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E:\RNAseq Data for paper\PaperDrft1\Elife\Reviewers Comments\Final revised for submission\Images\"/>
    </mc:Choice>
  </mc:AlternateContent>
  <xr:revisionPtr revIDLastSave="0" documentId="13_ncr:1_{A7F2EB4B-5E11-4153-ABF6-1BE56A199CB0}" xr6:coauthVersionLast="47" xr6:coauthVersionMax="47" xr10:uidLastSave="{00000000-0000-0000-0000-000000000000}"/>
  <bookViews>
    <workbookView xWindow="-110" yWindow="-110" windowWidth="19420" windowHeight="10420" tabRatio="716" xr2:uid="{00000000-000D-0000-FFFF-FFFF00000000}"/>
  </bookViews>
  <sheets>
    <sheet name="WT-vs-OGT-1_DEGs" sheetId="1" r:id="rId1"/>
    <sheet name="DEGs_2Fold_UP_Regulated" sheetId="5" r:id="rId2"/>
    <sheet name="DEGs_2F_Down_Regulated" sheetId="4" r:id="rId3"/>
    <sheet name="GO_Enrichment_2F_UP_TOP30" sheetId="11" r:id="rId4"/>
    <sheet name="GO_Enrichment_2F_Down_TOP30" sheetId="10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123" i="1" l="1"/>
  <c r="D4605" i="5"/>
  <c r="B4605" i="5"/>
  <c r="A4605" i="5"/>
  <c r="D4604" i="5"/>
  <c r="A4604" i="5"/>
  <c r="D4603" i="5"/>
  <c r="B4603" i="5"/>
  <c r="A4603" i="5"/>
  <c r="D4602" i="5"/>
  <c r="B4602" i="5"/>
  <c r="A4602" i="5"/>
  <c r="D4601" i="5"/>
  <c r="B4601" i="5"/>
  <c r="A4601" i="5"/>
  <c r="D4600" i="5"/>
  <c r="B4600" i="5"/>
  <c r="A4600" i="5"/>
  <c r="D4599" i="5"/>
  <c r="C4599" i="5"/>
  <c r="B4599" i="5"/>
  <c r="A4599" i="5"/>
  <c r="D4598" i="5"/>
  <c r="B4598" i="5"/>
  <c r="A4598" i="5"/>
  <c r="D4597" i="5"/>
  <c r="B4597" i="5"/>
  <c r="A4597" i="5"/>
  <c r="D4596" i="5"/>
  <c r="A4596" i="5"/>
  <c r="D4595" i="5"/>
  <c r="B4595" i="5"/>
  <c r="A4595" i="5"/>
  <c r="D4594" i="5"/>
  <c r="A4594" i="5"/>
  <c r="D4593" i="5"/>
  <c r="B4593" i="5"/>
  <c r="A4593" i="5"/>
  <c r="D4592" i="5"/>
  <c r="A4592" i="5"/>
  <c r="D4591" i="5"/>
  <c r="B4591" i="5"/>
  <c r="A4591" i="5"/>
  <c r="D4590" i="5"/>
  <c r="B4590" i="5"/>
  <c r="A4590" i="5"/>
  <c r="D4589" i="5"/>
  <c r="A4589" i="5"/>
  <c r="D4588" i="5"/>
  <c r="B4588" i="5"/>
  <c r="A4588" i="5"/>
  <c r="D4587" i="5"/>
  <c r="B4587" i="5"/>
  <c r="A4587" i="5"/>
  <c r="D4586" i="5"/>
  <c r="B4586" i="5"/>
  <c r="A4586" i="5"/>
  <c r="D4585" i="5"/>
  <c r="A4585" i="5"/>
  <c r="D4584" i="5"/>
  <c r="A4584" i="5"/>
  <c r="D4583" i="5"/>
  <c r="B4583" i="5"/>
  <c r="A4583" i="5"/>
  <c r="D4582" i="5"/>
  <c r="B4582" i="5"/>
  <c r="A4582" i="5"/>
  <c r="D4581" i="5"/>
  <c r="B4581" i="5"/>
  <c r="A4581" i="5"/>
  <c r="D4580" i="5"/>
  <c r="B4580" i="5"/>
  <c r="A4580" i="5"/>
  <c r="D4579" i="5"/>
  <c r="A4579" i="5"/>
  <c r="D4578" i="5"/>
  <c r="B4578" i="5"/>
  <c r="A4578" i="5"/>
  <c r="D4577" i="5"/>
  <c r="B4577" i="5"/>
  <c r="A4577" i="5"/>
  <c r="D4576" i="5"/>
  <c r="A4576" i="5"/>
  <c r="D4575" i="5"/>
  <c r="A4575" i="5"/>
  <c r="D4574" i="5"/>
  <c r="B4574" i="5"/>
  <c r="A4574" i="5"/>
  <c r="D4573" i="5"/>
  <c r="B4573" i="5"/>
  <c r="A4573" i="5"/>
  <c r="D4572" i="5"/>
  <c r="B4572" i="5"/>
  <c r="A4572" i="5"/>
  <c r="D4571" i="5"/>
  <c r="B4571" i="5"/>
  <c r="A4571" i="5"/>
  <c r="D4570" i="5"/>
  <c r="B4570" i="5"/>
  <c r="A4570" i="5"/>
  <c r="D4569" i="5"/>
  <c r="B4569" i="5"/>
  <c r="A4569" i="5"/>
  <c r="D4568" i="5"/>
  <c r="A4568" i="5"/>
  <c r="D4567" i="5"/>
  <c r="B4567" i="5"/>
  <c r="A4567" i="5"/>
  <c r="D4566" i="5"/>
  <c r="B4566" i="5"/>
  <c r="A4566" i="5"/>
  <c r="D4565" i="5"/>
  <c r="B4565" i="5"/>
  <c r="A4565" i="5"/>
  <c r="D4564" i="5"/>
  <c r="B4564" i="5"/>
  <c r="A4564" i="5"/>
  <c r="D4563" i="5"/>
  <c r="C4563" i="5"/>
  <c r="B4563" i="5"/>
  <c r="A4563" i="5"/>
  <c r="D4562" i="5"/>
  <c r="B4562" i="5"/>
  <c r="A4562" i="5"/>
  <c r="D4561" i="5"/>
  <c r="B4561" i="5"/>
  <c r="A4561" i="5"/>
  <c r="D4560" i="5"/>
  <c r="B4560" i="5"/>
  <c r="A4560" i="5"/>
  <c r="D4559" i="5"/>
  <c r="B4559" i="5"/>
  <c r="A4559" i="5"/>
  <c r="D4558" i="5"/>
  <c r="B4558" i="5"/>
  <c r="A4558" i="5"/>
  <c r="D4557" i="5"/>
  <c r="C4557" i="5"/>
  <c r="B4557" i="5"/>
  <c r="A4557" i="5"/>
  <c r="D4556" i="5"/>
  <c r="A4556" i="5"/>
  <c r="D4555" i="5"/>
  <c r="A4555" i="5"/>
  <c r="D4554" i="5"/>
  <c r="B4554" i="5"/>
  <c r="A4554" i="5"/>
  <c r="D4553" i="5"/>
  <c r="B4553" i="5"/>
  <c r="A4553" i="5"/>
  <c r="D4552" i="5"/>
  <c r="B4552" i="5"/>
  <c r="A4552" i="5"/>
  <c r="D4551" i="5"/>
  <c r="B4551" i="5"/>
  <c r="A4551" i="5"/>
  <c r="D4550" i="5"/>
  <c r="B4550" i="5"/>
  <c r="A4550" i="5"/>
  <c r="D4549" i="5"/>
  <c r="B4549" i="5"/>
  <c r="A4549" i="5"/>
  <c r="D4548" i="5"/>
  <c r="B4548" i="5"/>
  <c r="A4548" i="5"/>
  <c r="D4547" i="5"/>
  <c r="B4547" i="5"/>
  <c r="A4547" i="5"/>
  <c r="D4546" i="5"/>
  <c r="B4546" i="5"/>
  <c r="A4546" i="5"/>
  <c r="D4545" i="5"/>
  <c r="B4545" i="5"/>
  <c r="A4545" i="5"/>
  <c r="D4544" i="5"/>
  <c r="C4544" i="5"/>
  <c r="B4544" i="5"/>
  <c r="A4544" i="5"/>
  <c r="D4543" i="5"/>
  <c r="B4543" i="5"/>
  <c r="A4543" i="5"/>
  <c r="D4542" i="5"/>
  <c r="B4542" i="5"/>
  <c r="A4542" i="5"/>
  <c r="D4541" i="5"/>
  <c r="B4541" i="5"/>
  <c r="A4541" i="5"/>
  <c r="D4540" i="5"/>
  <c r="B4540" i="5"/>
  <c r="A4540" i="5"/>
  <c r="D4539" i="5"/>
  <c r="C4539" i="5"/>
  <c r="B4539" i="5"/>
  <c r="A4539" i="5"/>
  <c r="D4538" i="5"/>
  <c r="B4538" i="5"/>
  <c r="A4538" i="5"/>
  <c r="D4537" i="5"/>
  <c r="B4537" i="5"/>
  <c r="A4537" i="5"/>
  <c r="D4536" i="5"/>
  <c r="B4536" i="5"/>
  <c r="A4536" i="5"/>
  <c r="D4535" i="5"/>
  <c r="B4535" i="5"/>
  <c r="A4535" i="5"/>
  <c r="D4534" i="5"/>
  <c r="B4534" i="5"/>
  <c r="A4534" i="5"/>
  <c r="D4533" i="5"/>
  <c r="B4533" i="5"/>
  <c r="A4533" i="5"/>
  <c r="D4532" i="5"/>
  <c r="B4532" i="5"/>
  <c r="A4532" i="5"/>
  <c r="D4531" i="5"/>
  <c r="B4531" i="5"/>
  <c r="A4531" i="5"/>
  <c r="D4530" i="5"/>
  <c r="A4530" i="5"/>
  <c r="D4529" i="5"/>
  <c r="A4529" i="5"/>
  <c r="D4528" i="5"/>
  <c r="B4528" i="5"/>
  <c r="A4528" i="5"/>
  <c r="D4527" i="5"/>
  <c r="C4527" i="5"/>
  <c r="B4527" i="5"/>
  <c r="A4527" i="5"/>
  <c r="D4526" i="5"/>
  <c r="B4526" i="5"/>
  <c r="A4526" i="5"/>
  <c r="D4525" i="5"/>
  <c r="B4525" i="5"/>
  <c r="A4525" i="5"/>
  <c r="D4524" i="5"/>
  <c r="A4524" i="5"/>
  <c r="D4523" i="5"/>
  <c r="B4523" i="5"/>
  <c r="A4523" i="5"/>
  <c r="D4522" i="5"/>
  <c r="A4522" i="5"/>
  <c r="D4521" i="5"/>
  <c r="B4521" i="5"/>
  <c r="A4521" i="5"/>
  <c r="D4520" i="5"/>
  <c r="A4520" i="5"/>
  <c r="D4519" i="5"/>
  <c r="B4519" i="5"/>
  <c r="A4519" i="5"/>
  <c r="D4518" i="5"/>
  <c r="B4518" i="5"/>
  <c r="A4518" i="5"/>
  <c r="D4517" i="5"/>
  <c r="B4517" i="5"/>
  <c r="A4517" i="5"/>
  <c r="D4516" i="5"/>
  <c r="B4516" i="5"/>
  <c r="A4516" i="5"/>
  <c r="D4515" i="5"/>
  <c r="B4515" i="5"/>
  <c r="A4515" i="5"/>
  <c r="D4514" i="5"/>
  <c r="B4514" i="5"/>
  <c r="A4514" i="5"/>
  <c r="D4513" i="5"/>
  <c r="A4513" i="5"/>
  <c r="D4512" i="5"/>
  <c r="B4512" i="5"/>
  <c r="A4512" i="5"/>
  <c r="D4511" i="5"/>
  <c r="B4511" i="5"/>
  <c r="A4511" i="5"/>
  <c r="D4510" i="5"/>
  <c r="B4510" i="5"/>
  <c r="A4510" i="5"/>
  <c r="D4509" i="5"/>
  <c r="C4509" i="5"/>
  <c r="B4509" i="5"/>
  <c r="A4509" i="5"/>
  <c r="D4508" i="5"/>
  <c r="C4508" i="5"/>
  <c r="B4508" i="5"/>
  <c r="A4508" i="5"/>
  <c r="D4507" i="5"/>
  <c r="B4507" i="5"/>
  <c r="A4507" i="5"/>
  <c r="D4506" i="5"/>
  <c r="B4506" i="5"/>
  <c r="A4506" i="5"/>
  <c r="D4505" i="5"/>
  <c r="A4505" i="5"/>
  <c r="D4504" i="5"/>
  <c r="B4504" i="5"/>
  <c r="A4504" i="5"/>
  <c r="D4503" i="5"/>
  <c r="B4503" i="5"/>
  <c r="A4503" i="5"/>
  <c r="D4502" i="5"/>
  <c r="B4502" i="5"/>
  <c r="A4502" i="5"/>
  <c r="D4501" i="5"/>
  <c r="A4501" i="5"/>
  <c r="D4500" i="5"/>
  <c r="B4500" i="5"/>
  <c r="A4500" i="5"/>
  <c r="D4499" i="5"/>
  <c r="B4499" i="5"/>
  <c r="A4499" i="5"/>
  <c r="D4498" i="5"/>
  <c r="B4498" i="5"/>
  <c r="A4498" i="5"/>
  <c r="D4497" i="5"/>
  <c r="B4497" i="5"/>
  <c r="A4497" i="5"/>
  <c r="D4496" i="5"/>
  <c r="B4496" i="5"/>
  <c r="A4496" i="5"/>
  <c r="D4495" i="5"/>
  <c r="B4495" i="5"/>
  <c r="A4495" i="5"/>
  <c r="D4494" i="5"/>
  <c r="B4494" i="5"/>
  <c r="A4494" i="5"/>
  <c r="D4493" i="5"/>
  <c r="B4493" i="5"/>
  <c r="A4493" i="5"/>
  <c r="D4492" i="5"/>
  <c r="B4492" i="5"/>
  <c r="A4492" i="5"/>
  <c r="D4491" i="5"/>
  <c r="B4491" i="5"/>
  <c r="A4491" i="5"/>
  <c r="D4490" i="5"/>
  <c r="B4490" i="5"/>
  <c r="A4490" i="5"/>
  <c r="D4489" i="5"/>
  <c r="B4489" i="5"/>
  <c r="A4489" i="5"/>
  <c r="D4488" i="5"/>
  <c r="B4488" i="5"/>
  <c r="A4488" i="5"/>
  <c r="D4487" i="5"/>
  <c r="B4487" i="5"/>
  <c r="A4487" i="5"/>
  <c r="D4486" i="5"/>
  <c r="B4486" i="5"/>
  <c r="A4486" i="5"/>
  <c r="D4485" i="5"/>
  <c r="B4485" i="5"/>
  <c r="A4485" i="5"/>
  <c r="D4484" i="5"/>
  <c r="B4484" i="5"/>
  <c r="A4484" i="5"/>
  <c r="D4483" i="5"/>
  <c r="B4483" i="5"/>
  <c r="A4483" i="5"/>
  <c r="D4482" i="5"/>
  <c r="B4482" i="5"/>
  <c r="A4482" i="5"/>
  <c r="D4481" i="5"/>
  <c r="B4481" i="5"/>
  <c r="A4481" i="5"/>
  <c r="D4480" i="5"/>
  <c r="A4480" i="5"/>
  <c r="D4479" i="5"/>
  <c r="B4479" i="5"/>
  <c r="A4479" i="5"/>
  <c r="D4478" i="5"/>
  <c r="A4478" i="5"/>
  <c r="D4477" i="5"/>
  <c r="A4477" i="5"/>
  <c r="D4476" i="5"/>
  <c r="C4476" i="5"/>
  <c r="B4476" i="5"/>
  <c r="A4476" i="5"/>
  <c r="D4475" i="5"/>
  <c r="C4475" i="5"/>
  <c r="B4475" i="5"/>
  <c r="A4475" i="5"/>
  <c r="D4474" i="5"/>
  <c r="C4474" i="5"/>
  <c r="B4474" i="5"/>
  <c r="A4474" i="5"/>
  <c r="D4473" i="5"/>
  <c r="B4473" i="5"/>
  <c r="A4473" i="5"/>
  <c r="D4472" i="5"/>
  <c r="C4472" i="5"/>
  <c r="B4472" i="5"/>
  <c r="A4472" i="5"/>
  <c r="D4471" i="5"/>
  <c r="B4471" i="5"/>
  <c r="A4471" i="5"/>
  <c r="D4470" i="5"/>
  <c r="B4470" i="5"/>
  <c r="A4470" i="5"/>
  <c r="D4469" i="5"/>
  <c r="B4469" i="5"/>
  <c r="A4469" i="5"/>
  <c r="D4468" i="5"/>
  <c r="B4468" i="5"/>
  <c r="A4468" i="5"/>
  <c r="D4467" i="5"/>
  <c r="B4467" i="5"/>
  <c r="A4467" i="5"/>
  <c r="D4466" i="5"/>
  <c r="B4466" i="5"/>
  <c r="A4466" i="5"/>
  <c r="D4465" i="5"/>
  <c r="B4465" i="5"/>
  <c r="A4465" i="5"/>
  <c r="D4464" i="5"/>
  <c r="B4464" i="5"/>
  <c r="A4464" i="5"/>
  <c r="D4463" i="5"/>
  <c r="B4463" i="5"/>
  <c r="A4463" i="5"/>
  <c r="D4462" i="5"/>
  <c r="B4462" i="5"/>
  <c r="A4462" i="5"/>
  <c r="D4461" i="5"/>
  <c r="C4461" i="5"/>
  <c r="B4461" i="5"/>
  <c r="A4461" i="5"/>
  <c r="D4460" i="5"/>
  <c r="B4460" i="5"/>
  <c r="A4460" i="5"/>
  <c r="D4459" i="5"/>
  <c r="B4459" i="5"/>
  <c r="A4459" i="5"/>
  <c r="D4458" i="5"/>
  <c r="B4458" i="5"/>
  <c r="A4458" i="5"/>
  <c r="D4457" i="5"/>
  <c r="B4457" i="5"/>
  <c r="A4457" i="5"/>
  <c r="D4456" i="5"/>
  <c r="B4456" i="5"/>
  <c r="A4456" i="5"/>
  <c r="D4455" i="5"/>
  <c r="B4455" i="5"/>
  <c r="A4455" i="5"/>
  <c r="D4454" i="5"/>
  <c r="B4454" i="5"/>
  <c r="A4454" i="5"/>
  <c r="D4453" i="5"/>
  <c r="C4453" i="5"/>
  <c r="B4453" i="5"/>
  <c r="A4453" i="5"/>
  <c r="D4452" i="5"/>
  <c r="B4452" i="5"/>
  <c r="A4452" i="5"/>
  <c r="D4451" i="5"/>
  <c r="B4451" i="5"/>
  <c r="A4451" i="5"/>
  <c r="D4450" i="5"/>
  <c r="B4450" i="5"/>
  <c r="A4450" i="5"/>
  <c r="D4449" i="5"/>
  <c r="C4449" i="5"/>
  <c r="B4449" i="5"/>
  <c r="A4449" i="5"/>
  <c r="D4448" i="5"/>
  <c r="B4448" i="5"/>
  <c r="A4448" i="5"/>
  <c r="D4447" i="5"/>
  <c r="B4447" i="5"/>
  <c r="A4447" i="5"/>
  <c r="D4446" i="5"/>
  <c r="B4446" i="5"/>
  <c r="A4446" i="5"/>
  <c r="D4445" i="5"/>
  <c r="B4445" i="5"/>
  <c r="A4445" i="5"/>
  <c r="D4444" i="5"/>
  <c r="B4444" i="5"/>
  <c r="A4444" i="5"/>
  <c r="D4443" i="5"/>
  <c r="B4443" i="5"/>
  <c r="A4443" i="5"/>
  <c r="D4442" i="5"/>
  <c r="B4442" i="5"/>
  <c r="A4442" i="5"/>
  <c r="D4441" i="5"/>
  <c r="C4441" i="5"/>
  <c r="B4441" i="5"/>
  <c r="A4441" i="5"/>
  <c r="D4440" i="5"/>
  <c r="B4440" i="5"/>
  <c r="A4440" i="5"/>
  <c r="D4439" i="5"/>
  <c r="B4439" i="5"/>
  <c r="A4439" i="5"/>
  <c r="D4438" i="5"/>
  <c r="B4438" i="5"/>
  <c r="A4438" i="5"/>
  <c r="D4437" i="5"/>
  <c r="B4437" i="5"/>
  <c r="A4437" i="5"/>
  <c r="D4436" i="5"/>
  <c r="B4436" i="5"/>
  <c r="A4436" i="5"/>
  <c r="D4435" i="5"/>
  <c r="B4435" i="5"/>
  <c r="A4435" i="5"/>
  <c r="D4434" i="5"/>
  <c r="B4434" i="5"/>
  <c r="A4434" i="5"/>
  <c r="D4433" i="5"/>
  <c r="B4433" i="5"/>
  <c r="A4433" i="5"/>
  <c r="D4432" i="5"/>
  <c r="B4432" i="5"/>
  <c r="A4432" i="5"/>
  <c r="D4431" i="5"/>
  <c r="B4431" i="5"/>
  <c r="A4431" i="5"/>
  <c r="D4430" i="5"/>
  <c r="B4430" i="5"/>
  <c r="A4430" i="5"/>
  <c r="D4429" i="5"/>
  <c r="B4429" i="5"/>
  <c r="A4429" i="5"/>
  <c r="D4428" i="5"/>
  <c r="B4428" i="5"/>
  <c r="A4428" i="5"/>
  <c r="D4427" i="5"/>
  <c r="B4427" i="5"/>
  <c r="A4427" i="5"/>
  <c r="D4426" i="5"/>
  <c r="B4426" i="5"/>
  <c r="A4426" i="5"/>
  <c r="D4425" i="5"/>
  <c r="B4425" i="5"/>
  <c r="A4425" i="5"/>
  <c r="D4424" i="5"/>
  <c r="B4424" i="5"/>
  <c r="A4424" i="5"/>
  <c r="D4423" i="5"/>
  <c r="B4423" i="5"/>
  <c r="A4423" i="5"/>
  <c r="D4422" i="5"/>
  <c r="C4422" i="5"/>
  <c r="B4422" i="5"/>
  <c r="A4422" i="5"/>
  <c r="D4421" i="5"/>
  <c r="B4421" i="5"/>
  <c r="A4421" i="5"/>
  <c r="D4420" i="5"/>
  <c r="B4420" i="5"/>
  <c r="A4420" i="5"/>
  <c r="D4419" i="5"/>
  <c r="A4419" i="5"/>
  <c r="D4418" i="5"/>
  <c r="C4418" i="5"/>
  <c r="B4418" i="5"/>
  <c r="A4418" i="5"/>
  <c r="D4417" i="5"/>
  <c r="B4417" i="5"/>
  <c r="A4417" i="5"/>
  <c r="D4416" i="5"/>
  <c r="B4416" i="5"/>
  <c r="A4416" i="5"/>
  <c r="D4415" i="5"/>
  <c r="C4415" i="5"/>
  <c r="B4415" i="5"/>
  <c r="A4415" i="5"/>
  <c r="D4414" i="5"/>
  <c r="B4414" i="5"/>
  <c r="A4414" i="5"/>
  <c r="D4413" i="5"/>
  <c r="B4413" i="5"/>
  <c r="A4413" i="5"/>
  <c r="D4412" i="5"/>
  <c r="B4412" i="5"/>
  <c r="A4412" i="5"/>
  <c r="D4411" i="5"/>
  <c r="B4411" i="5"/>
  <c r="A4411" i="5"/>
  <c r="D4410" i="5"/>
  <c r="B4410" i="5"/>
  <c r="A4410" i="5"/>
  <c r="D4409" i="5"/>
  <c r="B4409" i="5"/>
  <c r="A4409" i="5"/>
  <c r="D4408" i="5"/>
  <c r="B4408" i="5"/>
  <c r="A4408" i="5"/>
  <c r="D4407" i="5"/>
  <c r="C4407" i="5"/>
  <c r="B4407" i="5"/>
  <c r="A4407" i="5"/>
  <c r="D4406" i="5"/>
  <c r="B4406" i="5"/>
  <c r="A4406" i="5"/>
  <c r="D4405" i="5"/>
  <c r="B4405" i="5"/>
  <c r="A4405" i="5"/>
  <c r="D4404" i="5"/>
  <c r="B4404" i="5"/>
  <c r="A4404" i="5"/>
  <c r="D4403" i="5"/>
  <c r="B4403" i="5"/>
  <c r="A4403" i="5"/>
  <c r="D4402" i="5"/>
  <c r="B4402" i="5"/>
  <c r="A4402" i="5"/>
  <c r="D4401" i="5"/>
  <c r="B4401" i="5"/>
  <c r="A4401" i="5"/>
  <c r="D4400" i="5"/>
  <c r="B4400" i="5"/>
  <c r="A4400" i="5"/>
  <c r="D4399" i="5"/>
  <c r="B4399" i="5"/>
  <c r="A4399" i="5"/>
  <c r="D4398" i="5"/>
  <c r="B4398" i="5"/>
  <c r="A4398" i="5"/>
  <c r="D4397" i="5"/>
  <c r="B4397" i="5"/>
  <c r="A4397" i="5"/>
  <c r="D4396" i="5"/>
  <c r="B4396" i="5"/>
  <c r="A4396" i="5"/>
  <c r="D4395" i="5"/>
  <c r="B4395" i="5"/>
  <c r="A4395" i="5"/>
  <c r="D4394" i="5"/>
  <c r="B4394" i="5"/>
  <c r="A4394" i="5"/>
  <c r="D4393" i="5"/>
  <c r="B4393" i="5"/>
  <c r="A4393" i="5"/>
  <c r="D4392" i="5"/>
  <c r="B4392" i="5"/>
  <c r="A4392" i="5"/>
  <c r="D4391" i="5"/>
  <c r="B4391" i="5"/>
  <c r="A4391" i="5"/>
  <c r="D4390" i="5"/>
  <c r="B4390" i="5"/>
  <c r="A4390" i="5"/>
  <c r="D4389" i="5"/>
  <c r="B4389" i="5"/>
  <c r="A4389" i="5"/>
  <c r="D4388" i="5"/>
  <c r="B4388" i="5"/>
  <c r="A4388" i="5"/>
  <c r="D4387" i="5"/>
  <c r="B4387" i="5"/>
  <c r="A4387" i="5"/>
  <c r="D4386" i="5"/>
  <c r="B4386" i="5"/>
  <c r="A4386" i="5"/>
  <c r="D4385" i="5"/>
  <c r="B4385" i="5"/>
  <c r="A4385" i="5"/>
  <c r="D4384" i="5"/>
  <c r="B4384" i="5"/>
  <c r="A4384" i="5"/>
  <c r="D4383" i="5"/>
  <c r="B4383" i="5"/>
  <c r="A4383" i="5"/>
  <c r="D4382" i="5"/>
  <c r="B4382" i="5"/>
  <c r="A4382" i="5"/>
  <c r="D4381" i="5"/>
  <c r="B4381" i="5"/>
  <c r="A4381" i="5"/>
  <c r="D4380" i="5"/>
  <c r="B4380" i="5"/>
  <c r="A4380" i="5"/>
  <c r="D4379" i="5"/>
  <c r="B4379" i="5"/>
  <c r="A4379" i="5"/>
  <c r="D4378" i="5"/>
  <c r="B4378" i="5"/>
  <c r="A4378" i="5"/>
  <c r="D4377" i="5"/>
  <c r="B4377" i="5"/>
  <c r="A4377" i="5"/>
  <c r="D4376" i="5"/>
  <c r="C4376" i="5"/>
  <c r="B4376" i="5"/>
  <c r="A4376" i="5"/>
  <c r="D4375" i="5"/>
  <c r="A4375" i="5"/>
  <c r="D4374" i="5"/>
  <c r="B4374" i="5"/>
  <c r="A4374" i="5"/>
  <c r="D4373" i="5"/>
  <c r="B4373" i="5"/>
  <c r="A4373" i="5"/>
  <c r="D4372" i="5"/>
  <c r="B4372" i="5"/>
  <c r="A4372" i="5"/>
  <c r="D4371" i="5"/>
  <c r="B4371" i="5"/>
  <c r="A4371" i="5"/>
  <c r="D4370" i="5"/>
  <c r="B4370" i="5"/>
  <c r="A4370" i="5"/>
  <c r="D4369" i="5"/>
  <c r="B4369" i="5"/>
  <c r="A4369" i="5"/>
  <c r="D4368" i="5"/>
  <c r="B4368" i="5"/>
  <c r="A4368" i="5"/>
  <c r="D4367" i="5"/>
  <c r="B4367" i="5"/>
  <c r="A4367" i="5"/>
  <c r="D4366" i="5"/>
  <c r="B4366" i="5"/>
  <c r="A4366" i="5"/>
  <c r="D4365" i="5"/>
  <c r="B4365" i="5"/>
  <c r="A4365" i="5"/>
  <c r="D4364" i="5"/>
  <c r="B4364" i="5"/>
  <c r="A4364" i="5"/>
  <c r="D4363" i="5"/>
  <c r="A4363" i="5"/>
  <c r="D4362" i="5"/>
  <c r="A4362" i="5"/>
  <c r="D4361" i="5"/>
  <c r="A4361" i="5"/>
  <c r="D4360" i="5"/>
  <c r="B4360" i="5"/>
  <c r="A4360" i="5"/>
  <c r="D4359" i="5"/>
  <c r="A4359" i="5"/>
  <c r="D4358" i="5"/>
  <c r="B4358" i="5"/>
  <c r="A4358" i="5"/>
  <c r="D4357" i="5"/>
  <c r="B4357" i="5"/>
  <c r="A4357" i="5"/>
  <c r="D4356" i="5"/>
  <c r="A4356" i="5"/>
  <c r="D4355" i="5"/>
  <c r="A4355" i="5"/>
  <c r="D4354" i="5"/>
  <c r="A4354" i="5"/>
  <c r="D4353" i="5"/>
  <c r="B4353" i="5"/>
  <c r="A4353" i="5"/>
  <c r="D4352" i="5"/>
  <c r="B4352" i="5"/>
  <c r="A4352" i="5"/>
  <c r="D4351" i="5"/>
  <c r="B4351" i="5"/>
  <c r="A4351" i="5"/>
  <c r="D4350" i="5"/>
  <c r="B4350" i="5"/>
  <c r="A4350" i="5"/>
  <c r="D4349" i="5"/>
  <c r="B4349" i="5"/>
  <c r="A4349" i="5"/>
  <c r="D4348" i="5"/>
  <c r="B4348" i="5"/>
  <c r="A4348" i="5"/>
  <c r="D4347" i="5"/>
  <c r="B4347" i="5"/>
  <c r="A4347" i="5"/>
  <c r="D4346" i="5"/>
  <c r="A4346" i="5"/>
  <c r="D4345" i="5"/>
  <c r="C4345" i="5"/>
  <c r="B4345" i="5"/>
  <c r="A4345" i="5"/>
  <c r="D4344" i="5"/>
  <c r="A4344" i="5"/>
  <c r="D4343" i="5"/>
  <c r="B4343" i="5"/>
  <c r="A4343" i="5"/>
  <c r="D4342" i="5"/>
  <c r="B4342" i="5"/>
  <c r="A4342" i="5"/>
  <c r="D4341" i="5"/>
  <c r="B4341" i="5"/>
  <c r="A4341" i="5"/>
  <c r="D4340" i="5"/>
  <c r="B4340" i="5"/>
  <c r="A4340" i="5"/>
  <c r="D4339" i="5"/>
  <c r="B4339" i="5"/>
  <c r="A4339" i="5"/>
  <c r="D4338" i="5"/>
  <c r="B4338" i="5"/>
  <c r="A4338" i="5"/>
  <c r="D4337" i="5"/>
  <c r="B4337" i="5"/>
  <c r="A4337" i="5"/>
  <c r="D4336" i="5"/>
  <c r="B4336" i="5"/>
  <c r="A4336" i="5"/>
  <c r="D4335" i="5"/>
  <c r="B4335" i="5"/>
  <c r="A4335" i="5"/>
  <c r="D4334" i="5"/>
  <c r="B4334" i="5"/>
  <c r="A4334" i="5"/>
  <c r="D4333" i="5"/>
  <c r="B4333" i="5"/>
  <c r="A4333" i="5"/>
  <c r="D4332" i="5"/>
  <c r="B4332" i="5"/>
  <c r="A4332" i="5"/>
  <c r="D4331" i="5"/>
  <c r="B4331" i="5"/>
  <c r="A4331" i="5"/>
  <c r="D4330" i="5"/>
  <c r="B4330" i="5"/>
  <c r="A4330" i="5"/>
  <c r="D4329" i="5"/>
  <c r="B4329" i="5"/>
  <c r="A4329" i="5"/>
  <c r="D4328" i="5"/>
  <c r="B4328" i="5"/>
  <c r="A4328" i="5"/>
  <c r="D4327" i="5"/>
  <c r="A4327" i="5"/>
  <c r="D4326" i="5"/>
  <c r="B4326" i="5"/>
  <c r="A4326" i="5"/>
  <c r="D4325" i="5"/>
  <c r="B4325" i="5"/>
  <c r="A4325" i="5"/>
  <c r="D4324" i="5"/>
  <c r="B4324" i="5"/>
  <c r="A4324" i="5"/>
  <c r="D4323" i="5"/>
  <c r="B4323" i="5"/>
  <c r="A4323" i="5"/>
  <c r="D4322" i="5"/>
  <c r="B4322" i="5"/>
  <c r="A4322" i="5"/>
  <c r="D4321" i="5"/>
  <c r="C4321" i="5"/>
  <c r="B4321" i="5"/>
  <c r="A4321" i="5"/>
  <c r="D4320" i="5"/>
  <c r="A4320" i="5"/>
  <c r="D4319" i="5"/>
  <c r="B4319" i="5"/>
  <c r="A4319" i="5"/>
  <c r="D4318" i="5"/>
  <c r="A4318" i="5"/>
  <c r="D4317" i="5"/>
  <c r="B4317" i="5"/>
  <c r="A4317" i="5"/>
  <c r="D4316" i="5"/>
  <c r="B4316" i="5"/>
  <c r="A4316" i="5"/>
  <c r="D4315" i="5"/>
  <c r="B4315" i="5"/>
  <c r="A4315" i="5"/>
  <c r="D4314" i="5"/>
  <c r="B4314" i="5"/>
  <c r="A4314" i="5"/>
  <c r="D4313" i="5"/>
  <c r="B4313" i="5"/>
  <c r="A4313" i="5"/>
  <c r="D4312" i="5"/>
  <c r="B4312" i="5"/>
  <c r="A4312" i="5"/>
  <c r="D4311" i="5"/>
  <c r="B4311" i="5"/>
  <c r="A4311" i="5"/>
  <c r="D4310" i="5"/>
  <c r="B4310" i="5"/>
  <c r="A4310" i="5"/>
  <c r="D4309" i="5"/>
  <c r="B4309" i="5"/>
  <c r="A4309" i="5"/>
  <c r="D4308" i="5"/>
  <c r="B4308" i="5"/>
  <c r="A4308" i="5"/>
  <c r="D4307" i="5"/>
  <c r="B4307" i="5"/>
  <c r="A4307" i="5"/>
  <c r="D4306" i="5"/>
  <c r="B4306" i="5"/>
  <c r="A4306" i="5"/>
  <c r="D4305" i="5"/>
  <c r="B4305" i="5"/>
  <c r="A4305" i="5"/>
  <c r="D4304" i="5"/>
  <c r="B4304" i="5"/>
  <c r="A4304" i="5"/>
  <c r="D4303" i="5"/>
  <c r="B4303" i="5"/>
  <c r="A4303" i="5"/>
  <c r="D4302" i="5"/>
  <c r="B4302" i="5"/>
  <c r="A4302" i="5"/>
  <c r="D4301" i="5"/>
  <c r="B4301" i="5"/>
  <c r="A4301" i="5"/>
  <c r="D4300" i="5"/>
  <c r="B4300" i="5"/>
  <c r="A4300" i="5"/>
  <c r="D4299" i="5"/>
  <c r="B4299" i="5"/>
  <c r="A4299" i="5"/>
  <c r="D4298" i="5"/>
  <c r="B4298" i="5"/>
  <c r="A4298" i="5"/>
  <c r="D4297" i="5"/>
  <c r="C4297" i="5"/>
  <c r="B4297" i="5"/>
  <c r="A4297" i="5"/>
  <c r="D4296" i="5"/>
  <c r="B4296" i="5"/>
  <c r="A4296" i="5"/>
  <c r="D4295" i="5"/>
  <c r="B4295" i="5"/>
  <c r="A4295" i="5"/>
  <c r="D4294" i="5"/>
  <c r="B4294" i="5"/>
  <c r="A4294" i="5"/>
  <c r="D4293" i="5"/>
  <c r="B4293" i="5"/>
  <c r="A4293" i="5"/>
  <c r="D4292" i="5"/>
  <c r="B4292" i="5"/>
  <c r="A4292" i="5"/>
  <c r="D4291" i="5"/>
  <c r="B4291" i="5"/>
  <c r="A4291" i="5"/>
  <c r="D4290" i="5"/>
  <c r="B4290" i="5"/>
  <c r="A4290" i="5"/>
  <c r="D4289" i="5"/>
  <c r="C4289" i="5"/>
  <c r="B4289" i="5"/>
  <c r="A4289" i="5"/>
  <c r="D4288" i="5"/>
  <c r="B4288" i="5"/>
  <c r="A4288" i="5"/>
  <c r="D4287" i="5"/>
  <c r="B4287" i="5"/>
  <c r="A4287" i="5"/>
  <c r="D4286" i="5"/>
  <c r="B4286" i="5"/>
  <c r="A4286" i="5"/>
  <c r="D4285" i="5"/>
  <c r="A4285" i="5"/>
  <c r="D4284" i="5"/>
  <c r="B4284" i="5"/>
  <c r="A4284" i="5"/>
  <c r="D4283" i="5"/>
  <c r="B4283" i="5"/>
  <c r="A4283" i="5"/>
  <c r="D4282" i="5"/>
  <c r="B4282" i="5"/>
  <c r="A4282" i="5"/>
  <c r="D4281" i="5"/>
  <c r="B4281" i="5"/>
  <c r="A4281" i="5"/>
  <c r="D4280" i="5"/>
  <c r="B4280" i="5"/>
  <c r="A4280" i="5"/>
  <c r="D4279" i="5"/>
  <c r="B4279" i="5"/>
  <c r="A4279" i="5"/>
  <c r="D4278" i="5"/>
  <c r="B4278" i="5"/>
  <c r="A4278" i="5"/>
  <c r="D4277" i="5"/>
  <c r="B4277" i="5"/>
  <c r="A4277" i="5"/>
  <c r="D4276" i="5"/>
  <c r="A4276" i="5"/>
  <c r="D4275" i="5"/>
  <c r="B4275" i="5"/>
  <c r="A4275" i="5"/>
  <c r="D4274" i="5"/>
  <c r="B4274" i="5"/>
  <c r="A4274" i="5"/>
  <c r="D4273" i="5"/>
  <c r="B4273" i="5"/>
  <c r="A4273" i="5"/>
  <c r="D4272" i="5"/>
  <c r="B4272" i="5"/>
  <c r="A4272" i="5"/>
  <c r="D4271" i="5"/>
  <c r="B4271" i="5"/>
  <c r="A4271" i="5"/>
  <c r="D4270" i="5"/>
  <c r="B4270" i="5"/>
  <c r="A4270" i="5"/>
  <c r="D4269" i="5"/>
  <c r="A4269" i="5"/>
  <c r="D4268" i="5"/>
  <c r="B4268" i="5"/>
  <c r="A4268" i="5"/>
  <c r="D4267" i="5"/>
  <c r="B4267" i="5"/>
  <c r="A4267" i="5"/>
  <c r="D4266" i="5"/>
  <c r="A4266" i="5"/>
  <c r="D4265" i="5"/>
  <c r="A4265" i="5"/>
  <c r="D4264" i="5"/>
  <c r="A4264" i="5"/>
  <c r="D4263" i="5"/>
  <c r="A4263" i="5"/>
  <c r="D4262" i="5"/>
  <c r="B4262" i="5"/>
  <c r="A4262" i="5"/>
  <c r="D4261" i="5"/>
  <c r="B4261" i="5"/>
  <c r="A4261" i="5"/>
  <c r="D4260" i="5"/>
  <c r="A4260" i="5"/>
  <c r="D4259" i="5"/>
  <c r="B4259" i="5"/>
  <c r="A4259" i="5"/>
  <c r="D4258" i="5"/>
  <c r="B4258" i="5"/>
  <c r="A4258" i="5"/>
  <c r="D4257" i="5"/>
  <c r="B4257" i="5"/>
  <c r="A4257" i="5"/>
  <c r="D4256" i="5"/>
  <c r="B4256" i="5"/>
  <c r="A4256" i="5"/>
  <c r="D4255" i="5"/>
  <c r="B4255" i="5"/>
  <c r="A4255" i="5"/>
  <c r="D4254" i="5"/>
  <c r="B4254" i="5"/>
  <c r="A4254" i="5"/>
  <c r="D4253" i="5"/>
  <c r="B4253" i="5"/>
  <c r="A4253" i="5"/>
  <c r="D4252" i="5"/>
  <c r="B4252" i="5"/>
  <c r="A4252" i="5"/>
  <c r="D4251" i="5"/>
  <c r="A4251" i="5"/>
  <c r="D4250" i="5"/>
  <c r="B4250" i="5"/>
  <c r="A4250" i="5"/>
  <c r="D4249" i="5"/>
  <c r="B4249" i="5"/>
  <c r="A4249" i="5"/>
  <c r="D4248" i="5"/>
  <c r="B4248" i="5"/>
  <c r="A4248" i="5"/>
  <c r="D4247" i="5"/>
  <c r="A4247" i="5"/>
  <c r="D4246" i="5"/>
  <c r="B4246" i="5"/>
  <c r="A4246" i="5"/>
  <c r="D4245" i="5"/>
  <c r="B4245" i="5"/>
  <c r="A4245" i="5"/>
  <c r="D4244" i="5"/>
  <c r="B4244" i="5"/>
  <c r="A4244" i="5"/>
  <c r="D4243" i="5"/>
  <c r="B4243" i="5"/>
  <c r="A4243" i="5"/>
  <c r="D4242" i="5"/>
  <c r="C4242" i="5"/>
  <c r="B4242" i="5"/>
  <c r="A4242" i="5"/>
  <c r="D4241" i="5"/>
  <c r="B4241" i="5"/>
  <c r="A4241" i="5"/>
  <c r="D4240" i="5"/>
  <c r="B4240" i="5"/>
  <c r="A4240" i="5"/>
  <c r="D4239" i="5"/>
  <c r="B4239" i="5"/>
  <c r="A4239" i="5"/>
  <c r="D4238" i="5"/>
  <c r="B4238" i="5"/>
  <c r="A4238" i="5"/>
  <c r="D4237" i="5"/>
  <c r="B4237" i="5"/>
  <c r="A4237" i="5"/>
  <c r="D4236" i="5"/>
  <c r="A4236" i="5"/>
  <c r="D4235" i="5"/>
  <c r="B4235" i="5"/>
  <c r="A4235" i="5"/>
  <c r="D4234" i="5"/>
  <c r="C4234" i="5"/>
  <c r="B4234" i="5"/>
  <c r="A4234" i="5"/>
  <c r="D4233" i="5"/>
  <c r="B4233" i="5"/>
  <c r="A4233" i="5"/>
  <c r="D4232" i="5"/>
  <c r="B4232" i="5"/>
  <c r="A4232" i="5"/>
  <c r="D4231" i="5"/>
  <c r="B4231" i="5"/>
  <c r="A4231" i="5"/>
  <c r="D4230" i="5"/>
  <c r="B4230" i="5"/>
  <c r="A4230" i="5"/>
  <c r="D4229" i="5"/>
  <c r="B4229" i="5"/>
  <c r="A4229" i="5"/>
  <c r="D4228" i="5"/>
  <c r="B4228" i="5"/>
  <c r="A4228" i="5"/>
  <c r="D4227" i="5"/>
  <c r="B4227" i="5"/>
  <c r="A4227" i="5"/>
  <c r="D4226" i="5"/>
  <c r="B4226" i="5"/>
  <c r="A4226" i="5"/>
  <c r="D4225" i="5"/>
  <c r="B4225" i="5"/>
  <c r="A4225" i="5"/>
  <c r="D4224" i="5"/>
  <c r="B4224" i="5"/>
  <c r="A4224" i="5"/>
  <c r="D4223" i="5"/>
  <c r="B4223" i="5"/>
  <c r="A4223" i="5"/>
  <c r="D4222" i="5"/>
  <c r="B4222" i="5"/>
  <c r="A4222" i="5"/>
  <c r="D4221" i="5"/>
  <c r="B4221" i="5"/>
  <c r="A4221" i="5"/>
  <c r="D4220" i="5"/>
  <c r="B4220" i="5"/>
  <c r="A4220" i="5"/>
  <c r="D4219" i="5"/>
  <c r="A4219" i="5"/>
  <c r="D4218" i="5"/>
  <c r="A4218" i="5"/>
  <c r="D4217" i="5"/>
  <c r="B4217" i="5"/>
  <c r="A4217" i="5"/>
  <c r="D4216" i="5"/>
  <c r="B4216" i="5"/>
  <c r="A4216" i="5"/>
  <c r="D4215" i="5"/>
  <c r="B4215" i="5"/>
  <c r="A4215" i="5"/>
  <c r="D4214" i="5"/>
  <c r="B4214" i="5"/>
  <c r="A4214" i="5"/>
  <c r="D4213" i="5"/>
  <c r="B4213" i="5"/>
  <c r="A4213" i="5"/>
  <c r="D4212" i="5"/>
  <c r="A4212" i="5"/>
  <c r="D4211" i="5"/>
  <c r="A4211" i="5"/>
  <c r="D4210" i="5"/>
  <c r="A4210" i="5"/>
  <c r="D4209" i="5"/>
  <c r="A4209" i="5"/>
  <c r="D4208" i="5"/>
  <c r="B4208" i="5"/>
  <c r="A4208" i="5"/>
  <c r="D4207" i="5"/>
  <c r="C4207" i="5"/>
  <c r="B4207" i="5"/>
  <c r="A4207" i="5"/>
  <c r="D4206" i="5"/>
  <c r="B4206" i="5"/>
  <c r="A4206" i="5"/>
  <c r="D4205" i="5"/>
  <c r="B4205" i="5"/>
  <c r="A4205" i="5"/>
  <c r="D4204" i="5"/>
  <c r="B4204" i="5"/>
  <c r="A4204" i="5"/>
  <c r="D4203" i="5"/>
  <c r="B4203" i="5"/>
  <c r="A4203" i="5"/>
  <c r="D4202" i="5"/>
  <c r="B4202" i="5"/>
  <c r="A4202" i="5"/>
  <c r="D4201" i="5"/>
  <c r="B4201" i="5"/>
  <c r="A4201" i="5"/>
  <c r="D4200" i="5"/>
  <c r="B4200" i="5"/>
  <c r="A4200" i="5"/>
  <c r="D4199" i="5"/>
  <c r="B4199" i="5"/>
  <c r="A4199" i="5"/>
  <c r="D4198" i="5"/>
  <c r="B4198" i="5"/>
  <c r="A4198" i="5"/>
  <c r="D4197" i="5"/>
  <c r="B4197" i="5"/>
  <c r="A4197" i="5"/>
  <c r="D4196" i="5"/>
  <c r="B4196" i="5"/>
  <c r="A4196" i="5"/>
  <c r="D4195" i="5"/>
  <c r="B4195" i="5"/>
  <c r="A4195" i="5"/>
  <c r="D4194" i="5"/>
  <c r="B4194" i="5"/>
  <c r="A4194" i="5"/>
  <c r="D4193" i="5"/>
  <c r="B4193" i="5"/>
  <c r="A4193" i="5"/>
  <c r="D4192" i="5"/>
  <c r="B4192" i="5"/>
  <c r="A4192" i="5"/>
  <c r="D4191" i="5"/>
  <c r="B4191" i="5"/>
  <c r="A4191" i="5"/>
  <c r="D4190" i="5"/>
  <c r="B4190" i="5"/>
  <c r="A4190" i="5"/>
  <c r="D4189" i="5"/>
  <c r="A4189" i="5"/>
  <c r="D4188" i="5"/>
  <c r="C4188" i="5"/>
  <c r="B4188" i="5"/>
  <c r="A4188" i="5"/>
  <c r="D4187" i="5"/>
  <c r="B4187" i="5"/>
  <c r="A4187" i="5"/>
  <c r="D4186" i="5"/>
  <c r="B4186" i="5"/>
  <c r="A4186" i="5"/>
  <c r="D4185" i="5"/>
  <c r="B4185" i="5"/>
  <c r="A4185" i="5"/>
  <c r="D4184" i="5"/>
  <c r="B4184" i="5"/>
  <c r="A4184" i="5"/>
  <c r="D4183" i="5"/>
  <c r="B4183" i="5"/>
  <c r="A4183" i="5"/>
  <c r="D4182" i="5"/>
  <c r="B4182" i="5"/>
  <c r="A4182" i="5"/>
  <c r="D4181" i="5"/>
  <c r="B4181" i="5"/>
  <c r="A4181" i="5"/>
  <c r="D4180" i="5"/>
  <c r="C4180" i="5"/>
  <c r="B4180" i="5"/>
  <c r="A4180" i="5"/>
  <c r="D4179" i="5"/>
  <c r="B4179" i="5"/>
  <c r="A4179" i="5"/>
  <c r="D4178" i="5"/>
  <c r="C4178" i="5"/>
  <c r="B4178" i="5"/>
  <c r="A4178" i="5"/>
  <c r="D4177" i="5"/>
  <c r="B4177" i="5"/>
  <c r="A4177" i="5"/>
  <c r="D4176" i="5"/>
  <c r="B4176" i="5"/>
  <c r="A4176" i="5"/>
  <c r="D4175" i="5"/>
  <c r="B4175" i="5"/>
  <c r="A4175" i="5"/>
  <c r="D4174" i="5"/>
  <c r="B4174" i="5"/>
  <c r="A4174" i="5"/>
  <c r="D4173" i="5"/>
  <c r="B4173" i="5"/>
  <c r="A4173" i="5"/>
  <c r="D4172" i="5"/>
  <c r="B4172" i="5"/>
  <c r="A4172" i="5"/>
  <c r="D4171" i="5"/>
  <c r="B4171" i="5"/>
  <c r="A4171" i="5"/>
  <c r="D4170" i="5"/>
  <c r="B4170" i="5"/>
  <c r="A4170" i="5"/>
  <c r="D4169" i="5"/>
  <c r="B4169" i="5"/>
  <c r="A4169" i="5"/>
  <c r="D4168" i="5"/>
  <c r="B4168" i="5"/>
  <c r="A4168" i="5"/>
  <c r="D4167" i="5"/>
  <c r="B4167" i="5"/>
  <c r="A4167" i="5"/>
  <c r="D4166" i="5"/>
  <c r="C4166" i="5"/>
  <c r="B4166" i="5"/>
  <c r="A4166" i="5"/>
  <c r="D4165" i="5"/>
  <c r="B4165" i="5"/>
  <c r="A4165" i="5"/>
  <c r="D4164" i="5"/>
  <c r="B4164" i="5"/>
  <c r="A4164" i="5"/>
  <c r="D4163" i="5"/>
  <c r="B4163" i="5"/>
  <c r="A4163" i="5"/>
  <c r="D4162" i="5"/>
  <c r="B4162" i="5"/>
  <c r="A4162" i="5"/>
  <c r="D4161" i="5"/>
  <c r="B4161" i="5"/>
  <c r="A4161" i="5"/>
  <c r="D4160" i="5"/>
  <c r="B4160" i="5"/>
  <c r="A4160" i="5"/>
  <c r="D4159" i="5"/>
  <c r="B4159" i="5"/>
  <c r="A4159" i="5"/>
  <c r="D4158" i="5"/>
  <c r="B4158" i="5"/>
  <c r="A4158" i="5"/>
  <c r="D4157" i="5"/>
  <c r="B4157" i="5"/>
  <c r="A4157" i="5"/>
  <c r="D4156" i="5"/>
  <c r="B4156" i="5"/>
  <c r="A4156" i="5"/>
  <c r="D4155" i="5"/>
  <c r="B4155" i="5"/>
  <c r="A4155" i="5"/>
  <c r="D4154" i="5"/>
  <c r="B4154" i="5"/>
  <c r="A4154" i="5"/>
  <c r="D4153" i="5"/>
  <c r="B4153" i="5"/>
  <c r="A4153" i="5"/>
  <c r="D4152" i="5"/>
  <c r="B4152" i="5"/>
  <c r="A4152" i="5"/>
  <c r="D4151" i="5"/>
  <c r="B4151" i="5"/>
  <c r="A4151" i="5"/>
  <c r="D4150" i="5"/>
  <c r="B4150" i="5"/>
  <c r="A4150" i="5"/>
  <c r="D4149" i="5"/>
  <c r="B4149" i="5"/>
  <c r="A4149" i="5"/>
  <c r="D4148" i="5"/>
  <c r="B4148" i="5"/>
  <c r="A4148" i="5"/>
  <c r="D4147" i="5"/>
  <c r="B4147" i="5"/>
  <c r="A4147" i="5"/>
  <c r="D4146" i="5"/>
  <c r="B4146" i="5"/>
  <c r="A4146" i="5"/>
  <c r="D4145" i="5"/>
  <c r="B4145" i="5"/>
  <c r="A4145" i="5"/>
  <c r="D4144" i="5"/>
  <c r="B4144" i="5"/>
  <c r="A4144" i="5"/>
  <c r="D4143" i="5"/>
  <c r="B4143" i="5"/>
  <c r="A4143" i="5"/>
  <c r="D4142" i="5"/>
  <c r="B4142" i="5"/>
  <c r="A4142" i="5"/>
  <c r="D4141" i="5"/>
  <c r="B4141" i="5"/>
  <c r="A4141" i="5"/>
  <c r="D4140" i="5"/>
  <c r="C4140" i="5"/>
  <c r="B4140" i="5"/>
  <c r="A4140" i="5"/>
  <c r="D4139" i="5"/>
  <c r="A4139" i="5"/>
  <c r="D4138" i="5"/>
  <c r="B4138" i="5"/>
  <c r="A4138" i="5"/>
  <c r="D4137" i="5"/>
  <c r="B4137" i="5"/>
  <c r="A4137" i="5"/>
  <c r="D4136" i="5"/>
  <c r="B4136" i="5"/>
  <c r="A4136" i="5"/>
  <c r="D4135" i="5"/>
  <c r="B4135" i="5"/>
  <c r="A4135" i="5"/>
  <c r="D4134" i="5"/>
  <c r="B4134" i="5"/>
  <c r="A4134" i="5"/>
  <c r="D4133" i="5"/>
  <c r="B4133" i="5"/>
  <c r="A4133" i="5"/>
  <c r="D4132" i="5"/>
  <c r="B4132" i="5"/>
  <c r="A4132" i="5"/>
  <c r="D4131" i="5"/>
  <c r="B4131" i="5"/>
  <c r="A4131" i="5"/>
  <c r="D4130" i="5"/>
  <c r="B4130" i="5"/>
  <c r="A4130" i="5"/>
  <c r="D4129" i="5"/>
  <c r="B4129" i="5"/>
  <c r="A4129" i="5"/>
  <c r="D4128" i="5"/>
  <c r="B4128" i="5"/>
  <c r="A4128" i="5"/>
  <c r="D4127" i="5"/>
  <c r="B4127" i="5"/>
  <c r="A4127" i="5"/>
  <c r="D4126" i="5"/>
  <c r="B4126" i="5"/>
  <c r="A4126" i="5"/>
  <c r="D4125" i="5"/>
  <c r="C4125" i="5"/>
  <c r="B4125" i="5"/>
  <c r="A4125" i="5"/>
  <c r="D4124" i="5"/>
  <c r="B4124" i="5"/>
  <c r="A4124" i="5"/>
  <c r="D4123" i="5"/>
  <c r="B4123" i="5"/>
  <c r="A4123" i="5"/>
  <c r="D4122" i="5"/>
  <c r="C4122" i="5"/>
  <c r="B4122" i="5"/>
  <c r="A4122" i="5"/>
  <c r="D4121" i="5"/>
  <c r="B4121" i="5"/>
  <c r="A4121" i="5"/>
  <c r="D4120" i="5"/>
  <c r="A4120" i="5"/>
  <c r="D4119" i="5"/>
  <c r="B4119" i="5"/>
  <c r="A4119" i="5"/>
  <c r="D4118" i="5"/>
  <c r="B4118" i="5"/>
  <c r="A4118" i="5"/>
  <c r="D4117" i="5"/>
  <c r="B4117" i="5"/>
  <c r="A4117" i="5"/>
  <c r="D4116" i="5"/>
  <c r="B4116" i="5"/>
  <c r="A4116" i="5"/>
  <c r="D4115" i="5"/>
  <c r="B4115" i="5"/>
  <c r="A4115" i="5"/>
  <c r="D4114" i="5"/>
  <c r="B4114" i="5"/>
  <c r="A4114" i="5"/>
  <c r="D4113" i="5"/>
  <c r="A4113" i="5"/>
  <c r="D4112" i="5"/>
  <c r="B4112" i="5"/>
  <c r="A4112" i="5"/>
  <c r="D4111" i="5"/>
  <c r="B4111" i="5"/>
  <c r="A4111" i="5"/>
  <c r="D4110" i="5"/>
  <c r="C4110" i="5"/>
  <c r="B4110" i="5"/>
  <c r="A4110" i="5"/>
  <c r="D4109" i="5"/>
  <c r="B4109" i="5"/>
  <c r="A4109" i="5"/>
  <c r="D4108" i="5"/>
  <c r="B4108" i="5"/>
  <c r="A4108" i="5"/>
  <c r="D4107" i="5"/>
  <c r="B4107" i="5"/>
  <c r="A4107" i="5"/>
  <c r="D4106" i="5"/>
  <c r="B4106" i="5"/>
  <c r="A4106" i="5"/>
  <c r="D4105" i="5"/>
  <c r="B4105" i="5"/>
  <c r="A4105" i="5"/>
  <c r="D4104" i="5"/>
  <c r="B4104" i="5"/>
  <c r="A4104" i="5"/>
  <c r="D4103" i="5"/>
  <c r="B4103" i="5"/>
  <c r="A4103" i="5"/>
  <c r="D4102" i="5"/>
  <c r="B4102" i="5"/>
  <c r="A4102" i="5"/>
  <c r="D4101" i="5"/>
  <c r="B4101" i="5"/>
  <c r="A4101" i="5"/>
  <c r="D4100" i="5"/>
  <c r="B4100" i="5"/>
  <c r="A4100" i="5"/>
  <c r="D4099" i="5"/>
  <c r="B4099" i="5"/>
  <c r="A4099" i="5"/>
  <c r="D4098" i="5"/>
  <c r="B4098" i="5"/>
  <c r="A4098" i="5"/>
  <c r="D4097" i="5"/>
  <c r="B4097" i="5"/>
  <c r="A4097" i="5"/>
  <c r="D4096" i="5"/>
  <c r="B4096" i="5"/>
  <c r="A4096" i="5"/>
  <c r="D4095" i="5"/>
  <c r="B4095" i="5"/>
  <c r="A4095" i="5"/>
  <c r="D4094" i="5"/>
  <c r="A4094" i="5"/>
  <c r="D4093" i="5"/>
  <c r="B4093" i="5"/>
  <c r="A4093" i="5"/>
  <c r="D4092" i="5"/>
  <c r="B4092" i="5"/>
  <c r="A4092" i="5"/>
  <c r="D4091" i="5"/>
  <c r="B4091" i="5"/>
  <c r="A4091" i="5"/>
  <c r="D4090" i="5"/>
  <c r="B4090" i="5"/>
  <c r="A4090" i="5"/>
  <c r="D4089" i="5"/>
  <c r="B4089" i="5"/>
  <c r="A4089" i="5"/>
  <c r="D4088" i="5"/>
  <c r="B4088" i="5"/>
  <c r="A4088" i="5"/>
  <c r="D4087" i="5"/>
  <c r="B4087" i="5"/>
  <c r="A4087" i="5"/>
  <c r="D4086" i="5"/>
  <c r="B4086" i="5"/>
  <c r="A4086" i="5"/>
  <c r="D4085" i="5"/>
  <c r="B4085" i="5"/>
  <c r="A4085" i="5"/>
  <c r="D4084" i="5"/>
  <c r="B4084" i="5"/>
  <c r="A4084" i="5"/>
  <c r="D4083" i="5"/>
  <c r="B4083" i="5"/>
  <c r="A4083" i="5"/>
  <c r="D4082" i="5"/>
  <c r="B4082" i="5"/>
  <c r="A4082" i="5"/>
  <c r="D4081" i="5"/>
  <c r="B4081" i="5"/>
  <c r="A4081" i="5"/>
  <c r="D4080" i="5"/>
  <c r="B4080" i="5"/>
  <c r="A4080" i="5"/>
  <c r="D4079" i="5"/>
  <c r="C4079" i="5"/>
  <c r="B4079" i="5"/>
  <c r="A4079" i="5"/>
  <c r="D4078" i="5"/>
  <c r="B4078" i="5"/>
  <c r="A4078" i="5"/>
  <c r="D4077" i="5"/>
  <c r="B4077" i="5"/>
  <c r="A4077" i="5"/>
  <c r="D4076" i="5"/>
  <c r="B4076" i="5"/>
  <c r="A4076" i="5"/>
  <c r="D4075" i="5"/>
  <c r="B4075" i="5"/>
  <c r="A4075" i="5"/>
  <c r="D4074" i="5"/>
  <c r="B4074" i="5"/>
  <c r="A4074" i="5"/>
  <c r="D4073" i="5"/>
  <c r="B4073" i="5"/>
  <c r="A4073" i="5"/>
  <c r="D4072" i="5"/>
  <c r="C4072" i="5"/>
  <c r="B4072" i="5"/>
  <c r="A4072" i="5"/>
  <c r="D4071" i="5"/>
  <c r="B4071" i="5"/>
  <c r="A4071" i="5"/>
  <c r="D4070" i="5"/>
  <c r="B4070" i="5"/>
  <c r="A4070" i="5"/>
  <c r="D4069" i="5"/>
  <c r="B4069" i="5"/>
  <c r="A4069" i="5"/>
  <c r="D4068" i="5"/>
  <c r="A4068" i="5"/>
  <c r="D4067" i="5"/>
  <c r="B4067" i="5"/>
  <c r="A4067" i="5"/>
  <c r="D4066" i="5"/>
  <c r="B4066" i="5"/>
  <c r="A4066" i="5"/>
  <c r="D4065" i="5"/>
  <c r="A4065" i="5"/>
  <c r="D4064" i="5"/>
  <c r="B4064" i="5"/>
  <c r="A4064" i="5"/>
  <c r="D4063" i="5"/>
  <c r="B4063" i="5"/>
  <c r="A4063" i="5"/>
  <c r="D4062" i="5"/>
  <c r="B4062" i="5"/>
  <c r="A4062" i="5"/>
  <c r="D4061" i="5"/>
  <c r="B4061" i="5"/>
  <c r="A4061" i="5"/>
  <c r="D4060" i="5"/>
  <c r="B4060" i="5"/>
  <c r="A4060" i="5"/>
  <c r="D4059" i="5"/>
  <c r="B4059" i="5"/>
  <c r="A4059" i="5"/>
  <c r="D4058" i="5"/>
  <c r="B4058" i="5"/>
  <c r="A4058" i="5"/>
  <c r="D4057" i="5"/>
  <c r="B4057" i="5"/>
  <c r="A4057" i="5"/>
  <c r="D4056" i="5"/>
  <c r="B4056" i="5"/>
  <c r="A4056" i="5"/>
  <c r="D4055" i="5"/>
  <c r="B4055" i="5"/>
  <c r="A4055" i="5"/>
  <c r="D4054" i="5"/>
  <c r="B4054" i="5"/>
  <c r="A4054" i="5"/>
  <c r="D4053" i="5"/>
  <c r="B4053" i="5"/>
  <c r="A4053" i="5"/>
  <c r="D4052" i="5"/>
  <c r="B4052" i="5"/>
  <c r="A4052" i="5"/>
  <c r="D4051" i="5"/>
  <c r="B4051" i="5"/>
  <c r="A4051" i="5"/>
  <c r="D4050" i="5"/>
  <c r="B4050" i="5"/>
  <c r="A4050" i="5"/>
  <c r="D4049" i="5"/>
  <c r="B4049" i="5"/>
  <c r="A4049" i="5"/>
  <c r="D4048" i="5"/>
  <c r="B4048" i="5"/>
  <c r="A4048" i="5"/>
  <c r="D4047" i="5"/>
  <c r="B4047" i="5"/>
  <c r="A4047" i="5"/>
  <c r="D4046" i="5"/>
  <c r="B4046" i="5"/>
  <c r="A4046" i="5"/>
  <c r="D4045" i="5"/>
  <c r="B4045" i="5"/>
  <c r="A4045" i="5"/>
  <c r="D4044" i="5"/>
  <c r="B4044" i="5"/>
  <c r="A4044" i="5"/>
  <c r="D4043" i="5"/>
  <c r="A4043" i="5"/>
  <c r="D4042" i="5"/>
  <c r="C4042" i="5"/>
  <c r="B4042" i="5"/>
  <c r="A4042" i="5"/>
  <c r="D4041" i="5"/>
  <c r="B4041" i="5"/>
  <c r="A4041" i="5"/>
  <c r="D4040" i="5"/>
  <c r="A4040" i="5"/>
  <c r="D4039" i="5"/>
  <c r="B4039" i="5"/>
  <c r="A4039" i="5"/>
  <c r="D4038" i="5"/>
  <c r="A4038" i="5"/>
  <c r="D4037" i="5"/>
  <c r="B4037" i="5"/>
  <c r="A4037" i="5"/>
  <c r="D4036" i="5"/>
  <c r="B4036" i="5"/>
  <c r="A4036" i="5"/>
  <c r="D4035" i="5"/>
  <c r="B4035" i="5"/>
  <c r="A4035" i="5"/>
  <c r="D4034" i="5"/>
  <c r="B4034" i="5"/>
  <c r="A4034" i="5"/>
  <c r="D4033" i="5"/>
  <c r="B4033" i="5"/>
  <c r="A4033" i="5"/>
  <c r="D4032" i="5"/>
  <c r="B4032" i="5"/>
  <c r="A4032" i="5"/>
  <c r="D4031" i="5"/>
  <c r="B4031" i="5"/>
  <c r="A4031" i="5"/>
  <c r="D4030" i="5"/>
  <c r="B4030" i="5"/>
  <c r="A4030" i="5"/>
  <c r="D4029" i="5"/>
  <c r="B4029" i="5"/>
  <c r="A4029" i="5"/>
  <c r="D4028" i="5"/>
  <c r="B4028" i="5"/>
  <c r="A4028" i="5"/>
  <c r="D4027" i="5"/>
  <c r="B4027" i="5"/>
  <c r="A4027" i="5"/>
  <c r="D4026" i="5"/>
  <c r="B4026" i="5"/>
  <c r="A4026" i="5"/>
  <c r="D4025" i="5"/>
  <c r="B4025" i="5"/>
  <c r="A4025" i="5"/>
  <c r="D4024" i="5"/>
  <c r="B4024" i="5"/>
  <c r="A4024" i="5"/>
  <c r="D4023" i="5"/>
  <c r="B4023" i="5"/>
  <c r="A4023" i="5"/>
  <c r="D4022" i="5"/>
  <c r="C4022" i="5"/>
  <c r="B4022" i="5"/>
  <c r="A4022" i="5"/>
  <c r="D4021" i="5"/>
  <c r="B4021" i="5"/>
  <c r="A4021" i="5"/>
  <c r="D4020" i="5"/>
  <c r="B4020" i="5"/>
  <c r="A4020" i="5"/>
  <c r="D4019" i="5"/>
  <c r="B4019" i="5"/>
  <c r="A4019" i="5"/>
  <c r="D4018" i="5"/>
  <c r="B4018" i="5"/>
  <c r="A4018" i="5"/>
  <c r="D4017" i="5"/>
  <c r="B4017" i="5"/>
  <c r="A4017" i="5"/>
  <c r="D4016" i="5"/>
  <c r="B4016" i="5"/>
  <c r="A4016" i="5"/>
  <c r="D4015" i="5"/>
  <c r="B4015" i="5"/>
  <c r="A4015" i="5"/>
  <c r="D4014" i="5"/>
  <c r="B4014" i="5"/>
  <c r="A4014" i="5"/>
  <c r="D4013" i="5"/>
  <c r="B4013" i="5"/>
  <c r="A4013" i="5"/>
  <c r="D4012" i="5"/>
  <c r="B4012" i="5"/>
  <c r="A4012" i="5"/>
  <c r="D4011" i="5"/>
  <c r="B4011" i="5"/>
  <c r="A4011" i="5"/>
  <c r="D4010" i="5"/>
  <c r="B4010" i="5"/>
  <c r="A4010" i="5"/>
  <c r="D4009" i="5"/>
  <c r="B4009" i="5"/>
  <c r="A4009" i="5"/>
  <c r="D4008" i="5"/>
  <c r="A4008" i="5"/>
  <c r="D4007" i="5"/>
  <c r="B4007" i="5"/>
  <c r="A4007" i="5"/>
  <c r="D4006" i="5"/>
  <c r="B4006" i="5"/>
  <c r="A4006" i="5"/>
  <c r="D4005" i="5"/>
  <c r="B4005" i="5"/>
  <c r="A4005" i="5"/>
  <c r="D4004" i="5"/>
  <c r="B4004" i="5"/>
  <c r="A4004" i="5"/>
  <c r="D4003" i="5"/>
  <c r="B4003" i="5"/>
  <c r="A4003" i="5"/>
  <c r="D4002" i="5"/>
  <c r="A4002" i="5"/>
  <c r="D4001" i="5"/>
  <c r="C4001" i="5"/>
  <c r="B4001" i="5"/>
  <c r="A4001" i="5"/>
  <c r="D4000" i="5"/>
  <c r="B4000" i="5"/>
  <c r="A4000" i="5"/>
  <c r="D3999" i="5"/>
  <c r="B3999" i="5"/>
  <c r="A3999" i="5"/>
  <c r="D3998" i="5"/>
  <c r="B3998" i="5"/>
  <c r="A3998" i="5"/>
  <c r="D3997" i="5"/>
  <c r="C3997" i="5"/>
  <c r="B3997" i="5"/>
  <c r="A3997" i="5"/>
  <c r="D3996" i="5"/>
  <c r="C3996" i="5"/>
  <c r="B3996" i="5"/>
  <c r="A3996" i="5"/>
  <c r="D3995" i="5"/>
  <c r="B3995" i="5"/>
  <c r="A3995" i="5"/>
  <c r="D3994" i="5"/>
  <c r="B3994" i="5"/>
  <c r="A3994" i="5"/>
  <c r="D3993" i="5"/>
  <c r="B3993" i="5"/>
  <c r="A3993" i="5"/>
  <c r="D3992" i="5"/>
  <c r="B3992" i="5"/>
  <c r="A3992" i="5"/>
  <c r="D3991" i="5"/>
  <c r="B3991" i="5"/>
  <c r="A3991" i="5"/>
  <c r="D3990" i="5"/>
  <c r="B3990" i="5"/>
  <c r="A3990" i="5"/>
  <c r="D3989" i="5"/>
  <c r="B3989" i="5"/>
  <c r="A3989" i="5"/>
  <c r="D3988" i="5"/>
  <c r="B3988" i="5"/>
  <c r="A3988" i="5"/>
  <c r="D3987" i="5"/>
  <c r="B3987" i="5"/>
  <c r="A3987" i="5"/>
  <c r="D3986" i="5"/>
  <c r="B3986" i="5"/>
  <c r="A3986" i="5"/>
  <c r="D3985" i="5"/>
  <c r="B3985" i="5"/>
  <c r="A3985" i="5"/>
  <c r="D3984" i="5"/>
  <c r="B3984" i="5"/>
  <c r="A3984" i="5"/>
  <c r="D3983" i="5"/>
  <c r="C3983" i="5"/>
  <c r="B3983" i="5"/>
  <c r="A3983" i="5"/>
  <c r="D3982" i="5"/>
  <c r="B3982" i="5"/>
  <c r="A3982" i="5"/>
  <c r="D3981" i="5"/>
  <c r="A3981" i="5"/>
  <c r="D3980" i="5"/>
  <c r="C3980" i="5"/>
  <c r="B3980" i="5"/>
  <c r="A3980" i="5"/>
  <c r="D3979" i="5"/>
  <c r="A3979" i="5"/>
  <c r="D3978" i="5"/>
  <c r="B3978" i="5"/>
  <c r="A3978" i="5"/>
  <c r="D3977" i="5"/>
  <c r="B3977" i="5"/>
  <c r="A3977" i="5"/>
  <c r="D3976" i="5"/>
  <c r="B3976" i="5"/>
  <c r="A3976" i="5"/>
  <c r="D3975" i="5"/>
  <c r="B3975" i="5"/>
  <c r="A3975" i="5"/>
  <c r="D3974" i="5"/>
  <c r="B3974" i="5"/>
  <c r="A3974" i="5"/>
  <c r="D3973" i="5"/>
  <c r="B3973" i="5"/>
  <c r="A3973" i="5"/>
  <c r="D3972" i="5"/>
  <c r="B3972" i="5"/>
  <c r="A3972" i="5"/>
  <c r="D3971" i="5"/>
  <c r="B3971" i="5"/>
  <c r="A3971" i="5"/>
  <c r="D3970" i="5"/>
  <c r="B3970" i="5"/>
  <c r="A3970" i="5"/>
  <c r="D3969" i="5"/>
  <c r="B3969" i="5"/>
  <c r="A3969" i="5"/>
  <c r="D3968" i="5"/>
  <c r="B3968" i="5"/>
  <c r="A3968" i="5"/>
  <c r="D3967" i="5"/>
  <c r="B3967" i="5"/>
  <c r="A3967" i="5"/>
  <c r="D3966" i="5"/>
  <c r="B3966" i="5"/>
  <c r="A3966" i="5"/>
  <c r="D3965" i="5"/>
  <c r="B3965" i="5"/>
  <c r="A3965" i="5"/>
  <c r="D3964" i="5"/>
  <c r="B3964" i="5"/>
  <c r="A3964" i="5"/>
  <c r="D3963" i="5"/>
  <c r="B3963" i="5"/>
  <c r="A3963" i="5"/>
  <c r="D3962" i="5"/>
  <c r="B3962" i="5"/>
  <c r="A3962" i="5"/>
  <c r="D3961" i="5"/>
  <c r="B3961" i="5"/>
  <c r="A3961" i="5"/>
  <c r="D3960" i="5"/>
  <c r="B3960" i="5"/>
  <c r="A3960" i="5"/>
  <c r="D3959" i="5"/>
  <c r="B3959" i="5"/>
  <c r="A3959" i="5"/>
  <c r="D3958" i="5"/>
  <c r="B3958" i="5"/>
  <c r="A3958" i="5"/>
  <c r="D3957" i="5"/>
  <c r="B3957" i="5"/>
  <c r="A3957" i="5"/>
  <c r="D3956" i="5"/>
  <c r="B3956" i="5"/>
  <c r="A3956" i="5"/>
  <c r="D3955" i="5"/>
  <c r="B3955" i="5"/>
  <c r="A3955" i="5"/>
  <c r="D3954" i="5"/>
  <c r="C3954" i="5"/>
  <c r="B3954" i="5"/>
  <c r="A3954" i="5"/>
  <c r="D3953" i="5"/>
  <c r="A3953" i="5"/>
  <c r="D3952" i="5"/>
  <c r="B3952" i="5"/>
  <c r="A3952" i="5"/>
  <c r="D3951" i="5"/>
  <c r="B3951" i="5"/>
  <c r="A3951" i="5"/>
  <c r="D3950" i="5"/>
  <c r="B3950" i="5"/>
  <c r="A3950" i="5"/>
  <c r="D3949" i="5"/>
  <c r="B3949" i="5"/>
  <c r="A3949" i="5"/>
  <c r="D3948" i="5"/>
  <c r="B3948" i="5"/>
  <c r="A3948" i="5"/>
  <c r="D3947" i="5"/>
  <c r="B3947" i="5"/>
  <c r="A3947" i="5"/>
  <c r="D3946" i="5"/>
  <c r="B3946" i="5"/>
  <c r="A3946" i="5"/>
  <c r="D3945" i="5"/>
  <c r="B3945" i="5"/>
  <c r="A3945" i="5"/>
  <c r="D3944" i="5"/>
  <c r="B3944" i="5"/>
  <c r="A3944" i="5"/>
  <c r="D3943" i="5"/>
  <c r="B3943" i="5"/>
  <c r="A3943" i="5"/>
  <c r="D3942" i="5"/>
  <c r="B3942" i="5"/>
  <c r="A3942" i="5"/>
  <c r="D3941" i="5"/>
  <c r="A3941" i="5"/>
  <c r="D3940" i="5"/>
  <c r="B3940" i="5"/>
  <c r="A3940" i="5"/>
  <c r="D3939" i="5"/>
  <c r="A3939" i="5"/>
  <c r="D3938" i="5"/>
  <c r="B3938" i="5"/>
  <c r="A3938" i="5"/>
  <c r="D3937" i="5"/>
  <c r="B3937" i="5"/>
  <c r="A3937" i="5"/>
  <c r="D3936" i="5"/>
  <c r="A3936" i="5"/>
  <c r="D3935" i="5"/>
  <c r="B3935" i="5"/>
  <c r="A3935" i="5"/>
  <c r="D3934" i="5"/>
  <c r="B3934" i="5"/>
  <c r="A3934" i="5"/>
  <c r="D3933" i="5"/>
  <c r="B3933" i="5"/>
  <c r="A3933" i="5"/>
  <c r="D3932" i="5"/>
  <c r="B3932" i="5"/>
  <c r="A3932" i="5"/>
  <c r="D3931" i="5"/>
  <c r="B3931" i="5"/>
  <c r="A3931" i="5"/>
  <c r="D3930" i="5"/>
  <c r="B3930" i="5"/>
  <c r="A3930" i="5"/>
  <c r="D3929" i="5"/>
  <c r="B3929" i="5"/>
  <c r="A3929" i="5"/>
  <c r="D3928" i="5"/>
  <c r="B3928" i="5"/>
  <c r="A3928" i="5"/>
  <c r="D3927" i="5"/>
  <c r="B3927" i="5"/>
  <c r="A3927" i="5"/>
  <c r="D3926" i="5"/>
  <c r="A3926" i="5"/>
  <c r="D3925" i="5"/>
  <c r="B3925" i="5"/>
  <c r="A3925" i="5"/>
  <c r="D3924" i="5"/>
  <c r="B3924" i="5"/>
  <c r="A3924" i="5"/>
  <c r="D3923" i="5"/>
  <c r="A3923" i="5"/>
  <c r="D3922" i="5"/>
  <c r="B3922" i="5"/>
  <c r="A3922" i="5"/>
  <c r="D3921" i="5"/>
  <c r="B3921" i="5"/>
  <c r="A3921" i="5"/>
  <c r="D3920" i="5"/>
  <c r="B3920" i="5"/>
  <c r="A3920" i="5"/>
  <c r="D3919" i="5"/>
  <c r="B3919" i="5"/>
  <c r="A3919" i="5"/>
  <c r="D3918" i="5"/>
  <c r="B3918" i="5"/>
  <c r="A3918" i="5"/>
  <c r="D3917" i="5"/>
  <c r="B3917" i="5"/>
  <c r="A3917" i="5"/>
  <c r="D3916" i="5"/>
  <c r="B3916" i="5"/>
  <c r="A3916" i="5"/>
  <c r="D3915" i="5"/>
  <c r="B3915" i="5"/>
  <c r="A3915" i="5"/>
  <c r="D3914" i="5"/>
  <c r="B3914" i="5"/>
  <c r="A3914" i="5"/>
  <c r="D3913" i="5"/>
  <c r="B3913" i="5"/>
  <c r="A3913" i="5"/>
  <c r="D3912" i="5"/>
  <c r="B3912" i="5"/>
  <c r="A3912" i="5"/>
  <c r="D3911" i="5"/>
  <c r="B3911" i="5"/>
  <c r="A3911" i="5"/>
  <c r="D3910" i="5"/>
  <c r="B3910" i="5"/>
  <c r="A3910" i="5"/>
  <c r="D3909" i="5"/>
  <c r="B3909" i="5"/>
  <c r="A3909" i="5"/>
  <c r="D3908" i="5"/>
  <c r="B3908" i="5"/>
  <c r="A3908" i="5"/>
  <c r="D3907" i="5"/>
  <c r="B3907" i="5"/>
  <c r="A3907" i="5"/>
  <c r="D3906" i="5"/>
  <c r="B3906" i="5"/>
  <c r="A3906" i="5"/>
  <c r="D3905" i="5"/>
  <c r="B3905" i="5"/>
  <c r="A3905" i="5"/>
  <c r="D3904" i="5"/>
  <c r="B3904" i="5"/>
  <c r="A3904" i="5"/>
  <c r="D3903" i="5"/>
  <c r="B3903" i="5"/>
  <c r="A3903" i="5"/>
  <c r="D3902" i="5"/>
  <c r="B3902" i="5"/>
  <c r="A3902" i="5"/>
  <c r="D3901" i="5"/>
  <c r="A3901" i="5"/>
  <c r="D3900" i="5"/>
  <c r="B3900" i="5"/>
  <c r="A3900" i="5"/>
  <c r="D3899" i="5"/>
  <c r="A3899" i="5"/>
  <c r="D3898" i="5"/>
  <c r="B3898" i="5"/>
  <c r="A3898" i="5"/>
  <c r="D3897" i="5"/>
  <c r="B3897" i="5"/>
  <c r="A3897" i="5"/>
  <c r="D3896" i="5"/>
  <c r="B3896" i="5"/>
  <c r="A3896" i="5"/>
  <c r="D3895" i="5"/>
  <c r="B3895" i="5"/>
  <c r="A3895" i="5"/>
  <c r="D3894" i="5"/>
  <c r="B3894" i="5"/>
  <c r="A3894" i="5"/>
  <c r="D3893" i="5"/>
  <c r="B3893" i="5"/>
  <c r="A3893" i="5"/>
  <c r="D3892" i="5"/>
  <c r="B3892" i="5"/>
  <c r="A3892" i="5"/>
  <c r="D3891" i="5"/>
  <c r="B3891" i="5"/>
  <c r="A3891" i="5"/>
  <c r="D3890" i="5"/>
  <c r="B3890" i="5"/>
  <c r="A3890" i="5"/>
  <c r="D3889" i="5"/>
  <c r="B3889" i="5"/>
  <c r="A3889" i="5"/>
  <c r="D3888" i="5"/>
  <c r="B3888" i="5"/>
  <c r="A3888" i="5"/>
  <c r="D3887" i="5"/>
  <c r="B3887" i="5"/>
  <c r="A3887" i="5"/>
  <c r="D3886" i="5"/>
  <c r="B3886" i="5"/>
  <c r="A3886" i="5"/>
  <c r="D3885" i="5"/>
  <c r="B3885" i="5"/>
  <c r="A3885" i="5"/>
  <c r="D3884" i="5"/>
  <c r="B3884" i="5"/>
  <c r="A3884" i="5"/>
  <c r="D3883" i="5"/>
  <c r="B3883" i="5"/>
  <c r="A3883" i="5"/>
  <c r="D3882" i="5"/>
  <c r="B3882" i="5"/>
  <c r="A3882" i="5"/>
  <c r="D3881" i="5"/>
  <c r="B3881" i="5"/>
  <c r="A3881" i="5"/>
  <c r="D3880" i="5"/>
  <c r="A3880" i="5"/>
  <c r="D3879" i="5"/>
  <c r="B3879" i="5"/>
  <c r="A3879" i="5"/>
  <c r="D3878" i="5"/>
  <c r="B3878" i="5"/>
  <c r="A3878" i="5"/>
  <c r="D3877" i="5"/>
  <c r="B3877" i="5"/>
  <c r="A3877" i="5"/>
  <c r="D3876" i="5"/>
  <c r="B3876" i="5"/>
  <c r="A3876" i="5"/>
  <c r="D3875" i="5"/>
  <c r="B3875" i="5"/>
  <c r="A3875" i="5"/>
  <c r="D3874" i="5"/>
  <c r="B3874" i="5"/>
  <c r="A3874" i="5"/>
  <c r="D3873" i="5"/>
  <c r="A3873" i="5"/>
  <c r="D3872" i="5"/>
  <c r="B3872" i="5"/>
  <c r="A3872" i="5"/>
  <c r="D3871" i="5"/>
  <c r="B3871" i="5"/>
  <c r="A3871" i="5"/>
  <c r="D3870" i="5"/>
  <c r="B3870" i="5"/>
  <c r="A3870" i="5"/>
  <c r="D3869" i="5"/>
  <c r="B3869" i="5"/>
  <c r="A3869" i="5"/>
  <c r="D3868" i="5"/>
  <c r="B3868" i="5"/>
  <c r="A3868" i="5"/>
  <c r="D3867" i="5"/>
  <c r="B3867" i="5"/>
  <c r="A3867" i="5"/>
  <c r="D3866" i="5"/>
  <c r="B3866" i="5"/>
  <c r="A3866" i="5"/>
  <c r="D3865" i="5"/>
  <c r="B3865" i="5"/>
  <c r="A3865" i="5"/>
  <c r="D3864" i="5"/>
  <c r="A3864" i="5"/>
  <c r="D3863" i="5"/>
  <c r="A3863" i="5"/>
  <c r="D3862" i="5"/>
  <c r="A3862" i="5"/>
  <c r="D3861" i="5"/>
  <c r="A3861" i="5"/>
  <c r="D3860" i="5"/>
  <c r="B3860" i="5"/>
  <c r="A3860" i="5"/>
  <c r="D3859" i="5"/>
  <c r="B3859" i="5"/>
  <c r="A3859" i="5"/>
  <c r="D3858" i="5"/>
  <c r="B3858" i="5"/>
  <c r="A3858" i="5"/>
  <c r="D3857" i="5"/>
  <c r="B3857" i="5"/>
  <c r="A3857" i="5"/>
  <c r="D3856" i="5"/>
  <c r="A3856" i="5"/>
  <c r="D3855" i="5"/>
  <c r="A3855" i="5"/>
  <c r="D3854" i="5"/>
  <c r="C3854" i="5"/>
  <c r="B3854" i="5"/>
  <c r="A3854" i="5"/>
  <c r="D3853" i="5"/>
  <c r="B3853" i="5"/>
  <c r="A3853" i="5"/>
  <c r="D3852" i="5"/>
  <c r="B3852" i="5"/>
  <c r="A3852" i="5"/>
  <c r="D3851" i="5"/>
  <c r="B3851" i="5"/>
  <c r="A3851" i="5"/>
  <c r="D3850" i="5"/>
  <c r="C3850" i="5"/>
  <c r="B3850" i="5"/>
  <c r="A3850" i="5"/>
  <c r="D3849" i="5"/>
  <c r="A3849" i="5"/>
  <c r="D3848" i="5"/>
  <c r="B3848" i="5"/>
  <c r="A3848" i="5"/>
  <c r="D3847" i="5"/>
  <c r="B3847" i="5"/>
  <c r="A3847" i="5"/>
  <c r="D3846" i="5"/>
  <c r="B3846" i="5"/>
  <c r="A3846" i="5"/>
  <c r="D3845" i="5"/>
  <c r="B3845" i="5"/>
  <c r="A3845" i="5"/>
  <c r="D3844" i="5"/>
  <c r="B3844" i="5"/>
  <c r="A3844" i="5"/>
  <c r="D3843" i="5"/>
  <c r="A3843" i="5"/>
  <c r="D3842" i="5"/>
  <c r="A3842" i="5"/>
  <c r="D3841" i="5"/>
  <c r="C3841" i="5"/>
  <c r="B3841" i="5"/>
  <c r="A3841" i="5"/>
  <c r="D3840" i="5"/>
  <c r="B3840" i="5"/>
  <c r="A3840" i="5"/>
  <c r="D3839" i="5"/>
  <c r="A3839" i="5"/>
  <c r="D3838" i="5"/>
  <c r="B3838" i="5"/>
  <c r="A3838" i="5"/>
  <c r="D3837" i="5"/>
  <c r="B3837" i="5"/>
  <c r="A3837" i="5"/>
  <c r="D3836" i="5"/>
  <c r="A3836" i="5"/>
  <c r="D3835" i="5"/>
  <c r="B3835" i="5"/>
  <c r="A3835" i="5"/>
  <c r="D3834" i="5"/>
  <c r="B3834" i="5"/>
  <c r="A3834" i="5"/>
  <c r="D3833" i="5"/>
  <c r="A3833" i="5"/>
  <c r="D3832" i="5"/>
  <c r="B3832" i="5"/>
  <c r="A3832" i="5"/>
  <c r="D3831" i="5"/>
  <c r="B3831" i="5"/>
  <c r="A3831" i="5"/>
  <c r="D3830" i="5"/>
  <c r="B3830" i="5"/>
  <c r="A3830" i="5"/>
  <c r="D3829" i="5"/>
  <c r="B3829" i="5"/>
  <c r="A3829" i="5"/>
  <c r="D3828" i="5"/>
  <c r="B3828" i="5"/>
  <c r="A3828" i="5"/>
  <c r="D3827" i="5"/>
  <c r="B3827" i="5"/>
  <c r="A3827" i="5"/>
  <c r="D3826" i="5"/>
  <c r="A3826" i="5"/>
  <c r="D3825" i="5"/>
  <c r="A3825" i="5"/>
  <c r="D3824" i="5"/>
  <c r="A3824" i="5"/>
  <c r="D3823" i="5"/>
  <c r="B3823" i="5"/>
  <c r="A3823" i="5"/>
  <c r="D3822" i="5"/>
  <c r="A3822" i="5"/>
  <c r="D3821" i="5"/>
  <c r="B3821" i="5"/>
  <c r="A3821" i="5"/>
  <c r="D3820" i="5"/>
  <c r="C3820" i="5"/>
  <c r="B3820" i="5"/>
  <c r="A3820" i="5"/>
  <c r="D3819" i="5"/>
  <c r="B3819" i="5"/>
  <c r="A3819" i="5"/>
  <c r="D3818" i="5"/>
  <c r="A3818" i="5"/>
  <c r="D3817" i="5"/>
  <c r="A3817" i="5"/>
  <c r="D3816" i="5"/>
  <c r="A3816" i="5"/>
  <c r="D3815" i="5"/>
  <c r="B3815" i="5"/>
  <c r="A3815" i="5"/>
  <c r="D3814" i="5"/>
  <c r="A3814" i="5"/>
  <c r="D3813" i="5"/>
  <c r="B3813" i="5"/>
  <c r="A3813" i="5"/>
  <c r="D3812" i="5"/>
  <c r="B3812" i="5"/>
  <c r="A3812" i="5"/>
  <c r="D3811" i="5"/>
  <c r="B3811" i="5"/>
  <c r="A3811" i="5"/>
  <c r="D3810" i="5"/>
  <c r="B3810" i="5"/>
  <c r="A3810" i="5"/>
  <c r="D3809" i="5"/>
  <c r="B3809" i="5"/>
  <c r="A3809" i="5"/>
  <c r="D3808" i="5"/>
  <c r="C3808" i="5"/>
  <c r="B3808" i="5"/>
  <c r="A3808" i="5"/>
  <c r="D3807" i="5"/>
  <c r="B3807" i="5"/>
  <c r="A3807" i="5"/>
  <c r="D3806" i="5"/>
  <c r="B3806" i="5"/>
  <c r="A3806" i="5"/>
  <c r="D3805" i="5"/>
  <c r="B3805" i="5"/>
  <c r="A3805" i="5"/>
  <c r="D3804" i="5"/>
  <c r="B3804" i="5"/>
  <c r="A3804" i="5"/>
  <c r="D3803" i="5"/>
  <c r="B3803" i="5"/>
  <c r="A3803" i="5"/>
  <c r="D3802" i="5"/>
  <c r="B3802" i="5"/>
  <c r="A3802" i="5"/>
  <c r="D3801" i="5"/>
  <c r="B3801" i="5"/>
  <c r="A3801" i="5"/>
  <c r="D3800" i="5"/>
  <c r="B3800" i="5"/>
  <c r="A3800" i="5"/>
  <c r="D3799" i="5"/>
  <c r="B3799" i="5"/>
  <c r="A3799" i="5"/>
  <c r="D3798" i="5"/>
  <c r="A3798" i="5"/>
  <c r="D3797" i="5"/>
  <c r="B3797" i="5"/>
  <c r="A3797" i="5"/>
  <c r="D3796" i="5"/>
  <c r="B3796" i="5"/>
  <c r="A3796" i="5"/>
  <c r="D3795" i="5"/>
  <c r="B3795" i="5"/>
  <c r="A3795" i="5"/>
  <c r="D3794" i="5"/>
  <c r="B3794" i="5"/>
  <c r="A3794" i="5"/>
  <c r="D3793" i="5"/>
  <c r="B3793" i="5"/>
  <c r="A3793" i="5"/>
  <c r="D3792" i="5"/>
  <c r="B3792" i="5"/>
  <c r="A3792" i="5"/>
  <c r="D3791" i="5"/>
  <c r="B3791" i="5"/>
  <c r="A3791" i="5"/>
  <c r="D3790" i="5"/>
  <c r="B3790" i="5"/>
  <c r="A3790" i="5"/>
  <c r="D3789" i="5"/>
  <c r="B3789" i="5"/>
  <c r="A3789" i="5"/>
  <c r="D3788" i="5"/>
  <c r="A3788" i="5"/>
  <c r="D3787" i="5"/>
  <c r="B3787" i="5"/>
  <c r="A3787" i="5"/>
  <c r="D3786" i="5"/>
  <c r="B3786" i="5"/>
  <c r="A3786" i="5"/>
  <c r="D3785" i="5"/>
  <c r="A3785" i="5"/>
  <c r="D3784" i="5"/>
  <c r="A3784" i="5"/>
  <c r="D3783" i="5"/>
  <c r="B3783" i="5"/>
  <c r="A3783" i="5"/>
  <c r="D3782" i="5"/>
  <c r="A3782" i="5"/>
  <c r="D3781" i="5"/>
  <c r="B3781" i="5"/>
  <c r="A3781" i="5"/>
  <c r="D3780" i="5"/>
  <c r="B3780" i="5"/>
  <c r="A3780" i="5"/>
  <c r="D3779" i="5"/>
  <c r="A3779" i="5"/>
  <c r="D3778" i="5"/>
  <c r="A3778" i="5"/>
  <c r="D3777" i="5"/>
  <c r="B3777" i="5"/>
  <c r="A3777" i="5"/>
  <c r="D3776" i="5"/>
  <c r="B3776" i="5"/>
  <c r="A3776" i="5"/>
  <c r="D3775" i="5"/>
  <c r="B3775" i="5"/>
  <c r="A3775" i="5"/>
  <c r="D3774" i="5"/>
  <c r="B3774" i="5"/>
  <c r="A3774" i="5"/>
  <c r="D3773" i="5"/>
  <c r="B3773" i="5"/>
  <c r="A3773" i="5"/>
  <c r="D3772" i="5"/>
  <c r="A3772" i="5"/>
  <c r="D3771" i="5"/>
  <c r="C3771" i="5"/>
  <c r="B3771" i="5"/>
  <c r="A3771" i="5"/>
  <c r="D3770" i="5"/>
  <c r="C3770" i="5"/>
  <c r="B3770" i="5"/>
  <c r="A3770" i="5"/>
  <c r="D3769" i="5"/>
  <c r="A3769" i="5"/>
  <c r="D3768" i="5"/>
  <c r="B3768" i="5"/>
  <c r="A3768" i="5"/>
  <c r="D3767" i="5"/>
  <c r="B3767" i="5"/>
  <c r="A3767" i="5"/>
  <c r="D3766" i="5"/>
  <c r="B3766" i="5"/>
  <c r="A3766" i="5"/>
  <c r="D3765" i="5"/>
  <c r="B3765" i="5"/>
  <c r="A3765" i="5"/>
  <c r="D3764" i="5"/>
  <c r="B3764" i="5"/>
  <c r="A3764" i="5"/>
  <c r="D3763" i="5"/>
  <c r="B3763" i="5"/>
  <c r="A3763" i="5"/>
  <c r="D3762" i="5"/>
  <c r="B3762" i="5"/>
  <c r="A3762" i="5"/>
  <c r="D3761" i="5"/>
  <c r="B3761" i="5"/>
  <c r="A3761" i="5"/>
  <c r="D3760" i="5"/>
  <c r="B3760" i="5"/>
  <c r="A3760" i="5"/>
  <c r="D3759" i="5"/>
  <c r="B3759" i="5"/>
  <c r="A3759" i="5"/>
  <c r="D3758" i="5"/>
  <c r="B3758" i="5"/>
  <c r="A3758" i="5"/>
  <c r="D3757" i="5"/>
  <c r="B3757" i="5"/>
  <c r="A3757" i="5"/>
  <c r="D3756" i="5"/>
  <c r="A3756" i="5"/>
  <c r="D3755" i="5"/>
  <c r="B3755" i="5"/>
  <c r="A3755" i="5"/>
  <c r="D3754" i="5"/>
  <c r="B3754" i="5"/>
  <c r="A3754" i="5"/>
  <c r="D3753" i="5"/>
  <c r="A3753" i="5"/>
  <c r="D3752" i="5"/>
  <c r="B3752" i="5"/>
  <c r="A3752" i="5"/>
  <c r="D3751" i="5"/>
  <c r="B3751" i="5"/>
  <c r="A3751" i="5"/>
  <c r="D3750" i="5"/>
  <c r="B3750" i="5"/>
  <c r="A3750" i="5"/>
  <c r="D3749" i="5"/>
  <c r="B3749" i="5"/>
  <c r="A3749" i="5"/>
  <c r="D3748" i="5"/>
  <c r="B3748" i="5"/>
  <c r="A3748" i="5"/>
  <c r="D3747" i="5"/>
  <c r="B3747" i="5"/>
  <c r="A3747" i="5"/>
  <c r="D3746" i="5"/>
  <c r="A3746" i="5"/>
  <c r="D3745" i="5"/>
  <c r="B3745" i="5"/>
  <c r="A3745" i="5"/>
  <c r="D3744" i="5"/>
  <c r="B3744" i="5"/>
  <c r="A3744" i="5"/>
  <c r="D3743" i="5"/>
  <c r="B3743" i="5"/>
  <c r="A3743" i="5"/>
  <c r="D3742" i="5"/>
  <c r="B3742" i="5"/>
  <c r="A3742" i="5"/>
  <c r="D3741" i="5"/>
  <c r="B3741" i="5"/>
  <c r="A3741" i="5"/>
  <c r="D3740" i="5"/>
  <c r="B3740" i="5"/>
  <c r="A3740" i="5"/>
  <c r="D3739" i="5"/>
  <c r="B3739" i="5"/>
  <c r="A3739" i="5"/>
  <c r="D3738" i="5"/>
  <c r="B3738" i="5"/>
  <c r="A3738" i="5"/>
  <c r="D3737" i="5"/>
  <c r="B3737" i="5"/>
  <c r="A3737" i="5"/>
  <c r="D3736" i="5"/>
  <c r="C3736" i="5"/>
  <c r="B3736" i="5"/>
  <c r="A3736" i="5"/>
  <c r="D3735" i="5"/>
  <c r="B3735" i="5"/>
  <c r="A3735" i="5"/>
  <c r="D3734" i="5"/>
  <c r="B3734" i="5"/>
  <c r="A3734" i="5"/>
  <c r="D3733" i="5"/>
  <c r="B3733" i="5"/>
  <c r="A3733" i="5"/>
  <c r="D3732" i="5"/>
  <c r="B3732" i="5"/>
  <c r="A3732" i="5"/>
  <c r="D3731" i="5"/>
  <c r="B3731" i="5"/>
  <c r="A3731" i="5"/>
  <c r="D3730" i="5"/>
  <c r="B3730" i="5"/>
  <c r="A3730" i="5"/>
  <c r="D3729" i="5"/>
  <c r="B3729" i="5"/>
  <c r="A3729" i="5"/>
  <c r="D3728" i="5"/>
  <c r="C3728" i="5"/>
  <c r="B3728" i="5"/>
  <c r="A3728" i="5"/>
  <c r="D3727" i="5"/>
  <c r="B3727" i="5"/>
  <c r="A3727" i="5"/>
  <c r="D3726" i="5"/>
  <c r="A3726" i="5"/>
  <c r="D3725" i="5"/>
  <c r="A3725" i="5"/>
  <c r="D3724" i="5"/>
  <c r="B3724" i="5"/>
  <c r="A3724" i="5"/>
  <c r="D3723" i="5"/>
  <c r="B3723" i="5"/>
  <c r="A3723" i="5"/>
  <c r="D3722" i="5"/>
  <c r="B3722" i="5"/>
  <c r="A3722" i="5"/>
  <c r="D3721" i="5"/>
  <c r="B3721" i="5"/>
  <c r="A3721" i="5"/>
  <c r="D3720" i="5"/>
  <c r="B3720" i="5"/>
  <c r="A3720" i="5"/>
  <c r="D3719" i="5"/>
  <c r="B3719" i="5"/>
  <c r="A3719" i="5"/>
  <c r="D3718" i="5"/>
  <c r="B3718" i="5"/>
  <c r="A3718" i="5"/>
  <c r="D3717" i="5"/>
  <c r="B3717" i="5"/>
  <c r="A3717" i="5"/>
  <c r="D3716" i="5"/>
  <c r="B3716" i="5"/>
  <c r="A3716" i="5"/>
  <c r="D3715" i="5"/>
  <c r="A3715" i="5"/>
  <c r="D3714" i="5"/>
  <c r="B3714" i="5"/>
  <c r="A3714" i="5"/>
  <c r="D3713" i="5"/>
  <c r="A3713" i="5"/>
  <c r="D3712" i="5"/>
  <c r="B3712" i="5"/>
  <c r="A3712" i="5"/>
  <c r="D3711" i="5"/>
  <c r="B3711" i="5"/>
  <c r="A3711" i="5"/>
  <c r="D3710" i="5"/>
  <c r="A3710" i="5"/>
  <c r="D3709" i="5"/>
  <c r="B3709" i="5"/>
  <c r="A3709" i="5"/>
  <c r="D3708" i="5"/>
  <c r="B3708" i="5"/>
  <c r="A3708" i="5"/>
  <c r="D3707" i="5"/>
  <c r="A3707" i="5"/>
  <c r="D3706" i="5"/>
  <c r="A3706" i="5"/>
  <c r="D3705" i="5"/>
  <c r="A3705" i="5"/>
  <c r="D3704" i="5"/>
  <c r="A3704" i="5"/>
  <c r="D3703" i="5"/>
  <c r="B3703" i="5"/>
  <c r="A3703" i="5"/>
  <c r="D3702" i="5"/>
  <c r="A3702" i="5"/>
  <c r="D3701" i="5"/>
  <c r="A3701" i="5"/>
  <c r="D3700" i="5"/>
  <c r="A3700" i="5"/>
  <c r="D3699" i="5"/>
  <c r="A3699" i="5"/>
  <c r="D3698" i="5"/>
  <c r="B3698" i="5"/>
  <c r="A3698" i="5"/>
  <c r="D3697" i="5"/>
  <c r="B3697" i="5"/>
  <c r="A3697" i="5"/>
  <c r="D3696" i="5"/>
  <c r="B3696" i="5"/>
  <c r="A3696" i="5"/>
  <c r="D3695" i="5"/>
  <c r="B3695" i="5"/>
  <c r="A3695" i="5"/>
  <c r="D3694" i="5"/>
  <c r="A3694" i="5"/>
  <c r="D3693" i="5"/>
  <c r="A3693" i="5"/>
  <c r="D3692" i="5"/>
  <c r="B3692" i="5"/>
  <c r="A3692" i="5"/>
  <c r="D3691" i="5"/>
  <c r="B3691" i="5"/>
  <c r="A3691" i="5"/>
  <c r="D3690" i="5"/>
  <c r="B3690" i="5"/>
  <c r="A3690" i="5"/>
  <c r="D3689" i="5"/>
  <c r="B3689" i="5"/>
  <c r="A3689" i="5"/>
  <c r="D3688" i="5"/>
  <c r="B3688" i="5"/>
  <c r="A3688" i="5"/>
  <c r="D3687" i="5"/>
  <c r="B3687" i="5"/>
  <c r="A3687" i="5"/>
  <c r="D3686" i="5"/>
  <c r="B3686" i="5"/>
  <c r="A3686" i="5"/>
  <c r="D3685" i="5"/>
  <c r="A3685" i="5"/>
  <c r="D3684" i="5"/>
  <c r="B3684" i="5"/>
  <c r="A3684" i="5"/>
  <c r="D3683" i="5"/>
  <c r="B3683" i="5"/>
  <c r="A3683" i="5"/>
  <c r="D3682" i="5"/>
  <c r="B3682" i="5"/>
  <c r="A3682" i="5"/>
  <c r="D3681" i="5"/>
  <c r="B3681" i="5"/>
  <c r="A3681" i="5"/>
  <c r="D3680" i="5"/>
  <c r="B3680" i="5"/>
  <c r="A3680" i="5"/>
  <c r="D3679" i="5"/>
  <c r="B3679" i="5"/>
  <c r="A3679" i="5"/>
  <c r="D3678" i="5"/>
  <c r="B3678" i="5"/>
  <c r="A3678" i="5"/>
  <c r="D3677" i="5"/>
  <c r="B3677" i="5"/>
  <c r="A3677" i="5"/>
  <c r="D3676" i="5"/>
  <c r="B3676" i="5"/>
  <c r="A3676" i="5"/>
  <c r="D3675" i="5"/>
  <c r="B3675" i="5"/>
  <c r="A3675" i="5"/>
  <c r="D3674" i="5"/>
  <c r="B3674" i="5"/>
  <c r="A3674" i="5"/>
  <c r="D3673" i="5"/>
  <c r="B3673" i="5"/>
  <c r="A3673" i="5"/>
  <c r="D3672" i="5"/>
  <c r="B3672" i="5"/>
  <c r="A3672" i="5"/>
  <c r="D3671" i="5"/>
  <c r="B3671" i="5"/>
  <c r="A3671" i="5"/>
  <c r="D3670" i="5"/>
  <c r="B3670" i="5"/>
  <c r="A3670" i="5"/>
  <c r="D3669" i="5"/>
  <c r="A3669" i="5"/>
  <c r="D3668" i="5"/>
  <c r="B3668" i="5"/>
  <c r="A3668" i="5"/>
  <c r="D3667" i="5"/>
  <c r="B3667" i="5"/>
  <c r="A3667" i="5"/>
  <c r="D3666" i="5"/>
  <c r="B3666" i="5"/>
  <c r="A3666" i="5"/>
  <c r="D3665" i="5"/>
  <c r="C3665" i="5"/>
  <c r="B3665" i="5"/>
  <c r="A3665" i="5"/>
  <c r="D3664" i="5"/>
  <c r="B3664" i="5"/>
  <c r="A3664" i="5"/>
  <c r="D3663" i="5"/>
  <c r="B3663" i="5"/>
  <c r="A3663" i="5"/>
  <c r="D3662" i="5"/>
  <c r="B3662" i="5"/>
  <c r="A3662" i="5"/>
  <c r="D3661" i="5"/>
  <c r="B3661" i="5"/>
  <c r="A3661" i="5"/>
  <c r="D3660" i="5"/>
  <c r="C3660" i="5"/>
  <c r="B3660" i="5"/>
  <c r="A3660" i="5"/>
  <c r="D3659" i="5"/>
  <c r="A3659" i="5"/>
  <c r="D3658" i="5"/>
  <c r="B3658" i="5"/>
  <c r="A3658" i="5"/>
  <c r="D3657" i="5"/>
  <c r="A3657" i="5"/>
  <c r="D3656" i="5"/>
  <c r="A3656" i="5"/>
  <c r="D3655" i="5"/>
  <c r="B3655" i="5"/>
  <c r="A3655" i="5"/>
  <c r="D3654" i="5"/>
  <c r="B3654" i="5"/>
  <c r="A3654" i="5"/>
  <c r="D3653" i="5"/>
  <c r="C3653" i="5"/>
  <c r="B3653" i="5"/>
  <c r="A3653" i="5"/>
  <c r="D3652" i="5"/>
  <c r="B3652" i="5"/>
  <c r="A3652" i="5"/>
  <c r="D3651" i="5"/>
  <c r="B3651" i="5"/>
  <c r="A3651" i="5"/>
  <c r="D3650" i="5"/>
  <c r="A3650" i="5"/>
  <c r="D3649" i="5"/>
  <c r="B3649" i="5"/>
  <c r="A3649" i="5"/>
  <c r="D3648" i="5"/>
  <c r="A3648" i="5"/>
  <c r="D3647" i="5"/>
  <c r="B3647" i="5"/>
  <c r="A3647" i="5"/>
  <c r="D3646" i="5"/>
  <c r="B3646" i="5"/>
  <c r="A3646" i="5"/>
  <c r="D3645" i="5"/>
  <c r="B3645" i="5"/>
  <c r="A3645" i="5"/>
  <c r="D3644" i="5"/>
  <c r="B3644" i="5"/>
  <c r="A3644" i="5"/>
  <c r="D3643" i="5"/>
  <c r="A3643" i="5"/>
  <c r="D3642" i="5"/>
  <c r="B3642" i="5"/>
  <c r="A3642" i="5"/>
  <c r="D3641" i="5"/>
  <c r="C3641" i="5"/>
  <c r="B3641" i="5"/>
  <c r="A3641" i="5"/>
  <c r="D3640" i="5"/>
  <c r="B3640" i="5"/>
  <c r="A3640" i="5"/>
  <c r="D3639" i="5"/>
  <c r="B3639" i="5"/>
  <c r="A3639" i="5"/>
  <c r="D3638" i="5"/>
  <c r="B3638" i="5"/>
  <c r="A3638" i="5"/>
  <c r="D3637" i="5"/>
  <c r="A3637" i="5"/>
  <c r="D3636" i="5"/>
  <c r="A3636" i="5"/>
  <c r="D3635" i="5"/>
  <c r="A3635" i="5"/>
  <c r="D3634" i="5"/>
  <c r="A3634" i="5"/>
  <c r="D3633" i="5"/>
  <c r="A3633" i="5"/>
  <c r="D3632" i="5"/>
  <c r="A3632" i="5"/>
  <c r="D3631" i="5"/>
  <c r="A3631" i="5"/>
  <c r="D3630" i="5"/>
  <c r="A3630" i="5"/>
  <c r="D3629" i="5"/>
  <c r="A3629" i="5"/>
  <c r="D3628" i="5"/>
  <c r="B3628" i="5"/>
  <c r="A3628" i="5"/>
  <c r="D3627" i="5"/>
  <c r="B3627" i="5"/>
  <c r="A3627" i="5"/>
  <c r="D3626" i="5"/>
  <c r="A3626" i="5"/>
  <c r="D3625" i="5"/>
  <c r="A3625" i="5"/>
  <c r="D3624" i="5"/>
  <c r="B3624" i="5"/>
  <c r="A3624" i="5"/>
  <c r="D3623" i="5"/>
  <c r="A3623" i="5"/>
  <c r="D3622" i="5"/>
  <c r="A3622" i="5"/>
  <c r="D3621" i="5"/>
  <c r="A3621" i="5"/>
  <c r="D3620" i="5"/>
  <c r="A3620" i="5"/>
  <c r="D3619" i="5"/>
  <c r="B3619" i="5"/>
  <c r="A3619" i="5"/>
  <c r="D3618" i="5"/>
  <c r="B3618" i="5"/>
  <c r="A3618" i="5"/>
  <c r="D3617" i="5"/>
  <c r="B3617" i="5"/>
  <c r="A3617" i="5"/>
  <c r="D3616" i="5"/>
  <c r="A3616" i="5"/>
  <c r="D3615" i="5"/>
  <c r="A3615" i="5"/>
  <c r="D3614" i="5"/>
  <c r="A3614" i="5"/>
  <c r="D3613" i="5"/>
  <c r="A3613" i="5"/>
  <c r="D3612" i="5"/>
  <c r="A3612" i="5"/>
  <c r="D3611" i="5"/>
  <c r="A3611" i="5"/>
  <c r="D3610" i="5"/>
  <c r="A3610" i="5"/>
  <c r="D3609" i="5"/>
  <c r="A3609" i="5"/>
  <c r="D3608" i="5"/>
  <c r="A3608" i="5"/>
  <c r="D3607" i="5"/>
  <c r="A3607" i="5"/>
  <c r="D3606" i="5"/>
  <c r="A3606" i="5"/>
  <c r="D3605" i="5"/>
  <c r="A3605" i="5"/>
  <c r="D3604" i="5"/>
  <c r="A3604" i="5"/>
  <c r="D3603" i="5"/>
  <c r="A3603" i="5"/>
  <c r="D3602" i="5"/>
  <c r="A3602" i="5"/>
  <c r="D3601" i="5"/>
  <c r="B3601" i="5"/>
  <c r="A3601" i="5"/>
  <c r="D3600" i="5"/>
  <c r="A3600" i="5"/>
  <c r="D3599" i="5"/>
  <c r="A3599" i="5"/>
  <c r="D3598" i="5"/>
  <c r="A3598" i="5"/>
  <c r="D3597" i="5"/>
  <c r="A3597" i="5"/>
  <c r="D3596" i="5"/>
  <c r="A3596" i="5"/>
  <c r="D3595" i="5"/>
  <c r="A3595" i="5"/>
  <c r="D3594" i="5"/>
  <c r="A3594" i="5"/>
  <c r="D3593" i="5"/>
  <c r="B3593" i="5"/>
  <c r="A3593" i="5"/>
  <c r="D3592" i="5"/>
  <c r="A3592" i="5"/>
  <c r="D3591" i="5"/>
  <c r="A3591" i="5"/>
  <c r="D3590" i="5"/>
  <c r="B3590" i="5"/>
  <c r="A3590" i="5"/>
  <c r="D3589" i="5"/>
  <c r="B3589" i="5"/>
  <c r="A3589" i="5"/>
  <c r="D3588" i="5"/>
  <c r="A3588" i="5"/>
  <c r="D3587" i="5"/>
  <c r="B3587" i="5"/>
  <c r="A3587" i="5"/>
  <c r="D3586" i="5"/>
  <c r="B3586" i="5"/>
  <c r="A3586" i="5"/>
  <c r="D3585" i="5"/>
  <c r="A3585" i="5"/>
  <c r="D3584" i="5"/>
  <c r="B3584" i="5"/>
  <c r="A3584" i="5"/>
  <c r="D3583" i="5"/>
  <c r="A3583" i="5"/>
  <c r="D3582" i="5"/>
  <c r="B3582" i="5"/>
  <c r="A3582" i="5"/>
  <c r="D3581" i="5"/>
  <c r="A3581" i="5"/>
  <c r="D3580" i="5"/>
  <c r="A3580" i="5"/>
  <c r="D3579" i="5"/>
  <c r="B3579" i="5"/>
  <c r="A3579" i="5"/>
  <c r="D3578" i="5"/>
  <c r="A3578" i="5"/>
  <c r="D3577" i="5"/>
  <c r="A3577" i="5"/>
  <c r="D3576" i="5"/>
  <c r="A3576" i="5"/>
  <c r="D3575" i="5"/>
  <c r="A3575" i="5"/>
  <c r="D3574" i="5"/>
  <c r="A3574" i="5"/>
  <c r="D3573" i="5"/>
  <c r="A3573" i="5"/>
  <c r="D3572" i="5"/>
  <c r="B3572" i="5"/>
  <c r="A3572" i="5"/>
  <c r="D3571" i="5"/>
  <c r="A3571" i="5"/>
  <c r="D3570" i="5"/>
  <c r="A3570" i="5"/>
  <c r="D3569" i="5"/>
  <c r="A3569" i="5"/>
  <c r="D3568" i="5"/>
  <c r="A3568" i="5"/>
  <c r="D3567" i="5"/>
  <c r="A3567" i="5"/>
  <c r="D3566" i="5"/>
  <c r="A3566" i="5"/>
  <c r="D3565" i="5"/>
  <c r="A3565" i="5"/>
  <c r="D3564" i="5"/>
  <c r="A3564" i="5"/>
  <c r="D3563" i="5"/>
  <c r="B3563" i="5"/>
  <c r="A3563" i="5"/>
  <c r="D3562" i="5"/>
  <c r="B3562" i="5"/>
  <c r="A3562" i="5"/>
  <c r="D3561" i="5"/>
  <c r="A3561" i="5"/>
  <c r="D3560" i="5"/>
  <c r="A3560" i="5"/>
  <c r="D3559" i="5"/>
  <c r="B3559" i="5"/>
  <c r="A3559" i="5"/>
  <c r="D3558" i="5"/>
  <c r="A3558" i="5"/>
  <c r="D3557" i="5"/>
  <c r="A3557" i="5"/>
  <c r="D3556" i="5"/>
  <c r="A3556" i="5"/>
  <c r="D3555" i="5"/>
  <c r="A3555" i="5"/>
  <c r="D3554" i="5"/>
  <c r="B3554" i="5"/>
  <c r="A3554" i="5"/>
  <c r="D3553" i="5"/>
  <c r="B3553" i="5"/>
  <c r="A3553" i="5"/>
  <c r="D3552" i="5"/>
  <c r="A3552" i="5"/>
  <c r="D3551" i="5"/>
  <c r="A3551" i="5"/>
  <c r="D3550" i="5"/>
  <c r="A3550" i="5"/>
  <c r="D3549" i="5"/>
  <c r="A3549" i="5"/>
  <c r="D3548" i="5"/>
  <c r="A3548" i="5"/>
  <c r="D3547" i="5"/>
  <c r="A3547" i="5"/>
  <c r="D3546" i="5"/>
  <c r="A3546" i="5"/>
  <c r="D3545" i="5"/>
  <c r="A3545" i="5"/>
  <c r="D3544" i="5"/>
  <c r="A3544" i="5"/>
  <c r="D3543" i="5"/>
  <c r="A3543" i="5"/>
  <c r="D3542" i="5"/>
  <c r="A3542" i="5"/>
  <c r="D3541" i="5"/>
  <c r="A3541" i="5"/>
  <c r="D3540" i="5"/>
  <c r="A3540" i="5"/>
  <c r="D3539" i="5"/>
  <c r="A3539" i="5"/>
  <c r="D3538" i="5"/>
  <c r="A3538" i="5"/>
  <c r="D3537" i="5"/>
  <c r="A3537" i="5"/>
  <c r="D3536" i="5"/>
  <c r="A3536" i="5"/>
  <c r="D3535" i="5"/>
  <c r="A3535" i="5"/>
  <c r="D3534" i="5"/>
  <c r="B3534" i="5"/>
  <c r="A3534" i="5"/>
  <c r="D3533" i="5"/>
  <c r="B3533" i="5"/>
  <c r="A3533" i="5"/>
  <c r="D3532" i="5"/>
  <c r="A3532" i="5"/>
  <c r="D3531" i="5"/>
  <c r="A3531" i="5"/>
  <c r="D3530" i="5"/>
  <c r="A3530" i="5"/>
  <c r="D3529" i="5"/>
  <c r="A3529" i="5"/>
  <c r="D3528" i="5"/>
  <c r="A3528" i="5"/>
  <c r="D3527" i="5"/>
  <c r="A3527" i="5"/>
  <c r="D3526" i="5"/>
  <c r="A3526" i="5"/>
  <c r="D3525" i="5"/>
  <c r="A3525" i="5"/>
  <c r="D3524" i="5"/>
  <c r="A3524" i="5"/>
  <c r="D3523" i="5"/>
  <c r="B3523" i="5"/>
  <c r="A3523" i="5"/>
  <c r="D3522" i="5"/>
  <c r="A3522" i="5"/>
  <c r="D3521" i="5"/>
  <c r="A3521" i="5"/>
  <c r="D3520" i="5"/>
  <c r="A3520" i="5"/>
  <c r="D3519" i="5"/>
  <c r="B3519" i="5"/>
  <c r="A3519" i="5"/>
  <c r="D3518" i="5"/>
  <c r="C3518" i="5"/>
  <c r="B3518" i="5"/>
  <c r="A3518" i="5"/>
  <c r="D3517" i="5"/>
  <c r="A3517" i="5"/>
  <c r="D3516" i="5"/>
  <c r="A3516" i="5"/>
  <c r="D3515" i="5"/>
  <c r="A3515" i="5"/>
  <c r="D3514" i="5"/>
  <c r="A3514" i="5"/>
  <c r="D3513" i="5"/>
  <c r="B3513" i="5"/>
  <c r="A3513" i="5"/>
  <c r="D3512" i="5"/>
  <c r="B3512" i="5"/>
  <c r="A3512" i="5"/>
  <c r="D3511" i="5"/>
  <c r="B3511" i="5"/>
  <c r="A3511" i="5"/>
  <c r="D3510" i="5"/>
  <c r="B3510" i="5"/>
  <c r="A3510" i="5"/>
  <c r="D3509" i="5"/>
  <c r="B3509" i="5"/>
  <c r="A3509" i="5"/>
  <c r="D3508" i="5"/>
  <c r="B3508" i="5"/>
  <c r="A3508" i="5"/>
  <c r="D3507" i="5"/>
  <c r="B3507" i="5"/>
  <c r="A3507" i="5"/>
  <c r="D3506" i="5"/>
  <c r="B3506" i="5"/>
  <c r="A3506" i="5"/>
  <c r="D3505" i="5"/>
  <c r="B3505" i="5"/>
  <c r="A3505" i="5"/>
  <c r="D3504" i="5"/>
  <c r="B3504" i="5"/>
  <c r="A3504" i="5"/>
  <c r="D3503" i="5"/>
  <c r="A3503" i="5"/>
  <c r="D3502" i="5"/>
  <c r="A3502" i="5"/>
  <c r="D3501" i="5"/>
  <c r="B3501" i="5"/>
  <c r="A3501" i="5"/>
  <c r="D3500" i="5"/>
  <c r="B3500" i="5"/>
  <c r="A3500" i="5"/>
  <c r="D3499" i="5"/>
  <c r="A3499" i="5"/>
  <c r="D3498" i="5"/>
  <c r="B3498" i="5"/>
  <c r="A3498" i="5"/>
  <c r="D3497" i="5"/>
  <c r="A3497" i="5"/>
  <c r="D3496" i="5"/>
  <c r="A3496" i="5"/>
  <c r="D3495" i="5"/>
  <c r="B3495" i="5"/>
  <c r="A3495" i="5"/>
  <c r="D3494" i="5"/>
  <c r="B3494" i="5"/>
  <c r="A3494" i="5"/>
  <c r="D3493" i="5"/>
  <c r="A3493" i="5"/>
  <c r="D3492" i="5"/>
  <c r="A3492" i="5"/>
  <c r="D3491" i="5"/>
  <c r="A3491" i="5"/>
  <c r="D3490" i="5"/>
  <c r="B3490" i="5"/>
  <c r="A3490" i="5"/>
  <c r="D3489" i="5"/>
  <c r="B3489" i="5"/>
  <c r="A3489" i="5"/>
  <c r="D3488" i="5"/>
  <c r="B3488" i="5"/>
  <c r="A3488" i="5"/>
  <c r="D3487" i="5"/>
  <c r="B3487" i="5"/>
  <c r="A3487" i="5"/>
  <c r="D3486" i="5"/>
  <c r="B3486" i="5"/>
  <c r="A3486" i="5"/>
  <c r="D3485" i="5"/>
  <c r="B3485" i="5"/>
  <c r="A3485" i="5"/>
  <c r="D3484" i="5"/>
  <c r="A3484" i="5"/>
  <c r="D3483" i="5"/>
  <c r="B3483" i="5"/>
  <c r="A3483" i="5"/>
  <c r="D3482" i="5"/>
  <c r="B3482" i="5"/>
  <c r="A3482" i="5"/>
  <c r="D3481" i="5"/>
  <c r="B3481" i="5"/>
  <c r="A3481" i="5"/>
  <c r="D3480" i="5"/>
  <c r="A3480" i="5"/>
  <c r="D3479" i="5"/>
  <c r="B3479" i="5"/>
  <c r="A3479" i="5"/>
  <c r="D3478" i="5"/>
  <c r="A3478" i="5"/>
  <c r="D3477" i="5"/>
  <c r="B3477" i="5"/>
  <c r="A3477" i="5"/>
  <c r="D3476" i="5"/>
  <c r="A3476" i="5"/>
  <c r="D3475" i="5"/>
  <c r="A3475" i="5"/>
  <c r="D3474" i="5"/>
  <c r="B3474" i="5"/>
  <c r="A3474" i="5"/>
  <c r="D3473" i="5"/>
  <c r="B3473" i="5"/>
  <c r="A3473" i="5"/>
  <c r="D3472" i="5"/>
  <c r="A3472" i="5"/>
  <c r="D3471" i="5"/>
  <c r="A3471" i="5"/>
  <c r="D3470" i="5"/>
  <c r="B3470" i="5"/>
  <c r="A3470" i="5"/>
  <c r="D3469" i="5"/>
  <c r="B3469" i="5"/>
  <c r="A3469" i="5"/>
  <c r="D3468" i="5"/>
  <c r="B3468" i="5"/>
  <c r="A3468" i="5"/>
  <c r="D3467" i="5"/>
  <c r="B3467" i="5"/>
  <c r="A3467" i="5"/>
  <c r="D3466" i="5"/>
  <c r="B3466" i="5"/>
  <c r="A3466" i="5"/>
  <c r="D3465" i="5"/>
  <c r="B3465" i="5"/>
  <c r="A3465" i="5"/>
  <c r="D3464" i="5"/>
  <c r="B3464" i="5"/>
  <c r="A3464" i="5"/>
  <c r="D3463" i="5"/>
  <c r="B3463" i="5"/>
  <c r="A3463" i="5"/>
  <c r="D3462" i="5"/>
  <c r="B3462" i="5"/>
  <c r="A3462" i="5"/>
  <c r="D3461" i="5"/>
  <c r="B3461" i="5"/>
  <c r="A3461" i="5"/>
  <c r="D3460" i="5"/>
  <c r="B3460" i="5"/>
  <c r="A3460" i="5"/>
  <c r="D3459" i="5"/>
  <c r="B3459" i="5"/>
  <c r="A3459" i="5"/>
  <c r="D3458" i="5"/>
  <c r="B3458" i="5"/>
  <c r="A3458" i="5"/>
  <c r="D3457" i="5"/>
  <c r="B3457" i="5"/>
  <c r="A3457" i="5"/>
  <c r="D3456" i="5"/>
  <c r="A3456" i="5"/>
  <c r="D3455" i="5"/>
  <c r="A3455" i="5"/>
  <c r="D3454" i="5"/>
  <c r="A3454" i="5"/>
  <c r="D3453" i="5"/>
  <c r="A3453" i="5"/>
  <c r="D3452" i="5"/>
  <c r="B3452" i="5"/>
  <c r="A3452" i="5"/>
  <c r="D3451" i="5"/>
  <c r="B3451" i="5"/>
  <c r="A3451" i="5"/>
  <c r="D3450" i="5"/>
  <c r="B3450" i="5"/>
  <c r="A3450" i="5"/>
  <c r="D3449" i="5"/>
  <c r="A3449" i="5"/>
  <c r="D3448" i="5"/>
  <c r="B3448" i="5"/>
  <c r="A3448" i="5"/>
  <c r="D3447" i="5"/>
  <c r="B3447" i="5"/>
  <c r="A3447" i="5"/>
  <c r="D3446" i="5"/>
  <c r="B3446" i="5"/>
  <c r="A3446" i="5"/>
  <c r="D3445" i="5"/>
  <c r="B3445" i="5"/>
  <c r="A3445" i="5"/>
  <c r="D3444" i="5"/>
  <c r="B3444" i="5"/>
  <c r="A3444" i="5"/>
  <c r="D3443" i="5"/>
  <c r="B3443" i="5"/>
  <c r="A3443" i="5"/>
  <c r="D3442" i="5"/>
  <c r="B3442" i="5"/>
  <c r="A3442" i="5"/>
  <c r="D3441" i="5"/>
  <c r="A3441" i="5"/>
  <c r="D3440" i="5"/>
  <c r="B3440" i="5"/>
  <c r="A3440" i="5"/>
  <c r="D3439" i="5"/>
  <c r="B3439" i="5"/>
  <c r="A3439" i="5"/>
  <c r="D3438" i="5"/>
  <c r="B3438" i="5"/>
  <c r="A3438" i="5"/>
  <c r="D3437" i="5"/>
  <c r="B3437" i="5"/>
  <c r="A3437" i="5"/>
  <c r="D3436" i="5"/>
  <c r="B3436" i="5"/>
  <c r="A3436" i="5"/>
  <c r="D3435" i="5"/>
  <c r="B3435" i="5"/>
  <c r="A3435" i="5"/>
  <c r="D3434" i="5"/>
  <c r="A3434" i="5"/>
  <c r="D3433" i="5"/>
  <c r="A3433" i="5"/>
  <c r="D3432" i="5"/>
  <c r="A3432" i="5"/>
  <c r="D3431" i="5"/>
  <c r="A3431" i="5"/>
  <c r="D3430" i="5"/>
  <c r="B3430" i="5"/>
  <c r="A3430" i="5"/>
  <c r="D3429" i="5"/>
  <c r="A3429" i="5"/>
  <c r="D3428" i="5"/>
  <c r="A3428" i="5"/>
  <c r="D3427" i="5"/>
  <c r="A3427" i="5"/>
  <c r="D3426" i="5"/>
  <c r="A3426" i="5"/>
  <c r="D3425" i="5"/>
  <c r="A3425" i="5"/>
  <c r="D3424" i="5"/>
  <c r="B3424" i="5"/>
  <c r="A3424" i="5"/>
  <c r="D3423" i="5"/>
  <c r="B3423" i="5"/>
  <c r="A3423" i="5"/>
  <c r="D3422" i="5"/>
  <c r="B3422" i="5"/>
  <c r="A3422" i="5"/>
  <c r="D3421" i="5"/>
  <c r="A3421" i="5"/>
  <c r="D3420" i="5"/>
  <c r="B3420" i="5"/>
  <c r="A3420" i="5"/>
  <c r="D3419" i="5"/>
  <c r="B3419" i="5"/>
  <c r="A3419" i="5"/>
  <c r="D3418" i="5"/>
  <c r="A3418" i="5"/>
  <c r="D3417" i="5"/>
  <c r="A3417" i="5"/>
  <c r="D3416" i="5"/>
  <c r="A3416" i="5"/>
  <c r="D3415" i="5"/>
  <c r="A3415" i="5"/>
  <c r="D3414" i="5"/>
  <c r="A3414" i="5"/>
  <c r="D3413" i="5"/>
  <c r="B3413" i="5"/>
  <c r="A3413" i="5"/>
  <c r="D3412" i="5"/>
  <c r="B3412" i="5"/>
  <c r="A3412" i="5"/>
  <c r="D3411" i="5"/>
  <c r="B3411" i="5"/>
  <c r="A3411" i="5"/>
  <c r="D3410" i="5"/>
  <c r="A3410" i="5"/>
  <c r="D3409" i="5"/>
  <c r="B3409" i="5"/>
  <c r="A3409" i="5"/>
  <c r="D3408" i="5"/>
  <c r="B3408" i="5"/>
  <c r="A3408" i="5"/>
  <c r="D3407" i="5"/>
  <c r="A3407" i="5"/>
  <c r="D3406" i="5"/>
  <c r="B3406" i="5"/>
  <c r="A3406" i="5"/>
  <c r="D3405" i="5"/>
  <c r="B3405" i="5"/>
  <c r="A3405" i="5"/>
  <c r="D3404" i="5"/>
  <c r="B3404" i="5"/>
  <c r="A3404" i="5"/>
  <c r="D3403" i="5"/>
  <c r="A3403" i="5"/>
  <c r="D3402" i="5"/>
  <c r="A3402" i="5"/>
  <c r="D3401" i="5"/>
  <c r="A3401" i="5"/>
  <c r="D3400" i="5"/>
  <c r="A3400" i="5"/>
  <c r="D3399" i="5"/>
  <c r="A3399" i="5"/>
  <c r="D3398" i="5"/>
  <c r="A3398" i="5"/>
  <c r="D3397" i="5"/>
  <c r="B3397" i="5"/>
  <c r="A3397" i="5"/>
  <c r="D3396" i="5"/>
  <c r="A3396" i="5"/>
  <c r="D3395" i="5"/>
  <c r="A3395" i="5"/>
  <c r="D3394" i="5"/>
  <c r="A3394" i="5"/>
  <c r="D3393" i="5"/>
  <c r="B3393" i="5"/>
  <c r="A3393" i="5"/>
  <c r="D3392" i="5"/>
  <c r="B3392" i="5"/>
  <c r="A3392" i="5"/>
  <c r="D3391" i="5"/>
  <c r="A3391" i="5"/>
  <c r="D3390" i="5"/>
  <c r="A3390" i="5"/>
  <c r="D3389" i="5"/>
  <c r="A3389" i="5"/>
  <c r="D3388" i="5"/>
  <c r="A3388" i="5"/>
  <c r="D3387" i="5"/>
  <c r="A3387" i="5"/>
  <c r="D3386" i="5"/>
  <c r="B3386" i="5"/>
  <c r="A3386" i="5"/>
  <c r="D3385" i="5"/>
  <c r="A3385" i="5"/>
  <c r="D3384" i="5"/>
  <c r="A3384" i="5"/>
  <c r="D3383" i="5"/>
  <c r="B3383" i="5"/>
  <c r="A3383" i="5"/>
  <c r="D3382" i="5"/>
  <c r="A3382" i="5"/>
  <c r="D3381" i="5"/>
  <c r="A3381" i="5"/>
  <c r="D3380" i="5"/>
  <c r="A3380" i="5"/>
  <c r="D3379" i="5"/>
  <c r="A3379" i="5"/>
  <c r="D3378" i="5"/>
  <c r="B3378" i="5"/>
  <c r="A3378" i="5"/>
  <c r="D3377" i="5"/>
  <c r="A3377" i="5"/>
  <c r="D3376" i="5"/>
  <c r="A3376" i="5"/>
  <c r="D3375" i="5"/>
  <c r="A3375" i="5"/>
  <c r="D3374" i="5"/>
  <c r="B3374" i="5"/>
  <c r="A3374" i="5"/>
  <c r="D3373" i="5"/>
  <c r="B3373" i="5"/>
  <c r="A3373" i="5"/>
  <c r="D3372" i="5"/>
  <c r="B3372" i="5"/>
  <c r="A3372" i="5"/>
  <c r="D3371" i="5"/>
  <c r="A3371" i="5"/>
  <c r="D3370" i="5"/>
  <c r="A3370" i="5"/>
  <c r="D3369" i="5"/>
  <c r="B3369" i="5"/>
  <c r="A3369" i="5"/>
  <c r="D3368" i="5"/>
  <c r="B3368" i="5"/>
  <c r="A3368" i="5"/>
  <c r="D3367" i="5"/>
  <c r="C3367" i="5"/>
  <c r="B3367" i="5"/>
  <c r="A3367" i="5"/>
  <c r="D3366" i="5"/>
  <c r="C3366" i="5"/>
  <c r="B3366" i="5"/>
  <c r="A3366" i="5"/>
  <c r="D3365" i="5"/>
  <c r="C3365" i="5"/>
  <c r="B3365" i="5"/>
  <c r="A3365" i="5"/>
  <c r="D3364" i="5"/>
  <c r="A3364" i="5"/>
  <c r="D3363" i="5"/>
  <c r="A3363" i="5"/>
  <c r="D3362" i="5"/>
  <c r="A3362" i="5"/>
  <c r="D3361" i="5"/>
  <c r="A3361" i="5"/>
  <c r="D3360" i="5"/>
  <c r="A3360" i="5"/>
  <c r="D3359" i="5"/>
  <c r="A3359" i="5"/>
  <c r="D3358" i="5"/>
  <c r="A3358" i="5"/>
  <c r="D3357" i="5"/>
  <c r="B3357" i="5"/>
  <c r="A3357" i="5"/>
  <c r="D3356" i="5"/>
  <c r="A3356" i="5"/>
  <c r="D3355" i="5"/>
  <c r="A3355" i="5"/>
  <c r="D3354" i="5"/>
  <c r="A3354" i="5"/>
  <c r="D3353" i="5"/>
  <c r="B3353" i="5"/>
  <c r="A3353" i="5"/>
  <c r="D3352" i="5"/>
  <c r="A3352" i="5"/>
  <c r="D3351" i="5"/>
  <c r="A3351" i="5"/>
  <c r="D3350" i="5"/>
  <c r="A3350" i="5"/>
  <c r="D3349" i="5"/>
  <c r="B3349" i="5"/>
  <c r="A3349" i="5"/>
  <c r="D3348" i="5"/>
  <c r="A3348" i="5"/>
  <c r="D3347" i="5"/>
  <c r="A3347" i="5"/>
  <c r="D3346" i="5"/>
  <c r="A3346" i="5"/>
  <c r="D3345" i="5"/>
  <c r="A3345" i="5"/>
  <c r="D3344" i="5"/>
  <c r="A3344" i="5"/>
  <c r="D3343" i="5"/>
  <c r="A3343" i="5"/>
  <c r="D3342" i="5"/>
  <c r="A3342" i="5"/>
  <c r="D3341" i="5"/>
  <c r="A3341" i="5"/>
  <c r="D3340" i="5"/>
  <c r="A3340" i="5"/>
  <c r="D3339" i="5"/>
  <c r="A3339" i="5"/>
  <c r="D3338" i="5"/>
  <c r="A3338" i="5"/>
  <c r="D3337" i="5"/>
  <c r="A3337" i="5"/>
  <c r="D3336" i="5"/>
  <c r="A3336" i="5"/>
  <c r="D3335" i="5"/>
  <c r="A3335" i="5"/>
  <c r="D3334" i="5"/>
  <c r="A3334" i="5"/>
  <c r="D3333" i="5"/>
  <c r="A3333" i="5"/>
  <c r="D3332" i="5"/>
  <c r="A3332" i="5"/>
  <c r="D3331" i="5"/>
  <c r="B3331" i="5"/>
  <c r="A3331" i="5"/>
  <c r="D3330" i="5"/>
  <c r="A3330" i="5"/>
  <c r="D3329" i="5"/>
  <c r="B3329" i="5"/>
  <c r="A3329" i="5"/>
  <c r="D3328" i="5"/>
  <c r="A3328" i="5"/>
  <c r="D3327" i="5"/>
  <c r="B3327" i="5"/>
  <c r="A3327" i="5"/>
  <c r="D3326" i="5"/>
  <c r="A3326" i="5"/>
  <c r="D3325" i="5"/>
  <c r="A3325" i="5"/>
  <c r="D3324" i="5"/>
  <c r="A3324" i="5"/>
  <c r="D3323" i="5"/>
  <c r="A3323" i="5"/>
  <c r="D3322" i="5"/>
  <c r="A3322" i="5"/>
  <c r="D3321" i="5"/>
  <c r="A3321" i="5"/>
  <c r="D3320" i="5"/>
  <c r="A3320" i="5"/>
  <c r="D3319" i="5"/>
  <c r="A3319" i="5"/>
  <c r="D3318" i="5"/>
  <c r="A3318" i="5"/>
  <c r="D3317" i="5"/>
  <c r="A3317" i="5"/>
  <c r="D3316" i="5"/>
  <c r="A3316" i="5"/>
  <c r="D3315" i="5"/>
  <c r="A3315" i="5"/>
  <c r="D3314" i="5"/>
  <c r="A3314" i="5"/>
  <c r="D3313" i="5"/>
  <c r="A3313" i="5"/>
  <c r="D3312" i="5"/>
  <c r="A3312" i="5"/>
  <c r="D3311" i="5"/>
  <c r="A3311" i="5"/>
  <c r="D3310" i="5"/>
  <c r="A3310" i="5"/>
  <c r="D3309" i="5"/>
  <c r="A3309" i="5"/>
  <c r="D3308" i="5"/>
  <c r="A3308" i="5"/>
  <c r="D3307" i="5"/>
  <c r="A3307" i="5"/>
  <c r="D3306" i="5"/>
  <c r="A3306" i="5"/>
  <c r="D3305" i="5"/>
  <c r="B3305" i="5"/>
  <c r="A3305" i="5"/>
  <c r="D3304" i="5"/>
  <c r="A3304" i="5"/>
  <c r="D3303" i="5"/>
  <c r="B3303" i="5"/>
  <c r="A3303" i="5"/>
  <c r="D3302" i="5"/>
  <c r="B3302" i="5"/>
  <c r="A3302" i="5"/>
  <c r="D3301" i="5"/>
  <c r="A3301" i="5"/>
  <c r="D3300" i="5"/>
  <c r="A3300" i="5"/>
  <c r="D3299" i="5"/>
  <c r="A3299" i="5"/>
  <c r="D3298" i="5"/>
  <c r="A3298" i="5"/>
  <c r="D3297" i="5"/>
  <c r="A3297" i="5"/>
  <c r="D3296" i="5"/>
  <c r="A3296" i="5"/>
  <c r="D3295" i="5"/>
  <c r="A3295" i="5"/>
  <c r="D3294" i="5"/>
  <c r="A3294" i="5"/>
  <c r="D3293" i="5"/>
  <c r="A3293" i="5"/>
  <c r="D3292" i="5"/>
  <c r="A3292" i="5"/>
  <c r="D3291" i="5"/>
  <c r="A3291" i="5"/>
  <c r="D3290" i="5"/>
  <c r="A3290" i="5"/>
  <c r="D3289" i="5"/>
  <c r="A3289" i="5"/>
  <c r="D3288" i="5"/>
  <c r="A3288" i="5"/>
  <c r="D3287" i="5"/>
  <c r="A3287" i="5"/>
  <c r="D3286" i="5"/>
  <c r="B3286" i="5"/>
  <c r="A3286" i="5"/>
  <c r="D3285" i="5"/>
  <c r="A3285" i="5"/>
  <c r="D3284" i="5"/>
  <c r="A3284" i="5"/>
  <c r="D3283" i="5"/>
  <c r="A3283" i="5"/>
  <c r="D3282" i="5"/>
  <c r="A3282" i="5"/>
  <c r="D3281" i="5"/>
  <c r="B3281" i="5"/>
  <c r="A3281" i="5"/>
  <c r="D3280" i="5"/>
  <c r="B3280" i="5"/>
  <c r="A3280" i="5"/>
  <c r="D3279" i="5"/>
  <c r="B3279" i="5"/>
  <c r="A3279" i="5"/>
  <c r="D3278" i="5"/>
  <c r="B3278" i="5"/>
  <c r="A3278" i="5"/>
  <c r="D3277" i="5"/>
  <c r="B3277" i="5"/>
  <c r="A3277" i="5"/>
  <c r="D3276" i="5"/>
  <c r="B3276" i="5"/>
  <c r="A3276" i="5"/>
  <c r="D3275" i="5"/>
  <c r="A3275" i="5"/>
  <c r="D3274" i="5"/>
  <c r="B3274" i="5"/>
  <c r="A3274" i="5"/>
  <c r="D3273" i="5"/>
  <c r="B3273" i="5"/>
  <c r="A3273" i="5"/>
  <c r="D3272" i="5"/>
  <c r="A3272" i="5"/>
  <c r="D3271" i="5"/>
  <c r="A3271" i="5"/>
  <c r="D3270" i="5"/>
  <c r="B3270" i="5"/>
  <c r="A3270" i="5"/>
  <c r="D3269" i="5"/>
  <c r="A3269" i="5"/>
  <c r="D3268" i="5"/>
  <c r="A3268" i="5"/>
  <c r="D3267" i="5"/>
  <c r="A3267" i="5"/>
  <c r="D3266" i="5"/>
  <c r="A3266" i="5"/>
  <c r="D3265" i="5"/>
  <c r="A3265" i="5"/>
  <c r="D3264" i="5"/>
  <c r="A3264" i="5"/>
  <c r="D3263" i="5"/>
  <c r="A3263" i="5"/>
  <c r="D3262" i="5"/>
  <c r="A3262" i="5"/>
  <c r="D3261" i="5"/>
  <c r="A3261" i="5"/>
  <c r="D3260" i="5"/>
  <c r="B3260" i="5"/>
  <c r="A3260" i="5"/>
  <c r="D3259" i="5"/>
  <c r="A3259" i="5"/>
  <c r="D3258" i="5"/>
  <c r="B3258" i="5"/>
  <c r="A3258" i="5"/>
  <c r="D3257" i="5"/>
  <c r="B3257" i="5"/>
  <c r="A3257" i="5"/>
  <c r="D3256" i="5"/>
  <c r="A3256" i="5"/>
  <c r="D3255" i="5"/>
  <c r="A3255" i="5"/>
  <c r="D3254" i="5"/>
  <c r="A3254" i="5"/>
  <c r="D3253" i="5"/>
  <c r="A3253" i="5"/>
  <c r="D3252" i="5"/>
  <c r="B3252" i="5"/>
  <c r="A3252" i="5"/>
  <c r="D3251" i="5"/>
  <c r="A3251" i="5"/>
  <c r="D3250" i="5"/>
  <c r="A3250" i="5"/>
  <c r="D3249" i="5"/>
  <c r="B3249" i="5"/>
  <c r="A3249" i="5"/>
  <c r="D3248" i="5"/>
  <c r="A3248" i="5"/>
  <c r="D3247" i="5"/>
  <c r="B3247" i="5"/>
  <c r="A3247" i="5"/>
  <c r="D3246" i="5"/>
  <c r="B3246" i="5"/>
  <c r="A3246" i="5"/>
  <c r="D3245" i="5"/>
  <c r="B3245" i="5"/>
  <c r="A3245" i="5"/>
  <c r="D3244" i="5"/>
  <c r="B3244" i="5"/>
  <c r="A3244" i="5"/>
  <c r="D3243" i="5"/>
  <c r="B3243" i="5"/>
  <c r="A3243" i="5"/>
  <c r="D3242" i="5"/>
  <c r="B3242" i="5"/>
  <c r="A3242" i="5"/>
  <c r="D3241" i="5"/>
  <c r="B3241" i="5"/>
  <c r="A3241" i="5"/>
  <c r="D3240" i="5"/>
  <c r="A3240" i="5"/>
  <c r="D3239" i="5"/>
  <c r="A3239" i="5"/>
  <c r="D3238" i="5"/>
  <c r="A3238" i="5"/>
  <c r="D3237" i="5"/>
  <c r="B3237" i="5"/>
  <c r="A3237" i="5"/>
  <c r="D3236" i="5"/>
  <c r="A3236" i="5"/>
  <c r="D3235" i="5"/>
  <c r="B3235" i="5"/>
  <c r="A3235" i="5"/>
  <c r="D3234" i="5"/>
  <c r="A3234" i="5"/>
  <c r="D3233" i="5"/>
  <c r="A3233" i="5"/>
  <c r="D3232" i="5"/>
  <c r="A3232" i="5"/>
  <c r="D3231" i="5"/>
  <c r="A3231" i="5"/>
  <c r="D3230" i="5"/>
  <c r="A3230" i="5"/>
  <c r="D3229" i="5"/>
  <c r="A3229" i="5"/>
  <c r="D3228" i="5"/>
  <c r="A3228" i="5"/>
  <c r="D3227" i="5"/>
  <c r="A3227" i="5"/>
  <c r="D3226" i="5"/>
  <c r="A3226" i="5"/>
  <c r="D3225" i="5"/>
  <c r="A3225" i="5"/>
  <c r="D3224" i="5"/>
  <c r="A3224" i="5"/>
  <c r="D3223" i="5"/>
  <c r="A3223" i="5"/>
  <c r="D3222" i="5"/>
  <c r="A3222" i="5"/>
  <c r="D3221" i="5"/>
  <c r="A3221" i="5"/>
  <c r="D3220" i="5"/>
  <c r="B3220" i="5"/>
  <c r="A3220" i="5"/>
  <c r="D3219" i="5"/>
  <c r="A3219" i="5"/>
  <c r="D3218" i="5"/>
  <c r="B3218" i="5"/>
  <c r="A3218" i="5"/>
  <c r="D3217" i="5"/>
  <c r="A3217" i="5"/>
  <c r="D3216" i="5"/>
  <c r="A3216" i="5"/>
  <c r="D3215" i="5"/>
  <c r="A3215" i="5"/>
  <c r="D3214" i="5"/>
  <c r="A3214" i="5"/>
  <c r="D3213" i="5"/>
  <c r="B3213" i="5"/>
  <c r="A3213" i="5"/>
  <c r="D3212" i="5"/>
  <c r="A3212" i="5"/>
  <c r="D3211" i="5"/>
  <c r="A3211" i="5"/>
  <c r="D3210" i="5"/>
  <c r="A3210" i="5"/>
  <c r="D3209" i="5"/>
  <c r="A3209" i="5"/>
  <c r="D3208" i="5"/>
  <c r="A3208" i="5"/>
  <c r="D3207" i="5"/>
  <c r="A3207" i="5"/>
  <c r="D3206" i="5"/>
  <c r="A3206" i="5"/>
  <c r="D3205" i="5"/>
  <c r="A3205" i="5"/>
  <c r="D3204" i="5"/>
  <c r="A3204" i="5"/>
  <c r="D3203" i="5"/>
  <c r="A3203" i="5"/>
  <c r="D3202" i="5"/>
  <c r="A3202" i="5"/>
  <c r="D3201" i="5"/>
  <c r="A3201" i="5"/>
  <c r="D3200" i="5"/>
  <c r="A3200" i="5"/>
  <c r="D3199" i="5"/>
  <c r="A3199" i="5"/>
  <c r="D3198" i="5"/>
  <c r="A3198" i="5"/>
  <c r="D3197" i="5"/>
  <c r="A3197" i="5"/>
  <c r="D3196" i="5"/>
  <c r="B3196" i="5"/>
  <c r="A3196" i="5"/>
  <c r="D3195" i="5"/>
  <c r="A3195" i="5"/>
  <c r="D3194" i="5"/>
  <c r="A3194" i="5"/>
  <c r="D3193" i="5"/>
  <c r="B3193" i="5"/>
  <c r="A3193" i="5"/>
  <c r="D3192" i="5"/>
  <c r="A3192" i="5"/>
  <c r="D3191" i="5"/>
  <c r="A3191" i="5"/>
  <c r="D3190" i="5"/>
  <c r="A3190" i="5"/>
  <c r="D3189" i="5"/>
  <c r="A3189" i="5"/>
  <c r="D3188" i="5"/>
  <c r="A3188" i="5"/>
  <c r="D3187" i="5"/>
  <c r="B3187" i="5"/>
  <c r="A3187" i="5"/>
  <c r="D3186" i="5"/>
  <c r="A3186" i="5"/>
  <c r="D3185" i="5"/>
  <c r="A3185" i="5"/>
  <c r="D3184" i="5"/>
  <c r="A3184" i="5"/>
  <c r="D3183" i="5"/>
  <c r="B3183" i="5"/>
  <c r="A3183" i="5"/>
  <c r="D3182" i="5"/>
  <c r="A3182" i="5"/>
  <c r="D3181" i="5"/>
  <c r="A3181" i="5"/>
  <c r="D3180" i="5"/>
  <c r="A3180" i="5"/>
  <c r="D3179" i="5"/>
  <c r="A3179" i="5"/>
  <c r="D3178" i="5"/>
  <c r="A3178" i="5"/>
  <c r="D3177" i="5"/>
  <c r="A3177" i="5"/>
  <c r="D3176" i="5"/>
  <c r="A3176" i="5"/>
  <c r="D3175" i="5"/>
  <c r="A3175" i="5"/>
  <c r="D3174" i="5"/>
  <c r="A3174" i="5"/>
  <c r="D3173" i="5"/>
  <c r="A3173" i="5"/>
  <c r="D3172" i="5"/>
  <c r="A3172" i="5"/>
  <c r="D3171" i="5"/>
  <c r="A3171" i="5"/>
  <c r="D3170" i="5"/>
  <c r="A3170" i="5"/>
  <c r="D3169" i="5"/>
  <c r="A3169" i="5"/>
  <c r="D3168" i="5"/>
  <c r="A3168" i="5"/>
  <c r="D3167" i="5"/>
  <c r="A3167" i="5"/>
  <c r="D3166" i="5"/>
  <c r="A3166" i="5"/>
  <c r="D3165" i="5"/>
  <c r="A3165" i="5"/>
  <c r="D3164" i="5"/>
  <c r="B3164" i="5"/>
  <c r="A3164" i="5"/>
  <c r="D3163" i="5"/>
  <c r="A3163" i="5"/>
  <c r="D3162" i="5"/>
  <c r="B3162" i="5"/>
  <c r="A3162" i="5"/>
  <c r="D3161" i="5"/>
  <c r="B3161" i="5"/>
  <c r="A3161" i="5"/>
  <c r="D3160" i="5"/>
  <c r="A3160" i="5"/>
  <c r="D3159" i="5"/>
  <c r="A3159" i="5"/>
  <c r="D3158" i="5"/>
  <c r="A3158" i="5"/>
  <c r="D3157" i="5"/>
  <c r="A3157" i="5"/>
  <c r="D3156" i="5"/>
  <c r="A3156" i="5"/>
  <c r="D3155" i="5"/>
  <c r="A3155" i="5"/>
  <c r="D3154" i="5"/>
  <c r="A3154" i="5"/>
  <c r="D3153" i="5"/>
  <c r="A3153" i="5"/>
  <c r="D3152" i="5"/>
  <c r="A3152" i="5"/>
  <c r="D3151" i="5"/>
  <c r="A3151" i="5"/>
  <c r="D3150" i="5"/>
  <c r="A3150" i="5"/>
  <c r="D3149" i="5"/>
  <c r="A3149" i="5"/>
  <c r="D3148" i="5"/>
  <c r="A3148" i="5"/>
  <c r="D3147" i="5"/>
  <c r="A3147" i="5"/>
  <c r="D3146" i="5"/>
  <c r="A3146" i="5"/>
  <c r="D3145" i="5"/>
  <c r="A3145" i="5"/>
  <c r="D3144" i="5"/>
  <c r="A3144" i="5"/>
  <c r="D3143" i="5"/>
  <c r="A3143" i="5"/>
  <c r="D3142" i="5"/>
  <c r="A3142" i="5"/>
  <c r="D3141" i="5"/>
  <c r="A3141" i="5"/>
  <c r="D3140" i="5"/>
  <c r="A3140" i="5"/>
  <c r="D3139" i="5"/>
  <c r="A3139" i="5"/>
  <c r="D3138" i="5"/>
  <c r="A3138" i="5"/>
  <c r="D3137" i="5"/>
  <c r="A3137" i="5"/>
  <c r="D3136" i="5"/>
  <c r="A3136" i="5"/>
  <c r="D3135" i="5"/>
  <c r="A3135" i="5"/>
  <c r="D3134" i="5"/>
  <c r="A3134" i="5"/>
  <c r="D3133" i="5"/>
  <c r="A3133" i="5"/>
  <c r="D3132" i="5"/>
  <c r="A3132" i="5"/>
  <c r="D3131" i="5"/>
  <c r="A3131" i="5"/>
  <c r="D3130" i="5"/>
  <c r="A3130" i="5"/>
  <c r="D3129" i="5"/>
  <c r="A3129" i="5"/>
  <c r="D3128" i="5"/>
  <c r="A3128" i="5"/>
  <c r="D3127" i="5"/>
  <c r="A3127" i="5"/>
  <c r="D3126" i="5"/>
  <c r="A3126" i="5"/>
  <c r="D3125" i="5"/>
  <c r="A3125" i="5"/>
  <c r="D3124" i="5"/>
  <c r="A3124" i="5"/>
  <c r="D3123" i="5"/>
  <c r="A3123" i="5"/>
  <c r="D3122" i="5"/>
  <c r="A3122" i="5"/>
  <c r="D3121" i="5"/>
  <c r="A3121" i="5"/>
  <c r="D3120" i="5"/>
  <c r="A3120" i="5"/>
  <c r="D3119" i="5"/>
  <c r="A3119" i="5"/>
  <c r="D3118" i="5"/>
  <c r="A3118" i="5"/>
  <c r="D3117" i="5"/>
  <c r="A3117" i="5"/>
  <c r="D3116" i="5"/>
  <c r="A3116" i="5"/>
  <c r="D3115" i="5"/>
  <c r="A3115" i="5"/>
  <c r="D3114" i="5"/>
  <c r="A3114" i="5"/>
  <c r="D3113" i="5"/>
  <c r="A3113" i="5"/>
  <c r="D3112" i="5"/>
  <c r="A3112" i="5"/>
  <c r="D3111" i="5"/>
  <c r="A3111" i="5"/>
  <c r="D3110" i="5"/>
  <c r="A3110" i="5"/>
  <c r="D3109" i="5"/>
  <c r="A3109" i="5"/>
  <c r="D3108" i="5"/>
  <c r="A3108" i="5"/>
  <c r="D3107" i="5"/>
  <c r="A3107" i="5"/>
  <c r="D3106" i="5"/>
  <c r="A3106" i="5"/>
  <c r="D3105" i="5"/>
  <c r="A3105" i="5"/>
  <c r="D3104" i="5"/>
  <c r="A3104" i="5"/>
  <c r="D3103" i="5"/>
  <c r="A3103" i="5"/>
  <c r="D3102" i="5"/>
  <c r="A3102" i="5"/>
  <c r="D3101" i="5"/>
  <c r="A3101" i="5"/>
  <c r="D3100" i="5"/>
  <c r="A3100" i="5"/>
  <c r="D3099" i="5"/>
  <c r="A3099" i="5"/>
  <c r="D3098" i="5"/>
  <c r="A3098" i="5"/>
  <c r="D3097" i="5"/>
  <c r="A3097" i="5"/>
  <c r="D3096" i="5"/>
  <c r="A3096" i="5"/>
  <c r="D3095" i="5"/>
  <c r="A3095" i="5"/>
  <c r="D3094" i="5"/>
  <c r="A3094" i="5"/>
  <c r="D3093" i="5"/>
  <c r="A3093" i="5"/>
  <c r="D3092" i="5"/>
  <c r="A3092" i="5"/>
  <c r="D3091" i="5"/>
  <c r="A3091" i="5"/>
  <c r="D3090" i="5"/>
  <c r="A3090" i="5"/>
  <c r="D3089" i="5"/>
  <c r="A3089" i="5"/>
  <c r="D3088" i="5"/>
  <c r="A3088" i="5"/>
  <c r="D3087" i="5"/>
  <c r="A3087" i="5"/>
  <c r="D3086" i="5"/>
  <c r="A3086" i="5"/>
  <c r="D3085" i="5"/>
  <c r="A3085" i="5"/>
  <c r="D3084" i="5"/>
  <c r="A3084" i="5"/>
  <c r="D3083" i="5"/>
  <c r="A3083" i="5"/>
  <c r="D3082" i="5"/>
  <c r="A3082" i="5"/>
  <c r="D3081" i="5"/>
  <c r="A3081" i="5"/>
  <c r="D3080" i="5"/>
  <c r="A3080" i="5"/>
  <c r="D3079" i="5"/>
  <c r="A3079" i="5"/>
  <c r="D3078" i="5"/>
  <c r="A3078" i="5"/>
  <c r="D3077" i="5"/>
  <c r="A3077" i="5"/>
  <c r="D3076" i="5"/>
  <c r="A3076" i="5"/>
  <c r="D3075" i="5"/>
  <c r="A3075" i="5"/>
  <c r="D3074" i="5"/>
  <c r="A3074" i="5"/>
  <c r="D3073" i="5"/>
  <c r="A3073" i="5"/>
  <c r="D3072" i="5"/>
  <c r="A3072" i="5"/>
  <c r="D3071" i="5"/>
  <c r="A3071" i="5"/>
  <c r="D3070" i="5"/>
  <c r="A3070" i="5"/>
  <c r="D3069" i="5"/>
  <c r="A3069" i="5"/>
  <c r="D3068" i="5"/>
  <c r="A3068" i="5"/>
  <c r="D3067" i="5"/>
  <c r="A3067" i="5"/>
  <c r="D3066" i="5"/>
  <c r="A3066" i="5"/>
  <c r="D3065" i="5"/>
  <c r="A3065" i="5"/>
  <c r="D3064" i="5"/>
  <c r="A3064" i="5"/>
  <c r="D3063" i="5"/>
  <c r="A3063" i="5"/>
  <c r="D3062" i="5"/>
  <c r="A3062" i="5"/>
  <c r="D3061" i="5"/>
  <c r="A3061" i="5"/>
  <c r="D3060" i="5"/>
  <c r="A3060" i="5"/>
  <c r="D3059" i="5"/>
  <c r="A3059" i="5"/>
  <c r="D3058" i="5"/>
  <c r="A3058" i="5"/>
  <c r="D3057" i="5"/>
  <c r="A3057" i="5"/>
  <c r="D3056" i="5"/>
  <c r="A3056" i="5"/>
  <c r="D3055" i="5"/>
  <c r="A3055" i="5"/>
  <c r="D3054" i="5"/>
  <c r="A3054" i="5"/>
  <c r="D3053" i="5"/>
  <c r="A3053" i="5"/>
  <c r="D3052" i="5"/>
  <c r="A3052" i="5"/>
  <c r="D3051" i="5"/>
  <c r="A3051" i="5"/>
  <c r="D3050" i="5"/>
  <c r="A3050" i="5"/>
  <c r="D3049" i="5"/>
  <c r="A3049" i="5"/>
  <c r="D3048" i="5"/>
  <c r="A3048" i="5"/>
  <c r="D3047" i="5"/>
  <c r="B3047" i="5"/>
  <c r="A3047" i="5"/>
  <c r="D3046" i="5"/>
  <c r="B3046" i="5"/>
  <c r="A3046" i="5"/>
  <c r="D3045" i="5"/>
  <c r="B3045" i="5"/>
  <c r="A3045" i="5"/>
  <c r="D3044" i="5"/>
  <c r="B3044" i="5"/>
  <c r="A3044" i="5"/>
  <c r="D3043" i="5"/>
  <c r="B3043" i="5"/>
  <c r="A3043" i="5"/>
  <c r="D3042" i="5"/>
  <c r="C3042" i="5"/>
  <c r="B3042" i="5"/>
  <c r="A3042" i="5"/>
  <c r="D3041" i="5"/>
  <c r="B3041" i="5"/>
  <c r="A3041" i="5"/>
  <c r="D3040" i="5"/>
  <c r="B3040" i="5"/>
  <c r="A3040" i="5"/>
  <c r="D3039" i="5"/>
  <c r="B3039" i="5"/>
  <c r="A3039" i="5"/>
  <c r="D3038" i="5"/>
  <c r="B3038" i="5"/>
  <c r="A3038" i="5"/>
  <c r="D3037" i="5"/>
  <c r="A3037" i="5"/>
  <c r="D3036" i="5"/>
  <c r="A3036" i="5"/>
  <c r="D3035" i="5"/>
  <c r="B3035" i="5"/>
  <c r="A3035" i="5"/>
  <c r="D3034" i="5"/>
  <c r="B3034" i="5"/>
  <c r="A3034" i="5"/>
  <c r="D3033" i="5"/>
  <c r="B3033" i="5"/>
  <c r="A3033" i="5"/>
  <c r="D3032" i="5"/>
  <c r="B3032" i="5"/>
  <c r="A3032" i="5"/>
  <c r="D3031" i="5"/>
  <c r="B3031" i="5"/>
  <c r="A3031" i="5"/>
  <c r="D3030" i="5"/>
  <c r="B3030" i="5"/>
  <c r="A3030" i="5"/>
  <c r="D3029" i="5"/>
  <c r="A3029" i="5"/>
  <c r="D3028" i="5"/>
  <c r="B3028" i="5"/>
  <c r="A3028" i="5"/>
  <c r="D3027" i="5"/>
  <c r="A3027" i="5"/>
  <c r="D3026" i="5"/>
  <c r="B3026" i="5"/>
  <c r="A3026" i="5"/>
  <c r="D3025" i="5"/>
  <c r="B3025" i="5"/>
  <c r="A3025" i="5"/>
  <c r="D3024" i="5"/>
  <c r="B3024" i="5"/>
  <c r="A3024" i="5"/>
  <c r="D3023" i="5"/>
  <c r="A3023" i="5"/>
  <c r="D3022" i="5"/>
  <c r="B3022" i="5"/>
  <c r="A3022" i="5"/>
  <c r="D3021" i="5"/>
  <c r="B3021" i="5"/>
  <c r="A3021" i="5"/>
  <c r="D3020" i="5"/>
  <c r="B3020" i="5"/>
  <c r="A3020" i="5"/>
  <c r="D3019" i="5"/>
  <c r="B3019" i="5"/>
  <c r="A3019" i="5"/>
  <c r="D3018" i="5"/>
  <c r="B3018" i="5"/>
  <c r="A3018" i="5"/>
  <c r="D3017" i="5"/>
  <c r="B3017" i="5"/>
  <c r="A3017" i="5"/>
  <c r="D3016" i="5"/>
  <c r="B3016" i="5"/>
  <c r="A3016" i="5"/>
  <c r="D3015" i="5"/>
  <c r="B3015" i="5"/>
  <c r="A3015" i="5"/>
  <c r="D3014" i="5"/>
  <c r="B3014" i="5"/>
  <c r="A3014" i="5"/>
  <c r="D3013" i="5"/>
  <c r="C3013" i="5"/>
  <c r="B3013" i="5"/>
  <c r="A3013" i="5"/>
  <c r="D3012" i="5"/>
  <c r="B3012" i="5"/>
  <c r="A3012" i="5"/>
  <c r="D3011" i="5"/>
  <c r="B3011" i="5"/>
  <c r="A3011" i="5"/>
  <c r="D3010" i="5"/>
  <c r="B3010" i="5"/>
  <c r="A3010" i="5"/>
  <c r="D3009" i="5"/>
  <c r="C3009" i="5"/>
  <c r="B3009" i="5"/>
  <c r="A3009" i="5"/>
  <c r="D3008" i="5"/>
  <c r="B3008" i="5"/>
  <c r="A3008" i="5"/>
  <c r="D3007" i="5"/>
  <c r="A3007" i="5"/>
  <c r="D3006" i="5"/>
  <c r="B3006" i="5"/>
  <c r="A3006" i="5"/>
  <c r="D3005" i="5"/>
  <c r="B3005" i="5"/>
  <c r="A3005" i="5"/>
  <c r="D3004" i="5"/>
  <c r="B3004" i="5"/>
  <c r="A3004" i="5"/>
  <c r="D3003" i="5"/>
  <c r="B3003" i="5"/>
  <c r="A3003" i="5"/>
  <c r="D3002" i="5"/>
  <c r="B3002" i="5"/>
  <c r="A3002" i="5"/>
  <c r="D3001" i="5"/>
  <c r="B3001" i="5"/>
  <c r="A3001" i="5"/>
  <c r="D3000" i="5"/>
  <c r="B3000" i="5"/>
  <c r="A3000" i="5"/>
  <c r="D2999" i="5"/>
  <c r="B2999" i="5"/>
  <c r="A2999" i="5"/>
  <c r="D2998" i="5"/>
  <c r="B2998" i="5"/>
  <c r="A2998" i="5"/>
  <c r="D2997" i="5"/>
  <c r="A2997" i="5"/>
  <c r="D2996" i="5"/>
  <c r="B2996" i="5"/>
  <c r="A2996" i="5"/>
  <c r="D2995" i="5"/>
  <c r="B2995" i="5"/>
  <c r="A2995" i="5"/>
  <c r="D2994" i="5"/>
  <c r="B2994" i="5"/>
  <c r="A2994" i="5"/>
  <c r="D2993" i="5"/>
  <c r="B2993" i="5"/>
  <c r="A2993" i="5"/>
  <c r="D2992" i="5"/>
  <c r="A2992" i="5"/>
  <c r="D2991" i="5"/>
  <c r="B2991" i="5"/>
  <c r="A2991" i="5"/>
  <c r="D2990" i="5"/>
  <c r="B2990" i="5"/>
  <c r="A2990" i="5"/>
  <c r="D2989" i="5"/>
  <c r="B2989" i="5"/>
  <c r="A2989" i="5"/>
  <c r="D2988" i="5"/>
  <c r="B2988" i="5"/>
  <c r="A2988" i="5"/>
  <c r="D2987" i="5"/>
  <c r="B2987" i="5"/>
  <c r="A2987" i="5"/>
  <c r="D2986" i="5"/>
  <c r="A2986" i="5"/>
  <c r="D2985" i="5"/>
  <c r="B2985" i="5"/>
  <c r="A2985" i="5"/>
  <c r="D2984" i="5"/>
  <c r="B2984" i="5"/>
  <c r="A2984" i="5"/>
  <c r="D2983" i="5"/>
  <c r="B2983" i="5"/>
  <c r="A2983" i="5"/>
  <c r="D2982" i="5"/>
  <c r="B2982" i="5"/>
  <c r="A2982" i="5"/>
  <c r="D2981" i="5"/>
  <c r="B2981" i="5"/>
  <c r="A2981" i="5"/>
  <c r="D2980" i="5"/>
  <c r="A2980" i="5"/>
  <c r="D2979" i="5"/>
  <c r="A2979" i="5"/>
  <c r="D2978" i="5"/>
  <c r="A2978" i="5"/>
  <c r="D2977" i="5"/>
  <c r="C2977" i="5"/>
  <c r="B2977" i="5"/>
  <c r="A2977" i="5"/>
  <c r="D2976" i="5"/>
  <c r="B2976" i="5"/>
  <c r="A2976" i="5"/>
  <c r="D2975" i="5"/>
  <c r="A2975" i="5"/>
  <c r="D2974" i="5"/>
  <c r="A2974" i="5"/>
  <c r="D2973" i="5"/>
  <c r="B2973" i="5"/>
  <c r="A2973" i="5"/>
  <c r="D2972" i="5"/>
  <c r="A2972" i="5"/>
  <c r="D2971" i="5"/>
  <c r="A2971" i="5"/>
  <c r="D2970" i="5"/>
  <c r="A2970" i="5"/>
  <c r="D2969" i="5"/>
  <c r="B2969" i="5"/>
  <c r="A2969" i="5"/>
  <c r="D2968" i="5"/>
  <c r="A2968" i="5"/>
  <c r="D2967" i="5"/>
  <c r="A2967" i="5"/>
  <c r="D2966" i="5"/>
  <c r="A2966" i="5"/>
  <c r="D2965" i="5"/>
  <c r="A2965" i="5"/>
  <c r="D2964" i="5"/>
  <c r="A2964" i="5"/>
  <c r="D2963" i="5"/>
  <c r="A2963" i="5"/>
  <c r="D2962" i="5"/>
  <c r="B2962" i="5"/>
  <c r="A2962" i="5"/>
  <c r="D2961" i="5"/>
  <c r="A2961" i="5"/>
  <c r="D2960" i="5"/>
  <c r="A2960" i="5"/>
  <c r="D2959" i="5"/>
  <c r="A2959" i="5"/>
  <c r="D2958" i="5"/>
  <c r="A2958" i="5"/>
  <c r="D2957" i="5"/>
  <c r="A2957" i="5"/>
  <c r="D2956" i="5"/>
  <c r="A2956" i="5"/>
  <c r="D2955" i="5"/>
  <c r="B2955" i="5"/>
  <c r="A2955" i="5"/>
  <c r="D2954" i="5"/>
  <c r="B2954" i="5"/>
  <c r="A2954" i="5"/>
  <c r="D2953" i="5"/>
  <c r="B2953" i="5"/>
  <c r="A2953" i="5"/>
  <c r="D2952" i="5"/>
  <c r="A2952" i="5"/>
  <c r="D2951" i="5"/>
  <c r="B2951" i="5"/>
  <c r="A2951" i="5"/>
  <c r="D2950" i="5"/>
  <c r="B2950" i="5"/>
  <c r="A2950" i="5"/>
  <c r="D2949" i="5"/>
  <c r="B2949" i="5"/>
  <c r="A2949" i="5"/>
  <c r="D2948" i="5"/>
  <c r="B2948" i="5"/>
  <c r="A2948" i="5"/>
  <c r="D2947" i="5"/>
  <c r="B2947" i="5"/>
  <c r="A2947" i="5"/>
  <c r="D2946" i="5"/>
  <c r="A2946" i="5"/>
  <c r="D2945" i="5"/>
  <c r="B2945" i="5"/>
  <c r="A2945" i="5"/>
  <c r="D2944" i="5"/>
  <c r="B2944" i="5"/>
  <c r="A2944" i="5"/>
  <c r="D2943" i="5"/>
  <c r="B2943" i="5"/>
  <c r="A2943" i="5"/>
  <c r="D2942" i="5"/>
  <c r="B2942" i="5"/>
  <c r="A2942" i="5"/>
  <c r="D2941" i="5"/>
  <c r="B2941" i="5"/>
  <c r="A2941" i="5"/>
  <c r="D2940" i="5"/>
  <c r="B2940" i="5"/>
  <c r="A2940" i="5"/>
  <c r="D2939" i="5"/>
  <c r="B2939" i="5"/>
  <c r="A2939" i="5"/>
  <c r="D2938" i="5"/>
  <c r="B2938" i="5"/>
  <c r="A2938" i="5"/>
  <c r="D2937" i="5"/>
  <c r="B2937" i="5"/>
  <c r="A2937" i="5"/>
  <c r="D2936" i="5"/>
  <c r="B2936" i="5"/>
  <c r="A2936" i="5"/>
  <c r="D2935" i="5"/>
  <c r="A2935" i="5"/>
  <c r="D2934" i="5"/>
  <c r="B2934" i="5"/>
  <c r="A2934" i="5"/>
  <c r="D2933" i="5"/>
  <c r="B2933" i="5"/>
  <c r="A2933" i="5"/>
  <c r="D2932" i="5"/>
  <c r="B2932" i="5"/>
  <c r="A2932" i="5"/>
  <c r="D2931" i="5"/>
  <c r="B2931" i="5"/>
  <c r="A2931" i="5"/>
  <c r="D2930" i="5"/>
  <c r="B2930" i="5"/>
  <c r="A2930" i="5"/>
  <c r="D2929" i="5"/>
  <c r="B2929" i="5"/>
  <c r="A2929" i="5"/>
  <c r="D2928" i="5"/>
  <c r="A2928" i="5"/>
  <c r="D2927" i="5"/>
  <c r="A2927" i="5"/>
  <c r="D2926" i="5"/>
  <c r="A2926" i="5"/>
  <c r="D2925" i="5"/>
  <c r="A2925" i="5"/>
  <c r="D2924" i="5"/>
  <c r="A2924" i="5"/>
  <c r="D2923" i="5"/>
  <c r="B2923" i="5"/>
  <c r="A2923" i="5"/>
  <c r="D2922" i="5"/>
  <c r="A2922" i="5"/>
  <c r="D2921" i="5"/>
  <c r="A2921" i="5"/>
  <c r="D2920" i="5"/>
  <c r="A2920" i="5"/>
  <c r="D2919" i="5"/>
  <c r="A2919" i="5"/>
  <c r="D2918" i="5"/>
  <c r="B2918" i="5"/>
  <c r="A2918" i="5"/>
  <c r="D2917" i="5"/>
  <c r="A2917" i="5"/>
  <c r="D2916" i="5"/>
  <c r="A2916" i="5"/>
  <c r="D2915" i="5"/>
  <c r="A2915" i="5"/>
  <c r="D2914" i="5"/>
  <c r="A2914" i="5"/>
  <c r="D2913" i="5"/>
  <c r="A2913" i="5"/>
  <c r="D2912" i="5"/>
  <c r="B2912" i="5"/>
  <c r="A2912" i="5"/>
  <c r="D2911" i="5"/>
  <c r="A2911" i="5"/>
  <c r="D2910" i="5"/>
  <c r="A2910" i="5"/>
  <c r="D2909" i="5"/>
  <c r="A2909" i="5"/>
  <c r="D2908" i="5"/>
  <c r="B2908" i="5"/>
  <c r="A2908" i="5"/>
  <c r="D2907" i="5"/>
  <c r="A2907" i="5"/>
  <c r="D2906" i="5"/>
  <c r="B2906" i="5"/>
  <c r="A2906" i="5"/>
  <c r="D2905" i="5"/>
  <c r="A2905" i="5"/>
  <c r="D2904" i="5"/>
  <c r="B2904" i="5"/>
  <c r="A2904" i="5"/>
  <c r="D2903" i="5"/>
  <c r="B2903" i="5"/>
  <c r="A2903" i="5"/>
  <c r="D2902" i="5"/>
  <c r="B2902" i="5"/>
  <c r="A2902" i="5"/>
  <c r="D2901" i="5"/>
  <c r="A2901" i="5"/>
  <c r="D2900" i="5"/>
  <c r="B2900" i="5"/>
  <c r="A2900" i="5"/>
  <c r="D2899" i="5"/>
  <c r="B2899" i="5"/>
  <c r="A2899" i="5"/>
  <c r="D2898" i="5"/>
  <c r="B2898" i="5"/>
  <c r="A2898" i="5"/>
  <c r="D2897" i="5"/>
  <c r="A2897" i="5"/>
  <c r="D2896" i="5"/>
  <c r="A2896" i="5"/>
  <c r="D2895" i="5"/>
  <c r="A2895" i="5"/>
  <c r="D2894" i="5"/>
  <c r="A2894" i="5"/>
  <c r="D2893" i="5"/>
  <c r="B2893" i="5"/>
  <c r="A2893" i="5"/>
  <c r="D2892" i="5"/>
  <c r="A2892" i="5"/>
  <c r="D2891" i="5"/>
  <c r="B2891" i="5"/>
  <c r="A2891" i="5"/>
  <c r="D2890" i="5"/>
  <c r="A2890" i="5"/>
  <c r="D2889" i="5"/>
  <c r="A2889" i="5"/>
  <c r="D2888" i="5"/>
  <c r="A2888" i="5"/>
  <c r="D2887" i="5"/>
  <c r="B2887" i="5"/>
  <c r="A2887" i="5"/>
  <c r="D2886" i="5"/>
  <c r="A2886" i="5"/>
  <c r="D2885" i="5"/>
  <c r="A2885" i="5"/>
  <c r="D2884" i="5"/>
  <c r="B2884" i="5"/>
  <c r="A2884" i="5"/>
  <c r="D2883" i="5"/>
  <c r="B2883" i="5"/>
  <c r="A2883" i="5"/>
  <c r="D2882" i="5"/>
  <c r="A2882" i="5"/>
  <c r="D2881" i="5"/>
  <c r="A2881" i="5"/>
  <c r="D2880" i="5"/>
  <c r="A2880" i="5"/>
  <c r="D2879" i="5"/>
  <c r="B2879" i="5"/>
  <c r="A2879" i="5"/>
  <c r="D2878" i="5"/>
  <c r="B2878" i="5"/>
  <c r="A2878" i="5"/>
  <c r="D2877" i="5"/>
  <c r="A2877" i="5"/>
  <c r="D2876" i="5"/>
  <c r="A2876" i="5"/>
  <c r="D2875" i="5"/>
  <c r="A2875" i="5"/>
  <c r="D2874" i="5"/>
  <c r="A2874" i="5"/>
  <c r="D2873" i="5"/>
  <c r="A2873" i="5"/>
  <c r="D2872" i="5"/>
  <c r="A2872" i="5"/>
  <c r="D2871" i="5"/>
  <c r="A2871" i="5"/>
  <c r="D2870" i="5"/>
  <c r="A2870" i="5"/>
  <c r="D2869" i="5"/>
  <c r="A2869" i="5"/>
  <c r="D2868" i="5"/>
  <c r="A2868" i="5"/>
  <c r="D2867" i="5"/>
  <c r="A2867" i="5"/>
  <c r="D2866" i="5"/>
  <c r="A2866" i="5"/>
  <c r="D2865" i="5"/>
  <c r="A2865" i="5"/>
  <c r="D2864" i="5"/>
  <c r="A2864" i="5"/>
  <c r="D2863" i="5"/>
  <c r="A2863" i="5"/>
  <c r="D2862" i="5"/>
  <c r="A2862" i="5"/>
  <c r="D2861" i="5"/>
  <c r="A2861" i="5"/>
  <c r="D2860" i="5"/>
  <c r="A2860" i="5"/>
  <c r="D2859" i="5"/>
  <c r="A2859" i="5"/>
  <c r="D2858" i="5"/>
  <c r="A2858" i="5"/>
  <c r="D2857" i="5"/>
  <c r="A2857" i="5"/>
  <c r="D2856" i="5"/>
  <c r="B2856" i="5"/>
  <c r="A2856" i="5"/>
  <c r="D2855" i="5"/>
  <c r="B2855" i="5"/>
  <c r="A2855" i="5"/>
  <c r="D2854" i="5"/>
  <c r="B2854" i="5"/>
  <c r="A2854" i="5"/>
  <c r="D2853" i="5"/>
  <c r="B2853" i="5"/>
  <c r="A2853" i="5"/>
  <c r="D2852" i="5"/>
  <c r="B2852" i="5"/>
  <c r="A2852" i="5"/>
  <c r="D2851" i="5"/>
  <c r="B2851" i="5"/>
  <c r="A2851" i="5"/>
  <c r="D2850" i="5"/>
  <c r="B2850" i="5"/>
  <c r="A2850" i="5"/>
  <c r="D2849" i="5"/>
  <c r="B2849" i="5"/>
  <c r="A2849" i="5"/>
  <c r="D2848" i="5"/>
  <c r="A2848" i="5"/>
  <c r="D2847" i="5"/>
  <c r="B2847" i="5"/>
  <c r="A2847" i="5"/>
  <c r="D2846" i="5"/>
  <c r="B2846" i="5"/>
  <c r="A2846" i="5"/>
  <c r="D2845" i="5"/>
  <c r="B2845" i="5"/>
  <c r="A2845" i="5"/>
  <c r="D2844" i="5"/>
  <c r="B2844" i="5"/>
  <c r="A2844" i="5"/>
  <c r="D2843" i="5"/>
  <c r="A2843" i="5"/>
  <c r="D2842" i="5"/>
  <c r="A2842" i="5"/>
  <c r="D2841" i="5"/>
  <c r="B2841" i="5"/>
  <c r="A2841" i="5"/>
  <c r="D2840" i="5"/>
  <c r="B2840" i="5"/>
  <c r="A2840" i="5"/>
  <c r="D2839" i="5"/>
  <c r="A2839" i="5"/>
  <c r="D2838" i="5"/>
  <c r="B2838" i="5"/>
  <c r="A2838" i="5"/>
  <c r="D2837" i="5"/>
  <c r="B2837" i="5"/>
  <c r="A2837" i="5"/>
  <c r="D2836" i="5"/>
  <c r="A2836" i="5"/>
  <c r="D2835" i="5"/>
  <c r="A2835" i="5"/>
  <c r="D2834" i="5"/>
  <c r="B2834" i="5"/>
  <c r="A2834" i="5"/>
  <c r="D2833" i="5"/>
  <c r="B2833" i="5"/>
  <c r="A2833" i="5"/>
  <c r="D2832" i="5"/>
  <c r="A2832" i="5"/>
  <c r="D2831" i="5"/>
  <c r="B2831" i="5"/>
  <c r="A2831" i="5"/>
  <c r="D2830" i="5"/>
  <c r="A2830" i="5"/>
  <c r="D2829" i="5"/>
  <c r="A2829" i="5"/>
  <c r="D2828" i="5"/>
  <c r="A2828" i="5"/>
  <c r="D2827" i="5"/>
  <c r="A2827" i="5"/>
  <c r="D2826" i="5"/>
  <c r="A2826" i="5"/>
  <c r="D2825" i="5"/>
  <c r="B2825" i="5"/>
  <c r="A2825" i="5"/>
  <c r="D2824" i="5"/>
  <c r="A2824" i="5"/>
  <c r="D2823" i="5"/>
  <c r="A2823" i="5"/>
  <c r="D2822" i="5"/>
  <c r="B2822" i="5"/>
  <c r="A2822" i="5"/>
  <c r="D2821" i="5"/>
  <c r="A2821" i="5"/>
  <c r="D2820" i="5"/>
  <c r="A2820" i="5"/>
  <c r="D2819" i="5"/>
  <c r="A2819" i="5"/>
  <c r="D2818" i="5"/>
  <c r="A2818" i="5"/>
  <c r="D2817" i="5"/>
  <c r="A2817" i="5"/>
  <c r="D2816" i="5"/>
  <c r="A2816" i="5"/>
  <c r="D2815" i="5"/>
  <c r="A2815" i="5"/>
  <c r="D2814" i="5"/>
  <c r="A2814" i="5"/>
  <c r="D2813" i="5"/>
  <c r="A2813" i="5"/>
  <c r="D2812" i="5"/>
  <c r="A2812" i="5"/>
  <c r="D2811" i="5"/>
  <c r="A2811" i="5"/>
  <c r="D2810" i="5"/>
  <c r="B2810" i="5"/>
  <c r="A2810" i="5"/>
  <c r="D2809" i="5"/>
  <c r="A2809" i="5"/>
  <c r="D2808" i="5"/>
  <c r="B2808" i="5"/>
  <c r="A2808" i="5"/>
  <c r="D2807" i="5"/>
  <c r="A2807" i="5"/>
  <c r="D2806" i="5"/>
  <c r="A2806" i="5"/>
  <c r="D2805" i="5"/>
  <c r="A2805" i="5"/>
  <c r="D2804" i="5"/>
  <c r="A2804" i="5"/>
  <c r="D2803" i="5"/>
  <c r="B2803" i="5"/>
  <c r="A2803" i="5"/>
  <c r="D2802" i="5"/>
  <c r="A2802" i="5"/>
  <c r="D2801" i="5"/>
  <c r="B2801" i="5"/>
  <c r="A2801" i="5"/>
  <c r="D2800" i="5"/>
  <c r="A2800" i="5"/>
  <c r="D2799" i="5"/>
  <c r="A2799" i="5"/>
  <c r="D2798" i="5"/>
  <c r="A2798" i="5"/>
  <c r="D2797" i="5"/>
  <c r="A2797" i="5"/>
  <c r="D2796" i="5"/>
  <c r="A2796" i="5"/>
  <c r="D2795" i="5"/>
  <c r="B2795" i="5"/>
  <c r="A2795" i="5"/>
  <c r="D2794" i="5"/>
  <c r="A2794" i="5"/>
  <c r="D2793" i="5"/>
  <c r="A2793" i="5"/>
  <c r="D2792" i="5"/>
  <c r="A2792" i="5"/>
  <c r="D2791" i="5"/>
  <c r="A2791" i="5"/>
  <c r="D2790" i="5"/>
  <c r="A2790" i="5"/>
  <c r="D2789" i="5"/>
  <c r="B2789" i="5"/>
  <c r="A2789" i="5"/>
  <c r="D2788" i="5"/>
  <c r="B2788" i="5"/>
  <c r="A2788" i="5"/>
  <c r="D2787" i="5"/>
  <c r="B2787" i="5"/>
  <c r="A2787" i="5"/>
  <c r="D2786" i="5"/>
  <c r="A2786" i="5"/>
  <c r="D2785" i="5"/>
  <c r="A2785" i="5"/>
  <c r="D2784" i="5"/>
  <c r="A2784" i="5"/>
  <c r="D2783" i="5"/>
  <c r="A2783" i="5"/>
  <c r="D2782" i="5"/>
  <c r="A2782" i="5"/>
  <c r="D2781" i="5"/>
  <c r="A2781" i="5"/>
  <c r="D2780" i="5"/>
  <c r="A2780" i="5"/>
  <c r="D2779" i="5"/>
  <c r="A2779" i="5"/>
  <c r="D2778" i="5"/>
  <c r="A2778" i="5"/>
  <c r="D2777" i="5"/>
  <c r="A2777" i="5"/>
  <c r="D2776" i="5"/>
  <c r="A2776" i="5"/>
  <c r="D2775" i="5"/>
  <c r="A2775" i="5"/>
  <c r="D2774" i="5"/>
  <c r="A2774" i="5"/>
  <c r="D2773" i="5"/>
  <c r="B2773" i="5"/>
  <c r="A2773" i="5"/>
  <c r="D2772" i="5"/>
  <c r="A2772" i="5"/>
  <c r="D2771" i="5"/>
  <c r="A2771" i="5"/>
  <c r="D2770" i="5"/>
  <c r="A2770" i="5"/>
  <c r="D2769" i="5"/>
  <c r="A2769" i="5"/>
  <c r="D2768" i="5"/>
  <c r="B2768" i="5"/>
  <c r="A2768" i="5"/>
  <c r="D2767" i="5"/>
  <c r="B2767" i="5"/>
  <c r="A2767" i="5"/>
  <c r="D2766" i="5"/>
  <c r="A2766" i="5"/>
  <c r="D2765" i="5"/>
  <c r="B2765" i="5"/>
  <c r="A2765" i="5"/>
  <c r="D2764" i="5"/>
  <c r="A2764" i="5"/>
  <c r="D2763" i="5"/>
  <c r="A2763" i="5"/>
  <c r="D2762" i="5"/>
  <c r="A2762" i="5"/>
  <c r="D2761" i="5"/>
  <c r="A2761" i="5"/>
  <c r="D2760" i="5"/>
  <c r="A2760" i="5"/>
  <c r="D2759" i="5"/>
  <c r="A2759" i="5"/>
  <c r="D2758" i="5"/>
  <c r="A2758" i="5"/>
  <c r="D2757" i="5"/>
  <c r="A2757" i="5"/>
  <c r="D2756" i="5"/>
  <c r="A2756" i="5"/>
  <c r="D2755" i="5"/>
  <c r="A2755" i="5"/>
  <c r="D2754" i="5"/>
  <c r="A2754" i="5"/>
  <c r="D2753" i="5"/>
  <c r="A2753" i="5"/>
  <c r="D2752" i="5"/>
  <c r="A2752" i="5"/>
  <c r="D2751" i="5"/>
  <c r="A2751" i="5"/>
  <c r="D2750" i="5"/>
  <c r="A2750" i="5"/>
  <c r="D2749" i="5"/>
  <c r="A2749" i="5"/>
  <c r="D2748" i="5"/>
  <c r="A2748" i="5"/>
  <c r="D2747" i="5"/>
  <c r="A2747" i="5"/>
  <c r="D2746" i="5"/>
  <c r="B2746" i="5"/>
  <c r="A2746" i="5"/>
  <c r="D2745" i="5"/>
  <c r="A2745" i="5"/>
  <c r="D2744" i="5"/>
  <c r="A2744" i="5"/>
  <c r="D2743" i="5"/>
  <c r="A2743" i="5"/>
  <c r="D2742" i="5"/>
  <c r="B2742" i="5"/>
  <c r="A2742" i="5"/>
  <c r="D2741" i="5"/>
  <c r="A2741" i="5"/>
  <c r="D2740" i="5"/>
  <c r="A2740" i="5"/>
  <c r="D2739" i="5"/>
  <c r="A2739" i="5"/>
  <c r="D2738" i="5"/>
  <c r="A2738" i="5"/>
  <c r="D2737" i="5"/>
  <c r="A2737" i="5"/>
  <c r="D2736" i="5"/>
  <c r="A2736" i="5"/>
  <c r="D2735" i="5"/>
  <c r="A2735" i="5"/>
  <c r="D2734" i="5"/>
  <c r="A2734" i="5"/>
  <c r="D2733" i="5"/>
  <c r="A2733" i="5"/>
  <c r="D2732" i="5"/>
  <c r="A2732" i="5"/>
  <c r="D2731" i="5"/>
  <c r="A2731" i="5"/>
  <c r="D2730" i="5"/>
  <c r="B2730" i="5"/>
  <c r="A2730" i="5"/>
  <c r="D2729" i="5"/>
  <c r="A2729" i="5"/>
  <c r="D2728" i="5"/>
  <c r="A2728" i="5"/>
  <c r="D2727" i="5"/>
  <c r="A2727" i="5"/>
  <c r="D2726" i="5"/>
  <c r="B2726" i="5"/>
  <c r="A2726" i="5"/>
  <c r="D2725" i="5"/>
  <c r="A2725" i="5"/>
  <c r="D2724" i="5"/>
  <c r="B2724" i="5"/>
  <c r="A2724" i="5"/>
  <c r="D2723" i="5"/>
  <c r="A2723" i="5"/>
  <c r="D2722" i="5"/>
  <c r="B2722" i="5"/>
  <c r="A2722" i="5"/>
  <c r="D2721" i="5"/>
  <c r="B2721" i="5"/>
  <c r="A2721" i="5"/>
  <c r="D2720" i="5"/>
  <c r="B2720" i="5"/>
  <c r="A2720" i="5"/>
  <c r="D2719" i="5"/>
  <c r="B2719" i="5"/>
  <c r="A2719" i="5"/>
  <c r="D2718" i="5"/>
  <c r="A2718" i="5"/>
  <c r="D2717" i="5"/>
  <c r="A2717" i="5"/>
  <c r="D2716" i="5"/>
  <c r="A2716" i="5"/>
  <c r="D2715" i="5"/>
  <c r="A2715" i="5"/>
  <c r="D2714" i="5"/>
  <c r="A2714" i="5"/>
  <c r="D2713" i="5"/>
  <c r="A2713" i="5"/>
  <c r="D2712" i="5"/>
  <c r="A2712" i="5"/>
  <c r="D2711" i="5"/>
  <c r="A2711" i="5"/>
  <c r="D2710" i="5"/>
  <c r="B2710" i="5"/>
  <c r="A2710" i="5"/>
  <c r="D2709" i="5"/>
  <c r="A2709" i="5"/>
  <c r="D2708" i="5"/>
  <c r="A2708" i="5"/>
  <c r="D2707" i="5"/>
  <c r="A2707" i="5"/>
  <c r="D2706" i="5"/>
  <c r="B2706" i="5"/>
  <c r="A2706" i="5"/>
  <c r="D2705" i="5"/>
  <c r="A2705" i="5"/>
  <c r="D2704" i="5"/>
  <c r="A2704" i="5"/>
  <c r="D2703" i="5"/>
  <c r="A2703" i="5"/>
  <c r="D2702" i="5"/>
  <c r="B2702" i="5"/>
  <c r="A2702" i="5"/>
  <c r="D2701" i="5"/>
  <c r="A2701" i="5"/>
  <c r="D2700" i="5"/>
  <c r="A2700" i="5"/>
  <c r="D2699" i="5"/>
  <c r="B2699" i="5"/>
  <c r="A2699" i="5"/>
  <c r="D2698" i="5"/>
  <c r="A2698" i="5"/>
  <c r="D2697" i="5"/>
  <c r="A2697" i="5"/>
  <c r="D2696" i="5"/>
  <c r="B2696" i="5"/>
  <c r="A2696" i="5"/>
  <c r="D2695" i="5"/>
  <c r="A2695" i="5"/>
  <c r="D2694" i="5"/>
  <c r="A2694" i="5"/>
  <c r="D2693" i="5"/>
  <c r="A2693" i="5"/>
  <c r="D2692" i="5"/>
  <c r="A2692" i="5"/>
  <c r="D2691" i="5"/>
  <c r="A2691" i="5"/>
  <c r="D2690" i="5"/>
  <c r="A2690" i="5"/>
  <c r="D2689" i="5"/>
  <c r="A2689" i="5"/>
  <c r="D2688" i="5"/>
  <c r="A2688" i="5"/>
  <c r="D2687" i="5"/>
  <c r="A2687" i="5"/>
  <c r="D2686" i="5"/>
  <c r="A2686" i="5"/>
  <c r="D2685" i="5"/>
  <c r="A2685" i="5"/>
  <c r="D2684" i="5"/>
  <c r="B2684" i="5"/>
  <c r="A2684" i="5"/>
  <c r="D2683" i="5"/>
  <c r="A2683" i="5"/>
  <c r="D2682" i="5"/>
  <c r="B2682" i="5"/>
  <c r="A2682" i="5"/>
  <c r="D2681" i="5"/>
  <c r="A2681" i="5"/>
  <c r="D2680" i="5"/>
  <c r="A2680" i="5"/>
  <c r="D2679" i="5"/>
  <c r="B2679" i="5"/>
  <c r="A2679" i="5"/>
  <c r="D2678" i="5"/>
  <c r="A2678" i="5"/>
  <c r="D2677" i="5"/>
  <c r="A2677" i="5"/>
  <c r="D2676" i="5"/>
  <c r="A2676" i="5"/>
  <c r="D2675" i="5"/>
  <c r="A2675" i="5"/>
  <c r="D2674" i="5"/>
  <c r="B2674" i="5"/>
  <c r="A2674" i="5"/>
  <c r="D2673" i="5"/>
  <c r="A2673" i="5"/>
  <c r="D2672" i="5"/>
  <c r="A2672" i="5"/>
  <c r="D2671" i="5"/>
  <c r="A2671" i="5"/>
  <c r="D2670" i="5"/>
  <c r="A2670" i="5"/>
  <c r="D2669" i="5"/>
  <c r="A2669" i="5"/>
  <c r="D2668" i="5"/>
  <c r="A2668" i="5"/>
  <c r="D2667" i="5"/>
  <c r="A2667" i="5"/>
  <c r="D2666" i="5"/>
  <c r="A2666" i="5"/>
  <c r="D2665" i="5"/>
  <c r="A2665" i="5"/>
  <c r="D2664" i="5"/>
  <c r="A2664" i="5"/>
  <c r="D2663" i="5"/>
  <c r="A2663" i="5"/>
  <c r="D2662" i="5"/>
  <c r="A2662" i="5"/>
  <c r="D2661" i="5"/>
  <c r="A2661" i="5"/>
  <c r="D2660" i="5"/>
  <c r="A2660" i="5"/>
  <c r="D2659" i="5"/>
  <c r="A2659" i="5"/>
  <c r="D2658" i="5"/>
  <c r="A2658" i="5"/>
  <c r="D2657" i="5"/>
  <c r="A2657" i="5"/>
  <c r="D2656" i="5"/>
  <c r="A2656" i="5"/>
  <c r="D2655" i="5"/>
  <c r="A2655" i="5"/>
  <c r="D2654" i="5"/>
  <c r="A2654" i="5"/>
  <c r="D2653" i="5"/>
  <c r="A2653" i="5"/>
  <c r="D2652" i="5"/>
  <c r="A2652" i="5"/>
  <c r="D2651" i="5"/>
  <c r="A2651" i="5"/>
  <c r="D2650" i="5"/>
  <c r="A2650" i="5"/>
  <c r="D2649" i="5"/>
  <c r="A2649" i="5"/>
  <c r="D2648" i="5"/>
  <c r="A2648" i="5"/>
  <c r="D2647" i="5"/>
  <c r="A2647" i="5"/>
  <c r="D2646" i="5"/>
  <c r="A2646" i="5"/>
  <c r="D2645" i="5"/>
  <c r="A2645" i="5"/>
  <c r="D2644" i="5"/>
  <c r="A2644" i="5"/>
  <c r="D2643" i="5"/>
  <c r="A2643" i="5"/>
  <c r="D2642" i="5"/>
  <c r="A2642" i="5"/>
  <c r="D2641" i="5"/>
  <c r="A2641" i="5"/>
  <c r="D2640" i="5"/>
  <c r="A2640" i="5"/>
  <c r="D2639" i="5"/>
  <c r="A2639" i="5"/>
  <c r="D2638" i="5"/>
  <c r="A2638" i="5"/>
  <c r="D2637" i="5"/>
  <c r="A2637" i="5"/>
  <c r="D2636" i="5"/>
  <c r="A2636" i="5"/>
  <c r="D2635" i="5"/>
  <c r="A2635" i="5"/>
  <c r="D2634" i="5"/>
  <c r="A2634" i="5"/>
  <c r="D2633" i="5"/>
  <c r="A2633" i="5"/>
  <c r="D2632" i="5"/>
  <c r="A2632" i="5"/>
  <c r="D2631" i="5"/>
  <c r="A2631" i="5"/>
  <c r="D2630" i="5"/>
  <c r="A2630" i="5"/>
  <c r="D2629" i="5"/>
  <c r="A2629" i="5"/>
  <c r="D2628" i="5"/>
  <c r="A2628" i="5"/>
  <c r="D2627" i="5"/>
  <c r="A2627" i="5"/>
  <c r="D2626" i="5"/>
  <c r="A2626" i="5"/>
  <c r="D2625" i="5"/>
  <c r="A2625" i="5"/>
  <c r="D2624" i="5"/>
  <c r="A2624" i="5"/>
  <c r="D2623" i="5"/>
  <c r="A2623" i="5"/>
  <c r="D2622" i="5"/>
  <c r="A2622" i="5"/>
  <c r="D2621" i="5"/>
  <c r="A2621" i="5"/>
  <c r="D2620" i="5"/>
  <c r="A2620" i="5"/>
  <c r="D2619" i="5"/>
  <c r="A2619" i="5"/>
  <c r="D2618" i="5"/>
  <c r="A2618" i="5"/>
  <c r="D2617" i="5"/>
  <c r="A2617" i="5"/>
  <c r="D2616" i="5"/>
  <c r="A2616" i="5"/>
  <c r="D2615" i="5"/>
  <c r="A2615" i="5"/>
  <c r="D2614" i="5"/>
  <c r="A2614" i="5"/>
  <c r="D2613" i="5"/>
  <c r="A2613" i="5"/>
  <c r="D2612" i="5"/>
  <c r="A2612" i="5"/>
  <c r="D2611" i="5"/>
  <c r="A2611" i="5"/>
  <c r="D2610" i="5"/>
  <c r="A2610" i="5"/>
  <c r="D2609" i="5"/>
  <c r="A2609" i="5"/>
  <c r="D2608" i="5"/>
  <c r="C2608" i="5"/>
  <c r="B2608" i="5"/>
  <c r="A2608" i="5"/>
  <c r="D2607" i="5"/>
  <c r="B2607" i="5"/>
  <c r="A2607" i="5"/>
  <c r="D2606" i="5"/>
  <c r="B2606" i="5"/>
  <c r="A2606" i="5"/>
  <c r="D2605" i="5"/>
  <c r="B2605" i="5"/>
  <c r="A2605" i="5"/>
  <c r="D2604" i="5"/>
  <c r="A2604" i="5"/>
  <c r="D2603" i="5"/>
  <c r="B2603" i="5"/>
  <c r="A2603" i="5"/>
  <c r="D2602" i="5"/>
  <c r="B2602" i="5"/>
  <c r="A2602" i="5"/>
  <c r="D2601" i="5"/>
  <c r="B2601" i="5"/>
  <c r="A2601" i="5"/>
  <c r="D2600" i="5"/>
  <c r="B2600" i="5"/>
  <c r="A2600" i="5"/>
  <c r="D2599" i="5"/>
  <c r="B2599" i="5"/>
  <c r="A2599" i="5"/>
  <c r="D2598" i="5"/>
  <c r="B2598" i="5"/>
  <c r="A2598" i="5"/>
  <c r="D2597" i="5"/>
  <c r="B2597" i="5"/>
  <c r="A2597" i="5"/>
  <c r="D2596" i="5"/>
  <c r="B2596" i="5"/>
  <c r="A2596" i="5"/>
  <c r="D2595" i="5"/>
  <c r="C2595" i="5"/>
  <c r="B2595" i="5"/>
  <c r="A2595" i="5"/>
  <c r="D2594" i="5"/>
  <c r="A2594" i="5"/>
  <c r="D2593" i="5"/>
  <c r="B2593" i="5"/>
  <c r="A2593" i="5"/>
  <c r="D2592" i="5"/>
  <c r="B2592" i="5"/>
  <c r="A2592" i="5"/>
  <c r="D2591" i="5"/>
  <c r="B2591" i="5"/>
  <c r="A2591" i="5"/>
  <c r="D2590" i="5"/>
  <c r="B2590" i="5"/>
  <c r="A2590" i="5"/>
  <c r="D2589" i="5"/>
  <c r="B2589" i="5"/>
  <c r="A2589" i="5"/>
  <c r="D2588" i="5"/>
  <c r="B2588" i="5"/>
  <c r="A2588" i="5"/>
  <c r="D2587" i="5"/>
  <c r="B2587" i="5"/>
  <c r="A2587" i="5"/>
  <c r="D2586" i="5"/>
  <c r="B2586" i="5"/>
  <c r="A2586" i="5"/>
  <c r="D2585" i="5"/>
  <c r="B2585" i="5"/>
  <c r="A2585" i="5"/>
  <c r="D2584" i="5"/>
  <c r="B2584" i="5"/>
  <c r="A2584" i="5"/>
  <c r="D2583" i="5"/>
  <c r="B2583" i="5"/>
  <c r="A2583" i="5"/>
  <c r="D2582" i="5"/>
  <c r="A2582" i="5"/>
  <c r="D2581" i="5"/>
  <c r="B2581" i="5"/>
  <c r="A2581" i="5"/>
  <c r="D2580" i="5"/>
  <c r="B2580" i="5"/>
  <c r="A2580" i="5"/>
  <c r="D2579" i="5"/>
  <c r="A2579" i="5"/>
  <c r="D2578" i="5"/>
  <c r="B2578" i="5"/>
  <c r="A2578" i="5"/>
  <c r="D2577" i="5"/>
  <c r="B2577" i="5"/>
  <c r="A2577" i="5"/>
  <c r="D2576" i="5"/>
  <c r="B2576" i="5"/>
  <c r="A2576" i="5"/>
  <c r="D2575" i="5"/>
  <c r="B2575" i="5"/>
  <c r="A2575" i="5"/>
  <c r="D2574" i="5"/>
  <c r="B2574" i="5"/>
  <c r="A2574" i="5"/>
  <c r="D2573" i="5"/>
  <c r="B2573" i="5"/>
  <c r="A2573" i="5"/>
  <c r="D2572" i="5"/>
  <c r="B2572" i="5"/>
  <c r="A2572" i="5"/>
  <c r="D2571" i="5"/>
  <c r="B2571" i="5"/>
  <c r="A2571" i="5"/>
  <c r="D2570" i="5"/>
  <c r="B2570" i="5"/>
  <c r="A2570" i="5"/>
  <c r="D2569" i="5"/>
  <c r="B2569" i="5"/>
  <c r="A2569" i="5"/>
  <c r="D2568" i="5"/>
  <c r="B2568" i="5"/>
  <c r="A2568" i="5"/>
  <c r="D2567" i="5"/>
  <c r="B2567" i="5"/>
  <c r="A2567" i="5"/>
  <c r="D2566" i="5"/>
  <c r="B2566" i="5"/>
  <c r="A2566" i="5"/>
  <c r="D2565" i="5"/>
  <c r="C2565" i="5"/>
  <c r="B2565" i="5"/>
  <c r="A2565" i="5"/>
  <c r="D2564" i="5"/>
  <c r="B2564" i="5"/>
  <c r="A2564" i="5"/>
  <c r="D2563" i="5"/>
  <c r="B2563" i="5"/>
  <c r="A2563" i="5"/>
  <c r="D2562" i="5"/>
  <c r="B2562" i="5"/>
  <c r="A2562" i="5"/>
  <c r="D2561" i="5"/>
  <c r="B2561" i="5"/>
  <c r="A2561" i="5"/>
  <c r="D2560" i="5"/>
  <c r="B2560" i="5"/>
  <c r="A2560" i="5"/>
  <c r="D2559" i="5"/>
  <c r="B2559" i="5"/>
  <c r="A2559" i="5"/>
  <c r="D2558" i="5"/>
  <c r="B2558" i="5"/>
  <c r="A2558" i="5"/>
  <c r="D2557" i="5"/>
  <c r="B2557" i="5"/>
  <c r="A2557" i="5"/>
  <c r="D2556" i="5"/>
  <c r="B2556" i="5"/>
  <c r="A2556" i="5"/>
  <c r="D2555" i="5"/>
  <c r="B2555" i="5"/>
  <c r="A2555" i="5"/>
  <c r="D2554" i="5"/>
  <c r="B2554" i="5"/>
  <c r="A2554" i="5"/>
  <c r="D2553" i="5"/>
  <c r="B2553" i="5"/>
  <c r="A2553" i="5"/>
  <c r="D2552" i="5"/>
  <c r="B2552" i="5"/>
  <c r="A2552" i="5"/>
  <c r="D2551" i="5"/>
  <c r="A2551" i="5"/>
  <c r="D2550" i="5"/>
  <c r="B2550" i="5"/>
  <c r="A2550" i="5"/>
  <c r="D2549" i="5"/>
  <c r="B2549" i="5"/>
  <c r="A2549" i="5"/>
  <c r="D2548" i="5"/>
  <c r="B2548" i="5"/>
  <c r="A2548" i="5"/>
  <c r="D2547" i="5"/>
  <c r="B2547" i="5"/>
  <c r="A2547" i="5"/>
  <c r="D2546" i="5"/>
  <c r="B2546" i="5"/>
  <c r="A2546" i="5"/>
  <c r="D2545" i="5"/>
  <c r="B2545" i="5"/>
  <c r="A2545" i="5"/>
  <c r="D2544" i="5"/>
  <c r="B2544" i="5"/>
  <c r="A2544" i="5"/>
  <c r="D2543" i="5"/>
  <c r="B2543" i="5"/>
  <c r="A2543" i="5"/>
  <c r="D2542" i="5"/>
  <c r="B2542" i="5"/>
  <c r="A2542" i="5"/>
  <c r="D2541" i="5"/>
  <c r="B2541" i="5"/>
  <c r="A2541" i="5"/>
  <c r="D2540" i="5"/>
  <c r="B2540" i="5"/>
  <c r="A2540" i="5"/>
  <c r="D2539" i="5"/>
  <c r="B2539" i="5"/>
  <c r="A2539" i="5"/>
  <c r="D2538" i="5"/>
  <c r="B2538" i="5"/>
  <c r="A2538" i="5"/>
  <c r="D2537" i="5"/>
  <c r="B2537" i="5"/>
  <c r="A2537" i="5"/>
  <c r="D2536" i="5"/>
  <c r="B2536" i="5"/>
  <c r="A2536" i="5"/>
  <c r="D2535" i="5"/>
  <c r="B2535" i="5"/>
  <c r="A2535" i="5"/>
  <c r="D2534" i="5"/>
  <c r="B2534" i="5"/>
  <c r="A2534" i="5"/>
  <c r="D2533" i="5"/>
  <c r="B2533" i="5"/>
  <c r="A2533" i="5"/>
  <c r="D2532" i="5"/>
  <c r="B2532" i="5"/>
  <c r="A2532" i="5"/>
  <c r="D2531" i="5"/>
  <c r="B2531" i="5"/>
  <c r="A2531" i="5"/>
  <c r="D2530" i="5"/>
  <c r="B2530" i="5"/>
  <c r="A2530" i="5"/>
  <c r="D2529" i="5"/>
  <c r="B2529" i="5"/>
  <c r="A2529" i="5"/>
  <c r="D2528" i="5"/>
  <c r="C2528" i="5"/>
  <c r="B2528" i="5"/>
  <c r="A2528" i="5"/>
  <c r="D2527" i="5"/>
  <c r="A2527" i="5"/>
  <c r="D2526" i="5"/>
  <c r="B2526" i="5"/>
  <c r="A2526" i="5"/>
  <c r="D2525" i="5"/>
  <c r="B2525" i="5"/>
  <c r="A2525" i="5"/>
  <c r="D2524" i="5"/>
  <c r="B2524" i="5"/>
  <c r="A2524" i="5"/>
  <c r="D2523" i="5"/>
  <c r="B2523" i="5"/>
  <c r="A2523" i="5"/>
  <c r="D2522" i="5"/>
  <c r="B2522" i="5"/>
  <c r="A2522" i="5"/>
  <c r="D2521" i="5"/>
  <c r="B2521" i="5"/>
  <c r="A2521" i="5"/>
  <c r="D2520" i="5"/>
  <c r="B2520" i="5"/>
  <c r="A2520" i="5"/>
  <c r="D2519" i="5"/>
  <c r="A2519" i="5"/>
  <c r="D2518" i="5"/>
  <c r="B2518" i="5"/>
  <c r="A2518" i="5"/>
  <c r="D2517" i="5"/>
  <c r="A2517" i="5"/>
  <c r="D2516" i="5"/>
  <c r="A2516" i="5"/>
  <c r="D2515" i="5"/>
  <c r="A2515" i="5"/>
  <c r="D2514" i="5"/>
  <c r="B2514" i="5"/>
  <c r="A2514" i="5"/>
  <c r="D2513" i="5"/>
  <c r="A2513" i="5"/>
  <c r="D2512" i="5"/>
  <c r="B2512" i="5"/>
  <c r="A2512" i="5"/>
  <c r="D2511" i="5"/>
  <c r="B2511" i="5"/>
  <c r="A2511" i="5"/>
  <c r="D2510" i="5"/>
  <c r="B2510" i="5"/>
  <c r="A2510" i="5"/>
  <c r="D2509" i="5"/>
  <c r="B2509" i="5"/>
  <c r="A2509" i="5"/>
  <c r="D2508" i="5"/>
  <c r="B2508" i="5"/>
  <c r="A2508" i="5"/>
  <c r="D2507" i="5"/>
  <c r="B2507" i="5"/>
  <c r="A2507" i="5"/>
  <c r="D2506" i="5"/>
  <c r="B2506" i="5"/>
  <c r="A2506" i="5"/>
  <c r="D2505" i="5"/>
  <c r="C2505" i="5"/>
  <c r="B2505" i="5"/>
  <c r="A2505" i="5"/>
  <c r="D2504" i="5"/>
  <c r="B2504" i="5"/>
  <c r="A2504" i="5"/>
  <c r="D2503" i="5"/>
  <c r="B2503" i="5"/>
  <c r="A2503" i="5"/>
  <c r="D2502" i="5"/>
  <c r="B2502" i="5"/>
  <c r="A2502" i="5"/>
  <c r="D2501" i="5"/>
  <c r="B2501" i="5"/>
  <c r="A2501" i="5"/>
  <c r="D2500" i="5"/>
  <c r="A2500" i="5"/>
  <c r="D2499" i="5"/>
  <c r="C2499" i="5"/>
  <c r="B2499" i="5"/>
  <c r="A2499" i="5"/>
  <c r="D2498" i="5"/>
  <c r="B2498" i="5"/>
  <c r="A2498" i="5"/>
  <c r="D2497" i="5"/>
  <c r="B2497" i="5"/>
  <c r="A2497" i="5"/>
  <c r="D2496" i="5"/>
  <c r="B2496" i="5"/>
  <c r="A2496" i="5"/>
  <c r="D2495" i="5"/>
  <c r="B2495" i="5"/>
  <c r="A2495" i="5"/>
  <c r="D2494" i="5"/>
  <c r="B2494" i="5"/>
  <c r="A2494" i="5"/>
  <c r="D2493" i="5"/>
  <c r="A2493" i="5"/>
  <c r="D2492" i="5"/>
  <c r="B2492" i="5"/>
  <c r="A2492" i="5"/>
  <c r="D2491" i="5"/>
  <c r="B2491" i="5"/>
  <c r="A2491" i="5"/>
  <c r="D2490" i="5"/>
  <c r="B2490" i="5"/>
  <c r="A2490" i="5"/>
  <c r="D2489" i="5"/>
  <c r="B2489" i="5"/>
  <c r="A2489" i="5"/>
  <c r="D2488" i="5"/>
  <c r="B2488" i="5"/>
  <c r="A2488" i="5"/>
  <c r="D2487" i="5"/>
  <c r="B2487" i="5"/>
  <c r="A2487" i="5"/>
  <c r="D2486" i="5"/>
  <c r="B2486" i="5"/>
  <c r="A2486" i="5"/>
  <c r="D2485" i="5"/>
  <c r="B2485" i="5"/>
  <c r="A2485" i="5"/>
  <c r="D2484" i="5"/>
  <c r="B2484" i="5"/>
  <c r="A2484" i="5"/>
  <c r="D2483" i="5"/>
  <c r="A2483" i="5"/>
  <c r="D2482" i="5"/>
  <c r="B2482" i="5"/>
  <c r="A2482" i="5"/>
  <c r="D2481" i="5"/>
  <c r="B2481" i="5"/>
  <c r="A2481" i="5"/>
  <c r="D2480" i="5"/>
  <c r="B2480" i="5"/>
  <c r="A2480" i="5"/>
  <c r="D2479" i="5"/>
  <c r="B2479" i="5"/>
  <c r="A2479" i="5"/>
  <c r="D2478" i="5"/>
  <c r="B2478" i="5"/>
  <c r="A2478" i="5"/>
  <c r="D2477" i="5"/>
  <c r="B2477" i="5"/>
  <c r="A2477" i="5"/>
  <c r="D2476" i="5"/>
  <c r="C2476" i="5"/>
  <c r="B2476" i="5"/>
  <c r="A2476" i="5"/>
  <c r="D2475" i="5"/>
  <c r="A2475" i="5"/>
  <c r="D2474" i="5"/>
  <c r="B2474" i="5"/>
  <c r="A2474" i="5"/>
  <c r="D2473" i="5"/>
  <c r="B2473" i="5"/>
  <c r="A2473" i="5"/>
  <c r="D2472" i="5"/>
  <c r="B2472" i="5"/>
  <c r="A2472" i="5"/>
  <c r="D2471" i="5"/>
  <c r="B2471" i="5"/>
  <c r="A2471" i="5"/>
  <c r="D2470" i="5"/>
  <c r="A2470" i="5"/>
  <c r="D2469" i="5"/>
  <c r="B2469" i="5"/>
  <c r="A2469" i="5"/>
  <c r="D2468" i="5"/>
  <c r="A2468" i="5"/>
  <c r="D2467" i="5"/>
  <c r="A2467" i="5"/>
  <c r="D2466" i="5"/>
  <c r="B2466" i="5"/>
  <c r="A2466" i="5"/>
  <c r="D2465" i="5"/>
  <c r="B2465" i="5"/>
  <c r="A2465" i="5"/>
  <c r="D2464" i="5"/>
  <c r="B2464" i="5"/>
  <c r="A2464" i="5"/>
  <c r="D2463" i="5"/>
  <c r="B2463" i="5"/>
  <c r="A2463" i="5"/>
  <c r="D2462" i="5"/>
  <c r="B2462" i="5"/>
  <c r="A2462" i="5"/>
  <c r="D2461" i="5"/>
  <c r="B2461" i="5"/>
  <c r="A2461" i="5"/>
  <c r="D2460" i="5"/>
  <c r="B2460" i="5"/>
  <c r="A2460" i="5"/>
  <c r="D2459" i="5"/>
  <c r="A2459" i="5"/>
  <c r="D2458" i="5"/>
  <c r="B2458" i="5"/>
  <c r="A2458" i="5"/>
  <c r="D2457" i="5"/>
  <c r="B2457" i="5"/>
  <c r="A2457" i="5"/>
  <c r="D2456" i="5"/>
  <c r="C2456" i="5"/>
  <c r="B2456" i="5"/>
  <c r="A2456" i="5"/>
  <c r="D2455" i="5"/>
  <c r="B2455" i="5"/>
  <c r="A2455" i="5"/>
  <c r="D2454" i="5"/>
  <c r="B2454" i="5"/>
  <c r="A2454" i="5"/>
  <c r="D2453" i="5"/>
  <c r="B2453" i="5"/>
  <c r="A2453" i="5"/>
  <c r="D2452" i="5"/>
  <c r="B2452" i="5"/>
  <c r="A2452" i="5"/>
  <c r="D2451" i="5"/>
  <c r="B2451" i="5"/>
  <c r="A2451" i="5"/>
  <c r="D2450" i="5"/>
  <c r="B2450" i="5"/>
  <c r="A2450" i="5"/>
  <c r="D2449" i="5"/>
  <c r="B2449" i="5"/>
  <c r="A2449" i="5"/>
  <c r="D2448" i="5"/>
  <c r="B2448" i="5"/>
  <c r="A2448" i="5"/>
  <c r="D2447" i="5"/>
  <c r="A2447" i="5"/>
  <c r="D2446" i="5"/>
  <c r="B2446" i="5"/>
  <c r="A2446" i="5"/>
  <c r="D2445" i="5"/>
  <c r="B2445" i="5"/>
  <c r="A2445" i="5"/>
  <c r="D2444" i="5"/>
  <c r="B2444" i="5"/>
  <c r="A2444" i="5"/>
  <c r="D2443" i="5"/>
  <c r="B2443" i="5"/>
  <c r="A2443" i="5"/>
  <c r="D2442" i="5"/>
  <c r="B2442" i="5"/>
  <c r="A2442" i="5"/>
  <c r="D2441" i="5"/>
  <c r="B2441" i="5"/>
  <c r="A2441" i="5"/>
  <c r="D2440" i="5"/>
  <c r="B2440" i="5"/>
  <c r="A2440" i="5"/>
  <c r="D2439" i="5"/>
  <c r="B2439" i="5"/>
  <c r="A2439" i="5"/>
  <c r="D2438" i="5"/>
  <c r="A2438" i="5"/>
  <c r="D2437" i="5"/>
  <c r="C2437" i="5"/>
  <c r="B2437" i="5"/>
  <c r="A2437" i="5"/>
  <c r="D2436" i="5"/>
  <c r="B2436" i="5"/>
  <c r="A2436" i="5"/>
  <c r="D2435" i="5"/>
  <c r="B2435" i="5"/>
  <c r="A2435" i="5"/>
  <c r="D2434" i="5"/>
  <c r="B2434" i="5"/>
  <c r="A2434" i="5"/>
  <c r="D2433" i="5"/>
  <c r="B2433" i="5"/>
  <c r="A2433" i="5"/>
  <c r="D2432" i="5"/>
  <c r="B2432" i="5"/>
  <c r="A2432" i="5"/>
  <c r="D2431" i="5"/>
  <c r="B2431" i="5"/>
  <c r="A2431" i="5"/>
  <c r="D2430" i="5"/>
  <c r="B2430" i="5"/>
  <c r="A2430" i="5"/>
  <c r="D2429" i="5"/>
  <c r="B2429" i="5"/>
  <c r="A2429" i="5"/>
  <c r="D2428" i="5"/>
  <c r="B2428" i="5"/>
  <c r="A2428" i="5"/>
  <c r="D2427" i="5"/>
  <c r="B2427" i="5"/>
  <c r="A2427" i="5"/>
  <c r="D2426" i="5"/>
  <c r="B2426" i="5"/>
  <c r="A2426" i="5"/>
  <c r="D2425" i="5"/>
  <c r="B2425" i="5"/>
  <c r="A2425" i="5"/>
  <c r="D2424" i="5"/>
  <c r="B2424" i="5"/>
  <c r="A2424" i="5"/>
  <c r="D2423" i="5"/>
  <c r="B2423" i="5"/>
  <c r="A2423" i="5"/>
  <c r="D2422" i="5"/>
  <c r="B2422" i="5"/>
  <c r="A2422" i="5"/>
  <c r="D2421" i="5"/>
  <c r="A2421" i="5"/>
  <c r="D2420" i="5"/>
  <c r="B2420" i="5"/>
  <c r="A2420" i="5"/>
  <c r="D2419" i="5"/>
  <c r="C2419" i="5"/>
  <c r="B2419" i="5"/>
  <c r="A2419" i="5"/>
  <c r="D2418" i="5"/>
  <c r="B2418" i="5"/>
  <c r="A2418" i="5"/>
  <c r="D2417" i="5"/>
  <c r="B2417" i="5"/>
  <c r="A2417" i="5"/>
  <c r="D2416" i="5"/>
  <c r="B2416" i="5"/>
  <c r="A2416" i="5"/>
  <c r="D2415" i="5"/>
  <c r="B2415" i="5"/>
  <c r="A2415" i="5"/>
  <c r="D2414" i="5"/>
  <c r="B2414" i="5"/>
  <c r="A2414" i="5"/>
  <c r="D2413" i="5"/>
  <c r="B2413" i="5"/>
  <c r="A2413" i="5"/>
  <c r="D2412" i="5"/>
  <c r="B2412" i="5"/>
  <c r="A2412" i="5"/>
  <c r="D2411" i="5"/>
  <c r="B2411" i="5"/>
  <c r="A2411" i="5"/>
  <c r="D2410" i="5"/>
  <c r="B2410" i="5"/>
  <c r="A2410" i="5"/>
  <c r="D2409" i="5"/>
  <c r="B2409" i="5"/>
  <c r="A2409" i="5"/>
  <c r="D2408" i="5"/>
  <c r="C2408" i="5"/>
  <c r="B2408" i="5"/>
  <c r="A2408" i="5"/>
  <c r="D2407" i="5"/>
  <c r="B2407" i="5"/>
  <c r="A2407" i="5"/>
  <c r="D2406" i="5"/>
  <c r="A2406" i="5"/>
  <c r="D2405" i="5"/>
  <c r="A2405" i="5"/>
  <c r="D2404" i="5"/>
  <c r="C2404" i="5"/>
  <c r="B2404" i="5"/>
  <c r="A2404" i="5"/>
  <c r="D2403" i="5"/>
  <c r="B2403" i="5"/>
  <c r="A2403" i="5"/>
  <c r="D2402" i="5"/>
  <c r="B2402" i="5"/>
  <c r="A2402" i="5"/>
  <c r="D2401" i="5"/>
  <c r="B2401" i="5"/>
  <c r="A2401" i="5"/>
  <c r="D2400" i="5"/>
  <c r="B2400" i="5"/>
  <c r="A2400" i="5"/>
  <c r="D2399" i="5"/>
  <c r="B2399" i="5"/>
  <c r="A2399" i="5"/>
  <c r="D2398" i="5"/>
  <c r="B2398" i="5"/>
  <c r="A2398" i="5"/>
  <c r="D2397" i="5"/>
  <c r="B2397" i="5"/>
  <c r="A2397" i="5"/>
  <c r="D2396" i="5"/>
  <c r="B2396" i="5"/>
  <c r="A2396" i="5"/>
  <c r="D2395" i="5"/>
  <c r="B2395" i="5"/>
  <c r="A2395" i="5"/>
  <c r="D2394" i="5"/>
  <c r="B2394" i="5"/>
  <c r="A2394" i="5"/>
  <c r="D2393" i="5"/>
  <c r="B2393" i="5"/>
  <c r="A2393" i="5"/>
  <c r="D2392" i="5"/>
  <c r="B2392" i="5"/>
  <c r="A2392" i="5"/>
  <c r="D2391" i="5"/>
  <c r="B2391" i="5"/>
  <c r="A2391" i="5"/>
  <c r="D2390" i="5"/>
  <c r="B2390" i="5"/>
  <c r="A2390" i="5"/>
  <c r="D2389" i="5"/>
  <c r="B2389" i="5"/>
  <c r="A2389" i="5"/>
  <c r="D2388" i="5"/>
  <c r="B2388" i="5"/>
  <c r="A2388" i="5"/>
  <c r="D2387" i="5"/>
  <c r="A2387" i="5"/>
  <c r="D2386" i="5"/>
  <c r="B2386" i="5"/>
  <c r="A2386" i="5"/>
  <c r="D2385" i="5"/>
  <c r="B2385" i="5"/>
  <c r="A2385" i="5"/>
  <c r="D2384" i="5"/>
  <c r="A2384" i="5"/>
  <c r="D2383" i="5"/>
  <c r="B2383" i="5"/>
  <c r="A2383" i="5"/>
  <c r="D2382" i="5"/>
  <c r="B2382" i="5"/>
  <c r="A2382" i="5"/>
  <c r="D2381" i="5"/>
  <c r="B2381" i="5"/>
  <c r="A2381" i="5"/>
  <c r="D2380" i="5"/>
  <c r="B2380" i="5"/>
  <c r="A2380" i="5"/>
  <c r="D2379" i="5"/>
  <c r="B2379" i="5"/>
  <c r="A2379" i="5"/>
  <c r="D2378" i="5"/>
  <c r="B2378" i="5"/>
  <c r="A2378" i="5"/>
  <c r="D2377" i="5"/>
  <c r="B2377" i="5"/>
  <c r="A2377" i="5"/>
  <c r="D2376" i="5"/>
  <c r="B2376" i="5"/>
  <c r="A2376" i="5"/>
  <c r="D2375" i="5"/>
  <c r="A2375" i="5"/>
  <c r="D2374" i="5"/>
  <c r="B2374" i="5"/>
  <c r="A2374" i="5"/>
  <c r="D2373" i="5"/>
  <c r="B2373" i="5"/>
  <c r="A2373" i="5"/>
  <c r="D2372" i="5"/>
  <c r="A2372" i="5"/>
  <c r="D2371" i="5"/>
  <c r="B2371" i="5"/>
  <c r="A2371" i="5"/>
  <c r="D2370" i="5"/>
  <c r="B2370" i="5"/>
  <c r="A2370" i="5"/>
  <c r="D2369" i="5"/>
  <c r="B2369" i="5"/>
  <c r="A2369" i="5"/>
  <c r="D2368" i="5"/>
  <c r="B2368" i="5"/>
  <c r="A2368" i="5"/>
  <c r="D2367" i="5"/>
  <c r="B2367" i="5"/>
  <c r="A2367" i="5"/>
  <c r="D2366" i="5"/>
  <c r="C2366" i="5"/>
  <c r="B2366" i="5"/>
  <c r="A2366" i="5"/>
  <c r="D2365" i="5"/>
  <c r="B2365" i="5"/>
  <c r="A2365" i="5"/>
  <c r="D2364" i="5"/>
  <c r="B2364" i="5"/>
  <c r="A2364" i="5"/>
  <c r="D2363" i="5"/>
  <c r="B2363" i="5"/>
  <c r="A2363" i="5"/>
  <c r="D2362" i="5"/>
  <c r="B2362" i="5"/>
  <c r="A2362" i="5"/>
  <c r="D2361" i="5"/>
  <c r="A2361" i="5"/>
  <c r="D2360" i="5"/>
  <c r="B2360" i="5"/>
  <c r="A2360" i="5"/>
  <c r="D2359" i="5"/>
  <c r="B2359" i="5"/>
  <c r="A2359" i="5"/>
  <c r="D2358" i="5"/>
  <c r="B2358" i="5"/>
  <c r="A2358" i="5"/>
  <c r="D2357" i="5"/>
  <c r="B2357" i="5"/>
  <c r="A2357" i="5"/>
  <c r="D2356" i="5"/>
  <c r="B2356" i="5"/>
  <c r="A2356" i="5"/>
  <c r="D2355" i="5"/>
  <c r="C2355" i="5"/>
  <c r="B2355" i="5"/>
  <c r="A2355" i="5"/>
  <c r="D2354" i="5"/>
  <c r="B2354" i="5"/>
  <c r="A2354" i="5"/>
  <c r="D2353" i="5"/>
  <c r="B2353" i="5"/>
  <c r="A2353" i="5"/>
  <c r="D2352" i="5"/>
  <c r="C2352" i="5"/>
  <c r="B2352" i="5"/>
  <c r="A2352" i="5"/>
  <c r="D2351" i="5"/>
  <c r="B2351" i="5"/>
  <c r="A2351" i="5"/>
  <c r="D2350" i="5"/>
  <c r="B2350" i="5"/>
  <c r="A2350" i="5"/>
  <c r="D2349" i="5"/>
  <c r="B2349" i="5"/>
  <c r="A2349" i="5"/>
  <c r="D2348" i="5"/>
  <c r="B2348" i="5"/>
  <c r="A2348" i="5"/>
  <c r="D2347" i="5"/>
  <c r="B2347" i="5"/>
  <c r="A2347" i="5"/>
  <c r="D2346" i="5"/>
  <c r="B2346" i="5"/>
  <c r="A2346" i="5"/>
  <c r="D2345" i="5"/>
  <c r="B2345" i="5"/>
  <c r="A2345" i="5"/>
  <c r="D2344" i="5"/>
  <c r="B2344" i="5"/>
  <c r="A2344" i="5"/>
  <c r="D2343" i="5"/>
  <c r="B2343" i="5"/>
  <c r="A2343" i="5"/>
  <c r="D2342" i="5"/>
  <c r="B2342" i="5"/>
  <c r="A2342" i="5"/>
  <c r="D2341" i="5"/>
  <c r="B2341" i="5"/>
  <c r="A2341" i="5"/>
  <c r="D2340" i="5"/>
  <c r="C2340" i="5"/>
  <c r="B2340" i="5"/>
  <c r="A2340" i="5"/>
  <c r="D2339" i="5"/>
  <c r="B2339" i="5"/>
  <c r="A2339" i="5"/>
  <c r="D2338" i="5"/>
  <c r="A2338" i="5"/>
  <c r="D2337" i="5"/>
  <c r="B2337" i="5"/>
  <c r="A2337" i="5"/>
  <c r="D2336" i="5"/>
  <c r="A2336" i="5"/>
  <c r="D2335" i="5"/>
  <c r="B2335" i="5"/>
  <c r="A2335" i="5"/>
  <c r="D2334" i="5"/>
  <c r="B2334" i="5"/>
  <c r="A2334" i="5"/>
  <c r="D2333" i="5"/>
  <c r="B2333" i="5"/>
  <c r="A2333" i="5"/>
  <c r="D2332" i="5"/>
  <c r="B2332" i="5"/>
  <c r="A2332" i="5"/>
  <c r="D2331" i="5"/>
  <c r="A2331" i="5"/>
  <c r="D2330" i="5"/>
  <c r="A2330" i="5"/>
  <c r="D2329" i="5"/>
  <c r="A2329" i="5"/>
  <c r="D2328" i="5"/>
  <c r="B2328" i="5"/>
  <c r="A2328" i="5"/>
  <c r="D2327" i="5"/>
  <c r="B2327" i="5"/>
  <c r="A2327" i="5"/>
  <c r="D2326" i="5"/>
  <c r="B2326" i="5"/>
  <c r="A2326" i="5"/>
  <c r="D2325" i="5"/>
  <c r="C2325" i="5"/>
  <c r="B2325" i="5"/>
  <c r="A2325" i="5"/>
  <c r="D2324" i="5"/>
  <c r="A2324" i="5"/>
  <c r="D2323" i="5"/>
  <c r="B2323" i="5"/>
  <c r="A2323" i="5"/>
  <c r="D2322" i="5"/>
  <c r="B2322" i="5"/>
  <c r="A2322" i="5"/>
  <c r="D2321" i="5"/>
  <c r="B2321" i="5"/>
  <c r="A2321" i="5"/>
  <c r="D2320" i="5"/>
  <c r="B2320" i="5"/>
  <c r="A2320" i="5"/>
  <c r="D2319" i="5"/>
  <c r="B2319" i="5"/>
  <c r="A2319" i="5"/>
  <c r="D2318" i="5"/>
  <c r="B2318" i="5"/>
  <c r="A2318" i="5"/>
  <c r="D2317" i="5"/>
  <c r="B2317" i="5"/>
  <c r="A2317" i="5"/>
  <c r="D2316" i="5"/>
  <c r="B2316" i="5"/>
  <c r="A2316" i="5"/>
  <c r="D2315" i="5"/>
  <c r="C2315" i="5"/>
  <c r="B2315" i="5"/>
  <c r="A2315" i="5"/>
  <c r="D2314" i="5"/>
  <c r="A2314" i="5"/>
  <c r="D2313" i="5"/>
  <c r="B2313" i="5"/>
  <c r="A2313" i="5"/>
  <c r="D2312" i="5"/>
  <c r="B2312" i="5"/>
  <c r="A2312" i="5"/>
  <c r="D2311" i="5"/>
  <c r="A2311" i="5"/>
  <c r="D2310" i="5"/>
  <c r="B2310" i="5"/>
  <c r="A2310" i="5"/>
  <c r="D2309" i="5"/>
  <c r="B2309" i="5"/>
  <c r="A2309" i="5"/>
  <c r="D2308" i="5"/>
  <c r="A2308" i="5"/>
  <c r="D2307" i="5"/>
  <c r="B2307" i="5"/>
  <c r="A2307" i="5"/>
  <c r="D2306" i="5"/>
  <c r="B2306" i="5"/>
  <c r="A2306" i="5"/>
  <c r="D2305" i="5"/>
  <c r="B2305" i="5"/>
  <c r="A2305" i="5"/>
  <c r="D2304" i="5"/>
  <c r="B2304" i="5"/>
  <c r="A2304" i="5"/>
  <c r="D2303" i="5"/>
  <c r="B2303" i="5"/>
  <c r="A2303" i="5"/>
  <c r="D2302" i="5"/>
  <c r="B2302" i="5"/>
  <c r="A2302" i="5"/>
  <c r="D2301" i="5"/>
  <c r="B2301" i="5"/>
  <c r="A2301" i="5"/>
  <c r="D2300" i="5"/>
  <c r="A2300" i="5"/>
  <c r="D2299" i="5"/>
  <c r="B2299" i="5"/>
  <c r="A2299" i="5"/>
  <c r="D2298" i="5"/>
  <c r="B2298" i="5"/>
  <c r="A2298" i="5"/>
  <c r="D2297" i="5"/>
  <c r="A2297" i="5"/>
  <c r="D2296" i="5"/>
  <c r="B2296" i="5"/>
  <c r="A2296" i="5"/>
  <c r="D2295" i="5"/>
  <c r="B2295" i="5"/>
  <c r="A2295" i="5"/>
  <c r="D2294" i="5"/>
  <c r="B2294" i="5"/>
  <c r="A2294" i="5"/>
  <c r="D2293" i="5"/>
  <c r="B2293" i="5"/>
  <c r="A2293" i="5"/>
  <c r="D2292" i="5"/>
  <c r="B2292" i="5"/>
  <c r="A2292" i="5"/>
  <c r="D2291" i="5"/>
  <c r="B2291" i="5"/>
  <c r="A2291" i="5"/>
  <c r="D2290" i="5"/>
  <c r="B2290" i="5"/>
  <c r="A2290" i="5"/>
  <c r="D2289" i="5"/>
  <c r="B2289" i="5"/>
  <c r="A2289" i="5"/>
  <c r="D2288" i="5"/>
  <c r="B2288" i="5"/>
  <c r="A2288" i="5"/>
  <c r="D2287" i="5"/>
  <c r="B2287" i="5"/>
  <c r="A2287" i="5"/>
  <c r="D2286" i="5"/>
  <c r="B2286" i="5"/>
  <c r="A2286" i="5"/>
  <c r="D2285" i="5"/>
  <c r="C2285" i="5"/>
  <c r="B2285" i="5"/>
  <c r="A2285" i="5"/>
  <c r="D2284" i="5"/>
  <c r="B2284" i="5"/>
  <c r="A2284" i="5"/>
  <c r="D2283" i="5"/>
  <c r="B2283" i="5"/>
  <c r="A2283" i="5"/>
  <c r="D2282" i="5"/>
  <c r="B2282" i="5"/>
  <c r="A2282" i="5"/>
  <c r="D2281" i="5"/>
  <c r="B2281" i="5"/>
  <c r="A2281" i="5"/>
  <c r="D2280" i="5"/>
  <c r="B2280" i="5"/>
  <c r="A2280" i="5"/>
  <c r="D2279" i="5"/>
  <c r="B2279" i="5"/>
  <c r="A2279" i="5"/>
  <c r="D2278" i="5"/>
  <c r="B2278" i="5"/>
  <c r="A2278" i="5"/>
  <c r="D2277" i="5"/>
  <c r="B2277" i="5"/>
  <c r="A2277" i="5"/>
  <c r="D2276" i="5"/>
  <c r="B2276" i="5"/>
  <c r="A2276" i="5"/>
  <c r="D2275" i="5"/>
  <c r="B2275" i="5"/>
  <c r="A2275" i="5"/>
  <c r="D2274" i="5"/>
  <c r="C2274" i="5"/>
  <c r="B2274" i="5"/>
  <c r="A2274" i="5"/>
  <c r="D2273" i="5"/>
  <c r="B2273" i="5"/>
  <c r="A2273" i="5"/>
  <c r="D2272" i="5"/>
  <c r="B2272" i="5"/>
  <c r="A2272" i="5"/>
  <c r="D2271" i="5"/>
  <c r="A2271" i="5"/>
  <c r="D2270" i="5"/>
  <c r="B2270" i="5"/>
  <c r="A2270" i="5"/>
  <c r="D2269" i="5"/>
  <c r="A2269" i="5"/>
  <c r="D2268" i="5"/>
  <c r="B2268" i="5"/>
  <c r="A2268" i="5"/>
  <c r="D2267" i="5"/>
  <c r="B2267" i="5"/>
  <c r="A2267" i="5"/>
  <c r="D2266" i="5"/>
  <c r="B2266" i="5"/>
  <c r="A2266" i="5"/>
  <c r="D2265" i="5"/>
  <c r="B2265" i="5"/>
  <c r="A2265" i="5"/>
  <c r="D2264" i="5"/>
  <c r="C2264" i="5"/>
  <c r="B2264" i="5"/>
  <c r="A2264" i="5"/>
  <c r="D2263" i="5"/>
  <c r="B2263" i="5"/>
  <c r="A2263" i="5"/>
  <c r="D2262" i="5"/>
  <c r="B2262" i="5"/>
  <c r="A2262" i="5"/>
  <c r="D2261" i="5"/>
  <c r="B2261" i="5"/>
  <c r="A2261" i="5"/>
  <c r="D2260" i="5"/>
  <c r="B2260" i="5"/>
  <c r="A2260" i="5"/>
  <c r="D2259" i="5"/>
  <c r="B2259" i="5"/>
  <c r="A2259" i="5"/>
  <c r="D2258" i="5"/>
  <c r="B2258" i="5"/>
  <c r="A2258" i="5"/>
  <c r="D2257" i="5"/>
  <c r="A2257" i="5"/>
  <c r="D2256" i="5"/>
  <c r="B2256" i="5"/>
  <c r="A2256" i="5"/>
  <c r="D2255" i="5"/>
  <c r="B2255" i="5"/>
  <c r="A2255" i="5"/>
  <c r="D2254" i="5"/>
  <c r="B2254" i="5"/>
  <c r="A2254" i="5"/>
  <c r="D2253" i="5"/>
  <c r="B2253" i="5"/>
  <c r="A2253" i="5"/>
  <c r="D2252" i="5"/>
  <c r="B2252" i="5"/>
  <c r="A2252" i="5"/>
  <c r="D2251" i="5"/>
  <c r="A2251" i="5"/>
  <c r="D2250" i="5"/>
  <c r="B2250" i="5"/>
  <c r="A2250" i="5"/>
  <c r="D2249" i="5"/>
  <c r="B2249" i="5"/>
  <c r="A2249" i="5"/>
  <c r="D2248" i="5"/>
  <c r="B2248" i="5"/>
  <c r="A2248" i="5"/>
  <c r="D2247" i="5"/>
  <c r="B2247" i="5"/>
  <c r="A2247" i="5"/>
  <c r="D2246" i="5"/>
  <c r="B2246" i="5"/>
  <c r="A2246" i="5"/>
  <c r="D2245" i="5"/>
  <c r="B2245" i="5"/>
  <c r="A2245" i="5"/>
  <c r="D2244" i="5"/>
  <c r="B2244" i="5"/>
  <c r="A2244" i="5"/>
  <c r="D2243" i="5"/>
  <c r="B2243" i="5"/>
  <c r="A2243" i="5"/>
  <c r="D2242" i="5"/>
  <c r="B2242" i="5"/>
  <c r="A2242" i="5"/>
  <c r="D2241" i="5"/>
  <c r="B2241" i="5"/>
  <c r="A2241" i="5"/>
  <c r="D2240" i="5"/>
  <c r="B2240" i="5"/>
  <c r="A2240" i="5"/>
  <c r="D2239" i="5"/>
  <c r="B2239" i="5"/>
  <c r="A2239" i="5"/>
  <c r="D2238" i="5"/>
  <c r="B2238" i="5"/>
  <c r="A2238" i="5"/>
  <c r="D2237" i="5"/>
  <c r="B2237" i="5"/>
  <c r="A2237" i="5"/>
  <c r="D2236" i="5"/>
  <c r="B2236" i="5"/>
  <c r="A2236" i="5"/>
  <c r="D2235" i="5"/>
  <c r="B2235" i="5"/>
  <c r="A2235" i="5"/>
  <c r="D2234" i="5"/>
  <c r="B2234" i="5"/>
  <c r="A2234" i="5"/>
  <c r="D2233" i="5"/>
  <c r="B2233" i="5"/>
  <c r="A2233" i="5"/>
  <c r="D2232" i="5"/>
  <c r="A2232" i="5"/>
  <c r="D2231" i="5"/>
  <c r="A2231" i="5"/>
  <c r="D2230" i="5"/>
  <c r="A2230" i="5"/>
  <c r="D2229" i="5"/>
  <c r="B2229" i="5"/>
  <c r="A2229" i="5"/>
  <c r="D2228" i="5"/>
  <c r="B2228" i="5"/>
  <c r="A2228" i="5"/>
  <c r="D2227" i="5"/>
  <c r="A2227" i="5"/>
  <c r="D2226" i="5"/>
  <c r="A2226" i="5"/>
  <c r="D2225" i="5"/>
  <c r="B2225" i="5"/>
  <c r="A2225" i="5"/>
  <c r="D2224" i="5"/>
  <c r="A2224" i="5"/>
  <c r="D2223" i="5"/>
  <c r="B2223" i="5"/>
  <c r="A2223" i="5"/>
  <c r="D2222" i="5"/>
  <c r="B2222" i="5"/>
  <c r="A2222" i="5"/>
  <c r="D2221" i="5"/>
  <c r="B2221" i="5"/>
  <c r="A2221" i="5"/>
  <c r="D2220" i="5"/>
  <c r="B2220" i="5"/>
  <c r="A2220" i="5"/>
  <c r="D2219" i="5"/>
  <c r="B2219" i="5"/>
  <c r="A2219" i="5"/>
  <c r="D2218" i="5"/>
  <c r="B2218" i="5"/>
  <c r="A2218" i="5"/>
  <c r="D2217" i="5"/>
  <c r="B2217" i="5"/>
  <c r="A2217" i="5"/>
  <c r="D2216" i="5"/>
  <c r="B2216" i="5"/>
  <c r="A2216" i="5"/>
  <c r="D2215" i="5"/>
  <c r="B2215" i="5"/>
  <c r="A2215" i="5"/>
  <c r="D2214" i="5"/>
  <c r="B2214" i="5"/>
  <c r="A2214" i="5"/>
  <c r="D2213" i="5"/>
  <c r="B2213" i="5"/>
  <c r="A2213" i="5"/>
  <c r="D2212" i="5"/>
  <c r="C2212" i="5"/>
  <c r="B2212" i="5"/>
  <c r="A2212" i="5"/>
  <c r="D2211" i="5"/>
  <c r="B2211" i="5"/>
  <c r="A2211" i="5"/>
  <c r="D2210" i="5"/>
  <c r="B2210" i="5"/>
  <c r="A2210" i="5"/>
  <c r="D2209" i="5"/>
  <c r="B2209" i="5"/>
  <c r="A2209" i="5"/>
  <c r="D2208" i="5"/>
  <c r="C2208" i="5"/>
  <c r="B2208" i="5"/>
  <c r="A2208" i="5"/>
  <c r="D2207" i="5"/>
  <c r="B2207" i="5"/>
  <c r="A2207" i="5"/>
  <c r="D2206" i="5"/>
  <c r="B2206" i="5"/>
  <c r="A2206" i="5"/>
  <c r="D2205" i="5"/>
  <c r="A2205" i="5"/>
  <c r="D2204" i="5"/>
  <c r="B2204" i="5"/>
  <c r="A2204" i="5"/>
  <c r="D2203" i="5"/>
  <c r="B2203" i="5"/>
  <c r="A2203" i="5"/>
  <c r="D2202" i="5"/>
  <c r="B2202" i="5"/>
  <c r="A2202" i="5"/>
  <c r="D2201" i="5"/>
  <c r="B2201" i="5"/>
  <c r="A2201" i="5"/>
  <c r="D2200" i="5"/>
  <c r="B2200" i="5"/>
  <c r="A2200" i="5"/>
  <c r="D2199" i="5"/>
  <c r="B2199" i="5"/>
  <c r="A2199" i="5"/>
  <c r="D2198" i="5"/>
  <c r="B2198" i="5"/>
  <c r="A2198" i="5"/>
  <c r="D2197" i="5"/>
  <c r="B2197" i="5"/>
  <c r="A2197" i="5"/>
  <c r="D2196" i="5"/>
  <c r="B2196" i="5"/>
  <c r="A2196" i="5"/>
  <c r="D2195" i="5"/>
  <c r="B2195" i="5"/>
  <c r="A2195" i="5"/>
  <c r="D2194" i="5"/>
  <c r="B2194" i="5"/>
  <c r="A2194" i="5"/>
  <c r="D2193" i="5"/>
  <c r="A2193" i="5"/>
  <c r="D2192" i="5"/>
  <c r="A2192" i="5"/>
  <c r="D2191" i="5"/>
  <c r="B2191" i="5"/>
  <c r="A2191" i="5"/>
  <c r="D2190" i="5"/>
  <c r="B2190" i="5"/>
  <c r="A2190" i="5"/>
  <c r="D2189" i="5"/>
  <c r="B2189" i="5"/>
  <c r="A2189" i="5"/>
  <c r="D2188" i="5"/>
  <c r="B2188" i="5"/>
  <c r="A2188" i="5"/>
  <c r="D2187" i="5"/>
  <c r="B2187" i="5"/>
  <c r="A2187" i="5"/>
  <c r="D2186" i="5"/>
  <c r="B2186" i="5"/>
  <c r="A2186" i="5"/>
  <c r="D2185" i="5"/>
  <c r="B2185" i="5"/>
  <c r="A2185" i="5"/>
  <c r="D2184" i="5"/>
  <c r="B2184" i="5"/>
  <c r="A2184" i="5"/>
  <c r="D2183" i="5"/>
  <c r="B2183" i="5"/>
  <c r="A2183" i="5"/>
  <c r="D2182" i="5"/>
  <c r="B2182" i="5"/>
  <c r="A2182" i="5"/>
  <c r="D2181" i="5"/>
  <c r="B2181" i="5"/>
  <c r="A2181" i="5"/>
  <c r="D2180" i="5"/>
  <c r="B2180" i="5"/>
  <c r="A2180" i="5"/>
  <c r="D2179" i="5"/>
  <c r="A2179" i="5"/>
  <c r="D2178" i="5"/>
  <c r="B2178" i="5"/>
  <c r="A2178" i="5"/>
  <c r="D2177" i="5"/>
  <c r="C2177" i="5"/>
  <c r="B2177" i="5"/>
  <c r="A2177" i="5"/>
  <c r="D2176" i="5"/>
  <c r="B2176" i="5"/>
  <c r="A2176" i="5"/>
  <c r="D2175" i="5"/>
  <c r="B2175" i="5"/>
  <c r="A2175" i="5"/>
  <c r="D2174" i="5"/>
  <c r="B2174" i="5"/>
  <c r="A2174" i="5"/>
  <c r="D2173" i="5"/>
  <c r="A2173" i="5"/>
  <c r="D2172" i="5"/>
  <c r="A2172" i="5"/>
  <c r="D2171" i="5"/>
  <c r="B2171" i="5"/>
  <c r="A2171" i="5"/>
  <c r="D2170" i="5"/>
  <c r="B2170" i="5"/>
  <c r="A2170" i="5"/>
  <c r="D2169" i="5"/>
  <c r="B2169" i="5"/>
  <c r="A2169" i="5"/>
  <c r="D2168" i="5"/>
  <c r="B2168" i="5"/>
  <c r="A2168" i="5"/>
  <c r="D2167" i="5"/>
  <c r="B2167" i="5"/>
  <c r="A2167" i="5"/>
  <c r="D2166" i="5"/>
  <c r="B2166" i="5"/>
  <c r="A2166" i="5"/>
  <c r="D2165" i="5"/>
  <c r="B2165" i="5"/>
  <c r="A2165" i="5"/>
  <c r="D2164" i="5"/>
  <c r="B2164" i="5"/>
  <c r="A2164" i="5"/>
  <c r="D2163" i="5"/>
  <c r="B2163" i="5"/>
  <c r="A2163" i="5"/>
  <c r="D2162" i="5"/>
  <c r="B2162" i="5"/>
  <c r="A2162" i="5"/>
  <c r="D2161" i="5"/>
  <c r="B2161" i="5"/>
  <c r="A2161" i="5"/>
  <c r="D2160" i="5"/>
  <c r="B2160" i="5"/>
  <c r="A2160" i="5"/>
  <c r="D2159" i="5"/>
  <c r="B2159" i="5"/>
  <c r="A2159" i="5"/>
  <c r="D2158" i="5"/>
  <c r="B2158" i="5"/>
  <c r="A2158" i="5"/>
  <c r="D2157" i="5"/>
  <c r="B2157" i="5"/>
  <c r="A2157" i="5"/>
  <c r="D2156" i="5"/>
  <c r="B2156" i="5"/>
  <c r="A2156" i="5"/>
  <c r="D2155" i="5"/>
  <c r="B2155" i="5"/>
  <c r="A2155" i="5"/>
  <c r="D2154" i="5"/>
  <c r="B2154" i="5"/>
  <c r="A2154" i="5"/>
  <c r="D2153" i="5"/>
  <c r="B2153" i="5"/>
  <c r="A2153" i="5"/>
  <c r="D2152" i="5"/>
  <c r="B2152" i="5"/>
  <c r="A2152" i="5"/>
  <c r="D2151" i="5"/>
  <c r="B2151" i="5"/>
  <c r="A2151" i="5"/>
  <c r="D2150" i="5"/>
  <c r="B2150" i="5"/>
  <c r="A2150" i="5"/>
  <c r="D2149" i="5"/>
  <c r="A2149" i="5"/>
  <c r="D2148" i="5"/>
  <c r="B2148" i="5"/>
  <c r="A2148" i="5"/>
  <c r="D2147" i="5"/>
  <c r="A2147" i="5"/>
  <c r="D2146" i="5"/>
  <c r="B2146" i="5"/>
  <c r="A2146" i="5"/>
  <c r="D2145" i="5"/>
  <c r="B2145" i="5"/>
  <c r="A2145" i="5"/>
  <c r="D2144" i="5"/>
  <c r="A2144" i="5"/>
  <c r="D2143" i="5"/>
  <c r="B2143" i="5"/>
  <c r="A2143" i="5"/>
  <c r="D2142" i="5"/>
  <c r="B2142" i="5"/>
  <c r="A2142" i="5"/>
  <c r="D2141" i="5"/>
  <c r="B2141" i="5"/>
  <c r="A2141" i="5"/>
  <c r="D2140" i="5"/>
  <c r="B2140" i="5"/>
  <c r="A2140" i="5"/>
  <c r="D2139" i="5"/>
  <c r="B2139" i="5"/>
  <c r="A2139" i="5"/>
  <c r="D2138" i="5"/>
  <c r="B2138" i="5"/>
  <c r="A2138" i="5"/>
  <c r="D2137" i="5"/>
  <c r="A2137" i="5"/>
  <c r="D2136" i="5"/>
  <c r="B2136" i="5"/>
  <c r="A2136" i="5"/>
  <c r="D2135" i="5"/>
  <c r="B2135" i="5"/>
  <c r="A2135" i="5"/>
  <c r="D2134" i="5"/>
  <c r="B2134" i="5"/>
  <c r="A2134" i="5"/>
  <c r="D2133" i="5"/>
  <c r="B2133" i="5"/>
  <c r="A2133" i="5"/>
  <c r="D2132" i="5"/>
  <c r="C2132" i="5"/>
  <c r="B2132" i="5"/>
  <c r="A2132" i="5"/>
  <c r="D2131" i="5"/>
  <c r="B2131" i="5"/>
  <c r="A2131" i="5"/>
  <c r="D2130" i="5"/>
  <c r="B2130" i="5"/>
  <c r="A2130" i="5"/>
  <c r="D2129" i="5"/>
  <c r="C2129" i="5"/>
  <c r="B2129" i="5"/>
  <c r="A2129" i="5"/>
  <c r="D2128" i="5"/>
  <c r="B2128" i="5"/>
  <c r="A2128" i="5"/>
  <c r="D2127" i="5"/>
  <c r="B2127" i="5"/>
  <c r="A2127" i="5"/>
  <c r="D2126" i="5"/>
  <c r="B2126" i="5"/>
  <c r="A2126" i="5"/>
  <c r="D2125" i="5"/>
  <c r="B2125" i="5"/>
  <c r="A2125" i="5"/>
  <c r="D2124" i="5"/>
  <c r="B2124" i="5"/>
  <c r="A2124" i="5"/>
  <c r="D2123" i="5"/>
  <c r="B2123" i="5"/>
  <c r="A2123" i="5"/>
  <c r="D2122" i="5"/>
  <c r="B2122" i="5"/>
  <c r="A2122" i="5"/>
  <c r="D2121" i="5"/>
  <c r="B2121" i="5"/>
  <c r="A2121" i="5"/>
  <c r="D2120" i="5"/>
  <c r="B2120" i="5"/>
  <c r="A2120" i="5"/>
  <c r="D2119" i="5"/>
  <c r="B2119" i="5"/>
  <c r="A2119" i="5"/>
  <c r="D2118" i="5"/>
  <c r="B2118" i="5"/>
  <c r="A2118" i="5"/>
  <c r="D2117" i="5"/>
  <c r="B2117" i="5"/>
  <c r="A2117" i="5"/>
  <c r="D2116" i="5"/>
  <c r="B2116" i="5"/>
  <c r="A2116" i="5"/>
  <c r="D2115" i="5"/>
  <c r="B2115" i="5"/>
  <c r="A2115" i="5"/>
  <c r="D2114" i="5"/>
  <c r="B2114" i="5"/>
  <c r="A2114" i="5"/>
  <c r="D2113" i="5"/>
  <c r="A2113" i="5"/>
  <c r="D2112" i="5"/>
  <c r="B2112" i="5"/>
  <c r="A2112" i="5"/>
  <c r="D2111" i="5"/>
  <c r="B2111" i="5"/>
  <c r="A2111" i="5"/>
  <c r="D2110" i="5"/>
  <c r="B2110" i="5"/>
  <c r="A2110" i="5"/>
  <c r="D2109" i="5"/>
  <c r="B2109" i="5"/>
  <c r="A2109" i="5"/>
  <c r="D2108" i="5"/>
  <c r="B2108" i="5"/>
  <c r="A2108" i="5"/>
  <c r="D2107" i="5"/>
  <c r="B2107" i="5"/>
  <c r="A2107" i="5"/>
  <c r="D2106" i="5"/>
  <c r="B2106" i="5"/>
  <c r="A2106" i="5"/>
  <c r="D2105" i="5"/>
  <c r="B2105" i="5"/>
  <c r="A2105" i="5"/>
  <c r="D2104" i="5"/>
  <c r="A2104" i="5"/>
  <c r="D2103" i="5"/>
  <c r="B2103" i="5"/>
  <c r="A2103" i="5"/>
  <c r="D2102" i="5"/>
  <c r="B2102" i="5"/>
  <c r="A2102" i="5"/>
  <c r="D2101" i="5"/>
  <c r="B2101" i="5"/>
  <c r="A2101" i="5"/>
  <c r="D2100" i="5"/>
  <c r="B2100" i="5"/>
  <c r="A2100" i="5"/>
  <c r="D2099" i="5"/>
  <c r="B2099" i="5"/>
  <c r="A2099" i="5"/>
  <c r="D2098" i="5"/>
  <c r="B2098" i="5"/>
  <c r="A2098" i="5"/>
  <c r="D2097" i="5"/>
  <c r="B2097" i="5"/>
  <c r="A2097" i="5"/>
  <c r="D2096" i="5"/>
  <c r="B2096" i="5"/>
  <c r="A2096" i="5"/>
  <c r="D2095" i="5"/>
  <c r="C2095" i="5"/>
  <c r="B2095" i="5"/>
  <c r="A2095" i="5"/>
  <c r="D2094" i="5"/>
  <c r="B2094" i="5"/>
  <c r="A2094" i="5"/>
  <c r="D2093" i="5"/>
  <c r="B2093" i="5"/>
  <c r="A2093" i="5"/>
  <c r="D2092" i="5"/>
  <c r="B2092" i="5"/>
  <c r="A2092" i="5"/>
  <c r="D2091" i="5"/>
  <c r="B2091" i="5"/>
  <c r="A2091" i="5"/>
  <c r="D2090" i="5"/>
  <c r="B2090" i="5"/>
  <c r="A2090" i="5"/>
  <c r="D2089" i="5"/>
  <c r="B2089" i="5"/>
  <c r="A2089" i="5"/>
  <c r="D2088" i="5"/>
  <c r="B2088" i="5"/>
  <c r="A2088" i="5"/>
  <c r="D2087" i="5"/>
  <c r="B2087" i="5"/>
  <c r="A2087" i="5"/>
  <c r="D2086" i="5"/>
  <c r="B2086" i="5"/>
  <c r="A2086" i="5"/>
  <c r="D2085" i="5"/>
  <c r="A2085" i="5"/>
  <c r="D2084" i="5"/>
  <c r="A2084" i="5"/>
  <c r="D2083" i="5"/>
  <c r="B2083" i="5"/>
  <c r="A2083" i="5"/>
  <c r="D2082" i="5"/>
  <c r="B2082" i="5"/>
  <c r="A2082" i="5"/>
  <c r="D2081" i="5"/>
  <c r="B2081" i="5"/>
  <c r="A2081" i="5"/>
  <c r="D2080" i="5"/>
  <c r="B2080" i="5"/>
  <c r="A2080" i="5"/>
  <c r="D2079" i="5"/>
  <c r="C2079" i="5"/>
  <c r="B2079" i="5"/>
  <c r="A2079" i="5"/>
  <c r="D2078" i="5"/>
  <c r="B2078" i="5"/>
  <c r="A2078" i="5"/>
  <c r="D2077" i="5"/>
  <c r="B2077" i="5"/>
  <c r="A2077" i="5"/>
  <c r="D2076" i="5"/>
  <c r="B2076" i="5"/>
  <c r="A2076" i="5"/>
  <c r="D2075" i="5"/>
  <c r="B2075" i="5"/>
  <c r="A2075" i="5"/>
  <c r="D2074" i="5"/>
  <c r="B2074" i="5"/>
  <c r="A2074" i="5"/>
  <c r="D2073" i="5"/>
  <c r="B2073" i="5"/>
  <c r="A2073" i="5"/>
  <c r="D2072" i="5"/>
  <c r="A2072" i="5"/>
  <c r="D2071" i="5"/>
  <c r="B2071" i="5"/>
  <c r="A2071" i="5"/>
  <c r="D2070" i="5"/>
  <c r="C2070" i="5"/>
  <c r="B2070" i="5"/>
  <c r="A2070" i="5"/>
  <c r="D2069" i="5"/>
  <c r="B2069" i="5"/>
  <c r="A2069" i="5"/>
  <c r="D2068" i="5"/>
  <c r="B2068" i="5"/>
  <c r="A2068" i="5"/>
  <c r="D2067" i="5"/>
  <c r="B2067" i="5"/>
  <c r="A2067" i="5"/>
  <c r="D2066" i="5"/>
  <c r="B2066" i="5"/>
  <c r="A2066" i="5"/>
  <c r="D2065" i="5"/>
  <c r="B2065" i="5"/>
  <c r="A2065" i="5"/>
  <c r="D2064" i="5"/>
  <c r="B2064" i="5"/>
  <c r="A2064" i="5"/>
  <c r="D2063" i="5"/>
  <c r="B2063" i="5"/>
  <c r="A2063" i="5"/>
  <c r="D2062" i="5"/>
  <c r="B2062" i="5"/>
  <c r="A2062" i="5"/>
  <c r="D2061" i="5"/>
  <c r="B2061" i="5"/>
  <c r="A2061" i="5"/>
  <c r="D2060" i="5"/>
  <c r="B2060" i="5"/>
  <c r="A2060" i="5"/>
  <c r="D2059" i="5"/>
  <c r="B2059" i="5"/>
  <c r="A2059" i="5"/>
  <c r="D2058" i="5"/>
  <c r="B2058" i="5"/>
  <c r="A2058" i="5"/>
  <c r="D2057" i="5"/>
  <c r="A2057" i="5"/>
  <c r="D2056" i="5"/>
  <c r="B2056" i="5"/>
  <c r="A2056" i="5"/>
  <c r="D2055" i="5"/>
  <c r="B2055" i="5"/>
  <c r="A2055" i="5"/>
  <c r="D2054" i="5"/>
  <c r="B2054" i="5"/>
  <c r="A2054" i="5"/>
  <c r="D2053" i="5"/>
  <c r="B2053" i="5"/>
  <c r="A2053" i="5"/>
  <c r="D2052" i="5"/>
  <c r="A2052" i="5"/>
  <c r="D2051" i="5"/>
  <c r="B2051" i="5"/>
  <c r="A2051" i="5"/>
  <c r="D2050" i="5"/>
  <c r="B2050" i="5"/>
  <c r="A2050" i="5"/>
  <c r="D2049" i="5"/>
  <c r="B2049" i="5"/>
  <c r="A2049" i="5"/>
  <c r="D2048" i="5"/>
  <c r="B2048" i="5"/>
  <c r="A2048" i="5"/>
  <c r="D2047" i="5"/>
  <c r="A2047" i="5"/>
  <c r="D2046" i="5"/>
  <c r="B2046" i="5"/>
  <c r="A2046" i="5"/>
  <c r="D2045" i="5"/>
  <c r="B2045" i="5"/>
  <c r="A2045" i="5"/>
  <c r="D2044" i="5"/>
  <c r="B2044" i="5"/>
  <c r="A2044" i="5"/>
  <c r="D2043" i="5"/>
  <c r="C2043" i="5"/>
  <c r="B2043" i="5"/>
  <c r="A2043" i="5"/>
  <c r="D2042" i="5"/>
  <c r="B2042" i="5"/>
  <c r="A2042" i="5"/>
  <c r="D2041" i="5"/>
  <c r="B2041" i="5"/>
  <c r="A2041" i="5"/>
  <c r="D2040" i="5"/>
  <c r="B2040" i="5"/>
  <c r="A2040" i="5"/>
  <c r="D2039" i="5"/>
  <c r="B2039" i="5"/>
  <c r="A2039" i="5"/>
  <c r="D2038" i="5"/>
  <c r="A2038" i="5"/>
  <c r="D2037" i="5"/>
  <c r="B2037" i="5"/>
  <c r="A2037" i="5"/>
  <c r="D2036" i="5"/>
  <c r="B2036" i="5"/>
  <c r="A2036" i="5"/>
  <c r="D2035" i="5"/>
  <c r="B2035" i="5"/>
  <c r="A2035" i="5"/>
  <c r="D2034" i="5"/>
  <c r="B2034" i="5"/>
  <c r="A2034" i="5"/>
  <c r="D2033" i="5"/>
  <c r="B2033" i="5"/>
  <c r="A2033" i="5"/>
  <c r="D2032" i="5"/>
  <c r="A2032" i="5"/>
  <c r="D2031" i="5"/>
  <c r="B2031" i="5"/>
  <c r="A2031" i="5"/>
  <c r="D2030" i="5"/>
  <c r="B2030" i="5"/>
  <c r="A2030" i="5"/>
  <c r="D2029" i="5"/>
  <c r="B2029" i="5"/>
  <c r="A2029" i="5"/>
  <c r="D2028" i="5"/>
  <c r="A2028" i="5"/>
  <c r="D2027" i="5"/>
  <c r="B2027" i="5"/>
  <c r="A2027" i="5"/>
  <c r="D2026" i="5"/>
  <c r="B2026" i="5"/>
  <c r="A2026" i="5"/>
  <c r="D2025" i="5"/>
  <c r="B2025" i="5"/>
  <c r="A2025" i="5"/>
  <c r="D2024" i="5"/>
  <c r="B2024" i="5"/>
  <c r="A2024" i="5"/>
  <c r="D2023" i="5"/>
  <c r="B2023" i="5"/>
  <c r="A2023" i="5"/>
  <c r="D2022" i="5"/>
  <c r="B2022" i="5"/>
  <c r="A2022" i="5"/>
  <c r="D2021" i="5"/>
  <c r="B2021" i="5"/>
  <c r="A2021" i="5"/>
  <c r="D2020" i="5"/>
  <c r="B2020" i="5"/>
  <c r="A2020" i="5"/>
  <c r="D2019" i="5"/>
  <c r="B2019" i="5"/>
  <c r="A2019" i="5"/>
  <c r="D2018" i="5"/>
  <c r="A2018" i="5"/>
  <c r="D2017" i="5"/>
  <c r="B2017" i="5"/>
  <c r="A2017" i="5"/>
  <c r="D2016" i="5"/>
  <c r="B2016" i="5"/>
  <c r="A2016" i="5"/>
  <c r="D2015" i="5"/>
  <c r="A2015" i="5"/>
  <c r="D2014" i="5"/>
  <c r="A2014" i="5"/>
  <c r="D2013" i="5"/>
  <c r="B2013" i="5"/>
  <c r="A2013" i="5"/>
  <c r="D2012" i="5"/>
  <c r="B2012" i="5"/>
  <c r="A2012" i="5"/>
  <c r="D2011" i="5"/>
  <c r="A2011" i="5"/>
  <c r="D2010" i="5"/>
  <c r="B2010" i="5"/>
  <c r="A2010" i="5"/>
  <c r="D2009" i="5"/>
  <c r="B2009" i="5"/>
  <c r="A2009" i="5"/>
  <c r="D2008" i="5"/>
  <c r="B2008" i="5"/>
  <c r="A2008" i="5"/>
  <c r="D2007" i="5"/>
  <c r="A2007" i="5"/>
  <c r="D2006" i="5"/>
  <c r="B2006" i="5"/>
  <c r="A2006" i="5"/>
  <c r="D2005" i="5"/>
  <c r="B2005" i="5"/>
  <c r="A2005" i="5"/>
  <c r="D2004" i="5"/>
  <c r="A2004" i="5"/>
  <c r="D2003" i="5"/>
  <c r="B2003" i="5"/>
  <c r="A2003" i="5"/>
  <c r="D2002" i="5"/>
  <c r="B2002" i="5"/>
  <c r="A2002" i="5"/>
  <c r="D2001" i="5"/>
  <c r="B2001" i="5"/>
  <c r="A2001" i="5"/>
  <c r="D2000" i="5"/>
  <c r="B2000" i="5"/>
  <c r="A2000" i="5"/>
  <c r="D1999" i="5"/>
  <c r="B1999" i="5"/>
  <c r="A1999" i="5"/>
  <c r="D1998" i="5"/>
  <c r="B1998" i="5"/>
  <c r="A1998" i="5"/>
  <c r="D1997" i="5"/>
  <c r="A1997" i="5"/>
  <c r="D1996" i="5"/>
  <c r="A1996" i="5"/>
  <c r="D1995" i="5"/>
  <c r="A1995" i="5"/>
  <c r="D1994" i="5"/>
  <c r="B1994" i="5"/>
  <c r="A1994" i="5"/>
  <c r="D1993" i="5"/>
  <c r="B1993" i="5"/>
  <c r="A1993" i="5"/>
  <c r="D1992" i="5"/>
  <c r="B1992" i="5"/>
  <c r="A1992" i="5"/>
  <c r="D1991" i="5"/>
  <c r="B1991" i="5"/>
  <c r="A1991" i="5"/>
  <c r="D1990" i="5"/>
  <c r="A1990" i="5"/>
  <c r="D1989" i="5"/>
  <c r="A1989" i="5"/>
  <c r="D1988" i="5"/>
  <c r="B1988" i="5"/>
  <c r="A1988" i="5"/>
  <c r="D1987" i="5"/>
  <c r="A1987" i="5"/>
  <c r="D1986" i="5"/>
  <c r="A1986" i="5"/>
  <c r="D1985" i="5"/>
  <c r="B1985" i="5"/>
  <c r="A1985" i="5"/>
  <c r="D1984" i="5"/>
  <c r="B1984" i="5"/>
  <c r="A1984" i="5"/>
  <c r="D1983" i="5"/>
  <c r="B1983" i="5"/>
  <c r="A1983" i="5"/>
  <c r="D1982" i="5"/>
  <c r="A1982" i="5"/>
  <c r="D1981" i="5"/>
  <c r="A1981" i="5"/>
  <c r="D1980" i="5"/>
  <c r="A1980" i="5"/>
  <c r="D1979" i="5"/>
  <c r="B1979" i="5"/>
  <c r="A1979" i="5"/>
  <c r="D1978" i="5"/>
  <c r="C1978" i="5"/>
  <c r="B1978" i="5"/>
  <c r="A1978" i="5"/>
  <c r="D1977" i="5"/>
  <c r="C1977" i="5"/>
  <c r="B1977" i="5"/>
  <c r="A1977" i="5"/>
  <c r="D1976" i="5"/>
  <c r="B1976" i="5"/>
  <c r="A1976" i="5"/>
  <c r="D1975" i="5"/>
  <c r="B1975" i="5"/>
  <c r="A1975" i="5"/>
  <c r="D1974" i="5"/>
  <c r="A1974" i="5"/>
  <c r="D1973" i="5"/>
  <c r="B1973" i="5"/>
  <c r="A1973" i="5"/>
  <c r="D1972" i="5"/>
  <c r="C1972" i="5"/>
  <c r="B1972" i="5"/>
  <c r="A1972" i="5"/>
  <c r="D1971" i="5"/>
  <c r="B1971" i="5"/>
  <c r="A1971" i="5"/>
  <c r="D1970" i="5"/>
  <c r="B1970" i="5"/>
  <c r="A1970" i="5"/>
  <c r="D1969" i="5"/>
  <c r="B1969" i="5"/>
  <c r="A1969" i="5"/>
  <c r="D1968" i="5"/>
  <c r="B1968" i="5"/>
  <c r="A1968" i="5"/>
  <c r="D1967" i="5"/>
  <c r="B1967" i="5"/>
  <c r="A1967" i="5"/>
  <c r="D1966" i="5"/>
  <c r="B1966" i="5"/>
  <c r="A1966" i="5"/>
  <c r="D1965" i="5"/>
  <c r="B1965" i="5"/>
  <c r="A1965" i="5"/>
  <c r="D1964" i="5"/>
  <c r="B1964" i="5"/>
  <c r="A1964" i="5"/>
  <c r="D1963" i="5"/>
  <c r="B1963" i="5"/>
  <c r="A1963" i="5"/>
  <c r="D1962" i="5"/>
  <c r="B1962" i="5"/>
  <c r="A1962" i="5"/>
  <c r="D1961" i="5"/>
  <c r="B1961" i="5"/>
  <c r="A1961" i="5"/>
  <c r="D1960" i="5"/>
  <c r="B1960" i="5"/>
  <c r="A1960" i="5"/>
  <c r="D1959" i="5"/>
  <c r="A1959" i="5"/>
  <c r="D1958" i="5"/>
  <c r="B1958" i="5"/>
  <c r="A1958" i="5"/>
  <c r="D1957" i="5"/>
  <c r="B1957" i="5"/>
  <c r="A1957" i="5"/>
  <c r="D1956" i="5"/>
  <c r="B1956" i="5"/>
  <c r="A1956" i="5"/>
  <c r="D1955" i="5"/>
  <c r="A1955" i="5"/>
  <c r="D1954" i="5"/>
  <c r="C1954" i="5"/>
  <c r="B1954" i="5"/>
  <c r="A1954" i="5"/>
  <c r="D1953" i="5"/>
  <c r="B1953" i="5"/>
  <c r="A1953" i="5"/>
  <c r="D1952" i="5"/>
  <c r="B1952" i="5"/>
  <c r="A1952" i="5"/>
  <c r="D1951" i="5"/>
  <c r="B1951" i="5"/>
  <c r="A1951" i="5"/>
  <c r="D1950" i="5"/>
  <c r="B1950" i="5"/>
  <c r="A1950" i="5"/>
  <c r="D1949" i="5"/>
  <c r="A1949" i="5"/>
  <c r="D1948" i="5"/>
  <c r="B1948" i="5"/>
  <c r="A1948" i="5"/>
  <c r="D1947" i="5"/>
  <c r="B1947" i="5"/>
  <c r="A1947" i="5"/>
  <c r="D1946" i="5"/>
  <c r="B1946" i="5"/>
  <c r="A1946" i="5"/>
  <c r="D1945" i="5"/>
  <c r="B1945" i="5"/>
  <c r="A1945" i="5"/>
  <c r="D1944" i="5"/>
  <c r="B1944" i="5"/>
  <c r="A1944" i="5"/>
  <c r="D1943" i="5"/>
  <c r="A1943" i="5"/>
  <c r="D1942" i="5"/>
  <c r="C1942" i="5"/>
  <c r="B1942" i="5"/>
  <c r="A1942" i="5"/>
  <c r="D1941" i="5"/>
  <c r="A1941" i="5"/>
  <c r="D1940" i="5"/>
  <c r="B1940" i="5"/>
  <c r="A1940" i="5"/>
  <c r="D1939" i="5"/>
  <c r="C1939" i="5"/>
  <c r="B1939" i="5"/>
  <c r="A1939" i="5"/>
  <c r="D1938" i="5"/>
  <c r="B1938" i="5"/>
  <c r="A1938" i="5"/>
  <c r="D1937" i="5"/>
  <c r="A1937" i="5"/>
  <c r="D1936" i="5"/>
  <c r="B1936" i="5"/>
  <c r="A1936" i="5"/>
  <c r="D1935" i="5"/>
  <c r="B1935" i="5"/>
  <c r="A1935" i="5"/>
  <c r="D1934" i="5"/>
  <c r="B1934" i="5"/>
  <c r="A1934" i="5"/>
  <c r="D1933" i="5"/>
  <c r="B1933" i="5"/>
  <c r="A1933" i="5"/>
  <c r="D1932" i="5"/>
  <c r="B1932" i="5"/>
  <c r="A1932" i="5"/>
  <c r="D1931" i="5"/>
  <c r="B1931" i="5"/>
  <c r="A1931" i="5"/>
  <c r="D1930" i="5"/>
  <c r="A1930" i="5"/>
  <c r="D1929" i="5"/>
  <c r="B1929" i="5"/>
  <c r="A1929" i="5"/>
  <c r="D1928" i="5"/>
  <c r="B1928" i="5"/>
  <c r="A1928" i="5"/>
  <c r="D1927" i="5"/>
  <c r="B1927" i="5"/>
  <c r="A1927" i="5"/>
  <c r="D1926" i="5"/>
  <c r="B1926" i="5"/>
  <c r="A1926" i="5"/>
  <c r="D1925" i="5"/>
  <c r="B1925" i="5"/>
  <c r="A1925" i="5"/>
  <c r="D1924" i="5"/>
  <c r="B1924" i="5"/>
  <c r="A1924" i="5"/>
  <c r="D1923" i="5"/>
  <c r="B1923" i="5"/>
  <c r="A1923" i="5"/>
  <c r="D1922" i="5"/>
  <c r="A1922" i="5"/>
  <c r="D1921" i="5"/>
  <c r="B1921" i="5"/>
  <c r="A1921" i="5"/>
  <c r="D1920" i="5"/>
  <c r="B1920" i="5"/>
  <c r="A1920" i="5"/>
  <c r="D1919" i="5"/>
  <c r="B1919" i="5"/>
  <c r="A1919" i="5"/>
  <c r="D1918" i="5"/>
  <c r="B1918" i="5"/>
  <c r="A1918" i="5"/>
  <c r="D1917" i="5"/>
  <c r="B1917" i="5"/>
  <c r="A1917" i="5"/>
  <c r="D1916" i="5"/>
  <c r="B1916" i="5"/>
  <c r="A1916" i="5"/>
  <c r="D1915" i="5"/>
  <c r="C1915" i="5"/>
  <c r="B1915" i="5"/>
  <c r="A1915" i="5"/>
  <c r="D1914" i="5"/>
  <c r="A1914" i="5"/>
  <c r="D1913" i="5"/>
  <c r="A1913" i="5"/>
  <c r="D1912" i="5"/>
  <c r="B1912" i="5"/>
  <c r="A1912" i="5"/>
  <c r="D1911" i="5"/>
  <c r="B1911" i="5"/>
  <c r="A1911" i="5"/>
  <c r="D1910" i="5"/>
  <c r="A1910" i="5"/>
  <c r="D1909" i="5"/>
  <c r="B1909" i="5"/>
  <c r="A1909" i="5"/>
  <c r="D1908" i="5"/>
  <c r="B1908" i="5"/>
  <c r="A1908" i="5"/>
  <c r="D1907" i="5"/>
  <c r="B1907" i="5"/>
  <c r="A1907" i="5"/>
  <c r="D1906" i="5"/>
  <c r="B1906" i="5"/>
  <c r="A1906" i="5"/>
  <c r="D1905" i="5"/>
  <c r="B1905" i="5"/>
  <c r="A1905" i="5"/>
  <c r="D1904" i="5"/>
  <c r="B1904" i="5"/>
  <c r="A1904" i="5"/>
  <c r="D1903" i="5"/>
  <c r="B1903" i="5"/>
  <c r="A1903" i="5"/>
  <c r="D1902" i="5"/>
  <c r="B1902" i="5"/>
  <c r="A1902" i="5"/>
  <c r="D1901" i="5"/>
  <c r="B1901" i="5"/>
  <c r="A1901" i="5"/>
  <c r="D1900" i="5"/>
  <c r="B1900" i="5"/>
  <c r="A1900" i="5"/>
  <c r="D1899" i="5"/>
  <c r="B1899" i="5"/>
  <c r="A1899" i="5"/>
  <c r="D1898" i="5"/>
  <c r="A1898" i="5"/>
  <c r="D1897" i="5"/>
  <c r="B1897" i="5"/>
  <c r="A1897" i="5"/>
  <c r="D1896" i="5"/>
  <c r="B1896" i="5"/>
  <c r="A1896" i="5"/>
  <c r="D1895" i="5"/>
  <c r="B1895" i="5"/>
  <c r="A1895" i="5"/>
  <c r="D1894" i="5"/>
  <c r="B1894" i="5"/>
  <c r="A1894" i="5"/>
  <c r="D1893" i="5"/>
  <c r="B1893" i="5"/>
  <c r="A1893" i="5"/>
  <c r="D1892" i="5"/>
  <c r="B1892" i="5"/>
  <c r="A1892" i="5"/>
  <c r="D1891" i="5"/>
  <c r="B1891" i="5"/>
  <c r="A1891" i="5"/>
  <c r="D1890" i="5"/>
  <c r="A1890" i="5"/>
  <c r="D1889" i="5"/>
  <c r="B1889" i="5"/>
  <c r="A1889" i="5"/>
  <c r="D1888" i="5"/>
  <c r="A1888" i="5"/>
  <c r="D1887" i="5"/>
  <c r="B1887" i="5"/>
  <c r="A1887" i="5"/>
  <c r="D1886" i="5"/>
  <c r="B1886" i="5"/>
  <c r="A1886" i="5"/>
  <c r="D1885" i="5"/>
  <c r="B1885" i="5"/>
  <c r="A1885" i="5"/>
  <c r="D1884" i="5"/>
  <c r="A1884" i="5"/>
  <c r="D1883" i="5"/>
  <c r="A1883" i="5"/>
  <c r="D1882" i="5"/>
  <c r="B1882" i="5"/>
  <c r="A1882" i="5"/>
  <c r="D1881" i="5"/>
  <c r="B1881" i="5"/>
  <c r="A1881" i="5"/>
  <c r="D1880" i="5"/>
  <c r="B1880" i="5"/>
  <c r="A1880" i="5"/>
  <c r="D1879" i="5"/>
  <c r="B1879" i="5"/>
  <c r="A1879" i="5"/>
  <c r="D1878" i="5"/>
  <c r="B1878" i="5"/>
  <c r="A1878" i="5"/>
  <c r="D1877" i="5"/>
  <c r="A1877" i="5"/>
  <c r="D1876" i="5"/>
  <c r="A1876" i="5"/>
  <c r="D1875" i="5"/>
  <c r="B1875" i="5"/>
  <c r="A1875" i="5"/>
  <c r="D1874" i="5"/>
  <c r="A1874" i="5"/>
  <c r="D1873" i="5"/>
  <c r="B1873" i="5"/>
  <c r="A1873" i="5"/>
  <c r="D1872" i="5"/>
  <c r="B1872" i="5"/>
  <c r="A1872" i="5"/>
  <c r="D1871" i="5"/>
  <c r="B1871" i="5"/>
  <c r="A1871" i="5"/>
  <c r="D1870" i="5"/>
  <c r="B1870" i="5"/>
  <c r="A1870" i="5"/>
  <c r="D1869" i="5"/>
  <c r="A1869" i="5"/>
  <c r="D1868" i="5"/>
  <c r="B1868" i="5"/>
  <c r="A1868" i="5"/>
  <c r="D1867" i="5"/>
  <c r="A1867" i="5"/>
  <c r="D1866" i="5"/>
  <c r="B1866" i="5"/>
  <c r="A1866" i="5"/>
  <c r="D1865" i="5"/>
  <c r="A1865" i="5"/>
  <c r="D1864" i="5"/>
  <c r="B1864" i="5"/>
  <c r="A1864" i="5"/>
  <c r="D1863" i="5"/>
  <c r="A1863" i="5"/>
  <c r="D1862" i="5"/>
  <c r="B1862" i="5"/>
  <c r="A1862" i="5"/>
  <c r="D1861" i="5"/>
  <c r="A1861" i="5"/>
  <c r="D1860" i="5"/>
  <c r="A1860" i="5"/>
  <c r="D1859" i="5"/>
  <c r="B1859" i="5"/>
  <c r="A1859" i="5"/>
  <c r="D1858" i="5"/>
  <c r="A1858" i="5"/>
  <c r="D1857" i="5"/>
  <c r="A1857" i="5"/>
  <c r="D1856" i="5"/>
  <c r="A1856" i="5"/>
  <c r="D1855" i="5"/>
  <c r="A1855" i="5"/>
  <c r="D1854" i="5"/>
  <c r="A1854" i="5"/>
  <c r="D1853" i="5"/>
  <c r="A1853" i="5"/>
  <c r="D1852" i="5"/>
  <c r="A1852" i="5"/>
  <c r="D1851" i="5"/>
  <c r="A1851" i="5"/>
  <c r="D1850" i="5"/>
  <c r="B1850" i="5"/>
  <c r="A1850" i="5"/>
  <c r="D1849" i="5"/>
  <c r="A1849" i="5"/>
  <c r="D1848" i="5"/>
  <c r="A1848" i="5"/>
  <c r="D1847" i="5"/>
  <c r="A1847" i="5"/>
  <c r="D1846" i="5"/>
  <c r="B1846" i="5"/>
  <c r="A1846" i="5"/>
  <c r="D1845" i="5"/>
  <c r="A1845" i="5"/>
  <c r="D1844" i="5"/>
  <c r="A1844" i="5"/>
  <c r="D1843" i="5"/>
  <c r="A1843" i="5"/>
  <c r="D1842" i="5"/>
  <c r="B1842" i="5"/>
  <c r="A1842" i="5"/>
  <c r="D1841" i="5"/>
  <c r="B1841" i="5"/>
  <c r="A1841" i="5"/>
  <c r="D1840" i="5"/>
  <c r="A1840" i="5"/>
  <c r="D1839" i="5"/>
  <c r="A1839" i="5"/>
  <c r="D1838" i="5"/>
  <c r="A1838" i="5"/>
  <c r="D1837" i="5"/>
  <c r="A1837" i="5"/>
  <c r="D1836" i="5"/>
  <c r="A1836" i="5"/>
  <c r="D1835" i="5"/>
  <c r="A1835" i="5"/>
  <c r="D1834" i="5"/>
  <c r="B1834" i="5"/>
  <c r="A1834" i="5"/>
  <c r="D1833" i="5"/>
  <c r="A1833" i="5"/>
  <c r="D1832" i="5"/>
  <c r="B1832" i="5"/>
  <c r="A1832" i="5"/>
  <c r="D1831" i="5"/>
  <c r="A1831" i="5"/>
  <c r="D1830" i="5"/>
  <c r="A1830" i="5"/>
  <c r="D1829" i="5"/>
  <c r="B1829" i="5"/>
  <c r="A1829" i="5"/>
  <c r="D1828" i="5"/>
  <c r="A1828" i="5"/>
  <c r="D1827" i="5"/>
  <c r="B1827" i="5"/>
  <c r="A1827" i="5"/>
  <c r="D1826" i="5"/>
  <c r="A1826" i="5"/>
  <c r="D1825" i="5"/>
  <c r="A1825" i="5"/>
  <c r="D1824" i="5"/>
  <c r="A1824" i="5"/>
  <c r="D1823" i="5"/>
  <c r="B1823" i="5"/>
  <c r="A1823" i="5"/>
  <c r="D1822" i="5"/>
  <c r="B1822" i="5"/>
  <c r="A1822" i="5"/>
  <c r="D1821" i="5"/>
  <c r="A1821" i="5"/>
  <c r="D1820" i="5"/>
  <c r="A1820" i="5"/>
  <c r="D1819" i="5"/>
  <c r="A1819" i="5"/>
  <c r="D1818" i="5"/>
  <c r="A1818" i="5"/>
  <c r="D1817" i="5"/>
  <c r="B1817" i="5"/>
  <c r="A1817" i="5"/>
  <c r="D1816" i="5"/>
  <c r="A1816" i="5"/>
  <c r="D1815" i="5"/>
  <c r="A1815" i="5"/>
  <c r="D1814" i="5"/>
  <c r="B1814" i="5"/>
  <c r="A1814" i="5"/>
  <c r="D1813" i="5"/>
  <c r="B1813" i="5"/>
  <c r="A1813" i="5"/>
  <c r="D1812" i="5"/>
  <c r="A1812" i="5"/>
  <c r="D1811" i="5"/>
  <c r="B1811" i="5"/>
  <c r="A1811" i="5"/>
  <c r="D1810" i="5"/>
  <c r="B1810" i="5"/>
  <c r="A1810" i="5"/>
  <c r="D1809" i="5"/>
  <c r="B1809" i="5"/>
  <c r="A1809" i="5"/>
  <c r="D1808" i="5"/>
  <c r="B1808" i="5"/>
  <c r="A1808" i="5"/>
  <c r="D1807" i="5"/>
  <c r="A1807" i="5"/>
  <c r="D1806" i="5"/>
  <c r="B1806" i="5"/>
  <c r="A1806" i="5"/>
  <c r="D1805" i="5"/>
  <c r="B1805" i="5"/>
  <c r="A1805" i="5"/>
  <c r="D1804" i="5"/>
  <c r="B1804" i="5"/>
  <c r="A1804" i="5"/>
  <c r="D1803" i="5"/>
  <c r="B1803" i="5"/>
  <c r="A1803" i="5"/>
  <c r="D1802" i="5"/>
  <c r="B1802" i="5"/>
  <c r="A1802" i="5"/>
  <c r="D1801" i="5"/>
  <c r="A1801" i="5"/>
  <c r="D1800" i="5"/>
  <c r="B1800" i="5"/>
  <c r="A1800" i="5"/>
  <c r="D1799" i="5"/>
  <c r="B1799" i="5"/>
  <c r="A1799" i="5"/>
  <c r="D1798" i="5"/>
  <c r="B1798" i="5"/>
  <c r="A1798" i="5"/>
  <c r="D1797" i="5"/>
  <c r="B1797" i="5"/>
  <c r="A1797" i="5"/>
  <c r="D1796" i="5"/>
  <c r="B1796" i="5"/>
  <c r="A1796" i="5"/>
  <c r="D1795" i="5"/>
  <c r="B1795" i="5"/>
  <c r="A1795" i="5"/>
  <c r="D1794" i="5"/>
  <c r="B1794" i="5"/>
  <c r="A1794" i="5"/>
  <c r="D1793" i="5"/>
  <c r="B1793" i="5"/>
  <c r="A1793" i="5"/>
  <c r="D1792" i="5"/>
  <c r="B1792" i="5"/>
  <c r="A1792" i="5"/>
  <c r="D1791" i="5"/>
  <c r="B1791" i="5"/>
  <c r="A1791" i="5"/>
  <c r="D1790" i="5"/>
  <c r="A1790" i="5"/>
  <c r="D1789" i="5"/>
  <c r="B1789" i="5"/>
  <c r="A1789" i="5"/>
  <c r="D1788" i="5"/>
  <c r="B1788" i="5"/>
  <c r="A1788" i="5"/>
  <c r="D1787" i="5"/>
  <c r="A1787" i="5"/>
  <c r="D1786" i="5"/>
  <c r="A1786" i="5"/>
  <c r="D1785" i="5"/>
  <c r="B1785" i="5"/>
  <c r="A1785" i="5"/>
  <c r="D1784" i="5"/>
  <c r="A1784" i="5"/>
  <c r="D1783" i="5"/>
  <c r="B1783" i="5"/>
  <c r="A1783" i="5"/>
  <c r="D1782" i="5"/>
  <c r="B1782" i="5"/>
  <c r="A1782" i="5"/>
  <c r="D1781" i="5"/>
  <c r="B1781" i="5"/>
  <c r="A1781" i="5"/>
  <c r="D1780" i="5"/>
  <c r="A1780" i="5"/>
  <c r="D1779" i="5"/>
  <c r="A1779" i="5"/>
  <c r="D1778" i="5"/>
  <c r="B1778" i="5"/>
  <c r="A1778" i="5"/>
  <c r="D1777" i="5"/>
  <c r="B1777" i="5"/>
  <c r="A1777" i="5"/>
  <c r="D1776" i="5"/>
  <c r="B1776" i="5"/>
  <c r="A1776" i="5"/>
  <c r="D1775" i="5"/>
  <c r="B1775" i="5"/>
  <c r="A1775" i="5"/>
  <c r="D1774" i="5"/>
  <c r="A1774" i="5"/>
  <c r="D1773" i="5"/>
  <c r="B1773" i="5"/>
  <c r="A1773" i="5"/>
  <c r="D1772" i="5"/>
  <c r="B1772" i="5"/>
  <c r="A1772" i="5"/>
  <c r="D1771" i="5"/>
  <c r="A1771" i="5"/>
  <c r="D1770" i="5"/>
  <c r="B1770" i="5"/>
  <c r="A1770" i="5"/>
  <c r="D1769" i="5"/>
  <c r="B1769" i="5"/>
  <c r="A1769" i="5"/>
  <c r="D1768" i="5"/>
  <c r="B1768" i="5"/>
  <c r="A1768" i="5"/>
  <c r="D1767" i="5"/>
  <c r="B1767" i="5"/>
  <c r="A1767" i="5"/>
  <c r="D1766" i="5"/>
  <c r="A1766" i="5"/>
  <c r="D1765" i="5"/>
  <c r="A1765" i="5"/>
  <c r="D1764" i="5"/>
  <c r="A1764" i="5"/>
  <c r="D1763" i="5"/>
  <c r="B1763" i="5"/>
  <c r="A1763" i="5"/>
  <c r="D1762" i="5"/>
  <c r="A1762" i="5"/>
  <c r="D1761" i="5"/>
  <c r="B1761" i="5"/>
  <c r="A1761" i="5"/>
  <c r="D1760" i="5"/>
  <c r="B1760" i="5"/>
  <c r="A1760" i="5"/>
  <c r="D1759" i="5"/>
  <c r="B1759" i="5"/>
  <c r="A1759" i="5"/>
  <c r="D1758" i="5"/>
  <c r="A1758" i="5"/>
  <c r="D1757" i="5"/>
  <c r="A1757" i="5"/>
  <c r="D1756" i="5"/>
  <c r="A1756" i="5"/>
  <c r="D1755" i="5"/>
  <c r="B1755" i="5"/>
  <c r="A1755" i="5"/>
  <c r="D1754" i="5"/>
  <c r="A1754" i="5"/>
  <c r="D1753" i="5"/>
  <c r="A1753" i="5"/>
  <c r="D1752" i="5"/>
  <c r="B1752" i="5"/>
  <c r="A1752" i="5"/>
  <c r="D1751" i="5"/>
  <c r="A1751" i="5"/>
  <c r="D1750" i="5"/>
  <c r="A1750" i="5"/>
  <c r="D1749" i="5"/>
  <c r="A1749" i="5"/>
  <c r="D1748" i="5"/>
  <c r="A1748" i="5"/>
  <c r="D1747" i="5"/>
  <c r="B1747" i="5"/>
  <c r="A1747" i="5"/>
  <c r="D1746" i="5"/>
  <c r="B1746" i="5"/>
  <c r="A1746" i="5"/>
  <c r="D1745" i="5"/>
  <c r="A1745" i="5"/>
  <c r="D1744" i="5"/>
  <c r="A1744" i="5"/>
  <c r="D1743" i="5"/>
  <c r="A1743" i="5"/>
  <c r="D1742" i="5"/>
  <c r="B1742" i="5"/>
  <c r="A1742" i="5"/>
  <c r="D1741" i="5"/>
  <c r="C1741" i="5"/>
  <c r="B1741" i="5"/>
  <c r="A1741" i="5"/>
  <c r="D1740" i="5"/>
  <c r="A1740" i="5"/>
  <c r="D1739" i="5"/>
  <c r="B1739" i="5"/>
  <c r="A1739" i="5"/>
  <c r="D1738" i="5"/>
  <c r="B1738" i="5"/>
  <c r="A1738" i="5"/>
  <c r="D1737" i="5"/>
  <c r="B1737" i="5"/>
  <c r="A1737" i="5"/>
  <c r="D1736" i="5"/>
  <c r="B1736" i="5"/>
  <c r="A1736" i="5"/>
  <c r="D1735" i="5"/>
  <c r="A1735" i="5"/>
  <c r="D1734" i="5"/>
  <c r="A1734" i="5"/>
  <c r="D1733" i="5"/>
  <c r="A1733" i="5"/>
  <c r="D1732" i="5"/>
  <c r="A1732" i="5"/>
  <c r="D1731" i="5"/>
  <c r="B1731" i="5"/>
  <c r="A1731" i="5"/>
  <c r="D1730" i="5"/>
  <c r="A1730" i="5"/>
  <c r="D1729" i="5"/>
  <c r="A1729" i="5"/>
  <c r="D1728" i="5"/>
  <c r="A1728" i="5"/>
  <c r="D1727" i="5"/>
  <c r="A1727" i="5"/>
  <c r="D1726" i="5"/>
  <c r="A1726" i="5"/>
  <c r="D1725" i="5"/>
  <c r="A1725" i="5"/>
  <c r="D1724" i="5"/>
  <c r="B1724" i="5"/>
  <c r="A1724" i="5"/>
  <c r="D1723" i="5"/>
  <c r="B1723" i="5"/>
  <c r="A1723" i="5"/>
  <c r="D1722" i="5"/>
  <c r="A1722" i="5"/>
  <c r="D1721" i="5"/>
  <c r="B1721" i="5"/>
  <c r="A1721" i="5"/>
  <c r="D1720" i="5"/>
  <c r="A1720" i="5"/>
  <c r="D1719" i="5"/>
  <c r="A1719" i="5"/>
  <c r="D1718" i="5"/>
  <c r="B1718" i="5"/>
  <c r="A1718" i="5"/>
  <c r="D1717" i="5"/>
  <c r="A1717" i="5"/>
  <c r="D1716" i="5"/>
  <c r="B1716" i="5"/>
  <c r="A1716" i="5"/>
  <c r="D1715" i="5"/>
  <c r="B1715" i="5"/>
  <c r="A1715" i="5"/>
  <c r="D1714" i="5"/>
  <c r="A1714" i="5"/>
  <c r="D1713" i="5"/>
  <c r="A1713" i="5"/>
  <c r="D1712" i="5"/>
  <c r="A1712" i="5"/>
  <c r="D1711" i="5"/>
  <c r="A1711" i="5"/>
  <c r="D1710" i="5"/>
  <c r="A1710" i="5"/>
  <c r="D1709" i="5"/>
  <c r="A1709" i="5"/>
  <c r="D1708" i="5"/>
  <c r="A1708" i="5"/>
  <c r="D1707" i="5"/>
  <c r="A1707" i="5"/>
  <c r="D1706" i="5"/>
  <c r="A1706" i="5"/>
  <c r="D1705" i="5"/>
  <c r="A1705" i="5"/>
  <c r="D1704" i="5"/>
  <c r="A1704" i="5"/>
  <c r="D1703" i="5"/>
  <c r="A1703" i="5"/>
  <c r="D1702" i="5"/>
  <c r="A1702" i="5"/>
  <c r="D1701" i="5"/>
  <c r="A1701" i="5"/>
  <c r="D1700" i="5"/>
  <c r="A1700" i="5"/>
  <c r="D1699" i="5"/>
  <c r="B1699" i="5"/>
  <c r="A1699" i="5"/>
  <c r="D1698" i="5"/>
  <c r="A1698" i="5"/>
  <c r="D1697" i="5"/>
  <c r="A1697" i="5"/>
  <c r="D1696" i="5"/>
  <c r="A1696" i="5"/>
  <c r="D1695" i="5"/>
  <c r="B1695" i="5"/>
  <c r="A1695" i="5"/>
  <c r="D1694" i="5"/>
  <c r="B1694" i="5"/>
  <c r="A1694" i="5"/>
  <c r="D1693" i="5"/>
  <c r="B1693" i="5"/>
  <c r="A1693" i="5"/>
  <c r="D1692" i="5"/>
  <c r="A1692" i="5"/>
  <c r="D1691" i="5"/>
  <c r="B1691" i="5"/>
  <c r="A1691" i="5"/>
  <c r="D1690" i="5"/>
  <c r="A1690" i="5"/>
  <c r="D1689" i="5"/>
  <c r="A1689" i="5"/>
  <c r="D1688" i="5"/>
  <c r="B1688" i="5"/>
  <c r="A1688" i="5"/>
  <c r="D1687" i="5"/>
  <c r="A1687" i="5"/>
  <c r="D1686" i="5"/>
  <c r="A1686" i="5"/>
  <c r="D1685" i="5"/>
  <c r="A1685" i="5"/>
  <c r="D1684" i="5"/>
  <c r="B1684" i="5"/>
  <c r="A1684" i="5"/>
  <c r="D1683" i="5"/>
  <c r="A1683" i="5"/>
  <c r="D1682" i="5"/>
  <c r="A1682" i="5"/>
  <c r="D1681" i="5"/>
  <c r="A1681" i="5"/>
  <c r="D1680" i="5"/>
  <c r="A1680" i="5"/>
  <c r="D1679" i="5"/>
  <c r="B1679" i="5"/>
  <c r="A1679" i="5"/>
  <c r="D1678" i="5"/>
  <c r="B1678" i="5"/>
  <c r="A1678" i="5"/>
  <c r="D1677" i="5"/>
  <c r="A1677" i="5"/>
  <c r="D1676" i="5"/>
  <c r="A1676" i="5"/>
  <c r="D1675" i="5"/>
  <c r="B1675" i="5"/>
  <c r="A1675" i="5"/>
  <c r="D1674" i="5"/>
  <c r="A1674" i="5"/>
  <c r="D1673" i="5"/>
  <c r="A1673" i="5"/>
  <c r="D1672" i="5"/>
  <c r="B1672" i="5"/>
  <c r="A1672" i="5"/>
  <c r="D1671" i="5"/>
  <c r="B1671" i="5"/>
  <c r="A1671" i="5"/>
  <c r="D1670" i="5"/>
  <c r="A1670" i="5"/>
  <c r="D1669" i="5"/>
  <c r="A1669" i="5"/>
  <c r="D1668" i="5"/>
  <c r="A1668" i="5"/>
  <c r="D1667" i="5"/>
  <c r="A1667" i="5"/>
  <c r="D1666" i="5"/>
  <c r="A1666" i="5"/>
  <c r="D1665" i="5"/>
  <c r="A1665" i="5"/>
  <c r="D1664" i="5"/>
  <c r="A1664" i="5"/>
  <c r="D1663" i="5"/>
  <c r="A1663" i="5"/>
  <c r="D1662" i="5"/>
  <c r="A1662" i="5"/>
  <c r="D1661" i="5"/>
  <c r="B1661" i="5"/>
  <c r="A1661" i="5"/>
  <c r="D1660" i="5"/>
  <c r="B1660" i="5"/>
  <c r="A1660" i="5"/>
  <c r="D1659" i="5"/>
  <c r="B1659" i="5"/>
  <c r="A1659" i="5"/>
  <c r="D1658" i="5"/>
  <c r="A1658" i="5"/>
  <c r="D1657" i="5"/>
  <c r="A1657" i="5"/>
  <c r="D1656" i="5"/>
  <c r="A1656" i="5"/>
  <c r="D1655" i="5"/>
  <c r="A1655" i="5"/>
  <c r="D1654" i="5"/>
  <c r="A1654" i="5"/>
  <c r="D1653" i="5"/>
  <c r="A1653" i="5"/>
  <c r="D1652" i="5"/>
  <c r="A1652" i="5"/>
  <c r="D1651" i="5"/>
  <c r="A1651" i="5"/>
  <c r="D1650" i="5"/>
  <c r="A1650" i="5"/>
  <c r="D1649" i="5"/>
  <c r="A1649" i="5"/>
  <c r="D1648" i="5"/>
  <c r="A1648" i="5"/>
  <c r="D1647" i="5"/>
  <c r="A1647" i="5"/>
  <c r="D1646" i="5"/>
  <c r="A1646" i="5"/>
  <c r="D1645" i="5"/>
  <c r="A1645" i="5"/>
  <c r="D1644" i="5"/>
  <c r="A1644" i="5"/>
  <c r="D1643" i="5"/>
  <c r="A1643" i="5"/>
  <c r="D1642" i="5"/>
  <c r="A1642" i="5"/>
  <c r="D1641" i="5"/>
  <c r="A1641" i="5"/>
  <c r="D1640" i="5"/>
  <c r="A1640" i="5"/>
  <c r="D1639" i="5"/>
  <c r="A1639" i="5"/>
  <c r="D1638" i="5"/>
  <c r="A1638" i="5"/>
  <c r="D1637" i="5"/>
  <c r="A1637" i="5"/>
  <c r="D1636" i="5"/>
  <c r="A1636" i="5"/>
  <c r="D1635" i="5"/>
  <c r="A1635" i="5"/>
  <c r="D1634" i="5"/>
  <c r="A1634" i="5"/>
  <c r="D1633" i="5"/>
  <c r="A1633" i="5"/>
  <c r="D1632" i="5"/>
  <c r="A1632" i="5"/>
  <c r="D1631" i="5"/>
  <c r="A1631" i="5"/>
  <c r="D1630" i="5"/>
  <c r="A1630" i="5"/>
  <c r="D1629" i="5"/>
  <c r="A1629" i="5"/>
  <c r="D1628" i="5"/>
  <c r="A1628" i="5"/>
  <c r="D1627" i="5"/>
  <c r="A1627" i="5"/>
  <c r="D1626" i="5"/>
  <c r="A1626" i="5"/>
  <c r="D1625" i="5"/>
  <c r="A1625" i="5"/>
  <c r="D1624" i="5"/>
  <c r="A1624" i="5"/>
  <c r="D1623" i="5"/>
  <c r="A1623" i="5"/>
  <c r="D1622" i="5"/>
  <c r="A1622" i="5"/>
  <c r="D1621" i="5"/>
  <c r="A1621" i="5"/>
  <c r="D1620" i="5"/>
  <c r="A1620" i="5"/>
  <c r="D1619" i="5"/>
  <c r="A1619" i="5"/>
  <c r="D1618" i="5"/>
  <c r="A1618" i="5"/>
  <c r="D1617" i="5"/>
  <c r="A1617" i="5"/>
  <c r="D1616" i="5"/>
  <c r="A1616" i="5"/>
  <c r="D1615" i="5"/>
  <c r="A1615" i="5"/>
  <c r="D1614" i="5"/>
  <c r="B1614" i="5"/>
  <c r="A1614" i="5"/>
  <c r="D1613" i="5"/>
  <c r="A1613" i="5"/>
  <c r="D1612" i="5"/>
  <c r="B1612" i="5"/>
  <c r="A1612" i="5"/>
  <c r="D1611" i="5"/>
  <c r="A1611" i="5"/>
  <c r="D1610" i="5"/>
  <c r="B1610" i="5"/>
  <c r="A1610" i="5"/>
  <c r="D1609" i="5"/>
  <c r="C1609" i="5"/>
  <c r="B1609" i="5"/>
  <c r="A1609" i="5"/>
  <c r="D1608" i="5"/>
  <c r="B1608" i="5"/>
  <c r="A1608" i="5"/>
  <c r="D1607" i="5"/>
  <c r="B1607" i="5"/>
  <c r="A1607" i="5"/>
  <c r="D1606" i="5"/>
  <c r="B1606" i="5"/>
  <c r="A1606" i="5"/>
  <c r="D1605" i="5"/>
  <c r="B1605" i="5"/>
  <c r="A1605" i="5"/>
  <c r="D1604" i="5"/>
  <c r="B1604" i="5"/>
  <c r="A1604" i="5"/>
  <c r="D1603" i="5"/>
  <c r="B1603" i="5"/>
  <c r="A1603" i="5"/>
  <c r="D1602" i="5"/>
  <c r="A1602" i="5"/>
  <c r="D1601" i="5"/>
  <c r="B1601" i="5"/>
  <c r="A1601" i="5"/>
  <c r="D1600" i="5"/>
  <c r="A1600" i="5"/>
  <c r="D1599" i="5"/>
  <c r="B1599" i="5"/>
  <c r="A1599" i="5"/>
  <c r="D1598" i="5"/>
  <c r="B1598" i="5"/>
  <c r="A1598" i="5"/>
  <c r="D1597" i="5"/>
  <c r="B1597" i="5"/>
  <c r="A1597" i="5"/>
  <c r="D1596" i="5"/>
  <c r="B1596" i="5"/>
  <c r="A1596" i="5"/>
  <c r="D1595" i="5"/>
  <c r="B1595" i="5"/>
  <c r="A1595" i="5"/>
  <c r="D1594" i="5"/>
  <c r="B1594" i="5"/>
  <c r="A1594" i="5"/>
  <c r="D1593" i="5"/>
  <c r="B1593" i="5"/>
  <c r="A1593" i="5"/>
  <c r="D1592" i="5"/>
  <c r="B1592" i="5"/>
  <c r="A1592" i="5"/>
  <c r="D1591" i="5"/>
  <c r="B1591" i="5"/>
  <c r="A1591" i="5"/>
  <c r="D1590" i="5"/>
  <c r="B1590" i="5"/>
  <c r="A1590" i="5"/>
  <c r="D1589" i="5"/>
  <c r="A1589" i="5"/>
  <c r="D1588" i="5"/>
  <c r="A1588" i="5"/>
  <c r="D1587" i="5"/>
  <c r="A1587" i="5"/>
  <c r="D1586" i="5"/>
  <c r="B1586" i="5"/>
  <c r="A1586" i="5"/>
  <c r="D1585" i="5"/>
  <c r="A1585" i="5"/>
  <c r="D1584" i="5"/>
  <c r="C1584" i="5"/>
  <c r="B1584" i="5"/>
  <c r="A1584" i="5"/>
  <c r="D1583" i="5"/>
  <c r="B1583" i="5"/>
  <c r="A1583" i="5"/>
  <c r="D1582" i="5"/>
  <c r="B1582" i="5"/>
  <c r="A1582" i="5"/>
  <c r="D1581" i="5"/>
  <c r="B1581" i="5"/>
  <c r="A1581" i="5"/>
  <c r="D1580" i="5"/>
  <c r="A1580" i="5"/>
  <c r="D1579" i="5"/>
  <c r="B1579" i="5"/>
  <c r="A1579" i="5"/>
  <c r="D1578" i="5"/>
  <c r="A1578" i="5"/>
  <c r="D1577" i="5"/>
  <c r="B1577" i="5"/>
  <c r="A1577" i="5"/>
  <c r="D1576" i="5"/>
  <c r="B1576" i="5"/>
  <c r="A1576" i="5"/>
  <c r="D1575" i="5"/>
  <c r="C1575" i="5"/>
  <c r="B1575" i="5"/>
  <c r="A1575" i="5"/>
  <c r="D1574" i="5"/>
  <c r="B1574" i="5"/>
  <c r="A1574" i="5"/>
  <c r="D1573" i="5"/>
  <c r="B1573" i="5"/>
  <c r="A1573" i="5"/>
  <c r="D1572" i="5"/>
  <c r="B1572" i="5"/>
  <c r="A1572" i="5"/>
  <c r="D1571" i="5"/>
  <c r="B1571" i="5"/>
  <c r="A1571" i="5"/>
  <c r="D1570" i="5"/>
  <c r="B1570" i="5"/>
  <c r="A1570" i="5"/>
  <c r="D1569" i="5"/>
  <c r="B1569" i="5"/>
  <c r="A1569" i="5"/>
  <c r="D1568" i="5"/>
  <c r="A1568" i="5"/>
  <c r="D1567" i="5"/>
  <c r="A1567" i="5"/>
  <c r="D1566" i="5"/>
  <c r="A1566" i="5"/>
  <c r="D1565" i="5"/>
  <c r="B1565" i="5"/>
  <c r="A1565" i="5"/>
  <c r="D1564" i="5"/>
  <c r="A1564" i="5"/>
  <c r="D1563" i="5"/>
  <c r="A1563" i="5"/>
  <c r="D1562" i="5"/>
  <c r="B1562" i="5"/>
  <c r="A1562" i="5"/>
  <c r="D1561" i="5"/>
  <c r="B1561" i="5"/>
  <c r="A1561" i="5"/>
  <c r="D1560" i="5"/>
  <c r="A1560" i="5"/>
  <c r="D1559" i="5"/>
  <c r="B1559" i="5"/>
  <c r="A1559" i="5"/>
  <c r="D1558" i="5"/>
  <c r="B1558" i="5"/>
  <c r="A1558" i="5"/>
  <c r="D1557" i="5"/>
  <c r="A1557" i="5"/>
  <c r="D1556" i="5"/>
  <c r="A1556" i="5"/>
  <c r="D1555" i="5"/>
  <c r="A1555" i="5"/>
  <c r="D1554" i="5"/>
  <c r="A1554" i="5"/>
  <c r="D1553" i="5"/>
  <c r="A1553" i="5"/>
  <c r="D1552" i="5"/>
  <c r="A1552" i="5"/>
  <c r="D1551" i="5"/>
  <c r="B1551" i="5"/>
  <c r="A1551" i="5"/>
  <c r="D1550" i="5"/>
  <c r="A1550" i="5"/>
  <c r="D1549" i="5"/>
  <c r="A1549" i="5"/>
  <c r="D1548" i="5"/>
  <c r="A1548" i="5"/>
  <c r="D1547" i="5"/>
  <c r="B1547" i="5"/>
  <c r="A1547" i="5"/>
  <c r="D1546" i="5"/>
  <c r="B1546" i="5"/>
  <c r="A1546" i="5"/>
  <c r="D1545" i="5"/>
  <c r="A1545" i="5"/>
  <c r="D1544" i="5"/>
  <c r="B1544" i="5"/>
  <c r="A1544" i="5"/>
  <c r="D1543" i="5"/>
  <c r="A1543" i="5"/>
  <c r="D1542" i="5"/>
  <c r="B1542" i="5"/>
  <c r="A1542" i="5"/>
  <c r="D1541" i="5"/>
  <c r="A1541" i="5"/>
  <c r="D1540" i="5"/>
  <c r="A1540" i="5"/>
  <c r="D1539" i="5"/>
  <c r="B1539" i="5"/>
  <c r="A1539" i="5"/>
  <c r="D1538" i="5"/>
  <c r="A1538" i="5"/>
  <c r="D1537" i="5"/>
  <c r="B1537" i="5"/>
  <c r="A1537" i="5"/>
  <c r="D1536" i="5"/>
  <c r="A1536" i="5"/>
  <c r="D1535" i="5"/>
  <c r="B1535" i="5"/>
  <c r="A1535" i="5"/>
  <c r="D1534" i="5"/>
  <c r="B1534" i="5"/>
  <c r="A1534" i="5"/>
  <c r="D1533" i="5"/>
  <c r="B1533" i="5"/>
  <c r="A1533" i="5"/>
  <c r="D1532" i="5"/>
  <c r="A1532" i="5"/>
  <c r="D1531" i="5"/>
  <c r="B1531" i="5"/>
  <c r="A1531" i="5"/>
  <c r="D1530" i="5"/>
  <c r="A1530" i="5"/>
  <c r="D1529" i="5"/>
  <c r="B1529" i="5"/>
  <c r="A1529" i="5"/>
  <c r="D1528" i="5"/>
  <c r="B1528" i="5"/>
  <c r="A1528" i="5"/>
  <c r="D1527" i="5"/>
  <c r="A1527" i="5"/>
  <c r="D1526" i="5"/>
  <c r="B1526" i="5"/>
  <c r="A1526" i="5"/>
  <c r="D1525" i="5"/>
  <c r="B1525" i="5"/>
  <c r="A1525" i="5"/>
  <c r="D1524" i="5"/>
  <c r="B1524" i="5"/>
  <c r="A1524" i="5"/>
  <c r="D1523" i="5"/>
  <c r="B1523" i="5"/>
  <c r="A1523" i="5"/>
  <c r="D1522" i="5"/>
  <c r="B1522" i="5"/>
  <c r="A1522" i="5"/>
  <c r="D1521" i="5"/>
  <c r="B1521" i="5"/>
  <c r="A1521" i="5"/>
  <c r="D1520" i="5"/>
  <c r="B1520" i="5"/>
  <c r="A1520" i="5"/>
  <c r="D1519" i="5"/>
  <c r="B1519" i="5"/>
  <c r="A1519" i="5"/>
  <c r="D1518" i="5"/>
  <c r="B1518" i="5"/>
  <c r="A1518" i="5"/>
  <c r="D1517" i="5"/>
  <c r="A1517" i="5"/>
  <c r="D1516" i="5"/>
  <c r="A1516" i="5"/>
  <c r="D1515" i="5"/>
  <c r="A1515" i="5"/>
  <c r="D1514" i="5"/>
  <c r="A1514" i="5"/>
  <c r="D1513" i="5"/>
  <c r="A1513" i="5"/>
  <c r="D1512" i="5"/>
  <c r="A1512" i="5"/>
  <c r="D1511" i="5"/>
  <c r="B1511" i="5"/>
  <c r="A1511" i="5"/>
  <c r="D1510" i="5"/>
  <c r="A1510" i="5"/>
  <c r="D1509" i="5"/>
  <c r="A1509" i="5"/>
  <c r="D1508" i="5"/>
  <c r="A1508" i="5"/>
  <c r="D1507" i="5"/>
  <c r="B1507" i="5"/>
  <c r="A1507" i="5"/>
  <c r="D1506" i="5"/>
  <c r="A1506" i="5"/>
  <c r="D1505" i="5"/>
  <c r="A1505" i="5"/>
  <c r="D1504" i="5"/>
  <c r="C1504" i="5"/>
  <c r="B1504" i="5"/>
  <c r="A1504" i="5"/>
  <c r="D1503" i="5"/>
  <c r="A1503" i="5"/>
  <c r="D1502" i="5"/>
  <c r="A1502" i="5"/>
  <c r="D1501" i="5"/>
  <c r="A1501" i="5"/>
  <c r="D1500" i="5"/>
  <c r="B1500" i="5"/>
  <c r="A1500" i="5"/>
  <c r="D1499" i="5"/>
  <c r="A1499" i="5"/>
  <c r="D1498" i="5"/>
  <c r="A1498" i="5"/>
  <c r="D1497" i="5"/>
  <c r="A1497" i="5"/>
  <c r="D1496" i="5"/>
  <c r="A1496" i="5"/>
  <c r="D1495" i="5"/>
  <c r="B1495" i="5"/>
  <c r="A1495" i="5"/>
  <c r="D1494" i="5"/>
  <c r="A1494" i="5"/>
  <c r="D1493" i="5"/>
  <c r="B1493" i="5"/>
  <c r="A1493" i="5"/>
  <c r="D1492" i="5"/>
  <c r="A1492" i="5"/>
  <c r="D1491" i="5"/>
  <c r="B1491" i="5"/>
  <c r="A1491" i="5"/>
  <c r="D1490" i="5"/>
  <c r="B1490" i="5"/>
  <c r="A1490" i="5"/>
  <c r="D1489" i="5"/>
  <c r="A1489" i="5"/>
  <c r="D1488" i="5"/>
  <c r="A1488" i="5"/>
  <c r="D1487" i="5"/>
  <c r="A1487" i="5"/>
  <c r="D1486" i="5"/>
  <c r="A1486" i="5"/>
  <c r="D1485" i="5"/>
  <c r="A1485" i="5"/>
  <c r="D1484" i="5"/>
  <c r="A1484" i="5"/>
  <c r="D1483" i="5"/>
  <c r="A1483" i="5"/>
  <c r="D1482" i="5"/>
  <c r="A1482" i="5"/>
  <c r="D1481" i="5"/>
  <c r="B1481" i="5"/>
  <c r="A1481" i="5"/>
  <c r="D1480" i="5"/>
  <c r="A1480" i="5"/>
  <c r="D1479" i="5"/>
  <c r="A1479" i="5"/>
  <c r="D1478" i="5"/>
  <c r="A1478" i="5"/>
  <c r="D1477" i="5"/>
  <c r="A1477" i="5"/>
  <c r="D1476" i="5"/>
  <c r="A1476" i="5"/>
  <c r="D1475" i="5"/>
  <c r="A1475" i="5"/>
  <c r="D1474" i="5"/>
  <c r="A1474" i="5"/>
  <c r="D1473" i="5"/>
  <c r="B1473" i="5"/>
  <c r="A1473" i="5"/>
  <c r="D1472" i="5"/>
  <c r="A1472" i="5"/>
  <c r="D1471" i="5"/>
  <c r="B1471" i="5"/>
  <c r="A1471" i="5"/>
  <c r="D1470" i="5"/>
  <c r="A1470" i="5"/>
  <c r="D1469" i="5"/>
  <c r="B1469" i="5"/>
  <c r="A1469" i="5"/>
  <c r="D1468" i="5"/>
  <c r="A1468" i="5"/>
  <c r="D1467" i="5"/>
  <c r="B1467" i="5"/>
  <c r="A1467" i="5"/>
  <c r="D1466" i="5"/>
  <c r="A1466" i="5"/>
  <c r="D1465" i="5"/>
  <c r="A1465" i="5"/>
  <c r="D1464" i="5"/>
  <c r="A1464" i="5"/>
  <c r="D1463" i="5"/>
  <c r="A1463" i="5"/>
  <c r="D1462" i="5"/>
  <c r="A1462" i="5"/>
  <c r="D1461" i="5"/>
  <c r="B1461" i="5"/>
  <c r="A1461" i="5"/>
  <c r="D1460" i="5"/>
  <c r="B1460" i="5"/>
  <c r="A1460" i="5"/>
  <c r="D1459" i="5"/>
  <c r="B1459" i="5"/>
  <c r="A1459" i="5"/>
  <c r="D1458" i="5"/>
  <c r="A1458" i="5"/>
  <c r="D1457" i="5"/>
  <c r="A1457" i="5"/>
  <c r="D1456" i="5"/>
  <c r="A1456" i="5"/>
  <c r="D1455" i="5"/>
  <c r="A1455" i="5"/>
  <c r="D1454" i="5"/>
  <c r="A1454" i="5"/>
  <c r="D1453" i="5"/>
  <c r="A1453" i="5"/>
  <c r="D1452" i="5"/>
  <c r="A1452" i="5"/>
  <c r="D1451" i="5"/>
  <c r="A1451" i="5"/>
  <c r="D1450" i="5"/>
  <c r="A1450" i="5"/>
  <c r="D1449" i="5"/>
  <c r="A1449" i="5"/>
  <c r="D1448" i="5"/>
  <c r="A1448" i="5"/>
  <c r="D1447" i="5"/>
  <c r="A1447" i="5"/>
  <c r="D1446" i="5"/>
  <c r="A1446" i="5"/>
  <c r="D1445" i="5"/>
  <c r="A1445" i="5"/>
  <c r="D1444" i="5"/>
  <c r="A1444" i="5"/>
  <c r="D1443" i="5"/>
  <c r="A1443" i="5"/>
  <c r="D1442" i="5"/>
  <c r="A1442" i="5"/>
  <c r="D1441" i="5"/>
  <c r="A1441" i="5"/>
  <c r="D1440" i="5"/>
  <c r="A1440" i="5"/>
  <c r="D1439" i="5"/>
  <c r="A1439" i="5"/>
  <c r="D1438" i="5"/>
  <c r="A1438" i="5"/>
  <c r="D1437" i="5"/>
  <c r="A1437" i="5"/>
  <c r="D1436" i="5"/>
  <c r="B1436" i="5"/>
  <c r="A1436" i="5"/>
  <c r="D1435" i="5"/>
  <c r="B1435" i="5"/>
  <c r="A1435" i="5"/>
  <c r="D1434" i="5"/>
  <c r="B1434" i="5"/>
  <c r="A1434" i="5"/>
  <c r="D1433" i="5"/>
  <c r="B1433" i="5"/>
  <c r="A1433" i="5"/>
  <c r="D1432" i="5"/>
  <c r="B1432" i="5"/>
  <c r="A1432" i="5"/>
  <c r="D1431" i="5"/>
  <c r="B1431" i="5"/>
  <c r="A1431" i="5"/>
  <c r="D1430" i="5"/>
  <c r="B1430" i="5"/>
  <c r="A1430" i="5"/>
  <c r="D1429" i="5"/>
  <c r="B1429" i="5"/>
  <c r="A1429" i="5"/>
  <c r="D1428" i="5"/>
  <c r="B1428" i="5"/>
  <c r="A1428" i="5"/>
  <c r="D1427" i="5"/>
  <c r="B1427" i="5"/>
  <c r="A1427" i="5"/>
  <c r="D1426" i="5"/>
  <c r="B1426" i="5"/>
  <c r="A1426" i="5"/>
  <c r="D1425" i="5"/>
  <c r="B1425" i="5"/>
  <c r="A1425" i="5"/>
  <c r="D1424" i="5"/>
  <c r="B1424" i="5"/>
  <c r="A1424" i="5"/>
  <c r="D1423" i="5"/>
  <c r="B1423" i="5"/>
  <c r="A1423" i="5"/>
  <c r="D1422" i="5"/>
  <c r="B1422" i="5"/>
  <c r="A1422" i="5"/>
  <c r="D1421" i="5"/>
  <c r="B1421" i="5"/>
  <c r="A1421" i="5"/>
  <c r="D1420" i="5"/>
  <c r="B1420" i="5"/>
  <c r="A1420" i="5"/>
  <c r="D1419" i="5"/>
  <c r="B1419" i="5"/>
  <c r="A1419" i="5"/>
  <c r="D1418" i="5"/>
  <c r="B1418" i="5"/>
  <c r="A1418" i="5"/>
  <c r="D1417" i="5"/>
  <c r="B1417" i="5"/>
  <c r="A1417" i="5"/>
  <c r="D1416" i="5"/>
  <c r="B1416" i="5"/>
  <c r="A1416" i="5"/>
  <c r="D1415" i="5"/>
  <c r="B1415" i="5"/>
  <c r="A1415" i="5"/>
  <c r="D1414" i="5"/>
  <c r="B1414" i="5"/>
  <c r="A1414" i="5"/>
  <c r="D1413" i="5"/>
  <c r="B1413" i="5"/>
  <c r="A1413" i="5"/>
  <c r="D1412" i="5"/>
  <c r="B1412" i="5"/>
  <c r="A1412" i="5"/>
  <c r="D1411" i="5"/>
  <c r="B1411" i="5"/>
  <c r="A1411" i="5"/>
  <c r="D1410" i="5"/>
  <c r="B1410" i="5"/>
  <c r="A1410" i="5"/>
  <c r="D1409" i="5"/>
  <c r="B1409" i="5"/>
  <c r="A1409" i="5"/>
  <c r="D1408" i="5"/>
  <c r="B1408" i="5"/>
  <c r="A1408" i="5"/>
  <c r="D1407" i="5"/>
  <c r="B1407" i="5"/>
  <c r="A1407" i="5"/>
  <c r="D1406" i="5"/>
  <c r="B1406" i="5"/>
  <c r="A1406" i="5"/>
  <c r="D1405" i="5"/>
  <c r="A1405" i="5"/>
  <c r="D1404" i="5"/>
  <c r="B1404" i="5"/>
  <c r="A1404" i="5"/>
  <c r="D1403" i="5"/>
  <c r="B1403" i="5"/>
  <c r="A1403" i="5"/>
  <c r="D1402" i="5"/>
  <c r="B1402" i="5"/>
  <c r="A1402" i="5"/>
  <c r="D1401" i="5"/>
  <c r="B1401" i="5"/>
  <c r="A1401" i="5"/>
  <c r="D1400" i="5"/>
  <c r="A1400" i="5"/>
  <c r="D1399" i="5"/>
  <c r="A1399" i="5"/>
  <c r="D1398" i="5"/>
  <c r="B1398" i="5"/>
  <c r="A1398" i="5"/>
  <c r="D1397" i="5"/>
  <c r="B1397" i="5"/>
  <c r="A1397" i="5"/>
  <c r="D1396" i="5"/>
  <c r="A1396" i="5"/>
  <c r="D1395" i="5"/>
  <c r="A1395" i="5"/>
  <c r="D1394" i="5"/>
  <c r="B1394" i="5"/>
  <c r="A1394" i="5"/>
  <c r="D1393" i="5"/>
  <c r="B1393" i="5"/>
  <c r="A1393" i="5"/>
  <c r="D1392" i="5"/>
  <c r="B1392" i="5"/>
  <c r="A1392" i="5"/>
  <c r="D1391" i="5"/>
  <c r="B1391" i="5"/>
  <c r="A1391" i="5"/>
  <c r="D1390" i="5"/>
  <c r="A1390" i="5"/>
  <c r="D1389" i="5"/>
  <c r="B1389" i="5"/>
  <c r="A1389" i="5"/>
  <c r="D1388" i="5"/>
  <c r="B1388" i="5"/>
  <c r="A1388" i="5"/>
  <c r="D1387" i="5"/>
  <c r="A1387" i="5"/>
  <c r="D1386" i="5"/>
  <c r="B1386" i="5"/>
  <c r="A1386" i="5"/>
  <c r="D1385" i="5"/>
  <c r="A1385" i="5"/>
  <c r="D1384" i="5"/>
  <c r="B1384" i="5"/>
  <c r="A1384" i="5"/>
  <c r="D1383" i="5"/>
  <c r="B1383" i="5"/>
  <c r="A1383" i="5"/>
  <c r="D1382" i="5"/>
  <c r="B1382" i="5"/>
  <c r="A1382" i="5"/>
  <c r="D1381" i="5"/>
  <c r="B1381" i="5"/>
  <c r="A1381" i="5"/>
  <c r="D1380" i="5"/>
  <c r="B1380" i="5"/>
  <c r="A1380" i="5"/>
  <c r="D1379" i="5"/>
  <c r="B1379" i="5"/>
  <c r="A1379" i="5"/>
  <c r="D1378" i="5"/>
  <c r="B1378" i="5"/>
  <c r="A1378" i="5"/>
  <c r="D1377" i="5"/>
  <c r="B1377" i="5"/>
  <c r="A1377" i="5"/>
  <c r="D1376" i="5"/>
  <c r="B1376" i="5"/>
  <c r="A1376" i="5"/>
  <c r="D1375" i="5"/>
  <c r="B1375" i="5"/>
  <c r="A1375" i="5"/>
  <c r="D1374" i="5"/>
  <c r="B1374" i="5"/>
  <c r="A1374" i="5"/>
  <c r="D1373" i="5"/>
  <c r="B1373" i="5"/>
  <c r="A1373" i="5"/>
  <c r="D1372" i="5"/>
  <c r="A1372" i="5"/>
  <c r="D1371" i="5"/>
  <c r="A1371" i="5"/>
  <c r="D1370" i="5"/>
  <c r="B1370" i="5"/>
  <c r="A1370" i="5"/>
  <c r="D1369" i="5"/>
  <c r="B1369" i="5"/>
  <c r="A1369" i="5"/>
  <c r="D1368" i="5"/>
  <c r="B1368" i="5"/>
  <c r="A1368" i="5"/>
  <c r="D1367" i="5"/>
  <c r="B1367" i="5"/>
  <c r="A1367" i="5"/>
  <c r="D1366" i="5"/>
  <c r="B1366" i="5"/>
  <c r="A1366" i="5"/>
  <c r="D1365" i="5"/>
  <c r="B1365" i="5"/>
  <c r="A1365" i="5"/>
  <c r="D1364" i="5"/>
  <c r="B1364" i="5"/>
  <c r="A1364" i="5"/>
  <c r="D1363" i="5"/>
  <c r="B1363" i="5"/>
  <c r="A1363" i="5"/>
  <c r="D1362" i="5"/>
  <c r="B1362" i="5"/>
  <c r="A1362" i="5"/>
  <c r="D1361" i="5"/>
  <c r="B1361" i="5"/>
  <c r="A1361" i="5"/>
  <c r="D1360" i="5"/>
  <c r="B1360" i="5"/>
  <c r="A1360" i="5"/>
  <c r="D1359" i="5"/>
  <c r="B1359" i="5"/>
  <c r="A1359" i="5"/>
  <c r="D1358" i="5"/>
  <c r="B1358" i="5"/>
  <c r="A1358" i="5"/>
  <c r="D1357" i="5"/>
  <c r="B1357" i="5"/>
  <c r="A1357" i="5"/>
  <c r="D1356" i="5"/>
  <c r="B1356" i="5"/>
  <c r="A1356" i="5"/>
  <c r="D1355" i="5"/>
  <c r="B1355" i="5"/>
  <c r="A1355" i="5"/>
  <c r="D1354" i="5"/>
  <c r="B1354" i="5"/>
  <c r="A1354" i="5"/>
  <c r="D1353" i="5"/>
  <c r="B1353" i="5"/>
  <c r="A1353" i="5"/>
  <c r="D1352" i="5"/>
  <c r="B1352" i="5"/>
  <c r="A1352" i="5"/>
  <c r="D1351" i="5"/>
  <c r="B1351" i="5"/>
  <c r="A1351" i="5"/>
  <c r="D1350" i="5"/>
  <c r="B1350" i="5"/>
  <c r="A1350" i="5"/>
  <c r="D1349" i="5"/>
  <c r="B1349" i="5"/>
  <c r="A1349" i="5"/>
  <c r="D1348" i="5"/>
  <c r="B1348" i="5"/>
  <c r="A1348" i="5"/>
  <c r="D1347" i="5"/>
  <c r="B1347" i="5"/>
  <c r="A1347" i="5"/>
  <c r="D1346" i="5"/>
  <c r="B1346" i="5"/>
  <c r="A1346" i="5"/>
  <c r="D1345" i="5"/>
  <c r="B1345" i="5"/>
  <c r="A1345" i="5"/>
  <c r="D1344" i="5"/>
  <c r="B1344" i="5"/>
  <c r="A1344" i="5"/>
  <c r="D1343" i="5"/>
  <c r="B1343" i="5"/>
  <c r="A1343" i="5"/>
  <c r="D1342" i="5"/>
  <c r="B1342" i="5"/>
  <c r="A1342" i="5"/>
  <c r="D1341" i="5"/>
  <c r="B1341" i="5"/>
  <c r="A1341" i="5"/>
  <c r="D1340" i="5"/>
  <c r="A1340" i="5"/>
  <c r="D1339" i="5"/>
  <c r="B1339" i="5"/>
  <c r="A1339" i="5"/>
  <c r="D1338" i="5"/>
  <c r="B1338" i="5"/>
  <c r="A1338" i="5"/>
  <c r="D1337" i="5"/>
  <c r="B1337" i="5"/>
  <c r="A1337" i="5"/>
  <c r="D1336" i="5"/>
  <c r="A1336" i="5"/>
  <c r="D1335" i="5"/>
  <c r="B1335" i="5"/>
  <c r="A1335" i="5"/>
  <c r="D1334" i="5"/>
  <c r="B1334" i="5"/>
  <c r="A1334" i="5"/>
  <c r="D1333" i="5"/>
  <c r="B1333" i="5"/>
  <c r="A1333" i="5"/>
  <c r="D1332" i="5"/>
  <c r="B1332" i="5"/>
  <c r="A1332" i="5"/>
  <c r="D1331" i="5"/>
  <c r="B1331" i="5"/>
  <c r="A1331" i="5"/>
  <c r="D1330" i="5"/>
  <c r="A1330" i="5"/>
  <c r="D1329" i="5"/>
  <c r="B1329" i="5"/>
  <c r="A1329" i="5"/>
  <c r="D1328" i="5"/>
  <c r="A1328" i="5"/>
  <c r="D1327" i="5"/>
  <c r="A1327" i="5"/>
  <c r="D1326" i="5"/>
  <c r="A1326" i="5"/>
  <c r="D1325" i="5"/>
  <c r="B1325" i="5"/>
  <c r="A1325" i="5"/>
  <c r="D1324" i="5"/>
  <c r="B1324" i="5"/>
  <c r="A1324" i="5"/>
  <c r="D1323" i="5"/>
  <c r="B1323" i="5"/>
  <c r="A1323" i="5"/>
  <c r="D1322" i="5"/>
  <c r="A1322" i="5"/>
  <c r="D1321" i="5"/>
  <c r="B1321" i="5"/>
  <c r="A1321" i="5"/>
  <c r="D1320" i="5"/>
  <c r="B1320" i="5"/>
  <c r="A1320" i="5"/>
  <c r="D1319" i="5"/>
  <c r="B1319" i="5"/>
  <c r="A1319" i="5"/>
  <c r="D1318" i="5"/>
  <c r="B1318" i="5"/>
  <c r="A1318" i="5"/>
  <c r="D1317" i="5"/>
  <c r="B1317" i="5"/>
  <c r="A1317" i="5"/>
  <c r="D1316" i="5"/>
  <c r="A1316" i="5"/>
  <c r="D1315" i="5"/>
  <c r="A1315" i="5"/>
  <c r="D1314" i="5"/>
  <c r="B1314" i="5"/>
  <c r="A1314" i="5"/>
  <c r="D1313" i="5"/>
  <c r="B1313" i="5"/>
  <c r="A1313" i="5"/>
  <c r="D1312" i="5"/>
  <c r="B1312" i="5"/>
  <c r="A1312" i="5"/>
  <c r="D1311" i="5"/>
  <c r="A1311" i="5"/>
  <c r="D1310" i="5"/>
  <c r="B1310" i="5"/>
  <c r="A1310" i="5"/>
  <c r="D1309" i="5"/>
  <c r="C1309" i="5"/>
  <c r="B1309" i="5"/>
  <c r="A1309" i="5"/>
  <c r="D1308" i="5"/>
  <c r="B1308" i="5"/>
  <c r="A1308" i="5"/>
  <c r="D1307" i="5"/>
  <c r="B1307" i="5"/>
  <c r="A1307" i="5"/>
  <c r="D1306" i="5"/>
  <c r="B1306" i="5"/>
  <c r="A1306" i="5"/>
  <c r="D1305" i="5"/>
  <c r="B1305" i="5"/>
  <c r="A1305" i="5"/>
  <c r="D1304" i="5"/>
  <c r="A1304" i="5"/>
  <c r="D1303" i="5"/>
  <c r="B1303" i="5"/>
  <c r="A1303" i="5"/>
  <c r="D1302" i="5"/>
  <c r="B1302" i="5"/>
  <c r="A1302" i="5"/>
  <c r="D1301" i="5"/>
  <c r="B1301" i="5"/>
  <c r="A1301" i="5"/>
  <c r="D1300" i="5"/>
  <c r="B1300" i="5"/>
  <c r="A1300" i="5"/>
  <c r="D1299" i="5"/>
  <c r="B1299" i="5"/>
  <c r="A1299" i="5"/>
  <c r="D1298" i="5"/>
  <c r="A1298" i="5"/>
  <c r="D1297" i="5"/>
  <c r="B1297" i="5"/>
  <c r="A1297" i="5"/>
  <c r="D1296" i="5"/>
  <c r="B1296" i="5"/>
  <c r="A1296" i="5"/>
  <c r="D1295" i="5"/>
  <c r="A1295" i="5"/>
  <c r="D1294" i="5"/>
  <c r="B1294" i="5"/>
  <c r="A1294" i="5"/>
  <c r="D1293" i="5"/>
  <c r="B1293" i="5"/>
  <c r="A1293" i="5"/>
  <c r="D1292" i="5"/>
  <c r="B1292" i="5"/>
  <c r="A1292" i="5"/>
  <c r="D1291" i="5"/>
  <c r="B1291" i="5"/>
  <c r="A1291" i="5"/>
  <c r="D1290" i="5"/>
  <c r="B1290" i="5"/>
  <c r="A1290" i="5"/>
  <c r="D1289" i="5"/>
  <c r="A1289" i="5"/>
  <c r="D1288" i="5"/>
  <c r="B1288" i="5"/>
  <c r="A1288" i="5"/>
  <c r="D1287" i="5"/>
  <c r="B1287" i="5"/>
  <c r="A1287" i="5"/>
  <c r="D1286" i="5"/>
  <c r="B1286" i="5"/>
  <c r="A1286" i="5"/>
  <c r="D1285" i="5"/>
  <c r="B1285" i="5"/>
  <c r="A1285" i="5"/>
  <c r="D1284" i="5"/>
  <c r="A1284" i="5"/>
  <c r="D1283" i="5"/>
  <c r="A1283" i="5"/>
  <c r="D1282" i="5"/>
  <c r="B1282" i="5"/>
  <c r="A1282" i="5"/>
  <c r="D1281" i="5"/>
  <c r="B1281" i="5"/>
  <c r="A1281" i="5"/>
  <c r="D1280" i="5"/>
  <c r="B1280" i="5"/>
  <c r="A1280" i="5"/>
  <c r="D1279" i="5"/>
  <c r="A1279" i="5"/>
  <c r="D1278" i="5"/>
  <c r="B1278" i="5"/>
  <c r="A1278" i="5"/>
  <c r="D1277" i="5"/>
  <c r="B1277" i="5"/>
  <c r="A1277" i="5"/>
  <c r="D1276" i="5"/>
  <c r="B1276" i="5"/>
  <c r="A1276" i="5"/>
  <c r="D1275" i="5"/>
  <c r="B1275" i="5"/>
  <c r="A1275" i="5"/>
  <c r="D1274" i="5"/>
  <c r="C1274" i="5"/>
  <c r="B1274" i="5"/>
  <c r="A1274" i="5"/>
  <c r="D1273" i="5"/>
  <c r="B1273" i="5"/>
  <c r="A1273" i="5"/>
  <c r="D1272" i="5"/>
  <c r="B1272" i="5"/>
  <c r="A1272" i="5"/>
  <c r="D1271" i="5"/>
  <c r="B1271" i="5"/>
  <c r="A1271" i="5"/>
  <c r="D1270" i="5"/>
  <c r="B1270" i="5"/>
  <c r="A1270" i="5"/>
  <c r="D1269" i="5"/>
  <c r="B1269" i="5"/>
  <c r="A1269" i="5"/>
  <c r="D1268" i="5"/>
  <c r="B1268" i="5"/>
  <c r="A1268" i="5"/>
  <c r="D1267" i="5"/>
  <c r="B1267" i="5"/>
  <c r="A1267" i="5"/>
  <c r="D1266" i="5"/>
  <c r="A1266" i="5"/>
  <c r="D1265" i="5"/>
  <c r="B1265" i="5"/>
  <c r="A1265" i="5"/>
  <c r="D1264" i="5"/>
  <c r="B1264" i="5"/>
  <c r="A1264" i="5"/>
  <c r="D1263" i="5"/>
  <c r="B1263" i="5"/>
  <c r="A1263" i="5"/>
  <c r="D1262" i="5"/>
  <c r="B1262" i="5"/>
  <c r="A1262" i="5"/>
  <c r="D1261" i="5"/>
  <c r="B1261" i="5"/>
  <c r="A1261" i="5"/>
  <c r="D1260" i="5"/>
  <c r="B1260" i="5"/>
  <c r="A1260" i="5"/>
  <c r="D1259" i="5"/>
  <c r="A1259" i="5"/>
  <c r="D1258" i="5"/>
  <c r="B1258" i="5"/>
  <c r="A1258" i="5"/>
  <c r="D1257" i="5"/>
  <c r="B1257" i="5"/>
  <c r="A1257" i="5"/>
  <c r="D1256" i="5"/>
  <c r="B1256" i="5"/>
  <c r="A1256" i="5"/>
  <c r="D1255" i="5"/>
  <c r="C1255" i="5"/>
  <c r="B1255" i="5"/>
  <c r="A1255" i="5"/>
  <c r="D1254" i="5"/>
  <c r="B1254" i="5"/>
  <c r="A1254" i="5"/>
  <c r="D1253" i="5"/>
  <c r="B1253" i="5"/>
  <c r="A1253" i="5"/>
  <c r="D1252" i="5"/>
  <c r="A1252" i="5"/>
  <c r="D1251" i="5"/>
  <c r="B1251" i="5"/>
  <c r="A1251" i="5"/>
  <c r="D1250" i="5"/>
  <c r="A1250" i="5"/>
  <c r="D1249" i="5"/>
  <c r="B1249" i="5"/>
  <c r="A1249" i="5"/>
  <c r="D1248" i="5"/>
  <c r="B1248" i="5"/>
  <c r="A1248" i="5"/>
  <c r="D1247" i="5"/>
  <c r="B1247" i="5"/>
  <c r="A1247" i="5"/>
  <c r="D1246" i="5"/>
  <c r="A1246" i="5"/>
  <c r="D1245" i="5"/>
  <c r="B1245" i="5"/>
  <c r="A1245" i="5"/>
  <c r="D1244" i="5"/>
  <c r="B1244" i="5"/>
  <c r="A1244" i="5"/>
  <c r="D1243" i="5"/>
  <c r="B1243" i="5"/>
  <c r="A1243" i="5"/>
  <c r="D1242" i="5"/>
  <c r="B1242" i="5"/>
  <c r="A1242" i="5"/>
  <c r="D1241" i="5"/>
  <c r="B1241" i="5"/>
  <c r="A1241" i="5"/>
  <c r="D1240" i="5"/>
  <c r="A1240" i="5"/>
  <c r="D1239" i="5"/>
  <c r="B1239" i="5"/>
  <c r="A1239" i="5"/>
  <c r="D1238" i="5"/>
  <c r="B1238" i="5"/>
  <c r="A1238" i="5"/>
  <c r="D1237" i="5"/>
  <c r="B1237" i="5"/>
  <c r="A1237" i="5"/>
  <c r="D1236" i="5"/>
  <c r="B1236" i="5"/>
  <c r="A1236" i="5"/>
  <c r="D1235" i="5"/>
  <c r="B1235" i="5"/>
  <c r="A1235" i="5"/>
  <c r="D1234" i="5"/>
  <c r="A1234" i="5"/>
  <c r="D1233" i="5"/>
  <c r="B1233" i="5"/>
  <c r="A1233" i="5"/>
  <c r="D1232" i="5"/>
  <c r="B1232" i="5"/>
  <c r="A1232" i="5"/>
  <c r="D1231" i="5"/>
  <c r="B1231" i="5"/>
  <c r="A1231" i="5"/>
  <c r="D1230" i="5"/>
  <c r="B1230" i="5"/>
  <c r="A1230" i="5"/>
  <c r="D1229" i="5"/>
  <c r="B1229" i="5"/>
  <c r="A1229" i="5"/>
  <c r="D1228" i="5"/>
  <c r="C1228" i="5"/>
  <c r="B1228" i="5"/>
  <c r="A1228" i="5"/>
  <c r="D1227" i="5"/>
  <c r="B1227" i="5"/>
  <c r="A1227" i="5"/>
  <c r="D1226" i="5"/>
  <c r="B1226" i="5"/>
  <c r="A1226" i="5"/>
  <c r="D1225" i="5"/>
  <c r="A1225" i="5"/>
  <c r="D1224" i="5"/>
  <c r="B1224" i="5"/>
  <c r="A1224" i="5"/>
  <c r="D1223" i="5"/>
  <c r="B1223" i="5"/>
  <c r="A1223" i="5"/>
  <c r="D1222" i="5"/>
  <c r="B1222" i="5"/>
  <c r="A1222" i="5"/>
  <c r="D1221" i="5"/>
  <c r="B1221" i="5"/>
  <c r="A1221" i="5"/>
  <c r="D1220" i="5"/>
  <c r="A1220" i="5"/>
  <c r="D1219" i="5"/>
  <c r="B1219" i="5"/>
  <c r="A1219" i="5"/>
  <c r="D1218" i="5"/>
  <c r="B1218" i="5"/>
  <c r="A1218" i="5"/>
  <c r="D1217" i="5"/>
  <c r="B1217" i="5"/>
  <c r="A1217" i="5"/>
  <c r="D1216" i="5"/>
  <c r="C1216" i="5"/>
  <c r="B1216" i="5"/>
  <c r="A1216" i="5"/>
  <c r="D1215" i="5"/>
  <c r="B1215" i="5"/>
  <c r="A1215" i="5"/>
  <c r="D1214" i="5"/>
  <c r="B1214" i="5"/>
  <c r="A1214" i="5"/>
  <c r="D1213" i="5"/>
  <c r="A1213" i="5"/>
  <c r="D1212" i="5"/>
  <c r="A1212" i="5"/>
  <c r="D1211" i="5"/>
  <c r="A1211" i="5"/>
  <c r="D1210" i="5"/>
  <c r="A1210" i="5"/>
  <c r="D1209" i="5"/>
  <c r="A1209" i="5"/>
  <c r="D1208" i="5"/>
  <c r="A1208" i="5"/>
  <c r="D1207" i="5"/>
  <c r="A1207" i="5"/>
  <c r="D1206" i="5"/>
  <c r="B1206" i="5"/>
  <c r="A1206" i="5"/>
  <c r="D1205" i="5"/>
  <c r="A1205" i="5"/>
  <c r="D1204" i="5"/>
  <c r="A1204" i="5"/>
  <c r="D1203" i="5"/>
  <c r="B1203" i="5"/>
  <c r="A1203" i="5"/>
  <c r="D1202" i="5"/>
  <c r="A1202" i="5"/>
  <c r="D1201" i="5"/>
  <c r="B1201" i="5"/>
  <c r="A1201" i="5"/>
  <c r="D1200" i="5"/>
  <c r="B1200" i="5"/>
  <c r="A1200" i="5"/>
  <c r="D1199" i="5"/>
  <c r="B1199" i="5"/>
  <c r="A1199" i="5"/>
  <c r="D1198" i="5"/>
  <c r="A1198" i="5"/>
  <c r="D1197" i="5"/>
  <c r="A1197" i="5"/>
  <c r="D1196" i="5"/>
  <c r="A1196" i="5"/>
  <c r="D1195" i="5"/>
  <c r="A1195" i="5"/>
  <c r="D1194" i="5"/>
  <c r="A1194" i="5"/>
  <c r="D1193" i="5"/>
  <c r="A1193" i="5"/>
  <c r="D1192" i="5"/>
  <c r="A1192" i="5"/>
  <c r="D1191" i="5"/>
  <c r="A1191" i="5"/>
  <c r="D1190" i="5"/>
  <c r="A1190" i="5"/>
  <c r="D1189" i="5"/>
  <c r="A1189" i="5"/>
  <c r="D1188" i="5"/>
  <c r="B1188" i="5"/>
  <c r="A1188" i="5"/>
  <c r="D1187" i="5"/>
  <c r="A1187" i="5"/>
  <c r="D1186" i="5"/>
  <c r="A1186" i="5"/>
  <c r="D1185" i="5"/>
  <c r="B1185" i="5"/>
  <c r="A1185" i="5"/>
  <c r="D1184" i="5"/>
  <c r="B1184" i="5"/>
  <c r="A1184" i="5"/>
  <c r="D1183" i="5"/>
  <c r="B1183" i="5"/>
  <c r="A1183" i="5"/>
  <c r="D1182" i="5"/>
  <c r="B1182" i="5"/>
  <c r="A1182" i="5"/>
  <c r="D1181" i="5"/>
  <c r="B1181" i="5"/>
  <c r="A1181" i="5"/>
  <c r="D1180" i="5"/>
  <c r="B1180" i="5"/>
  <c r="A1180" i="5"/>
  <c r="D1179" i="5"/>
  <c r="B1179" i="5"/>
  <c r="A1179" i="5"/>
  <c r="D1178" i="5"/>
  <c r="A1178" i="5"/>
  <c r="D1177" i="5"/>
  <c r="A1177" i="5"/>
  <c r="D1176" i="5"/>
  <c r="A1176" i="5"/>
  <c r="D1175" i="5"/>
  <c r="B1175" i="5"/>
  <c r="A1175" i="5"/>
  <c r="D1174" i="5"/>
  <c r="B1174" i="5"/>
  <c r="A1174" i="5"/>
  <c r="D1173" i="5"/>
  <c r="B1173" i="5"/>
  <c r="A1173" i="5"/>
  <c r="D1172" i="5"/>
  <c r="B1172" i="5"/>
  <c r="A1172" i="5"/>
  <c r="D1171" i="5"/>
  <c r="B1171" i="5"/>
  <c r="A1171" i="5"/>
  <c r="D1170" i="5"/>
  <c r="A1170" i="5"/>
  <c r="D1169" i="5"/>
  <c r="B1169" i="5"/>
  <c r="A1169" i="5"/>
  <c r="D1168" i="5"/>
  <c r="B1168" i="5"/>
  <c r="A1168" i="5"/>
  <c r="D1167" i="5"/>
  <c r="B1167" i="5"/>
  <c r="A1167" i="5"/>
  <c r="D1166" i="5"/>
  <c r="B1166" i="5"/>
  <c r="A1166" i="5"/>
  <c r="D1165" i="5"/>
  <c r="B1165" i="5"/>
  <c r="A1165" i="5"/>
  <c r="D1164" i="5"/>
  <c r="B1164" i="5"/>
  <c r="A1164" i="5"/>
  <c r="D1163" i="5"/>
  <c r="A1163" i="5"/>
  <c r="D1162" i="5"/>
  <c r="B1162" i="5"/>
  <c r="A1162" i="5"/>
  <c r="D1161" i="5"/>
  <c r="B1161" i="5"/>
  <c r="A1161" i="5"/>
  <c r="D1160" i="5"/>
  <c r="B1160" i="5"/>
  <c r="A1160" i="5"/>
  <c r="D1159" i="5"/>
  <c r="B1159" i="5"/>
  <c r="A1159" i="5"/>
  <c r="D1158" i="5"/>
  <c r="A1158" i="5"/>
  <c r="D1157" i="5"/>
  <c r="B1157" i="5"/>
  <c r="A1157" i="5"/>
  <c r="D1156" i="5"/>
  <c r="B1156" i="5"/>
  <c r="A1156" i="5"/>
  <c r="D1155" i="5"/>
  <c r="B1155" i="5"/>
  <c r="A1155" i="5"/>
  <c r="D1154" i="5"/>
  <c r="B1154" i="5"/>
  <c r="A1154" i="5"/>
  <c r="D1153" i="5"/>
  <c r="B1153" i="5"/>
  <c r="A1153" i="5"/>
  <c r="D1152" i="5"/>
  <c r="A1152" i="5"/>
  <c r="D1151" i="5"/>
  <c r="B1151" i="5"/>
  <c r="A1151" i="5"/>
  <c r="D1150" i="5"/>
  <c r="A1150" i="5"/>
  <c r="D1149" i="5"/>
  <c r="A1149" i="5"/>
  <c r="D1148" i="5"/>
  <c r="A1148" i="5"/>
  <c r="D1147" i="5"/>
  <c r="A1147" i="5"/>
  <c r="D1146" i="5"/>
  <c r="B1146" i="5"/>
  <c r="A1146" i="5"/>
  <c r="D1145" i="5"/>
  <c r="A1145" i="5"/>
  <c r="D1144" i="5"/>
  <c r="B1144" i="5"/>
  <c r="A1144" i="5"/>
  <c r="D1143" i="5"/>
  <c r="A1143" i="5"/>
  <c r="D1142" i="5"/>
  <c r="A1142" i="5"/>
  <c r="D1141" i="5"/>
  <c r="B1141" i="5"/>
  <c r="A1141" i="5"/>
  <c r="D1140" i="5"/>
  <c r="A1140" i="5"/>
  <c r="D1139" i="5"/>
  <c r="B1139" i="5"/>
  <c r="A1139" i="5"/>
  <c r="D1138" i="5"/>
  <c r="B1138" i="5"/>
  <c r="A1138" i="5"/>
  <c r="D1137" i="5"/>
  <c r="A1137" i="5"/>
  <c r="D1136" i="5"/>
  <c r="A1136" i="5"/>
  <c r="D1135" i="5"/>
  <c r="A1135" i="5"/>
  <c r="D1134" i="5"/>
  <c r="A1134" i="5"/>
  <c r="D1133" i="5"/>
  <c r="B1133" i="5"/>
  <c r="A1133" i="5"/>
  <c r="D1132" i="5"/>
  <c r="B1132" i="5"/>
  <c r="A1132" i="5"/>
  <c r="D1131" i="5"/>
  <c r="A1131" i="5"/>
  <c r="D1130" i="5"/>
  <c r="B1130" i="5"/>
  <c r="A1130" i="5"/>
  <c r="D1129" i="5"/>
  <c r="A1129" i="5"/>
  <c r="D1128" i="5"/>
  <c r="A1128" i="5"/>
  <c r="D1127" i="5"/>
  <c r="B1127" i="5"/>
  <c r="A1127" i="5"/>
  <c r="D1126" i="5"/>
  <c r="B1126" i="5"/>
  <c r="A1126" i="5"/>
  <c r="D1125" i="5"/>
  <c r="B1125" i="5"/>
  <c r="A1125" i="5"/>
  <c r="D1124" i="5"/>
  <c r="A1124" i="5"/>
  <c r="D1123" i="5"/>
  <c r="A1123" i="5"/>
  <c r="D1122" i="5"/>
  <c r="A1122" i="5"/>
  <c r="D1121" i="5"/>
  <c r="A1121" i="5"/>
  <c r="D1120" i="5"/>
  <c r="A1120" i="5"/>
  <c r="D1119" i="5"/>
  <c r="B1119" i="5"/>
  <c r="A1119" i="5"/>
  <c r="D1118" i="5"/>
  <c r="B1118" i="5"/>
  <c r="A1118" i="5"/>
  <c r="D1117" i="5"/>
  <c r="B1117" i="5"/>
  <c r="A1117" i="5"/>
  <c r="D1116" i="5"/>
  <c r="B1116" i="5"/>
  <c r="A1116" i="5"/>
  <c r="D1115" i="5"/>
  <c r="B1115" i="5"/>
  <c r="A1115" i="5"/>
  <c r="D1114" i="5"/>
  <c r="B1114" i="5"/>
  <c r="A1114" i="5"/>
  <c r="D1113" i="5"/>
  <c r="B1113" i="5"/>
  <c r="A1113" i="5"/>
  <c r="D1112" i="5"/>
  <c r="A1112" i="5"/>
  <c r="D1111" i="5"/>
  <c r="A1111" i="5"/>
  <c r="D1110" i="5"/>
  <c r="A1110" i="5"/>
  <c r="D1109" i="5"/>
  <c r="A1109" i="5"/>
  <c r="D1108" i="5"/>
  <c r="A1108" i="5"/>
  <c r="D1107" i="5"/>
  <c r="B1107" i="5"/>
  <c r="A1107" i="5"/>
  <c r="D1106" i="5"/>
  <c r="A1106" i="5"/>
  <c r="D1105" i="5"/>
  <c r="A1105" i="5"/>
  <c r="D1104" i="5"/>
  <c r="A1104" i="5"/>
  <c r="D1103" i="5"/>
  <c r="A1103" i="5"/>
  <c r="D1102" i="5"/>
  <c r="A1102" i="5"/>
  <c r="D1101" i="5"/>
  <c r="A1101" i="5"/>
  <c r="D1100" i="5"/>
  <c r="A1100" i="5"/>
  <c r="D1099" i="5"/>
  <c r="A1099" i="5"/>
  <c r="D1098" i="5"/>
  <c r="A1098" i="5"/>
  <c r="D1097" i="5"/>
  <c r="A1097" i="5"/>
  <c r="D1096" i="5"/>
  <c r="A1096" i="5"/>
  <c r="D1095" i="5"/>
  <c r="B1095" i="5"/>
  <c r="A1095" i="5"/>
  <c r="D1094" i="5"/>
  <c r="A1094" i="5"/>
  <c r="D1093" i="5"/>
  <c r="A1093" i="5"/>
  <c r="D1092" i="5"/>
  <c r="A1092" i="5"/>
  <c r="D1091" i="5"/>
  <c r="A1091" i="5"/>
  <c r="D1090" i="5"/>
  <c r="A1090" i="5"/>
  <c r="D1089" i="5"/>
  <c r="A1089" i="5"/>
  <c r="D1088" i="5"/>
  <c r="A1088" i="5"/>
  <c r="D1087" i="5"/>
  <c r="A1087" i="5"/>
  <c r="D1086" i="5"/>
  <c r="A1086" i="5"/>
  <c r="D1085" i="5"/>
  <c r="A1085" i="5"/>
  <c r="D1084" i="5"/>
  <c r="B1084" i="5"/>
  <c r="A1084" i="5"/>
  <c r="D1083" i="5"/>
  <c r="B1083" i="5"/>
  <c r="A1083" i="5"/>
  <c r="D1082" i="5"/>
  <c r="B1082" i="5"/>
  <c r="A1082" i="5"/>
  <c r="D1081" i="5"/>
  <c r="B1081" i="5"/>
  <c r="A1081" i="5"/>
  <c r="D1080" i="5"/>
  <c r="B1080" i="5"/>
  <c r="A1080" i="5"/>
  <c r="D1079" i="5"/>
  <c r="B1079" i="5"/>
  <c r="A1079" i="5"/>
  <c r="D1078" i="5"/>
  <c r="B1078" i="5"/>
  <c r="A1078" i="5"/>
  <c r="D1077" i="5"/>
  <c r="A1077" i="5"/>
  <c r="D1076" i="5"/>
  <c r="A1076" i="5"/>
  <c r="D1075" i="5"/>
  <c r="B1075" i="5"/>
  <c r="A1075" i="5"/>
  <c r="D1074" i="5"/>
  <c r="B1074" i="5"/>
  <c r="A1074" i="5"/>
  <c r="D1073" i="5"/>
  <c r="B1073" i="5"/>
  <c r="A1073" i="5"/>
  <c r="D1072" i="5"/>
  <c r="B1072" i="5"/>
  <c r="A1072" i="5"/>
  <c r="D1071" i="5"/>
  <c r="B1071" i="5"/>
  <c r="A1071" i="5"/>
  <c r="D1070" i="5"/>
  <c r="B1070" i="5"/>
  <c r="A1070" i="5"/>
  <c r="D1069" i="5"/>
  <c r="B1069" i="5"/>
  <c r="A1069" i="5"/>
  <c r="D1068" i="5"/>
  <c r="A1068" i="5"/>
  <c r="D1067" i="5"/>
  <c r="B1067" i="5"/>
  <c r="A1067" i="5"/>
  <c r="D1066" i="5"/>
  <c r="B1066" i="5"/>
  <c r="A1066" i="5"/>
  <c r="D1065" i="5"/>
  <c r="B1065" i="5"/>
  <c r="A1065" i="5"/>
  <c r="D1064" i="5"/>
  <c r="B1064" i="5"/>
  <c r="A1064" i="5"/>
  <c r="D1063" i="5"/>
  <c r="A1063" i="5"/>
  <c r="D1062" i="5"/>
  <c r="B1062" i="5"/>
  <c r="A1062" i="5"/>
  <c r="D1061" i="5"/>
  <c r="B1061" i="5"/>
  <c r="A1061" i="5"/>
  <c r="D1060" i="5"/>
  <c r="B1060" i="5"/>
  <c r="A1060" i="5"/>
  <c r="D1059" i="5"/>
  <c r="B1059" i="5"/>
  <c r="A1059" i="5"/>
  <c r="D1058" i="5"/>
  <c r="B1058" i="5"/>
  <c r="A1058" i="5"/>
  <c r="D1057" i="5"/>
  <c r="B1057" i="5"/>
  <c r="A1057" i="5"/>
  <c r="D1056" i="5"/>
  <c r="B1056" i="5"/>
  <c r="A1056" i="5"/>
  <c r="D1055" i="5"/>
  <c r="A1055" i="5"/>
  <c r="D1054" i="5"/>
  <c r="B1054" i="5"/>
  <c r="A1054" i="5"/>
  <c r="D1053" i="5"/>
  <c r="B1053" i="5"/>
  <c r="A1053" i="5"/>
  <c r="D1052" i="5"/>
  <c r="B1052" i="5"/>
  <c r="A1052" i="5"/>
  <c r="D1051" i="5"/>
  <c r="B1051" i="5"/>
  <c r="A1051" i="5"/>
  <c r="D1050" i="5"/>
  <c r="B1050" i="5"/>
  <c r="A1050" i="5"/>
  <c r="D1049" i="5"/>
  <c r="A1049" i="5"/>
  <c r="D1048" i="5"/>
  <c r="B1048" i="5"/>
  <c r="A1048" i="5"/>
  <c r="D1047" i="5"/>
  <c r="B1047" i="5"/>
  <c r="A1047" i="5"/>
  <c r="D1046" i="5"/>
  <c r="B1046" i="5"/>
  <c r="A1046" i="5"/>
  <c r="D1045" i="5"/>
  <c r="B1045" i="5"/>
  <c r="A1045" i="5"/>
  <c r="D1044" i="5"/>
  <c r="B1044" i="5"/>
  <c r="A1044" i="5"/>
  <c r="D1043" i="5"/>
  <c r="B1043" i="5"/>
  <c r="A1043" i="5"/>
  <c r="D1042" i="5"/>
  <c r="B1042" i="5"/>
  <c r="A1042" i="5"/>
  <c r="D1041" i="5"/>
  <c r="B1041" i="5"/>
  <c r="A1041" i="5"/>
  <c r="D1040" i="5"/>
  <c r="B1040" i="5"/>
  <c r="A1040" i="5"/>
  <c r="D1039" i="5"/>
  <c r="B1039" i="5"/>
  <c r="A1039" i="5"/>
  <c r="D1038" i="5"/>
  <c r="B1038" i="5"/>
  <c r="A1038" i="5"/>
  <c r="D1037" i="5"/>
  <c r="B1037" i="5"/>
  <c r="A1037" i="5"/>
  <c r="D1036" i="5"/>
  <c r="B1036" i="5"/>
  <c r="A1036" i="5"/>
  <c r="D1035" i="5"/>
  <c r="A1035" i="5"/>
  <c r="D1034" i="5"/>
  <c r="B1034" i="5"/>
  <c r="A1034" i="5"/>
  <c r="D1033" i="5"/>
  <c r="A1033" i="5"/>
  <c r="D1032" i="5"/>
  <c r="A1032" i="5"/>
  <c r="D1031" i="5"/>
  <c r="B1031" i="5"/>
  <c r="A1031" i="5"/>
  <c r="D1030" i="5"/>
  <c r="A1030" i="5"/>
  <c r="D1029" i="5"/>
  <c r="B1029" i="5"/>
  <c r="A1029" i="5"/>
  <c r="D1028" i="5"/>
  <c r="B1028" i="5"/>
  <c r="A1028" i="5"/>
  <c r="D1027" i="5"/>
  <c r="B1027" i="5"/>
  <c r="A1027" i="5"/>
  <c r="D1026" i="5"/>
  <c r="B1026" i="5"/>
  <c r="A1026" i="5"/>
  <c r="D1025" i="5"/>
  <c r="B1025" i="5"/>
  <c r="A1025" i="5"/>
  <c r="D1024" i="5"/>
  <c r="A1024" i="5"/>
  <c r="D1023" i="5"/>
  <c r="A1023" i="5"/>
  <c r="D1022" i="5"/>
  <c r="A1022" i="5"/>
  <c r="D1021" i="5"/>
  <c r="B1021" i="5"/>
  <c r="A1021" i="5"/>
  <c r="D1020" i="5"/>
  <c r="A1020" i="5"/>
  <c r="D1019" i="5"/>
  <c r="A1019" i="5"/>
  <c r="D1018" i="5"/>
  <c r="A1018" i="5"/>
  <c r="D1017" i="5"/>
  <c r="A1017" i="5"/>
  <c r="D1016" i="5"/>
  <c r="A1016" i="5"/>
  <c r="D1015" i="5"/>
  <c r="B1015" i="5"/>
  <c r="A1015" i="5"/>
  <c r="D1014" i="5"/>
  <c r="B1014" i="5"/>
  <c r="A1014" i="5"/>
  <c r="D1013" i="5"/>
  <c r="B1013" i="5"/>
  <c r="A1013" i="5"/>
  <c r="D1012" i="5"/>
  <c r="B1012" i="5"/>
  <c r="A1012" i="5"/>
  <c r="D1011" i="5"/>
  <c r="A1011" i="5"/>
  <c r="D1010" i="5"/>
  <c r="A1010" i="5"/>
  <c r="D1009" i="5"/>
  <c r="A1009" i="5"/>
  <c r="D1008" i="5"/>
  <c r="A1008" i="5"/>
  <c r="D1007" i="5"/>
  <c r="A1007" i="5"/>
  <c r="D1006" i="5"/>
  <c r="A1006" i="5"/>
  <c r="D1005" i="5"/>
  <c r="A1005" i="5"/>
  <c r="D1004" i="5"/>
  <c r="A1004" i="5"/>
  <c r="D1003" i="5"/>
  <c r="A1003" i="5"/>
  <c r="D1002" i="5"/>
  <c r="A1002" i="5"/>
  <c r="D1001" i="5"/>
  <c r="A1001" i="5"/>
  <c r="D1000" i="5"/>
  <c r="A1000" i="5"/>
  <c r="D999" i="5"/>
  <c r="B999" i="5"/>
  <c r="A999" i="5"/>
  <c r="D998" i="5"/>
  <c r="A998" i="5"/>
  <c r="D997" i="5"/>
  <c r="A997" i="5"/>
  <c r="D996" i="5"/>
  <c r="B996" i="5"/>
  <c r="A996" i="5"/>
  <c r="D995" i="5"/>
  <c r="B995" i="5"/>
  <c r="A995" i="5"/>
  <c r="D994" i="5"/>
  <c r="B994" i="5"/>
  <c r="A994" i="5"/>
  <c r="D993" i="5"/>
  <c r="B993" i="5"/>
  <c r="A993" i="5"/>
  <c r="D992" i="5"/>
  <c r="B992" i="5"/>
  <c r="A992" i="5"/>
  <c r="D991" i="5"/>
  <c r="B991" i="5"/>
  <c r="A991" i="5"/>
  <c r="D990" i="5"/>
  <c r="B990" i="5"/>
  <c r="A990" i="5"/>
  <c r="D989" i="5"/>
  <c r="A989" i="5"/>
  <c r="D988" i="5"/>
  <c r="B988" i="5"/>
  <c r="A988" i="5"/>
  <c r="D987" i="5"/>
  <c r="B987" i="5"/>
  <c r="A987" i="5"/>
  <c r="D986" i="5"/>
  <c r="B986" i="5"/>
  <c r="A986" i="5"/>
  <c r="D985" i="5"/>
  <c r="C985" i="5"/>
  <c r="B985" i="5"/>
  <c r="A985" i="5"/>
  <c r="D984" i="5"/>
  <c r="A984" i="5"/>
  <c r="D983" i="5"/>
  <c r="B983" i="5"/>
  <c r="A983" i="5"/>
  <c r="D982" i="5"/>
  <c r="A982" i="5"/>
  <c r="D981" i="5"/>
  <c r="B981" i="5"/>
  <c r="A981" i="5"/>
  <c r="D980" i="5"/>
  <c r="A980" i="5"/>
  <c r="D979" i="5"/>
  <c r="B979" i="5"/>
  <c r="A979" i="5"/>
  <c r="D978" i="5"/>
  <c r="A978" i="5"/>
  <c r="D977" i="5"/>
  <c r="B977" i="5"/>
  <c r="A977" i="5"/>
  <c r="D976" i="5"/>
  <c r="B976" i="5"/>
  <c r="A976" i="5"/>
  <c r="D975" i="5"/>
  <c r="B975" i="5"/>
  <c r="A975" i="5"/>
  <c r="D974" i="5"/>
  <c r="B974" i="5"/>
  <c r="A974" i="5"/>
  <c r="D973" i="5"/>
  <c r="A973" i="5"/>
  <c r="D972" i="5"/>
  <c r="B972" i="5"/>
  <c r="A972" i="5"/>
  <c r="D971" i="5"/>
  <c r="A971" i="5"/>
  <c r="D970" i="5"/>
  <c r="B970" i="5"/>
  <c r="A970" i="5"/>
  <c r="D969" i="5"/>
  <c r="B969" i="5"/>
  <c r="A969" i="5"/>
  <c r="D968" i="5"/>
  <c r="B968" i="5"/>
  <c r="A968" i="5"/>
  <c r="D967" i="5"/>
  <c r="B967" i="5"/>
  <c r="A967" i="5"/>
  <c r="D966" i="5"/>
  <c r="A966" i="5"/>
  <c r="D965" i="5"/>
  <c r="A965" i="5"/>
  <c r="D964" i="5"/>
  <c r="B964" i="5"/>
  <c r="A964" i="5"/>
  <c r="D963" i="5"/>
  <c r="B963" i="5"/>
  <c r="A963" i="5"/>
  <c r="D962" i="5"/>
  <c r="B962" i="5"/>
  <c r="A962" i="5"/>
  <c r="D961" i="5"/>
  <c r="A961" i="5"/>
  <c r="D960" i="5"/>
  <c r="A960" i="5"/>
  <c r="D959" i="5"/>
  <c r="A959" i="5"/>
  <c r="D958" i="5"/>
  <c r="A958" i="5"/>
  <c r="D957" i="5"/>
  <c r="B957" i="5"/>
  <c r="A957" i="5"/>
  <c r="D956" i="5"/>
  <c r="A956" i="5"/>
  <c r="D955" i="5"/>
  <c r="B955" i="5"/>
  <c r="A955" i="5"/>
  <c r="D954" i="5"/>
  <c r="B954" i="5"/>
  <c r="A954" i="5"/>
  <c r="D953" i="5"/>
  <c r="B953" i="5"/>
  <c r="A953" i="5"/>
  <c r="D952" i="5"/>
  <c r="A952" i="5"/>
  <c r="D951" i="5"/>
  <c r="B951" i="5"/>
  <c r="A951" i="5"/>
  <c r="D950" i="5"/>
  <c r="A950" i="5"/>
  <c r="D949" i="5"/>
  <c r="B949" i="5"/>
  <c r="A949" i="5"/>
  <c r="D948" i="5"/>
  <c r="B948" i="5"/>
  <c r="A948" i="5"/>
  <c r="D947" i="5"/>
  <c r="B947" i="5"/>
  <c r="A947" i="5"/>
  <c r="D946" i="5"/>
  <c r="B946" i="5"/>
  <c r="A946" i="5"/>
  <c r="D945" i="5"/>
  <c r="B945" i="5"/>
  <c r="A945" i="5"/>
  <c r="D944" i="5"/>
  <c r="B944" i="5"/>
  <c r="A944" i="5"/>
  <c r="D943" i="5"/>
  <c r="A943" i="5"/>
  <c r="D942" i="5"/>
  <c r="B942" i="5"/>
  <c r="A942" i="5"/>
  <c r="D941" i="5"/>
  <c r="A941" i="5"/>
  <c r="D940" i="5"/>
  <c r="B940" i="5"/>
  <c r="A940" i="5"/>
  <c r="D939" i="5"/>
  <c r="B939" i="5"/>
  <c r="A939" i="5"/>
  <c r="D938" i="5"/>
  <c r="A938" i="5"/>
  <c r="D937" i="5"/>
  <c r="B937" i="5"/>
  <c r="A937" i="5"/>
  <c r="D936" i="5"/>
  <c r="A936" i="5"/>
  <c r="D935" i="5"/>
  <c r="B935" i="5"/>
  <c r="A935" i="5"/>
  <c r="D934" i="5"/>
  <c r="B934" i="5"/>
  <c r="A934" i="5"/>
  <c r="D933" i="5"/>
  <c r="B933" i="5"/>
  <c r="A933" i="5"/>
  <c r="D932" i="5"/>
  <c r="A932" i="5"/>
  <c r="D931" i="5"/>
  <c r="B931" i="5"/>
  <c r="A931" i="5"/>
  <c r="D930" i="5"/>
  <c r="B930" i="5"/>
  <c r="A930" i="5"/>
  <c r="D929" i="5"/>
  <c r="B929" i="5"/>
  <c r="A929" i="5"/>
  <c r="D928" i="5"/>
  <c r="B928" i="5"/>
  <c r="A928" i="5"/>
  <c r="D927" i="5"/>
  <c r="B927" i="5"/>
  <c r="A927" i="5"/>
  <c r="D926" i="5"/>
  <c r="B926" i="5"/>
  <c r="A926" i="5"/>
  <c r="D925" i="5"/>
  <c r="B925" i="5"/>
  <c r="A925" i="5"/>
  <c r="D924" i="5"/>
  <c r="B924" i="5"/>
  <c r="A924" i="5"/>
  <c r="D923" i="5"/>
  <c r="A923" i="5"/>
  <c r="D922" i="5"/>
  <c r="A922" i="5"/>
  <c r="D921" i="5"/>
  <c r="B921" i="5"/>
  <c r="A921" i="5"/>
  <c r="D920" i="5"/>
  <c r="A920" i="5"/>
  <c r="D919" i="5"/>
  <c r="B919" i="5"/>
  <c r="A919" i="5"/>
  <c r="D918" i="5"/>
  <c r="B918" i="5"/>
  <c r="A918" i="5"/>
  <c r="D917" i="5"/>
  <c r="B917" i="5"/>
  <c r="A917" i="5"/>
  <c r="D916" i="5"/>
  <c r="B916" i="5"/>
  <c r="A916" i="5"/>
  <c r="D915" i="5"/>
  <c r="B915" i="5"/>
  <c r="A915" i="5"/>
  <c r="D914" i="5"/>
  <c r="B914" i="5"/>
  <c r="A914" i="5"/>
  <c r="D913" i="5"/>
  <c r="B913" i="5"/>
  <c r="A913" i="5"/>
  <c r="D912" i="5"/>
  <c r="A912" i="5"/>
  <c r="D911" i="5"/>
  <c r="B911" i="5"/>
  <c r="A911" i="5"/>
  <c r="D910" i="5"/>
  <c r="B910" i="5"/>
  <c r="A910" i="5"/>
  <c r="D909" i="5"/>
  <c r="B909" i="5"/>
  <c r="A909" i="5"/>
  <c r="D908" i="5"/>
  <c r="B908" i="5"/>
  <c r="A908" i="5"/>
  <c r="D907" i="5"/>
  <c r="A907" i="5"/>
  <c r="D906" i="5"/>
  <c r="B906" i="5"/>
  <c r="A906" i="5"/>
  <c r="D905" i="5"/>
  <c r="A905" i="5"/>
  <c r="D904" i="5"/>
  <c r="B904" i="5"/>
  <c r="A904" i="5"/>
  <c r="D903" i="5"/>
  <c r="B903" i="5"/>
  <c r="A903" i="5"/>
  <c r="D902" i="5"/>
  <c r="A902" i="5"/>
  <c r="D901" i="5"/>
  <c r="A901" i="5"/>
  <c r="D900" i="5"/>
  <c r="A900" i="5"/>
  <c r="D899" i="5"/>
  <c r="B899" i="5"/>
  <c r="A899" i="5"/>
  <c r="D898" i="5"/>
  <c r="A898" i="5"/>
  <c r="D897" i="5"/>
  <c r="A897" i="5"/>
  <c r="D896" i="5"/>
  <c r="A896" i="5"/>
  <c r="D895" i="5"/>
  <c r="A895" i="5"/>
  <c r="D894" i="5"/>
  <c r="A894" i="5"/>
  <c r="D893" i="5"/>
  <c r="A893" i="5"/>
  <c r="D892" i="5"/>
  <c r="A892" i="5"/>
  <c r="D891" i="5"/>
  <c r="A891" i="5"/>
  <c r="D890" i="5"/>
  <c r="B890" i="5"/>
  <c r="A890" i="5"/>
  <c r="D889" i="5"/>
  <c r="B889" i="5"/>
  <c r="A889" i="5"/>
  <c r="D888" i="5"/>
  <c r="B888" i="5"/>
  <c r="A888" i="5"/>
  <c r="D887" i="5"/>
  <c r="B887" i="5"/>
  <c r="A887" i="5"/>
  <c r="D886" i="5"/>
  <c r="B886" i="5"/>
  <c r="A886" i="5"/>
  <c r="D885" i="5"/>
  <c r="B885" i="5"/>
  <c r="A885" i="5"/>
  <c r="D884" i="5"/>
  <c r="B884" i="5"/>
  <c r="A884" i="5"/>
  <c r="D883" i="5"/>
  <c r="A883" i="5"/>
  <c r="D882" i="5"/>
  <c r="A882" i="5"/>
  <c r="D881" i="5"/>
  <c r="B881" i="5"/>
  <c r="A881" i="5"/>
  <c r="D880" i="5"/>
  <c r="B880" i="5"/>
  <c r="A880" i="5"/>
  <c r="D879" i="5"/>
  <c r="A879" i="5"/>
  <c r="D878" i="5"/>
  <c r="B878" i="5"/>
  <c r="A878" i="5"/>
  <c r="D877" i="5"/>
  <c r="A877" i="5"/>
  <c r="D876" i="5"/>
  <c r="A876" i="5"/>
  <c r="D875" i="5"/>
  <c r="A875" i="5"/>
  <c r="D874" i="5"/>
  <c r="A874" i="5"/>
  <c r="D873" i="5"/>
  <c r="A873" i="5"/>
  <c r="D872" i="5"/>
  <c r="A872" i="5"/>
  <c r="D871" i="5"/>
  <c r="B871" i="5"/>
  <c r="A871" i="5"/>
  <c r="D870" i="5"/>
  <c r="A870" i="5"/>
  <c r="D869" i="5"/>
  <c r="B869" i="5"/>
  <c r="A869" i="5"/>
  <c r="D868" i="5"/>
  <c r="B868" i="5"/>
  <c r="A868" i="5"/>
  <c r="D867" i="5"/>
  <c r="B867" i="5"/>
  <c r="A867" i="5"/>
  <c r="D866" i="5"/>
  <c r="B866" i="5"/>
  <c r="A866" i="5"/>
  <c r="D865" i="5"/>
  <c r="A865" i="5"/>
  <c r="D864" i="5"/>
  <c r="B864" i="5"/>
  <c r="A864" i="5"/>
  <c r="D863" i="5"/>
  <c r="A863" i="5"/>
  <c r="D862" i="5"/>
  <c r="B862" i="5"/>
  <c r="A862" i="5"/>
  <c r="D861" i="5"/>
  <c r="B861" i="5"/>
  <c r="A861" i="5"/>
  <c r="D860" i="5"/>
  <c r="B860" i="5"/>
  <c r="A860" i="5"/>
  <c r="D859" i="5"/>
  <c r="B859" i="5"/>
  <c r="A859" i="5"/>
  <c r="D858" i="5"/>
  <c r="A858" i="5"/>
  <c r="D857" i="5"/>
  <c r="A857" i="5"/>
  <c r="D856" i="5"/>
  <c r="B856" i="5"/>
  <c r="A856" i="5"/>
  <c r="D855" i="5"/>
  <c r="B855" i="5"/>
  <c r="A855" i="5"/>
  <c r="D854" i="5"/>
  <c r="A854" i="5"/>
  <c r="D853" i="5"/>
  <c r="A853" i="5"/>
  <c r="D852" i="5"/>
  <c r="B852" i="5"/>
  <c r="A852" i="5"/>
  <c r="D851" i="5"/>
  <c r="A851" i="5"/>
  <c r="D850" i="5"/>
  <c r="A850" i="5"/>
  <c r="D849" i="5"/>
  <c r="B849" i="5"/>
  <c r="A849" i="5"/>
  <c r="D848" i="5"/>
  <c r="A848" i="5"/>
  <c r="D847" i="5"/>
  <c r="A847" i="5"/>
  <c r="D846" i="5"/>
  <c r="A846" i="5"/>
  <c r="D845" i="5"/>
  <c r="A845" i="5"/>
  <c r="D844" i="5"/>
  <c r="A844" i="5"/>
  <c r="D843" i="5"/>
  <c r="A843" i="5"/>
  <c r="D842" i="5"/>
  <c r="A842" i="5"/>
  <c r="D841" i="5"/>
  <c r="B841" i="5"/>
  <c r="A841" i="5"/>
  <c r="D840" i="5"/>
  <c r="B840" i="5"/>
  <c r="A840" i="5"/>
  <c r="D839" i="5"/>
  <c r="B839" i="5"/>
  <c r="A839" i="5"/>
  <c r="D838" i="5"/>
  <c r="B838" i="5"/>
  <c r="A838" i="5"/>
  <c r="D837" i="5"/>
  <c r="A837" i="5"/>
  <c r="D836" i="5"/>
  <c r="B836" i="5"/>
  <c r="A836" i="5"/>
  <c r="D835" i="5"/>
  <c r="A835" i="5"/>
  <c r="D834" i="5"/>
  <c r="A834" i="5"/>
  <c r="D833" i="5"/>
  <c r="B833" i="5"/>
  <c r="A833" i="5"/>
  <c r="D832" i="5"/>
  <c r="B832" i="5"/>
  <c r="A832" i="5"/>
  <c r="D831" i="5"/>
  <c r="A831" i="5"/>
  <c r="D830" i="5"/>
  <c r="A830" i="5"/>
  <c r="D829" i="5"/>
  <c r="A829" i="5"/>
  <c r="D828" i="5"/>
  <c r="B828" i="5"/>
  <c r="A828" i="5"/>
  <c r="D827" i="5"/>
  <c r="B827" i="5"/>
  <c r="A827" i="5"/>
  <c r="D826" i="5"/>
  <c r="B826" i="5"/>
  <c r="A826" i="5"/>
  <c r="D825" i="5"/>
  <c r="B825" i="5"/>
  <c r="A825" i="5"/>
  <c r="D824" i="5"/>
  <c r="A824" i="5"/>
  <c r="D823" i="5"/>
  <c r="B823" i="5"/>
  <c r="A823" i="5"/>
  <c r="D822" i="5"/>
  <c r="A822" i="5"/>
  <c r="D821" i="5"/>
  <c r="B821" i="5"/>
  <c r="A821" i="5"/>
  <c r="D820" i="5"/>
  <c r="A820" i="5"/>
  <c r="D819" i="5"/>
  <c r="A819" i="5"/>
  <c r="D818" i="5"/>
  <c r="B818" i="5"/>
  <c r="A818" i="5"/>
  <c r="D817" i="5"/>
  <c r="A817" i="5"/>
  <c r="D816" i="5"/>
  <c r="B816" i="5"/>
  <c r="A816" i="5"/>
  <c r="D815" i="5"/>
  <c r="B815" i="5"/>
  <c r="A815" i="5"/>
  <c r="D814" i="5"/>
  <c r="B814" i="5"/>
  <c r="A814" i="5"/>
  <c r="D813" i="5"/>
  <c r="A813" i="5"/>
  <c r="D812" i="5"/>
  <c r="A812" i="5"/>
  <c r="D811" i="5"/>
  <c r="B811" i="5"/>
  <c r="A811" i="5"/>
  <c r="D810" i="5"/>
  <c r="B810" i="5"/>
  <c r="A810" i="5"/>
  <c r="D809" i="5"/>
  <c r="B809" i="5"/>
  <c r="A809" i="5"/>
  <c r="D808" i="5"/>
  <c r="B808" i="5"/>
  <c r="A808" i="5"/>
  <c r="D807" i="5"/>
  <c r="B807" i="5"/>
  <c r="A807" i="5"/>
  <c r="D806" i="5"/>
  <c r="A806" i="5"/>
  <c r="D805" i="5"/>
  <c r="B805" i="5"/>
  <c r="A805" i="5"/>
  <c r="D804" i="5"/>
  <c r="B804" i="5"/>
  <c r="A804" i="5"/>
  <c r="D803" i="5"/>
  <c r="B803" i="5"/>
  <c r="A803" i="5"/>
  <c r="D802" i="5"/>
  <c r="A802" i="5"/>
  <c r="D801" i="5"/>
  <c r="A801" i="5"/>
  <c r="D800" i="5"/>
  <c r="B800" i="5"/>
  <c r="A800" i="5"/>
  <c r="D799" i="5"/>
  <c r="B799" i="5"/>
  <c r="A799" i="5"/>
  <c r="D798" i="5"/>
  <c r="A798" i="5"/>
  <c r="D797" i="5"/>
  <c r="A797" i="5"/>
  <c r="D796" i="5"/>
  <c r="A796" i="5"/>
  <c r="D795" i="5"/>
  <c r="B795" i="5"/>
  <c r="A795" i="5"/>
  <c r="D794" i="5"/>
  <c r="A794" i="5"/>
  <c r="D793" i="5"/>
  <c r="A793" i="5"/>
  <c r="D792" i="5"/>
  <c r="A792" i="5"/>
  <c r="D791" i="5"/>
  <c r="A791" i="5"/>
  <c r="D790" i="5"/>
  <c r="C790" i="5"/>
  <c r="B790" i="5"/>
  <c r="A790" i="5"/>
  <c r="D789" i="5"/>
  <c r="B789" i="5"/>
  <c r="A789" i="5"/>
  <c r="D788" i="5"/>
  <c r="B788" i="5"/>
  <c r="A788" i="5"/>
  <c r="D787" i="5"/>
  <c r="A787" i="5"/>
  <c r="D786" i="5"/>
  <c r="A786" i="5"/>
  <c r="D785" i="5"/>
  <c r="A785" i="5"/>
  <c r="D784" i="5"/>
  <c r="A784" i="5"/>
  <c r="D783" i="5"/>
  <c r="A783" i="5"/>
  <c r="D782" i="5"/>
  <c r="B782" i="5"/>
  <c r="A782" i="5"/>
  <c r="D781" i="5"/>
  <c r="B781" i="5"/>
  <c r="A781" i="5"/>
  <c r="D780" i="5"/>
  <c r="A780" i="5"/>
  <c r="D779" i="5"/>
  <c r="B779" i="5"/>
  <c r="A779" i="5"/>
  <c r="D778" i="5"/>
  <c r="A778" i="5"/>
  <c r="D777" i="5"/>
  <c r="B777" i="5"/>
  <c r="A777" i="5"/>
  <c r="D776" i="5"/>
  <c r="B776" i="5"/>
  <c r="A776" i="5"/>
  <c r="D775" i="5"/>
  <c r="B775" i="5"/>
  <c r="A775" i="5"/>
  <c r="D774" i="5"/>
  <c r="B774" i="5"/>
  <c r="A774" i="5"/>
  <c r="D773" i="5"/>
  <c r="B773" i="5"/>
  <c r="A773" i="5"/>
  <c r="D772" i="5"/>
  <c r="B772" i="5"/>
  <c r="A772" i="5"/>
  <c r="D771" i="5"/>
  <c r="A771" i="5"/>
  <c r="D770" i="5"/>
  <c r="B770" i="5"/>
  <c r="A770" i="5"/>
  <c r="D769" i="5"/>
  <c r="B769" i="5"/>
  <c r="A769" i="5"/>
  <c r="D768" i="5"/>
  <c r="A768" i="5"/>
  <c r="D767" i="5"/>
  <c r="B767" i="5"/>
  <c r="A767" i="5"/>
  <c r="D766" i="5"/>
  <c r="A766" i="5"/>
  <c r="D765" i="5"/>
  <c r="A765" i="5"/>
  <c r="D764" i="5"/>
  <c r="A764" i="5"/>
  <c r="D763" i="5"/>
  <c r="B763" i="5"/>
  <c r="A763" i="5"/>
  <c r="D762" i="5"/>
  <c r="A762" i="5"/>
  <c r="D761" i="5"/>
  <c r="A761" i="5"/>
  <c r="D760" i="5"/>
  <c r="A760" i="5"/>
  <c r="D759" i="5"/>
  <c r="A759" i="5"/>
  <c r="D758" i="5"/>
  <c r="A758" i="5"/>
  <c r="D757" i="5"/>
  <c r="A757" i="5"/>
  <c r="D756" i="5"/>
  <c r="B756" i="5"/>
  <c r="A756" i="5"/>
  <c r="D755" i="5"/>
  <c r="B755" i="5"/>
  <c r="A755" i="5"/>
  <c r="D754" i="5"/>
  <c r="B754" i="5"/>
  <c r="A754" i="5"/>
  <c r="D753" i="5"/>
  <c r="A753" i="5"/>
  <c r="D752" i="5"/>
  <c r="B752" i="5"/>
  <c r="A752" i="5"/>
  <c r="D751" i="5"/>
  <c r="A751" i="5"/>
  <c r="D750" i="5"/>
  <c r="A750" i="5"/>
  <c r="D749" i="5"/>
  <c r="B749" i="5"/>
  <c r="A749" i="5"/>
  <c r="D748" i="5"/>
  <c r="B748" i="5"/>
  <c r="A748" i="5"/>
  <c r="D747" i="5"/>
  <c r="B747" i="5"/>
  <c r="A747" i="5"/>
  <c r="D746" i="5"/>
  <c r="C746" i="5"/>
  <c r="B746" i="5"/>
  <c r="A746" i="5"/>
  <c r="D745" i="5"/>
  <c r="B745" i="5"/>
  <c r="A745" i="5"/>
  <c r="D744" i="5"/>
  <c r="B744" i="5"/>
  <c r="A744" i="5"/>
  <c r="D743" i="5"/>
  <c r="B743" i="5"/>
  <c r="A743" i="5"/>
  <c r="D742" i="5"/>
  <c r="B742" i="5"/>
  <c r="A742" i="5"/>
  <c r="D741" i="5"/>
  <c r="B741" i="5"/>
  <c r="A741" i="5"/>
  <c r="D740" i="5"/>
  <c r="A740" i="5"/>
  <c r="D739" i="5"/>
  <c r="B739" i="5"/>
  <c r="A739" i="5"/>
  <c r="D738" i="5"/>
  <c r="A738" i="5"/>
  <c r="D737" i="5"/>
  <c r="A737" i="5"/>
  <c r="D736" i="5"/>
  <c r="B736" i="5"/>
  <c r="A736" i="5"/>
  <c r="D735" i="5"/>
  <c r="B735" i="5"/>
  <c r="A735" i="5"/>
  <c r="D734" i="5"/>
  <c r="A734" i="5"/>
  <c r="D733" i="5"/>
  <c r="B733" i="5"/>
  <c r="A733" i="5"/>
  <c r="D732" i="5"/>
  <c r="A732" i="5"/>
  <c r="D731" i="5"/>
  <c r="A731" i="5"/>
  <c r="D730" i="5"/>
  <c r="A730" i="5"/>
  <c r="D729" i="5"/>
  <c r="B729" i="5"/>
  <c r="A729" i="5"/>
  <c r="D728" i="5"/>
  <c r="A728" i="5"/>
  <c r="D727" i="5"/>
  <c r="A727" i="5"/>
  <c r="D726" i="5"/>
  <c r="A726" i="5"/>
  <c r="D725" i="5"/>
  <c r="A725" i="5"/>
  <c r="D724" i="5"/>
  <c r="A724" i="5"/>
  <c r="D723" i="5"/>
  <c r="B723" i="5"/>
  <c r="A723" i="5"/>
  <c r="D722" i="5"/>
  <c r="B722" i="5"/>
  <c r="A722" i="5"/>
  <c r="D721" i="5"/>
  <c r="B721" i="5"/>
  <c r="A721" i="5"/>
  <c r="D720" i="5"/>
  <c r="B720" i="5"/>
  <c r="A720" i="5"/>
  <c r="D719" i="5"/>
  <c r="B719" i="5"/>
  <c r="A719" i="5"/>
  <c r="D718" i="5"/>
  <c r="B718" i="5"/>
  <c r="A718" i="5"/>
  <c r="D717" i="5"/>
  <c r="B717" i="5"/>
  <c r="A717" i="5"/>
  <c r="D716" i="5"/>
  <c r="B716" i="5"/>
  <c r="A716" i="5"/>
  <c r="D715" i="5"/>
  <c r="B715" i="5"/>
  <c r="A715" i="5"/>
  <c r="D714" i="5"/>
  <c r="B714" i="5"/>
  <c r="A714" i="5"/>
  <c r="D713" i="5"/>
  <c r="B713" i="5"/>
  <c r="A713" i="5"/>
  <c r="D712" i="5"/>
  <c r="B712" i="5"/>
  <c r="A712" i="5"/>
  <c r="D711" i="5"/>
  <c r="B711" i="5"/>
  <c r="A711" i="5"/>
  <c r="D710" i="5"/>
  <c r="B710" i="5"/>
  <c r="A710" i="5"/>
  <c r="D709" i="5"/>
  <c r="B709" i="5"/>
  <c r="A709" i="5"/>
  <c r="D708" i="5"/>
  <c r="B708" i="5"/>
  <c r="A708" i="5"/>
  <c r="D707" i="5"/>
  <c r="A707" i="5"/>
  <c r="D706" i="5"/>
  <c r="A706" i="5"/>
  <c r="D705" i="5"/>
  <c r="A705" i="5"/>
  <c r="D704" i="5"/>
  <c r="B704" i="5"/>
  <c r="A704" i="5"/>
  <c r="D703" i="5"/>
  <c r="A703" i="5"/>
  <c r="D702" i="5"/>
  <c r="B702" i="5"/>
  <c r="A702" i="5"/>
  <c r="D701" i="5"/>
  <c r="B701" i="5"/>
  <c r="A701" i="5"/>
  <c r="D700" i="5"/>
  <c r="B700" i="5"/>
  <c r="A700" i="5"/>
  <c r="D699" i="5"/>
  <c r="B699" i="5"/>
  <c r="A699" i="5"/>
  <c r="D698" i="5"/>
  <c r="A698" i="5"/>
  <c r="D697" i="5"/>
  <c r="B697" i="5"/>
  <c r="A697" i="5"/>
  <c r="D696" i="5"/>
  <c r="A696" i="5"/>
  <c r="D695" i="5"/>
  <c r="B695" i="5"/>
  <c r="A695" i="5"/>
  <c r="D694" i="5"/>
  <c r="B694" i="5"/>
  <c r="A694" i="5"/>
  <c r="D693" i="5"/>
  <c r="A693" i="5"/>
  <c r="D692" i="5"/>
  <c r="B692" i="5"/>
  <c r="A692" i="5"/>
  <c r="D691" i="5"/>
  <c r="B691" i="5"/>
  <c r="A691" i="5"/>
  <c r="D690" i="5"/>
  <c r="B690" i="5"/>
  <c r="A690" i="5"/>
  <c r="D689" i="5"/>
  <c r="B689" i="5"/>
  <c r="A689" i="5"/>
  <c r="D688" i="5"/>
  <c r="A688" i="5"/>
  <c r="D687" i="5"/>
  <c r="B687" i="5"/>
  <c r="A687" i="5"/>
  <c r="D686" i="5"/>
  <c r="B686" i="5"/>
  <c r="A686" i="5"/>
  <c r="D685" i="5"/>
  <c r="B685" i="5"/>
  <c r="A685" i="5"/>
  <c r="D684" i="5"/>
  <c r="B684" i="5"/>
  <c r="A684" i="5"/>
  <c r="D683" i="5"/>
  <c r="B683" i="5"/>
  <c r="A683" i="5"/>
  <c r="D682" i="5"/>
  <c r="A682" i="5"/>
  <c r="D681" i="5"/>
  <c r="B681" i="5"/>
  <c r="A681" i="5"/>
  <c r="D680" i="5"/>
  <c r="B680" i="5"/>
  <c r="A680" i="5"/>
  <c r="D679" i="5"/>
  <c r="B679" i="5"/>
  <c r="A679" i="5"/>
  <c r="D678" i="5"/>
  <c r="B678" i="5"/>
  <c r="A678" i="5"/>
  <c r="D677" i="5"/>
  <c r="B677" i="5"/>
  <c r="A677" i="5"/>
  <c r="D676" i="5"/>
  <c r="A676" i="5"/>
  <c r="D675" i="5"/>
  <c r="A675" i="5"/>
  <c r="D674" i="5"/>
  <c r="B674" i="5"/>
  <c r="A674" i="5"/>
  <c r="D673" i="5"/>
  <c r="B673" i="5"/>
  <c r="A673" i="5"/>
  <c r="D672" i="5"/>
  <c r="B672" i="5"/>
  <c r="A672" i="5"/>
  <c r="D671" i="5"/>
  <c r="A671" i="5"/>
  <c r="D670" i="5"/>
  <c r="A670" i="5"/>
  <c r="D669" i="5"/>
  <c r="B669" i="5"/>
  <c r="A669" i="5"/>
  <c r="D668" i="5"/>
  <c r="B668" i="5"/>
  <c r="A668" i="5"/>
  <c r="D667" i="5"/>
  <c r="B667" i="5"/>
  <c r="A667" i="5"/>
  <c r="D666" i="5"/>
  <c r="B666" i="5"/>
  <c r="A666" i="5"/>
  <c r="D665" i="5"/>
  <c r="B665" i="5"/>
  <c r="A665" i="5"/>
  <c r="D664" i="5"/>
  <c r="B664" i="5"/>
  <c r="A664" i="5"/>
  <c r="D663" i="5"/>
  <c r="B663" i="5"/>
  <c r="A663" i="5"/>
  <c r="D662" i="5"/>
  <c r="B662" i="5"/>
  <c r="A662" i="5"/>
  <c r="D661" i="5"/>
  <c r="B661" i="5"/>
  <c r="A661" i="5"/>
  <c r="D660" i="5"/>
  <c r="B660" i="5"/>
  <c r="A660" i="5"/>
  <c r="D659" i="5"/>
  <c r="B659" i="5"/>
  <c r="A659" i="5"/>
  <c r="D658" i="5"/>
  <c r="B658" i="5"/>
  <c r="A658" i="5"/>
  <c r="D657" i="5"/>
  <c r="A657" i="5"/>
  <c r="D656" i="5"/>
  <c r="A656" i="5"/>
  <c r="D655" i="5"/>
  <c r="A655" i="5"/>
  <c r="D654" i="5"/>
  <c r="A654" i="5"/>
  <c r="D653" i="5"/>
  <c r="A653" i="5"/>
  <c r="D652" i="5"/>
  <c r="B652" i="5"/>
  <c r="A652" i="5"/>
  <c r="D651" i="5"/>
  <c r="A651" i="5"/>
  <c r="D650" i="5"/>
  <c r="B650" i="5"/>
  <c r="A650" i="5"/>
  <c r="D649" i="5"/>
  <c r="A649" i="5"/>
  <c r="D648" i="5"/>
  <c r="A648" i="5"/>
  <c r="D647" i="5"/>
  <c r="A647" i="5"/>
  <c r="D646" i="5"/>
  <c r="B646" i="5"/>
  <c r="A646" i="5"/>
  <c r="D645" i="5"/>
  <c r="A645" i="5"/>
  <c r="D644" i="5"/>
  <c r="B644" i="5"/>
  <c r="A644" i="5"/>
  <c r="D643" i="5"/>
  <c r="A643" i="5"/>
  <c r="D642" i="5"/>
  <c r="B642" i="5"/>
  <c r="A642" i="5"/>
  <c r="D641" i="5"/>
  <c r="A641" i="5"/>
  <c r="D640" i="5"/>
  <c r="A640" i="5"/>
  <c r="D639" i="5"/>
  <c r="A639" i="5"/>
  <c r="D638" i="5"/>
  <c r="A638" i="5"/>
  <c r="D637" i="5"/>
  <c r="B637" i="5"/>
  <c r="A637" i="5"/>
  <c r="D636" i="5"/>
  <c r="A636" i="5"/>
  <c r="D635" i="5"/>
  <c r="A635" i="5"/>
  <c r="D634" i="5"/>
  <c r="B634" i="5"/>
  <c r="A634" i="5"/>
  <c r="D633" i="5"/>
  <c r="B633" i="5"/>
  <c r="A633" i="5"/>
  <c r="D632" i="5"/>
  <c r="B632" i="5"/>
  <c r="A632" i="5"/>
  <c r="D631" i="5"/>
  <c r="B631" i="5"/>
  <c r="A631" i="5"/>
  <c r="D630" i="5"/>
  <c r="B630" i="5"/>
  <c r="A630" i="5"/>
  <c r="D629" i="5"/>
  <c r="A629" i="5"/>
  <c r="D628" i="5"/>
  <c r="C628" i="5"/>
  <c r="B628" i="5"/>
  <c r="A628" i="5"/>
  <c r="D627" i="5"/>
  <c r="B627" i="5"/>
  <c r="A627" i="5"/>
  <c r="D626" i="5"/>
  <c r="B626" i="5"/>
  <c r="A626" i="5"/>
  <c r="D625" i="5"/>
  <c r="B625" i="5"/>
  <c r="A625" i="5"/>
  <c r="D624" i="5"/>
  <c r="B624" i="5"/>
  <c r="A624" i="5"/>
  <c r="D623" i="5"/>
  <c r="B623" i="5"/>
  <c r="A623" i="5"/>
  <c r="D622" i="5"/>
  <c r="B622" i="5"/>
  <c r="A622" i="5"/>
  <c r="D621" i="5"/>
  <c r="B621" i="5"/>
  <c r="A621" i="5"/>
  <c r="D620" i="5"/>
  <c r="B620" i="5"/>
  <c r="A620" i="5"/>
  <c r="D619" i="5"/>
  <c r="A619" i="5"/>
  <c r="D618" i="5"/>
  <c r="A618" i="5"/>
  <c r="D617" i="5"/>
  <c r="B617" i="5"/>
  <c r="A617" i="5"/>
  <c r="D616" i="5"/>
  <c r="A616" i="5"/>
  <c r="D615" i="5"/>
  <c r="B615" i="5"/>
  <c r="A615" i="5"/>
  <c r="D614" i="5"/>
  <c r="B614" i="5"/>
  <c r="A614" i="5"/>
  <c r="D613" i="5"/>
  <c r="A613" i="5"/>
  <c r="D612" i="5"/>
  <c r="B612" i="5"/>
  <c r="A612" i="5"/>
  <c r="D611" i="5"/>
  <c r="C611" i="5"/>
  <c r="B611" i="5"/>
  <c r="A611" i="5"/>
  <c r="D610" i="5"/>
  <c r="B610" i="5"/>
  <c r="A610" i="5"/>
  <c r="D609" i="5"/>
  <c r="B609" i="5"/>
  <c r="A609" i="5"/>
  <c r="D608" i="5"/>
  <c r="B608" i="5"/>
  <c r="A608" i="5"/>
  <c r="D607" i="5"/>
  <c r="B607" i="5"/>
  <c r="A607" i="5"/>
  <c r="D606" i="5"/>
  <c r="B606" i="5"/>
  <c r="A606" i="5"/>
  <c r="D605" i="5"/>
  <c r="B605" i="5"/>
  <c r="A605" i="5"/>
  <c r="D604" i="5"/>
  <c r="A604" i="5"/>
  <c r="D603" i="5"/>
  <c r="A603" i="5"/>
  <c r="D602" i="5"/>
  <c r="B602" i="5"/>
  <c r="A602" i="5"/>
  <c r="D601" i="5"/>
  <c r="A601" i="5"/>
  <c r="D600" i="5"/>
  <c r="B600" i="5"/>
  <c r="A600" i="5"/>
  <c r="D599" i="5"/>
  <c r="B599" i="5"/>
  <c r="A599" i="5"/>
  <c r="D598" i="5"/>
  <c r="B598" i="5"/>
  <c r="A598" i="5"/>
  <c r="D597" i="5"/>
  <c r="B597" i="5"/>
  <c r="A597" i="5"/>
  <c r="D596" i="5"/>
  <c r="B596" i="5"/>
  <c r="A596" i="5"/>
  <c r="D595" i="5"/>
  <c r="B595" i="5"/>
  <c r="A595" i="5"/>
  <c r="D594" i="5"/>
  <c r="B594" i="5"/>
  <c r="A594" i="5"/>
  <c r="D593" i="5"/>
  <c r="B593" i="5"/>
  <c r="A593" i="5"/>
  <c r="D592" i="5"/>
  <c r="B592" i="5"/>
  <c r="A592" i="5"/>
  <c r="D591" i="5"/>
  <c r="B591" i="5"/>
  <c r="A591" i="5"/>
  <c r="D590" i="5"/>
  <c r="C590" i="5"/>
  <c r="B590" i="5"/>
  <c r="A590" i="5"/>
  <c r="D589" i="5"/>
  <c r="A589" i="5"/>
  <c r="D588" i="5"/>
  <c r="B588" i="5"/>
  <c r="A588" i="5"/>
  <c r="D587" i="5"/>
  <c r="B587" i="5"/>
  <c r="A587" i="5"/>
  <c r="D586" i="5"/>
  <c r="B586" i="5"/>
  <c r="A586" i="5"/>
  <c r="D585" i="5"/>
  <c r="A585" i="5"/>
  <c r="D584" i="5"/>
  <c r="B584" i="5"/>
  <c r="A584" i="5"/>
  <c r="D583" i="5"/>
  <c r="A583" i="5"/>
  <c r="D582" i="5"/>
  <c r="B582" i="5"/>
  <c r="A582" i="5"/>
  <c r="D581" i="5"/>
  <c r="B581" i="5"/>
  <c r="A581" i="5"/>
  <c r="D580" i="5"/>
  <c r="A580" i="5"/>
  <c r="D579" i="5"/>
  <c r="B579" i="5"/>
  <c r="A579" i="5"/>
  <c r="D578" i="5"/>
  <c r="A578" i="5"/>
  <c r="D577" i="5"/>
  <c r="B577" i="5"/>
  <c r="A577" i="5"/>
  <c r="D576" i="5"/>
  <c r="B576" i="5"/>
  <c r="A576" i="5"/>
  <c r="D575" i="5"/>
  <c r="B575" i="5"/>
  <c r="A575" i="5"/>
  <c r="D574" i="5"/>
  <c r="B574" i="5"/>
  <c r="A574" i="5"/>
  <c r="D573" i="5"/>
  <c r="B573" i="5"/>
  <c r="A573" i="5"/>
  <c r="D572" i="5"/>
  <c r="B572" i="5"/>
  <c r="A572" i="5"/>
  <c r="D571" i="5"/>
  <c r="B571" i="5"/>
  <c r="A571" i="5"/>
  <c r="D570" i="5"/>
  <c r="B570" i="5"/>
  <c r="A570" i="5"/>
  <c r="D569" i="5"/>
  <c r="B569" i="5"/>
  <c r="A569" i="5"/>
  <c r="D568" i="5"/>
  <c r="B568" i="5"/>
  <c r="A568" i="5"/>
  <c r="D567" i="5"/>
  <c r="B567" i="5"/>
  <c r="A567" i="5"/>
  <c r="D566" i="5"/>
  <c r="B566" i="5"/>
  <c r="A566" i="5"/>
  <c r="D565" i="5"/>
  <c r="B565" i="5"/>
  <c r="A565" i="5"/>
  <c r="D564" i="5"/>
  <c r="B564" i="5"/>
  <c r="A564" i="5"/>
  <c r="D563" i="5"/>
  <c r="B563" i="5"/>
  <c r="A563" i="5"/>
  <c r="D562" i="5"/>
  <c r="B562" i="5"/>
  <c r="A562" i="5"/>
  <c r="D561" i="5"/>
  <c r="B561" i="5"/>
  <c r="A561" i="5"/>
  <c r="D560" i="5"/>
  <c r="B560" i="5"/>
  <c r="A560" i="5"/>
  <c r="D559" i="5"/>
  <c r="B559" i="5"/>
  <c r="A559" i="5"/>
  <c r="D558" i="5"/>
  <c r="A558" i="5"/>
  <c r="D557" i="5"/>
  <c r="B557" i="5"/>
  <c r="A557" i="5"/>
  <c r="D556" i="5"/>
  <c r="B556" i="5"/>
  <c r="A556" i="5"/>
  <c r="D555" i="5"/>
  <c r="A555" i="5"/>
  <c r="D554" i="5"/>
  <c r="A554" i="5"/>
  <c r="D553" i="5"/>
  <c r="A553" i="5"/>
  <c r="D552" i="5"/>
  <c r="B552" i="5"/>
  <c r="A552" i="5"/>
  <c r="D551" i="5"/>
  <c r="A551" i="5"/>
  <c r="D550" i="5"/>
  <c r="A550" i="5"/>
  <c r="D549" i="5"/>
  <c r="B549" i="5"/>
  <c r="A549" i="5"/>
  <c r="D548" i="5"/>
  <c r="B548" i="5"/>
  <c r="A548" i="5"/>
  <c r="D547" i="5"/>
  <c r="B547" i="5"/>
  <c r="A547" i="5"/>
  <c r="D546" i="5"/>
  <c r="B546" i="5"/>
  <c r="A546" i="5"/>
  <c r="D545" i="5"/>
  <c r="A545" i="5"/>
  <c r="D544" i="5"/>
  <c r="A544" i="5"/>
  <c r="D543" i="5"/>
  <c r="C543" i="5"/>
  <c r="B543" i="5"/>
  <c r="A543" i="5"/>
  <c r="D542" i="5"/>
  <c r="B542" i="5"/>
  <c r="A542" i="5"/>
  <c r="D541" i="5"/>
  <c r="B541" i="5"/>
  <c r="A541" i="5"/>
  <c r="D540" i="5"/>
  <c r="B540" i="5"/>
  <c r="A540" i="5"/>
  <c r="D539" i="5"/>
  <c r="B539" i="5"/>
  <c r="A539" i="5"/>
  <c r="D538" i="5"/>
  <c r="B538" i="5"/>
  <c r="A538" i="5"/>
  <c r="D537" i="5"/>
  <c r="B537" i="5"/>
  <c r="A537" i="5"/>
  <c r="D536" i="5"/>
  <c r="B536" i="5"/>
  <c r="A536" i="5"/>
  <c r="D535" i="5"/>
  <c r="B535" i="5"/>
  <c r="A535" i="5"/>
  <c r="D534" i="5"/>
  <c r="B534" i="5"/>
  <c r="A534" i="5"/>
  <c r="D533" i="5"/>
  <c r="B533" i="5"/>
  <c r="A533" i="5"/>
  <c r="D532" i="5"/>
  <c r="B532" i="5"/>
  <c r="A532" i="5"/>
  <c r="D531" i="5"/>
  <c r="B531" i="5"/>
  <c r="A531" i="5"/>
  <c r="D530" i="5"/>
  <c r="B530" i="5"/>
  <c r="A530" i="5"/>
  <c r="D529" i="5"/>
  <c r="B529" i="5"/>
  <c r="A529" i="5"/>
  <c r="D528" i="5"/>
  <c r="B528" i="5"/>
  <c r="A528" i="5"/>
  <c r="D527" i="5"/>
  <c r="B527" i="5"/>
  <c r="A527" i="5"/>
  <c r="D526" i="5"/>
  <c r="C526" i="5"/>
  <c r="B526" i="5"/>
  <c r="A526" i="5"/>
  <c r="D525" i="5"/>
  <c r="B525" i="5"/>
  <c r="A525" i="5"/>
  <c r="D524" i="5"/>
  <c r="A524" i="5"/>
  <c r="D523" i="5"/>
  <c r="A523" i="5"/>
  <c r="D522" i="5"/>
  <c r="B522" i="5"/>
  <c r="A522" i="5"/>
  <c r="D521" i="5"/>
  <c r="B521" i="5"/>
  <c r="A521" i="5"/>
  <c r="D520" i="5"/>
  <c r="B520" i="5"/>
  <c r="A520" i="5"/>
  <c r="D519" i="5"/>
  <c r="B519" i="5"/>
  <c r="A519" i="5"/>
  <c r="D518" i="5"/>
  <c r="B518" i="5"/>
  <c r="A518" i="5"/>
  <c r="D517" i="5"/>
  <c r="A517" i="5"/>
  <c r="D516" i="5"/>
  <c r="B516" i="5"/>
  <c r="A516" i="5"/>
  <c r="D515" i="5"/>
  <c r="B515" i="5"/>
  <c r="A515" i="5"/>
  <c r="D514" i="5"/>
  <c r="B514" i="5"/>
  <c r="A514" i="5"/>
  <c r="D513" i="5"/>
  <c r="B513" i="5"/>
  <c r="A513" i="5"/>
  <c r="D512" i="5"/>
  <c r="A512" i="5"/>
  <c r="D511" i="5"/>
  <c r="B511" i="5"/>
  <c r="A511" i="5"/>
  <c r="D510" i="5"/>
  <c r="B510" i="5"/>
  <c r="A510" i="5"/>
  <c r="D509" i="5"/>
  <c r="B509" i="5"/>
  <c r="A509" i="5"/>
  <c r="D508" i="5"/>
  <c r="B508" i="5"/>
  <c r="A508" i="5"/>
  <c r="D507" i="5"/>
  <c r="A507" i="5"/>
  <c r="D506" i="5"/>
  <c r="B506" i="5"/>
  <c r="A506" i="5"/>
  <c r="D505" i="5"/>
  <c r="B505" i="5"/>
  <c r="A505" i="5"/>
  <c r="D504" i="5"/>
  <c r="B504" i="5"/>
  <c r="A504" i="5"/>
  <c r="D503" i="5"/>
  <c r="A503" i="5"/>
  <c r="D502" i="5"/>
  <c r="B502" i="5"/>
  <c r="A502" i="5"/>
  <c r="D501" i="5"/>
  <c r="B501" i="5"/>
  <c r="A501" i="5"/>
  <c r="D500" i="5"/>
  <c r="A500" i="5"/>
  <c r="D499" i="5"/>
  <c r="B499" i="5"/>
  <c r="A499" i="5"/>
  <c r="D498" i="5"/>
  <c r="A498" i="5"/>
  <c r="D497" i="5"/>
  <c r="A497" i="5"/>
  <c r="D496" i="5"/>
  <c r="A496" i="5"/>
  <c r="D495" i="5"/>
  <c r="B495" i="5"/>
  <c r="A495" i="5"/>
  <c r="D494" i="5"/>
  <c r="B494" i="5"/>
  <c r="A494" i="5"/>
  <c r="D493" i="5"/>
  <c r="B493" i="5"/>
  <c r="A493" i="5"/>
  <c r="D492" i="5"/>
  <c r="B492" i="5"/>
  <c r="A492" i="5"/>
  <c r="D491" i="5"/>
  <c r="B491" i="5"/>
  <c r="A491" i="5"/>
  <c r="D490" i="5"/>
  <c r="B490" i="5"/>
  <c r="A490" i="5"/>
  <c r="D489" i="5"/>
  <c r="B489" i="5"/>
  <c r="A489" i="5"/>
  <c r="D488" i="5"/>
  <c r="B488" i="5"/>
  <c r="A488" i="5"/>
  <c r="D487" i="5"/>
  <c r="B487" i="5"/>
  <c r="A487" i="5"/>
  <c r="D486" i="5"/>
  <c r="B486" i="5"/>
  <c r="A486" i="5"/>
  <c r="D485" i="5"/>
  <c r="B485" i="5"/>
  <c r="A485" i="5"/>
  <c r="D484" i="5"/>
  <c r="A484" i="5"/>
  <c r="D483" i="5"/>
  <c r="B483" i="5"/>
  <c r="A483" i="5"/>
  <c r="D482" i="5"/>
  <c r="B482" i="5"/>
  <c r="A482" i="5"/>
  <c r="D481" i="5"/>
  <c r="B481" i="5"/>
  <c r="A481" i="5"/>
  <c r="D480" i="5"/>
  <c r="B480" i="5"/>
  <c r="A480" i="5"/>
  <c r="D479" i="5"/>
  <c r="B479" i="5"/>
  <c r="A479" i="5"/>
  <c r="D478" i="5"/>
  <c r="B478" i="5"/>
  <c r="A478" i="5"/>
  <c r="D477" i="5"/>
  <c r="B477" i="5"/>
  <c r="A477" i="5"/>
  <c r="D476" i="5"/>
  <c r="A476" i="5"/>
  <c r="D475" i="5"/>
  <c r="B475" i="5"/>
  <c r="A475" i="5"/>
  <c r="D474" i="5"/>
  <c r="B474" i="5"/>
  <c r="A474" i="5"/>
  <c r="D473" i="5"/>
  <c r="A473" i="5"/>
  <c r="D472" i="5"/>
  <c r="A472" i="5"/>
  <c r="D471" i="5"/>
  <c r="B471" i="5"/>
  <c r="A471" i="5"/>
  <c r="D470" i="5"/>
  <c r="B470" i="5"/>
  <c r="A470" i="5"/>
  <c r="D469" i="5"/>
  <c r="A469" i="5"/>
  <c r="D468" i="5"/>
  <c r="A468" i="5"/>
  <c r="D467" i="5"/>
  <c r="B467" i="5"/>
  <c r="A467" i="5"/>
  <c r="D466" i="5"/>
  <c r="B466" i="5"/>
  <c r="A466" i="5"/>
  <c r="D465" i="5"/>
  <c r="B465" i="5"/>
  <c r="A465" i="5"/>
  <c r="D464" i="5"/>
  <c r="B464" i="5"/>
  <c r="A464" i="5"/>
  <c r="D463" i="5"/>
  <c r="A463" i="5"/>
  <c r="D462" i="5"/>
  <c r="B462" i="5"/>
  <c r="A462" i="5"/>
  <c r="D461" i="5"/>
  <c r="B461" i="5"/>
  <c r="A461" i="5"/>
  <c r="D460" i="5"/>
  <c r="B460" i="5"/>
  <c r="A460" i="5"/>
  <c r="D459" i="5"/>
  <c r="B459" i="5"/>
  <c r="A459" i="5"/>
  <c r="D458" i="5"/>
  <c r="B458" i="5"/>
  <c r="A458" i="5"/>
  <c r="D457" i="5"/>
  <c r="B457" i="5"/>
  <c r="A457" i="5"/>
  <c r="D456" i="5"/>
  <c r="A456" i="5"/>
  <c r="D455" i="5"/>
  <c r="B455" i="5"/>
  <c r="A455" i="5"/>
  <c r="D454" i="5"/>
  <c r="B454" i="5"/>
  <c r="A454" i="5"/>
  <c r="D453" i="5"/>
  <c r="A453" i="5"/>
  <c r="D452" i="5"/>
  <c r="A452" i="5"/>
  <c r="D451" i="5"/>
  <c r="A451" i="5"/>
  <c r="D450" i="5"/>
  <c r="B450" i="5"/>
  <c r="A450" i="5"/>
  <c r="D449" i="5"/>
  <c r="A449" i="5"/>
  <c r="D448" i="5"/>
  <c r="B448" i="5"/>
  <c r="A448" i="5"/>
  <c r="D447" i="5"/>
  <c r="B447" i="5"/>
  <c r="A447" i="5"/>
  <c r="D446" i="5"/>
  <c r="A446" i="5"/>
  <c r="D445" i="5"/>
  <c r="A445" i="5"/>
  <c r="D444" i="5"/>
  <c r="A444" i="5"/>
  <c r="D443" i="5"/>
  <c r="A443" i="5"/>
  <c r="D442" i="5"/>
  <c r="B442" i="5"/>
  <c r="A442" i="5"/>
  <c r="D441" i="5"/>
  <c r="B441" i="5"/>
  <c r="A441" i="5"/>
  <c r="D440" i="5"/>
  <c r="A440" i="5"/>
  <c r="D439" i="5"/>
  <c r="B439" i="5"/>
  <c r="A439" i="5"/>
  <c r="D438" i="5"/>
  <c r="A438" i="5"/>
  <c r="D437" i="5"/>
  <c r="B437" i="5"/>
  <c r="A437" i="5"/>
  <c r="D436" i="5"/>
  <c r="A436" i="5"/>
  <c r="D435" i="5"/>
  <c r="B435" i="5"/>
  <c r="A435" i="5"/>
  <c r="D434" i="5"/>
  <c r="B434" i="5"/>
  <c r="A434" i="5"/>
  <c r="D433" i="5"/>
  <c r="B433" i="5"/>
  <c r="A433" i="5"/>
  <c r="D432" i="5"/>
  <c r="B432" i="5"/>
  <c r="A432" i="5"/>
  <c r="D431" i="5"/>
  <c r="B431" i="5"/>
  <c r="A431" i="5"/>
  <c r="D430" i="5"/>
  <c r="B430" i="5"/>
  <c r="A430" i="5"/>
  <c r="D429" i="5"/>
  <c r="B429" i="5"/>
  <c r="A429" i="5"/>
  <c r="D428" i="5"/>
  <c r="B428" i="5"/>
  <c r="A428" i="5"/>
  <c r="D427" i="5"/>
  <c r="A427" i="5"/>
  <c r="D426" i="5"/>
  <c r="A426" i="5"/>
  <c r="D425" i="5"/>
  <c r="B425" i="5"/>
  <c r="A425" i="5"/>
  <c r="D424" i="5"/>
  <c r="B424" i="5"/>
  <c r="A424" i="5"/>
  <c r="D423" i="5"/>
  <c r="A423" i="5"/>
  <c r="D422" i="5"/>
  <c r="B422" i="5"/>
  <c r="A422" i="5"/>
  <c r="D421" i="5"/>
  <c r="B421" i="5"/>
  <c r="A421" i="5"/>
  <c r="D420" i="5"/>
  <c r="B420" i="5"/>
  <c r="A420" i="5"/>
  <c r="D419" i="5"/>
  <c r="B419" i="5"/>
  <c r="A419" i="5"/>
  <c r="D418" i="5"/>
  <c r="B418" i="5"/>
  <c r="A418" i="5"/>
  <c r="D417" i="5"/>
  <c r="C417" i="5"/>
  <c r="B417" i="5"/>
  <c r="A417" i="5"/>
  <c r="D416" i="5"/>
  <c r="A416" i="5"/>
  <c r="D415" i="5"/>
  <c r="A415" i="5"/>
  <c r="D414" i="5"/>
  <c r="B414" i="5"/>
  <c r="A414" i="5"/>
  <c r="D413" i="5"/>
  <c r="A413" i="5"/>
  <c r="D412" i="5"/>
  <c r="A412" i="5"/>
  <c r="D411" i="5"/>
  <c r="A411" i="5"/>
  <c r="D410" i="5"/>
  <c r="A410" i="5"/>
  <c r="D409" i="5"/>
  <c r="A409" i="5"/>
  <c r="D408" i="5"/>
  <c r="A408" i="5"/>
  <c r="D407" i="5"/>
  <c r="A407" i="5"/>
  <c r="D406" i="5"/>
  <c r="A406" i="5"/>
  <c r="D405" i="5"/>
  <c r="B405" i="5"/>
  <c r="A405" i="5"/>
  <c r="D404" i="5"/>
  <c r="A404" i="5"/>
  <c r="D403" i="5"/>
  <c r="B403" i="5"/>
  <c r="A403" i="5"/>
  <c r="D402" i="5"/>
  <c r="B402" i="5"/>
  <c r="A402" i="5"/>
  <c r="D401" i="5"/>
  <c r="A401" i="5"/>
  <c r="D400" i="5"/>
  <c r="A400" i="5"/>
  <c r="D399" i="5"/>
  <c r="A399" i="5"/>
  <c r="D398" i="5"/>
  <c r="C398" i="5"/>
  <c r="B398" i="5"/>
  <c r="A398" i="5"/>
  <c r="D397" i="5"/>
  <c r="A397" i="5"/>
  <c r="D396" i="5"/>
  <c r="A396" i="5"/>
  <c r="D395" i="5"/>
  <c r="A395" i="5"/>
  <c r="D394" i="5"/>
  <c r="A394" i="5"/>
  <c r="D393" i="5"/>
  <c r="A393" i="5"/>
  <c r="D392" i="5"/>
  <c r="B392" i="5"/>
  <c r="A392" i="5"/>
  <c r="D391" i="5"/>
  <c r="B391" i="5"/>
  <c r="A391" i="5"/>
  <c r="D390" i="5"/>
  <c r="B390" i="5"/>
  <c r="A390" i="5"/>
  <c r="D389" i="5"/>
  <c r="B389" i="5"/>
  <c r="A389" i="5"/>
  <c r="D388" i="5"/>
  <c r="A388" i="5"/>
  <c r="D387" i="5"/>
  <c r="A387" i="5"/>
  <c r="D386" i="5"/>
  <c r="B386" i="5"/>
  <c r="A386" i="5"/>
  <c r="D385" i="5"/>
  <c r="B385" i="5"/>
  <c r="A385" i="5"/>
  <c r="D384" i="5"/>
  <c r="B384" i="5"/>
  <c r="A384" i="5"/>
  <c r="D383" i="5"/>
  <c r="B383" i="5"/>
  <c r="A383" i="5"/>
  <c r="D382" i="5"/>
  <c r="A382" i="5"/>
  <c r="D381" i="5"/>
  <c r="A381" i="5"/>
  <c r="D380" i="5"/>
  <c r="B380" i="5"/>
  <c r="A380" i="5"/>
  <c r="D379" i="5"/>
  <c r="B379" i="5"/>
  <c r="A379" i="5"/>
  <c r="D378" i="5"/>
  <c r="A378" i="5"/>
  <c r="D377" i="5"/>
  <c r="A377" i="5"/>
  <c r="D376" i="5"/>
  <c r="B376" i="5"/>
  <c r="A376" i="5"/>
  <c r="D375" i="5"/>
  <c r="B375" i="5"/>
  <c r="A375" i="5"/>
  <c r="D374" i="5"/>
  <c r="B374" i="5"/>
  <c r="A374" i="5"/>
  <c r="D373" i="5"/>
  <c r="A373" i="5"/>
  <c r="D372" i="5"/>
  <c r="B372" i="5"/>
  <c r="A372" i="5"/>
  <c r="D371" i="5"/>
  <c r="A371" i="5"/>
  <c r="D370" i="5"/>
  <c r="B370" i="5"/>
  <c r="A370" i="5"/>
  <c r="D369" i="5"/>
  <c r="B369" i="5"/>
  <c r="A369" i="5"/>
  <c r="D368" i="5"/>
  <c r="B368" i="5"/>
  <c r="A368" i="5"/>
  <c r="D367" i="5"/>
  <c r="B367" i="5"/>
  <c r="A367" i="5"/>
  <c r="D366" i="5"/>
  <c r="C366" i="5"/>
  <c r="B366" i="5"/>
  <c r="A366" i="5"/>
  <c r="D365" i="5"/>
  <c r="B365" i="5"/>
  <c r="A365" i="5"/>
  <c r="D364" i="5"/>
  <c r="B364" i="5"/>
  <c r="A364" i="5"/>
  <c r="D363" i="5"/>
  <c r="A363" i="5"/>
  <c r="D362" i="5"/>
  <c r="B362" i="5"/>
  <c r="A362" i="5"/>
  <c r="D361" i="5"/>
  <c r="B361" i="5"/>
  <c r="A361" i="5"/>
  <c r="D360" i="5"/>
  <c r="A360" i="5"/>
  <c r="D359" i="5"/>
  <c r="B359" i="5"/>
  <c r="A359" i="5"/>
  <c r="D358" i="5"/>
  <c r="A358" i="5"/>
  <c r="D357" i="5"/>
  <c r="B357" i="5"/>
  <c r="A357" i="5"/>
  <c r="D356" i="5"/>
  <c r="B356" i="5"/>
  <c r="A356" i="5"/>
  <c r="D355" i="5"/>
  <c r="B355" i="5"/>
  <c r="A355" i="5"/>
  <c r="D354" i="5"/>
  <c r="A354" i="5"/>
  <c r="D353" i="5"/>
  <c r="B353" i="5"/>
  <c r="A353" i="5"/>
  <c r="D352" i="5"/>
  <c r="B352" i="5"/>
  <c r="A352" i="5"/>
  <c r="D351" i="5"/>
  <c r="B351" i="5"/>
  <c r="A351" i="5"/>
  <c r="D350" i="5"/>
  <c r="A350" i="5"/>
  <c r="D349" i="5"/>
  <c r="B349" i="5"/>
  <c r="A349" i="5"/>
  <c r="D348" i="5"/>
  <c r="B348" i="5"/>
  <c r="A348" i="5"/>
  <c r="D347" i="5"/>
  <c r="B347" i="5"/>
  <c r="A347" i="5"/>
  <c r="D346" i="5"/>
  <c r="B346" i="5"/>
  <c r="A346" i="5"/>
  <c r="D345" i="5"/>
  <c r="B345" i="5"/>
  <c r="A345" i="5"/>
  <c r="D344" i="5"/>
  <c r="A344" i="5"/>
  <c r="D343" i="5"/>
  <c r="A343" i="5"/>
  <c r="D342" i="5"/>
  <c r="B342" i="5"/>
  <c r="A342" i="5"/>
  <c r="D341" i="5"/>
  <c r="B341" i="5"/>
  <c r="A341" i="5"/>
  <c r="D340" i="5"/>
  <c r="B340" i="5"/>
  <c r="A340" i="5"/>
  <c r="D339" i="5"/>
  <c r="B339" i="5"/>
  <c r="A339" i="5"/>
  <c r="D338" i="5"/>
  <c r="B338" i="5"/>
  <c r="A338" i="5"/>
  <c r="D337" i="5"/>
  <c r="A337" i="5"/>
  <c r="D336" i="5"/>
  <c r="A336" i="5"/>
  <c r="D335" i="5"/>
  <c r="B335" i="5"/>
  <c r="A335" i="5"/>
  <c r="D334" i="5"/>
  <c r="A334" i="5"/>
  <c r="D333" i="5"/>
  <c r="B333" i="5"/>
  <c r="A333" i="5"/>
  <c r="D332" i="5"/>
  <c r="B332" i="5"/>
  <c r="A332" i="5"/>
  <c r="D331" i="5"/>
  <c r="B331" i="5"/>
  <c r="A331" i="5"/>
  <c r="D330" i="5"/>
  <c r="B330" i="5"/>
  <c r="A330" i="5"/>
  <c r="D329" i="5"/>
  <c r="B329" i="5"/>
  <c r="A329" i="5"/>
  <c r="D328" i="5"/>
  <c r="B328" i="5"/>
  <c r="A328" i="5"/>
  <c r="D327" i="5"/>
  <c r="A327" i="5"/>
  <c r="D326" i="5"/>
  <c r="B326" i="5"/>
  <c r="A326" i="5"/>
  <c r="D325" i="5"/>
  <c r="B325" i="5"/>
  <c r="A325" i="5"/>
  <c r="D324" i="5"/>
  <c r="A324" i="5"/>
  <c r="D323" i="5"/>
  <c r="B323" i="5"/>
  <c r="A323" i="5"/>
  <c r="D322" i="5"/>
  <c r="A322" i="5"/>
  <c r="D321" i="5"/>
  <c r="B321" i="5"/>
  <c r="A321" i="5"/>
  <c r="D320" i="5"/>
  <c r="A320" i="5"/>
  <c r="D319" i="5"/>
  <c r="B319" i="5"/>
  <c r="A319" i="5"/>
  <c r="D318" i="5"/>
  <c r="A318" i="5"/>
  <c r="D317" i="5"/>
  <c r="B317" i="5"/>
  <c r="A317" i="5"/>
  <c r="D316" i="5"/>
  <c r="A316" i="5"/>
  <c r="D315" i="5"/>
  <c r="B315" i="5"/>
  <c r="A315" i="5"/>
  <c r="D314" i="5"/>
  <c r="B314" i="5"/>
  <c r="A314" i="5"/>
  <c r="D313" i="5"/>
  <c r="A313" i="5"/>
  <c r="D312" i="5"/>
  <c r="A312" i="5"/>
  <c r="D311" i="5"/>
  <c r="A311" i="5"/>
  <c r="D310" i="5"/>
  <c r="A310" i="5"/>
  <c r="D309" i="5"/>
  <c r="B309" i="5"/>
  <c r="A309" i="5"/>
  <c r="D308" i="5"/>
  <c r="B308" i="5"/>
  <c r="A308" i="5"/>
  <c r="D307" i="5"/>
  <c r="B307" i="5"/>
  <c r="A307" i="5"/>
  <c r="D306" i="5"/>
  <c r="A306" i="5"/>
  <c r="D305" i="5"/>
  <c r="A305" i="5"/>
  <c r="D304" i="5"/>
  <c r="B304" i="5"/>
  <c r="A304" i="5"/>
  <c r="D303" i="5"/>
  <c r="A303" i="5"/>
  <c r="D302" i="5"/>
  <c r="B302" i="5"/>
  <c r="A302" i="5"/>
  <c r="D301" i="5"/>
  <c r="A301" i="5"/>
  <c r="D300" i="5"/>
  <c r="B300" i="5"/>
  <c r="A300" i="5"/>
  <c r="D299" i="5"/>
  <c r="B299" i="5"/>
  <c r="A299" i="5"/>
  <c r="D298" i="5"/>
  <c r="A298" i="5"/>
  <c r="D297" i="5"/>
  <c r="A297" i="5"/>
  <c r="D296" i="5"/>
  <c r="B296" i="5"/>
  <c r="A296" i="5"/>
  <c r="D295" i="5"/>
  <c r="A295" i="5"/>
  <c r="D294" i="5"/>
  <c r="B294" i="5"/>
  <c r="A294" i="5"/>
  <c r="D293" i="5"/>
  <c r="B293" i="5"/>
  <c r="A293" i="5"/>
  <c r="D292" i="5"/>
  <c r="A292" i="5"/>
  <c r="D291" i="5"/>
  <c r="B291" i="5"/>
  <c r="A291" i="5"/>
  <c r="D290" i="5"/>
  <c r="B290" i="5"/>
  <c r="A290" i="5"/>
  <c r="D289" i="5"/>
  <c r="B289" i="5"/>
  <c r="A289" i="5"/>
  <c r="D288" i="5"/>
  <c r="A288" i="5"/>
  <c r="D287" i="5"/>
  <c r="B287" i="5"/>
  <c r="A287" i="5"/>
  <c r="D286" i="5"/>
  <c r="A286" i="5"/>
  <c r="D285" i="5"/>
  <c r="A285" i="5"/>
  <c r="D284" i="5"/>
  <c r="A284" i="5"/>
  <c r="D283" i="5"/>
  <c r="A283" i="5"/>
  <c r="D282" i="5"/>
  <c r="A282" i="5"/>
  <c r="D281" i="5"/>
  <c r="A281" i="5"/>
  <c r="D280" i="5"/>
  <c r="B280" i="5"/>
  <c r="A280" i="5"/>
  <c r="D279" i="5"/>
  <c r="B279" i="5"/>
  <c r="A279" i="5"/>
  <c r="D278" i="5"/>
  <c r="B278" i="5"/>
  <c r="A278" i="5"/>
  <c r="D277" i="5"/>
  <c r="A277" i="5"/>
  <c r="D276" i="5"/>
  <c r="B276" i="5"/>
  <c r="A276" i="5"/>
  <c r="D275" i="5"/>
  <c r="A275" i="5"/>
  <c r="D274" i="5"/>
  <c r="A274" i="5"/>
  <c r="D273" i="5"/>
  <c r="B273" i="5"/>
  <c r="A273" i="5"/>
  <c r="D272" i="5"/>
  <c r="B272" i="5"/>
  <c r="A272" i="5"/>
  <c r="D271" i="5"/>
  <c r="B271" i="5"/>
  <c r="A271" i="5"/>
  <c r="D270" i="5"/>
  <c r="A270" i="5"/>
  <c r="D269" i="5"/>
  <c r="B269" i="5"/>
  <c r="A269" i="5"/>
  <c r="D268" i="5"/>
  <c r="B268" i="5"/>
  <c r="A268" i="5"/>
  <c r="D267" i="5"/>
  <c r="B267" i="5"/>
  <c r="A267" i="5"/>
  <c r="D266" i="5"/>
  <c r="B266" i="5"/>
  <c r="A266" i="5"/>
  <c r="D265" i="5"/>
  <c r="B265" i="5"/>
  <c r="A265" i="5"/>
  <c r="D264" i="5"/>
  <c r="A264" i="5"/>
  <c r="D263" i="5"/>
  <c r="B263" i="5"/>
  <c r="A263" i="5"/>
  <c r="D262" i="5"/>
  <c r="B262" i="5"/>
  <c r="A262" i="5"/>
  <c r="D261" i="5"/>
  <c r="B261" i="5"/>
  <c r="A261" i="5"/>
  <c r="D260" i="5"/>
  <c r="B260" i="5"/>
  <c r="A260" i="5"/>
  <c r="D259" i="5"/>
  <c r="A259" i="5"/>
  <c r="D258" i="5"/>
  <c r="B258" i="5"/>
  <c r="A258" i="5"/>
  <c r="D257" i="5"/>
  <c r="B257" i="5"/>
  <c r="A257" i="5"/>
  <c r="D256" i="5"/>
  <c r="B256" i="5"/>
  <c r="A256" i="5"/>
  <c r="D255" i="5"/>
  <c r="A255" i="5"/>
  <c r="D254" i="5"/>
  <c r="B254" i="5"/>
  <c r="A254" i="5"/>
  <c r="D253" i="5"/>
  <c r="B253" i="5"/>
  <c r="A253" i="5"/>
  <c r="D252" i="5"/>
  <c r="B252" i="5"/>
  <c r="A252" i="5"/>
  <c r="D251" i="5"/>
  <c r="B251" i="5"/>
  <c r="A251" i="5"/>
  <c r="D250" i="5"/>
  <c r="A250" i="5"/>
  <c r="D249" i="5"/>
  <c r="B249" i="5"/>
  <c r="A249" i="5"/>
  <c r="D248" i="5"/>
  <c r="A248" i="5"/>
  <c r="D247" i="5"/>
  <c r="A247" i="5"/>
  <c r="D246" i="5"/>
  <c r="B246" i="5"/>
  <c r="A246" i="5"/>
  <c r="D245" i="5"/>
  <c r="B245" i="5"/>
  <c r="A245" i="5"/>
  <c r="D244" i="5"/>
  <c r="B244" i="5"/>
  <c r="A244" i="5"/>
  <c r="D243" i="5"/>
  <c r="A243" i="5"/>
  <c r="D242" i="5"/>
  <c r="B242" i="5"/>
  <c r="A242" i="5"/>
  <c r="D241" i="5"/>
  <c r="B241" i="5"/>
  <c r="A241" i="5"/>
  <c r="D240" i="5"/>
  <c r="A240" i="5"/>
  <c r="D239" i="5"/>
  <c r="B239" i="5"/>
  <c r="A239" i="5"/>
  <c r="D238" i="5"/>
  <c r="A238" i="5"/>
  <c r="D237" i="5"/>
  <c r="A237" i="5"/>
  <c r="D236" i="5"/>
  <c r="B236" i="5"/>
  <c r="A236" i="5"/>
  <c r="D235" i="5"/>
  <c r="A235" i="5"/>
  <c r="D234" i="5"/>
  <c r="B234" i="5"/>
  <c r="A234" i="5"/>
  <c r="D233" i="5"/>
  <c r="A233" i="5"/>
  <c r="D232" i="5"/>
  <c r="B232" i="5"/>
  <c r="A232" i="5"/>
  <c r="D231" i="5"/>
  <c r="B231" i="5"/>
  <c r="A231" i="5"/>
  <c r="D230" i="5"/>
  <c r="A230" i="5"/>
  <c r="D229" i="5"/>
  <c r="B229" i="5"/>
  <c r="A229" i="5"/>
  <c r="D228" i="5"/>
  <c r="B228" i="5"/>
  <c r="A228" i="5"/>
  <c r="D227" i="5"/>
  <c r="B227" i="5"/>
  <c r="A227" i="5"/>
  <c r="D226" i="5"/>
  <c r="A226" i="5"/>
  <c r="D225" i="5"/>
  <c r="A225" i="5"/>
  <c r="D224" i="5"/>
  <c r="A224" i="5"/>
  <c r="D223" i="5"/>
  <c r="B223" i="5"/>
  <c r="A223" i="5"/>
  <c r="D222" i="5"/>
  <c r="C222" i="5"/>
  <c r="B222" i="5"/>
  <c r="A222" i="5"/>
  <c r="D221" i="5"/>
  <c r="B221" i="5"/>
  <c r="A221" i="5"/>
  <c r="D220" i="5"/>
  <c r="B220" i="5"/>
  <c r="A220" i="5"/>
  <c r="D219" i="5"/>
  <c r="B219" i="5"/>
  <c r="A219" i="5"/>
  <c r="D218" i="5"/>
  <c r="B218" i="5"/>
  <c r="A218" i="5"/>
  <c r="D217" i="5"/>
  <c r="A217" i="5"/>
  <c r="D216" i="5"/>
  <c r="B216" i="5"/>
  <c r="A216" i="5"/>
  <c r="D215" i="5"/>
  <c r="B215" i="5"/>
  <c r="A215" i="5"/>
  <c r="D214" i="5"/>
  <c r="B214" i="5"/>
  <c r="A214" i="5"/>
  <c r="D213" i="5"/>
  <c r="B213" i="5"/>
  <c r="A213" i="5"/>
  <c r="D212" i="5"/>
  <c r="B212" i="5"/>
  <c r="A212" i="5"/>
  <c r="D211" i="5"/>
  <c r="B211" i="5"/>
  <c r="A211" i="5"/>
  <c r="D210" i="5"/>
  <c r="B210" i="5"/>
  <c r="A210" i="5"/>
  <c r="D209" i="5"/>
  <c r="B209" i="5"/>
  <c r="A209" i="5"/>
  <c r="D208" i="5"/>
  <c r="A208" i="5"/>
  <c r="D207" i="5"/>
  <c r="A207" i="5"/>
  <c r="D206" i="5"/>
  <c r="A206" i="5"/>
  <c r="D205" i="5"/>
  <c r="B205" i="5"/>
  <c r="A205" i="5"/>
  <c r="D204" i="5"/>
  <c r="B204" i="5"/>
  <c r="A204" i="5"/>
  <c r="D203" i="5"/>
  <c r="A203" i="5"/>
  <c r="D202" i="5"/>
  <c r="A202" i="5"/>
  <c r="D201" i="5"/>
  <c r="B201" i="5"/>
  <c r="A201" i="5"/>
  <c r="D200" i="5"/>
  <c r="A200" i="5"/>
  <c r="D199" i="5"/>
  <c r="A199" i="5"/>
  <c r="D198" i="5"/>
  <c r="B198" i="5"/>
  <c r="A198" i="5"/>
  <c r="D197" i="5"/>
  <c r="B197" i="5"/>
  <c r="A197" i="5"/>
  <c r="D196" i="5"/>
  <c r="B196" i="5"/>
  <c r="A196" i="5"/>
  <c r="D195" i="5"/>
  <c r="B195" i="5"/>
  <c r="A195" i="5"/>
  <c r="D194" i="5"/>
  <c r="B194" i="5"/>
  <c r="A194" i="5"/>
  <c r="D193" i="5"/>
  <c r="A193" i="5"/>
  <c r="D192" i="5"/>
  <c r="B192" i="5"/>
  <c r="A192" i="5"/>
  <c r="D191" i="5"/>
  <c r="B191" i="5"/>
  <c r="A191" i="5"/>
  <c r="D190" i="5"/>
  <c r="B190" i="5"/>
  <c r="A190" i="5"/>
  <c r="D189" i="5"/>
  <c r="B189" i="5"/>
  <c r="A189" i="5"/>
  <c r="D188" i="5"/>
  <c r="B188" i="5"/>
  <c r="A188" i="5"/>
  <c r="D187" i="5"/>
  <c r="B187" i="5"/>
  <c r="A187" i="5"/>
  <c r="D186" i="5"/>
  <c r="A186" i="5"/>
  <c r="D185" i="5"/>
  <c r="B185" i="5"/>
  <c r="A185" i="5"/>
  <c r="D184" i="5"/>
  <c r="A184" i="5"/>
  <c r="D183" i="5"/>
  <c r="A183" i="5"/>
  <c r="D182" i="5"/>
  <c r="B182" i="5"/>
  <c r="A182" i="5"/>
  <c r="D181" i="5"/>
  <c r="A181" i="5"/>
  <c r="D180" i="5"/>
  <c r="B180" i="5"/>
  <c r="A180" i="5"/>
  <c r="D179" i="5"/>
  <c r="B179" i="5"/>
  <c r="A179" i="5"/>
  <c r="D178" i="5"/>
  <c r="B178" i="5"/>
  <c r="A178" i="5"/>
  <c r="D177" i="5"/>
  <c r="B177" i="5"/>
  <c r="A177" i="5"/>
  <c r="D176" i="5"/>
  <c r="B176" i="5"/>
  <c r="A176" i="5"/>
  <c r="D175" i="5"/>
  <c r="B175" i="5"/>
  <c r="A175" i="5"/>
  <c r="D174" i="5"/>
  <c r="A174" i="5"/>
  <c r="D173" i="5"/>
  <c r="B173" i="5"/>
  <c r="A173" i="5"/>
  <c r="D172" i="5"/>
  <c r="B172" i="5"/>
  <c r="A172" i="5"/>
  <c r="D171" i="5"/>
  <c r="B171" i="5"/>
  <c r="A171" i="5"/>
  <c r="D170" i="5"/>
  <c r="A170" i="5"/>
  <c r="D169" i="5"/>
  <c r="B169" i="5"/>
  <c r="A169" i="5"/>
  <c r="D168" i="5"/>
  <c r="A168" i="5"/>
  <c r="D167" i="5"/>
  <c r="A167" i="5"/>
  <c r="D166" i="5"/>
  <c r="B166" i="5"/>
  <c r="A166" i="5"/>
  <c r="D165" i="5"/>
  <c r="B165" i="5"/>
  <c r="A165" i="5"/>
  <c r="D164" i="5"/>
  <c r="B164" i="5"/>
  <c r="A164" i="5"/>
  <c r="D163" i="5"/>
  <c r="B163" i="5"/>
  <c r="A163" i="5"/>
  <c r="D162" i="5"/>
  <c r="A162" i="5"/>
  <c r="D161" i="5"/>
  <c r="A161" i="5"/>
  <c r="D160" i="5"/>
  <c r="B160" i="5"/>
  <c r="A160" i="5"/>
  <c r="D159" i="5"/>
  <c r="B159" i="5"/>
  <c r="A159" i="5"/>
  <c r="D158" i="5"/>
  <c r="A158" i="5"/>
  <c r="D157" i="5"/>
  <c r="A157" i="5"/>
  <c r="D156" i="5"/>
  <c r="A156" i="5"/>
  <c r="D155" i="5"/>
  <c r="A155" i="5"/>
  <c r="D154" i="5"/>
  <c r="A154" i="5"/>
  <c r="D153" i="5"/>
  <c r="B153" i="5"/>
  <c r="A153" i="5"/>
  <c r="D152" i="5"/>
  <c r="A152" i="5"/>
  <c r="D151" i="5"/>
  <c r="A151" i="5"/>
  <c r="D150" i="5"/>
  <c r="B150" i="5"/>
  <c r="A150" i="5"/>
  <c r="D149" i="5"/>
  <c r="B149" i="5"/>
  <c r="A149" i="5"/>
  <c r="D148" i="5"/>
  <c r="B148" i="5"/>
  <c r="A148" i="5"/>
  <c r="D147" i="5"/>
  <c r="A147" i="5"/>
  <c r="D146" i="5"/>
  <c r="B146" i="5"/>
  <c r="A146" i="5"/>
  <c r="D145" i="5"/>
  <c r="B145" i="5"/>
  <c r="A145" i="5"/>
  <c r="D144" i="5"/>
  <c r="A144" i="5"/>
  <c r="D143" i="5"/>
  <c r="A143" i="5"/>
  <c r="D142" i="5"/>
  <c r="B142" i="5"/>
  <c r="A142" i="5"/>
  <c r="D141" i="5"/>
  <c r="B141" i="5"/>
  <c r="A141" i="5"/>
  <c r="D140" i="5"/>
  <c r="A140" i="5"/>
  <c r="D139" i="5"/>
  <c r="B139" i="5"/>
  <c r="A139" i="5"/>
  <c r="D138" i="5"/>
  <c r="A138" i="5"/>
  <c r="D137" i="5"/>
  <c r="B137" i="5"/>
  <c r="A137" i="5"/>
  <c r="D136" i="5"/>
  <c r="B136" i="5"/>
  <c r="A136" i="5"/>
  <c r="D135" i="5"/>
  <c r="B135" i="5"/>
  <c r="A135" i="5"/>
  <c r="D134" i="5"/>
  <c r="B134" i="5"/>
  <c r="A134" i="5"/>
  <c r="D133" i="5"/>
  <c r="B133" i="5"/>
  <c r="A133" i="5"/>
  <c r="D132" i="5"/>
  <c r="B132" i="5"/>
  <c r="A132" i="5"/>
  <c r="D131" i="5"/>
  <c r="B131" i="5"/>
  <c r="A131" i="5"/>
  <c r="D130" i="5"/>
  <c r="B130" i="5"/>
  <c r="A130" i="5"/>
  <c r="D129" i="5"/>
  <c r="A129" i="5"/>
  <c r="D128" i="5"/>
  <c r="B128" i="5"/>
  <c r="A128" i="5"/>
  <c r="D127" i="5"/>
  <c r="A127" i="5"/>
  <c r="D126" i="5"/>
  <c r="B126" i="5"/>
  <c r="A126" i="5"/>
  <c r="D125" i="5"/>
  <c r="B125" i="5"/>
  <c r="A125" i="5"/>
  <c r="D124" i="5"/>
  <c r="B124" i="5"/>
  <c r="A124" i="5"/>
  <c r="D123" i="5"/>
  <c r="B123" i="5"/>
  <c r="A123" i="5"/>
  <c r="D122" i="5"/>
  <c r="B122" i="5"/>
  <c r="A122" i="5"/>
  <c r="D121" i="5"/>
  <c r="B121" i="5"/>
  <c r="A121" i="5"/>
  <c r="D120" i="5"/>
  <c r="B120" i="5"/>
  <c r="A120" i="5"/>
  <c r="D119" i="5"/>
  <c r="B119" i="5"/>
  <c r="A119" i="5"/>
  <c r="D118" i="5"/>
  <c r="A118" i="5"/>
  <c r="D117" i="5"/>
  <c r="B117" i="5"/>
  <c r="A117" i="5"/>
  <c r="D116" i="5"/>
  <c r="A116" i="5"/>
  <c r="D115" i="5"/>
  <c r="B115" i="5"/>
  <c r="A115" i="5"/>
  <c r="D114" i="5"/>
  <c r="B114" i="5"/>
  <c r="A114" i="5"/>
  <c r="D113" i="5"/>
  <c r="A113" i="5"/>
  <c r="D112" i="5"/>
  <c r="B112" i="5"/>
  <c r="A112" i="5"/>
  <c r="D111" i="5"/>
  <c r="A111" i="5"/>
  <c r="D110" i="5"/>
  <c r="B110" i="5"/>
  <c r="A110" i="5"/>
  <c r="D109" i="5"/>
  <c r="B109" i="5"/>
  <c r="A109" i="5"/>
  <c r="D108" i="5"/>
  <c r="B108" i="5"/>
  <c r="A108" i="5"/>
  <c r="D107" i="5"/>
  <c r="A107" i="5"/>
  <c r="D106" i="5"/>
  <c r="B106" i="5"/>
  <c r="A106" i="5"/>
  <c r="D105" i="5"/>
  <c r="B105" i="5"/>
  <c r="A105" i="5"/>
  <c r="D104" i="5"/>
  <c r="B104" i="5"/>
  <c r="A104" i="5"/>
  <c r="D103" i="5"/>
  <c r="B103" i="5"/>
  <c r="A103" i="5"/>
  <c r="D102" i="5"/>
  <c r="B102" i="5"/>
  <c r="A102" i="5"/>
  <c r="D101" i="5"/>
  <c r="B101" i="5"/>
  <c r="A101" i="5"/>
  <c r="D100" i="5"/>
  <c r="B100" i="5"/>
  <c r="A100" i="5"/>
  <c r="D99" i="5"/>
  <c r="B99" i="5"/>
  <c r="A99" i="5"/>
  <c r="D98" i="5"/>
  <c r="B98" i="5"/>
  <c r="A98" i="5"/>
  <c r="D97" i="5"/>
  <c r="B97" i="5"/>
  <c r="A97" i="5"/>
  <c r="D96" i="5"/>
  <c r="A96" i="5"/>
  <c r="D95" i="5"/>
  <c r="A95" i="5"/>
  <c r="D94" i="5"/>
  <c r="B94" i="5"/>
  <c r="A94" i="5"/>
  <c r="D93" i="5"/>
  <c r="B93" i="5"/>
  <c r="A93" i="5"/>
  <c r="D92" i="5"/>
  <c r="A92" i="5"/>
  <c r="D91" i="5"/>
  <c r="B91" i="5"/>
  <c r="A91" i="5"/>
  <c r="D90" i="5"/>
  <c r="B90" i="5"/>
  <c r="A90" i="5"/>
  <c r="D89" i="5"/>
  <c r="A89" i="5"/>
  <c r="D88" i="5"/>
  <c r="C88" i="5"/>
  <c r="B88" i="5"/>
  <c r="A88" i="5"/>
  <c r="D87" i="5"/>
  <c r="A87" i="5"/>
  <c r="D86" i="5"/>
  <c r="B86" i="5"/>
  <c r="A86" i="5"/>
  <c r="D85" i="5"/>
  <c r="B85" i="5"/>
  <c r="A85" i="5"/>
  <c r="D84" i="5"/>
  <c r="B84" i="5"/>
  <c r="A84" i="5"/>
  <c r="D83" i="5"/>
  <c r="B83" i="5"/>
  <c r="A83" i="5"/>
  <c r="D82" i="5"/>
  <c r="B82" i="5"/>
  <c r="A82" i="5"/>
  <c r="D81" i="5"/>
  <c r="A81" i="5"/>
  <c r="D80" i="5"/>
  <c r="A80" i="5"/>
  <c r="D79" i="5"/>
  <c r="A79" i="5"/>
  <c r="D78" i="5"/>
  <c r="B78" i="5"/>
  <c r="A78" i="5"/>
  <c r="D77" i="5"/>
  <c r="B77" i="5"/>
  <c r="A77" i="5"/>
  <c r="D76" i="5"/>
  <c r="B76" i="5"/>
  <c r="A76" i="5"/>
  <c r="D75" i="5"/>
  <c r="A75" i="5"/>
  <c r="D74" i="5"/>
  <c r="A74" i="5"/>
  <c r="D73" i="5"/>
  <c r="B73" i="5"/>
  <c r="A73" i="5"/>
  <c r="D72" i="5"/>
  <c r="A72" i="5"/>
  <c r="D71" i="5"/>
  <c r="B71" i="5"/>
  <c r="A71" i="5"/>
  <c r="D70" i="5"/>
  <c r="B70" i="5"/>
  <c r="A70" i="5"/>
  <c r="D69" i="5"/>
  <c r="B69" i="5"/>
  <c r="A69" i="5"/>
  <c r="D68" i="5"/>
  <c r="B68" i="5"/>
  <c r="A68" i="5"/>
  <c r="D67" i="5"/>
  <c r="A67" i="5"/>
  <c r="D66" i="5"/>
  <c r="B66" i="5"/>
  <c r="A66" i="5"/>
  <c r="D65" i="5"/>
  <c r="B65" i="5"/>
  <c r="A65" i="5"/>
  <c r="D64" i="5"/>
  <c r="B64" i="5"/>
  <c r="A64" i="5"/>
  <c r="D63" i="5"/>
  <c r="B63" i="5"/>
  <c r="A63" i="5"/>
  <c r="D62" i="5"/>
  <c r="B62" i="5"/>
  <c r="A62" i="5"/>
  <c r="D61" i="5"/>
  <c r="A61" i="5"/>
  <c r="D60" i="5"/>
  <c r="B60" i="5"/>
  <c r="A60" i="5"/>
  <c r="D59" i="5"/>
  <c r="A59" i="5"/>
  <c r="D58" i="5"/>
  <c r="B58" i="5"/>
  <c r="A58" i="5"/>
  <c r="D57" i="5"/>
  <c r="B57" i="5"/>
  <c r="A57" i="5"/>
  <c r="D56" i="5"/>
  <c r="B56" i="5"/>
  <c r="A56" i="5"/>
  <c r="D55" i="5"/>
  <c r="B55" i="5"/>
  <c r="A55" i="5"/>
  <c r="D54" i="5"/>
  <c r="B54" i="5"/>
  <c r="A54" i="5"/>
  <c r="D53" i="5"/>
  <c r="B53" i="5"/>
  <c r="A53" i="5"/>
  <c r="D52" i="5"/>
  <c r="B52" i="5"/>
  <c r="A52" i="5"/>
  <c r="D51" i="5"/>
  <c r="A51" i="5"/>
  <c r="D50" i="5"/>
  <c r="B50" i="5"/>
  <c r="A50" i="5"/>
  <c r="D49" i="5"/>
  <c r="A49" i="5"/>
  <c r="D48" i="5"/>
  <c r="B48" i="5"/>
  <c r="A48" i="5"/>
  <c r="D47" i="5"/>
  <c r="B47" i="5"/>
  <c r="A47" i="5"/>
  <c r="D46" i="5"/>
  <c r="B46" i="5"/>
  <c r="A46" i="5"/>
  <c r="D45" i="5"/>
  <c r="B45" i="5"/>
  <c r="A45" i="5"/>
  <c r="D44" i="5"/>
  <c r="C44" i="5"/>
  <c r="B44" i="5"/>
  <c r="A44" i="5"/>
  <c r="D43" i="5"/>
  <c r="B43" i="5"/>
  <c r="A43" i="5"/>
  <c r="D42" i="5"/>
  <c r="A42" i="5"/>
  <c r="D41" i="5"/>
  <c r="B41" i="5"/>
  <c r="A41" i="5"/>
  <c r="D40" i="5"/>
  <c r="A40" i="5"/>
  <c r="D39" i="5"/>
  <c r="B39" i="5"/>
  <c r="A39" i="5"/>
  <c r="D38" i="5"/>
  <c r="B38" i="5"/>
  <c r="A38" i="5"/>
  <c r="D37" i="5"/>
  <c r="B37" i="5"/>
  <c r="A37" i="5"/>
  <c r="D36" i="5"/>
  <c r="B36" i="5"/>
  <c r="A36" i="5"/>
  <c r="D35" i="5"/>
  <c r="A35" i="5"/>
  <c r="D34" i="5"/>
  <c r="B34" i="5"/>
  <c r="A34" i="5"/>
  <c r="D33" i="5"/>
  <c r="B33" i="5"/>
  <c r="A33" i="5"/>
  <c r="D32" i="5"/>
  <c r="B32" i="5"/>
  <c r="A32" i="5"/>
  <c r="D31" i="5"/>
  <c r="B31" i="5"/>
  <c r="A31" i="5"/>
  <c r="D30" i="5"/>
  <c r="B30" i="5"/>
  <c r="A30" i="5"/>
  <c r="D29" i="5"/>
  <c r="B29" i="5"/>
  <c r="A29" i="5"/>
  <c r="D28" i="5"/>
  <c r="B28" i="5"/>
  <c r="A28" i="5"/>
  <c r="D27" i="5"/>
  <c r="B27" i="5"/>
  <c r="A27" i="5"/>
  <c r="D26" i="5"/>
  <c r="B26" i="5"/>
  <c r="A26" i="5"/>
  <c r="D25" i="5"/>
  <c r="A25" i="5"/>
  <c r="D24" i="5"/>
  <c r="B24" i="5"/>
  <c r="A24" i="5"/>
  <c r="D23" i="5"/>
  <c r="A23" i="5"/>
  <c r="D22" i="5"/>
  <c r="A22" i="5"/>
  <c r="D21" i="5"/>
  <c r="A21" i="5"/>
  <c r="D20" i="5"/>
  <c r="B20" i="5"/>
  <c r="A20" i="5"/>
  <c r="D19" i="5"/>
  <c r="A19" i="5"/>
  <c r="D18" i="5"/>
  <c r="B18" i="5"/>
  <c r="A18" i="5"/>
  <c r="D17" i="5"/>
  <c r="A17" i="5"/>
  <c r="D16" i="5"/>
  <c r="B16" i="5"/>
  <c r="A16" i="5"/>
  <c r="D15" i="5"/>
  <c r="B15" i="5"/>
  <c r="A15" i="5"/>
  <c r="D14" i="5"/>
  <c r="B14" i="5"/>
  <c r="A14" i="5"/>
  <c r="D13" i="5"/>
  <c r="B13" i="5"/>
  <c r="A13" i="5"/>
  <c r="D12" i="5"/>
  <c r="B12" i="5"/>
  <c r="A12" i="5"/>
  <c r="D11" i="5"/>
  <c r="B11" i="5"/>
  <c r="A11" i="5"/>
  <c r="D10" i="5"/>
  <c r="B10" i="5"/>
  <c r="A10" i="5"/>
  <c r="D9" i="5"/>
  <c r="B9" i="5"/>
  <c r="A9" i="5"/>
  <c r="D8" i="5"/>
  <c r="B8" i="5"/>
  <c r="A8" i="5"/>
  <c r="D7" i="5"/>
  <c r="B7" i="5"/>
  <c r="A7" i="5"/>
  <c r="D6" i="5"/>
  <c r="B6" i="5"/>
  <c r="A6" i="5"/>
  <c r="D5" i="5"/>
  <c r="B5" i="5"/>
  <c r="A5" i="5"/>
  <c r="D4" i="5"/>
  <c r="B4" i="5"/>
  <c r="A4" i="5"/>
  <c r="D3" i="5"/>
  <c r="B3" i="5"/>
  <c r="A3" i="5"/>
  <c r="D2686" i="4"/>
  <c r="A2686" i="4"/>
  <c r="D2685" i="4"/>
  <c r="B2685" i="4"/>
  <c r="A2685" i="4"/>
  <c r="D2684" i="4"/>
  <c r="A2684" i="4"/>
  <c r="D2683" i="4"/>
  <c r="A2683" i="4"/>
  <c r="D2682" i="4"/>
  <c r="B2682" i="4"/>
  <c r="A2682" i="4"/>
  <c r="D2681" i="4"/>
  <c r="B2681" i="4"/>
  <c r="A2681" i="4"/>
  <c r="D2680" i="4"/>
  <c r="B2680" i="4"/>
  <c r="A2680" i="4"/>
  <c r="D2679" i="4"/>
  <c r="B2679" i="4"/>
  <c r="A2679" i="4"/>
  <c r="D2678" i="4"/>
  <c r="B2678" i="4"/>
  <c r="A2678" i="4"/>
  <c r="D2677" i="4"/>
  <c r="B2677" i="4"/>
  <c r="A2677" i="4"/>
  <c r="D2676" i="4"/>
  <c r="B2676" i="4"/>
  <c r="A2676" i="4"/>
  <c r="D2675" i="4"/>
  <c r="C2675" i="4"/>
  <c r="B2675" i="4"/>
  <c r="A2675" i="4"/>
  <c r="D2674" i="4"/>
  <c r="B2674" i="4"/>
  <c r="A2674" i="4"/>
  <c r="D2673" i="4"/>
  <c r="B2673" i="4"/>
  <c r="A2673" i="4"/>
  <c r="D2672" i="4"/>
  <c r="B2672" i="4"/>
  <c r="A2672" i="4"/>
  <c r="D2671" i="4"/>
  <c r="B2671" i="4"/>
  <c r="A2671" i="4"/>
  <c r="D2670" i="4"/>
  <c r="B2670" i="4"/>
  <c r="A2670" i="4"/>
  <c r="D2669" i="4"/>
  <c r="B2669" i="4"/>
  <c r="A2669" i="4"/>
  <c r="D2668" i="4"/>
  <c r="A2668" i="4"/>
  <c r="D2667" i="4"/>
  <c r="B2667" i="4"/>
  <c r="A2667" i="4"/>
  <c r="D2666" i="4"/>
  <c r="A2666" i="4"/>
  <c r="D2665" i="4"/>
  <c r="A2665" i="4"/>
  <c r="D2664" i="4"/>
  <c r="A2664" i="4"/>
  <c r="D2663" i="4"/>
  <c r="B2663" i="4"/>
  <c r="A2663" i="4"/>
  <c r="D2662" i="4"/>
  <c r="C2662" i="4"/>
  <c r="B2662" i="4"/>
  <c r="A2662" i="4"/>
  <c r="D2661" i="4"/>
  <c r="B2661" i="4"/>
  <c r="A2661" i="4"/>
  <c r="D2660" i="4"/>
  <c r="B2660" i="4"/>
  <c r="A2660" i="4"/>
  <c r="D2659" i="4"/>
  <c r="B2659" i="4"/>
  <c r="A2659" i="4"/>
  <c r="D2658" i="4"/>
  <c r="B2658" i="4"/>
  <c r="A2658" i="4"/>
  <c r="D2657" i="4"/>
  <c r="A2657" i="4"/>
  <c r="D2656" i="4"/>
  <c r="B2656" i="4"/>
  <c r="A2656" i="4"/>
  <c r="D2655" i="4"/>
  <c r="B2655" i="4"/>
  <c r="A2655" i="4"/>
  <c r="D2654" i="4"/>
  <c r="B2654" i="4"/>
  <c r="A2654" i="4"/>
  <c r="D2653" i="4"/>
  <c r="B2653" i="4"/>
  <c r="A2653" i="4"/>
  <c r="D2652" i="4"/>
  <c r="B2652" i="4"/>
  <c r="A2652" i="4"/>
  <c r="D2651" i="4"/>
  <c r="B2651" i="4"/>
  <c r="A2651" i="4"/>
  <c r="D2650" i="4"/>
  <c r="A2650" i="4"/>
  <c r="D2649" i="4"/>
  <c r="C2649" i="4"/>
  <c r="B2649" i="4"/>
  <c r="A2649" i="4"/>
  <c r="D2648" i="4"/>
  <c r="B2648" i="4"/>
  <c r="A2648" i="4"/>
  <c r="D2647" i="4"/>
  <c r="B2647" i="4"/>
  <c r="A2647" i="4"/>
  <c r="D2646" i="4"/>
  <c r="B2646" i="4"/>
  <c r="A2646" i="4"/>
  <c r="D2645" i="4"/>
  <c r="B2645" i="4"/>
  <c r="A2645" i="4"/>
  <c r="D2644" i="4"/>
  <c r="A2644" i="4"/>
  <c r="D2643" i="4"/>
  <c r="B2643" i="4"/>
  <c r="A2643" i="4"/>
  <c r="D2642" i="4"/>
  <c r="B2642" i="4"/>
  <c r="A2642" i="4"/>
  <c r="D2641" i="4"/>
  <c r="B2641" i="4"/>
  <c r="A2641" i="4"/>
  <c r="D2640" i="4"/>
  <c r="C2640" i="4"/>
  <c r="B2640" i="4"/>
  <c r="A2640" i="4"/>
  <c r="D2639" i="4"/>
  <c r="B2639" i="4"/>
  <c r="A2639" i="4"/>
  <c r="D2638" i="4"/>
  <c r="B2638" i="4"/>
  <c r="A2638" i="4"/>
  <c r="D2637" i="4"/>
  <c r="B2637" i="4"/>
  <c r="A2637" i="4"/>
  <c r="D2636" i="4"/>
  <c r="A2636" i="4"/>
  <c r="D2635" i="4"/>
  <c r="A2635" i="4"/>
  <c r="D2634" i="4"/>
  <c r="A2634" i="4"/>
  <c r="D2633" i="4"/>
  <c r="B2633" i="4"/>
  <c r="A2633" i="4"/>
  <c r="D2632" i="4"/>
  <c r="A2632" i="4"/>
  <c r="D2631" i="4"/>
  <c r="B2631" i="4"/>
  <c r="A2631" i="4"/>
  <c r="D2630" i="4"/>
  <c r="B2630" i="4"/>
  <c r="A2630" i="4"/>
  <c r="D2629" i="4"/>
  <c r="A2629" i="4"/>
  <c r="D2628" i="4"/>
  <c r="B2628" i="4"/>
  <c r="A2628" i="4"/>
  <c r="D2627" i="4"/>
  <c r="C2627" i="4"/>
  <c r="B2627" i="4"/>
  <c r="A2627" i="4"/>
  <c r="D2626" i="4"/>
  <c r="C2626" i="4"/>
  <c r="B2626" i="4"/>
  <c r="A2626" i="4"/>
  <c r="D2625" i="4"/>
  <c r="B2625" i="4"/>
  <c r="A2625" i="4"/>
  <c r="D2624" i="4"/>
  <c r="B2624" i="4"/>
  <c r="A2624" i="4"/>
  <c r="D2623" i="4"/>
  <c r="B2623" i="4"/>
  <c r="A2623" i="4"/>
  <c r="D2622" i="4"/>
  <c r="B2622" i="4"/>
  <c r="A2622" i="4"/>
  <c r="D2621" i="4"/>
  <c r="B2621" i="4"/>
  <c r="A2621" i="4"/>
  <c r="D2620" i="4"/>
  <c r="B2620" i="4"/>
  <c r="A2620" i="4"/>
  <c r="D2619" i="4"/>
  <c r="B2619" i="4"/>
  <c r="A2619" i="4"/>
  <c r="D2618" i="4"/>
  <c r="C2618" i="4"/>
  <c r="B2618" i="4"/>
  <c r="A2618" i="4"/>
  <c r="D2617" i="4"/>
  <c r="B2617" i="4"/>
  <c r="A2617" i="4"/>
  <c r="D2616" i="4"/>
  <c r="B2616" i="4"/>
  <c r="A2616" i="4"/>
  <c r="D2615" i="4"/>
  <c r="B2615" i="4"/>
  <c r="A2615" i="4"/>
  <c r="D2614" i="4"/>
  <c r="A2614" i="4"/>
  <c r="D2613" i="4"/>
  <c r="B2613" i="4"/>
  <c r="A2613" i="4"/>
  <c r="D2612" i="4"/>
  <c r="B2612" i="4"/>
  <c r="A2612" i="4"/>
  <c r="D2611" i="4"/>
  <c r="B2611" i="4"/>
  <c r="A2611" i="4"/>
  <c r="D2610" i="4"/>
  <c r="B2610" i="4"/>
  <c r="A2610" i="4"/>
  <c r="D2609" i="4"/>
  <c r="B2609" i="4"/>
  <c r="A2609" i="4"/>
  <c r="D2608" i="4"/>
  <c r="B2608" i="4"/>
  <c r="A2608" i="4"/>
  <c r="D2607" i="4"/>
  <c r="A2607" i="4"/>
  <c r="D2606" i="4"/>
  <c r="B2606" i="4"/>
  <c r="A2606" i="4"/>
  <c r="D2605" i="4"/>
  <c r="B2605" i="4"/>
  <c r="A2605" i="4"/>
  <c r="D2604" i="4"/>
  <c r="B2604" i="4"/>
  <c r="A2604" i="4"/>
  <c r="D2603" i="4"/>
  <c r="A2603" i="4"/>
  <c r="D2602" i="4"/>
  <c r="A2602" i="4"/>
  <c r="D2601" i="4"/>
  <c r="B2601" i="4"/>
  <c r="A2601" i="4"/>
  <c r="D2600" i="4"/>
  <c r="B2600" i="4"/>
  <c r="A2600" i="4"/>
  <c r="D2599" i="4"/>
  <c r="B2599" i="4"/>
  <c r="A2599" i="4"/>
  <c r="D2598" i="4"/>
  <c r="B2598" i="4"/>
  <c r="A2598" i="4"/>
  <c r="D2597" i="4"/>
  <c r="B2597" i="4"/>
  <c r="A2597" i="4"/>
  <c r="D2596" i="4"/>
  <c r="A2596" i="4"/>
  <c r="D2595" i="4"/>
  <c r="A2595" i="4"/>
  <c r="D2594" i="4"/>
  <c r="B2594" i="4"/>
  <c r="A2594" i="4"/>
  <c r="D2593" i="4"/>
  <c r="B2593" i="4"/>
  <c r="A2593" i="4"/>
  <c r="D2592" i="4"/>
  <c r="B2592" i="4"/>
  <c r="A2592" i="4"/>
  <c r="D2591" i="4"/>
  <c r="B2591" i="4"/>
  <c r="A2591" i="4"/>
  <c r="D2590" i="4"/>
  <c r="B2590" i="4"/>
  <c r="A2590" i="4"/>
  <c r="D2589" i="4"/>
  <c r="C2589" i="4"/>
  <c r="B2589" i="4"/>
  <c r="A2589" i="4"/>
  <c r="D2588" i="4"/>
  <c r="B2588" i="4"/>
  <c r="A2588" i="4"/>
  <c r="D2587" i="4"/>
  <c r="B2587" i="4"/>
  <c r="A2587" i="4"/>
  <c r="D2586" i="4"/>
  <c r="B2586" i="4"/>
  <c r="A2586" i="4"/>
  <c r="D2585" i="4"/>
  <c r="B2585" i="4"/>
  <c r="A2585" i="4"/>
  <c r="D2584" i="4"/>
  <c r="B2584" i="4"/>
  <c r="A2584" i="4"/>
  <c r="D2583" i="4"/>
  <c r="B2583" i="4"/>
  <c r="A2583" i="4"/>
  <c r="D2582" i="4"/>
  <c r="A2582" i="4"/>
  <c r="D2581" i="4"/>
  <c r="B2581" i="4"/>
  <c r="A2581" i="4"/>
  <c r="D2580" i="4"/>
  <c r="B2580" i="4"/>
  <c r="A2580" i="4"/>
  <c r="D2579" i="4"/>
  <c r="B2579" i="4"/>
  <c r="A2579" i="4"/>
  <c r="D2578" i="4"/>
  <c r="B2578" i="4"/>
  <c r="A2578" i="4"/>
  <c r="D2577" i="4"/>
  <c r="B2577" i="4"/>
  <c r="A2577" i="4"/>
  <c r="D2576" i="4"/>
  <c r="B2576" i="4"/>
  <c r="A2576" i="4"/>
  <c r="D2575" i="4"/>
  <c r="B2575" i="4"/>
  <c r="A2575" i="4"/>
  <c r="D2574" i="4"/>
  <c r="B2574" i="4"/>
  <c r="A2574" i="4"/>
  <c r="D2573" i="4"/>
  <c r="B2573" i="4"/>
  <c r="A2573" i="4"/>
  <c r="D2572" i="4"/>
  <c r="A2572" i="4"/>
  <c r="D2571" i="4"/>
  <c r="B2571" i="4"/>
  <c r="A2571" i="4"/>
  <c r="D2570" i="4"/>
  <c r="B2570" i="4"/>
  <c r="A2570" i="4"/>
  <c r="D2569" i="4"/>
  <c r="B2569" i="4"/>
  <c r="A2569" i="4"/>
  <c r="D2568" i="4"/>
  <c r="B2568" i="4"/>
  <c r="A2568" i="4"/>
  <c r="D2567" i="4"/>
  <c r="C2567" i="4"/>
  <c r="B2567" i="4"/>
  <c r="A2567" i="4"/>
  <c r="D2566" i="4"/>
  <c r="A2566" i="4"/>
  <c r="D2565" i="4"/>
  <c r="B2565" i="4"/>
  <c r="A2565" i="4"/>
  <c r="D2564" i="4"/>
  <c r="B2564" i="4"/>
  <c r="A2564" i="4"/>
  <c r="D2563" i="4"/>
  <c r="B2563" i="4"/>
  <c r="A2563" i="4"/>
  <c r="D2562" i="4"/>
  <c r="A2562" i="4"/>
  <c r="D2561" i="4"/>
  <c r="B2561" i="4"/>
  <c r="A2561" i="4"/>
  <c r="D2560" i="4"/>
  <c r="A2560" i="4"/>
  <c r="D2559" i="4"/>
  <c r="C2559" i="4"/>
  <c r="B2559" i="4"/>
  <c r="A2559" i="4"/>
  <c r="D2558" i="4"/>
  <c r="B2558" i="4"/>
  <c r="A2558" i="4"/>
  <c r="D2557" i="4"/>
  <c r="B2557" i="4"/>
  <c r="A2557" i="4"/>
  <c r="D2556" i="4"/>
  <c r="B2556" i="4"/>
  <c r="A2556" i="4"/>
  <c r="D2555" i="4"/>
  <c r="A2555" i="4"/>
  <c r="D2554" i="4"/>
  <c r="C2554" i="4"/>
  <c r="B2554" i="4"/>
  <c r="A2554" i="4"/>
  <c r="D2553" i="4"/>
  <c r="B2553" i="4"/>
  <c r="A2553" i="4"/>
  <c r="D2552" i="4"/>
  <c r="B2552" i="4"/>
  <c r="A2552" i="4"/>
  <c r="D2551" i="4"/>
  <c r="B2551" i="4"/>
  <c r="A2551" i="4"/>
  <c r="D2550" i="4"/>
  <c r="A2550" i="4"/>
  <c r="D2549" i="4"/>
  <c r="B2549" i="4"/>
  <c r="A2549" i="4"/>
  <c r="D2548" i="4"/>
  <c r="B2548" i="4"/>
  <c r="A2548" i="4"/>
  <c r="D2547" i="4"/>
  <c r="B2547" i="4"/>
  <c r="A2547" i="4"/>
  <c r="D2546" i="4"/>
  <c r="B2546" i="4"/>
  <c r="A2546" i="4"/>
  <c r="D2545" i="4"/>
  <c r="A2545" i="4"/>
  <c r="D2544" i="4"/>
  <c r="B2544" i="4"/>
  <c r="A2544" i="4"/>
  <c r="D2543" i="4"/>
  <c r="A2543" i="4"/>
  <c r="D2542" i="4"/>
  <c r="C2542" i="4"/>
  <c r="B2542" i="4"/>
  <c r="A2542" i="4"/>
  <c r="D2541" i="4"/>
  <c r="B2541" i="4"/>
  <c r="A2541" i="4"/>
  <c r="D2540" i="4"/>
  <c r="B2540" i="4"/>
  <c r="A2540" i="4"/>
  <c r="D2539" i="4"/>
  <c r="B2539" i="4"/>
  <c r="A2539" i="4"/>
  <c r="D2538" i="4"/>
  <c r="A2538" i="4"/>
  <c r="D2537" i="4"/>
  <c r="A2537" i="4"/>
  <c r="D2536" i="4"/>
  <c r="A2536" i="4"/>
  <c r="D2535" i="4"/>
  <c r="B2535" i="4"/>
  <c r="A2535" i="4"/>
  <c r="D2534" i="4"/>
  <c r="B2534" i="4"/>
  <c r="A2534" i="4"/>
  <c r="D2533" i="4"/>
  <c r="B2533" i="4"/>
  <c r="A2533" i="4"/>
  <c r="D2532" i="4"/>
  <c r="A2532" i="4"/>
  <c r="D2531" i="4"/>
  <c r="C2531" i="4"/>
  <c r="B2531" i="4"/>
  <c r="A2531" i="4"/>
  <c r="D2530" i="4"/>
  <c r="B2530" i="4"/>
  <c r="A2530" i="4"/>
  <c r="D2529" i="4"/>
  <c r="C2529" i="4"/>
  <c r="B2529" i="4"/>
  <c r="A2529" i="4"/>
  <c r="D2528" i="4"/>
  <c r="B2528" i="4"/>
  <c r="A2528" i="4"/>
  <c r="D2527" i="4"/>
  <c r="B2527" i="4"/>
  <c r="A2527" i="4"/>
  <c r="D2526" i="4"/>
  <c r="B2526" i="4"/>
  <c r="A2526" i="4"/>
  <c r="D2525" i="4"/>
  <c r="B2525" i="4"/>
  <c r="A2525" i="4"/>
  <c r="D2524" i="4"/>
  <c r="B2524" i="4"/>
  <c r="A2524" i="4"/>
  <c r="D2523" i="4"/>
  <c r="B2523" i="4"/>
  <c r="A2523" i="4"/>
  <c r="D2522" i="4"/>
  <c r="B2522" i="4"/>
  <c r="A2522" i="4"/>
  <c r="D2521" i="4"/>
  <c r="B2521" i="4"/>
  <c r="A2521" i="4"/>
  <c r="D2520" i="4"/>
  <c r="B2520" i="4"/>
  <c r="A2520" i="4"/>
  <c r="D2519" i="4"/>
  <c r="B2519" i="4"/>
  <c r="A2519" i="4"/>
  <c r="D2518" i="4"/>
  <c r="B2518" i="4"/>
  <c r="A2518" i="4"/>
  <c r="D2517" i="4"/>
  <c r="A2517" i="4"/>
  <c r="D2516" i="4"/>
  <c r="A2516" i="4"/>
  <c r="D2515" i="4"/>
  <c r="B2515" i="4"/>
  <c r="A2515" i="4"/>
  <c r="D2514" i="4"/>
  <c r="C2514" i="4"/>
  <c r="B2514" i="4"/>
  <c r="A2514" i="4"/>
  <c r="D2513" i="4"/>
  <c r="B2513" i="4"/>
  <c r="A2513" i="4"/>
  <c r="D2512" i="4"/>
  <c r="B2512" i="4"/>
  <c r="A2512" i="4"/>
  <c r="D2511" i="4"/>
  <c r="B2511" i="4"/>
  <c r="A2511" i="4"/>
  <c r="D2510" i="4"/>
  <c r="B2510" i="4"/>
  <c r="A2510" i="4"/>
  <c r="D2509" i="4"/>
  <c r="B2509" i="4"/>
  <c r="A2509" i="4"/>
  <c r="D2508" i="4"/>
  <c r="B2508" i="4"/>
  <c r="A2508" i="4"/>
  <c r="D2507" i="4"/>
  <c r="B2507" i="4"/>
  <c r="A2507" i="4"/>
  <c r="D2506" i="4"/>
  <c r="B2506" i="4"/>
  <c r="A2506" i="4"/>
  <c r="D2505" i="4"/>
  <c r="A2505" i="4"/>
  <c r="D2504" i="4"/>
  <c r="B2504" i="4"/>
  <c r="A2504" i="4"/>
  <c r="D2503" i="4"/>
  <c r="C2503" i="4"/>
  <c r="B2503" i="4"/>
  <c r="A2503" i="4"/>
  <c r="D2502" i="4"/>
  <c r="B2502" i="4"/>
  <c r="A2502" i="4"/>
  <c r="D2501" i="4"/>
  <c r="B2501" i="4"/>
  <c r="A2501" i="4"/>
  <c r="D2500" i="4"/>
  <c r="B2500" i="4"/>
  <c r="A2500" i="4"/>
  <c r="D2499" i="4"/>
  <c r="B2499" i="4"/>
  <c r="A2499" i="4"/>
  <c r="D2498" i="4"/>
  <c r="B2498" i="4"/>
  <c r="A2498" i="4"/>
  <c r="D2497" i="4"/>
  <c r="B2497" i="4"/>
  <c r="A2497" i="4"/>
  <c r="D2496" i="4"/>
  <c r="B2496" i="4"/>
  <c r="A2496" i="4"/>
  <c r="D2495" i="4"/>
  <c r="B2495" i="4"/>
  <c r="A2495" i="4"/>
  <c r="D2494" i="4"/>
  <c r="B2494" i="4"/>
  <c r="A2494" i="4"/>
  <c r="D2493" i="4"/>
  <c r="B2493" i="4"/>
  <c r="A2493" i="4"/>
  <c r="D2492" i="4"/>
  <c r="B2492" i="4"/>
  <c r="A2492" i="4"/>
  <c r="D2491" i="4"/>
  <c r="A2491" i="4"/>
  <c r="D2490" i="4"/>
  <c r="B2490" i="4"/>
  <c r="A2490" i="4"/>
  <c r="D2489" i="4"/>
  <c r="B2489" i="4"/>
  <c r="A2489" i="4"/>
  <c r="D2488" i="4"/>
  <c r="B2488" i="4"/>
  <c r="A2488" i="4"/>
  <c r="D2487" i="4"/>
  <c r="B2487" i="4"/>
  <c r="A2487" i="4"/>
  <c r="D2486" i="4"/>
  <c r="B2486" i="4"/>
  <c r="A2486" i="4"/>
  <c r="D2485" i="4"/>
  <c r="A2485" i="4"/>
  <c r="D2484" i="4"/>
  <c r="B2484" i="4"/>
  <c r="A2484" i="4"/>
  <c r="D2483" i="4"/>
  <c r="B2483" i="4"/>
  <c r="A2483" i="4"/>
  <c r="D2482" i="4"/>
  <c r="B2482" i="4"/>
  <c r="A2482" i="4"/>
  <c r="D2481" i="4"/>
  <c r="A2481" i="4"/>
  <c r="D2480" i="4"/>
  <c r="A2480" i="4"/>
  <c r="D2479" i="4"/>
  <c r="A2479" i="4"/>
  <c r="D2478" i="4"/>
  <c r="A2478" i="4"/>
  <c r="D2477" i="4"/>
  <c r="B2477" i="4"/>
  <c r="A2477" i="4"/>
  <c r="D2476" i="4"/>
  <c r="B2476" i="4"/>
  <c r="A2476" i="4"/>
  <c r="D2475" i="4"/>
  <c r="C2475" i="4"/>
  <c r="B2475" i="4"/>
  <c r="A2475" i="4"/>
  <c r="D2474" i="4"/>
  <c r="B2474" i="4"/>
  <c r="A2474" i="4"/>
  <c r="D2473" i="4"/>
  <c r="A2473" i="4"/>
  <c r="D2472" i="4"/>
  <c r="B2472" i="4"/>
  <c r="A2472" i="4"/>
  <c r="D2471" i="4"/>
  <c r="B2471" i="4"/>
  <c r="A2471" i="4"/>
  <c r="D2470" i="4"/>
  <c r="B2470" i="4"/>
  <c r="A2470" i="4"/>
  <c r="D2469" i="4"/>
  <c r="C2469" i="4"/>
  <c r="B2469" i="4"/>
  <c r="A2469" i="4"/>
  <c r="D2468" i="4"/>
  <c r="C2468" i="4"/>
  <c r="B2468" i="4"/>
  <c r="A2468" i="4"/>
  <c r="D2467" i="4"/>
  <c r="B2467" i="4"/>
  <c r="A2467" i="4"/>
  <c r="D2466" i="4"/>
  <c r="B2466" i="4"/>
  <c r="A2466" i="4"/>
  <c r="D2465" i="4"/>
  <c r="B2465" i="4"/>
  <c r="A2465" i="4"/>
  <c r="D2464" i="4"/>
  <c r="B2464" i="4"/>
  <c r="A2464" i="4"/>
  <c r="D2463" i="4"/>
  <c r="B2463" i="4"/>
  <c r="A2463" i="4"/>
  <c r="D2462" i="4"/>
  <c r="B2462" i="4"/>
  <c r="A2462" i="4"/>
  <c r="D2461" i="4"/>
  <c r="B2461" i="4"/>
  <c r="A2461" i="4"/>
  <c r="D2460" i="4"/>
  <c r="B2460" i="4"/>
  <c r="A2460" i="4"/>
  <c r="D2459" i="4"/>
  <c r="A2459" i="4"/>
  <c r="D2458" i="4"/>
  <c r="B2458" i="4"/>
  <c r="A2458" i="4"/>
  <c r="D2457" i="4"/>
  <c r="B2457" i="4"/>
  <c r="A2457" i="4"/>
  <c r="D2456" i="4"/>
  <c r="B2456" i="4"/>
  <c r="A2456" i="4"/>
  <c r="D2455" i="4"/>
  <c r="B2455" i="4"/>
  <c r="A2455" i="4"/>
  <c r="D2454" i="4"/>
  <c r="B2454" i="4"/>
  <c r="A2454" i="4"/>
  <c r="D2453" i="4"/>
  <c r="A2453" i="4"/>
  <c r="D2452" i="4"/>
  <c r="A2452" i="4"/>
  <c r="D2451" i="4"/>
  <c r="B2451" i="4"/>
  <c r="A2451" i="4"/>
  <c r="D2450" i="4"/>
  <c r="C2450" i="4"/>
  <c r="B2450" i="4"/>
  <c r="A2450" i="4"/>
  <c r="D2449" i="4"/>
  <c r="B2449" i="4"/>
  <c r="A2449" i="4"/>
  <c r="D2448" i="4"/>
  <c r="B2448" i="4"/>
  <c r="A2448" i="4"/>
  <c r="D2447" i="4"/>
  <c r="B2447" i="4"/>
  <c r="A2447" i="4"/>
  <c r="D2446" i="4"/>
  <c r="B2446" i="4"/>
  <c r="A2446" i="4"/>
  <c r="D2445" i="4"/>
  <c r="B2445" i="4"/>
  <c r="A2445" i="4"/>
  <c r="D2444" i="4"/>
  <c r="B2444" i="4"/>
  <c r="A2444" i="4"/>
  <c r="D2443" i="4"/>
  <c r="B2443" i="4"/>
  <c r="A2443" i="4"/>
  <c r="D2442" i="4"/>
  <c r="A2442" i="4"/>
  <c r="D2441" i="4"/>
  <c r="B2441" i="4"/>
  <c r="A2441" i="4"/>
  <c r="D2440" i="4"/>
  <c r="B2440" i="4"/>
  <c r="A2440" i="4"/>
  <c r="D2439" i="4"/>
  <c r="B2439" i="4"/>
  <c r="A2439" i="4"/>
  <c r="D2438" i="4"/>
  <c r="B2438" i="4"/>
  <c r="A2438" i="4"/>
  <c r="D2437" i="4"/>
  <c r="A2437" i="4"/>
  <c r="D2436" i="4"/>
  <c r="A2436" i="4"/>
  <c r="D2435" i="4"/>
  <c r="A2435" i="4"/>
  <c r="D2434" i="4"/>
  <c r="A2434" i="4"/>
  <c r="D2433" i="4"/>
  <c r="A2433" i="4"/>
  <c r="D2432" i="4"/>
  <c r="C2432" i="4"/>
  <c r="B2432" i="4"/>
  <c r="A2432" i="4"/>
  <c r="D2431" i="4"/>
  <c r="B2431" i="4"/>
  <c r="A2431" i="4"/>
  <c r="D2430" i="4"/>
  <c r="B2430" i="4"/>
  <c r="A2430" i="4"/>
  <c r="D2429" i="4"/>
  <c r="B2429" i="4"/>
  <c r="A2429" i="4"/>
  <c r="D2428" i="4"/>
  <c r="B2428" i="4"/>
  <c r="A2428" i="4"/>
  <c r="D2427" i="4"/>
  <c r="B2427" i="4"/>
  <c r="A2427" i="4"/>
  <c r="D2426" i="4"/>
  <c r="A2426" i="4"/>
  <c r="D2425" i="4"/>
  <c r="C2425" i="4"/>
  <c r="B2425" i="4"/>
  <c r="A2425" i="4"/>
  <c r="D2424" i="4"/>
  <c r="B2424" i="4"/>
  <c r="A2424" i="4"/>
  <c r="D2423" i="4"/>
  <c r="B2423" i="4"/>
  <c r="A2423" i="4"/>
  <c r="D2422" i="4"/>
  <c r="A2422" i="4"/>
  <c r="D2421" i="4"/>
  <c r="A2421" i="4"/>
  <c r="D2420" i="4"/>
  <c r="B2420" i="4"/>
  <c r="A2420" i="4"/>
  <c r="D2419" i="4"/>
  <c r="B2419" i="4"/>
  <c r="A2419" i="4"/>
  <c r="D2418" i="4"/>
  <c r="B2418" i="4"/>
  <c r="A2418" i="4"/>
  <c r="D2417" i="4"/>
  <c r="B2417" i="4"/>
  <c r="A2417" i="4"/>
  <c r="D2416" i="4"/>
  <c r="B2416" i="4"/>
  <c r="A2416" i="4"/>
  <c r="D2415" i="4"/>
  <c r="C2415" i="4"/>
  <c r="B2415" i="4"/>
  <c r="A2415" i="4"/>
  <c r="D2414" i="4"/>
  <c r="B2414" i="4"/>
  <c r="A2414" i="4"/>
  <c r="D2413" i="4"/>
  <c r="B2413" i="4"/>
  <c r="A2413" i="4"/>
  <c r="D2412" i="4"/>
  <c r="A2412" i="4"/>
  <c r="D2411" i="4"/>
  <c r="B2411" i="4"/>
  <c r="A2411" i="4"/>
  <c r="D2410" i="4"/>
  <c r="B2410" i="4"/>
  <c r="A2410" i="4"/>
  <c r="D2409" i="4"/>
  <c r="C2409" i="4"/>
  <c r="B2409" i="4"/>
  <c r="A2409" i="4"/>
  <c r="D2408" i="4"/>
  <c r="B2408" i="4"/>
  <c r="A2408" i="4"/>
  <c r="D2407" i="4"/>
  <c r="B2407" i="4"/>
  <c r="A2407" i="4"/>
  <c r="D2406" i="4"/>
  <c r="B2406" i="4"/>
  <c r="A2406" i="4"/>
  <c r="D2405" i="4"/>
  <c r="A2405" i="4"/>
  <c r="D2404" i="4"/>
  <c r="B2404" i="4"/>
  <c r="A2404" i="4"/>
  <c r="D2403" i="4"/>
  <c r="B2403" i="4"/>
  <c r="A2403" i="4"/>
  <c r="D2402" i="4"/>
  <c r="B2402" i="4"/>
  <c r="A2402" i="4"/>
  <c r="D2401" i="4"/>
  <c r="B2401" i="4"/>
  <c r="A2401" i="4"/>
  <c r="D2400" i="4"/>
  <c r="B2400" i="4"/>
  <c r="A2400" i="4"/>
  <c r="D2399" i="4"/>
  <c r="B2399" i="4"/>
  <c r="A2399" i="4"/>
  <c r="D2398" i="4"/>
  <c r="A2398" i="4"/>
  <c r="D2397" i="4"/>
  <c r="B2397" i="4"/>
  <c r="A2397" i="4"/>
  <c r="D2396" i="4"/>
  <c r="A2396" i="4"/>
  <c r="D2395" i="4"/>
  <c r="B2395" i="4"/>
  <c r="A2395" i="4"/>
  <c r="D2394" i="4"/>
  <c r="B2394" i="4"/>
  <c r="A2394" i="4"/>
  <c r="D2393" i="4"/>
  <c r="B2393" i="4"/>
  <c r="A2393" i="4"/>
  <c r="D2392" i="4"/>
  <c r="B2392" i="4"/>
  <c r="A2392" i="4"/>
  <c r="D2391" i="4"/>
  <c r="B2391" i="4"/>
  <c r="A2391" i="4"/>
  <c r="D2390" i="4"/>
  <c r="B2390" i="4"/>
  <c r="A2390" i="4"/>
  <c r="D2389" i="4"/>
  <c r="B2389" i="4"/>
  <c r="A2389" i="4"/>
  <c r="D2388" i="4"/>
  <c r="B2388" i="4"/>
  <c r="A2388" i="4"/>
  <c r="D2387" i="4"/>
  <c r="A2387" i="4"/>
  <c r="D2386" i="4"/>
  <c r="B2386" i="4"/>
  <c r="A2386" i="4"/>
  <c r="D2385" i="4"/>
  <c r="B2385" i="4"/>
  <c r="A2385" i="4"/>
  <c r="D2384" i="4"/>
  <c r="A2384" i="4"/>
  <c r="D2383" i="4"/>
  <c r="B2383" i="4"/>
  <c r="A2383" i="4"/>
  <c r="D2382" i="4"/>
  <c r="B2382" i="4"/>
  <c r="A2382" i="4"/>
  <c r="D2381" i="4"/>
  <c r="B2381" i="4"/>
  <c r="A2381" i="4"/>
  <c r="D2380" i="4"/>
  <c r="B2380" i="4"/>
  <c r="A2380" i="4"/>
  <c r="D2379" i="4"/>
  <c r="B2379" i="4"/>
  <c r="A2379" i="4"/>
  <c r="D2378" i="4"/>
  <c r="B2378" i="4"/>
  <c r="A2378" i="4"/>
  <c r="D2377" i="4"/>
  <c r="B2377" i="4"/>
  <c r="A2377" i="4"/>
  <c r="D2376" i="4"/>
  <c r="B2376" i="4"/>
  <c r="A2376" i="4"/>
  <c r="D2375" i="4"/>
  <c r="B2375" i="4"/>
  <c r="A2375" i="4"/>
  <c r="D2374" i="4"/>
  <c r="B2374" i="4"/>
  <c r="A2374" i="4"/>
  <c r="D2373" i="4"/>
  <c r="B2373" i="4"/>
  <c r="A2373" i="4"/>
  <c r="D2372" i="4"/>
  <c r="B2372" i="4"/>
  <c r="A2372" i="4"/>
  <c r="D2371" i="4"/>
  <c r="B2371" i="4"/>
  <c r="A2371" i="4"/>
  <c r="D2370" i="4"/>
  <c r="B2370" i="4"/>
  <c r="A2370" i="4"/>
  <c r="D2369" i="4"/>
  <c r="B2369" i="4"/>
  <c r="A2369" i="4"/>
  <c r="D2368" i="4"/>
  <c r="B2368" i="4"/>
  <c r="A2368" i="4"/>
  <c r="D2367" i="4"/>
  <c r="B2367" i="4"/>
  <c r="A2367" i="4"/>
  <c r="D2366" i="4"/>
  <c r="B2366" i="4"/>
  <c r="A2366" i="4"/>
  <c r="D2365" i="4"/>
  <c r="B2365" i="4"/>
  <c r="A2365" i="4"/>
  <c r="D2364" i="4"/>
  <c r="B2364" i="4"/>
  <c r="A2364" i="4"/>
  <c r="D2363" i="4"/>
  <c r="B2363" i="4"/>
  <c r="A2363" i="4"/>
  <c r="D2362" i="4"/>
  <c r="B2362" i="4"/>
  <c r="A2362" i="4"/>
  <c r="D2361" i="4"/>
  <c r="B2361" i="4"/>
  <c r="A2361" i="4"/>
  <c r="D2360" i="4"/>
  <c r="B2360" i="4"/>
  <c r="A2360" i="4"/>
  <c r="D2359" i="4"/>
  <c r="B2359" i="4"/>
  <c r="A2359" i="4"/>
  <c r="D2358" i="4"/>
  <c r="B2358" i="4"/>
  <c r="A2358" i="4"/>
  <c r="D2357" i="4"/>
  <c r="B2357" i="4"/>
  <c r="A2357" i="4"/>
  <c r="D2356" i="4"/>
  <c r="B2356" i="4"/>
  <c r="A2356" i="4"/>
  <c r="D2355" i="4"/>
  <c r="B2355" i="4"/>
  <c r="A2355" i="4"/>
  <c r="D2354" i="4"/>
  <c r="B2354" i="4"/>
  <c r="A2354" i="4"/>
  <c r="D2353" i="4"/>
  <c r="C2353" i="4"/>
  <c r="B2353" i="4"/>
  <c r="A2353" i="4"/>
  <c r="D2352" i="4"/>
  <c r="B2352" i="4"/>
  <c r="A2352" i="4"/>
  <c r="D2351" i="4"/>
  <c r="B2351" i="4"/>
  <c r="A2351" i="4"/>
  <c r="D2350" i="4"/>
  <c r="B2350" i="4"/>
  <c r="A2350" i="4"/>
  <c r="D2349" i="4"/>
  <c r="B2349" i="4"/>
  <c r="A2349" i="4"/>
  <c r="D2348" i="4"/>
  <c r="B2348" i="4"/>
  <c r="A2348" i="4"/>
  <c r="D2347" i="4"/>
  <c r="B2347" i="4"/>
  <c r="A2347" i="4"/>
  <c r="D2346" i="4"/>
  <c r="B2346" i="4"/>
  <c r="A2346" i="4"/>
  <c r="D2345" i="4"/>
  <c r="B2345" i="4"/>
  <c r="A2345" i="4"/>
  <c r="D2344" i="4"/>
  <c r="B2344" i="4"/>
  <c r="A2344" i="4"/>
  <c r="D2343" i="4"/>
  <c r="B2343" i="4"/>
  <c r="A2343" i="4"/>
  <c r="D2342" i="4"/>
  <c r="B2342" i="4"/>
  <c r="A2342" i="4"/>
  <c r="D2341" i="4"/>
  <c r="B2341" i="4"/>
  <c r="A2341" i="4"/>
  <c r="D2340" i="4"/>
  <c r="B2340" i="4"/>
  <c r="A2340" i="4"/>
  <c r="D2339" i="4"/>
  <c r="B2339" i="4"/>
  <c r="A2339" i="4"/>
  <c r="D2338" i="4"/>
  <c r="B2338" i="4"/>
  <c r="A2338" i="4"/>
  <c r="D2337" i="4"/>
  <c r="B2337" i="4"/>
  <c r="A2337" i="4"/>
  <c r="D2336" i="4"/>
  <c r="B2336" i="4"/>
  <c r="A2336" i="4"/>
  <c r="D2335" i="4"/>
  <c r="B2335" i="4"/>
  <c r="A2335" i="4"/>
  <c r="D2334" i="4"/>
  <c r="B2334" i="4"/>
  <c r="A2334" i="4"/>
  <c r="D2333" i="4"/>
  <c r="B2333" i="4"/>
  <c r="A2333" i="4"/>
  <c r="D2332" i="4"/>
  <c r="B2332" i="4"/>
  <c r="A2332" i="4"/>
  <c r="D2331" i="4"/>
  <c r="B2331" i="4"/>
  <c r="A2331" i="4"/>
  <c r="D2330" i="4"/>
  <c r="A2330" i="4"/>
  <c r="D2329" i="4"/>
  <c r="B2329" i="4"/>
  <c r="A2329" i="4"/>
  <c r="D2328" i="4"/>
  <c r="A2328" i="4"/>
  <c r="D2327" i="4"/>
  <c r="B2327" i="4"/>
  <c r="A2327" i="4"/>
  <c r="D2326" i="4"/>
  <c r="A2326" i="4"/>
  <c r="D2325" i="4"/>
  <c r="B2325" i="4"/>
  <c r="A2325" i="4"/>
  <c r="D2324" i="4"/>
  <c r="B2324" i="4"/>
  <c r="A2324" i="4"/>
  <c r="D2323" i="4"/>
  <c r="B2323" i="4"/>
  <c r="A2323" i="4"/>
  <c r="D2322" i="4"/>
  <c r="C2322" i="4"/>
  <c r="B2322" i="4"/>
  <c r="A2322" i="4"/>
  <c r="D2321" i="4"/>
  <c r="B2321" i="4"/>
  <c r="A2321" i="4"/>
  <c r="D2320" i="4"/>
  <c r="A2320" i="4"/>
  <c r="D2319" i="4"/>
  <c r="B2319" i="4"/>
  <c r="A2319" i="4"/>
  <c r="D2318" i="4"/>
  <c r="B2318" i="4"/>
  <c r="A2318" i="4"/>
  <c r="D2317" i="4"/>
  <c r="B2317" i="4"/>
  <c r="A2317" i="4"/>
  <c r="D2316" i="4"/>
  <c r="B2316" i="4"/>
  <c r="A2316" i="4"/>
  <c r="D2315" i="4"/>
  <c r="B2315" i="4"/>
  <c r="A2315" i="4"/>
  <c r="D2314" i="4"/>
  <c r="C2314" i="4"/>
  <c r="B2314" i="4"/>
  <c r="A2314" i="4"/>
  <c r="D2313" i="4"/>
  <c r="B2313" i="4"/>
  <c r="A2313" i="4"/>
  <c r="D2312" i="4"/>
  <c r="B2312" i="4"/>
  <c r="A2312" i="4"/>
  <c r="D2311" i="4"/>
  <c r="B2311" i="4"/>
  <c r="A2311" i="4"/>
  <c r="D2310" i="4"/>
  <c r="B2310" i="4"/>
  <c r="A2310" i="4"/>
  <c r="D2309" i="4"/>
  <c r="A2309" i="4"/>
  <c r="D2308" i="4"/>
  <c r="A2308" i="4"/>
  <c r="D2307" i="4"/>
  <c r="B2307" i="4"/>
  <c r="A2307" i="4"/>
  <c r="D2306" i="4"/>
  <c r="B2306" i="4"/>
  <c r="A2306" i="4"/>
  <c r="D2305" i="4"/>
  <c r="A2305" i="4"/>
  <c r="D2304" i="4"/>
  <c r="A2304" i="4"/>
  <c r="D2303" i="4"/>
  <c r="A2303" i="4"/>
  <c r="D2302" i="4"/>
  <c r="A2302" i="4"/>
  <c r="D2301" i="4"/>
  <c r="B2301" i="4"/>
  <c r="A2301" i="4"/>
  <c r="D2300" i="4"/>
  <c r="B2300" i="4"/>
  <c r="A2300" i="4"/>
  <c r="D2299" i="4"/>
  <c r="B2299" i="4"/>
  <c r="A2299" i="4"/>
  <c r="D2298" i="4"/>
  <c r="C2298" i="4"/>
  <c r="B2298" i="4"/>
  <c r="A2298" i="4"/>
  <c r="D2297" i="4"/>
  <c r="B2297" i="4"/>
  <c r="A2297" i="4"/>
  <c r="D2296" i="4"/>
  <c r="B2296" i="4"/>
  <c r="A2296" i="4"/>
  <c r="D2295" i="4"/>
  <c r="B2295" i="4"/>
  <c r="A2295" i="4"/>
  <c r="D2294" i="4"/>
  <c r="B2294" i="4"/>
  <c r="A2294" i="4"/>
  <c r="D2293" i="4"/>
  <c r="B2293" i="4"/>
  <c r="A2293" i="4"/>
  <c r="D2292" i="4"/>
  <c r="B2292" i="4"/>
  <c r="A2292" i="4"/>
  <c r="D2291" i="4"/>
  <c r="B2291" i="4"/>
  <c r="A2291" i="4"/>
  <c r="D2290" i="4"/>
  <c r="B2290" i="4"/>
  <c r="A2290" i="4"/>
  <c r="D2289" i="4"/>
  <c r="B2289" i="4"/>
  <c r="A2289" i="4"/>
  <c r="D2288" i="4"/>
  <c r="C2288" i="4"/>
  <c r="B2288" i="4"/>
  <c r="A2288" i="4"/>
  <c r="D2287" i="4"/>
  <c r="B2287" i="4"/>
  <c r="A2287" i="4"/>
  <c r="D2286" i="4"/>
  <c r="B2286" i="4"/>
  <c r="A2286" i="4"/>
  <c r="D2285" i="4"/>
  <c r="B2285" i="4"/>
  <c r="A2285" i="4"/>
  <c r="D2284" i="4"/>
  <c r="B2284" i="4"/>
  <c r="A2284" i="4"/>
  <c r="D2283" i="4"/>
  <c r="B2283" i="4"/>
  <c r="A2283" i="4"/>
  <c r="D2282" i="4"/>
  <c r="B2282" i="4"/>
  <c r="A2282" i="4"/>
  <c r="D2281" i="4"/>
  <c r="B2281" i="4"/>
  <c r="A2281" i="4"/>
  <c r="D2280" i="4"/>
  <c r="B2280" i="4"/>
  <c r="A2280" i="4"/>
  <c r="D2279" i="4"/>
  <c r="B2279" i="4"/>
  <c r="A2279" i="4"/>
  <c r="D2278" i="4"/>
  <c r="C2278" i="4"/>
  <c r="B2278" i="4"/>
  <c r="A2278" i="4"/>
  <c r="D2277" i="4"/>
  <c r="C2277" i="4"/>
  <c r="B2277" i="4"/>
  <c r="A2277" i="4"/>
  <c r="D2276" i="4"/>
  <c r="B2276" i="4"/>
  <c r="A2276" i="4"/>
  <c r="D2275" i="4"/>
  <c r="B2275" i="4"/>
  <c r="A2275" i="4"/>
  <c r="D2274" i="4"/>
  <c r="A2274" i="4"/>
  <c r="D2273" i="4"/>
  <c r="B2273" i="4"/>
  <c r="A2273" i="4"/>
  <c r="D2272" i="4"/>
  <c r="B2272" i="4"/>
  <c r="A2272" i="4"/>
  <c r="D2271" i="4"/>
  <c r="B2271" i="4"/>
  <c r="A2271" i="4"/>
  <c r="D2270" i="4"/>
  <c r="A2270" i="4"/>
  <c r="D2269" i="4"/>
  <c r="B2269" i="4"/>
  <c r="A2269" i="4"/>
  <c r="D2268" i="4"/>
  <c r="B2268" i="4"/>
  <c r="A2268" i="4"/>
  <c r="D2267" i="4"/>
  <c r="B2267" i="4"/>
  <c r="A2267" i="4"/>
  <c r="D2266" i="4"/>
  <c r="A2266" i="4"/>
  <c r="D2265" i="4"/>
  <c r="C2265" i="4"/>
  <c r="B2265" i="4"/>
  <c r="A2265" i="4"/>
  <c r="D2264" i="4"/>
  <c r="B2264" i="4"/>
  <c r="A2264" i="4"/>
  <c r="D2263" i="4"/>
  <c r="B2263" i="4"/>
  <c r="A2263" i="4"/>
  <c r="D2262" i="4"/>
  <c r="C2262" i="4"/>
  <c r="B2262" i="4"/>
  <c r="A2262" i="4"/>
  <c r="D2261" i="4"/>
  <c r="B2261" i="4"/>
  <c r="A2261" i="4"/>
  <c r="D2260" i="4"/>
  <c r="A2260" i="4"/>
  <c r="D2259" i="4"/>
  <c r="A2259" i="4"/>
  <c r="D2258" i="4"/>
  <c r="B2258" i="4"/>
  <c r="A2258" i="4"/>
  <c r="D2257" i="4"/>
  <c r="B2257" i="4"/>
  <c r="A2257" i="4"/>
  <c r="D2256" i="4"/>
  <c r="B2256" i="4"/>
  <c r="A2256" i="4"/>
  <c r="D2255" i="4"/>
  <c r="A2255" i="4"/>
  <c r="D2254" i="4"/>
  <c r="B2254" i="4"/>
  <c r="A2254" i="4"/>
  <c r="D2253" i="4"/>
  <c r="B2253" i="4"/>
  <c r="A2253" i="4"/>
  <c r="D2252" i="4"/>
  <c r="B2252" i="4"/>
  <c r="A2252" i="4"/>
  <c r="D2251" i="4"/>
  <c r="B2251" i="4"/>
  <c r="A2251" i="4"/>
  <c r="D2250" i="4"/>
  <c r="B2250" i="4"/>
  <c r="A2250" i="4"/>
  <c r="D2249" i="4"/>
  <c r="B2249" i="4"/>
  <c r="A2249" i="4"/>
  <c r="D2248" i="4"/>
  <c r="A2248" i="4"/>
  <c r="D2247" i="4"/>
  <c r="A2247" i="4"/>
  <c r="D2246" i="4"/>
  <c r="B2246" i="4"/>
  <c r="A2246" i="4"/>
  <c r="D2245" i="4"/>
  <c r="B2245" i="4"/>
  <c r="A2245" i="4"/>
  <c r="D2244" i="4"/>
  <c r="B2244" i="4"/>
  <c r="A2244" i="4"/>
  <c r="D2243" i="4"/>
  <c r="B2243" i="4"/>
  <c r="A2243" i="4"/>
  <c r="D2242" i="4"/>
  <c r="B2242" i="4"/>
  <c r="A2242" i="4"/>
  <c r="D2241" i="4"/>
  <c r="B2241" i="4"/>
  <c r="A2241" i="4"/>
  <c r="D2240" i="4"/>
  <c r="B2240" i="4"/>
  <c r="A2240" i="4"/>
  <c r="D2239" i="4"/>
  <c r="B2239" i="4"/>
  <c r="A2239" i="4"/>
  <c r="D2238" i="4"/>
  <c r="B2238" i="4"/>
  <c r="A2238" i="4"/>
  <c r="D2237" i="4"/>
  <c r="B2237" i="4"/>
  <c r="A2237" i="4"/>
  <c r="D2236" i="4"/>
  <c r="B2236" i="4"/>
  <c r="A2236" i="4"/>
  <c r="D2235" i="4"/>
  <c r="B2235" i="4"/>
  <c r="A2235" i="4"/>
  <c r="D2234" i="4"/>
  <c r="B2234" i="4"/>
  <c r="A2234" i="4"/>
  <c r="D2233" i="4"/>
  <c r="A2233" i="4"/>
  <c r="D2232" i="4"/>
  <c r="B2232" i="4"/>
  <c r="A2232" i="4"/>
  <c r="D2231" i="4"/>
  <c r="B2231" i="4"/>
  <c r="A2231" i="4"/>
  <c r="D2230" i="4"/>
  <c r="B2230" i="4"/>
  <c r="A2230" i="4"/>
  <c r="D2229" i="4"/>
  <c r="B2229" i="4"/>
  <c r="A2229" i="4"/>
  <c r="D2228" i="4"/>
  <c r="A2228" i="4"/>
  <c r="D2227" i="4"/>
  <c r="B2227" i="4"/>
  <c r="A2227" i="4"/>
  <c r="D2226" i="4"/>
  <c r="B2226" i="4"/>
  <c r="A2226" i="4"/>
  <c r="D2225" i="4"/>
  <c r="B2225" i="4"/>
  <c r="A2225" i="4"/>
  <c r="D2224" i="4"/>
  <c r="B2224" i="4"/>
  <c r="A2224" i="4"/>
  <c r="D2223" i="4"/>
  <c r="B2223" i="4"/>
  <c r="A2223" i="4"/>
  <c r="D2222" i="4"/>
  <c r="B2222" i="4"/>
  <c r="A2222" i="4"/>
  <c r="D2221" i="4"/>
  <c r="B2221" i="4"/>
  <c r="A2221" i="4"/>
  <c r="D2220" i="4"/>
  <c r="B2220" i="4"/>
  <c r="A2220" i="4"/>
  <c r="D2219" i="4"/>
  <c r="C2219" i="4"/>
  <c r="B2219" i="4"/>
  <c r="A2219" i="4"/>
  <c r="D2218" i="4"/>
  <c r="B2218" i="4"/>
  <c r="A2218" i="4"/>
  <c r="D2217" i="4"/>
  <c r="A2217" i="4"/>
  <c r="D2216" i="4"/>
  <c r="B2216" i="4"/>
  <c r="A2216" i="4"/>
  <c r="D2215" i="4"/>
  <c r="B2215" i="4"/>
  <c r="A2215" i="4"/>
  <c r="D2214" i="4"/>
  <c r="A2214" i="4"/>
  <c r="D2213" i="4"/>
  <c r="A2213" i="4"/>
  <c r="D2212" i="4"/>
  <c r="B2212" i="4"/>
  <c r="A2212" i="4"/>
  <c r="D2211" i="4"/>
  <c r="B2211" i="4"/>
  <c r="A2211" i="4"/>
  <c r="D2210" i="4"/>
  <c r="B2210" i="4"/>
  <c r="A2210" i="4"/>
  <c r="D2209" i="4"/>
  <c r="B2209" i="4"/>
  <c r="A2209" i="4"/>
  <c r="D2208" i="4"/>
  <c r="B2208" i="4"/>
  <c r="A2208" i="4"/>
  <c r="D2207" i="4"/>
  <c r="B2207" i="4"/>
  <c r="A2207" i="4"/>
  <c r="D2206" i="4"/>
  <c r="B2206" i="4"/>
  <c r="A2206" i="4"/>
  <c r="D2205" i="4"/>
  <c r="B2205" i="4"/>
  <c r="A2205" i="4"/>
  <c r="D2204" i="4"/>
  <c r="B2204" i="4"/>
  <c r="A2204" i="4"/>
  <c r="D2203" i="4"/>
  <c r="B2203" i="4"/>
  <c r="A2203" i="4"/>
  <c r="D2202" i="4"/>
  <c r="B2202" i="4"/>
  <c r="A2202" i="4"/>
  <c r="D2201" i="4"/>
  <c r="B2201" i="4"/>
  <c r="A2201" i="4"/>
  <c r="D2200" i="4"/>
  <c r="B2200" i="4"/>
  <c r="A2200" i="4"/>
  <c r="D2199" i="4"/>
  <c r="B2199" i="4"/>
  <c r="A2199" i="4"/>
  <c r="D2198" i="4"/>
  <c r="A2198" i="4"/>
  <c r="D2197" i="4"/>
  <c r="A2197" i="4"/>
  <c r="D2196" i="4"/>
  <c r="B2196" i="4"/>
  <c r="A2196" i="4"/>
  <c r="D2195" i="4"/>
  <c r="A2195" i="4"/>
  <c r="D2194" i="4"/>
  <c r="B2194" i="4"/>
  <c r="A2194" i="4"/>
  <c r="D2193" i="4"/>
  <c r="A2193" i="4"/>
  <c r="D2192" i="4"/>
  <c r="B2192" i="4"/>
  <c r="A2192" i="4"/>
  <c r="D2191" i="4"/>
  <c r="B2191" i="4"/>
  <c r="A2191" i="4"/>
  <c r="D2190" i="4"/>
  <c r="B2190" i="4"/>
  <c r="A2190" i="4"/>
  <c r="D2189" i="4"/>
  <c r="B2189" i="4"/>
  <c r="A2189" i="4"/>
  <c r="D2188" i="4"/>
  <c r="B2188" i="4"/>
  <c r="A2188" i="4"/>
  <c r="D2187" i="4"/>
  <c r="B2187" i="4"/>
  <c r="A2187" i="4"/>
  <c r="D2186" i="4"/>
  <c r="B2186" i="4"/>
  <c r="A2186" i="4"/>
  <c r="D2185" i="4"/>
  <c r="B2185" i="4"/>
  <c r="A2185" i="4"/>
  <c r="D2184" i="4"/>
  <c r="B2184" i="4"/>
  <c r="A2184" i="4"/>
  <c r="D2183" i="4"/>
  <c r="C2183" i="4"/>
  <c r="B2183" i="4"/>
  <c r="A2183" i="4"/>
  <c r="D2182" i="4"/>
  <c r="B2182" i="4"/>
  <c r="A2182" i="4"/>
  <c r="D2181" i="4"/>
  <c r="B2181" i="4"/>
  <c r="A2181" i="4"/>
  <c r="D2180" i="4"/>
  <c r="B2180" i="4"/>
  <c r="A2180" i="4"/>
  <c r="D2179" i="4"/>
  <c r="B2179" i="4"/>
  <c r="A2179" i="4"/>
  <c r="D2178" i="4"/>
  <c r="B2178" i="4"/>
  <c r="A2178" i="4"/>
  <c r="D2177" i="4"/>
  <c r="B2177" i="4"/>
  <c r="A2177" i="4"/>
  <c r="D2176" i="4"/>
  <c r="B2176" i="4"/>
  <c r="A2176" i="4"/>
  <c r="D2175" i="4"/>
  <c r="B2175" i="4"/>
  <c r="A2175" i="4"/>
  <c r="D2174" i="4"/>
  <c r="B2174" i="4"/>
  <c r="A2174" i="4"/>
  <c r="D2173" i="4"/>
  <c r="B2173" i="4"/>
  <c r="A2173" i="4"/>
  <c r="D2172" i="4"/>
  <c r="A2172" i="4"/>
  <c r="D2171" i="4"/>
  <c r="A2171" i="4"/>
  <c r="D2170" i="4"/>
  <c r="A2170" i="4"/>
  <c r="D2169" i="4"/>
  <c r="A2169" i="4"/>
  <c r="D2168" i="4"/>
  <c r="A2168" i="4"/>
  <c r="D2167" i="4"/>
  <c r="A2167" i="4"/>
  <c r="D2166" i="4"/>
  <c r="B2166" i="4"/>
  <c r="A2166" i="4"/>
  <c r="D2165" i="4"/>
  <c r="B2165" i="4"/>
  <c r="A2165" i="4"/>
  <c r="D2164" i="4"/>
  <c r="B2164" i="4"/>
  <c r="A2164" i="4"/>
  <c r="D2163" i="4"/>
  <c r="C2163" i="4"/>
  <c r="B2163" i="4"/>
  <c r="A2163" i="4"/>
  <c r="D2162" i="4"/>
  <c r="B2162" i="4"/>
  <c r="A2162" i="4"/>
  <c r="D2161" i="4"/>
  <c r="B2161" i="4"/>
  <c r="A2161" i="4"/>
  <c r="D2160" i="4"/>
  <c r="B2160" i="4"/>
  <c r="A2160" i="4"/>
  <c r="D2159" i="4"/>
  <c r="A2159" i="4"/>
  <c r="D2158" i="4"/>
  <c r="A2158" i="4"/>
  <c r="D2157" i="4"/>
  <c r="B2157" i="4"/>
  <c r="A2157" i="4"/>
  <c r="D2156" i="4"/>
  <c r="B2156" i="4"/>
  <c r="A2156" i="4"/>
  <c r="D2155" i="4"/>
  <c r="A2155" i="4"/>
  <c r="D2154" i="4"/>
  <c r="B2154" i="4"/>
  <c r="A2154" i="4"/>
  <c r="D2153" i="4"/>
  <c r="B2153" i="4"/>
  <c r="A2153" i="4"/>
  <c r="D2152" i="4"/>
  <c r="A2152" i="4"/>
  <c r="D2151" i="4"/>
  <c r="B2151" i="4"/>
  <c r="A2151" i="4"/>
  <c r="D2150" i="4"/>
  <c r="B2150" i="4"/>
  <c r="A2150" i="4"/>
  <c r="D2149" i="4"/>
  <c r="A2149" i="4"/>
  <c r="D2148" i="4"/>
  <c r="A2148" i="4"/>
  <c r="D2147" i="4"/>
  <c r="A2147" i="4"/>
  <c r="D2146" i="4"/>
  <c r="A2146" i="4"/>
  <c r="D2145" i="4"/>
  <c r="B2145" i="4"/>
  <c r="A2145" i="4"/>
  <c r="D2144" i="4"/>
  <c r="A2144" i="4"/>
  <c r="D2143" i="4"/>
  <c r="A2143" i="4"/>
  <c r="D2142" i="4"/>
  <c r="B2142" i="4"/>
  <c r="A2142" i="4"/>
  <c r="D2141" i="4"/>
  <c r="A2141" i="4"/>
  <c r="D2140" i="4"/>
  <c r="A2140" i="4"/>
  <c r="D2139" i="4"/>
  <c r="B2139" i="4"/>
  <c r="A2139" i="4"/>
  <c r="D2138" i="4"/>
  <c r="B2138" i="4"/>
  <c r="A2138" i="4"/>
  <c r="D2137" i="4"/>
  <c r="B2137" i="4"/>
  <c r="A2137" i="4"/>
  <c r="D2136" i="4"/>
  <c r="A2136" i="4"/>
  <c r="D2135" i="4"/>
  <c r="A2135" i="4"/>
  <c r="D2134" i="4"/>
  <c r="A2134" i="4"/>
  <c r="D2133" i="4"/>
  <c r="A2133" i="4"/>
  <c r="D2132" i="4"/>
  <c r="A2132" i="4"/>
  <c r="D2131" i="4"/>
  <c r="A2131" i="4"/>
  <c r="D2130" i="4"/>
  <c r="B2130" i="4"/>
  <c r="A2130" i="4"/>
  <c r="D2129" i="4"/>
  <c r="B2129" i="4"/>
  <c r="A2129" i="4"/>
  <c r="D2128" i="4"/>
  <c r="B2128" i="4"/>
  <c r="A2128" i="4"/>
  <c r="D2127" i="4"/>
  <c r="B2127" i="4"/>
  <c r="A2127" i="4"/>
  <c r="D2126" i="4"/>
  <c r="B2126" i="4"/>
  <c r="A2126" i="4"/>
  <c r="D2125" i="4"/>
  <c r="B2125" i="4"/>
  <c r="A2125" i="4"/>
  <c r="D2124" i="4"/>
  <c r="B2124" i="4"/>
  <c r="A2124" i="4"/>
  <c r="D2123" i="4"/>
  <c r="B2123" i="4"/>
  <c r="A2123" i="4"/>
  <c r="D2122" i="4"/>
  <c r="A2122" i="4"/>
  <c r="D2121" i="4"/>
  <c r="B2121" i="4"/>
  <c r="A2121" i="4"/>
  <c r="D2120" i="4"/>
  <c r="A2120" i="4"/>
  <c r="D2119" i="4"/>
  <c r="B2119" i="4"/>
  <c r="A2119" i="4"/>
  <c r="D2118" i="4"/>
  <c r="B2118" i="4"/>
  <c r="A2118" i="4"/>
  <c r="D2117" i="4"/>
  <c r="B2117" i="4"/>
  <c r="A2117" i="4"/>
  <c r="D2116" i="4"/>
  <c r="B2116" i="4"/>
  <c r="A2116" i="4"/>
  <c r="D2115" i="4"/>
  <c r="B2115" i="4"/>
  <c r="A2115" i="4"/>
  <c r="D2114" i="4"/>
  <c r="B2114" i="4"/>
  <c r="A2114" i="4"/>
  <c r="D2113" i="4"/>
  <c r="B2113" i="4"/>
  <c r="A2113" i="4"/>
  <c r="D2112" i="4"/>
  <c r="B2112" i="4"/>
  <c r="A2112" i="4"/>
  <c r="D2111" i="4"/>
  <c r="B2111" i="4"/>
  <c r="A2111" i="4"/>
  <c r="D2110" i="4"/>
  <c r="B2110" i="4"/>
  <c r="A2110" i="4"/>
  <c r="D2109" i="4"/>
  <c r="B2109" i="4"/>
  <c r="A2109" i="4"/>
  <c r="D2108" i="4"/>
  <c r="B2108" i="4"/>
  <c r="A2108" i="4"/>
  <c r="D2107" i="4"/>
  <c r="B2107" i="4"/>
  <c r="A2107" i="4"/>
  <c r="D2106" i="4"/>
  <c r="B2106" i="4"/>
  <c r="A2106" i="4"/>
  <c r="D2105" i="4"/>
  <c r="A2105" i="4"/>
  <c r="D2104" i="4"/>
  <c r="A2104" i="4"/>
  <c r="D2103" i="4"/>
  <c r="B2103" i="4"/>
  <c r="A2103" i="4"/>
  <c r="D2102" i="4"/>
  <c r="C2102" i="4"/>
  <c r="B2102" i="4"/>
  <c r="A2102" i="4"/>
  <c r="D2101" i="4"/>
  <c r="B2101" i="4"/>
  <c r="A2101" i="4"/>
  <c r="D2100" i="4"/>
  <c r="B2100" i="4"/>
  <c r="A2100" i="4"/>
  <c r="D2099" i="4"/>
  <c r="B2099" i="4"/>
  <c r="A2099" i="4"/>
  <c r="D2098" i="4"/>
  <c r="B2098" i="4"/>
  <c r="A2098" i="4"/>
  <c r="D2097" i="4"/>
  <c r="A2097" i="4"/>
  <c r="D2096" i="4"/>
  <c r="B2096" i="4"/>
  <c r="A2096" i="4"/>
  <c r="D2095" i="4"/>
  <c r="B2095" i="4"/>
  <c r="A2095" i="4"/>
  <c r="D2094" i="4"/>
  <c r="B2094" i="4"/>
  <c r="A2094" i="4"/>
  <c r="D2093" i="4"/>
  <c r="A2093" i="4"/>
  <c r="D2092" i="4"/>
  <c r="A2092" i="4"/>
  <c r="D2091" i="4"/>
  <c r="A2091" i="4"/>
  <c r="D2090" i="4"/>
  <c r="B2090" i="4"/>
  <c r="A2090" i="4"/>
  <c r="D2089" i="4"/>
  <c r="A2089" i="4"/>
  <c r="D2088" i="4"/>
  <c r="A2088" i="4"/>
  <c r="D2087" i="4"/>
  <c r="A2087" i="4"/>
  <c r="D2086" i="4"/>
  <c r="A2086" i="4"/>
  <c r="D2085" i="4"/>
  <c r="B2085" i="4"/>
  <c r="A2085" i="4"/>
  <c r="D2084" i="4"/>
  <c r="A2084" i="4"/>
  <c r="D2083" i="4"/>
  <c r="B2083" i="4"/>
  <c r="A2083" i="4"/>
  <c r="D2082" i="4"/>
  <c r="A2082" i="4"/>
  <c r="D2081" i="4"/>
  <c r="A2081" i="4"/>
  <c r="D2080" i="4"/>
  <c r="A2080" i="4"/>
  <c r="D2079" i="4"/>
  <c r="A2079" i="4"/>
  <c r="D2078" i="4"/>
  <c r="A2078" i="4"/>
  <c r="D2077" i="4"/>
  <c r="B2077" i="4"/>
  <c r="A2077" i="4"/>
  <c r="D2076" i="4"/>
  <c r="A2076" i="4"/>
  <c r="D2075" i="4"/>
  <c r="B2075" i="4"/>
  <c r="A2075" i="4"/>
  <c r="D2074" i="4"/>
  <c r="B2074" i="4"/>
  <c r="A2074" i="4"/>
  <c r="D2073" i="4"/>
  <c r="A2073" i="4"/>
  <c r="D2072" i="4"/>
  <c r="B2072" i="4"/>
  <c r="A2072" i="4"/>
  <c r="D2071" i="4"/>
  <c r="B2071" i="4"/>
  <c r="A2071" i="4"/>
  <c r="D2070" i="4"/>
  <c r="A2070" i="4"/>
  <c r="D2069" i="4"/>
  <c r="A2069" i="4"/>
  <c r="D2068" i="4"/>
  <c r="A2068" i="4"/>
  <c r="D2067" i="4"/>
  <c r="A2067" i="4"/>
  <c r="D2066" i="4"/>
  <c r="B2066" i="4"/>
  <c r="A2066" i="4"/>
  <c r="D2065" i="4"/>
  <c r="B2065" i="4"/>
  <c r="A2065" i="4"/>
  <c r="D2064" i="4"/>
  <c r="A2064" i="4"/>
  <c r="D2063" i="4"/>
  <c r="B2063" i="4"/>
  <c r="A2063" i="4"/>
  <c r="D2062" i="4"/>
  <c r="A2062" i="4"/>
  <c r="D2061" i="4"/>
  <c r="B2061" i="4"/>
  <c r="A2061" i="4"/>
  <c r="D2060" i="4"/>
  <c r="A2060" i="4"/>
  <c r="D2059" i="4"/>
  <c r="A2059" i="4"/>
  <c r="D2058" i="4"/>
  <c r="A2058" i="4"/>
  <c r="D2057" i="4"/>
  <c r="B2057" i="4"/>
  <c r="A2057" i="4"/>
  <c r="D2056" i="4"/>
  <c r="A2056" i="4"/>
  <c r="D2055" i="4"/>
  <c r="A2055" i="4"/>
  <c r="D2054" i="4"/>
  <c r="A2054" i="4"/>
  <c r="D2053" i="4"/>
  <c r="A2053" i="4"/>
  <c r="D2052" i="4"/>
  <c r="B2052" i="4"/>
  <c r="A2052" i="4"/>
  <c r="D2051" i="4"/>
  <c r="A2051" i="4"/>
  <c r="D2050" i="4"/>
  <c r="B2050" i="4"/>
  <c r="A2050" i="4"/>
  <c r="D2049" i="4"/>
  <c r="A2049" i="4"/>
  <c r="D2048" i="4"/>
  <c r="A2048" i="4"/>
  <c r="D2047" i="4"/>
  <c r="A2047" i="4"/>
  <c r="D2046" i="4"/>
  <c r="A2046" i="4"/>
  <c r="D2045" i="4"/>
  <c r="A2045" i="4"/>
  <c r="D2044" i="4"/>
  <c r="A2044" i="4"/>
  <c r="D2043" i="4"/>
  <c r="B2043" i="4"/>
  <c r="A2043" i="4"/>
  <c r="D2042" i="4"/>
  <c r="A2042" i="4"/>
  <c r="D2041" i="4"/>
  <c r="A2041" i="4"/>
  <c r="D2040" i="4"/>
  <c r="A2040" i="4"/>
  <c r="D2039" i="4"/>
  <c r="B2039" i="4"/>
  <c r="A2039" i="4"/>
  <c r="D2038" i="4"/>
  <c r="A2038" i="4"/>
  <c r="D2037" i="4"/>
  <c r="A2037" i="4"/>
  <c r="D2036" i="4"/>
  <c r="A2036" i="4"/>
  <c r="D2035" i="4"/>
  <c r="B2035" i="4"/>
  <c r="A2035" i="4"/>
  <c r="D2034" i="4"/>
  <c r="A2034" i="4"/>
  <c r="D2033" i="4"/>
  <c r="A2033" i="4"/>
  <c r="D2032" i="4"/>
  <c r="B2032" i="4"/>
  <c r="A2032" i="4"/>
  <c r="D2031" i="4"/>
  <c r="B2031" i="4"/>
  <c r="A2031" i="4"/>
  <c r="D2030" i="4"/>
  <c r="B2030" i="4"/>
  <c r="A2030" i="4"/>
  <c r="D2029" i="4"/>
  <c r="B2029" i="4"/>
  <c r="A2029" i="4"/>
  <c r="D2028" i="4"/>
  <c r="B2028" i="4"/>
  <c r="A2028" i="4"/>
  <c r="D2027" i="4"/>
  <c r="B2027" i="4"/>
  <c r="A2027" i="4"/>
  <c r="D2026" i="4"/>
  <c r="B2026" i="4"/>
  <c r="A2026" i="4"/>
  <c r="D2025" i="4"/>
  <c r="B2025" i="4"/>
  <c r="A2025" i="4"/>
  <c r="D2024" i="4"/>
  <c r="B2024" i="4"/>
  <c r="A2024" i="4"/>
  <c r="D2023" i="4"/>
  <c r="B2023" i="4"/>
  <c r="A2023" i="4"/>
  <c r="D2022" i="4"/>
  <c r="A2022" i="4"/>
  <c r="D2021" i="4"/>
  <c r="A2021" i="4"/>
  <c r="D2020" i="4"/>
  <c r="A2020" i="4"/>
  <c r="D2019" i="4"/>
  <c r="A2019" i="4"/>
  <c r="D2018" i="4"/>
  <c r="A2018" i="4"/>
  <c r="D2017" i="4"/>
  <c r="A2017" i="4"/>
  <c r="D2016" i="4"/>
  <c r="B2016" i="4"/>
  <c r="A2016" i="4"/>
  <c r="D2015" i="4"/>
  <c r="A2015" i="4"/>
  <c r="D2014" i="4"/>
  <c r="A2014" i="4"/>
  <c r="D2013" i="4"/>
  <c r="B2013" i="4"/>
  <c r="A2013" i="4"/>
  <c r="D2012" i="4"/>
  <c r="A2012" i="4"/>
  <c r="D2011" i="4"/>
  <c r="A2011" i="4"/>
  <c r="D2010" i="4"/>
  <c r="A2010" i="4"/>
  <c r="D2009" i="4"/>
  <c r="A2009" i="4"/>
  <c r="D2008" i="4"/>
  <c r="B2008" i="4"/>
  <c r="A2008" i="4"/>
  <c r="D2007" i="4"/>
  <c r="A2007" i="4"/>
  <c r="D2006" i="4"/>
  <c r="A2006" i="4"/>
  <c r="D2005" i="4"/>
  <c r="A2005" i="4"/>
  <c r="D2004" i="4"/>
  <c r="A2004" i="4"/>
  <c r="D2003" i="4"/>
  <c r="A2003" i="4"/>
  <c r="D2002" i="4"/>
  <c r="A2002" i="4"/>
  <c r="D2001" i="4"/>
  <c r="A2001" i="4"/>
  <c r="D2000" i="4"/>
  <c r="A2000" i="4"/>
  <c r="D1999" i="4"/>
  <c r="B1999" i="4"/>
  <c r="A1999" i="4"/>
  <c r="D1998" i="4"/>
  <c r="A1998" i="4"/>
  <c r="D1997" i="4"/>
  <c r="A1997" i="4"/>
  <c r="D1996" i="4"/>
  <c r="A1996" i="4"/>
  <c r="D1995" i="4"/>
  <c r="A1995" i="4"/>
  <c r="D1994" i="4"/>
  <c r="A1994" i="4"/>
  <c r="D1993" i="4"/>
  <c r="A1993" i="4"/>
  <c r="D1992" i="4"/>
  <c r="B1992" i="4"/>
  <c r="A1992" i="4"/>
  <c r="D1991" i="4"/>
  <c r="B1991" i="4"/>
  <c r="A1991" i="4"/>
  <c r="D1990" i="4"/>
  <c r="A1990" i="4"/>
  <c r="D1989" i="4"/>
  <c r="B1989" i="4"/>
  <c r="A1989" i="4"/>
  <c r="D1988" i="4"/>
  <c r="A1988" i="4"/>
  <c r="D1987" i="4"/>
  <c r="B1987" i="4"/>
  <c r="A1987" i="4"/>
  <c r="D1986" i="4"/>
  <c r="B1986" i="4"/>
  <c r="A1986" i="4"/>
  <c r="D1985" i="4"/>
  <c r="A1985" i="4"/>
  <c r="D1984" i="4"/>
  <c r="A1984" i="4"/>
  <c r="D1983" i="4"/>
  <c r="B1983" i="4"/>
  <c r="A1983" i="4"/>
  <c r="D1982" i="4"/>
  <c r="A1982" i="4"/>
  <c r="D1981" i="4"/>
  <c r="A1981" i="4"/>
  <c r="D1980" i="4"/>
  <c r="A1980" i="4"/>
  <c r="D1979" i="4"/>
  <c r="A1979" i="4"/>
  <c r="D1978" i="4"/>
  <c r="A1978" i="4"/>
  <c r="D1977" i="4"/>
  <c r="B1977" i="4"/>
  <c r="A1977" i="4"/>
  <c r="D1976" i="4"/>
  <c r="B1976" i="4"/>
  <c r="A1976" i="4"/>
  <c r="D1975" i="4"/>
  <c r="B1975" i="4"/>
  <c r="A1975" i="4"/>
  <c r="D1974" i="4"/>
  <c r="A1974" i="4"/>
  <c r="D1973" i="4"/>
  <c r="A1973" i="4"/>
  <c r="D1972" i="4"/>
  <c r="A1972" i="4"/>
  <c r="D1971" i="4"/>
  <c r="A1971" i="4"/>
  <c r="D1970" i="4"/>
  <c r="A1970" i="4"/>
  <c r="D1969" i="4"/>
  <c r="A1969" i="4"/>
  <c r="D1968" i="4"/>
  <c r="A1968" i="4"/>
  <c r="D1967" i="4"/>
  <c r="A1967" i="4"/>
  <c r="D1966" i="4"/>
  <c r="A1966" i="4"/>
  <c r="D1965" i="4"/>
  <c r="A1965" i="4"/>
  <c r="D1964" i="4"/>
  <c r="A1964" i="4"/>
  <c r="D1963" i="4"/>
  <c r="B1963" i="4"/>
  <c r="A1963" i="4"/>
  <c r="D1962" i="4"/>
  <c r="A1962" i="4"/>
  <c r="D1961" i="4"/>
  <c r="A1961" i="4"/>
  <c r="D1960" i="4"/>
  <c r="A1960" i="4"/>
  <c r="D1959" i="4"/>
  <c r="B1959" i="4"/>
  <c r="A1959" i="4"/>
  <c r="D1958" i="4"/>
  <c r="A1958" i="4"/>
  <c r="D1957" i="4"/>
  <c r="B1957" i="4"/>
  <c r="A1957" i="4"/>
  <c r="D1956" i="4"/>
  <c r="A1956" i="4"/>
  <c r="D1955" i="4"/>
  <c r="B1955" i="4"/>
  <c r="A1955" i="4"/>
  <c r="D1954" i="4"/>
  <c r="A1954" i="4"/>
  <c r="D1953" i="4"/>
  <c r="A1953" i="4"/>
  <c r="D1952" i="4"/>
  <c r="A1952" i="4"/>
  <c r="D1951" i="4"/>
  <c r="A1951" i="4"/>
  <c r="D1950" i="4"/>
  <c r="A1950" i="4"/>
  <c r="D1949" i="4"/>
  <c r="A1949" i="4"/>
  <c r="D1948" i="4"/>
  <c r="A1948" i="4"/>
  <c r="D1947" i="4"/>
  <c r="A1947" i="4"/>
  <c r="D1946" i="4"/>
  <c r="B1946" i="4"/>
  <c r="A1946" i="4"/>
  <c r="D1945" i="4"/>
  <c r="B1945" i="4"/>
  <c r="A1945" i="4"/>
  <c r="D1944" i="4"/>
  <c r="A1944" i="4"/>
  <c r="D1943" i="4"/>
  <c r="A1943" i="4"/>
  <c r="D1942" i="4"/>
  <c r="B1942" i="4"/>
  <c r="A1942" i="4"/>
  <c r="D1941" i="4"/>
  <c r="A1941" i="4"/>
  <c r="D1940" i="4"/>
  <c r="A1940" i="4"/>
  <c r="D1939" i="4"/>
  <c r="A1939" i="4"/>
  <c r="D1938" i="4"/>
  <c r="B1938" i="4"/>
  <c r="A1938" i="4"/>
  <c r="D1937" i="4"/>
  <c r="A1937" i="4"/>
  <c r="D1936" i="4"/>
  <c r="A1936" i="4"/>
  <c r="D1935" i="4"/>
  <c r="A1935" i="4"/>
  <c r="D1934" i="4"/>
  <c r="B1934" i="4"/>
  <c r="A1934" i="4"/>
  <c r="D1933" i="4"/>
  <c r="A1933" i="4"/>
  <c r="D1932" i="4"/>
  <c r="B1932" i="4"/>
  <c r="A1932" i="4"/>
  <c r="D1931" i="4"/>
  <c r="B1931" i="4"/>
  <c r="A1931" i="4"/>
  <c r="D1930" i="4"/>
  <c r="A1930" i="4"/>
  <c r="D1929" i="4"/>
  <c r="B1929" i="4"/>
  <c r="A1929" i="4"/>
  <c r="D1928" i="4"/>
  <c r="B1928" i="4"/>
  <c r="A1928" i="4"/>
  <c r="D1927" i="4"/>
  <c r="A1927" i="4"/>
  <c r="D1926" i="4"/>
  <c r="A1926" i="4"/>
  <c r="D1925" i="4"/>
  <c r="A1925" i="4"/>
  <c r="D1924" i="4"/>
  <c r="B1924" i="4"/>
  <c r="A1924" i="4"/>
  <c r="D1923" i="4"/>
  <c r="B1923" i="4"/>
  <c r="A1923" i="4"/>
  <c r="D1922" i="4"/>
  <c r="A1922" i="4"/>
  <c r="D1921" i="4"/>
  <c r="B1921" i="4"/>
  <c r="A1921" i="4"/>
  <c r="D1920" i="4"/>
  <c r="B1920" i="4"/>
  <c r="A1920" i="4"/>
  <c r="D1919" i="4"/>
  <c r="B1919" i="4"/>
  <c r="A1919" i="4"/>
  <c r="D1918" i="4"/>
  <c r="B1918" i="4"/>
  <c r="A1918" i="4"/>
  <c r="D1917" i="4"/>
  <c r="B1917" i="4"/>
  <c r="A1917" i="4"/>
  <c r="D1916" i="4"/>
  <c r="B1916" i="4"/>
  <c r="A1916" i="4"/>
  <c r="D1915" i="4"/>
  <c r="A1915" i="4"/>
  <c r="D1914" i="4"/>
  <c r="A1914" i="4"/>
  <c r="D1913" i="4"/>
  <c r="A1913" i="4"/>
  <c r="D1912" i="4"/>
  <c r="A1912" i="4"/>
  <c r="D1911" i="4"/>
  <c r="A1911" i="4"/>
  <c r="D1910" i="4"/>
  <c r="A1910" i="4"/>
  <c r="D1909" i="4"/>
  <c r="A1909" i="4"/>
  <c r="D1908" i="4"/>
  <c r="A1908" i="4"/>
  <c r="D1907" i="4"/>
  <c r="B1907" i="4"/>
  <c r="A1907" i="4"/>
  <c r="D1906" i="4"/>
  <c r="A1906" i="4"/>
  <c r="D1905" i="4"/>
  <c r="B1905" i="4"/>
  <c r="A1905" i="4"/>
  <c r="D1904" i="4"/>
  <c r="A1904" i="4"/>
  <c r="D1903" i="4"/>
  <c r="B1903" i="4"/>
  <c r="A1903" i="4"/>
  <c r="D1902" i="4"/>
  <c r="A1902" i="4"/>
  <c r="D1901" i="4"/>
  <c r="A1901" i="4"/>
  <c r="D1900" i="4"/>
  <c r="A1900" i="4"/>
  <c r="D1899" i="4"/>
  <c r="A1899" i="4"/>
  <c r="D1898" i="4"/>
  <c r="A1898" i="4"/>
  <c r="D1897" i="4"/>
  <c r="A1897" i="4"/>
  <c r="D1896" i="4"/>
  <c r="B1896" i="4"/>
  <c r="A1896" i="4"/>
  <c r="D1895" i="4"/>
  <c r="B1895" i="4"/>
  <c r="A1895" i="4"/>
  <c r="D1894" i="4"/>
  <c r="A1894" i="4"/>
  <c r="D1893" i="4"/>
  <c r="A1893" i="4"/>
  <c r="D1892" i="4"/>
  <c r="A1892" i="4"/>
  <c r="D1891" i="4"/>
  <c r="A1891" i="4"/>
  <c r="D1890" i="4"/>
  <c r="A1890" i="4"/>
  <c r="D1889" i="4"/>
  <c r="A1889" i="4"/>
  <c r="D1888" i="4"/>
  <c r="A1888" i="4"/>
  <c r="D1887" i="4"/>
  <c r="A1887" i="4"/>
  <c r="D1886" i="4"/>
  <c r="B1886" i="4"/>
  <c r="A1886" i="4"/>
  <c r="D1885" i="4"/>
  <c r="A1885" i="4"/>
  <c r="D1884" i="4"/>
  <c r="A1884" i="4"/>
  <c r="D1883" i="4"/>
  <c r="A1883" i="4"/>
  <c r="D1882" i="4"/>
  <c r="A1882" i="4"/>
  <c r="D1881" i="4"/>
  <c r="B1881" i="4"/>
  <c r="A1881" i="4"/>
  <c r="D1880" i="4"/>
  <c r="A1880" i="4"/>
  <c r="D1879" i="4"/>
  <c r="B1879" i="4"/>
  <c r="A1879" i="4"/>
  <c r="D1878" i="4"/>
  <c r="B1878" i="4"/>
  <c r="A1878" i="4"/>
  <c r="D1877" i="4"/>
  <c r="A1877" i="4"/>
  <c r="D1876" i="4"/>
  <c r="A1876" i="4"/>
  <c r="D1875" i="4"/>
  <c r="A1875" i="4"/>
  <c r="D1874" i="4"/>
  <c r="A1874" i="4"/>
  <c r="D1873" i="4"/>
  <c r="A1873" i="4"/>
  <c r="D1872" i="4"/>
  <c r="A1872" i="4"/>
  <c r="D1871" i="4"/>
  <c r="A1871" i="4"/>
  <c r="D1870" i="4"/>
  <c r="A1870" i="4"/>
  <c r="D1869" i="4"/>
  <c r="B1869" i="4"/>
  <c r="A1869" i="4"/>
  <c r="D1868" i="4"/>
  <c r="B1868" i="4"/>
  <c r="A1868" i="4"/>
  <c r="D1867" i="4"/>
  <c r="A1867" i="4"/>
  <c r="D1866" i="4"/>
  <c r="A1866" i="4"/>
  <c r="D1865" i="4"/>
  <c r="A1865" i="4"/>
  <c r="D1864" i="4"/>
  <c r="A1864" i="4"/>
  <c r="D1863" i="4"/>
  <c r="A1863" i="4"/>
  <c r="D1862" i="4"/>
  <c r="A1862" i="4"/>
  <c r="D1861" i="4"/>
  <c r="B1861" i="4"/>
  <c r="A1861" i="4"/>
  <c r="D1860" i="4"/>
  <c r="A1860" i="4"/>
  <c r="D1859" i="4"/>
  <c r="A1859" i="4"/>
  <c r="D1858" i="4"/>
  <c r="A1858" i="4"/>
  <c r="D1857" i="4"/>
  <c r="A1857" i="4"/>
  <c r="D1856" i="4"/>
  <c r="A1856" i="4"/>
  <c r="D1855" i="4"/>
  <c r="A1855" i="4"/>
  <c r="D1854" i="4"/>
  <c r="A1854" i="4"/>
  <c r="D1853" i="4"/>
  <c r="A1853" i="4"/>
  <c r="D1852" i="4"/>
  <c r="A1852" i="4"/>
  <c r="D1851" i="4"/>
  <c r="A1851" i="4"/>
  <c r="D1850" i="4"/>
  <c r="A1850" i="4"/>
  <c r="D1849" i="4"/>
  <c r="A1849" i="4"/>
  <c r="D1848" i="4"/>
  <c r="A1848" i="4"/>
  <c r="D1847" i="4"/>
  <c r="A1847" i="4"/>
  <c r="D1846" i="4"/>
  <c r="A1846" i="4"/>
  <c r="D1845" i="4"/>
  <c r="A1845" i="4"/>
  <c r="D1844" i="4"/>
  <c r="A1844" i="4"/>
  <c r="D1843" i="4"/>
  <c r="A1843" i="4"/>
  <c r="D1842" i="4"/>
  <c r="A1842" i="4"/>
  <c r="D1841" i="4"/>
  <c r="A1841" i="4"/>
  <c r="D1840" i="4"/>
  <c r="A1840" i="4"/>
  <c r="D1839" i="4"/>
  <c r="A1839" i="4"/>
  <c r="D1838" i="4"/>
  <c r="A1838" i="4"/>
  <c r="D1837" i="4"/>
  <c r="A1837" i="4"/>
  <c r="D1836" i="4"/>
  <c r="A1836" i="4"/>
  <c r="D1835" i="4"/>
  <c r="A1835" i="4"/>
  <c r="D1834" i="4"/>
  <c r="A1834" i="4"/>
  <c r="D1833" i="4"/>
  <c r="A1833" i="4"/>
  <c r="D1832" i="4"/>
  <c r="A1832" i="4"/>
  <c r="D1831" i="4"/>
  <c r="A1831" i="4"/>
  <c r="D1830" i="4"/>
  <c r="A1830" i="4"/>
  <c r="D1829" i="4"/>
  <c r="A1829" i="4"/>
  <c r="D1828" i="4"/>
  <c r="A1828" i="4"/>
  <c r="D1827" i="4"/>
  <c r="A1827" i="4"/>
  <c r="D1826" i="4"/>
  <c r="A1826" i="4"/>
  <c r="D1825" i="4"/>
  <c r="A1825" i="4"/>
  <c r="D1824" i="4"/>
  <c r="A1824" i="4"/>
  <c r="D1823" i="4"/>
  <c r="A1823" i="4"/>
  <c r="D1822" i="4"/>
  <c r="A1822" i="4"/>
  <c r="D1821" i="4"/>
  <c r="A1821" i="4"/>
  <c r="D1820" i="4"/>
  <c r="A1820" i="4"/>
  <c r="D1819" i="4"/>
  <c r="A1819" i="4"/>
  <c r="D1818" i="4"/>
  <c r="A1818" i="4"/>
  <c r="D1817" i="4"/>
  <c r="A1817" i="4"/>
  <c r="D1816" i="4"/>
  <c r="A1816" i="4"/>
  <c r="D1815" i="4"/>
  <c r="A1815" i="4"/>
  <c r="D1814" i="4"/>
  <c r="A1814" i="4"/>
  <c r="D1813" i="4"/>
  <c r="A1813" i="4"/>
  <c r="D1812" i="4"/>
  <c r="A1812" i="4"/>
  <c r="D1811" i="4"/>
  <c r="A1811" i="4"/>
  <c r="D1810" i="4"/>
  <c r="C1810" i="4"/>
  <c r="B1810" i="4"/>
  <c r="A1810" i="4"/>
  <c r="D1809" i="4"/>
  <c r="B1809" i="4"/>
  <c r="A1809" i="4"/>
  <c r="D1808" i="4"/>
  <c r="B1808" i="4"/>
  <c r="A1808" i="4"/>
  <c r="D1807" i="4"/>
  <c r="B1807" i="4"/>
  <c r="A1807" i="4"/>
  <c r="D1806" i="4"/>
  <c r="B1806" i="4"/>
  <c r="A1806" i="4"/>
  <c r="D1805" i="4"/>
  <c r="B1805" i="4"/>
  <c r="A1805" i="4"/>
  <c r="D1804" i="4"/>
  <c r="A1804" i="4"/>
  <c r="D1803" i="4"/>
  <c r="B1803" i="4"/>
  <c r="A1803" i="4"/>
  <c r="D1802" i="4"/>
  <c r="B1802" i="4"/>
  <c r="A1802" i="4"/>
  <c r="D1801" i="4"/>
  <c r="B1801" i="4"/>
  <c r="A1801" i="4"/>
  <c r="D1800" i="4"/>
  <c r="C1800" i="4"/>
  <c r="B1800" i="4"/>
  <c r="A1800" i="4"/>
  <c r="D1799" i="4"/>
  <c r="A1799" i="4"/>
  <c r="D1798" i="4"/>
  <c r="A1798" i="4"/>
  <c r="D1797" i="4"/>
  <c r="B1797" i="4"/>
  <c r="A1797" i="4"/>
  <c r="D1796" i="4"/>
  <c r="B1796" i="4"/>
  <c r="A1796" i="4"/>
  <c r="D1795" i="4"/>
  <c r="A1795" i="4"/>
  <c r="D1794" i="4"/>
  <c r="A1794" i="4"/>
  <c r="D1793" i="4"/>
  <c r="B1793" i="4"/>
  <c r="A1793" i="4"/>
  <c r="D1792" i="4"/>
  <c r="A1792" i="4"/>
  <c r="D1791" i="4"/>
  <c r="B1791" i="4"/>
  <c r="A1791" i="4"/>
  <c r="D1790" i="4"/>
  <c r="A1790" i="4"/>
  <c r="D1789" i="4"/>
  <c r="B1789" i="4"/>
  <c r="A1789" i="4"/>
  <c r="D1788" i="4"/>
  <c r="B1788" i="4"/>
  <c r="A1788" i="4"/>
  <c r="D1787" i="4"/>
  <c r="B1787" i="4"/>
  <c r="A1787" i="4"/>
  <c r="D1786" i="4"/>
  <c r="A1786" i="4"/>
  <c r="D1785" i="4"/>
  <c r="B1785" i="4"/>
  <c r="A1785" i="4"/>
  <c r="D1784" i="4"/>
  <c r="B1784" i="4"/>
  <c r="A1784" i="4"/>
  <c r="D1783" i="4"/>
  <c r="A1783" i="4"/>
  <c r="D1782" i="4"/>
  <c r="A1782" i="4"/>
  <c r="D1781" i="4"/>
  <c r="B1781" i="4"/>
  <c r="A1781" i="4"/>
  <c r="D1780" i="4"/>
  <c r="B1780" i="4"/>
  <c r="A1780" i="4"/>
  <c r="D1779" i="4"/>
  <c r="B1779" i="4"/>
  <c r="A1779" i="4"/>
  <c r="D1778" i="4"/>
  <c r="B1778" i="4"/>
  <c r="A1778" i="4"/>
  <c r="D1777" i="4"/>
  <c r="A1777" i="4"/>
  <c r="D1776" i="4"/>
  <c r="A1776" i="4"/>
  <c r="D1775" i="4"/>
  <c r="B1775" i="4"/>
  <c r="A1775" i="4"/>
  <c r="D1774" i="4"/>
  <c r="B1774" i="4"/>
  <c r="A1774" i="4"/>
  <c r="D1773" i="4"/>
  <c r="B1773" i="4"/>
  <c r="A1773" i="4"/>
  <c r="D1772" i="4"/>
  <c r="B1772" i="4"/>
  <c r="A1772" i="4"/>
  <c r="D1771" i="4"/>
  <c r="A1771" i="4"/>
  <c r="D1770" i="4"/>
  <c r="B1770" i="4"/>
  <c r="A1770" i="4"/>
  <c r="D1769" i="4"/>
  <c r="B1769" i="4"/>
  <c r="A1769" i="4"/>
  <c r="D1768" i="4"/>
  <c r="B1768" i="4"/>
  <c r="A1768" i="4"/>
  <c r="D1767" i="4"/>
  <c r="A1767" i="4"/>
  <c r="D1766" i="4"/>
  <c r="B1766" i="4"/>
  <c r="A1766" i="4"/>
  <c r="D1765" i="4"/>
  <c r="B1765" i="4"/>
  <c r="A1765" i="4"/>
  <c r="D1764" i="4"/>
  <c r="B1764" i="4"/>
  <c r="A1764" i="4"/>
  <c r="D1763" i="4"/>
  <c r="B1763" i="4"/>
  <c r="A1763" i="4"/>
  <c r="D1762" i="4"/>
  <c r="B1762" i="4"/>
  <c r="A1762" i="4"/>
  <c r="D1761" i="4"/>
  <c r="B1761" i="4"/>
  <c r="A1761" i="4"/>
  <c r="D1760" i="4"/>
  <c r="B1760" i="4"/>
  <c r="A1760" i="4"/>
  <c r="D1759" i="4"/>
  <c r="B1759" i="4"/>
  <c r="A1759" i="4"/>
  <c r="D1758" i="4"/>
  <c r="A1758" i="4"/>
  <c r="D1757" i="4"/>
  <c r="A1757" i="4"/>
  <c r="D1756" i="4"/>
  <c r="B1756" i="4"/>
  <c r="A1756" i="4"/>
  <c r="D1755" i="4"/>
  <c r="B1755" i="4"/>
  <c r="A1755" i="4"/>
  <c r="D1754" i="4"/>
  <c r="B1754" i="4"/>
  <c r="A1754" i="4"/>
  <c r="D1753" i="4"/>
  <c r="A1753" i="4"/>
  <c r="D1752" i="4"/>
  <c r="A1752" i="4"/>
  <c r="D1751" i="4"/>
  <c r="A1751" i="4"/>
  <c r="D1750" i="4"/>
  <c r="B1750" i="4"/>
  <c r="A1750" i="4"/>
  <c r="D1749" i="4"/>
  <c r="A1749" i="4"/>
  <c r="D1748" i="4"/>
  <c r="B1748" i="4"/>
  <c r="A1748" i="4"/>
  <c r="D1747" i="4"/>
  <c r="A1747" i="4"/>
  <c r="D1746" i="4"/>
  <c r="A1746" i="4"/>
  <c r="D1745" i="4"/>
  <c r="A1745" i="4"/>
  <c r="D1744" i="4"/>
  <c r="A1744" i="4"/>
  <c r="D1743" i="4"/>
  <c r="A1743" i="4"/>
  <c r="D1742" i="4"/>
  <c r="B1742" i="4"/>
  <c r="A1742" i="4"/>
  <c r="D1741" i="4"/>
  <c r="A1741" i="4"/>
  <c r="D1740" i="4"/>
  <c r="A1740" i="4"/>
  <c r="D1739" i="4"/>
  <c r="A1739" i="4"/>
  <c r="D1738" i="4"/>
  <c r="A1738" i="4"/>
  <c r="D1737" i="4"/>
  <c r="A1737" i="4"/>
  <c r="D1736" i="4"/>
  <c r="A1736" i="4"/>
  <c r="D1735" i="4"/>
  <c r="B1735" i="4"/>
  <c r="A1735" i="4"/>
  <c r="D1734" i="4"/>
  <c r="A1734" i="4"/>
  <c r="D1733" i="4"/>
  <c r="B1733" i="4"/>
  <c r="A1733" i="4"/>
  <c r="D1732" i="4"/>
  <c r="B1732" i="4"/>
  <c r="A1732" i="4"/>
  <c r="D1731" i="4"/>
  <c r="A1731" i="4"/>
  <c r="D1730" i="4"/>
  <c r="A1730" i="4"/>
  <c r="D1729" i="4"/>
  <c r="A1729" i="4"/>
  <c r="D1728" i="4"/>
  <c r="B1728" i="4"/>
  <c r="A1728" i="4"/>
  <c r="D1727" i="4"/>
  <c r="B1727" i="4"/>
  <c r="A1727" i="4"/>
  <c r="D1726" i="4"/>
  <c r="A1726" i="4"/>
  <c r="D1725" i="4"/>
  <c r="A1725" i="4"/>
  <c r="D1724" i="4"/>
  <c r="A1724" i="4"/>
  <c r="D1723" i="4"/>
  <c r="A1723" i="4"/>
  <c r="D1722" i="4"/>
  <c r="A1722" i="4"/>
  <c r="D1721" i="4"/>
  <c r="A1721" i="4"/>
  <c r="D1720" i="4"/>
  <c r="A1720" i="4"/>
  <c r="D1719" i="4"/>
  <c r="A1719" i="4"/>
  <c r="D1718" i="4"/>
  <c r="A1718" i="4"/>
  <c r="D1717" i="4"/>
  <c r="A1717" i="4"/>
  <c r="D1716" i="4"/>
  <c r="A1716" i="4"/>
  <c r="D1715" i="4"/>
  <c r="B1715" i="4"/>
  <c r="A1715" i="4"/>
  <c r="D1714" i="4"/>
  <c r="A1714" i="4"/>
  <c r="D1713" i="4"/>
  <c r="A1713" i="4"/>
  <c r="D1712" i="4"/>
  <c r="A1712" i="4"/>
  <c r="D1711" i="4"/>
  <c r="B1711" i="4"/>
  <c r="A1711" i="4"/>
  <c r="D1710" i="4"/>
  <c r="A1710" i="4"/>
  <c r="D1709" i="4"/>
  <c r="B1709" i="4"/>
  <c r="A1709" i="4"/>
  <c r="D1708" i="4"/>
  <c r="A1708" i="4"/>
  <c r="D1707" i="4"/>
  <c r="A1707" i="4"/>
  <c r="D1706" i="4"/>
  <c r="A1706" i="4"/>
  <c r="D1705" i="4"/>
  <c r="A1705" i="4"/>
  <c r="D1704" i="4"/>
  <c r="A1704" i="4"/>
  <c r="D1703" i="4"/>
  <c r="A1703" i="4"/>
  <c r="D1702" i="4"/>
  <c r="B1702" i="4"/>
  <c r="A1702" i="4"/>
  <c r="D1701" i="4"/>
  <c r="A1701" i="4"/>
  <c r="D1700" i="4"/>
  <c r="A1700" i="4"/>
  <c r="D1699" i="4"/>
  <c r="A1699" i="4"/>
  <c r="D1698" i="4"/>
  <c r="A1698" i="4"/>
  <c r="D1697" i="4"/>
  <c r="A1697" i="4"/>
  <c r="D1696" i="4"/>
  <c r="A1696" i="4"/>
  <c r="D1695" i="4"/>
  <c r="B1695" i="4"/>
  <c r="A1695" i="4"/>
  <c r="D1694" i="4"/>
  <c r="A1694" i="4"/>
  <c r="D1693" i="4"/>
  <c r="B1693" i="4"/>
  <c r="A1693" i="4"/>
  <c r="D1692" i="4"/>
  <c r="A1692" i="4"/>
  <c r="D1691" i="4"/>
  <c r="A1691" i="4"/>
  <c r="D1690" i="4"/>
  <c r="B1690" i="4"/>
  <c r="A1690" i="4"/>
  <c r="D1689" i="4"/>
  <c r="A1689" i="4"/>
  <c r="D1688" i="4"/>
  <c r="A1688" i="4"/>
  <c r="D1687" i="4"/>
  <c r="A1687" i="4"/>
  <c r="D1686" i="4"/>
  <c r="A1686" i="4"/>
  <c r="D1685" i="4"/>
  <c r="B1685" i="4"/>
  <c r="A1685" i="4"/>
  <c r="D1684" i="4"/>
  <c r="A1684" i="4"/>
  <c r="D1683" i="4"/>
  <c r="A1683" i="4"/>
  <c r="D1682" i="4"/>
  <c r="B1682" i="4"/>
  <c r="A1682" i="4"/>
  <c r="D1681" i="4"/>
  <c r="A1681" i="4"/>
  <c r="D1680" i="4"/>
  <c r="A1680" i="4"/>
  <c r="D1679" i="4"/>
  <c r="A1679" i="4"/>
  <c r="D1678" i="4"/>
  <c r="A1678" i="4"/>
  <c r="D1677" i="4"/>
  <c r="A1677" i="4"/>
  <c r="D1676" i="4"/>
  <c r="B1676" i="4"/>
  <c r="A1676" i="4"/>
  <c r="D1675" i="4"/>
  <c r="A1675" i="4"/>
  <c r="D1674" i="4"/>
  <c r="A1674" i="4"/>
  <c r="D1673" i="4"/>
  <c r="A1673" i="4"/>
  <c r="D1672" i="4"/>
  <c r="A1672" i="4"/>
  <c r="D1671" i="4"/>
  <c r="A1671" i="4"/>
  <c r="D1670" i="4"/>
  <c r="A1670" i="4"/>
  <c r="D1669" i="4"/>
  <c r="B1669" i="4"/>
  <c r="A1669" i="4"/>
  <c r="D1668" i="4"/>
  <c r="B1668" i="4"/>
  <c r="A1668" i="4"/>
  <c r="D1667" i="4"/>
  <c r="A1667" i="4"/>
  <c r="D1666" i="4"/>
  <c r="B1666" i="4"/>
  <c r="A1666" i="4"/>
  <c r="D1665" i="4"/>
  <c r="B1665" i="4"/>
  <c r="A1665" i="4"/>
  <c r="D1664" i="4"/>
  <c r="B1664" i="4"/>
  <c r="A1664" i="4"/>
  <c r="D1663" i="4"/>
  <c r="B1663" i="4"/>
  <c r="A1663" i="4"/>
  <c r="D1662" i="4"/>
  <c r="B1662" i="4"/>
  <c r="A1662" i="4"/>
  <c r="D1661" i="4"/>
  <c r="A1661" i="4"/>
  <c r="D1660" i="4"/>
  <c r="B1660" i="4"/>
  <c r="A1660" i="4"/>
  <c r="D1659" i="4"/>
  <c r="B1659" i="4"/>
  <c r="A1659" i="4"/>
  <c r="D1658" i="4"/>
  <c r="A1658" i="4"/>
  <c r="D1657" i="4"/>
  <c r="B1657" i="4"/>
  <c r="A1657" i="4"/>
  <c r="D1656" i="4"/>
  <c r="B1656" i="4"/>
  <c r="A1656" i="4"/>
  <c r="D1655" i="4"/>
  <c r="A1655" i="4"/>
  <c r="D1654" i="4"/>
  <c r="B1654" i="4"/>
  <c r="A1654" i="4"/>
  <c r="D1653" i="4"/>
  <c r="B1653" i="4"/>
  <c r="A1653" i="4"/>
  <c r="D1652" i="4"/>
  <c r="A1652" i="4"/>
  <c r="D1651" i="4"/>
  <c r="B1651" i="4"/>
  <c r="A1651" i="4"/>
  <c r="D1650" i="4"/>
  <c r="B1650" i="4"/>
  <c r="A1650" i="4"/>
  <c r="D1649" i="4"/>
  <c r="B1649" i="4"/>
  <c r="A1649" i="4"/>
  <c r="D1648" i="4"/>
  <c r="B1648" i="4"/>
  <c r="A1648" i="4"/>
  <c r="D1647" i="4"/>
  <c r="B1647" i="4"/>
  <c r="A1647" i="4"/>
  <c r="D1646" i="4"/>
  <c r="B1646" i="4"/>
  <c r="A1646" i="4"/>
  <c r="D1645" i="4"/>
  <c r="B1645" i="4"/>
  <c r="A1645" i="4"/>
  <c r="D1644" i="4"/>
  <c r="B1644" i="4"/>
  <c r="A1644" i="4"/>
  <c r="D1643" i="4"/>
  <c r="B1643" i="4"/>
  <c r="A1643" i="4"/>
  <c r="D1642" i="4"/>
  <c r="B1642" i="4"/>
  <c r="A1642" i="4"/>
  <c r="D1641" i="4"/>
  <c r="C1641" i="4"/>
  <c r="B1641" i="4"/>
  <c r="A1641" i="4"/>
  <c r="D1640" i="4"/>
  <c r="A1640" i="4"/>
  <c r="D1639" i="4"/>
  <c r="A1639" i="4"/>
  <c r="D1638" i="4"/>
  <c r="A1638" i="4"/>
  <c r="D1637" i="4"/>
  <c r="B1637" i="4"/>
  <c r="A1637" i="4"/>
  <c r="D1636" i="4"/>
  <c r="A1636" i="4"/>
  <c r="D1635" i="4"/>
  <c r="A1635" i="4"/>
  <c r="D1634" i="4"/>
  <c r="A1634" i="4"/>
  <c r="D1633" i="4"/>
  <c r="A1633" i="4"/>
  <c r="D1632" i="4"/>
  <c r="A1632" i="4"/>
  <c r="D1631" i="4"/>
  <c r="A1631" i="4"/>
  <c r="D1630" i="4"/>
  <c r="B1630" i="4"/>
  <c r="A1630" i="4"/>
  <c r="D1629" i="4"/>
  <c r="B1629" i="4"/>
  <c r="A1629" i="4"/>
  <c r="D1628" i="4"/>
  <c r="A1628" i="4"/>
  <c r="D1627" i="4"/>
  <c r="A1627" i="4"/>
  <c r="D1626" i="4"/>
  <c r="A1626" i="4"/>
  <c r="D1625" i="4"/>
  <c r="A1625" i="4"/>
  <c r="D1624" i="4"/>
  <c r="A1624" i="4"/>
  <c r="D1623" i="4"/>
  <c r="A1623" i="4"/>
  <c r="D1622" i="4"/>
  <c r="B1622" i="4"/>
  <c r="A1622" i="4"/>
  <c r="D1621" i="4"/>
  <c r="A1621" i="4"/>
  <c r="D1620" i="4"/>
  <c r="A1620" i="4"/>
  <c r="D1619" i="4"/>
  <c r="A1619" i="4"/>
  <c r="D1618" i="4"/>
  <c r="A1618" i="4"/>
  <c r="D1617" i="4"/>
  <c r="A1617" i="4"/>
  <c r="D1616" i="4"/>
  <c r="A1616" i="4"/>
  <c r="D1615" i="4"/>
  <c r="B1615" i="4"/>
  <c r="A1615" i="4"/>
  <c r="D1614" i="4"/>
  <c r="A1614" i="4"/>
  <c r="D1613" i="4"/>
  <c r="A1613" i="4"/>
  <c r="D1612" i="4"/>
  <c r="A1612" i="4"/>
  <c r="D1611" i="4"/>
  <c r="A1611" i="4"/>
  <c r="D1610" i="4"/>
  <c r="A1610" i="4"/>
  <c r="D1609" i="4"/>
  <c r="A1609" i="4"/>
  <c r="D1608" i="4"/>
  <c r="A1608" i="4"/>
  <c r="D1607" i="4"/>
  <c r="B1607" i="4"/>
  <c r="A1607" i="4"/>
  <c r="D1606" i="4"/>
  <c r="A1606" i="4"/>
  <c r="D1605" i="4"/>
  <c r="A1605" i="4"/>
  <c r="D1604" i="4"/>
  <c r="A1604" i="4"/>
  <c r="D1603" i="4"/>
  <c r="B1603" i="4"/>
  <c r="A1603" i="4"/>
  <c r="D1602" i="4"/>
  <c r="A1602" i="4"/>
  <c r="D1601" i="4"/>
  <c r="A1601" i="4"/>
  <c r="D1600" i="4"/>
  <c r="A1600" i="4"/>
  <c r="D1599" i="4"/>
  <c r="B1599" i="4"/>
  <c r="A1599" i="4"/>
  <c r="D1598" i="4"/>
  <c r="A1598" i="4"/>
  <c r="D1597" i="4"/>
  <c r="A1597" i="4"/>
  <c r="D1596" i="4"/>
  <c r="A1596" i="4"/>
  <c r="D1595" i="4"/>
  <c r="A1595" i="4"/>
  <c r="D1594" i="4"/>
  <c r="A1594" i="4"/>
  <c r="D1593" i="4"/>
  <c r="A1593" i="4"/>
  <c r="D1592" i="4"/>
  <c r="A1592" i="4"/>
  <c r="D1591" i="4"/>
  <c r="A1591" i="4"/>
  <c r="D1590" i="4"/>
  <c r="A1590" i="4"/>
  <c r="D1589" i="4"/>
  <c r="A1589" i="4"/>
  <c r="D1588" i="4"/>
  <c r="A1588" i="4"/>
  <c r="D1587" i="4"/>
  <c r="A1587" i="4"/>
  <c r="D1586" i="4"/>
  <c r="A1586" i="4"/>
  <c r="D1585" i="4"/>
  <c r="B1585" i="4"/>
  <c r="A1585" i="4"/>
  <c r="D1584" i="4"/>
  <c r="A1584" i="4"/>
  <c r="D1583" i="4"/>
  <c r="B1583" i="4"/>
  <c r="A1583" i="4"/>
  <c r="D1582" i="4"/>
  <c r="B1582" i="4"/>
  <c r="A1582" i="4"/>
  <c r="D1581" i="4"/>
  <c r="A1581" i="4"/>
  <c r="D1580" i="4"/>
  <c r="B1580" i="4"/>
  <c r="A1580" i="4"/>
  <c r="D1579" i="4"/>
  <c r="A1579" i="4"/>
  <c r="D1578" i="4"/>
  <c r="A1578" i="4"/>
  <c r="D1577" i="4"/>
  <c r="A1577" i="4"/>
  <c r="D1576" i="4"/>
  <c r="A1576" i="4"/>
  <c r="D1575" i="4"/>
  <c r="B1575" i="4"/>
  <c r="A1575" i="4"/>
  <c r="D1574" i="4"/>
  <c r="A1574" i="4"/>
  <c r="D1573" i="4"/>
  <c r="A1573" i="4"/>
  <c r="D1572" i="4"/>
  <c r="B1572" i="4"/>
  <c r="A1572" i="4"/>
  <c r="D1571" i="4"/>
  <c r="A1571" i="4"/>
  <c r="D1570" i="4"/>
  <c r="A1570" i="4"/>
  <c r="D1569" i="4"/>
  <c r="A1569" i="4"/>
  <c r="D1568" i="4"/>
  <c r="B1568" i="4"/>
  <c r="A1568" i="4"/>
  <c r="D1567" i="4"/>
  <c r="B1567" i="4"/>
  <c r="A1567" i="4"/>
  <c r="D1566" i="4"/>
  <c r="B1566" i="4"/>
  <c r="A1566" i="4"/>
  <c r="D1565" i="4"/>
  <c r="A1565" i="4"/>
  <c r="D1564" i="4"/>
  <c r="A1564" i="4"/>
  <c r="D1563" i="4"/>
  <c r="A1563" i="4"/>
  <c r="D1562" i="4"/>
  <c r="A1562" i="4"/>
  <c r="D1561" i="4"/>
  <c r="A1561" i="4"/>
  <c r="D1560" i="4"/>
  <c r="A1560" i="4"/>
  <c r="D1559" i="4"/>
  <c r="A1559" i="4"/>
  <c r="D1558" i="4"/>
  <c r="B1558" i="4"/>
  <c r="A1558" i="4"/>
  <c r="D1557" i="4"/>
  <c r="B1557" i="4"/>
  <c r="A1557" i="4"/>
  <c r="D1556" i="4"/>
  <c r="B1556" i="4"/>
  <c r="A1556" i="4"/>
  <c r="D1555" i="4"/>
  <c r="A1555" i="4"/>
  <c r="D1554" i="4"/>
  <c r="A1554" i="4"/>
  <c r="D1553" i="4"/>
  <c r="A1553" i="4"/>
  <c r="D1552" i="4"/>
  <c r="A1552" i="4"/>
  <c r="D1551" i="4"/>
  <c r="A1551" i="4"/>
  <c r="D1550" i="4"/>
  <c r="B1550" i="4"/>
  <c r="A1550" i="4"/>
  <c r="D1549" i="4"/>
  <c r="A1549" i="4"/>
  <c r="D1548" i="4"/>
  <c r="A1548" i="4"/>
  <c r="D1547" i="4"/>
  <c r="A1547" i="4"/>
  <c r="D1546" i="4"/>
  <c r="B1546" i="4"/>
  <c r="A1546" i="4"/>
  <c r="D1545" i="4"/>
  <c r="A1545" i="4"/>
  <c r="D1544" i="4"/>
  <c r="A1544" i="4"/>
  <c r="D1543" i="4"/>
  <c r="A1543" i="4"/>
  <c r="D1542" i="4"/>
  <c r="A1542" i="4"/>
  <c r="D1541" i="4"/>
  <c r="B1541" i="4"/>
  <c r="A1541" i="4"/>
  <c r="D1540" i="4"/>
  <c r="A1540" i="4"/>
  <c r="D1539" i="4"/>
  <c r="A1539" i="4"/>
  <c r="D1538" i="4"/>
  <c r="A1538" i="4"/>
  <c r="D1537" i="4"/>
  <c r="B1537" i="4"/>
  <c r="A1537" i="4"/>
  <c r="D1536" i="4"/>
  <c r="A1536" i="4"/>
  <c r="D1535" i="4"/>
  <c r="A1535" i="4"/>
  <c r="D1534" i="4"/>
  <c r="A1534" i="4"/>
  <c r="D1533" i="4"/>
  <c r="B1533" i="4"/>
  <c r="A1533" i="4"/>
  <c r="D1532" i="4"/>
  <c r="A1532" i="4"/>
  <c r="D1531" i="4"/>
  <c r="A1531" i="4"/>
  <c r="D1530" i="4"/>
  <c r="A1530" i="4"/>
  <c r="D1529" i="4"/>
  <c r="B1529" i="4"/>
  <c r="A1529" i="4"/>
  <c r="D1528" i="4"/>
  <c r="B1528" i="4"/>
  <c r="A1528" i="4"/>
  <c r="D1527" i="4"/>
  <c r="B1527" i="4"/>
  <c r="A1527" i="4"/>
  <c r="D1526" i="4"/>
  <c r="A1526" i="4"/>
  <c r="D1525" i="4"/>
  <c r="B1525" i="4"/>
  <c r="A1525" i="4"/>
  <c r="D1524" i="4"/>
  <c r="A1524" i="4"/>
  <c r="D1523" i="4"/>
  <c r="B1523" i="4"/>
  <c r="A1523" i="4"/>
  <c r="D1522" i="4"/>
  <c r="A1522" i="4"/>
  <c r="D1521" i="4"/>
  <c r="A1521" i="4"/>
  <c r="D1520" i="4"/>
  <c r="A1520" i="4"/>
  <c r="D1519" i="4"/>
  <c r="A1519" i="4"/>
  <c r="D1518" i="4"/>
  <c r="A1518" i="4"/>
  <c r="D1517" i="4"/>
  <c r="A1517" i="4"/>
  <c r="D1516" i="4"/>
  <c r="A1516" i="4"/>
  <c r="D1515" i="4"/>
  <c r="A1515" i="4"/>
  <c r="D1514" i="4"/>
  <c r="A1514" i="4"/>
  <c r="D1513" i="4"/>
  <c r="A1513" i="4"/>
  <c r="D1512" i="4"/>
  <c r="A1512" i="4"/>
  <c r="D1511" i="4"/>
  <c r="B1511" i="4"/>
  <c r="A1511" i="4"/>
  <c r="D1510" i="4"/>
  <c r="B1510" i="4"/>
  <c r="A1510" i="4"/>
  <c r="D1509" i="4"/>
  <c r="B1509" i="4"/>
  <c r="A1509" i="4"/>
  <c r="D1508" i="4"/>
  <c r="A1508" i="4"/>
  <c r="D1507" i="4"/>
  <c r="B1507" i="4"/>
  <c r="A1507" i="4"/>
  <c r="D1506" i="4"/>
  <c r="A1506" i="4"/>
  <c r="D1505" i="4"/>
  <c r="A1505" i="4"/>
  <c r="D1504" i="4"/>
  <c r="A1504" i="4"/>
  <c r="D1503" i="4"/>
  <c r="A1503" i="4"/>
  <c r="D1502" i="4"/>
  <c r="A1502" i="4"/>
  <c r="D1501" i="4"/>
  <c r="B1501" i="4"/>
  <c r="A1501" i="4"/>
  <c r="D1500" i="4"/>
  <c r="A1500" i="4"/>
  <c r="D1499" i="4"/>
  <c r="A1499" i="4"/>
  <c r="D1498" i="4"/>
  <c r="B1498" i="4"/>
  <c r="A1498" i="4"/>
  <c r="D1497" i="4"/>
  <c r="A1497" i="4"/>
  <c r="D1496" i="4"/>
  <c r="A1496" i="4"/>
  <c r="D1495" i="4"/>
  <c r="A1495" i="4"/>
  <c r="D1494" i="4"/>
  <c r="A1494" i="4"/>
  <c r="D1493" i="4"/>
  <c r="A1493" i="4"/>
  <c r="D1492" i="4"/>
  <c r="A1492" i="4"/>
  <c r="D1491" i="4"/>
  <c r="A1491" i="4"/>
  <c r="D1490" i="4"/>
  <c r="A1490" i="4"/>
  <c r="D1489" i="4"/>
  <c r="A1489" i="4"/>
  <c r="D1488" i="4"/>
  <c r="A1488" i="4"/>
  <c r="D1487" i="4"/>
  <c r="A1487" i="4"/>
  <c r="D1486" i="4"/>
  <c r="A1486" i="4"/>
  <c r="D1485" i="4"/>
  <c r="A1485" i="4"/>
  <c r="D1484" i="4"/>
  <c r="B1484" i="4"/>
  <c r="A1484" i="4"/>
  <c r="D1483" i="4"/>
  <c r="A1483" i="4"/>
  <c r="D1482" i="4"/>
  <c r="B1482" i="4"/>
  <c r="A1482" i="4"/>
  <c r="D1481" i="4"/>
  <c r="A1481" i="4"/>
  <c r="D1480" i="4"/>
  <c r="A1480" i="4"/>
  <c r="D1479" i="4"/>
  <c r="A1479" i="4"/>
  <c r="D1478" i="4"/>
  <c r="A1478" i="4"/>
  <c r="D1477" i="4"/>
  <c r="A1477" i="4"/>
  <c r="D1476" i="4"/>
  <c r="A1476" i="4"/>
  <c r="D1475" i="4"/>
  <c r="A1475" i="4"/>
  <c r="D1474" i="4"/>
  <c r="A1474" i="4"/>
  <c r="D1473" i="4"/>
  <c r="A1473" i="4"/>
  <c r="D1472" i="4"/>
  <c r="A1472" i="4"/>
  <c r="D1471" i="4"/>
  <c r="A1471" i="4"/>
  <c r="D1470" i="4"/>
  <c r="A1470" i="4"/>
  <c r="D1469" i="4"/>
  <c r="A1469" i="4"/>
  <c r="D1468" i="4"/>
  <c r="A1468" i="4"/>
  <c r="D1467" i="4"/>
  <c r="A1467" i="4"/>
  <c r="D1466" i="4"/>
  <c r="A1466" i="4"/>
  <c r="D1465" i="4"/>
  <c r="A1465" i="4"/>
  <c r="D1464" i="4"/>
  <c r="A1464" i="4"/>
  <c r="D1463" i="4"/>
  <c r="A1463" i="4"/>
  <c r="D1462" i="4"/>
  <c r="A1462" i="4"/>
  <c r="D1461" i="4"/>
  <c r="A1461" i="4"/>
  <c r="D1460" i="4"/>
  <c r="A1460" i="4"/>
  <c r="D1459" i="4"/>
  <c r="A1459" i="4"/>
  <c r="D1458" i="4"/>
  <c r="A1458" i="4"/>
  <c r="D1457" i="4"/>
  <c r="A1457" i="4"/>
  <c r="D1456" i="4"/>
  <c r="A1456" i="4"/>
  <c r="D1455" i="4"/>
  <c r="A1455" i="4"/>
  <c r="D1454" i="4"/>
  <c r="A1454" i="4"/>
  <c r="D1453" i="4"/>
  <c r="A1453" i="4"/>
  <c r="D1452" i="4"/>
  <c r="A1452" i="4"/>
  <c r="D1451" i="4"/>
  <c r="A1451" i="4"/>
  <c r="D1450" i="4"/>
  <c r="A1450" i="4"/>
  <c r="D1449" i="4"/>
  <c r="A1449" i="4"/>
  <c r="D1448" i="4"/>
  <c r="A1448" i="4"/>
  <c r="D1447" i="4"/>
  <c r="A1447" i="4"/>
  <c r="D1446" i="4"/>
  <c r="A1446" i="4"/>
  <c r="D1445" i="4"/>
  <c r="A1445" i="4"/>
  <c r="D1444" i="4"/>
  <c r="A1444" i="4"/>
  <c r="D1443" i="4"/>
  <c r="A1443" i="4"/>
  <c r="D1442" i="4"/>
  <c r="A1442" i="4"/>
  <c r="D1441" i="4"/>
  <c r="A1441" i="4"/>
  <c r="D1440" i="4"/>
  <c r="A1440" i="4"/>
  <c r="D1439" i="4"/>
  <c r="A1439" i="4"/>
  <c r="D1438" i="4"/>
  <c r="A1438" i="4"/>
  <c r="D1437" i="4"/>
  <c r="A1437" i="4"/>
  <c r="D1436" i="4"/>
  <c r="A1436" i="4"/>
  <c r="D1435" i="4"/>
  <c r="A1435" i="4"/>
  <c r="D1434" i="4"/>
  <c r="A1434" i="4"/>
  <c r="D1433" i="4"/>
  <c r="A1433" i="4"/>
  <c r="D1432" i="4"/>
  <c r="A1432" i="4"/>
  <c r="D1431" i="4"/>
  <c r="A1431" i="4"/>
  <c r="D1430" i="4"/>
  <c r="A1430" i="4"/>
  <c r="D1429" i="4"/>
  <c r="A1429" i="4"/>
  <c r="D1428" i="4"/>
  <c r="A1428" i="4"/>
  <c r="D1427" i="4"/>
  <c r="A1427" i="4"/>
  <c r="D1426" i="4"/>
  <c r="A1426" i="4"/>
  <c r="D1425" i="4"/>
  <c r="A1425" i="4"/>
  <c r="D1424" i="4"/>
  <c r="A1424" i="4"/>
  <c r="D1423" i="4"/>
  <c r="A1423" i="4"/>
  <c r="D1422" i="4"/>
  <c r="A1422" i="4"/>
  <c r="D1421" i="4"/>
  <c r="A1421" i="4"/>
  <c r="D1420" i="4"/>
  <c r="A1420" i="4"/>
  <c r="D1419" i="4"/>
  <c r="A1419" i="4"/>
  <c r="D1418" i="4"/>
  <c r="A1418" i="4"/>
  <c r="D1417" i="4"/>
  <c r="A1417" i="4"/>
  <c r="D1416" i="4"/>
  <c r="A1416" i="4"/>
  <c r="D1415" i="4"/>
  <c r="A1415" i="4"/>
  <c r="D1414" i="4"/>
  <c r="A1414" i="4"/>
  <c r="D1413" i="4"/>
  <c r="B1413" i="4"/>
  <c r="A1413" i="4"/>
  <c r="D1412" i="4"/>
  <c r="B1412" i="4"/>
  <c r="A1412" i="4"/>
  <c r="D1411" i="4"/>
  <c r="B1411" i="4"/>
  <c r="A1411" i="4"/>
  <c r="D1410" i="4"/>
  <c r="B1410" i="4"/>
  <c r="A1410" i="4"/>
  <c r="D1409" i="4"/>
  <c r="A1409" i="4"/>
  <c r="D1408" i="4"/>
  <c r="A1408" i="4"/>
  <c r="D1407" i="4"/>
  <c r="B1407" i="4"/>
  <c r="A1407" i="4"/>
  <c r="D1406" i="4"/>
  <c r="B1406" i="4"/>
  <c r="A1406" i="4"/>
  <c r="D1405" i="4"/>
  <c r="A1405" i="4"/>
  <c r="D1404" i="4"/>
  <c r="B1404" i="4"/>
  <c r="A1404" i="4"/>
  <c r="D1403" i="4"/>
  <c r="C1403" i="4"/>
  <c r="B1403" i="4"/>
  <c r="A1403" i="4"/>
  <c r="D1402" i="4"/>
  <c r="B1402" i="4"/>
  <c r="A1402" i="4"/>
  <c r="D1401" i="4"/>
  <c r="B1401" i="4"/>
  <c r="A1401" i="4"/>
  <c r="D1400" i="4"/>
  <c r="B1400" i="4"/>
  <c r="A1400" i="4"/>
  <c r="D1399" i="4"/>
  <c r="B1399" i="4"/>
  <c r="A1399" i="4"/>
  <c r="D1398" i="4"/>
  <c r="B1398" i="4"/>
  <c r="A1398" i="4"/>
  <c r="D1397" i="4"/>
  <c r="B1397" i="4"/>
  <c r="A1397" i="4"/>
  <c r="D1396" i="4"/>
  <c r="B1396" i="4"/>
  <c r="A1396" i="4"/>
  <c r="D1395" i="4"/>
  <c r="B1395" i="4"/>
  <c r="A1395" i="4"/>
  <c r="D1394" i="4"/>
  <c r="B1394" i="4"/>
  <c r="A1394" i="4"/>
  <c r="D1393" i="4"/>
  <c r="B1393" i="4"/>
  <c r="A1393" i="4"/>
  <c r="D1392" i="4"/>
  <c r="B1392" i="4"/>
  <c r="A1392" i="4"/>
  <c r="D1391" i="4"/>
  <c r="A1391" i="4"/>
  <c r="D1390" i="4"/>
  <c r="A1390" i="4"/>
  <c r="D1389" i="4"/>
  <c r="A1389" i="4"/>
  <c r="D1388" i="4"/>
  <c r="B1388" i="4"/>
  <c r="A1388" i="4"/>
  <c r="D1387" i="4"/>
  <c r="B1387" i="4"/>
  <c r="A1387" i="4"/>
  <c r="D1386" i="4"/>
  <c r="B1386" i="4"/>
  <c r="A1386" i="4"/>
  <c r="D1385" i="4"/>
  <c r="B1385" i="4"/>
  <c r="A1385" i="4"/>
  <c r="D1384" i="4"/>
  <c r="B1384" i="4"/>
  <c r="A1384" i="4"/>
  <c r="D1383" i="4"/>
  <c r="B1383" i="4"/>
  <c r="A1383" i="4"/>
  <c r="D1382" i="4"/>
  <c r="B1382" i="4"/>
  <c r="A1382" i="4"/>
  <c r="D1381" i="4"/>
  <c r="B1381" i="4"/>
  <c r="A1381" i="4"/>
  <c r="D1380" i="4"/>
  <c r="B1380" i="4"/>
  <c r="A1380" i="4"/>
  <c r="D1379" i="4"/>
  <c r="B1379" i="4"/>
  <c r="A1379" i="4"/>
  <c r="D1378" i="4"/>
  <c r="A1378" i="4"/>
  <c r="D1377" i="4"/>
  <c r="A1377" i="4"/>
  <c r="D1376" i="4"/>
  <c r="A1376" i="4"/>
  <c r="D1375" i="4"/>
  <c r="B1375" i="4"/>
  <c r="A1375" i="4"/>
  <c r="D1374" i="4"/>
  <c r="B1374" i="4"/>
  <c r="A1374" i="4"/>
  <c r="D1373" i="4"/>
  <c r="B1373" i="4"/>
  <c r="A1373" i="4"/>
  <c r="D1372" i="4"/>
  <c r="B1372" i="4"/>
  <c r="A1372" i="4"/>
  <c r="D1371" i="4"/>
  <c r="B1371" i="4"/>
  <c r="A1371" i="4"/>
  <c r="D1370" i="4"/>
  <c r="B1370" i="4"/>
  <c r="A1370" i="4"/>
  <c r="D1369" i="4"/>
  <c r="B1369" i="4"/>
  <c r="A1369" i="4"/>
  <c r="D1368" i="4"/>
  <c r="B1368" i="4"/>
  <c r="A1368" i="4"/>
  <c r="D1367" i="4"/>
  <c r="A1367" i="4"/>
  <c r="D1366" i="4"/>
  <c r="C1366" i="4"/>
  <c r="B1366" i="4"/>
  <c r="A1366" i="4"/>
  <c r="D1365" i="4"/>
  <c r="B1365" i="4"/>
  <c r="A1365" i="4"/>
  <c r="D1364" i="4"/>
  <c r="B1364" i="4"/>
  <c r="A1364" i="4"/>
  <c r="D1363" i="4"/>
  <c r="B1363" i="4"/>
  <c r="A1363" i="4"/>
  <c r="D1362" i="4"/>
  <c r="B1362" i="4"/>
  <c r="A1362" i="4"/>
  <c r="D1361" i="4"/>
  <c r="B1361" i="4"/>
  <c r="A1361" i="4"/>
  <c r="D1360" i="4"/>
  <c r="B1360" i="4"/>
  <c r="A1360" i="4"/>
  <c r="D1359" i="4"/>
  <c r="B1359" i="4"/>
  <c r="A1359" i="4"/>
  <c r="D1358" i="4"/>
  <c r="B1358" i="4"/>
  <c r="A1358" i="4"/>
  <c r="D1357" i="4"/>
  <c r="B1357" i="4"/>
  <c r="A1357" i="4"/>
  <c r="D1356" i="4"/>
  <c r="C1356" i="4"/>
  <c r="B1356" i="4"/>
  <c r="A1356" i="4"/>
  <c r="D1355" i="4"/>
  <c r="A1355" i="4"/>
  <c r="D1354" i="4"/>
  <c r="B1354" i="4"/>
  <c r="A1354" i="4"/>
  <c r="D1353" i="4"/>
  <c r="B1353" i="4"/>
  <c r="A1353" i="4"/>
  <c r="D1352" i="4"/>
  <c r="B1352" i="4"/>
  <c r="A1352" i="4"/>
  <c r="D1351" i="4"/>
  <c r="B1351" i="4"/>
  <c r="A1351" i="4"/>
  <c r="D1350" i="4"/>
  <c r="B1350" i="4"/>
  <c r="A1350" i="4"/>
  <c r="D1349" i="4"/>
  <c r="A1349" i="4"/>
  <c r="D1348" i="4"/>
  <c r="B1348" i="4"/>
  <c r="A1348" i="4"/>
  <c r="D1347" i="4"/>
  <c r="B1347" i="4"/>
  <c r="A1347" i="4"/>
  <c r="D1346" i="4"/>
  <c r="A1346" i="4"/>
  <c r="D1345" i="4"/>
  <c r="B1345" i="4"/>
  <c r="A1345" i="4"/>
  <c r="D1344" i="4"/>
  <c r="B1344" i="4"/>
  <c r="A1344" i="4"/>
  <c r="D1343" i="4"/>
  <c r="B1343" i="4"/>
  <c r="A1343" i="4"/>
  <c r="D1342" i="4"/>
  <c r="B1342" i="4"/>
  <c r="A1342" i="4"/>
  <c r="D1341" i="4"/>
  <c r="C1341" i="4"/>
  <c r="B1341" i="4"/>
  <c r="A1341" i="4"/>
  <c r="D1340" i="4"/>
  <c r="B1340" i="4"/>
  <c r="A1340" i="4"/>
  <c r="D1339" i="4"/>
  <c r="A1339" i="4"/>
  <c r="D1338" i="4"/>
  <c r="B1338" i="4"/>
  <c r="A1338" i="4"/>
  <c r="D1337" i="4"/>
  <c r="B1337" i="4"/>
  <c r="A1337" i="4"/>
  <c r="D1336" i="4"/>
  <c r="B1336" i="4"/>
  <c r="A1336" i="4"/>
  <c r="D1335" i="4"/>
  <c r="C1335" i="4"/>
  <c r="B1335" i="4"/>
  <c r="A1335" i="4"/>
  <c r="D1334" i="4"/>
  <c r="B1334" i="4"/>
  <c r="A1334" i="4"/>
  <c r="D1333" i="4"/>
  <c r="B1333" i="4"/>
  <c r="A1333" i="4"/>
  <c r="D1332" i="4"/>
  <c r="B1332" i="4"/>
  <c r="A1332" i="4"/>
  <c r="D1331" i="4"/>
  <c r="A1331" i="4"/>
  <c r="D1330" i="4"/>
  <c r="B1330" i="4"/>
  <c r="A1330" i="4"/>
  <c r="D1329" i="4"/>
  <c r="B1329" i="4"/>
  <c r="A1329" i="4"/>
  <c r="D1328" i="4"/>
  <c r="B1328" i="4"/>
  <c r="A1328" i="4"/>
  <c r="D1327" i="4"/>
  <c r="B1327" i="4"/>
  <c r="A1327" i="4"/>
  <c r="D1326" i="4"/>
  <c r="B1326" i="4"/>
  <c r="A1326" i="4"/>
  <c r="D1325" i="4"/>
  <c r="B1325" i="4"/>
  <c r="A1325" i="4"/>
  <c r="D1324" i="4"/>
  <c r="B1324" i="4"/>
  <c r="A1324" i="4"/>
  <c r="D1323" i="4"/>
  <c r="B1323" i="4"/>
  <c r="A1323" i="4"/>
  <c r="D1322" i="4"/>
  <c r="B1322" i="4"/>
  <c r="A1322" i="4"/>
  <c r="D1321" i="4"/>
  <c r="B1321" i="4"/>
  <c r="A1321" i="4"/>
  <c r="D1320" i="4"/>
  <c r="A1320" i="4"/>
  <c r="D1319" i="4"/>
  <c r="A1319" i="4"/>
  <c r="D1318" i="4"/>
  <c r="B1318" i="4"/>
  <c r="A1318" i="4"/>
  <c r="D1317" i="4"/>
  <c r="B1317" i="4"/>
  <c r="A1317" i="4"/>
  <c r="D1316" i="4"/>
  <c r="B1316" i="4"/>
  <c r="A1316" i="4"/>
  <c r="D1315" i="4"/>
  <c r="B1315" i="4"/>
  <c r="A1315" i="4"/>
  <c r="D1314" i="4"/>
  <c r="B1314" i="4"/>
  <c r="A1314" i="4"/>
  <c r="D1313" i="4"/>
  <c r="B1313" i="4"/>
  <c r="A1313" i="4"/>
  <c r="D1312" i="4"/>
  <c r="A1312" i="4"/>
  <c r="D1311" i="4"/>
  <c r="B1311" i="4"/>
  <c r="A1311" i="4"/>
  <c r="D1310" i="4"/>
  <c r="A1310" i="4"/>
  <c r="D1309" i="4"/>
  <c r="B1309" i="4"/>
  <c r="A1309" i="4"/>
  <c r="D1308" i="4"/>
  <c r="A1308" i="4"/>
  <c r="D1307" i="4"/>
  <c r="B1307" i="4"/>
  <c r="A1307" i="4"/>
  <c r="D1306" i="4"/>
  <c r="B1306" i="4"/>
  <c r="A1306" i="4"/>
  <c r="D1305" i="4"/>
  <c r="B1305" i="4"/>
  <c r="A1305" i="4"/>
  <c r="D1304" i="4"/>
  <c r="B1304" i="4"/>
  <c r="A1304" i="4"/>
  <c r="D1303" i="4"/>
  <c r="C1303" i="4"/>
  <c r="B1303" i="4"/>
  <c r="A1303" i="4"/>
  <c r="D1302" i="4"/>
  <c r="B1302" i="4"/>
  <c r="A1302" i="4"/>
  <c r="D1301" i="4"/>
  <c r="B1301" i="4"/>
  <c r="A1301" i="4"/>
  <c r="D1300" i="4"/>
  <c r="B1300" i="4"/>
  <c r="A1300" i="4"/>
  <c r="D1299" i="4"/>
  <c r="B1299" i="4"/>
  <c r="A1299" i="4"/>
  <c r="D1298" i="4"/>
  <c r="B1298" i="4"/>
  <c r="A1298" i="4"/>
  <c r="D1297" i="4"/>
  <c r="B1297" i="4"/>
  <c r="A1297" i="4"/>
  <c r="D1296" i="4"/>
  <c r="A1296" i="4"/>
  <c r="D1295" i="4"/>
  <c r="B1295" i="4"/>
  <c r="A1295" i="4"/>
  <c r="D1294" i="4"/>
  <c r="A1294" i="4"/>
  <c r="D1293" i="4"/>
  <c r="B1293" i="4"/>
  <c r="A1293" i="4"/>
  <c r="D1292" i="4"/>
  <c r="B1292" i="4"/>
  <c r="A1292" i="4"/>
  <c r="D1291" i="4"/>
  <c r="B1291" i="4"/>
  <c r="A1291" i="4"/>
  <c r="D1290" i="4"/>
  <c r="A1290" i="4"/>
  <c r="D1289" i="4"/>
  <c r="B1289" i="4"/>
  <c r="A1289" i="4"/>
  <c r="D1288" i="4"/>
  <c r="B1288" i="4"/>
  <c r="A1288" i="4"/>
  <c r="D1287" i="4"/>
  <c r="B1287" i="4"/>
  <c r="A1287" i="4"/>
  <c r="D1286" i="4"/>
  <c r="B1286" i="4"/>
  <c r="A1286" i="4"/>
  <c r="D1285" i="4"/>
  <c r="B1285" i="4"/>
  <c r="A1285" i="4"/>
  <c r="D1284" i="4"/>
  <c r="B1284" i="4"/>
  <c r="A1284" i="4"/>
  <c r="D1283" i="4"/>
  <c r="B1283" i="4"/>
  <c r="A1283" i="4"/>
  <c r="D1282" i="4"/>
  <c r="B1282" i="4"/>
  <c r="A1282" i="4"/>
  <c r="D1281" i="4"/>
  <c r="B1281" i="4"/>
  <c r="A1281" i="4"/>
  <c r="D1280" i="4"/>
  <c r="B1280" i="4"/>
  <c r="A1280" i="4"/>
  <c r="D1279" i="4"/>
  <c r="B1279" i="4"/>
  <c r="A1279" i="4"/>
  <c r="D1278" i="4"/>
  <c r="A1278" i="4"/>
  <c r="D1277" i="4"/>
  <c r="C1277" i="4"/>
  <c r="B1277" i="4"/>
  <c r="A1277" i="4"/>
  <c r="D1276" i="4"/>
  <c r="B1276" i="4"/>
  <c r="A1276" i="4"/>
  <c r="D1275" i="4"/>
  <c r="B1275" i="4"/>
  <c r="A1275" i="4"/>
  <c r="D1274" i="4"/>
  <c r="B1274" i="4"/>
  <c r="A1274" i="4"/>
  <c r="D1273" i="4"/>
  <c r="B1273" i="4"/>
  <c r="A1273" i="4"/>
  <c r="D1272" i="4"/>
  <c r="B1272" i="4"/>
  <c r="A1272" i="4"/>
  <c r="D1271" i="4"/>
  <c r="B1271" i="4"/>
  <c r="A1271" i="4"/>
  <c r="D1270" i="4"/>
  <c r="B1270" i="4"/>
  <c r="A1270" i="4"/>
  <c r="D1269" i="4"/>
  <c r="B1269" i="4"/>
  <c r="A1269" i="4"/>
  <c r="D1268" i="4"/>
  <c r="A1268" i="4"/>
  <c r="D1267" i="4"/>
  <c r="B1267" i="4"/>
  <c r="A1267" i="4"/>
  <c r="D1266" i="4"/>
  <c r="B1266" i="4"/>
  <c r="A1266" i="4"/>
  <c r="D1265" i="4"/>
  <c r="B1265" i="4"/>
  <c r="A1265" i="4"/>
  <c r="D1264" i="4"/>
  <c r="B1264" i="4"/>
  <c r="A1264" i="4"/>
  <c r="D1263" i="4"/>
  <c r="A1263" i="4"/>
  <c r="D1262" i="4"/>
  <c r="B1262" i="4"/>
  <c r="A1262" i="4"/>
  <c r="D1261" i="4"/>
  <c r="A1261" i="4"/>
  <c r="D1260" i="4"/>
  <c r="B1260" i="4"/>
  <c r="A1260" i="4"/>
  <c r="D1259" i="4"/>
  <c r="B1259" i="4"/>
  <c r="A1259" i="4"/>
  <c r="D1258" i="4"/>
  <c r="B1258" i="4"/>
  <c r="A1258" i="4"/>
  <c r="D1257" i="4"/>
  <c r="B1257" i="4"/>
  <c r="A1257" i="4"/>
  <c r="D1256" i="4"/>
  <c r="A1256" i="4"/>
  <c r="D1255" i="4"/>
  <c r="B1255" i="4"/>
  <c r="A1255" i="4"/>
  <c r="D1254" i="4"/>
  <c r="B1254" i="4"/>
  <c r="A1254" i="4"/>
  <c r="D1253" i="4"/>
  <c r="B1253" i="4"/>
  <c r="A1253" i="4"/>
  <c r="D1252" i="4"/>
  <c r="B1252" i="4"/>
  <c r="A1252" i="4"/>
  <c r="D1251" i="4"/>
  <c r="A1251" i="4"/>
  <c r="D1250" i="4"/>
  <c r="B1250" i="4"/>
  <c r="A1250" i="4"/>
  <c r="D1249" i="4"/>
  <c r="B1249" i="4"/>
  <c r="A1249" i="4"/>
  <c r="D1248" i="4"/>
  <c r="A1248" i="4"/>
  <c r="D1247" i="4"/>
  <c r="A1247" i="4"/>
  <c r="D1246" i="4"/>
  <c r="B1246" i="4"/>
  <c r="A1246" i="4"/>
  <c r="D1245" i="4"/>
  <c r="B1245" i="4"/>
  <c r="A1245" i="4"/>
  <c r="D1244" i="4"/>
  <c r="B1244" i="4"/>
  <c r="A1244" i="4"/>
  <c r="D1243" i="4"/>
  <c r="B1243" i="4"/>
  <c r="A1243" i="4"/>
  <c r="D1242" i="4"/>
  <c r="B1242" i="4"/>
  <c r="A1242" i="4"/>
  <c r="D1241" i="4"/>
  <c r="B1241" i="4"/>
  <c r="A1241" i="4"/>
  <c r="D1240" i="4"/>
  <c r="B1240" i="4"/>
  <c r="A1240" i="4"/>
  <c r="D1239" i="4"/>
  <c r="B1239" i="4"/>
  <c r="A1239" i="4"/>
  <c r="D1238" i="4"/>
  <c r="B1238" i="4"/>
  <c r="A1238" i="4"/>
  <c r="D1237" i="4"/>
  <c r="B1237" i="4"/>
  <c r="A1237" i="4"/>
  <c r="D1236" i="4"/>
  <c r="B1236" i="4"/>
  <c r="A1236" i="4"/>
  <c r="D1235" i="4"/>
  <c r="B1235" i="4"/>
  <c r="A1235" i="4"/>
  <c r="D1234" i="4"/>
  <c r="B1234" i="4"/>
  <c r="A1234" i="4"/>
  <c r="D1233" i="4"/>
  <c r="B1233" i="4"/>
  <c r="A1233" i="4"/>
  <c r="D1232" i="4"/>
  <c r="B1232" i="4"/>
  <c r="A1232" i="4"/>
  <c r="D1231" i="4"/>
  <c r="B1231" i="4"/>
  <c r="A1231" i="4"/>
  <c r="D1230" i="4"/>
  <c r="B1230" i="4"/>
  <c r="A1230" i="4"/>
  <c r="D1229" i="4"/>
  <c r="B1229" i="4"/>
  <c r="A1229" i="4"/>
  <c r="D1228" i="4"/>
  <c r="B1228" i="4"/>
  <c r="A1228" i="4"/>
  <c r="D1227" i="4"/>
  <c r="B1227" i="4"/>
  <c r="A1227" i="4"/>
  <c r="D1226" i="4"/>
  <c r="B1226" i="4"/>
  <c r="A1226" i="4"/>
  <c r="D1225" i="4"/>
  <c r="A1225" i="4"/>
  <c r="D1224" i="4"/>
  <c r="A1224" i="4"/>
  <c r="D1223" i="4"/>
  <c r="A1223" i="4"/>
  <c r="D1222" i="4"/>
  <c r="B1222" i="4"/>
  <c r="A1222" i="4"/>
  <c r="D1221" i="4"/>
  <c r="B1221" i="4"/>
  <c r="A1221" i="4"/>
  <c r="D1220" i="4"/>
  <c r="B1220" i="4"/>
  <c r="A1220" i="4"/>
  <c r="D1219" i="4"/>
  <c r="A1219" i="4"/>
  <c r="D1218" i="4"/>
  <c r="B1218" i="4"/>
  <c r="A1218" i="4"/>
  <c r="D1217" i="4"/>
  <c r="B1217" i="4"/>
  <c r="A1217" i="4"/>
  <c r="D1216" i="4"/>
  <c r="B1216" i="4"/>
  <c r="A1216" i="4"/>
  <c r="D1215" i="4"/>
  <c r="A1215" i="4"/>
  <c r="D1214" i="4"/>
  <c r="B1214" i="4"/>
  <c r="A1214" i="4"/>
  <c r="D1213" i="4"/>
  <c r="B1213" i="4"/>
  <c r="A1213" i="4"/>
  <c r="D1212" i="4"/>
  <c r="B1212" i="4"/>
  <c r="A1212" i="4"/>
  <c r="D1211" i="4"/>
  <c r="B1211" i="4"/>
  <c r="A1211" i="4"/>
  <c r="D1210" i="4"/>
  <c r="A1210" i="4"/>
  <c r="D1209" i="4"/>
  <c r="A1209" i="4"/>
  <c r="D1208" i="4"/>
  <c r="B1208" i="4"/>
  <c r="A1208" i="4"/>
  <c r="D1207" i="4"/>
  <c r="B1207" i="4"/>
  <c r="A1207" i="4"/>
  <c r="D1206" i="4"/>
  <c r="B1206" i="4"/>
  <c r="A1206" i="4"/>
  <c r="D1205" i="4"/>
  <c r="B1205" i="4"/>
  <c r="A1205" i="4"/>
  <c r="D1204" i="4"/>
  <c r="A1204" i="4"/>
  <c r="D1203" i="4"/>
  <c r="B1203" i="4"/>
  <c r="A1203" i="4"/>
  <c r="D1202" i="4"/>
  <c r="B1202" i="4"/>
  <c r="A1202" i="4"/>
  <c r="D1201" i="4"/>
  <c r="B1201" i="4"/>
  <c r="A1201" i="4"/>
  <c r="D1200" i="4"/>
  <c r="B1200" i="4"/>
  <c r="A1200" i="4"/>
  <c r="D1199" i="4"/>
  <c r="A1199" i="4"/>
  <c r="D1198" i="4"/>
  <c r="B1198" i="4"/>
  <c r="A1198" i="4"/>
  <c r="D1197" i="4"/>
  <c r="B1197" i="4"/>
  <c r="A1197" i="4"/>
  <c r="D1196" i="4"/>
  <c r="B1196" i="4"/>
  <c r="A1196" i="4"/>
  <c r="D1195" i="4"/>
  <c r="A1195" i="4"/>
  <c r="D1194" i="4"/>
  <c r="B1194" i="4"/>
  <c r="A1194" i="4"/>
  <c r="D1193" i="4"/>
  <c r="B1193" i="4"/>
  <c r="A1193" i="4"/>
  <c r="D1192" i="4"/>
  <c r="A1192" i="4"/>
  <c r="D1191" i="4"/>
  <c r="B1191" i="4"/>
  <c r="A1191" i="4"/>
  <c r="D1190" i="4"/>
  <c r="B1190" i="4"/>
  <c r="A1190" i="4"/>
  <c r="D1189" i="4"/>
  <c r="B1189" i="4"/>
  <c r="A1189" i="4"/>
  <c r="D1188" i="4"/>
  <c r="A1188" i="4"/>
  <c r="D1187" i="4"/>
  <c r="A1187" i="4"/>
  <c r="D1186" i="4"/>
  <c r="B1186" i="4"/>
  <c r="A1186" i="4"/>
  <c r="D1185" i="4"/>
  <c r="B1185" i="4"/>
  <c r="A1185" i="4"/>
  <c r="D1184" i="4"/>
  <c r="B1184" i="4"/>
  <c r="A1184" i="4"/>
  <c r="D1183" i="4"/>
  <c r="B1183" i="4"/>
  <c r="A1183" i="4"/>
  <c r="D1182" i="4"/>
  <c r="A1182" i="4"/>
  <c r="D1181" i="4"/>
  <c r="B1181" i="4"/>
  <c r="A1181" i="4"/>
  <c r="D1180" i="4"/>
  <c r="B1180" i="4"/>
  <c r="A1180" i="4"/>
  <c r="D1179" i="4"/>
  <c r="B1179" i="4"/>
  <c r="A1179" i="4"/>
  <c r="D1178" i="4"/>
  <c r="B1178" i="4"/>
  <c r="A1178" i="4"/>
  <c r="D1177" i="4"/>
  <c r="B1177" i="4"/>
  <c r="A1177" i="4"/>
  <c r="D1176" i="4"/>
  <c r="B1176" i="4"/>
  <c r="A1176" i="4"/>
  <c r="D1175" i="4"/>
  <c r="B1175" i="4"/>
  <c r="A1175" i="4"/>
  <c r="D1174" i="4"/>
  <c r="A1174" i="4"/>
  <c r="D1173" i="4"/>
  <c r="A1173" i="4"/>
  <c r="D1172" i="4"/>
  <c r="B1172" i="4"/>
  <c r="A1172" i="4"/>
  <c r="D1171" i="4"/>
  <c r="B1171" i="4"/>
  <c r="A1171" i="4"/>
  <c r="D1170" i="4"/>
  <c r="B1170" i="4"/>
  <c r="A1170" i="4"/>
  <c r="D1169" i="4"/>
  <c r="B1169" i="4"/>
  <c r="A1169" i="4"/>
  <c r="D1168" i="4"/>
  <c r="B1168" i="4"/>
  <c r="A1168" i="4"/>
  <c r="D1167" i="4"/>
  <c r="B1167" i="4"/>
  <c r="A1167" i="4"/>
  <c r="D1166" i="4"/>
  <c r="B1166" i="4"/>
  <c r="A1166" i="4"/>
  <c r="D1165" i="4"/>
  <c r="B1165" i="4"/>
  <c r="A1165" i="4"/>
  <c r="D1164" i="4"/>
  <c r="B1164" i="4"/>
  <c r="A1164" i="4"/>
  <c r="D1163" i="4"/>
  <c r="B1163" i="4"/>
  <c r="A1163" i="4"/>
  <c r="D1162" i="4"/>
  <c r="B1162" i="4"/>
  <c r="A1162" i="4"/>
  <c r="D1161" i="4"/>
  <c r="A1161" i="4"/>
  <c r="D1160" i="4"/>
  <c r="A1160" i="4"/>
  <c r="D1159" i="4"/>
  <c r="B1159" i="4"/>
  <c r="A1159" i="4"/>
  <c r="D1158" i="4"/>
  <c r="B1158" i="4"/>
  <c r="A1158" i="4"/>
  <c r="D1157" i="4"/>
  <c r="B1157" i="4"/>
  <c r="A1157" i="4"/>
  <c r="D1156" i="4"/>
  <c r="B1156" i="4"/>
  <c r="A1156" i="4"/>
  <c r="D1155" i="4"/>
  <c r="A1155" i="4"/>
  <c r="D1154" i="4"/>
  <c r="B1154" i="4"/>
  <c r="A1154" i="4"/>
  <c r="D1153" i="4"/>
  <c r="A1153" i="4"/>
  <c r="D1152" i="4"/>
  <c r="B1152" i="4"/>
  <c r="A1152" i="4"/>
  <c r="D1151" i="4"/>
  <c r="C1151" i="4"/>
  <c r="B1151" i="4"/>
  <c r="A1151" i="4"/>
  <c r="D1150" i="4"/>
  <c r="B1150" i="4"/>
  <c r="A1150" i="4"/>
  <c r="D1149" i="4"/>
  <c r="B1149" i="4"/>
  <c r="A1149" i="4"/>
  <c r="D1148" i="4"/>
  <c r="A1148" i="4"/>
  <c r="D1147" i="4"/>
  <c r="A1147" i="4"/>
  <c r="D1146" i="4"/>
  <c r="B1146" i="4"/>
  <c r="A1146" i="4"/>
  <c r="D1145" i="4"/>
  <c r="A1145" i="4"/>
  <c r="D1144" i="4"/>
  <c r="A1144" i="4"/>
  <c r="D1143" i="4"/>
  <c r="A1143" i="4"/>
  <c r="D1142" i="4"/>
  <c r="A1142" i="4"/>
  <c r="D1141" i="4"/>
  <c r="A1141" i="4"/>
  <c r="D1140" i="4"/>
  <c r="B1140" i="4"/>
  <c r="A1140" i="4"/>
  <c r="D1139" i="4"/>
  <c r="B1139" i="4"/>
  <c r="A1139" i="4"/>
  <c r="D1138" i="4"/>
  <c r="B1138" i="4"/>
  <c r="A1138" i="4"/>
  <c r="D1137" i="4"/>
  <c r="B1137" i="4"/>
  <c r="A1137" i="4"/>
  <c r="D1136" i="4"/>
  <c r="B1136" i="4"/>
  <c r="A1136" i="4"/>
  <c r="D1135" i="4"/>
  <c r="B1135" i="4"/>
  <c r="A1135" i="4"/>
  <c r="D1134" i="4"/>
  <c r="B1134" i="4"/>
  <c r="A1134" i="4"/>
  <c r="D1133" i="4"/>
  <c r="B1133" i="4"/>
  <c r="A1133" i="4"/>
  <c r="D1132" i="4"/>
  <c r="B1132" i="4"/>
  <c r="A1132" i="4"/>
  <c r="D1131" i="4"/>
  <c r="B1131" i="4"/>
  <c r="A1131" i="4"/>
  <c r="D1130" i="4"/>
  <c r="B1130" i="4"/>
  <c r="A1130" i="4"/>
  <c r="D1129" i="4"/>
  <c r="B1129" i="4"/>
  <c r="A1129" i="4"/>
  <c r="D1128" i="4"/>
  <c r="B1128" i="4"/>
  <c r="A1128" i="4"/>
  <c r="D1127" i="4"/>
  <c r="B1127" i="4"/>
  <c r="A1127" i="4"/>
  <c r="D1126" i="4"/>
  <c r="A1126" i="4"/>
  <c r="D1125" i="4"/>
  <c r="B1125" i="4"/>
  <c r="A1125" i="4"/>
  <c r="D1124" i="4"/>
  <c r="B1124" i="4"/>
  <c r="A1124" i="4"/>
  <c r="D1123" i="4"/>
  <c r="A1123" i="4"/>
  <c r="D1122" i="4"/>
  <c r="B1122" i="4"/>
  <c r="A1122" i="4"/>
  <c r="D1121" i="4"/>
  <c r="B1121" i="4"/>
  <c r="A1121" i="4"/>
  <c r="D1120" i="4"/>
  <c r="B1120" i="4"/>
  <c r="A1120" i="4"/>
  <c r="D1119" i="4"/>
  <c r="B1119" i="4"/>
  <c r="A1119" i="4"/>
  <c r="D1118" i="4"/>
  <c r="B1118" i="4"/>
  <c r="A1118" i="4"/>
  <c r="D1117" i="4"/>
  <c r="B1117" i="4"/>
  <c r="A1117" i="4"/>
  <c r="D1116" i="4"/>
  <c r="B1116" i="4"/>
  <c r="A1116" i="4"/>
  <c r="D1115" i="4"/>
  <c r="B1115" i="4"/>
  <c r="A1115" i="4"/>
  <c r="D1114" i="4"/>
  <c r="C1114" i="4"/>
  <c r="B1114" i="4"/>
  <c r="A1114" i="4"/>
  <c r="D1113" i="4"/>
  <c r="B1113" i="4"/>
  <c r="A1113" i="4"/>
  <c r="D1112" i="4"/>
  <c r="B1112" i="4"/>
  <c r="A1112" i="4"/>
  <c r="D1111" i="4"/>
  <c r="B1111" i="4"/>
  <c r="A1111" i="4"/>
  <c r="D1110" i="4"/>
  <c r="B1110" i="4"/>
  <c r="A1110" i="4"/>
  <c r="D1109" i="4"/>
  <c r="B1109" i="4"/>
  <c r="A1109" i="4"/>
  <c r="D1108" i="4"/>
  <c r="B1108" i="4"/>
  <c r="A1108" i="4"/>
  <c r="D1107" i="4"/>
  <c r="B1107" i="4"/>
  <c r="A1107" i="4"/>
  <c r="D1106" i="4"/>
  <c r="B1106" i="4"/>
  <c r="A1106" i="4"/>
  <c r="D1105" i="4"/>
  <c r="B1105" i="4"/>
  <c r="A1105" i="4"/>
  <c r="D1104" i="4"/>
  <c r="B1104" i="4"/>
  <c r="A1104" i="4"/>
  <c r="D1103" i="4"/>
  <c r="B1103" i="4"/>
  <c r="A1103" i="4"/>
  <c r="D1102" i="4"/>
  <c r="C1102" i="4"/>
  <c r="B1102" i="4"/>
  <c r="A1102" i="4"/>
  <c r="D1101" i="4"/>
  <c r="B1101" i="4"/>
  <c r="A1101" i="4"/>
  <c r="D1100" i="4"/>
  <c r="B1100" i="4"/>
  <c r="A1100" i="4"/>
  <c r="D1099" i="4"/>
  <c r="B1099" i="4"/>
  <c r="A1099" i="4"/>
  <c r="D1098" i="4"/>
  <c r="C1098" i="4"/>
  <c r="B1098" i="4"/>
  <c r="A1098" i="4"/>
  <c r="D1097" i="4"/>
  <c r="B1097" i="4"/>
  <c r="A1097" i="4"/>
  <c r="D1096" i="4"/>
  <c r="B1096" i="4"/>
  <c r="A1096" i="4"/>
  <c r="D1095" i="4"/>
  <c r="B1095" i="4"/>
  <c r="A1095" i="4"/>
  <c r="D1094" i="4"/>
  <c r="C1094" i="4"/>
  <c r="B1094" i="4"/>
  <c r="A1094" i="4"/>
  <c r="D1093" i="4"/>
  <c r="B1093" i="4"/>
  <c r="A1093" i="4"/>
  <c r="D1092" i="4"/>
  <c r="C1092" i="4"/>
  <c r="B1092" i="4"/>
  <c r="A1092" i="4"/>
  <c r="D1091" i="4"/>
  <c r="B1091" i="4"/>
  <c r="A1091" i="4"/>
  <c r="D1090" i="4"/>
  <c r="B1090" i="4"/>
  <c r="A1090" i="4"/>
  <c r="D1089" i="4"/>
  <c r="B1089" i="4"/>
  <c r="A1089" i="4"/>
  <c r="D1088" i="4"/>
  <c r="A1088" i="4"/>
  <c r="D1087" i="4"/>
  <c r="B1087" i="4"/>
  <c r="A1087" i="4"/>
  <c r="D1086" i="4"/>
  <c r="A1086" i="4"/>
  <c r="D1085" i="4"/>
  <c r="B1085" i="4"/>
  <c r="A1085" i="4"/>
  <c r="D1084" i="4"/>
  <c r="B1084" i="4"/>
  <c r="A1084" i="4"/>
  <c r="D1083" i="4"/>
  <c r="A1083" i="4"/>
  <c r="D1082" i="4"/>
  <c r="A1082" i="4"/>
  <c r="D1081" i="4"/>
  <c r="B1081" i="4"/>
  <c r="A1081" i="4"/>
  <c r="D1080" i="4"/>
  <c r="B1080" i="4"/>
  <c r="A1080" i="4"/>
  <c r="D1079" i="4"/>
  <c r="B1079" i="4"/>
  <c r="A1079" i="4"/>
  <c r="D1078" i="4"/>
  <c r="A1078" i="4"/>
  <c r="D1077" i="4"/>
  <c r="B1077" i="4"/>
  <c r="A1077" i="4"/>
  <c r="D1076" i="4"/>
  <c r="B1076" i="4"/>
  <c r="A1076" i="4"/>
  <c r="D1075" i="4"/>
  <c r="A1075" i="4"/>
  <c r="D1074" i="4"/>
  <c r="B1074" i="4"/>
  <c r="A1074" i="4"/>
  <c r="D1073" i="4"/>
  <c r="B1073" i="4"/>
  <c r="A1073" i="4"/>
  <c r="D1072" i="4"/>
  <c r="B1072" i="4"/>
  <c r="A1072" i="4"/>
  <c r="D1071" i="4"/>
  <c r="B1071" i="4"/>
  <c r="A1071" i="4"/>
  <c r="D1070" i="4"/>
  <c r="B1070" i="4"/>
  <c r="A1070" i="4"/>
  <c r="D1069" i="4"/>
  <c r="A1069" i="4"/>
  <c r="D1068" i="4"/>
  <c r="B1068" i="4"/>
  <c r="A1068" i="4"/>
  <c r="D1067" i="4"/>
  <c r="B1067" i="4"/>
  <c r="A1067" i="4"/>
  <c r="D1066" i="4"/>
  <c r="B1066" i="4"/>
  <c r="A1066" i="4"/>
  <c r="D1065" i="4"/>
  <c r="B1065" i="4"/>
  <c r="A1065" i="4"/>
  <c r="D1064" i="4"/>
  <c r="B1064" i="4"/>
  <c r="A1064" i="4"/>
  <c r="D1063" i="4"/>
  <c r="A1063" i="4"/>
  <c r="D1062" i="4"/>
  <c r="B1062" i="4"/>
  <c r="A1062" i="4"/>
  <c r="D1061" i="4"/>
  <c r="B1061" i="4"/>
  <c r="A1061" i="4"/>
  <c r="D1060" i="4"/>
  <c r="A1060" i="4"/>
  <c r="D1059" i="4"/>
  <c r="A1059" i="4"/>
  <c r="D1058" i="4"/>
  <c r="B1058" i="4"/>
  <c r="A1058" i="4"/>
  <c r="D1057" i="4"/>
  <c r="B1057" i="4"/>
  <c r="A1057" i="4"/>
  <c r="D1056" i="4"/>
  <c r="A1056" i="4"/>
  <c r="D1055" i="4"/>
  <c r="B1055" i="4"/>
  <c r="A1055" i="4"/>
  <c r="D1054" i="4"/>
  <c r="B1054" i="4"/>
  <c r="A1054" i="4"/>
  <c r="D1053" i="4"/>
  <c r="A1053" i="4"/>
  <c r="D1052" i="4"/>
  <c r="A1052" i="4"/>
  <c r="D1051" i="4"/>
  <c r="B1051" i="4"/>
  <c r="A1051" i="4"/>
  <c r="D1050" i="4"/>
  <c r="B1050" i="4"/>
  <c r="A1050" i="4"/>
  <c r="D1049" i="4"/>
  <c r="B1049" i="4"/>
  <c r="A1049" i="4"/>
  <c r="D1048" i="4"/>
  <c r="B1048" i="4"/>
  <c r="A1048" i="4"/>
  <c r="D1047" i="4"/>
  <c r="B1047" i="4"/>
  <c r="A1047" i="4"/>
  <c r="D1046" i="4"/>
  <c r="A1046" i="4"/>
  <c r="D1045" i="4"/>
  <c r="B1045" i="4"/>
  <c r="A1045" i="4"/>
  <c r="D1044" i="4"/>
  <c r="B1044" i="4"/>
  <c r="A1044" i="4"/>
  <c r="D1043" i="4"/>
  <c r="B1043" i="4"/>
  <c r="A1043" i="4"/>
  <c r="D1042" i="4"/>
  <c r="B1042" i="4"/>
  <c r="A1042" i="4"/>
  <c r="D1041" i="4"/>
  <c r="B1041" i="4"/>
  <c r="A1041" i="4"/>
  <c r="D1040" i="4"/>
  <c r="B1040" i="4"/>
  <c r="A1040" i="4"/>
  <c r="D1039" i="4"/>
  <c r="B1039" i="4"/>
  <c r="A1039" i="4"/>
  <c r="D1038" i="4"/>
  <c r="A1038" i="4"/>
  <c r="D1037" i="4"/>
  <c r="B1037" i="4"/>
  <c r="A1037" i="4"/>
  <c r="D1036" i="4"/>
  <c r="B1036" i="4"/>
  <c r="A1036" i="4"/>
  <c r="D1035" i="4"/>
  <c r="B1035" i="4"/>
  <c r="A1035" i="4"/>
  <c r="D1034" i="4"/>
  <c r="A1034" i="4"/>
  <c r="D1033" i="4"/>
  <c r="C1033" i="4"/>
  <c r="B1033" i="4"/>
  <c r="A1033" i="4"/>
  <c r="D1032" i="4"/>
  <c r="A1032" i="4"/>
  <c r="D1031" i="4"/>
  <c r="B1031" i="4"/>
  <c r="A1031" i="4"/>
  <c r="D1030" i="4"/>
  <c r="B1030" i="4"/>
  <c r="A1030" i="4"/>
  <c r="D1029" i="4"/>
  <c r="A1029" i="4"/>
  <c r="D1028" i="4"/>
  <c r="B1028" i="4"/>
  <c r="A1028" i="4"/>
  <c r="D1027" i="4"/>
  <c r="A1027" i="4"/>
  <c r="D1026" i="4"/>
  <c r="A1026" i="4"/>
  <c r="D1025" i="4"/>
  <c r="A1025" i="4"/>
  <c r="D1024" i="4"/>
  <c r="A1024" i="4"/>
  <c r="D1023" i="4"/>
  <c r="A1023" i="4"/>
  <c r="D1022" i="4"/>
  <c r="B1022" i="4"/>
  <c r="A1022" i="4"/>
  <c r="D1021" i="4"/>
  <c r="A1021" i="4"/>
  <c r="D1020" i="4"/>
  <c r="B1020" i="4"/>
  <c r="A1020" i="4"/>
  <c r="D1019" i="4"/>
  <c r="A1019" i="4"/>
  <c r="D1018" i="4"/>
  <c r="A1018" i="4"/>
  <c r="D1017" i="4"/>
  <c r="B1017" i="4"/>
  <c r="A1017" i="4"/>
  <c r="D1016" i="4"/>
  <c r="A1016" i="4"/>
  <c r="D1015" i="4"/>
  <c r="B1015" i="4"/>
  <c r="A1015" i="4"/>
  <c r="D1014" i="4"/>
  <c r="B1014" i="4"/>
  <c r="A1014" i="4"/>
  <c r="D1013" i="4"/>
  <c r="A1013" i="4"/>
  <c r="D1012" i="4"/>
  <c r="A1012" i="4"/>
  <c r="D1011" i="4"/>
  <c r="B1011" i="4"/>
  <c r="A1011" i="4"/>
  <c r="D1010" i="4"/>
  <c r="B1010" i="4"/>
  <c r="A1010" i="4"/>
  <c r="D1009" i="4"/>
  <c r="B1009" i="4"/>
  <c r="A1009" i="4"/>
  <c r="D1008" i="4"/>
  <c r="B1008" i="4"/>
  <c r="A1008" i="4"/>
  <c r="D1007" i="4"/>
  <c r="B1007" i="4"/>
  <c r="A1007" i="4"/>
  <c r="D1006" i="4"/>
  <c r="B1006" i="4"/>
  <c r="A1006" i="4"/>
  <c r="D1005" i="4"/>
  <c r="B1005" i="4"/>
  <c r="A1005" i="4"/>
  <c r="D1004" i="4"/>
  <c r="B1004" i="4"/>
  <c r="A1004" i="4"/>
  <c r="D1003" i="4"/>
  <c r="B1003" i="4"/>
  <c r="A1003" i="4"/>
  <c r="D1002" i="4"/>
  <c r="B1002" i="4"/>
  <c r="A1002" i="4"/>
  <c r="D1001" i="4"/>
  <c r="B1001" i="4"/>
  <c r="A1001" i="4"/>
  <c r="D1000" i="4"/>
  <c r="B1000" i="4"/>
  <c r="A1000" i="4"/>
  <c r="D999" i="4"/>
  <c r="B999" i="4"/>
  <c r="A999" i="4"/>
  <c r="D998" i="4"/>
  <c r="B998" i="4"/>
  <c r="A998" i="4"/>
  <c r="D997" i="4"/>
  <c r="B997" i="4"/>
  <c r="A997" i="4"/>
  <c r="D996" i="4"/>
  <c r="B996" i="4"/>
  <c r="A996" i="4"/>
  <c r="D995" i="4"/>
  <c r="B995" i="4"/>
  <c r="A995" i="4"/>
  <c r="D994" i="4"/>
  <c r="B994" i="4"/>
  <c r="A994" i="4"/>
  <c r="D993" i="4"/>
  <c r="B993" i="4"/>
  <c r="A993" i="4"/>
  <c r="D992" i="4"/>
  <c r="B992" i="4"/>
  <c r="A992" i="4"/>
  <c r="D991" i="4"/>
  <c r="B991" i="4"/>
  <c r="A991" i="4"/>
  <c r="D990" i="4"/>
  <c r="A990" i="4"/>
  <c r="D989" i="4"/>
  <c r="A989" i="4"/>
  <c r="D988" i="4"/>
  <c r="A988" i="4"/>
  <c r="D987" i="4"/>
  <c r="B987" i="4"/>
  <c r="A987" i="4"/>
  <c r="D986" i="4"/>
  <c r="A986" i="4"/>
  <c r="D985" i="4"/>
  <c r="B985" i="4"/>
  <c r="A985" i="4"/>
  <c r="D984" i="4"/>
  <c r="B984" i="4"/>
  <c r="A984" i="4"/>
  <c r="D983" i="4"/>
  <c r="B983" i="4"/>
  <c r="A983" i="4"/>
  <c r="D982" i="4"/>
  <c r="B982" i="4"/>
  <c r="A982" i="4"/>
  <c r="D981" i="4"/>
  <c r="B981" i="4"/>
  <c r="A981" i="4"/>
  <c r="D980" i="4"/>
  <c r="B980" i="4"/>
  <c r="A980" i="4"/>
  <c r="D979" i="4"/>
  <c r="B979" i="4"/>
  <c r="A979" i="4"/>
  <c r="D978" i="4"/>
  <c r="B978" i="4"/>
  <c r="A978" i="4"/>
  <c r="D977" i="4"/>
  <c r="B977" i="4"/>
  <c r="A977" i="4"/>
  <c r="D976" i="4"/>
  <c r="B976" i="4"/>
  <c r="A976" i="4"/>
  <c r="D975" i="4"/>
  <c r="A975" i="4"/>
  <c r="D974" i="4"/>
  <c r="A974" i="4"/>
  <c r="D973" i="4"/>
  <c r="B973" i="4"/>
  <c r="A973" i="4"/>
  <c r="D972" i="4"/>
  <c r="B972" i="4"/>
  <c r="A972" i="4"/>
  <c r="D971" i="4"/>
  <c r="B971" i="4"/>
  <c r="A971" i="4"/>
  <c r="D970" i="4"/>
  <c r="B970" i="4"/>
  <c r="A970" i="4"/>
  <c r="D969" i="4"/>
  <c r="B969" i="4"/>
  <c r="A969" i="4"/>
  <c r="D968" i="4"/>
  <c r="B968" i="4"/>
  <c r="A968" i="4"/>
  <c r="D967" i="4"/>
  <c r="B967" i="4"/>
  <c r="A967" i="4"/>
  <c r="D966" i="4"/>
  <c r="B966" i="4"/>
  <c r="A966" i="4"/>
  <c r="D965" i="4"/>
  <c r="A965" i="4"/>
  <c r="D964" i="4"/>
  <c r="B964" i="4"/>
  <c r="A964" i="4"/>
  <c r="D963" i="4"/>
  <c r="B963" i="4"/>
  <c r="A963" i="4"/>
  <c r="D962" i="4"/>
  <c r="B962" i="4"/>
  <c r="A962" i="4"/>
  <c r="D961" i="4"/>
  <c r="B961" i="4"/>
  <c r="A961" i="4"/>
  <c r="D960" i="4"/>
  <c r="B960" i="4"/>
  <c r="A960" i="4"/>
  <c r="D959" i="4"/>
  <c r="A959" i="4"/>
  <c r="D958" i="4"/>
  <c r="B958" i="4"/>
  <c r="A958" i="4"/>
  <c r="D957" i="4"/>
  <c r="A957" i="4"/>
  <c r="D956" i="4"/>
  <c r="A956" i="4"/>
  <c r="D955" i="4"/>
  <c r="B955" i="4"/>
  <c r="A955" i="4"/>
  <c r="D954" i="4"/>
  <c r="B954" i="4"/>
  <c r="A954" i="4"/>
  <c r="D953" i="4"/>
  <c r="B953" i="4"/>
  <c r="A953" i="4"/>
  <c r="D952" i="4"/>
  <c r="B952" i="4"/>
  <c r="A952" i="4"/>
  <c r="D951" i="4"/>
  <c r="B951" i="4"/>
  <c r="A951" i="4"/>
  <c r="D950" i="4"/>
  <c r="A950" i="4"/>
  <c r="D949" i="4"/>
  <c r="A949" i="4"/>
  <c r="D948" i="4"/>
  <c r="A948" i="4"/>
  <c r="D947" i="4"/>
  <c r="B947" i="4"/>
  <c r="A947" i="4"/>
  <c r="D946" i="4"/>
  <c r="A946" i="4"/>
  <c r="D945" i="4"/>
  <c r="B945" i="4"/>
  <c r="A945" i="4"/>
  <c r="D944" i="4"/>
  <c r="A944" i="4"/>
  <c r="D943" i="4"/>
  <c r="A943" i="4"/>
  <c r="D942" i="4"/>
  <c r="B942" i="4"/>
  <c r="A942" i="4"/>
  <c r="D941" i="4"/>
  <c r="A941" i="4"/>
  <c r="D940" i="4"/>
  <c r="B940" i="4"/>
  <c r="A940" i="4"/>
  <c r="D939" i="4"/>
  <c r="B939" i="4"/>
  <c r="A939" i="4"/>
  <c r="D938" i="4"/>
  <c r="B938" i="4"/>
  <c r="A938" i="4"/>
  <c r="D937" i="4"/>
  <c r="B937" i="4"/>
  <c r="A937" i="4"/>
  <c r="D936" i="4"/>
  <c r="A936" i="4"/>
  <c r="D935" i="4"/>
  <c r="A935" i="4"/>
  <c r="D934" i="4"/>
  <c r="A934" i="4"/>
  <c r="D933" i="4"/>
  <c r="B933" i="4"/>
  <c r="A933" i="4"/>
  <c r="D932" i="4"/>
  <c r="B932" i="4"/>
  <c r="A932" i="4"/>
  <c r="D931" i="4"/>
  <c r="A931" i="4"/>
  <c r="D930" i="4"/>
  <c r="A930" i="4"/>
  <c r="D929" i="4"/>
  <c r="A929" i="4"/>
  <c r="D928" i="4"/>
  <c r="A928" i="4"/>
  <c r="D927" i="4"/>
  <c r="A927" i="4"/>
  <c r="D926" i="4"/>
  <c r="A926" i="4"/>
  <c r="D925" i="4"/>
  <c r="A925" i="4"/>
  <c r="D924" i="4"/>
  <c r="A924" i="4"/>
  <c r="D923" i="4"/>
  <c r="A923" i="4"/>
  <c r="D922" i="4"/>
  <c r="A922" i="4"/>
  <c r="D921" i="4"/>
  <c r="A921" i="4"/>
  <c r="D920" i="4"/>
  <c r="A920" i="4"/>
  <c r="D919" i="4"/>
  <c r="A919" i="4"/>
  <c r="D918" i="4"/>
  <c r="B918" i="4"/>
  <c r="A918" i="4"/>
  <c r="D917" i="4"/>
  <c r="B917" i="4"/>
  <c r="A917" i="4"/>
  <c r="D916" i="4"/>
  <c r="B916" i="4"/>
  <c r="A916" i="4"/>
  <c r="D915" i="4"/>
  <c r="B915" i="4"/>
  <c r="A915" i="4"/>
  <c r="D914" i="4"/>
  <c r="A914" i="4"/>
  <c r="D913" i="4"/>
  <c r="A913" i="4"/>
  <c r="D912" i="4"/>
  <c r="B912" i="4"/>
  <c r="A912" i="4"/>
  <c r="D911" i="4"/>
  <c r="A911" i="4"/>
  <c r="D910" i="4"/>
  <c r="A910" i="4"/>
  <c r="D909" i="4"/>
  <c r="A909" i="4"/>
  <c r="D908" i="4"/>
  <c r="B908" i="4"/>
  <c r="A908" i="4"/>
  <c r="D907" i="4"/>
  <c r="A907" i="4"/>
  <c r="D906" i="4"/>
  <c r="B906" i="4"/>
  <c r="A906" i="4"/>
  <c r="D905" i="4"/>
  <c r="B905" i="4"/>
  <c r="A905" i="4"/>
  <c r="D904" i="4"/>
  <c r="A904" i="4"/>
  <c r="D903" i="4"/>
  <c r="A903" i="4"/>
  <c r="D902" i="4"/>
  <c r="A902" i="4"/>
  <c r="D901" i="4"/>
  <c r="A901" i="4"/>
  <c r="D900" i="4"/>
  <c r="A900" i="4"/>
  <c r="D899" i="4"/>
  <c r="A899" i="4"/>
  <c r="D898" i="4"/>
  <c r="C898" i="4"/>
  <c r="B898" i="4"/>
  <c r="A898" i="4"/>
  <c r="D897" i="4"/>
  <c r="A897" i="4"/>
  <c r="D896" i="4"/>
  <c r="B896" i="4"/>
  <c r="A896" i="4"/>
  <c r="D895" i="4"/>
  <c r="A895" i="4"/>
  <c r="D894" i="4"/>
  <c r="A894" i="4"/>
  <c r="D893" i="4"/>
  <c r="B893" i="4"/>
  <c r="A893" i="4"/>
  <c r="D892" i="4"/>
  <c r="A892" i="4"/>
  <c r="D891" i="4"/>
  <c r="B891" i="4"/>
  <c r="A891" i="4"/>
  <c r="D890" i="4"/>
  <c r="A890" i="4"/>
  <c r="D889" i="4"/>
  <c r="A889" i="4"/>
  <c r="D888" i="4"/>
  <c r="A888" i="4"/>
  <c r="D887" i="4"/>
  <c r="A887" i="4"/>
  <c r="D886" i="4"/>
  <c r="A886" i="4"/>
  <c r="D885" i="4"/>
  <c r="A885" i="4"/>
  <c r="D884" i="4"/>
  <c r="A884" i="4"/>
  <c r="D883" i="4"/>
  <c r="A883" i="4"/>
  <c r="D882" i="4"/>
  <c r="A882" i="4"/>
  <c r="D881" i="4"/>
  <c r="B881" i="4"/>
  <c r="A881" i="4"/>
  <c r="D880" i="4"/>
  <c r="A880" i="4"/>
  <c r="D879" i="4"/>
  <c r="A879" i="4"/>
  <c r="D878" i="4"/>
  <c r="B878" i="4"/>
  <c r="A878" i="4"/>
  <c r="D877" i="4"/>
  <c r="A877" i="4"/>
  <c r="D876" i="4"/>
  <c r="B876" i="4"/>
  <c r="A876" i="4"/>
  <c r="D875" i="4"/>
  <c r="A875" i="4"/>
  <c r="D874" i="4"/>
  <c r="B874" i="4"/>
  <c r="A874" i="4"/>
  <c r="D873" i="4"/>
  <c r="A873" i="4"/>
  <c r="D872" i="4"/>
  <c r="A872" i="4"/>
  <c r="D871" i="4"/>
  <c r="A871" i="4"/>
  <c r="D870" i="4"/>
  <c r="A870" i="4"/>
  <c r="D869" i="4"/>
  <c r="A869" i="4"/>
  <c r="D868" i="4"/>
  <c r="A868" i="4"/>
  <c r="D867" i="4"/>
  <c r="B867" i="4"/>
  <c r="A867" i="4"/>
  <c r="D866" i="4"/>
  <c r="B866" i="4"/>
  <c r="A866" i="4"/>
  <c r="D865" i="4"/>
  <c r="B865" i="4"/>
  <c r="A865" i="4"/>
  <c r="D864" i="4"/>
  <c r="A864" i="4"/>
  <c r="D863" i="4"/>
  <c r="B863" i="4"/>
  <c r="A863" i="4"/>
  <c r="D862" i="4"/>
  <c r="A862" i="4"/>
  <c r="D861" i="4"/>
  <c r="A861" i="4"/>
  <c r="D860" i="4"/>
  <c r="A860" i="4"/>
  <c r="D859" i="4"/>
  <c r="B859" i="4"/>
  <c r="A859" i="4"/>
  <c r="D858" i="4"/>
  <c r="A858" i="4"/>
  <c r="D857" i="4"/>
  <c r="A857" i="4"/>
  <c r="D856" i="4"/>
  <c r="A856" i="4"/>
  <c r="D855" i="4"/>
  <c r="A855" i="4"/>
  <c r="D854" i="4"/>
  <c r="A854" i="4"/>
  <c r="D853" i="4"/>
  <c r="A853" i="4"/>
  <c r="D852" i="4"/>
  <c r="A852" i="4"/>
  <c r="D851" i="4"/>
  <c r="A851" i="4"/>
  <c r="D850" i="4"/>
  <c r="A850" i="4"/>
  <c r="D849" i="4"/>
  <c r="A849" i="4"/>
  <c r="D848" i="4"/>
  <c r="A848" i="4"/>
  <c r="D847" i="4"/>
  <c r="A847" i="4"/>
  <c r="D846" i="4"/>
  <c r="A846" i="4"/>
  <c r="D845" i="4"/>
  <c r="A845" i="4"/>
  <c r="D844" i="4"/>
  <c r="A844" i="4"/>
  <c r="D843" i="4"/>
  <c r="A843" i="4"/>
  <c r="D842" i="4"/>
  <c r="A842" i="4"/>
  <c r="D841" i="4"/>
  <c r="A841" i="4"/>
  <c r="D840" i="4"/>
  <c r="A840" i="4"/>
  <c r="D839" i="4"/>
  <c r="A839" i="4"/>
  <c r="D838" i="4"/>
  <c r="A838" i="4"/>
  <c r="D837" i="4"/>
  <c r="B837" i="4"/>
  <c r="A837" i="4"/>
  <c r="D836" i="4"/>
  <c r="B836" i="4"/>
  <c r="A836" i="4"/>
  <c r="D835" i="4"/>
  <c r="A835" i="4"/>
  <c r="D834" i="4"/>
  <c r="B834" i="4"/>
  <c r="A834" i="4"/>
  <c r="D833" i="4"/>
  <c r="A833" i="4"/>
  <c r="D832" i="4"/>
  <c r="B832" i="4"/>
  <c r="A832" i="4"/>
  <c r="D831" i="4"/>
  <c r="B831" i="4"/>
  <c r="A831" i="4"/>
  <c r="D830" i="4"/>
  <c r="B830" i="4"/>
  <c r="A830" i="4"/>
  <c r="D829" i="4"/>
  <c r="B829" i="4"/>
  <c r="A829" i="4"/>
  <c r="D828" i="4"/>
  <c r="B828" i="4"/>
  <c r="A828" i="4"/>
  <c r="D827" i="4"/>
  <c r="B827" i="4"/>
  <c r="A827" i="4"/>
  <c r="D826" i="4"/>
  <c r="B826" i="4"/>
  <c r="A826" i="4"/>
  <c r="D825" i="4"/>
  <c r="C825" i="4"/>
  <c r="B825" i="4"/>
  <c r="A825" i="4"/>
  <c r="D824" i="4"/>
  <c r="B824" i="4"/>
  <c r="A824" i="4"/>
  <c r="D823" i="4"/>
  <c r="B823" i="4"/>
  <c r="A823" i="4"/>
  <c r="D822" i="4"/>
  <c r="B822" i="4"/>
  <c r="A822" i="4"/>
  <c r="D821" i="4"/>
  <c r="B821" i="4"/>
  <c r="A821" i="4"/>
  <c r="D820" i="4"/>
  <c r="B820" i="4"/>
  <c r="A820" i="4"/>
  <c r="D819" i="4"/>
  <c r="B819" i="4"/>
  <c r="A819" i="4"/>
  <c r="D818" i="4"/>
  <c r="A818" i="4"/>
  <c r="D817" i="4"/>
  <c r="B817" i="4"/>
  <c r="A817" i="4"/>
  <c r="D816" i="4"/>
  <c r="A816" i="4"/>
  <c r="D815" i="4"/>
  <c r="B815" i="4"/>
  <c r="A815" i="4"/>
  <c r="D814" i="4"/>
  <c r="C814" i="4"/>
  <c r="B814" i="4"/>
  <c r="A814" i="4"/>
  <c r="D813" i="4"/>
  <c r="B813" i="4"/>
  <c r="A813" i="4"/>
  <c r="D812" i="4"/>
  <c r="B812" i="4"/>
  <c r="A812" i="4"/>
  <c r="D811" i="4"/>
  <c r="A811" i="4"/>
  <c r="D810" i="4"/>
  <c r="A810" i="4"/>
  <c r="D809" i="4"/>
  <c r="B809" i="4"/>
  <c r="A809" i="4"/>
  <c r="D808" i="4"/>
  <c r="A808" i="4"/>
  <c r="D807" i="4"/>
  <c r="A807" i="4"/>
  <c r="D806" i="4"/>
  <c r="B806" i="4"/>
  <c r="A806" i="4"/>
  <c r="D805" i="4"/>
  <c r="A805" i="4"/>
  <c r="D804" i="4"/>
  <c r="A804" i="4"/>
  <c r="D803" i="4"/>
  <c r="B803" i="4"/>
  <c r="A803" i="4"/>
  <c r="D802" i="4"/>
  <c r="B802" i="4"/>
  <c r="A802" i="4"/>
  <c r="D801" i="4"/>
  <c r="A801" i="4"/>
  <c r="D800" i="4"/>
  <c r="A800" i="4"/>
  <c r="D799" i="4"/>
  <c r="B799" i="4"/>
  <c r="A799" i="4"/>
  <c r="D798" i="4"/>
  <c r="A798" i="4"/>
  <c r="D797" i="4"/>
  <c r="A797" i="4"/>
  <c r="D796" i="4"/>
  <c r="A796" i="4"/>
  <c r="D795" i="4"/>
  <c r="A795" i="4"/>
  <c r="D794" i="4"/>
  <c r="B794" i="4"/>
  <c r="A794" i="4"/>
  <c r="D793" i="4"/>
  <c r="A793" i="4"/>
  <c r="D792" i="4"/>
  <c r="A792" i="4"/>
  <c r="D791" i="4"/>
  <c r="A791" i="4"/>
  <c r="D790" i="4"/>
  <c r="B790" i="4"/>
  <c r="A790" i="4"/>
  <c r="D789" i="4"/>
  <c r="A789" i="4"/>
  <c r="D788" i="4"/>
  <c r="A788" i="4"/>
  <c r="D787" i="4"/>
  <c r="A787" i="4"/>
  <c r="D786" i="4"/>
  <c r="A786" i="4"/>
  <c r="D785" i="4"/>
  <c r="B785" i="4"/>
  <c r="A785" i="4"/>
  <c r="D784" i="4"/>
  <c r="B784" i="4"/>
  <c r="A784" i="4"/>
  <c r="D783" i="4"/>
  <c r="B783" i="4"/>
  <c r="A783" i="4"/>
  <c r="D782" i="4"/>
  <c r="B782" i="4"/>
  <c r="A782" i="4"/>
  <c r="D781" i="4"/>
  <c r="B781" i="4"/>
  <c r="A781" i="4"/>
  <c r="D780" i="4"/>
  <c r="A780" i="4"/>
  <c r="D779" i="4"/>
  <c r="B779" i="4"/>
  <c r="A779" i="4"/>
  <c r="D778" i="4"/>
  <c r="B778" i="4"/>
  <c r="A778" i="4"/>
  <c r="D777" i="4"/>
  <c r="A777" i="4"/>
  <c r="D776" i="4"/>
  <c r="B776" i="4"/>
  <c r="A776" i="4"/>
  <c r="D775" i="4"/>
  <c r="B775" i="4"/>
  <c r="A775" i="4"/>
  <c r="D774" i="4"/>
  <c r="B774" i="4"/>
  <c r="A774" i="4"/>
  <c r="D773" i="4"/>
  <c r="B773" i="4"/>
  <c r="A773" i="4"/>
  <c r="D772" i="4"/>
  <c r="A772" i="4"/>
  <c r="D771" i="4"/>
  <c r="B771" i="4"/>
  <c r="A771" i="4"/>
  <c r="D770" i="4"/>
  <c r="B770" i="4"/>
  <c r="A770" i="4"/>
  <c r="D769" i="4"/>
  <c r="A769" i="4"/>
  <c r="D768" i="4"/>
  <c r="A768" i="4"/>
  <c r="D767" i="4"/>
  <c r="B767" i="4"/>
  <c r="A767" i="4"/>
  <c r="D766" i="4"/>
  <c r="B766" i="4"/>
  <c r="A766" i="4"/>
  <c r="D765" i="4"/>
  <c r="B765" i="4"/>
  <c r="A765" i="4"/>
  <c r="D764" i="4"/>
  <c r="A764" i="4"/>
  <c r="D763" i="4"/>
  <c r="A763" i="4"/>
  <c r="D762" i="4"/>
  <c r="B762" i="4"/>
  <c r="A762" i="4"/>
  <c r="D761" i="4"/>
  <c r="A761" i="4"/>
  <c r="D760" i="4"/>
  <c r="A760" i="4"/>
  <c r="D759" i="4"/>
  <c r="A759" i="4"/>
  <c r="D758" i="4"/>
  <c r="B758" i="4"/>
  <c r="A758" i="4"/>
  <c r="D757" i="4"/>
  <c r="A757" i="4"/>
  <c r="D756" i="4"/>
  <c r="A756" i="4"/>
  <c r="D755" i="4"/>
  <c r="A755" i="4"/>
  <c r="D754" i="4"/>
  <c r="A754" i="4"/>
  <c r="D753" i="4"/>
  <c r="A753" i="4"/>
  <c r="D752" i="4"/>
  <c r="A752" i="4"/>
  <c r="D751" i="4"/>
  <c r="B751" i="4"/>
  <c r="A751" i="4"/>
  <c r="D750" i="4"/>
  <c r="A750" i="4"/>
  <c r="D749" i="4"/>
  <c r="A749" i="4"/>
  <c r="D748" i="4"/>
  <c r="A748" i="4"/>
  <c r="D747" i="4"/>
  <c r="A747" i="4"/>
  <c r="D746" i="4"/>
  <c r="A746" i="4"/>
  <c r="D745" i="4"/>
  <c r="A745" i="4"/>
  <c r="D744" i="4"/>
  <c r="A744" i="4"/>
  <c r="D743" i="4"/>
  <c r="A743" i="4"/>
  <c r="D742" i="4"/>
  <c r="A742" i="4"/>
  <c r="D741" i="4"/>
  <c r="A741" i="4"/>
  <c r="D740" i="4"/>
  <c r="A740" i="4"/>
  <c r="D739" i="4"/>
  <c r="A739" i="4"/>
  <c r="D738" i="4"/>
  <c r="B738" i="4"/>
  <c r="A738" i="4"/>
  <c r="D737" i="4"/>
  <c r="B737" i="4"/>
  <c r="A737" i="4"/>
  <c r="D736" i="4"/>
  <c r="B736" i="4"/>
  <c r="A736" i="4"/>
  <c r="D735" i="4"/>
  <c r="B735" i="4"/>
  <c r="A735" i="4"/>
  <c r="D734" i="4"/>
  <c r="A734" i="4"/>
  <c r="D733" i="4"/>
  <c r="A733" i="4"/>
  <c r="D732" i="4"/>
  <c r="A732" i="4"/>
  <c r="D731" i="4"/>
  <c r="A731" i="4"/>
  <c r="D730" i="4"/>
  <c r="A730" i="4"/>
  <c r="D729" i="4"/>
  <c r="A729" i="4"/>
  <c r="D728" i="4"/>
  <c r="A728" i="4"/>
  <c r="D727" i="4"/>
  <c r="A727" i="4"/>
  <c r="D726" i="4"/>
  <c r="A726" i="4"/>
  <c r="D725" i="4"/>
  <c r="A725" i="4"/>
  <c r="D724" i="4"/>
  <c r="A724" i="4"/>
  <c r="D723" i="4"/>
  <c r="A723" i="4"/>
  <c r="D722" i="4"/>
  <c r="A722" i="4"/>
  <c r="D721" i="4"/>
  <c r="A721" i="4"/>
  <c r="D720" i="4"/>
  <c r="A720" i="4"/>
  <c r="D719" i="4"/>
  <c r="A719" i="4"/>
  <c r="D718" i="4"/>
  <c r="A718" i="4"/>
  <c r="D717" i="4"/>
  <c r="A717" i="4"/>
  <c r="D716" i="4"/>
  <c r="A716" i="4"/>
  <c r="D715" i="4"/>
  <c r="A715" i="4"/>
  <c r="D714" i="4"/>
  <c r="A714" i="4"/>
  <c r="D713" i="4"/>
  <c r="A713" i="4"/>
  <c r="D712" i="4"/>
  <c r="A712" i="4"/>
  <c r="D711" i="4"/>
  <c r="A711" i="4"/>
  <c r="D710" i="4"/>
  <c r="B710" i="4"/>
  <c r="A710" i="4"/>
  <c r="D709" i="4"/>
  <c r="B709" i="4"/>
  <c r="A709" i="4"/>
  <c r="D708" i="4"/>
  <c r="A708" i="4"/>
  <c r="D707" i="4"/>
  <c r="A707" i="4"/>
  <c r="D706" i="4"/>
  <c r="A706" i="4"/>
  <c r="D705" i="4"/>
  <c r="A705" i="4"/>
  <c r="D704" i="4"/>
  <c r="A704" i="4"/>
  <c r="D703" i="4"/>
  <c r="A703" i="4"/>
  <c r="D702" i="4"/>
  <c r="A702" i="4"/>
  <c r="D701" i="4"/>
  <c r="B701" i="4"/>
  <c r="A701" i="4"/>
  <c r="D700" i="4"/>
  <c r="A700" i="4"/>
  <c r="D699" i="4"/>
  <c r="A699" i="4"/>
  <c r="D698" i="4"/>
  <c r="A698" i="4"/>
  <c r="D697" i="4"/>
  <c r="B697" i="4"/>
  <c r="A697" i="4"/>
  <c r="D696" i="4"/>
  <c r="A696" i="4"/>
  <c r="D695" i="4"/>
  <c r="A695" i="4"/>
  <c r="D694" i="4"/>
  <c r="A694" i="4"/>
  <c r="D693" i="4"/>
  <c r="A693" i="4"/>
  <c r="D692" i="4"/>
  <c r="A692" i="4"/>
  <c r="D691" i="4"/>
  <c r="A691" i="4"/>
  <c r="D690" i="4"/>
  <c r="A690" i="4"/>
  <c r="D689" i="4"/>
  <c r="A689" i="4"/>
  <c r="D688" i="4"/>
  <c r="A688" i="4"/>
  <c r="D687" i="4"/>
  <c r="A687" i="4"/>
  <c r="D686" i="4"/>
  <c r="A686" i="4"/>
  <c r="D685" i="4"/>
  <c r="A685" i="4"/>
  <c r="D684" i="4"/>
  <c r="A684" i="4"/>
  <c r="D683" i="4"/>
  <c r="A683" i="4"/>
  <c r="D682" i="4"/>
  <c r="A682" i="4"/>
  <c r="D681" i="4"/>
  <c r="A681" i="4"/>
  <c r="D680" i="4"/>
  <c r="A680" i="4"/>
  <c r="D679" i="4"/>
  <c r="A679" i="4"/>
  <c r="D678" i="4"/>
  <c r="A678" i="4"/>
  <c r="D677" i="4"/>
  <c r="A677" i="4"/>
  <c r="D676" i="4"/>
  <c r="A676" i="4"/>
  <c r="D675" i="4"/>
  <c r="A675" i="4"/>
  <c r="D674" i="4"/>
  <c r="A674" i="4"/>
  <c r="D673" i="4"/>
  <c r="A673" i="4"/>
  <c r="D672" i="4"/>
  <c r="A672" i="4"/>
  <c r="D671" i="4"/>
  <c r="B671" i="4"/>
  <c r="A671" i="4"/>
  <c r="D670" i="4"/>
  <c r="B670" i="4"/>
  <c r="A670" i="4"/>
  <c r="D669" i="4"/>
  <c r="B669" i="4"/>
  <c r="A669" i="4"/>
  <c r="D668" i="4"/>
  <c r="B668" i="4"/>
  <c r="A668" i="4"/>
  <c r="D667" i="4"/>
  <c r="B667" i="4"/>
  <c r="A667" i="4"/>
  <c r="D666" i="4"/>
  <c r="B666" i="4"/>
  <c r="A666" i="4"/>
  <c r="D665" i="4"/>
  <c r="B665" i="4"/>
  <c r="A665" i="4"/>
  <c r="D664" i="4"/>
  <c r="B664" i="4"/>
  <c r="A664" i="4"/>
  <c r="D663" i="4"/>
  <c r="A663" i="4"/>
  <c r="D662" i="4"/>
  <c r="B662" i="4"/>
  <c r="A662" i="4"/>
  <c r="D661" i="4"/>
  <c r="B661" i="4"/>
  <c r="A661" i="4"/>
  <c r="D660" i="4"/>
  <c r="B660" i="4"/>
  <c r="A660" i="4"/>
  <c r="D659" i="4"/>
  <c r="B659" i="4"/>
  <c r="A659" i="4"/>
  <c r="D658" i="4"/>
  <c r="B658" i="4"/>
  <c r="A658" i="4"/>
  <c r="D657" i="4"/>
  <c r="B657" i="4"/>
  <c r="A657" i="4"/>
  <c r="D656" i="4"/>
  <c r="B656" i="4"/>
  <c r="A656" i="4"/>
  <c r="D655" i="4"/>
  <c r="B655" i="4"/>
  <c r="A655" i="4"/>
  <c r="D654" i="4"/>
  <c r="B654" i="4"/>
  <c r="A654" i="4"/>
  <c r="D653" i="4"/>
  <c r="A653" i="4"/>
  <c r="D652" i="4"/>
  <c r="B652" i="4"/>
  <c r="A652" i="4"/>
  <c r="D651" i="4"/>
  <c r="A651" i="4"/>
  <c r="D650" i="4"/>
  <c r="A650" i="4"/>
  <c r="D649" i="4"/>
  <c r="B649" i="4"/>
  <c r="A649" i="4"/>
  <c r="D648" i="4"/>
  <c r="A648" i="4"/>
  <c r="D647" i="4"/>
  <c r="B647" i="4"/>
  <c r="A647" i="4"/>
  <c r="D646" i="4"/>
  <c r="B646" i="4"/>
  <c r="A646" i="4"/>
  <c r="D645" i="4"/>
  <c r="B645" i="4"/>
  <c r="A645" i="4"/>
  <c r="D644" i="4"/>
  <c r="B644" i="4"/>
  <c r="A644" i="4"/>
  <c r="D643" i="4"/>
  <c r="B643" i="4"/>
  <c r="A643" i="4"/>
  <c r="D642" i="4"/>
  <c r="B642" i="4"/>
  <c r="A642" i="4"/>
  <c r="D641" i="4"/>
  <c r="B641" i="4"/>
  <c r="A641" i="4"/>
  <c r="D640" i="4"/>
  <c r="A640" i="4"/>
  <c r="D639" i="4"/>
  <c r="B639" i="4"/>
  <c r="A639" i="4"/>
  <c r="D638" i="4"/>
  <c r="B638" i="4"/>
  <c r="A638" i="4"/>
  <c r="D637" i="4"/>
  <c r="B637" i="4"/>
  <c r="A637" i="4"/>
  <c r="D636" i="4"/>
  <c r="B636" i="4"/>
  <c r="A636" i="4"/>
  <c r="D635" i="4"/>
  <c r="A635" i="4"/>
  <c r="D634" i="4"/>
  <c r="B634" i="4"/>
  <c r="A634" i="4"/>
  <c r="D633" i="4"/>
  <c r="B633" i="4"/>
  <c r="A633" i="4"/>
  <c r="D632" i="4"/>
  <c r="B632" i="4"/>
  <c r="A632" i="4"/>
  <c r="D631" i="4"/>
  <c r="B631" i="4"/>
  <c r="A631" i="4"/>
  <c r="D630" i="4"/>
  <c r="B630" i="4"/>
  <c r="A630" i="4"/>
  <c r="D629" i="4"/>
  <c r="B629" i="4"/>
  <c r="A629" i="4"/>
  <c r="D628" i="4"/>
  <c r="C628" i="4"/>
  <c r="B628" i="4"/>
  <c r="A628" i="4"/>
  <c r="D627" i="4"/>
  <c r="B627" i="4"/>
  <c r="A627" i="4"/>
  <c r="D626" i="4"/>
  <c r="B626" i="4"/>
  <c r="A626" i="4"/>
  <c r="D625" i="4"/>
  <c r="B625" i="4"/>
  <c r="A625" i="4"/>
  <c r="D624" i="4"/>
  <c r="B624" i="4"/>
  <c r="A624" i="4"/>
  <c r="D623" i="4"/>
  <c r="B623" i="4"/>
  <c r="A623" i="4"/>
  <c r="D622" i="4"/>
  <c r="B622" i="4"/>
  <c r="A622" i="4"/>
  <c r="D621" i="4"/>
  <c r="A621" i="4"/>
  <c r="D620" i="4"/>
  <c r="B620" i="4"/>
  <c r="A620" i="4"/>
  <c r="D619" i="4"/>
  <c r="A619" i="4"/>
  <c r="D618" i="4"/>
  <c r="A618" i="4"/>
  <c r="D617" i="4"/>
  <c r="B617" i="4"/>
  <c r="A617" i="4"/>
  <c r="D616" i="4"/>
  <c r="A616" i="4"/>
  <c r="D615" i="4"/>
  <c r="B615" i="4"/>
  <c r="A615" i="4"/>
  <c r="D614" i="4"/>
  <c r="B614" i="4"/>
  <c r="A614" i="4"/>
  <c r="D613" i="4"/>
  <c r="A613" i="4"/>
  <c r="D612" i="4"/>
  <c r="B612" i="4"/>
  <c r="A612" i="4"/>
  <c r="D611" i="4"/>
  <c r="B611" i="4"/>
  <c r="A611" i="4"/>
  <c r="D610" i="4"/>
  <c r="A610" i="4"/>
  <c r="D609" i="4"/>
  <c r="B609" i="4"/>
  <c r="A609" i="4"/>
  <c r="D608" i="4"/>
  <c r="B608" i="4"/>
  <c r="A608" i="4"/>
  <c r="D607" i="4"/>
  <c r="B607" i="4"/>
  <c r="A607" i="4"/>
  <c r="D606" i="4"/>
  <c r="A606" i="4"/>
  <c r="D605" i="4"/>
  <c r="A605" i="4"/>
  <c r="D604" i="4"/>
  <c r="A604" i="4"/>
  <c r="D603" i="4"/>
  <c r="B603" i="4"/>
  <c r="A603" i="4"/>
  <c r="D602" i="4"/>
  <c r="B602" i="4"/>
  <c r="A602" i="4"/>
  <c r="D601" i="4"/>
  <c r="B601" i="4"/>
  <c r="A601" i="4"/>
  <c r="D600" i="4"/>
  <c r="B600" i="4"/>
  <c r="A600" i="4"/>
  <c r="D599" i="4"/>
  <c r="A599" i="4"/>
  <c r="D598" i="4"/>
  <c r="B598" i="4"/>
  <c r="A598" i="4"/>
  <c r="D597" i="4"/>
  <c r="B597" i="4"/>
  <c r="A597" i="4"/>
  <c r="D596" i="4"/>
  <c r="B596" i="4"/>
  <c r="A596" i="4"/>
  <c r="D595" i="4"/>
  <c r="B595" i="4"/>
  <c r="A595" i="4"/>
  <c r="D594" i="4"/>
  <c r="B594" i="4"/>
  <c r="A594" i="4"/>
  <c r="D593" i="4"/>
  <c r="B593" i="4"/>
  <c r="A593" i="4"/>
  <c r="D592" i="4"/>
  <c r="B592" i="4"/>
  <c r="A592" i="4"/>
  <c r="D591" i="4"/>
  <c r="B591" i="4"/>
  <c r="A591" i="4"/>
  <c r="D590" i="4"/>
  <c r="B590" i="4"/>
  <c r="A590" i="4"/>
  <c r="D589" i="4"/>
  <c r="A589" i="4"/>
  <c r="D588" i="4"/>
  <c r="B588" i="4"/>
  <c r="A588" i="4"/>
  <c r="D587" i="4"/>
  <c r="B587" i="4"/>
  <c r="A587" i="4"/>
  <c r="D586" i="4"/>
  <c r="A586" i="4"/>
  <c r="D585" i="4"/>
  <c r="B585" i="4"/>
  <c r="A585" i="4"/>
  <c r="D584" i="4"/>
  <c r="B584" i="4"/>
  <c r="A584" i="4"/>
  <c r="D583" i="4"/>
  <c r="A583" i="4"/>
  <c r="D582" i="4"/>
  <c r="B582" i="4"/>
  <c r="A582" i="4"/>
  <c r="D581" i="4"/>
  <c r="B581" i="4"/>
  <c r="A581" i="4"/>
  <c r="D580" i="4"/>
  <c r="A580" i="4"/>
  <c r="D579" i="4"/>
  <c r="A579" i="4"/>
  <c r="D578" i="4"/>
  <c r="A578" i="4"/>
  <c r="D577" i="4"/>
  <c r="B577" i="4"/>
  <c r="A577" i="4"/>
  <c r="D576" i="4"/>
  <c r="B576" i="4"/>
  <c r="A576" i="4"/>
  <c r="D575" i="4"/>
  <c r="B575" i="4"/>
  <c r="A575" i="4"/>
  <c r="D574" i="4"/>
  <c r="B574" i="4"/>
  <c r="A574" i="4"/>
  <c r="D573" i="4"/>
  <c r="B573" i="4"/>
  <c r="A573" i="4"/>
  <c r="D572" i="4"/>
  <c r="B572" i="4"/>
  <c r="A572" i="4"/>
  <c r="D571" i="4"/>
  <c r="B571" i="4"/>
  <c r="A571" i="4"/>
  <c r="D570" i="4"/>
  <c r="B570" i="4"/>
  <c r="A570" i="4"/>
  <c r="D569" i="4"/>
  <c r="B569" i="4"/>
  <c r="A569" i="4"/>
  <c r="D568" i="4"/>
  <c r="A568" i="4"/>
  <c r="D567" i="4"/>
  <c r="B567" i="4"/>
  <c r="A567" i="4"/>
  <c r="D566" i="4"/>
  <c r="B566" i="4"/>
  <c r="A566" i="4"/>
  <c r="D565" i="4"/>
  <c r="B565" i="4"/>
  <c r="A565" i="4"/>
  <c r="D564" i="4"/>
  <c r="B564" i="4"/>
  <c r="A564" i="4"/>
  <c r="D563" i="4"/>
  <c r="B563" i="4"/>
  <c r="A563" i="4"/>
  <c r="D562" i="4"/>
  <c r="C562" i="4"/>
  <c r="B562" i="4"/>
  <c r="A562" i="4"/>
  <c r="D561" i="4"/>
  <c r="B561" i="4"/>
  <c r="A561" i="4"/>
  <c r="D560" i="4"/>
  <c r="B560" i="4"/>
  <c r="A560" i="4"/>
  <c r="D559" i="4"/>
  <c r="A559" i="4"/>
  <c r="D558" i="4"/>
  <c r="B558" i="4"/>
  <c r="A558" i="4"/>
  <c r="D557" i="4"/>
  <c r="B557" i="4"/>
  <c r="A557" i="4"/>
  <c r="D556" i="4"/>
  <c r="A556" i="4"/>
  <c r="D555" i="4"/>
  <c r="B555" i="4"/>
  <c r="A555" i="4"/>
  <c r="D554" i="4"/>
  <c r="B554" i="4"/>
  <c r="A554" i="4"/>
  <c r="D553" i="4"/>
  <c r="B553" i="4"/>
  <c r="A553" i="4"/>
  <c r="D552" i="4"/>
  <c r="B552" i="4"/>
  <c r="A552" i="4"/>
  <c r="D551" i="4"/>
  <c r="A551" i="4"/>
  <c r="D550" i="4"/>
  <c r="A550" i="4"/>
  <c r="D549" i="4"/>
  <c r="A549" i="4"/>
  <c r="D548" i="4"/>
  <c r="A548" i="4"/>
  <c r="D547" i="4"/>
  <c r="B547" i="4"/>
  <c r="A547" i="4"/>
  <c r="D546" i="4"/>
  <c r="A546" i="4"/>
  <c r="D545" i="4"/>
  <c r="B545" i="4"/>
  <c r="A545" i="4"/>
  <c r="D544" i="4"/>
  <c r="B544" i="4"/>
  <c r="A544" i="4"/>
  <c r="D543" i="4"/>
  <c r="B543" i="4"/>
  <c r="A543" i="4"/>
  <c r="D542" i="4"/>
  <c r="A542" i="4"/>
  <c r="D541" i="4"/>
  <c r="B541" i="4"/>
  <c r="A541" i="4"/>
  <c r="D540" i="4"/>
  <c r="A540" i="4"/>
  <c r="D539" i="4"/>
  <c r="A539" i="4"/>
  <c r="D538" i="4"/>
  <c r="A538" i="4"/>
  <c r="D537" i="4"/>
  <c r="A537" i="4"/>
  <c r="D536" i="4"/>
  <c r="A536" i="4"/>
  <c r="D535" i="4"/>
  <c r="A535" i="4"/>
  <c r="D534" i="4"/>
  <c r="A534" i="4"/>
  <c r="D533" i="4"/>
  <c r="B533" i="4"/>
  <c r="A533" i="4"/>
  <c r="D532" i="4"/>
  <c r="B532" i="4"/>
  <c r="A532" i="4"/>
  <c r="D531" i="4"/>
  <c r="A531" i="4"/>
  <c r="D530" i="4"/>
  <c r="B530" i="4"/>
  <c r="A530" i="4"/>
  <c r="D529" i="4"/>
  <c r="B529" i="4"/>
  <c r="A529" i="4"/>
  <c r="D528" i="4"/>
  <c r="B528" i="4"/>
  <c r="A528" i="4"/>
  <c r="D527" i="4"/>
  <c r="B527" i="4"/>
  <c r="A527" i="4"/>
  <c r="D526" i="4"/>
  <c r="A526" i="4"/>
  <c r="D525" i="4"/>
  <c r="C525" i="4"/>
  <c r="B525" i="4"/>
  <c r="A525" i="4"/>
  <c r="D524" i="4"/>
  <c r="B524" i="4"/>
  <c r="A524" i="4"/>
  <c r="D523" i="4"/>
  <c r="A523" i="4"/>
  <c r="D522" i="4"/>
  <c r="A522" i="4"/>
  <c r="D521" i="4"/>
  <c r="B521" i="4"/>
  <c r="A521" i="4"/>
  <c r="D520" i="4"/>
  <c r="B520" i="4"/>
  <c r="A520" i="4"/>
  <c r="D519" i="4"/>
  <c r="B519" i="4"/>
  <c r="A519" i="4"/>
  <c r="D518" i="4"/>
  <c r="A518" i="4"/>
  <c r="D517" i="4"/>
  <c r="C517" i="4"/>
  <c r="B517" i="4"/>
  <c r="A517" i="4"/>
  <c r="D516" i="4"/>
  <c r="B516" i="4"/>
  <c r="A516" i="4"/>
  <c r="D515" i="4"/>
  <c r="B515" i="4"/>
  <c r="A515" i="4"/>
  <c r="D514" i="4"/>
  <c r="B514" i="4"/>
  <c r="A514" i="4"/>
  <c r="D513" i="4"/>
  <c r="B513" i="4"/>
  <c r="A513" i="4"/>
  <c r="D512" i="4"/>
  <c r="A512" i="4"/>
  <c r="D511" i="4"/>
  <c r="B511" i="4"/>
  <c r="A511" i="4"/>
  <c r="D510" i="4"/>
  <c r="B510" i="4"/>
  <c r="A510" i="4"/>
  <c r="D509" i="4"/>
  <c r="B509" i="4"/>
  <c r="A509" i="4"/>
  <c r="D508" i="4"/>
  <c r="B508" i="4"/>
  <c r="A508" i="4"/>
  <c r="D507" i="4"/>
  <c r="B507" i="4"/>
  <c r="A507" i="4"/>
  <c r="D506" i="4"/>
  <c r="B506" i="4"/>
  <c r="A506" i="4"/>
  <c r="D505" i="4"/>
  <c r="B505" i="4"/>
  <c r="A505" i="4"/>
  <c r="D504" i="4"/>
  <c r="B504" i="4"/>
  <c r="A504" i="4"/>
  <c r="D503" i="4"/>
  <c r="B503" i="4"/>
  <c r="A503" i="4"/>
  <c r="D502" i="4"/>
  <c r="B502" i="4"/>
  <c r="A502" i="4"/>
  <c r="D501" i="4"/>
  <c r="A501" i="4"/>
  <c r="D500" i="4"/>
  <c r="B500" i="4"/>
  <c r="A500" i="4"/>
  <c r="D499" i="4"/>
  <c r="B499" i="4"/>
  <c r="A499" i="4"/>
  <c r="D498" i="4"/>
  <c r="A498" i="4"/>
  <c r="D497" i="4"/>
  <c r="B497" i="4"/>
  <c r="A497" i="4"/>
  <c r="D496" i="4"/>
  <c r="A496" i="4"/>
  <c r="D495" i="4"/>
  <c r="A495" i="4"/>
  <c r="D494" i="4"/>
  <c r="A494" i="4"/>
  <c r="D493" i="4"/>
  <c r="A493" i="4"/>
  <c r="D492" i="4"/>
  <c r="B492" i="4"/>
  <c r="A492" i="4"/>
  <c r="D491" i="4"/>
  <c r="B491" i="4"/>
  <c r="A491" i="4"/>
  <c r="D490" i="4"/>
  <c r="B490" i="4"/>
  <c r="A490" i="4"/>
  <c r="D489" i="4"/>
  <c r="A489" i="4"/>
  <c r="D488" i="4"/>
  <c r="B488" i="4"/>
  <c r="A488" i="4"/>
  <c r="D487" i="4"/>
  <c r="B487" i="4"/>
  <c r="A487" i="4"/>
  <c r="D486" i="4"/>
  <c r="B486" i="4"/>
  <c r="A486" i="4"/>
  <c r="D485" i="4"/>
  <c r="B485" i="4"/>
  <c r="A485" i="4"/>
  <c r="D484" i="4"/>
  <c r="A484" i="4"/>
  <c r="D483" i="4"/>
  <c r="B483" i="4"/>
  <c r="A483" i="4"/>
  <c r="D482" i="4"/>
  <c r="B482" i="4"/>
  <c r="A482" i="4"/>
  <c r="D481" i="4"/>
  <c r="A481" i="4"/>
  <c r="D480" i="4"/>
  <c r="A480" i="4"/>
  <c r="D479" i="4"/>
  <c r="A479" i="4"/>
  <c r="D478" i="4"/>
  <c r="A478" i="4"/>
  <c r="D477" i="4"/>
  <c r="A477" i="4"/>
  <c r="D476" i="4"/>
  <c r="B476" i="4"/>
  <c r="A476" i="4"/>
  <c r="D475" i="4"/>
  <c r="C475" i="4"/>
  <c r="B475" i="4"/>
  <c r="A475" i="4"/>
  <c r="D474" i="4"/>
  <c r="A474" i="4"/>
  <c r="D473" i="4"/>
  <c r="A473" i="4"/>
  <c r="D472" i="4"/>
  <c r="A472" i="4"/>
  <c r="D471" i="4"/>
  <c r="B471" i="4"/>
  <c r="A471" i="4"/>
  <c r="D470" i="4"/>
  <c r="A470" i="4"/>
  <c r="D469" i="4"/>
  <c r="A469" i="4"/>
  <c r="D468" i="4"/>
  <c r="B468" i="4"/>
  <c r="A468" i="4"/>
  <c r="D467" i="4"/>
  <c r="B467" i="4"/>
  <c r="A467" i="4"/>
  <c r="D466" i="4"/>
  <c r="B466" i="4"/>
  <c r="A466" i="4"/>
  <c r="D465" i="4"/>
  <c r="A465" i="4"/>
  <c r="D464" i="4"/>
  <c r="A464" i="4"/>
  <c r="D463" i="4"/>
  <c r="B463" i="4"/>
  <c r="A463" i="4"/>
  <c r="D462" i="4"/>
  <c r="A462" i="4"/>
  <c r="D461" i="4"/>
  <c r="B461" i="4"/>
  <c r="A461" i="4"/>
  <c r="D460" i="4"/>
  <c r="A460" i="4"/>
  <c r="D459" i="4"/>
  <c r="B459" i="4"/>
  <c r="A459" i="4"/>
  <c r="D458" i="4"/>
  <c r="A458" i="4"/>
  <c r="D457" i="4"/>
  <c r="B457" i="4"/>
  <c r="A457" i="4"/>
  <c r="D456" i="4"/>
  <c r="B456" i="4"/>
  <c r="A456" i="4"/>
  <c r="D455" i="4"/>
  <c r="A455" i="4"/>
  <c r="D454" i="4"/>
  <c r="A454" i="4"/>
  <c r="D453" i="4"/>
  <c r="A453" i="4"/>
  <c r="D452" i="4"/>
  <c r="A452" i="4"/>
  <c r="D451" i="4"/>
  <c r="A451" i="4"/>
  <c r="D450" i="4"/>
  <c r="A450" i="4"/>
  <c r="D449" i="4"/>
  <c r="A449" i="4"/>
  <c r="D448" i="4"/>
  <c r="A448" i="4"/>
  <c r="D447" i="4"/>
  <c r="A447" i="4"/>
  <c r="D446" i="4"/>
  <c r="A446" i="4"/>
  <c r="D445" i="4"/>
  <c r="B445" i="4"/>
  <c r="A445" i="4"/>
  <c r="D444" i="4"/>
  <c r="A444" i="4"/>
  <c r="D443" i="4"/>
  <c r="B443" i="4"/>
  <c r="A443" i="4"/>
  <c r="D442" i="4"/>
  <c r="A442" i="4"/>
  <c r="D441" i="4"/>
  <c r="B441" i="4"/>
  <c r="A441" i="4"/>
  <c r="D440" i="4"/>
  <c r="C440" i="4"/>
  <c r="B440" i="4"/>
  <c r="A440" i="4"/>
  <c r="D439" i="4"/>
  <c r="B439" i="4"/>
  <c r="A439" i="4"/>
  <c r="D438" i="4"/>
  <c r="A438" i="4"/>
  <c r="D437" i="4"/>
  <c r="A437" i="4"/>
  <c r="D436" i="4"/>
  <c r="B436" i="4"/>
  <c r="A436" i="4"/>
  <c r="D435" i="4"/>
  <c r="B435" i="4"/>
  <c r="A435" i="4"/>
  <c r="D434" i="4"/>
  <c r="B434" i="4"/>
  <c r="A434" i="4"/>
  <c r="D433" i="4"/>
  <c r="B433" i="4"/>
  <c r="A433" i="4"/>
  <c r="D432" i="4"/>
  <c r="B432" i="4"/>
  <c r="A432" i="4"/>
  <c r="D431" i="4"/>
  <c r="B431" i="4"/>
  <c r="A431" i="4"/>
  <c r="D430" i="4"/>
  <c r="B430" i="4"/>
  <c r="A430" i="4"/>
  <c r="D429" i="4"/>
  <c r="B429" i="4"/>
  <c r="A429" i="4"/>
  <c r="D428" i="4"/>
  <c r="B428" i="4"/>
  <c r="A428" i="4"/>
  <c r="D427" i="4"/>
  <c r="A427" i="4"/>
  <c r="D426" i="4"/>
  <c r="B426" i="4"/>
  <c r="A426" i="4"/>
  <c r="D425" i="4"/>
  <c r="B425" i="4"/>
  <c r="A425" i="4"/>
  <c r="D424" i="4"/>
  <c r="A424" i="4"/>
  <c r="D423" i="4"/>
  <c r="C423" i="4"/>
  <c r="B423" i="4"/>
  <c r="A423" i="4"/>
  <c r="D422" i="4"/>
  <c r="A422" i="4"/>
  <c r="D421" i="4"/>
  <c r="B421" i="4"/>
  <c r="A421" i="4"/>
  <c r="D420" i="4"/>
  <c r="B420" i="4"/>
  <c r="A420" i="4"/>
  <c r="D419" i="4"/>
  <c r="B419" i="4"/>
  <c r="A419" i="4"/>
  <c r="D418" i="4"/>
  <c r="B418" i="4"/>
  <c r="A418" i="4"/>
  <c r="D417" i="4"/>
  <c r="B417" i="4"/>
  <c r="A417" i="4"/>
  <c r="D416" i="4"/>
  <c r="A416" i="4"/>
  <c r="D415" i="4"/>
  <c r="B415" i="4"/>
  <c r="A415" i="4"/>
  <c r="D414" i="4"/>
  <c r="B414" i="4"/>
  <c r="A414" i="4"/>
  <c r="D413" i="4"/>
  <c r="B413" i="4"/>
  <c r="A413" i="4"/>
  <c r="D412" i="4"/>
  <c r="A412" i="4"/>
  <c r="D411" i="4"/>
  <c r="B411" i="4"/>
  <c r="A411" i="4"/>
  <c r="D410" i="4"/>
  <c r="B410" i="4"/>
  <c r="A410" i="4"/>
  <c r="D409" i="4"/>
  <c r="A409" i="4"/>
  <c r="D408" i="4"/>
  <c r="B408" i="4"/>
  <c r="A408" i="4"/>
  <c r="D407" i="4"/>
  <c r="A407" i="4"/>
  <c r="D406" i="4"/>
  <c r="B406" i="4"/>
  <c r="A406" i="4"/>
  <c r="D405" i="4"/>
  <c r="B405" i="4"/>
  <c r="A405" i="4"/>
  <c r="D404" i="4"/>
  <c r="B404" i="4"/>
  <c r="A404" i="4"/>
  <c r="D403" i="4"/>
  <c r="B403" i="4"/>
  <c r="A403" i="4"/>
  <c r="D402" i="4"/>
  <c r="B402" i="4"/>
  <c r="A402" i="4"/>
  <c r="D401" i="4"/>
  <c r="B401" i="4"/>
  <c r="A401" i="4"/>
  <c r="D400" i="4"/>
  <c r="B400" i="4"/>
  <c r="A400" i="4"/>
  <c r="D399" i="4"/>
  <c r="B399" i="4"/>
  <c r="A399" i="4"/>
  <c r="D398" i="4"/>
  <c r="B398" i="4"/>
  <c r="A398" i="4"/>
  <c r="D397" i="4"/>
  <c r="A397" i="4"/>
  <c r="D396" i="4"/>
  <c r="A396" i="4"/>
  <c r="D395" i="4"/>
  <c r="B395" i="4"/>
  <c r="A395" i="4"/>
  <c r="D394" i="4"/>
  <c r="B394" i="4"/>
  <c r="A394" i="4"/>
  <c r="D393" i="4"/>
  <c r="A393" i="4"/>
  <c r="D392" i="4"/>
  <c r="B392" i="4"/>
  <c r="A392" i="4"/>
  <c r="D391" i="4"/>
  <c r="A391" i="4"/>
  <c r="D390" i="4"/>
  <c r="A390" i="4"/>
  <c r="D389" i="4"/>
  <c r="B389" i="4"/>
  <c r="A389" i="4"/>
  <c r="D388" i="4"/>
  <c r="A388" i="4"/>
  <c r="D387" i="4"/>
  <c r="B387" i="4"/>
  <c r="A387" i="4"/>
  <c r="D386" i="4"/>
  <c r="B386" i="4"/>
  <c r="A386" i="4"/>
  <c r="D385" i="4"/>
  <c r="A385" i="4"/>
  <c r="D384" i="4"/>
  <c r="A384" i="4"/>
  <c r="D383" i="4"/>
  <c r="A383" i="4"/>
  <c r="D382" i="4"/>
  <c r="A382" i="4"/>
  <c r="D381" i="4"/>
  <c r="B381" i="4"/>
  <c r="A381" i="4"/>
  <c r="D380" i="4"/>
  <c r="A380" i="4"/>
  <c r="D379" i="4"/>
  <c r="A379" i="4"/>
  <c r="D378" i="4"/>
  <c r="B378" i="4"/>
  <c r="A378" i="4"/>
  <c r="D377" i="4"/>
  <c r="B377" i="4"/>
  <c r="A377" i="4"/>
  <c r="D376" i="4"/>
  <c r="C376" i="4"/>
  <c r="B376" i="4"/>
  <c r="A376" i="4"/>
  <c r="D375" i="4"/>
  <c r="C375" i="4"/>
  <c r="B375" i="4"/>
  <c r="A375" i="4"/>
  <c r="D374" i="4"/>
  <c r="B374" i="4"/>
  <c r="A374" i="4"/>
  <c r="D373" i="4"/>
  <c r="B373" i="4"/>
  <c r="A373" i="4"/>
  <c r="D372" i="4"/>
  <c r="B372" i="4"/>
  <c r="A372" i="4"/>
  <c r="D371" i="4"/>
  <c r="C371" i="4"/>
  <c r="B371" i="4"/>
  <c r="A371" i="4"/>
  <c r="D370" i="4"/>
  <c r="A370" i="4"/>
  <c r="D369" i="4"/>
  <c r="A369" i="4"/>
  <c r="D368" i="4"/>
  <c r="A368" i="4"/>
  <c r="D367" i="4"/>
  <c r="B367" i="4"/>
  <c r="A367" i="4"/>
  <c r="D366" i="4"/>
  <c r="B366" i="4"/>
  <c r="A366" i="4"/>
  <c r="D365" i="4"/>
  <c r="B365" i="4"/>
  <c r="A365" i="4"/>
  <c r="D364" i="4"/>
  <c r="A364" i="4"/>
  <c r="D363" i="4"/>
  <c r="A363" i="4"/>
  <c r="D362" i="4"/>
  <c r="B362" i="4"/>
  <c r="A362" i="4"/>
  <c r="D361" i="4"/>
  <c r="A361" i="4"/>
  <c r="D360" i="4"/>
  <c r="B360" i="4"/>
  <c r="A360" i="4"/>
  <c r="D359" i="4"/>
  <c r="B359" i="4"/>
  <c r="A359" i="4"/>
  <c r="D358" i="4"/>
  <c r="A358" i="4"/>
  <c r="D357" i="4"/>
  <c r="A357" i="4"/>
  <c r="D356" i="4"/>
  <c r="B356" i="4"/>
  <c r="A356" i="4"/>
  <c r="D355" i="4"/>
  <c r="B355" i="4"/>
  <c r="A355" i="4"/>
  <c r="D354" i="4"/>
  <c r="A354" i="4"/>
  <c r="D353" i="4"/>
  <c r="B353" i="4"/>
  <c r="A353" i="4"/>
  <c r="D352" i="4"/>
  <c r="A352" i="4"/>
  <c r="D351" i="4"/>
  <c r="A351" i="4"/>
  <c r="D350" i="4"/>
  <c r="A350" i="4"/>
  <c r="D349" i="4"/>
  <c r="A349" i="4"/>
  <c r="D348" i="4"/>
  <c r="A348" i="4"/>
  <c r="D347" i="4"/>
  <c r="A347" i="4"/>
  <c r="D346" i="4"/>
  <c r="B346" i="4"/>
  <c r="A346" i="4"/>
  <c r="D345" i="4"/>
  <c r="A345" i="4"/>
  <c r="D344" i="4"/>
  <c r="A344" i="4"/>
  <c r="D343" i="4"/>
  <c r="A343" i="4"/>
  <c r="D342" i="4"/>
  <c r="B342" i="4"/>
  <c r="A342" i="4"/>
  <c r="D341" i="4"/>
  <c r="B341" i="4"/>
  <c r="A341" i="4"/>
  <c r="D340" i="4"/>
  <c r="A340" i="4"/>
  <c r="D339" i="4"/>
  <c r="B339" i="4"/>
  <c r="A339" i="4"/>
  <c r="D338" i="4"/>
  <c r="A338" i="4"/>
  <c r="D337" i="4"/>
  <c r="A337" i="4"/>
  <c r="D336" i="4"/>
  <c r="A336" i="4"/>
  <c r="D335" i="4"/>
  <c r="A335" i="4"/>
  <c r="D334" i="4"/>
  <c r="A334" i="4"/>
  <c r="D333" i="4"/>
  <c r="B333" i="4"/>
  <c r="A333" i="4"/>
  <c r="D332" i="4"/>
  <c r="A332" i="4"/>
  <c r="D331" i="4"/>
  <c r="A331" i="4"/>
  <c r="D330" i="4"/>
  <c r="A330" i="4"/>
  <c r="D329" i="4"/>
  <c r="A329" i="4"/>
  <c r="D328" i="4"/>
  <c r="A328" i="4"/>
  <c r="D327" i="4"/>
  <c r="A327" i="4"/>
  <c r="D326" i="4"/>
  <c r="B326" i="4"/>
  <c r="A326" i="4"/>
  <c r="D325" i="4"/>
  <c r="B325" i="4"/>
  <c r="A325" i="4"/>
  <c r="D324" i="4"/>
  <c r="C324" i="4"/>
  <c r="B324" i="4"/>
  <c r="A324" i="4"/>
  <c r="D323" i="4"/>
  <c r="A323" i="4"/>
  <c r="D322" i="4"/>
  <c r="A322" i="4"/>
  <c r="D321" i="4"/>
  <c r="A321" i="4"/>
  <c r="D320" i="4"/>
  <c r="A320" i="4"/>
  <c r="D319" i="4"/>
  <c r="A319" i="4"/>
  <c r="D318" i="4"/>
  <c r="B318" i="4"/>
  <c r="A318" i="4"/>
  <c r="D317" i="4"/>
  <c r="A317" i="4"/>
  <c r="D316" i="4"/>
  <c r="B316" i="4"/>
  <c r="A316" i="4"/>
  <c r="D315" i="4"/>
  <c r="B315" i="4"/>
  <c r="A315" i="4"/>
  <c r="D314" i="4"/>
  <c r="B314" i="4"/>
  <c r="A314" i="4"/>
  <c r="D313" i="4"/>
  <c r="A313" i="4"/>
  <c r="D312" i="4"/>
  <c r="B312" i="4"/>
  <c r="A312" i="4"/>
  <c r="D311" i="4"/>
  <c r="A311" i="4"/>
  <c r="D310" i="4"/>
  <c r="A310" i="4"/>
  <c r="D309" i="4"/>
  <c r="A309" i="4"/>
  <c r="D308" i="4"/>
  <c r="A308" i="4"/>
  <c r="D307" i="4"/>
  <c r="A307" i="4"/>
  <c r="D306" i="4"/>
  <c r="A306" i="4"/>
  <c r="D305" i="4"/>
  <c r="B305" i="4"/>
  <c r="A305" i="4"/>
  <c r="D304" i="4"/>
  <c r="A304" i="4"/>
  <c r="D303" i="4"/>
  <c r="B303" i="4"/>
  <c r="A303" i="4"/>
  <c r="D302" i="4"/>
  <c r="A302" i="4"/>
  <c r="D301" i="4"/>
  <c r="A301" i="4"/>
  <c r="D300" i="4"/>
  <c r="A300" i="4"/>
  <c r="D299" i="4"/>
  <c r="A299" i="4"/>
  <c r="D298" i="4"/>
  <c r="A298" i="4"/>
  <c r="D297" i="4"/>
  <c r="A297" i="4"/>
  <c r="D296" i="4"/>
  <c r="A296" i="4"/>
  <c r="D295" i="4"/>
  <c r="A295" i="4"/>
  <c r="D294" i="4"/>
  <c r="B294" i="4"/>
  <c r="A294" i="4"/>
  <c r="D293" i="4"/>
  <c r="B293" i="4"/>
  <c r="A293" i="4"/>
  <c r="D292" i="4"/>
  <c r="B292" i="4"/>
  <c r="A292" i="4"/>
  <c r="D291" i="4"/>
  <c r="B291" i="4"/>
  <c r="A291" i="4"/>
  <c r="D290" i="4"/>
  <c r="B290" i="4"/>
  <c r="A290" i="4"/>
  <c r="D289" i="4"/>
  <c r="B289" i="4"/>
  <c r="A289" i="4"/>
  <c r="D288" i="4"/>
  <c r="B288" i="4"/>
  <c r="A288" i="4"/>
  <c r="D287" i="4"/>
  <c r="A287" i="4"/>
  <c r="D286" i="4"/>
  <c r="B286" i="4"/>
  <c r="A286" i="4"/>
  <c r="D285" i="4"/>
  <c r="B285" i="4"/>
  <c r="A285" i="4"/>
  <c r="D284" i="4"/>
  <c r="B284" i="4"/>
  <c r="A284" i="4"/>
  <c r="D283" i="4"/>
  <c r="B283" i="4"/>
  <c r="A283" i="4"/>
  <c r="D282" i="4"/>
  <c r="B282" i="4"/>
  <c r="A282" i="4"/>
  <c r="D281" i="4"/>
  <c r="C281" i="4"/>
  <c r="B281" i="4"/>
  <c r="A281" i="4"/>
  <c r="D280" i="4"/>
  <c r="B280" i="4"/>
  <c r="A280" i="4"/>
  <c r="D279" i="4"/>
  <c r="B279" i="4"/>
  <c r="A279" i="4"/>
  <c r="D278" i="4"/>
  <c r="B278" i="4"/>
  <c r="A278" i="4"/>
  <c r="D277" i="4"/>
  <c r="A277" i="4"/>
  <c r="D276" i="4"/>
  <c r="A276" i="4"/>
  <c r="D275" i="4"/>
  <c r="B275" i="4"/>
  <c r="A275" i="4"/>
  <c r="D274" i="4"/>
  <c r="A274" i="4"/>
  <c r="D273" i="4"/>
  <c r="B273" i="4"/>
  <c r="A273" i="4"/>
  <c r="D272" i="4"/>
  <c r="A272" i="4"/>
  <c r="D271" i="4"/>
  <c r="B271" i="4"/>
  <c r="A271" i="4"/>
  <c r="D270" i="4"/>
  <c r="A270" i="4"/>
  <c r="D269" i="4"/>
  <c r="A269" i="4"/>
  <c r="D268" i="4"/>
  <c r="B268" i="4"/>
  <c r="A268" i="4"/>
  <c r="D267" i="4"/>
  <c r="B267" i="4"/>
  <c r="A267" i="4"/>
  <c r="D266" i="4"/>
  <c r="A266" i="4"/>
  <c r="D265" i="4"/>
  <c r="B265" i="4"/>
  <c r="A265" i="4"/>
  <c r="D264" i="4"/>
  <c r="B264" i="4"/>
  <c r="A264" i="4"/>
  <c r="D263" i="4"/>
  <c r="B263" i="4"/>
  <c r="A263" i="4"/>
  <c r="D262" i="4"/>
  <c r="A262" i="4"/>
  <c r="D261" i="4"/>
  <c r="B261" i="4"/>
  <c r="A261" i="4"/>
  <c r="D260" i="4"/>
  <c r="A260" i="4"/>
  <c r="D259" i="4"/>
  <c r="A259" i="4"/>
  <c r="D258" i="4"/>
  <c r="B258" i="4"/>
  <c r="A258" i="4"/>
  <c r="D257" i="4"/>
  <c r="A257" i="4"/>
  <c r="D256" i="4"/>
  <c r="B256" i="4"/>
  <c r="A256" i="4"/>
  <c r="D255" i="4"/>
  <c r="A255" i="4"/>
  <c r="D254" i="4"/>
  <c r="B254" i="4"/>
  <c r="A254" i="4"/>
  <c r="D253" i="4"/>
  <c r="B253" i="4"/>
  <c r="A253" i="4"/>
  <c r="D252" i="4"/>
  <c r="B252" i="4"/>
  <c r="A252" i="4"/>
  <c r="D251" i="4"/>
  <c r="B251" i="4"/>
  <c r="A251" i="4"/>
  <c r="D250" i="4"/>
  <c r="A250" i="4"/>
  <c r="D249" i="4"/>
  <c r="A249" i="4"/>
  <c r="D248" i="4"/>
  <c r="B248" i="4"/>
  <c r="A248" i="4"/>
  <c r="D247" i="4"/>
  <c r="A247" i="4"/>
  <c r="D246" i="4"/>
  <c r="B246" i="4"/>
  <c r="A246" i="4"/>
  <c r="D245" i="4"/>
  <c r="B245" i="4"/>
  <c r="A245" i="4"/>
  <c r="D244" i="4"/>
  <c r="B244" i="4"/>
  <c r="A244" i="4"/>
  <c r="D243" i="4"/>
  <c r="A243" i="4"/>
  <c r="D242" i="4"/>
  <c r="B242" i="4"/>
  <c r="A242" i="4"/>
  <c r="D241" i="4"/>
  <c r="C241" i="4"/>
  <c r="B241" i="4"/>
  <c r="A241" i="4"/>
  <c r="D240" i="4"/>
  <c r="B240" i="4"/>
  <c r="A240" i="4"/>
  <c r="D239" i="4"/>
  <c r="A239" i="4"/>
  <c r="D238" i="4"/>
  <c r="A238" i="4"/>
  <c r="D237" i="4"/>
  <c r="B237" i="4"/>
  <c r="A237" i="4"/>
  <c r="D236" i="4"/>
  <c r="A236" i="4"/>
  <c r="D235" i="4"/>
  <c r="B235" i="4"/>
  <c r="A235" i="4"/>
  <c r="D234" i="4"/>
  <c r="B234" i="4"/>
  <c r="A234" i="4"/>
  <c r="D233" i="4"/>
  <c r="B233" i="4"/>
  <c r="A233" i="4"/>
  <c r="D232" i="4"/>
  <c r="B232" i="4"/>
  <c r="A232" i="4"/>
  <c r="D231" i="4"/>
  <c r="B231" i="4"/>
  <c r="A231" i="4"/>
  <c r="D230" i="4"/>
  <c r="A230" i="4"/>
  <c r="D229" i="4"/>
  <c r="B229" i="4"/>
  <c r="A229" i="4"/>
  <c r="D228" i="4"/>
  <c r="A228" i="4"/>
  <c r="D227" i="4"/>
  <c r="B227" i="4"/>
  <c r="A227" i="4"/>
  <c r="D226" i="4"/>
  <c r="A226" i="4"/>
  <c r="D225" i="4"/>
  <c r="B225" i="4"/>
  <c r="A225" i="4"/>
  <c r="D224" i="4"/>
  <c r="B224" i="4"/>
  <c r="A224" i="4"/>
  <c r="D223" i="4"/>
  <c r="C223" i="4"/>
  <c r="B223" i="4"/>
  <c r="A223" i="4"/>
  <c r="D222" i="4"/>
  <c r="B222" i="4"/>
  <c r="A222" i="4"/>
  <c r="D221" i="4"/>
  <c r="B221" i="4"/>
  <c r="A221" i="4"/>
  <c r="D220" i="4"/>
  <c r="B220" i="4"/>
  <c r="A220" i="4"/>
  <c r="D219" i="4"/>
  <c r="B219" i="4"/>
  <c r="A219" i="4"/>
  <c r="D218" i="4"/>
  <c r="A218" i="4"/>
  <c r="D217" i="4"/>
  <c r="C217" i="4"/>
  <c r="B217" i="4"/>
  <c r="A217" i="4"/>
  <c r="D216" i="4"/>
  <c r="B216" i="4"/>
  <c r="A216" i="4"/>
  <c r="D215" i="4"/>
  <c r="A215" i="4"/>
  <c r="D214" i="4"/>
  <c r="B214" i="4"/>
  <c r="A214" i="4"/>
  <c r="D213" i="4"/>
  <c r="A213" i="4"/>
  <c r="D212" i="4"/>
  <c r="B212" i="4"/>
  <c r="A212" i="4"/>
  <c r="D211" i="4"/>
  <c r="B211" i="4"/>
  <c r="A211" i="4"/>
  <c r="D210" i="4"/>
  <c r="B210" i="4"/>
  <c r="A210" i="4"/>
  <c r="D209" i="4"/>
  <c r="A209" i="4"/>
  <c r="D208" i="4"/>
  <c r="B208" i="4"/>
  <c r="A208" i="4"/>
  <c r="D207" i="4"/>
  <c r="B207" i="4"/>
  <c r="A207" i="4"/>
  <c r="D206" i="4"/>
  <c r="B206" i="4"/>
  <c r="A206" i="4"/>
  <c r="D205" i="4"/>
  <c r="B205" i="4"/>
  <c r="A205" i="4"/>
  <c r="D204" i="4"/>
  <c r="B204" i="4"/>
  <c r="A204" i="4"/>
  <c r="D203" i="4"/>
  <c r="B203" i="4"/>
  <c r="A203" i="4"/>
  <c r="D202" i="4"/>
  <c r="B202" i="4"/>
  <c r="A202" i="4"/>
  <c r="D201" i="4"/>
  <c r="A201" i="4"/>
  <c r="D200" i="4"/>
  <c r="B200" i="4"/>
  <c r="A200" i="4"/>
  <c r="D199" i="4"/>
  <c r="B199" i="4"/>
  <c r="A199" i="4"/>
  <c r="D198" i="4"/>
  <c r="A198" i="4"/>
  <c r="D197" i="4"/>
  <c r="B197" i="4"/>
  <c r="A197" i="4"/>
  <c r="D196" i="4"/>
  <c r="B196" i="4"/>
  <c r="A196" i="4"/>
  <c r="D195" i="4"/>
  <c r="B195" i="4"/>
  <c r="A195" i="4"/>
  <c r="D194" i="4"/>
  <c r="B194" i="4"/>
  <c r="A194" i="4"/>
  <c r="D193" i="4"/>
  <c r="A193" i="4"/>
  <c r="D192" i="4"/>
  <c r="A192" i="4"/>
  <c r="D191" i="4"/>
  <c r="A191" i="4"/>
  <c r="D190" i="4"/>
  <c r="B190" i="4"/>
  <c r="A190" i="4"/>
  <c r="D189" i="4"/>
  <c r="B189" i="4"/>
  <c r="A189" i="4"/>
  <c r="D188" i="4"/>
  <c r="A188" i="4"/>
  <c r="D187" i="4"/>
  <c r="A187" i="4"/>
  <c r="D186" i="4"/>
  <c r="B186" i="4"/>
  <c r="A186" i="4"/>
  <c r="D185" i="4"/>
  <c r="B185" i="4"/>
  <c r="A185" i="4"/>
  <c r="D184" i="4"/>
  <c r="A184" i="4"/>
  <c r="D183" i="4"/>
  <c r="A183" i="4"/>
  <c r="D182" i="4"/>
  <c r="A182" i="4"/>
  <c r="D181" i="4"/>
  <c r="A181" i="4"/>
  <c r="D180" i="4"/>
  <c r="A180" i="4"/>
  <c r="D179" i="4"/>
  <c r="B179" i="4"/>
  <c r="A179" i="4"/>
  <c r="D178" i="4"/>
  <c r="A178" i="4"/>
  <c r="D177" i="4"/>
  <c r="B177" i="4"/>
  <c r="A177" i="4"/>
  <c r="D176" i="4"/>
  <c r="B176" i="4"/>
  <c r="A176" i="4"/>
  <c r="D175" i="4"/>
  <c r="A175" i="4"/>
  <c r="D174" i="4"/>
  <c r="B174" i="4"/>
  <c r="A174" i="4"/>
  <c r="D173" i="4"/>
  <c r="A173" i="4"/>
  <c r="D172" i="4"/>
  <c r="A172" i="4"/>
  <c r="D171" i="4"/>
  <c r="B171" i="4"/>
  <c r="A171" i="4"/>
  <c r="D170" i="4"/>
  <c r="A170" i="4"/>
  <c r="D169" i="4"/>
  <c r="B169" i="4"/>
  <c r="A169" i="4"/>
  <c r="D168" i="4"/>
  <c r="B168" i="4"/>
  <c r="A168" i="4"/>
  <c r="D167" i="4"/>
  <c r="B167" i="4"/>
  <c r="A167" i="4"/>
  <c r="D166" i="4"/>
  <c r="A166" i="4"/>
  <c r="D165" i="4"/>
  <c r="A165" i="4"/>
  <c r="D164" i="4"/>
  <c r="A164" i="4"/>
  <c r="D163" i="4"/>
  <c r="A163" i="4"/>
  <c r="D162" i="4"/>
  <c r="B162" i="4"/>
  <c r="A162" i="4"/>
  <c r="D161" i="4"/>
  <c r="A161" i="4"/>
  <c r="D160" i="4"/>
  <c r="B160" i="4"/>
  <c r="A160" i="4"/>
  <c r="D159" i="4"/>
  <c r="B159" i="4"/>
  <c r="A159" i="4"/>
  <c r="D158" i="4"/>
  <c r="A158" i="4"/>
  <c r="D157" i="4"/>
  <c r="B157" i="4"/>
  <c r="A157" i="4"/>
  <c r="D156" i="4"/>
  <c r="A156" i="4"/>
  <c r="D155" i="4"/>
  <c r="B155" i="4"/>
  <c r="A155" i="4"/>
  <c r="D154" i="4"/>
  <c r="A154" i="4"/>
  <c r="D153" i="4"/>
  <c r="A153" i="4"/>
  <c r="D152" i="4"/>
  <c r="A152" i="4"/>
  <c r="D151" i="4"/>
  <c r="A151" i="4"/>
  <c r="D150" i="4"/>
  <c r="A150" i="4"/>
  <c r="D149" i="4"/>
  <c r="A149" i="4"/>
  <c r="D148" i="4"/>
  <c r="A148" i="4"/>
  <c r="D147" i="4"/>
  <c r="A147" i="4"/>
  <c r="D146" i="4"/>
  <c r="B146" i="4"/>
  <c r="A146" i="4"/>
  <c r="D145" i="4"/>
  <c r="A145" i="4"/>
  <c r="D144" i="4"/>
  <c r="A144" i="4"/>
  <c r="D143" i="4"/>
  <c r="A143" i="4"/>
  <c r="D142" i="4"/>
  <c r="B142" i="4"/>
  <c r="A142" i="4"/>
  <c r="D141" i="4"/>
  <c r="B141" i="4"/>
  <c r="A141" i="4"/>
  <c r="D140" i="4"/>
  <c r="B140" i="4"/>
  <c r="A140" i="4"/>
  <c r="D139" i="4"/>
  <c r="B139" i="4"/>
  <c r="A139" i="4"/>
  <c r="D138" i="4"/>
  <c r="B138" i="4"/>
  <c r="A138" i="4"/>
  <c r="D137" i="4"/>
  <c r="C137" i="4"/>
  <c r="B137" i="4"/>
  <c r="A137" i="4"/>
  <c r="D136" i="4"/>
  <c r="B136" i="4"/>
  <c r="A136" i="4"/>
  <c r="D135" i="4"/>
  <c r="A135" i="4"/>
  <c r="D134" i="4"/>
  <c r="B134" i="4"/>
  <c r="A134" i="4"/>
  <c r="D133" i="4"/>
  <c r="A133" i="4"/>
  <c r="D132" i="4"/>
  <c r="A132" i="4"/>
  <c r="D131" i="4"/>
  <c r="B131" i="4"/>
  <c r="A131" i="4"/>
  <c r="D130" i="4"/>
  <c r="A130" i="4"/>
  <c r="D129" i="4"/>
  <c r="B129" i="4"/>
  <c r="A129" i="4"/>
  <c r="D128" i="4"/>
  <c r="C128" i="4"/>
  <c r="B128" i="4"/>
  <c r="A128" i="4"/>
  <c r="D127" i="4"/>
  <c r="A127" i="4"/>
  <c r="D126" i="4"/>
  <c r="B126" i="4"/>
  <c r="A126" i="4"/>
  <c r="D125" i="4"/>
  <c r="A125" i="4"/>
  <c r="D124" i="4"/>
  <c r="B124" i="4"/>
  <c r="A124" i="4"/>
  <c r="D123" i="4"/>
  <c r="B123" i="4"/>
  <c r="A123" i="4"/>
  <c r="D122" i="4"/>
  <c r="A122" i="4"/>
  <c r="D121" i="4"/>
  <c r="B121" i="4"/>
  <c r="A121" i="4"/>
  <c r="D120" i="4"/>
  <c r="B120" i="4"/>
  <c r="A120" i="4"/>
  <c r="D119" i="4"/>
  <c r="B119" i="4"/>
  <c r="A119" i="4"/>
  <c r="D118" i="4"/>
  <c r="B118" i="4"/>
  <c r="A118" i="4"/>
  <c r="D117" i="4"/>
  <c r="C117" i="4"/>
  <c r="B117" i="4"/>
  <c r="A117" i="4"/>
  <c r="D116" i="4"/>
  <c r="B116" i="4"/>
  <c r="A116" i="4"/>
  <c r="D115" i="4"/>
  <c r="B115" i="4"/>
  <c r="A115" i="4"/>
  <c r="D114" i="4"/>
  <c r="A114" i="4"/>
  <c r="D113" i="4"/>
  <c r="B113" i="4"/>
  <c r="A113" i="4"/>
  <c r="D112" i="4"/>
  <c r="B112" i="4"/>
  <c r="A112" i="4"/>
  <c r="D111" i="4"/>
  <c r="B111" i="4"/>
  <c r="A111" i="4"/>
  <c r="D110" i="4"/>
  <c r="A110" i="4"/>
  <c r="D109" i="4"/>
  <c r="A109" i="4"/>
  <c r="D108" i="4"/>
  <c r="B108" i="4"/>
  <c r="A108" i="4"/>
  <c r="D107" i="4"/>
  <c r="A107" i="4"/>
  <c r="D106" i="4"/>
  <c r="A106" i="4"/>
  <c r="D105" i="4"/>
  <c r="A105" i="4"/>
  <c r="D104" i="4"/>
  <c r="A104" i="4"/>
  <c r="D103" i="4"/>
  <c r="B103" i="4"/>
  <c r="A103" i="4"/>
  <c r="D102" i="4"/>
  <c r="A102" i="4"/>
  <c r="D101" i="4"/>
  <c r="B101" i="4"/>
  <c r="A101" i="4"/>
  <c r="D100" i="4"/>
  <c r="B100" i="4"/>
  <c r="A100" i="4"/>
  <c r="D99" i="4"/>
  <c r="A99" i="4"/>
  <c r="D98" i="4"/>
  <c r="B98" i="4"/>
  <c r="A98" i="4"/>
  <c r="D97" i="4"/>
  <c r="A97" i="4"/>
  <c r="D96" i="4"/>
  <c r="B96" i="4"/>
  <c r="A96" i="4"/>
  <c r="D95" i="4"/>
  <c r="A95" i="4"/>
  <c r="D94" i="4"/>
  <c r="A94" i="4"/>
  <c r="D93" i="4"/>
  <c r="B93" i="4"/>
  <c r="A93" i="4"/>
  <c r="D92" i="4"/>
  <c r="B92" i="4"/>
  <c r="A92" i="4"/>
  <c r="D91" i="4"/>
  <c r="B91" i="4"/>
  <c r="A91" i="4"/>
  <c r="D90" i="4"/>
  <c r="B90" i="4"/>
  <c r="A90" i="4"/>
  <c r="D89" i="4"/>
  <c r="B89" i="4"/>
  <c r="A89" i="4"/>
  <c r="D88" i="4"/>
  <c r="B88" i="4"/>
  <c r="A88" i="4"/>
  <c r="D87" i="4"/>
  <c r="B87" i="4"/>
  <c r="A87" i="4"/>
  <c r="D86" i="4"/>
  <c r="B86" i="4"/>
  <c r="A86" i="4"/>
  <c r="D85" i="4"/>
  <c r="B85" i="4"/>
  <c r="A85" i="4"/>
  <c r="D84" i="4"/>
  <c r="B84" i="4"/>
  <c r="A84" i="4"/>
  <c r="D83" i="4"/>
  <c r="B83" i="4"/>
  <c r="A83" i="4"/>
  <c r="D82" i="4"/>
  <c r="A82" i="4"/>
  <c r="D81" i="4"/>
  <c r="B81" i="4"/>
  <c r="A81" i="4"/>
  <c r="D80" i="4"/>
  <c r="B80" i="4"/>
  <c r="A80" i="4"/>
  <c r="D79" i="4"/>
  <c r="B79" i="4"/>
  <c r="A79" i="4"/>
  <c r="D78" i="4"/>
  <c r="B78" i="4"/>
  <c r="A78" i="4"/>
  <c r="D77" i="4"/>
  <c r="B77" i="4"/>
  <c r="A77" i="4"/>
  <c r="D76" i="4"/>
  <c r="B76" i="4"/>
  <c r="A76" i="4"/>
  <c r="D75" i="4"/>
  <c r="A75" i="4"/>
  <c r="D74" i="4"/>
  <c r="B74" i="4"/>
  <c r="A74" i="4"/>
  <c r="D73" i="4"/>
  <c r="B73" i="4"/>
  <c r="A73" i="4"/>
  <c r="D72" i="4"/>
  <c r="A72" i="4"/>
  <c r="D71" i="4"/>
  <c r="A71" i="4"/>
  <c r="D70" i="4"/>
  <c r="A70" i="4"/>
  <c r="D69" i="4"/>
  <c r="B69" i="4"/>
  <c r="A69" i="4"/>
  <c r="D68" i="4"/>
  <c r="A68" i="4"/>
  <c r="D67" i="4"/>
  <c r="B67" i="4"/>
  <c r="A67" i="4"/>
  <c r="D66" i="4"/>
  <c r="B66" i="4"/>
  <c r="A66" i="4"/>
  <c r="D65" i="4"/>
  <c r="A65" i="4"/>
  <c r="D64" i="4"/>
  <c r="A64" i="4"/>
  <c r="D63" i="4"/>
  <c r="B63" i="4"/>
  <c r="A63" i="4"/>
  <c r="D62" i="4"/>
  <c r="A62" i="4"/>
  <c r="D61" i="4"/>
  <c r="B61" i="4"/>
  <c r="A61" i="4"/>
  <c r="D60" i="4"/>
  <c r="B60" i="4"/>
  <c r="A60" i="4"/>
  <c r="D59" i="4"/>
  <c r="B59" i="4"/>
  <c r="A59" i="4"/>
  <c r="D58" i="4"/>
  <c r="B58" i="4"/>
  <c r="A58" i="4"/>
  <c r="D57" i="4"/>
  <c r="B57" i="4"/>
  <c r="A57" i="4"/>
  <c r="D56" i="4"/>
  <c r="B56" i="4"/>
  <c r="A56" i="4"/>
  <c r="D55" i="4"/>
  <c r="A55" i="4"/>
  <c r="D54" i="4"/>
  <c r="B54" i="4"/>
  <c r="A54" i="4"/>
  <c r="D53" i="4"/>
  <c r="B53" i="4"/>
  <c r="A53" i="4"/>
  <c r="D52" i="4"/>
  <c r="B52" i="4"/>
  <c r="A52" i="4"/>
  <c r="D51" i="4"/>
  <c r="B51" i="4"/>
  <c r="A51" i="4"/>
  <c r="D50" i="4"/>
  <c r="B50" i="4"/>
  <c r="A50" i="4"/>
  <c r="D49" i="4"/>
  <c r="A49" i="4"/>
  <c r="D48" i="4"/>
  <c r="B48" i="4"/>
  <c r="A48" i="4"/>
  <c r="D47" i="4"/>
  <c r="A47" i="4"/>
  <c r="D46" i="4"/>
  <c r="B46" i="4"/>
  <c r="A46" i="4"/>
  <c r="D45" i="4"/>
  <c r="B45" i="4"/>
  <c r="A45" i="4"/>
  <c r="D44" i="4"/>
  <c r="B44" i="4"/>
  <c r="A44" i="4"/>
  <c r="D43" i="4"/>
  <c r="A43" i="4"/>
  <c r="D42" i="4"/>
  <c r="A42" i="4"/>
  <c r="D41" i="4"/>
  <c r="B41" i="4"/>
  <c r="A41" i="4"/>
  <c r="D40" i="4"/>
  <c r="B40" i="4"/>
  <c r="A40" i="4"/>
  <c r="D39" i="4"/>
  <c r="B39" i="4"/>
  <c r="A39" i="4"/>
  <c r="D38" i="4"/>
  <c r="B38" i="4"/>
  <c r="A38" i="4"/>
  <c r="D37" i="4"/>
  <c r="B37" i="4"/>
  <c r="A37" i="4"/>
  <c r="D36" i="4"/>
  <c r="B36" i="4"/>
  <c r="A36" i="4"/>
  <c r="D35" i="4"/>
  <c r="A35" i="4"/>
  <c r="D34" i="4"/>
  <c r="B34" i="4"/>
  <c r="A34" i="4"/>
  <c r="D33" i="4"/>
  <c r="B33" i="4"/>
  <c r="A33" i="4"/>
  <c r="D32" i="4"/>
  <c r="A32" i="4"/>
  <c r="D31" i="4"/>
  <c r="A31" i="4"/>
  <c r="D30" i="4"/>
  <c r="B30" i="4"/>
  <c r="A30" i="4"/>
  <c r="D29" i="4"/>
  <c r="A29" i="4"/>
  <c r="D28" i="4"/>
  <c r="A28" i="4"/>
  <c r="D27" i="4"/>
  <c r="B27" i="4"/>
  <c r="A27" i="4"/>
  <c r="D26" i="4"/>
  <c r="B26" i="4"/>
  <c r="A26" i="4"/>
  <c r="D25" i="4"/>
  <c r="A25" i="4"/>
  <c r="D24" i="4"/>
  <c r="B24" i="4"/>
  <c r="A24" i="4"/>
  <c r="D23" i="4"/>
  <c r="A23" i="4"/>
  <c r="D22" i="4"/>
  <c r="A22" i="4"/>
  <c r="D21" i="4"/>
  <c r="B21" i="4"/>
  <c r="A21" i="4"/>
  <c r="D20" i="4"/>
  <c r="B20" i="4"/>
  <c r="A20" i="4"/>
  <c r="D19" i="4"/>
  <c r="A19" i="4"/>
  <c r="D18" i="4"/>
  <c r="A18" i="4"/>
  <c r="D17" i="4"/>
  <c r="B17" i="4"/>
  <c r="A17" i="4"/>
  <c r="D16" i="4"/>
  <c r="B16" i="4"/>
  <c r="A16" i="4"/>
  <c r="D15" i="4"/>
  <c r="B15" i="4"/>
  <c r="A15" i="4"/>
  <c r="D14" i="4"/>
  <c r="B14" i="4"/>
  <c r="A14" i="4"/>
  <c r="D13" i="4"/>
  <c r="B13" i="4"/>
  <c r="A13" i="4"/>
  <c r="D12" i="4"/>
  <c r="B12" i="4"/>
  <c r="A12" i="4"/>
  <c r="D11" i="4"/>
  <c r="B11" i="4"/>
  <c r="A11" i="4"/>
  <c r="D10" i="4"/>
  <c r="B10" i="4"/>
  <c r="A10" i="4"/>
  <c r="D9" i="4"/>
  <c r="B9" i="4"/>
  <c r="A9" i="4"/>
  <c r="D8" i="4"/>
  <c r="B8" i="4"/>
  <c r="A8" i="4"/>
  <c r="D7" i="4"/>
  <c r="B7" i="4"/>
  <c r="A7" i="4"/>
  <c r="D6" i="4"/>
  <c r="B6" i="4"/>
  <c r="A6" i="4"/>
  <c r="D5" i="4"/>
  <c r="B5" i="4"/>
  <c r="A5" i="4"/>
  <c r="D4" i="4"/>
  <c r="B4" i="4"/>
  <c r="A4" i="4"/>
  <c r="D3" i="4"/>
  <c r="B3" i="4"/>
  <c r="A3" i="4"/>
  <c r="D1265" i="1"/>
  <c r="D20273" i="1"/>
  <c r="B20273" i="1"/>
  <c r="A20273" i="1"/>
  <c r="D20284" i="1"/>
  <c r="B20284" i="1"/>
  <c r="A20284" i="1"/>
  <c r="D20274" i="1"/>
  <c r="A20274" i="1"/>
  <c r="D20278" i="1"/>
  <c r="B20278" i="1"/>
  <c r="A20278" i="1"/>
  <c r="D20282" i="1"/>
  <c r="C20282" i="1"/>
  <c r="B20282" i="1"/>
  <c r="A20282" i="1"/>
  <c r="D20288" i="1"/>
  <c r="B20288" i="1"/>
  <c r="A20288" i="1"/>
  <c r="D20270" i="1"/>
  <c r="B20270" i="1"/>
  <c r="A20270" i="1"/>
  <c r="D20276" i="1"/>
  <c r="B20276" i="1"/>
  <c r="A20276" i="1"/>
  <c r="D20271" i="1"/>
  <c r="B20271" i="1"/>
  <c r="A20271" i="1"/>
  <c r="D20279" i="1"/>
  <c r="C20279" i="1"/>
  <c r="B20279" i="1"/>
  <c r="A20279" i="1"/>
  <c r="D20290" i="1"/>
  <c r="C20290" i="1"/>
  <c r="B20290" i="1"/>
  <c r="A20290" i="1"/>
  <c r="D20275" i="1"/>
  <c r="B20275" i="1"/>
  <c r="A20275" i="1"/>
  <c r="D20283" i="1"/>
  <c r="B20283" i="1"/>
  <c r="A20283" i="1"/>
  <c r="D20286" i="1"/>
  <c r="A20286" i="1"/>
  <c r="D20272" i="1"/>
  <c r="B20272" i="1"/>
  <c r="A20272" i="1"/>
  <c r="D20287" i="1"/>
  <c r="B20287" i="1"/>
  <c r="A20287" i="1"/>
  <c r="D20277" i="1"/>
  <c r="B20277" i="1"/>
  <c r="A20277" i="1"/>
  <c r="D20289" i="1"/>
  <c r="A20289" i="1"/>
  <c r="D20281" i="1"/>
  <c r="B20281" i="1"/>
  <c r="A20281" i="1"/>
  <c r="D20280" i="1"/>
  <c r="B20280" i="1"/>
  <c r="A20280" i="1"/>
  <c r="D20285" i="1"/>
  <c r="A20285" i="1"/>
  <c r="D20269" i="1"/>
  <c r="C20269" i="1"/>
  <c r="B20269" i="1"/>
  <c r="A20269" i="1"/>
  <c r="D20268" i="1"/>
  <c r="B20268" i="1"/>
  <c r="A20268" i="1"/>
  <c r="D20267" i="1"/>
  <c r="C20267" i="1"/>
  <c r="B20267" i="1"/>
  <c r="A20267" i="1"/>
  <c r="D20247" i="1"/>
  <c r="B20247" i="1"/>
  <c r="A20247" i="1"/>
  <c r="D20260" i="1"/>
  <c r="A20260" i="1"/>
  <c r="D20261" i="1"/>
  <c r="B20261" i="1"/>
  <c r="A20261" i="1"/>
  <c r="D20266" i="1"/>
  <c r="A20266" i="1"/>
  <c r="D20236" i="1"/>
  <c r="B20236" i="1"/>
  <c r="A20236" i="1"/>
  <c r="D20237" i="1"/>
  <c r="B20237" i="1"/>
  <c r="A20237" i="1"/>
  <c r="D20249" i="1"/>
  <c r="B20249" i="1"/>
  <c r="A20249" i="1"/>
  <c r="D20263" i="1"/>
  <c r="B20263" i="1"/>
  <c r="A20263" i="1"/>
  <c r="D20246" i="1"/>
  <c r="B20246" i="1"/>
  <c r="A20246" i="1"/>
  <c r="D20264" i="1"/>
  <c r="B20264" i="1"/>
  <c r="A20264" i="1"/>
  <c r="D20244" i="1"/>
  <c r="B20244" i="1"/>
  <c r="A20244" i="1"/>
  <c r="D20251" i="1"/>
  <c r="B20251" i="1"/>
  <c r="A20251" i="1"/>
  <c r="D20259" i="1"/>
  <c r="B20259" i="1"/>
  <c r="A20259" i="1"/>
  <c r="D20256" i="1"/>
  <c r="B20256" i="1"/>
  <c r="A20256" i="1"/>
  <c r="D20238" i="1"/>
  <c r="C20238" i="1"/>
  <c r="B20238" i="1"/>
  <c r="A20238" i="1"/>
  <c r="D20235" i="1"/>
  <c r="B20235" i="1"/>
  <c r="A20235" i="1"/>
  <c r="D20252" i="1"/>
  <c r="B20252" i="1"/>
  <c r="A20252" i="1"/>
  <c r="D20245" i="1"/>
  <c r="B20245" i="1"/>
  <c r="A20245" i="1"/>
  <c r="D20257" i="1"/>
  <c r="C20257" i="1"/>
  <c r="B20257" i="1"/>
  <c r="A20257" i="1"/>
  <c r="D20240" i="1"/>
  <c r="C20240" i="1"/>
  <c r="B20240" i="1"/>
  <c r="A20240" i="1"/>
  <c r="D20250" i="1"/>
  <c r="C20250" i="1"/>
  <c r="B20250" i="1"/>
  <c r="A20250" i="1"/>
  <c r="D20241" i="1"/>
  <c r="A20241" i="1"/>
  <c r="D20265" i="1"/>
  <c r="B20265" i="1"/>
  <c r="A20265" i="1"/>
  <c r="D20255" i="1"/>
  <c r="B20255" i="1"/>
  <c r="A20255" i="1"/>
  <c r="D20262" i="1"/>
  <c r="B20262" i="1"/>
  <c r="A20262" i="1"/>
  <c r="D20253" i="1"/>
  <c r="B20253" i="1"/>
  <c r="A20253" i="1"/>
  <c r="D20248" i="1"/>
  <c r="A20248" i="1"/>
  <c r="D20243" i="1"/>
  <c r="B20243" i="1"/>
  <c r="A20243" i="1"/>
  <c r="D20258" i="1"/>
  <c r="A20258" i="1"/>
  <c r="D20239" i="1"/>
  <c r="B20239" i="1"/>
  <c r="A20239" i="1"/>
  <c r="D20242" i="1"/>
  <c r="A20242" i="1"/>
  <c r="D20254" i="1"/>
  <c r="B20254" i="1"/>
  <c r="A20254" i="1"/>
  <c r="D20234" i="1"/>
  <c r="B20234" i="1"/>
  <c r="A20234" i="1"/>
  <c r="D20232" i="1"/>
  <c r="B20232" i="1"/>
  <c r="A20232" i="1"/>
  <c r="D20227" i="1"/>
  <c r="B20227" i="1"/>
  <c r="A20227" i="1"/>
  <c r="D20233" i="1"/>
  <c r="B20233" i="1"/>
  <c r="A20233" i="1"/>
  <c r="D20228" i="1"/>
  <c r="B20228" i="1"/>
  <c r="A20228" i="1"/>
  <c r="D20230" i="1"/>
  <c r="C20230" i="1"/>
  <c r="B20230" i="1"/>
  <c r="A20230" i="1"/>
  <c r="D20231" i="1"/>
  <c r="B20231" i="1"/>
  <c r="A20231" i="1"/>
  <c r="D20229" i="1"/>
  <c r="A20229" i="1"/>
  <c r="D20226" i="1"/>
  <c r="B20226" i="1"/>
  <c r="A20226" i="1"/>
  <c r="D20225" i="1"/>
  <c r="C20225" i="1"/>
  <c r="B20225" i="1"/>
  <c r="A20225" i="1"/>
  <c r="D20224" i="1"/>
  <c r="B20224" i="1"/>
  <c r="A20224" i="1"/>
  <c r="D20223" i="1"/>
  <c r="B20223" i="1"/>
  <c r="A20223" i="1"/>
  <c r="D20222" i="1"/>
  <c r="B20222" i="1"/>
  <c r="A20222" i="1"/>
  <c r="D20221" i="1"/>
  <c r="B20221" i="1"/>
  <c r="A20221" i="1"/>
  <c r="D19838" i="1"/>
  <c r="B19838" i="1"/>
  <c r="A19838" i="1"/>
  <c r="D19891" i="1"/>
  <c r="A19891" i="1"/>
  <c r="D20015" i="1"/>
  <c r="B20015" i="1"/>
  <c r="A20015" i="1"/>
  <c r="D20075" i="1"/>
  <c r="B20075" i="1"/>
  <c r="A20075" i="1"/>
  <c r="D20077" i="1"/>
  <c r="B20077" i="1"/>
  <c r="A20077" i="1"/>
  <c r="D20088" i="1"/>
  <c r="B20088" i="1"/>
  <c r="A20088" i="1"/>
  <c r="D19945" i="1"/>
  <c r="B19945" i="1"/>
  <c r="A19945" i="1"/>
  <c r="D20107" i="1"/>
  <c r="A20107" i="1"/>
  <c r="D19686" i="1"/>
  <c r="A19686" i="1"/>
  <c r="D20153" i="1"/>
  <c r="A20153" i="1"/>
  <c r="D19912" i="1"/>
  <c r="B19912" i="1"/>
  <c r="A19912" i="1"/>
  <c r="D19913" i="1"/>
  <c r="A19913" i="1"/>
  <c r="D19698" i="1"/>
  <c r="A19698" i="1"/>
  <c r="D19842" i="1"/>
  <c r="B19842" i="1"/>
  <c r="A19842" i="1"/>
  <c r="D20051" i="1"/>
  <c r="A20051" i="1"/>
  <c r="D20028" i="1"/>
  <c r="B20028" i="1"/>
  <c r="A20028" i="1"/>
  <c r="D20086" i="1"/>
  <c r="B20086" i="1"/>
  <c r="A20086" i="1"/>
  <c r="D19779" i="1"/>
  <c r="A19779" i="1"/>
  <c r="D19735" i="1"/>
  <c r="A19735" i="1"/>
  <c r="D19959" i="1"/>
  <c r="A19959" i="1"/>
  <c r="D19693" i="1"/>
  <c r="A19693" i="1"/>
  <c r="D20087" i="1"/>
  <c r="B20087" i="1"/>
  <c r="A20087" i="1"/>
  <c r="D20167" i="1"/>
  <c r="B20167" i="1"/>
  <c r="A20167" i="1"/>
  <c r="D20072" i="1"/>
  <c r="B20072" i="1"/>
  <c r="A20072" i="1"/>
  <c r="D19794" i="1"/>
  <c r="B19794" i="1"/>
  <c r="A19794" i="1"/>
  <c r="D19853" i="1"/>
  <c r="A19853" i="1"/>
  <c r="D19820" i="1"/>
  <c r="A19820" i="1"/>
  <c r="D19696" i="1"/>
  <c r="A19696" i="1"/>
  <c r="D19870" i="1"/>
  <c r="A19870" i="1"/>
  <c r="D19749" i="1"/>
  <c r="B19749" i="1"/>
  <c r="A19749" i="1"/>
  <c r="D19733" i="1"/>
  <c r="A19733" i="1"/>
  <c r="D20128" i="1"/>
  <c r="B20128" i="1"/>
  <c r="A20128" i="1"/>
  <c r="D19694" i="1"/>
  <c r="A19694" i="1"/>
  <c r="D19875" i="1"/>
  <c r="B19875" i="1"/>
  <c r="A19875" i="1"/>
  <c r="D20217" i="1"/>
  <c r="A20217" i="1"/>
  <c r="D19740" i="1"/>
  <c r="C19740" i="1"/>
  <c r="B19740" i="1"/>
  <c r="A19740" i="1"/>
  <c r="D19750" i="1"/>
  <c r="B19750" i="1"/>
  <c r="A19750" i="1"/>
  <c r="D20064" i="1"/>
  <c r="B20064" i="1"/>
  <c r="A20064" i="1"/>
  <c r="D19983" i="1"/>
  <c r="A19983" i="1"/>
  <c r="D19771" i="1"/>
  <c r="A19771" i="1"/>
  <c r="D19791" i="1"/>
  <c r="B19791" i="1"/>
  <c r="A19791" i="1"/>
  <c r="D20155" i="1"/>
  <c r="A20155" i="1"/>
  <c r="D20196" i="1"/>
  <c r="B20196" i="1"/>
  <c r="A20196" i="1"/>
  <c r="D19869" i="1"/>
  <c r="B19869" i="1"/>
  <c r="A19869" i="1"/>
  <c r="D20189" i="1"/>
  <c r="A20189" i="1"/>
  <c r="D20163" i="1"/>
  <c r="B20163" i="1"/>
  <c r="A20163" i="1"/>
  <c r="D19878" i="1"/>
  <c r="B19878" i="1"/>
  <c r="A19878" i="1"/>
  <c r="D19955" i="1"/>
  <c r="A19955" i="1"/>
  <c r="D19848" i="1"/>
  <c r="A19848" i="1"/>
  <c r="D19732" i="1"/>
  <c r="B19732" i="1"/>
  <c r="A19732" i="1"/>
  <c r="D19756" i="1"/>
  <c r="A19756" i="1"/>
  <c r="D19881" i="1"/>
  <c r="B19881" i="1"/>
  <c r="A19881" i="1"/>
  <c r="D20105" i="1"/>
  <c r="A20105" i="1"/>
  <c r="D20158" i="1"/>
  <c r="B20158" i="1"/>
  <c r="A20158" i="1"/>
  <c r="D19748" i="1"/>
  <c r="A19748" i="1"/>
  <c r="D19687" i="1"/>
  <c r="A19687" i="1"/>
  <c r="D19971" i="1"/>
  <c r="A19971" i="1"/>
  <c r="D20022" i="1"/>
  <c r="B20022" i="1"/>
  <c r="A20022" i="1"/>
  <c r="D19998" i="1"/>
  <c r="A19998" i="1"/>
  <c r="D19819" i="1"/>
  <c r="B19819" i="1"/>
  <c r="A19819" i="1"/>
  <c r="D20059" i="1"/>
  <c r="B20059" i="1"/>
  <c r="A20059" i="1"/>
  <c r="D20200" i="1"/>
  <c r="B20200" i="1"/>
  <c r="A20200" i="1"/>
  <c r="D20180" i="1"/>
  <c r="B20180" i="1"/>
  <c r="A20180" i="1"/>
  <c r="D19774" i="1"/>
  <c r="B19774" i="1"/>
  <c r="A19774" i="1"/>
  <c r="D20174" i="1"/>
  <c r="B20174" i="1"/>
  <c r="A20174" i="1"/>
  <c r="D20073" i="1"/>
  <c r="B20073" i="1"/>
  <c r="A20073" i="1"/>
  <c r="D19704" i="1"/>
  <c r="C19704" i="1"/>
  <c r="B19704" i="1"/>
  <c r="A19704" i="1"/>
  <c r="D19692" i="1"/>
  <c r="A19692" i="1"/>
  <c r="D19865" i="1"/>
  <c r="A19865" i="1"/>
  <c r="D20061" i="1"/>
  <c r="B20061" i="1"/>
  <c r="A20061" i="1"/>
  <c r="D20141" i="1"/>
  <c r="B20141" i="1"/>
  <c r="A20141" i="1"/>
  <c r="D20122" i="1"/>
  <c r="B20122" i="1"/>
  <c r="A20122" i="1"/>
  <c r="D19925" i="1"/>
  <c r="B19925" i="1"/>
  <c r="A19925" i="1"/>
  <c r="D19880" i="1"/>
  <c r="B19880" i="1"/>
  <c r="A19880" i="1"/>
  <c r="D19904" i="1"/>
  <c r="B19904" i="1"/>
  <c r="A19904" i="1"/>
  <c r="D20215" i="1"/>
  <c r="B20215" i="1"/>
  <c r="A20215" i="1"/>
  <c r="D19745" i="1"/>
  <c r="A19745" i="1"/>
  <c r="D20078" i="1"/>
  <c r="B20078" i="1"/>
  <c r="A20078" i="1"/>
  <c r="D20035" i="1"/>
  <c r="B20035" i="1"/>
  <c r="A20035" i="1"/>
  <c r="D20080" i="1"/>
  <c r="B20080" i="1"/>
  <c r="A20080" i="1"/>
  <c r="D19965" i="1"/>
  <c r="A19965" i="1"/>
  <c r="D19997" i="1"/>
  <c r="A19997" i="1"/>
  <c r="D20001" i="1"/>
  <c r="A20001" i="1"/>
  <c r="D19987" i="1"/>
  <c r="B19987" i="1"/>
  <c r="A19987" i="1"/>
  <c r="D19747" i="1"/>
  <c r="A19747" i="1"/>
  <c r="D19954" i="1"/>
  <c r="B19954" i="1"/>
  <c r="A19954" i="1"/>
  <c r="D19969" i="1"/>
  <c r="B19969" i="1"/>
  <c r="A19969" i="1"/>
  <c r="D20211" i="1"/>
  <c r="A20211" i="1"/>
  <c r="D19851" i="1"/>
  <c r="A19851" i="1"/>
  <c r="D19715" i="1"/>
  <c r="B19715" i="1"/>
  <c r="A19715" i="1"/>
  <c r="D20074" i="1"/>
  <c r="A20074" i="1"/>
  <c r="D19697" i="1"/>
  <c r="A19697" i="1"/>
  <c r="D19982" i="1"/>
  <c r="A19982" i="1"/>
  <c r="D19812" i="1"/>
  <c r="B19812" i="1"/>
  <c r="A19812" i="1"/>
  <c r="D19824" i="1"/>
  <c r="B19824" i="1"/>
  <c r="A19824" i="1"/>
  <c r="D20065" i="1"/>
  <c r="B20065" i="1"/>
  <c r="A20065" i="1"/>
  <c r="D20111" i="1"/>
  <c r="A20111" i="1"/>
  <c r="D19730" i="1"/>
  <c r="B19730" i="1"/>
  <c r="A19730" i="1"/>
  <c r="D20191" i="1"/>
  <c r="B20191" i="1"/>
  <c r="A20191" i="1"/>
  <c r="D20024" i="1"/>
  <c r="B20024" i="1"/>
  <c r="A20024" i="1"/>
  <c r="D19813" i="1"/>
  <c r="B19813" i="1"/>
  <c r="A19813" i="1"/>
  <c r="D20175" i="1"/>
  <c r="B20175" i="1"/>
  <c r="A20175" i="1"/>
  <c r="D20085" i="1"/>
  <c r="B20085" i="1"/>
  <c r="A20085" i="1"/>
  <c r="D19949" i="1"/>
  <c r="B19949" i="1"/>
  <c r="A19949" i="1"/>
  <c r="D20052" i="1"/>
  <c r="C20052" i="1"/>
  <c r="B20052" i="1"/>
  <c r="A20052" i="1"/>
  <c r="D20116" i="1"/>
  <c r="B20116" i="1"/>
  <c r="A20116" i="1"/>
  <c r="D19984" i="1"/>
  <c r="A19984" i="1"/>
  <c r="D20184" i="1"/>
  <c r="B20184" i="1"/>
  <c r="A20184" i="1"/>
  <c r="D20162" i="1"/>
  <c r="A20162" i="1"/>
  <c r="D20099" i="1"/>
  <c r="B20099" i="1"/>
  <c r="A20099" i="1"/>
  <c r="D20176" i="1"/>
  <c r="A20176" i="1"/>
  <c r="D20119" i="1"/>
  <c r="B20119" i="1"/>
  <c r="A20119" i="1"/>
  <c r="D19957" i="1"/>
  <c r="B19957" i="1"/>
  <c r="A19957" i="1"/>
  <c r="D19939" i="1"/>
  <c r="B19939" i="1"/>
  <c r="A19939" i="1"/>
  <c r="D20045" i="1"/>
  <c r="B20045" i="1"/>
  <c r="A20045" i="1"/>
  <c r="D19790" i="1"/>
  <c r="B19790" i="1"/>
  <c r="A19790" i="1"/>
  <c r="D19766" i="1"/>
  <c r="B19766" i="1"/>
  <c r="A19766" i="1"/>
  <c r="D19742" i="1"/>
  <c r="A19742" i="1"/>
  <c r="D19902" i="1"/>
  <c r="C19902" i="1"/>
  <c r="B19902" i="1"/>
  <c r="A19902" i="1"/>
  <c r="D19868" i="1"/>
  <c r="B19868" i="1"/>
  <c r="A19868" i="1"/>
  <c r="D20188" i="1"/>
  <c r="B20188" i="1"/>
  <c r="A20188" i="1"/>
  <c r="D20106" i="1"/>
  <c r="B20106" i="1"/>
  <c r="A20106" i="1"/>
  <c r="D19858" i="1"/>
  <c r="B19858" i="1"/>
  <c r="A19858" i="1"/>
  <c r="D19874" i="1"/>
  <c r="B19874" i="1"/>
  <c r="A19874" i="1"/>
  <c r="D20197" i="1"/>
  <c r="B20197" i="1"/>
  <c r="A20197" i="1"/>
  <c r="D19807" i="1"/>
  <c r="C19807" i="1"/>
  <c r="B19807" i="1"/>
  <c r="A19807" i="1"/>
  <c r="D20102" i="1"/>
  <c r="B20102" i="1"/>
  <c r="A20102" i="1"/>
  <c r="D19716" i="1"/>
  <c r="B19716" i="1"/>
  <c r="A19716" i="1"/>
  <c r="D19717" i="1"/>
  <c r="C19717" i="1"/>
  <c r="B19717" i="1"/>
  <c r="A19717" i="1"/>
  <c r="D19701" i="1"/>
  <c r="C19701" i="1"/>
  <c r="B19701" i="1"/>
  <c r="A19701" i="1"/>
  <c r="D19911" i="1"/>
  <c r="A19911" i="1"/>
  <c r="D19937" i="1"/>
  <c r="B19937" i="1"/>
  <c r="A19937" i="1"/>
  <c r="D19725" i="1"/>
  <c r="B19725" i="1"/>
  <c r="A19725" i="1"/>
  <c r="D19935" i="1"/>
  <c r="B19935" i="1"/>
  <c r="A19935" i="1"/>
  <c r="D19923" i="1"/>
  <c r="B19923" i="1"/>
  <c r="A19923" i="1"/>
  <c r="D19924" i="1"/>
  <c r="B19924" i="1"/>
  <c r="A19924" i="1"/>
  <c r="D19720" i="1"/>
  <c r="B19720" i="1"/>
  <c r="A19720" i="1"/>
  <c r="D20047" i="1"/>
  <c r="B20047" i="1"/>
  <c r="A20047" i="1"/>
  <c r="D19710" i="1"/>
  <c r="B19710" i="1"/>
  <c r="A19710" i="1"/>
  <c r="D20034" i="1"/>
  <c r="B20034" i="1"/>
  <c r="A20034" i="1"/>
  <c r="D20140" i="1"/>
  <c r="B20140" i="1"/>
  <c r="A20140" i="1"/>
  <c r="D19719" i="1"/>
  <c r="B19719" i="1"/>
  <c r="A19719" i="1"/>
  <c r="D19708" i="1"/>
  <c r="B19708" i="1"/>
  <c r="A19708" i="1"/>
  <c r="D20139" i="1"/>
  <c r="B20139" i="1"/>
  <c r="A20139" i="1"/>
  <c r="D19752" i="1"/>
  <c r="B19752" i="1"/>
  <c r="A19752" i="1"/>
  <c r="D19780" i="1"/>
  <c r="B19780" i="1"/>
  <c r="A19780" i="1"/>
  <c r="D19863" i="1"/>
  <c r="B19863" i="1"/>
  <c r="A19863" i="1"/>
  <c r="D19876" i="1"/>
  <c r="B19876" i="1"/>
  <c r="A19876" i="1"/>
  <c r="D19706" i="1"/>
  <c r="A19706" i="1"/>
  <c r="D19871" i="1"/>
  <c r="B19871" i="1"/>
  <c r="A19871" i="1"/>
  <c r="D20115" i="1"/>
  <c r="B20115" i="1"/>
  <c r="A20115" i="1"/>
  <c r="D20127" i="1"/>
  <c r="B20127" i="1"/>
  <c r="A20127" i="1"/>
  <c r="D19830" i="1"/>
  <c r="B19830" i="1"/>
  <c r="A19830" i="1"/>
  <c r="D20095" i="1"/>
  <c r="B20095" i="1"/>
  <c r="A20095" i="1"/>
  <c r="D20055" i="1"/>
  <c r="B20055" i="1"/>
  <c r="A20055" i="1"/>
  <c r="D19808" i="1"/>
  <c r="C19808" i="1"/>
  <c r="B19808" i="1"/>
  <c r="A19808" i="1"/>
  <c r="D19938" i="1"/>
  <c r="B19938" i="1"/>
  <c r="A19938" i="1"/>
  <c r="D19918" i="1"/>
  <c r="B19918" i="1"/>
  <c r="A19918" i="1"/>
  <c r="D20008" i="1"/>
  <c r="B20008" i="1"/>
  <c r="A20008" i="1"/>
  <c r="D20044" i="1"/>
  <c r="B20044" i="1"/>
  <c r="A20044" i="1"/>
  <c r="D20124" i="1"/>
  <c r="B20124" i="1"/>
  <c r="A20124" i="1"/>
  <c r="D20177" i="1"/>
  <c r="A20177" i="1"/>
  <c r="D19867" i="1"/>
  <c r="B19867" i="1"/>
  <c r="A19867" i="1"/>
  <c r="D20207" i="1"/>
  <c r="B20207" i="1"/>
  <c r="A20207" i="1"/>
  <c r="D19967" i="1"/>
  <c r="B19967" i="1"/>
  <c r="A19967" i="1"/>
  <c r="D19899" i="1"/>
  <c r="B19899" i="1"/>
  <c r="A19899" i="1"/>
  <c r="D19855" i="1"/>
  <c r="B19855" i="1"/>
  <c r="A19855" i="1"/>
  <c r="D20138" i="1"/>
  <c r="B20138" i="1"/>
  <c r="A20138" i="1"/>
  <c r="D19951" i="1"/>
  <c r="B19951" i="1"/>
  <c r="A19951" i="1"/>
  <c r="D19856" i="1"/>
  <c r="B19856" i="1"/>
  <c r="A19856" i="1"/>
  <c r="D19805" i="1"/>
  <c r="B19805" i="1"/>
  <c r="A19805" i="1"/>
  <c r="D19893" i="1"/>
  <c r="B19893" i="1"/>
  <c r="A19893" i="1"/>
  <c r="D20135" i="1"/>
  <c r="B20135" i="1"/>
  <c r="A20135" i="1"/>
  <c r="D19721" i="1"/>
  <c r="B19721" i="1"/>
  <c r="A19721" i="1"/>
  <c r="D20183" i="1"/>
  <c r="B20183" i="1"/>
  <c r="A20183" i="1"/>
  <c r="D20148" i="1"/>
  <c r="B20148" i="1"/>
  <c r="A20148" i="1"/>
  <c r="D19928" i="1"/>
  <c r="C19928" i="1"/>
  <c r="B19928" i="1"/>
  <c r="A19928" i="1"/>
  <c r="D20007" i="1"/>
  <c r="B20007" i="1"/>
  <c r="A20007" i="1"/>
  <c r="D19709" i="1"/>
  <c r="B19709" i="1"/>
  <c r="A19709" i="1"/>
  <c r="D19900" i="1"/>
  <c r="B19900" i="1"/>
  <c r="A19900" i="1"/>
  <c r="D19909" i="1"/>
  <c r="B19909" i="1"/>
  <c r="A19909" i="1"/>
  <c r="D20120" i="1"/>
  <c r="B20120" i="1"/>
  <c r="A20120" i="1"/>
  <c r="D19786" i="1"/>
  <c r="B19786" i="1"/>
  <c r="A19786" i="1"/>
  <c r="D19821" i="1"/>
  <c r="B19821" i="1"/>
  <c r="A19821" i="1"/>
  <c r="D20033" i="1"/>
  <c r="C20033" i="1"/>
  <c r="B20033" i="1"/>
  <c r="A20033" i="1"/>
  <c r="D19831" i="1"/>
  <c r="B19831" i="1"/>
  <c r="A19831" i="1"/>
  <c r="D19775" i="1"/>
  <c r="B19775" i="1"/>
  <c r="A19775" i="1"/>
  <c r="D19711" i="1"/>
  <c r="B19711" i="1"/>
  <c r="A19711" i="1"/>
  <c r="D19762" i="1"/>
  <c r="C19762" i="1"/>
  <c r="B19762" i="1"/>
  <c r="A19762" i="1"/>
  <c r="D20143" i="1"/>
  <c r="B20143" i="1"/>
  <c r="A20143" i="1"/>
  <c r="D19782" i="1"/>
  <c r="B19782" i="1"/>
  <c r="A19782" i="1"/>
  <c r="D20029" i="1"/>
  <c r="C20029" i="1"/>
  <c r="B20029" i="1"/>
  <c r="A20029" i="1"/>
  <c r="D19857" i="1"/>
  <c r="B19857" i="1"/>
  <c r="A19857" i="1"/>
  <c r="D20160" i="1"/>
  <c r="B20160" i="1"/>
  <c r="A20160" i="1"/>
  <c r="D19806" i="1"/>
  <c r="B19806" i="1"/>
  <c r="A19806" i="1"/>
  <c r="D19753" i="1"/>
  <c r="C19753" i="1"/>
  <c r="B19753" i="1"/>
  <c r="A19753" i="1"/>
  <c r="D20117" i="1"/>
  <c r="B20117" i="1"/>
  <c r="A20117" i="1"/>
  <c r="D20195" i="1"/>
  <c r="B20195" i="1"/>
  <c r="A20195" i="1"/>
  <c r="D19833" i="1"/>
  <c r="B19833" i="1"/>
  <c r="A19833" i="1"/>
  <c r="D20005" i="1"/>
  <c r="B20005" i="1"/>
  <c r="A20005" i="1"/>
  <c r="D19796" i="1"/>
  <c r="B19796" i="1"/>
  <c r="A19796" i="1"/>
  <c r="D20032" i="1"/>
  <c r="B20032" i="1"/>
  <c r="A20032" i="1"/>
  <c r="D19980" i="1"/>
  <c r="B19980" i="1"/>
  <c r="A19980" i="1"/>
  <c r="D19936" i="1"/>
  <c r="C19936" i="1"/>
  <c r="B19936" i="1"/>
  <c r="A19936" i="1"/>
  <c r="D19803" i="1"/>
  <c r="C19803" i="1"/>
  <c r="B19803" i="1"/>
  <c r="A19803" i="1"/>
  <c r="D20053" i="1"/>
  <c r="C20053" i="1"/>
  <c r="B20053" i="1"/>
  <c r="A20053" i="1"/>
  <c r="D20204" i="1"/>
  <c r="C20204" i="1"/>
  <c r="B20204" i="1"/>
  <c r="A20204" i="1"/>
  <c r="D20187" i="1"/>
  <c r="B20187" i="1"/>
  <c r="A20187" i="1"/>
  <c r="D20043" i="1"/>
  <c r="B20043" i="1"/>
  <c r="A20043" i="1"/>
  <c r="D19976" i="1"/>
  <c r="B19976" i="1"/>
  <c r="A19976" i="1"/>
  <c r="D19993" i="1"/>
  <c r="B19993" i="1"/>
  <c r="A19993" i="1"/>
  <c r="D20054" i="1"/>
  <c r="C20054" i="1"/>
  <c r="B20054" i="1"/>
  <c r="A20054" i="1"/>
  <c r="D20104" i="1"/>
  <c r="C20104" i="1"/>
  <c r="B20104" i="1"/>
  <c r="A20104" i="1"/>
  <c r="D19754" i="1"/>
  <c r="C19754" i="1"/>
  <c r="B19754" i="1"/>
  <c r="A19754" i="1"/>
  <c r="D19929" i="1"/>
  <c r="B19929" i="1"/>
  <c r="A19929" i="1"/>
  <c r="D20202" i="1"/>
  <c r="C20202" i="1"/>
  <c r="B20202" i="1"/>
  <c r="A20202" i="1"/>
  <c r="D19770" i="1"/>
  <c r="B19770" i="1"/>
  <c r="A19770" i="1"/>
  <c r="D19903" i="1"/>
  <c r="C19903" i="1"/>
  <c r="B19903" i="1"/>
  <c r="A19903" i="1"/>
  <c r="D20134" i="1"/>
  <c r="B20134" i="1"/>
  <c r="A20134" i="1"/>
  <c r="D19772" i="1"/>
  <c r="B19772" i="1"/>
  <c r="A19772" i="1"/>
  <c r="D19861" i="1"/>
  <c r="B19861" i="1"/>
  <c r="A19861" i="1"/>
  <c r="D20012" i="1"/>
  <c r="B20012" i="1"/>
  <c r="A20012" i="1"/>
  <c r="D19948" i="1"/>
  <c r="C19948" i="1"/>
  <c r="B19948" i="1"/>
  <c r="A19948" i="1"/>
  <c r="D19785" i="1"/>
  <c r="C19785" i="1"/>
  <c r="B19785" i="1"/>
  <c r="A19785" i="1"/>
  <c r="D19784" i="1"/>
  <c r="C19784" i="1"/>
  <c r="B19784" i="1"/>
  <c r="A19784" i="1"/>
  <c r="D20137" i="1"/>
  <c r="C20137" i="1"/>
  <c r="B20137" i="1"/>
  <c r="A20137" i="1"/>
  <c r="D19944" i="1"/>
  <c r="B19944" i="1"/>
  <c r="A19944" i="1"/>
  <c r="D19705" i="1"/>
  <c r="C19705" i="1"/>
  <c r="B19705" i="1"/>
  <c r="A19705" i="1"/>
  <c r="D19977" i="1"/>
  <c r="B19977" i="1"/>
  <c r="A19977" i="1"/>
  <c r="D19703" i="1"/>
  <c r="B19703" i="1"/>
  <c r="A19703" i="1"/>
  <c r="D20040" i="1"/>
  <c r="B20040" i="1"/>
  <c r="A20040" i="1"/>
  <c r="D19907" i="1"/>
  <c r="C19907" i="1"/>
  <c r="B19907" i="1"/>
  <c r="A19907" i="1"/>
  <c r="D19797" i="1"/>
  <c r="C19797" i="1"/>
  <c r="B19797" i="1"/>
  <c r="A19797" i="1"/>
  <c r="D19978" i="1"/>
  <c r="B19978" i="1"/>
  <c r="A19978" i="1"/>
  <c r="D19818" i="1"/>
  <c r="B19818" i="1"/>
  <c r="A19818" i="1"/>
  <c r="D19699" i="1"/>
  <c r="C19699" i="1"/>
  <c r="B19699" i="1"/>
  <c r="A19699" i="1"/>
  <c r="D19979" i="1"/>
  <c r="C19979" i="1"/>
  <c r="B19979" i="1"/>
  <c r="A19979" i="1"/>
  <c r="D19927" i="1"/>
  <c r="C19927" i="1"/>
  <c r="B19927" i="1"/>
  <c r="A19927" i="1"/>
  <c r="D19897" i="1"/>
  <c r="B19897" i="1"/>
  <c r="A19897" i="1"/>
  <c r="D19826" i="1"/>
  <c r="B19826" i="1"/>
  <c r="A19826" i="1"/>
  <c r="D20006" i="1"/>
  <c r="B20006" i="1"/>
  <c r="A20006" i="1"/>
  <c r="D19950" i="1"/>
  <c r="B19950" i="1"/>
  <c r="A19950" i="1"/>
  <c r="D19991" i="1"/>
  <c r="B19991" i="1"/>
  <c r="A19991" i="1"/>
  <c r="D20166" i="1"/>
  <c r="B20166" i="1"/>
  <c r="A20166" i="1"/>
  <c r="D20133" i="1"/>
  <c r="C20133" i="1"/>
  <c r="B20133" i="1"/>
  <c r="A20133" i="1"/>
  <c r="D20205" i="1"/>
  <c r="B20205" i="1"/>
  <c r="A20205" i="1"/>
  <c r="D19981" i="1"/>
  <c r="B19981" i="1"/>
  <c r="A19981" i="1"/>
  <c r="D20100" i="1"/>
  <c r="B20100" i="1"/>
  <c r="A20100" i="1"/>
  <c r="D20011" i="1"/>
  <c r="C20011" i="1"/>
  <c r="B20011" i="1"/>
  <c r="A20011" i="1"/>
  <c r="D19947" i="1"/>
  <c r="B19947" i="1"/>
  <c r="A19947" i="1"/>
  <c r="D20050" i="1"/>
  <c r="B20050" i="1"/>
  <c r="A20050" i="1"/>
  <c r="D19823" i="1"/>
  <c r="C19823" i="1"/>
  <c r="B19823" i="1"/>
  <c r="A19823" i="1"/>
  <c r="D19827" i="1"/>
  <c r="C19827" i="1"/>
  <c r="B19827" i="1"/>
  <c r="A19827" i="1"/>
  <c r="D20009" i="1"/>
  <c r="C20009" i="1"/>
  <c r="B20009" i="1"/>
  <c r="A20009" i="1"/>
  <c r="D19707" i="1"/>
  <c r="C19707" i="1"/>
  <c r="B19707" i="1"/>
  <c r="A19707" i="1"/>
  <c r="D20192" i="1"/>
  <c r="B20192" i="1"/>
  <c r="A20192" i="1"/>
  <c r="D19816" i="1"/>
  <c r="C19816" i="1"/>
  <c r="B19816" i="1"/>
  <c r="A19816" i="1"/>
  <c r="D19815" i="1"/>
  <c r="C19815" i="1"/>
  <c r="B19815" i="1"/>
  <c r="A19815" i="1"/>
  <c r="D20142" i="1"/>
  <c r="C20142" i="1"/>
  <c r="B20142" i="1"/>
  <c r="A20142" i="1"/>
  <c r="D19825" i="1"/>
  <c r="C19825" i="1"/>
  <c r="B19825" i="1"/>
  <c r="A19825" i="1"/>
  <c r="D19992" i="1"/>
  <c r="B19992" i="1"/>
  <c r="A19992" i="1"/>
  <c r="D20186" i="1"/>
  <c r="B20186" i="1"/>
  <c r="A20186" i="1"/>
  <c r="D19996" i="1"/>
  <c r="B19996" i="1"/>
  <c r="A19996" i="1"/>
  <c r="D20048" i="1"/>
  <c r="C20048" i="1"/>
  <c r="B20048" i="1"/>
  <c r="A20048" i="1"/>
  <c r="D20210" i="1"/>
  <c r="B20210" i="1"/>
  <c r="A20210" i="1"/>
  <c r="D20010" i="1"/>
  <c r="B20010" i="1"/>
  <c r="A20010" i="1"/>
  <c r="D19810" i="1"/>
  <c r="B19810" i="1"/>
  <c r="A19810" i="1"/>
  <c r="D20126" i="1"/>
  <c r="B20126" i="1"/>
  <c r="A20126" i="1"/>
  <c r="D19832" i="1"/>
  <c r="B19832" i="1"/>
  <c r="A19832" i="1"/>
  <c r="D20131" i="1"/>
  <c r="C20131" i="1"/>
  <c r="B20131" i="1"/>
  <c r="A20131" i="1"/>
  <c r="D19966" i="1"/>
  <c r="C19966" i="1"/>
  <c r="B19966" i="1"/>
  <c r="A19966" i="1"/>
  <c r="D19829" i="1"/>
  <c r="C19829" i="1"/>
  <c r="B19829" i="1"/>
  <c r="A19829" i="1"/>
  <c r="D19896" i="1"/>
  <c r="B19896" i="1"/>
  <c r="A19896" i="1"/>
  <c r="D20170" i="1"/>
  <c r="B20170" i="1"/>
  <c r="A20170" i="1"/>
  <c r="D20003" i="1"/>
  <c r="B20003" i="1"/>
  <c r="A20003" i="1"/>
  <c r="D19800" i="1"/>
  <c r="B19800" i="1"/>
  <c r="A19800" i="1"/>
  <c r="D20042" i="1"/>
  <c r="B20042" i="1"/>
  <c r="A20042" i="1"/>
  <c r="D19700" i="1"/>
  <c r="C19700" i="1"/>
  <c r="B19700" i="1"/>
  <c r="A19700" i="1"/>
  <c r="D19995" i="1"/>
  <c r="B19995" i="1"/>
  <c r="A19995" i="1"/>
  <c r="D19759" i="1"/>
  <c r="C19759" i="1"/>
  <c r="B19759" i="1"/>
  <c r="A19759" i="1"/>
  <c r="D20101" i="1"/>
  <c r="B20101" i="1"/>
  <c r="A20101" i="1"/>
  <c r="D20173" i="1"/>
  <c r="B20173" i="1"/>
  <c r="A20173" i="1"/>
  <c r="D19764" i="1"/>
  <c r="C19764" i="1"/>
  <c r="B19764" i="1"/>
  <c r="A19764" i="1"/>
  <c r="D20039" i="1"/>
  <c r="B20039" i="1"/>
  <c r="A20039" i="1"/>
  <c r="D19798" i="1"/>
  <c r="B19798" i="1"/>
  <c r="A19798" i="1"/>
  <c r="D19702" i="1"/>
  <c r="B19702" i="1"/>
  <c r="A19702" i="1"/>
  <c r="D19763" i="1"/>
  <c r="B19763" i="1"/>
  <c r="A19763" i="1"/>
  <c r="D20049" i="1"/>
  <c r="C20049" i="1"/>
  <c r="B20049" i="1"/>
  <c r="A20049" i="1"/>
  <c r="D20214" i="1"/>
  <c r="B20214" i="1"/>
  <c r="A20214" i="1"/>
  <c r="D20146" i="1"/>
  <c r="B20146" i="1"/>
  <c r="A20146" i="1"/>
  <c r="D20038" i="1"/>
  <c r="B20038" i="1"/>
  <c r="A20038" i="1"/>
  <c r="D20018" i="1"/>
  <c r="B20018" i="1"/>
  <c r="A20018" i="1"/>
  <c r="D19964" i="1"/>
  <c r="B19964" i="1"/>
  <c r="A19964" i="1"/>
  <c r="D20154" i="1"/>
  <c r="B20154" i="1"/>
  <c r="A20154" i="1"/>
  <c r="D19781" i="1"/>
  <c r="B19781" i="1"/>
  <c r="A19781" i="1"/>
  <c r="D19917" i="1"/>
  <c r="B19917" i="1"/>
  <c r="A19917" i="1"/>
  <c r="D20209" i="1"/>
  <c r="B20209" i="1"/>
  <c r="A20209" i="1"/>
  <c r="D19804" i="1"/>
  <c r="C19804" i="1"/>
  <c r="B19804" i="1"/>
  <c r="A19804" i="1"/>
  <c r="D20036" i="1"/>
  <c r="B20036" i="1"/>
  <c r="A20036" i="1"/>
  <c r="D19789" i="1"/>
  <c r="B19789" i="1"/>
  <c r="A19789" i="1"/>
  <c r="D19743" i="1"/>
  <c r="B19743" i="1"/>
  <c r="A19743" i="1"/>
  <c r="D19724" i="1"/>
  <c r="B19724" i="1"/>
  <c r="A19724" i="1"/>
  <c r="D19787" i="1"/>
  <c r="B19787" i="1"/>
  <c r="A19787" i="1"/>
  <c r="D19889" i="1"/>
  <c r="B19889" i="1"/>
  <c r="A19889" i="1"/>
  <c r="D20147" i="1"/>
  <c r="B20147" i="1"/>
  <c r="A20147" i="1"/>
  <c r="D20182" i="1"/>
  <c r="B20182" i="1"/>
  <c r="A20182" i="1"/>
  <c r="D19713" i="1"/>
  <c r="C19713" i="1"/>
  <c r="B19713" i="1"/>
  <c r="A19713" i="1"/>
  <c r="D19934" i="1"/>
  <c r="C19934" i="1"/>
  <c r="B19934" i="1"/>
  <c r="A19934" i="1"/>
  <c r="D20112" i="1"/>
  <c r="B20112" i="1"/>
  <c r="A20112" i="1"/>
  <c r="D19961" i="1"/>
  <c r="B19961" i="1"/>
  <c r="A19961" i="1"/>
  <c r="D20164" i="1"/>
  <c r="B20164" i="1"/>
  <c r="A20164" i="1"/>
  <c r="D20025" i="1"/>
  <c r="B20025" i="1"/>
  <c r="A20025" i="1"/>
  <c r="D20013" i="1"/>
  <c r="B20013" i="1"/>
  <c r="A20013" i="1"/>
  <c r="D20132" i="1"/>
  <c r="B20132" i="1"/>
  <c r="A20132" i="1"/>
  <c r="D19943" i="1"/>
  <c r="B19943" i="1"/>
  <c r="A19943" i="1"/>
  <c r="D20218" i="1"/>
  <c r="B20218" i="1"/>
  <c r="A20218" i="1"/>
  <c r="D19962" i="1"/>
  <c r="B19962" i="1"/>
  <c r="A19962" i="1"/>
  <c r="D19956" i="1"/>
  <c r="B19956" i="1"/>
  <c r="A19956" i="1"/>
  <c r="D19776" i="1"/>
  <c r="B19776" i="1"/>
  <c r="A19776" i="1"/>
  <c r="D19723" i="1"/>
  <c r="B19723" i="1"/>
  <c r="A19723" i="1"/>
  <c r="D19757" i="1"/>
  <c r="B19757" i="1"/>
  <c r="A19757" i="1"/>
  <c r="D20031" i="1"/>
  <c r="B20031" i="1"/>
  <c r="A20031" i="1"/>
  <c r="D19879" i="1"/>
  <c r="B19879" i="1"/>
  <c r="A19879" i="1"/>
  <c r="D19777" i="1"/>
  <c r="B19777" i="1"/>
  <c r="A19777" i="1"/>
  <c r="D19783" i="1"/>
  <c r="B19783" i="1"/>
  <c r="A19783" i="1"/>
  <c r="D20171" i="1"/>
  <c r="B20171" i="1"/>
  <c r="A20171" i="1"/>
  <c r="D20159" i="1"/>
  <c r="B20159" i="1"/>
  <c r="A20159" i="1"/>
  <c r="D19817" i="1"/>
  <c r="B19817" i="1"/>
  <c r="A19817" i="1"/>
  <c r="D19908" i="1"/>
  <c r="B19908" i="1"/>
  <c r="A19908" i="1"/>
  <c r="D19718" i="1"/>
  <c r="B19718" i="1"/>
  <c r="A19718" i="1"/>
  <c r="D19814" i="1"/>
  <c r="C19814" i="1"/>
  <c r="B19814" i="1"/>
  <c r="A19814" i="1"/>
  <c r="D19847" i="1"/>
  <c r="B19847" i="1"/>
  <c r="A19847" i="1"/>
  <c r="D19882" i="1"/>
  <c r="B19882" i="1"/>
  <c r="A19882" i="1"/>
  <c r="D19916" i="1"/>
  <c r="B19916" i="1"/>
  <c r="A19916" i="1"/>
  <c r="D20114" i="1"/>
  <c r="B20114" i="1"/>
  <c r="A20114" i="1"/>
  <c r="D19744" i="1"/>
  <c r="A19744" i="1"/>
  <c r="D20208" i="1"/>
  <c r="B20208" i="1"/>
  <c r="A20208" i="1"/>
  <c r="D20194" i="1"/>
  <c r="B20194" i="1"/>
  <c r="A20194" i="1"/>
  <c r="D20027" i="1"/>
  <c r="B20027" i="1"/>
  <c r="A20027" i="1"/>
  <c r="D20110" i="1"/>
  <c r="A20110" i="1"/>
  <c r="D19839" i="1"/>
  <c r="B19839" i="1"/>
  <c r="A19839" i="1"/>
  <c r="D20199" i="1"/>
  <c r="B20199" i="1"/>
  <c r="A20199" i="1"/>
  <c r="D19722" i="1"/>
  <c r="B19722" i="1"/>
  <c r="A19722" i="1"/>
  <c r="D19975" i="1"/>
  <c r="B19975" i="1"/>
  <c r="A19975" i="1"/>
  <c r="D19901" i="1"/>
  <c r="B19901" i="1"/>
  <c r="A19901" i="1"/>
  <c r="D20037" i="1"/>
  <c r="B20037" i="1"/>
  <c r="A20037" i="1"/>
  <c r="D19926" i="1"/>
  <c r="B19926" i="1"/>
  <c r="A19926" i="1"/>
  <c r="D19844" i="1"/>
  <c r="B19844" i="1"/>
  <c r="A19844" i="1"/>
  <c r="D19765" i="1"/>
  <c r="B19765" i="1"/>
  <c r="A19765" i="1"/>
  <c r="D19931" i="1"/>
  <c r="B19931" i="1"/>
  <c r="A19931" i="1"/>
  <c r="D20201" i="1"/>
  <c r="B20201" i="1"/>
  <c r="A20201" i="1"/>
  <c r="D19728" i="1"/>
  <c r="B19728" i="1"/>
  <c r="A19728" i="1"/>
  <c r="D20063" i="1"/>
  <c r="A20063" i="1"/>
  <c r="D19811" i="1"/>
  <c r="B19811" i="1"/>
  <c r="A19811" i="1"/>
  <c r="D19994" i="1"/>
  <c r="B19994" i="1"/>
  <c r="A19994" i="1"/>
  <c r="D19946" i="1"/>
  <c r="B19946" i="1"/>
  <c r="A19946" i="1"/>
  <c r="D19822" i="1"/>
  <c r="B19822" i="1"/>
  <c r="A19822" i="1"/>
  <c r="D19887" i="1"/>
  <c r="B19887" i="1"/>
  <c r="A19887" i="1"/>
  <c r="D20161" i="1"/>
  <c r="B20161" i="1"/>
  <c r="A20161" i="1"/>
  <c r="D19860" i="1"/>
  <c r="B19860" i="1"/>
  <c r="A19860" i="1"/>
  <c r="D19737" i="1"/>
  <c r="B19737" i="1"/>
  <c r="A19737" i="1"/>
  <c r="D19809" i="1"/>
  <c r="B19809" i="1"/>
  <c r="A19809" i="1"/>
  <c r="D19920" i="1"/>
  <c r="B19920" i="1"/>
  <c r="A19920" i="1"/>
  <c r="D19729" i="1"/>
  <c r="B19729" i="1"/>
  <c r="A19729" i="1"/>
  <c r="D19905" i="1"/>
  <c r="B19905" i="1"/>
  <c r="A19905" i="1"/>
  <c r="D20172" i="1"/>
  <c r="B20172" i="1"/>
  <c r="A20172" i="1"/>
  <c r="D19942" i="1"/>
  <c r="C19942" i="1"/>
  <c r="B19942" i="1"/>
  <c r="A19942" i="1"/>
  <c r="D20212" i="1"/>
  <c r="B20212" i="1"/>
  <c r="A20212" i="1"/>
  <c r="D19852" i="1"/>
  <c r="A19852" i="1"/>
  <c r="D19751" i="1"/>
  <c r="A19751" i="1"/>
  <c r="D19792" i="1"/>
  <c r="B19792" i="1"/>
  <c r="A19792" i="1"/>
  <c r="D20123" i="1"/>
  <c r="C20123" i="1"/>
  <c r="B20123" i="1"/>
  <c r="A20123" i="1"/>
  <c r="D20130" i="1"/>
  <c r="B20130" i="1"/>
  <c r="A20130" i="1"/>
  <c r="D20014" i="1"/>
  <c r="B20014" i="1"/>
  <c r="A20014" i="1"/>
  <c r="D19988" i="1"/>
  <c r="B19988" i="1"/>
  <c r="A19988" i="1"/>
  <c r="D19895" i="1"/>
  <c r="B19895" i="1"/>
  <c r="A19895" i="1"/>
  <c r="D19973" i="1"/>
  <c r="B19973" i="1"/>
  <c r="A19973" i="1"/>
  <c r="D20179" i="1"/>
  <c r="A20179" i="1"/>
  <c r="D19862" i="1"/>
  <c r="B19862" i="1"/>
  <c r="A19862" i="1"/>
  <c r="D20219" i="1"/>
  <c r="B20219" i="1"/>
  <c r="A20219" i="1"/>
  <c r="D19859" i="1"/>
  <c r="A19859" i="1"/>
  <c r="D20002" i="1"/>
  <c r="B20002" i="1"/>
  <c r="A20002" i="1"/>
  <c r="D20020" i="1"/>
  <c r="B20020" i="1"/>
  <c r="A20020" i="1"/>
  <c r="D19886" i="1"/>
  <c r="B19886" i="1"/>
  <c r="A19886" i="1"/>
  <c r="D20113" i="1"/>
  <c r="B20113" i="1"/>
  <c r="A20113" i="1"/>
  <c r="D20165" i="1"/>
  <c r="B20165" i="1"/>
  <c r="A20165" i="1"/>
  <c r="D19773" i="1"/>
  <c r="B19773" i="1"/>
  <c r="A19773" i="1"/>
  <c r="D19758" i="1"/>
  <c r="C19758" i="1"/>
  <c r="B19758" i="1"/>
  <c r="A19758" i="1"/>
  <c r="D19727" i="1"/>
  <c r="A19727" i="1"/>
  <c r="D20060" i="1"/>
  <c r="B20060" i="1"/>
  <c r="A20060" i="1"/>
  <c r="D19799" i="1"/>
  <c r="B19799" i="1"/>
  <c r="A19799" i="1"/>
  <c r="D20149" i="1"/>
  <c r="B20149" i="1"/>
  <c r="A20149" i="1"/>
  <c r="D19989" i="1"/>
  <c r="B19989" i="1"/>
  <c r="A19989" i="1"/>
  <c r="D19922" i="1"/>
  <c r="B19922" i="1"/>
  <c r="A19922" i="1"/>
  <c r="D20070" i="1"/>
  <c r="B20070" i="1"/>
  <c r="A20070" i="1"/>
  <c r="D19940" i="1"/>
  <c r="B19940" i="1"/>
  <c r="A19940" i="1"/>
  <c r="D19968" i="1"/>
  <c r="B19968" i="1"/>
  <c r="A19968" i="1"/>
  <c r="D20185" i="1"/>
  <c r="A20185" i="1"/>
  <c r="D19894" i="1"/>
  <c r="A19894" i="1"/>
  <c r="D19738" i="1"/>
  <c r="B19738" i="1"/>
  <c r="A19738" i="1"/>
  <c r="D20083" i="1"/>
  <c r="B20083" i="1"/>
  <c r="A20083" i="1"/>
  <c r="D19930" i="1"/>
  <c r="A19930" i="1"/>
  <c r="D20178" i="1"/>
  <c r="B20178" i="1"/>
  <c r="A20178" i="1"/>
  <c r="D19760" i="1"/>
  <c r="B19760" i="1"/>
  <c r="A19760" i="1"/>
  <c r="D19736" i="1"/>
  <c r="B19736" i="1"/>
  <c r="A19736" i="1"/>
  <c r="D20109" i="1"/>
  <c r="B20109" i="1"/>
  <c r="A20109" i="1"/>
  <c r="D20220" i="1"/>
  <c r="B20220" i="1"/>
  <c r="A20220" i="1"/>
  <c r="D19914" i="1"/>
  <c r="B19914" i="1"/>
  <c r="A19914" i="1"/>
  <c r="D20136" i="1"/>
  <c r="B20136" i="1"/>
  <c r="A20136" i="1"/>
  <c r="D19953" i="1"/>
  <c r="B19953" i="1"/>
  <c r="A19953" i="1"/>
  <c r="D19866" i="1"/>
  <c r="B19866" i="1"/>
  <c r="A19866" i="1"/>
  <c r="D19892" i="1"/>
  <c r="B19892" i="1"/>
  <c r="A19892" i="1"/>
  <c r="D20213" i="1"/>
  <c r="A20213" i="1"/>
  <c r="D19872" i="1"/>
  <c r="B19872" i="1"/>
  <c r="A19872" i="1"/>
  <c r="D19739" i="1"/>
  <c r="B19739" i="1"/>
  <c r="A19739" i="1"/>
  <c r="D20030" i="1"/>
  <c r="B20030" i="1"/>
  <c r="A20030" i="1"/>
  <c r="D19755" i="1"/>
  <c r="B19755" i="1"/>
  <c r="A19755" i="1"/>
  <c r="D19974" i="1"/>
  <c r="B19974" i="1"/>
  <c r="A19974" i="1"/>
  <c r="D20081" i="1"/>
  <c r="B20081" i="1"/>
  <c r="A20081" i="1"/>
  <c r="D19714" i="1"/>
  <c r="B19714" i="1"/>
  <c r="A19714" i="1"/>
  <c r="D19877" i="1"/>
  <c r="A19877" i="1"/>
  <c r="D19795" i="1"/>
  <c r="B19795" i="1"/>
  <c r="A19795" i="1"/>
  <c r="D19767" i="1"/>
  <c r="A19767" i="1"/>
  <c r="D20181" i="1"/>
  <c r="B20181" i="1"/>
  <c r="A20181" i="1"/>
  <c r="D19846" i="1"/>
  <c r="A19846" i="1"/>
  <c r="D20057" i="1"/>
  <c r="B20057" i="1"/>
  <c r="A20057" i="1"/>
  <c r="D20091" i="1"/>
  <c r="B20091" i="1"/>
  <c r="A20091" i="1"/>
  <c r="D19788" i="1"/>
  <c r="B19788" i="1"/>
  <c r="A19788" i="1"/>
  <c r="D20026" i="1"/>
  <c r="B20026" i="1"/>
  <c r="A20026" i="1"/>
  <c r="D20046" i="1"/>
  <c r="B20046" i="1"/>
  <c r="A20046" i="1"/>
  <c r="D20144" i="1"/>
  <c r="B20144" i="1"/>
  <c r="A20144" i="1"/>
  <c r="D19960" i="1"/>
  <c r="B19960" i="1"/>
  <c r="A19960" i="1"/>
  <c r="D20203" i="1"/>
  <c r="B20203" i="1"/>
  <c r="A20203" i="1"/>
  <c r="D20103" i="1"/>
  <c r="B20103" i="1"/>
  <c r="A20103" i="1"/>
  <c r="D19801" i="1"/>
  <c r="B19801" i="1"/>
  <c r="A19801" i="1"/>
  <c r="D19849" i="1"/>
  <c r="A19849" i="1"/>
  <c r="D20108" i="1"/>
  <c r="A20108" i="1"/>
  <c r="D19834" i="1"/>
  <c r="B19834" i="1"/>
  <c r="A19834" i="1"/>
  <c r="D20016" i="1"/>
  <c r="B20016" i="1"/>
  <c r="A20016" i="1"/>
  <c r="D20019" i="1"/>
  <c r="B20019" i="1"/>
  <c r="A20019" i="1"/>
  <c r="D20098" i="1"/>
  <c r="B20098" i="1"/>
  <c r="A20098" i="1"/>
  <c r="D20145" i="1"/>
  <c r="B20145" i="1"/>
  <c r="A20145" i="1"/>
  <c r="D19921" i="1"/>
  <c r="B19921" i="1"/>
  <c r="A19921" i="1"/>
  <c r="D20082" i="1"/>
  <c r="B20082" i="1"/>
  <c r="A20082" i="1"/>
  <c r="D19746" i="1"/>
  <c r="A19746" i="1"/>
  <c r="D20089" i="1"/>
  <c r="B20089" i="1"/>
  <c r="A20089" i="1"/>
  <c r="D19919" i="1"/>
  <c r="A19919" i="1"/>
  <c r="D19726" i="1"/>
  <c r="B19726" i="1"/>
  <c r="A19726" i="1"/>
  <c r="D19845" i="1"/>
  <c r="B19845" i="1"/>
  <c r="A19845" i="1"/>
  <c r="D20168" i="1"/>
  <c r="A20168" i="1"/>
  <c r="D20093" i="1"/>
  <c r="B20093" i="1"/>
  <c r="A20093" i="1"/>
  <c r="D19761" i="1"/>
  <c r="A19761" i="1"/>
  <c r="D19731" i="1"/>
  <c r="A19731" i="1"/>
  <c r="D19691" i="1"/>
  <c r="A19691" i="1"/>
  <c r="D20096" i="1"/>
  <c r="B20096" i="1"/>
  <c r="A20096" i="1"/>
  <c r="D19689" i="1"/>
  <c r="A19689" i="1"/>
  <c r="D19854" i="1"/>
  <c r="B19854" i="1"/>
  <c r="A19854" i="1"/>
  <c r="D20062" i="1"/>
  <c r="B20062" i="1"/>
  <c r="A20062" i="1"/>
  <c r="D19864" i="1"/>
  <c r="A19864" i="1"/>
  <c r="D20125" i="1"/>
  <c r="B20125" i="1"/>
  <c r="A20125" i="1"/>
  <c r="D19741" i="1"/>
  <c r="B19741" i="1"/>
  <c r="A19741" i="1"/>
  <c r="D19778" i="1"/>
  <c r="A19778" i="1"/>
  <c r="D20084" i="1"/>
  <c r="B20084" i="1"/>
  <c r="A20084" i="1"/>
  <c r="D19933" i="1"/>
  <c r="B19933" i="1"/>
  <c r="A19933" i="1"/>
  <c r="D20097" i="1"/>
  <c r="B20097" i="1"/>
  <c r="A20097" i="1"/>
  <c r="D19835" i="1"/>
  <c r="A19835" i="1"/>
  <c r="D19695" i="1"/>
  <c r="A19695" i="1"/>
  <c r="D19885" i="1"/>
  <c r="A19885" i="1"/>
  <c r="D19884" i="1"/>
  <c r="B19884" i="1"/>
  <c r="A19884" i="1"/>
  <c r="D20068" i="1"/>
  <c r="B20068" i="1"/>
  <c r="A20068" i="1"/>
  <c r="D19990" i="1"/>
  <c r="A19990" i="1"/>
  <c r="D19840" i="1"/>
  <c r="A19840" i="1"/>
  <c r="D19963" i="1"/>
  <c r="B19963" i="1"/>
  <c r="A19963" i="1"/>
  <c r="D19837" i="1"/>
  <c r="B19837" i="1"/>
  <c r="A19837" i="1"/>
  <c r="D20129" i="1"/>
  <c r="A20129" i="1"/>
  <c r="D20169" i="1"/>
  <c r="A20169" i="1"/>
  <c r="D19836" i="1"/>
  <c r="A19836" i="1"/>
  <c r="D20021" i="1"/>
  <c r="B20021" i="1"/>
  <c r="A20021" i="1"/>
  <c r="D19910" i="1"/>
  <c r="B19910" i="1"/>
  <c r="A19910" i="1"/>
  <c r="D20121" i="1"/>
  <c r="A20121" i="1"/>
  <c r="D20067" i="1"/>
  <c r="B20067" i="1"/>
  <c r="A20067" i="1"/>
  <c r="D20094" i="1"/>
  <c r="A20094" i="1"/>
  <c r="D20066" i="1"/>
  <c r="B20066" i="1"/>
  <c r="A20066" i="1"/>
  <c r="D20017" i="1"/>
  <c r="B20017" i="1"/>
  <c r="A20017" i="1"/>
  <c r="D19970" i="1"/>
  <c r="B19970" i="1"/>
  <c r="A19970" i="1"/>
  <c r="D20216" i="1"/>
  <c r="B20216" i="1"/>
  <c r="A20216" i="1"/>
  <c r="D19890" i="1"/>
  <c r="B19890" i="1"/>
  <c r="A19890" i="1"/>
  <c r="D19985" i="1"/>
  <c r="A19985" i="1"/>
  <c r="D19986" i="1"/>
  <c r="B19986" i="1"/>
  <c r="A19986" i="1"/>
  <c r="D20206" i="1"/>
  <c r="A20206" i="1"/>
  <c r="D19802" i="1"/>
  <c r="B19802" i="1"/>
  <c r="A19802" i="1"/>
  <c r="D20041" i="1"/>
  <c r="A20041" i="1"/>
  <c r="D20118" i="1"/>
  <c r="B20118" i="1"/>
  <c r="A20118" i="1"/>
  <c r="D20150" i="1"/>
  <c r="B20150" i="1"/>
  <c r="A20150" i="1"/>
  <c r="D20152" i="1"/>
  <c r="B20152" i="1"/>
  <c r="A20152" i="1"/>
  <c r="D19941" i="1"/>
  <c r="A19941" i="1"/>
  <c r="D19888" i="1"/>
  <c r="A19888" i="1"/>
  <c r="D20076" i="1"/>
  <c r="A20076" i="1"/>
  <c r="D20156" i="1"/>
  <c r="B20156" i="1"/>
  <c r="A20156" i="1"/>
  <c r="D20004" i="1"/>
  <c r="B20004" i="1"/>
  <c r="A20004" i="1"/>
  <c r="D20056" i="1"/>
  <c r="B20056" i="1"/>
  <c r="A20056" i="1"/>
  <c r="D19768" i="1"/>
  <c r="A19768" i="1"/>
  <c r="D20157" i="1"/>
  <c r="B20157" i="1"/>
  <c r="A20157" i="1"/>
  <c r="D19898" i="1"/>
  <c r="A19898" i="1"/>
  <c r="D20000" i="1"/>
  <c r="A20000" i="1"/>
  <c r="D19915" i="1"/>
  <c r="A19915" i="1"/>
  <c r="D20193" i="1"/>
  <c r="B20193" i="1"/>
  <c r="A20193" i="1"/>
  <c r="D19906" i="1"/>
  <c r="B19906" i="1"/>
  <c r="A19906" i="1"/>
  <c r="D19999" i="1"/>
  <c r="A19999" i="1"/>
  <c r="D20190" i="1"/>
  <c r="A20190" i="1"/>
  <c r="D19688" i="1"/>
  <c r="A19688" i="1"/>
  <c r="D20023" i="1"/>
  <c r="B20023" i="1"/>
  <c r="A20023" i="1"/>
  <c r="D19850" i="1"/>
  <c r="B19850" i="1"/>
  <c r="A19850" i="1"/>
  <c r="D19972" i="1"/>
  <c r="B19972" i="1"/>
  <c r="A19972" i="1"/>
  <c r="D19952" i="1"/>
  <c r="B19952" i="1"/>
  <c r="A19952" i="1"/>
  <c r="D20058" i="1"/>
  <c r="B20058" i="1"/>
  <c r="A20058" i="1"/>
  <c r="D19883" i="1"/>
  <c r="B19883" i="1"/>
  <c r="A19883" i="1"/>
  <c r="D19828" i="1"/>
  <c r="A19828" i="1"/>
  <c r="D19690" i="1"/>
  <c r="A19690" i="1"/>
  <c r="D20090" i="1"/>
  <c r="A20090" i="1"/>
  <c r="D20198" i="1"/>
  <c r="A20198" i="1"/>
  <c r="D19841" i="1"/>
  <c r="A19841" i="1"/>
  <c r="D19734" i="1"/>
  <c r="A19734" i="1"/>
  <c r="D19685" i="1"/>
  <c r="A19685" i="1"/>
  <c r="D19958" i="1"/>
  <c r="B19958" i="1"/>
  <c r="A19958" i="1"/>
  <c r="D19843" i="1"/>
  <c r="B19843" i="1"/>
  <c r="A19843" i="1"/>
  <c r="D20092" i="1"/>
  <c r="B20092" i="1"/>
  <c r="A20092" i="1"/>
  <c r="D20079" i="1"/>
  <c r="B20079" i="1"/>
  <c r="A20079" i="1"/>
  <c r="D19873" i="1"/>
  <c r="A19873" i="1"/>
  <c r="D19793" i="1"/>
  <c r="B19793" i="1"/>
  <c r="A19793" i="1"/>
  <c r="D20151" i="1"/>
  <c r="A20151" i="1"/>
  <c r="D19712" i="1"/>
  <c r="A19712" i="1"/>
  <c r="D20071" i="1"/>
  <c r="B20071" i="1"/>
  <c r="A20071" i="1"/>
  <c r="D19932" i="1"/>
  <c r="B19932" i="1"/>
  <c r="A19932" i="1"/>
  <c r="D20069" i="1"/>
  <c r="A20069" i="1"/>
  <c r="D19769" i="1"/>
  <c r="B19769" i="1"/>
  <c r="A19769" i="1"/>
  <c r="D19684" i="1"/>
  <c r="B19684" i="1"/>
  <c r="A19684" i="1"/>
  <c r="D19682" i="1"/>
  <c r="B19682" i="1"/>
  <c r="A19682" i="1"/>
  <c r="D19672" i="1"/>
  <c r="A19672" i="1"/>
  <c r="D19681" i="1"/>
  <c r="B19681" i="1"/>
  <c r="A19681" i="1"/>
  <c r="D19675" i="1"/>
  <c r="A19675" i="1"/>
  <c r="D19677" i="1"/>
  <c r="B19677" i="1"/>
  <c r="A19677" i="1"/>
  <c r="D19683" i="1"/>
  <c r="B19683" i="1"/>
  <c r="A19683" i="1"/>
  <c r="D19680" i="1"/>
  <c r="B19680" i="1"/>
  <c r="A19680" i="1"/>
  <c r="D19674" i="1"/>
  <c r="C19674" i="1"/>
  <c r="B19674" i="1"/>
  <c r="A19674" i="1"/>
  <c r="D19679" i="1"/>
  <c r="B19679" i="1"/>
  <c r="A19679" i="1"/>
  <c r="D19678" i="1"/>
  <c r="C19678" i="1"/>
  <c r="B19678" i="1"/>
  <c r="A19678" i="1"/>
  <c r="D19676" i="1"/>
  <c r="B19676" i="1"/>
  <c r="A19676" i="1"/>
  <c r="D19673" i="1"/>
  <c r="B19673" i="1"/>
  <c r="A19673" i="1"/>
  <c r="D19671" i="1"/>
  <c r="C19671" i="1"/>
  <c r="B19671" i="1"/>
  <c r="A19671" i="1"/>
  <c r="D19670" i="1"/>
  <c r="B19670" i="1"/>
  <c r="A19670" i="1"/>
  <c r="D19669" i="1"/>
  <c r="B19669" i="1"/>
  <c r="A19669" i="1"/>
  <c r="D19662" i="1"/>
  <c r="B19662" i="1"/>
  <c r="A19662" i="1"/>
  <c r="D19656" i="1"/>
  <c r="B19656" i="1"/>
  <c r="A19656" i="1"/>
  <c r="D19653" i="1"/>
  <c r="B19653" i="1"/>
  <c r="A19653" i="1"/>
  <c r="D19652" i="1"/>
  <c r="B19652" i="1"/>
  <c r="A19652" i="1"/>
  <c r="D19665" i="1"/>
  <c r="B19665" i="1"/>
  <c r="A19665" i="1"/>
  <c r="D19655" i="1"/>
  <c r="B19655" i="1"/>
  <c r="A19655" i="1"/>
  <c r="D19663" i="1"/>
  <c r="B19663" i="1"/>
  <c r="A19663" i="1"/>
  <c r="D19664" i="1"/>
  <c r="C19664" i="1"/>
  <c r="B19664" i="1"/>
  <c r="A19664" i="1"/>
  <c r="D19660" i="1"/>
  <c r="B19660" i="1"/>
  <c r="A19660" i="1"/>
  <c r="D19658" i="1"/>
  <c r="B19658" i="1"/>
  <c r="A19658" i="1"/>
  <c r="D19661" i="1"/>
  <c r="B19661" i="1"/>
  <c r="A19661" i="1"/>
  <c r="D19657" i="1"/>
  <c r="B19657" i="1"/>
  <c r="A19657" i="1"/>
  <c r="D19668" i="1"/>
  <c r="B19668" i="1"/>
  <c r="A19668" i="1"/>
  <c r="D19666" i="1"/>
  <c r="B19666" i="1"/>
  <c r="A19666" i="1"/>
  <c r="D19654" i="1"/>
  <c r="A19654" i="1"/>
  <c r="D19667" i="1"/>
  <c r="A19667" i="1"/>
  <c r="D19659" i="1"/>
  <c r="B19659" i="1"/>
  <c r="A19659" i="1"/>
  <c r="D19648" i="1"/>
  <c r="C19648" i="1"/>
  <c r="B19648" i="1"/>
  <c r="A19648" i="1"/>
  <c r="D19650" i="1"/>
  <c r="B19650" i="1"/>
  <c r="A19650" i="1"/>
  <c r="D19649" i="1"/>
  <c r="A19649" i="1"/>
  <c r="D19651" i="1"/>
  <c r="B19651" i="1"/>
  <c r="A19651" i="1"/>
  <c r="D19647" i="1"/>
  <c r="C19647" i="1"/>
  <c r="B19647" i="1"/>
  <c r="A19647" i="1"/>
  <c r="D19646" i="1"/>
  <c r="C19646" i="1"/>
  <c r="B19646" i="1"/>
  <c r="A19646" i="1"/>
  <c r="D19645" i="1"/>
  <c r="C19645" i="1"/>
  <c r="B19645" i="1"/>
  <c r="A19645" i="1"/>
  <c r="D19644" i="1"/>
  <c r="B19644" i="1"/>
  <c r="A19644" i="1"/>
  <c r="D19641" i="1"/>
  <c r="B19641" i="1"/>
  <c r="A19641" i="1"/>
  <c r="D19631" i="1"/>
  <c r="A19631" i="1"/>
  <c r="D19636" i="1"/>
  <c r="A19636" i="1"/>
  <c r="D19637" i="1"/>
  <c r="B19637" i="1"/>
  <c r="A19637" i="1"/>
  <c r="D19632" i="1"/>
  <c r="C19632" i="1"/>
  <c r="B19632" i="1"/>
  <c r="A19632" i="1"/>
  <c r="D19639" i="1"/>
  <c r="B19639" i="1"/>
  <c r="A19639" i="1"/>
  <c r="D19635" i="1"/>
  <c r="B19635" i="1"/>
  <c r="A19635" i="1"/>
  <c r="D19642" i="1"/>
  <c r="B19642" i="1"/>
  <c r="A19642" i="1"/>
  <c r="D19643" i="1"/>
  <c r="B19643" i="1"/>
  <c r="A19643" i="1"/>
  <c r="D19634" i="1"/>
  <c r="B19634" i="1"/>
  <c r="A19634" i="1"/>
  <c r="D19638" i="1"/>
  <c r="B19638" i="1"/>
  <c r="A19638" i="1"/>
  <c r="D19640" i="1"/>
  <c r="B19640" i="1"/>
  <c r="A19640" i="1"/>
  <c r="D19633" i="1"/>
  <c r="B19633" i="1"/>
  <c r="A19633" i="1"/>
  <c r="D19629" i="1"/>
  <c r="B19629" i="1"/>
  <c r="A19629" i="1"/>
  <c r="D19624" i="1"/>
  <c r="B19624" i="1"/>
  <c r="A19624" i="1"/>
  <c r="D19628" i="1"/>
  <c r="C19628" i="1"/>
  <c r="B19628" i="1"/>
  <c r="A19628" i="1"/>
  <c r="D19623" i="1"/>
  <c r="A19623" i="1"/>
  <c r="D19627" i="1"/>
  <c r="C19627" i="1"/>
  <c r="B19627" i="1"/>
  <c r="A19627" i="1"/>
  <c r="D19626" i="1"/>
  <c r="B19626" i="1"/>
  <c r="A19626" i="1"/>
  <c r="D19625" i="1"/>
  <c r="C19625" i="1"/>
  <c r="B19625" i="1"/>
  <c r="A19625" i="1"/>
  <c r="D19630" i="1"/>
  <c r="A19630" i="1"/>
  <c r="D19619" i="1"/>
  <c r="B19619" i="1"/>
  <c r="A19619" i="1"/>
  <c r="D19622" i="1"/>
  <c r="B19622" i="1"/>
  <c r="A19622" i="1"/>
  <c r="D19621" i="1"/>
  <c r="B19621" i="1"/>
  <c r="A19621" i="1"/>
  <c r="D19620" i="1"/>
  <c r="B19620" i="1"/>
  <c r="A19620" i="1"/>
  <c r="D19618" i="1"/>
  <c r="B19618" i="1"/>
  <c r="A19618" i="1"/>
  <c r="D19617" i="1"/>
  <c r="C19617" i="1"/>
  <c r="B19617" i="1"/>
  <c r="A19617" i="1"/>
  <c r="D19616" i="1"/>
  <c r="B19616" i="1"/>
  <c r="A19616" i="1"/>
  <c r="D19615" i="1"/>
  <c r="B19615" i="1"/>
  <c r="A19615" i="1"/>
  <c r="D19614" i="1"/>
  <c r="A19614" i="1"/>
  <c r="D19613" i="1"/>
  <c r="A19613" i="1"/>
  <c r="D19612" i="1"/>
  <c r="B19612" i="1"/>
  <c r="A19612" i="1"/>
  <c r="D19611" i="1"/>
  <c r="B19611" i="1"/>
  <c r="A19611" i="1"/>
  <c r="D19610" i="1"/>
  <c r="B19610" i="1"/>
  <c r="A19610" i="1"/>
  <c r="D19606" i="1"/>
  <c r="B19606" i="1"/>
  <c r="A19606" i="1"/>
  <c r="D19605" i="1"/>
  <c r="B19605" i="1"/>
  <c r="A19605" i="1"/>
  <c r="D19608" i="1"/>
  <c r="C19608" i="1"/>
  <c r="B19608" i="1"/>
  <c r="A19608" i="1"/>
  <c r="D19609" i="1"/>
  <c r="B19609" i="1"/>
  <c r="A19609" i="1"/>
  <c r="D19607" i="1"/>
  <c r="B19607" i="1"/>
  <c r="A19607" i="1"/>
  <c r="D19604" i="1"/>
  <c r="A19604" i="1"/>
  <c r="D19603" i="1"/>
  <c r="B19603" i="1"/>
  <c r="A19603" i="1"/>
  <c r="D19602" i="1"/>
  <c r="A19602" i="1"/>
  <c r="D19601" i="1"/>
  <c r="B19601" i="1"/>
  <c r="A19601" i="1"/>
  <c r="D19600" i="1"/>
  <c r="B19600" i="1"/>
  <c r="A19600" i="1"/>
  <c r="D19596" i="1"/>
  <c r="B19596" i="1"/>
  <c r="A19596" i="1"/>
  <c r="D19597" i="1"/>
  <c r="A19597" i="1"/>
  <c r="D19599" i="1"/>
  <c r="B19599" i="1"/>
  <c r="A19599" i="1"/>
  <c r="D19598" i="1"/>
  <c r="B19598" i="1"/>
  <c r="A19598" i="1"/>
  <c r="D19595" i="1"/>
  <c r="C19595" i="1"/>
  <c r="B19595" i="1"/>
  <c r="A19595" i="1"/>
  <c r="D19594" i="1"/>
  <c r="B19594" i="1"/>
  <c r="A19594" i="1"/>
  <c r="D19593" i="1"/>
  <c r="A19593" i="1"/>
  <c r="D19592" i="1"/>
  <c r="A19592" i="1"/>
  <c r="D19591" i="1"/>
  <c r="B19591" i="1"/>
  <c r="A19591" i="1"/>
  <c r="D19590" i="1"/>
  <c r="A19590" i="1"/>
  <c r="D19587" i="1"/>
  <c r="B19587" i="1"/>
  <c r="A19587" i="1"/>
  <c r="D19589" i="1"/>
  <c r="C19589" i="1"/>
  <c r="B19589" i="1"/>
  <c r="A19589" i="1"/>
  <c r="D19588" i="1"/>
  <c r="B19588" i="1"/>
  <c r="A19588" i="1"/>
  <c r="D19585" i="1"/>
  <c r="B19585" i="1"/>
  <c r="A19585" i="1"/>
  <c r="D19586" i="1"/>
  <c r="B19586" i="1"/>
  <c r="A19586" i="1"/>
  <c r="D19584" i="1"/>
  <c r="B19584" i="1"/>
  <c r="A19584" i="1"/>
  <c r="D19582" i="1"/>
  <c r="B19582" i="1"/>
  <c r="A19582" i="1"/>
  <c r="D19583" i="1"/>
  <c r="B19583" i="1"/>
  <c r="A19583" i="1"/>
  <c r="D19581" i="1"/>
  <c r="B19581" i="1"/>
  <c r="A19581" i="1"/>
  <c r="D19579" i="1"/>
  <c r="B19579" i="1"/>
  <c r="A19579" i="1"/>
  <c r="D19580" i="1"/>
  <c r="B19580" i="1"/>
  <c r="A19580" i="1"/>
  <c r="D19578" i="1"/>
  <c r="A19578" i="1"/>
  <c r="D19577" i="1"/>
  <c r="B19577" i="1"/>
  <c r="A19577" i="1"/>
  <c r="D19576" i="1"/>
  <c r="B19576" i="1"/>
  <c r="A19576" i="1"/>
  <c r="D19574" i="1"/>
  <c r="A19574" i="1"/>
  <c r="D19575" i="1"/>
  <c r="B19575" i="1"/>
  <c r="A19575" i="1"/>
  <c r="D19573" i="1"/>
  <c r="B19573" i="1"/>
  <c r="A19573" i="1"/>
  <c r="D19568" i="1"/>
  <c r="A19568" i="1"/>
  <c r="D19566" i="1"/>
  <c r="A19566" i="1"/>
  <c r="D19560" i="1"/>
  <c r="B19560" i="1"/>
  <c r="A19560" i="1"/>
  <c r="D19564" i="1"/>
  <c r="B19564" i="1"/>
  <c r="A19564" i="1"/>
  <c r="D19551" i="1"/>
  <c r="B19551" i="1"/>
  <c r="A19551" i="1"/>
  <c r="D19569" i="1"/>
  <c r="B19569" i="1"/>
  <c r="A19569" i="1"/>
  <c r="D19549" i="1"/>
  <c r="B19549" i="1"/>
  <c r="A19549" i="1"/>
  <c r="D19571" i="1"/>
  <c r="B19571" i="1"/>
  <c r="A19571" i="1"/>
  <c r="D19553" i="1"/>
  <c r="B19553" i="1"/>
  <c r="A19553" i="1"/>
  <c r="D19550" i="1"/>
  <c r="B19550" i="1"/>
  <c r="A19550" i="1"/>
  <c r="D19565" i="1"/>
  <c r="B19565" i="1"/>
  <c r="A19565" i="1"/>
  <c r="D19555" i="1"/>
  <c r="C19555" i="1"/>
  <c r="B19555" i="1"/>
  <c r="A19555" i="1"/>
  <c r="D19547" i="1"/>
  <c r="C19547" i="1"/>
  <c r="B19547" i="1"/>
  <c r="A19547" i="1"/>
  <c r="D19557" i="1"/>
  <c r="C19557" i="1"/>
  <c r="B19557" i="1"/>
  <c r="A19557" i="1"/>
  <c r="D19558" i="1"/>
  <c r="C19558" i="1"/>
  <c r="B19558" i="1"/>
  <c r="A19558" i="1"/>
  <c r="D19554" i="1"/>
  <c r="B19554" i="1"/>
  <c r="A19554" i="1"/>
  <c r="D19570" i="1"/>
  <c r="B19570" i="1"/>
  <c r="A19570" i="1"/>
  <c r="D19552" i="1"/>
  <c r="B19552" i="1"/>
  <c r="A19552" i="1"/>
  <c r="D19561" i="1"/>
  <c r="B19561" i="1"/>
  <c r="A19561" i="1"/>
  <c r="D19567" i="1"/>
  <c r="C19567" i="1"/>
  <c r="B19567" i="1"/>
  <c r="A19567" i="1"/>
  <c r="D19563" i="1"/>
  <c r="B19563" i="1"/>
  <c r="A19563" i="1"/>
  <c r="D19559" i="1"/>
  <c r="A19559" i="1"/>
  <c r="D19548" i="1"/>
  <c r="B19548" i="1"/>
  <c r="A19548" i="1"/>
  <c r="D19562" i="1"/>
  <c r="B19562" i="1"/>
  <c r="A19562" i="1"/>
  <c r="D19572" i="1"/>
  <c r="B19572" i="1"/>
  <c r="A19572" i="1"/>
  <c r="D19556" i="1"/>
  <c r="B19556" i="1"/>
  <c r="A19556" i="1"/>
  <c r="D19546" i="1"/>
  <c r="C19546" i="1"/>
  <c r="B19546" i="1"/>
  <c r="A19546" i="1"/>
  <c r="D19545" i="1"/>
  <c r="B19545" i="1"/>
  <c r="A19545" i="1"/>
  <c r="D19543" i="1"/>
  <c r="B19543" i="1"/>
  <c r="A19543" i="1"/>
  <c r="D19542" i="1"/>
  <c r="B19542" i="1"/>
  <c r="A19542" i="1"/>
  <c r="D19544" i="1"/>
  <c r="B19544" i="1"/>
  <c r="A19544" i="1"/>
  <c r="D19541" i="1"/>
  <c r="A19541" i="1"/>
  <c r="D19540" i="1"/>
  <c r="B19540" i="1"/>
  <c r="A19540" i="1"/>
  <c r="D19539" i="1"/>
  <c r="B19539" i="1"/>
  <c r="A19539" i="1"/>
  <c r="D19538" i="1"/>
  <c r="B19538" i="1"/>
  <c r="A19538" i="1"/>
  <c r="D19537" i="1"/>
  <c r="B19537" i="1"/>
  <c r="A19537" i="1"/>
  <c r="D19535" i="1"/>
  <c r="A19535" i="1"/>
  <c r="D19523" i="1"/>
  <c r="B19523" i="1"/>
  <c r="A19523" i="1"/>
  <c r="D19533" i="1"/>
  <c r="B19533" i="1"/>
  <c r="A19533" i="1"/>
  <c r="D19520" i="1"/>
  <c r="B19520" i="1"/>
  <c r="A19520" i="1"/>
  <c r="D19526" i="1"/>
  <c r="B19526" i="1"/>
  <c r="A19526" i="1"/>
  <c r="D19536" i="1"/>
  <c r="B19536" i="1"/>
  <c r="A19536" i="1"/>
  <c r="D19530" i="1"/>
  <c r="B19530" i="1"/>
  <c r="A19530" i="1"/>
  <c r="D19522" i="1"/>
  <c r="B19522" i="1"/>
  <c r="A19522" i="1"/>
  <c r="D19527" i="1"/>
  <c r="C19527" i="1"/>
  <c r="B19527" i="1"/>
  <c r="A19527" i="1"/>
  <c r="D19518" i="1"/>
  <c r="C19518" i="1"/>
  <c r="B19518" i="1"/>
  <c r="A19518" i="1"/>
  <c r="D19528" i="1"/>
  <c r="C19528" i="1"/>
  <c r="B19528" i="1"/>
  <c r="A19528" i="1"/>
  <c r="D19524" i="1"/>
  <c r="C19524" i="1"/>
  <c r="B19524" i="1"/>
  <c r="A19524" i="1"/>
  <c r="D19529" i="1"/>
  <c r="B19529" i="1"/>
  <c r="A19529" i="1"/>
  <c r="D19532" i="1"/>
  <c r="C19532" i="1"/>
  <c r="B19532" i="1"/>
  <c r="A19532" i="1"/>
  <c r="D19519" i="1"/>
  <c r="B19519" i="1"/>
  <c r="A19519" i="1"/>
  <c r="D19521" i="1"/>
  <c r="B19521" i="1"/>
  <c r="A19521" i="1"/>
  <c r="D19534" i="1"/>
  <c r="B19534" i="1"/>
  <c r="A19534" i="1"/>
  <c r="D19531" i="1"/>
  <c r="B19531" i="1"/>
  <c r="A19531" i="1"/>
  <c r="D19525" i="1"/>
  <c r="B19525" i="1"/>
  <c r="A19525" i="1"/>
  <c r="D19517" i="1"/>
  <c r="B19517" i="1"/>
  <c r="A19517" i="1"/>
  <c r="D19514" i="1"/>
  <c r="C19514" i="1"/>
  <c r="B19514" i="1"/>
  <c r="A19514" i="1"/>
  <c r="D19515" i="1"/>
  <c r="C19515" i="1"/>
  <c r="B19515" i="1"/>
  <c r="A19515" i="1"/>
  <c r="D19516" i="1"/>
  <c r="B19516" i="1"/>
  <c r="A19516" i="1"/>
  <c r="D19513" i="1"/>
  <c r="C19513" i="1"/>
  <c r="B19513" i="1"/>
  <c r="A19513" i="1"/>
  <c r="D19510" i="1"/>
  <c r="B19510" i="1"/>
  <c r="A19510" i="1"/>
  <c r="D19509" i="1"/>
  <c r="B19509" i="1"/>
  <c r="A19509" i="1"/>
  <c r="D19507" i="1"/>
  <c r="B19507" i="1"/>
  <c r="A19507" i="1"/>
  <c r="D19508" i="1"/>
  <c r="A19508" i="1"/>
  <c r="D19511" i="1"/>
  <c r="B19511" i="1"/>
  <c r="A19511" i="1"/>
  <c r="D19512" i="1"/>
  <c r="A19512" i="1"/>
  <c r="D19506" i="1"/>
  <c r="B19506" i="1"/>
  <c r="A19506" i="1"/>
  <c r="D19505" i="1"/>
  <c r="B19505" i="1"/>
  <c r="A19505" i="1"/>
  <c r="D19499" i="1"/>
  <c r="B19499" i="1"/>
  <c r="A19499" i="1"/>
  <c r="D19501" i="1"/>
  <c r="C19501" i="1"/>
  <c r="B19501" i="1"/>
  <c r="A19501" i="1"/>
  <c r="D19504" i="1"/>
  <c r="B19504" i="1"/>
  <c r="A19504" i="1"/>
  <c r="D19503" i="1"/>
  <c r="B19503" i="1"/>
  <c r="A19503" i="1"/>
  <c r="D19498" i="1"/>
  <c r="B19498" i="1"/>
  <c r="A19498" i="1"/>
  <c r="D19500" i="1"/>
  <c r="B19500" i="1"/>
  <c r="A19500" i="1"/>
  <c r="D19502" i="1"/>
  <c r="A19502" i="1"/>
  <c r="D19496" i="1"/>
  <c r="B19496" i="1"/>
  <c r="A19496" i="1"/>
  <c r="D19497" i="1"/>
  <c r="B19497" i="1"/>
  <c r="A19497" i="1"/>
  <c r="D19495" i="1"/>
  <c r="B19495" i="1"/>
  <c r="A19495" i="1"/>
  <c r="D19490" i="1"/>
  <c r="C19490" i="1"/>
  <c r="B19490" i="1"/>
  <c r="A19490" i="1"/>
  <c r="D19492" i="1"/>
  <c r="C19492" i="1"/>
  <c r="B19492" i="1"/>
  <c r="A19492" i="1"/>
  <c r="D19493" i="1"/>
  <c r="B19493" i="1"/>
  <c r="A19493" i="1"/>
  <c r="D19491" i="1"/>
  <c r="B19491" i="1"/>
  <c r="A19491" i="1"/>
  <c r="D19494" i="1"/>
  <c r="B19494" i="1"/>
  <c r="A19494" i="1"/>
  <c r="D19489" i="1"/>
  <c r="B19489" i="1"/>
  <c r="A19489" i="1"/>
  <c r="D19488" i="1"/>
  <c r="B19488" i="1"/>
  <c r="A19488" i="1"/>
  <c r="D19486" i="1"/>
  <c r="C19486" i="1"/>
  <c r="B19486" i="1"/>
  <c r="A19486" i="1"/>
  <c r="D19487" i="1"/>
  <c r="B19487" i="1"/>
  <c r="A19487" i="1"/>
  <c r="D19484" i="1"/>
  <c r="B19484" i="1"/>
  <c r="A19484" i="1"/>
  <c r="D19485" i="1"/>
  <c r="B19485" i="1"/>
  <c r="A19485" i="1"/>
  <c r="D19483" i="1"/>
  <c r="B19483" i="1"/>
  <c r="A19483" i="1"/>
  <c r="D19482" i="1"/>
  <c r="B19482" i="1"/>
  <c r="A19482" i="1"/>
  <c r="D19481" i="1"/>
  <c r="C19481" i="1"/>
  <c r="B19481" i="1"/>
  <c r="A19481" i="1"/>
  <c r="D19480" i="1"/>
  <c r="C19480" i="1"/>
  <c r="B19480" i="1"/>
  <c r="A19480" i="1"/>
  <c r="D19479" i="1"/>
  <c r="C19479" i="1"/>
  <c r="B19479" i="1"/>
  <c r="A19479" i="1"/>
  <c r="D19478" i="1"/>
  <c r="C19478" i="1"/>
  <c r="B19478" i="1"/>
  <c r="A19478" i="1"/>
  <c r="D19477" i="1"/>
  <c r="B19477" i="1"/>
  <c r="A19477" i="1"/>
  <c r="D19476" i="1"/>
  <c r="B19476" i="1"/>
  <c r="A19476" i="1"/>
  <c r="D19474" i="1"/>
  <c r="A19474" i="1"/>
  <c r="D19475" i="1"/>
  <c r="B19475" i="1"/>
  <c r="A19475" i="1"/>
  <c r="D19466" i="1"/>
  <c r="B19466" i="1"/>
  <c r="A19466" i="1"/>
  <c r="D19470" i="1"/>
  <c r="B19470" i="1"/>
  <c r="A19470" i="1"/>
  <c r="D19468" i="1"/>
  <c r="C19468" i="1"/>
  <c r="B19468" i="1"/>
  <c r="A19468" i="1"/>
  <c r="D19467" i="1"/>
  <c r="B19467" i="1"/>
  <c r="A19467" i="1"/>
  <c r="D19473" i="1"/>
  <c r="B19473" i="1"/>
  <c r="A19473" i="1"/>
  <c r="D19472" i="1"/>
  <c r="B19472" i="1"/>
  <c r="A19472" i="1"/>
  <c r="D19465" i="1"/>
  <c r="A19465" i="1"/>
  <c r="D19469" i="1"/>
  <c r="B19469" i="1"/>
  <c r="A19469" i="1"/>
  <c r="D19471" i="1"/>
  <c r="A19471" i="1"/>
  <c r="D19464" i="1"/>
  <c r="B19464" i="1"/>
  <c r="A19464" i="1"/>
  <c r="D19462" i="1"/>
  <c r="C19462" i="1"/>
  <c r="B19462" i="1"/>
  <c r="A19462" i="1"/>
  <c r="D19463" i="1"/>
  <c r="B19463" i="1"/>
  <c r="A19463" i="1"/>
  <c r="D19461" i="1"/>
  <c r="B19461" i="1"/>
  <c r="A19461" i="1"/>
  <c r="D19459" i="1"/>
  <c r="B19459" i="1"/>
  <c r="A19459" i="1"/>
  <c r="D19460" i="1"/>
  <c r="A19460" i="1"/>
  <c r="D19458" i="1"/>
  <c r="C19458" i="1"/>
  <c r="B19458" i="1"/>
  <c r="A19458" i="1"/>
  <c r="D19457" i="1"/>
  <c r="B19457" i="1"/>
  <c r="A19457" i="1"/>
  <c r="D19455" i="1"/>
  <c r="B19455" i="1"/>
  <c r="A19455" i="1"/>
  <c r="D19456" i="1"/>
  <c r="B19456" i="1"/>
  <c r="A19456" i="1"/>
  <c r="D19454" i="1"/>
  <c r="B19454" i="1"/>
  <c r="A19454" i="1"/>
  <c r="D19453" i="1"/>
  <c r="B19453" i="1"/>
  <c r="A19453" i="1"/>
  <c r="D19444" i="1"/>
  <c r="B19444" i="1"/>
  <c r="A19444" i="1"/>
  <c r="D19450" i="1"/>
  <c r="B19450" i="1"/>
  <c r="A19450" i="1"/>
  <c r="D19448" i="1"/>
  <c r="B19448" i="1"/>
  <c r="A19448" i="1"/>
  <c r="D19441" i="1"/>
  <c r="C19441" i="1"/>
  <c r="B19441" i="1"/>
  <c r="A19441" i="1"/>
  <c r="D19443" i="1"/>
  <c r="B19443" i="1"/>
  <c r="A19443" i="1"/>
  <c r="D19446" i="1"/>
  <c r="B19446" i="1"/>
  <c r="A19446" i="1"/>
  <c r="D19442" i="1"/>
  <c r="B19442" i="1"/>
  <c r="A19442" i="1"/>
  <c r="D19445" i="1"/>
  <c r="C19445" i="1"/>
  <c r="B19445" i="1"/>
  <c r="A19445" i="1"/>
  <c r="D19447" i="1"/>
  <c r="A19447" i="1"/>
  <c r="D19451" i="1"/>
  <c r="A19451" i="1"/>
  <c r="D19449" i="1"/>
  <c r="B19449" i="1"/>
  <c r="A19449" i="1"/>
  <c r="D19452" i="1"/>
  <c r="B19452" i="1"/>
  <c r="A19452" i="1"/>
  <c r="D19440" i="1"/>
  <c r="B19440" i="1"/>
  <c r="A19440" i="1"/>
  <c r="D19439" i="1"/>
  <c r="B19439" i="1"/>
  <c r="A19439" i="1"/>
  <c r="D19438" i="1"/>
  <c r="C19438" i="1"/>
  <c r="B19438" i="1"/>
  <c r="A19438" i="1"/>
  <c r="D19437" i="1"/>
  <c r="B19437" i="1"/>
  <c r="A19437" i="1"/>
  <c r="D19436" i="1"/>
  <c r="B19436" i="1"/>
  <c r="A19436" i="1"/>
  <c r="D19429" i="1"/>
  <c r="A19429" i="1"/>
  <c r="D19434" i="1"/>
  <c r="B19434" i="1"/>
  <c r="A19434" i="1"/>
  <c r="D19435" i="1"/>
  <c r="A19435" i="1"/>
  <c r="D19432" i="1"/>
  <c r="B19432" i="1"/>
  <c r="A19432" i="1"/>
  <c r="D19433" i="1"/>
  <c r="B19433" i="1"/>
  <c r="A19433" i="1"/>
  <c r="D19424" i="1"/>
  <c r="B19424" i="1"/>
  <c r="A19424" i="1"/>
  <c r="D19430" i="1"/>
  <c r="B19430" i="1"/>
  <c r="A19430" i="1"/>
  <c r="D19431" i="1"/>
  <c r="C19431" i="1"/>
  <c r="B19431" i="1"/>
  <c r="A19431" i="1"/>
  <c r="D19426" i="1"/>
  <c r="B19426" i="1"/>
  <c r="A19426" i="1"/>
  <c r="D19425" i="1"/>
  <c r="B19425" i="1"/>
  <c r="A19425" i="1"/>
  <c r="D19423" i="1"/>
  <c r="A19423" i="1"/>
  <c r="D19428" i="1"/>
  <c r="A19428" i="1"/>
  <c r="D19427" i="1"/>
  <c r="A19427" i="1"/>
  <c r="D19422" i="1"/>
  <c r="A19422" i="1"/>
  <c r="D19419" i="1"/>
  <c r="A19419" i="1"/>
  <c r="D19421" i="1"/>
  <c r="B19421" i="1"/>
  <c r="A19421" i="1"/>
  <c r="D19420" i="1"/>
  <c r="B19420" i="1"/>
  <c r="A19420" i="1"/>
  <c r="D19417" i="1"/>
  <c r="B19417" i="1"/>
  <c r="A19417" i="1"/>
  <c r="D19418" i="1"/>
  <c r="B19418" i="1"/>
  <c r="A19418" i="1"/>
  <c r="D19322" i="1"/>
  <c r="B19322" i="1"/>
  <c r="A19322" i="1"/>
  <c r="D19317" i="1"/>
  <c r="B19317" i="1"/>
  <c r="A19317" i="1"/>
  <c r="D19349" i="1"/>
  <c r="A19349" i="1"/>
  <c r="D19354" i="1"/>
  <c r="B19354" i="1"/>
  <c r="A19354" i="1"/>
  <c r="D19359" i="1"/>
  <c r="B19359" i="1"/>
  <c r="A19359" i="1"/>
  <c r="D19404" i="1"/>
  <c r="B19404" i="1"/>
  <c r="A19404" i="1"/>
  <c r="D19362" i="1"/>
  <c r="B19362" i="1"/>
  <c r="A19362" i="1"/>
  <c r="D19318" i="1"/>
  <c r="B19318" i="1"/>
  <c r="A19318" i="1"/>
  <c r="D19330" i="1"/>
  <c r="B19330" i="1"/>
  <c r="A19330" i="1"/>
  <c r="D19388" i="1"/>
  <c r="B19388" i="1"/>
  <c r="A19388" i="1"/>
  <c r="D19352" i="1"/>
  <c r="B19352" i="1"/>
  <c r="A19352" i="1"/>
  <c r="D19323" i="1"/>
  <c r="B19323" i="1"/>
  <c r="A19323" i="1"/>
  <c r="D19342" i="1"/>
  <c r="B19342" i="1"/>
  <c r="A19342" i="1"/>
  <c r="D19348" i="1"/>
  <c r="C19348" i="1"/>
  <c r="B19348" i="1"/>
  <c r="A19348" i="1"/>
  <c r="D19339" i="1"/>
  <c r="B19339" i="1"/>
  <c r="A19339" i="1"/>
  <c r="D19344" i="1"/>
  <c r="A19344" i="1"/>
  <c r="D19369" i="1"/>
  <c r="B19369" i="1"/>
  <c r="A19369" i="1"/>
  <c r="D19343" i="1"/>
  <c r="B19343" i="1"/>
  <c r="A19343" i="1"/>
  <c r="D19360" i="1"/>
  <c r="B19360" i="1"/>
  <c r="A19360" i="1"/>
  <c r="D19368" i="1"/>
  <c r="A19368" i="1"/>
  <c r="D19414" i="1"/>
  <c r="B19414" i="1"/>
  <c r="A19414" i="1"/>
  <c r="D19324" i="1"/>
  <c r="C19324" i="1"/>
  <c r="B19324" i="1"/>
  <c r="A19324" i="1"/>
  <c r="D19345" i="1"/>
  <c r="C19345" i="1"/>
  <c r="B19345" i="1"/>
  <c r="A19345" i="1"/>
  <c r="D19412" i="1"/>
  <c r="B19412" i="1"/>
  <c r="A19412" i="1"/>
  <c r="D19338" i="1"/>
  <c r="B19338" i="1"/>
  <c r="A19338" i="1"/>
  <c r="D19372" i="1"/>
  <c r="C19372" i="1"/>
  <c r="B19372" i="1"/>
  <c r="A19372" i="1"/>
  <c r="D19363" i="1"/>
  <c r="C19363" i="1"/>
  <c r="B19363" i="1"/>
  <c r="A19363" i="1"/>
  <c r="D19350" i="1"/>
  <c r="C19350" i="1"/>
  <c r="B19350" i="1"/>
  <c r="A19350" i="1"/>
  <c r="D19335" i="1"/>
  <c r="B19335" i="1"/>
  <c r="A19335" i="1"/>
  <c r="D19374" i="1"/>
  <c r="B19374" i="1"/>
  <c r="A19374" i="1"/>
  <c r="D19313" i="1"/>
  <c r="B19313" i="1"/>
  <c r="A19313" i="1"/>
  <c r="D19403" i="1"/>
  <c r="C19403" i="1"/>
  <c r="B19403" i="1"/>
  <c r="A19403" i="1"/>
  <c r="D19365" i="1"/>
  <c r="B19365" i="1"/>
  <c r="A19365" i="1"/>
  <c r="D19413" i="1"/>
  <c r="C19413" i="1"/>
  <c r="B19413" i="1"/>
  <c r="A19413" i="1"/>
  <c r="D19385" i="1"/>
  <c r="C19385" i="1"/>
  <c r="B19385" i="1"/>
  <c r="A19385" i="1"/>
  <c r="D19379" i="1"/>
  <c r="C19379" i="1"/>
  <c r="B19379" i="1"/>
  <c r="A19379" i="1"/>
  <c r="D19370" i="1"/>
  <c r="B19370" i="1"/>
  <c r="A19370" i="1"/>
  <c r="D19331" i="1"/>
  <c r="B19331" i="1"/>
  <c r="A19331" i="1"/>
  <c r="D19380" i="1"/>
  <c r="C19380" i="1"/>
  <c r="B19380" i="1"/>
  <c r="A19380" i="1"/>
  <c r="D19337" i="1"/>
  <c r="C19337" i="1"/>
  <c r="B19337" i="1"/>
  <c r="A19337" i="1"/>
  <c r="D19314" i="1"/>
  <c r="C19314" i="1"/>
  <c r="B19314" i="1"/>
  <c r="A19314" i="1"/>
  <c r="D19361" i="1"/>
  <c r="B19361" i="1"/>
  <c r="A19361" i="1"/>
  <c r="D19336" i="1"/>
  <c r="B19336" i="1"/>
  <c r="A19336" i="1"/>
  <c r="D19316" i="1"/>
  <c r="C19316" i="1"/>
  <c r="B19316" i="1"/>
  <c r="A19316" i="1"/>
  <c r="D19364" i="1"/>
  <c r="B19364" i="1"/>
  <c r="A19364" i="1"/>
  <c r="D19356" i="1"/>
  <c r="B19356" i="1"/>
  <c r="A19356" i="1"/>
  <c r="D19320" i="1"/>
  <c r="B19320" i="1"/>
  <c r="A19320" i="1"/>
  <c r="D19406" i="1"/>
  <c r="B19406" i="1"/>
  <c r="A19406" i="1"/>
  <c r="D19387" i="1"/>
  <c r="B19387" i="1"/>
  <c r="A19387" i="1"/>
  <c r="D19378" i="1"/>
  <c r="B19378" i="1"/>
  <c r="A19378" i="1"/>
  <c r="D19377" i="1"/>
  <c r="B19377" i="1"/>
  <c r="A19377" i="1"/>
  <c r="D19384" i="1"/>
  <c r="B19384" i="1"/>
  <c r="A19384" i="1"/>
  <c r="D19375" i="1"/>
  <c r="B19375" i="1"/>
  <c r="A19375" i="1"/>
  <c r="D19347" i="1"/>
  <c r="B19347" i="1"/>
  <c r="A19347" i="1"/>
  <c r="D19382" i="1"/>
  <c r="C19382" i="1"/>
  <c r="B19382" i="1"/>
  <c r="A19382" i="1"/>
  <c r="D19409" i="1"/>
  <c r="B19409" i="1"/>
  <c r="A19409" i="1"/>
  <c r="D19319" i="1"/>
  <c r="B19319" i="1"/>
  <c r="A19319" i="1"/>
  <c r="D19386" i="1"/>
  <c r="B19386" i="1"/>
  <c r="A19386" i="1"/>
  <c r="D19340" i="1"/>
  <c r="B19340" i="1"/>
  <c r="A19340" i="1"/>
  <c r="D19367" i="1"/>
  <c r="B19367" i="1"/>
  <c r="A19367" i="1"/>
  <c r="D19376" i="1"/>
  <c r="B19376" i="1"/>
  <c r="A19376" i="1"/>
  <c r="D19346" i="1"/>
  <c r="B19346" i="1"/>
  <c r="A19346" i="1"/>
  <c r="D19410" i="1"/>
  <c r="B19410" i="1"/>
  <c r="A19410" i="1"/>
  <c r="D19326" i="1"/>
  <c r="B19326" i="1"/>
  <c r="A19326" i="1"/>
  <c r="D19407" i="1"/>
  <c r="B19407" i="1"/>
  <c r="A19407" i="1"/>
  <c r="D19398" i="1"/>
  <c r="B19398" i="1"/>
  <c r="A19398" i="1"/>
  <c r="D19405" i="1"/>
  <c r="A19405" i="1"/>
  <c r="D19332" i="1"/>
  <c r="C19332" i="1"/>
  <c r="B19332" i="1"/>
  <c r="A19332" i="1"/>
  <c r="D19315" i="1"/>
  <c r="B19315" i="1"/>
  <c r="A19315" i="1"/>
  <c r="D19394" i="1"/>
  <c r="A19394" i="1"/>
  <c r="D19401" i="1"/>
  <c r="A19401" i="1"/>
  <c r="D19400" i="1"/>
  <c r="B19400" i="1"/>
  <c r="A19400" i="1"/>
  <c r="D19408" i="1"/>
  <c r="A19408" i="1"/>
  <c r="D19351" i="1"/>
  <c r="B19351" i="1"/>
  <c r="A19351" i="1"/>
  <c r="D19358" i="1"/>
  <c r="B19358" i="1"/>
  <c r="A19358" i="1"/>
  <c r="D19327" i="1"/>
  <c r="B19327" i="1"/>
  <c r="A19327" i="1"/>
  <c r="D19366" i="1"/>
  <c r="B19366" i="1"/>
  <c r="A19366" i="1"/>
  <c r="D19353" i="1"/>
  <c r="B19353" i="1"/>
  <c r="A19353" i="1"/>
  <c r="D19321" i="1"/>
  <c r="B19321" i="1"/>
  <c r="A19321" i="1"/>
  <c r="D19392" i="1"/>
  <c r="B19392" i="1"/>
  <c r="A19392" i="1"/>
  <c r="D19325" i="1"/>
  <c r="B19325" i="1"/>
  <c r="A19325" i="1"/>
  <c r="D19390" i="1"/>
  <c r="A19390" i="1"/>
  <c r="D19333" i="1"/>
  <c r="B19333" i="1"/>
  <c r="A19333" i="1"/>
  <c r="D19411" i="1"/>
  <c r="A19411" i="1"/>
  <c r="D19395" i="1"/>
  <c r="B19395" i="1"/>
  <c r="A19395" i="1"/>
  <c r="D19396" i="1"/>
  <c r="B19396" i="1"/>
  <c r="A19396" i="1"/>
  <c r="D19371" i="1"/>
  <c r="B19371" i="1"/>
  <c r="A19371" i="1"/>
  <c r="D19383" i="1"/>
  <c r="A19383" i="1"/>
  <c r="D19381" i="1"/>
  <c r="A19381" i="1"/>
  <c r="D19397" i="1"/>
  <c r="B19397" i="1"/>
  <c r="A19397" i="1"/>
  <c r="D19389" i="1"/>
  <c r="B19389" i="1"/>
  <c r="A19389" i="1"/>
  <c r="D19355" i="1"/>
  <c r="B19355" i="1"/>
  <c r="A19355" i="1"/>
  <c r="D19415" i="1"/>
  <c r="A19415" i="1"/>
  <c r="D19312" i="1"/>
  <c r="A19312" i="1"/>
  <c r="D19373" i="1"/>
  <c r="A19373" i="1"/>
  <c r="D19329" i="1"/>
  <c r="B19329" i="1"/>
  <c r="A19329" i="1"/>
  <c r="D19399" i="1"/>
  <c r="A19399" i="1"/>
  <c r="D19393" i="1"/>
  <c r="A19393" i="1"/>
  <c r="D19357" i="1"/>
  <c r="B19357" i="1"/>
  <c r="A19357" i="1"/>
  <c r="D19328" i="1"/>
  <c r="B19328" i="1"/>
  <c r="A19328" i="1"/>
  <c r="D19391" i="1"/>
  <c r="B19391" i="1"/>
  <c r="A19391" i="1"/>
  <c r="D19416" i="1"/>
  <c r="B19416" i="1"/>
  <c r="A19416" i="1"/>
  <c r="D19341" i="1"/>
  <c r="B19341" i="1"/>
  <c r="A19341" i="1"/>
  <c r="D19334" i="1"/>
  <c r="B19334" i="1"/>
  <c r="A19334" i="1"/>
  <c r="D19402" i="1"/>
  <c r="A19402" i="1"/>
  <c r="D19311" i="1"/>
  <c r="B19311" i="1"/>
  <c r="A19311" i="1"/>
  <c r="D19310" i="1"/>
  <c r="C19310" i="1"/>
  <c r="B19310" i="1"/>
  <c r="A19310" i="1"/>
  <c r="D19309" i="1"/>
  <c r="B19309" i="1"/>
  <c r="A19309" i="1"/>
  <c r="D19308" i="1"/>
  <c r="B19308" i="1"/>
  <c r="A19308" i="1"/>
  <c r="D19306" i="1"/>
  <c r="C19306" i="1"/>
  <c r="B19306" i="1"/>
  <c r="A19306" i="1"/>
  <c r="D19305" i="1"/>
  <c r="B19305" i="1"/>
  <c r="A19305" i="1"/>
  <c r="D19307" i="1"/>
  <c r="B19307" i="1"/>
  <c r="A19307" i="1"/>
  <c r="D19300" i="1"/>
  <c r="B19300" i="1"/>
  <c r="A19300" i="1"/>
  <c r="D19296" i="1"/>
  <c r="A19296" i="1"/>
  <c r="D19302" i="1"/>
  <c r="B19302" i="1"/>
  <c r="A19302" i="1"/>
  <c r="D19297" i="1"/>
  <c r="B19297" i="1"/>
  <c r="A19297" i="1"/>
  <c r="D19303" i="1"/>
  <c r="B19303" i="1"/>
  <c r="A19303" i="1"/>
  <c r="D19295" i="1"/>
  <c r="B19295" i="1"/>
  <c r="A19295" i="1"/>
  <c r="D19304" i="1"/>
  <c r="B19304" i="1"/>
  <c r="A19304" i="1"/>
  <c r="D19298" i="1"/>
  <c r="C19298" i="1"/>
  <c r="B19298" i="1"/>
  <c r="A19298" i="1"/>
  <c r="D19299" i="1"/>
  <c r="A19299" i="1"/>
  <c r="D19301" i="1"/>
  <c r="B19301" i="1"/>
  <c r="A19301" i="1"/>
  <c r="D19293" i="1"/>
  <c r="B19293" i="1"/>
  <c r="A19293" i="1"/>
  <c r="D19294" i="1"/>
  <c r="B19294" i="1"/>
  <c r="A19294" i="1"/>
  <c r="D19292" i="1"/>
  <c r="B19292" i="1"/>
  <c r="A19292" i="1"/>
  <c r="D19277" i="1"/>
  <c r="B19277" i="1"/>
  <c r="A19277" i="1"/>
  <c r="D19280" i="1"/>
  <c r="B19280" i="1"/>
  <c r="A19280" i="1"/>
  <c r="D19289" i="1"/>
  <c r="B19289" i="1"/>
  <c r="A19289" i="1"/>
  <c r="D19284" i="1"/>
  <c r="C19284" i="1"/>
  <c r="B19284" i="1"/>
  <c r="A19284" i="1"/>
  <c r="D19281" i="1"/>
  <c r="C19281" i="1"/>
  <c r="B19281" i="1"/>
  <c r="A19281" i="1"/>
  <c r="D19272" i="1"/>
  <c r="C19272" i="1"/>
  <c r="B19272" i="1"/>
  <c r="A19272" i="1"/>
  <c r="D19276" i="1"/>
  <c r="C19276" i="1"/>
  <c r="B19276" i="1"/>
  <c r="A19276" i="1"/>
  <c r="D19291" i="1"/>
  <c r="B19291" i="1"/>
  <c r="A19291" i="1"/>
  <c r="D19283" i="1"/>
  <c r="B19283" i="1"/>
  <c r="A19283" i="1"/>
  <c r="D19274" i="1"/>
  <c r="B19274" i="1"/>
  <c r="A19274" i="1"/>
  <c r="D19287" i="1"/>
  <c r="B19287" i="1"/>
  <c r="A19287" i="1"/>
  <c r="D19273" i="1"/>
  <c r="A19273" i="1"/>
  <c r="D19275" i="1"/>
  <c r="A19275" i="1"/>
  <c r="D19288" i="1"/>
  <c r="A19288" i="1"/>
  <c r="D19286" i="1"/>
  <c r="B19286" i="1"/>
  <c r="A19286" i="1"/>
  <c r="D19290" i="1"/>
  <c r="A19290" i="1"/>
  <c r="D19278" i="1"/>
  <c r="A19278" i="1"/>
  <c r="D19271" i="1"/>
  <c r="A19271" i="1"/>
  <c r="D19282" i="1"/>
  <c r="B19282" i="1"/>
  <c r="A19282" i="1"/>
  <c r="D19279" i="1"/>
  <c r="B19279" i="1"/>
  <c r="A19279" i="1"/>
  <c r="D19285" i="1"/>
  <c r="B19285" i="1"/>
  <c r="A19285" i="1"/>
  <c r="D19270" i="1"/>
  <c r="B19270" i="1"/>
  <c r="A19270" i="1"/>
  <c r="D19266" i="1"/>
  <c r="A19266" i="1"/>
  <c r="D19265" i="1"/>
  <c r="C19265" i="1"/>
  <c r="B19265" i="1"/>
  <c r="A19265" i="1"/>
  <c r="D19267" i="1"/>
  <c r="C19267" i="1"/>
  <c r="B19267" i="1"/>
  <c r="A19267" i="1"/>
  <c r="D19269" i="1"/>
  <c r="A19269" i="1"/>
  <c r="D19268" i="1"/>
  <c r="B19268" i="1"/>
  <c r="A19268" i="1"/>
  <c r="D19259" i="1"/>
  <c r="B19259" i="1"/>
  <c r="A19259" i="1"/>
  <c r="D19260" i="1"/>
  <c r="B19260" i="1"/>
  <c r="A19260" i="1"/>
  <c r="D19258" i="1"/>
  <c r="B19258" i="1"/>
  <c r="A19258" i="1"/>
  <c r="D19264" i="1"/>
  <c r="B19264" i="1"/>
  <c r="A19264" i="1"/>
  <c r="D19261" i="1"/>
  <c r="C19261" i="1"/>
  <c r="B19261" i="1"/>
  <c r="A19261" i="1"/>
  <c r="D19262" i="1"/>
  <c r="B19262" i="1"/>
  <c r="A19262" i="1"/>
  <c r="D19263" i="1"/>
  <c r="B19263" i="1"/>
  <c r="A19263" i="1"/>
  <c r="D19257" i="1"/>
  <c r="A19257" i="1"/>
  <c r="D19256" i="1"/>
  <c r="B19256" i="1"/>
  <c r="A19256" i="1"/>
  <c r="D19255" i="1"/>
  <c r="B19255" i="1"/>
  <c r="A19255" i="1"/>
  <c r="D19253" i="1"/>
  <c r="B19253" i="1"/>
  <c r="A19253" i="1"/>
  <c r="D19254" i="1"/>
  <c r="B19254" i="1"/>
  <c r="A19254" i="1"/>
  <c r="D19247" i="1"/>
  <c r="B19247" i="1"/>
  <c r="A19247" i="1"/>
  <c r="D19249" i="1"/>
  <c r="B19249" i="1"/>
  <c r="A19249" i="1"/>
  <c r="D19246" i="1"/>
  <c r="B19246" i="1"/>
  <c r="A19246" i="1"/>
  <c r="D19250" i="1"/>
  <c r="B19250" i="1"/>
  <c r="A19250" i="1"/>
  <c r="D19251" i="1"/>
  <c r="B19251" i="1"/>
  <c r="A19251" i="1"/>
  <c r="D19252" i="1"/>
  <c r="B19252" i="1"/>
  <c r="A19252" i="1"/>
  <c r="D19248" i="1"/>
  <c r="B19248" i="1"/>
  <c r="A19248" i="1"/>
  <c r="D19245" i="1"/>
  <c r="B19245" i="1"/>
  <c r="A19245" i="1"/>
  <c r="D19244" i="1"/>
  <c r="B19244" i="1"/>
  <c r="A19244" i="1"/>
  <c r="D19232" i="1"/>
  <c r="A19232" i="1"/>
  <c r="D19238" i="1"/>
  <c r="A19238" i="1"/>
  <c r="D19240" i="1"/>
  <c r="B19240" i="1"/>
  <c r="A19240" i="1"/>
  <c r="D19239" i="1"/>
  <c r="A19239" i="1"/>
  <c r="D19242" i="1"/>
  <c r="B19242" i="1"/>
  <c r="A19242" i="1"/>
  <c r="D19241" i="1"/>
  <c r="B19241" i="1"/>
  <c r="A19241" i="1"/>
  <c r="D19235" i="1"/>
  <c r="B19235" i="1"/>
  <c r="A19235" i="1"/>
  <c r="D19233" i="1"/>
  <c r="C19233" i="1"/>
  <c r="B19233" i="1"/>
  <c r="A19233" i="1"/>
  <c r="D19231" i="1"/>
  <c r="B19231" i="1"/>
  <c r="A19231" i="1"/>
  <c r="D19236" i="1"/>
  <c r="B19236" i="1"/>
  <c r="A19236" i="1"/>
  <c r="D19237" i="1"/>
  <c r="B19237" i="1"/>
  <c r="A19237" i="1"/>
  <c r="D19234" i="1"/>
  <c r="C19234" i="1"/>
  <c r="B19234" i="1"/>
  <c r="A19234" i="1"/>
  <c r="D19243" i="1"/>
  <c r="B19243" i="1"/>
  <c r="A19243" i="1"/>
  <c r="D19230" i="1"/>
  <c r="C19230" i="1"/>
  <c r="B19230" i="1"/>
  <c r="A19230" i="1"/>
  <c r="D19229" i="1"/>
  <c r="C19229" i="1"/>
  <c r="B19229" i="1"/>
  <c r="A19229" i="1"/>
  <c r="D19228" i="1"/>
  <c r="A19228" i="1"/>
  <c r="D19225" i="1"/>
  <c r="C19225" i="1"/>
  <c r="B19225" i="1"/>
  <c r="A19225" i="1"/>
  <c r="D19227" i="1"/>
  <c r="B19227" i="1"/>
  <c r="A19227" i="1"/>
  <c r="D19226" i="1"/>
  <c r="B19226" i="1"/>
  <c r="A19226" i="1"/>
  <c r="D19224" i="1"/>
  <c r="B19224" i="1"/>
  <c r="A19224" i="1"/>
  <c r="D19223" i="1"/>
  <c r="A19223" i="1"/>
  <c r="D19222" i="1"/>
  <c r="B19222" i="1"/>
  <c r="A19222" i="1"/>
  <c r="D19221" i="1"/>
  <c r="B19221" i="1"/>
  <c r="A19221" i="1"/>
  <c r="D19220" i="1"/>
  <c r="C19220" i="1"/>
  <c r="B19220" i="1"/>
  <c r="A19220" i="1"/>
  <c r="D19219" i="1"/>
  <c r="C19219" i="1"/>
  <c r="B19219" i="1"/>
  <c r="A19219" i="1"/>
  <c r="D19218" i="1"/>
  <c r="B19218" i="1"/>
  <c r="A19218" i="1"/>
  <c r="D19216" i="1"/>
  <c r="B19216" i="1"/>
  <c r="A19216" i="1"/>
  <c r="D19217" i="1"/>
  <c r="B19217" i="1"/>
  <c r="A19217" i="1"/>
  <c r="D19213" i="1"/>
  <c r="C19213" i="1"/>
  <c r="B19213" i="1"/>
  <c r="A19213" i="1"/>
  <c r="D19215" i="1"/>
  <c r="B19215" i="1"/>
  <c r="A19215" i="1"/>
  <c r="D19214" i="1"/>
  <c r="B19214" i="1"/>
  <c r="A19214" i="1"/>
  <c r="D19212" i="1"/>
  <c r="B19212" i="1"/>
  <c r="A19212" i="1"/>
  <c r="D19211" i="1"/>
  <c r="B19211" i="1"/>
  <c r="A19211" i="1"/>
  <c r="D19207" i="1"/>
  <c r="C19207" i="1"/>
  <c r="B19207" i="1"/>
  <c r="A19207" i="1"/>
  <c r="D19210" i="1"/>
  <c r="B19210" i="1"/>
  <c r="A19210" i="1"/>
  <c r="D19206" i="1"/>
  <c r="B19206" i="1"/>
  <c r="A19206" i="1"/>
  <c r="D19205" i="1"/>
  <c r="B19205" i="1"/>
  <c r="A19205" i="1"/>
  <c r="D19208" i="1"/>
  <c r="B19208" i="1"/>
  <c r="A19208" i="1"/>
  <c r="D19209" i="1"/>
  <c r="B19209" i="1"/>
  <c r="A19209" i="1"/>
  <c r="D19204" i="1"/>
  <c r="B19204" i="1"/>
  <c r="A19204" i="1"/>
  <c r="D19201" i="1"/>
  <c r="B19201" i="1"/>
  <c r="A19201" i="1"/>
  <c r="D19203" i="1"/>
  <c r="B19203" i="1"/>
  <c r="A19203" i="1"/>
  <c r="D19202" i="1"/>
  <c r="A19202" i="1"/>
  <c r="D19200" i="1"/>
  <c r="B19200" i="1"/>
  <c r="A19200" i="1"/>
  <c r="D19199" i="1"/>
  <c r="B19199" i="1"/>
  <c r="A19199" i="1"/>
  <c r="D19198" i="1"/>
  <c r="B19198" i="1"/>
  <c r="A19198" i="1"/>
  <c r="D19197" i="1"/>
  <c r="B19197" i="1"/>
  <c r="A19197" i="1"/>
  <c r="D19196" i="1"/>
  <c r="C19196" i="1"/>
  <c r="B19196" i="1"/>
  <c r="A19196" i="1"/>
  <c r="D19191" i="1"/>
  <c r="B19191" i="1"/>
  <c r="A19191" i="1"/>
  <c r="D19193" i="1"/>
  <c r="B19193" i="1"/>
  <c r="A19193" i="1"/>
  <c r="D19192" i="1"/>
  <c r="B19192" i="1"/>
  <c r="A19192" i="1"/>
  <c r="D19195" i="1"/>
  <c r="A19195" i="1"/>
  <c r="D19194" i="1"/>
  <c r="B19194" i="1"/>
  <c r="A19194" i="1"/>
  <c r="D19190" i="1"/>
  <c r="C19190" i="1"/>
  <c r="B19190" i="1"/>
  <c r="A19190" i="1"/>
  <c r="D19189" i="1"/>
  <c r="C19189" i="1"/>
  <c r="B19189" i="1"/>
  <c r="A19189" i="1"/>
  <c r="D19188" i="1"/>
  <c r="A19188" i="1"/>
  <c r="D19187" i="1"/>
  <c r="B19187" i="1"/>
  <c r="A19187" i="1"/>
  <c r="D19186" i="1"/>
  <c r="B19186" i="1"/>
  <c r="A19186" i="1"/>
  <c r="D19179" i="1"/>
  <c r="B19179" i="1"/>
  <c r="A19179" i="1"/>
  <c r="D19182" i="1"/>
  <c r="B19182" i="1"/>
  <c r="A19182" i="1"/>
  <c r="D19184" i="1"/>
  <c r="B19184" i="1"/>
  <c r="A19184" i="1"/>
  <c r="D19180" i="1"/>
  <c r="B19180" i="1"/>
  <c r="A19180" i="1"/>
  <c r="D19185" i="1"/>
  <c r="B19185" i="1"/>
  <c r="A19185" i="1"/>
  <c r="D19183" i="1"/>
  <c r="B19183" i="1"/>
  <c r="A19183" i="1"/>
  <c r="D19181" i="1"/>
  <c r="A19181" i="1"/>
  <c r="D19178" i="1"/>
  <c r="C19178" i="1"/>
  <c r="B19178" i="1"/>
  <c r="A19178" i="1"/>
  <c r="D19172" i="1"/>
  <c r="A19172" i="1"/>
  <c r="D19176" i="1"/>
  <c r="A19176" i="1"/>
  <c r="D19175" i="1"/>
  <c r="A19175" i="1"/>
  <c r="D19177" i="1"/>
  <c r="A19177" i="1"/>
  <c r="D19174" i="1"/>
  <c r="B19174" i="1"/>
  <c r="A19174" i="1"/>
  <c r="D19173" i="1"/>
  <c r="B19173" i="1"/>
  <c r="A19173" i="1"/>
  <c r="D19171" i="1"/>
  <c r="B19171" i="1"/>
  <c r="A19171" i="1"/>
  <c r="D19170" i="1"/>
  <c r="B19170" i="1"/>
  <c r="A19170" i="1"/>
  <c r="D19169" i="1"/>
  <c r="C19169" i="1"/>
  <c r="B19169" i="1"/>
  <c r="A19169" i="1"/>
  <c r="D19168" i="1"/>
  <c r="A19168" i="1"/>
  <c r="D19131" i="1"/>
  <c r="B19131" i="1"/>
  <c r="A19131" i="1"/>
  <c r="D19164" i="1"/>
  <c r="B19164" i="1"/>
  <c r="A19164" i="1"/>
  <c r="D19062" i="1"/>
  <c r="A19062" i="1"/>
  <c r="D19064" i="1"/>
  <c r="A19064" i="1"/>
  <c r="D19097" i="1"/>
  <c r="B19097" i="1"/>
  <c r="A19097" i="1"/>
  <c r="D19060" i="1"/>
  <c r="A19060" i="1"/>
  <c r="D19080" i="1"/>
  <c r="A19080" i="1"/>
  <c r="D19099" i="1"/>
  <c r="B19099" i="1"/>
  <c r="A19099" i="1"/>
  <c r="D19133" i="1"/>
  <c r="A19133" i="1"/>
  <c r="D19103" i="1"/>
  <c r="B19103" i="1"/>
  <c r="A19103" i="1"/>
  <c r="D19082" i="1"/>
  <c r="A19082" i="1"/>
  <c r="D19088" i="1"/>
  <c r="B19088" i="1"/>
  <c r="A19088" i="1"/>
  <c r="D19136" i="1"/>
  <c r="B19136" i="1"/>
  <c r="A19136" i="1"/>
  <c r="D19084" i="1"/>
  <c r="A19084" i="1"/>
  <c r="D19069" i="1"/>
  <c r="B19069" i="1"/>
  <c r="A19069" i="1"/>
  <c r="D19070" i="1"/>
  <c r="B19070" i="1"/>
  <c r="A19070" i="1"/>
  <c r="D19081" i="1"/>
  <c r="B19081" i="1"/>
  <c r="A19081" i="1"/>
  <c r="D19056" i="1"/>
  <c r="A19056" i="1"/>
  <c r="D19061" i="1"/>
  <c r="B19061" i="1"/>
  <c r="A19061" i="1"/>
  <c r="D19141" i="1"/>
  <c r="B19141" i="1"/>
  <c r="A19141" i="1"/>
  <c r="D19159" i="1"/>
  <c r="A19159" i="1"/>
  <c r="D19101" i="1"/>
  <c r="A19101" i="1"/>
  <c r="D19160" i="1"/>
  <c r="B19160" i="1"/>
  <c r="A19160" i="1"/>
  <c r="D19142" i="1"/>
  <c r="B19142" i="1"/>
  <c r="A19142" i="1"/>
  <c r="D19089" i="1"/>
  <c r="A19089" i="1"/>
  <c r="D19132" i="1"/>
  <c r="A19132" i="1"/>
  <c r="D19147" i="1"/>
  <c r="B19147" i="1"/>
  <c r="A19147" i="1"/>
  <c r="D19139" i="1"/>
  <c r="B19139" i="1"/>
  <c r="A19139" i="1"/>
  <c r="D19138" i="1"/>
  <c r="B19138" i="1"/>
  <c r="A19138" i="1"/>
  <c r="D19090" i="1"/>
  <c r="B19090" i="1"/>
  <c r="A19090" i="1"/>
  <c r="D19083" i="1"/>
  <c r="B19083" i="1"/>
  <c r="A19083" i="1"/>
  <c r="D19135" i="1"/>
  <c r="B19135" i="1"/>
  <c r="A19135" i="1"/>
  <c r="D19078" i="1"/>
  <c r="A19078" i="1"/>
  <c r="D19055" i="1"/>
  <c r="A19055" i="1"/>
  <c r="D19129" i="1"/>
  <c r="B19129" i="1"/>
  <c r="A19129" i="1"/>
  <c r="D19107" i="1"/>
  <c r="A19107" i="1"/>
  <c r="D19165" i="1"/>
  <c r="B19165" i="1"/>
  <c r="A19165" i="1"/>
  <c r="D19085" i="1"/>
  <c r="B19085" i="1"/>
  <c r="A19085" i="1"/>
  <c r="D19093" i="1"/>
  <c r="A19093" i="1"/>
  <c r="D19091" i="1"/>
  <c r="B19091" i="1"/>
  <c r="A19091" i="1"/>
  <c r="D19079" i="1"/>
  <c r="B19079" i="1"/>
  <c r="A19079" i="1"/>
  <c r="D19094" i="1"/>
  <c r="B19094" i="1"/>
  <c r="A19094" i="1"/>
  <c r="D19153" i="1"/>
  <c r="B19153" i="1"/>
  <c r="A19153" i="1"/>
  <c r="D19115" i="1"/>
  <c r="B19115" i="1"/>
  <c r="A19115" i="1"/>
  <c r="D19154" i="1"/>
  <c r="B19154" i="1"/>
  <c r="A19154" i="1"/>
  <c r="D19074" i="1"/>
  <c r="B19074" i="1"/>
  <c r="A19074" i="1"/>
  <c r="D19118" i="1"/>
  <c r="B19118" i="1"/>
  <c r="A19118" i="1"/>
  <c r="D19161" i="1"/>
  <c r="B19161" i="1"/>
  <c r="A19161" i="1"/>
  <c r="D19122" i="1"/>
  <c r="B19122" i="1"/>
  <c r="A19122" i="1"/>
  <c r="D19145" i="1"/>
  <c r="B19145" i="1"/>
  <c r="A19145" i="1"/>
  <c r="D19071" i="1"/>
  <c r="B19071" i="1"/>
  <c r="A19071" i="1"/>
  <c r="D19143" i="1"/>
  <c r="B19143" i="1"/>
  <c r="A19143" i="1"/>
  <c r="D19112" i="1"/>
  <c r="B19112" i="1"/>
  <c r="A19112" i="1"/>
  <c r="D19068" i="1"/>
  <c r="B19068" i="1"/>
  <c r="A19068" i="1"/>
  <c r="D19087" i="1"/>
  <c r="B19087" i="1"/>
  <c r="A19087" i="1"/>
  <c r="D19113" i="1"/>
  <c r="B19113" i="1"/>
  <c r="A19113" i="1"/>
  <c r="D19150" i="1"/>
  <c r="B19150" i="1"/>
  <c r="A19150" i="1"/>
  <c r="D19126" i="1"/>
  <c r="B19126" i="1"/>
  <c r="A19126" i="1"/>
  <c r="D19066" i="1"/>
  <c r="B19066" i="1"/>
  <c r="A19066" i="1"/>
  <c r="D19162" i="1"/>
  <c r="B19162" i="1"/>
  <c r="A19162" i="1"/>
  <c r="D19163" i="1"/>
  <c r="B19163" i="1"/>
  <c r="A19163" i="1"/>
  <c r="D19120" i="1"/>
  <c r="C19120" i="1"/>
  <c r="B19120" i="1"/>
  <c r="A19120" i="1"/>
  <c r="D19149" i="1"/>
  <c r="B19149" i="1"/>
  <c r="A19149" i="1"/>
  <c r="D19167" i="1"/>
  <c r="C19167" i="1"/>
  <c r="B19167" i="1"/>
  <c r="A19167" i="1"/>
  <c r="D19077" i="1"/>
  <c r="B19077" i="1"/>
  <c r="A19077" i="1"/>
  <c r="D19127" i="1"/>
  <c r="C19127" i="1"/>
  <c r="B19127" i="1"/>
  <c r="A19127" i="1"/>
  <c r="D19067" i="1"/>
  <c r="C19067" i="1"/>
  <c r="B19067" i="1"/>
  <c r="A19067" i="1"/>
  <c r="D19109" i="1"/>
  <c r="B19109" i="1"/>
  <c r="A19109" i="1"/>
  <c r="D19058" i="1"/>
  <c r="C19058" i="1"/>
  <c r="B19058" i="1"/>
  <c r="A19058" i="1"/>
  <c r="D19116" i="1"/>
  <c r="B19116" i="1"/>
  <c r="A19116" i="1"/>
  <c r="D19123" i="1"/>
  <c r="C19123" i="1"/>
  <c r="B19123" i="1"/>
  <c r="A19123" i="1"/>
  <c r="D19128" i="1"/>
  <c r="C19128" i="1"/>
  <c r="B19128" i="1"/>
  <c r="A19128" i="1"/>
  <c r="D19151" i="1"/>
  <c r="B19151" i="1"/>
  <c r="A19151" i="1"/>
  <c r="D19125" i="1"/>
  <c r="C19125" i="1"/>
  <c r="B19125" i="1"/>
  <c r="A19125" i="1"/>
  <c r="D19096" i="1"/>
  <c r="C19096" i="1"/>
  <c r="B19096" i="1"/>
  <c r="A19096" i="1"/>
  <c r="D19148" i="1"/>
  <c r="B19148" i="1"/>
  <c r="A19148" i="1"/>
  <c r="D19104" i="1"/>
  <c r="B19104" i="1"/>
  <c r="A19104" i="1"/>
  <c r="D19086" i="1"/>
  <c r="C19086" i="1"/>
  <c r="B19086" i="1"/>
  <c r="A19086" i="1"/>
  <c r="D19111" i="1"/>
  <c r="B19111" i="1"/>
  <c r="A19111" i="1"/>
  <c r="D19119" i="1"/>
  <c r="C19119" i="1"/>
  <c r="B19119" i="1"/>
  <c r="A19119" i="1"/>
  <c r="D19108" i="1"/>
  <c r="B19108" i="1"/>
  <c r="A19108" i="1"/>
  <c r="D19057" i="1"/>
  <c r="B19057" i="1"/>
  <c r="A19057" i="1"/>
  <c r="D19072" i="1"/>
  <c r="C19072" i="1"/>
  <c r="B19072" i="1"/>
  <c r="A19072" i="1"/>
  <c r="D19100" i="1"/>
  <c r="B19100" i="1"/>
  <c r="A19100" i="1"/>
  <c r="D19121" i="1"/>
  <c r="C19121" i="1"/>
  <c r="B19121" i="1"/>
  <c r="A19121" i="1"/>
  <c r="D19158" i="1"/>
  <c r="B19158" i="1"/>
  <c r="A19158" i="1"/>
  <c r="D19076" i="1"/>
  <c r="B19076" i="1"/>
  <c r="A19076" i="1"/>
  <c r="D19098" i="1"/>
  <c r="B19098" i="1"/>
  <c r="A19098" i="1"/>
  <c r="D19110" i="1"/>
  <c r="C19110" i="1"/>
  <c r="B19110" i="1"/>
  <c r="A19110" i="1"/>
  <c r="D19155" i="1"/>
  <c r="B19155" i="1"/>
  <c r="A19155" i="1"/>
  <c r="D19144" i="1"/>
  <c r="B19144" i="1"/>
  <c r="A19144" i="1"/>
  <c r="D19105" i="1"/>
  <c r="C19105" i="1"/>
  <c r="B19105" i="1"/>
  <c r="A19105" i="1"/>
  <c r="D19124" i="1"/>
  <c r="C19124" i="1"/>
  <c r="B19124" i="1"/>
  <c r="A19124" i="1"/>
  <c r="D19092" i="1"/>
  <c r="B19092" i="1"/>
  <c r="A19092" i="1"/>
  <c r="D19146" i="1"/>
  <c r="B19146" i="1"/>
  <c r="A19146" i="1"/>
  <c r="D19140" i="1"/>
  <c r="B19140" i="1"/>
  <c r="A19140" i="1"/>
  <c r="D19166" i="1"/>
  <c r="B19166" i="1"/>
  <c r="A19166" i="1"/>
  <c r="D19059" i="1"/>
  <c r="B19059" i="1"/>
  <c r="A19059" i="1"/>
  <c r="D19157" i="1"/>
  <c r="B19157" i="1"/>
  <c r="A19157" i="1"/>
  <c r="D19130" i="1"/>
  <c r="B19130" i="1"/>
  <c r="A19130" i="1"/>
  <c r="D19095" i="1"/>
  <c r="B19095" i="1"/>
  <c r="A19095" i="1"/>
  <c r="D19063" i="1"/>
  <c r="B19063" i="1"/>
  <c r="A19063" i="1"/>
  <c r="D19114" i="1"/>
  <c r="B19114" i="1"/>
  <c r="A19114" i="1"/>
  <c r="D19134" i="1"/>
  <c r="A19134" i="1"/>
  <c r="D19156" i="1"/>
  <c r="B19156" i="1"/>
  <c r="A19156" i="1"/>
  <c r="D19102" i="1"/>
  <c r="B19102" i="1"/>
  <c r="A19102" i="1"/>
  <c r="D19065" i="1"/>
  <c r="A19065" i="1"/>
  <c r="D19117" i="1"/>
  <c r="B19117" i="1"/>
  <c r="A19117" i="1"/>
  <c r="D19106" i="1"/>
  <c r="A19106" i="1"/>
  <c r="D19073" i="1"/>
  <c r="C19073" i="1"/>
  <c r="B19073" i="1"/>
  <c r="A19073" i="1"/>
  <c r="D19075" i="1"/>
  <c r="B19075" i="1"/>
  <c r="A19075" i="1"/>
  <c r="D19137" i="1"/>
  <c r="B19137" i="1"/>
  <c r="A19137" i="1"/>
  <c r="D19152" i="1"/>
  <c r="B19152" i="1"/>
  <c r="A19152" i="1"/>
  <c r="D19054" i="1"/>
  <c r="B19054" i="1"/>
  <c r="A19054" i="1"/>
  <c r="D19053" i="1"/>
  <c r="B19053" i="1"/>
  <c r="A19053" i="1"/>
  <c r="D19052" i="1"/>
  <c r="B19052" i="1"/>
  <c r="A19052" i="1"/>
  <c r="D19051" i="1"/>
  <c r="C19051" i="1"/>
  <c r="B19051" i="1"/>
  <c r="A19051" i="1"/>
  <c r="D19047" i="1"/>
  <c r="B19047" i="1"/>
  <c r="A19047" i="1"/>
  <c r="D19043" i="1"/>
  <c r="B19043" i="1"/>
  <c r="A19043" i="1"/>
  <c r="D19036" i="1"/>
  <c r="B19036" i="1"/>
  <c r="A19036" i="1"/>
  <c r="D19035" i="1"/>
  <c r="B19035" i="1"/>
  <c r="A19035" i="1"/>
  <c r="D19034" i="1"/>
  <c r="B19034" i="1"/>
  <c r="A19034" i="1"/>
  <c r="D19045" i="1"/>
  <c r="C19045" i="1"/>
  <c r="B19045" i="1"/>
  <c r="A19045" i="1"/>
  <c r="D19039" i="1"/>
  <c r="B19039" i="1"/>
  <c r="A19039" i="1"/>
  <c r="D19041" i="1"/>
  <c r="B19041" i="1"/>
  <c r="A19041" i="1"/>
  <c r="D19049" i="1"/>
  <c r="B19049" i="1"/>
  <c r="A19049" i="1"/>
  <c r="D19037" i="1"/>
  <c r="B19037" i="1"/>
  <c r="A19037" i="1"/>
  <c r="D19040" i="1"/>
  <c r="B19040" i="1"/>
  <c r="A19040" i="1"/>
  <c r="D19050" i="1"/>
  <c r="A19050" i="1"/>
  <c r="D19048" i="1"/>
  <c r="B19048" i="1"/>
  <c r="A19048" i="1"/>
  <c r="D19044" i="1"/>
  <c r="B19044" i="1"/>
  <c r="A19044" i="1"/>
  <c r="D19046" i="1"/>
  <c r="B19046" i="1"/>
  <c r="A19046" i="1"/>
  <c r="D19038" i="1"/>
  <c r="B19038" i="1"/>
  <c r="A19038" i="1"/>
  <c r="D19042" i="1"/>
  <c r="B19042" i="1"/>
  <c r="A19042" i="1"/>
  <c r="D19032" i="1"/>
  <c r="B19032" i="1"/>
  <c r="A19032" i="1"/>
  <c r="D19033" i="1"/>
  <c r="C19033" i="1"/>
  <c r="B19033" i="1"/>
  <c r="A19033" i="1"/>
  <c r="D19031" i="1"/>
  <c r="B19031" i="1"/>
  <c r="A19031" i="1"/>
  <c r="D19030" i="1"/>
  <c r="C19030" i="1"/>
  <c r="B19030" i="1"/>
  <c r="A19030" i="1"/>
  <c r="D19024" i="1"/>
  <c r="B19024" i="1"/>
  <c r="A19024" i="1"/>
  <c r="D19028" i="1"/>
  <c r="B19028" i="1"/>
  <c r="A19028" i="1"/>
  <c r="D19025" i="1"/>
  <c r="C19025" i="1"/>
  <c r="B19025" i="1"/>
  <c r="A19025" i="1"/>
  <c r="D19026" i="1"/>
  <c r="B19026" i="1"/>
  <c r="A19026" i="1"/>
  <c r="D19023" i="1"/>
  <c r="B19023" i="1"/>
  <c r="A19023" i="1"/>
  <c r="D19027" i="1"/>
  <c r="A19027" i="1"/>
  <c r="D19029" i="1"/>
  <c r="B19029" i="1"/>
  <c r="A19029" i="1"/>
  <c r="D19019" i="1"/>
  <c r="B19019" i="1"/>
  <c r="A19019" i="1"/>
  <c r="D19010" i="1"/>
  <c r="B19010" i="1"/>
  <c r="A19010" i="1"/>
  <c r="D19012" i="1"/>
  <c r="B19012" i="1"/>
  <c r="A19012" i="1"/>
  <c r="D19015" i="1"/>
  <c r="B19015" i="1"/>
  <c r="A19015" i="1"/>
  <c r="D19009" i="1"/>
  <c r="B19009" i="1"/>
  <c r="A19009" i="1"/>
  <c r="D19013" i="1"/>
  <c r="B19013" i="1"/>
  <c r="A19013" i="1"/>
  <c r="D19018" i="1"/>
  <c r="C19018" i="1"/>
  <c r="B19018" i="1"/>
  <c r="A19018" i="1"/>
  <c r="D19014" i="1"/>
  <c r="B19014" i="1"/>
  <c r="A19014" i="1"/>
  <c r="D19017" i="1"/>
  <c r="B19017" i="1"/>
  <c r="A19017" i="1"/>
  <c r="D19020" i="1"/>
  <c r="C19020" i="1"/>
  <c r="B19020" i="1"/>
  <c r="A19020" i="1"/>
  <c r="D19008" i="1"/>
  <c r="B19008" i="1"/>
  <c r="A19008" i="1"/>
  <c r="D19016" i="1"/>
  <c r="B19016" i="1"/>
  <c r="A19016" i="1"/>
  <c r="D19005" i="1"/>
  <c r="A19005" i="1"/>
  <c r="D19007" i="1"/>
  <c r="B19007" i="1"/>
  <c r="A19007" i="1"/>
  <c r="D19011" i="1"/>
  <c r="B19011" i="1"/>
  <c r="A19011" i="1"/>
  <c r="D19004" i="1"/>
  <c r="A19004" i="1"/>
  <c r="D19006" i="1"/>
  <c r="A19006" i="1"/>
  <c r="D19021" i="1"/>
  <c r="A19021" i="1"/>
  <c r="D19022" i="1"/>
  <c r="A19022" i="1"/>
  <c r="D19003" i="1"/>
  <c r="C19003" i="1"/>
  <c r="B19003" i="1"/>
  <c r="A19003" i="1"/>
  <c r="D19000" i="1"/>
  <c r="B19000" i="1"/>
  <c r="A19000" i="1"/>
  <c r="D19001" i="1"/>
  <c r="B19001" i="1"/>
  <c r="A19001" i="1"/>
  <c r="D19002" i="1"/>
  <c r="A19002" i="1"/>
  <c r="D18999" i="1"/>
  <c r="C18999" i="1"/>
  <c r="B18999" i="1"/>
  <c r="A18999" i="1"/>
  <c r="D18997" i="1"/>
  <c r="A18997" i="1"/>
  <c r="D18998" i="1"/>
  <c r="A18998" i="1"/>
  <c r="D18982" i="1"/>
  <c r="A18982" i="1"/>
  <c r="D18992" i="1"/>
  <c r="B18992" i="1"/>
  <c r="A18992" i="1"/>
  <c r="D18961" i="1"/>
  <c r="B18961" i="1"/>
  <c r="A18961" i="1"/>
  <c r="D18976" i="1"/>
  <c r="B18976" i="1"/>
  <c r="A18976" i="1"/>
  <c r="D18996" i="1"/>
  <c r="B18996" i="1"/>
  <c r="A18996" i="1"/>
  <c r="D18965" i="1"/>
  <c r="B18965" i="1"/>
  <c r="A18965" i="1"/>
  <c r="D18963" i="1"/>
  <c r="B18963" i="1"/>
  <c r="A18963" i="1"/>
  <c r="D18959" i="1"/>
  <c r="B18959" i="1"/>
  <c r="A18959" i="1"/>
  <c r="D18956" i="1"/>
  <c r="B18956" i="1"/>
  <c r="A18956" i="1"/>
  <c r="D18994" i="1"/>
  <c r="B18994" i="1"/>
  <c r="A18994" i="1"/>
  <c r="D18978" i="1"/>
  <c r="B18978" i="1"/>
  <c r="A18978" i="1"/>
  <c r="D18958" i="1"/>
  <c r="B18958" i="1"/>
  <c r="A18958" i="1"/>
  <c r="D18989" i="1"/>
  <c r="B18989" i="1"/>
  <c r="A18989" i="1"/>
  <c r="D18995" i="1"/>
  <c r="B18995" i="1"/>
  <c r="A18995" i="1"/>
  <c r="D18964" i="1"/>
  <c r="B18964" i="1"/>
  <c r="A18964" i="1"/>
  <c r="D18977" i="1"/>
  <c r="B18977" i="1"/>
  <c r="A18977" i="1"/>
  <c r="D18962" i="1"/>
  <c r="C18962" i="1"/>
  <c r="B18962" i="1"/>
  <c r="A18962" i="1"/>
  <c r="D18986" i="1"/>
  <c r="C18986" i="1"/>
  <c r="B18986" i="1"/>
  <c r="A18986" i="1"/>
  <c r="D18985" i="1"/>
  <c r="C18985" i="1"/>
  <c r="B18985" i="1"/>
  <c r="A18985" i="1"/>
  <c r="D18993" i="1"/>
  <c r="C18993" i="1"/>
  <c r="B18993" i="1"/>
  <c r="A18993" i="1"/>
  <c r="D18984" i="1"/>
  <c r="B18984" i="1"/>
  <c r="A18984" i="1"/>
  <c r="D18975" i="1"/>
  <c r="B18975" i="1"/>
  <c r="A18975" i="1"/>
  <c r="D18957" i="1"/>
  <c r="B18957" i="1"/>
  <c r="A18957" i="1"/>
  <c r="D18979" i="1"/>
  <c r="B18979" i="1"/>
  <c r="A18979" i="1"/>
  <c r="D18988" i="1"/>
  <c r="B18988" i="1"/>
  <c r="A18988" i="1"/>
  <c r="D18969" i="1"/>
  <c r="B18969" i="1"/>
  <c r="A18969" i="1"/>
  <c r="D18971" i="1"/>
  <c r="B18971" i="1"/>
  <c r="A18971" i="1"/>
  <c r="D18980" i="1"/>
  <c r="B18980" i="1"/>
  <c r="A18980" i="1"/>
  <c r="D18968" i="1"/>
  <c r="B18968" i="1"/>
  <c r="A18968" i="1"/>
  <c r="D18983" i="1"/>
  <c r="B18983" i="1"/>
  <c r="A18983" i="1"/>
  <c r="D18966" i="1"/>
  <c r="B18966" i="1"/>
  <c r="A18966" i="1"/>
  <c r="D18987" i="1"/>
  <c r="B18987" i="1"/>
  <c r="A18987" i="1"/>
  <c r="D18967" i="1"/>
  <c r="B18967" i="1"/>
  <c r="A18967" i="1"/>
  <c r="D18973" i="1"/>
  <c r="A18973" i="1"/>
  <c r="D18991" i="1"/>
  <c r="B18991" i="1"/>
  <c r="A18991" i="1"/>
  <c r="D18954" i="1"/>
  <c r="A18954" i="1"/>
  <c r="D18960" i="1"/>
  <c r="B18960" i="1"/>
  <c r="A18960" i="1"/>
  <c r="D18990" i="1"/>
  <c r="B18990" i="1"/>
  <c r="A18990" i="1"/>
  <c r="D18970" i="1"/>
  <c r="B18970" i="1"/>
  <c r="A18970" i="1"/>
  <c r="D18981" i="1"/>
  <c r="B18981" i="1"/>
  <c r="A18981" i="1"/>
  <c r="D18955" i="1"/>
  <c r="A18955" i="1"/>
  <c r="D18974" i="1"/>
  <c r="B18974" i="1"/>
  <c r="A18974" i="1"/>
  <c r="D18972" i="1"/>
  <c r="B18972" i="1"/>
  <c r="A18972" i="1"/>
  <c r="D18936" i="1"/>
  <c r="B18936" i="1"/>
  <c r="A18936" i="1"/>
  <c r="D18942" i="1"/>
  <c r="A18942" i="1"/>
  <c r="D18950" i="1"/>
  <c r="A18950" i="1"/>
  <c r="D18941" i="1"/>
  <c r="A18941" i="1"/>
  <c r="D18948" i="1"/>
  <c r="B18948" i="1"/>
  <c r="A18948" i="1"/>
  <c r="D18938" i="1"/>
  <c r="B18938" i="1"/>
  <c r="A18938" i="1"/>
  <c r="D18931" i="1"/>
  <c r="B18931" i="1"/>
  <c r="A18931" i="1"/>
  <c r="D18947" i="1"/>
  <c r="B18947" i="1"/>
  <c r="A18947" i="1"/>
  <c r="D18953" i="1"/>
  <c r="C18953" i="1"/>
  <c r="B18953" i="1"/>
  <c r="A18953" i="1"/>
  <c r="D18929" i="1"/>
  <c r="B18929" i="1"/>
  <c r="A18929" i="1"/>
  <c r="D18945" i="1"/>
  <c r="C18945" i="1"/>
  <c r="B18945" i="1"/>
  <c r="A18945" i="1"/>
  <c r="D18930" i="1"/>
  <c r="B18930" i="1"/>
  <c r="A18930" i="1"/>
  <c r="D18939" i="1"/>
  <c r="B18939" i="1"/>
  <c r="A18939" i="1"/>
  <c r="D18937" i="1"/>
  <c r="B18937" i="1"/>
  <c r="A18937" i="1"/>
  <c r="D18951" i="1"/>
  <c r="B18951" i="1"/>
  <c r="A18951" i="1"/>
  <c r="D18926" i="1"/>
  <c r="B18926" i="1"/>
  <c r="A18926" i="1"/>
  <c r="D18946" i="1"/>
  <c r="B18946" i="1"/>
  <c r="A18946" i="1"/>
  <c r="D18925" i="1"/>
  <c r="C18925" i="1"/>
  <c r="B18925" i="1"/>
  <c r="A18925" i="1"/>
  <c r="D18944" i="1"/>
  <c r="C18944" i="1"/>
  <c r="B18944" i="1"/>
  <c r="A18944" i="1"/>
  <c r="D18933" i="1"/>
  <c r="B18933" i="1"/>
  <c r="A18933" i="1"/>
  <c r="D18952" i="1"/>
  <c r="A18952" i="1"/>
  <c r="D18940" i="1"/>
  <c r="A18940" i="1"/>
  <c r="D18934" i="1"/>
  <c r="B18934" i="1"/>
  <c r="A18934" i="1"/>
  <c r="D18935" i="1"/>
  <c r="B18935" i="1"/>
  <c r="A18935" i="1"/>
  <c r="D18932" i="1"/>
  <c r="A18932" i="1"/>
  <c r="D18949" i="1"/>
  <c r="B18949" i="1"/>
  <c r="A18949" i="1"/>
  <c r="D18927" i="1"/>
  <c r="B18927" i="1"/>
  <c r="A18927" i="1"/>
  <c r="D18943" i="1"/>
  <c r="B18943" i="1"/>
  <c r="A18943" i="1"/>
  <c r="D18928" i="1"/>
  <c r="A18928" i="1"/>
  <c r="D18924" i="1"/>
  <c r="B18924" i="1"/>
  <c r="A18924" i="1"/>
  <c r="D18923" i="1"/>
  <c r="B18923" i="1"/>
  <c r="A18923" i="1"/>
  <c r="D18920" i="1"/>
  <c r="B18920" i="1"/>
  <c r="A18920" i="1"/>
  <c r="D18919" i="1"/>
  <c r="B18919" i="1"/>
  <c r="A18919" i="1"/>
  <c r="D18912" i="1"/>
  <c r="B18912" i="1"/>
  <c r="A18912" i="1"/>
  <c r="D18922" i="1"/>
  <c r="C18922" i="1"/>
  <c r="B18922" i="1"/>
  <c r="A18922" i="1"/>
  <c r="D18918" i="1"/>
  <c r="B18918" i="1"/>
  <c r="A18918" i="1"/>
  <c r="D18915" i="1"/>
  <c r="B18915" i="1"/>
  <c r="A18915" i="1"/>
  <c r="D18913" i="1"/>
  <c r="B18913" i="1"/>
  <c r="A18913" i="1"/>
  <c r="D18910" i="1"/>
  <c r="B18910" i="1"/>
  <c r="A18910" i="1"/>
  <c r="D18917" i="1"/>
  <c r="B18917" i="1"/>
  <c r="A18917" i="1"/>
  <c r="D18916" i="1"/>
  <c r="B18916" i="1"/>
  <c r="A18916" i="1"/>
  <c r="D18911" i="1"/>
  <c r="A18911" i="1"/>
  <c r="D18921" i="1"/>
  <c r="B18921" i="1"/>
  <c r="A18921" i="1"/>
  <c r="D18914" i="1"/>
  <c r="B18914" i="1"/>
  <c r="A18914" i="1"/>
  <c r="D18909" i="1"/>
  <c r="B18909" i="1"/>
  <c r="A18909" i="1"/>
  <c r="D18908" i="1"/>
  <c r="A18908" i="1"/>
  <c r="D18907" i="1"/>
  <c r="C18907" i="1"/>
  <c r="B18907" i="1"/>
  <c r="A18907" i="1"/>
  <c r="D18906" i="1"/>
  <c r="C18906" i="1"/>
  <c r="B18906" i="1"/>
  <c r="A18906" i="1"/>
  <c r="D18905" i="1"/>
  <c r="B18905" i="1"/>
  <c r="A18905" i="1"/>
  <c r="D18904" i="1"/>
  <c r="B18904" i="1"/>
  <c r="A18904" i="1"/>
  <c r="D18903" i="1"/>
  <c r="A18903" i="1"/>
  <c r="D18902" i="1"/>
  <c r="B18902" i="1"/>
  <c r="A18902" i="1"/>
  <c r="D18900" i="1"/>
  <c r="B18900" i="1"/>
  <c r="A18900" i="1"/>
  <c r="D18896" i="1"/>
  <c r="B18896" i="1"/>
  <c r="A18896" i="1"/>
  <c r="D18898" i="1"/>
  <c r="C18898" i="1"/>
  <c r="B18898" i="1"/>
  <c r="A18898" i="1"/>
  <c r="D18901" i="1"/>
  <c r="B18901" i="1"/>
  <c r="A18901" i="1"/>
  <c r="D18897" i="1"/>
  <c r="B18897" i="1"/>
  <c r="A18897" i="1"/>
  <c r="D18895" i="1"/>
  <c r="B18895" i="1"/>
  <c r="A18895" i="1"/>
  <c r="D18899" i="1"/>
  <c r="B18899" i="1"/>
  <c r="A18899" i="1"/>
  <c r="D18894" i="1"/>
  <c r="A18894" i="1"/>
  <c r="D18881" i="1"/>
  <c r="B18881" i="1"/>
  <c r="A18881" i="1"/>
  <c r="D18882" i="1"/>
  <c r="A18882" i="1"/>
  <c r="D18888" i="1"/>
  <c r="B18888" i="1"/>
  <c r="A18888" i="1"/>
  <c r="D18885" i="1"/>
  <c r="B18885" i="1"/>
  <c r="A18885" i="1"/>
  <c r="D18892" i="1"/>
  <c r="B18892" i="1"/>
  <c r="A18892" i="1"/>
  <c r="D18883" i="1"/>
  <c r="C18883" i="1"/>
  <c r="B18883" i="1"/>
  <c r="A18883" i="1"/>
  <c r="D18886" i="1"/>
  <c r="B18886" i="1"/>
  <c r="A18886" i="1"/>
  <c r="D18893" i="1"/>
  <c r="B18893" i="1"/>
  <c r="A18893" i="1"/>
  <c r="D18880" i="1"/>
  <c r="B18880" i="1"/>
  <c r="A18880" i="1"/>
  <c r="D18891" i="1"/>
  <c r="B18891" i="1"/>
  <c r="A18891" i="1"/>
  <c r="D18884" i="1"/>
  <c r="B18884" i="1"/>
  <c r="A18884" i="1"/>
  <c r="D18889" i="1"/>
  <c r="A18889" i="1"/>
  <c r="D18890" i="1"/>
  <c r="A18890" i="1"/>
  <c r="D18887" i="1"/>
  <c r="B18887" i="1"/>
  <c r="A18887" i="1"/>
  <c r="D18877" i="1"/>
  <c r="B18877" i="1"/>
  <c r="A18877" i="1"/>
  <c r="D18879" i="1"/>
  <c r="B18879" i="1"/>
  <c r="A18879" i="1"/>
  <c r="D18876" i="1"/>
  <c r="C18876" i="1"/>
  <c r="B18876" i="1"/>
  <c r="A18876" i="1"/>
  <c r="D18878" i="1"/>
  <c r="B18878" i="1"/>
  <c r="A18878" i="1"/>
  <c r="D18875" i="1"/>
  <c r="B18875" i="1"/>
  <c r="A18875" i="1"/>
  <c r="D18873" i="1"/>
  <c r="A18873" i="1"/>
  <c r="D18874" i="1"/>
  <c r="B18874" i="1"/>
  <c r="A18874" i="1"/>
  <c r="D18867" i="1"/>
  <c r="C18867" i="1"/>
  <c r="B18867" i="1"/>
  <c r="A18867" i="1"/>
  <c r="D18872" i="1"/>
  <c r="C18872" i="1"/>
  <c r="B18872" i="1"/>
  <c r="A18872" i="1"/>
  <c r="D18870" i="1"/>
  <c r="B18870" i="1"/>
  <c r="A18870" i="1"/>
  <c r="D18869" i="1"/>
  <c r="B18869" i="1"/>
  <c r="A18869" i="1"/>
  <c r="D18871" i="1"/>
  <c r="A18871" i="1"/>
  <c r="D18868" i="1"/>
  <c r="B18868" i="1"/>
  <c r="A18868" i="1"/>
  <c r="D18862" i="1"/>
  <c r="B18862" i="1"/>
  <c r="A18862" i="1"/>
  <c r="D18861" i="1"/>
  <c r="B18861" i="1"/>
  <c r="A18861" i="1"/>
  <c r="D18866" i="1"/>
  <c r="C18866" i="1"/>
  <c r="B18866" i="1"/>
  <c r="A18866" i="1"/>
  <c r="D18865" i="1"/>
  <c r="C18865" i="1"/>
  <c r="B18865" i="1"/>
  <c r="A18865" i="1"/>
  <c r="D18856" i="1"/>
  <c r="C18856" i="1"/>
  <c r="B18856" i="1"/>
  <c r="A18856" i="1"/>
  <c r="D18860" i="1"/>
  <c r="B18860" i="1"/>
  <c r="A18860" i="1"/>
  <c r="D18859" i="1"/>
  <c r="B18859" i="1"/>
  <c r="A18859" i="1"/>
  <c r="D18857" i="1"/>
  <c r="A18857" i="1"/>
  <c r="D18858" i="1"/>
  <c r="B18858" i="1"/>
  <c r="A18858" i="1"/>
  <c r="D18863" i="1"/>
  <c r="B18863" i="1"/>
  <c r="A18863" i="1"/>
  <c r="D18864" i="1"/>
  <c r="B18864" i="1"/>
  <c r="A18864" i="1"/>
  <c r="D18855" i="1"/>
  <c r="B18855" i="1"/>
  <c r="A18855" i="1"/>
  <c r="D18854" i="1"/>
  <c r="B18854" i="1"/>
  <c r="A18854" i="1"/>
  <c r="D18853" i="1"/>
  <c r="B18853" i="1"/>
  <c r="A18853" i="1"/>
  <c r="D18852" i="1"/>
  <c r="B18852" i="1"/>
  <c r="A18852" i="1"/>
  <c r="D18850" i="1"/>
  <c r="B18850" i="1"/>
  <c r="A18850" i="1"/>
  <c r="D18851" i="1"/>
  <c r="B18851" i="1"/>
  <c r="A18851" i="1"/>
  <c r="D18849" i="1"/>
  <c r="B18849" i="1"/>
  <c r="A18849" i="1"/>
  <c r="D18848" i="1"/>
  <c r="B18848" i="1"/>
  <c r="A18848" i="1"/>
  <c r="D18846" i="1"/>
  <c r="B18846" i="1"/>
  <c r="A18846" i="1"/>
  <c r="D18847" i="1"/>
  <c r="B18847" i="1"/>
  <c r="A18847" i="1"/>
  <c r="D18845" i="1"/>
  <c r="B18845" i="1"/>
  <c r="A18845" i="1"/>
  <c r="D18844" i="1"/>
  <c r="B18844" i="1"/>
  <c r="A18844" i="1"/>
  <c r="D18843" i="1"/>
  <c r="B18843" i="1"/>
  <c r="A18843" i="1"/>
  <c r="D18842" i="1"/>
  <c r="B18842" i="1"/>
  <c r="A18842" i="1"/>
  <c r="D18841" i="1"/>
  <c r="B18841" i="1"/>
  <c r="A18841" i="1"/>
  <c r="D18833" i="1"/>
  <c r="B18833" i="1"/>
  <c r="A18833" i="1"/>
  <c r="D18829" i="1"/>
  <c r="B18829" i="1"/>
  <c r="A18829" i="1"/>
  <c r="D18834" i="1"/>
  <c r="A18834" i="1"/>
  <c r="D18839" i="1"/>
  <c r="B18839" i="1"/>
  <c r="A18839" i="1"/>
  <c r="D18828" i="1"/>
  <c r="B18828" i="1"/>
  <c r="A18828" i="1"/>
  <c r="D18838" i="1"/>
  <c r="C18838" i="1"/>
  <c r="B18838" i="1"/>
  <c r="A18838" i="1"/>
  <c r="D18827" i="1"/>
  <c r="C18827" i="1"/>
  <c r="B18827" i="1"/>
  <c r="A18827" i="1"/>
  <c r="D18835" i="1"/>
  <c r="C18835" i="1"/>
  <c r="B18835" i="1"/>
  <c r="A18835" i="1"/>
  <c r="D18826" i="1"/>
  <c r="C18826" i="1"/>
  <c r="B18826" i="1"/>
  <c r="A18826" i="1"/>
  <c r="D18832" i="1"/>
  <c r="C18832" i="1"/>
  <c r="B18832" i="1"/>
  <c r="A18832" i="1"/>
  <c r="D18837" i="1"/>
  <c r="C18837" i="1"/>
  <c r="B18837" i="1"/>
  <c r="A18837" i="1"/>
  <c r="D18840" i="1"/>
  <c r="B18840" i="1"/>
  <c r="A18840" i="1"/>
  <c r="D18830" i="1"/>
  <c r="B18830" i="1"/>
  <c r="A18830" i="1"/>
  <c r="D18836" i="1"/>
  <c r="B18836" i="1"/>
  <c r="A18836" i="1"/>
  <c r="D18831" i="1"/>
  <c r="A18831" i="1"/>
  <c r="D18825" i="1"/>
  <c r="B18825" i="1"/>
  <c r="A18825" i="1"/>
  <c r="D18823" i="1"/>
  <c r="B18823" i="1"/>
  <c r="A18823" i="1"/>
  <c r="D18820" i="1"/>
  <c r="A18820" i="1"/>
  <c r="D18821" i="1"/>
  <c r="B18821" i="1"/>
  <c r="A18821" i="1"/>
  <c r="D18824" i="1"/>
  <c r="A18824" i="1"/>
  <c r="D18822" i="1"/>
  <c r="B18822" i="1"/>
  <c r="A18822" i="1"/>
  <c r="D18819" i="1"/>
  <c r="B18819" i="1"/>
  <c r="A18819" i="1"/>
  <c r="D18818" i="1"/>
  <c r="B18818" i="1"/>
  <c r="A18818" i="1"/>
  <c r="D18817" i="1"/>
  <c r="C18817" i="1"/>
  <c r="B18817" i="1"/>
  <c r="A18817" i="1"/>
  <c r="D6158" i="1"/>
  <c r="B6158" i="1"/>
  <c r="A6158" i="1"/>
  <c r="D12606" i="1"/>
  <c r="B12606" i="1"/>
  <c r="A12606" i="1"/>
  <c r="D6723" i="1"/>
  <c r="A6723" i="1"/>
  <c r="D6941" i="1"/>
  <c r="B6941" i="1"/>
  <c r="A6941" i="1"/>
  <c r="D6884" i="1"/>
  <c r="B6884" i="1"/>
  <c r="A6884" i="1"/>
  <c r="D18188" i="1"/>
  <c r="A18188" i="1"/>
  <c r="D10084" i="1"/>
  <c r="A10084" i="1"/>
  <c r="D16201" i="1"/>
  <c r="A16201" i="1"/>
  <c r="D17771" i="1"/>
  <c r="B17771" i="1"/>
  <c r="A17771" i="1"/>
  <c r="D6987" i="1"/>
  <c r="B6987" i="1"/>
  <c r="A6987" i="1"/>
  <c r="D10713" i="1"/>
  <c r="A10713" i="1"/>
  <c r="D9183" i="1"/>
  <c r="B9183" i="1"/>
  <c r="A9183" i="1"/>
  <c r="D7708" i="1"/>
  <c r="B7708" i="1"/>
  <c r="A7708" i="1"/>
  <c r="D5521" i="1"/>
  <c r="A5521" i="1"/>
  <c r="D5708" i="1"/>
  <c r="A5708" i="1"/>
  <c r="D9160" i="1"/>
  <c r="B9160" i="1"/>
  <c r="A9160" i="1"/>
  <c r="D9308" i="1"/>
  <c r="B9308" i="1"/>
  <c r="A9308" i="1"/>
  <c r="D10002" i="1"/>
  <c r="B10002" i="1"/>
  <c r="A10002" i="1"/>
  <c r="D17921" i="1"/>
  <c r="B17921" i="1"/>
  <c r="A17921" i="1"/>
  <c r="D18214" i="1"/>
  <c r="A18214" i="1"/>
  <c r="D10238" i="1"/>
  <c r="A10238" i="1"/>
  <c r="D15436" i="1"/>
  <c r="B15436" i="1"/>
  <c r="A15436" i="1"/>
  <c r="D14982" i="1"/>
  <c r="B14982" i="1"/>
  <c r="A14982" i="1"/>
  <c r="D15280" i="1"/>
  <c r="B15280" i="1"/>
  <c r="A15280" i="1"/>
  <c r="D15866" i="1"/>
  <c r="B15866" i="1"/>
  <c r="A15866" i="1"/>
  <c r="D9784" i="1"/>
  <c r="B9784" i="1"/>
  <c r="A9784" i="1"/>
  <c r="D15109" i="1"/>
  <c r="B15109" i="1"/>
  <c r="A15109" i="1"/>
  <c r="D5782" i="1"/>
  <c r="A5782" i="1"/>
  <c r="D9187" i="1"/>
  <c r="B9187" i="1"/>
  <c r="A9187" i="1"/>
  <c r="D9737" i="1"/>
  <c r="A9737" i="1"/>
  <c r="D15620" i="1"/>
  <c r="A15620" i="1"/>
  <c r="D10842" i="1"/>
  <c r="B10842" i="1"/>
  <c r="A10842" i="1"/>
  <c r="D16938" i="1"/>
  <c r="A16938" i="1"/>
  <c r="D15750" i="1"/>
  <c r="B15750" i="1"/>
  <c r="A15750" i="1"/>
  <c r="D5435" i="1"/>
  <c r="A5435" i="1"/>
  <c r="D5547" i="1"/>
  <c r="A5547" i="1"/>
  <c r="D6703" i="1"/>
  <c r="A6703" i="1"/>
  <c r="D10362" i="1"/>
  <c r="B10362" i="1"/>
  <c r="A10362" i="1"/>
  <c r="D12772" i="1"/>
  <c r="B12772" i="1"/>
  <c r="A12772" i="1"/>
  <c r="D13743" i="1"/>
  <c r="B13743" i="1"/>
  <c r="A13743" i="1"/>
  <c r="D17307" i="1"/>
  <c r="A17307" i="1"/>
  <c r="D7293" i="1"/>
  <c r="B7293" i="1"/>
  <c r="A7293" i="1"/>
  <c r="D12828" i="1"/>
  <c r="B12828" i="1"/>
  <c r="A12828" i="1"/>
  <c r="D12242" i="1"/>
  <c r="B12242" i="1"/>
  <c r="A12242" i="1"/>
  <c r="D11712" i="1"/>
  <c r="B11712" i="1"/>
  <c r="A11712" i="1"/>
  <c r="D17982" i="1"/>
  <c r="B17982" i="1"/>
  <c r="A17982" i="1"/>
  <c r="D7116" i="1"/>
  <c r="B7116" i="1"/>
  <c r="A7116" i="1"/>
  <c r="D6266" i="1"/>
  <c r="B6266" i="1"/>
  <c r="A6266" i="1"/>
  <c r="D7869" i="1"/>
  <c r="B7869" i="1"/>
  <c r="A7869" i="1"/>
  <c r="D9772" i="1"/>
  <c r="A9772" i="1"/>
  <c r="D17434" i="1"/>
  <c r="A17434" i="1"/>
  <c r="D8135" i="1"/>
  <c r="B8135" i="1"/>
  <c r="A8135" i="1"/>
  <c r="D15634" i="1"/>
  <c r="B15634" i="1"/>
  <c r="A15634" i="1"/>
  <c r="D8747" i="1"/>
  <c r="A8747" i="1"/>
  <c r="D15661" i="1"/>
  <c r="B15661" i="1"/>
  <c r="A15661" i="1"/>
  <c r="D10160" i="1"/>
  <c r="A10160" i="1"/>
  <c r="D6817" i="1"/>
  <c r="A6817" i="1"/>
  <c r="D9269" i="1"/>
  <c r="B9269" i="1"/>
  <c r="A9269" i="1"/>
  <c r="D5363" i="1"/>
  <c r="A5363" i="1"/>
  <c r="D11368" i="1"/>
  <c r="B11368" i="1"/>
  <c r="A11368" i="1"/>
  <c r="D6382" i="1"/>
  <c r="A6382" i="1"/>
  <c r="D13875" i="1"/>
  <c r="A13875" i="1"/>
  <c r="D9307" i="1"/>
  <c r="A9307" i="1"/>
  <c r="D10727" i="1"/>
  <c r="B10727" i="1"/>
  <c r="A10727" i="1"/>
  <c r="D15883" i="1"/>
  <c r="B15883" i="1"/>
  <c r="A15883" i="1"/>
  <c r="D9065" i="1"/>
  <c r="B9065" i="1"/>
  <c r="A9065" i="1"/>
  <c r="D10710" i="1"/>
  <c r="A10710" i="1"/>
  <c r="D13259" i="1"/>
  <c r="B13259" i="1"/>
  <c r="A13259" i="1"/>
  <c r="D11391" i="1"/>
  <c r="C11391" i="1"/>
  <c r="B11391" i="1"/>
  <c r="A11391" i="1"/>
  <c r="D8361" i="1"/>
  <c r="B8361" i="1"/>
  <c r="A8361" i="1"/>
  <c r="D7489" i="1"/>
  <c r="B7489" i="1"/>
  <c r="A7489" i="1"/>
  <c r="D6305" i="1"/>
  <c r="A6305" i="1"/>
  <c r="D18133" i="1"/>
  <c r="A18133" i="1"/>
  <c r="D12135" i="1"/>
  <c r="B12135" i="1"/>
  <c r="A12135" i="1"/>
  <c r="D8073" i="1"/>
  <c r="A8073" i="1"/>
  <c r="D5644" i="1"/>
  <c r="A5644" i="1"/>
  <c r="D8100" i="1"/>
  <c r="B8100" i="1"/>
  <c r="A8100" i="1"/>
  <c r="D10979" i="1"/>
  <c r="B10979" i="1"/>
  <c r="A10979" i="1"/>
  <c r="D11392" i="1"/>
  <c r="C11392" i="1"/>
  <c r="B11392" i="1"/>
  <c r="A11392" i="1"/>
  <c r="D17595" i="1"/>
  <c r="B17595" i="1"/>
  <c r="A17595" i="1"/>
  <c r="D17401" i="1"/>
  <c r="B17401" i="1"/>
  <c r="A17401" i="1"/>
  <c r="D17183" i="1"/>
  <c r="B17183" i="1"/>
  <c r="A17183" i="1"/>
  <c r="D8108" i="1"/>
  <c r="B8108" i="1"/>
  <c r="A8108" i="1"/>
  <c r="D7315" i="1"/>
  <c r="B7315" i="1"/>
  <c r="A7315" i="1"/>
  <c r="D17456" i="1"/>
  <c r="A17456" i="1"/>
  <c r="D11853" i="1"/>
  <c r="A11853" i="1"/>
  <c r="D10070" i="1"/>
  <c r="A10070" i="1"/>
  <c r="D10767" i="1"/>
  <c r="A10767" i="1"/>
  <c r="D11439" i="1"/>
  <c r="B11439" i="1"/>
  <c r="A11439" i="1"/>
  <c r="D10852" i="1"/>
  <c r="A10852" i="1"/>
  <c r="D10843" i="1"/>
  <c r="B10843" i="1"/>
  <c r="A10843" i="1"/>
  <c r="D9168" i="1"/>
  <c r="A9168" i="1"/>
  <c r="D18438" i="1"/>
  <c r="A18438" i="1"/>
  <c r="D14054" i="1"/>
  <c r="A14054" i="1"/>
  <c r="D5402" i="1"/>
  <c r="A5402" i="1"/>
  <c r="D17128" i="1"/>
  <c r="A17128" i="1"/>
  <c r="D16335" i="1"/>
  <c r="B16335" i="1"/>
  <c r="A16335" i="1"/>
  <c r="D9867" i="1"/>
  <c r="A9867" i="1"/>
  <c r="D6879" i="1"/>
  <c r="A6879" i="1"/>
  <c r="D17863" i="1"/>
  <c r="B17863" i="1"/>
  <c r="A17863" i="1"/>
  <c r="D5454" i="1"/>
  <c r="A5454" i="1"/>
  <c r="D6075" i="1"/>
  <c r="A6075" i="1"/>
  <c r="D15385" i="1"/>
  <c r="B15385" i="1"/>
  <c r="A15385" i="1"/>
  <c r="D17754" i="1"/>
  <c r="A17754" i="1"/>
  <c r="D12483" i="1"/>
  <c r="A12483" i="1"/>
  <c r="D13912" i="1"/>
  <c r="A13912" i="1"/>
  <c r="D7654" i="1"/>
  <c r="B7654" i="1"/>
  <c r="A7654" i="1"/>
  <c r="D8142" i="1"/>
  <c r="B8142" i="1"/>
  <c r="A8142" i="1"/>
  <c r="D10689" i="1"/>
  <c r="A10689" i="1"/>
  <c r="D9511" i="1"/>
  <c r="B9511" i="1"/>
  <c r="A9511" i="1"/>
  <c r="D10881" i="1"/>
  <c r="B10881" i="1"/>
  <c r="A10881" i="1"/>
  <c r="D15721" i="1"/>
  <c r="A15721" i="1"/>
  <c r="D15751" i="1"/>
  <c r="B15751" i="1"/>
  <c r="A15751" i="1"/>
  <c r="D5632" i="1"/>
  <c r="A5632" i="1"/>
  <c r="D5619" i="1"/>
  <c r="A5619" i="1"/>
  <c r="D16310" i="1"/>
  <c r="B16310" i="1"/>
  <c r="A16310" i="1"/>
  <c r="D16975" i="1"/>
  <c r="A16975" i="1"/>
  <c r="D15405" i="1"/>
  <c r="A15405" i="1"/>
  <c r="D11484" i="1"/>
  <c r="A11484" i="1"/>
  <c r="D12608" i="1"/>
  <c r="A12608" i="1"/>
  <c r="D12106" i="1"/>
  <c r="A12106" i="1"/>
  <c r="D7022" i="1"/>
  <c r="B7022" i="1"/>
  <c r="A7022" i="1"/>
  <c r="D17994" i="1"/>
  <c r="A17994" i="1"/>
  <c r="D6684" i="1"/>
  <c r="A6684" i="1"/>
  <c r="D10686" i="1"/>
  <c r="A10686" i="1"/>
  <c r="D6133" i="1"/>
  <c r="B6133" i="1"/>
  <c r="A6133" i="1"/>
  <c r="D9988" i="1"/>
  <c r="B9988" i="1"/>
  <c r="A9988" i="1"/>
  <c r="D6270" i="1"/>
  <c r="A6270" i="1"/>
  <c r="D7721" i="1"/>
  <c r="A7721" i="1"/>
  <c r="D14147" i="1"/>
  <c r="A14147" i="1"/>
  <c r="D18362" i="1"/>
  <c r="A18362" i="1"/>
  <c r="D9976" i="1"/>
  <c r="B9976" i="1"/>
  <c r="A9976" i="1"/>
  <c r="D16417" i="1"/>
  <c r="B16417" i="1"/>
  <c r="A16417" i="1"/>
  <c r="D10275" i="1"/>
  <c r="A10275" i="1"/>
  <c r="D17671" i="1"/>
  <c r="B17671" i="1"/>
  <c r="A17671" i="1"/>
  <c r="D8101" i="1"/>
  <c r="B8101" i="1"/>
  <c r="A8101" i="1"/>
  <c r="D17637" i="1"/>
  <c r="B17637" i="1"/>
  <c r="A17637" i="1"/>
  <c r="D17110" i="1"/>
  <c r="B17110" i="1"/>
  <c r="A17110" i="1"/>
  <c r="D17912" i="1"/>
  <c r="B17912" i="1"/>
  <c r="A17912" i="1"/>
  <c r="D9939" i="1"/>
  <c r="B9939" i="1"/>
  <c r="A9939" i="1"/>
  <c r="D7299" i="1"/>
  <c r="A7299" i="1"/>
  <c r="D7744" i="1"/>
  <c r="A7744" i="1"/>
  <c r="D15500" i="1"/>
  <c r="B15500" i="1"/>
  <c r="A15500" i="1"/>
  <c r="D6716" i="1"/>
  <c r="B6716" i="1"/>
  <c r="A6716" i="1"/>
  <c r="D7271" i="1"/>
  <c r="A7271" i="1"/>
  <c r="D15164" i="1"/>
  <c r="B15164" i="1"/>
  <c r="A15164" i="1"/>
  <c r="D5908" i="1"/>
  <c r="B5908" i="1"/>
  <c r="A5908" i="1"/>
  <c r="D13672" i="1"/>
  <c r="B13672" i="1"/>
  <c r="A13672" i="1"/>
  <c r="D13579" i="1"/>
  <c r="B13579" i="1"/>
  <c r="A13579" i="1"/>
  <c r="D16566" i="1"/>
  <c r="C16566" i="1"/>
  <c r="B16566" i="1"/>
  <c r="A16566" i="1"/>
  <c r="D9143" i="1"/>
  <c r="B9143" i="1"/>
  <c r="A9143" i="1"/>
  <c r="D13573" i="1"/>
  <c r="B13573" i="1"/>
  <c r="A13573" i="1"/>
  <c r="D12891" i="1"/>
  <c r="A12891" i="1"/>
  <c r="D5685" i="1"/>
  <c r="A5685" i="1"/>
  <c r="D9339" i="1"/>
  <c r="B9339" i="1"/>
  <c r="A9339" i="1"/>
  <c r="D7423" i="1"/>
  <c r="B7423" i="1"/>
  <c r="A7423" i="1"/>
  <c r="D17035" i="1"/>
  <c r="B17035" i="1"/>
  <c r="A17035" i="1"/>
  <c r="D14001" i="1"/>
  <c r="A14001" i="1"/>
  <c r="D9364" i="1"/>
  <c r="B9364" i="1"/>
  <c r="A9364" i="1"/>
  <c r="D6234" i="1"/>
  <c r="B6234" i="1"/>
  <c r="A6234" i="1"/>
  <c r="D12745" i="1"/>
  <c r="B12745" i="1"/>
  <c r="A12745" i="1"/>
  <c r="D5662" i="1"/>
  <c r="A5662" i="1"/>
  <c r="D9738" i="1"/>
  <c r="A9738" i="1"/>
  <c r="D9437" i="1"/>
  <c r="B9437" i="1"/>
  <c r="A9437" i="1"/>
  <c r="D8749" i="1"/>
  <c r="B8749" i="1"/>
  <c r="A8749" i="1"/>
  <c r="D5515" i="1"/>
  <c r="A5515" i="1"/>
  <c r="D6258" i="1"/>
  <c r="B6258" i="1"/>
  <c r="A6258" i="1"/>
  <c r="D14801" i="1"/>
  <c r="B14801" i="1"/>
  <c r="A14801" i="1"/>
  <c r="D9623" i="1"/>
  <c r="A9623" i="1"/>
  <c r="D18319" i="1"/>
  <c r="A18319" i="1"/>
  <c r="D8922" i="1"/>
  <c r="A8922" i="1"/>
  <c r="D18046" i="1"/>
  <c r="B18046" i="1"/>
  <c r="A18046" i="1"/>
  <c r="D10248" i="1"/>
  <c r="A10248" i="1"/>
  <c r="D11106" i="1"/>
  <c r="B11106" i="1"/>
  <c r="A11106" i="1"/>
  <c r="D11848" i="1"/>
  <c r="B11848" i="1"/>
  <c r="A11848" i="1"/>
  <c r="D8021" i="1"/>
  <c r="B8021" i="1"/>
  <c r="A8021" i="1"/>
  <c r="D6404" i="1"/>
  <c r="A6404" i="1"/>
  <c r="D12086" i="1"/>
  <c r="A12086" i="1"/>
  <c r="D7366" i="1"/>
  <c r="B7366" i="1"/>
  <c r="A7366" i="1"/>
  <c r="D18115" i="1"/>
  <c r="A18115" i="1"/>
  <c r="D6880" i="1"/>
  <c r="A6880" i="1"/>
  <c r="D18095" i="1"/>
  <c r="B18095" i="1"/>
  <c r="A18095" i="1"/>
  <c r="D15962" i="1"/>
  <c r="B15962" i="1"/>
  <c r="A15962" i="1"/>
  <c r="D8748" i="1"/>
  <c r="B8748" i="1"/>
  <c r="A8748" i="1"/>
  <c r="D15320" i="1"/>
  <c r="A15320" i="1"/>
  <c r="D15283" i="1"/>
  <c r="B15283" i="1"/>
  <c r="A15283" i="1"/>
  <c r="D15915" i="1"/>
  <c r="A15915" i="1"/>
  <c r="D10234" i="1"/>
  <c r="B10234" i="1"/>
  <c r="A10234" i="1"/>
  <c r="D17455" i="1"/>
  <c r="A17455" i="1"/>
  <c r="D18786" i="1"/>
  <c r="B18786" i="1"/>
  <c r="A18786" i="1"/>
  <c r="D7015" i="1"/>
  <c r="A7015" i="1"/>
  <c r="D8114" i="1"/>
  <c r="A8114" i="1"/>
  <c r="D14448" i="1"/>
  <c r="B14448" i="1"/>
  <c r="A14448" i="1"/>
  <c r="D5498" i="1"/>
  <c r="A5498" i="1"/>
  <c r="D10551" i="1"/>
  <c r="A10551" i="1"/>
  <c r="D15501" i="1"/>
  <c r="B15501" i="1"/>
  <c r="A15501" i="1"/>
  <c r="D10912" i="1"/>
  <c r="B10912" i="1"/>
  <c r="A10912" i="1"/>
  <c r="D14119" i="1"/>
  <c r="B14119" i="1"/>
  <c r="A14119" i="1"/>
  <c r="D7706" i="1"/>
  <c r="B7706" i="1"/>
  <c r="A7706" i="1"/>
  <c r="D12647" i="1"/>
  <c r="A12647" i="1"/>
  <c r="D6377" i="1"/>
  <c r="B6377" i="1"/>
  <c r="A6377" i="1"/>
  <c r="D6395" i="1"/>
  <c r="B6395" i="1"/>
  <c r="A6395" i="1"/>
  <c r="D12092" i="1"/>
  <c r="B12092" i="1"/>
  <c r="A12092" i="1"/>
  <c r="D10532" i="1"/>
  <c r="B10532" i="1"/>
  <c r="A10532" i="1"/>
  <c r="D8251" i="1"/>
  <c r="B8251" i="1"/>
  <c r="A8251" i="1"/>
  <c r="D14773" i="1"/>
  <c r="B14773" i="1"/>
  <c r="A14773" i="1"/>
  <c r="D16423" i="1"/>
  <c r="B16423" i="1"/>
  <c r="A16423" i="1"/>
  <c r="D12063" i="1"/>
  <c r="A12063" i="1"/>
  <c r="D12001" i="1"/>
  <c r="B12001" i="1"/>
  <c r="A12001" i="1"/>
  <c r="D12490" i="1"/>
  <c r="A12490" i="1"/>
  <c r="D12434" i="1"/>
  <c r="A12434" i="1"/>
  <c r="D6050" i="1"/>
  <c r="A6050" i="1"/>
  <c r="D7612" i="1"/>
  <c r="A7612" i="1"/>
  <c r="D9759" i="1"/>
  <c r="A9759" i="1"/>
  <c r="D18097" i="1"/>
  <c r="A18097" i="1"/>
  <c r="D8132" i="1"/>
  <c r="B8132" i="1"/>
  <c r="A8132" i="1"/>
  <c r="D11864" i="1"/>
  <c r="A11864" i="1"/>
  <c r="D15793" i="1"/>
  <c r="B15793" i="1"/>
  <c r="A15793" i="1"/>
  <c r="D16056" i="1"/>
  <c r="A16056" i="1"/>
  <c r="D6504" i="1"/>
  <c r="A6504" i="1"/>
  <c r="D10588" i="1"/>
  <c r="A10588" i="1"/>
  <c r="D5686" i="1"/>
  <c r="A5686" i="1"/>
  <c r="D18670" i="1"/>
  <c r="A18670" i="1"/>
  <c r="D14862" i="1"/>
  <c r="B14862" i="1"/>
  <c r="A14862" i="1"/>
  <c r="D10194" i="1"/>
  <c r="A10194" i="1"/>
  <c r="D9785" i="1"/>
  <c r="A9785" i="1"/>
  <c r="D5418" i="1"/>
  <c r="A5418" i="1"/>
  <c r="D16954" i="1"/>
  <c r="B16954" i="1"/>
  <c r="A16954" i="1"/>
  <c r="D5327" i="1"/>
  <c r="A5327" i="1"/>
  <c r="D9915" i="1"/>
  <c r="A9915" i="1"/>
  <c r="D13918" i="1"/>
  <c r="B13918" i="1"/>
  <c r="A13918" i="1"/>
  <c r="D10782" i="1"/>
  <c r="A10782" i="1"/>
  <c r="D11765" i="1"/>
  <c r="B11765" i="1"/>
  <c r="A11765" i="1"/>
  <c r="D6918" i="1"/>
  <c r="B6918" i="1"/>
  <c r="A6918" i="1"/>
  <c r="D9174" i="1"/>
  <c r="A9174" i="1"/>
  <c r="D6988" i="1"/>
  <c r="A6988" i="1"/>
  <c r="D9797" i="1"/>
  <c r="B9797" i="1"/>
  <c r="A9797" i="1"/>
  <c r="D6853" i="1"/>
  <c r="A6853" i="1"/>
  <c r="D13566" i="1"/>
  <c r="B13566" i="1"/>
  <c r="A13566" i="1"/>
  <c r="D10291" i="1"/>
  <c r="A10291" i="1"/>
  <c r="D8063" i="1"/>
  <c r="B8063" i="1"/>
  <c r="A8063" i="1"/>
  <c r="D16161" i="1"/>
  <c r="B16161" i="1"/>
  <c r="A16161" i="1"/>
  <c r="D18515" i="1"/>
  <c r="A18515" i="1"/>
  <c r="D7303" i="1"/>
  <c r="A7303" i="1"/>
  <c r="D9417" i="1"/>
  <c r="B9417" i="1"/>
  <c r="A9417" i="1"/>
  <c r="D12066" i="1"/>
  <c r="A12066" i="1"/>
  <c r="D11928" i="1"/>
  <c r="A11928" i="1"/>
  <c r="D5737" i="1"/>
  <c r="A5737" i="1"/>
  <c r="D18146" i="1"/>
  <c r="A18146" i="1"/>
  <c r="D5779" i="1"/>
  <c r="A5779" i="1"/>
  <c r="D15029" i="1"/>
  <c r="B15029" i="1"/>
  <c r="A15029" i="1"/>
  <c r="D18053" i="1"/>
  <c r="B18053" i="1"/>
  <c r="A18053" i="1"/>
  <c r="D17313" i="1"/>
  <c r="B17313" i="1"/>
  <c r="A17313" i="1"/>
  <c r="D5471" i="1"/>
  <c r="A5471" i="1"/>
  <c r="D16200" i="1"/>
  <c r="A16200" i="1"/>
  <c r="D14130" i="1"/>
  <c r="A14130" i="1"/>
  <c r="D6894" i="1"/>
  <c r="A6894" i="1"/>
  <c r="D14519" i="1"/>
  <c r="B14519" i="1"/>
  <c r="A14519" i="1"/>
  <c r="D12693" i="1"/>
  <c r="A12693" i="1"/>
  <c r="D10621" i="1"/>
  <c r="B10621" i="1"/>
  <c r="A10621" i="1"/>
  <c r="D15916" i="1"/>
  <c r="A15916" i="1"/>
  <c r="D12128" i="1"/>
  <c r="A12128" i="1"/>
  <c r="D14612" i="1"/>
  <c r="A14612" i="1"/>
  <c r="D14651" i="1"/>
  <c r="A14651" i="1"/>
  <c r="D6888" i="1"/>
  <c r="A6888" i="1"/>
  <c r="D14455" i="1"/>
  <c r="B14455" i="1"/>
  <c r="A14455" i="1"/>
  <c r="D7685" i="1"/>
  <c r="A7685" i="1"/>
  <c r="D11844" i="1"/>
  <c r="A11844" i="1"/>
  <c r="D9062" i="1"/>
  <c r="A9062" i="1"/>
  <c r="D9544" i="1"/>
  <c r="A9544" i="1"/>
  <c r="D9629" i="1"/>
  <c r="A9629" i="1"/>
  <c r="D18195" i="1"/>
  <c r="A18195" i="1"/>
  <c r="D5357" i="1"/>
  <c r="A5357" i="1"/>
  <c r="D5412" i="1"/>
  <c r="A5412" i="1"/>
  <c r="D17124" i="1"/>
  <c r="B17124" i="1"/>
  <c r="A17124" i="1"/>
  <c r="D5480" i="1"/>
  <c r="A5480" i="1"/>
  <c r="D12424" i="1"/>
  <c r="A12424" i="1"/>
  <c r="D14888" i="1"/>
  <c r="B14888" i="1"/>
  <c r="A14888" i="1"/>
  <c r="D6640" i="1"/>
  <c r="B6640" i="1"/>
  <c r="A6640" i="1"/>
  <c r="D16318" i="1"/>
  <c r="A16318" i="1"/>
  <c r="D9470" i="1"/>
  <c r="B9470" i="1"/>
  <c r="A9470" i="1"/>
  <c r="D11492" i="1"/>
  <c r="B11492" i="1"/>
  <c r="A11492" i="1"/>
  <c r="D18019" i="1"/>
  <c r="A18019" i="1"/>
  <c r="D17410" i="1"/>
  <c r="B17410" i="1"/>
  <c r="A17410" i="1"/>
  <c r="D14923" i="1"/>
  <c r="B14923" i="1"/>
  <c r="A14923" i="1"/>
  <c r="D12442" i="1"/>
  <c r="A12442" i="1"/>
  <c r="D17321" i="1"/>
  <c r="B17321" i="1"/>
  <c r="A17321" i="1"/>
  <c r="D14031" i="1"/>
  <c r="B14031" i="1"/>
  <c r="A14031" i="1"/>
  <c r="D10365" i="1"/>
  <c r="A10365" i="1"/>
  <c r="D14941" i="1"/>
  <c r="B14941" i="1"/>
  <c r="A14941" i="1"/>
  <c r="D7613" i="1"/>
  <c r="A7613" i="1"/>
  <c r="D11930" i="1"/>
  <c r="A11930" i="1"/>
  <c r="D15610" i="1"/>
  <c r="A15610" i="1"/>
  <c r="D6208" i="1"/>
  <c r="A6208" i="1"/>
  <c r="D16108" i="1"/>
  <c r="A16108" i="1"/>
  <c r="D14056" i="1"/>
  <c r="A14056" i="1"/>
  <c r="D7402" i="1"/>
  <c r="A7402" i="1"/>
  <c r="D9010" i="1"/>
  <c r="A9010" i="1"/>
  <c r="D8123" i="1"/>
  <c r="A8123" i="1"/>
  <c r="D10951" i="1"/>
  <c r="B10951" i="1"/>
  <c r="A10951" i="1"/>
  <c r="D8211" i="1"/>
  <c r="B8211" i="1"/>
  <c r="A8211" i="1"/>
  <c r="D8983" i="1"/>
  <c r="B8983" i="1"/>
  <c r="A8983" i="1"/>
  <c r="D6624" i="1"/>
  <c r="B6624" i="1"/>
  <c r="A6624" i="1"/>
  <c r="D17010" i="1"/>
  <c r="B17010" i="1"/>
  <c r="A17010" i="1"/>
  <c r="D10553" i="1"/>
  <c r="A10553" i="1"/>
  <c r="D15290" i="1"/>
  <c r="B15290" i="1"/>
  <c r="A15290" i="1"/>
  <c r="D6949" i="1"/>
  <c r="A6949" i="1"/>
  <c r="D16463" i="1"/>
  <c r="B16463" i="1"/>
  <c r="A16463" i="1"/>
  <c r="D7321" i="1"/>
  <c r="A7321" i="1"/>
  <c r="D15253" i="1"/>
  <c r="B15253" i="1"/>
  <c r="A15253" i="1"/>
  <c r="D7474" i="1"/>
  <c r="B7474" i="1"/>
  <c r="A7474" i="1"/>
  <c r="D8131" i="1"/>
  <c r="B8131" i="1"/>
  <c r="A8131" i="1"/>
  <c r="D15549" i="1"/>
  <c r="B15549" i="1"/>
  <c r="A15549" i="1"/>
  <c r="D5365" i="1"/>
  <c r="A5365" i="1"/>
  <c r="D14952" i="1"/>
  <c r="B14952" i="1"/>
  <c r="A14952" i="1"/>
  <c r="D18352" i="1"/>
  <c r="B18352" i="1"/>
  <c r="A18352" i="1"/>
  <c r="D12065" i="1"/>
  <c r="A12065" i="1"/>
  <c r="D11986" i="1"/>
  <c r="B11986" i="1"/>
  <c r="A11986" i="1"/>
  <c r="D18293" i="1"/>
  <c r="B18293" i="1"/>
  <c r="A18293" i="1"/>
  <c r="D11372" i="1"/>
  <c r="B11372" i="1"/>
  <c r="A11372" i="1"/>
  <c r="D12428" i="1"/>
  <c r="A12428" i="1"/>
  <c r="D16867" i="1"/>
  <c r="C16867" i="1"/>
  <c r="B16867" i="1"/>
  <c r="A16867" i="1"/>
  <c r="D9850" i="1"/>
  <c r="A9850" i="1"/>
  <c r="D18582" i="1"/>
  <c r="A18582" i="1"/>
  <c r="D13100" i="1"/>
  <c r="B13100" i="1"/>
  <c r="A13100" i="1"/>
  <c r="D17460" i="1"/>
  <c r="B17460" i="1"/>
  <c r="A17460" i="1"/>
  <c r="D18658" i="1"/>
  <c r="A18658" i="1"/>
  <c r="D12096" i="1"/>
  <c r="B12096" i="1"/>
  <c r="A12096" i="1"/>
  <c r="D10729" i="1"/>
  <c r="A10729" i="1"/>
  <c r="D6212" i="1"/>
  <c r="A6212" i="1"/>
  <c r="D9457" i="1"/>
  <c r="B9457" i="1"/>
  <c r="A9457" i="1"/>
  <c r="D8617" i="1"/>
  <c r="A8617" i="1"/>
  <c r="D6954" i="1"/>
  <c r="B6954" i="1"/>
  <c r="A6954" i="1"/>
  <c r="D15261" i="1"/>
  <c r="B15261" i="1"/>
  <c r="A15261" i="1"/>
  <c r="D10787" i="1"/>
  <c r="A10787" i="1"/>
  <c r="D5646" i="1"/>
  <c r="A5646" i="1"/>
  <c r="D8022" i="1"/>
  <c r="B8022" i="1"/>
  <c r="A8022" i="1"/>
  <c r="D5354" i="1"/>
  <c r="A5354" i="1"/>
  <c r="D6930" i="1"/>
  <c r="A6930" i="1"/>
  <c r="D17441" i="1"/>
  <c r="B17441" i="1"/>
  <c r="A17441" i="1"/>
  <c r="D9515" i="1"/>
  <c r="B9515" i="1"/>
  <c r="A9515" i="1"/>
  <c r="D9608" i="1"/>
  <c r="A9608" i="1"/>
  <c r="D6327" i="1"/>
  <c r="A6327" i="1"/>
  <c r="D18129" i="1"/>
  <c r="B18129" i="1"/>
  <c r="A18129" i="1"/>
  <c r="D15225" i="1"/>
  <c r="B15225" i="1"/>
  <c r="A15225" i="1"/>
  <c r="D15020" i="1"/>
  <c r="A15020" i="1"/>
  <c r="D10038" i="1"/>
  <c r="B10038" i="1"/>
  <c r="A10038" i="1"/>
  <c r="D9084" i="1"/>
  <c r="A9084" i="1"/>
  <c r="D11571" i="1"/>
  <c r="C11571" i="1"/>
  <c r="B11571" i="1"/>
  <c r="A11571" i="1"/>
  <c r="D12449" i="1"/>
  <c r="A12449" i="1"/>
  <c r="D5811" i="1"/>
  <c r="A5811" i="1"/>
  <c r="D5727" i="1"/>
  <c r="A5727" i="1"/>
  <c r="D5398" i="1"/>
  <c r="A5398" i="1"/>
  <c r="D5516" i="1"/>
  <c r="A5516" i="1"/>
  <c r="D18671" i="1"/>
  <c r="A18671" i="1"/>
  <c r="D9180" i="1"/>
  <c r="A9180" i="1"/>
  <c r="D10598" i="1"/>
  <c r="A10598" i="1"/>
  <c r="D17924" i="1"/>
  <c r="A17924" i="1"/>
  <c r="D17640" i="1"/>
  <c r="A17640" i="1"/>
  <c r="D18086" i="1"/>
  <c r="A18086" i="1"/>
  <c r="D6842" i="1"/>
  <c r="A6842" i="1"/>
  <c r="D16966" i="1"/>
  <c r="B16966" i="1"/>
  <c r="A16966" i="1"/>
  <c r="D9947" i="1"/>
  <c r="A9947" i="1"/>
  <c r="D15625" i="1"/>
  <c r="A15625" i="1"/>
  <c r="D7917" i="1"/>
  <c r="A7917" i="1"/>
  <c r="D15191" i="1"/>
  <c r="B15191" i="1"/>
  <c r="A15191" i="1"/>
  <c r="D11800" i="1"/>
  <c r="A11800" i="1"/>
  <c r="D7154" i="1"/>
  <c r="A7154" i="1"/>
  <c r="D14260" i="1"/>
  <c r="A14260" i="1"/>
  <c r="D13936" i="1"/>
  <c r="A13936" i="1"/>
  <c r="D11976" i="1"/>
  <c r="A11976" i="1"/>
  <c r="D11736" i="1"/>
  <c r="B11736" i="1"/>
  <c r="A11736" i="1"/>
  <c r="D9301" i="1"/>
  <c r="B9301" i="1"/>
  <c r="A9301" i="1"/>
  <c r="D15193" i="1"/>
  <c r="B15193" i="1"/>
  <c r="A15193" i="1"/>
  <c r="D7140" i="1"/>
  <c r="B7140" i="1"/>
  <c r="A7140" i="1"/>
  <c r="D17601" i="1"/>
  <c r="A17601" i="1"/>
  <c r="D15018" i="1"/>
  <c r="B15018" i="1"/>
  <c r="A15018" i="1"/>
  <c r="D14903" i="1"/>
  <c r="B14903" i="1"/>
  <c r="A14903" i="1"/>
  <c r="D7232" i="1"/>
  <c r="B7232" i="1"/>
  <c r="A7232" i="1"/>
  <c r="D8731" i="1"/>
  <c r="B8731" i="1"/>
  <c r="A8731" i="1"/>
  <c r="D17023" i="1"/>
  <c r="B17023" i="1"/>
  <c r="A17023" i="1"/>
  <c r="D18765" i="1"/>
  <c r="B18765" i="1"/>
  <c r="A18765" i="1"/>
  <c r="D17015" i="1"/>
  <c r="B17015" i="1"/>
  <c r="A17015" i="1"/>
  <c r="D12695" i="1"/>
  <c r="B12695" i="1"/>
  <c r="A12695" i="1"/>
  <c r="D7954" i="1"/>
  <c r="B7954" i="1"/>
  <c r="A7954" i="1"/>
  <c r="D6962" i="1"/>
  <c r="A6962" i="1"/>
  <c r="D11793" i="1"/>
  <c r="B11793" i="1"/>
  <c r="A11793" i="1"/>
  <c r="D15019" i="1"/>
  <c r="B15019" i="1"/>
  <c r="A15019" i="1"/>
  <c r="D13457" i="1"/>
  <c r="B13457" i="1"/>
  <c r="A13457" i="1"/>
  <c r="D18674" i="1"/>
  <c r="A18674" i="1"/>
  <c r="D17235" i="1"/>
  <c r="B17235" i="1"/>
  <c r="A17235" i="1"/>
  <c r="D16220" i="1"/>
  <c r="B16220" i="1"/>
  <c r="A16220" i="1"/>
  <c r="D10602" i="1"/>
  <c r="B10602" i="1"/>
  <c r="A10602" i="1"/>
  <c r="D15738" i="1"/>
  <c r="B15738" i="1"/>
  <c r="A15738" i="1"/>
  <c r="D7218" i="1"/>
  <c r="B7218" i="1"/>
  <c r="A7218" i="1"/>
  <c r="D9393" i="1"/>
  <c r="B9393" i="1"/>
  <c r="A9393" i="1"/>
  <c r="D11852" i="1"/>
  <c r="A11852" i="1"/>
  <c r="D11515" i="1"/>
  <c r="A11515" i="1"/>
  <c r="D6346" i="1"/>
  <c r="B6346" i="1"/>
  <c r="A6346" i="1"/>
  <c r="D5389" i="1"/>
  <c r="A5389" i="1"/>
  <c r="D14914" i="1"/>
  <c r="B14914" i="1"/>
  <c r="A14914" i="1"/>
  <c r="D14971" i="1"/>
  <c r="B14971" i="1"/>
  <c r="A14971" i="1"/>
  <c r="D6705" i="1"/>
  <c r="B6705" i="1"/>
  <c r="A6705" i="1"/>
  <c r="D10027" i="1"/>
  <c r="B10027" i="1"/>
  <c r="A10027" i="1"/>
  <c r="D10258" i="1"/>
  <c r="A10258" i="1"/>
  <c r="D8434" i="1"/>
  <c r="B8434" i="1"/>
  <c r="A8434" i="1"/>
  <c r="D6775" i="1"/>
  <c r="B6775" i="1"/>
  <c r="A6775" i="1"/>
  <c r="D17783" i="1"/>
  <c r="B17783" i="1"/>
  <c r="A17783" i="1"/>
  <c r="D5359" i="1"/>
  <c r="A5359" i="1"/>
  <c r="D7414" i="1"/>
  <c r="A7414" i="1"/>
  <c r="D18734" i="1"/>
  <c r="A18734" i="1"/>
  <c r="D5341" i="1"/>
  <c r="A5341" i="1"/>
  <c r="D7835" i="1"/>
  <c r="A7835" i="1"/>
  <c r="D5776" i="1"/>
  <c r="A5776" i="1"/>
  <c r="D5569" i="1"/>
  <c r="A5569" i="1"/>
  <c r="D5482" i="1"/>
  <c r="A5482" i="1"/>
  <c r="D15207" i="1"/>
  <c r="B15207" i="1"/>
  <c r="A15207" i="1"/>
  <c r="D17459" i="1"/>
  <c r="A17459" i="1"/>
  <c r="D10228" i="1"/>
  <c r="A10228" i="1"/>
  <c r="D5667" i="1"/>
  <c r="A5667" i="1"/>
  <c r="D15919" i="1"/>
  <c r="B15919" i="1"/>
  <c r="A15919" i="1"/>
  <c r="D6680" i="1"/>
  <c r="A6680" i="1"/>
  <c r="D6929" i="1"/>
  <c r="B6929" i="1"/>
  <c r="A6929" i="1"/>
  <c r="D7339" i="1"/>
  <c r="B7339" i="1"/>
  <c r="A7339" i="1"/>
  <c r="D6478" i="1"/>
  <c r="A6478" i="1"/>
  <c r="D15005" i="1"/>
  <c r="B15005" i="1"/>
  <c r="A15005" i="1"/>
  <c r="D9292" i="1"/>
  <c r="A9292" i="1"/>
  <c r="D9221" i="1"/>
  <c r="A9221" i="1"/>
  <c r="D6564" i="1"/>
  <c r="B6564" i="1"/>
  <c r="A6564" i="1"/>
  <c r="D14815" i="1"/>
  <c r="B14815" i="1"/>
  <c r="A14815" i="1"/>
  <c r="D17828" i="1"/>
  <c r="B17828" i="1"/>
  <c r="A17828" i="1"/>
  <c r="D7651" i="1"/>
  <c r="B7651" i="1"/>
  <c r="A7651" i="1"/>
  <c r="D16930" i="1"/>
  <c r="B16930" i="1"/>
  <c r="A16930" i="1"/>
  <c r="D10433" i="1"/>
  <c r="B10433" i="1"/>
  <c r="A10433" i="1"/>
  <c r="D16003" i="1"/>
  <c r="B16003" i="1"/>
  <c r="A16003" i="1"/>
  <c r="D10023" i="1"/>
  <c r="A10023" i="1"/>
  <c r="D7177" i="1"/>
  <c r="B7177" i="1"/>
  <c r="A7177" i="1"/>
  <c r="D12104" i="1"/>
  <c r="B12104" i="1"/>
  <c r="A12104" i="1"/>
  <c r="D10797" i="1"/>
  <c r="B10797" i="1"/>
  <c r="A10797" i="1"/>
  <c r="D9447" i="1"/>
  <c r="B9447" i="1"/>
  <c r="A9447" i="1"/>
  <c r="D11463" i="1"/>
  <c r="B11463" i="1"/>
  <c r="A11463" i="1"/>
  <c r="D8144" i="1"/>
  <c r="B8144" i="1"/>
  <c r="A8144" i="1"/>
  <c r="D9702" i="1"/>
  <c r="A9702" i="1"/>
  <c r="D18114" i="1"/>
  <c r="A18114" i="1"/>
  <c r="D10981" i="1"/>
  <c r="B10981" i="1"/>
  <c r="A10981" i="1"/>
  <c r="D17265" i="1"/>
  <c r="B17265" i="1"/>
  <c r="A17265" i="1"/>
  <c r="D10683" i="1"/>
  <c r="A10683" i="1"/>
  <c r="D8939" i="1"/>
  <c r="A8939" i="1"/>
  <c r="D10421" i="1"/>
  <c r="A10421" i="1"/>
  <c r="D10097" i="1"/>
  <c r="B10097" i="1"/>
  <c r="A10097" i="1"/>
  <c r="D13845" i="1"/>
  <c r="B13845" i="1"/>
  <c r="A13845" i="1"/>
  <c r="D9572" i="1"/>
  <c r="A9572" i="1"/>
  <c r="D10009" i="1"/>
  <c r="B10009" i="1"/>
  <c r="A10009" i="1"/>
  <c r="D10577" i="1"/>
  <c r="B10577" i="1"/>
  <c r="A10577" i="1"/>
  <c r="D18784" i="1"/>
  <c r="B18784" i="1"/>
  <c r="A18784" i="1"/>
  <c r="D7381" i="1"/>
  <c r="B7381" i="1"/>
  <c r="A7381" i="1"/>
  <c r="D6329" i="1"/>
  <c r="A6329" i="1"/>
  <c r="D6406" i="1"/>
  <c r="B6406" i="1"/>
  <c r="A6406" i="1"/>
  <c r="D8298" i="1"/>
  <c r="B8298" i="1"/>
  <c r="A8298" i="1"/>
  <c r="D7505" i="1"/>
  <c r="B7505" i="1"/>
  <c r="A7505" i="1"/>
  <c r="D8637" i="1"/>
  <c r="B8637" i="1"/>
  <c r="A8637" i="1"/>
  <c r="D8743" i="1"/>
  <c r="A8743" i="1"/>
  <c r="D9777" i="1"/>
  <c r="A9777" i="1"/>
  <c r="D5527" i="1"/>
  <c r="A5527" i="1"/>
  <c r="D14817" i="1"/>
  <c r="B14817" i="1"/>
  <c r="A14817" i="1"/>
  <c r="D15720" i="1"/>
  <c r="A15720" i="1"/>
  <c r="D15359" i="1"/>
  <c r="B15359" i="1"/>
  <c r="A15359" i="1"/>
  <c r="D17960" i="1"/>
  <c r="B17960" i="1"/>
  <c r="A17960" i="1"/>
  <c r="D6068" i="1"/>
  <c r="A6068" i="1"/>
  <c r="D10821" i="1"/>
  <c r="B10821" i="1"/>
  <c r="A10821" i="1"/>
  <c r="D13821" i="1"/>
  <c r="B13821" i="1"/>
  <c r="A13821" i="1"/>
  <c r="D9628" i="1"/>
  <c r="A9628" i="1"/>
  <c r="D17349" i="1"/>
  <c r="B17349" i="1"/>
  <c r="A17349" i="1"/>
  <c r="D6513" i="1"/>
  <c r="A6513" i="1"/>
  <c r="D15857" i="1"/>
  <c r="A15857" i="1"/>
  <c r="D9146" i="1"/>
  <c r="B9146" i="1"/>
  <c r="A9146" i="1"/>
  <c r="D15786" i="1"/>
  <c r="B15786" i="1"/>
  <c r="A15786" i="1"/>
  <c r="D11577" i="1"/>
  <c r="C11577" i="1"/>
  <c r="B11577" i="1"/>
  <c r="A11577" i="1"/>
  <c r="D18551" i="1"/>
  <c r="B18551" i="1"/>
  <c r="A18551" i="1"/>
  <c r="D10430" i="1"/>
  <c r="B10430" i="1"/>
  <c r="A10430" i="1"/>
  <c r="D10230" i="1"/>
  <c r="B10230" i="1"/>
  <c r="A10230" i="1"/>
  <c r="D9184" i="1"/>
  <c r="A9184" i="1"/>
  <c r="D17060" i="1"/>
  <c r="B17060" i="1"/>
  <c r="A17060" i="1"/>
  <c r="D5549" i="1"/>
  <c r="A5549" i="1"/>
  <c r="D8699" i="1"/>
  <c r="B8699" i="1"/>
  <c r="A8699" i="1"/>
  <c r="D10254" i="1"/>
  <c r="B10254" i="1"/>
  <c r="A10254" i="1"/>
  <c r="D6301" i="1"/>
  <c r="B6301" i="1"/>
  <c r="A6301" i="1"/>
  <c r="D13460" i="1"/>
  <c r="B13460" i="1"/>
  <c r="A13460" i="1"/>
  <c r="D18192" i="1"/>
  <c r="B18192" i="1"/>
  <c r="A18192" i="1"/>
  <c r="D5913" i="1"/>
  <c r="A5913" i="1"/>
  <c r="D7577" i="1"/>
  <c r="B7577" i="1"/>
  <c r="A7577" i="1"/>
  <c r="D13853" i="1"/>
  <c r="B13853" i="1"/>
  <c r="A13853" i="1"/>
  <c r="D5840" i="1"/>
  <c r="A5840" i="1"/>
  <c r="D10219" i="1"/>
  <c r="A10219" i="1"/>
  <c r="D5634" i="1"/>
  <c r="A5634" i="1"/>
  <c r="D15508" i="1"/>
  <c r="B15508" i="1"/>
  <c r="A15508" i="1"/>
  <c r="D8238" i="1"/>
  <c r="B8238" i="1"/>
  <c r="A8238" i="1"/>
  <c r="D17016" i="1"/>
  <c r="B17016" i="1"/>
  <c r="A17016" i="1"/>
  <c r="D6925" i="1"/>
  <c r="B6925" i="1"/>
  <c r="A6925" i="1"/>
  <c r="D17042" i="1"/>
  <c r="B17042" i="1"/>
  <c r="A17042" i="1"/>
  <c r="D12036" i="1"/>
  <c r="A12036" i="1"/>
  <c r="D6131" i="1"/>
  <c r="B6131" i="1"/>
  <c r="A6131" i="1"/>
  <c r="D11496" i="1"/>
  <c r="B11496" i="1"/>
  <c r="A11496" i="1"/>
  <c r="D6525" i="1"/>
  <c r="A6525" i="1"/>
  <c r="D13943" i="1"/>
  <c r="A13943" i="1"/>
  <c r="D15529" i="1"/>
  <c r="B15529" i="1"/>
  <c r="A15529" i="1"/>
  <c r="D18031" i="1"/>
  <c r="A18031" i="1"/>
  <c r="D5424" i="1"/>
  <c r="A5424" i="1"/>
  <c r="D15490" i="1"/>
  <c r="B15490" i="1"/>
  <c r="A15490" i="1"/>
  <c r="D12876" i="1"/>
  <c r="A12876" i="1"/>
  <c r="D11949" i="1"/>
  <c r="A11949" i="1"/>
  <c r="D17406" i="1"/>
  <c r="B17406" i="1"/>
  <c r="A17406" i="1"/>
  <c r="D10358" i="1"/>
  <c r="A10358" i="1"/>
  <c r="D6805" i="1"/>
  <c r="A6805" i="1"/>
  <c r="D15132" i="1"/>
  <c r="B15132" i="1"/>
  <c r="A15132" i="1"/>
  <c r="D17400" i="1"/>
  <c r="A17400" i="1"/>
  <c r="D6638" i="1"/>
  <c r="A6638" i="1"/>
  <c r="D14620" i="1"/>
  <c r="A14620" i="1"/>
  <c r="D9403" i="1"/>
  <c r="A9403" i="1"/>
  <c r="D16091" i="1"/>
  <c r="B16091" i="1"/>
  <c r="A16091" i="1"/>
  <c r="D7607" i="1"/>
  <c r="B7607" i="1"/>
  <c r="A7607" i="1"/>
  <c r="D15228" i="1"/>
  <c r="B15228" i="1"/>
  <c r="A15228" i="1"/>
  <c r="D18292" i="1"/>
  <c r="B18292" i="1"/>
  <c r="A18292" i="1"/>
  <c r="D5789" i="1"/>
  <c r="A5789" i="1"/>
  <c r="D12113" i="1"/>
  <c r="A12113" i="1"/>
  <c r="D10319" i="1"/>
  <c r="A10319" i="1"/>
  <c r="D14944" i="1"/>
  <c r="A14944" i="1"/>
  <c r="D5462" i="1"/>
  <c r="A5462" i="1"/>
  <c r="D15427" i="1"/>
  <c r="A15427" i="1"/>
  <c r="D15390" i="1"/>
  <c r="B15390" i="1"/>
  <c r="A15390" i="1"/>
  <c r="D16070" i="1"/>
  <c r="A16070" i="1"/>
  <c r="D6733" i="1"/>
  <c r="A6733" i="1"/>
  <c r="D7030" i="1"/>
  <c r="A7030" i="1"/>
  <c r="D9783" i="1"/>
  <c r="A9783" i="1"/>
  <c r="D16882" i="1"/>
  <c r="A16882" i="1"/>
  <c r="D15805" i="1"/>
  <c r="A15805" i="1"/>
  <c r="D7003" i="1"/>
  <c r="A7003" i="1"/>
  <c r="D18613" i="1"/>
  <c r="A18613" i="1"/>
  <c r="D14058" i="1"/>
  <c r="A14058" i="1"/>
  <c r="D16014" i="1"/>
  <c r="A16014" i="1"/>
  <c r="D10110" i="1"/>
  <c r="A10110" i="1"/>
  <c r="D12681" i="1"/>
  <c r="A12681" i="1"/>
  <c r="D12683" i="1"/>
  <c r="A12683" i="1"/>
  <c r="D10735" i="1"/>
  <c r="A10735" i="1"/>
  <c r="D15792" i="1"/>
  <c r="A15792" i="1"/>
  <c r="D12215" i="1"/>
  <c r="A12215" i="1"/>
  <c r="D16030" i="1"/>
  <c r="A16030" i="1"/>
  <c r="D5466" i="1"/>
  <c r="A5466" i="1"/>
  <c r="D16996" i="1"/>
  <c r="A16996" i="1"/>
  <c r="D18432" i="1"/>
  <c r="A18432" i="1"/>
  <c r="D15129" i="1"/>
  <c r="A15129" i="1"/>
  <c r="D14816" i="1"/>
  <c r="B14816" i="1"/>
  <c r="A14816" i="1"/>
  <c r="D12676" i="1"/>
  <c r="A12676" i="1"/>
  <c r="D14447" i="1"/>
  <c r="B14447" i="1"/>
  <c r="A14447" i="1"/>
  <c r="D18588" i="1"/>
  <c r="B18588" i="1"/>
  <c r="A18588" i="1"/>
  <c r="D15506" i="1"/>
  <c r="B15506" i="1"/>
  <c r="A15506" i="1"/>
  <c r="D14918" i="1"/>
  <c r="B14918" i="1"/>
  <c r="A14918" i="1"/>
  <c r="D9076" i="1"/>
  <c r="A9076" i="1"/>
  <c r="D15622" i="1"/>
  <c r="A15622" i="1"/>
  <c r="D13980" i="1"/>
  <c r="B13980" i="1"/>
  <c r="A13980" i="1"/>
  <c r="D8480" i="1"/>
  <c r="B8480" i="1"/>
  <c r="A8480" i="1"/>
  <c r="D14157" i="1"/>
  <c r="A14157" i="1"/>
  <c r="D18465" i="1"/>
  <c r="A18465" i="1"/>
  <c r="D12240" i="1"/>
  <c r="A12240" i="1"/>
  <c r="D12238" i="1"/>
  <c r="A12238" i="1"/>
  <c r="D9973" i="1"/>
  <c r="A9973" i="1"/>
  <c r="D12030" i="1"/>
  <c r="A12030" i="1"/>
  <c r="D17948" i="1"/>
  <c r="A17948" i="1"/>
  <c r="D12659" i="1"/>
  <c r="B12659" i="1"/>
  <c r="A12659" i="1"/>
  <c r="D12614" i="1"/>
  <c r="A12614" i="1"/>
  <c r="D5374" i="1"/>
  <c r="A5374" i="1"/>
  <c r="D5773" i="1"/>
  <c r="A5773" i="1"/>
  <c r="D5803" i="1"/>
  <c r="A5803" i="1"/>
  <c r="D14616" i="1"/>
  <c r="A14616" i="1"/>
  <c r="D5752" i="1"/>
  <c r="A5752" i="1"/>
  <c r="D15498" i="1"/>
  <c r="B15498" i="1"/>
  <c r="A15498" i="1"/>
  <c r="D17402" i="1"/>
  <c r="A17402" i="1"/>
  <c r="D5637" i="1"/>
  <c r="A5637" i="1"/>
  <c r="D6076" i="1"/>
  <c r="A6076" i="1"/>
  <c r="D5654" i="1"/>
  <c r="A5654" i="1"/>
  <c r="D5865" i="1"/>
  <c r="A5865" i="1"/>
  <c r="D5627" i="1"/>
  <c r="A5627" i="1"/>
  <c r="D5393" i="1"/>
  <c r="A5393" i="1"/>
  <c r="D5648" i="1"/>
  <c r="A5648" i="1"/>
  <c r="D5657" i="1"/>
  <c r="A5657" i="1"/>
  <c r="D5832" i="1"/>
  <c r="A5832" i="1"/>
  <c r="D5767" i="1"/>
  <c r="A5767" i="1"/>
  <c r="D9034" i="1"/>
  <c r="A9034" i="1"/>
  <c r="D16215" i="1"/>
  <c r="A16215" i="1"/>
  <c r="D9109" i="1"/>
  <c r="A9109" i="1"/>
  <c r="D14110" i="1"/>
  <c r="A14110" i="1"/>
  <c r="D6325" i="1"/>
  <c r="B6325" i="1"/>
  <c r="A6325" i="1"/>
  <c r="D17732" i="1"/>
  <c r="B17732" i="1"/>
  <c r="A17732" i="1"/>
  <c r="D9482" i="1"/>
  <c r="A9482" i="1"/>
  <c r="D15732" i="1"/>
  <c r="A15732" i="1"/>
  <c r="D10578" i="1"/>
  <c r="A10578" i="1"/>
  <c r="D7305" i="1"/>
  <c r="A7305" i="1"/>
  <c r="D10597" i="1"/>
  <c r="A10597" i="1"/>
  <c r="D10806" i="1"/>
  <c r="B10806" i="1"/>
  <c r="A10806" i="1"/>
  <c r="D17188" i="1"/>
  <c r="A17188" i="1"/>
  <c r="D7598" i="1"/>
  <c r="A7598" i="1"/>
  <c r="D12654" i="1"/>
  <c r="A12654" i="1"/>
  <c r="D10428" i="1"/>
  <c r="A10428" i="1"/>
  <c r="D11858" i="1"/>
  <c r="A11858" i="1"/>
  <c r="D10321" i="1"/>
  <c r="A10321" i="1"/>
  <c r="D9290" i="1"/>
  <c r="A9290" i="1"/>
  <c r="D5413" i="1"/>
  <c r="A5413" i="1"/>
  <c r="D15822" i="1"/>
  <c r="B15822" i="1"/>
  <c r="A15822" i="1"/>
  <c r="D6729" i="1"/>
  <c r="B6729" i="1"/>
  <c r="A6729" i="1"/>
  <c r="D14950" i="1"/>
  <c r="B14950" i="1"/>
  <c r="A14950" i="1"/>
  <c r="D10738" i="1"/>
  <c r="A10738" i="1"/>
  <c r="D14800" i="1"/>
  <c r="B14800" i="1"/>
  <c r="A14800" i="1"/>
  <c r="D11932" i="1"/>
  <c r="A11932" i="1"/>
  <c r="D10788" i="1"/>
  <c r="A10788" i="1"/>
  <c r="D5728" i="1"/>
  <c r="A5728" i="1"/>
  <c r="D12627" i="1"/>
  <c r="A12627" i="1"/>
  <c r="D10092" i="1"/>
  <c r="A10092" i="1"/>
  <c r="D9491" i="1"/>
  <c r="A9491" i="1"/>
  <c r="D17207" i="1"/>
  <c r="B17207" i="1"/>
  <c r="A17207" i="1"/>
  <c r="D6333" i="1"/>
  <c r="A6333" i="1"/>
  <c r="D13434" i="1"/>
  <c r="A13434" i="1"/>
  <c r="D5641" i="1"/>
  <c r="A5641" i="1"/>
  <c r="D10893" i="1"/>
  <c r="B10893" i="1"/>
  <c r="A10893" i="1"/>
  <c r="D15220" i="1"/>
  <c r="B15220" i="1"/>
  <c r="A15220" i="1"/>
  <c r="D18646" i="1"/>
  <c r="A18646" i="1"/>
  <c r="D5495" i="1"/>
  <c r="A5495" i="1"/>
  <c r="D10330" i="1"/>
  <c r="A10330" i="1"/>
  <c r="D10496" i="1"/>
  <c r="A10496" i="1"/>
  <c r="D6071" i="1"/>
  <c r="A6071" i="1"/>
  <c r="D14946" i="1"/>
  <c r="B14946" i="1"/>
  <c r="A14946" i="1"/>
  <c r="D11902" i="1"/>
  <c r="A11902" i="1"/>
  <c r="D7189" i="1"/>
  <c r="A7189" i="1"/>
  <c r="D9138" i="1"/>
  <c r="A9138" i="1"/>
  <c r="D15310" i="1"/>
  <c r="B15310" i="1"/>
  <c r="A15310" i="1"/>
  <c r="D5819" i="1"/>
  <c r="A5819" i="1"/>
  <c r="D11362" i="1"/>
  <c r="B11362" i="1"/>
  <c r="A11362" i="1"/>
  <c r="D15520" i="1"/>
  <c r="B15520" i="1"/>
  <c r="A15520" i="1"/>
  <c r="D15309" i="1"/>
  <c r="A15309" i="1"/>
  <c r="D14922" i="1"/>
  <c r="A14922" i="1"/>
  <c r="D11100" i="1"/>
  <c r="B11100" i="1"/>
  <c r="A11100" i="1"/>
  <c r="D15277" i="1"/>
  <c r="B15277" i="1"/>
  <c r="A15277" i="1"/>
  <c r="D10526" i="1"/>
  <c r="A10526" i="1"/>
  <c r="D5906" i="1"/>
  <c r="A5906" i="1"/>
  <c r="D15465" i="1"/>
  <c r="B15465" i="1"/>
  <c r="A15465" i="1"/>
  <c r="D12481" i="1"/>
  <c r="A12481" i="1"/>
  <c r="D7980" i="1"/>
  <c r="B7980" i="1"/>
  <c r="A7980" i="1"/>
  <c r="D15435" i="1"/>
  <c r="B15435" i="1"/>
  <c r="A15435" i="1"/>
  <c r="D16322" i="1"/>
  <c r="B16322" i="1"/>
  <c r="A16322" i="1"/>
  <c r="D17195" i="1"/>
  <c r="B17195" i="1"/>
  <c r="A17195" i="1"/>
  <c r="D16513" i="1"/>
  <c r="B16513" i="1"/>
  <c r="A16513" i="1"/>
  <c r="D13966" i="1"/>
  <c r="B13966" i="1"/>
  <c r="A13966" i="1"/>
  <c r="D17918" i="1"/>
  <c r="A17918" i="1"/>
  <c r="D8077" i="1"/>
  <c r="B8077" i="1"/>
  <c r="A8077" i="1"/>
  <c r="D5909" i="1"/>
  <c r="A5909" i="1"/>
  <c r="D15254" i="1"/>
  <c r="B15254" i="1"/>
  <c r="A15254" i="1"/>
  <c r="D11565" i="1"/>
  <c r="C11565" i="1"/>
  <c r="B11565" i="1"/>
  <c r="A11565" i="1"/>
  <c r="D6958" i="1"/>
  <c r="A6958" i="1"/>
  <c r="D6946" i="1"/>
  <c r="A6946" i="1"/>
  <c r="D18158" i="1"/>
  <c r="A18158" i="1"/>
  <c r="D17106" i="1"/>
  <c r="A17106" i="1"/>
  <c r="D16913" i="1"/>
  <c r="A16913" i="1"/>
  <c r="D9493" i="1"/>
  <c r="A9493" i="1"/>
  <c r="D10393" i="1"/>
  <c r="A10393" i="1"/>
  <c r="D5624" i="1"/>
  <c r="A5624" i="1"/>
  <c r="D7987" i="1"/>
  <c r="B7987" i="1"/>
  <c r="A7987" i="1"/>
  <c r="D5419" i="1"/>
  <c r="A5419" i="1"/>
  <c r="D13891" i="1"/>
  <c r="A13891" i="1"/>
  <c r="D9005" i="1"/>
  <c r="A9005" i="1"/>
  <c r="D7829" i="1"/>
  <c r="A7829" i="1"/>
  <c r="D7564" i="1"/>
  <c r="A7564" i="1"/>
  <c r="D6831" i="1"/>
  <c r="A6831" i="1"/>
  <c r="D11914" i="1"/>
  <c r="A11914" i="1"/>
  <c r="D6554" i="1"/>
  <c r="A6554" i="1"/>
  <c r="D12864" i="1"/>
  <c r="A12864" i="1"/>
  <c r="D11865" i="1"/>
  <c r="A11865" i="1"/>
  <c r="D10737" i="1"/>
  <c r="A10737" i="1"/>
  <c r="D8456" i="1"/>
  <c r="A8456" i="1"/>
  <c r="D9127" i="1"/>
  <c r="A9127" i="1"/>
  <c r="D12139" i="1"/>
  <c r="B12139" i="1"/>
  <c r="A12139" i="1"/>
  <c r="D7851" i="1"/>
  <c r="A7851" i="1"/>
  <c r="D9223" i="1"/>
  <c r="A9223" i="1"/>
  <c r="D6892" i="1"/>
  <c r="A6892" i="1"/>
  <c r="D14928" i="1"/>
  <c r="B14928" i="1"/>
  <c r="A14928" i="1"/>
  <c r="D15841" i="1"/>
  <c r="A15841" i="1"/>
  <c r="D11923" i="1"/>
  <c r="A11923" i="1"/>
  <c r="D11924" i="1"/>
  <c r="A11924" i="1"/>
  <c r="D15704" i="1"/>
  <c r="A15704" i="1"/>
  <c r="D9569" i="1"/>
  <c r="A9569" i="1"/>
  <c r="D12029" i="1"/>
  <c r="A12029" i="1"/>
  <c r="D7672" i="1"/>
  <c r="A7672" i="1"/>
  <c r="D10104" i="1"/>
  <c r="A10104" i="1"/>
  <c r="D7581" i="1"/>
  <c r="A7581" i="1"/>
  <c r="D5489" i="1"/>
  <c r="A5489" i="1"/>
  <c r="D5368" i="1"/>
  <c r="A5368" i="1"/>
  <c r="D5400" i="1"/>
  <c r="A5400" i="1"/>
  <c r="D5623" i="1"/>
  <c r="A5623" i="1"/>
  <c r="D5761" i="1"/>
  <c r="A5761" i="1"/>
  <c r="D5585" i="1"/>
  <c r="A5585" i="1"/>
  <c r="D5625" i="1"/>
  <c r="A5625" i="1"/>
  <c r="D5676" i="1"/>
  <c r="A5676" i="1"/>
  <c r="D5706" i="1"/>
  <c r="A5706" i="1"/>
  <c r="D11836" i="1"/>
  <c r="A11836" i="1"/>
  <c r="D5540" i="1"/>
  <c r="A5540" i="1"/>
  <c r="D15714" i="1"/>
  <c r="A15714" i="1"/>
  <c r="D14133" i="1"/>
  <c r="A14133" i="1"/>
  <c r="D9369" i="1"/>
  <c r="A9369" i="1"/>
  <c r="D7859" i="1"/>
  <c r="A7859" i="1"/>
  <c r="D10664" i="1"/>
  <c r="A10664" i="1"/>
  <c r="D17590" i="1"/>
  <c r="A17590" i="1"/>
  <c r="D16274" i="1"/>
  <c r="A16274" i="1"/>
  <c r="D17856" i="1"/>
  <c r="A17856" i="1"/>
  <c r="D17411" i="1"/>
  <c r="A17411" i="1"/>
  <c r="D8152" i="1"/>
  <c r="B8152" i="1"/>
  <c r="A8152" i="1"/>
  <c r="D7013" i="1"/>
  <c r="A7013" i="1"/>
  <c r="D7052" i="1"/>
  <c r="A7052" i="1"/>
  <c r="D6628" i="1"/>
  <c r="A6628" i="1"/>
  <c r="D5386" i="1"/>
  <c r="A5386" i="1"/>
  <c r="D17675" i="1"/>
  <c r="A17675" i="1"/>
  <c r="D17379" i="1"/>
  <c r="A17379" i="1"/>
  <c r="D9949" i="1"/>
  <c r="A9949" i="1"/>
  <c r="D5753" i="1"/>
  <c r="A5753" i="1"/>
  <c r="D9537" i="1"/>
  <c r="A9537" i="1"/>
  <c r="D18654" i="1"/>
  <c r="A18654" i="1"/>
  <c r="D7023" i="1"/>
  <c r="B7023" i="1"/>
  <c r="A7023" i="1"/>
  <c r="D6862" i="1"/>
  <c r="A6862" i="1"/>
  <c r="D17878" i="1"/>
  <c r="B17878" i="1"/>
  <c r="A17878" i="1"/>
  <c r="D10703" i="1"/>
  <c r="A10703" i="1"/>
  <c r="D10798" i="1"/>
  <c r="B10798" i="1"/>
  <c r="A10798" i="1"/>
  <c r="D7249" i="1"/>
  <c r="B7249" i="1"/>
  <c r="A7249" i="1"/>
  <c r="D17934" i="1"/>
  <c r="B17934" i="1"/>
  <c r="A17934" i="1"/>
  <c r="D7334" i="1"/>
  <c r="B7334" i="1"/>
  <c r="A7334" i="1"/>
  <c r="D18594" i="1"/>
  <c r="A18594" i="1"/>
  <c r="D5463" i="1"/>
  <c r="A5463" i="1"/>
  <c r="D17490" i="1"/>
  <c r="A17490" i="1"/>
  <c r="D9486" i="1"/>
  <c r="A9486" i="1"/>
  <c r="D14761" i="1"/>
  <c r="A14761" i="1"/>
  <c r="D15733" i="1"/>
  <c r="A15733" i="1"/>
  <c r="D8119" i="1"/>
  <c r="A8119" i="1"/>
  <c r="D10989" i="1"/>
  <c r="A10989" i="1"/>
  <c r="D14102" i="1"/>
  <c r="A14102" i="1"/>
  <c r="D14145" i="1"/>
  <c r="B14145" i="1"/>
  <c r="A14145" i="1"/>
  <c r="D15274" i="1"/>
  <c r="B15274" i="1"/>
  <c r="A15274" i="1"/>
  <c r="D13497" i="1"/>
  <c r="B13497" i="1"/>
  <c r="A13497" i="1"/>
  <c r="D14615" i="1"/>
  <c r="A14615" i="1"/>
  <c r="D5661" i="1"/>
  <c r="A5661" i="1"/>
  <c r="D10698" i="1"/>
  <c r="B10698" i="1"/>
  <c r="A10698" i="1"/>
  <c r="D12140" i="1"/>
  <c r="B12140" i="1"/>
  <c r="A12140" i="1"/>
  <c r="D9163" i="1"/>
  <c r="B9163" i="1"/>
  <c r="A9163" i="1"/>
  <c r="D6942" i="1"/>
  <c r="B6942" i="1"/>
  <c r="A6942" i="1"/>
  <c r="D8935" i="1"/>
  <c r="B8935" i="1"/>
  <c r="A8935" i="1"/>
  <c r="D10622" i="1"/>
  <c r="B10622" i="1"/>
  <c r="A10622" i="1"/>
  <c r="D15615" i="1"/>
  <c r="B15615" i="1"/>
  <c r="A15615" i="1"/>
  <c r="D7254" i="1"/>
  <c r="B7254" i="1"/>
  <c r="A7254" i="1"/>
  <c r="D9819" i="1"/>
  <c r="B9819" i="1"/>
  <c r="A9819" i="1"/>
  <c r="D15134" i="1"/>
  <c r="B15134" i="1"/>
  <c r="A15134" i="1"/>
  <c r="D16936" i="1"/>
  <c r="A16936" i="1"/>
  <c r="D6396" i="1"/>
  <c r="B6396" i="1"/>
  <c r="A6396" i="1"/>
  <c r="D17889" i="1"/>
  <c r="A17889" i="1"/>
  <c r="D10299" i="1"/>
  <c r="A10299" i="1"/>
  <c r="D18216" i="1"/>
  <c r="B18216" i="1"/>
  <c r="A18216" i="1"/>
  <c r="D10283" i="1"/>
  <c r="B10283" i="1"/>
  <c r="A10283" i="1"/>
  <c r="D17952" i="1"/>
  <c r="A17952" i="1"/>
  <c r="D11356" i="1"/>
  <c r="B11356" i="1"/>
  <c r="A11356" i="1"/>
  <c r="D10280" i="1"/>
  <c r="B10280" i="1"/>
  <c r="A10280" i="1"/>
  <c r="D15188" i="1"/>
  <c r="B15188" i="1"/>
  <c r="A15188" i="1"/>
  <c r="D8796" i="1"/>
  <c r="B8796" i="1"/>
  <c r="A8796" i="1"/>
  <c r="D12495" i="1"/>
  <c r="A12495" i="1"/>
  <c r="D15988" i="1"/>
  <c r="A15988" i="1"/>
  <c r="D8974" i="1"/>
  <c r="B8974" i="1"/>
  <c r="A8974" i="1"/>
  <c r="D18681" i="1"/>
  <c r="A18681" i="1"/>
  <c r="D9923" i="1"/>
  <c r="B9923" i="1"/>
  <c r="A9923" i="1"/>
  <c r="D8138" i="1"/>
  <c r="B8138" i="1"/>
  <c r="A8138" i="1"/>
  <c r="D10491" i="1"/>
  <c r="A10491" i="1"/>
  <c r="D13871" i="1"/>
  <c r="B13871" i="1"/>
  <c r="A13871" i="1"/>
  <c r="D16188" i="1"/>
  <c r="A16188" i="1"/>
  <c r="D15172" i="1"/>
  <c r="B15172" i="1"/>
  <c r="A15172" i="1"/>
  <c r="D18024" i="1"/>
  <c r="A18024" i="1"/>
  <c r="D11955" i="1"/>
  <c r="B11955" i="1"/>
  <c r="A11955" i="1"/>
  <c r="D7703" i="1"/>
  <c r="B7703" i="1"/>
  <c r="A7703" i="1"/>
  <c r="D17312" i="1"/>
  <c r="B17312" i="1"/>
  <c r="A17312" i="1"/>
  <c r="D6231" i="1"/>
  <c r="B6231" i="1"/>
  <c r="A6231" i="1"/>
  <c r="D15179" i="1"/>
  <c r="B15179" i="1"/>
  <c r="A15179" i="1"/>
  <c r="D12497" i="1"/>
  <c r="A12497" i="1"/>
  <c r="D6077" i="1"/>
  <c r="A6077" i="1"/>
  <c r="D17686" i="1"/>
  <c r="B17686" i="1"/>
  <c r="A17686" i="1"/>
  <c r="D7367" i="1"/>
  <c r="B7367" i="1"/>
  <c r="A7367" i="1"/>
  <c r="D7499" i="1"/>
  <c r="A7499" i="1"/>
  <c r="D12087" i="1"/>
  <c r="A12087" i="1"/>
  <c r="D12966" i="1"/>
  <c r="B12966" i="1"/>
  <c r="A12966" i="1"/>
  <c r="D8245" i="1"/>
  <c r="B8245" i="1"/>
  <c r="A8245" i="1"/>
  <c r="D7806" i="1"/>
  <c r="B7806" i="1"/>
  <c r="A7806" i="1"/>
  <c r="D13255" i="1"/>
  <c r="B13255" i="1"/>
  <c r="A13255" i="1"/>
  <c r="D16312" i="1"/>
  <c r="B16312" i="1"/>
  <c r="A16312" i="1"/>
  <c r="D15108" i="1"/>
  <c r="B15108" i="1"/>
  <c r="A15108" i="1"/>
  <c r="D18336" i="1"/>
  <c r="B18336" i="1"/>
  <c r="A18336" i="1"/>
  <c r="D11478" i="1"/>
  <c r="B11478" i="1"/>
  <c r="A11478" i="1"/>
  <c r="D6230" i="1"/>
  <c r="B6230" i="1"/>
  <c r="A6230" i="1"/>
  <c r="D15846" i="1"/>
  <c r="A15846" i="1"/>
  <c r="D16228" i="1"/>
  <c r="A16228" i="1"/>
  <c r="D14984" i="1"/>
  <c r="B14984" i="1"/>
  <c r="A14984" i="1"/>
  <c r="D11430" i="1"/>
  <c r="A11430" i="1"/>
  <c r="D6627" i="1"/>
  <c r="A6627" i="1"/>
  <c r="D5552" i="1"/>
  <c r="A5552" i="1"/>
  <c r="D11308" i="1"/>
  <c r="B11308" i="1"/>
  <c r="A11308" i="1"/>
  <c r="D7378" i="1"/>
  <c r="B7378" i="1"/>
  <c r="A7378" i="1"/>
  <c r="D5999" i="1"/>
  <c r="B5999" i="1"/>
  <c r="A5999" i="1"/>
  <c r="D18423" i="1"/>
  <c r="B18423" i="1"/>
  <c r="A18423" i="1"/>
  <c r="D16111" i="1"/>
  <c r="A16111" i="1"/>
  <c r="D9806" i="1"/>
  <c r="A9806" i="1"/>
  <c r="D16071" i="1"/>
  <c r="A16071" i="1"/>
  <c r="D12200" i="1"/>
  <c r="A12200" i="1"/>
  <c r="D16061" i="1"/>
  <c r="A16061" i="1"/>
  <c r="D17965" i="1"/>
  <c r="A17965" i="1"/>
  <c r="D16152" i="1"/>
  <c r="B16152" i="1"/>
  <c r="A16152" i="1"/>
  <c r="D16049" i="1"/>
  <c r="B16049" i="1"/>
  <c r="A16049" i="1"/>
  <c r="D13305" i="1"/>
  <c r="B13305" i="1"/>
  <c r="A13305" i="1"/>
  <c r="D10284" i="1"/>
  <c r="A10284" i="1"/>
  <c r="D8399" i="1"/>
  <c r="C8399" i="1"/>
  <c r="B8399" i="1"/>
  <c r="A8399" i="1"/>
  <c r="D9844" i="1"/>
  <c r="B9844" i="1"/>
  <c r="A9844" i="1"/>
  <c r="D6250" i="1"/>
  <c r="B6250" i="1"/>
  <c r="A6250" i="1"/>
  <c r="D6400" i="1"/>
  <c r="B6400" i="1"/>
  <c r="A6400" i="1"/>
  <c r="D16021" i="1"/>
  <c r="A16021" i="1"/>
  <c r="D18597" i="1"/>
  <c r="B18597" i="1"/>
  <c r="A18597" i="1"/>
  <c r="D15190" i="1"/>
  <c r="B15190" i="1"/>
  <c r="A15190" i="1"/>
  <c r="D16245" i="1"/>
  <c r="B16245" i="1"/>
  <c r="A16245" i="1"/>
  <c r="D11971" i="1"/>
  <c r="A11971" i="1"/>
  <c r="D5759" i="1"/>
  <c r="A5759" i="1"/>
  <c r="D6520" i="1"/>
  <c r="B6520" i="1"/>
  <c r="A6520" i="1"/>
  <c r="D14136" i="1"/>
  <c r="B14136" i="1"/>
  <c r="A14136" i="1"/>
  <c r="D12493" i="1"/>
  <c r="A12493" i="1"/>
  <c r="D15754" i="1"/>
  <c r="B15754" i="1"/>
  <c r="A15754" i="1"/>
  <c r="D13008" i="1"/>
  <c r="A13008" i="1"/>
  <c r="D15127" i="1"/>
  <c r="B15127" i="1"/>
  <c r="A15127" i="1"/>
  <c r="D13953" i="1"/>
  <c r="B13953" i="1"/>
  <c r="A13953" i="1"/>
  <c r="D18598" i="1"/>
  <c r="A18598" i="1"/>
  <c r="D9556" i="1"/>
  <c r="A9556" i="1"/>
  <c r="D16874" i="1"/>
  <c r="B16874" i="1"/>
  <c r="A16874" i="1"/>
  <c r="D9854" i="1"/>
  <c r="B9854" i="1"/>
  <c r="A9854" i="1"/>
  <c r="D5815" i="1"/>
  <c r="A5815" i="1"/>
  <c r="D18419" i="1"/>
  <c r="B18419" i="1"/>
  <c r="A18419" i="1"/>
  <c r="D17063" i="1"/>
  <c r="A17063" i="1"/>
  <c r="D7182" i="1"/>
  <c r="B7182" i="1"/>
  <c r="A7182" i="1"/>
  <c r="D18793" i="1"/>
  <c r="B18793" i="1"/>
  <c r="A18793" i="1"/>
  <c r="D17334" i="1"/>
  <c r="A17334" i="1"/>
  <c r="D18510" i="1"/>
  <c r="B18510" i="1"/>
  <c r="A18510" i="1"/>
  <c r="D10413" i="1"/>
  <c r="A10413" i="1"/>
  <c r="D10665" i="1"/>
  <c r="A10665" i="1"/>
  <c r="D7686" i="1"/>
  <c r="B7686" i="1"/>
  <c r="A7686" i="1"/>
  <c r="D12147" i="1"/>
  <c r="A12147" i="1"/>
  <c r="D8122" i="1"/>
  <c r="B8122" i="1"/>
  <c r="A8122" i="1"/>
  <c r="D6408" i="1"/>
  <c r="A6408" i="1"/>
  <c r="D14850" i="1"/>
  <c r="B14850" i="1"/>
  <c r="A14850" i="1"/>
  <c r="D12795" i="1"/>
  <c r="C12795" i="1"/>
  <c r="B12795" i="1"/>
  <c r="A12795" i="1"/>
  <c r="D8982" i="1"/>
  <c r="B8982" i="1"/>
  <c r="A8982" i="1"/>
  <c r="D15870" i="1"/>
  <c r="B15870" i="1"/>
  <c r="A15870" i="1"/>
  <c r="D6797" i="1"/>
  <c r="B6797" i="1"/>
  <c r="A6797" i="1"/>
  <c r="D17030" i="1"/>
  <c r="B17030" i="1"/>
  <c r="A17030" i="1"/>
  <c r="D12658" i="1"/>
  <c r="B12658" i="1"/>
  <c r="A12658" i="1"/>
  <c r="D12127" i="1"/>
  <c r="B12127" i="1"/>
  <c r="A12127" i="1"/>
  <c r="D10146" i="1"/>
  <c r="B10146" i="1"/>
  <c r="A10146" i="1"/>
  <c r="D6518" i="1"/>
  <c r="B6518" i="1"/>
  <c r="A6518" i="1"/>
  <c r="D8971" i="1"/>
  <c r="A8971" i="1"/>
  <c r="D16468" i="1"/>
  <c r="B16468" i="1"/>
  <c r="A16468" i="1"/>
  <c r="D15176" i="1"/>
  <c r="B15176" i="1"/>
  <c r="A15176" i="1"/>
  <c r="D6123" i="1"/>
  <c r="B6123" i="1"/>
  <c r="A6123" i="1"/>
  <c r="D17437" i="1"/>
  <c r="B17437" i="1"/>
  <c r="A17437" i="1"/>
  <c r="D13819" i="1"/>
  <c r="B13819" i="1"/>
  <c r="A13819" i="1"/>
  <c r="D10409" i="1"/>
  <c r="A10409" i="1"/>
  <c r="D10498" i="1"/>
  <c r="A10498" i="1"/>
  <c r="D7180" i="1"/>
  <c r="A7180" i="1"/>
  <c r="D12068" i="1"/>
  <c r="A12068" i="1"/>
  <c r="D18008" i="1"/>
  <c r="B18008" i="1"/>
  <c r="A18008" i="1"/>
  <c r="D17352" i="1"/>
  <c r="A17352" i="1"/>
  <c r="D10990" i="1"/>
  <c r="B10990" i="1"/>
  <c r="A10990" i="1"/>
  <c r="D16040" i="1"/>
  <c r="B16040" i="1"/>
  <c r="A16040" i="1"/>
  <c r="D13913" i="1"/>
  <c r="A13913" i="1"/>
  <c r="D17433" i="1"/>
  <c r="B17433" i="1"/>
  <c r="A17433" i="1"/>
  <c r="D10074" i="1"/>
  <c r="A10074" i="1"/>
  <c r="D18618" i="1"/>
  <c r="B18618" i="1"/>
  <c r="A18618" i="1"/>
  <c r="D13286" i="1"/>
  <c r="B13286" i="1"/>
  <c r="A13286" i="1"/>
  <c r="D6283" i="1"/>
  <c r="A6283" i="1"/>
  <c r="D15346" i="1"/>
  <c r="B15346" i="1"/>
  <c r="A15346" i="1"/>
  <c r="D9150" i="1"/>
  <c r="A9150" i="1"/>
  <c r="D8233" i="1"/>
  <c r="B8233" i="1"/>
  <c r="A8233" i="1"/>
  <c r="D17511" i="1"/>
  <c r="B17511" i="1"/>
  <c r="A17511" i="1"/>
  <c r="D12099" i="1"/>
  <c r="A12099" i="1"/>
  <c r="D10559" i="1"/>
  <c r="A10559" i="1"/>
  <c r="D14866" i="1"/>
  <c r="B14866" i="1"/>
  <c r="A14866" i="1"/>
  <c r="D8241" i="1"/>
  <c r="B8241" i="1"/>
  <c r="A8241" i="1"/>
  <c r="D15871" i="1"/>
  <c r="B15871" i="1"/>
  <c r="A15871" i="1"/>
  <c r="D6815" i="1"/>
  <c r="A6815" i="1"/>
  <c r="D15096" i="1"/>
  <c r="B15096" i="1"/>
  <c r="A15096" i="1"/>
  <c r="D15110" i="1"/>
  <c r="B15110" i="1"/>
  <c r="A15110" i="1"/>
  <c r="D17230" i="1"/>
  <c r="A17230" i="1"/>
  <c r="D9433" i="1"/>
  <c r="A9433" i="1"/>
  <c r="D9456" i="1"/>
  <c r="B9456" i="1"/>
  <c r="A9456" i="1"/>
  <c r="D15921" i="1"/>
  <c r="B15921" i="1"/>
  <c r="A15921" i="1"/>
  <c r="D11450" i="1"/>
  <c r="A11450" i="1"/>
  <c r="D6122" i="1"/>
  <c r="B6122" i="1"/>
  <c r="A6122" i="1"/>
  <c r="D8221" i="1"/>
  <c r="A8221" i="1"/>
  <c r="D15113" i="1"/>
  <c r="B15113" i="1"/>
  <c r="A15113" i="1"/>
  <c r="D14830" i="1"/>
  <c r="B14830" i="1"/>
  <c r="A14830" i="1"/>
  <c r="D6053" i="1"/>
  <c r="A6053" i="1"/>
  <c r="D12604" i="1"/>
  <c r="B12604" i="1"/>
  <c r="A12604" i="1"/>
  <c r="D13578" i="1"/>
  <c r="B13578" i="1"/>
  <c r="A13578" i="1"/>
  <c r="D17377" i="1"/>
  <c r="B17377" i="1"/>
  <c r="A17377" i="1"/>
  <c r="D15845" i="1"/>
  <c r="A15845" i="1"/>
  <c r="D10487" i="1"/>
  <c r="B10487" i="1"/>
  <c r="A10487" i="1"/>
  <c r="D15966" i="1"/>
  <c r="A15966" i="1"/>
  <c r="D9703" i="1"/>
  <c r="B9703" i="1"/>
  <c r="A9703" i="1"/>
  <c r="D18695" i="1"/>
  <c r="B18695" i="1"/>
  <c r="A18695" i="1"/>
  <c r="D17504" i="1"/>
  <c r="A17504" i="1"/>
  <c r="D9416" i="1"/>
  <c r="B9416" i="1"/>
  <c r="A9416" i="1"/>
  <c r="D16592" i="1"/>
  <c r="B16592" i="1"/>
  <c r="A16592" i="1"/>
  <c r="D10390" i="1"/>
  <c r="B10390" i="1"/>
  <c r="A10390" i="1"/>
  <c r="D5501" i="1"/>
  <c r="A5501" i="1"/>
  <c r="D9946" i="1"/>
  <c r="B9946" i="1"/>
  <c r="A9946" i="1"/>
  <c r="D12699" i="1"/>
  <c r="A12699" i="1"/>
  <c r="D12465" i="1"/>
  <c r="A12465" i="1"/>
  <c r="D12031" i="1"/>
  <c r="A12031" i="1"/>
  <c r="D9289" i="1"/>
  <c r="B9289" i="1"/>
  <c r="A9289" i="1"/>
  <c r="D18638" i="1"/>
  <c r="B18638" i="1"/>
  <c r="A18638" i="1"/>
  <c r="D17930" i="1"/>
  <c r="B17930" i="1"/>
  <c r="A17930" i="1"/>
  <c r="D16177" i="1"/>
  <c r="B16177" i="1"/>
  <c r="A16177" i="1"/>
  <c r="D17126" i="1"/>
  <c r="B17126" i="1"/>
  <c r="A17126" i="1"/>
  <c r="D17206" i="1"/>
  <c r="B17206" i="1"/>
  <c r="A17206" i="1"/>
  <c r="D18138" i="1"/>
  <c r="B18138" i="1"/>
  <c r="A18138" i="1"/>
  <c r="D7649" i="1"/>
  <c r="B7649" i="1"/>
  <c r="A7649" i="1"/>
  <c r="D15433" i="1"/>
  <c r="B15433" i="1"/>
  <c r="A15433" i="1"/>
  <c r="D7516" i="1"/>
  <c r="B7516" i="1"/>
  <c r="A7516" i="1"/>
  <c r="D6521" i="1"/>
  <c r="B6521" i="1"/>
  <c r="A6521" i="1"/>
  <c r="D12427" i="1"/>
  <c r="A12427" i="1"/>
  <c r="D13179" i="1"/>
  <c r="B13179" i="1"/>
  <c r="A13179" i="1"/>
  <c r="D6481" i="1"/>
  <c r="A6481" i="1"/>
  <c r="D13142" i="1"/>
  <c r="B13142" i="1"/>
  <c r="A13142" i="1"/>
  <c r="D6917" i="1"/>
  <c r="B6917" i="1"/>
  <c r="A6917" i="1"/>
  <c r="D18443" i="1"/>
  <c r="B18443" i="1"/>
  <c r="A18443" i="1"/>
  <c r="D13923" i="1"/>
  <c r="B13923" i="1"/>
  <c r="A13923" i="1"/>
  <c r="D18247" i="1"/>
  <c r="B18247" i="1"/>
  <c r="A18247" i="1"/>
  <c r="D12365" i="1"/>
  <c r="B12365" i="1"/>
  <c r="A12365" i="1"/>
  <c r="D6216" i="1"/>
  <c r="A6216" i="1"/>
  <c r="D10398" i="1"/>
  <c r="A10398" i="1"/>
  <c r="D11358" i="1"/>
  <c r="B11358" i="1"/>
  <c r="A11358" i="1"/>
  <c r="D13977" i="1"/>
  <c r="B13977" i="1"/>
  <c r="A13977" i="1"/>
  <c r="D8636" i="1"/>
  <c r="B8636" i="1"/>
  <c r="A8636" i="1"/>
  <c r="D16464" i="1"/>
  <c r="B16464" i="1"/>
  <c r="A16464" i="1"/>
  <c r="D13151" i="1"/>
  <c r="B13151" i="1"/>
  <c r="A13151" i="1"/>
  <c r="D12470" i="1"/>
  <c r="A12470" i="1"/>
  <c r="D7994" i="1"/>
  <c r="B7994" i="1"/>
  <c r="A7994" i="1"/>
  <c r="D11354" i="1"/>
  <c r="B11354" i="1"/>
  <c r="A11354" i="1"/>
  <c r="D15294" i="1"/>
  <c r="B15294" i="1"/>
  <c r="A15294" i="1"/>
  <c r="D7657" i="1"/>
  <c r="B7657" i="1"/>
  <c r="A7657" i="1"/>
  <c r="D8085" i="1"/>
  <c r="B8085" i="1"/>
  <c r="A8085" i="1"/>
  <c r="D17870" i="1"/>
  <c r="A17870" i="1"/>
  <c r="D9532" i="1"/>
  <c r="B9532" i="1"/>
  <c r="A9532" i="1"/>
  <c r="D7669" i="1"/>
  <c r="B7669" i="1"/>
  <c r="A7669" i="1"/>
  <c r="D6527" i="1"/>
  <c r="B6527" i="1"/>
  <c r="A6527" i="1"/>
  <c r="D16977" i="1"/>
  <c r="B16977" i="1"/>
  <c r="A16977" i="1"/>
  <c r="D10547" i="1"/>
  <c r="B10547" i="1"/>
  <c r="A10547" i="1"/>
  <c r="D6411" i="1"/>
  <c r="B6411" i="1"/>
  <c r="A6411" i="1"/>
  <c r="D14823" i="1"/>
  <c r="B14823" i="1"/>
  <c r="A14823" i="1"/>
  <c r="D17829" i="1"/>
  <c r="B17829" i="1"/>
  <c r="A17829" i="1"/>
  <c r="D16182" i="1"/>
  <c r="A16182" i="1"/>
  <c r="D9500" i="1"/>
  <c r="A9500" i="1"/>
  <c r="D7373" i="1"/>
  <c r="A7373" i="1"/>
  <c r="D17803" i="1"/>
  <c r="B17803" i="1"/>
  <c r="A17803" i="1"/>
  <c r="D8137" i="1"/>
  <c r="B8137" i="1"/>
  <c r="A8137" i="1"/>
  <c r="D14981" i="1"/>
  <c r="B14981" i="1"/>
  <c r="A14981" i="1"/>
  <c r="D18068" i="1"/>
  <c r="B18068" i="1"/>
  <c r="A18068" i="1"/>
  <c r="D17587" i="1"/>
  <c r="A17587" i="1"/>
  <c r="D9535" i="1"/>
  <c r="A9535" i="1"/>
  <c r="D8229" i="1"/>
  <c r="B8229" i="1"/>
  <c r="A8229" i="1"/>
  <c r="D7302" i="1"/>
  <c r="B7302" i="1"/>
  <c r="A7302" i="1"/>
  <c r="D17907" i="1"/>
  <c r="B17907" i="1"/>
  <c r="A17907" i="1"/>
  <c r="D15142" i="1"/>
  <c r="A15142" i="1"/>
  <c r="D17786" i="1"/>
  <c r="B17786" i="1"/>
  <c r="A17786" i="1"/>
  <c r="D13911" i="1"/>
  <c r="B13911" i="1"/>
  <c r="A13911" i="1"/>
  <c r="D18010" i="1"/>
  <c r="B18010" i="1"/>
  <c r="A18010" i="1"/>
  <c r="D7739" i="1"/>
  <c r="A7739" i="1"/>
  <c r="D15507" i="1"/>
  <c r="B15507" i="1"/>
  <c r="A15507" i="1"/>
  <c r="D6838" i="1"/>
  <c r="B6838" i="1"/>
  <c r="A6838" i="1"/>
  <c r="D10078" i="1"/>
  <c r="A10078" i="1"/>
  <c r="D6289" i="1"/>
  <c r="B6289" i="1"/>
  <c r="A6289" i="1"/>
  <c r="D17516" i="1"/>
  <c r="B17516" i="1"/>
  <c r="A17516" i="1"/>
  <c r="D6816" i="1"/>
  <c r="B6816" i="1"/>
  <c r="A6816" i="1"/>
  <c r="D12133" i="1"/>
  <c r="B12133" i="1"/>
  <c r="A12133" i="1"/>
  <c r="D6895" i="1"/>
  <c r="B6895" i="1"/>
  <c r="A6895" i="1"/>
  <c r="D16466" i="1"/>
  <c r="B16466" i="1"/>
  <c r="A16466" i="1"/>
  <c r="D15959" i="1"/>
  <c r="A15959" i="1"/>
  <c r="D15867" i="1"/>
  <c r="B15867" i="1"/>
  <c r="A15867" i="1"/>
  <c r="D15914" i="1"/>
  <c r="B15914" i="1"/>
  <c r="A15914" i="1"/>
  <c r="D17021" i="1"/>
  <c r="A17021" i="1"/>
  <c r="D6236" i="1"/>
  <c r="A6236" i="1"/>
  <c r="D9226" i="1"/>
  <c r="A9226" i="1"/>
  <c r="D13038" i="1"/>
  <c r="B13038" i="1"/>
  <c r="A13038" i="1"/>
  <c r="D15987" i="1"/>
  <c r="B15987" i="1"/>
  <c r="A15987" i="1"/>
  <c r="D14708" i="1"/>
  <c r="B14708" i="1"/>
  <c r="A14708" i="1"/>
  <c r="D17215" i="1"/>
  <c r="B17215" i="1"/>
  <c r="A17215" i="1"/>
  <c r="D15904" i="1"/>
  <c r="B15904" i="1"/>
  <c r="A15904" i="1"/>
  <c r="D18679" i="1"/>
  <c r="B18679" i="1"/>
  <c r="A18679" i="1"/>
  <c r="D7405" i="1"/>
  <c r="A7405" i="1"/>
  <c r="D17392" i="1"/>
  <c r="A17392" i="1"/>
  <c r="D16063" i="1"/>
  <c r="A16063" i="1"/>
  <c r="D6576" i="1"/>
  <c r="B6576" i="1"/>
  <c r="A6576" i="1"/>
  <c r="D15163" i="1"/>
  <c r="B15163" i="1"/>
  <c r="A15163" i="1"/>
  <c r="D5382" i="1"/>
  <c r="A5382" i="1"/>
  <c r="D16517" i="1"/>
  <c r="B16517" i="1"/>
  <c r="A16517" i="1"/>
  <c r="D9432" i="1"/>
  <c r="A9432" i="1"/>
  <c r="D18276" i="1"/>
  <c r="B18276" i="1"/>
  <c r="A18276" i="1"/>
  <c r="D7695" i="1"/>
  <c r="B7695" i="1"/>
  <c r="A7695" i="1"/>
  <c r="D12603" i="1"/>
  <c r="A12603" i="1"/>
  <c r="D6710" i="1"/>
  <c r="A6710" i="1"/>
  <c r="D8546" i="1"/>
  <c r="B8546" i="1"/>
  <c r="A8546" i="1"/>
  <c r="D7063" i="1"/>
  <c r="A7063" i="1"/>
  <c r="D18518" i="1"/>
  <c r="B18518" i="1"/>
  <c r="A18518" i="1"/>
  <c r="D10008" i="1"/>
  <c r="A10008" i="1"/>
  <c r="D15337" i="1"/>
  <c r="B15337" i="1"/>
  <c r="A15337" i="1"/>
  <c r="D15155" i="1"/>
  <c r="B15155" i="1"/>
  <c r="A15155" i="1"/>
  <c r="D12205" i="1"/>
  <c r="A12205" i="1"/>
  <c r="D15149" i="1"/>
  <c r="B15149" i="1"/>
  <c r="A15149" i="1"/>
  <c r="D9185" i="1"/>
  <c r="B9185" i="1"/>
  <c r="A9185" i="1"/>
  <c r="D15013" i="1"/>
  <c r="B15013" i="1"/>
  <c r="A15013" i="1"/>
  <c r="D17792" i="1"/>
  <c r="A17792" i="1"/>
  <c r="D14917" i="1"/>
  <c r="A14917" i="1"/>
  <c r="D13895" i="1"/>
  <c r="A13895" i="1"/>
  <c r="D12897" i="1"/>
  <c r="A12897" i="1"/>
  <c r="D11925" i="1"/>
  <c r="A11925" i="1"/>
  <c r="D6069" i="1"/>
  <c r="A6069" i="1"/>
  <c r="D15328" i="1"/>
  <c r="B15328" i="1"/>
  <c r="A15328" i="1"/>
  <c r="D13969" i="1"/>
  <c r="A13969" i="1"/>
  <c r="D10128" i="1"/>
  <c r="B10128" i="1"/>
  <c r="A10128" i="1"/>
  <c r="D12896" i="1"/>
  <c r="A12896" i="1"/>
  <c r="D12221" i="1"/>
  <c r="A12221" i="1"/>
  <c r="D11429" i="1"/>
  <c r="A11429" i="1"/>
  <c r="D16155" i="1"/>
  <c r="A16155" i="1"/>
  <c r="D5488" i="1"/>
  <c r="A5488" i="1"/>
  <c r="D10394" i="1"/>
  <c r="A10394" i="1"/>
  <c r="D11887" i="1"/>
  <c r="A11887" i="1"/>
  <c r="D6555" i="1"/>
  <c r="A6555" i="1"/>
  <c r="D10736" i="1"/>
  <c r="A10736" i="1"/>
  <c r="D10235" i="1"/>
  <c r="B10235" i="1"/>
  <c r="A10235" i="1"/>
  <c r="D14831" i="1"/>
  <c r="B14831" i="1"/>
  <c r="A14831" i="1"/>
  <c r="D6990" i="1"/>
  <c r="A6990" i="1"/>
  <c r="D9371" i="1"/>
  <c r="A9371" i="1"/>
  <c r="D16955" i="1"/>
  <c r="A16955" i="1"/>
  <c r="D10605" i="1"/>
  <c r="A10605" i="1"/>
  <c r="D12444" i="1"/>
  <c r="A12444" i="1"/>
  <c r="D5766" i="1"/>
  <c r="A5766" i="1"/>
  <c r="D17314" i="1"/>
  <c r="A17314" i="1"/>
  <c r="D5614" i="1"/>
  <c r="A5614" i="1"/>
  <c r="D15567" i="1"/>
  <c r="A15567" i="1"/>
  <c r="D14129" i="1"/>
  <c r="A14129" i="1"/>
  <c r="D12432" i="1"/>
  <c r="A12432" i="1"/>
  <c r="D16879" i="1"/>
  <c r="A16879" i="1"/>
  <c r="D15907" i="1"/>
  <c r="B15907" i="1"/>
  <c r="A15907" i="1"/>
  <c r="D5905" i="1"/>
  <c r="A5905" i="1"/>
  <c r="D13942" i="1"/>
  <c r="A13942" i="1"/>
  <c r="D10278" i="1"/>
  <c r="A10278" i="1"/>
  <c r="D6898" i="1"/>
  <c r="A6898" i="1"/>
  <c r="D7124" i="1"/>
  <c r="A7124" i="1"/>
  <c r="D10309" i="1"/>
  <c r="A10309" i="1"/>
  <c r="D15605" i="1"/>
  <c r="A15605" i="1"/>
  <c r="D15608" i="1"/>
  <c r="A15608" i="1"/>
  <c r="D10206" i="1"/>
  <c r="A10206" i="1"/>
  <c r="D18572" i="1"/>
  <c r="A18572" i="1"/>
  <c r="D12158" i="1"/>
  <c r="A12158" i="1"/>
  <c r="D18756" i="1"/>
  <c r="A18756" i="1"/>
  <c r="D7032" i="1"/>
  <c r="A7032" i="1"/>
  <c r="D16173" i="1"/>
  <c r="A16173" i="1"/>
  <c r="D6966" i="1"/>
  <c r="A6966" i="1"/>
  <c r="D6965" i="1"/>
  <c r="A6965" i="1"/>
  <c r="D16988" i="1"/>
  <c r="A16988" i="1"/>
  <c r="D9198" i="1"/>
  <c r="A9198" i="1"/>
  <c r="D7831" i="1"/>
  <c r="A7831" i="1"/>
  <c r="D9694" i="1"/>
  <c r="A9694" i="1"/>
  <c r="D7343" i="1"/>
  <c r="A7343" i="1"/>
  <c r="D7566" i="1"/>
  <c r="A7566" i="1"/>
  <c r="D10276" i="1"/>
  <c r="A10276" i="1"/>
  <c r="D9281" i="1"/>
  <c r="A9281" i="1"/>
  <c r="D18546" i="1"/>
  <c r="A18546" i="1"/>
  <c r="D9426" i="1"/>
  <c r="B9426" i="1"/>
  <c r="A9426" i="1"/>
  <c r="D18628" i="1"/>
  <c r="B18628" i="1"/>
  <c r="A18628" i="1"/>
  <c r="D7006" i="1"/>
  <c r="A7006" i="1"/>
  <c r="D16307" i="1"/>
  <c r="A16307" i="1"/>
  <c r="D18611" i="1"/>
  <c r="A18611" i="1"/>
  <c r="D10425" i="1"/>
  <c r="A10425" i="1"/>
  <c r="D10387" i="1"/>
  <c r="A10387" i="1"/>
  <c r="D9845" i="1"/>
  <c r="A9845" i="1"/>
  <c r="D6745" i="1"/>
  <c r="A6745" i="1"/>
  <c r="D5473" i="1"/>
  <c r="A5473" i="1"/>
  <c r="D6557" i="1"/>
  <c r="A6557" i="1"/>
  <c r="D15917" i="1"/>
  <c r="A15917" i="1"/>
  <c r="D6696" i="1"/>
  <c r="A6696" i="1"/>
  <c r="D12682" i="1"/>
  <c r="A12682" i="1"/>
  <c r="D14913" i="1"/>
  <c r="B14913" i="1"/>
  <c r="A14913" i="1"/>
  <c r="D9142" i="1"/>
  <c r="A9142" i="1"/>
  <c r="D5787" i="1"/>
  <c r="A5787" i="1"/>
  <c r="D10376" i="1"/>
  <c r="A10376" i="1"/>
  <c r="D15730" i="1"/>
  <c r="A15730" i="1"/>
  <c r="D15618" i="1"/>
  <c r="A15618" i="1"/>
  <c r="D10850" i="1"/>
  <c r="A10850" i="1"/>
  <c r="D9253" i="1"/>
  <c r="A9253" i="1"/>
  <c r="D13946" i="1"/>
  <c r="A13946" i="1"/>
  <c r="D18479" i="1"/>
  <c r="A18479" i="1"/>
  <c r="D8105" i="1"/>
  <c r="A8105" i="1"/>
  <c r="D16997" i="1"/>
  <c r="A16997" i="1"/>
  <c r="D6950" i="1"/>
  <c r="A6950" i="1"/>
  <c r="D7915" i="1"/>
  <c r="A7915" i="1"/>
  <c r="D13864" i="1"/>
  <c r="A13864" i="1"/>
  <c r="D17614" i="1"/>
  <c r="A17614" i="1"/>
  <c r="D14972" i="1"/>
  <c r="B14972" i="1"/>
  <c r="A14972" i="1"/>
  <c r="D15670" i="1"/>
  <c r="A15670" i="1"/>
  <c r="D7814" i="1"/>
  <c r="A7814" i="1"/>
  <c r="D15034" i="1"/>
  <c r="A15034" i="1"/>
  <c r="D11934" i="1"/>
  <c r="A11934" i="1"/>
  <c r="D15273" i="1"/>
  <c r="A15273" i="1"/>
  <c r="D15411" i="1"/>
  <c r="A15411" i="1"/>
  <c r="D9050" i="1"/>
  <c r="B9050" i="1"/>
  <c r="A9050" i="1"/>
  <c r="D9077" i="1"/>
  <c r="A9077" i="1"/>
  <c r="D8431" i="1"/>
  <c r="A8431" i="1"/>
  <c r="D16300" i="1"/>
  <c r="B16300" i="1"/>
  <c r="A16300" i="1"/>
  <c r="D7833" i="1"/>
  <c r="A7833" i="1"/>
  <c r="D5508" i="1"/>
  <c r="A5508" i="1"/>
  <c r="D17778" i="1"/>
  <c r="A17778" i="1"/>
  <c r="D9244" i="1"/>
  <c r="A9244" i="1"/>
  <c r="D10037" i="1"/>
  <c r="A10037" i="1"/>
  <c r="D9859" i="1"/>
  <c r="A9859" i="1"/>
  <c r="D10709" i="1"/>
  <c r="A10709" i="1"/>
  <c r="D13897" i="1"/>
  <c r="A13897" i="1"/>
  <c r="D9085" i="1"/>
  <c r="A9085" i="1"/>
  <c r="D8487" i="1"/>
  <c r="A8487" i="1"/>
  <c r="D10257" i="1"/>
  <c r="A10257" i="1"/>
  <c r="D10259" i="1"/>
  <c r="A10259" i="1"/>
  <c r="D16068" i="1"/>
  <c r="A16068" i="1"/>
  <c r="D7279" i="1"/>
  <c r="A7279" i="1"/>
  <c r="D5334" i="1"/>
  <c r="A5334" i="1"/>
  <c r="D7278" i="1"/>
  <c r="A7278" i="1"/>
  <c r="D12877" i="1"/>
  <c r="A12877" i="1"/>
  <c r="D17034" i="1"/>
  <c r="A17034" i="1"/>
  <c r="D10740" i="1"/>
  <c r="A10740" i="1"/>
  <c r="D18468" i="1"/>
  <c r="A18468" i="1"/>
  <c r="D6652" i="1"/>
  <c r="A6652" i="1"/>
  <c r="D5758" i="1"/>
  <c r="A5758" i="1"/>
  <c r="D5801" i="1"/>
  <c r="A5801" i="1"/>
  <c r="D11875" i="1"/>
  <c r="A11875" i="1"/>
  <c r="D5824" i="1"/>
  <c r="A5824" i="1"/>
  <c r="D5684" i="1"/>
  <c r="A5684" i="1"/>
  <c r="D5825" i="1"/>
  <c r="A5825" i="1"/>
  <c r="D5344" i="1"/>
  <c r="A5344" i="1"/>
  <c r="D5649" i="1"/>
  <c r="A5649" i="1"/>
  <c r="D10638" i="1"/>
  <c r="A10638" i="1"/>
  <c r="D10639" i="1"/>
  <c r="A10639" i="1"/>
  <c r="D5416" i="1"/>
  <c r="A5416" i="1"/>
  <c r="D5567" i="1"/>
  <c r="A5567" i="1"/>
  <c r="D5747" i="1"/>
  <c r="A5747" i="1"/>
  <c r="D8765" i="1"/>
  <c r="A8765" i="1"/>
  <c r="D14023" i="1"/>
  <c r="B14023" i="1"/>
  <c r="A14023" i="1"/>
  <c r="D18577" i="1"/>
  <c r="A18577" i="1"/>
  <c r="D12593" i="1"/>
  <c r="A12593" i="1"/>
  <c r="D7137" i="1"/>
  <c r="A7137" i="1"/>
  <c r="D5604" i="1"/>
  <c r="A5604" i="1"/>
  <c r="D5340" i="1"/>
  <c r="A5340" i="1"/>
  <c r="D5826" i="1"/>
  <c r="A5826" i="1"/>
  <c r="D5675" i="1"/>
  <c r="A5675" i="1"/>
  <c r="D17555" i="1"/>
  <c r="A17555" i="1"/>
  <c r="D17804" i="1"/>
  <c r="B17804" i="1"/>
  <c r="A17804" i="1"/>
  <c r="D5692" i="1"/>
  <c r="A5692" i="1"/>
  <c r="D5823" i="1"/>
  <c r="A5823" i="1"/>
  <c r="D5733" i="1"/>
  <c r="A5733" i="1"/>
  <c r="D17182" i="1"/>
  <c r="A17182" i="1"/>
  <c r="D18077" i="1"/>
  <c r="A18077" i="1"/>
  <c r="D5651" i="1"/>
  <c r="A5651" i="1"/>
  <c r="D15419" i="1"/>
  <c r="B15419" i="1"/>
  <c r="A15419" i="1"/>
  <c r="D5673" i="1"/>
  <c r="A5673" i="1"/>
  <c r="D5659" i="1"/>
  <c r="A5659" i="1"/>
  <c r="D5855" i="1"/>
  <c r="A5855" i="1"/>
  <c r="D17132" i="1"/>
  <c r="B17132" i="1"/>
  <c r="A17132" i="1"/>
  <c r="D5438" i="1"/>
  <c r="A5438" i="1"/>
  <c r="D5602" i="1"/>
  <c r="A5602" i="1"/>
  <c r="D5622" i="1"/>
  <c r="A5622" i="1"/>
  <c r="D5814" i="1"/>
  <c r="A5814" i="1"/>
  <c r="D5542" i="1"/>
  <c r="A5542" i="1"/>
  <c r="D15464" i="1"/>
  <c r="A15464" i="1"/>
  <c r="D5594" i="1"/>
  <c r="A5594" i="1"/>
  <c r="D5742" i="1"/>
  <c r="A5742" i="1"/>
  <c r="D5601" i="1"/>
  <c r="A5601" i="1"/>
  <c r="D5329" i="1"/>
  <c r="A5329" i="1"/>
  <c r="D5411" i="1"/>
  <c r="A5411" i="1"/>
  <c r="D5490" i="1"/>
  <c r="A5490" i="1"/>
  <c r="D5669" i="1"/>
  <c r="A5669" i="1"/>
  <c r="D5446" i="1"/>
  <c r="A5446" i="1"/>
  <c r="D5736" i="1"/>
  <c r="A5736" i="1"/>
  <c r="D5575" i="1"/>
  <c r="A5575" i="1"/>
  <c r="D15401" i="1"/>
  <c r="B15401" i="1"/>
  <c r="A15401" i="1"/>
  <c r="D5663" i="1"/>
  <c r="A5663" i="1"/>
  <c r="D5599" i="1"/>
  <c r="A5599" i="1"/>
  <c r="D5587" i="1"/>
  <c r="A5587" i="1"/>
  <c r="D5703" i="1"/>
  <c r="A5703" i="1"/>
  <c r="D5457" i="1"/>
  <c r="A5457" i="1"/>
  <c r="D6196" i="1"/>
  <c r="A6196" i="1"/>
  <c r="D7719" i="1"/>
  <c r="A7719" i="1"/>
  <c r="D9213" i="1"/>
  <c r="A9213" i="1"/>
  <c r="D11104" i="1"/>
  <c r="B11104" i="1"/>
  <c r="A11104" i="1"/>
  <c r="D11963" i="1"/>
  <c r="A11963" i="1"/>
  <c r="D14036" i="1"/>
  <c r="A14036" i="1"/>
  <c r="D18675" i="1"/>
  <c r="A18675" i="1"/>
  <c r="D11883" i="1"/>
  <c r="A11883" i="1"/>
  <c r="D9108" i="1"/>
  <c r="A9108" i="1"/>
  <c r="D6275" i="1"/>
  <c r="A6275" i="1"/>
  <c r="D10539" i="1"/>
  <c r="A10539" i="1"/>
  <c r="D7683" i="1"/>
  <c r="A7683" i="1"/>
  <c r="D10222" i="1"/>
  <c r="A10222" i="1"/>
  <c r="D11445" i="1"/>
  <c r="A11445" i="1"/>
  <c r="D17772" i="1"/>
  <c r="A17772" i="1"/>
  <c r="D17297" i="1"/>
  <c r="A17297" i="1"/>
  <c r="D17241" i="1"/>
  <c r="A17241" i="1"/>
  <c r="D17657" i="1"/>
  <c r="A17657" i="1"/>
  <c r="D17687" i="1"/>
  <c r="A17687" i="1"/>
  <c r="D16047" i="1"/>
  <c r="B16047" i="1"/>
  <c r="A16047" i="1"/>
  <c r="D7548" i="1"/>
  <c r="B7548" i="1"/>
  <c r="A7548" i="1"/>
  <c r="D15893" i="1"/>
  <c r="A15893" i="1"/>
  <c r="D6713" i="1"/>
  <c r="A6713" i="1"/>
  <c r="D18544" i="1"/>
  <c r="A18544" i="1"/>
  <c r="D7773" i="1"/>
  <c r="A7773" i="1"/>
  <c r="D15665" i="1"/>
  <c r="B15665" i="1"/>
  <c r="A15665" i="1"/>
  <c r="D11946" i="1"/>
  <c r="A11946" i="1"/>
  <c r="D10045" i="1"/>
  <c r="A10045" i="1"/>
  <c r="D14792" i="1"/>
  <c r="B14792" i="1"/>
  <c r="A14792" i="1"/>
  <c r="D9387" i="1"/>
  <c r="B9387" i="1"/>
  <c r="A9387" i="1"/>
  <c r="D8955" i="1"/>
  <c r="A8955" i="1"/>
  <c r="D5868" i="1"/>
  <c r="A5868" i="1"/>
  <c r="D17629" i="1"/>
  <c r="A17629" i="1"/>
  <c r="D17695" i="1"/>
  <c r="A17695" i="1"/>
  <c r="D10919" i="1"/>
  <c r="A10919" i="1"/>
  <c r="D10666" i="1"/>
  <c r="A10666" i="1"/>
  <c r="D17409" i="1"/>
  <c r="B17409" i="1"/>
  <c r="A17409" i="1"/>
  <c r="D7483" i="1"/>
  <c r="A7483" i="1"/>
  <c r="D7555" i="1"/>
  <c r="B7555" i="1"/>
  <c r="A7555" i="1"/>
  <c r="D9811" i="1"/>
  <c r="A9811" i="1"/>
  <c r="D8720" i="1"/>
  <c r="A8720" i="1"/>
  <c r="D8721" i="1"/>
  <c r="A8721" i="1"/>
  <c r="D9494" i="1"/>
  <c r="A9494" i="1"/>
  <c r="D7317" i="1"/>
  <c r="A7317" i="1"/>
  <c r="D15920" i="1"/>
  <c r="A15920" i="1"/>
  <c r="D15899" i="1"/>
  <c r="A15899" i="1"/>
  <c r="D9790" i="1"/>
  <c r="A9790" i="1"/>
  <c r="D17381" i="1"/>
  <c r="A17381" i="1"/>
  <c r="D13565" i="1"/>
  <c r="B13565" i="1"/>
  <c r="A13565" i="1"/>
  <c r="D14765" i="1"/>
  <c r="B14765" i="1"/>
  <c r="A14765" i="1"/>
  <c r="D16905" i="1"/>
  <c r="B16905" i="1"/>
  <c r="A16905" i="1"/>
  <c r="D12584" i="1"/>
  <c r="B12584" i="1"/>
  <c r="A12584" i="1"/>
  <c r="D9899" i="1"/>
  <c r="B9899" i="1"/>
  <c r="A9899" i="1"/>
  <c r="D9573" i="1"/>
  <c r="A9573" i="1"/>
  <c r="D9220" i="1"/>
  <c r="A9220" i="1"/>
  <c r="D15353" i="1"/>
  <c r="B15353" i="1"/>
  <c r="A15353" i="1"/>
  <c r="D17303" i="1"/>
  <c r="B17303" i="1"/>
  <c r="A17303" i="1"/>
  <c r="D18250" i="1"/>
  <c r="A18250" i="1"/>
  <c r="D5716" i="1"/>
  <c r="A5716" i="1"/>
  <c r="D14176" i="1"/>
  <c r="C14176" i="1"/>
  <c r="B14176" i="1"/>
  <c r="A14176" i="1"/>
  <c r="D9954" i="1"/>
  <c r="B9954" i="1"/>
  <c r="A9954" i="1"/>
  <c r="D9027" i="1"/>
  <c r="A9027" i="1"/>
  <c r="D7518" i="1"/>
  <c r="B7518" i="1"/>
  <c r="A7518" i="1"/>
  <c r="D17292" i="1"/>
  <c r="A17292" i="1"/>
  <c r="D9243" i="1"/>
  <c r="B9243" i="1"/>
  <c r="A9243" i="1"/>
  <c r="D5831" i="1"/>
  <c r="A5831" i="1"/>
  <c r="D17445" i="1"/>
  <c r="A17445" i="1"/>
  <c r="D17380" i="1"/>
  <c r="A17380" i="1"/>
  <c r="D14833" i="1"/>
  <c r="B14833" i="1"/>
  <c r="A14833" i="1"/>
  <c r="D7781" i="1"/>
  <c r="A7781" i="1"/>
  <c r="D15070" i="1"/>
  <c r="B15070" i="1"/>
  <c r="A15070" i="1"/>
  <c r="D5694" i="1"/>
  <c r="A5694" i="1"/>
  <c r="D5616" i="1"/>
  <c r="A5616" i="1"/>
  <c r="D18743" i="1"/>
  <c r="A18743" i="1"/>
  <c r="D15098" i="1"/>
  <c r="A15098" i="1"/>
  <c r="D7810" i="1"/>
  <c r="A7810" i="1"/>
  <c r="D18627" i="1"/>
  <c r="A18627" i="1"/>
  <c r="D18476" i="1"/>
  <c r="A18476" i="1"/>
  <c r="D9042" i="1"/>
  <c r="A9042" i="1"/>
  <c r="D18030" i="1"/>
  <c r="B18030" i="1"/>
  <c r="A18030" i="1"/>
  <c r="D5591" i="1"/>
  <c r="A5591" i="1"/>
  <c r="D6536" i="1"/>
  <c r="A6536" i="1"/>
  <c r="D18384" i="1"/>
  <c r="A18384" i="1"/>
  <c r="D15512" i="1"/>
  <c r="A15512" i="1"/>
  <c r="D15416" i="1"/>
  <c r="B15416" i="1"/>
  <c r="A15416" i="1"/>
  <c r="D12023" i="1"/>
  <c r="A12023" i="1"/>
  <c r="D7892" i="1"/>
  <c r="B7892" i="1"/>
  <c r="A7892" i="1"/>
  <c r="D5841" i="1"/>
  <c r="A5841" i="1"/>
  <c r="D17197" i="1"/>
  <c r="A17197" i="1"/>
  <c r="D8447" i="1"/>
  <c r="A8447" i="1"/>
  <c r="D9382" i="1"/>
  <c r="A9382" i="1"/>
  <c r="D16487" i="1"/>
  <c r="B16487" i="1"/>
  <c r="A16487" i="1"/>
  <c r="D7114" i="1"/>
  <c r="B7114" i="1"/>
  <c r="A7114" i="1"/>
  <c r="D17325" i="1"/>
  <c r="B17325" i="1"/>
  <c r="A17325" i="1"/>
  <c r="D10294" i="1"/>
  <c r="B10294" i="1"/>
  <c r="A10294" i="1"/>
  <c r="D8057" i="1"/>
  <c r="B8057" i="1"/>
  <c r="A8057" i="1"/>
  <c r="D10933" i="1"/>
  <c r="A10933" i="1"/>
  <c r="D18094" i="1"/>
  <c r="B18094" i="1"/>
  <c r="A18094" i="1"/>
  <c r="D8423" i="1"/>
  <c r="B8423" i="1"/>
  <c r="A8423" i="1"/>
  <c r="D10800" i="1"/>
  <c r="A10800" i="1"/>
  <c r="D10814" i="1"/>
  <c r="B10814" i="1"/>
  <c r="A10814" i="1"/>
  <c r="D17267" i="1"/>
  <c r="A17267" i="1"/>
  <c r="D6657" i="1"/>
  <c r="B6657" i="1"/>
  <c r="A6657" i="1"/>
  <c r="D17825" i="1"/>
  <c r="B17825" i="1"/>
  <c r="A17825" i="1"/>
  <c r="D5529" i="1"/>
  <c r="A5529" i="1"/>
  <c r="D15295" i="1"/>
  <c r="B15295" i="1"/>
  <c r="A15295" i="1"/>
  <c r="D7280" i="1"/>
  <c r="A7280" i="1"/>
  <c r="D7632" i="1"/>
  <c r="A7632" i="1"/>
  <c r="D10381" i="1"/>
  <c r="B10381" i="1"/>
  <c r="A10381" i="1"/>
  <c r="D5458" i="1"/>
  <c r="A5458" i="1"/>
  <c r="D6313" i="1"/>
  <c r="A6313" i="1"/>
  <c r="D16218" i="1"/>
  <c r="A16218" i="1"/>
  <c r="D17643" i="1"/>
  <c r="A17643" i="1"/>
  <c r="D7169" i="1"/>
  <c r="B7169" i="1"/>
  <c r="A7169" i="1"/>
  <c r="D6762" i="1"/>
  <c r="A6762" i="1"/>
  <c r="D17922" i="1"/>
  <c r="A17922" i="1"/>
  <c r="D6358" i="1"/>
  <c r="A6358" i="1"/>
  <c r="D12930" i="1"/>
  <c r="B12930" i="1"/>
  <c r="A12930" i="1"/>
  <c r="D17996" i="1"/>
  <c r="A17996" i="1"/>
  <c r="D9410" i="1"/>
  <c r="B9410" i="1"/>
  <c r="A9410" i="1"/>
  <c r="D5399" i="1"/>
  <c r="A5399" i="1"/>
  <c r="D16994" i="1"/>
  <c r="A16994" i="1"/>
  <c r="D10343" i="1"/>
  <c r="B10343" i="1"/>
  <c r="A10343" i="1"/>
  <c r="D15749" i="1"/>
  <c r="A15749" i="1"/>
  <c r="D17993" i="1"/>
  <c r="A17993" i="1"/>
  <c r="D7808" i="1"/>
  <c r="A7808" i="1"/>
  <c r="D8181" i="1"/>
  <c r="B8181" i="1"/>
  <c r="A8181" i="1"/>
  <c r="D18210" i="1"/>
  <c r="A18210" i="1"/>
  <c r="D6600" i="1"/>
  <c r="B6600" i="1"/>
  <c r="A6600" i="1"/>
  <c r="D14894" i="1"/>
  <c r="B14894" i="1"/>
  <c r="A14894" i="1"/>
  <c r="D17117" i="1"/>
  <c r="A17117" i="1"/>
  <c r="D14887" i="1"/>
  <c r="B14887" i="1"/>
  <c r="A14887" i="1"/>
  <c r="D11471" i="1"/>
  <c r="A11471" i="1"/>
  <c r="D12007" i="1"/>
  <c r="B12007" i="1"/>
  <c r="A12007" i="1"/>
  <c r="D15057" i="1"/>
  <c r="B15057" i="1"/>
  <c r="A15057" i="1"/>
  <c r="D11781" i="1"/>
  <c r="B11781" i="1"/>
  <c r="A11781" i="1"/>
  <c r="D18615" i="1"/>
  <c r="B18615" i="1"/>
  <c r="A18615" i="1"/>
  <c r="D5802" i="1"/>
  <c r="A5802" i="1"/>
  <c r="D14864" i="1"/>
  <c r="B14864" i="1"/>
  <c r="A14864" i="1"/>
  <c r="D7477" i="1"/>
  <c r="B7477" i="1"/>
  <c r="A7477" i="1"/>
  <c r="D16367" i="1"/>
  <c r="A16367" i="1"/>
  <c r="D14802" i="1"/>
  <c r="B14802" i="1"/>
  <c r="A14802" i="1"/>
  <c r="D14775" i="1"/>
  <c r="B14775" i="1"/>
  <c r="A14775" i="1"/>
  <c r="D10356" i="1"/>
  <c r="B10356" i="1"/>
  <c r="A10356" i="1"/>
  <c r="D9929" i="1"/>
  <c r="B9929" i="1"/>
  <c r="A9929" i="1"/>
  <c r="D10555" i="1"/>
  <c r="A10555" i="1"/>
  <c r="D17327" i="1"/>
  <c r="A17327" i="1"/>
  <c r="D18070" i="1"/>
  <c r="B18070" i="1"/>
  <c r="A18070" i="1"/>
  <c r="D8216" i="1"/>
  <c r="B8216" i="1"/>
  <c r="A8216" i="1"/>
  <c r="D14041" i="1"/>
  <c r="A14041" i="1"/>
  <c r="D8767" i="1"/>
  <c r="B8767" i="1"/>
  <c r="A8767" i="1"/>
  <c r="D12448" i="1"/>
  <c r="A12448" i="1"/>
  <c r="D6066" i="1"/>
  <c r="A6066" i="1"/>
  <c r="D7146" i="1"/>
  <c r="B7146" i="1"/>
  <c r="A7146" i="1"/>
  <c r="D18103" i="1"/>
  <c r="B18103" i="1"/>
  <c r="A18103" i="1"/>
  <c r="D7658" i="1"/>
  <c r="B7658" i="1"/>
  <c r="A7658" i="1"/>
  <c r="D8722" i="1"/>
  <c r="A8722" i="1"/>
  <c r="D15675" i="1"/>
  <c r="B15675" i="1"/>
  <c r="A15675" i="1"/>
  <c r="D8358" i="1"/>
  <c r="B8358" i="1"/>
  <c r="A8358" i="1"/>
  <c r="D10883" i="1"/>
  <c r="A10883" i="1"/>
  <c r="D10062" i="1"/>
  <c r="A10062" i="1"/>
  <c r="D15131" i="1"/>
  <c r="B15131" i="1"/>
  <c r="A15131" i="1"/>
  <c r="D5722" i="1"/>
  <c r="A5722" i="1"/>
  <c r="D13771" i="1"/>
  <c r="B13771" i="1"/>
  <c r="A13771" i="1"/>
  <c r="D16885" i="1"/>
  <c r="A16885" i="1"/>
  <c r="D6728" i="1"/>
  <c r="B6728" i="1"/>
  <c r="A6728" i="1"/>
  <c r="D5461" i="1"/>
  <c r="A5461" i="1"/>
  <c r="D8937" i="1"/>
  <c r="B8937" i="1"/>
  <c r="A8937" i="1"/>
  <c r="D8977" i="1"/>
  <c r="B8977" i="1"/>
  <c r="A8977" i="1"/>
  <c r="D8758" i="1"/>
  <c r="B8758" i="1"/>
  <c r="A8758" i="1"/>
  <c r="D15861" i="1"/>
  <c r="B15861" i="1"/>
  <c r="A15861" i="1"/>
  <c r="D17485" i="1"/>
  <c r="A17485" i="1"/>
  <c r="D5426" i="1"/>
  <c r="A5426" i="1"/>
  <c r="D9372" i="1"/>
  <c r="B9372" i="1"/>
  <c r="A9372" i="1"/>
  <c r="D16880" i="1"/>
  <c r="A16880" i="1"/>
  <c r="D8079" i="1"/>
  <c r="B8079" i="1"/>
  <c r="A8079" i="1"/>
  <c r="D9238" i="1"/>
  <c r="A9238" i="1"/>
  <c r="D18560" i="1"/>
  <c r="B18560" i="1"/>
  <c r="A18560" i="1"/>
  <c r="D9792" i="1"/>
  <c r="B9792" i="1"/>
  <c r="A9792" i="1"/>
  <c r="D11977" i="1"/>
  <c r="A11977" i="1"/>
  <c r="D12861" i="1"/>
  <c r="A12861" i="1"/>
  <c r="D7240" i="1"/>
  <c r="B7240" i="1"/>
  <c r="A7240" i="1"/>
  <c r="D9924" i="1"/>
  <c r="B9924" i="1"/>
  <c r="A9924" i="1"/>
  <c r="D8938" i="1"/>
  <c r="A8938" i="1"/>
  <c r="D16136" i="1"/>
  <c r="B16136" i="1"/>
  <c r="A16136" i="1"/>
  <c r="D10707" i="1"/>
  <c r="C10707" i="1"/>
  <c r="B10707" i="1"/>
  <c r="A10707" i="1"/>
  <c r="D12870" i="1"/>
  <c r="A12870" i="1"/>
  <c r="D16315" i="1"/>
  <c r="B16315" i="1"/>
  <c r="A16315" i="1"/>
  <c r="D9853" i="1"/>
  <c r="B9853" i="1"/>
  <c r="A9853" i="1"/>
  <c r="D10307" i="1"/>
  <c r="A10307" i="1"/>
  <c r="D16943" i="1"/>
  <c r="A16943" i="1"/>
  <c r="D10279" i="1"/>
  <c r="A10279" i="1"/>
  <c r="D5535" i="1"/>
  <c r="A5535" i="1"/>
  <c r="D16896" i="1"/>
  <c r="A16896" i="1"/>
  <c r="D5620" i="1"/>
  <c r="A5620" i="1"/>
  <c r="D10419" i="1"/>
  <c r="A10419" i="1"/>
  <c r="D12894" i="1"/>
  <c r="A12894" i="1"/>
  <c r="D9408" i="1"/>
  <c r="B9408" i="1"/>
  <c r="A9408" i="1"/>
  <c r="D15948" i="1"/>
  <c r="A15948" i="1"/>
  <c r="D16313" i="1"/>
  <c r="A16313" i="1"/>
  <c r="D5861" i="1"/>
  <c r="A5861" i="1"/>
  <c r="D5355" i="1"/>
  <c r="A5355" i="1"/>
  <c r="D5326" i="1"/>
  <c r="A5326" i="1"/>
  <c r="D11493" i="1"/>
  <c r="A11493" i="1"/>
  <c r="D5417" i="1"/>
  <c r="A5417" i="1"/>
  <c r="D7870" i="1"/>
  <c r="A7870" i="1"/>
  <c r="D17871" i="1"/>
  <c r="A17871" i="1"/>
  <c r="D7157" i="1"/>
  <c r="A7157" i="1"/>
  <c r="D9760" i="1"/>
  <c r="A9760" i="1"/>
  <c r="D6286" i="1"/>
  <c r="A6286" i="1"/>
  <c r="D12761" i="1"/>
  <c r="B12761" i="1"/>
  <c r="A12761" i="1"/>
  <c r="D11860" i="1"/>
  <c r="A11860" i="1"/>
  <c r="D10536" i="1"/>
  <c r="A10536" i="1"/>
  <c r="D13933" i="1"/>
  <c r="A13933" i="1"/>
  <c r="D12227" i="1"/>
  <c r="A12227" i="1"/>
  <c r="D7065" i="1"/>
  <c r="A7065" i="1"/>
  <c r="D7568" i="1"/>
  <c r="A7568" i="1"/>
  <c r="D9319" i="1"/>
  <c r="A9319" i="1"/>
  <c r="D10202" i="1"/>
  <c r="A10202" i="1"/>
  <c r="D6971" i="1"/>
  <c r="A6971" i="1"/>
  <c r="D18573" i="1"/>
  <c r="A18573" i="1"/>
  <c r="D12061" i="1"/>
  <c r="A12061" i="1"/>
  <c r="D9237" i="1"/>
  <c r="A9237" i="1"/>
  <c r="D16350" i="1"/>
  <c r="A16350" i="1"/>
  <c r="D6967" i="1"/>
  <c r="A6967" i="1"/>
  <c r="D7610" i="1"/>
  <c r="A7610" i="1"/>
  <c r="D9513" i="1"/>
  <c r="A9513" i="1"/>
  <c r="D7195" i="1"/>
  <c r="A7195" i="1"/>
  <c r="D6755" i="1"/>
  <c r="A6755" i="1"/>
  <c r="D9284" i="1"/>
  <c r="A9284" i="1"/>
  <c r="D18629" i="1"/>
  <c r="A18629" i="1"/>
  <c r="D10285" i="1"/>
  <c r="A10285" i="1"/>
  <c r="D16022" i="1"/>
  <c r="A16022" i="1"/>
  <c r="D18656" i="1"/>
  <c r="A18656" i="1"/>
  <c r="D9149" i="1"/>
  <c r="A9149" i="1"/>
  <c r="D9689" i="1"/>
  <c r="A9689" i="1"/>
  <c r="D9688" i="1"/>
  <c r="A9688" i="1"/>
  <c r="D12879" i="1"/>
  <c r="A12879" i="1"/>
  <c r="D15825" i="1"/>
  <c r="A15825" i="1"/>
  <c r="D16237" i="1"/>
  <c r="A16237" i="1"/>
  <c r="D6609" i="1"/>
  <c r="A6609" i="1"/>
  <c r="D7709" i="1"/>
  <c r="A7709" i="1"/>
  <c r="D7707" i="1"/>
  <c r="A7707" i="1"/>
  <c r="D14846" i="1"/>
  <c r="B14846" i="1"/>
  <c r="A14846" i="1"/>
  <c r="D6546" i="1"/>
  <c r="A6546" i="1"/>
  <c r="D6550" i="1"/>
  <c r="A6550" i="1"/>
  <c r="D13449" i="1"/>
  <c r="A13449" i="1"/>
  <c r="D7594" i="1"/>
  <c r="B7594" i="1"/>
  <c r="A7594" i="1"/>
  <c r="D16128" i="1"/>
  <c r="A16128" i="1"/>
  <c r="D9749" i="1"/>
  <c r="A9749" i="1"/>
  <c r="D8854" i="1"/>
  <c r="B8854" i="1"/>
  <c r="A8854" i="1"/>
  <c r="D6764" i="1"/>
  <c r="A6764" i="1"/>
  <c r="D12141" i="1"/>
  <c r="A12141" i="1"/>
  <c r="D8369" i="1"/>
  <c r="B8369" i="1"/>
  <c r="A8369" i="1"/>
  <c r="D17660" i="1"/>
  <c r="B17660" i="1"/>
  <c r="A17660" i="1"/>
  <c r="D10305" i="1"/>
  <c r="A10305" i="1"/>
  <c r="D15263" i="1"/>
  <c r="B15263" i="1"/>
  <c r="A15263" i="1"/>
  <c r="D9753" i="1"/>
  <c r="A9753" i="1"/>
  <c r="D10495" i="1"/>
  <c r="A10495" i="1"/>
  <c r="D8133" i="1"/>
  <c r="B8133" i="1"/>
  <c r="A8133" i="1"/>
  <c r="D6159" i="1"/>
  <c r="B6159" i="1"/>
  <c r="A6159" i="1"/>
  <c r="D18596" i="1"/>
  <c r="B18596" i="1"/>
  <c r="A18596" i="1"/>
  <c r="D6810" i="1"/>
  <c r="A6810" i="1"/>
  <c r="D14940" i="1"/>
  <c r="B14940" i="1"/>
  <c r="A14940" i="1"/>
  <c r="D15391" i="1"/>
  <c r="B15391" i="1"/>
  <c r="A15391" i="1"/>
  <c r="D7330" i="1"/>
  <c r="B7330" i="1"/>
  <c r="A7330" i="1"/>
  <c r="D13436" i="1"/>
  <c r="B13436" i="1"/>
  <c r="A13436" i="1"/>
  <c r="D16987" i="1"/>
  <c r="A16987" i="1"/>
  <c r="D13852" i="1"/>
  <c r="A13852" i="1"/>
  <c r="D9246" i="1"/>
  <c r="B9246" i="1"/>
  <c r="A9246" i="1"/>
  <c r="D7415" i="1"/>
  <c r="A7415" i="1"/>
  <c r="D10560" i="1"/>
  <c r="A10560" i="1"/>
  <c r="D12237" i="1"/>
  <c r="A12237" i="1"/>
  <c r="D9087" i="1"/>
  <c r="A9087" i="1"/>
  <c r="D10790" i="1"/>
  <c r="A10790" i="1"/>
  <c r="D14111" i="1"/>
  <c r="A14111" i="1"/>
  <c r="D7836" i="1"/>
  <c r="A7836" i="1"/>
  <c r="D15958" i="1"/>
  <c r="B15958" i="1"/>
  <c r="A15958" i="1"/>
  <c r="D12185" i="1"/>
  <c r="A12185" i="1"/>
  <c r="D16077" i="1"/>
  <c r="A16077" i="1"/>
  <c r="D7277" i="1"/>
  <c r="A7277" i="1"/>
  <c r="D12045" i="1"/>
  <c r="A12045" i="1"/>
  <c r="D5484" i="1"/>
  <c r="A5484" i="1"/>
  <c r="D17549" i="1"/>
  <c r="A17549" i="1"/>
  <c r="D6736" i="1"/>
  <c r="A6736" i="1"/>
  <c r="D16170" i="1"/>
  <c r="A16170" i="1"/>
  <c r="D15240" i="1"/>
  <c r="B15240" i="1"/>
  <c r="A15240" i="1"/>
  <c r="D5568" i="1"/>
  <c r="A5568" i="1"/>
  <c r="D5712" i="1"/>
  <c r="A5712" i="1"/>
  <c r="D5583" i="1"/>
  <c r="A5583" i="1"/>
  <c r="D18667" i="1"/>
  <c r="A18667" i="1"/>
  <c r="D17756" i="1"/>
  <c r="A17756" i="1"/>
  <c r="D5629" i="1"/>
  <c r="A5629" i="1"/>
  <c r="D9701" i="1"/>
  <c r="A9701" i="1"/>
  <c r="D18578" i="1"/>
  <c r="A18578" i="1"/>
  <c r="D5612" i="1"/>
  <c r="A5612" i="1"/>
  <c r="D5683" i="1"/>
  <c r="A5683" i="1"/>
  <c r="D5839" i="1"/>
  <c r="A5839" i="1"/>
  <c r="D17209" i="1"/>
  <c r="B17209" i="1"/>
  <c r="A17209" i="1"/>
  <c r="D5563" i="1"/>
  <c r="A5563" i="1"/>
  <c r="D5847" i="1"/>
  <c r="A5847" i="1"/>
  <c r="D5456" i="1"/>
  <c r="A5456" i="1"/>
  <c r="D5666" i="1"/>
  <c r="A5666" i="1"/>
  <c r="D5509" i="1"/>
  <c r="A5509" i="1"/>
  <c r="D5342" i="1"/>
  <c r="A5342" i="1"/>
  <c r="D5371" i="1"/>
  <c r="A5371" i="1"/>
  <c r="D5348" i="1"/>
  <c r="A5348" i="1"/>
  <c r="D5741" i="1"/>
  <c r="A5741" i="1"/>
  <c r="D5566" i="1"/>
  <c r="A5566" i="1"/>
  <c r="D5771" i="1"/>
  <c r="A5771" i="1"/>
  <c r="D5734" i="1"/>
  <c r="A5734" i="1"/>
  <c r="D5434" i="1"/>
  <c r="A5434" i="1"/>
  <c r="D5750" i="1"/>
  <c r="A5750" i="1"/>
  <c r="D5821" i="1"/>
  <c r="A5821" i="1"/>
  <c r="D5449" i="1"/>
  <c r="A5449" i="1"/>
  <c r="D5756" i="1"/>
  <c r="A5756" i="1"/>
  <c r="D5493" i="1"/>
  <c r="A5493" i="1"/>
  <c r="D5765" i="1"/>
  <c r="A5765" i="1"/>
  <c r="D11707" i="1"/>
  <c r="B11707" i="1"/>
  <c r="A11707" i="1"/>
  <c r="D12688" i="1"/>
  <c r="A12688" i="1"/>
  <c r="D6046" i="1"/>
  <c r="A6046" i="1"/>
  <c r="D5428" i="1"/>
  <c r="A5428" i="1"/>
  <c r="D5510" i="1"/>
  <c r="A5510" i="1"/>
  <c r="D12229" i="1"/>
  <c r="A12229" i="1"/>
  <c r="D6751" i="1"/>
  <c r="A6751" i="1"/>
  <c r="D9708" i="1"/>
  <c r="A9708" i="1"/>
  <c r="D7262" i="1"/>
  <c r="A7262" i="1"/>
  <c r="D7481" i="1"/>
  <c r="A7481" i="1"/>
  <c r="D12503" i="1"/>
  <c r="A12503" i="1"/>
  <c r="D7684" i="1"/>
  <c r="A7684" i="1"/>
  <c r="D18302" i="1"/>
  <c r="A18302" i="1"/>
  <c r="D10142" i="1"/>
  <c r="A10142" i="1"/>
  <c r="D10193" i="1"/>
  <c r="B10193" i="1"/>
  <c r="A10193" i="1"/>
  <c r="D16123" i="1"/>
  <c r="A16123" i="1"/>
  <c r="D6794" i="1"/>
  <c r="A6794" i="1"/>
  <c r="D14857" i="1"/>
  <c r="B14857" i="1"/>
  <c r="A14857" i="1"/>
  <c r="D9079" i="1"/>
  <c r="A9079" i="1"/>
  <c r="D7082" i="1"/>
  <c r="A7082" i="1"/>
  <c r="D9173" i="1"/>
  <c r="B9173" i="1"/>
  <c r="A9173" i="1"/>
  <c r="D15931" i="1"/>
  <c r="B15931" i="1"/>
  <c r="A15931" i="1"/>
  <c r="D15952" i="1"/>
  <c r="A15952" i="1"/>
  <c r="D11906" i="1"/>
  <c r="B11906" i="1"/>
  <c r="A11906" i="1"/>
  <c r="D17855" i="1"/>
  <c r="A17855" i="1"/>
  <c r="D11957" i="1"/>
  <c r="A11957" i="1"/>
  <c r="D9202" i="1"/>
  <c r="A9202" i="1"/>
  <c r="D6354" i="1"/>
  <c r="A6354" i="1"/>
  <c r="D11856" i="1"/>
  <c r="A11856" i="1"/>
  <c r="D7484" i="1"/>
  <c r="A7484" i="1"/>
  <c r="D7823" i="1"/>
  <c r="A7823" i="1"/>
  <c r="D5351" i="1"/>
  <c r="A5351" i="1"/>
  <c r="D17881" i="1"/>
  <c r="A17881" i="1"/>
  <c r="D17484" i="1"/>
  <c r="A17484" i="1"/>
  <c r="D5491" i="1"/>
  <c r="A5491" i="1"/>
  <c r="D17890" i="1"/>
  <c r="A17890" i="1"/>
  <c r="D17161" i="1"/>
  <c r="A17161" i="1"/>
  <c r="D7668" i="1"/>
  <c r="B7668" i="1"/>
  <c r="A7668" i="1"/>
  <c r="D9235" i="1"/>
  <c r="A9235" i="1"/>
  <c r="D17682" i="1"/>
  <c r="B17682" i="1"/>
  <c r="A17682" i="1"/>
  <c r="D9896" i="1"/>
  <c r="B9896" i="1"/>
  <c r="A9896" i="1"/>
  <c r="D7171" i="1"/>
  <c r="A7171" i="1"/>
  <c r="D14077" i="1"/>
  <c r="A14077" i="1"/>
  <c r="D14799" i="1"/>
  <c r="B14799" i="1"/>
  <c r="A14799" i="1"/>
  <c r="D18163" i="1"/>
  <c r="A18163" i="1"/>
  <c r="D5511" i="1"/>
  <c r="A5511" i="1"/>
  <c r="D12124" i="1"/>
  <c r="A12124" i="1"/>
  <c r="D7514" i="1"/>
  <c r="A7514" i="1"/>
  <c r="D10857" i="1"/>
  <c r="A10857" i="1"/>
  <c r="D12076" i="1"/>
  <c r="A12076" i="1"/>
  <c r="D13983" i="1"/>
  <c r="A13983" i="1"/>
  <c r="D15343" i="1"/>
  <c r="B15343" i="1"/>
  <c r="A15343" i="1"/>
  <c r="D6801" i="1"/>
  <c r="B6801" i="1"/>
  <c r="A6801" i="1"/>
  <c r="D13917" i="1"/>
  <c r="A13917" i="1"/>
  <c r="D5361" i="1"/>
  <c r="A5361" i="1"/>
  <c r="D18073" i="1"/>
  <c r="A18073" i="1"/>
  <c r="D16308" i="1"/>
  <c r="B16308" i="1"/>
  <c r="A16308" i="1"/>
  <c r="D6549" i="1"/>
  <c r="A6549" i="1"/>
  <c r="D10210" i="1"/>
  <c r="A10210" i="1"/>
  <c r="D10645" i="1"/>
  <c r="B10645" i="1"/>
  <c r="A10645" i="1"/>
  <c r="D17563" i="1"/>
  <c r="A17563" i="1"/>
  <c r="D17190" i="1"/>
  <c r="A17190" i="1"/>
  <c r="D5331" i="1"/>
  <c r="A5331" i="1"/>
  <c r="D6582" i="1"/>
  <c r="B6582" i="1"/>
  <c r="A6582" i="1"/>
  <c r="D17178" i="1"/>
  <c r="B17178" i="1"/>
  <c r="A17178" i="1"/>
  <c r="D6763" i="1"/>
  <c r="A6763" i="1"/>
  <c r="D9773" i="1"/>
  <c r="A9773" i="1"/>
  <c r="D8488" i="1"/>
  <c r="A8488" i="1"/>
  <c r="D6772" i="1"/>
  <c r="B6772" i="1"/>
  <c r="A6772" i="1"/>
  <c r="D11876" i="1"/>
  <c r="B11876" i="1"/>
  <c r="A11876" i="1"/>
  <c r="D15396" i="1"/>
  <c r="B15396" i="1"/>
  <c r="A15396" i="1"/>
  <c r="D5714" i="1"/>
  <c r="A5714" i="1"/>
  <c r="D5481" i="1"/>
  <c r="A5481" i="1"/>
  <c r="D17125" i="1"/>
  <c r="B17125" i="1"/>
  <c r="A17125" i="1"/>
  <c r="D9881" i="1"/>
  <c r="A9881" i="1"/>
  <c r="D7358" i="1"/>
  <c r="B7358" i="1"/>
  <c r="A7358" i="1"/>
  <c r="D7081" i="1"/>
  <c r="A7081" i="1"/>
  <c r="D9024" i="1"/>
  <c r="A9024" i="1"/>
  <c r="D5442" i="1"/>
  <c r="A5442" i="1"/>
  <c r="D15612" i="1"/>
  <c r="A15612" i="1"/>
  <c r="D7818" i="1"/>
  <c r="A7818" i="1"/>
  <c r="D9977" i="1"/>
  <c r="B9977" i="1"/>
  <c r="A9977" i="1"/>
  <c r="D12686" i="1"/>
  <c r="A12686" i="1"/>
  <c r="D15889" i="1"/>
  <c r="A15889" i="1"/>
  <c r="D18147" i="1"/>
  <c r="B18147" i="1"/>
  <c r="A18147" i="1"/>
  <c r="D6781" i="1"/>
  <c r="B6781" i="1"/>
  <c r="A6781" i="1"/>
  <c r="D9195" i="1"/>
  <c r="B9195" i="1"/>
  <c r="A9195" i="1"/>
  <c r="D5810" i="1"/>
  <c r="A5810" i="1"/>
  <c r="D7865" i="1"/>
  <c r="A7865" i="1"/>
  <c r="D9610" i="1"/>
  <c r="A9610" i="1"/>
  <c r="D14234" i="1"/>
  <c r="B14234" i="1"/>
  <c r="A14234" i="1"/>
  <c r="D7665" i="1"/>
  <c r="A7665" i="1"/>
  <c r="D5674" i="1"/>
  <c r="A5674" i="1"/>
  <c r="D5613" i="1"/>
  <c r="A5613" i="1"/>
  <c r="D6803" i="1"/>
  <c r="A6803" i="1"/>
  <c r="D11940" i="1"/>
  <c r="A11940" i="1"/>
  <c r="D9351" i="1"/>
  <c r="A9351" i="1"/>
  <c r="D15949" i="1"/>
  <c r="A15949" i="1"/>
  <c r="D12097" i="1"/>
  <c r="A12097" i="1"/>
  <c r="D17284" i="1"/>
  <c r="B17284" i="1"/>
  <c r="A17284" i="1"/>
  <c r="D17304" i="1"/>
  <c r="A17304" i="1"/>
  <c r="D15641" i="1"/>
  <c r="B15641" i="1"/>
  <c r="A15641" i="1"/>
  <c r="D17514" i="1"/>
  <c r="A17514" i="1"/>
  <c r="D13888" i="1"/>
  <c r="B13888" i="1"/>
  <c r="A13888" i="1"/>
  <c r="D12044" i="1"/>
  <c r="B12044" i="1"/>
  <c r="A12044" i="1"/>
  <c r="D10732" i="1"/>
  <c r="A10732" i="1"/>
  <c r="D15631" i="1"/>
  <c r="A15631" i="1"/>
  <c r="D12889" i="1"/>
  <c r="A12889" i="1"/>
  <c r="D6742" i="1"/>
  <c r="A6742" i="1"/>
  <c r="D10742" i="1"/>
  <c r="A10742" i="1"/>
  <c r="D12058" i="1"/>
  <c r="A12058" i="1"/>
  <c r="D8504" i="1"/>
  <c r="B8504" i="1"/>
  <c r="A8504" i="1"/>
  <c r="D6599" i="1"/>
  <c r="B6599" i="1"/>
  <c r="A6599" i="1"/>
  <c r="D14059" i="1"/>
  <c r="A14059" i="1"/>
  <c r="D6692" i="1"/>
  <c r="A6692" i="1"/>
  <c r="D5494" i="1"/>
  <c r="A5494" i="1"/>
  <c r="D16858" i="1"/>
  <c r="A16858" i="1"/>
  <c r="D5526" i="1"/>
  <c r="A5526" i="1"/>
  <c r="D8121" i="1"/>
  <c r="B8121" i="1"/>
  <c r="A8121" i="1"/>
  <c r="D11952" i="1"/>
  <c r="B11952" i="1"/>
  <c r="A11952" i="1"/>
  <c r="D8056" i="1"/>
  <c r="B8056" i="1"/>
  <c r="A8056" i="1"/>
  <c r="D7451" i="1"/>
  <c r="A7451" i="1"/>
  <c r="D9169" i="1"/>
  <c r="B9169" i="1"/>
  <c r="A9169" i="1"/>
  <c r="D16920" i="1"/>
  <c r="A16920" i="1"/>
  <c r="D10093" i="1"/>
  <c r="A10093" i="1"/>
  <c r="D16898" i="1"/>
  <c r="B16898" i="1"/>
  <c r="A16898" i="1"/>
  <c r="D17557" i="1"/>
  <c r="B17557" i="1"/>
  <c r="A17557" i="1"/>
  <c r="D12138" i="1"/>
  <c r="B12138" i="1"/>
  <c r="A12138" i="1"/>
  <c r="D9147" i="1"/>
  <c r="B9147" i="1"/>
  <c r="A9147" i="1"/>
  <c r="D6991" i="1"/>
  <c r="B6991" i="1"/>
  <c r="A6991" i="1"/>
  <c r="D7625" i="1"/>
  <c r="B7625" i="1"/>
  <c r="A7625" i="1"/>
  <c r="D9940" i="1"/>
  <c r="A9940" i="1"/>
  <c r="D18279" i="1"/>
  <c r="A18279" i="1"/>
  <c r="D6226" i="1"/>
  <c r="A6226" i="1"/>
  <c r="D16363" i="1"/>
  <c r="A16363" i="1"/>
  <c r="D9116" i="1"/>
  <c r="B9116" i="1"/>
  <c r="A9116" i="1"/>
  <c r="D8081" i="1"/>
  <c r="B8081" i="1"/>
  <c r="A8081" i="1"/>
  <c r="D5512" i="1"/>
  <c r="A5512" i="1"/>
  <c r="D10629" i="1"/>
  <c r="A10629" i="1"/>
  <c r="D17787" i="1"/>
  <c r="B17787" i="1"/>
  <c r="A17787" i="1"/>
  <c r="D10672" i="1"/>
  <c r="B10672" i="1"/>
  <c r="A10672" i="1"/>
  <c r="D9192" i="1"/>
  <c r="A9192" i="1"/>
  <c r="D15878" i="1"/>
  <c r="A15878" i="1"/>
  <c r="D9643" i="1"/>
  <c r="B9643" i="1"/>
  <c r="A9643" i="1"/>
  <c r="D10135" i="1"/>
  <c r="A10135" i="1"/>
  <c r="D17553" i="1"/>
  <c r="B17553" i="1"/>
  <c r="A17553" i="1"/>
  <c r="D9615" i="1"/>
  <c r="B9615" i="1"/>
  <c r="A9615" i="1"/>
  <c r="D12037" i="1"/>
  <c r="B12037" i="1"/>
  <c r="A12037" i="1"/>
  <c r="D10632" i="1"/>
  <c r="B10632" i="1"/>
  <c r="A10632" i="1"/>
  <c r="D18165" i="1"/>
  <c r="B18165" i="1"/>
  <c r="A18165" i="1"/>
  <c r="D8083" i="1"/>
  <c r="B8083" i="1"/>
  <c r="A8083" i="1"/>
  <c r="D8491" i="1"/>
  <c r="A8491" i="1"/>
  <c r="D8992" i="1"/>
  <c r="B8992" i="1"/>
  <c r="A8992" i="1"/>
  <c r="D10922" i="1"/>
  <c r="B10922" i="1"/>
  <c r="A10922" i="1"/>
  <c r="D17050" i="1"/>
  <c r="A17050" i="1"/>
  <c r="D6316" i="1"/>
  <c r="A6316" i="1"/>
  <c r="D6519" i="1"/>
  <c r="B6519" i="1"/>
  <c r="A6519" i="1"/>
  <c r="D10281" i="1"/>
  <c r="B10281" i="1"/>
  <c r="A10281" i="1"/>
  <c r="D15800" i="1"/>
  <c r="B15800" i="1"/>
  <c r="A15800" i="1"/>
  <c r="D12564" i="1"/>
  <c r="B12564" i="1"/>
  <c r="A12564" i="1"/>
  <c r="D10985" i="1"/>
  <c r="B10985" i="1"/>
  <c r="A10985" i="1"/>
  <c r="D11520" i="1"/>
  <c r="B11520" i="1"/>
  <c r="A11520" i="1"/>
  <c r="D15187" i="1"/>
  <c r="B15187" i="1"/>
  <c r="A15187" i="1"/>
  <c r="D6923" i="1"/>
  <c r="A6923" i="1"/>
  <c r="D11524" i="1"/>
  <c r="A11524" i="1"/>
  <c r="D11431" i="1"/>
  <c r="B11431" i="1"/>
  <c r="A11431" i="1"/>
  <c r="D12375" i="1"/>
  <c r="B12375" i="1"/>
  <c r="A12375" i="1"/>
  <c r="D6394" i="1"/>
  <c r="B6394" i="1"/>
  <c r="A6394" i="1"/>
  <c r="D12771" i="1"/>
  <c r="B12771" i="1"/>
  <c r="A12771" i="1"/>
  <c r="D13964" i="1"/>
  <c r="A13964" i="1"/>
  <c r="D5849" i="1"/>
  <c r="A5849" i="1"/>
  <c r="D11859" i="1"/>
  <c r="A11859" i="1"/>
  <c r="D17749" i="1"/>
  <c r="B17749" i="1"/>
  <c r="A17749" i="1"/>
  <c r="D16053" i="1"/>
  <c r="B16053" i="1"/>
  <c r="A16053" i="1"/>
  <c r="D14818" i="1"/>
  <c r="B14818" i="1"/>
  <c r="A14818" i="1"/>
  <c r="D17676" i="1"/>
  <c r="A17676" i="1"/>
  <c r="D5650" i="1"/>
  <c r="A5650" i="1"/>
  <c r="D12623" i="1"/>
  <c r="A12623" i="1"/>
  <c r="D11890" i="1"/>
  <c r="A11890" i="1"/>
  <c r="D17266" i="1"/>
  <c r="A17266" i="1"/>
  <c r="D8097" i="1"/>
  <c r="B8097" i="1"/>
  <c r="A8097" i="1"/>
  <c r="D6761" i="1"/>
  <c r="A6761" i="1"/>
  <c r="D9632" i="1"/>
  <c r="A9632" i="1"/>
  <c r="D9821" i="1"/>
  <c r="A9821" i="1"/>
  <c r="D7549" i="1"/>
  <c r="B7549" i="1"/>
  <c r="A7549" i="1"/>
  <c r="D6972" i="1"/>
  <c r="A6972" i="1"/>
  <c r="D10400" i="1"/>
  <c r="A10400" i="1"/>
  <c r="D6579" i="1"/>
  <c r="A6579" i="1"/>
  <c r="D15345" i="1"/>
  <c r="B15345" i="1"/>
  <c r="A15345" i="1"/>
  <c r="D13782" i="1"/>
  <c r="B13782" i="1"/>
  <c r="A13782" i="1"/>
  <c r="D14752" i="1"/>
  <c r="B14752" i="1"/>
  <c r="A14752" i="1"/>
  <c r="D14829" i="1"/>
  <c r="A14829" i="1"/>
  <c r="D8745" i="1"/>
  <c r="A8745" i="1"/>
  <c r="D8947" i="1"/>
  <c r="B8947" i="1"/>
  <c r="A8947" i="1"/>
  <c r="D8092" i="1"/>
  <c r="B8092" i="1"/>
  <c r="A8092" i="1"/>
  <c r="D10100" i="1"/>
  <c r="B10100" i="1"/>
  <c r="A10100" i="1"/>
  <c r="D8926" i="1"/>
  <c r="A8926" i="1"/>
  <c r="D5744" i="1"/>
  <c r="A5744" i="1"/>
  <c r="D15813" i="1"/>
  <c r="A15813" i="1"/>
  <c r="D5502" i="1"/>
  <c r="A5502" i="1"/>
  <c r="D14005" i="1"/>
  <c r="A14005" i="1"/>
  <c r="D18583" i="1"/>
  <c r="A18583" i="1"/>
  <c r="D7429" i="1"/>
  <c r="A7429" i="1"/>
  <c r="D14619" i="1"/>
  <c r="A14619" i="1"/>
  <c r="D18636" i="1"/>
  <c r="B18636" i="1"/>
  <c r="A18636" i="1"/>
  <c r="D9715" i="1"/>
  <c r="B9715" i="1"/>
  <c r="A9715" i="1"/>
  <c r="D12083" i="1"/>
  <c r="B12083" i="1"/>
  <c r="A12083" i="1"/>
  <c r="D18792" i="1"/>
  <c r="B18792" i="1"/>
  <c r="A18792" i="1"/>
  <c r="D18349" i="1"/>
  <c r="B18349" i="1"/>
  <c r="A18349" i="1"/>
  <c r="D12235" i="1"/>
  <c r="B12235" i="1"/>
  <c r="A12235" i="1"/>
  <c r="D11370" i="1"/>
  <c r="B11370" i="1"/>
  <c r="A11370" i="1"/>
  <c r="D7267" i="1"/>
  <c r="B7267" i="1"/>
  <c r="A7267" i="1"/>
  <c r="D10747" i="1"/>
  <c r="B10747" i="1"/>
  <c r="A10747" i="1"/>
  <c r="D12454" i="1"/>
  <c r="A12454" i="1"/>
  <c r="D15291" i="1"/>
  <c r="A15291" i="1"/>
  <c r="D11019" i="1"/>
  <c r="B11019" i="1"/>
  <c r="A11019" i="1"/>
  <c r="D10052" i="1"/>
  <c r="A10052" i="1"/>
  <c r="D15954" i="1"/>
  <c r="A15954" i="1"/>
  <c r="D17391" i="1"/>
  <c r="B17391" i="1"/>
  <c r="A17391" i="1"/>
  <c r="D10584" i="1"/>
  <c r="B10584" i="1"/>
  <c r="A10584" i="1"/>
  <c r="D17477" i="1"/>
  <c r="B17477" i="1"/>
  <c r="A17477" i="1"/>
  <c r="D9942" i="1"/>
  <c r="A9942" i="1"/>
  <c r="D6381" i="1"/>
  <c r="A6381" i="1"/>
  <c r="D13850" i="1"/>
  <c r="A13850" i="1"/>
  <c r="D15150" i="1"/>
  <c r="B15150" i="1"/>
  <c r="A15150" i="1"/>
  <c r="D10909" i="1"/>
  <c r="B10909" i="1"/>
  <c r="A10909" i="1"/>
  <c r="D11660" i="1"/>
  <c r="B11660" i="1"/>
  <c r="A11660" i="1"/>
  <c r="D7125" i="1"/>
  <c r="B7125" i="1"/>
  <c r="A7125" i="1"/>
  <c r="D18770" i="1"/>
  <c r="A18770" i="1"/>
  <c r="D11941" i="1"/>
  <c r="B11941" i="1"/>
  <c r="A11941" i="1"/>
  <c r="D15746" i="1"/>
  <c r="B15746" i="1"/>
  <c r="A15746" i="1"/>
  <c r="D12244" i="1"/>
  <c r="B12244" i="1"/>
  <c r="A12244" i="1"/>
  <c r="D6837" i="1"/>
  <c r="B6837" i="1"/>
  <c r="A6837" i="1"/>
  <c r="D11994" i="1"/>
  <c r="A11994" i="1"/>
  <c r="D7020" i="1"/>
  <c r="B7020" i="1"/>
  <c r="A7020" i="1"/>
  <c r="D10054" i="1"/>
  <c r="B10054" i="1"/>
  <c r="A10054" i="1"/>
  <c r="D15515" i="1"/>
  <c r="B15515" i="1"/>
  <c r="A15515" i="1"/>
  <c r="D14094" i="1"/>
  <c r="B14094" i="1"/>
  <c r="A14094" i="1"/>
  <c r="D14155" i="1"/>
  <c r="B14155" i="1"/>
  <c r="A14155" i="1"/>
  <c r="D18107" i="1"/>
  <c r="B18107" i="1"/>
  <c r="A18107" i="1"/>
  <c r="D7743" i="1"/>
  <c r="A7743" i="1"/>
  <c r="D17203" i="1"/>
  <c r="A17203" i="1"/>
  <c r="D7061" i="1"/>
  <c r="B7061" i="1"/>
  <c r="A7061" i="1"/>
  <c r="D12670" i="1"/>
  <c r="A12670" i="1"/>
  <c r="D7779" i="1"/>
  <c r="A7779" i="1"/>
  <c r="D16959" i="1"/>
  <c r="A16959" i="1"/>
  <c r="D13492" i="1"/>
  <c r="B13492" i="1"/>
  <c r="A13492" i="1"/>
  <c r="D8973" i="1"/>
  <c r="B8973" i="1"/>
  <c r="A8973" i="1"/>
  <c r="D18087" i="1"/>
  <c r="A18087" i="1"/>
  <c r="D16355" i="1"/>
  <c r="A16355" i="1"/>
  <c r="D8024" i="1"/>
  <c r="B8024" i="1"/>
  <c r="A8024" i="1"/>
  <c r="D10406" i="1"/>
  <c r="B10406" i="1"/>
  <c r="A10406" i="1"/>
  <c r="D9450" i="1"/>
  <c r="B9450" i="1"/>
  <c r="A9450" i="1"/>
  <c r="D18152" i="1"/>
  <c r="B18152" i="1"/>
  <c r="A18152" i="1"/>
  <c r="D10924" i="1"/>
  <c r="B10924" i="1"/>
  <c r="A10924" i="1"/>
  <c r="D17857" i="1"/>
  <c r="B17857" i="1"/>
  <c r="A17857" i="1"/>
  <c r="D7056" i="1"/>
  <c r="B7056" i="1"/>
  <c r="A7056" i="1"/>
  <c r="D11569" i="1"/>
  <c r="C11569" i="1"/>
  <c r="B11569" i="1"/>
  <c r="A11569" i="1"/>
  <c r="D17390" i="1"/>
  <c r="B17390" i="1"/>
  <c r="A17390" i="1"/>
  <c r="D15222" i="1"/>
  <c r="B15222" i="1"/>
  <c r="A15222" i="1"/>
  <c r="D11194" i="1"/>
  <c r="A11194" i="1"/>
  <c r="D14781" i="1"/>
  <c r="B14781" i="1"/>
  <c r="A14781" i="1"/>
  <c r="D14947" i="1"/>
  <c r="B14947" i="1"/>
  <c r="A14947" i="1"/>
  <c r="D17044" i="1"/>
  <c r="A17044" i="1"/>
  <c r="D5343" i="1"/>
  <c r="A5343" i="1"/>
  <c r="D18602" i="1"/>
  <c r="A18602" i="1"/>
  <c r="D6821" i="1"/>
  <c r="A6821" i="1"/>
  <c r="D6653" i="1"/>
  <c r="A6653" i="1"/>
  <c r="D18187" i="1"/>
  <c r="B18187" i="1"/>
  <c r="A18187" i="1"/>
  <c r="D8584" i="1"/>
  <c r="B8584" i="1"/>
  <c r="A8584" i="1"/>
  <c r="D8363" i="1"/>
  <c r="B8363" i="1"/>
  <c r="A8363" i="1"/>
  <c r="D13653" i="1"/>
  <c r="B13653" i="1"/>
  <c r="A13653" i="1"/>
  <c r="D15757" i="1"/>
  <c r="B15757" i="1"/>
  <c r="A15757" i="1"/>
  <c r="D14811" i="1"/>
  <c r="B14811" i="1"/>
  <c r="A14811" i="1"/>
  <c r="D7120" i="1"/>
  <c r="B7120" i="1"/>
  <c r="A7120" i="1"/>
  <c r="D9501" i="1"/>
  <c r="A9501" i="1"/>
  <c r="D9134" i="1"/>
  <c r="B9134" i="1"/>
  <c r="A9134" i="1"/>
  <c r="D6407" i="1"/>
  <c r="B6407" i="1"/>
  <c r="A6407" i="1"/>
  <c r="D12148" i="1"/>
  <c r="A12148" i="1"/>
  <c r="D5854" i="1"/>
  <c r="A5854" i="1"/>
  <c r="D6529" i="1"/>
  <c r="B6529" i="1"/>
  <c r="A6529" i="1"/>
  <c r="D17462" i="1"/>
  <c r="A17462" i="1"/>
  <c r="D15470" i="1"/>
  <c r="B15470" i="1"/>
  <c r="A15470" i="1"/>
  <c r="D9851" i="1"/>
  <c r="B9851" i="1"/>
  <c r="A9851" i="1"/>
  <c r="D16447" i="1"/>
  <c r="B16447" i="1"/>
  <c r="A16447" i="1"/>
  <c r="D9978" i="1"/>
  <c r="B9978" i="1"/>
  <c r="A9978" i="1"/>
  <c r="D11266" i="1"/>
  <c r="B11266" i="1"/>
  <c r="A11266" i="1"/>
  <c r="D10086" i="1"/>
  <c r="B10086" i="1"/>
  <c r="A10086" i="1"/>
  <c r="D10032" i="1"/>
  <c r="B10032" i="1"/>
  <c r="A10032" i="1"/>
  <c r="D13206" i="1"/>
  <c r="B13206" i="1"/>
  <c r="A13206" i="1"/>
  <c r="D8437" i="1"/>
  <c r="B8437" i="1"/>
  <c r="A8437" i="1"/>
  <c r="D13567" i="1"/>
  <c r="B13567" i="1"/>
  <c r="A13567" i="1"/>
  <c r="D7986" i="1"/>
  <c r="B7986" i="1"/>
  <c r="A7986" i="1"/>
  <c r="D12669" i="1"/>
  <c r="B12669" i="1"/>
  <c r="A12669" i="1"/>
  <c r="D10618" i="1"/>
  <c r="B10618" i="1"/>
  <c r="A10618" i="1"/>
  <c r="D7314" i="1"/>
  <c r="B7314" i="1"/>
  <c r="A7314" i="1"/>
  <c r="D17318" i="1"/>
  <c r="B17318" i="1"/>
  <c r="A17318" i="1"/>
  <c r="D12377" i="1"/>
  <c r="B12377" i="1"/>
  <c r="A12377" i="1"/>
  <c r="D18035" i="1"/>
  <c r="B18035" i="1"/>
  <c r="A18035" i="1"/>
  <c r="D13666" i="1"/>
  <c r="B13666" i="1"/>
  <c r="A13666" i="1"/>
  <c r="D12751" i="1"/>
  <c r="B12751" i="1"/>
  <c r="A12751" i="1"/>
  <c r="D9343" i="1"/>
  <c r="A9343" i="1"/>
  <c r="D7587" i="1"/>
  <c r="B7587" i="1"/>
  <c r="A7587" i="1"/>
  <c r="D17716" i="1"/>
  <c r="B17716" i="1"/>
  <c r="A17716" i="1"/>
  <c r="D9316" i="1"/>
  <c r="B9316" i="1"/>
  <c r="A9316" i="1"/>
  <c r="D15292" i="1"/>
  <c r="A15292" i="1"/>
  <c r="D10192" i="1"/>
  <c r="A10192" i="1"/>
  <c r="D13507" i="1"/>
  <c r="B13507" i="1"/>
  <c r="A13507" i="1"/>
  <c r="D10466" i="1"/>
  <c r="B10466" i="1"/>
  <c r="A10466" i="1"/>
  <c r="D11156" i="1"/>
  <c r="B11156" i="1"/>
  <c r="A11156" i="1"/>
  <c r="D10874" i="1"/>
  <c r="B10874" i="1"/>
  <c r="A10874" i="1"/>
  <c r="D10568" i="1"/>
  <c r="A10568" i="1"/>
  <c r="D9630" i="1"/>
  <c r="B9630" i="1"/>
  <c r="A9630" i="1"/>
  <c r="D18766" i="1"/>
  <c r="B18766" i="1"/>
  <c r="A18766" i="1"/>
  <c r="D17766" i="1"/>
  <c r="C17766" i="1"/>
  <c r="B17766" i="1"/>
  <c r="A17766" i="1"/>
  <c r="D15044" i="1"/>
  <c r="B15044" i="1"/>
  <c r="A15044" i="1"/>
  <c r="D10017" i="1"/>
  <c r="B10017" i="1"/>
  <c r="A10017" i="1"/>
  <c r="D8088" i="1"/>
  <c r="B8088" i="1"/>
  <c r="A8088" i="1"/>
  <c r="D10941" i="1"/>
  <c r="A10941" i="1"/>
  <c r="D8232" i="1"/>
  <c r="B8232" i="1"/>
  <c r="A8232" i="1"/>
  <c r="D14112" i="1"/>
  <c r="A14112" i="1"/>
  <c r="D6706" i="1"/>
  <c r="B6706" i="1"/>
  <c r="A6706" i="1"/>
  <c r="D9363" i="1"/>
  <c r="B9363" i="1"/>
  <c r="A9363" i="1"/>
  <c r="D14883" i="1"/>
  <c r="B14883" i="1"/>
  <c r="A14883" i="1"/>
  <c r="D13586" i="1"/>
  <c r="B13586" i="1"/>
  <c r="A13586" i="1"/>
  <c r="D12195" i="1"/>
  <c r="B12195" i="1"/>
  <c r="A12195" i="1"/>
  <c r="D10805" i="1"/>
  <c r="B10805" i="1"/>
  <c r="A10805" i="1"/>
  <c r="D6419" i="1"/>
  <c r="A6419" i="1"/>
  <c r="D14650" i="1"/>
  <c r="A14650" i="1"/>
  <c r="D17560" i="1"/>
  <c r="A17560" i="1"/>
  <c r="D13104" i="1"/>
  <c r="B13104" i="1"/>
  <c r="A13104" i="1"/>
  <c r="D11363" i="1"/>
  <c r="B11363" i="1"/>
  <c r="A11363" i="1"/>
  <c r="D10943" i="1"/>
  <c r="A10943" i="1"/>
  <c r="D13098" i="1"/>
  <c r="B13098" i="1"/>
  <c r="A13098" i="1"/>
  <c r="D11517" i="1"/>
  <c r="B11517" i="1"/>
  <c r="A11517" i="1"/>
  <c r="D8750" i="1"/>
  <c r="B8750" i="1"/>
  <c r="A8750" i="1"/>
  <c r="D12191" i="1"/>
  <c r="B12191" i="1"/>
  <c r="A12191" i="1"/>
  <c r="D14138" i="1"/>
  <c r="A14138" i="1"/>
  <c r="D12613" i="1"/>
  <c r="B12613" i="1"/>
  <c r="A12613" i="1"/>
  <c r="D18234" i="1"/>
  <c r="B18234" i="1"/>
  <c r="A18234" i="1"/>
  <c r="D6483" i="1"/>
  <c r="B6483" i="1"/>
  <c r="A6483" i="1"/>
  <c r="D10125" i="1"/>
  <c r="B10125" i="1"/>
  <c r="A10125" i="1"/>
  <c r="D6388" i="1"/>
  <c r="B6388" i="1"/>
  <c r="A6388" i="1"/>
  <c r="D12783" i="1"/>
  <c r="C12783" i="1"/>
  <c r="B12783" i="1"/>
  <c r="A12783" i="1"/>
  <c r="D15026" i="1"/>
  <c r="A15026" i="1"/>
  <c r="D11086" i="1"/>
  <c r="B11086" i="1"/>
  <c r="A11086" i="1"/>
  <c r="D7021" i="1"/>
  <c r="B7021" i="1"/>
  <c r="A7021" i="1"/>
  <c r="D17467" i="1"/>
  <c r="B17467" i="1"/>
  <c r="A17467" i="1"/>
  <c r="D15726" i="1"/>
  <c r="A15726" i="1"/>
  <c r="D7507" i="1"/>
  <c r="B7507" i="1"/>
  <c r="A7507" i="1"/>
  <c r="D6473" i="1"/>
  <c r="A6473" i="1"/>
  <c r="D10010" i="1"/>
  <c r="B10010" i="1"/>
  <c r="A10010" i="1"/>
  <c r="D12496" i="1"/>
  <c r="A12496" i="1"/>
  <c r="D8091" i="1"/>
  <c r="B8091" i="1"/>
  <c r="A8091" i="1"/>
  <c r="D12679" i="1"/>
  <c r="A12679" i="1"/>
  <c r="D16073" i="1"/>
  <c r="B16073" i="1"/>
  <c r="A16073" i="1"/>
  <c r="D18632" i="1"/>
  <c r="B18632" i="1"/>
  <c r="A18632" i="1"/>
  <c r="D15764" i="1"/>
  <c r="A15764" i="1"/>
  <c r="D13978" i="1"/>
  <c r="B13978" i="1"/>
  <c r="A13978" i="1"/>
  <c r="D10434" i="1"/>
  <c r="B10434" i="1"/>
  <c r="A10434" i="1"/>
  <c r="D16922" i="1"/>
  <c r="B16922" i="1"/>
  <c r="A16922" i="1"/>
  <c r="D9098" i="1"/>
  <c r="A9098" i="1"/>
  <c r="D12166" i="1"/>
  <c r="A12166" i="1"/>
  <c r="D9233" i="1"/>
  <c r="B9233" i="1"/>
  <c r="A9233" i="1"/>
  <c r="D14134" i="1"/>
  <c r="B14134" i="1"/>
  <c r="A14134" i="1"/>
  <c r="D10516" i="1"/>
  <c r="A10516" i="1"/>
  <c r="D9313" i="1"/>
  <c r="B9313" i="1"/>
  <c r="A9313" i="1"/>
  <c r="D6393" i="1"/>
  <c r="B6393" i="1"/>
  <c r="A6393" i="1"/>
  <c r="D11428" i="1"/>
  <c r="A11428" i="1"/>
  <c r="D15851" i="1"/>
  <c r="B15851" i="1"/>
  <c r="A15851" i="1"/>
  <c r="D17273" i="1"/>
  <c r="B17273" i="1"/>
  <c r="A17273" i="1"/>
  <c r="D13572" i="1"/>
  <c r="B13572" i="1"/>
  <c r="A13572" i="1"/>
  <c r="D6205" i="1"/>
  <c r="B6205" i="1"/>
  <c r="A6205" i="1"/>
  <c r="D10975" i="1"/>
  <c r="B10975" i="1"/>
  <c r="A10975" i="1"/>
  <c r="D6276" i="1"/>
  <c r="A6276" i="1"/>
  <c r="D10182" i="1"/>
  <c r="B10182" i="1"/>
  <c r="A10182" i="1"/>
  <c r="D18082" i="1"/>
  <c r="B18082" i="1"/>
  <c r="A18082" i="1"/>
  <c r="D15002" i="1"/>
  <c r="B15002" i="1"/>
  <c r="A15002" i="1"/>
  <c r="D11064" i="1"/>
  <c r="B11064" i="1"/>
  <c r="A11064" i="1"/>
  <c r="D10673" i="1"/>
  <c r="B10673" i="1"/>
  <c r="A10673" i="1"/>
  <c r="D6952" i="1"/>
  <c r="A6952" i="1"/>
  <c r="D15862" i="1"/>
  <c r="A15862" i="1"/>
  <c r="D11043" i="1"/>
  <c r="B11043" i="1"/>
  <c r="A11043" i="1"/>
  <c r="D7589" i="1"/>
  <c r="B7589" i="1"/>
  <c r="A7589" i="1"/>
  <c r="D10114" i="1"/>
  <c r="B10114" i="1"/>
  <c r="A10114" i="1"/>
  <c r="D15368" i="1"/>
  <c r="B15368" i="1"/>
  <c r="A15368" i="1"/>
  <c r="D10412" i="1"/>
  <c r="A10412" i="1"/>
  <c r="D10270" i="1"/>
  <c r="A10270" i="1"/>
  <c r="D8139" i="1"/>
  <c r="B8139" i="1"/>
  <c r="A8139" i="1"/>
  <c r="D15928" i="1"/>
  <c r="B15928" i="1"/>
  <c r="A15928" i="1"/>
  <c r="D7873" i="1"/>
  <c r="A7873" i="1"/>
  <c r="D18080" i="1"/>
  <c r="B18080" i="1"/>
  <c r="A18080" i="1"/>
  <c r="D11895" i="1"/>
  <c r="B11895" i="1"/>
  <c r="A11895" i="1"/>
  <c r="D18747" i="1"/>
  <c r="B18747" i="1"/>
  <c r="A18747" i="1"/>
  <c r="D18323" i="1"/>
  <c r="B18323" i="1"/>
  <c r="A18323" i="1"/>
  <c r="D7143" i="1"/>
  <c r="A7143" i="1"/>
  <c r="D17966" i="1"/>
  <c r="B17966" i="1"/>
  <c r="A17966" i="1"/>
  <c r="D17251" i="1"/>
  <c r="B17251" i="1"/>
  <c r="A17251" i="1"/>
  <c r="D12508" i="1"/>
  <c r="B12508" i="1"/>
  <c r="A12508" i="1"/>
  <c r="D14807" i="1"/>
  <c r="B14807" i="1"/>
  <c r="A14807" i="1"/>
  <c r="D11079" i="1"/>
  <c r="B11079" i="1"/>
  <c r="A11079" i="1"/>
  <c r="D10938" i="1"/>
  <c r="A10938" i="1"/>
  <c r="D12486" i="1"/>
  <c r="A12486" i="1"/>
  <c r="D10079" i="1"/>
  <c r="B10079" i="1"/>
  <c r="A10079" i="1"/>
  <c r="D17308" i="1"/>
  <c r="A17308" i="1"/>
  <c r="D16107" i="1"/>
  <c r="A16107" i="1"/>
  <c r="D18166" i="1"/>
  <c r="A18166" i="1"/>
  <c r="D6916" i="1"/>
  <c r="B6916" i="1"/>
  <c r="A6916" i="1"/>
  <c r="D15183" i="1"/>
  <c r="B15183" i="1"/>
  <c r="A15183" i="1"/>
  <c r="D14154" i="1"/>
  <c r="A14154" i="1"/>
  <c r="D10265" i="1"/>
  <c r="B10265" i="1"/>
  <c r="A10265" i="1"/>
  <c r="D7226" i="1"/>
  <c r="B7226" i="1"/>
  <c r="A7226" i="1"/>
  <c r="D6039" i="1"/>
  <c r="B6039" i="1"/>
  <c r="A6039" i="1"/>
  <c r="D16266" i="1"/>
  <c r="A16266" i="1"/>
  <c r="D7354" i="1"/>
  <c r="B7354" i="1"/>
  <c r="A7354" i="1"/>
  <c r="D13210" i="1"/>
  <c r="B13210" i="1"/>
  <c r="A13210" i="1"/>
  <c r="D8060" i="1"/>
  <c r="B8060" i="1"/>
  <c r="A8060" i="1"/>
  <c r="D18762" i="1"/>
  <c r="A18762" i="1"/>
  <c r="D12673" i="1"/>
  <c r="B12673" i="1"/>
  <c r="A12673" i="1"/>
  <c r="D10188" i="1"/>
  <c r="B10188" i="1"/>
  <c r="A10188" i="1"/>
  <c r="D17369" i="1"/>
  <c r="B17369" i="1"/>
  <c r="A17369" i="1"/>
  <c r="D15144" i="1"/>
  <c r="B15144" i="1"/>
  <c r="A15144" i="1"/>
  <c r="D9861" i="1"/>
  <c r="A9861" i="1"/>
  <c r="D7322" i="1"/>
  <c r="A7322" i="1"/>
  <c r="D10236" i="1"/>
  <c r="A10236" i="1"/>
  <c r="D5415" i="1"/>
  <c r="A5415" i="1"/>
  <c r="D14736" i="1"/>
  <c r="B14736" i="1"/>
  <c r="A14736" i="1"/>
  <c r="D15011" i="1"/>
  <c r="B15011" i="1"/>
  <c r="A15011" i="1"/>
  <c r="D6951" i="1"/>
  <c r="B6951" i="1"/>
  <c r="A6951" i="1"/>
  <c r="D7798" i="1"/>
  <c r="B7798" i="1"/>
  <c r="A7798" i="1"/>
  <c r="D17866" i="1"/>
  <c r="B17866" i="1"/>
  <c r="A17866" i="1"/>
  <c r="D10315" i="1"/>
  <c r="B10315" i="1"/>
  <c r="A10315" i="1"/>
  <c r="D16197" i="1"/>
  <c r="B16197" i="1"/>
  <c r="A16197" i="1"/>
  <c r="D17817" i="1"/>
  <c r="B17817" i="1"/>
  <c r="A17817" i="1"/>
  <c r="D11348" i="1"/>
  <c r="B11348" i="1"/>
  <c r="A11348" i="1"/>
  <c r="D16163" i="1"/>
  <c r="A16163" i="1"/>
  <c r="D12759" i="1"/>
  <c r="B12759" i="1"/>
  <c r="A12759" i="1"/>
  <c r="D11893" i="1"/>
  <c r="A11893" i="1"/>
  <c r="D7095" i="1"/>
  <c r="A7095" i="1"/>
  <c r="D14083" i="1"/>
  <c r="B14083" i="1"/>
  <c r="A14083" i="1"/>
  <c r="D10848" i="1"/>
  <c r="B10848" i="1"/>
  <c r="A10848" i="1"/>
  <c r="D18788" i="1"/>
  <c r="B18788" i="1"/>
  <c r="A18788" i="1"/>
  <c r="D7368" i="1"/>
  <c r="B7368" i="1"/>
  <c r="A7368" i="1"/>
  <c r="D16964" i="1"/>
  <c r="B16964" i="1"/>
  <c r="A16964" i="1"/>
  <c r="D9315" i="1"/>
  <c r="B9315" i="1"/>
  <c r="A9315" i="1"/>
  <c r="D8644" i="1"/>
  <c r="B8644" i="1"/>
  <c r="A8644" i="1"/>
  <c r="D14076" i="1"/>
  <c r="A14076" i="1"/>
  <c r="D6049" i="1"/>
  <c r="A6049" i="1"/>
  <c r="D13587" i="1"/>
  <c r="B13587" i="1"/>
  <c r="A13587" i="1"/>
  <c r="D15060" i="1"/>
  <c r="B15060" i="1"/>
  <c r="A15060" i="1"/>
  <c r="D18268" i="1"/>
  <c r="A18268" i="1"/>
  <c r="D18025" i="1"/>
  <c r="B18025" i="1"/>
  <c r="A18025" i="1"/>
  <c r="D17513" i="1"/>
  <c r="B17513" i="1"/>
  <c r="A17513" i="1"/>
  <c r="D5904" i="1"/>
  <c r="B5904" i="1"/>
  <c r="A5904" i="1"/>
  <c r="D15621" i="1"/>
  <c r="B15621" i="1"/>
  <c r="A15621" i="1"/>
  <c r="D10367" i="1"/>
  <c r="B10367" i="1"/>
  <c r="A10367" i="1"/>
  <c r="D10762" i="1"/>
  <c r="B10762" i="1"/>
  <c r="A10762" i="1"/>
  <c r="D10223" i="1"/>
  <c r="A10223" i="1"/>
  <c r="D17521" i="1"/>
  <c r="B17521" i="1"/>
  <c r="A17521" i="1"/>
  <c r="D15466" i="1"/>
  <c r="B15466" i="1"/>
  <c r="A15466" i="1"/>
  <c r="D9512" i="1"/>
  <c r="B9512" i="1"/>
  <c r="A9512" i="1"/>
  <c r="D17058" i="1"/>
  <c r="A17058" i="1"/>
  <c r="D18653" i="1"/>
  <c r="A18653" i="1"/>
  <c r="D12146" i="1"/>
  <c r="B12146" i="1"/>
  <c r="A12146" i="1"/>
  <c r="D17776" i="1"/>
  <c r="B17776" i="1"/>
  <c r="A17776" i="1"/>
  <c r="D17742" i="1"/>
  <c r="A17742" i="1"/>
  <c r="D16150" i="1"/>
  <c r="B16150" i="1"/>
  <c r="A16150" i="1"/>
  <c r="D17085" i="1"/>
  <c r="A17085" i="1"/>
  <c r="D10637" i="1"/>
  <c r="A10637" i="1"/>
  <c r="D18543" i="1"/>
  <c r="B18543" i="1"/>
  <c r="A18543" i="1"/>
  <c r="D11437" i="1"/>
  <c r="B11437" i="1"/>
  <c r="A11437" i="1"/>
  <c r="D10935" i="1"/>
  <c r="A10935" i="1"/>
  <c r="D15734" i="1"/>
  <c r="B15734" i="1"/>
  <c r="A15734" i="1"/>
  <c r="D10964" i="1"/>
  <c r="B10964" i="1"/>
  <c r="A10964" i="1"/>
  <c r="D8177" i="1"/>
  <c r="B8177" i="1"/>
  <c r="A8177" i="1"/>
  <c r="D16139" i="1"/>
  <c r="B16139" i="1"/>
  <c r="A16139" i="1"/>
  <c r="D10932" i="1"/>
  <c r="A10932" i="1"/>
  <c r="D8638" i="1"/>
  <c r="B8638" i="1"/>
  <c r="A8638" i="1"/>
  <c r="D8496" i="1"/>
  <c r="B8496" i="1"/>
  <c r="A8496" i="1"/>
  <c r="D17631" i="1"/>
  <c r="B17631" i="1"/>
  <c r="A17631" i="1"/>
  <c r="D17092" i="1"/>
  <c r="B17092" i="1"/>
  <c r="A17092" i="1"/>
  <c r="D11863" i="1"/>
  <c r="A11863" i="1"/>
  <c r="D17561" i="1"/>
  <c r="A17561" i="1"/>
  <c r="D17473" i="1"/>
  <c r="A17473" i="1"/>
  <c r="D12657" i="1"/>
  <c r="C12657" i="1"/>
  <c r="B12657" i="1"/>
  <c r="A12657" i="1"/>
  <c r="D8301" i="1"/>
  <c r="B8301" i="1"/>
  <c r="A8301" i="1"/>
  <c r="D6660" i="1"/>
  <c r="B6660" i="1"/>
  <c r="A6660" i="1"/>
  <c r="D9304" i="1"/>
  <c r="A9304" i="1"/>
  <c r="D8214" i="1"/>
  <c r="B8214" i="1"/>
  <c r="A8214" i="1"/>
  <c r="D6385" i="1"/>
  <c r="B6385" i="1"/>
  <c r="A6385" i="1"/>
  <c r="D13207" i="1"/>
  <c r="B13207" i="1"/>
  <c r="A13207" i="1"/>
  <c r="D15370" i="1"/>
  <c r="B15370" i="1"/>
  <c r="A15370" i="1"/>
  <c r="D7769" i="1"/>
  <c r="A7769" i="1"/>
  <c r="D9605" i="1"/>
  <c r="B9605" i="1"/>
  <c r="A9605" i="1"/>
  <c r="D14182" i="1"/>
  <c r="B14182" i="1"/>
  <c r="A14182" i="1"/>
  <c r="D9955" i="1"/>
  <c r="B9955" i="1"/>
  <c r="A9955" i="1"/>
  <c r="D8234" i="1"/>
  <c r="B8234" i="1"/>
  <c r="A8234" i="1"/>
  <c r="D9110" i="1"/>
  <c r="B9110" i="1"/>
  <c r="A9110" i="1"/>
  <c r="D6335" i="1"/>
  <c r="B6335" i="1"/>
  <c r="A6335" i="1"/>
  <c r="D15762" i="1"/>
  <c r="A15762" i="1"/>
  <c r="D7308" i="1"/>
  <c r="B7308" i="1"/>
  <c r="A7308" i="1"/>
  <c r="D12467" i="1"/>
  <c r="A12467" i="1"/>
  <c r="D6940" i="1"/>
  <c r="A6940" i="1"/>
  <c r="D11033" i="1"/>
  <c r="B11033" i="1"/>
  <c r="A11033" i="1"/>
  <c r="D8212" i="1"/>
  <c r="B8212" i="1"/>
  <c r="A8212" i="1"/>
  <c r="D6883" i="1"/>
  <c r="B6883" i="1"/>
  <c r="A6883" i="1"/>
  <c r="D12875" i="1"/>
  <c r="A12875" i="1"/>
  <c r="D11990" i="1"/>
  <c r="B11990" i="1"/>
  <c r="A11990" i="1"/>
  <c r="D17715" i="1"/>
  <c r="A17715" i="1"/>
  <c r="D13246" i="1"/>
  <c r="B13246" i="1"/>
  <c r="A13246" i="1"/>
  <c r="D18333" i="1"/>
  <c r="B18333" i="1"/>
  <c r="A18333" i="1"/>
  <c r="D9490" i="1"/>
  <c r="A9490" i="1"/>
  <c r="D9404" i="1"/>
  <c r="B9404" i="1"/>
  <c r="A9404" i="1"/>
  <c r="D12137" i="1"/>
  <c r="B12137" i="1"/>
  <c r="A12137" i="1"/>
  <c r="D7839" i="1"/>
  <c r="A7839" i="1"/>
  <c r="D18026" i="1"/>
  <c r="B18026" i="1"/>
  <c r="A18026" i="1"/>
  <c r="D10018" i="1"/>
  <c r="A10018" i="1"/>
  <c r="D16658" i="1"/>
  <c r="B16658" i="1"/>
  <c r="A16658" i="1"/>
  <c r="D9522" i="1"/>
  <c r="A9522" i="1"/>
  <c r="D18774" i="1"/>
  <c r="B18774" i="1"/>
  <c r="A18774" i="1"/>
  <c r="D18372" i="1"/>
  <c r="A18372" i="1"/>
  <c r="D9591" i="1"/>
  <c r="A9591" i="1"/>
  <c r="D14671" i="1"/>
  <c r="B14671" i="1"/>
  <c r="A14671" i="1"/>
  <c r="D16114" i="1"/>
  <c r="B16114" i="1"/>
  <c r="A16114" i="1"/>
  <c r="D6137" i="1"/>
  <c r="B6137" i="1"/>
  <c r="A6137" i="1"/>
  <c r="D6242" i="1"/>
  <c r="A6242" i="1"/>
  <c r="D8157" i="1"/>
  <c r="A8157" i="1"/>
  <c r="D16336" i="1"/>
  <c r="B16336" i="1"/>
  <c r="A16336" i="1"/>
  <c r="D11080" i="1"/>
  <c r="A11080" i="1"/>
  <c r="D8962" i="1"/>
  <c r="B8962" i="1"/>
  <c r="A8962" i="1"/>
  <c r="D7199" i="1"/>
  <c r="B7199" i="1"/>
  <c r="A7199" i="1"/>
  <c r="D15156" i="1"/>
  <c r="B15156" i="1"/>
  <c r="A15156" i="1"/>
  <c r="D17427" i="1"/>
  <c r="B17427" i="1"/>
  <c r="A17427" i="1"/>
  <c r="D10563" i="1"/>
  <c r="A10563" i="1"/>
  <c r="D10628" i="1"/>
  <c r="B10628" i="1"/>
  <c r="A10628" i="1"/>
  <c r="D12161" i="1"/>
  <c r="B12161" i="1"/>
  <c r="A12161" i="1"/>
  <c r="D8774" i="1"/>
  <c r="B8774" i="1"/>
  <c r="A8774" i="1"/>
  <c r="D7437" i="1"/>
  <c r="B7437" i="1"/>
  <c r="A7437" i="1"/>
  <c r="D6052" i="1"/>
  <c r="A6052" i="1"/>
  <c r="D9726" i="1"/>
  <c r="B9726" i="1"/>
  <c r="A9726" i="1"/>
  <c r="D14097" i="1"/>
  <c r="B14097" i="1"/>
  <c r="A14097" i="1"/>
  <c r="D13989" i="1"/>
  <c r="B13989" i="1"/>
  <c r="A13989" i="1"/>
  <c r="D8209" i="1"/>
  <c r="B8209" i="1"/>
  <c r="A8209" i="1"/>
  <c r="D6731" i="1"/>
  <c r="B6731" i="1"/>
  <c r="A6731" i="1"/>
  <c r="D17510" i="1"/>
  <c r="B17510" i="1"/>
  <c r="A17510" i="1"/>
  <c r="D17160" i="1"/>
  <c r="B17160" i="1"/>
  <c r="A17160" i="1"/>
  <c r="D8562" i="1"/>
  <c r="B8562" i="1"/>
  <c r="A8562" i="1"/>
  <c r="D13285" i="1"/>
  <c r="B13285" i="1"/>
  <c r="A13285" i="1"/>
  <c r="D17813" i="1"/>
  <c r="B17813" i="1"/>
  <c r="A17813" i="1"/>
  <c r="D10899" i="1"/>
  <c r="B10899" i="1"/>
  <c r="A10899" i="1"/>
  <c r="D16931" i="1"/>
  <c r="B16931" i="1"/>
  <c r="A16931" i="1"/>
  <c r="D9186" i="1"/>
  <c r="B9186" i="1"/>
  <c r="A9186" i="1"/>
  <c r="D9055" i="1"/>
  <c r="A9055" i="1"/>
  <c r="D14907" i="1"/>
  <c r="B14907" i="1"/>
  <c r="A14907" i="1"/>
  <c r="D15509" i="1"/>
  <c r="B15509" i="1"/>
  <c r="A15509" i="1"/>
  <c r="D17765" i="1"/>
  <c r="B17765" i="1"/>
  <c r="A17765" i="1"/>
  <c r="D18237" i="1"/>
  <c r="A18237" i="1"/>
  <c r="D6272" i="1"/>
  <c r="B6272" i="1"/>
  <c r="A6272" i="1"/>
  <c r="D16054" i="1"/>
  <c r="B16054" i="1"/>
  <c r="A16054" i="1"/>
  <c r="D8150" i="1"/>
  <c r="B8150" i="1"/>
  <c r="A8150" i="1"/>
  <c r="D10974" i="1"/>
  <c r="A10974" i="1"/>
  <c r="D13513" i="1"/>
  <c r="B13513" i="1"/>
  <c r="A13513" i="1"/>
  <c r="D10907" i="1"/>
  <c r="B10907" i="1"/>
  <c r="A10907" i="1"/>
  <c r="D6155" i="1"/>
  <c r="A6155" i="1"/>
  <c r="D9428" i="1"/>
  <c r="B9428" i="1"/>
  <c r="A9428" i="1"/>
  <c r="D16969" i="1"/>
  <c r="B16969" i="1"/>
  <c r="A16969" i="1"/>
  <c r="D16710" i="1"/>
  <c r="B16710" i="1"/>
  <c r="A16710" i="1"/>
  <c r="D15879" i="1"/>
  <c r="B15879" i="1"/>
  <c r="A15879" i="1"/>
  <c r="D11056" i="1"/>
  <c r="B11056" i="1"/>
  <c r="A11056" i="1"/>
  <c r="D10878" i="1"/>
  <c r="B10878" i="1"/>
  <c r="A10878" i="1"/>
  <c r="D11594" i="1"/>
  <c r="B11594" i="1"/>
  <c r="A11594" i="1"/>
  <c r="D7543" i="1"/>
  <c r="A7543" i="1"/>
  <c r="D18270" i="1"/>
  <c r="B18270" i="1"/>
  <c r="A18270" i="1"/>
  <c r="D11346" i="1"/>
  <c r="B11346" i="1"/>
  <c r="A11346" i="1"/>
  <c r="D9344" i="1"/>
  <c r="A9344" i="1"/>
  <c r="D12445" i="1"/>
  <c r="A12445" i="1"/>
  <c r="D7660" i="1"/>
  <c r="B7660" i="1"/>
  <c r="A7660" i="1"/>
  <c r="D6641" i="1"/>
  <c r="A6641" i="1"/>
  <c r="D7624" i="1"/>
  <c r="B7624" i="1"/>
  <c r="A7624" i="1"/>
  <c r="D9986" i="1"/>
  <c r="A9986" i="1"/>
  <c r="D15666" i="1"/>
  <c r="B15666" i="1"/>
  <c r="A15666" i="1"/>
  <c r="D13568" i="1"/>
  <c r="B13568" i="1"/>
  <c r="A13568" i="1"/>
  <c r="D10053" i="1"/>
  <c r="B10053" i="1"/>
  <c r="A10053" i="1"/>
  <c r="D7449" i="1"/>
  <c r="B7449" i="1"/>
  <c r="A7449" i="1"/>
  <c r="D9302" i="1"/>
  <c r="A9302" i="1"/>
  <c r="D16701" i="1"/>
  <c r="B16701" i="1"/>
  <c r="A16701" i="1"/>
  <c r="D7988" i="1"/>
  <c r="B7988" i="1"/>
  <c r="A7988" i="1"/>
  <c r="D10614" i="1"/>
  <c r="A10614" i="1"/>
  <c r="D16135" i="1"/>
  <c r="B16135" i="1"/>
  <c r="A16135" i="1"/>
  <c r="D10892" i="1"/>
  <c r="A10892" i="1"/>
  <c r="D12578" i="1"/>
  <c r="A12578" i="1"/>
  <c r="D12769" i="1"/>
  <c r="B12769" i="1"/>
  <c r="A12769" i="1"/>
  <c r="D18522" i="1"/>
  <c r="B18522" i="1"/>
  <c r="A18522" i="1"/>
  <c r="D7390" i="1"/>
  <c r="B7390" i="1"/>
  <c r="A7390" i="1"/>
  <c r="D14919" i="1"/>
  <c r="B14919" i="1"/>
  <c r="A14919" i="1"/>
  <c r="D7943" i="1"/>
  <c r="B7943" i="1"/>
  <c r="A7943" i="1"/>
  <c r="D18482" i="1"/>
  <c r="B18482" i="1"/>
  <c r="A18482" i="1"/>
  <c r="D16267" i="1"/>
  <c r="B16267" i="1"/>
  <c r="A16267" i="1"/>
  <c r="D18531" i="1"/>
  <c r="B18531" i="1"/>
  <c r="A18531" i="1"/>
  <c r="D17463" i="1"/>
  <c r="B17463" i="1"/>
  <c r="A17463" i="1"/>
  <c r="D18467" i="1"/>
  <c r="A18467" i="1"/>
  <c r="D10677" i="1"/>
  <c r="B10677" i="1"/>
  <c r="A10677" i="1"/>
  <c r="D16062" i="1"/>
  <c r="A16062" i="1"/>
  <c r="D14670" i="1"/>
  <c r="B14670" i="1"/>
  <c r="A14670" i="1"/>
  <c r="D6378" i="1"/>
  <c r="B6378" i="1"/>
  <c r="A6378" i="1"/>
  <c r="D17417" i="1"/>
  <c r="A17417" i="1"/>
  <c r="D13263" i="1"/>
  <c r="A13263" i="1"/>
  <c r="D6596" i="1"/>
  <c r="B6596" i="1"/>
  <c r="A6596" i="1"/>
  <c r="D7454" i="1"/>
  <c r="B7454" i="1"/>
  <c r="A7454" i="1"/>
  <c r="D9868" i="1"/>
  <c r="B9868" i="1"/>
  <c r="A9868" i="1"/>
  <c r="D13806" i="1"/>
  <c r="C13806" i="1"/>
  <c r="B13806" i="1"/>
  <c r="A13806" i="1"/>
  <c r="D10022" i="1"/>
  <c r="B10022" i="1"/>
  <c r="A10022" i="1"/>
  <c r="D7432" i="1"/>
  <c r="B7432" i="1"/>
  <c r="A7432" i="1"/>
  <c r="D12153" i="1"/>
  <c r="B12153" i="1"/>
  <c r="A12153" i="1"/>
  <c r="D8976" i="1"/>
  <c r="B8976" i="1"/>
  <c r="A8976" i="1"/>
  <c r="D11942" i="1"/>
  <c r="B11942" i="1"/>
  <c r="A11942" i="1"/>
  <c r="D16239" i="1"/>
  <c r="A16239" i="1"/>
  <c r="D6420" i="1"/>
  <c r="B6420" i="1"/>
  <c r="A6420" i="1"/>
  <c r="D14479" i="1"/>
  <c r="B14479" i="1"/>
  <c r="A14479" i="1"/>
  <c r="D6307" i="1"/>
  <c r="B6307" i="1"/>
  <c r="A6307" i="1"/>
  <c r="D16901" i="1"/>
  <c r="A16901" i="1"/>
  <c r="D6760" i="1"/>
  <c r="A6760" i="1"/>
  <c r="D16210" i="1"/>
  <c r="B16210" i="1"/>
  <c r="A16210" i="1"/>
  <c r="D14873" i="1"/>
  <c r="B14873" i="1"/>
  <c r="A14873" i="1"/>
  <c r="D14021" i="1"/>
  <c r="B14021" i="1"/>
  <c r="A14021" i="1"/>
  <c r="D17571" i="1"/>
  <c r="B17571" i="1"/>
  <c r="A17571" i="1"/>
  <c r="D10911" i="1"/>
  <c r="B10911" i="1"/>
  <c r="A10911" i="1"/>
  <c r="D14968" i="1"/>
  <c r="A14968" i="1"/>
  <c r="D15080" i="1"/>
  <c r="B15080" i="1"/>
  <c r="A15080" i="1"/>
  <c r="D8757" i="1"/>
  <c r="B8757" i="1"/>
  <c r="A8757" i="1"/>
  <c r="D10424" i="1"/>
  <c r="B10424" i="1"/>
  <c r="A10424" i="1"/>
  <c r="D6749" i="1"/>
  <c r="B6749" i="1"/>
  <c r="A6749" i="1"/>
  <c r="D17439" i="1"/>
  <c r="C17439" i="1"/>
  <c r="B17439" i="1"/>
  <c r="A17439" i="1"/>
  <c r="D11935" i="1"/>
  <c r="A11935" i="1"/>
  <c r="D9626" i="1"/>
  <c r="B9626" i="1"/>
  <c r="A9626" i="1"/>
  <c r="D15652" i="1"/>
  <c r="A15652" i="1"/>
  <c r="D6753" i="1"/>
  <c r="B6753" i="1"/>
  <c r="A6753" i="1"/>
  <c r="D10318" i="1"/>
  <c r="B10318" i="1"/>
  <c r="A10318" i="1"/>
  <c r="D14973" i="1"/>
  <c r="B14973" i="1"/>
  <c r="A14973" i="1"/>
  <c r="D6421" i="1"/>
  <c r="A6421" i="1"/>
  <c r="D5553" i="1"/>
  <c r="A5553" i="1"/>
  <c r="D10461" i="1"/>
  <c r="B10461" i="1"/>
  <c r="A10461" i="1"/>
  <c r="D10886" i="1"/>
  <c r="A10886" i="1"/>
  <c r="D17335" i="1"/>
  <c r="B17335" i="1"/>
  <c r="A17335" i="1"/>
  <c r="D6372" i="1"/>
  <c r="B6372" i="1"/>
  <c r="A6372" i="1"/>
  <c r="D10528" i="1"/>
  <c r="B10528" i="1"/>
  <c r="A10528" i="1"/>
  <c r="D13175" i="1"/>
  <c r="B13175" i="1"/>
  <c r="A13175" i="1"/>
  <c r="D6983" i="1"/>
  <c r="B6983" i="1"/>
  <c r="A6983" i="1"/>
  <c r="D14581" i="1"/>
  <c r="A14581" i="1"/>
  <c r="D11297" i="1"/>
  <c r="C11297" i="1"/>
  <c r="B11297" i="1"/>
  <c r="A11297" i="1"/>
  <c r="D16171" i="1"/>
  <c r="B16171" i="1"/>
  <c r="A16171" i="1"/>
  <c r="D9957" i="1"/>
  <c r="B9957" i="1"/>
  <c r="A9957" i="1"/>
  <c r="D17311" i="1"/>
  <c r="A17311" i="1"/>
  <c r="D7697" i="1"/>
  <c r="A7697" i="1"/>
  <c r="D18555" i="1"/>
  <c r="B18555" i="1"/>
  <c r="A18555" i="1"/>
  <c r="D18198" i="1"/>
  <c r="B18198" i="1"/>
  <c r="A18198" i="1"/>
  <c r="D17503" i="1"/>
  <c r="B17503" i="1"/>
  <c r="A17503" i="1"/>
  <c r="D10543" i="1"/>
  <c r="B10543" i="1"/>
  <c r="A10543" i="1"/>
  <c r="D6281" i="1"/>
  <c r="B6281" i="1"/>
  <c r="A6281" i="1"/>
  <c r="D17201" i="1"/>
  <c r="B17201" i="1"/>
  <c r="A17201" i="1"/>
  <c r="D15736" i="1"/>
  <c r="B15736" i="1"/>
  <c r="A15736" i="1"/>
  <c r="D18607" i="1"/>
  <c r="B18607" i="1"/>
  <c r="A18607" i="1"/>
  <c r="D9649" i="1"/>
  <c r="A9649" i="1"/>
  <c r="D18062" i="1"/>
  <c r="B18062" i="1"/>
  <c r="A18062" i="1"/>
  <c r="D18281" i="1"/>
  <c r="B18281" i="1"/>
  <c r="A18281" i="1"/>
  <c r="D10442" i="1"/>
  <c r="A10442" i="1"/>
  <c r="D11903" i="1"/>
  <c r="A11903" i="1"/>
  <c r="D16812" i="1"/>
  <c r="B16812" i="1"/>
  <c r="A16812" i="1"/>
  <c r="D7688" i="1"/>
  <c r="B7688" i="1"/>
  <c r="A7688" i="1"/>
  <c r="D9170" i="1"/>
  <c r="B9170" i="1"/>
  <c r="A9170" i="1"/>
  <c r="D9239" i="1"/>
  <c r="B9239" i="1"/>
  <c r="A9239" i="1"/>
  <c r="D14672" i="1"/>
  <c r="B14672" i="1"/>
  <c r="A14672" i="1"/>
  <c r="D11824" i="1"/>
  <c r="B11824" i="1"/>
  <c r="A11824" i="1"/>
  <c r="D16711" i="1"/>
  <c r="B16711" i="1"/>
  <c r="A16711" i="1"/>
  <c r="D10887" i="1"/>
  <c r="A10887" i="1"/>
  <c r="D17082" i="1"/>
  <c r="A17082" i="1"/>
  <c r="D18132" i="1"/>
  <c r="B18132" i="1"/>
  <c r="A18132" i="1"/>
  <c r="D12646" i="1"/>
  <c r="B12646" i="1"/>
  <c r="A12646" i="1"/>
  <c r="D16702" i="1"/>
  <c r="B16702" i="1"/>
  <c r="A16702" i="1"/>
  <c r="D9414" i="1"/>
  <c r="B9414" i="1"/>
  <c r="A9414" i="1"/>
  <c r="D18341" i="1"/>
  <c r="B18341" i="1"/>
  <c r="A18341" i="1"/>
  <c r="D7895" i="1"/>
  <c r="B7895" i="1"/>
  <c r="A7895" i="1"/>
  <c r="D15118" i="1"/>
  <c r="B15118" i="1"/>
  <c r="A15118" i="1"/>
  <c r="D6508" i="1"/>
  <c r="B6508" i="1"/>
  <c r="A6508" i="1"/>
  <c r="D12753" i="1"/>
  <c r="B12753" i="1"/>
  <c r="A12753" i="1"/>
  <c r="D16297" i="1"/>
  <c r="B16297" i="1"/>
  <c r="A16297" i="1"/>
  <c r="D8919" i="1"/>
  <c r="B8919" i="1"/>
  <c r="A8919" i="1"/>
  <c r="D7221" i="1"/>
  <c r="B7221" i="1"/>
  <c r="A7221" i="1"/>
  <c r="D6720" i="1"/>
  <c r="B6720" i="1"/>
  <c r="A6720" i="1"/>
  <c r="D10945" i="1"/>
  <c r="A10945" i="1"/>
  <c r="D7738" i="1"/>
  <c r="B7738" i="1"/>
  <c r="A7738" i="1"/>
  <c r="D17416" i="1"/>
  <c r="B17416" i="1"/>
  <c r="A17416" i="1"/>
  <c r="D7200" i="1"/>
  <c r="B7200" i="1"/>
  <c r="A7200" i="1"/>
  <c r="D7635" i="1"/>
  <c r="A7635" i="1"/>
  <c r="D9930" i="1"/>
  <c r="B9930" i="1"/>
  <c r="A9930" i="1"/>
  <c r="D13979" i="1"/>
  <c r="B13979" i="1"/>
  <c r="A13979" i="1"/>
  <c r="D10047" i="1"/>
  <c r="B10047" i="1"/>
  <c r="A10047" i="1"/>
  <c r="D16238" i="1"/>
  <c r="B16238" i="1"/>
  <c r="A16238" i="1"/>
  <c r="D12193" i="1"/>
  <c r="B12193" i="1"/>
  <c r="A12193" i="1"/>
  <c r="D18693" i="1"/>
  <c r="B18693" i="1"/>
  <c r="A18693" i="1"/>
  <c r="D8032" i="1"/>
  <c r="C8032" i="1"/>
  <c r="B8032" i="1"/>
  <c r="A8032" i="1"/>
  <c r="D18037" i="1"/>
  <c r="B18037" i="1"/>
  <c r="A18037" i="1"/>
  <c r="D6288" i="1"/>
  <c r="B6288" i="1"/>
  <c r="A6288" i="1"/>
  <c r="D17299" i="1"/>
  <c r="B17299" i="1"/>
  <c r="A17299" i="1"/>
  <c r="D17605" i="1"/>
  <c r="B17605" i="1"/>
  <c r="A17605" i="1"/>
  <c r="D9422" i="1"/>
  <c r="A9422" i="1"/>
  <c r="D15528" i="1"/>
  <c r="B15528" i="1"/>
  <c r="A15528" i="1"/>
  <c r="D11010" i="1"/>
  <c r="B11010" i="1"/>
  <c r="A11010" i="1"/>
  <c r="D6499" i="1"/>
  <c r="B6499" i="1"/>
  <c r="A6499" i="1"/>
  <c r="D17431" i="1"/>
  <c r="B17431" i="1"/>
  <c r="A17431" i="1"/>
  <c r="D17838" i="1"/>
  <c r="B17838" i="1"/>
  <c r="A17838" i="1"/>
  <c r="D16143" i="1"/>
  <c r="B16143" i="1"/>
  <c r="A16143" i="1"/>
  <c r="D16921" i="1"/>
  <c r="B16921" i="1"/>
  <c r="A16921" i="1"/>
  <c r="D9111" i="1"/>
  <c r="A9111" i="1"/>
  <c r="D11005" i="1"/>
  <c r="B11005" i="1"/>
  <c r="A11005" i="1"/>
  <c r="D10858" i="1"/>
  <c r="A10858" i="1"/>
  <c r="D7536" i="1"/>
  <c r="A7536" i="1"/>
  <c r="D17775" i="1"/>
  <c r="B17775" i="1"/>
  <c r="A17775" i="1"/>
  <c r="D18314" i="1"/>
  <c r="B18314" i="1"/>
  <c r="A18314" i="1"/>
  <c r="D5724" i="1"/>
  <c r="A5724" i="1"/>
  <c r="D17743" i="1"/>
  <c r="A17743" i="1"/>
  <c r="D8588" i="1"/>
  <c r="B8588" i="1"/>
  <c r="A8588" i="1"/>
  <c r="D11770" i="1"/>
  <c r="B11770" i="1"/>
  <c r="A11770" i="1"/>
  <c r="D9681" i="1"/>
  <c r="A9681" i="1"/>
  <c r="D14006" i="1"/>
  <c r="A14006" i="1"/>
  <c r="D15137" i="1"/>
  <c r="B15137" i="1"/>
  <c r="A15137" i="1"/>
  <c r="D8751" i="1"/>
  <c r="B8751" i="1"/>
  <c r="A8751" i="1"/>
  <c r="D12484" i="1"/>
  <c r="A12484" i="1"/>
  <c r="D15097" i="1"/>
  <c r="B15097" i="1"/>
  <c r="A15097" i="1"/>
  <c r="D10405" i="1"/>
  <c r="B10405" i="1"/>
  <c r="A10405" i="1"/>
  <c r="D6412" i="1"/>
  <c r="B6412" i="1"/>
  <c r="A6412" i="1"/>
  <c r="D12928" i="1"/>
  <c r="B12928" i="1"/>
  <c r="A12928" i="1"/>
  <c r="D17362" i="1"/>
  <c r="B17362" i="1"/>
  <c r="A17362" i="1"/>
  <c r="D6443" i="1"/>
  <c r="B6443" i="1"/>
  <c r="A6443" i="1"/>
  <c r="D7862" i="1"/>
  <c r="B7862" i="1"/>
  <c r="A7862" i="1"/>
  <c r="D9465" i="1"/>
  <c r="B9465" i="1"/>
  <c r="A9465" i="1"/>
  <c r="D18321" i="1"/>
  <c r="B18321" i="1"/>
  <c r="A18321" i="1"/>
  <c r="D17570" i="1"/>
  <c r="B17570" i="1"/>
  <c r="A17570" i="1"/>
  <c r="D16974" i="1"/>
  <c r="B16974" i="1"/>
  <c r="A16974" i="1"/>
  <c r="D9810" i="1"/>
  <c r="B9810" i="1"/>
  <c r="A9810" i="1"/>
  <c r="D17249" i="1"/>
  <c r="B17249" i="1"/>
  <c r="A17249" i="1"/>
  <c r="D8725" i="1"/>
  <c r="B8725" i="1"/>
  <c r="A8725" i="1"/>
  <c r="D14491" i="1"/>
  <c r="B14491" i="1"/>
  <c r="A14491" i="1"/>
  <c r="D12635" i="1"/>
  <c r="B12635" i="1"/>
  <c r="A12635" i="1"/>
  <c r="D18176" i="1"/>
  <c r="A18176" i="1"/>
  <c r="D10513" i="1"/>
  <c r="B10513" i="1"/>
  <c r="A10513" i="1"/>
  <c r="D16961" i="1"/>
  <c r="B16961" i="1"/>
  <c r="A16961" i="1"/>
  <c r="D11049" i="1"/>
  <c r="B11049" i="1"/>
  <c r="A11049" i="1"/>
  <c r="D15850" i="1"/>
  <c r="B15850" i="1"/>
  <c r="A15850" i="1"/>
  <c r="D17091" i="1"/>
  <c r="B17091" i="1"/>
  <c r="A17091" i="1"/>
  <c r="D7998" i="1"/>
  <c r="B7998" i="1"/>
  <c r="A7998" i="1"/>
  <c r="D9137" i="1"/>
  <c r="B9137" i="1"/>
  <c r="A9137" i="1"/>
  <c r="D9266" i="1"/>
  <c r="B9266" i="1"/>
  <c r="A9266" i="1"/>
  <c r="D18098" i="1"/>
  <c r="B18098" i="1"/>
  <c r="A18098" i="1"/>
  <c r="D8702" i="1"/>
  <c r="B8702" i="1"/>
  <c r="A8702" i="1"/>
  <c r="D8055" i="1"/>
  <c r="B8055" i="1"/>
  <c r="A8055" i="1"/>
  <c r="D17084" i="1"/>
  <c r="C17084" i="1"/>
  <c r="B17084" i="1"/>
  <c r="A17084" i="1"/>
  <c r="D7582" i="1"/>
  <c r="B7582" i="1"/>
  <c r="A7582" i="1"/>
  <c r="D17032" i="1"/>
  <c r="A17032" i="1"/>
  <c r="D5436" i="1"/>
  <c r="A5436" i="1"/>
  <c r="D12477" i="1"/>
  <c r="A12477" i="1"/>
  <c r="D10749" i="1"/>
  <c r="B10749" i="1"/>
  <c r="A10749" i="1"/>
  <c r="D5560" i="1"/>
  <c r="A5560" i="1"/>
  <c r="D7324" i="1"/>
  <c r="A7324" i="1"/>
  <c r="D8175" i="1"/>
  <c r="C8175" i="1"/>
  <c r="B8175" i="1"/>
  <c r="A8175" i="1"/>
  <c r="D13102" i="1"/>
  <c r="B13102" i="1"/>
  <c r="A13102" i="1"/>
  <c r="D17118" i="1"/>
  <c r="A17118" i="1"/>
  <c r="D7640" i="1"/>
  <c r="A7640" i="1"/>
  <c r="D18084" i="1"/>
  <c r="B18084" i="1"/>
  <c r="A18084" i="1"/>
  <c r="D13046" i="1"/>
  <c r="B13046" i="1"/>
  <c r="A13046" i="1"/>
  <c r="D18123" i="1"/>
  <c r="B18123" i="1"/>
  <c r="A18123" i="1"/>
  <c r="D12505" i="1"/>
  <c r="B12505" i="1"/>
  <c r="A12505" i="1"/>
  <c r="D17759" i="1"/>
  <c r="B17759" i="1"/>
  <c r="A17759" i="1"/>
  <c r="D17991" i="1"/>
  <c r="B17991" i="1"/>
  <c r="A17991" i="1"/>
  <c r="D7609" i="1"/>
  <c r="B7609" i="1"/>
  <c r="A7609" i="1"/>
  <c r="D9645" i="1"/>
  <c r="B9645" i="1"/>
  <c r="A9645" i="1"/>
  <c r="D10988" i="1"/>
  <c r="B10988" i="1"/>
  <c r="A10988" i="1"/>
  <c r="D12344" i="1"/>
  <c r="B12344" i="1"/>
  <c r="A12344" i="1"/>
  <c r="D18263" i="1"/>
  <c r="B18263" i="1"/>
  <c r="A18263" i="1"/>
  <c r="D9279" i="1"/>
  <c r="B9279" i="1"/>
  <c r="A9279" i="1"/>
  <c r="D15151" i="1"/>
  <c r="B15151" i="1"/>
  <c r="A15151" i="1"/>
  <c r="D17324" i="1"/>
  <c r="B17324" i="1"/>
  <c r="A17324" i="1"/>
  <c r="D8141" i="1"/>
  <c r="B8141" i="1"/>
  <c r="A8141" i="1"/>
  <c r="D16242" i="1"/>
  <c r="A16242" i="1"/>
  <c r="D9152" i="1"/>
  <c r="B9152" i="1"/>
  <c r="A9152" i="1"/>
  <c r="D13281" i="1"/>
  <c r="B13281" i="1"/>
  <c r="A13281" i="1"/>
  <c r="D8258" i="1"/>
  <c r="B8258" i="1"/>
  <c r="A8258" i="1"/>
  <c r="D15772" i="1"/>
  <c r="B15772" i="1"/>
  <c r="A15772" i="1"/>
  <c r="D9768" i="1"/>
  <c r="B9768" i="1"/>
  <c r="A9768" i="1"/>
  <c r="D7535" i="1"/>
  <c r="A7535" i="1"/>
  <c r="D18727" i="1"/>
  <c r="B18727" i="1"/>
  <c r="A18727" i="1"/>
  <c r="D15105" i="1"/>
  <c r="B15105" i="1"/>
  <c r="A15105" i="1"/>
  <c r="D9504" i="1"/>
  <c r="B9504" i="1"/>
  <c r="A9504" i="1"/>
  <c r="D8905" i="1"/>
  <c r="B8905" i="1"/>
  <c r="A8905" i="1"/>
  <c r="D16619" i="1"/>
  <c r="B16619" i="1"/>
  <c r="A16619" i="1"/>
  <c r="D8265" i="1"/>
  <c r="B8265" i="1"/>
  <c r="A8265" i="1"/>
  <c r="D15906" i="1"/>
  <c r="A15906" i="1"/>
  <c r="D10931" i="1"/>
  <c r="B10931" i="1"/>
  <c r="A10931" i="1"/>
  <c r="D8418" i="1"/>
  <c r="B8418" i="1"/>
  <c r="A8418" i="1"/>
  <c r="D15195" i="1"/>
  <c r="B15195" i="1"/>
  <c r="A15195" i="1"/>
  <c r="D14592" i="1"/>
  <c r="B14592" i="1"/>
  <c r="A14592" i="1"/>
  <c r="D15186" i="1"/>
  <c r="B15186" i="1"/>
  <c r="A15186" i="1"/>
  <c r="D10015" i="1"/>
  <c r="B10015" i="1"/>
  <c r="A10015" i="1"/>
  <c r="D18567" i="1"/>
  <c r="B18567" i="1"/>
  <c r="A18567" i="1"/>
  <c r="D15936" i="1"/>
  <c r="B15936" i="1"/>
  <c r="A15936" i="1"/>
  <c r="D9741" i="1"/>
  <c r="B9741" i="1"/>
  <c r="A9741" i="1"/>
  <c r="D7745" i="1"/>
  <c r="A7745" i="1"/>
  <c r="D10611" i="1"/>
  <c r="B10611" i="1"/>
  <c r="A10611" i="1"/>
  <c r="D12754" i="1"/>
  <c r="B12754" i="1"/>
  <c r="A12754" i="1"/>
  <c r="D6482" i="1"/>
  <c r="B6482" i="1"/>
  <c r="A6482" i="1"/>
  <c r="D13584" i="1"/>
  <c r="B13584" i="1"/>
  <c r="A13584" i="1"/>
  <c r="D16253" i="1"/>
  <c r="B16253" i="1"/>
  <c r="A16253" i="1"/>
  <c r="D15814" i="1"/>
  <c r="B15814" i="1"/>
  <c r="A15814" i="1"/>
  <c r="D9009" i="1"/>
  <c r="A9009" i="1"/>
  <c r="D6873" i="1"/>
  <c r="B6873" i="1"/>
  <c r="A6873" i="1"/>
  <c r="D16811" i="1"/>
  <c r="B16811" i="1"/>
  <c r="A16811" i="1"/>
  <c r="D10368" i="1"/>
  <c r="C10368" i="1"/>
  <c r="B10368" i="1"/>
  <c r="A10368" i="1"/>
  <c r="D16280" i="1"/>
  <c r="C16280" i="1"/>
  <c r="B16280" i="1"/>
  <c r="A16280" i="1"/>
  <c r="D7701" i="1"/>
  <c r="B7701" i="1"/>
  <c r="A7701" i="1"/>
  <c r="D5668" i="1"/>
  <c r="A5668" i="1"/>
  <c r="D9475" i="1"/>
  <c r="B9475" i="1"/>
  <c r="A9475" i="1"/>
  <c r="D7301" i="1"/>
  <c r="A7301" i="1"/>
  <c r="D9917" i="1"/>
  <c r="B9917" i="1"/>
  <c r="A9917" i="1"/>
  <c r="D15674" i="1"/>
  <c r="B15674" i="1"/>
  <c r="A15674" i="1"/>
  <c r="D6535" i="1"/>
  <c r="A6535" i="1"/>
  <c r="D8711" i="1"/>
  <c r="B8711" i="1"/>
  <c r="A8711" i="1"/>
  <c r="D15238" i="1"/>
  <c r="B15238" i="1"/>
  <c r="A15238" i="1"/>
  <c r="D17938" i="1"/>
  <c r="B17938" i="1"/>
  <c r="A17938" i="1"/>
  <c r="D15839" i="1"/>
  <c r="B15839" i="1"/>
  <c r="A15839" i="1"/>
  <c r="D12678" i="1"/>
  <c r="B12678" i="1"/>
  <c r="A12678" i="1"/>
  <c r="D18168" i="1"/>
  <c r="B18168" i="1"/>
  <c r="A18168" i="1"/>
  <c r="D9619" i="1"/>
  <c r="A9619" i="1"/>
  <c r="D8949" i="1"/>
  <c r="B8949" i="1"/>
  <c r="A8949" i="1"/>
  <c r="D11359" i="1"/>
  <c r="B11359" i="1"/>
  <c r="A11359" i="1"/>
  <c r="D7088" i="1"/>
  <c r="B7088" i="1"/>
  <c r="A7088" i="1"/>
  <c r="D11038" i="1"/>
  <c r="B11038" i="1"/>
  <c r="A11038" i="1"/>
  <c r="D16397" i="1"/>
  <c r="B16397" i="1"/>
  <c r="A16397" i="1"/>
  <c r="D14085" i="1"/>
  <c r="B14085" i="1"/>
  <c r="A14085" i="1"/>
  <c r="D10057" i="1"/>
  <c r="B10057" i="1"/>
  <c r="A10057" i="1"/>
  <c r="D10323" i="1"/>
  <c r="B10323" i="1"/>
  <c r="A10323" i="1"/>
  <c r="D9495" i="1"/>
  <c r="B9495" i="1"/>
  <c r="A9495" i="1"/>
  <c r="D6475" i="1"/>
  <c r="B6475" i="1"/>
  <c r="A6475" i="1"/>
  <c r="D10475" i="1"/>
  <c r="B10475" i="1"/>
  <c r="A10475" i="1"/>
  <c r="D18664" i="1"/>
  <c r="B18664" i="1"/>
  <c r="A18664" i="1"/>
  <c r="D5882" i="1"/>
  <c r="B5882" i="1"/>
  <c r="A5882" i="1"/>
  <c r="D9407" i="1"/>
  <c r="A9407" i="1"/>
  <c r="D6215" i="1"/>
  <c r="B6215" i="1"/>
  <c r="A6215" i="1"/>
  <c r="D16168" i="1"/>
  <c r="B16168" i="1"/>
  <c r="A16168" i="1"/>
  <c r="D17998" i="1"/>
  <c r="A17998" i="1"/>
  <c r="D8356" i="1"/>
  <c r="B8356" i="1"/>
  <c r="A8356" i="1"/>
  <c r="D15437" i="1"/>
  <c r="B15437" i="1"/>
  <c r="A15437" i="1"/>
  <c r="D10633" i="1"/>
  <c r="B10633" i="1"/>
  <c r="A10633" i="1"/>
  <c r="D8952" i="1"/>
  <c r="B8952" i="1"/>
  <c r="A8952" i="1"/>
  <c r="D17357" i="1"/>
  <c r="B17357" i="1"/>
  <c r="A17357" i="1"/>
  <c r="D12784" i="1"/>
  <c r="A12784" i="1"/>
  <c r="D11393" i="1"/>
  <c r="C11393" i="1"/>
  <c r="B11393" i="1"/>
  <c r="A11393" i="1"/>
  <c r="D15130" i="1"/>
  <c r="B15130" i="1"/>
  <c r="A15130" i="1"/>
  <c r="D12489" i="1"/>
  <c r="A12489" i="1"/>
  <c r="D12182" i="1"/>
  <c r="B12182" i="1"/>
  <c r="A12182" i="1"/>
  <c r="D13057" i="1"/>
  <c r="B13057" i="1"/>
  <c r="A13057" i="1"/>
  <c r="D18485" i="1"/>
  <c r="B18485" i="1"/>
  <c r="A18485" i="1"/>
  <c r="D8084" i="1"/>
  <c r="B8084" i="1"/>
  <c r="A8084" i="1"/>
  <c r="D10950" i="1"/>
  <c r="B10950" i="1"/>
  <c r="A10950" i="1"/>
  <c r="D12054" i="1"/>
  <c r="B12054" i="1"/>
  <c r="A12054" i="1"/>
  <c r="D8018" i="1"/>
  <c r="B8018" i="1"/>
  <c r="A8018" i="1"/>
  <c r="D14480" i="1"/>
  <c r="B14480" i="1"/>
  <c r="A14480" i="1"/>
  <c r="D16101" i="1"/>
  <c r="B16101" i="1"/>
  <c r="A16101" i="1"/>
  <c r="D12178" i="1"/>
  <c r="B12178" i="1"/>
  <c r="A12178" i="1"/>
  <c r="D17902" i="1"/>
  <c r="B17902" i="1"/>
  <c r="A17902" i="1"/>
  <c r="D9987" i="1"/>
  <c r="B9987" i="1"/>
  <c r="A9987" i="1"/>
  <c r="D9267" i="1"/>
  <c r="B9267" i="1"/>
  <c r="A9267" i="1"/>
  <c r="D17681" i="1"/>
  <c r="B17681" i="1"/>
  <c r="A17681" i="1"/>
  <c r="D12662" i="1"/>
  <c r="B12662" i="1"/>
  <c r="A12662" i="1"/>
  <c r="D18410" i="1"/>
  <c r="B18410" i="1"/>
  <c r="A18410" i="1"/>
  <c r="D7360" i="1"/>
  <c r="A7360" i="1"/>
  <c r="D6415" i="1"/>
  <c r="B6415" i="1"/>
  <c r="A6415" i="1"/>
  <c r="D16575" i="1"/>
  <c r="B16575" i="1"/>
  <c r="A16575" i="1"/>
  <c r="D16277" i="1"/>
  <c r="B16277" i="1"/>
  <c r="A16277" i="1"/>
  <c r="D12589" i="1"/>
  <c r="B12589" i="1"/>
  <c r="A12589" i="1"/>
  <c r="D9122" i="1"/>
  <c r="B9122" i="1"/>
  <c r="A9122" i="1"/>
  <c r="D17155" i="1"/>
  <c r="B17155" i="1"/>
  <c r="A17155" i="1"/>
  <c r="D10417" i="1"/>
  <c r="B10417" i="1"/>
  <c r="A10417" i="1"/>
  <c r="D11236" i="1"/>
  <c r="B11236" i="1"/>
  <c r="A11236" i="1"/>
  <c r="D7633" i="1"/>
  <c r="A7633" i="1"/>
  <c r="D7591" i="1"/>
  <c r="B7591" i="1"/>
  <c r="A7591" i="1"/>
  <c r="D10970" i="1"/>
  <c r="A10970" i="1"/>
  <c r="D12103" i="1"/>
  <c r="B12103" i="1"/>
  <c r="A12103" i="1"/>
  <c r="D10585" i="1"/>
  <c r="A10585" i="1"/>
  <c r="D15712" i="1"/>
  <c r="B15712" i="1"/>
  <c r="A15712" i="1"/>
  <c r="D6577" i="1"/>
  <c r="B6577" i="1"/>
  <c r="A6577" i="1"/>
  <c r="D17418" i="1"/>
  <c r="B17418" i="1"/>
  <c r="A17418" i="1"/>
  <c r="D6210" i="1"/>
  <c r="B6210" i="1"/>
  <c r="A6210" i="1"/>
  <c r="D18566" i="1"/>
  <c r="B18566" i="1"/>
  <c r="A18566" i="1"/>
  <c r="D11596" i="1"/>
  <c r="B11596" i="1"/>
  <c r="A11596" i="1"/>
  <c r="D18280" i="1"/>
  <c r="B18280" i="1"/>
  <c r="A18280" i="1"/>
  <c r="D10601" i="1"/>
  <c r="B10601" i="1"/>
  <c r="A10601" i="1"/>
  <c r="D11293" i="1"/>
  <c r="C11293" i="1"/>
  <c r="B11293" i="1"/>
  <c r="A11293" i="1"/>
  <c r="D14484" i="1"/>
  <c r="B14484" i="1"/>
  <c r="A14484" i="1"/>
  <c r="D13463" i="1"/>
  <c r="B13463" i="1"/>
  <c r="A13463" i="1"/>
  <c r="D13997" i="1"/>
  <c r="B13997" i="1"/>
  <c r="A13997" i="1"/>
  <c r="D13144" i="1"/>
  <c r="B13144" i="1"/>
  <c r="A13144" i="1"/>
  <c r="D9540" i="1"/>
  <c r="B9540" i="1"/>
  <c r="A9540" i="1"/>
  <c r="D10927" i="1"/>
  <c r="B10927" i="1"/>
  <c r="A10927" i="1"/>
  <c r="D10940" i="1"/>
  <c r="A10940" i="1"/>
  <c r="D17270" i="1"/>
  <c r="B17270" i="1"/>
  <c r="A17270" i="1"/>
  <c r="D6338" i="1"/>
  <c r="B6338" i="1"/>
  <c r="A6338" i="1"/>
  <c r="D11457" i="1"/>
  <c r="B11457" i="1"/>
  <c r="A11457" i="1"/>
  <c r="D18584" i="1"/>
  <c r="A18584" i="1"/>
  <c r="D13109" i="1"/>
  <c r="B13109" i="1"/>
  <c r="A13109" i="1"/>
  <c r="D18777" i="1"/>
  <c r="A18777" i="1"/>
  <c r="D17169" i="1"/>
  <c r="B17169" i="1"/>
  <c r="A17169" i="1"/>
  <c r="D10178" i="1"/>
  <c r="B10178" i="1"/>
  <c r="A10178" i="1"/>
  <c r="D8522" i="1"/>
  <c r="B8522" i="1"/>
  <c r="A8522" i="1"/>
  <c r="D15279" i="1"/>
  <c r="B15279" i="1"/>
  <c r="A15279" i="1"/>
  <c r="D15373" i="1"/>
  <c r="B15373" i="1"/>
  <c r="A15373" i="1"/>
  <c r="D18421" i="1"/>
  <c r="B18421" i="1"/>
  <c r="A18421" i="1"/>
  <c r="D7444" i="1"/>
  <c r="B7444" i="1"/>
  <c r="A7444" i="1"/>
  <c r="D11733" i="1"/>
  <c r="B11733" i="1"/>
  <c r="A11733" i="1"/>
  <c r="D9444" i="1"/>
  <c r="B9444" i="1"/>
  <c r="A9444" i="1"/>
  <c r="D18473" i="1"/>
  <c r="B18473" i="1"/>
  <c r="A18473" i="1"/>
  <c r="D9229" i="1"/>
  <c r="B9229" i="1"/>
  <c r="A9229" i="1"/>
  <c r="D6822" i="1"/>
  <c r="B6822" i="1"/>
  <c r="A6822" i="1"/>
  <c r="D13054" i="1"/>
  <c r="B13054" i="1"/>
  <c r="A13054" i="1"/>
  <c r="D10016" i="1"/>
  <c r="B10016" i="1"/>
  <c r="A10016" i="1"/>
  <c r="D8349" i="1"/>
  <c r="B8349" i="1"/>
  <c r="A8349" i="1"/>
  <c r="D11975" i="1"/>
  <c r="B11975" i="1"/>
  <c r="A11975" i="1"/>
  <c r="D16331" i="1"/>
  <c r="B16331" i="1"/>
  <c r="A16331" i="1"/>
  <c r="D10177" i="1"/>
  <c r="B10177" i="1"/>
  <c r="A10177" i="1"/>
  <c r="D7785" i="1"/>
  <c r="B7785" i="1"/>
  <c r="A7785" i="1"/>
  <c r="D10224" i="1"/>
  <c r="A10224" i="1"/>
  <c r="D17216" i="1"/>
  <c r="B17216" i="1"/>
  <c r="A17216" i="1"/>
  <c r="D17363" i="1"/>
  <c r="A17363" i="1"/>
  <c r="D8195" i="1"/>
  <c r="B8195" i="1"/>
  <c r="A8195" i="1"/>
  <c r="D15117" i="1"/>
  <c r="B15117" i="1"/>
  <c r="A15117" i="1"/>
  <c r="D8107" i="1"/>
  <c r="B8107" i="1"/>
  <c r="A8107" i="1"/>
  <c r="D18662" i="1"/>
  <c r="B18662" i="1"/>
  <c r="A18662" i="1"/>
  <c r="D17898" i="1"/>
  <c r="B17898" i="1"/>
  <c r="A17898" i="1"/>
  <c r="D18450" i="1"/>
  <c r="B18450" i="1"/>
  <c r="A18450" i="1"/>
  <c r="D11179" i="1"/>
  <c r="B11179" i="1"/>
  <c r="A11179" i="1"/>
  <c r="D11904" i="1"/>
  <c r="B11904" i="1"/>
  <c r="A11904" i="1"/>
  <c r="D18318" i="1"/>
  <c r="A18318" i="1"/>
  <c r="D12478" i="1"/>
  <c r="A12478" i="1"/>
  <c r="D10953" i="1"/>
  <c r="B10953" i="1"/>
  <c r="A10953" i="1"/>
  <c r="D7193" i="1"/>
  <c r="A7193" i="1"/>
  <c r="D7327" i="1"/>
  <c r="B7327" i="1"/>
  <c r="A7327" i="1"/>
  <c r="D11035" i="1"/>
  <c r="B11035" i="1"/>
  <c r="A11035" i="1"/>
  <c r="D16498" i="1"/>
  <c r="B16498" i="1"/>
  <c r="A16498" i="1"/>
  <c r="D18337" i="1"/>
  <c r="B18337" i="1"/>
  <c r="A18337" i="1"/>
  <c r="D11845" i="1"/>
  <c r="B11845" i="1"/>
  <c r="A11845" i="1"/>
  <c r="D9846" i="1"/>
  <c r="B9846" i="1"/>
  <c r="A9846" i="1"/>
  <c r="D7675" i="1"/>
  <c r="B7675" i="1"/>
  <c r="A7675" i="1"/>
  <c r="D14794" i="1"/>
  <c r="B14794" i="1"/>
  <c r="A14794" i="1"/>
  <c r="D9525" i="1"/>
  <c r="A9525" i="1"/>
  <c r="D7251" i="1"/>
  <c r="C7251" i="1"/>
  <c r="B7251" i="1"/>
  <c r="A7251" i="1"/>
  <c r="D9117" i="1"/>
  <c r="B9117" i="1"/>
  <c r="A9117" i="1"/>
  <c r="D6279" i="1"/>
  <c r="B6279" i="1"/>
  <c r="A6279" i="1"/>
  <c r="D6418" i="1"/>
  <c r="B6418" i="1"/>
  <c r="A6418" i="1"/>
  <c r="D13198" i="1"/>
  <c r="B13198" i="1"/>
  <c r="A13198" i="1"/>
  <c r="D7897" i="1"/>
  <c r="B7897" i="1"/>
  <c r="A7897" i="1"/>
  <c r="D12463" i="1"/>
  <c r="A12463" i="1"/>
  <c r="D7603" i="1"/>
  <c r="B7603" i="1"/>
  <c r="A7603" i="1"/>
  <c r="D17997" i="1"/>
  <c r="B17997" i="1"/>
  <c r="A17997" i="1"/>
  <c r="D8231" i="1"/>
  <c r="B8231" i="1"/>
  <c r="A8231" i="1"/>
  <c r="D13392" i="1"/>
  <c r="B13392" i="1"/>
  <c r="A13392" i="1"/>
  <c r="D7042" i="1"/>
  <c r="B7042" i="1"/>
  <c r="A7042" i="1"/>
  <c r="D17693" i="1"/>
  <c r="A17693" i="1"/>
  <c r="D14700" i="1"/>
  <c r="B14700" i="1"/>
  <c r="A14700" i="1"/>
  <c r="D6591" i="1"/>
  <c r="B6591" i="1"/>
  <c r="A6591" i="1"/>
  <c r="D9208" i="1"/>
  <c r="B9208" i="1"/>
  <c r="A9208" i="1"/>
  <c r="D10969" i="1"/>
  <c r="B10969" i="1"/>
  <c r="A10969" i="1"/>
  <c r="D14095" i="1"/>
  <c r="A14095" i="1"/>
  <c r="D6430" i="1"/>
  <c r="B6430" i="1"/>
  <c r="A6430" i="1"/>
  <c r="D10777" i="1"/>
  <c r="B10777" i="1"/>
  <c r="A10777" i="1"/>
  <c r="D10452" i="1"/>
  <c r="B10452" i="1"/>
  <c r="A10452" i="1"/>
  <c r="D6674" i="1"/>
  <c r="B6674" i="1"/>
  <c r="A6674" i="1"/>
  <c r="D17767" i="1"/>
  <c r="A17767" i="1"/>
  <c r="D17947" i="1"/>
  <c r="B17947" i="1"/>
  <c r="A17947" i="1"/>
  <c r="D10977" i="1"/>
  <c r="B10977" i="1"/>
  <c r="A10977" i="1"/>
  <c r="D16888" i="1"/>
  <c r="B16888" i="1"/>
  <c r="A16888" i="1"/>
  <c r="D7150" i="1"/>
  <c r="B7150" i="1"/>
  <c r="A7150" i="1"/>
  <c r="D15185" i="1"/>
  <c r="B15185" i="1"/>
  <c r="A15185" i="1"/>
  <c r="D12602" i="1"/>
  <c r="B12602" i="1"/>
  <c r="A12602" i="1"/>
  <c r="D10384" i="1"/>
  <c r="B10384" i="1"/>
  <c r="A10384" i="1"/>
  <c r="D13227" i="1"/>
  <c r="B13227" i="1"/>
  <c r="A13227" i="1"/>
  <c r="D16870" i="1"/>
  <c r="B16870" i="1"/>
  <c r="A16870" i="1"/>
  <c r="D12107" i="1"/>
  <c r="A12107" i="1"/>
  <c r="D7595" i="1"/>
  <c r="A7595" i="1"/>
  <c r="D10789" i="1"/>
  <c r="B10789" i="1"/>
  <c r="A10789" i="1"/>
  <c r="D9820" i="1"/>
  <c r="B9820" i="1"/>
  <c r="A9820" i="1"/>
  <c r="D8253" i="1"/>
  <c r="B8253" i="1"/>
  <c r="A8253" i="1"/>
  <c r="D11933" i="1"/>
  <c r="B11933" i="1"/>
  <c r="A11933" i="1"/>
  <c r="D18433" i="1"/>
  <c r="B18433" i="1"/>
  <c r="A18433" i="1"/>
  <c r="D6255" i="1"/>
  <c r="A6255" i="1"/>
  <c r="D13724" i="1"/>
  <c r="B13724" i="1"/>
  <c r="A13724" i="1"/>
  <c r="D10902" i="1"/>
  <c r="B10902" i="1"/>
  <c r="A10902" i="1"/>
  <c r="D13049" i="1"/>
  <c r="B13049" i="1"/>
  <c r="A13049" i="1"/>
  <c r="D11466" i="1"/>
  <c r="B11466" i="1"/>
  <c r="A11466" i="1"/>
  <c r="D12907" i="1"/>
  <c r="A12907" i="1"/>
  <c r="D17073" i="1"/>
  <c r="B17073" i="1"/>
  <c r="A17073" i="1"/>
  <c r="D12664" i="1"/>
  <c r="B12664" i="1"/>
  <c r="A12664" i="1"/>
  <c r="D8333" i="1"/>
  <c r="C8333" i="1"/>
  <c r="B8333" i="1"/>
  <c r="A8333" i="1"/>
  <c r="D9011" i="1"/>
  <c r="B9011" i="1"/>
  <c r="A9011" i="1"/>
  <c r="D10916" i="1"/>
  <c r="A10916" i="1"/>
  <c r="D15319" i="1"/>
  <c r="B15319" i="1"/>
  <c r="A15319" i="1"/>
  <c r="D11606" i="1"/>
  <c r="B11606" i="1"/>
  <c r="A11606" i="1"/>
  <c r="D18659" i="1"/>
  <c r="B18659" i="1"/>
  <c r="A18659" i="1"/>
  <c r="D17429" i="1"/>
  <c r="B17429" i="1"/>
  <c r="A17429" i="1"/>
  <c r="D13348" i="1"/>
  <c r="B13348" i="1"/>
  <c r="A13348" i="1"/>
  <c r="D16295" i="1"/>
  <c r="B16295" i="1"/>
  <c r="A16295" i="1"/>
  <c r="D8219" i="1"/>
  <c r="B8219" i="1"/>
  <c r="A8219" i="1"/>
  <c r="D18508" i="1"/>
  <c r="B18508" i="1"/>
  <c r="A18508" i="1"/>
  <c r="D13600" i="1"/>
  <c r="C13600" i="1"/>
  <c r="B13600" i="1"/>
  <c r="A13600" i="1"/>
  <c r="D6589" i="1"/>
  <c r="B6589" i="1"/>
  <c r="A6589" i="1"/>
  <c r="D8567" i="1"/>
  <c r="B8567" i="1"/>
  <c r="A8567" i="1"/>
  <c r="D6865" i="1"/>
  <c r="B6865" i="1"/>
  <c r="A6865" i="1"/>
  <c r="D5353" i="1"/>
  <c r="A5353" i="1"/>
  <c r="D18109" i="1"/>
  <c r="C18109" i="1"/>
  <c r="B18109" i="1"/>
  <c r="A18109" i="1"/>
  <c r="D13185" i="1"/>
  <c r="B13185" i="1"/>
  <c r="A13185" i="1"/>
  <c r="D6959" i="1"/>
  <c r="A6959" i="1"/>
  <c r="D17992" i="1"/>
  <c r="B17992" i="1"/>
  <c r="A17992" i="1"/>
  <c r="D12272" i="1"/>
  <c r="B12272" i="1"/>
  <c r="A12272" i="1"/>
  <c r="D13074" i="1"/>
  <c r="C13074" i="1"/>
  <c r="B13074" i="1"/>
  <c r="A13074" i="1"/>
  <c r="D17164" i="1"/>
  <c r="B17164" i="1"/>
  <c r="A17164" i="1"/>
  <c r="D7019" i="1"/>
  <c r="B7019" i="1"/>
  <c r="A7019" i="1"/>
  <c r="D11646" i="1"/>
  <c r="B11646" i="1"/>
  <c r="A11646" i="1"/>
  <c r="D7802" i="1"/>
  <c r="A7802" i="1"/>
  <c r="D11066" i="1"/>
  <c r="B11066" i="1"/>
  <c r="A11066" i="1"/>
  <c r="D11374" i="1"/>
  <c r="B11374" i="1"/>
  <c r="A11374" i="1"/>
  <c r="D10674" i="1"/>
  <c r="A10674" i="1"/>
  <c r="D12610" i="1"/>
  <c r="B12610" i="1"/>
  <c r="A12610" i="1"/>
  <c r="D17678" i="1"/>
  <c r="B17678" i="1"/>
  <c r="A17678" i="1"/>
  <c r="D6721" i="1"/>
  <c r="A6721" i="1"/>
  <c r="D7038" i="1"/>
  <c r="B7038" i="1"/>
  <c r="A7038" i="1"/>
  <c r="D8397" i="1"/>
  <c r="C8397" i="1"/>
  <c r="B8397" i="1"/>
  <c r="A8397" i="1"/>
  <c r="D11024" i="1"/>
  <c r="A11024" i="1"/>
  <c r="D14992" i="1"/>
  <c r="B14992" i="1"/>
  <c r="A14992" i="1"/>
  <c r="D12347" i="1"/>
  <c r="B12347" i="1"/>
  <c r="A12347" i="1"/>
  <c r="D7522" i="1"/>
  <c r="B7522" i="1"/>
  <c r="A7522" i="1"/>
  <c r="D13965" i="1"/>
  <c r="B13965" i="1"/>
  <c r="A13965" i="1"/>
  <c r="D9089" i="1"/>
  <c r="B9089" i="1"/>
  <c r="A9089" i="1"/>
  <c r="D17315" i="1"/>
  <c r="B17315" i="1"/>
  <c r="A17315" i="1"/>
  <c r="D10908" i="1"/>
  <c r="B10908" i="1"/>
  <c r="A10908" i="1"/>
  <c r="D7822" i="1"/>
  <c r="B7822" i="1"/>
  <c r="A7822" i="1"/>
  <c r="D14758" i="1"/>
  <c r="B14758" i="1"/>
  <c r="A14758" i="1"/>
  <c r="D8054" i="1"/>
  <c r="B8054" i="1"/>
  <c r="A8054" i="1"/>
  <c r="D16415" i="1"/>
  <c r="B16415" i="1"/>
  <c r="A16415" i="1"/>
  <c r="D6405" i="1"/>
  <c r="B6405" i="1"/>
  <c r="A6405" i="1"/>
  <c r="D18585" i="1"/>
  <c r="A18585" i="1"/>
  <c r="D17797" i="1"/>
  <c r="B17797" i="1"/>
  <c r="A17797" i="1"/>
  <c r="D12179" i="1"/>
  <c r="B12179" i="1"/>
  <c r="A12179" i="1"/>
  <c r="D10925" i="1"/>
  <c r="B10925" i="1"/>
  <c r="A10925" i="1"/>
  <c r="D13681" i="1"/>
  <c r="B13681" i="1"/>
  <c r="A13681" i="1"/>
  <c r="D17048" i="1"/>
  <c r="B17048" i="1"/>
  <c r="A17048" i="1"/>
  <c r="D11598" i="1"/>
  <c r="B11598" i="1"/>
  <c r="A11598" i="1"/>
  <c r="D14906" i="1"/>
  <c r="B14906" i="1"/>
  <c r="A14906" i="1"/>
  <c r="D10987" i="1"/>
  <c r="A10987" i="1"/>
  <c r="D7261" i="1"/>
  <c r="B7261" i="1"/>
  <c r="A7261" i="1"/>
  <c r="D13438" i="1"/>
  <c r="B13438" i="1"/>
  <c r="A13438" i="1"/>
  <c r="D10327" i="1"/>
  <c r="B10327" i="1"/>
  <c r="A10327" i="1"/>
  <c r="D14727" i="1"/>
  <c r="C14727" i="1"/>
  <c r="B14727" i="1"/>
  <c r="A14727" i="1"/>
  <c r="D16946" i="1"/>
  <c r="B16946" i="1"/>
  <c r="A16946" i="1"/>
  <c r="D12379" i="1"/>
  <c r="B12379" i="1"/>
  <c r="A12379" i="1"/>
  <c r="D9388" i="1"/>
  <c r="A9388" i="1"/>
  <c r="D11980" i="1"/>
  <c r="B11980" i="1"/>
  <c r="A11980" i="1"/>
  <c r="D18395" i="1"/>
  <c r="B18395" i="1"/>
  <c r="A18395" i="1"/>
  <c r="D17330" i="1"/>
  <c r="A17330" i="1"/>
  <c r="D13570" i="1"/>
  <c r="B13570" i="1"/>
  <c r="A13570" i="1"/>
  <c r="D13805" i="1"/>
  <c r="B13805" i="1"/>
  <c r="A13805" i="1"/>
  <c r="D8963" i="1"/>
  <c r="B8963" i="1"/>
  <c r="A8963" i="1"/>
  <c r="D13065" i="1"/>
  <c r="C13065" i="1"/>
  <c r="B13065" i="1"/>
  <c r="A13065" i="1"/>
  <c r="D9644" i="1"/>
  <c r="B9644" i="1"/>
  <c r="A9644" i="1"/>
  <c r="D12232" i="1"/>
  <c r="B12232" i="1"/>
  <c r="A12232" i="1"/>
  <c r="D8445" i="1"/>
  <c r="B8445" i="1"/>
  <c r="A8445" i="1"/>
  <c r="D9399" i="1"/>
  <c r="B9399" i="1"/>
  <c r="A9399" i="1"/>
  <c r="D17176" i="1"/>
  <c r="B17176" i="1"/>
  <c r="A17176" i="1"/>
  <c r="D13824" i="1"/>
  <c r="A13824" i="1"/>
  <c r="D14396" i="1"/>
  <c r="A14396" i="1"/>
  <c r="D6789" i="1"/>
  <c r="B6789" i="1"/>
  <c r="A6789" i="1"/>
  <c r="D18723" i="1"/>
  <c r="B18723" i="1"/>
  <c r="A18723" i="1"/>
  <c r="D11328" i="1"/>
  <c r="B11328" i="1"/>
  <c r="A11328" i="1"/>
  <c r="D11787" i="1"/>
  <c r="B11787" i="1"/>
  <c r="A11787" i="1"/>
  <c r="D10897" i="1"/>
  <c r="B10897" i="1"/>
  <c r="A10897" i="1"/>
  <c r="D7596" i="1"/>
  <c r="B7596" i="1"/>
  <c r="A7596" i="1"/>
  <c r="D5730" i="1"/>
  <c r="A5730" i="1"/>
  <c r="D10437" i="1"/>
  <c r="B10437" i="1"/>
  <c r="A10437" i="1"/>
  <c r="D16352" i="1"/>
  <c r="B16352" i="1"/>
  <c r="A16352" i="1"/>
  <c r="D16859" i="1"/>
  <c r="B16859" i="1"/>
  <c r="A16859" i="1"/>
  <c r="D5939" i="1"/>
  <c r="B5939" i="1"/>
  <c r="A5939" i="1"/>
  <c r="D10085" i="1"/>
  <c r="A10085" i="1"/>
  <c r="D14099" i="1"/>
  <c r="B14099" i="1"/>
  <c r="A14099" i="1"/>
  <c r="D15853" i="1"/>
  <c r="A15853" i="1"/>
  <c r="D10077" i="1"/>
  <c r="B10077" i="1"/>
  <c r="A10077" i="1"/>
  <c r="D6498" i="1"/>
  <c r="B6498" i="1"/>
  <c r="A6498" i="1"/>
  <c r="D18422" i="1"/>
  <c r="B18422" i="1"/>
  <c r="A18422" i="1"/>
  <c r="D16927" i="1"/>
  <c r="A16927" i="1"/>
  <c r="D17821" i="1"/>
  <c r="B17821" i="1"/>
  <c r="A17821" i="1"/>
  <c r="D7295" i="1"/>
  <c r="A7295" i="1"/>
  <c r="D6227" i="1"/>
  <c r="B6227" i="1"/>
  <c r="A6227" i="1"/>
  <c r="D14496" i="1"/>
  <c r="B14496" i="1"/>
  <c r="A14496" i="1"/>
  <c r="D17028" i="1"/>
  <c r="B17028" i="1"/>
  <c r="A17028" i="1"/>
  <c r="D18005" i="1"/>
  <c r="B18005" i="1"/>
  <c r="A18005" i="1"/>
  <c r="D12177" i="1"/>
  <c r="A12177" i="1"/>
  <c r="D7142" i="1"/>
  <c r="B7142" i="1"/>
  <c r="A7142" i="1"/>
  <c r="D7404" i="1"/>
  <c r="B7404" i="1"/>
  <c r="A7404" i="1"/>
  <c r="D15099" i="1"/>
  <c r="B15099" i="1"/>
  <c r="A15099" i="1"/>
  <c r="D17326" i="1"/>
  <c r="B17326" i="1"/>
  <c r="A17326" i="1"/>
  <c r="D5881" i="1"/>
  <c r="B5881" i="1"/>
  <c r="A5881" i="1"/>
  <c r="D9496" i="1"/>
  <c r="B9496" i="1"/>
  <c r="A9496" i="1"/>
  <c r="D17291" i="1"/>
  <c r="B17291" i="1"/>
  <c r="A17291" i="1"/>
  <c r="D9887" i="1"/>
  <c r="B9887" i="1"/>
  <c r="A9887" i="1"/>
  <c r="D10267" i="1"/>
  <c r="B10267" i="1"/>
  <c r="A10267" i="1"/>
  <c r="D7571" i="1"/>
  <c r="A7571" i="1"/>
  <c r="D7172" i="1"/>
  <c r="B7172" i="1"/>
  <c r="A7172" i="1"/>
  <c r="D17642" i="1"/>
  <c r="B17642" i="1"/>
  <c r="A17642" i="1"/>
  <c r="D8438" i="1"/>
  <c r="B8438" i="1"/>
  <c r="A8438" i="1"/>
  <c r="D9707" i="1"/>
  <c r="B9707" i="1"/>
  <c r="A9707" i="1"/>
  <c r="D8705" i="1"/>
  <c r="B8705" i="1"/>
  <c r="A8705" i="1"/>
  <c r="D18260" i="1"/>
  <c r="B18260" i="1"/>
  <c r="A18260" i="1"/>
  <c r="D7981" i="1"/>
  <c r="B7981" i="1"/>
  <c r="A7981" i="1"/>
  <c r="D8207" i="1"/>
  <c r="B8207" i="1"/>
  <c r="A8207" i="1"/>
  <c r="D13766" i="1"/>
  <c r="B13766" i="1"/>
  <c r="A13766" i="1"/>
  <c r="D12666" i="1"/>
  <c r="A12666" i="1"/>
  <c r="D6757" i="1"/>
  <c r="A6757" i="1"/>
  <c r="D11814" i="1"/>
  <c r="A11814" i="1"/>
  <c r="D6872" i="1"/>
  <c r="B6872" i="1"/>
  <c r="A6872" i="1"/>
  <c r="D16060" i="1"/>
  <c r="A16060" i="1"/>
  <c r="D9385" i="1"/>
  <c r="B9385" i="1"/>
  <c r="A9385" i="1"/>
  <c r="D9829" i="1"/>
  <c r="B9829" i="1"/>
  <c r="A9829" i="1"/>
  <c r="D15124" i="1"/>
  <c r="B15124" i="1"/>
  <c r="A15124" i="1"/>
  <c r="D9616" i="1"/>
  <c r="B9616" i="1"/>
  <c r="A9616" i="1"/>
  <c r="D17834" i="1"/>
  <c r="B17834" i="1"/>
  <c r="A17834" i="1"/>
  <c r="D18744" i="1"/>
  <c r="B18744" i="1"/>
  <c r="A18744" i="1"/>
  <c r="D18689" i="1"/>
  <c r="A18689" i="1"/>
  <c r="D6662" i="1"/>
  <c r="B6662" i="1"/>
  <c r="A6662" i="1"/>
  <c r="D14735" i="1"/>
  <c r="B14735" i="1"/>
  <c r="A14735" i="1"/>
  <c r="D17969" i="1"/>
  <c r="A17969" i="1"/>
  <c r="D9685" i="1"/>
  <c r="B9685" i="1"/>
  <c r="A9685" i="1"/>
  <c r="D12217" i="1"/>
  <c r="B12217" i="1"/>
  <c r="A12217" i="1"/>
  <c r="D9908" i="1"/>
  <c r="B9908" i="1"/>
  <c r="A9908" i="1"/>
  <c r="D6410" i="1"/>
  <c r="B6410" i="1"/>
  <c r="A6410" i="1"/>
  <c r="D17769" i="1"/>
  <c r="B17769" i="1"/>
  <c r="A17769" i="1"/>
  <c r="D15946" i="1"/>
  <c r="C15946" i="1"/>
  <c r="B15946" i="1"/>
  <c r="A15946" i="1"/>
  <c r="D5893" i="1"/>
  <c r="C5893" i="1"/>
  <c r="B5893" i="1"/>
  <c r="A5893" i="1"/>
  <c r="D6602" i="1"/>
  <c r="A6602" i="1"/>
  <c r="D6691" i="1"/>
  <c r="B6691" i="1"/>
  <c r="A6691" i="1"/>
  <c r="D18382" i="1"/>
  <c r="C18382" i="1"/>
  <c r="B18382" i="1"/>
  <c r="A18382" i="1"/>
  <c r="D10986" i="1"/>
  <c r="B10986" i="1"/>
  <c r="A10986" i="1"/>
  <c r="D16506" i="1"/>
  <c r="B16506" i="1"/>
  <c r="A16506" i="1"/>
  <c r="D10915" i="1"/>
  <c r="B10915" i="1"/>
  <c r="A10915" i="1"/>
  <c r="D11422" i="1"/>
  <c r="A11422" i="1"/>
  <c r="D13388" i="1"/>
  <c r="B13388" i="1"/>
  <c r="A13388" i="1"/>
  <c r="D10061" i="1"/>
  <c r="B10061" i="1"/>
  <c r="A10061" i="1"/>
  <c r="D17368" i="1"/>
  <c r="B17368" i="1"/>
  <c r="A17368" i="1"/>
  <c r="D9765" i="1"/>
  <c r="B9765" i="1"/>
  <c r="A9765" i="1"/>
  <c r="D10351" i="1"/>
  <c r="C10351" i="1"/>
  <c r="B10351" i="1"/>
  <c r="A10351" i="1"/>
  <c r="D17074" i="1"/>
  <c r="A17074" i="1"/>
  <c r="D9305" i="1"/>
  <c r="A9305" i="1"/>
  <c r="D6078" i="1"/>
  <c r="A6078" i="1"/>
  <c r="D13679" i="1"/>
  <c r="C13679" i="1"/>
  <c r="B13679" i="1"/>
  <c r="A13679" i="1"/>
  <c r="D18686" i="1"/>
  <c r="A18686" i="1"/>
  <c r="D7244" i="1"/>
  <c r="B7244" i="1"/>
  <c r="A7244" i="1"/>
  <c r="D6136" i="1"/>
  <c r="B6136" i="1"/>
  <c r="A6136" i="1"/>
  <c r="D9324" i="1"/>
  <c r="A9324" i="1"/>
  <c r="D18437" i="1"/>
  <c r="B18437" i="1"/>
  <c r="A18437" i="1"/>
  <c r="D15147" i="1"/>
  <c r="A15147" i="1"/>
  <c r="D16231" i="1"/>
  <c r="B16231" i="1"/>
  <c r="A16231" i="1"/>
  <c r="D16467" i="1"/>
  <c r="B16467" i="1"/>
  <c r="A16467" i="1"/>
  <c r="D9346" i="1"/>
  <c r="A9346" i="1"/>
  <c r="D7430" i="1"/>
  <c r="B7430" i="1"/>
  <c r="A7430" i="1"/>
  <c r="D13822" i="1"/>
  <c r="B13822" i="1"/>
  <c r="A13822" i="1"/>
  <c r="D11713" i="1"/>
  <c r="B11713" i="1"/>
  <c r="A11713" i="1"/>
  <c r="D11204" i="1"/>
  <c r="C11204" i="1"/>
  <c r="B11204" i="1"/>
  <c r="A11204" i="1"/>
  <c r="D6403" i="1"/>
  <c r="A6403" i="1"/>
  <c r="D8243" i="1"/>
  <c r="B8243" i="1"/>
  <c r="A8243" i="1"/>
  <c r="D15947" i="1"/>
  <c r="B15947" i="1"/>
  <c r="A15947" i="1"/>
  <c r="D11081" i="1"/>
  <c r="B11081" i="1"/>
  <c r="A11081" i="1"/>
  <c r="D14786" i="1"/>
  <c r="B14786" i="1"/>
  <c r="A14786" i="1"/>
  <c r="D11031" i="1"/>
  <c r="B11031" i="1"/>
  <c r="A11031" i="1"/>
  <c r="D13349" i="1"/>
  <c r="B13349" i="1"/>
  <c r="A13349" i="1"/>
  <c r="D9270" i="1"/>
  <c r="B9270" i="1"/>
  <c r="A9270" i="1"/>
  <c r="D15311" i="1"/>
  <c r="B15311" i="1"/>
  <c r="A15311" i="1"/>
  <c r="D11850" i="1"/>
  <c r="B11850" i="1"/>
  <c r="A11850" i="1"/>
  <c r="D7638" i="1"/>
  <c r="B7638" i="1"/>
  <c r="A7638" i="1"/>
  <c r="D6458" i="1"/>
  <c r="B6458" i="1"/>
  <c r="A6458" i="1"/>
  <c r="D13051" i="1"/>
  <c r="B13051" i="1"/>
  <c r="A13051" i="1"/>
  <c r="D6217" i="1"/>
  <c r="A6217" i="1"/>
  <c r="D12180" i="1"/>
  <c r="B12180" i="1"/>
  <c r="A12180" i="1"/>
  <c r="D9415" i="1"/>
  <c r="B9415" i="1"/>
  <c r="A9415" i="1"/>
  <c r="D13575" i="1"/>
  <c r="B13575" i="1"/>
  <c r="A13575" i="1"/>
  <c r="D16018" i="1"/>
  <c r="B16018" i="1"/>
  <c r="A16018" i="1"/>
  <c r="D9668" i="1"/>
  <c r="B9668" i="1"/>
  <c r="A9668" i="1"/>
  <c r="D18665" i="1"/>
  <c r="B18665" i="1"/>
  <c r="A18665" i="1"/>
  <c r="D7372" i="1"/>
  <c r="A7372" i="1"/>
  <c r="D10917" i="1"/>
  <c r="A10917" i="1"/>
  <c r="D11073" i="1"/>
  <c r="B11073" i="1"/>
  <c r="A11073" i="1"/>
  <c r="D7620" i="1"/>
  <c r="A7620" i="1"/>
  <c r="D11059" i="1"/>
  <c r="B11059" i="1"/>
  <c r="A11059" i="1"/>
  <c r="D11405" i="1"/>
  <c r="C11405" i="1"/>
  <c r="B11405" i="1"/>
  <c r="A11405" i="1"/>
  <c r="D6537" i="1"/>
  <c r="B6537" i="1"/>
  <c r="A6537" i="1"/>
  <c r="D11442" i="1"/>
  <c r="B11442" i="1"/>
  <c r="A11442" i="1"/>
  <c r="D14760" i="1"/>
  <c r="B14760" i="1"/>
  <c r="A14760" i="1"/>
  <c r="D15434" i="1"/>
  <c r="B15434" i="1"/>
  <c r="A15434" i="1"/>
  <c r="D17592" i="1"/>
  <c r="B17592" i="1"/>
  <c r="A17592" i="1"/>
  <c r="D11732" i="1"/>
  <c r="B11732" i="1"/>
  <c r="A11732" i="1"/>
  <c r="D17168" i="1"/>
  <c r="B17168" i="1"/>
  <c r="A17168" i="1"/>
  <c r="D17729" i="1"/>
  <c r="B17729" i="1"/>
  <c r="A17729" i="1"/>
  <c r="D12233" i="1"/>
  <c r="B12233" i="1"/>
  <c r="A12233" i="1"/>
  <c r="D11816" i="1"/>
  <c r="C11816" i="1"/>
  <c r="B11816" i="1"/>
  <c r="A11816" i="1"/>
  <c r="D7777" i="1"/>
  <c r="B7777" i="1"/>
  <c r="A7777" i="1"/>
  <c r="D14518" i="1"/>
  <c r="B14518" i="1"/>
  <c r="A14518" i="1"/>
  <c r="D7060" i="1"/>
  <c r="B7060" i="1"/>
  <c r="A7060" i="1"/>
  <c r="D12017" i="1"/>
  <c r="B12017" i="1"/>
  <c r="A12017" i="1"/>
  <c r="D5844" i="1"/>
  <c r="A5844" i="1"/>
  <c r="D14580" i="1"/>
  <c r="B14580" i="1"/>
  <c r="A14580" i="1"/>
  <c r="D16810" i="1"/>
  <c r="B16810" i="1"/>
  <c r="A16810" i="1"/>
  <c r="D14474" i="1"/>
  <c r="B14474" i="1"/>
  <c r="A14474" i="1"/>
  <c r="D8186" i="1"/>
  <c r="B8186" i="1"/>
  <c r="A8186" i="1"/>
  <c r="D8082" i="1"/>
  <c r="B8082" i="1"/>
  <c r="A8082" i="1"/>
  <c r="D17234" i="1"/>
  <c r="A17234" i="1"/>
  <c r="D12130" i="1"/>
  <c r="B12130" i="1"/>
  <c r="A12130" i="1"/>
  <c r="D12612" i="1"/>
  <c r="B12612" i="1"/>
  <c r="A12612" i="1"/>
  <c r="D18812" i="1"/>
  <c r="B18812" i="1"/>
  <c r="A18812" i="1"/>
  <c r="D7274" i="1"/>
  <c r="B7274" i="1"/>
  <c r="A7274" i="1"/>
  <c r="D7011" i="1"/>
  <c r="B7011" i="1"/>
  <c r="A7011" i="1"/>
  <c r="D11398" i="1"/>
  <c r="C11398" i="1"/>
  <c r="B11398" i="1"/>
  <c r="A11398" i="1"/>
  <c r="D11352" i="1"/>
  <c r="B11352" i="1"/>
  <c r="A11352" i="1"/>
  <c r="D12474" i="1"/>
  <c r="A12474" i="1"/>
  <c r="D9464" i="1"/>
  <c r="B9464" i="1"/>
  <c r="A9464" i="1"/>
  <c r="D13015" i="1"/>
  <c r="C13015" i="1"/>
  <c r="B13015" i="1"/>
  <c r="A13015" i="1"/>
  <c r="D13703" i="1"/>
  <c r="B13703" i="1"/>
  <c r="A13703" i="1"/>
  <c r="D15847" i="1"/>
  <c r="B15847" i="1"/>
  <c r="A15847" i="1"/>
  <c r="D6506" i="1"/>
  <c r="A6506" i="1"/>
  <c r="D13751" i="1"/>
  <c r="B13751" i="1"/>
  <c r="A13751" i="1"/>
  <c r="D18690" i="1"/>
  <c r="B18690" i="1"/>
  <c r="A18690" i="1"/>
  <c r="D13041" i="1"/>
  <c r="B13041" i="1"/>
  <c r="A13041" i="1"/>
  <c r="D18345" i="1"/>
  <c r="B18345" i="1"/>
  <c r="A18345" i="1"/>
  <c r="D7151" i="1"/>
  <c r="B7151" i="1"/>
  <c r="A7151" i="1"/>
  <c r="D6392" i="1"/>
  <c r="B6392" i="1"/>
  <c r="A6392" i="1"/>
  <c r="D10565" i="1"/>
  <c r="B10565" i="1"/>
  <c r="A10565" i="1"/>
  <c r="D12648" i="1"/>
  <c r="A12648" i="1"/>
  <c r="D7713" i="1"/>
  <c r="B7713" i="1"/>
  <c r="A7713" i="1"/>
  <c r="D6870" i="1"/>
  <c r="B6870" i="1"/>
  <c r="A6870" i="1"/>
  <c r="D9719" i="1"/>
  <c r="B9719" i="1"/>
  <c r="A9719" i="1"/>
  <c r="D6975" i="1"/>
  <c r="B6975" i="1"/>
  <c r="A6975" i="1"/>
  <c r="D8737" i="1"/>
  <c r="C8737" i="1"/>
  <c r="B8737" i="1"/>
  <c r="A8737" i="1"/>
  <c r="D6104" i="1"/>
  <c r="C6104" i="1"/>
  <c r="B6104" i="1"/>
  <c r="A6104" i="1"/>
  <c r="D9774" i="1"/>
  <c r="A9774" i="1"/>
  <c r="D18660" i="1"/>
  <c r="B18660" i="1"/>
  <c r="A18660" i="1"/>
  <c r="D15143" i="1"/>
  <c r="A15143" i="1"/>
  <c r="D14397" i="1"/>
  <c r="A14397" i="1"/>
  <c r="D11290" i="1"/>
  <c r="B11290" i="1"/>
  <c r="A11290" i="1"/>
  <c r="D10910" i="1"/>
  <c r="B10910" i="1"/>
  <c r="A10910" i="1"/>
  <c r="D6593" i="1"/>
  <c r="B6593" i="1"/>
  <c r="A6593" i="1"/>
  <c r="D13119" i="1"/>
  <c r="C13119" i="1"/>
  <c r="B13119" i="1"/>
  <c r="A13119" i="1"/>
  <c r="D13396" i="1"/>
  <c r="C13396" i="1"/>
  <c r="B13396" i="1"/>
  <c r="A13396" i="1"/>
  <c r="D15492" i="1"/>
  <c r="B15492" i="1"/>
  <c r="A15492" i="1"/>
  <c r="D14599" i="1"/>
  <c r="C14599" i="1"/>
  <c r="B14599" i="1"/>
  <c r="A14599" i="1"/>
  <c r="D16028" i="1"/>
  <c r="A16028" i="1"/>
  <c r="D10326" i="1"/>
  <c r="B10326" i="1"/>
  <c r="A10326" i="1"/>
  <c r="D10149" i="1"/>
  <c r="B10149" i="1"/>
  <c r="A10149" i="1"/>
  <c r="D6998" i="1"/>
  <c r="B6998" i="1"/>
  <c r="A6998" i="1"/>
  <c r="D17812" i="1"/>
  <c r="B17812" i="1"/>
  <c r="A17812" i="1"/>
  <c r="D12538" i="1"/>
  <c r="B12538" i="1"/>
  <c r="A12538" i="1"/>
  <c r="D14093" i="1"/>
  <c r="B14093" i="1"/>
  <c r="A14093" i="1"/>
  <c r="D12142" i="1"/>
  <c r="B12142" i="1"/>
  <c r="A12142" i="1"/>
  <c r="D9564" i="1"/>
  <c r="C9564" i="1"/>
  <c r="B9564" i="1"/>
  <c r="A9564" i="1"/>
  <c r="D17647" i="1"/>
  <c r="B17647" i="1"/>
  <c r="A17647" i="1"/>
  <c r="D13922" i="1"/>
  <c r="B13922" i="1"/>
  <c r="A13922" i="1"/>
  <c r="D12040" i="1"/>
  <c r="B12040" i="1"/>
  <c r="A12040" i="1"/>
  <c r="D6087" i="1"/>
  <c r="B6087" i="1"/>
  <c r="A6087" i="1"/>
  <c r="D8508" i="1"/>
  <c r="B8508" i="1"/>
  <c r="A8508" i="1"/>
  <c r="D18768" i="1"/>
  <c r="B18768" i="1"/>
  <c r="A18768" i="1"/>
  <c r="D16650" i="1"/>
  <c r="B16650" i="1"/>
  <c r="A16650" i="1"/>
  <c r="D8502" i="1"/>
  <c r="C8502" i="1"/>
  <c r="B8502" i="1"/>
  <c r="A8502" i="1"/>
  <c r="D6791" i="1"/>
  <c r="A6791" i="1"/>
  <c r="D12596" i="1"/>
  <c r="C12596" i="1"/>
  <c r="B12596" i="1"/>
  <c r="A12596" i="1"/>
  <c r="D16934" i="1"/>
  <c r="B16934" i="1"/>
  <c r="A16934" i="1"/>
  <c r="D7245" i="1"/>
  <c r="B7245" i="1"/>
  <c r="A7245" i="1"/>
  <c r="D9438" i="1"/>
  <c r="B9438" i="1"/>
  <c r="A9438" i="1"/>
  <c r="D17811" i="1"/>
  <c r="B17811" i="1"/>
  <c r="A17811" i="1"/>
  <c r="D8383" i="1"/>
  <c r="C8383" i="1"/>
  <c r="B8383" i="1"/>
  <c r="A8383" i="1"/>
  <c r="D10930" i="1"/>
  <c r="A10930" i="1"/>
  <c r="D17502" i="1"/>
  <c r="B17502" i="1"/>
  <c r="A17502" i="1"/>
  <c r="D17543" i="1"/>
  <c r="B17543" i="1"/>
  <c r="A17543" i="1"/>
  <c r="D12582" i="1"/>
  <c r="B12582" i="1"/>
  <c r="A12582" i="1"/>
  <c r="D6776" i="1"/>
  <c r="B6776" i="1"/>
  <c r="A6776" i="1"/>
  <c r="D16472" i="1"/>
  <c r="B16472" i="1"/>
  <c r="A16472" i="1"/>
  <c r="D7746" i="1"/>
  <c r="B7746" i="1"/>
  <c r="A7746" i="1"/>
  <c r="D14004" i="1"/>
  <c r="B14004" i="1"/>
  <c r="A14004" i="1"/>
  <c r="D18164" i="1"/>
  <c r="B18164" i="1"/>
  <c r="A18164" i="1"/>
  <c r="D8664" i="1"/>
  <c r="B8664" i="1"/>
  <c r="A8664" i="1"/>
  <c r="D11384" i="1"/>
  <c r="B11384" i="1"/>
  <c r="A11384" i="1"/>
  <c r="D15778" i="1"/>
  <c r="B15778" i="1"/>
  <c r="A15778" i="1"/>
  <c r="D7714" i="1"/>
  <c r="B7714" i="1"/>
  <c r="A7714" i="1"/>
  <c r="D18539" i="1"/>
  <c r="B18539" i="1"/>
  <c r="A18539" i="1"/>
  <c r="D15139" i="1"/>
  <c r="C15139" i="1"/>
  <c r="B15139" i="1"/>
  <c r="A15139" i="1"/>
  <c r="D6939" i="1"/>
  <c r="B6939" i="1"/>
  <c r="A6939" i="1"/>
  <c r="D17039" i="1"/>
  <c r="C17039" i="1"/>
  <c r="B17039" i="1"/>
  <c r="A17039" i="1"/>
  <c r="D13040" i="1"/>
  <c r="B13040" i="1"/>
  <c r="A13040" i="1"/>
  <c r="D9354" i="1"/>
  <c r="B9354" i="1"/>
  <c r="A9354" i="1"/>
  <c r="D17464" i="1"/>
  <c r="B17464" i="1"/>
  <c r="A17464" i="1"/>
  <c r="D12329" i="1"/>
  <c r="B12329" i="1"/>
  <c r="A12329" i="1"/>
  <c r="D9411" i="1"/>
  <c r="A9411" i="1"/>
  <c r="D13187" i="1"/>
  <c r="B13187" i="1"/>
  <c r="A13187" i="1"/>
  <c r="D6664" i="1"/>
  <c r="B6664" i="1"/>
  <c r="A6664" i="1"/>
  <c r="D11684" i="1"/>
  <c r="B11684" i="1"/>
  <c r="A11684" i="1"/>
  <c r="D15152" i="1"/>
  <c r="B15152" i="1"/>
  <c r="A15152" i="1"/>
  <c r="D10720" i="1"/>
  <c r="B10720" i="1"/>
  <c r="A10720" i="1"/>
  <c r="D7868" i="1"/>
  <c r="B7868" i="1"/>
  <c r="A7868" i="1"/>
  <c r="D15440" i="1"/>
  <c r="B15440" i="1"/>
  <c r="A15440" i="1"/>
  <c r="D11987" i="1"/>
  <c r="A11987" i="1"/>
  <c r="D9225" i="1"/>
  <c r="B9225" i="1"/>
  <c r="A9225" i="1"/>
  <c r="D13143" i="1"/>
  <c r="B13143" i="1"/>
  <c r="A13143" i="1"/>
  <c r="D18688" i="1"/>
  <c r="B18688" i="1"/>
  <c r="A18688" i="1"/>
  <c r="D5950" i="1"/>
  <c r="B5950" i="1"/>
  <c r="A5950" i="1"/>
  <c r="D13379" i="1"/>
  <c r="B13379" i="1"/>
  <c r="A13379" i="1"/>
  <c r="D9919" i="1"/>
  <c r="B9919" i="1"/>
  <c r="A9919" i="1"/>
  <c r="D16050" i="1"/>
  <c r="B16050" i="1"/>
  <c r="A16050" i="1"/>
  <c r="D12468" i="1"/>
  <c r="A12468" i="1"/>
  <c r="D14604" i="1"/>
  <c r="B14604" i="1"/>
  <c r="A14604" i="1"/>
  <c r="D13089" i="1"/>
  <c r="B13089" i="1"/>
  <c r="A13089" i="1"/>
  <c r="D8395" i="1"/>
  <c r="C8395" i="1"/>
  <c r="B8395" i="1"/>
  <c r="A8395" i="1"/>
  <c r="D17386" i="1"/>
  <c r="B17386" i="1"/>
  <c r="A17386" i="1"/>
  <c r="D18742" i="1"/>
  <c r="B18742" i="1"/>
  <c r="A18742" i="1"/>
  <c r="D7935" i="1"/>
  <c r="B7935" i="1"/>
  <c r="A7935" i="1"/>
  <c r="D13684" i="1"/>
  <c r="C13684" i="1"/>
  <c r="B13684" i="1"/>
  <c r="A13684" i="1"/>
  <c r="D12822" i="1"/>
  <c r="B12822" i="1"/>
  <c r="A12822" i="1"/>
  <c r="D6477" i="1"/>
  <c r="B6477" i="1"/>
  <c r="A6477" i="1"/>
  <c r="D17286" i="1"/>
  <c r="B17286" i="1"/>
  <c r="A17286" i="1"/>
  <c r="D14000" i="1"/>
  <c r="B14000" i="1"/>
  <c r="A14000" i="1"/>
  <c r="D12971" i="1"/>
  <c r="B12971" i="1"/>
  <c r="A12971" i="1"/>
  <c r="D12209" i="1"/>
  <c r="B12209" i="1"/>
  <c r="A12209" i="1"/>
  <c r="D9665" i="1"/>
  <c r="B9665" i="1"/>
  <c r="A9665" i="1"/>
  <c r="D9402" i="1"/>
  <c r="B9402" i="1"/>
  <c r="A9402" i="1"/>
  <c r="D10695" i="1"/>
  <c r="B10695" i="1"/>
  <c r="A10695" i="1"/>
  <c r="D17546" i="1"/>
  <c r="C17546" i="1"/>
  <c r="B17546" i="1"/>
  <c r="A17546" i="1"/>
  <c r="D7821" i="1"/>
  <c r="B7821" i="1"/>
  <c r="A7821" i="1"/>
  <c r="D8385" i="1"/>
  <c r="C8385" i="1"/>
  <c r="B8385" i="1"/>
  <c r="A8385" i="1"/>
  <c r="D12836" i="1"/>
  <c r="B12836" i="1"/>
  <c r="A12836" i="1"/>
  <c r="D11344" i="1"/>
  <c r="C11344" i="1"/>
  <c r="B11344" i="1"/>
  <c r="A11344" i="1"/>
  <c r="D16098" i="1"/>
  <c r="B16098" i="1"/>
  <c r="A16098" i="1"/>
  <c r="D8416" i="1"/>
  <c r="B8416" i="1"/>
  <c r="A8416" i="1"/>
  <c r="D10251" i="1"/>
  <c r="C10251" i="1"/>
  <c r="B10251" i="1"/>
  <c r="A10251" i="1"/>
  <c r="D7455" i="1"/>
  <c r="C7455" i="1"/>
  <c r="B7455" i="1"/>
  <c r="A7455" i="1"/>
  <c r="D6834" i="1"/>
  <c r="B6834" i="1"/>
  <c r="A6834" i="1"/>
  <c r="D15761" i="1"/>
  <c r="B15761" i="1"/>
  <c r="A15761" i="1"/>
  <c r="D17350" i="1"/>
  <c r="B17350" i="1"/>
  <c r="A17350" i="1"/>
  <c r="D6526" i="1"/>
  <c r="B6526" i="1"/>
  <c r="A6526" i="1"/>
  <c r="D8659" i="1"/>
  <c r="B8659" i="1"/>
  <c r="A8659" i="1"/>
  <c r="D10203" i="1"/>
  <c r="B10203" i="1"/>
  <c r="A10203" i="1"/>
  <c r="D13795" i="1"/>
  <c r="C13795" i="1"/>
  <c r="B13795" i="1"/>
  <c r="A13795" i="1"/>
  <c r="D13256" i="1"/>
  <c r="C13256" i="1"/>
  <c r="B13256" i="1"/>
  <c r="A13256" i="1"/>
  <c r="D15972" i="1"/>
  <c r="A15972" i="1"/>
  <c r="D10120" i="1"/>
  <c r="B10120" i="1"/>
  <c r="A10120" i="1"/>
  <c r="D7524" i="1"/>
  <c r="B7524" i="1"/>
  <c r="A7524" i="1"/>
  <c r="D10564" i="1"/>
  <c r="B10564" i="1"/>
  <c r="A10564" i="1"/>
  <c r="D16103" i="1"/>
  <c r="B16103" i="1"/>
  <c r="A16103" i="1"/>
  <c r="D9392" i="1"/>
  <c r="B9392" i="1"/>
  <c r="A9392" i="1"/>
  <c r="D7659" i="1"/>
  <c r="B7659" i="1"/>
  <c r="A7659" i="1"/>
  <c r="D12994" i="1"/>
  <c r="B12994" i="1"/>
  <c r="A12994" i="1"/>
  <c r="D7537" i="1"/>
  <c r="B7537" i="1"/>
  <c r="A7537" i="1"/>
  <c r="D11640" i="1"/>
  <c r="B11640" i="1"/>
  <c r="A11640" i="1"/>
  <c r="D9992" i="1"/>
  <c r="B9992" i="1"/>
  <c r="A9992" i="1"/>
  <c r="D15642" i="1"/>
  <c r="B15642" i="1"/>
  <c r="A15642" i="1"/>
  <c r="D13239" i="1"/>
  <c r="B13239" i="1"/>
  <c r="A13239" i="1"/>
  <c r="D13498" i="1"/>
  <c r="B13498" i="1"/>
  <c r="A13498" i="1"/>
  <c r="D14106" i="1"/>
  <c r="B14106" i="1"/>
  <c r="A14106" i="1"/>
  <c r="D18420" i="1"/>
  <c r="B18420" i="1"/>
  <c r="A18420" i="1"/>
  <c r="D13630" i="1"/>
  <c r="C13630" i="1"/>
  <c r="B13630" i="1"/>
  <c r="A13630" i="1"/>
  <c r="D11508" i="1"/>
  <c r="B11508" i="1"/>
  <c r="A11508" i="1"/>
  <c r="D10954" i="1"/>
  <c r="B10954" i="1"/>
  <c r="A10954" i="1"/>
  <c r="D17885" i="1"/>
  <c r="B17885" i="1"/>
  <c r="A17885" i="1"/>
  <c r="D9293" i="1"/>
  <c r="B9293" i="1"/>
  <c r="A9293" i="1"/>
  <c r="D7913" i="1"/>
  <c r="B7913" i="1"/>
  <c r="A7913" i="1"/>
  <c r="D6098" i="1"/>
  <c r="B6098" i="1"/>
  <c r="A6098" i="1"/>
  <c r="D10667" i="1"/>
  <c r="B10667" i="1"/>
  <c r="A10667" i="1"/>
  <c r="D13854" i="1"/>
  <c r="B13854" i="1"/>
  <c r="A13854" i="1"/>
  <c r="D13288" i="1"/>
  <c r="A13288" i="1"/>
  <c r="D16958" i="1"/>
  <c r="B16958" i="1"/>
  <c r="A16958" i="1"/>
  <c r="D8873" i="1"/>
  <c r="B8873" i="1"/>
  <c r="A8873" i="1"/>
  <c r="D10905" i="1"/>
  <c r="A10905" i="1"/>
  <c r="D14528" i="1"/>
  <c r="B14528" i="1"/>
  <c r="A14528" i="1"/>
  <c r="D16982" i="1"/>
  <c r="B16982" i="1"/>
  <c r="A16982" i="1"/>
  <c r="D18775" i="1"/>
  <c r="B18775" i="1"/>
  <c r="A18775" i="1"/>
  <c r="D7956" i="1"/>
  <c r="C7956" i="1"/>
  <c r="B7956" i="1"/>
  <c r="A7956" i="1"/>
  <c r="D8432" i="1"/>
  <c r="C8432" i="1"/>
  <c r="B8432" i="1"/>
  <c r="A8432" i="1"/>
  <c r="D6018" i="1"/>
  <c r="C6018" i="1"/>
  <c r="B6018" i="1"/>
  <c r="A6018" i="1"/>
  <c r="D9975" i="1"/>
  <c r="B9975" i="1"/>
  <c r="A9975" i="1"/>
  <c r="D17432" i="1"/>
  <c r="B17432" i="1"/>
  <c r="A17432" i="1"/>
  <c r="D16462" i="1"/>
  <c r="C16462" i="1"/>
  <c r="B16462" i="1"/>
  <c r="A16462" i="1"/>
  <c r="D15755" i="1"/>
  <c r="C15755" i="1"/>
  <c r="B15755" i="1"/>
  <c r="A15755" i="1"/>
  <c r="D13105" i="1"/>
  <c r="B13105" i="1"/>
  <c r="A13105" i="1"/>
  <c r="D5949" i="1"/>
  <c r="B5949" i="1"/>
  <c r="A5949" i="1"/>
  <c r="D6799" i="1"/>
  <c r="B6799" i="1"/>
  <c r="A6799" i="1"/>
  <c r="D12625" i="1"/>
  <c r="C12625" i="1"/>
  <c r="B12625" i="1"/>
  <c r="A12625" i="1"/>
  <c r="D10212" i="1"/>
  <c r="B10212" i="1"/>
  <c r="A10212" i="1"/>
  <c r="D12251" i="1"/>
  <c r="B12251" i="1"/>
  <c r="A12251" i="1"/>
  <c r="D18750" i="1"/>
  <c r="B18750" i="1"/>
  <c r="A18750" i="1"/>
  <c r="D8549" i="1"/>
  <c r="B8549" i="1"/>
  <c r="A8549" i="1"/>
  <c r="D13962" i="1"/>
  <c r="B13962" i="1"/>
  <c r="A13962" i="1"/>
  <c r="D17939" i="1"/>
  <c r="B17939" i="1"/>
  <c r="A17939" i="1"/>
  <c r="D6580" i="1"/>
  <c r="B6580" i="1"/>
  <c r="A6580" i="1"/>
  <c r="D17586" i="1"/>
  <c r="B17586" i="1"/>
  <c r="A17586" i="1"/>
  <c r="D7445" i="1"/>
  <c r="B7445" i="1"/>
  <c r="A7445" i="1"/>
  <c r="D17398" i="1"/>
  <c r="C17398" i="1"/>
  <c r="B17398" i="1"/>
  <c r="A17398" i="1"/>
  <c r="D15589" i="1"/>
  <c r="B15589" i="1"/>
  <c r="A15589" i="1"/>
  <c r="D6675" i="1"/>
  <c r="B6675" i="1"/>
  <c r="A6675" i="1"/>
  <c r="D18805" i="1"/>
  <c r="B18805" i="1"/>
  <c r="A18805" i="1"/>
  <c r="D10984" i="1"/>
  <c r="B10984" i="1"/>
  <c r="A10984" i="1"/>
  <c r="D9580" i="1"/>
  <c r="B9580" i="1"/>
  <c r="A9580" i="1"/>
  <c r="D17389" i="1"/>
  <c r="B17389" i="1"/>
  <c r="A17389" i="1"/>
  <c r="D11776" i="1"/>
  <c r="B11776" i="1"/>
  <c r="A11776" i="1"/>
  <c r="D16562" i="1"/>
  <c r="B16562" i="1"/>
  <c r="A16562" i="1"/>
  <c r="D16080" i="1"/>
  <c r="B16080" i="1"/>
  <c r="A16080" i="1"/>
  <c r="D16910" i="1"/>
  <c r="A16910" i="1"/>
  <c r="D8629" i="1"/>
  <c r="B8629" i="1"/>
  <c r="A8629" i="1"/>
  <c r="D9401" i="1"/>
  <c r="B9401" i="1"/>
  <c r="A9401" i="1"/>
  <c r="D12967" i="1"/>
  <c r="B12967" i="1"/>
  <c r="A12967" i="1"/>
  <c r="D12207" i="1"/>
  <c r="B12207" i="1"/>
  <c r="A12207" i="1"/>
  <c r="D8454" i="1"/>
  <c r="B8454" i="1"/>
  <c r="A8454" i="1"/>
  <c r="D16065" i="1"/>
  <c r="C16065" i="1"/>
  <c r="B16065" i="1"/>
  <c r="A16065" i="1"/>
  <c r="D18683" i="1"/>
  <c r="B18683" i="1"/>
  <c r="A18683" i="1"/>
  <c r="D11482" i="1"/>
  <c r="B11482" i="1"/>
  <c r="A11482" i="1"/>
  <c r="D16549" i="1"/>
  <c r="C16549" i="1"/>
  <c r="B16549" i="1"/>
  <c r="A16549" i="1"/>
  <c r="D8449" i="1"/>
  <c r="B8449" i="1"/>
  <c r="A8449" i="1"/>
  <c r="D8571" i="1"/>
  <c r="B8571" i="1"/>
  <c r="A8571" i="1"/>
  <c r="D6238" i="1"/>
  <c r="A6238" i="1"/>
  <c r="D7337" i="1"/>
  <c r="B7337" i="1"/>
  <c r="A7337" i="1"/>
  <c r="D12764" i="1"/>
  <c r="B12764" i="1"/>
  <c r="A12764" i="1"/>
  <c r="D9855" i="1"/>
  <c r="B9855" i="1"/>
  <c r="A9855" i="1"/>
  <c r="D12855" i="1"/>
  <c r="B12855" i="1"/>
  <c r="A12855" i="1"/>
  <c r="D9638" i="1"/>
  <c r="B9638" i="1"/>
  <c r="A9638" i="1"/>
  <c r="D8754" i="1"/>
  <c r="B8754" i="1"/>
  <c r="A8754" i="1"/>
  <c r="D16640" i="1"/>
  <c r="B16640" i="1"/>
  <c r="A16640" i="1"/>
  <c r="D6693" i="1"/>
  <c r="C6693" i="1"/>
  <c r="B6693" i="1"/>
  <c r="A6693" i="1"/>
  <c r="D16395" i="1"/>
  <c r="C16395" i="1"/>
  <c r="B16395" i="1"/>
  <c r="A16395" i="1"/>
  <c r="D8697" i="1"/>
  <c r="C8697" i="1"/>
  <c r="B8697" i="1"/>
  <c r="A8697" i="1"/>
  <c r="D14051" i="1"/>
  <c r="B14051" i="1"/>
  <c r="A14051" i="1"/>
  <c r="D8466" i="1"/>
  <c r="A8466" i="1"/>
  <c r="D16392" i="1"/>
  <c r="B16392" i="1"/>
  <c r="A16392" i="1"/>
  <c r="D8377" i="1"/>
  <c r="C8377" i="1"/>
  <c r="B8377" i="1"/>
  <c r="A8377" i="1"/>
  <c r="D8316" i="1"/>
  <c r="B8316" i="1"/>
  <c r="A8316" i="1"/>
  <c r="D8048" i="1"/>
  <c r="B8048" i="1"/>
  <c r="A8048" i="1"/>
  <c r="D14301" i="1"/>
  <c r="C14301" i="1"/>
  <c r="B14301" i="1"/>
  <c r="A14301" i="1"/>
  <c r="D17346" i="1"/>
  <c r="B17346" i="1"/>
  <c r="A17346" i="1"/>
  <c r="D13959" i="1"/>
  <c r="B13959" i="1"/>
  <c r="A13959" i="1"/>
  <c r="D9900" i="1"/>
  <c r="B9900" i="1"/>
  <c r="A9900" i="1"/>
  <c r="D8680" i="1"/>
  <c r="B8680" i="1"/>
  <c r="A8680" i="1"/>
  <c r="D8678" i="1"/>
  <c r="C8678" i="1"/>
  <c r="B8678" i="1"/>
  <c r="A8678" i="1"/>
  <c r="D8160" i="1"/>
  <c r="B8160" i="1"/>
  <c r="A8160" i="1"/>
  <c r="D18506" i="1"/>
  <c r="B18506" i="1"/>
  <c r="A18506" i="1"/>
  <c r="D12531" i="1"/>
  <c r="C12531" i="1"/>
  <c r="B12531" i="1"/>
  <c r="A12531" i="1"/>
  <c r="D18494" i="1"/>
  <c r="B18494" i="1"/>
  <c r="A18494" i="1"/>
  <c r="D14431" i="1"/>
  <c r="B14431" i="1"/>
  <c r="A14431" i="1"/>
  <c r="D14583" i="1"/>
  <c r="B14583" i="1"/>
  <c r="A14583" i="1"/>
  <c r="D9345" i="1"/>
  <c r="B9345" i="1"/>
  <c r="A9345" i="1"/>
  <c r="D10156" i="1"/>
  <c r="B10156" i="1"/>
  <c r="A10156" i="1"/>
  <c r="D13035" i="1"/>
  <c r="B13035" i="1"/>
  <c r="A13035" i="1"/>
  <c r="D17375" i="1"/>
  <c r="B17375" i="1"/>
  <c r="A17375" i="1"/>
  <c r="D16414" i="1"/>
  <c r="B16414" i="1"/>
  <c r="A16414" i="1"/>
  <c r="D12231" i="1"/>
  <c r="B12231" i="1"/>
  <c r="A12231" i="1"/>
  <c r="D8429" i="1"/>
  <c r="B8429" i="1"/>
  <c r="A8429" i="1"/>
  <c r="D8444" i="1"/>
  <c r="C8444" i="1"/>
  <c r="B8444" i="1"/>
  <c r="A8444" i="1"/>
  <c r="D6514" i="1"/>
  <c r="A6514" i="1"/>
  <c r="D17713" i="1"/>
  <c r="B17713" i="1"/>
  <c r="A17713" i="1"/>
  <c r="D8552" i="1"/>
  <c r="B8552" i="1"/>
  <c r="A8552" i="1"/>
  <c r="D9277" i="1"/>
  <c r="B9277" i="1"/>
  <c r="A9277" i="1"/>
  <c r="D14440" i="1"/>
  <c r="B14440" i="1"/>
  <c r="A14440" i="1"/>
  <c r="D17963" i="1"/>
  <c r="B17963" i="1"/>
  <c r="A17963" i="1"/>
  <c r="D12859" i="1"/>
  <c r="B12859" i="1"/>
  <c r="A12859" i="1"/>
  <c r="D15873" i="1"/>
  <c r="B15873" i="1"/>
  <c r="A15873" i="1"/>
  <c r="D16292" i="1"/>
  <c r="B16292" i="1"/>
  <c r="A16292" i="1"/>
  <c r="D9548" i="1"/>
  <c r="B9548" i="1"/>
  <c r="A9548" i="1"/>
  <c r="D17142" i="1"/>
  <c r="B17142" i="1"/>
  <c r="A17142" i="1"/>
  <c r="D9340" i="1"/>
  <c r="B9340" i="1"/>
  <c r="A9340" i="1"/>
  <c r="D18231" i="1"/>
  <c r="B18231" i="1"/>
  <c r="A18231" i="1"/>
  <c r="D6170" i="1"/>
  <c r="B6170" i="1"/>
  <c r="A6170" i="1"/>
  <c r="D9071" i="1"/>
  <c r="C9071" i="1"/>
  <c r="B9071" i="1"/>
  <c r="A9071" i="1"/>
  <c r="D9158" i="1"/>
  <c r="B9158" i="1"/>
  <c r="A9158" i="1"/>
  <c r="D14607" i="1"/>
  <c r="B14607" i="1"/>
  <c r="A14607" i="1"/>
  <c r="D16778" i="1"/>
  <c r="C16778" i="1"/>
  <c r="B16778" i="1"/>
  <c r="A16778" i="1"/>
  <c r="D8923" i="1"/>
  <c r="B8923" i="1"/>
  <c r="A8923" i="1"/>
  <c r="D7103" i="1"/>
  <c r="B7103" i="1"/>
  <c r="A7103" i="1"/>
  <c r="D18552" i="1"/>
  <c r="B18552" i="1"/>
  <c r="A18552" i="1"/>
  <c r="D10019" i="1"/>
  <c r="B10019" i="1"/>
  <c r="A10019" i="1"/>
  <c r="D14430" i="1"/>
  <c r="B14430" i="1"/>
  <c r="A14430" i="1"/>
  <c r="D11253" i="1"/>
  <c r="B11253" i="1"/>
  <c r="A11253" i="1"/>
  <c r="D9862" i="1"/>
  <c r="B9862" i="1"/>
  <c r="A9862" i="1"/>
  <c r="D14591" i="1"/>
  <c r="B14591" i="1"/>
  <c r="A14591" i="1"/>
  <c r="D13605" i="1"/>
  <c r="B13605" i="1"/>
  <c r="A13605" i="1"/>
  <c r="D8428" i="1"/>
  <c r="B8428" i="1"/>
  <c r="A8428" i="1"/>
  <c r="D8096" i="1"/>
  <c r="B8096" i="1"/>
  <c r="A8096" i="1"/>
  <c r="D7758" i="1"/>
  <c r="B7758" i="1"/>
  <c r="A7758" i="1"/>
  <c r="D8653" i="1"/>
  <c r="C8653" i="1"/>
  <c r="B8653" i="1"/>
  <c r="A8653" i="1"/>
  <c r="D7018" i="1"/>
  <c r="B7018" i="1"/>
  <c r="A7018" i="1"/>
  <c r="D12250" i="1"/>
  <c r="B12250" i="1"/>
  <c r="A12250" i="1"/>
  <c r="D7927" i="1"/>
  <c r="B7927" i="1"/>
  <c r="A7927" i="1"/>
  <c r="D17608" i="1"/>
  <c r="B17608" i="1"/>
  <c r="A17608" i="1"/>
  <c r="D10967" i="1"/>
  <c r="B10967" i="1"/>
  <c r="A10967" i="1"/>
  <c r="D8179" i="1"/>
  <c r="C8179" i="1"/>
  <c r="B8179" i="1"/>
  <c r="A8179" i="1"/>
  <c r="D11309" i="1"/>
  <c r="B11309" i="1"/>
  <c r="A11309" i="1"/>
  <c r="D13402" i="1"/>
  <c r="B13402" i="1"/>
  <c r="A13402" i="1"/>
  <c r="D12644" i="1"/>
  <c r="B12644" i="1"/>
  <c r="A12644" i="1"/>
  <c r="D14600" i="1"/>
  <c r="C14600" i="1"/>
  <c r="B14600" i="1"/>
  <c r="A14600" i="1"/>
  <c r="D8380" i="1"/>
  <c r="B8380" i="1"/>
  <c r="A8380" i="1"/>
  <c r="D18379" i="1"/>
  <c r="B18379" i="1"/>
  <c r="A18379" i="1"/>
  <c r="D12758" i="1"/>
  <c r="B12758" i="1"/>
  <c r="A12758" i="1"/>
  <c r="D10514" i="1"/>
  <c r="B10514" i="1"/>
  <c r="A10514" i="1"/>
  <c r="D14042" i="1"/>
  <c r="B14042" i="1"/>
  <c r="A14042" i="1"/>
  <c r="D15442" i="1"/>
  <c r="B15442" i="1"/>
  <c r="A15442" i="1"/>
  <c r="D8739" i="1"/>
  <c r="B8739" i="1"/>
  <c r="A8739" i="1"/>
  <c r="D9932" i="1"/>
  <c r="B9932" i="1"/>
  <c r="A9932" i="1"/>
  <c r="D16900" i="1"/>
  <c r="B16900" i="1"/>
  <c r="A16900" i="1"/>
  <c r="D6704" i="1"/>
  <c r="B6704" i="1"/>
  <c r="A6704" i="1"/>
  <c r="D10416" i="1"/>
  <c r="B10416" i="1"/>
  <c r="A10416" i="1"/>
  <c r="D11143" i="1"/>
  <c r="B11143" i="1"/>
  <c r="A11143" i="1"/>
  <c r="D5951" i="1"/>
  <c r="C5951" i="1"/>
  <c r="B5951" i="1"/>
  <c r="A5951" i="1"/>
  <c r="D10050" i="1"/>
  <c r="B10050" i="1"/>
  <c r="A10050" i="1"/>
  <c r="D7959" i="1"/>
  <c r="C7959" i="1"/>
  <c r="B7959" i="1"/>
  <c r="A7959" i="1"/>
  <c r="D13866" i="1"/>
  <c r="B13866" i="1"/>
  <c r="A13866" i="1"/>
  <c r="D15941" i="1"/>
  <c r="B15941" i="1"/>
  <c r="A15941" i="1"/>
  <c r="D9727" i="1"/>
  <c r="B9727" i="1"/>
  <c r="A9727" i="1"/>
  <c r="D18284" i="1"/>
  <c r="B18284" i="1"/>
  <c r="A18284" i="1"/>
  <c r="D16889" i="1"/>
  <c r="B16889" i="1"/>
  <c r="A16889" i="1"/>
  <c r="D16547" i="1"/>
  <c r="B16547" i="1"/>
  <c r="A16547" i="1"/>
  <c r="D6007" i="1"/>
  <c r="C6007" i="1"/>
  <c r="B6007" i="1"/>
  <c r="A6007" i="1"/>
  <c r="D7067" i="1"/>
  <c r="B7067" i="1"/>
  <c r="A7067" i="1"/>
  <c r="D16175" i="1"/>
  <c r="B16175" i="1"/>
  <c r="A16175" i="1"/>
  <c r="D12226" i="1"/>
  <c r="B12226" i="1"/>
  <c r="A12226" i="1"/>
  <c r="D11254" i="1"/>
  <c r="C11254" i="1"/>
  <c r="B11254" i="1"/>
  <c r="A11254" i="1"/>
  <c r="D6097" i="1"/>
  <c r="B6097" i="1"/>
  <c r="A6097" i="1"/>
  <c r="D13644" i="1"/>
  <c r="B13644" i="1"/>
  <c r="A13644" i="1"/>
  <c r="D14010" i="1"/>
  <c r="B14010" i="1"/>
  <c r="A14010" i="1"/>
  <c r="D12119" i="1"/>
  <c r="B12119" i="1"/>
  <c r="A12119" i="1"/>
  <c r="D9814" i="1"/>
  <c r="C9814" i="1"/>
  <c r="B9814" i="1"/>
  <c r="A9814" i="1"/>
  <c r="D14283" i="1"/>
  <c r="B14283" i="1"/>
  <c r="A14283" i="1"/>
  <c r="D13607" i="1"/>
  <c r="B13607" i="1"/>
  <c r="A13607" i="1"/>
  <c r="D6926" i="1"/>
  <c r="B6926" i="1"/>
  <c r="A6926" i="1"/>
  <c r="D12990" i="1"/>
  <c r="B12990" i="1"/>
  <c r="A12990" i="1"/>
  <c r="D13688" i="1"/>
  <c r="C13688" i="1"/>
  <c r="B13688" i="1"/>
  <c r="A13688" i="1"/>
  <c r="D18190" i="1"/>
  <c r="B18190" i="1"/>
  <c r="A18190" i="1"/>
  <c r="D10127" i="1"/>
  <c r="B10127" i="1"/>
  <c r="A10127" i="1"/>
  <c r="D7949" i="1"/>
  <c r="B7949" i="1"/>
  <c r="A7949" i="1"/>
  <c r="D13784" i="1"/>
  <c r="B13784" i="1"/>
  <c r="A13784" i="1"/>
  <c r="D13176" i="1"/>
  <c r="B13176" i="1"/>
  <c r="A13176" i="1"/>
  <c r="D12756" i="1"/>
  <c r="B12756" i="1"/>
  <c r="A12756" i="1"/>
  <c r="D11112" i="1"/>
  <c r="B11112" i="1"/>
  <c r="A11112" i="1"/>
  <c r="D12767" i="1"/>
  <c r="B12767" i="1"/>
  <c r="A12767" i="1"/>
  <c r="D17837" i="1"/>
  <c r="C17837" i="1"/>
  <c r="B17837" i="1"/>
  <c r="A17837" i="1"/>
  <c r="D14428" i="1"/>
  <c r="B14428" i="1"/>
  <c r="A14428" i="1"/>
  <c r="D12801" i="1"/>
  <c r="C12801" i="1"/>
  <c r="B12801" i="1"/>
  <c r="A12801" i="1"/>
  <c r="D14088" i="1"/>
  <c r="B14088" i="1"/>
  <c r="A14088" i="1"/>
  <c r="D12376" i="1"/>
  <c r="B12376" i="1"/>
  <c r="A12376" i="1"/>
  <c r="D12382" i="1"/>
  <c r="C12382" i="1"/>
  <c r="B12382" i="1"/>
  <c r="A12382" i="1"/>
  <c r="D14210" i="1"/>
  <c r="B14210" i="1"/>
  <c r="A14210" i="1"/>
  <c r="D17104" i="1"/>
  <c r="B17104" i="1"/>
  <c r="A17104" i="1"/>
  <c r="D11077" i="1"/>
  <c r="B11077" i="1"/>
  <c r="A11077" i="1"/>
  <c r="D18193" i="1"/>
  <c r="C18193" i="1"/>
  <c r="B18193" i="1"/>
  <c r="A18193" i="1"/>
  <c r="D8759" i="1"/>
  <c r="B8759" i="1"/>
  <c r="A8759" i="1"/>
  <c r="D12835" i="1"/>
  <c r="C12835" i="1"/>
  <c r="B12835" i="1"/>
  <c r="A12835" i="1"/>
  <c r="D8485" i="1"/>
  <c r="B8485" i="1"/>
  <c r="A8485" i="1"/>
  <c r="D8665" i="1"/>
  <c r="C8665" i="1"/>
  <c r="B8665" i="1"/>
  <c r="A8665" i="1"/>
  <c r="D12917" i="1"/>
  <c r="C12917" i="1"/>
  <c r="B12917" i="1"/>
  <c r="A12917" i="1"/>
  <c r="D10648" i="1"/>
  <c r="B10648" i="1"/>
  <c r="A10648" i="1"/>
  <c r="D6635" i="1"/>
  <c r="B6635" i="1"/>
  <c r="A6635" i="1"/>
  <c r="D10459" i="1"/>
  <c r="B10459" i="1"/>
  <c r="A10459" i="1"/>
  <c r="D13055" i="1"/>
  <c r="B13055" i="1"/>
  <c r="A13055" i="1"/>
  <c r="D15771" i="1"/>
  <c r="B15771" i="1"/>
  <c r="A15771" i="1"/>
  <c r="D16199" i="1"/>
  <c r="B16199" i="1"/>
  <c r="A16199" i="1"/>
  <c r="D6200" i="1"/>
  <c r="B6200" i="1"/>
  <c r="A6200" i="1"/>
  <c r="D12630" i="1"/>
  <c r="B12630" i="1"/>
  <c r="A12630" i="1"/>
  <c r="D13720" i="1"/>
  <c r="B13720" i="1"/>
  <c r="A13720" i="1"/>
  <c r="D13791" i="1"/>
  <c r="B13791" i="1"/>
  <c r="A13791" i="1"/>
  <c r="D11558" i="1"/>
  <c r="B11558" i="1"/>
  <c r="A11558" i="1"/>
  <c r="D10167" i="1"/>
  <c r="C10167" i="1"/>
  <c r="B10167" i="1"/>
  <c r="A10167" i="1"/>
  <c r="D17150" i="1"/>
  <c r="B17150" i="1"/>
  <c r="A17150" i="1"/>
  <c r="D6828" i="1"/>
  <c r="C6828" i="1"/>
  <c r="B6828" i="1"/>
  <c r="A6828" i="1"/>
  <c r="D15487" i="1"/>
  <c r="B15487" i="1"/>
  <c r="A15487" i="1"/>
  <c r="D8003" i="1"/>
  <c r="C8003" i="1"/>
  <c r="B8003" i="1"/>
  <c r="A8003" i="1"/>
  <c r="D14295" i="1"/>
  <c r="B14295" i="1"/>
  <c r="A14295" i="1"/>
  <c r="D15644" i="1"/>
  <c r="B15644" i="1"/>
  <c r="A15644" i="1"/>
  <c r="D7147" i="1"/>
  <c r="B7147" i="1"/>
  <c r="A7147" i="1"/>
  <c r="D11531" i="1"/>
  <c r="C11531" i="1"/>
  <c r="B11531" i="1"/>
  <c r="A11531" i="1"/>
  <c r="D7732" i="1"/>
  <c r="C7732" i="1"/>
  <c r="B7732" i="1"/>
  <c r="A7732" i="1"/>
  <c r="D13844" i="1"/>
  <c r="B13844" i="1"/>
  <c r="A13844" i="1"/>
  <c r="D17240" i="1"/>
  <c r="B17240" i="1"/>
  <c r="A17240" i="1"/>
  <c r="D14419" i="1"/>
  <c r="B14419" i="1"/>
  <c r="A14419" i="1"/>
  <c r="D6820" i="1"/>
  <c r="B6820" i="1"/>
  <c r="A6820" i="1"/>
  <c r="D9704" i="1"/>
  <c r="A9704" i="1"/>
  <c r="D13005" i="1"/>
  <c r="B13005" i="1"/>
  <c r="A13005" i="1"/>
  <c r="D7248" i="1"/>
  <c r="B7248" i="1"/>
  <c r="A7248" i="1"/>
  <c r="D9384" i="1"/>
  <c r="A9384" i="1"/>
  <c r="D14582" i="1"/>
  <c r="B14582" i="1"/>
  <c r="A14582" i="1"/>
  <c r="D12983" i="1"/>
  <c r="B12983" i="1"/>
  <c r="A12983" i="1"/>
  <c r="D14579" i="1"/>
  <c r="B14579" i="1"/>
  <c r="A14579" i="1"/>
  <c r="D18108" i="1"/>
  <c r="C18108" i="1"/>
  <c r="B18108" i="1"/>
  <c r="A18108" i="1"/>
  <c r="D14642" i="1"/>
  <c r="B14642" i="1"/>
  <c r="A14642" i="1"/>
  <c r="D8322" i="1"/>
  <c r="B8322" i="1"/>
  <c r="A8322" i="1"/>
  <c r="D12843" i="1"/>
  <c r="C12843" i="1"/>
  <c r="B12843" i="1"/>
  <c r="A12843" i="1"/>
  <c r="D11281" i="1"/>
  <c r="C11281" i="1"/>
  <c r="B11281" i="1"/>
  <c r="A11281" i="1"/>
  <c r="D12288" i="1"/>
  <c r="B12288" i="1"/>
  <c r="A12288" i="1"/>
  <c r="D17768" i="1"/>
  <c r="B17768" i="1"/>
  <c r="A17768" i="1"/>
  <c r="D14165" i="1"/>
  <c r="C14165" i="1"/>
  <c r="B14165" i="1"/>
  <c r="A14165" i="1"/>
  <c r="D12327" i="1"/>
  <c r="B12327" i="1"/>
  <c r="A12327" i="1"/>
  <c r="D18691" i="1"/>
  <c r="B18691" i="1"/>
  <c r="A18691" i="1"/>
  <c r="D10041" i="1"/>
  <c r="B10041" i="1"/>
  <c r="A10041" i="1"/>
  <c r="D15967" i="1"/>
  <c r="B15967" i="1"/>
  <c r="A15967" i="1"/>
  <c r="D8898" i="1"/>
  <c r="B8898" i="1"/>
  <c r="A8898" i="1"/>
  <c r="D12277" i="1"/>
  <c r="B12277" i="1"/>
  <c r="A12277" i="1"/>
  <c r="D17611" i="1"/>
  <c r="C17611" i="1"/>
  <c r="B17611" i="1"/>
  <c r="A17611" i="1"/>
  <c r="D8244" i="1"/>
  <c r="B8244" i="1"/>
  <c r="A8244" i="1"/>
  <c r="D9816" i="1"/>
  <c r="B9816" i="1"/>
  <c r="A9816" i="1"/>
  <c r="D9710" i="1"/>
  <c r="B9710" i="1"/>
  <c r="A9710" i="1"/>
  <c r="D16159" i="1"/>
  <c r="B16159" i="1"/>
  <c r="A16159" i="1"/>
  <c r="D8210" i="1"/>
  <c r="B8210" i="1"/>
  <c r="A8210" i="1"/>
  <c r="D16176" i="1"/>
  <c r="B16176" i="1"/>
  <c r="A16176" i="1"/>
  <c r="D11088" i="1"/>
  <c r="B11088" i="1"/>
  <c r="A11088" i="1"/>
  <c r="D11416" i="1"/>
  <c r="B11416" i="1"/>
  <c r="A11416" i="1"/>
  <c r="D8331" i="1"/>
  <c r="C8331" i="1"/>
  <c r="B8331" i="1"/>
  <c r="A8331" i="1"/>
  <c r="D17844" i="1"/>
  <c r="B17844" i="1"/>
  <c r="A17844" i="1"/>
  <c r="D13827" i="1"/>
  <c r="B13827" i="1"/>
  <c r="A13827" i="1"/>
  <c r="D7951" i="1"/>
  <c r="B7951" i="1"/>
  <c r="A7951" i="1"/>
  <c r="D12668" i="1"/>
  <c r="C12668" i="1"/>
  <c r="B12668" i="1"/>
  <c r="A12668" i="1"/>
  <c r="D11739" i="1"/>
  <c r="B11739" i="1"/>
  <c r="A11739" i="1"/>
  <c r="D17567" i="1"/>
  <c r="B17567" i="1"/>
  <c r="A17567" i="1"/>
  <c r="D6857" i="1"/>
  <c r="B6857" i="1"/>
  <c r="A6857" i="1"/>
  <c r="D13905" i="1"/>
  <c r="B13905" i="1"/>
  <c r="A13905" i="1"/>
  <c r="D6012" i="1"/>
  <c r="C6012" i="1"/>
  <c r="B6012" i="1"/>
  <c r="A6012" i="1"/>
  <c r="D16052" i="1"/>
  <c r="B16052" i="1"/>
  <c r="A16052" i="1"/>
  <c r="D15480" i="1"/>
  <c r="B15480" i="1"/>
  <c r="A15480" i="1"/>
  <c r="D14297" i="1"/>
  <c r="C14297" i="1"/>
  <c r="B14297" i="1"/>
  <c r="A14297" i="1"/>
  <c r="D9427" i="1"/>
  <c r="B9427" i="1"/>
  <c r="A9427" i="1"/>
  <c r="D12752" i="1"/>
  <c r="B12752" i="1"/>
  <c r="A12752" i="1"/>
  <c r="D17175" i="1"/>
  <c r="C17175" i="1"/>
  <c r="B17175" i="1"/>
  <c r="A17175" i="1"/>
  <c r="D7673" i="1"/>
  <c r="B7673" i="1"/>
  <c r="A7673" i="1"/>
  <c r="D8374" i="1"/>
  <c r="B8374" i="1"/>
  <c r="A8374" i="1"/>
  <c r="D13718" i="1"/>
  <c r="C13718" i="1"/>
  <c r="B13718" i="1"/>
  <c r="A13718" i="1"/>
  <c r="D13887" i="1"/>
  <c r="B13887" i="1"/>
  <c r="A13887" i="1"/>
  <c r="D14515" i="1"/>
  <c r="C14515" i="1"/>
  <c r="B14515" i="1"/>
  <c r="A14515" i="1"/>
  <c r="D8291" i="1"/>
  <c r="B8291" i="1"/>
  <c r="A8291" i="1"/>
  <c r="D18324" i="1"/>
  <c r="C18324" i="1"/>
  <c r="B18324" i="1"/>
  <c r="A18324" i="1"/>
  <c r="D11020" i="1"/>
  <c r="B11020" i="1"/>
  <c r="A11020" i="1"/>
  <c r="D10952" i="1"/>
  <c r="B10952" i="1"/>
  <c r="A10952" i="1"/>
  <c r="D12051" i="1"/>
  <c r="B12051" i="1"/>
  <c r="A12051" i="1"/>
  <c r="D13406" i="1"/>
  <c r="C13406" i="1"/>
  <c r="B13406" i="1"/>
  <c r="A13406" i="1"/>
  <c r="D11537" i="1"/>
  <c r="C11537" i="1"/>
  <c r="B11537" i="1"/>
  <c r="A11537" i="1"/>
  <c r="D12633" i="1"/>
  <c r="C12633" i="1"/>
  <c r="B12633" i="1"/>
  <c r="A12633" i="1"/>
  <c r="D14476" i="1"/>
  <c r="B14476" i="1"/>
  <c r="A14476" i="1"/>
  <c r="D14814" i="1"/>
  <c r="B14814" i="1"/>
  <c r="A14814" i="1"/>
  <c r="D7936" i="1"/>
  <c r="C7936" i="1"/>
  <c r="B7936" i="1"/>
  <c r="A7936" i="1"/>
  <c r="D11714" i="1"/>
  <c r="B11714" i="1"/>
  <c r="A11714" i="1"/>
  <c r="D16909" i="1"/>
  <c r="B16909" i="1"/>
  <c r="A16909" i="1"/>
  <c r="D9104" i="1"/>
  <c r="B9104" i="1"/>
  <c r="A9104" i="1"/>
  <c r="D6201" i="1"/>
  <c r="B6201" i="1"/>
  <c r="A6201" i="1"/>
  <c r="D6303" i="1"/>
  <c r="C6303" i="1"/>
  <c r="B6303" i="1"/>
  <c r="A6303" i="1"/>
  <c r="D7910" i="1"/>
  <c r="C7910" i="1"/>
  <c r="B7910" i="1"/>
  <c r="A7910" i="1"/>
  <c r="D11691" i="1"/>
  <c r="C11691" i="1"/>
  <c r="B11691" i="1"/>
  <c r="A11691" i="1"/>
  <c r="D13925" i="1"/>
  <c r="B13925" i="1"/>
  <c r="A13925" i="1"/>
  <c r="D5996" i="1"/>
  <c r="B5996" i="1"/>
  <c r="A5996" i="1"/>
  <c r="D6220" i="1"/>
  <c r="B6220" i="1"/>
  <c r="A6220" i="1"/>
  <c r="D17679" i="1"/>
  <c r="B17679" i="1"/>
  <c r="A17679" i="1"/>
  <c r="D6936" i="1"/>
  <c r="B6936" i="1"/>
  <c r="A6936" i="1"/>
  <c r="D7099" i="1"/>
  <c r="B7099" i="1"/>
  <c r="A7099" i="1"/>
  <c r="D12157" i="1"/>
  <c r="B12157" i="1"/>
  <c r="A12157" i="1"/>
  <c r="D17973" i="1"/>
  <c r="B17973" i="1"/>
  <c r="A17973" i="1"/>
  <c r="D13798" i="1"/>
  <c r="B13798" i="1"/>
  <c r="A13798" i="1"/>
  <c r="D14288" i="1"/>
  <c r="C14288" i="1"/>
  <c r="B14288" i="1"/>
  <c r="A14288" i="1"/>
  <c r="D7178" i="1"/>
  <c r="B7178" i="1"/>
  <c r="A7178" i="1"/>
  <c r="D17065" i="1"/>
  <c r="B17065" i="1"/>
  <c r="A17065" i="1"/>
  <c r="D7515" i="1"/>
  <c r="B7515" i="1"/>
  <c r="A7515" i="1"/>
  <c r="D11317" i="1"/>
  <c r="B11317" i="1"/>
  <c r="A11317" i="1"/>
  <c r="D18137" i="1"/>
  <c r="B18137" i="1"/>
  <c r="A18137" i="1"/>
  <c r="D18180" i="1"/>
  <c r="C18180" i="1"/>
  <c r="B18180" i="1"/>
  <c r="A18180" i="1"/>
  <c r="D18803" i="1"/>
  <c r="B18803" i="1"/>
  <c r="A18803" i="1"/>
  <c r="D10655" i="1"/>
  <c r="C10655" i="1"/>
  <c r="B10655" i="1"/>
  <c r="A10655" i="1"/>
  <c r="D17489" i="1"/>
  <c r="B17489" i="1"/>
  <c r="A17489" i="1"/>
  <c r="D13023" i="1"/>
  <c r="B13023" i="1"/>
  <c r="A13023" i="1"/>
  <c r="D14741" i="1"/>
  <c r="C14741" i="1"/>
  <c r="B14741" i="1"/>
  <c r="A14741" i="1"/>
  <c r="D16504" i="1"/>
  <c r="C16504" i="1"/>
  <c r="B16504" i="1"/>
  <c r="A16504" i="1"/>
  <c r="D5981" i="1"/>
  <c r="B5981" i="1"/>
  <c r="A5981" i="1"/>
  <c r="D11032" i="1"/>
  <c r="B11032" i="1"/>
  <c r="A11032" i="1"/>
  <c r="D6361" i="1"/>
  <c r="B6361" i="1"/>
  <c r="A6361" i="1"/>
  <c r="D17258" i="1"/>
  <c r="B17258" i="1"/>
  <c r="A17258" i="1"/>
  <c r="D13073" i="1"/>
  <c r="B13073" i="1"/>
  <c r="A13073" i="1"/>
  <c r="D6468" i="1"/>
  <c r="C6468" i="1"/>
  <c r="B6468" i="1"/>
  <c r="A6468" i="1"/>
  <c r="D12742" i="1"/>
  <c r="C12742" i="1"/>
  <c r="B12742" i="1"/>
  <c r="A12742" i="1"/>
  <c r="D8304" i="1"/>
  <c r="B8304" i="1"/>
  <c r="A8304" i="1"/>
  <c r="D7784" i="1"/>
  <c r="C7784" i="1"/>
  <c r="B7784" i="1"/>
  <c r="A7784" i="1"/>
  <c r="D14201" i="1"/>
  <c r="B14201" i="1"/>
  <c r="A14201" i="1"/>
  <c r="D18643" i="1"/>
  <c r="B18643" i="1"/>
  <c r="A18643" i="1"/>
  <c r="D14673" i="1"/>
  <c r="B14673" i="1"/>
  <c r="A14673" i="1"/>
  <c r="D9599" i="1"/>
  <c r="B9599" i="1"/>
  <c r="A9599" i="1"/>
  <c r="D16102" i="1"/>
  <c r="B16102" i="1"/>
  <c r="A16102" i="1"/>
  <c r="D7922" i="1"/>
  <c r="B7922" i="1"/>
  <c r="A7922" i="1"/>
  <c r="D11116" i="1"/>
  <c r="C11116" i="1"/>
  <c r="B11116" i="1"/>
  <c r="A11116" i="1"/>
  <c r="D13601" i="1"/>
  <c r="B13601" i="1"/>
  <c r="A13601" i="1"/>
  <c r="D12154" i="1"/>
  <c r="C12154" i="1"/>
  <c r="B12154" i="1"/>
  <c r="A12154" i="1"/>
  <c r="D6587" i="1"/>
  <c r="B6587" i="1"/>
  <c r="A6587" i="1"/>
  <c r="D10446" i="1"/>
  <c r="B10446" i="1"/>
  <c r="A10446" i="1"/>
  <c r="D16932" i="1"/>
  <c r="B16932" i="1"/>
  <c r="A16932" i="1"/>
  <c r="D16328" i="1"/>
  <c r="B16328" i="1"/>
  <c r="A16328" i="1"/>
  <c r="D16916" i="1"/>
  <c r="B16916" i="1"/>
  <c r="A16916" i="1"/>
  <c r="D17816" i="1"/>
  <c r="B17816" i="1"/>
  <c r="A17816" i="1"/>
  <c r="D8912" i="1"/>
  <c r="C8912" i="1"/>
  <c r="B8912" i="1"/>
  <c r="A8912" i="1"/>
  <c r="D18412" i="1"/>
  <c r="B18412" i="1"/>
  <c r="A18412" i="1"/>
  <c r="D14498" i="1"/>
  <c r="B14498" i="1"/>
  <c r="A14498" i="1"/>
  <c r="D8149" i="1"/>
  <c r="B8149" i="1"/>
  <c r="A8149" i="1"/>
  <c r="D16483" i="1"/>
  <c r="C16483" i="1"/>
  <c r="B16483" i="1"/>
  <c r="A16483" i="1"/>
  <c r="D13576" i="1"/>
  <c r="B13576" i="1"/>
  <c r="A13576" i="1"/>
  <c r="D5954" i="1"/>
  <c r="B5954" i="1"/>
  <c r="A5954" i="1"/>
  <c r="D17443" i="1"/>
  <c r="B17443" i="1"/>
  <c r="A17443" i="1"/>
  <c r="D14187" i="1"/>
  <c r="B14187" i="1"/>
  <c r="A14187" i="1"/>
  <c r="D16787" i="1"/>
  <c r="B16787" i="1"/>
  <c r="A16787" i="1"/>
  <c r="D6572" i="1"/>
  <c r="C6572" i="1"/>
  <c r="B6572" i="1"/>
  <c r="A6572" i="1"/>
  <c r="D5671" i="1"/>
  <c r="A5671" i="1"/>
  <c r="D9802" i="1"/>
  <c r="C9802" i="1"/>
  <c r="B9802" i="1"/>
  <c r="A9802" i="1"/>
  <c r="D17024" i="1"/>
  <c r="B17024" i="1"/>
  <c r="A17024" i="1"/>
  <c r="D18001" i="1"/>
  <c r="C18001" i="1"/>
  <c r="B18001" i="1"/>
  <c r="A18001" i="1"/>
  <c r="D13424" i="1"/>
  <c r="C13424" i="1"/>
  <c r="B13424" i="1"/>
  <c r="A13424" i="1"/>
  <c r="D14531" i="1"/>
  <c r="B14531" i="1"/>
  <c r="A14531" i="1"/>
  <c r="D12974" i="1"/>
  <c r="C12974" i="1"/>
  <c r="B12974" i="1"/>
  <c r="A12974" i="1"/>
  <c r="D9964" i="1"/>
  <c r="B9964" i="1"/>
  <c r="A9964" i="1"/>
  <c r="D13292" i="1"/>
  <c r="B13292" i="1"/>
  <c r="A13292" i="1"/>
  <c r="D17584" i="1"/>
  <c r="B17584" i="1"/>
  <c r="A17584" i="1"/>
  <c r="D9746" i="1"/>
  <c r="B9746" i="1"/>
  <c r="A9746" i="1"/>
  <c r="D12079" i="1"/>
  <c r="B12079" i="1"/>
  <c r="A12079" i="1"/>
  <c r="D7918" i="1"/>
  <c r="B7918" i="1"/>
  <c r="A7918" i="1"/>
  <c r="D8703" i="1"/>
  <c r="B8703" i="1"/>
  <c r="A8703" i="1"/>
  <c r="D16796" i="1"/>
  <c r="C16796" i="1"/>
  <c r="B16796" i="1"/>
  <c r="A16796" i="1"/>
  <c r="D13580" i="1"/>
  <c r="B13580" i="1"/>
  <c r="A13580" i="1"/>
  <c r="D10478" i="1"/>
  <c r="B10478" i="1"/>
  <c r="A10478" i="1"/>
  <c r="D11135" i="1"/>
  <c r="B11135" i="1"/>
  <c r="A11135" i="1"/>
  <c r="D10011" i="1"/>
  <c r="A10011" i="1"/>
  <c r="D17550" i="1"/>
  <c r="B17550" i="1"/>
  <c r="A17550" i="1"/>
  <c r="D17252" i="1"/>
  <c r="A17252" i="1"/>
  <c r="D15894" i="1"/>
  <c r="B15894" i="1"/>
  <c r="A15894" i="1"/>
  <c r="D12591" i="1"/>
  <c r="B12591" i="1"/>
  <c r="A12591" i="1"/>
  <c r="D9242" i="1"/>
  <c r="B9242" i="1"/>
  <c r="A9242" i="1"/>
  <c r="D12336" i="1"/>
  <c r="B12336" i="1"/>
  <c r="A12336" i="1"/>
  <c r="D6332" i="1"/>
  <c r="B6332" i="1"/>
  <c r="A6332" i="1"/>
  <c r="D11115" i="1"/>
  <c r="C11115" i="1"/>
  <c r="B11115" i="1"/>
  <c r="A11115" i="1"/>
  <c r="D17177" i="1"/>
  <c r="B17177" i="1"/>
  <c r="A17177" i="1"/>
  <c r="D8592" i="1"/>
  <c r="C8592" i="1"/>
  <c r="B8592" i="1"/>
  <c r="A8592" i="1"/>
  <c r="D11055" i="1"/>
  <c r="B11055" i="1"/>
  <c r="A11055" i="1"/>
  <c r="D16451" i="1"/>
  <c r="C16451" i="1"/>
  <c r="B16451" i="1"/>
  <c r="A16451" i="1"/>
  <c r="D15617" i="1"/>
  <c r="B15617" i="1"/>
  <c r="A15617" i="1"/>
  <c r="D9935" i="1"/>
  <c r="B9935" i="1"/>
  <c r="A9935" i="1"/>
  <c r="D9484" i="1"/>
  <c r="B9484" i="1"/>
  <c r="A9484" i="1"/>
  <c r="D17724" i="1"/>
  <c r="B17724" i="1"/>
  <c r="A17724" i="1"/>
  <c r="D16839" i="1"/>
  <c r="C16839" i="1"/>
  <c r="B16839" i="1"/>
  <c r="A16839" i="1"/>
  <c r="D8534" i="1"/>
  <c r="C8534" i="1"/>
  <c r="B8534" i="1"/>
  <c r="A8534" i="1"/>
  <c r="D15945" i="1"/>
  <c r="B15945" i="1"/>
  <c r="A15945" i="1"/>
  <c r="D13999" i="1"/>
  <c r="B13999" i="1"/>
  <c r="A13999" i="1"/>
  <c r="D8879" i="1"/>
  <c r="B8879" i="1"/>
  <c r="A8879" i="1"/>
  <c r="D12776" i="1"/>
  <c r="C12776" i="1"/>
  <c r="B12776" i="1"/>
  <c r="A12776" i="1"/>
  <c r="D13803" i="1"/>
  <c r="B13803" i="1"/>
  <c r="A13803" i="1"/>
  <c r="D9888" i="1"/>
  <c r="B9888" i="1"/>
  <c r="A9888" i="1"/>
  <c r="D6997" i="1"/>
  <c r="B6997" i="1"/>
  <c r="A6997" i="1"/>
  <c r="D6534" i="1"/>
  <c r="B6534" i="1"/>
  <c r="A6534" i="1"/>
  <c r="D6199" i="1"/>
  <c r="B6199" i="1"/>
  <c r="A6199" i="1"/>
  <c r="D12993" i="1"/>
  <c r="B12993" i="1"/>
  <c r="A12993" i="1"/>
  <c r="D18492" i="1"/>
  <c r="B18492" i="1"/>
  <c r="A18492" i="1"/>
  <c r="D10955" i="1"/>
  <c r="A10955" i="1"/>
  <c r="D12384" i="1"/>
  <c r="C12384" i="1"/>
  <c r="B12384" i="1"/>
  <c r="A12384" i="1"/>
  <c r="D16391" i="1"/>
  <c r="B16391" i="1"/>
  <c r="A16391" i="1"/>
  <c r="D12707" i="1"/>
  <c r="B12707" i="1"/>
  <c r="A12707" i="1"/>
  <c r="D14587" i="1"/>
  <c r="B14587" i="1"/>
  <c r="A14587" i="1"/>
  <c r="D9693" i="1"/>
  <c r="B9693" i="1"/>
  <c r="A9693" i="1"/>
  <c r="D12763" i="1"/>
  <c r="A12763" i="1"/>
  <c r="D18553" i="1"/>
  <c r="B18553" i="1"/>
  <c r="A18553" i="1"/>
  <c r="D14488" i="1"/>
  <c r="B14488" i="1"/>
  <c r="A14488" i="1"/>
  <c r="D14285" i="1"/>
  <c r="B14285" i="1"/>
  <c r="A14285" i="1"/>
  <c r="D16115" i="1"/>
  <c r="A16115" i="1"/>
  <c r="D14640" i="1"/>
  <c r="B14640" i="1"/>
  <c r="A14640" i="1"/>
  <c r="D11387" i="1"/>
  <c r="C11387" i="1"/>
  <c r="B11387" i="1"/>
  <c r="A11387" i="1"/>
  <c r="D12416" i="1"/>
  <c r="C12416" i="1"/>
  <c r="B12416" i="1"/>
  <c r="A12416" i="1"/>
  <c r="D12814" i="1"/>
  <c r="B12814" i="1"/>
  <c r="A12814" i="1"/>
  <c r="D18525" i="1"/>
  <c r="C18525" i="1"/>
  <c r="B18525" i="1"/>
  <c r="A18525" i="1"/>
  <c r="D13113" i="1"/>
  <c r="C13113" i="1"/>
  <c r="B13113" i="1"/>
  <c r="A13113" i="1"/>
  <c r="D16529" i="1"/>
  <c r="B16529" i="1"/>
  <c r="A16529" i="1"/>
  <c r="D10217" i="1"/>
  <c r="B10217" i="1"/>
  <c r="A10217" i="1"/>
  <c r="D8443" i="1"/>
  <c r="B8443" i="1"/>
  <c r="A8443" i="1"/>
  <c r="D9531" i="1"/>
  <c r="B9531" i="1"/>
  <c r="A9531" i="1"/>
  <c r="D5956" i="1"/>
  <c r="B5956" i="1"/>
  <c r="A5956" i="1"/>
  <c r="D10482" i="1"/>
  <c r="B10482" i="1"/>
  <c r="A10482" i="1"/>
  <c r="D13779" i="1"/>
  <c r="C13779" i="1"/>
  <c r="B13779" i="1"/>
  <c r="A13779" i="1"/>
  <c r="D8536" i="1"/>
  <c r="B8536" i="1"/>
  <c r="A8536" i="1"/>
  <c r="D8204" i="1"/>
  <c r="B8204" i="1"/>
  <c r="A8204" i="1"/>
  <c r="D7410" i="1"/>
  <c r="B7410" i="1"/>
  <c r="A7410" i="1"/>
  <c r="D11917" i="1"/>
  <c r="B11917" i="1"/>
  <c r="A11917" i="1"/>
  <c r="D14200" i="1"/>
  <c r="B14200" i="1"/>
  <c r="A14200" i="1"/>
  <c r="D16735" i="1"/>
  <c r="B16735" i="1"/>
  <c r="A16735" i="1"/>
  <c r="D9526" i="1"/>
  <c r="B9526" i="1"/>
  <c r="A9526" i="1"/>
  <c r="D16272" i="1"/>
  <c r="C16272" i="1"/>
  <c r="B16272" i="1"/>
  <c r="A16272" i="1"/>
  <c r="D12946" i="1"/>
  <c r="C12946" i="1"/>
  <c r="B12946" i="1"/>
  <c r="A12946" i="1"/>
  <c r="D16374" i="1"/>
  <c r="C16374" i="1"/>
  <c r="B16374" i="1"/>
  <c r="A16374" i="1"/>
  <c r="D16616" i="1"/>
  <c r="B16616" i="1"/>
  <c r="A16616" i="1"/>
  <c r="D8829" i="1"/>
  <c r="B8829" i="1"/>
  <c r="A8829" i="1"/>
  <c r="D17648" i="1"/>
  <c r="B17648" i="1"/>
  <c r="A17648" i="1"/>
  <c r="D9743" i="1"/>
  <c r="C9743" i="1"/>
  <c r="B9743" i="1"/>
  <c r="A9743" i="1"/>
  <c r="D7256" i="1"/>
  <c r="C7256" i="1"/>
  <c r="B7256" i="1"/>
  <c r="A7256" i="1"/>
  <c r="D18605" i="1"/>
  <c r="C18605" i="1"/>
  <c r="B18605" i="1"/>
  <c r="A18605" i="1"/>
  <c r="D14275" i="1"/>
  <c r="C14275" i="1"/>
  <c r="B14275" i="1"/>
  <c r="A14275" i="1"/>
  <c r="D11377" i="1"/>
  <c r="C11377" i="1"/>
  <c r="B11377" i="1"/>
  <c r="A11377" i="1"/>
  <c r="D17935" i="1"/>
  <c r="C17935" i="1"/>
  <c r="B17935" i="1"/>
  <c r="A17935" i="1"/>
  <c r="D18677" i="1"/>
  <c r="B18677" i="1"/>
  <c r="A18677" i="1"/>
  <c r="D8850" i="1"/>
  <c r="C8850" i="1"/>
  <c r="B8850" i="1"/>
  <c r="A8850" i="1"/>
  <c r="D7344" i="1"/>
  <c r="B7344" i="1"/>
  <c r="A7344" i="1"/>
  <c r="D13617" i="1"/>
  <c r="B13617" i="1"/>
  <c r="A13617" i="1"/>
  <c r="D18721" i="1"/>
  <c r="B18721" i="1"/>
  <c r="A18721" i="1"/>
  <c r="D14461" i="1"/>
  <c r="B14461" i="1"/>
  <c r="A14461" i="1"/>
  <c r="D7310" i="1"/>
  <c r="B7310" i="1"/>
  <c r="A7310" i="1"/>
  <c r="D17122" i="1"/>
  <c r="B17122" i="1"/>
  <c r="A17122" i="1"/>
  <c r="D11128" i="1"/>
  <c r="C11128" i="1"/>
  <c r="B11128" i="1"/>
  <c r="A11128" i="1"/>
  <c r="D10485" i="1"/>
  <c r="B10485" i="1"/>
  <c r="A10485" i="1"/>
  <c r="D14185" i="1"/>
  <c r="C14185" i="1"/>
  <c r="B14185" i="1"/>
  <c r="A14185" i="1"/>
  <c r="D7966" i="1"/>
  <c r="B7966" i="1"/>
  <c r="A7966" i="1"/>
  <c r="D8901" i="1"/>
  <c r="B8901" i="1"/>
  <c r="A8901" i="1"/>
  <c r="D11134" i="1"/>
  <c r="C11134" i="1"/>
  <c r="B11134" i="1"/>
  <c r="A11134" i="1"/>
  <c r="D16843" i="1"/>
  <c r="B16843" i="1"/>
  <c r="A16843" i="1"/>
  <c r="D13071" i="1"/>
  <c r="C13071" i="1"/>
  <c r="B13071" i="1"/>
  <c r="A13071" i="1"/>
  <c r="D12055" i="1"/>
  <c r="B12055" i="1"/>
  <c r="A12055" i="1"/>
  <c r="D14632" i="1"/>
  <c r="C14632" i="1"/>
  <c r="B14632" i="1"/>
  <c r="A14632" i="1"/>
  <c r="D17764" i="1"/>
  <c r="B17764" i="1"/>
  <c r="A17764" i="1"/>
  <c r="D12934" i="1"/>
  <c r="B12934" i="1"/>
  <c r="A12934" i="1"/>
  <c r="D14516" i="1"/>
  <c r="C14516" i="1"/>
  <c r="B14516" i="1"/>
  <c r="A14516" i="1"/>
  <c r="D14239" i="1"/>
  <c r="C14239" i="1"/>
  <c r="B14239" i="1"/>
  <c r="A14239" i="1"/>
  <c r="D8462" i="1"/>
  <c r="B8462" i="1"/>
  <c r="A8462" i="1"/>
  <c r="D13025" i="1"/>
  <c r="B13025" i="1"/>
  <c r="A13025" i="1"/>
  <c r="D17360" i="1"/>
  <c r="C17360" i="1"/>
  <c r="B17360" i="1"/>
  <c r="A17360" i="1"/>
  <c r="D7932" i="1"/>
  <c r="B7932" i="1"/>
  <c r="A7932" i="1"/>
  <c r="D9356" i="1"/>
  <c r="B9356" i="1"/>
  <c r="A9356" i="1"/>
  <c r="D14756" i="1"/>
  <c r="C14756" i="1"/>
  <c r="B14756" i="1"/>
  <c r="A14756" i="1"/>
  <c r="D9960" i="1"/>
  <c r="B9960" i="1"/>
  <c r="A9960" i="1"/>
  <c r="D7409" i="1"/>
  <c r="B7409" i="1"/>
  <c r="A7409" i="1"/>
  <c r="D8312" i="1"/>
  <c r="C8312" i="1"/>
  <c r="B8312" i="1"/>
  <c r="A8312" i="1"/>
  <c r="D8440" i="1"/>
  <c r="B8440" i="1"/>
  <c r="A8440" i="1"/>
  <c r="D18371" i="1"/>
  <c r="C18371" i="1"/>
  <c r="B18371" i="1"/>
  <c r="A18371" i="1"/>
  <c r="D6350" i="1"/>
  <c r="B6350" i="1"/>
  <c r="A6350" i="1"/>
  <c r="D14598" i="1"/>
  <c r="B14598" i="1"/>
  <c r="A14598" i="1"/>
  <c r="D6655" i="1"/>
  <c r="B6655" i="1"/>
  <c r="A6655" i="1"/>
  <c r="D17452" i="1"/>
  <c r="B17452" i="1"/>
  <c r="A17452" i="1"/>
  <c r="D18229" i="1"/>
  <c r="B18229" i="1"/>
  <c r="A18229" i="1"/>
  <c r="D6004" i="1"/>
  <c r="C6004" i="1"/>
  <c r="B6004" i="1"/>
  <c r="A6004" i="1"/>
  <c r="D9216" i="1"/>
  <c r="B9216" i="1"/>
  <c r="A9216" i="1"/>
  <c r="D12014" i="1"/>
  <c r="B12014" i="1"/>
  <c r="A12014" i="1"/>
  <c r="D8274" i="1"/>
  <c r="C8274" i="1"/>
  <c r="B8274" i="1"/>
  <c r="A8274" i="1"/>
  <c r="D12072" i="1"/>
  <c r="B12072" i="1"/>
  <c r="A12072" i="1"/>
  <c r="D16281" i="1"/>
  <c r="B16281" i="1"/>
  <c r="A16281" i="1"/>
  <c r="D8706" i="1"/>
  <c r="B8706" i="1"/>
  <c r="A8706" i="1"/>
  <c r="D8180" i="1"/>
  <c r="C8180" i="1"/>
  <c r="B8180" i="1"/>
  <c r="A8180" i="1"/>
  <c r="D9349" i="1"/>
  <c r="B9349" i="1"/>
  <c r="A9349" i="1"/>
  <c r="D10839" i="1"/>
  <c r="B10839" i="1"/>
  <c r="A10839" i="1"/>
  <c r="D10533" i="1"/>
  <c r="B10533" i="1"/>
  <c r="A10533" i="1"/>
  <c r="D18554" i="1"/>
  <c r="B18554" i="1"/>
  <c r="A18554" i="1"/>
  <c r="D10479" i="1"/>
  <c r="B10479" i="1"/>
  <c r="A10479" i="1"/>
  <c r="D16564" i="1"/>
  <c r="C16564" i="1"/>
  <c r="B16564" i="1"/>
  <c r="A16564" i="1"/>
  <c r="D11161" i="1"/>
  <c r="C11161" i="1"/>
  <c r="B11161" i="1"/>
  <c r="A11161" i="1"/>
  <c r="D15735" i="1"/>
  <c r="B15735" i="1"/>
  <c r="A15735" i="1"/>
  <c r="D10389" i="1"/>
  <c r="B10389" i="1"/>
  <c r="A10389" i="1"/>
  <c r="D14048" i="1"/>
  <c r="B14048" i="1"/>
  <c r="A14048" i="1"/>
  <c r="D18655" i="1"/>
  <c r="B18655" i="1"/>
  <c r="A18655" i="1"/>
  <c r="D11654" i="1"/>
  <c r="B11654" i="1"/>
  <c r="A11654" i="1"/>
  <c r="D14540" i="1"/>
  <c r="B14540" i="1"/>
  <c r="A14540" i="1"/>
  <c r="D17242" i="1"/>
  <c r="B17242" i="1"/>
  <c r="A17242" i="1"/>
  <c r="D5989" i="1"/>
  <c r="B5989" i="1"/>
  <c r="A5989" i="1"/>
  <c r="D7092" i="1"/>
  <c r="B7092" i="1"/>
  <c r="A7092" i="1"/>
  <c r="D14478" i="1"/>
  <c r="B14478" i="1"/>
  <c r="A14478" i="1"/>
  <c r="D6262" i="1"/>
  <c r="B6262" i="1"/>
  <c r="A6262" i="1"/>
  <c r="D6352" i="1"/>
  <c r="C6352" i="1"/>
  <c r="B6352" i="1"/>
  <c r="A6352" i="1"/>
  <c r="D9543" i="1"/>
  <c r="B9543" i="1"/>
  <c r="A9543" i="1"/>
  <c r="D16923" i="1"/>
  <c r="B16923" i="1"/>
  <c r="A16923" i="1"/>
  <c r="D17937" i="1"/>
  <c r="B17937" i="1"/>
  <c r="A17937" i="1"/>
  <c r="D7468" i="1"/>
  <c r="B7468" i="1"/>
  <c r="A7468" i="1"/>
  <c r="D8110" i="1"/>
  <c r="B8110" i="1"/>
  <c r="A8110" i="1"/>
  <c r="D18222" i="1"/>
  <c r="C18222" i="1"/>
  <c r="B18222" i="1"/>
  <c r="A18222" i="1"/>
  <c r="D15837" i="1"/>
  <c r="B15837" i="1"/>
  <c r="A15837" i="1"/>
  <c r="D9419" i="1"/>
  <c r="B9419" i="1"/>
  <c r="A9419" i="1"/>
  <c r="D14123" i="1"/>
  <c r="B14123" i="1"/>
  <c r="A14123" i="1"/>
  <c r="D13403" i="1"/>
  <c r="B13403" i="1"/>
  <c r="A13403" i="1"/>
  <c r="D11539" i="1"/>
  <c r="B11539" i="1"/>
  <c r="A11539" i="1"/>
  <c r="D10965" i="1"/>
  <c r="A10965" i="1"/>
  <c r="D6460" i="1"/>
  <c r="C6460" i="1"/>
  <c r="B6460" i="1"/>
  <c r="A6460" i="1"/>
  <c r="D12258" i="1"/>
  <c r="C12258" i="1"/>
  <c r="B12258" i="1"/>
  <c r="A12258" i="1"/>
  <c r="D11103" i="1"/>
  <c r="B11103" i="1"/>
  <c r="A11103" i="1"/>
  <c r="D12380" i="1"/>
  <c r="B12380" i="1"/>
  <c r="A12380" i="1"/>
  <c r="D7996" i="1"/>
  <c r="C7996" i="1"/>
  <c r="B7996" i="1"/>
  <c r="A7996" i="1"/>
  <c r="D13484" i="1"/>
  <c r="C13484" i="1"/>
  <c r="B13484" i="1"/>
  <c r="A13484" i="1"/>
  <c r="D6342" i="1"/>
  <c r="B6342" i="1"/>
  <c r="A6342" i="1"/>
  <c r="D13316" i="1"/>
  <c r="B13316" i="1"/>
  <c r="A13316" i="1"/>
  <c r="D15231" i="1"/>
  <c r="B15231" i="1"/>
  <c r="A15231" i="1"/>
  <c r="D17340" i="1"/>
  <c r="C17340" i="1"/>
  <c r="B17340" i="1"/>
  <c r="A17340" i="1"/>
  <c r="D15885" i="1"/>
  <c r="B15885" i="1"/>
  <c r="A15885" i="1"/>
  <c r="D9492" i="1"/>
  <c r="A9492" i="1"/>
  <c r="D17068" i="1"/>
  <c r="B17068" i="1"/>
  <c r="A17068" i="1"/>
  <c r="D9048" i="1"/>
  <c r="B9048" i="1"/>
  <c r="A9048" i="1"/>
  <c r="D16948" i="1"/>
  <c r="B16948" i="1"/>
  <c r="A16948" i="1"/>
  <c r="D11345" i="1"/>
  <c r="C11345" i="1"/>
  <c r="B11345" i="1"/>
  <c r="A11345" i="1"/>
  <c r="D13826" i="1"/>
  <c r="C13826" i="1"/>
  <c r="B13826" i="1"/>
  <c r="A13826" i="1"/>
  <c r="D15616" i="1"/>
  <c r="B15616" i="1"/>
  <c r="A15616" i="1"/>
  <c r="D7121" i="1"/>
  <c r="B7121" i="1"/>
  <c r="A7121" i="1"/>
  <c r="D10921" i="1"/>
  <c r="B10921" i="1"/>
  <c r="A10921" i="1"/>
  <c r="D18466" i="1"/>
  <c r="A18466" i="1"/>
  <c r="D9709" i="1"/>
  <c r="A9709" i="1"/>
  <c r="D7670" i="1"/>
  <c r="C7670" i="1"/>
  <c r="B7670" i="1"/>
  <c r="A7670" i="1"/>
  <c r="D10861" i="1"/>
  <c r="B10861" i="1"/>
  <c r="A10861" i="1"/>
  <c r="D6324" i="1"/>
  <c r="B6324" i="1"/>
  <c r="A6324" i="1"/>
  <c r="D17174" i="1"/>
  <c r="B17174" i="1"/>
  <c r="A17174" i="1"/>
  <c r="D9255" i="1"/>
  <c r="B9255" i="1"/>
  <c r="A9255" i="1"/>
  <c r="D18516" i="1"/>
  <c r="B18516" i="1"/>
  <c r="A18516" i="1"/>
  <c r="D12211" i="1"/>
  <c r="B12211" i="1"/>
  <c r="A12211" i="1"/>
  <c r="D10191" i="1"/>
  <c r="B10191" i="1"/>
  <c r="A10191" i="1"/>
  <c r="D13164" i="1"/>
  <c r="B13164" i="1"/>
  <c r="A13164" i="1"/>
  <c r="D12716" i="1"/>
  <c r="C12716" i="1"/>
  <c r="B12716" i="1"/>
  <c r="A12716" i="1"/>
  <c r="D18640" i="1"/>
  <c r="B18640" i="1"/>
  <c r="A18640" i="1"/>
  <c r="D14751" i="1"/>
  <c r="B14751" i="1"/>
  <c r="A14751" i="1"/>
  <c r="D11549" i="1"/>
  <c r="B11549" i="1"/>
  <c r="A11549" i="1"/>
  <c r="D12333" i="1"/>
  <c r="B12333" i="1"/>
  <c r="A12333" i="1"/>
  <c r="D7989" i="1"/>
  <c r="B7989" i="1"/>
  <c r="A7989" i="1"/>
  <c r="D12980" i="1"/>
  <c r="C12980" i="1"/>
  <c r="B12980" i="1"/>
  <c r="A12980" i="1"/>
  <c r="D6573" i="1"/>
  <c r="C6573" i="1"/>
  <c r="B6573" i="1"/>
  <c r="A6573" i="1"/>
  <c r="D18161" i="1"/>
  <c r="B18161" i="1"/>
  <c r="A18161" i="1"/>
  <c r="D7860" i="1"/>
  <c r="B7860" i="1"/>
  <c r="A7860" i="1"/>
  <c r="D14246" i="1"/>
  <c r="B14246" i="1"/>
  <c r="A14246" i="1"/>
  <c r="D13024" i="1"/>
  <c r="B13024" i="1"/>
  <c r="A13024" i="1"/>
  <c r="D10541" i="1"/>
  <c r="B10541" i="1"/>
  <c r="A10541" i="1"/>
  <c r="D18160" i="1"/>
  <c r="B18160" i="1"/>
  <c r="A18160" i="1"/>
  <c r="D6488" i="1"/>
  <c r="C6488" i="1"/>
  <c r="B6488" i="1"/>
  <c r="A6488" i="1"/>
  <c r="D17692" i="1"/>
  <c r="C17692" i="1"/>
  <c r="B17692" i="1"/>
  <c r="A17692" i="1"/>
  <c r="D14648" i="1"/>
  <c r="C14648" i="1"/>
  <c r="B14648" i="1"/>
  <c r="A14648" i="1"/>
  <c r="D12813" i="1"/>
  <c r="B12813" i="1"/>
  <c r="A12813" i="1"/>
  <c r="D8532" i="1"/>
  <c r="C8532" i="1"/>
  <c r="B8532" i="1"/>
  <c r="A8532" i="1"/>
  <c r="D8820" i="1"/>
  <c r="B8820" i="1"/>
  <c r="A8820" i="1"/>
  <c r="D8560" i="1"/>
  <c r="C8560" i="1"/>
  <c r="B8560" i="1"/>
  <c r="A8560" i="1"/>
  <c r="D13387" i="1"/>
  <c r="B13387" i="1"/>
  <c r="A13387" i="1"/>
  <c r="D11611" i="1"/>
  <c r="B11611" i="1"/>
  <c r="A11611" i="1"/>
  <c r="D11190" i="1"/>
  <c r="B11190" i="1"/>
  <c r="A11190" i="1"/>
  <c r="D9165" i="1"/>
  <c r="B9165" i="1"/>
  <c r="A9165" i="1"/>
  <c r="D13890" i="1"/>
  <c r="C13890" i="1"/>
  <c r="B13890" i="1"/>
  <c r="A13890" i="1"/>
  <c r="D9066" i="1"/>
  <c r="B9066" i="1"/>
  <c r="A9066" i="1"/>
  <c r="D14091" i="1"/>
  <c r="B14091" i="1"/>
  <c r="A14091" i="1"/>
  <c r="D15869" i="1"/>
  <c r="A15869" i="1"/>
  <c r="D15937" i="1"/>
  <c r="B15937" i="1"/>
  <c r="A15937" i="1"/>
  <c r="D9462" i="1"/>
  <c r="B9462" i="1"/>
  <c r="A9462" i="1"/>
  <c r="D16505" i="1"/>
  <c r="B16505" i="1"/>
  <c r="A16505" i="1"/>
  <c r="D14356" i="1"/>
  <c r="C14356" i="1"/>
  <c r="B14356" i="1"/>
  <c r="A14356" i="1"/>
  <c r="D13706" i="1"/>
  <c r="C13706" i="1"/>
  <c r="B13706" i="1"/>
  <c r="A13706" i="1"/>
  <c r="D11538" i="1"/>
  <c r="B11538" i="1"/>
  <c r="A11538" i="1"/>
  <c r="D13334" i="1"/>
  <c r="B13334" i="1"/>
  <c r="A13334" i="1"/>
  <c r="D17167" i="1"/>
  <c r="B17167" i="1"/>
  <c r="A17167" i="1"/>
  <c r="D17087" i="1"/>
  <c r="B17087" i="1"/>
  <c r="A17087" i="1"/>
  <c r="D13474" i="1"/>
  <c r="B13474" i="1"/>
  <c r="A13474" i="1"/>
  <c r="D6569" i="1"/>
  <c r="B6569" i="1"/>
  <c r="A6569" i="1"/>
  <c r="D17728" i="1"/>
  <c r="C17728" i="1"/>
  <c r="B17728" i="1"/>
  <c r="A17728" i="1"/>
  <c r="D6802" i="1"/>
  <c r="C6802" i="1"/>
  <c r="B6802" i="1"/>
  <c r="A6802" i="1"/>
  <c r="D16612" i="1"/>
  <c r="B16612" i="1"/>
  <c r="A16612" i="1"/>
  <c r="D16520" i="1"/>
  <c r="B16520" i="1"/>
  <c r="A16520" i="1"/>
  <c r="D7852" i="1"/>
  <c r="B7852" i="1"/>
  <c r="A7852" i="1"/>
  <c r="D18110" i="1"/>
  <c r="B18110" i="1"/>
  <c r="A18110" i="1"/>
  <c r="D11305" i="1"/>
  <c r="C11305" i="1"/>
  <c r="B11305" i="1"/>
  <c r="A11305" i="1"/>
  <c r="D7882" i="1"/>
  <c r="B7882" i="1"/>
  <c r="A7882" i="1"/>
  <c r="D16283" i="1"/>
  <c r="C16283" i="1"/>
  <c r="B16283" i="1"/>
  <c r="A16283" i="1"/>
  <c r="D6067" i="1"/>
  <c r="A6067" i="1"/>
  <c r="D11696" i="1"/>
  <c r="B11696" i="1"/>
  <c r="A11696" i="1"/>
  <c r="D8869" i="1"/>
  <c r="B8869" i="1"/>
  <c r="A8869" i="1"/>
  <c r="D14521" i="1"/>
  <c r="B14521" i="1"/>
  <c r="A14521" i="1"/>
  <c r="D6011" i="1"/>
  <c r="C6011" i="1"/>
  <c r="B6011" i="1"/>
  <c r="A6011" i="1"/>
  <c r="D15094" i="1"/>
  <c r="B15094" i="1"/>
  <c r="A15094" i="1"/>
  <c r="D9560" i="1"/>
  <c r="B9560" i="1"/>
  <c r="A9560" i="1"/>
  <c r="D18155" i="1"/>
  <c r="B18155" i="1"/>
  <c r="A18155" i="1"/>
  <c r="D12717" i="1"/>
  <c r="C12717" i="1"/>
  <c r="B12717" i="1"/>
  <c r="A12717" i="1"/>
  <c r="D18806" i="1"/>
  <c r="B18806" i="1"/>
  <c r="A18806" i="1"/>
  <c r="D17525" i="1"/>
  <c r="C17525" i="1"/>
  <c r="B17525" i="1"/>
  <c r="A17525" i="1"/>
  <c r="D8375" i="1"/>
  <c r="B8375" i="1"/>
  <c r="A8375" i="1"/>
  <c r="D15902" i="1"/>
  <c r="B15902" i="1"/>
  <c r="A15902" i="1"/>
  <c r="D16852" i="1"/>
  <c r="C16852" i="1"/>
  <c r="B16852" i="1"/>
  <c r="A16852" i="1"/>
  <c r="D12803" i="1"/>
  <c r="B12803" i="1"/>
  <c r="A12803" i="1"/>
  <c r="D10656" i="1"/>
  <c r="B10656" i="1"/>
  <c r="A10656" i="1"/>
  <c r="D15685" i="1"/>
  <c r="B15685" i="1"/>
  <c r="A15685" i="1"/>
  <c r="D6001" i="1"/>
  <c r="A6001" i="1"/>
  <c r="D18219" i="1"/>
  <c r="C18219" i="1"/>
  <c r="B18219" i="1"/>
  <c r="A18219" i="1"/>
  <c r="D14324" i="1"/>
  <c r="B14324" i="1"/>
  <c r="A14324" i="1"/>
  <c r="D13683" i="1"/>
  <c r="C13683" i="1"/>
  <c r="B13683" i="1"/>
  <c r="A13683" i="1"/>
  <c r="D10404" i="1"/>
  <c r="B10404" i="1"/>
  <c r="A10404" i="1"/>
  <c r="D9088" i="1"/>
  <c r="B9088" i="1"/>
  <c r="A9088" i="1"/>
  <c r="D14289" i="1"/>
  <c r="B14289" i="1"/>
  <c r="A14289" i="1"/>
  <c r="D7652" i="1"/>
  <c r="C7652" i="1"/>
  <c r="B7652" i="1"/>
  <c r="A7652" i="1"/>
  <c r="D16679" i="1"/>
  <c r="C16679" i="1"/>
  <c r="B16679" i="1"/>
  <c r="A16679" i="1"/>
  <c r="D13527" i="1"/>
  <c r="B13527" i="1"/>
  <c r="A13527" i="1"/>
  <c r="D13013" i="1"/>
  <c r="C13013" i="1"/>
  <c r="B13013" i="1"/>
  <c r="A13013" i="1"/>
  <c r="D15445" i="1"/>
  <c r="C15445" i="1"/>
  <c r="B15445" i="1"/>
  <c r="A15445" i="1"/>
  <c r="D11724" i="1"/>
  <c r="B11724" i="1"/>
  <c r="A11724" i="1"/>
  <c r="D8043" i="1"/>
  <c r="B8043" i="1"/>
  <c r="A8043" i="1"/>
  <c r="D11818" i="1"/>
  <c r="B11818" i="1"/>
  <c r="A11818" i="1"/>
  <c r="D9546" i="1"/>
  <c r="C9546" i="1"/>
  <c r="B9546" i="1"/>
  <c r="A9546" i="1"/>
  <c r="D12689" i="1"/>
  <c r="C12689" i="1"/>
  <c r="B12689" i="1"/>
  <c r="A12689" i="1"/>
  <c r="D13622" i="1"/>
  <c r="C13622" i="1"/>
  <c r="B13622" i="1"/>
  <c r="A13622" i="1"/>
  <c r="D13670" i="1"/>
  <c r="C13670" i="1"/>
  <c r="B13670" i="1"/>
  <c r="A13670" i="1"/>
  <c r="D16190" i="1"/>
  <c r="B16190" i="1"/>
  <c r="A16190" i="1"/>
  <c r="D9476" i="1"/>
  <c r="B9476" i="1"/>
  <c r="A9476" i="1"/>
  <c r="D13031" i="1"/>
  <c r="C13031" i="1"/>
  <c r="B13031" i="1"/>
  <c r="A13031" i="1"/>
  <c r="D8930" i="1"/>
  <c r="B8930" i="1"/>
  <c r="A8930" i="1"/>
  <c r="D15602" i="1"/>
  <c r="B15602" i="1"/>
  <c r="A15602" i="1"/>
  <c r="D7903" i="1"/>
  <c r="B7903" i="1"/>
  <c r="A7903" i="1"/>
  <c r="D18287" i="1"/>
  <c r="B18287" i="1"/>
  <c r="A18287" i="1"/>
  <c r="D12641" i="1"/>
  <c r="C12641" i="1"/>
  <c r="B12641" i="1"/>
  <c r="A12641" i="1"/>
  <c r="D16862" i="1"/>
  <c r="B16862" i="1"/>
  <c r="A16862" i="1"/>
  <c r="D18140" i="1"/>
  <c r="B18140" i="1"/>
  <c r="A18140" i="1"/>
  <c r="D13560" i="1"/>
  <c r="C13560" i="1"/>
  <c r="B13560" i="1"/>
  <c r="A13560" i="1"/>
  <c r="D13048" i="1"/>
  <c r="B13048" i="1"/>
  <c r="A13048" i="1"/>
  <c r="D13880" i="1"/>
  <c r="A13880" i="1"/>
  <c r="D17591" i="1"/>
  <c r="B17591" i="1"/>
  <c r="A17591" i="1"/>
  <c r="D17351" i="1"/>
  <c r="B17351" i="1"/>
  <c r="A17351" i="1"/>
  <c r="D6562" i="1"/>
  <c r="C6562" i="1"/>
  <c r="B6562" i="1"/>
  <c r="A6562" i="1"/>
  <c r="D9780" i="1"/>
  <c r="C9780" i="1"/>
  <c r="B9780" i="1"/>
  <c r="A9780" i="1"/>
  <c r="D14060" i="1"/>
  <c r="B14060" i="1"/>
  <c r="A14060" i="1"/>
  <c r="D11778" i="1"/>
  <c r="B11778" i="1"/>
  <c r="A11778" i="1"/>
  <c r="D17309" i="1"/>
  <c r="B17309" i="1"/>
  <c r="A17309" i="1"/>
  <c r="D17554" i="1"/>
  <c r="C17554" i="1"/>
  <c r="B17554" i="1"/>
  <c r="A17554" i="1"/>
  <c r="D14654" i="1"/>
  <c r="C14654" i="1"/>
  <c r="B14654" i="1"/>
  <c r="A14654" i="1"/>
  <c r="D8894" i="1"/>
  <c r="C8894" i="1"/>
  <c r="B8894" i="1"/>
  <c r="A8894" i="1"/>
  <c r="D14674" i="1"/>
  <c r="B14674" i="1"/>
  <c r="A14674" i="1"/>
  <c r="D10873" i="1"/>
  <c r="C10873" i="1"/>
  <c r="B10873" i="1"/>
  <c r="A10873" i="1"/>
  <c r="D9436" i="1"/>
  <c r="B9436" i="1"/>
  <c r="A9436" i="1"/>
  <c r="D16665" i="1"/>
  <c r="B16665" i="1"/>
  <c r="A16665" i="1"/>
  <c r="D12656" i="1"/>
  <c r="B12656" i="1"/>
  <c r="A12656" i="1"/>
  <c r="D6712" i="1"/>
  <c r="C6712" i="1"/>
  <c r="B6712" i="1"/>
  <c r="A6712" i="1"/>
  <c r="D11210" i="1"/>
  <c r="B11210" i="1"/>
  <c r="A11210" i="1"/>
  <c r="D8675" i="1"/>
  <c r="C8675" i="1"/>
  <c r="B8675" i="1"/>
  <c r="A8675" i="1"/>
  <c r="D6429" i="1"/>
  <c r="B6429" i="1"/>
  <c r="A6429" i="1"/>
  <c r="D6182" i="1"/>
  <c r="B6182" i="1"/>
  <c r="A6182" i="1"/>
  <c r="D17740" i="1"/>
  <c r="B17740" i="1"/>
  <c r="A17740" i="1"/>
  <c r="D6177" i="1"/>
  <c r="C6177" i="1"/>
  <c r="B6177" i="1"/>
  <c r="A6177" i="1"/>
  <c r="D15807" i="1"/>
  <c r="B15807" i="1"/>
  <c r="A15807" i="1"/>
  <c r="D10718" i="1"/>
  <c r="C10718" i="1"/>
  <c r="B10718" i="1"/>
  <c r="A10718" i="1"/>
  <c r="D16728" i="1"/>
  <c r="C16728" i="1"/>
  <c r="B16728" i="1"/>
  <c r="A16728" i="1"/>
  <c r="D16623" i="1"/>
  <c r="B16623" i="1"/>
  <c r="A16623" i="1"/>
  <c r="D8666" i="1"/>
  <c r="B8666" i="1"/>
  <c r="A8666" i="1"/>
  <c r="D16383" i="1"/>
  <c r="B16383" i="1"/>
  <c r="A16383" i="1"/>
  <c r="D18652" i="1"/>
  <c r="C18652" i="1"/>
  <c r="B18652" i="1"/>
  <c r="A18652" i="1"/>
  <c r="D9368" i="1"/>
  <c r="B9368" i="1"/>
  <c r="A9368" i="1"/>
  <c r="D11667" i="1"/>
  <c r="C11667" i="1"/>
  <c r="B11667" i="1"/>
  <c r="A11667" i="1"/>
  <c r="D10320" i="1"/>
  <c r="B10320" i="1"/>
  <c r="A10320" i="1"/>
  <c r="D13811" i="1"/>
  <c r="C13811" i="1"/>
  <c r="B13811" i="1"/>
  <c r="A13811" i="1"/>
  <c r="D17923" i="1"/>
  <c r="B17923" i="1"/>
  <c r="A17923" i="1"/>
  <c r="D16424" i="1"/>
  <c r="B16424" i="1"/>
  <c r="A16424" i="1"/>
  <c r="D8520" i="1"/>
  <c r="C8520" i="1"/>
  <c r="B8520" i="1"/>
  <c r="A8520" i="1"/>
  <c r="D8033" i="1"/>
  <c r="C8033" i="1"/>
  <c r="B8033" i="1"/>
  <c r="A8033" i="1"/>
  <c r="D7717" i="1"/>
  <c r="B7717" i="1"/>
  <c r="A7717" i="1"/>
  <c r="D12208" i="1"/>
  <c r="B12208" i="1"/>
  <c r="A12208" i="1"/>
  <c r="D10591" i="1"/>
  <c r="B10591" i="1"/>
  <c r="A10591" i="1"/>
  <c r="D18740" i="1"/>
  <c r="A18740" i="1"/>
  <c r="D8336" i="1"/>
  <c r="B8336" i="1"/>
  <c r="A8336" i="1"/>
  <c r="D14391" i="1"/>
  <c r="C14391" i="1"/>
  <c r="B14391" i="1"/>
  <c r="A14391" i="1"/>
  <c r="D8998" i="1"/>
  <c r="B8998" i="1"/>
  <c r="A8998" i="1"/>
  <c r="D11641" i="1"/>
  <c r="C11641" i="1"/>
  <c r="B11641" i="1"/>
  <c r="A11641" i="1"/>
  <c r="D13308" i="1"/>
  <c r="B13308" i="1"/>
  <c r="A13308" i="1"/>
  <c r="D14675" i="1"/>
  <c r="C14675" i="1"/>
  <c r="B14675" i="1"/>
  <c r="A14675" i="1"/>
  <c r="D16803" i="1"/>
  <c r="C16803" i="1"/>
  <c r="B16803" i="1"/>
  <c r="A16803" i="1"/>
  <c r="D8620" i="1"/>
  <c r="B8620" i="1"/>
  <c r="A8620" i="1"/>
  <c r="D17361" i="1"/>
  <c r="B17361" i="1"/>
  <c r="A17361" i="1"/>
  <c r="D7469" i="1"/>
  <c r="B7469" i="1"/>
  <c r="A7469" i="1"/>
  <c r="D12295" i="1"/>
  <c r="B12295" i="1"/>
  <c r="A12295" i="1"/>
  <c r="D15711" i="1"/>
  <c r="B15711" i="1"/>
  <c r="A15711" i="1"/>
  <c r="D7237" i="1"/>
  <c r="C7237" i="1"/>
  <c r="B7237" i="1"/>
  <c r="A7237" i="1"/>
  <c r="D11958" i="1"/>
  <c r="B11958" i="1"/>
  <c r="A11958" i="1"/>
  <c r="D12973" i="1"/>
  <c r="C12973" i="1"/>
  <c r="B12973" i="1"/>
  <c r="A12973" i="1"/>
  <c r="D17699" i="1"/>
  <c r="C17699" i="1"/>
  <c r="B17699" i="1"/>
  <c r="A17699" i="1"/>
  <c r="D10504" i="1"/>
  <c r="C10504" i="1"/>
  <c r="B10504" i="1"/>
  <c r="A10504" i="1"/>
  <c r="D5992" i="1"/>
  <c r="C5992" i="1"/>
  <c r="B5992" i="1"/>
  <c r="A5992" i="1"/>
  <c r="D6847" i="1"/>
  <c r="B6847" i="1"/>
  <c r="A6847" i="1"/>
  <c r="D10860" i="1"/>
  <c r="C10860" i="1"/>
  <c r="B10860" i="1"/>
  <c r="A10860" i="1"/>
  <c r="D8167" i="1"/>
  <c r="C8167" i="1"/>
  <c r="B8167" i="1"/>
  <c r="A8167" i="1"/>
  <c r="D10033" i="1"/>
  <c r="B10033" i="1"/>
  <c r="A10033" i="1"/>
  <c r="D12799" i="1"/>
  <c r="C12799" i="1"/>
  <c r="B12799" i="1"/>
  <c r="A12799" i="1"/>
  <c r="D9520" i="1"/>
  <c r="C9520" i="1"/>
  <c r="B9520" i="1"/>
  <c r="A9520" i="1"/>
  <c r="D15824" i="1"/>
  <c r="B15824" i="1"/>
  <c r="A15824" i="1"/>
  <c r="D18752" i="1"/>
  <c r="C18752" i="1"/>
  <c r="B18752" i="1"/>
  <c r="A18752" i="1"/>
  <c r="D9489" i="1"/>
  <c r="B9489" i="1"/>
  <c r="A9489" i="1"/>
  <c r="D9720" i="1"/>
  <c r="B9720" i="1"/>
  <c r="A9720" i="1"/>
  <c r="D6149" i="1"/>
  <c r="C6149" i="1"/>
  <c r="B6149" i="1"/>
  <c r="A6149" i="1"/>
  <c r="D8863" i="1"/>
  <c r="C8863" i="1"/>
  <c r="B8863" i="1"/>
  <c r="A8863" i="1"/>
  <c r="D9097" i="1"/>
  <c r="B9097" i="1"/>
  <c r="A9097" i="1"/>
  <c r="D6391" i="1"/>
  <c r="B6391" i="1"/>
  <c r="A6391" i="1"/>
  <c r="D14399" i="1"/>
  <c r="A14399" i="1"/>
  <c r="D11871" i="1"/>
  <c r="B11871" i="1"/>
  <c r="A11871" i="1"/>
  <c r="D14548" i="1"/>
  <c r="B14548" i="1"/>
  <c r="A14548" i="1"/>
  <c r="D16461" i="1"/>
  <c r="B16461" i="1"/>
  <c r="A16461" i="1"/>
  <c r="D13732" i="1"/>
  <c r="C13732" i="1"/>
  <c r="B13732" i="1"/>
  <c r="A13732" i="1"/>
  <c r="D13398" i="1"/>
  <c r="B13398" i="1"/>
  <c r="A13398" i="1"/>
  <c r="D8558" i="1"/>
  <c r="C8558" i="1"/>
  <c r="B8558" i="1"/>
  <c r="A8558" i="1"/>
  <c r="D13831" i="1"/>
  <c r="C13831" i="1"/>
  <c r="B13831" i="1"/>
  <c r="A13831" i="1"/>
  <c r="D16933" i="1"/>
  <c r="C16933" i="1"/>
  <c r="B16933" i="1"/>
  <c r="A16933" i="1"/>
  <c r="D16764" i="1"/>
  <c r="C16764" i="1"/>
  <c r="B16764" i="1"/>
  <c r="A16764" i="1"/>
  <c r="D10687" i="1"/>
  <c r="B10687" i="1"/>
  <c r="A10687" i="1"/>
  <c r="D10879" i="1"/>
  <c r="B10879" i="1"/>
  <c r="A10879" i="1"/>
  <c r="D8735" i="1"/>
  <c r="C8735" i="1"/>
  <c r="B8735" i="1"/>
  <c r="A8735" i="1"/>
  <c r="D7168" i="1"/>
  <c r="B7168" i="1"/>
  <c r="A7168" i="1"/>
  <c r="D8479" i="1"/>
  <c r="B8479" i="1"/>
  <c r="A8479" i="1"/>
  <c r="D14294" i="1"/>
  <c r="C14294" i="1"/>
  <c r="B14294" i="1"/>
  <c r="A14294" i="1"/>
  <c r="D14206" i="1"/>
  <c r="C14206" i="1"/>
  <c r="B14206" i="1"/>
  <c r="A14206" i="1"/>
  <c r="D8200" i="1"/>
  <c r="B8200" i="1"/>
  <c r="A8200" i="1"/>
  <c r="D18203" i="1"/>
  <c r="B18203" i="1"/>
  <c r="A18203" i="1"/>
  <c r="D10841" i="1"/>
  <c r="B10841" i="1"/>
  <c r="A10841" i="1"/>
  <c r="D6061" i="1"/>
  <c r="A6061" i="1"/>
  <c r="D17093" i="1"/>
  <c r="B17093" i="1"/>
  <c r="A17093" i="1"/>
  <c r="D15986" i="1"/>
  <c r="B15986" i="1"/>
  <c r="A15986" i="1"/>
  <c r="D8185" i="1"/>
  <c r="C8185" i="1"/>
  <c r="B8185" i="1"/>
  <c r="A8185" i="1"/>
  <c r="D18568" i="1"/>
  <c r="B18568" i="1"/>
  <c r="A18568" i="1"/>
  <c r="D17119" i="1"/>
  <c r="B17119" i="1"/>
  <c r="A17119" i="1"/>
  <c r="D8600" i="1"/>
  <c r="B8600" i="1"/>
  <c r="A8600" i="1"/>
  <c r="D12652" i="1"/>
  <c r="B12652" i="1"/>
  <c r="A12652" i="1"/>
  <c r="D9405" i="1"/>
  <c r="B9405" i="1"/>
  <c r="A9405" i="1"/>
  <c r="D11533" i="1"/>
  <c r="C11533" i="1"/>
  <c r="B11533" i="1"/>
  <c r="A11533" i="1"/>
  <c r="D6015" i="1"/>
  <c r="B6015" i="1"/>
  <c r="A6015" i="1"/>
  <c r="D7667" i="1"/>
  <c r="B7667" i="1"/>
  <c r="A7667" i="1"/>
  <c r="D8684" i="1"/>
  <c r="B8684" i="1"/>
  <c r="A8684" i="1"/>
  <c r="D10942" i="1"/>
  <c r="B10942" i="1"/>
  <c r="A10942" i="1"/>
  <c r="D6113" i="1"/>
  <c r="B6113" i="1"/>
  <c r="A6113" i="1"/>
  <c r="D11027" i="1"/>
  <c r="B11027" i="1"/>
  <c r="A11027" i="1"/>
  <c r="D6189" i="1"/>
  <c r="B6189" i="1"/>
  <c r="A6189" i="1"/>
  <c r="D15648" i="1"/>
  <c r="B15648" i="1"/>
  <c r="A15648" i="1"/>
  <c r="D15454" i="1"/>
  <c r="C15454" i="1"/>
  <c r="B15454" i="1"/>
  <c r="A15454" i="1"/>
  <c r="D12577" i="1"/>
  <c r="C12577" i="1"/>
  <c r="B12577" i="1"/>
  <c r="A12577" i="1"/>
  <c r="D14298" i="1"/>
  <c r="C14298" i="1"/>
  <c r="B14298" i="1"/>
  <c r="A14298" i="1"/>
  <c r="D7475" i="1"/>
  <c r="A7475" i="1"/>
  <c r="D6487" i="1"/>
  <c r="B6487" i="1"/>
  <c r="A6487" i="1"/>
  <c r="D13129" i="1"/>
  <c r="C13129" i="1"/>
  <c r="B13129" i="1"/>
  <c r="A13129" i="1"/>
  <c r="D16589" i="1"/>
  <c r="A16589" i="1"/>
  <c r="D18141" i="1"/>
  <c r="B18141" i="1"/>
  <c r="A18141" i="1"/>
  <c r="D9096" i="1"/>
  <c r="B9096" i="1"/>
  <c r="A9096" i="1"/>
  <c r="D17891" i="1"/>
  <c r="C17891" i="1"/>
  <c r="B17891" i="1"/>
  <c r="A17891" i="1"/>
  <c r="D11097" i="1"/>
  <c r="C11097" i="1"/>
  <c r="B11097" i="1"/>
  <c r="A11097" i="1"/>
  <c r="D13225" i="1"/>
  <c r="B13225" i="1"/>
  <c r="A13225" i="1"/>
  <c r="D10000" i="1"/>
  <c r="B10000" i="1"/>
  <c r="A10000" i="1"/>
  <c r="D11337" i="1"/>
  <c r="C11337" i="1"/>
  <c r="B11337" i="1"/>
  <c r="A11337" i="1"/>
  <c r="D17205" i="1"/>
  <c r="A17205" i="1"/>
  <c r="D6273" i="1"/>
  <c r="B6273" i="1"/>
  <c r="A6273" i="1"/>
  <c r="D9460" i="1"/>
  <c r="B9460" i="1"/>
  <c r="A9460" i="1"/>
  <c r="D8647" i="1"/>
  <c r="C8647" i="1"/>
  <c r="B8647" i="1"/>
  <c r="A8647" i="1"/>
  <c r="D6502" i="1"/>
  <c r="C6502" i="1"/>
  <c r="B6502" i="1"/>
  <c r="A6502" i="1"/>
  <c r="D12944" i="1"/>
  <c r="C12944" i="1"/>
  <c r="B12944" i="1"/>
  <c r="A12944" i="1"/>
  <c r="D12469" i="1"/>
  <c r="A12469" i="1"/>
  <c r="D16574" i="1"/>
  <c r="B16574" i="1"/>
  <c r="A16574" i="1"/>
  <c r="D16953" i="1"/>
  <c r="A16953" i="1"/>
  <c r="D8354" i="1"/>
  <c r="B8354" i="1"/>
  <c r="A8354" i="1"/>
  <c r="D15447" i="1"/>
  <c r="C15447" i="1"/>
  <c r="B15447" i="1"/>
  <c r="A15447" i="1"/>
  <c r="D10213" i="1"/>
  <c r="C10213" i="1"/>
  <c r="B10213" i="1"/>
  <c r="A10213" i="1"/>
  <c r="D16788" i="1"/>
  <c r="B16788" i="1"/>
  <c r="A16788" i="1"/>
  <c r="D10418" i="1"/>
  <c r="B10418" i="1"/>
  <c r="A10418" i="1"/>
  <c r="D8621" i="1"/>
  <c r="B8621" i="1"/>
  <c r="A8621" i="1"/>
  <c r="D12594" i="1"/>
  <c r="B12594" i="1"/>
  <c r="A12594" i="1"/>
  <c r="D12252" i="1"/>
  <c r="C12252" i="1"/>
  <c r="B12252" i="1"/>
  <c r="A12252" i="1"/>
  <c r="D17412" i="1"/>
  <c r="B17412" i="1"/>
  <c r="A17412" i="1"/>
  <c r="D6026" i="1"/>
  <c r="C6026" i="1"/>
  <c r="B6026" i="1"/>
  <c r="A6026" i="1"/>
  <c r="D17887" i="1"/>
  <c r="C17887" i="1"/>
  <c r="B17887" i="1"/>
  <c r="A17887" i="1"/>
  <c r="D13173" i="1"/>
  <c r="B13173" i="1"/>
  <c r="A13173" i="1"/>
  <c r="D16196" i="1"/>
  <c r="A16196" i="1"/>
  <c r="D12002" i="1"/>
  <c r="A12002" i="1"/>
  <c r="D11847" i="1"/>
  <c r="B11847" i="1"/>
  <c r="A11847" i="1"/>
  <c r="D6169" i="1"/>
  <c r="B6169" i="1"/>
  <c r="A6169" i="1"/>
  <c r="D16577" i="1"/>
  <c r="C16577" i="1"/>
  <c r="B16577" i="1"/>
  <c r="A16577" i="1"/>
  <c r="D18493" i="1"/>
  <c r="B18493" i="1"/>
  <c r="A18493" i="1"/>
  <c r="D16388" i="1"/>
  <c r="C16388" i="1"/>
  <c r="B16388" i="1"/>
  <c r="A16388" i="1"/>
  <c r="D16978" i="1"/>
  <c r="B16978" i="1"/>
  <c r="A16978" i="1"/>
  <c r="D13561" i="1"/>
  <c r="C13561" i="1"/>
  <c r="B13561" i="1"/>
  <c r="A13561" i="1"/>
  <c r="D8500" i="1"/>
  <c r="B8500" i="1"/>
  <c r="A8500" i="1"/>
  <c r="D14710" i="1"/>
  <c r="B14710" i="1"/>
  <c r="A14710" i="1"/>
  <c r="D17495" i="1"/>
  <c r="B17495" i="1"/>
  <c r="A17495" i="1"/>
  <c r="D14653" i="1"/>
  <c r="B14653" i="1"/>
  <c r="A14653" i="1"/>
  <c r="D10630" i="1"/>
  <c r="B10630" i="1"/>
  <c r="A10630" i="1"/>
  <c r="D16853" i="1"/>
  <c r="C16853" i="1"/>
  <c r="B16853" i="1"/>
  <c r="A16853" i="1"/>
  <c r="D11385" i="1"/>
  <c r="B11385" i="1"/>
  <c r="A11385" i="1"/>
  <c r="D14270" i="1"/>
  <c r="C14270" i="1"/>
  <c r="B14270" i="1"/>
  <c r="A14270" i="1"/>
  <c r="D16981" i="1"/>
  <c r="B16981" i="1"/>
  <c r="A16981" i="1"/>
  <c r="D6708" i="1"/>
  <c r="B6708" i="1"/>
  <c r="A6708" i="1"/>
  <c r="D6622" i="1"/>
  <c r="B6622" i="1"/>
  <c r="A6622" i="1"/>
  <c r="D13694" i="1"/>
  <c r="C13694" i="1"/>
  <c r="B13694" i="1"/>
  <c r="A13694" i="1"/>
  <c r="D14666" i="1"/>
  <c r="B14666" i="1"/>
  <c r="A14666" i="1"/>
  <c r="D16437" i="1"/>
  <c r="C16437" i="1"/>
  <c r="B16437" i="1"/>
  <c r="A16437" i="1"/>
  <c r="D17055" i="1"/>
  <c r="B17055" i="1"/>
  <c r="A17055" i="1"/>
  <c r="D5884" i="1"/>
  <c r="B5884" i="1"/>
  <c r="A5884" i="1"/>
  <c r="D8309" i="1"/>
  <c r="C8309" i="1"/>
  <c r="B8309" i="1"/>
  <c r="A8309" i="1"/>
  <c r="D7958" i="1"/>
  <c r="B7958" i="1"/>
  <c r="A7958" i="1"/>
  <c r="D7925" i="1"/>
  <c r="B7925" i="1"/>
  <c r="A7925" i="1"/>
  <c r="D17475" i="1"/>
  <c r="B17475" i="1"/>
  <c r="A17475" i="1"/>
  <c r="D17153" i="1"/>
  <c r="B17153" i="1"/>
  <c r="A17153" i="1"/>
  <c r="D12792" i="1"/>
  <c r="C12792" i="1"/>
  <c r="B12792" i="1"/>
  <c r="A12792" i="1"/>
  <c r="D14227" i="1"/>
  <c r="B14227" i="1"/>
  <c r="A14227" i="1"/>
  <c r="D14038" i="1"/>
  <c r="B14038" i="1"/>
  <c r="A14038" i="1"/>
  <c r="D6353" i="1"/>
  <c r="C6353" i="1"/>
  <c r="B6353" i="1"/>
  <c r="A6353" i="1"/>
  <c r="D13130" i="1"/>
  <c r="B13130" i="1"/>
  <c r="A13130" i="1"/>
  <c r="D17630" i="1"/>
  <c r="B17630" i="1"/>
  <c r="A17630" i="1"/>
  <c r="D12588" i="1"/>
  <c r="C12588" i="1"/>
  <c r="B12588" i="1"/>
  <c r="A12588" i="1"/>
  <c r="D11153" i="1"/>
  <c r="C11153" i="1"/>
  <c r="B11153" i="1"/>
  <c r="A11153" i="1"/>
  <c r="D18136" i="1"/>
  <c r="B18136" i="1"/>
  <c r="A18136" i="1"/>
  <c r="D15580" i="1"/>
  <c r="B15580" i="1"/>
  <c r="A15580" i="1"/>
  <c r="D13019" i="1"/>
  <c r="B13019" i="1"/>
  <c r="A13019" i="1"/>
  <c r="D7623" i="1"/>
  <c r="B7623" i="1"/>
  <c r="A7623" i="1"/>
  <c r="D11211" i="1"/>
  <c r="C11211" i="1"/>
  <c r="B11211" i="1"/>
  <c r="A11211" i="1"/>
  <c r="D7906" i="1"/>
  <c r="C7906" i="1"/>
  <c r="B7906" i="1"/>
  <c r="A7906" i="1"/>
  <c r="D8858" i="1"/>
  <c r="C8858" i="1"/>
  <c r="B8858" i="1"/>
  <c r="A8858" i="1"/>
  <c r="D8143" i="1"/>
  <c r="B8143" i="1"/>
  <c r="A8143" i="1"/>
  <c r="D7534" i="1"/>
  <c r="B7534" i="1"/>
  <c r="A7534" i="1"/>
  <c r="D5926" i="1"/>
  <c r="C5926" i="1"/>
  <c r="B5926" i="1"/>
  <c r="A5926" i="1"/>
  <c r="D11562" i="1"/>
  <c r="B11562" i="1"/>
  <c r="A11562" i="1"/>
  <c r="D12840" i="1"/>
  <c r="B12840" i="1"/>
  <c r="A12840" i="1"/>
  <c r="D17279" i="1"/>
  <c r="C17279" i="1"/>
  <c r="B17279" i="1"/>
  <c r="A17279" i="1"/>
  <c r="D10872" i="1"/>
  <c r="C10872" i="1"/>
  <c r="B10872" i="1"/>
  <c r="A10872" i="1"/>
  <c r="D15940" i="1"/>
  <c r="B15940" i="1"/>
  <c r="A15940" i="1"/>
  <c r="D13638" i="1"/>
  <c r="C13638" i="1"/>
  <c r="B13638" i="1"/>
  <c r="A13638" i="1"/>
  <c r="D9620" i="1"/>
  <c r="B9620" i="1"/>
  <c r="A9620" i="1"/>
  <c r="D7561" i="1"/>
  <c r="C7561" i="1"/>
  <c r="B7561" i="1"/>
  <c r="A7561" i="1"/>
  <c r="D9201" i="1"/>
  <c r="B9201" i="1"/>
  <c r="A9201" i="1"/>
  <c r="D13521" i="1"/>
  <c r="C13521" i="1"/>
  <c r="B13521" i="1"/>
  <c r="A13521" i="1"/>
  <c r="D16285" i="1"/>
  <c r="B16285" i="1"/>
  <c r="A16285" i="1"/>
  <c r="D13788" i="1"/>
  <c r="B13788" i="1"/>
  <c r="A13788" i="1"/>
  <c r="D18348" i="1"/>
  <c r="B18348" i="1"/>
  <c r="A18348" i="1"/>
  <c r="D12794" i="1"/>
  <c r="B12794" i="1"/>
  <c r="A12794" i="1"/>
  <c r="D12248" i="1"/>
  <c r="B12248" i="1"/>
  <c r="A12248" i="1"/>
  <c r="D16951" i="1"/>
  <c r="B16951" i="1"/>
  <c r="A16951" i="1"/>
  <c r="D9194" i="1"/>
  <c r="C9194" i="1"/>
  <c r="B9194" i="1"/>
  <c r="A9194" i="1"/>
  <c r="D14634" i="1"/>
  <c r="B14634" i="1"/>
  <c r="A14634" i="1"/>
  <c r="D17709" i="1"/>
  <c r="B17709" i="1"/>
  <c r="A17709" i="1"/>
  <c r="D12373" i="1"/>
  <c r="B12373" i="1"/>
  <c r="A12373" i="1"/>
  <c r="D7509" i="1"/>
  <c r="C7509" i="1"/>
  <c r="B7509" i="1"/>
  <c r="A7509" i="1"/>
  <c r="D13702" i="1"/>
  <c r="B13702" i="1"/>
  <c r="A13702" i="1"/>
  <c r="D10426" i="1"/>
  <c r="B10426" i="1"/>
  <c r="A10426" i="1"/>
  <c r="D10031" i="1"/>
  <c r="A10031" i="1"/>
  <c r="D13741" i="1"/>
  <c r="A13741" i="1"/>
  <c r="D14224" i="1"/>
  <c r="B14224" i="1"/>
  <c r="A14224" i="1"/>
  <c r="D11282" i="1"/>
  <c r="C11282" i="1"/>
  <c r="B11282" i="1"/>
  <c r="A11282" i="1"/>
  <c r="D15448" i="1"/>
  <c r="C15448" i="1"/>
  <c r="B15448" i="1"/>
  <c r="A15448" i="1"/>
  <c r="D15773" i="1"/>
  <c r="C15773" i="1"/>
  <c r="B15773" i="1"/>
  <c r="A15773" i="1"/>
  <c r="D10026" i="1"/>
  <c r="C10026" i="1"/>
  <c r="B10026" i="1"/>
  <c r="A10026" i="1"/>
  <c r="D17358" i="1"/>
  <c r="B17358" i="1"/>
  <c r="A17358" i="1"/>
  <c r="D16675" i="1"/>
  <c r="B16675" i="1"/>
  <c r="A16675" i="1"/>
  <c r="D8332" i="1"/>
  <c r="C8332" i="1"/>
  <c r="B8332" i="1"/>
  <c r="A8332" i="1"/>
  <c r="D9589" i="1"/>
  <c r="C9589" i="1"/>
  <c r="B9589" i="1"/>
  <c r="A9589" i="1"/>
  <c r="D12580" i="1"/>
  <c r="C12580" i="1"/>
  <c r="B12580" i="1"/>
  <c r="A12580" i="1"/>
  <c r="D17298" i="1"/>
  <c r="B17298" i="1"/>
  <c r="A17298" i="1"/>
  <c r="D14156" i="1"/>
  <c r="C14156" i="1"/>
  <c r="B14156" i="1"/>
  <c r="A14156" i="1"/>
  <c r="D17387" i="1"/>
  <c r="B17387" i="1"/>
  <c r="A17387" i="1"/>
  <c r="D7863" i="1"/>
  <c r="B7863" i="1"/>
  <c r="A7863" i="1"/>
  <c r="D15571" i="1"/>
  <c r="C15571" i="1"/>
  <c r="B15571" i="1"/>
  <c r="A15571" i="1"/>
  <c r="D6414" i="1"/>
  <c r="B6414" i="1"/>
  <c r="A6414" i="1"/>
  <c r="D18340" i="1"/>
  <c r="B18340" i="1"/>
  <c r="A18340" i="1"/>
  <c r="D14567" i="1"/>
  <c r="C14567" i="1"/>
  <c r="B14567" i="1"/>
  <c r="A14567" i="1"/>
  <c r="D14235" i="1"/>
  <c r="B14235" i="1"/>
  <c r="A14235" i="1"/>
  <c r="D6467" i="1"/>
  <c r="B6467" i="1"/>
  <c r="A6467" i="1"/>
  <c r="D7904" i="1"/>
  <c r="C7904" i="1"/>
  <c r="B7904" i="1"/>
  <c r="A7904" i="1"/>
  <c r="D8871" i="1"/>
  <c r="B8871" i="1"/>
  <c r="A8871" i="1"/>
  <c r="D16610" i="1"/>
  <c r="B16610" i="1"/>
  <c r="A16610" i="1"/>
  <c r="D16950" i="1"/>
  <c r="B16950" i="1"/>
  <c r="A16950" i="1"/>
  <c r="D17905" i="1"/>
  <c r="C17905" i="1"/>
  <c r="B17905" i="1"/>
  <c r="A17905" i="1"/>
  <c r="D16674" i="1"/>
  <c r="B16674" i="1"/>
  <c r="A16674" i="1"/>
  <c r="D12411" i="1"/>
  <c r="B12411" i="1"/>
  <c r="A12411" i="1"/>
  <c r="D13017" i="1"/>
  <c r="B13017" i="1"/>
  <c r="A13017" i="1"/>
  <c r="D8704" i="1"/>
  <c r="B8704" i="1"/>
  <c r="A8704" i="1"/>
  <c r="D6297" i="1"/>
  <c r="B6297" i="1"/>
  <c r="A6297" i="1"/>
  <c r="D16692" i="1"/>
  <c r="C16692" i="1"/>
  <c r="B16692" i="1"/>
  <c r="A16692" i="1"/>
  <c r="D16678" i="1"/>
  <c r="B16678" i="1"/>
  <c r="A16678" i="1"/>
  <c r="D7898" i="1"/>
  <c r="B7898" i="1"/>
  <c r="A7898" i="1"/>
  <c r="D18445" i="1"/>
  <c r="B18445" i="1"/>
  <c r="A18445" i="1"/>
  <c r="D13774" i="1"/>
  <c r="C13774" i="1"/>
  <c r="B13774" i="1"/>
  <c r="A13774" i="1"/>
  <c r="D6913" i="1"/>
  <c r="B6913" i="1"/>
  <c r="A6913" i="1"/>
  <c r="D16899" i="1"/>
  <c r="B16899" i="1"/>
  <c r="A16899" i="1"/>
  <c r="D16398" i="1"/>
  <c r="C16398" i="1"/>
  <c r="B16398" i="1"/>
  <c r="A16398" i="1"/>
  <c r="D14273" i="1"/>
  <c r="B14273" i="1"/>
  <c r="A14273" i="1"/>
  <c r="D16840" i="1"/>
  <c r="C16840" i="1"/>
  <c r="B16840" i="1"/>
  <c r="A16840" i="1"/>
  <c r="D16569" i="1"/>
  <c r="B16569" i="1"/>
  <c r="A16569" i="1"/>
  <c r="D13018" i="1"/>
  <c r="C13018" i="1"/>
  <c r="B13018" i="1"/>
  <c r="A13018" i="1"/>
  <c r="D16734" i="1"/>
  <c r="C16734" i="1"/>
  <c r="B16734" i="1"/>
  <c r="A16734" i="1"/>
  <c r="D6115" i="1"/>
  <c r="B6115" i="1"/>
  <c r="A6115" i="1"/>
  <c r="D15526" i="1"/>
  <c r="B15526" i="1"/>
  <c r="A15526" i="1"/>
  <c r="D7329" i="1"/>
  <c r="B7329" i="1"/>
  <c r="A7329" i="1"/>
  <c r="D8052" i="1"/>
  <c r="B8052" i="1"/>
  <c r="A8052" i="1"/>
  <c r="D8306" i="1"/>
  <c r="B8306" i="1"/>
  <c r="A8306" i="1"/>
  <c r="D17556" i="1"/>
  <c r="B17556" i="1"/>
  <c r="A17556" i="1"/>
  <c r="D10991" i="1"/>
  <c r="B10991" i="1"/>
  <c r="A10991" i="1"/>
  <c r="D17723" i="1"/>
  <c r="B17723" i="1"/>
  <c r="A17723" i="1"/>
  <c r="D12321" i="1"/>
  <c r="B12321" i="1"/>
  <c r="A12321" i="1"/>
  <c r="D18223" i="1"/>
  <c r="B18223" i="1"/>
  <c r="A18223" i="1"/>
  <c r="D10214" i="1"/>
  <c r="C10214" i="1"/>
  <c r="B10214" i="1"/>
  <c r="A10214" i="1"/>
  <c r="D16851" i="1"/>
  <c r="C16851" i="1"/>
  <c r="B16851" i="1"/>
  <c r="A16851" i="1"/>
  <c r="D6642" i="1"/>
  <c r="B6642" i="1"/>
  <c r="A6642" i="1"/>
  <c r="D17524" i="1"/>
  <c r="B17524" i="1"/>
  <c r="A17524" i="1"/>
  <c r="D16715" i="1"/>
  <c r="B16715" i="1"/>
  <c r="A16715" i="1"/>
  <c r="D16837" i="1"/>
  <c r="C16837" i="1"/>
  <c r="B16837" i="1"/>
  <c r="A16837" i="1"/>
  <c r="D7213" i="1"/>
  <c r="B7213" i="1"/>
  <c r="A7213" i="1"/>
  <c r="D17295" i="1"/>
  <c r="C17295" i="1"/>
  <c r="B17295" i="1"/>
  <c r="A17295" i="1"/>
  <c r="D13087" i="1"/>
  <c r="C13087" i="1"/>
  <c r="B13087" i="1"/>
  <c r="A13087" i="1"/>
  <c r="D17858" i="1"/>
  <c r="B17858" i="1"/>
  <c r="A17858" i="1"/>
  <c r="D5935" i="1"/>
  <c r="B5935" i="1"/>
  <c r="A5935" i="1"/>
  <c r="D16601" i="1"/>
  <c r="B16601" i="1"/>
  <c r="A16601" i="1"/>
  <c r="D13552" i="1"/>
  <c r="B13552" i="1"/>
  <c r="A13552" i="1"/>
  <c r="D6417" i="1"/>
  <c r="B6417" i="1"/>
  <c r="A6417" i="1"/>
  <c r="D13027" i="1"/>
  <c r="B13027" i="1"/>
  <c r="A13027" i="1"/>
  <c r="D15344" i="1"/>
  <c r="B15344" i="1"/>
  <c r="A15344" i="1"/>
  <c r="D16672" i="1"/>
  <c r="C16672" i="1"/>
  <c r="B16672" i="1"/>
  <c r="A16672" i="1"/>
  <c r="D16832" i="1"/>
  <c r="B16832" i="1"/>
  <c r="A16832" i="1"/>
  <c r="D10377" i="1"/>
  <c r="B10377" i="1"/>
  <c r="A10377" i="1"/>
  <c r="D9863" i="1"/>
  <c r="A9863" i="1"/>
  <c r="D18254" i="1"/>
  <c r="C18254" i="1"/>
  <c r="B18254" i="1"/>
  <c r="A18254" i="1"/>
  <c r="D11544" i="1"/>
  <c r="B11544" i="1"/>
  <c r="A11544" i="1"/>
  <c r="D17802" i="1"/>
  <c r="B17802" i="1"/>
  <c r="A17802" i="1"/>
  <c r="D13433" i="1"/>
  <c r="C13433" i="1"/>
  <c r="B13433" i="1"/>
  <c r="A13433" i="1"/>
  <c r="D7520" i="1"/>
  <c r="B7520" i="1"/>
  <c r="A7520" i="1"/>
  <c r="D10882" i="1"/>
  <c r="B10882" i="1"/>
  <c r="A10882" i="1"/>
  <c r="D10124" i="1"/>
  <c r="C10124" i="1"/>
  <c r="B10124" i="1"/>
  <c r="A10124" i="1"/>
  <c r="D8851" i="1"/>
  <c r="B8851" i="1"/>
  <c r="A8851" i="1"/>
  <c r="D6996" i="1"/>
  <c r="C6996" i="1"/>
  <c r="B6996" i="1"/>
  <c r="A6996" i="1"/>
  <c r="D10761" i="1"/>
  <c r="B10761" i="1"/>
  <c r="A10761" i="1"/>
  <c r="D6492" i="1"/>
  <c r="C6492" i="1"/>
  <c r="B6492" i="1"/>
  <c r="A6492" i="1"/>
  <c r="D13033" i="1"/>
  <c r="B13033" i="1"/>
  <c r="A13033" i="1"/>
  <c r="D14029" i="1"/>
  <c r="B14029" i="1"/>
  <c r="A14029" i="1"/>
  <c r="D8964" i="1"/>
  <c r="C8964" i="1"/>
  <c r="B8964" i="1"/>
  <c r="A8964" i="1"/>
  <c r="D18347" i="1"/>
  <c r="B18347" i="1"/>
  <c r="A18347" i="1"/>
  <c r="D6144" i="1"/>
  <c r="C6144" i="1"/>
  <c r="B6144" i="1"/>
  <c r="A6144" i="1"/>
  <c r="D9112" i="1"/>
  <c r="B9112" i="1"/>
  <c r="A9112" i="1"/>
  <c r="D7072" i="1"/>
  <c r="C7072" i="1"/>
  <c r="B7072" i="1"/>
  <c r="A7072" i="1"/>
  <c r="D8311" i="1"/>
  <c r="B8311" i="1"/>
  <c r="A8311" i="1"/>
  <c r="D14272" i="1"/>
  <c r="C14272" i="1"/>
  <c r="B14272" i="1"/>
  <c r="A14272" i="1"/>
  <c r="D7208" i="1"/>
  <c r="B7208" i="1"/>
  <c r="A7208" i="1"/>
  <c r="D11058" i="1"/>
  <c r="B11058" i="1"/>
  <c r="A11058" i="1"/>
  <c r="D13972" i="1"/>
  <c r="B13972" i="1"/>
  <c r="A13972" i="1"/>
  <c r="D11581" i="1"/>
  <c r="C11581" i="1"/>
  <c r="B11581" i="1"/>
  <c r="A11581" i="1"/>
  <c r="D13404" i="1"/>
  <c r="B13404" i="1"/>
  <c r="A13404" i="1"/>
  <c r="D10704" i="1"/>
  <c r="B10704" i="1"/>
  <c r="A10704" i="1"/>
  <c r="D7567" i="1"/>
  <c r="B7567" i="1"/>
  <c r="A7567" i="1"/>
  <c r="D8151" i="1"/>
  <c r="B8151" i="1"/>
  <c r="A8151" i="1"/>
  <c r="D9341" i="1"/>
  <c r="B9341" i="1"/>
  <c r="A9341" i="1"/>
  <c r="D7908" i="1"/>
  <c r="C7908" i="1"/>
  <c r="B7908" i="1"/>
  <c r="A7908" i="1"/>
  <c r="D8840" i="1"/>
  <c r="C8840" i="1"/>
  <c r="B8840" i="1"/>
  <c r="A8840" i="1"/>
  <c r="D13889" i="1"/>
  <c r="C13889" i="1"/>
  <c r="B13889" i="1"/>
  <c r="A13889" i="1"/>
  <c r="D10976" i="1"/>
  <c r="A10976" i="1"/>
  <c r="D12315" i="1"/>
  <c r="C12315" i="1"/>
  <c r="B12315" i="1"/>
  <c r="A12315" i="1"/>
  <c r="D13518" i="1"/>
  <c r="C13518" i="1"/>
  <c r="B13518" i="1"/>
  <c r="A13518" i="1"/>
  <c r="D9684" i="1"/>
  <c r="B9684" i="1"/>
  <c r="A9684" i="1"/>
  <c r="D13324" i="1"/>
  <c r="B13324" i="1"/>
  <c r="A13324" i="1"/>
  <c r="D14444" i="1"/>
  <c r="B14444" i="1"/>
  <c r="A14444" i="1"/>
  <c r="D16903" i="1"/>
  <c r="C16903" i="1"/>
  <c r="B16903" i="1"/>
  <c r="A16903" i="1"/>
  <c r="D17482" i="1"/>
  <c r="B17482" i="1"/>
  <c r="A17482" i="1"/>
  <c r="D8853" i="1"/>
  <c r="B8853" i="1"/>
  <c r="A8853" i="1"/>
  <c r="D13490" i="1"/>
  <c r="C13490" i="1"/>
  <c r="B13490" i="1"/>
  <c r="A13490" i="1"/>
  <c r="D16799" i="1"/>
  <c r="B16799" i="1"/>
  <c r="A16799" i="1"/>
  <c r="D13011" i="1"/>
  <c r="B13011" i="1"/>
  <c r="A13011" i="1"/>
  <c r="D16390" i="1"/>
  <c r="B16390" i="1"/>
  <c r="A16390" i="1"/>
  <c r="D8459" i="1"/>
  <c r="B8459" i="1"/>
  <c r="A8459" i="1"/>
  <c r="D13482" i="1"/>
  <c r="C13482" i="1"/>
  <c r="B13482" i="1"/>
  <c r="A13482" i="1"/>
  <c r="D7698" i="1"/>
  <c r="B7698" i="1"/>
  <c r="A7698" i="1"/>
  <c r="D6111" i="1"/>
  <c r="B6111" i="1"/>
  <c r="A6111" i="1"/>
  <c r="D11749" i="1"/>
  <c r="B11749" i="1"/>
  <c r="A11749" i="1"/>
  <c r="D14716" i="1"/>
  <c r="B14716" i="1"/>
  <c r="A14716" i="1"/>
  <c r="D16385" i="1"/>
  <c r="C16385" i="1"/>
  <c r="B16385" i="1"/>
  <c r="A16385" i="1"/>
  <c r="D11666" i="1"/>
  <c r="B11666" i="1"/>
  <c r="A11666" i="1"/>
  <c r="D7093" i="1"/>
  <c r="B7093" i="1"/>
  <c r="A7093" i="1"/>
  <c r="D17096" i="1"/>
  <c r="C17096" i="1"/>
  <c r="B17096" i="1"/>
  <c r="A17096" i="1"/>
  <c r="D14726" i="1"/>
  <c r="B14726" i="1"/>
  <c r="A14726" i="1"/>
  <c r="D13621" i="1"/>
  <c r="B13621" i="1"/>
  <c r="A13621" i="1"/>
  <c r="D18678" i="1"/>
  <c r="B18678" i="1"/>
  <c r="A18678" i="1"/>
  <c r="D8902" i="1"/>
  <c r="C8902" i="1"/>
  <c r="B8902" i="1"/>
  <c r="A8902" i="1"/>
  <c r="D14179" i="1"/>
  <c r="C14179" i="1"/>
  <c r="B14179" i="1"/>
  <c r="A14179" i="1"/>
  <c r="D10679" i="1"/>
  <c r="B10679" i="1"/>
  <c r="A10679" i="1"/>
  <c r="D12936" i="1"/>
  <c r="B12936" i="1"/>
  <c r="A12936" i="1"/>
  <c r="D17354" i="1"/>
  <c r="B17354" i="1"/>
  <c r="A17354" i="1"/>
  <c r="D8614" i="1"/>
  <c r="C8614" i="1"/>
  <c r="B8614" i="1"/>
  <c r="A8614" i="1"/>
  <c r="D17041" i="1"/>
  <c r="C17041" i="1"/>
  <c r="B17041" i="1"/>
  <c r="A17041" i="1"/>
  <c r="D7236" i="1"/>
  <c r="B7236" i="1"/>
  <c r="A7236" i="1"/>
  <c r="D5929" i="1"/>
  <c r="B5929" i="1"/>
  <c r="A5929" i="1"/>
  <c r="D18149" i="1"/>
  <c r="B18149" i="1"/>
  <c r="A18149" i="1"/>
  <c r="D17589" i="1"/>
  <c r="B17589" i="1"/>
  <c r="A17589" i="1"/>
  <c r="D16657" i="1"/>
  <c r="B16657" i="1"/>
  <c r="A16657" i="1"/>
  <c r="D11198" i="1"/>
  <c r="B11198" i="1"/>
  <c r="A11198" i="1"/>
  <c r="D12655" i="1"/>
  <c r="B12655" i="1"/>
  <c r="A12655" i="1"/>
  <c r="D10751" i="1"/>
  <c r="B10751" i="1"/>
  <c r="A10751" i="1"/>
  <c r="D16599" i="1"/>
  <c r="C16599" i="1"/>
  <c r="B16599" i="1"/>
  <c r="A16599" i="1"/>
  <c r="D8859" i="1"/>
  <c r="C8859" i="1"/>
  <c r="B8859" i="1"/>
  <c r="A8859" i="1"/>
  <c r="D14681" i="1"/>
  <c r="B14681" i="1"/>
  <c r="A14681" i="1"/>
  <c r="D16694" i="1"/>
  <c r="B16694" i="1"/>
  <c r="A16694" i="1"/>
  <c r="D11248" i="1"/>
  <c r="B11248" i="1"/>
  <c r="A11248" i="1"/>
  <c r="D8801" i="1"/>
  <c r="C8801" i="1"/>
  <c r="B8801" i="1"/>
  <c r="A8801" i="1"/>
  <c r="D9529" i="1"/>
  <c r="B9529" i="1"/>
  <c r="A9529" i="1"/>
  <c r="D10589" i="1"/>
  <c r="B10589" i="1"/>
  <c r="A10589" i="1"/>
  <c r="D14694" i="1"/>
  <c r="B14694" i="1"/>
  <c r="A14694" i="1"/>
  <c r="D9105" i="1"/>
  <c r="B9105" i="1"/>
  <c r="A9105" i="1"/>
  <c r="D8842" i="1"/>
  <c r="C8842" i="1"/>
  <c r="B8842" i="1"/>
  <c r="A8842" i="1"/>
  <c r="D11154" i="1"/>
  <c r="C11154" i="1"/>
  <c r="B11154" i="1"/>
  <c r="A11154" i="1"/>
  <c r="D15989" i="1"/>
  <c r="B15989" i="1"/>
  <c r="A15989" i="1"/>
  <c r="D15719" i="1"/>
  <c r="B15719" i="1"/>
  <c r="A15719" i="1"/>
  <c r="D9742" i="1"/>
  <c r="C9742" i="1"/>
  <c r="B9742" i="1"/>
  <c r="A9742" i="1"/>
  <c r="D13400" i="1"/>
  <c r="C13400" i="1"/>
  <c r="B13400" i="1"/>
  <c r="A13400" i="1"/>
  <c r="D8807" i="1"/>
  <c r="B8807" i="1"/>
  <c r="A8807" i="1"/>
  <c r="D17900" i="1"/>
  <c r="B17900" i="1"/>
  <c r="A17900" i="1"/>
  <c r="D8047" i="1"/>
  <c r="C8047" i="1"/>
  <c r="B8047" i="1"/>
  <c r="A8047" i="1"/>
  <c r="D12309" i="1"/>
  <c r="C12309" i="1"/>
  <c r="B12309" i="1"/>
  <c r="A12309" i="1"/>
  <c r="D17121" i="1"/>
  <c r="B17121" i="1"/>
  <c r="A17121" i="1"/>
  <c r="D10497" i="1"/>
  <c r="A10497" i="1"/>
  <c r="D16531" i="1"/>
  <c r="C16531" i="1"/>
  <c r="B16531" i="1"/>
  <c r="A16531" i="1"/>
  <c r="D11759" i="1"/>
  <c r="C11759" i="1"/>
  <c r="B11759" i="1"/>
  <c r="A11759" i="1"/>
  <c r="D18811" i="1"/>
  <c r="C18811" i="1"/>
  <c r="B18811" i="1"/>
  <c r="A18811" i="1"/>
  <c r="D6532" i="1"/>
  <c r="B6532" i="1"/>
  <c r="A6532" i="1"/>
  <c r="D8296" i="1"/>
  <c r="B8296" i="1"/>
  <c r="A8296" i="1"/>
  <c r="D10066" i="1"/>
  <c r="B10066" i="1"/>
  <c r="A10066" i="1"/>
  <c r="D11812" i="1"/>
  <c r="C11812" i="1"/>
  <c r="B11812" i="1"/>
  <c r="A11812" i="1"/>
  <c r="D8420" i="1"/>
  <c r="B8420" i="1"/>
  <c r="A8420" i="1"/>
  <c r="D6459" i="1"/>
  <c r="B6459" i="1"/>
  <c r="A6459" i="1"/>
  <c r="D17394" i="1"/>
  <c r="B17394" i="1"/>
  <c r="A17394" i="1"/>
  <c r="D16476" i="1"/>
  <c r="C16476" i="1"/>
  <c r="B16476" i="1"/>
  <c r="A16476" i="1"/>
  <c r="D16783" i="1"/>
  <c r="C16783" i="1"/>
  <c r="B16783" i="1"/>
  <c r="A16783" i="1"/>
  <c r="D16561" i="1"/>
  <c r="C16561" i="1"/>
  <c r="B16561" i="1"/>
  <c r="A16561" i="1"/>
  <c r="D8548" i="1"/>
  <c r="B8548" i="1"/>
  <c r="A8548" i="1"/>
  <c r="D16496" i="1"/>
  <c r="B16496" i="1"/>
  <c r="A16496" i="1"/>
  <c r="D18704" i="1"/>
  <c r="B18704" i="1"/>
  <c r="A18704" i="1"/>
  <c r="D15611" i="1"/>
  <c r="B15611" i="1"/>
  <c r="A15611" i="1"/>
  <c r="D17532" i="1"/>
  <c r="B17532" i="1"/>
  <c r="A17532" i="1"/>
  <c r="D7924" i="1"/>
  <c r="C7924" i="1"/>
  <c r="B7924" i="1"/>
  <c r="A7924" i="1"/>
  <c r="D13016" i="1"/>
  <c r="B13016" i="1"/>
  <c r="A13016" i="1"/>
  <c r="D17421" i="1"/>
  <c r="B17421" i="1"/>
  <c r="A17421" i="1"/>
  <c r="D11638" i="1"/>
  <c r="C11638" i="1"/>
  <c r="B11638" i="1"/>
  <c r="A11638" i="1"/>
  <c r="D12989" i="1"/>
  <c r="B12989" i="1"/>
  <c r="A12989" i="1"/>
  <c r="D14264" i="1"/>
  <c r="C14264" i="1"/>
  <c r="B14264" i="1"/>
  <c r="A14264" i="1"/>
  <c r="D14689" i="1"/>
  <c r="C14689" i="1"/>
  <c r="B14689" i="1"/>
  <c r="A14689" i="1"/>
  <c r="D8269" i="1"/>
  <c r="C8269" i="1"/>
  <c r="B8269" i="1"/>
  <c r="A8269" i="1"/>
  <c r="D12213" i="1"/>
  <c r="B12213" i="1"/>
  <c r="A12213" i="1"/>
  <c r="D14633" i="1"/>
  <c r="B14633" i="1"/>
  <c r="A14633" i="1"/>
  <c r="D6470" i="1"/>
  <c r="C6470" i="1"/>
  <c r="B6470" i="1"/>
  <c r="A6470" i="1"/>
  <c r="D8008" i="1"/>
  <c r="B8008" i="1"/>
  <c r="A8008" i="1"/>
  <c r="D14459" i="1"/>
  <c r="B14459" i="1"/>
  <c r="A14459" i="1"/>
  <c r="D9695" i="1"/>
  <c r="B9695" i="1"/>
  <c r="A9695" i="1"/>
  <c r="D12340" i="1"/>
  <c r="C12340" i="1"/>
  <c r="B12340" i="1"/>
  <c r="A12340" i="1"/>
  <c r="D7834" i="1"/>
  <c r="B7834" i="1"/>
  <c r="A7834" i="1"/>
  <c r="D14194" i="1"/>
  <c r="C14194" i="1"/>
  <c r="B14194" i="1"/>
  <c r="A14194" i="1"/>
  <c r="D7559" i="1"/>
  <c r="B7559" i="1"/>
  <c r="A7559" i="1"/>
  <c r="D12600" i="1"/>
  <c r="B12600" i="1"/>
  <c r="A12600" i="1"/>
  <c r="D17904" i="1"/>
  <c r="C17904" i="1"/>
  <c r="B17904" i="1"/>
  <c r="A17904" i="1"/>
  <c r="D6747" i="1"/>
  <c r="B6747" i="1"/>
  <c r="A6747" i="1"/>
  <c r="D13816" i="1"/>
  <c r="B13816" i="1"/>
  <c r="A13816" i="1"/>
  <c r="D13593" i="1"/>
  <c r="C13593" i="1"/>
  <c r="B13593" i="1"/>
  <c r="A13593" i="1"/>
  <c r="D17824" i="1"/>
  <c r="C17824" i="1"/>
  <c r="B17824" i="1"/>
  <c r="A17824" i="1"/>
  <c r="D6790" i="1"/>
  <c r="B6790" i="1"/>
  <c r="A6790" i="1"/>
  <c r="D18642" i="1"/>
  <c r="B18642" i="1"/>
  <c r="A18642" i="1"/>
  <c r="D13078" i="1"/>
  <c r="B13078" i="1"/>
  <c r="A13078" i="1"/>
  <c r="D16486" i="1"/>
  <c r="C16486" i="1"/>
  <c r="B16486" i="1"/>
  <c r="A16486" i="1"/>
  <c r="D12397" i="1"/>
  <c r="B12397" i="1"/>
  <c r="A12397" i="1"/>
  <c r="D11854" i="1"/>
  <c r="C11854" i="1"/>
  <c r="B11854" i="1"/>
  <c r="A11854" i="1"/>
  <c r="D13536" i="1"/>
  <c r="C13536" i="1"/>
  <c r="B13536" i="1"/>
  <c r="A13536" i="1"/>
  <c r="D14511" i="1"/>
  <c r="C14511" i="1"/>
  <c r="B14511" i="1"/>
  <c r="A14511" i="1"/>
  <c r="D16618" i="1"/>
  <c r="B16618" i="1"/>
  <c r="A16618" i="1"/>
  <c r="D11683" i="1"/>
  <c r="B11683" i="1"/>
  <c r="A11683" i="1"/>
  <c r="D17800" i="1"/>
  <c r="C17800" i="1"/>
  <c r="B17800" i="1"/>
  <c r="A17800" i="1"/>
  <c r="D16095" i="1"/>
  <c r="B16095" i="1"/>
  <c r="A16095" i="1"/>
  <c r="D11098" i="1"/>
  <c r="B11098" i="1"/>
  <c r="A11098" i="1"/>
  <c r="D18604" i="1"/>
  <c r="B18604" i="1"/>
  <c r="A18604" i="1"/>
  <c r="D14359" i="1"/>
  <c r="B14359" i="1"/>
  <c r="A14359" i="1"/>
  <c r="D11550" i="1"/>
  <c r="C11550" i="1"/>
  <c r="B11550" i="1"/>
  <c r="A11550" i="1"/>
  <c r="D15438" i="1"/>
  <c r="B15438" i="1"/>
  <c r="A15438" i="1"/>
  <c r="D13454" i="1"/>
  <c r="B13454" i="1"/>
  <c r="A13454" i="1"/>
  <c r="D13675" i="1"/>
  <c r="C13675" i="1"/>
  <c r="B13675" i="1"/>
  <c r="A13675" i="1"/>
  <c r="D14507" i="1"/>
  <c r="B14507" i="1"/>
  <c r="A14507" i="1"/>
  <c r="D13716" i="1"/>
  <c r="C13716" i="1"/>
  <c r="B13716" i="1"/>
  <c r="A13716" i="1"/>
  <c r="D7357" i="1"/>
  <c r="B7357" i="1"/>
  <c r="A7357" i="1"/>
  <c r="D17189" i="1"/>
  <c r="B17189" i="1"/>
  <c r="A17189" i="1"/>
  <c r="D16669" i="1"/>
  <c r="C16669" i="1"/>
  <c r="B16669" i="1"/>
  <c r="A16669" i="1"/>
  <c r="D16369" i="1"/>
  <c r="B16369" i="1"/>
  <c r="A16369" i="1"/>
  <c r="D12704" i="1"/>
  <c r="B12704" i="1"/>
  <c r="A12704" i="1"/>
  <c r="D12540" i="1"/>
  <c r="A12540" i="1"/>
  <c r="D11894" i="1"/>
  <c r="B11894" i="1"/>
  <c r="A11894" i="1"/>
  <c r="D9452" i="1"/>
  <c r="B9452" i="1"/>
  <c r="A9452" i="1"/>
  <c r="D17984" i="1"/>
  <c r="B17984" i="1"/>
  <c r="A17984" i="1"/>
  <c r="D11709" i="1"/>
  <c r="B11709" i="1"/>
  <c r="A11709" i="1"/>
  <c r="D6927" i="1"/>
  <c r="B6927" i="1"/>
  <c r="A6927" i="1"/>
  <c r="D5876" i="1"/>
  <c r="B5876" i="1"/>
  <c r="A5876" i="1"/>
  <c r="D17272" i="1"/>
  <c r="B17272" i="1"/>
  <c r="A17272" i="1"/>
  <c r="D9228" i="1"/>
  <c r="B9228" i="1"/>
  <c r="A9228" i="1"/>
  <c r="D9002" i="1"/>
  <c r="B9002" i="1"/>
  <c r="A9002" i="1"/>
  <c r="D18300" i="1"/>
  <c r="C18300" i="1"/>
  <c r="B18300" i="1"/>
  <c r="A18300" i="1"/>
  <c r="D18375" i="1"/>
  <c r="B18375" i="1"/>
  <c r="A18375" i="1"/>
  <c r="D6214" i="1"/>
  <c r="B6214" i="1"/>
  <c r="A6214" i="1"/>
  <c r="D16178" i="1"/>
  <c r="B16178" i="1"/>
  <c r="A16178" i="1"/>
  <c r="D11822" i="1"/>
  <c r="C11822" i="1"/>
  <c r="B11822" i="1"/>
  <c r="A11822" i="1"/>
  <c r="D10571" i="1"/>
  <c r="B10571" i="1"/>
  <c r="A10571" i="1"/>
  <c r="D16361" i="1"/>
  <c r="C16361" i="1"/>
  <c r="B16361" i="1"/>
  <c r="A16361" i="1"/>
  <c r="D16823" i="1"/>
  <c r="B16823" i="1"/>
  <c r="A16823" i="1"/>
  <c r="D11090" i="1"/>
  <c r="C11090" i="1"/>
  <c r="B11090" i="1"/>
  <c r="A11090" i="1"/>
  <c r="D14374" i="1"/>
  <c r="C14374" i="1"/>
  <c r="B14374" i="1"/>
  <c r="A14374" i="1"/>
  <c r="D14292" i="1"/>
  <c r="B14292" i="1"/>
  <c r="A14292" i="1"/>
  <c r="D14520" i="1"/>
  <c r="C14520" i="1"/>
  <c r="B14520" i="1"/>
  <c r="A14520" i="1"/>
  <c r="D6369" i="1"/>
  <c r="C6369" i="1"/>
  <c r="B6369" i="1"/>
  <c r="A6369" i="1"/>
  <c r="D18809" i="1"/>
  <c r="B18809" i="1"/>
  <c r="A18809" i="1"/>
  <c r="D17076" i="1"/>
  <c r="C17076" i="1"/>
  <c r="B17076" i="1"/>
  <c r="A17076" i="1"/>
  <c r="D6194" i="1"/>
  <c r="B6194" i="1"/>
  <c r="A6194" i="1"/>
  <c r="D13602" i="1"/>
  <c r="B13602" i="1"/>
  <c r="A13602" i="1"/>
  <c r="D16131" i="1"/>
  <c r="B16131" i="1"/>
  <c r="A16131" i="1"/>
  <c r="D11694" i="1"/>
  <c r="B11694" i="1"/>
  <c r="A11694" i="1"/>
  <c r="D6914" i="1"/>
  <c r="B6914" i="1"/>
  <c r="A6914" i="1"/>
  <c r="D8802" i="1"/>
  <c r="C8802" i="1"/>
  <c r="B8802" i="1"/>
  <c r="A8802" i="1"/>
  <c r="D12298" i="1"/>
  <c r="C12298" i="1"/>
  <c r="B12298" i="1"/>
  <c r="A12298" i="1"/>
  <c r="D8499" i="1"/>
  <c r="C8499" i="1"/>
  <c r="B8499" i="1"/>
  <c r="A8499" i="1"/>
  <c r="D8498" i="1"/>
  <c r="B8498" i="1"/>
  <c r="A8498" i="1"/>
  <c r="D16499" i="1"/>
  <c r="C16499" i="1"/>
  <c r="B16499" i="1"/>
  <c r="A16499" i="1"/>
  <c r="D5887" i="1"/>
  <c r="C5887" i="1"/>
  <c r="B5887" i="1"/>
  <c r="A5887" i="1"/>
  <c r="D7937" i="1"/>
  <c r="C7937" i="1"/>
  <c r="B7937" i="1"/>
  <c r="A7937" i="1"/>
  <c r="D16532" i="1"/>
  <c r="C16532" i="1"/>
  <c r="B16532" i="1"/>
  <c r="A16532" i="1"/>
  <c r="D8202" i="1"/>
  <c r="C8202" i="1"/>
  <c r="B8202" i="1"/>
  <c r="A8202" i="1"/>
  <c r="D15553" i="1"/>
  <c r="C15553" i="1"/>
  <c r="B15553" i="1"/>
  <c r="A15553" i="1"/>
  <c r="D16554" i="1"/>
  <c r="C16554" i="1"/>
  <c r="B16554" i="1"/>
  <c r="A16554" i="1"/>
  <c r="D13512" i="1"/>
  <c r="B13512" i="1"/>
  <c r="A13512" i="1"/>
  <c r="D8540" i="1"/>
  <c r="C8540" i="1"/>
  <c r="B8540" i="1"/>
  <c r="A8540" i="1"/>
  <c r="D13211" i="1"/>
  <c r="B13211" i="1"/>
  <c r="A13211" i="1"/>
  <c r="D12957" i="1"/>
  <c r="C12957" i="1"/>
  <c r="B12957" i="1"/>
  <c r="A12957" i="1"/>
  <c r="D12778" i="1"/>
  <c r="B12778" i="1"/>
  <c r="A12778" i="1"/>
  <c r="D9563" i="1"/>
  <c r="C9563" i="1"/>
  <c r="B9563" i="1"/>
  <c r="A9563" i="1"/>
  <c r="D9153" i="1"/>
  <c r="B9153" i="1"/>
  <c r="A9153" i="1"/>
  <c r="D12302" i="1"/>
  <c r="C12302" i="1"/>
  <c r="B12302" i="1"/>
  <c r="A12302" i="1"/>
  <c r="D8568" i="1"/>
  <c r="B8568" i="1"/>
  <c r="A8568" i="1"/>
  <c r="D5943" i="1"/>
  <c r="C5943" i="1"/>
  <c r="B5943" i="1"/>
  <c r="A5943" i="1"/>
  <c r="D16751" i="1"/>
  <c r="B16751" i="1"/>
  <c r="A16751" i="1"/>
  <c r="D12553" i="1"/>
  <c r="C12553" i="1"/>
  <c r="B12553" i="1"/>
  <c r="A12553" i="1"/>
  <c r="D6021" i="1"/>
  <c r="C6021" i="1"/>
  <c r="B6021" i="1"/>
  <c r="A6021" i="1"/>
  <c r="D13569" i="1"/>
  <c r="B13569" i="1"/>
  <c r="A13569" i="1"/>
  <c r="D16831" i="1"/>
  <c r="C16831" i="1"/>
  <c r="B16831" i="1"/>
  <c r="A16831" i="1"/>
  <c r="D18272" i="1"/>
  <c r="C18272" i="1"/>
  <c r="B18272" i="1"/>
  <c r="A18272" i="1"/>
  <c r="D9053" i="1"/>
  <c r="B9053" i="1"/>
  <c r="A9053" i="1"/>
  <c r="D14075" i="1"/>
  <c r="C14075" i="1"/>
  <c r="B14075" i="1"/>
  <c r="A14075" i="1"/>
  <c r="D14025" i="1"/>
  <c r="B14025" i="1"/>
  <c r="A14025" i="1"/>
  <c r="D14375" i="1"/>
  <c r="C14375" i="1"/>
  <c r="B14375" i="1"/>
  <c r="A14375" i="1"/>
  <c r="D14543" i="1"/>
  <c r="C14543" i="1"/>
  <c r="B14543" i="1"/>
  <c r="A14543" i="1"/>
  <c r="D16553" i="1"/>
  <c r="B16553" i="1"/>
  <c r="A16553" i="1"/>
  <c r="D14737" i="1"/>
  <c r="B14737" i="1"/>
  <c r="A14737" i="1"/>
  <c r="D9541" i="1"/>
  <c r="B9541" i="1"/>
  <c r="A9541" i="1"/>
  <c r="D16055" i="1"/>
  <c r="B16055" i="1"/>
  <c r="A16055" i="1"/>
  <c r="D13161" i="1"/>
  <c r="B13161" i="1"/>
  <c r="A13161" i="1"/>
  <c r="D15153" i="1"/>
  <c r="A15153" i="1"/>
  <c r="D11715" i="1"/>
  <c r="C11715" i="1"/>
  <c r="B11715" i="1"/>
  <c r="A11715" i="1"/>
  <c r="D17712" i="1"/>
  <c r="C17712" i="1"/>
  <c r="B17712" i="1"/>
  <c r="A17712" i="1"/>
  <c r="D12091" i="1"/>
  <c r="B12091" i="1"/>
  <c r="A12091" i="1"/>
  <c r="D17700" i="1"/>
  <c r="B17700" i="1"/>
  <c r="A17700" i="1"/>
  <c r="D16608" i="1"/>
  <c r="B16608" i="1"/>
  <c r="A16608" i="1"/>
  <c r="D10102" i="1"/>
  <c r="B10102" i="1"/>
  <c r="A10102" i="1"/>
  <c r="D8526" i="1"/>
  <c r="C8526" i="1"/>
  <c r="B8526" i="1"/>
  <c r="A8526" i="1"/>
  <c r="D11675" i="1"/>
  <c r="C11675" i="1"/>
  <c r="B11675" i="1"/>
  <c r="A11675" i="1"/>
  <c r="D11029" i="1"/>
  <c r="B11029" i="1"/>
  <c r="A11029" i="1"/>
  <c r="D13651" i="1"/>
  <c r="B13651" i="1"/>
  <c r="A13651" i="1"/>
  <c r="D14220" i="1"/>
  <c r="B14220" i="1"/>
  <c r="A14220" i="1"/>
  <c r="D16605" i="1"/>
  <c r="B16605" i="1"/>
  <c r="A16605" i="1"/>
  <c r="D11727" i="1"/>
  <c r="B11727" i="1"/>
  <c r="A11727" i="1"/>
  <c r="D7159" i="1"/>
  <c r="B7159" i="1"/>
  <c r="A7159" i="1"/>
  <c r="D14740" i="1"/>
  <c r="C14740" i="1"/>
  <c r="B14740" i="1"/>
  <c r="A14740" i="1"/>
  <c r="D16041" i="1"/>
  <c r="B16041" i="1"/>
  <c r="A16041" i="1"/>
  <c r="D6677" i="1"/>
  <c r="A6677" i="1"/>
  <c r="D17746" i="1"/>
  <c r="B17746" i="1"/>
  <c r="A17746" i="1"/>
  <c r="D13731" i="1"/>
  <c r="B13731" i="1"/>
  <c r="A13731" i="1"/>
  <c r="D15441" i="1"/>
  <c r="B15441" i="1"/>
  <c r="A15441" i="1"/>
  <c r="D11939" i="1"/>
  <c r="A11939" i="1"/>
  <c r="D8913" i="1"/>
  <c r="B8913" i="1"/>
  <c r="A8913" i="1"/>
  <c r="D13428" i="1"/>
  <c r="B13428" i="1"/>
  <c r="A13428" i="1"/>
  <c r="D8866" i="1"/>
  <c r="B8866" i="1"/>
  <c r="A8866" i="1"/>
  <c r="D14569" i="1"/>
  <c r="B14569" i="1"/>
  <c r="A14569" i="1"/>
  <c r="D9781" i="1"/>
  <c r="A9781" i="1"/>
  <c r="D12516" i="1"/>
  <c r="B12516" i="1"/>
  <c r="A12516" i="1"/>
  <c r="D14352" i="1"/>
  <c r="C14352" i="1"/>
  <c r="B14352" i="1"/>
  <c r="A14352" i="1"/>
  <c r="D8134" i="1"/>
  <c r="B8134" i="1"/>
  <c r="A8134" i="1"/>
  <c r="D13595" i="1"/>
  <c r="B13595" i="1"/>
  <c r="A13595" i="1"/>
  <c r="D9291" i="1"/>
  <c r="B9291" i="1"/>
  <c r="A9291" i="1"/>
  <c r="D10021" i="1"/>
  <c r="A10021" i="1"/>
  <c r="D6013" i="1"/>
  <c r="C6013" i="1"/>
  <c r="B6013" i="1"/>
  <c r="A6013" i="1"/>
  <c r="D10506" i="1"/>
  <c r="B10506" i="1"/>
  <c r="A10506" i="1"/>
  <c r="D11306" i="1"/>
  <c r="B11306" i="1"/>
  <c r="A11306" i="1"/>
  <c r="D17247" i="1"/>
  <c r="B17247" i="1"/>
  <c r="A17247" i="1"/>
  <c r="D9836" i="1"/>
  <c r="B9836" i="1"/>
  <c r="A9836" i="1"/>
  <c r="D17964" i="1"/>
  <c r="B17964" i="1"/>
  <c r="A17964" i="1"/>
  <c r="D17033" i="1"/>
  <c r="B17033" i="1"/>
  <c r="A17033" i="1"/>
  <c r="D13091" i="1"/>
  <c r="C13091" i="1"/>
  <c r="B13091" i="1"/>
  <c r="A13091" i="1"/>
  <c r="D7856" i="1"/>
  <c r="C7856" i="1"/>
  <c r="B7856" i="1"/>
  <c r="A7856" i="1"/>
  <c r="D10006" i="1"/>
  <c r="B10006" i="1"/>
  <c r="A10006" i="1"/>
  <c r="D10185" i="1"/>
  <c r="C10185" i="1"/>
  <c r="B10185" i="1"/>
  <c r="A10185" i="1"/>
  <c r="D16663" i="1"/>
  <c r="C16663" i="1"/>
  <c r="B16663" i="1"/>
  <c r="A16663" i="1"/>
  <c r="D7411" i="1"/>
  <c r="B7411" i="1"/>
  <c r="A7411" i="1"/>
  <c r="D10590" i="1"/>
  <c r="B10590" i="1"/>
  <c r="A10590" i="1"/>
  <c r="D10626" i="1"/>
  <c r="B10626" i="1"/>
  <c r="A10626" i="1"/>
  <c r="D12322" i="1"/>
  <c r="B12322" i="1"/>
  <c r="A12322" i="1"/>
  <c r="D16904" i="1"/>
  <c r="B16904" i="1"/>
  <c r="A16904" i="1"/>
  <c r="D8201" i="1"/>
  <c r="B8201" i="1"/>
  <c r="A8201" i="1"/>
  <c r="D8458" i="1"/>
  <c r="B8458" i="1"/>
  <c r="A8458" i="1"/>
  <c r="D17141" i="1"/>
  <c r="B17141" i="1"/>
  <c r="A17141" i="1"/>
  <c r="D15244" i="1"/>
  <c r="B15244" i="1"/>
  <c r="A15244" i="1"/>
  <c r="D8911" i="1"/>
  <c r="C8911" i="1"/>
  <c r="B8911" i="1"/>
  <c r="A8911" i="1"/>
  <c r="D7210" i="1"/>
  <c r="B7210" i="1"/>
  <c r="A7210" i="1"/>
  <c r="D10226" i="1"/>
  <c r="B10226" i="1"/>
  <c r="A10226" i="1"/>
  <c r="D9113" i="1"/>
  <c r="B9113" i="1"/>
  <c r="A9113" i="1"/>
  <c r="D13516" i="1"/>
  <c r="B13516" i="1"/>
  <c r="A13516" i="1"/>
  <c r="D14406" i="1"/>
  <c r="B14406" i="1"/>
  <c r="A14406" i="1"/>
  <c r="D11208" i="1"/>
  <c r="C11208" i="1"/>
  <c r="B11208" i="1"/>
  <c r="A11208" i="1"/>
  <c r="D13471" i="1"/>
  <c r="B13471" i="1"/>
  <c r="A13471" i="1"/>
  <c r="D15564" i="1"/>
  <c r="B15564" i="1"/>
  <c r="A15564" i="1"/>
  <c r="D7173" i="1"/>
  <c r="A7173" i="1"/>
  <c r="D12999" i="1"/>
  <c r="C12999" i="1"/>
  <c r="B12999" i="1"/>
  <c r="A12999" i="1"/>
  <c r="D6867" i="1"/>
  <c r="B6867" i="1"/>
  <c r="A6867" i="1"/>
  <c r="D12985" i="1"/>
  <c r="C12985" i="1"/>
  <c r="B12985" i="1"/>
  <c r="A12985" i="1"/>
  <c r="D15895" i="1"/>
  <c r="B15895" i="1"/>
  <c r="A15895" i="1"/>
  <c r="D14566" i="1"/>
  <c r="B14566" i="1"/>
  <c r="A14566" i="1"/>
  <c r="D7923" i="1"/>
  <c r="C7923" i="1"/>
  <c r="B7923" i="1"/>
  <c r="A7923" i="1"/>
  <c r="D10137" i="1"/>
  <c r="B10137" i="1"/>
  <c r="A10137" i="1"/>
  <c r="D7928" i="1"/>
  <c r="C7928" i="1"/>
  <c r="B7928" i="1"/>
  <c r="A7928" i="1"/>
  <c r="D13080" i="1"/>
  <c r="B13080" i="1"/>
  <c r="A13080" i="1"/>
  <c r="D16389" i="1"/>
  <c r="B16389" i="1"/>
  <c r="A16389" i="1"/>
  <c r="D18112" i="1"/>
  <c r="A18112" i="1"/>
  <c r="D10675" i="1"/>
  <c r="A10675" i="1"/>
  <c r="D14254" i="1"/>
  <c r="C14254" i="1"/>
  <c r="B14254" i="1"/>
  <c r="A14254" i="1"/>
  <c r="D16762" i="1"/>
  <c r="C16762" i="1"/>
  <c r="B16762" i="1"/>
  <c r="A16762" i="1"/>
  <c r="D12812" i="1"/>
  <c r="B12812" i="1"/>
  <c r="A12812" i="1"/>
  <c r="D11678" i="1"/>
  <c r="C11678" i="1"/>
  <c r="B11678" i="1"/>
  <c r="A11678" i="1"/>
  <c r="D10297" i="1"/>
  <c r="B10297" i="1"/>
  <c r="A10297" i="1"/>
  <c r="D18196" i="1"/>
  <c r="B18196" i="1"/>
  <c r="A18196" i="1"/>
  <c r="D10171" i="1"/>
  <c r="B10171" i="1"/>
  <c r="A10171" i="1"/>
  <c r="D16359" i="1"/>
  <c r="B16359" i="1"/>
  <c r="A16359" i="1"/>
  <c r="D12941" i="1"/>
  <c r="B12941" i="1"/>
  <c r="A12941" i="1"/>
  <c r="D10493" i="1"/>
  <c r="B10493" i="1"/>
  <c r="A10493" i="1"/>
  <c r="D7789" i="1"/>
  <c r="B7789" i="1"/>
  <c r="A7789" i="1"/>
  <c r="D6315" i="1"/>
  <c r="B6315" i="1"/>
  <c r="A6315" i="1"/>
  <c r="D7884" i="1"/>
  <c r="C7884" i="1"/>
  <c r="B7884" i="1"/>
  <c r="A7884" i="1"/>
  <c r="D17045" i="1"/>
  <c r="B17045" i="1"/>
  <c r="A17045" i="1"/>
  <c r="D13654" i="1"/>
  <c r="C13654" i="1"/>
  <c r="B13654" i="1"/>
  <c r="A13654" i="1"/>
  <c r="D8593" i="1"/>
  <c r="C8593" i="1"/>
  <c r="B8593" i="1"/>
  <c r="A8593" i="1"/>
  <c r="D8860" i="1"/>
  <c r="B8860" i="1"/>
  <c r="A8860" i="1"/>
  <c r="D11252" i="1"/>
  <c r="B11252" i="1"/>
  <c r="A11252" i="1"/>
  <c r="D16375" i="1"/>
  <c r="C16375" i="1"/>
  <c r="B16375" i="1"/>
  <c r="A16375" i="1"/>
  <c r="D5957" i="1"/>
  <c r="B5957" i="1"/>
  <c r="A5957" i="1"/>
  <c r="D7090" i="1"/>
  <c r="C7090" i="1"/>
  <c r="B7090" i="1"/>
  <c r="A7090" i="1"/>
  <c r="D7243" i="1"/>
  <c r="B7243" i="1"/>
  <c r="A7243" i="1"/>
  <c r="D12953" i="1"/>
  <c r="C12953" i="1"/>
  <c r="B12953" i="1"/>
  <c r="A12953" i="1"/>
  <c r="D10721" i="1"/>
  <c r="B10721" i="1"/>
  <c r="A10721" i="1"/>
  <c r="D10900" i="1"/>
  <c r="B10900" i="1"/>
  <c r="A10900" i="1"/>
  <c r="D18283" i="1"/>
  <c r="C18283" i="1"/>
  <c r="B18283" i="1"/>
  <c r="A18283" i="1"/>
  <c r="D13687" i="1"/>
  <c r="C13687" i="1"/>
  <c r="B13687" i="1"/>
  <c r="A13687" i="1"/>
  <c r="D11919" i="1"/>
  <c r="B11919" i="1"/>
  <c r="A11919" i="1"/>
  <c r="D12559" i="1"/>
  <c r="C12559" i="1"/>
  <c r="B12559" i="1"/>
  <c r="A12559" i="1"/>
  <c r="D15821" i="1"/>
  <c r="B15821" i="1"/>
  <c r="A15821" i="1"/>
  <c r="D16008" i="1"/>
  <c r="C16008" i="1"/>
  <c r="B16008" i="1"/>
  <c r="A16008" i="1"/>
  <c r="D17751" i="1"/>
  <c r="B17751" i="1"/>
  <c r="A17751" i="1"/>
  <c r="D10179" i="1"/>
  <c r="C10179" i="1"/>
  <c r="B10179" i="1"/>
  <c r="A10179" i="1"/>
  <c r="D7995" i="1"/>
  <c r="B7995" i="1"/>
  <c r="A7995" i="1"/>
  <c r="D5975" i="1"/>
  <c r="B5975" i="1"/>
  <c r="A5975" i="1"/>
  <c r="D8015" i="1"/>
  <c r="C8015" i="1"/>
  <c r="B8015" i="1"/>
  <c r="A8015" i="1"/>
  <c r="D12547" i="1"/>
  <c r="B12547" i="1"/>
  <c r="A12547" i="1"/>
  <c r="D13163" i="1"/>
  <c r="B13163" i="1"/>
  <c r="A13163" i="1"/>
  <c r="D7694" i="1"/>
  <c r="B7694" i="1"/>
  <c r="A7694" i="1"/>
  <c r="D9577" i="1"/>
  <c r="B9577" i="1"/>
  <c r="A9577" i="1"/>
  <c r="D12100" i="1"/>
  <c r="B12100" i="1"/>
  <c r="A12100" i="1"/>
  <c r="D12922" i="1"/>
  <c r="C12922" i="1"/>
  <c r="B12922" i="1"/>
  <c r="A12922" i="1"/>
  <c r="D12587" i="1"/>
  <c r="B12587" i="1"/>
  <c r="A12587" i="1"/>
  <c r="D15476" i="1"/>
  <c r="B15476" i="1"/>
  <c r="A15476" i="1"/>
  <c r="D7690" i="1"/>
  <c r="B7690" i="1"/>
  <c r="A7690" i="1"/>
  <c r="D7909" i="1"/>
  <c r="C7909" i="1"/>
  <c r="B7909" i="1"/>
  <c r="A7909" i="1"/>
  <c r="D9406" i="1"/>
  <c r="C9406" i="1"/>
  <c r="B9406" i="1"/>
  <c r="A9406" i="1"/>
  <c r="D9796" i="1"/>
  <c r="C9796" i="1"/>
  <c r="B9796" i="1"/>
  <c r="A9796" i="1"/>
  <c r="D12970" i="1"/>
  <c r="B12970" i="1"/>
  <c r="A12970" i="1"/>
  <c r="D10139" i="1"/>
  <c r="A10139" i="1"/>
  <c r="D13077" i="1"/>
  <c r="B13077" i="1"/>
  <c r="A13077" i="1"/>
  <c r="D16458" i="1"/>
  <c r="C16458" i="1"/>
  <c r="B16458" i="1"/>
  <c r="A16458" i="1"/>
  <c r="D16606" i="1"/>
  <c r="B16606" i="1"/>
  <c r="A16606" i="1"/>
  <c r="D11622" i="1"/>
  <c r="B11622" i="1"/>
  <c r="A11622" i="1"/>
  <c r="D16651" i="1"/>
  <c r="C16651" i="1"/>
  <c r="B16651" i="1"/>
  <c r="A16651" i="1"/>
  <c r="D11580" i="1"/>
  <c r="C11580" i="1"/>
  <c r="B11580" i="1"/>
  <c r="A11580" i="1"/>
  <c r="D9621" i="1"/>
  <c r="B9621" i="1"/>
  <c r="A9621" i="1"/>
  <c r="D6213" i="1"/>
  <c r="B6213" i="1"/>
  <c r="A6213" i="1"/>
  <c r="D10391" i="1"/>
  <c r="B10391" i="1"/>
  <c r="A10391" i="1"/>
  <c r="D11200" i="1"/>
  <c r="C11200" i="1"/>
  <c r="B11200" i="1"/>
  <c r="A11200" i="1"/>
  <c r="D18512" i="1"/>
  <c r="C18512" i="1"/>
  <c r="B18512" i="1"/>
  <c r="A18512" i="1"/>
  <c r="D17895" i="1"/>
  <c r="B17895" i="1"/>
  <c r="A17895" i="1"/>
  <c r="D18771" i="1"/>
  <c r="B18771" i="1"/>
  <c r="A18771" i="1"/>
  <c r="D6160" i="1"/>
  <c r="B6160" i="1"/>
  <c r="A6160" i="1"/>
  <c r="D8846" i="1"/>
  <c r="C8846" i="1"/>
  <c r="B8846" i="1"/>
  <c r="A8846" i="1"/>
  <c r="D16203" i="1"/>
  <c r="B16203" i="1"/>
  <c r="A16203" i="1"/>
  <c r="D13529" i="1"/>
  <c r="C13529" i="1"/>
  <c r="B13529" i="1"/>
  <c r="A13529" i="1"/>
  <c r="D9793" i="1"/>
  <c r="B9793" i="1"/>
  <c r="A9793" i="1"/>
  <c r="D10520" i="1"/>
  <c r="B10520" i="1"/>
  <c r="A10520" i="1"/>
  <c r="D12261" i="1"/>
  <c r="C12261" i="1"/>
  <c r="B12261" i="1"/>
  <c r="A12261" i="1"/>
  <c r="D6192" i="1"/>
  <c r="B6192" i="1"/>
  <c r="A6192" i="1"/>
  <c r="D5938" i="1"/>
  <c r="B5938" i="1"/>
  <c r="A5938" i="1"/>
  <c r="D17882" i="1"/>
  <c r="B17882" i="1"/>
  <c r="A17882" i="1"/>
  <c r="D10743" i="1"/>
  <c r="B10743" i="1"/>
  <c r="A10743" i="1"/>
  <c r="D14259" i="1"/>
  <c r="B14259" i="1"/>
  <c r="A14259" i="1"/>
  <c r="D5924" i="1"/>
  <c r="B5924" i="1"/>
  <c r="A5924" i="1"/>
  <c r="D14253" i="1"/>
  <c r="B14253" i="1"/>
  <c r="A14253" i="1"/>
  <c r="D16781" i="1"/>
  <c r="C16781" i="1"/>
  <c r="B16781" i="1"/>
  <c r="A16781" i="1"/>
  <c r="D17219" i="1"/>
  <c r="C17219" i="1"/>
  <c r="B17219" i="1"/>
  <c r="A17219" i="1"/>
  <c r="D16884" i="1"/>
  <c r="C16884" i="1"/>
  <c r="B16884" i="1"/>
  <c r="A16884" i="1"/>
  <c r="D8827" i="1"/>
  <c r="B8827" i="1"/>
  <c r="A8827" i="1"/>
  <c r="D12536" i="1"/>
  <c r="B12536" i="1"/>
  <c r="A12536" i="1"/>
  <c r="D8897" i="1"/>
  <c r="B8897" i="1"/>
  <c r="A8897" i="1"/>
  <c r="D18425" i="1"/>
  <c r="B18425" i="1"/>
  <c r="A18425" i="1"/>
  <c r="D18649" i="1"/>
  <c r="B18649" i="1"/>
  <c r="A18649" i="1"/>
  <c r="D14364" i="1"/>
  <c r="C14364" i="1"/>
  <c r="B14364" i="1"/>
  <c r="A14364" i="1"/>
  <c r="D16822" i="1"/>
  <c r="B16822" i="1"/>
  <c r="A16822" i="1"/>
  <c r="D12016" i="1"/>
  <c r="C12016" i="1"/>
  <c r="B12016" i="1"/>
  <c r="A12016" i="1"/>
  <c r="D9818" i="1"/>
  <c r="C9818" i="1"/>
  <c r="B9818" i="1"/>
  <c r="A9818" i="1"/>
  <c r="D14309" i="1"/>
  <c r="C14309" i="1"/>
  <c r="B14309" i="1"/>
  <c r="A14309" i="1"/>
  <c r="D7396" i="1"/>
  <c r="B7396" i="1"/>
  <c r="A7396" i="1"/>
  <c r="D11409" i="1"/>
  <c r="C11409" i="1"/>
  <c r="B11409" i="1"/>
  <c r="A11409" i="1"/>
  <c r="D14169" i="1"/>
  <c r="C14169" i="1"/>
  <c r="B14169" i="1"/>
  <c r="A14169" i="1"/>
  <c r="D14697" i="1"/>
  <c r="B14697" i="1"/>
  <c r="A14697" i="1"/>
  <c r="D10094" i="1"/>
  <c r="B10094" i="1"/>
  <c r="A10094" i="1"/>
  <c r="D7523" i="1"/>
  <c r="B7523" i="1"/>
  <c r="A7523" i="1"/>
  <c r="D6016" i="1"/>
  <c r="C6016" i="1"/>
  <c r="B6016" i="1"/>
  <c r="A6016" i="1"/>
  <c r="D13613" i="1"/>
  <c r="B13613" i="1"/>
  <c r="A13613" i="1"/>
  <c r="D10089" i="1"/>
  <c r="B10089" i="1"/>
  <c r="A10089" i="1"/>
  <c r="D17359" i="1"/>
  <c r="B17359" i="1"/>
  <c r="A17359" i="1"/>
  <c r="D16368" i="1"/>
  <c r="B16368" i="1"/>
  <c r="A16368" i="1"/>
  <c r="D15843" i="1"/>
  <c r="B15843" i="1"/>
  <c r="A15843" i="1"/>
  <c r="D8775" i="1"/>
  <c r="B8775" i="1"/>
  <c r="A8775" i="1"/>
  <c r="D7599" i="1"/>
  <c r="B7599" i="1"/>
  <c r="A7599" i="1"/>
  <c r="D10087" i="1"/>
  <c r="B10087" i="1"/>
  <c r="A10087" i="1"/>
  <c r="D17374" i="1"/>
  <c r="C17374" i="1"/>
  <c r="B17374" i="1"/>
  <c r="A17374" i="1"/>
  <c r="D11277" i="1"/>
  <c r="B11277" i="1"/>
  <c r="A11277" i="1"/>
  <c r="D11474" i="1"/>
  <c r="A11474" i="1"/>
  <c r="D16949" i="1"/>
  <c r="B16949" i="1"/>
  <c r="A16949" i="1"/>
  <c r="D11015" i="1"/>
  <c r="B11015" i="1"/>
  <c r="A11015" i="1"/>
  <c r="D14458" i="1"/>
  <c r="B14458" i="1"/>
  <c r="A14458" i="1"/>
  <c r="D7978" i="1"/>
  <c r="B7978" i="1"/>
  <c r="A7978" i="1"/>
  <c r="D9320" i="1"/>
  <c r="B9320" i="1"/>
  <c r="A9320" i="1"/>
  <c r="D16560" i="1"/>
  <c r="B16560" i="1"/>
  <c r="A16560" i="1"/>
  <c r="D12320" i="1"/>
  <c r="B12320" i="1"/>
  <c r="A12320" i="1"/>
  <c r="D13608" i="1"/>
  <c r="C13608" i="1"/>
  <c r="B13608" i="1"/>
  <c r="A13608" i="1"/>
  <c r="D11665" i="1"/>
  <c r="C11665" i="1"/>
  <c r="B11665" i="1"/>
  <c r="A11665" i="1"/>
  <c r="D18130" i="1"/>
  <c r="B18130" i="1"/>
  <c r="A18130" i="1"/>
  <c r="D7757" i="1"/>
  <c r="B7757" i="1"/>
  <c r="A7757" i="1"/>
  <c r="D17613" i="1"/>
  <c r="C17613" i="1"/>
  <c r="B17613" i="1"/>
  <c r="A17613" i="1"/>
  <c r="D9600" i="1"/>
  <c r="B9600" i="1"/>
  <c r="A9600" i="1"/>
  <c r="D14423" i="1"/>
  <c r="B14423" i="1"/>
  <c r="A14423" i="1"/>
  <c r="D18344" i="1"/>
  <c r="B18344" i="1"/>
  <c r="A18344" i="1"/>
  <c r="D14050" i="1"/>
  <c r="B14050" i="1"/>
  <c r="A14050" i="1"/>
  <c r="D11129" i="1"/>
  <c r="B11129" i="1"/>
  <c r="A11129" i="1"/>
  <c r="D7104" i="1"/>
  <c r="B7104" i="1"/>
  <c r="A7104" i="1"/>
  <c r="D10750" i="1"/>
  <c r="B10750" i="1"/>
  <c r="A10750" i="1"/>
  <c r="D17945" i="1"/>
  <c r="C17945" i="1"/>
  <c r="B17945" i="1"/>
  <c r="A17945" i="1"/>
  <c r="D11314" i="1"/>
  <c r="B11314" i="1"/>
  <c r="A11314" i="1"/>
  <c r="D13028" i="1"/>
  <c r="C13028" i="1"/>
  <c r="B13028" i="1"/>
  <c r="A13028" i="1"/>
  <c r="D16688" i="1"/>
  <c r="B16688" i="1"/>
  <c r="A16688" i="1"/>
  <c r="D7094" i="1"/>
  <c r="B7094" i="1"/>
  <c r="A7094" i="1"/>
  <c r="D16356" i="1"/>
  <c r="B16356" i="1"/>
  <c r="A16356" i="1"/>
  <c r="D11527" i="1"/>
  <c r="B11527" i="1"/>
  <c r="A11527" i="1"/>
  <c r="D13383" i="1"/>
  <c r="C13383" i="1"/>
  <c r="B13383" i="1"/>
  <c r="A13383" i="1"/>
  <c r="D8159" i="1"/>
  <c r="B8159" i="1"/>
  <c r="A8159" i="1"/>
  <c r="D10373" i="1"/>
  <c r="B10373" i="1"/>
  <c r="A10373" i="1"/>
  <c r="D5883" i="1"/>
  <c r="B5883" i="1"/>
  <c r="A5883" i="1"/>
  <c r="D14574" i="1"/>
  <c r="B14574" i="1"/>
  <c r="A14574" i="1"/>
  <c r="D10013" i="1"/>
  <c r="B10013" i="1"/>
  <c r="A10013" i="1"/>
  <c r="D7495" i="1"/>
  <c r="B7495" i="1"/>
  <c r="A7495" i="1"/>
  <c r="D16448" i="1"/>
  <c r="B16448" i="1"/>
  <c r="A16448" i="1"/>
  <c r="D12549" i="1"/>
  <c r="C12549" i="1"/>
  <c r="B12549" i="1"/>
  <c r="A12549" i="1"/>
  <c r="D14392" i="1"/>
  <c r="C14392" i="1"/>
  <c r="B14392" i="1"/>
  <c r="A14392" i="1"/>
  <c r="D15570" i="1"/>
  <c r="C15570" i="1"/>
  <c r="B15570" i="1"/>
  <c r="A15570" i="1"/>
  <c r="D8895" i="1"/>
  <c r="B8895" i="1"/>
  <c r="A8895" i="1"/>
  <c r="D8756" i="1"/>
  <c r="A8756" i="1"/>
  <c r="D12293" i="1"/>
  <c r="C12293" i="1"/>
  <c r="B12293" i="1"/>
  <c r="A12293" i="1"/>
  <c r="D6108" i="1"/>
  <c r="C6108" i="1"/>
  <c r="B6108" i="1"/>
  <c r="A6108" i="1"/>
  <c r="D13790" i="1"/>
  <c r="C13790" i="1"/>
  <c r="B13790" i="1"/>
  <c r="A13790" i="1"/>
  <c r="D6798" i="1"/>
  <c r="B6798" i="1"/>
  <c r="A6798" i="1"/>
  <c r="D11808" i="1"/>
  <c r="C11808" i="1"/>
  <c r="B11808" i="1"/>
  <c r="A11808" i="1"/>
  <c r="D14354" i="1"/>
  <c r="C14354" i="1"/>
  <c r="B14354" i="1"/>
  <c r="A14354" i="1"/>
  <c r="D13401" i="1"/>
  <c r="B13401" i="1"/>
  <c r="A13401" i="1"/>
  <c r="D7496" i="1"/>
  <c r="C7496" i="1"/>
  <c r="B7496" i="1"/>
  <c r="A7496" i="1"/>
  <c r="D8178" i="1"/>
  <c r="C8178" i="1"/>
  <c r="B8178" i="1"/>
  <c r="A8178" i="1"/>
  <c r="D12075" i="1"/>
  <c r="B12075" i="1"/>
  <c r="A12075" i="1"/>
  <c r="D10972" i="1"/>
  <c r="B10972" i="1"/>
  <c r="A10972" i="1"/>
  <c r="D14594" i="1"/>
  <c r="C14594" i="1"/>
  <c r="B14594" i="1"/>
  <c r="A14594" i="1"/>
  <c r="D9804" i="1"/>
  <c r="B9804" i="1"/>
  <c r="A9804" i="1"/>
  <c r="D9389" i="1"/>
  <c r="B9389" i="1"/>
  <c r="A9389" i="1"/>
  <c r="D17384" i="1"/>
  <c r="A17384" i="1"/>
  <c r="D8837" i="1"/>
  <c r="C8837" i="1"/>
  <c r="B8837" i="1"/>
  <c r="A8837" i="1"/>
  <c r="D11656" i="1"/>
  <c r="C11656" i="1"/>
  <c r="B11656" i="1"/>
  <c r="A11656" i="1"/>
  <c r="D16777" i="1"/>
  <c r="B16777" i="1"/>
  <c r="A16777" i="1"/>
  <c r="D14414" i="1"/>
  <c r="B14414" i="1"/>
  <c r="A14414" i="1"/>
  <c r="D12396" i="1"/>
  <c r="C12396" i="1"/>
  <c r="B12396" i="1"/>
  <c r="A12396" i="1"/>
  <c r="D18724" i="1"/>
  <c r="C18724" i="1"/>
  <c r="B18724" i="1"/>
  <c r="A18724" i="1"/>
  <c r="D14655" i="1"/>
  <c r="C14655" i="1"/>
  <c r="B14655" i="1"/>
  <c r="A14655" i="1"/>
  <c r="D18183" i="1"/>
  <c r="B18183" i="1"/>
  <c r="A18183" i="1"/>
  <c r="D12937" i="1"/>
  <c r="B12937" i="1"/>
  <c r="A12937" i="1"/>
  <c r="D14333" i="1"/>
  <c r="C14333" i="1"/>
  <c r="B14333" i="1"/>
  <c r="A14333" i="1"/>
  <c r="D13582" i="1"/>
  <c r="B13582" i="1"/>
  <c r="A13582" i="1"/>
  <c r="D17264" i="1"/>
  <c r="B17264" i="1"/>
  <c r="A17264" i="1"/>
  <c r="D14378" i="1"/>
  <c r="C14378" i="1"/>
  <c r="B14378" i="1"/>
  <c r="A14378" i="1"/>
  <c r="D14571" i="1"/>
  <c r="B14571" i="1"/>
  <c r="A14571" i="1"/>
  <c r="D11091" i="1"/>
  <c r="B11091" i="1"/>
  <c r="A11091" i="1"/>
  <c r="D14181" i="1"/>
  <c r="C14181" i="1"/>
  <c r="B14181" i="1"/>
  <c r="A14181" i="1"/>
  <c r="D16425" i="1"/>
  <c r="B16425" i="1"/>
  <c r="A16425" i="1"/>
  <c r="D8294" i="1"/>
  <c r="B8294" i="1"/>
  <c r="A8294" i="1"/>
  <c r="D6663" i="1"/>
  <c r="B6663" i="1"/>
  <c r="A6663" i="1"/>
  <c r="D8172" i="1"/>
  <c r="C8172" i="1"/>
  <c r="B8172" i="1"/>
  <c r="A8172" i="1"/>
  <c r="D18591" i="1"/>
  <c r="B18591" i="1"/>
  <c r="A18591" i="1"/>
  <c r="D9559" i="1"/>
  <c r="B9559" i="1"/>
  <c r="A9559" i="1"/>
  <c r="D13476" i="1"/>
  <c r="B13476" i="1"/>
  <c r="A13476" i="1"/>
  <c r="D11400" i="1"/>
  <c r="C11400" i="1"/>
  <c r="B11400" i="1"/>
  <c r="A11400" i="1"/>
  <c r="D16160" i="1"/>
  <c r="C16160" i="1"/>
  <c r="B16160" i="1"/>
  <c r="A16160" i="1"/>
  <c r="D10196" i="1"/>
  <c r="B10196" i="1"/>
  <c r="A10196" i="1"/>
  <c r="D10098" i="1"/>
  <c r="B10098" i="1"/>
  <c r="A10098" i="1"/>
  <c r="D18027" i="1"/>
  <c r="B18027" i="1"/>
  <c r="A18027" i="1"/>
  <c r="D12988" i="1"/>
  <c r="C12988" i="1"/>
  <c r="B12988" i="1"/>
  <c r="A12988" i="1"/>
  <c r="D14469" i="1"/>
  <c r="C14469" i="1"/>
  <c r="B14469" i="1"/>
  <c r="A14469" i="1"/>
  <c r="D10187" i="1"/>
  <c r="B10187" i="1"/>
  <c r="A10187" i="1"/>
  <c r="D12909" i="1"/>
  <c r="C12909" i="1"/>
  <c r="B12909" i="1"/>
  <c r="A12909" i="1"/>
  <c r="D17726" i="1"/>
  <c r="B17726" i="1"/>
  <c r="A17726" i="1"/>
  <c r="D18113" i="1"/>
  <c r="C18113" i="1"/>
  <c r="B18113" i="1"/>
  <c r="A18113" i="1"/>
  <c r="D7197" i="1"/>
  <c r="B7197" i="1"/>
  <c r="A7197" i="1"/>
  <c r="D16590" i="1"/>
  <c r="C16590" i="1"/>
  <c r="B16590" i="1"/>
  <c r="A16590" i="1"/>
  <c r="D12696" i="1"/>
  <c r="C12696" i="1"/>
  <c r="B12696" i="1"/>
  <c r="A12696" i="1"/>
  <c r="D13652" i="1"/>
  <c r="C13652" i="1"/>
  <c r="B13652" i="1"/>
  <c r="A13652" i="1"/>
  <c r="D15593" i="1"/>
  <c r="C15593" i="1"/>
  <c r="B15593" i="1"/>
  <c r="A15593" i="1"/>
  <c r="D13598" i="1"/>
  <c r="B13598" i="1"/>
  <c r="A13598" i="1"/>
  <c r="D11322" i="1"/>
  <c r="C11322" i="1"/>
  <c r="B11322" i="1"/>
  <c r="A11322" i="1"/>
  <c r="D8619" i="1"/>
  <c r="C8619" i="1"/>
  <c r="B8619" i="1"/>
  <c r="A8619" i="1"/>
  <c r="D17903" i="1"/>
  <c r="B17903" i="1"/>
  <c r="A17903" i="1"/>
  <c r="D6444" i="1"/>
  <c r="B6444" i="1"/>
  <c r="A6444" i="1"/>
  <c r="D7606" i="1"/>
  <c r="B7606" i="1"/>
  <c r="A7606" i="1"/>
  <c r="D10898" i="1"/>
  <c r="B10898" i="1"/>
  <c r="A10898" i="1"/>
  <c r="D7214" i="1"/>
  <c r="B7214" i="1"/>
  <c r="A7214" i="1"/>
  <c r="D9552" i="1"/>
  <c r="B9552" i="1"/>
  <c r="A9552" i="1"/>
  <c r="D10998" i="1"/>
  <c r="B10998" i="1"/>
  <c r="A10998" i="1"/>
  <c r="D14547" i="1"/>
  <c r="C14547" i="1"/>
  <c r="B14547" i="1"/>
  <c r="A14547" i="1"/>
  <c r="D16485" i="1"/>
  <c r="B16485" i="1"/>
  <c r="A16485" i="1"/>
  <c r="D16509" i="1"/>
  <c r="C16509" i="1"/>
  <c r="B16509" i="1"/>
  <c r="A16509" i="1"/>
  <c r="D12565" i="1"/>
  <c r="B12565" i="1"/>
  <c r="A12565" i="1"/>
  <c r="D9714" i="1"/>
  <c r="B9714" i="1"/>
  <c r="A9714" i="1"/>
  <c r="D12797" i="1"/>
  <c r="C12797" i="1"/>
  <c r="B12797" i="1"/>
  <c r="A12797" i="1"/>
  <c r="D18699" i="1"/>
  <c r="B18699" i="1"/>
  <c r="A18699" i="1"/>
  <c r="D18121" i="1"/>
  <c r="B18121" i="1"/>
  <c r="A18121" i="1"/>
  <c r="D9533" i="1"/>
  <c r="C9533" i="1"/>
  <c r="B9533" i="1"/>
  <c r="A9533" i="1"/>
  <c r="D6878" i="1"/>
  <c r="B6878" i="1"/>
  <c r="A6878" i="1"/>
  <c r="D13632" i="1"/>
  <c r="C13632" i="1"/>
  <c r="B13632" i="1"/>
  <c r="A13632" i="1"/>
  <c r="D15868" i="1"/>
  <c r="B15868" i="1"/>
  <c r="A15868" i="1"/>
  <c r="D9400" i="1"/>
  <c r="B9400" i="1"/>
  <c r="A9400" i="1"/>
  <c r="D13698" i="1"/>
  <c r="C13698" i="1"/>
  <c r="B13698" i="1"/>
  <c r="A13698" i="1"/>
  <c r="D18581" i="1"/>
  <c r="B18581" i="1"/>
  <c r="A18581" i="1"/>
  <c r="D14746" i="1"/>
  <c r="B14746" i="1"/>
  <c r="A14746" i="1"/>
  <c r="D11815" i="1"/>
  <c r="C11815" i="1"/>
  <c r="B11815" i="1"/>
  <c r="A11815" i="1"/>
  <c r="D12420" i="1"/>
  <c r="A12420" i="1"/>
  <c r="D11339" i="1"/>
  <c r="C11339" i="1"/>
  <c r="B11339" i="1"/>
  <c r="A11339" i="1"/>
  <c r="D18394" i="1"/>
  <c r="C18394" i="1"/>
  <c r="B18394" i="1"/>
  <c r="A18394" i="1"/>
  <c r="D13867" i="1"/>
  <c r="C13867" i="1"/>
  <c r="B13867" i="1"/>
  <c r="A13867" i="1"/>
  <c r="D7788" i="1"/>
  <c r="B7788" i="1"/>
  <c r="A7788" i="1"/>
  <c r="D6184" i="1"/>
  <c r="C6184" i="1"/>
  <c r="B6184" i="1"/>
  <c r="A6184" i="1"/>
  <c r="D13374" i="1"/>
  <c r="C13374" i="1"/>
  <c r="B13374" i="1"/>
  <c r="A13374" i="1"/>
  <c r="D16579" i="1"/>
  <c r="B16579" i="1"/>
  <c r="A16579" i="1"/>
  <c r="D9094" i="1"/>
  <c r="C9094" i="1"/>
  <c r="B9094" i="1"/>
  <c r="A9094" i="1"/>
  <c r="D15630" i="1"/>
  <c r="B15630" i="1"/>
  <c r="A15630" i="1"/>
  <c r="D16757" i="1"/>
  <c r="B16757" i="1"/>
  <c r="A16757" i="1"/>
  <c r="D10080" i="1"/>
  <c r="B10080" i="1"/>
  <c r="A10080" i="1"/>
  <c r="D16833" i="1"/>
  <c r="B16833" i="1"/>
  <c r="A16833" i="1"/>
  <c r="D11244" i="1"/>
  <c r="C11244" i="1"/>
  <c r="B11244" i="1"/>
  <c r="A11244" i="1"/>
  <c r="D12809" i="1"/>
  <c r="B12809" i="1"/>
  <c r="A12809" i="1"/>
  <c r="D6337" i="1"/>
  <c r="B6337" i="1"/>
  <c r="A6337" i="1"/>
  <c r="D12306" i="1"/>
  <c r="B12306" i="1"/>
  <c r="A12306" i="1"/>
  <c r="D18316" i="1"/>
  <c r="B18316" i="1"/>
  <c r="A18316" i="1"/>
  <c r="D13076" i="1"/>
  <c r="B13076" i="1"/>
  <c r="A13076" i="1"/>
  <c r="D9000" i="1"/>
  <c r="A9000" i="1"/>
  <c r="D14132" i="1"/>
  <c r="B14132" i="1"/>
  <c r="A14132" i="1"/>
  <c r="D12331" i="1"/>
  <c r="C12331" i="1"/>
  <c r="B12331" i="1"/>
  <c r="A12331" i="1"/>
  <c r="D14376" i="1"/>
  <c r="C14376" i="1"/>
  <c r="B14376" i="1"/>
  <c r="A14376" i="1"/>
  <c r="D14687" i="1"/>
  <c r="C14687" i="1"/>
  <c r="B14687" i="1"/>
  <c r="A14687" i="1"/>
  <c r="D7284" i="1"/>
  <c r="B7284" i="1"/>
  <c r="A7284" i="1"/>
  <c r="D7369" i="1"/>
  <c r="B7369" i="1"/>
  <c r="A7369" i="1"/>
  <c r="D16408" i="1"/>
  <c r="B16408" i="1"/>
  <c r="A16408" i="1"/>
  <c r="D16137" i="1"/>
  <c r="B16137" i="1"/>
  <c r="A16137" i="1"/>
  <c r="D8732" i="1"/>
  <c r="C8732" i="1"/>
  <c r="B8732" i="1"/>
  <c r="A8732" i="1"/>
  <c r="D7763" i="1"/>
  <c r="B7763" i="1"/>
  <c r="A7763" i="1"/>
  <c r="D10117" i="1"/>
  <c r="B10117" i="1"/>
  <c r="A10117" i="1"/>
  <c r="D14178" i="1"/>
  <c r="C14178" i="1"/>
  <c r="B14178" i="1"/>
  <c r="A14178" i="1"/>
  <c r="D10993" i="1"/>
  <c r="B10993" i="1"/>
  <c r="A10993" i="1"/>
  <c r="D7997" i="1"/>
  <c r="C7997" i="1"/>
  <c r="B7997" i="1"/>
  <c r="A7997" i="1"/>
  <c r="D17544" i="1"/>
  <c r="C17544" i="1"/>
  <c r="B17544" i="1"/>
  <c r="A17544" i="1"/>
  <c r="D17310" i="1"/>
  <c r="C17310" i="1"/>
  <c r="B17310" i="1"/>
  <c r="A17310" i="1"/>
  <c r="D17763" i="1"/>
  <c r="C17763" i="1"/>
  <c r="B17763" i="1"/>
  <c r="A17763" i="1"/>
  <c r="D12155" i="1"/>
  <c r="B12155" i="1"/>
  <c r="A12155" i="1"/>
  <c r="D7643" i="1"/>
  <c r="B7643" i="1"/>
  <c r="A7643" i="1"/>
  <c r="D14588" i="1"/>
  <c r="B14588" i="1"/>
  <c r="A14588" i="1"/>
  <c r="D14575" i="1"/>
  <c r="B14575" i="1"/>
  <c r="A14575" i="1"/>
  <c r="D8713" i="1"/>
  <c r="B8713" i="1"/>
  <c r="A8713" i="1"/>
  <c r="D14426" i="1"/>
  <c r="C14426" i="1"/>
  <c r="B14426" i="1"/>
  <c r="A14426" i="1"/>
  <c r="D5982" i="1"/>
  <c r="C5982" i="1"/>
  <c r="B5982" i="1"/>
  <c r="A5982" i="1"/>
  <c r="D7550" i="1"/>
  <c r="B7550" i="1"/>
  <c r="A7550" i="1"/>
  <c r="D11630" i="1"/>
  <c r="B11630" i="1"/>
  <c r="A11630" i="1"/>
  <c r="D8862" i="1"/>
  <c r="B8862" i="1"/>
  <c r="A8862" i="1"/>
  <c r="D16075" i="1"/>
  <c r="B16075" i="1"/>
  <c r="A16075" i="1"/>
  <c r="D15836" i="1"/>
  <c r="C15836" i="1"/>
  <c r="B15836" i="1"/>
  <c r="A15836" i="1"/>
  <c r="D17101" i="1"/>
  <c r="C17101" i="1"/>
  <c r="B17101" i="1"/>
  <c r="A17101" i="1"/>
  <c r="D8044" i="1"/>
  <c r="C8044" i="1"/>
  <c r="B8044" i="1"/>
  <c r="A8044" i="1"/>
  <c r="D16548" i="1"/>
  <c r="C16548" i="1"/>
  <c r="B16548" i="1"/>
  <c r="A16548" i="1"/>
  <c r="D5931" i="1"/>
  <c r="C5931" i="1"/>
  <c r="B5931" i="1"/>
  <c r="A5931" i="1"/>
  <c r="D14265" i="1"/>
  <c r="B14265" i="1"/>
  <c r="A14265" i="1"/>
  <c r="D16615" i="1"/>
  <c r="B16615" i="1"/>
  <c r="A16615" i="1"/>
  <c r="D17079" i="1"/>
  <c r="C17079" i="1"/>
  <c r="B17079" i="1"/>
  <c r="A17079" i="1"/>
  <c r="D13012" i="1"/>
  <c r="B13012" i="1"/>
  <c r="A13012" i="1"/>
  <c r="D12749" i="1"/>
  <c r="B12749" i="1"/>
  <c r="A12749" i="1"/>
  <c r="D13919" i="1"/>
  <c r="C13919" i="1"/>
  <c r="B13919" i="1"/>
  <c r="A13919" i="1"/>
  <c r="D8273" i="1"/>
  <c r="C8273" i="1"/>
  <c r="B8273" i="1"/>
  <c r="A8273" i="1"/>
  <c r="D10871" i="1"/>
  <c r="C10871" i="1"/>
  <c r="B10871" i="1"/>
  <c r="A10871" i="1"/>
  <c r="D13307" i="1"/>
  <c r="B13307" i="1"/>
  <c r="A13307" i="1"/>
  <c r="D10583" i="1"/>
  <c r="B10583" i="1"/>
  <c r="A10583" i="1"/>
  <c r="D14290" i="1"/>
  <c r="C14290" i="1"/>
  <c r="B14290" i="1"/>
  <c r="A14290" i="1"/>
  <c r="D12992" i="1"/>
  <c r="B12992" i="1"/>
  <c r="A12992" i="1"/>
  <c r="D6937" i="1"/>
  <c r="B6937" i="1"/>
  <c r="A6937" i="1"/>
  <c r="D9451" i="1"/>
  <c r="B9451" i="1"/>
  <c r="A9451" i="1"/>
  <c r="D18058" i="1"/>
  <c r="B18058" i="1"/>
  <c r="A18058" i="1"/>
  <c r="D6225" i="1"/>
  <c r="B6225" i="1"/>
  <c r="A6225" i="1"/>
  <c r="D10029" i="1"/>
  <c r="B10029" i="1"/>
  <c r="A10029" i="1"/>
  <c r="D14341" i="1"/>
  <c r="C14341" i="1"/>
  <c r="B14341" i="1"/>
  <c r="A14341" i="1"/>
  <c r="D17382" i="1"/>
  <c r="C17382" i="1"/>
  <c r="B17382" i="1"/>
  <c r="A17382" i="1"/>
  <c r="D14492" i="1"/>
  <c r="B14492" i="1"/>
  <c r="A14492" i="1"/>
  <c r="D9328" i="1"/>
  <c r="C9328" i="1"/>
  <c r="B9328" i="1"/>
  <c r="A9328" i="1"/>
  <c r="D16112" i="1"/>
  <c r="B16112" i="1"/>
  <c r="A16112" i="1"/>
  <c r="D14203" i="1"/>
  <c r="C14203" i="1"/>
  <c r="B14203" i="1"/>
  <c r="A14203" i="1"/>
  <c r="D8832" i="1"/>
  <c r="C8832" i="1"/>
  <c r="B8832" i="1"/>
  <c r="A8832" i="1"/>
  <c r="D14296" i="1"/>
  <c r="C14296" i="1"/>
  <c r="B14296" i="1"/>
  <c r="A14296" i="1"/>
  <c r="D14389" i="1"/>
  <c r="C14389" i="1"/>
  <c r="B14389" i="1"/>
  <c r="A14389" i="1"/>
  <c r="D13131" i="1"/>
  <c r="C13131" i="1"/>
  <c r="B13131" i="1"/>
  <c r="A13131" i="1"/>
  <c r="D8650" i="1"/>
  <c r="C8650" i="1"/>
  <c r="B8650" i="1"/>
  <c r="A8650" i="1"/>
  <c r="D17619" i="1"/>
  <c r="B17619" i="1"/>
  <c r="A17619" i="1"/>
  <c r="D12370" i="1"/>
  <c r="B12370" i="1"/>
  <c r="A12370" i="1"/>
  <c r="D14337" i="1"/>
  <c r="C14337" i="1"/>
  <c r="B14337" i="1"/>
  <c r="A14337" i="1"/>
  <c r="D10508" i="1"/>
  <c r="B10508" i="1"/>
  <c r="A10508" i="1"/>
  <c r="D16848" i="1"/>
  <c r="C16848" i="1"/>
  <c r="B16848" i="1"/>
  <c r="A16848" i="1"/>
  <c r="D14429" i="1"/>
  <c r="B14429" i="1"/>
  <c r="A14429" i="1"/>
  <c r="D14545" i="1"/>
  <c r="B14545" i="1"/>
  <c r="A14545" i="1"/>
  <c r="D11717" i="1"/>
  <c r="C11717" i="1"/>
  <c r="B11717" i="1"/>
  <c r="A11717" i="1"/>
  <c r="D7100" i="1"/>
  <c r="B7100" i="1"/>
  <c r="A7100" i="1"/>
  <c r="D13641" i="1"/>
  <c r="C13641" i="1"/>
  <c r="B13641" i="1"/>
  <c r="A13641" i="1"/>
  <c r="D13685" i="1"/>
  <c r="B13685" i="1"/>
  <c r="A13685" i="1"/>
  <c r="D8852" i="1"/>
  <c r="B8852" i="1"/>
  <c r="A8852" i="1"/>
  <c r="D13611" i="1"/>
  <c r="C13611" i="1"/>
  <c r="B13611" i="1"/>
  <c r="A13611" i="1"/>
  <c r="D6769" i="1"/>
  <c r="B6769" i="1"/>
  <c r="A6769" i="1"/>
  <c r="D9584" i="1"/>
  <c r="B9584" i="1"/>
  <c r="A9584" i="1"/>
  <c r="D10923" i="1"/>
  <c r="A10923" i="1"/>
  <c r="D10791" i="1"/>
  <c r="C10791" i="1"/>
  <c r="B10791" i="1"/>
  <c r="A10791" i="1"/>
  <c r="D17810" i="1"/>
  <c r="B17810" i="1"/>
  <c r="A17810" i="1"/>
  <c r="D11968" i="1"/>
  <c r="B11968" i="1"/>
  <c r="A11968" i="1"/>
  <c r="D10414" i="1"/>
  <c r="B10414" i="1"/>
  <c r="A10414" i="1"/>
  <c r="D14525" i="1"/>
  <c r="B14525" i="1"/>
  <c r="A14525" i="1"/>
  <c r="D12504" i="1"/>
  <c r="C12504" i="1"/>
  <c r="B12504" i="1"/>
  <c r="A12504" i="1"/>
  <c r="D10623" i="1"/>
  <c r="C10623" i="1"/>
  <c r="B10623" i="1"/>
  <c r="A10623" i="1"/>
  <c r="D13431" i="1"/>
  <c r="C13431" i="1"/>
  <c r="B13431" i="1"/>
  <c r="A13431" i="1"/>
  <c r="D16460" i="1"/>
  <c r="C16460" i="1"/>
  <c r="B16460" i="1"/>
  <c r="A16460" i="1"/>
  <c r="D7676" i="1"/>
  <c r="C7676" i="1"/>
  <c r="B7676" i="1"/>
  <c r="A7676" i="1"/>
  <c r="D9391" i="1"/>
  <c r="B9391" i="1"/>
  <c r="A9391" i="1"/>
  <c r="D18134" i="1"/>
  <c r="C18134" i="1"/>
  <c r="B18134" i="1"/>
  <c r="A18134" i="1"/>
  <c r="D10401" i="1"/>
  <c r="B10401" i="1"/>
  <c r="A10401" i="1"/>
  <c r="D17926" i="1"/>
  <c r="C17926" i="1"/>
  <c r="B17926" i="1"/>
  <c r="A17926" i="1"/>
  <c r="D17852" i="1"/>
  <c r="A17852" i="1"/>
  <c r="D12626" i="1"/>
  <c r="C12626" i="1"/>
  <c r="B12626" i="1"/>
  <c r="A12626" i="1"/>
  <c r="D18751" i="1"/>
  <c r="B18751" i="1"/>
  <c r="A18751" i="1"/>
  <c r="D18054" i="1"/>
  <c r="C18054" i="1"/>
  <c r="B18054" i="1"/>
  <c r="A18054" i="1"/>
  <c r="D12750" i="1"/>
  <c r="B12750" i="1"/>
  <c r="A12750" i="1"/>
  <c r="D10441" i="1"/>
  <c r="B10441" i="1"/>
  <c r="A10441" i="1"/>
  <c r="D12307" i="1"/>
  <c r="B12307" i="1"/>
  <c r="A12307" i="1"/>
  <c r="D14316" i="1"/>
  <c r="C14316" i="1"/>
  <c r="B14316" i="1"/>
  <c r="A14316" i="1"/>
  <c r="D13032" i="1"/>
  <c r="C13032" i="1"/>
  <c r="B13032" i="1"/>
  <c r="A13032" i="1"/>
  <c r="D6667" i="1"/>
  <c r="B6667" i="1"/>
  <c r="A6667" i="1"/>
  <c r="D6314" i="1"/>
  <c r="C6314" i="1"/>
  <c r="B6314" i="1"/>
  <c r="A6314" i="1"/>
  <c r="D17650" i="1"/>
  <c r="C17650" i="1"/>
  <c r="B17650" i="1"/>
  <c r="A17650" i="1"/>
  <c r="D8004" i="1"/>
  <c r="B8004" i="1"/>
  <c r="A8004" i="1"/>
  <c r="D7456" i="1"/>
  <c r="B7456" i="1"/>
  <c r="A7456" i="1"/>
  <c r="D14680" i="1"/>
  <c r="B14680" i="1"/>
  <c r="A14680" i="1"/>
  <c r="D14473" i="1"/>
  <c r="C14473" i="1"/>
  <c r="B14473" i="1"/>
  <c r="A14473" i="1"/>
  <c r="D14332" i="1"/>
  <c r="C14332" i="1"/>
  <c r="B14332" i="1"/>
  <c r="A14332" i="1"/>
  <c r="D12089" i="1"/>
  <c r="B12089" i="1"/>
  <c r="A12089" i="1"/>
  <c r="D14213" i="1"/>
  <c r="B14213" i="1"/>
  <c r="A14213" i="1"/>
  <c r="D16597" i="1"/>
  <c r="C16597" i="1"/>
  <c r="B16597" i="1"/>
  <c r="A16597" i="1"/>
  <c r="D17066" i="1"/>
  <c r="B17066" i="1"/>
  <c r="A17066" i="1"/>
  <c r="D8710" i="1"/>
  <c r="B8710" i="1"/>
  <c r="A8710" i="1"/>
  <c r="D6257" i="1"/>
  <c r="C6257" i="1"/>
  <c r="B6257" i="1"/>
  <c r="A6257" i="1"/>
  <c r="D6676" i="1"/>
  <c r="C6676" i="1"/>
  <c r="B6676" i="1"/>
  <c r="A6676" i="1"/>
  <c r="D12253" i="1"/>
  <c r="B12253" i="1"/>
  <c r="A12253" i="1"/>
  <c r="D14541" i="1"/>
  <c r="B14541" i="1"/>
  <c r="A14541" i="1"/>
  <c r="D14291" i="1"/>
  <c r="C14291" i="1"/>
  <c r="B14291" i="1"/>
  <c r="A14291" i="1"/>
  <c r="D14237" i="1"/>
  <c r="C14237" i="1"/>
  <c r="B14237" i="1"/>
  <c r="A14237" i="1"/>
  <c r="D16766" i="1"/>
  <c r="B16766" i="1"/>
  <c r="A16766" i="1"/>
  <c r="D11650" i="1"/>
  <c r="C11650" i="1"/>
  <c r="B11650" i="1"/>
  <c r="A11650" i="1"/>
  <c r="D14744" i="1"/>
  <c r="B14744" i="1"/>
  <c r="A14744" i="1"/>
  <c r="D11275" i="1"/>
  <c r="B11275" i="1"/>
  <c r="A11275" i="1"/>
  <c r="D16956" i="1"/>
  <c r="B16956" i="1"/>
  <c r="A16956" i="1"/>
  <c r="D16750" i="1"/>
  <c r="C16750" i="1"/>
  <c r="B16750" i="1"/>
  <c r="A16750" i="1"/>
  <c r="D11621" i="1"/>
  <c r="B11621" i="1"/>
  <c r="A11621" i="1"/>
  <c r="D12645" i="1"/>
  <c r="C12645" i="1"/>
  <c r="B12645" i="1"/>
  <c r="A12645" i="1"/>
  <c r="D17959" i="1"/>
  <c r="B17959" i="1"/>
  <c r="A17959" i="1"/>
  <c r="D13330" i="1"/>
  <c r="B13330" i="1"/>
  <c r="A13330" i="1"/>
  <c r="D16288" i="1"/>
  <c r="B16288" i="1"/>
  <c r="A16288" i="1"/>
  <c r="D7622" i="1"/>
  <c r="B7622" i="1"/>
  <c r="A7622" i="1"/>
  <c r="D11050" i="1"/>
  <c r="B11050" i="1"/>
  <c r="A11050" i="1"/>
  <c r="D16784" i="1"/>
  <c r="B16784" i="1"/>
  <c r="A16784" i="1"/>
  <c r="D18565" i="1"/>
  <c r="B18565" i="1"/>
  <c r="A18565" i="1"/>
  <c r="D8037" i="1"/>
  <c r="C8037" i="1"/>
  <c r="B8037" i="1"/>
  <c r="A8037" i="1"/>
  <c r="D12003" i="1"/>
  <c r="B12003" i="1"/>
  <c r="A12003" i="1"/>
  <c r="D17599" i="1"/>
  <c r="B17599" i="1"/>
  <c r="A17599" i="1"/>
  <c r="D8523" i="1"/>
  <c r="B8523" i="1"/>
  <c r="A8523" i="1"/>
  <c r="D14349" i="1"/>
  <c r="C14349" i="1"/>
  <c r="B14349" i="1"/>
  <c r="A14349" i="1"/>
  <c r="D16433" i="1"/>
  <c r="B16433" i="1"/>
  <c r="A16433" i="1"/>
  <c r="D14325" i="1"/>
  <c r="C14325" i="1"/>
  <c r="B14325" i="1"/>
  <c r="A14325" i="1"/>
  <c r="D14388" i="1"/>
  <c r="C14388" i="1"/>
  <c r="B14388" i="1"/>
  <c r="A14388" i="1"/>
  <c r="D7957" i="1"/>
  <c r="B7957" i="1"/>
  <c r="A7957" i="1"/>
  <c r="D17100" i="1"/>
  <c r="B17100" i="1"/>
  <c r="A17100" i="1"/>
  <c r="D14314" i="1"/>
  <c r="C14314" i="1"/>
  <c r="B14314" i="1"/>
  <c r="A14314" i="1"/>
  <c r="D11440" i="1"/>
  <c r="B11440" i="1"/>
  <c r="A11440" i="1"/>
  <c r="D13397" i="1"/>
  <c r="C13397" i="1"/>
  <c r="B13397" i="1"/>
  <c r="A13397" i="1"/>
  <c r="D7973" i="1"/>
  <c r="B7973" i="1"/>
  <c r="A7973" i="1"/>
  <c r="D15912" i="1"/>
  <c r="A15912" i="1"/>
  <c r="D7871" i="1"/>
  <c r="C7871" i="1"/>
  <c r="B7871" i="1"/>
  <c r="A7871" i="1"/>
  <c r="D17652" i="1"/>
  <c r="A17652" i="1"/>
  <c r="D18325" i="1"/>
  <c r="A18325" i="1"/>
  <c r="D12991" i="1"/>
  <c r="B12991" i="1"/>
  <c r="A12991" i="1"/>
  <c r="D8281" i="1"/>
  <c r="B8281" i="1"/>
  <c r="A8281" i="1"/>
  <c r="D13479" i="1"/>
  <c r="C13479" i="1"/>
  <c r="B13479" i="1"/>
  <c r="A13479" i="1"/>
  <c r="D8184" i="1"/>
  <c r="B8184" i="1"/>
  <c r="A8184" i="1"/>
  <c r="D18383" i="1"/>
  <c r="B18383" i="1"/>
  <c r="A18383" i="1"/>
  <c r="D5886" i="1"/>
  <c r="C5886" i="1"/>
  <c r="B5886" i="1"/>
  <c r="A5886" i="1"/>
  <c r="D13968" i="1"/>
  <c r="B13968" i="1"/>
  <c r="A13968" i="1"/>
  <c r="D5894" i="1"/>
  <c r="C5894" i="1"/>
  <c r="B5894" i="1"/>
  <c r="A5894" i="1"/>
  <c r="D15872" i="1"/>
  <c r="C15872" i="1"/>
  <c r="B15872" i="1"/>
  <c r="A15872" i="1"/>
  <c r="D17618" i="1"/>
  <c r="B17618" i="1"/>
  <c r="A17618" i="1"/>
  <c r="D13898" i="1"/>
  <c r="B13898" i="1"/>
  <c r="A13898" i="1"/>
  <c r="D14432" i="1"/>
  <c r="B14432" i="1"/>
  <c r="A14432" i="1"/>
  <c r="D13855" i="1"/>
  <c r="B13855" i="1"/>
  <c r="A13855" i="1"/>
  <c r="D16556" i="1"/>
  <c r="C16556" i="1"/>
  <c r="B16556" i="1"/>
  <c r="A16556" i="1"/>
  <c r="D8824" i="1"/>
  <c r="C8824" i="1"/>
  <c r="B8824" i="1"/>
  <c r="A8824" i="1"/>
  <c r="D16907" i="1"/>
  <c r="A16907" i="1"/>
  <c r="D16477" i="1"/>
  <c r="B16477" i="1"/>
  <c r="A16477" i="1"/>
  <c r="D7800" i="1"/>
  <c r="B7800" i="1"/>
  <c r="A7800" i="1"/>
  <c r="D17332" i="1"/>
  <c r="A17332" i="1"/>
  <c r="D13735" i="1"/>
  <c r="B13735" i="1"/>
  <c r="A13735" i="1"/>
  <c r="D16189" i="1"/>
  <c r="B16189" i="1"/>
  <c r="A16189" i="1"/>
  <c r="D15994" i="1"/>
  <c r="B15994" i="1"/>
  <c r="A15994" i="1"/>
  <c r="D16421" i="1"/>
  <c r="B16421" i="1"/>
  <c r="A16421" i="1"/>
  <c r="D8830" i="1"/>
  <c r="B8830" i="1"/>
  <c r="A8830" i="1"/>
  <c r="D10296" i="1"/>
  <c r="B10296" i="1"/>
  <c r="A10296" i="1"/>
  <c r="D13757" i="1"/>
  <c r="B13757" i="1"/>
  <c r="A13757" i="1"/>
  <c r="D8914" i="1"/>
  <c r="B8914" i="1"/>
  <c r="A8914" i="1"/>
  <c r="D13385" i="1"/>
  <c r="C13385" i="1"/>
  <c r="B13385" i="1"/>
  <c r="A13385" i="1"/>
  <c r="D16410" i="1"/>
  <c r="C16410" i="1"/>
  <c r="B16410" i="1"/>
  <c r="A16410" i="1"/>
  <c r="D14404" i="1"/>
  <c r="B14404" i="1"/>
  <c r="A14404" i="1"/>
  <c r="D6163" i="1"/>
  <c r="B6163" i="1"/>
  <c r="A6163" i="1"/>
  <c r="D12956" i="1"/>
  <c r="C12956" i="1"/>
  <c r="B12956" i="1"/>
  <c r="A12956" i="1"/>
  <c r="D11303" i="1"/>
  <c r="C11303" i="1"/>
  <c r="B11303" i="1"/>
  <c r="A11303" i="1"/>
  <c r="D14257" i="1"/>
  <c r="B14257" i="1"/>
  <c r="A14257" i="1"/>
  <c r="D14320" i="1"/>
  <c r="C14320" i="1"/>
  <c r="B14320" i="1"/>
  <c r="A14320" i="1"/>
  <c r="D14197" i="1"/>
  <c r="B14197" i="1"/>
  <c r="A14197" i="1"/>
  <c r="D14639" i="1"/>
  <c r="B14639" i="1"/>
  <c r="A14639" i="1"/>
  <c r="D9922" i="1"/>
  <c r="B9922" i="1"/>
  <c r="A9922" i="1"/>
  <c r="D17980" i="1"/>
  <c r="B17980" i="1"/>
  <c r="A17980" i="1"/>
  <c r="D6398" i="1"/>
  <c r="B6398" i="1"/>
  <c r="A6398" i="1"/>
  <c r="D12367" i="1"/>
  <c r="B12367" i="1"/>
  <c r="A12367" i="1"/>
  <c r="D8701" i="1"/>
  <c r="B8701" i="1"/>
  <c r="A8701" i="1"/>
  <c r="D12278" i="1"/>
  <c r="B12278" i="1"/>
  <c r="A12278" i="1"/>
  <c r="D8203" i="1"/>
  <c r="B8203" i="1"/>
  <c r="A8203" i="1"/>
  <c r="D14420" i="1"/>
  <c r="B14420" i="1"/>
  <c r="A14420" i="1"/>
  <c r="D6540" i="1"/>
  <c r="B6540" i="1"/>
  <c r="A6540" i="1"/>
  <c r="D8906" i="1"/>
  <c r="B8906" i="1"/>
  <c r="A8906" i="1"/>
  <c r="D8679" i="1"/>
  <c r="C8679" i="1"/>
  <c r="B8679" i="1"/>
  <c r="A8679" i="1"/>
  <c r="D8049" i="1"/>
  <c r="C8049" i="1"/>
  <c r="B8049" i="1"/>
  <c r="A8049" i="1"/>
  <c r="D14685" i="1"/>
  <c r="C14685" i="1"/>
  <c r="B14685" i="1"/>
  <c r="A14685" i="1"/>
  <c r="D14636" i="1"/>
  <c r="B14636" i="1"/>
  <c r="A14636" i="1"/>
  <c r="D7968" i="1"/>
  <c r="B7968" i="1"/>
  <c r="A7968" i="1"/>
  <c r="D9683" i="1"/>
  <c r="B9683" i="1"/>
  <c r="A9683" i="1"/>
  <c r="D17714" i="1"/>
  <c r="A17714" i="1"/>
  <c r="D14122" i="1"/>
  <c r="C14122" i="1"/>
  <c r="B14122" i="1"/>
  <c r="A14122" i="1"/>
  <c r="D17186" i="1"/>
  <c r="B17186" i="1"/>
  <c r="A17186" i="1"/>
  <c r="D7294" i="1"/>
  <c r="B7294" i="1"/>
  <c r="A7294" i="1"/>
  <c r="D13776" i="1"/>
  <c r="C13776" i="1"/>
  <c r="B13776" i="1"/>
  <c r="A13776" i="1"/>
  <c r="D8386" i="1"/>
  <c r="C8386" i="1"/>
  <c r="B8386" i="1"/>
  <c r="A8386" i="1"/>
  <c r="D10801" i="1"/>
  <c r="B10801" i="1"/>
  <c r="A10801" i="1"/>
  <c r="D12747" i="1"/>
  <c r="B12747" i="1"/>
  <c r="A12747" i="1"/>
  <c r="D16600" i="1"/>
  <c r="B16600" i="1"/>
  <c r="A16600" i="1"/>
  <c r="D8799" i="1"/>
  <c r="B8799" i="1"/>
  <c r="A8799" i="1"/>
  <c r="D12986" i="1"/>
  <c r="B12986" i="1"/>
  <c r="A12986" i="1"/>
  <c r="D14327" i="1"/>
  <c r="B14327" i="1"/>
  <c r="A14327" i="1"/>
  <c r="D16251" i="1"/>
  <c r="C16251" i="1"/>
  <c r="B16251" i="1"/>
  <c r="A16251" i="1"/>
  <c r="D6267" i="1"/>
  <c r="C6267" i="1"/>
  <c r="B6267" i="1"/>
  <c r="A6267" i="1"/>
  <c r="D12816" i="1"/>
  <c r="B12816" i="1"/>
  <c r="A12816" i="1"/>
  <c r="D9211" i="1"/>
  <c r="C9211" i="1"/>
  <c r="B9211" i="1"/>
  <c r="A9211" i="1"/>
  <c r="D16645" i="1"/>
  <c r="B16645" i="1"/>
  <c r="A16645" i="1"/>
  <c r="D7283" i="1"/>
  <c r="B7283" i="1"/>
  <c r="A7283" i="1"/>
  <c r="D12805" i="1"/>
  <c r="C12805" i="1"/>
  <c r="B12805" i="1"/>
  <c r="A12805" i="1"/>
  <c r="D16248" i="1"/>
  <c r="C16248" i="1"/>
  <c r="B16248" i="1"/>
  <c r="A16248" i="1"/>
  <c r="D8384" i="1"/>
  <c r="C8384" i="1"/>
  <c r="B8384" i="1"/>
  <c r="A8384" i="1"/>
  <c r="D12279" i="1"/>
  <c r="A12279" i="1"/>
  <c r="D6037" i="1"/>
  <c r="C6037" i="1"/>
  <c r="B6037" i="1"/>
  <c r="A6037" i="1"/>
  <c r="D10334" i="1"/>
  <c r="B10334" i="1"/>
  <c r="A10334" i="1"/>
  <c r="D8591" i="1"/>
  <c r="C8591" i="1"/>
  <c r="B8591" i="1"/>
  <c r="A8591" i="1"/>
  <c r="D14379" i="1"/>
  <c r="C14379" i="1"/>
  <c r="B14379" i="1"/>
  <c r="A14379" i="1"/>
  <c r="D13856" i="1"/>
  <c r="B13856" i="1"/>
  <c r="A13856" i="1"/>
  <c r="D12817" i="1"/>
  <c r="B12817" i="1"/>
  <c r="A12817" i="1"/>
  <c r="D7487" i="1"/>
  <c r="B7487" i="1"/>
  <c r="A7487" i="1"/>
  <c r="D13657" i="1"/>
  <c r="C13657" i="1"/>
  <c r="B13657" i="1"/>
  <c r="A13657" i="1"/>
  <c r="D16211" i="1"/>
  <c r="B16211" i="1"/>
  <c r="A16211" i="1"/>
  <c r="D12765" i="1"/>
  <c r="B12765" i="1"/>
  <c r="A12765" i="1"/>
  <c r="D6006" i="1"/>
  <c r="C6006" i="1"/>
  <c r="B6006" i="1"/>
  <c r="A6006" i="1"/>
  <c r="D6204" i="1"/>
  <c r="B6204" i="1"/>
  <c r="A6204" i="1"/>
  <c r="D17005" i="1"/>
  <c r="B17005" i="1"/>
  <c r="A17005" i="1"/>
  <c r="D13551" i="1"/>
  <c r="B13551" i="1"/>
  <c r="A13551" i="1"/>
  <c r="D16836" i="1"/>
  <c r="C16836" i="1"/>
  <c r="B16836" i="1"/>
  <c r="A16836" i="1"/>
  <c r="D8896" i="1"/>
  <c r="C8896" i="1"/>
  <c r="B8896" i="1"/>
  <c r="A8896" i="1"/>
  <c r="D6051" i="1"/>
  <c r="A6051" i="1"/>
  <c r="D11761" i="1"/>
  <c r="C11761" i="1"/>
  <c r="B11761" i="1"/>
  <c r="A11761" i="1"/>
  <c r="D17262" i="1"/>
  <c r="C17262" i="1"/>
  <c r="B17262" i="1"/>
  <c r="A17262" i="1"/>
  <c r="D8838" i="1"/>
  <c r="C8838" i="1"/>
  <c r="B8838" i="1"/>
  <c r="A8838" i="1"/>
  <c r="D13682" i="1"/>
  <c r="C13682" i="1"/>
  <c r="B13682" i="1"/>
  <c r="A13682" i="1"/>
  <c r="D8849" i="1"/>
  <c r="B8849" i="1"/>
  <c r="A8849" i="1"/>
  <c r="D9807" i="1"/>
  <c r="A9807" i="1"/>
  <c r="D6472" i="1"/>
  <c r="B6472" i="1"/>
  <c r="A6472" i="1"/>
  <c r="D10252" i="1"/>
  <c r="B10252" i="1"/>
  <c r="A10252" i="1"/>
  <c r="D6295" i="1"/>
  <c r="B6295" i="1"/>
  <c r="A6295" i="1"/>
  <c r="D12819" i="1"/>
  <c r="C12819" i="1"/>
  <c r="B12819" i="1"/>
  <c r="A12819" i="1"/>
  <c r="D16436" i="1"/>
  <c r="C16436" i="1"/>
  <c r="B16436" i="1"/>
  <c r="A16436" i="1"/>
  <c r="D13876" i="1"/>
  <c r="A13876" i="1"/>
  <c r="D10661" i="1"/>
  <c r="B10661" i="1"/>
  <c r="A10661" i="1"/>
  <c r="D11453" i="1"/>
  <c r="B11453" i="1"/>
  <c r="A11453" i="1"/>
  <c r="D12537" i="1"/>
  <c r="B12537" i="1"/>
  <c r="A12537" i="1"/>
  <c r="D13723" i="1"/>
  <c r="B13723" i="1"/>
  <c r="A13723" i="1"/>
  <c r="D17632" i="1"/>
  <c r="B17632" i="1"/>
  <c r="A17632" i="1"/>
  <c r="D6380" i="1"/>
  <c r="C6380" i="1"/>
  <c r="B6380" i="1"/>
  <c r="A6380" i="1"/>
  <c r="D13740" i="1"/>
  <c r="C13740" i="1"/>
  <c r="B13740" i="1"/>
  <c r="A13740" i="1"/>
  <c r="D16490" i="1"/>
  <c r="B16490" i="1"/>
  <c r="A16490" i="1"/>
  <c r="D11131" i="1"/>
  <c r="B11131" i="1"/>
  <c r="A11131" i="1"/>
  <c r="D16403" i="1"/>
  <c r="B16403" i="1"/>
  <c r="A16403" i="1"/>
  <c r="D14386" i="1"/>
  <c r="C14386" i="1"/>
  <c r="B14386" i="1"/>
  <c r="A14386" i="1"/>
  <c r="D8611" i="1"/>
  <c r="C8611" i="1"/>
  <c r="B8611" i="1"/>
  <c r="A8611" i="1"/>
  <c r="D17604" i="1"/>
  <c r="B17604" i="1"/>
  <c r="A17604" i="1"/>
  <c r="D13067" i="1"/>
  <c r="B13067" i="1"/>
  <c r="A13067" i="1"/>
  <c r="D8168" i="1"/>
  <c r="C8168" i="1"/>
  <c r="B8168" i="1"/>
  <c r="A8168" i="1"/>
  <c r="D14347" i="1"/>
  <c r="C14347" i="1"/>
  <c r="B14347" i="1"/>
  <c r="A14347" i="1"/>
  <c r="D11655" i="1"/>
  <c r="C11655" i="1"/>
  <c r="B11655" i="1"/>
  <c r="A11655" i="1"/>
  <c r="D13373" i="1"/>
  <c r="B13373" i="1"/>
  <c r="A13373" i="1"/>
  <c r="D16558" i="1"/>
  <c r="C16558" i="1"/>
  <c r="B16558" i="1"/>
  <c r="A16558" i="1"/>
  <c r="D14274" i="1"/>
  <c r="C14274" i="1"/>
  <c r="B14274" i="1"/>
  <c r="A14274" i="1"/>
  <c r="D12984" i="1"/>
  <c r="C12984" i="1"/>
  <c r="B12984" i="1"/>
  <c r="A12984" i="1"/>
  <c r="D13775" i="1"/>
  <c r="C13775" i="1"/>
  <c r="B13775" i="1"/>
  <c r="A13775" i="1"/>
  <c r="D16917" i="1"/>
  <c r="B16917" i="1"/>
  <c r="A16917" i="1"/>
  <c r="D13295" i="1"/>
  <c r="B13295" i="1"/>
  <c r="A13295" i="1"/>
  <c r="D14424" i="1"/>
  <c r="B14424" i="1"/>
  <c r="A14424" i="1"/>
  <c r="D11657" i="1"/>
  <c r="B11657" i="1"/>
  <c r="A11657" i="1"/>
  <c r="D9182" i="1"/>
  <c r="A9182" i="1"/>
  <c r="D13082" i="1"/>
  <c r="B13082" i="1"/>
  <c r="A13082" i="1"/>
  <c r="D14427" i="1"/>
  <c r="C14427" i="1"/>
  <c r="B14427" i="1"/>
  <c r="A14427" i="1"/>
  <c r="D12552" i="1"/>
  <c r="C12552" i="1"/>
  <c r="B12552" i="1"/>
  <c r="A12552" i="1"/>
  <c r="D6121" i="1"/>
  <c r="C6121" i="1"/>
  <c r="B6121" i="1"/>
  <c r="A6121" i="1"/>
  <c r="D13456" i="1"/>
  <c r="B13456" i="1"/>
  <c r="A13456" i="1"/>
  <c r="D13064" i="1"/>
  <c r="C13064" i="1"/>
  <c r="B13064" i="1"/>
  <c r="A13064" i="1"/>
  <c r="D13093" i="1"/>
  <c r="C13093" i="1"/>
  <c r="B13093" i="1"/>
  <c r="A13093" i="1"/>
  <c r="D17031" i="1"/>
  <c r="B17031" i="1"/>
  <c r="A17031" i="1"/>
  <c r="D11674" i="1"/>
  <c r="C11674" i="1"/>
  <c r="B11674" i="1"/>
  <c r="A11674" i="1"/>
  <c r="D16681" i="1"/>
  <c r="C16681" i="1"/>
  <c r="B16681" i="1"/>
  <c r="A16681" i="1"/>
  <c r="D13627" i="1"/>
  <c r="B13627" i="1"/>
  <c r="A13627" i="1"/>
  <c r="D8320" i="1"/>
  <c r="C8320" i="1"/>
  <c r="B8320" i="1"/>
  <c r="A8320" i="1"/>
  <c r="D11302" i="1"/>
  <c r="C11302" i="1"/>
  <c r="B11302" i="1"/>
  <c r="A11302" i="1"/>
  <c r="D17116" i="1"/>
  <c r="B17116" i="1"/>
  <c r="A17116" i="1"/>
  <c r="D9139" i="1"/>
  <c r="B9139" i="1"/>
  <c r="A9139" i="1"/>
  <c r="D8612" i="1"/>
  <c r="C8612" i="1"/>
  <c r="B8612" i="1"/>
  <c r="A8612" i="1"/>
  <c r="D8278" i="1"/>
  <c r="C8278" i="1"/>
  <c r="B8278" i="1"/>
  <c r="A8278" i="1"/>
  <c r="D6995" i="1"/>
  <c r="C6995" i="1"/>
  <c r="B6995" i="1"/>
  <c r="A6995" i="1"/>
  <c r="D6469" i="1"/>
  <c r="B6469" i="1"/>
  <c r="A6469" i="1"/>
  <c r="D9822" i="1"/>
  <c r="C9822" i="1"/>
  <c r="B9822" i="1"/>
  <c r="A9822" i="1"/>
  <c r="D6457" i="1"/>
  <c r="B6457" i="1"/>
  <c r="A6457" i="1"/>
  <c r="D14204" i="1"/>
  <c r="C14204" i="1"/>
  <c r="B14204" i="1"/>
  <c r="A14204" i="1"/>
  <c r="D7689" i="1"/>
  <c r="B7689" i="1"/>
  <c r="A7689" i="1"/>
  <c r="D6603" i="1"/>
  <c r="B6603" i="1"/>
  <c r="A6603" i="1"/>
  <c r="D12410" i="1"/>
  <c r="B12410" i="1"/>
  <c r="A12410" i="1"/>
  <c r="D11299" i="1"/>
  <c r="C11299" i="1"/>
  <c r="B11299" i="1"/>
  <c r="A11299" i="1"/>
  <c r="D8729" i="1"/>
  <c r="B8729" i="1"/>
  <c r="A8729" i="1"/>
  <c r="D7885" i="1"/>
  <c r="B7885" i="1"/>
  <c r="A7885" i="1"/>
  <c r="D5940" i="1"/>
  <c r="C5940" i="1"/>
  <c r="B5940" i="1"/>
  <c r="A5940" i="1"/>
  <c r="D11476" i="1"/>
  <c r="B11476" i="1"/>
  <c r="A11476" i="1"/>
  <c r="D8072" i="1"/>
  <c r="B8072" i="1"/>
  <c r="A8072" i="1"/>
  <c r="D14317" i="1"/>
  <c r="B14317" i="1"/>
  <c r="A14317" i="1"/>
  <c r="D11817" i="1"/>
  <c r="B11817" i="1"/>
  <c r="A11817" i="1"/>
  <c r="D8959" i="1"/>
  <c r="B8959" i="1"/>
  <c r="A8959" i="1"/>
  <c r="D10287" i="1"/>
  <c r="C10287" i="1"/>
  <c r="B10287" i="1"/>
  <c r="A10287" i="1"/>
  <c r="D17814" i="1"/>
  <c r="B17814" i="1"/>
  <c r="A17814" i="1"/>
  <c r="D12845" i="1"/>
  <c r="C12845" i="1"/>
  <c r="B12845" i="1"/>
  <c r="A12845" i="1"/>
  <c r="D13590" i="1"/>
  <c r="C13590" i="1"/>
  <c r="B13590" i="1"/>
  <c r="A13590" i="1"/>
  <c r="D7902" i="1"/>
  <c r="B7902" i="1"/>
  <c r="A7902" i="1"/>
  <c r="D9227" i="1"/>
  <c r="C9227" i="1"/>
  <c r="B9227" i="1"/>
  <c r="A9227" i="1"/>
  <c r="D13877" i="1"/>
  <c r="B13877" i="1"/>
  <c r="A13877" i="1"/>
  <c r="D16113" i="1"/>
  <c r="B16113" i="1"/>
  <c r="A16113" i="1"/>
  <c r="D16849" i="1"/>
  <c r="C16849" i="1"/>
  <c r="B16849" i="1"/>
  <c r="A16849" i="1"/>
  <c r="D8663" i="1"/>
  <c r="C8663" i="1"/>
  <c r="B8663" i="1"/>
  <c r="A8663" i="1"/>
  <c r="D14311" i="1"/>
  <c r="B14311" i="1"/>
  <c r="A14311" i="1"/>
  <c r="D13637" i="1"/>
  <c r="C13637" i="1"/>
  <c r="B13637" i="1"/>
  <c r="A13637" i="1"/>
  <c r="D13009" i="1"/>
  <c r="C13009" i="1"/>
  <c r="B13009" i="1"/>
  <c r="A13009" i="1"/>
  <c r="D14628" i="1"/>
  <c r="B14628" i="1"/>
  <c r="A14628" i="1"/>
  <c r="D18682" i="1"/>
  <c r="B18682" i="1"/>
  <c r="A18682" i="1"/>
  <c r="D11652" i="1"/>
  <c r="B11652" i="1"/>
  <c r="A11652" i="1"/>
  <c r="D15456" i="1"/>
  <c r="C15456" i="1"/>
  <c r="B15456" i="1"/>
  <c r="A15456" i="1"/>
  <c r="D13787" i="1"/>
  <c r="C13787" i="1"/>
  <c r="B13787" i="1"/>
  <c r="A13787" i="1"/>
  <c r="D5870" i="1"/>
  <c r="C5870" i="1"/>
  <c r="B5870" i="1"/>
  <c r="A5870" i="1"/>
  <c r="D7751" i="1"/>
  <c r="B7751" i="1"/>
  <c r="A7751" i="1"/>
  <c r="D14908" i="1"/>
  <c r="B14908" i="1"/>
  <c r="A14908" i="1"/>
  <c r="D7551" i="1"/>
  <c r="C7551" i="1"/>
  <c r="B7551" i="1"/>
  <c r="A7551" i="1"/>
  <c r="D14372" i="1"/>
  <c r="C14372" i="1"/>
  <c r="B14372" i="1"/>
  <c r="A14372" i="1"/>
  <c r="D8310" i="1"/>
  <c r="B8310" i="1"/>
  <c r="A8310" i="1"/>
  <c r="D16393" i="1"/>
  <c r="C16393" i="1"/>
  <c r="B16393" i="1"/>
  <c r="A16393" i="1"/>
  <c r="D13204" i="1"/>
  <c r="B13204" i="1"/>
  <c r="A13204" i="1"/>
  <c r="D13554" i="1"/>
  <c r="C13554" i="1"/>
  <c r="B13554" i="1"/>
  <c r="A13554" i="1"/>
  <c r="D12911" i="1"/>
  <c r="B12911" i="1"/>
  <c r="A12911" i="1"/>
  <c r="D10834" i="1"/>
  <c r="B10834" i="1"/>
  <c r="A10834" i="1"/>
  <c r="D12551" i="1"/>
  <c r="B12551" i="1"/>
  <c r="A12551" i="1"/>
  <c r="D10579" i="1"/>
  <c r="C10579" i="1"/>
  <c r="B10579" i="1"/>
  <c r="A10579" i="1"/>
  <c r="D17888" i="1"/>
  <c r="B17888" i="1"/>
  <c r="A17888" i="1"/>
  <c r="D9210" i="1"/>
  <c r="C9210" i="1"/>
  <c r="B9210" i="1"/>
  <c r="A9210" i="1"/>
  <c r="D12230" i="1"/>
  <c r="C12230" i="1"/>
  <c r="B12230" i="1"/>
  <c r="A12230" i="1"/>
  <c r="D9488" i="1"/>
  <c r="C9488" i="1"/>
  <c r="B9488" i="1"/>
  <c r="A9488" i="1"/>
  <c r="D7880" i="1"/>
  <c r="C7880" i="1"/>
  <c r="B7880" i="1"/>
  <c r="A7880" i="1"/>
  <c r="D14355" i="1"/>
  <c r="C14355" i="1"/>
  <c r="B14355" i="1"/>
  <c r="A14355" i="1"/>
  <c r="D6623" i="1"/>
  <c r="B6623" i="1"/>
  <c r="A6623" i="1"/>
  <c r="D12268" i="1"/>
  <c r="C12268" i="1"/>
  <c r="B12268" i="1"/>
  <c r="A12268" i="1"/>
  <c r="D16453" i="1"/>
  <c r="C16453" i="1"/>
  <c r="B16453" i="1"/>
  <c r="A16453" i="1"/>
  <c r="D7286" i="1"/>
  <c r="B7286" i="1"/>
  <c r="A7286" i="1"/>
  <c r="D8786" i="1"/>
  <c r="C8786" i="1"/>
  <c r="B8786" i="1"/>
  <c r="A8786" i="1"/>
  <c r="D9794" i="1"/>
  <c r="C9794" i="1"/>
  <c r="B9794" i="1"/>
  <c r="A9794" i="1"/>
  <c r="D7272" i="1"/>
  <c r="A7272" i="1"/>
  <c r="D11564" i="1"/>
  <c r="C11564" i="1"/>
  <c r="B11564" i="1"/>
  <c r="A11564" i="1"/>
  <c r="D14360" i="1"/>
  <c r="C14360" i="1"/>
  <c r="B14360" i="1"/>
  <c r="A14360" i="1"/>
  <c r="D13801" i="1"/>
  <c r="B13801" i="1"/>
  <c r="A13801" i="1"/>
  <c r="D12081" i="1"/>
  <c r="B12081" i="1"/>
  <c r="A12081" i="1"/>
  <c r="D6183" i="1"/>
  <c r="C6183" i="1"/>
  <c r="B6183" i="1"/>
  <c r="A6183" i="1"/>
  <c r="D14383" i="1"/>
  <c r="C14383" i="1"/>
  <c r="B14383" i="1"/>
  <c r="A14383" i="1"/>
  <c r="D7883" i="1"/>
  <c r="C7883" i="1"/>
  <c r="B7883" i="1"/>
  <c r="A7883" i="1"/>
  <c r="D14584" i="1"/>
  <c r="B14584" i="1"/>
  <c r="A14584" i="1"/>
  <c r="D18365" i="1"/>
  <c r="B18365" i="1"/>
  <c r="A18365" i="1"/>
  <c r="D11631" i="1"/>
  <c r="C11631" i="1"/>
  <c r="B11631" i="1"/>
  <c r="A11631" i="1"/>
  <c r="D6986" i="1"/>
  <c r="B6986" i="1"/>
  <c r="A6986" i="1"/>
  <c r="D12785" i="1"/>
  <c r="C12785" i="1"/>
  <c r="B12785" i="1"/>
  <c r="A12785" i="1"/>
  <c r="D17928" i="1"/>
  <c r="B17928" i="1"/>
  <c r="A17928" i="1"/>
  <c r="D6386" i="1"/>
  <c r="B6386" i="1"/>
  <c r="A6386" i="1"/>
  <c r="D10435" i="1"/>
  <c r="B10435" i="1"/>
  <c r="A10435" i="1"/>
  <c r="D10855" i="1"/>
  <c r="B10855" i="1"/>
  <c r="A10855" i="1"/>
  <c r="D10488" i="1"/>
  <c r="B10488" i="1"/>
  <c r="A10488" i="1"/>
  <c r="D13002" i="1"/>
  <c r="B13002" i="1"/>
  <c r="A13002" i="1"/>
  <c r="D14416" i="1"/>
  <c r="B14416" i="1"/>
  <c r="A14416" i="1"/>
  <c r="D9191" i="1"/>
  <c r="C9191" i="1"/>
  <c r="B9191" i="1"/>
  <c r="A9191" i="1"/>
  <c r="D12850" i="1"/>
  <c r="B12850" i="1"/>
  <c r="A12850" i="1"/>
  <c r="D8339" i="1"/>
  <c r="B8339" i="1"/>
  <c r="A8339" i="1"/>
  <c r="D9064" i="1"/>
  <c r="B9064" i="1"/>
  <c r="A9064" i="1"/>
  <c r="D11501" i="1"/>
  <c r="B11501" i="1"/>
  <c r="A11501" i="1"/>
  <c r="D10152" i="1"/>
  <c r="B10152" i="1"/>
  <c r="A10152" i="1"/>
  <c r="D13386" i="1"/>
  <c r="C13386" i="1"/>
  <c r="B13386" i="1"/>
  <c r="A13386" i="1"/>
  <c r="D14390" i="1"/>
  <c r="C14390" i="1"/>
  <c r="B14390" i="1"/>
  <c r="A14390" i="1"/>
  <c r="D14329" i="1"/>
  <c r="C14329" i="1"/>
  <c r="B14329" i="1"/>
  <c r="A14329" i="1"/>
  <c r="D14225" i="1"/>
  <c r="C14225" i="1"/>
  <c r="B14225" i="1"/>
  <c r="A14225" i="1"/>
  <c r="D11288" i="1"/>
  <c r="B11288" i="1"/>
  <c r="A11288" i="1"/>
  <c r="D7740" i="1"/>
  <c r="B7740" i="1"/>
  <c r="A7740" i="1"/>
  <c r="D14387" i="1"/>
  <c r="C14387" i="1"/>
  <c r="B14387" i="1"/>
  <c r="A14387" i="1"/>
  <c r="D6752" i="1"/>
  <c r="B6752" i="1"/>
  <c r="A6752" i="1"/>
  <c r="D12576" i="1"/>
  <c r="C12576" i="1"/>
  <c r="B12576" i="1"/>
  <c r="A12576" i="1"/>
  <c r="D7715" i="1"/>
  <c r="B7715" i="1"/>
  <c r="A7715" i="1"/>
  <c r="D14637" i="1"/>
  <c r="B14637" i="1"/>
  <c r="A14637" i="1"/>
  <c r="D7639" i="1"/>
  <c r="B7639" i="1"/>
  <c r="A7639" i="1"/>
  <c r="D7760" i="1"/>
  <c r="B7760" i="1"/>
  <c r="A7760" i="1"/>
  <c r="D14184" i="1"/>
  <c r="B14184" i="1"/>
  <c r="A14184" i="1"/>
  <c r="D14230" i="1"/>
  <c r="C14230" i="1"/>
  <c r="B14230" i="1"/>
  <c r="A14230" i="1"/>
  <c r="D7952" i="1"/>
  <c r="C7952" i="1"/>
  <c r="B7952" i="1"/>
  <c r="A7952" i="1"/>
  <c r="D14313" i="1"/>
  <c r="C14313" i="1"/>
  <c r="B14313" i="1"/>
  <c r="A14313" i="1"/>
  <c r="D5871" i="1"/>
  <c r="C5871" i="1"/>
  <c r="B5871" i="1"/>
  <c r="A5871" i="1"/>
  <c r="D12667" i="1"/>
  <c r="B12667" i="1"/>
  <c r="A12667" i="1"/>
  <c r="D16026" i="1"/>
  <c r="B16026" i="1"/>
  <c r="A16026" i="1"/>
  <c r="D8910" i="1"/>
  <c r="B8910" i="1"/>
  <c r="A8910" i="1"/>
  <c r="D11172" i="1"/>
  <c r="B11172" i="1"/>
  <c r="A11172" i="1"/>
  <c r="D12521" i="1"/>
  <c r="B12521" i="1"/>
  <c r="A12521" i="1"/>
  <c r="D7078" i="1"/>
  <c r="B7078" i="1"/>
  <c r="A7078" i="1"/>
  <c r="D14282" i="1"/>
  <c r="B14282" i="1"/>
  <c r="A14282" i="1"/>
  <c r="D12649" i="1"/>
  <c r="B12649" i="1"/>
  <c r="A12649" i="1"/>
  <c r="D12524" i="1"/>
  <c r="B12524" i="1"/>
  <c r="A12524" i="1"/>
  <c r="D8282" i="1"/>
  <c r="B8282" i="1"/>
  <c r="A8282" i="1"/>
  <c r="D14247" i="1"/>
  <c r="C14247" i="1"/>
  <c r="B14247" i="1"/>
  <c r="A14247" i="1"/>
  <c r="D14162" i="1"/>
  <c r="B14162" i="1"/>
  <c r="A14162" i="1"/>
  <c r="D6461" i="1"/>
  <c r="C6461" i="1"/>
  <c r="B6461" i="1"/>
  <c r="A6461" i="1"/>
  <c r="D7356" i="1"/>
  <c r="B7356" i="1"/>
  <c r="A7356" i="1"/>
  <c r="D14226" i="1"/>
  <c r="B14226" i="1"/>
  <c r="A14226" i="1"/>
  <c r="D15647" i="1"/>
  <c r="B15647" i="1"/>
  <c r="A15647" i="1"/>
  <c r="D8007" i="1"/>
  <c r="C8007" i="1"/>
  <c r="B8007" i="1"/>
  <c r="A8007" i="1"/>
  <c r="D17770" i="1"/>
  <c r="C17770" i="1"/>
  <c r="B17770" i="1"/>
  <c r="A17770" i="1"/>
  <c r="D13609" i="1"/>
  <c r="B13609" i="1"/>
  <c r="A13609" i="1"/>
  <c r="D17668" i="1"/>
  <c r="C17668" i="1"/>
  <c r="B17668" i="1"/>
  <c r="A17668" i="1"/>
  <c r="D14502" i="1"/>
  <c r="C14502" i="1"/>
  <c r="B14502" i="1"/>
  <c r="A14502" i="1"/>
  <c r="D6010" i="1"/>
  <c r="C6010" i="1"/>
  <c r="B6010" i="1"/>
  <c r="A6010" i="1"/>
  <c r="D8290" i="1"/>
  <c r="B8290" i="1"/>
  <c r="A8290" i="1"/>
  <c r="D5925" i="1"/>
  <c r="B5925" i="1"/>
  <c r="A5925" i="1"/>
  <c r="D17173" i="1"/>
  <c r="C17173" i="1"/>
  <c r="B17173" i="1"/>
  <c r="A17173" i="1"/>
  <c r="D16607" i="1"/>
  <c r="B16607" i="1"/>
  <c r="A16607" i="1"/>
  <c r="D9121" i="1"/>
  <c r="B9121" i="1"/>
  <c r="A9121" i="1"/>
  <c r="D10464" i="1"/>
  <c r="B10464" i="1"/>
  <c r="A10464" i="1"/>
  <c r="D13833" i="1"/>
  <c r="B13833" i="1"/>
  <c r="A13833" i="1"/>
  <c r="D14363" i="1"/>
  <c r="C14363" i="1"/>
  <c r="B14363" i="1"/>
  <c r="A14363" i="1"/>
  <c r="D14196" i="1"/>
  <c r="B14196" i="1"/>
  <c r="A14196" i="1"/>
  <c r="D11250" i="1"/>
  <c r="C11250" i="1"/>
  <c r="B11250" i="1"/>
  <c r="A11250" i="1"/>
  <c r="D12313" i="1"/>
  <c r="C12313" i="1"/>
  <c r="B12313" i="1"/>
  <c r="A12313" i="1"/>
  <c r="D13626" i="1"/>
  <c r="C13626" i="1"/>
  <c r="B13626" i="1"/>
  <c r="A13626" i="1"/>
  <c r="D14477" i="1"/>
  <c r="B14477" i="1"/>
  <c r="A14477" i="1"/>
  <c r="D12998" i="1"/>
  <c r="C12998" i="1"/>
  <c r="B12998" i="1"/>
  <c r="A12998" i="1"/>
  <c r="D17172" i="1"/>
  <c r="B17172" i="1"/>
  <c r="A17172" i="1"/>
  <c r="D16401" i="1"/>
  <c r="C16401" i="1"/>
  <c r="B16401" i="1"/>
  <c r="A16401" i="1"/>
  <c r="D9697" i="1"/>
  <c r="C9697" i="1"/>
  <c r="B9697" i="1"/>
  <c r="A9697" i="1"/>
  <c r="D18288" i="1"/>
  <c r="C18288" i="1"/>
  <c r="B18288" i="1"/>
  <c r="A18288" i="1"/>
  <c r="D14335" i="1"/>
  <c r="C14335" i="1"/>
  <c r="B14335" i="1"/>
  <c r="A14335" i="1"/>
  <c r="D10170" i="1"/>
  <c r="B10170" i="1"/>
  <c r="A10170" i="1"/>
  <c r="D13650" i="1"/>
  <c r="B13650" i="1"/>
  <c r="A13650" i="1"/>
  <c r="D11294" i="1"/>
  <c r="C11294" i="1"/>
  <c r="B11294" i="1"/>
  <c r="A11294" i="1"/>
  <c r="D14371" i="1"/>
  <c r="B14371" i="1"/>
  <c r="A14371" i="1"/>
  <c r="D18057" i="1"/>
  <c r="B18057" i="1"/>
  <c r="A18057" i="1"/>
  <c r="D8683" i="1"/>
  <c r="B8683" i="1"/>
  <c r="A8683" i="1"/>
  <c r="D6571" i="1"/>
  <c r="B6571" i="1"/>
  <c r="A6571" i="1"/>
  <c r="D14748" i="1"/>
  <c r="B14748" i="1"/>
  <c r="A14748" i="1"/>
  <c r="D6116" i="1"/>
  <c r="B6116" i="1"/>
  <c r="A6116" i="1"/>
  <c r="D6497" i="1"/>
  <c r="C6497" i="1"/>
  <c r="B6497" i="1"/>
  <c r="A6497" i="1"/>
  <c r="D6263" i="1"/>
  <c r="B6263" i="1"/>
  <c r="A6263" i="1"/>
  <c r="D12317" i="1"/>
  <c r="B12317" i="1"/>
  <c r="A12317" i="1"/>
  <c r="D13486" i="1"/>
  <c r="B13486" i="1"/>
  <c r="A13486" i="1"/>
  <c r="D17877" i="1"/>
  <c r="B17877" i="1"/>
  <c r="A17877" i="1"/>
  <c r="D17908" i="1"/>
  <c r="B17908" i="1"/>
  <c r="A17908" i="1"/>
  <c r="D14047" i="1"/>
  <c r="B14047" i="1"/>
  <c r="A14047" i="1"/>
  <c r="D12560" i="1"/>
  <c r="C12560" i="1"/>
  <c r="B12560" i="1"/>
  <c r="A12560" i="1"/>
  <c r="D18813" i="1"/>
  <c r="B18813" i="1"/>
  <c r="A18813" i="1"/>
  <c r="D9775" i="1"/>
  <c r="B9775" i="1"/>
  <c r="A9775" i="1"/>
  <c r="D6465" i="1"/>
  <c r="B6465" i="1"/>
  <c r="A6465" i="1"/>
  <c r="D12982" i="1"/>
  <c r="C12982" i="1"/>
  <c r="B12982" i="1"/>
  <c r="A12982" i="1"/>
  <c r="D11221" i="1"/>
  <c r="C11221" i="1"/>
  <c r="B11221" i="1"/>
  <c r="A11221" i="1"/>
  <c r="D16538" i="1"/>
  <c r="B16538" i="1"/>
  <c r="A16538" i="1"/>
  <c r="D8497" i="1"/>
  <c r="B8497" i="1"/>
  <c r="A8497" i="1"/>
  <c r="D13729" i="1"/>
  <c r="C13729" i="1"/>
  <c r="B13729" i="1"/>
  <c r="A13729" i="1"/>
  <c r="D14421" i="1"/>
  <c r="C14421" i="1"/>
  <c r="B14421" i="1"/>
  <c r="A14421" i="1"/>
  <c r="D12286" i="1"/>
  <c r="B12286" i="1"/>
  <c r="A12286" i="1"/>
  <c r="D18497" i="1"/>
  <c r="B18497" i="1"/>
  <c r="A18497" i="1"/>
  <c r="D16294" i="1"/>
  <c r="C16294" i="1"/>
  <c r="B16294" i="1"/>
  <c r="A16294" i="1"/>
  <c r="D14635" i="1"/>
  <c r="B14635" i="1"/>
  <c r="A14635" i="1"/>
  <c r="D13314" i="1"/>
  <c r="C13314" i="1"/>
  <c r="B13314" i="1"/>
  <c r="A13314" i="1"/>
  <c r="D12810" i="1"/>
  <c r="C12810" i="1"/>
  <c r="B12810" i="1"/>
  <c r="A12810" i="1"/>
  <c r="D17356" i="1"/>
  <c r="B17356" i="1"/>
  <c r="A17356" i="1"/>
  <c r="D8367" i="1"/>
  <c r="C8367" i="1"/>
  <c r="B8367" i="1"/>
  <c r="A8367" i="1"/>
  <c r="D6552" i="1"/>
  <c r="B6552" i="1"/>
  <c r="A6552" i="1"/>
  <c r="D15565" i="1"/>
  <c r="B15565" i="1"/>
  <c r="A15565" i="1"/>
  <c r="D15892" i="1"/>
  <c r="B15892" i="1"/>
  <c r="A15892" i="1"/>
  <c r="D6416" i="1"/>
  <c r="C6416" i="1"/>
  <c r="B6416" i="1"/>
  <c r="A6416" i="1"/>
  <c r="D8530" i="1"/>
  <c r="C8530" i="1"/>
  <c r="B8530" i="1"/>
  <c r="A8530" i="1"/>
  <c r="D11827" i="1"/>
  <c r="C11827" i="1"/>
  <c r="B11827" i="1"/>
  <c r="A11827" i="1"/>
  <c r="D14251" i="1"/>
  <c r="C14251" i="1"/>
  <c r="B14251" i="1"/>
  <c r="A14251" i="1"/>
  <c r="D17396" i="1"/>
  <c r="C17396" i="1"/>
  <c r="B17396" i="1"/>
  <c r="A17396" i="1"/>
  <c r="D17331" i="1"/>
  <c r="B17331" i="1"/>
  <c r="A17331" i="1"/>
  <c r="D6003" i="1"/>
  <c r="C6003" i="1"/>
  <c r="B6003" i="1"/>
  <c r="A6003" i="1"/>
  <c r="D16064" i="1"/>
  <c r="C16064" i="1"/>
  <c r="B16064" i="1"/>
  <c r="A16064" i="1"/>
  <c r="D11215" i="1"/>
  <c r="C11215" i="1"/>
  <c r="B11215" i="1"/>
  <c r="A11215" i="1"/>
  <c r="D16698" i="1"/>
  <c r="B16698" i="1"/>
  <c r="A16698" i="1"/>
  <c r="D8271" i="1"/>
  <c r="C8271" i="1"/>
  <c r="B8271" i="1"/>
  <c r="A8271" i="1"/>
  <c r="D12935" i="1"/>
  <c r="C12935" i="1"/>
  <c r="B12935" i="1"/>
  <c r="A12935" i="1"/>
  <c r="D7799" i="1"/>
  <c r="C7799" i="1"/>
  <c r="B7799" i="1"/>
  <c r="A7799" i="1"/>
  <c r="D10476" i="1"/>
  <c r="A10476" i="1"/>
  <c r="D11319" i="1"/>
  <c r="C11319" i="1"/>
  <c r="B11319" i="1"/>
  <c r="A11319" i="1"/>
  <c r="D8654" i="1"/>
  <c r="C8654" i="1"/>
  <c r="B8654" i="1"/>
  <c r="A8654" i="1"/>
  <c r="D6093" i="1"/>
  <c r="B6093" i="1"/>
  <c r="A6093" i="1"/>
  <c r="D12249" i="1"/>
  <c r="B12249" i="1"/>
  <c r="A12249" i="1"/>
  <c r="D14649" i="1"/>
  <c r="B14649" i="1"/>
  <c r="A14649" i="1"/>
  <c r="D7253" i="1"/>
  <c r="B7253" i="1"/>
  <c r="A7253" i="1"/>
  <c r="D8525" i="1"/>
  <c r="B8525" i="1"/>
  <c r="A8525" i="1"/>
  <c r="D5928" i="1"/>
  <c r="C5928" i="1"/>
  <c r="B5928" i="1"/>
  <c r="A5928" i="1"/>
  <c r="D13377" i="1"/>
  <c r="C13377" i="1"/>
  <c r="B13377" i="1"/>
  <c r="A13377" i="1"/>
  <c r="D8557" i="1"/>
  <c r="C8557" i="1"/>
  <c r="B8557" i="1"/>
  <c r="A8557" i="1"/>
  <c r="D8315" i="1"/>
  <c r="B8315" i="1"/>
  <c r="A8315" i="1"/>
  <c r="D8861" i="1"/>
  <c r="B8861" i="1"/>
  <c r="A8861" i="1"/>
  <c r="D16084" i="1"/>
  <c r="C16084" i="1"/>
  <c r="B16084" i="1"/>
  <c r="A16084" i="1"/>
  <c r="D14361" i="1"/>
  <c r="C14361" i="1"/>
  <c r="B14361" i="1"/>
  <c r="A14361" i="1"/>
  <c r="D16017" i="1"/>
  <c r="C16017" i="1"/>
  <c r="B16017" i="1"/>
  <c r="A16017" i="1"/>
  <c r="D14142" i="1"/>
  <c r="C14142" i="1"/>
  <c r="B14142" i="1"/>
  <c r="A14142" i="1"/>
  <c r="D16533" i="1"/>
  <c r="C16533" i="1"/>
  <c r="B16533" i="1"/>
  <c r="A16533" i="1"/>
  <c r="D18230" i="1"/>
  <c r="B18230" i="1"/>
  <c r="A18230" i="1"/>
  <c r="D14676" i="1"/>
  <c r="C14676" i="1"/>
  <c r="B14676" i="1"/>
  <c r="A14676" i="1"/>
  <c r="D9063" i="1"/>
  <c r="C9063" i="1"/>
  <c r="B9063" i="1"/>
  <c r="A9063" i="1"/>
  <c r="D8481" i="1"/>
  <c r="C8481" i="1"/>
  <c r="B8481" i="1"/>
  <c r="A8481" i="1"/>
  <c r="D13056" i="1"/>
  <c r="B13056" i="1"/>
  <c r="A13056" i="1"/>
  <c r="D16503" i="1"/>
  <c r="C16503" i="1"/>
  <c r="B16503" i="1"/>
  <c r="A16503" i="1"/>
  <c r="D16430" i="1"/>
  <c r="C16430" i="1"/>
  <c r="B16430" i="1"/>
  <c r="A16430" i="1"/>
  <c r="D9528" i="1"/>
  <c r="B9528" i="1"/>
  <c r="A9528" i="1"/>
  <c r="D14370" i="1"/>
  <c r="C14370" i="1"/>
  <c r="B14370" i="1"/>
  <c r="A14370" i="1"/>
  <c r="D12345" i="1"/>
  <c r="B12345" i="1"/>
  <c r="A12345" i="1"/>
  <c r="D12629" i="1"/>
  <c r="B12629" i="1"/>
  <c r="A12629" i="1"/>
  <c r="D18687" i="1"/>
  <c r="B18687" i="1"/>
  <c r="A18687" i="1"/>
  <c r="D14506" i="1"/>
  <c r="B14506" i="1"/>
  <c r="A14506" i="1"/>
  <c r="D16648" i="1"/>
  <c r="B16648" i="1"/>
  <c r="A16648" i="1"/>
  <c r="D7901" i="1"/>
  <c r="C7901" i="1"/>
  <c r="B7901" i="1"/>
  <c r="A7901" i="1"/>
  <c r="D12782" i="1"/>
  <c r="C12782" i="1"/>
  <c r="B12782" i="1"/>
  <c r="A12782" i="1"/>
  <c r="D12543" i="1"/>
  <c r="B12543" i="1"/>
  <c r="A12543" i="1"/>
  <c r="D17612" i="1"/>
  <c r="C17612" i="1"/>
  <c r="B17612" i="1"/>
  <c r="A17612" i="1"/>
  <c r="D13201" i="1"/>
  <c r="B13201" i="1"/>
  <c r="A13201" i="1"/>
  <c r="D14306" i="1"/>
  <c r="C14306" i="1"/>
  <c r="B14306" i="1"/>
  <c r="A14306" i="1"/>
  <c r="D8436" i="1"/>
  <c r="C8436" i="1"/>
  <c r="B8436" i="1"/>
  <c r="A8436" i="1"/>
  <c r="D16465" i="1"/>
  <c r="B16465" i="1"/>
  <c r="A16465" i="1"/>
  <c r="D5885" i="1"/>
  <c r="C5885" i="1"/>
  <c r="B5885" i="1"/>
  <c r="A5885" i="1"/>
  <c r="D16755" i="1"/>
  <c r="C16755" i="1"/>
  <c r="B16755" i="1"/>
  <c r="A16755" i="1"/>
  <c r="D16484" i="1"/>
  <c r="C16484" i="1"/>
  <c r="B16484" i="1"/>
  <c r="A16484" i="1"/>
  <c r="D8461" i="1"/>
  <c r="C8461" i="1"/>
  <c r="B8461" i="1"/>
  <c r="A8461" i="1"/>
  <c r="D13014" i="1"/>
  <c r="B13014" i="1"/>
  <c r="A13014" i="1"/>
  <c r="D12719" i="1"/>
  <c r="C12719" i="1"/>
  <c r="B12719" i="1"/>
  <c r="A12719" i="1"/>
  <c r="D14678" i="1"/>
  <c r="C14678" i="1"/>
  <c r="B14678" i="1"/>
  <c r="A14678" i="1"/>
  <c r="D18217" i="1"/>
  <c r="C18217" i="1"/>
  <c r="B18217" i="1"/>
  <c r="A18217" i="1"/>
  <c r="D10552" i="1"/>
  <c r="B10552" i="1"/>
  <c r="A10552" i="1"/>
  <c r="D13312" i="1"/>
  <c r="B13312" i="1"/>
  <c r="A13312" i="1"/>
  <c r="D17941" i="1"/>
  <c r="C17941" i="1"/>
  <c r="B17941" i="1"/>
  <c r="A17941" i="1"/>
  <c r="D8353" i="1"/>
  <c r="B8353" i="1"/>
  <c r="A8353" i="1"/>
  <c r="D12954" i="1"/>
  <c r="C12954" i="1"/>
  <c r="B12954" i="1"/>
  <c r="A12954" i="1"/>
  <c r="D12581" i="1"/>
  <c r="C12581" i="1"/>
  <c r="B12581" i="1"/>
  <c r="A12581" i="1"/>
  <c r="D14217" i="1"/>
  <c r="B14217" i="1"/>
  <c r="A14217" i="1"/>
  <c r="D13914" i="1"/>
  <c r="B13914" i="1"/>
  <c r="A13914" i="1"/>
  <c r="D6397" i="1"/>
  <c r="C6397" i="1"/>
  <c r="B6397" i="1"/>
  <c r="A6397" i="1"/>
  <c r="D5995" i="1"/>
  <c r="B5995" i="1"/>
  <c r="A5995" i="1"/>
  <c r="D7309" i="1"/>
  <c r="C7309" i="1"/>
  <c r="B7309" i="1"/>
  <c r="A7309" i="1"/>
  <c r="D5979" i="1"/>
  <c r="C5979" i="1"/>
  <c r="B5979" i="1"/>
  <c r="A5979" i="1"/>
  <c r="D6229" i="1"/>
  <c r="B6229" i="1"/>
  <c r="A6229" i="1"/>
  <c r="D14373" i="1"/>
  <c r="C14373" i="1"/>
  <c r="B14373" i="1"/>
  <c r="A14373" i="1"/>
  <c r="D17955" i="1"/>
  <c r="C17955" i="1"/>
  <c r="B17955" i="1"/>
  <c r="A17955" i="1"/>
  <c r="D13248" i="1"/>
  <c r="B13248" i="1"/>
  <c r="A13248" i="1"/>
  <c r="D8889" i="1"/>
  <c r="B8889" i="1"/>
  <c r="A8889" i="1"/>
  <c r="D6567" i="1"/>
  <c r="B6567" i="1"/>
  <c r="A6567" i="1"/>
  <c r="D8279" i="1"/>
  <c r="C8279" i="1"/>
  <c r="B8279" i="1"/>
  <c r="A8279" i="1"/>
  <c r="D10696" i="1"/>
  <c r="B10696" i="1"/>
  <c r="A10696" i="1"/>
  <c r="D11937" i="1"/>
  <c r="B11937" i="1"/>
  <c r="A11937" i="1"/>
  <c r="D14299" i="1"/>
  <c r="C14299" i="1"/>
  <c r="B14299" i="1"/>
  <c r="A14299" i="1"/>
  <c r="D6597" i="1"/>
  <c r="B6597" i="1"/>
  <c r="A6597" i="1"/>
  <c r="D8856" i="1"/>
  <c r="C8856" i="1"/>
  <c r="B8856" i="1"/>
  <c r="A8856" i="1"/>
  <c r="D7457" i="1"/>
  <c r="B7457" i="1"/>
  <c r="A7457" i="1"/>
  <c r="D7247" i="1"/>
  <c r="B7247" i="1"/>
  <c r="A7247" i="1"/>
  <c r="D7383" i="1"/>
  <c r="B7383" i="1"/>
  <c r="A7383" i="1"/>
  <c r="D17831" i="1"/>
  <c r="A17831" i="1"/>
  <c r="D12579" i="1"/>
  <c r="B12579" i="1"/>
  <c r="A12579" i="1"/>
  <c r="D9933" i="1"/>
  <c r="C9933" i="1"/>
  <c r="B9933" i="1"/>
  <c r="A9933" i="1"/>
  <c r="D7677" i="1"/>
  <c r="B7677" i="1"/>
  <c r="A7677" i="1"/>
  <c r="D11380" i="1"/>
  <c r="C11380" i="1"/>
  <c r="B11380" i="1"/>
  <c r="A11380" i="1"/>
  <c r="D8787" i="1"/>
  <c r="B8787" i="1"/>
  <c r="A8787" i="1"/>
  <c r="D5994" i="1"/>
  <c r="C5994" i="1"/>
  <c r="B5994" i="1"/>
  <c r="A5994" i="1"/>
  <c r="D8808" i="1"/>
  <c r="C8808" i="1"/>
  <c r="B8808" i="1"/>
  <c r="A8808" i="1"/>
  <c r="D11682" i="1"/>
  <c r="C11682" i="1"/>
  <c r="B11682" i="1"/>
  <c r="A11682" i="1"/>
  <c r="D7431" i="1"/>
  <c r="B7431" i="1"/>
  <c r="A7431" i="1"/>
  <c r="D14368" i="1"/>
  <c r="C14368" i="1"/>
  <c r="B14368" i="1"/>
  <c r="A14368" i="1"/>
  <c r="D16720" i="1"/>
  <c r="B16720" i="1"/>
  <c r="A16720" i="1"/>
  <c r="D11886" i="1"/>
  <c r="C11886" i="1"/>
  <c r="B11886" i="1"/>
  <c r="A11886" i="1"/>
  <c r="D12921" i="1"/>
  <c r="B12921" i="1"/>
  <c r="A12921" i="1"/>
  <c r="D16419" i="1"/>
  <c r="C16419" i="1"/>
  <c r="B16419" i="1"/>
  <c r="A16419" i="1"/>
  <c r="D7403" i="1"/>
  <c r="B7403" i="1"/>
  <c r="A7403" i="1"/>
  <c r="D13544" i="1"/>
  <c r="B13544" i="1"/>
  <c r="A13544" i="1"/>
  <c r="D8667" i="1"/>
  <c r="C8667" i="1"/>
  <c r="B8667" i="1"/>
  <c r="A8667" i="1"/>
  <c r="D11718" i="1"/>
  <c r="C11718" i="1"/>
  <c r="B11718" i="1"/>
  <c r="A11718" i="1"/>
  <c r="D13786" i="1"/>
  <c r="C13786" i="1"/>
  <c r="B13786" i="1"/>
  <c r="A13786" i="1"/>
  <c r="D17733" i="1"/>
  <c r="B17733" i="1"/>
  <c r="A17733" i="1"/>
  <c r="D11304" i="1"/>
  <c r="B11304" i="1"/>
  <c r="A11304" i="1"/>
  <c r="D5872" i="1"/>
  <c r="C5872" i="1"/>
  <c r="B5872" i="1"/>
  <c r="A5872" i="1"/>
  <c r="D17927" i="1"/>
  <c r="B17927" i="1"/>
  <c r="A17927" i="1"/>
  <c r="D8624" i="1"/>
  <c r="C8624" i="1"/>
  <c r="B8624" i="1"/>
  <c r="A8624" i="1"/>
  <c r="D8789" i="1"/>
  <c r="C8789" i="1"/>
  <c r="B8789" i="1"/>
  <c r="A8789" i="1"/>
  <c r="D6193" i="1"/>
  <c r="B6193" i="1"/>
  <c r="A6193" i="1"/>
  <c r="D13359" i="1"/>
  <c r="B13359" i="1"/>
  <c r="A13359" i="1"/>
  <c r="D12525" i="1"/>
  <c r="B12525" i="1"/>
  <c r="A12525" i="1"/>
  <c r="D9469" i="1"/>
  <c r="B9469" i="1"/>
  <c r="A9469" i="1"/>
  <c r="D13932" i="1"/>
  <c r="B13932" i="1"/>
  <c r="A13932" i="1"/>
  <c r="D13079" i="1"/>
  <c r="B13079" i="1"/>
  <c r="A13079" i="1"/>
  <c r="D16830" i="1"/>
  <c r="C16830" i="1"/>
  <c r="B16830" i="1"/>
  <c r="A16830" i="1"/>
  <c r="D10562" i="1"/>
  <c r="A10562" i="1"/>
  <c r="D18676" i="1"/>
  <c r="B18676" i="1"/>
  <c r="A18676" i="1"/>
  <c r="D7558" i="1"/>
  <c r="B7558" i="1"/>
  <c r="A7558" i="1"/>
  <c r="D8660" i="1"/>
  <c r="C8660" i="1"/>
  <c r="B8660" i="1"/>
  <c r="A8660" i="1"/>
  <c r="D13117" i="1"/>
  <c r="C13117" i="1"/>
  <c r="B13117" i="1"/>
  <c r="A13117" i="1"/>
  <c r="D11312" i="1"/>
  <c r="B11312" i="1"/>
  <c r="A11312" i="1"/>
  <c r="D14570" i="1"/>
  <c r="C14570" i="1"/>
  <c r="B14570" i="1"/>
  <c r="A14570" i="1"/>
  <c r="D14367" i="1"/>
  <c r="B14367" i="1"/>
  <c r="A14367" i="1"/>
  <c r="D8753" i="1"/>
  <c r="C8753" i="1"/>
  <c r="B8753" i="1"/>
  <c r="A8753" i="1"/>
  <c r="D18504" i="1"/>
  <c r="B18504" i="1"/>
  <c r="A18504" i="1"/>
  <c r="D15452" i="1"/>
  <c r="C15452" i="1"/>
  <c r="B15452" i="1"/>
  <c r="A15452" i="1"/>
  <c r="D14377" i="1"/>
  <c r="C14377" i="1"/>
  <c r="B14377" i="1"/>
  <c r="A14377" i="1"/>
  <c r="D7132" i="1"/>
  <c r="B7132" i="1"/>
  <c r="A7132" i="1"/>
  <c r="D15446" i="1"/>
  <c r="C15446" i="1"/>
  <c r="B15446" i="1"/>
  <c r="A15446" i="1"/>
  <c r="D8825" i="1"/>
  <c r="B8825" i="1"/>
  <c r="A8825" i="1"/>
  <c r="D16381" i="1"/>
  <c r="C16381" i="1"/>
  <c r="B16381" i="1"/>
  <c r="A16381" i="1"/>
  <c r="D18199" i="1"/>
  <c r="C18199" i="1"/>
  <c r="B18199" i="1"/>
  <c r="A18199" i="1"/>
  <c r="D15575" i="1"/>
  <c r="B15575" i="1"/>
  <c r="A15575" i="1"/>
  <c r="D17633" i="1"/>
  <c r="B17633" i="1"/>
  <c r="A17633" i="1"/>
  <c r="D6844" i="1"/>
  <c r="B6844" i="1"/>
  <c r="A6844" i="1"/>
  <c r="D13612" i="1"/>
  <c r="C13612" i="1"/>
  <c r="B13612" i="1"/>
  <c r="A13612" i="1"/>
  <c r="D6095" i="1"/>
  <c r="C6095" i="1"/>
  <c r="B6095" i="1"/>
  <c r="A6095" i="1"/>
  <c r="D17962" i="1"/>
  <c r="B17962" i="1"/>
  <c r="A17962" i="1"/>
  <c r="D7212" i="1"/>
  <c r="B7212" i="1"/>
  <c r="A7212" i="1"/>
  <c r="D13730" i="1"/>
  <c r="C13730" i="1"/>
  <c r="B13730" i="1"/>
  <c r="A13730" i="1"/>
  <c r="D5964" i="1"/>
  <c r="B5964" i="1"/>
  <c r="A5964" i="1"/>
  <c r="D16664" i="1"/>
  <c r="C16664" i="1"/>
  <c r="B16664" i="1"/>
  <c r="A16664" i="1"/>
  <c r="D12557" i="1"/>
  <c r="B12557" i="1"/>
  <c r="A12557" i="1"/>
  <c r="D8240" i="1"/>
  <c r="B8240" i="1"/>
  <c r="A8240" i="1"/>
  <c r="D6848" i="1"/>
  <c r="B6848" i="1"/>
  <c r="A6848" i="1"/>
  <c r="D18698" i="1"/>
  <c r="C18698" i="1"/>
  <c r="B18698" i="1"/>
  <c r="A18698" i="1"/>
  <c r="D6023" i="1"/>
  <c r="C6023" i="1"/>
  <c r="B6023" i="1"/>
  <c r="A6023" i="1"/>
  <c r="D15910" i="1"/>
  <c r="C15910" i="1"/>
  <c r="B15910" i="1"/>
  <c r="A15910" i="1"/>
  <c r="D15826" i="1"/>
  <c r="C15826" i="1"/>
  <c r="B15826" i="1"/>
  <c r="A15826" i="1"/>
  <c r="D13537" i="1"/>
  <c r="B13537" i="1"/>
  <c r="A13537" i="1"/>
  <c r="D9692" i="1"/>
  <c r="B9692" i="1"/>
  <c r="A9692" i="1"/>
  <c r="D11414" i="1"/>
  <c r="C11414" i="1"/>
  <c r="B11414" i="1"/>
  <c r="A11414" i="1"/>
  <c r="D17684" i="1"/>
  <c r="B17684" i="1"/>
  <c r="A17684" i="1"/>
  <c r="D6544" i="1"/>
  <c r="B6544" i="1"/>
  <c r="A6544" i="1"/>
  <c r="D6181" i="1"/>
  <c r="B6181" i="1"/>
  <c r="A6181" i="1"/>
  <c r="D17711" i="1"/>
  <c r="C17711" i="1"/>
  <c r="B17711" i="1"/>
  <c r="A17711" i="1"/>
  <c r="D16454" i="1"/>
  <c r="B16454" i="1"/>
  <c r="A16454" i="1"/>
  <c r="D11375" i="1"/>
  <c r="B11375" i="1"/>
  <c r="A11375" i="1"/>
  <c r="D8867" i="1"/>
  <c r="B8867" i="1"/>
  <c r="A8867" i="1"/>
  <c r="D8289" i="1"/>
  <c r="B8289" i="1"/>
  <c r="A8289" i="1"/>
  <c r="D18041" i="1"/>
  <c r="C18041" i="1"/>
  <c r="B18041" i="1"/>
  <c r="A18041" i="1"/>
  <c r="D11671" i="1"/>
  <c r="C11671" i="1"/>
  <c r="B11671" i="1"/>
  <c r="A11671" i="1"/>
  <c r="D6032" i="1"/>
  <c r="C6032" i="1"/>
  <c r="B6032" i="1"/>
  <c r="A6032" i="1"/>
  <c r="D8340" i="1"/>
  <c r="C8340" i="1"/>
  <c r="B8340" i="1"/>
  <c r="A8340" i="1"/>
  <c r="D16892" i="1"/>
  <c r="B16892" i="1"/>
  <c r="A16892" i="1"/>
  <c r="D13118" i="1"/>
  <c r="B13118" i="1"/>
  <c r="A13118" i="1"/>
  <c r="D15582" i="1"/>
  <c r="C15582" i="1"/>
  <c r="B15582" i="1"/>
  <c r="A15582" i="1"/>
  <c r="D16620" i="1"/>
  <c r="B16620" i="1"/>
  <c r="A16620" i="1"/>
  <c r="D16918" i="1"/>
  <c r="C16918" i="1"/>
  <c r="B16918" i="1"/>
  <c r="A16918" i="1"/>
  <c r="D14734" i="1"/>
  <c r="B14734" i="1"/>
  <c r="A14734" i="1"/>
  <c r="D10711" i="1"/>
  <c r="B10711" i="1"/>
  <c r="A10711" i="1"/>
  <c r="D17468" i="1"/>
  <c r="A17468" i="1"/>
  <c r="D18354" i="1"/>
  <c r="B18354" i="1"/>
  <c r="A18354" i="1"/>
  <c r="D6019" i="1"/>
  <c r="C6019" i="1"/>
  <c r="B6019" i="1"/>
  <c r="A6019" i="1"/>
  <c r="D8885" i="1"/>
  <c r="C8885" i="1"/>
  <c r="B8885" i="1"/>
  <c r="A8885" i="1"/>
  <c r="D8839" i="1"/>
  <c r="B8839" i="1"/>
  <c r="A8839" i="1"/>
  <c r="D10474" i="1"/>
  <c r="B10474" i="1"/>
  <c r="A10474" i="1"/>
  <c r="D14514" i="1"/>
  <c r="C14514" i="1"/>
  <c r="B14514" i="1"/>
  <c r="A14514" i="1"/>
  <c r="D13939" i="1"/>
  <c r="B13939" i="1"/>
  <c r="A13939" i="1"/>
  <c r="D18541" i="1"/>
  <c r="B18541" i="1"/>
  <c r="A18541" i="1"/>
  <c r="D6515" i="1"/>
  <c r="B6515" i="1"/>
  <c r="A6515" i="1"/>
  <c r="D15709" i="1"/>
  <c r="B15709" i="1"/>
  <c r="A15709" i="1"/>
  <c r="D11251" i="1"/>
  <c r="C11251" i="1"/>
  <c r="B11251" i="1"/>
  <c r="A11251" i="1"/>
  <c r="D14526" i="1"/>
  <c r="C14526" i="1"/>
  <c r="B14526" i="1"/>
  <c r="A14526" i="1"/>
  <c r="D15965" i="1"/>
  <c r="B15965" i="1"/>
  <c r="A15965" i="1"/>
  <c r="D15249" i="1"/>
  <c r="B15249" i="1"/>
  <c r="A15249" i="1"/>
  <c r="D16718" i="1"/>
  <c r="B16718" i="1"/>
  <c r="A16718" i="1"/>
  <c r="D12807" i="1"/>
  <c r="C12807" i="1"/>
  <c r="B12807" i="1"/>
  <c r="A12807" i="1"/>
  <c r="D14342" i="1"/>
  <c r="B14342" i="1"/>
  <c r="A14342" i="1"/>
  <c r="D16642" i="1"/>
  <c r="B16642" i="1"/>
  <c r="A16642" i="1"/>
  <c r="D7786" i="1"/>
  <c r="B7786" i="1"/>
  <c r="A7786" i="1"/>
  <c r="D15596" i="1"/>
  <c r="C15596" i="1"/>
  <c r="B15596" i="1"/>
  <c r="A15596" i="1"/>
  <c r="D14366" i="1"/>
  <c r="C14366" i="1"/>
  <c r="B14366" i="1"/>
  <c r="A14366" i="1"/>
  <c r="D18441" i="1"/>
  <c r="B18441" i="1"/>
  <c r="A18441" i="1"/>
  <c r="D16771" i="1"/>
  <c r="B16771" i="1"/>
  <c r="A16771" i="1"/>
  <c r="D18801" i="1"/>
  <c r="B18801" i="1"/>
  <c r="A18801" i="1"/>
  <c r="D5927" i="1"/>
  <c r="B5927" i="1"/>
  <c r="A5927" i="1"/>
  <c r="D17306" i="1"/>
  <c r="B17306" i="1"/>
  <c r="A17306" i="1"/>
  <c r="D14834" i="1"/>
  <c r="A14834" i="1"/>
  <c r="D11677" i="1"/>
  <c r="B11677" i="1"/>
  <c r="A11677" i="1"/>
  <c r="D9214" i="1"/>
  <c r="C9214" i="1"/>
  <c r="B9214" i="1"/>
  <c r="A9214" i="1"/>
  <c r="D15963" i="1"/>
  <c r="C15963" i="1"/>
  <c r="B15963" i="1"/>
  <c r="A15963" i="1"/>
  <c r="D9102" i="1"/>
  <c r="B9102" i="1"/>
  <c r="A9102" i="1"/>
  <c r="D8585" i="1"/>
  <c r="C8585" i="1"/>
  <c r="B8585" i="1"/>
  <c r="A8585" i="1"/>
  <c r="D16875" i="1"/>
  <c r="C16875" i="1"/>
  <c r="B16875" i="1"/>
  <c r="A16875" i="1"/>
  <c r="D13136" i="1"/>
  <c r="C13136" i="1"/>
  <c r="B13136" i="1"/>
  <c r="A13136" i="1"/>
  <c r="D8350" i="1"/>
  <c r="B8350" i="1"/>
  <c r="A8350" i="1"/>
  <c r="D5873" i="1"/>
  <c r="C5873" i="1"/>
  <c r="B5873" i="1"/>
  <c r="A5873" i="1"/>
  <c r="D7653" i="1"/>
  <c r="B7653" i="1"/>
  <c r="A7653" i="1"/>
  <c r="D8627" i="1"/>
  <c r="B8627" i="1"/>
  <c r="A8627" i="1"/>
  <c r="D8656" i="1"/>
  <c r="C8656" i="1"/>
  <c r="B8656" i="1"/>
  <c r="A8656" i="1"/>
  <c r="D16536" i="1"/>
  <c r="B16536" i="1"/>
  <c r="A16536" i="1"/>
  <c r="D16671" i="1"/>
  <c r="B16671" i="1"/>
  <c r="A16671" i="1"/>
  <c r="D14322" i="1"/>
  <c r="C14322" i="1"/>
  <c r="B14322" i="1"/>
  <c r="A14322" i="1"/>
  <c r="D17276" i="1"/>
  <c r="C17276" i="1"/>
  <c r="B17276" i="1"/>
  <c r="A17276" i="1"/>
  <c r="D7655" i="1"/>
  <c r="C7655" i="1"/>
  <c r="B7655" i="1"/>
  <c r="A7655" i="1"/>
  <c r="D14418" i="1"/>
  <c r="C14418" i="1"/>
  <c r="B14418" i="1"/>
  <c r="A14418" i="1"/>
  <c r="D13531" i="1"/>
  <c r="C13531" i="1"/>
  <c r="B13531" i="1"/>
  <c r="A13531" i="1"/>
  <c r="D11821" i="1"/>
  <c r="B11821" i="1"/>
  <c r="A11821" i="1"/>
  <c r="D8270" i="1"/>
  <c r="C8270" i="1"/>
  <c r="B8270" i="1"/>
  <c r="A8270" i="1"/>
  <c r="D12597" i="1"/>
  <c r="B12597" i="1"/>
  <c r="A12597" i="1"/>
  <c r="D7179" i="1"/>
  <c r="A7179" i="1"/>
  <c r="D10540" i="1"/>
  <c r="B10540" i="1"/>
  <c r="A10540" i="1"/>
  <c r="D16690" i="1"/>
  <c r="C16690" i="1"/>
  <c r="B16690" i="1"/>
  <c r="A16690" i="1"/>
  <c r="D17523" i="1"/>
  <c r="C17523" i="1"/>
  <c r="B17523" i="1"/>
  <c r="A17523" i="1"/>
  <c r="D17894" i="1"/>
  <c r="C17894" i="1"/>
  <c r="B17894" i="1"/>
  <c r="A17894" i="1"/>
  <c r="D16576" i="1"/>
  <c r="C16576" i="1"/>
  <c r="B16576" i="1"/>
  <c r="A16576" i="1"/>
  <c r="D16682" i="1"/>
  <c r="B16682" i="1"/>
  <c r="A16682" i="1"/>
  <c r="D6009" i="1"/>
  <c r="B6009" i="1"/>
  <c r="A6009" i="1"/>
  <c r="D15655" i="1"/>
  <c r="B15655" i="1"/>
  <c r="A15655" i="1"/>
  <c r="D14622" i="1"/>
  <c r="C14622" i="1"/>
  <c r="B14622" i="1"/>
  <c r="A14622" i="1"/>
  <c r="D9251" i="1"/>
  <c r="C9251" i="1"/>
  <c r="B9251" i="1"/>
  <c r="A9251" i="1"/>
  <c r="D14173" i="1"/>
  <c r="B14173" i="1"/>
  <c r="A14173" i="1"/>
  <c r="D7975" i="1"/>
  <c r="B7975" i="1"/>
  <c r="A7975" i="1"/>
  <c r="D9381" i="1"/>
  <c r="B9381" i="1"/>
  <c r="A9381" i="1"/>
  <c r="D6135" i="1"/>
  <c r="B6135" i="1"/>
  <c r="A6135" i="1"/>
  <c r="D10836" i="1"/>
  <c r="B10836" i="1"/>
  <c r="A10836" i="1"/>
  <c r="D13088" i="1"/>
  <c r="C13088" i="1"/>
  <c r="B13088" i="1"/>
  <c r="A13088" i="1"/>
  <c r="D10715" i="1"/>
  <c r="B10715" i="1"/>
  <c r="A10715" i="1"/>
  <c r="D8686" i="1"/>
  <c r="B8686" i="1"/>
  <c r="A8686" i="1"/>
  <c r="D6140" i="1"/>
  <c r="C6140" i="1"/>
  <c r="B6140" i="1"/>
  <c r="A6140" i="1"/>
  <c r="D6014" i="1"/>
  <c r="B6014" i="1"/>
  <c r="A6014" i="1"/>
  <c r="D6290" i="1"/>
  <c r="B6290" i="1"/>
  <c r="A6290" i="1"/>
  <c r="D7448" i="1"/>
  <c r="C7448" i="1"/>
  <c r="B7448" i="1"/>
  <c r="A7448" i="1"/>
  <c r="D14127" i="1"/>
  <c r="B14127" i="1"/>
  <c r="A14127" i="1"/>
  <c r="D11217" i="1"/>
  <c r="B11217" i="1"/>
  <c r="A11217" i="1"/>
  <c r="D12823" i="1"/>
  <c r="C12823" i="1"/>
  <c r="B12823" i="1"/>
  <c r="A12823" i="1"/>
  <c r="D9612" i="1"/>
  <c r="C9612" i="1"/>
  <c r="B9612" i="1"/>
  <c r="A9612" i="1"/>
  <c r="D12762" i="1"/>
  <c r="C12762" i="1"/>
  <c r="B12762" i="1"/>
  <c r="A12762" i="1"/>
  <c r="D11679" i="1"/>
  <c r="C11679" i="1"/>
  <c r="B11679" i="1"/>
  <c r="A11679" i="1"/>
  <c r="D13405" i="1"/>
  <c r="B13405" i="1"/>
  <c r="A13405" i="1"/>
  <c r="D14643" i="1"/>
  <c r="C14643" i="1"/>
  <c r="B14643" i="1"/>
  <c r="A14643" i="1"/>
  <c r="D14286" i="1"/>
  <c r="B14286" i="1"/>
  <c r="A14286" i="1"/>
  <c r="D8730" i="1"/>
  <c r="B8730" i="1"/>
  <c r="A8730" i="1"/>
  <c r="D16099" i="1"/>
  <c r="B16099" i="1"/>
  <c r="A16099" i="1"/>
  <c r="D11168" i="1"/>
  <c r="B11168" i="1"/>
  <c r="A11168" i="1"/>
  <c r="D8343" i="1"/>
  <c r="B8343" i="1"/>
  <c r="A8343" i="1"/>
  <c r="D9355" i="1"/>
  <c r="A9355" i="1"/>
  <c r="D10557" i="1"/>
  <c r="B10557" i="1"/>
  <c r="A10557" i="1"/>
  <c r="D18480" i="1"/>
  <c r="B18480" i="1"/>
  <c r="A18480" i="1"/>
  <c r="D9551" i="1"/>
  <c r="B9551" i="1"/>
  <c r="A9551" i="1"/>
  <c r="D13631" i="1"/>
  <c r="C13631" i="1"/>
  <c r="B13631" i="1"/>
  <c r="A13631" i="1"/>
  <c r="D6464" i="1"/>
  <c r="C6464" i="1"/>
  <c r="B6464" i="1"/>
  <c r="A6464" i="1"/>
  <c r="D12955" i="1"/>
  <c r="C12955" i="1"/>
  <c r="B12955" i="1"/>
  <c r="A12955" i="1"/>
  <c r="D15453" i="1"/>
  <c r="C15453" i="1"/>
  <c r="B15453" i="1"/>
  <c r="A15453" i="1"/>
  <c r="D16834" i="1"/>
  <c r="B16834" i="1"/>
  <c r="A16834" i="1"/>
  <c r="D15951" i="1"/>
  <c r="B15951" i="1"/>
  <c r="A15951" i="1"/>
  <c r="D9744" i="1"/>
  <c r="B9744" i="1"/>
  <c r="A9744" i="1"/>
  <c r="D15561" i="1"/>
  <c r="B15561" i="1"/>
  <c r="A15561" i="1"/>
  <c r="D18489" i="1"/>
  <c r="C18489" i="1"/>
  <c r="B18489" i="1"/>
  <c r="A18489" i="1"/>
  <c r="D17719" i="1"/>
  <c r="C17719" i="1"/>
  <c r="B17719" i="1"/>
  <c r="A17719" i="1"/>
  <c r="D10808" i="1"/>
  <c r="B10808" i="1"/>
  <c r="A10808" i="1"/>
  <c r="D12848" i="1"/>
  <c r="B12848" i="1"/>
  <c r="A12848" i="1"/>
  <c r="D14328" i="1"/>
  <c r="B14328" i="1"/>
  <c r="A14328" i="1"/>
  <c r="D14351" i="1"/>
  <c r="C14351" i="1"/>
  <c r="B14351" i="1"/>
  <c r="A14351" i="1"/>
  <c r="D7934" i="1"/>
  <c r="B7934" i="1"/>
  <c r="A7934" i="1"/>
  <c r="D14365" i="1"/>
  <c r="C14365" i="1"/>
  <c r="B14365" i="1"/>
  <c r="A14365" i="1"/>
  <c r="D8903" i="1"/>
  <c r="B8903" i="1"/>
  <c r="A8903" i="1"/>
  <c r="D9524" i="1"/>
  <c r="B9524" i="1"/>
  <c r="A9524" i="1"/>
  <c r="D11152" i="1"/>
  <c r="B11152" i="1"/>
  <c r="A11152" i="1"/>
  <c r="D14362" i="1"/>
  <c r="C14362" i="1"/>
  <c r="B14362" i="1"/>
  <c r="A14362" i="1"/>
  <c r="D17677" i="1"/>
  <c r="B17677" i="1"/>
  <c r="A17677" i="1"/>
  <c r="D6085" i="1"/>
  <c r="B6085" i="1"/>
  <c r="A6085" i="1"/>
  <c r="D16696" i="1"/>
  <c r="C16696" i="1"/>
  <c r="B16696" i="1"/>
  <c r="A16696" i="1"/>
  <c r="D16371" i="1"/>
  <c r="B16371" i="1"/>
  <c r="A16371" i="1"/>
  <c r="D14331" i="1"/>
  <c r="C14331" i="1"/>
  <c r="B14331" i="1"/>
  <c r="A14331" i="1"/>
  <c r="D12263" i="1"/>
  <c r="C12263" i="1"/>
  <c r="B12263" i="1"/>
  <c r="A12263" i="1"/>
  <c r="D9018" i="1"/>
  <c r="C9018" i="1"/>
  <c r="B9018" i="1"/>
  <c r="A9018" i="1"/>
  <c r="D13181" i="1"/>
  <c r="B13181" i="1"/>
  <c r="A13181" i="1"/>
  <c r="D11341" i="1"/>
  <c r="B11341" i="1"/>
  <c r="A11341" i="1"/>
  <c r="D16427" i="1"/>
  <c r="C16427" i="1"/>
  <c r="B16427" i="1"/>
  <c r="A16427" i="1"/>
  <c r="D9505" i="1"/>
  <c r="B9505" i="1"/>
  <c r="A9505" i="1"/>
  <c r="D14318" i="1"/>
  <c r="C14318" i="1"/>
  <c r="B14318" i="1"/>
  <c r="A14318" i="1"/>
  <c r="D14585" i="1"/>
  <c r="B14585" i="1"/>
  <c r="A14585" i="1"/>
  <c r="D16656" i="1"/>
  <c r="C16656" i="1"/>
  <c r="B16656" i="1"/>
  <c r="A16656" i="1"/>
  <c r="D11716" i="1"/>
  <c r="C11716" i="1"/>
  <c r="B11716" i="1"/>
  <c r="A11716" i="1"/>
  <c r="D13832" i="1"/>
  <c r="B13832" i="1"/>
  <c r="A13832" i="1"/>
  <c r="D12533" i="1"/>
  <c r="B12533" i="1"/>
  <c r="A12533" i="1"/>
  <c r="D12995" i="1"/>
  <c r="C12995" i="1"/>
  <c r="B12995" i="1"/>
  <c r="A12995" i="1"/>
  <c r="D15623" i="1"/>
  <c r="B15623" i="1"/>
  <c r="A15623" i="1"/>
  <c r="D14334" i="1"/>
  <c r="B14334" i="1"/>
  <c r="A14334" i="1"/>
  <c r="D13789" i="1"/>
  <c r="C13789" i="1"/>
  <c r="B13789" i="1"/>
  <c r="A13789" i="1"/>
  <c r="D8595" i="1"/>
  <c r="B8595" i="1"/>
  <c r="A8595" i="1"/>
  <c r="D6718" i="1"/>
  <c r="B6718" i="1"/>
  <c r="A6718" i="1"/>
  <c r="D6433" i="1"/>
  <c r="C6433" i="1"/>
  <c r="B6433" i="1"/>
  <c r="A6433" i="1"/>
  <c r="D16180" i="1"/>
  <c r="B16180" i="1"/>
  <c r="A16180" i="1"/>
  <c r="D12653" i="1"/>
  <c r="C12653" i="1"/>
  <c r="B12653" i="1"/>
  <c r="A12653" i="1"/>
  <c r="D12417" i="1"/>
  <c r="C12417" i="1"/>
  <c r="B12417" i="1"/>
  <c r="A12417" i="1"/>
  <c r="D7227" i="1"/>
  <c r="B7227" i="1"/>
  <c r="A7227" i="1"/>
  <c r="D10378" i="1"/>
  <c r="B10378" i="1"/>
  <c r="A10378" i="1"/>
  <c r="D12094" i="1"/>
  <c r="B12094" i="1"/>
  <c r="A12094" i="1"/>
  <c r="D11719" i="1"/>
  <c r="C11719" i="1"/>
  <c r="B11719" i="1"/>
  <c r="A11719" i="1"/>
  <c r="D12981" i="1"/>
  <c r="B12981" i="1"/>
  <c r="A12981" i="1"/>
  <c r="D10793" i="1"/>
  <c r="B10793" i="1"/>
  <c r="A10793" i="1"/>
  <c r="D11133" i="1"/>
  <c r="B11133" i="1"/>
  <c r="A11133" i="1"/>
  <c r="D6445" i="1"/>
  <c r="B6445" i="1"/>
  <c r="A6445" i="1"/>
  <c r="D15779" i="1"/>
  <c r="B15779" i="1"/>
  <c r="A15779" i="1"/>
  <c r="D12274" i="1"/>
  <c r="B12274" i="1"/>
  <c r="A12274" i="1"/>
  <c r="D9798" i="1"/>
  <c r="B9798" i="1"/>
  <c r="A9798" i="1"/>
  <c r="D16434" i="1"/>
  <c r="C16434" i="1"/>
  <c r="B16434" i="1"/>
  <c r="A16434" i="1"/>
  <c r="D7076" i="1"/>
  <c r="B7076" i="1"/>
  <c r="A7076" i="1"/>
  <c r="D6110" i="1"/>
  <c r="C6110" i="1"/>
  <c r="B6110" i="1"/>
  <c r="A6110" i="1"/>
  <c r="D14319" i="1"/>
  <c r="C14319" i="1"/>
  <c r="B14319" i="1"/>
  <c r="A14319" i="1"/>
  <c r="D11150" i="1"/>
  <c r="C11150" i="1"/>
  <c r="B11150" i="1"/>
  <c r="A11150" i="1"/>
  <c r="D12260" i="1"/>
  <c r="C12260" i="1"/>
  <c r="B12260" i="1"/>
  <c r="A12260" i="1"/>
  <c r="D12987" i="1"/>
  <c r="C12987" i="1"/>
  <c r="B12987" i="1"/>
  <c r="A12987" i="1"/>
  <c r="D8450" i="1"/>
  <c r="B8450" i="1"/>
  <c r="A8450" i="1"/>
  <c r="D11735" i="1"/>
  <c r="B11735" i="1"/>
  <c r="A11735" i="1"/>
  <c r="D5969" i="1"/>
  <c r="C5969" i="1"/>
  <c r="B5969" i="1"/>
  <c r="A5969" i="1"/>
  <c r="D12049" i="1"/>
  <c r="B12049" i="1"/>
  <c r="A12049" i="1"/>
  <c r="D8551" i="1"/>
  <c r="B8551" i="1"/>
  <c r="A8551" i="1"/>
  <c r="D7418" i="1"/>
  <c r="B7418" i="1"/>
  <c r="A7418" i="1"/>
  <c r="D10122" i="1"/>
  <c r="B10122" i="1"/>
  <c r="A10122" i="1"/>
  <c r="D11180" i="1"/>
  <c r="C11180" i="1"/>
  <c r="B11180" i="1"/>
  <c r="A11180" i="1"/>
  <c r="D18802" i="1"/>
  <c r="B18802" i="1"/>
  <c r="A18802" i="1"/>
  <c r="D16854" i="1"/>
  <c r="B16854" i="1"/>
  <c r="A16854" i="1"/>
  <c r="D10697" i="1"/>
  <c r="B10697" i="1"/>
  <c r="A10697" i="1"/>
  <c r="D17999" i="1"/>
  <c r="B17999" i="1"/>
  <c r="A17999" i="1"/>
  <c r="D15838" i="1"/>
  <c r="B15838" i="1"/>
  <c r="A15838" i="1"/>
  <c r="D17539" i="1"/>
  <c r="B17539" i="1"/>
  <c r="A17539" i="1"/>
  <c r="D14339" i="1"/>
  <c r="C14339" i="1"/>
  <c r="B14339" i="1"/>
  <c r="A14339" i="1"/>
  <c r="D12415" i="1"/>
  <c r="C12415" i="1"/>
  <c r="B12415" i="1"/>
  <c r="A12415" i="1"/>
  <c r="D9614" i="1"/>
  <c r="C9614" i="1"/>
  <c r="B9614" i="1"/>
  <c r="A9614" i="1"/>
  <c r="D9285" i="1"/>
  <c r="B9285" i="1"/>
  <c r="A9285" i="1"/>
  <c r="D8834" i="1"/>
  <c r="C8834" i="1"/>
  <c r="B8834" i="1"/>
  <c r="A8834" i="1"/>
  <c r="D16409" i="1"/>
  <c r="B16409" i="1"/>
  <c r="A16409" i="1"/>
  <c r="D11636" i="1"/>
  <c r="C11636" i="1"/>
  <c r="B11636" i="1"/>
  <c r="A11636" i="1"/>
  <c r="D18385" i="1"/>
  <c r="B18385" i="1"/>
  <c r="A18385" i="1"/>
  <c r="D6082" i="1"/>
  <c r="C6082" i="1"/>
  <c r="B6082" i="1"/>
  <c r="A6082" i="1"/>
  <c r="D12844" i="1"/>
  <c r="B12844" i="1"/>
  <c r="A12844" i="1"/>
  <c r="D18684" i="1"/>
  <c r="B18684" i="1"/>
  <c r="A18684" i="1"/>
  <c r="D14330" i="1"/>
  <c r="C14330" i="1"/>
  <c r="B14330" i="1"/>
  <c r="A14330" i="1"/>
  <c r="D8918" i="1"/>
  <c r="B8918" i="1"/>
  <c r="A8918" i="1"/>
  <c r="D7010" i="1"/>
  <c r="C7010" i="1"/>
  <c r="B7010" i="1"/>
  <c r="A7010" i="1"/>
  <c r="D14739" i="1"/>
  <c r="C14739" i="1"/>
  <c r="B14739" i="1"/>
  <c r="A14739" i="1"/>
  <c r="D13758" i="1"/>
  <c r="B13758" i="1"/>
  <c r="A13758" i="1"/>
  <c r="D8995" i="1"/>
  <c r="A8995" i="1"/>
  <c r="D6455" i="1"/>
  <c r="B6455" i="1"/>
  <c r="A6455" i="1"/>
  <c r="D11526" i="1"/>
  <c r="B11526" i="1"/>
  <c r="A11526" i="1"/>
  <c r="D10654" i="1"/>
  <c r="B10654" i="1"/>
  <c r="A10654" i="1"/>
  <c r="D8376" i="1"/>
  <c r="C8376" i="1"/>
  <c r="B8376" i="1"/>
  <c r="A8376" i="1"/>
  <c r="D6086" i="1"/>
  <c r="B6086" i="1"/>
  <c r="A6086" i="1"/>
  <c r="D18232" i="1"/>
  <c r="B18232" i="1"/>
  <c r="A18232" i="1"/>
  <c r="D14344" i="1"/>
  <c r="C14344" i="1"/>
  <c r="B14344" i="1"/>
  <c r="A14344" i="1"/>
  <c r="D11807" i="1"/>
  <c r="C11807" i="1"/>
  <c r="B11807" i="1"/>
  <c r="A11807" i="1"/>
  <c r="D16450" i="1"/>
  <c r="C16450" i="1"/>
  <c r="B16450" i="1"/>
  <c r="A16450" i="1"/>
  <c r="D10397" i="1"/>
  <c r="B10397" i="1"/>
  <c r="A10397" i="1"/>
  <c r="D13315" i="1"/>
  <c r="B13315" i="1"/>
  <c r="A13315" i="1"/>
  <c r="D16691" i="1"/>
  <c r="B16691" i="1"/>
  <c r="A16691" i="1"/>
  <c r="D7929" i="1"/>
  <c r="B7929" i="1"/>
  <c r="A7929" i="1"/>
  <c r="D16704" i="1"/>
  <c r="B16704" i="1"/>
  <c r="A16704" i="1"/>
  <c r="D16226" i="1"/>
  <c r="C16226" i="1"/>
  <c r="B16226" i="1"/>
  <c r="A16226" i="1"/>
  <c r="D8213" i="1"/>
  <c r="B8213" i="1"/>
  <c r="A8213" i="1"/>
  <c r="D11722" i="1"/>
  <c r="B11722" i="1"/>
  <c r="A11722" i="1"/>
  <c r="D16979" i="1"/>
  <c r="B16979" i="1"/>
  <c r="A16979" i="1"/>
  <c r="D17151" i="1"/>
  <c r="C17151" i="1"/>
  <c r="B17151" i="1"/>
  <c r="A17151" i="1"/>
  <c r="D13425" i="1"/>
  <c r="C13425" i="1"/>
  <c r="B13425" i="1"/>
  <c r="A13425" i="1"/>
  <c r="D13319" i="1"/>
  <c r="B13319" i="1"/>
  <c r="A13319" i="1"/>
  <c r="D7974" i="1"/>
  <c r="B7974" i="1"/>
  <c r="A7974" i="1"/>
  <c r="D18358" i="1"/>
  <c r="B18358" i="1"/>
  <c r="A18358" i="1"/>
  <c r="D8036" i="1"/>
  <c r="C8036" i="1"/>
  <c r="B8036" i="1"/>
  <c r="A8036" i="1"/>
  <c r="D8319" i="1"/>
  <c r="B8319" i="1"/>
  <c r="A8319" i="1"/>
  <c r="D14284" i="1"/>
  <c r="B14284" i="1"/>
  <c r="A14284" i="1"/>
  <c r="D8605" i="1"/>
  <c r="C8605" i="1"/>
  <c r="B8605" i="1"/>
  <c r="A8605" i="1"/>
  <c r="D16481" i="1"/>
  <c r="C16481" i="1"/>
  <c r="B16481" i="1"/>
  <c r="A16481" i="1"/>
  <c r="D13800" i="1"/>
  <c r="C13800" i="1"/>
  <c r="B13800" i="1"/>
  <c r="A13800" i="1"/>
  <c r="D6146" i="1"/>
  <c r="B6146" i="1"/>
  <c r="A6146" i="1"/>
  <c r="D14338" i="1"/>
  <c r="C14338" i="1"/>
  <c r="B14338" i="1"/>
  <c r="A14338" i="1"/>
  <c r="D17566" i="1"/>
  <c r="C17566" i="1"/>
  <c r="B17566" i="1"/>
  <c r="A17566" i="1"/>
  <c r="D11688" i="1"/>
  <c r="C11688" i="1"/>
  <c r="B11688" i="1"/>
  <c r="A11688" i="1"/>
  <c r="D12978" i="1"/>
  <c r="B12978" i="1"/>
  <c r="A12978" i="1"/>
  <c r="D6379" i="1"/>
  <c r="C6379" i="1"/>
  <c r="B6379" i="1"/>
  <c r="A6379" i="1"/>
  <c r="D14684" i="1"/>
  <c r="C14684" i="1"/>
  <c r="B14684" i="1"/>
  <c r="A14684" i="1"/>
  <c r="D14321" i="1"/>
  <c r="C14321" i="1"/>
  <c r="B14321" i="1"/>
  <c r="A14321" i="1"/>
  <c r="D14250" i="1"/>
  <c r="C14250" i="1"/>
  <c r="B14250" i="1"/>
  <c r="A14250" i="1"/>
  <c r="D8835" i="1"/>
  <c r="C8835" i="1"/>
  <c r="B8835" i="1"/>
  <c r="A8835" i="1"/>
  <c r="D8501" i="1"/>
  <c r="B8501" i="1"/>
  <c r="A8501" i="1"/>
  <c r="D8845" i="1"/>
  <c r="C8845" i="1"/>
  <c r="B8845" i="1"/>
  <c r="A8845" i="1"/>
  <c r="D7716" i="1"/>
  <c r="B7716" i="1"/>
  <c r="A7716" i="1"/>
  <c r="D14245" i="1"/>
  <c r="B14245" i="1"/>
  <c r="A14245" i="1"/>
  <c r="D18814" i="1"/>
  <c r="B18814" i="1"/>
  <c r="A18814" i="1"/>
  <c r="D7804" i="1"/>
  <c r="B7804" i="1"/>
  <c r="A7804" i="1"/>
  <c r="D7776" i="1"/>
  <c r="B7776" i="1"/>
  <c r="A7776" i="1"/>
  <c r="D13642" i="1"/>
  <c r="B13642" i="1"/>
  <c r="A13642" i="1"/>
  <c r="D12285" i="1"/>
  <c r="C12285" i="1"/>
  <c r="B12285" i="1"/>
  <c r="A12285" i="1"/>
  <c r="D14638" i="1"/>
  <c r="B14638" i="1"/>
  <c r="A14638" i="1"/>
  <c r="D14256" i="1"/>
  <c r="B14256" i="1"/>
  <c r="A14256" i="1"/>
  <c r="D6545" i="1"/>
  <c r="B6545" i="1"/>
  <c r="A6545" i="1"/>
  <c r="D7907" i="1"/>
  <c r="C7907" i="1"/>
  <c r="B7907" i="1"/>
  <c r="A7907" i="1"/>
  <c r="D16079" i="1"/>
  <c r="B16079" i="1"/>
  <c r="A16079" i="1"/>
  <c r="D9022" i="1"/>
  <c r="B9022" i="1"/>
  <c r="A9022" i="1"/>
  <c r="D6643" i="1"/>
  <c r="B6643" i="1"/>
  <c r="A6643" i="1"/>
  <c r="D14624" i="1"/>
  <c r="B14624" i="1"/>
  <c r="A14624" i="1"/>
  <c r="D14417" i="1"/>
  <c r="B14417" i="1"/>
  <c r="A14417" i="1"/>
  <c r="D13481" i="1"/>
  <c r="C13481" i="1"/>
  <c r="B13481" i="1"/>
  <c r="A13481" i="1"/>
  <c r="D12952" i="1"/>
  <c r="B12952" i="1"/>
  <c r="A12952" i="1"/>
  <c r="D14553" i="1"/>
  <c r="C14553" i="1"/>
  <c r="B14553" i="1"/>
  <c r="A14553" i="1"/>
  <c r="D8576" i="1"/>
  <c r="B8576" i="1"/>
  <c r="A8576" i="1"/>
  <c r="D13773" i="1"/>
  <c r="C13773" i="1"/>
  <c r="B13773" i="1"/>
  <c r="A13773" i="1"/>
  <c r="D18093" i="1"/>
  <c r="B18093" i="1"/>
  <c r="A18093" i="1"/>
  <c r="D13021" i="1"/>
  <c r="C13021" i="1"/>
  <c r="B13021" i="1"/>
  <c r="A13021" i="1"/>
  <c r="D10548" i="1"/>
  <c r="B10548" i="1"/>
  <c r="A10548" i="1"/>
  <c r="D10463" i="1"/>
  <c r="B10463" i="1"/>
  <c r="A10463" i="1"/>
  <c r="D11681" i="1"/>
  <c r="C11681" i="1"/>
  <c r="B11681" i="1"/>
  <c r="A11681" i="1"/>
  <c r="D18528" i="1"/>
  <c r="B18528" i="1"/>
  <c r="A18528" i="1"/>
  <c r="D12308" i="1"/>
  <c r="C12308" i="1"/>
  <c r="B12308" i="1"/>
  <c r="A12308" i="1"/>
  <c r="D8669" i="1"/>
  <c r="C8669" i="1"/>
  <c r="B8669" i="1"/>
  <c r="A8669" i="1"/>
  <c r="D13273" i="1"/>
  <c r="B13273" i="1"/>
  <c r="A13273" i="1"/>
  <c r="D17179" i="1"/>
  <c r="B17179" i="1"/>
  <c r="A17179" i="1"/>
  <c r="D9030" i="1"/>
  <c r="B9030" i="1"/>
  <c r="A9030" i="1"/>
  <c r="D13986" i="1"/>
  <c r="B13986" i="1"/>
  <c r="A13986" i="1"/>
  <c r="D13908" i="1"/>
  <c r="B13908" i="1"/>
  <c r="A13908" i="1"/>
  <c r="D8527" i="1"/>
  <c r="B8527" i="1"/>
  <c r="A8527" i="1"/>
  <c r="D14348" i="1"/>
  <c r="B14348" i="1"/>
  <c r="A14348" i="1"/>
  <c r="D10647" i="1"/>
  <c r="C10647" i="1"/>
  <c r="B10647" i="1"/>
  <c r="A10647" i="1"/>
  <c r="D13543" i="1"/>
  <c r="B13543" i="1"/>
  <c r="A13543" i="1"/>
  <c r="D6768" i="1"/>
  <c r="B6768" i="1"/>
  <c r="A6768" i="1"/>
  <c r="D12324" i="1"/>
  <c r="A12324" i="1"/>
  <c r="D12781" i="1"/>
  <c r="C12781" i="1"/>
  <c r="B12781" i="1"/>
  <c r="A12781" i="1"/>
  <c r="D12243" i="1"/>
  <c r="B12243" i="1"/>
  <c r="A12243" i="1"/>
  <c r="D16716" i="1"/>
  <c r="B16716" i="1"/>
  <c r="A16716" i="1"/>
  <c r="D14190" i="1"/>
  <c r="C14190" i="1"/>
  <c r="B14190" i="1"/>
  <c r="A14190" i="1"/>
  <c r="D10722" i="1"/>
  <c r="C10722" i="1"/>
  <c r="B10722" i="1"/>
  <c r="A10722" i="1"/>
  <c r="D12523" i="1"/>
  <c r="B12523" i="1"/>
  <c r="A12523" i="1"/>
  <c r="D14384" i="1"/>
  <c r="C14384" i="1"/>
  <c r="B14384" i="1"/>
  <c r="A14384" i="1"/>
  <c r="D14312" i="1"/>
  <c r="C14312" i="1"/>
  <c r="B14312" i="1"/>
  <c r="A14312" i="1"/>
  <c r="D14336" i="1"/>
  <c r="B14336" i="1"/>
  <c r="A14336" i="1"/>
  <c r="D14441" i="1"/>
  <c r="C14441" i="1"/>
  <c r="B14441" i="1"/>
  <c r="A14441" i="1"/>
  <c r="D13022" i="1"/>
  <c r="C13022" i="1"/>
  <c r="B13022" i="1"/>
  <c r="A13022" i="1"/>
  <c r="D14174" i="1"/>
  <c r="B14174" i="1"/>
  <c r="A14174" i="1"/>
  <c r="D16611" i="1"/>
  <c r="B16611" i="1"/>
  <c r="A16611" i="1"/>
  <c r="D14353" i="1"/>
  <c r="B14353" i="1"/>
  <c r="A14353" i="1"/>
  <c r="D12290" i="1"/>
  <c r="B12290" i="1"/>
  <c r="A12290" i="1"/>
  <c r="D5891" i="1"/>
  <c r="C5891" i="1"/>
  <c r="B5891" i="1"/>
  <c r="A5891" i="1"/>
  <c r="D8661" i="1"/>
  <c r="B8661" i="1"/>
  <c r="A8661" i="1"/>
  <c r="D13399" i="1"/>
  <c r="B13399" i="1"/>
  <c r="A13399" i="1"/>
  <c r="D7204" i="1"/>
  <c r="B7204" i="1"/>
  <c r="A7204" i="1"/>
  <c r="D6157" i="1"/>
  <c r="B6157" i="1"/>
  <c r="A6157" i="1"/>
  <c r="D14576" i="1"/>
  <c r="B14576" i="1"/>
  <c r="A14576" i="1"/>
  <c r="D7838" i="1"/>
  <c r="B7838" i="1"/>
  <c r="A7838" i="1"/>
  <c r="D16501" i="1"/>
  <c r="B16501" i="1"/>
  <c r="A16501" i="1"/>
  <c r="D14131" i="1"/>
  <c r="C14131" i="1"/>
  <c r="B14131" i="1"/>
  <c r="A14131" i="1"/>
  <c r="D14315" i="1"/>
  <c r="C14315" i="1"/>
  <c r="B14315" i="1"/>
  <c r="A14315" i="1"/>
  <c r="D18416" i="1"/>
  <c r="B18416" i="1"/>
  <c r="A18416" i="1"/>
  <c r="D11560" i="1"/>
  <c r="C11560" i="1"/>
  <c r="B11560" i="1"/>
  <c r="A11560" i="1"/>
  <c r="D9016" i="1"/>
  <c r="B9016" i="1"/>
  <c r="A9016" i="1"/>
  <c r="D11480" i="1"/>
  <c r="C11480" i="1"/>
  <c r="B11480" i="1"/>
  <c r="A11480" i="1"/>
  <c r="D14641" i="1"/>
  <c r="C14641" i="1"/>
  <c r="B14641" i="1"/>
  <c r="A14641" i="1"/>
  <c r="D14358" i="1"/>
  <c r="B14358" i="1"/>
  <c r="A14358" i="1"/>
  <c r="D17942" i="1"/>
  <c r="B17942" i="1"/>
  <c r="A17942" i="1"/>
  <c r="D11969" i="1"/>
  <c r="C11969" i="1"/>
  <c r="B11969" i="1"/>
  <c r="A11969" i="1"/>
  <c r="D12858" i="1"/>
  <c r="B12858" i="1"/>
  <c r="A12858" i="1"/>
  <c r="D13742" i="1"/>
  <c r="B13742" i="1"/>
  <c r="A13742" i="1"/>
  <c r="D7153" i="1"/>
  <c r="B7153" i="1"/>
  <c r="A7153" i="1"/>
  <c r="D14439" i="1"/>
  <c r="B14439" i="1"/>
  <c r="A14439" i="1"/>
  <c r="D16435" i="1"/>
  <c r="C16435" i="1"/>
  <c r="B16435" i="1"/>
  <c r="A16435" i="1"/>
  <c r="D16491" i="1"/>
  <c r="B16491" i="1"/>
  <c r="A16491" i="1"/>
  <c r="D9059" i="1"/>
  <c r="B9059" i="1"/>
  <c r="A9059" i="1"/>
  <c r="D10003" i="1"/>
  <c r="B10003" i="1"/>
  <c r="A10003" i="1"/>
  <c r="D13693" i="1"/>
  <c r="C13693" i="1"/>
  <c r="B13693" i="1"/>
  <c r="A13693" i="1"/>
  <c r="D6543" i="1"/>
  <c r="B6543" i="1"/>
  <c r="A6543" i="1"/>
  <c r="D17442" i="1"/>
  <c r="B17442" i="1"/>
  <c r="A17442" i="1"/>
  <c r="D16824" i="1"/>
  <c r="B16824" i="1"/>
  <c r="A16824" i="1"/>
  <c r="D16082" i="1"/>
  <c r="B16082" i="1"/>
  <c r="A16082" i="1"/>
  <c r="D7938" i="1"/>
  <c r="C7938" i="1"/>
  <c r="B7938" i="1"/>
  <c r="A7938" i="1"/>
  <c r="D6648" i="1"/>
  <c r="B6648" i="1"/>
  <c r="A6648" i="1"/>
  <c r="D17257" i="1"/>
  <c r="B17257" i="1"/>
  <c r="A17257" i="1"/>
  <c r="D18540" i="1"/>
  <c r="B18540" i="1"/>
  <c r="A18540" i="1"/>
  <c r="D14307" i="1"/>
  <c r="C14307" i="1"/>
  <c r="B14307" i="1"/>
  <c r="A14307" i="1"/>
  <c r="D15925" i="1"/>
  <c r="B15925" i="1"/>
  <c r="A15925" i="1"/>
  <c r="D11245" i="1"/>
  <c r="B11245" i="1"/>
  <c r="A11245" i="1"/>
  <c r="D11169" i="1"/>
  <c r="B11169" i="1"/>
  <c r="A11169" i="1"/>
  <c r="D16048" i="1"/>
  <c r="B16048" i="1"/>
  <c r="A16048" i="1"/>
  <c r="D11278" i="1"/>
  <c r="C11278" i="1"/>
  <c r="B11278" i="1"/>
  <c r="A11278" i="1"/>
  <c r="D8755" i="1"/>
  <c r="C8755" i="1"/>
  <c r="B8755" i="1"/>
  <c r="A8755" i="1"/>
  <c r="D14345" i="1"/>
  <c r="C14345" i="1"/>
  <c r="B14345" i="1"/>
  <c r="A14345" i="1"/>
  <c r="D14718" i="1"/>
  <c r="C14718" i="1"/>
  <c r="B14718" i="1"/>
  <c r="A14718" i="1"/>
  <c r="D13020" i="1"/>
  <c r="C13020" i="1"/>
  <c r="B13020" i="1"/>
  <c r="A13020" i="1"/>
  <c r="D13777" i="1"/>
  <c r="A13777" i="1"/>
  <c r="D14212" i="1"/>
  <c r="B14212" i="1"/>
  <c r="A14212" i="1"/>
  <c r="D12838" i="1"/>
  <c r="C12838" i="1"/>
  <c r="B12838" i="1"/>
  <c r="A12838" i="1"/>
  <c r="D18048" i="1"/>
  <c r="C18048" i="1"/>
  <c r="B18048" i="1"/>
  <c r="A18048" i="1"/>
  <c r="D12304" i="1"/>
  <c r="C12304" i="1"/>
  <c r="B12304" i="1"/>
  <c r="A12304" i="1"/>
  <c r="D13081" i="1"/>
  <c r="C13081" i="1"/>
  <c r="B13081" i="1"/>
  <c r="A13081" i="1"/>
  <c r="D12968" i="1"/>
  <c r="B12968" i="1"/>
  <c r="A12968" i="1"/>
  <c r="D8655" i="1"/>
  <c r="B8655" i="1"/>
  <c r="A8655" i="1"/>
  <c r="D12098" i="1"/>
  <c r="B12098" i="1"/>
  <c r="A12098" i="1"/>
  <c r="D8276" i="1"/>
  <c r="C8276" i="1"/>
  <c r="B8276" i="1"/>
  <c r="A8276" i="1"/>
  <c r="D12959" i="1"/>
  <c r="C12959" i="1"/>
  <c r="B12959" i="1"/>
  <c r="A12959" i="1"/>
  <c r="D6114" i="1"/>
  <c r="C6114" i="1"/>
  <c r="B6114" i="1"/>
  <c r="A6114" i="1"/>
  <c r="D6222" i="1"/>
  <c r="B6222" i="1"/>
  <c r="A6222" i="1"/>
  <c r="D11530" i="1"/>
  <c r="C11530" i="1"/>
  <c r="B11530" i="1"/>
  <c r="A11530" i="1"/>
  <c r="D16595" i="1"/>
  <c r="B16595" i="1"/>
  <c r="A16595" i="1"/>
  <c r="D17722" i="1"/>
  <c r="B17722" i="1"/>
  <c r="A17722" i="1"/>
  <c r="D13114" i="1"/>
  <c r="B13114" i="1"/>
  <c r="A13114" i="1"/>
  <c r="D7627" i="1"/>
  <c r="B7627" i="1"/>
  <c r="A7627" i="1"/>
  <c r="D12388" i="1"/>
  <c r="B12388" i="1"/>
  <c r="A12388" i="1"/>
  <c r="D13538" i="1"/>
  <c r="B13538" i="1"/>
  <c r="A13538" i="1"/>
  <c r="D16185" i="1"/>
  <c r="B16185" i="1"/>
  <c r="A16185" i="1"/>
  <c r="D8169" i="1"/>
  <c r="B8169" i="1"/>
  <c r="A8169" i="1"/>
  <c r="D14199" i="1"/>
  <c r="B14199" i="1"/>
  <c r="A14199" i="1"/>
  <c r="D13430" i="1"/>
  <c r="B13430" i="1"/>
  <c r="A13430" i="1"/>
  <c r="D11243" i="1"/>
  <c r="B11243" i="1"/>
  <c r="A11243" i="1"/>
  <c r="D10810" i="1"/>
  <c r="A10810" i="1"/>
  <c r="D7453" i="1"/>
  <c r="C7453" i="1"/>
  <c r="B7453" i="1"/>
  <c r="A7453" i="1"/>
  <c r="D17486" i="1"/>
  <c r="B17486" i="1"/>
  <c r="A17486" i="1"/>
  <c r="D14402" i="1"/>
  <c r="B14402" i="1"/>
  <c r="A14402" i="1"/>
  <c r="D12522" i="1"/>
  <c r="B12522" i="1"/>
  <c r="A12522" i="1"/>
  <c r="D18100" i="1"/>
  <c r="C18100" i="1"/>
  <c r="B18100" i="1"/>
  <c r="A18100" i="1"/>
  <c r="D11686" i="1"/>
  <c r="C11686" i="1"/>
  <c r="B11686" i="1"/>
  <c r="A11686" i="1"/>
  <c r="D16667" i="1"/>
  <c r="B16667" i="1"/>
  <c r="A16667" i="1"/>
  <c r="D8381" i="1"/>
  <c r="B8381" i="1"/>
  <c r="A8381" i="1"/>
  <c r="D6900" i="1"/>
  <c r="B6900" i="1"/>
  <c r="A6900" i="1"/>
  <c r="D12412" i="1"/>
  <c r="C12412" i="1"/>
  <c r="B12412" i="1"/>
  <c r="A12412" i="1"/>
  <c r="D10567" i="1"/>
  <c r="B10567" i="1"/>
  <c r="A10567" i="1"/>
  <c r="D5941" i="1"/>
  <c r="C5941" i="1"/>
  <c r="B5941" i="1"/>
  <c r="A5941" i="1"/>
  <c r="D8041" i="1"/>
  <c r="C8041" i="1"/>
  <c r="B8041" i="1"/>
  <c r="A8041" i="1"/>
  <c r="D13233" i="1"/>
  <c r="B13233" i="1"/>
  <c r="A13233" i="1"/>
  <c r="D15586" i="1"/>
  <c r="C15586" i="1"/>
  <c r="B15586" i="1"/>
  <c r="A15586" i="1"/>
  <c r="D7795" i="1"/>
  <c r="B7795" i="1"/>
  <c r="A7795" i="1"/>
  <c r="D6094" i="1"/>
  <c r="B6094" i="1"/>
  <c r="A6094" i="1"/>
  <c r="D12732" i="1"/>
  <c r="B12732" i="1"/>
  <c r="A12732" i="1"/>
  <c r="D17883" i="1"/>
  <c r="C17883" i="1"/>
  <c r="B17883" i="1"/>
  <c r="A17883" i="1"/>
  <c r="D7058" i="1"/>
  <c r="B7058" i="1"/>
  <c r="A7058" i="1"/>
  <c r="D11444" i="1"/>
  <c r="B11444" i="1"/>
  <c r="A11444" i="1"/>
  <c r="D17840" i="1"/>
  <c r="C17840" i="1"/>
  <c r="B17840" i="1"/>
  <c r="A17840" i="1"/>
  <c r="D9912" i="1"/>
  <c r="B9912" i="1"/>
  <c r="A9912" i="1"/>
  <c r="D7982" i="1"/>
  <c r="B7982" i="1"/>
  <c r="A7982" i="1"/>
  <c r="D10685" i="1"/>
  <c r="B10685" i="1"/>
  <c r="A10685" i="1"/>
  <c r="D13692" i="1"/>
  <c r="C13692" i="1"/>
  <c r="B13692" i="1"/>
  <c r="A13692" i="1"/>
  <c r="D14564" i="1"/>
  <c r="C14564" i="1"/>
  <c r="B14564" i="1"/>
  <c r="A14564" i="1"/>
  <c r="D7919" i="1"/>
  <c r="B7919" i="1"/>
  <c r="A7919" i="1"/>
  <c r="D18245" i="1"/>
  <c r="A18245" i="1"/>
  <c r="D13843" i="1"/>
  <c r="C13843" i="1"/>
  <c r="B13843" i="1"/>
  <c r="A13843" i="1"/>
  <c r="D12257" i="1"/>
  <c r="C12257" i="1"/>
  <c r="B12257" i="1"/>
  <c r="A12257" i="1"/>
  <c r="D16174" i="1"/>
  <c r="B16174" i="1"/>
  <c r="A16174" i="1"/>
  <c r="D14369" i="1"/>
  <c r="C14369" i="1"/>
  <c r="B14369" i="1"/>
  <c r="A14369" i="1"/>
  <c r="D14326" i="1"/>
  <c r="C14326" i="1"/>
  <c r="B14326" i="1"/>
  <c r="A14326" i="1"/>
  <c r="D11495" i="1"/>
  <c r="B11495" i="1"/>
  <c r="A11495" i="1"/>
  <c r="D16775" i="1"/>
  <c r="C16775" i="1"/>
  <c r="B16775" i="1"/>
  <c r="A16775" i="1"/>
  <c r="D7442" i="1"/>
  <c r="B7442" i="1"/>
  <c r="A7442" i="1"/>
  <c r="D6748" i="1"/>
  <c r="B6748" i="1"/>
  <c r="A6748" i="1"/>
  <c r="D6171" i="1"/>
  <c r="C6171" i="1"/>
  <c r="B6171" i="1"/>
  <c r="A6171" i="1"/>
  <c r="D11286" i="1"/>
  <c r="B11286" i="1"/>
  <c r="A11286" i="1"/>
  <c r="D12042" i="1"/>
  <c r="B12042" i="1"/>
  <c r="A12042" i="1"/>
  <c r="D14305" i="1"/>
  <c r="C14305" i="1"/>
  <c r="B14305" i="1"/>
  <c r="A14305" i="1"/>
  <c r="D14011" i="1"/>
  <c r="B14011" i="1"/>
  <c r="A14011" i="1"/>
  <c r="D12945" i="1"/>
  <c r="B12945" i="1"/>
  <c r="A12945" i="1"/>
  <c r="D9640" i="1"/>
  <c r="B9640" i="1"/>
  <c r="A9640" i="1"/>
  <c r="D17654" i="1"/>
  <c r="B17654" i="1"/>
  <c r="A17654" i="1"/>
  <c r="D9318" i="1"/>
  <c r="B9318" i="1"/>
  <c r="A9318" i="1"/>
  <c r="D6553" i="1"/>
  <c r="B6553" i="1"/>
  <c r="A6553" i="1"/>
  <c r="D18680" i="1"/>
  <c r="B18680" i="1"/>
  <c r="A18680" i="1"/>
  <c r="D7947" i="1"/>
  <c r="B7947" i="1"/>
  <c r="A7947" i="1"/>
  <c r="D8609" i="1"/>
  <c r="C8609" i="1"/>
  <c r="B8609" i="1"/>
  <c r="A8609" i="1"/>
  <c r="D8848" i="1"/>
  <c r="C8848" i="1"/>
  <c r="B8848" i="1"/>
  <c r="A8848" i="1"/>
  <c r="D16287" i="1"/>
  <c r="B16287" i="1"/>
  <c r="A16287" i="1"/>
  <c r="D8836" i="1"/>
  <c r="B8836" i="1"/>
  <c r="A8836" i="1"/>
  <c r="D17094" i="1"/>
  <c r="B17094" i="1"/>
  <c r="A17094" i="1"/>
  <c r="D11334" i="1"/>
  <c r="B11334" i="1"/>
  <c r="A11334" i="1"/>
  <c r="D10928" i="1"/>
  <c r="B10928" i="1"/>
  <c r="A10928" i="1"/>
  <c r="D6874" i="1"/>
  <c r="B6874" i="1"/>
  <c r="A6874" i="1"/>
  <c r="D7170" i="1"/>
  <c r="B7170" i="1"/>
  <c r="A7170" i="1"/>
  <c r="D14044" i="1"/>
  <c r="B14044" i="1"/>
  <c r="A14044" i="1"/>
  <c r="D9004" i="1"/>
  <c r="B9004" i="1"/>
  <c r="A9004" i="1"/>
  <c r="D11960" i="1"/>
  <c r="B11960" i="1"/>
  <c r="A11960" i="1"/>
  <c r="D12671" i="1"/>
  <c r="C12671" i="1"/>
  <c r="B12671" i="1"/>
  <c r="A12671" i="1"/>
  <c r="D12339" i="1"/>
  <c r="C12339" i="1"/>
  <c r="B12339" i="1"/>
  <c r="A12339" i="1"/>
  <c r="D8915" i="1"/>
  <c r="C8915" i="1"/>
  <c r="B8915" i="1"/>
  <c r="A8915" i="1"/>
  <c r="D16990" i="1"/>
  <c r="B16990" i="1"/>
  <c r="A16990" i="1"/>
  <c r="D16744" i="1"/>
  <c r="B16744" i="1"/>
  <c r="A16744" i="1"/>
  <c r="D9348" i="1"/>
  <c r="B9348" i="1"/>
  <c r="A9348" i="1"/>
  <c r="D6028" i="1"/>
  <c r="C6028" i="1"/>
  <c r="B6028" i="1"/>
  <c r="A6028" i="1"/>
  <c r="D13548" i="1"/>
  <c r="B13548" i="1"/>
  <c r="A13548" i="1"/>
  <c r="D7406" i="1"/>
  <c r="B7406" i="1"/>
  <c r="A7406" i="1"/>
  <c r="D9690" i="1"/>
  <c r="B9690" i="1"/>
  <c r="A9690" i="1"/>
  <c r="D8389" i="1"/>
  <c r="C8389" i="1"/>
  <c r="B8389" i="1"/>
  <c r="A8389" i="1"/>
  <c r="D6471" i="1"/>
  <c r="B6471" i="1"/>
  <c r="A6471" i="1"/>
  <c r="D7544" i="1"/>
  <c r="B7544" i="1"/>
  <c r="A7544" i="1"/>
  <c r="D14382" i="1"/>
  <c r="B14382" i="1"/>
  <c r="A14382" i="1"/>
  <c r="D13157" i="1"/>
  <c r="C13157" i="1"/>
  <c r="B13157" i="1"/>
  <c r="A13157" i="1"/>
  <c r="D13320" i="1"/>
  <c r="B13320" i="1"/>
  <c r="A13320" i="1"/>
  <c r="D18651" i="1"/>
  <c r="B18651" i="1"/>
  <c r="A18651" i="1"/>
  <c r="D17187" i="1"/>
  <c r="B17187" i="1"/>
  <c r="A17187" i="1"/>
  <c r="D13910" i="1"/>
  <c r="B13910" i="1"/>
  <c r="A13910" i="1"/>
  <c r="D9001" i="1"/>
  <c r="B9001" i="1"/>
  <c r="A9001" i="1"/>
  <c r="D16259" i="1"/>
  <c r="B16259" i="1"/>
  <c r="A16259" i="1"/>
  <c r="D9539" i="1"/>
  <c r="C9539" i="1"/>
  <c r="B9539" i="1"/>
  <c r="A9539" i="1"/>
  <c r="D14753" i="1"/>
  <c r="B14753" i="1"/>
  <c r="A14753" i="1"/>
  <c r="D13528" i="1"/>
  <c r="C13528" i="1"/>
  <c r="B13528" i="1"/>
  <c r="A13528" i="1"/>
  <c r="D17884" i="1"/>
  <c r="B17884" i="1"/>
  <c r="A17884" i="1"/>
  <c r="D12383" i="1"/>
  <c r="B12383" i="1"/>
  <c r="A12383" i="1"/>
  <c r="D16680" i="1"/>
  <c r="B16680" i="1"/>
  <c r="A16680" i="1"/>
  <c r="D10115" i="1"/>
  <c r="B10115" i="1"/>
  <c r="A10115" i="1"/>
  <c r="D7270" i="1"/>
  <c r="B7270" i="1"/>
  <c r="A7270" i="1"/>
  <c r="D9172" i="1"/>
  <c r="B9172" i="1"/>
  <c r="A9172" i="1"/>
  <c r="D10649" i="1"/>
  <c r="B10649" i="1"/>
  <c r="A10649" i="1"/>
  <c r="D16473" i="1"/>
  <c r="B16473" i="1"/>
  <c r="A16473" i="1"/>
  <c r="D15635" i="1"/>
  <c r="C15635" i="1"/>
  <c r="B15635" i="1"/>
  <c r="A15635" i="1"/>
  <c r="D7890" i="1"/>
  <c r="B7890" i="1"/>
  <c r="A7890" i="1"/>
  <c r="D6112" i="1"/>
  <c r="B6112" i="1"/>
  <c r="A6112" i="1"/>
  <c r="D13961" i="1"/>
  <c r="B13961" i="1"/>
  <c r="A13961" i="1"/>
  <c r="D13007" i="1"/>
  <c r="B13007" i="1"/>
  <c r="A13007" i="1"/>
  <c r="D14644" i="1"/>
  <c r="B14644" i="1"/>
  <c r="A14644" i="1"/>
  <c r="D18366" i="1"/>
  <c r="C18366" i="1"/>
  <c r="B18366" i="1"/>
  <c r="A18366" i="1"/>
  <c r="D12356" i="1"/>
  <c r="B12356" i="1"/>
  <c r="A12356" i="1"/>
  <c r="D17946" i="1"/>
  <c r="B17946" i="1"/>
  <c r="A17946" i="1"/>
  <c r="D12264" i="1"/>
  <c r="C12264" i="1"/>
  <c r="B12264" i="1"/>
  <c r="A12264" i="1"/>
  <c r="D14255" i="1"/>
  <c r="B14255" i="1"/>
  <c r="A14255" i="1"/>
  <c r="D18162" i="1"/>
  <c r="B18162" i="1"/>
  <c r="A18162" i="1"/>
  <c r="D9657" i="1"/>
  <c r="B9657" i="1"/>
  <c r="A9657" i="1"/>
  <c r="D6976" i="1"/>
  <c r="C6976" i="1"/>
  <c r="B6976" i="1"/>
  <c r="A6976" i="1"/>
  <c r="D13733" i="1"/>
  <c r="B13733" i="1"/>
  <c r="A13733" i="1"/>
  <c r="D14425" i="1"/>
  <c r="C14425" i="1"/>
  <c r="B14425" i="1"/>
  <c r="A14425" i="1"/>
  <c r="D16404" i="1"/>
  <c r="C16404" i="1"/>
  <c r="B16404" i="1"/>
  <c r="A16404" i="1"/>
  <c r="D9931" i="1"/>
  <c r="B9931" i="1"/>
  <c r="A9931" i="1"/>
  <c r="D8344" i="1"/>
  <c r="B8344" i="1"/>
  <c r="A8344" i="1"/>
  <c r="D14380" i="1"/>
  <c r="C14380" i="1"/>
  <c r="B14380" i="1"/>
  <c r="A14380" i="1"/>
  <c r="D13193" i="1"/>
  <c r="B13193" i="1"/>
  <c r="A13193" i="1"/>
  <c r="D6454" i="1"/>
  <c r="B6454" i="1"/>
  <c r="A6454" i="1"/>
  <c r="D9587" i="1"/>
  <c r="B9587" i="1"/>
  <c r="A9587" i="1"/>
  <c r="D14158" i="1"/>
  <c r="C14158" i="1"/>
  <c r="B14158" i="1"/>
  <c r="A14158" i="1"/>
  <c r="D16865" i="1"/>
  <c r="B16865" i="1"/>
  <c r="A16865" i="1"/>
  <c r="D14340" i="1"/>
  <c r="B14340" i="1"/>
  <c r="A14340" i="1"/>
  <c r="D13660" i="1"/>
  <c r="B13660" i="1"/>
  <c r="A13660" i="1"/>
  <c r="D6356" i="1"/>
  <c r="B6356" i="1"/>
  <c r="A6356" i="1"/>
  <c r="D11410" i="1"/>
  <c r="C11410" i="1"/>
  <c r="B11410" i="1"/>
  <c r="A11410" i="1"/>
  <c r="D12404" i="1"/>
  <c r="B12404" i="1"/>
  <c r="A12404" i="1"/>
  <c r="D6368" i="1"/>
  <c r="B6368" i="1"/>
  <c r="A6368" i="1"/>
  <c r="D14346" i="1"/>
  <c r="C14346" i="1"/>
  <c r="B14346" i="1"/>
  <c r="A14346" i="1"/>
  <c r="D8268" i="1"/>
  <c r="C8268" i="1"/>
  <c r="B8268" i="1"/>
  <c r="A8268" i="1"/>
  <c r="D14933" i="1"/>
  <c r="B14933" i="1"/>
  <c r="A14933" i="1"/>
  <c r="D8803" i="1"/>
  <c r="B8803" i="1"/>
  <c r="A8803" i="1"/>
  <c r="D13815" i="1"/>
  <c r="B13815" i="1"/>
  <c r="A13815" i="1"/>
  <c r="D16494" i="1"/>
  <c r="B16494" i="1"/>
  <c r="A16494" i="1"/>
  <c r="D12542" i="1"/>
  <c r="C12542" i="1"/>
  <c r="B12542" i="1"/>
  <c r="A12542" i="1"/>
  <c r="D16384" i="1"/>
  <c r="C16384" i="1"/>
  <c r="B16384" i="1"/>
  <c r="A16384" i="1"/>
  <c r="D14267" i="1"/>
  <c r="C14267" i="1"/>
  <c r="B14267" i="1"/>
  <c r="A14267" i="1"/>
  <c r="D6355" i="1"/>
  <c r="B6355" i="1"/>
  <c r="A6355" i="1"/>
  <c r="D14381" i="1"/>
  <c r="C14381" i="1"/>
  <c r="B14381" i="1"/>
  <c r="A14381" i="1"/>
  <c r="D17013" i="1"/>
  <c r="B17013" i="1"/>
  <c r="A17013" i="1"/>
  <c r="D18783" i="1"/>
  <c r="B18783" i="1"/>
  <c r="A18783" i="1"/>
  <c r="D6179" i="1"/>
  <c r="C6179" i="1"/>
  <c r="B6179" i="1"/>
  <c r="A6179" i="1"/>
  <c r="D12951" i="1"/>
  <c r="C12951" i="1"/>
  <c r="B12951" i="1"/>
  <c r="A12951" i="1"/>
  <c r="D13469" i="1"/>
  <c r="B13469" i="1"/>
  <c r="A13469" i="1"/>
  <c r="D17509" i="1"/>
  <c r="B17509" i="1"/>
  <c r="A17509" i="1"/>
  <c r="D13003" i="1"/>
  <c r="B13003" i="1"/>
  <c r="A13003" i="1"/>
  <c r="D13029" i="1"/>
  <c r="C13029" i="1"/>
  <c r="B13029" i="1"/>
  <c r="A13029" i="1"/>
  <c r="D13115" i="1"/>
  <c r="B13115" i="1"/>
  <c r="A13115" i="1"/>
  <c r="D6740" i="1"/>
  <c r="B6740" i="1"/>
  <c r="A6740" i="1"/>
  <c r="D8833" i="1"/>
  <c r="C8833" i="1"/>
  <c r="B8833" i="1"/>
  <c r="A8833" i="1"/>
  <c r="D18197" i="1"/>
  <c r="B18197" i="1"/>
  <c r="A18197" i="1"/>
  <c r="D14228" i="1"/>
  <c r="B14228" i="1"/>
  <c r="A14228" i="1"/>
  <c r="D17457" i="1"/>
  <c r="B17457" i="1"/>
  <c r="A17457" i="1"/>
  <c r="D12724" i="1"/>
  <c r="B12724" i="1"/>
  <c r="A12724" i="1"/>
  <c r="D6484" i="1"/>
  <c r="B6484" i="1"/>
  <c r="A6484" i="1"/>
  <c r="D16845" i="1"/>
  <c r="C16845" i="1"/>
  <c r="B16845" i="1"/>
  <c r="A16845" i="1"/>
  <c r="D17868" i="1"/>
  <c r="B17868" i="1"/>
  <c r="A17868" i="1"/>
  <c r="D7001" i="1"/>
  <c r="C7001" i="1"/>
  <c r="B7001" i="1"/>
  <c r="A7001" i="1"/>
  <c r="D15767" i="1"/>
  <c r="B15767" i="1"/>
  <c r="A15767" i="1"/>
  <c r="D7641" i="1"/>
  <c r="B7641" i="1"/>
  <c r="A7641" i="1"/>
  <c r="D12102" i="1"/>
  <c r="C12102" i="1"/>
  <c r="B12102" i="1"/>
  <c r="A12102" i="1"/>
  <c r="D11766" i="1"/>
  <c r="C11766" i="1"/>
  <c r="B11766" i="1"/>
  <c r="A11766" i="1"/>
  <c r="D12800" i="1"/>
  <c r="B12800" i="1"/>
  <c r="A12800" i="1"/>
  <c r="D10558" i="1"/>
  <c r="C10558" i="1"/>
  <c r="B10558" i="1"/>
  <c r="A10558" i="1"/>
  <c r="D11637" i="1"/>
  <c r="B11637" i="1"/>
  <c r="A11637" i="1"/>
  <c r="D17364" i="1"/>
  <c r="B17364" i="1"/>
  <c r="A17364" i="1"/>
  <c r="D12924" i="1"/>
  <c r="B12924" i="1"/>
  <c r="A12924" i="1"/>
  <c r="D6780" i="1"/>
  <c r="B6780" i="1"/>
  <c r="A6780" i="1"/>
  <c r="D17843" i="1"/>
  <c r="C17843" i="1"/>
  <c r="B17843" i="1"/>
  <c r="A17843" i="1"/>
  <c r="D17636" i="1"/>
  <c r="B17636" i="1"/>
  <c r="A17636" i="1"/>
  <c r="D12010" i="1"/>
  <c r="B12010" i="1"/>
  <c r="A12010" i="1"/>
  <c r="D17876" i="1"/>
  <c r="C17876" i="1"/>
  <c r="B17876" i="1"/>
  <c r="A17876" i="1"/>
  <c r="D16835" i="1"/>
  <c r="C16835" i="1"/>
  <c r="B16835" i="1"/>
  <c r="A16835" i="1"/>
  <c r="D10024" i="1"/>
  <c r="B10024" i="1"/>
  <c r="A10024" i="1"/>
  <c r="D16738" i="1"/>
  <c r="C16738" i="1"/>
  <c r="B16738" i="1"/>
  <c r="A16738" i="1"/>
  <c r="D12535" i="1"/>
  <c r="C12535" i="1"/>
  <c r="B12535" i="1"/>
  <c r="A12535" i="1"/>
  <c r="D6304" i="1"/>
  <c r="C6304" i="1"/>
  <c r="B6304" i="1"/>
  <c r="A6304" i="1"/>
  <c r="D10770" i="1"/>
  <c r="C10770" i="1"/>
  <c r="B10770" i="1"/>
  <c r="A10770" i="1"/>
  <c r="D17466" i="1"/>
  <c r="B17466" i="1"/>
  <c r="A17466" i="1"/>
  <c r="D14401" i="1"/>
  <c r="C14401" i="1"/>
  <c r="B14401" i="1"/>
  <c r="A14401" i="1"/>
  <c r="D14188" i="1"/>
  <c r="C14188" i="1"/>
  <c r="B14188" i="1"/>
  <c r="A14188" i="1"/>
  <c r="D11873" i="1"/>
  <c r="B11873" i="1"/>
  <c r="A11873" i="1"/>
  <c r="D18127" i="1"/>
  <c r="C18127" i="1"/>
  <c r="B18127" i="1"/>
  <c r="A18127" i="1"/>
  <c r="D9435" i="1"/>
  <c r="B9435" i="1"/>
  <c r="A9435" i="1"/>
  <c r="D7089" i="1"/>
  <c r="B7089" i="1"/>
  <c r="A7089" i="1"/>
  <c r="D8318" i="1"/>
  <c r="B8318" i="1"/>
  <c r="A8318" i="1"/>
  <c r="D6296" i="1"/>
  <c r="B6296" i="1"/>
  <c r="A6296" i="1"/>
  <c r="D12256" i="1"/>
  <c r="C12256" i="1"/>
  <c r="B12256" i="1"/>
  <c r="A12256" i="1"/>
  <c r="D17017" i="1"/>
  <c r="B17017" i="1"/>
  <c r="A17017" i="1"/>
  <c r="D9593" i="1"/>
  <c r="B9593" i="1"/>
  <c r="A9593" i="1"/>
  <c r="D14610" i="1"/>
  <c r="B14610" i="1"/>
  <c r="A14610" i="1"/>
  <c r="D7560" i="1"/>
  <c r="C7560" i="1"/>
  <c r="B7560" i="1"/>
  <c r="A7560" i="1"/>
  <c r="D13596" i="1"/>
  <c r="C13596" i="1"/>
  <c r="B13596" i="1"/>
  <c r="A13596" i="1"/>
  <c r="D10295" i="1"/>
  <c r="B10295" i="1"/>
  <c r="A10295" i="1"/>
  <c r="D9651" i="1"/>
  <c r="C9651" i="1"/>
  <c r="B9651" i="1"/>
  <c r="A9651" i="1"/>
  <c r="D16489" i="1"/>
  <c r="C16489" i="1"/>
  <c r="B16489" i="1"/>
  <c r="A16489" i="1"/>
  <c r="D10978" i="1"/>
  <c r="B10978" i="1"/>
  <c r="A10978" i="1"/>
  <c r="D8589" i="1"/>
  <c r="B8589" i="1"/>
  <c r="A8589" i="1"/>
  <c r="D17180" i="1"/>
  <c r="C17180" i="1"/>
  <c r="B17180" i="1"/>
  <c r="A17180" i="1"/>
  <c r="D5942" i="1"/>
  <c r="C5942" i="1"/>
  <c r="B5942" i="1"/>
  <c r="A5942" i="1"/>
  <c r="D10844" i="1"/>
  <c r="B10844" i="1"/>
  <c r="A10844" i="1"/>
  <c r="D6788" i="1"/>
  <c r="C6788" i="1"/>
  <c r="B6788" i="1"/>
  <c r="A6788" i="1"/>
  <c r="D16247" i="1"/>
  <c r="B16247" i="1"/>
  <c r="A16247" i="1"/>
  <c r="D17347" i="1"/>
  <c r="B17347" i="1"/>
  <c r="A17347" i="1"/>
  <c r="D7463" i="1"/>
  <c r="B7463" i="1"/>
  <c r="A7463" i="1"/>
  <c r="D8618" i="1"/>
  <c r="C8618" i="1"/>
  <c r="B8618" i="1"/>
  <c r="A8618" i="1"/>
  <c r="D17920" i="1"/>
  <c r="B17920" i="1"/>
  <c r="A17920" i="1"/>
  <c r="D13734" i="1"/>
  <c r="B13734" i="1"/>
  <c r="A13734" i="1"/>
  <c r="D10237" i="1"/>
  <c r="C10237" i="1"/>
  <c r="B10237" i="1"/>
  <c r="A10237" i="1"/>
  <c r="D15140" i="1"/>
  <c r="C15140" i="1"/>
  <c r="B15140" i="1"/>
  <c r="A15140" i="1"/>
  <c r="D7976" i="1"/>
  <c r="B7976" i="1"/>
  <c r="A7976" i="1"/>
  <c r="D14552" i="1"/>
  <c r="C14552" i="1"/>
  <c r="B14552" i="1"/>
  <c r="A14552" i="1"/>
  <c r="D7861" i="1"/>
  <c r="B7861" i="1"/>
  <c r="A7861" i="1"/>
  <c r="D18625" i="1"/>
  <c r="C18625" i="1"/>
  <c r="B18625" i="1"/>
  <c r="A18625" i="1"/>
  <c r="D14504" i="1"/>
  <c r="C14504" i="1"/>
  <c r="B14504" i="1"/>
  <c r="A14504" i="1"/>
  <c r="D18374" i="1"/>
  <c r="B18374" i="1"/>
  <c r="A18374" i="1"/>
  <c r="D10765" i="1"/>
  <c r="B10765" i="1"/>
  <c r="A10765" i="1"/>
  <c r="D11653" i="1"/>
  <c r="C11653" i="1"/>
  <c r="B11653" i="1"/>
  <c r="A11653" i="1"/>
  <c r="D6017" i="1"/>
  <c r="C6017" i="1"/>
  <c r="B6017" i="1"/>
  <c r="A6017" i="1"/>
  <c r="D11551" i="1"/>
  <c r="B11551" i="1"/>
  <c r="A11551" i="1"/>
  <c r="D11649" i="1"/>
  <c r="C11649" i="1"/>
  <c r="B11649" i="1"/>
  <c r="A11649" i="1"/>
  <c r="D12939" i="1"/>
  <c r="C12939" i="1"/>
  <c r="B12939" i="1"/>
  <c r="A12939" i="1"/>
  <c r="D16394" i="1"/>
  <c r="C16394" i="1"/>
  <c r="B16394" i="1"/>
  <c r="A16394" i="1"/>
  <c r="D12943" i="1"/>
  <c r="B12943" i="1"/>
  <c r="A12943" i="1"/>
  <c r="D7888" i="1"/>
  <c r="C7888" i="1"/>
  <c r="B7888" i="1"/>
  <c r="A7888" i="1"/>
  <c r="D15842" i="1"/>
  <c r="C15842" i="1"/>
  <c r="B15842" i="1"/>
  <c r="A15842" i="1"/>
  <c r="D14508" i="1"/>
  <c r="C14508" i="1"/>
  <c r="B14508" i="1"/>
  <c r="A14508" i="1"/>
  <c r="D14143" i="1"/>
  <c r="C14143" i="1"/>
  <c r="B14143" i="1"/>
  <c r="A14143" i="1"/>
  <c r="D18630" i="1"/>
  <c r="B18630" i="1"/>
  <c r="A18630" i="1"/>
  <c r="D9329" i="1"/>
  <c r="B9329" i="1"/>
  <c r="A9329" i="1"/>
  <c r="D16543" i="1"/>
  <c r="C16543" i="1"/>
  <c r="B16543" i="1"/>
  <c r="A16543" i="1"/>
  <c r="D12534" i="1"/>
  <c r="C12534" i="1"/>
  <c r="B12534" i="1"/>
  <c r="A12534" i="1"/>
  <c r="D13719" i="1"/>
  <c r="C13719" i="1"/>
  <c r="B13719" i="1"/>
  <c r="A13719" i="1"/>
  <c r="D16475" i="1"/>
  <c r="C16475" i="1"/>
  <c r="B16475" i="1"/>
  <c r="A16475" i="1"/>
  <c r="D11051" i="1"/>
  <c r="B11051" i="1"/>
  <c r="A11051" i="1"/>
  <c r="D16380" i="1"/>
  <c r="B16380" i="1"/>
  <c r="A16380" i="1"/>
  <c r="D17901" i="1"/>
  <c r="C17901" i="1"/>
  <c r="B17901" i="1"/>
  <c r="A17901" i="1"/>
  <c r="D13226" i="1"/>
  <c r="B13226" i="1"/>
  <c r="A13226" i="1"/>
  <c r="D8182" i="1"/>
  <c r="B8182" i="1"/>
  <c r="A8182" i="1"/>
  <c r="D18810" i="1"/>
  <c r="B18810" i="1"/>
  <c r="A18810" i="1"/>
  <c r="D8649" i="1"/>
  <c r="B8649" i="1"/>
  <c r="A8649" i="1"/>
  <c r="D13470" i="1"/>
  <c r="C13470" i="1"/>
  <c r="B13470" i="1"/>
  <c r="A13470" i="1"/>
  <c r="D11662" i="1"/>
  <c r="B11662" i="1"/>
  <c r="A11662" i="1"/>
  <c r="D6344" i="1"/>
  <c r="B6344" i="1"/>
  <c r="A6344" i="1"/>
  <c r="D13840" i="1"/>
  <c r="B13840" i="1"/>
  <c r="A13840" i="1"/>
  <c r="D12912" i="1"/>
  <c r="C12912" i="1"/>
  <c r="B12912" i="1"/>
  <c r="A12912" i="1"/>
  <c r="D8875" i="1"/>
  <c r="C8875" i="1"/>
  <c r="B8875" i="1"/>
  <c r="A8875" i="1"/>
  <c r="D6190" i="1"/>
  <c r="B6190" i="1"/>
  <c r="A6190" i="1"/>
  <c r="D14308" i="1"/>
  <c r="C14308" i="1"/>
  <c r="B14308" i="1"/>
  <c r="A14308" i="1"/>
  <c r="D11710" i="1"/>
  <c r="B11710" i="1"/>
  <c r="A11710" i="1"/>
  <c r="D10776" i="1"/>
  <c r="B10776" i="1"/>
  <c r="A10776" i="1"/>
  <c r="D15550" i="1"/>
  <c r="C15550" i="1"/>
  <c r="B15550" i="1"/>
  <c r="A15550" i="1"/>
  <c r="D11383" i="1"/>
  <c r="C11383" i="1"/>
  <c r="B11383" i="1"/>
  <c r="A11383" i="1"/>
  <c r="D14039" i="1"/>
  <c r="B14039" i="1"/>
  <c r="A14039" i="1"/>
  <c r="D12287" i="1"/>
  <c r="B12287" i="1"/>
  <c r="A12287" i="1"/>
  <c r="D12550" i="1"/>
  <c r="C12550" i="1"/>
  <c r="B12550" i="1"/>
  <c r="A12550" i="1"/>
  <c r="D9755" i="1"/>
  <c r="C9755" i="1"/>
  <c r="B9755" i="1"/>
  <c r="A9755" i="1"/>
  <c r="D13628" i="1"/>
  <c r="C13628" i="1"/>
  <c r="B13628" i="1"/>
  <c r="A13628" i="1"/>
  <c r="D8337" i="1"/>
  <c r="C8337" i="1"/>
  <c r="B8337" i="1"/>
  <c r="A8337" i="1"/>
  <c r="D6141" i="1"/>
  <c r="C6141" i="1"/>
  <c r="B6141" i="1"/>
  <c r="A6141" i="1"/>
  <c r="D8046" i="1"/>
  <c r="B8046" i="1"/>
  <c r="A8046" i="1"/>
  <c r="D17465" i="1"/>
  <c r="C17465" i="1"/>
  <c r="B17465" i="1"/>
  <c r="A17465" i="1"/>
  <c r="D13355" i="1"/>
  <c r="B13355" i="1"/>
  <c r="A13355" i="1"/>
  <c r="D17701" i="1"/>
  <c r="C17701" i="1"/>
  <c r="B17701" i="1"/>
  <c r="A17701" i="1"/>
  <c r="D16045" i="1"/>
  <c r="B16045" i="1"/>
  <c r="A16045" i="1"/>
  <c r="D8382" i="1"/>
  <c r="B8382" i="1"/>
  <c r="A8382" i="1"/>
  <c r="D8329" i="1"/>
  <c r="B8329" i="1"/>
  <c r="A8329" i="1"/>
  <c r="D8556" i="1"/>
  <c r="C8556" i="1"/>
  <c r="B8556" i="1"/>
  <c r="A8556" i="1"/>
  <c r="D12996" i="1"/>
  <c r="C12996" i="1"/>
  <c r="B12996" i="1"/>
  <c r="A12996" i="1"/>
  <c r="D11118" i="1"/>
  <c r="B11118" i="1"/>
  <c r="A11118" i="1"/>
  <c r="D12529" i="1"/>
  <c r="C12529" i="1"/>
  <c r="B12529" i="1"/>
  <c r="A12529" i="1"/>
  <c r="D14530" i="1"/>
  <c r="C14530" i="1"/>
  <c r="B14530" i="1"/>
  <c r="A14530" i="1"/>
  <c r="D17755" i="1"/>
  <c r="B17755" i="1"/>
  <c r="A17755" i="1"/>
  <c r="D13676" i="1"/>
  <c r="B13676" i="1"/>
  <c r="A13676" i="1"/>
  <c r="D18815" i="1"/>
  <c r="C18815" i="1"/>
  <c r="B18815" i="1"/>
  <c r="A18815" i="1"/>
  <c r="D6142" i="1"/>
  <c r="C6142" i="1"/>
  <c r="B6142" i="1"/>
  <c r="A6142" i="1"/>
  <c r="D17688" i="1"/>
  <c r="C17688" i="1"/>
  <c r="B17688" i="1"/>
  <c r="A17688" i="1"/>
  <c r="D9365" i="1"/>
  <c r="B9365" i="1"/>
  <c r="A9365" i="1"/>
  <c r="D18387" i="1"/>
  <c r="C18387" i="1"/>
  <c r="B18387" i="1"/>
  <c r="A18387" i="1"/>
  <c r="D11639" i="1"/>
  <c r="B11639" i="1"/>
  <c r="A11639" i="1"/>
  <c r="D16960" i="1"/>
  <c r="C16960" i="1"/>
  <c r="B16960" i="1"/>
  <c r="A16960" i="1"/>
  <c r="D8601" i="1"/>
  <c r="C8601" i="1"/>
  <c r="B8601" i="1"/>
  <c r="A8601" i="1"/>
  <c r="D12360" i="1"/>
  <c r="B12360" i="1"/>
  <c r="A12360" i="1"/>
  <c r="D18185" i="1"/>
  <c r="B18185" i="1"/>
  <c r="A18185" i="1"/>
  <c r="D11413" i="1"/>
  <c r="C11413" i="1"/>
  <c r="B11413" i="1"/>
  <c r="A11413" i="1"/>
  <c r="D13026" i="1"/>
  <c r="B13026" i="1"/>
  <c r="A13026" i="1"/>
  <c r="D8539" i="1"/>
  <c r="C8539" i="1"/>
  <c r="B8539" i="1"/>
  <c r="A8539" i="1"/>
  <c r="D5978" i="1"/>
  <c r="B5978" i="1"/>
  <c r="A5978" i="1"/>
  <c r="D17088" i="1"/>
  <c r="B17088" i="1"/>
  <c r="A17088" i="1"/>
  <c r="D6486" i="1"/>
  <c r="B6486" i="1"/>
  <c r="A6486" i="1"/>
  <c r="D18220" i="1"/>
  <c r="B18220" i="1"/>
  <c r="A18220" i="1"/>
  <c r="D10971" i="1"/>
  <c r="B10971" i="1"/>
  <c r="A10971" i="1"/>
  <c r="D11959" i="1"/>
  <c r="B11959" i="1"/>
  <c r="A11959" i="1"/>
  <c r="D9911" i="1"/>
  <c r="B9911" i="1"/>
  <c r="A9911" i="1"/>
  <c r="D6148" i="1"/>
  <c r="B6148" i="1"/>
  <c r="A6148" i="1"/>
  <c r="D12997" i="1"/>
  <c r="B12997" i="1"/>
  <c r="A12997" i="1"/>
  <c r="D9722" i="1"/>
  <c r="B9722" i="1"/>
  <c r="A9722" i="1"/>
  <c r="D8537" i="1"/>
  <c r="B8537" i="1"/>
  <c r="A8537" i="1"/>
  <c r="D13287" i="1"/>
  <c r="B13287" i="1"/>
  <c r="A13287" i="1"/>
  <c r="D13485" i="1"/>
  <c r="C13485" i="1"/>
  <c r="B13485" i="1"/>
  <c r="A13485" i="1"/>
  <c r="D13639" i="1"/>
  <c r="C13639" i="1"/>
  <c r="B13639" i="1"/>
  <c r="A13639" i="1"/>
  <c r="D14411" i="1"/>
  <c r="C14411" i="1"/>
  <c r="B14411" i="1"/>
  <c r="A14411" i="1"/>
  <c r="D10438" i="1"/>
  <c r="B10438" i="1"/>
  <c r="A10438" i="1"/>
  <c r="D13792" i="1"/>
  <c r="C13792" i="1"/>
  <c r="B13792" i="1"/>
  <c r="A13792" i="1"/>
  <c r="D9294" i="1"/>
  <c r="B9294" i="1"/>
  <c r="A9294" i="1"/>
  <c r="D16785" i="1"/>
  <c r="B16785" i="1"/>
  <c r="A16785" i="1"/>
  <c r="D10524" i="1"/>
  <c r="C10524" i="1"/>
  <c r="B10524" i="1"/>
  <c r="A10524" i="1"/>
  <c r="D18469" i="1"/>
  <c r="C18469" i="1"/>
  <c r="B18469" i="1"/>
  <c r="A18469" i="1"/>
  <c r="D16661" i="1"/>
  <c r="C16661" i="1"/>
  <c r="B16661" i="1"/>
  <c r="A16661" i="1"/>
  <c r="D14262" i="1"/>
  <c r="C14262" i="1"/>
  <c r="B14262" i="1"/>
  <c r="A14262" i="1"/>
  <c r="D15607" i="1"/>
  <c r="B15607" i="1"/>
  <c r="A15607" i="1"/>
  <c r="D16337" i="1"/>
  <c r="B16337" i="1"/>
  <c r="A16337" i="1"/>
  <c r="D18002" i="1"/>
  <c r="B18002" i="1"/>
  <c r="A18002" i="1"/>
  <c r="D8280" i="1"/>
  <c r="B8280" i="1"/>
  <c r="A8280" i="1"/>
  <c r="D11240" i="1"/>
  <c r="B11240" i="1"/>
  <c r="A11240" i="1"/>
  <c r="D14252" i="1"/>
  <c r="C14252" i="1"/>
  <c r="B14252" i="1"/>
  <c r="A14252" i="1"/>
  <c r="D18481" i="1"/>
  <c r="A18481" i="1"/>
  <c r="D16539" i="1"/>
  <c r="B16539" i="1"/>
  <c r="A16539" i="1"/>
  <c r="D14395" i="1"/>
  <c r="B14395" i="1"/>
  <c r="A14395" i="1"/>
  <c r="D6107" i="1"/>
  <c r="C6107" i="1"/>
  <c r="B6107" i="1"/>
  <c r="A6107" i="1"/>
  <c r="D14159" i="1"/>
  <c r="C14159" i="1"/>
  <c r="B14159" i="1"/>
  <c r="A14159" i="1"/>
  <c r="D17665" i="1"/>
  <c r="C17665" i="1"/>
  <c r="B17665" i="1"/>
  <c r="A17665" i="1"/>
  <c r="D8550" i="1"/>
  <c r="B8550" i="1"/>
  <c r="A8550" i="1"/>
  <c r="D16365" i="1"/>
  <c r="B16365" i="1"/>
  <c r="A16365" i="1"/>
  <c r="D16630" i="1"/>
  <c r="A16630" i="1"/>
  <c r="D9019" i="1"/>
  <c r="B9019" i="1"/>
  <c r="A9019" i="1"/>
  <c r="D12960" i="1"/>
  <c r="C12960" i="1"/>
  <c r="B12960" i="1"/>
  <c r="A12960" i="1"/>
  <c r="D11417" i="1"/>
  <c r="C11417" i="1"/>
  <c r="B11417" i="1"/>
  <c r="A11417" i="1"/>
  <c r="D11720" i="1"/>
  <c r="C11720" i="1"/>
  <c r="B11720" i="1"/>
  <c r="A11720" i="1"/>
  <c r="D15983" i="1"/>
  <c r="B15983" i="1"/>
  <c r="A15983" i="1"/>
  <c r="D12791" i="1"/>
  <c r="B12791" i="1"/>
  <c r="A12791" i="1"/>
  <c r="D9934" i="1"/>
  <c r="B9934" i="1"/>
  <c r="A9934" i="1"/>
  <c r="D11320" i="1"/>
  <c r="C11320" i="1"/>
  <c r="B11320" i="1"/>
  <c r="A11320" i="1"/>
  <c r="D6138" i="1"/>
  <c r="C6138" i="1"/>
  <c r="B6138" i="1"/>
  <c r="A6138" i="1"/>
  <c r="D8482" i="1"/>
  <c r="B8482" i="1"/>
  <c r="A8482" i="1"/>
  <c r="D7931" i="1"/>
  <c r="C7931" i="1"/>
  <c r="B7931" i="1"/>
  <c r="A7931" i="1"/>
  <c r="D18639" i="1"/>
  <c r="B18639" i="1"/>
  <c r="A18639" i="1"/>
  <c r="D5945" i="1"/>
  <c r="C5945" i="1"/>
  <c r="B5945" i="1"/>
  <c r="A5945" i="1"/>
  <c r="D16602" i="1"/>
  <c r="C16602" i="1"/>
  <c r="B16602" i="1"/>
  <c r="A16602" i="1"/>
  <c r="D9335" i="1"/>
  <c r="B9335" i="1"/>
  <c r="A9335" i="1"/>
  <c r="D15603" i="1"/>
  <c r="B15603" i="1"/>
  <c r="A15603" i="1"/>
  <c r="D17718" i="1"/>
  <c r="B17718" i="1"/>
  <c r="A17718" i="1"/>
  <c r="D14293" i="1"/>
  <c r="C14293" i="1"/>
  <c r="B14293" i="1"/>
  <c r="A14293" i="1"/>
  <c r="D14696" i="1"/>
  <c r="B14696" i="1"/>
  <c r="A14696" i="1"/>
  <c r="D12721" i="1"/>
  <c r="B12721" i="1"/>
  <c r="A12721" i="1"/>
  <c r="D13783" i="1"/>
  <c r="C13783" i="1"/>
  <c r="B13783" i="1"/>
  <c r="A13783" i="1"/>
  <c r="D9907" i="1"/>
  <c r="C9907" i="1"/>
  <c r="B9907" i="1"/>
  <c r="A9907" i="1"/>
  <c r="D13282" i="1"/>
  <c r="B13282" i="1"/>
  <c r="A13282" i="1"/>
  <c r="D11163" i="1"/>
  <c r="B11163" i="1"/>
  <c r="A11163" i="1"/>
  <c r="D14608" i="1"/>
  <c r="C14608" i="1"/>
  <c r="B14608" i="1"/>
  <c r="A14608" i="1"/>
  <c r="D13749" i="1"/>
  <c r="B13749" i="1"/>
  <c r="A13749" i="1"/>
  <c r="D6164" i="1"/>
  <c r="B6164" i="1"/>
  <c r="A6164" i="1"/>
  <c r="D14729" i="1"/>
  <c r="B14729" i="1"/>
  <c r="A14729" i="1"/>
  <c r="D14192" i="1"/>
  <c r="B14192" i="1"/>
  <c r="A14192" i="1"/>
  <c r="D11699" i="1"/>
  <c r="B11699" i="1"/>
  <c r="A11699" i="1"/>
  <c r="D8685" i="1"/>
  <c r="B8685" i="1"/>
  <c r="A8685" i="1"/>
  <c r="D5966" i="1"/>
  <c r="C5966" i="1"/>
  <c r="B5966" i="1"/>
  <c r="A5966" i="1"/>
  <c r="D12601" i="1"/>
  <c r="B12601" i="1"/>
  <c r="A12601" i="1"/>
  <c r="D14092" i="1"/>
  <c r="C14092" i="1"/>
  <c r="B14092" i="1"/>
  <c r="A14092" i="1"/>
  <c r="D8677" i="1"/>
  <c r="C8677" i="1"/>
  <c r="B8677" i="1"/>
  <c r="A8677" i="1"/>
  <c r="D16195" i="1"/>
  <c r="C16195" i="1"/>
  <c r="B16195" i="1"/>
  <c r="A16195" i="1"/>
  <c r="D7203" i="1"/>
  <c r="C7203" i="1"/>
  <c r="B7203" i="1"/>
  <c r="A7203" i="1"/>
  <c r="D14086" i="1"/>
  <c r="B14086" i="1"/>
  <c r="A14086" i="1"/>
  <c r="D9234" i="1"/>
  <c r="B9234" i="1"/>
  <c r="A9234" i="1"/>
  <c r="D8590" i="1"/>
  <c r="B8590" i="1"/>
  <c r="A8590" i="1"/>
  <c r="D13344" i="1"/>
  <c r="C13344" i="1"/>
  <c r="B13344" i="1"/>
  <c r="A13344" i="1"/>
  <c r="D8366" i="1"/>
  <c r="B8366" i="1"/>
  <c r="A8366" i="1"/>
  <c r="D12811" i="1"/>
  <c r="B12811" i="1"/>
  <c r="A12811" i="1"/>
  <c r="D13636" i="1"/>
  <c r="B13636" i="1"/>
  <c r="A13636" i="1"/>
  <c r="D8038" i="1"/>
  <c r="B8038" i="1"/>
  <c r="A8038" i="1"/>
  <c r="D9396" i="1"/>
  <c r="B9396" i="1"/>
  <c r="A9396" i="1"/>
  <c r="D6166" i="1"/>
  <c r="B6166" i="1"/>
  <c r="A6166" i="1"/>
  <c r="D18081" i="1"/>
  <c r="C18081" i="1"/>
  <c r="B18081" i="1"/>
  <c r="A18081" i="1"/>
  <c r="D8810" i="1"/>
  <c r="B8810" i="1"/>
  <c r="A8810" i="1"/>
  <c r="D9099" i="1"/>
  <c r="B9099" i="1"/>
  <c r="A9099" i="1"/>
  <c r="D8841" i="1"/>
  <c r="C8841" i="1"/>
  <c r="B8841" i="1"/>
  <c r="A8841" i="1"/>
  <c r="D6973" i="1"/>
  <c r="C6973" i="1"/>
  <c r="B6973" i="1"/>
  <c r="A6973" i="1"/>
  <c r="D11543" i="1"/>
  <c r="C11543" i="1"/>
  <c r="B11543" i="1"/>
  <c r="A11543" i="1"/>
  <c r="D8645" i="1"/>
  <c r="C8645" i="1"/>
  <c r="B8645" i="1"/>
  <c r="A8645" i="1"/>
  <c r="D12554" i="1"/>
  <c r="C12554" i="1"/>
  <c r="B12554" i="1"/>
  <c r="A12554" i="1"/>
  <c r="D13318" i="1"/>
  <c r="B13318" i="1"/>
  <c r="A13318" i="1"/>
  <c r="D13614" i="1"/>
  <c r="C13614" i="1"/>
  <c r="B13614" i="1"/>
  <c r="A13614" i="1"/>
  <c r="D13620" i="1"/>
  <c r="C13620" i="1"/>
  <c r="B13620" i="1"/>
  <c r="A13620" i="1"/>
  <c r="D14218" i="1"/>
  <c r="C14218" i="1"/>
  <c r="B14218" i="1"/>
  <c r="A14218" i="1"/>
  <c r="D11411" i="1"/>
  <c r="C11411" i="1"/>
  <c r="B11411" i="1"/>
  <c r="A11411" i="1"/>
  <c r="D13629" i="1"/>
  <c r="C13629" i="1"/>
  <c r="B13629" i="1"/>
  <c r="A13629" i="1"/>
  <c r="D12728" i="1"/>
  <c r="C12728" i="1"/>
  <c r="B12728" i="1"/>
  <c r="A12728" i="1"/>
  <c r="D9754" i="1"/>
  <c r="C9754" i="1"/>
  <c r="B9754" i="1"/>
  <c r="A9754" i="1"/>
  <c r="D6128" i="1"/>
  <c r="B6128" i="1"/>
  <c r="A6128" i="1"/>
  <c r="D12214" i="1"/>
  <c r="B12214" i="1"/>
  <c r="A12214" i="1"/>
  <c r="D8284" i="1"/>
  <c r="B8284" i="1"/>
  <c r="A8284" i="1"/>
  <c r="D6601" i="1"/>
  <c r="B6601" i="1"/>
  <c r="A6601" i="1"/>
  <c r="D12734" i="1"/>
  <c r="C12734" i="1"/>
  <c r="B12734" i="1"/>
  <c r="A12734" i="1"/>
  <c r="D18533" i="1"/>
  <c r="B18533" i="1"/>
  <c r="A18533" i="1"/>
  <c r="D13384" i="1"/>
  <c r="B13384" i="1"/>
  <c r="A13384" i="1"/>
  <c r="D7478" i="1"/>
  <c r="B7478" i="1"/>
  <c r="A7478" i="1"/>
  <c r="D7944" i="1"/>
  <c r="B7944" i="1"/>
  <c r="A7944" i="1"/>
  <c r="D12567" i="1"/>
  <c r="B12567" i="1"/>
  <c r="A12567" i="1"/>
  <c r="D10123" i="1"/>
  <c r="C10123" i="1"/>
  <c r="B10123" i="1"/>
  <c r="A10123" i="1"/>
  <c r="D11651" i="1"/>
  <c r="B11651" i="1"/>
  <c r="A11651" i="1"/>
  <c r="D6024" i="1"/>
  <c r="C6024" i="1"/>
  <c r="B6024" i="1"/>
  <c r="A6024" i="1"/>
  <c r="D14385" i="1"/>
  <c r="C14385" i="1"/>
  <c r="B14385" i="1"/>
  <c r="A14385" i="1"/>
  <c r="D14310" i="1"/>
  <c r="C14310" i="1"/>
  <c r="B14310" i="1"/>
  <c r="A14310" i="1"/>
  <c r="D15554" i="1"/>
  <c r="C15554" i="1"/>
  <c r="B15554" i="1"/>
  <c r="A15554" i="1"/>
  <c r="D12359" i="1"/>
  <c r="B12359" i="1"/>
  <c r="A12359" i="1"/>
  <c r="D9060" i="1"/>
  <c r="B9060" i="1"/>
  <c r="A9060" i="1"/>
  <c r="D14539" i="1"/>
  <c r="B14539" i="1"/>
  <c r="A14539" i="1"/>
  <c r="D11901" i="1"/>
  <c r="C11901" i="1"/>
  <c r="B11901" i="1"/>
  <c r="A11901" i="1"/>
  <c r="D11632" i="1"/>
  <c r="B11632" i="1"/>
  <c r="A11632" i="1"/>
  <c r="D8876" i="1"/>
  <c r="B8876" i="1"/>
  <c r="A8876" i="1"/>
  <c r="D10832" i="1"/>
  <c r="C10832" i="1"/>
  <c r="B10832" i="1"/>
  <c r="A10832" i="1"/>
  <c r="D5921" i="1"/>
  <c r="B5921" i="1"/>
  <c r="A5921" i="1"/>
  <c r="D8891" i="1"/>
  <c r="C8891" i="1"/>
  <c r="B8891" i="1"/>
  <c r="A8891" i="1"/>
  <c r="D13738" i="1"/>
  <c r="C13738" i="1"/>
  <c r="B13738" i="1"/>
  <c r="A13738" i="1"/>
  <c r="D12642" i="1"/>
  <c r="B12642" i="1"/>
  <c r="A12642" i="1"/>
  <c r="D16492" i="1"/>
  <c r="B16492" i="1"/>
  <c r="A16492" i="1"/>
  <c r="D11979" i="1"/>
  <c r="B11979" i="1"/>
  <c r="A11979" i="1"/>
  <c r="D16452" i="1"/>
  <c r="B16452" i="1"/>
  <c r="A16452" i="1"/>
  <c r="D14472" i="1"/>
  <c r="C14472" i="1"/>
  <c r="B14472" i="1"/>
  <c r="A14472" i="1"/>
  <c r="D13981" i="1"/>
  <c r="B13981" i="1"/>
  <c r="A13981" i="1"/>
  <c r="D13337" i="1"/>
  <c r="C13337" i="1"/>
  <c r="B13337" i="1"/>
  <c r="A13337" i="1"/>
  <c r="D17805" i="1"/>
  <c r="B17805" i="1"/>
  <c r="A17805" i="1"/>
  <c r="D13034" i="1"/>
  <c r="C13034" i="1"/>
  <c r="B13034" i="1"/>
  <c r="A13034" i="1"/>
  <c r="D16596" i="1"/>
  <c r="B16596" i="1"/>
  <c r="A16596" i="1"/>
  <c r="D6284" i="1"/>
  <c r="B6284" i="1"/>
  <c r="A6284" i="1"/>
  <c r="D9207" i="1"/>
  <c r="B9207" i="1"/>
  <c r="A9207" i="1"/>
  <c r="D6030" i="1"/>
  <c r="B6030" i="1"/>
  <c r="A6030" i="1"/>
  <c r="D10058" i="1"/>
  <c r="B10058" i="1"/>
  <c r="A10058" i="1"/>
  <c r="D17707" i="1"/>
  <c r="B17707" i="1"/>
  <c r="A17707" i="1"/>
  <c r="D17609" i="1"/>
  <c r="B17609" i="1"/>
  <c r="A17609" i="1"/>
  <c r="D9093" i="1"/>
  <c r="B9093" i="1"/>
  <c r="A9093" i="1"/>
  <c r="D14163" i="1"/>
  <c r="C14163" i="1"/>
  <c r="B14163" i="1"/>
  <c r="A14163" i="1"/>
  <c r="D9222" i="1"/>
  <c r="B9222" i="1"/>
  <c r="A9222" i="1"/>
  <c r="D7183" i="1"/>
  <c r="B7183" i="1"/>
  <c r="A7183" i="1"/>
  <c r="D18181" i="1"/>
  <c r="B18181" i="1"/>
  <c r="A18181" i="1"/>
  <c r="D13339" i="1"/>
  <c r="B13339" i="1"/>
  <c r="A13339" i="1"/>
  <c r="D16729" i="1"/>
  <c r="B16729" i="1"/>
  <c r="A16729" i="1"/>
  <c r="D16662" i="1"/>
  <c r="C16662" i="1"/>
  <c r="B16662" i="1"/>
  <c r="A16662" i="1"/>
  <c r="D11321" i="1"/>
  <c r="C11321" i="1"/>
  <c r="B11321" i="1"/>
  <c r="A11321" i="1"/>
  <c r="D6185" i="1"/>
  <c r="C6185" i="1"/>
  <c r="B6185" i="1"/>
  <c r="A6185" i="1"/>
  <c r="D6041" i="1"/>
  <c r="B6041" i="1"/>
  <c r="A6041" i="1"/>
  <c r="D13381" i="1"/>
  <c r="B13381" i="1"/>
  <c r="A13381" i="1"/>
  <c r="D11561" i="1"/>
  <c r="B11561" i="1"/>
  <c r="A11561" i="1"/>
  <c r="D15592" i="1"/>
  <c r="C15592" i="1"/>
  <c r="B15592" i="1"/>
  <c r="A15592" i="1"/>
  <c r="D10162" i="1"/>
  <c r="B10162" i="1"/>
  <c r="A10162" i="1"/>
  <c r="D16699" i="1"/>
  <c r="C16699" i="1"/>
  <c r="B16699" i="1"/>
  <c r="A16699" i="1"/>
  <c r="D16786" i="1"/>
  <c r="C16786" i="1"/>
  <c r="B16786" i="1"/>
  <c r="A16786" i="1"/>
  <c r="D13000" i="1"/>
  <c r="B13000" i="1"/>
  <c r="A13000" i="1"/>
  <c r="D13717" i="1"/>
  <c r="B13717" i="1"/>
  <c r="A13717" i="1"/>
  <c r="D8335" i="1"/>
  <c r="C8335" i="1"/>
  <c r="B8335" i="1"/>
  <c r="A8335" i="1"/>
  <c r="D14160" i="1"/>
  <c r="C14160" i="1"/>
  <c r="B14160" i="1"/>
  <c r="A14160" i="1"/>
  <c r="D11908" i="1"/>
  <c r="B11908" i="1"/>
  <c r="A11908" i="1"/>
  <c r="D15686" i="1"/>
  <c r="C15686" i="1"/>
  <c r="B15686" i="1"/>
  <c r="A15686" i="1"/>
  <c r="D10869" i="1"/>
  <c r="B10869" i="1"/>
  <c r="A10869" i="1"/>
  <c r="D15918" i="1"/>
  <c r="B15918" i="1"/>
  <c r="A15918" i="1"/>
  <c r="D13649" i="1"/>
  <c r="B13649" i="1"/>
  <c r="A13649" i="1"/>
  <c r="D13991" i="1"/>
  <c r="B13991" i="1"/>
  <c r="A13991" i="1"/>
  <c r="D6370" i="1"/>
  <c r="B6370" i="1"/>
  <c r="A6370" i="1"/>
  <c r="D8668" i="1"/>
  <c r="B8668" i="1"/>
  <c r="A8668" i="1"/>
  <c r="D8321" i="1"/>
  <c r="C8321" i="1"/>
  <c r="B8321" i="1"/>
  <c r="A8321" i="1"/>
  <c r="D7905" i="1"/>
  <c r="B7905" i="1"/>
  <c r="A7905" i="1"/>
  <c r="D8302" i="1"/>
  <c r="B8302" i="1"/>
  <c r="A8302" i="1"/>
  <c r="D8293" i="1"/>
  <c r="C8293" i="1"/>
  <c r="B8293" i="1"/>
  <c r="A8293" i="1"/>
  <c r="D12520" i="1"/>
  <c r="B12520" i="1"/>
  <c r="A12520" i="1"/>
  <c r="D13480" i="1"/>
  <c r="C13480" i="1"/>
  <c r="B13480" i="1"/>
  <c r="A13480" i="1"/>
  <c r="D18135" i="1"/>
  <c r="C18135" i="1"/>
  <c r="B18135" i="1"/>
  <c r="A18135" i="1"/>
  <c r="D12690" i="1"/>
  <c r="B12690" i="1"/>
  <c r="A12690" i="1"/>
  <c r="D16723" i="1"/>
  <c r="B16723" i="1"/>
  <c r="A16723" i="1"/>
  <c r="D10151" i="1"/>
  <c r="C10151" i="1"/>
  <c r="B10151" i="1"/>
  <c r="A10151" i="1"/>
  <c r="D14193" i="1"/>
  <c r="C14193" i="1"/>
  <c r="B14193" i="1"/>
  <c r="A14193" i="1"/>
  <c r="D18096" i="1"/>
  <c r="C18096" i="1"/>
  <c r="B18096" i="1"/>
  <c r="A18096" i="1"/>
  <c r="D12372" i="1"/>
  <c r="B12372" i="1"/>
  <c r="A12372" i="1"/>
  <c r="D13158" i="1"/>
  <c r="B13158" i="1"/>
  <c r="A13158" i="1"/>
  <c r="D14410" i="1"/>
  <c r="B14410" i="1"/>
  <c r="A14410" i="1"/>
  <c r="D17737" i="1"/>
  <c r="B17737" i="1"/>
  <c r="A17737" i="1"/>
  <c r="D18017" i="1"/>
  <c r="B18017" i="1"/>
  <c r="A18017" i="1"/>
  <c r="D18434" i="1"/>
  <c r="B18434" i="1"/>
  <c r="A18434" i="1"/>
  <c r="D18225" i="1"/>
  <c r="B18225" i="1"/>
  <c r="A18225" i="1"/>
  <c r="D17925" i="1"/>
  <c r="B17925" i="1"/>
  <c r="A17925" i="1"/>
  <c r="D6027" i="1"/>
  <c r="C6027" i="1"/>
  <c r="B6027" i="1"/>
  <c r="A6027" i="1"/>
  <c r="D7984" i="1"/>
  <c r="B7984" i="1"/>
  <c r="A7984" i="1"/>
  <c r="D13828" i="1"/>
  <c r="C13828" i="1"/>
  <c r="B13828" i="1"/>
  <c r="A13828" i="1"/>
  <c r="D16659" i="1"/>
  <c r="C16659" i="1"/>
  <c r="B16659" i="1"/>
  <c r="A16659" i="1"/>
  <c r="D11157" i="1"/>
  <c r="B11157" i="1"/>
  <c r="A11157" i="1"/>
  <c r="D9879" i="1"/>
  <c r="B9879" i="1"/>
  <c r="A9879" i="1"/>
  <c r="D18056" i="1"/>
  <c r="B18056" i="1"/>
  <c r="A18056" i="1"/>
  <c r="D17547" i="1"/>
  <c r="B17547" i="1"/>
  <c r="A17547" i="1"/>
  <c r="D13722" i="1"/>
  <c r="C13722" i="1"/>
  <c r="B13722" i="1"/>
  <c r="A13722" i="1"/>
  <c r="D14300" i="1"/>
  <c r="C14300" i="1"/>
  <c r="B14300" i="1"/>
  <c r="A14300" i="1"/>
  <c r="D7480" i="1"/>
  <c r="C7480" i="1"/>
  <c r="B7480" i="1"/>
  <c r="A7480" i="1"/>
  <c r="D8640" i="1"/>
  <c r="B8640" i="1"/>
  <c r="A8640" i="1"/>
  <c r="D17957" i="1"/>
  <c r="C17957" i="1"/>
  <c r="B17957" i="1"/>
  <c r="A17957" i="1"/>
  <c r="D12571" i="1"/>
  <c r="B12571" i="1"/>
  <c r="A12571" i="1"/>
  <c r="D8338" i="1"/>
  <c r="B8338" i="1"/>
  <c r="A8338" i="1"/>
  <c r="D11301" i="1"/>
  <c r="C11301" i="1"/>
  <c r="B11301" i="1"/>
  <c r="A11301" i="1"/>
  <c r="D13182" i="1"/>
  <c r="B13182" i="1"/>
  <c r="A13182" i="1"/>
  <c r="D5878" i="1"/>
  <c r="B5878" i="1"/>
  <c r="A5878" i="1"/>
  <c r="D14433" i="1"/>
  <c r="C14433" i="1"/>
  <c r="B14433" i="1"/>
  <c r="A14433" i="1"/>
  <c r="D16057" i="1"/>
  <c r="B16057" i="1"/>
  <c r="A16057" i="1"/>
  <c r="D13550" i="1"/>
  <c r="C13550" i="1"/>
  <c r="B13550" i="1"/>
  <c r="A13550" i="1"/>
  <c r="D10484" i="1"/>
  <c r="B10484" i="1"/>
  <c r="A10484" i="1"/>
  <c r="D12832" i="1"/>
  <c r="B12832" i="1"/>
  <c r="A12832" i="1"/>
  <c r="D6239" i="1"/>
  <c r="B6239" i="1"/>
  <c r="A6239" i="1"/>
  <c r="D18311" i="1"/>
  <c r="B18311" i="1"/>
  <c r="A18311" i="1"/>
  <c r="D12558" i="1"/>
  <c r="B12558" i="1"/>
  <c r="A12558" i="1"/>
  <c r="D7127" i="1"/>
  <c r="A7127" i="1"/>
  <c r="D11338" i="1"/>
  <c r="C11338" i="1"/>
  <c r="B11338" i="1"/>
  <c r="A11338" i="1"/>
  <c r="D12399" i="1"/>
  <c r="B12399" i="1"/>
  <c r="A12399" i="1"/>
  <c r="D7123" i="1"/>
  <c r="B7123" i="1"/>
  <c r="A7123" i="1"/>
  <c r="D12181" i="1"/>
  <c r="B12181" i="1"/>
  <c r="A12181" i="1"/>
  <c r="D12255" i="1"/>
  <c r="C12255" i="1"/>
  <c r="B12255" i="1"/>
  <c r="A12255" i="1"/>
  <c r="D8780" i="1"/>
  <c r="C8780" i="1"/>
  <c r="B8780" i="1"/>
  <c r="A8780" i="1"/>
  <c r="D14215" i="1"/>
  <c r="B14215" i="1"/>
  <c r="A14215" i="1"/>
  <c r="D10812" i="1"/>
  <c r="B10812" i="1"/>
  <c r="A10812" i="1"/>
  <c r="D13804" i="1"/>
  <c r="C13804" i="1"/>
  <c r="B13804" i="1"/>
  <c r="A13804" i="1"/>
  <c r="D6139" i="1"/>
  <c r="C6139" i="1"/>
  <c r="B6139" i="1"/>
  <c r="A6139" i="1"/>
  <c r="D17320" i="1"/>
  <c r="B17320" i="1"/>
  <c r="A17320" i="1"/>
  <c r="D18738" i="1"/>
  <c r="B18738" i="1"/>
  <c r="A18738" i="1"/>
  <c r="D8788" i="1"/>
  <c r="C8788" i="1"/>
  <c r="B8788" i="1"/>
  <c r="A8788" i="1"/>
  <c r="D11614" i="1"/>
  <c r="C11614" i="1"/>
  <c r="B11614" i="1"/>
  <c r="A11614" i="1"/>
  <c r="D8777" i="1"/>
  <c r="C8777" i="1"/>
  <c r="B8777" i="1"/>
  <c r="A8777" i="1"/>
  <c r="D13156" i="1"/>
  <c r="B13156" i="1"/>
  <c r="A13156" i="1"/>
  <c r="D16512" i="1"/>
  <c r="B16512" i="1"/>
  <c r="A16512" i="1"/>
  <c r="D8694" i="1"/>
  <c r="B8694" i="1"/>
  <c r="A8694" i="1"/>
  <c r="D13594" i="1"/>
  <c r="C13594" i="1"/>
  <c r="B13594" i="1"/>
  <c r="A13594" i="1"/>
  <c r="D6178" i="1"/>
  <c r="B6178" i="1"/>
  <c r="A6178" i="1"/>
  <c r="D13615" i="1"/>
  <c r="B13615" i="1"/>
  <c r="A13615" i="1"/>
  <c r="D11541" i="1"/>
  <c r="C11541" i="1"/>
  <c r="B11541" i="1"/>
  <c r="A11541" i="1"/>
  <c r="D7867" i="1"/>
  <c r="B7867" i="1"/>
  <c r="A7867" i="1"/>
  <c r="D6302" i="1"/>
  <c r="C6302" i="1"/>
  <c r="B6302" i="1"/>
  <c r="A6302" i="1"/>
  <c r="D13739" i="1"/>
  <c r="C13739" i="1"/>
  <c r="B13739" i="1"/>
  <c r="A13739" i="1"/>
  <c r="D6485" i="1"/>
  <c r="B6485" i="1"/>
  <c r="A6485" i="1"/>
  <c r="D17149" i="1"/>
  <c r="B17149" i="1"/>
  <c r="A17149" i="1"/>
  <c r="D16850" i="1"/>
  <c r="C16850" i="1"/>
  <c r="B16850" i="1"/>
  <c r="A16850" i="1"/>
  <c r="D13146" i="1"/>
  <c r="C13146" i="1"/>
  <c r="B13146" i="1"/>
  <c r="A13146" i="1"/>
  <c r="D11089" i="1"/>
  <c r="C11089" i="1"/>
  <c r="B11089" i="1"/>
  <c r="A11089" i="1"/>
  <c r="D18264" i="1"/>
  <c r="C18264" i="1"/>
  <c r="B18264" i="1"/>
  <c r="A18264" i="1"/>
  <c r="D14731" i="1"/>
  <c r="B14731" i="1"/>
  <c r="A14731" i="1"/>
  <c r="D14523" i="1"/>
  <c r="B14523" i="1"/>
  <c r="A14523" i="1"/>
  <c r="D12526" i="1"/>
  <c r="C12526" i="1"/>
  <c r="B12526" i="1"/>
  <c r="A12526" i="1"/>
  <c r="D13697" i="1"/>
  <c r="B13697" i="1"/>
  <c r="A13697" i="1"/>
  <c r="D11376" i="1"/>
  <c r="C11376" i="1"/>
  <c r="B11376" i="1"/>
  <c r="A11376" i="1"/>
  <c r="D16578" i="1"/>
  <c r="B16578" i="1"/>
  <c r="A16578" i="1"/>
  <c r="D8405" i="1"/>
  <c r="C8405" i="1"/>
  <c r="B8405" i="1"/>
  <c r="A8405" i="1"/>
  <c r="D11698" i="1"/>
  <c r="B11698" i="1"/>
  <c r="A11698" i="1"/>
  <c r="D6058" i="1"/>
  <c r="A6058" i="1"/>
  <c r="D16418" i="1"/>
  <c r="B16418" i="1"/>
  <c r="A16418" i="1"/>
  <c r="D14219" i="1"/>
  <c r="B14219" i="1"/>
  <c r="A14219" i="1"/>
  <c r="D8174" i="1"/>
  <c r="C8174" i="1"/>
  <c r="B8174" i="1"/>
  <c r="A8174" i="1"/>
  <c r="D11879" i="1"/>
  <c r="B11879" i="1"/>
  <c r="A11879" i="1"/>
  <c r="D16897" i="1"/>
  <c r="B16897" i="1"/>
  <c r="A16897" i="1"/>
  <c r="D16632" i="1"/>
  <c r="C16632" i="1"/>
  <c r="B16632" i="1"/>
  <c r="A16632" i="1"/>
  <c r="D5888" i="1"/>
  <c r="B5888" i="1"/>
  <c r="A5888" i="1"/>
  <c r="D6188" i="1"/>
  <c r="B6188" i="1"/>
  <c r="A6188" i="1"/>
  <c r="D9283" i="1"/>
  <c r="B9283" i="1"/>
  <c r="A9283" i="1"/>
  <c r="D8736" i="1"/>
  <c r="C8736" i="1"/>
  <c r="B8736" i="1"/>
  <c r="A8736" i="1"/>
  <c r="D14009" i="1"/>
  <c r="B14009" i="1"/>
  <c r="A14009" i="1"/>
  <c r="D11188" i="1"/>
  <c r="C11188" i="1"/>
  <c r="B11188" i="1"/>
  <c r="A11188" i="1"/>
  <c r="D8039" i="1"/>
  <c r="C8039" i="1"/>
  <c r="B8039" i="1"/>
  <c r="A8039" i="1"/>
  <c r="D5937" i="1"/>
  <c r="C5937" i="1"/>
  <c r="B5937" i="1"/>
  <c r="A5937" i="1"/>
  <c r="D8607" i="1"/>
  <c r="B8607" i="1"/>
  <c r="A8607" i="1"/>
  <c r="D14725" i="1"/>
  <c r="C14725" i="1"/>
  <c r="B14725" i="1"/>
  <c r="A14725" i="1"/>
  <c r="D8878" i="1"/>
  <c r="B8878" i="1"/>
  <c r="A8878" i="1"/>
  <c r="D16164" i="1"/>
  <c r="C16164" i="1"/>
  <c r="B16164" i="1"/>
  <c r="A16164" i="1"/>
  <c r="D18486" i="1"/>
  <c r="C18486" i="1"/>
  <c r="B18486" i="1"/>
  <c r="A18486" i="1"/>
  <c r="D11139" i="1"/>
  <c r="B11139" i="1"/>
  <c r="A11139" i="1"/>
  <c r="D18499" i="1"/>
  <c r="B18499" i="1"/>
  <c r="A18499" i="1"/>
  <c r="D7879" i="1"/>
  <c r="B7879" i="1"/>
  <c r="A7879" i="1"/>
  <c r="D18101" i="1"/>
  <c r="B18101" i="1"/>
  <c r="A18101" i="1"/>
  <c r="D12300" i="1"/>
  <c r="C12300" i="1"/>
  <c r="B12300" i="1"/>
  <c r="A12300" i="1"/>
  <c r="D11805" i="1"/>
  <c r="C11805" i="1"/>
  <c r="B11805" i="1"/>
  <c r="A11805" i="1"/>
  <c r="D16216" i="1"/>
  <c r="B16216" i="1"/>
  <c r="A16216" i="1"/>
  <c r="D17095" i="1"/>
  <c r="C17095" i="1"/>
  <c r="B17095" i="1"/>
  <c r="A17095" i="1"/>
  <c r="D6167" i="1"/>
  <c r="B6167" i="1"/>
  <c r="A6167" i="1"/>
  <c r="D18569" i="1"/>
  <c r="B18569" i="1"/>
  <c r="A18569" i="1"/>
  <c r="D13360" i="1"/>
  <c r="B13360" i="1"/>
  <c r="A13360" i="1"/>
  <c r="D10332" i="1"/>
  <c r="B10332" i="1"/>
  <c r="A10332" i="1"/>
  <c r="D16362" i="1"/>
  <c r="B16362" i="1"/>
  <c r="A16362" i="1"/>
  <c r="D7953" i="1"/>
  <c r="C7953" i="1"/>
  <c r="B7953" i="1"/>
  <c r="A7953" i="1"/>
  <c r="D16730" i="1"/>
  <c r="B16730" i="1"/>
  <c r="A16730" i="1"/>
  <c r="D7005" i="1"/>
  <c r="B7005" i="1"/>
  <c r="A7005" i="1"/>
  <c r="D7012" i="1"/>
  <c r="B7012" i="1"/>
  <c r="A7012" i="1"/>
  <c r="D16010" i="1"/>
  <c r="B16010" i="1"/>
  <c r="A16010" i="1"/>
  <c r="D11222" i="1"/>
  <c r="C11222" i="1"/>
  <c r="B11222" i="1"/>
  <c r="A11222" i="1"/>
  <c r="D12786" i="1"/>
  <c r="C12786" i="1"/>
  <c r="B12786" i="1"/>
  <c r="A12786" i="1"/>
  <c r="D14595" i="1"/>
  <c r="B14595" i="1"/>
  <c r="A14595" i="1"/>
  <c r="D11523" i="1"/>
  <c r="B11523" i="1"/>
  <c r="A11523" i="1"/>
  <c r="D16580" i="1"/>
  <c r="B16580" i="1"/>
  <c r="A16580" i="1"/>
  <c r="D6168" i="1"/>
  <c r="B6168" i="1"/>
  <c r="A6168" i="1"/>
  <c r="D9787" i="1"/>
  <c r="B9787" i="1"/>
  <c r="A9787" i="1"/>
  <c r="D13205" i="1"/>
  <c r="B13205" i="1"/>
  <c r="A13205" i="1"/>
  <c r="D17943" i="1"/>
  <c r="B17943" i="1"/>
  <c r="A17943" i="1"/>
  <c r="D8330" i="1"/>
  <c r="C8330" i="1"/>
  <c r="B8330" i="1"/>
  <c r="A8330" i="1"/>
  <c r="D12328" i="1"/>
  <c r="B12328" i="1"/>
  <c r="A12328" i="1"/>
  <c r="D10483" i="1"/>
  <c r="C10483" i="1"/>
  <c r="B10483" i="1"/>
  <c r="A10483" i="1"/>
  <c r="D13265" i="1"/>
  <c r="B13265" i="1"/>
  <c r="A13265" i="1"/>
  <c r="D11522" i="1"/>
  <c r="B11522" i="1"/>
  <c r="A11522" i="1"/>
  <c r="D7730" i="1"/>
  <c r="C7730" i="1"/>
  <c r="B7730" i="1"/>
  <c r="A7730" i="1"/>
  <c r="D8193" i="1"/>
  <c r="B8193" i="1"/>
  <c r="A8193" i="1"/>
  <c r="D8277" i="1"/>
  <c r="C8277" i="1"/>
  <c r="B8277" i="1"/>
  <c r="A8277" i="1"/>
  <c r="D10739" i="1"/>
  <c r="C10739" i="1"/>
  <c r="B10739" i="1"/>
  <c r="A10739" i="1"/>
  <c r="D14677" i="1"/>
  <c r="C14677" i="1"/>
  <c r="B14677" i="1"/>
  <c r="A14677" i="1"/>
  <c r="D12748" i="1"/>
  <c r="C12748" i="1"/>
  <c r="B12748" i="1"/>
  <c r="A12748" i="1"/>
  <c r="D6147" i="1"/>
  <c r="B6147" i="1"/>
  <c r="A6147" i="1"/>
  <c r="D18498" i="1"/>
  <c r="B18498" i="1"/>
  <c r="A18498" i="1"/>
  <c r="D9579" i="1"/>
  <c r="B9579" i="1"/>
  <c r="A9579" i="1"/>
  <c r="D13326" i="1"/>
  <c r="B13326" i="1"/>
  <c r="A13326" i="1"/>
  <c r="D9895" i="1"/>
  <c r="B9895" i="1"/>
  <c r="A9895" i="1"/>
  <c r="D10519" i="1"/>
  <c r="B10519" i="1"/>
  <c r="A10519" i="1"/>
  <c r="D6152" i="1"/>
  <c r="C6152" i="1"/>
  <c r="B6152" i="1"/>
  <c r="A6152" i="1"/>
  <c r="D8805" i="1"/>
  <c r="B8805" i="1"/>
  <c r="A8805" i="1"/>
  <c r="D12335" i="1"/>
  <c r="C12335" i="1"/>
  <c r="B12335" i="1"/>
  <c r="A12335" i="1"/>
  <c r="D7422" i="1"/>
  <c r="C7422" i="1"/>
  <c r="B7422" i="1"/>
  <c r="A7422" i="1"/>
  <c r="D16770" i="1"/>
  <c r="C16770" i="1"/>
  <c r="B16770" i="1"/>
  <c r="A16770" i="1"/>
  <c r="D11193" i="1"/>
  <c r="B11193" i="1"/>
  <c r="A11193" i="1"/>
  <c r="D12962" i="1"/>
  <c r="C12962" i="1"/>
  <c r="B12962" i="1"/>
  <c r="A12962" i="1"/>
  <c r="D12346" i="1"/>
  <c r="B12346" i="1"/>
  <c r="A12346" i="1"/>
  <c r="D8648" i="1"/>
  <c r="C8648" i="1"/>
  <c r="B8648" i="1"/>
  <c r="A8648" i="1"/>
  <c r="D13331" i="1"/>
  <c r="B13331" i="1"/>
  <c r="A13331" i="1"/>
  <c r="D13194" i="1"/>
  <c r="A13194" i="1"/>
  <c r="D18125" i="1"/>
  <c r="B18125" i="1"/>
  <c r="A18125" i="1"/>
  <c r="D8874" i="1"/>
  <c r="C8874" i="1"/>
  <c r="B8874" i="1"/>
  <c r="A8874" i="1"/>
  <c r="D17773" i="1"/>
  <c r="C17773" i="1"/>
  <c r="B17773" i="1"/>
  <c r="A17773" i="1"/>
  <c r="D13258" i="1"/>
  <c r="B13258" i="1"/>
  <c r="A13258" i="1"/>
  <c r="D18059" i="1"/>
  <c r="B18059" i="1"/>
  <c r="A18059" i="1"/>
  <c r="D10349" i="1"/>
  <c r="B10349" i="1"/>
  <c r="A10349" i="1"/>
  <c r="D17698" i="1"/>
  <c r="B17698" i="1"/>
  <c r="A17698" i="1"/>
  <c r="D14512" i="1"/>
  <c r="C14512" i="1"/>
  <c r="B14512" i="1"/>
  <c r="A14512" i="1"/>
  <c r="D14412" i="1"/>
  <c r="B14412" i="1"/>
  <c r="A14412" i="1"/>
  <c r="D8828" i="1"/>
  <c r="B8828" i="1"/>
  <c r="A8828" i="1"/>
  <c r="D16396" i="1"/>
  <c r="C16396" i="1"/>
  <c r="B16396" i="1"/>
  <c r="A16396" i="1"/>
  <c r="D16790" i="1"/>
  <c r="C16790" i="1"/>
  <c r="B16790" i="1"/>
  <c r="A16790" i="1"/>
  <c r="D6089" i="1"/>
  <c r="B6089" i="1"/>
  <c r="A6089" i="1"/>
  <c r="D18361" i="1"/>
  <c r="C18361" i="1"/>
  <c r="B18361" i="1"/>
  <c r="A18361" i="1"/>
  <c r="D6127" i="1"/>
  <c r="B6127" i="1"/>
  <c r="A6127" i="1"/>
  <c r="D15896" i="1"/>
  <c r="B15896" i="1"/>
  <c r="A15896" i="1"/>
  <c r="D8657" i="1"/>
  <c r="B8657" i="1"/>
  <c r="A8657" i="1"/>
  <c r="D11525" i="1"/>
  <c r="B11525" i="1"/>
  <c r="A11525" i="1"/>
  <c r="D8473" i="1"/>
  <c r="B8473" i="1"/>
  <c r="A8473" i="1"/>
  <c r="D11332" i="1"/>
  <c r="C11332" i="1"/>
  <c r="B11332" i="1"/>
  <c r="A11332" i="1"/>
  <c r="D6294" i="1"/>
  <c r="C6294" i="1"/>
  <c r="B6294" i="1"/>
  <c r="A6294" i="1"/>
  <c r="D9567" i="1"/>
  <c r="C9567" i="1"/>
  <c r="B9567" i="1"/>
  <c r="A9567" i="1"/>
  <c r="D12310" i="1"/>
  <c r="B12310" i="1"/>
  <c r="A12310" i="1"/>
  <c r="D18088" i="1"/>
  <c r="B18088" i="1"/>
  <c r="A18088" i="1"/>
  <c r="D12013" i="1"/>
  <c r="B12013" i="1"/>
  <c r="A12013" i="1"/>
  <c r="D13633" i="1"/>
  <c r="B13633" i="1"/>
  <c r="A13633" i="1"/>
  <c r="D18509" i="1"/>
  <c r="B18509" i="1"/>
  <c r="A18509" i="1"/>
  <c r="D8538" i="1"/>
  <c r="C8538" i="1"/>
  <c r="B8538" i="1"/>
  <c r="A8538" i="1"/>
  <c r="D13488" i="1"/>
  <c r="C13488" i="1"/>
  <c r="B13488" i="1"/>
  <c r="A13488" i="1"/>
  <c r="D10451" i="1"/>
  <c r="C10451" i="1"/>
  <c r="B10451" i="1"/>
  <c r="A10451" i="1"/>
  <c r="D14278" i="1"/>
  <c r="C14278" i="1"/>
  <c r="B14278" i="1"/>
  <c r="A14278" i="1"/>
  <c r="D11318" i="1"/>
  <c r="C11318" i="1"/>
  <c r="B11318" i="1"/>
  <c r="A11318" i="1"/>
  <c r="D6387" i="1"/>
  <c r="B6387" i="1"/>
  <c r="A6387" i="1"/>
  <c r="D9119" i="1"/>
  <c r="B9119" i="1"/>
  <c r="A9119" i="1"/>
  <c r="D13664" i="1"/>
  <c r="B13664" i="1"/>
  <c r="A13664" i="1"/>
  <c r="D17345" i="1"/>
  <c r="B17345" i="1"/>
  <c r="A17345" i="1"/>
  <c r="D7749" i="1"/>
  <c r="B7749" i="1"/>
  <c r="A7749" i="1"/>
  <c r="D9434" i="1"/>
  <c r="B9434" i="1"/>
  <c r="A9434" i="1"/>
  <c r="D11207" i="1"/>
  <c r="C11207" i="1"/>
  <c r="B11207" i="1"/>
  <c r="A11207" i="1"/>
  <c r="D9398" i="1"/>
  <c r="B9398" i="1"/>
  <c r="A9398" i="1"/>
  <c r="D14171" i="1"/>
  <c r="C14171" i="1"/>
  <c r="B14171" i="1"/>
  <c r="A14171" i="1"/>
  <c r="D14124" i="1"/>
  <c r="B14124" i="1"/>
  <c r="A14124" i="1"/>
  <c r="D13930" i="1"/>
  <c r="B13930" i="1"/>
  <c r="A13930" i="1"/>
  <c r="D7450" i="1"/>
  <c r="C7450" i="1"/>
  <c r="B7450" i="1"/>
  <c r="A7450" i="1"/>
  <c r="D12831" i="1"/>
  <c r="C12831" i="1"/>
  <c r="B12831" i="1"/>
  <c r="A12831" i="1"/>
  <c r="D11563" i="1"/>
  <c r="B11563" i="1"/>
  <c r="A11563" i="1"/>
  <c r="D11291" i="1"/>
  <c r="B11291" i="1"/>
  <c r="A11291" i="1"/>
  <c r="D15990" i="1"/>
  <c r="B15990" i="1"/>
  <c r="A15990" i="1"/>
  <c r="D9455" i="1"/>
  <c r="B9455" i="1"/>
  <c r="A9455" i="1"/>
  <c r="D6861" i="1"/>
  <c r="B6861" i="1"/>
  <c r="A6861" i="1"/>
  <c r="D6154" i="1"/>
  <c r="B6154" i="1"/>
  <c r="A6154" i="1"/>
  <c r="D8682" i="1"/>
  <c r="C8682" i="1"/>
  <c r="B8682" i="1"/>
  <c r="A8682" i="1"/>
  <c r="D17721" i="1"/>
  <c r="B17721" i="1"/>
  <c r="A17721" i="1"/>
  <c r="D17649" i="1"/>
  <c r="B17649" i="1"/>
  <c r="A17649" i="1"/>
  <c r="D11189" i="1"/>
  <c r="C11189" i="1"/>
  <c r="B11189" i="1"/>
  <c r="A11189" i="1"/>
  <c r="D8733" i="1"/>
  <c r="C8733" i="1"/>
  <c r="B8733" i="1"/>
  <c r="A8733" i="1"/>
  <c r="D16677" i="1"/>
  <c r="B16677" i="1"/>
  <c r="A16677" i="1"/>
  <c r="D8317" i="1"/>
  <c r="C8317" i="1"/>
  <c r="B8317" i="1"/>
  <c r="A8317" i="1"/>
  <c r="D5899" i="1"/>
  <c r="B5899" i="1"/>
  <c r="A5899" i="1"/>
  <c r="D7771" i="1"/>
  <c r="B7771" i="1"/>
  <c r="A7771" i="1"/>
  <c r="D11117" i="1"/>
  <c r="C11117" i="1"/>
  <c r="B11117" i="1"/>
  <c r="A11117" i="1"/>
  <c r="D10867" i="1"/>
  <c r="B10867" i="1"/>
  <c r="A10867" i="1"/>
  <c r="D9075" i="1"/>
  <c r="B9075" i="1"/>
  <c r="A9075" i="1"/>
  <c r="D10020" i="1"/>
  <c r="B10020" i="1"/>
  <c r="A10020" i="1"/>
  <c r="D14019" i="1"/>
  <c r="B14019" i="1"/>
  <c r="A14019" i="1"/>
  <c r="D12323" i="1"/>
  <c r="C12323" i="1"/>
  <c r="B12323" i="1"/>
  <c r="A12323" i="1"/>
  <c r="D10445" i="1"/>
  <c r="B10445" i="1"/>
  <c r="A10445" i="1"/>
  <c r="D7348" i="1"/>
  <c r="B7348" i="1"/>
  <c r="A7348" i="1"/>
  <c r="D11629" i="1"/>
  <c r="B11629" i="1"/>
  <c r="A11629" i="1"/>
  <c r="D18339" i="1"/>
  <c r="C18339" i="1"/>
  <c r="B18339" i="1"/>
  <c r="A18339" i="1"/>
  <c r="D12259" i="1"/>
  <c r="B12259" i="1"/>
  <c r="A12259" i="1"/>
  <c r="D14121" i="1"/>
  <c r="B14121" i="1"/>
  <c r="A14121" i="1"/>
  <c r="D10147" i="1"/>
  <c r="B10147" i="1"/>
  <c r="A10147" i="1"/>
  <c r="D16758" i="1"/>
  <c r="B16758" i="1"/>
  <c r="A16758" i="1"/>
  <c r="D13075" i="1"/>
  <c r="C13075" i="1"/>
  <c r="B13075" i="1"/>
  <c r="A13075" i="1"/>
  <c r="D15141" i="1"/>
  <c r="C15141" i="1"/>
  <c r="B15141" i="1"/>
  <c r="A15141" i="1"/>
  <c r="D16478" i="1"/>
  <c r="C16478" i="1"/>
  <c r="B16478" i="1"/>
  <c r="A16478" i="1"/>
  <c r="D17528" i="1"/>
  <c r="B17528" i="1"/>
  <c r="A17528" i="1"/>
  <c r="D16792" i="1"/>
  <c r="B16792" i="1"/>
  <c r="A16792" i="1"/>
  <c r="D16399" i="1"/>
  <c r="C16399" i="1"/>
  <c r="B16399" i="1"/>
  <c r="A16399" i="1"/>
  <c r="D12976" i="1"/>
  <c r="C12976" i="1"/>
  <c r="B12976" i="1"/>
  <c r="A12976" i="1"/>
  <c r="D8574" i="1"/>
  <c r="C8574" i="1"/>
  <c r="B8574" i="1"/>
  <c r="A8574" i="1"/>
  <c r="D10748" i="1"/>
  <c r="B10748" i="1"/>
  <c r="A10748" i="1"/>
  <c r="D7112" i="1"/>
  <c r="B7112" i="1"/>
  <c r="A7112" i="1"/>
  <c r="D14216" i="1"/>
  <c r="C14216" i="1"/>
  <c r="B14216" i="1"/>
  <c r="A14216" i="1"/>
  <c r="D13727" i="1"/>
  <c r="C13727" i="1"/>
  <c r="B13727" i="1"/>
  <c r="A13727" i="1"/>
  <c r="D11882" i="1"/>
  <c r="B11882" i="1"/>
  <c r="A11882" i="1"/>
  <c r="D10028" i="1"/>
  <c r="B10028" i="1"/>
  <c r="A10028" i="1"/>
  <c r="D11757" i="1"/>
  <c r="B11757" i="1"/>
  <c r="A11757" i="1"/>
  <c r="D16919" i="1"/>
  <c r="B16919" i="1"/>
  <c r="A16919" i="1"/>
  <c r="D15663" i="1"/>
  <c r="C15663" i="1"/>
  <c r="B15663" i="1"/>
  <c r="A15663" i="1"/>
  <c r="D8724" i="1"/>
  <c r="B8724" i="1"/>
  <c r="A8724" i="1"/>
  <c r="D14438" i="1"/>
  <c r="C14438" i="1"/>
  <c r="B14438" i="1"/>
  <c r="A14438" i="1"/>
  <c r="D14208" i="1"/>
  <c r="B14208" i="1"/>
  <c r="A14208" i="1"/>
  <c r="D7228" i="1"/>
  <c r="C7228" i="1"/>
  <c r="B7228" i="1"/>
  <c r="A7228" i="1"/>
  <c r="D8884" i="1"/>
  <c r="C8884" i="1"/>
  <c r="B8884" i="1"/>
  <c r="A8884" i="1"/>
  <c r="D13950" i="1"/>
  <c r="B13950" i="1"/>
  <c r="A13950" i="1"/>
  <c r="D18773" i="1"/>
  <c r="B18773" i="1"/>
  <c r="A18773" i="1"/>
  <c r="D8606" i="1"/>
  <c r="B8606" i="1"/>
  <c r="A8606" i="1"/>
  <c r="D11643" i="1"/>
  <c r="B11643" i="1"/>
  <c r="A11643" i="1"/>
  <c r="D8457" i="1"/>
  <c r="C8457" i="1"/>
  <c r="B8457" i="1"/>
  <c r="A8457" i="1"/>
  <c r="D16260" i="1"/>
  <c r="C16260" i="1"/>
  <c r="B16260" i="1"/>
  <c r="A16260" i="1"/>
  <c r="D6299" i="1"/>
  <c r="B6299" i="1"/>
  <c r="A6299" i="1"/>
  <c r="D12386" i="1"/>
  <c r="B12386" i="1"/>
  <c r="A12386" i="1"/>
  <c r="D13135" i="1"/>
  <c r="C13135" i="1"/>
  <c r="B13135" i="1"/>
  <c r="A13135" i="1"/>
  <c r="D9864" i="1"/>
  <c r="B9864" i="1"/>
  <c r="A9864" i="1"/>
  <c r="D14586" i="1"/>
  <c r="B14586" i="1"/>
  <c r="A14586" i="1"/>
  <c r="D10169" i="1"/>
  <c r="C10169" i="1"/>
  <c r="B10169" i="1"/>
  <c r="A10169" i="1"/>
  <c r="D14606" i="1"/>
  <c r="B14606" i="1"/>
  <c r="A14606" i="1"/>
  <c r="D6773" i="1"/>
  <c r="B6773" i="1"/>
  <c r="A6773" i="1"/>
  <c r="D8958" i="1"/>
  <c r="B8958" i="1"/>
  <c r="A8958" i="1"/>
  <c r="D11382" i="1"/>
  <c r="C11382" i="1"/>
  <c r="B11382" i="1"/>
  <c r="A11382" i="1"/>
  <c r="D8844" i="1"/>
  <c r="C8844" i="1"/>
  <c r="B8844" i="1"/>
  <c r="A8844" i="1"/>
  <c r="D14407" i="1"/>
  <c r="C14407" i="1"/>
  <c r="B14407" i="1"/>
  <c r="A14407" i="1"/>
  <c r="D8463" i="1"/>
  <c r="B8463" i="1"/>
  <c r="A8463" i="1"/>
  <c r="D12555" i="1"/>
  <c r="B12555" i="1"/>
  <c r="A12555" i="1"/>
  <c r="D14144" i="1"/>
  <c r="B14144" i="1"/>
  <c r="A14144" i="1"/>
  <c r="D8781" i="1"/>
  <c r="C8781" i="1"/>
  <c r="B8781" i="1"/>
  <c r="A8781" i="1"/>
  <c r="D16407" i="1"/>
  <c r="B16407" i="1"/>
  <c r="A16407" i="1"/>
  <c r="D10575" i="1"/>
  <c r="B10575" i="1"/>
  <c r="A10575" i="1"/>
  <c r="D9101" i="1"/>
  <c r="C9101" i="1"/>
  <c r="B9101" i="1"/>
  <c r="A9101" i="1"/>
  <c r="D14170" i="1"/>
  <c r="C14170" i="1"/>
  <c r="B14170" i="1"/>
  <c r="A14170" i="1"/>
  <c r="D13618" i="1"/>
  <c r="C13618" i="1"/>
  <c r="B13618" i="1"/>
  <c r="A13618" i="1"/>
  <c r="D8051" i="1"/>
  <c r="B8051" i="1"/>
  <c r="A8051" i="1"/>
  <c r="D15939" i="1"/>
  <c r="B15939" i="1"/>
  <c r="A15939" i="1"/>
  <c r="D16217" i="1"/>
  <c r="B16217" i="1"/>
  <c r="A16217" i="1"/>
  <c r="D8868" i="1"/>
  <c r="B8868" i="1"/>
  <c r="A8868" i="1"/>
  <c r="D7723" i="1"/>
  <c r="B7723" i="1"/>
  <c r="A7723" i="1"/>
  <c r="D9562" i="1"/>
  <c r="B9562" i="1"/>
  <c r="A9562" i="1"/>
  <c r="D12919" i="1"/>
  <c r="C12919" i="1"/>
  <c r="B12919" i="1"/>
  <c r="A12919" i="1"/>
  <c r="D14249" i="1"/>
  <c r="B14249" i="1"/>
  <c r="A14249" i="1"/>
  <c r="D14517" i="1"/>
  <c r="B14517" i="1"/>
  <c r="A14517" i="1"/>
  <c r="D8510" i="1"/>
  <c r="B8510" i="1"/>
  <c r="A8510" i="1"/>
  <c r="D12979" i="1"/>
  <c r="B12979" i="1"/>
  <c r="A12979" i="1"/>
  <c r="D14549" i="1"/>
  <c r="B14549" i="1"/>
  <c r="A14549" i="1"/>
  <c r="D10126" i="1"/>
  <c r="C10126" i="1"/>
  <c r="B10126" i="1"/>
  <c r="A10126" i="1"/>
  <c r="D16760" i="1"/>
  <c r="C16760" i="1"/>
  <c r="B16760" i="1"/>
  <c r="A16760" i="1"/>
  <c r="D13338" i="1"/>
  <c r="C13338" i="1"/>
  <c r="B13338" i="1"/>
  <c r="A13338" i="1"/>
  <c r="D17893" i="1"/>
  <c r="C17893" i="1"/>
  <c r="B17893" i="1"/>
  <c r="A17893" i="1"/>
  <c r="D12851" i="1"/>
  <c r="B12851" i="1"/>
  <c r="A12851" i="1"/>
  <c r="D14500" i="1"/>
  <c r="B14500" i="1"/>
  <c r="A14500" i="1"/>
  <c r="D11092" i="1"/>
  <c r="B11092" i="1"/>
  <c r="A11092" i="1"/>
  <c r="D6943" i="1"/>
  <c r="B6943" i="1"/>
  <c r="A6943" i="1"/>
  <c r="D8183" i="1"/>
  <c r="C8183" i="1"/>
  <c r="B8183" i="1"/>
  <c r="A8183" i="1"/>
  <c r="D17981" i="1"/>
  <c r="B17981" i="1"/>
  <c r="A17981" i="1"/>
  <c r="D10431" i="1"/>
  <c r="B10431" i="1"/>
  <c r="A10431" i="1"/>
  <c r="D16841" i="1"/>
  <c r="B16841" i="1"/>
  <c r="A16841" i="1"/>
  <c r="D12950" i="1"/>
  <c r="C12950" i="1"/>
  <c r="B12950" i="1"/>
  <c r="A12950" i="1"/>
  <c r="D17777" i="1"/>
  <c r="B17777" i="1"/>
  <c r="A17777" i="1"/>
  <c r="D6176" i="1"/>
  <c r="C6176" i="1"/>
  <c r="B6176" i="1"/>
  <c r="A6176" i="1"/>
  <c r="D7217" i="1"/>
  <c r="B7217" i="1"/>
  <c r="A7217" i="1"/>
  <c r="D8843" i="1"/>
  <c r="C8843" i="1"/>
  <c r="B8843" i="1"/>
  <c r="A8843" i="1"/>
  <c r="D11535" i="1"/>
  <c r="C11535" i="1"/>
  <c r="B11535" i="1"/>
  <c r="A11535" i="1"/>
  <c r="D17545" i="1"/>
  <c r="B17545" i="1"/>
  <c r="A17545" i="1"/>
  <c r="D10311" i="1"/>
  <c r="B10311" i="1"/>
  <c r="A10311" i="1"/>
  <c r="D17078" i="1"/>
  <c r="C17078" i="1"/>
  <c r="B17078" i="1"/>
  <c r="A17078" i="1"/>
  <c r="D17725" i="1"/>
  <c r="B17725" i="1"/>
  <c r="A17725" i="1"/>
  <c r="D14627" i="1"/>
  <c r="C14627" i="1"/>
  <c r="B14627" i="1"/>
  <c r="A14627" i="1"/>
  <c r="D16514" i="1"/>
  <c r="B16514" i="1"/>
  <c r="A16514" i="1"/>
  <c r="D9641" i="1"/>
  <c r="B9641" i="1"/>
  <c r="A9641" i="1"/>
  <c r="D16525" i="1"/>
  <c r="C16525" i="1"/>
  <c r="B16525" i="1"/>
  <c r="A16525" i="1"/>
  <c r="D16508" i="1"/>
  <c r="C16508" i="1"/>
  <c r="B16508" i="1"/>
  <c r="A16508" i="1"/>
  <c r="D12403" i="1"/>
  <c r="B12403" i="1"/>
  <c r="A12403" i="1"/>
  <c r="D14621" i="1"/>
  <c r="C14621" i="1"/>
  <c r="B14621" i="1"/>
  <c r="A14621" i="1"/>
  <c r="D8651" i="1"/>
  <c r="C8651" i="1"/>
  <c r="B8651" i="1"/>
  <c r="A8651" i="1"/>
  <c r="D13006" i="1"/>
  <c r="B13006" i="1"/>
  <c r="A13006" i="1"/>
  <c r="D14323" i="1"/>
  <c r="B14323" i="1"/>
  <c r="A14323" i="1"/>
  <c r="D10462" i="1"/>
  <c r="B10462" i="1"/>
  <c r="A10462" i="1"/>
  <c r="D8741" i="1"/>
  <c r="B8741" i="1"/>
  <c r="A8741" i="1"/>
  <c r="D18556" i="1"/>
  <c r="C18556" i="1"/>
  <c r="B18556" i="1"/>
  <c r="A18556" i="1"/>
  <c r="D18799" i="1"/>
  <c r="B18799" i="1"/>
  <c r="A18799" i="1"/>
  <c r="D11246" i="1"/>
  <c r="C11246" i="1"/>
  <c r="B11246" i="1"/>
  <c r="A11246" i="1"/>
  <c r="D17669" i="1"/>
  <c r="B17669" i="1"/>
  <c r="A17669" i="1"/>
  <c r="D11388" i="1"/>
  <c r="B11388" i="1"/>
  <c r="A11388" i="1"/>
  <c r="D10507" i="1"/>
  <c r="B10507" i="1"/>
  <c r="A10507" i="1"/>
  <c r="D17956" i="1"/>
  <c r="C17956" i="1"/>
  <c r="B17956" i="1"/>
  <c r="A17956" i="1"/>
  <c r="D6375" i="1"/>
  <c r="B6375" i="1"/>
  <c r="A6375" i="1"/>
  <c r="D14869" i="1"/>
  <c r="B14869" i="1"/>
  <c r="A14869" i="1"/>
  <c r="D9655" i="1"/>
  <c r="C9655" i="1"/>
  <c r="B9655" i="1"/>
  <c r="A9655" i="1"/>
  <c r="D13714" i="1"/>
  <c r="C13714" i="1"/>
  <c r="B13714" i="1"/>
  <c r="A13714" i="1"/>
  <c r="D10865" i="1"/>
  <c r="C10865" i="1"/>
  <c r="B10865" i="1"/>
  <c r="A10865" i="1"/>
  <c r="D8847" i="1"/>
  <c r="B8847" i="1"/>
  <c r="A8847" i="1"/>
  <c r="D18729" i="1"/>
  <c r="B18729" i="1"/>
  <c r="A18729" i="1"/>
  <c r="D17098" i="1"/>
  <c r="C17098" i="1"/>
  <c r="B17098" i="1"/>
  <c r="A17098" i="1"/>
  <c r="D14750" i="1"/>
  <c r="B14750" i="1"/>
  <c r="A14750" i="1"/>
  <c r="D8990" i="1"/>
  <c r="B8990" i="1"/>
  <c r="A8990" i="1"/>
  <c r="D17259" i="1"/>
  <c r="B17259" i="1"/>
  <c r="A17259" i="1"/>
  <c r="D16100" i="1"/>
  <c r="B16100" i="1"/>
  <c r="A16100" i="1"/>
  <c r="D12856" i="1"/>
  <c r="C12856" i="1"/>
  <c r="B12856" i="1"/>
  <c r="A12856" i="1"/>
  <c r="D8716" i="1"/>
  <c r="C8716" i="1"/>
  <c r="B8716" i="1"/>
  <c r="A8716" i="1"/>
  <c r="D18342" i="1"/>
  <c r="B18342" i="1"/>
  <c r="A18342" i="1"/>
  <c r="D10982" i="1"/>
  <c r="B10982" i="1"/>
  <c r="A10982" i="1"/>
  <c r="D12015" i="1"/>
  <c r="B12015" i="1"/>
  <c r="A12015" i="1"/>
  <c r="D17565" i="1"/>
  <c r="B17565" i="1"/>
  <c r="A17565" i="1"/>
  <c r="D9991" i="1"/>
  <c r="C9991" i="1"/>
  <c r="B9991" i="1"/>
  <c r="A9991" i="1"/>
  <c r="D6494" i="1"/>
  <c r="C6494" i="1"/>
  <c r="B6494" i="1"/>
  <c r="A6494" i="1"/>
  <c r="D8960" i="1"/>
  <c r="C8960" i="1"/>
  <c r="B8960" i="1"/>
  <c r="A8960" i="1"/>
  <c r="D18386" i="1"/>
  <c r="C18386" i="1"/>
  <c r="B18386" i="1"/>
  <c r="A18386" i="1"/>
  <c r="D11610" i="1"/>
  <c r="C11610" i="1"/>
  <c r="B11610" i="1"/>
  <c r="A11610" i="1"/>
  <c r="D7853" i="1"/>
  <c r="C7853" i="1"/>
  <c r="B7853" i="1"/>
  <c r="A7853" i="1"/>
  <c r="D8472" i="1"/>
  <c r="B8472" i="1"/>
  <c r="A8472" i="1"/>
  <c r="D16550" i="1"/>
  <c r="C16550" i="1"/>
  <c r="B16550" i="1"/>
  <c r="A16550" i="1"/>
  <c r="D10357" i="1"/>
  <c r="B10357" i="1"/>
  <c r="A10357" i="1"/>
  <c r="D12294" i="1"/>
  <c r="B12294" i="1"/>
  <c r="A12294" i="1"/>
  <c r="D16482" i="1"/>
  <c r="B16482" i="1"/>
  <c r="A16482" i="1"/>
  <c r="D8613" i="1"/>
  <c r="B8613" i="1"/>
  <c r="A8613" i="1"/>
  <c r="D18526" i="1"/>
  <c r="B18526" i="1"/>
  <c r="A18526" i="1"/>
  <c r="D18126" i="1"/>
  <c r="C18126" i="1"/>
  <c r="B18126" i="1"/>
  <c r="A18126" i="1"/>
  <c r="D13004" i="1"/>
  <c r="B13004" i="1"/>
  <c r="A13004" i="1"/>
  <c r="D13619" i="1"/>
  <c r="C13619" i="1"/>
  <c r="B13619" i="1"/>
  <c r="A13619" i="1"/>
  <c r="D16443" i="1"/>
  <c r="C16443" i="1"/>
  <c r="B16443" i="1"/>
  <c r="A16443" i="1"/>
  <c r="D18343" i="1"/>
  <c r="B18343" i="1"/>
  <c r="A18343" i="1"/>
  <c r="D11810" i="1"/>
  <c r="C11810" i="1"/>
  <c r="B11810" i="1"/>
  <c r="A11810" i="1"/>
  <c r="D11723" i="1"/>
  <c r="C11723" i="1"/>
  <c r="B11723" i="1"/>
  <c r="A11723" i="1"/>
  <c r="D11680" i="1"/>
  <c r="B11680" i="1"/>
  <c r="A11680" i="1"/>
  <c r="D14510" i="1"/>
  <c r="B14510" i="1"/>
  <c r="A14510" i="1"/>
  <c r="D16655" i="1"/>
  <c r="C16655" i="1"/>
  <c r="B16655" i="1"/>
  <c r="A16655" i="1"/>
  <c r="D14258" i="1"/>
  <c r="B14258" i="1"/>
  <c r="A14258" i="1"/>
  <c r="D14544" i="1"/>
  <c r="C14544" i="1"/>
  <c r="B14544" i="1"/>
  <c r="A14544" i="1"/>
  <c r="D9126" i="1"/>
  <c r="B9126" i="1"/>
  <c r="A9126" i="1"/>
  <c r="D9058" i="1"/>
  <c r="B9058" i="1"/>
  <c r="A9058" i="1"/>
  <c r="D11711" i="1"/>
  <c r="C11711" i="1"/>
  <c r="B11711" i="1"/>
  <c r="A11711" i="1"/>
  <c r="D16782" i="1"/>
  <c r="B16782" i="1"/>
  <c r="A16782" i="1"/>
  <c r="D6447" i="1"/>
  <c r="B6447" i="1"/>
  <c r="A6447" i="1"/>
  <c r="D15574" i="1"/>
  <c r="B15574" i="1"/>
  <c r="A15574" i="1"/>
  <c r="D14007" i="1"/>
  <c r="B14007" i="1"/>
  <c r="A14007" i="1"/>
  <c r="D11697" i="1"/>
  <c r="C11697" i="1"/>
  <c r="B11697" i="1"/>
  <c r="A11697" i="1"/>
  <c r="D8864" i="1"/>
  <c r="C8864" i="1"/>
  <c r="B8864" i="1"/>
  <c r="A8864" i="1"/>
  <c r="D11353" i="1"/>
  <c r="C11353" i="1"/>
  <c r="B11353" i="1"/>
  <c r="A11353" i="1"/>
  <c r="D11404" i="1"/>
  <c r="C11404" i="1"/>
  <c r="B11404" i="1"/>
  <c r="A11404" i="1"/>
  <c r="D12660" i="1"/>
  <c r="A12660" i="1"/>
  <c r="D8696" i="1"/>
  <c r="B8696" i="1"/>
  <c r="A8696" i="1"/>
  <c r="D7401" i="1"/>
  <c r="B7401" i="1"/>
  <c r="A7401" i="1"/>
  <c r="D6091" i="1"/>
  <c r="C6091" i="1"/>
  <c r="B6091" i="1"/>
  <c r="A6091" i="1"/>
  <c r="D13001" i="1"/>
  <c r="B13001" i="1"/>
  <c r="A13001" i="1"/>
  <c r="D16515" i="1"/>
  <c r="C16515" i="1"/>
  <c r="B16515" i="1"/>
  <c r="A16515" i="1"/>
  <c r="D14679" i="1"/>
  <c r="B14679" i="1"/>
  <c r="A14679" i="1"/>
  <c r="D8506" i="1"/>
  <c r="B8506" i="1"/>
  <c r="A8506" i="1"/>
  <c r="D15572" i="1"/>
  <c r="C15572" i="1"/>
  <c r="B15572" i="1"/>
  <c r="A15572" i="1"/>
  <c r="D10150" i="1"/>
  <c r="B10150" i="1"/>
  <c r="A10150" i="1"/>
  <c r="D14667" i="1"/>
  <c r="C14667" i="1"/>
  <c r="B14667" i="1"/>
  <c r="A14667" i="1"/>
  <c r="D18530" i="1"/>
  <c r="B18530" i="1"/>
  <c r="A18530" i="1"/>
  <c r="D16805" i="1"/>
  <c r="C16805" i="1"/>
  <c r="B16805" i="1"/>
  <c r="A16805" i="1"/>
  <c r="D16382" i="1"/>
  <c r="B16382" i="1"/>
  <c r="A16382" i="1"/>
  <c r="D14470" i="1"/>
  <c r="B14470" i="1"/>
  <c r="A14470" i="1"/>
  <c r="D10480" i="1"/>
  <c r="B10480" i="1"/>
  <c r="A10480" i="1"/>
  <c r="D11648" i="1"/>
  <c r="B11648" i="1"/>
  <c r="A11648" i="1"/>
  <c r="D8626" i="1"/>
  <c r="C8626" i="1"/>
  <c r="B8626" i="1"/>
  <c r="A8626" i="1"/>
  <c r="D7156" i="1"/>
  <c r="B7156" i="1"/>
  <c r="A7156" i="1"/>
  <c r="D14205" i="1"/>
  <c r="C14205" i="1"/>
  <c r="B14205" i="1"/>
  <c r="A14205" i="1"/>
  <c r="D6165" i="1"/>
  <c r="C6165" i="1"/>
  <c r="B6165" i="1"/>
  <c r="A6165" i="1"/>
  <c r="D15817" i="1"/>
  <c r="B15817" i="1"/>
  <c r="A15817" i="1"/>
  <c r="D17520" i="1"/>
  <c r="B17520" i="1"/>
  <c r="A17520" i="1"/>
  <c r="D9943" i="1"/>
  <c r="C9943" i="1"/>
  <c r="B9943" i="1"/>
  <c r="A9943" i="1"/>
  <c r="D6463" i="1"/>
  <c r="B6463" i="1"/>
  <c r="A6463" i="1"/>
  <c r="D12228" i="1"/>
  <c r="B12228" i="1"/>
  <c r="A12228" i="1"/>
  <c r="D6197" i="1"/>
  <c r="B6197" i="1"/>
  <c r="A6197" i="1"/>
  <c r="D6120" i="1"/>
  <c r="C6120" i="1"/>
  <c r="B6120" i="1"/>
  <c r="A6120" i="1"/>
  <c r="D6758" i="1"/>
  <c r="C6758" i="1"/>
  <c r="B6758" i="1"/>
  <c r="A6758" i="1"/>
  <c r="D16827" i="1"/>
  <c r="B16827" i="1"/>
  <c r="A16827" i="1"/>
  <c r="D16444" i="1"/>
  <c r="C16444" i="1"/>
  <c r="B16444" i="1"/>
  <c r="A16444" i="1"/>
  <c r="D15599" i="1"/>
  <c r="C15599" i="1"/>
  <c r="B15599" i="1"/>
  <c r="A15599" i="1"/>
  <c r="D13903" i="1"/>
  <c r="B13903" i="1"/>
  <c r="A13903" i="1"/>
  <c r="D6035" i="1"/>
  <c r="C6035" i="1"/>
  <c r="B6035" i="1"/>
  <c r="A6035" i="1"/>
  <c r="D11132" i="1"/>
  <c r="B11132" i="1"/>
  <c r="A11132" i="1"/>
  <c r="D8042" i="1"/>
  <c r="B8042" i="1"/>
  <c r="A8042" i="1"/>
  <c r="D12301" i="1"/>
  <c r="C12301" i="1"/>
  <c r="B12301" i="1"/>
  <c r="A12301" i="1"/>
  <c r="D7392" i="1"/>
  <c r="C7392" i="1"/>
  <c r="B7392" i="1"/>
  <c r="A7392" i="1"/>
  <c r="D18200" i="1"/>
  <c r="B18200" i="1"/>
  <c r="A18200" i="1"/>
  <c r="D14222" i="1"/>
  <c r="C14222" i="1"/>
  <c r="B14222" i="1"/>
  <c r="A14222" i="1"/>
  <c r="D6241" i="1"/>
  <c r="B6241" i="1"/>
  <c r="A6241" i="1"/>
  <c r="D13549" i="1"/>
  <c r="C13549" i="1"/>
  <c r="B13549" i="1"/>
  <c r="A13549" i="1"/>
  <c r="D14562" i="1"/>
  <c r="C14562" i="1"/>
  <c r="B14562" i="1"/>
  <c r="A14562" i="1"/>
  <c r="D10486" i="1"/>
  <c r="B10486" i="1"/>
  <c r="A10486" i="1"/>
  <c r="D17826" i="1"/>
  <c r="C17826" i="1"/>
  <c r="B17826" i="1"/>
  <c r="A17826" i="1"/>
  <c r="D16633" i="1"/>
  <c r="B16633" i="1"/>
  <c r="A16633" i="1"/>
  <c r="D7086" i="1"/>
  <c r="C7086" i="1"/>
  <c r="B7086" i="1"/>
  <c r="A7086" i="1"/>
  <c r="D13993" i="1"/>
  <c r="B13993" i="1"/>
  <c r="A13993" i="1"/>
  <c r="D10211" i="1"/>
  <c r="C10211" i="1"/>
  <c r="B10211" i="1"/>
  <c r="A10211" i="1"/>
  <c r="D11264" i="1"/>
  <c r="B11264" i="1"/>
  <c r="A11264" i="1"/>
  <c r="D8993" i="1"/>
  <c r="A8993" i="1"/>
  <c r="D16212" i="1"/>
  <c r="C16212" i="1"/>
  <c r="B16212" i="1"/>
  <c r="A16212" i="1"/>
  <c r="D8379" i="1"/>
  <c r="C8379" i="1"/>
  <c r="B8379" i="1"/>
  <c r="A8379" i="1"/>
  <c r="D10118" i="1"/>
  <c r="B10118" i="1"/>
  <c r="A10118" i="1"/>
  <c r="D17319" i="1"/>
  <c r="C17319" i="1"/>
  <c r="B17319" i="1"/>
  <c r="A17319" i="1"/>
  <c r="D16732" i="1"/>
  <c r="B16732" i="1"/>
  <c r="A16732" i="1"/>
  <c r="D12619" i="1"/>
  <c r="C12619" i="1"/>
  <c r="B12619" i="1"/>
  <c r="A12619" i="1"/>
  <c r="D14207" i="1"/>
  <c r="B14207" i="1"/>
  <c r="A14207" i="1"/>
  <c r="D7320" i="1"/>
  <c r="B7320" i="1"/>
  <c r="A7320" i="1"/>
  <c r="D11096" i="1"/>
  <c r="C11096" i="1"/>
  <c r="B11096" i="1"/>
  <c r="A11096" i="1"/>
  <c r="D10163" i="1"/>
  <c r="C10163" i="1"/>
  <c r="B10163" i="1"/>
  <c r="A10163" i="1"/>
  <c r="D16789" i="1"/>
  <c r="C16789" i="1"/>
  <c r="B16789" i="1"/>
  <c r="A16789" i="1"/>
  <c r="D18542" i="1"/>
  <c r="C18542" i="1"/>
  <c r="B18542" i="1"/>
  <c r="A18542" i="1"/>
  <c r="D14202" i="1"/>
  <c r="C14202" i="1"/>
  <c r="B14202" i="1"/>
  <c r="A14202" i="1"/>
  <c r="D12341" i="1"/>
  <c r="C12341" i="1"/>
  <c r="B12341" i="1"/>
  <c r="A12341" i="1"/>
  <c r="D14263" i="1"/>
  <c r="B14263" i="1"/>
  <c r="A14263" i="1"/>
  <c r="D10172" i="1"/>
  <c r="B10172" i="1"/>
  <c r="A10172" i="1"/>
  <c r="D18388" i="1"/>
  <c r="C18388" i="1"/>
  <c r="B18388" i="1"/>
  <c r="A18388" i="1"/>
  <c r="D8892" i="1"/>
  <c r="C8892" i="1"/>
  <c r="B8892" i="1"/>
  <c r="A8892" i="1"/>
  <c r="D8192" i="1"/>
  <c r="C8192" i="1"/>
  <c r="B8192" i="1"/>
  <c r="A8192" i="1"/>
  <c r="D14559" i="1"/>
  <c r="C14559" i="1"/>
  <c r="B14559" i="1"/>
  <c r="A14559" i="1"/>
  <c r="D15922" i="1"/>
  <c r="B15922" i="1"/>
  <c r="A15922" i="1"/>
  <c r="D11340" i="1"/>
  <c r="B11340" i="1"/>
  <c r="A11340" i="1"/>
  <c r="D8760" i="1"/>
  <c r="B8760" i="1"/>
  <c r="A8760" i="1"/>
  <c r="D17458" i="1"/>
  <c r="B17458" i="1"/>
  <c r="A17458" i="1"/>
  <c r="D8985" i="1"/>
  <c r="C8985" i="1"/>
  <c r="B8985" i="1"/>
  <c r="A8985" i="1"/>
  <c r="D15933" i="1"/>
  <c r="B15933" i="1"/>
  <c r="A15933" i="1"/>
  <c r="D8559" i="1"/>
  <c r="C8559" i="1"/>
  <c r="B8559" i="1"/>
  <c r="A8559" i="1"/>
  <c r="D9454" i="1"/>
  <c r="B9454" i="1"/>
  <c r="A9454" i="1"/>
  <c r="D8000" i="1"/>
  <c r="B8000" i="1"/>
  <c r="A8000" i="1"/>
  <c r="D11185" i="1"/>
  <c r="B11185" i="1"/>
  <c r="A11185" i="1"/>
  <c r="D13748" i="1"/>
  <c r="B13748" i="1"/>
  <c r="A13748" i="1"/>
  <c r="D14241" i="1"/>
  <c r="C14241" i="1"/>
  <c r="B14241" i="1"/>
  <c r="A14241" i="1"/>
  <c r="D13162" i="1"/>
  <c r="B13162" i="1"/>
  <c r="A13162" i="1"/>
  <c r="D10603" i="1"/>
  <c r="B10603" i="1"/>
  <c r="A10603" i="1"/>
  <c r="D14747" i="1"/>
  <c r="B14747" i="1"/>
  <c r="A14747" i="1"/>
  <c r="D7002" i="1"/>
  <c r="C7002" i="1"/>
  <c r="B7002" i="1"/>
  <c r="A7002" i="1"/>
  <c r="D7273" i="1"/>
  <c r="B7273" i="1"/>
  <c r="A7273" i="1"/>
  <c r="D9461" i="1"/>
  <c r="C9461" i="1"/>
  <c r="B9461" i="1"/>
  <c r="A9461" i="1"/>
  <c r="D18139" i="1"/>
  <c r="B18139" i="1"/>
  <c r="A18139" i="1"/>
  <c r="D13415" i="1"/>
  <c r="B13415" i="1"/>
  <c r="A13415" i="1"/>
  <c r="D12539" i="1"/>
  <c r="B12539" i="1"/>
  <c r="A12539" i="1"/>
  <c r="D13556" i="1"/>
  <c r="C13556" i="1"/>
  <c r="B13556" i="1"/>
  <c r="A13556" i="1"/>
  <c r="D11628" i="1"/>
  <c r="B11628" i="1"/>
  <c r="A11628" i="1"/>
  <c r="D14898" i="1"/>
  <c r="B14898" i="1"/>
  <c r="A14898" i="1"/>
  <c r="D16583" i="1"/>
  <c r="B16583" i="1"/>
  <c r="A16583" i="1"/>
  <c r="D14089" i="1"/>
  <c r="A14089" i="1"/>
  <c r="D12459" i="1"/>
  <c r="A12459" i="1"/>
  <c r="D18298" i="1"/>
  <c r="B18298" i="1"/>
  <c r="A18298" i="1"/>
  <c r="D11162" i="1"/>
  <c r="C11162" i="1"/>
  <c r="B11162" i="1"/>
  <c r="A11162" i="1"/>
  <c r="D14557" i="1"/>
  <c r="C14557" i="1"/>
  <c r="B14557" i="1"/>
  <c r="A14557" i="1"/>
  <c r="D16092" i="1"/>
  <c r="B16092" i="1"/>
  <c r="A16092" i="1"/>
  <c r="D14037" i="1"/>
  <c r="B14037" i="1"/>
  <c r="A14037" i="1"/>
  <c r="D15297" i="1"/>
  <c r="B15297" i="1"/>
  <c r="A15297" i="1"/>
  <c r="D10407" i="1"/>
  <c r="B10407" i="1"/>
  <c r="A10407" i="1"/>
  <c r="D10535" i="1"/>
  <c r="C10535" i="1"/>
  <c r="B10535" i="1"/>
  <c r="A10535" i="1"/>
  <c r="D16479" i="1"/>
  <c r="C16479" i="1"/>
  <c r="B16479" i="1"/>
  <c r="A16479" i="1"/>
  <c r="D12798" i="1"/>
  <c r="C12798" i="1"/>
  <c r="B12798" i="1"/>
  <c r="A12798" i="1"/>
  <c r="D13673" i="1"/>
  <c r="B13673" i="1"/>
  <c r="A13673" i="1"/>
  <c r="D16072" i="1"/>
  <c r="C16072" i="1"/>
  <c r="B16072" i="1"/>
  <c r="A16072" i="1"/>
  <c r="D11181" i="1"/>
  <c r="C11181" i="1"/>
  <c r="B11181" i="1"/>
  <c r="A11181" i="1"/>
  <c r="D13825" i="1"/>
  <c r="B13825" i="1"/>
  <c r="A13825" i="1"/>
  <c r="D8433" i="1"/>
  <c r="B8433" i="1"/>
  <c r="A8433" i="1"/>
  <c r="D7889" i="1"/>
  <c r="B7889" i="1"/>
  <c r="A7889" i="1"/>
  <c r="D12374" i="1"/>
  <c r="B12374" i="1"/>
  <c r="A12374" i="1"/>
  <c r="D11421" i="1"/>
  <c r="C11421" i="1"/>
  <c r="B11421" i="1"/>
  <c r="A11421" i="1"/>
  <c r="D18049" i="1"/>
  <c r="B18049" i="1"/>
  <c r="A18049" i="1"/>
  <c r="D17940" i="1"/>
  <c r="B17940" i="1"/>
  <c r="A17940" i="1"/>
  <c r="D13704" i="1"/>
  <c r="B13704" i="1"/>
  <c r="A13704" i="1"/>
  <c r="D14223" i="1"/>
  <c r="C14223" i="1"/>
  <c r="B14223" i="1"/>
  <c r="A14223" i="1"/>
  <c r="D8176" i="1"/>
  <c r="C8176" i="1"/>
  <c r="B8176" i="1"/>
  <c r="A8176" i="1"/>
  <c r="D16685" i="1"/>
  <c r="C16685" i="1"/>
  <c r="B16685" i="1"/>
  <c r="A16685" i="1"/>
  <c r="D12271" i="1"/>
  <c r="B12271" i="1"/>
  <c r="A12271" i="1"/>
  <c r="D15579" i="1"/>
  <c r="C15579" i="1"/>
  <c r="B15579" i="1"/>
  <c r="A15579" i="1"/>
  <c r="D18524" i="1"/>
  <c r="B18524" i="1"/>
  <c r="A18524" i="1"/>
  <c r="D17283" i="1"/>
  <c r="B17283" i="1"/>
  <c r="A17283" i="1"/>
  <c r="D7435" i="1"/>
  <c r="B7435" i="1"/>
  <c r="A7435" i="1"/>
  <c r="D8422" i="1"/>
  <c r="B8422" i="1"/>
  <c r="A8422" i="1"/>
  <c r="D6944" i="1"/>
  <c r="B6944" i="1"/>
  <c r="A6944" i="1"/>
  <c r="D8515" i="1"/>
  <c r="B8515" i="1"/>
  <c r="A8515" i="1"/>
  <c r="D14503" i="1"/>
  <c r="C14503" i="1"/>
  <c r="B14503" i="1"/>
  <c r="A14503" i="1"/>
  <c r="D10973" i="1"/>
  <c r="B10973" i="1"/>
  <c r="A10973" i="1"/>
  <c r="D9956" i="1"/>
  <c r="C9956" i="1"/>
  <c r="B9956" i="1"/>
  <c r="A9956" i="1"/>
  <c r="D16586" i="1"/>
  <c r="B16586" i="1"/>
  <c r="A16586" i="1"/>
  <c r="D16683" i="1"/>
  <c r="C16683" i="1"/>
  <c r="B16683" i="1"/>
  <c r="A16683" i="1"/>
  <c r="D8300" i="1"/>
  <c r="B8300" i="1"/>
  <c r="A8300" i="1"/>
  <c r="D11218" i="1"/>
  <c r="C11218" i="1"/>
  <c r="B11218" i="1"/>
  <c r="A11218" i="1"/>
  <c r="D8165" i="1"/>
  <c r="C8165" i="1"/>
  <c r="B8165" i="1"/>
  <c r="A8165" i="1"/>
  <c r="D9395" i="1"/>
  <c r="A9395" i="1"/>
  <c r="D18274" i="1"/>
  <c r="C18274" i="1"/>
  <c r="B18274" i="1"/>
  <c r="A18274" i="1"/>
  <c r="D14151" i="1"/>
  <c r="B14151" i="1"/>
  <c r="A14151" i="1"/>
  <c r="D14072" i="1"/>
  <c r="B14072" i="1"/>
  <c r="A14072" i="1"/>
  <c r="D12532" i="1"/>
  <c r="B12532" i="1"/>
  <c r="A12532" i="1"/>
  <c r="D13297" i="1"/>
  <c r="B13297" i="1"/>
  <c r="A13297" i="1"/>
  <c r="D17958" i="1"/>
  <c r="B17958" i="1"/>
  <c r="A17958" i="1"/>
  <c r="D16096" i="1"/>
  <c r="B16096" i="1"/>
  <c r="A16096" i="1"/>
  <c r="D5970" i="1"/>
  <c r="C5970" i="1"/>
  <c r="B5970" i="1"/>
  <c r="A5970" i="1"/>
  <c r="D17774" i="1"/>
  <c r="B17774" i="1"/>
  <c r="A17774" i="1"/>
  <c r="D14281" i="1"/>
  <c r="C14281" i="1"/>
  <c r="B14281" i="1"/>
  <c r="A14281" i="1"/>
  <c r="D13068" i="1"/>
  <c r="C13068" i="1"/>
  <c r="B13068" i="1"/>
  <c r="A13068" i="1"/>
  <c r="D8616" i="1"/>
  <c r="C8616" i="1"/>
  <c r="B8616" i="1"/>
  <c r="A8616" i="1"/>
  <c r="D11274" i="1"/>
  <c r="C11274" i="1"/>
  <c r="B11274" i="1"/>
  <c r="A11274" i="1"/>
  <c r="D8199" i="1"/>
  <c r="B8199" i="1"/>
  <c r="A8199" i="1"/>
  <c r="D16604" i="1"/>
  <c r="B16604" i="1"/>
  <c r="A16604" i="1"/>
  <c r="D7374" i="1"/>
  <c r="C7374" i="1"/>
  <c r="B7374" i="1"/>
  <c r="A7374" i="1"/>
  <c r="D6029" i="1"/>
  <c r="B6029" i="1"/>
  <c r="A6029" i="1"/>
  <c r="D18253" i="1"/>
  <c r="B18253" i="1"/>
  <c r="A18253" i="1"/>
  <c r="D11287" i="1"/>
  <c r="B11287" i="1"/>
  <c r="A11287" i="1"/>
  <c r="D8709" i="1"/>
  <c r="C8709" i="1"/>
  <c r="B8709" i="1"/>
  <c r="A8709" i="1"/>
  <c r="D13603" i="1"/>
  <c r="C13603" i="1"/>
  <c r="B13603" i="1"/>
  <c r="A13603" i="1"/>
  <c r="D9566" i="1"/>
  <c r="C9566" i="1"/>
  <c r="B9566" i="1"/>
  <c r="A9566" i="1"/>
  <c r="D16717" i="1"/>
  <c r="B16717" i="1"/>
  <c r="A16717" i="1"/>
  <c r="D11664" i="1"/>
  <c r="C11664" i="1"/>
  <c r="B11664" i="1"/>
  <c r="A11664" i="1"/>
  <c r="D7131" i="1"/>
  <c r="B7131" i="1"/>
  <c r="A7131" i="1"/>
  <c r="D17873" i="1"/>
  <c r="B17873" i="1"/>
  <c r="A17873" i="1"/>
  <c r="D12802" i="1"/>
  <c r="C12802" i="1"/>
  <c r="B12802" i="1"/>
  <c r="A12802" i="1"/>
  <c r="D13726" i="1"/>
  <c r="B13726" i="1"/>
  <c r="A13726" i="1"/>
  <c r="D7106" i="1"/>
  <c r="B7106" i="1"/>
  <c r="A7106" i="1"/>
  <c r="D8435" i="1"/>
  <c r="C8435" i="1"/>
  <c r="B8435" i="1"/>
  <c r="A8435" i="1"/>
  <c r="D9639" i="1"/>
  <c r="B9639" i="1"/>
  <c r="A9639" i="1"/>
  <c r="D13648" i="1"/>
  <c r="C13648" i="1"/>
  <c r="B13648" i="1"/>
  <c r="A13648" i="1"/>
  <c r="D17399" i="1"/>
  <c r="C17399" i="1"/>
  <c r="B17399" i="1"/>
  <c r="A17399" i="1"/>
  <c r="D6224" i="1"/>
  <c r="B6224" i="1"/>
  <c r="A6224" i="1"/>
  <c r="D5892" i="1"/>
  <c r="C5892" i="1"/>
  <c r="B5892" i="1"/>
  <c r="A5892" i="1"/>
  <c r="D14703" i="1"/>
  <c r="C14703" i="1"/>
  <c r="B14703" i="1"/>
  <c r="A14703" i="1"/>
  <c r="D17080" i="1"/>
  <c r="C17080" i="1"/>
  <c r="B17080" i="1"/>
  <c r="A17080" i="1"/>
  <c r="D6631" i="1"/>
  <c r="B6631" i="1"/>
  <c r="A6631" i="1"/>
  <c r="D12334" i="1"/>
  <c r="C12334" i="1"/>
  <c r="B12334" i="1"/>
  <c r="A12334" i="1"/>
  <c r="D12718" i="1"/>
  <c r="C12718" i="1"/>
  <c r="B12718" i="1"/>
  <c r="A12718" i="1"/>
  <c r="D12833" i="1"/>
  <c r="B12833" i="1"/>
  <c r="A12833" i="1"/>
  <c r="D16769" i="1"/>
  <c r="B16769" i="1"/>
  <c r="A16769" i="1"/>
  <c r="D13178" i="1"/>
  <c r="B13178" i="1"/>
  <c r="A13178" i="1"/>
  <c r="D5877" i="1"/>
  <c r="B5877" i="1"/>
  <c r="A5877" i="1"/>
  <c r="D12815" i="1"/>
  <c r="C12815" i="1"/>
  <c r="B12815" i="1"/>
  <c r="A12815" i="1"/>
  <c r="D11546" i="1"/>
  <c r="C11546" i="1"/>
  <c r="B11546" i="1"/>
  <c r="A11546" i="1"/>
  <c r="D13546" i="1"/>
  <c r="B13546" i="1"/>
  <c r="A13546" i="1"/>
  <c r="D14645" i="1"/>
  <c r="C14645" i="1"/>
  <c r="B14645" i="1"/>
  <c r="A14645" i="1"/>
  <c r="D13647" i="1"/>
  <c r="B13647" i="1"/>
  <c r="A13647" i="1"/>
  <c r="D11237" i="1"/>
  <c r="C11237" i="1"/>
  <c r="B11237" i="1"/>
  <c r="A11237" i="1"/>
  <c r="D8823" i="1"/>
  <c r="C8823" i="1"/>
  <c r="B8823" i="1"/>
  <c r="A8823" i="1"/>
  <c r="D8718" i="1"/>
  <c r="C8718" i="1"/>
  <c r="B8718" i="1"/>
  <c r="A8718" i="1"/>
  <c r="D13797" i="1"/>
  <c r="B13797" i="1"/>
  <c r="A13797" i="1"/>
  <c r="D18012" i="1"/>
  <c r="B18012" i="1"/>
  <c r="A18012" i="1"/>
  <c r="D13689" i="1"/>
  <c r="C13689" i="1"/>
  <c r="B13689" i="1"/>
  <c r="A13689" i="1"/>
  <c r="D14071" i="1"/>
  <c r="B14071" i="1"/>
  <c r="A14071" i="1"/>
  <c r="D12570" i="1"/>
  <c r="B12570" i="1"/>
  <c r="A12570" i="1"/>
  <c r="D6090" i="1"/>
  <c r="C6090" i="1"/>
  <c r="B6090" i="1"/>
  <c r="A6090" i="1"/>
  <c r="D17628" i="1"/>
  <c r="C17628" i="1"/>
  <c r="B17628" i="1"/>
  <c r="A17628" i="1"/>
  <c r="D8893" i="1"/>
  <c r="C8893" i="1"/>
  <c r="B8893" i="1"/>
  <c r="A8893" i="1"/>
  <c r="D17634" i="1"/>
  <c r="B17634" i="1"/>
  <c r="A17634" i="1"/>
  <c r="D15774" i="1"/>
  <c r="B15774" i="1"/>
  <c r="A15774" i="1"/>
  <c r="D11676" i="1"/>
  <c r="B11676" i="1"/>
  <c r="A11676" i="1"/>
  <c r="D11702" i="1"/>
  <c r="B11702" i="1"/>
  <c r="A11702" i="1"/>
  <c r="D6516" i="1"/>
  <c r="B6516" i="1"/>
  <c r="A6516" i="1"/>
  <c r="D16838" i="1"/>
  <c r="C16838" i="1"/>
  <c r="B16838" i="1"/>
  <c r="A16838" i="1"/>
  <c r="D16521" i="1"/>
  <c r="B16521" i="1"/>
  <c r="A16521" i="1"/>
  <c r="D7341" i="1"/>
  <c r="B7341" i="1"/>
  <c r="A7341" i="1"/>
  <c r="D13138" i="1"/>
  <c r="C13138" i="1"/>
  <c r="B13138" i="1"/>
  <c r="A13138" i="1"/>
  <c r="D14304" i="1"/>
  <c r="C14304" i="1"/>
  <c r="B14304" i="1"/>
  <c r="A14304" i="1"/>
  <c r="D16559" i="1"/>
  <c r="C16559" i="1"/>
  <c r="B16559" i="1"/>
  <c r="A16559" i="1"/>
  <c r="D6715" i="1"/>
  <c r="B6715" i="1"/>
  <c r="A6715" i="1"/>
  <c r="D17801" i="1"/>
  <c r="B17801" i="1"/>
  <c r="A17801" i="1"/>
  <c r="D16687" i="1"/>
  <c r="B16687" i="1"/>
  <c r="A16687" i="1"/>
  <c r="D12402" i="1"/>
  <c r="C12402" i="1"/>
  <c r="B12402" i="1"/>
  <c r="A12402" i="1"/>
  <c r="D18732" i="1"/>
  <c r="B18732" i="1"/>
  <c r="A18732" i="1"/>
  <c r="D11881" i="1"/>
  <c r="C11881" i="1"/>
  <c r="B11881" i="1"/>
  <c r="A11881" i="1"/>
  <c r="D16129" i="1"/>
  <c r="B16129" i="1"/>
  <c r="A16129" i="1"/>
  <c r="D10454" i="1"/>
  <c r="B10454" i="1"/>
  <c r="A10454" i="1"/>
  <c r="D8517" i="1"/>
  <c r="B8517" i="1"/>
  <c r="A8517" i="1"/>
  <c r="D16567" i="1"/>
  <c r="C16567" i="1"/>
  <c r="B16567" i="1"/>
  <c r="A16567" i="1"/>
  <c r="D14413" i="1"/>
  <c r="B14413" i="1"/>
  <c r="A14413" i="1"/>
  <c r="D11593" i="1"/>
  <c r="B11593" i="1"/>
  <c r="A11593" i="1"/>
  <c r="D14682" i="1"/>
  <c r="B14682" i="1"/>
  <c r="A14682" i="1"/>
  <c r="D6672" i="1"/>
  <c r="B6672" i="1"/>
  <c r="A6672" i="1"/>
  <c r="D13382" i="1"/>
  <c r="B13382" i="1"/>
  <c r="A13382" i="1"/>
  <c r="D14189" i="1"/>
  <c r="C14189" i="1"/>
  <c r="B14189" i="1"/>
  <c r="A14189" i="1"/>
  <c r="D13557" i="1"/>
  <c r="B13557" i="1"/>
  <c r="A13557" i="1"/>
  <c r="D13623" i="1"/>
  <c r="B13623" i="1"/>
  <c r="A13623" i="1"/>
  <c r="D6947" i="1"/>
  <c r="C6947" i="1"/>
  <c r="B6947" i="1"/>
  <c r="A6947" i="1"/>
  <c r="D14629" i="1"/>
  <c r="B14629" i="1"/>
  <c r="A14629" i="1"/>
  <c r="D18730" i="1"/>
  <c r="B18730" i="1"/>
  <c r="A18730" i="1"/>
  <c r="D6984" i="1"/>
  <c r="C6984" i="1"/>
  <c r="B6984" i="1"/>
  <c r="A6984" i="1"/>
  <c r="D7747" i="1"/>
  <c r="B7747" i="1"/>
  <c r="A7747" i="1"/>
  <c r="D14527" i="1"/>
  <c r="C14527" i="1"/>
  <c r="B14527" i="1"/>
  <c r="A14527" i="1"/>
  <c r="D16006" i="1"/>
  <c r="C16006" i="1"/>
  <c r="B16006" i="1"/>
  <c r="A16006" i="1"/>
  <c r="D8792" i="1"/>
  <c r="B8792" i="1"/>
  <c r="A8792" i="1"/>
  <c r="D16624" i="1"/>
  <c r="B16624" i="1"/>
  <c r="A16624" i="1"/>
  <c r="D16442" i="1"/>
  <c r="C16442" i="1"/>
  <c r="B16442" i="1"/>
  <c r="A16442" i="1"/>
  <c r="D15980" i="1"/>
  <c r="B15980" i="1"/>
  <c r="A15980" i="1"/>
  <c r="D11166" i="1"/>
  <c r="B11166" i="1"/>
  <c r="A11166" i="1"/>
  <c r="D16431" i="1"/>
  <c r="C16431" i="1"/>
  <c r="B16431" i="1"/>
  <c r="A16431" i="1"/>
  <c r="D14456" i="1"/>
  <c r="C14456" i="1"/>
  <c r="B14456" i="1"/>
  <c r="A14456" i="1"/>
  <c r="D9752" i="1"/>
  <c r="C9752" i="1"/>
  <c r="B9752" i="1"/>
  <c r="A9752" i="1"/>
  <c r="D16229" i="1"/>
  <c r="B16229" i="1"/>
  <c r="A16229" i="1"/>
  <c r="D18105" i="1"/>
  <c r="B18105" i="1"/>
  <c r="A18105" i="1"/>
  <c r="D12337" i="1"/>
  <c r="C12337" i="1"/>
  <c r="B12337" i="1"/>
  <c r="A12337" i="1"/>
  <c r="D13241" i="1"/>
  <c r="B13241" i="1"/>
  <c r="A13241" i="1"/>
  <c r="D13671" i="1"/>
  <c r="B13671" i="1"/>
  <c r="A13671" i="1"/>
  <c r="D15597" i="1"/>
  <c r="B15597" i="1"/>
  <c r="A15597" i="1"/>
  <c r="D11669" i="1"/>
  <c r="C11669" i="1"/>
  <c r="B11669" i="1"/>
  <c r="A11669" i="1"/>
  <c r="D8554" i="1"/>
  <c r="B8554" i="1"/>
  <c r="A8554" i="1"/>
  <c r="D16282" i="1"/>
  <c r="C16282" i="1"/>
  <c r="B16282" i="1"/>
  <c r="A16282" i="1"/>
  <c r="D13597" i="1"/>
  <c r="C13597" i="1"/>
  <c r="B13597" i="1"/>
  <c r="A13597" i="1"/>
  <c r="D12398" i="1"/>
  <c r="B12398" i="1"/>
  <c r="A12398" i="1"/>
  <c r="D17860" i="1"/>
  <c r="C17860" i="1"/>
  <c r="B17860" i="1"/>
  <c r="A17860" i="1"/>
  <c r="D14695" i="1"/>
  <c r="C14695" i="1"/>
  <c r="B14695" i="1"/>
  <c r="A14695" i="1"/>
  <c r="D12837" i="1"/>
  <c r="C12837" i="1"/>
  <c r="B12837" i="1"/>
  <c r="A12837" i="1"/>
  <c r="D13302" i="1"/>
  <c r="B13302" i="1"/>
  <c r="A13302" i="1"/>
  <c r="D6043" i="1"/>
  <c r="B6043" i="1"/>
  <c r="A6043" i="1"/>
  <c r="D13070" i="1"/>
  <c r="C13070" i="1"/>
  <c r="B13070" i="1"/>
  <c r="A13070" i="1"/>
  <c r="D12220" i="1"/>
  <c r="C12220" i="1"/>
  <c r="B12220" i="1"/>
  <c r="A12220" i="1"/>
  <c r="D17157" i="1"/>
  <c r="C17157" i="1"/>
  <c r="B17157" i="1"/>
  <c r="A17157" i="1"/>
  <c r="D11572" i="1"/>
  <c r="B11572" i="1"/>
  <c r="A11572" i="1"/>
  <c r="D6448" i="1"/>
  <c r="B6448" i="1"/>
  <c r="A6448" i="1"/>
  <c r="D8093" i="1"/>
  <c r="B8093" i="1"/>
  <c r="A8093" i="1"/>
  <c r="D13752" i="1"/>
  <c r="B13752" i="1"/>
  <c r="A13752" i="1"/>
  <c r="D11764" i="1"/>
  <c r="B11764" i="1"/>
  <c r="A11764" i="1"/>
  <c r="D11151" i="1"/>
  <c r="B11151" i="1"/>
  <c r="A11151" i="1"/>
  <c r="D7527" i="1"/>
  <c r="B7527" i="1"/>
  <c r="A7527" i="1"/>
  <c r="D8811" i="1"/>
  <c r="B8811" i="1"/>
  <c r="A8811" i="1"/>
  <c r="D13167" i="1"/>
  <c r="B13167" i="1"/>
  <c r="A13167" i="1"/>
  <c r="D12796" i="1"/>
  <c r="C12796" i="1"/>
  <c r="B12796" i="1"/>
  <c r="A12796" i="1"/>
  <c r="D14175" i="1"/>
  <c r="C14175" i="1"/>
  <c r="B14175" i="1"/>
  <c r="A14175" i="1"/>
  <c r="D5977" i="1"/>
  <c r="C5977" i="1"/>
  <c r="B5977" i="1"/>
  <c r="A5977" i="1"/>
  <c r="D10864" i="1"/>
  <c r="C10864" i="1"/>
  <c r="B10864" i="1"/>
  <c r="A10864" i="1"/>
  <c r="D18079" i="1"/>
  <c r="C18079" i="1"/>
  <c r="B18079" i="1"/>
  <c r="A18079" i="1"/>
  <c r="D14702" i="1"/>
  <c r="C14702" i="1"/>
  <c r="B14702" i="1"/>
  <c r="A14702" i="1"/>
  <c r="D18357" i="1"/>
  <c r="B18357" i="1"/>
  <c r="A18357" i="1"/>
  <c r="D12841" i="1"/>
  <c r="C12841" i="1"/>
  <c r="B12841" i="1"/>
  <c r="A12841" i="1"/>
  <c r="D12804" i="1"/>
  <c r="B12804" i="1"/>
  <c r="A12804" i="1"/>
  <c r="D6778" i="1"/>
  <c r="B6778" i="1"/>
  <c r="A6778" i="1"/>
  <c r="D11315" i="1"/>
  <c r="B11315" i="1"/>
  <c r="A11315" i="1"/>
  <c r="D7963" i="1"/>
  <c r="B7963" i="1"/>
  <c r="A7963" i="1"/>
  <c r="D13165" i="1"/>
  <c r="C13165" i="1"/>
  <c r="B13165" i="1"/>
  <c r="A13165" i="1"/>
  <c r="D15604" i="1"/>
  <c r="B15604" i="1"/>
  <c r="A15604" i="1"/>
  <c r="D15585" i="1"/>
  <c r="C15585" i="1"/>
  <c r="B15585" i="1"/>
  <c r="A15585" i="1"/>
  <c r="D6897" i="1"/>
  <c r="C6897" i="1"/>
  <c r="B6897" i="1"/>
  <c r="A6897" i="1"/>
  <c r="D10870" i="1"/>
  <c r="C10870" i="1"/>
  <c r="B10870" i="1"/>
  <c r="A10870" i="1"/>
  <c r="D16546" i="1"/>
  <c r="B16546" i="1"/>
  <c r="A16546" i="1"/>
  <c r="D16557" i="1"/>
  <c r="C16557" i="1"/>
  <c r="B16557" i="1"/>
  <c r="A16557" i="1"/>
  <c r="D7209" i="1"/>
  <c r="B7209" i="1"/>
  <c r="A7209" i="1"/>
  <c r="D13656" i="1"/>
  <c r="B13656" i="1"/>
  <c r="A13656" i="1"/>
  <c r="D17003" i="1"/>
  <c r="C17003" i="1"/>
  <c r="B17003" i="1"/>
  <c r="A17003" i="1"/>
  <c r="D13674" i="1"/>
  <c r="C13674" i="1"/>
  <c r="B13674" i="1"/>
  <c r="A13674" i="1"/>
  <c r="D8490" i="1"/>
  <c r="C8490" i="1"/>
  <c r="B8490" i="1"/>
  <c r="A8490" i="1"/>
  <c r="D11182" i="1"/>
  <c r="C11182" i="1"/>
  <c r="B11182" i="1"/>
  <c r="A11182" i="1"/>
  <c r="D12726" i="1"/>
  <c r="B12726" i="1"/>
  <c r="A12726" i="1"/>
  <c r="D8865" i="1"/>
  <c r="C8865" i="1"/>
  <c r="B8865" i="1"/>
  <c r="A8865" i="1"/>
  <c r="D15558" i="1"/>
  <c r="B15558" i="1"/>
  <c r="A15558" i="1"/>
  <c r="D14578" i="1"/>
  <c r="C14578" i="1"/>
  <c r="B14578" i="1"/>
  <c r="A14578" i="1"/>
  <c r="D11491" i="1"/>
  <c r="C11491" i="1"/>
  <c r="B11491" i="1"/>
  <c r="A11491" i="1"/>
  <c r="D18490" i="1"/>
  <c r="C18490" i="1"/>
  <c r="B18490" i="1"/>
  <c r="A18490" i="1"/>
  <c r="D8013" i="1"/>
  <c r="C8013" i="1"/>
  <c r="B8013" i="1"/>
  <c r="A8013" i="1"/>
  <c r="D13121" i="1"/>
  <c r="B13121" i="1"/>
  <c r="A13121" i="1"/>
  <c r="D14013" i="1"/>
  <c r="B14013" i="1"/>
  <c r="A14013" i="1"/>
  <c r="D8272" i="1"/>
  <c r="C8272" i="1"/>
  <c r="B8272" i="1"/>
  <c r="A8272" i="1"/>
  <c r="D8793" i="1"/>
  <c r="B8793" i="1"/>
  <c r="A8793" i="1"/>
  <c r="D6466" i="1"/>
  <c r="C6466" i="1"/>
  <c r="B6466" i="1"/>
  <c r="A6466" i="1"/>
  <c r="D18429" i="1"/>
  <c r="B18429" i="1"/>
  <c r="A18429" i="1"/>
  <c r="D17103" i="1"/>
  <c r="C17103" i="1"/>
  <c r="B17103" i="1"/>
  <c r="A17103" i="1"/>
  <c r="D10186" i="1"/>
  <c r="B10186" i="1"/>
  <c r="A10186" i="1"/>
  <c r="D8303" i="1"/>
  <c r="C8303" i="1"/>
  <c r="B8303" i="1"/>
  <c r="A8303" i="1"/>
  <c r="D16439" i="1"/>
  <c r="C16439" i="1"/>
  <c r="B16439" i="1"/>
  <c r="A16439" i="1"/>
  <c r="D8166" i="1"/>
  <c r="C8166" i="1"/>
  <c r="B8166" i="1"/>
  <c r="A8166" i="1"/>
  <c r="D13750" i="1"/>
  <c r="B13750" i="1"/>
  <c r="A13750" i="1"/>
  <c r="D9481" i="1"/>
  <c r="C9481" i="1"/>
  <c r="B9481" i="1"/>
  <c r="A9481" i="1"/>
  <c r="D13030" i="1"/>
  <c r="B13030" i="1"/>
  <c r="A13030" i="1"/>
  <c r="D14663" i="1"/>
  <c r="B14663" i="1"/>
  <c r="A14663" i="1"/>
  <c r="D6665" i="1"/>
  <c r="B6665" i="1"/>
  <c r="A6665" i="1"/>
  <c r="D16387" i="1"/>
  <c r="B16387" i="1"/>
  <c r="A16387" i="1"/>
  <c r="D5959" i="1"/>
  <c r="C5959" i="1"/>
  <c r="B5959" i="1"/>
  <c r="A5959" i="1"/>
  <c r="D15798" i="1"/>
  <c r="C15798" i="1"/>
  <c r="B15798" i="1"/>
  <c r="A15798" i="1"/>
  <c r="D8579" i="1"/>
  <c r="C8579" i="1"/>
  <c r="B8579" i="1"/>
  <c r="A8579" i="1"/>
  <c r="D16684" i="1"/>
  <c r="C16684" i="1"/>
  <c r="B16684" i="1"/>
  <c r="A16684" i="1"/>
  <c r="D7128" i="1"/>
  <c r="C7128" i="1"/>
  <c r="B7128" i="1"/>
  <c r="A7128" i="1"/>
  <c r="D17710" i="1"/>
  <c r="B17710" i="1"/>
  <c r="A17710" i="1"/>
  <c r="D13715" i="1"/>
  <c r="B13715" i="1"/>
  <c r="A13715" i="1"/>
  <c r="D7529" i="1"/>
  <c r="B7529" i="1"/>
  <c r="A7529" i="1"/>
  <c r="D13166" i="1"/>
  <c r="B13166" i="1"/>
  <c r="A13166" i="1"/>
  <c r="D13188" i="1"/>
  <c r="B13188" i="1"/>
  <c r="A13188" i="1"/>
  <c r="D5987" i="1"/>
  <c r="C5987" i="1"/>
  <c r="B5987" i="1"/>
  <c r="A5987" i="1"/>
  <c r="D6187" i="1"/>
  <c r="B6187" i="1"/>
  <c r="A6187" i="1"/>
  <c r="D14742" i="1"/>
  <c r="C14742" i="1"/>
  <c r="B14742" i="1"/>
  <c r="A14742" i="1"/>
  <c r="D13133" i="1"/>
  <c r="C13133" i="1"/>
  <c r="B13133" i="1"/>
  <c r="A13133" i="1"/>
  <c r="D5879" i="1"/>
  <c r="C5879" i="1"/>
  <c r="B5879" i="1"/>
  <c r="A5879" i="1"/>
  <c r="D12739" i="1"/>
  <c r="C12739" i="1"/>
  <c r="B12739" i="1"/>
  <c r="A12739" i="1"/>
  <c r="D17214" i="1"/>
  <c r="C17214" i="1"/>
  <c r="B17214" i="1"/>
  <c r="A17214" i="1"/>
  <c r="D8524" i="1"/>
  <c r="B8524" i="1"/>
  <c r="A8524" i="1"/>
  <c r="D9658" i="1"/>
  <c r="B9658" i="1"/>
  <c r="A9658" i="1"/>
  <c r="D12326" i="1"/>
  <c r="C12326" i="1"/>
  <c r="B12326" i="1"/>
  <c r="A12326" i="1"/>
  <c r="D12414" i="1"/>
  <c r="B12414" i="1"/>
  <c r="A12414" i="1"/>
  <c r="D8986" i="1"/>
  <c r="B8986" i="1"/>
  <c r="A8986" i="1"/>
  <c r="D13083" i="1"/>
  <c r="B13083" i="1"/>
  <c r="A13083" i="1"/>
  <c r="D13728" i="1"/>
  <c r="C13728" i="1"/>
  <c r="B13728" i="1"/>
  <c r="A13728" i="1"/>
  <c r="D12963" i="1"/>
  <c r="C12963" i="1"/>
  <c r="B12963" i="1"/>
  <c r="A12963" i="1"/>
  <c r="D14087" i="1"/>
  <c r="C14087" i="1"/>
  <c r="B14087" i="1"/>
  <c r="A14087" i="1"/>
  <c r="D6711" i="1"/>
  <c r="B6711" i="1"/>
  <c r="A6711" i="1"/>
  <c r="D7576" i="1"/>
  <c r="C7576" i="1"/>
  <c r="B7576" i="1"/>
  <c r="A7576" i="1"/>
  <c r="D13814" i="1"/>
  <c r="B13814" i="1"/>
  <c r="A13814" i="1"/>
  <c r="D12827" i="1"/>
  <c r="C12827" i="1"/>
  <c r="B12827" i="1"/>
  <c r="A12827" i="1"/>
  <c r="D17231" i="1"/>
  <c r="C17231" i="1"/>
  <c r="B17231" i="1"/>
  <c r="A17231" i="1"/>
  <c r="D17932" i="1"/>
  <c r="B17932" i="1"/>
  <c r="A17932" i="1"/>
  <c r="D11545" i="1"/>
  <c r="B11545" i="1"/>
  <c r="A11545" i="1"/>
  <c r="D17708" i="1"/>
  <c r="C17708" i="1"/>
  <c r="B17708" i="1"/>
  <c r="A17708" i="1"/>
  <c r="D17585" i="1"/>
  <c r="B17585" i="1"/>
  <c r="A17585" i="1"/>
  <c r="D9635" i="1"/>
  <c r="B9635" i="1"/>
  <c r="A9635" i="1"/>
  <c r="D14271" i="1"/>
  <c r="C14271" i="1"/>
  <c r="B14271" i="1"/>
  <c r="A14271" i="1"/>
  <c r="D13487" i="1"/>
  <c r="C13487" i="1"/>
  <c r="B13487" i="1"/>
  <c r="A13487" i="1"/>
  <c r="D13904" i="1"/>
  <c r="C13904" i="1"/>
  <c r="B13904" i="1"/>
  <c r="A13904" i="1"/>
  <c r="D12697" i="1"/>
  <c r="B12697" i="1"/>
  <c r="A12697" i="1"/>
  <c r="D17580" i="1"/>
  <c r="B17580" i="1"/>
  <c r="A17580" i="1"/>
  <c r="D18355" i="1"/>
  <c r="C18355" i="1"/>
  <c r="B18355" i="1"/>
  <c r="A18355" i="1"/>
  <c r="D12409" i="1"/>
  <c r="B12409" i="1"/>
  <c r="A12409" i="1"/>
  <c r="D7878" i="1"/>
  <c r="C7878" i="1"/>
  <c r="B7878" i="1"/>
  <c r="A7878" i="1"/>
  <c r="D18303" i="1"/>
  <c r="C18303" i="1"/>
  <c r="B18303" i="1"/>
  <c r="A18303" i="1"/>
  <c r="D13769" i="1"/>
  <c r="B13769" i="1"/>
  <c r="A13769" i="1"/>
  <c r="D11342" i="1"/>
  <c r="B11342" i="1"/>
  <c r="A11342" i="1"/>
  <c r="D14693" i="1"/>
  <c r="B14693" i="1"/>
  <c r="A14693" i="1"/>
  <c r="D8900" i="1"/>
  <c r="B8900" i="1"/>
  <c r="A8900" i="1"/>
  <c r="D10039" i="1"/>
  <c r="C10039" i="1"/>
  <c r="B10039" i="1"/>
  <c r="A10039" i="1"/>
  <c r="D16495" i="1"/>
  <c r="B16495" i="1"/>
  <c r="A16495" i="1"/>
  <c r="D7881" i="1"/>
  <c r="C7881" i="1"/>
  <c r="B7881" i="1"/>
  <c r="A7881" i="1"/>
  <c r="D16797" i="1"/>
  <c r="B16797" i="1"/>
  <c r="A16797" i="1"/>
  <c r="D6607" i="1"/>
  <c r="B6607" i="1"/>
  <c r="A6607" i="1"/>
  <c r="D12517" i="1"/>
  <c r="C12517" i="1"/>
  <c r="B12517" i="1"/>
  <c r="A12517" i="1"/>
  <c r="D14209" i="1"/>
  <c r="B14209" i="1"/>
  <c r="A14209" i="1"/>
  <c r="D18039" i="1"/>
  <c r="B18039" i="1"/>
  <c r="A18039" i="1"/>
  <c r="D13938" i="1"/>
  <c r="C13938" i="1"/>
  <c r="B13938" i="1"/>
  <c r="A13938" i="1"/>
  <c r="D16846" i="1"/>
  <c r="C16846" i="1"/>
  <c r="B16846" i="1"/>
  <c r="A16846" i="1"/>
  <c r="D17505" i="1"/>
  <c r="B17505" i="1"/>
  <c r="A17505" i="1"/>
  <c r="D7926" i="1"/>
  <c r="C7926" i="1"/>
  <c r="B7926" i="1"/>
  <c r="A7926" i="1"/>
  <c r="D12338" i="1"/>
  <c r="B12338" i="1"/>
  <c r="A12338" i="1"/>
  <c r="D8646" i="1"/>
  <c r="B8646" i="1"/>
  <c r="A8646" i="1"/>
  <c r="D13132" i="1"/>
  <c r="B13132" i="1"/>
  <c r="A13132" i="1"/>
  <c r="D17271" i="1"/>
  <c r="C17271" i="1"/>
  <c r="B17271" i="1"/>
  <c r="A17271" i="1"/>
  <c r="D8887" i="1"/>
  <c r="B8887" i="1"/>
  <c r="A8887" i="1"/>
  <c r="D12556" i="1"/>
  <c r="C12556" i="1"/>
  <c r="B12556" i="1"/>
  <c r="A12556" i="1"/>
  <c r="D8628" i="1"/>
  <c r="C8628" i="1"/>
  <c r="B8628" i="1"/>
  <c r="A8628" i="1"/>
  <c r="D14195" i="1"/>
  <c r="B14195" i="1"/>
  <c r="A14195" i="1"/>
  <c r="D11212" i="1"/>
  <c r="C11212" i="1"/>
  <c r="B11212" i="1"/>
  <c r="A11212" i="1"/>
  <c r="D8286" i="1"/>
  <c r="B8286" i="1"/>
  <c r="A8286" i="1"/>
  <c r="D7962" i="1"/>
  <c r="B7962" i="1"/>
  <c r="A7962" i="1"/>
  <c r="D7693" i="1"/>
  <c r="B7693" i="1"/>
  <c r="A7693" i="1"/>
  <c r="D11333" i="1"/>
  <c r="C11333" i="1"/>
  <c r="B11333" i="1"/>
  <c r="A11333" i="1"/>
  <c r="D8206" i="1"/>
  <c r="C8206" i="1"/>
  <c r="B8206" i="1"/>
  <c r="A8206" i="1"/>
  <c r="D14409" i="1"/>
  <c r="C14409" i="1"/>
  <c r="B14409" i="1"/>
  <c r="A14409" i="1"/>
  <c r="D14437" i="1"/>
  <c r="C14437" i="1"/>
  <c r="B14437" i="1"/>
  <c r="A14437" i="1"/>
  <c r="D16428" i="1"/>
  <c r="B16428" i="1"/>
  <c r="A16428" i="1"/>
  <c r="D11689" i="1"/>
  <c r="C11689" i="1"/>
  <c r="B11689" i="1"/>
  <c r="A11689" i="1"/>
  <c r="D6968" i="1"/>
  <c r="B6968" i="1"/>
  <c r="A6968" i="1"/>
  <c r="D13591" i="1"/>
  <c r="C13591" i="1"/>
  <c r="B13591" i="1"/>
  <c r="A13591" i="1"/>
  <c r="D18733" i="1"/>
  <c r="B18733" i="1"/>
  <c r="A18733" i="1"/>
  <c r="D6002" i="1"/>
  <c r="B6002" i="1"/>
  <c r="A6002" i="1"/>
  <c r="D16555" i="1"/>
  <c r="B16555" i="1"/>
  <c r="A16555" i="1"/>
  <c r="D5915" i="1"/>
  <c r="C5915" i="1"/>
  <c r="B5915" i="1"/>
  <c r="A5915" i="1"/>
  <c r="D14180" i="1"/>
  <c r="B14180" i="1"/>
  <c r="A14180" i="1"/>
  <c r="D11956" i="1"/>
  <c r="B11956" i="1"/>
  <c r="A11956" i="1"/>
  <c r="D7229" i="1"/>
  <c r="B7229" i="1"/>
  <c r="A7229" i="1"/>
  <c r="D9841" i="1"/>
  <c r="C9841" i="1"/>
  <c r="B9841" i="1"/>
  <c r="A9841" i="1"/>
  <c r="D15583" i="1"/>
  <c r="C15583" i="1"/>
  <c r="B15583" i="1"/>
  <c r="A15583" i="1"/>
  <c r="D17192" i="1"/>
  <c r="C17192" i="1"/>
  <c r="B17192" i="1"/>
  <c r="A17192" i="1"/>
  <c r="D16695" i="1"/>
  <c r="B16695" i="1"/>
  <c r="A16695" i="1"/>
  <c r="D15581" i="1"/>
  <c r="B15581" i="1"/>
  <c r="A15581" i="1"/>
  <c r="D14572" i="1"/>
  <c r="B14572" i="1"/>
  <c r="A14572" i="1"/>
  <c r="D13242" i="1"/>
  <c r="B13242" i="1"/>
  <c r="A13242" i="1"/>
  <c r="D9557" i="1"/>
  <c r="B9557" i="1"/>
  <c r="A9557" i="1"/>
  <c r="D6175" i="1"/>
  <c r="C6175" i="1"/>
  <c r="B6175" i="1"/>
  <c r="A6175" i="1"/>
  <c r="D6694" i="1"/>
  <c r="B6694" i="1"/>
  <c r="A6694" i="1"/>
  <c r="D12972" i="1"/>
  <c r="C12972" i="1"/>
  <c r="B12972" i="1"/>
  <c r="A12972" i="1"/>
  <c r="D16666" i="1"/>
  <c r="C16666" i="1"/>
  <c r="B16666" i="1"/>
  <c r="A16666" i="1"/>
  <c r="D16110" i="1"/>
  <c r="B16110" i="1"/>
  <c r="A16110" i="1"/>
  <c r="D11381" i="1"/>
  <c r="C11381" i="1"/>
  <c r="B11381" i="1"/>
  <c r="A11381" i="1"/>
  <c r="D16697" i="1"/>
  <c r="C16697" i="1"/>
  <c r="B16697" i="1"/>
  <c r="A16697" i="1"/>
  <c r="D14024" i="1"/>
  <c r="A14024" i="1"/>
  <c r="D12942" i="1"/>
  <c r="B12942" i="1"/>
  <c r="A12942" i="1"/>
  <c r="D15819" i="1"/>
  <c r="B15819" i="1"/>
  <c r="A15819" i="1"/>
  <c r="D5875" i="1"/>
  <c r="B5875" i="1"/>
  <c r="A5875" i="1"/>
  <c r="D13553" i="1"/>
  <c r="C13553" i="1"/>
  <c r="B13553" i="1"/>
  <c r="A13553" i="1"/>
  <c r="D10372" i="1"/>
  <c r="B10372" i="1"/>
  <c r="A10372" i="1"/>
  <c r="D10316" i="1"/>
  <c r="C10316" i="1"/>
  <c r="B10316" i="1"/>
  <c r="A10316" i="1"/>
  <c r="D13625" i="1"/>
  <c r="C13625" i="1"/>
  <c r="B13625" i="1"/>
  <c r="A13625" i="1"/>
  <c r="D8942" i="1"/>
  <c r="C8942" i="1"/>
  <c r="B8942" i="1"/>
  <c r="A8942" i="1"/>
  <c r="D8453" i="1"/>
  <c r="B8453" i="1"/>
  <c r="A8453" i="1"/>
  <c r="D15923" i="1"/>
  <c r="C15923" i="1"/>
  <c r="B15923" i="1"/>
  <c r="A15923" i="1"/>
  <c r="D6143" i="1"/>
  <c r="C6143" i="1"/>
  <c r="B6143" i="1"/>
  <c r="A6143" i="1"/>
  <c r="D13069" i="1"/>
  <c r="B13069" i="1"/>
  <c r="A13069" i="1"/>
  <c r="D8341" i="1"/>
  <c r="B8341" i="1"/>
  <c r="A8341" i="1"/>
  <c r="D10271" i="1"/>
  <c r="B10271" i="1"/>
  <c r="A10271" i="1"/>
  <c r="D8872" i="1"/>
  <c r="B8872" i="1"/>
  <c r="A8872" i="1"/>
  <c r="D5936" i="1"/>
  <c r="B5936" i="1"/>
  <c r="A5936" i="1"/>
  <c r="D12514" i="1"/>
  <c r="B12514" i="1"/>
  <c r="A12514" i="1"/>
  <c r="D6539" i="1"/>
  <c r="C6539" i="1"/>
  <c r="B6539" i="1"/>
  <c r="A6539" i="1"/>
  <c r="D18353" i="1"/>
  <c r="C18353" i="1"/>
  <c r="B18353" i="1"/>
  <c r="A18353" i="1"/>
  <c r="D14728" i="1"/>
  <c r="B14728" i="1"/>
  <c r="A14728" i="1"/>
  <c r="D8205" i="1"/>
  <c r="C8205" i="1"/>
  <c r="B8205" i="1"/>
  <c r="A8205" i="1"/>
  <c r="D8275" i="1"/>
  <c r="C8275" i="1"/>
  <c r="B8275" i="1"/>
  <c r="A8275" i="1"/>
  <c r="D11183" i="1"/>
  <c r="C11183" i="1"/>
  <c r="B11183" i="1"/>
  <c r="A11183" i="1"/>
  <c r="D5991" i="1"/>
  <c r="C5991" i="1"/>
  <c r="B5991" i="1"/>
  <c r="A5991" i="1"/>
  <c r="D16459" i="1"/>
  <c r="C16459" i="1"/>
  <c r="B16459" i="1"/>
  <c r="A16459" i="1"/>
  <c r="D10663" i="1"/>
  <c r="B10663" i="1"/>
  <c r="A10663" i="1"/>
  <c r="D16980" i="1"/>
  <c r="A16980" i="1"/>
  <c r="D10025" i="1"/>
  <c r="B10025" i="1"/>
  <c r="A10025" i="1"/>
  <c r="D11634" i="1"/>
  <c r="C11634" i="1"/>
  <c r="B11634" i="1"/>
  <c r="A11634" i="1"/>
  <c r="D10651" i="1"/>
  <c r="C10651" i="1"/>
  <c r="B10651" i="1"/>
  <c r="A10651" i="1"/>
  <c r="D8673" i="1"/>
  <c r="B8673" i="1"/>
  <c r="A8673" i="1"/>
  <c r="D11553" i="1"/>
  <c r="B11553" i="1"/>
  <c r="A11553" i="1"/>
  <c r="D13770" i="1"/>
  <c r="B13770" i="1"/>
  <c r="A13770" i="1"/>
  <c r="D7602" i="1"/>
  <c r="B7602" i="1"/>
  <c r="A7602" i="1"/>
  <c r="D9485" i="1"/>
  <c r="B9485" i="1"/>
  <c r="A9485" i="1"/>
  <c r="D6117" i="1"/>
  <c r="C6117" i="1"/>
  <c r="B6117" i="1"/>
  <c r="A6117" i="1"/>
  <c r="D16736" i="1"/>
  <c r="C16736" i="1"/>
  <c r="B16736" i="1"/>
  <c r="A16736" i="1"/>
  <c r="D11412" i="1"/>
  <c r="B11412" i="1"/>
  <c r="A11412" i="1"/>
  <c r="D8519" i="1"/>
  <c r="B8519" i="1"/>
  <c r="A8519" i="1"/>
  <c r="D13139" i="1"/>
  <c r="C13139" i="1"/>
  <c r="B13139" i="1"/>
  <c r="A13139" i="1"/>
  <c r="D11126" i="1"/>
  <c r="B11126" i="1"/>
  <c r="A11126" i="1"/>
  <c r="D11247" i="1"/>
  <c r="C11247" i="1"/>
  <c r="B11247" i="1"/>
  <c r="A11247" i="1"/>
  <c r="D14405" i="1"/>
  <c r="B14405" i="1"/>
  <c r="A14405" i="1"/>
  <c r="D8390" i="1"/>
  <c r="C8390" i="1"/>
  <c r="B8390" i="1"/>
  <c r="A8390" i="1"/>
  <c r="D13696" i="1"/>
  <c r="C13696" i="1"/>
  <c r="B13696" i="1"/>
  <c r="A13696" i="1"/>
  <c r="D10744" i="1"/>
  <c r="C10744" i="1"/>
  <c r="B10744" i="1"/>
  <c r="A10744" i="1"/>
  <c r="D8809" i="1"/>
  <c r="B8809" i="1"/>
  <c r="A8809" i="1"/>
  <c r="D16686" i="1"/>
  <c r="B16686" i="1"/>
  <c r="A16686" i="1"/>
  <c r="D8009" i="1"/>
  <c r="C8009" i="1"/>
  <c r="B8009" i="1"/>
  <c r="A8009" i="1"/>
  <c r="D6427" i="1"/>
  <c r="C6427" i="1"/>
  <c r="B6427" i="1"/>
  <c r="A6427" i="1"/>
  <c r="D6172" i="1"/>
  <c r="C6172" i="1"/>
  <c r="B6172" i="1"/>
  <c r="A6172" i="1"/>
  <c r="D12790" i="1"/>
  <c r="C12790" i="1"/>
  <c r="B12790" i="1"/>
  <c r="A12790" i="1"/>
  <c r="D13793" i="1"/>
  <c r="C13793" i="1"/>
  <c r="B13793" i="1"/>
  <c r="A13793" i="1"/>
  <c r="D13159" i="1"/>
  <c r="B13159" i="1"/>
  <c r="A13159" i="1"/>
  <c r="D14745" i="1"/>
  <c r="C14745" i="1"/>
  <c r="B14745" i="1"/>
  <c r="A14745" i="1"/>
  <c r="D13686" i="1"/>
  <c r="C13686" i="1"/>
  <c r="B13686" i="1"/>
  <c r="A13686" i="1"/>
  <c r="D6186" i="1"/>
  <c r="B6186" i="1"/>
  <c r="A6186" i="1"/>
  <c r="D12318" i="1"/>
  <c r="B12318" i="1"/>
  <c r="A12318" i="1"/>
  <c r="D16568" i="1"/>
  <c r="B16568" i="1"/>
  <c r="A16568" i="1"/>
  <c r="D13785" i="1"/>
  <c r="C13785" i="1"/>
  <c r="B13785" i="1"/>
  <c r="A13785" i="1"/>
  <c r="D14656" i="1"/>
  <c r="B14656" i="1"/>
  <c r="A14656" i="1"/>
  <c r="D16523" i="1"/>
  <c r="B16523" i="1"/>
  <c r="A16523" i="1"/>
  <c r="D6360" i="1"/>
  <c r="C6360" i="1"/>
  <c r="B6360" i="1"/>
  <c r="A6360" i="1"/>
  <c r="D7955" i="1"/>
  <c r="B7955" i="1"/>
  <c r="A7955" i="1"/>
  <c r="D11758" i="1"/>
  <c r="B11758" i="1"/>
  <c r="A11758" i="1"/>
  <c r="D8883" i="1"/>
  <c r="C8883" i="1"/>
  <c r="B8883" i="1"/>
  <c r="A8883" i="1"/>
  <c r="D8283" i="1"/>
  <c r="C8283" i="1"/>
  <c r="B8283" i="1"/>
  <c r="A8283" i="1"/>
  <c r="D13347" i="1"/>
  <c r="B13347" i="1"/>
  <c r="A13347" i="1"/>
  <c r="D6005" i="1"/>
  <c r="B6005" i="1"/>
  <c r="A6005" i="1"/>
  <c r="D17193" i="1"/>
  <c r="C17193" i="1"/>
  <c r="B17193" i="1"/>
  <c r="A17193" i="1"/>
  <c r="D14509" i="1"/>
  <c r="C14509" i="1"/>
  <c r="B14509" i="1"/>
  <c r="A14509" i="1"/>
  <c r="D16759" i="1"/>
  <c r="C16759" i="1"/>
  <c r="B16759" i="1"/>
  <c r="A16759" i="1"/>
  <c r="D12806" i="1"/>
  <c r="B12806" i="1"/>
  <c r="A12806" i="1"/>
  <c r="D8975" i="1"/>
  <c r="B8975" i="1"/>
  <c r="A8975" i="1"/>
  <c r="D14229" i="1"/>
  <c r="B14229" i="1"/>
  <c r="A14229" i="1"/>
  <c r="D18816" i="1"/>
  <c r="B18816" i="1"/>
  <c r="A18816" i="1"/>
  <c r="D11313" i="1"/>
  <c r="C11313" i="1"/>
  <c r="B11313" i="1"/>
  <c r="A11313" i="1"/>
  <c r="D8821" i="1"/>
  <c r="B8821" i="1"/>
  <c r="A8821" i="1"/>
  <c r="D16455" i="1"/>
  <c r="B16455" i="1"/>
  <c r="A16455" i="1"/>
  <c r="D6145" i="1"/>
  <c r="B6145" i="1"/>
  <c r="A6145" i="1"/>
  <c r="D8587" i="1"/>
  <c r="C8587" i="1"/>
  <c r="B8587" i="1"/>
  <c r="A8587" i="1"/>
  <c r="D13545" i="1"/>
  <c r="C13545" i="1"/>
  <c r="B13545" i="1"/>
  <c r="A13545" i="1"/>
  <c r="D13823" i="1"/>
  <c r="C13823" i="1"/>
  <c r="B13823" i="1"/>
  <c r="A13823" i="1"/>
  <c r="D11242" i="1"/>
  <c r="B11242" i="1"/>
  <c r="A11242" i="1"/>
  <c r="D7768" i="1"/>
  <c r="C7768" i="1"/>
  <c r="B7768" i="1"/>
  <c r="A7768" i="1"/>
  <c r="D11488" i="1"/>
  <c r="C11488" i="1"/>
  <c r="B11488" i="1"/>
  <c r="A11488" i="1"/>
  <c r="D14611" i="1"/>
  <c r="B14611" i="1"/>
  <c r="A14611" i="1"/>
  <c r="D8693" i="1"/>
  <c r="B8693" i="1"/>
  <c r="A8693" i="1"/>
  <c r="D13830" i="1"/>
  <c r="C13830" i="1"/>
  <c r="B13830" i="1"/>
  <c r="A13830" i="1"/>
  <c r="D12830" i="1"/>
  <c r="B12830" i="1"/>
  <c r="A12830" i="1"/>
  <c r="D10109" i="1"/>
  <c r="B10109" i="1"/>
  <c r="A10109" i="1"/>
  <c r="D13754" i="1"/>
  <c r="C13754" i="1"/>
  <c r="B13754" i="1"/>
  <c r="A13754" i="1"/>
  <c r="D13477" i="1"/>
  <c r="B13477" i="1"/>
  <c r="A13477" i="1"/>
  <c r="D16449" i="1"/>
  <c r="C16449" i="1"/>
  <c r="B16449" i="1"/>
  <c r="A16449" i="1"/>
  <c r="D10274" i="1"/>
  <c r="B10274" i="1"/>
  <c r="A10274" i="1"/>
  <c r="D11602" i="1"/>
  <c r="B11602" i="1"/>
  <c r="A11602" i="1"/>
  <c r="D17000" i="1"/>
  <c r="B17000" i="1"/>
  <c r="A17000" i="1"/>
  <c r="D8658" i="1"/>
  <c r="C8658" i="1"/>
  <c r="B8658" i="1"/>
  <c r="A8658" i="1"/>
  <c r="D12743" i="1"/>
  <c r="B12743" i="1"/>
  <c r="A12743" i="1"/>
  <c r="D13707" i="1"/>
  <c r="C13707" i="1"/>
  <c r="B13707" i="1"/>
  <c r="A13707" i="1"/>
  <c r="D13893" i="1"/>
  <c r="B13893" i="1"/>
  <c r="A13893" i="1"/>
  <c r="D11556" i="1"/>
  <c r="B11556" i="1"/>
  <c r="A11556" i="1"/>
  <c r="D9409" i="1"/>
  <c r="B9409" i="1"/>
  <c r="A9409" i="1"/>
  <c r="D13475" i="1"/>
  <c r="C13475" i="1"/>
  <c r="B13475" i="1"/>
  <c r="A13475" i="1"/>
  <c r="D12789" i="1"/>
  <c r="C12789" i="1"/>
  <c r="B12789" i="1"/>
  <c r="A12789" i="1"/>
  <c r="D8541" i="1"/>
  <c r="B8541" i="1"/>
  <c r="A8541" i="1"/>
  <c r="D13037" i="1"/>
  <c r="B13037" i="1"/>
  <c r="A13037" i="1"/>
  <c r="D8652" i="1"/>
  <c r="C8652" i="1"/>
  <c r="B8652" i="1"/>
  <c r="A8652" i="1"/>
  <c r="D12975" i="1"/>
  <c r="C12975" i="1"/>
  <c r="B12975" i="1"/>
  <c r="A12975" i="1"/>
  <c r="D7731" i="1"/>
  <c r="C7731" i="1"/>
  <c r="B7731" i="1"/>
  <c r="A7731" i="1"/>
  <c r="D8662" i="1"/>
  <c r="C8662" i="1"/>
  <c r="B8662" i="1"/>
  <c r="A8662" i="1"/>
  <c r="D13090" i="1"/>
  <c r="B13090" i="1"/>
  <c r="A13090" i="1"/>
  <c r="D8197" i="1"/>
  <c r="B8197" i="1"/>
  <c r="A8197" i="1"/>
  <c r="D11721" i="1"/>
  <c r="C11721" i="1"/>
  <c r="B11721" i="1"/>
  <c r="A11721" i="1"/>
  <c r="D14698" i="1"/>
  <c r="B14698" i="1"/>
  <c r="A14698" i="1"/>
  <c r="D10449" i="1"/>
  <c r="B10449" i="1"/>
  <c r="A10449" i="1"/>
  <c r="D13678" i="1"/>
  <c r="B13678" i="1"/>
  <c r="A13678" i="1"/>
  <c r="D15700" i="1"/>
  <c r="B15700" i="1"/>
  <c r="A15700" i="1"/>
  <c r="D15844" i="1"/>
  <c r="A15844" i="1"/>
  <c r="D16844" i="1"/>
  <c r="C16844" i="1"/>
  <c r="B16844" i="1"/>
  <c r="A16844" i="1"/>
  <c r="D16804" i="1"/>
  <c r="B16804" i="1"/>
  <c r="A16804" i="1"/>
  <c r="D16818" i="1"/>
  <c r="B16818" i="1"/>
  <c r="A16818" i="1"/>
  <c r="D13489" i="1"/>
  <c r="B13489" i="1"/>
  <c r="A13489" i="1"/>
  <c r="D11214" i="1"/>
  <c r="C11214" i="1"/>
  <c r="B11214" i="1"/>
  <c r="A11214" i="1"/>
  <c r="D13542" i="1"/>
  <c r="C13542" i="1"/>
  <c r="B13542" i="1"/>
  <c r="A13542" i="1"/>
  <c r="D11446" i="1"/>
  <c r="B11446" i="1"/>
  <c r="A11446" i="1"/>
  <c r="D14191" i="1"/>
  <c r="C14191" i="1"/>
  <c r="B14191" i="1"/>
  <c r="A14191" i="1"/>
  <c r="D17760" i="1"/>
  <c r="B17760" i="1"/>
  <c r="A17760" i="1"/>
  <c r="D12389" i="1"/>
  <c r="B12389" i="1"/>
  <c r="A12389" i="1"/>
  <c r="D10168" i="1"/>
  <c r="B10168" i="1"/>
  <c r="A10168" i="1"/>
  <c r="D16748" i="1"/>
  <c r="C16748" i="1"/>
  <c r="B16748" i="1"/>
  <c r="A16748" i="1"/>
  <c r="D13169" i="1"/>
  <c r="B13169" i="1"/>
  <c r="A13169" i="1"/>
  <c r="D6891" i="1"/>
  <c r="B6891" i="1"/>
  <c r="A6891" i="1"/>
  <c r="D8690" i="1"/>
  <c r="B8690" i="1"/>
  <c r="A8690" i="1"/>
  <c r="D13894" i="1"/>
  <c r="B13894" i="1"/>
  <c r="A13894" i="1"/>
  <c r="D10199" i="1"/>
  <c r="B10199" i="1"/>
  <c r="A10199" i="1"/>
  <c r="D13301" i="1"/>
  <c r="B13301" i="1"/>
  <c r="A13301" i="1"/>
  <c r="D18069" i="1"/>
  <c r="B18069" i="1"/>
  <c r="A18069" i="1"/>
  <c r="D14720" i="1"/>
  <c r="C14720" i="1"/>
  <c r="B14720" i="1"/>
  <c r="A14720" i="1"/>
  <c r="D14457" i="1"/>
  <c r="C14457" i="1"/>
  <c r="B14457" i="1"/>
  <c r="A14457" i="1"/>
  <c r="D11687" i="1"/>
  <c r="C11687" i="1"/>
  <c r="B11687" i="1"/>
  <c r="A11687" i="1"/>
  <c r="D18065" i="1"/>
  <c r="B18065" i="1"/>
  <c r="A18065" i="1"/>
  <c r="D12528" i="1"/>
  <c r="B12528" i="1"/>
  <c r="A12528" i="1"/>
  <c r="D12780" i="1"/>
  <c r="B12780" i="1"/>
  <c r="A12780" i="1"/>
  <c r="D12519" i="1"/>
  <c r="B12519" i="1"/>
  <c r="A12519" i="1"/>
  <c r="D14164" i="1"/>
  <c r="C14164" i="1"/>
  <c r="B14164" i="1"/>
  <c r="A14164" i="1"/>
  <c r="D16416" i="1"/>
  <c r="B16416" i="1"/>
  <c r="A16416" i="1"/>
  <c r="D9747" i="1"/>
  <c r="B9747" i="1"/>
  <c r="A9747" i="1"/>
  <c r="D6434" i="1"/>
  <c r="B6434" i="1"/>
  <c r="A6434" i="1"/>
  <c r="D7069" i="1"/>
  <c r="B7069" i="1"/>
  <c r="A7069" i="1"/>
  <c r="D12628" i="1"/>
  <c r="B12628" i="1"/>
  <c r="A12628" i="1"/>
  <c r="D7051" i="1"/>
  <c r="B7051" i="1"/>
  <c r="A7051" i="1"/>
  <c r="D12914" i="1"/>
  <c r="B12914" i="1"/>
  <c r="A12914" i="1"/>
  <c r="D11276" i="1"/>
  <c r="C11276" i="1"/>
  <c r="B11276" i="1"/>
  <c r="A11276" i="1"/>
  <c r="D6824" i="1"/>
  <c r="B6824" i="1"/>
  <c r="A6824" i="1"/>
  <c r="D12733" i="1"/>
  <c r="B12733" i="1"/>
  <c r="A12733" i="1"/>
  <c r="D14061" i="1"/>
  <c r="B14061" i="1"/>
  <c r="A14061" i="1"/>
  <c r="D5916" i="1"/>
  <c r="B5916" i="1"/>
  <c r="A5916" i="1"/>
  <c r="D16502" i="1"/>
  <c r="B16502" i="1"/>
  <c r="A16502" i="1"/>
  <c r="D14435" i="1"/>
  <c r="B14435" i="1"/>
  <c r="A14435" i="1"/>
  <c r="D13662" i="1"/>
  <c r="C13662" i="1"/>
  <c r="B13662" i="1"/>
  <c r="A13662" i="1"/>
  <c r="D13426" i="1"/>
  <c r="B13426" i="1"/>
  <c r="A13426" i="1"/>
  <c r="D13291" i="1"/>
  <c r="B13291" i="1"/>
  <c r="A13291" i="1"/>
  <c r="D14198" i="1"/>
  <c r="B14198" i="1"/>
  <c r="A14198" i="1"/>
  <c r="D8285" i="1"/>
  <c r="B8285" i="1"/>
  <c r="A8285" i="1"/>
  <c r="D12779" i="1"/>
  <c r="B12779" i="1"/>
  <c r="A12779" i="1"/>
  <c r="D8916" i="1"/>
  <c r="C8916" i="1"/>
  <c r="B8916" i="1"/>
  <c r="A8916" i="1"/>
  <c r="D18022" i="1"/>
  <c r="C18022" i="1"/>
  <c r="B18022" i="1"/>
  <c r="A18022" i="1"/>
  <c r="D11415" i="1"/>
  <c r="B11415" i="1"/>
  <c r="A11415" i="1"/>
  <c r="D13254" i="1"/>
  <c r="B13254" i="1"/>
  <c r="A13254" i="1"/>
  <c r="D11626" i="1"/>
  <c r="C11626" i="1"/>
  <c r="B11626" i="1"/>
  <c r="A11626" i="1"/>
  <c r="D11216" i="1"/>
  <c r="C11216" i="1"/>
  <c r="B11216" i="1"/>
  <c r="A11216" i="1"/>
  <c r="D8561" i="1"/>
  <c r="B8561" i="1"/>
  <c r="A8561" i="1"/>
  <c r="D8531" i="1"/>
  <c r="C8531" i="1"/>
  <c r="B8531" i="1"/>
  <c r="A8531" i="1"/>
  <c r="D11159" i="1"/>
  <c r="B11159" i="1"/>
  <c r="A11159" i="1"/>
  <c r="D6040" i="1"/>
  <c r="B6040" i="1"/>
  <c r="A6040" i="1"/>
  <c r="D17025" i="1"/>
  <c r="B17025" i="1"/>
  <c r="A17025" i="1"/>
  <c r="D12839" i="1"/>
  <c r="B12839" i="1"/>
  <c r="A12839" i="1"/>
  <c r="D15457" i="1"/>
  <c r="B15457" i="1"/>
  <c r="A15457" i="1"/>
  <c r="D13699" i="1"/>
  <c r="C13699" i="1"/>
  <c r="B13699" i="1"/>
  <c r="A13699" i="1"/>
  <c r="D13336" i="1"/>
  <c r="B13336" i="1"/>
  <c r="A13336" i="1"/>
  <c r="D6088" i="1"/>
  <c r="B6088" i="1"/>
  <c r="A6088" i="1"/>
  <c r="D18502" i="1"/>
  <c r="B18502" i="1"/>
  <c r="A18502" i="1"/>
  <c r="D16497" i="1"/>
  <c r="B16497" i="1"/>
  <c r="A16497" i="1"/>
  <c r="D16740" i="1"/>
  <c r="B16740" i="1"/>
  <c r="A16740" i="1"/>
  <c r="D16015" i="1"/>
  <c r="B16015" i="1"/>
  <c r="A16015" i="1"/>
  <c r="D18797" i="1"/>
  <c r="B18797" i="1"/>
  <c r="A18797" i="1"/>
  <c r="D8478" i="1"/>
  <c r="B8478" i="1"/>
  <c r="A8478" i="1"/>
  <c r="D7296" i="1"/>
  <c r="C7296" i="1"/>
  <c r="B7296" i="1"/>
  <c r="A7296" i="1"/>
  <c r="D8582" i="1"/>
  <c r="C8582" i="1"/>
  <c r="B8582" i="1"/>
  <c r="A8582" i="1"/>
  <c r="D7364" i="1"/>
  <c r="C7364" i="1"/>
  <c r="B7364" i="1"/>
  <c r="A7364" i="1"/>
  <c r="D18564" i="1"/>
  <c r="B18564" i="1"/>
  <c r="A18564" i="1"/>
  <c r="D11087" i="1"/>
  <c r="C11087" i="1"/>
  <c r="B11087" i="1"/>
  <c r="A11087" i="1"/>
  <c r="D13975" i="1"/>
  <c r="C13975" i="1"/>
  <c r="B13975" i="1"/>
  <c r="A13975" i="1"/>
  <c r="D14529" i="1"/>
  <c r="B14529" i="1"/>
  <c r="A14529" i="1"/>
  <c r="D13172" i="1"/>
  <c r="B13172" i="1"/>
  <c r="A13172" i="1"/>
  <c r="D6719" i="1"/>
  <c r="B6719" i="1"/>
  <c r="A6719" i="1"/>
  <c r="D8535" i="1"/>
  <c r="C8535" i="1"/>
  <c r="B8535" i="1"/>
  <c r="A8535" i="1"/>
  <c r="D17487" i="1"/>
  <c r="B17487" i="1"/>
  <c r="A17487" i="1"/>
  <c r="D12172" i="1"/>
  <c r="B12172" i="1"/>
  <c r="A12172" i="1"/>
  <c r="D13120" i="1"/>
  <c r="C13120" i="1"/>
  <c r="B13120" i="1"/>
  <c r="A13120" i="1"/>
  <c r="D17846" i="1"/>
  <c r="C17846" i="1"/>
  <c r="B17846" i="1"/>
  <c r="A17846" i="1"/>
  <c r="D7464" i="1"/>
  <c r="B7464" i="1"/>
  <c r="A7464" i="1"/>
  <c r="D8608" i="1"/>
  <c r="B8608" i="1"/>
  <c r="A8608" i="1"/>
  <c r="D7500" i="1"/>
  <c r="C7500" i="1"/>
  <c r="B7500" i="1"/>
  <c r="A7500" i="1"/>
  <c r="D14068" i="1"/>
  <c r="C14068" i="1"/>
  <c r="B14068" i="1"/>
  <c r="A14068" i="1"/>
  <c r="D13328" i="1"/>
  <c r="B13328" i="1"/>
  <c r="A13328" i="1"/>
  <c r="D11811" i="1"/>
  <c r="C11811" i="1"/>
  <c r="B11811" i="1"/>
  <c r="A11811" i="1"/>
  <c r="D8890" i="1"/>
  <c r="C8890" i="1"/>
  <c r="B8890" i="1"/>
  <c r="A8890" i="1"/>
  <c r="D16817" i="1"/>
  <c r="C16817" i="1"/>
  <c r="B16817" i="1"/>
  <c r="A16817" i="1"/>
  <c r="D9347" i="1"/>
  <c r="B9347" i="1"/>
  <c r="A9347" i="1"/>
  <c r="D18224" i="1"/>
  <c r="C18224" i="1"/>
  <c r="B18224" i="1"/>
  <c r="A18224" i="1"/>
  <c r="D13160" i="1"/>
  <c r="B13160" i="1"/>
  <c r="A13160" i="1"/>
  <c r="D13429" i="1"/>
  <c r="B13429" i="1"/>
  <c r="A13429" i="1"/>
  <c r="D9594" i="1"/>
  <c r="C9594" i="1"/>
  <c r="B9594" i="1"/>
  <c r="A9594" i="1"/>
  <c r="D11998" i="1"/>
  <c r="B11998" i="1"/>
  <c r="A11998" i="1"/>
  <c r="D6034" i="1"/>
  <c r="B6034" i="1"/>
  <c r="A6034" i="1"/>
  <c r="D5961" i="1"/>
  <c r="C5961" i="1"/>
  <c r="B5961" i="1"/>
  <c r="A5961" i="1"/>
  <c r="D12857" i="1"/>
  <c r="B12857" i="1"/>
  <c r="A12857" i="1"/>
  <c r="D16756" i="1"/>
  <c r="B16756" i="1"/>
  <c r="A16756" i="1"/>
  <c r="D13084" i="1"/>
  <c r="C13084" i="1"/>
  <c r="B13084" i="1"/>
  <c r="A13084" i="1"/>
  <c r="D13759" i="1"/>
  <c r="B13759" i="1"/>
  <c r="A13759" i="1"/>
  <c r="D10014" i="1"/>
  <c r="C10014" i="1"/>
  <c r="B10014" i="1"/>
  <c r="A10014" i="1"/>
  <c r="D16816" i="1"/>
  <c r="C16816" i="1"/>
  <c r="B16816" i="1"/>
  <c r="A16816" i="1"/>
  <c r="D7109" i="1"/>
  <c r="B7109" i="1"/>
  <c r="A7109" i="1"/>
  <c r="D6774" i="1"/>
  <c r="B6774" i="1"/>
  <c r="A6774" i="1"/>
  <c r="D13427" i="1"/>
  <c r="C13427" i="1"/>
  <c r="B13427" i="1"/>
  <c r="A13427" i="1"/>
  <c r="D8308" i="1"/>
  <c r="B8308" i="1"/>
  <c r="A8308" i="1"/>
  <c r="D16989" i="1"/>
  <c r="C16989" i="1"/>
  <c r="B16989" i="1"/>
  <c r="A16989" i="1"/>
  <c r="D12746" i="1"/>
  <c r="B12746" i="1"/>
  <c r="A12746" i="1"/>
  <c r="D16069" i="1"/>
  <c r="C16069" i="1"/>
  <c r="B16069" i="1"/>
  <c r="A16069" i="1"/>
  <c r="D8886" i="1"/>
  <c r="B8886" i="1"/>
  <c r="A8886" i="1"/>
  <c r="D8328" i="1"/>
  <c r="B8328" i="1"/>
  <c r="A8328" i="1"/>
  <c r="D14415" i="1"/>
  <c r="B14415" i="1"/>
  <c r="A14415" i="1"/>
  <c r="D12025" i="1"/>
  <c r="B12025" i="1"/>
  <c r="A12025" i="1"/>
  <c r="D18495" i="1"/>
  <c r="B18495" i="1"/>
  <c r="A18495" i="1"/>
  <c r="D6839" i="1"/>
  <c r="B6839" i="1"/>
  <c r="A6839" i="1"/>
  <c r="D14236" i="1"/>
  <c r="B14236" i="1"/>
  <c r="A14236" i="1"/>
  <c r="D14646" i="1"/>
  <c r="B14646" i="1"/>
  <c r="A14646" i="1"/>
  <c r="D13341" i="1"/>
  <c r="B13341" i="1"/>
  <c r="A13341" i="1"/>
  <c r="D13604" i="1"/>
  <c r="C13604" i="1"/>
  <c r="B13604" i="1"/>
  <c r="A13604" i="1"/>
  <c r="D8414" i="1"/>
  <c r="C8414" i="1"/>
  <c r="B8414" i="1"/>
  <c r="A8414" i="1"/>
  <c r="D13010" i="1"/>
  <c r="C13010" i="1"/>
  <c r="B13010" i="1"/>
  <c r="A13010" i="1"/>
  <c r="D16360" i="1"/>
  <c r="B16360" i="1"/>
  <c r="A16360" i="1"/>
  <c r="D11406" i="1"/>
  <c r="C11406" i="1"/>
  <c r="B11406" i="1"/>
  <c r="A11406" i="1"/>
  <c r="D6953" i="1"/>
  <c r="B6953" i="1"/>
  <c r="A6953" i="1"/>
  <c r="D9431" i="1"/>
  <c r="B9431" i="1"/>
  <c r="A9431" i="1"/>
  <c r="D17734" i="1"/>
  <c r="B17734" i="1"/>
  <c r="A17734" i="1"/>
  <c r="D16009" i="1"/>
  <c r="B16009" i="1"/>
  <c r="A16009" i="1"/>
  <c r="D12723" i="1"/>
  <c r="B12723" i="1"/>
  <c r="A12723" i="1"/>
  <c r="D12852" i="1"/>
  <c r="B12852" i="1"/>
  <c r="A12852" i="1"/>
  <c r="D18661" i="1"/>
  <c r="B18661" i="1"/>
  <c r="A18661" i="1"/>
  <c r="D6198" i="1"/>
  <c r="B6198" i="1"/>
  <c r="A6198" i="1"/>
  <c r="D9849" i="1"/>
  <c r="B9849" i="1"/>
  <c r="A9849" i="1"/>
  <c r="D11540" i="1"/>
  <c r="B11540" i="1"/>
  <c r="A11540" i="1"/>
  <c r="D6092" i="1"/>
  <c r="C6092" i="1"/>
  <c r="B6092" i="1"/>
  <c r="A6092" i="1"/>
  <c r="D17348" i="1"/>
  <c r="B17348" i="1"/>
  <c r="A17348" i="1"/>
  <c r="D16191" i="1"/>
  <c r="B16191" i="1"/>
  <c r="A16191" i="1"/>
  <c r="D9890" i="1"/>
  <c r="B9890" i="1"/>
  <c r="A9890" i="1"/>
  <c r="D12164" i="1"/>
  <c r="B12164" i="1"/>
  <c r="A12164" i="1"/>
  <c r="D10815" i="1"/>
  <c r="B10815" i="1"/>
  <c r="A10815" i="1"/>
  <c r="D6219" i="1"/>
  <c r="B6219" i="1"/>
  <c r="A6219" i="1"/>
  <c r="D13958" i="1"/>
  <c r="B13958" i="1"/>
  <c r="A13958" i="1"/>
  <c r="D6671" i="1"/>
  <c r="C6671" i="1"/>
  <c r="B6671" i="1"/>
  <c r="A6671" i="1"/>
  <c r="D9061" i="1"/>
  <c r="B9061" i="1"/>
  <c r="A9061" i="1"/>
  <c r="D11187" i="1"/>
  <c r="B11187" i="1"/>
  <c r="A11187" i="1"/>
  <c r="D16721" i="1"/>
  <c r="C16721" i="1"/>
  <c r="B16721" i="1"/>
  <c r="A16721" i="1"/>
  <c r="D15692" i="1"/>
  <c r="B15692" i="1"/>
  <c r="A15692" i="1"/>
  <c r="D12330" i="1"/>
  <c r="C12330" i="1"/>
  <c r="B12330" i="1"/>
  <c r="A12330" i="1"/>
  <c r="D10158" i="1"/>
  <c r="B10158" i="1"/>
  <c r="A10158" i="1"/>
  <c r="D13646" i="1"/>
  <c r="B13646" i="1"/>
  <c r="A13646" i="1"/>
  <c r="D15138" i="1"/>
  <c r="C15138" i="1"/>
  <c r="B15138" i="1"/>
  <c r="A15138" i="1"/>
  <c r="D14403" i="1"/>
  <c r="B14403" i="1"/>
  <c r="A14403" i="1"/>
  <c r="D13232" i="1"/>
  <c r="B13232" i="1"/>
  <c r="A13232" i="1"/>
  <c r="D10845" i="1"/>
  <c r="B10845" i="1"/>
  <c r="A10845" i="1"/>
  <c r="D13122" i="1"/>
  <c r="B13122" i="1"/>
  <c r="A13122" i="1"/>
  <c r="D6008" i="1"/>
  <c r="B6008" i="1"/>
  <c r="A6008" i="1"/>
  <c r="D16519" i="1"/>
  <c r="B16519" i="1"/>
  <c r="A16519" i="1"/>
  <c r="D7615" i="1"/>
  <c r="B7615" i="1"/>
  <c r="A7615" i="1"/>
  <c r="D16660" i="1"/>
  <c r="B16660" i="1"/>
  <c r="A16660" i="1"/>
  <c r="D13219" i="1"/>
  <c r="B13219" i="1"/>
  <c r="A13219" i="1"/>
  <c r="D13236" i="1"/>
  <c r="B13236" i="1"/>
  <c r="A13236" i="1"/>
  <c r="D14214" i="1"/>
  <c r="B14214" i="1"/>
  <c r="A14214" i="1"/>
  <c r="D10668" i="1"/>
  <c r="B10668" i="1"/>
  <c r="A10668" i="1"/>
  <c r="D17053" i="1"/>
  <c r="B17053" i="1"/>
  <c r="A17053" i="1"/>
  <c r="D18154" i="1"/>
  <c r="B18154" i="1"/>
  <c r="A18154" i="1"/>
  <c r="D6126" i="1"/>
  <c r="B6126" i="1"/>
  <c r="A6126" i="1"/>
  <c r="D16763" i="1"/>
  <c r="B16763" i="1"/>
  <c r="A16763" i="1"/>
  <c r="D18213" i="1"/>
  <c r="B18213" i="1"/>
  <c r="A18213" i="1"/>
  <c r="D8518" i="1"/>
  <c r="B8518" i="1"/>
  <c r="A8518" i="1"/>
  <c r="D18739" i="1"/>
  <c r="C18739" i="1"/>
  <c r="B18739" i="1"/>
  <c r="A18739" i="1"/>
  <c r="D11284" i="1"/>
  <c r="B11284" i="1"/>
  <c r="A11284" i="1"/>
  <c r="D8800" i="1"/>
  <c r="B8800" i="1"/>
  <c r="A8800" i="1"/>
  <c r="D6441" i="1"/>
  <c r="C6441" i="1"/>
  <c r="B6441" i="1"/>
  <c r="A6441" i="1"/>
  <c r="D11608" i="1"/>
  <c r="C11608" i="1"/>
  <c r="B11608" i="1"/>
  <c r="A11608" i="1"/>
  <c r="D8484" i="1"/>
  <c r="B8484" i="1"/>
  <c r="A8484" i="1"/>
  <c r="D6109" i="1"/>
  <c r="C6109" i="1"/>
  <c r="B6109" i="1"/>
  <c r="A6109" i="1"/>
  <c r="D15833" i="1"/>
  <c r="B15833" i="1"/>
  <c r="A15833" i="1"/>
  <c r="D13624" i="1"/>
  <c r="C13624" i="1"/>
  <c r="B13624" i="1"/>
  <c r="A13624" i="1"/>
  <c r="D14268" i="1"/>
  <c r="C14268" i="1"/>
  <c r="B14268" i="1"/>
  <c r="A14268" i="1"/>
  <c r="D18511" i="1"/>
  <c r="B18511" i="1"/>
  <c r="A18511" i="1"/>
  <c r="D16406" i="1"/>
  <c r="B16406" i="1"/>
  <c r="A16406" i="1"/>
  <c r="D13555" i="1"/>
  <c r="B13555" i="1"/>
  <c r="A13555" i="1"/>
  <c r="D5897" i="1"/>
  <c r="C5897" i="1"/>
  <c r="B5897" i="1"/>
  <c r="A5897" i="1"/>
  <c r="D16291" i="1"/>
  <c r="C16291" i="1"/>
  <c r="B16291" i="1"/>
  <c r="A16291" i="1"/>
  <c r="D12357" i="1"/>
  <c r="B12357" i="1"/>
  <c r="A12357" i="1"/>
  <c r="D17850" i="1"/>
  <c r="C17850" i="1"/>
  <c r="B17850" i="1"/>
  <c r="A17850" i="1"/>
  <c r="D7692" i="1"/>
  <c r="B7692" i="1"/>
  <c r="A7692" i="1"/>
  <c r="D16731" i="1"/>
  <c r="B16731" i="1"/>
  <c r="A16731" i="1"/>
  <c r="D13300" i="1"/>
  <c r="B13300" i="1"/>
  <c r="A13300" i="1"/>
  <c r="D10759" i="1"/>
  <c r="B10759" i="1"/>
  <c r="A10759" i="1"/>
  <c r="D6423" i="1"/>
  <c r="B6423" i="1"/>
  <c r="A6423" i="1"/>
  <c r="D16370" i="1"/>
  <c r="B16370" i="1"/>
  <c r="A16370" i="1"/>
  <c r="D13577" i="1"/>
  <c r="B13577" i="1"/>
  <c r="A13577" i="1"/>
  <c r="D11335" i="1"/>
  <c r="B11335" i="1"/>
  <c r="A11335" i="1"/>
  <c r="D14738" i="1"/>
  <c r="B14738" i="1"/>
  <c r="A14738" i="1"/>
  <c r="D8359" i="1"/>
  <c r="B8359" i="1"/>
  <c r="A8359" i="1"/>
  <c r="D5880" i="1"/>
  <c r="C5880" i="1"/>
  <c r="B5880" i="1"/>
  <c r="A5880" i="1"/>
  <c r="D13829" i="1"/>
  <c r="B13829" i="1"/>
  <c r="A13829" i="1"/>
  <c r="D13762" i="1"/>
  <c r="B13762" i="1"/>
  <c r="A13762" i="1"/>
  <c r="D14732" i="1"/>
  <c r="B14732" i="1"/>
  <c r="A14732" i="1"/>
  <c r="D17102" i="1"/>
  <c r="C17102" i="1"/>
  <c r="B17102" i="1"/>
  <c r="A17102" i="1"/>
  <c r="D9029" i="1"/>
  <c r="B9029" i="1"/>
  <c r="A9029" i="1"/>
  <c r="D11083" i="1"/>
  <c r="B11083" i="1"/>
  <c r="A11083" i="1"/>
  <c r="D18538" i="1"/>
  <c r="B18538" i="1"/>
  <c r="A18538" i="1"/>
  <c r="D16542" i="1"/>
  <c r="C16542" i="1"/>
  <c r="B16542" i="1"/>
  <c r="A16542" i="1"/>
  <c r="D10107" i="1"/>
  <c r="B10107" i="1"/>
  <c r="A10107" i="1"/>
  <c r="D13327" i="1"/>
  <c r="B13327" i="1"/>
  <c r="A13327" i="1"/>
  <c r="D8017" i="1"/>
  <c r="B8017" i="1"/>
  <c r="A8017" i="1"/>
  <c r="D18215" i="1"/>
  <c r="C18215" i="1"/>
  <c r="B18215" i="1"/>
  <c r="A18215" i="1"/>
  <c r="D6343" i="1"/>
  <c r="B6343" i="1"/>
  <c r="A6343" i="1"/>
  <c r="D13736" i="1"/>
  <c r="C13736" i="1"/>
  <c r="B13736" i="1"/>
  <c r="A13736" i="1"/>
  <c r="D8170" i="1"/>
  <c r="C8170" i="1"/>
  <c r="B8170" i="1"/>
  <c r="A8170" i="1"/>
  <c r="D8692" i="1"/>
  <c r="B8692" i="1"/>
  <c r="A8692" i="1"/>
  <c r="D9261" i="1"/>
  <c r="B9261" i="1"/>
  <c r="A9261" i="1"/>
  <c r="D15731" i="1"/>
  <c r="B15731" i="1"/>
  <c r="A15731" i="1"/>
  <c r="D14394" i="1"/>
  <c r="B14394" i="1"/>
  <c r="A14394" i="1"/>
  <c r="D10313" i="1"/>
  <c r="B10313" i="1"/>
  <c r="A10313" i="1"/>
  <c r="D13691" i="1"/>
  <c r="C13691" i="1"/>
  <c r="B13691" i="1"/>
  <c r="A13691" i="1"/>
  <c r="D6173" i="1"/>
  <c r="C6173" i="1"/>
  <c r="B6173" i="1"/>
  <c r="A6173" i="1"/>
  <c r="D8932" i="1"/>
  <c r="B8932" i="1"/>
  <c r="A8932" i="1"/>
  <c r="D16400" i="1"/>
  <c r="B16400" i="1"/>
  <c r="A16400" i="1"/>
  <c r="D11592" i="1"/>
  <c r="B11592" i="1"/>
  <c r="A11592" i="1"/>
  <c r="D11554" i="1"/>
  <c r="C11554" i="1"/>
  <c r="B11554" i="1"/>
  <c r="A11554" i="1"/>
  <c r="D17720" i="1"/>
  <c r="B17720" i="1"/>
  <c r="A17720" i="1"/>
  <c r="D14113" i="1"/>
  <c r="B14113" i="1"/>
  <c r="A14113" i="1"/>
  <c r="D11408" i="1"/>
  <c r="C11408" i="1"/>
  <c r="B11408" i="1"/>
  <c r="A11408" i="1"/>
  <c r="D18350" i="1"/>
  <c r="B18350" i="1"/>
  <c r="A18350" i="1"/>
  <c r="D7950" i="1"/>
  <c r="B7950" i="1"/>
  <c r="A7950" i="1"/>
  <c r="D6334" i="1"/>
  <c r="B6334" i="1"/>
  <c r="A6334" i="1"/>
  <c r="D6688" i="1"/>
  <c r="B6688" i="1"/>
  <c r="A6688" i="1"/>
  <c r="D13737" i="1"/>
  <c r="C13737" i="1"/>
  <c r="B13737" i="1"/>
  <c r="A13737" i="1"/>
  <c r="D6326" i="1"/>
  <c r="C6326" i="1"/>
  <c r="B6326" i="1"/>
  <c r="A6326" i="1"/>
  <c r="D13342" i="1"/>
  <c r="B13342" i="1"/>
  <c r="A13342" i="1"/>
  <c r="D14460" i="1"/>
  <c r="C14460" i="1"/>
  <c r="B14460" i="1"/>
  <c r="A14460" i="1"/>
  <c r="D9309" i="1"/>
  <c r="B9309" i="1"/>
  <c r="A9309" i="1"/>
  <c r="D12722" i="1"/>
  <c r="B12722" i="1"/>
  <c r="A12722" i="1"/>
  <c r="D8615" i="1"/>
  <c r="B8615" i="1"/>
  <c r="A8615" i="1"/>
  <c r="D13530" i="1"/>
  <c r="C13530" i="1"/>
  <c r="B13530" i="1"/>
  <c r="A13530" i="1"/>
  <c r="D9459" i="1"/>
  <c r="B9459" i="1"/>
  <c r="A9459" i="1"/>
  <c r="D16815" i="1"/>
  <c r="C16815" i="1"/>
  <c r="B16815" i="1"/>
  <c r="A16815" i="1"/>
  <c r="D11644" i="1"/>
  <c r="B11644" i="1"/>
  <c r="A11644" i="1"/>
  <c r="D16902" i="1"/>
  <c r="B16902" i="1"/>
  <c r="A16902" i="1"/>
  <c r="D13945" i="1"/>
  <c r="B13945" i="1"/>
  <c r="A13945" i="1"/>
  <c r="D18191" i="1"/>
  <c r="B18191" i="1"/>
  <c r="A18191" i="1"/>
  <c r="D18240" i="1"/>
  <c r="A18240" i="1"/>
  <c r="D9429" i="1"/>
  <c r="B9429" i="1"/>
  <c r="A9429" i="1"/>
  <c r="D14026" i="1"/>
  <c r="B14026" i="1"/>
  <c r="A14026" i="1"/>
  <c r="D16795" i="1"/>
  <c r="B16795" i="1"/>
  <c r="A16795" i="1"/>
  <c r="D7812" i="1"/>
  <c r="B7812" i="1"/>
  <c r="A7812" i="1"/>
  <c r="D15443" i="1"/>
  <c r="B15443" i="1"/>
  <c r="A15443" i="1"/>
  <c r="D18624" i="1"/>
  <c r="B18624" i="1"/>
  <c r="A18624" i="1"/>
  <c r="D16800" i="1"/>
  <c r="C16800" i="1"/>
  <c r="B16800" i="1"/>
  <c r="A16800" i="1"/>
  <c r="D12846" i="1"/>
  <c r="B12846" i="1"/>
  <c r="A12846" i="1"/>
  <c r="D11547" i="1"/>
  <c r="C11547" i="1"/>
  <c r="B11547" i="1"/>
  <c r="A11547" i="1"/>
  <c r="D14357" i="1"/>
  <c r="C14357" i="1"/>
  <c r="B14357" i="1"/>
  <c r="A14357" i="1"/>
  <c r="D12510" i="1"/>
  <c r="A12510" i="1"/>
  <c r="D6099" i="1"/>
  <c r="C6099" i="1"/>
  <c r="B6099" i="1"/>
  <c r="A6099" i="1"/>
  <c r="D12189" i="1"/>
  <c r="B12189" i="1"/>
  <c r="A12189" i="1"/>
  <c r="D14221" i="1"/>
  <c r="B14221" i="1"/>
  <c r="A14221" i="1"/>
  <c r="D16366" i="1"/>
  <c r="B16366" i="1"/>
  <c r="A16366" i="1"/>
  <c r="D9997" i="1"/>
  <c r="A9997" i="1"/>
  <c r="D13455" i="1"/>
  <c r="B13455" i="1"/>
  <c r="A13455" i="1"/>
  <c r="D7826" i="1"/>
  <c r="C7826" i="1"/>
  <c r="B7826" i="1"/>
  <c r="A7826" i="1"/>
  <c r="D14724" i="1"/>
  <c r="A14724" i="1"/>
  <c r="D12170" i="1"/>
  <c r="C12170" i="1"/>
  <c r="B12170" i="1"/>
  <c r="A12170" i="1"/>
  <c r="D8378" i="1"/>
  <c r="B8378" i="1"/>
  <c r="A8378" i="1"/>
  <c r="D16806" i="1"/>
  <c r="C16806" i="1"/>
  <c r="B16806" i="1"/>
  <c r="A16806" i="1"/>
  <c r="D7699" i="1"/>
  <c r="B7699" i="1"/>
  <c r="A7699" i="1"/>
  <c r="D10410" i="1"/>
  <c r="B10410" i="1"/>
  <c r="A10410" i="1"/>
  <c r="D6866" i="1"/>
  <c r="B6866" i="1"/>
  <c r="A6866" i="1"/>
  <c r="D11823" i="1"/>
  <c r="B11823" i="1"/>
  <c r="A11823" i="1"/>
  <c r="D8632" i="1"/>
  <c r="B8632" i="1"/>
  <c r="A8632" i="1"/>
  <c r="D11849" i="1"/>
  <c r="B11849" i="1"/>
  <c r="A11849" i="1"/>
  <c r="D9203" i="1"/>
  <c r="B9203" i="1"/>
  <c r="A9203" i="1"/>
  <c r="D11673" i="1"/>
  <c r="C11673" i="1"/>
  <c r="B11673" i="1"/>
  <c r="A11673" i="1"/>
  <c r="D16825" i="1"/>
  <c r="B16825" i="1"/>
  <c r="A16825" i="1"/>
  <c r="D6022" i="1"/>
  <c r="C6022" i="1"/>
  <c r="B6022" i="1"/>
  <c r="A6022" i="1"/>
  <c r="D13592" i="1"/>
  <c r="B13592" i="1"/>
  <c r="A13592" i="1"/>
  <c r="D13147" i="1"/>
  <c r="B13147" i="1"/>
  <c r="A13147" i="1"/>
  <c r="D18257" i="1"/>
  <c r="B18257" i="1"/>
  <c r="A18257" i="1"/>
  <c r="D13522" i="1"/>
  <c r="B13522" i="1"/>
  <c r="A13522" i="1"/>
  <c r="D17086" i="1"/>
  <c r="B17086" i="1"/>
  <c r="A17086" i="1"/>
  <c r="D8818" i="1"/>
  <c r="C8818" i="1"/>
  <c r="B8818" i="1"/>
  <c r="A8818" i="1"/>
  <c r="D13973" i="1"/>
  <c r="C13973" i="1"/>
  <c r="B13973" i="1"/>
  <c r="A13973" i="1"/>
  <c r="D13234" i="1"/>
  <c r="B13234" i="1"/>
  <c r="A13234" i="1"/>
  <c r="D14505" i="1"/>
  <c r="C14505" i="1"/>
  <c r="B14505" i="1"/>
  <c r="A14505" i="1"/>
  <c r="D18221" i="1"/>
  <c r="B18221" i="1"/>
  <c r="A18221" i="1"/>
  <c r="D17444" i="1"/>
  <c r="B17444" i="1"/>
  <c r="A17444" i="1"/>
  <c r="D11588" i="1"/>
  <c r="C11588" i="1"/>
  <c r="B11588" i="1"/>
  <c r="A11588" i="1"/>
  <c r="D14467" i="1"/>
  <c r="B14467" i="1"/>
  <c r="A14467" i="1"/>
  <c r="D8778" i="1"/>
  <c r="C8778" i="1"/>
  <c r="B8778" i="1"/>
  <c r="A8778" i="1"/>
  <c r="D11199" i="1"/>
  <c r="B11199" i="1"/>
  <c r="A11199" i="1"/>
  <c r="D6376" i="1"/>
  <c r="C6376" i="1"/>
  <c r="B6376" i="1"/>
  <c r="A6376" i="1"/>
  <c r="D7138" i="1"/>
  <c r="C7138" i="1"/>
  <c r="B7138" i="1"/>
  <c r="A7138" i="1"/>
  <c r="D9913" i="1"/>
  <c r="B9913" i="1"/>
  <c r="A9913" i="1"/>
  <c r="D13335" i="1"/>
  <c r="B13335" i="1"/>
  <c r="A13335" i="1"/>
  <c r="D11206" i="1"/>
  <c r="C11206" i="1"/>
  <c r="B11206" i="1"/>
  <c r="A11206" i="1"/>
  <c r="D8521" i="1"/>
  <c r="B8521" i="1"/>
  <c r="A8521" i="1"/>
  <c r="D12518" i="1"/>
  <c r="C12518" i="1"/>
  <c r="B12518" i="1"/>
  <c r="A12518" i="1"/>
  <c r="D10141" i="1"/>
  <c r="B10141" i="1"/>
  <c r="A10141" i="1"/>
  <c r="D13780" i="1"/>
  <c r="B13780" i="1"/>
  <c r="A13780" i="1"/>
  <c r="D18305" i="1"/>
  <c r="B18305" i="1"/>
  <c r="A18305" i="1"/>
  <c r="D12961" i="1"/>
  <c r="B12961" i="1"/>
  <c r="A12961" i="1"/>
  <c r="D13189" i="1"/>
  <c r="B13189" i="1"/>
  <c r="A13189" i="1"/>
  <c r="D14242" i="1"/>
  <c r="B14242" i="1"/>
  <c r="A14242" i="1"/>
  <c r="D16621" i="1"/>
  <c r="B16621" i="1"/>
  <c r="A16621" i="1"/>
  <c r="D11121" i="1"/>
  <c r="C11121" i="1"/>
  <c r="B11121" i="1"/>
  <c r="A11121" i="1"/>
  <c r="D17077" i="1"/>
  <c r="C17077" i="1"/>
  <c r="B17077" i="1"/>
  <c r="A17077" i="1"/>
  <c r="D11141" i="1"/>
  <c r="B11141" i="1"/>
  <c r="A11141" i="1"/>
  <c r="D16747" i="1"/>
  <c r="B16747" i="1"/>
  <c r="A16747" i="1"/>
  <c r="D8791" i="1"/>
  <c r="B8791" i="1"/>
  <c r="A8791" i="1"/>
  <c r="D7590" i="1"/>
  <c r="C7590" i="1"/>
  <c r="B7590" i="1"/>
  <c r="A7590" i="1"/>
  <c r="D6042" i="1"/>
  <c r="B6042" i="1"/>
  <c r="A6042" i="1"/>
  <c r="D12254" i="1"/>
  <c r="C12254" i="1"/>
  <c r="B12254" i="1"/>
  <c r="A12254" i="1"/>
  <c r="D8001" i="1"/>
  <c r="B8001" i="1"/>
  <c r="A8001" i="1"/>
  <c r="D11130" i="1"/>
  <c r="C11130" i="1"/>
  <c r="B11130" i="1"/>
  <c r="A11130" i="1"/>
  <c r="D9578" i="1"/>
  <c r="C9578" i="1"/>
  <c r="B9578" i="1"/>
  <c r="A9578" i="1"/>
  <c r="D8545" i="1"/>
  <c r="B8545" i="1"/>
  <c r="A8545" i="1"/>
  <c r="D13389" i="1"/>
  <c r="B13389" i="1"/>
  <c r="A13389" i="1"/>
  <c r="D12938" i="1"/>
  <c r="C12938" i="1"/>
  <c r="B12938" i="1"/>
  <c r="A12938" i="1"/>
  <c r="D8220" i="1"/>
  <c r="B8220" i="1"/>
  <c r="A8220" i="1"/>
  <c r="D13906" i="1"/>
  <c r="B13906" i="1"/>
  <c r="A13906" i="1"/>
  <c r="D16673" i="1"/>
  <c r="C16673" i="1"/>
  <c r="B16673" i="1"/>
  <c r="A16673" i="1"/>
  <c r="D14551" i="1"/>
  <c r="B14551" i="1"/>
  <c r="A14551" i="1"/>
  <c r="D6292" i="1"/>
  <c r="B6292" i="1"/>
  <c r="A6292" i="1"/>
  <c r="D13177" i="1"/>
  <c r="B13177" i="1"/>
  <c r="A13177" i="1"/>
  <c r="D8967" i="1"/>
  <c r="B8967" i="1"/>
  <c r="A8967" i="1"/>
  <c r="D8572" i="1"/>
  <c r="B8572" i="1"/>
  <c r="A8572" i="1"/>
  <c r="D8625" i="1"/>
  <c r="C8625" i="1"/>
  <c r="B8625" i="1"/>
  <c r="A8625" i="1"/>
  <c r="D16571" i="1"/>
  <c r="B16571" i="1"/>
  <c r="A16571" i="1"/>
  <c r="D18719" i="1"/>
  <c r="C18719" i="1"/>
  <c r="B18719" i="1"/>
  <c r="A18719" i="1"/>
  <c r="D9740" i="1"/>
  <c r="B9740" i="1"/>
  <c r="A9740" i="1"/>
  <c r="D14240" i="1"/>
  <c r="B14240" i="1"/>
  <c r="A14240" i="1"/>
  <c r="D13483" i="1"/>
  <c r="C13483" i="1"/>
  <c r="B13483" i="1"/>
  <c r="A13483" i="1"/>
  <c r="D14568" i="1"/>
  <c r="B14568" i="1"/>
  <c r="A14568" i="1"/>
  <c r="D10468" i="1"/>
  <c r="B10468" i="1"/>
  <c r="A10468" i="1"/>
  <c r="D10617" i="1"/>
  <c r="B10617" i="1"/>
  <c r="A10617" i="1"/>
  <c r="D17046" i="1"/>
  <c r="B17046" i="1"/>
  <c r="A17046" i="1"/>
  <c r="D14513" i="1"/>
  <c r="C14513" i="1"/>
  <c r="B14513" i="1"/>
  <c r="A14513" i="1"/>
  <c r="D11255" i="1"/>
  <c r="B11255" i="1"/>
  <c r="A11255" i="1"/>
  <c r="D11149" i="1"/>
  <c r="B11149" i="1"/>
  <c r="A11149" i="1"/>
  <c r="D12913" i="1"/>
  <c r="B12913" i="1"/>
  <c r="A12913" i="1"/>
  <c r="D16474" i="1"/>
  <c r="B16474" i="1"/>
  <c r="A16474" i="1"/>
  <c r="D12343" i="1"/>
  <c r="B12343" i="1"/>
  <c r="A12343" i="1"/>
  <c r="D11730" i="1"/>
  <c r="B11730" i="1"/>
  <c r="A11730" i="1"/>
  <c r="D9945" i="1"/>
  <c r="B9945" i="1"/>
  <c r="A9945" i="1"/>
  <c r="D13781" i="1"/>
  <c r="B13781" i="1"/>
  <c r="A13781" i="1"/>
  <c r="D16507" i="1"/>
  <c r="C16507" i="1"/>
  <c r="B16507" i="1"/>
  <c r="A16507" i="1"/>
  <c r="D12156" i="1"/>
  <c r="B12156" i="1"/>
  <c r="A12156" i="1"/>
  <c r="D7647" i="1"/>
  <c r="B7647" i="1"/>
  <c r="A7647" i="1"/>
  <c r="D8740" i="1"/>
  <c r="B8740" i="1"/>
  <c r="A8740" i="1"/>
  <c r="D5963" i="1"/>
  <c r="B5963" i="1"/>
  <c r="A5963" i="1"/>
  <c r="D18271" i="1"/>
  <c r="C18271" i="1"/>
  <c r="B18271" i="1"/>
  <c r="A18271" i="1"/>
  <c r="D16007" i="1"/>
  <c r="B16007" i="1"/>
  <c r="A16007" i="1"/>
  <c r="D17355" i="1"/>
  <c r="B17355" i="1"/>
  <c r="A17355" i="1"/>
  <c r="D12050" i="1"/>
  <c r="B12050" i="1"/>
  <c r="A12050" i="1"/>
  <c r="D13299" i="1"/>
  <c r="B13299" i="1"/>
  <c r="A13299" i="1"/>
  <c r="D14501" i="1"/>
  <c r="C14501" i="1"/>
  <c r="B14501" i="1"/>
  <c r="A14501" i="1"/>
  <c r="D16386" i="1"/>
  <c r="B16386" i="1"/>
  <c r="A16386" i="1"/>
  <c r="D8045" i="1"/>
  <c r="B8045" i="1"/>
  <c r="A8045" i="1"/>
  <c r="D8596" i="1"/>
  <c r="C8596" i="1"/>
  <c r="B8596" i="1"/>
  <c r="A8596" i="1"/>
  <c r="D17245" i="1"/>
  <c r="B17245" i="1"/>
  <c r="A17245" i="1"/>
  <c r="D9830" i="1"/>
  <c r="B9830" i="1"/>
  <c r="A9830" i="1"/>
  <c r="D12680" i="1"/>
  <c r="B12680" i="1"/>
  <c r="A12680" i="1"/>
  <c r="D14686" i="1"/>
  <c r="C14686" i="1"/>
  <c r="B14686" i="1"/>
  <c r="A14686" i="1"/>
  <c r="D7687" i="1"/>
  <c r="B7687" i="1"/>
  <c r="A7687" i="1"/>
  <c r="D7513" i="1"/>
  <c r="B7513" i="1"/>
  <c r="A7513" i="1"/>
  <c r="D16511" i="1"/>
  <c r="B16511" i="1"/>
  <c r="A16511" i="1"/>
  <c r="D12394" i="1"/>
  <c r="C12394" i="1"/>
  <c r="B12394" i="1"/>
  <c r="A12394" i="1"/>
  <c r="D13333" i="1"/>
  <c r="B13333" i="1"/>
  <c r="A13333" i="1"/>
  <c r="D11591" i="1"/>
  <c r="C11591" i="1"/>
  <c r="B11591" i="1"/>
  <c r="A11591" i="1"/>
  <c r="D16524" i="1"/>
  <c r="C16524" i="1"/>
  <c r="B16524" i="1"/>
  <c r="A16524" i="1"/>
  <c r="D9518" i="1"/>
  <c r="C9518" i="1"/>
  <c r="B9518" i="1"/>
  <c r="A9518" i="1"/>
  <c r="D17854" i="1"/>
  <c r="B17854" i="1"/>
  <c r="A17854" i="1"/>
  <c r="D6538" i="1"/>
  <c r="B6538" i="1"/>
  <c r="A6538" i="1"/>
  <c r="D12408" i="1"/>
  <c r="C12408" i="1"/>
  <c r="B12408" i="1"/>
  <c r="A12408" i="1"/>
  <c r="D14090" i="1"/>
  <c r="B14090" i="1"/>
  <c r="A14090" i="1"/>
  <c r="D16814" i="1"/>
  <c r="C16814" i="1"/>
  <c r="B16814" i="1"/>
  <c r="A16814" i="1"/>
  <c r="D11241" i="1"/>
  <c r="B11241" i="1"/>
  <c r="A11241" i="1"/>
  <c r="D7584" i="1"/>
  <c r="C7584" i="1"/>
  <c r="B7584" i="1"/>
  <c r="A7584" i="1"/>
  <c r="D10436" i="1"/>
  <c r="B10436" i="1"/>
  <c r="A10436" i="1"/>
  <c r="D11695" i="1"/>
  <c r="C11695" i="1"/>
  <c r="B11695" i="1"/>
  <c r="A11695" i="1"/>
  <c r="D13220" i="1"/>
  <c r="B13220" i="1"/>
  <c r="A13220" i="1"/>
  <c r="D12080" i="1"/>
  <c r="B12080" i="1"/>
  <c r="A12080" i="1"/>
  <c r="D16432" i="1"/>
  <c r="B16432" i="1"/>
  <c r="A16432" i="1"/>
  <c r="D13244" i="1"/>
  <c r="B13244" i="1"/>
  <c r="A13244" i="1"/>
  <c r="D6130" i="1"/>
  <c r="A6130" i="1"/>
  <c r="D11280" i="1"/>
  <c r="C11280" i="1"/>
  <c r="B11280" i="1"/>
  <c r="A11280" i="1"/>
  <c r="D15811" i="1"/>
  <c r="B15811" i="1"/>
  <c r="A15811" i="1"/>
  <c r="D16205" i="1"/>
  <c r="B16205" i="1"/>
  <c r="A16205" i="1"/>
  <c r="D17761" i="1"/>
  <c r="B17761" i="1"/>
  <c r="A17761" i="1"/>
  <c r="D7134" i="1"/>
  <c r="B7134" i="1"/>
  <c r="A7134" i="1"/>
  <c r="D7948" i="1"/>
  <c r="B7948" i="1"/>
  <c r="A7948" i="1"/>
  <c r="D11300" i="1"/>
  <c r="C11300" i="1"/>
  <c r="B11300" i="1"/>
  <c r="A11300" i="1"/>
  <c r="D17154" i="1"/>
  <c r="B17154" i="1"/>
  <c r="A17154" i="1"/>
  <c r="D10336" i="1"/>
  <c r="B10336" i="1"/>
  <c r="A10336" i="1"/>
  <c r="D12788" i="1"/>
  <c r="C12788" i="1"/>
  <c r="B12788" i="1"/>
  <c r="A12788" i="1"/>
  <c r="D16676" i="1"/>
  <c r="B16676" i="1"/>
  <c r="A16676" i="1"/>
  <c r="D9786" i="1"/>
  <c r="B9786" i="1"/>
  <c r="A9786" i="1"/>
  <c r="D16167" i="1"/>
  <c r="B16167" i="1"/>
  <c r="A16167" i="1"/>
  <c r="D16821" i="1"/>
  <c r="B16821" i="1"/>
  <c r="A16821" i="1"/>
  <c r="D13799" i="1"/>
  <c r="B13799" i="1"/>
  <c r="A13799" i="1"/>
  <c r="D16526" i="1"/>
  <c r="B16526" i="1"/>
  <c r="A16526" i="1"/>
  <c r="D11750" i="1"/>
  <c r="B11750" i="1"/>
  <c r="A11750" i="1"/>
  <c r="D15619" i="1"/>
  <c r="B15619" i="1"/>
  <c r="A15619" i="1"/>
  <c r="D12834" i="1"/>
  <c r="C12834" i="1"/>
  <c r="B12834" i="1"/>
  <c r="A12834" i="1"/>
  <c r="D17568" i="1"/>
  <c r="C17568" i="1"/>
  <c r="B17568" i="1"/>
  <c r="A17568" i="1"/>
  <c r="D6191" i="1"/>
  <c r="B6191" i="1"/>
  <c r="A6191" i="1"/>
  <c r="D14012" i="1"/>
  <c r="B14012" i="1"/>
  <c r="A14012" i="1"/>
  <c r="D8727" i="1"/>
  <c r="C8727" i="1"/>
  <c r="B8727" i="1"/>
  <c r="A8727" i="1"/>
  <c r="D16829" i="1"/>
  <c r="B16829" i="1"/>
  <c r="A16829" i="1"/>
  <c r="D15763" i="1"/>
  <c r="A15763" i="1"/>
  <c r="D14350" i="1"/>
  <c r="C14350" i="1"/>
  <c r="B14350" i="1"/>
  <c r="A14350" i="1"/>
  <c r="D18282" i="1"/>
  <c r="B18282" i="1"/>
  <c r="A18282" i="1"/>
  <c r="D8728" i="1"/>
  <c r="C8728" i="1"/>
  <c r="B8728" i="1"/>
  <c r="A8728" i="1"/>
  <c r="D10477" i="1"/>
  <c r="B10477" i="1"/>
  <c r="A10477" i="1"/>
  <c r="D12598" i="1"/>
  <c r="B12598" i="1"/>
  <c r="A12598" i="1"/>
  <c r="D17152" i="1"/>
  <c r="C17152" i="1"/>
  <c r="B17152" i="1"/>
  <c r="A17152" i="1"/>
  <c r="D17598" i="1"/>
  <c r="B17598" i="1"/>
  <c r="A17598" i="1"/>
  <c r="D12977" i="1"/>
  <c r="B12977" i="1"/>
  <c r="A12977" i="1"/>
  <c r="D12183" i="1"/>
  <c r="B12183" i="1"/>
  <c r="A12183" i="1"/>
  <c r="D12371" i="1"/>
  <c r="B12371" i="1"/>
  <c r="A12371" i="1"/>
  <c r="D13713" i="1"/>
  <c r="B13713" i="1"/>
  <c r="A13713" i="1"/>
  <c r="D13448" i="1"/>
  <c r="B13448" i="1"/>
  <c r="A13448" i="1"/>
  <c r="D7220" i="1"/>
  <c r="B7220" i="1"/>
  <c r="A7220" i="1"/>
  <c r="D9779" i="1"/>
  <c r="B9779" i="1"/>
  <c r="A9779" i="1"/>
  <c r="D17014" i="1"/>
  <c r="C17014" i="1"/>
  <c r="B17014" i="1"/>
  <c r="A17014" i="1"/>
  <c r="D14538" i="1"/>
  <c r="B14538" i="1"/>
  <c r="A14538" i="1"/>
  <c r="D7601" i="1"/>
  <c r="B7601" i="1"/>
  <c r="A7601" i="1"/>
  <c r="D15598" i="1"/>
  <c r="B15598" i="1"/>
  <c r="A15598" i="1"/>
  <c r="D7107" i="1"/>
  <c r="B7107" i="1"/>
  <c r="A7107" i="1"/>
  <c r="D11239" i="1"/>
  <c r="B11239" i="1"/>
  <c r="A11239" i="1"/>
  <c r="D7384" i="1"/>
  <c r="B7384" i="1"/>
  <c r="A7384" i="1"/>
  <c r="D13345" i="1"/>
  <c r="B13345" i="1"/>
  <c r="A13345" i="1"/>
  <c r="D13451" i="1"/>
  <c r="B13451" i="1"/>
  <c r="A13451" i="1"/>
  <c r="D16535" i="1"/>
  <c r="C16535" i="1"/>
  <c r="B16535" i="1"/>
  <c r="A16535" i="1"/>
  <c r="D11201" i="1"/>
  <c r="B11201" i="1"/>
  <c r="A11201" i="1"/>
  <c r="D10266" i="1"/>
  <c r="B10266" i="1"/>
  <c r="A10266" i="1"/>
  <c r="D13710" i="1"/>
  <c r="B13710" i="1"/>
  <c r="A13710" i="1"/>
  <c r="D13508" i="1"/>
  <c r="B13508" i="1"/>
  <c r="A13508" i="1"/>
  <c r="D11672" i="1"/>
  <c r="B11672" i="1"/>
  <c r="A11672" i="1"/>
  <c r="D16445" i="1"/>
  <c r="C16445" i="1"/>
  <c r="B16445" i="1"/>
  <c r="A16445" i="1"/>
  <c r="D9758" i="1"/>
  <c r="B9758" i="1"/>
  <c r="A9758" i="1"/>
  <c r="D14442" i="1"/>
  <c r="B14442" i="1"/>
  <c r="A14442" i="1"/>
  <c r="D15590" i="1"/>
  <c r="B15590" i="1"/>
  <c r="A15590" i="1"/>
  <c r="D8173" i="1"/>
  <c r="C8173" i="1"/>
  <c r="B8173" i="1"/>
  <c r="A8173" i="1"/>
  <c r="D18722" i="1"/>
  <c r="B18722" i="1"/>
  <c r="A18722" i="1"/>
  <c r="D14465" i="1"/>
  <c r="B14465" i="1"/>
  <c r="A14465" i="1"/>
  <c r="D12160" i="1"/>
  <c r="B12160" i="1"/>
  <c r="A12160" i="1"/>
  <c r="D18124" i="1"/>
  <c r="B18124" i="1"/>
  <c r="A18124" i="1"/>
  <c r="D7896" i="1"/>
  <c r="B7896" i="1"/>
  <c r="A7896" i="1"/>
  <c r="D6639" i="1"/>
  <c r="A6639" i="1"/>
  <c r="D8198" i="1"/>
  <c r="C8198" i="1"/>
  <c r="B8198" i="1"/>
  <c r="A8198" i="1"/>
  <c r="D11230" i="1"/>
  <c r="B11230" i="1"/>
  <c r="A11230" i="1"/>
  <c r="D15723" i="1"/>
  <c r="B15723" i="1"/>
  <c r="A15723" i="1"/>
  <c r="D8162" i="1"/>
  <c r="B8162" i="1"/>
  <c r="A8162" i="1"/>
  <c r="D7828" i="1"/>
  <c r="B7828" i="1"/>
  <c r="A7828" i="1"/>
  <c r="D17500" i="1"/>
  <c r="B17500" i="1"/>
  <c r="A17500" i="1"/>
  <c r="D10432" i="1"/>
  <c r="B10432" i="1"/>
  <c r="A10432" i="1"/>
  <c r="D8904" i="1"/>
  <c r="C8904" i="1"/>
  <c r="B8904" i="1"/>
  <c r="A8904" i="1"/>
  <c r="D7887" i="1"/>
  <c r="C7887" i="1"/>
  <c r="B7887" i="1"/>
  <c r="A7887" i="1"/>
  <c r="D5958" i="1"/>
  <c r="B5958" i="1"/>
  <c r="A5958" i="1"/>
  <c r="D7875" i="1"/>
  <c r="C7875" i="1"/>
  <c r="B7875" i="1"/>
  <c r="A7875" i="1"/>
  <c r="D12312" i="1"/>
  <c r="B12312" i="1"/>
  <c r="A12312" i="1"/>
  <c r="D6038" i="1"/>
  <c r="C6038" i="1"/>
  <c r="B6038" i="1"/>
  <c r="A6038" i="1"/>
  <c r="D17680" i="1"/>
  <c r="B17680" i="1"/>
  <c r="A17680" i="1"/>
  <c r="D14558" i="1"/>
  <c r="C14558" i="1"/>
  <c r="B14558" i="1"/>
  <c r="A14558" i="1"/>
  <c r="D13812" i="1"/>
  <c r="B13812" i="1"/>
  <c r="A13812" i="1"/>
  <c r="D7436" i="1"/>
  <c r="B7436" i="1"/>
  <c r="A7436" i="1"/>
  <c r="D14120" i="1"/>
  <c r="B14120" i="1"/>
  <c r="A14120" i="1"/>
  <c r="D12515" i="1"/>
  <c r="B12515" i="1"/>
  <c r="A12515" i="1"/>
  <c r="D13283" i="1"/>
  <c r="B13283" i="1"/>
  <c r="A13283" i="1"/>
  <c r="D13209" i="1"/>
  <c r="B13209" i="1"/>
  <c r="A13209" i="1"/>
  <c r="D9801" i="1"/>
  <c r="C9801" i="1"/>
  <c r="B9801" i="1"/>
  <c r="A9801" i="1"/>
  <c r="D8006" i="1"/>
  <c r="B8006" i="1"/>
  <c r="A8006" i="1"/>
  <c r="D12212" i="1"/>
  <c r="B12212" i="1"/>
  <c r="A12212" i="1"/>
  <c r="D11426" i="1"/>
  <c r="B11426" i="1"/>
  <c r="A11426" i="1"/>
  <c r="D14688" i="1"/>
  <c r="C14688" i="1"/>
  <c r="B14688" i="1"/>
  <c r="A14688" i="1"/>
  <c r="D9499" i="1"/>
  <c r="B9499" i="1"/>
  <c r="A9499" i="1"/>
  <c r="D6928" i="1"/>
  <c r="B6928" i="1"/>
  <c r="A6928" i="1"/>
  <c r="D7617" i="1"/>
  <c r="B7617" i="1"/>
  <c r="A7617" i="1"/>
  <c r="D14662" i="1"/>
  <c r="B14662" i="1"/>
  <c r="A14662" i="1"/>
  <c r="D11455" i="1"/>
  <c r="A11455" i="1"/>
  <c r="D13450" i="1"/>
  <c r="B13450" i="1"/>
  <c r="A13450" i="1"/>
  <c r="D16737" i="1"/>
  <c r="B16737" i="1"/>
  <c r="A16737" i="1"/>
  <c r="D11663" i="1"/>
  <c r="B11663" i="1"/>
  <c r="A11663" i="1"/>
  <c r="D9189" i="1"/>
  <c r="B9189" i="1"/>
  <c r="A9189" i="1"/>
  <c r="D16588" i="1"/>
  <c r="B16588" i="1"/>
  <c r="A16588" i="1"/>
  <c r="D16773" i="1"/>
  <c r="C16773" i="1"/>
  <c r="B16773" i="1"/>
  <c r="A16773" i="1"/>
  <c r="D15496" i="1"/>
  <c r="B15496" i="1"/>
  <c r="A15496" i="1"/>
  <c r="D18505" i="1"/>
  <c r="B18505" i="1"/>
  <c r="A18505" i="1"/>
  <c r="D8639" i="1"/>
  <c r="B8639" i="1"/>
  <c r="A8639" i="1"/>
  <c r="D17301" i="1"/>
  <c r="B17301" i="1"/>
  <c r="A17301" i="1"/>
  <c r="D11690" i="1"/>
  <c r="C11690" i="1"/>
  <c r="B11690" i="1"/>
  <c r="A11690" i="1"/>
  <c r="D6031" i="1"/>
  <c r="B6031" i="1"/>
  <c r="A6031" i="1"/>
  <c r="D16847" i="1"/>
  <c r="C16847" i="1"/>
  <c r="B16847" i="1"/>
  <c r="A16847" i="1"/>
  <c r="D13317" i="1"/>
  <c r="B13317" i="1"/>
  <c r="A13317" i="1"/>
  <c r="D13410" i="1"/>
  <c r="B13410" i="1"/>
  <c r="A13410" i="1"/>
  <c r="D15555" i="1"/>
  <c r="C15555" i="1"/>
  <c r="B15555" i="1"/>
  <c r="A15555" i="1"/>
  <c r="D8783" i="1"/>
  <c r="B8783" i="1"/>
  <c r="A8783" i="1"/>
  <c r="D17099" i="1"/>
  <c r="B17099" i="1"/>
  <c r="A17099" i="1"/>
  <c r="D9007" i="1"/>
  <c r="B9007" i="1"/>
  <c r="A9007" i="1"/>
  <c r="D13092" i="1"/>
  <c r="C13092" i="1"/>
  <c r="B13092" i="1"/>
  <c r="A13092" i="1"/>
  <c r="D18023" i="1"/>
  <c r="B18023" i="1"/>
  <c r="A18023" i="1"/>
  <c r="D17038" i="1"/>
  <c r="B17038" i="1"/>
  <c r="A17038" i="1"/>
  <c r="D11825" i="1"/>
  <c r="B11825" i="1"/>
  <c r="A11825" i="1"/>
  <c r="D5889" i="1"/>
  <c r="B5889" i="1"/>
  <c r="A5889" i="1"/>
  <c r="D13116" i="1"/>
  <c r="C13116" i="1"/>
  <c r="B13116" i="1"/>
  <c r="A13116" i="1"/>
  <c r="D7678" i="1"/>
  <c r="B7678" i="1"/>
  <c r="A7678" i="1"/>
  <c r="D10854" i="1"/>
  <c r="B10854" i="1"/>
  <c r="A10854" i="1"/>
  <c r="D9717" i="1"/>
  <c r="B9717" i="1"/>
  <c r="A9717" i="1"/>
  <c r="D12159" i="1"/>
  <c r="B12159" i="1"/>
  <c r="A12159" i="1"/>
  <c r="D17600" i="1"/>
  <c r="B17600" i="1"/>
  <c r="A17600" i="1"/>
  <c r="D17914" i="1"/>
  <c r="B17914" i="1"/>
  <c r="A17914" i="1"/>
  <c r="D17422" i="1"/>
  <c r="B17422" i="1"/>
  <c r="A17422" i="1"/>
  <c r="D5968" i="1"/>
  <c r="C5968" i="1"/>
  <c r="B5968" i="1"/>
  <c r="A5968" i="1"/>
  <c r="D13086" i="1"/>
  <c r="C13086" i="1"/>
  <c r="B13086" i="1"/>
  <c r="A13086" i="1"/>
  <c r="D6180" i="1"/>
  <c r="C6180" i="1"/>
  <c r="B6180" i="1"/>
  <c r="A6180" i="1"/>
  <c r="D7071" i="1"/>
  <c r="B7071" i="1"/>
  <c r="A7071" i="1"/>
  <c r="D12284" i="1"/>
  <c r="B12284" i="1"/>
  <c r="A12284" i="1"/>
  <c r="D14393" i="1"/>
  <c r="C14393" i="1"/>
  <c r="B14393" i="1"/>
  <c r="A14393" i="1"/>
  <c r="D11855" i="1"/>
  <c r="B11855" i="1"/>
  <c r="A11855" i="1"/>
  <c r="D9963" i="1"/>
  <c r="C9963" i="1"/>
  <c r="B9963" i="1"/>
  <c r="A9963" i="1"/>
  <c r="D17494" i="1"/>
  <c r="C17494" i="1"/>
  <c r="B17494" i="1"/>
  <c r="A17494" i="1"/>
  <c r="D16819" i="1"/>
  <c r="C16819" i="1"/>
  <c r="B16819" i="1"/>
  <c r="A16819" i="1"/>
  <c r="D14172" i="1"/>
  <c r="B14172" i="1"/>
  <c r="A14172" i="1"/>
  <c r="D12711" i="1"/>
  <c r="B12711" i="1"/>
  <c r="A12711" i="1"/>
  <c r="D9296" i="1"/>
  <c r="B9296" i="1"/>
  <c r="A9296" i="1"/>
  <c r="D7991" i="1"/>
  <c r="B7991" i="1"/>
  <c r="A7991" i="1"/>
  <c r="D13126" i="1"/>
  <c r="C13126" i="1"/>
  <c r="B13126" i="1"/>
  <c r="A13126" i="1"/>
  <c r="D16746" i="1"/>
  <c r="C16746" i="1"/>
  <c r="B16746" i="1"/>
  <c r="A16746" i="1"/>
  <c r="D11748" i="1"/>
  <c r="B11748" i="1"/>
  <c r="A11748" i="1"/>
  <c r="D12401" i="1"/>
  <c r="B12401" i="1"/>
  <c r="A12401" i="1"/>
  <c r="D10891" i="1"/>
  <c r="B10891" i="1"/>
  <c r="A10891" i="1"/>
  <c r="D18448" i="1"/>
  <c r="B18448" i="1"/>
  <c r="A18448" i="1"/>
  <c r="D14596" i="1"/>
  <c r="B14596" i="1"/>
  <c r="A14596" i="1"/>
  <c r="D8687" i="1"/>
  <c r="C8687" i="1"/>
  <c r="B8687" i="1"/>
  <c r="A8687" i="1"/>
  <c r="D8776" i="1"/>
  <c r="C8776" i="1"/>
  <c r="B8776" i="1"/>
  <c r="A8776" i="1"/>
  <c r="D18307" i="1"/>
  <c r="B18307" i="1"/>
  <c r="A18307" i="1"/>
  <c r="D5867" i="1"/>
  <c r="B5867" i="1"/>
  <c r="A5867" i="1"/>
  <c r="D18083" i="1"/>
  <c r="B18083" i="1"/>
  <c r="A18083" i="1"/>
  <c r="D12541" i="1"/>
  <c r="B12541" i="1"/>
  <c r="A12541" i="1"/>
  <c r="D6036" i="1"/>
  <c r="B6036" i="1"/>
  <c r="A6036" i="1"/>
  <c r="D7930" i="1"/>
  <c r="B7930" i="1"/>
  <c r="A7930" i="1"/>
  <c r="D8288" i="1"/>
  <c r="C8288" i="1"/>
  <c r="B8288" i="1"/>
  <c r="A8288" i="1"/>
  <c r="D12241" i="1"/>
  <c r="B12241" i="1"/>
  <c r="A12241" i="1"/>
  <c r="D13356" i="1"/>
  <c r="B13356" i="1"/>
  <c r="A13356" i="1"/>
  <c r="D16582" i="1"/>
  <c r="B16582" i="1"/>
  <c r="A16582" i="1"/>
  <c r="D16261" i="1"/>
  <c r="A16261" i="1"/>
  <c r="D9549" i="1"/>
  <c r="B9549" i="1"/>
  <c r="A9549" i="1"/>
  <c r="D14560" i="1"/>
  <c r="B14560" i="1"/>
  <c r="A14560" i="1"/>
  <c r="D7894" i="1"/>
  <c r="C7894" i="1"/>
  <c r="B7894" i="1"/>
  <c r="A7894" i="1"/>
  <c r="D18227" i="1"/>
  <c r="B18227" i="1"/>
  <c r="A18227" i="1"/>
  <c r="D6456" i="1"/>
  <c r="B6456" i="1"/>
  <c r="A6456" i="1"/>
  <c r="D7498" i="1"/>
  <c r="B7498" i="1"/>
  <c r="A7498" i="1"/>
  <c r="D13862" i="1"/>
  <c r="B13862" i="1"/>
  <c r="A13862" i="1"/>
  <c r="D6298" i="1"/>
  <c r="B6298" i="1"/>
  <c r="A6298" i="1"/>
  <c r="D14186" i="1"/>
  <c r="C14186" i="1"/>
  <c r="B14186" i="1"/>
  <c r="A14186" i="1"/>
  <c r="D11809" i="1"/>
  <c r="C11809" i="1"/>
  <c r="B11809" i="1"/>
  <c r="A11809" i="1"/>
  <c r="D13192" i="1"/>
  <c r="B13192" i="1"/>
  <c r="A13192" i="1"/>
  <c r="D12757" i="1"/>
  <c r="B12757" i="1"/>
  <c r="A12757" i="1"/>
  <c r="D12545" i="1"/>
  <c r="B12545" i="1"/>
  <c r="A12545" i="1"/>
  <c r="D11529" i="1"/>
  <c r="C11529" i="1"/>
  <c r="B11529" i="1"/>
  <c r="A11529" i="1"/>
  <c r="D7269" i="1"/>
  <c r="B7269" i="1"/>
  <c r="A7269" i="1"/>
  <c r="D8090" i="1"/>
  <c r="B8090" i="1"/>
  <c r="A8090" i="1"/>
  <c r="D17526" i="1"/>
  <c r="B17526" i="1"/>
  <c r="A17526" i="1"/>
  <c r="D13235" i="1"/>
  <c r="B13235" i="1"/>
  <c r="A13235" i="1"/>
  <c r="D12390" i="1"/>
  <c r="B12390" i="1"/>
  <c r="A12390" i="1"/>
  <c r="D10090" i="1"/>
  <c r="B10090" i="1"/>
  <c r="A10090" i="1"/>
  <c r="D15455" i="1"/>
  <c r="C15455" i="1"/>
  <c r="B15455" i="1"/>
  <c r="A15455" i="1"/>
  <c r="D11067" i="1"/>
  <c r="B11067" i="1"/>
  <c r="A11067" i="1"/>
  <c r="D14699" i="1"/>
  <c r="C14699" i="1"/>
  <c r="B14699" i="1"/>
  <c r="A14699" i="1"/>
  <c r="D14660" i="1"/>
  <c r="C14660" i="1"/>
  <c r="B14660" i="1"/>
  <c r="A14660" i="1"/>
  <c r="D13764" i="1"/>
  <c r="B13764" i="1"/>
  <c r="A13764" i="1"/>
  <c r="D14107" i="1"/>
  <c r="B14107" i="1"/>
  <c r="A14107" i="1"/>
  <c r="D17950" i="1"/>
  <c r="B17950" i="1"/>
  <c r="A17950" i="1"/>
  <c r="D7876" i="1"/>
  <c r="C7876" i="1"/>
  <c r="B7876" i="1"/>
  <c r="A7876" i="1"/>
  <c r="D12698" i="1"/>
  <c r="B12698" i="1"/>
  <c r="A12698" i="1"/>
  <c r="D17333" i="1"/>
  <c r="B17333" i="1"/>
  <c r="A17333" i="1"/>
  <c r="D12354" i="1"/>
  <c r="B12354" i="1"/>
  <c r="A12354" i="1"/>
  <c r="D14243" i="1"/>
  <c r="B14243" i="1"/>
  <c r="A14243" i="1"/>
  <c r="D7886" i="1"/>
  <c r="C7886" i="1"/>
  <c r="B7886" i="1"/>
  <c r="A7886" i="1"/>
  <c r="D7519" i="1"/>
  <c r="B7519" i="1"/>
  <c r="A7519" i="1"/>
  <c r="D13195" i="1"/>
  <c r="B13195" i="1"/>
  <c r="A13195" i="1"/>
  <c r="D16510" i="1"/>
  <c r="C16510" i="1"/>
  <c r="B16510" i="1"/>
  <c r="A16510" i="1"/>
  <c r="D9446" i="1"/>
  <c r="B9446" i="1"/>
  <c r="A9446" i="1"/>
  <c r="D18363" i="1"/>
  <c r="A18363" i="1"/>
  <c r="D11249" i="1"/>
  <c r="B11249" i="1"/>
  <c r="A11249" i="1"/>
  <c r="D13635" i="1"/>
  <c r="C13635" i="1"/>
  <c r="B13635" i="1"/>
  <c r="A13635" i="1"/>
  <c r="D11747" i="1"/>
  <c r="B11747" i="1"/>
  <c r="A11747" i="1"/>
  <c r="D18243" i="1"/>
  <c r="B18243" i="1"/>
  <c r="A18243" i="1"/>
  <c r="D5874" i="1"/>
  <c r="B5874" i="1"/>
  <c r="A5874" i="1"/>
  <c r="D14719" i="1"/>
  <c r="B14719" i="1"/>
  <c r="A14719" i="1"/>
  <c r="D11213" i="1"/>
  <c r="C11213" i="1"/>
  <c r="B11213" i="1"/>
  <c r="A11213" i="1"/>
  <c r="D11668" i="1"/>
  <c r="B11668" i="1"/>
  <c r="A11668" i="1"/>
  <c r="D9756" i="1"/>
  <c r="B9756" i="1"/>
  <c r="A9756" i="1"/>
  <c r="D9204" i="1"/>
  <c r="B9204" i="1"/>
  <c r="A9204" i="1"/>
  <c r="D11755" i="1"/>
  <c r="B11755" i="1"/>
  <c r="A11755" i="1"/>
  <c r="D11144" i="1"/>
  <c r="B11144" i="1"/>
  <c r="A11144" i="1"/>
  <c r="D9236" i="1"/>
  <c r="B9236" i="1"/>
  <c r="A9236" i="1"/>
  <c r="D12405" i="1"/>
  <c r="B12405" i="1"/>
  <c r="A12405" i="1"/>
  <c r="D18737" i="1"/>
  <c r="B18737" i="1"/>
  <c r="A18737" i="1"/>
  <c r="D15820" i="1"/>
  <c r="B15820" i="1"/>
  <c r="A15820" i="1"/>
  <c r="D7531" i="1"/>
  <c r="B7531" i="1"/>
  <c r="A7531" i="1"/>
  <c r="D14244" i="1"/>
  <c r="C14244" i="1"/>
  <c r="B14244" i="1"/>
  <c r="A14244" i="1"/>
  <c r="D12032" i="1"/>
  <c r="B12032" i="1"/>
  <c r="A12032" i="1"/>
  <c r="D17690" i="1"/>
  <c r="B17690" i="1"/>
  <c r="A17690" i="1"/>
  <c r="D11532" i="1"/>
  <c r="C11532" i="1"/>
  <c r="B11532" i="1"/>
  <c r="A11532" i="1"/>
  <c r="D18407" i="1"/>
  <c r="B18407" i="1"/>
  <c r="A18407" i="1"/>
  <c r="D12725" i="1"/>
  <c r="B12725" i="1"/>
  <c r="A12725" i="1"/>
  <c r="D16540" i="1"/>
  <c r="C16540" i="1"/>
  <c r="B16540" i="1"/>
  <c r="A16540" i="1"/>
  <c r="D13447" i="1"/>
  <c r="B13447" i="1"/>
  <c r="A13447" i="1"/>
  <c r="D12114" i="1"/>
  <c r="B12114" i="1"/>
  <c r="A12114" i="1"/>
  <c r="D13458" i="1"/>
  <c r="B13458" i="1"/>
  <c r="A13458" i="1"/>
  <c r="D12923" i="1"/>
  <c r="B12923" i="1"/>
  <c r="A12923" i="1"/>
  <c r="D12708" i="1"/>
  <c r="B12708" i="1"/>
  <c r="A12708" i="1"/>
  <c r="D16090" i="1"/>
  <c r="B16090" i="1"/>
  <c r="A16090" i="1"/>
  <c r="D15578" i="1"/>
  <c r="B15578" i="1"/>
  <c r="A15578" i="1"/>
  <c r="D8610" i="1"/>
  <c r="B8610" i="1"/>
  <c r="A8610" i="1"/>
  <c r="D14536" i="1"/>
  <c r="C14536" i="1"/>
  <c r="B14536" i="1"/>
  <c r="A14536" i="1"/>
  <c r="D18258" i="1"/>
  <c r="B18258" i="1"/>
  <c r="A18258" i="1"/>
  <c r="D17865" i="1"/>
  <c r="B17865" i="1"/>
  <c r="A17865" i="1"/>
  <c r="D17639" i="1"/>
  <c r="A17639" i="1"/>
  <c r="D15639" i="1"/>
  <c r="B15639" i="1"/>
  <c r="A15639" i="1"/>
  <c r="D9043" i="1"/>
  <c r="B9043" i="1"/>
  <c r="A9043" i="1"/>
  <c r="D10527" i="1"/>
  <c r="B10527" i="1"/>
  <c r="A10527" i="1"/>
  <c r="D8305" i="1"/>
  <c r="B8305" i="1"/>
  <c r="A8305" i="1"/>
  <c r="D7467" i="1"/>
  <c r="A7467" i="1"/>
  <c r="D6608" i="1"/>
  <c r="B6608" i="1"/>
  <c r="A6608" i="1"/>
  <c r="D18248" i="1"/>
  <c r="B18248" i="1"/>
  <c r="A18248" i="1"/>
  <c r="D11633" i="1"/>
  <c r="C11633" i="1"/>
  <c r="B11633" i="1"/>
  <c r="A11633" i="1"/>
  <c r="D16528" i="1"/>
  <c r="B16528" i="1"/>
  <c r="A16528" i="1"/>
  <c r="D14422" i="1"/>
  <c r="C14422" i="1"/>
  <c r="B14422" i="1"/>
  <c r="A14422" i="1"/>
  <c r="D7741" i="1"/>
  <c r="B7741" i="1"/>
  <c r="A7741" i="1"/>
  <c r="D17869" i="1"/>
  <c r="C17869" i="1"/>
  <c r="B17869" i="1"/>
  <c r="A17869" i="1"/>
  <c r="D8392" i="1"/>
  <c r="B8392" i="1"/>
  <c r="A8392" i="1"/>
  <c r="D17166" i="1"/>
  <c r="C17166" i="1"/>
  <c r="B17166" i="1"/>
  <c r="A17166" i="1"/>
  <c r="D6339" i="1"/>
  <c r="C6339" i="1"/>
  <c r="B6339" i="1"/>
  <c r="A6339" i="1"/>
  <c r="D6100" i="1"/>
  <c r="B6100" i="1"/>
  <c r="A6100" i="1"/>
  <c r="D8413" i="1"/>
  <c r="C8413" i="1"/>
  <c r="B8413" i="1"/>
  <c r="A8413" i="1"/>
  <c r="D14603" i="1"/>
  <c r="C14603" i="1"/>
  <c r="B14603" i="1"/>
  <c r="A14603" i="1"/>
  <c r="D14494" i="1"/>
  <c r="B14494" i="1"/>
  <c r="A14494" i="1"/>
  <c r="D10896" i="1"/>
  <c r="B10896" i="1"/>
  <c r="A10896" i="1"/>
  <c r="D8452" i="1"/>
  <c r="B8452" i="1"/>
  <c r="A8452" i="1"/>
  <c r="D9831" i="1"/>
  <c r="C9831" i="1"/>
  <c r="B9831" i="1"/>
  <c r="A9831" i="1"/>
  <c r="D9310" i="1"/>
  <c r="B9310" i="1"/>
  <c r="A9310" i="1"/>
  <c r="D18446" i="1"/>
  <c r="C18446" i="1"/>
  <c r="B18446" i="1"/>
  <c r="A18446" i="1"/>
  <c r="D9699" i="1"/>
  <c r="B9699" i="1"/>
  <c r="A9699" i="1"/>
  <c r="D6738" i="1"/>
  <c r="B6738" i="1"/>
  <c r="A6738" i="1"/>
  <c r="D13296" i="1"/>
  <c r="B13296" i="1"/>
  <c r="A13296" i="1"/>
  <c r="D13112" i="1"/>
  <c r="B13112" i="1"/>
  <c r="A13112" i="1"/>
  <c r="D12854" i="1"/>
  <c r="B12854" i="1"/>
  <c r="A12854" i="1"/>
  <c r="D13352" i="1"/>
  <c r="B13352" i="1"/>
  <c r="A13352" i="1"/>
  <c r="D6025" i="1"/>
  <c r="C6025" i="1"/>
  <c r="B6025" i="1"/>
  <c r="A6025" i="1"/>
  <c r="D16534" i="1"/>
  <c r="C16534" i="1"/>
  <c r="B16534" i="1"/>
  <c r="A16534" i="1"/>
  <c r="D12927" i="1"/>
  <c r="B12927" i="1"/>
  <c r="A12927" i="1"/>
  <c r="D11136" i="1"/>
  <c r="B11136" i="1"/>
  <c r="A11136" i="1"/>
  <c r="D13357" i="1"/>
  <c r="B13357" i="1"/>
  <c r="A13357" i="1"/>
  <c r="D15566" i="1"/>
  <c r="B15566" i="1"/>
  <c r="A15566" i="1"/>
  <c r="D12727" i="1"/>
  <c r="B12727" i="1"/>
  <c r="A12727" i="1"/>
  <c r="D6132" i="1"/>
  <c r="B6132" i="1"/>
  <c r="A6132" i="1"/>
  <c r="D12634" i="1"/>
  <c r="C12634" i="1"/>
  <c r="B12634" i="1"/>
  <c r="A12634" i="1"/>
  <c r="D6422" i="1"/>
  <c r="B6422" i="1"/>
  <c r="A6422" i="1"/>
  <c r="D12319" i="1"/>
  <c r="B12319" i="1"/>
  <c r="A12319" i="1"/>
  <c r="D10501" i="1"/>
  <c r="B10501" i="1"/>
  <c r="A10501" i="1"/>
  <c r="D5919" i="1"/>
  <c r="B5919" i="1"/>
  <c r="A5919" i="1"/>
  <c r="D9983" i="1"/>
  <c r="B9983" i="1"/>
  <c r="A9983" i="1"/>
  <c r="D17819" i="1"/>
  <c r="C17819" i="1"/>
  <c r="B17819" i="1"/>
  <c r="A17819" i="1"/>
  <c r="D9157" i="1"/>
  <c r="B9157" i="1"/>
  <c r="A9157" i="1"/>
  <c r="D12280" i="1"/>
  <c r="C12280" i="1"/>
  <c r="B12280" i="1"/>
  <c r="A12280" i="1"/>
  <c r="D6428" i="1"/>
  <c r="B6428" i="1"/>
  <c r="A6428" i="1"/>
  <c r="D16351" i="1"/>
  <c r="B16351" i="1"/>
  <c r="A16351" i="1"/>
  <c r="D9342" i="1"/>
  <c r="B9342" i="1"/>
  <c r="A9342" i="1"/>
  <c r="D13927" i="1"/>
  <c r="B13927" i="1"/>
  <c r="A13927" i="1"/>
  <c r="D18496" i="1"/>
  <c r="B18496" i="1"/>
  <c r="A18496" i="1"/>
  <c r="D11432" i="1"/>
  <c r="A11432" i="1"/>
  <c r="D12530" i="1"/>
  <c r="B12530" i="1"/>
  <c r="A12530" i="1"/>
  <c r="D8822" i="1"/>
  <c r="C8822" i="1"/>
  <c r="B8822" i="1"/>
  <c r="A8822" i="1"/>
  <c r="D8790" i="1"/>
  <c r="C8790" i="1"/>
  <c r="B8790" i="1"/>
  <c r="A8790" i="1"/>
  <c r="D16085" i="1"/>
  <c r="B16085" i="1"/>
  <c r="A16085" i="1"/>
  <c r="D9337" i="1"/>
  <c r="B9337" i="1"/>
  <c r="A9337" i="1"/>
  <c r="D9472" i="1"/>
  <c r="C9472" i="1"/>
  <c r="B9472" i="1"/>
  <c r="A9472" i="1"/>
  <c r="D13465" i="1"/>
  <c r="B13465" i="1"/>
  <c r="A13465" i="1"/>
  <c r="D8700" i="1"/>
  <c r="C8700" i="1"/>
  <c r="B8700" i="1"/>
  <c r="A8700" i="1"/>
  <c r="D12720" i="1"/>
  <c r="B12720" i="1"/>
  <c r="A12720" i="1"/>
  <c r="D17841" i="1"/>
  <c r="B17841" i="1"/>
  <c r="A17841" i="1"/>
  <c r="D14398" i="1"/>
  <c r="A14398" i="1"/>
  <c r="D10824" i="1"/>
  <c r="B10824" i="1"/>
  <c r="A10824" i="1"/>
  <c r="D16043" i="1"/>
  <c r="B16043" i="1"/>
  <c r="A16043" i="1"/>
  <c r="D12406" i="1"/>
  <c r="B12406" i="1"/>
  <c r="A12406" i="1"/>
  <c r="D14609" i="1"/>
  <c r="C14609" i="1"/>
  <c r="B14609" i="1"/>
  <c r="A14609" i="1"/>
  <c r="D7258" i="1"/>
  <c r="B7258" i="1"/>
  <c r="A7258" i="1"/>
  <c r="D15693" i="1"/>
  <c r="B15693" i="1"/>
  <c r="A15693" i="1"/>
  <c r="D12949" i="1"/>
  <c r="B12949" i="1"/>
  <c r="A12949" i="1"/>
  <c r="C13066" i="1"/>
  <c r="B13066" i="1"/>
  <c r="A13066" i="1"/>
  <c r="D13137" i="1"/>
  <c r="C13137" i="1"/>
  <c r="B13137" i="1"/>
  <c r="A13137" i="1"/>
  <c r="D11623" i="1"/>
  <c r="B11623" i="1"/>
  <c r="A11623" i="1"/>
  <c r="D12741" i="1"/>
  <c r="C12741" i="1"/>
  <c r="B12741" i="1"/>
  <c r="A12741" i="1"/>
  <c r="D11184" i="1"/>
  <c r="B11184" i="1"/>
  <c r="A11184" i="1"/>
  <c r="D11424" i="1"/>
  <c r="B11424" i="1"/>
  <c r="A11424" i="1"/>
  <c r="D7877" i="1"/>
  <c r="B7877" i="1"/>
  <c r="A7877" i="1"/>
  <c r="D12004" i="1"/>
  <c r="B12004" i="1"/>
  <c r="A12004" i="1"/>
  <c r="D13708" i="1"/>
  <c r="C13708" i="1"/>
  <c r="B13708" i="1"/>
  <c r="A13708" i="1"/>
  <c r="D13218" i="1"/>
  <c r="B13218" i="1"/>
  <c r="A13218" i="1"/>
  <c r="D11745" i="1"/>
  <c r="C11745" i="1"/>
  <c r="B11745" i="1"/>
  <c r="A11745" i="1"/>
  <c r="D7145" i="1"/>
  <c r="C7145" i="1"/>
  <c r="B7145" i="1"/>
  <c r="A7145" i="1"/>
  <c r="D11146" i="1"/>
  <c r="B11146" i="1"/>
  <c r="A11146" i="1"/>
  <c r="D13459" i="1"/>
  <c r="B13459" i="1"/>
  <c r="A13459" i="1"/>
  <c r="D14008" i="1"/>
  <c r="B14008" i="1"/>
  <c r="A14008" i="1"/>
  <c r="D17789" i="1"/>
  <c r="B17789" i="1"/>
  <c r="A17789" i="1"/>
  <c r="D6523" i="1"/>
  <c r="C6523" i="1"/>
  <c r="B6523" i="1"/>
  <c r="A6523" i="1"/>
  <c r="D12730" i="1"/>
  <c r="B12730" i="1"/>
  <c r="A12730" i="1"/>
  <c r="D18491" i="1"/>
  <c r="B18491" i="1"/>
  <c r="A18491" i="1"/>
  <c r="D9565" i="1"/>
  <c r="C9565" i="1"/>
  <c r="B9565" i="1"/>
  <c r="A9565" i="1"/>
  <c r="D14434" i="1"/>
  <c r="C14434" i="1"/>
  <c r="B14434" i="1"/>
  <c r="A14434" i="1"/>
  <c r="D10980" i="1"/>
  <c r="B10980" i="1"/>
  <c r="A10980" i="1"/>
  <c r="D16426" i="1"/>
  <c r="B16426" i="1"/>
  <c r="A16426" i="1"/>
  <c r="D13253" i="1"/>
  <c r="B13253" i="1"/>
  <c r="A13253" i="1"/>
  <c r="D12391" i="1"/>
  <c r="B12391" i="1"/>
  <c r="A12391" i="1"/>
  <c r="D12245" i="1"/>
  <c r="C12245" i="1"/>
  <c r="B12245" i="1"/>
  <c r="A12245" i="1"/>
  <c r="D12126" i="1"/>
  <c r="B12126" i="1"/>
  <c r="A12126" i="1"/>
  <c r="D14114" i="1"/>
  <c r="B14114" i="1"/>
  <c r="A14114" i="1"/>
  <c r="D10055" i="1"/>
  <c r="B10055" i="1"/>
  <c r="A10055" i="1"/>
  <c r="D18749" i="1"/>
  <c r="B18749" i="1"/>
  <c r="A18749" i="1"/>
  <c r="D14279" i="1"/>
  <c r="B14279" i="1"/>
  <c r="A14279" i="1"/>
  <c r="D18787" i="1"/>
  <c r="B18787" i="1"/>
  <c r="A18787" i="1"/>
  <c r="D12281" i="1"/>
  <c r="C12281" i="1"/>
  <c r="B12281" i="1"/>
  <c r="A12281" i="1"/>
  <c r="D9262" i="1"/>
  <c r="B9262" i="1"/>
  <c r="A9262" i="1"/>
  <c r="D14211" i="1"/>
  <c r="B14211" i="1"/>
  <c r="A14211" i="1"/>
  <c r="D6754" i="1"/>
  <c r="B6754" i="1"/>
  <c r="A6754" i="1"/>
  <c r="D10242" i="1"/>
  <c r="C10242" i="1"/>
  <c r="B10242" i="1"/>
  <c r="A10242" i="1"/>
  <c r="D17419" i="1"/>
  <c r="C17419" i="1"/>
  <c r="B17419" i="1"/>
  <c r="A17419" i="1"/>
  <c r="D7893" i="1"/>
  <c r="B7893" i="1"/>
  <c r="A7893" i="1"/>
  <c r="D16820" i="1"/>
  <c r="C16820" i="1"/>
  <c r="B16820" i="1"/>
  <c r="A16820" i="1"/>
  <c r="D15840" i="1"/>
  <c r="B15840" i="1"/>
  <c r="A15840" i="1"/>
  <c r="D13772" i="1"/>
  <c r="B13772" i="1"/>
  <c r="A13772" i="1"/>
  <c r="D6823" i="1"/>
  <c r="B6823" i="1"/>
  <c r="A6823" i="1"/>
  <c r="D18462" i="1"/>
  <c r="B18462" i="1"/>
  <c r="A18462" i="1"/>
  <c r="D16741" i="1"/>
  <c r="B16741" i="1"/>
  <c r="A16741" i="1"/>
  <c r="D10138" i="1"/>
  <c r="B10138" i="1"/>
  <c r="A10138" i="1"/>
  <c r="D6491" i="1"/>
  <c r="B6491" i="1"/>
  <c r="A6491" i="1"/>
  <c r="D8814" i="1"/>
  <c r="B8814" i="1"/>
  <c r="A8814" i="1"/>
  <c r="D14590" i="1"/>
  <c r="B14590" i="1"/>
  <c r="A14590" i="1"/>
  <c r="D18259" i="1"/>
  <c r="B18259" i="1"/>
  <c r="A18259" i="1"/>
  <c r="D17339" i="1"/>
  <c r="B17339" i="1"/>
  <c r="A17339" i="1"/>
  <c r="D16653" i="1"/>
  <c r="B16653" i="1"/>
  <c r="A16653" i="1"/>
  <c r="D12460" i="1"/>
  <c r="A12460" i="1"/>
  <c r="D16894" i="1"/>
  <c r="B16894" i="1"/>
  <c r="A16894" i="1"/>
  <c r="D16754" i="1"/>
  <c r="C16754" i="1"/>
  <c r="B16754" i="1"/>
  <c r="A16754" i="1"/>
  <c r="D16911" i="1"/>
  <c r="B16911" i="1"/>
  <c r="A16911" i="1"/>
  <c r="D18228" i="1"/>
  <c r="B18228" i="1"/>
  <c r="A18228" i="1"/>
  <c r="D10875" i="1"/>
  <c r="B10875" i="1"/>
  <c r="A10875" i="1"/>
  <c r="D11209" i="1"/>
  <c r="B11209" i="1"/>
  <c r="A11209" i="1"/>
  <c r="D13245" i="1"/>
  <c r="B13245" i="1"/>
  <c r="A13245" i="1"/>
  <c r="D14040" i="1"/>
  <c r="B14040" i="1"/>
  <c r="A14040" i="1"/>
  <c r="D14647" i="1"/>
  <c r="B14647" i="1"/>
  <c r="A14647" i="1"/>
  <c r="D13134" i="1"/>
  <c r="C13134" i="1"/>
  <c r="B13134" i="1"/>
  <c r="A13134" i="1"/>
  <c r="D16643" i="1"/>
  <c r="B16643" i="1"/>
  <c r="A16643" i="1"/>
  <c r="D13935" i="1"/>
  <c r="B13935" i="1"/>
  <c r="A13935" i="1"/>
  <c r="D11165" i="1"/>
  <c r="C11165" i="1"/>
  <c r="B11165" i="1"/>
  <c r="A11165" i="1"/>
  <c r="D10774" i="1"/>
  <c r="B10774" i="1"/>
  <c r="A10774" i="1"/>
  <c r="D8011" i="1"/>
  <c r="B8011" i="1"/>
  <c r="A8011" i="1"/>
  <c r="D6759" i="1"/>
  <c r="B6759" i="1"/>
  <c r="A6759" i="1"/>
  <c r="D17004" i="1"/>
  <c r="B17004" i="1"/>
  <c r="A17004" i="1"/>
  <c r="D13902" i="1"/>
  <c r="B13902" i="1"/>
  <c r="A13902" i="1"/>
  <c r="D12275" i="1"/>
  <c r="B12275" i="1"/>
  <c r="A12275" i="1"/>
  <c r="D8148" i="1"/>
  <c r="B8148" i="1"/>
  <c r="A8148" i="1"/>
  <c r="D12314" i="1"/>
  <c r="C12314" i="1"/>
  <c r="B12314" i="1"/>
  <c r="A12314" i="1"/>
  <c r="D11552" i="1"/>
  <c r="C11552" i="1"/>
  <c r="B11552" i="1"/>
  <c r="A11552" i="1"/>
  <c r="D13879" i="1"/>
  <c r="B13879" i="1"/>
  <c r="A13879" i="1"/>
  <c r="D17220" i="1"/>
  <c r="B17220" i="1"/>
  <c r="A17220" i="1"/>
  <c r="D9507" i="1"/>
  <c r="B9507" i="1"/>
  <c r="A9507" i="1"/>
  <c r="D18789" i="1"/>
  <c r="B18789" i="1"/>
  <c r="A18789" i="1"/>
  <c r="D16587" i="1"/>
  <c r="C16587" i="1"/>
  <c r="B16587" i="1"/>
  <c r="A16587" i="1"/>
  <c r="D15768" i="1"/>
  <c r="B15768" i="1"/>
  <c r="A15768" i="1"/>
  <c r="D9994" i="1"/>
  <c r="B9994" i="1"/>
  <c r="A9994" i="1"/>
  <c r="D14126" i="1"/>
  <c r="B14126" i="1"/>
  <c r="A14126" i="1"/>
  <c r="D13796" i="1"/>
  <c r="C13796" i="1"/>
  <c r="B13796" i="1"/>
  <c r="A13796" i="1"/>
  <c r="D7999" i="1"/>
  <c r="B7999" i="1"/>
  <c r="A7999" i="1"/>
  <c r="D14542" i="1"/>
  <c r="B14542" i="1"/>
  <c r="A14542" i="1"/>
  <c r="D11030" i="1"/>
  <c r="B11030" i="1"/>
  <c r="A11030" i="1"/>
  <c r="D9286" i="1"/>
  <c r="B9286" i="1"/>
  <c r="A9286" i="1"/>
  <c r="D11692" i="1"/>
  <c r="C11692" i="1"/>
  <c r="B11692" i="1"/>
  <c r="A11692" i="1"/>
  <c r="D14658" i="1"/>
  <c r="B14658" i="1"/>
  <c r="A14658" i="1"/>
  <c r="D11167" i="1"/>
  <c r="B11167" i="1"/>
  <c r="A11167" i="1"/>
  <c r="D12849" i="1"/>
  <c r="B12849" i="1"/>
  <c r="A12849" i="1"/>
  <c r="D10840" i="1"/>
  <c r="A10840" i="1"/>
  <c r="D12222" i="1"/>
  <c r="B12222" i="1"/>
  <c r="A12222" i="1"/>
  <c r="D16493" i="1"/>
  <c r="B16493" i="1"/>
  <c r="A16493" i="1"/>
  <c r="D9458" i="1"/>
  <c r="B9458" i="1"/>
  <c r="A9458" i="1"/>
  <c r="D7920" i="1"/>
  <c r="B7920" i="1"/>
  <c r="A7920" i="1"/>
  <c r="D18289" i="1"/>
  <c r="B18289" i="1"/>
  <c r="A18289" i="1"/>
  <c r="D7630" i="1"/>
  <c r="B7630" i="1"/>
  <c r="A7630" i="1"/>
  <c r="D12316" i="1"/>
  <c r="B12316" i="1"/>
  <c r="A12316" i="1"/>
  <c r="D12847" i="1"/>
  <c r="B12847" i="1"/>
  <c r="A12847" i="1"/>
  <c r="D15971" i="1"/>
  <c r="B15971" i="1"/>
  <c r="A15971" i="1"/>
  <c r="D12965" i="1"/>
  <c r="B12965" i="1"/>
  <c r="A12965" i="1"/>
  <c r="D13432" i="1"/>
  <c r="B13432" i="1"/>
  <c r="A13432" i="1"/>
  <c r="D13523" i="1"/>
  <c r="C13523" i="1"/>
  <c r="B13523" i="1"/>
  <c r="A13523" i="1"/>
  <c r="D17479" i="1"/>
  <c r="B17479" i="1"/>
  <c r="A17479" i="1"/>
  <c r="D10719" i="1"/>
  <c r="B10719" i="1"/>
  <c r="A10719" i="1"/>
  <c r="D7268" i="1"/>
  <c r="B7268" i="1"/>
  <c r="A7268" i="1"/>
  <c r="D16893" i="1"/>
  <c r="B16893" i="1"/>
  <c r="A16893" i="1"/>
  <c r="D6490" i="1"/>
  <c r="B6490" i="1"/>
  <c r="A6490" i="1"/>
  <c r="D14105" i="1"/>
  <c r="B14105" i="1"/>
  <c r="A14105" i="1"/>
  <c r="D17897" i="1"/>
  <c r="B17897" i="1"/>
  <c r="A17897" i="1"/>
  <c r="D6681" i="1"/>
  <c r="B6681" i="1"/>
  <c r="A6681" i="1"/>
  <c r="D14602" i="1"/>
  <c r="C14602" i="1"/>
  <c r="B14602" i="1"/>
  <c r="A14602" i="1"/>
  <c r="D11419" i="1"/>
  <c r="B11419" i="1"/>
  <c r="A11419" i="1"/>
  <c r="D6399" i="1"/>
  <c r="B6399" i="1"/>
  <c r="A6399" i="1"/>
  <c r="D12210" i="1"/>
  <c r="B12210" i="1"/>
  <c r="A12210" i="1"/>
  <c r="D13499" i="1"/>
  <c r="A13499" i="1"/>
  <c r="D11498" i="1"/>
  <c r="B11498" i="1"/>
  <c r="A11498" i="1"/>
  <c r="D14714" i="1"/>
  <c r="B14714" i="1"/>
  <c r="A14714" i="1"/>
  <c r="D18501" i="1"/>
  <c r="B18501" i="1"/>
  <c r="A18501" i="1"/>
  <c r="D12246" i="1"/>
  <c r="C12246" i="1"/>
  <c r="B12246" i="1"/>
  <c r="A12246" i="1"/>
  <c r="D12282" i="1"/>
  <c r="B12282" i="1"/>
  <c r="A12282" i="1"/>
  <c r="D17185" i="1"/>
  <c r="B17185" i="1"/>
  <c r="A17185" i="1"/>
  <c r="D17933" i="1"/>
  <c r="B17933" i="1"/>
  <c r="A17933" i="1"/>
  <c r="C12842" i="1"/>
  <c r="B12842" i="1"/>
  <c r="A12842" i="1"/>
  <c r="D8642" i="1"/>
  <c r="B8642" i="1"/>
  <c r="A8642" i="1"/>
  <c r="D5985" i="1"/>
  <c r="B5985" i="1"/>
  <c r="A5985" i="1"/>
  <c r="D10456" i="1"/>
  <c r="B10456" i="1"/>
  <c r="A10456" i="1"/>
  <c r="D13367" i="1"/>
  <c r="B13367" i="1"/>
  <c r="A13367" i="1"/>
  <c r="D5920" i="1"/>
  <c r="B5920" i="1"/>
  <c r="A5920" i="1"/>
  <c r="D16768" i="1"/>
  <c r="B16768" i="1"/>
  <c r="A16768" i="1"/>
  <c r="D9778" i="1"/>
  <c r="B9778" i="1"/>
  <c r="A9778" i="1"/>
  <c r="D10249" i="1"/>
  <c r="B10249" i="1"/>
  <c r="A10249" i="1"/>
  <c r="D18626" i="1"/>
  <c r="C18626" i="1"/>
  <c r="B18626" i="1"/>
  <c r="A18626" i="1"/>
  <c r="D6156" i="1"/>
  <c r="B6156" i="1"/>
  <c r="A6156" i="1"/>
  <c r="D12387" i="1"/>
  <c r="C12387" i="1"/>
  <c r="B12387" i="1"/>
  <c r="A12387" i="1"/>
  <c r="D12136" i="1"/>
  <c r="B12136" i="1"/>
  <c r="A12136" i="1"/>
  <c r="D12569" i="1"/>
  <c r="B12569" i="1"/>
  <c r="A12569" i="1"/>
  <c r="D17646" i="1"/>
  <c r="B17646" i="1"/>
  <c r="A17646" i="1"/>
  <c r="D7941" i="1"/>
  <c r="C7941" i="1"/>
  <c r="B7941" i="1"/>
  <c r="A7941" i="1"/>
  <c r="D9661" i="1"/>
  <c r="C9661" i="1"/>
  <c r="B9661" i="1"/>
  <c r="A9661" i="1"/>
  <c r="D13473" i="1"/>
  <c r="B13473" i="1"/>
  <c r="A13473" i="1"/>
  <c r="D16791" i="1"/>
  <c r="C16791" i="1"/>
  <c r="B16791" i="1"/>
  <c r="A16791" i="1"/>
  <c r="D12731" i="1"/>
  <c r="B12731" i="1"/>
  <c r="A12731" i="1"/>
  <c r="D13306" i="1"/>
  <c r="B13306" i="1"/>
  <c r="A13306" i="1"/>
  <c r="D14704" i="1"/>
  <c r="B14704" i="1"/>
  <c r="A14704" i="1"/>
  <c r="D14233" i="1"/>
  <c r="B14233" i="1"/>
  <c r="A14233" i="1"/>
  <c r="D16984" i="1"/>
  <c r="B16984" i="1"/>
  <c r="A16984" i="1"/>
  <c r="D11617" i="1"/>
  <c r="B11617" i="1"/>
  <c r="A11617" i="1"/>
  <c r="D5971" i="1"/>
  <c r="C5971" i="1"/>
  <c r="B5971" i="1"/>
  <c r="A5971" i="1"/>
  <c r="D11542" i="1"/>
  <c r="C11542" i="1"/>
  <c r="B11542" i="1"/>
  <c r="A11542" i="1"/>
  <c r="D11752" i="1"/>
  <c r="B11752" i="1"/>
  <c r="A11752" i="1"/>
  <c r="D15865" i="1"/>
  <c r="A15865" i="1"/>
  <c r="D6881" i="1"/>
  <c r="B6881" i="1"/>
  <c r="A6881" i="1"/>
  <c r="D6846" i="1"/>
  <c r="A6846" i="1"/>
  <c r="D8357" i="1"/>
  <c r="B8357" i="1"/>
  <c r="A8357" i="1"/>
  <c r="D7803" i="1"/>
  <c r="B7803" i="1"/>
  <c r="A7803" i="1"/>
  <c r="D11597" i="1"/>
  <c r="B11597" i="1"/>
  <c r="A11597" i="1"/>
  <c r="D9023" i="1"/>
  <c r="B9023" i="1"/>
  <c r="A9023" i="1"/>
  <c r="D7234" i="1"/>
  <c r="B7234" i="1"/>
  <c r="A7234" i="1"/>
  <c r="D9020" i="1"/>
  <c r="B9020" i="1"/>
  <c r="A9020" i="1"/>
  <c r="D18370" i="1"/>
  <c r="B18370" i="1"/>
  <c r="A18370" i="1"/>
  <c r="D8798" i="1"/>
  <c r="B8798" i="1"/>
  <c r="A8798" i="1"/>
  <c r="D16780" i="1"/>
  <c r="B16780" i="1"/>
  <c r="A16780" i="1"/>
  <c r="D9883" i="1"/>
  <c r="A9883" i="1"/>
  <c r="D13695" i="1"/>
  <c r="B13695" i="1"/>
  <c r="A13695" i="1"/>
  <c r="D6249" i="1"/>
  <c r="B6249" i="1"/>
  <c r="A6249" i="1"/>
  <c r="D11373" i="1"/>
  <c r="B11373" i="1"/>
  <c r="A11373" i="1"/>
  <c r="D12480" i="1"/>
  <c r="A12480" i="1"/>
  <c r="D8603" i="1"/>
  <c r="B8603" i="1"/>
  <c r="A8603" i="1"/>
  <c r="D9449" i="1"/>
  <c r="B9449" i="1"/>
  <c r="A9449" i="1"/>
  <c r="D15584" i="1"/>
  <c r="C15584" i="1"/>
  <c r="B15584" i="1"/>
  <c r="A15584" i="1"/>
  <c r="D10657" i="1"/>
  <c r="B10657" i="1"/>
  <c r="A10657" i="1"/>
  <c r="D11703" i="1"/>
  <c r="C11703" i="1"/>
  <c r="B11703" i="1"/>
  <c r="A11703" i="1"/>
  <c r="D17451" i="1"/>
  <c r="B17451" i="1"/>
  <c r="A17451" i="1"/>
  <c r="D17667" i="1"/>
  <c r="B17667" i="1"/>
  <c r="A17667" i="1"/>
  <c r="D16617" i="1"/>
  <c r="B16617" i="1"/>
  <c r="A16617" i="1"/>
  <c r="D18579" i="1"/>
  <c r="B18579" i="1"/>
  <c r="A18579" i="1"/>
  <c r="D9232" i="1"/>
  <c r="B9232" i="1"/>
  <c r="A9232" i="1"/>
  <c r="D13421" i="1"/>
  <c r="B13421" i="1"/>
  <c r="A13421" i="1"/>
  <c r="D14436" i="1"/>
  <c r="B14436" i="1"/>
  <c r="A14436" i="1"/>
  <c r="D18673" i="1"/>
  <c r="B18673" i="1"/>
  <c r="A18673" i="1"/>
  <c r="D7891" i="1"/>
  <c r="B7891" i="1"/>
  <c r="A7891" i="1"/>
  <c r="D7155" i="1"/>
  <c r="B7155" i="1"/>
  <c r="A7155" i="1"/>
  <c r="D14705" i="1"/>
  <c r="C14705" i="1"/>
  <c r="B14705" i="1"/>
  <c r="A14705" i="1"/>
  <c r="D16276" i="1"/>
  <c r="B16276" i="1"/>
  <c r="A16276" i="1"/>
  <c r="D13171" i="1"/>
  <c r="B13171" i="1"/>
  <c r="A13171" i="1"/>
  <c r="D16020" i="1"/>
  <c r="B16020" i="1"/>
  <c r="A16020" i="1"/>
  <c r="D6932" i="1"/>
  <c r="B6932" i="1"/>
  <c r="A6932" i="1"/>
  <c r="D17323" i="1"/>
  <c r="C17323" i="1"/>
  <c r="B17323" i="1"/>
  <c r="A17323" i="1"/>
  <c r="D5947" i="1"/>
  <c r="C5947" i="1"/>
  <c r="B5947" i="1"/>
  <c r="A5947" i="1"/>
  <c r="D12918" i="1"/>
  <c r="C12918" i="1"/>
  <c r="B12918" i="1"/>
  <c r="A12918" i="1"/>
  <c r="D16652" i="1"/>
  <c r="B16652" i="1"/>
  <c r="A16652" i="1"/>
  <c r="D12175" i="1"/>
  <c r="B12175" i="1"/>
  <c r="A12175" i="1"/>
  <c r="D16725" i="1"/>
  <c r="B16725" i="1"/>
  <c r="A16725" i="1"/>
  <c r="D8717" i="1"/>
  <c r="B8717" i="1"/>
  <c r="A8717" i="1"/>
  <c r="D7037" i="1"/>
  <c r="B7037" i="1"/>
  <c r="A7037" i="1"/>
  <c r="D14534" i="1"/>
  <c r="B14534" i="1"/>
  <c r="A14534" i="1"/>
  <c r="D7175" i="1"/>
  <c r="B7175" i="1"/>
  <c r="A7175" i="1"/>
  <c r="D17109" i="1"/>
  <c r="B17109" i="1"/>
  <c r="A17109" i="1"/>
  <c r="D9832" i="1"/>
  <c r="B9832" i="1"/>
  <c r="A9832" i="1"/>
  <c r="D10593" i="1"/>
  <c r="B10593" i="1"/>
  <c r="A10593" i="1"/>
  <c r="D16594" i="1"/>
  <c r="B16594" i="1"/>
  <c r="A16594" i="1"/>
  <c r="D11074" i="1"/>
  <c r="B11074" i="1"/>
  <c r="A11074" i="1"/>
  <c r="D13952" i="1"/>
  <c r="A13952" i="1"/>
  <c r="D11379" i="1"/>
  <c r="B11379" i="1"/>
  <c r="A11379" i="1"/>
  <c r="D12492" i="1"/>
  <c r="A12492" i="1"/>
  <c r="D16772" i="1"/>
  <c r="C16772" i="1"/>
  <c r="B16772" i="1"/>
  <c r="A16772" i="1"/>
  <c r="D10670" i="1"/>
  <c r="B10670" i="1"/>
  <c r="A10670" i="1"/>
  <c r="D6371" i="1"/>
  <c r="B6371" i="1"/>
  <c r="A6371" i="1"/>
  <c r="D15569" i="1"/>
  <c r="B15569" i="1"/>
  <c r="A15569" i="1"/>
  <c r="D17615" i="1"/>
  <c r="B17615" i="1"/>
  <c r="A17615" i="1"/>
  <c r="D15669" i="1"/>
  <c r="B15669" i="1"/>
  <c r="A15669" i="1"/>
  <c r="D14692" i="1"/>
  <c r="B14692" i="1"/>
  <c r="A14692" i="1"/>
  <c r="D10817" i="1"/>
  <c r="B10817" i="1"/>
  <c r="A10817" i="1"/>
  <c r="D16793" i="1"/>
  <c r="B16793" i="1"/>
  <c r="A16793" i="1"/>
  <c r="D12270" i="1"/>
  <c r="C12270" i="1"/>
  <c r="B12270" i="1"/>
  <c r="A12270" i="1"/>
  <c r="D16457" i="1"/>
  <c r="B16457" i="1"/>
  <c r="A16457" i="1"/>
  <c r="D7793" i="1"/>
  <c r="C7793" i="1"/>
  <c r="B7793" i="1"/>
  <c r="A7793" i="1"/>
  <c r="D18202" i="1"/>
  <c r="C18202" i="1"/>
  <c r="B18202" i="1"/>
  <c r="A18202" i="1"/>
  <c r="D16551" i="1"/>
  <c r="B16551" i="1"/>
  <c r="A16551" i="1"/>
  <c r="D12768" i="1"/>
  <c r="B12768" i="1"/>
  <c r="A12768" i="1"/>
  <c r="D11148" i="1"/>
  <c r="C11148" i="1"/>
  <c r="B11148" i="1"/>
  <c r="A11148" i="1"/>
  <c r="D18527" i="1"/>
  <c r="B18527" i="1"/>
  <c r="A18527" i="1"/>
  <c r="D18562" i="1"/>
  <c r="B18562" i="1"/>
  <c r="A18562" i="1"/>
  <c r="D17237" i="1"/>
  <c r="B17237" i="1"/>
  <c r="A17237" i="1"/>
  <c r="D14601" i="1"/>
  <c r="C14601" i="1"/>
  <c r="B14601" i="1"/>
  <c r="A14601" i="1"/>
  <c r="D16078" i="1"/>
  <c r="B16078" i="1"/>
  <c r="A16078" i="1"/>
  <c r="D10992" i="1"/>
  <c r="A10992" i="1"/>
  <c r="D6106" i="1"/>
  <c r="C6106" i="1"/>
  <c r="B6106" i="1"/>
  <c r="A6106" i="1"/>
  <c r="D17653" i="1"/>
  <c r="A17653" i="1"/>
  <c r="D13375" i="1"/>
  <c r="B13375" i="1"/>
  <c r="A13375" i="1"/>
  <c r="D7604" i="1"/>
  <c r="B7604" i="1"/>
  <c r="A7604" i="1"/>
  <c r="D13794" i="1"/>
  <c r="B13794" i="1"/>
  <c r="A13794" i="1"/>
  <c r="D10201" i="1"/>
  <c r="B10201" i="1"/>
  <c r="A10201" i="1"/>
  <c r="D13677" i="1"/>
  <c r="B13677" i="1"/>
  <c r="A13677" i="1"/>
  <c r="D6625" i="1"/>
  <c r="B6625" i="1"/>
  <c r="A6625" i="1"/>
  <c r="D12740" i="1"/>
  <c r="C12740" i="1"/>
  <c r="B12740" i="1"/>
  <c r="A12740" i="1"/>
  <c r="D13059" i="1"/>
  <c r="B13059" i="1"/>
  <c r="A13059" i="1"/>
  <c r="D14080" i="1"/>
  <c r="B14080" i="1"/>
  <c r="A14080" i="1"/>
  <c r="D18461" i="1"/>
  <c r="B18461" i="1"/>
  <c r="A18461" i="1"/>
  <c r="D5965" i="1"/>
  <c r="B5965" i="1"/>
  <c r="A5965" i="1"/>
  <c r="D13371" i="1"/>
  <c r="B13371" i="1"/>
  <c r="A13371" i="1"/>
  <c r="D7983" i="1"/>
  <c r="B7983" i="1"/>
  <c r="A7983" i="1"/>
  <c r="D12342" i="1"/>
  <c r="B12342" i="1"/>
  <c r="A12342" i="1"/>
  <c r="D8425" i="1"/>
  <c r="B8425" i="1"/>
  <c r="A8425" i="1"/>
  <c r="D15898" i="1"/>
  <c r="C15898" i="1"/>
  <c r="B15898" i="1"/>
  <c r="A15898" i="1"/>
  <c r="D9430" i="1"/>
  <c r="B9430" i="1"/>
  <c r="A9430" i="1"/>
  <c r="D13085" i="1"/>
  <c r="C13085" i="1"/>
  <c r="B13085" i="1"/>
  <c r="A13085" i="1"/>
  <c r="D11907" i="1"/>
  <c r="B11907" i="1"/>
  <c r="A11907" i="1"/>
  <c r="D7326" i="1"/>
  <c r="B7326" i="1"/>
  <c r="A7326" i="1"/>
  <c r="D7316" i="1"/>
  <c r="B7316" i="1"/>
  <c r="A7316" i="1"/>
  <c r="D7362" i="1"/>
  <c r="C7362" i="1"/>
  <c r="B7362" i="1"/>
  <c r="A7362" i="1"/>
  <c r="D14497" i="1"/>
  <c r="B14497" i="1"/>
  <c r="A14497" i="1"/>
  <c r="D7728" i="1"/>
  <c r="C7728" i="1"/>
  <c r="B7728" i="1"/>
  <c r="A7728" i="1"/>
  <c r="D9686" i="1"/>
  <c r="B9686" i="1"/>
  <c r="A9686" i="1"/>
  <c r="D15556" i="1"/>
  <c r="C15556" i="1"/>
  <c r="B15556" i="1"/>
  <c r="A15556" i="1"/>
  <c r="D11099" i="1"/>
  <c r="B11099" i="1"/>
  <c r="A11099" i="1"/>
  <c r="D11609" i="1"/>
  <c r="B11609" i="1"/>
  <c r="A11609" i="1"/>
  <c r="D9278" i="1"/>
  <c r="B9278" i="1"/>
  <c r="A9278" i="1"/>
  <c r="D12289" i="1"/>
  <c r="C12289" i="1"/>
  <c r="B12289" i="1"/>
  <c r="A12289" i="1"/>
  <c r="D7336" i="1"/>
  <c r="C7336" i="1"/>
  <c r="B7336" i="1"/>
  <c r="A7336" i="1"/>
  <c r="D13309" i="1"/>
  <c r="B13309" i="1"/>
  <c r="A13309" i="1"/>
  <c r="D10303" i="1"/>
  <c r="B10303" i="1"/>
  <c r="A10303" i="1"/>
  <c r="D18800" i="1"/>
  <c r="B18800" i="1"/>
  <c r="A18800" i="1"/>
  <c r="D9516" i="1"/>
  <c r="C9516" i="1"/>
  <c r="B9516" i="1"/>
  <c r="A9516" i="1"/>
  <c r="D13039" i="1"/>
  <c r="B13039" i="1"/>
  <c r="A13039" i="1"/>
  <c r="D14522" i="1"/>
  <c r="C14522" i="1"/>
  <c r="B14522" i="1"/>
  <c r="A14522" i="1"/>
  <c r="D11762" i="1"/>
  <c r="C11762" i="1"/>
  <c r="B11762" i="1"/>
  <c r="A11762" i="1"/>
  <c r="D11263" i="1"/>
  <c r="B11263" i="1"/>
  <c r="A11263" i="1"/>
  <c r="D9441" i="1"/>
  <c r="A9441" i="1"/>
  <c r="D13562" i="1"/>
  <c r="C13562" i="1"/>
  <c r="B13562" i="1"/>
  <c r="A13562" i="1"/>
  <c r="D14248" i="1"/>
  <c r="B14248" i="1"/>
  <c r="A14248" i="1"/>
  <c r="D6105" i="1"/>
  <c r="B6105" i="1"/>
  <c r="A6105" i="1"/>
  <c r="D7352" i="1"/>
  <c r="B7352" i="1"/>
  <c r="A7352" i="1"/>
  <c r="D10272" i="1"/>
  <c r="C10272" i="1"/>
  <c r="B10272" i="1"/>
  <c r="A10272" i="1"/>
  <c r="D13760" i="1"/>
  <c r="B13760" i="1"/>
  <c r="A13760" i="1"/>
  <c r="D17171" i="1"/>
  <c r="B17171" i="1"/>
  <c r="A17171" i="1"/>
  <c r="D17130" i="1"/>
  <c r="B17130" i="1"/>
  <c r="A17130" i="1"/>
  <c r="D15146" i="1"/>
  <c r="B15146" i="1"/>
  <c r="A15146" i="1"/>
  <c r="D18208" i="1"/>
  <c r="B18208" i="1"/>
  <c r="A18208" i="1"/>
  <c r="D8292" i="1"/>
  <c r="B8292" i="1"/>
  <c r="A8292" i="1"/>
  <c r="D17108" i="1"/>
  <c r="B17108" i="1"/>
  <c r="A17108" i="1"/>
  <c r="D8401" i="1"/>
  <c r="C8401" i="1"/>
  <c r="B8401" i="1"/>
  <c r="A8401" i="1"/>
  <c r="D11138" i="1"/>
  <c r="B11138" i="1"/>
  <c r="A11138" i="1"/>
  <c r="D15559" i="1"/>
  <c r="C15559" i="1"/>
  <c r="B15559" i="1"/>
  <c r="A15559" i="1"/>
  <c r="D16349" i="1"/>
  <c r="B16349" i="1"/>
  <c r="A16349" i="1"/>
  <c r="D18804" i="1"/>
  <c r="B18804" i="1"/>
  <c r="A18804" i="1"/>
  <c r="D6033" i="1"/>
  <c r="B6033" i="1"/>
  <c r="A6033" i="1"/>
  <c r="D11820" i="1"/>
  <c r="B11820" i="1"/>
  <c r="A11820" i="1"/>
  <c r="D9595" i="1"/>
  <c r="B9595" i="1"/>
  <c r="A9595" i="1"/>
  <c r="D12793" i="1"/>
  <c r="C12793" i="1"/>
  <c r="B12793" i="1"/>
  <c r="A12793" i="1"/>
  <c r="D7636" i="1"/>
  <c r="C7636" i="1"/>
  <c r="B7636" i="1"/>
  <c r="A7636" i="1"/>
  <c r="D8934" i="1"/>
  <c r="B8934" i="1"/>
  <c r="A8934" i="1"/>
  <c r="D6980" i="1"/>
  <c r="B6980" i="1"/>
  <c r="A6980" i="1"/>
  <c r="D11454" i="1"/>
  <c r="B11454" i="1"/>
  <c r="A11454" i="1"/>
  <c r="D13802" i="1"/>
  <c r="C13802" i="1"/>
  <c r="B13802" i="1"/>
  <c r="A13802" i="1"/>
  <c r="D6438" i="1"/>
  <c r="B6438" i="1"/>
  <c r="A6438" i="1"/>
  <c r="D9800" i="1"/>
  <c r="C9800" i="1"/>
  <c r="B9800" i="1"/>
  <c r="A9800" i="1"/>
  <c r="D14486" i="1"/>
  <c r="A14486" i="1"/>
  <c r="D6312" i="1"/>
  <c r="B6312" i="1"/>
  <c r="A6312" i="1"/>
  <c r="D18273" i="1"/>
  <c r="C18273" i="1"/>
  <c r="B18273" i="1"/>
  <c r="A18273" i="1"/>
  <c r="D6424" i="1"/>
  <c r="C6424" i="1"/>
  <c r="B6424" i="1"/>
  <c r="A6424" i="1"/>
  <c r="D8507" i="1"/>
  <c r="B8507" i="1"/>
  <c r="A8507" i="1"/>
  <c r="D10944" i="1"/>
  <c r="B10944" i="1"/>
  <c r="A10944" i="1"/>
  <c r="D14669" i="1"/>
  <c r="C14669" i="1"/>
  <c r="B14669" i="1"/>
  <c r="A14669" i="1"/>
  <c r="D8410" i="1"/>
  <c r="A8410" i="1"/>
  <c r="D16537" i="1"/>
  <c r="B16537" i="1"/>
  <c r="A16537" i="1"/>
  <c r="D13807" i="1"/>
  <c r="C13807" i="1"/>
  <c r="B13807" i="1"/>
  <c r="A13807" i="1"/>
  <c r="D15560" i="1"/>
  <c r="B15560" i="1"/>
  <c r="A15560" i="1"/>
  <c r="D6633" i="1"/>
  <c r="B6633" i="1"/>
  <c r="A6633" i="1"/>
  <c r="D7318" i="1"/>
  <c r="B7318" i="1"/>
  <c r="A7318" i="1"/>
  <c r="D12947" i="1"/>
  <c r="C12947" i="1"/>
  <c r="B12947" i="1"/>
  <c r="A12947" i="1"/>
  <c r="D14625" i="1"/>
  <c r="C14625" i="1"/>
  <c r="B14625" i="1"/>
  <c r="A14625" i="1"/>
  <c r="D16120" i="1"/>
  <c r="B16120" i="1"/>
  <c r="A16120" i="1"/>
  <c r="D8564" i="1"/>
  <c r="C8564" i="1"/>
  <c r="B8564" i="1"/>
  <c r="A8564" i="1"/>
  <c r="D5923" i="1"/>
  <c r="C5923" i="1"/>
  <c r="B5923" i="1"/>
  <c r="A5923" i="1"/>
  <c r="D9596" i="1"/>
  <c r="B9596" i="1"/>
  <c r="A9596" i="1"/>
  <c r="D8881" i="1"/>
  <c r="B8881" i="1"/>
  <c r="A8881" i="1"/>
  <c r="D17239" i="1"/>
  <c r="B17239" i="1"/>
  <c r="A17239" i="1"/>
  <c r="D8888" i="1"/>
  <c r="C8888" i="1"/>
  <c r="B8888" i="1"/>
  <c r="A8888" i="1"/>
  <c r="D11289" i="1"/>
  <c r="C11289" i="1"/>
  <c r="B11289" i="1"/>
  <c r="A11289" i="1"/>
  <c r="D15552" i="1"/>
  <c r="C15552" i="1"/>
  <c r="B15552" i="1"/>
  <c r="A15552" i="1"/>
  <c r="D8442" i="1"/>
  <c r="C8442" i="1"/>
  <c r="B8442" i="1"/>
  <c r="A8442" i="1"/>
  <c r="D14546" i="1"/>
  <c r="C14546" i="1"/>
  <c r="B14546" i="1"/>
  <c r="A14546" i="1"/>
  <c r="D12499" i="1"/>
  <c r="A12499" i="1"/>
  <c r="D15562" i="1"/>
  <c r="B15562" i="1"/>
  <c r="A15562" i="1"/>
  <c r="D13452" i="1"/>
  <c r="B13452" i="1"/>
  <c r="A13452" i="1"/>
  <c r="D18309" i="1"/>
  <c r="B18309" i="1"/>
  <c r="A18309" i="1"/>
  <c r="D9440" i="1"/>
  <c r="B9440" i="1"/>
  <c r="A9440" i="1"/>
  <c r="D17147" i="1"/>
  <c r="C17147" i="1"/>
  <c r="B17147" i="1"/>
  <c r="A17147" i="1"/>
  <c r="D18116" i="1"/>
  <c r="B18116" i="1"/>
  <c r="A18116" i="1"/>
  <c r="D11635" i="1"/>
  <c r="B11635" i="1"/>
  <c r="A11635" i="1"/>
  <c r="D17148" i="1"/>
  <c r="B17148" i="1"/>
  <c r="A17148" i="1"/>
  <c r="D11378" i="1"/>
  <c r="B11378" i="1"/>
  <c r="A11378" i="1"/>
  <c r="D15595" i="1"/>
  <c r="B15595" i="1"/>
  <c r="A15595" i="1"/>
  <c r="D7530" i="1"/>
  <c r="B7530" i="1"/>
  <c r="A7530" i="1"/>
  <c r="D16828" i="1"/>
  <c r="B16828" i="1"/>
  <c r="A16828" i="1"/>
  <c r="D7375" i="1"/>
  <c r="B7375" i="1"/>
  <c r="A7375" i="1"/>
  <c r="D9538" i="1"/>
  <c r="B9538" i="1"/>
  <c r="A9538" i="1"/>
  <c r="D7900" i="1"/>
  <c r="B7900" i="1"/>
  <c r="A7900" i="1"/>
  <c r="D13346" i="1"/>
  <c r="B13346" i="1"/>
  <c r="A13346" i="1"/>
  <c r="D16809" i="1"/>
  <c r="B16809" i="1"/>
  <c r="A16809" i="1"/>
  <c r="D17617" i="1"/>
  <c r="B17617" i="1"/>
  <c r="A17617" i="1"/>
  <c r="D9974" i="1"/>
  <c r="B9974" i="1"/>
  <c r="A9974" i="1"/>
  <c r="D12093" i="1"/>
  <c r="B12093" i="1"/>
  <c r="A12093" i="1"/>
  <c r="D7899" i="1"/>
  <c r="C7899" i="1"/>
  <c r="B7899" i="1"/>
  <c r="A7899" i="1"/>
  <c r="D11401" i="1"/>
  <c r="C11401" i="1"/>
  <c r="B11401" i="1"/>
  <c r="A11401" i="1"/>
  <c r="D17051" i="1"/>
  <c r="B17051" i="1"/>
  <c r="A17051" i="1"/>
  <c r="D14471" i="1"/>
  <c r="B14471" i="1"/>
  <c r="A14471" i="1"/>
  <c r="D15577" i="1"/>
  <c r="B15577" i="1"/>
  <c r="A15577" i="1"/>
  <c r="D16628" i="1"/>
  <c r="B16628" i="1"/>
  <c r="A16628" i="1"/>
  <c r="D15970" i="1"/>
  <c r="B15970" i="1"/>
  <c r="A15970" i="1"/>
  <c r="D12168" i="1"/>
  <c r="B12168" i="1"/>
  <c r="A12168" i="1"/>
  <c r="D15588" i="1"/>
  <c r="C15588" i="1"/>
  <c r="B15588" i="1"/>
  <c r="A15588" i="1"/>
  <c r="D14630" i="1"/>
  <c r="C14630" i="1"/>
  <c r="B14630" i="1"/>
  <c r="A14630" i="1"/>
  <c r="D6124" i="1"/>
  <c r="B6124" i="1"/>
  <c r="A6124" i="1"/>
  <c r="D18061" i="1"/>
  <c r="B18061" i="1"/>
  <c r="A18061" i="1"/>
  <c r="D16749" i="1"/>
  <c r="C16749" i="1"/>
  <c r="B16749" i="1"/>
  <c r="A16749" i="1"/>
  <c r="D13746" i="1"/>
  <c r="B13746" i="1"/>
  <c r="A13746" i="1"/>
  <c r="D16609" i="1"/>
  <c r="B16609" i="1"/>
  <c r="A16609" i="1"/>
  <c r="D11119" i="1"/>
  <c r="C11119" i="1"/>
  <c r="B11119" i="1"/>
  <c r="A11119" i="1"/>
  <c r="D17961" i="1"/>
  <c r="B17961" i="1"/>
  <c r="A17961" i="1"/>
  <c r="D8816" i="1"/>
  <c r="B8816" i="1"/>
  <c r="A8816" i="1"/>
  <c r="D10546" i="1"/>
  <c r="B10546" i="1"/>
  <c r="A10546" i="1"/>
  <c r="D14533" i="1"/>
  <c r="C14533" i="1"/>
  <c r="B14533" i="1"/>
  <c r="A14533" i="1"/>
  <c r="D15600" i="1"/>
  <c r="B15600" i="1"/>
  <c r="A15600" i="1"/>
  <c r="D18255" i="1"/>
  <c r="B18255" i="1"/>
  <c r="A18255" i="1"/>
  <c r="D16779" i="1"/>
  <c r="B16779" i="1"/>
  <c r="A16779" i="1"/>
  <c r="D13581" i="1"/>
  <c r="B13581" i="1"/>
  <c r="A13581" i="1"/>
  <c r="D10494" i="1"/>
  <c r="B10494" i="1"/>
  <c r="A10494" i="1"/>
  <c r="D17337" i="1"/>
  <c r="B17337" i="1"/>
  <c r="A17337" i="1"/>
  <c r="D12247" i="1"/>
  <c r="C12247" i="1"/>
  <c r="B12247" i="1"/>
  <c r="A12247" i="1"/>
  <c r="D17506" i="1"/>
  <c r="B17506" i="1"/>
  <c r="A17506" i="1"/>
  <c r="D13366" i="1"/>
  <c r="B13366" i="1"/>
  <c r="A13366" i="1"/>
  <c r="D13948" i="1"/>
  <c r="C13948" i="1"/>
  <c r="B13948" i="1"/>
  <c r="A13948" i="1"/>
  <c r="D15725" i="1"/>
  <c r="B15725" i="1"/>
  <c r="A15725" i="1"/>
  <c r="D7225" i="1"/>
  <c r="B7225" i="1"/>
  <c r="A7225" i="1"/>
  <c r="D8583" i="1"/>
  <c r="B8583" i="1"/>
  <c r="A8583" i="1"/>
  <c r="D12368" i="1"/>
  <c r="B12368" i="1"/>
  <c r="A12368" i="1"/>
  <c r="D11238" i="1"/>
  <c r="B11238" i="1"/>
  <c r="A11238" i="1"/>
  <c r="D5952" i="1"/>
  <c r="C5952" i="1"/>
  <c r="B5952" i="1"/>
  <c r="A5952" i="1"/>
  <c r="D8362" i="1"/>
  <c r="B8362" i="1"/>
  <c r="A8362" i="1"/>
  <c r="D11706" i="1"/>
  <c r="C11706" i="1"/>
  <c r="B11706" i="1"/>
  <c r="A11706" i="1"/>
  <c r="D18085" i="1"/>
  <c r="B18085" i="1"/>
  <c r="A18085" i="1"/>
  <c r="D7064" i="1"/>
  <c r="B7064" i="1"/>
  <c r="A7064" i="1"/>
  <c r="D8573" i="1"/>
  <c r="B8573" i="1"/>
  <c r="A8573" i="1"/>
  <c r="D14683" i="1"/>
  <c r="B14683" i="1"/>
  <c r="A14683" i="1"/>
  <c r="D18172" i="1"/>
  <c r="B18172" i="1"/>
  <c r="A18172" i="1"/>
  <c r="D17353" i="1"/>
  <c r="A17353" i="1"/>
  <c r="D6903" i="1"/>
  <c r="C6903" i="1"/>
  <c r="B6903" i="1"/>
  <c r="A6903" i="1"/>
  <c r="D8012" i="1"/>
  <c r="B8012" i="1"/>
  <c r="A8012" i="1"/>
  <c r="D11477" i="1"/>
  <c r="B11477" i="1"/>
  <c r="A11477" i="1"/>
  <c r="D17274" i="1"/>
  <c r="B17274" i="1"/>
  <c r="A17274" i="1"/>
  <c r="D13517" i="1"/>
  <c r="C13517" i="1"/>
  <c r="B13517" i="1"/>
  <c r="A13517" i="1"/>
  <c r="D17156" i="1"/>
  <c r="B17156" i="1"/>
  <c r="A17156" i="1"/>
  <c r="D16584" i="1"/>
  <c r="B16584" i="1"/>
  <c r="A16584" i="1"/>
  <c r="D7679" i="1"/>
  <c r="B7679" i="1"/>
  <c r="A7679" i="1"/>
  <c r="D13072" i="1"/>
  <c r="C13072" i="1"/>
  <c r="B13072" i="1"/>
  <c r="A13072" i="1"/>
  <c r="D5933" i="1"/>
  <c r="B5933" i="1"/>
  <c r="A5933" i="1"/>
  <c r="D12438" i="1"/>
  <c r="A12438" i="1"/>
  <c r="D6637" i="1"/>
  <c r="B6637" i="1"/>
  <c r="A6637" i="1"/>
  <c r="D16480" i="1"/>
  <c r="C16480" i="1"/>
  <c r="B16480" i="1"/>
  <c r="A16480" i="1"/>
  <c r="D10929" i="1"/>
  <c r="B10929" i="1"/>
  <c r="A10929" i="1"/>
  <c r="D18156" i="1"/>
  <c r="B18156" i="1"/>
  <c r="A18156" i="1"/>
  <c r="D10691" i="1"/>
  <c r="B10691" i="1"/>
  <c r="A10691" i="1"/>
  <c r="D13755" i="1"/>
  <c r="B13755" i="1"/>
  <c r="A13755" i="1"/>
  <c r="D15982" i="1"/>
  <c r="B15982" i="1"/>
  <c r="A15982" i="1"/>
  <c r="D18265" i="1"/>
  <c r="C18265" i="1"/>
  <c r="B18265" i="1"/>
  <c r="A18265" i="1"/>
  <c r="D18066" i="1"/>
  <c r="B18066" i="1"/>
  <c r="A18066" i="1"/>
  <c r="D12366" i="1"/>
  <c r="B12366" i="1"/>
  <c r="A12366" i="1"/>
  <c r="D16767" i="1"/>
  <c r="B16767" i="1"/>
  <c r="A16767" i="1"/>
  <c r="D18051" i="1"/>
  <c r="B18051" i="1"/>
  <c r="A18051" i="1"/>
  <c r="D13461" i="1"/>
  <c r="B13461" i="1"/>
  <c r="A13461" i="1"/>
  <c r="D13237" i="1"/>
  <c r="B13237" i="1"/>
  <c r="A13237" i="1"/>
  <c r="D11171" i="1"/>
  <c r="B11171" i="1"/>
  <c r="A11171" i="1"/>
  <c r="D6795" i="1"/>
  <c r="C6795" i="1"/>
  <c r="B6795" i="1"/>
  <c r="A6795" i="1"/>
  <c r="D13036" i="1"/>
  <c r="A13036" i="1"/>
  <c r="D13343" i="1"/>
  <c r="B13343" i="1"/>
  <c r="A13343" i="1"/>
  <c r="D6500" i="1"/>
  <c r="B6500" i="1"/>
  <c r="A6500" i="1"/>
  <c r="D5917" i="1"/>
  <c r="B5917" i="1"/>
  <c r="A5917" i="1"/>
  <c r="D9069" i="1"/>
  <c r="B9069" i="1"/>
  <c r="A9069" i="1"/>
  <c r="D15601" i="1"/>
  <c r="B15601" i="1"/>
  <c r="A15601" i="1"/>
  <c r="D9838" i="1"/>
  <c r="A9838" i="1"/>
  <c r="D11518" i="1"/>
  <c r="B11518" i="1"/>
  <c r="A11518" i="1"/>
  <c r="D13661" i="1"/>
  <c r="B13661" i="1"/>
  <c r="A13661" i="1"/>
  <c r="D12820" i="1"/>
  <c r="B12820" i="1"/>
  <c r="A12820" i="1"/>
  <c r="D6000" i="1"/>
  <c r="B6000" i="1"/>
  <c r="A6000" i="1"/>
  <c r="D9672" i="1"/>
  <c r="B9672" i="1"/>
  <c r="A9672" i="1"/>
  <c r="D7912" i="1"/>
  <c r="A7912" i="1"/>
  <c r="D16413" i="1"/>
  <c r="B16413" i="1"/>
  <c r="A16413" i="1"/>
  <c r="D5986" i="1"/>
  <c r="C5986" i="1"/>
  <c r="B5986" i="1"/>
  <c r="A5986" i="1"/>
  <c r="D16670" i="1"/>
  <c r="C16670" i="1"/>
  <c r="B16670" i="1"/>
  <c r="A16670" i="1"/>
  <c r="D9999" i="1"/>
  <c r="A9999" i="1"/>
  <c r="D14652" i="1"/>
  <c r="B14652" i="1"/>
  <c r="A14652" i="1"/>
  <c r="D9509" i="1"/>
  <c r="B9509" i="1"/>
  <c r="A9509" i="1"/>
  <c r="D18356" i="1"/>
  <c r="C18356" i="1"/>
  <c r="B18356" i="1"/>
  <c r="A18356" i="1"/>
  <c r="D15977" i="1"/>
  <c r="B15977" i="1"/>
  <c r="A15977" i="1"/>
  <c r="D17705" i="1"/>
  <c r="B17705" i="1"/>
  <c r="A17705" i="1"/>
  <c r="D6253" i="1"/>
  <c r="A6253" i="1"/>
  <c r="D6574" i="1"/>
  <c r="A6574" i="1"/>
  <c r="D12643" i="1"/>
  <c r="A12643" i="1"/>
  <c r="D8334" i="1"/>
  <c r="C8334" i="1"/>
  <c r="B8334" i="1"/>
  <c r="A8334" i="1"/>
  <c r="D8708" i="1"/>
  <c r="C8708" i="1"/>
  <c r="B8708" i="1"/>
  <c r="A8708" i="1"/>
  <c r="D13574" i="1"/>
  <c r="B13574" i="1"/>
  <c r="A13574" i="1"/>
  <c r="D6856" i="1"/>
  <c r="B6856" i="1"/>
  <c r="A6856" i="1"/>
  <c r="D16194" i="1"/>
  <c r="A16194" i="1"/>
  <c r="D9771" i="1"/>
  <c r="B9771" i="1"/>
  <c r="A9771" i="1"/>
  <c r="D18620" i="1"/>
  <c r="B18620" i="1"/>
  <c r="A18620" i="1"/>
  <c r="D12018" i="1"/>
  <c r="B12018" i="1"/>
  <c r="A12018" i="1"/>
  <c r="D10469" i="1"/>
  <c r="B10469" i="1"/>
  <c r="A10469" i="1"/>
  <c r="D5944" i="1"/>
  <c r="C5944" i="1"/>
  <c r="B5944" i="1"/>
  <c r="A5944" i="1"/>
  <c r="D16706" i="1"/>
  <c r="B16706" i="1"/>
  <c r="A16706" i="1"/>
  <c r="D14266" i="1"/>
  <c r="B14266" i="1"/>
  <c r="A14266" i="1"/>
  <c r="D16739" i="1"/>
  <c r="C16739" i="1"/>
  <c r="B16739" i="1"/>
  <c r="A16739" i="1"/>
  <c r="D13645" i="1"/>
  <c r="B13645" i="1"/>
  <c r="A13645" i="1"/>
  <c r="D18731" i="1"/>
  <c r="C18731" i="1"/>
  <c r="B18731" i="1"/>
  <c r="A18731" i="1"/>
  <c r="D18297" i="1"/>
  <c r="B18297" i="1"/>
  <c r="A18297" i="1"/>
  <c r="D16631" i="1"/>
  <c r="B16631" i="1"/>
  <c r="A16631" i="1"/>
  <c r="D8594" i="1"/>
  <c r="B8594" i="1"/>
  <c r="A8594" i="1"/>
  <c r="D6840" i="1"/>
  <c r="B6840" i="1"/>
  <c r="A6840" i="1"/>
  <c r="D18011" i="1"/>
  <c r="B18011" i="1"/>
  <c r="A18011" i="1"/>
  <c r="D6969" i="1"/>
  <c r="B6969" i="1"/>
  <c r="A6969" i="1"/>
  <c r="D18285" i="1"/>
  <c r="B18285" i="1"/>
  <c r="A18285" i="1"/>
  <c r="D18414" i="1"/>
  <c r="B18414" i="1"/>
  <c r="A18414" i="1"/>
  <c r="D7642" i="1"/>
  <c r="B7642" i="1"/>
  <c r="A7642" i="1"/>
  <c r="D15676" i="1"/>
  <c r="B15676" i="1"/>
  <c r="A15676" i="1"/>
  <c r="D15458" i="1"/>
  <c r="B15458" i="1"/>
  <c r="A15458" i="1"/>
  <c r="D12332" i="1"/>
  <c r="B12332" i="1"/>
  <c r="A12332" i="1"/>
  <c r="D15924" i="1"/>
  <c r="B15924" i="1"/>
  <c r="A15924" i="1"/>
  <c r="D13370" i="1"/>
  <c r="B13370" i="1"/>
  <c r="A13370" i="1"/>
  <c r="D17899" i="1"/>
  <c r="B17899" i="1"/>
  <c r="A17899" i="1"/>
  <c r="D16774" i="1"/>
  <c r="C16774" i="1"/>
  <c r="B16774" i="1"/>
  <c r="A16774" i="1"/>
  <c r="D8226" i="1"/>
  <c r="B8226" i="1"/>
  <c r="A8226" i="1"/>
  <c r="D8223" i="1"/>
  <c r="B8223" i="1"/>
  <c r="A8223" i="1"/>
  <c r="D18589" i="1"/>
  <c r="B18589" i="1"/>
  <c r="A18589" i="1"/>
  <c r="D16826" i="1"/>
  <c r="B16826" i="1"/>
  <c r="A16826" i="1"/>
  <c r="D14231" i="1"/>
  <c r="C14231" i="1"/>
  <c r="B14231" i="1"/>
  <c r="A14231" i="1"/>
  <c r="D14499" i="1"/>
  <c r="B14499" i="1"/>
  <c r="A14499" i="1"/>
  <c r="D10308" i="1"/>
  <c r="B10308" i="1"/>
  <c r="A10308" i="1"/>
  <c r="D5993" i="1"/>
  <c r="C5993" i="1"/>
  <c r="B5993" i="1"/>
  <c r="A5993" i="1"/>
  <c r="D11685" i="1"/>
  <c r="B11685" i="1"/>
  <c r="A11685" i="1"/>
  <c r="D14743" i="1"/>
  <c r="C14743" i="1"/>
  <c r="B14743" i="1"/>
  <c r="A14743" i="1"/>
  <c r="D10001" i="1"/>
  <c r="B10001" i="1"/>
  <c r="A10001" i="1"/>
  <c r="D13712" i="1"/>
  <c r="C13712" i="1"/>
  <c r="B13712" i="1"/>
  <c r="A13712" i="1"/>
  <c r="D11085" i="1"/>
  <c r="A11085" i="1"/>
  <c r="D17158" i="1"/>
  <c r="A17158" i="1"/>
  <c r="D5967" i="1"/>
  <c r="C5967" i="1"/>
  <c r="B5967" i="1"/>
  <c r="A5967" i="1"/>
  <c r="D13372" i="1"/>
  <c r="B13372" i="1"/>
  <c r="A13372" i="1"/>
  <c r="D17293" i="1"/>
  <c r="B17293" i="1"/>
  <c r="A17293" i="1"/>
  <c r="D14049" i="1"/>
  <c r="B14049" i="1"/>
  <c r="A14049" i="1"/>
  <c r="D13332" i="1"/>
  <c r="B13332" i="1"/>
  <c r="A13332" i="1"/>
  <c r="D10200" i="1"/>
  <c r="B10200" i="1"/>
  <c r="A10200" i="1"/>
  <c r="D18330" i="1"/>
  <c r="A18330" i="1"/>
  <c r="D16973" i="1"/>
  <c r="B16973" i="1"/>
  <c r="A16973" i="1"/>
  <c r="D14052" i="1"/>
  <c r="C14052" i="1"/>
  <c r="B14052" i="1"/>
  <c r="A14052" i="1"/>
  <c r="D10615" i="1"/>
  <c r="B10615" i="1"/>
  <c r="A10615" i="1"/>
  <c r="D11806" i="1"/>
  <c r="B11806" i="1"/>
  <c r="A11806" i="1"/>
  <c r="D14626" i="1"/>
  <c r="B14626" i="1"/>
  <c r="A14626" i="1"/>
  <c r="D7259" i="1"/>
  <c r="C7259" i="1"/>
  <c r="B7259" i="1"/>
  <c r="A7259" i="1"/>
  <c r="D16088" i="1"/>
  <c r="B16088" i="1"/>
  <c r="A16088" i="1"/>
  <c r="D11725" i="1"/>
  <c r="B11725" i="1"/>
  <c r="A11725" i="1"/>
  <c r="D14168" i="1"/>
  <c r="C14168" i="1"/>
  <c r="B14168" i="1"/>
  <c r="A14168" i="1"/>
  <c r="D11407" i="1"/>
  <c r="C11407" i="1"/>
  <c r="B11407" i="1"/>
  <c r="A11407" i="1"/>
  <c r="D18808" i="1"/>
  <c r="B18808" i="1"/>
  <c r="A18808" i="1"/>
  <c r="D13125" i="1"/>
  <c r="B13125" i="1"/>
  <c r="A13125" i="1"/>
  <c r="D12283" i="1"/>
  <c r="C12283" i="1"/>
  <c r="B12283" i="1"/>
  <c r="A12283" i="1"/>
  <c r="D16405" i="1"/>
  <c r="B16405" i="1"/>
  <c r="A16405" i="1"/>
  <c r="D7252" i="1"/>
  <c r="B7252" i="1"/>
  <c r="A7252" i="1"/>
  <c r="D16051" i="1"/>
  <c r="B16051" i="1"/>
  <c r="A16051" i="1"/>
  <c r="D10444" i="1"/>
  <c r="B10444" i="1"/>
  <c r="A10444" i="1"/>
  <c r="D8877" i="1"/>
  <c r="B8877" i="1"/>
  <c r="A8877" i="1"/>
  <c r="D16855" i="1"/>
  <c r="C16855" i="1"/>
  <c r="B16855" i="1"/>
  <c r="A16855" i="1"/>
  <c r="D13110" i="1"/>
  <c r="B13110" i="1"/>
  <c r="A13110" i="1"/>
  <c r="D11954" i="1"/>
  <c r="B11954" i="1"/>
  <c r="A11954" i="1"/>
  <c r="D11497" i="1"/>
  <c r="B11497" i="1"/>
  <c r="A11497" i="1"/>
  <c r="D7629" i="1"/>
  <c r="B7629" i="1"/>
  <c r="A7629" i="1"/>
  <c r="D11235" i="1"/>
  <c r="B11235" i="1"/>
  <c r="A11235" i="1"/>
  <c r="D11708" i="1"/>
  <c r="B11708" i="1"/>
  <c r="A11708" i="1"/>
  <c r="D16358" i="1"/>
  <c r="B16358" i="1"/>
  <c r="A16358" i="1"/>
  <c r="D9739" i="1"/>
  <c r="B9739" i="1"/>
  <c r="A9739" i="1"/>
  <c r="D10216" i="1"/>
  <c r="B10216" i="1"/>
  <c r="A10216" i="1"/>
  <c r="D17954" i="1"/>
  <c r="B17954" i="1"/>
  <c r="A17954" i="1"/>
  <c r="D9044" i="1"/>
  <c r="B9044" i="1"/>
  <c r="A9044" i="1"/>
  <c r="D11279" i="1"/>
  <c r="C11279" i="1"/>
  <c r="B11279" i="1"/>
  <c r="A11279" i="1"/>
  <c r="D10007" i="1"/>
  <c r="C10007" i="1"/>
  <c r="B10007" i="1"/>
  <c r="A10007" i="1"/>
  <c r="D7057" i="1"/>
  <c r="B7057" i="1"/>
  <c r="A7057" i="1"/>
  <c r="D13123" i="1"/>
  <c r="B13123" i="1"/>
  <c r="A13123" i="1"/>
  <c r="D16860" i="1"/>
  <c r="B16860" i="1"/>
  <c r="A16860" i="1"/>
  <c r="D5898" i="1"/>
  <c r="B5898" i="1"/>
  <c r="A5898" i="1"/>
  <c r="D8806" i="1"/>
  <c r="B8806" i="1"/>
  <c r="A8806" i="1"/>
  <c r="D11330" i="1"/>
  <c r="B11330" i="1"/>
  <c r="A11330" i="1"/>
  <c r="D11018" i="1"/>
  <c r="B11018" i="1"/>
  <c r="A11018" i="1"/>
  <c r="D10106" i="1"/>
  <c r="B10106" i="1"/>
  <c r="A10106" i="1"/>
  <c r="D15799" i="1"/>
  <c r="B15799" i="1"/>
  <c r="A15799" i="1"/>
  <c r="D7592" i="1"/>
  <c r="B7592" i="1"/>
  <c r="A7592" i="1"/>
  <c r="D13249" i="1"/>
  <c r="A13249" i="1"/>
  <c r="D12713" i="1"/>
  <c r="C12713" i="1"/>
  <c r="B12713" i="1"/>
  <c r="A12713" i="1"/>
  <c r="D14561" i="1"/>
  <c r="B14561" i="1"/>
  <c r="A14561" i="1"/>
  <c r="D8943" i="1"/>
  <c r="B8943" i="1"/>
  <c r="A8943" i="1"/>
  <c r="D13289" i="1"/>
  <c r="B13289" i="1"/>
  <c r="A13289" i="1"/>
  <c r="D14597" i="1"/>
  <c r="B14597" i="1"/>
  <c r="A14597" i="1"/>
  <c r="D16132" i="1"/>
  <c r="B16132" i="1"/>
  <c r="A16132" i="1"/>
  <c r="D13934" i="1"/>
  <c r="B13934" i="1"/>
  <c r="A13934" i="1"/>
  <c r="D8297" i="1"/>
  <c r="B8297" i="1"/>
  <c r="A8297" i="1"/>
  <c r="D11137" i="1"/>
  <c r="B11137" i="1"/>
  <c r="A11137" i="1"/>
  <c r="D7376" i="1"/>
  <c r="B7376" i="1"/>
  <c r="A7376" i="1"/>
  <c r="D12712" i="1"/>
  <c r="B12712" i="1"/>
  <c r="A12712" i="1"/>
  <c r="D6020" i="1"/>
  <c r="C6020" i="1"/>
  <c r="B6020" i="1"/>
  <c r="A6020" i="1"/>
  <c r="D11124" i="1"/>
  <c r="B11124" i="1"/>
  <c r="A11124" i="1"/>
  <c r="D12381" i="1"/>
  <c r="B12381" i="1"/>
  <c r="A12381" i="1"/>
  <c r="D8228" i="1"/>
  <c r="B8228" i="1"/>
  <c r="A8228" i="1"/>
  <c r="D10322" i="1"/>
  <c r="B10322" i="1"/>
  <c r="A10322" i="1"/>
  <c r="D11158" i="1"/>
  <c r="B11158" i="1"/>
  <c r="A11158" i="1"/>
  <c r="D12527" i="1"/>
  <c r="B12527" i="1"/>
  <c r="A12527" i="1"/>
  <c r="D7628" i="1"/>
  <c r="B7628" i="1"/>
  <c r="A7628" i="1"/>
  <c r="D8053" i="1"/>
  <c r="B8053" i="1"/>
  <c r="A8053" i="1"/>
  <c r="D6125" i="1"/>
  <c r="C6125" i="1"/>
  <c r="B6125" i="1"/>
  <c r="A6125" i="1"/>
  <c r="D13467" i="1"/>
  <c r="B13467" i="1"/>
  <c r="A13467" i="1"/>
  <c r="D14015" i="1"/>
  <c r="B14015" i="1"/>
  <c r="A14015" i="1"/>
  <c r="D12729" i="1"/>
  <c r="C12729" i="1"/>
  <c r="B12729" i="1"/>
  <c r="A12729" i="1"/>
  <c r="D7977" i="1"/>
  <c r="B7977" i="1"/>
  <c r="A7977" i="1"/>
  <c r="D14749" i="1"/>
  <c r="B14749" i="1"/>
  <c r="A14749" i="1"/>
  <c r="D13525" i="1"/>
  <c r="B13525" i="1"/>
  <c r="A13525" i="1"/>
  <c r="D11693" i="1"/>
  <c r="C11693" i="1"/>
  <c r="B11693" i="1"/>
  <c r="A11693" i="1"/>
  <c r="D15964" i="1"/>
  <c r="C15964" i="1"/>
  <c r="B15964" i="1"/>
  <c r="A15964" i="1"/>
  <c r="D5337" i="1"/>
  <c r="A5337" i="1"/>
  <c r="D18040" i="1"/>
  <c r="B18040" i="1"/>
  <c r="A18040" i="1"/>
  <c r="D13558" i="1"/>
  <c r="C13558" i="1"/>
  <c r="B13558" i="1"/>
  <c r="A13558" i="1"/>
  <c r="D9260" i="1"/>
  <c r="B9260" i="1"/>
  <c r="A9260" i="1"/>
  <c r="D12450" i="1"/>
  <c r="A12450" i="1"/>
  <c r="D12039" i="1"/>
  <c r="B12039" i="1"/>
  <c r="A12039" i="1"/>
  <c r="D8994" i="1"/>
  <c r="A8994" i="1"/>
  <c r="D6876" i="1"/>
  <c r="C6876" i="1"/>
  <c r="B6876" i="1"/>
  <c r="A6876" i="1"/>
  <c r="D16967" i="1"/>
  <c r="B16967" i="1"/>
  <c r="A16967" i="1"/>
  <c r="D17268" i="1"/>
  <c r="B17268" i="1"/>
  <c r="A17268" i="1"/>
  <c r="D8857" i="1"/>
  <c r="B8857" i="1"/>
  <c r="A8857" i="1"/>
  <c r="D8604" i="1"/>
  <c r="C8604" i="1"/>
  <c r="B8604" i="1"/>
  <c r="A8604" i="1"/>
  <c r="D9014" i="1"/>
  <c r="B9014" i="1"/>
  <c r="A9014" i="1"/>
  <c r="D17518" i="1"/>
  <c r="A17518" i="1"/>
  <c r="D10754" i="1"/>
  <c r="B10754" i="1"/>
  <c r="A10754" i="1"/>
  <c r="D9536" i="1"/>
  <c r="B9536" i="1"/>
  <c r="A9536" i="1"/>
  <c r="D16890" i="1"/>
  <c r="C16890" i="1"/>
  <c r="B16890" i="1"/>
  <c r="A16890" i="1"/>
  <c r="D11473" i="1"/>
  <c r="A11473" i="1"/>
  <c r="D13368" i="1"/>
  <c r="B13368" i="1"/>
  <c r="A13368" i="1"/>
  <c r="D6280" i="1"/>
  <c r="B6280" i="1"/>
  <c r="A6280" i="1"/>
  <c r="D18623" i="1"/>
  <c r="B18623" i="1"/>
  <c r="A18623" i="1"/>
  <c r="D11970" i="1"/>
  <c r="A11970" i="1"/>
  <c r="D11002" i="1"/>
  <c r="B11002" i="1"/>
  <c r="A11002" i="1"/>
  <c r="D16456" i="1"/>
  <c r="C16456" i="1"/>
  <c r="B16456" i="1"/>
  <c r="A16456" i="1"/>
  <c r="D16270" i="1"/>
  <c r="B16270" i="1"/>
  <c r="A16270" i="1"/>
  <c r="D13141" i="1"/>
  <c r="C13141" i="1"/>
  <c r="B13141" i="1"/>
  <c r="A13141" i="1"/>
  <c r="D6565" i="1"/>
  <c r="B6565" i="1"/>
  <c r="A6565" i="1"/>
  <c r="D7102" i="1"/>
  <c r="B7102" i="1"/>
  <c r="A7102" i="1"/>
  <c r="D12808" i="1"/>
  <c r="C12808" i="1"/>
  <c r="B12808" i="1"/>
  <c r="A12808" i="1"/>
  <c r="D15801" i="1"/>
  <c r="B15801" i="1"/>
  <c r="A15801" i="1"/>
  <c r="D15587" i="1"/>
  <c r="C15587" i="1"/>
  <c r="B15587" i="1"/>
  <c r="A15587" i="1"/>
  <c r="D9070" i="1"/>
  <c r="B9070" i="1"/>
  <c r="A9070" i="1"/>
  <c r="D18378" i="1"/>
  <c r="B18378" i="1"/>
  <c r="A18378" i="1"/>
  <c r="D9374" i="1"/>
  <c r="B9374" i="1"/>
  <c r="A9374" i="1"/>
  <c r="D8299" i="1"/>
  <c r="B8299" i="1"/>
  <c r="A8299" i="1"/>
  <c r="D14593" i="1"/>
  <c r="B14593" i="1"/>
  <c r="A14593" i="1"/>
  <c r="D11627" i="1"/>
  <c r="C11627" i="1"/>
  <c r="B11627" i="1"/>
  <c r="A11627" i="1"/>
  <c r="D8908" i="1"/>
  <c r="B8908" i="1"/>
  <c r="A8908" i="1"/>
  <c r="D13996" i="1"/>
  <c r="B13996" i="1"/>
  <c r="A13996" i="1"/>
  <c r="D16320" i="1"/>
  <c r="B16320" i="1"/>
  <c r="A16320" i="1"/>
  <c r="D18431" i="1"/>
  <c r="C18431" i="1"/>
  <c r="B18431" i="1"/>
  <c r="A18431" i="1"/>
  <c r="D13701" i="1"/>
  <c r="C13701" i="1"/>
  <c r="B13701" i="1"/>
  <c r="A13701" i="1"/>
  <c r="D12325" i="1"/>
  <c r="B12325" i="1"/>
  <c r="A12325" i="1"/>
  <c r="D12033" i="1"/>
  <c r="B12033" i="1"/>
  <c r="A12033" i="1"/>
  <c r="D8368" i="1"/>
  <c r="C8368" i="1"/>
  <c r="B8368" i="1"/>
  <c r="A8368" i="1"/>
  <c r="D9144" i="1"/>
  <c r="B9144" i="1"/>
  <c r="A9144" i="1"/>
  <c r="D8446" i="1"/>
  <c r="B8446" i="1"/>
  <c r="A8446" i="1"/>
  <c r="D6827" i="1"/>
  <c r="B6827" i="1"/>
  <c r="A6827" i="1"/>
  <c r="D12311" i="1"/>
  <c r="B12311" i="1"/>
  <c r="A12311" i="1"/>
  <c r="D7479" i="1"/>
  <c r="B7479" i="1"/>
  <c r="A7479" i="1"/>
  <c r="D15573" i="1"/>
  <c r="B15573" i="1"/>
  <c r="A15573" i="1"/>
  <c r="D14565" i="1"/>
  <c r="C14565" i="1"/>
  <c r="B14565" i="1"/>
  <c r="A14565" i="1"/>
  <c r="D13462" i="1"/>
  <c r="B13462" i="1"/>
  <c r="A13462" i="1"/>
  <c r="D8239" i="1"/>
  <c r="B8239" i="1"/>
  <c r="A8239" i="1"/>
  <c r="D16029" i="1"/>
  <c r="B16029" i="1"/>
  <c r="A16029" i="1"/>
  <c r="D16262" i="1"/>
  <c r="A16262" i="1"/>
  <c r="D12888" i="1"/>
  <c r="A12888" i="1"/>
  <c r="D7791" i="1"/>
  <c r="A7791" i="1"/>
  <c r="D13303" i="1"/>
  <c r="B13303" i="1"/>
  <c r="A13303" i="1"/>
  <c r="D14408" i="1"/>
  <c r="C14408" i="1"/>
  <c r="B14408" i="1"/>
  <c r="A14408" i="1"/>
  <c r="D16742" i="1"/>
  <c r="C16742" i="1"/>
  <c r="B16742" i="1"/>
  <c r="A16742" i="1"/>
  <c r="D12618" i="1"/>
  <c r="B12618" i="1"/>
  <c r="A12618" i="1"/>
  <c r="D13361" i="1"/>
  <c r="B13361" i="1"/>
  <c r="A13361" i="1"/>
  <c r="D8819" i="1"/>
  <c r="B8819" i="1"/>
  <c r="A8819" i="1"/>
  <c r="D8899" i="1"/>
  <c r="B8899" i="1"/>
  <c r="A8899" i="1"/>
  <c r="D8691" i="1"/>
  <c r="B8691" i="1"/>
  <c r="A8691" i="1"/>
  <c r="D9582" i="1"/>
  <c r="B9582" i="1"/>
  <c r="A9582" i="1"/>
  <c r="D18710" i="1"/>
  <c r="B18710" i="1"/>
  <c r="A18710" i="1"/>
  <c r="D9682" i="1"/>
  <c r="B9682" i="1"/>
  <c r="A9682" i="1"/>
  <c r="D17194" i="1"/>
  <c r="B17194" i="1"/>
  <c r="A17194" i="1"/>
  <c r="D8599" i="1"/>
  <c r="C8599" i="1"/>
  <c r="B8599" i="1"/>
  <c r="A8599" i="1"/>
  <c r="D11228" i="1"/>
  <c r="C11228" i="1"/>
  <c r="B11228" i="1"/>
  <c r="A11228" i="1"/>
  <c r="D13860" i="1"/>
  <c r="B13860" i="1"/>
  <c r="A13860" i="1"/>
  <c r="D9054" i="1"/>
  <c r="B9054" i="1"/>
  <c r="A9054" i="1"/>
  <c r="D7459" i="1"/>
  <c r="B7459" i="1"/>
  <c r="A7459" i="1"/>
  <c r="D8194" i="1"/>
  <c r="C8194" i="1"/>
  <c r="B8194" i="1"/>
  <c r="A8194" i="1"/>
  <c r="D8513" i="1"/>
  <c r="B8513" i="1"/>
  <c r="A8513" i="1"/>
  <c r="D8365" i="1"/>
  <c r="B8365" i="1"/>
  <c r="A8365" i="1"/>
  <c r="D14755" i="1"/>
  <c r="B14755" i="1"/>
  <c r="A14755" i="1"/>
  <c r="D8391" i="1"/>
  <c r="C8391" i="1"/>
  <c r="B8391" i="1"/>
  <c r="A8391" i="1"/>
  <c r="D10148" i="1"/>
  <c r="C10148" i="1"/>
  <c r="B10148" i="1"/>
  <c r="A10148" i="1"/>
  <c r="D17289" i="1"/>
  <c r="B17289" i="1"/>
  <c r="A17289" i="1"/>
  <c r="D10335" i="1"/>
  <c r="B10335" i="1"/>
  <c r="A10335" i="1"/>
  <c r="D13363" i="1"/>
  <c r="B13363" i="1"/>
  <c r="A13363" i="1"/>
  <c r="D13767" i="1"/>
  <c r="B13767" i="1"/>
  <c r="A13767" i="1"/>
  <c r="D17002" i="1"/>
  <c r="B17002" i="1"/>
  <c r="A17002" i="1"/>
  <c r="D9706" i="1"/>
  <c r="B9706" i="1"/>
  <c r="A9706" i="1"/>
  <c r="D11386" i="1"/>
  <c r="C11386" i="1"/>
  <c r="B11386" i="1"/>
  <c r="A11386" i="1"/>
  <c r="D7586" i="1"/>
  <c r="B7586" i="1"/>
  <c r="A7586" i="1"/>
  <c r="D11607" i="1"/>
  <c r="B11607" i="1"/>
  <c r="A11607" i="1"/>
  <c r="D11273" i="1"/>
  <c r="B11273" i="1"/>
  <c r="A11273" i="1"/>
  <c r="D12413" i="1"/>
  <c r="B12413" i="1"/>
  <c r="A12413" i="1"/>
  <c r="D13395" i="1"/>
  <c r="C13395" i="1"/>
  <c r="B13395" i="1"/>
  <c r="A13395" i="1"/>
  <c r="D9230" i="1"/>
  <c r="B9230" i="1"/>
  <c r="A9230" i="1"/>
  <c r="D17788" i="1"/>
  <c r="B17788" i="1"/>
  <c r="A17788" i="1"/>
  <c r="D8870" i="1"/>
  <c r="C8870" i="1"/>
  <c r="B8870" i="1"/>
  <c r="A8870" i="1"/>
  <c r="D7945" i="1"/>
  <c r="B7945" i="1"/>
  <c r="A7945" i="1"/>
  <c r="D11052" i="1"/>
  <c r="B11052" i="1"/>
  <c r="A11052" i="1"/>
  <c r="D11145" i="1"/>
  <c r="B11145" i="1"/>
  <c r="A11145" i="1"/>
  <c r="D9936" i="1"/>
  <c r="B9936" i="1"/>
  <c r="A9936" i="1"/>
  <c r="D13532" i="1"/>
  <c r="B13532" i="1"/>
  <c r="A13532" i="1"/>
  <c r="D12305" i="1"/>
  <c r="B12305" i="1"/>
  <c r="A12305" i="1"/>
  <c r="D9314" i="1"/>
  <c r="B9314" i="1"/>
  <c r="A9314" i="1"/>
  <c r="D17208" i="1"/>
  <c r="B17208" i="1"/>
  <c r="A17208" i="1"/>
  <c r="D13279" i="1"/>
  <c r="B13279" i="1"/>
  <c r="A13279" i="1"/>
  <c r="D11260" i="1"/>
  <c r="B11260" i="1"/>
  <c r="A11260" i="1"/>
  <c r="D11076" i="1"/>
  <c r="B11076" i="1"/>
  <c r="A11076" i="1"/>
  <c r="D9357" i="1"/>
  <c r="B9357" i="1"/>
  <c r="A9357" i="1"/>
  <c r="D9141" i="1"/>
  <c r="B9141" i="1"/>
  <c r="A9141" i="1"/>
  <c r="D5946" i="1"/>
  <c r="C5946" i="1"/>
  <c r="B5946" i="1"/>
  <c r="A5946" i="1"/>
  <c r="D17995" i="1"/>
  <c r="C17995" i="1"/>
  <c r="B17995" i="1"/>
  <c r="A17995" i="1"/>
  <c r="D11885" i="1"/>
  <c r="B11885" i="1"/>
  <c r="A11885" i="1"/>
  <c r="D16412" i="1"/>
  <c r="B16412" i="1"/>
  <c r="A16412" i="1"/>
  <c r="D11868" i="1"/>
  <c r="B11868" i="1"/>
  <c r="A11868" i="1"/>
  <c r="D15645" i="1"/>
  <c r="B15645" i="1"/>
  <c r="A15645" i="1"/>
  <c r="D14701" i="1"/>
  <c r="B14701" i="1"/>
  <c r="A14701" i="1"/>
  <c r="D8782" i="1"/>
  <c r="B8782" i="1"/>
  <c r="A8782" i="1"/>
  <c r="D14769" i="1"/>
  <c r="B14769" i="1"/>
  <c r="A14769" i="1"/>
  <c r="D6767" i="1"/>
  <c r="B6767" i="1"/>
  <c r="A6767" i="1"/>
  <c r="D10108" i="1"/>
  <c r="B10108" i="1"/>
  <c r="A10108" i="1"/>
  <c r="D6594" i="1"/>
  <c r="B6594" i="1"/>
  <c r="A6594" i="1"/>
  <c r="D17970" i="1"/>
  <c r="B17970" i="1"/>
  <c r="A17970" i="1"/>
  <c r="D12766" i="1"/>
  <c r="B12766" i="1"/>
  <c r="A12766" i="1"/>
  <c r="D11122" i="1"/>
  <c r="B11122" i="1"/>
  <c r="A11122" i="1"/>
  <c r="D7427" i="1"/>
  <c r="B7427" i="1"/>
  <c r="A7427" i="1"/>
  <c r="D9721" i="1"/>
  <c r="C9721" i="1"/>
  <c r="B9721" i="1"/>
  <c r="A9721" i="1"/>
  <c r="D13124" i="1"/>
  <c r="C13124" i="1"/>
  <c r="B13124" i="1"/>
  <c r="A13124" i="1"/>
  <c r="D6462" i="1"/>
  <c r="B6462" i="1"/>
  <c r="A6462" i="1"/>
  <c r="D11851" i="1"/>
  <c r="C11851" i="1"/>
  <c r="B11851" i="1"/>
  <c r="A11851" i="1"/>
  <c r="D13168" i="1"/>
  <c r="B13168" i="1"/>
  <c r="A13168" i="1"/>
  <c r="D16668" i="1"/>
  <c r="B16668" i="1"/>
  <c r="A16668" i="1"/>
  <c r="D9197" i="1"/>
  <c r="B9197" i="1"/>
  <c r="A9197" i="1"/>
  <c r="D6618" i="1"/>
  <c r="B6618" i="1"/>
  <c r="A6618" i="1"/>
  <c r="D13380" i="1"/>
  <c r="B13380" i="1"/>
  <c r="A13380" i="1"/>
  <c r="D11726" i="1"/>
  <c r="B11726" i="1"/>
  <c r="A11726" i="1"/>
  <c r="D10101" i="1"/>
  <c r="A10101" i="1"/>
  <c r="D9581" i="1"/>
  <c r="B9581" i="1"/>
  <c r="A9581" i="1"/>
  <c r="D8406" i="1"/>
  <c r="C8406" i="1"/>
  <c r="B8406" i="1"/>
  <c r="A8406" i="1"/>
  <c r="D7960" i="1"/>
  <c r="B7960" i="1"/>
  <c r="A7960" i="1"/>
  <c r="D12916" i="1"/>
  <c r="B12916" i="1"/>
  <c r="A12916" i="1"/>
  <c r="D10423" i="1"/>
  <c r="B10423" i="1"/>
  <c r="A10423" i="1"/>
  <c r="D14276" i="1"/>
  <c r="C14276" i="1"/>
  <c r="B14276" i="1"/>
  <c r="A14276" i="1"/>
  <c r="D7691" i="1"/>
  <c r="B7691" i="1"/>
  <c r="A7691" i="1"/>
  <c r="D17376" i="1"/>
  <c r="B17376" i="1"/>
  <c r="A17376" i="1"/>
  <c r="D13547" i="1"/>
  <c r="B13547" i="1"/>
  <c r="A13547" i="1"/>
  <c r="D15557" i="1"/>
  <c r="C15557" i="1"/>
  <c r="B15557" i="1"/>
  <c r="A15557" i="1"/>
  <c r="D10616" i="1"/>
  <c r="C10616" i="1"/>
  <c r="B10616" i="1"/>
  <c r="A10616" i="1"/>
  <c r="D12392" i="1"/>
  <c r="B12392" i="1"/>
  <c r="A12392" i="1"/>
  <c r="D8924" i="1"/>
  <c r="B8924" i="1"/>
  <c r="A8924" i="1"/>
  <c r="D17224" i="1"/>
  <c r="B17224" i="1"/>
  <c r="A17224" i="1"/>
  <c r="D9545" i="1"/>
  <c r="B9545" i="1"/>
  <c r="A9545" i="1"/>
  <c r="D10116" i="1"/>
  <c r="B10116" i="1"/>
  <c r="A10116" i="1"/>
  <c r="D10807" i="1"/>
  <c r="B10807" i="1"/>
  <c r="A10807" i="1"/>
  <c r="D8553" i="1"/>
  <c r="B8553" i="1"/>
  <c r="A8553" i="1"/>
  <c r="D14524" i="1"/>
  <c r="C14524" i="1"/>
  <c r="B14524" i="1"/>
  <c r="A14524" i="1"/>
  <c r="D11615" i="1"/>
  <c r="B11615" i="1"/>
  <c r="A11615" i="1"/>
  <c r="D8307" i="1"/>
  <c r="B8307" i="1"/>
  <c r="A8307" i="1"/>
  <c r="D16639" i="1"/>
  <c r="B16639" i="1"/>
  <c r="A16639" i="1"/>
  <c r="D6813" i="1"/>
  <c r="B6813" i="1"/>
  <c r="A6813" i="1"/>
  <c r="D11624" i="1"/>
  <c r="B11624" i="1"/>
  <c r="A11624" i="1"/>
  <c r="D17529" i="1"/>
  <c r="B17529" i="1"/>
  <c r="A17529" i="1"/>
  <c r="D8424" i="1"/>
  <c r="B8424" i="1"/>
  <c r="A8424" i="1"/>
  <c r="D13841" i="1"/>
  <c r="B13841" i="1"/>
  <c r="A13841" i="1"/>
  <c r="D13152" i="1"/>
  <c r="B13152" i="1"/>
  <c r="A13152" i="1"/>
  <c r="D16733" i="1"/>
  <c r="B16733" i="1"/>
  <c r="A16733" i="1"/>
  <c r="D17625" i="1"/>
  <c r="B17625" i="1"/>
  <c r="A17625" i="1"/>
  <c r="D12825" i="1"/>
  <c r="B12825" i="1"/>
  <c r="A12825" i="1"/>
  <c r="D8010" i="1"/>
  <c r="B8010" i="1"/>
  <c r="A8010" i="1"/>
  <c r="D13376" i="1"/>
  <c r="C13376" i="1"/>
  <c r="B13376" i="1"/>
  <c r="A13376" i="1"/>
  <c r="D18622" i="1"/>
  <c r="B18622" i="1"/>
  <c r="A18622" i="1"/>
  <c r="D14485" i="1"/>
  <c r="B14485" i="1"/>
  <c r="A14485" i="1"/>
  <c r="D15998" i="1"/>
  <c r="A15998" i="1"/>
  <c r="D7242" i="1"/>
  <c r="B7242" i="1"/>
  <c r="A7242" i="1"/>
  <c r="D16541" i="1"/>
  <c r="C16541" i="1"/>
  <c r="B16541" i="1"/>
  <c r="A16541" i="1"/>
  <c r="D17344" i="1"/>
  <c r="B17344" i="1"/>
  <c r="A17344" i="1"/>
  <c r="D17985" i="1"/>
  <c r="B17985" i="1"/>
  <c r="A17985" i="1"/>
  <c r="D13765" i="1"/>
  <c r="B13765" i="1"/>
  <c r="A13765" i="1"/>
  <c r="D11295" i="1"/>
  <c r="C11295" i="1"/>
  <c r="B11295" i="1"/>
  <c r="A11295" i="1"/>
  <c r="D12672" i="1"/>
  <c r="B12672" i="1"/>
  <c r="A12672" i="1"/>
  <c r="D6982" i="1"/>
  <c r="B6982" i="1"/>
  <c r="A6982" i="1"/>
  <c r="D7413" i="1"/>
  <c r="B7413" i="1"/>
  <c r="A7413" i="1"/>
  <c r="D10510" i="1"/>
  <c r="B10510" i="1"/>
  <c r="A10510" i="1"/>
  <c r="D13924" i="1"/>
  <c r="B13924" i="1"/>
  <c r="A13924" i="1"/>
  <c r="D8826" i="1"/>
  <c r="B8826" i="1"/>
  <c r="A8826" i="1"/>
  <c r="D12457" i="1"/>
  <c r="A12457" i="1"/>
  <c r="D11177" i="1"/>
  <c r="B11177" i="1"/>
  <c r="A11177" i="1"/>
  <c r="D18517" i="1"/>
  <c r="B18517" i="1"/>
  <c r="A18517" i="1"/>
  <c r="D9885" i="1"/>
  <c r="B9885" i="1"/>
  <c r="A9885" i="1"/>
  <c r="D14232" i="1"/>
  <c r="B14232" i="1"/>
  <c r="A14232" i="1"/>
  <c r="D13191" i="1"/>
  <c r="B13191" i="1"/>
  <c r="A13191" i="1"/>
  <c r="D6265" i="1"/>
  <c r="B6265" i="1"/>
  <c r="A6265" i="1"/>
  <c r="D9826" i="1"/>
  <c r="B9826" i="1"/>
  <c r="A9826" i="1"/>
  <c r="D5984" i="1"/>
  <c r="B5984" i="1"/>
  <c r="A5984" i="1"/>
  <c r="D13665" i="1"/>
  <c r="B13665" i="1"/>
  <c r="A13665" i="1"/>
  <c r="D11316" i="1"/>
  <c r="A11316" i="1"/>
  <c r="D14668" i="1"/>
  <c r="C14668" i="1"/>
  <c r="B14668" i="1"/>
  <c r="A14668" i="1"/>
  <c r="D16209" i="1"/>
  <c r="B16209" i="1"/>
  <c r="A16209" i="1"/>
  <c r="D13190" i="1"/>
  <c r="B13190" i="1"/>
  <c r="A13190" i="1"/>
  <c r="D14537" i="1"/>
  <c r="B14537" i="1"/>
  <c r="A14537" i="1"/>
  <c r="D18329" i="1"/>
  <c r="C18329" i="1"/>
  <c r="B18329" i="1"/>
  <c r="A18329" i="1"/>
  <c r="D16993" i="1"/>
  <c r="B16993" i="1"/>
  <c r="A16993" i="1"/>
  <c r="D18463" i="1"/>
  <c r="B18463" i="1"/>
  <c r="A18463" i="1"/>
  <c r="D16081" i="1"/>
  <c r="B16081" i="1"/>
  <c r="A16081" i="1"/>
  <c r="D8602" i="1"/>
  <c r="C8602" i="1"/>
  <c r="B8602" i="1"/>
  <c r="A8602" i="1"/>
  <c r="D16752" i="1"/>
  <c r="C16752" i="1"/>
  <c r="B16752" i="1"/>
  <c r="A16752" i="1"/>
  <c r="D18711" i="1"/>
  <c r="B18711" i="1"/>
  <c r="A18711" i="1"/>
  <c r="D13362" i="1"/>
  <c r="B13362" i="1"/>
  <c r="A13362" i="1"/>
  <c r="D16719" i="1"/>
  <c r="B16719" i="1"/>
  <c r="A16719" i="1"/>
  <c r="D17645" i="1"/>
  <c r="B17645" i="1"/>
  <c r="A17645" i="1"/>
  <c r="D11070" i="1"/>
  <c r="B11070" i="1"/>
  <c r="A11070" i="1"/>
  <c r="D13150" i="1"/>
  <c r="B13150" i="1"/>
  <c r="A13150" i="1"/>
  <c r="D5948" i="1"/>
  <c r="C5948" i="1"/>
  <c r="B5948" i="1"/>
  <c r="A5948" i="1"/>
  <c r="D8295" i="1"/>
  <c r="B8295" i="1"/>
  <c r="A8295" i="1"/>
  <c r="D8326" i="1"/>
  <c r="C8326" i="1"/>
  <c r="B8326" i="1"/>
  <c r="A8326" i="1"/>
  <c r="D14605" i="1"/>
  <c r="B14605" i="1"/>
  <c r="A14605" i="1"/>
  <c r="D18396" i="1"/>
  <c r="A18396" i="1"/>
  <c r="D11884" i="1"/>
  <c r="B11884" i="1"/>
  <c r="A11884" i="1"/>
  <c r="D15591" i="1"/>
  <c r="B15591" i="1"/>
  <c r="A15591" i="1"/>
  <c r="D6626" i="1"/>
  <c r="B6626" i="1"/>
  <c r="A6626" i="1"/>
  <c r="D9125" i="1"/>
  <c r="B9125" i="1"/>
  <c r="A9125" i="1"/>
  <c r="D13311" i="1"/>
  <c r="B13311" i="1"/>
  <c r="A13311" i="1"/>
  <c r="D14623" i="1"/>
  <c r="C14623" i="1"/>
  <c r="B14623" i="1"/>
  <c r="A14623" i="1"/>
  <c r="D13298" i="1"/>
  <c r="B13298" i="1"/>
  <c r="A13298" i="1"/>
  <c r="D10587" i="1"/>
  <c r="A10587" i="1"/>
  <c r="D10958" i="1"/>
  <c r="B10958" i="1"/>
  <c r="A10958" i="1"/>
  <c r="D13533" i="1"/>
  <c r="B13533" i="1"/>
  <c r="A13533" i="1"/>
  <c r="D18755" i="1"/>
  <c r="B18755" i="1"/>
  <c r="A18755" i="1"/>
  <c r="D8586" i="1"/>
  <c r="C8586" i="1"/>
  <c r="B8586" i="1"/>
  <c r="A8586" i="1"/>
  <c r="D16794" i="1"/>
  <c r="B16794" i="1"/>
  <c r="A16794" i="1"/>
  <c r="D18534" i="1"/>
  <c r="B18534" i="1"/>
  <c r="A18534" i="1"/>
  <c r="D11054" i="1"/>
  <c r="B11054" i="1"/>
  <c r="A11054" i="1"/>
  <c r="D11262" i="1"/>
  <c r="B11262" i="1"/>
  <c r="A11262" i="1"/>
  <c r="D12129" i="1"/>
  <c r="B12129" i="1"/>
  <c r="A12129" i="1"/>
  <c r="D7068" i="1"/>
  <c r="B7068" i="1"/>
  <c r="A7068" i="1"/>
  <c r="D17480" i="1"/>
  <c r="B17480" i="1"/>
  <c r="A17480" i="1"/>
  <c r="D5974" i="1"/>
  <c r="B5974" i="1"/>
  <c r="A5974" i="1"/>
  <c r="D18392" i="1"/>
  <c r="C18392" i="1"/>
  <c r="B18392" i="1"/>
  <c r="A18392" i="1"/>
  <c r="D7246" i="1"/>
  <c r="B7246" i="1"/>
  <c r="A7246" i="1"/>
  <c r="D6509" i="1"/>
  <c r="B6509" i="1"/>
  <c r="A6509" i="1"/>
  <c r="D15950" i="1"/>
  <c r="B15950" i="1"/>
  <c r="A15950" i="1"/>
  <c r="D13818" i="1"/>
  <c r="B13818" i="1"/>
  <c r="A13818" i="1"/>
  <c r="D12082" i="1"/>
  <c r="A12082" i="1"/>
  <c r="D13690" i="1"/>
  <c r="B13690" i="1"/>
  <c r="A13690" i="1"/>
  <c r="D7575" i="1"/>
  <c r="B7575" i="1"/>
  <c r="A7575" i="1"/>
  <c r="D11819" i="1"/>
  <c r="B11819" i="1"/>
  <c r="A11819" i="1"/>
  <c r="D8327" i="1"/>
  <c r="C8327" i="1"/>
  <c r="B8327" i="1"/>
  <c r="A8327" i="1"/>
  <c r="D12925" i="1"/>
  <c r="C12925" i="1"/>
  <c r="B12925" i="1"/>
  <c r="A12925" i="1"/>
  <c r="D15758" i="1"/>
  <c r="B15758" i="1"/>
  <c r="A15758" i="1"/>
  <c r="D7805" i="1"/>
  <c r="B7805" i="1"/>
  <c r="A7805" i="1"/>
  <c r="D6195" i="1"/>
  <c r="C6195" i="1"/>
  <c r="B6195" i="1"/>
  <c r="A6195" i="1"/>
  <c r="D12824" i="1"/>
  <c r="B12824" i="1"/>
  <c r="A12824" i="1"/>
  <c r="D7939" i="1"/>
  <c r="B7939" i="1"/>
  <c r="A7939" i="1"/>
  <c r="D9103" i="1"/>
  <c r="C9103" i="1"/>
  <c r="B9103" i="1"/>
  <c r="A9103" i="1"/>
  <c r="D5972" i="1"/>
  <c r="C5972" i="1"/>
  <c r="B5972" i="1"/>
  <c r="A5972" i="1"/>
  <c r="D15743" i="1"/>
  <c r="B15743" i="1"/>
  <c r="A15743" i="1"/>
  <c r="D18218" i="1"/>
  <c r="B18218" i="1"/>
  <c r="A18218" i="1"/>
  <c r="D6260" i="1"/>
  <c r="B6260" i="1"/>
  <c r="A6260" i="1"/>
  <c r="D11548" i="1"/>
  <c r="B11548" i="1"/>
  <c r="A11548" i="1"/>
  <c r="D11555" i="1"/>
  <c r="C11555" i="1"/>
  <c r="B11555" i="1"/>
  <c r="A11555" i="1"/>
  <c r="D17916" i="1"/>
  <c r="B17916" i="1"/>
  <c r="A17916" i="1"/>
  <c r="D13884" i="1"/>
  <c r="B13884" i="1"/>
  <c r="A13884" i="1"/>
  <c r="D6206" i="1"/>
  <c r="B6206" i="1"/>
  <c r="A6206" i="1"/>
  <c r="D12958" i="1"/>
  <c r="C12958" i="1"/>
  <c r="B12958" i="1"/>
  <c r="A12958" i="1"/>
  <c r="D13753" i="1"/>
  <c r="B13753" i="1"/>
  <c r="A13753" i="1"/>
  <c r="D11224" i="1"/>
  <c r="B11224" i="1"/>
  <c r="A11224" i="1"/>
  <c r="D9311" i="1"/>
  <c r="B9311" i="1"/>
  <c r="A9311" i="1"/>
  <c r="D7972" i="1"/>
  <c r="B7972" i="1"/>
  <c r="A7972" i="1"/>
  <c r="D9523" i="1"/>
  <c r="B9523" i="1"/>
  <c r="A9523" i="1"/>
  <c r="D18430" i="1"/>
  <c r="B18430" i="1"/>
  <c r="A18430" i="1"/>
  <c r="D13214" i="1"/>
  <c r="B13214" i="1"/>
  <c r="A13214" i="1"/>
  <c r="D9642" i="1"/>
  <c r="B9642" i="1"/>
  <c r="A9642" i="1"/>
  <c r="D7363" i="1"/>
  <c r="B7363" i="1"/>
  <c r="A7363" i="1"/>
  <c r="D13221" i="1"/>
  <c r="B13221" i="1"/>
  <c r="A13221" i="1"/>
  <c r="D8156" i="1"/>
  <c r="B8156" i="1"/>
  <c r="A8156" i="1"/>
  <c r="D8598" i="1"/>
  <c r="B8598" i="1"/>
  <c r="A8598" i="1"/>
  <c r="D18368" i="1"/>
  <c r="B18368" i="1"/>
  <c r="A18368" i="1"/>
  <c r="D8855" i="1"/>
  <c r="B8855" i="1"/>
  <c r="A8855" i="1"/>
  <c r="D10273" i="1"/>
  <c r="B10273" i="1"/>
  <c r="A10273" i="1"/>
  <c r="D11700" i="1"/>
  <c r="B11700" i="1"/>
  <c r="A11700" i="1"/>
  <c r="D16004" i="1"/>
  <c r="B16004" i="1"/>
  <c r="A16004" i="1"/>
  <c r="D11296" i="1"/>
  <c r="B11296" i="1"/>
  <c r="A11296" i="1"/>
  <c r="D18550" i="1"/>
  <c r="B18550" i="1"/>
  <c r="A18550" i="1"/>
  <c r="D17165" i="1"/>
  <c r="B17165" i="1"/>
  <c r="A17165" i="1"/>
  <c r="D11231" i="1"/>
  <c r="C11231" i="1"/>
  <c r="B11231" i="1"/>
  <c r="A11231" i="1"/>
  <c r="D6835" i="1"/>
  <c r="B6835" i="1"/>
  <c r="A6835" i="1"/>
  <c r="D9376" i="1"/>
  <c r="B9376" i="1"/>
  <c r="A9376" i="1"/>
  <c r="D15935" i="1"/>
  <c r="B15935" i="1"/>
  <c r="A15935" i="1"/>
  <c r="D7872" i="1"/>
  <c r="C7872" i="1"/>
  <c r="B7872" i="1"/>
  <c r="A7872" i="1"/>
  <c r="D13407" i="1"/>
  <c r="C13407" i="1"/>
  <c r="B13407" i="1"/>
  <c r="A13407" i="1"/>
  <c r="D12599" i="1"/>
  <c r="B12599" i="1"/>
  <c r="A12599" i="1"/>
  <c r="D17404" i="1"/>
  <c r="B17404" i="1"/>
  <c r="A17404" i="1"/>
  <c r="D17659" i="1"/>
  <c r="B17659" i="1"/>
  <c r="A17659" i="1"/>
  <c r="D6670" i="1"/>
  <c r="B6670" i="1"/>
  <c r="A6670" i="1"/>
  <c r="D18074" i="1"/>
  <c r="C18074" i="1"/>
  <c r="B18074" i="1"/>
  <c r="A18074" i="1"/>
  <c r="D10241" i="1"/>
  <c r="B10241" i="1"/>
  <c r="A10241" i="1"/>
  <c r="D13725" i="1"/>
  <c r="C13725" i="1"/>
  <c r="B13725" i="1"/>
  <c r="A13725" i="1"/>
  <c r="D11140" i="1"/>
  <c r="B11140" i="1"/>
  <c r="A11140" i="1"/>
  <c r="D12488" i="1"/>
  <c r="A12488" i="1"/>
  <c r="D9647" i="1"/>
  <c r="A9647" i="1"/>
  <c r="D14043" i="1"/>
  <c r="A14043" i="1"/>
  <c r="D11022" i="1"/>
  <c r="B11022" i="1"/>
  <c r="A11022" i="1"/>
  <c r="D11826" i="1"/>
  <c r="C11826" i="1"/>
  <c r="B11826" i="1"/>
  <c r="A11826" i="1"/>
  <c r="D10957" i="1"/>
  <c r="B10957" i="1"/>
  <c r="A10957" i="1"/>
  <c r="D8314" i="1"/>
  <c r="B8314" i="1"/>
  <c r="A8314" i="1"/>
  <c r="D9397" i="1"/>
  <c r="B9397" i="1"/>
  <c r="A9397" i="1"/>
  <c r="D12548" i="1"/>
  <c r="B12548" i="1"/>
  <c r="A12548" i="1"/>
  <c r="D7462" i="1"/>
  <c r="B7462" i="1"/>
  <c r="A7462" i="1"/>
  <c r="D8795" i="1"/>
  <c r="B8795" i="1"/>
  <c r="A8795" i="1"/>
  <c r="D6174" i="1"/>
  <c r="C6174" i="1"/>
  <c r="B6174" i="1"/>
  <c r="A6174" i="1"/>
  <c r="D8477" i="1"/>
  <c r="B8477" i="1"/>
  <c r="A8477" i="1"/>
  <c r="D6528" i="1"/>
  <c r="B6528" i="1"/>
  <c r="A6528" i="1"/>
  <c r="D16565" i="1"/>
  <c r="C16565" i="1"/>
  <c r="B16565" i="1"/>
  <c r="A16565" i="1"/>
  <c r="D14489" i="1"/>
  <c r="B14489" i="1"/>
  <c r="A14489" i="1"/>
  <c r="D11618" i="1"/>
  <c r="B11618" i="1"/>
  <c r="A11618" i="1"/>
  <c r="D14868" i="1"/>
  <c r="B14868" i="1"/>
  <c r="A14868" i="1"/>
  <c r="D9547" i="1"/>
  <c r="B9547" i="1"/>
  <c r="A9547" i="1"/>
  <c r="D10051" i="1"/>
  <c r="B10051" i="1"/>
  <c r="A10051" i="1"/>
  <c r="D15247" i="1"/>
  <c r="B15247" i="1"/>
  <c r="A15247" i="1"/>
  <c r="D16647" i="1"/>
  <c r="B16647" i="1"/>
  <c r="A16647" i="1"/>
  <c r="D16186" i="1"/>
  <c r="B16186" i="1"/>
  <c r="A16186" i="1"/>
  <c r="D18106" i="1"/>
  <c r="B18106" i="1"/>
  <c r="A18106" i="1"/>
  <c r="D18798" i="1"/>
  <c r="C18798" i="1"/>
  <c r="B18798" i="1"/>
  <c r="A18798" i="1"/>
  <c r="D16942" i="1"/>
  <c r="C16942" i="1"/>
  <c r="B16942" i="1"/>
  <c r="A16942" i="1"/>
  <c r="D17064" i="1"/>
  <c r="A17064" i="1"/>
  <c r="D16044" i="1"/>
  <c r="B16044" i="1"/>
  <c r="A16044" i="1"/>
  <c r="D11961" i="1"/>
  <c r="B11961" i="1"/>
  <c r="A11961" i="1"/>
  <c r="D9968" i="1"/>
  <c r="B9968" i="1"/>
  <c r="A9968" i="1"/>
  <c r="D11205" i="1"/>
  <c r="C11205" i="1"/>
  <c r="B11205" i="1"/>
  <c r="A11205" i="1"/>
  <c r="D15829" i="1"/>
  <c r="A15829" i="1"/>
  <c r="D14493" i="1"/>
  <c r="B14493" i="1"/>
  <c r="A14493" i="1"/>
  <c r="D13705" i="1"/>
  <c r="B13705" i="1"/>
  <c r="A13705" i="1"/>
  <c r="D13183" i="1"/>
  <c r="B13183" i="1"/>
  <c r="A13183" i="1"/>
  <c r="D12085" i="1"/>
  <c r="B12085" i="1"/>
  <c r="A12085" i="1"/>
  <c r="D8555" i="1"/>
  <c r="C8555" i="1"/>
  <c r="B8555" i="1"/>
  <c r="A8555" i="1"/>
  <c r="D8465" i="1"/>
  <c r="A8465" i="1"/>
  <c r="D7526" i="1"/>
  <c r="B7526" i="1"/>
  <c r="A7526" i="1"/>
  <c r="D9886" i="1"/>
  <c r="B9886" i="1"/>
  <c r="A9886" i="1"/>
  <c r="D18000" i="1"/>
  <c r="B18000" i="1"/>
  <c r="A18000" i="1"/>
  <c r="D14722" i="1"/>
  <c r="C14722" i="1"/>
  <c r="B14722" i="1"/>
  <c r="A14722" i="1"/>
  <c r="D13778" i="1"/>
  <c r="B13778" i="1"/>
  <c r="A13778" i="1"/>
  <c r="D8347" i="1"/>
  <c r="B8347" i="1"/>
  <c r="A8347" i="1"/>
  <c r="D7004" i="1"/>
  <c r="B7004" i="1"/>
  <c r="A7004" i="1"/>
  <c r="D11025" i="1"/>
  <c r="B11025" i="1"/>
  <c r="A11025" i="1"/>
  <c r="D13655" i="1"/>
  <c r="B13655" i="1"/>
  <c r="A13655" i="1"/>
  <c r="D18043" i="1"/>
  <c r="B18043" i="1"/>
  <c r="A18043" i="1"/>
  <c r="D16471" i="1"/>
  <c r="B16471" i="1"/>
  <c r="A16471" i="1"/>
  <c r="D16864" i="1"/>
  <c r="B16864" i="1"/>
  <c r="A16864" i="1"/>
  <c r="D10517" i="1"/>
  <c r="B10517" i="1"/>
  <c r="A10517" i="1"/>
  <c r="D17616" i="1"/>
  <c r="B17616" i="1"/>
  <c r="A17616" i="1"/>
  <c r="D11888" i="1"/>
  <c r="B11888" i="1"/>
  <c r="A11888" i="1"/>
  <c r="D13180" i="1"/>
  <c r="B13180" i="1"/>
  <c r="A13180" i="1"/>
  <c r="D13616" i="1"/>
  <c r="B13616" i="1"/>
  <c r="A13616" i="1"/>
  <c r="D14167" i="1"/>
  <c r="C14167" i="1"/>
  <c r="B14167" i="1"/>
  <c r="A14167" i="1"/>
  <c r="D9876" i="1"/>
  <c r="B9876" i="1"/>
  <c r="A9876" i="1"/>
  <c r="D18791" i="1"/>
  <c r="B18791" i="1"/>
  <c r="A18791" i="1"/>
  <c r="D14466" i="1"/>
  <c r="B14466" i="1"/>
  <c r="A14466" i="1"/>
  <c r="D10784" i="1"/>
  <c r="B10784" i="1"/>
  <c r="A10784" i="1"/>
  <c r="D18709" i="1"/>
  <c r="B18709" i="1"/>
  <c r="A18709" i="1"/>
  <c r="D12787" i="1"/>
  <c r="B12787" i="1"/>
  <c r="A12787" i="1"/>
  <c r="D17470" i="1"/>
  <c r="B17470" i="1"/>
  <c r="A17470" i="1"/>
  <c r="D10659" i="1"/>
  <c r="B10659" i="1"/>
  <c r="A10659" i="1"/>
  <c r="D16411" i="1"/>
  <c r="B16411" i="1"/>
  <c r="A16411" i="1"/>
  <c r="D16753" i="1"/>
  <c r="B16753" i="1"/>
  <c r="A16753" i="1"/>
  <c r="D15691" i="1"/>
  <c r="B15691" i="1"/>
  <c r="A15691" i="1"/>
  <c r="D6291" i="1"/>
  <c r="B6291" i="1"/>
  <c r="A6291" i="1"/>
  <c r="D10207" i="1"/>
  <c r="B10207" i="1"/>
  <c r="A10207" i="1"/>
  <c r="D17548" i="1"/>
  <c r="B17548" i="1"/>
  <c r="A17548" i="1"/>
  <c r="D12426" i="1"/>
  <c r="A12426" i="1"/>
  <c r="D11746" i="1"/>
  <c r="B11746" i="1"/>
  <c r="A11746" i="1"/>
  <c r="D13063" i="1"/>
  <c r="B13063" i="1"/>
  <c r="A13063" i="1"/>
  <c r="D14589" i="1"/>
  <c r="B14589" i="1"/>
  <c r="A14589" i="1"/>
  <c r="D7796" i="1"/>
  <c r="B7796" i="1"/>
  <c r="A7796" i="1"/>
  <c r="D8771" i="1"/>
  <c r="B8771" i="1"/>
  <c r="A8771" i="1"/>
  <c r="D7722" i="1"/>
  <c r="B7722" i="1"/>
  <c r="A7722" i="1"/>
  <c r="D6673" i="1"/>
  <c r="C6673" i="1"/>
  <c r="B6673" i="1"/>
  <c r="A6673" i="1"/>
  <c r="D15696" i="1"/>
  <c r="A15696" i="1"/>
  <c r="D8797" i="1"/>
  <c r="B8797" i="1"/>
  <c r="A8797" i="1"/>
  <c r="D8723" i="1"/>
  <c r="B8723" i="1"/>
  <c r="A8723" i="1"/>
  <c r="D10512" i="1"/>
  <c r="B10512" i="1"/>
  <c r="A10512" i="1"/>
  <c r="D16145" i="1"/>
  <c r="B16145" i="1"/>
  <c r="A16145" i="1"/>
  <c r="D12940" i="1"/>
  <c r="B12940" i="1"/>
  <c r="A12940" i="1"/>
  <c r="D15459" i="1"/>
  <c r="B15459" i="1"/>
  <c r="A15459" i="1"/>
  <c r="D6869" i="1"/>
  <c r="B6869" i="1"/>
  <c r="A6869" i="1"/>
  <c r="D13453" i="1"/>
  <c r="B13453" i="1"/>
  <c r="A13453" i="1"/>
  <c r="D17263" i="1"/>
  <c r="B17263" i="1"/>
  <c r="A17263" i="1"/>
  <c r="D15090" i="1"/>
  <c r="B15090" i="1"/>
  <c r="A15090" i="1"/>
  <c r="D11619" i="1"/>
  <c r="B11619" i="1"/>
  <c r="A11619" i="1"/>
  <c r="D14067" i="1"/>
  <c r="B14067" i="1"/>
  <c r="A14067" i="1"/>
  <c r="D7328" i="1"/>
  <c r="B7328" i="1"/>
  <c r="A7328" i="1"/>
  <c r="D13200" i="1"/>
  <c r="B13200" i="1"/>
  <c r="A13200" i="1"/>
  <c r="D12393" i="1"/>
  <c r="C12393" i="1"/>
  <c r="B12393" i="1"/>
  <c r="A12393" i="1"/>
  <c r="D9167" i="1"/>
  <c r="B9167" i="1"/>
  <c r="A9167" i="1"/>
  <c r="D16011" i="1"/>
  <c r="B16011" i="1"/>
  <c r="A16011" i="1"/>
  <c r="D8257" i="1"/>
  <c r="B8257" i="1"/>
  <c r="A8257" i="1"/>
  <c r="D11510" i="1"/>
  <c r="B11510" i="1"/>
  <c r="A11510" i="1"/>
  <c r="D18785" i="1"/>
  <c r="B18785" i="1"/>
  <c r="A18785" i="1"/>
  <c r="D9604" i="1"/>
  <c r="B9604" i="1"/>
  <c r="A9604" i="1"/>
  <c r="D11042" i="1"/>
  <c r="B11042" i="1"/>
  <c r="A11042" i="1"/>
  <c r="D18236" i="1"/>
  <c r="A18236" i="1"/>
  <c r="D16275" i="1"/>
  <c r="B16275" i="1"/>
  <c r="A16275" i="1"/>
  <c r="D11292" i="1"/>
  <c r="C11292" i="1"/>
  <c r="B11292" i="1"/>
  <c r="A11292" i="1"/>
  <c r="D9092" i="1"/>
  <c r="C9092" i="1"/>
  <c r="B9092" i="1"/>
  <c r="A9092" i="1"/>
  <c r="D8145" i="1"/>
  <c r="B8145" i="1"/>
  <c r="A8145" i="1"/>
  <c r="D11435" i="1"/>
  <c r="B11435" i="1"/>
  <c r="A11435" i="1"/>
  <c r="D6268" i="1"/>
  <c r="B6268" i="1"/>
  <c r="A6268" i="1"/>
  <c r="D13928" i="1"/>
  <c r="C13928" i="1"/>
  <c r="B13928" i="1"/>
  <c r="A13928" i="1"/>
  <c r="D11336" i="1"/>
  <c r="B11336" i="1"/>
  <c r="A11336" i="1"/>
  <c r="D10825" i="1"/>
  <c r="B10825" i="1"/>
  <c r="A10825" i="1"/>
  <c r="D6282" i="1"/>
  <c r="B6282" i="1"/>
  <c r="A6282" i="1"/>
  <c r="D16157" i="1"/>
  <c r="B16157" i="1"/>
  <c r="A16157" i="1"/>
  <c r="D13886" i="1"/>
  <c r="B13886" i="1"/>
  <c r="A13886" i="1"/>
  <c r="D16761" i="1"/>
  <c r="C16761" i="1"/>
  <c r="B16761" i="1"/>
  <c r="A16761" i="1"/>
  <c r="D16198" i="1"/>
  <c r="B16198" i="1"/>
  <c r="A16198" i="1"/>
  <c r="D7219" i="1"/>
  <c r="B7219" i="1"/>
  <c r="A7219" i="1"/>
  <c r="D17138" i="1"/>
  <c r="B17138" i="1"/>
  <c r="A17138" i="1"/>
  <c r="D7282" i="1"/>
  <c r="A7282" i="1"/>
  <c r="D13982" i="1"/>
  <c r="B13982" i="1"/>
  <c r="A13982" i="1"/>
  <c r="D11023" i="1"/>
  <c r="B11023" i="1"/>
  <c r="A11023" i="1"/>
  <c r="D8941" i="1"/>
  <c r="B8941" i="1"/>
  <c r="A8941" i="1"/>
  <c r="D6435" i="1"/>
  <c r="B6435" i="1"/>
  <c r="A6435" i="1"/>
  <c r="D8396" i="1"/>
  <c r="C8396" i="1"/>
  <c r="B8396" i="1"/>
  <c r="A8396" i="1"/>
  <c r="D10465" i="1"/>
  <c r="B10465" i="1"/>
  <c r="A10465" i="1"/>
  <c r="D17428" i="1"/>
  <c r="B17428" i="1"/>
  <c r="A17428" i="1"/>
  <c r="D14003" i="1"/>
  <c r="A14003" i="1"/>
  <c r="D16999" i="1"/>
  <c r="B16999" i="1"/>
  <c r="A16999" i="1"/>
  <c r="D8325" i="1"/>
  <c r="C8325" i="1"/>
  <c r="B8325" i="1"/>
  <c r="A8325" i="1"/>
  <c r="D12297" i="1"/>
  <c r="B12297" i="1"/>
  <c r="A12297" i="1"/>
  <c r="D18458" i="1"/>
  <c r="B18458" i="1"/>
  <c r="A18458" i="1"/>
  <c r="D6586" i="1"/>
  <c r="B6586" i="1"/>
  <c r="A6586" i="1"/>
  <c r="D17316" i="1"/>
  <c r="A17316" i="1"/>
  <c r="D8597" i="1"/>
  <c r="B8597" i="1"/>
  <c r="A8597" i="1"/>
  <c r="D17131" i="1"/>
  <c r="A17131" i="1"/>
  <c r="D8695" i="1"/>
  <c r="C8695" i="1"/>
  <c r="B8695" i="1"/>
  <c r="A8695" i="1"/>
  <c r="D8267" i="1"/>
  <c r="C8267" i="1"/>
  <c r="B8267" i="1"/>
  <c r="A8267" i="1"/>
  <c r="D7129" i="1"/>
  <c r="B7129" i="1"/>
  <c r="A7129" i="1"/>
  <c r="D13365" i="1"/>
  <c r="B13365" i="1"/>
  <c r="A13365" i="1"/>
  <c r="D16256" i="1"/>
  <c r="B16256" i="1"/>
  <c r="A16256" i="1"/>
  <c r="D11399" i="1"/>
  <c r="C11399" i="1"/>
  <c r="B11399" i="1"/>
  <c r="A11399" i="1"/>
  <c r="D13174" i="1"/>
  <c r="B13174" i="1"/>
  <c r="A13174" i="1"/>
  <c r="D9240" i="1"/>
  <c r="B9240" i="1"/>
  <c r="A9240" i="1"/>
  <c r="D9926" i="1"/>
  <c r="B9926" i="1"/>
  <c r="A9926" i="1"/>
  <c r="D13663" i="1"/>
  <c r="C13663" i="1"/>
  <c r="B13663" i="1"/>
  <c r="A13663" i="1"/>
  <c r="D13510" i="1"/>
  <c r="B13510" i="1"/>
  <c r="A13510" i="1"/>
  <c r="D7605" i="1"/>
  <c r="B7605" i="1"/>
  <c r="A7605" i="1"/>
  <c r="D12171" i="1"/>
  <c r="B12171" i="1"/>
  <c r="A12171" i="1"/>
  <c r="D10042" i="1"/>
  <c r="B10042" i="1"/>
  <c r="A10042" i="1"/>
  <c r="D8064" i="1"/>
  <c r="B8064" i="1"/>
  <c r="A8064" i="1"/>
  <c r="D5960" i="1"/>
  <c r="C5960" i="1"/>
  <c r="B5960" i="1"/>
  <c r="A5960" i="1"/>
  <c r="D17936" i="1"/>
  <c r="B17936" i="1"/>
  <c r="A17936" i="1"/>
  <c r="D15681" i="1"/>
  <c r="B15681" i="1"/>
  <c r="A15681" i="1"/>
  <c r="D12948" i="1"/>
  <c r="B12948" i="1"/>
  <c r="A12948" i="1"/>
  <c r="D17672" i="1"/>
  <c r="B17672" i="1"/>
  <c r="A17672" i="1"/>
  <c r="D6683" i="1"/>
  <c r="B6683" i="1"/>
  <c r="A6683" i="1"/>
  <c r="D11396" i="1"/>
  <c r="C11396" i="1"/>
  <c r="B11396" i="1"/>
  <c r="A11396" i="1"/>
  <c r="D8966" i="1"/>
  <c r="B8966" i="1"/>
  <c r="A8966" i="1"/>
  <c r="D10439" i="1"/>
  <c r="C10439" i="1"/>
  <c r="B10439" i="1"/>
  <c r="A10439" i="1"/>
  <c r="D15855" i="1"/>
  <c r="A15855" i="1"/>
  <c r="D8403" i="1"/>
  <c r="C8403" i="1"/>
  <c r="B8403" i="1"/>
  <c r="A8403" i="1"/>
  <c r="D11259" i="1"/>
  <c r="B11259" i="1"/>
  <c r="A11259" i="1"/>
  <c r="D8565" i="1"/>
  <c r="B8565" i="1"/>
  <c r="A8565" i="1"/>
  <c r="D15944" i="1"/>
  <c r="B15944" i="1"/>
  <c r="A15944" i="1"/>
  <c r="D13043" i="1"/>
  <c r="B13043" i="1"/>
  <c r="A13043" i="1"/>
  <c r="D6906" i="1"/>
  <c r="B6906" i="1"/>
  <c r="A6906" i="1"/>
  <c r="D10650" i="1"/>
  <c r="B10650" i="1"/>
  <c r="A10650" i="1"/>
  <c r="D10518" i="1"/>
  <c r="B10518" i="1"/>
  <c r="A10518" i="1"/>
  <c r="D6739" i="1"/>
  <c r="B6739" i="1"/>
  <c r="A6739" i="1"/>
  <c r="D18246" i="1"/>
  <c r="B18246" i="1"/>
  <c r="A18246" i="1"/>
  <c r="D18205" i="1"/>
  <c r="A18205" i="1"/>
  <c r="D9889" i="1"/>
  <c r="B9889" i="1"/>
  <c r="A9889" i="1"/>
  <c r="D10768" i="1"/>
  <c r="B10768" i="1"/>
  <c r="A10768" i="1"/>
  <c r="D8158" i="1"/>
  <c r="B8158" i="1"/>
  <c r="A8158" i="1"/>
  <c r="D16726" i="1"/>
  <c r="B16726" i="1"/>
  <c r="A16726" i="1"/>
  <c r="D12292" i="1"/>
  <c r="C12292" i="1"/>
  <c r="B12292" i="1"/>
  <c r="A12292" i="1"/>
  <c r="D6285" i="1"/>
  <c r="B6285" i="1"/>
  <c r="A6285" i="1"/>
  <c r="D14064" i="1"/>
  <c r="B14064" i="1"/>
  <c r="A14064" i="1"/>
  <c r="D7664" i="1"/>
  <c r="B7664" i="1"/>
  <c r="A7664" i="1"/>
  <c r="D13042" i="1"/>
  <c r="B13042" i="1"/>
  <c r="A13042" i="1"/>
  <c r="D7825" i="1"/>
  <c r="B7825" i="1"/>
  <c r="A7825" i="1"/>
  <c r="D12826" i="1"/>
  <c r="C12826" i="1"/>
  <c r="B12826" i="1"/>
  <c r="A12826" i="1"/>
  <c r="D11267" i="1"/>
  <c r="B11267" i="1"/>
  <c r="A11267" i="1"/>
  <c r="D10375" i="1"/>
  <c r="B10375" i="1"/>
  <c r="A10375" i="1"/>
  <c r="D12506" i="1"/>
  <c r="B12506" i="1"/>
  <c r="A12506" i="1"/>
  <c r="D15678" i="1"/>
  <c r="B15678" i="1"/>
  <c r="A15678" i="1"/>
  <c r="D10411" i="1"/>
  <c r="B10411" i="1"/>
  <c r="A10411" i="1"/>
  <c r="D18207" i="1"/>
  <c r="B18207" i="1"/>
  <c r="A18207" i="1"/>
  <c r="D13709" i="1"/>
  <c r="B13709" i="1"/>
  <c r="A13709" i="1"/>
  <c r="D12012" i="1"/>
  <c r="B12012" i="1"/>
  <c r="A12012" i="1"/>
  <c r="D8062" i="1"/>
  <c r="B8062" i="1"/>
  <c r="A8062" i="1"/>
  <c r="D17097" i="1"/>
  <c r="B17097" i="1"/>
  <c r="A17097" i="1"/>
  <c r="D14084" i="1"/>
  <c r="B14084" i="1"/>
  <c r="A14084" i="1"/>
  <c r="D16158" i="1"/>
  <c r="B16158" i="1"/>
  <c r="A16158" i="1"/>
  <c r="D9527" i="1"/>
  <c r="B9527" i="1"/>
  <c r="A9527" i="1"/>
  <c r="D7961" i="1"/>
  <c r="B7961" i="1"/>
  <c r="A7961" i="1"/>
  <c r="D14287" i="1"/>
  <c r="B14287" i="1"/>
  <c r="A14287" i="1"/>
  <c r="D14153" i="1"/>
  <c r="B14153" i="1"/>
  <c r="A14153" i="1"/>
  <c r="D18807" i="1"/>
  <c r="B18807" i="1"/>
  <c r="A18807" i="1"/>
  <c r="D13417" i="1"/>
  <c r="B13417" i="1"/>
  <c r="A13417" i="1"/>
  <c r="D17689" i="1"/>
  <c r="B17689" i="1"/>
  <c r="A17689" i="1"/>
  <c r="D13416" i="1"/>
  <c r="C13416" i="1"/>
  <c r="B13416" i="1"/>
  <c r="A13416" i="1"/>
  <c r="D13915" i="1"/>
  <c r="B13915" i="1"/>
  <c r="A13915" i="1"/>
  <c r="D15956" i="1"/>
  <c r="B15956" i="1"/>
  <c r="A15956" i="1"/>
  <c r="D14303" i="1"/>
  <c r="B14303" i="1"/>
  <c r="A14303" i="1"/>
  <c r="D7335" i="1"/>
  <c r="B7335" i="1"/>
  <c r="A7335" i="1"/>
  <c r="D15671" i="1"/>
  <c r="C15671" i="1"/>
  <c r="B15671" i="1"/>
  <c r="A15671" i="1"/>
  <c r="D10076" i="1"/>
  <c r="B10076" i="1"/>
  <c r="A10076" i="1"/>
  <c r="D13186" i="1"/>
  <c r="B13186" i="1"/>
  <c r="A13186" i="1"/>
  <c r="D13949" i="1"/>
  <c r="B13949" i="1"/>
  <c r="A13949" i="1"/>
  <c r="D6439" i="1"/>
  <c r="B6439" i="1"/>
  <c r="A6439" i="1"/>
  <c r="D17450" i="1"/>
  <c r="B17450" i="1"/>
  <c r="A17450" i="1"/>
  <c r="D11061" i="1"/>
  <c r="B11061" i="1"/>
  <c r="A11061" i="1"/>
  <c r="D9646" i="1"/>
  <c r="B9646" i="1"/>
  <c r="A9646" i="1"/>
  <c r="D12650" i="1"/>
  <c r="B12650" i="1"/>
  <c r="A12650" i="1"/>
  <c r="D14046" i="1"/>
  <c r="B14046" i="1"/>
  <c r="A14046" i="1"/>
  <c r="D9006" i="1"/>
  <c r="B9006" i="1"/>
  <c r="A9006" i="1"/>
  <c r="D8408" i="1"/>
  <c r="A8408" i="1"/>
  <c r="D8712" i="1"/>
  <c r="B8712" i="1"/>
  <c r="A8712" i="1"/>
  <c r="D14874" i="1"/>
  <c r="B14874" i="1"/>
  <c r="A14874" i="1"/>
  <c r="D13106" i="1"/>
  <c r="B13106" i="1"/>
  <c r="A13106" i="1"/>
  <c r="D8117" i="1"/>
  <c r="B8117" i="1"/>
  <c r="A8117" i="1"/>
  <c r="D13261" i="1"/>
  <c r="B13261" i="1"/>
  <c r="A13261" i="1"/>
  <c r="D10734" i="1"/>
  <c r="B10734" i="1"/>
  <c r="A10734" i="1"/>
  <c r="D10838" i="1"/>
  <c r="B10838" i="1"/>
  <c r="A10838" i="1"/>
  <c r="D11461" i="1"/>
  <c r="B11461" i="1"/>
  <c r="A11461" i="1"/>
  <c r="D12777" i="1"/>
  <c r="C12777" i="1"/>
  <c r="B12777" i="1"/>
  <c r="A12777" i="1"/>
  <c r="D15729" i="1"/>
  <c r="B15729" i="1"/>
  <c r="A15729" i="1"/>
  <c r="D17405" i="1"/>
  <c r="B17405" i="1"/>
  <c r="A17405" i="1"/>
  <c r="D13351" i="1"/>
  <c r="B13351" i="1"/>
  <c r="A13351" i="1"/>
  <c r="D9052" i="1"/>
  <c r="B9052" i="1"/>
  <c r="A9052" i="1"/>
  <c r="D8672" i="1"/>
  <c r="B8672" i="1"/>
  <c r="A8672" i="1"/>
  <c r="D13515" i="1"/>
  <c r="B13515" i="1"/>
  <c r="A13515" i="1"/>
  <c r="D18590" i="1"/>
  <c r="B18590" i="1"/>
  <c r="A18590" i="1"/>
  <c r="D14723" i="1"/>
  <c r="C14723" i="1"/>
  <c r="B14723" i="1"/>
  <c r="A14723" i="1"/>
  <c r="D11402" i="1"/>
  <c r="C11402" i="1"/>
  <c r="B11402" i="1"/>
  <c r="A11402" i="1"/>
  <c r="D17530" i="1"/>
  <c r="A17530" i="1"/>
  <c r="D8688" i="1"/>
  <c r="B8688" i="1"/>
  <c r="A8688" i="1"/>
  <c r="D7748" i="1"/>
  <c r="B7748" i="1"/>
  <c r="A7748" i="1"/>
  <c r="D16689" i="1"/>
  <c r="B16689" i="1"/>
  <c r="A16689" i="1"/>
  <c r="D6235" i="1"/>
  <c r="B6235" i="1"/>
  <c r="A6235" i="1"/>
  <c r="D17367" i="1"/>
  <c r="B17367" i="1"/>
  <c r="A17367" i="1"/>
  <c r="D6695" i="1"/>
  <c r="B6695" i="1"/>
  <c r="A6695" i="1"/>
  <c r="D9905" i="1"/>
  <c r="B9905" i="1"/>
  <c r="A9905" i="1"/>
  <c r="D11514" i="1"/>
  <c r="B11514" i="1"/>
  <c r="A11514" i="1"/>
  <c r="D8734" i="1"/>
  <c r="B8734" i="1"/>
  <c r="A8734" i="1"/>
  <c r="D16745" i="1"/>
  <c r="B16745" i="1"/>
  <c r="A16745" i="1"/>
  <c r="D11268" i="1"/>
  <c r="B11268" i="1"/>
  <c r="A11268" i="1"/>
  <c r="D9757" i="1"/>
  <c r="B9757" i="1"/>
  <c r="A9757" i="1"/>
  <c r="D10835" i="1"/>
  <c r="B10835" i="1"/>
  <c r="A10835" i="1"/>
  <c r="D6259" i="1"/>
  <c r="B6259" i="1"/>
  <c r="A6259" i="1"/>
  <c r="D13310" i="1"/>
  <c r="B13310" i="1"/>
  <c r="A13310" i="1"/>
  <c r="D7370" i="1"/>
  <c r="B7370" i="1"/>
  <c r="A7370" i="1"/>
  <c r="D12821" i="1"/>
  <c r="B12821" i="1"/>
  <c r="A12821" i="1"/>
  <c r="D9903" i="1"/>
  <c r="B9903" i="1"/>
  <c r="A9903" i="1"/>
  <c r="D8643" i="1"/>
  <c r="B8643" i="1"/>
  <c r="A8643" i="1"/>
  <c r="D7050" i="1"/>
  <c r="B7050" i="1"/>
  <c r="A7050" i="1"/>
  <c r="D17848" i="1"/>
  <c r="B17848" i="1"/>
  <c r="A17848" i="1"/>
  <c r="D11485" i="1"/>
  <c r="B11485" i="1"/>
  <c r="A11485" i="1"/>
  <c r="D9383" i="1"/>
  <c r="B9383" i="1"/>
  <c r="A9383" i="1"/>
  <c r="D12116" i="1"/>
  <c r="B12116" i="1"/>
  <c r="A12116" i="1"/>
  <c r="D12269" i="1"/>
  <c r="A12269" i="1"/>
  <c r="D12611" i="1"/>
  <c r="C12611" i="1"/>
  <c r="B12611" i="1"/>
  <c r="A12611" i="1"/>
  <c r="D13393" i="1"/>
  <c r="B13393" i="1"/>
  <c r="A13393" i="1"/>
  <c r="D17988" i="1"/>
  <c r="B17988" i="1"/>
  <c r="A17988" i="1"/>
  <c r="D7656" i="1"/>
  <c r="B7656" i="1"/>
  <c r="A7656" i="1"/>
  <c r="D15594" i="1"/>
  <c r="B15594" i="1"/>
  <c r="A15594" i="1"/>
  <c r="D16776" i="1"/>
  <c r="C16776" i="1"/>
  <c r="B16776" i="1"/>
  <c r="A16776" i="1"/>
  <c r="D8769" i="1"/>
  <c r="B8769" i="1"/>
  <c r="A8769" i="1"/>
  <c r="D13202" i="1"/>
  <c r="B13202" i="1"/>
  <c r="A13202" i="1"/>
  <c r="D17111" i="1"/>
  <c r="B17111" i="1"/>
  <c r="A17111" i="1"/>
  <c r="D11271" i="1"/>
  <c r="C11271" i="1"/>
  <c r="B11271" i="1"/>
  <c r="A11271" i="1"/>
  <c r="D11753" i="1"/>
  <c r="B11753" i="1"/>
  <c r="A11753" i="1"/>
  <c r="D18500" i="1"/>
  <c r="B18500" i="1"/>
  <c r="A18500" i="1"/>
  <c r="D14721" i="1"/>
  <c r="B14721" i="1"/>
  <c r="A14721" i="1"/>
  <c r="D15863" i="1"/>
  <c r="B15863" i="1"/>
  <c r="A15863" i="1"/>
  <c r="D8817" i="1"/>
  <c r="B8817" i="1"/>
  <c r="A8817" i="1"/>
  <c r="D12736" i="1"/>
  <c r="B12736" i="1"/>
  <c r="A12736" i="1"/>
  <c r="D16522" i="1"/>
  <c r="B16522" i="1"/>
  <c r="A16522" i="1"/>
  <c r="D12607" i="1"/>
  <c r="B12607" i="1"/>
  <c r="A12607" i="1"/>
  <c r="D13358" i="1"/>
  <c r="B13358" i="1"/>
  <c r="A13358" i="1"/>
  <c r="D15083" i="1"/>
  <c r="A15083" i="1"/>
  <c r="D9652" i="1"/>
  <c r="B9652" i="1"/>
  <c r="A9652" i="1"/>
  <c r="D7517" i="1"/>
  <c r="B7517" i="1"/>
  <c r="A7517" i="1"/>
  <c r="D14166" i="1"/>
  <c r="C14166" i="1"/>
  <c r="B14166" i="1"/>
  <c r="A14166" i="1"/>
  <c r="D6860" i="1"/>
  <c r="B6860" i="1"/>
  <c r="A6860" i="1"/>
  <c r="D12111" i="1"/>
  <c r="A12111" i="1"/>
  <c r="D16255" i="1"/>
  <c r="C16255" i="1"/>
  <c r="B16255" i="1"/>
  <c r="A16255" i="1"/>
  <c r="D10692" i="1"/>
  <c r="A10692" i="1"/>
  <c r="D16316" i="1"/>
  <c r="B16316" i="1"/>
  <c r="A16316" i="1"/>
  <c r="D13761" i="1"/>
  <c r="B13761" i="1"/>
  <c r="A13761" i="1"/>
  <c r="D11203" i="1"/>
  <c r="B11203" i="1"/>
  <c r="A11203" i="1"/>
  <c r="D6331" i="1"/>
  <c r="B6331" i="1"/>
  <c r="A6331" i="1"/>
  <c r="D11053" i="1"/>
  <c r="B11053" i="1"/>
  <c r="A11053" i="1"/>
  <c r="D6948" i="1"/>
  <c r="C6948" i="1"/>
  <c r="B6948" i="1"/>
  <c r="A6948" i="1"/>
  <c r="D13514" i="1"/>
  <c r="B13514" i="1"/>
  <c r="A13514" i="1"/>
  <c r="D13540" i="1"/>
  <c r="B13540" i="1"/>
  <c r="A13540" i="1"/>
  <c r="D17341" i="1"/>
  <c r="B17341" i="1"/>
  <c r="A17341" i="1"/>
  <c r="D12738" i="1"/>
  <c r="B12738" i="1"/>
  <c r="A12738" i="1"/>
  <c r="D7845" i="1"/>
  <c r="B7845" i="1"/>
  <c r="A7845" i="1"/>
  <c r="D13420" i="1"/>
  <c r="B13420" i="1"/>
  <c r="A13420" i="1"/>
  <c r="D9951" i="1"/>
  <c r="B9951" i="1"/>
  <c r="A9951" i="1"/>
  <c r="D11754" i="1"/>
  <c r="B11754" i="1"/>
  <c r="A11754" i="1"/>
  <c r="D13378" i="1"/>
  <c r="C13378" i="1"/>
  <c r="B13378" i="1"/>
  <c r="A13378" i="1"/>
  <c r="D12429" i="1"/>
  <c r="A12429" i="1"/>
  <c r="D7472" i="1"/>
  <c r="B7472" i="1"/>
  <c r="A7472" i="1"/>
  <c r="D7674" i="1"/>
  <c r="B7674" i="1"/>
  <c r="A7674" i="1"/>
  <c r="D11647" i="1"/>
  <c r="B11647" i="1"/>
  <c r="A11647" i="1"/>
  <c r="D11347" i="1"/>
  <c r="B11347" i="1"/>
  <c r="A11347" i="1"/>
  <c r="D8242" i="1"/>
  <c r="B8242" i="1"/>
  <c r="A8242" i="1"/>
  <c r="D16614" i="1"/>
  <c r="B16614" i="1"/>
  <c r="A16614" i="1"/>
  <c r="D10448" i="1"/>
  <c r="B10448" i="1"/>
  <c r="A10448" i="1"/>
  <c r="D10937" i="1"/>
  <c r="B10937" i="1"/>
  <c r="A10937" i="1"/>
  <c r="D18304" i="1"/>
  <c r="B18304" i="1"/>
  <c r="A18304" i="1"/>
  <c r="D16985" i="1"/>
  <c r="C16985" i="1"/>
  <c r="B16985" i="1"/>
  <c r="A16985" i="1"/>
  <c r="D12609" i="1"/>
  <c r="B12609" i="1"/>
  <c r="A12609" i="1"/>
  <c r="D15818" i="1"/>
  <c r="B15818" i="1"/>
  <c r="A15818" i="1"/>
  <c r="D10823" i="1"/>
  <c r="B10823" i="1"/>
  <c r="A10823" i="1"/>
  <c r="D14550" i="1"/>
  <c r="B14550" i="1"/>
  <c r="A14550" i="1"/>
  <c r="D12674" i="1"/>
  <c r="C12674" i="1"/>
  <c r="B12674" i="1"/>
  <c r="A12674" i="1"/>
  <c r="D7794" i="1"/>
  <c r="B7794" i="1"/>
  <c r="A7794" i="1"/>
  <c r="D18452" i="1"/>
  <c r="B18452" i="1"/>
  <c r="A18452" i="1"/>
  <c r="D7772" i="1"/>
  <c r="A7772" i="1"/>
  <c r="D16429" i="1"/>
  <c r="B16429" i="1"/>
  <c r="A16429" i="1"/>
  <c r="D7388" i="1"/>
  <c r="A7388" i="1"/>
  <c r="D9443" i="1"/>
  <c r="B9443" i="1"/>
  <c r="A9443" i="1"/>
  <c r="D13149" i="1"/>
  <c r="B13149" i="1"/>
  <c r="A13149" i="1"/>
  <c r="D5953" i="1"/>
  <c r="B5953" i="1"/>
  <c r="A5953" i="1"/>
  <c r="D12929" i="1"/>
  <c r="B12929" i="1"/>
  <c r="A12929" i="1"/>
  <c r="D17541" i="1"/>
  <c r="B17541" i="1"/>
  <c r="A17541" i="1"/>
  <c r="D15672" i="1"/>
  <c r="B15672" i="1"/>
  <c r="A15672" i="1"/>
  <c r="D18570" i="1"/>
  <c r="B18570" i="1"/>
  <c r="A18570" i="1"/>
  <c r="D13045" i="1"/>
  <c r="B13045" i="1"/>
  <c r="A13045" i="1"/>
  <c r="D10636" i="1"/>
  <c r="B10636" i="1"/>
  <c r="A10636" i="1"/>
  <c r="D6871" i="1"/>
  <c r="B6871" i="1"/>
  <c r="A6871" i="1"/>
  <c r="D10204" i="1"/>
  <c r="B10204" i="1"/>
  <c r="A10204" i="1"/>
  <c r="D7391" i="1"/>
  <c r="B7391" i="1"/>
  <c r="A7391" i="1"/>
  <c r="D7473" i="1"/>
  <c r="B7473" i="1"/>
  <c r="A7473" i="1"/>
  <c r="D8770" i="1"/>
  <c r="B8770" i="1"/>
  <c r="A8770" i="1"/>
  <c r="D12969" i="1"/>
  <c r="B12969" i="1"/>
  <c r="A12969" i="1"/>
  <c r="D7563" i="1"/>
  <c r="B7563" i="1"/>
  <c r="A7563" i="1"/>
  <c r="D6583" i="1"/>
  <c r="B6583" i="1"/>
  <c r="A6583" i="1"/>
  <c r="D18694" i="1"/>
  <c r="B18694" i="1"/>
  <c r="A18694" i="1"/>
  <c r="D14706" i="1"/>
  <c r="B14706" i="1"/>
  <c r="A14706" i="1"/>
  <c r="D12863" i="1"/>
  <c r="A12863" i="1"/>
  <c r="D11944" i="1"/>
  <c r="B11944" i="1"/>
  <c r="A11944" i="1"/>
  <c r="D10766" i="1"/>
  <c r="B10766" i="1"/>
  <c r="A10766" i="1"/>
  <c r="D13881" i="1"/>
  <c r="B13881" i="1"/>
  <c r="A13881" i="1"/>
  <c r="D10338" i="1"/>
  <c r="B10338" i="1"/>
  <c r="A10338" i="1"/>
  <c r="D11173" i="1"/>
  <c r="B11173" i="1"/>
  <c r="A11173" i="1"/>
  <c r="D11040" i="1"/>
  <c r="B11040" i="1"/>
  <c r="A11040" i="1"/>
  <c r="D16798" i="1"/>
  <c r="B16798" i="1"/>
  <c r="A16798" i="1"/>
  <c r="D11256" i="1"/>
  <c r="B11256" i="1"/>
  <c r="A11256" i="1"/>
  <c r="D8407" i="1"/>
  <c r="C8407" i="1"/>
  <c r="B8407" i="1"/>
  <c r="A8407" i="1"/>
  <c r="D13108" i="1"/>
  <c r="B13108" i="1"/>
  <c r="A13108" i="1"/>
  <c r="D8313" i="1"/>
  <c r="C8313" i="1"/>
  <c r="B8313" i="1"/>
  <c r="A8313" i="1"/>
  <c r="D9039" i="1"/>
  <c r="C9039" i="1"/>
  <c r="B9039" i="1"/>
  <c r="A9039" i="1"/>
  <c r="D18424" i="1"/>
  <c r="B18424" i="1"/>
  <c r="A18424" i="1"/>
  <c r="D11147" i="1"/>
  <c r="B11147" i="1"/>
  <c r="A11147" i="1"/>
  <c r="D12621" i="1"/>
  <c r="B12621" i="1"/>
  <c r="A12621" i="1"/>
  <c r="D7724" i="1"/>
  <c r="B7724" i="1"/>
  <c r="A7724" i="1"/>
  <c r="D10133" i="1"/>
  <c r="A10133" i="1"/>
  <c r="D8260" i="1"/>
  <c r="B8260" i="1"/>
  <c r="A8260" i="1"/>
  <c r="D8005" i="1"/>
  <c r="B8005" i="1"/>
  <c r="A8005" i="1"/>
  <c r="D14931" i="1"/>
  <c r="B14931" i="1"/>
  <c r="A14931" i="1"/>
  <c r="D6256" i="1"/>
  <c r="A6256" i="1"/>
  <c r="D18173" i="1"/>
  <c r="A18173" i="1"/>
  <c r="D6474" i="1"/>
  <c r="B6474" i="1"/>
  <c r="A6474" i="1"/>
  <c r="D15775" i="1"/>
  <c r="B15775" i="1"/>
  <c r="A15775" i="1"/>
  <c r="D7385" i="1"/>
  <c r="A7385" i="1"/>
  <c r="D7969" i="1"/>
  <c r="B7969" i="1"/>
  <c r="A7969" i="1"/>
  <c r="D10847" i="1"/>
  <c r="B10847" i="1"/>
  <c r="A10847" i="1"/>
  <c r="D16306" i="1"/>
  <c r="B16306" i="1"/>
  <c r="A16306" i="1"/>
  <c r="D8411" i="1"/>
  <c r="C8411" i="1"/>
  <c r="B8411" i="1"/>
  <c r="A8411" i="1"/>
  <c r="D10048" i="1"/>
  <c r="B10048" i="1"/>
  <c r="A10048" i="1"/>
  <c r="D9791" i="1"/>
  <c r="B9791" i="1"/>
  <c r="A9791" i="1"/>
  <c r="D6578" i="1"/>
  <c r="B6578" i="1"/>
  <c r="A6578" i="1"/>
  <c r="D10888" i="1"/>
  <c r="A10888" i="1"/>
  <c r="D16743" i="1"/>
  <c r="B16743" i="1"/>
  <c r="A16743" i="1"/>
  <c r="D15656" i="1"/>
  <c r="A15656" i="1"/>
  <c r="D12385" i="1"/>
  <c r="C12385" i="1"/>
  <c r="B12385" i="1"/>
  <c r="A12385" i="1"/>
  <c r="D6730" i="1"/>
  <c r="B6730" i="1"/>
  <c r="A6730" i="1"/>
  <c r="D12615" i="1"/>
  <c r="B12615" i="1"/>
  <c r="A12615" i="1"/>
  <c r="D9231" i="1"/>
  <c r="C9231" i="1"/>
  <c r="B9231" i="1"/>
  <c r="A9231" i="1"/>
  <c r="D17407" i="1"/>
  <c r="B17407" i="1"/>
  <c r="A17407" i="1"/>
  <c r="D12853" i="1"/>
  <c r="B12853" i="1"/>
  <c r="A12853" i="1"/>
  <c r="D11160" i="1"/>
  <c r="A11160" i="1"/>
  <c r="D6630" i="1"/>
  <c r="B6630" i="1"/>
  <c r="A6630" i="1"/>
  <c r="D17210" i="1"/>
  <c r="B17210" i="1"/>
  <c r="A17210" i="1"/>
  <c r="D11007" i="1"/>
  <c r="B11007" i="1"/>
  <c r="A11007" i="1"/>
  <c r="D17522" i="1"/>
  <c r="B17522" i="1"/>
  <c r="A17522" i="1"/>
  <c r="D12872" i="1"/>
  <c r="A12872" i="1"/>
  <c r="D6700" i="1"/>
  <c r="B6700" i="1"/>
  <c r="A6700" i="1"/>
  <c r="D6223" i="1"/>
  <c r="B6223" i="1"/>
  <c r="A6223" i="1"/>
  <c r="D16807" i="1"/>
  <c r="B16807" i="1"/>
  <c r="A16807" i="1"/>
  <c r="D9969" i="1"/>
  <c r="C9969" i="1"/>
  <c r="B9969" i="1"/>
  <c r="A9969" i="1"/>
  <c r="D7024" i="1"/>
  <c r="B7024" i="1"/>
  <c r="A7024" i="1"/>
  <c r="D16625" i="1"/>
  <c r="B16625" i="1"/>
  <c r="A16625" i="1"/>
  <c r="D10458" i="1"/>
  <c r="B10458" i="1"/>
  <c r="A10458" i="1"/>
  <c r="D9040" i="1"/>
  <c r="B9040" i="1"/>
  <c r="A9040" i="1"/>
  <c r="D12262" i="1"/>
  <c r="B12262" i="1"/>
  <c r="A12262" i="1"/>
  <c r="D6779" i="1"/>
  <c r="B6779" i="1"/>
  <c r="A6779" i="1"/>
  <c r="D11355" i="1"/>
  <c r="B11355" i="1"/>
  <c r="A11355" i="1"/>
  <c r="D8247" i="1"/>
  <c r="B8247" i="1"/>
  <c r="A8247" i="1"/>
  <c r="D11751" i="1"/>
  <c r="B11751" i="1"/>
  <c r="A11751" i="1"/>
  <c r="D17089" i="1"/>
  <c r="B17089" i="1"/>
  <c r="A17089" i="1"/>
  <c r="D10331" i="1"/>
  <c r="B10331" i="1"/>
  <c r="A10331" i="1"/>
  <c r="D13170" i="1"/>
  <c r="B13170" i="1"/>
  <c r="A13170" i="1"/>
  <c r="D6661" i="1"/>
  <c r="B6661" i="1"/>
  <c r="A6661" i="1"/>
  <c r="D8161" i="1"/>
  <c r="B8161" i="1"/>
  <c r="A8161" i="1"/>
  <c r="D11327" i="1"/>
  <c r="B11327" i="1"/>
  <c r="A11327" i="1"/>
  <c r="D16876" i="1"/>
  <c r="B16876" i="1"/>
  <c r="A16876" i="1"/>
  <c r="D8641" i="1"/>
  <c r="B8641" i="1"/>
  <c r="A8641" i="1"/>
  <c r="D13228" i="1"/>
  <c r="A13228" i="1"/>
  <c r="D18009" i="1"/>
  <c r="B18009" i="1"/>
  <c r="A18009" i="1"/>
  <c r="D7113" i="1"/>
  <c r="B7113" i="1"/>
  <c r="A7113" i="1"/>
  <c r="D10130" i="1"/>
  <c r="B10130" i="1"/>
  <c r="A10130" i="1"/>
  <c r="D11985" i="1"/>
  <c r="B11985" i="1"/>
  <c r="A11985" i="1"/>
  <c r="D9874" i="1"/>
  <c r="B9874" i="1"/>
  <c r="A9874" i="1"/>
  <c r="D11202" i="1"/>
  <c r="B11202" i="1"/>
  <c r="A11202" i="1"/>
  <c r="D18449" i="1"/>
  <c r="B18449" i="1"/>
  <c r="A18449" i="1"/>
  <c r="D8742" i="1"/>
  <c r="A8742" i="1"/>
  <c r="D10205" i="1"/>
  <c r="B10205" i="1"/>
  <c r="A10205" i="1"/>
  <c r="D18036" i="1"/>
  <c r="B18036" i="1"/>
  <c r="A18036" i="1"/>
  <c r="D16636" i="1"/>
  <c r="B16636" i="1"/>
  <c r="A16636" i="1"/>
  <c r="D14843" i="1"/>
  <c r="B14843" i="1"/>
  <c r="A14843" i="1"/>
  <c r="D14532" i="1"/>
  <c r="C14532" i="1"/>
  <c r="B14532" i="1"/>
  <c r="A14532" i="1"/>
  <c r="D6323" i="1"/>
  <c r="B6323" i="1"/>
  <c r="A6323" i="1"/>
  <c r="D6901" i="1"/>
  <c r="B6901" i="1"/>
  <c r="A6901" i="1"/>
  <c r="D10918" i="1"/>
  <c r="B10918" i="1"/>
  <c r="A10918" i="1"/>
  <c r="D15333" i="1"/>
  <c r="B15333" i="1"/>
  <c r="A15333" i="1"/>
  <c r="D10492" i="1"/>
  <c r="B10492" i="1"/>
  <c r="A10492" i="1"/>
  <c r="D8236" i="1"/>
  <c r="B8236" i="1"/>
  <c r="A8236" i="1"/>
  <c r="D8670" i="1"/>
  <c r="C8670" i="1"/>
  <c r="B8670" i="1"/>
  <c r="A8670" i="1"/>
  <c r="D16709" i="1"/>
  <c r="B16709" i="1"/>
  <c r="A16709" i="1"/>
  <c r="D6103" i="1"/>
  <c r="C6103" i="1"/>
  <c r="B6103" i="1"/>
  <c r="A6103" i="1"/>
  <c r="D11191" i="1"/>
  <c r="C11191" i="1"/>
  <c r="B11191" i="1"/>
  <c r="A11191" i="1"/>
  <c r="D17221" i="1"/>
  <c r="B17221" i="1"/>
  <c r="A17221" i="1"/>
  <c r="D7426" i="1"/>
  <c r="A7426" i="1"/>
  <c r="D8794" i="1"/>
  <c r="B8794" i="1"/>
  <c r="A8794" i="1"/>
  <c r="D10215" i="1"/>
  <c r="B10215" i="1"/>
  <c r="A10215" i="1"/>
  <c r="D7755" i="1"/>
  <c r="B7755" i="1"/>
  <c r="A7755" i="1"/>
  <c r="D13411" i="1"/>
  <c r="B13411" i="1"/>
  <c r="A13411" i="1"/>
  <c r="D12640" i="1"/>
  <c r="B12640" i="1"/>
  <c r="A12640" i="1"/>
  <c r="D6293" i="1"/>
  <c r="B6293" i="1"/>
  <c r="A6293" i="1"/>
  <c r="D12513" i="1"/>
  <c r="B12513" i="1"/>
  <c r="A12513" i="1"/>
  <c r="D8566" i="1"/>
  <c r="B8566" i="1"/>
  <c r="A8566" i="1"/>
  <c r="D15576" i="1"/>
  <c r="C15576" i="1"/>
  <c r="B15576" i="1"/>
  <c r="A15576" i="1"/>
  <c r="D9487" i="1"/>
  <c r="A9487" i="1"/>
  <c r="D7398" i="1"/>
  <c r="B7398" i="1"/>
  <c r="A7398" i="1"/>
  <c r="D18204" i="1"/>
  <c r="C18204" i="1"/>
  <c r="B18204" i="1"/>
  <c r="A18204" i="1"/>
  <c r="D16181" i="1"/>
  <c r="B16181" i="1"/>
  <c r="A16181" i="1"/>
  <c r="D10880" i="1"/>
  <c r="B10880" i="1"/>
  <c r="A10880" i="1"/>
  <c r="D13610" i="1"/>
  <c r="B13610" i="1"/>
  <c r="A13610" i="1"/>
  <c r="D11197" i="1"/>
  <c r="B11197" i="1"/>
  <c r="A11197" i="1"/>
  <c r="D12151" i="1"/>
  <c r="B12151" i="1"/>
  <c r="A12151" i="1"/>
  <c r="D12163" i="1"/>
  <c r="B12163" i="1"/>
  <c r="A12163" i="1"/>
  <c r="D13539" i="1"/>
  <c r="C13539" i="1"/>
  <c r="B13539" i="1"/>
  <c r="A13539" i="1"/>
  <c r="D11195" i="1"/>
  <c r="B11195" i="1"/>
  <c r="A11195" i="1"/>
  <c r="D7843" i="1"/>
  <c r="B7843" i="1"/>
  <c r="A7843" i="1"/>
  <c r="D8266" i="1"/>
  <c r="B8266" i="1"/>
  <c r="A8266" i="1"/>
  <c r="D16947" i="1"/>
  <c r="B16947" i="1"/>
  <c r="A16947" i="1"/>
  <c r="D12899" i="1"/>
  <c r="A12899" i="1"/>
  <c r="D17338" i="1"/>
  <c r="B17338" i="1"/>
  <c r="A17338" i="1"/>
  <c r="D13238" i="1"/>
  <c r="B13238" i="1"/>
  <c r="A13238" i="1"/>
  <c r="D13408" i="1"/>
  <c r="C13408" i="1"/>
  <c r="B13408" i="1"/>
  <c r="A13408" i="1"/>
  <c r="D11915" i="1"/>
  <c r="B11915" i="1"/>
  <c r="A11915" i="1"/>
  <c r="D17198" i="1"/>
  <c r="B17198" i="1"/>
  <c r="A17198" i="1"/>
  <c r="D16184" i="1"/>
  <c r="B16184" i="1"/>
  <c r="A16184" i="1"/>
  <c r="D17581" i="1"/>
  <c r="B17581" i="1"/>
  <c r="A17581" i="1"/>
  <c r="D11176" i="1"/>
  <c r="B11176" i="1"/>
  <c r="A11176" i="1"/>
  <c r="D11048" i="1"/>
  <c r="B11048" i="1"/>
  <c r="A11048" i="1"/>
  <c r="D6806" i="1"/>
  <c r="B6806" i="1"/>
  <c r="A6806" i="1"/>
  <c r="D13563" i="1"/>
  <c r="B13563" i="1"/>
  <c r="A13563" i="1"/>
  <c r="D11390" i="1"/>
  <c r="C11390" i="1"/>
  <c r="B11390" i="1"/>
  <c r="A11390" i="1"/>
  <c r="D10652" i="1"/>
  <c r="B10652" i="1"/>
  <c r="A10652" i="1"/>
  <c r="D14490" i="1"/>
  <c r="B14490" i="1"/>
  <c r="A14490" i="1"/>
  <c r="D6782" i="1"/>
  <c r="B6782" i="1"/>
  <c r="A6782" i="1"/>
  <c r="D10903" i="1"/>
  <c r="A10903" i="1"/>
  <c r="D6345" i="1"/>
  <c r="B6345" i="1"/>
  <c r="A6345" i="1"/>
  <c r="D16233" i="1"/>
  <c r="B16233" i="1"/>
  <c r="A16233" i="1"/>
  <c r="D12218" i="1"/>
  <c r="B12218" i="1"/>
  <c r="A12218" i="1"/>
  <c r="D9799" i="1"/>
  <c r="B9799" i="1"/>
  <c r="A9799" i="1"/>
  <c r="D8394" i="1"/>
  <c r="C8394" i="1"/>
  <c r="B8394" i="1"/>
  <c r="A8394" i="1"/>
  <c r="D7992" i="1"/>
  <c r="B7992" i="1"/>
  <c r="A7992" i="1"/>
  <c r="D11418" i="1"/>
  <c r="B11418" i="1"/>
  <c r="A11418" i="1"/>
  <c r="D18586" i="1"/>
  <c r="B18586" i="1"/>
  <c r="A18586" i="1"/>
  <c r="D9118" i="1"/>
  <c r="B9118" i="1"/>
  <c r="A9118" i="1"/>
  <c r="D6240" i="1"/>
  <c r="B6240" i="1"/>
  <c r="A6240" i="1"/>
  <c r="D10012" i="1"/>
  <c r="B10012" i="1"/>
  <c r="A10012" i="1"/>
  <c r="D16290" i="1"/>
  <c r="B16290" i="1"/>
  <c r="A16290" i="1"/>
  <c r="D9288" i="1"/>
  <c r="B9288" i="1"/>
  <c r="A9288" i="1"/>
  <c r="D7319" i="1"/>
  <c r="B7319" i="1"/>
  <c r="A7319" i="1"/>
  <c r="D6129" i="1"/>
  <c r="A6129" i="1"/>
  <c r="D7971" i="1"/>
  <c r="B7971" i="1"/>
  <c r="A7971" i="1"/>
  <c r="D11046" i="1"/>
  <c r="B11046" i="1"/>
  <c r="A11046" i="1"/>
  <c r="D7727" i="1"/>
  <c r="B7727" i="1"/>
  <c r="A7727" i="1"/>
  <c r="D17569" i="1"/>
  <c r="B17569" i="1"/>
  <c r="A17569" i="1"/>
  <c r="D8426" i="1"/>
  <c r="B8426" i="1"/>
  <c r="A8426" i="1"/>
  <c r="D10641" i="1"/>
  <c r="B10641" i="1"/>
  <c r="A10641" i="1"/>
  <c r="D16724" i="1"/>
  <c r="B16724" i="1"/>
  <c r="A16724" i="1"/>
  <c r="D9542" i="1"/>
  <c r="A9542" i="1"/>
  <c r="D8171" i="1"/>
  <c r="C8171" i="1"/>
  <c r="B8171" i="1"/>
  <c r="A8171" i="1"/>
  <c r="D11270" i="1"/>
  <c r="B11270" i="1"/>
  <c r="A11270" i="1"/>
  <c r="D11589" i="1"/>
  <c r="B11589" i="1"/>
  <c r="A11589" i="1"/>
  <c r="D8772" i="1"/>
  <c r="B8772" i="1"/>
  <c r="A8772" i="1"/>
  <c r="D18055" i="1"/>
  <c r="B18055" i="1"/>
  <c r="A18055" i="1"/>
  <c r="D8752" i="1"/>
  <c r="B8752" i="1"/>
  <c r="A8752" i="1"/>
  <c r="D8464" i="1"/>
  <c r="B8464" i="1"/>
  <c r="A8464" i="1"/>
  <c r="D7264" i="1"/>
  <c r="B7264" i="1"/>
  <c r="A7264" i="1"/>
  <c r="D16895" i="1"/>
  <c r="B16895" i="1"/>
  <c r="A16895" i="1"/>
  <c r="D9660" i="1"/>
  <c r="B9660" i="1"/>
  <c r="A9660" i="1"/>
  <c r="D10333" i="1"/>
  <c r="B10333" i="1"/>
  <c r="A10333" i="1"/>
  <c r="D16649" i="1"/>
  <c r="B16649" i="1"/>
  <c r="A16649" i="1"/>
  <c r="D9375" i="1"/>
  <c r="B9375" i="1"/>
  <c r="A9375" i="1"/>
  <c r="D8511" i="1"/>
  <c r="B8511" i="1"/>
  <c r="A8511" i="1"/>
  <c r="D9386" i="1"/>
  <c r="B9386" i="1"/>
  <c r="A9386" i="1"/>
  <c r="D11269" i="1"/>
  <c r="B11269" i="1"/>
  <c r="A11269" i="1"/>
  <c r="D12353" i="1"/>
  <c r="B12353" i="1"/>
  <c r="A12353" i="1"/>
  <c r="D10996" i="1"/>
  <c r="B10996" i="1"/>
  <c r="A10996" i="1"/>
  <c r="D7532" i="1"/>
  <c r="B7532" i="1"/>
  <c r="A7532" i="1"/>
  <c r="D17517" i="1"/>
  <c r="B17517" i="1"/>
  <c r="A17517" i="1"/>
  <c r="D7807" i="1"/>
  <c r="B7807" i="1"/>
  <c r="A7807" i="1"/>
  <c r="D6714" i="1"/>
  <c r="B6714" i="1"/>
  <c r="A6714" i="1"/>
  <c r="D12369" i="1"/>
  <c r="B12369" i="1"/>
  <c r="A12369" i="1"/>
  <c r="D14238" i="1"/>
  <c r="C14238" i="1"/>
  <c r="B14238" i="1"/>
  <c r="A14238" i="1"/>
  <c r="D14103" i="1"/>
  <c r="B14103" i="1"/>
  <c r="A14103" i="1"/>
  <c r="D13861" i="1"/>
  <c r="B13861" i="1"/>
  <c r="A13861" i="1"/>
  <c r="D10868" i="1"/>
  <c r="B10868" i="1"/>
  <c r="A10868" i="1"/>
  <c r="D13940" i="1"/>
  <c r="B13940" i="1"/>
  <c r="A13940" i="1"/>
  <c r="D8928" i="1"/>
  <c r="B8928" i="1"/>
  <c r="A8928" i="1"/>
  <c r="D11178" i="1"/>
  <c r="B11178" i="1"/>
  <c r="A11178" i="1"/>
  <c r="D17644" i="1"/>
  <c r="B17644" i="1"/>
  <c r="A17644" i="1"/>
  <c r="D12395" i="1"/>
  <c r="B12395" i="1"/>
  <c r="A12395" i="1"/>
  <c r="D11506" i="1"/>
  <c r="C11506" i="1"/>
  <c r="B11506" i="1"/>
  <c r="A11506" i="1"/>
  <c r="D8002" i="1"/>
  <c r="B8002" i="1"/>
  <c r="A8002" i="1"/>
  <c r="D10569" i="1"/>
  <c r="B10569" i="1"/>
  <c r="A10569" i="1"/>
  <c r="D12544" i="1"/>
  <c r="B12544" i="1"/>
  <c r="A12544" i="1"/>
  <c r="D11738" i="1"/>
  <c r="B11738" i="1"/>
  <c r="A11738" i="1"/>
  <c r="D12818" i="1"/>
  <c r="C12818" i="1"/>
  <c r="B12818" i="1"/>
  <c r="A12818" i="1"/>
  <c r="D9057" i="1"/>
  <c r="B9057" i="1"/>
  <c r="A9057" i="1"/>
  <c r="D13721" i="1"/>
  <c r="B13721" i="1"/>
  <c r="A13721" i="1"/>
  <c r="D5980" i="1"/>
  <c r="B5980" i="1"/>
  <c r="A5980" i="1"/>
  <c r="D12590" i="1"/>
  <c r="B12590" i="1"/>
  <c r="A12590" i="1"/>
  <c r="D8984" i="1"/>
  <c r="B8984" i="1"/>
  <c r="A8984" i="1"/>
  <c r="D9598" i="1"/>
  <c r="B9598" i="1"/>
  <c r="A9598" i="1"/>
  <c r="D14563" i="1"/>
  <c r="B14563" i="1"/>
  <c r="A14563" i="1"/>
  <c r="D9074" i="1"/>
  <c r="B9074" i="1"/>
  <c r="A9074" i="1"/>
  <c r="D18503" i="1"/>
  <c r="B18503" i="1"/>
  <c r="A18503" i="1"/>
  <c r="D12121" i="1"/>
  <c r="B12121" i="1"/>
  <c r="A12121" i="1"/>
  <c r="D7585" i="1"/>
  <c r="C7585" i="1"/>
  <c r="B7585" i="1"/>
  <c r="A7585" i="1"/>
  <c r="D12471" i="1"/>
  <c r="A12471" i="1"/>
  <c r="D10282" i="1"/>
  <c r="B10282" i="1"/>
  <c r="A10282" i="1"/>
  <c r="D10572" i="1"/>
  <c r="B10572" i="1"/>
  <c r="A10572" i="1"/>
  <c r="D17282" i="1"/>
  <c r="B17282" i="1"/>
  <c r="A17282" i="1"/>
  <c r="D8467" i="1"/>
  <c r="B8467" i="1"/>
  <c r="A8467" i="1"/>
  <c r="D6989" i="1"/>
  <c r="B6989" i="1"/>
  <c r="A6989" i="1"/>
  <c r="D7122" i="1"/>
  <c r="B7122" i="1"/>
  <c r="A7122" i="1"/>
  <c r="D8719" i="1"/>
  <c r="A8719" i="1"/>
  <c r="D11174" i="1"/>
  <c r="B11174" i="1"/>
  <c r="A11174" i="1"/>
  <c r="D7848" i="1"/>
  <c r="B7848" i="1"/>
  <c r="A7848" i="1"/>
  <c r="D7967" i="1"/>
  <c r="B7967" i="1"/>
  <c r="A7967" i="1"/>
  <c r="D7181" i="1"/>
  <c r="B7181" i="1"/>
  <c r="A7181" i="1"/>
  <c r="D8427" i="1"/>
  <c r="B8427" i="1"/>
  <c r="A8427" i="1"/>
  <c r="D11011" i="1"/>
  <c r="B11011" i="1"/>
  <c r="A11011" i="1"/>
  <c r="D17438" i="1"/>
  <c r="B17438" i="1"/>
  <c r="A17438" i="1"/>
  <c r="D16622" i="1"/>
  <c r="B16622" i="1"/>
  <c r="A16622" i="1"/>
  <c r="D5990" i="1"/>
  <c r="B5990" i="1"/>
  <c r="A5990" i="1"/>
  <c r="D16516" i="1"/>
  <c r="B16516" i="1"/>
  <c r="A16516" i="1"/>
  <c r="D12933" i="1"/>
  <c r="B12933" i="1"/>
  <c r="A12933" i="1"/>
  <c r="D6211" i="1"/>
  <c r="B6211" i="1"/>
  <c r="A6211" i="1"/>
  <c r="D17446" i="1"/>
  <c r="B17446" i="1"/>
  <c r="A17446" i="1"/>
  <c r="D7196" i="1"/>
  <c r="B7196" i="1"/>
  <c r="A7196" i="1"/>
  <c r="D10467" i="1"/>
  <c r="B10467" i="1"/>
  <c r="A10467" i="1"/>
  <c r="D8972" i="1"/>
  <c r="B8972" i="1"/>
  <c r="A8972" i="1"/>
  <c r="D15157" i="1"/>
  <c r="B15157" i="1"/>
  <c r="A15157" i="1"/>
  <c r="D10195" i="1"/>
  <c r="B10195" i="1"/>
  <c r="A10195" i="1"/>
  <c r="D12203" i="1"/>
  <c r="B12203" i="1"/>
  <c r="A12203" i="1"/>
  <c r="D5332" i="1"/>
  <c r="A5332" i="1"/>
  <c r="D15058" i="1"/>
  <c r="B15058" i="1"/>
  <c r="A15058" i="1"/>
  <c r="D18714" i="1"/>
  <c r="B18714" i="1"/>
  <c r="A18714" i="1"/>
  <c r="D11325" i="1"/>
  <c r="B11325" i="1"/>
  <c r="A11325" i="1"/>
  <c r="D8996" i="1"/>
  <c r="B8996" i="1"/>
  <c r="A8996" i="1"/>
  <c r="D8785" i="1"/>
  <c r="C8785" i="1"/>
  <c r="B8785" i="1"/>
  <c r="A8785" i="1"/>
  <c r="D7827" i="1"/>
  <c r="B7827" i="1"/>
  <c r="A7827" i="1"/>
  <c r="D8196" i="1"/>
  <c r="B8196" i="1"/>
  <c r="A8196" i="1"/>
  <c r="D7541" i="1"/>
  <c r="B7541" i="1"/>
  <c r="A7541" i="1"/>
  <c r="D10634" i="1"/>
  <c r="B10634" i="1"/>
  <c r="A10634" i="1"/>
  <c r="D9530" i="1"/>
  <c r="A9530" i="1"/>
  <c r="D15909" i="1"/>
  <c r="B15909" i="1"/>
  <c r="A15909" i="1"/>
  <c r="D18645" i="1"/>
  <c r="B18645" i="1"/>
  <c r="A18645" i="1"/>
  <c r="D17989" i="1"/>
  <c r="A17989" i="1"/>
  <c r="D8968" i="1"/>
  <c r="B8968" i="1"/>
  <c r="A8968" i="1"/>
  <c r="D18189" i="1"/>
  <c r="C18189" i="1"/>
  <c r="B18189" i="1"/>
  <c r="A18189" i="1"/>
  <c r="D14535" i="1"/>
  <c r="C14535" i="1"/>
  <c r="B14535" i="1"/>
  <c r="A14535" i="1"/>
  <c r="D17975" i="1"/>
  <c r="B17975" i="1"/>
  <c r="A17975" i="1"/>
  <c r="D16654" i="1"/>
  <c r="C16654" i="1"/>
  <c r="B16654" i="1"/>
  <c r="A16654" i="1"/>
  <c r="D6882" i="1"/>
  <c r="B6882" i="1"/>
  <c r="A6882" i="1"/>
  <c r="D11065" i="1"/>
  <c r="B11065" i="1"/>
  <c r="A11065" i="1"/>
  <c r="D9332" i="1"/>
  <c r="C9332" i="1"/>
  <c r="B9332" i="1"/>
  <c r="A9332" i="1"/>
  <c r="D13369" i="1"/>
  <c r="B13369" i="1"/>
  <c r="A13369" i="1"/>
  <c r="D8451" i="1"/>
  <c r="B8451" i="1"/>
  <c r="A8451" i="1"/>
  <c r="D11360" i="1"/>
  <c r="B11360" i="1"/>
  <c r="A11360" i="1"/>
  <c r="D18338" i="1"/>
  <c r="A18338" i="1"/>
  <c r="D10044" i="1"/>
  <c r="B10044" i="1"/>
  <c r="A10044" i="1"/>
  <c r="D11433" i="1"/>
  <c r="B11433" i="1"/>
  <c r="A11433" i="1"/>
  <c r="D13659" i="1"/>
  <c r="A13659" i="1"/>
  <c r="D9736" i="1"/>
  <c r="B9736" i="1"/>
  <c r="A9736" i="1"/>
  <c r="D18637" i="1"/>
  <c r="B18637" i="1"/>
  <c r="A18637" i="1"/>
  <c r="D11044" i="1"/>
  <c r="B11044" i="1"/>
  <c r="A11044" i="1"/>
  <c r="D7964" i="1"/>
  <c r="B7964" i="1"/>
  <c r="A7964" i="1"/>
  <c r="D6102" i="1"/>
  <c r="C6102" i="1"/>
  <c r="B6102" i="1"/>
  <c r="A6102" i="1"/>
  <c r="D10781" i="1"/>
  <c r="B10781" i="1"/>
  <c r="A10781" i="1"/>
  <c r="D9212" i="1"/>
  <c r="B9212" i="1"/>
  <c r="A9212" i="1"/>
  <c r="D9078" i="1"/>
  <c r="B9078" i="1"/>
  <c r="A9078" i="1"/>
  <c r="D17393" i="1"/>
  <c r="A17393" i="1"/>
  <c r="D18015" i="1"/>
  <c r="B18015" i="1"/>
  <c r="A18015" i="1"/>
  <c r="D12169" i="1"/>
  <c r="B12169" i="1"/>
  <c r="A12169" i="1"/>
  <c r="D7782" i="1"/>
  <c r="B7782" i="1"/>
  <c r="A7782" i="1"/>
  <c r="D11068" i="1"/>
  <c r="B11068" i="1"/>
  <c r="A11068" i="1"/>
  <c r="D13196" i="1"/>
  <c r="B13196" i="1"/>
  <c r="A13196" i="1"/>
  <c r="D9882" i="1"/>
  <c r="B9882" i="1"/>
  <c r="A9882" i="1"/>
  <c r="D17373" i="1"/>
  <c r="B17373" i="1"/>
  <c r="A17373" i="1"/>
  <c r="D8187" i="1"/>
  <c r="B8187" i="1"/>
  <c r="A8187" i="1"/>
  <c r="D17735" i="1"/>
  <c r="B17735" i="1"/>
  <c r="A17735" i="1"/>
  <c r="D6743" i="1"/>
  <c r="B6743" i="1"/>
  <c r="A6743" i="1"/>
  <c r="D13140" i="1"/>
  <c r="B13140" i="1"/>
  <c r="A13140" i="1"/>
  <c r="D6690" i="1"/>
  <c r="B6690" i="1"/>
  <c r="A6690" i="1"/>
  <c r="D11310" i="1"/>
  <c r="B11310" i="1"/>
  <c r="A11310" i="1"/>
  <c r="D14108" i="1"/>
  <c r="A14108" i="1"/>
  <c r="D12915" i="1"/>
  <c r="B12915" i="1"/>
  <c r="A12915" i="1"/>
  <c r="D8388" i="1"/>
  <c r="B8388" i="1"/>
  <c r="A8388" i="1"/>
  <c r="D12715" i="1"/>
  <c r="B12715" i="1"/>
  <c r="A12715" i="1"/>
  <c r="D17471" i="1"/>
  <c r="B17471" i="1"/>
  <c r="A17471" i="1"/>
  <c r="D8146" i="1"/>
  <c r="B8146" i="1"/>
  <c r="A8146" i="1"/>
  <c r="D18592" i="1"/>
  <c r="A18592" i="1"/>
  <c r="D12920" i="1"/>
  <c r="B12920" i="1"/>
  <c r="A12920" i="1"/>
  <c r="D16357" i="1"/>
  <c r="B16357" i="1"/>
  <c r="A16357" i="1"/>
  <c r="D11967" i="1"/>
  <c r="B11967" i="1"/>
  <c r="A11967" i="1"/>
  <c r="D13589" i="1"/>
  <c r="B13589" i="1"/>
  <c r="A13589" i="1"/>
  <c r="D6374" i="1"/>
  <c r="B6374" i="1"/>
  <c r="A6374" i="1"/>
  <c r="D15809" i="1"/>
  <c r="B15809" i="1"/>
  <c r="A15809" i="1"/>
  <c r="D7471" i="1"/>
  <c r="B7471" i="1"/>
  <c r="A7471" i="1"/>
  <c r="D10999" i="1"/>
  <c r="B10999" i="1"/>
  <c r="A10999" i="1"/>
  <c r="D18364" i="1"/>
  <c r="B18364" i="1"/>
  <c r="A18364" i="1"/>
  <c r="D17915" i="1"/>
  <c r="B17915" i="1"/>
  <c r="A17915" i="1"/>
  <c r="D6669" i="1"/>
  <c r="B6669" i="1"/>
  <c r="A6669" i="1"/>
  <c r="D6341" i="1"/>
  <c r="B6341" i="1"/>
  <c r="A6341" i="1"/>
  <c r="D18713" i="1"/>
  <c r="B18713" i="1"/>
  <c r="A18713" i="1"/>
  <c r="D14711" i="1"/>
  <c r="B14711" i="1"/>
  <c r="A14711" i="1"/>
  <c r="D15890" i="1"/>
  <c r="B15890" i="1"/>
  <c r="A15890" i="1"/>
  <c r="D15718" i="1"/>
  <c r="B15718" i="1"/>
  <c r="A15718" i="1"/>
  <c r="D15926" i="1"/>
  <c r="B15926" i="1"/>
  <c r="A15926" i="1"/>
  <c r="D8979" i="1"/>
  <c r="A8979" i="1"/>
  <c r="D15145" i="1"/>
  <c r="B15145" i="1"/>
  <c r="A15145" i="1"/>
  <c r="D16813" i="1"/>
  <c r="A16813" i="1"/>
  <c r="D13422" i="1"/>
  <c r="C13422" i="1"/>
  <c r="B13422" i="1"/>
  <c r="A13422" i="1"/>
  <c r="D8623" i="1"/>
  <c r="B8623" i="1"/>
  <c r="A8623" i="1"/>
  <c r="D15089" i="1"/>
  <c r="B15089" i="1"/>
  <c r="A15089" i="1"/>
  <c r="D10816" i="1"/>
  <c r="B10816" i="1"/>
  <c r="A10816" i="1"/>
  <c r="D11490" i="1"/>
  <c r="B11490" i="1"/>
  <c r="A11490" i="1"/>
  <c r="D12291" i="1"/>
  <c r="C12291" i="1"/>
  <c r="B12291" i="1"/>
  <c r="A12291" i="1"/>
  <c r="D9554" i="1"/>
  <c r="B9554" i="1"/>
  <c r="A9554" i="1"/>
  <c r="D12511" i="1"/>
  <c r="B12511" i="1"/>
  <c r="A12511" i="1"/>
  <c r="D8676" i="1"/>
  <c r="B8676" i="1"/>
  <c r="A8676" i="1"/>
  <c r="D9378" i="1"/>
  <c r="B9378" i="1"/>
  <c r="A9378" i="1"/>
  <c r="D13208" i="1"/>
  <c r="B13208" i="1"/>
  <c r="A13208" i="1"/>
  <c r="D10877" i="1"/>
  <c r="B10877" i="1"/>
  <c r="A10877" i="1"/>
  <c r="D14045" i="1"/>
  <c r="B14045" i="1"/>
  <c r="A14045" i="1"/>
  <c r="D15135" i="1"/>
  <c r="B15135" i="1"/>
  <c r="A15135" i="1"/>
  <c r="D7933" i="1"/>
  <c r="C7933" i="1"/>
  <c r="B7933" i="1"/>
  <c r="A7933" i="1"/>
  <c r="D15976" i="1"/>
  <c r="B15976" i="1"/>
  <c r="A15976" i="1"/>
  <c r="D10785" i="1"/>
  <c r="B10785" i="1"/>
  <c r="A10785" i="1"/>
  <c r="D8237" i="1"/>
  <c r="B8237" i="1"/>
  <c r="A8237" i="1"/>
  <c r="D12267" i="1"/>
  <c r="B12267" i="1"/>
  <c r="A12267" i="1"/>
  <c r="D6150" i="1"/>
  <c r="C6150" i="1"/>
  <c r="B6150" i="1"/>
  <c r="A6150" i="1"/>
  <c r="D7491" i="1"/>
  <c r="A7491" i="1"/>
  <c r="D7761" i="1"/>
  <c r="B7761" i="1"/>
  <c r="A7761" i="1"/>
  <c r="D8116" i="1"/>
  <c r="B8116" i="1"/>
  <c r="A8116" i="1"/>
  <c r="D10913" i="1"/>
  <c r="B10913" i="1"/>
  <c r="A10913" i="1"/>
  <c r="D15478" i="1"/>
  <c r="B15478" i="1"/>
  <c r="A15478" i="1"/>
  <c r="D9215" i="1"/>
  <c r="B9215" i="1"/>
  <c r="A9215" i="1"/>
  <c r="D12472" i="1"/>
  <c r="A12472" i="1"/>
  <c r="D13257" i="1"/>
  <c r="B13257" i="1"/>
  <c r="A13257" i="1"/>
  <c r="D5973" i="1"/>
  <c r="B5973" i="1"/>
  <c r="A5973" i="1"/>
  <c r="D10561" i="1"/>
  <c r="B10561" i="1"/>
  <c r="A10561" i="1"/>
  <c r="D10863" i="1"/>
  <c r="B10863" i="1"/>
  <c r="A10863" i="1"/>
  <c r="D18427" i="1"/>
  <c r="B18427" i="1"/>
  <c r="A18427" i="1"/>
  <c r="D8066" i="1"/>
  <c r="B8066" i="1"/>
  <c r="A8066" i="1"/>
  <c r="D9834" i="1"/>
  <c r="B9834" i="1"/>
  <c r="A9834" i="1"/>
  <c r="D17328" i="1"/>
  <c r="B17328" i="1"/>
  <c r="A17328" i="1"/>
  <c r="D6770" i="1"/>
  <c r="B6770" i="1"/>
  <c r="A6770" i="1"/>
  <c r="D6495" i="1"/>
  <c r="B6495" i="1"/>
  <c r="A6495" i="1"/>
  <c r="D9613" i="1"/>
  <c r="B9613" i="1"/>
  <c r="A9613" i="1"/>
  <c r="D11467" i="1"/>
  <c r="B11467" i="1"/>
  <c r="A11467" i="1"/>
  <c r="D13240" i="1"/>
  <c r="B13240" i="1"/>
  <c r="A13240" i="1"/>
  <c r="D14795" i="1"/>
  <c r="B14795" i="1"/>
  <c r="A14795" i="1"/>
  <c r="D9788" i="1"/>
  <c r="B9788" i="1"/>
  <c r="A9788" i="1"/>
  <c r="D16441" i="1"/>
  <c r="C16441" i="1"/>
  <c r="B16441" i="1"/>
  <c r="A16441" i="1"/>
  <c r="D17845" i="1"/>
  <c r="B17845" i="1"/>
  <c r="A17845" i="1"/>
  <c r="D11996" i="1"/>
  <c r="B11996" i="1"/>
  <c r="A11996" i="1"/>
  <c r="D11285" i="1"/>
  <c r="B11285" i="1"/>
  <c r="A11285" i="1"/>
  <c r="D18778" i="1"/>
  <c r="B18778" i="1"/>
  <c r="A18778" i="1"/>
  <c r="D7666" i="1"/>
  <c r="B7666" i="1"/>
  <c r="A7666" i="1"/>
  <c r="D8715" i="1"/>
  <c r="C8715" i="1"/>
  <c r="B8715" i="1"/>
  <c r="A8715" i="1"/>
  <c r="D7817" i="1"/>
  <c r="B7817" i="1"/>
  <c r="A7817" i="1"/>
  <c r="D10208" i="1"/>
  <c r="B10208" i="1"/>
  <c r="A10208" i="1"/>
  <c r="D14774" i="1"/>
  <c r="B14774" i="1"/>
  <c r="A14774" i="1"/>
  <c r="D13711" i="1"/>
  <c r="C13711" i="1"/>
  <c r="B13711" i="1"/>
  <c r="A13711" i="1"/>
  <c r="D18315" i="1"/>
  <c r="A18315" i="1"/>
  <c r="D8909" i="1"/>
  <c r="B8909" i="1"/>
  <c r="A8909" i="1"/>
  <c r="D17851" i="1"/>
  <c r="B17851" i="1"/>
  <c r="A17851" i="1"/>
  <c r="D10780" i="1"/>
  <c r="B10780" i="1"/>
  <c r="A10780" i="1"/>
  <c r="D11331" i="1"/>
  <c r="B11331" i="1"/>
  <c r="A11331" i="1"/>
  <c r="D6981" i="1"/>
  <c r="B6981" i="1"/>
  <c r="A6981" i="1"/>
  <c r="D17497" i="1"/>
  <c r="B17497" i="1"/>
  <c r="A17497" i="1"/>
  <c r="D17910" i="1"/>
  <c r="A17910" i="1"/>
  <c r="D11170" i="1"/>
  <c r="B11170" i="1"/>
  <c r="A11170" i="1"/>
  <c r="D13941" i="1"/>
  <c r="B13941" i="1"/>
  <c r="A13941" i="1"/>
  <c r="D12043" i="1"/>
  <c r="B12043" i="1"/>
  <c r="A12043" i="1"/>
  <c r="D9257" i="1"/>
  <c r="B9257" i="1"/>
  <c r="A9257" i="1"/>
  <c r="D18014" i="1"/>
  <c r="B18014" i="1"/>
  <c r="A18014" i="1"/>
  <c r="D17246" i="1"/>
  <c r="B17246" i="1"/>
  <c r="A17246" i="1"/>
  <c r="D11989" i="1"/>
  <c r="B11989" i="1"/>
  <c r="A11989" i="1"/>
  <c r="D13313" i="1"/>
  <c r="B13313" i="1"/>
  <c r="A13313" i="1"/>
  <c r="D6203" i="1"/>
  <c r="B6203" i="1"/>
  <c r="A6203" i="1"/>
  <c r="D18128" i="1"/>
  <c r="A18128" i="1"/>
  <c r="D6621" i="1"/>
  <c r="A6621" i="1"/>
  <c r="D7160" i="1"/>
  <c r="B7160" i="1"/>
  <c r="A7160" i="1"/>
  <c r="D10783" i="1"/>
  <c r="C10783" i="1"/>
  <c r="B10783" i="1"/>
  <c r="A10783" i="1"/>
  <c r="D7211" i="1"/>
  <c r="B7211" i="1"/>
  <c r="A7211" i="1"/>
  <c r="D15162" i="1"/>
  <c r="C15162" i="1"/>
  <c r="B15162" i="1"/>
  <c r="A15162" i="1"/>
  <c r="D13223" i="1"/>
  <c r="B13223" i="1"/>
  <c r="A13223" i="1"/>
  <c r="D6826" i="1"/>
  <c r="B6826" i="1"/>
  <c r="A6826" i="1"/>
  <c r="D18666" i="1"/>
  <c r="B18666" i="1"/>
  <c r="A18666" i="1"/>
  <c r="D10828" i="1"/>
  <c r="A10828" i="1"/>
  <c r="D11570" i="1"/>
  <c r="C11570" i="1"/>
  <c r="B11570" i="1"/>
  <c r="A11570" i="1"/>
  <c r="D10189" i="1"/>
  <c r="B10189" i="1"/>
  <c r="A10189" i="1"/>
  <c r="D17666" i="1"/>
  <c r="B17666" i="1"/>
  <c r="A17666" i="1"/>
  <c r="D17191" i="1"/>
  <c r="A17191" i="1"/>
  <c r="D16046" i="1"/>
  <c r="B16046" i="1"/>
  <c r="A16046" i="1"/>
  <c r="D8474" i="1"/>
  <c r="B8474" i="1"/>
  <c r="A8474" i="1"/>
  <c r="D16544" i="1"/>
  <c r="B16544" i="1"/>
  <c r="A16544" i="1"/>
  <c r="D14146" i="1"/>
  <c r="B14146" i="1"/>
  <c r="A14146" i="1"/>
  <c r="D18697" i="1"/>
  <c r="B18697" i="1"/>
  <c r="A18697" i="1"/>
  <c r="D8631" i="1"/>
  <c r="B8631" i="1"/>
  <c r="A8631" i="1"/>
  <c r="D7700" i="1"/>
  <c r="B7700" i="1"/>
  <c r="A7700" i="1"/>
  <c r="D16024" i="1"/>
  <c r="B16024" i="1"/>
  <c r="A16024" i="1"/>
  <c r="D16634" i="1"/>
  <c r="B16634" i="1"/>
  <c r="A16634" i="1"/>
  <c r="D18242" i="1"/>
  <c r="A18242" i="1"/>
  <c r="D17491" i="1"/>
  <c r="B17491" i="1"/>
  <c r="A17491" i="1"/>
  <c r="D18078" i="1"/>
  <c r="B18078" i="1"/>
  <c r="A18078" i="1"/>
  <c r="D9996" i="1"/>
  <c r="B9996" i="1"/>
  <c r="A9996" i="1"/>
  <c r="D7161" i="1"/>
  <c r="A7161" i="1"/>
  <c r="D13094" i="1"/>
  <c r="B13094" i="1"/>
  <c r="A13094" i="1"/>
  <c r="D10818" i="1"/>
  <c r="B10818" i="1"/>
  <c r="A10818" i="1"/>
  <c r="D17020" i="1"/>
  <c r="A17020" i="1"/>
  <c r="D14302" i="1"/>
  <c r="B14302" i="1"/>
  <c r="A14302" i="1"/>
  <c r="D17757" i="1"/>
  <c r="B17757" i="1"/>
  <c r="A17757" i="1"/>
  <c r="D8256" i="1"/>
  <c r="B8256" i="1"/>
  <c r="A8256" i="1"/>
  <c r="D18169" i="1"/>
  <c r="B18169" i="1"/>
  <c r="A18169" i="1"/>
  <c r="D15314" i="1"/>
  <c r="B15314" i="1"/>
  <c r="A15314" i="1"/>
  <c r="D11573" i="1"/>
  <c r="C11573" i="1"/>
  <c r="B11573" i="1"/>
  <c r="A11573" i="1"/>
  <c r="D9360" i="1"/>
  <c r="B9360" i="1"/>
  <c r="A9360" i="1"/>
  <c r="D12192" i="1"/>
  <c r="B12192" i="1"/>
  <c r="A12192" i="1"/>
  <c r="D12651" i="1"/>
  <c r="B12651" i="1"/>
  <c r="A12651" i="1"/>
  <c r="D7207" i="1"/>
  <c r="B7207" i="1"/>
  <c r="A7207" i="1"/>
  <c r="D11595" i="1"/>
  <c r="B11595" i="1"/>
  <c r="A11595" i="1"/>
  <c r="D17481" i="1"/>
  <c r="B17481" i="1"/>
  <c r="A17481" i="1"/>
  <c r="D10895" i="1"/>
  <c r="B10895" i="1"/>
  <c r="A10895" i="1"/>
  <c r="D17872" i="1"/>
  <c r="B17872" i="1"/>
  <c r="A17872" i="1"/>
  <c r="D8086" i="1"/>
  <c r="B8086" i="1"/>
  <c r="A8086" i="1"/>
  <c r="D13926" i="1"/>
  <c r="B13926" i="1"/>
  <c r="A13926" i="1"/>
  <c r="D17302" i="1"/>
  <c r="B17302" i="1"/>
  <c r="A17302" i="1"/>
  <c r="D17370" i="1"/>
  <c r="B17370" i="1"/>
  <c r="A17370" i="1"/>
  <c r="D16104" i="1"/>
  <c r="A16104" i="1"/>
  <c r="D18007" i="1"/>
  <c r="B18007" i="1"/>
  <c r="A18007" i="1"/>
  <c r="D18616" i="1"/>
  <c r="B18616" i="1"/>
  <c r="A18616" i="1"/>
  <c r="D11016" i="1"/>
  <c r="B11016" i="1"/>
  <c r="A11016" i="1"/>
  <c r="D6118" i="1"/>
  <c r="B6118" i="1"/>
  <c r="A6118" i="1"/>
  <c r="D15075" i="1"/>
  <c r="B15075" i="1"/>
  <c r="A15075" i="1"/>
  <c r="D8103" i="1"/>
  <c r="B8103" i="1"/>
  <c r="A8103" i="1"/>
  <c r="D7461" i="1"/>
  <c r="B7461" i="1"/>
  <c r="A7461" i="1"/>
  <c r="D16570" i="1"/>
  <c r="B16570" i="1"/>
  <c r="A16570" i="1"/>
  <c r="D17835" i="1"/>
  <c r="B17835" i="1"/>
  <c r="A17835" i="1"/>
  <c r="D17986" i="1"/>
  <c r="B17986" i="1"/>
  <c r="A17986" i="1"/>
  <c r="D14116" i="1"/>
  <c r="B14116" i="1"/>
  <c r="A14116" i="1"/>
  <c r="D6604" i="1"/>
  <c r="B6604" i="1"/>
  <c r="A6604" i="1"/>
  <c r="D7857" i="1"/>
  <c r="B7857" i="1"/>
  <c r="A7857" i="1"/>
  <c r="D17112" i="1"/>
  <c r="B17112" i="1"/>
  <c r="A17112" i="1"/>
  <c r="D6056" i="1"/>
  <c r="A6056" i="1"/>
  <c r="D10505" i="1"/>
  <c r="B10505" i="1"/>
  <c r="A10505" i="1"/>
  <c r="D13419" i="1"/>
  <c r="B13419" i="1"/>
  <c r="A13419" i="1"/>
  <c r="D16187" i="1"/>
  <c r="B16187" i="1"/>
  <c r="A16187" i="1"/>
  <c r="D16330" i="1"/>
  <c r="B16330" i="1"/>
  <c r="A16330" i="1"/>
  <c r="D17606" i="1"/>
  <c r="B17606" i="1"/>
  <c r="A17606" i="1"/>
  <c r="D6162" i="1"/>
  <c r="B6162" i="1"/>
  <c r="A6162" i="1"/>
  <c r="D11034" i="1"/>
  <c r="B11034" i="1"/>
  <c r="A11034" i="1"/>
  <c r="D12074" i="1"/>
  <c r="B12074" i="1"/>
  <c r="A12074" i="1"/>
  <c r="D7711" i="1"/>
  <c r="B7711" i="1"/>
  <c r="A7711" i="1"/>
  <c r="D8255" i="1"/>
  <c r="B8255" i="1"/>
  <c r="A8255" i="1"/>
  <c r="D16629" i="1"/>
  <c r="B16629" i="1"/>
  <c r="A16629" i="1"/>
  <c r="D11047" i="1"/>
  <c r="B11047" i="1"/>
  <c r="A11047" i="1"/>
  <c r="D11834" i="1"/>
  <c r="A11834" i="1"/>
  <c r="D7579" i="1"/>
  <c r="B7579" i="1"/>
  <c r="A7579" i="1"/>
  <c r="D6119" i="1"/>
  <c r="C6119" i="1"/>
  <c r="B6119" i="1"/>
  <c r="A6119" i="1"/>
  <c r="D10069" i="1"/>
  <c r="C10069" i="1"/>
  <c r="B10069" i="1"/>
  <c r="A10069" i="1"/>
  <c r="D12926" i="1"/>
  <c r="C12926" i="1"/>
  <c r="B12926" i="1"/>
  <c r="A12926" i="1"/>
  <c r="D15637" i="1"/>
  <c r="B15637" i="1"/>
  <c r="A15637" i="1"/>
  <c r="D16613" i="1"/>
  <c r="B16613" i="1"/>
  <c r="A16613" i="1"/>
  <c r="D16246" i="1"/>
  <c r="B16246" i="1"/>
  <c r="A16246" i="1"/>
  <c r="D14573" i="1"/>
  <c r="C14573" i="1"/>
  <c r="B14573" i="1"/>
  <c r="A14573" i="1"/>
  <c r="D9597" i="1"/>
  <c r="B9597" i="1"/>
  <c r="A9597" i="1"/>
  <c r="D13899" i="1"/>
  <c r="B13899" i="1"/>
  <c r="A13899" i="1"/>
  <c r="D9439" i="1"/>
  <c r="B9439" i="1"/>
  <c r="A9439" i="1"/>
  <c r="D17542" i="1"/>
  <c r="B17542" i="1"/>
  <c r="A17542" i="1"/>
  <c r="D12512" i="1"/>
  <c r="B12512" i="1"/>
  <c r="A12512" i="1"/>
  <c r="D7718" i="1"/>
  <c r="B7718" i="1"/>
  <c r="A7718" i="1"/>
  <c r="D15043" i="1"/>
  <c r="B15043" i="1"/>
  <c r="A15043" i="1"/>
  <c r="D7167" i="1"/>
  <c r="A7167" i="1"/>
  <c r="D12225" i="1"/>
  <c r="B12225" i="1"/>
  <c r="A12225" i="1"/>
  <c r="D11403" i="1"/>
  <c r="B11403" i="1"/>
  <c r="A11403" i="1"/>
  <c r="D9091" i="1"/>
  <c r="B9091" i="1"/>
  <c r="A9091" i="1"/>
  <c r="D10592" i="1"/>
  <c r="B10592" i="1"/>
  <c r="A10592" i="1"/>
  <c r="D6750" i="1"/>
  <c r="B6750" i="1"/>
  <c r="A6750" i="1"/>
  <c r="D7911" i="1"/>
  <c r="B7911" i="1"/>
  <c r="A7911" i="1"/>
  <c r="D13640" i="1"/>
  <c r="B13640" i="1"/>
  <c r="A13640" i="1"/>
  <c r="D7338" i="1"/>
  <c r="B7338" i="1"/>
  <c r="A7338" i="1"/>
  <c r="D15766" i="1"/>
  <c r="B15766" i="1"/>
  <c r="A15766" i="1"/>
  <c r="D15527" i="1"/>
  <c r="B15527" i="1"/>
  <c r="A15527" i="1"/>
  <c r="D16258" i="1"/>
  <c r="B16258" i="1"/>
  <c r="A16258" i="1"/>
  <c r="D9550" i="1"/>
  <c r="B9550" i="1"/>
  <c r="A9550" i="1"/>
  <c r="D10347" i="1"/>
  <c r="B10347" i="1"/>
  <c r="A10347" i="1"/>
  <c r="D11704" i="1"/>
  <c r="C11704" i="1"/>
  <c r="B11704" i="1"/>
  <c r="A11704" i="1"/>
  <c r="D5988" i="1"/>
  <c r="B5988" i="1"/>
  <c r="A5988" i="1"/>
  <c r="D9835" i="1"/>
  <c r="B9835" i="1"/>
  <c r="A9835" i="1"/>
  <c r="D17641" i="1"/>
  <c r="A17641" i="1"/>
  <c r="D11008" i="1"/>
  <c r="B11008" i="1"/>
  <c r="A11008" i="1"/>
  <c r="D6059" i="1"/>
  <c r="A6059" i="1"/>
  <c r="D10068" i="1"/>
  <c r="B10068" i="1"/>
  <c r="A10068" i="1"/>
  <c r="D7386" i="1"/>
  <c r="B7386" i="1"/>
  <c r="A7386" i="1"/>
  <c r="D16202" i="1"/>
  <c r="B16202" i="1"/>
  <c r="A16202" i="1"/>
  <c r="D15810" i="1"/>
  <c r="B15810" i="1"/>
  <c r="A15810" i="1"/>
  <c r="D8831" i="1"/>
  <c r="B8831" i="1"/>
  <c r="A8831" i="1"/>
  <c r="D18561" i="1"/>
  <c r="B18561" i="1"/>
  <c r="A18561" i="1"/>
  <c r="D15724" i="1"/>
  <c r="B15724" i="1"/>
  <c r="A15724" i="1"/>
  <c r="D7742" i="1"/>
  <c r="B7742" i="1"/>
  <c r="A7742" i="1"/>
  <c r="D5983" i="1"/>
  <c r="B5983" i="1"/>
  <c r="A5983" i="1"/>
  <c r="D11234" i="1"/>
  <c r="B11234" i="1"/>
  <c r="A11234" i="1"/>
  <c r="D13976" i="1"/>
  <c r="B13976" i="1"/>
  <c r="A13976" i="1"/>
  <c r="D11371" i="1"/>
  <c r="A11371" i="1"/>
  <c r="D9175" i="1"/>
  <c r="B9175" i="1"/>
  <c r="A9175" i="1"/>
  <c r="D17917" i="1"/>
  <c r="B17917" i="1"/>
  <c r="A17917" i="1"/>
  <c r="D16446" i="1"/>
  <c r="C16446" i="1"/>
  <c r="B16446" i="1"/>
  <c r="A16446" i="1"/>
  <c r="D18401" i="1"/>
  <c r="B18401" i="1"/>
  <c r="A18401" i="1"/>
  <c r="D14022" i="1"/>
  <c r="B14022" i="1"/>
  <c r="A14022" i="1"/>
  <c r="D18606" i="1"/>
  <c r="B18606" i="1"/>
  <c r="A18606" i="1"/>
  <c r="D13885" i="1"/>
  <c r="B13885" i="1"/>
  <c r="A13885" i="1"/>
  <c r="D14082" i="1"/>
  <c r="B14082" i="1"/>
  <c r="A14082" i="1"/>
  <c r="D18753" i="1"/>
  <c r="B18753" i="1"/>
  <c r="A18753" i="1"/>
  <c r="D7470" i="1"/>
  <c r="B7470" i="1"/>
  <c r="A7470" i="1"/>
  <c r="D11225" i="1"/>
  <c r="B11225" i="1"/>
  <c r="A11225" i="1"/>
  <c r="D7645" i="1"/>
  <c r="B7645" i="1"/>
  <c r="A7645" i="1"/>
  <c r="D7946" i="1"/>
  <c r="A7946" i="1"/>
  <c r="D11192" i="1"/>
  <c r="B11192" i="1"/>
  <c r="A11192" i="1"/>
  <c r="D13836" i="1"/>
  <c r="B13836" i="1"/>
  <c r="A13836" i="1"/>
  <c r="D11028" i="1"/>
  <c r="B11028" i="1"/>
  <c r="A11028" i="1"/>
  <c r="D7230" i="1"/>
  <c r="B7230" i="1"/>
  <c r="A7230" i="1"/>
  <c r="D11120" i="1"/>
  <c r="C11120" i="1"/>
  <c r="B11120" i="1"/>
  <c r="A11120" i="1"/>
  <c r="D17839" i="1"/>
  <c r="B17839" i="1"/>
  <c r="A17839" i="1"/>
  <c r="D15759" i="1"/>
  <c r="B15759" i="1"/>
  <c r="A15759" i="1"/>
  <c r="D12932" i="1"/>
  <c r="B12932" i="1"/>
  <c r="A12932" i="1"/>
  <c r="D9196" i="1"/>
  <c r="B9196" i="1"/>
  <c r="A9196" i="1"/>
  <c r="D8929" i="1"/>
  <c r="B8929" i="1"/>
  <c r="A8929" i="1"/>
  <c r="D7187" i="1"/>
  <c r="C7187" i="1"/>
  <c r="B7187" i="1"/>
  <c r="A7187" i="1"/>
  <c r="D7412" i="1"/>
  <c r="B7412" i="1"/>
  <c r="A7412" i="1"/>
  <c r="D10866" i="1"/>
  <c r="B10866" i="1"/>
  <c r="A10866" i="1"/>
  <c r="D8954" i="1"/>
  <c r="B8954" i="1"/>
  <c r="A8954" i="1"/>
  <c r="D10708" i="1"/>
  <c r="A10708" i="1"/>
  <c r="D9418" i="1"/>
  <c r="B9418" i="1"/>
  <c r="A9418" i="1"/>
  <c r="D11026" i="1"/>
  <c r="B11026" i="1"/>
  <c r="A11026" i="1"/>
  <c r="D12566" i="1"/>
  <c r="B12566" i="1"/>
  <c r="A12566" i="1"/>
  <c r="D16765" i="1"/>
  <c r="C16765" i="1"/>
  <c r="B16765" i="1"/>
  <c r="A16765" i="1"/>
  <c r="D7570" i="1"/>
  <c r="A7570" i="1"/>
  <c r="D6732" i="1"/>
  <c r="B6732" i="1"/>
  <c r="A6732" i="1"/>
  <c r="D16873" i="1"/>
  <c r="B16873" i="1"/>
  <c r="A16873" i="1"/>
  <c r="D8189" i="1"/>
  <c r="B8189" i="1"/>
  <c r="A8189" i="1"/>
  <c r="D6511" i="1"/>
  <c r="B6511" i="1"/>
  <c r="A6511" i="1"/>
  <c r="D6542" i="1"/>
  <c r="B6542" i="1"/>
  <c r="A6542" i="1"/>
  <c r="D13418" i="1"/>
  <c r="B13418" i="1"/>
  <c r="A13418" i="1"/>
  <c r="D8671" i="1"/>
  <c r="C8671" i="1"/>
  <c r="B8671" i="1"/>
  <c r="A8671" i="1"/>
  <c r="D17294" i="1"/>
  <c r="B17294" i="1"/>
  <c r="A17294" i="1"/>
  <c r="D9466" i="1"/>
  <c r="A9466" i="1"/>
  <c r="D10753" i="1"/>
  <c r="B10753" i="1"/>
  <c r="A10753" i="1"/>
  <c r="D6812" i="1"/>
  <c r="B6812" i="1"/>
  <c r="A6812" i="1"/>
  <c r="D5922" i="1"/>
  <c r="B5922" i="1"/>
  <c r="A5922" i="1"/>
  <c r="D16125" i="1"/>
  <c r="B16125" i="1"/>
  <c r="A16125" i="1"/>
  <c r="D15218" i="1"/>
  <c r="A15218" i="1"/>
  <c r="D7105" i="1"/>
  <c r="B7105" i="1"/>
  <c r="A7105" i="1"/>
  <c r="D15227" i="1"/>
  <c r="A15227" i="1"/>
  <c r="D13423" i="1"/>
  <c r="C13423" i="1"/>
  <c r="B13423" i="1"/>
  <c r="A13423" i="1"/>
  <c r="D17425" i="1"/>
  <c r="A17425" i="1"/>
  <c r="D7492" i="1"/>
  <c r="B7492" i="1"/>
  <c r="A7492" i="1"/>
  <c r="D10730" i="1"/>
  <c r="C10730" i="1"/>
  <c r="B10730" i="1"/>
  <c r="A10730" i="1"/>
  <c r="D13878" i="1"/>
  <c r="B13878" i="1"/>
  <c r="A13878" i="1"/>
  <c r="D15991" i="1"/>
  <c r="B15991" i="1"/>
  <c r="A15991" i="1"/>
  <c r="D9514" i="1"/>
  <c r="B9514" i="1"/>
  <c r="A9514" i="1"/>
  <c r="D9925" i="1"/>
  <c r="B9925" i="1"/>
  <c r="A9925" i="1"/>
  <c r="D6048" i="1"/>
  <c r="A6048" i="1"/>
  <c r="D13813" i="1"/>
  <c r="B13813" i="1"/>
  <c r="A13813" i="1"/>
  <c r="D14911" i="1"/>
  <c r="B14911" i="1"/>
  <c r="A14911" i="1"/>
  <c r="D14028" i="1"/>
  <c r="B14028" i="1"/>
  <c r="A14028" i="1"/>
  <c r="D15728" i="1"/>
  <c r="B15728" i="1"/>
  <c r="A15728" i="1"/>
  <c r="D18045" i="1"/>
  <c r="B18045" i="1"/>
  <c r="A18045" i="1"/>
  <c r="D6887" i="1"/>
  <c r="B6887" i="1"/>
  <c r="A6887" i="1"/>
  <c r="D14842" i="1"/>
  <c r="B14842" i="1"/>
  <c r="A14842" i="1"/>
  <c r="D13921" i="1"/>
  <c r="B13921" i="1"/>
  <c r="A13921" i="1"/>
  <c r="D16235" i="1"/>
  <c r="B16235" i="1"/>
  <c r="A16235" i="1"/>
  <c r="D15668" i="1"/>
  <c r="B15668" i="1"/>
  <c r="A15668" i="1"/>
  <c r="D16908" i="1"/>
  <c r="B16908" i="1"/>
  <c r="A16908" i="1"/>
  <c r="D8345" i="1"/>
  <c r="B8345" i="1"/>
  <c r="A8345" i="1"/>
  <c r="D11756" i="1"/>
  <c r="B11756" i="1"/>
  <c r="A11756" i="1"/>
  <c r="D17436" i="1"/>
  <c r="B17436" i="1"/>
  <c r="A17436" i="1"/>
  <c r="D7323" i="1"/>
  <c r="B7323" i="1"/>
  <c r="A7323" i="1"/>
  <c r="D9716" i="1"/>
  <c r="B9716" i="1"/>
  <c r="A9716" i="1"/>
  <c r="D6592" i="1"/>
  <c r="B6592" i="1"/>
  <c r="A6592" i="1"/>
  <c r="D15348" i="1"/>
  <c r="B15348" i="1"/>
  <c r="A15348" i="1"/>
  <c r="D12616" i="1"/>
  <c r="B12616" i="1"/>
  <c r="A12616" i="1"/>
  <c r="D15781" i="1"/>
  <c r="B15781" i="1"/>
  <c r="A15781" i="1"/>
  <c r="D10302" i="1"/>
  <c r="B10302" i="1"/>
  <c r="A10302" i="1"/>
  <c r="D15381" i="1"/>
  <c r="B15381" i="1"/>
  <c r="A15381" i="1"/>
  <c r="D11846" i="1"/>
  <c r="B11846" i="1"/>
  <c r="A11846" i="1"/>
  <c r="D13217" i="1"/>
  <c r="B13217" i="1"/>
  <c r="A13217" i="1"/>
  <c r="D11009" i="1"/>
  <c r="B11009" i="1"/>
  <c r="A11009" i="1"/>
  <c r="D14779" i="1"/>
  <c r="B14779" i="1"/>
  <c r="A14779" i="1"/>
  <c r="D15432" i="1"/>
  <c r="B15432" i="1"/>
  <c r="A15432" i="1"/>
  <c r="D18050" i="1"/>
  <c r="B18050" i="1"/>
  <c r="A18050" i="1"/>
  <c r="D16801" i="1"/>
  <c r="B16801" i="1"/>
  <c r="A16801" i="1"/>
  <c r="D13835" i="1"/>
  <c r="B13835" i="1"/>
  <c r="A13835" i="1"/>
  <c r="D9696" i="1"/>
  <c r="B9696" i="1"/>
  <c r="A9696" i="1"/>
  <c r="D8514" i="1"/>
  <c r="B8514" i="1"/>
  <c r="A8514" i="1"/>
  <c r="B11123" i="1"/>
  <c r="A11123" i="1"/>
  <c r="D8880" i="1"/>
  <c r="B8880" i="1"/>
  <c r="A8880" i="1"/>
  <c r="D8393" i="1"/>
  <c r="C8393" i="1"/>
  <c r="B8393" i="1"/>
  <c r="A8393" i="1"/>
  <c r="D14475" i="1"/>
  <c r="B14475" i="1"/>
  <c r="A14475" i="1"/>
  <c r="D9394" i="1"/>
  <c r="A9394" i="1"/>
  <c r="D6666" i="1"/>
  <c r="B6666" i="1"/>
  <c r="A6666" i="1"/>
  <c r="D15953" i="1"/>
  <c r="B15953" i="1"/>
  <c r="A15953" i="1"/>
  <c r="D12358" i="1"/>
  <c r="B12358" i="1"/>
  <c r="A12358" i="1"/>
  <c r="D12874" i="1"/>
  <c r="A12874" i="1"/>
  <c r="D11350" i="1"/>
  <c r="B11350" i="1"/>
  <c r="A11350" i="1"/>
  <c r="D18447" i="1"/>
  <c r="B18447" i="1"/>
  <c r="A18447" i="1"/>
  <c r="D8402" i="1"/>
  <c r="C8402" i="1"/>
  <c r="B8402" i="1"/>
  <c r="A8402" i="1"/>
  <c r="D11364" i="1"/>
  <c r="B11364" i="1"/>
  <c r="A11364" i="1"/>
  <c r="D7408" i="1"/>
  <c r="B7408" i="1"/>
  <c r="A7408" i="1"/>
  <c r="D18063" i="1"/>
  <c r="B18063" i="1"/>
  <c r="A18063" i="1"/>
  <c r="D7135" i="1"/>
  <c r="B7135" i="1"/>
  <c r="A7135" i="1"/>
  <c r="D7942" i="1"/>
  <c r="B7942" i="1"/>
  <c r="A7942" i="1"/>
  <c r="D10994" i="1"/>
  <c r="B10994" i="1"/>
  <c r="A10994" i="1"/>
  <c r="D6402" i="1"/>
  <c r="A6402" i="1"/>
  <c r="D12485" i="1"/>
  <c r="A12485" i="1"/>
  <c r="D11001" i="1"/>
  <c r="B11001" i="1"/>
  <c r="A11001" i="1"/>
  <c r="D11021" i="1"/>
  <c r="B11021" i="1"/>
  <c r="A11021" i="1"/>
  <c r="D16035" i="1"/>
  <c r="C16035" i="1"/>
  <c r="B16035" i="1"/>
  <c r="A16035" i="1"/>
  <c r="D6682" i="1"/>
  <c r="B6682" i="1"/>
  <c r="A6682" i="1"/>
  <c r="D9959" i="1"/>
  <c r="B9959" i="1"/>
  <c r="A9959" i="1"/>
  <c r="D5626" i="1"/>
  <c r="A5626" i="1"/>
  <c r="D6905" i="1"/>
  <c r="B6905" i="1"/>
  <c r="A6905" i="1"/>
  <c r="D17741" i="1"/>
  <c r="A17741" i="1"/>
  <c r="D18369" i="1"/>
  <c r="B18369" i="1"/>
  <c r="A18369" i="1"/>
  <c r="D10082" i="1"/>
  <c r="B10082" i="1"/>
  <c r="A10082" i="1"/>
  <c r="D6426" i="1"/>
  <c r="C6426" i="1"/>
  <c r="B6426" i="1"/>
  <c r="A6426" i="1"/>
  <c r="D16952" i="1"/>
  <c r="B16952" i="1"/>
  <c r="A16952" i="1"/>
  <c r="D15874" i="1"/>
  <c r="C15874" i="1"/>
  <c r="B15874" i="1"/>
  <c r="A15874" i="1"/>
  <c r="D8415" i="1"/>
  <c r="C8415" i="1"/>
  <c r="B8415" i="1"/>
  <c r="A8415" i="1"/>
  <c r="D17269" i="1"/>
  <c r="B17269" i="1"/>
  <c r="A17269" i="1"/>
  <c r="D18400" i="1"/>
  <c r="B18400" i="1"/>
  <c r="A18400" i="1"/>
  <c r="D11101" i="1"/>
  <c r="B11101" i="1"/>
  <c r="A11101" i="1"/>
  <c r="D12005" i="1"/>
  <c r="B12005" i="1"/>
  <c r="A12005" i="1"/>
  <c r="D11841" i="1"/>
  <c r="B11841" i="1"/>
  <c r="A11841" i="1"/>
  <c r="D18537" i="1"/>
  <c r="B18537" i="1"/>
  <c r="A18537" i="1"/>
  <c r="D18507" i="1"/>
  <c r="C18507" i="1"/>
  <c r="B18507" i="1"/>
  <c r="A18507" i="1"/>
  <c r="D10833" i="1"/>
  <c r="B10833" i="1"/>
  <c r="A10833" i="1"/>
  <c r="D18306" i="1"/>
  <c r="B18306" i="1"/>
  <c r="A18306" i="1"/>
  <c r="D17864" i="1"/>
  <c r="B17864" i="1"/>
  <c r="A17864" i="1"/>
  <c r="D11701" i="1"/>
  <c r="C11701" i="1"/>
  <c r="B11701" i="1"/>
  <c r="A11701" i="1"/>
  <c r="D10337" i="1"/>
  <c r="A10337" i="1"/>
  <c r="D13128" i="1"/>
  <c r="C13128" i="1"/>
  <c r="B13128" i="1"/>
  <c r="A13128" i="1"/>
  <c r="D12035" i="1"/>
  <c r="B12035" i="1"/>
  <c r="A12035" i="1"/>
  <c r="D9190" i="1"/>
  <c r="B9190" i="1"/>
  <c r="A9190" i="1"/>
  <c r="D6320" i="1"/>
  <c r="A6320" i="1"/>
  <c r="D6425" i="1"/>
  <c r="C6425" i="1"/>
  <c r="B6425" i="1"/>
  <c r="A6425" i="1"/>
  <c r="D13252" i="1"/>
  <c r="B13252" i="1"/>
  <c r="A13252" i="1"/>
  <c r="D6083" i="1"/>
  <c r="C6083" i="1"/>
  <c r="B6083" i="1"/>
  <c r="A6083" i="1"/>
  <c r="D17217" i="1"/>
  <c r="B17217" i="1"/>
  <c r="A17217" i="1"/>
  <c r="D9272" i="1"/>
  <c r="B9272" i="1"/>
  <c r="A9272" i="1"/>
  <c r="D8372" i="1"/>
  <c r="B8372" i="1"/>
  <c r="A8372" i="1"/>
  <c r="D9193" i="1"/>
  <c r="B9193" i="1"/>
  <c r="A9193" i="1"/>
  <c r="D12364" i="1"/>
  <c r="B12364" i="1"/>
  <c r="A12364" i="1"/>
  <c r="D17083" i="1"/>
  <c r="B17083" i="1"/>
  <c r="A17083" i="1"/>
  <c r="D11395" i="1"/>
  <c r="B11395" i="1"/>
  <c r="A11395" i="1"/>
  <c r="D6850" i="1"/>
  <c r="B6850" i="1"/>
  <c r="A6850" i="1"/>
  <c r="D16130" i="1"/>
  <c r="B16130" i="1"/>
  <c r="A16130" i="1"/>
  <c r="D13541" i="1"/>
  <c r="B13541" i="1"/>
  <c r="A13541" i="1"/>
  <c r="D18754" i="1"/>
  <c r="B18754" i="1"/>
  <c r="A18754" i="1"/>
  <c r="D18781" i="1"/>
  <c r="B18781" i="1"/>
  <c r="A18781" i="1"/>
  <c r="D13745" i="1"/>
  <c r="B13745" i="1"/>
  <c r="A13745" i="1"/>
  <c r="D11586" i="1"/>
  <c r="B11586" i="1"/>
  <c r="A11586" i="1"/>
  <c r="D15551" i="1"/>
  <c r="B15551" i="1"/>
  <c r="A15551" i="1"/>
  <c r="D6890" i="1"/>
  <c r="B6890" i="1"/>
  <c r="A6890" i="1"/>
  <c r="D15875" i="1"/>
  <c r="B15875" i="1"/>
  <c r="A15875" i="1"/>
  <c r="D12563" i="1"/>
  <c r="B12563" i="1"/>
  <c r="A12563" i="1"/>
  <c r="D6373" i="1"/>
  <c r="B6373" i="1"/>
  <c r="A6373" i="1"/>
  <c r="D6512" i="1"/>
  <c r="B6512" i="1"/>
  <c r="A6512" i="1"/>
  <c r="D8581" i="1"/>
  <c r="B8581" i="1"/>
  <c r="A8581" i="1"/>
  <c r="D12400" i="1"/>
  <c r="B12400" i="1"/>
  <c r="A12400" i="1"/>
  <c r="D11220" i="1"/>
  <c r="C11220" i="1"/>
  <c r="B11220" i="1"/>
  <c r="A11220" i="1"/>
  <c r="D8346" i="1"/>
  <c r="B8346" i="1"/>
  <c r="A8346" i="1"/>
  <c r="D11323" i="1"/>
  <c r="B11323" i="1"/>
  <c r="A11323" i="1"/>
  <c r="D18631" i="1"/>
  <c r="B18631" i="1"/>
  <c r="A18631" i="1"/>
  <c r="D10809" i="1"/>
  <c r="B10809" i="1"/>
  <c r="A10809" i="1"/>
  <c r="D16863" i="1"/>
  <c r="A16863" i="1"/>
  <c r="D16166" i="1"/>
  <c r="B16166" i="1"/>
  <c r="A16166" i="1"/>
  <c r="D11004" i="1"/>
  <c r="B11004" i="1"/>
  <c r="A11004" i="1"/>
  <c r="D10962" i="1"/>
  <c r="B10962" i="1"/>
  <c r="A10962" i="1"/>
  <c r="D17820" i="1"/>
  <c r="B17820" i="1"/>
  <c r="A17820" i="1"/>
  <c r="D13199" i="1"/>
  <c r="B13199" i="1"/>
  <c r="A13199" i="1"/>
  <c r="D10314" i="1"/>
  <c r="B10314" i="1"/>
  <c r="A10314" i="1"/>
  <c r="D15713" i="1"/>
  <c r="A15713" i="1"/>
  <c r="D15626" i="1"/>
  <c r="B15626" i="1"/>
  <c r="A15626" i="1"/>
  <c r="D10181" i="1"/>
  <c r="A10181" i="1"/>
  <c r="D6737" i="1"/>
  <c r="B6737" i="1"/>
  <c r="A6737" i="1"/>
  <c r="D6933" i="1"/>
  <c r="B6933" i="1"/>
  <c r="A6933" i="1"/>
  <c r="D17536" i="1"/>
  <c r="B17536" i="1"/>
  <c r="A17536" i="1"/>
  <c r="D15409" i="1"/>
  <c r="B15409" i="1"/>
  <c r="A15409" i="1"/>
  <c r="D8907" i="1"/>
  <c r="B8907" i="1"/>
  <c r="A8907" i="1"/>
  <c r="D13414" i="1"/>
  <c r="B13414" i="1"/>
  <c r="A13414" i="1"/>
  <c r="D7300" i="1"/>
  <c r="B7300" i="1"/>
  <c r="A7300" i="1"/>
  <c r="D7750" i="1"/>
  <c r="B7750" i="1"/>
  <c r="A7750" i="1"/>
  <c r="D13944" i="1"/>
  <c r="B13944" i="1"/>
  <c r="A13944" i="1"/>
  <c r="D15932" i="1"/>
  <c r="B15932" i="1"/>
  <c r="A15932" i="1"/>
  <c r="D6605" i="1"/>
  <c r="B6605" i="1"/>
  <c r="A6605" i="1"/>
  <c r="D16076" i="1"/>
  <c r="B16076" i="1"/>
  <c r="A16076" i="1"/>
  <c r="D17496" i="1"/>
  <c r="B17496" i="1"/>
  <c r="A17496" i="1"/>
  <c r="D6934" i="1"/>
  <c r="B6934" i="1"/>
  <c r="A6934" i="1"/>
  <c r="D11258" i="1"/>
  <c r="B11258" i="1"/>
  <c r="A11258" i="1"/>
  <c r="D11078" i="1"/>
  <c r="B11078" i="1"/>
  <c r="A11078" i="1"/>
  <c r="D9892" i="1"/>
  <c r="B9892" i="1"/>
  <c r="A9892" i="1"/>
  <c r="D11705" i="1"/>
  <c r="B11705" i="1"/>
  <c r="A11705" i="1"/>
  <c r="D13809" i="1"/>
  <c r="B13809" i="1"/>
  <c r="A13809" i="1"/>
  <c r="D17040" i="1"/>
  <c r="B17040" i="1"/>
  <c r="A17040" i="1"/>
  <c r="D18702" i="1"/>
  <c r="B18702" i="1"/>
  <c r="A18702" i="1"/>
  <c r="D7265" i="1"/>
  <c r="B7265" i="1"/>
  <c r="A7265" i="1"/>
  <c r="D11071" i="1"/>
  <c r="B11071" i="1"/>
  <c r="A11071" i="1"/>
  <c r="D5934" i="1"/>
  <c r="B5934" i="1"/>
  <c r="A5934" i="1"/>
  <c r="D11494" i="1"/>
  <c r="B11494" i="1"/>
  <c r="A11494" i="1"/>
  <c r="D16722" i="1"/>
  <c r="B16722" i="1"/>
  <c r="A16722" i="1"/>
  <c r="D18725" i="1"/>
  <c r="A18725" i="1"/>
  <c r="D11962" i="1"/>
  <c r="B11962" i="1"/>
  <c r="A11962" i="1"/>
  <c r="D10811" i="1"/>
  <c r="B10811" i="1"/>
  <c r="A10811" i="1"/>
  <c r="D7832" i="1"/>
  <c r="B7832" i="1"/>
  <c r="A7832" i="1"/>
  <c r="D17056" i="1"/>
  <c r="B17056" i="1"/>
  <c r="A17056" i="1"/>
  <c r="D7542" i="1"/>
  <c r="B7542" i="1"/>
  <c r="A7542" i="1"/>
  <c r="D9209" i="1"/>
  <c r="B9209" i="1"/>
  <c r="A9209" i="1"/>
  <c r="D13354" i="1"/>
  <c r="B13354" i="1"/>
  <c r="A13354" i="1"/>
  <c r="D8529" i="1"/>
  <c r="B8529" i="1"/>
  <c r="A8529" i="1"/>
  <c r="D17372" i="1"/>
  <c r="A17372" i="1"/>
  <c r="D8563" i="1"/>
  <c r="B8563" i="1"/>
  <c r="A8563" i="1"/>
  <c r="D11513" i="1"/>
  <c r="B11513" i="1"/>
  <c r="A11513" i="1"/>
  <c r="D11357" i="1"/>
  <c r="B11357" i="1"/>
  <c r="A11357" i="1"/>
  <c r="D13231" i="1"/>
  <c r="B13231" i="1"/>
  <c r="A13231" i="1"/>
  <c r="D8225" i="1"/>
  <c r="B8225" i="1"/>
  <c r="A8225" i="1"/>
  <c r="D18428" i="1"/>
  <c r="B18428" i="1"/>
  <c r="A18428" i="1"/>
  <c r="D11600" i="1"/>
  <c r="B11600" i="1"/>
  <c r="A11600" i="1"/>
  <c r="D10566" i="1"/>
  <c r="B10566" i="1"/>
  <c r="A10566" i="1"/>
  <c r="D6902" i="1"/>
  <c r="B6902" i="1"/>
  <c r="A6902" i="1"/>
  <c r="D17493" i="1"/>
  <c r="B17493" i="1"/>
  <c r="A17493" i="1"/>
  <c r="D14141" i="1"/>
  <c r="A14141" i="1"/>
  <c r="D16469" i="1"/>
  <c r="B16469" i="1"/>
  <c r="A16469" i="1"/>
  <c r="D11127" i="1"/>
  <c r="B11127" i="1"/>
  <c r="A11127" i="1"/>
  <c r="D17823" i="1"/>
  <c r="B17823" i="1"/>
  <c r="A17823" i="1"/>
  <c r="D8882" i="1"/>
  <c r="C8882" i="1"/>
  <c r="B8882" i="1"/>
  <c r="A8882" i="1"/>
  <c r="D17832" i="1"/>
  <c r="B17832" i="1"/>
  <c r="A17832" i="1"/>
  <c r="D17280" i="1"/>
  <c r="B17280" i="1"/>
  <c r="A17280" i="1"/>
  <c r="D7608" i="1"/>
  <c r="B7608" i="1"/>
  <c r="A7608" i="1"/>
  <c r="D13243" i="1"/>
  <c r="B13243" i="1"/>
  <c r="A13243" i="1"/>
  <c r="D9583" i="1"/>
  <c r="B9583" i="1"/>
  <c r="A9583" i="1"/>
  <c r="D6922" i="1"/>
  <c r="B6922" i="1"/>
  <c r="A6922" i="1"/>
  <c r="D16646" i="1"/>
  <c r="B16646" i="1"/>
  <c r="A16646" i="1"/>
  <c r="D12028" i="1"/>
  <c r="B12028" i="1"/>
  <c r="A12028" i="1"/>
  <c r="D11763" i="1"/>
  <c r="B11763" i="1"/>
  <c r="A11763" i="1"/>
  <c r="D15488" i="1"/>
  <c r="B15488" i="1"/>
  <c r="A15488" i="1"/>
  <c r="D13872" i="1"/>
  <c r="B13872" i="1"/>
  <c r="A13872" i="1"/>
  <c r="D15658" i="1"/>
  <c r="B15658" i="1"/>
  <c r="A15658" i="1"/>
  <c r="D16027" i="1"/>
  <c r="B16027" i="1"/>
  <c r="A16027" i="1"/>
  <c r="D6362" i="1"/>
  <c r="B6362" i="1"/>
  <c r="A6362" i="1"/>
  <c r="D9891" i="1"/>
  <c r="B9891" i="1"/>
  <c r="A9891" i="1"/>
  <c r="D8034" i="1"/>
  <c r="B8034" i="1"/>
  <c r="A8034" i="1"/>
  <c r="D17976" i="1"/>
  <c r="B17976" i="1"/>
  <c r="A17976" i="1"/>
  <c r="D14733" i="1"/>
  <c r="B14733" i="1"/>
  <c r="A14733" i="1"/>
  <c r="D6440" i="1"/>
  <c r="B6440" i="1"/>
  <c r="A6440" i="1"/>
  <c r="D8246" i="1"/>
  <c r="B8246" i="1"/>
  <c r="A8246" i="1"/>
  <c r="D14876" i="1"/>
  <c r="B14876" i="1"/>
  <c r="A14876" i="1"/>
  <c r="D5639" i="1"/>
  <c r="A5639" i="1"/>
  <c r="D9734" i="1"/>
  <c r="B9734" i="1"/>
  <c r="A9734" i="1"/>
  <c r="D17519" i="1"/>
  <c r="B17519" i="1"/>
  <c r="A17519" i="1"/>
  <c r="D14730" i="1"/>
  <c r="B14730" i="1"/>
  <c r="A14730" i="1"/>
  <c r="D15384" i="1"/>
  <c r="B15384" i="1"/>
  <c r="A15384" i="1"/>
  <c r="D18286" i="1"/>
  <c r="B18286" i="1"/>
  <c r="A18286" i="1"/>
  <c r="D9049" i="1"/>
  <c r="B9049" i="1"/>
  <c r="A9049" i="1"/>
  <c r="D10350" i="1"/>
  <c r="B10350" i="1"/>
  <c r="A10350" i="1"/>
  <c r="D13443" i="1"/>
  <c r="B13443" i="1"/>
  <c r="A13443" i="1"/>
  <c r="D12574" i="1"/>
  <c r="B12574" i="1"/>
  <c r="A12574" i="1"/>
  <c r="D10706" i="1"/>
  <c r="B10706" i="1"/>
  <c r="A10706" i="1"/>
  <c r="D17397" i="1"/>
  <c r="A17397" i="1"/>
  <c r="D12352" i="1"/>
  <c r="B12352" i="1"/>
  <c r="A12352" i="1"/>
  <c r="D17059" i="1"/>
  <c r="B17059" i="1"/>
  <c r="A17059" i="1"/>
  <c r="D16703" i="1"/>
  <c r="B16703" i="1"/>
  <c r="A16703" i="1"/>
  <c r="D15364" i="1"/>
  <c r="B15364" i="1"/>
  <c r="A15364" i="1"/>
  <c r="D15677" i="1"/>
  <c r="B15677" i="1"/>
  <c r="A15677" i="1"/>
  <c r="D10450" i="1"/>
  <c r="B10450" i="1"/>
  <c r="A10450" i="1"/>
  <c r="D16705" i="1"/>
  <c r="B16705" i="1"/>
  <c r="A16705" i="1"/>
  <c r="D13413" i="1"/>
  <c r="B13413" i="1"/>
  <c r="A13413" i="1"/>
  <c r="D11093" i="1"/>
  <c r="C11093" i="1"/>
  <c r="B11093" i="1"/>
  <c r="A11093" i="1"/>
  <c r="D18397" i="1"/>
  <c r="B18397" i="1"/>
  <c r="A18397" i="1"/>
  <c r="D13197" i="1"/>
  <c r="B13197" i="1"/>
  <c r="A13197" i="1"/>
  <c r="D17670" i="1"/>
  <c r="B17670" i="1"/>
  <c r="A17670" i="1"/>
  <c r="D9893" i="1"/>
  <c r="B9893" i="1"/>
  <c r="A9893" i="1"/>
  <c r="D9517" i="1"/>
  <c r="B9517" i="1"/>
  <c r="A9517" i="1"/>
  <c r="D10901" i="1"/>
  <c r="B10901" i="1"/>
  <c r="A10901" i="1"/>
  <c r="D10509" i="1"/>
  <c r="B10509" i="1"/>
  <c r="A10509" i="1"/>
  <c r="D6841" i="1"/>
  <c r="B6841" i="1"/>
  <c r="A6841" i="1"/>
  <c r="D11583" i="1"/>
  <c r="C11583" i="1"/>
  <c r="B11583" i="1"/>
  <c r="A11583" i="1"/>
  <c r="D8575" i="1"/>
  <c r="C8575" i="1"/>
  <c r="B8575" i="1"/>
  <c r="A8575" i="1"/>
  <c r="D7260" i="1"/>
  <c r="B7260" i="1"/>
  <c r="A7260" i="1"/>
  <c r="D17540" i="1"/>
  <c r="B17540" i="1"/>
  <c r="A17540" i="1"/>
  <c r="D15299" i="1"/>
  <c r="B15299" i="1"/>
  <c r="A15299" i="1"/>
  <c r="D8533" i="1"/>
  <c r="C8533" i="1"/>
  <c r="B8533" i="1"/>
  <c r="A8533" i="1"/>
  <c r="D10862" i="1"/>
  <c r="B10862" i="1"/>
  <c r="A10862" i="1"/>
  <c r="D18457" i="1"/>
  <c r="B18457" i="1"/>
  <c r="A18457" i="1"/>
  <c r="D6849" i="1"/>
  <c r="B6849" i="1"/>
  <c r="A6849" i="1"/>
  <c r="D7149" i="1"/>
  <c r="B7149" i="1"/>
  <c r="A7149" i="1"/>
  <c r="D13907" i="1"/>
  <c r="B13907" i="1"/>
  <c r="A13907" i="1"/>
  <c r="D8355" i="1"/>
  <c r="B8355" i="1"/>
  <c r="A8355" i="1"/>
  <c r="D16118" i="1"/>
  <c r="A16118" i="1"/>
  <c r="D7476" i="1"/>
  <c r="B7476" i="1"/>
  <c r="A7476" i="1"/>
  <c r="D6413" i="1"/>
  <c r="B6413" i="1"/>
  <c r="A6413" i="1"/>
  <c r="D18712" i="1"/>
  <c r="B18712" i="1"/>
  <c r="A18712" i="1"/>
  <c r="D13391" i="1"/>
  <c r="B13391" i="1"/>
  <c r="A13391" i="1"/>
  <c r="D6551" i="1"/>
  <c r="B6551" i="1"/>
  <c r="A6551" i="1"/>
  <c r="D10966" i="1"/>
  <c r="B10966" i="1"/>
  <c r="A10966" i="1"/>
  <c r="D14854" i="1"/>
  <c r="B14854" i="1"/>
  <c r="A14854" i="1"/>
  <c r="D10161" i="1"/>
  <c r="B10161" i="1"/>
  <c r="A10161" i="1"/>
  <c r="D15629" i="1"/>
  <c r="B15629" i="1"/>
  <c r="A15629" i="1"/>
  <c r="D8634" i="1"/>
  <c r="B8634" i="1"/>
  <c r="A8634" i="1"/>
  <c r="D16945" i="1"/>
  <c r="B16945" i="1"/>
  <c r="A16945" i="1"/>
  <c r="D16714" i="1"/>
  <c r="B16714" i="1"/>
  <c r="A16714" i="1"/>
  <c r="D11790" i="1"/>
  <c r="B11790" i="1"/>
  <c r="A11790" i="1"/>
  <c r="D10885" i="1"/>
  <c r="B10885" i="1"/>
  <c r="A10885" i="1"/>
  <c r="D16138" i="1"/>
  <c r="B16138" i="1"/>
  <c r="A16138" i="1"/>
  <c r="D14482" i="1"/>
  <c r="B14482" i="1"/>
  <c r="A14482" i="1"/>
  <c r="D11324" i="1"/>
  <c r="B11324" i="1"/>
  <c r="A11324" i="1"/>
  <c r="D16234" i="1"/>
  <c r="B16234" i="1"/>
  <c r="A16234" i="1"/>
  <c r="D16886" i="1"/>
  <c r="A16886" i="1"/>
  <c r="D13409" i="1"/>
  <c r="B13409" i="1"/>
  <c r="A13409" i="1"/>
  <c r="D15852" i="1"/>
  <c r="B15852" i="1"/>
  <c r="A15852" i="1"/>
  <c r="D13700" i="1"/>
  <c r="A13700" i="1"/>
  <c r="D8569" i="1"/>
  <c r="B8569" i="1"/>
  <c r="A8569" i="1"/>
  <c r="D12458" i="1"/>
  <c r="A12458" i="1"/>
  <c r="D6493" i="1"/>
  <c r="B6493" i="1"/>
  <c r="A6493" i="1"/>
  <c r="D11926" i="1"/>
  <c r="B11926" i="1"/>
  <c r="A11926" i="1"/>
  <c r="D7497" i="1"/>
  <c r="B7497" i="1"/>
  <c r="A7497" i="1"/>
  <c r="D6978" i="1"/>
  <c r="C6978" i="1"/>
  <c r="B6978" i="1"/>
  <c r="A6978" i="1"/>
  <c r="D13412" i="1"/>
  <c r="B13412" i="1"/>
  <c r="A13412" i="1"/>
  <c r="D17478" i="1"/>
  <c r="A17478" i="1"/>
  <c r="D13667" i="1"/>
  <c r="B13667" i="1"/>
  <c r="A13667" i="1"/>
  <c r="D18523" i="1"/>
  <c r="A18523" i="1"/>
  <c r="D15042" i="1"/>
  <c r="B15042" i="1"/>
  <c r="A15042" i="1"/>
  <c r="D9068" i="1"/>
  <c r="B9068" i="1"/>
  <c r="A9068" i="1"/>
  <c r="D15897" i="1"/>
  <c r="B15897" i="1"/>
  <c r="A15897" i="1"/>
  <c r="D11229" i="1"/>
  <c r="B11229" i="1"/>
  <c r="A11229" i="1"/>
  <c r="D8115" i="1"/>
  <c r="B8115" i="1"/>
  <c r="A8115" i="1"/>
  <c r="D8404" i="1"/>
  <c r="C8404" i="1"/>
  <c r="B8404" i="1"/>
  <c r="A8404" i="1"/>
  <c r="D16373" i="1"/>
  <c r="B16373" i="1"/>
  <c r="A16373" i="1"/>
  <c r="D6060" i="1"/>
  <c r="A6060" i="1"/>
  <c r="D11175" i="1"/>
  <c r="B11175" i="1"/>
  <c r="A11175" i="1"/>
  <c r="D13937" i="1"/>
  <c r="B13937" i="1"/>
  <c r="A13937" i="1"/>
  <c r="D17448" i="1"/>
  <c r="B17448" i="1"/>
  <c r="A17448" i="1"/>
  <c r="D10371" i="1"/>
  <c r="B10371" i="1"/>
  <c r="A10371" i="1"/>
  <c r="D8023" i="1"/>
  <c r="B8023" i="1"/>
  <c r="A8023" i="1"/>
  <c r="D11012" i="1"/>
  <c r="B11012" i="1"/>
  <c r="A11012" i="1"/>
  <c r="D5554" i="1"/>
  <c r="A5554" i="1"/>
  <c r="D12134" i="1"/>
  <c r="B12134" i="1"/>
  <c r="A12134" i="1"/>
  <c r="D13985" i="1"/>
  <c r="B13985" i="1"/>
  <c r="A13985" i="1"/>
  <c r="D11000" i="1"/>
  <c r="B11000" i="1"/>
  <c r="A11000" i="1"/>
  <c r="D17476" i="1"/>
  <c r="B17476" i="1"/>
  <c r="A17476" i="1"/>
  <c r="D10310" i="1"/>
  <c r="B10310" i="1"/>
  <c r="A10310" i="1"/>
  <c r="D17531" i="1"/>
  <c r="B17531" i="1"/>
  <c r="A17531" i="1"/>
  <c r="D18663" i="1"/>
  <c r="B18663" i="1"/>
  <c r="A18663" i="1"/>
  <c r="D11329" i="1"/>
  <c r="B11329" i="1"/>
  <c r="A11329" i="1"/>
  <c r="D17798" i="1"/>
  <c r="A17798" i="1"/>
  <c r="D16042" i="1"/>
  <c r="B16042" i="1"/>
  <c r="A16042" i="1"/>
  <c r="D18373" i="1"/>
  <c r="B18373" i="1"/>
  <c r="A18373" i="1"/>
  <c r="D11343" i="1"/>
  <c r="C11343" i="1"/>
  <c r="B11343" i="1"/>
  <c r="A11343" i="1"/>
  <c r="D17527" i="1"/>
  <c r="B17527" i="1"/>
  <c r="A17527" i="1"/>
  <c r="D10342" i="1"/>
  <c r="B10342" i="1"/>
  <c r="A10342" i="1"/>
  <c r="D8945" i="1"/>
  <c r="B8945" i="1"/>
  <c r="A8945" i="1"/>
  <c r="D6804" i="1"/>
  <c r="B6804" i="1"/>
  <c r="A6804" i="1"/>
  <c r="D18174" i="1"/>
  <c r="A18174" i="1"/>
  <c r="D14069" i="1"/>
  <c r="B14069" i="1"/>
  <c r="A14069" i="1"/>
  <c r="D16379" i="1"/>
  <c r="B16379" i="1"/>
  <c r="A16379" i="1"/>
  <c r="D18440" i="1"/>
  <c r="B18440" i="1"/>
  <c r="A18440" i="1"/>
  <c r="D7671" i="1"/>
  <c r="A7671" i="1"/>
  <c r="D5955" i="1"/>
  <c r="B5955" i="1"/>
  <c r="A5955" i="1"/>
  <c r="D9823" i="1"/>
  <c r="B9823" i="1"/>
  <c r="A9823" i="1"/>
  <c r="D13394" i="1"/>
  <c r="B13394" i="1"/>
  <c r="A13394" i="1"/>
  <c r="D8351" i="1"/>
  <c r="B8351" i="1"/>
  <c r="A8351" i="1"/>
  <c r="D13478" i="1"/>
  <c r="C13478" i="1"/>
  <c r="B13478" i="1"/>
  <c r="A13478" i="1"/>
  <c r="D10997" i="1"/>
  <c r="B10997" i="1"/>
  <c r="A10997" i="1"/>
  <c r="D8689" i="1"/>
  <c r="B8689" i="1"/>
  <c r="A8689" i="1"/>
  <c r="D11909" i="1"/>
  <c r="B11909" i="1"/>
  <c r="A11909" i="1"/>
  <c r="D7110" i="1"/>
  <c r="B7110" i="1"/>
  <c r="A7110" i="1"/>
  <c r="D6685" i="1"/>
  <c r="A6685" i="1"/>
  <c r="D11972" i="1"/>
  <c r="B11972" i="1"/>
  <c r="A11972" i="1"/>
  <c r="D11536" i="1"/>
  <c r="B11536" i="1"/>
  <c r="A11536" i="1"/>
  <c r="D17430" i="1"/>
  <c r="B17430" i="1"/>
  <c r="A17430" i="1"/>
  <c r="D8815" i="1"/>
  <c r="B8815" i="1"/>
  <c r="A8815" i="1"/>
  <c r="D11620" i="1"/>
  <c r="B11620" i="1"/>
  <c r="A11620" i="1"/>
  <c r="D7824" i="1"/>
  <c r="B7824" i="1"/>
  <c r="A7824" i="1"/>
  <c r="D18013" i="1"/>
  <c r="B18013" i="1"/>
  <c r="A18013" i="1"/>
  <c r="D12964" i="1"/>
  <c r="B12964" i="1"/>
  <c r="A12964" i="1"/>
  <c r="D15301" i="1"/>
  <c r="A15301" i="1"/>
  <c r="D11072" i="1"/>
  <c r="B11072" i="1"/>
  <c r="A11072" i="1"/>
  <c r="D13954" i="1"/>
  <c r="B13954" i="1"/>
  <c r="A13954" i="1"/>
  <c r="D13892" i="1"/>
  <c r="B13892" i="1"/>
  <c r="A13892" i="1"/>
  <c r="D7710" i="1"/>
  <c r="B7710" i="1"/>
  <c r="A7710" i="1"/>
  <c r="D15654" i="1"/>
  <c r="B15654" i="1"/>
  <c r="A15654" i="1"/>
  <c r="D10792" i="1"/>
  <c r="B10792" i="1"/>
  <c r="A10792" i="1"/>
  <c r="D18359" i="1"/>
  <c r="A18359" i="1"/>
  <c r="D15783" i="1"/>
  <c r="C15783" i="1"/>
  <c r="B15783" i="1"/>
  <c r="A15783" i="1"/>
  <c r="D5470" i="1"/>
  <c r="A5470" i="1"/>
  <c r="D11741" i="1"/>
  <c r="B11741" i="1"/>
  <c r="A11741" i="1"/>
  <c r="D15059" i="1"/>
  <c r="B15059" i="1"/>
  <c r="A15059" i="1"/>
  <c r="D7940" i="1"/>
  <c r="C7940" i="1"/>
  <c r="B7940" i="1"/>
  <c r="A7940" i="1"/>
  <c r="D7361" i="1"/>
  <c r="B7361" i="1"/>
  <c r="A7361" i="1"/>
  <c r="D6096" i="1"/>
  <c r="B6096" i="1"/>
  <c r="A6096" i="1"/>
  <c r="D8153" i="1"/>
  <c r="B8153" i="1"/>
  <c r="A8153" i="1"/>
  <c r="D10083" i="1"/>
  <c r="B10083" i="1"/>
  <c r="A10083" i="1"/>
  <c r="D15653" i="1"/>
  <c r="B15653" i="1"/>
  <c r="A15653" i="1"/>
  <c r="D9952" i="1"/>
  <c r="B9952" i="1"/>
  <c r="A9952" i="1"/>
  <c r="D11838" i="1"/>
  <c r="B11838" i="1"/>
  <c r="A11838" i="1"/>
  <c r="D16250" i="1"/>
  <c r="B16250" i="1"/>
  <c r="A16250" i="1"/>
  <c r="D12052" i="1"/>
  <c r="B12052" i="1"/>
  <c r="A12052" i="1"/>
  <c r="D9833" i="1"/>
  <c r="B9833" i="1"/>
  <c r="A9833" i="1"/>
  <c r="D8726" i="1"/>
  <c r="B8726" i="1"/>
  <c r="A8726" i="1"/>
  <c r="D12348" i="1"/>
  <c r="B12348" i="1"/>
  <c r="A12348" i="1"/>
  <c r="D14140" i="1"/>
  <c r="A14140" i="1"/>
  <c r="D16638" i="1"/>
  <c r="B16638" i="1"/>
  <c r="A16638" i="1"/>
  <c r="D10361" i="1"/>
  <c r="B10361" i="1"/>
  <c r="A10361" i="1"/>
  <c r="D8927" i="1"/>
  <c r="B8927" i="1"/>
  <c r="A8927" i="1"/>
  <c r="D14881" i="1"/>
  <c r="B14881" i="1"/>
  <c r="A14881" i="1"/>
  <c r="D10995" i="1"/>
  <c r="B10995" i="1"/>
  <c r="A10995" i="1"/>
  <c r="D15784" i="1"/>
  <c r="B15784" i="1"/>
  <c r="A15784" i="1"/>
  <c r="D17861" i="1"/>
  <c r="B17861" i="1"/>
  <c r="A17861" i="1"/>
  <c r="D6814" i="1"/>
  <c r="B6814" i="1"/>
  <c r="A6814" i="1"/>
  <c r="D10293" i="1"/>
  <c r="B10293" i="1"/>
  <c r="A10293" i="1"/>
  <c r="D16013" i="1"/>
  <c r="B16013" i="1"/>
  <c r="A16013" i="1"/>
  <c r="D15860" i="1"/>
  <c r="B15860" i="1"/>
  <c r="A15860" i="1"/>
  <c r="D13060" i="1"/>
  <c r="B13060" i="1"/>
  <c r="A13060" i="1"/>
  <c r="D5900" i="1"/>
  <c r="B5900" i="1"/>
  <c r="A5900" i="1"/>
  <c r="D16321" i="1"/>
  <c r="B16321" i="1"/>
  <c r="A16321" i="1"/>
  <c r="D10576" i="1"/>
  <c r="B10576" i="1"/>
  <c r="A10576" i="1"/>
  <c r="D13290" i="1"/>
  <c r="B13290" i="1"/>
  <c r="A13290" i="1"/>
  <c r="D5441" i="1"/>
  <c r="A5441" i="1"/>
  <c r="D15536" i="1"/>
  <c r="B15536" i="1"/>
  <c r="A15536" i="1"/>
  <c r="D16470" i="1"/>
  <c r="B16470" i="1"/>
  <c r="A16470" i="1"/>
  <c r="D9910" i="1"/>
  <c r="B9910" i="1"/>
  <c r="A9910" i="1"/>
  <c r="D16976" i="1"/>
  <c r="B16976" i="1"/>
  <c r="A16976" i="1"/>
  <c r="D15091" i="1"/>
  <c r="B15091" i="1"/>
  <c r="A15091" i="1"/>
  <c r="D11062" i="1"/>
  <c r="B11062" i="1"/>
  <c r="A11062" i="1"/>
  <c r="D14901" i="1"/>
  <c r="B14901" i="1"/>
  <c r="A14901" i="1"/>
  <c r="D12239" i="1"/>
  <c r="B12239" i="1"/>
  <c r="A12239" i="1"/>
  <c r="D14481" i="1"/>
  <c r="B14481" i="1"/>
  <c r="A14481" i="1"/>
  <c r="D6896" i="1"/>
  <c r="B6896" i="1"/>
  <c r="A6896" i="1"/>
  <c r="D14183" i="1"/>
  <c r="B14183" i="1"/>
  <c r="A14183" i="1"/>
  <c r="D13340" i="1"/>
  <c r="C13340" i="1"/>
  <c r="B13340" i="1"/>
  <c r="A13340" i="1"/>
  <c r="D11590" i="1"/>
  <c r="C11590" i="1"/>
  <c r="B11590" i="1"/>
  <c r="A11590" i="1"/>
  <c r="D15235" i="1"/>
  <c r="B15235" i="1"/>
  <c r="A15235" i="1"/>
  <c r="D7446" i="1"/>
  <c r="B7446" i="1"/>
  <c r="A7446" i="1"/>
  <c r="D9036" i="1"/>
  <c r="B9036" i="1"/>
  <c r="A9036" i="1"/>
  <c r="D11831" i="1"/>
  <c r="B11831" i="1"/>
  <c r="A11831" i="1"/>
  <c r="D15782" i="1"/>
  <c r="C15782" i="1"/>
  <c r="B15782" i="1"/>
  <c r="A15782" i="1"/>
  <c r="D14796" i="1"/>
  <c r="B14796" i="1"/>
  <c r="A14796" i="1"/>
  <c r="D8387" i="1"/>
  <c r="B8387" i="1"/>
  <c r="A8387" i="1"/>
  <c r="D6287" i="1"/>
  <c r="B6287" i="1"/>
  <c r="A6287" i="1"/>
  <c r="D16727" i="1"/>
  <c r="B16727" i="1"/>
  <c r="A16727" i="1"/>
  <c r="D17673" i="1"/>
  <c r="B17673" i="1"/>
  <c r="A17673" i="1"/>
  <c r="D8761" i="1"/>
  <c r="B8761" i="1"/>
  <c r="A8761" i="1"/>
  <c r="D17070" i="1"/>
  <c r="B17070" i="1"/>
  <c r="A17070" i="1"/>
  <c r="D8580" i="1"/>
  <c r="B8580" i="1"/>
  <c r="A8580" i="1"/>
  <c r="D6153" i="1"/>
  <c r="C6153" i="1"/>
  <c r="B6153" i="1"/>
  <c r="A6153" i="1"/>
  <c r="D10741" i="1"/>
  <c r="B10741" i="1"/>
  <c r="A10741" i="1"/>
  <c r="D8475" i="1"/>
  <c r="A8475" i="1"/>
  <c r="D7616" i="1"/>
  <c r="B7616" i="1"/>
  <c r="A7616" i="1"/>
  <c r="D10075" i="1"/>
  <c r="C10075" i="1"/>
  <c r="B10075" i="1"/>
  <c r="A10075" i="1"/>
  <c r="D11013" i="1"/>
  <c r="B11013" i="1"/>
  <c r="A11013" i="1"/>
  <c r="D18426" i="1"/>
  <c r="B18426" i="1"/>
  <c r="A18426" i="1"/>
  <c r="D13585" i="1"/>
  <c r="B13585" i="1"/>
  <c r="A13585" i="1"/>
  <c r="D10772" i="1"/>
  <c r="B10772" i="1"/>
  <c r="A10772" i="1"/>
  <c r="D5932" i="1"/>
  <c r="C5932" i="1"/>
  <c r="B5932" i="1"/>
  <c r="A5932" i="1"/>
  <c r="D16637" i="1"/>
  <c r="B16637" i="1"/>
  <c r="A16637" i="1"/>
  <c r="D10005" i="1"/>
  <c r="B10005" i="1"/>
  <c r="A10005" i="1"/>
  <c r="D10489" i="1"/>
  <c r="B10489" i="1"/>
  <c r="A10489" i="1"/>
  <c r="D8931" i="1"/>
  <c r="B8931" i="1"/>
  <c r="A8931" i="1"/>
  <c r="D15789" i="1"/>
  <c r="B15789" i="1"/>
  <c r="A15789" i="1"/>
  <c r="D9636" i="1"/>
  <c r="B9636" i="1"/>
  <c r="A9636" i="1"/>
  <c r="D15753" i="1"/>
  <c r="B15753" i="1"/>
  <c r="A15753" i="1"/>
  <c r="D17515" i="1"/>
  <c r="B17515" i="1"/>
  <c r="A17515" i="1"/>
  <c r="D13503" i="1"/>
  <c r="B13503" i="1"/>
  <c r="A13503" i="1"/>
  <c r="D16302" i="1"/>
  <c r="A16302" i="1"/>
  <c r="D15451" i="1"/>
  <c r="B15451" i="1"/>
  <c r="A15451" i="1"/>
  <c r="D7345" i="1"/>
  <c r="B7345" i="1"/>
  <c r="A7345" i="1"/>
  <c r="D11557" i="1"/>
  <c r="B11557" i="1"/>
  <c r="A11557" i="1"/>
  <c r="D9106" i="1"/>
  <c r="A9106" i="1"/>
  <c r="D11045" i="1"/>
  <c r="B11045" i="1"/>
  <c r="A11045" i="1"/>
  <c r="D10795" i="1"/>
  <c r="B10795" i="1"/>
  <c r="A10795" i="1"/>
  <c r="D11604" i="1"/>
  <c r="B11604" i="1"/>
  <c r="A11604" i="1"/>
  <c r="D16206" i="1"/>
  <c r="B16206" i="1"/>
  <c r="A16206" i="1"/>
  <c r="D17449" i="1"/>
  <c r="B17449" i="1"/>
  <c r="A17449" i="1"/>
  <c r="D8970" i="1"/>
  <c r="C8970" i="1"/>
  <c r="B8970" i="1"/>
  <c r="A8970" i="1"/>
  <c r="D10174" i="1"/>
  <c r="B10174" i="1"/>
  <c r="A10174" i="1"/>
  <c r="D16598" i="1"/>
  <c r="B16598" i="1"/>
  <c r="A16598" i="1"/>
  <c r="D17758" i="1"/>
  <c r="B17758" i="1"/>
  <c r="A17758" i="1"/>
  <c r="D10385" i="1"/>
  <c r="B10385" i="1"/>
  <c r="A10385" i="1"/>
  <c r="D16968" i="1"/>
  <c r="B16968" i="1"/>
  <c r="A16968" i="1"/>
  <c r="D17027" i="1"/>
  <c r="B17027" i="1"/>
  <c r="A17027" i="1"/>
  <c r="D11311" i="1"/>
  <c r="B11311" i="1"/>
  <c r="A11311" i="1"/>
  <c r="D14813" i="1"/>
  <c r="B14813" i="1"/>
  <c r="A14813" i="1"/>
  <c r="D13096" i="1"/>
  <c r="B13096" i="1"/>
  <c r="A13096" i="1"/>
  <c r="D15293" i="1"/>
  <c r="B15293" i="1"/>
  <c r="A15293" i="1"/>
  <c r="D16708" i="1"/>
  <c r="B16708" i="1"/>
  <c r="A16708" i="1"/>
  <c r="D18647" i="1"/>
  <c r="A18647" i="1"/>
  <c r="D14002" i="1"/>
  <c r="B14002" i="1"/>
  <c r="A14002" i="1"/>
  <c r="D8035" i="1"/>
  <c r="B8035" i="1"/>
  <c r="A8035" i="1"/>
  <c r="D6308" i="1"/>
  <c r="B6308" i="1"/>
  <c r="A6308" i="1"/>
  <c r="D16500" i="1"/>
  <c r="B16500" i="1"/>
  <c r="A16500" i="1"/>
  <c r="D6766" i="1"/>
  <c r="B6766" i="1"/>
  <c r="A6766" i="1"/>
  <c r="D7075" i="1"/>
  <c r="B7075" i="1"/>
  <c r="A7075" i="1"/>
  <c r="D11164" i="1"/>
  <c r="C11164" i="1"/>
  <c r="B11164" i="1"/>
  <c r="A11164" i="1"/>
  <c r="D18266" i="1"/>
  <c r="A18266" i="1"/>
  <c r="D12620" i="1"/>
  <c r="B12620" i="1"/>
  <c r="A12620" i="1"/>
  <c r="D9037" i="1"/>
  <c r="B9037" i="1"/>
  <c r="A9037" i="1"/>
  <c r="D7108" i="1"/>
  <c r="B7108" i="1"/>
  <c r="A7108" i="1"/>
  <c r="D17049" i="1"/>
  <c r="B17049" i="1"/>
  <c r="A17049" i="1"/>
  <c r="D17090" i="1"/>
  <c r="B17090" i="1"/>
  <c r="A17090" i="1"/>
  <c r="D13321" i="1"/>
  <c r="B13321" i="1"/>
  <c r="A13321" i="1"/>
  <c r="D7809" i="1"/>
  <c r="B7809" i="1"/>
  <c r="A7809" i="1"/>
  <c r="D5577" i="1"/>
  <c r="A5577" i="1"/>
  <c r="D6619" i="1"/>
  <c r="B6619" i="1"/>
  <c r="A6619" i="1"/>
  <c r="D6055" i="1"/>
  <c r="A6055" i="1"/>
  <c r="D6264" i="1"/>
  <c r="B6264" i="1"/>
  <c r="A6264" i="1"/>
  <c r="D5895" i="1"/>
  <c r="A5895" i="1"/>
  <c r="D11910" i="1"/>
  <c r="B11910" i="1"/>
  <c r="A11910" i="1"/>
  <c r="D11326" i="1"/>
  <c r="B11326" i="1"/>
  <c r="A11326" i="1"/>
  <c r="D12008" i="1"/>
  <c r="B12008" i="1"/>
  <c r="A12008" i="1"/>
  <c r="D10255" i="1"/>
  <c r="B10255" i="1"/>
  <c r="A10255" i="1"/>
  <c r="D14824" i="1"/>
  <c r="B14824" i="1"/>
  <c r="A14824" i="1"/>
  <c r="D14784" i="1"/>
  <c r="B14784" i="1"/>
  <c r="A14784" i="1"/>
  <c r="D17624" i="1"/>
  <c r="B17624" i="1"/>
  <c r="A17624" i="1"/>
  <c r="D8997" i="1"/>
  <c r="A8997" i="1"/>
  <c r="D9463" i="1"/>
  <c r="B9463" i="1"/>
  <c r="A9463" i="1"/>
  <c r="D17139" i="1"/>
  <c r="B17139" i="1"/>
  <c r="A17139" i="1"/>
  <c r="D11196" i="1"/>
  <c r="B11196" i="1"/>
  <c r="A11196" i="1"/>
  <c r="D16545" i="1"/>
  <c r="C16545" i="1"/>
  <c r="B16545" i="1"/>
  <c r="A16545" i="1"/>
  <c r="D10609" i="1"/>
  <c r="B10609" i="1"/>
  <c r="A10609" i="1"/>
  <c r="D17204" i="1"/>
  <c r="B17204" i="1"/>
  <c r="A17204" i="1"/>
  <c r="D11057" i="1"/>
  <c r="A11057" i="1"/>
  <c r="D9901" i="1"/>
  <c r="B9901" i="1"/>
  <c r="A9901" i="1"/>
  <c r="D10369" i="1"/>
  <c r="B10369" i="1"/>
  <c r="A10369" i="1"/>
  <c r="D9468" i="1"/>
  <c r="B9468" i="1"/>
  <c r="A9468" i="1"/>
  <c r="D12299" i="1"/>
  <c r="B12299" i="1"/>
  <c r="A12299" i="1"/>
  <c r="D8813" i="1"/>
  <c r="B8813" i="1"/>
  <c r="A8813" i="1"/>
  <c r="D7593" i="1"/>
  <c r="B7593" i="1"/>
  <c r="A7593" i="1"/>
  <c r="D14096" i="1"/>
  <c r="B14096" i="1"/>
  <c r="A14096" i="1"/>
  <c r="D9508" i="1"/>
  <c r="B9508" i="1"/>
  <c r="A9508" i="1"/>
  <c r="D17255" i="1"/>
  <c r="A17255" i="1"/>
  <c r="D17621" i="1"/>
  <c r="B17621" i="1"/>
  <c r="A17621" i="1"/>
  <c r="D16635" i="1"/>
  <c r="B16635" i="1"/>
  <c r="A16635" i="1"/>
  <c r="D12419" i="1"/>
  <c r="A12419" i="1"/>
  <c r="D15032" i="1"/>
  <c r="B15032" i="1"/>
  <c r="A15032" i="1"/>
  <c r="D5740" i="1"/>
  <c r="A5740" i="1"/>
  <c r="D6819" i="1"/>
  <c r="B6819" i="1"/>
  <c r="A6819" i="1"/>
  <c r="D18439" i="1"/>
  <c r="B18439" i="1"/>
  <c r="A18439" i="1"/>
  <c r="D12476" i="1"/>
  <c r="A12476" i="1"/>
  <c r="D9217" i="1"/>
  <c r="B9217" i="1"/>
  <c r="A9217" i="1"/>
  <c r="D6725" i="1"/>
  <c r="B6725" i="1"/>
  <c r="A6725" i="1"/>
  <c r="D16116" i="1"/>
  <c r="B16116" i="1"/>
  <c r="A16116" i="1"/>
  <c r="D13524" i="1"/>
  <c r="B13524" i="1"/>
  <c r="A13524" i="1"/>
  <c r="D10056" i="1"/>
  <c r="B10056" i="1"/>
  <c r="A10056" i="1"/>
  <c r="D10678" i="1"/>
  <c r="B10678" i="1"/>
  <c r="A10678" i="1"/>
  <c r="D11219" i="1"/>
  <c r="C11219" i="1"/>
  <c r="B11219" i="1"/>
  <c r="A11219" i="1"/>
  <c r="D9602" i="1"/>
  <c r="B9602" i="1"/>
  <c r="A9602" i="1"/>
  <c r="D17782" i="1"/>
  <c r="B17782" i="1"/>
  <c r="A17782" i="1"/>
  <c r="D16207" i="1"/>
  <c r="B16207" i="1"/>
  <c r="A16207" i="1"/>
  <c r="D16036" i="1"/>
  <c r="A16036" i="1"/>
  <c r="D9713" i="1"/>
  <c r="B9713" i="1"/>
  <c r="A9713" i="1"/>
  <c r="D11107" i="1"/>
  <c r="B11107" i="1"/>
  <c r="A11107" i="1"/>
  <c r="D15961" i="1"/>
  <c r="A15961" i="1"/>
  <c r="D11125" i="1"/>
  <c r="B11125" i="1"/>
  <c r="A11125" i="1"/>
  <c r="D10243" i="1"/>
  <c r="B10243" i="1"/>
  <c r="A10243" i="1"/>
  <c r="D12461" i="1"/>
  <c r="A12461" i="1"/>
  <c r="D9046" i="1"/>
  <c r="B9046" i="1"/>
  <c r="A9046" i="1"/>
  <c r="D11397" i="1"/>
  <c r="C11397" i="1"/>
  <c r="B11397" i="1"/>
  <c r="A11397" i="1"/>
  <c r="D12110" i="1"/>
  <c r="B12110" i="1"/>
  <c r="A12110" i="1"/>
  <c r="D15797" i="1"/>
  <c r="B15797" i="1"/>
  <c r="A15797" i="1"/>
  <c r="D12303" i="1"/>
  <c r="B12303" i="1"/>
  <c r="A12303" i="1"/>
  <c r="D7340" i="1"/>
  <c r="B7340" i="1"/>
  <c r="A7340" i="1"/>
  <c r="D16179" i="1"/>
  <c r="B16179" i="1"/>
  <c r="A16179" i="1"/>
  <c r="D7241" i="1"/>
  <c r="A7241" i="1"/>
  <c r="D13606" i="1"/>
  <c r="B13606" i="1"/>
  <c r="A13606" i="1"/>
  <c r="D13669" i="1"/>
  <c r="B13669" i="1"/>
  <c r="A13669" i="1"/>
  <c r="D16998" i="1"/>
  <c r="A16998" i="1"/>
  <c r="D9570" i="1"/>
  <c r="B9570" i="1"/>
  <c r="A9570" i="1"/>
  <c r="D15425" i="1"/>
  <c r="B15425" i="1"/>
  <c r="A15425" i="1"/>
  <c r="D10948" i="1"/>
  <c r="B10948" i="1"/>
  <c r="A10948" i="1"/>
  <c r="D13995" i="1"/>
  <c r="B13995" i="1"/>
  <c r="A13995" i="1"/>
  <c r="D14717" i="1"/>
  <c r="B14717" i="1"/>
  <c r="A14717" i="1"/>
  <c r="D7079" i="1"/>
  <c r="B7079" i="1"/>
  <c r="A7079" i="1"/>
  <c r="D8516" i="1"/>
  <c r="B8516" i="1"/>
  <c r="A8516" i="1"/>
  <c r="D11645" i="1"/>
  <c r="B11645" i="1"/>
  <c r="A11645" i="1"/>
  <c r="D7201" i="1"/>
  <c r="B7201" i="1"/>
  <c r="A7201" i="1"/>
  <c r="D9503" i="1"/>
  <c r="B9503" i="1"/>
  <c r="A9503" i="1"/>
  <c r="D9871" i="1"/>
  <c r="B9871" i="1"/>
  <c r="A9871" i="1"/>
  <c r="D13097" i="1"/>
  <c r="B13097" i="1"/>
  <c r="A13097" i="1"/>
  <c r="D16378" i="1"/>
  <c r="B16378" i="1"/>
  <c r="A16378" i="1"/>
  <c r="D10360" i="1"/>
  <c r="B10360" i="1"/>
  <c r="A10360" i="1"/>
  <c r="D10714" i="1"/>
  <c r="A10714" i="1"/>
  <c r="D8050" i="1"/>
  <c r="B8050" i="1"/>
  <c r="A8050" i="1"/>
  <c r="D14920" i="1"/>
  <c r="A14920" i="1"/>
  <c r="D12355" i="1"/>
  <c r="B12355" i="1"/>
  <c r="A12355" i="1"/>
  <c r="D14269" i="1"/>
  <c r="B14269" i="1"/>
  <c r="A14269" i="1"/>
  <c r="D9677" i="1"/>
  <c r="B9677" i="1"/>
  <c r="A9677" i="1"/>
  <c r="D8707" i="1"/>
  <c r="B8707" i="1"/>
  <c r="A8707" i="1"/>
  <c r="D10073" i="1"/>
  <c r="C10073" i="1"/>
  <c r="B10073" i="1"/>
  <c r="A10073" i="1"/>
  <c r="D6548" i="1"/>
  <c r="A6548" i="1"/>
  <c r="D17784" i="1"/>
  <c r="B17784" i="1"/>
  <c r="A17784" i="1"/>
  <c r="D7165" i="1"/>
  <c r="A7165" i="1"/>
  <c r="D18716" i="1"/>
  <c r="A18716" i="1"/>
  <c r="D6858" i="1"/>
  <c r="B6858" i="1"/>
  <c r="A6858" i="1"/>
  <c r="D15068" i="1"/>
  <c r="B15068" i="1"/>
  <c r="A15068" i="1"/>
  <c r="D18381" i="1"/>
  <c r="B18381" i="1"/>
  <c r="A18381" i="1"/>
  <c r="D18587" i="1"/>
  <c r="A18587" i="1"/>
  <c r="D18044" i="1"/>
  <c r="A18044" i="1"/>
  <c r="D13849" i="1"/>
  <c r="A13849" i="1"/>
  <c r="D12568" i="1"/>
  <c r="B12568" i="1"/>
  <c r="A12568" i="1"/>
  <c r="D10306" i="1"/>
  <c r="B10306" i="1"/>
  <c r="A10306" i="1"/>
  <c r="D10813" i="1"/>
  <c r="B10813" i="1"/>
  <c r="A10813" i="1"/>
  <c r="D12893" i="1"/>
  <c r="A12893" i="1"/>
  <c r="D11155" i="1"/>
  <c r="B11155" i="1"/>
  <c r="A11155" i="1"/>
  <c r="D15444" i="1"/>
  <c r="B15444" i="1"/>
  <c r="A15444" i="1"/>
  <c r="D6261" i="1"/>
  <c r="B6261" i="1"/>
  <c r="A6261" i="1"/>
  <c r="D11349" i="1"/>
  <c r="B11349" i="1"/>
  <c r="A11349" i="1"/>
  <c r="D15372" i="1"/>
  <c r="B15372" i="1"/>
  <c r="A15372" i="1"/>
  <c r="D6080" i="1"/>
  <c r="A6080" i="1"/>
  <c r="D16289" i="1"/>
  <c r="B16289" i="1"/>
  <c r="A16289" i="1"/>
  <c r="D11519" i="1"/>
  <c r="B11519" i="1"/>
  <c r="A11519" i="1"/>
  <c r="D13858" i="1"/>
  <c r="A13858" i="1"/>
  <c r="D13294" i="1"/>
  <c r="B13294" i="1"/>
  <c r="A13294" i="1"/>
  <c r="D8095" i="1"/>
  <c r="B8095" i="1"/>
  <c r="A8095" i="1"/>
  <c r="D7816" i="1"/>
  <c r="B7816" i="1"/>
  <c r="A7816" i="1"/>
  <c r="D13519" i="1"/>
  <c r="B13519" i="1"/>
  <c r="A13519" i="1"/>
  <c r="D7486" i="1"/>
  <c r="B7486" i="1"/>
  <c r="A7486" i="1"/>
  <c r="D7528" i="1"/>
  <c r="A7528" i="1"/>
  <c r="D10624" i="1"/>
  <c r="B10624" i="1"/>
  <c r="A10624" i="1"/>
  <c r="D8439" i="1"/>
  <c r="B8439" i="1"/>
  <c r="A8439" i="1"/>
  <c r="D12706" i="1"/>
  <c r="B12706" i="1"/>
  <c r="A12706" i="1"/>
  <c r="D17260" i="1"/>
  <c r="B17260" i="1"/>
  <c r="A17260" i="1"/>
  <c r="D12546" i="1"/>
  <c r="B12546" i="1"/>
  <c r="A12546" i="1"/>
  <c r="D9971" i="1"/>
  <c r="B9971" i="1"/>
  <c r="A9971" i="1"/>
  <c r="D13658" i="1"/>
  <c r="B13658" i="1"/>
  <c r="A13658" i="1"/>
  <c r="D15707" i="1"/>
  <c r="A15707" i="1"/>
  <c r="D9998" i="1"/>
  <c r="A9998" i="1"/>
  <c r="D16626" i="1"/>
  <c r="B16626" i="1"/>
  <c r="A16626" i="1"/>
  <c r="D15233" i="1"/>
  <c r="B15233" i="1"/>
  <c r="A15233" i="1"/>
  <c r="D18668" i="1"/>
  <c r="B18668" i="1"/>
  <c r="A18668" i="1"/>
  <c r="D11041" i="1"/>
  <c r="B11041" i="1"/>
  <c r="A11041" i="1"/>
  <c r="D5998" i="1"/>
  <c r="B5998" i="1"/>
  <c r="A5998" i="1"/>
  <c r="D15884" i="1"/>
  <c r="B15884" i="1"/>
  <c r="A15884" i="1"/>
  <c r="D17127" i="1"/>
  <c r="A17127" i="1"/>
  <c r="D9809" i="1"/>
  <c r="B9809" i="1"/>
  <c r="A9809" i="1"/>
  <c r="D16153" i="1"/>
  <c r="B16153" i="1"/>
  <c r="A16153" i="1"/>
  <c r="D10755" i="1"/>
  <c r="B10755" i="1"/>
  <c r="A10755" i="1"/>
  <c r="D10067" i="1"/>
  <c r="B10067" i="1"/>
  <c r="A10067" i="1"/>
  <c r="D11257" i="1"/>
  <c r="B11257" i="1"/>
  <c r="A11257" i="1"/>
  <c r="D8360" i="1"/>
  <c r="B8360" i="1"/>
  <c r="A8360" i="1"/>
  <c r="D16037" i="1"/>
  <c r="B16037" i="1"/>
  <c r="A16037" i="1"/>
  <c r="D15882" i="1"/>
  <c r="B15882" i="1"/>
  <c r="A15882" i="1"/>
  <c r="D15891" i="1"/>
  <c r="B15891" i="1"/>
  <c r="A15891" i="1"/>
  <c r="D6974" i="1"/>
  <c r="B6974" i="1"/>
  <c r="A6974" i="1"/>
  <c r="D9519" i="1"/>
  <c r="B9519" i="1"/>
  <c r="A9519" i="1"/>
  <c r="D6134" i="1"/>
  <c r="B6134" i="1"/>
  <c r="A6134" i="1"/>
  <c r="D11226" i="1"/>
  <c r="B11226" i="1"/>
  <c r="A11226" i="1"/>
  <c r="D16700" i="1"/>
  <c r="B16700" i="1"/>
  <c r="A16700" i="1"/>
  <c r="D7222" i="1"/>
  <c r="B7222" i="1"/>
  <c r="A7222" i="1"/>
  <c r="D13859" i="1"/>
  <c r="C13859" i="1"/>
  <c r="B13859" i="1"/>
  <c r="A13859" i="1"/>
  <c r="D12714" i="1"/>
  <c r="B12714" i="1"/>
  <c r="A12714" i="1"/>
  <c r="D15657" i="1"/>
  <c r="A15657" i="1"/>
  <c r="D7331" i="1"/>
  <c r="B7331" i="1"/>
  <c r="A7331" i="1"/>
  <c r="D9858" i="1"/>
  <c r="B9858" i="1"/>
  <c r="A9858" i="1"/>
  <c r="D9159" i="1"/>
  <c r="B9159" i="1"/>
  <c r="A9159" i="1"/>
  <c r="D13526" i="1"/>
  <c r="B13526" i="1"/>
  <c r="A13526" i="1"/>
  <c r="D10244" i="1"/>
  <c r="B10244" i="1"/>
  <c r="A10244" i="1"/>
  <c r="D6590" i="1"/>
  <c r="B6590" i="1"/>
  <c r="A6590" i="1"/>
  <c r="D17296" i="1"/>
  <c r="B17296" i="1"/>
  <c r="A17296" i="1"/>
  <c r="D9498" i="1"/>
  <c r="A9498" i="1"/>
  <c r="D8398" i="1"/>
  <c r="C8398" i="1"/>
  <c r="B8398" i="1"/>
  <c r="A8398" i="1"/>
  <c r="D13052" i="1"/>
  <c r="A13052" i="1"/>
  <c r="D9012" i="1"/>
  <c r="B9012" i="1"/>
  <c r="A9012" i="1"/>
  <c r="D10260" i="1"/>
  <c r="B10260" i="1"/>
  <c r="A10260" i="1"/>
  <c r="D6054" i="1"/>
  <c r="A6054" i="1"/>
  <c r="D15267" i="1"/>
  <c r="B15267" i="1"/>
  <c r="A15267" i="1"/>
  <c r="D14896" i="1"/>
  <c r="B14896" i="1"/>
  <c r="A14896" i="1"/>
  <c r="D18089" i="1"/>
  <c r="B18089" i="1"/>
  <c r="A18089" i="1"/>
  <c r="D14081" i="1"/>
  <c r="B14081" i="1"/>
  <c r="A14081" i="1"/>
  <c r="D11265" i="1"/>
  <c r="B11265" i="1"/>
  <c r="A11265" i="1"/>
  <c r="D12363" i="1"/>
  <c r="B12363" i="1"/>
  <c r="A12363" i="1"/>
  <c r="D11839" i="1"/>
  <c r="B11839" i="1"/>
  <c r="A11839" i="1"/>
  <c r="D18796" i="1"/>
  <c r="C18796" i="1"/>
  <c r="B18796" i="1"/>
  <c r="A18796" i="1"/>
  <c r="D18746" i="1"/>
  <c r="B18746" i="1"/>
  <c r="A18746" i="1"/>
  <c r="D8779" i="1"/>
  <c r="B8779" i="1"/>
  <c r="A8779" i="1"/>
  <c r="D12115" i="1"/>
  <c r="B12115" i="1"/>
  <c r="A12115" i="1"/>
  <c r="D8714" i="1"/>
  <c r="A8714" i="1"/>
  <c r="D15609" i="1"/>
  <c r="B15609" i="1"/>
  <c r="A15609" i="1"/>
  <c r="D18170" i="1"/>
  <c r="A18170" i="1"/>
  <c r="D6868" i="1"/>
  <c r="B6868" i="1"/>
  <c r="A6868" i="1"/>
  <c r="D13284" i="1"/>
  <c r="B13284" i="1"/>
  <c r="A13284" i="1"/>
  <c r="D10731" i="1"/>
  <c r="B10731" i="1"/>
  <c r="A10731" i="1"/>
  <c r="D14018" i="1"/>
  <c r="B14018" i="1"/>
  <c r="A14018" i="1"/>
  <c r="D13111" i="1"/>
  <c r="B13111" i="1"/>
  <c r="A13111" i="1"/>
  <c r="D11862" i="1"/>
  <c r="B11862" i="1"/>
  <c r="A11862" i="1"/>
  <c r="D7488" i="1"/>
  <c r="B7488" i="1"/>
  <c r="A7488" i="1"/>
  <c r="D7965" i="1"/>
  <c r="B7965" i="1"/>
  <c r="A7965" i="1"/>
  <c r="D15197" i="1"/>
  <c r="B15197" i="1"/>
  <c r="A15197" i="1"/>
  <c r="D13325" i="1"/>
  <c r="B13325" i="1"/>
  <c r="A13325" i="1"/>
  <c r="D6084" i="1"/>
  <c r="C6084" i="1"/>
  <c r="B6084" i="1"/>
  <c r="A6084" i="1"/>
  <c r="D11014" i="1"/>
  <c r="B11014" i="1"/>
  <c r="A11014" i="1"/>
  <c r="D11361" i="1"/>
  <c r="B11361" i="1"/>
  <c r="A11361" i="1"/>
  <c r="D18782" i="1"/>
  <c r="B18782" i="1"/>
  <c r="A18782" i="1"/>
  <c r="D15703" i="1"/>
  <c r="A15703" i="1"/>
  <c r="D11394" i="1"/>
  <c r="C11394" i="1"/>
  <c r="B11394" i="1"/>
  <c r="A11394" i="1"/>
  <c r="D14930" i="1"/>
  <c r="B14930" i="1"/>
  <c r="A14930" i="1"/>
  <c r="D13808" i="1"/>
  <c r="B13808" i="1"/>
  <c r="A13808" i="1"/>
  <c r="D5930" i="1"/>
  <c r="B5930" i="1"/>
  <c r="A5930" i="1"/>
  <c r="D7206" i="1"/>
  <c r="B7206" i="1"/>
  <c r="A7206" i="1"/>
  <c r="D17597" i="1"/>
  <c r="B17597" i="1"/>
  <c r="A17597" i="1"/>
  <c r="D17029" i="1"/>
  <c r="A17029" i="1"/>
  <c r="D7588" i="1"/>
  <c r="B7588" i="1"/>
  <c r="A7588" i="1"/>
  <c r="D9424" i="1"/>
  <c r="B9424" i="1"/>
  <c r="A9424" i="1"/>
  <c r="D17779" i="1"/>
  <c r="B17779" i="1"/>
  <c r="A17779" i="1"/>
  <c r="D13963" i="1"/>
  <c r="B13963" i="1"/>
  <c r="A13963" i="1"/>
  <c r="D13838" i="1"/>
  <c r="B13838" i="1"/>
  <c r="A13838" i="1"/>
  <c r="D7287" i="1"/>
  <c r="B7287" i="1"/>
  <c r="A7287" i="1"/>
  <c r="D12637" i="1"/>
  <c r="B12637" i="1"/>
  <c r="A12637" i="1"/>
  <c r="D11574" i="1"/>
  <c r="B11574" i="1"/>
  <c r="A11574" i="1"/>
  <c r="D15760" i="1"/>
  <c r="B15760" i="1"/>
  <c r="A15760" i="1"/>
  <c r="D13967" i="1"/>
  <c r="B13967" i="1"/>
  <c r="A13967" i="1"/>
  <c r="D12273" i="1"/>
  <c r="B12273" i="1"/>
  <c r="A12273" i="1"/>
  <c r="D15402" i="1"/>
  <c r="A15402" i="1"/>
  <c r="D8762" i="1"/>
  <c r="B8762" i="1"/>
  <c r="A8762" i="1"/>
  <c r="D9812" i="1"/>
  <c r="B9812" i="1"/>
  <c r="A9812" i="1"/>
  <c r="D7504" i="1"/>
  <c r="B7504" i="1"/>
  <c r="A7504" i="1"/>
  <c r="D17552" i="1"/>
  <c r="B17552" i="1"/>
  <c r="A17552" i="1"/>
  <c r="D17859" i="1"/>
  <c r="B17859" i="1"/>
  <c r="A17859" i="1"/>
  <c r="D6151" i="1"/>
  <c r="C6151" i="1"/>
  <c r="B6151" i="1"/>
  <c r="A6151" i="1"/>
  <c r="D10175" i="1"/>
  <c r="B10175" i="1"/>
  <c r="A10175" i="1"/>
  <c r="D17658" i="1"/>
  <c r="B17658" i="1"/>
  <c r="A17658" i="1"/>
  <c r="D15296" i="1"/>
  <c r="B15296" i="1"/>
  <c r="A15296" i="1"/>
  <c r="D9133" i="1"/>
  <c r="B9133" i="1"/>
  <c r="A9133" i="1"/>
  <c r="D7176" i="1"/>
  <c r="B7176" i="1"/>
  <c r="A7176" i="1"/>
  <c r="D10946" i="1"/>
  <c r="B10946" i="1"/>
  <c r="A10946" i="1"/>
  <c r="D7556" i="1"/>
  <c r="B7556" i="1"/>
  <c r="A7556" i="1"/>
  <c r="D9258" i="1"/>
  <c r="B9258" i="1"/>
  <c r="A9258" i="1"/>
  <c r="D15776" i="1"/>
  <c r="B15776" i="1"/>
  <c r="A15776" i="1"/>
  <c r="D7874" i="1"/>
  <c r="B7874" i="1"/>
  <c r="A7874" i="1"/>
  <c r="D11283" i="1"/>
  <c r="C11283" i="1"/>
  <c r="B11283" i="1"/>
  <c r="A11283" i="1"/>
  <c r="D16296" i="1"/>
  <c r="B16296" i="1"/>
  <c r="A16296" i="1"/>
  <c r="D16224" i="1"/>
  <c r="A16224" i="1"/>
  <c r="D8412" i="1"/>
  <c r="C8412" i="1"/>
  <c r="B8412" i="1"/>
  <c r="A8412" i="1"/>
  <c r="D17071" i="1"/>
  <c r="A17071" i="1"/>
  <c r="D6363" i="1"/>
  <c r="B6363" i="1"/>
  <c r="A6363" i="1"/>
  <c r="D16707" i="1"/>
  <c r="B16707" i="1"/>
  <c r="A16707" i="1"/>
  <c r="D18322" i="1"/>
  <c r="B18322" i="1"/>
  <c r="A18322" i="1"/>
  <c r="D14860" i="1"/>
  <c r="B14860" i="1"/>
  <c r="A14860" i="1"/>
  <c r="D8099" i="1"/>
  <c r="B8099" i="1"/>
  <c r="A8099" i="1"/>
  <c r="D6612" i="1"/>
  <c r="B6612" i="1"/>
  <c r="A6612" i="1"/>
  <c r="D17144" i="1"/>
  <c r="B17144" i="1"/>
  <c r="A17144" i="1"/>
  <c r="D8352" i="1"/>
  <c r="B8352" i="1"/>
  <c r="A8352" i="1"/>
  <c r="D16377" i="1"/>
  <c r="B16377" i="1"/>
  <c r="A16377" i="1"/>
  <c r="D16438" i="1"/>
  <c r="C16438" i="1"/>
  <c r="B16438" i="1"/>
  <c r="A16438" i="1"/>
  <c r="D7421" i="1"/>
  <c r="B7421" i="1"/>
  <c r="A7421" i="1"/>
  <c r="D17651" i="1"/>
  <c r="B17651" i="1"/>
  <c r="A17651" i="1"/>
  <c r="D10091" i="1"/>
  <c r="B10091" i="1"/>
  <c r="A10091" i="1"/>
  <c r="D16208" i="1"/>
  <c r="B16208" i="1"/>
  <c r="A16208" i="1"/>
  <c r="D14691" i="1"/>
  <c r="B14691" i="1"/>
  <c r="A14691" i="1"/>
  <c r="D18519" i="1"/>
  <c r="B18519" i="1"/>
  <c r="A18519" i="1"/>
  <c r="D15475" i="1"/>
  <c r="B15475" i="1"/>
  <c r="A15475" i="1"/>
  <c r="D7646" i="1"/>
  <c r="B7646" i="1"/>
  <c r="A7646" i="1"/>
  <c r="D17081" i="1"/>
  <c r="B17081" i="1"/>
  <c r="A17081" i="1"/>
  <c r="D15748" i="1"/>
  <c r="B15748" i="1"/>
  <c r="A15748" i="1"/>
  <c r="D10525" i="1"/>
  <c r="B10525" i="1"/>
  <c r="A10525" i="1"/>
  <c r="D7631" i="1"/>
  <c r="B7631" i="1"/>
  <c r="A7631" i="1"/>
  <c r="D7787" i="1"/>
  <c r="B7787" i="1"/>
  <c r="A7787" i="1"/>
  <c r="D15123" i="1"/>
  <c r="B15123" i="1"/>
  <c r="A15123" i="1"/>
  <c r="D11891" i="1"/>
  <c r="B11891" i="1"/>
  <c r="A11891" i="1"/>
  <c r="D16254" i="1"/>
  <c r="B16254" i="1"/>
  <c r="A16254" i="1"/>
  <c r="D8224" i="1"/>
  <c r="B8224" i="1"/>
  <c r="A8224" i="1"/>
  <c r="D12663" i="1"/>
  <c r="B12663" i="1"/>
  <c r="A12663" i="1"/>
  <c r="D16992" i="1"/>
  <c r="B16992" i="1"/>
  <c r="A16992" i="1"/>
  <c r="D9021" i="1"/>
  <c r="B9021" i="1"/>
  <c r="A9021" i="1"/>
  <c r="D6575" i="1"/>
  <c r="B6575" i="1"/>
  <c r="A6575" i="1"/>
  <c r="D17069" i="1"/>
  <c r="B17069" i="1"/>
  <c r="A17069" i="1"/>
  <c r="D11779" i="1"/>
  <c r="B11779" i="1"/>
  <c r="A11779" i="1"/>
  <c r="D8441" i="1"/>
  <c r="B8441" i="1"/>
  <c r="A8441" i="1"/>
  <c r="D7419" i="1"/>
  <c r="A7419" i="1"/>
  <c r="D15710" i="1"/>
  <c r="B15710" i="1"/>
  <c r="A15710" i="1"/>
  <c r="D14070" i="1"/>
  <c r="B14070" i="1"/>
  <c r="A14070" i="1"/>
  <c r="D9477" i="1"/>
  <c r="B9477" i="1"/>
  <c r="A9477" i="1"/>
  <c r="D18235" i="1"/>
  <c r="A18235" i="1"/>
  <c r="D11918" i="1"/>
  <c r="B11918" i="1"/>
  <c r="A11918" i="1"/>
  <c r="D13668" i="1"/>
  <c r="B13668" i="1"/>
  <c r="A13668" i="1"/>
  <c r="D15856" i="1"/>
  <c r="B15856" i="1"/>
  <c r="A15856" i="1"/>
  <c r="D11995" i="1"/>
  <c r="B11995" i="1"/>
  <c r="A11995" i="1"/>
  <c r="D7557" i="1"/>
  <c r="B7557" i="1"/>
  <c r="A7557" i="1"/>
  <c r="D8261" i="1"/>
  <c r="B8261" i="1"/>
  <c r="A8261" i="1"/>
  <c r="D9120" i="1"/>
  <c r="A9120" i="1"/>
  <c r="D16552" i="1"/>
  <c r="B16552" i="1"/>
  <c r="A16552" i="1"/>
  <c r="D7347" i="1"/>
  <c r="B7347" i="1"/>
  <c r="A7347" i="1"/>
  <c r="D10658" i="1"/>
  <c r="B10658" i="1"/>
  <c r="A10658" i="1"/>
  <c r="D17697" i="1"/>
  <c r="B17697" i="1"/>
  <c r="A17697" i="1"/>
  <c r="D13929" i="1"/>
  <c r="B13929" i="1"/>
  <c r="A13929" i="1"/>
  <c r="D12173" i="1"/>
  <c r="A12173" i="1"/>
  <c r="D16327" i="1"/>
  <c r="B16327" i="1"/>
  <c r="A16327" i="1"/>
  <c r="D6432" i="1"/>
  <c r="B6432" i="1"/>
  <c r="A6432" i="1"/>
  <c r="D17931" i="1"/>
  <c r="B17931" i="1"/>
  <c r="A17931" i="1"/>
  <c r="D9132" i="1"/>
  <c r="B9132" i="1"/>
  <c r="A9132" i="1"/>
  <c r="D9803" i="1"/>
  <c r="B9803" i="1"/>
  <c r="A9803" i="1"/>
  <c r="D16869" i="1"/>
  <c r="B16869" i="1"/>
  <c r="A16869" i="1"/>
  <c r="D7059" i="1"/>
  <c r="B7059" i="1"/>
  <c r="A7059" i="1"/>
  <c r="D14277" i="1"/>
  <c r="B14277" i="1"/>
  <c r="A14277" i="1"/>
  <c r="D9254" i="1"/>
  <c r="B9254" i="1"/>
  <c r="A9254" i="1"/>
  <c r="D6979" i="1"/>
  <c r="B6979" i="1"/>
  <c r="A6979" i="1"/>
  <c r="D17596" i="1"/>
  <c r="B17596" i="1"/>
  <c r="A17596" i="1"/>
  <c r="D18460" i="1"/>
  <c r="B18460" i="1"/>
  <c r="A18460" i="1"/>
  <c r="D9678" i="1"/>
  <c r="B9678" i="1"/>
  <c r="A9678" i="1"/>
  <c r="D18020" i="1"/>
  <c r="B18020" i="1"/>
  <c r="A18020" i="1"/>
  <c r="D18334" i="1"/>
  <c r="B18334" i="1"/>
  <c r="A18334" i="1"/>
  <c r="D11953" i="1"/>
  <c r="A11953" i="1"/>
  <c r="D18672" i="1"/>
  <c r="C18672" i="1"/>
  <c r="B18672" i="1"/>
  <c r="A18672" i="1"/>
  <c r="D7494" i="1"/>
  <c r="B7494" i="1"/>
  <c r="A7494" i="1"/>
  <c r="D12744" i="1"/>
  <c r="B12744" i="1"/>
  <c r="A12744" i="1"/>
  <c r="D9445" i="1"/>
  <c r="B9445" i="1"/>
  <c r="A9445" i="1"/>
  <c r="D7846" i="1"/>
  <c r="B7846" i="1"/>
  <c r="A7846" i="1"/>
  <c r="D7139" i="1"/>
  <c r="B7139" i="1"/>
  <c r="A7139" i="1"/>
  <c r="D10829" i="1"/>
  <c r="A10829" i="1"/>
  <c r="D12595" i="1"/>
  <c r="B12595" i="1"/>
  <c r="A12595" i="1"/>
  <c r="D8698" i="1"/>
  <c r="B8698" i="1"/>
  <c r="A8698" i="1"/>
  <c r="D11456" i="1"/>
  <c r="A11456" i="1"/>
  <c r="D8164" i="1"/>
  <c r="B8164" i="1"/>
  <c r="A8164" i="1"/>
  <c r="D13882" i="1"/>
  <c r="B13882" i="1"/>
  <c r="A13882" i="1"/>
  <c r="D7538" i="1"/>
  <c r="B7538" i="1"/>
  <c r="A7538" i="1"/>
  <c r="D12691" i="1"/>
  <c r="B12691" i="1"/>
  <c r="A12691" i="1"/>
  <c r="D11828" i="1"/>
  <c r="B11828" i="1"/>
  <c r="A11828" i="1"/>
  <c r="D7979" i="1"/>
  <c r="B7979" i="1"/>
  <c r="A7979" i="1"/>
  <c r="D13599" i="1"/>
  <c r="B13599" i="1"/>
  <c r="A13599" i="1"/>
  <c r="D17140" i="1"/>
  <c r="B17140" i="1"/>
  <c r="A17140" i="1"/>
  <c r="D10209" i="1"/>
  <c r="B10209" i="1"/>
  <c r="A10209" i="1"/>
  <c r="D13441" i="1"/>
  <c r="B13441" i="1"/>
  <c r="A13441" i="1"/>
  <c r="D9558" i="1"/>
  <c r="B9558" i="1"/>
  <c r="A9558" i="1"/>
  <c r="D11111" i="1"/>
  <c r="B11111" i="1"/>
  <c r="A11111" i="1"/>
  <c r="D10121" i="1"/>
  <c r="B10121" i="1"/>
  <c r="A10121" i="1"/>
  <c r="D11743" i="1"/>
  <c r="B11743" i="1"/>
  <c r="A11743" i="1"/>
  <c r="D13099" i="1"/>
  <c r="B13099" i="1"/>
  <c r="A13099" i="1"/>
  <c r="D18064" i="1"/>
  <c r="B18064" i="1"/>
  <c r="A18064" i="1"/>
  <c r="D15901" i="1"/>
  <c r="C15901" i="1"/>
  <c r="B15901" i="1"/>
  <c r="A15901" i="1"/>
  <c r="D11740" i="1"/>
  <c r="B11740" i="1"/>
  <c r="A11740" i="1"/>
  <c r="D18290" i="1"/>
  <c r="B18290" i="1"/>
  <c r="A18290" i="1"/>
  <c r="D11584" i="1"/>
  <c r="C11584" i="1"/>
  <c r="B11584" i="1"/>
  <c r="A11584" i="1"/>
  <c r="D16935" i="1"/>
  <c r="B16935" i="1"/>
  <c r="A16935" i="1"/>
  <c r="D9188" i="1"/>
  <c r="B9188" i="1"/>
  <c r="A9188" i="1"/>
  <c r="D17012" i="1"/>
  <c r="B17012" i="1"/>
  <c r="A17012" i="1"/>
  <c r="D16530" i="1"/>
  <c r="C16530" i="1"/>
  <c r="B16530" i="1"/>
  <c r="A16530" i="1"/>
  <c r="D17983" i="1"/>
  <c r="A17983" i="1"/>
  <c r="D17256" i="1"/>
  <c r="A17256" i="1"/>
  <c r="D16563" i="1"/>
  <c r="B16563" i="1"/>
  <c r="A16563" i="1"/>
  <c r="D17790" i="1"/>
  <c r="B17790" i="1"/>
  <c r="A17790" i="1"/>
  <c r="D8040" i="1"/>
  <c r="B8040" i="1"/>
  <c r="A8040" i="1"/>
  <c r="D11585" i="1"/>
  <c r="C11585" i="1"/>
  <c r="B11585" i="1"/>
  <c r="A11585" i="1"/>
  <c r="D16641" i="1"/>
  <c r="B16641" i="1"/>
  <c r="A16641" i="1"/>
  <c r="D10111" i="1"/>
  <c r="B10111" i="1"/>
  <c r="A10111" i="1"/>
  <c r="D9423" i="1"/>
  <c r="B9423" i="1"/>
  <c r="A9423" i="1"/>
  <c r="D12132" i="1"/>
  <c r="B12132" i="1"/>
  <c r="A12132" i="1"/>
  <c r="D5896" i="1"/>
  <c r="B5896" i="1"/>
  <c r="A5896" i="1"/>
  <c r="D7250" i="1"/>
  <c r="B7250" i="1"/>
  <c r="A7250" i="1"/>
  <c r="D14983" i="1"/>
  <c r="B14983" i="1"/>
  <c r="A14983" i="1"/>
  <c r="D13268" i="1"/>
  <c r="A13268" i="1"/>
  <c r="D16241" i="1"/>
  <c r="B16241" i="1"/>
  <c r="A16241" i="1"/>
  <c r="D17575" i="1"/>
  <c r="B17575" i="1"/>
  <c r="A17575" i="1"/>
  <c r="D18175" i="1"/>
  <c r="A18175" i="1"/>
  <c r="D8262" i="1"/>
  <c r="B8262" i="1"/>
  <c r="A8262" i="1"/>
  <c r="D8109" i="1"/>
  <c r="A8109" i="1"/>
  <c r="D13216" i="1"/>
  <c r="B13216" i="1"/>
  <c r="A13216" i="1"/>
  <c r="D15993" i="1"/>
  <c r="B15993" i="1"/>
  <c r="A15993" i="1"/>
  <c r="D17261" i="1"/>
  <c r="A17261" i="1"/>
  <c r="D11108" i="1"/>
  <c r="B11108" i="1"/>
  <c r="A11108" i="1"/>
  <c r="D11993" i="1"/>
  <c r="B11993" i="1"/>
  <c r="A11993" i="1"/>
  <c r="D12437" i="1"/>
  <c r="A12437" i="1"/>
  <c r="D16488" i="1"/>
  <c r="B16488" i="1"/>
  <c r="A16488" i="1"/>
  <c r="D9480" i="1"/>
  <c r="B9480" i="1"/>
  <c r="A9480" i="1"/>
  <c r="D16230" i="1"/>
  <c r="B16230" i="1"/>
  <c r="A16230" i="1"/>
  <c r="D17440" i="1"/>
  <c r="B17440" i="1"/>
  <c r="A17440" i="1"/>
  <c r="D5918" i="1"/>
  <c r="B5918" i="1"/>
  <c r="A5918" i="1"/>
  <c r="D9081" i="1"/>
  <c r="B9081" i="1"/>
  <c r="A9081" i="1"/>
  <c r="D7970" i="1"/>
  <c r="B7970" i="1"/>
  <c r="A7970" i="1"/>
  <c r="D9312" i="1"/>
  <c r="B9312" i="1"/>
  <c r="A9312" i="1"/>
  <c r="D12117" i="1"/>
  <c r="A12117" i="1"/>
  <c r="D14035" i="1"/>
  <c r="B14035" i="1"/>
  <c r="A14035" i="1"/>
  <c r="D11965" i="1"/>
  <c r="B11965" i="1"/>
  <c r="A11965" i="1"/>
  <c r="D10549" i="1"/>
  <c r="B10549" i="1"/>
  <c r="A10549" i="1"/>
  <c r="D13107" i="1"/>
  <c r="B13107" i="1"/>
  <c r="A13107" i="1"/>
  <c r="D18256" i="1"/>
  <c r="B18256" i="1"/>
  <c r="A18256" i="1"/>
  <c r="D6237" i="1"/>
  <c r="B6237" i="1"/>
  <c r="A6237" i="1"/>
  <c r="D15015" i="1"/>
  <c r="B15015" i="1"/>
  <c r="A15015" i="1"/>
  <c r="D10820" i="1"/>
  <c r="A10820" i="1"/>
  <c r="D15708" i="1"/>
  <c r="B15708" i="1"/>
  <c r="A15708" i="1"/>
  <c r="D8764" i="1"/>
  <c r="B8764" i="1"/>
  <c r="A8764" i="1"/>
  <c r="D13184" i="1"/>
  <c r="B13184" i="1"/>
  <c r="A13184" i="1"/>
  <c r="D10345" i="1"/>
  <c r="B10345" i="1"/>
  <c r="A10345" i="1"/>
  <c r="D16293" i="1"/>
  <c r="A16293" i="1"/>
  <c r="D18759" i="1"/>
  <c r="B18759" i="1"/>
  <c r="A18759" i="1"/>
  <c r="D12362" i="1"/>
  <c r="B12362" i="1"/>
  <c r="A12362" i="1"/>
  <c r="D16165" i="1"/>
  <c r="B16165" i="1"/>
  <c r="A16165" i="1"/>
  <c r="D16263" i="1"/>
  <c r="A16263" i="1"/>
  <c r="D9317" i="1"/>
  <c r="A9317" i="1"/>
  <c r="D7186" i="1"/>
  <c r="B7186" i="1"/>
  <c r="A7186" i="1"/>
  <c r="D11528" i="1"/>
  <c r="B11528" i="1"/>
  <c r="A11528" i="1"/>
  <c r="D12687" i="1"/>
  <c r="B12687" i="1"/>
  <c r="A12687" i="1"/>
  <c r="D6364" i="1"/>
  <c r="A6364" i="1"/>
  <c r="D12378" i="1"/>
  <c r="B12378" i="1"/>
  <c r="A12378" i="1"/>
  <c r="D7508" i="1"/>
  <c r="B7508" i="1"/>
  <c r="A7508" i="1"/>
  <c r="D11462" i="1"/>
  <c r="B11462" i="1"/>
  <c r="A11462" i="1"/>
  <c r="D7764" i="1"/>
  <c r="B7764" i="1"/>
  <c r="A7764" i="1"/>
  <c r="D17250" i="1"/>
  <c r="B17250" i="1"/>
  <c r="A17250" i="1"/>
  <c r="D12350" i="1"/>
  <c r="B12350" i="1"/>
  <c r="A12350" i="1"/>
  <c r="D10521" i="1"/>
  <c r="A10521" i="1"/>
  <c r="D8215" i="1"/>
  <c r="B8215" i="1"/>
  <c r="A8215" i="1"/>
  <c r="D17062" i="1"/>
  <c r="B17062" i="1"/>
  <c r="A17062" i="1"/>
  <c r="D8570" i="1"/>
  <c r="B8570" i="1"/>
  <c r="A8570" i="1"/>
  <c r="D7790" i="1"/>
  <c r="B7790" i="1"/>
  <c r="A7790" i="1"/>
  <c r="D17638" i="1"/>
  <c r="B17638" i="1"/>
  <c r="A17638" i="1"/>
  <c r="D9252" i="1"/>
  <c r="B9252" i="1"/>
  <c r="A9252" i="1"/>
  <c r="D8287" i="1"/>
  <c r="B8287" i="1"/>
  <c r="A8287" i="1"/>
  <c r="D6935" i="1"/>
  <c r="B6935" i="1"/>
  <c r="A6935" i="1"/>
  <c r="D15524" i="1"/>
  <c r="B15524" i="1"/>
  <c r="A15524" i="1"/>
  <c r="D9249" i="1"/>
  <c r="B9249" i="1"/>
  <c r="A9249" i="1"/>
  <c r="D8364" i="1"/>
  <c r="B8364" i="1"/>
  <c r="A8364" i="1"/>
  <c r="D12425" i="1"/>
  <c r="A12425" i="1"/>
  <c r="D5349" i="1"/>
  <c r="A5349" i="1"/>
  <c r="D7634" i="1"/>
  <c r="B7634" i="1"/>
  <c r="A7634" i="1"/>
  <c r="D11261" i="1"/>
  <c r="B11261" i="1"/>
  <c r="A11261" i="1"/>
  <c r="D18776" i="1"/>
  <c r="B18776" i="1"/>
  <c r="A18776" i="1"/>
  <c r="D18042" i="1"/>
  <c r="A18042" i="1"/>
  <c r="D13250" i="1"/>
  <c r="B13250" i="1"/>
  <c r="A13250" i="1"/>
  <c r="D14909" i="1"/>
  <c r="B14909" i="1"/>
  <c r="A14909" i="1"/>
  <c r="D6854" i="1"/>
  <c r="B6854" i="1"/>
  <c r="A6854" i="1"/>
  <c r="D10043" i="1"/>
  <c r="A10043" i="1"/>
  <c r="D11772" i="1"/>
  <c r="B11772" i="1"/>
  <c r="A11772" i="1"/>
  <c r="D13559" i="1"/>
  <c r="C13559" i="1"/>
  <c r="B13559" i="1"/>
  <c r="A13559" i="1"/>
  <c r="D12829" i="1"/>
  <c r="B12829" i="1"/>
  <c r="A12829" i="1"/>
  <c r="D9265" i="1"/>
  <c r="B9265" i="1"/>
  <c r="A9265" i="1"/>
  <c r="D15468" i="1"/>
  <c r="B15468" i="1"/>
  <c r="A15468" i="1"/>
  <c r="D11948" i="1"/>
  <c r="B11948" i="1"/>
  <c r="A11948" i="1"/>
  <c r="D11095" i="1"/>
  <c r="B11095" i="1"/>
  <c r="A11095" i="1"/>
  <c r="D16301" i="1"/>
  <c r="A16301" i="1"/>
  <c r="D17072" i="1"/>
  <c r="B17072" i="1"/>
  <c r="A17072" i="1"/>
  <c r="D7141" i="1"/>
  <c r="B7141" i="1"/>
  <c r="A7141" i="1"/>
  <c r="D15023" i="1"/>
  <c r="B15023" i="1"/>
  <c r="A15023" i="1"/>
  <c r="D14855" i="1"/>
  <c r="A14855" i="1"/>
  <c r="D12022" i="1"/>
  <c r="B12022" i="1"/>
  <c r="A12022" i="1"/>
  <c r="D7993" i="1"/>
  <c r="B7993" i="1"/>
  <c r="A7993" i="1"/>
  <c r="D7447" i="1"/>
  <c r="B7447" i="1"/>
  <c r="A7447" i="1"/>
  <c r="D9728" i="1"/>
  <c r="B9728" i="1"/>
  <c r="A9728" i="1"/>
  <c r="D17435" i="1"/>
  <c r="B17435" i="1"/>
  <c r="A17435" i="1"/>
  <c r="D6533" i="1"/>
  <c r="B6533" i="1"/>
  <c r="A6533" i="1"/>
  <c r="D17232" i="1"/>
  <c r="B17232" i="1"/>
  <c r="A17232" i="1"/>
  <c r="D11832" i="1"/>
  <c r="B11832" i="1"/>
  <c r="A11832" i="1"/>
  <c r="D6245" i="1"/>
  <c r="B6245" i="1"/>
  <c r="A6245" i="1"/>
  <c r="D7045" i="1"/>
  <c r="C7045" i="1"/>
  <c r="B7045" i="1"/>
  <c r="A7045" i="1"/>
  <c r="D14895" i="1"/>
  <c r="B14895" i="1"/>
  <c r="A14895" i="1"/>
  <c r="D10165" i="1"/>
  <c r="A10165" i="1"/>
  <c r="D17582" i="1"/>
  <c r="A17582" i="1"/>
  <c r="D13062" i="1"/>
  <c r="B13062" i="1"/>
  <c r="A13062" i="1"/>
  <c r="D8543" i="1"/>
  <c r="B8543" i="1"/>
  <c r="A8543" i="1"/>
  <c r="D9224" i="1"/>
  <c r="A9224" i="1"/>
  <c r="D15473" i="1"/>
  <c r="B15473" i="1"/>
  <c r="A15473" i="1"/>
  <c r="D11616" i="1"/>
  <c r="B11616" i="1"/>
  <c r="A11616" i="1"/>
  <c r="D11389" i="1"/>
  <c r="C11389" i="1"/>
  <c r="B11389" i="1"/>
  <c r="A11389" i="1"/>
  <c r="D15727" i="1"/>
  <c r="B15727" i="1"/>
  <c r="A15727" i="1"/>
  <c r="D17202" i="1"/>
  <c r="B17202" i="1"/>
  <c r="A17202" i="1"/>
  <c r="D9080" i="1"/>
  <c r="B9080" i="1"/>
  <c r="A9080" i="1"/>
  <c r="D14926" i="1"/>
  <c r="B14926" i="1"/>
  <c r="A14926" i="1"/>
  <c r="D5518" i="1"/>
  <c r="A5518" i="1"/>
  <c r="D12198" i="1"/>
  <c r="B12198" i="1"/>
  <c r="A12198" i="1"/>
  <c r="D16861" i="1"/>
  <c r="A16861" i="1"/>
  <c r="D9877" i="1"/>
  <c r="B9877" i="1"/>
  <c r="A9877" i="1"/>
  <c r="D6065" i="1"/>
  <c r="A6065" i="1"/>
  <c r="D5559" i="1"/>
  <c r="A5559" i="1"/>
  <c r="D12441" i="1"/>
  <c r="A12441" i="1"/>
  <c r="D16244" i="1"/>
  <c r="B16244" i="1"/>
  <c r="A16244" i="1"/>
  <c r="D16842" i="1"/>
  <c r="A16842" i="1"/>
  <c r="D5976" i="1"/>
  <c r="A5976" i="1"/>
  <c r="D17254" i="1"/>
  <c r="B17254" i="1"/>
  <c r="A17254" i="1"/>
  <c r="D10060" i="1"/>
  <c r="B10060" i="1"/>
  <c r="A10060" i="1"/>
  <c r="D7460" i="1"/>
  <c r="A7460" i="1"/>
  <c r="D16332" i="1"/>
  <c r="B16332" i="1"/>
  <c r="A16332" i="1"/>
  <c r="D13756" i="1"/>
  <c r="B13756" i="1"/>
  <c r="A13756" i="1"/>
  <c r="D11661" i="1"/>
  <c r="A11661" i="1"/>
  <c r="D13353" i="1"/>
  <c r="B13353" i="1"/>
  <c r="A13353" i="1"/>
  <c r="D5574" i="1"/>
  <c r="A5574" i="1"/>
  <c r="D9603" i="1"/>
  <c r="B9603" i="1"/>
  <c r="A9603" i="1"/>
  <c r="D12883" i="1"/>
  <c r="A12883" i="1"/>
  <c r="D12562" i="1"/>
  <c r="B12562" i="1"/>
  <c r="A12562" i="1"/>
  <c r="D18453" i="1"/>
  <c r="B18453" i="1"/>
  <c r="A18453" i="1"/>
  <c r="D13203" i="1"/>
  <c r="B13203" i="1"/>
  <c r="A13203" i="1"/>
  <c r="D8951" i="1"/>
  <c r="B8951" i="1"/>
  <c r="A8951" i="1"/>
  <c r="D15742" i="1"/>
  <c r="A15742" i="1"/>
  <c r="D11113" i="1"/>
  <c r="B11113" i="1"/>
  <c r="A11113" i="1"/>
  <c r="D6044" i="1"/>
  <c r="A6044" i="1"/>
  <c r="D5783" i="1"/>
  <c r="A5783" i="1"/>
  <c r="D6384" i="1"/>
  <c r="C6384" i="1"/>
  <c r="B6384" i="1"/>
  <c r="A6384" i="1"/>
  <c r="D17663" i="1"/>
  <c r="B17663" i="1"/>
  <c r="A17663" i="1"/>
  <c r="D11227" i="1"/>
  <c r="B11227" i="1"/>
  <c r="A11227" i="1"/>
  <c r="D10960" i="1"/>
  <c r="B10960" i="1"/>
  <c r="A10960" i="1"/>
  <c r="D7087" i="1"/>
  <c r="B7087" i="1"/>
  <c r="A7087" i="1"/>
  <c r="D6724" i="1"/>
  <c r="B6724" i="1"/>
  <c r="A6724" i="1"/>
  <c r="D11789" i="1"/>
  <c r="B11789" i="1"/>
  <c r="A11789" i="1"/>
  <c r="D8190" i="1"/>
  <c r="B8190" i="1"/>
  <c r="A8190" i="1"/>
  <c r="D10746" i="1"/>
  <c r="B10746" i="1"/>
  <c r="A10746" i="1"/>
  <c r="D17747" i="1"/>
  <c r="B17747" i="1"/>
  <c r="A17747" i="1"/>
  <c r="D13837" i="1"/>
  <c r="B13837" i="1"/>
  <c r="A13837" i="1"/>
  <c r="D12735" i="1"/>
  <c r="B12735" i="1"/>
  <c r="A12735" i="1"/>
  <c r="D7819" i="1"/>
  <c r="B7819" i="1"/>
  <c r="A7819" i="1"/>
  <c r="D6645" i="1"/>
  <c r="B6645" i="1"/>
  <c r="A6645" i="1"/>
  <c r="D17944" i="1"/>
  <c r="B17944" i="1"/>
  <c r="A17944" i="1"/>
  <c r="D7349" i="1"/>
  <c r="A7349" i="1"/>
  <c r="D16093" i="1"/>
  <c r="A16093" i="1"/>
  <c r="D18535" i="1"/>
  <c r="B18535" i="1"/>
  <c r="A18535" i="1"/>
  <c r="D7854" i="1"/>
  <c r="A7854" i="1"/>
  <c r="D16059" i="1"/>
  <c r="A16059" i="1"/>
  <c r="D10608" i="1"/>
  <c r="A10608" i="1"/>
  <c r="D14066" i="1"/>
  <c r="B14066" i="1"/>
  <c r="A14066" i="1"/>
  <c r="D17971" i="1"/>
  <c r="B17971" i="1"/>
  <c r="A17971" i="1"/>
  <c r="D5445" i="1"/>
  <c r="A5445" i="1"/>
  <c r="D9625" i="1"/>
  <c r="B9625" i="1"/>
  <c r="A9625" i="1"/>
  <c r="D12276" i="1"/>
  <c r="B12276" i="1"/>
  <c r="A12276" i="1"/>
  <c r="D7216" i="1"/>
  <c r="B7216" i="1"/>
  <c r="A7216" i="1"/>
  <c r="D9805" i="1"/>
  <c r="B9805" i="1"/>
  <c r="A9805" i="1"/>
  <c r="D15695" i="1"/>
  <c r="A15695" i="1"/>
  <c r="D17534" i="1"/>
  <c r="B17534" i="1"/>
  <c r="A17534" i="1"/>
  <c r="D15170" i="1"/>
  <c r="B15170" i="1"/>
  <c r="A15170" i="1"/>
  <c r="D10239" i="1"/>
  <c r="B10239" i="1"/>
  <c r="A10239" i="1"/>
  <c r="D14891" i="1"/>
  <c r="B14891" i="1"/>
  <c r="A14891" i="1"/>
  <c r="D11069" i="1"/>
  <c r="B11069" i="1"/>
  <c r="A11069" i="1"/>
  <c r="D7712" i="1"/>
  <c r="B7712" i="1"/>
  <c r="A7712" i="1"/>
  <c r="D14017" i="1"/>
  <c r="B14017" i="1"/>
  <c r="A14017" i="1"/>
  <c r="D7490" i="1"/>
  <c r="B7490" i="1"/>
  <c r="A7490" i="1"/>
  <c r="D7425" i="1"/>
  <c r="A7425" i="1"/>
  <c r="D8542" i="1"/>
  <c r="A8542" i="1"/>
  <c r="D12479" i="1"/>
  <c r="A12479" i="1"/>
  <c r="D13262" i="1"/>
  <c r="B13262" i="1"/>
  <c r="A13262" i="1"/>
  <c r="D9676" i="1"/>
  <c r="B9676" i="1"/>
  <c r="A9676" i="1"/>
  <c r="D10145" i="1"/>
  <c r="B10145" i="1"/>
  <c r="A10145" i="1"/>
  <c r="D12509" i="1"/>
  <c r="B12509" i="1"/>
  <c r="A12509" i="1"/>
  <c r="D9248" i="1"/>
  <c r="B9248" i="1"/>
  <c r="A9248" i="1"/>
  <c r="D13350" i="1"/>
  <c r="B13350" i="1"/>
  <c r="A13350" i="1"/>
  <c r="D11613" i="1"/>
  <c r="C11613" i="1"/>
  <c r="B11613" i="1"/>
  <c r="A11613" i="1"/>
  <c r="D11813" i="1"/>
  <c r="B11813" i="1"/>
  <c r="A11813" i="1"/>
  <c r="D11367" i="1"/>
  <c r="B11367" i="1"/>
  <c r="A11367" i="1"/>
  <c r="D15112" i="1"/>
  <c r="B15112" i="1"/>
  <c r="A15112" i="1"/>
  <c r="D8087" i="1"/>
  <c r="B8087" i="1"/>
  <c r="A8087" i="1"/>
  <c r="D12019" i="1"/>
  <c r="B12019" i="1"/>
  <c r="A12019" i="1"/>
  <c r="D11760" i="1"/>
  <c r="B11760" i="1"/>
  <c r="A11760" i="1"/>
  <c r="D6322" i="1"/>
  <c r="B6322" i="1"/>
  <c r="A6322" i="1"/>
  <c r="D6836" i="1"/>
  <c r="B6836" i="1"/>
  <c r="A6836" i="1"/>
  <c r="D11487" i="1"/>
  <c r="B11487" i="1"/>
  <c r="A11487" i="1"/>
  <c r="D6274" i="1"/>
  <c r="B6274" i="1"/>
  <c r="A6274" i="1"/>
  <c r="D7754" i="1"/>
  <c r="B7754" i="1"/>
  <c r="A7754" i="1"/>
  <c r="D17559" i="1"/>
  <c r="B17559" i="1"/>
  <c r="A17559" i="1"/>
  <c r="D8476" i="1"/>
  <c r="A8476" i="1"/>
  <c r="D15021" i="1"/>
  <c r="B15021" i="1"/>
  <c r="A15021" i="1"/>
  <c r="D17913" i="1"/>
  <c r="B17913" i="1"/>
  <c r="A17913" i="1"/>
  <c r="D11483" i="1"/>
  <c r="B11483" i="1"/>
  <c r="A11483" i="1"/>
  <c r="D13974" i="1"/>
  <c r="B13974" i="1"/>
  <c r="A13974" i="1"/>
  <c r="D7395" i="1"/>
  <c r="B7395" i="1"/>
  <c r="A7395" i="1"/>
  <c r="D15516" i="1"/>
  <c r="B15516" i="1"/>
  <c r="A15516" i="1"/>
  <c r="D10103" i="1"/>
  <c r="B10103" i="1"/>
  <c r="A10103" i="1"/>
  <c r="D15061" i="1"/>
  <c r="B15061" i="1"/>
  <c r="A15061" i="1"/>
  <c r="D18212" i="1"/>
  <c r="B18212" i="1"/>
  <c r="A18212" i="1"/>
  <c r="D6994" i="1"/>
  <c r="B6994" i="1"/>
  <c r="A6994" i="1"/>
  <c r="D11365" i="1"/>
  <c r="B11365" i="1"/>
  <c r="A11365" i="1"/>
  <c r="D14772" i="1"/>
  <c r="B14772" i="1"/>
  <c r="A14772" i="1"/>
  <c r="D14135" i="1"/>
  <c r="B14135" i="1"/>
  <c r="A14135" i="1"/>
  <c r="D17305" i="1"/>
  <c r="B17305" i="1"/>
  <c r="A17305" i="1"/>
  <c r="D8738" i="1"/>
  <c r="B8738" i="1"/>
  <c r="A8738" i="1"/>
  <c r="D7257" i="1"/>
  <c r="B7257" i="1"/>
  <c r="A7257" i="1"/>
  <c r="D15168" i="1"/>
  <c r="B15168" i="1"/>
  <c r="A15168" i="1"/>
  <c r="D7275" i="1"/>
  <c r="B7275" i="1"/>
  <c r="A7275" i="1"/>
  <c r="D15765" i="1"/>
  <c r="B15765" i="1"/>
  <c r="A15765" i="1"/>
  <c r="D12439" i="1"/>
  <c r="A12439" i="1"/>
  <c r="D9164" i="1"/>
  <c r="B9164" i="1"/>
  <c r="A9164" i="1"/>
  <c r="D13127" i="1"/>
  <c r="C13127" i="1"/>
  <c r="B13127" i="1"/>
  <c r="A13127" i="1"/>
  <c r="D17576" i="1"/>
  <c r="A17576" i="1"/>
  <c r="D18004" i="1"/>
  <c r="B18004" i="1"/>
  <c r="A18004" i="1"/>
  <c r="D16323" i="1"/>
  <c r="B16323" i="1"/>
  <c r="A16323" i="1"/>
  <c r="D10176" i="1"/>
  <c r="B10176" i="1"/>
  <c r="A10176" i="1"/>
  <c r="D13212" i="1"/>
  <c r="B13212" i="1"/>
  <c r="A13212" i="1"/>
  <c r="D18404" i="1"/>
  <c r="B18404" i="1"/>
  <c r="A18404" i="1"/>
  <c r="D15158" i="1"/>
  <c r="B15158" i="1"/>
  <c r="A15158" i="1"/>
  <c r="D14062" i="1"/>
  <c r="B14062" i="1"/>
  <c r="A14062" i="1"/>
  <c r="D15166" i="1"/>
  <c r="B15166" i="1"/>
  <c r="A15166" i="1"/>
  <c r="D14998" i="1"/>
  <c r="B14998" i="1"/>
  <c r="A14998" i="1"/>
  <c r="D5754" i="1"/>
  <c r="A5754" i="1"/>
  <c r="D15250" i="1"/>
  <c r="B15250" i="1"/>
  <c r="A15250" i="1"/>
  <c r="D10388" i="1"/>
  <c r="B10388" i="1"/>
  <c r="A10388" i="1"/>
  <c r="D14767" i="1"/>
  <c r="B14767" i="1"/>
  <c r="A14767" i="1"/>
  <c r="D13870" i="1"/>
  <c r="A13870" i="1"/>
  <c r="D18478" i="1"/>
  <c r="B18478" i="1"/>
  <c r="A18478" i="1"/>
  <c r="D18641" i="1"/>
  <c r="B18641" i="1"/>
  <c r="A18641" i="1"/>
  <c r="D6620" i="1"/>
  <c r="B6620" i="1"/>
  <c r="A6620" i="1"/>
  <c r="D11612" i="1"/>
  <c r="B11612" i="1"/>
  <c r="A11612" i="1"/>
  <c r="D6907" i="1"/>
  <c r="B6907" i="1"/>
  <c r="A6907" i="1"/>
  <c r="D7276" i="1"/>
  <c r="B7276" i="1"/>
  <c r="A7276" i="1"/>
  <c r="D10340" i="1"/>
  <c r="B10340" i="1"/>
  <c r="A10340" i="1"/>
  <c r="D9295" i="1"/>
  <c r="B9295" i="1"/>
  <c r="A9295" i="1"/>
  <c r="D15995" i="1"/>
  <c r="B15995" i="1"/>
  <c r="A15995" i="1"/>
  <c r="D14865" i="1"/>
  <c r="B14865" i="1"/>
  <c r="A14865" i="1"/>
  <c r="D8070" i="1"/>
  <c r="B8070" i="1"/>
  <c r="A8070" i="1"/>
  <c r="D6476" i="1"/>
  <c r="B6476" i="1"/>
  <c r="A6476" i="1"/>
  <c r="D18033" i="1"/>
  <c r="B18033" i="1"/>
  <c r="A18033" i="1"/>
  <c r="D6202" i="1"/>
  <c r="B6202" i="1"/>
  <c r="A6202" i="1"/>
  <c r="D14555" i="1"/>
  <c r="C14555" i="1"/>
  <c r="B14555" i="1"/>
  <c r="A14555" i="1"/>
  <c r="D12187" i="1"/>
  <c r="A12187" i="1"/>
  <c r="D15287" i="1"/>
  <c r="B15287" i="1"/>
  <c r="A15287" i="1"/>
  <c r="D10227" i="1"/>
  <c r="B10227" i="1"/>
  <c r="A10227" i="1"/>
  <c r="D14884" i="1"/>
  <c r="B14884" i="1"/>
  <c r="A14884" i="1"/>
  <c r="D15182" i="1"/>
  <c r="B15182" i="1"/>
  <c r="A15182" i="1"/>
  <c r="D12435" i="1"/>
  <c r="A12435" i="1"/>
  <c r="D10894" i="1"/>
  <c r="B10894" i="1"/>
  <c r="A10894" i="1"/>
  <c r="D17853" i="1"/>
  <c r="A17853" i="1"/>
  <c r="D11232" i="1"/>
  <c r="B11232" i="1"/>
  <c r="A11232" i="1"/>
  <c r="D17454" i="1"/>
  <c r="B17454" i="1"/>
  <c r="A17454" i="1"/>
  <c r="D6309" i="1"/>
  <c r="A6309" i="1"/>
  <c r="D18748" i="1"/>
  <c r="B18748" i="1"/>
  <c r="A18748" i="1"/>
  <c r="D6306" i="1"/>
  <c r="B6306" i="1"/>
  <c r="A6306" i="1"/>
  <c r="D13058" i="1"/>
  <c r="B13058" i="1"/>
  <c r="A13058" i="1"/>
  <c r="D7365" i="1"/>
  <c r="B7365" i="1"/>
  <c r="A7365" i="1"/>
  <c r="D6047" i="1"/>
  <c r="A6047" i="1"/>
  <c r="D14949" i="1"/>
  <c r="B14949" i="1"/>
  <c r="A14949" i="1"/>
  <c r="D17026" i="1"/>
  <c r="A17026" i="1"/>
  <c r="D17987" i="1"/>
  <c r="B17987" i="1"/>
  <c r="A17987" i="1"/>
  <c r="D18261" i="1"/>
  <c r="B18261" i="1"/>
  <c r="A18261" i="1"/>
  <c r="D8950" i="1"/>
  <c r="B8950" i="1"/>
  <c r="A8950" i="1"/>
  <c r="D6771" i="1"/>
  <c r="B6771" i="1"/>
  <c r="A6771" i="1"/>
  <c r="D17602" i="1"/>
  <c r="B17602" i="1"/>
  <c r="A17602" i="1"/>
  <c r="D6843" i="1"/>
  <c r="B6843" i="1"/>
  <c r="A6843" i="1"/>
  <c r="D17706" i="1"/>
  <c r="B17706" i="1"/>
  <c r="A17706" i="1"/>
  <c r="D6722" i="1"/>
  <c r="B6722" i="1"/>
  <c r="A6722" i="1"/>
  <c r="D6845" i="1"/>
  <c r="B6845" i="1"/>
  <c r="A6845" i="1"/>
  <c r="D14715" i="1"/>
  <c r="B14715" i="1"/>
  <c r="A14715" i="1"/>
  <c r="D8944" i="1"/>
  <c r="B8944" i="1"/>
  <c r="A8944" i="1"/>
  <c r="D9927" i="1"/>
  <c r="B9927" i="1"/>
  <c r="A9927" i="1"/>
  <c r="D8421" i="1"/>
  <c r="B8421" i="1"/>
  <c r="A8421" i="1"/>
  <c r="D9795" i="1"/>
  <c r="B9795" i="1"/>
  <c r="A9795" i="1"/>
  <c r="D13148" i="1"/>
  <c r="B13148" i="1"/>
  <c r="A13148" i="1"/>
  <c r="D7753" i="1"/>
  <c r="B7753" i="1"/>
  <c r="A7753" i="1"/>
  <c r="D8076" i="1"/>
  <c r="B8076" i="1"/>
  <c r="A8076" i="1"/>
  <c r="D15329" i="1"/>
  <c r="A15329" i="1"/>
  <c r="D6449" i="1"/>
  <c r="B6449" i="1"/>
  <c r="A6449" i="1"/>
  <c r="D9666" i="1"/>
  <c r="B9666" i="1"/>
  <c r="A9666" i="1"/>
  <c r="D7097" i="1"/>
  <c r="B7097" i="1"/>
  <c r="A7097" i="1"/>
  <c r="D18003" i="1"/>
  <c r="B18003" i="1"/>
  <c r="A18003" i="1"/>
  <c r="D17610" i="1"/>
  <c r="B17610" i="1"/>
  <c r="A17610" i="1"/>
  <c r="D10884" i="1"/>
  <c r="B10884" i="1"/>
  <c r="A10884" i="1"/>
  <c r="D10760" i="1"/>
  <c r="B10760" i="1"/>
  <c r="A10760" i="1"/>
  <c r="D10573" i="1"/>
  <c r="B10573" i="1"/>
  <c r="A10573" i="1"/>
  <c r="D7511" i="1"/>
  <c r="B7511" i="1"/>
  <c r="A7511" i="1"/>
  <c r="D15943" i="1"/>
  <c r="B15943" i="1"/>
  <c r="A15943" i="1"/>
  <c r="D7815" i="1"/>
  <c r="B7815" i="1"/>
  <c r="A7815" i="1"/>
  <c r="D17483" i="1"/>
  <c r="B17483" i="1"/>
  <c r="A17483" i="1"/>
  <c r="D9815" i="1"/>
  <c r="B9815" i="1"/>
  <c r="A9815" i="1"/>
  <c r="D12361" i="1"/>
  <c r="B12361" i="1"/>
  <c r="A12361" i="1"/>
  <c r="D12152" i="1"/>
  <c r="B12152" i="1"/>
  <c r="A12152" i="1"/>
  <c r="D17170" i="1"/>
  <c r="B17170" i="1"/>
  <c r="A17170" i="1"/>
  <c r="D18780" i="1"/>
  <c r="B18780" i="1"/>
  <c r="A18780" i="1"/>
  <c r="D11307" i="1"/>
  <c r="C11307" i="1"/>
  <c r="B11307" i="1"/>
  <c r="A11307" i="1"/>
  <c r="D12775" i="1"/>
  <c r="B12775" i="1"/>
  <c r="A12775" i="1"/>
  <c r="D15081" i="1"/>
  <c r="B15081" i="1"/>
  <c r="A15081" i="1"/>
  <c r="D17248" i="1"/>
  <c r="A17248" i="1"/>
  <c r="D11670" i="1"/>
  <c r="B11670" i="1"/>
  <c r="A11670" i="1"/>
  <c r="D16106" i="1"/>
  <c r="B16106" i="1"/>
  <c r="A16106" i="1"/>
  <c r="D7466" i="1"/>
  <c r="B7466" i="1"/>
  <c r="A7466" i="1"/>
  <c r="D10355" i="1"/>
  <c r="C10355" i="1"/>
  <c r="B10355" i="1"/>
  <c r="A10355" i="1"/>
  <c r="D15881" i="1"/>
  <c r="A15881" i="1"/>
  <c r="D18312" i="1"/>
  <c r="B18312" i="1"/>
  <c r="A18312" i="1"/>
  <c r="D10803" i="1"/>
  <c r="B10803" i="1"/>
  <c r="A10803" i="1"/>
  <c r="D7990" i="1"/>
  <c r="B7990" i="1"/>
  <c r="A7990" i="1"/>
  <c r="D8953" i="1"/>
  <c r="B8953" i="1"/>
  <c r="A8953" i="1"/>
  <c r="D16585" i="1"/>
  <c r="B16585" i="1"/>
  <c r="A16585" i="1"/>
  <c r="D11452" i="1"/>
  <c r="B11452" i="1"/>
  <c r="A11452" i="1"/>
  <c r="D18332" i="1"/>
  <c r="B18332" i="1"/>
  <c r="A18332" i="1"/>
  <c r="D17822" i="1"/>
  <c r="B17822" i="1"/>
  <c r="A17822" i="1"/>
  <c r="D15780" i="1"/>
  <c r="B15780" i="1"/>
  <c r="A15780" i="1"/>
  <c r="D11438" i="1"/>
  <c r="B11438" i="1"/>
  <c r="A11438" i="1"/>
  <c r="D13820" i="1"/>
  <c r="B13820" i="1"/>
  <c r="A13820" i="1"/>
  <c r="D9937" i="1"/>
  <c r="B9937" i="1"/>
  <c r="A9937" i="1"/>
  <c r="D18209" i="1"/>
  <c r="B18209" i="1"/>
  <c r="A18209" i="1"/>
  <c r="D12455" i="1"/>
  <c r="A12455" i="1"/>
  <c r="D6595" i="1"/>
  <c r="A6595" i="1"/>
  <c r="D10049" i="1"/>
  <c r="B10049" i="1"/>
  <c r="A10049" i="1"/>
  <c r="D16693" i="1"/>
  <c r="B16693" i="1"/>
  <c r="A16693" i="1"/>
  <c r="D9906" i="1"/>
  <c r="B9906" i="1"/>
  <c r="A9906" i="1"/>
  <c r="D9730" i="1"/>
  <c r="B9730" i="1"/>
  <c r="A9730" i="1"/>
  <c r="D13680" i="1"/>
  <c r="B13680" i="1"/>
  <c r="A13680" i="1"/>
  <c r="D16151" i="1"/>
  <c r="B16151" i="1"/>
  <c r="A16151" i="1"/>
  <c r="D11783" i="1"/>
  <c r="B11783" i="1"/>
  <c r="A11783" i="1"/>
  <c r="D11767" i="1"/>
  <c r="B11767" i="1"/>
  <c r="A11767" i="1"/>
  <c r="D15340" i="1"/>
  <c r="A15340" i="1"/>
  <c r="D7074" i="1"/>
  <c r="B7074" i="1"/>
  <c r="A7074" i="1"/>
  <c r="D15974" i="1"/>
  <c r="A15974" i="1"/>
  <c r="D18182" i="1"/>
  <c r="B18182" i="1"/>
  <c r="A18182" i="1"/>
  <c r="D15159" i="1"/>
  <c r="B15159" i="1"/>
  <c r="A15159" i="1"/>
  <c r="D7046" i="1"/>
  <c r="B7046" i="1"/>
  <c r="A7046" i="1"/>
  <c r="D14899" i="1"/>
  <c r="B14899" i="1"/>
  <c r="A14899" i="1"/>
  <c r="D15791" i="1"/>
  <c r="B15791" i="1"/>
  <c r="A15791" i="1"/>
  <c r="D8417" i="1"/>
  <c r="B8417" i="1"/>
  <c r="A8417" i="1"/>
  <c r="D14975" i="1"/>
  <c r="B14975" i="1"/>
  <c r="A14975" i="1"/>
  <c r="D17129" i="1"/>
  <c r="B17129" i="1"/>
  <c r="A17129" i="1"/>
  <c r="D15795" i="1"/>
  <c r="B15795" i="1"/>
  <c r="A15795" i="1"/>
  <c r="D6319" i="1"/>
  <c r="B6319" i="1"/>
  <c r="A6319" i="1"/>
  <c r="D15835" i="1"/>
  <c r="A15835" i="1"/>
  <c r="D11786" i="1"/>
  <c r="B11786" i="1"/>
  <c r="A11786" i="1"/>
  <c r="D10756" i="1"/>
  <c r="B10756" i="1"/>
  <c r="A10756" i="1"/>
  <c r="D18741" i="1"/>
  <c r="B18741" i="1"/>
  <c r="A18741" i="1"/>
  <c r="D6859" i="1"/>
  <c r="B6859" i="1"/>
  <c r="A6859" i="1"/>
  <c r="D13505" i="1"/>
  <c r="B13505" i="1"/>
  <c r="A13505" i="1"/>
  <c r="D11943" i="1"/>
  <c r="B11943" i="1"/>
  <c r="A11943" i="1"/>
  <c r="D14554" i="1"/>
  <c r="C14554" i="1"/>
  <c r="B14554" i="1"/>
  <c r="A14554" i="1"/>
  <c r="D11897" i="1"/>
  <c r="B11897" i="1"/>
  <c r="A11897" i="1"/>
  <c r="D6614" i="1"/>
  <c r="B6614" i="1"/>
  <c r="A6614" i="1"/>
  <c r="D15192" i="1"/>
  <c r="B15192" i="1"/>
  <c r="A15192" i="1"/>
  <c r="D8804" i="1"/>
  <c r="B8804" i="1"/>
  <c r="A8804" i="1"/>
  <c r="D7501" i="1"/>
  <c r="B7501" i="1"/>
  <c r="A7501" i="1"/>
  <c r="D18119" i="1"/>
  <c r="B18119" i="1"/>
  <c r="A18119" i="1"/>
  <c r="D18648" i="1"/>
  <c r="B18648" i="1"/>
  <c r="A18648" i="1"/>
  <c r="D8469" i="1"/>
  <c r="B8469" i="1"/>
  <c r="A8469" i="1"/>
  <c r="D14631" i="1"/>
  <c r="C14631" i="1"/>
  <c r="B14631" i="1"/>
  <c r="A14631" i="1"/>
  <c r="D6961" i="1"/>
  <c r="A6961" i="1"/>
  <c r="D14556" i="1"/>
  <c r="C14556" i="1"/>
  <c r="B14556" i="1"/>
  <c r="A14556" i="1"/>
  <c r="D16929" i="1"/>
  <c r="A16929" i="1"/>
  <c r="D18745" i="1"/>
  <c r="B18745" i="1"/>
  <c r="A18745" i="1"/>
  <c r="D6915" i="1"/>
  <c r="B6915" i="1"/>
  <c r="A6915" i="1"/>
  <c r="D11872" i="1"/>
  <c r="B11872" i="1"/>
  <c r="A11872" i="1"/>
  <c r="D14871" i="1"/>
  <c r="B14871" i="1"/>
  <c r="A14871" i="1"/>
  <c r="D10183" i="1"/>
  <c r="B10183" i="1"/>
  <c r="A10183" i="1"/>
  <c r="D13744" i="1"/>
  <c r="B13744" i="1"/>
  <c r="A13744" i="1"/>
  <c r="D11999" i="1"/>
  <c r="B11999" i="1"/>
  <c r="A11999" i="1"/>
  <c r="D8028" i="1"/>
  <c r="B8028" i="1"/>
  <c r="A8028" i="1"/>
  <c r="D6999" i="1"/>
  <c r="B6999" i="1"/>
  <c r="A6999" i="1"/>
  <c r="D17842" i="1"/>
  <c r="B17842" i="1"/>
  <c r="A17842" i="1"/>
  <c r="D12737" i="1"/>
  <c r="B12737" i="1"/>
  <c r="A12737" i="1"/>
  <c r="D15737" i="1"/>
  <c r="B15737" i="1"/>
  <c r="A15737" i="1"/>
  <c r="D10481" i="1"/>
  <c r="A10481" i="1"/>
  <c r="D7696" i="1"/>
  <c r="B7696" i="1"/>
  <c r="A7696" i="1"/>
  <c r="D15934" i="1"/>
  <c r="B15934" i="1"/>
  <c r="A15934" i="1"/>
  <c r="D8129" i="1"/>
  <c r="B8129" i="1"/>
  <c r="A8129" i="1"/>
  <c r="D8917" i="1"/>
  <c r="B8917" i="1"/>
  <c r="A8917" i="1"/>
  <c r="D15752" i="1"/>
  <c r="B15752" i="1"/>
  <c r="A15752" i="1"/>
  <c r="D11734" i="1"/>
  <c r="B11734" i="1"/>
  <c r="A11734" i="1"/>
  <c r="D15547" i="1"/>
  <c r="B15547" i="1"/>
  <c r="A15547" i="1"/>
  <c r="D13931" i="1"/>
  <c r="A13931" i="1"/>
  <c r="D6248" i="1"/>
  <c r="B6248" i="1"/>
  <c r="A6248" i="1"/>
  <c r="D12073" i="1"/>
  <c r="A12073" i="1"/>
  <c r="D11449" i="1"/>
  <c r="A11449" i="1"/>
  <c r="D18006" i="1"/>
  <c r="B18006" i="1"/>
  <c r="A18006" i="1"/>
  <c r="D15270" i="1"/>
  <c r="B15270" i="1"/>
  <c r="A15270" i="1"/>
  <c r="D10096" i="1"/>
  <c r="A10096" i="1"/>
  <c r="D15938" i="1"/>
  <c r="B15938" i="1"/>
  <c r="A15938" i="1"/>
  <c r="D16286" i="1"/>
  <c r="B16286" i="1"/>
  <c r="A16286" i="1"/>
  <c r="D9442" i="1"/>
  <c r="A9442" i="1"/>
  <c r="D7502" i="1"/>
  <c r="B7502" i="1"/>
  <c r="A7502" i="1"/>
  <c r="D15209" i="1"/>
  <c r="B15209" i="1"/>
  <c r="A15209" i="1"/>
  <c r="D18262" i="1"/>
  <c r="B18262" i="1"/>
  <c r="A18262" i="1"/>
  <c r="D13839" i="1"/>
  <c r="B13839" i="1"/>
  <c r="A13839" i="1"/>
  <c r="D9654" i="1"/>
  <c r="B9654" i="1"/>
  <c r="A9654" i="1"/>
  <c r="D6246" i="1"/>
  <c r="B6246" i="1"/>
  <c r="A6246" i="1"/>
  <c r="D10453" i="1"/>
  <c r="A10453" i="1"/>
  <c r="D5580" i="1"/>
  <c r="A5580" i="1"/>
  <c r="D11003" i="1"/>
  <c r="B11003" i="1"/>
  <c r="A11003" i="1"/>
  <c r="D16000" i="1"/>
  <c r="B16000" i="1"/>
  <c r="A16000" i="1"/>
  <c r="D18275" i="1"/>
  <c r="B18275" i="1"/>
  <c r="A18275" i="1"/>
  <c r="D8430" i="1"/>
  <c r="B8430" i="1"/>
  <c r="A8430" i="1"/>
  <c r="D7458" i="1"/>
  <c r="B7458" i="1"/>
  <c r="A7458" i="1"/>
  <c r="D11830" i="1"/>
  <c r="B11830" i="1"/>
  <c r="A11830" i="1"/>
  <c r="D15679" i="1"/>
  <c r="B15679" i="1"/>
  <c r="A15679" i="1"/>
  <c r="D7729" i="1"/>
  <c r="B7729" i="1"/>
  <c r="A7729" i="1"/>
  <c r="D7775" i="1"/>
  <c r="B7775" i="1"/>
  <c r="A7775" i="1"/>
  <c r="D5843" i="1"/>
  <c r="A5843" i="1"/>
  <c r="D11771" i="1"/>
  <c r="B11771" i="1"/>
  <c r="A11771" i="1"/>
  <c r="D13920" i="1"/>
  <c r="B13920" i="1"/>
  <c r="A13920" i="1"/>
  <c r="D12473" i="1"/>
  <c r="A12473" i="1"/>
  <c r="D18617" i="1"/>
  <c r="B18617" i="1"/>
  <c r="A18617" i="1"/>
  <c r="D8493" i="1"/>
  <c r="A8493" i="1"/>
  <c r="D15174" i="1"/>
  <c r="B15174" i="1"/>
  <c r="A15174" i="1"/>
  <c r="D11899" i="1"/>
  <c r="A11899" i="1"/>
  <c r="D10030" i="1"/>
  <c r="A10030" i="1"/>
  <c r="D13583" i="1"/>
  <c r="A13583" i="1"/>
  <c r="D6451" i="1"/>
  <c r="B6451" i="1"/>
  <c r="A6451" i="1"/>
  <c r="D17664" i="1"/>
  <c r="B17664" i="1"/>
  <c r="A17664" i="1"/>
  <c r="D9824" i="1"/>
  <c r="A9824" i="1"/>
  <c r="D14032" i="1"/>
  <c r="B14032" i="1"/>
  <c r="A14032" i="1"/>
  <c r="D16527" i="1"/>
  <c r="C16527" i="1"/>
  <c r="B16527" i="1"/>
  <c r="A16527" i="1"/>
  <c r="D16983" i="1"/>
  <c r="A16983" i="1"/>
  <c r="D15136" i="1"/>
  <c r="B15136" i="1"/>
  <c r="A15136" i="1"/>
  <c r="D9145" i="1"/>
  <c r="A9145" i="1"/>
  <c r="D17694" i="1"/>
  <c r="A17694" i="1"/>
  <c r="D6479" i="1"/>
  <c r="B6479" i="1"/>
  <c r="A6479" i="1"/>
  <c r="D15201" i="1"/>
  <c r="A15201" i="1"/>
  <c r="D14927" i="1"/>
  <c r="B14927" i="1"/>
  <c r="A14927" i="1"/>
  <c r="D11006" i="1"/>
  <c r="A11006" i="1"/>
  <c r="D14078" i="1"/>
  <c r="B14078" i="1"/>
  <c r="A14078" i="1"/>
  <c r="D8252" i="1"/>
  <c r="B8252" i="1"/>
  <c r="A8252" i="1"/>
  <c r="D15979" i="1"/>
  <c r="A15979" i="1"/>
  <c r="D11109" i="1"/>
  <c r="B11109" i="1"/>
  <c r="A11109" i="1"/>
  <c r="D14897" i="1"/>
  <c r="B14897" i="1"/>
  <c r="A14897" i="1"/>
  <c r="D6318" i="1"/>
  <c r="B6318" i="1"/>
  <c r="A6318" i="1"/>
  <c r="D15282" i="1"/>
  <c r="B15282" i="1"/>
  <c r="A15282" i="1"/>
  <c r="D13987" i="1"/>
  <c r="A13987" i="1"/>
  <c r="D12871" i="1"/>
  <c r="A12871" i="1"/>
  <c r="D7734" i="1"/>
  <c r="A7734" i="1"/>
  <c r="D9866" i="1"/>
  <c r="A9866" i="1"/>
  <c r="D14707" i="1"/>
  <c r="B14707" i="1"/>
  <c r="A14707" i="1"/>
  <c r="D8348" i="1"/>
  <c r="B8348" i="1"/>
  <c r="A8348" i="1"/>
  <c r="D15082" i="1"/>
  <c r="B15082" i="1"/>
  <c r="A15082" i="1"/>
  <c r="D18409" i="1"/>
  <c r="A18409" i="1"/>
  <c r="D8074" i="1"/>
  <c r="A8074" i="1"/>
  <c r="D16183" i="1"/>
  <c r="A16183" i="1"/>
  <c r="D10662" i="1"/>
  <c r="A10662" i="1"/>
  <c r="D12931" i="1"/>
  <c r="B12931" i="1"/>
  <c r="A12931" i="1"/>
  <c r="D16402" i="1"/>
  <c r="B16402" i="1"/>
  <c r="A16402" i="1"/>
  <c r="D16105" i="1"/>
  <c r="B16105" i="1"/>
  <c r="A16105" i="1"/>
  <c r="D15355" i="1"/>
  <c r="B15355" i="1"/>
  <c r="A15355" i="1"/>
  <c r="D11102" i="1"/>
  <c r="B11102" i="1"/>
  <c r="A11102" i="1"/>
  <c r="D18403" i="1"/>
  <c r="B18403" i="1"/>
  <c r="A18403" i="1"/>
  <c r="D8635" i="1"/>
  <c r="B8635" i="1"/>
  <c r="A8635" i="1"/>
  <c r="D13390" i="1"/>
  <c r="B13390" i="1"/>
  <c r="A13390" i="1"/>
  <c r="D9287" i="1"/>
  <c r="B9287" i="1"/>
  <c r="A9287" i="1"/>
  <c r="D7583" i="1"/>
  <c r="A7583" i="1"/>
  <c r="D14150" i="1"/>
  <c r="B14150" i="1"/>
  <c r="A14150" i="1"/>
  <c r="D16915" i="1"/>
  <c r="B16915" i="1"/>
  <c r="A16915" i="1"/>
  <c r="D15022" i="1"/>
  <c r="B15022" i="1"/>
  <c r="A15022" i="1"/>
  <c r="D17781" i="1"/>
  <c r="A17781" i="1"/>
  <c r="D5700" i="1"/>
  <c r="A5700" i="1"/>
  <c r="D18047" i="1"/>
  <c r="B18047" i="1"/>
  <c r="A18047" i="1"/>
  <c r="D16067" i="1"/>
  <c r="A16067" i="1"/>
  <c r="D10914" i="1"/>
  <c r="B10914" i="1"/>
  <c r="A10914" i="1"/>
  <c r="D16965" i="1"/>
  <c r="B16965" i="1"/>
  <c r="A16965" i="1"/>
  <c r="D15360" i="1"/>
  <c r="B15360" i="1"/>
  <c r="A15360" i="1"/>
  <c r="D15429" i="1"/>
  <c r="A15429" i="1"/>
  <c r="D18153" i="1"/>
  <c r="B18153" i="1"/>
  <c r="A18153" i="1"/>
  <c r="D6079" i="1"/>
  <c r="A6079" i="1"/>
  <c r="D15167" i="1"/>
  <c r="A15167" i="1"/>
  <c r="D15133" i="1"/>
  <c r="B15133" i="1"/>
  <c r="A15133" i="1"/>
  <c r="D12144" i="1"/>
  <c r="B12144" i="1"/>
  <c r="A12144" i="1"/>
  <c r="D13230" i="1"/>
  <c r="B13230" i="1"/>
  <c r="A13230" i="1"/>
  <c r="D17043" i="1"/>
  <c r="A17043" i="1"/>
  <c r="D16303" i="1"/>
  <c r="A16303" i="1"/>
  <c r="D11922" i="1"/>
  <c r="B11922" i="1"/>
  <c r="A11922" i="1"/>
  <c r="D8030" i="1"/>
  <c r="B8030" i="1"/>
  <c r="A8030" i="1"/>
  <c r="D9377" i="1"/>
  <c r="B9377" i="1"/>
  <c r="A9377" i="1"/>
  <c r="D13468" i="1"/>
  <c r="B13468" i="1"/>
  <c r="A13468" i="1"/>
  <c r="D8111" i="1"/>
  <c r="B8111" i="1"/>
  <c r="A8111" i="1"/>
  <c r="D10346" i="1"/>
  <c r="A10346" i="1"/>
  <c r="D6524" i="1"/>
  <c r="B6524" i="1"/>
  <c r="A6524" i="1"/>
  <c r="D16109" i="1"/>
  <c r="A16109" i="1"/>
  <c r="D15467" i="1"/>
  <c r="B15467" i="1"/>
  <c r="A15467" i="1"/>
  <c r="D18120" i="1"/>
  <c r="A18120" i="1"/>
  <c r="D6101" i="1"/>
  <c r="B6101" i="1"/>
  <c r="A6101" i="1"/>
  <c r="D16420" i="1"/>
  <c r="B16420" i="1"/>
  <c r="A16420" i="1"/>
  <c r="D12703" i="1"/>
  <c r="B12703" i="1"/>
  <c r="A12703" i="1"/>
  <c r="D15690" i="1"/>
  <c r="B15690" i="1"/>
  <c r="A15690" i="1"/>
  <c r="D9553" i="1"/>
  <c r="B9553" i="1"/>
  <c r="A9553" i="1"/>
  <c r="D17329" i="1"/>
  <c r="A17329" i="1"/>
  <c r="D12423" i="1"/>
  <c r="A12423" i="1"/>
  <c r="D7133" i="1"/>
  <c r="B7133" i="1"/>
  <c r="A7133" i="1"/>
  <c r="D6615" i="1"/>
  <c r="A6615" i="1"/>
  <c r="D9156" i="1"/>
  <c r="A9156" i="1"/>
  <c r="D14618" i="1"/>
  <c r="A14618" i="1"/>
  <c r="D7637" i="1"/>
  <c r="A7637" i="1"/>
  <c r="D12453" i="1"/>
  <c r="A12453" i="1"/>
  <c r="D17867" i="1"/>
  <c r="A17867" i="1"/>
  <c r="D5605" i="1"/>
  <c r="A5605" i="1"/>
  <c r="D9576" i="1"/>
  <c r="A9576" i="1"/>
  <c r="D8031" i="1"/>
  <c r="B8031" i="1"/>
  <c r="A8031" i="1"/>
  <c r="D10364" i="1"/>
  <c r="A10364" i="1"/>
  <c r="D9842" i="1"/>
  <c r="A9842" i="1"/>
  <c r="D11142" i="1"/>
  <c r="B11142" i="1"/>
  <c r="A11142" i="1"/>
  <c r="D13103" i="1"/>
  <c r="B13103" i="1"/>
  <c r="A13103" i="1"/>
  <c r="D7416" i="1"/>
  <c r="A7416" i="1"/>
  <c r="D18580" i="1"/>
  <c r="B18580" i="1"/>
  <c r="A18580" i="1"/>
  <c r="D11642" i="1"/>
  <c r="B11642" i="1"/>
  <c r="A11642" i="1"/>
  <c r="D16581" i="1"/>
  <c r="B16581" i="1"/>
  <c r="A16581" i="1"/>
  <c r="D13260" i="1"/>
  <c r="B13260" i="1"/>
  <c r="A13260" i="1"/>
  <c r="D13101" i="1"/>
  <c r="B13101" i="1"/>
  <c r="A13101" i="1"/>
  <c r="D10312" i="1"/>
  <c r="A10312" i="1"/>
  <c r="D7547" i="1"/>
  <c r="A7547" i="1"/>
  <c r="D15073" i="1"/>
  <c r="B15073" i="1"/>
  <c r="A15073" i="1"/>
  <c r="D17535" i="1"/>
  <c r="B17535" i="1"/>
  <c r="A17535" i="1"/>
  <c r="D9622" i="1"/>
  <c r="B9622" i="1"/>
  <c r="A9622" i="1"/>
  <c r="D7164" i="1"/>
  <c r="B7164" i="1"/>
  <c r="A7164" i="1"/>
  <c r="D7353" i="1"/>
  <c r="B7353" i="1"/>
  <c r="A7353" i="1"/>
  <c r="D12064" i="1"/>
  <c r="A12064" i="1"/>
  <c r="D9916" i="1"/>
  <c r="B9916" i="1"/>
  <c r="A9916" i="1"/>
  <c r="D14757" i="1"/>
  <c r="B14757" i="1"/>
  <c r="A14757" i="1"/>
  <c r="D10889" i="1"/>
  <c r="B10889" i="1"/>
  <c r="A10889" i="1"/>
  <c r="D11351" i="1"/>
  <c r="B11351" i="1"/>
  <c r="A11351" i="1"/>
  <c r="D18575" i="1"/>
  <c r="B18575" i="1"/>
  <c r="A18575" i="1"/>
  <c r="D17607" i="1"/>
  <c r="B17607" i="1"/>
  <c r="A17607" i="1"/>
  <c r="D7382" i="1"/>
  <c r="B7382" i="1"/>
  <c r="A7382" i="1"/>
  <c r="D14954" i="1"/>
  <c r="B14954" i="1"/>
  <c r="A14954" i="1"/>
  <c r="D12774" i="1"/>
  <c r="B12774" i="1"/>
  <c r="A12774" i="1"/>
  <c r="D15997" i="1"/>
  <c r="B15997" i="1"/>
  <c r="A15997" i="1"/>
  <c r="D14904" i="1"/>
  <c r="A14904" i="1"/>
  <c r="D16034" i="1"/>
  <c r="B16034" i="1"/>
  <c r="A16034" i="1"/>
  <c r="D14847" i="1"/>
  <c r="B14847" i="1"/>
  <c r="A14847" i="1"/>
  <c r="D13851" i="1"/>
  <c r="A13851" i="1"/>
  <c r="D18131" i="1"/>
  <c r="A18131" i="1"/>
  <c r="D11110" i="1"/>
  <c r="B11110" i="1"/>
  <c r="A11110" i="1"/>
  <c r="D17622" i="1"/>
  <c r="B17622" i="1"/>
  <c r="A17622" i="1"/>
  <c r="D11981" i="1"/>
  <c r="A11981" i="1"/>
  <c r="D16126" i="1"/>
  <c r="B16126" i="1"/>
  <c r="A16126" i="1"/>
  <c r="D15828" i="1"/>
  <c r="A15828" i="1"/>
  <c r="D15683" i="1"/>
  <c r="B15683" i="1"/>
  <c r="A15683" i="1"/>
  <c r="D17461" i="1"/>
  <c r="A17461" i="1"/>
  <c r="D7387" i="1"/>
  <c r="C7387" i="1"/>
  <c r="B7387" i="1"/>
  <c r="A7387" i="1"/>
  <c r="D10500" i="1"/>
  <c r="B10500" i="1"/>
  <c r="A10500" i="1"/>
  <c r="D10317" i="1"/>
  <c r="A10317" i="1"/>
  <c r="D15428" i="1"/>
  <c r="A15428" i="1"/>
  <c r="D15278" i="1"/>
  <c r="A15278" i="1"/>
  <c r="D15421" i="1"/>
  <c r="B15421" i="1"/>
  <c r="A15421" i="1"/>
  <c r="D15050" i="1"/>
  <c r="B15050" i="1"/>
  <c r="A15050" i="1"/>
  <c r="D14101" i="1"/>
  <c r="A14101" i="1"/>
  <c r="D14849" i="1"/>
  <c r="B14849" i="1"/>
  <c r="A14849" i="1"/>
  <c r="D8106" i="1"/>
  <c r="B8106" i="1"/>
  <c r="A8106" i="1"/>
  <c r="D8965" i="1"/>
  <c r="A8965" i="1"/>
  <c r="D8136" i="1"/>
  <c r="A8136" i="1"/>
  <c r="D17551" i="1"/>
  <c r="A17551" i="1"/>
  <c r="D7346" i="1"/>
  <c r="A7346" i="1"/>
  <c r="D15687" i="1"/>
  <c r="A15687" i="1"/>
  <c r="D11504" i="1"/>
  <c r="A11504" i="1"/>
  <c r="D12685" i="1"/>
  <c r="B12685" i="1"/>
  <c r="A12685" i="1"/>
  <c r="D10586" i="1"/>
  <c r="A10586" i="1"/>
  <c r="D11785" i="1"/>
  <c r="A11785" i="1"/>
  <c r="D15371" i="1"/>
  <c r="B15371" i="1"/>
  <c r="A15371" i="1"/>
  <c r="D16627" i="1"/>
  <c r="B16627" i="1"/>
  <c r="A16627" i="1"/>
  <c r="D17588" i="1"/>
  <c r="A17588" i="1"/>
  <c r="D15122" i="1"/>
  <c r="B15122" i="1"/>
  <c r="A15122" i="1"/>
  <c r="D10644" i="1"/>
  <c r="A10644" i="1"/>
  <c r="D11927" i="1"/>
  <c r="A11927" i="1"/>
  <c r="D18558" i="1"/>
  <c r="A18558" i="1"/>
  <c r="D6825" i="1"/>
  <c r="A6825" i="1"/>
  <c r="D5459" i="1"/>
  <c r="A5459" i="1"/>
  <c r="D16149" i="1"/>
  <c r="A16149" i="1"/>
  <c r="D5760" i="1"/>
  <c r="A5760" i="1"/>
  <c r="D12908" i="1"/>
  <c r="A12908" i="1"/>
  <c r="D7311" i="1"/>
  <c r="A7311" i="1"/>
  <c r="D15426" i="1"/>
  <c r="A15426" i="1"/>
  <c r="D18644" i="1"/>
  <c r="A18644" i="1"/>
  <c r="D9958" i="1"/>
  <c r="A9958" i="1"/>
  <c r="D18692" i="1"/>
  <c r="B18692" i="1"/>
  <c r="A18692" i="1"/>
  <c r="D18484" i="1"/>
  <c r="A18484" i="1"/>
  <c r="D10395" i="1"/>
  <c r="A10395" i="1"/>
  <c r="D12077" i="1"/>
  <c r="A12077" i="1"/>
  <c r="D9984" i="1"/>
  <c r="A9984" i="1"/>
  <c r="D18067" i="1"/>
  <c r="B18067" i="1"/>
  <c r="A18067" i="1"/>
  <c r="D14942" i="1"/>
  <c r="B14942" i="1"/>
  <c r="A14942" i="1"/>
  <c r="D15300" i="1"/>
  <c r="B15300" i="1"/>
  <c r="A15300" i="1"/>
  <c r="D12000" i="1"/>
  <c r="A12000" i="1"/>
  <c r="D18277" i="1"/>
  <c r="A18277" i="1"/>
  <c r="D6501" i="1"/>
  <c r="A6501" i="1"/>
  <c r="D5781" i="1"/>
  <c r="A5781" i="1"/>
  <c r="D5857" i="1"/>
  <c r="A5857" i="1"/>
  <c r="D5690" i="1"/>
  <c r="A5690" i="1"/>
  <c r="D5713" i="1"/>
  <c r="A5713" i="1"/>
  <c r="D15694" i="1"/>
  <c r="B15694" i="1"/>
  <c r="A15694" i="1"/>
  <c r="D8068" i="1"/>
  <c r="B8068" i="1"/>
  <c r="A8068" i="1"/>
  <c r="D11905" i="1"/>
  <c r="B11905" i="1"/>
  <c r="A11905" i="1"/>
  <c r="D8981" i="1"/>
  <c r="B8981" i="1"/>
  <c r="A8981" i="1"/>
  <c r="D6807" i="1"/>
  <c r="B6807" i="1"/>
  <c r="A6807" i="1"/>
  <c r="D17968" i="1"/>
  <c r="A17968" i="1"/>
  <c r="D12150" i="1"/>
  <c r="B12150" i="1"/>
  <c r="A12150" i="1"/>
  <c r="D9299" i="1"/>
  <c r="B9299" i="1"/>
  <c r="A9299" i="1"/>
  <c r="D15485" i="1"/>
  <c r="B15485" i="1"/>
  <c r="A15485" i="1"/>
  <c r="D15903" i="1"/>
  <c r="A15903" i="1"/>
  <c r="D6899" i="1"/>
  <c r="A6899" i="1"/>
  <c r="D10374" i="1"/>
  <c r="A10374" i="1"/>
  <c r="D6340" i="1"/>
  <c r="A6340" i="1"/>
  <c r="D7174" i="1"/>
  <c r="A7174" i="1"/>
  <c r="D11451" i="1"/>
  <c r="A11451" i="1"/>
  <c r="D15563" i="1"/>
  <c r="A15563" i="1"/>
  <c r="D18571" i="1"/>
  <c r="A18571" i="1"/>
  <c r="D9606" i="1"/>
  <c r="A9606" i="1"/>
  <c r="D9003" i="1"/>
  <c r="A9003" i="1"/>
  <c r="D10245" i="1"/>
  <c r="A10245" i="1"/>
  <c r="D10246" i="1"/>
  <c r="A10246" i="1"/>
  <c r="D18761" i="1"/>
  <c r="A18761" i="1"/>
  <c r="D18758" i="1"/>
  <c r="A18758" i="1"/>
  <c r="D7035" i="1"/>
  <c r="A7035" i="1"/>
  <c r="D7031" i="1"/>
  <c r="A7031" i="1"/>
  <c r="D10059" i="1"/>
  <c r="A10059" i="1"/>
  <c r="D9967" i="1"/>
  <c r="A9967" i="1"/>
  <c r="D6977" i="1"/>
  <c r="A6977" i="1"/>
  <c r="D5444" i="1"/>
  <c r="A5444" i="1"/>
  <c r="D7611" i="1"/>
  <c r="A7611" i="1"/>
  <c r="D9200" i="1"/>
  <c r="A9200" i="1"/>
  <c r="D16871" i="1"/>
  <c r="A16871" i="1"/>
  <c r="D7192" i="1"/>
  <c r="A7192" i="1"/>
  <c r="D15684" i="1"/>
  <c r="A15684" i="1"/>
  <c r="D7565" i="1"/>
  <c r="A7565" i="1"/>
  <c r="D9995" i="1"/>
  <c r="A9995" i="1"/>
  <c r="D13992" i="1"/>
  <c r="A13992" i="1"/>
  <c r="D7521" i="1"/>
  <c r="A7521" i="1"/>
  <c r="D5497" i="1"/>
  <c r="A5497" i="1"/>
  <c r="D18614" i="1"/>
  <c r="A18614" i="1"/>
  <c r="D18657" i="1"/>
  <c r="A18657" i="1"/>
  <c r="D9687" i="1"/>
  <c r="A9687" i="1"/>
  <c r="D10399" i="1"/>
  <c r="A10399" i="1"/>
  <c r="D10455" i="1"/>
  <c r="A10455" i="1"/>
  <c r="D5912" i="1"/>
  <c r="A5912" i="1"/>
  <c r="D16243" i="1"/>
  <c r="A16243" i="1"/>
  <c r="D15613" i="1"/>
  <c r="A15613" i="1"/>
  <c r="D5914" i="1"/>
  <c r="B5914" i="1"/>
  <c r="A5914" i="1"/>
  <c r="D16134" i="1"/>
  <c r="A16134" i="1"/>
  <c r="D10415" i="1"/>
  <c r="A10415" i="1"/>
  <c r="D6955" i="1"/>
  <c r="A6955" i="1"/>
  <c r="D7389" i="1"/>
  <c r="A7389" i="1"/>
  <c r="D16192" i="1"/>
  <c r="A16192" i="1"/>
  <c r="D11911" i="1"/>
  <c r="A11911" i="1"/>
  <c r="D16141" i="1"/>
  <c r="A16141" i="1"/>
  <c r="D16311" i="1"/>
  <c r="A16311" i="1"/>
  <c r="D16269" i="1"/>
  <c r="A16269" i="1"/>
  <c r="D11992" i="1"/>
  <c r="A11992" i="1"/>
  <c r="D10300" i="1"/>
  <c r="A10300" i="1"/>
  <c r="D5492" i="1"/>
  <c r="A5492" i="1"/>
  <c r="D15699" i="1"/>
  <c r="A15699" i="1"/>
  <c r="D9412" i="1"/>
  <c r="A9412" i="1"/>
  <c r="D12219" i="1"/>
  <c r="A12219" i="1"/>
  <c r="D12881" i="1"/>
  <c r="A12881" i="1"/>
  <c r="D8946" i="1"/>
  <c r="A8946" i="1"/>
  <c r="D14845" i="1"/>
  <c r="B14845" i="1"/>
  <c r="A14845" i="1"/>
  <c r="D9350" i="1"/>
  <c r="A9350" i="1"/>
  <c r="D16941" i="1"/>
  <c r="A16941" i="1"/>
  <c r="D7540" i="1"/>
  <c r="A7540" i="1"/>
  <c r="D15722" i="1"/>
  <c r="A15722" i="1"/>
  <c r="D10408" i="1"/>
  <c r="A10408" i="1"/>
  <c r="D16127" i="1"/>
  <c r="A16127" i="1"/>
  <c r="D5525" i="1"/>
  <c r="A5525" i="1"/>
  <c r="D10723" i="1"/>
  <c r="A10723" i="1"/>
  <c r="D10849" i="1"/>
  <c r="A10849" i="1"/>
  <c r="D15217" i="1"/>
  <c r="B15217" i="1"/>
  <c r="A15217" i="1"/>
  <c r="D9131" i="1"/>
  <c r="A9131" i="1"/>
  <c r="D11470" i="1"/>
  <c r="A11470" i="1"/>
  <c r="D6505" i="1"/>
  <c r="A6505" i="1"/>
  <c r="D9680" i="1"/>
  <c r="A9680" i="1"/>
  <c r="D7027" i="1"/>
  <c r="A7027" i="1"/>
  <c r="D7028" i="1"/>
  <c r="A7028" i="1"/>
  <c r="D15194" i="1"/>
  <c r="B15194" i="1"/>
  <c r="A15194" i="1"/>
  <c r="D7850" i="1"/>
  <c r="A7850" i="1"/>
  <c r="D18472" i="1"/>
  <c r="A18472" i="1"/>
  <c r="D11951" i="1"/>
  <c r="B11951" i="1"/>
  <c r="A11951" i="1"/>
  <c r="D15777" i="1"/>
  <c r="A15777" i="1"/>
  <c r="D16354" i="1"/>
  <c r="A16354" i="1"/>
  <c r="D18634" i="1"/>
  <c r="B18634" i="1"/>
  <c r="A18634" i="1"/>
  <c r="D12006" i="1"/>
  <c r="B12006" i="1"/>
  <c r="A12006" i="1"/>
  <c r="D9633" i="1"/>
  <c r="A9633" i="1"/>
  <c r="D9561" i="1"/>
  <c r="A9561" i="1"/>
  <c r="D17752" i="1"/>
  <c r="A17752" i="1"/>
  <c r="D14989" i="1"/>
  <c r="B14989" i="1"/>
  <c r="A14989" i="1"/>
  <c r="D15262" i="1"/>
  <c r="B15262" i="1"/>
  <c r="A15262" i="1"/>
  <c r="D12466" i="1"/>
  <c r="A12466" i="1"/>
  <c r="D15317" i="1"/>
  <c r="B15317" i="1"/>
  <c r="A15317" i="1"/>
  <c r="D15069" i="1"/>
  <c r="B15069" i="1"/>
  <c r="A15069" i="1"/>
  <c r="D15266" i="1"/>
  <c r="B15266" i="1"/>
  <c r="A15266" i="1"/>
  <c r="D15039" i="1"/>
  <c r="B15039" i="1"/>
  <c r="A15039" i="1"/>
  <c r="D11782" i="1"/>
  <c r="B11782" i="1"/>
  <c r="A11782" i="1"/>
  <c r="D11892" i="1"/>
  <c r="A11892" i="1"/>
  <c r="D17199" i="1"/>
  <c r="A17199" i="1"/>
  <c r="D16957" i="1"/>
  <c r="B16957" i="1"/>
  <c r="A16957" i="1"/>
  <c r="D6330" i="1"/>
  <c r="A6330" i="1"/>
  <c r="D7572" i="1"/>
  <c r="A7572" i="1"/>
  <c r="D18328" i="1"/>
  <c r="A18328" i="1"/>
  <c r="D7813" i="1"/>
  <c r="A7813" i="1"/>
  <c r="D13264" i="1"/>
  <c r="B13264" i="1"/>
  <c r="A13264" i="1"/>
  <c r="D9330" i="1"/>
  <c r="B9330" i="1"/>
  <c r="A9330" i="1"/>
  <c r="D15030" i="1"/>
  <c r="B15030" i="1"/>
  <c r="A15030" i="1"/>
  <c r="D15544" i="1"/>
  <c r="B15544" i="1"/>
  <c r="A15544" i="1"/>
  <c r="D16991" i="1"/>
  <c r="B16991" i="1"/>
  <c r="A16991" i="1"/>
  <c r="D14967" i="1"/>
  <c r="A14967" i="1"/>
  <c r="D14979" i="1"/>
  <c r="A14979" i="1"/>
  <c r="D15397" i="1"/>
  <c r="A15397" i="1"/>
  <c r="D18708" i="1"/>
  <c r="A18708" i="1"/>
  <c r="D9135" i="1"/>
  <c r="A9135" i="1"/>
  <c r="D15462" i="1"/>
  <c r="B15462" i="1"/>
  <c r="A15462" i="1"/>
  <c r="D5485" i="1"/>
  <c r="A5485" i="1"/>
  <c r="D9271" i="1"/>
  <c r="A9271" i="1"/>
  <c r="D9268" i="1"/>
  <c r="B9268" i="1"/>
  <c r="A9268" i="1"/>
  <c r="D12120" i="1"/>
  <c r="A12120" i="1"/>
  <c r="D14962" i="1"/>
  <c r="A14962" i="1"/>
  <c r="D14820" i="1"/>
  <c r="A14820" i="1"/>
  <c r="D15540" i="1"/>
  <c r="B15540" i="1"/>
  <c r="A15540" i="1"/>
  <c r="D15336" i="1"/>
  <c r="B15336" i="1"/>
  <c r="A15336" i="1"/>
  <c r="D15349" i="1"/>
  <c r="A15349" i="1"/>
  <c r="D15913" i="1"/>
  <c r="A15913" i="1"/>
  <c r="D17047" i="1"/>
  <c r="A17047" i="1"/>
  <c r="D12903" i="1"/>
  <c r="A12903" i="1"/>
  <c r="D10140" i="1"/>
  <c r="A10140" i="1"/>
  <c r="D9035" i="1"/>
  <c r="A9035" i="1"/>
  <c r="D6992" i="1"/>
  <c r="A6992" i="1"/>
  <c r="D5548" i="1"/>
  <c r="A5548" i="1"/>
  <c r="D8112" i="1"/>
  <c r="B8112" i="1"/>
  <c r="A8112" i="1"/>
  <c r="D5423" i="1"/>
  <c r="A5423" i="1"/>
  <c r="D7720" i="1"/>
  <c r="B7720" i="1"/>
  <c r="A7720" i="1"/>
  <c r="D9370" i="1"/>
  <c r="A9370" i="1"/>
  <c r="D10197" i="1"/>
  <c r="A10197" i="1"/>
  <c r="D10606" i="1"/>
  <c r="A10606" i="1"/>
  <c r="D12236" i="1"/>
  <c r="A12236" i="1"/>
  <c r="D8489" i="1"/>
  <c r="A8489" i="1"/>
  <c r="D6244" i="1"/>
  <c r="A6244" i="1"/>
  <c r="D10256" i="1"/>
  <c r="A10256" i="1"/>
  <c r="D15358" i="1"/>
  <c r="A15358" i="1"/>
  <c r="D9972" i="1"/>
  <c r="A9972" i="1"/>
  <c r="D10717" i="1"/>
  <c r="A10717" i="1"/>
  <c r="D10596" i="1"/>
  <c r="A10596" i="1"/>
  <c r="D12190" i="1"/>
  <c r="A12190" i="1"/>
  <c r="D5409" i="1"/>
  <c r="A5409" i="1"/>
  <c r="D16340" i="1"/>
  <c r="A16340" i="1"/>
  <c r="D9733" i="1"/>
  <c r="A9733" i="1"/>
  <c r="D7355" i="1"/>
  <c r="A7355" i="1"/>
  <c r="D9808" i="1"/>
  <c r="A9808" i="1"/>
  <c r="D9502" i="1"/>
  <c r="A9502" i="1"/>
  <c r="D6911" i="1"/>
  <c r="A6911" i="1"/>
  <c r="D12123" i="1"/>
  <c r="A12123" i="1"/>
  <c r="D16005" i="1"/>
  <c r="A16005" i="1"/>
  <c r="D9981" i="1"/>
  <c r="A9981" i="1"/>
  <c r="D5541" i="1"/>
  <c r="A5541" i="1"/>
  <c r="D5391" i="1"/>
  <c r="A5391" i="1"/>
  <c r="D5797" i="1"/>
  <c r="A5797" i="1"/>
  <c r="D5830" i="1"/>
  <c r="A5830" i="1"/>
  <c r="D5408" i="1"/>
  <c r="A5408" i="1"/>
  <c r="D13916" i="1"/>
  <c r="A13916" i="1"/>
  <c r="D15975" i="1"/>
  <c r="A15975" i="1"/>
  <c r="D6735" i="1"/>
  <c r="A6735" i="1"/>
  <c r="D5384" i="1"/>
  <c r="A5384" i="1"/>
  <c r="D5755" i="1"/>
  <c r="A5755" i="1"/>
  <c r="D12224" i="1"/>
  <c r="A12224" i="1"/>
  <c r="D5360" i="1"/>
  <c r="A5360" i="1"/>
  <c r="D6311" i="1"/>
  <c r="A6311" i="1"/>
  <c r="D5729" i="1"/>
  <c r="A5729" i="1"/>
  <c r="D5778" i="1"/>
  <c r="A5778" i="1"/>
  <c r="D5680" i="1"/>
  <c r="A5680" i="1"/>
  <c r="D5842" i="1"/>
  <c r="A5842" i="1"/>
  <c r="D10180" i="1"/>
  <c r="A10180" i="1"/>
  <c r="D5503" i="1"/>
  <c r="A5503" i="1"/>
  <c r="D5828" i="1"/>
  <c r="A5828" i="1"/>
  <c r="D5380" i="1"/>
  <c r="A5380" i="1"/>
  <c r="D5866" i="1"/>
  <c r="A5866" i="1"/>
  <c r="D5430" i="1"/>
  <c r="A5430" i="1"/>
  <c r="D7148" i="1"/>
  <c r="A7148" i="1"/>
  <c r="D5362" i="1"/>
  <c r="A5362" i="1"/>
  <c r="D5477" i="1"/>
  <c r="A5477" i="1"/>
  <c r="D5483" i="1"/>
  <c r="A5483" i="1"/>
  <c r="D15864" i="1"/>
  <c r="A15864" i="1"/>
  <c r="D5636" i="1"/>
  <c r="A5636" i="1"/>
  <c r="D12112" i="1"/>
  <c r="A12112" i="1"/>
  <c r="D10382" i="1"/>
  <c r="B10382" i="1"/>
  <c r="A10382" i="1"/>
  <c r="D15007" i="1"/>
  <c r="B15007" i="1"/>
  <c r="A15007" i="1"/>
  <c r="D15415" i="1"/>
  <c r="B15415" i="1"/>
  <c r="A15415" i="1"/>
  <c r="D18117" i="1"/>
  <c r="A18117" i="1"/>
  <c r="D17919" i="1"/>
  <c r="A17919" i="1"/>
  <c r="D18142" i="1"/>
  <c r="A18142" i="1"/>
  <c r="D9155" i="1"/>
  <c r="A9155" i="1"/>
  <c r="D5439" i="1"/>
  <c r="A5439" i="1"/>
  <c r="D5433" i="1"/>
  <c r="A5433" i="1"/>
  <c r="D7770" i="1"/>
  <c r="A7770" i="1"/>
  <c r="D17227" i="1"/>
  <c r="A17227" i="1"/>
  <c r="D5793" i="1"/>
  <c r="A5793" i="1"/>
  <c r="D5790" i="1"/>
  <c r="A5790" i="1"/>
  <c r="D5451" i="1"/>
  <c r="A5451" i="1"/>
  <c r="D5794" i="1"/>
  <c r="A5794" i="1"/>
  <c r="D5762" i="1"/>
  <c r="A5762" i="1"/>
  <c r="D17558" i="1"/>
  <c r="B17558" i="1"/>
  <c r="A17558" i="1"/>
  <c r="D5769" i="1"/>
  <c r="A5769" i="1"/>
  <c r="D5780" i="1"/>
  <c r="A5780" i="1"/>
  <c r="D16857" i="1"/>
  <c r="A16857" i="1"/>
  <c r="D5777" i="1"/>
  <c r="A5777" i="1"/>
  <c r="D5859" i="1"/>
  <c r="A5859" i="1"/>
  <c r="D5630" i="1"/>
  <c r="A5630" i="1"/>
  <c r="D5607" i="1"/>
  <c r="A5607" i="1"/>
  <c r="D5817" i="1"/>
  <c r="A5817" i="1"/>
  <c r="D5647" i="1"/>
  <c r="A5647" i="1"/>
  <c r="D5346" i="1"/>
  <c r="A5346" i="1"/>
  <c r="D5707" i="1"/>
  <c r="A5707" i="1"/>
  <c r="D5530" i="1"/>
  <c r="A5530" i="1"/>
  <c r="D5799" i="1"/>
  <c r="A5799" i="1"/>
  <c r="D5721" i="1"/>
  <c r="A5721" i="1"/>
  <c r="D5695" i="1"/>
  <c r="A5695" i="1"/>
  <c r="D5645" i="1"/>
  <c r="A5645" i="1"/>
  <c r="D5611" i="1"/>
  <c r="A5611" i="1"/>
  <c r="D5719" i="1"/>
  <c r="A5719" i="1"/>
  <c r="D5858" i="1"/>
  <c r="A5858" i="1"/>
  <c r="D5792" i="1"/>
  <c r="A5792" i="1"/>
  <c r="D5768" i="1"/>
  <c r="A5768" i="1"/>
  <c r="D5468" i="1"/>
  <c r="A5468" i="1"/>
  <c r="D5833" i="1"/>
  <c r="A5833" i="1"/>
  <c r="D5372" i="1"/>
  <c r="A5372" i="1"/>
  <c r="D5381" i="1"/>
  <c r="A5381" i="1"/>
  <c r="D5796" i="1"/>
  <c r="A5796" i="1"/>
  <c r="D11801" i="1"/>
  <c r="B11801" i="1"/>
  <c r="A11801" i="1"/>
  <c r="D5757" i="1"/>
  <c r="A5757" i="1"/>
  <c r="D12694" i="1"/>
  <c r="B12694" i="1"/>
  <c r="A12694" i="1"/>
  <c r="D5475" i="1"/>
  <c r="A5475" i="1"/>
  <c r="D17533" i="1"/>
  <c r="B17533" i="1"/>
  <c r="A17533" i="1"/>
  <c r="D5681" i="1"/>
  <c r="A5681" i="1"/>
  <c r="D5813" i="1"/>
  <c r="A5813" i="1"/>
  <c r="D5827" i="1"/>
  <c r="A5827" i="1"/>
  <c r="D5375" i="1"/>
  <c r="A5375" i="1"/>
  <c r="D5369" i="1"/>
  <c r="A5369" i="1"/>
  <c r="D5785" i="1"/>
  <c r="A5785" i="1"/>
  <c r="D5770" i="1"/>
  <c r="A5770" i="1"/>
  <c r="D5565" i="1"/>
  <c r="A5565" i="1"/>
  <c r="D5479" i="1"/>
  <c r="A5479" i="1"/>
  <c r="D5615" i="1"/>
  <c r="A5615" i="1"/>
  <c r="D5536" i="1"/>
  <c r="A5536" i="1"/>
  <c r="D5804" i="1"/>
  <c r="A5804" i="1"/>
  <c r="D5593" i="1"/>
  <c r="A5593" i="1"/>
  <c r="D5586" i="1"/>
  <c r="A5586" i="1"/>
  <c r="D5693" i="1"/>
  <c r="A5693" i="1"/>
  <c r="D10402" i="1"/>
  <c r="A10402" i="1"/>
  <c r="D5631" i="1"/>
  <c r="A5631" i="1"/>
  <c r="D5610" i="1"/>
  <c r="A5610" i="1"/>
  <c r="D5595" i="1"/>
  <c r="A5595" i="1"/>
  <c r="D5596" i="1"/>
  <c r="A5596" i="1"/>
  <c r="D5534" i="1"/>
  <c r="A5534" i="1"/>
  <c r="D15688" i="1"/>
  <c r="C15688" i="1"/>
  <c r="B15688" i="1"/>
  <c r="A15688" i="1"/>
  <c r="D9880" i="1"/>
  <c r="A9880" i="1"/>
  <c r="D15969" i="1"/>
  <c r="A15969" i="1"/>
  <c r="D14446" i="1"/>
  <c r="B14446" i="1"/>
  <c r="A14446" i="1"/>
  <c r="D18728" i="1"/>
  <c r="A18728" i="1"/>
  <c r="D9479" i="1"/>
  <c r="A9479" i="1"/>
  <c r="D6659" i="1"/>
  <c r="B6659" i="1"/>
  <c r="A6659" i="1"/>
  <c r="D6658" i="1"/>
  <c r="A6658" i="1"/>
  <c r="D10570" i="1"/>
  <c r="A10570" i="1"/>
  <c r="D18685" i="1"/>
  <c r="B18685" i="1"/>
  <c r="A18685" i="1"/>
  <c r="D7313" i="1"/>
  <c r="A7313" i="1"/>
  <c r="D9073" i="1"/>
  <c r="A9073" i="1"/>
  <c r="D8483" i="1"/>
  <c r="A8483" i="1"/>
  <c r="D12880" i="1"/>
  <c r="A12880" i="1"/>
  <c r="D18536" i="1"/>
  <c r="B18536" i="1"/>
  <c r="A18536" i="1"/>
  <c r="D17120" i="1"/>
  <c r="A17120" i="1"/>
  <c r="D11936" i="1"/>
  <c r="A11936" i="1"/>
  <c r="D10688" i="1"/>
  <c r="A10688" i="1"/>
  <c r="D10218" i="1"/>
  <c r="A10218" i="1"/>
  <c r="D14125" i="1"/>
  <c r="A14125" i="1"/>
  <c r="D11468" i="1"/>
  <c r="A11468" i="1"/>
  <c r="D10447" i="1"/>
  <c r="A10447" i="1"/>
  <c r="D18513" i="1"/>
  <c r="B18513" i="1"/>
  <c r="A18513" i="1"/>
  <c r="D17196" i="1"/>
  <c r="A17196" i="1"/>
  <c r="D18296" i="1"/>
  <c r="A18296" i="1"/>
  <c r="D18295" i="1"/>
  <c r="A18295" i="1"/>
  <c r="D18313" i="1"/>
  <c r="A18313" i="1"/>
  <c r="D8773" i="1"/>
  <c r="B8773" i="1"/>
  <c r="A8773" i="1"/>
  <c r="D17691" i="1"/>
  <c r="B17691" i="1"/>
  <c r="A17691" i="1"/>
  <c r="D16971" i="1"/>
  <c r="A16971" i="1"/>
  <c r="D7026" i="1"/>
  <c r="A7026" i="1"/>
  <c r="D16249" i="1"/>
  <c r="A16249" i="1"/>
  <c r="D5531" i="1"/>
  <c r="A5531" i="1"/>
  <c r="D16222" i="1"/>
  <c r="A16222" i="1"/>
  <c r="D16223" i="1"/>
  <c r="A16223" i="1"/>
  <c r="D16124" i="1"/>
  <c r="A16124" i="1"/>
  <c r="D10522" i="1"/>
  <c r="A10522" i="1"/>
  <c r="D9857" i="1"/>
  <c r="A9857" i="1"/>
  <c r="D14858" i="1"/>
  <c r="B14858" i="1"/>
  <c r="A14858" i="1"/>
  <c r="D6611" i="1"/>
  <c r="A6611" i="1"/>
  <c r="D9764" i="1"/>
  <c r="A9764" i="1"/>
  <c r="D9767" i="1"/>
  <c r="A9767" i="1"/>
  <c r="D12041" i="1"/>
  <c r="A12041" i="1"/>
  <c r="D14768" i="1"/>
  <c r="B14768" i="1"/>
  <c r="A14768" i="1"/>
  <c r="D11950" i="1"/>
  <c r="A11950" i="1"/>
  <c r="D10851" i="1"/>
  <c r="A10851" i="1"/>
  <c r="D7084" i="1"/>
  <c r="A7084" i="1"/>
  <c r="D7066" i="1"/>
  <c r="A7066" i="1"/>
  <c r="D7394" i="1"/>
  <c r="A7394" i="1"/>
  <c r="D8067" i="1"/>
  <c r="B8067" i="1"/>
  <c r="A8067" i="1"/>
  <c r="D17830" i="1"/>
  <c r="A17830" i="1"/>
  <c r="D7166" i="1"/>
  <c r="B7166" i="1"/>
  <c r="A7166" i="1"/>
  <c r="D6064" i="1"/>
  <c r="A6064" i="1"/>
  <c r="D8065" i="1"/>
  <c r="B8065" i="1"/>
  <c r="A8065" i="1"/>
  <c r="D11835" i="1"/>
  <c r="B11835" i="1"/>
  <c r="A11835" i="1"/>
  <c r="D9506" i="1"/>
  <c r="A9506" i="1"/>
  <c r="D18549" i="1"/>
  <c r="B18549" i="1"/>
  <c r="A18549" i="1"/>
  <c r="D16038" i="1"/>
  <c r="B16038" i="1"/>
  <c r="A16038" i="1"/>
  <c r="D8980" i="1"/>
  <c r="B8980" i="1"/>
  <c r="A8980" i="1"/>
  <c r="D12773" i="1"/>
  <c r="B12773" i="1"/>
  <c r="A12773" i="1"/>
  <c r="D6852" i="1"/>
  <c r="A6852" i="1"/>
  <c r="D17815" i="1"/>
  <c r="A17815" i="1"/>
  <c r="D17492" i="1"/>
  <c r="A17492" i="1"/>
  <c r="D9028" i="1"/>
  <c r="A9028" i="1"/>
  <c r="D9026" i="1"/>
  <c r="A9026" i="1"/>
  <c r="D17704" i="1"/>
  <c r="A17704" i="1"/>
  <c r="D17413" i="1"/>
  <c r="A17413" i="1"/>
  <c r="D17977" i="1"/>
  <c r="A17977" i="1"/>
  <c r="D10144" i="1"/>
  <c r="A10144" i="1"/>
  <c r="D5507" i="1"/>
  <c r="A5507" i="1"/>
  <c r="D10534" i="1"/>
  <c r="A10534" i="1"/>
  <c r="D18060" i="1"/>
  <c r="A18060" i="1"/>
  <c r="D15911" i="1"/>
  <c r="A15911" i="1"/>
  <c r="D7096" i="1"/>
  <c r="A7096" i="1"/>
  <c r="D5546" i="1"/>
  <c r="A5546" i="1"/>
  <c r="D7054" i="1"/>
  <c r="A7054" i="1"/>
  <c r="D7053" i="1"/>
  <c r="A7053" i="1"/>
  <c r="D5432" i="1"/>
  <c r="A5432" i="1"/>
  <c r="D10457" i="1"/>
  <c r="A10457" i="1"/>
  <c r="D10154" i="1"/>
  <c r="A10154" i="1"/>
  <c r="D11874" i="1"/>
  <c r="A11874" i="1"/>
  <c r="D16162" i="1"/>
  <c r="A16162" i="1"/>
  <c r="D14053" i="1"/>
  <c r="B14053" i="1"/>
  <c r="A14053" i="1"/>
  <c r="D5524" i="1"/>
  <c r="A5524" i="1"/>
  <c r="D7238" i="1"/>
  <c r="A7238" i="1"/>
  <c r="D7619" i="1"/>
  <c r="A7619" i="1"/>
  <c r="D17061" i="1"/>
  <c r="A17061" i="1"/>
  <c r="D18194" i="1"/>
  <c r="A18194" i="1"/>
  <c r="D13435" i="1"/>
  <c r="A13435" i="1"/>
  <c r="D17378" i="1"/>
  <c r="A17378" i="1"/>
  <c r="D18599" i="1"/>
  <c r="A18599" i="1"/>
  <c r="D5528" i="1"/>
  <c r="A5528" i="1"/>
  <c r="D8058" i="1"/>
  <c r="B8058" i="1"/>
  <c r="A8058" i="1"/>
  <c r="D12868" i="1"/>
  <c r="A12868" i="1"/>
  <c r="D17054" i="1"/>
  <c r="A17054" i="1"/>
  <c r="D18157" i="1"/>
  <c r="A18157" i="1"/>
  <c r="D6496" i="1"/>
  <c r="A6496" i="1"/>
  <c r="D13501" i="1"/>
  <c r="B13501" i="1"/>
  <c r="A13501" i="1"/>
  <c r="D12586" i="1"/>
  <c r="A12586" i="1"/>
  <c r="D9140" i="1"/>
  <c r="A9140" i="1"/>
  <c r="D13266" i="1"/>
  <c r="B13266" i="1"/>
  <c r="A13266" i="1"/>
  <c r="D10545" i="1"/>
  <c r="A10545" i="1"/>
  <c r="D15053" i="1"/>
  <c r="B15053" i="1"/>
  <c r="A15053" i="1"/>
  <c r="D5809" i="1"/>
  <c r="A5809" i="1"/>
  <c r="D6765" i="1"/>
  <c r="A6765" i="1"/>
  <c r="D15389" i="1"/>
  <c r="B15389" i="1"/>
  <c r="A15389" i="1"/>
  <c r="D15483" i="1"/>
  <c r="B15483" i="1"/>
  <c r="A15483" i="1"/>
  <c r="D15394" i="1"/>
  <c r="A15394" i="1"/>
  <c r="D5476" i="1"/>
  <c r="A5476" i="1"/>
  <c r="D15088" i="1"/>
  <c r="B15088" i="1"/>
  <c r="A15088" i="1"/>
  <c r="D9298" i="1"/>
  <c r="B9298" i="1"/>
  <c r="A9298" i="1"/>
  <c r="D6956" i="1"/>
  <c r="B6956" i="1"/>
  <c r="A6956" i="1"/>
  <c r="D15119" i="1"/>
  <c r="A15119" i="1"/>
  <c r="D17200" i="1"/>
  <c r="B17200" i="1"/>
  <c r="A17200" i="1"/>
  <c r="D14964" i="1"/>
  <c r="A14964" i="1"/>
  <c r="D5578" i="1"/>
  <c r="A5578" i="1"/>
  <c r="D10631" i="1"/>
  <c r="B10631" i="1"/>
  <c r="A10631" i="1"/>
  <c r="D12056" i="1"/>
  <c r="A12056" i="1"/>
  <c r="D8925" i="1"/>
  <c r="A8925" i="1"/>
  <c r="D10132" i="1"/>
  <c r="A10132" i="1"/>
  <c r="D10396" i="1"/>
  <c r="A10396" i="1"/>
  <c r="D5911" i="1"/>
  <c r="B5911" i="1"/>
  <c r="A5911" i="1"/>
  <c r="D9993" i="1"/>
  <c r="A9993" i="1"/>
  <c r="D7452" i="1"/>
  <c r="A7452" i="1"/>
  <c r="D6649" i="1"/>
  <c r="A6649" i="1"/>
  <c r="D12071" i="1"/>
  <c r="A12071" i="1"/>
  <c r="D5743" i="1"/>
  <c r="A5743" i="1"/>
  <c r="D5455" i="1"/>
  <c r="A5455" i="1"/>
  <c r="D17137" i="1"/>
  <c r="A17137" i="1"/>
  <c r="D9017" i="1"/>
  <c r="B9017" i="1"/>
  <c r="A9017" i="1"/>
  <c r="D9670" i="1"/>
  <c r="A9670" i="1"/>
  <c r="D15095" i="1"/>
  <c r="B15095" i="1"/>
  <c r="A15095" i="1"/>
  <c r="D9825" i="1"/>
  <c r="B9825" i="1"/>
  <c r="A9825" i="1"/>
  <c r="D5378" i="1"/>
  <c r="A5378" i="1"/>
  <c r="D11843" i="1"/>
  <c r="A11843" i="1"/>
  <c r="D12500" i="1"/>
  <c r="A12500" i="1"/>
  <c r="D9325" i="1"/>
  <c r="B9325" i="1"/>
  <c r="A9325" i="1"/>
  <c r="D16878" i="1"/>
  <c r="A16878" i="1"/>
  <c r="D6232" i="1"/>
  <c r="A6232" i="1"/>
  <c r="D17322" i="1"/>
  <c r="A17322" i="1"/>
  <c r="D9575" i="1"/>
  <c r="A9575" i="1"/>
  <c r="D7231" i="1"/>
  <c r="B7231" i="1"/>
  <c r="A7231" i="1"/>
  <c r="D14709" i="1"/>
  <c r="B14709" i="1"/>
  <c r="A14709" i="1"/>
  <c r="D7062" i="1"/>
  <c r="A7062" i="1"/>
  <c r="D18757" i="1"/>
  <c r="A18757" i="1"/>
  <c r="D8961" i="1"/>
  <c r="A8961" i="1"/>
  <c r="D7190" i="1"/>
  <c r="A7190" i="1"/>
  <c r="D14137" i="1"/>
  <c r="A14137" i="1"/>
  <c r="D15741" i="1"/>
  <c r="A15741" i="1"/>
  <c r="D5364" i="1"/>
  <c r="A5364" i="1"/>
  <c r="D16341" i="1"/>
  <c r="A16341" i="1"/>
  <c r="D5486" i="1"/>
  <c r="A5486" i="1"/>
  <c r="D17213" i="1"/>
  <c r="A17213" i="1"/>
  <c r="D5572" i="1"/>
  <c r="A5572" i="1"/>
  <c r="D17143" i="1"/>
  <c r="A17143" i="1"/>
  <c r="D18072" i="1"/>
  <c r="A18072" i="1"/>
  <c r="D5592" i="1"/>
  <c r="A5592" i="1"/>
  <c r="D5677" i="1"/>
  <c r="A5677" i="1"/>
  <c r="D9166" i="1"/>
  <c r="A9166" i="1"/>
  <c r="D9327" i="1"/>
  <c r="B9327" i="1"/>
  <c r="A9327" i="1"/>
  <c r="D6541" i="1"/>
  <c r="A6541" i="1"/>
  <c r="D10537" i="1"/>
  <c r="A10537" i="1"/>
  <c r="D9865" i="1"/>
  <c r="B9865" i="1"/>
  <c r="A9865" i="1"/>
  <c r="D13643" i="1"/>
  <c r="B13643" i="1"/>
  <c r="A13643" i="1"/>
  <c r="D14925" i="1"/>
  <c r="B14925" i="1"/>
  <c r="A14925" i="1"/>
  <c r="D15367" i="1"/>
  <c r="A15367" i="1"/>
  <c r="D18252" i="1"/>
  <c r="A18252" i="1"/>
  <c r="D14938" i="1"/>
  <c r="A14938" i="1"/>
  <c r="D6057" i="1"/>
  <c r="A6057" i="1"/>
  <c r="D10769" i="1"/>
  <c r="A10769" i="1"/>
  <c r="D7648" i="1"/>
  <c r="A7648" i="1"/>
  <c r="D5414" i="1"/>
  <c r="A5414" i="1"/>
  <c r="D17808" i="1"/>
  <c r="A17808" i="1"/>
  <c r="D7016" i="1"/>
  <c r="A7016" i="1"/>
  <c r="D9352" i="1"/>
  <c r="A9352" i="1"/>
  <c r="D15223" i="1"/>
  <c r="A15223" i="1"/>
  <c r="D17739" i="1"/>
  <c r="B17739" i="1"/>
  <c r="A17739" i="1"/>
  <c r="D9856" i="1"/>
  <c r="B9856" i="1"/>
  <c r="A9856" i="1"/>
  <c r="D15281" i="1"/>
  <c r="B15281" i="1"/>
  <c r="A15281" i="1"/>
  <c r="D15342" i="1"/>
  <c r="B15342" i="1"/>
  <c r="A15342" i="1"/>
  <c r="D15541" i="1"/>
  <c r="B15541" i="1"/>
  <c r="A15541" i="1"/>
  <c r="D12638" i="1"/>
  <c r="B12638" i="1"/>
  <c r="A12638" i="1"/>
  <c r="D14785" i="1"/>
  <c r="B14785" i="1"/>
  <c r="A14785" i="1"/>
  <c r="D18475" i="1"/>
  <c r="A18475" i="1"/>
  <c r="D9245" i="1"/>
  <c r="B9245" i="1"/>
  <c r="A9245" i="1"/>
  <c r="D9161" i="1"/>
  <c r="B9161" i="1"/>
  <c r="A9161" i="1"/>
  <c r="D15203" i="1"/>
  <c r="A15203" i="1"/>
  <c r="D6300" i="1"/>
  <c r="A6300" i="1"/>
  <c r="D6832" i="1"/>
  <c r="A6832" i="1"/>
  <c r="D10035" i="1"/>
  <c r="A10035" i="1"/>
  <c r="D15960" i="1"/>
  <c r="A15960" i="1"/>
  <c r="D12084" i="1"/>
  <c r="B12084" i="1"/>
  <c r="A12084" i="1"/>
  <c r="D13763" i="1"/>
  <c r="B13763" i="1"/>
  <c r="A13763" i="1"/>
  <c r="D14932" i="1"/>
  <c r="B14932" i="1"/>
  <c r="A14932" i="1"/>
  <c r="D17453" i="1"/>
  <c r="A17453" i="1"/>
  <c r="D14777" i="1"/>
  <c r="B14777" i="1"/>
  <c r="A14777" i="1"/>
  <c r="D10240" i="1"/>
  <c r="A10240" i="1"/>
  <c r="D15514" i="1"/>
  <c r="B15514" i="1"/>
  <c r="A15514" i="1"/>
  <c r="D12692" i="1"/>
  <c r="A12692" i="1"/>
  <c r="D12078" i="1"/>
  <c r="A12078" i="1"/>
  <c r="D15403" i="1"/>
  <c r="A15403" i="1"/>
  <c r="D15745" i="1"/>
  <c r="B15745" i="1"/>
  <c r="A15745" i="1"/>
  <c r="D9691" i="1"/>
  <c r="A9691" i="1"/>
  <c r="D16972" i="1"/>
  <c r="A16972" i="1"/>
  <c r="D17623" i="1"/>
  <c r="B17623" i="1"/>
  <c r="A17623" i="1"/>
  <c r="D5330" i="1"/>
  <c r="A5330" i="1"/>
  <c r="D14109" i="1"/>
  <c r="A14109" i="1"/>
  <c r="D16271" i="1"/>
  <c r="A16271" i="1"/>
  <c r="D9083" i="1"/>
  <c r="A9083" i="1"/>
  <c r="D18393" i="1"/>
  <c r="A18393" i="1"/>
  <c r="D10701" i="1"/>
  <c r="B10701" i="1"/>
  <c r="A10701" i="1"/>
  <c r="D15545" i="1"/>
  <c r="B15545" i="1"/>
  <c r="A15545" i="1"/>
  <c r="D5379" i="1"/>
  <c r="A5379" i="1"/>
  <c r="D11567" i="1"/>
  <c r="C11567" i="1"/>
  <c r="B11567" i="1"/>
  <c r="A11567" i="1"/>
  <c r="D5556" i="1"/>
  <c r="A5556" i="1"/>
  <c r="D11797" i="1"/>
  <c r="B11797" i="1"/>
  <c r="A11797" i="1"/>
  <c r="D15084" i="1"/>
  <c r="B15084" i="1"/>
  <c r="A15084" i="1"/>
  <c r="D12575" i="1"/>
  <c r="B12575" i="1"/>
  <c r="A12575" i="1"/>
  <c r="D17036" i="1"/>
  <c r="B17036" i="1"/>
  <c r="A17036" i="1"/>
  <c r="D15347" i="1"/>
  <c r="B15347" i="1"/>
  <c r="A15347" i="1"/>
  <c r="D9274" i="1"/>
  <c r="B9274" i="1"/>
  <c r="A9274" i="1"/>
  <c r="D6568" i="1"/>
  <c r="A6568" i="1"/>
  <c r="D8019" i="1"/>
  <c r="B8019" i="1"/>
  <c r="A8019" i="1"/>
  <c r="D12095" i="1"/>
  <c r="B12095" i="1"/>
  <c r="A12095" i="1"/>
  <c r="D7185" i="1"/>
  <c r="A7185" i="1"/>
  <c r="D15252" i="1"/>
  <c r="A15252" i="1"/>
  <c r="D17799" i="1"/>
  <c r="B17799" i="1"/>
  <c r="A17799" i="1"/>
  <c r="D6689" i="1"/>
  <c r="A6689" i="1"/>
  <c r="D16314" i="1"/>
  <c r="A16314" i="1"/>
  <c r="D18760" i="1"/>
  <c r="A18760" i="1"/>
  <c r="D16644" i="1"/>
  <c r="B16644" i="1"/>
  <c r="A16644" i="1"/>
  <c r="D13947" i="1"/>
  <c r="A13947" i="1"/>
  <c r="D5820" i="1"/>
  <c r="A5820" i="1"/>
  <c r="D13970" i="1"/>
  <c r="A13970" i="1"/>
  <c r="D15016" i="1"/>
  <c r="B15016" i="1"/>
  <c r="A15016" i="1"/>
  <c r="D5356" i="1"/>
  <c r="A5356" i="1"/>
  <c r="D11742" i="1"/>
  <c r="B11742" i="1"/>
  <c r="A11742" i="1"/>
  <c r="D10288" i="1"/>
  <c r="B10288" i="1"/>
  <c r="A10288" i="1"/>
  <c r="D5791" i="1"/>
  <c r="A5791" i="1"/>
  <c r="D15040" i="1"/>
  <c r="B15040" i="1"/>
  <c r="A15040" i="1"/>
  <c r="D17423" i="1"/>
  <c r="B17423" i="1"/>
  <c r="A17423" i="1"/>
  <c r="D15017" i="1"/>
  <c r="B15017" i="1"/>
  <c r="A15017" i="1"/>
  <c r="D14762" i="1"/>
  <c r="B14762" i="1"/>
  <c r="A14762" i="1"/>
  <c r="D17211" i="1"/>
  <c r="A17211" i="1"/>
  <c r="D17762" i="1"/>
  <c r="A17762" i="1"/>
  <c r="D6070" i="1"/>
  <c r="A6070" i="1"/>
  <c r="D15103" i="1"/>
  <c r="A15103" i="1"/>
  <c r="D15531" i="1"/>
  <c r="B15531" i="1"/>
  <c r="A15531" i="1"/>
  <c r="D11791" i="1"/>
  <c r="A11791" i="1"/>
  <c r="D6654" i="1"/>
  <c r="A6654" i="1"/>
  <c r="D11579" i="1"/>
  <c r="C11579" i="1"/>
  <c r="B11579" i="1"/>
  <c r="A11579" i="1"/>
  <c r="D15243" i="1"/>
  <c r="B15243" i="1"/>
  <c r="A15243" i="1"/>
  <c r="D9421" i="1"/>
  <c r="B9421" i="1"/>
  <c r="A9421" i="1"/>
  <c r="D10352" i="1"/>
  <c r="B10352" i="1"/>
  <c r="A10352" i="1"/>
  <c r="D16097" i="1"/>
  <c r="B16097" i="1"/>
  <c r="A16097" i="1"/>
  <c r="D14921" i="1"/>
  <c r="B14921" i="1"/>
  <c r="A14921" i="1"/>
  <c r="D14943" i="1"/>
  <c r="B14943" i="1"/>
  <c r="A14943" i="1"/>
  <c r="D7298" i="1"/>
  <c r="B7298" i="1"/>
  <c r="A7298" i="1"/>
  <c r="D15264" i="1"/>
  <c r="B15264" i="1"/>
  <c r="A15264" i="1"/>
  <c r="D15504" i="1"/>
  <c r="B15504" i="1"/>
  <c r="A15504" i="1"/>
  <c r="D14853" i="1"/>
  <c r="B14853" i="1"/>
  <c r="A14853" i="1"/>
  <c r="D12507" i="1"/>
  <c r="B12507" i="1"/>
  <c r="A12507" i="1"/>
  <c r="D12585" i="1"/>
  <c r="B12585" i="1"/>
  <c r="A12585" i="1"/>
  <c r="D10690" i="1"/>
  <c r="A10690" i="1"/>
  <c r="D15400" i="1"/>
  <c r="B15400" i="1"/>
  <c r="A15400" i="1"/>
  <c r="D6945" i="1"/>
  <c r="A6945" i="1"/>
  <c r="D15205" i="1"/>
  <c r="A15205" i="1"/>
  <c r="D18795" i="1"/>
  <c r="A18795" i="1"/>
  <c r="D6919" i="1"/>
  <c r="B6919" i="1"/>
  <c r="A6919" i="1"/>
  <c r="D10926" i="1"/>
  <c r="A10926" i="1"/>
  <c r="D11534" i="1"/>
  <c r="C11534" i="1"/>
  <c r="B11534" i="1"/>
  <c r="A11534" i="1"/>
  <c r="D7626" i="1"/>
  <c r="B7626" i="1"/>
  <c r="A7626" i="1"/>
  <c r="D13998" i="1"/>
  <c r="A13998" i="1"/>
  <c r="D18794" i="1"/>
  <c r="A18794" i="1"/>
  <c r="D7552" i="1"/>
  <c r="A7552" i="1"/>
  <c r="D8249" i="1"/>
  <c r="B8249" i="1"/>
  <c r="A8249" i="1"/>
  <c r="D14945" i="1"/>
  <c r="B14945" i="1"/>
  <c r="A14945" i="1"/>
  <c r="D10796" i="1"/>
  <c r="B10796" i="1"/>
  <c r="A10796" i="1"/>
  <c r="D15014" i="1"/>
  <c r="B15014" i="1"/>
  <c r="A15014" i="1"/>
  <c r="D7009" i="1"/>
  <c r="A7009" i="1"/>
  <c r="D12700" i="1"/>
  <c r="B12700" i="1"/>
  <c r="A12700" i="1"/>
  <c r="D17727" i="1"/>
  <c r="B17727" i="1"/>
  <c r="A17727" i="1"/>
  <c r="D5901" i="1"/>
  <c r="B5901" i="1"/>
  <c r="A5901" i="1"/>
  <c r="D17635" i="1"/>
  <c r="B17635" i="1"/>
  <c r="A17635" i="1"/>
  <c r="D6851" i="1"/>
  <c r="B6851" i="1"/>
  <c r="A6851" i="1"/>
  <c r="D8163" i="1"/>
  <c r="B8163" i="1"/>
  <c r="A8163" i="1"/>
  <c r="D15905" i="1"/>
  <c r="B15905" i="1"/>
  <c r="A15905" i="1"/>
  <c r="D9181" i="1"/>
  <c r="A9181" i="1"/>
  <c r="D7041" i="1"/>
  <c r="A7041" i="1"/>
  <c r="D6351" i="1"/>
  <c r="B6351" i="1"/>
  <c r="A6351" i="1"/>
  <c r="D7184" i="1"/>
  <c r="B7184" i="1"/>
  <c r="A7184" i="1"/>
  <c r="D11369" i="1"/>
  <c r="B11369" i="1"/>
  <c r="A11369" i="1"/>
  <c r="D14665" i="1"/>
  <c r="A14665" i="1"/>
  <c r="D8630" i="1"/>
  <c r="B8630" i="1"/>
  <c r="A8630" i="1"/>
  <c r="D12430" i="1"/>
  <c r="A12430" i="1"/>
  <c r="D18052" i="1"/>
  <c r="B18052" i="1"/>
  <c r="A18052" i="1"/>
  <c r="D8069" i="1"/>
  <c r="B8069" i="1"/>
  <c r="A8069" i="1"/>
  <c r="D18241" i="1"/>
  <c r="B18241" i="1"/>
  <c r="A18241" i="1"/>
  <c r="D11877" i="1"/>
  <c r="B11877" i="1"/>
  <c r="A11877" i="1"/>
  <c r="D8140" i="1"/>
  <c r="B8140" i="1"/>
  <c r="A8140" i="1"/>
  <c r="D10613" i="1"/>
  <c r="B10613" i="1"/>
  <c r="A10613" i="1"/>
  <c r="D15942" i="1"/>
  <c r="B15942" i="1"/>
  <c r="A15942" i="1"/>
  <c r="D16142" i="1"/>
  <c r="C16142" i="1"/>
  <c r="B16142" i="1"/>
  <c r="A16142" i="1"/>
  <c r="D18444" i="1"/>
  <c r="B18444" i="1"/>
  <c r="A18444" i="1"/>
  <c r="D15439" i="1"/>
  <c r="B15439" i="1"/>
  <c r="A15439" i="1"/>
  <c r="D17626" i="1"/>
  <c r="C17626" i="1"/>
  <c r="B17626" i="1"/>
  <c r="A17626" i="1"/>
  <c r="D8128" i="1"/>
  <c r="B8128" i="1"/>
  <c r="A8128" i="1"/>
  <c r="D18331" i="1"/>
  <c r="A18331" i="1"/>
  <c r="D13442" i="1"/>
  <c r="B13442" i="1"/>
  <c r="A13442" i="1"/>
  <c r="D8936" i="1"/>
  <c r="B8936" i="1"/>
  <c r="A8936" i="1"/>
  <c r="D16877" i="1"/>
  <c r="B16877" i="1"/>
  <c r="A16877" i="1"/>
  <c r="D11114" i="1"/>
  <c r="B11114" i="1"/>
  <c r="A11114" i="1"/>
  <c r="D14659" i="1"/>
  <c r="B14659" i="1"/>
  <c r="A14659" i="1"/>
  <c r="D10831" i="1"/>
  <c r="B10831" i="1"/>
  <c r="A10831" i="1"/>
  <c r="D9056" i="1"/>
  <c r="A9056" i="1"/>
  <c r="D6957" i="1"/>
  <c r="B6957" i="1"/>
  <c r="A6957" i="1"/>
  <c r="D10959" i="1"/>
  <c r="B10959" i="1"/>
  <c r="A10959" i="1"/>
  <c r="D15503" i="1"/>
  <c r="B15503" i="1"/>
  <c r="A15503" i="1"/>
  <c r="D9471" i="1"/>
  <c r="A9471" i="1"/>
  <c r="D12632" i="1"/>
  <c r="B12632" i="1"/>
  <c r="A12632" i="1"/>
  <c r="D11039" i="1"/>
  <c r="B11039" i="1"/>
  <c r="A11039" i="1"/>
  <c r="D8124" i="1"/>
  <c r="B8124" i="1"/>
  <c r="A8124" i="1"/>
  <c r="D18442" i="1"/>
  <c r="B18442" i="1"/>
  <c r="A18442" i="1"/>
  <c r="D7007" i="1"/>
  <c r="A7007" i="1"/>
  <c r="D8127" i="1"/>
  <c r="B8127" i="1"/>
  <c r="A8127" i="1"/>
  <c r="D15213" i="1"/>
  <c r="B15213" i="1"/>
  <c r="A15213" i="1"/>
  <c r="D10779" i="1"/>
  <c r="B10779" i="1"/>
  <c r="A10779" i="1"/>
  <c r="D11794" i="1"/>
  <c r="B11794" i="1"/>
  <c r="A11794" i="1"/>
  <c r="D14852" i="1"/>
  <c r="B14852" i="1"/>
  <c r="A14852" i="1"/>
  <c r="D12902" i="1"/>
  <c r="A12902" i="1"/>
  <c r="D9483" i="1"/>
  <c r="A9483" i="1"/>
  <c r="D7191" i="1"/>
  <c r="A7191" i="1"/>
  <c r="D5795" i="1"/>
  <c r="A5795" i="1"/>
  <c r="D10712" i="1"/>
  <c r="A10712" i="1"/>
  <c r="D17236" i="1"/>
  <c r="A17236" i="1"/>
  <c r="D5997" i="1"/>
  <c r="B5997" i="1"/>
  <c r="A5997" i="1"/>
  <c r="D17343" i="1"/>
  <c r="A17343" i="1"/>
  <c r="D13873" i="1"/>
  <c r="A13873" i="1"/>
  <c r="D5545" i="1"/>
  <c r="A5545" i="1"/>
  <c r="D14808" i="1"/>
  <c r="B14808" i="1"/>
  <c r="A14808" i="1"/>
  <c r="D5523" i="1"/>
  <c r="A5523" i="1"/>
  <c r="D5352" i="1"/>
  <c r="A5352" i="1"/>
  <c r="D12910" i="1"/>
  <c r="A12910" i="1"/>
  <c r="D6964" i="1"/>
  <c r="A6964" i="1"/>
  <c r="D5500" i="1"/>
  <c r="A5500" i="1"/>
  <c r="D7417" i="1"/>
  <c r="A7417" i="1"/>
  <c r="D8460" i="1"/>
  <c r="A8460" i="1"/>
  <c r="D17415" i="1"/>
  <c r="A17415" i="1"/>
  <c r="D10292" i="1"/>
  <c r="B10292" i="1"/>
  <c r="A10292" i="1"/>
  <c r="D13275" i="1"/>
  <c r="B13275" i="1"/>
  <c r="A13275" i="1"/>
  <c r="D6993" i="1"/>
  <c r="A6993" i="1"/>
  <c r="D13955" i="1"/>
  <c r="A13955" i="1"/>
  <c r="D5588" i="1"/>
  <c r="A5588" i="1"/>
  <c r="D16329" i="1"/>
  <c r="C16329" i="1"/>
  <c r="B16329" i="1"/>
  <c r="A16329" i="1"/>
  <c r="D14664" i="1"/>
  <c r="B14664" i="1"/>
  <c r="A14664" i="1"/>
  <c r="D8471" i="1"/>
  <c r="B8471" i="1"/>
  <c r="A8471" i="1"/>
  <c r="D6063" i="1"/>
  <c r="A6063" i="1"/>
  <c r="D9624" i="1"/>
  <c r="B9624" i="1"/>
  <c r="A9624" i="1"/>
  <c r="D16928" i="1"/>
  <c r="B16928" i="1"/>
  <c r="A16928" i="1"/>
  <c r="D10934" i="1"/>
  <c r="B10934" i="1"/>
  <c r="A10934" i="1"/>
  <c r="D8633" i="1"/>
  <c r="B8633" i="1"/>
  <c r="A8633" i="1"/>
  <c r="D12418" i="1"/>
  <c r="A12418" i="1"/>
  <c r="D9467" i="1"/>
  <c r="B9467" i="1"/>
  <c r="A9467" i="1"/>
  <c r="D14161" i="1"/>
  <c r="B14161" i="1"/>
  <c r="A14161" i="1"/>
  <c r="D9870" i="1"/>
  <c r="B9870" i="1"/>
  <c r="A9870" i="1"/>
  <c r="D12865" i="1"/>
  <c r="A12865" i="1"/>
  <c r="D10379" i="1"/>
  <c r="B10379" i="1"/>
  <c r="A10379" i="1"/>
  <c r="D14450" i="1"/>
  <c r="B14450" i="1"/>
  <c r="A14450" i="1"/>
  <c r="D14462" i="1"/>
  <c r="B14462" i="1"/>
  <c r="A14462" i="1"/>
  <c r="D15627" i="1"/>
  <c r="A15627" i="1"/>
  <c r="D5517" i="1"/>
  <c r="A5517" i="1"/>
  <c r="D17896" i="1"/>
  <c r="B17896" i="1"/>
  <c r="A17896" i="1"/>
  <c r="D17661" i="1"/>
  <c r="B17661" i="1"/>
  <c r="A17661" i="1"/>
  <c r="D14991" i="1"/>
  <c r="B14991" i="1"/>
  <c r="A14991" i="1"/>
  <c r="D12665" i="1"/>
  <c r="A12665" i="1"/>
  <c r="D7130" i="1"/>
  <c r="A7130" i="1"/>
  <c r="D18177" i="1"/>
  <c r="B18177" i="1"/>
  <c r="A18177" i="1"/>
  <c r="D5775" i="1"/>
  <c r="A5775" i="1"/>
  <c r="D16866" i="1"/>
  <c r="A16866" i="1"/>
  <c r="D15787" i="1"/>
  <c r="A15787" i="1"/>
  <c r="D9611" i="1"/>
  <c r="A9611" i="1"/>
  <c r="D10733" i="1"/>
  <c r="A10733" i="1"/>
  <c r="D14825" i="1"/>
  <c r="B14825" i="1"/>
  <c r="A14825" i="1"/>
  <c r="D9218" i="1"/>
  <c r="A9218" i="1"/>
  <c r="D18244" i="1"/>
  <c r="A18244" i="1"/>
  <c r="D18118" i="1"/>
  <c r="A18118" i="1"/>
  <c r="D12892" i="1"/>
  <c r="A12892" i="1"/>
  <c r="D5688" i="1"/>
  <c r="A5688" i="1"/>
  <c r="D9129" i="1"/>
  <c r="A9129" i="1"/>
  <c r="D7000" i="1"/>
  <c r="A7000" i="1"/>
  <c r="D9367" i="1"/>
  <c r="A9367" i="1"/>
  <c r="D15887" i="1"/>
  <c r="A15887" i="1"/>
  <c r="D16273" i="1"/>
  <c r="A16273" i="1"/>
  <c r="D5394" i="1"/>
  <c r="A5394" i="1"/>
  <c r="D18471" i="1"/>
  <c r="A18471" i="1"/>
  <c r="D10640" i="1"/>
  <c r="A10640" i="1"/>
  <c r="D7307" i="1"/>
  <c r="A7307" i="1"/>
  <c r="D9297" i="1"/>
  <c r="A9297" i="1"/>
  <c r="D5551" i="1"/>
  <c r="A5551" i="1"/>
  <c r="D18772" i="1"/>
  <c r="A18772" i="1"/>
  <c r="D10064" i="1"/>
  <c r="A10064" i="1"/>
  <c r="D10619" i="1"/>
  <c r="A10619" i="1"/>
  <c r="D8812" i="1"/>
  <c r="A8812" i="1"/>
  <c r="D9659" i="1"/>
  <c r="A9659" i="1"/>
  <c r="D9607" i="1"/>
  <c r="A9607" i="1"/>
  <c r="D10247" i="1"/>
  <c r="A10247" i="1"/>
  <c r="D7033" i="1"/>
  <c r="A7033" i="1"/>
  <c r="D6960" i="1"/>
  <c r="A6960" i="1"/>
  <c r="D7438" i="1"/>
  <c r="A7438" i="1"/>
  <c r="D16204" i="1"/>
  <c r="A16204" i="1"/>
  <c r="D7188" i="1"/>
  <c r="A7188" i="1"/>
  <c r="D13994" i="1"/>
  <c r="A13994" i="1"/>
  <c r="D9263" i="1"/>
  <c r="A9263" i="1"/>
  <c r="D7765" i="1"/>
  <c r="A7765" i="1"/>
  <c r="D9067" i="1"/>
  <c r="A9067" i="1"/>
  <c r="D7008" i="1"/>
  <c r="A7008" i="1"/>
  <c r="D18609" i="1"/>
  <c r="A18609" i="1"/>
  <c r="D10680" i="1"/>
  <c r="A10680" i="1"/>
  <c r="D10682" i="1"/>
  <c r="A10682" i="1"/>
  <c r="D10392" i="1"/>
  <c r="A10392" i="1"/>
  <c r="D14057" i="1"/>
  <c r="A14057" i="1"/>
  <c r="D12900" i="1"/>
  <c r="A12900" i="1"/>
  <c r="D16016" i="1"/>
  <c r="A16016" i="1"/>
  <c r="D17107" i="1"/>
  <c r="A17107" i="1"/>
  <c r="D18483" i="1"/>
  <c r="A18483" i="1"/>
  <c r="D9095" i="1"/>
  <c r="A9095" i="1"/>
  <c r="D11912" i="1"/>
  <c r="A11912" i="1"/>
  <c r="D10826" i="1"/>
  <c r="A10826" i="1"/>
  <c r="D6328" i="1"/>
  <c r="A6328" i="1"/>
  <c r="D11502" i="1"/>
  <c r="A11502" i="1"/>
  <c r="D11503" i="1"/>
  <c r="A11503" i="1"/>
  <c r="D6561" i="1"/>
  <c r="A6561" i="1"/>
  <c r="D12898" i="1"/>
  <c r="A12898" i="1"/>
  <c r="D11878" i="1"/>
  <c r="A11878" i="1"/>
  <c r="D18529" i="1"/>
  <c r="B18529" i="1"/>
  <c r="A18529" i="1"/>
  <c r="D9276" i="1"/>
  <c r="A9276" i="1"/>
  <c r="D15460" i="1"/>
  <c r="B15460" i="1"/>
  <c r="A15460" i="1"/>
  <c r="D7792" i="1"/>
  <c r="A7792" i="1"/>
  <c r="D16940" i="1"/>
  <c r="A16940" i="1"/>
  <c r="D6221" i="1"/>
  <c r="A6221" i="1"/>
  <c r="D10329" i="1"/>
  <c r="A10329" i="1"/>
  <c r="D8999" i="1"/>
  <c r="A8999" i="1"/>
  <c r="D7433" i="1"/>
  <c r="A7433" i="1"/>
  <c r="D12709" i="1"/>
  <c r="A12709" i="1"/>
  <c r="D18603" i="1"/>
  <c r="A18603" i="1"/>
  <c r="D16058" i="1"/>
  <c r="A16058" i="1"/>
  <c r="D5465" i="1"/>
  <c r="A5465" i="1"/>
  <c r="D15072" i="1"/>
  <c r="A15072" i="1"/>
  <c r="D5429" i="1"/>
  <c r="A5429" i="1"/>
  <c r="D16279" i="1"/>
  <c r="A16279" i="1"/>
  <c r="D9219" i="1"/>
  <c r="A9219" i="1"/>
  <c r="D9176" i="1"/>
  <c r="A9176" i="1"/>
  <c r="D17753" i="1"/>
  <c r="A17753" i="1"/>
  <c r="D14803" i="1"/>
  <c r="A14803" i="1"/>
  <c r="D17285" i="1"/>
  <c r="A17285" i="1"/>
  <c r="D17287" i="1"/>
  <c r="B17287" i="1"/>
  <c r="A17287" i="1"/>
  <c r="D8102" i="1"/>
  <c r="B8102" i="1"/>
  <c r="A8102" i="1"/>
  <c r="D9568" i="1"/>
  <c r="A9568" i="1"/>
  <c r="D17593" i="1"/>
  <c r="A17593" i="1"/>
  <c r="D10231" i="1"/>
  <c r="B10231" i="1"/>
  <c r="A10231" i="1"/>
  <c r="D6254" i="1"/>
  <c r="A6254" i="1"/>
  <c r="D18327" i="1"/>
  <c r="A18327" i="1"/>
  <c r="D17253" i="1"/>
  <c r="A17253" i="1"/>
  <c r="D15388" i="1"/>
  <c r="B15388" i="1"/>
  <c r="A15388" i="1"/>
  <c r="D15106" i="1"/>
  <c r="A15106" i="1"/>
  <c r="D15518" i="1"/>
  <c r="B15518" i="1"/>
  <c r="A15518" i="1"/>
  <c r="D10515" i="1"/>
  <c r="B10515" i="1"/>
  <c r="A10515" i="1"/>
  <c r="D10136" i="1"/>
  <c r="A10136" i="1"/>
  <c r="D9555" i="1"/>
  <c r="A9555" i="1"/>
  <c r="D8486" i="1"/>
  <c r="A8486" i="1"/>
  <c r="D10716" i="1"/>
  <c r="A10716" i="1"/>
  <c r="D15705" i="1"/>
  <c r="A15705" i="1"/>
  <c r="D7281" i="1"/>
  <c r="A7281" i="1"/>
  <c r="D5850" i="1"/>
  <c r="A5850" i="1"/>
  <c r="D5725" i="1"/>
  <c r="A5725" i="1"/>
  <c r="D6365" i="1"/>
  <c r="A6365" i="1"/>
  <c r="D7580" i="1"/>
  <c r="A7580" i="1"/>
  <c r="D18251" i="1"/>
  <c r="A18251" i="1"/>
  <c r="D5336" i="1"/>
  <c r="A5336" i="1"/>
  <c r="D5396" i="1"/>
  <c r="A5396" i="1"/>
  <c r="D5387" i="1"/>
  <c r="A5387" i="1"/>
  <c r="D5735" i="1"/>
  <c r="A5735" i="1"/>
  <c r="D6741" i="1"/>
  <c r="A6741" i="1"/>
  <c r="D5589" i="1"/>
  <c r="A5589" i="1"/>
  <c r="D5519" i="1"/>
  <c r="A5519" i="1"/>
  <c r="D5745" i="1"/>
  <c r="A5745" i="1"/>
  <c r="D5576" i="1"/>
  <c r="A5576" i="1"/>
  <c r="D5746" i="1"/>
  <c r="A5746" i="1"/>
  <c r="D5427" i="1"/>
  <c r="A5427" i="1"/>
  <c r="D5856" i="1"/>
  <c r="A5856" i="1"/>
  <c r="D5718" i="1"/>
  <c r="A5718" i="1"/>
  <c r="D5543" i="1"/>
  <c r="A5543" i="1"/>
  <c r="D18380" i="1"/>
  <c r="A18380" i="1"/>
  <c r="D5862" i="1"/>
  <c r="A5862" i="1"/>
  <c r="D15423" i="1"/>
  <c r="B15423" i="1"/>
  <c r="A15423" i="1"/>
  <c r="D18148" i="1"/>
  <c r="A18148" i="1"/>
  <c r="D17222" i="1"/>
  <c r="B17222" i="1"/>
  <c r="A17222" i="1"/>
  <c r="D17226" i="1"/>
  <c r="B17226" i="1"/>
  <c r="A17226" i="1"/>
  <c r="D5608" i="1"/>
  <c r="A5608" i="1"/>
  <c r="D11625" i="1"/>
  <c r="B11625" i="1"/>
  <c r="A11625" i="1"/>
  <c r="D5642" i="1"/>
  <c r="A5642" i="1"/>
  <c r="D5717" i="1"/>
  <c r="A5717" i="1"/>
  <c r="D5628" i="1"/>
  <c r="A5628" i="1"/>
  <c r="D5715" i="1"/>
  <c r="A5715" i="1"/>
  <c r="D5570" i="1"/>
  <c r="A5570" i="1"/>
  <c r="D5788" i="1"/>
  <c r="A5788" i="1"/>
  <c r="D5852" i="1"/>
  <c r="A5852" i="1"/>
  <c r="D18267" i="1"/>
  <c r="B18267" i="1"/>
  <c r="A18267" i="1"/>
  <c r="D15125" i="1"/>
  <c r="B15125" i="1"/>
  <c r="A15125" i="1"/>
  <c r="D5845" i="1"/>
  <c r="A5845" i="1"/>
  <c r="D17538" i="1"/>
  <c r="A17538" i="1"/>
  <c r="D5598" i="1"/>
  <c r="A5598" i="1"/>
  <c r="D5584" i="1"/>
  <c r="A5584" i="1"/>
  <c r="D5405" i="1"/>
  <c r="A5405" i="1"/>
  <c r="D5812" i="1"/>
  <c r="A5812" i="1"/>
  <c r="D5335" i="1"/>
  <c r="A5335" i="1"/>
  <c r="D5655" i="1"/>
  <c r="A5655" i="1"/>
  <c r="D5347" i="1"/>
  <c r="A5347" i="1"/>
  <c r="D5710" i="1"/>
  <c r="A5710" i="1"/>
  <c r="D5573" i="1"/>
  <c r="A5573" i="1"/>
  <c r="D5699" i="1"/>
  <c r="A5699" i="1"/>
  <c r="D18071" i="1"/>
  <c r="B18071" i="1"/>
  <c r="A18071" i="1"/>
  <c r="D5388" i="1"/>
  <c r="A5388" i="1"/>
  <c r="D5460" i="1"/>
  <c r="A5460" i="1"/>
  <c r="D5606" i="1"/>
  <c r="A5606" i="1"/>
  <c r="D5431" i="1"/>
  <c r="A5431" i="1"/>
  <c r="D5339" i="1"/>
  <c r="A5339" i="1"/>
  <c r="D5774" i="1"/>
  <c r="A5774" i="1"/>
  <c r="D5702" i="1"/>
  <c r="A5702" i="1"/>
  <c r="D5786" i="1"/>
  <c r="A5786" i="1"/>
  <c r="D5377" i="1"/>
  <c r="A5377" i="1"/>
  <c r="D5562" i="1"/>
  <c r="A5562" i="1"/>
  <c r="D7291" i="1"/>
  <c r="A7291" i="1"/>
  <c r="D9178" i="1"/>
  <c r="A9178" i="1"/>
  <c r="D9478" i="1"/>
  <c r="A9478" i="1"/>
  <c r="D10164" i="1"/>
  <c r="A10164" i="1"/>
  <c r="D11938" i="1"/>
  <c r="A11938" i="1"/>
  <c r="D14033" i="1"/>
  <c r="A14033" i="1"/>
  <c r="D14027" i="1"/>
  <c r="B14027" i="1"/>
  <c r="A14027" i="1"/>
  <c r="D14128" i="1"/>
  <c r="A14128" i="1"/>
  <c r="D18621" i="1"/>
  <c r="A18621" i="1"/>
  <c r="D15716" i="1"/>
  <c r="A15716" i="1"/>
  <c r="D14079" i="1"/>
  <c r="A14079" i="1"/>
  <c r="D6679" i="1"/>
  <c r="A6679" i="1"/>
  <c r="D7233" i="1"/>
  <c r="A7233" i="1"/>
  <c r="D17892" i="1"/>
  <c r="B17892" i="1"/>
  <c r="A17892" i="1"/>
  <c r="D18346" i="1"/>
  <c r="A18346" i="1"/>
  <c r="D5425" i="1"/>
  <c r="A5425" i="1"/>
  <c r="D11436" i="1"/>
  <c r="A11436" i="1"/>
  <c r="D6656" i="1"/>
  <c r="B6656" i="1"/>
  <c r="A6656" i="1"/>
  <c r="D6829" i="1"/>
  <c r="A6829" i="1"/>
  <c r="D13535" i="1"/>
  <c r="B13535" i="1"/>
  <c r="A13535" i="1"/>
  <c r="D16227" i="1"/>
  <c r="A16227" i="1"/>
  <c r="D6348" i="1"/>
  <c r="A6348" i="1"/>
  <c r="D15614" i="1"/>
  <c r="A15614" i="1"/>
  <c r="D7546" i="1"/>
  <c r="A7546" i="1"/>
  <c r="D11880" i="1"/>
  <c r="A11880" i="1"/>
  <c r="D6359" i="1"/>
  <c r="A6359" i="1"/>
  <c r="D8448" i="1"/>
  <c r="A8448" i="1"/>
  <c r="D9473" i="1"/>
  <c r="A9473" i="1"/>
  <c r="D7083" i="1"/>
  <c r="A7083" i="1"/>
  <c r="D15312" i="1"/>
  <c r="B15312" i="1"/>
  <c r="A15312" i="1"/>
  <c r="D14445" i="1"/>
  <c r="B14445" i="1"/>
  <c r="A14445" i="1"/>
  <c r="D6278" i="1"/>
  <c r="B6278" i="1"/>
  <c r="A6278" i="1"/>
  <c r="D12760" i="1"/>
  <c r="A12760" i="1"/>
  <c r="D6921" i="1"/>
  <c r="A6921" i="1"/>
  <c r="D17696" i="1"/>
  <c r="A17696" i="1"/>
  <c r="D16881" i="1"/>
  <c r="A16881" i="1"/>
  <c r="D10550" i="1"/>
  <c r="A10550" i="1"/>
  <c r="D17967" i="1"/>
  <c r="A17967" i="1"/>
  <c r="D6699" i="1"/>
  <c r="A6699" i="1"/>
  <c r="D10819" i="1"/>
  <c r="A10819" i="1"/>
  <c r="D6777" i="1"/>
  <c r="A6777" i="1"/>
  <c r="D12011" i="1"/>
  <c r="A12011" i="1"/>
  <c r="D7485" i="1"/>
  <c r="A7485" i="1"/>
  <c r="D12890" i="1"/>
  <c r="A12890" i="1"/>
  <c r="D10153" i="1"/>
  <c r="A10153" i="1"/>
  <c r="D11870" i="1"/>
  <c r="A11870" i="1"/>
  <c r="D10403" i="1"/>
  <c r="A10403" i="1"/>
  <c r="D9656" i="1"/>
  <c r="A9656" i="1"/>
  <c r="D14400" i="1"/>
  <c r="A14400" i="1"/>
  <c r="D17674" i="1"/>
  <c r="A17674" i="1"/>
  <c r="D18186" i="1"/>
  <c r="A18186" i="1"/>
  <c r="D17162" i="1"/>
  <c r="A17162" i="1"/>
  <c r="D9950" i="1"/>
  <c r="A9950" i="1"/>
  <c r="D9338" i="1"/>
  <c r="B9338" i="1"/>
  <c r="A9338" i="1"/>
  <c r="D15830" i="1"/>
  <c r="A15830" i="1"/>
  <c r="D6453" i="1"/>
  <c r="B6453" i="1"/>
  <c r="A6453" i="1"/>
  <c r="D8766" i="1"/>
  <c r="B8766" i="1"/>
  <c r="A8766" i="1"/>
  <c r="D12456" i="1"/>
  <c r="A12456" i="1"/>
  <c r="D17833" i="1"/>
  <c r="A17833" i="1"/>
  <c r="D17383" i="1"/>
  <c r="A17383" i="1"/>
  <c r="D13834" i="1"/>
  <c r="A13834" i="1"/>
  <c r="D7443" i="1"/>
  <c r="B7443" i="1"/>
  <c r="A7443" i="1"/>
  <c r="D15074" i="1"/>
  <c r="B15074" i="1"/>
  <c r="A15074" i="1"/>
  <c r="D15214" i="1"/>
  <c r="B15214" i="1"/>
  <c r="A15214" i="1"/>
  <c r="D5835" i="1"/>
  <c r="A5835" i="1"/>
  <c r="D13323" i="1"/>
  <c r="A13323" i="1"/>
  <c r="D10277" i="1"/>
  <c r="A10277" i="1"/>
  <c r="D7198" i="1"/>
  <c r="B7198" i="1"/>
  <c r="A7198" i="1"/>
  <c r="D9521" i="1"/>
  <c r="B9521" i="1"/>
  <c r="A9521" i="1"/>
  <c r="D7830" i="1"/>
  <c r="A7830" i="1"/>
  <c r="D6510" i="1"/>
  <c r="A6510" i="1"/>
  <c r="D12165" i="1"/>
  <c r="A12165" i="1"/>
  <c r="D15366" i="1"/>
  <c r="B15366" i="1"/>
  <c r="A15366" i="1"/>
  <c r="D15706" i="1"/>
  <c r="A15706" i="1"/>
  <c r="D9731" i="1"/>
  <c r="A9731" i="1"/>
  <c r="D5837" i="1"/>
  <c r="A5837" i="1"/>
  <c r="D5726" i="1"/>
  <c r="A5726" i="1"/>
  <c r="D12101" i="1"/>
  <c r="A12101" i="1"/>
  <c r="D14657" i="1"/>
  <c r="B14657" i="1"/>
  <c r="A14657" i="1"/>
  <c r="D11448" i="1"/>
  <c r="A11448" i="1"/>
  <c r="D14812" i="1"/>
  <c r="A14812" i="1"/>
  <c r="D17574" i="1"/>
  <c r="B17574" i="1"/>
  <c r="A17574" i="1"/>
  <c r="D5537" i="1"/>
  <c r="A5537" i="1"/>
  <c r="D9663" i="1"/>
  <c r="A9663" i="1"/>
  <c r="D12108" i="1"/>
  <c r="B12108" i="1"/>
  <c r="A12108" i="1"/>
  <c r="D10072" i="1"/>
  <c r="A10072" i="1"/>
  <c r="D18474" i="1"/>
  <c r="A18474" i="1"/>
  <c r="D15357" i="1"/>
  <c r="A15357" i="1"/>
  <c r="D9051" i="1"/>
  <c r="B9051" i="1"/>
  <c r="A9051" i="1"/>
  <c r="D16344" i="1"/>
  <c r="A16344" i="1"/>
  <c r="D18029" i="1"/>
  <c r="B18029" i="1"/>
  <c r="A18029" i="1"/>
  <c r="D15978" i="1"/>
  <c r="A15978" i="1"/>
  <c r="D11829" i="1"/>
  <c r="A11829" i="1"/>
  <c r="D14613" i="1"/>
  <c r="A14613" i="1"/>
  <c r="D17974" i="1"/>
  <c r="B17974" i="1"/>
  <c r="A17974" i="1"/>
  <c r="D11978" i="1"/>
  <c r="B11978" i="1"/>
  <c r="A11978" i="1"/>
  <c r="D11920" i="1"/>
  <c r="B11920" i="1"/>
  <c r="A11920" i="1"/>
  <c r="D15491" i="1"/>
  <c r="B15491" i="1"/>
  <c r="A15491" i="1"/>
  <c r="D7014" i="1"/>
  <c r="A7014" i="1"/>
  <c r="D5962" i="1"/>
  <c r="A5962" i="1"/>
  <c r="D8250" i="1"/>
  <c r="B8250" i="1"/>
  <c r="A8250" i="1"/>
  <c r="D18145" i="1"/>
  <c r="B18145" i="1"/>
  <c r="A18145" i="1"/>
  <c r="D12860" i="1"/>
  <c r="A12860" i="1"/>
  <c r="D18418" i="1"/>
  <c r="A18418" i="1"/>
  <c r="D9875" i="1"/>
  <c r="A9875" i="1"/>
  <c r="D18436" i="1"/>
  <c r="B18436" i="1"/>
  <c r="A18436" i="1"/>
  <c r="D17499" i="1"/>
  <c r="A17499" i="1"/>
  <c r="D7077" i="1"/>
  <c r="A7077" i="1"/>
  <c r="D5687" i="1"/>
  <c r="A5687" i="1"/>
  <c r="D11507" i="1"/>
  <c r="A11507" i="1"/>
  <c r="D9124" i="1"/>
  <c r="A9124" i="1"/>
  <c r="D15493" i="1"/>
  <c r="B15493" i="1"/>
  <c r="A15493" i="1"/>
  <c r="D17114" i="1"/>
  <c r="A17114" i="1"/>
  <c r="D12038" i="1"/>
  <c r="A12038" i="1"/>
  <c r="D15313" i="1"/>
  <c r="B15313" i="1"/>
  <c r="A15313" i="1"/>
  <c r="D9843" i="1"/>
  <c r="A9843" i="1"/>
  <c r="D12027" i="1"/>
  <c r="A12027" i="1"/>
  <c r="D8933" i="1"/>
  <c r="A8933" i="1"/>
  <c r="D15702" i="1"/>
  <c r="A15702" i="1"/>
  <c r="D10554" i="1"/>
  <c r="A10554" i="1"/>
  <c r="D10856" i="1"/>
  <c r="A10856" i="1"/>
  <c r="D5533" i="1"/>
  <c r="A5533" i="1"/>
  <c r="D10262" i="1"/>
  <c r="B10262" i="1"/>
  <c r="A10262" i="1"/>
  <c r="D10574" i="1"/>
  <c r="A10574" i="1"/>
  <c r="D6613" i="1"/>
  <c r="A6613" i="1"/>
  <c r="D8113" i="1"/>
  <c r="B8113" i="1"/>
  <c r="A8113" i="1"/>
  <c r="D18456" i="1"/>
  <c r="A18456" i="1"/>
  <c r="D7858" i="1"/>
  <c r="A7858" i="1"/>
  <c r="D12491" i="1"/>
  <c r="A12491" i="1"/>
  <c r="D11272" i="1"/>
  <c r="B11272" i="1"/>
  <c r="A11272" i="1"/>
  <c r="D10671" i="1"/>
  <c r="A10671" i="1"/>
  <c r="D15636" i="1"/>
  <c r="A15636" i="1"/>
  <c r="D17862" i="1"/>
  <c r="B17862" i="1"/>
  <c r="A17862" i="1"/>
  <c r="D9586" i="1"/>
  <c r="A9586" i="1"/>
  <c r="D5350" i="1"/>
  <c r="A5350" i="1"/>
  <c r="D7545" i="1"/>
  <c r="A7545" i="1"/>
  <c r="D5437" i="1"/>
  <c r="A5437" i="1"/>
  <c r="D8089" i="1"/>
  <c r="B8089" i="1"/>
  <c r="A8089" i="1"/>
  <c r="D5763" i="1"/>
  <c r="A5763" i="1"/>
  <c r="D9776" i="1"/>
  <c r="A9776" i="1"/>
  <c r="D18415" i="1"/>
  <c r="A18415" i="1"/>
  <c r="D11186" i="1"/>
  <c r="B11186" i="1"/>
  <c r="A11186" i="1"/>
  <c r="D18532" i="1"/>
  <c r="A18532" i="1"/>
  <c r="D11084" i="1"/>
  <c r="B11084" i="1"/>
  <c r="A11084" i="1"/>
  <c r="D17052" i="1"/>
  <c r="B17052" i="1"/>
  <c r="A17052" i="1"/>
  <c r="D7111" i="1"/>
  <c r="B7111" i="1"/>
  <c r="A7111" i="1"/>
  <c r="D7040" i="1"/>
  <c r="B7040" i="1"/>
  <c r="A7040" i="1"/>
  <c r="D14791" i="1"/>
  <c r="B14791" i="1"/>
  <c r="A14791" i="1"/>
  <c r="D15481" i="1"/>
  <c r="B15481" i="1"/>
  <c r="A15481" i="1"/>
  <c r="D15111" i="1"/>
  <c r="A15111" i="1"/>
  <c r="D8468" i="1"/>
  <c r="B8468" i="1"/>
  <c r="A8468" i="1"/>
  <c r="D6588" i="1"/>
  <c r="B6588" i="1"/>
  <c r="A6588" i="1"/>
  <c r="D12202" i="1"/>
  <c r="B12202" i="1"/>
  <c r="A12202" i="1"/>
  <c r="D10261" i="1"/>
  <c r="B10261" i="1"/>
  <c r="A10261" i="1"/>
  <c r="D15092" i="1"/>
  <c r="B15092" i="1"/>
  <c r="A15092" i="1"/>
  <c r="D17022" i="1"/>
  <c r="B17022" i="1"/>
  <c r="A17022" i="1"/>
  <c r="D7292" i="1"/>
  <c r="B7292" i="1"/>
  <c r="A7292" i="1"/>
  <c r="D16440" i="1"/>
  <c r="C16440" i="1"/>
  <c r="B16440" i="1"/>
  <c r="A16440" i="1"/>
  <c r="D13466" i="1"/>
  <c r="B13466" i="1"/>
  <c r="A13466" i="1"/>
  <c r="D12145" i="1"/>
  <c r="B12145" i="1"/>
  <c r="A12145" i="1"/>
  <c r="D11773" i="1"/>
  <c r="A11773" i="1"/>
  <c r="D8622" i="1"/>
  <c r="B8622" i="1"/>
  <c r="A8622" i="1"/>
  <c r="D8409" i="1"/>
  <c r="B8409" i="1"/>
  <c r="A8409" i="1"/>
  <c r="D5851" i="1"/>
  <c r="A5851" i="1"/>
  <c r="D15827" i="1"/>
  <c r="B15827" i="1"/>
  <c r="A15827" i="1"/>
  <c r="D15350" i="1"/>
  <c r="B15350" i="1"/>
  <c r="A15350" i="1"/>
  <c r="D7733" i="1"/>
  <c r="B7733" i="1"/>
  <c r="A7733" i="1"/>
  <c r="D17414" i="1"/>
  <c r="B17414" i="1"/>
  <c r="A17414" i="1"/>
  <c r="D16926" i="1"/>
  <c r="A16926" i="1"/>
  <c r="D6367" i="1"/>
  <c r="B6367" i="1"/>
  <c r="A6367" i="1"/>
  <c r="D17067" i="1"/>
  <c r="B17067" i="1"/>
  <c r="A17067" i="1"/>
  <c r="D10502" i="1"/>
  <c r="B10502" i="1"/>
  <c r="A10502" i="1"/>
  <c r="D9323" i="1"/>
  <c r="B9323" i="1"/>
  <c r="A9323" i="1"/>
  <c r="D15241" i="1"/>
  <c r="B15241" i="1"/>
  <c r="A15241" i="1"/>
  <c r="D17744" i="1"/>
  <c r="B17744" i="1"/>
  <c r="A17744" i="1"/>
  <c r="D13511" i="1"/>
  <c r="B13511" i="1"/>
  <c r="A13511" i="1"/>
  <c r="D13213" i="1"/>
  <c r="B13213" i="1"/>
  <c r="A13213" i="1"/>
  <c r="D13364" i="1"/>
  <c r="B13364" i="1"/>
  <c r="A13364" i="1"/>
  <c r="D11037" i="1"/>
  <c r="B11037" i="1"/>
  <c r="A11037" i="1"/>
  <c r="D12755" i="1"/>
  <c r="B12755" i="1"/>
  <c r="A12755" i="1"/>
  <c r="D11082" i="1"/>
  <c r="B11082" i="1"/>
  <c r="A11082" i="1"/>
  <c r="D10694" i="1"/>
  <c r="B10694" i="1"/>
  <c r="A10694" i="1"/>
  <c r="D17780" i="1"/>
  <c r="A17780" i="1"/>
  <c r="D13634" i="1"/>
  <c r="B13634" i="1"/>
  <c r="A13634" i="1"/>
  <c r="D6277" i="1"/>
  <c r="B6277" i="1"/>
  <c r="A6277" i="1"/>
  <c r="D18703" i="1"/>
  <c r="B18703" i="1"/>
  <c r="A18703" i="1"/>
  <c r="D6336" i="1"/>
  <c r="B6336" i="1"/>
  <c r="A6336" i="1"/>
  <c r="D14463" i="1"/>
  <c r="B14463" i="1"/>
  <c r="A14463" i="1"/>
  <c r="D9711" i="1"/>
  <c r="B9711" i="1"/>
  <c r="A9711" i="1"/>
  <c r="D10034" i="1"/>
  <c r="B10034" i="1"/>
  <c r="A10034" i="1"/>
  <c r="D18201" i="1"/>
  <c r="B18201" i="1"/>
  <c r="A18201" i="1"/>
  <c r="D13247" i="1"/>
  <c r="B13247" i="1"/>
  <c r="A13247" i="1"/>
  <c r="D10956" i="1"/>
  <c r="B10956" i="1"/>
  <c r="A10956" i="1"/>
  <c r="D15450" i="1"/>
  <c r="C15450" i="1"/>
  <c r="B15450" i="1"/>
  <c r="A15450" i="1"/>
  <c r="D12462" i="1"/>
  <c r="A12462" i="1"/>
  <c r="D11857" i="1"/>
  <c r="B11857" i="1"/>
  <c r="A11857" i="1"/>
  <c r="D15790" i="1"/>
  <c r="B15790" i="1"/>
  <c r="A15790" i="1"/>
  <c r="D6636" i="1"/>
  <c r="B6636" i="1"/>
  <c r="A6636" i="1"/>
  <c r="D7702" i="1"/>
  <c r="B7702" i="1"/>
  <c r="A7702" i="1"/>
  <c r="D15259" i="1"/>
  <c r="B15259" i="1"/>
  <c r="A15259" i="1"/>
  <c r="D9673" i="1"/>
  <c r="A9673" i="1"/>
  <c r="D11423" i="1"/>
  <c r="A11423" i="1"/>
  <c r="D15324" i="1"/>
  <c r="B15324" i="1"/>
  <c r="A15324" i="1"/>
  <c r="D6744" i="1"/>
  <c r="A6744" i="1"/>
  <c r="D12431" i="1"/>
  <c r="A12431" i="1"/>
  <c r="D15226" i="1"/>
  <c r="A15226" i="1"/>
  <c r="D13224" i="1"/>
  <c r="B13224" i="1"/>
  <c r="A13224" i="1"/>
  <c r="D13500" i="1"/>
  <c r="B13500" i="1"/>
  <c r="A13500" i="1"/>
  <c r="D6606" i="1"/>
  <c r="B6606" i="1"/>
  <c r="A6606" i="1"/>
  <c r="D9590" i="1"/>
  <c r="A9590" i="1"/>
  <c r="D9840" i="1"/>
  <c r="B9840" i="1"/>
  <c r="A9840" i="1"/>
  <c r="D17886" i="1"/>
  <c r="B17886" i="1"/>
  <c r="A17886" i="1"/>
  <c r="D12088" i="1"/>
  <c r="A12088" i="1"/>
  <c r="D8014" i="1"/>
  <c r="B8014" i="1"/>
  <c r="A8014" i="1"/>
  <c r="D10370" i="1"/>
  <c r="B10370" i="1"/>
  <c r="A10370" i="1"/>
  <c r="D10472" i="1"/>
  <c r="B10472" i="1"/>
  <c r="A10472" i="1"/>
  <c r="D15071" i="1"/>
  <c r="A15071" i="1"/>
  <c r="D8061" i="1"/>
  <c r="B8061" i="1"/>
  <c r="A8061" i="1"/>
  <c r="D13274" i="1"/>
  <c r="B13274" i="1"/>
  <c r="A13274" i="1"/>
  <c r="D10429" i="1"/>
  <c r="B10429" i="1"/>
  <c r="A10429" i="1"/>
  <c r="D17474" i="1"/>
  <c r="B17474" i="1"/>
  <c r="A17474" i="1"/>
  <c r="D8400" i="1"/>
  <c r="C8400" i="1"/>
  <c r="B8400" i="1"/>
  <c r="A8400" i="1"/>
  <c r="D16264" i="1"/>
  <c r="A16264" i="1"/>
  <c r="D12867" i="1"/>
  <c r="A12867" i="1"/>
  <c r="D18557" i="1"/>
  <c r="B18557" i="1"/>
  <c r="A18557" i="1"/>
  <c r="D18701" i="1"/>
  <c r="A18701" i="1"/>
  <c r="D9878" i="1"/>
  <c r="A9878" i="1"/>
  <c r="D7849" i="1"/>
  <c r="B7849" i="1"/>
  <c r="A7849" i="1"/>
  <c r="D7705" i="1"/>
  <c r="B7705" i="1"/>
  <c r="A7705" i="1"/>
  <c r="D8503" i="1"/>
  <c r="B8503" i="1"/>
  <c r="A8503" i="1"/>
  <c r="D14840" i="1"/>
  <c r="B14840" i="1"/>
  <c r="A14840" i="1"/>
  <c r="D18317" i="1"/>
  <c r="B18317" i="1"/>
  <c r="A18317" i="1"/>
  <c r="D9154" i="1"/>
  <c r="B9154" i="1"/>
  <c r="A9154" i="1"/>
  <c r="D14905" i="1"/>
  <c r="B14905" i="1"/>
  <c r="A14905" i="1"/>
  <c r="D15046" i="1"/>
  <c r="B15046" i="1"/>
  <c r="A15046" i="1"/>
  <c r="D8577" i="1"/>
  <c r="B8577" i="1"/>
  <c r="A8577" i="1"/>
  <c r="D11769" i="1"/>
  <c r="B11769" i="1"/>
  <c r="A11769" i="1"/>
  <c r="D15739" i="1"/>
  <c r="B15739" i="1"/>
  <c r="A15739" i="1"/>
  <c r="D7215" i="1"/>
  <c r="A7215" i="1"/>
  <c r="D18435" i="1"/>
  <c r="B18435" i="1"/>
  <c r="A18435" i="1"/>
  <c r="D14778" i="1"/>
  <c r="B14778" i="1"/>
  <c r="A14778" i="1"/>
  <c r="D8222" i="1"/>
  <c r="B8222" i="1"/>
  <c r="A8222" i="1"/>
  <c r="D12176" i="1"/>
  <c r="B12176" i="1"/>
  <c r="A12176" i="1"/>
  <c r="D11780" i="1"/>
  <c r="B11780" i="1"/>
  <c r="A11780" i="1"/>
  <c r="D9090" i="1"/>
  <c r="B9090" i="1"/>
  <c r="A9090" i="1"/>
  <c r="D10490" i="1"/>
  <c r="B10490" i="1"/>
  <c r="A10490" i="1"/>
  <c r="D7847" i="1"/>
  <c r="B7847" i="1"/>
  <c r="A7847" i="1"/>
  <c r="D15003" i="1"/>
  <c r="B15003" i="1"/>
  <c r="A15003" i="1"/>
  <c r="D16995" i="1"/>
  <c r="B16995" i="1"/>
  <c r="A16995" i="1"/>
  <c r="D10947" i="1"/>
  <c r="B10947" i="1"/>
  <c r="A10947" i="1"/>
  <c r="D15215" i="1"/>
  <c r="B15215" i="1"/>
  <c r="A15215" i="1"/>
  <c r="D13153" i="1"/>
  <c r="B13153" i="1"/>
  <c r="A13153" i="1"/>
  <c r="D11472" i="1"/>
  <c r="A11472" i="1"/>
  <c r="D7163" i="1"/>
  <c r="A7163" i="1"/>
  <c r="D14867" i="1"/>
  <c r="B14867" i="1"/>
  <c r="A14867" i="1"/>
  <c r="D17583" i="1"/>
  <c r="B17583" i="1"/>
  <c r="A17583" i="1"/>
  <c r="D7205" i="1"/>
  <c r="B7205" i="1"/>
  <c r="A7205" i="1"/>
  <c r="D16518" i="1"/>
  <c r="B16518" i="1"/>
  <c r="A16518" i="1"/>
  <c r="D16868" i="1"/>
  <c r="B16868" i="1"/>
  <c r="A16868" i="1"/>
  <c r="D18408" i="1"/>
  <c r="B18408" i="1"/>
  <c r="A18408" i="1"/>
  <c r="D13988" i="1"/>
  <c r="B13988" i="1"/>
  <c r="A13988" i="1"/>
  <c r="D11728" i="1"/>
  <c r="B11728" i="1"/>
  <c r="A11728" i="1"/>
  <c r="D10166" i="1"/>
  <c r="B10166" i="1"/>
  <c r="A10166" i="1"/>
  <c r="D18206" i="1"/>
  <c r="B18206" i="1"/>
  <c r="A18206" i="1"/>
  <c r="D6489" i="1"/>
  <c r="B6489" i="1"/>
  <c r="A6489" i="1"/>
  <c r="D18076" i="1"/>
  <c r="A18076" i="1"/>
  <c r="D13280" i="1"/>
  <c r="B13280" i="1"/>
  <c r="A13280" i="1"/>
  <c r="D6783" i="1"/>
  <c r="A6783" i="1"/>
  <c r="D6390" i="1"/>
  <c r="B6390" i="1"/>
  <c r="A6390" i="1"/>
  <c r="D14577" i="1"/>
  <c r="B14577" i="1"/>
  <c r="A14577" i="1"/>
  <c r="D11459" i="1"/>
  <c r="B11459" i="1"/>
  <c r="A11459" i="1"/>
  <c r="D12034" i="1"/>
  <c r="B12034" i="1"/>
  <c r="A12034" i="1"/>
  <c r="D6480" i="1"/>
  <c r="B6480" i="1"/>
  <c r="A6480" i="1"/>
  <c r="D10420" i="1"/>
  <c r="A10420" i="1"/>
  <c r="D18179" i="1"/>
  <c r="A18179" i="1"/>
  <c r="D10538" i="1"/>
  <c r="B10538" i="1"/>
  <c r="A10538" i="1"/>
  <c r="D7661" i="1"/>
  <c r="B7661" i="1"/>
  <c r="A7661" i="1"/>
  <c r="D11578" i="1"/>
  <c r="C11578" i="1"/>
  <c r="B11578" i="1"/>
  <c r="A11578" i="1"/>
  <c r="D18548" i="1"/>
  <c r="B18548" i="1"/>
  <c r="A18548" i="1"/>
  <c r="D18488" i="1"/>
  <c r="B18488" i="1"/>
  <c r="A18488" i="1"/>
  <c r="D6796" i="1"/>
  <c r="A6796" i="1"/>
  <c r="D15086" i="1"/>
  <c r="B15086" i="1"/>
  <c r="A15086" i="1"/>
  <c r="D12770" i="1"/>
  <c r="B12770" i="1"/>
  <c r="A12770" i="1"/>
  <c r="D9653" i="1"/>
  <c r="B9653" i="1"/>
  <c r="A9653" i="1"/>
  <c r="D18735" i="1"/>
  <c r="B18735" i="1"/>
  <c r="A18735" i="1"/>
  <c r="D13050" i="1"/>
  <c r="B13050" i="1"/>
  <c r="A13050" i="1"/>
  <c r="D17244" i="1"/>
  <c r="B17244" i="1"/>
  <c r="A17244" i="1"/>
  <c r="D8323" i="1"/>
  <c r="B8323" i="1"/>
  <c r="A8323" i="1"/>
  <c r="D13444" i="1"/>
  <c r="B13444" i="1"/>
  <c r="A13444" i="1"/>
  <c r="D12223" i="1"/>
  <c r="B12223" i="1"/>
  <c r="A12223" i="1"/>
  <c r="D15211" i="1"/>
  <c r="B15211" i="1"/>
  <c r="A15211" i="1"/>
  <c r="D14020" i="1"/>
  <c r="A14020" i="1"/>
  <c r="D12053" i="1"/>
  <c r="B12053" i="1"/>
  <c r="A12053" i="1"/>
  <c r="D15701" i="1"/>
  <c r="A15701" i="1"/>
  <c r="D6247" i="1"/>
  <c r="B6247" i="1"/>
  <c r="A6247" i="1"/>
  <c r="D9162" i="1"/>
  <c r="B9162" i="1"/>
  <c r="A9162" i="1"/>
  <c r="D18705" i="1"/>
  <c r="B18705" i="1"/>
  <c r="A18705" i="1"/>
  <c r="D10220" i="1"/>
  <c r="A10220" i="1"/>
  <c r="D10366" i="1"/>
  <c r="A10366" i="1"/>
  <c r="D16317" i="1"/>
  <c r="A16317" i="1"/>
  <c r="D9072" i="1"/>
  <c r="B9072" i="1"/>
  <c r="A9072" i="1"/>
  <c r="D11599" i="1"/>
  <c r="B11599" i="1"/>
  <c r="A11599" i="1"/>
  <c r="D18593" i="1"/>
  <c r="B18593" i="1"/>
  <c r="A18593" i="1"/>
  <c r="D16364" i="1"/>
  <c r="B16364" i="1"/>
  <c r="A16364" i="1"/>
  <c r="D9333" i="1"/>
  <c r="B9333" i="1"/>
  <c r="A9333" i="1"/>
  <c r="D12090" i="1"/>
  <c r="B12090" i="1"/>
  <c r="A12090" i="1"/>
  <c r="D12675" i="1"/>
  <c r="B12675" i="1"/>
  <c r="A12675" i="1"/>
  <c r="D15876" i="1"/>
  <c r="A15876" i="1"/>
  <c r="D14877" i="1"/>
  <c r="B14877" i="1"/>
  <c r="A14877" i="1"/>
  <c r="D17731" i="1"/>
  <c r="B17731" i="1"/>
  <c r="A17731" i="1"/>
  <c r="D11505" i="1"/>
  <c r="A11505" i="1"/>
  <c r="D16572" i="1"/>
  <c r="B16572" i="1"/>
  <c r="A16572" i="1"/>
  <c r="D10846" i="1"/>
  <c r="A10846" i="1"/>
  <c r="D17424" i="1"/>
  <c r="B17424" i="1"/>
  <c r="A17424" i="1"/>
  <c r="D17564" i="1"/>
  <c r="B17564" i="1"/>
  <c r="A17564" i="1"/>
  <c r="D18351" i="1"/>
  <c r="B18351" i="1"/>
  <c r="A18351" i="1"/>
  <c r="D15471" i="1"/>
  <c r="B15471" i="1"/>
  <c r="A15471" i="1"/>
  <c r="D15308" i="1"/>
  <c r="B15308" i="1"/>
  <c r="A15308" i="1"/>
  <c r="D12501" i="1"/>
  <c r="A12501" i="1"/>
  <c r="D14863" i="1"/>
  <c r="B14863" i="1"/>
  <c r="A14863" i="1"/>
  <c r="D7735" i="1"/>
  <c r="B7735" i="1"/>
  <c r="A7735" i="1"/>
  <c r="D8075" i="1"/>
  <c r="A8075" i="1"/>
  <c r="D18707" i="1"/>
  <c r="B18707" i="1"/>
  <c r="A18707" i="1"/>
  <c r="D11658" i="1"/>
  <c r="B11658" i="1"/>
  <c r="A11658" i="1"/>
  <c r="D17906" i="1"/>
  <c r="B17906" i="1"/>
  <c r="A17906" i="1"/>
  <c r="D12109" i="1"/>
  <c r="B12109" i="1"/>
  <c r="A12109" i="1"/>
  <c r="D7306" i="1"/>
  <c r="B7306" i="1"/>
  <c r="A7306" i="1"/>
  <c r="D14780" i="1"/>
  <c r="B14780" i="1"/>
  <c r="A14780" i="1"/>
  <c r="D7263" i="1"/>
  <c r="B7263" i="1"/>
  <c r="A7263" i="1"/>
  <c r="D18376" i="1"/>
  <c r="B18376" i="1"/>
  <c r="A18376" i="1"/>
  <c r="D14690" i="1"/>
  <c r="C14690" i="1"/>
  <c r="B14690" i="1"/>
  <c r="A14690" i="1"/>
  <c r="D8373" i="1"/>
  <c r="B8373" i="1"/>
  <c r="A8373" i="1"/>
  <c r="D15006" i="1"/>
  <c r="A15006" i="1"/>
  <c r="D16924" i="1"/>
  <c r="B16924" i="1"/>
  <c r="A16924" i="1"/>
  <c r="D18767" i="1"/>
  <c r="A18767" i="1"/>
  <c r="D18521" i="1"/>
  <c r="B18521" i="1"/>
  <c r="A18521" i="1"/>
  <c r="D15341" i="1"/>
  <c r="B15341" i="1"/>
  <c r="A15341" i="1"/>
  <c r="D8025" i="1"/>
  <c r="B8025" i="1"/>
  <c r="A8025" i="1"/>
  <c r="D10253" i="1"/>
  <c r="A10253" i="1"/>
  <c r="D15101" i="1"/>
  <c r="A15101" i="1"/>
  <c r="D18520" i="1"/>
  <c r="B18520" i="1"/>
  <c r="A18520" i="1"/>
  <c r="D14661" i="1"/>
  <c r="B14661" i="1"/>
  <c r="A14661" i="1"/>
  <c r="D15796" i="1"/>
  <c r="B15796" i="1"/>
  <c r="A15796" i="1"/>
  <c r="D13472" i="1"/>
  <c r="B13472" i="1"/>
  <c r="A13472" i="1"/>
  <c r="D7049" i="1"/>
  <c r="B7049" i="1"/>
  <c r="A7049" i="1"/>
  <c r="D11777" i="1"/>
  <c r="B11777" i="1"/>
  <c r="A11777" i="1"/>
  <c r="D15027" i="1"/>
  <c r="B15027" i="1"/>
  <c r="A15027" i="1"/>
  <c r="D15534" i="1"/>
  <c r="B15534" i="1"/>
  <c r="A15534" i="1"/>
  <c r="D13509" i="1"/>
  <c r="B13509" i="1"/>
  <c r="A13509" i="1"/>
  <c r="D17037" i="1"/>
  <c r="B17037" i="1"/>
  <c r="A17037" i="1"/>
  <c r="D7333" i="1"/>
  <c r="B7333" i="1"/>
  <c r="A7333" i="1"/>
  <c r="D12433" i="1"/>
  <c r="A12433" i="1"/>
  <c r="D15785" i="1"/>
  <c r="B15785" i="1"/>
  <c r="A15785" i="1"/>
  <c r="D16032" i="1"/>
  <c r="B16032" i="1"/>
  <c r="A16032" i="1"/>
  <c r="D5571" i="1"/>
  <c r="A5571" i="1"/>
  <c r="D10643" i="1"/>
  <c r="A10643" i="1"/>
  <c r="D18402" i="1"/>
  <c r="A18402" i="1"/>
  <c r="D7914" i="1"/>
  <c r="A7914" i="1"/>
  <c r="D12060" i="1"/>
  <c r="A12060" i="1"/>
  <c r="D13817" i="1"/>
  <c r="B13817" i="1"/>
  <c r="A13817" i="1"/>
  <c r="D18405" i="1"/>
  <c r="B18405" i="1"/>
  <c r="A18405" i="1"/>
  <c r="D16937" i="1"/>
  <c r="B16937" i="1"/>
  <c r="A16937" i="1"/>
  <c r="D18635" i="1"/>
  <c r="B18635" i="1"/>
  <c r="A18635" i="1"/>
  <c r="D9948" i="1"/>
  <c r="B9948" i="1"/>
  <c r="A9948" i="1"/>
  <c r="D15984" i="1"/>
  <c r="B15984" i="1"/>
  <c r="A15984" i="1"/>
  <c r="D7644" i="1"/>
  <c r="C7644" i="1"/>
  <c r="B7644" i="1"/>
  <c r="A7644" i="1"/>
  <c r="D15102" i="1"/>
  <c r="B15102" i="1"/>
  <c r="A15102" i="1"/>
  <c r="D14449" i="1"/>
  <c r="B14449" i="1"/>
  <c r="A14449" i="1"/>
  <c r="D8218" i="1"/>
  <c r="B8218" i="1"/>
  <c r="A8218" i="1"/>
  <c r="D17181" i="1"/>
  <c r="A17181" i="1"/>
  <c r="D17818" i="1"/>
  <c r="B17818" i="1"/>
  <c r="A17818" i="1"/>
  <c r="D15289" i="1"/>
  <c r="B15289" i="1"/>
  <c r="A15289" i="1"/>
  <c r="D11784" i="1"/>
  <c r="B11784" i="1"/>
  <c r="A11784" i="1"/>
  <c r="D13095" i="1"/>
  <c r="B13095" i="1"/>
  <c r="A13095" i="1"/>
  <c r="D6233" i="1"/>
  <c r="B6233" i="1"/>
  <c r="A6233" i="1"/>
  <c r="D12197" i="1"/>
  <c r="B12197" i="1"/>
  <c r="A12197" i="1"/>
  <c r="D15054" i="1"/>
  <c r="B15054" i="1"/>
  <c r="A15054" i="1"/>
  <c r="D9650" i="1"/>
  <c r="B9650" i="1"/>
  <c r="A9650" i="1"/>
  <c r="D9123" i="1"/>
  <c r="A9123" i="1"/>
  <c r="D17562" i="1"/>
  <c r="A17562" i="1"/>
  <c r="D11420" i="1"/>
  <c r="B11420" i="1"/>
  <c r="A11420" i="1"/>
  <c r="D15229" i="1"/>
  <c r="B15229" i="1"/>
  <c r="A15229" i="1"/>
  <c r="D9574" i="1"/>
  <c r="B9574" i="1"/>
  <c r="A9574" i="1"/>
  <c r="D6566" i="1"/>
  <c r="B6566" i="1"/>
  <c r="A6566" i="1"/>
  <c r="D10250" i="1"/>
  <c r="B10250" i="1"/>
  <c r="A10250" i="1"/>
  <c r="D9938" i="1"/>
  <c r="B9938" i="1"/>
  <c r="A9938" i="1"/>
  <c r="D15756" i="1"/>
  <c r="B15756" i="1"/>
  <c r="A15756" i="1"/>
  <c r="D15532" i="1"/>
  <c r="B15532" i="1"/>
  <c r="A15532" i="1"/>
  <c r="D15646" i="1"/>
  <c r="A15646" i="1"/>
  <c r="D11582" i="1"/>
  <c r="C11582" i="1"/>
  <c r="B11582" i="1"/>
  <c r="A11582" i="1"/>
  <c r="D16345" i="1"/>
  <c r="A16345" i="1"/>
  <c r="D16299" i="1"/>
  <c r="B16299" i="1"/>
  <c r="A16299" i="1"/>
  <c r="D15365" i="1"/>
  <c r="B15365" i="1"/>
  <c r="A15365" i="1"/>
  <c r="D7533" i="1"/>
  <c r="B7533" i="1"/>
  <c r="A7533" i="1"/>
  <c r="D9669" i="1"/>
  <c r="B9669" i="1"/>
  <c r="A9669" i="1"/>
  <c r="D12622" i="1"/>
  <c r="B12622" i="1"/>
  <c r="A12622" i="1"/>
  <c r="D10184" i="1"/>
  <c r="B10184" i="1"/>
  <c r="A10184" i="1"/>
  <c r="D6793" i="1"/>
  <c r="B6793" i="1"/>
  <c r="A6793" i="1"/>
  <c r="D16257" i="1"/>
  <c r="B16257" i="1"/>
  <c r="A16257" i="1"/>
  <c r="D16001" i="1"/>
  <c r="B16001" i="1"/>
  <c r="A16001" i="1"/>
  <c r="D15383" i="1"/>
  <c r="B15383" i="1"/>
  <c r="A15383" i="1"/>
  <c r="D14963" i="1"/>
  <c r="A14963" i="1"/>
  <c r="D16906" i="1"/>
  <c r="B16906" i="1"/>
  <c r="A16906" i="1"/>
  <c r="D7618" i="1"/>
  <c r="B7618" i="1"/>
  <c r="A7618" i="1"/>
  <c r="D14776" i="1"/>
  <c r="A14776" i="1"/>
  <c r="D14893" i="1"/>
  <c r="B14893" i="1"/>
  <c r="A14893" i="1"/>
  <c r="D18291" i="1"/>
  <c r="B18291" i="1"/>
  <c r="A18291" i="1"/>
  <c r="D8419" i="1"/>
  <c r="A8419" i="1"/>
  <c r="D15234" i="1"/>
  <c r="B15234" i="1"/>
  <c r="A15234" i="1"/>
  <c r="D12296" i="1"/>
  <c r="B12296" i="1"/>
  <c r="A12296" i="1"/>
  <c r="D7118" i="1"/>
  <c r="B7118" i="1"/>
  <c r="A7118" i="1"/>
  <c r="D17730" i="1"/>
  <c r="B17730" i="1"/>
  <c r="A17730" i="1"/>
  <c r="D15523" i="1"/>
  <c r="B15523" i="1"/>
  <c r="A15523" i="1"/>
  <c r="D10143" i="1"/>
  <c r="B10143" i="1"/>
  <c r="A10143" i="1"/>
  <c r="D17979" i="1"/>
  <c r="B17979" i="1"/>
  <c r="A17979" i="1"/>
  <c r="D7539" i="1"/>
  <c r="B7539" i="1"/>
  <c r="A7539" i="1"/>
  <c r="D7762" i="1"/>
  <c r="B7762" i="1"/>
  <c r="A7762" i="1"/>
  <c r="D11233" i="1"/>
  <c r="B11233" i="1"/>
  <c r="A11233" i="1"/>
  <c r="D11559" i="1"/>
  <c r="B11559" i="1"/>
  <c r="A11559" i="1"/>
  <c r="D10290" i="1"/>
  <c r="B10290" i="1"/>
  <c r="A10290" i="1"/>
  <c r="D6646" i="1"/>
  <c r="A6646" i="1"/>
  <c r="D12167" i="1"/>
  <c r="B12167" i="1"/>
  <c r="A12167" i="1"/>
  <c r="D16169" i="1"/>
  <c r="B16169" i="1"/>
  <c r="A16169" i="1"/>
  <c r="D7562" i="1"/>
  <c r="B7562" i="1"/>
  <c r="A7562" i="1"/>
  <c r="D10771" i="1"/>
  <c r="B10771" i="1"/>
  <c r="A10771" i="1"/>
  <c r="D10232" i="1"/>
  <c r="A10232" i="1"/>
  <c r="D9047" i="1"/>
  <c r="B9047" i="1"/>
  <c r="A9047" i="1"/>
  <c r="D11447" i="1"/>
  <c r="B11447" i="1"/>
  <c r="A11447" i="1"/>
  <c r="D15315" i="1"/>
  <c r="B15315" i="1"/>
  <c r="A15315" i="1"/>
  <c r="D18764" i="1"/>
  <c r="C18764" i="1"/>
  <c r="B18764" i="1"/>
  <c r="A18764" i="1"/>
  <c r="D15538" i="1"/>
  <c r="B15538" i="1"/>
  <c r="A15538" i="1"/>
  <c r="D7115" i="1"/>
  <c r="B7115" i="1"/>
  <c r="A7115" i="1"/>
  <c r="D10669" i="1"/>
  <c r="B10669" i="1"/>
  <c r="A10669" i="1"/>
  <c r="D11729" i="1"/>
  <c r="B11729" i="1"/>
  <c r="A11729" i="1"/>
  <c r="D15643" i="1"/>
  <c r="B15643" i="1"/>
  <c r="A15643" i="1"/>
  <c r="D9264" i="1"/>
  <c r="B9264" i="1"/>
  <c r="A9264" i="1"/>
  <c r="D14065" i="1"/>
  <c r="A14065" i="1"/>
  <c r="D17717" i="1"/>
  <c r="A17717" i="1"/>
  <c r="D14889" i="1"/>
  <c r="B14889" i="1"/>
  <c r="A14889" i="1"/>
  <c r="D12125" i="1"/>
  <c r="B12125" i="1"/>
  <c r="A12125" i="1"/>
  <c r="D14261" i="1"/>
  <c r="B14261" i="1"/>
  <c r="A14261" i="1"/>
  <c r="D16422" i="1"/>
  <c r="C16422" i="1"/>
  <c r="B16422" i="1"/>
  <c r="A16422" i="1"/>
  <c r="D6436" i="1"/>
  <c r="B6436" i="1"/>
  <c r="A6436" i="1"/>
  <c r="D9770" i="1"/>
  <c r="B9770" i="1"/>
  <c r="A9770" i="1"/>
  <c r="D15744" i="1"/>
  <c r="A15744" i="1"/>
  <c r="D6855" i="1"/>
  <c r="B6855" i="1"/>
  <c r="A6855" i="1"/>
  <c r="D6644" i="1"/>
  <c r="B6644" i="1"/>
  <c r="A6644" i="1"/>
  <c r="D10705" i="1"/>
  <c r="B10705" i="1"/>
  <c r="A10705" i="1"/>
  <c r="D15230" i="1"/>
  <c r="B15230" i="1"/>
  <c r="A15230" i="1"/>
  <c r="D9664" i="1"/>
  <c r="B9664" i="1"/>
  <c r="A9664" i="1"/>
  <c r="D12046" i="1"/>
  <c r="B12046" i="1"/>
  <c r="A12046" i="1"/>
  <c r="D7840" i="1"/>
  <c r="B7840" i="1"/>
  <c r="A7840" i="1"/>
  <c r="D9275" i="1"/>
  <c r="B9275" i="1"/>
  <c r="A9275" i="1"/>
  <c r="D5557" i="1"/>
  <c r="A5557" i="1"/>
  <c r="D10876" i="1"/>
  <c r="B10876" i="1"/>
  <c r="A10876" i="1"/>
  <c r="D13061" i="1"/>
  <c r="B13061" i="1"/>
  <c r="A13061" i="1"/>
  <c r="D15413" i="1"/>
  <c r="B15413" i="1"/>
  <c r="A15413" i="1"/>
  <c r="D13846" i="1"/>
  <c r="A13846" i="1"/>
  <c r="D17662" i="1"/>
  <c r="B17662" i="1"/>
  <c r="A17662" i="1"/>
  <c r="D12351" i="1"/>
  <c r="B12351" i="1"/>
  <c r="A12351" i="1"/>
  <c r="D15272" i="1"/>
  <c r="B15272" i="1"/>
  <c r="A15272" i="1"/>
  <c r="D8230" i="1"/>
  <c r="B8230" i="1"/>
  <c r="A8230" i="1"/>
  <c r="D8940" i="1"/>
  <c r="A8940" i="1"/>
  <c r="D8528" i="1"/>
  <c r="B8528" i="1"/>
  <c r="A8528" i="1"/>
  <c r="D10906" i="1"/>
  <c r="B10906" i="1"/>
  <c r="A10906" i="1"/>
  <c r="D10341" i="1"/>
  <c r="A10341" i="1"/>
  <c r="D8104" i="1"/>
  <c r="B8104" i="1"/>
  <c r="A8104" i="1"/>
  <c r="D15682" i="1"/>
  <c r="B15682" i="1"/>
  <c r="A15682" i="1"/>
  <c r="D12024" i="1"/>
  <c r="A12024" i="1"/>
  <c r="D18150" i="1"/>
  <c r="B18150" i="1"/>
  <c r="A18150" i="1"/>
  <c r="D17785" i="1"/>
  <c r="B17785" i="1"/>
  <c r="A17785" i="1"/>
  <c r="D16334" i="1"/>
  <c r="A16334" i="1"/>
  <c r="D11984" i="1"/>
  <c r="B11984" i="1"/>
  <c r="A11984" i="1"/>
  <c r="D15382" i="1"/>
  <c r="B15382" i="1"/>
  <c r="A15382" i="1"/>
  <c r="D15486" i="1"/>
  <c r="B15486" i="1"/>
  <c r="A15486" i="1"/>
  <c r="D17874" i="1"/>
  <c r="B17874" i="1"/>
  <c r="A17874" i="1"/>
  <c r="D17836" i="1"/>
  <c r="B17836" i="1"/>
  <c r="A17836" i="1"/>
  <c r="D11900" i="1"/>
  <c r="A11900" i="1"/>
  <c r="D17827" i="1"/>
  <c r="A17827" i="1"/>
  <c r="D17911" i="1"/>
  <c r="A17911" i="1"/>
  <c r="D10380" i="1"/>
  <c r="B10380" i="1"/>
  <c r="A10380" i="1"/>
  <c r="D6437" i="1"/>
  <c r="B6437" i="1"/>
  <c r="A6437" i="1"/>
  <c r="D13464" i="1"/>
  <c r="A13464" i="1"/>
  <c r="D15339" i="1"/>
  <c r="B15339" i="1"/>
  <c r="A15339" i="1"/>
  <c r="D15305" i="1"/>
  <c r="B15305" i="1"/>
  <c r="A15305" i="1"/>
  <c r="D15093" i="1"/>
  <c r="A15093" i="1"/>
  <c r="D17972" i="1"/>
  <c r="A17972" i="1"/>
  <c r="D12184" i="1"/>
  <c r="B12184" i="1"/>
  <c r="A12184" i="1"/>
  <c r="D12206" i="1"/>
  <c r="A12206" i="1"/>
  <c r="D15380" i="1"/>
  <c r="B15380" i="1"/>
  <c r="A15380" i="1"/>
  <c r="D12059" i="1"/>
  <c r="A12059" i="1"/>
  <c r="D6734" i="1"/>
  <c r="B6734" i="1"/>
  <c r="A6734" i="1"/>
  <c r="D15900" i="1"/>
  <c r="A15900" i="1"/>
  <c r="D5469" i="1"/>
  <c r="A5469" i="1"/>
  <c r="D11063" i="1"/>
  <c r="A11063" i="1"/>
  <c r="D18601" i="1"/>
  <c r="B18601" i="1"/>
  <c r="A18601" i="1"/>
  <c r="D5555" i="1"/>
  <c r="A5555" i="1"/>
  <c r="D15325" i="1"/>
  <c r="B15325" i="1"/>
  <c r="A15325" i="1"/>
  <c r="D15747" i="1"/>
  <c r="B15747" i="1"/>
  <c r="A15747" i="1"/>
  <c r="D7841" i="1"/>
  <c r="B7841" i="1"/>
  <c r="A7841" i="1"/>
  <c r="D18326" i="1"/>
  <c r="A18326" i="1"/>
  <c r="D13145" i="1"/>
  <c r="B13145" i="1"/>
  <c r="A13145" i="1"/>
  <c r="D8254" i="1"/>
  <c r="A8254" i="1"/>
  <c r="D5720" i="1"/>
  <c r="A5720" i="1"/>
  <c r="D15999" i="1"/>
  <c r="A15999" i="1"/>
  <c r="D11842" i="1"/>
  <c r="B11842" i="1"/>
  <c r="A11842" i="1"/>
  <c r="D6908" i="1"/>
  <c r="B6908" i="1"/>
  <c r="A6908" i="1"/>
  <c r="D8208" i="1"/>
  <c r="B8208" i="1"/>
  <c r="A8208" i="1"/>
  <c r="D10653" i="1"/>
  <c r="A10653" i="1"/>
  <c r="D13446" i="1"/>
  <c r="B13446" i="1"/>
  <c r="A13446" i="1"/>
  <c r="D13810" i="1"/>
  <c r="B13810" i="1"/>
  <c r="A13810" i="1"/>
  <c r="D10936" i="1"/>
  <c r="B10936" i="1"/>
  <c r="A10936" i="1"/>
  <c r="D15245" i="1"/>
  <c r="B15245" i="1"/>
  <c r="A15245" i="1"/>
  <c r="D15219" i="1"/>
  <c r="B15219" i="1"/>
  <c r="A15219" i="1"/>
  <c r="D15171" i="1"/>
  <c r="B15171" i="1"/>
  <c r="A15171" i="1"/>
  <c r="D16713" i="1"/>
  <c r="B16713" i="1"/>
  <c r="A16713" i="1"/>
  <c r="D14787" i="1"/>
  <c r="A14787" i="1"/>
  <c r="D17238" i="1"/>
  <c r="B17238" i="1"/>
  <c r="A17238" i="1"/>
  <c r="D5910" i="1"/>
  <c r="B5910" i="1"/>
  <c r="A5910" i="1"/>
  <c r="D18151" i="1"/>
  <c r="B18151" i="1"/>
  <c r="A18151" i="1"/>
  <c r="D14934" i="1"/>
  <c r="B14934" i="1"/>
  <c r="A14934" i="1"/>
  <c r="D9894" i="1"/>
  <c r="B9894" i="1"/>
  <c r="A9894" i="1"/>
  <c r="D7844" i="1"/>
  <c r="B7844" i="1"/>
  <c r="A7844" i="1"/>
  <c r="D9177" i="1"/>
  <c r="A9177" i="1"/>
  <c r="D15248" i="1"/>
  <c r="B15248" i="1"/>
  <c r="A15248" i="1"/>
  <c r="D15303" i="1"/>
  <c r="A15303" i="1"/>
  <c r="D11366" i="1"/>
  <c r="B11366" i="1"/>
  <c r="A11366" i="1"/>
  <c r="D12070" i="1"/>
  <c r="A12070" i="1"/>
  <c r="D6081" i="1"/>
  <c r="A6081" i="1"/>
  <c r="D11036" i="1"/>
  <c r="B11036" i="1"/>
  <c r="A11036" i="1"/>
  <c r="D14074" i="1"/>
  <c r="B14074" i="1"/>
  <c r="A14074" i="1"/>
  <c r="D13496" i="1"/>
  <c r="B13496" i="1"/>
  <c r="A13496" i="1"/>
  <c r="D18211" i="1"/>
  <c r="A18211" i="1"/>
  <c r="D9205" i="1"/>
  <c r="B9205" i="1"/>
  <c r="A9205" i="1"/>
  <c r="D16232" i="1"/>
  <c r="B16232" i="1"/>
  <c r="A16232" i="1"/>
  <c r="D13047" i="1"/>
  <c r="A13047" i="1"/>
  <c r="D10612" i="1"/>
  <c r="B10612" i="1"/>
  <c r="A10612" i="1"/>
  <c r="D12188" i="1"/>
  <c r="B12188" i="1"/>
  <c r="A12188" i="1"/>
  <c r="D9331" i="1"/>
  <c r="B9331" i="1"/>
  <c r="A9331" i="1"/>
  <c r="D10794" i="1"/>
  <c r="A10794" i="1"/>
  <c r="D16912" i="1"/>
  <c r="A16912" i="1"/>
  <c r="D6610" i="1"/>
  <c r="A6610" i="1"/>
  <c r="D15379" i="1"/>
  <c r="B15379" i="1"/>
  <c r="A15379" i="1"/>
  <c r="D10968" i="1"/>
  <c r="B10968" i="1"/>
  <c r="A10968" i="1"/>
  <c r="D15326" i="1"/>
  <c r="B15326" i="1"/>
  <c r="A15326" i="1"/>
  <c r="D15236" i="1"/>
  <c r="B15236" i="1"/>
  <c r="A15236" i="1"/>
  <c r="D6800" i="1"/>
  <c r="B6800" i="1"/>
  <c r="A6800" i="1"/>
  <c r="D11075" i="1"/>
  <c r="A11075" i="1"/>
  <c r="D17300" i="1"/>
  <c r="B17300" i="1"/>
  <c r="A17300" i="1"/>
  <c r="D7921" i="1"/>
  <c r="B7921" i="1"/>
  <c r="A7921" i="1"/>
  <c r="D11774" i="1"/>
  <c r="B11774" i="1"/>
  <c r="A11774" i="1"/>
  <c r="D13520" i="1"/>
  <c r="B13520" i="1"/>
  <c r="A13520" i="1"/>
  <c r="D17388" i="1"/>
  <c r="B17388" i="1"/>
  <c r="A17388" i="1"/>
  <c r="D6651" i="1"/>
  <c r="A6651" i="1"/>
  <c r="D15927" i="1"/>
  <c r="A15927" i="1"/>
  <c r="D15955" i="1"/>
  <c r="B15955" i="1"/>
  <c r="A15955" i="1"/>
  <c r="D5443" i="1"/>
  <c r="A5443" i="1"/>
  <c r="D10642" i="1"/>
  <c r="A10642" i="1"/>
  <c r="D9379" i="1"/>
  <c r="B9379" i="1"/>
  <c r="A9379" i="1"/>
  <c r="D11804" i="1"/>
  <c r="B11804" i="1"/>
  <c r="A11804" i="1"/>
  <c r="D9751" i="1"/>
  <c r="B9751" i="1"/>
  <c r="A9751" i="1"/>
  <c r="D9390" i="1"/>
  <c r="B9390" i="1"/>
  <c r="A9390" i="1"/>
  <c r="D17795" i="1"/>
  <c r="B17795" i="1"/>
  <c r="A17795" i="1"/>
  <c r="D7266" i="1"/>
  <c r="B7266" i="1"/>
  <c r="A7266" i="1"/>
  <c r="D12684" i="1"/>
  <c r="B12684" i="1"/>
  <c r="A12684" i="1"/>
  <c r="D12878" i="1"/>
  <c r="A12878" i="1"/>
  <c r="D5907" i="1"/>
  <c r="A5907" i="1"/>
  <c r="D7420" i="1"/>
  <c r="A7420" i="1"/>
  <c r="D10702" i="1"/>
  <c r="B10702" i="1"/>
  <c r="A10702" i="1"/>
  <c r="D15239" i="1"/>
  <c r="B15239" i="1"/>
  <c r="A15239" i="1"/>
  <c r="D15302" i="1"/>
  <c r="B15302" i="1"/>
  <c r="A15302" i="1"/>
  <c r="D5561" i="1"/>
  <c r="A5561" i="1"/>
  <c r="D15351" i="1"/>
  <c r="B15351" i="1"/>
  <c r="A15351" i="1"/>
  <c r="D5520" i="1"/>
  <c r="A5520" i="1"/>
  <c r="D15430" i="1"/>
  <c r="B15430" i="1"/>
  <c r="A15430" i="1"/>
  <c r="D15210" i="1"/>
  <c r="B15210" i="1"/>
  <c r="A15210" i="1"/>
  <c r="D10071" i="1"/>
  <c r="A10071" i="1"/>
  <c r="D9151" i="1"/>
  <c r="A9151" i="1"/>
  <c r="D18377" i="1"/>
  <c r="B18377" i="1"/>
  <c r="A18377" i="1"/>
  <c r="D17001" i="1"/>
  <c r="A17001" i="1"/>
  <c r="D14821" i="1"/>
  <c r="B14821" i="1"/>
  <c r="A14821" i="1"/>
  <c r="D17572" i="1"/>
  <c r="B17572" i="1"/>
  <c r="A17572" i="1"/>
  <c r="D6809" i="1"/>
  <c r="A6809" i="1"/>
  <c r="D16326" i="1"/>
  <c r="A16326" i="1"/>
  <c r="D5764" i="1"/>
  <c r="A5764" i="1"/>
  <c r="D9884" i="1"/>
  <c r="A9884" i="1"/>
  <c r="D6431" i="1"/>
  <c r="A6431" i="1"/>
  <c r="D10530" i="1"/>
  <c r="B10530" i="1"/>
  <c r="A10530" i="1"/>
  <c r="D11509" i="1"/>
  <c r="A11509" i="1"/>
  <c r="D17879" i="1"/>
  <c r="A17879" i="1"/>
  <c r="D7434" i="1"/>
  <c r="A7434" i="1"/>
  <c r="D14955" i="1"/>
  <c r="B14955" i="1"/>
  <c r="A14955" i="1"/>
  <c r="D15650" i="1"/>
  <c r="A15650" i="1"/>
  <c r="D10700" i="1"/>
  <c r="A10700" i="1"/>
  <c r="D8495" i="1"/>
  <c r="A8495" i="1"/>
  <c r="D5660" i="1"/>
  <c r="A5660" i="1"/>
  <c r="D9712" i="1"/>
  <c r="A9712" i="1"/>
  <c r="D5664" i="1"/>
  <c r="A5664" i="1"/>
  <c r="D6818" i="1"/>
  <c r="A6818" i="1"/>
  <c r="D16221" i="1"/>
  <c r="A16221" i="1"/>
  <c r="D14149" i="1"/>
  <c r="B14149" i="1"/>
  <c r="A14149" i="1"/>
  <c r="D9789" i="1"/>
  <c r="A9789" i="1"/>
  <c r="D7439" i="1"/>
  <c r="A7439" i="1"/>
  <c r="D14104" i="1"/>
  <c r="A14104" i="1"/>
  <c r="D5848" i="1"/>
  <c r="A5848" i="1"/>
  <c r="D5564" i="1"/>
  <c r="A5564" i="1"/>
  <c r="D5499" i="1"/>
  <c r="A5499" i="1"/>
  <c r="D11964" i="1"/>
  <c r="A11964" i="1"/>
  <c r="D12196" i="1"/>
  <c r="B12196" i="1"/>
  <c r="A12196" i="1"/>
  <c r="D17184" i="1"/>
  <c r="A17184" i="1"/>
  <c r="D16963" i="1"/>
  <c r="A16963" i="1"/>
  <c r="D7424" i="1"/>
  <c r="A7424" i="1"/>
  <c r="D7380" i="1"/>
  <c r="B7380" i="1"/>
  <c r="A7380" i="1"/>
  <c r="D8494" i="1"/>
  <c r="A8494" i="1"/>
  <c r="D7048" i="1"/>
  <c r="B7048" i="1"/>
  <c r="A7048" i="1"/>
  <c r="D16298" i="1"/>
  <c r="B16298" i="1"/>
  <c r="A16298" i="1"/>
  <c r="D7202" i="1"/>
  <c r="B7202" i="1"/>
  <c r="A7202" i="1"/>
  <c r="D8147" i="1"/>
  <c r="B8147" i="1"/>
  <c r="A8147" i="1"/>
  <c r="D18595" i="1"/>
  <c r="B18595" i="1"/>
  <c r="A18595" i="1"/>
  <c r="D12421" i="1"/>
  <c r="A12421" i="1"/>
  <c r="D15204" i="1"/>
  <c r="B15204" i="1"/>
  <c r="A15204" i="1"/>
  <c r="D18477" i="1"/>
  <c r="A18477" i="1"/>
  <c r="D7070" i="1"/>
  <c r="A7070" i="1"/>
  <c r="D15854" i="1"/>
  <c r="A15854" i="1"/>
  <c r="D10269" i="1"/>
  <c r="A10269" i="1"/>
  <c r="D7034" i="1"/>
  <c r="A7034" i="1"/>
  <c r="D8235" i="1"/>
  <c r="B8235" i="1"/>
  <c r="A8235" i="1"/>
  <c r="D9282" i="1"/>
  <c r="A9282" i="1"/>
  <c r="D15803" i="1"/>
  <c r="A15803" i="1"/>
  <c r="D13857" i="1"/>
  <c r="A13857" i="1"/>
  <c r="D18612" i="1"/>
  <c r="A18612" i="1"/>
  <c r="D10427" i="1"/>
  <c r="A10427" i="1"/>
  <c r="D9588" i="1"/>
  <c r="A9588" i="1"/>
  <c r="D17508" i="1"/>
  <c r="A17508" i="1"/>
  <c r="D16802" i="1"/>
  <c r="A16802" i="1"/>
  <c r="D12131" i="1"/>
  <c r="A12131" i="1"/>
  <c r="D12862" i="1"/>
  <c r="A12862" i="1"/>
  <c r="D10544" i="1"/>
  <c r="A10544" i="1"/>
  <c r="D18239" i="1"/>
  <c r="B18239" i="1"/>
  <c r="A18239" i="1"/>
  <c r="D7297" i="1"/>
  <c r="A7297" i="1"/>
  <c r="D14851" i="1"/>
  <c r="B14851" i="1"/>
  <c r="A14851" i="1"/>
  <c r="D16265" i="1"/>
  <c r="A16265" i="1"/>
  <c r="D15816" i="1"/>
  <c r="A15816" i="1"/>
  <c r="D15519" i="1"/>
  <c r="B15519" i="1"/>
  <c r="A15519" i="1"/>
  <c r="D6920" i="1"/>
  <c r="A6920" i="1"/>
  <c r="D15510" i="1"/>
  <c r="A15510" i="1"/>
  <c r="D8371" i="1"/>
  <c r="B8371" i="1"/>
  <c r="A8371" i="1"/>
  <c r="D15542" i="1"/>
  <c r="B15542" i="1"/>
  <c r="A15542" i="1"/>
  <c r="D12869" i="1"/>
  <c r="A12869" i="1"/>
  <c r="D15126" i="1"/>
  <c r="B15126" i="1"/>
  <c r="A15126" i="1"/>
  <c r="D17577" i="1"/>
  <c r="A17577" i="1"/>
  <c r="D7573" i="1"/>
  <c r="A7573" i="1"/>
  <c r="D16304" i="1"/>
  <c r="A16304" i="1"/>
  <c r="D18360" i="1"/>
  <c r="B18360" i="1"/>
  <c r="A18360" i="1"/>
  <c r="D15087" i="1"/>
  <c r="B15087" i="1"/>
  <c r="A15087" i="1"/>
  <c r="D15386" i="1"/>
  <c r="B15386" i="1"/>
  <c r="A15386" i="1"/>
  <c r="D11966" i="1"/>
  <c r="B11966" i="1"/>
  <c r="A11966" i="1"/>
  <c r="D14828" i="1"/>
  <c r="A14828" i="1"/>
  <c r="D14953" i="1"/>
  <c r="B14953" i="1"/>
  <c r="A14953" i="1"/>
  <c r="D15028" i="1"/>
  <c r="A15028" i="1"/>
  <c r="D15051" i="1"/>
  <c r="A15051" i="1"/>
  <c r="D10036" i="1"/>
  <c r="A10036" i="1"/>
  <c r="D6924" i="1"/>
  <c r="A6924" i="1"/>
  <c r="D14117" i="1"/>
  <c r="A14117" i="1"/>
  <c r="D9732" i="1"/>
  <c r="A9732" i="1"/>
  <c r="D12026" i="1"/>
  <c r="A12026" i="1"/>
  <c r="D14614" i="1"/>
  <c r="A14614" i="1"/>
  <c r="D11060" i="1"/>
  <c r="B11060" i="1"/>
  <c r="A11060" i="1"/>
  <c r="D5453" i="1"/>
  <c r="A5453" i="1"/>
  <c r="D10099" i="1"/>
  <c r="A10099" i="1"/>
  <c r="D14483" i="1"/>
  <c r="B14483" i="1"/>
  <c r="A14483" i="1"/>
  <c r="D10625" i="1"/>
  <c r="A10625" i="1"/>
  <c r="D14118" i="1"/>
  <c r="A14118" i="1"/>
  <c r="D5860" i="1"/>
  <c r="A5860" i="1"/>
  <c r="D5638" i="1"/>
  <c r="A5638" i="1"/>
  <c r="D5838" i="1"/>
  <c r="A5838" i="1"/>
  <c r="D5390" i="1"/>
  <c r="A5390" i="1"/>
  <c r="D5711" i="1"/>
  <c r="A5711" i="1"/>
  <c r="D5836" i="1"/>
  <c r="A5836" i="1"/>
  <c r="D5421" i="1"/>
  <c r="A5421" i="1"/>
  <c r="D5670" i="1"/>
  <c r="A5670" i="1"/>
  <c r="D5731" i="1"/>
  <c r="A5731" i="1"/>
  <c r="D16376" i="1"/>
  <c r="A16376" i="1"/>
  <c r="D18576" i="1"/>
  <c r="A18576" i="1"/>
  <c r="D17420" i="1"/>
  <c r="A17420" i="1"/>
  <c r="D12705" i="1"/>
  <c r="A12705" i="1"/>
  <c r="D12020" i="1"/>
  <c r="A12020" i="1"/>
  <c r="D5452" i="1"/>
  <c r="A5452" i="1"/>
  <c r="D5635" i="1"/>
  <c r="A5635" i="1"/>
  <c r="D5816" i="1"/>
  <c r="A5816" i="1"/>
  <c r="D5723" i="1"/>
  <c r="A5723" i="1"/>
  <c r="D5656" i="1"/>
  <c r="A5656" i="1"/>
  <c r="D5392" i="1"/>
  <c r="A5392" i="1"/>
  <c r="D15414" i="1"/>
  <c r="B15414" i="1"/>
  <c r="A15414" i="1"/>
  <c r="D17134" i="1"/>
  <c r="B17134" i="1"/>
  <c r="A17134" i="1"/>
  <c r="D5538" i="1"/>
  <c r="A5538" i="1"/>
  <c r="D17123" i="1"/>
  <c r="B17123" i="1"/>
  <c r="A17123" i="1"/>
  <c r="D5600" i="1"/>
  <c r="A5600" i="1"/>
  <c r="D5704" i="1"/>
  <c r="A5704" i="1"/>
  <c r="D16324" i="1"/>
  <c r="B16324" i="1"/>
  <c r="A16324" i="1"/>
  <c r="D5689" i="1"/>
  <c r="A5689" i="1"/>
  <c r="D5808" i="1"/>
  <c r="A5808" i="1"/>
  <c r="D5640" i="1"/>
  <c r="A5640" i="1"/>
  <c r="D5800" i="1"/>
  <c r="A5800" i="1"/>
  <c r="D7289" i="1"/>
  <c r="A7289" i="1"/>
  <c r="D12702" i="1"/>
  <c r="B12702" i="1"/>
  <c r="A12702" i="1"/>
  <c r="D5506" i="1"/>
  <c r="A5506" i="1"/>
  <c r="D5532" i="1"/>
  <c r="A5532" i="1"/>
  <c r="D7312" i="1"/>
  <c r="A7312" i="1"/>
  <c r="D9107" i="1"/>
  <c r="A9107" i="1"/>
  <c r="D7725" i="1"/>
  <c r="B7725" i="1"/>
  <c r="A7725" i="1"/>
  <c r="D6787" i="1"/>
  <c r="A6787" i="1"/>
  <c r="D7255" i="1"/>
  <c r="A7255" i="1"/>
  <c r="D9601" i="1"/>
  <c r="A9601" i="1"/>
  <c r="D7482" i="1"/>
  <c r="B7482" i="1"/>
  <c r="A7482" i="1"/>
  <c r="D18294" i="1"/>
  <c r="A18294" i="1"/>
  <c r="D18092" i="1"/>
  <c r="A18092" i="1"/>
  <c r="D18091" i="1"/>
  <c r="A18091" i="1"/>
  <c r="D10752" i="1"/>
  <c r="A10752" i="1"/>
  <c r="D11223" i="1"/>
  <c r="B11223" i="1"/>
  <c r="A11223" i="1"/>
  <c r="D15831" i="1"/>
  <c r="A15831" i="1"/>
  <c r="D10264" i="1"/>
  <c r="B10264" i="1"/>
  <c r="A10264" i="1"/>
  <c r="D11795" i="1"/>
  <c r="B11795" i="1"/>
  <c r="A11795" i="1"/>
  <c r="D9762" i="1"/>
  <c r="A9762" i="1"/>
  <c r="D6207" i="1"/>
  <c r="A6207" i="1"/>
  <c r="D7043" i="1"/>
  <c r="A7043" i="1"/>
  <c r="D10129" i="1"/>
  <c r="B10129" i="1"/>
  <c r="A10129" i="1"/>
  <c r="D7017" i="1"/>
  <c r="B7017" i="1"/>
  <c r="A7017" i="1"/>
  <c r="D17488" i="1"/>
  <c r="A17488" i="1"/>
  <c r="D17009" i="1"/>
  <c r="A17009" i="1"/>
  <c r="D11566" i="1"/>
  <c r="C11566" i="1"/>
  <c r="B11566" i="1"/>
  <c r="A11566" i="1"/>
  <c r="D16925" i="1"/>
  <c r="A16925" i="1"/>
  <c r="D11869" i="1"/>
  <c r="A11869" i="1"/>
  <c r="D8470" i="1"/>
  <c r="A8470" i="1"/>
  <c r="D16144" i="1"/>
  <c r="A16144" i="1"/>
  <c r="D6886" i="1"/>
  <c r="A6886" i="1"/>
  <c r="D10581" i="1"/>
  <c r="A10581" i="1"/>
  <c r="D6893" i="1"/>
  <c r="A6893" i="1"/>
  <c r="D17159" i="1"/>
  <c r="A17159" i="1"/>
  <c r="D16033" i="1"/>
  <c r="B16033" i="1"/>
  <c r="A16033" i="1"/>
  <c r="D16031" i="1"/>
  <c r="B16031" i="1"/>
  <c r="A16031" i="1"/>
  <c r="D10758" i="1"/>
  <c r="A10758" i="1"/>
  <c r="D12122" i="1"/>
  <c r="A12122" i="1"/>
  <c r="D9300" i="1"/>
  <c r="A9300" i="1"/>
  <c r="D15180" i="1"/>
  <c r="B15180" i="1"/>
  <c r="A15180" i="1"/>
  <c r="D18111" i="1"/>
  <c r="A18111" i="1"/>
  <c r="D15161" i="1"/>
  <c r="B15161" i="1"/>
  <c r="A15161" i="1"/>
  <c r="D15024" i="1"/>
  <c r="B15024" i="1"/>
  <c r="A15024" i="1"/>
  <c r="D9199" i="1"/>
  <c r="A9199" i="1"/>
  <c r="D15221" i="1"/>
  <c r="B15221" i="1"/>
  <c r="A15221" i="1"/>
  <c r="D5397" i="1"/>
  <c r="A5397" i="1"/>
  <c r="D17745" i="1"/>
  <c r="A17745" i="1"/>
  <c r="D8505" i="1"/>
  <c r="B8505" i="1"/>
  <c r="A8505" i="1"/>
  <c r="D17288" i="1"/>
  <c r="B17288" i="1"/>
  <c r="A17288" i="1"/>
  <c r="D6547" i="1"/>
  <c r="B6547" i="1"/>
  <c r="A6547" i="1"/>
  <c r="D6503" i="1"/>
  <c r="A6503" i="1"/>
  <c r="D14990" i="1"/>
  <c r="A14990" i="1"/>
  <c r="D14965" i="1"/>
  <c r="A14965" i="1"/>
  <c r="D10580" i="1"/>
  <c r="A10580" i="1"/>
  <c r="D5450" i="1"/>
  <c r="A5450" i="1"/>
  <c r="D5658" i="1"/>
  <c r="A5658" i="1"/>
  <c r="D11840" i="1"/>
  <c r="A11840" i="1"/>
  <c r="D15717" i="1"/>
  <c r="A15717" i="1"/>
  <c r="D10582" i="1"/>
  <c r="A10582" i="1"/>
  <c r="D10542" i="1"/>
  <c r="A10542" i="1"/>
  <c r="D17909" i="1"/>
  <c r="A17909" i="1"/>
  <c r="D6616" i="1"/>
  <c r="A6616" i="1"/>
  <c r="D7136" i="1"/>
  <c r="B7136" i="1"/>
  <c r="A7136" i="1"/>
  <c r="D16319" i="1"/>
  <c r="A16319" i="1"/>
  <c r="D15041" i="1"/>
  <c r="B15041" i="1"/>
  <c r="A15041" i="1"/>
  <c r="D15258" i="1"/>
  <c r="A15258" i="1"/>
  <c r="D15502" i="1"/>
  <c r="B15502" i="1"/>
  <c r="A15502" i="1"/>
  <c r="D15420" i="1"/>
  <c r="A15420" i="1"/>
  <c r="D11481" i="1"/>
  <c r="B11481" i="1"/>
  <c r="A11481" i="1"/>
  <c r="D10328" i="1"/>
  <c r="A10328" i="1"/>
  <c r="D18310" i="1"/>
  <c r="A18310" i="1"/>
  <c r="D15788" i="1"/>
  <c r="B15788" i="1"/>
  <c r="A15788" i="1"/>
  <c r="D7600" i="1"/>
  <c r="A7600" i="1"/>
  <c r="D16154" i="1"/>
  <c r="A16154" i="1"/>
  <c r="D5407" i="1"/>
  <c r="A5407" i="1"/>
  <c r="D18367" i="1"/>
  <c r="A18367" i="1"/>
  <c r="D17736" i="1"/>
  <c r="A17736" i="1"/>
  <c r="D18633" i="1"/>
  <c r="B18633" i="1"/>
  <c r="A18633" i="1"/>
  <c r="D15422" i="1"/>
  <c r="B15422" i="1"/>
  <c r="A15422" i="1"/>
  <c r="D10799" i="1"/>
  <c r="A10799" i="1"/>
  <c r="D10134" i="1"/>
  <c r="A10134" i="1"/>
  <c r="D5818" i="1"/>
  <c r="A5818" i="1"/>
  <c r="D7080" i="1"/>
  <c r="A7080" i="1"/>
  <c r="D10503" i="1"/>
  <c r="B10503" i="1"/>
  <c r="A10503" i="1"/>
  <c r="D15288" i="1"/>
  <c r="B15288" i="1"/>
  <c r="A15288" i="1"/>
  <c r="D6585" i="1"/>
  <c r="B6585" i="1"/>
  <c r="A6585" i="1"/>
  <c r="D16240" i="1"/>
  <c r="B16240" i="1"/>
  <c r="A16240" i="1"/>
  <c r="D15077" i="1"/>
  <c r="B15077" i="1"/>
  <c r="A15077" i="1"/>
  <c r="D15052" i="1"/>
  <c r="A15052" i="1"/>
  <c r="D5513" i="1"/>
  <c r="A5513" i="1"/>
  <c r="D13863" i="1"/>
  <c r="B13863" i="1"/>
  <c r="A13863" i="1"/>
  <c r="D12661" i="1"/>
  <c r="A12661" i="1"/>
  <c r="D6045" i="1"/>
  <c r="A6045" i="1"/>
  <c r="D15256" i="1"/>
  <c r="B15256" i="1"/>
  <c r="A15256" i="1"/>
  <c r="D15202" i="1"/>
  <c r="B15202" i="1"/>
  <c r="A15202" i="1"/>
  <c r="D15010" i="1"/>
  <c r="B15010" i="1"/>
  <c r="A15010" i="1"/>
  <c r="D11983" i="1"/>
  <c r="B11983" i="1"/>
  <c r="A11983" i="1"/>
  <c r="D6074" i="1"/>
  <c r="A6074" i="1"/>
  <c r="D7029" i="1"/>
  <c r="B7029" i="1"/>
  <c r="A7029" i="1"/>
  <c r="D13277" i="1"/>
  <c r="B13277" i="1"/>
  <c r="A13277" i="1"/>
  <c r="D7837" i="1"/>
  <c r="A7837" i="1"/>
  <c r="D6786" i="1"/>
  <c r="A6786" i="1"/>
  <c r="D14995" i="1"/>
  <c r="B14995" i="1"/>
  <c r="A14995" i="1"/>
  <c r="D10383" i="1"/>
  <c r="B10383" i="1"/>
  <c r="A10383" i="1"/>
  <c r="D14454" i="1"/>
  <c r="B14454" i="1"/>
  <c r="A14454" i="1"/>
  <c r="D18547" i="1"/>
  <c r="B18547" i="1"/>
  <c r="A18547" i="1"/>
  <c r="D14948" i="1"/>
  <c r="B14948" i="1"/>
  <c r="A14948" i="1"/>
  <c r="D15474" i="1"/>
  <c r="B15474" i="1"/>
  <c r="A15474" i="1"/>
  <c r="D10676" i="1"/>
  <c r="B10676" i="1"/>
  <c r="A10676" i="1"/>
  <c r="D13271" i="1"/>
  <c r="B13271" i="1"/>
  <c r="A13271" i="1"/>
  <c r="D14152" i="1"/>
  <c r="B14152" i="1"/>
  <c r="A14152" i="1"/>
  <c r="D13270" i="1"/>
  <c r="B13270" i="1"/>
  <c r="A13270" i="1"/>
  <c r="D14797" i="1"/>
  <c r="B14797" i="1"/>
  <c r="A14797" i="1"/>
  <c r="D15154" i="1"/>
  <c r="B15154" i="1"/>
  <c r="A15154" i="1"/>
  <c r="D11425" i="1"/>
  <c r="B11425" i="1"/>
  <c r="A11425" i="1"/>
  <c r="D17146" i="1"/>
  <c r="A17146" i="1"/>
  <c r="D15114" i="1"/>
  <c r="A15114" i="1"/>
  <c r="D10131" i="1"/>
  <c r="B10131" i="1"/>
  <c r="A10131" i="1"/>
  <c r="D16333" i="1"/>
  <c r="B16333" i="1"/>
  <c r="A16333" i="1"/>
  <c r="D6522" i="1"/>
  <c r="B6522" i="1"/>
  <c r="A6522" i="1"/>
  <c r="D16808" i="1"/>
  <c r="A16808" i="1"/>
  <c r="D15206" i="1"/>
  <c r="B15206" i="1"/>
  <c r="A15206" i="1"/>
  <c r="D7866" i="1"/>
  <c r="A7866" i="1"/>
  <c r="D5902" i="1"/>
  <c r="B5902" i="1"/>
  <c r="A5902" i="1"/>
  <c r="D14468" i="1"/>
  <c r="B14468" i="1"/>
  <c r="A14468" i="1"/>
  <c r="D6531" i="1"/>
  <c r="B6531" i="1"/>
  <c r="A6531" i="1"/>
  <c r="D8264" i="1"/>
  <c r="B8264" i="1"/>
  <c r="A8264" i="1"/>
  <c r="D15169" i="1"/>
  <c r="B15169" i="1"/>
  <c r="A15169" i="1"/>
  <c r="D12873" i="1"/>
  <c r="A12873" i="1"/>
  <c r="D15404" i="1"/>
  <c r="B15404" i="1"/>
  <c r="A15404" i="1"/>
  <c r="D14754" i="1"/>
  <c r="B14754" i="1"/>
  <c r="A14754" i="1"/>
  <c r="D10471" i="1"/>
  <c r="B10471" i="1"/>
  <c r="A10471" i="1"/>
  <c r="D12631" i="1"/>
  <c r="B12631" i="1"/>
  <c r="A12631" i="1"/>
  <c r="D8227" i="1"/>
  <c r="B8227" i="1"/>
  <c r="A8227" i="1"/>
  <c r="D17290" i="1"/>
  <c r="B17290" i="1"/>
  <c r="A17290" i="1"/>
  <c r="D7342" i="1"/>
  <c r="B7342" i="1"/>
  <c r="A7342" i="1"/>
  <c r="D18102" i="1"/>
  <c r="A18102" i="1"/>
  <c r="D18016" i="1"/>
  <c r="A18016" i="1"/>
  <c r="D12882" i="1"/>
  <c r="A12882" i="1"/>
  <c r="D10607" i="1"/>
  <c r="A10607" i="1"/>
  <c r="D7783" i="1"/>
  <c r="B7783" i="1"/>
  <c r="A7783" i="1"/>
  <c r="D15543" i="1"/>
  <c r="B15543" i="1"/>
  <c r="A15543" i="1"/>
  <c r="D9748" i="1"/>
  <c r="A9748" i="1"/>
  <c r="D7597" i="1"/>
  <c r="B7597" i="1"/>
  <c r="A7597" i="1"/>
  <c r="D5853" i="1"/>
  <c r="A5853" i="1"/>
  <c r="D13440" i="1"/>
  <c r="B13440" i="1"/>
  <c r="A13440" i="1"/>
  <c r="D15449" i="1"/>
  <c r="C15449" i="1"/>
  <c r="B15449" i="1"/>
  <c r="A15449" i="1"/>
  <c r="D9534" i="1"/>
  <c r="B9534" i="1"/>
  <c r="A9534" i="1"/>
  <c r="D10499" i="1"/>
  <c r="B10499" i="1"/>
  <c r="A10499" i="1"/>
  <c r="D15362" i="1"/>
  <c r="B15362" i="1"/>
  <c r="A15362" i="1"/>
  <c r="D14936" i="1"/>
  <c r="B14936" i="1"/>
  <c r="A14936" i="1"/>
  <c r="D18032" i="1"/>
  <c r="B18032" i="1"/>
  <c r="A18032" i="1"/>
  <c r="D18238" i="1"/>
  <c r="A18238" i="1"/>
  <c r="D7778" i="1"/>
  <c r="B7778" i="1"/>
  <c r="A7778" i="1"/>
  <c r="D10233" i="1"/>
  <c r="B10233" i="1"/>
  <c r="A10233" i="1"/>
  <c r="D6584" i="1"/>
  <c r="B6584" i="1"/>
  <c r="A6584" i="1"/>
  <c r="D16883" i="1"/>
  <c r="B16883" i="1"/>
  <c r="A16883" i="1"/>
  <c r="D12904" i="1"/>
  <c r="A12904" i="1"/>
  <c r="D6727" i="1"/>
  <c r="A6727" i="1"/>
  <c r="D17243" i="1"/>
  <c r="A17243" i="1"/>
  <c r="D5472" i="1"/>
  <c r="A5472" i="1"/>
  <c r="D5701" i="1"/>
  <c r="A5701" i="1"/>
  <c r="D15848" i="1"/>
  <c r="A15848" i="1"/>
  <c r="D16172" i="1"/>
  <c r="A16172" i="1"/>
  <c r="D14804" i="1"/>
  <c r="B14804" i="1"/>
  <c r="A14804" i="1"/>
  <c r="D15877" i="1"/>
  <c r="B15877" i="1"/>
  <c r="A15877" i="1"/>
  <c r="D16339" i="1"/>
  <c r="A16339" i="1"/>
  <c r="D6875" i="1"/>
  <c r="A6875" i="1"/>
  <c r="D5582" i="1"/>
  <c r="A5582" i="1"/>
  <c r="D15886" i="1"/>
  <c r="A15886" i="1"/>
  <c r="D11475" i="1"/>
  <c r="A11475" i="1"/>
  <c r="D17791" i="1"/>
  <c r="A17791" i="1"/>
  <c r="D7073" i="1"/>
  <c r="A7073" i="1"/>
  <c r="D16094" i="1"/>
  <c r="B16094" i="1"/>
  <c r="A16094" i="1"/>
  <c r="D15664" i="1"/>
  <c r="B15664" i="1"/>
  <c r="A15664" i="1"/>
  <c r="D9817" i="1"/>
  <c r="B9817" i="1"/>
  <c r="A9817" i="1"/>
  <c r="D8094" i="1"/>
  <c r="B8094" i="1"/>
  <c r="A8094" i="1"/>
  <c r="D15275" i="1"/>
  <c r="B15275" i="1"/>
  <c r="A15275" i="1"/>
  <c r="D9361" i="1"/>
  <c r="A9361" i="1"/>
  <c r="D16939" i="1"/>
  <c r="A16939" i="1"/>
  <c r="D9828" i="1"/>
  <c r="B9828" i="1"/>
  <c r="A9828" i="1"/>
  <c r="D7553" i="1"/>
  <c r="A7553" i="1"/>
  <c r="D16225" i="1"/>
  <c r="A16225" i="1"/>
  <c r="D18233" i="1"/>
  <c r="A18233" i="1"/>
  <c r="D15606" i="1"/>
  <c r="A15606" i="1"/>
  <c r="D9609" i="1"/>
  <c r="A9609" i="1"/>
  <c r="D15996" i="1"/>
  <c r="B15996" i="1"/>
  <c r="A15996" i="1"/>
  <c r="D11931" i="1"/>
  <c r="A11931" i="1"/>
  <c r="D9839" i="1"/>
  <c r="A9839" i="1"/>
  <c r="D10286" i="1"/>
  <c r="A10286" i="1"/>
  <c r="D16023" i="1"/>
  <c r="B16023" i="1"/>
  <c r="A16023" i="1"/>
  <c r="D18610" i="1"/>
  <c r="A18610" i="1"/>
  <c r="D5487" i="1"/>
  <c r="A5487" i="1"/>
  <c r="D16309" i="1"/>
  <c r="B16309" i="1"/>
  <c r="A16309" i="1"/>
  <c r="D10837" i="1"/>
  <c r="A10837" i="1"/>
  <c r="D5864" i="1"/>
  <c r="A5864" i="1"/>
  <c r="D9038" i="1"/>
  <c r="A9038" i="1"/>
  <c r="D16025" i="1"/>
  <c r="A16025" i="1"/>
  <c r="D8744" i="1"/>
  <c r="A8744" i="1"/>
  <c r="D9448" i="1"/>
  <c r="A9448" i="1"/>
  <c r="D16219" i="1"/>
  <c r="B16219" i="1"/>
  <c r="A16219" i="1"/>
  <c r="D15189" i="1"/>
  <c r="B15189" i="1"/>
  <c r="A15189" i="1"/>
  <c r="D15257" i="1"/>
  <c r="B15257" i="1"/>
  <c r="A15257" i="1"/>
  <c r="D14819" i="1"/>
  <c r="B14819" i="1"/>
  <c r="A14819" i="1"/>
  <c r="D13848" i="1"/>
  <c r="A13848" i="1"/>
  <c r="D9373" i="1"/>
  <c r="A9373" i="1"/>
  <c r="D13896" i="1"/>
  <c r="A13896" i="1"/>
  <c r="D5422" i="1"/>
  <c r="A5422" i="1"/>
  <c r="D9571" i="1"/>
  <c r="A9571" i="1"/>
  <c r="D5504" i="1"/>
  <c r="A5504" i="1"/>
  <c r="D5383" i="1"/>
  <c r="A5383" i="1"/>
  <c r="D5863" i="1"/>
  <c r="A5863" i="1"/>
  <c r="D5328" i="1"/>
  <c r="A5328" i="1"/>
  <c r="D5590" i="1"/>
  <c r="A5590" i="1"/>
  <c r="D5807" i="1"/>
  <c r="A5807" i="1"/>
  <c r="D5679" i="1"/>
  <c r="A5679" i="1"/>
  <c r="D5373" i="1"/>
  <c r="A5373" i="1"/>
  <c r="D5772" i="1"/>
  <c r="A5772" i="1"/>
  <c r="D5603" i="1"/>
  <c r="A5603" i="1"/>
  <c r="D5697" i="1"/>
  <c r="A5697" i="1"/>
  <c r="D9032" i="1"/>
  <c r="A9032" i="1"/>
  <c r="D9985" i="1"/>
  <c r="A9985" i="1"/>
  <c r="D11974" i="1"/>
  <c r="A11974" i="1"/>
  <c r="D18608" i="1"/>
  <c r="A18608" i="1"/>
  <c r="D5447" i="1"/>
  <c r="A5447" i="1"/>
  <c r="D16891" i="1"/>
  <c r="B16891" i="1"/>
  <c r="A16891" i="1"/>
  <c r="D9114" i="1"/>
  <c r="A9114" i="1"/>
  <c r="D17656" i="1"/>
  <c r="A17656" i="1"/>
  <c r="D17447" i="1"/>
  <c r="A17447" i="1"/>
  <c r="D16122" i="1"/>
  <c r="A16122" i="1"/>
  <c r="D9847" i="1"/>
  <c r="A9847" i="1"/>
  <c r="D9761" i="1"/>
  <c r="A9761" i="1"/>
  <c r="D15930" i="1"/>
  <c r="B15930" i="1"/>
  <c r="A15930" i="1"/>
  <c r="D17317" i="1"/>
  <c r="A17317" i="1"/>
  <c r="D9718" i="1"/>
  <c r="B9718" i="1"/>
  <c r="A9718" i="1"/>
  <c r="D18413" i="1"/>
  <c r="B18413" i="1"/>
  <c r="A18413" i="1"/>
  <c r="D17007" i="1"/>
  <c r="A17007" i="1"/>
  <c r="D10173" i="1"/>
  <c r="A10173" i="1"/>
  <c r="D9827" i="1"/>
  <c r="A9827" i="1"/>
  <c r="D12174" i="1"/>
  <c r="A12174" i="1"/>
  <c r="D9306" i="1"/>
  <c r="A9306" i="1"/>
  <c r="D17281" i="1"/>
  <c r="A17281" i="1"/>
  <c r="D18159" i="1"/>
  <c r="B18159" i="1"/>
  <c r="A18159" i="1"/>
  <c r="D11298" i="1"/>
  <c r="C11298" i="1"/>
  <c r="B11298" i="1"/>
  <c r="A11298" i="1"/>
  <c r="D9700" i="1"/>
  <c r="A9700" i="1"/>
  <c r="D11512" i="1"/>
  <c r="A11512" i="1"/>
  <c r="D5806" i="1"/>
  <c r="A5806" i="1"/>
  <c r="D18736" i="1"/>
  <c r="A18736" i="1"/>
  <c r="D7055" i="1"/>
  <c r="A7055" i="1"/>
  <c r="D8957" i="1"/>
  <c r="A8957" i="1"/>
  <c r="D16089" i="1"/>
  <c r="A16089" i="1"/>
  <c r="D7098" i="1"/>
  <c r="A7098" i="1"/>
  <c r="D6209" i="1"/>
  <c r="B6209" i="1"/>
  <c r="A6209" i="1"/>
  <c r="D17807" i="1"/>
  <c r="B17807" i="1"/>
  <c r="A17807" i="1"/>
  <c r="D8078" i="1"/>
  <c r="A8078" i="1"/>
  <c r="D10523" i="1"/>
  <c r="A10523" i="1"/>
  <c r="D14838" i="1"/>
  <c r="B14838" i="1"/>
  <c r="A14838" i="1"/>
  <c r="D18090" i="1"/>
  <c r="B18090" i="1"/>
  <c r="A18090" i="1"/>
  <c r="D18038" i="1"/>
  <c r="A18038" i="1"/>
  <c r="D11988" i="1"/>
  <c r="A11988" i="1"/>
  <c r="D9241" i="1"/>
  <c r="B9241" i="1"/>
  <c r="A9241" i="1"/>
  <c r="D5514" i="1"/>
  <c r="A5514" i="1"/>
  <c r="D9280" i="1"/>
  <c r="A9280" i="1"/>
  <c r="D6446" i="1"/>
  <c r="B6446" i="1"/>
  <c r="A6446" i="1"/>
  <c r="D7506" i="1"/>
  <c r="B7506" i="1"/>
  <c r="A7506" i="1"/>
  <c r="D17233" i="1"/>
  <c r="B17233" i="1"/>
  <c r="A17233" i="1"/>
  <c r="D9723" i="1"/>
  <c r="B9723" i="1"/>
  <c r="A9723" i="1"/>
  <c r="D13960" i="1"/>
  <c r="A13960" i="1"/>
  <c r="D12452" i="1"/>
  <c r="A12452" i="1"/>
  <c r="D9115" i="1"/>
  <c r="A9115" i="1"/>
  <c r="D17229" i="1"/>
  <c r="A17229" i="1"/>
  <c r="D5696" i="1"/>
  <c r="A5696" i="1"/>
  <c r="D15216" i="1"/>
  <c r="B15216" i="1"/>
  <c r="A15216" i="1"/>
  <c r="D15062" i="1"/>
  <c r="B15062" i="1"/>
  <c r="A15062" i="1"/>
  <c r="D11788" i="1"/>
  <c r="B11788" i="1"/>
  <c r="A11788" i="1"/>
  <c r="D15363" i="1"/>
  <c r="B15363" i="1"/>
  <c r="A15363" i="1"/>
  <c r="D16066" i="1"/>
  <c r="B16066" i="1"/>
  <c r="A16066" i="1"/>
  <c r="D12143" i="1"/>
  <c r="B12143" i="1"/>
  <c r="A12143" i="1"/>
  <c r="D15794" i="1"/>
  <c r="B15794" i="1"/>
  <c r="A15794" i="1"/>
  <c r="D7650" i="1"/>
  <c r="A7650" i="1"/>
  <c r="D8118" i="1"/>
  <c r="A8118" i="1"/>
  <c r="D7621" i="1"/>
  <c r="B7621" i="1"/>
  <c r="A7621" i="1"/>
  <c r="D15200" i="1"/>
  <c r="B15200" i="1"/>
  <c r="A15200" i="1"/>
  <c r="D8978" i="1"/>
  <c r="B8978" i="1"/>
  <c r="A8978" i="1"/>
  <c r="D13155" i="1"/>
  <c r="B13155" i="1"/>
  <c r="A13155" i="1"/>
  <c r="D6634" i="1"/>
  <c r="B6634" i="1"/>
  <c r="A6634" i="1"/>
  <c r="D15689" i="1"/>
  <c r="B15689" i="1"/>
  <c r="A15689" i="1"/>
  <c r="D17218" i="1"/>
  <c r="B17218" i="1"/>
  <c r="A17218" i="1"/>
  <c r="D16278" i="1"/>
  <c r="B16278" i="1"/>
  <c r="A16278" i="1"/>
  <c r="D6687" i="1"/>
  <c r="B6687" i="1"/>
  <c r="A6687" i="1"/>
  <c r="D7985" i="1"/>
  <c r="B7985" i="1"/>
  <c r="A7985" i="1"/>
  <c r="D9510" i="1"/>
  <c r="B9510" i="1"/>
  <c r="A9510" i="1"/>
  <c r="D18167" i="1"/>
  <c r="B18167" i="1"/>
  <c r="A18167" i="1"/>
  <c r="D6904" i="1"/>
  <c r="B6904" i="1"/>
  <c r="A6904" i="1"/>
  <c r="D11469" i="1"/>
  <c r="B11469" i="1"/>
  <c r="A11469" i="1"/>
  <c r="D8027" i="1"/>
  <c r="B8027" i="1"/>
  <c r="A8027" i="1"/>
  <c r="D15484" i="1"/>
  <c r="B15484" i="1"/>
  <c r="A15484" i="1"/>
  <c r="D14805" i="1"/>
  <c r="B14805" i="1"/>
  <c r="A14805" i="1"/>
  <c r="D14848" i="1"/>
  <c r="B14848" i="1"/>
  <c r="A14848" i="1"/>
  <c r="D8155" i="1"/>
  <c r="B8155" i="1"/>
  <c r="A8155" i="1"/>
  <c r="D9321" i="1"/>
  <c r="A9321" i="1"/>
  <c r="D10198" i="1"/>
  <c r="A10198" i="1"/>
  <c r="D17395" i="1"/>
  <c r="B17395" i="1"/>
  <c r="A17395" i="1"/>
  <c r="D14443" i="1"/>
  <c r="B14443" i="1"/>
  <c r="A14443" i="1"/>
  <c r="D11486" i="1"/>
  <c r="B11486" i="1"/>
  <c r="A11486" i="1"/>
  <c r="D15318" i="1"/>
  <c r="A15318" i="1"/>
  <c r="D6808" i="1"/>
  <c r="B6808" i="1"/>
  <c r="A6808" i="1"/>
  <c r="D9025" i="1"/>
  <c r="A9025" i="1"/>
  <c r="D14139" i="1"/>
  <c r="A14139" i="1"/>
  <c r="D13768" i="1"/>
  <c r="B13768" i="1"/>
  <c r="A13768" i="1"/>
  <c r="D9637" i="1"/>
  <c r="B9637" i="1"/>
  <c r="A9637" i="1"/>
  <c r="D16712" i="1"/>
  <c r="B16712" i="1"/>
  <c r="A16712" i="1"/>
  <c r="D14870" i="1"/>
  <c r="A14870" i="1"/>
  <c r="D13901" i="1"/>
  <c r="B13901" i="1"/>
  <c r="A13901" i="1"/>
  <c r="D9725" i="1"/>
  <c r="A9725" i="1"/>
  <c r="D14115" i="1"/>
  <c r="B14115" i="1"/>
  <c r="A14115" i="1"/>
  <c r="D14872" i="1"/>
  <c r="B14872" i="1"/>
  <c r="A14872" i="1"/>
  <c r="D8342" i="1"/>
  <c r="B8342" i="1"/>
  <c r="A8342" i="1"/>
  <c r="D10081" i="1"/>
  <c r="B10081" i="1"/>
  <c r="A10081" i="1"/>
  <c r="D10681" i="1"/>
  <c r="A10681" i="1"/>
  <c r="D18487" i="1"/>
  <c r="A18487" i="1"/>
  <c r="D10961" i="1"/>
  <c r="B10961" i="1"/>
  <c r="A10961" i="1"/>
  <c r="D12561" i="1"/>
  <c r="B12561" i="1"/>
  <c r="A12561" i="1"/>
  <c r="D18104" i="1"/>
  <c r="B18104" i="1"/>
  <c r="A18104" i="1"/>
  <c r="D15306" i="1"/>
  <c r="B15306" i="1"/>
  <c r="A15306" i="1"/>
  <c r="D11744" i="1"/>
  <c r="B11744" i="1"/>
  <c r="A11744" i="1"/>
  <c r="D18390" i="1"/>
  <c r="B18390" i="1"/>
  <c r="A18390" i="1"/>
  <c r="D6251" i="1"/>
  <c r="B6251" i="1"/>
  <c r="A6251" i="1"/>
  <c r="D14495" i="1"/>
  <c r="B14495" i="1"/>
  <c r="A14495" i="1"/>
  <c r="D14770" i="1"/>
  <c r="B14770" i="1"/>
  <c r="A14770" i="1"/>
  <c r="D10159" i="1"/>
  <c r="B10159" i="1"/>
  <c r="A10159" i="1"/>
  <c r="D7239" i="1"/>
  <c r="B7239" i="1"/>
  <c r="A7239" i="1"/>
  <c r="D15770" i="1"/>
  <c r="B15770" i="1"/>
  <c r="A15770" i="1"/>
  <c r="D15697" i="1"/>
  <c r="B15697" i="1"/>
  <c r="A15697" i="1"/>
  <c r="D11479" i="1"/>
  <c r="B11479" i="1"/>
  <c r="A11479" i="1"/>
  <c r="D12884" i="1"/>
  <c r="A12884" i="1"/>
  <c r="D9592" i="1"/>
  <c r="A9592" i="1"/>
  <c r="D15212" i="1"/>
  <c r="B15212" i="1"/>
  <c r="A15212" i="1"/>
  <c r="D17806" i="1"/>
  <c r="B17806" i="1"/>
  <c r="A17806" i="1"/>
  <c r="D9425" i="1"/>
  <c r="B9425" i="1"/>
  <c r="A9425" i="1"/>
  <c r="D6678" i="1"/>
  <c r="A6678" i="1"/>
  <c r="D7759" i="1"/>
  <c r="A7759" i="1"/>
  <c r="D14839" i="1"/>
  <c r="B14839" i="1"/>
  <c r="A14839" i="1"/>
  <c r="D10460" i="1"/>
  <c r="B10460" i="1"/>
  <c r="A10460" i="1"/>
  <c r="D7767" i="1"/>
  <c r="A7767" i="1"/>
  <c r="D10983" i="1"/>
  <c r="A10983" i="1"/>
  <c r="D15268" i="1"/>
  <c r="B15268" i="1"/>
  <c r="A15268" i="1"/>
  <c r="D11499" i="1"/>
  <c r="B11499" i="1"/>
  <c r="A11499" i="1"/>
  <c r="D10830" i="1"/>
  <c r="B10830" i="1"/>
  <c r="A10830" i="1"/>
  <c r="D7325" i="1"/>
  <c r="A7325" i="1"/>
  <c r="D6938" i="1"/>
  <c r="B6938" i="1"/>
  <c r="A6938" i="1"/>
  <c r="D12069" i="1"/>
  <c r="A12069" i="1"/>
  <c r="D8763" i="1"/>
  <c r="B8763" i="1"/>
  <c r="A8763" i="1"/>
  <c r="D11929" i="1"/>
  <c r="B11929" i="1"/>
  <c r="A11929" i="1"/>
  <c r="D17793" i="1"/>
  <c r="A17793" i="1"/>
  <c r="D7493" i="1"/>
  <c r="A7493" i="1"/>
  <c r="D10155" i="1"/>
  <c r="B10155" i="1"/>
  <c r="A10155" i="1"/>
  <c r="D14280" i="1"/>
  <c r="C14280" i="1"/>
  <c r="B14280" i="1"/>
  <c r="A14280" i="1"/>
  <c r="D6650" i="1"/>
  <c r="A6650" i="1"/>
  <c r="D7662" i="1"/>
  <c r="B7662" i="1"/>
  <c r="A7662" i="1"/>
  <c r="D15888" i="1"/>
  <c r="B15888" i="1"/>
  <c r="A15888" i="1"/>
  <c r="D10635" i="1"/>
  <c r="B10635" i="1"/>
  <c r="A10635" i="1"/>
  <c r="D12105" i="1"/>
  <c r="B12105" i="1"/>
  <c r="A12105" i="1"/>
  <c r="D16019" i="1"/>
  <c r="A16019" i="1"/>
  <c r="D17115" i="1"/>
  <c r="A17115" i="1"/>
  <c r="D8547" i="1"/>
  <c r="B8547" i="1"/>
  <c r="A8547" i="1"/>
  <c r="D17225" i="1"/>
  <c r="B17225" i="1"/>
  <c r="A17225" i="1"/>
  <c r="D16284" i="1"/>
  <c r="B16284" i="1"/>
  <c r="A16284" i="1"/>
  <c r="D15271" i="1"/>
  <c r="A15271" i="1"/>
  <c r="D12047" i="1"/>
  <c r="B12047" i="1"/>
  <c r="A12047" i="1"/>
  <c r="D7681" i="1"/>
  <c r="B7681" i="1"/>
  <c r="A7681" i="1"/>
  <c r="D14148" i="1"/>
  <c r="A14148" i="1"/>
  <c r="D5748" i="1"/>
  <c r="A5748" i="1"/>
  <c r="D5903" i="1"/>
  <c r="B5903" i="1"/>
  <c r="A5903" i="1"/>
  <c r="D9698" i="1"/>
  <c r="B9698" i="1"/>
  <c r="A9698" i="1"/>
  <c r="D10119" i="1"/>
  <c r="B10119" i="1"/>
  <c r="A10119" i="1"/>
  <c r="D18451" i="1"/>
  <c r="A18451" i="1"/>
  <c r="D15334" i="1"/>
  <c r="B15334" i="1"/>
  <c r="A15334" i="1"/>
  <c r="D6409" i="1"/>
  <c r="B6409" i="1"/>
  <c r="A6409" i="1"/>
  <c r="D15628" i="1"/>
  <c r="B15628" i="1"/>
  <c r="A15628" i="1"/>
  <c r="D17750" i="1"/>
  <c r="B17750" i="1"/>
  <c r="A17750" i="1"/>
  <c r="D17212" i="1"/>
  <c r="A17212" i="1"/>
  <c r="D14836" i="1"/>
  <c r="B14836" i="1"/>
  <c r="A14836" i="1"/>
  <c r="D11991" i="1"/>
  <c r="B11991" i="1"/>
  <c r="A11991" i="1"/>
  <c r="D6218" i="1"/>
  <c r="B6218" i="1"/>
  <c r="A6218" i="1"/>
  <c r="D10594" i="1"/>
  <c r="B10594" i="1"/>
  <c r="A10594" i="1"/>
  <c r="D10190" i="1"/>
  <c r="B10190" i="1"/>
  <c r="A10190" i="1"/>
  <c r="D6686" i="1"/>
  <c r="A6686" i="1"/>
  <c r="D17579" i="1"/>
  <c r="B17579" i="1"/>
  <c r="A17579" i="1"/>
  <c r="D7223" i="1"/>
  <c r="A7223" i="1"/>
  <c r="D8125" i="1"/>
  <c r="B8125" i="1"/>
  <c r="A8125" i="1"/>
  <c r="D10470" i="1"/>
  <c r="B10470" i="1"/>
  <c r="A10470" i="1"/>
  <c r="D13493" i="1"/>
  <c r="B13493" i="1"/>
  <c r="A13493" i="1"/>
  <c r="D16914" i="1"/>
  <c r="B16914" i="1"/>
  <c r="A16914" i="1"/>
  <c r="D17537" i="1"/>
  <c r="A17537" i="1"/>
  <c r="D14783" i="1"/>
  <c r="B14783" i="1"/>
  <c r="A14783" i="1"/>
  <c r="D14798" i="1"/>
  <c r="B14798" i="1"/>
  <c r="A14798" i="1"/>
  <c r="D15009" i="1"/>
  <c r="A15009" i="1"/>
  <c r="D9086" i="1"/>
  <c r="B9086" i="1"/>
  <c r="A9086" i="1"/>
  <c r="D9380" i="1"/>
  <c r="B9380" i="1"/>
  <c r="A9380" i="1"/>
  <c r="D7820" i="1"/>
  <c r="B7820" i="1"/>
  <c r="A7820" i="1"/>
  <c r="D14827" i="1"/>
  <c r="B14827" i="1"/>
  <c r="A14827" i="1"/>
  <c r="D7144" i="1"/>
  <c r="A7144" i="1"/>
  <c r="D17847" i="1"/>
  <c r="B17847" i="1"/>
  <c r="A17847" i="1"/>
  <c r="D9474" i="1"/>
  <c r="B9474" i="1"/>
  <c r="A9474" i="1"/>
  <c r="D14712" i="1"/>
  <c r="B14712" i="1"/>
  <c r="A14712" i="1"/>
  <c r="D13251" i="1"/>
  <c r="B13251" i="1"/>
  <c r="A13251" i="1"/>
  <c r="D9206" i="1"/>
  <c r="B9206" i="1"/>
  <c r="A9206" i="1"/>
  <c r="D18308" i="1"/>
  <c r="A18308" i="1"/>
  <c r="D16133" i="1"/>
  <c r="B16133" i="1"/>
  <c r="A16133" i="1"/>
  <c r="D10728" i="1"/>
  <c r="B10728" i="1"/>
  <c r="A10728" i="1"/>
  <c r="D6321" i="1"/>
  <c r="A6321" i="1"/>
  <c r="D15173" i="1"/>
  <c r="B15173" i="1"/>
  <c r="A15173" i="1"/>
  <c r="D12048" i="1"/>
  <c r="B12048" i="1"/>
  <c r="A12048" i="1"/>
  <c r="D11460" i="1"/>
  <c r="A11460" i="1"/>
  <c r="D10354" i="1"/>
  <c r="B10354" i="1"/>
  <c r="A10354" i="1"/>
  <c r="D15004" i="1"/>
  <c r="B15004" i="1"/>
  <c r="A15004" i="1"/>
  <c r="D14951" i="1"/>
  <c r="B14951" i="1"/>
  <c r="A14951" i="1"/>
  <c r="D10229" i="1"/>
  <c r="B10229" i="1"/>
  <c r="A10229" i="1"/>
  <c r="D11489" i="1"/>
  <c r="A11489" i="1"/>
  <c r="D7916" i="1"/>
  <c r="A7916" i="1"/>
  <c r="D17578" i="1"/>
  <c r="B17578" i="1"/>
  <c r="A17578" i="1"/>
  <c r="D6885" i="1"/>
  <c r="A6885" i="1"/>
  <c r="D10725" i="1"/>
  <c r="A10725" i="1"/>
  <c r="D15115" i="1"/>
  <c r="B15115" i="1"/>
  <c r="A15115" i="1"/>
  <c r="D18706" i="1"/>
  <c r="B18706" i="1"/>
  <c r="A18706" i="1"/>
  <c r="D14055" i="1"/>
  <c r="A14055" i="1"/>
  <c r="D13984" i="1"/>
  <c r="A13984" i="1"/>
  <c r="D7736" i="1"/>
  <c r="B7736" i="1"/>
  <c r="A7736" i="1"/>
  <c r="D9148" i="1"/>
  <c r="B9148" i="1"/>
  <c r="A9148" i="1"/>
  <c r="D16236" i="1"/>
  <c r="A16236" i="1"/>
  <c r="D9631" i="1"/>
  <c r="A9631" i="1"/>
  <c r="D16347" i="1"/>
  <c r="A16347" i="1"/>
  <c r="D13215" i="1"/>
  <c r="B13215" i="1"/>
  <c r="A13215" i="1"/>
  <c r="D5829" i="1"/>
  <c r="A5829" i="1"/>
  <c r="D15323" i="1"/>
  <c r="B15323" i="1"/>
  <c r="A15323" i="1"/>
  <c r="D15284" i="1"/>
  <c r="B15284" i="1"/>
  <c r="A15284" i="1"/>
  <c r="D14957" i="1"/>
  <c r="A14957" i="1"/>
  <c r="D15522" i="1"/>
  <c r="B15522" i="1"/>
  <c r="A15522" i="1"/>
  <c r="D5597" i="1"/>
  <c r="A5597" i="1"/>
  <c r="D15246" i="1"/>
  <c r="A15246" i="1"/>
  <c r="D12204" i="1"/>
  <c r="A12204" i="1"/>
  <c r="D15849" i="1"/>
  <c r="B15849" i="1"/>
  <c r="A15849" i="1"/>
  <c r="D15392" i="1"/>
  <c r="A15392" i="1"/>
  <c r="D10157" i="1"/>
  <c r="A10157" i="1"/>
  <c r="D9013" i="1"/>
  <c r="A9013" i="1"/>
  <c r="D7036" i="1"/>
  <c r="A7036" i="1"/>
  <c r="D18545" i="1"/>
  <c r="A18545" i="1"/>
  <c r="D10301" i="1"/>
  <c r="A10301" i="1"/>
  <c r="D7235" i="1"/>
  <c r="A7235" i="1"/>
  <c r="D15823" i="1"/>
  <c r="A15823" i="1"/>
  <c r="D17875" i="1"/>
  <c r="B17875" i="1"/>
  <c r="A17875" i="1"/>
  <c r="D9453" i="1"/>
  <c r="B9453" i="1"/>
  <c r="A9453" i="1"/>
  <c r="D15199" i="1"/>
  <c r="B15199" i="1"/>
  <c r="A15199" i="1"/>
  <c r="D15530" i="1"/>
  <c r="B15530" i="1"/>
  <c r="A15530" i="1"/>
  <c r="D12886" i="1"/>
  <c r="A12886" i="1"/>
  <c r="D14098" i="1"/>
  <c r="A14098" i="1"/>
  <c r="D14935" i="1"/>
  <c r="B14935" i="1"/>
  <c r="A14935" i="1"/>
  <c r="D14987" i="1"/>
  <c r="B14987" i="1"/>
  <c r="A14987" i="1"/>
  <c r="D16193" i="1"/>
  <c r="A16193" i="1"/>
  <c r="D15369" i="1"/>
  <c r="B15369" i="1"/>
  <c r="A15369" i="1"/>
  <c r="D16039" i="1"/>
  <c r="A16039" i="1"/>
  <c r="D5478" i="1"/>
  <c r="A5478" i="1"/>
  <c r="D16342" i="1"/>
  <c r="A16342" i="1"/>
  <c r="D16338" i="1"/>
  <c r="A16338" i="1"/>
  <c r="D9735" i="1"/>
  <c r="A9735" i="1"/>
  <c r="D17951" i="1"/>
  <c r="A17951" i="1"/>
  <c r="D18389" i="1"/>
  <c r="A18389" i="1"/>
  <c r="D18249" i="1"/>
  <c r="A18249" i="1"/>
  <c r="D5739" i="1"/>
  <c r="A5739" i="1"/>
  <c r="D5325" i="1"/>
  <c r="A5325" i="1"/>
  <c r="D5672" i="1"/>
  <c r="A5672" i="1"/>
  <c r="D5805" i="1"/>
  <c r="A5805" i="1"/>
  <c r="D5784" i="1"/>
  <c r="A5784" i="1"/>
  <c r="D7288" i="1"/>
  <c r="A7288" i="1"/>
  <c r="D6563" i="1"/>
  <c r="A6563" i="1"/>
  <c r="D17627" i="1"/>
  <c r="B17627" i="1"/>
  <c r="A17627" i="1"/>
  <c r="D15521" i="1"/>
  <c r="B15521" i="1"/>
  <c r="A15521" i="1"/>
  <c r="D9763" i="1"/>
  <c r="A9763" i="1"/>
  <c r="D7085" i="1"/>
  <c r="A7085" i="1"/>
  <c r="D14793" i="1"/>
  <c r="A14793" i="1"/>
  <c r="D17008" i="1"/>
  <c r="A17008" i="1"/>
  <c r="D17703" i="1"/>
  <c r="A17703" i="1"/>
  <c r="D9813" i="1"/>
  <c r="A9813" i="1"/>
  <c r="D16372" i="1"/>
  <c r="A16372" i="1"/>
  <c r="D12447" i="1"/>
  <c r="A12447" i="1"/>
  <c r="D12583" i="1"/>
  <c r="B12583" i="1"/>
  <c r="A12583" i="1"/>
  <c r="D9897" i="1"/>
  <c r="A9897" i="1"/>
  <c r="D18619" i="1"/>
  <c r="B18619" i="1"/>
  <c r="A18619" i="1"/>
  <c r="D6317" i="1"/>
  <c r="A6317" i="1"/>
  <c r="D15178" i="1"/>
  <c r="B15178" i="1"/>
  <c r="A15178" i="1"/>
  <c r="D17403" i="1"/>
  <c r="B17403" i="1"/>
  <c r="A17403" i="1"/>
  <c r="D15224" i="1"/>
  <c r="B15224" i="1"/>
  <c r="A15224" i="1"/>
  <c r="D17113" i="1"/>
  <c r="A17113" i="1"/>
  <c r="D12149" i="1"/>
  <c r="B12149" i="1"/>
  <c r="A12149" i="1"/>
  <c r="D9358" i="1"/>
  <c r="B9358" i="1"/>
  <c r="A9358" i="1"/>
  <c r="D18406" i="1"/>
  <c r="A18406" i="1"/>
  <c r="D18398" i="1"/>
  <c r="A18398" i="1"/>
  <c r="D15535" i="1"/>
  <c r="B15535" i="1"/>
  <c r="A15535" i="1"/>
  <c r="D6252" i="1"/>
  <c r="A6252" i="1"/>
  <c r="D9848" i="1"/>
  <c r="B9848" i="1"/>
  <c r="A9848" i="1"/>
  <c r="D15395" i="1"/>
  <c r="A15395" i="1"/>
  <c r="D14713" i="1"/>
  <c r="B14713" i="1"/>
  <c r="A14713" i="1"/>
  <c r="D6243" i="1"/>
  <c r="B6243" i="1"/>
  <c r="A6243" i="1"/>
  <c r="D15001" i="1"/>
  <c r="B15001" i="1"/>
  <c r="A15001" i="1"/>
  <c r="D9852" i="1"/>
  <c r="B9852" i="1"/>
  <c r="A9852" i="1"/>
  <c r="D5749" i="1"/>
  <c r="A5749" i="1"/>
  <c r="D6357" i="1"/>
  <c r="A6357" i="1"/>
  <c r="D15568" i="1"/>
  <c r="A15568" i="1"/>
  <c r="D16087" i="1"/>
  <c r="A16087" i="1"/>
  <c r="D9171" i="1"/>
  <c r="B9171" i="1"/>
  <c r="A9171" i="1"/>
  <c r="D15338" i="1"/>
  <c r="B15338" i="1"/>
  <c r="A15338" i="1"/>
  <c r="D12201" i="1"/>
  <c r="B12201" i="1"/>
  <c r="A12201" i="1"/>
  <c r="D9782" i="1"/>
  <c r="A9782" i="1"/>
  <c r="D11833" i="1"/>
  <c r="A11833" i="1"/>
  <c r="D9136" i="1"/>
  <c r="B9136" i="1"/>
  <c r="A9136" i="1"/>
  <c r="D18563" i="1"/>
  <c r="A18563" i="1"/>
  <c r="D13909" i="1"/>
  <c r="A13909" i="1"/>
  <c r="D15066" i="1"/>
  <c r="A15066" i="1"/>
  <c r="D8768" i="1"/>
  <c r="A8768" i="1"/>
  <c r="D5338" i="1"/>
  <c r="A5338" i="1"/>
  <c r="D14826" i="1"/>
  <c r="B14826" i="1"/>
  <c r="A14826" i="1"/>
  <c r="D6698" i="1"/>
  <c r="A6698" i="1"/>
  <c r="D14966" i="1"/>
  <c r="B14966" i="1"/>
  <c r="A14966" i="1"/>
  <c r="D15330" i="1"/>
  <c r="B15330" i="1"/>
  <c r="A15330" i="1"/>
  <c r="D9873" i="1"/>
  <c r="B9873" i="1"/>
  <c r="A9873" i="1"/>
  <c r="D8512" i="1"/>
  <c r="A8512" i="1"/>
  <c r="D8746" i="1"/>
  <c r="A8746" i="1"/>
  <c r="D12186" i="1"/>
  <c r="A12186" i="1"/>
  <c r="D15412" i="1"/>
  <c r="B15412" i="1"/>
  <c r="A15412" i="1"/>
  <c r="D18278" i="1"/>
  <c r="A18278" i="1"/>
  <c r="D15085" i="1"/>
  <c r="B15085" i="1"/>
  <c r="A15085" i="1"/>
  <c r="D9326" i="1"/>
  <c r="B9326" i="1"/>
  <c r="A9326" i="1"/>
  <c r="D15479" i="1"/>
  <c r="B15479" i="1"/>
  <c r="A15479" i="1"/>
  <c r="D14809" i="1"/>
  <c r="B14809" i="1"/>
  <c r="A14809" i="1"/>
  <c r="D17978" i="1"/>
  <c r="A17978" i="1"/>
  <c r="D18099" i="1"/>
  <c r="B18099" i="1"/>
  <c r="A18099" i="1"/>
  <c r="D9617" i="1"/>
  <c r="B9617" i="1"/>
  <c r="A9617" i="1"/>
  <c r="D15408" i="1"/>
  <c r="A15408" i="1"/>
  <c r="D14856" i="1"/>
  <c r="B14856" i="1"/>
  <c r="A14856" i="1"/>
  <c r="D10627" i="1"/>
  <c r="B10627" i="1"/>
  <c r="A10627" i="1"/>
  <c r="D15463" i="1"/>
  <c r="B15463" i="1"/>
  <c r="A15463" i="1"/>
  <c r="D17006" i="1"/>
  <c r="B17006" i="1"/>
  <c r="A17006" i="1"/>
  <c r="D11896" i="1"/>
  <c r="B11896" i="1"/>
  <c r="A11896" i="1"/>
  <c r="D10289" i="1"/>
  <c r="B10289" i="1"/>
  <c r="A10289" i="1"/>
  <c r="D15640" i="1"/>
  <c r="B15640" i="1"/>
  <c r="A15640" i="1"/>
  <c r="D9359" i="1"/>
  <c r="A9359" i="1"/>
  <c r="D10949" i="1"/>
  <c r="B10949" i="1"/>
  <c r="A10949" i="1"/>
  <c r="D5367" i="1"/>
  <c r="A5367" i="1"/>
  <c r="D14841" i="1"/>
  <c r="B14841" i="1"/>
  <c r="A14841" i="1"/>
  <c r="D15104" i="1"/>
  <c r="B15104" i="1"/>
  <c r="A15104" i="1"/>
  <c r="D6228" i="1"/>
  <c r="B6228" i="1"/>
  <c r="A6228" i="1"/>
  <c r="D15659" i="1"/>
  <c r="B15659" i="1"/>
  <c r="A15659" i="1"/>
  <c r="D13747" i="1"/>
  <c r="B13747" i="1"/>
  <c r="A13747" i="1"/>
  <c r="D14890" i="1"/>
  <c r="B14890" i="1"/>
  <c r="A14890" i="1"/>
  <c r="D6629" i="1"/>
  <c r="B6629" i="1"/>
  <c r="A6629" i="1"/>
  <c r="D11921" i="1"/>
  <c r="A11921" i="1"/>
  <c r="D18411" i="1"/>
  <c r="B18411" i="1"/>
  <c r="A18411" i="1"/>
  <c r="D9729" i="1"/>
  <c r="B9729" i="1"/>
  <c r="A9729" i="1"/>
  <c r="D6349" i="1"/>
  <c r="A6349" i="1"/>
  <c r="D14859" i="1"/>
  <c r="B14859" i="1"/>
  <c r="A14859" i="1"/>
  <c r="D16012" i="1"/>
  <c r="B16012" i="1"/>
  <c r="A16012" i="1"/>
  <c r="D9334" i="1"/>
  <c r="A9334" i="1"/>
  <c r="D15769" i="1"/>
  <c r="B15769" i="1"/>
  <c r="A15769" i="1"/>
  <c r="D18075" i="1"/>
  <c r="B18075" i="1"/>
  <c r="A18075" i="1"/>
  <c r="D9970" i="1"/>
  <c r="B9970" i="1"/>
  <c r="A9970" i="1"/>
  <c r="D14790" i="1"/>
  <c r="B14790" i="1"/>
  <c r="A14790" i="1"/>
  <c r="D17371" i="1"/>
  <c r="A17371" i="1"/>
  <c r="D15121" i="1"/>
  <c r="B15121" i="1"/>
  <c r="A15121" i="1"/>
  <c r="D11434" i="1"/>
  <c r="B11434" i="1"/>
  <c r="A11434" i="1"/>
  <c r="D18269" i="1"/>
  <c r="B18269" i="1"/>
  <c r="A18269" i="1"/>
  <c r="D8026" i="1"/>
  <c r="B8026" i="1"/>
  <c r="A8026" i="1"/>
  <c r="D9966" i="1"/>
  <c r="B9966" i="1"/>
  <c r="A9966" i="1"/>
  <c r="D15546" i="1"/>
  <c r="B15546" i="1"/>
  <c r="A15546" i="1"/>
  <c r="D18455" i="1"/>
  <c r="B18455" i="1"/>
  <c r="A18455" i="1"/>
  <c r="D11861" i="1"/>
  <c r="A11861" i="1"/>
  <c r="D6073" i="1"/>
  <c r="A6073" i="1"/>
  <c r="D15859" i="1"/>
  <c r="B15859" i="1"/>
  <c r="A15859" i="1"/>
  <c r="D12407" i="1"/>
  <c r="A12407" i="1"/>
  <c r="D10339" i="1"/>
  <c r="A10339" i="1"/>
  <c r="D9965" i="1"/>
  <c r="A9965" i="1"/>
  <c r="D13494" i="1"/>
  <c r="B13494" i="1"/>
  <c r="A13494" i="1"/>
  <c r="D9322" i="1"/>
  <c r="B9322" i="1"/>
  <c r="A9322" i="1"/>
  <c r="D6970" i="1"/>
  <c r="A6970" i="1"/>
  <c r="D5705" i="1"/>
  <c r="A5705" i="1"/>
  <c r="D5333" i="1"/>
  <c r="A5333" i="1"/>
  <c r="D10775" i="1"/>
  <c r="A10775" i="1"/>
  <c r="D12062" i="1"/>
  <c r="A12062" i="1"/>
  <c r="D10595" i="1"/>
  <c r="A10595" i="1"/>
  <c r="D6963" i="1"/>
  <c r="A6963" i="1"/>
  <c r="D7441" i="1"/>
  <c r="A7441" i="1"/>
  <c r="D11465" i="1"/>
  <c r="A11465" i="1"/>
  <c r="D6556" i="1"/>
  <c r="A6556" i="1"/>
  <c r="D15698" i="1"/>
  <c r="A15698" i="1"/>
  <c r="D15461" i="1"/>
  <c r="B15461" i="1"/>
  <c r="A15461" i="1"/>
  <c r="D5609" i="1"/>
  <c r="A5609" i="1"/>
  <c r="D7525" i="1"/>
  <c r="A7525" i="1"/>
  <c r="D8681" i="1"/>
  <c r="B8681" i="1"/>
  <c r="A8681" i="1"/>
  <c r="D5440" i="1"/>
  <c r="A5440" i="1"/>
  <c r="D10105" i="1"/>
  <c r="A10105" i="1"/>
  <c r="D6697" i="1"/>
  <c r="A6697" i="1"/>
  <c r="D10859" i="1"/>
  <c r="B10859" i="1"/>
  <c r="A10859" i="1"/>
  <c r="D15237" i="1"/>
  <c r="B15237" i="1"/>
  <c r="A15237" i="1"/>
  <c r="D9920" i="1"/>
  <c r="B9920" i="1"/>
  <c r="A9920" i="1"/>
  <c r="D6785" i="1"/>
  <c r="A6785" i="1"/>
  <c r="D13053" i="1"/>
  <c r="B13053" i="1"/>
  <c r="A13053" i="1"/>
  <c r="D18184" i="1"/>
  <c r="A18184" i="1"/>
  <c r="D17385" i="1"/>
  <c r="B17385" i="1"/>
  <c r="A17385" i="1"/>
  <c r="D14939" i="1"/>
  <c r="B14939" i="1"/>
  <c r="A14939" i="1"/>
  <c r="D6401" i="1"/>
  <c r="A6401" i="1"/>
  <c r="D8154" i="1"/>
  <c r="B8154" i="1"/>
  <c r="A8154" i="1"/>
  <c r="D12895" i="1"/>
  <c r="A12895" i="1"/>
  <c r="D7304" i="1"/>
  <c r="A7304" i="1"/>
  <c r="D6452" i="1"/>
  <c r="B6452" i="1"/>
  <c r="A6452" i="1"/>
  <c r="D14844" i="1"/>
  <c r="B14844" i="1"/>
  <c r="A14844" i="1"/>
  <c r="D13269" i="1"/>
  <c r="B13269" i="1"/>
  <c r="A13269" i="1"/>
  <c r="D18763" i="1"/>
  <c r="B18763" i="1"/>
  <c r="A18763" i="1"/>
  <c r="D8969" i="1"/>
  <c r="B8969" i="1"/>
  <c r="A8969" i="1"/>
  <c r="D14997" i="1"/>
  <c r="B14997" i="1"/>
  <c r="A14997" i="1"/>
  <c r="D13957" i="1"/>
  <c r="A13957" i="1"/>
  <c r="D16146" i="1"/>
  <c r="B16146" i="1"/>
  <c r="A16146" i="1"/>
  <c r="D15265" i="1"/>
  <c r="B15265" i="1"/>
  <c r="A15265" i="1"/>
  <c r="D18301" i="1"/>
  <c r="A18301" i="1"/>
  <c r="D17507" i="1"/>
  <c r="B17507" i="1"/>
  <c r="A17507" i="1"/>
  <c r="D9662" i="1"/>
  <c r="B9662" i="1"/>
  <c r="A9662" i="1"/>
  <c r="D10699" i="1"/>
  <c r="A10699" i="1"/>
  <c r="D11500" i="1"/>
  <c r="A11500" i="1"/>
  <c r="D13874" i="1"/>
  <c r="A13874" i="1"/>
  <c r="D14915" i="1"/>
  <c r="B14915" i="1"/>
  <c r="A14915" i="1"/>
  <c r="D10113" i="1"/>
  <c r="A10113" i="1"/>
  <c r="D9766" i="1"/>
  <c r="A9766" i="1"/>
  <c r="D8544" i="1"/>
  <c r="B8544" i="1"/>
  <c r="A8544" i="1"/>
  <c r="D15406" i="1"/>
  <c r="B15406" i="1"/>
  <c r="A15406" i="1"/>
  <c r="D11659" i="1"/>
  <c r="B11659" i="1"/>
  <c r="A11659" i="1"/>
  <c r="D15908" i="1"/>
  <c r="B15908" i="1"/>
  <c r="A15908" i="1"/>
  <c r="D10827" i="1"/>
  <c r="A10827" i="1"/>
  <c r="D12710" i="1"/>
  <c r="A12710" i="1"/>
  <c r="D7359" i="1"/>
  <c r="A7359" i="1"/>
  <c r="D17342" i="1"/>
  <c r="A17342" i="1"/>
  <c r="D6598" i="1"/>
  <c r="B6598" i="1"/>
  <c r="A6598" i="1"/>
  <c r="D9837" i="1"/>
  <c r="A9837" i="1"/>
  <c r="D9961" i="1"/>
  <c r="A9961" i="1"/>
  <c r="D16962" i="1"/>
  <c r="B16962" i="1"/>
  <c r="A16962" i="1"/>
  <c r="D15377" i="1"/>
  <c r="B15377" i="1"/>
  <c r="A15377" i="1"/>
  <c r="D6877" i="1"/>
  <c r="B6877" i="1"/>
  <c r="A6877" i="1"/>
  <c r="D8020" i="1"/>
  <c r="B8020" i="1"/>
  <c r="A8020" i="1"/>
  <c r="D17366" i="1"/>
  <c r="B17366" i="1"/>
  <c r="A17366" i="1"/>
  <c r="D15008" i="1"/>
  <c r="B15008" i="1"/>
  <c r="A15008" i="1"/>
  <c r="D15858" i="1"/>
  <c r="A15858" i="1"/>
  <c r="D16268" i="1"/>
  <c r="B16268" i="1"/>
  <c r="A16268" i="1"/>
  <c r="D18700" i="1"/>
  <c r="A18700" i="1"/>
  <c r="D18669" i="1"/>
  <c r="B18669" i="1"/>
  <c r="A18669" i="1"/>
  <c r="D9671" i="1"/>
  <c r="A9671" i="1"/>
  <c r="D7119" i="1"/>
  <c r="B7119" i="1"/>
  <c r="A7119" i="1"/>
  <c r="D18559" i="1"/>
  <c r="A18559" i="1"/>
  <c r="D16591" i="1"/>
  <c r="B16591" i="1"/>
  <c r="A16591" i="1"/>
  <c r="D13495" i="1"/>
  <c r="B13495" i="1"/>
  <c r="A13495" i="1"/>
  <c r="D13571" i="1"/>
  <c r="B13571" i="1"/>
  <c r="A13571" i="1"/>
  <c r="D10745" i="1"/>
  <c r="A10745" i="1"/>
  <c r="D15316" i="1"/>
  <c r="B15316" i="1"/>
  <c r="A15316" i="1"/>
  <c r="D15651" i="1"/>
  <c r="B15651" i="1"/>
  <c r="A15651" i="1"/>
  <c r="D10773" i="1"/>
  <c r="B10773" i="1"/>
  <c r="A10773" i="1"/>
  <c r="D17796" i="1"/>
  <c r="B17796" i="1"/>
  <c r="A17796" i="1"/>
  <c r="D15321" i="1"/>
  <c r="B15321" i="1"/>
  <c r="A15321" i="1"/>
  <c r="D18034" i="1"/>
  <c r="A18034" i="1"/>
  <c r="D10386" i="1"/>
  <c r="A10386" i="1"/>
  <c r="D9413" i="1"/>
  <c r="B9413" i="1"/>
  <c r="A9413" i="1"/>
  <c r="D15260" i="1"/>
  <c r="B15260" i="1"/>
  <c r="A15260" i="1"/>
  <c r="D17748" i="1"/>
  <c r="B17748" i="1"/>
  <c r="A17748" i="1"/>
  <c r="D14487" i="1"/>
  <c r="A14487" i="1"/>
  <c r="D14063" i="1"/>
  <c r="B14063" i="1"/>
  <c r="A14063" i="1"/>
  <c r="D15834" i="1"/>
  <c r="A15834" i="1"/>
  <c r="D6726" i="1"/>
  <c r="A6726" i="1"/>
  <c r="D9928" i="1"/>
  <c r="B9928" i="1"/>
  <c r="A9928" i="1"/>
  <c r="D16140" i="1"/>
  <c r="B16140" i="1"/>
  <c r="A16140" i="1"/>
  <c r="D14806" i="1"/>
  <c r="B14806" i="1"/>
  <c r="A14806" i="1"/>
  <c r="D18399" i="1"/>
  <c r="A18399" i="1"/>
  <c r="D17277" i="1"/>
  <c r="A17277" i="1"/>
  <c r="D17472" i="1"/>
  <c r="A17472" i="1"/>
  <c r="D12422" i="1"/>
  <c r="A12422" i="1"/>
  <c r="D14978" i="1"/>
  <c r="B14978" i="1"/>
  <c r="A14978" i="1"/>
  <c r="D5653" i="1"/>
  <c r="A5653" i="1"/>
  <c r="D17145" i="1"/>
  <c r="A17145" i="1"/>
  <c r="D14030" i="1"/>
  <c r="A14030" i="1"/>
  <c r="D15505" i="1"/>
  <c r="B15505" i="1"/>
  <c r="A15505" i="1"/>
  <c r="D15393" i="1"/>
  <c r="B15393" i="1"/>
  <c r="A15393" i="1"/>
  <c r="D9627" i="1"/>
  <c r="A9627" i="1"/>
  <c r="D10556" i="1"/>
  <c r="B10556" i="1"/>
  <c r="A10556" i="1"/>
  <c r="D11441" i="1"/>
  <c r="B11441" i="1"/>
  <c r="A11441" i="1"/>
  <c r="D12194" i="1"/>
  <c r="A12194" i="1"/>
  <c r="D10890" i="1"/>
  <c r="B10890" i="1"/>
  <c r="A10890" i="1"/>
  <c r="D9953" i="1"/>
  <c r="B9953" i="1"/>
  <c r="A9953" i="1"/>
  <c r="D14974" i="1"/>
  <c r="B14974" i="1"/>
  <c r="A14974" i="1"/>
  <c r="D15715" i="1"/>
  <c r="A15715" i="1"/>
  <c r="D10088" i="1"/>
  <c r="B10088" i="1"/>
  <c r="A10088" i="1"/>
  <c r="D10604" i="1"/>
  <c r="A10604" i="1"/>
  <c r="D5370" i="1"/>
  <c r="A5370" i="1"/>
  <c r="D10112" i="1"/>
  <c r="A10112" i="1"/>
  <c r="D14912" i="1"/>
  <c r="B14912" i="1"/>
  <c r="A14912" i="1"/>
  <c r="D5550" i="1"/>
  <c r="A5550" i="1"/>
  <c r="D5376" i="1"/>
  <c r="A5376" i="1"/>
  <c r="D5822" i="1"/>
  <c r="A5822" i="1"/>
  <c r="D5358" i="1"/>
  <c r="A5358" i="1"/>
  <c r="D12502" i="1"/>
  <c r="A12502" i="1"/>
  <c r="D15100" i="1"/>
  <c r="B15100" i="1"/>
  <c r="A15100" i="1"/>
  <c r="D9031" i="1"/>
  <c r="A9031" i="1"/>
  <c r="D18178" i="1"/>
  <c r="A18178" i="1"/>
  <c r="D8956" i="1"/>
  <c r="A8956" i="1"/>
  <c r="D14937" i="1"/>
  <c r="A14937" i="1"/>
  <c r="D16147" i="1"/>
  <c r="A16147" i="1"/>
  <c r="D7440" i="1"/>
  <c r="A7440" i="1"/>
  <c r="D9585" i="1"/>
  <c r="A9585" i="1"/>
  <c r="D7393" i="1"/>
  <c r="A7393" i="1"/>
  <c r="D15633" i="1"/>
  <c r="A15633" i="1"/>
  <c r="D14875" i="1"/>
  <c r="A14875" i="1"/>
  <c r="D9247" i="1"/>
  <c r="B9247" i="1"/>
  <c r="A9247" i="1"/>
  <c r="D15067" i="1"/>
  <c r="A15067" i="1"/>
  <c r="D7101" i="1"/>
  <c r="B7101" i="1"/>
  <c r="A7101" i="1"/>
  <c r="D15076" i="1"/>
  <c r="B15076" i="1"/>
  <c r="A15076" i="1"/>
  <c r="D15045" i="1"/>
  <c r="A15045" i="1"/>
  <c r="D12866" i="1"/>
  <c r="A12866" i="1"/>
  <c r="D18143" i="1"/>
  <c r="A18143" i="1"/>
  <c r="D11601" i="1"/>
  <c r="B11601" i="1"/>
  <c r="A11601" i="1"/>
  <c r="D11799" i="1"/>
  <c r="B11799" i="1"/>
  <c r="A11799" i="1"/>
  <c r="D15525" i="1"/>
  <c r="B15525" i="1"/>
  <c r="A15525" i="1"/>
  <c r="D5691" i="1"/>
  <c r="A5691" i="1"/>
  <c r="D9674" i="1"/>
  <c r="B9674" i="1"/>
  <c r="A9674" i="1"/>
  <c r="D8455" i="1"/>
  <c r="B8455" i="1"/>
  <c r="A8455" i="1"/>
  <c r="D10904" i="1"/>
  <c r="B10904" i="1"/>
  <c r="A10904" i="1"/>
  <c r="D11916" i="1"/>
  <c r="A11916" i="1"/>
  <c r="D15160" i="1"/>
  <c r="B15160" i="1"/>
  <c r="A15160" i="1"/>
  <c r="D9675" i="1"/>
  <c r="B9675" i="1"/>
  <c r="A9675" i="1"/>
  <c r="D11768" i="1"/>
  <c r="A11768" i="1"/>
  <c r="D15361" i="1"/>
  <c r="B15361" i="1"/>
  <c r="A15361" i="1"/>
  <c r="D9259" i="1"/>
  <c r="B9259" i="1"/>
  <c r="A9259" i="1"/>
  <c r="D10298" i="1"/>
  <c r="B10298" i="1"/>
  <c r="A10298" i="1"/>
  <c r="D15740" i="1"/>
  <c r="B15740" i="1"/>
  <c r="A15740" i="1"/>
  <c r="D6442" i="1"/>
  <c r="B6442" i="1"/>
  <c r="A6442" i="1"/>
  <c r="D11605" i="1"/>
  <c r="B11605" i="1"/>
  <c r="A11605" i="1"/>
  <c r="D6756" i="1"/>
  <c r="A6756" i="1"/>
  <c r="D16872" i="1"/>
  <c r="A16872" i="1"/>
  <c r="D7512" i="1"/>
  <c r="A7512" i="1"/>
  <c r="D5403" i="1"/>
  <c r="A5403" i="1"/>
  <c r="D18459" i="1"/>
  <c r="B18459" i="1"/>
  <c r="A18459" i="1"/>
  <c r="D5474" i="1"/>
  <c r="A5474" i="1"/>
  <c r="D12701" i="1"/>
  <c r="A12701" i="1"/>
  <c r="D11603" i="1"/>
  <c r="B11603" i="1"/>
  <c r="A11603" i="1"/>
  <c r="D12639" i="1"/>
  <c r="B12639" i="1"/>
  <c r="A12639" i="1"/>
  <c r="D15255" i="1"/>
  <c r="B15255" i="1"/>
  <c r="A15255" i="1"/>
  <c r="D8029" i="1"/>
  <c r="B8029" i="1"/>
  <c r="A8029" i="1"/>
  <c r="D7811" i="1"/>
  <c r="A7811" i="1"/>
  <c r="D7399" i="1"/>
  <c r="B7399" i="1"/>
  <c r="A7399" i="1"/>
  <c r="D14782" i="1"/>
  <c r="A14782" i="1"/>
  <c r="D5505" i="1"/>
  <c r="A5505" i="1"/>
  <c r="D16086" i="1"/>
  <c r="A16086" i="1"/>
  <c r="D6909" i="1"/>
  <c r="B6909" i="1"/>
  <c r="A6909" i="1"/>
  <c r="D6507" i="1"/>
  <c r="A6507" i="1"/>
  <c r="D12905" i="1"/>
  <c r="A12905" i="1"/>
  <c r="D5395" i="1"/>
  <c r="A5395" i="1"/>
  <c r="D16214" i="1"/>
  <c r="B16214" i="1"/>
  <c r="A16214" i="1"/>
  <c r="D15973" i="1"/>
  <c r="B15973" i="1"/>
  <c r="A15973" i="1"/>
  <c r="D10600" i="1"/>
  <c r="A10600" i="1"/>
  <c r="D15477" i="1"/>
  <c r="B15477" i="1"/>
  <c r="A15477" i="1"/>
  <c r="D15276" i="1"/>
  <c r="B15276" i="1"/>
  <c r="A15276" i="1"/>
  <c r="D9041" i="1"/>
  <c r="A9041" i="1"/>
  <c r="D6709" i="1"/>
  <c r="A6709" i="1"/>
  <c r="D12067" i="1"/>
  <c r="A12067" i="1"/>
  <c r="D12592" i="1"/>
  <c r="A12592" i="1"/>
  <c r="D13868" i="1"/>
  <c r="A13868" i="1"/>
  <c r="D15335" i="1"/>
  <c r="B15335" i="1"/>
  <c r="A15335" i="1"/>
  <c r="D16986" i="1"/>
  <c r="A16986" i="1"/>
  <c r="D7152" i="1"/>
  <c r="A7152" i="1"/>
  <c r="D10065" i="1"/>
  <c r="A10065" i="1"/>
  <c r="D5467" i="1"/>
  <c r="A5467" i="1"/>
  <c r="D8991" i="1"/>
  <c r="B8991" i="1"/>
  <c r="A8991" i="1"/>
  <c r="D14994" i="1"/>
  <c r="B14994" i="1"/>
  <c r="A14994" i="1"/>
  <c r="D8988" i="1"/>
  <c r="B8988" i="1"/>
  <c r="A8988" i="1"/>
  <c r="D9634" i="1"/>
  <c r="A9634" i="1"/>
  <c r="D6389" i="1"/>
  <c r="B6389" i="1"/>
  <c r="A6389" i="1"/>
  <c r="D8784" i="1"/>
  <c r="B8784" i="1"/>
  <c r="A8784" i="1"/>
  <c r="D13267" i="1"/>
  <c r="B13267" i="1"/>
  <c r="A13267" i="1"/>
  <c r="D15387" i="1"/>
  <c r="B15387" i="1"/>
  <c r="A15387" i="1"/>
  <c r="D5406" i="1"/>
  <c r="A5406" i="1"/>
  <c r="D15632" i="1"/>
  <c r="A15632" i="1"/>
  <c r="D10822" i="1"/>
  <c r="A10822" i="1"/>
  <c r="D9648" i="1"/>
  <c r="B9648" i="1"/>
  <c r="A9648" i="1"/>
  <c r="D15968" i="1"/>
  <c r="B15968" i="1"/>
  <c r="A15968" i="1"/>
  <c r="D12887" i="1"/>
  <c r="A12887" i="1"/>
  <c r="D7407" i="1"/>
  <c r="B7407" i="1"/>
  <c r="A7407" i="1"/>
  <c r="D10802" i="1"/>
  <c r="A10802" i="1"/>
  <c r="D7158" i="1"/>
  <c r="B7158" i="1"/>
  <c r="A7158" i="1"/>
  <c r="D11017" i="1"/>
  <c r="B11017" i="1"/>
  <c r="A11017" i="1"/>
  <c r="D6830" i="1"/>
  <c r="A6830" i="1"/>
  <c r="D11945" i="1"/>
  <c r="A11945" i="1"/>
  <c r="D10046" i="1"/>
  <c r="A10046" i="1"/>
  <c r="D12572" i="1"/>
  <c r="B12572" i="1"/>
  <c r="A12572" i="1"/>
  <c r="D15649" i="1"/>
  <c r="A15649" i="1"/>
  <c r="D6570" i="1"/>
  <c r="A6570" i="1"/>
  <c r="D12057" i="1"/>
  <c r="A12057" i="1"/>
  <c r="D18718" i="1"/>
  <c r="A18718" i="1"/>
  <c r="D6717" i="1"/>
  <c r="B6717" i="1"/>
  <c r="A6717" i="1"/>
  <c r="D9250" i="1"/>
  <c r="B9250" i="1"/>
  <c r="A9250" i="1"/>
  <c r="D15418" i="1"/>
  <c r="B15418" i="1"/>
  <c r="A15418" i="1"/>
  <c r="D5846" i="1"/>
  <c r="A5846" i="1"/>
  <c r="D13437" i="1"/>
  <c r="B13437" i="1"/>
  <c r="A13437" i="1"/>
  <c r="D16970" i="1"/>
  <c r="A16970" i="1"/>
  <c r="D9769" i="1"/>
  <c r="B9769" i="1"/>
  <c r="A9769" i="1"/>
  <c r="D15307" i="1"/>
  <c r="A15307" i="1"/>
  <c r="D7025" i="1"/>
  <c r="B7025" i="1"/>
  <c r="A7025" i="1"/>
  <c r="D15165" i="1"/>
  <c r="B15165" i="1"/>
  <c r="A15165" i="1"/>
  <c r="D8217" i="1"/>
  <c r="B8217" i="1"/>
  <c r="A8217" i="1"/>
  <c r="D11521" i="1"/>
  <c r="B11521" i="1"/>
  <c r="A11521" i="1"/>
  <c r="D12498" i="1"/>
  <c r="A12498" i="1"/>
  <c r="D15537" i="1"/>
  <c r="B15537" i="1"/>
  <c r="A15537" i="1"/>
  <c r="D15815" i="1"/>
  <c r="B15815" i="1"/>
  <c r="A15815" i="1"/>
  <c r="D6072" i="1"/>
  <c r="A6072" i="1"/>
  <c r="D17512" i="1"/>
  <c r="B17512" i="1"/>
  <c r="A17512" i="1"/>
  <c r="D11568" i="1"/>
  <c r="C11568" i="1"/>
  <c r="B11568" i="1"/>
  <c r="A11568" i="1"/>
  <c r="D13322" i="1"/>
  <c r="B13322" i="1"/>
  <c r="A13322" i="1"/>
  <c r="D15035" i="1"/>
  <c r="B15035" i="1"/>
  <c r="A15035" i="1"/>
  <c r="D10764" i="1"/>
  <c r="B10764" i="1"/>
  <c r="A10764" i="1"/>
  <c r="D15804" i="1"/>
  <c r="A15804" i="1"/>
  <c r="D14034" i="1"/>
  <c r="A14034" i="1"/>
  <c r="D9362" i="1"/>
  <c r="B9362" i="1"/>
  <c r="A9362" i="1"/>
  <c r="D14961" i="1"/>
  <c r="A14961" i="1"/>
  <c r="D6863" i="1"/>
  <c r="B6863" i="1"/>
  <c r="A6863" i="1"/>
  <c r="D17573" i="1"/>
  <c r="B17573" i="1"/>
  <c r="A17573" i="1"/>
  <c r="D15332" i="1"/>
  <c r="B15332" i="1"/>
  <c r="A15332" i="1"/>
  <c r="D9902" i="1"/>
  <c r="B9902" i="1"/>
  <c r="A9902" i="1"/>
  <c r="D15957" i="1"/>
  <c r="B15957" i="1"/>
  <c r="A15957" i="1"/>
  <c r="D17075" i="1"/>
  <c r="B17075" i="1"/>
  <c r="A17075" i="1"/>
  <c r="D9982" i="1"/>
  <c r="A9982" i="1"/>
  <c r="D6560" i="1"/>
  <c r="A6560" i="1"/>
  <c r="D11866" i="1"/>
  <c r="A11866" i="1"/>
  <c r="D5401" i="1"/>
  <c r="A5401" i="1"/>
  <c r="D5366" i="1"/>
  <c r="A5366" i="1"/>
  <c r="D10095" i="1"/>
  <c r="B10095" i="1"/>
  <c r="A10095" i="1"/>
  <c r="D5709" i="1"/>
  <c r="A5709" i="1"/>
  <c r="D7797" i="1"/>
  <c r="A7797" i="1"/>
  <c r="D18144" i="1"/>
  <c r="B18144" i="1"/>
  <c r="A18144" i="1"/>
  <c r="D7756" i="1"/>
  <c r="A7756" i="1"/>
  <c r="D18391" i="1"/>
  <c r="A18391" i="1"/>
  <c r="D17408" i="1"/>
  <c r="A17408" i="1"/>
  <c r="D5834" i="1"/>
  <c r="A5834" i="1"/>
  <c r="D16573" i="1"/>
  <c r="B16573" i="1"/>
  <c r="A16573" i="1"/>
  <c r="D17683" i="1"/>
  <c r="A17683" i="1"/>
  <c r="D7039" i="1"/>
  <c r="B7039" i="1"/>
  <c r="A7039" i="1"/>
  <c r="D15378" i="1"/>
  <c r="B15378" i="1"/>
  <c r="A15378" i="1"/>
  <c r="D16156" i="1"/>
  <c r="B16156" i="1"/>
  <c r="A16156" i="1"/>
  <c r="D15065" i="1"/>
  <c r="B15065" i="1"/>
  <c r="A15065" i="1"/>
  <c r="D17135" i="1"/>
  <c r="B17135" i="1"/>
  <c r="A17135" i="1"/>
  <c r="D15251" i="1"/>
  <c r="B15251" i="1"/>
  <c r="A15251" i="1"/>
  <c r="D8016" i="1"/>
  <c r="B8016" i="1"/>
  <c r="A8016" i="1"/>
  <c r="D16213" i="1"/>
  <c r="B16213" i="1"/>
  <c r="A16213" i="1"/>
  <c r="D14999" i="1"/>
  <c r="B14999" i="1"/>
  <c r="A14999" i="1"/>
  <c r="D10511" i="1"/>
  <c r="B10511" i="1"/>
  <c r="A10511" i="1"/>
  <c r="D15298" i="1"/>
  <c r="B15298" i="1"/>
  <c r="A15298" i="1"/>
  <c r="D6347" i="1"/>
  <c r="B6347" i="1"/>
  <c r="A6347" i="1"/>
  <c r="D8674" i="1"/>
  <c r="B8674" i="1"/>
  <c r="A8674" i="1"/>
  <c r="D15638" i="1"/>
  <c r="A15638" i="1"/>
  <c r="D5420" i="1"/>
  <c r="A5420" i="1"/>
  <c r="D7704" i="1"/>
  <c r="A7704" i="1"/>
  <c r="D10599" i="1"/>
  <c r="A10599" i="1"/>
  <c r="D7332" i="1"/>
  <c r="B7332" i="1"/>
  <c r="A7332" i="1"/>
  <c r="D6833" i="1"/>
  <c r="A6833" i="1"/>
  <c r="D7842" i="1"/>
  <c r="B7842" i="1"/>
  <c r="A7842" i="1"/>
  <c r="D14100" i="1"/>
  <c r="A14100" i="1"/>
  <c r="D6558" i="1"/>
  <c r="A6558" i="1"/>
  <c r="D13154" i="1"/>
  <c r="B13154" i="1"/>
  <c r="A13154" i="1"/>
  <c r="D15499" i="1"/>
  <c r="B15499" i="1"/>
  <c r="A15499" i="1"/>
  <c r="D13491" i="1"/>
  <c r="B13491" i="1"/>
  <c r="A13491" i="1"/>
  <c r="D13990" i="1"/>
  <c r="B13990" i="1"/>
  <c r="A13990" i="1"/>
  <c r="D7752" i="1"/>
  <c r="B7752" i="1"/>
  <c r="A7752" i="1"/>
  <c r="D10963" i="1"/>
  <c r="B10963" i="1"/>
  <c r="A10963" i="1"/>
  <c r="D15078" i="1"/>
  <c r="B15078" i="1"/>
  <c r="A15078" i="1"/>
  <c r="D6062" i="1"/>
  <c r="A6062" i="1"/>
  <c r="D15985" i="1"/>
  <c r="B15985" i="1"/>
  <c r="A15985" i="1"/>
  <c r="D15356" i="1"/>
  <c r="B15356" i="1"/>
  <c r="A15356" i="1"/>
  <c r="D17223" i="1"/>
  <c r="B17223" i="1"/>
  <c r="A17223" i="1"/>
  <c r="D11443" i="1"/>
  <c r="B11443" i="1"/>
  <c r="A11443" i="1"/>
  <c r="D18171" i="1"/>
  <c r="B18171" i="1"/>
  <c r="A18171" i="1"/>
  <c r="D9420" i="1"/>
  <c r="A9420" i="1"/>
  <c r="D17594" i="1"/>
  <c r="A17594" i="1"/>
  <c r="D8126" i="1"/>
  <c r="B8126" i="1"/>
  <c r="A8126" i="1"/>
  <c r="D15424" i="1"/>
  <c r="B15424" i="1"/>
  <c r="A15424" i="1"/>
  <c r="D10684" i="1"/>
  <c r="A10684" i="1"/>
  <c r="D15177" i="1"/>
  <c r="B15177" i="1"/>
  <c r="A15177" i="1"/>
  <c r="D17949" i="1"/>
  <c r="A17949" i="1"/>
  <c r="D10786" i="1"/>
  <c r="A10786" i="1"/>
  <c r="D11798" i="1"/>
  <c r="B11798" i="1"/>
  <c r="A11798" i="1"/>
  <c r="D15064" i="1"/>
  <c r="B15064" i="1"/>
  <c r="A15064" i="1"/>
  <c r="D5464" i="1"/>
  <c r="A5464" i="1"/>
  <c r="D15322" i="1"/>
  <c r="B15322" i="1"/>
  <c r="A15322" i="1"/>
  <c r="D6271" i="1"/>
  <c r="B6271" i="1"/>
  <c r="A6271" i="1"/>
  <c r="D15511" i="1"/>
  <c r="B15511" i="1"/>
  <c r="A15511" i="1"/>
  <c r="D17929" i="1"/>
  <c r="B17929" i="1"/>
  <c r="A17929" i="1"/>
  <c r="D10363" i="1"/>
  <c r="A10363" i="1"/>
  <c r="D10268" i="1"/>
  <c r="A10268" i="1"/>
  <c r="D11913" i="1"/>
  <c r="A11913" i="1"/>
  <c r="D15495" i="1"/>
  <c r="B15495" i="1"/>
  <c r="A15495" i="1"/>
  <c r="D12901" i="1"/>
  <c r="A12901" i="1"/>
  <c r="D10778" i="1"/>
  <c r="B10778" i="1"/>
  <c r="A10778" i="1"/>
  <c r="D5751" i="1"/>
  <c r="A5751" i="1"/>
  <c r="D5621" i="1"/>
  <c r="A5621" i="1"/>
  <c r="D11947" i="1"/>
  <c r="A11947" i="1"/>
  <c r="D12573" i="1"/>
  <c r="A12573" i="1"/>
  <c r="D18600" i="1"/>
  <c r="A18600" i="1"/>
  <c r="D7801" i="1"/>
  <c r="B7801" i="1"/>
  <c r="A7801" i="1"/>
  <c r="D15375" i="1"/>
  <c r="B15375" i="1"/>
  <c r="A15375" i="1"/>
  <c r="D15539" i="1"/>
  <c r="B15539" i="1"/>
  <c r="A15539" i="1"/>
  <c r="D9100" i="1"/>
  <c r="A9100" i="1"/>
  <c r="D9353" i="1"/>
  <c r="B9353" i="1"/>
  <c r="A9353" i="1"/>
  <c r="D16593" i="1"/>
  <c r="B16593" i="1"/>
  <c r="A16593" i="1"/>
  <c r="D14929" i="1"/>
  <c r="B14929" i="1"/>
  <c r="A14929" i="1"/>
  <c r="D6668" i="1"/>
  <c r="A6668" i="1"/>
  <c r="D15107" i="1"/>
  <c r="B15107" i="1"/>
  <c r="A15107" i="1"/>
  <c r="D5544" i="1"/>
  <c r="A5544" i="1"/>
  <c r="D12216" i="1"/>
  <c r="A12216" i="1"/>
  <c r="D10939" i="1"/>
  <c r="B10939" i="1"/>
  <c r="A10939" i="1"/>
  <c r="D9336" i="1"/>
  <c r="A9336" i="1"/>
  <c r="D17133" i="1"/>
  <c r="A17133" i="1"/>
  <c r="D6864" i="1"/>
  <c r="B6864" i="1"/>
  <c r="A6864" i="1"/>
  <c r="D9008" i="1"/>
  <c r="B9008" i="1"/>
  <c r="A9008" i="1"/>
  <c r="D7428" i="1"/>
  <c r="B7428" i="1"/>
  <c r="A7428" i="1"/>
  <c r="D7766" i="1"/>
  <c r="A7766" i="1"/>
  <c r="D15431" i="1"/>
  <c r="B15431" i="1"/>
  <c r="A15431" i="1"/>
  <c r="D15482" i="1"/>
  <c r="B15482" i="1"/>
  <c r="A15482" i="1"/>
  <c r="D6912" i="1"/>
  <c r="B6912" i="1"/>
  <c r="A6912" i="1"/>
  <c r="D14985" i="1"/>
  <c r="B14985" i="1"/>
  <c r="A14985" i="1"/>
  <c r="D14996" i="1"/>
  <c r="B14996" i="1"/>
  <c r="A14996" i="1"/>
  <c r="D17426" i="1"/>
  <c r="B17426" i="1"/>
  <c r="A17426" i="1"/>
  <c r="D13534" i="1"/>
  <c r="B13534" i="1"/>
  <c r="A13534" i="1"/>
  <c r="D15981" i="1"/>
  <c r="A15981" i="1"/>
  <c r="D9989" i="1"/>
  <c r="A9989" i="1"/>
  <c r="D18454" i="1"/>
  <c r="B18454" i="1"/>
  <c r="A18454" i="1"/>
  <c r="D5633" i="1"/>
  <c r="A5633" i="1"/>
  <c r="D11997" i="1"/>
  <c r="B11997" i="1"/>
  <c r="A11997" i="1"/>
  <c r="D13278" i="1"/>
  <c r="B13278" i="1"/>
  <c r="A13278" i="1"/>
  <c r="D10920" i="1"/>
  <c r="A10920" i="1"/>
  <c r="D6366" i="1"/>
  <c r="B6366" i="1"/>
  <c r="A6366" i="1"/>
  <c r="D14822" i="1"/>
  <c r="B14822" i="1"/>
  <c r="A14822" i="1"/>
  <c r="D7194" i="1"/>
  <c r="B7194" i="1"/>
  <c r="A7194" i="1"/>
  <c r="D7290" i="1"/>
  <c r="A7290" i="1"/>
  <c r="D9705" i="1"/>
  <c r="A9705" i="1"/>
  <c r="D13842" i="1"/>
  <c r="A13842" i="1"/>
  <c r="D8989" i="1"/>
  <c r="B8989" i="1"/>
  <c r="A8989" i="1"/>
  <c r="D15012" i="1"/>
  <c r="B15012" i="1"/>
  <c r="A15012" i="1"/>
  <c r="D7397" i="1"/>
  <c r="B7397" i="1"/>
  <c r="A7397" i="1"/>
  <c r="D15242" i="1"/>
  <c r="B15242" i="1"/>
  <c r="A15242" i="1"/>
  <c r="D7737" i="1"/>
  <c r="B7737" i="1"/>
  <c r="A7737" i="1"/>
  <c r="D16887" i="1"/>
  <c r="B16887" i="1"/>
  <c r="A16887" i="1"/>
  <c r="D12265" i="1"/>
  <c r="B12265" i="1"/>
  <c r="A12265" i="1"/>
  <c r="D13588" i="1"/>
  <c r="B13588" i="1"/>
  <c r="A13588" i="1"/>
  <c r="D14960" i="1"/>
  <c r="B14960" i="1"/>
  <c r="A14960" i="1"/>
  <c r="D12475" i="1"/>
  <c r="A12475" i="1"/>
  <c r="D8188" i="1"/>
  <c r="B8188" i="1"/>
  <c r="A8188" i="1"/>
  <c r="D14885" i="1"/>
  <c r="B14885" i="1"/>
  <c r="A14885" i="1"/>
  <c r="D13445" i="1"/>
  <c r="B13445" i="1"/>
  <c r="A13445" i="1"/>
  <c r="D12906" i="1"/>
  <c r="A12906" i="1"/>
  <c r="D11587" i="1"/>
  <c r="B11587" i="1"/>
  <c r="A11587" i="1"/>
  <c r="D9082" i="1"/>
  <c r="A9082" i="1"/>
  <c r="D5798" i="1"/>
  <c r="A5798" i="1"/>
  <c r="D18018" i="1"/>
  <c r="A18018" i="1"/>
  <c r="D9667" i="1"/>
  <c r="B9667" i="1"/>
  <c r="A9667" i="1"/>
  <c r="D7285" i="1"/>
  <c r="B7285" i="1"/>
  <c r="A7285" i="1"/>
  <c r="D6702" i="1"/>
  <c r="B6702" i="1"/>
  <c r="A6702" i="1"/>
  <c r="D6530" i="1"/>
  <c r="B6530" i="1"/>
  <c r="A6530" i="1"/>
  <c r="D7780" i="1"/>
  <c r="B7780" i="1"/>
  <c r="A7780" i="1"/>
  <c r="D11731" i="1"/>
  <c r="B11731" i="1"/>
  <c r="A11731" i="1"/>
  <c r="D18226" i="1"/>
  <c r="B18226" i="1"/>
  <c r="A18226" i="1"/>
  <c r="D11803" i="1"/>
  <c r="B11803" i="1"/>
  <c r="A11803" i="1"/>
  <c r="D9990" i="1"/>
  <c r="A9990" i="1"/>
  <c r="D15181" i="1"/>
  <c r="B15181" i="1"/>
  <c r="A15181" i="1"/>
  <c r="D14986" i="1"/>
  <c r="B14986" i="1"/>
  <c r="A14986" i="1"/>
  <c r="D12446" i="1"/>
  <c r="A12446" i="1"/>
  <c r="D13956" i="1"/>
  <c r="B13956" i="1"/>
  <c r="A13956" i="1"/>
  <c r="D6647" i="1"/>
  <c r="A6647" i="1"/>
  <c r="D7126" i="1"/>
  <c r="A7126" i="1"/>
  <c r="D14900" i="1"/>
  <c r="B14900" i="1"/>
  <c r="A14900" i="1"/>
  <c r="D14886" i="1"/>
  <c r="B14886" i="1"/>
  <c r="A14886" i="1"/>
  <c r="D10443" i="1"/>
  <c r="B10443" i="1"/>
  <c r="A10443" i="1"/>
  <c r="D17336" i="1"/>
  <c r="B17336" i="1"/>
  <c r="A17336" i="1"/>
  <c r="D13329" i="1"/>
  <c r="B13329" i="1"/>
  <c r="A13329" i="1"/>
  <c r="D14810" i="1"/>
  <c r="B14810" i="1"/>
  <c r="A14810" i="1"/>
  <c r="D12021" i="1"/>
  <c r="A12021" i="1"/>
  <c r="D12464" i="1"/>
  <c r="A12464" i="1"/>
  <c r="D14343" i="1"/>
  <c r="B14343" i="1"/>
  <c r="A14343" i="1"/>
  <c r="D9921" i="1"/>
  <c r="A9921" i="1"/>
  <c r="D16148" i="1"/>
  <c r="A16148" i="1"/>
  <c r="D10304" i="1"/>
  <c r="B10304" i="1"/>
  <c r="A10304" i="1"/>
  <c r="D10757" i="1"/>
  <c r="B10757" i="1"/>
  <c r="A10757" i="1"/>
  <c r="D13865" i="1"/>
  <c r="B13865" i="1"/>
  <c r="A13865" i="1"/>
  <c r="D14916" i="1"/>
  <c r="B14916" i="1"/>
  <c r="A14916" i="1"/>
  <c r="D14832" i="1"/>
  <c r="B14832" i="1"/>
  <c r="A14832" i="1"/>
  <c r="D14958" i="1"/>
  <c r="B14958" i="1"/>
  <c r="A14958" i="1"/>
  <c r="D10348" i="1"/>
  <c r="B10348" i="1"/>
  <c r="A10348" i="1"/>
  <c r="D12009" i="1"/>
  <c r="B12009" i="1"/>
  <c r="A12009" i="1"/>
  <c r="D15048" i="1"/>
  <c r="B15048" i="1"/>
  <c r="A15048" i="1"/>
  <c r="D13272" i="1"/>
  <c r="B13272" i="1"/>
  <c r="A13272" i="1"/>
  <c r="D8920" i="1"/>
  <c r="B8920" i="1"/>
  <c r="A8920" i="1"/>
  <c r="D6310" i="1"/>
  <c r="A6310" i="1"/>
  <c r="D11576" i="1"/>
  <c r="C11576" i="1"/>
  <c r="B11576" i="1"/>
  <c r="A11576" i="1"/>
  <c r="D7047" i="1"/>
  <c r="B7047" i="1"/>
  <c r="A7047" i="1"/>
  <c r="D7569" i="1"/>
  <c r="A7569" i="1"/>
  <c r="D11427" i="1"/>
  <c r="B11427" i="1"/>
  <c r="A11427" i="1"/>
  <c r="D15025" i="1"/>
  <c r="B15025" i="1"/>
  <c r="A15025" i="1"/>
  <c r="D10853" i="1"/>
  <c r="A10853" i="1"/>
  <c r="D13951" i="1"/>
  <c r="B13951" i="1"/>
  <c r="A13951" i="1"/>
  <c r="D8921" i="1"/>
  <c r="B8921" i="1"/>
  <c r="A8921" i="1"/>
  <c r="D13293" i="1"/>
  <c r="B13293" i="1"/>
  <c r="A13293" i="1"/>
  <c r="D18720" i="1"/>
  <c r="A18720" i="1"/>
  <c r="D11105" i="1"/>
  <c r="B11105" i="1"/>
  <c r="A11105" i="1"/>
  <c r="D8191" i="1"/>
  <c r="B8191" i="1"/>
  <c r="A8191" i="1"/>
  <c r="D11796" i="1"/>
  <c r="B11796" i="1"/>
  <c r="A11796" i="1"/>
  <c r="D7726" i="1"/>
  <c r="B7726" i="1"/>
  <c r="A7726" i="1"/>
  <c r="D9130" i="1"/>
  <c r="A9130" i="1"/>
  <c r="D7224" i="1"/>
  <c r="A7224" i="1"/>
  <c r="D15662" i="1"/>
  <c r="A15662" i="1"/>
  <c r="D5618" i="1"/>
  <c r="A5618" i="1"/>
  <c r="D10040" i="1"/>
  <c r="B10040" i="1"/>
  <c r="A10040" i="1"/>
  <c r="D7680" i="1"/>
  <c r="A7680" i="1"/>
  <c r="D15285" i="1"/>
  <c r="B15285" i="1"/>
  <c r="A15285" i="1"/>
  <c r="D6581" i="1"/>
  <c r="B6581" i="1"/>
  <c r="A6581" i="1"/>
  <c r="D10529" i="1"/>
  <c r="B10529" i="1"/>
  <c r="A10529" i="1"/>
  <c r="D9015" i="1"/>
  <c r="B9015" i="1"/>
  <c r="A9015" i="1"/>
  <c r="D18470" i="1"/>
  <c r="B18470" i="1"/>
  <c r="A18470" i="1"/>
  <c r="D14451" i="1"/>
  <c r="B14451" i="1"/>
  <c r="A14451" i="1"/>
  <c r="D16346" i="1"/>
  <c r="A16346" i="1"/>
  <c r="D10344" i="1"/>
  <c r="B10344" i="1"/>
  <c r="A10344" i="1"/>
  <c r="D17620" i="1"/>
  <c r="B17620" i="1"/>
  <c r="A17620" i="1"/>
  <c r="D16117" i="1"/>
  <c r="B16117" i="1"/>
  <c r="A16117" i="1"/>
  <c r="D17228" i="1"/>
  <c r="A17228" i="1"/>
  <c r="D15079" i="1"/>
  <c r="B15079" i="1"/>
  <c r="A15079" i="1"/>
  <c r="D15410" i="1"/>
  <c r="B15410" i="1"/>
  <c r="A15410" i="1"/>
  <c r="D9872" i="1"/>
  <c r="B9872" i="1"/>
  <c r="A9872" i="1"/>
  <c r="D7554" i="1"/>
  <c r="A7554" i="1"/>
  <c r="D11458" i="1"/>
  <c r="A11458" i="1"/>
  <c r="D10620" i="1"/>
  <c r="B10620" i="1"/>
  <c r="A10620" i="1"/>
  <c r="D17278" i="1"/>
  <c r="B17278" i="1"/>
  <c r="A17278" i="1"/>
  <c r="D8071" i="1"/>
  <c r="B8071" i="1"/>
  <c r="A8071" i="1"/>
  <c r="D15992" i="1"/>
  <c r="B15992" i="1"/>
  <c r="A15992" i="1"/>
  <c r="D15548" i="1"/>
  <c r="B15548" i="1"/>
  <c r="A15548" i="1"/>
  <c r="D10724" i="1"/>
  <c r="A10724" i="1"/>
  <c r="D15232" i="1"/>
  <c r="B15232" i="1"/>
  <c r="A15232" i="1"/>
  <c r="D14016" i="1"/>
  <c r="B14016" i="1"/>
  <c r="A14016" i="1"/>
  <c r="D17809" i="1"/>
  <c r="B17809" i="1"/>
  <c r="A17809" i="1"/>
  <c r="D7682" i="1"/>
  <c r="A7682" i="1"/>
  <c r="D14073" i="1"/>
  <c r="A14073" i="1"/>
  <c r="D11837" i="1"/>
  <c r="A11837" i="1"/>
  <c r="D14880" i="1"/>
  <c r="B14880" i="1"/>
  <c r="A14880" i="1"/>
  <c r="D14837" i="1"/>
  <c r="B14837" i="1"/>
  <c r="A14837" i="1"/>
  <c r="D18790" i="1"/>
  <c r="B18790" i="1"/>
  <c r="A18790" i="1"/>
  <c r="D17011" i="1"/>
  <c r="A17011" i="1"/>
  <c r="D10004" i="1"/>
  <c r="A10004" i="1"/>
  <c r="D16002" i="1"/>
  <c r="B16002" i="1"/>
  <c r="A16002" i="1"/>
  <c r="D5410" i="1"/>
  <c r="A5410" i="1"/>
  <c r="D5579" i="1"/>
  <c r="A5579" i="1"/>
  <c r="D18715" i="1"/>
  <c r="A18715" i="1"/>
  <c r="D15398" i="1"/>
  <c r="A15398" i="1"/>
  <c r="D16119" i="1"/>
  <c r="A16119" i="1"/>
  <c r="D14764" i="1"/>
  <c r="B14764" i="1"/>
  <c r="A14764" i="1"/>
  <c r="D14959" i="1"/>
  <c r="B14959" i="1"/>
  <c r="A14959" i="1"/>
  <c r="D18464" i="1"/>
  <c r="A18464" i="1"/>
  <c r="D14924" i="1"/>
  <c r="B14924" i="1"/>
  <c r="A14924" i="1"/>
  <c r="D13900" i="1"/>
  <c r="B13900" i="1"/>
  <c r="A13900" i="1"/>
  <c r="D6450" i="1"/>
  <c r="B6450" i="1"/>
  <c r="A6450" i="1"/>
  <c r="D12443" i="1"/>
  <c r="A12443" i="1"/>
  <c r="D10324" i="1"/>
  <c r="A10324" i="1"/>
  <c r="D17990" i="1"/>
  <c r="B17990" i="1"/>
  <c r="A17990" i="1"/>
  <c r="D10804" i="1"/>
  <c r="B10804" i="1"/>
  <c r="A10804" i="1"/>
  <c r="D18769" i="1"/>
  <c r="B18769" i="1"/>
  <c r="A18769" i="1"/>
  <c r="D16074" i="1"/>
  <c r="B16074" i="1"/>
  <c r="A16074" i="1"/>
  <c r="D15116" i="1"/>
  <c r="B15116" i="1"/>
  <c r="A15116" i="1"/>
  <c r="D10359" i="1"/>
  <c r="A10359" i="1"/>
  <c r="D15667" i="1"/>
  <c r="B15667" i="1"/>
  <c r="A15667" i="1"/>
  <c r="D16603" i="1"/>
  <c r="B16603" i="1"/>
  <c r="A16603" i="1"/>
  <c r="D11867" i="1"/>
  <c r="B11867" i="1"/>
  <c r="A11867" i="1"/>
  <c r="D15802" i="1"/>
  <c r="A15802" i="1"/>
  <c r="D9128" i="1"/>
  <c r="B9128" i="1"/>
  <c r="A9128" i="1"/>
  <c r="D14892" i="1"/>
  <c r="B14892" i="1"/>
  <c r="A14892" i="1"/>
  <c r="D15812" i="1"/>
  <c r="B15812" i="1"/>
  <c r="A15812" i="1"/>
  <c r="D10473" i="1"/>
  <c r="A10473" i="1"/>
  <c r="D18514" i="1"/>
  <c r="B18514" i="1"/>
  <c r="A18514" i="1"/>
  <c r="D9914" i="1"/>
  <c r="A9914" i="1"/>
  <c r="D6985" i="1"/>
  <c r="A6985" i="1"/>
  <c r="D18335" i="1"/>
  <c r="B18335" i="1"/>
  <c r="A18335" i="1"/>
  <c r="D13504" i="1"/>
  <c r="B13504" i="1"/>
  <c r="A13504" i="1"/>
  <c r="D9256" i="1"/>
  <c r="A9256" i="1"/>
  <c r="D5539" i="1"/>
  <c r="A5539" i="1"/>
  <c r="D10440" i="1"/>
  <c r="A10440" i="1"/>
  <c r="D5652" i="1"/>
  <c r="A5652" i="1"/>
  <c r="D6269" i="1"/>
  <c r="A6269" i="1"/>
  <c r="D15469" i="1"/>
  <c r="B15469" i="1"/>
  <c r="A15469" i="1"/>
  <c r="D5678" i="1"/>
  <c r="A5678" i="1"/>
  <c r="D5732" i="1"/>
  <c r="A5732" i="1"/>
  <c r="D9033" i="1"/>
  <c r="A9033" i="1"/>
  <c r="D6784" i="1"/>
  <c r="A6784" i="1"/>
  <c r="D9941" i="1"/>
  <c r="A9941" i="1"/>
  <c r="D17702" i="1"/>
  <c r="A17702" i="1"/>
  <c r="D9303" i="1"/>
  <c r="A9303" i="1"/>
  <c r="D5890" i="1"/>
  <c r="C5890" i="1"/>
  <c r="B5890" i="1"/>
  <c r="A5890" i="1"/>
  <c r="D9679" i="1"/>
  <c r="A9679" i="1"/>
  <c r="D7578" i="1"/>
  <c r="B7578" i="1"/>
  <c r="A7578" i="1"/>
  <c r="D5665" i="1"/>
  <c r="A5665" i="1"/>
  <c r="D10422" i="1"/>
  <c r="B10422" i="1"/>
  <c r="A10422" i="1"/>
  <c r="D11094" i="1"/>
  <c r="C11094" i="1"/>
  <c r="B11094" i="1"/>
  <c r="A11094" i="1"/>
  <c r="D9860" i="1"/>
  <c r="A9860" i="1"/>
  <c r="D9918" i="1"/>
  <c r="A9918" i="1"/>
  <c r="D18028" i="1"/>
  <c r="A18028" i="1"/>
  <c r="D7371" i="1"/>
  <c r="B7371" i="1"/>
  <c r="A7371" i="1"/>
  <c r="D14882" i="1"/>
  <c r="B14882" i="1"/>
  <c r="A14882" i="1"/>
  <c r="D14969" i="1"/>
  <c r="A14969" i="1"/>
  <c r="D14861" i="1"/>
  <c r="B14861" i="1"/>
  <c r="A14861" i="1"/>
  <c r="D14988" i="1"/>
  <c r="A14988" i="1"/>
  <c r="D13276" i="1"/>
  <c r="B13276" i="1"/>
  <c r="A13276" i="1"/>
  <c r="D7774" i="1"/>
  <c r="B7774" i="1"/>
  <c r="A7774" i="1"/>
  <c r="D15148" i="1"/>
  <c r="B15148" i="1"/>
  <c r="A15148" i="1"/>
  <c r="D16856" i="1"/>
  <c r="B16856" i="1"/>
  <c r="A16856" i="1"/>
  <c r="D6701" i="1"/>
  <c r="B6701" i="1"/>
  <c r="A6701" i="1"/>
  <c r="D6792" i="1"/>
  <c r="A6792" i="1"/>
  <c r="D9618" i="1"/>
  <c r="A9618" i="1"/>
  <c r="D15037" i="1"/>
  <c r="B15037" i="1"/>
  <c r="A15037" i="1"/>
  <c r="D12624" i="1"/>
  <c r="A12624" i="1"/>
  <c r="D12494" i="1"/>
  <c r="A12494" i="1"/>
  <c r="D17057" i="1"/>
  <c r="B17057" i="1"/>
  <c r="A17057" i="1"/>
  <c r="D6517" i="1"/>
  <c r="B6517" i="1"/>
  <c r="A6517" i="1"/>
  <c r="D18417" i="1"/>
  <c r="B18417" i="1"/>
  <c r="A18417" i="1"/>
  <c r="D12605" i="1"/>
  <c r="A12605" i="1"/>
  <c r="D7663" i="1"/>
  <c r="A7663" i="1"/>
  <c r="D17365" i="1"/>
  <c r="B17365" i="1"/>
  <c r="A17365" i="1"/>
  <c r="D8248" i="1"/>
  <c r="B8248" i="1"/>
  <c r="A8248" i="1"/>
  <c r="D9273" i="1"/>
  <c r="B9273" i="1"/>
  <c r="A9273" i="1"/>
  <c r="D11575" i="1"/>
  <c r="C11575" i="1"/>
  <c r="B11575" i="1"/>
  <c r="A11575" i="1"/>
  <c r="D12482" i="1"/>
  <c r="A12482" i="1"/>
  <c r="D17163" i="1"/>
  <c r="A17163" i="1"/>
  <c r="D15304" i="1"/>
  <c r="B15304" i="1"/>
  <c r="A15304" i="1"/>
  <c r="D12349" i="1"/>
  <c r="B12349" i="1"/>
  <c r="A12349" i="1"/>
  <c r="D14993" i="1"/>
  <c r="B14993" i="1"/>
  <c r="A14993" i="1"/>
  <c r="D8263" i="1"/>
  <c r="B8263" i="1"/>
  <c r="A8263" i="1"/>
  <c r="D13847" i="1"/>
  <c r="A13847" i="1"/>
  <c r="D17794" i="1"/>
  <c r="A17794" i="1"/>
  <c r="D11898" i="1"/>
  <c r="B11898" i="1"/>
  <c r="A11898" i="1"/>
  <c r="D12436" i="1"/>
  <c r="A12436" i="1"/>
  <c r="D14789" i="1"/>
  <c r="B14789" i="1"/>
  <c r="A14789" i="1"/>
  <c r="D13222" i="1"/>
  <c r="B13222" i="1"/>
  <c r="A13222" i="1"/>
  <c r="D15808" i="1"/>
  <c r="A15808" i="1"/>
  <c r="D5404" i="1"/>
  <c r="A5404" i="1"/>
  <c r="D16083" i="1"/>
  <c r="B16083" i="1"/>
  <c r="A16083" i="1"/>
  <c r="D18122" i="1"/>
  <c r="B18122" i="1"/>
  <c r="A18122" i="1"/>
  <c r="D15513" i="1"/>
  <c r="A15513" i="1"/>
  <c r="D7162" i="1"/>
  <c r="B7162" i="1"/>
  <c r="A7162" i="1"/>
  <c r="D8324" i="1"/>
  <c r="B8324" i="1"/>
  <c r="A8324" i="1"/>
  <c r="D14452" i="1"/>
  <c r="B14452" i="1"/>
  <c r="A14452" i="1"/>
  <c r="D13304" i="1"/>
  <c r="B13304" i="1"/>
  <c r="A13304" i="1"/>
  <c r="D11792" i="1"/>
  <c r="B11792" i="1"/>
  <c r="A11792" i="1"/>
  <c r="D15880" i="1"/>
  <c r="A15880" i="1"/>
  <c r="D10063" i="1"/>
  <c r="B10063" i="1"/>
  <c r="A10063" i="1"/>
  <c r="D17849" i="1"/>
  <c r="B17849" i="1"/>
  <c r="A17849" i="1"/>
  <c r="D6811" i="1"/>
  <c r="B6811" i="1"/>
  <c r="A6811" i="1"/>
  <c r="D6559" i="1"/>
  <c r="A6559" i="1"/>
  <c r="D6931" i="1"/>
  <c r="A6931" i="1"/>
  <c r="D6707" i="1"/>
  <c r="B6707" i="1"/>
  <c r="A6707" i="1"/>
  <c r="D5448" i="1"/>
  <c r="A5448" i="1"/>
  <c r="D16252" i="1"/>
  <c r="A16252" i="1"/>
  <c r="D8059" i="1"/>
  <c r="B8059" i="1"/>
  <c r="A8059" i="1"/>
  <c r="D5738" i="1"/>
  <c r="A5738" i="1"/>
  <c r="D12885" i="1"/>
  <c r="A12885" i="1"/>
  <c r="D17880" i="1"/>
  <c r="A17880" i="1"/>
  <c r="D16343" i="1"/>
  <c r="A16343" i="1"/>
  <c r="D13971" i="1"/>
  <c r="A13971" i="1"/>
  <c r="D10531" i="1"/>
  <c r="B10531" i="1"/>
  <c r="A10531" i="1"/>
  <c r="D10726" i="1"/>
  <c r="A10726" i="1"/>
  <c r="D8578" i="1"/>
  <c r="A8578" i="1"/>
  <c r="D15056" i="1"/>
  <c r="B15056" i="1"/>
  <c r="A15056" i="1"/>
  <c r="D14902" i="1"/>
  <c r="B14902" i="1"/>
  <c r="A14902" i="1"/>
  <c r="D11737" i="1"/>
  <c r="B11737" i="1"/>
  <c r="A11737" i="1"/>
  <c r="D6746" i="1"/>
  <c r="A6746" i="1"/>
  <c r="D14980" i="1"/>
  <c r="B14980" i="1"/>
  <c r="A14980" i="1"/>
  <c r="D8259" i="1"/>
  <c r="B8259" i="1"/>
  <c r="A8259" i="1"/>
  <c r="D9944" i="1"/>
  <c r="B9944" i="1"/>
  <c r="A9944" i="1"/>
  <c r="D11982" i="1"/>
  <c r="A11982" i="1"/>
  <c r="D10646" i="1"/>
  <c r="B10646" i="1"/>
  <c r="A10646" i="1"/>
  <c r="D17953" i="1"/>
  <c r="B17953" i="1"/>
  <c r="A17953" i="1"/>
  <c r="D7350" i="1"/>
  <c r="A7350" i="1"/>
  <c r="D15806" i="1"/>
  <c r="A15806" i="1"/>
  <c r="D15128" i="1"/>
  <c r="B15128" i="1"/>
  <c r="A15128" i="1"/>
  <c r="D5617" i="1"/>
  <c r="A5617" i="1"/>
  <c r="D16348" i="1"/>
  <c r="A16348" i="1"/>
  <c r="D17019" i="1"/>
  <c r="A17019" i="1"/>
  <c r="D9179" i="1"/>
  <c r="A9179" i="1"/>
  <c r="D18299" i="1"/>
  <c r="A18299" i="1"/>
  <c r="D18696" i="1"/>
  <c r="A18696" i="1"/>
  <c r="D14453" i="1"/>
  <c r="B14453" i="1"/>
  <c r="A14453" i="1"/>
  <c r="D12162" i="1"/>
  <c r="B12162" i="1"/>
  <c r="A12162" i="1"/>
  <c r="D8130" i="1"/>
  <c r="B8130" i="1"/>
  <c r="A8130" i="1"/>
  <c r="D18717" i="1"/>
  <c r="A18717" i="1"/>
  <c r="D15286" i="1"/>
  <c r="A15286" i="1"/>
  <c r="D15399" i="1"/>
  <c r="B15399" i="1"/>
  <c r="A15399" i="1"/>
  <c r="D13869" i="1"/>
  <c r="B13869" i="1"/>
  <c r="A13869" i="1"/>
  <c r="D15376" i="1"/>
  <c r="B15376" i="1"/>
  <c r="A15376" i="1"/>
  <c r="D9750" i="1"/>
  <c r="B9750" i="1"/>
  <c r="A9750" i="1"/>
  <c r="D13044" i="1"/>
  <c r="A13044" i="1"/>
  <c r="D7855" i="1"/>
  <c r="B7855" i="1"/>
  <c r="A7855" i="1"/>
  <c r="D15624" i="1"/>
  <c r="B15624" i="1"/>
  <c r="A15624" i="1"/>
  <c r="D15269" i="1"/>
  <c r="B15269" i="1"/>
  <c r="A15269" i="1"/>
  <c r="D14464" i="1"/>
  <c r="B14464" i="1"/>
  <c r="A14464" i="1"/>
  <c r="D8948" i="1"/>
  <c r="B8948" i="1"/>
  <c r="A8948" i="1"/>
  <c r="D14177" i="1"/>
  <c r="A14177" i="1"/>
  <c r="D14970" i="1"/>
  <c r="A14970" i="1"/>
  <c r="D7377" i="1"/>
  <c r="B7377" i="1"/>
  <c r="A7377" i="1"/>
  <c r="D15494" i="1"/>
  <c r="B15494" i="1"/>
  <c r="A15494" i="1"/>
  <c r="D7351" i="1"/>
  <c r="A7351" i="1"/>
  <c r="D17655" i="1"/>
  <c r="A17655" i="1"/>
  <c r="D5496" i="1"/>
  <c r="A5496" i="1"/>
  <c r="D10353" i="1"/>
  <c r="B10353" i="1"/>
  <c r="A10353" i="1"/>
  <c r="D5643" i="1"/>
  <c r="A5643" i="1"/>
  <c r="D18726" i="1"/>
  <c r="A18726" i="1"/>
  <c r="D11511" i="1"/>
  <c r="A11511" i="1"/>
  <c r="D6889" i="1"/>
  <c r="B6889" i="1"/>
  <c r="A6889" i="1"/>
  <c r="D12451" i="1"/>
  <c r="A12451" i="1"/>
  <c r="D15374" i="1"/>
  <c r="B15374" i="1"/>
  <c r="A15374" i="1"/>
  <c r="D5558" i="1"/>
  <c r="A5558" i="1"/>
  <c r="D12118" i="1"/>
  <c r="A12118" i="1"/>
  <c r="D14766" i="1"/>
  <c r="B14766" i="1"/>
  <c r="A14766" i="1"/>
  <c r="D9366" i="1"/>
  <c r="A9366" i="1"/>
  <c r="D14878" i="1"/>
  <c r="B14878" i="1"/>
  <c r="A14878" i="1"/>
  <c r="D15047" i="1"/>
  <c r="B15047" i="1"/>
  <c r="A15047" i="1"/>
  <c r="D5869" i="1"/>
  <c r="B5869" i="1"/>
  <c r="A5869" i="1"/>
  <c r="D6161" i="1"/>
  <c r="B6161" i="1"/>
  <c r="A6161" i="1"/>
  <c r="D11889" i="1"/>
  <c r="B11889" i="1"/>
  <c r="A11889" i="1"/>
  <c r="D13439" i="1"/>
  <c r="B13439" i="1"/>
  <c r="A13439" i="1"/>
  <c r="D15832" i="1"/>
  <c r="B15832" i="1"/>
  <c r="A15832" i="1"/>
  <c r="D10660" i="1"/>
  <c r="B10660" i="1"/>
  <c r="A10660" i="1"/>
  <c r="D15033" i="1"/>
  <c r="B15033" i="1"/>
  <c r="A15033" i="1"/>
  <c r="D5385" i="1"/>
  <c r="A5385" i="1"/>
  <c r="D15472" i="1"/>
  <c r="B15472" i="1"/>
  <c r="A15472" i="1"/>
  <c r="D10221" i="1"/>
  <c r="A10221" i="1"/>
  <c r="D17685" i="1"/>
  <c r="B17685" i="1"/>
  <c r="A17685" i="1"/>
  <c r="D12487" i="1"/>
  <c r="A12487" i="1"/>
  <c r="D15417" i="1"/>
  <c r="B15417" i="1"/>
  <c r="A15417" i="1"/>
  <c r="D13883" i="1"/>
  <c r="A13883" i="1"/>
  <c r="D15533" i="1"/>
  <c r="B15533" i="1"/>
  <c r="A15533" i="1"/>
  <c r="D9980" i="1"/>
  <c r="A9980" i="1"/>
  <c r="D10763" i="1"/>
  <c r="A10763" i="1"/>
  <c r="D15660" i="1"/>
  <c r="B15660" i="1"/>
  <c r="A15660" i="1"/>
  <c r="D10225" i="1"/>
  <c r="B10225" i="1"/>
  <c r="A10225" i="1"/>
  <c r="D16325" i="1"/>
  <c r="A16325" i="1"/>
  <c r="D15489" i="1"/>
  <c r="B15489" i="1"/>
  <c r="A15489" i="1"/>
  <c r="D9497" i="1"/>
  <c r="A9497" i="1"/>
  <c r="D14771" i="1"/>
  <c r="B14771" i="1"/>
  <c r="A14771" i="1"/>
  <c r="D15331" i="1"/>
  <c r="B15331" i="1"/>
  <c r="A15331" i="1"/>
  <c r="D9898" i="1"/>
  <c r="B9898" i="1"/>
  <c r="A9898" i="1"/>
  <c r="D18779" i="1"/>
  <c r="B18779" i="1"/>
  <c r="A18779" i="1"/>
  <c r="D9745" i="1"/>
  <c r="B9745" i="1"/>
  <c r="A9745" i="1"/>
  <c r="D8492" i="1"/>
  <c r="B8492" i="1"/>
  <c r="A8492" i="1"/>
  <c r="D6383" i="1"/>
  <c r="B6383" i="1"/>
  <c r="A6383" i="1"/>
  <c r="D11464" i="1"/>
  <c r="B11464" i="1"/>
  <c r="A11464" i="1"/>
  <c r="D10263" i="1"/>
  <c r="B10263" i="1"/>
  <c r="A10263" i="1"/>
  <c r="D15208" i="1"/>
  <c r="B15208" i="1"/>
  <c r="A15208" i="1"/>
  <c r="D7864" i="1"/>
  <c r="A7864" i="1"/>
  <c r="D18021" i="1"/>
  <c r="A18021" i="1"/>
  <c r="D17018" i="1"/>
  <c r="A17018" i="1"/>
  <c r="D17469" i="1"/>
  <c r="B17469" i="1"/>
  <c r="A17469" i="1"/>
  <c r="D15354" i="1"/>
  <c r="B15354" i="1"/>
  <c r="A15354" i="1"/>
  <c r="D17603" i="1"/>
  <c r="B17603" i="1"/>
  <c r="A17603" i="1"/>
  <c r="D10610" i="1"/>
  <c r="A10610" i="1"/>
  <c r="D11973" i="1"/>
  <c r="A11973" i="1"/>
  <c r="D11775" i="1"/>
  <c r="B11775" i="1"/>
  <c r="A11775" i="1"/>
  <c r="D15517" i="1"/>
  <c r="B15517" i="1"/>
  <c r="A15517" i="1"/>
  <c r="D10693" i="1"/>
  <c r="A10693" i="1"/>
  <c r="D15929" i="1"/>
  <c r="A15929" i="1"/>
  <c r="D15196" i="1"/>
  <c r="B15196" i="1"/>
  <c r="A15196" i="1"/>
  <c r="D15175" i="1"/>
  <c r="B15175" i="1"/>
  <c r="A15175" i="1"/>
  <c r="D7465" i="1"/>
  <c r="B7465" i="1"/>
  <c r="A7465" i="1"/>
  <c r="D12617" i="1"/>
  <c r="A12617" i="1"/>
  <c r="D18650" i="1"/>
  <c r="A18650" i="1"/>
  <c r="D12636" i="1"/>
  <c r="A12636" i="1"/>
  <c r="D5522" i="1"/>
  <c r="A5522" i="1"/>
  <c r="D7091" i="1"/>
  <c r="A7091" i="1"/>
  <c r="D17105" i="1"/>
  <c r="B17105" i="1"/>
  <c r="A17105" i="1"/>
  <c r="D14617" i="1"/>
  <c r="A14617" i="1"/>
  <c r="D10325" i="1"/>
  <c r="A10325" i="1"/>
  <c r="D14763" i="1"/>
  <c r="A14763" i="1"/>
  <c r="D15120" i="1"/>
  <c r="B15120" i="1"/>
  <c r="A15120" i="1"/>
  <c r="D7400" i="1"/>
  <c r="B7400" i="1"/>
  <c r="A7400" i="1"/>
  <c r="D8098" i="1"/>
  <c r="B8098" i="1"/>
  <c r="A8098" i="1"/>
  <c r="D9904" i="1"/>
  <c r="B9904" i="1"/>
  <c r="A9904" i="1"/>
  <c r="D5698" i="1"/>
  <c r="A5698" i="1"/>
  <c r="D7614" i="1"/>
  <c r="B7614" i="1"/>
  <c r="A7614" i="1"/>
  <c r="D16944" i="1"/>
  <c r="B16944" i="1"/>
  <c r="A16944" i="1"/>
  <c r="D9869" i="1"/>
  <c r="A9869" i="1"/>
  <c r="D15036" i="1"/>
  <c r="B15036" i="1"/>
  <c r="A15036" i="1"/>
  <c r="D8120" i="1"/>
  <c r="A8120" i="1"/>
  <c r="D15055" i="1"/>
  <c r="A15055" i="1"/>
  <c r="D5581" i="1"/>
  <c r="A5581" i="1"/>
  <c r="D9979" i="1"/>
  <c r="B9979" i="1"/>
  <c r="A9979" i="1"/>
  <c r="D7044" i="1"/>
  <c r="B7044" i="1"/>
  <c r="A7044" i="1"/>
  <c r="D9724" i="1"/>
  <c r="A9724" i="1"/>
  <c r="D16305" i="1"/>
  <c r="B16305" i="1"/>
  <c r="A16305" i="1"/>
  <c r="D14835" i="1"/>
  <c r="B14835" i="1"/>
  <c r="A14835" i="1"/>
  <c r="D14977" i="1"/>
  <c r="B14977" i="1"/>
  <c r="A14977" i="1"/>
  <c r="D17136" i="1"/>
  <c r="B17136" i="1"/>
  <c r="A17136" i="1"/>
  <c r="D14788" i="1"/>
  <c r="B14788" i="1"/>
  <c r="A14788" i="1"/>
  <c r="D7379" i="1"/>
  <c r="A7379" i="1"/>
  <c r="D13564" i="1"/>
  <c r="B13564" i="1"/>
  <c r="A13564" i="1"/>
  <c r="D5345" i="1"/>
  <c r="A5345" i="1"/>
  <c r="D15407" i="1"/>
  <c r="A15407" i="1"/>
  <c r="D13229" i="1"/>
  <c r="B13229" i="1"/>
  <c r="A13229" i="1"/>
  <c r="D17501" i="1"/>
  <c r="B17501" i="1"/>
  <c r="A17501" i="1"/>
  <c r="D14879" i="1"/>
  <c r="B14879" i="1"/>
  <c r="A14879" i="1"/>
  <c r="D15000" i="1"/>
  <c r="B15000" i="1"/>
  <c r="A15000" i="1"/>
  <c r="D17498" i="1"/>
  <c r="B17498" i="1"/>
  <c r="A17498" i="1"/>
  <c r="D6632" i="1"/>
  <c r="A6632" i="1"/>
  <c r="D15031" i="1"/>
  <c r="B15031" i="1"/>
  <c r="A15031" i="1"/>
  <c r="D16353" i="1"/>
  <c r="A16353" i="1"/>
  <c r="D9909" i="1"/>
  <c r="B9909" i="1"/>
  <c r="A9909" i="1"/>
  <c r="D5682" i="1"/>
  <c r="A5682" i="1"/>
  <c r="D17738" i="1"/>
  <c r="B17738" i="1"/>
  <c r="A17738" i="1"/>
  <c r="D18320" i="1"/>
  <c r="B18320" i="1"/>
  <c r="A18320" i="1"/>
  <c r="D11516" i="1"/>
  <c r="B11516" i="1"/>
  <c r="A11516" i="1"/>
  <c r="D8509" i="1"/>
  <c r="B8509" i="1"/>
  <c r="A8509" i="1"/>
  <c r="D8080" i="1"/>
  <c r="B8080" i="1"/>
  <c r="A8080" i="1"/>
  <c r="D7117" i="1"/>
  <c r="A7117" i="1"/>
  <c r="D18574" i="1"/>
  <c r="B18574" i="1"/>
  <c r="A18574" i="1"/>
  <c r="D7574" i="1"/>
  <c r="B7574" i="1"/>
  <c r="A7574" i="1"/>
  <c r="D9962" i="1"/>
  <c r="A9962" i="1"/>
  <c r="D15352" i="1"/>
  <c r="B15352" i="1"/>
  <c r="A15352" i="1"/>
  <c r="D12677" i="1"/>
  <c r="A12677" i="1"/>
  <c r="D15063" i="1"/>
  <c r="B15063" i="1"/>
  <c r="A15063" i="1"/>
  <c r="D14910" i="1"/>
  <c r="B14910" i="1"/>
  <c r="A14910" i="1"/>
  <c r="D9045" i="1"/>
  <c r="A9045" i="1"/>
  <c r="D15049" i="1"/>
  <c r="B15049" i="1"/>
  <c r="A15049" i="1"/>
  <c r="D15184" i="1"/>
  <c r="B15184" i="1"/>
  <c r="A15184" i="1"/>
  <c r="D15680" i="1"/>
  <c r="A15680" i="1"/>
  <c r="D17275" i="1"/>
  <c r="A17275" i="1"/>
  <c r="D12440" i="1"/>
  <c r="A12440" i="1"/>
  <c r="D8370" i="1"/>
  <c r="B8370" i="1"/>
  <c r="A8370" i="1"/>
  <c r="D8987" i="1"/>
  <c r="B8987" i="1"/>
  <c r="A8987" i="1"/>
  <c r="D6910" i="1"/>
  <c r="B6910" i="1"/>
  <c r="A6910" i="1"/>
  <c r="D15673" i="1"/>
  <c r="A15673" i="1"/>
  <c r="D7503" i="1"/>
  <c r="A7503" i="1"/>
  <c r="D15327" i="1"/>
  <c r="B15327" i="1"/>
  <c r="A15327" i="1"/>
  <c r="D14956" i="1"/>
  <c r="B14956" i="1"/>
  <c r="A14956" i="1"/>
  <c r="D12266" i="1"/>
  <c r="B12266" i="1"/>
  <c r="A12266" i="1"/>
  <c r="D14759" i="1"/>
  <c r="B14759" i="1"/>
  <c r="A14759" i="1"/>
  <c r="D13506" i="1"/>
  <c r="A13506" i="1"/>
  <c r="D6617" i="1"/>
  <c r="B6617" i="1"/>
  <c r="A6617" i="1"/>
  <c r="D12234" i="1"/>
  <c r="A12234" i="1"/>
  <c r="D12199" i="1"/>
  <c r="B12199" i="1"/>
  <c r="A12199" i="1"/>
  <c r="D7510" i="1"/>
  <c r="A7510" i="1"/>
  <c r="D13502" i="1"/>
  <c r="B13502" i="1"/>
  <c r="A13502" i="1"/>
  <c r="D15198" i="1"/>
  <c r="B15198" i="1"/>
  <c r="A15198" i="1"/>
  <c r="D15038" i="1"/>
  <c r="B15038" i="1"/>
  <c r="A15038" i="1"/>
  <c r="D11802" i="1"/>
  <c r="B11802" i="1"/>
  <c r="A11802" i="1"/>
  <c r="D15497" i="1"/>
  <c r="A15497" i="1"/>
  <c r="D14014" i="1"/>
  <c r="B14014" i="1"/>
  <c r="A14014" i="1"/>
  <c r="D14976" i="1"/>
  <c r="B14976" i="1"/>
  <c r="A14976" i="1"/>
  <c r="D16121" i="1"/>
  <c r="B16121" i="1"/>
  <c r="A16121" i="1"/>
  <c r="D5324" i="1"/>
  <c r="C5324" i="1"/>
  <c r="B5324" i="1"/>
  <c r="A5324" i="1"/>
  <c r="D5323" i="1"/>
  <c r="B5323" i="1"/>
  <c r="A5323" i="1"/>
  <c r="D5321" i="1"/>
  <c r="B5321" i="1"/>
  <c r="A5321" i="1"/>
  <c r="D5322" i="1"/>
  <c r="C5322" i="1"/>
  <c r="B5322" i="1"/>
  <c r="A5322" i="1"/>
  <c r="D5320" i="1"/>
  <c r="B5320" i="1"/>
  <c r="A5320" i="1"/>
  <c r="D5319" i="1"/>
  <c r="B5319" i="1"/>
  <c r="A5319" i="1"/>
  <c r="D5318" i="1"/>
  <c r="B5318" i="1"/>
  <c r="A5318" i="1"/>
  <c r="D5317" i="1"/>
  <c r="B5317" i="1"/>
  <c r="A5317" i="1"/>
  <c r="D5316" i="1"/>
  <c r="B5316" i="1"/>
  <c r="A5316" i="1"/>
  <c r="D5314" i="1"/>
  <c r="B5314" i="1"/>
  <c r="A5314" i="1"/>
  <c r="D5315" i="1"/>
  <c r="B5315" i="1"/>
  <c r="A5315" i="1"/>
  <c r="D5302" i="1"/>
  <c r="A5302" i="1"/>
  <c r="D5310" i="1"/>
  <c r="B5310" i="1"/>
  <c r="A5310" i="1"/>
  <c r="D5303" i="1"/>
  <c r="C5303" i="1"/>
  <c r="B5303" i="1"/>
  <c r="A5303" i="1"/>
  <c r="D5309" i="1"/>
  <c r="B5309" i="1"/>
  <c r="A5309" i="1"/>
  <c r="D5308" i="1"/>
  <c r="B5308" i="1"/>
  <c r="A5308" i="1"/>
  <c r="D5307" i="1"/>
  <c r="B5307" i="1"/>
  <c r="A5307" i="1"/>
  <c r="D5312" i="1"/>
  <c r="C5312" i="1"/>
  <c r="B5312" i="1"/>
  <c r="A5312" i="1"/>
  <c r="D5306" i="1"/>
  <c r="B5306" i="1"/>
  <c r="A5306" i="1"/>
  <c r="D5304" i="1"/>
  <c r="B5304" i="1"/>
  <c r="A5304" i="1"/>
  <c r="D5305" i="1"/>
  <c r="B5305" i="1"/>
  <c r="A5305" i="1"/>
  <c r="D5313" i="1"/>
  <c r="B5313" i="1"/>
  <c r="A5313" i="1"/>
  <c r="D5311" i="1"/>
  <c r="B5311" i="1"/>
  <c r="A5311" i="1"/>
  <c r="D5301" i="1"/>
  <c r="B5301" i="1"/>
  <c r="A5301" i="1"/>
  <c r="D5300" i="1"/>
  <c r="B5300" i="1"/>
  <c r="A5300" i="1"/>
  <c r="D5299" i="1"/>
  <c r="B5299" i="1"/>
  <c r="A5299" i="1"/>
  <c r="D5298" i="1"/>
  <c r="C5298" i="1"/>
  <c r="B5298" i="1"/>
  <c r="A5298" i="1"/>
  <c r="D5296" i="1"/>
  <c r="C5296" i="1"/>
  <c r="B5296" i="1"/>
  <c r="A5296" i="1"/>
  <c r="D5297" i="1"/>
  <c r="C5297" i="1"/>
  <c r="B5297" i="1"/>
  <c r="A5297" i="1"/>
  <c r="D5295" i="1"/>
  <c r="B5295" i="1"/>
  <c r="A5295" i="1"/>
  <c r="D5294" i="1"/>
  <c r="B5294" i="1"/>
  <c r="A5294" i="1"/>
  <c r="D5293" i="1"/>
  <c r="C5293" i="1"/>
  <c r="B5293" i="1"/>
  <c r="A5293" i="1"/>
  <c r="D5292" i="1"/>
  <c r="C5292" i="1"/>
  <c r="B5292" i="1"/>
  <c r="A5292" i="1"/>
  <c r="D5291" i="1"/>
  <c r="C5291" i="1"/>
  <c r="B5291" i="1"/>
  <c r="A5291" i="1"/>
  <c r="D5290" i="1"/>
  <c r="B5290" i="1"/>
  <c r="A5290" i="1"/>
  <c r="D5289" i="1"/>
  <c r="C5289" i="1"/>
  <c r="B5289" i="1"/>
  <c r="A5289" i="1"/>
  <c r="D5288" i="1"/>
  <c r="B5288" i="1"/>
  <c r="A5288" i="1"/>
  <c r="D5287" i="1"/>
  <c r="C5287" i="1"/>
  <c r="B5287" i="1"/>
  <c r="A5287" i="1"/>
  <c r="D5284" i="1"/>
  <c r="B5284" i="1"/>
  <c r="A5284" i="1"/>
  <c r="D5285" i="1"/>
  <c r="B5285" i="1"/>
  <c r="A5285" i="1"/>
  <c r="D5286" i="1"/>
  <c r="B5286" i="1"/>
  <c r="A5286" i="1"/>
  <c r="D5283" i="1"/>
  <c r="C5283" i="1"/>
  <c r="B5283" i="1"/>
  <c r="A5283" i="1"/>
  <c r="D5281" i="1"/>
  <c r="B5281" i="1"/>
  <c r="A5281" i="1"/>
  <c r="D5271" i="1"/>
  <c r="B5271" i="1"/>
  <c r="A5271" i="1"/>
  <c r="D5274" i="1"/>
  <c r="B5274" i="1"/>
  <c r="A5274" i="1"/>
  <c r="D5282" i="1"/>
  <c r="C5282" i="1"/>
  <c r="B5282" i="1"/>
  <c r="A5282" i="1"/>
  <c r="D5278" i="1"/>
  <c r="B5278" i="1"/>
  <c r="A5278" i="1"/>
  <c r="D5275" i="1"/>
  <c r="B5275" i="1"/>
  <c r="A5275" i="1"/>
  <c r="D5273" i="1"/>
  <c r="B5273" i="1"/>
  <c r="A5273" i="1"/>
  <c r="D5277" i="1"/>
  <c r="C5277" i="1"/>
  <c r="B5277" i="1"/>
  <c r="A5277" i="1"/>
  <c r="D5272" i="1"/>
  <c r="B5272" i="1"/>
  <c r="A5272" i="1"/>
  <c r="D5276" i="1"/>
  <c r="B5276" i="1"/>
  <c r="A5276" i="1"/>
  <c r="D5279" i="1"/>
  <c r="B5279" i="1"/>
  <c r="A5279" i="1"/>
  <c r="D5280" i="1"/>
  <c r="B5280" i="1"/>
  <c r="A5280" i="1"/>
  <c r="D5270" i="1"/>
  <c r="B5270" i="1"/>
  <c r="A5270" i="1"/>
  <c r="D5269" i="1"/>
  <c r="B5269" i="1"/>
  <c r="A5269" i="1"/>
  <c r="D5268" i="1"/>
  <c r="B5268" i="1"/>
  <c r="A5268" i="1"/>
  <c r="D5265" i="1"/>
  <c r="B5265" i="1"/>
  <c r="A5265" i="1"/>
  <c r="D5260" i="1"/>
  <c r="B5260" i="1"/>
  <c r="A5260" i="1"/>
  <c r="D5263" i="1"/>
  <c r="B5263" i="1"/>
  <c r="A5263" i="1"/>
  <c r="D5262" i="1"/>
  <c r="C5262" i="1"/>
  <c r="B5262" i="1"/>
  <c r="A5262" i="1"/>
  <c r="D5252" i="1"/>
  <c r="B5252" i="1"/>
  <c r="A5252" i="1"/>
  <c r="D5264" i="1"/>
  <c r="B5264" i="1"/>
  <c r="A5264" i="1"/>
  <c r="D5251" i="1"/>
  <c r="C5251" i="1"/>
  <c r="B5251" i="1"/>
  <c r="A5251" i="1"/>
  <c r="D5254" i="1"/>
  <c r="B5254" i="1"/>
  <c r="A5254" i="1"/>
  <c r="D5266" i="1"/>
  <c r="C5266" i="1"/>
  <c r="B5266" i="1"/>
  <c r="A5266" i="1"/>
  <c r="D5257" i="1"/>
  <c r="B5257" i="1"/>
  <c r="A5257" i="1"/>
  <c r="D5258" i="1"/>
  <c r="C5258" i="1"/>
  <c r="B5258" i="1"/>
  <c r="A5258" i="1"/>
  <c r="D5259" i="1"/>
  <c r="B5259" i="1"/>
  <c r="A5259" i="1"/>
  <c r="D5255" i="1"/>
  <c r="B5255" i="1"/>
  <c r="A5255" i="1"/>
  <c r="D5267" i="1"/>
  <c r="B5267" i="1"/>
  <c r="A5267" i="1"/>
  <c r="D5253" i="1"/>
  <c r="B5253" i="1"/>
  <c r="A5253" i="1"/>
  <c r="D5256" i="1"/>
  <c r="B5256" i="1"/>
  <c r="A5256" i="1"/>
  <c r="D5261" i="1"/>
  <c r="B5261" i="1"/>
  <c r="A5261" i="1"/>
  <c r="D5249" i="1"/>
  <c r="B5249" i="1"/>
  <c r="A5249" i="1"/>
  <c r="D5250" i="1"/>
  <c r="B5250" i="1"/>
  <c r="A5250" i="1"/>
  <c r="D5248" i="1"/>
  <c r="B5248" i="1"/>
  <c r="A5248" i="1"/>
  <c r="D5247" i="1"/>
  <c r="C5247" i="1"/>
  <c r="B5247" i="1"/>
  <c r="A5247" i="1"/>
  <c r="D5246" i="1"/>
  <c r="B5246" i="1"/>
  <c r="A5246" i="1"/>
  <c r="D5244" i="1"/>
  <c r="A5244" i="1"/>
  <c r="D5242" i="1"/>
  <c r="C5242" i="1"/>
  <c r="B5242" i="1"/>
  <c r="A5242" i="1"/>
  <c r="D5245" i="1"/>
  <c r="B5245" i="1"/>
  <c r="A5245" i="1"/>
  <c r="D5243" i="1"/>
  <c r="B5243" i="1"/>
  <c r="A5243" i="1"/>
  <c r="D5241" i="1"/>
  <c r="C5241" i="1"/>
  <c r="B5241" i="1"/>
  <c r="A5241" i="1"/>
  <c r="D5240" i="1"/>
  <c r="B5240" i="1"/>
  <c r="A5240" i="1"/>
  <c r="D5239" i="1"/>
  <c r="B5239" i="1"/>
  <c r="A5239" i="1"/>
  <c r="D5238" i="1"/>
  <c r="B5238" i="1"/>
  <c r="A5238" i="1"/>
  <c r="D5237" i="1"/>
  <c r="B5237" i="1"/>
  <c r="A5237" i="1"/>
  <c r="D5236" i="1"/>
  <c r="B5236" i="1"/>
  <c r="A5236" i="1"/>
  <c r="D5234" i="1"/>
  <c r="C5234" i="1"/>
  <c r="B5234" i="1"/>
  <c r="A5234" i="1"/>
  <c r="D5231" i="1"/>
  <c r="B5231" i="1"/>
  <c r="A5231" i="1"/>
  <c r="D5235" i="1"/>
  <c r="B5235" i="1"/>
  <c r="A5235" i="1"/>
  <c r="D5232" i="1"/>
  <c r="B5232" i="1"/>
  <c r="A5232" i="1"/>
  <c r="D5233" i="1"/>
  <c r="B5233" i="1"/>
  <c r="A5233" i="1"/>
  <c r="D5230" i="1"/>
  <c r="C5230" i="1"/>
  <c r="B5230" i="1"/>
  <c r="A5230" i="1"/>
  <c r="D5229" i="1"/>
  <c r="B5229" i="1"/>
  <c r="A5229" i="1"/>
  <c r="D5228" i="1"/>
  <c r="B5228" i="1"/>
  <c r="A5228" i="1"/>
  <c r="D5227" i="1"/>
  <c r="B5227" i="1"/>
  <c r="A5227" i="1"/>
  <c r="D5226" i="1"/>
  <c r="C5226" i="1"/>
  <c r="B5226" i="1"/>
  <c r="A5226" i="1"/>
  <c r="D5224" i="1"/>
  <c r="B5224" i="1"/>
  <c r="A5224" i="1"/>
  <c r="D5223" i="1"/>
  <c r="A5223" i="1"/>
  <c r="D5225" i="1"/>
  <c r="C5225" i="1"/>
  <c r="B5225" i="1"/>
  <c r="A5225" i="1"/>
  <c r="D5222" i="1"/>
  <c r="C5222" i="1"/>
  <c r="B5222" i="1"/>
  <c r="A5222" i="1"/>
  <c r="D5221" i="1"/>
  <c r="B5221" i="1"/>
  <c r="A5221" i="1"/>
  <c r="D5220" i="1"/>
  <c r="C5220" i="1"/>
  <c r="B5220" i="1"/>
  <c r="A5220" i="1"/>
  <c r="D5218" i="1"/>
  <c r="C5218" i="1"/>
  <c r="B5218" i="1"/>
  <c r="A5218" i="1"/>
  <c r="D5219" i="1"/>
  <c r="B5219" i="1"/>
  <c r="A5219" i="1"/>
  <c r="D5216" i="1"/>
  <c r="B5216" i="1"/>
  <c r="A5216" i="1"/>
  <c r="D5217" i="1"/>
  <c r="B5217" i="1"/>
  <c r="A5217" i="1"/>
  <c r="D5215" i="1"/>
  <c r="C5215" i="1"/>
  <c r="B5215" i="1"/>
  <c r="A5215" i="1"/>
  <c r="D5213" i="1"/>
  <c r="B5213" i="1"/>
  <c r="A5213" i="1"/>
  <c r="D5214" i="1"/>
  <c r="B5214" i="1"/>
  <c r="A5214" i="1"/>
  <c r="D5199" i="1"/>
  <c r="B5199" i="1"/>
  <c r="A5199" i="1"/>
  <c r="D5178" i="1"/>
  <c r="B5178" i="1"/>
  <c r="A5178" i="1"/>
  <c r="D5208" i="1"/>
  <c r="B5208" i="1"/>
  <c r="A5208" i="1"/>
  <c r="D5174" i="1"/>
  <c r="A5174" i="1"/>
  <c r="D5180" i="1"/>
  <c r="A5180" i="1"/>
  <c r="D5183" i="1"/>
  <c r="B5183" i="1"/>
  <c r="A5183" i="1"/>
  <c r="D5192" i="1"/>
  <c r="B5192" i="1"/>
  <c r="A5192" i="1"/>
  <c r="D5211" i="1"/>
  <c r="B5211" i="1"/>
  <c r="A5211" i="1"/>
  <c r="D5189" i="1"/>
  <c r="B5189" i="1"/>
  <c r="A5189" i="1"/>
  <c r="D5203" i="1"/>
  <c r="B5203" i="1"/>
  <c r="A5203" i="1"/>
  <c r="D5187" i="1"/>
  <c r="B5187" i="1"/>
  <c r="A5187" i="1"/>
  <c r="D5167" i="1"/>
  <c r="B5167" i="1"/>
  <c r="A5167" i="1"/>
  <c r="D5188" i="1"/>
  <c r="C5188" i="1"/>
  <c r="B5188" i="1"/>
  <c r="A5188" i="1"/>
  <c r="D5201" i="1"/>
  <c r="B5201" i="1"/>
  <c r="A5201" i="1"/>
  <c r="D5165" i="1"/>
  <c r="C5165" i="1"/>
  <c r="B5165" i="1"/>
  <c r="A5165" i="1"/>
  <c r="D5202" i="1"/>
  <c r="B5202" i="1"/>
  <c r="A5202" i="1"/>
  <c r="D5171" i="1"/>
  <c r="B5171" i="1"/>
  <c r="A5171" i="1"/>
  <c r="D5166" i="1"/>
  <c r="B5166" i="1"/>
  <c r="A5166" i="1"/>
  <c r="D5186" i="1"/>
  <c r="B5186" i="1"/>
  <c r="A5186" i="1"/>
  <c r="D5197" i="1"/>
  <c r="C5197" i="1"/>
  <c r="B5197" i="1"/>
  <c r="A5197" i="1"/>
  <c r="D5205" i="1"/>
  <c r="B5205" i="1"/>
  <c r="A5205" i="1"/>
  <c r="D5200" i="1"/>
  <c r="B5200" i="1"/>
  <c r="A5200" i="1"/>
  <c r="D5176" i="1"/>
  <c r="B5176" i="1"/>
  <c r="A5176" i="1"/>
  <c r="D5193" i="1"/>
  <c r="C5193" i="1"/>
  <c r="B5193" i="1"/>
  <c r="A5193" i="1"/>
  <c r="D5195" i="1"/>
  <c r="B5195" i="1"/>
  <c r="A5195" i="1"/>
  <c r="D5168" i="1"/>
  <c r="C5168" i="1"/>
  <c r="B5168" i="1"/>
  <c r="A5168" i="1"/>
  <c r="D5194" i="1"/>
  <c r="C5194" i="1"/>
  <c r="B5194" i="1"/>
  <c r="A5194" i="1"/>
  <c r="D5173" i="1"/>
  <c r="B5173" i="1"/>
  <c r="A5173" i="1"/>
  <c r="D5172" i="1"/>
  <c r="C5172" i="1"/>
  <c r="B5172" i="1"/>
  <c r="A5172" i="1"/>
  <c r="D5179" i="1"/>
  <c r="B5179" i="1"/>
  <c r="A5179" i="1"/>
  <c r="D5196" i="1"/>
  <c r="B5196" i="1"/>
  <c r="A5196" i="1"/>
  <c r="D5210" i="1"/>
  <c r="B5210" i="1"/>
  <c r="A5210" i="1"/>
  <c r="D5182" i="1"/>
  <c r="B5182" i="1"/>
  <c r="A5182" i="1"/>
  <c r="D5169" i="1"/>
  <c r="B5169" i="1"/>
  <c r="A5169" i="1"/>
  <c r="D5170" i="1"/>
  <c r="B5170" i="1"/>
  <c r="A5170" i="1"/>
  <c r="D5175" i="1"/>
  <c r="B5175" i="1"/>
  <c r="A5175" i="1"/>
  <c r="D5184" i="1"/>
  <c r="B5184" i="1"/>
  <c r="A5184" i="1"/>
  <c r="D5212" i="1"/>
  <c r="C5212" i="1"/>
  <c r="B5212" i="1"/>
  <c r="A5212" i="1"/>
  <c r="D5198" i="1"/>
  <c r="B5198" i="1"/>
  <c r="A5198" i="1"/>
  <c r="D5191" i="1"/>
  <c r="B5191" i="1"/>
  <c r="A5191" i="1"/>
  <c r="D5185" i="1"/>
  <c r="B5185" i="1"/>
  <c r="A5185" i="1"/>
  <c r="D5181" i="1"/>
  <c r="B5181" i="1"/>
  <c r="A5181" i="1"/>
  <c r="D5206" i="1"/>
  <c r="B5206" i="1"/>
  <c r="A5206" i="1"/>
  <c r="D5209" i="1"/>
  <c r="B5209" i="1"/>
  <c r="A5209" i="1"/>
  <c r="D5190" i="1"/>
  <c r="B5190" i="1"/>
  <c r="A5190" i="1"/>
  <c r="D5204" i="1"/>
  <c r="B5204" i="1"/>
  <c r="A5204" i="1"/>
  <c r="D5207" i="1"/>
  <c r="B5207" i="1"/>
  <c r="A5207" i="1"/>
  <c r="D5177" i="1"/>
  <c r="A5177" i="1"/>
  <c r="D5157" i="1"/>
  <c r="B5157" i="1"/>
  <c r="A5157" i="1"/>
  <c r="D5159" i="1"/>
  <c r="B5159" i="1"/>
  <c r="A5159" i="1"/>
  <c r="D5152" i="1"/>
  <c r="C5152" i="1"/>
  <c r="B5152" i="1"/>
  <c r="A5152" i="1"/>
  <c r="D5161" i="1"/>
  <c r="B5161" i="1"/>
  <c r="A5161" i="1"/>
  <c r="D5151" i="1"/>
  <c r="C5151" i="1"/>
  <c r="B5151" i="1"/>
  <c r="A5151" i="1"/>
  <c r="D5164" i="1"/>
  <c r="C5164" i="1"/>
  <c r="B5164" i="1"/>
  <c r="A5164" i="1"/>
  <c r="D5154" i="1"/>
  <c r="C5154" i="1"/>
  <c r="B5154" i="1"/>
  <c r="A5154" i="1"/>
  <c r="D5163" i="1"/>
  <c r="C5163" i="1"/>
  <c r="B5163" i="1"/>
  <c r="A5163" i="1"/>
  <c r="D5162" i="1"/>
  <c r="B5162" i="1"/>
  <c r="A5162" i="1"/>
  <c r="D5153" i="1"/>
  <c r="C5153" i="1"/>
  <c r="B5153" i="1"/>
  <c r="A5153" i="1"/>
  <c r="D5158" i="1"/>
  <c r="B5158" i="1"/>
  <c r="A5158" i="1"/>
  <c r="D5160" i="1"/>
  <c r="C5160" i="1"/>
  <c r="B5160" i="1"/>
  <c r="A5160" i="1"/>
  <c r="D5155" i="1"/>
  <c r="B5155" i="1"/>
  <c r="A5155" i="1"/>
  <c r="D5156" i="1"/>
  <c r="C5156" i="1"/>
  <c r="B5156" i="1"/>
  <c r="A5156" i="1"/>
  <c r="D5150" i="1"/>
  <c r="A5150" i="1"/>
  <c r="D5148" i="1"/>
  <c r="B5148" i="1"/>
  <c r="A5148" i="1"/>
  <c r="D5149" i="1"/>
  <c r="B5149" i="1"/>
  <c r="A5149" i="1"/>
  <c r="D5147" i="1"/>
  <c r="B5147" i="1"/>
  <c r="A5147" i="1"/>
  <c r="D5146" i="1"/>
  <c r="C5146" i="1"/>
  <c r="B5146" i="1"/>
  <c r="A5146" i="1"/>
  <c r="D5145" i="1"/>
  <c r="B5145" i="1"/>
  <c r="A5145" i="1"/>
  <c r="D5144" i="1"/>
  <c r="C5144" i="1"/>
  <c r="B5144" i="1"/>
  <c r="A5144" i="1"/>
  <c r="D5143" i="1"/>
  <c r="B5143" i="1"/>
  <c r="A5143" i="1"/>
  <c r="D5135" i="1"/>
  <c r="B5135" i="1"/>
  <c r="A5135" i="1"/>
  <c r="D5139" i="1"/>
  <c r="C5139" i="1"/>
  <c r="B5139" i="1"/>
  <c r="A5139" i="1"/>
  <c r="D5140" i="1"/>
  <c r="B5140" i="1"/>
  <c r="A5140" i="1"/>
  <c r="D5141" i="1"/>
  <c r="B5141" i="1"/>
  <c r="A5141" i="1"/>
  <c r="D5136" i="1"/>
  <c r="C5136" i="1"/>
  <c r="B5136" i="1"/>
  <c r="A5136" i="1"/>
  <c r="D5137" i="1"/>
  <c r="B5137" i="1"/>
  <c r="A5137" i="1"/>
  <c r="D5142" i="1"/>
  <c r="B5142" i="1"/>
  <c r="A5142" i="1"/>
  <c r="D5138" i="1"/>
  <c r="C5138" i="1"/>
  <c r="B5138" i="1"/>
  <c r="A5138" i="1"/>
  <c r="D5134" i="1"/>
  <c r="B5134" i="1"/>
  <c r="A5134" i="1"/>
  <c r="D5133" i="1"/>
  <c r="B5133" i="1"/>
  <c r="A5133" i="1"/>
  <c r="D5132" i="1"/>
  <c r="B5132" i="1"/>
  <c r="A5132" i="1"/>
  <c r="D5129" i="1"/>
  <c r="C5129" i="1"/>
  <c r="B5129" i="1"/>
  <c r="A5129" i="1"/>
  <c r="D5131" i="1"/>
  <c r="C5131" i="1"/>
  <c r="B5131" i="1"/>
  <c r="A5131" i="1"/>
  <c r="D5130" i="1"/>
  <c r="C5130" i="1"/>
  <c r="B5130" i="1"/>
  <c r="A5130" i="1"/>
  <c r="D5128" i="1"/>
  <c r="B5128" i="1"/>
  <c r="A5128" i="1"/>
  <c r="D5127" i="1"/>
  <c r="B5127" i="1"/>
  <c r="A5127" i="1"/>
  <c r="D5124" i="1"/>
  <c r="C5124" i="1"/>
  <c r="B5124" i="1"/>
  <c r="A5124" i="1"/>
  <c r="D5125" i="1"/>
  <c r="B5125" i="1"/>
  <c r="A5125" i="1"/>
  <c r="D5126" i="1"/>
  <c r="B5126" i="1"/>
  <c r="A5126" i="1"/>
  <c r="D5123" i="1"/>
  <c r="B5123" i="1"/>
  <c r="A5123" i="1"/>
  <c r="D5121" i="1"/>
  <c r="B5121" i="1"/>
  <c r="A5121" i="1"/>
  <c r="D5120" i="1"/>
  <c r="B5120" i="1"/>
  <c r="A5120" i="1"/>
  <c r="D5122" i="1"/>
  <c r="B5122" i="1"/>
  <c r="A5122" i="1"/>
  <c r="D5118" i="1"/>
  <c r="B5118" i="1"/>
  <c r="A5118" i="1"/>
  <c r="D5117" i="1"/>
  <c r="B5117" i="1"/>
  <c r="A5117" i="1"/>
  <c r="D5112" i="1"/>
  <c r="B5112" i="1"/>
  <c r="A5112" i="1"/>
  <c r="D5115" i="1"/>
  <c r="B5115" i="1"/>
  <c r="A5115" i="1"/>
  <c r="D5114" i="1"/>
  <c r="B5114" i="1"/>
  <c r="A5114" i="1"/>
  <c r="D5113" i="1"/>
  <c r="C5113" i="1"/>
  <c r="B5113" i="1"/>
  <c r="A5113" i="1"/>
  <c r="D5111" i="1"/>
  <c r="C5111" i="1"/>
  <c r="B5111" i="1"/>
  <c r="A5111" i="1"/>
  <c r="D5119" i="1"/>
  <c r="B5119" i="1"/>
  <c r="A5119" i="1"/>
  <c r="D5116" i="1"/>
  <c r="B5116" i="1"/>
  <c r="A5116" i="1"/>
  <c r="D5110" i="1"/>
  <c r="B5110" i="1"/>
  <c r="A5110" i="1"/>
  <c r="D5107" i="1"/>
  <c r="B5107" i="1"/>
  <c r="A5107" i="1"/>
  <c r="D5109" i="1"/>
  <c r="B5109" i="1"/>
  <c r="A5109" i="1"/>
  <c r="D5108" i="1"/>
  <c r="B5108" i="1"/>
  <c r="A5108" i="1"/>
  <c r="D5106" i="1"/>
  <c r="B5106" i="1"/>
  <c r="A5106" i="1"/>
  <c r="D5105" i="1"/>
  <c r="B5105" i="1"/>
  <c r="A5105" i="1"/>
  <c r="D5104" i="1"/>
  <c r="B5104" i="1"/>
  <c r="A5104" i="1"/>
  <c r="D5103" i="1"/>
  <c r="A5103" i="1"/>
  <c r="D5102" i="1"/>
  <c r="C5102" i="1"/>
  <c r="B5102" i="1"/>
  <c r="A5102" i="1"/>
  <c r="D5095" i="1"/>
  <c r="C5095" i="1"/>
  <c r="B5095" i="1"/>
  <c r="A5095" i="1"/>
  <c r="D5099" i="1"/>
  <c r="B5099" i="1"/>
  <c r="A5099" i="1"/>
  <c r="D5100" i="1"/>
  <c r="B5100" i="1"/>
  <c r="A5100" i="1"/>
  <c r="D5096" i="1"/>
  <c r="B5096" i="1"/>
  <c r="A5096" i="1"/>
  <c r="D5101" i="1"/>
  <c r="A5101" i="1"/>
  <c r="D5097" i="1"/>
  <c r="B5097" i="1"/>
  <c r="A5097" i="1"/>
  <c r="D5098" i="1"/>
  <c r="C5098" i="1"/>
  <c r="B5098" i="1"/>
  <c r="A5098" i="1"/>
  <c r="D5094" i="1"/>
  <c r="B5094" i="1"/>
  <c r="A5094" i="1"/>
  <c r="D5093" i="1"/>
  <c r="B5093" i="1"/>
  <c r="A5093" i="1"/>
  <c r="D5090" i="1"/>
  <c r="B5090" i="1"/>
  <c r="A5090" i="1"/>
  <c r="D5091" i="1"/>
  <c r="B5091" i="1"/>
  <c r="A5091" i="1"/>
  <c r="D5089" i="1"/>
  <c r="B5089" i="1"/>
  <c r="A5089" i="1"/>
  <c r="D5086" i="1"/>
  <c r="B5086" i="1"/>
  <c r="A5086" i="1"/>
  <c r="D5092" i="1"/>
  <c r="C5092" i="1"/>
  <c r="B5092" i="1"/>
  <c r="A5092" i="1"/>
  <c r="D5088" i="1"/>
  <c r="C5088" i="1"/>
  <c r="B5088" i="1"/>
  <c r="A5088" i="1"/>
  <c r="D5085" i="1"/>
  <c r="B5085" i="1"/>
  <c r="A5085" i="1"/>
  <c r="D5087" i="1"/>
  <c r="B5087" i="1"/>
  <c r="A5087" i="1"/>
  <c r="D5081" i="1"/>
  <c r="B5081" i="1"/>
  <c r="A5081" i="1"/>
  <c r="D5084" i="1"/>
  <c r="B5084" i="1"/>
  <c r="A5084" i="1"/>
  <c r="D5082" i="1"/>
  <c r="B5082" i="1"/>
  <c r="A5082" i="1"/>
  <c r="D5080" i="1"/>
  <c r="B5080" i="1"/>
  <c r="A5080" i="1"/>
  <c r="D5079" i="1"/>
  <c r="B5079" i="1"/>
  <c r="A5079" i="1"/>
  <c r="D5083" i="1"/>
  <c r="B5083" i="1"/>
  <c r="A5083" i="1"/>
  <c r="D5078" i="1"/>
  <c r="B5078" i="1"/>
  <c r="A5078" i="1"/>
  <c r="D5077" i="1"/>
  <c r="C5077" i="1"/>
  <c r="B5077" i="1"/>
  <c r="A5077" i="1"/>
  <c r="D5076" i="1"/>
  <c r="A5076" i="1"/>
  <c r="D5075" i="1"/>
  <c r="B5075" i="1"/>
  <c r="A5075" i="1"/>
  <c r="D5074" i="1"/>
  <c r="A5074" i="1"/>
  <c r="D5073" i="1"/>
  <c r="B5073" i="1"/>
  <c r="A5073" i="1"/>
  <c r="D5071" i="1"/>
  <c r="B5071" i="1"/>
  <c r="A5071" i="1"/>
  <c r="D5072" i="1"/>
  <c r="A5072" i="1"/>
  <c r="D5070" i="1"/>
  <c r="B5070" i="1"/>
  <c r="A5070" i="1"/>
  <c r="D5065" i="1"/>
  <c r="C5065" i="1"/>
  <c r="B5065" i="1"/>
  <c r="A5065" i="1"/>
  <c r="D5068" i="1"/>
  <c r="B5068" i="1"/>
  <c r="A5068" i="1"/>
  <c r="D5067" i="1"/>
  <c r="B5067" i="1"/>
  <c r="A5067" i="1"/>
  <c r="D5066" i="1"/>
  <c r="B5066" i="1"/>
  <c r="A5066" i="1"/>
  <c r="D5069" i="1"/>
  <c r="B5069" i="1"/>
  <c r="A5069" i="1"/>
  <c r="D5064" i="1"/>
  <c r="B5064" i="1"/>
  <c r="A5064" i="1"/>
  <c r="D5063" i="1"/>
  <c r="B5063" i="1"/>
  <c r="A5063" i="1"/>
  <c r="D5059" i="1"/>
  <c r="B5059" i="1"/>
  <c r="A5059" i="1"/>
  <c r="D5062" i="1"/>
  <c r="B5062" i="1"/>
  <c r="A5062" i="1"/>
  <c r="D5061" i="1"/>
  <c r="C5061" i="1"/>
  <c r="B5061" i="1"/>
  <c r="A5061" i="1"/>
  <c r="D5060" i="1"/>
  <c r="C5060" i="1"/>
  <c r="B5060" i="1"/>
  <c r="A5060" i="1"/>
  <c r="D5058" i="1"/>
  <c r="B5058" i="1"/>
  <c r="A5058" i="1"/>
  <c r="D5057" i="1"/>
  <c r="C5057" i="1"/>
  <c r="B5057" i="1"/>
  <c r="A5057" i="1"/>
  <c r="D5053" i="1"/>
  <c r="B5053" i="1"/>
  <c r="A5053" i="1"/>
  <c r="D5052" i="1"/>
  <c r="B5052" i="1"/>
  <c r="A5052" i="1"/>
  <c r="D5056" i="1"/>
  <c r="B5056" i="1"/>
  <c r="A5056" i="1"/>
  <c r="D5055" i="1"/>
  <c r="B5055" i="1"/>
  <c r="A5055" i="1"/>
  <c r="D5054" i="1"/>
  <c r="B5054" i="1"/>
  <c r="A5054" i="1"/>
  <c r="D5051" i="1"/>
  <c r="C5051" i="1"/>
  <c r="B5051" i="1"/>
  <c r="A5051" i="1"/>
  <c r="D5048" i="1"/>
  <c r="B5048" i="1"/>
  <c r="A5048" i="1"/>
  <c r="D5050" i="1"/>
  <c r="C5050" i="1"/>
  <c r="B5050" i="1"/>
  <c r="A5050" i="1"/>
  <c r="D5047" i="1"/>
  <c r="B5047" i="1"/>
  <c r="A5047" i="1"/>
  <c r="D5049" i="1"/>
  <c r="B5049" i="1"/>
  <c r="A5049" i="1"/>
  <c r="D5046" i="1"/>
  <c r="B5046" i="1"/>
  <c r="A5046" i="1"/>
  <c r="D5044" i="1"/>
  <c r="C5044" i="1"/>
  <c r="B5044" i="1"/>
  <c r="A5044" i="1"/>
  <c r="D5045" i="1"/>
  <c r="B5045" i="1"/>
  <c r="A5045" i="1"/>
  <c r="D5040" i="1"/>
  <c r="B5040" i="1"/>
  <c r="A5040" i="1"/>
  <c r="D5042" i="1"/>
  <c r="B5042" i="1"/>
  <c r="A5042" i="1"/>
  <c r="D5043" i="1"/>
  <c r="A5043" i="1"/>
  <c r="D5041" i="1"/>
  <c r="B5041" i="1"/>
  <c r="A5041" i="1"/>
  <c r="D5039" i="1"/>
  <c r="C5039" i="1"/>
  <c r="B5039" i="1"/>
  <c r="A5039" i="1"/>
  <c r="D5037" i="1"/>
  <c r="B5037" i="1"/>
  <c r="A5037" i="1"/>
  <c r="D5038" i="1"/>
  <c r="B5038" i="1"/>
  <c r="A5038" i="1"/>
  <c r="D5036" i="1"/>
  <c r="B5036" i="1"/>
  <c r="A5036" i="1"/>
  <c r="D5035" i="1"/>
  <c r="B5035" i="1"/>
  <c r="A5035" i="1"/>
  <c r="D5034" i="1"/>
  <c r="B5034" i="1"/>
  <c r="A5034" i="1"/>
  <c r="D5033" i="1"/>
  <c r="B5033" i="1"/>
  <c r="A5033" i="1"/>
  <c r="D5031" i="1"/>
  <c r="B5031" i="1"/>
  <c r="A5031" i="1"/>
  <c r="D5030" i="1"/>
  <c r="B5030" i="1"/>
  <c r="A5030" i="1"/>
  <c r="D5032" i="1"/>
  <c r="C5032" i="1"/>
  <c r="B5032" i="1"/>
  <c r="A5032" i="1"/>
  <c r="D5029" i="1"/>
  <c r="B5029" i="1"/>
  <c r="A5029" i="1"/>
  <c r="D5024" i="1"/>
  <c r="B5024" i="1"/>
  <c r="A5024" i="1"/>
  <c r="D5028" i="1"/>
  <c r="B5028" i="1"/>
  <c r="A5028" i="1"/>
  <c r="D5027" i="1"/>
  <c r="B5027" i="1"/>
  <c r="A5027" i="1"/>
  <c r="D5025" i="1"/>
  <c r="B5025" i="1"/>
  <c r="A5025" i="1"/>
  <c r="D5026" i="1"/>
  <c r="B5026" i="1"/>
  <c r="A5026" i="1"/>
  <c r="D5023" i="1"/>
  <c r="B5023" i="1"/>
  <c r="A5023" i="1"/>
  <c r="D5018" i="1"/>
  <c r="B5018" i="1"/>
  <c r="A5018" i="1"/>
  <c r="D5019" i="1"/>
  <c r="C5019" i="1"/>
  <c r="B5019" i="1"/>
  <c r="A5019" i="1"/>
  <c r="D5021" i="1"/>
  <c r="B5021" i="1"/>
  <c r="A5021" i="1"/>
  <c r="D5022" i="1"/>
  <c r="B5022" i="1"/>
  <c r="A5022" i="1"/>
  <c r="D5020" i="1"/>
  <c r="B5020" i="1"/>
  <c r="A5020" i="1"/>
  <c r="D5014" i="1"/>
  <c r="B5014" i="1"/>
  <c r="A5014" i="1"/>
  <c r="D5015" i="1"/>
  <c r="B5015" i="1"/>
  <c r="A5015" i="1"/>
  <c r="D5016" i="1"/>
  <c r="B5016" i="1"/>
  <c r="A5016" i="1"/>
  <c r="D5017" i="1"/>
  <c r="B5017" i="1"/>
  <c r="A5017" i="1"/>
  <c r="D5011" i="1"/>
  <c r="B5011" i="1"/>
  <c r="A5011" i="1"/>
  <c r="D5013" i="1"/>
  <c r="B5013" i="1"/>
  <c r="A5013" i="1"/>
  <c r="D5012" i="1"/>
  <c r="B5012" i="1"/>
  <c r="A5012" i="1"/>
  <c r="D5008" i="1"/>
  <c r="B5008" i="1"/>
  <c r="A5008" i="1"/>
  <c r="D5007" i="1"/>
  <c r="C5007" i="1"/>
  <c r="B5007" i="1"/>
  <c r="A5007" i="1"/>
  <c r="D5009" i="1"/>
  <c r="C5009" i="1"/>
  <c r="B5009" i="1"/>
  <c r="A5009" i="1"/>
  <c r="D5010" i="1"/>
  <c r="C5010" i="1"/>
  <c r="B5010" i="1"/>
  <c r="A5010" i="1"/>
  <c r="D5006" i="1"/>
  <c r="C5006" i="1"/>
  <c r="B5006" i="1"/>
  <c r="A5006" i="1"/>
  <c r="D5005" i="1"/>
  <c r="B5005" i="1"/>
  <c r="A5005" i="1"/>
  <c r="D5000" i="1"/>
  <c r="B5000" i="1"/>
  <c r="A5000" i="1"/>
  <c r="D5001" i="1"/>
  <c r="B5001" i="1"/>
  <c r="A5001" i="1"/>
  <c r="D5003" i="1"/>
  <c r="B5003" i="1"/>
  <c r="A5003" i="1"/>
  <c r="D5004" i="1"/>
  <c r="B5004" i="1"/>
  <c r="A5004" i="1"/>
  <c r="D4999" i="1"/>
  <c r="B4999" i="1"/>
  <c r="A4999" i="1"/>
  <c r="D5002" i="1"/>
  <c r="B5002" i="1"/>
  <c r="A5002" i="1"/>
  <c r="D4998" i="1"/>
  <c r="C4998" i="1"/>
  <c r="B4998" i="1"/>
  <c r="A4998" i="1"/>
  <c r="D4997" i="1"/>
  <c r="C4997" i="1"/>
  <c r="B4997" i="1"/>
  <c r="A4997" i="1"/>
  <c r="D4996" i="1"/>
  <c r="B4996" i="1"/>
  <c r="A4996" i="1"/>
  <c r="D4992" i="1"/>
  <c r="B4992" i="1"/>
  <c r="A4992" i="1"/>
  <c r="D4994" i="1"/>
  <c r="C4994" i="1"/>
  <c r="B4994" i="1"/>
  <c r="A4994" i="1"/>
  <c r="D4995" i="1"/>
  <c r="C4995" i="1"/>
  <c r="B4995" i="1"/>
  <c r="A4995" i="1"/>
  <c r="D4993" i="1"/>
  <c r="B4993" i="1"/>
  <c r="A4993" i="1"/>
  <c r="D4983" i="1"/>
  <c r="B4983" i="1"/>
  <c r="A4983" i="1"/>
  <c r="D4987" i="1"/>
  <c r="B4987" i="1"/>
  <c r="A4987" i="1"/>
  <c r="D4984" i="1"/>
  <c r="B4984" i="1"/>
  <c r="A4984" i="1"/>
  <c r="D4986" i="1"/>
  <c r="C4986" i="1"/>
  <c r="B4986" i="1"/>
  <c r="A4986" i="1"/>
  <c r="D4990" i="1"/>
  <c r="B4990" i="1"/>
  <c r="A4990" i="1"/>
  <c r="D4989" i="1"/>
  <c r="B4989" i="1"/>
  <c r="A4989" i="1"/>
  <c r="D4988" i="1"/>
  <c r="B4988" i="1"/>
  <c r="A4988" i="1"/>
  <c r="D4985" i="1"/>
  <c r="B4985" i="1"/>
  <c r="A4985" i="1"/>
  <c r="D4982" i="1"/>
  <c r="B4982" i="1"/>
  <c r="A4982" i="1"/>
  <c r="D4991" i="1"/>
  <c r="B4991" i="1"/>
  <c r="A4991" i="1"/>
  <c r="D4981" i="1"/>
  <c r="B4981" i="1"/>
  <c r="A4981" i="1"/>
  <c r="D4980" i="1"/>
  <c r="B4980" i="1"/>
  <c r="A4980" i="1"/>
  <c r="D4977" i="1"/>
  <c r="B4977" i="1"/>
  <c r="A4977" i="1"/>
  <c r="D4978" i="1"/>
  <c r="B4978" i="1"/>
  <c r="A4978" i="1"/>
  <c r="D4979" i="1"/>
  <c r="B4979" i="1"/>
  <c r="A4979" i="1"/>
  <c r="D4976" i="1"/>
  <c r="C4976" i="1"/>
  <c r="B4976" i="1"/>
  <c r="A4976" i="1"/>
  <c r="D4975" i="1"/>
  <c r="C4975" i="1"/>
  <c r="B4975" i="1"/>
  <c r="A4975" i="1"/>
  <c r="D4974" i="1"/>
  <c r="C4974" i="1"/>
  <c r="B4974" i="1"/>
  <c r="A4974" i="1"/>
  <c r="D4972" i="1"/>
  <c r="B4972" i="1"/>
  <c r="A4972" i="1"/>
  <c r="D4973" i="1"/>
  <c r="B4973" i="1"/>
  <c r="A4973" i="1"/>
  <c r="D4971" i="1"/>
  <c r="B4971" i="1"/>
  <c r="A4971" i="1"/>
  <c r="D4966" i="1"/>
  <c r="B4966" i="1"/>
  <c r="A4966" i="1"/>
  <c r="D4956" i="1"/>
  <c r="A4956" i="1"/>
  <c r="D4960" i="1"/>
  <c r="B4960" i="1"/>
  <c r="A4960" i="1"/>
  <c r="D4963" i="1"/>
  <c r="B4963" i="1"/>
  <c r="A4963" i="1"/>
  <c r="D4957" i="1"/>
  <c r="C4957" i="1"/>
  <c r="B4957" i="1"/>
  <c r="A4957" i="1"/>
  <c r="D4969" i="1"/>
  <c r="C4969" i="1"/>
  <c r="B4969" i="1"/>
  <c r="A4969" i="1"/>
  <c r="D4968" i="1"/>
  <c r="C4968" i="1"/>
  <c r="B4968" i="1"/>
  <c r="A4968" i="1"/>
  <c r="D4964" i="1"/>
  <c r="B4964" i="1"/>
  <c r="A4964" i="1"/>
  <c r="D4970" i="1"/>
  <c r="B4970" i="1"/>
  <c r="A4970" i="1"/>
  <c r="D4965" i="1"/>
  <c r="B4965" i="1"/>
  <c r="A4965" i="1"/>
  <c r="D4959" i="1"/>
  <c r="B4959" i="1"/>
  <c r="A4959" i="1"/>
  <c r="D4962" i="1"/>
  <c r="B4962" i="1"/>
  <c r="A4962" i="1"/>
  <c r="D4958" i="1"/>
  <c r="B4958" i="1"/>
  <c r="A4958" i="1"/>
  <c r="D4961" i="1"/>
  <c r="B4961" i="1"/>
  <c r="A4961" i="1"/>
  <c r="D4967" i="1"/>
  <c r="B4967" i="1"/>
  <c r="A4967" i="1"/>
  <c r="D4955" i="1"/>
  <c r="C4955" i="1"/>
  <c r="B4955" i="1"/>
  <c r="A4955" i="1"/>
  <c r="D4954" i="1"/>
  <c r="C4954" i="1"/>
  <c r="B4954" i="1"/>
  <c r="A4954" i="1"/>
  <c r="D4953" i="1"/>
  <c r="B4953" i="1"/>
  <c r="A4953" i="1"/>
  <c r="D4950" i="1"/>
  <c r="B4950" i="1"/>
  <c r="A4950" i="1"/>
  <c r="D4952" i="1"/>
  <c r="B4952" i="1"/>
  <c r="A4952" i="1"/>
  <c r="D4951" i="1"/>
  <c r="B4951" i="1"/>
  <c r="A4951" i="1"/>
  <c r="D4949" i="1"/>
  <c r="B4949" i="1"/>
  <c r="A4949" i="1"/>
  <c r="D4947" i="1"/>
  <c r="B4947" i="1"/>
  <c r="A4947" i="1"/>
  <c r="D4946" i="1"/>
  <c r="C4946" i="1"/>
  <c r="B4946" i="1"/>
  <c r="A4946" i="1"/>
  <c r="D4948" i="1"/>
  <c r="B4948" i="1"/>
  <c r="A4948" i="1"/>
  <c r="D4945" i="1"/>
  <c r="C4945" i="1"/>
  <c r="B4945" i="1"/>
  <c r="A4945" i="1"/>
  <c r="D4944" i="1"/>
  <c r="B4944" i="1"/>
  <c r="A4944" i="1"/>
  <c r="D4943" i="1"/>
  <c r="C4943" i="1"/>
  <c r="B4943" i="1"/>
  <c r="A4943" i="1"/>
  <c r="D4942" i="1"/>
  <c r="B4942" i="1"/>
  <c r="A4942" i="1"/>
  <c r="D4941" i="1"/>
  <c r="B4941" i="1"/>
  <c r="A4941" i="1"/>
  <c r="D4934" i="1"/>
  <c r="C4934" i="1"/>
  <c r="B4934" i="1"/>
  <c r="A4934" i="1"/>
  <c r="D4938" i="1"/>
  <c r="B4938" i="1"/>
  <c r="A4938" i="1"/>
  <c r="D4930" i="1"/>
  <c r="B4930" i="1"/>
  <c r="A4930" i="1"/>
  <c r="D4933" i="1"/>
  <c r="B4933" i="1"/>
  <c r="A4933" i="1"/>
  <c r="D4940" i="1"/>
  <c r="C4940" i="1"/>
  <c r="B4940" i="1"/>
  <c r="A4940" i="1"/>
  <c r="D4935" i="1"/>
  <c r="C4935" i="1"/>
  <c r="B4935" i="1"/>
  <c r="A4935" i="1"/>
  <c r="D4932" i="1"/>
  <c r="B4932" i="1"/>
  <c r="A4932" i="1"/>
  <c r="D4939" i="1"/>
  <c r="A4939" i="1"/>
  <c r="D4929" i="1"/>
  <c r="A4929" i="1"/>
  <c r="D4931" i="1"/>
  <c r="B4931" i="1"/>
  <c r="A4931" i="1"/>
  <c r="D4936" i="1"/>
  <c r="B4936" i="1"/>
  <c r="A4936" i="1"/>
  <c r="D4937" i="1"/>
  <c r="B4937" i="1"/>
  <c r="A4937" i="1"/>
  <c r="D4927" i="1"/>
  <c r="C4927" i="1"/>
  <c r="B4927" i="1"/>
  <c r="A4927" i="1"/>
  <c r="D4928" i="1"/>
  <c r="B4928" i="1"/>
  <c r="A4928" i="1"/>
  <c r="D4924" i="1"/>
  <c r="B4924" i="1"/>
  <c r="A4924" i="1"/>
  <c r="D4925" i="1"/>
  <c r="B4925" i="1"/>
  <c r="A4925" i="1"/>
  <c r="D4926" i="1"/>
  <c r="B4926" i="1"/>
  <c r="A4926" i="1"/>
  <c r="D4919" i="1"/>
  <c r="B4919" i="1"/>
  <c r="A4919" i="1"/>
  <c r="D4922" i="1"/>
  <c r="B4922" i="1"/>
  <c r="A4922" i="1"/>
  <c r="D4920" i="1"/>
  <c r="C4920" i="1"/>
  <c r="B4920" i="1"/>
  <c r="A4920" i="1"/>
  <c r="D4918" i="1"/>
  <c r="B4918" i="1"/>
  <c r="A4918" i="1"/>
  <c r="D4921" i="1"/>
  <c r="B4921" i="1"/>
  <c r="A4921" i="1"/>
  <c r="D4923" i="1"/>
  <c r="B4923" i="1"/>
  <c r="A4923" i="1"/>
  <c r="D4917" i="1"/>
  <c r="B4917" i="1"/>
  <c r="A4917" i="1"/>
  <c r="D4916" i="1"/>
  <c r="B4916" i="1"/>
  <c r="A4916" i="1"/>
  <c r="D4915" i="1"/>
  <c r="B4915" i="1"/>
  <c r="A4915" i="1"/>
  <c r="D4913" i="1"/>
  <c r="B4913" i="1"/>
  <c r="A4913" i="1"/>
  <c r="D4914" i="1"/>
  <c r="B4914" i="1"/>
  <c r="A4914" i="1"/>
  <c r="D4912" i="1"/>
  <c r="C4912" i="1"/>
  <c r="B4912" i="1"/>
  <c r="A4912" i="1"/>
  <c r="D4911" i="1"/>
  <c r="B4911" i="1"/>
  <c r="A4911" i="1"/>
  <c r="D4910" i="1"/>
  <c r="B4910" i="1"/>
  <c r="A4910" i="1"/>
  <c r="D4909" i="1"/>
  <c r="B4909" i="1"/>
  <c r="A4909" i="1"/>
  <c r="D4904" i="1"/>
  <c r="B4904" i="1"/>
  <c r="A4904" i="1"/>
  <c r="D4906" i="1"/>
  <c r="C4906" i="1"/>
  <c r="B4906" i="1"/>
  <c r="A4906" i="1"/>
  <c r="D4905" i="1"/>
  <c r="C4905" i="1"/>
  <c r="B4905" i="1"/>
  <c r="A4905" i="1"/>
  <c r="D4908" i="1"/>
  <c r="C4908" i="1"/>
  <c r="B4908" i="1"/>
  <c r="A4908" i="1"/>
  <c r="D4907" i="1"/>
  <c r="B4907" i="1"/>
  <c r="A4907" i="1"/>
  <c r="D4903" i="1"/>
  <c r="B4903" i="1"/>
  <c r="A4903" i="1"/>
  <c r="D4898" i="1"/>
  <c r="B4898" i="1"/>
  <c r="A4898" i="1"/>
  <c r="D4900" i="1"/>
  <c r="C4900" i="1"/>
  <c r="B4900" i="1"/>
  <c r="A4900" i="1"/>
  <c r="D4902" i="1"/>
  <c r="C4902" i="1"/>
  <c r="B4902" i="1"/>
  <c r="A4902" i="1"/>
  <c r="D4901" i="1"/>
  <c r="B4901" i="1"/>
  <c r="A4901" i="1"/>
  <c r="D4899" i="1"/>
  <c r="B4899" i="1"/>
  <c r="A4899" i="1"/>
  <c r="D4896" i="1"/>
  <c r="C4896" i="1"/>
  <c r="B4896" i="1"/>
  <c r="A4896" i="1"/>
  <c r="D4895" i="1"/>
  <c r="C4895" i="1"/>
  <c r="B4895" i="1"/>
  <c r="A4895" i="1"/>
  <c r="D4897" i="1"/>
  <c r="B4897" i="1"/>
  <c r="A4897" i="1"/>
  <c r="D4894" i="1"/>
  <c r="B4894" i="1"/>
  <c r="A4894" i="1"/>
  <c r="D4893" i="1"/>
  <c r="B4893" i="1"/>
  <c r="A4893" i="1"/>
  <c r="D4892" i="1"/>
  <c r="A4892" i="1"/>
  <c r="D4889" i="1"/>
  <c r="A4889" i="1"/>
  <c r="D4890" i="1"/>
  <c r="B4890" i="1"/>
  <c r="A4890" i="1"/>
  <c r="D4891" i="1"/>
  <c r="C4891" i="1"/>
  <c r="B4891" i="1"/>
  <c r="A4891" i="1"/>
  <c r="D4888" i="1"/>
  <c r="B4888" i="1"/>
  <c r="A4888" i="1"/>
  <c r="D4886" i="1"/>
  <c r="B4886" i="1"/>
  <c r="A4886" i="1"/>
  <c r="D4885" i="1"/>
  <c r="B4885" i="1"/>
  <c r="A4885" i="1"/>
  <c r="D4887" i="1"/>
  <c r="B4887" i="1"/>
  <c r="A4887" i="1"/>
  <c r="D4884" i="1"/>
  <c r="B4884" i="1"/>
  <c r="A4884" i="1"/>
  <c r="D4883" i="1"/>
  <c r="B4883" i="1"/>
  <c r="A4883" i="1"/>
  <c r="D4879" i="1"/>
  <c r="B4879" i="1"/>
  <c r="A4879" i="1"/>
  <c r="D4881" i="1"/>
  <c r="C4881" i="1"/>
  <c r="B4881" i="1"/>
  <c r="A4881" i="1"/>
  <c r="D4880" i="1"/>
  <c r="B4880" i="1"/>
  <c r="A4880" i="1"/>
  <c r="D4882" i="1"/>
  <c r="B4882" i="1"/>
  <c r="A4882" i="1"/>
  <c r="D4878" i="1"/>
  <c r="B4878" i="1"/>
  <c r="A4878" i="1"/>
  <c r="D4876" i="1"/>
  <c r="B4876" i="1"/>
  <c r="A4876" i="1"/>
  <c r="D4875" i="1"/>
  <c r="C4875" i="1"/>
  <c r="B4875" i="1"/>
  <c r="A4875" i="1"/>
  <c r="D4874" i="1"/>
  <c r="B4874" i="1"/>
  <c r="A4874" i="1"/>
  <c r="D4877" i="1"/>
  <c r="B4877" i="1"/>
  <c r="A4877" i="1"/>
  <c r="D4873" i="1"/>
  <c r="B4873" i="1"/>
  <c r="A4873" i="1"/>
  <c r="D4872" i="1"/>
  <c r="B4872" i="1"/>
  <c r="A4872" i="1"/>
  <c r="D4871" i="1"/>
  <c r="B4871" i="1"/>
  <c r="A4871" i="1"/>
  <c r="D4870" i="1"/>
  <c r="C4870" i="1"/>
  <c r="B4870" i="1"/>
  <c r="A4870" i="1"/>
  <c r="D4869" i="1"/>
  <c r="B4869" i="1"/>
  <c r="A4869" i="1"/>
  <c r="D4867" i="1"/>
  <c r="B4867" i="1"/>
  <c r="A4867" i="1"/>
  <c r="D4866" i="1"/>
  <c r="C4866" i="1"/>
  <c r="B4866" i="1"/>
  <c r="A4866" i="1"/>
  <c r="D4868" i="1"/>
  <c r="B4868" i="1"/>
  <c r="A4868" i="1"/>
  <c r="D4863" i="1"/>
  <c r="A4863" i="1"/>
  <c r="D4865" i="1"/>
  <c r="B4865" i="1"/>
  <c r="A4865" i="1"/>
  <c r="D4864" i="1"/>
  <c r="B4864" i="1"/>
  <c r="A4864" i="1"/>
  <c r="D4859" i="1"/>
  <c r="B4859" i="1"/>
  <c r="A4859" i="1"/>
  <c r="D4861" i="1"/>
  <c r="B4861" i="1"/>
  <c r="A4861" i="1"/>
  <c r="D4860" i="1"/>
  <c r="B4860" i="1"/>
  <c r="A4860" i="1"/>
  <c r="D4862" i="1"/>
  <c r="B4862" i="1"/>
  <c r="A4862" i="1"/>
  <c r="D4858" i="1"/>
  <c r="C4858" i="1"/>
  <c r="B4858" i="1"/>
  <c r="A4858" i="1"/>
  <c r="D4857" i="1"/>
  <c r="B4857" i="1"/>
  <c r="A4857" i="1"/>
  <c r="D4855" i="1"/>
  <c r="B4855" i="1"/>
  <c r="A4855" i="1"/>
  <c r="D4854" i="1"/>
  <c r="B4854" i="1"/>
  <c r="A4854" i="1"/>
  <c r="D4856" i="1"/>
  <c r="C4856" i="1"/>
  <c r="B4856" i="1"/>
  <c r="A4856" i="1"/>
  <c r="D4853" i="1"/>
  <c r="B4853" i="1"/>
  <c r="A4853" i="1"/>
  <c r="D4852" i="1"/>
  <c r="A4852" i="1"/>
  <c r="D4849" i="1"/>
  <c r="B4849" i="1"/>
  <c r="A4849" i="1"/>
  <c r="D4847" i="1"/>
  <c r="C4847" i="1"/>
  <c r="B4847" i="1"/>
  <c r="A4847" i="1"/>
  <c r="D4848" i="1"/>
  <c r="B4848" i="1"/>
  <c r="A4848" i="1"/>
  <c r="D4851" i="1"/>
  <c r="B4851" i="1"/>
  <c r="A4851" i="1"/>
  <c r="D4846" i="1"/>
  <c r="C4846" i="1"/>
  <c r="B4846" i="1"/>
  <c r="A4846" i="1"/>
  <c r="D4850" i="1"/>
  <c r="B4850" i="1"/>
  <c r="A4850" i="1"/>
  <c r="D4845" i="1"/>
  <c r="B4845" i="1"/>
  <c r="A4845" i="1"/>
  <c r="D4839" i="1"/>
  <c r="B4839" i="1"/>
  <c r="A4839" i="1"/>
  <c r="D4843" i="1"/>
  <c r="B4843" i="1"/>
  <c r="A4843" i="1"/>
  <c r="D4840" i="1"/>
  <c r="B4840" i="1"/>
  <c r="A4840" i="1"/>
  <c r="D4841" i="1"/>
  <c r="C4841" i="1"/>
  <c r="B4841" i="1"/>
  <c r="A4841" i="1"/>
  <c r="D4838" i="1"/>
  <c r="B4838" i="1"/>
  <c r="A4838" i="1"/>
  <c r="D4842" i="1"/>
  <c r="A4842" i="1"/>
  <c r="D4844" i="1"/>
  <c r="B4844" i="1"/>
  <c r="A4844" i="1"/>
  <c r="D4833" i="1"/>
  <c r="B4833" i="1"/>
  <c r="A4833" i="1"/>
  <c r="D4832" i="1"/>
  <c r="B4832" i="1"/>
  <c r="A4832" i="1"/>
  <c r="D4831" i="1"/>
  <c r="C4831" i="1"/>
  <c r="B4831" i="1"/>
  <c r="A4831" i="1"/>
  <c r="D4836" i="1"/>
  <c r="B4836" i="1"/>
  <c r="A4836" i="1"/>
  <c r="D4835" i="1"/>
  <c r="B4835" i="1"/>
  <c r="A4835" i="1"/>
  <c r="D4837" i="1"/>
  <c r="B4837" i="1"/>
  <c r="A4837" i="1"/>
  <c r="D4834" i="1"/>
  <c r="B4834" i="1"/>
  <c r="A4834" i="1"/>
  <c r="D4830" i="1"/>
  <c r="B4830" i="1"/>
  <c r="A4830" i="1"/>
  <c r="D4829" i="1"/>
  <c r="B4829" i="1"/>
  <c r="A4829" i="1"/>
  <c r="D4828" i="1"/>
  <c r="B4828" i="1"/>
  <c r="A4828" i="1"/>
  <c r="D4827" i="1"/>
  <c r="B4827" i="1"/>
  <c r="A4827" i="1"/>
  <c r="D4826" i="1"/>
  <c r="B4826" i="1"/>
  <c r="A4826" i="1"/>
  <c r="D4825" i="1"/>
  <c r="B4825" i="1"/>
  <c r="A4825" i="1"/>
  <c r="D4824" i="1"/>
  <c r="B4824" i="1"/>
  <c r="A4824" i="1"/>
  <c r="D4823" i="1"/>
  <c r="C4823" i="1"/>
  <c r="B4823" i="1"/>
  <c r="A4823" i="1"/>
  <c r="D4821" i="1"/>
  <c r="B4821" i="1"/>
  <c r="A4821" i="1"/>
  <c r="D4820" i="1"/>
  <c r="B4820" i="1"/>
  <c r="A4820" i="1"/>
  <c r="D4822" i="1"/>
  <c r="C4822" i="1"/>
  <c r="B4822" i="1"/>
  <c r="A4822" i="1"/>
  <c r="D4817" i="1"/>
  <c r="B4817" i="1"/>
  <c r="A4817" i="1"/>
  <c r="D4818" i="1"/>
  <c r="B4818" i="1"/>
  <c r="A4818" i="1"/>
  <c r="D4819" i="1"/>
  <c r="C4819" i="1"/>
  <c r="B4819" i="1"/>
  <c r="A4819" i="1"/>
  <c r="D4816" i="1"/>
  <c r="B4816" i="1"/>
  <c r="A4816" i="1"/>
  <c r="D4815" i="1"/>
  <c r="B4815" i="1"/>
  <c r="A4815" i="1"/>
  <c r="D4814" i="1"/>
  <c r="B4814" i="1"/>
  <c r="A4814" i="1"/>
  <c r="D4813" i="1"/>
  <c r="B4813" i="1"/>
  <c r="A4813" i="1"/>
  <c r="D4812" i="1"/>
  <c r="B4812" i="1"/>
  <c r="A4812" i="1"/>
  <c r="D4810" i="1"/>
  <c r="B4810" i="1"/>
  <c r="A4810" i="1"/>
  <c r="D4811" i="1"/>
  <c r="B4811" i="1"/>
  <c r="A4811" i="1"/>
  <c r="D4809" i="1"/>
  <c r="B4809" i="1"/>
  <c r="A4809" i="1"/>
  <c r="D4807" i="1"/>
  <c r="B4807" i="1"/>
  <c r="A4807" i="1"/>
  <c r="D4808" i="1"/>
  <c r="B4808" i="1"/>
  <c r="A4808" i="1"/>
  <c r="D4806" i="1"/>
  <c r="C4806" i="1"/>
  <c r="B4806" i="1"/>
  <c r="A4806" i="1"/>
  <c r="D4805" i="1"/>
  <c r="C4805" i="1"/>
  <c r="B4805" i="1"/>
  <c r="A4805" i="1"/>
  <c r="D4804" i="1"/>
  <c r="C4804" i="1"/>
  <c r="B4804" i="1"/>
  <c r="A4804" i="1"/>
  <c r="D4802" i="1"/>
  <c r="B4802" i="1"/>
  <c r="A4802" i="1"/>
  <c r="D4801" i="1"/>
  <c r="C4801" i="1"/>
  <c r="B4801" i="1"/>
  <c r="A4801" i="1"/>
  <c r="D4803" i="1"/>
  <c r="C4803" i="1"/>
  <c r="B4803" i="1"/>
  <c r="A4803" i="1"/>
  <c r="D4800" i="1"/>
  <c r="B4800" i="1"/>
  <c r="A4800" i="1"/>
  <c r="D4798" i="1"/>
  <c r="B4798" i="1"/>
  <c r="A4798" i="1"/>
  <c r="D4799" i="1"/>
  <c r="C4799" i="1"/>
  <c r="B4799" i="1"/>
  <c r="A4799" i="1"/>
  <c r="D4797" i="1"/>
  <c r="B4797" i="1"/>
  <c r="A4797" i="1"/>
  <c r="D4796" i="1"/>
  <c r="B4796" i="1"/>
  <c r="A4796" i="1"/>
  <c r="D4794" i="1"/>
  <c r="B4794" i="1"/>
  <c r="A4794" i="1"/>
  <c r="D4795" i="1"/>
  <c r="C4795" i="1"/>
  <c r="B4795" i="1"/>
  <c r="A4795" i="1"/>
  <c r="D4793" i="1"/>
  <c r="C4793" i="1"/>
  <c r="B4793" i="1"/>
  <c r="A4793" i="1"/>
  <c r="D4792" i="1"/>
  <c r="B4792" i="1"/>
  <c r="A4792" i="1"/>
  <c r="D4790" i="1"/>
  <c r="A4790" i="1"/>
  <c r="D4791" i="1"/>
  <c r="B4791" i="1"/>
  <c r="A4791" i="1"/>
  <c r="D4789" i="1"/>
  <c r="B4789" i="1"/>
  <c r="A4789" i="1"/>
  <c r="D4788" i="1"/>
  <c r="B4788" i="1"/>
  <c r="A4788" i="1"/>
  <c r="D4776" i="1"/>
  <c r="B4776" i="1"/>
  <c r="A4776" i="1"/>
  <c r="D4786" i="1"/>
  <c r="B4786" i="1"/>
  <c r="A4786" i="1"/>
  <c r="D4777" i="1"/>
  <c r="B4777" i="1"/>
  <c r="A4777" i="1"/>
  <c r="D4770" i="1"/>
  <c r="B4770" i="1"/>
  <c r="A4770" i="1"/>
  <c r="D4780" i="1"/>
  <c r="C4780" i="1"/>
  <c r="B4780" i="1"/>
  <c r="A4780" i="1"/>
  <c r="D4771" i="1"/>
  <c r="C4771" i="1"/>
  <c r="B4771" i="1"/>
  <c r="A4771" i="1"/>
  <c r="D4772" i="1"/>
  <c r="C4772" i="1"/>
  <c r="B4772" i="1"/>
  <c r="A4772" i="1"/>
  <c r="D4778" i="1"/>
  <c r="C4778" i="1"/>
  <c r="B4778" i="1"/>
  <c r="A4778" i="1"/>
  <c r="D4774" i="1"/>
  <c r="B4774" i="1"/>
  <c r="A4774" i="1"/>
  <c r="D4787" i="1"/>
  <c r="B4787" i="1"/>
  <c r="A4787" i="1"/>
  <c r="D4779" i="1"/>
  <c r="C4779" i="1"/>
  <c r="B4779" i="1"/>
  <c r="A4779" i="1"/>
  <c r="D4782" i="1"/>
  <c r="B4782" i="1"/>
  <c r="A4782" i="1"/>
  <c r="D4781" i="1"/>
  <c r="B4781" i="1"/>
  <c r="A4781" i="1"/>
  <c r="D4775" i="1"/>
  <c r="B4775" i="1"/>
  <c r="A4775" i="1"/>
  <c r="D4769" i="1"/>
  <c r="B4769" i="1"/>
  <c r="A4769" i="1"/>
  <c r="D4784" i="1"/>
  <c r="B4784" i="1"/>
  <c r="A4784" i="1"/>
  <c r="D4783" i="1"/>
  <c r="B4783" i="1"/>
  <c r="A4783" i="1"/>
  <c r="D4785" i="1"/>
  <c r="B4785" i="1"/>
  <c r="A4785" i="1"/>
  <c r="D4773" i="1"/>
  <c r="B4773" i="1"/>
  <c r="A4773" i="1"/>
  <c r="D4768" i="1"/>
  <c r="B4768" i="1"/>
  <c r="A4768" i="1"/>
  <c r="D4767" i="1"/>
  <c r="B4767" i="1"/>
  <c r="A4767" i="1"/>
  <c r="D4766" i="1"/>
  <c r="B4766" i="1"/>
  <c r="A4766" i="1"/>
  <c r="D4765" i="1"/>
  <c r="B4765" i="1"/>
  <c r="A4765" i="1"/>
  <c r="D4764" i="1"/>
  <c r="B4764" i="1"/>
  <c r="A4764" i="1"/>
  <c r="D4763" i="1"/>
  <c r="C4763" i="1"/>
  <c r="B4763" i="1"/>
  <c r="A4763" i="1"/>
  <c r="D4762" i="1"/>
  <c r="B4762" i="1"/>
  <c r="A4762" i="1"/>
  <c r="D4760" i="1"/>
  <c r="B4760" i="1"/>
  <c r="A4760" i="1"/>
  <c r="D4761" i="1"/>
  <c r="B4761" i="1"/>
  <c r="A4761" i="1"/>
  <c r="D4759" i="1"/>
  <c r="B4759" i="1"/>
  <c r="A4759" i="1"/>
  <c r="D4758" i="1"/>
  <c r="B4758" i="1"/>
  <c r="A4758" i="1"/>
  <c r="D4757" i="1"/>
  <c r="B4757" i="1"/>
  <c r="A4757" i="1"/>
  <c r="D4756" i="1"/>
  <c r="C4756" i="1"/>
  <c r="B4756" i="1"/>
  <c r="A4756" i="1"/>
  <c r="D4755" i="1"/>
  <c r="B4755" i="1"/>
  <c r="A4755" i="1"/>
  <c r="D4754" i="1"/>
  <c r="B4754" i="1"/>
  <c r="A4754" i="1"/>
  <c r="D4753" i="1"/>
  <c r="B4753" i="1"/>
  <c r="A4753" i="1"/>
  <c r="D4751" i="1"/>
  <c r="B4751" i="1"/>
  <c r="A4751" i="1"/>
  <c r="D4752" i="1"/>
  <c r="C4752" i="1"/>
  <c r="B4752" i="1"/>
  <c r="A4752" i="1"/>
  <c r="D4749" i="1"/>
  <c r="C4749" i="1"/>
  <c r="B4749" i="1"/>
  <c r="A4749" i="1"/>
  <c r="D4748" i="1"/>
  <c r="B4748" i="1"/>
  <c r="A4748" i="1"/>
  <c r="D4750" i="1"/>
  <c r="B4750" i="1"/>
  <c r="A4750" i="1"/>
  <c r="D4747" i="1"/>
  <c r="B4747" i="1"/>
  <c r="A4747" i="1"/>
  <c r="D4746" i="1"/>
  <c r="B4746" i="1"/>
  <c r="A4746" i="1"/>
  <c r="D4745" i="1"/>
  <c r="B4745" i="1"/>
  <c r="A4745" i="1"/>
  <c r="D4744" i="1"/>
  <c r="A4744" i="1"/>
  <c r="D4743" i="1"/>
  <c r="B4743" i="1"/>
  <c r="A4743" i="1"/>
  <c r="D4742" i="1"/>
  <c r="C4742" i="1"/>
  <c r="B4742" i="1"/>
  <c r="A4742" i="1"/>
  <c r="D4741" i="1"/>
  <c r="C4741" i="1"/>
  <c r="B4741" i="1"/>
  <c r="A4741" i="1"/>
  <c r="D4740" i="1"/>
  <c r="C4740" i="1"/>
  <c r="B4740" i="1"/>
  <c r="A4740" i="1"/>
  <c r="D4739" i="1"/>
  <c r="B4739" i="1"/>
  <c r="A4739" i="1"/>
  <c r="D4724" i="1"/>
  <c r="A4724" i="1"/>
  <c r="D4720" i="1"/>
  <c r="A4720" i="1"/>
  <c r="D4726" i="1"/>
  <c r="C4726" i="1"/>
  <c r="B4726" i="1"/>
  <c r="A4726" i="1"/>
  <c r="D4730" i="1"/>
  <c r="B4730" i="1"/>
  <c r="A4730" i="1"/>
  <c r="D4737" i="1"/>
  <c r="B4737" i="1"/>
  <c r="A4737" i="1"/>
  <c r="D4732" i="1"/>
  <c r="C4732" i="1"/>
  <c r="B4732" i="1"/>
  <c r="A4732" i="1"/>
  <c r="D4727" i="1"/>
  <c r="B4727" i="1"/>
  <c r="A4727" i="1"/>
  <c r="D4729" i="1"/>
  <c r="B4729" i="1"/>
  <c r="A4729" i="1"/>
  <c r="D4721" i="1"/>
  <c r="C4721" i="1"/>
  <c r="B4721" i="1"/>
  <c r="A4721" i="1"/>
  <c r="D4733" i="1"/>
  <c r="B4733" i="1"/>
  <c r="A4733" i="1"/>
  <c r="D4728" i="1"/>
  <c r="B4728" i="1"/>
  <c r="A4728" i="1"/>
  <c r="D4731" i="1"/>
  <c r="B4731" i="1"/>
  <c r="A4731" i="1"/>
  <c r="D4725" i="1"/>
  <c r="B4725" i="1"/>
  <c r="A4725" i="1"/>
  <c r="D4736" i="1"/>
  <c r="B4736" i="1"/>
  <c r="A4736" i="1"/>
  <c r="D4723" i="1"/>
  <c r="B4723" i="1"/>
  <c r="A4723" i="1"/>
  <c r="D4738" i="1"/>
  <c r="B4738" i="1"/>
  <c r="A4738" i="1"/>
  <c r="D4734" i="1"/>
  <c r="B4734" i="1"/>
  <c r="A4734" i="1"/>
  <c r="D4735" i="1"/>
  <c r="B4735" i="1"/>
  <c r="A4735" i="1"/>
  <c r="D4722" i="1"/>
  <c r="A4722" i="1"/>
  <c r="D4719" i="1"/>
  <c r="C4719" i="1"/>
  <c r="B4719" i="1"/>
  <c r="A4719" i="1"/>
  <c r="D4718" i="1"/>
  <c r="B4718" i="1"/>
  <c r="A4718" i="1"/>
  <c r="D4717" i="1"/>
  <c r="B4717" i="1"/>
  <c r="A4717" i="1"/>
  <c r="D4708" i="1"/>
  <c r="B4708" i="1"/>
  <c r="A4708" i="1"/>
  <c r="D4700" i="1"/>
  <c r="C4700" i="1"/>
  <c r="B4700" i="1"/>
  <c r="A4700" i="1"/>
  <c r="D4704" i="1"/>
  <c r="C4704" i="1"/>
  <c r="B4704" i="1"/>
  <c r="A4704" i="1"/>
  <c r="D4713" i="1"/>
  <c r="C4713" i="1"/>
  <c r="B4713" i="1"/>
  <c r="A4713" i="1"/>
  <c r="D4706" i="1"/>
  <c r="B4706" i="1"/>
  <c r="A4706" i="1"/>
  <c r="D4707" i="1"/>
  <c r="C4707" i="1"/>
  <c r="B4707" i="1"/>
  <c r="A4707" i="1"/>
  <c r="D4701" i="1"/>
  <c r="A4701" i="1"/>
  <c r="D4714" i="1"/>
  <c r="C4714" i="1"/>
  <c r="B4714" i="1"/>
  <c r="A4714" i="1"/>
  <c r="D4710" i="1"/>
  <c r="C4710" i="1"/>
  <c r="B4710" i="1"/>
  <c r="A4710" i="1"/>
  <c r="D4705" i="1"/>
  <c r="B4705" i="1"/>
  <c r="A4705" i="1"/>
  <c r="D4709" i="1"/>
  <c r="B4709" i="1"/>
  <c r="A4709" i="1"/>
  <c r="D4716" i="1"/>
  <c r="B4716" i="1"/>
  <c r="A4716" i="1"/>
  <c r="D4703" i="1"/>
  <c r="B4703" i="1"/>
  <c r="A4703" i="1"/>
  <c r="D4712" i="1"/>
  <c r="A4712" i="1"/>
  <c r="D4715" i="1"/>
  <c r="B4715" i="1"/>
  <c r="A4715" i="1"/>
  <c r="D4702" i="1"/>
  <c r="B4702" i="1"/>
  <c r="A4702" i="1"/>
  <c r="D4698" i="1"/>
  <c r="B4698" i="1"/>
  <c r="A4698" i="1"/>
  <c r="D4711" i="1"/>
  <c r="A4711" i="1"/>
  <c r="D4699" i="1"/>
  <c r="A4699" i="1"/>
  <c r="D4697" i="1"/>
  <c r="A4697" i="1"/>
  <c r="D4696" i="1"/>
  <c r="A4696" i="1"/>
  <c r="D4695" i="1"/>
  <c r="B4695" i="1"/>
  <c r="A4695" i="1"/>
  <c r="D4694" i="1"/>
  <c r="B4694" i="1"/>
  <c r="A4694" i="1"/>
  <c r="D4693" i="1"/>
  <c r="B4693" i="1"/>
  <c r="A4693" i="1"/>
  <c r="D4692" i="1"/>
  <c r="C4692" i="1"/>
  <c r="B4692" i="1"/>
  <c r="A4692" i="1"/>
  <c r="D4677" i="1"/>
  <c r="B4677" i="1"/>
  <c r="A4677" i="1"/>
  <c r="D4676" i="1"/>
  <c r="A4676" i="1"/>
  <c r="D4678" i="1"/>
  <c r="B4678" i="1"/>
  <c r="A4678" i="1"/>
  <c r="D4668" i="1"/>
  <c r="B4668" i="1"/>
  <c r="A4668" i="1"/>
  <c r="D4681" i="1"/>
  <c r="B4681" i="1"/>
  <c r="A4681" i="1"/>
  <c r="D4680" i="1"/>
  <c r="B4680" i="1"/>
  <c r="A4680" i="1"/>
  <c r="D4686" i="1"/>
  <c r="B4686" i="1"/>
  <c r="A4686" i="1"/>
  <c r="D4675" i="1"/>
  <c r="C4675" i="1"/>
  <c r="B4675" i="1"/>
  <c r="A4675" i="1"/>
  <c r="D4667" i="1"/>
  <c r="C4667" i="1"/>
  <c r="B4667" i="1"/>
  <c r="A4667" i="1"/>
  <c r="D4674" i="1"/>
  <c r="C4674" i="1"/>
  <c r="B4674" i="1"/>
  <c r="A4674" i="1"/>
  <c r="D4673" i="1"/>
  <c r="B4673" i="1"/>
  <c r="A4673" i="1"/>
  <c r="D4682" i="1"/>
  <c r="B4682" i="1"/>
  <c r="A4682" i="1"/>
  <c r="D4691" i="1"/>
  <c r="B4691" i="1"/>
  <c r="A4691" i="1"/>
  <c r="D4671" i="1"/>
  <c r="C4671" i="1"/>
  <c r="B4671" i="1"/>
  <c r="A4671" i="1"/>
  <c r="D4666" i="1"/>
  <c r="B4666" i="1"/>
  <c r="A4666" i="1"/>
  <c r="D4679" i="1"/>
  <c r="C4679" i="1"/>
  <c r="B4679" i="1"/>
  <c r="A4679" i="1"/>
  <c r="D4688" i="1"/>
  <c r="B4688" i="1"/>
  <c r="A4688" i="1"/>
  <c r="D4672" i="1"/>
  <c r="B4672" i="1"/>
  <c r="A4672" i="1"/>
  <c r="D4689" i="1"/>
  <c r="B4689" i="1"/>
  <c r="A4689" i="1"/>
  <c r="D4670" i="1"/>
  <c r="C4670" i="1"/>
  <c r="B4670" i="1"/>
  <c r="A4670" i="1"/>
  <c r="D4669" i="1"/>
  <c r="B4669" i="1"/>
  <c r="A4669" i="1"/>
  <c r="D4685" i="1"/>
  <c r="B4685" i="1"/>
  <c r="A4685" i="1"/>
  <c r="D4687" i="1"/>
  <c r="B4687" i="1"/>
  <c r="A4687" i="1"/>
  <c r="D4683" i="1"/>
  <c r="B4683" i="1"/>
  <c r="A4683" i="1"/>
  <c r="D4684" i="1"/>
  <c r="B4684" i="1"/>
  <c r="A4684" i="1"/>
  <c r="D4690" i="1"/>
  <c r="A4690" i="1"/>
  <c r="D4665" i="1"/>
  <c r="B4665" i="1"/>
  <c r="A4665" i="1"/>
  <c r="D4664" i="1"/>
  <c r="B4664" i="1"/>
  <c r="A4664" i="1"/>
  <c r="D4652" i="1"/>
  <c r="C4652" i="1"/>
  <c r="B4652" i="1"/>
  <c r="A4652" i="1"/>
  <c r="D4653" i="1"/>
  <c r="C4653" i="1"/>
  <c r="B4653" i="1"/>
  <c r="A4653" i="1"/>
  <c r="D4656" i="1"/>
  <c r="C4656" i="1"/>
  <c r="B4656" i="1"/>
  <c r="A4656" i="1"/>
  <c r="D4651" i="1"/>
  <c r="B4651" i="1"/>
  <c r="A4651" i="1"/>
  <c r="D4658" i="1"/>
  <c r="C4658" i="1"/>
  <c r="B4658" i="1"/>
  <c r="A4658" i="1"/>
  <c r="D4660" i="1"/>
  <c r="C4660" i="1"/>
  <c r="B4660" i="1"/>
  <c r="A4660" i="1"/>
  <c r="D4657" i="1"/>
  <c r="B4657" i="1"/>
  <c r="A4657" i="1"/>
  <c r="D4655" i="1"/>
  <c r="B4655" i="1"/>
  <c r="A4655" i="1"/>
  <c r="D4659" i="1"/>
  <c r="B4659" i="1"/>
  <c r="A4659" i="1"/>
  <c r="D4663" i="1"/>
  <c r="B4663" i="1"/>
  <c r="A4663" i="1"/>
  <c r="D4662" i="1"/>
  <c r="B4662" i="1"/>
  <c r="A4662" i="1"/>
  <c r="D4654" i="1"/>
  <c r="B4654" i="1"/>
  <c r="A4654" i="1"/>
  <c r="D4661" i="1"/>
  <c r="B4661" i="1"/>
  <c r="A4661" i="1"/>
  <c r="D4650" i="1"/>
  <c r="B4650" i="1"/>
  <c r="A4650" i="1"/>
  <c r="D4648" i="1"/>
  <c r="B4648" i="1"/>
  <c r="A4648" i="1"/>
  <c r="D4649" i="1"/>
  <c r="C4649" i="1"/>
  <c r="B4649" i="1"/>
  <c r="A4649" i="1"/>
  <c r="D4646" i="1"/>
  <c r="C4646" i="1"/>
  <c r="B4646" i="1"/>
  <c r="A4646" i="1"/>
  <c r="D4645" i="1"/>
  <c r="B4645" i="1"/>
  <c r="A4645" i="1"/>
  <c r="D4647" i="1"/>
  <c r="C4647" i="1"/>
  <c r="B4647" i="1"/>
  <c r="A4647" i="1"/>
  <c r="D4644" i="1"/>
  <c r="C4644" i="1"/>
  <c r="B4644" i="1"/>
  <c r="A4644" i="1"/>
  <c r="D4643" i="1"/>
  <c r="B4643" i="1"/>
  <c r="A4643" i="1"/>
  <c r="D4642" i="1"/>
  <c r="B4642" i="1"/>
  <c r="A4642" i="1"/>
  <c r="D4639" i="1"/>
  <c r="B4639" i="1"/>
  <c r="A4639" i="1"/>
  <c r="D4641" i="1"/>
  <c r="B4641" i="1"/>
  <c r="A4641" i="1"/>
  <c r="D4640" i="1"/>
  <c r="B4640" i="1"/>
  <c r="A4640" i="1"/>
  <c r="D4638" i="1"/>
  <c r="B4638" i="1"/>
  <c r="A4638" i="1"/>
  <c r="D4632" i="1"/>
  <c r="B4632" i="1"/>
  <c r="A4632" i="1"/>
  <c r="D4633" i="1"/>
  <c r="B4633" i="1"/>
  <c r="A4633" i="1"/>
  <c r="D4635" i="1"/>
  <c r="B4635" i="1"/>
  <c r="A4635" i="1"/>
  <c r="D4637" i="1"/>
  <c r="B4637" i="1"/>
  <c r="A4637" i="1"/>
  <c r="D4634" i="1"/>
  <c r="B4634" i="1"/>
  <c r="A4634" i="1"/>
  <c r="D4636" i="1"/>
  <c r="B4636" i="1"/>
  <c r="A4636" i="1"/>
  <c r="D4631" i="1"/>
  <c r="C4631" i="1"/>
  <c r="B4631" i="1"/>
  <c r="A4631" i="1"/>
  <c r="D4629" i="1"/>
  <c r="B4629" i="1"/>
  <c r="A4629" i="1"/>
  <c r="D4630" i="1"/>
  <c r="B4630" i="1"/>
  <c r="A4630" i="1"/>
  <c r="D4628" i="1"/>
  <c r="C4628" i="1"/>
  <c r="B4628" i="1"/>
  <c r="A4628" i="1"/>
  <c r="D4624" i="1"/>
  <c r="B4624" i="1"/>
  <c r="A4624" i="1"/>
  <c r="D4627" i="1"/>
  <c r="C4627" i="1"/>
  <c r="B4627" i="1"/>
  <c r="A4627" i="1"/>
  <c r="D4626" i="1"/>
  <c r="C4626" i="1"/>
  <c r="B4626" i="1"/>
  <c r="A4626" i="1"/>
  <c r="D4625" i="1"/>
  <c r="C4625" i="1"/>
  <c r="B4625" i="1"/>
  <c r="A4625" i="1"/>
  <c r="D4623" i="1"/>
  <c r="B4623" i="1"/>
  <c r="A4623" i="1"/>
  <c r="D4620" i="1"/>
  <c r="B4620" i="1"/>
  <c r="A4620" i="1"/>
  <c r="D4621" i="1"/>
  <c r="B4621" i="1"/>
  <c r="A4621" i="1"/>
  <c r="D4622" i="1"/>
  <c r="A4622" i="1"/>
  <c r="D4619" i="1"/>
  <c r="B4619" i="1"/>
  <c r="A4619" i="1"/>
  <c r="D4618" i="1"/>
  <c r="C4618" i="1"/>
  <c r="B4618" i="1"/>
  <c r="A4618" i="1"/>
  <c r="D4617" i="1"/>
  <c r="C4617" i="1"/>
  <c r="B4617" i="1"/>
  <c r="A4617" i="1"/>
  <c r="D4616" i="1"/>
  <c r="B4616" i="1"/>
  <c r="A4616" i="1"/>
  <c r="D4609" i="1"/>
  <c r="B4609" i="1"/>
  <c r="A4609" i="1"/>
  <c r="D4607" i="1"/>
  <c r="C4607" i="1"/>
  <c r="B4607" i="1"/>
  <c r="A4607" i="1"/>
  <c r="D4608" i="1"/>
  <c r="C4608" i="1"/>
  <c r="B4608" i="1"/>
  <c r="A4608" i="1"/>
  <c r="D4614" i="1"/>
  <c r="C4614" i="1"/>
  <c r="B4614" i="1"/>
  <c r="A4614" i="1"/>
  <c r="D4612" i="1"/>
  <c r="B4612" i="1"/>
  <c r="A4612" i="1"/>
  <c r="D4615" i="1"/>
  <c r="B4615" i="1"/>
  <c r="A4615" i="1"/>
  <c r="D4606" i="1"/>
  <c r="B4606" i="1"/>
  <c r="A4606" i="1"/>
  <c r="D4610" i="1"/>
  <c r="B4610" i="1"/>
  <c r="A4610" i="1"/>
  <c r="D4611" i="1"/>
  <c r="B4611" i="1"/>
  <c r="A4611" i="1"/>
  <c r="D4613" i="1"/>
  <c r="B4613" i="1"/>
  <c r="A4613" i="1"/>
  <c r="D4605" i="1"/>
  <c r="B4605" i="1"/>
  <c r="A4605" i="1"/>
  <c r="D4604" i="1"/>
  <c r="B4604" i="1"/>
  <c r="A4604" i="1"/>
  <c r="D4593" i="1"/>
  <c r="B4593" i="1"/>
  <c r="A4593" i="1"/>
  <c r="D4594" i="1"/>
  <c r="B4594" i="1"/>
  <c r="A4594" i="1"/>
  <c r="D4600" i="1"/>
  <c r="B4600" i="1"/>
  <c r="A4600" i="1"/>
  <c r="D4592" i="1"/>
  <c r="B4592" i="1"/>
  <c r="A4592" i="1"/>
  <c r="D4597" i="1"/>
  <c r="B4597" i="1"/>
  <c r="A4597" i="1"/>
  <c r="D4603" i="1"/>
  <c r="C4603" i="1"/>
  <c r="B4603" i="1"/>
  <c r="A4603" i="1"/>
  <c r="D4595" i="1"/>
  <c r="B4595" i="1"/>
  <c r="A4595" i="1"/>
  <c r="D4598" i="1"/>
  <c r="B4598" i="1"/>
  <c r="A4598" i="1"/>
  <c r="D4599" i="1"/>
  <c r="B4599" i="1"/>
  <c r="A4599" i="1"/>
  <c r="D4601" i="1"/>
  <c r="B4601" i="1"/>
  <c r="A4601" i="1"/>
  <c r="D4596" i="1"/>
  <c r="B4596" i="1"/>
  <c r="A4596" i="1"/>
  <c r="D4602" i="1"/>
  <c r="B4602" i="1"/>
  <c r="A4602" i="1"/>
  <c r="D4591" i="1"/>
  <c r="B4591" i="1"/>
  <c r="A4591" i="1"/>
  <c r="D4590" i="1"/>
  <c r="B4590" i="1"/>
  <c r="A4590" i="1"/>
  <c r="D4588" i="1"/>
  <c r="B4588" i="1"/>
  <c r="A4588" i="1"/>
  <c r="D4589" i="1"/>
  <c r="B4589" i="1"/>
  <c r="A4589" i="1"/>
  <c r="D4586" i="1"/>
  <c r="B4586" i="1"/>
  <c r="A4586" i="1"/>
  <c r="D4585" i="1"/>
  <c r="C4585" i="1"/>
  <c r="B4585" i="1"/>
  <c r="A4585" i="1"/>
  <c r="D4587" i="1"/>
  <c r="B4587" i="1"/>
  <c r="A4587" i="1"/>
  <c r="D4584" i="1"/>
  <c r="B4584" i="1"/>
  <c r="A4584" i="1"/>
  <c r="D4583" i="1"/>
  <c r="C4583" i="1"/>
  <c r="B4583" i="1"/>
  <c r="A4583" i="1"/>
  <c r="D4582" i="1"/>
  <c r="C4582" i="1"/>
  <c r="B4582" i="1"/>
  <c r="A4582" i="1"/>
  <c r="D4579" i="1"/>
  <c r="B4579" i="1"/>
  <c r="A4579" i="1"/>
  <c r="D4580" i="1"/>
  <c r="B4580" i="1"/>
  <c r="A4580" i="1"/>
  <c r="D4581" i="1"/>
  <c r="B4581" i="1"/>
  <c r="A4581" i="1"/>
  <c r="D4578" i="1"/>
  <c r="B4578" i="1"/>
  <c r="A4578" i="1"/>
  <c r="D4577" i="1"/>
  <c r="C4577" i="1"/>
  <c r="B4577" i="1"/>
  <c r="A4577" i="1"/>
  <c r="D4576" i="1"/>
  <c r="B4576" i="1"/>
  <c r="A4576" i="1"/>
  <c r="D4575" i="1"/>
  <c r="A4575" i="1"/>
  <c r="D4573" i="1"/>
  <c r="B4573" i="1"/>
  <c r="A4573" i="1"/>
  <c r="D4574" i="1"/>
  <c r="B4574" i="1"/>
  <c r="A4574" i="1"/>
  <c r="D4572" i="1"/>
  <c r="B4572" i="1"/>
  <c r="A4572" i="1"/>
  <c r="D4571" i="1"/>
  <c r="B4571" i="1"/>
  <c r="A4571" i="1"/>
  <c r="D4570" i="1"/>
  <c r="B4570" i="1"/>
  <c r="A4570" i="1"/>
  <c r="D4568" i="1"/>
  <c r="B4568" i="1"/>
  <c r="A4568" i="1"/>
  <c r="D4569" i="1"/>
  <c r="B4569" i="1"/>
  <c r="A4569" i="1"/>
  <c r="D4567" i="1"/>
  <c r="C4567" i="1"/>
  <c r="B4567" i="1"/>
  <c r="A4567" i="1"/>
  <c r="D4566" i="1"/>
  <c r="B4566" i="1"/>
  <c r="A4566" i="1"/>
  <c r="D4565" i="1"/>
  <c r="B4565" i="1"/>
  <c r="A4565" i="1"/>
  <c r="D4559" i="1"/>
  <c r="A4559" i="1"/>
  <c r="D4561" i="1"/>
  <c r="B4561" i="1"/>
  <c r="A4561" i="1"/>
  <c r="D4563" i="1"/>
  <c r="C4563" i="1"/>
  <c r="B4563" i="1"/>
  <c r="A4563" i="1"/>
  <c r="D4560" i="1"/>
  <c r="B4560" i="1"/>
  <c r="A4560" i="1"/>
  <c r="D4564" i="1"/>
  <c r="B4564" i="1"/>
  <c r="A4564" i="1"/>
  <c r="D4562" i="1"/>
  <c r="C4562" i="1"/>
  <c r="B4562" i="1"/>
  <c r="A4562" i="1"/>
  <c r="D4556" i="1"/>
  <c r="A4556" i="1"/>
  <c r="D4554" i="1"/>
  <c r="B4554" i="1"/>
  <c r="A4554" i="1"/>
  <c r="D4558" i="1"/>
  <c r="A4558" i="1"/>
  <c r="D4557" i="1"/>
  <c r="B4557" i="1"/>
  <c r="A4557" i="1"/>
  <c r="D4555" i="1"/>
  <c r="C4555" i="1"/>
  <c r="B4555" i="1"/>
  <c r="A4555" i="1"/>
  <c r="D4552" i="1"/>
  <c r="B4552" i="1"/>
  <c r="A4552" i="1"/>
  <c r="D4553" i="1"/>
  <c r="B4553" i="1"/>
  <c r="A4553" i="1"/>
  <c r="D4551" i="1"/>
  <c r="C4551" i="1"/>
  <c r="B4551" i="1"/>
  <c r="A4551" i="1"/>
  <c r="D4550" i="1"/>
  <c r="B4550" i="1"/>
  <c r="A4550" i="1"/>
  <c r="D4549" i="1"/>
  <c r="B4549" i="1"/>
  <c r="A4549" i="1"/>
  <c r="D4547" i="1"/>
  <c r="A4547" i="1"/>
  <c r="D4548" i="1"/>
  <c r="B4548" i="1"/>
  <c r="A4548" i="1"/>
  <c r="D4546" i="1"/>
  <c r="B4546" i="1"/>
  <c r="A4546" i="1"/>
  <c r="D4545" i="1"/>
  <c r="C4545" i="1"/>
  <c r="B4545" i="1"/>
  <c r="A4545" i="1"/>
  <c r="D4540" i="1"/>
  <c r="A4540" i="1"/>
  <c r="D4542" i="1"/>
  <c r="A4542" i="1"/>
  <c r="D4541" i="1"/>
  <c r="C4541" i="1"/>
  <c r="B4541" i="1"/>
  <c r="A4541" i="1"/>
  <c r="D4544" i="1"/>
  <c r="B4544" i="1"/>
  <c r="A4544" i="1"/>
  <c r="D4543" i="1"/>
  <c r="B4543" i="1"/>
  <c r="A4543" i="1"/>
  <c r="D4536" i="1"/>
  <c r="B4536" i="1"/>
  <c r="A4536" i="1"/>
  <c r="D4538" i="1"/>
  <c r="A4538" i="1"/>
  <c r="D4532" i="1"/>
  <c r="B4532" i="1"/>
  <c r="A4532" i="1"/>
  <c r="D4539" i="1"/>
  <c r="C4539" i="1"/>
  <c r="B4539" i="1"/>
  <c r="A4539" i="1"/>
  <c r="D4537" i="1"/>
  <c r="B4537" i="1"/>
  <c r="A4537" i="1"/>
  <c r="D4535" i="1"/>
  <c r="C4535" i="1"/>
  <c r="B4535" i="1"/>
  <c r="A4535" i="1"/>
  <c r="D4534" i="1"/>
  <c r="B4534" i="1"/>
  <c r="A4534" i="1"/>
  <c r="D4533" i="1"/>
  <c r="B4533" i="1"/>
  <c r="A4533" i="1"/>
  <c r="D4531" i="1"/>
  <c r="B4531" i="1"/>
  <c r="A4531" i="1"/>
  <c r="D4530" i="1"/>
  <c r="B4530" i="1"/>
  <c r="A4530" i="1"/>
  <c r="D4520" i="1"/>
  <c r="B4520" i="1"/>
  <c r="A4520" i="1"/>
  <c r="D4528" i="1"/>
  <c r="C4528" i="1"/>
  <c r="B4528" i="1"/>
  <c r="A4528" i="1"/>
  <c r="D4529" i="1"/>
  <c r="B4529" i="1"/>
  <c r="A4529" i="1"/>
  <c r="D4522" i="1"/>
  <c r="B4522" i="1"/>
  <c r="A4522" i="1"/>
  <c r="D4523" i="1"/>
  <c r="C4523" i="1"/>
  <c r="B4523" i="1"/>
  <c r="A4523" i="1"/>
  <c r="D4525" i="1"/>
  <c r="B4525" i="1"/>
  <c r="A4525" i="1"/>
  <c r="D4521" i="1"/>
  <c r="B4521" i="1"/>
  <c r="A4521" i="1"/>
  <c r="D4527" i="1"/>
  <c r="B4527" i="1"/>
  <c r="A4527" i="1"/>
  <c r="D4526" i="1"/>
  <c r="B4526" i="1"/>
  <c r="A4526" i="1"/>
  <c r="D4524" i="1"/>
  <c r="A4524" i="1"/>
  <c r="D4519" i="1"/>
  <c r="B4519" i="1"/>
  <c r="A4519" i="1"/>
  <c r="D4518" i="1"/>
  <c r="B4518" i="1"/>
  <c r="A4518" i="1"/>
  <c r="D4517" i="1"/>
  <c r="B4517" i="1"/>
  <c r="A4517" i="1"/>
  <c r="D4516" i="1"/>
  <c r="C4516" i="1"/>
  <c r="B4516" i="1"/>
  <c r="A4516" i="1"/>
  <c r="D4514" i="1"/>
  <c r="B4514" i="1"/>
  <c r="A4514" i="1"/>
  <c r="D4515" i="1"/>
  <c r="B4515" i="1"/>
  <c r="A4515" i="1"/>
  <c r="D4513" i="1"/>
  <c r="B4513" i="1"/>
  <c r="A4513" i="1"/>
  <c r="D4512" i="1"/>
  <c r="B4512" i="1"/>
  <c r="A4512" i="1"/>
  <c r="D4509" i="1"/>
  <c r="B4509" i="1"/>
  <c r="A4509" i="1"/>
  <c r="D4511" i="1"/>
  <c r="B4511" i="1"/>
  <c r="A4511" i="1"/>
  <c r="D4510" i="1"/>
  <c r="C4510" i="1"/>
  <c r="B4510" i="1"/>
  <c r="A4510" i="1"/>
  <c r="D4508" i="1"/>
  <c r="C4508" i="1"/>
  <c r="B4508" i="1"/>
  <c r="A4508" i="1"/>
  <c r="D4506" i="1"/>
  <c r="B4506" i="1"/>
  <c r="A4506" i="1"/>
  <c r="D4507" i="1"/>
  <c r="B4507" i="1"/>
  <c r="A4507" i="1"/>
  <c r="D4504" i="1"/>
  <c r="B4504" i="1"/>
  <c r="A4504" i="1"/>
  <c r="D4505" i="1"/>
  <c r="C4505" i="1"/>
  <c r="B4505" i="1"/>
  <c r="A4505" i="1"/>
  <c r="D4503" i="1"/>
  <c r="B4503" i="1"/>
  <c r="A4503" i="1"/>
  <c r="D4502" i="1"/>
  <c r="B4502" i="1"/>
  <c r="A4502" i="1"/>
  <c r="D4501" i="1"/>
  <c r="C4501" i="1"/>
  <c r="B4501" i="1"/>
  <c r="A4501" i="1"/>
  <c r="D4500" i="1"/>
  <c r="B4500" i="1"/>
  <c r="A4500" i="1"/>
  <c r="D4498" i="1"/>
  <c r="C4498" i="1"/>
  <c r="B4498" i="1"/>
  <c r="A4498" i="1"/>
  <c r="D4497" i="1"/>
  <c r="B4497" i="1"/>
  <c r="A4497" i="1"/>
  <c r="D4496" i="1"/>
  <c r="B4496" i="1"/>
  <c r="A4496" i="1"/>
  <c r="D4499" i="1"/>
  <c r="B4499" i="1"/>
  <c r="A4499" i="1"/>
  <c r="D4495" i="1"/>
  <c r="C4495" i="1"/>
  <c r="B4495" i="1"/>
  <c r="A4495" i="1"/>
  <c r="D4492" i="1"/>
  <c r="B4492" i="1"/>
  <c r="A4492" i="1"/>
  <c r="D4494" i="1"/>
  <c r="B4494" i="1"/>
  <c r="A4494" i="1"/>
  <c r="D4486" i="1"/>
  <c r="C4486" i="1"/>
  <c r="B4486" i="1"/>
  <c r="A4486" i="1"/>
  <c r="D4493" i="1"/>
  <c r="B4493" i="1"/>
  <c r="A4493" i="1"/>
  <c r="D4487" i="1"/>
  <c r="C4487" i="1"/>
  <c r="B4487" i="1"/>
  <c r="A4487" i="1"/>
  <c r="D4488" i="1"/>
  <c r="B4488" i="1"/>
  <c r="A4488" i="1"/>
  <c r="D4491" i="1"/>
  <c r="B4491" i="1"/>
  <c r="A4491" i="1"/>
  <c r="D4489" i="1"/>
  <c r="B4489" i="1"/>
  <c r="A4489" i="1"/>
  <c r="D4485" i="1"/>
  <c r="B4485" i="1"/>
  <c r="A4485" i="1"/>
  <c r="D4490" i="1"/>
  <c r="B4490" i="1"/>
  <c r="A4490" i="1"/>
  <c r="D4482" i="1"/>
  <c r="C4482" i="1"/>
  <c r="B4482" i="1"/>
  <c r="A4482" i="1"/>
  <c r="D4483" i="1"/>
  <c r="C4483" i="1"/>
  <c r="B4483" i="1"/>
  <c r="A4483" i="1"/>
  <c r="D4484" i="1"/>
  <c r="B4484" i="1"/>
  <c r="A4484" i="1"/>
  <c r="D4481" i="1"/>
  <c r="B4481" i="1"/>
  <c r="A4481" i="1"/>
  <c r="D4480" i="1"/>
  <c r="B4480" i="1"/>
  <c r="A4480" i="1"/>
  <c r="D4478" i="1"/>
  <c r="B4478" i="1"/>
  <c r="A4478" i="1"/>
  <c r="D4479" i="1"/>
  <c r="B4479" i="1"/>
  <c r="A4479" i="1"/>
  <c r="D4477" i="1"/>
  <c r="C4477" i="1"/>
  <c r="B4477" i="1"/>
  <c r="A4477" i="1"/>
  <c r="D4476" i="1"/>
  <c r="B4476" i="1"/>
  <c r="A4476" i="1"/>
  <c r="D4475" i="1"/>
  <c r="B4475" i="1"/>
  <c r="A4475" i="1"/>
  <c r="D4474" i="1"/>
  <c r="A4474" i="1"/>
  <c r="D4470" i="1"/>
  <c r="B4470" i="1"/>
  <c r="A4470" i="1"/>
  <c r="D4473" i="1"/>
  <c r="C4473" i="1"/>
  <c r="B4473" i="1"/>
  <c r="A4473" i="1"/>
  <c r="D4472" i="1"/>
  <c r="B4472" i="1"/>
  <c r="A4472" i="1"/>
  <c r="D4469" i="1"/>
  <c r="B4469" i="1"/>
  <c r="A4469" i="1"/>
  <c r="D4471" i="1"/>
  <c r="B4471" i="1"/>
  <c r="A4471" i="1"/>
  <c r="D4468" i="1"/>
  <c r="C4468" i="1"/>
  <c r="B4468" i="1"/>
  <c r="A4468" i="1"/>
  <c r="D4467" i="1"/>
  <c r="C4467" i="1"/>
  <c r="B4467" i="1"/>
  <c r="A4467" i="1"/>
  <c r="D4466" i="1"/>
  <c r="B4466" i="1"/>
  <c r="A4466" i="1"/>
  <c r="D4464" i="1"/>
  <c r="B4464" i="1"/>
  <c r="A4464" i="1"/>
  <c r="D4465" i="1"/>
  <c r="B4465" i="1"/>
  <c r="A4465" i="1"/>
  <c r="D4463" i="1"/>
  <c r="B4463" i="1"/>
  <c r="A4463" i="1"/>
  <c r="D4461" i="1"/>
  <c r="B4461" i="1"/>
  <c r="A4461" i="1"/>
  <c r="D4462" i="1"/>
  <c r="B4462" i="1"/>
  <c r="A4462" i="1"/>
  <c r="D4460" i="1"/>
  <c r="B4460" i="1"/>
  <c r="A4460" i="1"/>
  <c r="D4459" i="1"/>
  <c r="B4459" i="1"/>
  <c r="A4459" i="1"/>
  <c r="D4458" i="1"/>
  <c r="B4458" i="1"/>
  <c r="A4458" i="1"/>
  <c r="D4457" i="1"/>
  <c r="C4457" i="1"/>
  <c r="B4457" i="1"/>
  <c r="A4457" i="1"/>
  <c r="D4456" i="1"/>
  <c r="C4456" i="1"/>
  <c r="B4456" i="1"/>
  <c r="A4456" i="1"/>
  <c r="D4455" i="1"/>
  <c r="B4455" i="1"/>
  <c r="A4455" i="1"/>
  <c r="D4454" i="1"/>
  <c r="B4454" i="1"/>
  <c r="A4454" i="1"/>
  <c r="D4453" i="1"/>
  <c r="C4453" i="1"/>
  <c r="B4453" i="1"/>
  <c r="A4453" i="1"/>
  <c r="D4452" i="1"/>
  <c r="B4452" i="1"/>
  <c r="A4452" i="1"/>
  <c r="D4451" i="1"/>
  <c r="C4451" i="1"/>
  <c r="B4451" i="1"/>
  <c r="A4451" i="1"/>
  <c r="D4450" i="1"/>
  <c r="C4450" i="1"/>
  <c r="B4450" i="1"/>
  <c r="A4450" i="1"/>
  <c r="D4446" i="1"/>
  <c r="B4446" i="1"/>
  <c r="A4446" i="1"/>
  <c r="D4447" i="1"/>
  <c r="B4447" i="1"/>
  <c r="A4447" i="1"/>
  <c r="D4445" i="1"/>
  <c r="B4445" i="1"/>
  <c r="A4445" i="1"/>
  <c r="D4449" i="1"/>
  <c r="B4449" i="1"/>
  <c r="A4449" i="1"/>
  <c r="D4448" i="1"/>
  <c r="C4448" i="1"/>
  <c r="B4448" i="1"/>
  <c r="A4448" i="1"/>
  <c r="D4444" i="1"/>
  <c r="C4444" i="1"/>
  <c r="B4444" i="1"/>
  <c r="A4444" i="1"/>
  <c r="D4443" i="1"/>
  <c r="B4443" i="1"/>
  <c r="A4443" i="1"/>
  <c r="D4442" i="1"/>
  <c r="B4442" i="1"/>
  <c r="A4442" i="1"/>
  <c r="D4441" i="1"/>
  <c r="B4441" i="1"/>
  <c r="A4441" i="1"/>
  <c r="D4432" i="1"/>
  <c r="B4432" i="1"/>
  <c r="A4432" i="1"/>
  <c r="D4436" i="1"/>
  <c r="C4436" i="1"/>
  <c r="B4436" i="1"/>
  <c r="A4436" i="1"/>
  <c r="D4434" i="1"/>
  <c r="B4434" i="1"/>
  <c r="A4434" i="1"/>
  <c r="D4437" i="1"/>
  <c r="B4437" i="1"/>
  <c r="A4437" i="1"/>
  <c r="D4440" i="1"/>
  <c r="C4440" i="1"/>
  <c r="B4440" i="1"/>
  <c r="A4440" i="1"/>
  <c r="D4430" i="1"/>
  <c r="B4430" i="1"/>
  <c r="A4430" i="1"/>
  <c r="D4435" i="1"/>
  <c r="B4435" i="1"/>
  <c r="A4435" i="1"/>
  <c r="D4433" i="1"/>
  <c r="B4433" i="1"/>
  <c r="A4433" i="1"/>
  <c r="D4429" i="1"/>
  <c r="B4429" i="1"/>
  <c r="A4429" i="1"/>
  <c r="D4439" i="1"/>
  <c r="B4439" i="1"/>
  <c r="A4439" i="1"/>
  <c r="D4431" i="1"/>
  <c r="B4431" i="1"/>
  <c r="A4431" i="1"/>
  <c r="D4438" i="1"/>
  <c r="B4438" i="1"/>
  <c r="A4438" i="1"/>
  <c r="D4428" i="1"/>
  <c r="B4428" i="1"/>
  <c r="A4428" i="1"/>
  <c r="D4427" i="1"/>
  <c r="C4427" i="1"/>
  <c r="B4427" i="1"/>
  <c r="A4427" i="1"/>
  <c r="D4426" i="1"/>
  <c r="B4426" i="1"/>
  <c r="A4426" i="1"/>
  <c r="D4425" i="1"/>
  <c r="C4425" i="1"/>
  <c r="B4425" i="1"/>
  <c r="A4425" i="1"/>
  <c r="D4424" i="1"/>
  <c r="C4424" i="1"/>
  <c r="B4424" i="1"/>
  <c r="A4424" i="1"/>
  <c r="D4422" i="1"/>
  <c r="B4422" i="1"/>
  <c r="A4422" i="1"/>
  <c r="D4421" i="1"/>
  <c r="C4421" i="1"/>
  <c r="B4421" i="1"/>
  <c r="A4421" i="1"/>
  <c r="D4420" i="1"/>
  <c r="C4420" i="1"/>
  <c r="B4420" i="1"/>
  <c r="A4420" i="1"/>
  <c r="D4423" i="1"/>
  <c r="B4423" i="1"/>
  <c r="A4423" i="1"/>
  <c r="D4419" i="1"/>
  <c r="B4419" i="1"/>
  <c r="A4419" i="1"/>
  <c r="D4418" i="1"/>
  <c r="B4418" i="1"/>
  <c r="A4418" i="1"/>
  <c r="D4416" i="1"/>
  <c r="B4416" i="1"/>
  <c r="A4416" i="1"/>
  <c r="D4417" i="1"/>
  <c r="B4417" i="1"/>
  <c r="A4417" i="1"/>
  <c r="D4404" i="1"/>
  <c r="B4404" i="1"/>
  <c r="A4404" i="1"/>
  <c r="D4410" i="1"/>
  <c r="B4410" i="1"/>
  <c r="A4410" i="1"/>
  <c r="D4408" i="1"/>
  <c r="B4408" i="1"/>
  <c r="A4408" i="1"/>
  <c r="D4405" i="1"/>
  <c r="B4405" i="1"/>
  <c r="A4405" i="1"/>
  <c r="D4412" i="1"/>
  <c r="B4412" i="1"/>
  <c r="A4412" i="1"/>
  <c r="D4414" i="1"/>
  <c r="C4414" i="1"/>
  <c r="B4414" i="1"/>
  <c r="A4414" i="1"/>
  <c r="D4409" i="1"/>
  <c r="B4409" i="1"/>
  <c r="A4409" i="1"/>
  <c r="D4407" i="1"/>
  <c r="B4407" i="1"/>
  <c r="A4407" i="1"/>
  <c r="D4413" i="1"/>
  <c r="C4413" i="1"/>
  <c r="B4413" i="1"/>
  <c r="A4413" i="1"/>
  <c r="D4415" i="1"/>
  <c r="C4415" i="1"/>
  <c r="B4415" i="1"/>
  <c r="A4415" i="1"/>
  <c r="D4411" i="1"/>
  <c r="B4411" i="1"/>
  <c r="A4411" i="1"/>
  <c r="D4403" i="1"/>
  <c r="C4403" i="1"/>
  <c r="B4403" i="1"/>
  <c r="A4403" i="1"/>
  <c r="D4406" i="1"/>
  <c r="B4406" i="1"/>
  <c r="A4406" i="1"/>
  <c r="D4402" i="1"/>
  <c r="B4402" i="1"/>
  <c r="A4402" i="1"/>
  <c r="D4401" i="1"/>
  <c r="C4401" i="1"/>
  <c r="B4401" i="1"/>
  <c r="A4401" i="1"/>
  <c r="D4399" i="1"/>
  <c r="B4399" i="1"/>
  <c r="A4399" i="1"/>
  <c r="D4400" i="1"/>
  <c r="B4400" i="1"/>
  <c r="A4400" i="1"/>
  <c r="D4398" i="1"/>
  <c r="B4398" i="1"/>
  <c r="A4398" i="1"/>
  <c r="D4397" i="1"/>
  <c r="C4397" i="1"/>
  <c r="B4397" i="1"/>
  <c r="A4397" i="1"/>
  <c r="D4396" i="1"/>
  <c r="B4396" i="1"/>
  <c r="A4396" i="1"/>
  <c r="D4395" i="1"/>
  <c r="B4395" i="1"/>
  <c r="A4395" i="1"/>
  <c r="D4391" i="1"/>
  <c r="B4391" i="1"/>
  <c r="A4391" i="1"/>
  <c r="D4393" i="1"/>
  <c r="B4393" i="1"/>
  <c r="A4393" i="1"/>
  <c r="D4392" i="1"/>
  <c r="B4392" i="1"/>
  <c r="A4392" i="1"/>
  <c r="D4394" i="1"/>
  <c r="B4394" i="1"/>
  <c r="A4394" i="1"/>
  <c r="D4388" i="1"/>
  <c r="B4388" i="1"/>
  <c r="A4388" i="1"/>
  <c r="D4389" i="1"/>
  <c r="B4389" i="1"/>
  <c r="A4389" i="1"/>
  <c r="D4385" i="1"/>
  <c r="C4385" i="1"/>
  <c r="B4385" i="1"/>
  <c r="A4385" i="1"/>
  <c r="D4387" i="1"/>
  <c r="B4387" i="1"/>
  <c r="A4387" i="1"/>
  <c r="D4386" i="1"/>
  <c r="B4386" i="1"/>
  <c r="A4386" i="1"/>
  <c r="D4390" i="1"/>
  <c r="B4390" i="1"/>
  <c r="A4390" i="1"/>
  <c r="D4384" i="1"/>
  <c r="B4384" i="1"/>
  <c r="A4384" i="1"/>
  <c r="D4383" i="1"/>
  <c r="B4383" i="1"/>
  <c r="A4383" i="1"/>
  <c r="D4382" i="1"/>
  <c r="B4382" i="1"/>
  <c r="A4382" i="1"/>
  <c r="D4381" i="1"/>
  <c r="B4381" i="1"/>
  <c r="A4381" i="1"/>
  <c r="D4380" i="1"/>
  <c r="C4380" i="1"/>
  <c r="B4380" i="1"/>
  <c r="A4380" i="1"/>
  <c r="D4379" i="1"/>
  <c r="B4379" i="1"/>
  <c r="A4379" i="1"/>
  <c r="D4378" i="1"/>
  <c r="C4378" i="1"/>
  <c r="B4378" i="1"/>
  <c r="A4378" i="1"/>
  <c r="D4377" i="1"/>
  <c r="B4377" i="1"/>
  <c r="A4377" i="1"/>
  <c r="D4376" i="1"/>
  <c r="B4376" i="1"/>
  <c r="A4376" i="1"/>
  <c r="D4375" i="1"/>
  <c r="C4375" i="1"/>
  <c r="B4375" i="1"/>
  <c r="A4375" i="1"/>
  <c r="D4374" i="1"/>
  <c r="C4374" i="1"/>
  <c r="B4374" i="1"/>
  <c r="A4374" i="1"/>
  <c r="D4373" i="1"/>
  <c r="C4373" i="1"/>
  <c r="B4373" i="1"/>
  <c r="A4373" i="1"/>
  <c r="D4372" i="1"/>
  <c r="B4372" i="1"/>
  <c r="A4372" i="1"/>
  <c r="D4371" i="1"/>
  <c r="B4371" i="1"/>
  <c r="A4371" i="1"/>
  <c r="D4370" i="1"/>
  <c r="A4370" i="1"/>
  <c r="D4369" i="1"/>
  <c r="B4369" i="1"/>
  <c r="A4369" i="1"/>
  <c r="D4366" i="1"/>
  <c r="B4366" i="1"/>
  <c r="A4366" i="1"/>
  <c r="D4364" i="1"/>
  <c r="A4364" i="1"/>
  <c r="D4365" i="1"/>
  <c r="B4365" i="1"/>
  <c r="A4365" i="1"/>
  <c r="D4368" i="1"/>
  <c r="B4368" i="1"/>
  <c r="A4368" i="1"/>
  <c r="D4367" i="1"/>
  <c r="B4367" i="1"/>
  <c r="A4367" i="1"/>
  <c r="D4363" i="1"/>
  <c r="B4363" i="1"/>
  <c r="A4363" i="1"/>
  <c r="D4352" i="1"/>
  <c r="B4352" i="1"/>
  <c r="A4352" i="1"/>
  <c r="D4362" i="1"/>
  <c r="B4362" i="1"/>
  <c r="A4362" i="1"/>
  <c r="D4355" i="1"/>
  <c r="C4355" i="1"/>
  <c r="B4355" i="1"/>
  <c r="A4355" i="1"/>
  <c r="D4356" i="1"/>
  <c r="C4356" i="1"/>
  <c r="B4356" i="1"/>
  <c r="A4356" i="1"/>
  <c r="D4360" i="1"/>
  <c r="C4360" i="1"/>
  <c r="B4360" i="1"/>
  <c r="A4360" i="1"/>
  <c r="D4361" i="1"/>
  <c r="B4361" i="1"/>
  <c r="A4361" i="1"/>
  <c r="D4358" i="1"/>
  <c r="C4358" i="1"/>
  <c r="B4358" i="1"/>
  <c r="A4358" i="1"/>
  <c r="D4359" i="1"/>
  <c r="B4359" i="1"/>
  <c r="A4359" i="1"/>
  <c r="D4357" i="1"/>
  <c r="B4357" i="1"/>
  <c r="A4357" i="1"/>
  <c r="D4354" i="1"/>
  <c r="C4354" i="1"/>
  <c r="B4354" i="1"/>
  <c r="A4354" i="1"/>
  <c r="D4353" i="1"/>
  <c r="B4353" i="1"/>
  <c r="A4353" i="1"/>
  <c r="D4349" i="1"/>
  <c r="B4349" i="1"/>
  <c r="A4349" i="1"/>
  <c r="D4351" i="1"/>
  <c r="C4351" i="1"/>
  <c r="B4351" i="1"/>
  <c r="A4351" i="1"/>
  <c r="D4350" i="1"/>
  <c r="B4350" i="1"/>
  <c r="A4350" i="1"/>
  <c r="D4348" i="1"/>
  <c r="C4348" i="1"/>
  <c r="B4348" i="1"/>
  <c r="A4348" i="1"/>
  <c r="D4347" i="1"/>
  <c r="B4347" i="1"/>
  <c r="A4347" i="1"/>
  <c r="D4345" i="1"/>
  <c r="C4345" i="1"/>
  <c r="B4345" i="1"/>
  <c r="A4345" i="1"/>
  <c r="D4346" i="1"/>
  <c r="C4346" i="1"/>
  <c r="B4346" i="1"/>
  <c r="A4346" i="1"/>
  <c r="D4344" i="1"/>
  <c r="C4344" i="1"/>
  <c r="B4344" i="1"/>
  <c r="A4344" i="1"/>
  <c r="D4343" i="1"/>
  <c r="B4343" i="1"/>
  <c r="A4343" i="1"/>
  <c r="D4312" i="1"/>
  <c r="B4312" i="1"/>
  <c r="A4312" i="1"/>
  <c r="D4305" i="1"/>
  <c r="B4305" i="1"/>
  <c r="A4305" i="1"/>
  <c r="D4325" i="1"/>
  <c r="B4325" i="1"/>
  <c r="A4325" i="1"/>
  <c r="D4321" i="1"/>
  <c r="B4321" i="1"/>
  <c r="A4321" i="1"/>
  <c r="D4314" i="1"/>
  <c r="B4314" i="1"/>
  <c r="A4314" i="1"/>
  <c r="D4333" i="1"/>
  <c r="B4333" i="1"/>
  <c r="A4333" i="1"/>
  <c r="D4331" i="1"/>
  <c r="B4331" i="1"/>
  <c r="A4331" i="1"/>
  <c r="D4310" i="1"/>
  <c r="B4310" i="1"/>
  <c r="A4310" i="1"/>
  <c r="D4319" i="1"/>
  <c r="B4319" i="1"/>
  <c r="A4319" i="1"/>
  <c r="D4341" i="1"/>
  <c r="C4341" i="1"/>
  <c r="B4341" i="1"/>
  <c r="A4341" i="1"/>
  <c r="D4328" i="1"/>
  <c r="C4328" i="1"/>
  <c r="B4328" i="1"/>
  <c r="A4328" i="1"/>
  <c r="D4323" i="1"/>
  <c r="B4323" i="1"/>
  <c r="A4323" i="1"/>
  <c r="D4342" i="1"/>
  <c r="B4342" i="1"/>
  <c r="A4342" i="1"/>
  <c r="D4327" i="1"/>
  <c r="C4327" i="1"/>
  <c r="B4327" i="1"/>
  <c r="A4327" i="1"/>
  <c r="D4336" i="1"/>
  <c r="C4336" i="1"/>
  <c r="B4336" i="1"/>
  <c r="A4336" i="1"/>
  <c r="D4339" i="1"/>
  <c r="C4339" i="1"/>
  <c r="B4339" i="1"/>
  <c r="A4339" i="1"/>
  <c r="D4330" i="1"/>
  <c r="C4330" i="1"/>
  <c r="B4330" i="1"/>
  <c r="A4330" i="1"/>
  <c r="D4313" i="1"/>
  <c r="B4313" i="1"/>
  <c r="A4313" i="1"/>
  <c r="D4332" i="1"/>
  <c r="C4332" i="1"/>
  <c r="B4332" i="1"/>
  <c r="A4332" i="1"/>
  <c r="D4338" i="1"/>
  <c r="B4338" i="1"/>
  <c r="A4338" i="1"/>
  <c r="D4315" i="1"/>
  <c r="B4315" i="1"/>
  <c r="A4315" i="1"/>
  <c r="D4324" i="1"/>
  <c r="B4324" i="1"/>
  <c r="A4324" i="1"/>
  <c r="D4320" i="1"/>
  <c r="B4320" i="1"/>
  <c r="A4320" i="1"/>
  <c r="D4311" i="1"/>
  <c r="B4311" i="1"/>
  <c r="A4311" i="1"/>
  <c r="D4309" i="1"/>
  <c r="B4309" i="1"/>
  <c r="A4309" i="1"/>
  <c r="D4326" i="1"/>
  <c r="B4326" i="1"/>
  <c r="A4326" i="1"/>
  <c r="D4340" i="1"/>
  <c r="B4340" i="1"/>
  <c r="A4340" i="1"/>
  <c r="D4322" i="1"/>
  <c r="B4322" i="1"/>
  <c r="A4322" i="1"/>
  <c r="D4307" i="1"/>
  <c r="B4307" i="1"/>
  <c r="A4307" i="1"/>
  <c r="D4329" i="1"/>
  <c r="C4329" i="1"/>
  <c r="B4329" i="1"/>
  <c r="A4329" i="1"/>
  <c r="D4337" i="1"/>
  <c r="C4337" i="1"/>
  <c r="B4337" i="1"/>
  <c r="A4337" i="1"/>
  <c r="D4306" i="1"/>
  <c r="B4306" i="1"/>
  <c r="A4306" i="1"/>
  <c r="D4316" i="1"/>
  <c r="B4316" i="1"/>
  <c r="A4316" i="1"/>
  <c r="D4334" i="1"/>
  <c r="B4334" i="1"/>
  <c r="A4334" i="1"/>
  <c r="D4317" i="1"/>
  <c r="B4317" i="1"/>
  <c r="A4317" i="1"/>
  <c r="D4335" i="1"/>
  <c r="B4335" i="1"/>
  <c r="A4335" i="1"/>
  <c r="D4308" i="1"/>
  <c r="B4308" i="1"/>
  <c r="A4308" i="1"/>
  <c r="D4318" i="1"/>
  <c r="B4318" i="1"/>
  <c r="A4318" i="1"/>
  <c r="D4304" i="1"/>
  <c r="B4304" i="1"/>
  <c r="A4304" i="1"/>
  <c r="D4303" i="1"/>
  <c r="B4303" i="1"/>
  <c r="A4303" i="1"/>
  <c r="D4302" i="1"/>
  <c r="B4302" i="1"/>
  <c r="A4302" i="1"/>
  <c r="D4299" i="1"/>
  <c r="C4299" i="1"/>
  <c r="B4299" i="1"/>
  <c r="A4299" i="1"/>
  <c r="D4300" i="1"/>
  <c r="C4300" i="1"/>
  <c r="B4300" i="1"/>
  <c r="A4300" i="1"/>
  <c r="D4301" i="1"/>
  <c r="B4301" i="1"/>
  <c r="A4301" i="1"/>
  <c r="D4298" i="1"/>
  <c r="C4298" i="1"/>
  <c r="B4298" i="1"/>
  <c r="A4298" i="1"/>
  <c r="D4297" i="1"/>
  <c r="B4297" i="1"/>
  <c r="A4297" i="1"/>
  <c r="D4296" i="1"/>
  <c r="B4296" i="1"/>
  <c r="A4296" i="1"/>
  <c r="D4289" i="1"/>
  <c r="A4289" i="1"/>
  <c r="D4294" i="1"/>
  <c r="B4294" i="1"/>
  <c r="A4294" i="1"/>
  <c r="D4295" i="1"/>
  <c r="B4295" i="1"/>
  <c r="A4295" i="1"/>
  <c r="D4292" i="1"/>
  <c r="B4292" i="1"/>
  <c r="A4292" i="1"/>
  <c r="D4293" i="1"/>
  <c r="B4293" i="1"/>
  <c r="A4293" i="1"/>
  <c r="D4291" i="1"/>
  <c r="B4291" i="1"/>
  <c r="A4291" i="1"/>
  <c r="D4290" i="1"/>
  <c r="B4290" i="1"/>
  <c r="A4290" i="1"/>
  <c r="D4288" i="1"/>
  <c r="B4288" i="1"/>
  <c r="A4288" i="1"/>
  <c r="D4287" i="1"/>
  <c r="B4287" i="1"/>
  <c r="A4287" i="1"/>
  <c r="D4286" i="1"/>
  <c r="B4286" i="1"/>
  <c r="A4286" i="1"/>
  <c r="D4284" i="1"/>
  <c r="B4284" i="1"/>
  <c r="A4284" i="1"/>
  <c r="D4285" i="1"/>
  <c r="B4285" i="1"/>
  <c r="A4285" i="1"/>
  <c r="D4280" i="1"/>
  <c r="A4280" i="1"/>
  <c r="D4279" i="1"/>
  <c r="B4279" i="1"/>
  <c r="A4279" i="1"/>
  <c r="D4283" i="1"/>
  <c r="C4283" i="1"/>
  <c r="B4283" i="1"/>
  <c r="A4283" i="1"/>
  <c r="D4281" i="1"/>
  <c r="B4281" i="1"/>
  <c r="A4281" i="1"/>
  <c r="D4282" i="1"/>
  <c r="B4282" i="1"/>
  <c r="A4282" i="1"/>
  <c r="D4278" i="1"/>
  <c r="B4278" i="1"/>
  <c r="A4278" i="1"/>
  <c r="D4274" i="1"/>
  <c r="A4274" i="1"/>
  <c r="D4276" i="1"/>
  <c r="C4276" i="1"/>
  <c r="B4276" i="1"/>
  <c r="A4276" i="1"/>
  <c r="D4275" i="1"/>
  <c r="B4275" i="1"/>
  <c r="A4275" i="1"/>
  <c r="D4277" i="1"/>
  <c r="B4277" i="1"/>
  <c r="A4277" i="1"/>
  <c r="D4273" i="1"/>
  <c r="B4273" i="1"/>
  <c r="A4273" i="1"/>
  <c r="D4272" i="1"/>
  <c r="B4272" i="1"/>
  <c r="A4272" i="1"/>
  <c r="D4270" i="1"/>
  <c r="B4270" i="1"/>
  <c r="A4270" i="1"/>
  <c r="D4271" i="1"/>
  <c r="B4271" i="1"/>
  <c r="A4271" i="1"/>
  <c r="D4269" i="1"/>
  <c r="B4269" i="1"/>
  <c r="A4269" i="1"/>
  <c r="D4268" i="1"/>
  <c r="B4268" i="1"/>
  <c r="A4268" i="1"/>
  <c r="D4267" i="1"/>
  <c r="C4267" i="1"/>
  <c r="B4267" i="1"/>
  <c r="A4267" i="1"/>
  <c r="D4266" i="1"/>
  <c r="C4266" i="1"/>
  <c r="B4266" i="1"/>
  <c r="A4266" i="1"/>
  <c r="D4265" i="1"/>
  <c r="C4265" i="1"/>
  <c r="B4265" i="1"/>
  <c r="A4265" i="1"/>
  <c r="D4264" i="1"/>
  <c r="C4264" i="1"/>
  <c r="B4264" i="1"/>
  <c r="A4264" i="1"/>
  <c r="D4262" i="1"/>
  <c r="B4262" i="1"/>
  <c r="A4262" i="1"/>
  <c r="D4263" i="1"/>
  <c r="B4263" i="1"/>
  <c r="A4263" i="1"/>
  <c r="D4261" i="1"/>
  <c r="B4261" i="1"/>
  <c r="A4261" i="1"/>
  <c r="D4260" i="1"/>
  <c r="B4260" i="1"/>
  <c r="A4260" i="1"/>
  <c r="D4258" i="1"/>
  <c r="A4258" i="1"/>
  <c r="D4259" i="1"/>
  <c r="B4259" i="1"/>
  <c r="A4259" i="1"/>
  <c r="D4257" i="1"/>
  <c r="C4257" i="1"/>
  <c r="B4257" i="1"/>
  <c r="A4257" i="1"/>
  <c r="D4256" i="1"/>
  <c r="B4256" i="1"/>
  <c r="A4256" i="1"/>
  <c r="D4254" i="1"/>
  <c r="B4254" i="1"/>
  <c r="A4254" i="1"/>
  <c r="D4255" i="1"/>
  <c r="B4255" i="1"/>
  <c r="A4255" i="1"/>
  <c r="D4253" i="1"/>
  <c r="B4253" i="1"/>
  <c r="A4253" i="1"/>
  <c r="D4252" i="1"/>
  <c r="B4252" i="1"/>
  <c r="A4252" i="1"/>
  <c r="D4250" i="1"/>
  <c r="C4250" i="1"/>
  <c r="B4250" i="1"/>
  <c r="A4250" i="1"/>
  <c r="D4251" i="1"/>
  <c r="B4251" i="1"/>
  <c r="A4251" i="1"/>
  <c r="D4249" i="1"/>
  <c r="B4249" i="1"/>
  <c r="A4249" i="1"/>
  <c r="D4248" i="1"/>
  <c r="B4248" i="1"/>
  <c r="A4248" i="1"/>
  <c r="D4244" i="1"/>
  <c r="B4244" i="1"/>
  <c r="A4244" i="1"/>
  <c r="D4247" i="1"/>
  <c r="B4247" i="1"/>
  <c r="A4247" i="1"/>
  <c r="D4245" i="1"/>
  <c r="B4245" i="1"/>
  <c r="A4245" i="1"/>
  <c r="D4246" i="1"/>
  <c r="B4246" i="1"/>
  <c r="A4246" i="1"/>
  <c r="D4243" i="1"/>
  <c r="B4243" i="1"/>
  <c r="A4243" i="1"/>
  <c r="D4240" i="1"/>
  <c r="B4240" i="1"/>
  <c r="A4240" i="1"/>
  <c r="D4241" i="1"/>
  <c r="B4241" i="1"/>
  <c r="A4241" i="1"/>
  <c r="D4239" i="1"/>
  <c r="B4239" i="1"/>
  <c r="A4239" i="1"/>
  <c r="D4242" i="1"/>
  <c r="B4242" i="1"/>
  <c r="A4242" i="1"/>
  <c r="D4238" i="1"/>
  <c r="B4238" i="1"/>
  <c r="A4238" i="1"/>
  <c r="D4235" i="1"/>
  <c r="B4235" i="1"/>
  <c r="A4235" i="1"/>
  <c r="D4236" i="1"/>
  <c r="C4236" i="1"/>
  <c r="B4236" i="1"/>
  <c r="A4236" i="1"/>
  <c r="D4237" i="1"/>
  <c r="B4237" i="1"/>
  <c r="A4237" i="1"/>
  <c r="D4234" i="1"/>
  <c r="C4234" i="1"/>
  <c r="B4234" i="1"/>
  <c r="A4234" i="1"/>
  <c r="D4233" i="1"/>
  <c r="C4233" i="1"/>
  <c r="B4233" i="1"/>
  <c r="A4233" i="1"/>
  <c r="D4232" i="1"/>
  <c r="C4232" i="1"/>
  <c r="B4232" i="1"/>
  <c r="A4232" i="1"/>
  <c r="D4230" i="1"/>
  <c r="C4230" i="1"/>
  <c r="B4230" i="1"/>
  <c r="A4230" i="1"/>
  <c r="D4229" i="1"/>
  <c r="B4229" i="1"/>
  <c r="A4229" i="1"/>
  <c r="D4231" i="1"/>
  <c r="B4231" i="1"/>
  <c r="A4231" i="1"/>
  <c r="D4228" i="1"/>
  <c r="C4228" i="1"/>
  <c r="B4228" i="1"/>
  <c r="A4228" i="1"/>
  <c r="D4227" i="1"/>
  <c r="B4227" i="1"/>
  <c r="A4227" i="1"/>
  <c r="D4225" i="1"/>
  <c r="B4225" i="1"/>
  <c r="A4225" i="1"/>
  <c r="D4224" i="1"/>
  <c r="B4224" i="1"/>
  <c r="A4224" i="1"/>
  <c r="D4226" i="1"/>
  <c r="B4226" i="1"/>
  <c r="A4226" i="1"/>
  <c r="D4223" i="1"/>
  <c r="B4223" i="1"/>
  <c r="A4223" i="1"/>
  <c r="D4222" i="1"/>
  <c r="B4222" i="1"/>
  <c r="A4222" i="1"/>
  <c r="D4221" i="1"/>
  <c r="B4221" i="1"/>
  <c r="A4221" i="1"/>
  <c r="D4219" i="1"/>
  <c r="B4219" i="1"/>
  <c r="A4219" i="1"/>
  <c r="D4216" i="1"/>
  <c r="B4216" i="1"/>
  <c r="A4216" i="1"/>
  <c r="D4218" i="1"/>
  <c r="C4218" i="1"/>
  <c r="B4218" i="1"/>
  <c r="A4218" i="1"/>
  <c r="D4220" i="1"/>
  <c r="B4220" i="1"/>
  <c r="A4220" i="1"/>
  <c r="D4217" i="1"/>
  <c r="B4217" i="1"/>
  <c r="A4217" i="1"/>
  <c r="D4215" i="1"/>
  <c r="B4215" i="1"/>
  <c r="A4215" i="1"/>
  <c r="D4214" i="1"/>
  <c r="B4214" i="1"/>
  <c r="A4214" i="1"/>
  <c r="D4213" i="1"/>
  <c r="B4213" i="1"/>
  <c r="A4213" i="1"/>
  <c r="D4207" i="1"/>
  <c r="B4207" i="1"/>
  <c r="A4207" i="1"/>
  <c r="D4212" i="1"/>
  <c r="C4212" i="1"/>
  <c r="B4212" i="1"/>
  <c r="A4212" i="1"/>
  <c r="D4208" i="1"/>
  <c r="B4208" i="1"/>
  <c r="A4208" i="1"/>
  <c r="D4209" i="1"/>
  <c r="B4209" i="1"/>
  <c r="A4209" i="1"/>
  <c r="D4211" i="1"/>
  <c r="B4211" i="1"/>
  <c r="A4211" i="1"/>
  <c r="D4210" i="1"/>
  <c r="B4210" i="1"/>
  <c r="A4210" i="1"/>
  <c r="D4206" i="1"/>
  <c r="B4206" i="1"/>
  <c r="A4206" i="1"/>
  <c r="D4205" i="1"/>
  <c r="B4205" i="1"/>
  <c r="A4205" i="1"/>
  <c r="D4203" i="1"/>
  <c r="B4203" i="1"/>
  <c r="A4203" i="1"/>
  <c r="D4204" i="1"/>
  <c r="C4204" i="1"/>
  <c r="B4204" i="1"/>
  <c r="A4204" i="1"/>
  <c r="D4201" i="1"/>
  <c r="B4201" i="1"/>
  <c r="A4201" i="1"/>
  <c r="D4202" i="1"/>
  <c r="B4202" i="1"/>
  <c r="A4202" i="1"/>
  <c r="D4200" i="1"/>
  <c r="B4200" i="1"/>
  <c r="A4200" i="1"/>
  <c r="D4199" i="1"/>
  <c r="B4199" i="1"/>
  <c r="A4199" i="1"/>
  <c r="D4197" i="1"/>
  <c r="B4197" i="1"/>
  <c r="A4197" i="1"/>
  <c r="D4198" i="1"/>
  <c r="B4198" i="1"/>
  <c r="A4198" i="1"/>
  <c r="D4196" i="1"/>
  <c r="B4196" i="1"/>
  <c r="A4196" i="1"/>
  <c r="D4195" i="1"/>
  <c r="B4195" i="1"/>
  <c r="A4195" i="1"/>
  <c r="D4193" i="1"/>
  <c r="B4193" i="1"/>
  <c r="A4193" i="1"/>
  <c r="D4194" i="1"/>
  <c r="B4194" i="1"/>
  <c r="A4194" i="1"/>
  <c r="D4192" i="1"/>
  <c r="B4192" i="1"/>
  <c r="A4192" i="1"/>
  <c r="D4190" i="1"/>
  <c r="C4190" i="1"/>
  <c r="B4190" i="1"/>
  <c r="A4190" i="1"/>
  <c r="D4191" i="1"/>
  <c r="C4191" i="1"/>
  <c r="B4191" i="1"/>
  <c r="A4191" i="1"/>
  <c r="D4189" i="1"/>
  <c r="C4189" i="1"/>
  <c r="B4189" i="1"/>
  <c r="A4189" i="1"/>
  <c r="D4187" i="1"/>
  <c r="B4187" i="1"/>
  <c r="A4187" i="1"/>
  <c r="D4188" i="1"/>
  <c r="B4188" i="1"/>
  <c r="A4188" i="1"/>
  <c r="D4179" i="1"/>
  <c r="B4179" i="1"/>
  <c r="A4179" i="1"/>
  <c r="D4183" i="1"/>
  <c r="B4183" i="1"/>
  <c r="A4183" i="1"/>
  <c r="D4185" i="1"/>
  <c r="C4185" i="1"/>
  <c r="B4185" i="1"/>
  <c r="A4185" i="1"/>
  <c r="D4186" i="1"/>
  <c r="C4186" i="1"/>
  <c r="B4186" i="1"/>
  <c r="A4186" i="1"/>
  <c r="D4178" i="1"/>
  <c r="C4178" i="1"/>
  <c r="B4178" i="1"/>
  <c r="A4178" i="1"/>
  <c r="D4181" i="1"/>
  <c r="B4181" i="1"/>
  <c r="A4181" i="1"/>
  <c r="D4184" i="1"/>
  <c r="C4184" i="1"/>
  <c r="B4184" i="1"/>
  <c r="A4184" i="1"/>
  <c r="D4177" i="1"/>
  <c r="C4177" i="1"/>
  <c r="B4177" i="1"/>
  <c r="A4177" i="1"/>
  <c r="D4180" i="1"/>
  <c r="B4180" i="1"/>
  <c r="A4180" i="1"/>
  <c r="D4182" i="1"/>
  <c r="B4182" i="1"/>
  <c r="A4182" i="1"/>
  <c r="D4173" i="1"/>
  <c r="B4173" i="1"/>
  <c r="A4173" i="1"/>
  <c r="D4175" i="1"/>
  <c r="B4175" i="1"/>
  <c r="A4175" i="1"/>
  <c r="D4172" i="1"/>
  <c r="C4172" i="1"/>
  <c r="B4172" i="1"/>
  <c r="A4172" i="1"/>
  <c r="D4176" i="1"/>
  <c r="B4176" i="1"/>
  <c r="A4176" i="1"/>
  <c r="D4170" i="1"/>
  <c r="B4170" i="1"/>
  <c r="A4170" i="1"/>
  <c r="D4174" i="1"/>
  <c r="B4174" i="1"/>
  <c r="A4174" i="1"/>
  <c r="D4171" i="1"/>
  <c r="A4171" i="1"/>
  <c r="D4169" i="1"/>
  <c r="B4169" i="1"/>
  <c r="A4169" i="1"/>
  <c r="D4168" i="1"/>
  <c r="B4168" i="1"/>
  <c r="A4168" i="1"/>
  <c r="D4167" i="1"/>
  <c r="B4167" i="1"/>
  <c r="A4167" i="1"/>
  <c r="D4165" i="1"/>
  <c r="B4165" i="1"/>
  <c r="A4165" i="1"/>
  <c r="D4166" i="1"/>
  <c r="B4166" i="1"/>
  <c r="A4166" i="1"/>
  <c r="D4164" i="1"/>
  <c r="C4164" i="1"/>
  <c r="B4164" i="1"/>
  <c r="A4164" i="1"/>
  <c r="D4163" i="1"/>
  <c r="C4163" i="1"/>
  <c r="B4163" i="1"/>
  <c r="A4163" i="1"/>
  <c r="D4160" i="1"/>
  <c r="B4160" i="1"/>
  <c r="A4160" i="1"/>
  <c r="D4161" i="1"/>
  <c r="B4161" i="1"/>
  <c r="A4161" i="1"/>
  <c r="D4162" i="1"/>
  <c r="B4162" i="1"/>
  <c r="A4162" i="1"/>
  <c r="D4159" i="1"/>
  <c r="C4159" i="1"/>
  <c r="B4159" i="1"/>
  <c r="A4159" i="1"/>
  <c r="D4156" i="1"/>
  <c r="C4156" i="1"/>
  <c r="B4156" i="1"/>
  <c r="A4156" i="1"/>
  <c r="D4158" i="1"/>
  <c r="B4158" i="1"/>
  <c r="A4158" i="1"/>
  <c r="D4157" i="1"/>
  <c r="B4157" i="1"/>
  <c r="A4157" i="1"/>
  <c r="D4155" i="1"/>
  <c r="B4155" i="1"/>
  <c r="A4155" i="1"/>
  <c r="D4154" i="1"/>
  <c r="C4154" i="1"/>
  <c r="B4154" i="1"/>
  <c r="A4154" i="1"/>
  <c r="D4153" i="1"/>
  <c r="B4153" i="1"/>
  <c r="A4153" i="1"/>
  <c r="D4152" i="1"/>
  <c r="B4152" i="1"/>
  <c r="A4152" i="1"/>
  <c r="D4151" i="1"/>
  <c r="B4151" i="1"/>
  <c r="A4151" i="1"/>
  <c r="D4150" i="1"/>
  <c r="B4150" i="1"/>
  <c r="A4150" i="1"/>
  <c r="D4149" i="1"/>
  <c r="C4149" i="1"/>
  <c r="B4149" i="1"/>
  <c r="A4149" i="1"/>
  <c r="D4147" i="1"/>
  <c r="C4147" i="1"/>
  <c r="B4147" i="1"/>
  <c r="A4147" i="1"/>
  <c r="D4145" i="1"/>
  <c r="B4145" i="1"/>
  <c r="A4145" i="1"/>
  <c r="D4146" i="1"/>
  <c r="B4146" i="1"/>
  <c r="A4146" i="1"/>
  <c r="D4148" i="1"/>
  <c r="B4148" i="1"/>
  <c r="A4148" i="1"/>
  <c r="D4140" i="1"/>
  <c r="B4140" i="1"/>
  <c r="A4140" i="1"/>
  <c r="D4143" i="1"/>
  <c r="B4143" i="1"/>
  <c r="A4143" i="1"/>
  <c r="D4142" i="1"/>
  <c r="B4142" i="1"/>
  <c r="A4142" i="1"/>
  <c r="D4141" i="1"/>
  <c r="B4141" i="1"/>
  <c r="A4141" i="1"/>
  <c r="D4139" i="1"/>
  <c r="B4139" i="1"/>
  <c r="A4139" i="1"/>
  <c r="D4144" i="1"/>
  <c r="B4144" i="1"/>
  <c r="A4144" i="1"/>
  <c r="D4138" i="1"/>
  <c r="B4138" i="1"/>
  <c r="A4138" i="1"/>
  <c r="D4137" i="1"/>
  <c r="C4137" i="1"/>
  <c r="B4137" i="1"/>
  <c r="A4137" i="1"/>
  <c r="D4136" i="1"/>
  <c r="B4136" i="1"/>
  <c r="A4136" i="1"/>
  <c r="D4135" i="1"/>
  <c r="B4135" i="1"/>
  <c r="A4135" i="1"/>
  <c r="D4134" i="1"/>
  <c r="B4134" i="1"/>
  <c r="A4134" i="1"/>
  <c r="D4131" i="1"/>
  <c r="B4131" i="1"/>
  <c r="A4131" i="1"/>
  <c r="D4132" i="1"/>
  <c r="C4132" i="1"/>
  <c r="B4132" i="1"/>
  <c r="A4132" i="1"/>
  <c r="D4133" i="1"/>
  <c r="B4133" i="1"/>
  <c r="A4133" i="1"/>
  <c r="D4130" i="1"/>
  <c r="B4130" i="1"/>
  <c r="A4130" i="1"/>
  <c r="D4129" i="1"/>
  <c r="B4129" i="1"/>
  <c r="A4129" i="1"/>
  <c r="D4128" i="1"/>
  <c r="B4128" i="1"/>
  <c r="A4128" i="1"/>
  <c r="D4125" i="1"/>
  <c r="B4125" i="1"/>
  <c r="A4125" i="1"/>
  <c r="D4124" i="1"/>
  <c r="B4124" i="1"/>
  <c r="A4124" i="1"/>
  <c r="D4126" i="1"/>
  <c r="B4126" i="1"/>
  <c r="A4126" i="1"/>
  <c r="D4127" i="1"/>
  <c r="B4127" i="1"/>
  <c r="A4127" i="1"/>
  <c r="D4122" i="1"/>
  <c r="B4122" i="1"/>
  <c r="A4122" i="1"/>
  <c r="D4121" i="1"/>
  <c r="B4121" i="1"/>
  <c r="A4121" i="1"/>
  <c r="D4123" i="1"/>
  <c r="B4123" i="1"/>
  <c r="A4123" i="1"/>
  <c r="D4120" i="1"/>
  <c r="C4120" i="1"/>
  <c r="B4120" i="1"/>
  <c r="A4120" i="1"/>
  <c r="D4119" i="1"/>
  <c r="B4119" i="1"/>
  <c r="A4119" i="1"/>
  <c r="D4118" i="1"/>
  <c r="B4118" i="1"/>
  <c r="A4118" i="1"/>
  <c r="D4116" i="1"/>
  <c r="B4116" i="1"/>
  <c r="A4116" i="1"/>
  <c r="D4117" i="1"/>
  <c r="C4117" i="1"/>
  <c r="B4117" i="1"/>
  <c r="A4117" i="1"/>
  <c r="D4115" i="1"/>
  <c r="B4115" i="1"/>
  <c r="A4115" i="1"/>
  <c r="D4114" i="1"/>
  <c r="B4114" i="1"/>
  <c r="A4114" i="1"/>
  <c r="D4112" i="1"/>
  <c r="B4112" i="1"/>
  <c r="A4112" i="1"/>
  <c r="D4113" i="1"/>
  <c r="B4113" i="1"/>
  <c r="A4113" i="1"/>
  <c r="D4111" i="1"/>
  <c r="B4111" i="1"/>
  <c r="A4111" i="1"/>
  <c r="D4110" i="1"/>
  <c r="C4110" i="1"/>
  <c r="B4110" i="1"/>
  <c r="A4110" i="1"/>
  <c r="D4100" i="1"/>
  <c r="B4100" i="1"/>
  <c r="A4100" i="1"/>
  <c r="D4103" i="1"/>
  <c r="B4103" i="1"/>
  <c r="A4103" i="1"/>
  <c r="D4106" i="1"/>
  <c r="C4106" i="1"/>
  <c r="B4106" i="1"/>
  <c r="A4106" i="1"/>
  <c r="D4098" i="1"/>
  <c r="C4098" i="1"/>
  <c r="B4098" i="1"/>
  <c r="A4098" i="1"/>
  <c r="D4104" i="1"/>
  <c r="B4104" i="1"/>
  <c r="A4104" i="1"/>
  <c r="D4105" i="1"/>
  <c r="B4105" i="1"/>
  <c r="A4105" i="1"/>
  <c r="D4108" i="1"/>
  <c r="C4108" i="1"/>
  <c r="B4108" i="1"/>
  <c r="A4108" i="1"/>
  <c r="D4099" i="1"/>
  <c r="C4099" i="1"/>
  <c r="B4099" i="1"/>
  <c r="A4099" i="1"/>
  <c r="D4107" i="1"/>
  <c r="B4107" i="1"/>
  <c r="A4107" i="1"/>
  <c r="D4102" i="1"/>
  <c r="B4102" i="1"/>
  <c r="A4102" i="1"/>
  <c r="D4101" i="1"/>
  <c r="B4101" i="1"/>
  <c r="A4101" i="1"/>
  <c r="D4109" i="1"/>
  <c r="B4109" i="1"/>
  <c r="A4109" i="1"/>
  <c r="D4086" i="1"/>
  <c r="C4086" i="1"/>
  <c r="B4086" i="1"/>
  <c r="A4086" i="1"/>
  <c r="D4085" i="1"/>
  <c r="C4085" i="1"/>
  <c r="B4085" i="1"/>
  <c r="A4085" i="1"/>
  <c r="D4094" i="1"/>
  <c r="B4094" i="1"/>
  <c r="A4094" i="1"/>
  <c r="D4090" i="1"/>
  <c r="B4090" i="1"/>
  <c r="A4090" i="1"/>
  <c r="D4089" i="1"/>
  <c r="C4089" i="1"/>
  <c r="B4089" i="1"/>
  <c r="A4089" i="1"/>
  <c r="D4084" i="1"/>
  <c r="B4084" i="1"/>
  <c r="A4084" i="1"/>
  <c r="D4091" i="1"/>
  <c r="B4091" i="1"/>
  <c r="A4091" i="1"/>
  <c r="D4095" i="1"/>
  <c r="B4095" i="1"/>
  <c r="A4095" i="1"/>
  <c r="D4097" i="1"/>
  <c r="B4097" i="1"/>
  <c r="A4097" i="1"/>
  <c r="D4087" i="1"/>
  <c r="B4087" i="1"/>
  <c r="A4087" i="1"/>
  <c r="D4093" i="1"/>
  <c r="B4093" i="1"/>
  <c r="A4093" i="1"/>
  <c r="D4096" i="1"/>
  <c r="B4096" i="1"/>
  <c r="A4096" i="1"/>
  <c r="D4092" i="1"/>
  <c r="A4092" i="1"/>
  <c r="D4088" i="1"/>
  <c r="B4088" i="1"/>
  <c r="A4088" i="1"/>
  <c r="D4083" i="1"/>
  <c r="B4083" i="1"/>
  <c r="A4083" i="1"/>
  <c r="D4082" i="1"/>
  <c r="C4082" i="1"/>
  <c r="B4082" i="1"/>
  <c r="A4082" i="1"/>
  <c r="D4080" i="1"/>
  <c r="B4080" i="1"/>
  <c r="A4080" i="1"/>
  <c r="D4081" i="1"/>
  <c r="A4081" i="1"/>
  <c r="D4079" i="1"/>
  <c r="C4079" i="1"/>
  <c r="B4079" i="1"/>
  <c r="A4079" i="1"/>
  <c r="D4074" i="1"/>
  <c r="B4074" i="1"/>
  <c r="A4074" i="1"/>
  <c r="D4076" i="1"/>
  <c r="B4076" i="1"/>
  <c r="A4076" i="1"/>
  <c r="D4077" i="1"/>
  <c r="B4077" i="1"/>
  <c r="A4077" i="1"/>
  <c r="D4078" i="1"/>
  <c r="B4078" i="1"/>
  <c r="A4078" i="1"/>
  <c r="D4075" i="1"/>
  <c r="B4075" i="1"/>
  <c r="A4075" i="1"/>
  <c r="D4073" i="1"/>
  <c r="B4073" i="1"/>
  <c r="A4073" i="1"/>
  <c r="D4072" i="1"/>
  <c r="B4072" i="1"/>
  <c r="A4072" i="1"/>
  <c r="D4069" i="1"/>
  <c r="B4069" i="1"/>
  <c r="A4069" i="1"/>
  <c r="D4070" i="1"/>
  <c r="B4070" i="1"/>
  <c r="A4070" i="1"/>
  <c r="D4071" i="1"/>
  <c r="C4071" i="1"/>
  <c r="B4071" i="1"/>
  <c r="A4071" i="1"/>
  <c r="D4068" i="1"/>
  <c r="C4068" i="1"/>
  <c r="B4068" i="1"/>
  <c r="A4068" i="1"/>
  <c r="D4067" i="1"/>
  <c r="C4067" i="1"/>
  <c r="B4067" i="1"/>
  <c r="A4067" i="1"/>
  <c r="D4064" i="1"/>
  <c r="B4064" i="1"/>
  <c r="A4064" i="1"/>
  <c r="D4065" i="1"/>
  <c r="B4065" i="1"/>
  <c r="A4065" i="1"/>
  <c r="D4066" i="1"/>
  <c r="B4066" i="1"/>
  <c r="A4066" i="1"/>
  <c r="D4063" i="1"/>
  <c r="B4063" i="1"/>
  <c r="A4063" i="1"/>
  <c r="D4059" i="1"/>
  <c r="B4059" i="1"/>
  <c r="A4059" i="1"/>
  <c r="D4061" i="1"/>
  <c r="C4061" i="1"/>
  <c r="B4061" i="1"/>
  <c r="A4061" i="1"/>
  <c r="D4060" i="1"/>
  <c r="B4060" i="1"/>
  <c r="A4060" i="1"/>
  <c r="D4058" i="1"/>
  <c r="B4058" i="1"/>
  <c r="A4058" i="1"/>
  <c r="D4057" i="1"/>
  <c r="B4057" i="1"/>
  <c r="A4057" i="1"/>
  <c r="D4056" i="1"/>
  <c r="B4056" i="1"/>
  <c r="A4056" i="1"/>
  <c r="D4062" i="1"/>
  <c r="B4062" i="1"/>
  <c r="A4062" i="1"/>
  <c r="D4055" i="1"/>
  <c r="B4055" i="1"/>
  <c r="A4055" i="1"/>
  <c r="D4054" i="1"/>
  <c r="B4054" i="1"/>
  <c r="A4054" i="1"/>
  <c r="D4052" i="1"/>
  <c r="A4052" i="1"/>
  <c r="D4050" i="1"/>
  <c r="C4050" i="1"/>
  <c r="B4050" i="1"/>
  <c r="A4050" i="1"/>
  <c r="D4051" i="1"/>
  <c r="B4051" i="1"/>
  <c r="A4051" i="1"/>
  <c r="D4053" i="1"/>
  <c r="B4053" i="1"/>
  <c r="A4053" i="1"/>
  <c r="D4049" i="1"/>
  <c r="B4049" i="1"/>
  <c r="A4049" i="1"/>
  <c r="D4048" i="1"/>
  <c r="C4048" i="1"/>
  <c r="B4048" i="1"/>
  <c r="A4048" i="1"/>
  <c r="D4047" i="1"/>
  <c r="A4047" i="1"/>
  <c r="D4046" i="1"/>
  <c r="B4046" i="1"/>
  <c r="A4046" i="1"/>
  <c r="D4041" i="1"/>
  <c r="C4041" i="1"/>
  <c r="B4041" i="1"/>
  <c r="A4041" i="1"/>
  <c r="D4043" i="1"/>
  <c r="B4043" i="1"/>
  <c r="A4043" i="1"/>
  <c r="D4042" i="1"/>
  <c r="B4042" i="1"/>
  <c r="A4042" i="1"/>
  <c r="D4045" i="1"/>
  <c r="B4045" i="1"/>
  <c r="A4045" i="1"/>
  <c r="D4044" i="1"/>
  <c r="B4044" i="1"/>
  <c r="A4044" i="1"/>
  <c r="D4040" i="1"/>
  <c r="B4040" i="1"/>
  <c r="A4040" i="1"/>
  <c r="D4039" i="1"/>
  <c r="B4039" i="1"/>
  <c r="A4039" i="1"/>
  <c r="D4038" i="1"/>
  <c r="B4038" i="1"/>
  <c r="A4038" i="1"/>
  <c r="D4037" i="1"/>
  <c r="C4037" i="1"/>
  <c r="B4037" i="1"/>
  <c r="A4037" i="1"/>
  <c r="D4036" i="1"/>
  <c r="B4036" i="1"/>
  <c r="A4036" i="1"/>
  <c r="D4035" i="1"/>
  <c r="C4035" i="1"/>
  <c r="B4035" i="1"/>
  <c r="A4035" i="1"/>
  <c r="D4034" i="1"/>
  <c r="A4034" i="1"/>
  <c r="D4033" i="1"/>
  <c r="B4033" i="1"/>
  <c r="A4033" i="1"/>
  <c r="D4032" i="1"/>
  <c r="C4032" i="1"/>
  <c r="B4032" i="1"/>
  <c r="A4032" i="1"/>
  <c r="D4025" i="1"/>
  <c r="B4025" i="1"/>
  <c r="A4025" i="1"/>
  <c r="D4026" i="1"/>
  <c r="B4026" i="1"/>
  <c r="A4026" i="1"/>
  <c r="D4029" i="1"/>
  <c r="C4029" i="1"/>
  <c r="B4029" i="1"/>
  <c r="A4029" i="1"/>
  <c r="D4028" i="1"/>
  <c r="B4028" i="1"/>
  <c r="A4028" i="1"/>
  <c r="D4031" i="1"/>
  <c r="B4031" i="1"/>
  <c r="A4031" i="1"/>
  <c r="D4027" i="1"/>
  <c r="B4027" i="1"/>
  <c r="A4027" i="1"/>
  <c r="D4030" i="1"/>
  <c r="C4030" i="1"/>
  <c r="B4030" i="1"/>
  <c r="A4030" i="1"/>
  <c r="D4024" i="1"/>
  <c r="A4024" i="1"/>
  <c r="D4021" i="1"/>
  <c r="C4021" i="1"/>
  <c r="B4021" i="1"/>
  <c r="A4021" i="1"/>
  <c r="D4019" i="1"/>
  <c r="B4019" i="1"/>
  <c r="A4019" i="1"/>
  <c r="D4023" i="1"/>
  <c r="B4023" i="1"/>
  <c r="A4023" i="1"/>
  <c r="D4022" i="1"/>
  <c r="B4022" i="1"/>
  <c r="A4022" i="1"/>
  <c r="D4020" i="1"/>
  <c r="B4020" i="1"/>
  <c r="A4020" i="1"/>
  <c r="D4018" i="1"/>
  <c r="C4018" i="1"/>
  <c r="B4018" i="1"/>
  <c r="A4018" i="1"/>
  <c r="D4017" i="1"/>
  <c r="B4017" i="1"/>
  <c r="A4017" i="1"/>
  <c r="D4016" i="1"/>
  <c r="B4016" i="1"/>
  <c r="A4016" i="1"/>
  <c r="D4015" i="1"/>
  <c r="B4015" i="1"/>
  <c r="A4015" i="1"/>
  <c r="D4014" i="1"/>
  <c r="B4014" i="1"/>
  <c r="A4014" i="1"/>
  <c r="D4013" i="1"/>
  <c r="C4013" i="1"/>
  <c r="B4013" i="1"/>
  <c r="A4013" i="1"/>
  <c r="D4012" i="1"/>
  <c r="B4012" i="1"/>
  <c r="A4012" i="1"/>
  <c r="D4011" i="1"/>
  <c r="B4011" i="1"/>
  <c r="A4011" i="1"/>
  <c r="D4010" i="1"/>
  <c r="B4010" i="1"/>
  <c r="A4010" i="1"/>
  <c r="D4009" i="1"/>
  <c r="B4009" i="1"/>
  <c r="A4009" i="1"/>
  <c r="D4008" i="1"/>
  <c r="B4008" i="1"/>
  <c r="A4008" i="1"/>
  <c r="D4007" i="1"/>
  <c r="B4007" i="1"/>
  <c r="A4007" i="1"/>
  <c r="D4006" i="1"/>
  <c r="B4006" i="1"/>
  <c r="A4006" i="1"/>
  <c r="D4005" i="1"/>
  <c r="B4005" i="1"/>
  <c r="A4005" i="1"/>
  <c r="D4004" i="1"/>
  <c r="A4004" i="1"/>
  <c r="D4003" i="1"/>
  <c r="B4003" i="1"/>
  <c r="A4003" i="1"/>
  <c r="D4002" i="1"/>
  <c r="C4002" i="1"/>
  <c r="B4002" i="1"/>
  <c r="A4002" i="1"/>
  <c r="D4001" i="1"/>
  <c r="C4001" i="1"/>
  <c r="B4001" i="1"/>
  <c r="A4001" i="1"/>
  <c r="D4000" i="1"/>
  <c r="B4000" i="1"/>
  <c r="A4000" i="1"/>
  <c r="D3999" i="1"/>
  <c r="B3999" i="1"/>
  <c r="A3999" i="1"/>
  <c r="D3998" i="1"/>
  <c r="C3998" i="1"/>
  <c r="B3998" i="1"/>
  <c r="A3998" i="1"/>
  <c r="D3995" i="1"/>
  <c r="B3995" i="1"/>
  <c r="A3995" i="1"/>
  <c r="D3997" i="1"/>
  <c r="B3997" i="1"/>
  <c r="A3997" i="1"/>
  <c r="D3996" i="1"/>
  <c r="B3996" i="1"/>
  <c r="A3996" i="1"/>
  <c r="D3994" i="1"/>
  <c r="B3994" i="1"/>
  <c r="A3994" i="1"/>
  <c r="D3993" i="1"/>
  <c r="B3993" i="1"/>
  <c r="A3993" i="1"/>
  <c r="D3992" i="1"/>
  <c r="B3992" i="1"/>
  <c r="A3992" i="1"/>
  <c r="D3990" i="1"/>
  <c r="A3990" i="1"/>
  <c r="D3989" i="1"/>
  <c r="B3989" i="1"/>
  <c r="A3989" i="1"/>
  <c r="D3991" i="1"/>
  <c r="B3991" i="1"/>
  <c r="A3991" i="1"/>
  <c r="D3988" i="1"/>
  <c r="B3988" i="1"/>
  <c r="A3988" i="1"/>
  <c r="D3987" i="1"/>
  <c r="C3987" i="1"/>
  <c r="B3987" i="1"/>
  <c r="A3987" i="1"/>
  <c r="D3986" i="1"/>
  <c r="B3986" i="1"/>
  <c r="A3986" i="1"/>
  <c r="D3985" i="1"/>
  <c r="C3985" i="1"/>
  <c r="B3985" i="1"/>
  <c r="A3985" i="1"/>
  <c r="D3984" i="1"/>
  <c r="A3984" i="1"/>
  <c r="D3983" i="1"/>
  <c r="B3983" i="1"/>
  <c r="A3983" i="1"/>
  <c r="D3982" i="1"/>
  <c r="B3982" i="1"/>
  <c r="A3982" i="1"/>
  <c r="D3979" i="1"/>
  <c r="C3979" i="1"/>
  <c r="B3979" i="1"/>
  <c r="A3979" i="1"/>
  <c r="D3980" i="1"/>
  <c r="B3980" i="1"/>
  <c r="A3980" i="1"/>
  <c r="D3978" i="1"/>
  <c r="B3978" i="1"/>
  <c r="A3978" i="1"/>
  <c r="D3981" i="1"/>
  <c r="B3981" i="1"/>
  <c r="A3981" i="1"/>
  <c r="D3977" i="1"/>
  <c r="C3977" i="1"/>
  <c r="B3977" i="1"/>
  <c r="A3977" i="1"/>
  <c r="D3976" i="1"/>
  <c r="B3976" i="1"/>
  <c r="A3976" i="1"/>
  <c r="D3960" i="1"/>
  <c r="A3960" i="1"/>
  <c r="D3969" i="1"/>
  <c r="B3969" i="1"/>
  <c r="A3969" i="1"/>
  <c r="D3975" i="1"/>
  <c r="B3975" i="1"/>
  <c r="A3975" i="1"/>
  <c r="D3972" i="1"/>
  <c r="B3972" i="1"/>
  <c r="A3972" i="1"/>
  <c r="D3961" i="1"/>
  <c r="B3961" i="1"/>
  <c r="A3961" i="1"/>
  <c r="D3967" i="1"/>
  <c r="C3967" i="1"/>
  <c r="B3967" i="1"/>
  <c r="A3967" i="1"/>
  <c r="D3970" i="1"/>
  <c r="C3970" i="1"/>
  <c r="B3970" i="1"/>
  <c r="A3970" i="1"/>
  <c r="D3964" i="1"/>
  <c r="B3964" i="1"/>
  <c r="A3964" i="1"/>
  <c r="D3962" i="1"/>
  <c r="B3962" i="1"/>
  <c r="A3962" i="1"/>
  <c r="D3966" i="1"/>
  <c r="B3966" i="1"/>
  <c r="A3966" i="1"/>
  <c r="D3965" i="1"/>
  <c r="B3965" i="1"/>
  <c r="A3965" i="1"/>
  <c r="D3974" i="1"/>
  <c r="B3974" i="1"/>
  <c r="A3974" i="1"/>
  <c r="D3959" i="1"/>
  <c r="B3959" i="1"/>
  <c r="A3959" i="1"/>
  <c r="D3971" i="1"/>
  <c r="C3971" i="1"/>
  <c r="B3971" i="1"/>
  <c r="A3971" i="1"/>
  <c r="D3973" i="1"/>
  <c r="A3973" i="1"/>
  <c r="D3963" i="1"/>
  <c r="B3963" i="1"/>
  <c r="A3963" i="1"/>
  <c r="D3968" i="1"/>
  <c r="B3968" i="1"/>
  <c r="A3968" i="1"/>
  <c r="D3958" i="1"/>
  <c r="B3958" i="1"/>
  <c r="A3958" i="1"/>
  <c r="D3949" i="1"/>
  <c r="B3949" i="1"/>
  <c r="A3949" i="1"/>
  <c r="D3953" i="1"/>
  <c r="B3953" i="1"/>
  <c r="A3953" i="1"/>
  <c r="D3952" i="1"/>
  <c r="B3952" i="1"/>
  <c r="A3952" i="1"/>
  <c r="D3955" i="1"/>
  <c r="C3955" i="1"/>
  <c r="B3955" i="1"/>
  <c r="A3955" i="1"/>
  <c r="D3956" i="1"/>
  <c r="C3956" i="1"/>
  <c r="B3956" i="1"/>
  <c r="A3956" i="1"/>
  <c r="D3954" i="1"/>
  <c r="B3954" i="1"/>
  <c r="A3954" i="1"/>
  <c r="D3951" i="1"/>
  <c r="C3951" i="1"/>
  <c r="B3951" i="1"/>
  <c r="A3951" i="1"/>
  <c r="D3950" i="1"/>
  <c r="B3950" i="1"/>
  <c r="A3950" i="1"/>
  <c r="D3957" i="1"/>
  <c r="B3957" i="1"/>
  <c r="A3957" i="1"/>
  <c r="D3947" i="1"/>
  <c r="C3947" i="1"/>
  <c r="B3947" i="1"/>
  <c r="A3947" i="1"/>
  <c r="D3948" i="1"/>
  <c r="B3948" i="1"/>
  <c r="A3948" i="1"/>
  <c r="D3945" i="1"/>
  <c r="B3945" i="1"/>
  <c r="A3945" i="1"/>
  <c r="D3943" i="1"/>
  <c r="C3943" i="1"/>
  <c r="B3943" i="1"/>
  <c r="A3943" i="1"/>
  <c r="D3944" i="1"/>
  <c r="B3944" i="1"/>
  <c r="A3944" i="1"/>
  <c r="D3942" i="1"/>
  <c r="A3942" i="1"/>
  <c r="D3946" i="1"/>
  <c r="A3946" i="1"/>
  <c r="D3941" i="1"/>
  <c r="B3941" i="1"/>
  <c r="A3941" i="1"/>
  <c r="D3937" i="1"/>
  <c r="C3937" i="1"/>
  <c r="B3937" i="1"/>
  <c r="A3937" i="1"/>
  <c r="D3938" i="1"/>
  <c r="B3938" i="1"/>
  <c r="A3938" i="1"/>
  <c r="D3940" i="1"/>
  <c r="C3940" i="1"/>
  <c r="B3940" i="1"/>
  <c r="A3940" i="1"/>
  <c r="D3939" i="1"/>
  <c r="B3939" i="1"/>
  <c r="A3939" i="1"/>
  <c r="D3935" i="1"/>
  <c r="B3935" i="1"/>
  <c r="A3935" i="1"/>
  <c r="D3936" i="1"/>
  <c r="B3936" i="1"/>
  <c r="A3936" i="1"/>
  <c r="D3934" i="1"/>
  <c r="C3934" i="1"/>
  <c r="B3934" i="1"/>
  <c r="A3934" i="1"/>
  <c r="D3933" i="1"/>
  <c r="C3933" i="1"/>
  <c r="B3933" i="1"/>
  <c r="A3933" i="1"/>
  <c r="D3932" i="1"/>
  <c r="C3932" i="1"/>
  <c r="B3932" i="1"/>
  <c r="A3932" i="1"/>
  <c r="D3930" i="1"/>
  <c r="C3930" i="1"/>
  <c r="B3930" i="1"/>
  <c r="A3930" i="1"/>
  <c r="D3931" i="1"/>
  <c r="B3931" i="1"/>
  <c r="A3931" i="1"/>
  <c r="D3929" i="1"/>
  <c r="B3929" i="1"/>
  <c r="A3929" i="1"/>
  <c r="D3928" i="1"/>
  <c r="B3928" i="1"/>
  <c r="A3928" i="1"/>
  <c r="D3927" i="1"/>
  <c r="B3927" i="1"/>
  <c r="A3927" i="1"/>
  <c r="D3926" i="1"/>
  <c r="B3926" i="1"/>
  <c r="A3926" i="1"/>
  <c r="D3924" i="1"/>
  <c r="B3924" i="1"/>
  <c r="A3924" i="1"/>
  <c r="D3925" i="1"/>
  <c r="B3925" i="1"/>
  <c r="A3925" i="1"/>
  <c r="D3922" i="1"/>
  <c r="B3922" i="1"/>
  <c r="A3922" i="1"/>
  <c r="D3921" i="1"/>
  <c r="B3921" i="1"/>
  <c r="A3921" i="1"/>
  <c r="D3923" i="1"/>
  <c r="C3923" i="1"/>
  <c r="B3923" i="1"/>
  <c r="A3923" i="1"/>
  <c r="D3920" i="1"/>
  <c r="B3920" i="1"/>
  <c r="A3920" i="1"/>
  <c r="D3918" i="1"/>
  <c r="C3918" i="1"/>
  <c r="B3918" i="1"/>
  <c r="A3918" i="1"/>
  <c r="D3919" i="1"/>
  <c r="B3919" i="1"/>
  <c r="A3919" i="1"/>
  <c r="D3917" i="1"/>
  <c r="C3917" i="1"/>
  <c r="B3917" i="1"/>
  <c r="A3917" i="1"/>
  <c r="D3916" i="1"/>
  <c r="B3916" i="1"/>
  <c r="A3916" i="1"/>
  <c r="D3915" i="1"/>
  <c r="B3915" i="1"/>
  <c r="A3915" i="1"/>
  <c r="D3914" i="1"/>
  <c r="C3914" i="1"/>
  <c r="B3914" i="1"/>
  <c r="A3914" i="1"/>
  <c r="D3913" i="1"/>
  <c r="B3913" i="1"/>
  <c r="A3913" i="1"/>
  <c r="D3912" i="1"/>
  <c r="B3912" i="1"/>
  <c r="A3912" i="1"/>
  <c r="D3911" i="1"/>
  <c r="C3911" i="1"/>
  <c r="B3911" i="1"/>
  <c r="A3911" i="1"/>
  <c r="D3910" i="1"/>
  <c r="B3910" i="1"/>
  <c r="A3910" i="1"/>
  <c r="D3909" i="1"/>
  <c r="C3909" i="1"/>
  <c r="B3909" i="1"/>
  <c r="A3909" i="1"/>
  <c r="D3908" i="1"/>
  <c r="B3908" i="1"/>
  <c r="A3908" i="1"/>
  <c r="D3903" i="1"/>
  <c r="C3903" i="1"/>
  <c r="B3903" i="1"/>
  <c r="A3903" i="1"/>
  <c r="D3902" i="1"/>
  <c r="B3902" i="1"/>
  <c r="A3902" i="1"/>
  <c r="D3905" i="1"/>
  <c r="C3905" i="1"/>
  <c r="B3905" i="1"/>
  <c r="A3905" i="1"/>
  <c r="D3906" i="1"/>
  <c r="B3906" i="1"/>
  <c r="A3906" i="1"/>
  <c r="D3900" i="1"/>
  <c r="B3900" i="1"/>
  <c r="A3900" i="1"/>
  <c r="D3907" i="1"/>
  <c r="B3907" i="1"/>
  <c r="A3907" i="1"/>
  <c r="D3904" i="1"/>
  <c r="B3904" i="1"/>
  <c r="A3904" i="1"/>
  <c r="D3899" i="1"/>
  <c r="B3899" i="1"/>
  <c r="A3899" i="1"/>
  <c r="D3901" i="1"/>
  <c r="B3901" i="1"/>
  <c r="A3901" i="1"/>
  <c r="D3898" i="1"/>
  <c r="B3898" i="1"/>
  <c r="A3898" i="1"/>
  <c r="D3897" i="1"/>
  <c r="B3897" i="1"/>
  <c r="A3897" i="1"/>
  <c r="D3896" i="1"/>
  <c r="B3896" i="1"/>
  <c r="A3896" i="1"/>
  <c r="D3895" i="1"/>
  <c r="B3895" i="1"/>
  <c r="A3895" i="1"/>
  <c r="D3893" i="1"/>
  <c r="C3893" i="1"/>
  <c r="B3893" i="1"/>
  <c r="A3893" i="1"/>
  <c r="D3894" i="1"/>
  <c r="B3894" i="1"/>
  <c r="A3894" i="1"/>
  <c r="D3890" i="1"/>
  <c r="B3890" i="1"/>
  <c r="A3890" i="1"/>
  <c r="D3889" i="1"/>
  <c r="B3889" i="1"/>
  <c r="A3889" i="1"/>
  <c r="D3892" i="1"/>
  <c r="B3892" i="1"/>
  <c r="A3892" i="1"/>
  <c r="D3891" i="1"/>
  <c r="A3891" i="1"/>
  <c r="D3888" i="1"/>
  <c r="B3888" i="1"/>
  <c r="A3888" i="1"/>
  <c r="D3876" i="1"/>
  <c r="B3876" i="1"/>
  <c r="A3876" i="1"/>
  <c r="D3886" i="1"/>
  <c r="B3886" i="1"/>
  <c r="A3886" i="1"/>
  <c r="D3878" i="1"/>
  <c r="B3878" i="1"/>
  <c r="A3878" i="1"/>
  <c r="D3882" i="1"/>
  <c r="C3882" i="1"/>
  <c r="B3882" i="1"/>
  <c r="A3882" i="1"/>
  <c r="D3885" i="1"/>
  <c r="B3885" i="1"/>
  <c r="A3885" i="1"/>
  <c r="D3883" i="1"/>
  <c r="B3883" i="1"/>
  <c r="A3883" i="1"/>
  <c r="D3881" i="1"/>
  <c r="B3881" i="1"/>
  <c r="A3881" i="1"/>
  <c r="D3880" i="1"/>
  <c r="B3880" i="1"/>
  <c r="A3880" i="1"/>
  <c r="D3877" i="1"/>
  <c r="C3877" i="1"/>
  <c r="B3877" i="1"/>
  <c r="A3877" i="1"/>
  <c r="D3887" i="1"/>
  <c r="B3887" i="1"/>
  <c r="A3887" i="1"/>
  <c r="D3884" i="1"/>
  <c r="C3884" i="1"/>
  <c r="B3884" i="1"/>
  <c r="A3884" i="1"/>
  <c r="D3879" i="1"/>
  <c r="B3879" i="1"/>
  <c r="A3879" i="1"/>
  <c r="D3874" i="1"/>
  <c r="B3874" i="1"/>
  <c r="A3874" i="1"/>
  <c r="D3875" i="1"/>
  <c r="B3875" i="1"/>
  <c r="A3875" i="1"/>
  <c r="D3873" i="1"/>
  <c r="B3873" i="1"/>
  <c r="A3873" i="1"/>
  <c r="D3872" i="1"/>
  <c r="B3872" i="1"/>
  <c r="A3872" i="1"/>
  <c r="D3871" i="1"/>
  <c r="B3871" i="1"/>
  <c r="A3871" i="1"/>
  <c r="D3870" i="1"/>
  <c r="B3870" i="1"/>
  <c r="A3870" i="1"/>
  <c r="D3865" i="1"/>
  <c r="C3865" i="1"/>
  <c r="B3865" i="1"/>
  <c r="A3865" i="1"/>
  <c r="D3860" i="1"/>
  <c r="B3860" i="1"/>
  <c r="A3860" i="1"/>
  <c r="D3868" i="1"/>
  <c r="C3868" i="1"/>
  <c r="B3868" i="1"/>
  <c r="A3868" i="1"/>
  <c r="D3867" i="1"/>
  <c r="B3867" i="1"/>
  <c r="A3867" i="1"/>
  <c r="D3861" i="1"/>
  <c r="B3861" i="1"/>
  <c r="A3861" i="1"/>
  <c r="D3864" i="1"/>
  <c r="B3864" i="1"/>
  <c r="A3864" i="1"/>
  <c r="D3869" i="1"/>
  <c r="B3869" i="1"/>
  <c r="A3869" i="1"/>
  <c r="D3866" i="1"/>
  <c r="B3866" i="1"/>
  <c r="A3866" i="1"/>
  <c r="D3862" i="1"/>
  <c r="C3862" i="1"/>
  <c r="B3862" i="1"/>
  <c r="A3862" i="1"/>
  <c r="D3863" i="1"/>
  <c r="B3863" i="1"/>
  <c r="A3863" i="1"/>
  <c r="D3858" i="1"/>
  <c r="B3858" i="1"/>
  <c r="A3858" i="1"/>
  <c r="D3859" i="1"/>
  <c r="B3859" i="1"/>
  <c r="A3859" i="1"/>
  <c r="D3856" i="1"/>
  <c r="B3856" i="1"/>
  <c r="A3856" i="1"/>
  <c r="D3857" i="1"/>
  <c r="B3857" i="1"/>
  <c r="A3857" i="1"/>
  <c r="D3852" i="1"/>
  <c r="B3852" i="1"/>
  <c r="A3852" i="1"/>
  <c r="D3855" i="1"/>
  <c r="C3855" i="1"/>
  <c r="B3855" i="1"/>
  <c r="A3855" i="1"/>
  <c r="D3853" i="1"/>
  <c r="B3853" i="1"/>
  <c r="A3853" i="1"/>
  <c r="D3851" i="1"/>
  <c r="B3851" i="1"/>
  <c r="A3851" i="1"/>
  <c r="D3849" i="1"/>
  <c r="B3849" i="1"/>
  <c r="A3849" i="1"/>
  <c r="D3850" i="1"/>
  <c r="B3850" i="1"/>
  <c r="A3850" i="1"/>
  <c r="D3854" i="1"/>
  <c r="C3854" i="1"/>
  <c r="B3854" i="1"/>
  <c r="A3854" i="1"/>
  <c r="D3848" i="1"/>
  <c r="B3848" i="1"/>
  <c r="A3848" i="1"/>
  <c r="D3847" i="1"/>
  <c r="B3847" i="1"/>
  <c r="A3847" i="1"/>
  <c r="D3846" i="1"/>
  <c r="B3846" i="1"/>
  <c r="A3846" i="1"/>
  <c r="D3845" i="1"/>
  <c r="B3845" i="1"/>
  <c r="A3845" i="1"/>
  <c r="D3842" i="1"/>
  <c r="B3842" i="1"/>
  <c r="A3842" i="1"/>
  <c r="D3832" i="1"/>
  <c r="A3832" i="1"/>
  <c r="D3825" i="1"/>
  <c r="B3825" i="1"/>
  <c r="A3825" i="1"/>
  <c r="D3826" i="1"/>
  <c r="C3826" i="1"/>
  <c r="B3826" i="1"/>
  <c r="A3826" i="1"/>
  <c r="D3830" i="1"/>
  <c r="B3830" i="1"/>
  <c r="A3830" i="1"/>
  <c r="D3840" i="1"/>
  <c r="B3840" i="1"/>
  <c r="A3840" i="1"/>
  <c r="D3834" i="1"/>
  <c r="B3834" i="1"/>
  <c r="A3834" i="1"/>
  <c r="D3818" i="1"/>
  <c r="B3818" i="1"/>
  <c r="A3818" i="1"/>
  <c r="D3837" i="1"/>
  <c r="B3837" i="1"/>
  <c r="A3837" i="1"/>
  <c r="D3817" i="1"/>
  <c r="C3817" i="1"/>
  <c r="B3817" i="1"/>
  <c r="A3817" i="1"/>
  <c r="D3844" i="1"/>
  <c r="B3844" i="1"/>
  <c r="A3844" i="1"/>
  <c r="D3843" i="1"/>
  <c r="C3843" i="1"/>
  <c r="B3843" i="1"/>
  <c r="A3843" i="1"/>
  <c r="D3819" i="1"/>
  <c r="B3819" i="1"/>
  <c r="A3819" i="1"/>
  <c r="D3833" i="1"/>
  <c r="C3833" i="1"/>
  <c r="B3833" i="1"/>
  <c r="A3833" i="1"/>
  <c r="D3839" i="1"/>
  <c r="B3839" i="1"/>
  <c r="A3839" i="1"/>
  <c r="D3835" i="1"/>
  <c r="C3835" i="1"/>
  <c r="B3835" i="1"/>
  <c r="A3835" i="1"/>
  <c r="D3828" i="1"/>
  <c r="B3828" i="1"/>
  <c r="A3828" i="1"/>
  <c r="D3822" i="1"/>
  <c r="B3822" i="1"/>
  <c r="A3822" i="1"/>
  <c r="D3836" i="1"/>
  <c r="B3836" i="1"/>
  <c r="A3836" i="1"/>
  <c r="D3820" i="1"/>
  <c r="B3820" i="1"/>
  <c r="A3820" i="1"/>
  <c r="D3827" i="1"/>
  <c r="B3827" i="1"/>
  <c r="A3827" i="1"/>
  <c r="D3838" i="1"/>
  <c r="B3838" i="1"/>
  <c r="A3838" i="1"/>
  <c r="D3829" i="1"/>
  <c r="B3829" i="1"/>
  <c r="A3829" i="1"/>
  <c r="D3831" i="1"/>
  <c r="B3831" i="1"/>
  <c r="A3831" i="1"/>
  <c r="D3824" i="1"/>
  <c r="B3824" i="1"/>
  <c r="A3824" i="1"/>
  <c r="D3821" i="1"/>
  <c r="B3821" i="1"/>
  <c r="A3821" i="1"/>
  <c r="D3816" i="1"/>
  <c r="B3816" i="1"/>
  <c r="A3816" i="1"/>
  <c r="D3823" i="1"/>
  <c r="B3823" i="1"/>
  <c r="A3823" i="1"/>
  <c r="D3841" i="1"/>
  <c r="A3841" i="1"/>
  <c r="D3815" i="1"/>
  <c r="B3815" i="1"/>
  <c r="A3815" i="1"/>
  <c r="D3814" i="1"/>
  <c r="B3814" i="1"/>
  <c r="A3814" i="1"/>
  <c r="D3813" i="1"/>
  <c r="B3813" i="1"/>
  <c r="A3813" i="1"/>
  <c r="D3812" i="1"/>
  <c r="B3812" i="1"/>
  <c r="A3812" i="1"/>
  <c r="D3811" i="1"/>
  <c r="B3811" i="1"/>
  <c r="A3811" i="1"/>
  <c r="D3810" i="1"/>
  <c r="B3810" i="1"/>
  <c r="A3810" i="1"/>
  <c r="D3809" i="1"/>
  <c r="B3809" i="1"/>
  <c r="A3809" i="1"/>
  <c r="D3808" i="1"/>
  <c r="B3808" i="1"/>
  <c r="A3808" i="1"/>
  <c r="D3807" i="1"/>
  <c r="B3807" i="1"/>
  <c r="A3807" i="1"/>
  <c r="D3806" i="1"/>
  <c r="A3806" i="1"/>
  <c r="D3805" i="1"/>
  <c r="B3805" i="1"/>
  <c r="A3805" i="1"/>
  <c r="D3804" i="1"/>
  <c r="C3804" i="1"/>
  <c r="B3804" i="1"/>
  <c r="A3804" i="1"/>
  <c r="D3802" i="1"/>
  <c r="C3802" i="1"/>
  <c r="B3802" i="1"/>
  <c r="A3802" i="1"/>
  <c r="D3800" i="1"/>
  <c r="B3800" i="1"/>
  <c r="A3800" i="1"/>
  <c r="D3803" i="1"/>
  <c r="B3803" i="1"/>
  <c r="A3803" i="1"/>
  <c r="D3801" i="1"/>
  <c r="B3801" i="1"/>
  <c r="A3801" i="1"/>
  <c r="D3798" i="1"/>
  <c r="B3798" i="1"/>
  <c r="A3798" i="1"/>
  <c r="D3799" i="1"/>
  <c r="B3799" i="1"/>
  <c r="A3799" i="1"/>
  <c r="D3797" i="1"/>
  <c r="B3797" i="1"/>
  <c r="A3797" i="1"/>
  <c r="D3796" i="1"/>
  <c r="C3796" i="1"/>
  <c r="B3796" i="1"/>
  <c r="A3796" i="1"/>
  <c r="D3795" i="1"/>
  <c r="B3795" i="1"/>
  <c r="A3795" i="1"/>
  <c r="D3794" i="1"/>
  <c r="B3794" i="1"/>
  <c r="A3794" i="1"/>
  <c r="D3793" i="1"/>
  <c r="B3793" i="1"/>
  <c r="A3793" i="1"/>
  <c r="D3792" i="1"/>
  <c r="B3792" i="1"/>
  <c r="A3792" i="1"/>
  <c r="D3791" i="1"/>
  <c r="B3791" i="1"/>
  <c r="A3791" i="1"/>
  <c r="D3790" i="1"/>
  <c r="C3790" i="1"/>
  <c r="B3790" i="1"/>
  <c r="A3790" i="1"/>
  <c r="D3789" i="1"/>
  <c r="B3789" i="1"/>
  <c r="A3789" i="1"/>
  <c r="D3788" i="1"/>
  <c r="B3788" i="1"/>
  <c r="A3788" i="1"/>
  <c r="D3787" i="1"/>
  <c r="B3787" i="1"/>
  <c r="A3787" i="1"/>
  <c r="D3786" i="1"/>
  <c r="B3786" i="1"/>
  <c r="A3786" i="1"/>
  <c r="D3785" i="1"/>
  <c r="B3785" i="1"/>
  <c r="A3785" i="1"/>
  <c r="D3775" i="1"/>
  <c r="B3775" i="1"/>
  <c r="A3775" i="1"/>
  <c r="D3771" i="1"/>
  <c r="B3771" i="1"/>
  <c r="A3771" i="1"/>
  <c r="D3784" i="1"/>
  <c r="B3784" i="1"/>
  <c r="A3784" i="1"/>
  <c r="D3776" i="1"/>
  <c r="B3776" i="1"/>
  <c r="A3776" i="1"/>
  <c r="D3773" i="1"/>
  <c r="B3773" i="1"/>
  <c r="A3773" i="1"/>
  <c r="D3780" i="1"/>
  <c r="B3780" i="1"/>
  <c r="A3780" i="1"/>
  <c r="D3781" i="1"/>
  <c r="B3781" i="1"/>
  <c r="A3781" i="1"/>
  <c r="D3779" i="1"/>
  <c r="B3779" i="1"/>
  <c r="A3779" i="1"/>
  <c r="D3774" i="1"/>
  <c r="B3774" i="1"/>
  <c r="A3774" i="1"/>
  <c r="D3777" i="1"/>
  <c r="B3777" i="1"/>
  <c r="A3777" i="1"/>
  <c r="D3778" i="1"/>
  <c r="C3778" i="1"/>
  <c r="B3778" i="1"/>
  <c r="A3778" i="1"/>
  <c r="D3782" i="1"/>
  <c r="B3782" i="1"/>
  <c r="A3782" i="1"/>
  <c r="D3783" i="1"/>
  <c r="A3783" i="1"/>
  <c r="D3772" i="1"/>
  <c r="A3772" i="1"/>
  <c r="D3770" i="1"/>
  <c r="A3770" i="1"/>
  <c r="D3769" i="1"/>
  <c r="B3769" i="1"/>
  <c r="A3769" i="1"/>
  <c r="D3768" i="1"/>
  <c r="B3768" i="1"/>
  <c r="A3768" i="1"/>
  <c r="D3766" i="1"/>
  <c r="A3766" i="1"/>
  <c r="D3767" i="1"/>
  <c r="C3767" i="1"/>
  <c r="B3767" i="1"/>
  <c r="A3767" i="1"/>
  <c r="D3764" i="1"/>
  <c r="C3764" i="1"/>
  <c r="B3764" i="1"/>
  <c r="A3764" i="1"/>
  <c r="D3765" i="1"/>
  <c r="B3765" i="1"/>
  <c r="A3765" i="1"/>
  <c r="D3763" i="1"/>
  <c r="B3763" i="1"/>
  <c r="A3763" i="1"/>
  <c r="D3762" i="1"/>
  <c r="B3762" i="1"/>
  <c r="A3762" i="1"/>
  <c r="D3759" i="1"/>
  <c r="B3759" i="1"/>
  <c r="A3759" i="1"/>
  <c r="D3760" i="1"/>
  <c r="B3760" i="1"/>
  <c r="A3760" i="1"/>
  <c r="D3761" i="1"/>
  <c r="C3761" i="1"/>
  <c r="B3761" i="1"/>
  <c r="A3761" i="1"/>
  <c r="D3744" i="1"/>
  <c r="B3744" i="1"/>
  <c r="A3744" i="1"/>
  <c r="D3755" i="1"/>
  <c r="B3755" i="1"/>
  <c r="A3755" i="1"/>
  <c r="D3748" i="1"/>
  <c r="C3748" i="1"/>
  <c r="B3748" i="1"/>
  <c r="A3748" i="1"/>
  <c r="D3746" i="1"/>
  <c r="B3746" i="1"/>
  <c r="A3746" i="1"/>
  <c r="D3758" i="1"/>
  <c r="C3758" i="1"/>
  <c r="B3758" i="1"/>
  <c r="A3758" i="1"/>
  <c r="D3750" i="1"/>
  <c r="B3750" i="1"/>
  <c r="A3750" i="1"/>
  <c r="D3752" i="1"/>
  <c r="B3752" i="1"/>
  <c r="A3752" i="1"/>
  <c r="D3749" i="1"/>
  <c r="B3749" i="1"/>
  <c r="A3749" i="1"/>
  <c r="D3753" i="1"/>
  <c r="B3753" i="1"/>
  <c r="A3753" i="1"/>
  <c r="D3754" i="1"/>
  <c r="B3754" i="1"/>
  <c r="A3754" i="1"/>
  <c r="D3757" i="1"/>
  <c r="B3757" i="1"/>
  <c r="A3757" i="1"/>
  <c r="D3756" i="1"/>
  <c r="B3756" i="1"/>
  <c r="A3756" i="1"/>
  <c r="D3745" i="1"/>
  <c r="B3745" i="1"/>
  <c r="A3745" i="1"/>
  <c r="D3751" i="1"/>
  <c r="B3751" i="1"/>
  <c r="A3751" i="1"/>
  <c r="D3747" i="1"/>
  <c r="A3747" i="1"/>
  <c r="D3741" i="1"/>
  <c r="B3741" i="1"/>
  <c r="A3741" i="1"/>
  <c r="D3742" i="1"/>
  <c r="C3742" i="1"/>
  <c r="B3742" i="1"/>
  <c r="A3742" i="1"/>
  <c r="D3743" i="1"/>
  <c r="B3743" i="1"/>
  <c r="A3743" i="1"/>
  <c r="D3740" i="1"/>
  <c r="C3740" i="1"/>
  <c r="B3740" i="1"/>
  <c r="A3740" i="1"/>
  <c r="D3739" i="1"/>
  <c r="C3739" i="1"/>
  <c r="B3739" i="1"/>
  <c r="A3739" i="1"/>
  <c r="D3738" i="1"/>
  <c r="C3738" i="1"/>
  <c r="B3738" i="1"/>
  <c r="A3738" i="1"/>
  <c r="D3736" i="1"/>
  <c r="B3736" i="1"/>
  <c r="A3736" i="1"/>
  <c r="D3737" i="1"/>
  <c r="B3737" i="1"/>
  <c r="A3737" i="1"/>
  <c r="D3735" i="1"/>
  <c r="B3735" i="1"/>
  <c r="A3735" i="1"/>
  <c r="D3734" i="1"/>
  <c r="B3734" i="1"/>
  <c r="A3734" i="1"/>
  <c r="D3733" i="1"/>
  <c r="B3733" i="1"/>
  <c r="A3733" i="1"/>
  <c r="D3726" i="1"/>
  <c r="B3726" i="1"/>
  <c r="A3726" i="1"/>
  <c r="D3727" i="1"/>
  <c r="B3727" i="1"/>
  <c r="A3727" i="1"/>
  <c r="D3728" i="1"/>
  <c r="B3728" i="1"/>
  <c r="A3728" i="1"/>
  <c r="D3722" i="1"/>
  <c r="B3722" i="1"/>
  <c r="A3722" i="1"/>
  <c r="D3731" i="1"/>
  <c r="B3731" i="1"/>
  <c r="A3731" i="1"/>
  <c r="D3723" i="1"/>
  <c r="C3723" i="1"/>
  <c r="B3723" i="1"/>
  <c r="A3723" i="1"/>
  <c r="D3729" i="1"/>
  <c r="C3729" i="1"/>
  <c r="B3729" i="1"/>
  <c r="A3729" i="1"/>
  <c r="D3732" i="1"/>
  <c r="C3732" i="1"/>
  <c r="B3732" i="1"/>
  <c r="A3732" i="1"/>
  <c r="D3725" i="1"/>
  <c r="A3725" i="1"/>
  <c r="D3721" i="1"/>
  <c r="B3721" i="1"/>
  <c r="A3721" i="1"/>
  <c r="D3730" i="1"/>
  <c r="B3730" i="1"/>
  <c r="A3730" i="1"/>
  <c r="D3724" i="1"/>
  <c r="B3724" i="1"/>
  <c r="A3724" i="1"/>
  <c r="D3720" i="1"/>
  <c r="A3720" i="1"/>
  <c r="D3719" i="1"/>
  <c r="B3719" i="1"/>
  <c r="A3719" i="1"/>
  <c r="D3717" i="1"/>
  <c r="C3717" i="1"/>
  <c r="B3717" i="1"/>
  <c r="A3717" i="1"/>
  <c r="D3718" i="1"/>
  <c r="C3718" i="1"/>
  <c r="B3718" i="1"/>
  <c r="A3718" i="1"/>
  <c r="D3716" i="1"/>
  <c r="B3716" i="1"/>
  <c r="A3716" i="1"/>
  <c r="D3715" i="1"/>
  <c r="B3715" i="1"/>
  <c r="A3715" i="1"/>
  <c r="D3714" i="1"/>
  <c r="B3714" i="1"/>
  <c r="A3714" i="1"/>
  <c r="D3713" i="1"/>
  <c r="B3713" i="1"/>
  <c r="A3713" i="1"/>
  <c r="D3712" i="1"/>
  <c r="A3712" i="1"/>
  <c r="D3711" i="1"/>
  <c r="A3711" i="1"/>
  <c r="D3710" i="1"/>
  <c r="C3710" i="1"/>
  <c r="B3710" i="1"/>
  <c r="A3710" i="1"/>
  <c r="D3709" i="1"/>
  <c r="B3709" i="1"/>
  <c r="A3709" i="1"/>
  <c r="D3705" i="1"/>
  <c r="B3705" i="1"/>
  <c r="A3705" i="1"/>
  <c r="D3706" i="1"/>
  <c r="B3706" i="1"/>
  <c r="A3706" i="1"/>
  <c r="D3704" i="1"/>
  <c r="B3704" i="1"/>
  <c r="A3704" i="1"/>
  <c r="D3701" i="1"/>
  <c r="B3701" i="1"/>
  <c r="A3701" i="1"/>
  <c r="D3700" i="1"/>
  <c r="B3700" i="1"/>
  <c r="A3700" i="1"/>
  <c r="D3702" i="1"/>
  <c r="B3702" i="1"/>
  <c r="A3702" i="1"/>
  <c r="D3708" i="1"/>
  <c r="B3708" i="1"/>
  <c r="A3708" i="1"/>
  <c r="D3703" i="1"/>
  <c r="B3703" i="1"/>
  <c r="A3703" i="1"/>
  <c r="D3707" i="1"/>
  <c r="B3707" i="1"/>
  <c r="A3707" i="1"/>
  <c r="D3699" i="1"/>
  <c r="B3699" i="1"/>
  <c r="A3699" i="1"/>
  <c r="D3698" i="1"/>
  <c r="A3698" i="1"/>
  <c r="D3697" i="1"/>
  <c r="B3697" i="1"/>
  <c r="A3697" i="1"/>
  <c r="D3694" i="1"/>
  <c r="C3694" i="1"/>
  <c r="B3694" i="1"/>
  <c r="A3694" i="1"/>
  <c r="D3693" i="1"/>
  <c r="B3693" i="1"/>
  <c r="A3693" i="1"/>
  <c r="D3695" i="1"/>
  <c r="B3695" i="1"/>
  <c r="A3695" i="1"/>
  <c r="D3696" i="1"/>
  <c r="B3696" i="1"/>
  <c r="A3696" i="1"/>
  <c r="D3690" i="1"/>
  <c r="B3690" i="1"/>
  <c r="A3690" i="1"/>
  <c r="D3691" i="1"/>
  <c r="B3691" i="1"/>
  <c r="A3691" i="1"/>
  <c r="D3692" i="1"/>
  <c r="B3692" i="1"/>
  <c r="A3692" i="1"/>
  <c r="D3689" i="1"/>
  <c r="B3689" i="1"/>
  <c r="A3689" i="1"/>
  <c r="D3687" i="1"/>
  <c r="B3687" i="1"/>
  <c r="A3687" i="1"/>
  <c r="D3686" i="1"/>
  <c r="B3686" i="1"/>
  <c r="A3686" i="1"/>
  <c r="D3688" i="1"/>
  <c r="B3688" i="1"/>
  <c r="A3688" i="1"/>
  <c r="D3685" i="1"/>
  <c r="C3685" i="1"/>
  <c r="B3685" i="1"/>
  <c r="A3685" i="1"/>
  <c r="D3684" i="1"/>
  <c r="B3684" i="1"/>
  <c r="A3684" i="1"/>
  <c r="D3683" i="1"/>
  <c r="B3683" i="1"/>
  <c r="A3683" i="1"/>
  <c r="D3682" i="1"/>
  <c r="B3682" i="1"/>
  <c r="A3682" i="1"/>
  <c r="D3681" i="1"/>
  <c r="B3681" i="1"/>
  <c r="A3681" i="1"/>
  <c r="D3680" i="1"/>
  <c r="B3680" i="1"/>
  <c r="A3680" i="1"/>
  <c r="D3679" i="1"/>
  <c r="B3679" i="1"/>
  <c r="A3679" i="1"/>
  <c r="D3678" i="1"/>
  <c r="B3678" i="1"/>
  <c r="A3678" i="1"/>
  <c r="D3677" i="1"/>
  <c r="B3677" i="1"/>
  <c r="A3677" i="1"/>
  <c r="D3676" i="1"/>
  <c r="C3676" i="1"/>
  <c r="B3676" i="1"/>
  <c r="A3676" i="1"/>
  <c r="D3675" i="1"/>
  <c r="C3675" i="1"/>
  <c r="B3675" i="1"/>
  <c r="A3675" i="1"/>
  <c r="D3673" i="1"/>
  <c r="B3673" i="1"/>
  <c r="A3673" i="1"/>
  <c r="D3674" i="1"/>
  <c r="B3674" i="1"/>
  <c r="A3674" i="1"/>
  <c r="D3672" i="1"/>
  <c r="B3672" i="1"/>
  <c r="A3672" i="1"/>
  <c r="D3668" i="1"/>
  <c r="B3668" i="1"/>
  <c r="A3668" i="1"/>
  <c r="D3670" i="1"/>
  <c r="C3670" i="1"/>
  <c r="B3670" i="1"/>
  <c r="A3670" i="1"/>
  <c r="D3669" i="1"/>
  <c r="C3669" i="1"/>
  <c r="B3669" i="1"/>
  <c r="A3669" i="1"/>
  <c r="D3671" i="1"/>
  <c r="A3671" i="1"/>
  <c r="D3663" i="1"/>
  <c r="C3663" i="1"/>
  <c r="B3663" i="1"/>
  <c r="A3663" i="1"/>
  <c r="D3665" i="1"/>
  <c r="B3665" i="1"/>
  <c r="A3665" i="1"/>
  <c r="D3664" i="1"/>
  <c r="B3664" i="1"/>
  <c r="A3664" i="1"/>
  <c r="D3667" i="1"/>
  <c r="B3667" i="1"/>
  <c r="A3667" i="1"/>
  <c r="D3662" i="1"/>
  <c r="B3662" i="1"/>
  <c r="A3662" i="1"/>
  <c r="D3666" i="1"/>
  <c r="B3666" i="1"/>
  <c r="A3666" i="1"/>
  <c r="D3661" i="1"/>
  <c r="B3661" i="1"/>
  <c r="A3661" i="1"/>
  <c r="D3660" i="1"/>
  <c r="B3660" i="1"/>
  <c r="A3660" i="1"/>
  <c r="D3658" i="1"/>
  <c r="B3658" i="1"/>
  <c r="A3658" i="1"/>
  <c r="D3659" i="1"/>
  <c r="B3659" i="1"/>
  <c r="A3659" i="1"/>
  <c r="D3656" i="1"/>
  <c r="C3656" i="1"/>
  <c r="B3656" i="1"/>
  <c r="A3656" i="1"/>
  <c r="D3657" i="1"/>
  <c r="B3657" i="1"/>
  <c r="A3657" i="1"/>
  <c r="D3655" i="1"/>
  <c r="B3655" i="1"/>
  <c r="A3655" i="1"/>
  <c r="D3654" i="1"/>
  <c r="B3654" i="1"/>
  <c r="A3654" i="1"/>
  <c r="D3653" i="1"/>
  <c r="B3653" i="1"/>
  <c r="A3653" i="1"/>
  <c r="D3652" i="1"/>
  <c r="B3652" i="1"/>
  <c r="A3652" i="1"/>
  <c r="D3651" i="1"/>
  <c r="B3651" i="1"/>
  <c r="A3651" i="1"/>
  <c r="D3650" i="1"/>
  <c r="B3650" i="1"/>
  <c r="A3650" i="1"/>
  <c r="D3648" i="1"/>
  <c r="C3648" i="1"/>
  <c r="B3648" i="1"/>
  <c r="A3648" i="1"/>
  <c r="D3649" i="1"/>
  <c r="B3649" i="1"/>
  <c r="A3649" i="1"/>
  <c r="D3647" i="1"/>
  <c r="B3647" i="1"/>
  <c r="A3647" i="1"/>
  <c r="D3646" i="1"/>
  <c r="C3646" i="1"/>
  <c r="B3646" i="1"/>
  <c r="A3646" i="1"/>
  <c r="D3645" i="1"/>
  <c r="C3645" i="1"/>
  <c r="B3645" i="1"/>
  <c r="A3645" i="1"/>
  <c r="D3644" i="1"/>
  <c r="B3644" i="1"/>
  <c r="A3644" i="1"/>
  <c r="D3643" i="1"/>
  <c r="B3643" i="1"/>
  <c r="A3643" i="1"/>
  <c r="D3642" i="1"/>
  <c r="B3642" i="1"/>
  <c r="A3642" i="1"/>
  <c r="D3641" i="1"/>
  <c r="B3641" i="1"/>
  <c r="A3641" i="1"/>
  <c r="D3640" i="1"/>
  <c r="B3640" i="1"/>
  <c r="A3640" i="1"/>
  <c r="D3639" i="1"/>
  <c r="B3639" i="1"/>
  <c r="A3639" i="1"/>
  <c r="D3638" i="1"/>
  <c r="B3638" i="1"/>
  <c r="A3638" i="1"/>
  <c r="D3637" i="1"/>
  <c r="B3637" i="1"/>
  <c r="A3637" i="1"/>
  <c r="D3636" i="1"/>
  <c r="C3636" i="1"/>
  <c r="B3636" i="1"/>
  <c r="A3636" i="1"/>
  <c r="D3635" i="1"/>
  <c r="B3635" i="1"/>
  <c r="A3635" i="1"/>
  <c r="D3634" i="1"/>
  <c r="B3634" i="1"/>
  <c r="A3634" i="1"/>
  <c r="D3631" i="1"/>
  <c r="B3631" i="1"/>
  <c r="A3631" i="1"/>
  <c r="D3632" i="1"/>
  <c r="C3632" i="1"/>
  <c r="B3632" i="1"/>
  <c r="A3632" i="1"/>
  <c r="D3633" i="1"/>
  <c r="B3633" i="1"/>
  <c r="A3633" i="1"/>
  <c r="D3630" i="1"/>
  <c r="B3630" i="1"/>
  <c r="A3630" i="1"/>
  <c r="D3628" i="1"/>
  <c r="B3628" i="1"/>
  <c r="A3628" i="1"/>
  <c r="D3629" i="1"/>
  <c r="B3629" i="1"/>
  <c r="A3629" i="1"/>
  <c r="D3627" i="1"/>
  <c r="B3627" i="1"/>
  <c r="A3627" i="1"/>
  <c r="D3625" i="1"/>
  <c r="B3625" i="1"/>
  <c r="A3625" i="1"/>
  <c r="D3626" i="1"/>
  <c r="B3626" i="1"/>
  <c r="A3626" i="1"/>
  <c r="D3624" i="1"/>
  <c r="C3624" i="1"/>
  <c r="B3624" i="1"/>
  <c r="A3624" i="1"/>
  <c r="D3621" i="1"/>
  <c r="B3621" i="1"/>
  <c r="A3621" i="1"/>
  <c r="D3623" i="1"/>
  <c r="C3623" i="1"/>
  <c r="B3623" i="1"/>
  <c r="A3623" i="1"/>
  <c r="D3622" i="1"/>
  <c r="B3622" i="1"/>
  <c r="A3622" i="1"/>
  <c r="D3618" i="1"/>
  <c r="C3618" i="1"/>
  <c r="B3618" i="1"/>
  <c r="A3618" i="1"/>
  <c r="D3619" i="1"/>
  <c r="B3619" i="1"/>
  <c r="A3619" i="1"/>
  <c r="D3620" i="1"/>
  <c r="B3620" i="1"/>
  <c r="A3620" i="1"/>
  <c r="D3617" i="1"/>
  <c r="B3617" i="1"/>
  <c r="A3617" i="1"/>
  <c r="D3615" i="1"/>
  <c r="C3615" i="1"/>
  <c r="B3615" i="1"/>
  <c r="A3615" i="1"/>
  <c r="D3616" i="1"/>
  <c r="C3616" i="1"/>
  <c r="B3616" i="1"/>
  <c r="A3616" i="1"/>
  <c r="D3614" i="1"/>
  <c r="B3614" i="1"/>
  <c r="A3614" i="1"/>
  <c r="D3613" i="1"/>
  <c r="C3613" i="1"/>
  <c r="B3613" i="1"/>
  <c r="A3613" i="1"/>
  <c r="D3610" i="1"/>
  <c r="B3610" i="1"/>
  <c r="A3610" i="1"/>
  <c r="D3612" i="1"/>
  <c r="C3612" i="1"/>
  <c r="B3612" i="1"/>
  <c r="A3612" i="1"/>
  <c r="D3611" i="1"/>
  <c r="C3611" i="1"/>
  <c r="B3611" i="1"/>
  <c r="A3611" i="1"/>
  <c r="D3609" i="1"/>
  <c r="C3609" i="1"/>
  <c r="B3609" i="1"/>
  <c r="A3609" i="1"/>
  <c r="D3608" i="1"/>
  <c r="B3608" i="1"/>
  <c r="A3608" i="1"/>
  <c r="D3606" i="1"/>
  <c r="C3606" i="1"/>
  <c r="B3606" i="1"/>
  <c r="A3606" i="1"/>
  <c r="D3602" i="1"/>
  <c r="B3602" i="1"/>
  <c r="A3602" i="1"/>
  <c r="D3607" i="1"/>
  <c r="B3607" i="1"/>
  <c r="A3607" i="1"/>
  <c r="D3605" i="1"/>
  <c r="B3605" i="1"/>
  <c r="A3605" i="1"/>
  <c r="D3603" i="1"/>
  <c r="B3603" i="1"/>
  <c r="A3603" i="1"/>
  <c r="D3604" i="1"/>
  <c r="C3604" i="1"/>
  <c r="B3604" i="1"/>
  <c r="A3604" i="1"/>
  <c r="D3601" i="1"/>
  <c r="B3601" i="1"/>
  <c r="A3601" i="1"/>
  <c r="D3600" i="1"/>
  <c r="B3600" i="1"/>
  <c r="A3600" i="1"/>
  <c r="D3599" i="1"/>
  <c r="B3599" i="1"/>
  <c r="A3599" i="1"/>
  <c r="D3597" i="1"/>
  <c r="B3597" i="1"/>
  <c r="A3597" i="1"/>
  <c r="D3596" i="1"/>
  <c r="C3596" i="1"/>
  <c r="B3596" i="1"/>
  <c r="A3596" i="1"/>
  <c r="D3598" i="1"/>
  <c r="B3598" i="1"/>
  <c r="A3598" i="1"/>
  <c r="D3589" i="1"/>
  <c r="A3589" i="1"/>
  <c r="D3595" i="1"/>
  <c r="B3595" i="1"/>
  <c r="A3595" i="1"/>
  <c r="D3593" i="1"/>
  <c r="C3593" i="1"/>
  <c r="B3593" i="1"/>
  <c r="A3593" i="1"/>
  <c r="D3592" i="1"/>
  <c r="B3592" i="1"/>
  <c r="A3592" i="1"/>
  <c r="D3586" i="1"/>
  <c r="C3586" i="1"/>
  <c r="B3586" i="1"/>
  <c r="A3586" i="1"/>
  <c r="D3587" i="1"/>
  <c r="C3587" i="1"/>
  <c r="B3587" i="1"/>
  <c r="A3587" i="1"/>
  <c r="D3588" i="1"/>
  <c r="B3588" i="1"/>
  <c r="A3588" i="1"/>
  <c r="D3594" i="1"/>
  <c r="B3594" i="1"/>
  <c r="A3594" i="1"/>
  <c r="D3591" i="1"/>
  <c r="B3591" i="1"/>
  <c r="A3591" i="1"/>
  <c r="D3590" i="1"/>
  <c r="B3590" i="1"/>
  <c r="A3590" i="1"/>
  <c r="D3584" i="1"/>
  <c r="A3584" i="1"/>
  <c r="D3585" i="1"/>
  <c r="B3585" i="1"/>
  <c r="A3585" i="1"/>
  <c r="D3583" i="1"/>
  <c r="B3583" i="1"/>
  <c r="A3583" i="1"/>
  <c r="D3582" i="1"/>
  <c r="C3582" i="1"/>
  <c r="B3582" i="1"/>
  <c r="A3582" i="1"/>
  <c r="D3579" i="1"/>
  <c r="A3579" i="1"/>
  <c r="D3575" i="1"/>
  <c r="B3575" i="1"/>
  <c r="A3575" i="1"/>
  <c r="D3576" i="1"/>
  <c r="C3576" i="1"/>
  <c r="B3576" i="1"/>
  <c r="A3576" i="1"/>
  <c r="D3578" i="1"/>
  <c r="C3578" i="1"/>
  <c r="B3578" i="1"/>
  <c r="A3578" i="1"/>
  <c r="D3581" i="1"/>
  <c r="C3581" i="1"/>
  <c r="B3581" i="1"/>
  <c r="A3581" i="1"/>
  <c r="D3580" i="1"/>
  <c r="B3580" i="1"/>
  <c r="A3580" i="1"/>
  <c r="D3577" i="1"/>
  <c r="B3577" i="1"/>
  <c r="A3577" i="1"/>
  <c r="D3574" i="1"/>
  <c r="B3574" i="1"/>
  <c r="A3574" i="1"/>
  <c r="D3573" i="1"/>
  <c r="B3573" i="1"/>
  <c r="A3573" i="1"/>
  <c r="D3572" i="1"/>
  <c r="C3572" i="1"/>
  <c r="B3572" i="1"/>
  <c r="A3572" i="1"/>
  <c r="D3570" i="1"/>
  <c r="C3570" i="1"/>
  <c r="B3570" i="1"/>
  <c r="A3570" i="1"/>
  <c r="D3571" i="1"/>
  <c r="B3571" i="1"/>
  <c r="A3571" i="1"/>
  <c r="D3569" i="1"/>
  <c r="A3569" i="1"/>
  <c r="D3562" i="1"/>
  <c r="B3562" i="1"/>
  <c r="A3562" i="1"/>
  <c r="D3560" i="1"/>
  <c r="B3560" i="1"/>
  <c r="A3560" i="1"/>
  <c r="D3564" i="1"/>
  <c r="C3564" i="1"/>
  <c r="B3564" i="1"/>
  <c r="A3564" i="1"/>
  <c r="D3567" i="1"/>
  <c r="B3567" i="1"/>
  <c r="A3567" i="1"/>
  <c r="D3559" i="1"/>
  <c r="C3559" i="1"/>
  <c r="B3559" i="1"/>
  <c r="A3559" i="1"/>
  <c r="D3561" i="1"/>
  <c r="B3561" i="1"/>
  <c r="A3561" i="1"/>
  <c r="D3563" i="1"/>
  <c r="B3563" i="1"/>
  <c r="A3563" i="1"/>
  <c r="D3565" i="1"/>
  <c r="B3565" i="1"/>
  <c r="A3565" i="1"/>
  <c r="D3568" i="1"/>
  <c r="B3568" i="1"/>
  <c r="A3568" i="1"/>
  <c r="D3566" i="1"/>
  <c r="B3566" i="1"/>
  <c r="A3566" i="1"/>
  <c r="D3554" i="1"/>
  <c r="B3554" i="1"/>
  <c r="A3554" i="1"/>
  <c r="D3555" i="1"/>
  <c r="C3555" i="1"/>
  <c r="B3555" i="1"/>
  <c r="A3555" i="1"/>
  <c r="D3557" i="1"/>
  <c r="C3557" i="1"/>
  <c r="B3557" i="1"/>
  <c r="A3557" i="1"/>
  <c r="D3552" i="1"/>
  <c r="B3552" i="1"/>
  <c r="A3552" i="1"/>
  <c r="D3558" i="1"/>
  <c r="C3558" i="1"/>
  <c r="B3558" i="1"/>
  <c r="A3558" i="1"/>
  <c r="D3556" i="1"/>
  <c r="B3556" i="1"/>
  <c r="A3556" i="1"/>
  <c r="D3553" i="1"/>
  <c r="B3553" i="1"/>
  <c r="A3553" i="1"/>
  <c r="D3551" i="1"/>
  <c r="B3551" i="1"/>
  <c r="A3551" i="1"/>
  <c r="D3550" i="1"/>
  <c r="A3550" i="1"/>
  <c r="D3549" i="1"/>
  <c r="C3549" i="1"/>
  <c r="B3549" i="1"/>
  <c r="A3549" i="1"/>
  <c r="D3548" i="1"/>
  <c r="B3548" i="1"/>
  <c r="A3548" i="1"/>
  <c r="D3547" i="1"/>
  <c r="B3547" i="1"/>
  <c r="A3547" i="1"/>
  <c r="D3546" i="1"/>
  <c r="B3546" i="1"/>
  <c r="A3546" i="1"/>
  <c r="D3545" i="1"/>
  <c r="B3545" i="1"/>
  <c r="A3545" i="1"/>
  <c r="D3531" i="1"/>
  <c r="A3531" i="1"/>
  <c r="D3542" i="1"/>
  <c r="B3542" i="1"/>
  <c r="A3542" i="1"/>
  <c r="D3534" i="1"/>
  <c r="B3534" i="1"/>
  <c r="A3534" i="1"/>
  <c r="D3539" i="1"/>
  <c r="C3539" i="1"/>
  <c r="B3539" i="1"/>
  <c r="A3539" i="1"/>
  <c r="D3540" i="1"/>
  <c r="C3540" i="1"/>
  <c r="B3540" i="1"/>
  <c r="A3540" i="1"/>
  <c r="D3538" i="1"/>
  <c r="B3538" i="1"/>
  <c r="A3538" i="1"/>
  <c r="D3536" i="1"/>
  <c r="C3536" i="1"/>
  <c r="B3536" i="1"/>
  <c r="A3536" i="1"/>
  <c r="D3544" i="1"/>
  <c r="B3544" i="1"/>
  <c r="A3544" i="1"/>
  <c r="D3535" i="1"/>
  <c r="B3535" i="1"/>
  <c r="A3535" i="1"/>
  <c r="D3537" i="1"/>
  <c r="B3537" i="1"/>
  <c r="A3537" i="1"/>
  <c r="D3533" i="1"/>
  <c r="B3533" i="1"/>
  <c r="A3533" i="1"/>
  <c r="D3532" i="1"/>
  <c r="B3532" i="1"/>
  <c r="A3532" i="1"/>
  <c r="D3543" i="1"/>
  <c r="B3543" i="1"/>
  <c r="A3543" i="1"/>
  <c r="D3541" i="1"/>
  <c r="B3541" i="1"/>
  <c r="A3541" i="1"/>
  <c r="D3530" i="1"/>
  <c r="C3530" i="1"/>
  <c r="B3530" i="1"/>
  <c r="A3530" i="1"/>
  <c r="D3529" i="1"/>
  <c r="B3529" i="1"/>
  <c r="A3529" i="1"/>
  <c r="D3528" i="1"/>
  <c r="B3528" i="1"/>
  <c r="A3528" i="1"/>
  <c r="D3525" i="1"/>
  <c r="A3525" i="1"/>
  <c r="D3526" i="1"/>
  <c r="B3526" i="1"/>
  <c r="A3526" i="1"/>
  <c r="D3527" i="1"/>
  <c r="C3527" i="1"/>
  <c r="B3527" i="1"/>
  <c r="A3527" i="1"/>
  <c r="D3524" i="1"/>
  <c r="B3524" i="1"/>
  <c r="A3524" i="1"/>
  <c r="D3523" i="1"/>
  <c r="B3523" i="1"/>
  <c r="A3523" i="1"/>
  <c r="D3521" i="1"/>
  <c r="B3521" i="1"/>
  <c r="A3521" i="1"/>
  <c r="D3522" i="1"/>
  <c r="C3522" i="1"/>
  <c r="B3522" i="1"/>
  <c r="A3522" i="1"/>
  <c r="D3515" i="1"/>
  <c r="B3515" i="1"/>
  <c r="A3515" i="1"/>
  <c r="D3514" i="1"/>
  <c r="B3514" i="1"/>
  <c r="A3514" i="1"/>
  <c r="D3513" i="1"/>
  <c r="B3513" i="1"/>
  <c r="A3513" i="1"/>
  <c r="D3519" i="1"/>
  <c r="B3519" i="1"/>
  <c r="A3519" i="1"/>
  <c r="D3518" i="1"/>
  <c r="C3518" i="1"/>
  <c r="B3518" i="1"/>
  <c r="A3518" i="1"/>
  <c r="D3517" i="1"/>
  <c r="C3517" i="1"/>
  <c r="B3517" i="1"/>
  <c r="A3517" i="1"/>
  <c r="D3511" i="1"/>
  <c r="C3511" i="1"/>
  <c r="B3511" i="1"/>
  <c r="A3511" i="1"/>
  <c r="D3512" i="1"/>
  <c r="B3512" i="1"/>
  <c r="A3512" i="1"/>
  <c r="D3516" i="1"/>
  <c r="B3516" i="1"/>
  <c r="A3516" i="1"/>
  <c r="D3520" i="1"/>
  <c r="A3520" i="1"/>
  <c r="D3510" i="1"/>
  <c r="C3510" i="1"/>
  <c r="B3510" i="1"/>
  <c r="A3510" i="1"/>
  <c r="D3509" i="1"/>
  <c r="B3509" i="1"/>
  <c r="A3509" i="1"/>
  <c r="D3508" i="1"/>
  <c r="B3508" i="1"/>
  <c r="A3508" i="1"/>
  <c r="D3507" i="1"/>
  <c r="B3507" i="1"/>
  <c r="A3507" i="1"/>
  <c r="D3505" i="1"/>
  <c r="B3505" i="1"/>
  <c r="A3505" i="1"/>
  <c r="D3506" i="1"/>
  <c r="B3506" i="1"/>
  <c r="A3506" i="1"/>
  <c r="D3504" i="1"/>
  <c r="C3504" i="1"/>
  <c r="B3504" i="1"/>
  <c r="A3504" i="1"/>
  <c r="D3503" i="1"/>
  <c r="C3503" i="1"/>
  <c r="B3503" i="1"/>
  <c r="A3503" i="1"/>
  <c r="D3502" i="1"/>
  <c r="B3502" i="1"/>
  <c r="A3502" i="1"/>
  <c r="D3501" i="1"/>
  <c r="B3501" i="1"/>
  <c r="A3501" i="1"/>
  <c r="D3500" i="1"/>
  <c r="B3500" i="1"/>
  <c r="A3500" i="1"/>
  <c r="D3498" i="1"/>
  <c r="B3498" i="1"/>
  <c r="A3498" i="1"/>
  <c r="D3499" i="1"/>
  <c r="B3499" i="1"/>
  <c r="A3499" i="1"/>
  <c r="D3497" i="1"/>
  <c r="B3497" i="1"/>
  <c r="A3497" i="1"/>
  <c r="D3496" i="1"/>
  <c r="B3496" i="1"/>
  <c r="A3496" i="1"/>
  <c r="D3495" i="1"/>
  <c r="B3495" i="1"/>
  <c r="A3495" i="1"/>
  <c r="D3494" i="1"/>
  <c r="B3494" i="1"/>
  <c r="A3494" i="1"/>
  <c r="D3493" i="1"/>
  <c r="C3493" i="1"/>
  <c r="B3493" i="1"/>
  <c r="A3493" i="1"/>
  <c r="D3491" i="1"/>
  <c r="B3491" i="1"/>
  <c r="A3491" i="1"/>
  <c r="D3492" i="1"/>
  <c r="C3492" i="1"/>
  <c r="B3492" i="1"/>
  <c r="A3492" i="1"/>
  <c r="D3490" i="1"/>
  <c r="B3490" i="1"/>
  <c r="A3490" i="1"/>
  <c r="D3489" i="1"/>
  <c r="B3489" i="1"/>
  <c r="A3489" i="1"/>
  <c r="D3487" i="1"/>
  <c r="B3487" i="1"/>
  <c r="A3487" i="1"/>
  <c r="D3488" i="1"/>
  <c r="B3488" i="1"/>
  <c r="A3488" i="1"/>
  <c r="D3486" i="1"/>
  <c r="B3486" i="1"/>
  <c r="A3486" i="1"/>
  <c r="D3484" i="1"/>
  <c r="B3484" i="1"/>
  <c r="A3484" i="1"/>
  <c r="D3485" i="1"/>
  <c r="B3485" i="1"/>
  <c r="A3485" i="1"/>
  <c r="D3479" i="1"/>
  <c r="B3479" i="1"/>
  <c r="A3479" i="1"/>
  <c r="D3483" i="1"/>
  <c r="B3483" i="1"/>
  <c r="A3483" i="1"/>
  <c r="D3480" i="1"/>
  <c r="B3480" i="1"/>
  <c r="A3480" i="1"/>
  <c r="D3482" i="1"/>
  <c r="B3482" i="1"/>
  <c r="A3482" i="1"/>
  <c r="D3481" i="1"/>
  <c r="B3481" i="1"/>
  <c r="A3481" i="1"/>
  <c r="D3478" i="1"/>
  <c r="B3478" i="1"/>
  <c r="A3478" i="1"/>
  <c r="D3477" i="1"/>
  <c r="C3477" i="1"/>
  <c r="B3477" i="1"/>
  <c r="A3477" i="1"/>
  <c r="D3476" i="1"/>
  <c r="C3476" i="1"/>
  <c r="B3476" i="1"/>
  <c r="A3476" i="1"/>
  <c r="D3475" i="1"/>
  <c r="C3475" i="1"/>
  <c r="B3475" i="1"/>
  <c r="A3475" i="1"/>
  <c r="D3474" i="1"/>
  <c r="B3474" i="1"/>
  <c r="A3474" i="1"/>
  <c r="D3473" i="1"/>
  <c r="C3473" i="1"/>
  <c r="B3473" i="1"/>
  <c r="A3473" i="1"/>
  <c r="D3471" i="1"/>
  <c r="B3471" i="1"/>
  <c r="A3471" i="1"/>
  <c r="D3472" i="1"/>
  <c r="B3472" i="1"/>
  <c r="A3472" i="1"/>
  <c r="D3468" i="1"/>
  <c r="B3468" i="1"/>
  <c r="A3468" i="1"/>
  <c r="D3467" i="1"/>
  <c r="B3467" i="1"/>
  <c r="A3467" i="1"/>
  <c r="D3469" i="1"/>
  <c r="C3469" i="1"/>
  <c r="B3469" i="1"/>
  <c r="A3469" i="1"/>
  <c r="D3466" i="1"/>
  <c r="C3466" i="1"/>
  <c r="B3466" i="1"/>
  <c r="A3466" i="1"/>
  <c r="D3470" i="1"/>
  <c r="B3470" i="1"/>
  <c r="A3470" i="1"/>
  <c r="D3465" i="1"/>
  <c r="B3465" i="1"/>
  <c r="A3465" i="1"/>
  <c r="D3463" i="1"/>
  <c r="B3463" i="1"/>
  <c r="A3463" i="1"/>
  <c r="D3464" i="1"/>
  <c r="C3464" i="1"/>
  <c r="B3464" i="1"/>
  <c r="A3464" i="1"/>
  <c r="D3462" i="1"/>
  <c r="B3462" i="1"/>
  <c r="A3462" i="1"/>
  <c r="D3460" i="1"/>
  <c r="B3460" i="1"/>
  <c r="A3460" i="1"/>
  <c r="D3459" i="1"/>
  <c r="C3459" i="1"/>
  <c r="B3459" i="1"/>
  <c r="A3459" i="1"/>
  <c r="D3461" i="1"/>
  <c r="B3461" i="1"/>
  <c r="A3461" i="1"/>
  <c r="D3457" i="1"/>
  <c r="B3457" i="1"/>
  <c r="A3457" i="1"/>
  <c r="D3458" i="1"/>
  <c r="B3458" i="1"/>
  <c r="A3458" i="1"/>
  <c r="D3456" i="1"/>
  <c r="B3456" i="1"/>
  <c r="A3456" i="1"/>
  <c r="D3453" i="1"/>
  <c r="C3453" i="1"/>
  <c r="B3453" i="1"/>
  <c r="A3453" i="1"/>
  <c r="D3455" i="1"/>
  <c r="B3455" i="1"/>
  <c r="A3455" i="1"/>
  <c r="D3452" i="1"/>
  <c r="B3452" i="1"/>
  <c r="A3452" i="1"/>
  <c r="D3454" i="1"/>
  <c r="B3454" i="1"/>
  <c r="A3454" i="1"/>
  <c r="D3451" i="1"/>
  <c r="B3451" i="1"/>
  <c r="A3451" i="1"/>
  <c r="D3448" i="1"/>
  <c r="B3448" i="1"/>
  <c r="A3448" i="1"/>
  <c r="D3447" i="1"/>
  <c r="B3447" i="1"/>
  <c r="A3447" i="1"/>
  <c r="D3449" i="1"/>
  <c r="B3449" i="1"/>
  <c r="A3449" i="1"/>
  <c r="D3450" i="1"/>
  <c r="B3450" i="1"/>
  <c r="A3450" i="1"/>
  <c r="D3444" i="1"/>
  <c r="C3444" i="1"/>
  <c r="B3444" i="1"/>
  <c r="A3444" i="1"/>
  <c r="D3446" i="1"/>
  <c r="C3446" i="1"/>
  <c r="B3446" i="1"/>
  <c r="A3446" i="1"/>
  <c r="D3443" i="1"/>
  <c r="B3443" i="1"/>
  <c r="A3443" i="1"/>
  <c r="D3445" i="1"/>
  <c r="B3445" i="1"/>
  <c r="A3445" i="1"/>
  <c r="D3442" i="1"/>
  <c r="B3442" i="1"/>
  <c r="A3442" i="1"/>
  <c r="D3439" i="1"/>
  <c r="B3439" i="1"/>
  <c r="A3439" i="1"/>
  <c r="D3438" i="1"/>
  <c r="B3438" i="1"/>
  <c r="A3438" i="1"/>
  <c r="D3440" i="1"/>
  <c r="B3440" i="1"/>
  <c r="A3440" i="1"/>
  <c r="D3441" i="1"/>
  <c r="B3441" i="1"/>
  <c r="A3441" i="1"/>
  <c r="D3437" i="1"/>
  <c r="C3437" i="1"/>
  <c r="B3437" i="1"/>
  <c r="A3437" i="1"/>
  <c r="D3436" i="1"/>
  <c r="B3436" i="1"/>
  <c r="A3436" i="1"/>
  <c r="D3435" i="1"/>
  <c r="A3435" i="1"/>
  <c r="D3434" i="1"/>
  <c r="B3434" i="1"/>
  <c r="A3434" i="1"/>
  <c r="D3433" i="1"/>
  <c r="B3433" i="1"/>
  <c r="A3433" i="1"/>
  <c r="D3431" i="1"/>
  <c r="B3431" i="1"/>
  <c r="A3431" i="1"/>
  <c r="D3432" i="1"/>
  <c r="B3432" i="1"/>
  <c r="A3432" i="1"/>
  <c r="D3430" i="1"/>
  <c r="B3430" i="1"/>
  <c r="A3430" i="1"/>
  <c r="D3429" i="1"/>
  <c r="B3429" i="1"/>
  <c r="A3429" i="1"/>
  <c r="D3428" i="1"/>
  <c r="B3428" i="1"/>
  <c r="A3428" i="1"/>
  <c r="D3425" i="1"/>
  <c r="B3425" i="1"/>
  <c r="A3425" i="1"/>
  <c r="D3426" i="1"/>
  <c r="B3426" i="1"/>
  <c r="A3426" i="1"/>
  <c r="D3427" i="1"/>
  <c r="B3427" i="1"/>
  <c r="A3427" i="1"/>
  <c r="D3424" i="1"/>
  <c r="B3424" i="1"/>
  <c r="A3424" i="1"/>
  <c r="D3423" i="1"/>
  <c r="B3423" i="1"/>
  <c r="A3423" i="1"/>
  <c r="D3422" i="1"/>
  <c r="B3422" i="1"/>
  <c r="A3422" i="1"/>
  <c r="D3421" i="1"/>
  <c r="C3421" i="1"/>
  <c r="B3421" i="1"/>
  <c r="A3421" i="1"/>
  <c r="D3419" i="1"/>
  <c r="B3419" i="1"/>
  <c r="A3419" i="1"/>
  <c r="D3420" i="1"/>
  <c r="B3420" i="1"/>
  <c r="A3420" i="1"/>
  <c r="D3416" i="1"/>
  <c r="C3416" i="1"/>
  <c r="B3416" i="1"/>
  <c r="A3416" i="1"/>
  <c r="D3415" i="1"/>
  <c r="C3415" i="1"/>
  <c r="B3415" i="1"/>
  <c r="A3415" i="1"/>
  <c r="D3414" i="1"/>
  <c r="B3414" i="1"/>
  <c r="A3414" i="1"/>
  <c r="D3418" i="1"/>
  <c r="C3418" i="1"/>
  <c r="B3418" i="1"/>
  <c r="A3418" i="1"/>
  <c r="D3413" i="1"/>
  <c r="B3413" i="1"/>
  <c r="A3413" i="1"/>
  <c r="D3417" i="1"/>
  <c r="B3417" i="1"/>
  <c r="A3417" i="1"/>
  <c r="D3412" i="1"/>
  <c r="B3412" i="1"/>
  <c r="A3412" i="1"/>
  <c r="D3406" i="1"/>
  <c r="C3406" i="1"/>
  <c r="B3406" i="1"/>
  <c r="A3406" i="1"/>
  <c r="D3407" i="1"/>
  <c r="B3407" i="1"/>
  <c r="A3407" i="1"/>
  <c r="D3410" i="1"/>
  <c r="B3410" i="1"/>
  <c r="A3410" i="1"/>
  <c r="D3409" i="1"/>
  <c r="B3409" i="1"/>
  <c r="A3409" i="1"/>
  <c r="D3411" i="1"/>
  <c r="B3411" i="1"/>
  <c r="A3411" i="1"/>
  <c r="D3408" i="1"/>
  <c r="B3408" i="1"/>
  <c r="A3408" i="1"/>
  <c r="D3405" i="1"/>
  <c r="C3405" i="1"/>
  <c r="B3405" i="1"/>
  <c r="A3405" i="1"/>
  <c r="D3404" i="1"/>
  <c r="B3404" i="1"/>
  <c r="A3404" i="1"/>
  <c r="D3403" i="1"/>
  <c r="B3403" i="1"/>
  <c r="A3403" i="1"/>
  <c r="D3402" i="1"/>
  <c r="B3402" i="1"/>
  <c r="A3402" i="1"/>
  <c r="D3400" i="1"/>
  <c r="B3400" i="1"/>
  <c r="A3400" i="1"/>
  <c r="D3392" i="1"/>
  <c r="B3392" i="1"/>
  <c r="A3392" i="1"/>
  <c r="D3401" i="1"/>
  <c r="B3401" i="1"/>
  <c r="A3401" i="1"/>
  <c r="D3394" i="1"/>
  <c r="B3394" i="1"/>
  <c r="A3394" i="1"/>
  <c r="D3393" i="1"/>
  <c r="B3393" i="1"/>
  <c r="A3393" i="1"/>
  <c r="D3398" i="1"/>
  <c r="B3398" i="1"/>
  <c r="A3398" i="1"/>
  <c r="D3399" i="1"/>
  <c r="B3399" i="1"/>
  <c r="A3399" i="1"/>
  <c r="D3397" i="1"/>
  <c r="B3397" i="1"/>
  <c r="A3397" i="1"/>
  <c r="D3396" i="1"/>
  <c r="B3396" i="1"/>
  <c r="A3396" i="1"/>
  <c r="D3391" i="1"/>
  <c r="C3391" i="1"/>
  <c r="B3391" i="1"/>
  <c r="A3391" i="1"/>
  <c r="D3395" i="1"/>
  <c r="B3395" i="1"/>
  <c r="A3395" i="1"/>
  <c r="D3386" i="1"/>
  <c r="A3386" i="1"/>
  <c r="D3388" i="1"/>
  <c r="C3388" i="1"/>
  <c r="B3388" i="1"/>
  <c r="A3388" i="1"/>
  <c r="D3390" i="1"/>
  <c r="B3390" i="1"/>
  <c r="A3390" i="1"/>
  <c r="D3389" i="1"/>
  <c r="C3389" i="1"/>
  <c r="B3389" i="1"/>
  <c r="A3389" i="1"/>
  <c r="D3387" i="1"/>
  <c r="B3387" i="1"/>
  <c r="A3387" i="1"/>
  <c r="D3385" i="1"/>
  <c r="B3385" i="1"/>
  <c r="A3385" i="1"/>
  <c r="D3384" i="1"/>
  <c r="B3384" i="1"/>
  <c r="A3384" i="1"/>
  <c r="D3383" i="1"/>
  <c r="C3383" i="1"/>
  <c r="B3383" i="1"/>
  <c r="A3383" i="1"/>
  <c r="D3382" i="1"/>
  <c r="B3382" i="1"/>
  <c r="A3382" i="1"/>
  <c r="D3381" i="1"/>
  <c r="B3381" i="1"/>
  <c r="A3381" i="1"/>
  <c r="D3380" i="1"/>
  <c r="B3380" i="1"/>
  <c r="A3380" i="1"/>
  <c r="D3379" i="1"/>
  <c r="B3379" i="1"/>
  <c r="A3379" i="1"/>
  <c r="D3378" i="1"/>
  <c r="B3378" i="1"/>
  <c r="A3378" i="1"/>
  <c r="D3376" i="1"/>
  <c r="B3376" i="1"/>
  <c r="A3376" i="1"/>
  <c r="D3377" i="1"/>
  <c r="A3377" i="1"/>
  <c r="D3375" i="1"/>
  <c r="B3375" i="1"/>
  <c r="A3375" i="1"/>
  <c r="D3374" i="1"/>
  <c r="B3374" i="1"/>
  <c r="A3374" i="1"/>
  <c r="D3373" i="1"/>
  <c r="B3373" i="1"/>
  <c r="A3373" i="1"/>
  <c r="D3372" i="1"/>
  <c r="C3372" i="1"/>
  <c r="B3372" i="1"/>
  <c r="A3372" i="1"/>
  <c r="D3371" i="1"/>
  <c r="C3371" i="1"/>
  <c r="B3371" i="1"/>
  <c r="A3371" i="1"/>
  <c r="D3370" i="1"/>
  <c r="C3370" i="1"/>
  <c r="B3370" i="1"/>
  <c r="A3370" i="1"/>
  <c r="D3368" i="1"/>
  <c r="B3368" i="1"/>
  <c r="A3368" i="1"/>
  <c r="D3367" i="1"/>
  <c r="C3367" i="1"/>
  <c r="B3367" i="1"/>
  <c r="A3367" i="1"/>
  <c r="D3369" i="1"/>
  <c r="B3369" i="1"/>
  <c r="A3369" i="1"/>
  <c r="D3366" i="1"/>
  <c r="B3366" i="1"/>
  <c r="A3366" i="1"/>
  <c r="D3364" i="1"/>
  <c r="C3364" i="1"/>
  <c r="B3364" i="1"/>
  <c r="A3364" i="1"/>
  <c r="D3365" i="1"/>
  <c r="B3365" i="1"/>
  <c r="A3365" i="1"/>
  <c r="D3362" i="1"/>
  <c r="C3362" i="1"/>
  <c r="B3362" i="1"/>
  <c r="A3362" i="1"/>
  <c r="D3363" i="1"/>
  <c r="B3363" i="1"/>
  <c r="A3363" i="1"/>
  <c r="D3361" i="1"/>
  <c r="B3361" i="1"/>
  <c r="A3361" i="1"/>
  <c r="D3358" i="1"/>
  <c r="C3358" i="1"/>
  <c r="B3358" i="1"/>
  <c r="A3358" i="1"/>
  <c r="D3360" i="1"/>
  <c r="B3360" i="1"/>
  <c r="A3360" i="1"/>
  <c r="D3359" i="1"/>
  <c r="B3359" i="1"/>
  <c r="A3359" i="1"/>
  <c r="D3355" i="1"/>
  <c r="B3355" i="1"/>
  <c r="A3355" i="1"/>
  <c r="D3356" i="1"/>
  <c r="C3356" i="1"/>
  <c r="B3356" i="1"/>
  <c r="A3356" i="1"/>
  <c r="D3357" i="1"/>
  <c r="B3357" i="1"/>
  <c r="A3357" i="1"/>
  <c r="D3354" i="1"/>
  <c r="C3354" i="1"/>
  <c r="B3354" i="1"/>
  <c r="A3354" i="1"/>
  <c r="D3353" i="1"/>
  <c r="B3353" i="1"/>
  <c r="A3353" i="1"/>
  <c r="D3352" i="1"/>
  <c r="B3352" i="1"/>
  <c r="A3352" i="1"/>
  <c r="D3350" i="1"/>
  <c r="B3350" i="1"/>
  <c r="A3350" i="1"/>
  <c r="D3349" i="1"/>
  <c r="B3349" i="1"/>
  <c r="A3349" i="1"/>
  <c r="D3351" i="1"/>
  <c r="B3351" i="1"/>
  <c r="A3351" i="1"/>
  <c r="D3348" i="1"/>
  <c r="B3348" i="1"/>
  <c r="A3348" i="1"/>
  <c r="D3346" i="1"/>
  <c r="B3346" i="1"/>
  <c r="A3346" i="1"/>
  <c r="D3347" i="1"/>
  <c r="B3347" i="1"/>
  <c r="A3347" i="1"/>
  <c r="D3344" i="1"/>
  <c r="B3344" i="1"/>
  <c r="A3344" i="1"/>
  <c r="D3343" i="1"/>
  <c r="C3343" i="1"/>
  <c r="B3343" i="1"/>
  <c r="A3343" i="1"/>
  <c r="D3345" i="1"/>
  <c r="C3345" i="1"/>
  <c r="B3345" i="1"/>
  <c r="A3345" i="1"/>
  <c r="D3342" i="1"/>
  <c r="A3342" i="1"/>
  <c r="D3341" i="1"/>
  <c r="B3341" i="1"/>
  <c r="A3341" i="1"/>
  <c r="D3340" i="1"/>
  <c r="B3340" i="1"/>
  <c r="A3340" i="1"/>
  <c r="D3339" i="1"/>
  <c r="B3339" i="1"/>
  <c r="A3339" i="1"/>
  <c r="D3335" i="1"/>
  <c r="B3335" i="1"/>
  <c r="A3335" i="1"/>
  <c r="D3338" i="1"/>
  <c r="B3338" i="1"/>
  <c r="A3338" i="1"/>
  <c r="D3337" i="1"/>
  <c r="B3337" i="1"/>
  <c r="A3337" i="1"/>
  <c r="D3336" i="1"/>
  <c r="B3336" i="1"/>
  <c r="A3336" i="1"/>
  <c r="D3334" i="1"/>
  <c r="B3334" i="1"/>
  <c r="A3334" i="1"/>
  <c r="D3333" i="1"/>
  <c r="C3333" i="1"/>
  <c r="B3333" i="1"/>
  <c r="A3333" i="1"/>
  <c r="D3332" i="1"/>
  <c r="B3332" i="1"/>
  <c r="A3332" i="1"/>
  <c r="D3331" i="1"/>
  <c r="B3331" i="1"/>
  <c r="A3331" i="1"/>
  <c r="D3330" i="1"/>
  <c r="B3330" i="1"/>
  <c r="A3330" i="1"/>
  <c r="D3328" i="1"/>
  <c r="C3328" i="1"/>
  <c r="B3328" i="1"/>
  <c r="A3328" i="1"/>
  <c r="D3325" i="1"/>
  <c r="B3325" i="1"/>
  <c r="A3325" i="1"/>
  <c r="D3327" i="1"/>
  <c r="B3327" i="1"/>
  <c r="A3327" i="1"/>
  <c r="D3329" i="1"/>
  <c r="C3329" i="1"/>
  <c r="B3329" i="1"/>
  <c r="A3329" i="1"/>
  <c r="D3326" i="1"/>
  <c r="C3326" i="1"/>
  <c r="B3326" i="1"/>
  <c r="A3326" i="1"/>
  <c r="D3322" i="1"/>
  <c r="B3322" i="1"/>
  <c r="A3322" i="1"/>
  <c r="D3324" i="1"/>
  <c r="B3324" i="1"/>
  <c r="A3324" i="1"/>
  <c r="D3323" i="1"/>
  <c r="B3323" i="1"/>
  <c r="A3323" i="1"/>
  <c r="D3320" i="1"/>
  <c r="B3320" i="1"/>
  <c r="A3320" i="1"/>
  <c r="D3317" i="1"/>
  <c r="B3317" i="1"/>
  <c r="A3317" i="1"/>
  <c r="D3321" i="1"/>
  <c r="B3321" i="1"/>
  <c r="A3321" i="1"/>
  <c r="D3318" i="1"/>
  <c r="B3318" i="1"/>
  <c r="A3318" i="1"/>
  <c r="D3319" i="1"/>
  <c r="B3319" i="1"/>
  <c r="A3319" i="1"/>
  <c r="D3316" i="1"/>
  <c r="C3316" i="1"/>
  <c r="B3316" i="1"/>
  <c r="A3316" i="1"/>
  <c r="D3314" i="1"/>
  <c r="B3314" i="1"/>
  <c r="A3314" i="1"/>
  <c r="D3313" i="1"/>
  <c r="B3313" i="1"/>
  <c r="A3313" i="1"/>
  <c r="D3315" i="1"/>
  <c r="B3315" i="1"/>
  <c r="A3315" i="1"/>
  <c r="D3312" i="1"/>
  <c r="C3312" i="1"/>
  <c r="B3312" i="1"/>
  <c r="A3312" i="1"/>
  <c r="D3311" i="1"/>
  <c r="B3311" i="1"/>
  <c r="A3311" i="1"/>
  <c r="D3310" i="1"/>
  <c r="B3310" i="1"/>
  <c r="A3310" i="1"/>
  <c r="D3309" i="1"/>
  <c r="B3309" i="1"/>
  <c r="A3309" i="1"/>
  <c r="D3308" i="1"/>
  <c r="C3308" i="1"/>
  <c r="B3308" i="1"/>
  <c r="A3308" i="1"/>
  <c r="D3307" i="1"/>
  <c r="B3307" i="1"/>
  <c r="A3307" i="1"/>
  <c r="D3306" i="1"/>
  <c r="B3306" i="1"/>
  <c r="A3306" i="1"/>
  <c r="D3302" i="1"/>
  <c r="B3302" i="1"/>
  <c r="A3302" i="1"/>
  <c r="D3300" i="1"/>
  <c r="B3300" i="1"/>
  <c r="A3300" i="1"/>
  <c r="D3303" i="1"/>
  <c r="B3303" i="1"/>
  <c r="A3303" i="1"/>
  <c r="D3304" i="1"/>
  <c r="B3304" i="1"/>
  <c r="A3304" i="1"/>
  <c r="D3301" i="1"/>
  <c r="B3301" i="1"/>
  <c r="A3301" i="1"/>
  <c r="D3305" i="1"/>
  <c r="A3305" i="1"/>
  <c r="D3299" i="1"/>
  <c r="A3299" i="1"/>
  <c r="D3298" i="1"/>
  <c r="B3298" i="1"/>
  <c r="A3298" i="1"/>
  <c r="D3294" i="1"/>
  <c r="C3294" i="1"/>
  <c r="B3294" i="1"/>
  <c r="A3294" i="1"/>
  <c r="D3296" i="1"/>
  <c r="C3296" i="1"/>
  <c r="B3296" i="1"/>
  <c r="A3296" i="1"/>
  <c r="D3297" i="1"/>
  <c r="C3297" i="1"/>
  <c r="B3297" i="1"/>
  <c r="A3297" i="1"/>
  <c r="D3293" i="1"/>
  <c r="B3293" i="1"/>
  <c r="A3293" i="1"/>
  <c r="D3295" i="1"/>
  <c r="B3295" i="1"/>
  <c r="A3295" i="1"/>
  <c r="D3290" i="1"/>
  <c r="B3290" i="1"/>
  <c r="A3290" i="1"/>
  <c r="D3291" i="1"/>
  <c r="B3291" i="1"/>
  <c r="A3291" i="1"/>
  <c r="D3292" i="1"/>
  <c r="B3292" i="1"/>
  <c r="A3292" i="1"/>
  <c r="D3289" i="1"/>
  <c r="B3289" i="1"/>
  <c r="A3289" i="1"/>
  <c r="D3288" i="1"/>
  <c r="B3288" i="1"/>
  <c r="A3288" i="1"/>
  <c r="D3287" i="1"/>
  <c r="B3287" i="1"/>
  <c r="A3287" i="1"/>
  <c r="D3285" i="1"/>
  <c r="A3285" i="1"/>
  <c r="D3283" i="1"/>
  <c r="B3283" i="1"/>
  <c r="A3283" i="1"/>
  <c r="D3286" i="1"/>
  <c r="A3286" i="1"/>
  <c r="D3284" i="1"/>
  <c r="B3284" i="1"/>
  <c r="A3284" i="1"/>
  <c r="D3282" i="1"/>
  <c r="B3282" i="1"/>
  <c r="A3282" i="1"/>
  <c r="D3281" i="1"/>
  <c r="B3281" i="1"/>
  <c r="A3281" i="1"/>
  <c r="D3280" i="1"/>
  <c r="B3280" i="1"/>
  <c r="A3280" i="1"/>
  <c r="D3279" i="1"/>
  <c r="B3279" i="1"/>
  <c r="A3279" i="1"/>
  <c r="D3278" i="1"/>
  <c r="B3278" i="1"/>
  <c r="A3278" i="1"/>
  <c r="D3277" i="1"/>
  <c r="B3277" i="1"/>
  <c r="A3277" i="1"/>
  <c r="D3276" i="1"/>
  <c r="B3276" i="1"/>
  <c r="A3276" i="1"/>
  <c r="D3275" i="1"/>
  <c r="C3275" i="1"/>
  <c r="B3275" i="1"/>
  <c r="A3275" i="1"/>
  <c r="D3272" i="1"/>
  <c r="B3272" i="1"/>
  <c r="A3272" i="1"/>
  <c r="D3271" i="1"/>
  <c r="B3271" i="1"/>
  <c r="A3271" i="1"/>
  <c r="D3273" i="1"/>
  <c r="B3273" i="1"/>
  <c r="A3273" i="1"/>
  <c r="D3274" i="1"/>
  <c r="C3274" i="1"/>
  <c r="B3274" i="1"/>
  <c r="A3274" i="1"/>
  <c r="D3270" i="1"/>
  <c r="B3270" i="1"/>
  <c r="A3270" i="1"/>
  <c r="D3265" i="1"/>
  <c r="B3265" i="1"/>
  <c r="A3265" i="1"/>
  <c r="D3267" i="1"/>
  <c r="B3267" i="1"/>
  <c r="A3267" i="1"/>
  <c r="D3268" i="1"/>
  <c r="B3268" i="1"/>
  <c r="A3268" i="1"/>
  <c r="D3269" i="1"/>
  <c r="B3269" i="1"/>
  <c r="A3269" i="1"/>
  <c r="D3266" i="1"/>
  <c r="B3266" i="1"/>
  <c r="A3266" i="1"/>
  <c r="D3264" i="1"/>
  <c r="C3264" i="1"/>
  <c r="B3264" i="1"/>
  <c r="A3264" i="1"/>
  <c r="D3263" i="1"/>
  <c r="B3263" i="1"/>
  <c r="A3263" i="1"/>
  <c r="D3262" i="1"/>
  <c r="C3262" i="1"/>
  <c r="B3262" i="1"/>
  <c r="A3262" i="1"/>
  <c r="D3261" i="1"/>
  <c r="B3261" i="1"/>
  <c r="A3261" i="1"/>
  <c r="D3260" i="1"/>
  <c r="B3260" i="1"/>
  <c r="A3260" i="1"/>
  <c r="D3259" i="1"/>
  <c r="B3259" i="1"/>
  <c r="A3259" i="1"/>
  <c r="D3258" i="1"/>
  <c r="B3258" i="1"/>
  <c r="A3258" i="1"/>
  <c r="D3256" i="1"/>
  <c r="C3256" i="1"/>
  <c r="B3256" i="1"/>
  <c r="A3256" i="1"/>
  <c r="D3255" i="1"/>
  <c r="B3255" i="1"/>
  <c r="A3255" i="1"/>
  <c r="D3257" i="1"/>
  <c r="C3257" i="1"/>
  <c r="B3257" i="1"/>
  <c r="A3257" i="1"/>
  <c r="D3254" i="1"/>
  <c r="C3254" i="1"/>
  <c r="B3254" i="1"/>
  <c r="A3254" i="1"/>
  <c r="D3253" i="1"/>
  <c r="B3253" i="1"/>
  <c r="A3253" i="1"/>
  <c r="D3252" i="1"/>
  <c r="C3252" i="1"/>
  <c r="B3252" i="1"/>
  <c r="A3252" i="1"/>
  <c r="D3251" i="1"/>
  <c r="C3251" i="1"/>
  <c r="B3251" i="1"/>
  <c r="A3251" i="1"/>
  <c r="D3250" i="1"/>
  <c r="C3250" i="1"/>
  <c r="B3250" i="1"/>
  <c r="A3250" i="1"/>
  <c r="D3249" i="1"/>
  <c r="B3249" i="1"/>
  <c r="A3249" i="1"/>
  <c r="D3248" i="1"/>
  <c r="B3248" i="1"/>
  <c r="A3248" i="1"/>
  <c r="D3247" i="1"/>
  <c r="B3247" i="1"/>
  <c r="A3247" i="1"/>
  <c r="D3246" i="1"/>
  <c r="C3246" i="1"/>
  <c r="B3246" i="1"/>
  <c r="A3246" i="1"/>
  <c r="D3245" i="1"/>
  <c r="A3245" i="1"/>
  <c r="D3244" i="1"/>
  <c r="B3244" i="1"/>
  <c r="A3244" i="1"/>
  <c r="D3243" i="1"/>
  <c r="B3243" i="1"/>
  <c r="A3243" i="1"/>
  <c r="D3242" i="1"/>
  <c r="B3242" i="1"/>
  <c r="A3242" i="1"/>
  <c r="D3241" i="1"/>
  <c r="B3241" i="1"/>
  <c r="A3241" i="1"/>
  <c r="D3236" i="1"/>
  <c r="B3236" i="1"/>
  <c r="A3236" i="1"/>
  <c r="D3228" i="1"/>
  <c r="C3228" i="1"/>
  <c r="B3228" i="1"/>
  <c r="A3228" i="1"/>
  <c r="D3222" i="1"/>
  <c r="B3222" i="1"/>
  <c r="A3222" i="1"/>
  <c r="D3240" i="1"/>
  <c r="C3240" i="1"/>
  <c r="B3240" i="1"/>
  <c r="A3240" i="1"/>
  <c r="D3237" i="1"/>
  <c r="B3237" i="1"/>
  <c r="A3237" i="1"/>
  <c r="D3232" i="1"/>
  <c r="B3232" i="1"/>
  <c r="A3232" i="1"/>
  <c r="D3230" i="1"/>
  <c r="C3230" i="1"/>
  <c r="B3230" i="1"/>
  <c r="A3230" i="1"/>
  <c r="D3231" i="1"/>
  <c r="B3231" i="1"/>
  <c r="A3231" i="1"/>
  <c r="D3227" i="1"/>
  <c r="B3227" i="1"/>
  <c r="A3227" i="1"/>
  <c r="D3238" i="1"/>
  <c r="B3238" i="1"/>
  <c r="A3238" i="1"/>
  <c r="D3235" i="1"/>
  <c r="B3235" i="1"/>
  <c r="A3235" i="1"/>
  <c r="D3223" i="1"/>
  <c r="B3223" i="1"/>
  <c r="A3223" i="1"/>
  <c r="D3224" i="1"/>
  <c r="B3224" i="1"/>
  <c r="A3224" i="1"/>
  <c r="D3229" i="1"/>
  <c r="C3229" i="1"/>
  <c r="B3229" i="1"/>
  <c r="A3229" i="1"/>
  <c r="D3234" i="1"/>
  <c r="C3234" i="1"/>
  <c r="B3234" i="1"/>
  <c r="A3234" i="1"/>
  <c r="D3226" i="1"/>
  <c r="B3226" i="1"/>
  <c r="A3226" i="1"/>
  <c r="D3233" i="1"/>
  <c r="B3233" i="1"/>
  <c r="A3233" i="1"/>
  <c r="D3225" i="1"/>
  <c r="B3225" i="1"/>
  <c r="A3225" i="1"/>
  <c r="D3239" i="1"/>
  <c r="A3239" i="1"/>
  <c r="D3221" i="1"/>
  <c r="B3221" i="1"/>
  <c r="A3221" i="1"/>
  <c r="D3220" i="1"/>
  <c r="B3220" i="1"/>
  <c r="A3220" i="1"/>
  <c r="D3218" i="1"/>
  <c r="B3218" i="1"/>
  <c r="A3218" i="1"/>
  <c r="D3219" i="1"/>
  <c r="B3219" i="1"/>
  <c r="A3219" i="1"/>
  <c r="D3217" i="1"/>
  <c r="C3217" i="1"/>
  <c r="B3217" i="1"/>
  <c r="A3217" i="1"/>
  <c r="D3216" i="1"/>
  <c r="B3216" i="1"/>
  <c r="A3216" i="1"/>
  <c r="D3215" i="1"/>
  <c r="C3215" i="1"/>
  <c r="B3215" i="1"/>
  <c r="A3215" i="1"/>
  <c r="D3214" i="1"/>
  <c r="C3214" i="1"/>
  <c r="B3214" i="1"/>
  <c r="A3214" i="1"/>
  <c r="D3210" i="1"/>
  <c r="C3210" i="1"/>
  <c r="B3210" i="1"/>
  <c r="A3210" i="1"/>
  <c r="D3208" i="1"/>
  <c r="B3208" i="1"/>
  <c r="A3208" i="1"/>
  <c r="D3213" i="1"/>
  <c r="C3213" i="1"/>
  <c r="B3213" i="1"/>
  <c r="A3213" i="1"/>
  <c r="D3211" i="1"/>
  <c r="B3211" i="1"/>
  <c r="A3211" i="1"/>
  <c r="D3209" i="1"/>
  <c r="B3209" i="1"/>
  <c r="A3209" i="1"/>
  <c r="D3212" i="1"/>
  <c r="A3212" i="1"/>
  <c r="D3207" i="1"/>
  <c r="C3207" i="1"/>
  <c r="B3207" i="1"/>
  <c r="A3207" i="1"/>
  <c r="D3206" i="1"/>
  <c r="B3206" i="1"/>
  <c r="A3206" i="1"/>
  <c r="D3202" i="1"/>
  <c r="B3202" i="1"/>
  <c r="A3202" i="1"/>
  <c r="D3203" i="1"/>
  <c r="C3203" i="1"/>
  <c r="B3203" i="1"/>
  <c r="A3203" i="1"/>
  <c r="D3204" i="1"/>
  <c r="B3204" i="1"/>
  <c r="A3204" i="1"/>
  <c r="D3205" i="1"/>
  <c r="B3205" i="1"/>
  <c r="A3205" i="1"/>
  <c r="D3200" i="1"/>
  <c r="C3200" i="1"/>
  <c r="B3200" i="1"/>
  <c r="A3200" i="1"/>
  <c r="D3201" i="1"/>
  <c r="B3201" i="1"/>
  <c r="A3201" i="1"/>
  <c r="D3199" i="1"/>
  <c r="B3199" i="1"/>
  <c r="A3199" i="1"/>
  <c r="D3198" i="1"/>
  <c r="B3198" i="1"/>
  <c r="A3198" i="1"/>
  <c r="D3197" i="1"/>
  <c r="B3197" i="1"/>
  <c r="A3197" i="1"/>
  <c r="D3196" i="1"/>
  <c r="B3196" i="1"/>
  <c r="A3196" i="1"/>
  <c r="D3195" i="1"/>
  <c r="C3195" i="1"/>
  <c r="B3195" i="1"/>
  <c r="A3195" i="1"/>
  <c r="D3194" i="1"/>
  <c r="B3194" i="1"/>
  <c r="A3194" i="1"/>
  <c r="D3193" i="1"/>
  <c r="B3193" i="1"/>
  <c r="A3193" i="1"/>
  <c r="D3191" i="1"/>
  <c r="B3191" i="1"/>
  <c r="A3191" i="1"/>
  <c r="D3189" i="1"/>
  <c r="B3189" i="1"/>
  <c r="A3189" i="1"/>
  <c r="D3190" i="1"/>
  <c r="B3190" i="1"/>
  <c r="A3190" i="1"/>
  <c r="D3192" i="1"/>
  <c r="B3192" i="1"/>
  <c r="A3192" i="1"/>
  <c r="D3186" i="1"/>
  <c r="B3186" i="1"/>
  <c r="A3186" i="1"/>
  <c r="D3188" i="1"/>
  <c r="B3188" i="1"/>
  <c r="A3188" i="1"/>
  <c r="D3187" i="1"/>
  <c r="B3187" i="1"/>
  <c r="A3187" i="1"/>
  <c r="D3185" i="1"/>
  <c r="C3185" i="1"/>
  <c r="B3185" i="1"/>
  <c r="A3185" i="1"/>
  <c r="D3184" i="1"/>
  <c r="C3184" i="1"/>
  <c r="B3184" i="1"/>
  <c r="A3184" i="1"/>
  <c r="D3181" i="1"/>
  <c r="B3181" i="1"/>
  <c r="A3181" i="1"/>
  <c r="D3179" i="1"/>
  <c r="B3179" i="1"/>
  <c r="A3179" i="1"/>
  <c r="D3182" i="1"/>
  <c r="C3182" i="1"/>
  <c r="B3182" i="1"/>
  <c r="A3182" i="1"/>
  <c r="D3180" i="1"/>
  <c r="B3180" i="1"/>
  <c r="A3180" i="1"/>
  <c r="D3178" i="1"/>
  <c r="B3178" i="1"/>
  <c r="A3178" i="1"/>
  <c r="D3183" i="1"/>
  <c r="B3183" i="1"/>
  <c r="A3183" i="1"/>
  <c r="D3177" i="1"/>
  <c r="B3177" i="1"/>
  <c r="A3177" i="1"/>
  <c r="D3175" i="1"/>
  <c r="B3175" i="1"/>
  <c r="A3175" i="1"/>
  <c r="D3176" i="1"/>
  <c r="B3176" i="1"/>
  <c r="A3176" i="1"/>
  <c r="D3168" i="1"/>
  <c r="B3168" i="1"/>
  <c r="A3168" i="1"/>
  <c r="D3174" i="1"/>
  <c r="C3174" i="1"/>
  <c r="B3174" i="1"/>
  <c r="A3174" i="1"/>
  <c r="D3169" i="1"/>
  <c r="B3169" i="1"/>
  <c r="A3169" i="1"/>
  <c r="D3170" i="1"/>
  <c r="C3170" i="1"/>
  <c r="B3170" i="1"/>
  <c r="A3170" i="1"/>
  <c r="D3167" i="1"/>
  <c r="B3167" i="1"/>
  <c r="A3167" i="1"/>
  <c r="D3172" i="1"/>
  <c r="B3172" i="1"/>
  <c r="A3172" i="1"/>
  <c r="D3173" i="1"/>
  <c r="A3173" i="1"/>
  <c r="D3171" i="1"/>
  <c r="B3171" i="1"/>
  <c r="A3171" i="1"/>
  <c r="D3166" i="1"/>
  <c r="B3166" i="1"/>
  <c r="A3166" i="1"/>
  <c r="D3165" i="1"/>
  <c r="B3165" i="1"/>
  <c r="A3165" i="1"/>
  <c r="D3163" i="1"/>
  <c r="B3163" i="1"/>
  <c r="A3163" i="1"/>
  <c r="D3164" i="1"/>
  <c r="B3164" i="1"/>
  <c r="A3164" i="1"/>
  <c r="D3162" i="1"/>
  <c r="B3162" i="1"/>
  <c r="A3162" i="1"/>
  <c r="D3161" i="1"/>
  <c r="B3161" i="1"/>
  <c r="A3161" i="1"/>
  <c r="D3160" i="1"/>
  <c r="B3160" i="1"/>
  <c r="A3160" i="1"/>
  <c r="D3159" i="1"/>
  <c r="B3159" i="1"/>
  <c r="A3159" i="1"/>
  <c r="D3158" i="1"/>
  <c r="B3158" i="1"/>
  <c r="A3158" i="1"/>
  <c r="D3157" i="1"/>
  <c r="B3157" i="1"/>
  <c r="A3157" i="1"/>
  <c r="D3156" i="1"/>
  <c r="C3156" i="1"/>
  <c r="B3156" i="1"/>
  <c r="A3156" i="1"/>
  <c r="D3155" i="1"/>
  <c r="B3155" i="1"/>
  <c r="A3155" i="1"/>
  <c r="D3154" i="1"/>
  <c r="B3154" i="1"/>
  <c r="A3154" i="1"/>
  <c r="D3152" i="1"/>
  <c r="B3152" i="1"/>
  <c r="A3152" i="1"/>
  <c r="D3153" i="1"/>
  <c r="B3153" i="1"/>
  <c r="A3153" i="1"/>
  <c r="D3149" i="1"/>
  <c r="A3149" i="1"/>
  <c r="D3151" i="1"/>
  <c r="B3151" i="1"/>
  <c r="A3151" i="1"/>
  <c r="D3150" i="1"/>
  <c r="B3150" i="1"/>
  <c r="A3150" i="1"/>
  <c r="D3148" i="1"/>
  <c r="A3148" i="1"/>
  <c r="D3147" i="1"/>
  <c r="C3147" i="1"/>
  <c r="B3147" i="1"/>
  <c r="A3147" i="1"/>
  <c r="D3144" i="1"/>
  <c r="B3144" i="1"/>
  <c r="A3144" i="1"/>
  <c r="D3143" i="1"/>
  <c r="B3143" i="1"/>
  <c r="A3143" i="1"/>
  <c r="D3146" i="1"/>
  <c r="B3146" i="1"/>
  <c r="A3146" i="1"/>
  <c r="D3141" i="1"/>
  <c r="B3141" i="1"/>
  <c r="A3141" i="1"/>
  <c r="D3142" i="1"/>
  <c r="C3142" i="1"/>
  <c r="B3142" i="1"/>
  <c r="A3142" i="1"/>
  <c r="D3140" i="1"/>
  <c r="B3140" i="1"/>
  <c r="A3140" i="1"/>
  <c r="D3139" i="1"/>
  <c r="B3139" i="1"/>
  <c r="A3139" i="1"/>
  <c r="D3145" i="1"/>
  <c r="B3145" i="1"/>
  <c r="A3145" i="1"/>
  <c r="D3138" i="1"/>
  <c r="B3138" i="1"/>
  <c r="A3138" i="1"/>
  <c r="D3129" i="1"/>
  <c r="B3129" i="1"/>
  <c r="A3129" i="1"/>
  <c r="D3135" i="1"/>
  <c r="B3135" i="1"/>
  <c r="A3135" i="1"/>
  <c r="D3134" i="1"/>
  <c r="B3134" i="1"/>
  <c r="A3134" i="1"/>
  <c r="D3133" i="1"/>
  <c r="B3133" i="1"/>
  <c r="A3133" i="1"/>
  <c r="D3136" i="1"/>
  <c r="C3136" i="1"/>
  <c r="B3136" i="1"/>
  <c r="A3136" i="1"/>
  <c r="D3130" i="1"/>
  <c r="B3130" i="1"/>
  <c r="A3130" i="1"/>
  <c r="D3137" i="1"/>
  <c r="C3137" i="1"/>
  <c r="B3137" i="1"/>
  <c r="A3137" i="1"/>
  <c r="D3128" i="1"/>
  <c r="B3128" i="1"/>
  <c r="A3128" i="1"/>
  <c r="D3132" i="1"/>
  <c r="B3132" i="1"/>
  <c r="A3132" i="1"/>
  <c r="D3131" i="1"/>
  <c r="B3131" i="1"/>
  <c r="A3131" i="1"/>
  <c r="D3126" i="1"/>
  <c r="B3126" i="1"/>
  <c r="A3126" i="1"/>
  <c r="D3127" i="1"/>
  <c r="B3127" i="1"/>
  <c r="A3127" i="1"/>
  <c r="D3125" i="1"/>
  <c r="B3125" i="1"/>
  <c r="A3125" i="1"/>
  <c r="D3124" i="1"/>
  <c r="B3124" i="1"/>
  <c r="A3124" i="1"/>
  <c r="D3121" i="1"/>
  <c r="B3121" i="1"/>
  <c r="A3121" i="1"/>
  <c r="D3120" i="1"/>
  <c r="B3120" i="1"/>
  <c r="A3120" i="1"/>
  <c r="D3122" i="1"/>
  <c r="B3122" i="1"/>
  <c r="A3122" i="1"/>
  <c r="D3123" i="1"/>
  <c r="B3123" i="1"/>
  <c r="A3123" i="1"/>
  <c r="D3119" i="1"/>
  <c r="B3119" i="1"/>
  <c r="A3119" i="1"/>
  <c r="D3118" i="1"/>
  <c r="B3118" i="1"/>
  <c r="A3118" i="1"/>
  <c r="D3117" i="1"/>
  <c r="B3117" i="1"/>
  <c r="A3117" i="1"/>
  <c r="D3115" i="1"/>
  <c r="C3115" i="1"/>
  <c r="B3115" i="1"/>
  <c r="A3115" i="1"/>
  <c r="D3116" i="1"/>
  <c r="B3116" i="1"/>
  <c r="A3116" i="1"/>
  <c r="D3114" i="1"/>
  <c r="B3114" i="1"/>
  <c r="A3114" i="1"/>
  <c r="D3112" i="1"/>
  <c r="B3112" i="1"/>
  <c r="A3112" i="1"/>
  <c r="D3110" i="1"/>
  <c r="B3110" i="1"/>
  <c r="A3110" i="1"/>
  <c r="D3111" i="1"/>
  <c r="B3111" i="1"/>
  <c r="A3111" i="1"/>
  <c r="D3113" i="1"/>
  <c r="B3113" i="1"/>
  <c r="A3113" i="1"/>
  <c r="D3109" i="1"/>
  <c r="B3109" i="1"/>
  <c r="A3109" i="1"/>
  <c r="D3108" i="1"/>
  <c r="A3108" i="1"/>
  <c r="D3107" i="1"/>
  <c r="C3107" i="1"/>
  <c r="B3107" i="1"/>
  <c r="A3107" i="1"/>
  <c r="D3106" i="1"/>
  <c r="C3106" i="1"/>
  <c r="B3106" i="1"/>
  <c r="A3106" i="1"/>
  <c r="D3105" i="1"/>
  <c r="B3105" i="1"/>
  <c r="A3105" i="1"/>
  <c r="D3104" i="1"/>
  <c r="B3104" i="1"/>
  <c r="A3104" i="1"/>
  <c r="D3103" i="1"/>
  <c r="C3103" i="1"/>
  <c r="B3103" i="1"/>
  <c r="A3103" i="1"/>
  <c r="D3101" i="1"/>
  <c r="C3101" i="1"/>
  <c r="B3101" i="1"/>
  <c r="A3101" i="1"/>
  <c r="D3100" i="1"/>
  <c r="C3100" i="1"/>
  <c r="B3100" i="1"/>
  <c r="A3100" i="1"/>
  <c r="D3102" i="1"/>
  <c r="B3102" i="1"/>
  <c r="A3102" i="1"/>
  <c r="D3099" i="1"/>
  <c r="B3099" i="1"/>
  <c r="A3099" i="1"/>
  <c r="D3098" i="1"/>
  <c r="B3098" i="1"/>
  <c r="A3098" i="1"/>
  <c r="D3097" i="1"/>
  <c r="B3097" i="1"/>
  <c r="A3097" i="1"/>
  <c r="D3096" i="1"/>
  <c r="B3096" i="1"/>
  <c r="A3096" i="1"/>
  <c r="D3095" i="1"/>
  <c r="B3095" i="1"/>
  <c r="A3095" i="1"/>
  <c r="D3094" i="1"/>
  <c r="B3094" i="1"/>
  <c r="A3094" i="1"/>
  <c r="D3093" i="1"/>
  <c r="B3093" i="1"/>
  <c r="A3093" i="1"/>
  <c r="D3092" i="1"/>
  <c r="C3092" i="1"/>
  <c r="B3092" i="1"/>
  <c r="A3092" i="1"/>
  <c r="D3091" i="1"/>
  <c r="B3091" i="1"/>
  <c r="A3091" i="1"/>
  <c r="D3090" i="1"/>
  <c r="C3090" i="1"/>
  <c r="B3090" i="1"/>
  <c r="A3090" i="1"/>
  <c r="D3089" i="1"/>
  <c r="C3089" i="1"/>
  <c r="B3089" i="1"/>
  <c r="A3089" i="1"/>
  <c r="D3087" i="1"/>
  <c r="B3087" i="1"/>
  <c r="A3087" i="1"/>
  <c r="D3088" i="1"/>
  <c r="B3088" i="1"/>
  <c r="A3088" i="1"/>
  <c r="D3086" i="1"/>
  <c r="B3086" i="1"/>
  <c r="A3086" i="1"/>
  <c r="D3085" i="1"/>
  <c r="B3085" i="1"/>
  <c r="A3085" i="1"/>
  <c r="D3084" i="1"/>
  <c r="B3084" i="1"/>
  <c r="A3084" i="1"/>
  <c r="D3080" i="1"/>
  <c r="C3080" i="1"/>
  <c r="B3080" i="1"/>
  <c r="A3080" i="1"/>
  <c r="D3082" i="1"/>
  <c r="B3082" i="1"/>
  <c r="A3082" i="1"/>
  <c r="D3079" i="1"/>
  <c r="C3079" i="1"/>
  <c r="B3079" i="1"/>
  <c r="A3079" i="1"/>
  <c r="D3083" i="1"/>
  <c r="B3083" i="1"/>
  <c r="A3083" i="1"/>
  <c r="D3081" i="1"/>
  <c r="B3081" i="1"/>
  <c r="A3081" i="1"/>
  <c r="D3078" i="1"/>
  <c r="A3078" i="1"/>
  <c r="D3077" i="1"/>
  <c r="B3077" i="1"/>
  <c r="A3077" i="1"/>
  <c r="D3076" i="1"/>
  <c r="B3076" i="1"/>
  <c r="A3076" i="1"/>
  <c r="D3074" i="1"/>
  <c r="A3074" i="1"/>
  <c r="D3075" i="1"/>
  <c r="B3075" i="1"/>
  <c r="A3075" i="1"/>
  <c r="D3072" i="1"/>
  <c r="B3072" i="1"/>
  <c r="A3072" i="1"/>
  <c r="D3066" i="1"/>
  <c r="B3066" i="1"/>
  <c r="A3066" i="1"/>
  <c r="D3065" i="1"/>
  <c r="B3065" i="1"/>
  <c r="A3065" i="1"/>
  <c r="D3067" i="1"/>
  <c r="C3067" i="1"/>
  <c r="B3067" i="1"/>
  <c r="A3067" i="1"/>
  <c r="D3073" i="1"/>
  <c r="C3073" i="1"/>
  <c r="B3073" i="1"/>
  <c r="A3073" i="1"/>
  <c r="D3070" i="1"/>
  <c r="C3070" i="1"/>
  <c r="B3070" i="1"/>
  <c r="A3070" i="1"/>
  <c r="D3063" i="1"/>
  <c r="B3063" i="1"/>
  <c r="A3063" i="1"/>
  <c r="D3069" i="1"/>
  <c r="C3069" i="1"/>
  <c r="B3069" i="1"/>
  <c r="A3069" i="1"/>
  <c r="D3068" i="1"/>
  <c r="B3068" i="1"/>
  <c r="A3068" i="1"/>
  <c r="D3064" i="1"/>
  <c r="B3064" i="1"/>
  <c r="A3064" i="1"/>
  <c r="D3071" i="1"/>
  <c r="B3071" i="1"/>
  <c r="A3071" i="1"/>
  <c r="D3062" i="1"/>
  <c r="B3062" i="1"/>
  <c r="A3062" i="1"/>
  <c r="D3059" i="1"/>
  <c r="B3059" i="1"/>
  <c r="A3059" i="1"/>
  <c r="D3060" i="1"/>
  <c r="B3060" i="1"/>
  <c r="A3060" i="1"/>
  <c r="D3061" i="1"/>
  <c r="B3061" i="1"/>
  <c r="A3061" i="1"/>
  <c r="D3058" i="1"/>
  <c r="B3058" i="1"/>
  <c r="A3058" i="1"/>
  <c r="D3057" i="1"/>
  <c r="C3057" i="1"/>
  <c r="B3057" i="1"/>
  <c r="A3057" i="1"/>
  <c r="D3056" i="1"/>
  <c r="C3056" i="1"/>
  <c r="B3056" i="1"/>
  <c r="A3056" i="1"/>
  <c r="D3052" i="1"/>
  <c r="C3052" i="1"/>
  <c r="B3052" i="1"/>
  <c r="A3052" i="1"/>
  <c r="D3054" i="1"/>
  <c r="C3054" i="1"/>
  <c r="B3054" i="1"/>
  <c r="A3054" i="1"/>
  <c r="D3053" i="1"/>
  <c r="B3053" i="1"/>
  <c r="A3053" i="1"/>
  <c r="D3055" i="1"/>
  <c r="C3055" i="1"/>
  <c r="B3055" i="1"/>
  <c r="A3055" i="1"/>
  <c r="D3051" i="1"/>
  <c r="B3051" i="1"/>
  <c r="A3051" i="1"/>
  <c r="D3049" i="1"/>
  <c r="B3049" i="1"/>
  <c r="A3049" i="1"/>
  <c r="D3050" i="1"/>
  <c r="C3050" i="1"/>
  <c r="B3050" i="1"/>
  <c r="A3050" i="1"/>
  <c r="D3048" i="1"/>
  <c r="B3048" i="1"/>
  <c r="A3048" i="1"/>
  <c r="D3047" i="1"/>
  <c r="B3047" i="1"/>
  <c r="A3047" i="1"/>
  <c r="D3044" i="1"/>
  <c r="B3044" i="1"/>
  <c r="A3044" i="1"/>
  <c r="D3043" i="1"/>
  <c r="C3043" i="1"/>
  <c r="B3043" i="1"/>
  <c r="A3043" i="1"/>
  <c r="D3046" i="1"/>
  <c r="C3046" i="1"/>
  <c r="B3046" i="1"/>
  <c r="A3046" i="1"/>
  <c r="D3045" i="1"/>
  <c r="A3045" i="1"/>
  <c r="D3042" i="1"/>
  <c r="C3042" i="1"/>
  <c r="B3042" i="1"/>
  <c r="A3042" i="1"/>
  <c r="D3041" i="1"/>
  <c r="C3041" i="1"/>
  <c r="B3041" i="1"/>
  <c r="A3041" i="1"/>
  <c r="D3040" i="1"/>
  <c r="B3040" i="1"/>
  <c r="A3040" i="1"/>
  <c r="D3039" i="1"/>
  <c r="B3039" i="1"/>
  <c r="A3039" i="1"/>
  <c r="D3038" i="1"/>
  <c r="B3038" i="1"/>
  <c r="A3038" i="1"/>
  <c r="D3037" i="1"/>
  <c r="B3037" i="1"/>
  <c r="A3037" i="1"/>
  <c r="D3035" i="1"/>
  <c r="A3035" i="1"/>
  <c r="D3034" i="1"/>
  <c r="B3034" i="1"/>
  <c r="A3034" i="1"/>
  <c r="D3036" i="1"/>
  <c r="B3036" i="1"/>
  <c r="A3036" i="1"/>
  <c r="D3033" i="1"/>
  <c r="B3033" i="1"/>
  <c r="A3033" i="1"/>
  <c r="D3031" i="1"/>
  <c r="B3031" i="1"/>
  <c r="A3031" i="1"/>
  <c r="D3032" i="1"/>
  <c r="C3032" i="1"/>
  <c r="B3032" i="1"/>
  <c r="A3032" i="1"/>
  <c r="D3030" i="1"/>
  <c r="C3030" i="1"/>
  <c r="B3030" i="1"/>
  <c r="A3030" i="1"/>
  <c r="D3029" i="1"/>
  <c r="C3029" i="1"/>
  <c r="B3029" i="1"/>
  <c r="A3029" i="1"/>
  <c r="D3028" i="1"/>
  <c r="B3028" i="1"/>
  <c r="A3028" i="1"/>
  <c r="D3026" i="1"/>
  <c r="B3026" i="1"/>
  <c r="A3026" i="1"/>
  <c r="D3027" i="1"/>
  <c r="C3027" i="1"/>
  <c r="B3027" i="1"/>
  <c r="A3027" i="1"/>
  <c r="D3025" i="1"/>
  <c r="B3025" i="1"/>
  <c r="A3025" i="1"/>
  <c r="D3024" i="1"/>
  <c r="B3024" i="1"/>
  <c r="A3024" i="1"/>
  <c r="D3023" i="1"/>
  <c r="C3023" i="1"/>
  <c r="B3023" i="1"/>
  <c r="A3023" i="1"/>
  <c r="D3019" i="1"/>
  <c r="B3019" i="1"/>
  <c r="A3019" i="1"/>
  <c r="D3011" i="1"/>
  <c r="C3011" i="1"/>
  <c r="B3011" i="1"/>
  <c r="A3011" i="1"/>
  <c r="D3022" i="1"/>
  <c r="C3022" i="1"/>
  <c r="B3022" i="1"/>
  <c r="A3022" i="1"/>
  <c r="D3010" i="1"/>
  <c r="C3010" i="1"/>
  <c r="B3010" i="1"/>
  <c r="A3010" i="1"/>
  <c r="D3013" i="1"/>
  <c r="C3013" i="1"/>
  <c r="B3013" i="1"/>
  <c r="A3013" i="1"/>
  <c r="D3017" i="1"/>
  <c r="C3017" i="1"/>
  <c r="B3017" i="1"/>
  <c r="A3017" i="1"/>
  <c r="D3018" i="1"/>
  <c r="C3018" i="1"/>
  <c r="B3018" i="1"/>
  <c r="A3018" i="1"/>
  <c r="D3008" i="1"/>
  <c r="B3008" i="1"/>
  <c r="A3008" i="1"/>
  <c r="D3014" i="1"/>
  <c r="B3014" i="1"/>
  <c r="A3014" i="1"/>
  <c r="D3020" i="1"/>
  <c r="B3020" i="1"/>
  <c r="A3020" i="1"/>
  <c r="D3021" i="1"/>
  <c r="B3021" i="1"/>
  <c r="A3021" i="1"/>
  <c r="D3015" i="1"/>
  <c r="B3015" i="1"/>
  <c r="A3015" i="1"/>
  <c r="D3009" i="1"/>
  <c r="B3009" i="1"/>
  <c r="A3009" i="1"/>
  <c r="D3012" i="1"/>
  <c r="B3012" i="1"/>
  <c r="A3012" i="1"/>
  <c r="D3016" i="1"/>
  <c r="B3016" i="1"/>
  <c r="A3016" i="1"/>
  <c r="D3007" i="1"/>
  <c r="B3007" i="1"/>
  <c r="A3007" i="1"/>
  <c r="D3005" i="1"/>
  <c r="B3005" i="1"/>
  <c r="A3005" i="1"/>
  <c r="D3006" i="1"/>
  <c r="B3006" i="1"/>
  <c r="A3006" i="1"/>
  <c r="D3003" i="1"/>
  <c r="C3003" i="1"/>
  <c r="B3003" i="1"/>
  <c r="A3003" i="1"/>
  <c r="D3004" i="1"/>
  <c r="B3004" i="1"/>
  <c r="A3004" i="1"/>
  <c r="D3002" i="1"/>
  <c r="B3002" i="1"/>
  <c r="A3002" i="1"/>
  <c r="D2999" i="1"/>
  <c r="A2999" i="1"/>
  <c r="D3001" i="1"/>
  <c r="C3001" i="1"/>
  <c r="B3001" i="1"/>
  <c r="A3001" i="1"/>
  <c r="D2998" i="1"/>
  <c r="B2998" i="1"/>
  <c r="A2998" i="1"/>
  <c r="D3000" i="1"/>
  <c r="B3000" i="1"/>
  <c r="A3000" i="1"/>
  <c r="D2997" i="1"/>
  <c r="C2997" i="1"/>
  <c r="B2997" i="1"/>
  <c r="A2997" i="1"/>
  <c r="D2996" i="1"/>
  <c r="B2996" i="1"/>
  <c r="A2996" i="1"/>
  <c r="D2995" i="1"/>
  <c r="B2995" i="1"/>
  <c r="A2995" i="1"/>
  <c r="D2994" i="1"/>
  <c r="B2994" i="1"/>
  <c r="A2994" i="1"/>
  <c r="D2993" i="1"/>
  <c r="B2993" i="1"/>
  <c r="A2993" i="1"/>
  <c r="D2992" i="1"/>
  <c r="B2992" i="1"/>
  <c r="A2992" i="1"/>
  <c r="D2991" i="1"/>
  <c r="B2991" i="1"/>
  <c r="A2991" i="1"/>
  <c r="D2990" i="1"/>
  <c r="B2990" i="1"/>
  <c r="A2990" i="1"/>
  <c r="D2989" i="1"/>
  <c r="B2989" i="1"/>
  <c r="A2989" i="1"/>
  <c r="D2988" i="1"/>
  <c r="C2988" i="1"/>
  <c r="B2988" i="1"/>
  <c r="A2988" i="1"/>
  <c r="D2987" i="1"/>
  <c r="B2987" i="1"/>
  <c r="A2987" i="1"/>
  <c r="D2982" i="1"/>
  <c r="B2982" i="1"/>
  <c r="A2982" i="1"/>
  <c r="D2984" i="1"/>
  <c r="B2984" i="1"/>
  <c r="A2984" i="1"/>
  <c r="D2986" i="1"/>
  <c r="C2986" i="1"/>
  <c r="B2986" i="1"/>
  <c r="A2986" i="1"/>
  <c r="D2985" i="1"/>
  <c r="B2985" i="1"/>
  <c r="A2985" i="1"/>
  <c r="D2983" i="1"/>
  <c r="B2983" i="1"/>
  <c r="A2983" i="1"/>
  <c r="D2976" i="1"/>
  <c r="B2976" i="1"/>
  <c r="A2976" i="1"/>
  <c r="D2971" i="1"/>
  <c r="B2971" i="1"/>
  <c r="A2971" i="1"/>
  <c r="D2970" i="1"/>
  <c r="B2970" i="1"/>
  <c r="A2970" i="1"/>
  <c r="D2975" i="1"/>
  <c r="B2975" i="1"/>
  <c r="A2975" i="1"/>
  <c r="D2973" i="1"/>
  <c r="C2973" i="1"/>
  <c r="B2973" i="1"/>
  <c r="A2973" i="1"/>
  <c r="D2972" i="1"/>
  <c r="B2972" i="1"/>
  <c r="A2972" i="1"/>
  <c r="D2977" i="1"/>
  <c r="C2977" i="1"/>
  <c r="B2977" i="1"/>
  <c r="A2977" i="1"/>
  <c r="D2979" i="1"/>
  <c r="B2979" i="1"/>
  <c r="A2979" i="1"/>
  <c r="D2981" i="1"/>
  <c r="B2981" i="1"/>
  <c r="A2981" i="1"/>
  <c r="D2980" i="1"/>
  <c r="B2980" i="1"/>
  <c r="A2980" i="1"/>
  <c r="D2978" i="1"/>
  <c r="A2978" i="1"/>
  <c r="D2974" i="1"/>
  <c r="B2974" i="1"/>
  <c r="A2974" i="1"/>
  <c r="D2969" i="1"/>
  <c r="B2969" i="1"/>
  <c r="A2969" i="1"/>
  <c r="D2968" i="1"/>
  <c r="B2968" i="1"/>
  <c r="A2968" i="1"/>
  <c r="D2967" i="1"/>
  <c r="B2967" i="1"/>
  <c r="A2967" i="1"/>
  <c r="D2966" i="1"/>
  <c r="B2966" i="1"/>
  <c r="A2966" i="1"/>
  <c r="D2965" i="1"/>
  <c r="C2965" i="1"/>
  <c r="B2965" i="1"/>
  <c r="A2965" i="1"/>
  <c r="D2963" i="1"/>
  <c r="B2963" i="1"/>
  <c r="A2963" i="1"/>
  <c r="D2962" i="1"/>
  <c r="B2962" i="1"/>
  <c r="A2962" i="1"/>
  <c r="D2964" i="1"/>
  <c r="B2964" i="1"/>
  <c r="A2964" i="1"/>
  <c r="D2961" i="1"/>
  <c r="B2961" i="1"/>
  <c r="A2961" i="1"/>
  <c r="D2960" i="1"/>
  <c r="C2960" i="1"/>
  <c r="B2960" i="1"/>
  <c r="A2960" i="1"/>
  <c r="D2959" i="1"/>
  <c r="B2959" i="1"/>
  <c r="A2959" i="1"/>
  <c r="D2958" i="1"/>
  <c r="B2958" i="1"/>
  <c r="A2958" i="1"/>
  <c r="D2957" i="1"/>
  <c r="B2957" i="1"/>
  <c r="A2957" i="1"/>
  <c r="D2956" i="1"/>
  <c r="C2956" i="1"/>
  <c r="B2956" i="1"/>
  <c r="A2956" i="1"/>
  <c r="D2955" i="1"/>
  <c r="B2955" i="1"/>
  <c r="A2955" i="1"/>
  <c r="D2954" i="1"/>
  <c r="B2954" i="1"/>
  <c r="A2954" i="1"/>
  <c r="D2953" i="1"/>
  <c r="B2953" i="1"/>
  <c r="A2953" i="1"/>
  <c r="D2952" i="1"/>
  <c r="B2952" i="1"/>
  <c r="A2952" i="1"/>
  <c r="D2951" i="1"/>
  <c r="B2951" i="1"/>
  <c r="A2951" i="1"/>
  <c r="D2950" i="1"/>
  <c r="B2950" i="1"/>
  <c r="A2950" i="1"/>
  <c r="D2949" i="1"/>
  <c r="C2949" i="1"/>
  <c r="B2949" i="1"/>
  <c r="A2949" i="1"/>
  <c r="D2948" i="1"/>
  <c r="B2948" i="1"/>
  <c r="A2948" i="1"/>
  <c r="D2947" i="1"/>
  <c r="B2947" i="1"/>
  <c r="A2947" i="1"/>
  <c r="D2944" i="1"/>
  <c r="B2944" i="1"/>
  <c r="A2944" i="1"/>
  <c r="D2943" i="1"/>
  <c r="B2943" i="1"/>
  <c r="A2943" i="1"/>
  <c r="D2945" i="1"/>
  <c r="B2945" i="1"/>
  <c r="A2945" i="1"/>
  <c r="D2946" i="1"/>
  <c r="C2946" i="1"/>
  <c r="B2946" i="1"/>
  <c r="A2946" i="1"/>
  <c r="D2926" i="1"/>
  <c r="C2926" i="1"/>
  <c r="B2926" i="1"/>
  <c r="A2926" i="1"/>
  <c r="D2924" i="1"/>
  <c r="C2924" i="1"/>
  <c r="B2924" i="1"/>
  <c r="A2924" i="1"/>
  <c r="D2928" i="1"/>
  <c r="C2928" i="1"/>
  <c r="B2928" i="1"/>
  <c r="A2928" i="1"/>
  <c r="D2930" i="1"/>
  <c r="B2930" i="1"/>
  <c r="A2930" i="1"/>
  <c r="D2927" i="1"/>
  <c r="B2927" i="1"/>
  <c r="A2927" i="1"/>
  <c r="D2938" i="1"/>
  <c r="B2938" i="1"/>
  <c r="A2938" i="1"/>
  <c r="D2939" i="1"/>
  <c r="C2939" i="1"/>
  <c r="B2939" i="1"/>
  <c r="A2939" i="1"/>
  <c r="D2923" i="1"/>
  <c r="C2923" i="1"/>
  <c r="B2923" i="1"/>
  <c r="A2923" i="1"/>
  <c r="D2937" i="1"/>
  <c r="B2937" i="1"/>
  <c r="A2937" i="1"/>
  <c r="D2929" i="1"/>
  <c r="C2929" i="1"/>
  <c r="B2929" i="1"/>
  <c r="A2929" i="1"/>
  <c r="D2936" i="1"/>
  <c r="B2936" i="1"/>
  <c r="A2936" i="1"/>
  <c r="D2925" i="1"/>
  <c r="B2925" i="1"/>
  <c r="A2925" i="1"/>
  <c r="D2933" i="1"/>
  <c r="B2933" i="1"/>
  <c r="A2933" i="1"/>
  <c r="D2934" i="1"/>
  <c r="B2934" i="1"/>
  <c r="A2934" i="1"/>
  <c r="D2935" i="1"/>
  <c r="B2935" i="1"/>
  <c r="A2935" i="1"/>
  <c r="D2932" i="1"/>
  <c r="B2932" i="1"/>
  <c r="A2932" i="1"/>
  <c r="D2942" i="1"/>
  <c r="B2942" i="1"/>
  <c r="A2942" i="1"/>
  <c r="D2940" i="1"/>
  <c r="B2940" i="1"/>
  <c r="A2940" i="1"/>
  <c r="D2931" i="1"/>
  <c r="B2931" i="1"/>
  <c r="A2931" i="1"/>
  <c r="D2941" i="1"/>
  <c r="B2941" i="1"/>
  <c r="A2941" i="1"/>
  <c r="D2922" i="1"/>
  <c r="B2922" i="1"/>
  <c r="A2922" i="1"/>
  <c r="D2921" i="1"/>
  <c r="C2921" i="1"/>
  <c r="B2921" i="1"/>
  <c r="A2921" i="1"/>
  <c r="D2920" i="1"/>
  <c r="C2920" i="1"/>
  <c r="B2920" i="1"/>
  <c r="A2920" i="1"/>
  <c r="D2919" i="1"/>
  <c r="C2919" i="1"/>
  <c r="B2919" i="1"/>
  <c r="A2919" i="1"/>
  <c r="D2918" i="1"/>
  <c r="B2918" i="1"/>
  <c r="A2918" i="1"/>
  <c r="D2917" i="1"/>
  <c r="C2917" i="1"/>
  <c r="B2917" i="1"/>
  <c r="A2917" i="1"/>
  <c r="D2916" i="1"/>
  <c r="C2916" i="1"/>
  <c r="B2916" i="1"/>
  <c r="A2916" i="1"/>
  <c r="D2915" i="1"/>
  <c r="B2915" i="1"/>
  <c r="A2915" i="1"/>
  <c r="D2913" i="1"/>
  <c r="B2913" i="1"/>
  <c r="A2913" i="1"/>
  <c r="D2914" i="1"/>
  <c r="B2914" i="1"/>
  <c r="A2914" i="1"/>
  <c r="D2912" i="1"/>
  <c r="B2912" i="1"/>
  <c r="A2912" i="1"/>
  <c r="D2911" i="1"/>
  <c r="B2911" i="1"/>
  <c r="A2911" i="1"/>
  <c r="D2908" i="1"/>
  <c r="B2908" i="1"/>
  <c r="A2908" i="1"/>
  <c r="D2907" i="1"/>
  <c r="B2907" i="1"/>
  <c r="A2907" i="1"/>
  <c r="D2910" i="1"/>
  <c r="B2910" i="1"/>
  <c r="A2910" i="1"/>
  <c r="D2909" i="1"/>
  <c r="B2909" i="1"/>
  <c r="A2909" i="1"/>
  <c r="D2906" i="1"/>
  <c r="C2906" i="1"/>
  <c r="B2906" i="1"/>
  <c r="A2906" i="1"/>
  <c r="D2905" i="1"/>
  <c r="B2905" i="1"/>
  <c r="A2905" i="1"/>
  <c r="D2904" i="1"/>
  <c r="B2904" i="1"/>
  <c r="A2904" i="1"/>
  <c r="D2903" i="1"/>
  <c r="B2903" i="1"/>
  <c r="A2903" i="1"/>
  <c r="D2902" i="1"/>
  <c r="B2902" i="1"/>
  <c r="A2902" i="1"/>
  <c r="D2894" i="1"/>
  <c r="B2894" i="1"/>
  <c r="A2894" i="1"/>
  <c r="D2893" i="1"/>
  <c r="B2893" i="1"/>
  <c r="A2893" i="1"/>
  <c r="D2900" i="1"/>
  <c r="B2900" i="1"/>
  <c r="A2900" i="1"/>
  <c r="D2897" i="1"/>
  <c r="C2897" i="1"/>
  <c r="B2897" i="1"/>
  <c r="A2897" i="1"/>
  <c r="D2896" i="1"/>
  <c r="C2896" i="1"/>
  <c r="B2896" i="1"/>
  <c r="A2896" i="1"/>
  <c r="D2901" i="1"/>
  <c r="B2901" i="1"/>
  <c r="A2901" i="1"/>
  <c r="D2898" i="1"/>
  <c r="B2898" i="1"/>
  <c r="A2898" i="1"/>
  <c r="D2899" i="1"/>
  <c r="B2899" i="1"/>
  <c r="A2899" i="1"/>
  <c r="D2895" i="1"/>
  <c r="B2895" i="1"/>
  <c r="A2895" i="1"/>
  <c r="D2892" i="1"/>
  <c r="B2892" i="1"/>
  <c r="A2892" i="1"/>
  <c r="D2890" i="1"/>
  <c r="B2890" i="1"/>
  <c r="A2890" i="1"/>
  <c r="D2891" i="1"/>
  <c r="B2891" i="1"/>
  <c r="A2891" i="1"/>
  <c r="D2889" i="1"/>
  <c r="B2889" i="1"/>
  <c r="A2889" i="1"/>
  <c r="D2888" i="1"/>
  <c r="C2888" i="1"/>
  <c r="B2888" i="1"/>
  <c r="A2888" i="1"/>
  <c r="D2886" i="1"/>
  <c r="C2886" i="1"/>
  <c r="B2886" i="1"/>
  <c r="A2886" i="1"/>
  <c r="D2887" i="1"/>
  <c r="B2887" i="1"/>
  <c r="A2887" i="1"/>
  <c r="D2885" i="1"/>
  <c r="B2885" i="1"/>
  <c r="A2885" i="1"/>
  <c r="D2877" i="1"/>
  <c r="B2877" i="1"/>
  <c r="A2877" i="1"/>
  <c r="D2882" i="1"/>
  <c r="B2882" i="1"/>
  <c r="A2882" i="1"/>
  <c r="D2872" i="1"/>
  <c r="B2872" i="1"/>
  <c r="A2872" i="1"/>
  <c r="D2875" i="1"/>
  <c r="B2875" i="1"/>
  <c r="A2875" i="1"/>
  <c r="D2874" i="1"/>
  <c r="C2874" i="1"/>
  <c r="B2874" i="1"/>
  <c r="A2874" i="1"/>
  <c r="D2881" i="1"/>
  <c r="B2881" i="1"/>
  <c r="A2881" i="1"/>
  <c r="D2880" i="1"/>
  <c r="C2880" i="1"/>
  <c r="B2880" i="1"/>
  <c r="A2880" i="1"/>
  <c r="D2873" i="1"/>
  <c r="B2873" i="1"/>
  <c r="A2873" i="1"/>
  <c r="D2884" i="1"/>
  <c r="B2884" i="1"/>
  <c r="A2884" i="1"/>
  <c r="D2879" i="1"/>
  <c r="B2879" i="1"/>
  <c r="A2879" i="1"/>
  <c r="D2876" i="1"/>
  <c r="B2876" i="1"/>
  <c r="A2876" i="1"/>
  <c r="D2883" i="1"/>
  <c r="B2883" i="1"/>
  <c r="A2883" i="1"/>
  <c r="D2878" i="1"/>
  <c r="B2878" i="1"/>
  <c r="A2878" i="1"/>
  <c r="D2868" i="1"/>
  <c r="B2868" i="1"/>
  <c r="A2868" i="1"/>
  <c r="D2867" i="1"/>
  <c r="B2867" i="1"/>
  <c r="A2867" i="1"/>
  <c r="D2869" i="1"/>
  <c r="B2869" i="1"/>
  <c r="A2869" i="1"/>
  <c r="D2870" i="1"/>
  <c r="C2870" i="1"/>
  <c r="B2870" i="1"/>
  <c r="A2870" i="1"/>
  <c r="D2864" i="1"/>
  <c r="B2864" i="1"/>
  <c r="A2864" i="1"/>
  <c r="D2871" i="1"/>
  <c r="B2871" i="1"/>
  <c r="A2871" i="1"/>
  <c r="D2865" i="1"/>
  <c r="B2865" i="1"/>
  <c r="A2865" i="1"/>
  <c r="D2866" i="1"/>
  <c r="A2866" i="1"/>
  <c r="D2863" i="1"/>
  <c r="B2863" i="1"/>
  <c r="A2863" i="1"/>
  <c r="D2862" i="1"/>
  <c r="B2862" i="1"/>
  <c r="A2862" i="1"/>
  <c r="D2861" i="1"/>
  <c r="B2861" i="1"/>
  <c r="A2861" i="1"/>
  <c r="D2847" i="1"/>
  <c r="B2847" i="1"/>
  <c r="A2847" i="1"/>
  <c r="D2859" i="1"/>
  <c r="B2859" i="1"/>
  <c r="A2859" i="1"/>
  <c r="D2851" i="1"/>
  <c r="B2851" i="1"/>
  <c r="A2851" i="1"/>
  <c r="D2850" i="1"/>
  <c r="C2850" i="1"/>
  <c r="B2850" i="1"/>
  <c r="A2850" i="1"/>
  <c r="D2849" i="1"/>
  <c r="B2849" i="1"/>
  <c r="A2849" i="1"/>
  <c r="D2854" i="1"/>
  <c r="C2854" i="1"/>
  <c r="B2854" i="1"/>
  <c r="A2854" i="1"/>
  <c r="D2848" i="1"/>
  <c r="B2848" i="1"/>
  <c r="A2848" i="1"/>
  <c r="D2856" i="1"/>
  <c r="B2856" i="1"/>
  <c r="A2856" i="1"/>
  <c r="D2858" i="1"/>
  <c r="C2858" i="1"/>
  <c r="B2858" i="1"/>
  <c r="A2858" i="1"/>
  <c r="D2846" i="1"/>
  <c r="B2846" i="1"/>
  <c r="A2846" i="1"/>
  <c r="D2845" i="1"/>
  <c r="B2845" i="1"/>
  <c r="A2845" i="1"/>
  <c r="D2860" i="1"/>
  <c r="B2860" i="1"/>
  <c r="A2860" i="1"/>
  <c r="D2852" i="1"/>
  <c r="B2852" i="1"/>
  <c r="A2852" i="1"/>
  <c r="D2853" i="1"/>
  <c r="B2853" i="1"/>
  <c r="A2853" i="1"/>
  <c r="D2855" i="1"/>
  <c r="B2855" i="1"/>
  <c r="A2855" i="1"/>
  <c r="D2857" i="1"/>
  <c r="B2857" i="1"/>
  <c r="A2857" i="1"/>
  <c r="D2844" i="1"/>
  <c r="B2844" i="1"/>
  <c r="A2844" i="1"/>
  <c r="D2843" i="1"/>
  <c r="B2843" i="1"/>
  <c r="A2843" i="1"/>
  <c r="D2841" i="1"/>
  <c r="B2841" i="1"/>
  <c r="A2841" i="1"/>
  <c r="D2842" i="1"/>
  <c r="B2842" i="1"/>
  <c r="A2842" i="1"/>
  <c r="D2840" i="1"/>
  <c r="A2840" i="1"/>
  <c r="D2838" i="1"/>
  <c r="B2838" i="1"/>
  <c r="A2838" i="1"/>
  <c r="D2839" i="1"/>
  <c r="B2839" i="1"/>
  <c r="A2839" i="1"/>
  <c r="D2834" i="1"/>
  <c r="A2834" i="1"/>
  <c r="D2837" i="1"/>
  <c r="B2837" i="1"/>
  <c r="A2837" i="1"/>
  <c r="D2836" i="1"/>
  <c r="B2836" i="1"/>
  <c r="A2836" i="1"/>
  <c r="D2835" i="1"/>
  <c r="C2835" i="1"/>
  <c r="B2835" i="1"/>
  <c r="A2835" i="1"/>
  <c r="D2833" i="1"/>
  <c r="B2833" i="1"/>
  <c r="A2833" i="1"/>
  <c r="D2832" i="1"/>
  <c r="B2832" i="1"/>
  <c r="A2832" i="1"/>
  <c r="D2831" i="1"/>
  <c r="C2831" i="1"/>
  <c r="B2831" i="1"/>
  <c r="A2831" i="1"/>
  <c r="D2830" i="1"/>
  <c r="B2830" i="1"/>
  <c r="A2830" i="1"/>
  <c r="D2829" i="1"/>
  <c r="B2829" i="1"/>
  <c r="A2829" i="1"/>
  <c r="D2827" i="1"/>
  <c r="C2827" i="1"/>
  <c r="B2827" i="1"/>
  <c r="A2827" i="1"/>
  <c r="D2828" i="1"/>
  <c r="B2828" i="1"/>
  <c r="A2828" i="1"/>
  <c r="D2826" i="1"/>
  <c r="B2826" i="1"/>
  <c r="A2826" i="1"/>
  <c r="D2825" i="1"/>
  <c r="A2825" i="1"/>
  <c r="D2823" i="1"/>
  <c r="C2823" i="1"/>
  <c r="B2823" i="1"/>
  <c r="A2823" i="1"/>
  <c r="D2824" i="1"/>
  <c r="B2824" i="1"/>
  <c r="A2824" i="1"/>
  <c r="D2822" i="1"/>
  <c r="B2822" i="1"/>
  <c r="A2822" i="1"/>
  <c r="D2821" i="1"/>
  <c r="B2821" i="1"/>
  <c r="A2821" i="1"/>
  <c r="D2819" i="1"/>
  <c r="B2819" i="1"/>
  <c r="A2819" i="1"/>
  <c r="D2817" i="1"/>
  <c r="B2817" i="1"/>
  <c r="A2817" i="1"/>
  <c r="D2818" i="1"/>
  <c r="B2818" i="1"/>
  <c r="A2818" i="1"/>
  <c r="D2820" i="1"/>
  <c r="B2820" i="1"/>
  <c r="A2820" i="1"/>
  <c r="D2816" i="1"/>
  <c r="B2816" i="1"/>
  <c r="A2816" i="1"/>
  <c r="D2815" i="1"/>
  <c r="B2815" i="1"/>
  <c r="A2815" i="1"/>
  <c r="D2814" i="1"/>
  <c r="B2814" i="1"/>
  <c r="A2814" i="1"/>
  <c r="D2813" i="1"/>
  <c r="B2813" i="1"/>
  <c r="A2813" i="1"/>
  <c r="D2812" i="1"/>
  <c r="B2812" i="1"/>
  <c r="A2812" i="1"/>
  <c r="D2810" i="1"/>
  <c r="B2810" i="1"/>
  <c r="A2810" i="1"/>
  <c r="D2811" i="1"/>
  <c r="B2811" i="1"/>
  <c r="A2811" i="1"/>
  <c r="D2808" i="1"/>
  <c r="C2808" i="1"/>
  <c r="B2808" i="1"/>
  <c r="A2808" i="1"/>
  <c r="D2809" i="1"/>
  <c r="B2809" i="1"/>
  <c r="A2809" i="1"/>
  <c r="D2807" i="1"/>
  <c r="C2807" i="1"/>
  <c r="B2807" i="1"/>
  <c r="A2807" i="1"/>
  <c r="D2806" i="1"/>
  <c r="B2806" i="1"/>
  <c r="A2806" i="1"/>
  <c r="D2805" i="1"/>
  <c r="B2805" i="1"/>
  <c r="A2805" i="1"/>
  <c r="D2804" i="1"/>
  <c r="C2804" i="1"/>
  <c r="B2804" i="1"/>
  <c r="A2804" i="1"/>
  <c r="D2803" i="1"/>
  <c r="B2803" i="1"/>
  <c r="A2803" i="1"/>
  <c r="D2802" i="1"/>
  <c r="B2802" i="1"/>
  <c r="A2802" i="1"/>
  <c r="D2801" i="1"/>
  <c r="C2801" i="1"/>
  <c r="B2801" i="1"/>
  <c r="A2801" i="1"/>
  <c r="D2800" i="1"/>
  <c r="B2800" i="1"/>
  <c r="A2800" i="1"/>
  <c r="D2799" i="1"/>
  <c r="B2799" i="1"/>
  <c r="A2799" i="1"/>
  <c r="D2798" i="1"/>
  <c r="C2798" i="1"/>
  <c r="B2798" i="1"/>
  <c r="A2798" i="1"/>
  <c r="D2797" i="1"/>
  <c r="B2797" i="1"/>
  <c r="A2797" i="1"/>
  <c r="D2796" i="1"/>
  <c r="C2796" i="1"/>
  <c r="B2796" i="1"/>
  <c r="A2796" i="1"/>
  <c r="D2787" i="1"/>
  <c r="B2787" i="1"/>
  <c r="A2787" i="1"/>
  <c r="D2786" i="1"/>
  <c r="B2786" i="1"/>
  <c r="A2786" i="1"/>
  <c r="D2795" i="1"/>
  <c r="B2795" i="1"/>
  <c r="A2795" i="1"/>
  <c r="D2788" i="1"/>
  <c r="B2788" i="1"/>
  <c r="A2788" i="1"/>
  <c r="D2791" i="1"/>
  <c r="B2791" i="1"/>
  <c r="A2791" i="1"/>
  <c r="D2792" i="1"/>
  <c r="B2792" i="1"/>
  <c r="A2792" i="1"/>
  <c r="D2793" i="1"/>
  <c r="B2793" i="1"/>
  <c r="A2793" i="1"/>
  <c r="D2789" i="1"/>
  <c r="B2789" i="1"/>
  <c r="A2789" i="1"/>
  <c r="D2794" i="1"/>
  <c r="B2794" i="1"/>
  <c r="A2794" i="1"/>
  <c r="D2790" i="1"/>
  <c r="B2790" i="1"/>
  <c r="A2790" i="1"/>
  <c r="D2785" i="1"/>
  <c r="B2785" i="1"/>
  <c r="A2785" i="1"/>
  <c r="D2784" i="1"/>
  <c r="B2784" i="1"/>
  <c r="A2784" i="1"/>
  <c r="D2783" i="1"/>
  <c r="B2783" i="1"/>
  <c r="A2783" i="1"/>
  <c r="D2782" i="1"/>
  <c r="B2782" i="1"/>
  <c r="A2782" i="1"/>
  <c r="D2781" i="1"/>
  <c r="B2781" i="1"/>
  <c r="A2781" i="1"/>
  <c r="D2780" i="1"/>
  <c r="C2780" i="1"/>
  <c r="B2780" i="1"/>
  <c r="A2780" i="1"/>
  <c r="D2779" i="1"/>
  <c r="C2779" i="1"/>
  <c r="B2779" i="1"/>
  <c r="A2779" i="1"/>
  <c r="D2778" i="1"/>
  <c r="B2778" i="1"/>
  <c r="A2778" i="1"/>
  <c r="D2775" i="1"/>
  <c r="B2775" i="1"/>
  <c r="A2775" i="1"/>
  <c r="D2777" i="1"/>
  <c r="B2777" i="1"/>
  <c r="A2777" i="1"/>
  <c r="D2776" i="1"/>
  <c r="B2776" i="1"/>
  <c r="A2776" i="1"/>
  <c r="D2774" i="1"/>
  <c r="B2774" i="1"/>
  <c r="A2774" i="1"/>
  <c r="D2773" i="1"/>
  <c r="B2773" i="1"/>
  <c r="A2773" i="1"/>
  <c r="D2772" i="1"/>
  <c r="B2772" i="1"/>
  <c r="A2772" i="1"/>
  <c r="D2771" i="1"/>
  <c r="B2771" i="1"/>
  <c r="A2771" i="1"/>
  <c r="D2770" i="1"/>
  <c r="B2770" i="1"/>
  <c r="A2770" i="1"/>
  <c r="D2769" i="1"/>
  <c r="C2769" i="1"/>
  <c r="B2769" i="1"/>
  <c r="A2769" i="1"/>
  <c r="D2768" i="1"/>
  <c r="B2768" i="1"/>
  <c r="A2768" i="1"/>
  <c r="D2767" i="1"/>
  <c r="B2767" i="1"/>
  <c r="A2767" i="1"/>
  <c r="D2766" i="1"/>
  <c r="C2766" i="1"/>
  <c r="B2766" i="1"/>
  <c r="A2766" i="1"/>
  <c r="D2765" i="1"/>
  <c r="B2765" i="1"/>
  <c r="A2765" i="1"/>
  <c r="D2764" i="1"/>
  <c r="C2764" i="1"/>
  <c r="B2764" i="1"/>
  <c r="A2764" i="1"/>
  <c r="D2763" i="1"/>
  <c r="B2763" i="1"/>
  <c r="A2763" i="1"/>
  <c r="D2762" i="1"/>
  <c r="B2762" i="1"/>
  <c r="A2762" i="1"/>
  <c r="D2761" i="1"/>
  <c r="B2761" i="1"/>
  <c r="A2761" i="1"/>
  <c r="D2760" i="1"/>
  <c r="B2760" i="1"/>
  <c r="A2760" i="1"/>
  <c r="D2758" i="1"/>
  <c r="C2758" i="1"/>
  <c r="B2758" i="1"/>
  <c r="A2758" i="1"/>
  <c r="D2759" i="1"/>
  <c r="B2759" i="1"/>
  <c r="A2759" i="1"/>
  <c r="D2757" i="1"/>
  <c r="B2757" i="1"/>
  <c r="A2757" i="1"/>
  <c r="D2756" i="1"/>
  <c r="B2756" i="1"/>
  <c r="A2756" i="1"/>
  <c r="D2755" i="1"/>
  <c r="B2755" i="1"/>
  <c r="A2755" i="1"/>
  <c r="D2754" i="1"/>
  <c r="B2754" i="1"/>
  <c r="A2754" i="1"/>
  <c r="D2753" i="1"/>
  <c r="B2753" i="1"/>
  <c r="A2753" i="1"/>
  <c r="D2750" i="1"/>
  <c r="C2750" i="1"/>
  <c r="B2750" i="1"/>
  <c r="A2750" i="1"/>
  <c r="D2752" i="1"/>
  <c r="B2752" i="1"/>
  <c r="A2752" i="1"/>
  <c r="D2749" i="1"/>
  <c r="B2749" i="1"/>
  <c r="A2749" i="1"/>
  <c r="D2751" i="1"/>
  <c r="B2751" i="1"/>
  <c r="A2751" i="1"/>
  <c r="D2748" i="1"/>
  <c r="C2748" i="1"/>
  <c r="B2748" i="1"/>
  <c r="A2748" i="1"/>
  <c r="D2747" i="1"/>
  <c r="C2747" i="1"/>
  <c r="B2747" i="1"/>
  <c r="A2747" i="1"/>
  <c r="D2742" i="1"/>
  <c r="B2742" i="1"/>
  <c r="A2742" i="1"/>
  <c r="D2743" i="1"/>
  <c r="B2743" i="1"/>
  <c r="A2743" i="1"/>
  <c r="D2745" i="1"/>
  <c r="B2745" i="1"/>
  <c r="A2745" i="1"/>
  <c r="D2746" i="1"/>
  <c r="B2746" i="1"/>
  <c r="A2746" i="1"/>
  <c r="D2741" i="1"/>
  <c r="C2741" i="1"/>
  <c r="B2741" i="1"/>
  <c r="A2741" i="1"/>
  <c r="D2744" i="1"/>
  <c r="B2744" i="1"/>
  <c r="A2744" i="1"/>
  <c r="D2739" i="1"/>
  <c r="B2739" i="1"/>
  <c r="A2739" i="1"/>
  <c r="D2740" i="1"/>
  <c r="B2740" i="1"/>
  <c r="A2740" i="1"/>
  <c r="D2737" i="1"/>
  <c r="B2737" i="1"/>
  <c r="A2737" i="1"/>
  <c r="D2738" i="1"/>
  <c r="A2738" i="1"/>
  <c r="D2734" i="1"/>
  <c r="B2734" i="1"/>
  <c r="A2734" i="1"/>
  <c r="D2736" i="1"/>
  <c r="C2736" i="1"/>
  <c r="B2736" i="1"/>
  <c r="A2736" i="1"/>
  <c r="D2735" i="1"/>
  <c r="C2735" i="1"/>
  <c r="B2735" i="1"/>
  <c r="A2735" i="1"/>
  <c r="D2733" i="1"/>
  <c r="C2733" i="1"/>
  <c r="B2733" i="1"/>
  <c r="A2733" i="1"/>
  <c r="D2732" i="1"/>
  <c r="B2732" i="1"/>
  <c r="A2732" i="1"/>
  <c r="D2731" i="1"/>
  <c r="C2731" i="1"/>
  <c r="B2731" i="1"/>
  <c r="A2731" i="1"/>
  <c r="D2730" i="1"/>
  <c r="B2730" i="1"/>
  <c r="A2730" i="1"/>
  <c r="D2729" i="1"/>
  <c r="B2729" i="1"/>
  <c r="A2729" i="1"/>
  <c r="D2727" i="1"/>
  <c r="B2727" i="1"/>
  <c r="A2727" i="1"/>
  <c r="D2728" i="1"/>
  <c r="B2728" i="1"/>
  <c r="A2728" i="1"/>
  <c r="D2726" i="1"/>
  <c r="C2726" i="1"/>
  <c r="B2726" i="1"/>
  <c r="A2726" i="1"/>
  <c r="D2722" i="1"/>
  <c r="C2722" i="1"/>
  <c r="B2722" i="1"/>
  <c r="A2722" i="1"/>
  <c r="D2723" i="1"/>
  <c r="C2723" i="1"/>
  <c r="B2723" i="1"/>
  <c r="A2723" i="1"/>
  <c r="D2724" i="1"/>
  <c r="B2724" i="1"/>
  <c r="A2724" i="1"/>
  <c r="D2725" i="1"/>
  <c r="B2725" i="1"/>
  <c r="A2725" i="1"/>
  <c r="D2721" i="1"/>
  <c r="B2721" i="1"/>
  <c r="A2721" i="1"/>
  <c r="D2720" i="1"/>
  <c r="C2720" i="1"/>
  <c r="B2720" i="1"/>
  <c r="A2720" i="1"/>
  <c r="D2719" i="1"/>
  <c r="B2719" i="1"/>
  <c r="A2719" i="1"/>
  <c r="D2718" i="1"/>
  <c r="C2718" i="1"/>
  <c r="B2718" i="1"/>
  <c r="A2718" i="1"/>
  <c r="D2715" i="1"/>
  <c r="B2715" i="1"/>
  <c r="A2715" i="1"/>
  <c r="D2714" i="1"/>
  <c r="B2714" i="1"/>
  <c r="A2714" i="1"/>
  <c r="D2717" i="1"/>
  <c r="C2717" i="1"/>
  <c r="B2717" i="1"/>
  <c r="A2717" i="1"/>
  <c r="D2716" i="1"/>
  <c r="B2716" i="1"/>
  <c r="A2716" i="1"/>
  <c r="D2712" i="1"/>
  <c r="B2712" i="1"/>
  <c r="A2712" i="1"/>
  <c r="D2713" i="1"/>
  <c r="C2713" i="1"/>
  <c r="B2713" i="1"/>
  <c r="A2713" i="1"/>
  <c r="D2709" i="1"/>
  <c r="B2709" i="1"/>
  <c r="A2709" i="1"/>
  <c r="D2711" i="1"/>
  <c r="C2711" i="1"/>
  <c r="B2711" i="1"/>
  <c r="A2711" i="1"/>
  <c r="D2710" i="1"/>
  <c r="B2710" i="1"/>
  <c r="A2710" i="1"/>
  <c r="D2708" i="1"/>
  <c r="B2708" i="1"/>
  <c r="A2708" i="1"/>
  <c r="D2707" i="1"/>
  <c r="C2707" i="1"/>
  <c r="B2707" i="1"/>
  <c r="A2707" i="1"/>
  <c r="D2706" i="1"/>
  <c r="B2706" i="1"/>
  <c r="A2706" i="1"/>
  <c r="D2705" i="1"/>
  <c r="A2705" i="1"/>
  <c r="D2704" i="1"/>
  <c r="B2704" i="1"/>
  <c r="A2704" i="1"/>
  <c r="D2703" i="1"/>
  <c r="C2703" i="1"/>
  <c r="B2703" i="1"/>
  <c r="A2703" i="1"/>
  <c r="D2702" i="1"/>
  <c r="B2702" i="1"/>
  <c r="A2702" i="1"/>
  <c r="D2701" i="1"/>
  <c r="B2701" i="1"/>
  <c r="A2701" i="1"/>
  <c r="D2700" i="1"/>
  <c r="B2700" i="1"/>
  <c r="A2700" i="1"/>
  <c r="D2699" i="1"/>
  <c r="B2699" i="1"/>
  <c r="A2699" i="1"/>
  <c r="D2698" i="1"/>
  <c r="B2698" i="1"/>
  <c r="A2698" i="1"/>
  <c r="D2695" i="1"/>
  <c r="B2695" i="1"/>
  <c r="A2695" i="1"/>
  <c r="D2696" i="1"/>
  <c r="B2696" i="1"/>
  <c r="A2696" i="1"/>
  <c r="D2697" i="1"/>
  <c r="B2697" i="1"/>
  <c r="A2697" i="1"/>
  <c r="D2693" i="1"/>
  <c r="B2693" i="1"/>
  <c r="A2693" i="1"/>
  <c r="D2692" i="1"/>
  <c r="B2692" i="1"/>
  <c r="A2692" i="1"/>
  <c r="D2694" i="1"/>
  <c r="B2694" i="1"/>
  <c r="A2694" i="1"/>
  <c r="D2691" i="1"/>
  <c r="B2691" i="1"/>
  <c r="A2691" i="1"/>
  <c r="D2689" i="1"/>
  <c r="C2689" i="1"/>
  <c r="B2689" i="1"/>
  <c r="A2689" i="1"/>
  <c r="D2690" i="1"/>
  <c r="B2690" i="1"/>
  <c r="A2690" i="1"/>
  <c r="D2682" i="1"/>
  <c r="C2682" i="1"/>
  <c r="B2682" i="1"/>
  <c r="A2682" i="1"/>
  <c r="D2681" i="1"/>
  <c r="B2681" i="1"/>
  <c r="A2681" i="1"/>
  <c r="D2684" i="1"/>
  <c r="B2684" i="1"/>
  <c r="A2684" i="1"/>
  <c r="D2687" i="1"/>
  <c r="B2687" i="1"/>
  <c r="A2687" i="1"/>
  <c r="D2685" i="1"/>
  <c r="B2685" i="1"/>
  <c r="A2685" i="1"/>
  <c r="D2688" i="1"/>
  <c r="C2688" i="1"/>
  <c r="B2688" i="1"/>
  <c r="A2688" i="1"/>
  <c r="D2686" i="1"/>
  <c r="B2686" i="1"/>
  <c r="A2686" i="1"/>
  <c r="D2683" i="1"/>
  <c r="B2683" i="1"/>
  <c r="A2683" i="1"/>
  <c r="D2680" i="1"/>
  <c r="B2680" i="1"/>
  <c r="A2680" i="1"/>
  <c r="D2677" i="1"/>
  <c r="B2677" i="1"/>
  <c r="A2677" i="1"/>
  <c r="D2678" i="1"/>
  <c r="B2678" i="1"/>
  <c r="A2678" i="1"/>
  <c r="D2679" i="1"/>
  <c r="B2679" i="1"/>
  <c r="A2679" i="1"/>
  <c r="D2675" i="1"/>
  <c r="B2675" i="1"/>
  <c r="A2675" i="1"/>
  <c r="D2674" i="1"/>
  <c r="B2674" i="1"/>
  <c r="A2674" i="1"/>
  <c r="D2676" i="1"/>
  <c r="C2676" i="1"/>
  <c r="B2676" i="1"/>
  <c r="A2676" i="1"/>
  <c r="D2673" i="1"/>
  <c r="B2673" i="1"/>
  <c r="A2673" i="1"/>
  <c r="D2672" i="1"/>
  <c r="B2672" i="1"/>
  <c r="A2672" i="1"/>
  <c r="D2668" i="1"/>
  <c r="C2668" i="1"/>
  <c r="B2668" i="1"/>
  <c r="A2668" i="1"/>
  <c r="D2671" i="1"/>
  <c r="B2671" i="1"/>
  <c r="A2671" i="1"/>
  <c r="D2670" i="1"/>
  <c r="B2670" i="1"/>
  <c r="A2670" i="1"/>
  <c r="D2669" i="1"/>
  <c r="B2669" i="1"/>
  <c r="A2669" i="1"/>
  <c r="D2667" i="1"/>
  <c r="C2667" i="1"/>
  <c r="B2667" i="1"/>
  <c r="A2667" i="1"/>
  <c r="D2666" i="1"/>
  <c r="B2666" i="1"/>
  <c r="A2666" i="1"/>
  <c r="D2662" i="1"/>
  <c r="B2662" i="1"/>
  <c r="A2662" i="1"/>
  <c r="D2665" i="1"/>
  <c r="B2665" i="1"/>
  <c r="A2665" i="1"/>
  <c r="D2661" i="1"/>
  <c r="B2661" i="1"/>
  <c r="A2661" i="1"/>
  <c r="D2664" i="1"/>
  <c r="B2664" i="1"/>
  <c r="A2664" i="1"/>
  <c r="D2663" i="1"/>
  <c r="B2663" i="1"/>
  <c r="A2663" i="1"/>
  <c r="D2660" i="1"/>
  <c r="B2660" i="1"/>
  <c r="A2660" i="1"/>
  <c r="D2659" i="1"/>
  <c r="B2659" i="1"/>
  <c r="A2659" i="1"/>
  <c r="D2658" i="1"/>
  <c r="B2658" i="1"/>
  <c r="A2658" i="1"/>
  <c r="D2657" i="1"/>
  <c r="B2657" i="1"/>
  <c r="A2657" i="1"/>
  <c r="D2656" i="1"/>
  <c r="B2656" i="1"/>
  <c r="A2656" i="1"/>
  <c r="D2655" i="1"/>
  <c r="C2655" i="1"/>
  <c r="B2655" i="1"/>
  <c r="A2655" i="1"/>
  <c r="D2649" i="1"/>
  <c r="B2649" i="1"/>
  <c r="A2649" i="1"/>
  <c r="D2653" i="1"/>
  <c r="B2653" i="1"/>
  <c r="A2653" i="1"/>
  <c r="D2652" i="1"/>
  <c r="B2652" i="1"/>
  <c r="A2652" i="1"/>
  <c r="D2650" i="1"/>
  <c r="B2650" i="1"/>
  <c r="A2650" i="1"/>
  <c r="D2651" i="1"/>
  <c r="B2651" i="1"/>
  <c r="A2651" i="1"/>
  <c r="D2654" i="1"/>
  <c r="C2654" i="1"/>
  <c r="B2654" i="1"/>
  <c r="A2654" i="1"/>
  <c r="D2648" i="1"/>
  <c r="B2648" i="1"/>
  <c r="A2648" i="1"/>
  <c r="D2647" i="1"/>
  <c r="B2647" i="1"/>
  <c r="A2647" i="1"/>
  <c r="D2646" i="1"/>
  <c r="C2646" i="1"/>
  <c r="B2646" i="1"/>
  <c r="A2646" i="1"/>
  <c r="D2645" i="1"/>
  <c r="C2645" i="1"/>
  <c r="B2645" i="1"/>
  <c r="A2645" i="1"/>
  <c r="D2644" i="1"/>
  <c r="B2644" i="1"/>
  <c r="A2644" i="1"/>
  <c r="D2643" i="1"/>
  <c r="B2643" i="1"/>
  <c r="A2643" i="1"/>
  <c r="D2642" i="1"/>
  <c r="B2642" i="1"/>
  <c r="A2642" i="1"/>
  <c r="D2639" i="1"/>
  <c r="B2639" i="1"/>
  <c r="A2639" i="1"/>
  <c r="D2640" i="1"/>
  <c r="C2640" i="1"/>
  <c r="B2640" i="1"/>
  <c r="A2640" i="1"/>
  <c r="D2641" i="1"/>
  <c r="B2641" i="1"/>
  <c r="A2641" i="1"/>
  <c r="D2638" i="1"/>
  <c r="B2638" i="1"/>
  <c r="A2638" i="1"/>
  <c r="D2637" i="1"/>
  <c r="B2637" i="1"/>
  <c r="A2637" i="1"/>
  <c r="D2636" i="1"/>
  <c r="B2636" i="1"/>
  <c r="A2636" i="1"/>
  <c r="D2635" i="1"/>
  <c r="B2635" i="1"/>
  <c r="A2635" i="1"/>
  <c r="D2632" i="1"/>
  <c r="B2632" i="1"/>
  <c r="A2632" i="1"/>
  <c r="D2634" i="1"/>
  <c r="B2634" i="1"/>
  <c r="A2634" i="1"/>
  <c r="D2633" i="1"/>
  <c r="B2633" i="1"/>
  <c r="A2633" i="1"/>
  <c r="D2631" i="1"/>
  <c r="B2631" i="1"/>
  <c r="A2631" i="1"/>
  <c r="D2630" i="1"/>
  <c r="B2630" i="1"/>
  <c r="A2630" i="1"/>
  <c r="D2629" i="1"/>
  <c r="B2629" i="1"/>
  <c r="A2629" i="1"/>
  <c r="D2628" i="1"/>
  <c r="B2628" i="1"/>
  <c r="A2628" i="1"/>
  <c r="D2627" i="1"/>
  <c r="A2627" i="1"/>
  <c r="D2623" i="1"/>
  <c r="B2623" i="1"/>
  <c r="A2623" i="1"/>
  <c r="D2616" i="1"/>
  <c r="B2616" i="1"/>
  <c r="A2616" i="1"/>
  <c r="D2626" i="1"/>
  <c r="B2626" i="1"/>
  <c r="A2626" i="1"/>
  <c r="D2618" i="1"/>
  <c r="B2618" i="1"/>
  <c r="A2618" i="1"/>
  <c r="D2614" i="1"/>
  <c r="B2614" i="1"/>
  <c r="A2614" i="1"/>
  <c r="D2617" i="1"/>
  <c r="B2617" i="1"/>
  <c r="A2617" i="1"/>
  <c r="D2624" i="1"/>
  <c r="B2624" i="1"/>
  <c r="A2624" i="1"/>
  <c r="D2613" i="1"/>
  <c r="B2613" i="1"/>
  <c r="A2613" i="1"/>
  <c r="D2621" i="1"/>
  <c r="B2621" i="1"/>
  <c r="A2621" i="1"/>
  <c r="D2620" i="1"/>
  <c r="B2620" i="1"/>
  <c r="A2620" i="1"/>
  <c r="D2615" i="1"/>
  <c r="B2615" i="1"/>
  <c r="A2615" i="1"/>
  <c r="D2625" i="1"/>
  <c r="B2625" i="1"/>
  <c r="A2625" i="1"/>
  <c r="D2619" i="1"/>
  <c r="C2619" i="1"/>
  <c r="B2619" i="1"/>
  <c r="A2619" i="1"/>
  <c r="D2622" i="1"/>
  <c r="B2622" i="1"/>
  <c r="A2622" i="1"/>
  <c r="D2597" i="1"/>
  <c r="B2597" i="1"/>
  <c r="A2597" i="1"/>
  <c r="D2598" i="1"/>
  <c r="B2598" i="1"/>
  <c r="A2598" i="1"/>
  <c r="D2605" i="1"/>
  <c r="B2605" i="1"/>
  <c r="A2605" i="1"/>
  <c r="D2599" i="1"/>
  <c r="B2599" i="1"/>
  <c r="A2599" i="1"/>
  <c r="D2606" i="1"/>
  <c r="B2606" i="1"/>
  <c r="A2606" i="1"/>
  <c r="D2603" i="1"/>
  <c r="C2603" i="1"/>
  <c r="B2603" i="1"/>
  <c r="A2603" i="1"/>
  <c r="D2604" i="1"/>
  <c r="B2604" i="1"/>
  <c r="A2604" i="1"/>
  <c r="D2612" i="1"/>
  <c r="B2612" i="1"/>
  <c r="A2612" i="1"/>
  <c r="D2608" i="1"/>
  <c r="C2608" i="1"/>
  <c r="B2608" i="1"/>
  <c r="A2608" i="1"/>
  <c r="D2607" i="1"/>
  <c r="B2607" i="1"/>
  <c r="A2607" i="1"/>
  <c r="D2609" i="1"/>
  <c r="B2609" i="1"/>
  <c r="A2609" i="1"/>
  <c r="D2601" i="1"/>
  <c r="B2601" i="1"/>
  <c r="A2601" i="1"/>
  <c r="D2602" i="1"/>
  <c r="C2602" i="1"/>
  <c r="B2602" i="1"/>
  <c r="A2602" i="1"/>
  <c r="D2611" i="1"/>
  <c r="B2611" i="1"/>
  <c r="A2611" i="1"/>
  <c r="D2600" i="1"/>
  <c r="B2600" i="1"/>
  <c r="A2600" i="1"/>
  <c r="D2610" i="1"/>
  <c r="A2610" i="1"/>
  <c r="D2595" i="1"/>
  <c r="B2595" i="1"/>
  <c r="A2595" i="1"/>
  <c r="D2593" i="1"/>
  <c r="B2593" i="1"/>
  <c r="A2593" i="1"/>
  <c r="D2594" i="1"/>
  <c r="C2594" i="1"/>
  <c r="B2594" i="1"/>
  <c r="A2594" i="1"/>
  <c r="D2596" i="1"/>
  <c r="B2596" i="1"/>
  <c r="A2596" i="1"/>
  <c r="D2592" i="1"/>
  <c r="B2592" i="1"/>
  <c r="A2592" i="1"/>
  <c r="D2590" i="1"/>
  <c r="C2590" i="1"/>
  <c r="B2590" i="1"/>
  <c r="A2590" i="1"/>
  <c r="D2591" i="1"/>
  <c r="B2591" i="1"/>
  <c r="A2591" i="1"/>
  <c r="D2589" i="1"/>
  <c r="B2589" i="1"/>
  <c r="A2589" i="1"/>
  <c r="D2588" i="1"/>
  <c r="B2588" i="1"/>
  <c r="A2588" i="1"/>
  <c r="D2587" i="1"/>
  <c r="B2587" i="1"/>
  <c r="A2587" i="1"/>
  <c r="D2586" i="1"/>
  <c r="B2586" i="1"/>
  <c r="A2586" i="1"/>
  <c r="D2585" i="1"/>
  <c r="C2585" i="1"/>
  <c r="B2585" i="1"/>
  <c r="A2585" i="1"/>
  <c r="D2584" i="1"/>
  <c r="B2584" i="1"/>
  <c r="A2584" i="1"/>
  <c r="D2583" i="1"/>
  <c r="B2583" i="1"/>
  <c r="A2583" i="1"/>
  <c r="D2581" i="1"/>
  <c r="B2581" i="1"/>
  <c r="A2581" i="1"/>
  <c r="D2582" i="1"/>
  <c r="C2582" i="1"/>
  <c r="B2582" i="1"/>
  <c r="A2582" i="1"/>
  <c r="D2579" i="1"/>
  <c r="B2579" i="1"/>
  <c r="A2579" i="1"/>
  <c r="D2580" i="1"/>
  <c r="C2580" i="1"/>
  <c r="B2580" i="1"/>
  <c r="A2580" i="1"/>
  <c r="D2578" i="1"/>
  <c r="B2578" i="1"/>
  <c r="A2578" i="1"/>
  <c r="D2576" i="1"/>
  <c r="B2576" i="1"/>
  <c r="A2576" i="1"/>
  <c r="D2577" i="1"/>
  <c r="B2577" i="1"/>
  <c r="A2577" i="1"/>
  <c r="D2575" i="1"/>
  <c r="B2575" i="1"/>
  <c r="A2575" i="1"/>
  <c r="D2574" i="1"/>
  <c r="B2574" i="1"/>
  <c r="A2574" i="1"/>
  <c r="D2573" i="1"/>
  <c r="B2573" i="1"/>
  <c r="A2573" i="1"/>
  <c r="D2572" i="1"/>
  <c r="B2572" i="1"/>
  <c r="A2572" i="1"/>
  <c r="D2571" i="1"/>
  <c r="B2571" i="1"/>
  <c r="A2571" i="1"/>
  <c r="D2570" i="1"/>
  <c r="C2570" i="1"/>
  <c r="B2570" i="1"/>
  <c r="A2570" i="1"/>
  <c r="D2569" i="1"/>
  <c r="C2569" i="1"/>
  <c r="B2569" i="1"/>
  <c r="A2569" i="1"/>
  <c r="D2566" i="1"/>
  <c r="B2566" i="1"/>
  <c r="A2566" i="1"/>
  <c r="D2568" i="1"/>
  <c r="B2568" i="1"/>
  <c r="A2568" i="1"/>
  <c r="D2567" i="1"/>
  <c r="B2567" i="1"/>
  <c r="A2567" i="1"/>
  <c r="D2558" i="1"/>
  <c r="B2558" i="1"/>
  <c r="A2558" i="1"/>
  <c r="D2565" i="1"/>
  <c r="B2565" i="1"/>
  <c r="A2565" i="1"/>
  <c r="D2564" i="1"/>
  <c r="C2564" i="1"/>
  <c r="B2564" i="1"/>
  <c r="A2564" i="1"/>
  <c r="D2563" i="1"/>
  <c r="C2563" i="1"/>
  <c r="B2563" i="1"/>
  <c r="A2563" i="1"/>
  <c r="D2561" i="1"/>
  <c r="B2561" i="1"/>
  <c r="A2561" i="1"/>
  <c r="D2562" i="1"/>
  <c r="C2562" i="1"/>
  <c r="B2562" i="1"/>
  <c r="A2562" i="1"/>
  <c r="D2560" i="1"/>
  <c r="C2560" i="1"/>
  <c r="B2560" i="1"/>
  <c r="A2560" i="1"/>
  <c r="D2559" i="1"/>
  <c r="B2559" i="1"/>
  <c r="A2559" i="1"/>
  <c r="D2557" i="1"/>
  <c r="B2557" i="1"/>
  <c r="A2557" i="1"/>
  <c r="D2555" i="1"/>
  <c r="B2555" i="1"/>
  <c r="A2555" i="1"/>
  <c r="D2556" i="1"/>
  <c r="B2556" i="1"/>
  <c r="A2556" i="1"/>
  <c r="D2554" i="1"/>
  <c r="A2554" i="1"/>
  <c r="D2553" i="1"/>
  <c r="C2553" i="1"/>
  <c r="B2553" i="1"/>
  <c r="A2553" i="1"/>
  <c r="D2552" i="1"/>
  <c r="B2552" i="1"/>
  <c r="A2552" i="1"/>
  <c r="D2551" i="1"/>
  <c r="B2551" i="1"/>
  <c r="A2551" i="1"/>
  <c r="D2550" i="1"/>
  <c r="B2550" i="1"/>
  <c r="A2550" i="1"/>
  <c r="D2549" i="1"/>
  <c r="B2549" i="1"/>
  <c r="A2549" i="1"/>
  <c r="D2548" i="1"/>
  <c r="B2548" i="1"/>
  <c r="A2548" i="1"/>
  <c r="D2547" i="1"/>
  <c r="B2547" i="1"/>
  <c r="A2547" i="1"/>
  <c r="D2546" i="1"/>
  <c r="B2546" i="1"/>
  <c r="A2546" i="1"/>
  <c r="D2545" i="1"/>
  <c r="B2545" i="1"/>
  <c r="A2545" i="1"/>
  <c r="D2544" i="1"/>
  <c r="B2544" i="1"/>
  <c r="A2544" i="1"/>
  <c r="D2543" i="1"/>
  <c r="B2543" i="1"/>
  <c r="A2543" i="1"/>
  <c r="D2542" i="1"/>
  <c r="B2542" i="1"/>
  <c r="A2542" i="1"/>
  <c r="D2541" i="1"/>
  <c r="B2541" i="1"/>
  <c r="A2541" i="1"/>
  <c r="D2540" i="1"/>
  <c r="B2540" i="1"/>
  <c r="A2540" i="1"/>
  <c r="D2539" i="1"/>
  <c r="B2539" i="1"/>
  <c r="A2539" i="1"/>
  <c r="D2538" i="1"/>
  <c r="B2538" i="1"/>
  <c r="A2538" i="1"/>
  <c r="D2537" i="1"/>
  <c r="C2537" i="1"/>
  <c r="B2537" i="1"/>
  <c r="A2537" i="1"/>
  <c r="D2535" i="1"/>
  <c r="C2535" i="1"/>
  <c r="B2535" i="1"/>
  <c r="A2535" i="1"/>
  <c r="D2536" i="1"/>
  <c r="C2536" i="1"/>
  <c r="B2536" i="1"/>
  <c r="A2536" i="1"/>
  <c r="D2534" i="1"/>
  <c r="B2534" i="1"/>
  <c r="A2534" i="1"/>
  <c r="D2533" i="1"/>
  <c r="C2533" i="1"/>
  <c r="B2533" i="1"/>
  <c r="A2533" i="1"/>
  <c r="D2530" i="1"/>
  <c r="C2530" i="1"/>
  <c r="B2530" i="1"/>
  <c r="A2530" i="1"/>
  <c r="D2532" i="1"/>
  <c r="A2532" i="1"/>
  <c r="D2531" i="1"/>
  <c r="B2531" i="1"/>
  <c r="A2531" i="1"/>
  <c r="D2529" i="1"/>
  <c r="B2529" i="1"/>
  <c r="A2529" i="1"/>
  <c r="D2528" i="1"/>
  <c r="B2528" i="1"/>
  <c r="A2528" i="1"/>
  <c r="D2526" i="1"/>
  <c r="C2526" i="1"/>
  <c r="B2526" i="1"/>
  <c r="A2526" i="1"/>
  <c r="D2527" i="1"/>
  <c r="C2527" i="1"/>
  <c r="B2527" i="1"/>
  <c r="A2527" i="1"/>
  <c r="D2525" i="1"/>
  <c r="B2525" i="1"/>
  <c r="A2525" i="1"/>
  <c r="D2522" i="1"/>
  <c r="C2522" i="1"/>
  <c r="B2522" i="1"/>
  <c r="A2522" i="1"/>
  <c r="D2523" i="1"/>
  <c r="C2523" i="1"/>
  <c r="B2523" i="1"/>
  <c r="A2523" i="1"/>
  <c r="D2521" i="1"/>
  <c r="B2521" i="1"/>
  <c r="A2521" i="1"/>
  <c r="D2524" i="1"/>
  <c r="B2524" i="1"/>
  <c r="A2524" i="1"/>
  <c r="D2520" i="1"/>
  <c r="C2520" i="1"/>
  <c r="B2520" i="1"/>
  <c r="A2520" i="1"/>
  <c r="D2519" i="1"/>
  <c r="B2519" i="1"/>
  <c r="A2519" i="1"/>
  <c r="D2518" i="1"/>
  <c r="C2518" i="1"/>
  <c r="B2518" i="1"/>
  <c r="A2518" i="1"/>
  <c r="D2515" i="1"/>
  <c r="B2515" i="1"/>
  <c r="A2515" i="1"/>
  <c r="D2517" i="1"/>
  <c r="B2517" i="1"/>
  <c r="A2517" i="1"/>
  <c r="D2516" i="1"/>
  <c r="B2516" i="1"/>
  <c r="A2516" i="1"/>
  <c r="D2511" i="1"/>
  <c r="B2511" i="1"/>
  <c r="A2511" i="1"/>
  <c r="D2513" i="1"/>
  <c r="C2513" i="1"/>
  <c r="B2513" i="1"/>
  <c r="A2513" i="1"/>
  <c r="D2512" i="1"/>
  <c r="B2512" i="1"/>
  <c r="A2512" i="1"/>
  <c r="D2514" i="1"/>
  <c r="B2514" i="1"/>
  <c r="A2514" i="1"/>
  <c r="D2507" i="1"/>
  <c r="B2507" i="1"/>
  <c r="A2507" i="1"/>
  <c r="D2505" i="1"/>
  <c r="C2505" i="1"/>
  <c r="B2505" i="1"/>
  <c r="A2505" i="1"/>
  <c r="D2510" i="1"/>
  <c r="C2510" i="1"/>
  <c r="B2510" i="1"/>
  <c r="A2510" i="1"/>
  <c r="D2509" i="1"/>
  <c r="C2509" i="1"/>
  <c r="B2509" i="1"/>
  <c r="A2509" i="1"/>
  <c r="D2508" i="1"/>
  <c r="B2508" i="1"/>
  <c r="A2508" i="1"/>
  <c r="D2506" i="1"/>
  <c r="B2506" i="1"/>
  <c r="A2506" i="1"/>
  <c r="D2504" i="1"/>
  <c r="B2504" i="1"/>
  <c r="A2504" i="1"/>
  <c r="D2503" i="1"/>
  <c r="B2503" i="1"/>
  <c r="A2503" i="1"/>
  <c r="D2502" i="1"/>
  <c r="B2502" i="1"/>
  <c r="A2502" i="1"/>
  <c r="D2501" i="1"/>
  <c r="C2501" i="1"/>
  <c r="B2501" i="1"/>
  <c r="A2501" i="1"/>
  <c r="D2500" i="1"/>
  <c r="B2500" i="1"/>
  <c r="A2500" i="1"/>
  <c r="D2499" i="1"/>
  <c r="B2499" i="1"/>
  <c r="A2499" i="1"/>
  <c r="D2498" i="1"/>
  <c r="A2498" i="1"/>
  <c r="D2496" i="1"/>
  <c r="B2496" i="1"/>
  <c r="A2496" i="1"/>
  <c r="D2497" i="1"/>
  <c r="C2497" i="1"/>
  <c r="B2497" i="1"/>
  <c r="A2497" i="1"/>
  <c r="D2495" i="1"/>
  <c r="B2495" i="1"/>
  <c r="A2495" i="1"/>
  <c r="D2493" i="1"/>
  <c r="C2493" i="1"/>
  <c r="B2493" i="1"/>
  <c r="A2493" i="1"/>
  <c r="D2494" i="1"/>
  <c r="B2494" i="1"/>
  <c r="A2494" i="1"/>
  <c r="D2492" i="1"/>
  <c r="B2492" i="1"/>
  <c r="A2492" i="1"/>
  <c r="D2491" i="1"/>
  <c r="B2491" i="1"/>
  <c r="A2491" i="1"/>
  <c r="D2490" i="1"/>
  <c r="C2490" i="1"/>
  <c r="B2490" i="1"/>
  <c r="A2490" i="1"/>
  <c r="D2489" i="1"/>
  <c r="B2489" i="1"/>
  <c r="A2489" i="1"/>
  <c r="D2487" i="1"/>
  <c r="B2487" i="1"/>
  <c r="A2487" i="1"/>
  <c r="D2488" i="1"/>
  <c r="B2488" i="1"/>
  <c r="A2488" i="1"/>
  <c r="D2486" i="1"/>
  <c r="C2486" i="1"/>
  <c r="B2486" i="1"/>
  <c r="A2486" i="1"/>
  <c r="D2485" i="1"/>
  <c r="B2485" i="1"/>
  <c r="A2485" i="1"/>
  <c r="D2483" i="1"/>
  <c r="C2483" i="1"/>
  <c r="B2483" i="1"/>
  <c r="A2483" i="1"/>
  <c r="D2484" i="1"/>
  <c r="C2484" i="1"/>
  <c r="B2484" i="1"/>
  <c r="A2484" i="1"/>
  <c r="D2481" i="1"/>
  <c r="B2481" i="1"/>
  <c r="A2481" i="1"/>
  <c r="D2482" i="1"/>
  <c r="C2482" i="1"/>
  <c r="B2482" i="1"/>
  <c r="A2482" i="1"/>
  <c r="D2478" i="1"/>
  <c r="B2478" i="1"/>
  <c r="A2478" i="1"/>
  <c r="D2479" i="1"/>
  <c r="C2479" i="1"/>
  <c r="B2479" i="1"/>
  <c r="A2479" i="1"/>
  <c r="D2480" i="1"/>
  <c r="C2480" i="1"/>
  <c r="B2480" i="1"/>
  <c r="A2480" i="1"/>
  <c r="D2477" i="1"/>
  <c r="B2477" i="1"/>
  <c r="A2477" i="1"/>
  <c r="D2474" i="1"/>
  <c r="B2474" i="1"/>
  <c r="A2474" i="1"/>
  <c r="D2476" i="1"/>
  <c r="B2476" i="1"/>
  <c r="A2476" i="1"/>
  <c r="D2473" i="1"/>
  <c r="B2473" i="1"/>
  <c r="A2473" i="1"/>
  <c r="D2475" i="1"/>
  <c r="B2475" i="1"/>
  <c r="A2475" i="1"/>
  <c r="D2472" i="1"/>
  <c r="B2472" i="1"/>
  <c r="A2472" i="1"/>
  <c r="D2471" i="1"/>
  <c r="C2471" i="1"/>
  <c r="B2471" i="1"/>
  <c r="A2471" i="1"/>
  <c r="D2470" i="1"/>
  <c r="B2470" i="1"/>
  <c r="A2470" i="1"/>
  <c r="D2469" i="1"/>
  <c r="C2469" i="1"/>
  <c r="B2469" i="1"/>
  <c r="A2469" i="1"/>
  <c r="D2468" i="1"/>
  <c r="B2468" i="1"/>
  <c r="A2468" i="1"/>
  <c r="D2467" i="1"/>
  <c r="B2467" i="1"/>
  <c r="A2467" i="1"/>
  <c r="D2465" i="1"/>
  <c r="B2465" i="1"/>
  <c r="A2465" i="1"/>
  <c r="D2466" i="1"/>
  <c r="C2466" i="1"/>
  <c r="B2466" i="1"/>
  <c r="A2466" i="1"/>
  <c r="D2464" i="1"/>
  <c r="B2464" i="1"/>
  <c r="A2464" i="1"/>
  <c r="D2463" i="1"/>
  <c r="C2463" i="1"/>
  <c r="B2463" i="1"/>
  <c r="A2463" i="1"/>
  <c r="D2459" i="1"/>
  <c r="B2459" i="1"/>
  <c r="A2459" i="1"/>
  <c r="D2460" i="1"/>
  <c r="C2460" i="1"/>
  <c r="B2460" i="1"/>
  <c r="A2460" i="1"/>
  <c r="D2461" i="1"/>
  <c r="B2461" i="1"/>
  <c r="A2461" i="1"/>
  <c r="D2457" i="1"/>
  <c r="C2457" i="1"/>
  <c r="B2457" i="1"/>
  <c r="A2457" i="1"/>
  <c r="D2462" i="1"/>
  <c r="C2462" i="1"/>
  <c r="B2462" i="1"/>
  <c r="A2462" i="1"/>
  <c r="D2458" i="1"/>
  <c r="B2458" i="1"/>
  <c r="A2458" i="1"/>
  <c r="D2456" i="1"/>
  <c r="B2456" i="1"/>
  <c r="A2456" i="1"/>
  <c r="D2455" i="1"/>
  <c r="B2455" i="1"/>
  <c r="A2455" i="1"/>
  <c r="D2454" i="1"/>
  <c r="B2454" i="1"/>
  <c r="A2454" i="1"/>
  <c r="D2451" i="1"/>
  <c r="B2451" i="1"/>
  <c r="A2451" i="1"/>
  <c r="D2452" i="1"/>
  <c r="B2452" i="1"/>
  <c r="A2452" i="1"/>
  <c r="D2453" i="1"/>
  <c r="B2453" i="1"/>
  <c r="A2453" i="1"/>
  <c r="D2450" i="1"/>
  <c r="A2450" i="1"/>
  <c r="D2449" i="1"/>
  <c r="B2449" i="1"/>
  <c r="A2449" i="1"/>
  <c r="D2448" i="1"/>
  <c r="B2448" i="1"/>
  <c r="A2448" i="1"/>
  <c r="D2447" i="1"/>
  <c r="B2447" i="1"/>
  <c r="A2447" i="1"/>
  <c r="D2441" i="1"/>
  <c r="A2441" i="1"/>
  <c r="D2443" i="1"/>
  <c r="B2443" i="1"/>
  <c r="A2443" i="1"/>
  <c r="D2445" i="1"/>
  <c r="B2445" i="1"/>
  <c r="A2445" i="1"/>
  <c r="D2444" i="1"/>
  <c r="B2444" i="1"/>
  <c r="A2444" i="1"/>
  <c r="D2442" i="1"/>
  <c r="B2442" i="1"/>
  <c r="A2442" i="1"/>
  <c r="D2446" i="1"/>
  <c r="C2446" i="1"/>
  <c r="B2446" i="1"/>
  <c r="A2446" i="1"/>
  <c r="D2440" i="1"/>
  <c r="B2440" i="1"/>
  <c r="A2440" i="1"/>
  <c r="D2439" i="1"/>
  <c r="C2439" i="1"/>
  <c r="B2439" i="1"/>
  <c r="A2439" i="1"/>
  <c r="D2438" i="1"/>
  <c r="B2438" i="1"/>
  <c r="A2438" i="1"/>
  <c r="D2437" i="1"/>
  <c r="B2437" i="1"/>
  <c r="A2437" i="1"/>
  <c r="D2436" i="1"/>
  <c r="B2436" i="1"/>
  <c r="A2436" i="1"/>
  <c r="D2435" i="1"/>
  <c r="C2435" i="1"/>
  <c r="B2435" i="1"/>
  <c r="A2435" i="1"/>
  <c r="D2434" i="1"/>
  <c r="B2434" i="1"/>
  <c r="A2434" i="1"/>
  <c r="D2433" i="1"/>
  <c r="B2433" i="1"/>
  <c r="A2433" i="1"/>
  <c r="D2432" i="1"/>
  <c r="B2432" i="1"/>
  <c r="A2432" i="1"/>
  <c r="D2430" i="1"/>
  <c r="B2430" i="1"/>
  <c r="A2430" i="1"/>
  <c r="D2431" i="1"/>
  <c r="C2431" i="1"/>
  <c r="B2431" i="1"/>
  <c r="A2431" i="1"/>
  <c r="D2427" i="1"/>
  <c r="B2427" i="1"/>
  <c r="A2427" i="1"/>
  <c r="D2428" i="1"/>
  <c r="B2428" i="1"/>
  <c r="A2428" i="1"/>
  <c r="D2429" i="1"/>
  <c r="B2429" i="1"/>
  <c r="A2429" i="1"/>
  <c r="D2426" i="1"/>
  <c r="C2426" i="1"/>
  <c r="B2426" i="1"/>
  <c r="A2426" i="1"/>
  <c r="D2425" i="1"/>
  <c r="B2425" i="1"/>
  <c r="A2425" i="1"/>
  <c r="D2424" i="1"/>
  <c r="B2424" i="1"/>
  <c r="A2424" i="1"/>
  <c r="D2423" i="1"/>
  <c r="C2423" i="1"/>
  <c r="B2423" i="1"/>
  <c r="A2423" i="1"/>
  <c r="D2421" i="1"/>
  <c r="B2421" i="1"/>
  <c r="A2421" i="1"/>
  <c r="D2422" i="1"/>
  <c r="B2422" i="1"/>
  <c r="A2422" i="1"/>
  <c r="D2420" i="1"/>
  <c r="B2420" i="1"/>
  <c r="A2420" i="1"/>
  <c r="D2417" i="1"/>
  <c r="B2417" i="1"/>
  <c r="A2417" i="1"/>
  <c r="D2419" i="1"/>
  <c r="B2419" i="1"/>
  <c r="A2419" i="1"/>
  <c r="D2418" i="1"/>
  <c r="C2418" i="1"/>
  <c r="B2418" i="1"/>
  <c r="A2418" i="1"/>
  <c r="D2416" i="1"/>
  <c r="B2416" i="1"/>
  <c r="A2416" i="1"/>
  <c r="D2414" i="1"/>
  <c r="B2414" i="1"/>
  <c r="A2414" i="1"/>
  <c r="D2415" i="1"/>
  <c r="B2415" i="1"/>
  <c r="A2415" i="1"/>
  <c r="D2413" i="1"/>
  <c r="B2413" i="1"/>
  <c r="A2413" i="1"/>
  <c r="D2412" i="1"/>
  <c r="B2412" i="1"/>
  <c r="A2412" i="1"/>
  <c r="D2409" i="1"/>
  <c r="B2409" i="1"/>
  <c r="A2409" i="1"/>
  <c r="D2410" i="1"/>
  <c r="B2410" i="1"/>
  <c r="A2410" i="1"/>
  <c r="D2411" i="1"/>
  <c r="B2411" i="1"/>
  <c r="A2411" i="1"/>
  <c r="D2408" i="1"/>
  <c r="B2408" i="1"/>
  <c r="A2408" i="1"/>
  <c r="D2407" i="1"/>
  <c r="B2407" i="1"/>
  <c r="A2407" i="1"/>
  <c r="D2406" i="1"/>
  <c r="B2406" i="1"/>
  <c r="A2406" i="1"/>
  <c r="D2405" i="1"/>
  <c r="B2405" i="1"/>
  <c r="A2405" i="1"/>
  <c r="D2404" i="1"/>
  <c r="B2404" i="1"/>
  <c r="A2404" i="1"/>
  <c r="D2403" i="1"/>
  <c r="C2403" i="1"/>
  <c r="B2403" i="1"/>
  <c r="A2403" i="1"/>
  <c r="D2402" i="1"/>
  <c r="B2402" i="1"/>
  <c r="A2402" i="1"/>
  <c r="D2400" i="1"/>
  <c r="B2400" i="1"/>
  <c r="A2400" i="1"/>
  <c r="D2401" i="1"/>
  <c r="C2401" i="1"/>
  <c r="B2401" i="1"/>
  <c r="A2401" i="1"/>
  <c r="D2399" i="1"/>
  <c r="C2399" i="1"/>
  <c r="B2399" i="1"/>
  <c r="A2399" i="1"/>
  <c r="D2398" i="1"/>
  <c r="B2398" i="1"/>
  <c r="A2398" i="1"/>
  <c r="D2397" i="1"/>
  <c r="B2397" i="1"/>
  <c r="A2397" i="1"/>
  <c r="D2396" i="1"/>
  <c r="C2396" i="1"/>
  <c r="B2396" i="1"/>
  <c r="A2396" i="1"/>
  <c r="D2395" i="1"/>
  <c r="B2395" i="1"/>
  <c r="A2395" i="1"/>
  <c r="D2394" i="1"/>
  <c r="B2394" i="1"/>
  <c r="A2394" i="1"/>
  <c r="D2389" i="1"/>
  <c r="B2389" i="1"/>
  <c r="A2389" i="1"/>
  <c r="D2388" i="1"/>
  <c r="B2388" i="1"/>
  <c r="A2388" i="1"/>
  <c r="D2391" i="1"/>
  <c r="B2391" i="1"/>
  <c r="A2391" i="1"/>
  <c r="D2392" i="1"/>
  <c r="B2392" i="1"/>
  <c r="A2392" i="1"/>
  <c r="D2393" i="1"/>
  <c r="C2393" i="1"/>
  <c r="B2393" i="1"/>
  <c r="A2393" i="1"/>
  <c r="D2390" i="1"/>
  <c r="B2390" i="1"/>
  <c r="A2390" i="1"/>
  <c r="D2387" i="1"/>
  <c r="B2387" i="1"/>
  <c r="A2387" i="1"/>
  <c r="D2386" i="1"/>
  <c r="C2386" i="1"/>
  <c r="B2386" i="1"/>
  <c r="A2386" i="1"/>
  <c r="D2383" i="1"/>
  <c r="C2383" i="1"/>
  <c r="B2383" i="1"/>
  <c r="A2383" i="1"/>
  <c r="D2385" i="1"/>
  <c r="B2385" i="1"/>
  <c r="A2385" i="1"/>
  <c r="D2384" i="1"/>
  <c r="B2384" i="1"/>
  <c r="A2384" i="1"/>
  <c r="D2382" i="1"/>
  <c r="B2382" i="1"/>
  <c r="A2382" i="1"/>
  <c r="D2381" i="1"/>
  <c r="C2381" i="1"/>
  <c r="B2381" i="1"/>
  <c r="A2381" i="1"/>
  <c r="D2380" i="1"/>
  <c r="B2380" i="1"/>
  <c r="A2380" i="1"/>
  <c r="D2379" i="1"/>
  <c r="B2379" i="1"/>
  <c r="A2379" i="1"/>
  <c r="D2378" i="1"/>
  <c r="B2378" i="1"/>
  <c r="A2378" i="1"/>
  <c r="D2377" i="1"/>
  <c r="B2377" i="1"/>
  <c r="A2377" i="1"/>
  <c r="D2374" i="1"/>
  <c r="B2374" i="1"/>
  <c r="A2374" i="1"/>
  <c r="D2375" i="1"/>
  <c r="B2375" i="1"/>
  <c r="A2375" i="1"/>
  <c r="D2376" i="1"/>
  <c r="B2376" i="1"/>
  <c r="A2376" i="1"/>
  <c r="D2373" i="1"/>
  <c r="B2373" i="1"/>
  <c r="A2373" i="1"/>
  <c r="D2372" i="1"/>
  <c r="C2372" i="1"/>
  <c r="B2372" i="1"/>
  <c r="A2372" i="1"/>
  <c r="D2371" i="1"/>
  <c r="C2371" i="1"/>
  <c r="B2371" i="1"/>
  <c r="A2371" i="1"/>
  <c r="D2370" i="1"/>
  <c r="B2370" i="1"/>
  <c r="A2370" i="1"/>
  <c r="D2369" i="1"/>
  <c r="B2369" i="1"/>
  <c r="A2369" i="1"/>
  <c r="D2368" i="1"/>
  <c r="B2368" i="1"/>
  <c r="A2368" i="1"/>
  <c r="D2367" i="1"/>
  <c r="B2367" i="1"/>
  <c r="A2367" i="1"/>
  <c r="D2366" i="1"/>
  <c r="B2366" i="1"/>
  <c r="A2366" i="1"/>
  <c r="D2365" i="1"/>
  <c r="B2365" i="1"/>
  <c r="A2365" i="1"/>
  <c r="D2364" i="1"/>
  <c r="C2364" i="1"/>
  <c r="B2364" i="1"/>
  <c r="A2364" i="1"/>
  <c r="D2363" i="1"/>
  <c r="B2363" i="1"/>
  <c r="A2363" i="1"/>
  <c r="D2362" i="1"/>
  <c r="B2362" i="1"/>
  <c r="A2362" i="1"/>
  <c r="D2361" i="1"/>
  <c r="B2361" i="1"/>
  <c r="A2361" i="1"/>
  <c r="D2360" i="1"/>
  <c r="B2360" i="1"/>
  <c r="A2360" i="1"/>
  <c r="D2359" i="1"/>
  <c r="B2359" i="1"/>
  <c r="A2359" i="1"/>
  <c r="D2357" i="1"/>
  <c r="B2357" i="1"/>
  <c r="A2357" i="1"/>
  <c r="D2352" i="1"/>
  <c r="B2352" i="1"/>
  <c r="A2352" i="1"/>
  <c r="D2356" i="1"/>
  <c r="B2356" i="1"/>
  <c r="A2356" i="1"/>
  <c r="D2355" i="1"/>
  <c r="C2355" i="1"/>
  <c r="B2355" i="1"/>
  <c r="A2355" i="1"/>
  <c r="D2353" i="1"/>
  <c r="B2353" i="1"/>
  <c r="A2353" i="1"/>
  <c r="D2358" i="1"/>
  <c r="C2358" i="1"/>
  <c r="B2358" i="1"/>
  <c r="A2358" i="1"/>
  <c r="D2351" i="1"/>
  <c r="B2351" i="1"/>
  <c r="A2351" i="1"/>
  <c r="D2354" i="1"/>
  <c r="B2354" i="1"/>
  <c r="A2354" i="1"/>
  <c r="D2350" i="1"/>
  <c r="B2350" i="1"/>
  <c r="A2350" i="1"/>
  <c r="D2349" i="1"/>
  <c r="C2349" i="1"/>
  <c r="B2349" i="1"/>
  <c r="A2349" i="1"/>
  <c r="D2348" i="1"/>
  <c r="B2348" i="1"/>
  <c r="A2348" i="1"/>
  <c r="D2347" i="1"/>
  <c r="C2347" i="1"/>
  <c r="B2347" i="1"/>
  <c r="A2347" i="1"/>
  <c r="D2344" i="1"/>
  <c r="C2344" i="1"/>
  <c r="B2344" i="1"/>
  <c r="A2344" i="1"/>
  <c r="D2346" i="1"/>
  <c r="C2346" i="1"/>
  <c r="B2346" i="1"/>
  <c r="A2346" i="1"/>
  <c r="D2343" i="1"/>
  <c r="B2343" i="1"/>
  <c r="A2343" i="1"/>
  <c r="D2345" i="1"/>
  <c r="C2345" i="1"/>
  <c r="B2345" i="1"/>
  <c r="A2345" i="1"/>
  <c r="D2342" i="1"/>
  <c r="B2342" i="1"/>
  <c r="A2342" i="1"/>
  <c r="D2341" i="1"/>
  <c r="C2341" i="1"/>
  <c r="B2341" i="1"/>
  <c r="A2341" i="1"/>
  <c r="D2340" i="1"/>
  <c r="B2340" i="1"/>
  <c r="A2340" i="1"/>
  <c r="D2338" i="1"/>
  <c r="B2338" i="1"/>
  <c r="A2338" i="1"/>
  <c r="D2339" i="1"/>
  <c r="B2339" i="1"/>
  <c r="A2339" i="1"/>
  <c r="D2337" i="1"/>
  <c r="B2337" i="1"/>
  <c r="A2337" i="1"/>
  <c r="D2334" i="1"/>
  <c r="B2334" i="1"/>
  <c r="A2334" i="1"/>
  <c r="D2336" i="1"/>
  <c r="B2336" i="1"/>
  <c r="A2336" i="1"/>
  <c r="D2332" i="1"/>
  <c r="C2332" i="1"/>
  <c r="B2332" i="1"/>
  <c r="A2332" i="1"/>
  <c r="D2331" i="1"/>
  <c r="B2331" i="1"/>
  <c r="A2331" i="1"/>
  <c r="D2335" i="1"/>
  <c r="B2335" i="1"/>
  <c r="A2335" i="1"/>
  <c r="D2333" i="1"/>
  <c r="B2333" i="1"/>
  <c r="A2333" i="1"/>
  <c r="D2330" i="1"/>
  <c r="B2330" i="1"/>
  <c r="A2330" i="1"/>
  <c r="D2327" i="1"/>
  <c r="C2327" i="1"/>
  <c r="B2327" i="1"/>
  <c r="A2327" i="1"/>
  <c r="D2328" i="1"/>
  <c r="B2328" i="1"/>
  <c r="A2328" i="1"/>
  <c r="D2325" i="1"/>
  <c r="B2325" i="1"/>
  <c r="A2325" i="1"/>
  <c r="D2324" i="1"/>
  <c r="B2324" i="1"/>
  <c r="A2324" i="1"/>
  <c r="D2323" i="1"/>
  <c r="B2323" i="1"/>
  <c r="A2323" i="1"/>
  <c r="D2326" i="1"/>
  <c r="B2326" i="1"/>
  <c r="A2326" i="1"/>
  <c r="D2329" i="1"/>
  <c r="B2329" i="1"/>
  <c r="A2329" i="1"/>
  <c r="D2322" i="1"/>
  <c r="C2322" i="1"/>
  <c r="B2322" i="1"/>
  <c r="A2322" i="1"/>
  <c r="D2320" i="1"/>
  <c r="B2320" i="1"/>
  <c r="A2320" i="1"/>
  <c r="D2321" i="1"/>
  <c r="B2321" i="1"/>
  <c r="A2321" i="1"/>
  <c r="D2318" i="1"/>
  <c r="B2318" i="1"/>
  <c r="A2318" i="1"/>
  <c r="D2319" i="1"/>
  <c r="B2319" i="1"/>
  <c r="A2319" i="1"/>
  <c r="D2317" i="1"/>
  <c r="C2317" i="1"/>
  <c r="B2317" i="1"/>
  <c r="A2317" i="1"/>
  <c r="D2314" i="1"/>
  <c r="B2314" i="1"/>
  <c r="A2314" i="1"/>
  <c r="D2315" i="1"/>
  <c r="C2315" i="1"/>
  <c r="B2315" i="1"/>
  <c r="A2315" i="1"/>
  <c r="D2312" i="1"/>
  <c r="C2312" i="1"/>
  <c r="B2312" i="1"/>
  <c r="A2312" i="1"/>
  <c r="D2310" i="1"/>
  <c r="C2310" i="1"/>
  <c r="B2310" i="1"/>
  <c r="A2310" i="1"/>
  <c r="D2311" i="1"/>
  <c r="C2311" i="1"/>
  <c r="B2311" i="1"/>
  <c r="A2311" i="1"/>
  <c r="D2307" i="1"/>
  <c r="B2307" i="1"/>
  <c r="A2307" i="1"/>
  <c r="D2309" i="1"/>
  <c r="B2309" i="1"/>
  <c r="A2309" i="1"/>
  <c r="D2313" i="1"/>
  <c r="B2313" i="1"/>
  <c r="A2313" i="1"/>
  <c r="D2308" i="1"/>
  <c r="B2308" i="1"/>
  <c r="A2308" i="1"/>
  <c r="D2316" i="1"/>
  <c r="B2316" i="1"/>
  <c r="A2316" i="1"/>
  <c r="D2306" i="1"/>
  <c r="B2306" i="1"/>
  <c r="A2306" i="1"/>
  <c r="D2305" i="1"/>
  <c r="B2305" i="1"/>
  <c r="A2305" i="1"/>
  <c r="D2304" i="1"/>
  <c r="C2304" i="1"/>
  <c r="B2304" i="1"/>
  <c r="A2304" i="1"/>
  <c r="D2301" i="1"/>
  <c r="B2301" i="1"/>
  <c r="A2301" i="1"/>
  <c r="D2300" i="1"/>
  <c r="B2300" i="1"/>
  <c r="A2300" i="1"/>
  <c r="D2303" i="1"/>
  <c r="B2303" i="1"/>
  <c r="A2303" i="1"/>
  <c r="D2299" i="1"/>
  <c r="B2299" i="1"/>
  <c r="A2299" i="1"/>
  <c r="D2302" i="1"/>
  <c r="B2302" i="1"/>
  <c r="A2302" i="1"/>
  <c r="D2298" i="1"/>
  <c r="B2298" i="1"/>
  <c r="A2298" i="1"/>
  <c r="D2297" i="1"/>
  <c r="B2297" i="1"/>
  <c r="A2297" i="1"/>
  <c r="D2296" i="1"/>
  <c r="C2296" i="1"/>
  <c r="B2296" i="1"/>
  <c r="A2296" i="1"/>
  <c r="D2295" i="1"/>
  <c r="B2295" i="1"/>
  <c r="A2295" i="1"/>
  <c r="D2294" i="1"/>
  <c r="B2294" i="1"/>
  <c r="A2294" i="1"/>
  <c r="D2292" i="1"/>
  <c r="B2292" i="1"/>
  <c r="A2292" i="1"/>
  <c r="D2293" i="1"/>
  <c r="C2293" i="1"/>
  <c r="B2293" i="1"/>
  <c r="A2293" i="1"/>
  <c r="D2291" i="1"/>
  <c r="B2291" i="1"/>
  <c r="A2291" i="1"/>
  <c r="D2290" i="1"/>
  <c r="B2290" i="1"/>
  <c r="A2290" i="1"/>
  <c r="D2287" i="1"/>
  <c r="B2287" i="1"/>
  <c r="A2287" i="1"/>
  <c r="D2288" i="1"/>
  <c r="B2288" i="1"/>
  <c r="A2288" i="1"/>
  <c r="D2289" i="1"/>
  <c r="C2289" i="1"/>
  <c r="B2289" i="1"/>
  <c r="A2289" i="1"/>
  <c r="D2286" i="1"/>
  <c r="C2286" i="1"/>
  <c r="B2286" i="1"/>
  <c r="A2286" i="1"/>
  <c r="D2285" i="1"/>
  <c r="B2285" i="1"/>
  <c r="A2285" i="1"/>
  <c r="D2284" i="1"/>
  <c r="C2284" i="1"/>
  <c r="B2284" i="1"/>
  <c r="A2284" i="1"/>
  <c r="D2278" i="1"/>
  <c r="B2278" i="1"/>
  <c r="A2278" i="1"/>
  <c r="D2274" i="1"/>
  <c r="B2274" i="1"/>
  <c r="A2274" i="1"/>
  <c r="D2282" i="1"/>
  <c r="C2282" i="1"/>
  <c r="B2282" i="1"/>
  <c r="A2282" i="1"/>
  <c r="D2277" i="1"/>
  <c r="B2277" i="1"/>
  <c r="A2277" i="1"/>
  <c r="D2275" i="1"/>
  <c r="B2275" i="1"/>
  <c r="A2275" i="1"/>
  <c r="D2281" i="1"/>
  <c r="C2281" i="1"/>
  <c r="B2281" i="1"/>
  <c r="A2281" i="1"/>
  <c r="D2276" i="1"/>
  <c r="B2276" i="1"/>
  <c r="A2276" i="1"/>
  <c r="D2280" i="1"/>
  <c r="B2280" i="1"/>
  <c r="A2280" i="1"/>
  <c r="D2283" i="1"/>
  <c r="B2283" i="1"/>
  <c r="A2283" i="1"/>
  <c r="D2279" i="1"/>
  <c r="C2279" i="1"/>
  <c r="B2279" i="1"/>
  <c r="A2279" i="1"/>
  <c r="D2273" i="1"/>
  <c r="B2273" i="1"/>
  <c r="A2273" i="1"/>
  <c r="D2272" i="1"/>
  <c r="C2272" i="1"/>
  <c r="B2272" i="1"/>
  <c r="A2272" i="1"/>
  <c r="D2271" i="1"/>
  <c r="B2271" i="1"/>
  <c r="A2271" i="1"/>
  <c r="D2270" i="1"/>
  <c r="C2270" i="1"/>
  <c r="B2270" i="1"/>
  <c r="A2270" i="1"/>
  <c r="D2269" i="1"/>
  <c r="C2269" i="1"/>
  <c r="B2269" i="1"/>
  <c r="A2269" i="1"/>
  <c r="D2268" i="1"/>
  <c r="B2268" i="1"/>
  <c r="A2268" i="1"/>
  <c r="D2267" i="1"/>
  <c r="B2267" i="1"/>
  <c r="A2267" i="1"/>
  <c r="D2264" i="1"/>
  <c r="B2264" i="1"/>
  <c r="A2264" i="1"/>
  <c r="D2265" i="1"/>
  <c r="B2265" i="1"/>
  <c r="A2265" i="1"/>
  <c r="D2266" i="1"/>
  <c r="B2266" i="1"/>
  <c r="A2266" i="1"/>
  <c r="D2263" i="1"/>
  <c r="B2263" i="1"/>
  <c r="A2263" i="1"/>
  <c r="D2261" i="1"/>
  <c r="C2261" i="1"/>
  <c r="B2261" i="1"/>
  <c r="A2261" i="1"/>
  <c r="D2262" i="1"/>
  <c r="B2262" i="1"/>
  <c r="A2262" i="1"/>
  <c r="D2258" i="1"/>
  <c r="A2258" i="1"/>
  <c r="D2260" i="1"/>
  <c r="B2260" i="1"/>
  <c r="A2260" i="1"/>
  <c r="D2259" i="1"/>
  <c r="B2259" i="1"/>
  <c r="A2259" i="1"/>
  <c r="D2257" i="1"/>
  <c r="C2257" i="1"/>
  <c r="B2257" i="1"/>
  <c r="A2257" i="1"/>
  <c r="D2256" i="1"/>
  <c r="B2256" i="1"/>
  <c r="A2256" i="1"/>
  <c r="D2255" i="1"/>
  <c r="C2255" i="1"/>
  <c r="B2255" i="1"/>
  <c r="A2255" i="1"/>
  <c r="D2254" i="1"/>
  <c r="B2254" i="1"/>
  <c r="A2254" i="1"/>
  <c r="D2253" i="1"/>
  <c r="B2253" i="1"/>
  <c r="A2253" i="1"/>
  <c r="D2250" i="1"/>
  <c r="C2250" i="1"/>
  <c r="B2250" i="1"/>
  <c r="A2250" i="1"/>
  <c r="D2251" i="1"/>
  <c r="C2251" i="1"/>
  <c r="B2251" i="1"/>
  <c r="A2251" i="1"/>
  <c r="D2252" i="1"/>
  <c r="B2252" i="1"/>
  <c r="A2252" i="1"/>
  <c r="D2249" i="1"/>
  <c r="A2249" i="1"/>
  <c r="D2248" i="1"/>
  <c r="B2248" i="1"/>
  <c r="A2248" i="1"/>
  <c r="D2247" i="1"/>
  <c r="B2247" i="1"/>
  <c r="A2247" i="1"/>
  <c r="D2246" i="1"/>
  <c r="C2246" i="1"/>
  <c r="B2246" i="1"/>
  <c r="A2246" i="1"/>
  <c r="D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B2241" i="1"/>
  <c r="A2241" i="1"/>
  <c r="D2240" i="1"/>
  <c r="B2240" i="1"/>
  <c r="A2240" i="1"/>
  <c r="D2239" i="1"/>
  <c r="B2239" i="1"/>
  <c r="A2239" i="1"/>
  <c r="D2238" i="1"/>
  <c r="B2238" i="1"/>
  <c r="A2238" i="1"/>
  <c r="D2237" i="1"/>
  <c r="B2237" i="1"/>
  <c r="A2237" i="1"/>
  <c r="D2235" i="1"/>
  <c r="B2235" i="1"/>
  <c r="A2235" i="1"/>
  <c r="D2236" i="1"/>
  <c r="B2236" i="1"/>
  <c r="A2236" i="1"/>
  <c r="D2234" i="1"/>
  <c r="A2234" i="1"/>
  <c r="D2233" i="1"/>
  <c r="B2233" i="1"/>
  <c r="A2233" i="1"/>
  <c r="D2230" i="1"/>
  <c r="B2230" i="1"/>
  <c r="A2230" i="1"/>
  <c r="D2229" i="1"/>
  <c r="C2229" i="1"/>
  <c r="B2229" i="1"/>
  <c r="A2229" i="1"/>
  <c r="D2231" i="1"/>
  <c r="B2231" i="1"/>
  <c r="A2231" i="1"/>
  <c r="D2232" i="1"/>
  <c r="B2232" i="1"/>
  <c r="A2232" i="1"/>
  <c r="D2228" i="1"/>
  <c r="B2228" i="1"/>
  <c r="A2228" i="1"/>
  <c r="D2227" i="1"/>
  <c r="B2227" i="1"/>
  <c r="A2227" i="1"/>
  <c r="D2225" i="1"/>
  <c r="B2225" i="1"/>
  <c r="A2225" i="1"/>
  <c r="D2226" i="1"/>
  <c r="B2226" i="1"/>
  <c r="A2226" i="1"/>
  <c r="D2224" i="1"/>
  <c r="C2224" i="1"/>
  <c r="B2224" i="1"/>
  <c r="A2224" i="1"/>
  <c r="D2218" i="1"/>
  <c r="B2218" i="1"/>
  <c r="A2218" i="1"/>
  <c r="D2219" i="1"/>
  <c r="B2219" i="1"/>
  <c r="A2219" i="1"/>
  <c r="D2223" i="1"/>
  <c r="B2223" i="1"/>
  <c r="A2223" i="1"/>
  <c r="D2222" i="1"/>
  <c r="B2222" i="1"/>
  <c r="A2222" i="1"/>
  <c r="D2220" i="1"/>
  <c r="C2220" i="1"/>
  <c r="B2220" i="1"/>
  <c r="A2220" i="1"/>
  <c r="D2221" i="1"/>
  <c r="B2221" i="1"/>
  <c r="A2221" i="1"/>
  <c r="D2216" i="1"/>
  <c r="B2216" i="1"/>
  <c r="A2216" i="1"/>
  <c r="D2215" i="1"/>
  <c r="B2215" i="1"/>
  <c r="A2215" i="1"/>
  <c r="D2217" i="1"/>
  <c r="A2217" i="1"/>
  <c r="D2214" i="1"/>
  <c r="B2214" i="1"/>
  <c r="A2214" i="1"/>
  <c r="D2213" i="1"/>
  <c r="B2213" i="1"/>
  <c r="A2213" i="1"/>
  <c r="D2212" i="1"/>
  <c r="C2212" i="1"/>
  <c r="B2212" i="1"/>
  <c r="A2212" i="1"/>
  <c r="D2211" i="1"/>
  <c r="B2211" i="1"/>
  <c r="A2211" i="1"/>
  <c r="D2210" i="1"/>
  <c r="B2210" i="1"/>
  <c r="A2210" i="1"/>
  <c r="D2209" i="1"/>
  <c r="B2209" i="1"/>
  <c r="A2209" i="1"/>
  <c r="D2206" i="1"/>
  <c r="B2206" i="1"/>
  <c r="A2206" i="1"/>
  <c r="D2207" i="1"/>
  <c r="C2207" i="1"/>
  <c r="B2207" i="1"/>
  <c r="A2207" i="1"/>
  <c r="D2205" i="1"/>
  <c r="B2205" i="1"/>
  <c r="A2205" i="1"/>
  <c r="D2208" i="1"/>
  <c r="B2208" i="1"/>
  <c r="A2208" i="1"/>
  <c r="D2204" i="1"/>
  <c r="B2204" i="1"/>
  <c r="A2204" i="1"/>
  <c r="D2203" i="1"/>
  <c r="B2203" i="1"/>
  <c r="A2203" i="1"/>
  <c r="D2202" i="1"/>
  <c r="B2202" i="1"/>
  <c r="A2202" i="1"/>
  <c r="D2201" i="1"/>
  <c r="B2201" i="1"/>
  <c r="A2201" i="1"/>
  <c r="D2200" i="1"/>
  <c r="A2200" i="1"/>
  <c r="D2199" i="1"/>
  <c r="B2199" i="1"/>
  <c r="A2199" i="1"/>
  <c r="D2198" i="1"/>
  <c r="C2198" i="1"/>
  <c r="B2198" i="1"/>
  <c r="A2198" i="1"/>
  <c r="D2197" i="1"/>
  <c r="B2197" i="1"/>
  <c r="A2197" i="1"/>
  <c r="D2193" i="1"/>
  <c r="B2193" i="1"/>
  <c r="A2193" i="1"/>
  <c r="D2196" i="1"/>
  <c r="B2196" i="1"/>
  <c r="A2196" i="1"/>
  <c r="D2195" i="1"/>
  <c r="B2195" i="1"/>
  <c r="A2195" i="1"/>
  <c r="D2194" i="1"/>
  <c r="B2194" i="1"/>
  <c r="A2194" i="1"/>
  <c r="D2190" i="1"/>
  <c r="B2190" i="1"/>
  <c r="A2190" i="1"/>
  <c r="D2192" i="1"/>
  <c r="B2192" i="1"/>
  <c r="A2192" i="1"/>
  <c r="D2191" i="1"/>
  <c r="B2191" i="1"/>
  <c r="A2191" i="1"/>
  <c r="D2189" i="1"/>
  <c r="B2189" i="1"/>
  <c r="A2189" i="1"/>
  <c r="D2188" i="1"/>
  <c r="C2188" i="1"/>
  <c r="B2188" i="1"/>
  <c r="A2188" i="1"/>
  <c r="D2187" i="1"/>
  <c r="B2187" i="1"/>
  <c r="A2187" i="1"/>
  <c r="D2186" i="1"/>
  <c r="B2186" i="1"/>
  <c r="A2186" i="1"/>
  <c r="D2185" i="1"/>
  <c r="C2185" i="1"/>
  <c r="B2185" i="1"/>
  <c r="A2185" i="1"/>
  <c r="D2184" i="1"/>
  <c r="B2184" i="1"/>
  <c r="A2184" i="1"/>
  <c r="D2183" i="1"/>
  <c r="A2183" i="1"/>
  <c r="D2181" i="1"/>
  <c r="C2181" i="1"/>
  <c r="B2181" i="1"/>
  <c r="A2181" i="1"/>
  <c r="D2182" i="1"/>
  <c r="C2182" i="1"/>
  <c r="B2182" i="1"/>
  <c r="A2182" i="1"/>
  <c r="D2180" i="1"/>
  <c r="B2180" i="1"/>
  <c r="A2180" i="1"/>
  <c r="D2179" i="1"/>
  <c r="B2179" i="1"/>
  <c r="A2179" i="1"/>
  <c r="D2178" i="1"/>
  <c r="B2178" i="1"/>
  <c r="A2178" i="1"/>
  <c r="D2177" i="1"/>
  <c r="B2177" i="1"/>
  <c r="A2177" i="1"/>
  <c r="D2176" i="1"/>
  <c r="C2176" i="1"/>
  <c r="B2176" i="1"/>
  <c r="A2176" i="1"/>
  <c r="D2175" i="1"/>
  <c r="B2175" i="1"/>
  <c r="A2175" i="1"/>
  <c r="D2170" i="1"/>
  <c r="B2170" i="1"/>
  <c r="A2170" i="1"/>
  <c r="D2174" i="1"/>
  <c r="B2174" i="1"/>
  <c r="A2174" i="1"/>
  <c r="D2171" i="1"/>
  <c r="C2171" i="1"/>
  <c r="B2171" i="1"/>
  <c r="A2171" i="1"/>
  <c r="D2173" i="1"/>
  <c r="B2173" i="1"/>
  <c r="A2173" i="1"/>
  <c r="D2172" i="1"/>
  <c r="B2172" i="1"/>
  <c r="A2172" i="1"/>
  <c r="D2169" i="1"/>
  <c r="B2169" i="1"/>
  <c r="A2169" i="1"/>
  <c r="D2168" i="1"/>
  <c r="B2168" i="1"/>
  <c r="A2168" i="1"/>
  <c r="D2167" i="1"/>
  <c r="B2167" i="1"/>
  <c r="A2167" i="1"/>
  <c r="D2166" i="1"/>
  <c r="B2166" i="1"/>
  <c r="A2166" i="1"/>
  <c r="D2165" i="1"/>
  <c r="B2165" i="1"/>
  <c r="A2165" i="1"/>
  <c r="D2164" i="1"/>
  <c r="B2164" i="1"/>
  <c r="A2164" i="1"/>
  <c r="D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B2158" i="1"/>
  <c r="A2158" i="1"/>
  <c r="D2157" i="1"/>
  <c r="A2157" i="1"/>
  <c r="D2154" i="1"/>
  <c r="B2154" i="1"/>
  <c r="A2154" i="1"/>
  <c r="D2155" i="1"/>
  <c r="C2155" i="1"/>
  <c r="B2155" i="1"/>
  <c r="A2155" i="1"/>
  <c r="D2156" i="1"/>
  <c r="B2156" i="1"/>
  <c r="A2156" i="1"/>
  <c r="D2153" i="1"/>
  <c r="C2153" i="1"/>
  <c r="B2153" i="1"/>
  <c r="A2153" i="1"/>
  <c r="D2152" i="1"/>
  <c r="B2152" i="1"/>
  <c r="A2152" i="1"/>
  <c r="D2151" i="1"/>
  <c r="C2151" i="1"/>
  <c r="B2151" i="1"/>
  <c r="A2151" i="1"/>
  <c r="D2150" i="1"/>
  <c r="B2150" i="1"/>
  <c r="A2150" i="1"/>
  <c r="D2149" i="1"/>
  <c r="B2149" i="1"/>
  <c r="A2149" i="1"/>
  <c r="D2146" i="1"/>
  <c r="B2146" i="1"/>
  <c r="A2146" i="1"/>
  <c r="D2148" i="1"/>
  <c r="B2148" i="1"/>
  <c r="A2148" i="1"/>
  <c r="D2145" i="1"/>
  <c r="B2145" i="1"/>
  <c r="A2145" i="1"/>
  <c r="D2136" i="1"/>
  <c r="B2136" i="1"/>
  <c r="A2136" i="1"/>
  <c r="D2139" i="1"/>
  <c r="B2139" i="1"/>
  <c r="A2139" i="1"/>
  <c r="D2143" i="1"/>
  <c r="B2143" i="1"/>
  <c r="A2143" i="1"/>
  <c r="D2137" i="1"/>
  <c r="C2137" i="1"/>
  <c r="B2137" i="1"/>
  <c r="A2137" i="1"/>
  <c r="D2135" i="1"/>
  <c r="B2135" i="1"/>
  <c r="A2135" i="1"/>
  <c r="D2141" i="1"/>
  <c r="C2141" i="1"/>
  <c r="B2141" i="1"/>
  <c r="A2141" i="1"/>
  <c r="D2142" i="1"/>
  <c r="B2142" i="1"/>
  <c r="A2142" i="1"/>
  <c r="D2138" i="1"/>
  <c r="B2138" i="1"/>
  <c r="A2138" i="1"/>
  <c r="D2147" i="1"/>
  <c r="B2147" i="1"/>
  <c r="A2147" i="1"/>
  <c r="D2134" i="1"/>
  <c r="B2134" i="1"/>
  <c r="A2134" i="1"/>
  <c r="D2144" i="1"/>
  <c r="B2144" i="1"/>
  <c r="A2144" i="1"/>
  <c r="D2140" i="1"/>
  <c r="B2140" i="1"/>
  <c r="A2140" i="1"/>
  <c r="D2133" i="1"/>
  <c r="B2133" i="1"/>
  <c r="A2133" i="1"/>
  <c r="D2132" i="1"/>
  <c r="B2132" i="1"/>
  <c r="A2132" i="1"/>
  <c r="D2131" i="1"/>
  <c r="B2131" i="1"/>
  <c r="A2131" i="1"/>
  <c r="D2130" i="1"/>
  <c r="B2130" i="1"/>
  <c r="A2130" i="1"/>
  <c r="D2128" i="1"/>
  <c r="B2128" i="1"/>
  <c r="A2128" i="1"/>
  <c r="D2129" i="1"/>
  <c r="B2129" i="1"/>
  <c r="A2129" i="1"/>
  <c r="D2127" i="1"/>
  <c r="C2127" i="1"/>
  <c r="B2127" i="1"/>
  <c r="A2127" i="1"/>
  <c r="D2126" i="1"/>
  <c r="B2126" i="1"/>
  <c r="A2126" i="1"/>
  <c r="D2123" i="1"/>
  <c r="B2123" i="1"/>
  <c r="A2123" i="1"/>
  <c r="D2122" i="1"/>
  <c r="C2122" i="1"/>
  <c r="B2122" i="1"/>
  <c r="A2122" i="1"/>
  <c r="D2124" i="1"/>
  <c r="B2124" i="1"/>
  <c r="A2124" i="1"/>
  <c r="D2121" i="1"/>
  <c r="C2121" i="1"/>
  <c r="B2121" i="1"/>
  <c r="A2121" i="1"/>
  <c r="D2125" i="1"/>
  <c r="B2125" i="1"/>
  <c r="A2125" i="1"/>
  <c r="D2120" i="1"/>
  <c r="B2120" i="1"/>
  <c r="A2120" i="1"/>
  <c r="D2118" i="1"/>
  <c r="B2118" i="1"/>
  <c r="A2118" i="1"/>
  <c r="D2119" i="1"/>
  <c r="C2119" i="1"/>
  <c r="B2119" i="1"/>
  <c r="A2119" i="1"/>
  <c r="D2117" i="1"/>
  <c r="C2117" i="1"/>
  <c r="B2117" i="1"/>
  <c r="A2117" i="1"/>
  <c r="D2116" i="1"/>
  <c r="B2116" i="1"/>
  <c r="A2116" i="1"/>
  <c r="D2115" i="1"/>
  <c r="B2115" i="1"/>
  <c r="A2115" i="1"/>
  <c r="D2114" i="1"/>
  <c r="B2114" i="1"/>
  <c r="A2114" i="1"/>
  <c r="D2113" i="1"/>
  <c r="B2113" i="1"/>
  <c r="A2113" i="1"/>
  <c r="D2112" i="1"/>
  <c r="B2112" i="1"/>
  <c r="A2112" i="1"/>
  <c r="D2111" i="1"/>
  <c r="B2111" i="1"/>
  <c r="A2111" i="1"/>
  <c r="D2110" i="1"/>
  <c r="C2110" i="1"/>
  <c r="B2110" i="1"/>
  <c r="A2110" i="1"/>
  <c r="D2109" i="1"/>
  <c r="B2109" i="1"/>
  <c r="A2109" i="1"/>
  <c r="D2108" i="1"/>
  <c r="B2108" i="1"/>
  <c r="A2108" i="1"/>
  <c r="D2107" i="1"/>
  <c r="C2107" i="1"/>
  <c r="B2107" i="1"/>
  <c r="A2107" i="1"/>
  <c r="D2105" i="1"/>
  <c r="B2105" i="1"/>
  <c r="A2105" i="1"/>
  <c r="D2106" i="1"/>
  <c r="B2106" i="1"/>
  <c r="A2106" i="1"/>
  <c r="D2101" i="1"/>
  <c r="B2101" i="1"/>
  <c r="A2101" i="1"/>
  <c r="D2102" i="1"/>
  <c r="B2102" i="1"/>
  <c r="A2102" i="1"/>
  <c r="D2103" i="1"/>
  <c r="C2103" i="1"/>
  <c r="B2103" i="1"/>
  <c r="A2103" i="1"/>
  <c r="D2104" i="1"/>
  <c r="B2104" i="1"/>
  <c r="A2104" i="1"/>
  <c r="D2100" i="1"/>
  <c r="B2100" i="1"/>
  <c r="A2100" i="1"/>
  <c r="D2099" i="1"/>
  <c r="B2099" i="1"/>
  <c r="A2099" i="1"/>
  <c r="D2098" i="1"/>
  <c r="B2098" i="1"/>
  <c r="A2098" i="1"/>
  <c r="D2097" i="1"/>
  <c r="C2097" i="1"/>
  <c r="B2097" i="1"/>
  <c r="A2097" i="1"/>
  <c r="D2094" i="1"/>
  <c r="B2094" i="1"/>
  <c r="A2094" i="1"/>
  <c r="D2095" i="1"/>
  <c r="B2095" i="1"/>
  <c r="A2095" i="1"/>
  <c r="D2096" i="1"/>
  <c r="B2096" i="1"/>
  <c r="A2096" i="1"/>
  <c r="D2093" i="1"/>
  <c r="C2093" i="1"/>
  <c r="B2093" i="1"/>
  <c r="A2093" i="1"/>
  <c r="D2092" i="1"/>
  <c r="B2092" i="1"/>
  <c r="A2092" i="1"/>
  <c r="D2087" i="1"/>
  <c r="B2087" i="1"/>
  <c r="A2087" i="1"/>
  <c r="D2088" i="1"/>
  <c r="B2088" i="1"/>
  <c r="A2088" i="1"/>
  <c r="D2090" i="1"/>
  <c r="B2090" i="1"/>
  <c r="A2090" i="1"/>
  <c r="D2089" i="1"/>
  <c r="B2089" i="1"/>
  <c r="A2089" i="1"/>
  <c r="D2091" i="1"/>
  <c r="B2091" i="1"/>
  <c r="A2091" i="1"/>
  <c r="D2086" i="1"/>
  <c r="B2086" i="1"/>
  <c r="A2086" i="1"/>
  <c r="D2084" i="1"/>
  <c r="C2084" i="1"/>
  <c r="B2084" i="1"/>
  <c r="A2084" i="1"/>
  <c r="D2085" i="1"/>
  <c r="B2085" i="1"/>
  <c r="A2085" i="1"/>
  <c r="D2083" i="1"/>
  <c r="B2083" i="1"/>
  <c r="A2083" i="1"/>
  <c r="D2080" i="1"/>
  <c r="B2080" i="1"/>
  <c r="A2080" i="1"/>
  <c r="D2081" i="1"/>
  <c r="B2081" i="1"/>
  <c r="A2081" i="1"/>
  <c r="D2082" i="1"/>
  <c r="B2082" i="1"/>
  <c r="A2082" i="1"/>
  <c r="D2079" i="1"/>
  <c r="C2079" i="1"/>
  <c r="B2079" i="1"/>
  <c r="A2079" i="1"/>
  <c r="D2078" i="1"/>
  <c r="B2078" i="1"/>
  <c r="A2078" i="1"/>
  <c r="D2077" i="1"/>
  <c r="B2077" i="1"/>
  <c r="A2077" i="1"/>
  <c r="D2076" i="1"/>
  <c r="B2076" i="1"/>
  <c r="A2076" i="1"/>
  <c r="D2075" i="1"/>
  <c r="B2075" i="1"/>
  <c r="A2075" i="1"/>
  <c r="D2070" i="1"/>
  <c r="B2070" i="1"/>
  <c r="A2070" i="1"/>
  <c r="D2074" i="1"/>
  <c r="C2074" i="1"/>
  <c r="B2074" i="1"/>
  <c r="A2074" i="1"/>
  <c r="D2072" i="1"/>
  <c r="B2072" i="1"/>
  <c r="A2072" i="1"/>
  <c r="D2071" i="1"/>
  <c r="B2071" i="1"/>
  <c r="A2071" i="1"/>
  <c r="D2073" i="1"/>
  <c r="B2073" i="1"/>
  <c r="A2073" i="1"/>
  <c r="D2069" i="1"/>
  <c r="B2069" i="1"/>
  <c r="A2069" i="1"/>
  <c r="D2068" i="1"/>
  <c r="B2068" i="1"/>
  <c r="A2068" i="1"/>
  <c r="D2067" i="1"/>
  <c r="B2067" i="1"/>
  <c r="A2067" i="1"/>
  <c r="D2066" i="1"/>
  <c r="B2066" i="1"/>
  <c r="A2066" i="1"/>
  <c r="D2065" i="1"/>
  <c r="B2065" i="1"/>
  <c r="A2065" i="1"/>
  <c r="D2061" i="1"/>
  <c r="B2061" i="1"/>
  <c r="A2061" i="1"/>
  <c r="D2063" i="1"/>
  <c r="B2063" i="1"/>
  <c r="A2063" i="1"/>
  <c r="D2062" i="1"/>
  <c r="C2062" i="1"/>
  <c r="B2062" i="1"/>
  <c r="A2062" i="1"/>
  <c r="D2060" i="1"/>
  <c r="B2060" i="1"/>
  <c r="A2060" i="1"/>
  <c r="D2064" i="1"/>
  <c r="B2064" i="1"/>
  <c r="A2064" i="1"/>
  <c r="D2059" i="1"/>
  <c r="B2059" i="1"/>
  <c r="A2059" i="1"/>
  <c r="D2058" i="1"/>
  <c r="C2058" i="1"/>
  <c r="B2058" i="1"/>
  <c r="A2058" i="1"/>
  <c r="D2057" i="1"/>
  <c r="B2057" i="1"/>
  <c r="A2057" i="1"/>
  <c r="D2056" i="1"/>
  <c r="B2056" i="1"/>
  <c r="A2056" i="1"/>
  <c r="D2055" i="1"/>
  <c r="B2055" i="1"/>
  <c r="A2055" i="1"/>
  <c r="D2054" i="1"/>
  <c r="B2054" i="1"/>
  <c r="A2054" i="1"/>
  <c r="D2052" i="1"/>
  <c r="B2052" i="1"/>
  <c r="A2052" i="1"/>
  <c r="D2053" i="1"/>
  <c r="B2053" i="1"/>
  <c r="A2053" i="1"/>
  <c r="D2051" i="1"/>
  <c r="B2051" i="1"/>
  <c r="A2051" i="1"/>
  <c r="D2050" i="1"/>
  <c r="B2050" i="1"/>
  <c r="A2050" i="1"/>
  <c r="D2049" i="1"/>
  <c r="B2049" i="1"/>
  <c r="A2049" i="1"/>
  <c r="D2048" i="1"/>
  <c r="C2048" i="1"/>
  <c r="B2048" i="1"/>
  <c r="A2048" i="1"/>
  <c r="D2047" i="1"/>
  <c r="C2047" i="1"/>
  <c r="B2047" i="1"/>
  <c r="A2047" i="1"/>
  <c r="D2046" i="1"/>
  <c r="B2046" i="1"/>
  <c r="A2046" i="1"/>
  <c r="D2045" i="1"/>
  <c r="B2045" i="1"/>
  <c r="A2045" i="1"/>
  <c r="D2044" i="1"/>
  <c r="B2044" i="1"/>
  <c r="A2044" i="1"/>
  <c r="D2043" i="1"/>
  <c r="B2043" i="1"/>
  <c r="A2043" i="1"/>
  <c r="D2042" i="1"/>
  <c r="C2042" i="1"/>
  <c r="B2042" i="1"/>
  <c r="A2042" i="1"/>
  <c r="D2040" i="1"/>
  <c r="C2040" i="1"/>
  <c r="B2040" i="1"/>
  <c r="A2040" i="1"/>
  <c r="D2041" i="1"/>
  <c r="B2041" i="1"/>
  <c r="A2041" i="1"/>
  <c r="D2039" i="1"/>
  <c r="B2039" i="1"/>
  <c r="A2039" i="1"/>
  <c r="D2038" i="1"/>
  <c r="B2038" i="1"/>
  <c r="A2038" i="1"/>
  <c r="D2036" i="1"/>
  <c r="C2036" i="1"/>
  <c r="B2036" i="1"/>
  <c r="A2036" i="1"/>
  <c r="D2037" i="1"/>
  <c r="B2037" i="1"/>
  <c r="A2037" i="1"/>
  <c r="D2035" i="1"/>
  <c r="C2035" i="1"/>
  <c r="B2035" i="1"/>
  <c r="A2035" i="1"/>
  <c r="D2034" i="1"/>
  <c r="B2034" i="1"/>
  <c r="A2034" i="1"/>
  <c r="D2033" i="1"/>
  <c r="B2033" i="1"/>
  <c r="A2033" i="1"/>
  <c r="D2032" i="1"/>
  <c r="B2032" i="1"/>
  <c r="A2032" i="1"/>
  <c r="D2031" i="1"/>
  <c r="B2031" i="1"/>
  <c r="A2031" i="1"/>
  <c r="D2030" i="1"/>
  <c r="C2030" i="1"/>
  <c r="B2030" i="1"/>
  <c r="A2030" i="1"/>
  <c r="D2029" i="1"/>
  <c r="B2029" i="1"/>
  <c r="A2029" i="1"/>
  <c r="D2028" i="1"/>
  <c r="B2028" i="1"/>
  <c r="A2028" i="1"/>
  <c r="D2027" i="1"/>
  <c r="B2027" i="1"/>
  <c r="A2027" i="1"/>
  <c r="D2026" i="1"/>
  <c r="C2026" i="1"/>
  <c r="B2026" i="1"/>
  <c r="A2026" i="1"/>
  <c r="D2025" i="1"/>
  <c r="B2025" i="1"/>
  <c r="A2025" i="1"/>
  <c r="D2023" i="1"/>
  <c r="B2023" i="1"/>
  <c r="A2023" i="1"/>
  <c r="D2024" i="1"/>
  <c r="B2024" i="1"/>
  <c r="A2024" i="1"/>
  <c r="D2022" i="1"/>
  <c r="B2022" i="1"/>
  <c r="A2022" i="1"/>
  <c r="D2021" i="1"/>
  <c r="C2021" i="1"/>
  <c r="B2021" i="1"/>
  <c r="A2021" i="1"/>
  <c r="D2020" i="1"/>
  <c r="C2020" i="1"/>
  <c r="B2020" i="1"/>
  <c r="A2020" i="1"/>
  <c r="D2019" i="1"/>
  <c r="B2019" i="1"/>
  <c r="A2019" i="1"/>
  <c r="D2017" i="1"/>
  <c r="B2017" i="1"/>
  <c r="A2017" i="1"/>
  <c r="D2018" i="1"/>
  <c r="B2018" i="1"/>
  <c r="A2018" i="1"/>
  <c r="D2016" i="1"/>
  <c r="B2016" i="1"/>
  <c r="A2016" i="1"/>
  <c r="D2015" i="1"/>
  <c r="B2015" i="1"/>
  <c r="A2015" i="1"/>
  <c r="D2014" i="1"/>
  <c r="B2014" i="1"/>
  <c r="A2014" i="1"/>
  <c r="D2012" i="1"/>
  <c r="B2012" i="1"/>
  <c r="A2012" i="1"/>
  <c r="D2013" i="1"/>
  <c r="B2013" i="1"/>
  <c r="A2013" i="1"/>
  <c r="D2011" i="1"/>
  <c r="B2011" i="1"/>
  <c r="A2011" i="1"/>
  <c r="D2010" i="1"/>
  <c r="C2010" i="1"/>
  <c r="B2010" i="1"/>
  <c r="A2010" i="1"/>
  <c r="D2008" i="1"/>
  <c r="C2008" i="1"/>
  <c r="B2008" i="1"/>
  <c r="A2008" i="1"/>
  <c r="D2009" i="1"/>
  <c r="C2009" i="1"/>
  <c r="B2009" i="1"/>
  <c r="A2009" i="1"/>
  <c r="D2007" i="1"/>
  <c r="B2007" i="1"/>
  <c r="A2007" i="1"/>
  <c r="D2004" i="1"/>
  <c r="B2004" i="1"/>
  <c r="A2004" i="1"/>
  <c r="D2005" i="1"/>
  <c r="B2005" i="1"/>
  <c r="A2005" i="1"/>
  <c r="D2006" i="1"/>
  <c r="C2006" i="1"/>
  <c r="B2006" i="1"/>
  <c r="A2006" i="1"/>
  <c r="D2003" i="1"/>
  <c r="B2003" i="1"/>
  <c r="A2003" i="1"/>
  <c r="D2002" i="1"/>
  <c r="B2002" i="1"/>
  <c r="A2002" i="1"/>
  <c r="D2001" i="1"/>
  <c r="B2001" i="1"/>
  <c r="A2001" i="1"/>
  <c r="D2000" i="1"/>
  <c r="B2000" i="1"/>
  <c r="A2000" i="1"/>
  <c r="D1999" i="1"/>
  <c r="B1999" i="1"/>
  <c r="A1999" i="1"/>
  <c r="D1998" i="1"/>
  <c r="B1998" i="1"/>
  <c r="A1998" i="1"/>
  <c r="D1997" i="1"/>
  <c r="C1997" i="1"/>
  <c r="B1997" i="1"/>
  <c r="A1997" i="1"/>
  <c r="D1996" i="1"/>
  <c r="B1996" i="1"/>
  <c r="A1996" i="1"/>
  <c r="D1995" i="1"/>
  <c r="C1995" i="1"/>
  <c r="B1995" i="1"/>
  <c r="A1995" i="1"/>
  <c r="D1994" i="1"/>
  <c r="B1994" i="1"/>
  <c r="A1994" i="1"/>
  <c r="D1991" i="1"/>
  <c r="C1991" i="1"/>
  <c r="B1991" i="1"/>
  <c r="A1991" i="1"/>
  <c r="D1992" i="1"/>
  <c r="B1992" i="1"/>
  <c r="A1992" i="1"/>
  <c r="D1993" i="1"/>
  <c r="B1993" i="1"/>
  <c r="A1993" i="1"/>
  <c r="D1990" i="1"/>
  <c r="B1990" i="1"/>
  <c r="A1990" i="1"/>
  <c r="D1988" i="1"/>
  <c r="B1988" i="1"/>
  <c r="A1988" i="1"/>
  <c r="D1989" i="1"/>
  <c r="B1989" i="1"/>
  <c r="A1989" i="1"/>
  <c r="D1986" i="1"/>
  <c r="B1986" i="1"/>
  <c r="A1986" i="1"/>
  <c r="D1985" i="1"/>
  <c r="C1985" i="1"/>
  <c r="B1985" i="1"/>
  <c r="A1985" i="1"/>
  <c r="D1987" i="1"/>
  <c r="B1987" i="1"/>
  <c r="A1987" i="1"/>
  <c r="D1984" i="1"/>
  <c r="B1984" i="1"/>
  <c r="A1984" i="1"/>
  <c r="D1983" i="1"/>
  <c r="B1983" i="1"/>
  <c r="A1983" i="1"/>
  <c r="D1981" i="1"/>
  <c r="B1981" i="1"/>
  <c r="A1981" i="1"/>
  <c r="D1982" i="1"/>
  <c r="C1982" i="1"/>
  <c r="B1982" i="1"/>
  <c r="A1982" i="1"/>
  <c r="D1980" i="1"/>
  <c r="C1980" i="1"/>
  <c r="B1980" i="1"/>
  <c r="A1980" i="1"/>
  <c r="D1979" i="1"/>
  <c r="B1979" i="1"/>
  <c r="A1979" i="1"/>
  <c r="D1978" i="1"/>
  <c r="B1978" i="1"/>
  <c r="A1978" i="1"/>
  <c r="D1977" i="1"/>
  <c r="B1977" i="1"/>
  <c r="A1977" i="1"/>
  <c r="D1976" i="1"/>
  <c r="B1976" i="1"/>
  <c r="A1976" i="1"/>
  <c r="D1973" i="1"/>
  <c r="B1973" i="1"/>
  <c r="A1973" i="1"/>
  <c r="D1974" i="1"/>
  <c r="C1974" i="1"/>
  <c r="B1974" i="1"/>
  <c r="A1974" i="1"/>
  <c r="D1975" i="1"/>
  <c r="B1975" i="1"/>
  <c r="A1975" i="1"/>
  <c r="D1972" i="1"/>
  <c r="B1972" i="1"/>
  <c r="A1972" i="1"/>
  <c r="D1971" i="1"/>
  <c r="C1971" i="1"/>
  <c r="B1971" i="1"/>
  <c r="A1971" i="1"/>
  <c r="D1968" i="1"/>
  <c r="B1968" i="1"/>
  <c r="A1968" i="1"/>
  <c r="D1966" i="1"/>
  <c r="B1966" i="1"/>
  <c r="A1966" i="1"/>
  <c r="D1967" i="1"/>
  <c r="B1967" i="1"/>
  <c r="A1967" i="1"/>
  <c r="D1969" i="1"/>
  <c r="B1969" i="1"/>
  <c r="A1969" i="1"/>
  <c r="D1970" i="1"/>
  <c r="B1970" i="1"/>
  <c r="A1970" i="1"/>
  <c r="D1965" i="1"/>
  <c r="C1965" i="1"/>
  <c r="B1965" i="1"/>
  <c r="A1965" i="1"/>
  <c r="D1964" i="1"/>
  <c r="B1964" i="1"/>
  <c r="A1964" i="1"/>
  <c r="D1963" i="1"/>
  <c r="C1963" i="1"/>
  <c r="B1963" i="1"/>
  <c r="A1963" i="1"/>
  <c r="D1962" i="1"/>
  <c r="B1962" i="1"/>
  <c r="A1962" i="1"/>
  <c r="D1961" i="1"/>
  <c r="B1961" i="1"/>
  <c r="A1961" i="1"/>
  <c r="D1960" i="1"/>
  <c r="B1960" i="1"/>
  <c r="A1960" i="1"/>
  <c r="D1958" i="1"/>
  <c r="B1958" i="1"/>
  <c r="A1958" i="1"/>
  <c r="D1959" i="1"/>
  <c r="C1959" i="1"/>
  <c r="B1959" i="1"/>
  <c r="A1959" i="1"/>
  <c r="D1957" i="1"/>
  <c r="B1957" i="1"/>
  <c r="A1957" i="1"/>
  <c r="D1956" i="1"/>
  <c r="B1956" i="1"/>
  <c r="A1956" i="1"/>
  <c r="D1955" i="1"/>
  <c r="B1955" i="1"/>
  <c r="A1955" i="1"/>
  <c r="D1954" i="1"/>
  <c r="B1954" i="1"/>
  <c r="A1954" i="1"/>
  <c r="D1953" i="1"/>
  <c r="B1953" i="1"/>
  <c r="A1953" i="1"/>
  <c r="D1952" i="1"/>
  <c r="B1952" i="1"/>
  <c r="A1952" i="1"/>
  <c r="D1951" i="1"/>
  <c r="B1951" i="1"/>
  <c r="A1951" i="1"/>
  <c r="D1950" i="1"/>
  <c r="B1950" i="1"/>
  <c r="A1950" i="1"/>
  <c r="D1949" i="1"/>
  <c r="C1949" i="1"/>
  <c r="B1949" i="1"/>
  <c r="A1949" i="1"/>
  <c r="D1948" i="1"/>
  <c r="B1948" i="1"/>
  <c r="A1948" i="1"/>
  <c r="D1947" i="1"/>
  <c r="B1947" i="1"/>
  <c r="A1947" i="1"/>
  <c r="D1946" i="1"/>
  <c r="B1946" i="1"/>
  <c r="A1946" i="1"/>
  <c r="D1945" i="1"/>
  <c r="B1945" i="1"/>
  <c r="A1945" i="1"/>
  <c r="D1944" i="1"/>
  <c r="B1944" i="1"/>
  <c r="A1944" i="1"/>
  <c r="D1943" i="1"/>
  <c r="C1943" i="1"/>
  <c r="B1943" i="1"/>
  <c r="A1943" i="1"/>
  <c r="D1942" i="1"/>
  <c r="B1942" i="1"/>
  <c r="A1942" i="1"/>
  <c r="D1941" i="1"/>
  <c r="B1941" i="1"/>
  <c r="A1941" i="1"/>
  <c r="D1940" i="1"/>
  <c r="B1940" i="1"/>
  <c r="A1940" i="1"/>
  <c r="D1939" i="1"/>
  <c r="B1939" i="1"/>
  <c r="A1939" i="1"/>
  <c r="D1938" i="1"/>
  <c r="B1938" i="1"/>
  <c r="A1938" i="1"/>
  <c r="D1937" i="1"/>
  <c r="B1937" i="1"/>
  <c r="A1937" i="1"/>
  <c r="D1936" i="1"/>
  <c r="B1936" i="1"/>
  <c r="A1936" i="1"/>
  <c r="D1935" i="1"/>
  <c r="B1935" i="1"/>
  <c r="A1935" i="1"/>
  <c r="D1933" i="1"/>
  <c r="A1933" i="1"/>
  <c r="D1934" i="1"/>
  <c r="B1934" i="1"/>
  <c r="A1934" i="1"/>
  <c r="D1932" i="1"/>
  <c r="C1932" i="1"/>
  <c r="B1932" i="1"/>
  <c r="A1932" i="1"/>
  <c r="D1931" i="1"/>
  <c r="C1931" i="1"/>
  <c r="B1931" i="1"/>
  <c r="A1931" i="1"/>
  <c r="D1929" i="1"/>
  <c r="B1929" i="1"/>
  <c r="A1929" i="1"/>
  <c r="D1928" i="1"/>
  <c r="B1928" i="1"/>
  <c r="A1928" i="1"/>
  <c r="D1930" i="1"/>
  <c r="B1930" i="1"/>
  <c r="A1930" i="1"/>
  <c r="D1926" i="1"/>
  <c r="B1926" i="1"/>
  <c r="A1926" i="1"/>
  <c r="D1927" i="1"/>
  <c r="B1927" i="1"/>
  <c r="A1927" i="1"/>
  <c r="D1925" i="1"/>
  <c r="C1925" i="1"/>
  <c r="B1925" i="1"/>
  <c r="A1925" i="1"/>
  <c r="D1923" i="1"/>
  <c r="B1923" i="1"/>
  <c r="A1923" i="1"/>
  <c r="D1924" i="1"/>
  <c r="C1924" i="1"/>
  <c r="B1924" i="1"/>
  <c r="A1924" i="1"/>
  <c r="D1922" i="1"/>
  <c r="B1922" i="1"/>
  <c r="A1922" i="1"/>
  <c r="D1921" i="1"/>
  <c r="B1921" i="1"/>
  <c r="A1921" i="1"/>
  <c r="D1920" i="1"/>
  <c r="C1920" i="1"/>
  <c r="B1920" i="1"/>
  <c r="A1920" i="1"/>
  <c r="D1919" i="1"/>
  <c r="B1919" i="1"/>
  <c r="A1919" i="1"/>
  <c r="D1914" i="1"/>
  <c r="C1914" i="1"/>
  <c r="B1914" i="1"/>
  <c r="A1914" i="1"/>
  <c r="D1913" i="1"/>
  <c r="C1913" i="1"/>
  <c r="B1913" i="1"/>
  <c r="A1913" i="1"/>
  <c r="D1918" i="1"/>
  <c r="B1918" i="1"/>
  <c r="A1918" i="1"/>
  <c r="D1917" i="1"/>
  <c r="B1917" i="1"/>
  <c r="A1917" i="1"/>
  <c r="D1916" i="1"/>
  <c r="B1916" i="1"/>
  <c r="A1916" i="1"/>
  <c r="D1915" i="1"/>
  <c r="B1915" i="1"/>
  <c r="A1915" i="1"/>
  <c r="D1912" i="1"/>
  <c r="C1912" i="1"/>
  <c r="B1912" i="1"/>
  <c r="A1912" i="1"/>
  <c r="D1911" i="1"/>
  <c r="C1911" i="1"/>
  <c r="B1911" i="1"/>
  <c r="A1911" i="1"/>
  <c r="D1910" i="1"/>
  <c r="B1910" i="1"/>
  <c r="A1910" i="1"/>
  <c r="D1909" i="1"/>
  <c r="B1909" i="1"/>
  <c r="A1909" i="1"/>
  <c r="D1908" i="1"/>
  <c r="B1908" i="1"/>
  <c r="A1908" i="1"/>
  <c r="D1905" i="1"/>
  <c r="C1905" i="1"/>
  <c r="B1905" i="1"/>
  <c r="A1905" i="1"/>
  <c r="D1906" i="1"/>
  <c r="C1906" i="1"/>
  <c r="B1906" i="1"/>
  <c r="A1906" i="1"/>
  <c r="D1907" i="1"/>
  <c r="B1907" i="1"/>
  <c r="A1907" i="1"/>
  <c r="D1903" i="1"/>
  <c r="C1903" i="1"/>
  <c r="B1903" i="1"/>
  <c r="A1903" i="1"/>
  <c r="D1904" i="1"/>
  <c r="B1904" i="1"/>
  <c r="A1904" i="1"/>
  <c r="D1902" i="1"/>
  <c r="C1902" i="1"/>
  <c r="B1902" i="1"/>
  <c r="A1902" i="1"/>
  <c r="D1901" i="1"/>
  <c r="B1901" i="1"/>
  <c r="A1901" i="1"/>
  <c r="D1900" i="1"/>
  <c r="C1900" i="1"/>
  <c r="B1900" i="1"/>
  <c r="A1900" i="1"/>
  <c r="D1899" i="1"/>
  <c r="B1899" i="1"/>
  <c r="A1899" i="1"/>
  <c r="D1898" i="1"/>
  <c r="B1898" i="1"/>
  <c r="A1898" i="1"/>
  <c r="D1897" i="1"/>
  <c r="B1897" i="1"/>
  <c r="A1897" i="1"/>
  <c r="D1896" i="1"/>
  <c r="C1896" i="1"/>
  <c r="B1896" i="1"/>
  <c r="A1896" i="1"/>
  <c r="D1895" i="1"/>
  <c r="B1895" i="1"/>
  <c r="A1895" i="1"/>
  <c r="D1894" i="1"/>
  <c r="B1894" i="1"/>
  <c r="A1894" i="1"/>
  <c r="D1893" i="1"/>
  <c r="C1893" i="1"/>
  <c r="B1893" i="1"/>
  <c r="A1893" i="1"/>
  <c r="D1890" i="1"/>
  <c r="B1890" i="1"/>
  <c r="A1890" i="1"/>
  <c r="D1891" i="1"/>
  <c r="B1891" i="1"/>
  <c r="A1891" i="1"/>
  <c r="D1889" i="1"/>
  <c r="B1889" i="1"/>
  <c r="A1889" i="1"/>
  <c r="D1888" i="1"/>
  <c r="C1888" i="1"/>
  <c r="B1888" i="1"/>
  <c r="A1888" i="1"/>
  <c r="D1892" i="1"/>
  <c r="B1892" i="1"/>
  <c r="A1892" i="1"/>
  <c r="D1885" i="1"/>
  <c r="B1885" i="1"/>
  <c r="A1885" i="1"/>
  <c r="D1887" i="1"/>
  <c r="B1887" i="1"/>
  <c r="A1887" i="1"/>
  <c r="D1886" i="1"/>
  <c r="B1886" i="1"/>
  <c r="A1886" i="1"/>
  <c r="D1884" i="1"/>
  <c r="B1884" i="1"/>
  <c r="A1884" i="1"/>
  <c r="D1882" i="1"/>
  <c r="B1882" i="1"/>
  <c r="A1882" i="1"/>
  <c r="D1883" i="1"/>
  <c r="B1883" i="1"/>
  <c r="A1883" i="1"/>
  <c r="D1878" i="1"/>
  <c r="B1878" i="1"/>
  <c r="A1878" i="1"/>
  <c r="D1879" i="1"/>
  <c r="C1879" i="1"/>
  <c r="B1879" i="1"/>
  <c r="A1879" i="1"/>
  <c r="D1880" i="1"/>
  <c r="B1880" i="1"/>
  <c r="A1880" i="1"/>
  <c r="D1881" i="1"/>
  <c r="B1881" i="1"/>
  <c r="A1881" i="1"/>
  <c r="D1877" i="1"/>
  <c r="B1877" i="1"/>
  <c r="A1877" i="1"/>
  <c r="D1876" i="1"/>
  <c r="B1876" i="1"/>
  <c r="A1876" i="1"/>
  <c r="D1875" i="1"/>
  <c r="B1875" i="1"/>
  <c r="A1875" i="1"/>
  <c r="D1874" i="1"/>
  <c r="B1874" i="1"/>
  <c r="A1874" i="1"/>
  <c r="D1873" i="1"/>
  <c r="B1873" i="1"/>
  <c r="A1873" i="1"/>
  <c r="D1872" i="1"/>
  <c r="B1872" i="1"/>
  <c r="A1872" i="1"/>
  <c r="D1871" i="1"/>
  <c r="C1871" i="1"/>
  <c r="B1871" i="1"/>
  <c r="A1871" i="1"/>
  <c r="D1870" i="1"/>
  <c r="B1870" i="1"/>
  <c r="A1870" i="1"/>
  <c r="D1868" i="1"/>
  <c r="C1868" i="1"/>
  <c r="B1868" i="1"/>
  <c r="A1868" i="1"/>
  <c r="D1866" i="1"/>
  <c r="B1866" i="1"/>
  <c r="A1866" i="1"/>
  <c r="D1867" i="1"/>
  <c r="A1867" i="1"/>
  <c r="D1869" i="1"/>
  <c r="B1869" i="1"/>
  <c r="A1869" i="1"/>
  <c r="D1864" i="1"/>
  <c r="C1864" i="1"/>
  <c r="B1864" i="1"/>
  <c r="A1864" i="1"/>
  <c r="D1865" i="1"/>
  <c r="B1865" i="1"/>
  <c r="A1865" i="1"/>
  <c r="D1863" i="1"/>
  <c r="B1863" i="1"/>
  <c r="A1863" i="1"/>
  <c r="D1862" i="1"/>
  <c r="C1862" i="1"/>
  <c r="B1862" i="1"/>
  <c r="A1862" i="1"/>
  <c r="D1861" i="1"/>
  <c r="B1861" i="1"/>
  <c r="A1861" i="1"/>
  <c r="D1860" i="1"/>
  <c r="B1860" i="1"/>
  <c r="A1860" i="1"/>
  <c r="D1858" i="1"/>
  <c r="B1858" i="1"/>
  <c r="A1858" i="1"/>
  <c r="D1859" i="1"/>
  <c r="B1859" i="1"/>
  <c r="A1859" i="1"/>
  <c r="D1857" i="1"/>
  <c r="B1857" i="1"/>
  <c r="A1857" i="1"/>
  <c r="D1856" i="1"/>
  <c r="B1856" i="1"/>
  <c r="A1856" i="1"/>
  <c r="D1855" i="1"/>
  <c r="B1855" i="1"/>
  <c r="A1855" i="1"/>
  <c r="D1854" i="1"/>
  <c r="B1854" i="1"/>
  <c r="A1854" i="1"/>
  <c r="D1853" i="1"/>
  <c r="B1853" i="1"/>
  <c r="A1853" i="1"/>
  <c r="D1851" i="1"/>
  <c r="B1851" i="1"/>
  <c r="A1851" i="1"/>
  <c r="D1849" i="1"/>
  <c r="B1849" i="1"/>
  <c r="A1849" i="1"/>
  <c r="D1852" i="1"/>
  <c r="B1852" i="1"/>
  <c r="A1852" i="1"/>
  <c r="D1850" i="1"/>
  <c r="B1850" i="1"/>
  <c r="A1850" i="1"/>
  <c r="D1848" i="1"/>
  <c r="B1848" i="1"/>
  <c r="A1848" i="1"/>
  <c r="D1847" i="1"/>
  <c r="B1847" i="1"/>
  <c r="A1847" i="1"/>
  <c r="D1846" i="1"/>
  <c r="C1846" i="1"/>
  <c r="B1846" i="1"/>
  <c r="A1846" i="1"/>
  <c r="D1845" i="1"/>
  <c r="B1845" i="1"/>
  <c r="A1845" i="1"/>
  <c r="D1844" i="1"/>
  <c r="B1844" i="1"/>
  <c r="A1844" i="1"/>
  <c r="D1843" i="1"/>
  <c r="B1843" i="1"/>
  <c r="A1843" i="1"/>
  <c r="D1842" i="1"/>
  <c r="B1842" i="1"/>
  <c r="A1842" i="1"/>
  <c r="D1841" i="1"/>
  <c r="C1841" i="1"/>
  <c r="B1841" i="1"/>
  <c r="A1841" i="1"/>
  <c r="D1839" i="1"/>
  <c r="B1839" i="1"/>
  <c r="A1839" i="1"/>
  <c r="D1840" i="1"/>
  <c r="B1840" i="1"/>
  <c r="A1840" i="1"/>
  <c r="D1838" i="1"/>
  <c r="B1838" i="1"/>
  <c r="A1838" i="1"/>
  <c r="D1837" i="1"/>
  <c r="B1837" i="1"/>
  <c r="A1837" i="1"/>
  <c r="D1836" i="1"/>
  <c r="B1836" i="1"/>
  <c r="A1836" i="1"/>
  <c r="D1835" i="1"/>
  <c r="A1835" i="1"/>
  <c r="D1834" i="1"/>
  <c r="B1834" i="1"/>
  <c r="A1834" i="1"/>
  <c r="D1833" i="1"/>
  <c r="B1833" i="1"/>
  <c r="A1833" i="1"/>
  <c r="D1832" i="1"/>
  <c r="B1832" i="1"/>
  <c r="A1832" i="1"/>
  <c r="D1830" i="1"/>
  <c r="B1830" i="1"/>
  <c r="A1830" i="1"/>
  <c r="D1831" i="1"/>
  <c r="B1831" i="1"/>
  <c r="A1831" i="1"/>
  <c r="D1829" i="1"/>
  <c r="B1829" i="1"/>
  <c r="A1829" i="1"/>
  <c r="D1828" i="1"/>
  <c r="B1828" i="1"/>
  <c r="A1828" i="1"/>
  <c r="D1827" i="1"/>
  <c r="B1827" i="1"/>
  <c r="A1827" i="1"/>
  <c r="D1826" i="1"/>
  <c r="B1826" i="1"/>
  <c r="A1826" i="1"/>
  <c r="D1825" i="1"/>
  <c r="B1825" i="1"/>
  <c r="A1825" i="1"/>
  <c r="D1824" i="1"/>
  <c r="B1824" i="1"/>
  <c r="A1824" i="1"/>
  <c r="D1823" i="1"/>
  <c r="C1823" i="1"/>
  <c r="B1823" i="1"/>
  <c r="A1823" i="1"/>
  <c r="D1822" i="1"/>
  <c r="B1822" i="1"/>
  <c r="A1822" i="1"/>
  <c r="D1821" i="1"/>
  <c r="B1821" i="1"/>
  <c r="A1821" i="1"/>
  <c r="D1820" i="1"/>
  <c r="B1820" i="1"/>
  <c r="A1820" i="1"/>
  <c r="D1819" i="1"/>
  <c r="B1819" i="1"/>
  <c r="A1819" i="1"/>
  <c r="D1818" i="1"/>
  <c r="B1818" i="1"/>
  <c r="A1818" i="1"/>
  <c r="D1817" i="1"/>
  <c r="B1817" i="1"/>
  <c r="A1817" i="1"/>
  <c r="D1816" i="1"/>
  <c r="B1816" i="1"/>
  <c r="A1816" i="1"/>
  <c r="D1815" i="1"/>
  <c r="B1815" i="1"/>
  <c r="A1815" i="1"/>
  <c r="D1814" i="1"/>
  <c r="C1814" i="1"/>
  <c r="B1814" i="1"/>
  <c r="A1814" i="1"/>
  <c r="D1813" i="1"/>
  <c r="C1813" i="1"/>
  <c r="B1813" i="1"/>
  <c r="A1813" i="1"/>
  <c r="D1812" i="1"/>
  <c r="B1812" i="1"/>
  <c r="A1812" i="1"/>
  <c r="D1811" i="1"/>
  <c r="C1811" i="1"/>
  <c r="B1811" i="1"/>
  <c r="A1811" i="1"/>
  <c r="D1810" i="1"/>
  <c r="B1810" i="1"/>
  <c r="A1810" i="1"/>
  <c r="D1807" i="1"/>
  <c r="C1807" i="1"/>
  <c r="B1807" i="1"/>
  <c r="A1807" i="1"/>
  <c r="D1809" i="1"/>
  <c r="B1809" i="1"/>
  <c r="A1809" i="1"/>
  <c r="D1808" i="1"/>
  <c r="B1808" i="1"/>
  <c r="A1808" i="1"/>
  <c r="D1806" i="1"/>
  <c r="B1806" i="1"/>
  <c r="A1806" i="1"/>
  <c r="D1805" i="1"/>
  <c r="C1805" i="1"/>
  <c r="B1805" i="1"/>
  <c r="A1805" i="1"/>
  <c r="D1804" i="1"/>
  <c r="B1804" i="1"/>
  <c r="A1804" i="1"/>
  <c r="D1803" i="1"/>
  <c r="C1803" i="1"/>
  <c r="B1803" i="1"/>
  <c r="A1803" i="1"/>
  <c r="D1802" i="1"/>
  <c r="B1802" i="1"/>
  <c r="A1802" i="1"/>
  <c r="D1801" i="1"/>
  <c r="B1801" i="1"/>
  <c r="A1801" i="1"/>
  <c r="D1800" i="1"/>
  <c r="B1800" i="1"/>
  <c r="A1800" i="1"/>
  <c r="D1799" i="1"/>
  <c r="B1799" i="1"/>
  <c r="A1799" i="1"/>
  <c r="D1798" i="1"/>
  <c r="B1798" i="1"/>
  <c r="A1798" i="1"/>
  <c r="D1797" i="1"/>
  <c r="B1797" i="1"/>
  <c r="A1797" i="1"/>
  <c r="D1796" i="1"/>
  <c r="B1796" i="1"/>
  <c r="A1796" i="1"/>
  <c r="D1795" i="1"/>
  <c r="B1795" i="1"/>
  <c r="A1795" i="1"/>
  <c r="D1794" i="1"/>
  <c r="C1794" i="1"/>
  <c r="B1794" i="1"/>
  <c r="A1794" i="1"/>
  <c r="D1793" i="1"/>
  <c r="B1793" i="1"/>
  <c r="A1793" i="1"/>
  <c r="D1792" i="1"/>
  <c r="B1792" i="1"/>
  <c r="A1792" i="1"/>
  <c r="D1791" i="1"/>
  <c r="B1791" i="1"/>
  <c r="A1791" i="1"/>
  <c r="D1788" i="1"/>
  <c r="A1788" i="1"/>
  <c r="D1789" i="1"/>
  <c r="A1789" i="1"/>
  <c r="D1790" i="1"/>
  <c r="B1790" i="1"/>
  <c r="A1790" i="1"/>
  <c r="D1787" i="1"/>
  <c r="B1787" i="1"/>
  <c r="A1787" i="1"/>
  <c r="D1786" i="1"/>
  <c r="C1786" i="1"/>
  <c r="B1786" i="1"/>
  <c r="A1786" i="1"/>
  <c r="D1785" i="1"/>
  <c r="B1785" i="1"/>
  <c r="A1785" i="1"/>
  <c r="D1784" i="1"/>
  <c r="C1784" i="1"/>
  <c r="B1784" i="1"/>
  <c r="A1784" i="1"/>
  <c r="D1783" i="1"/>
  <c r="B1783" i="1"/>
  <c r="A1783" i="1"/>
  <c r="D1781" i="1"/>
  <c r="C1781" i="1"/>
  <c r="B1781" i="1"/>
  <c r="A1781" i="1"/>
  <c r="D1782" i="1"/>
  <c r="B1782" i="1"/>
  <c r="A1782" i="1"/>
  <c r="D1780" i="1"/>
  <c r="B1780" i="1"/>
  <c r="A1780" i="1"/>
  <c r="D1779" i="1"/>
  <c r="B1779" i="1"/>
  <c r="A1779" i="1"/>
  <c r="D1778" i="1"/>
  <c r="B1778" i="1"/>
  <c r="A1778" i="1"/>
  <c r="D1777" i="1"/>
  <c r="B1777" i="1"/>
  <c r="A1777" i="1"/>
  <c r="D1776" i="1"/>
  <c r="B1776" i="1"/>
  <c r="A1776" i="1"/>
  <c r="D1775" i="1"/>
  <c r="B1775" i="1"/>
  <c r="A1775" i="1"/>
  <c r="D1774" i="1"/>
  <c r="C1774" i="1"/>
  <c r="B1774" i="1"/>
  <c r="A1774" i="1"/>
  <c r="D1773" i="1"/>
  <c r="B1773" i="1"/>
  <c r="A1773" i="1"/>
  <c r="D1772" i="1"/>
  <c r="B1772" i="1"/>
  <c r="A1772" i="1"/>
  <c r="D1770" i="1"/>
  <c r="B1770" i="1"/>
  <c r="A1770" i="1"/>
  <c r="D1769" i="1"/>
  <c r="B1769" i="1"/>
  <c r="A1769" i="1"/>
  <c r="D1771" i="1"/>
  <c r="B1771" i="1"/>
  <c r="A1771" i="1"/>
  <c r="D1768" i="1"/>
  <c r="B1768" i="1"/>
  <c r="A1768" i="1"/>
  <c r="D1762" i="1"/>
  <c r="B1762" i="1"/>
  <c r="A1762" i="1"/>
  <c r="D1763" i="1"/>
  <c r="C1763" i="1"/>
  <c r="B1763" i="1"/>
  <c r="A1763" i="1"/>
  <c r="D1765" i="1"/>
  <c r="B1765" i="1"/>
  <c r="A1765" i="1"/>
  <c r="D1766" i="1"/>
  <c r="B1766" i="1"/>
  <c r="A1766" i="1"/>
  <c r="D1764" i="1"/>
  <c r="B1764" i="1"/>
  <c r="A1764" i="1"/>
  <c r="D1767" i="1"/>
  <c r="B1767" i="1"/>
  <c r="A1767" i="1"/>
  <c r="D1761" i="1"/>
  <c r="B1761" i="1"/>
  <c r="A1761" i="1"/>
  <c r="D1760" i="1"/>
  <c r="B1760" i="1"/>
  <c r="A1760" i="1"/>
  <c r="D1759" i="1"/>
  <c r="B1759" i="1"/>
  <c r="A1759" i="1"/>
  <c r="D1758" i="1"/>
  <c r="C1758" i="1"/>
  <c r="B1758" i="1"/>
  <c r="A1758" i="1"/>
  <c r="D1757" i="1"/>
  <c r="B1757" i="1"/>
  <c r="A1757" i="1"/>
  <c r="D1756" i="1"/>
  <c r="C1756" i="1"/>
  <c r="B1756" i="1"/>
  <c r="A1756" i="1"/>
  <c r="D1755" i="1"/>
  <c r="C1755" i="1"/>
  <c r="B1755" i="1"/>
  <c r="A1755" i="1"/>
  <c r="D1753" i="1"/>
  <c r="B1753" i="1"/>
  <c r="A1753" i="1"/>
  <c r="D1754" i="1"/>
  <c r="C1754" i="1"/>
  <c r="B1754" i="1"/>
  <c r="A1754" i="1"/>
  <c r="D1752" i="1"/>
  <c r="B1752" i="1"/>
  <c r="A1752" i="1"/>
  <c r="D1751" i="1"/>
  <c r="C1751" i="1"/>
  <c r="B1751" i="1"/>
  <c r="A1751" i="1"/>
  <c r="D1750" i="1"/>
  <c r="B1750" i="1"/>
  <c r="A1750" i="1"/>
  <c r="D1749" i="1"/>
  <c r="B1749" i="1"/>
  <c r="A1749" i="1"/>
  <c r="D1748" i="1"/>
  <c r="B1748" i="1"/>
  <c r="A1748" i="1"/>
  <c r="D1747" i="1"/>
  <c r="B1747" i="1"/>
  <c r="A1747" i="1"/>
  <c r="D1746" i="1"/>
  <c r="C1746" i="1"/>
  <c r="B1746" i="1"/>
  <c r="A1746" i="1"/>
  <c r="D1740" i="1"/>
  <c r="B1740" i="1"/>
  <c r="A1740" i="1"/>
  <c r="D1744" i="1"/>
  <c r="B1744" i="1"/>
  <c r="A1744" i="1"/>
  <c r="D1745" i="1"/>
  <c r="B1745" i="1"/>
  <c r="A1745" i="1"/>
  <c r="D1738" i="1"/>
  <c r="B1738" i="1"/>
  <c r="A1738" i="1"/>
  <c r="D1743" i="1"/>
  <c r="B1743" i="1"/>
  <c r="A1743" i="1"/>
  <c r="D1742" i="1"/>
  <c r="B1742" i="1"/>
  <c r="A1742" i="1"/>
  <c r="D1739" i="1"/>
  <c r="B1739" i="1"/>
  <c r="A1739" i="1"/>
  <c r="D1741" i="1"/>
  <c r="B1741" i="1"/>
  <c r="A1741" i="1"/>
  <c r="D1737" i="1"/>
  <c r="B1737" i="1"/>
  <c r="A1737" i="1"/>
  <c r="D1736" i="1"/>
  <c r="B1736" i="1"/>
  <c r="A1736" i="1"/>
  <c r="D1735" i="1"/>
  <c r="C1735" i="1"/>
  <c r="B1735" i="1"/>
  <c r="A1735" i="1"/>
  <c r="D1733" i="1"/>
  <c r="B1733" i="1"/>
  <c r="A1733" i="1"/>
  <c r="D1734" i="1"/>
  <c r="B1734" i="1"/>
  <c r="A1734" i="1"/>
  <c r="D1731" i="1"/>
  <c r="B1731" i="1"/>
  <c r="A1731" i="1"/>
  <c r="D1732" i="1"/>
  <c r="B1732" i="1"/>
  <c r="A1732" i="1"/>
  <c r="D1728" i="1"/>
  <c r="B1728" i="1"/>
  <c r="A1728" i="1"/>
  <c r="D1727" i="1"/>
  <c r="B1727" i="1"/>
  <c r="A1727" i="1"/>
  <c r="D1729" i="1"/>
  <c r="B1729" i="1"/>
  <c r="A1729" i="1"/>
  <c r="D1726" i="1"/>
  <c r="B1726" i="1"/>
  <c r="A1726" i="1"/>
  <c r="D1730" i="1"/>
  <c r="B1730" i="1"/>
  <c r="A1730" i="1"/>
  <c r="D1725" i="1"/>
  <c r="B1725" i="1"/>
  <c r="A1725" i="1"/>
  <c r="D1724" i="1"/>
  <c r="B1724" i="1"/>
  <c r="A1724" i="1"/>
  <c r="D1723" i="1"/>
  <c r="B1723" i="1"/>
  <c r="A1723" i="1"/>
  <c r="D1721" i="1"/>
  <c r="B1721" i="1"/>
  <c r="A1721" i="1"/>
  <c r="D1722" i="1"/>
  <c r="B1722" i="1"/>
  <c r="A1722" i="1"/>
  <c r="D1720" i="1"/>
  <c r="C1720" i="1"/>
  <c r="B1720" i="1"/>
  <c r="A1720" i="1"/>
  <c r="D1719" i="1"/>
  <c r="C1719" i="1"/>
  <c r="B1719" i="1"/>
  <c r="A1719" i="1"/>
  <c r="D1718" i="1"/>
  <c r="B1718" i="1"/>
  <c r="A1718" i="1"/>
  <c r="D1717" i="1"/>
  <c r="B1717" i="1"/>
  <c r="A1717" i="1"/>
  <c r="D1716" i="1"/>
  <c r="B1716" i="1"/>
  <c r="A1716" i="1"/>
  <c r="D1715" i="1"/>
  <c r="B1715" i="1"/>
  <c r="A1715" i="1"/>
  <c r="D1713" i="1"/>
  <c r="C1713" i="1"/>
  <c r="B1713" i="1"/>
  <c r="A1713" i="1"/>
  <c r="D1714" i="1"/>
  <c r="B1714" i="1"/>
  <c r="A1714" i="1"/>
  <c r="D1710" i="1"/>
  <c r="B1710" i="1"/>
  <c r="A1710" i="1"/>
  <c r="D1712" i="1"/>
  <c r="C1712" i="1"/>
  <c r="B1712" i="1"/>
  <c r="A1712" i="1"/>
  <c r="D1711" i="1"/>
  <c r="B1711" i="1"/>
  <c r="A1711" i="1"/>
  <c r="D1709" i="1"/>
  <c r="B1709" i="1"/>
  <c r="A1709" i="1"/>
  <c r="D1708" i="1"/>
  <c r="B1708" i="1"/>
  <c r="A1708" i="1"/>
  <c r="D1707" i="1"/>
  <c r="B1707" i="1"/>
  <c r="A1707" i="1"/>
  <c r="D1706" i="1"/>
  <c r="B1706" i="1"/>
  <c r="A1706" i="1"/>
  <c r="D1705" i="1"/>
  <c r="B1705" i="1"/>
  <c r="A1705" i="1"/>
  <c r="D1704" i="1"/>
  <c r="C1704" i="1"/>
  <c r="B1704" i="1"/>
  <c r="A1704" i="1"/>
  <c r="D1703" i="1"/>
  <c r="B1703" i="1"/>
  <c r="A1703" i="1"/>
  <c r="D1702" i="1"/>
  <c r="B1702" i="1"/>
  <c r="A1702" i="1"/>
  <c r="D1701" i="1"/>
  <c r="B1701" i="1"/>
  <c r="A1701" i="1"/>
  <c r="D1700" i="1"/>
  <c r="B1700" i="1"/>
  <c r="A1700" i="1"/>
  <c r="D1699" i="1"/>
  <c r="B1699" i="1"/>
  <c r="A1699" i="1"/>
  <c r="D1698" i="1"/>
  <c r="B1698" i="1"/>
  <c r="A1698" i="1"/>
  <c r="D1697" i="1"/>
  <c r="B1697" i="1"/>
  <c r="A1697" i="1"/>
  <c r="D1696" i="1"/>
  <c r="B1696" i="1"/>
  <c r="A1696" i="1"/>
  <c r="D1695" i="1"/>
  <c r="C1695" i="1"/>
  <c r="B1695" i="1"/>
  <c r="A1695" i="1"/>
  <c r="D1694" i="1"/>
  <c r="B1694" i="1"/>
  <c r="A1694" i="1"/>
  <c r="D1693" i="1"/>
  <c r="C1693" i="1"/>
  <c r="B1693" i="1"/>
  <c r="A1693" i="1"/>
  <c r="D1691" i="1"/>
  <c r="B1691" i="1"/>
  <c r="A1691" i="1"/>
  <c r="D1692" i="1"/>
  <c r="B1692" i="1"/>
  <c r="A1692" i="1"/>
  <c r="D1690" i="1"/>
  <c r="B1690" i="1"/>
  <c r="A1690" i="1"/>
  <c r="D1689" i="1"/>
  <c r="B1689" i="1"/>
  <c r="A1689" i="1"/>
  <c r="D1688" i="1"/>
  <c r="B1688" i="1"/>
  <c r="A1688" i="1"/>
  <c r="D1686" i="1"/>
  <c r="C1686" i="1"/>
  <c r="B1686" i="1"/>
  <c r="A1686" i="1"/>
  <c r="D1685" i="1"/>
  <c r="B1685" i="1"/>
  <c r="A1685" i="1"/>
  <c r="D1687" i="1"/>
  <c r="C1687" i="1"/>
  <c r="B1687" i="1"/>
  <c r="A1687" i="1"/>
  <c r="D1684" i="1"/>
  <c r="C1684" i="1"/>
  <c r="B1684" i="1"/>
  <c r="A1684" i="1"/>
  <c r="D1683" i="1"/>
  <c r="C1683" i="1"/>
  <c r="B1683" i="1"/>
  <c r="A1683" i="1"/>
  <c r="D1681" i="1"/>
  <c r="B1681" i="1"/>
  <c r="A1681" i="1"/>
  <c r="D1682" i="1"/>
  <c r="B1682" i="1"/>
  <c r="A1682" i="1"/>
  <c r="D1680" i="1"/>
  <c r="B1680" i="1"/>
  <c r="A1680" i="1"/>
  <c r="D1677" i="1"/>
  <c r="B1677" i="1"/>
  <c r="A1677" i="1"/>
  <c r="D1679" i="1"/>
  <c r="B1679" i="1"/>
  <c r="A1679" i="1"/>
  <c r="D1678" i="1"/>
  <c r="B1678" i="1"/>
  <c r="A1678" i="1"/>
  <c r="D1676" i="1"/>
  <c r="C1676" i="1"/>
  <c r="B1676" i="1"/>
  <c r="A1676" i="1"/>
  <c r="D1675" i="1"/>
  <c r="B1675" i="1"/>
  <c r="A1675" i="1"/>
  <c r="D1674" i="1"/>
  <c r="C1674" i="1"/>
  <c r="B1674" i="1"/>
  <c r="A1674" i="1"/>
  <c r="D1673" i="1"/>
  <c r="B1673" i="1"/>
  <c r="A1673" i="1"/>
  <c r="D1672" i="1"/>
  <c r="C1672" i="1"/>
  <c r="B1672" i="1"/>
  <c r="A1672" i="1"/>
  <c r="D1671" i="1"/>
  <c r="B1671" i="1"/>
  <c r="A1671" i="1"/>
  <c r="D1670" i="1"/>
  <c r="B1670" i="1"/>
  <c r="A1670" i="1"/>
  <c r="D1669" i="1"/>
  <c r="C1669" i="1"/>
  <c r="B1669" i="1"/>
  <c r="A1669" i="1"/>
  <c r="D1668" i="1"/>
  <c r="B1668" i="1"/>
  <c r="A1668" i="1"/>
  <c r="D1667" i="1"/>
  <c r="C1667" i="1"/>
  <c r="B1667" i="1"/>
  <c r="A1667" i="1"/>
  <c r="D1665" i="1"/>
  <c r="B1665" i="1"/>
  <c r="A1665" i="1"/>
  <c r="D1666" i="1"/>
  <c r="B1666" i="1"/>
  <c r="A1666" i="1"/>
  <c r="D1664" i="1"/>
  <c r="B1664" i="1"/>
  <c r="A1664" i="1"/>
  <c r="D1663" i="1"/>
  <c r="B1663" i="1"/>
  <c r="A1663" i="1"/>
  <c r="D1661" i="1"/>
  <c r="B1661" i="1"/>
  <c r="A1661" i="1"/>
  <c r="D1662" i="1"/>
  <c r="B1662" i="1"/>
  <c r="A1662" i="1"/>
  <c r="D1660" i="1"/>
  <c r="B1660" i="1"/>
  <c r="A1660" i="1"/>
  <c r="D1659" i="1"/>
  <c r="C1659" i="1"/>
  <c r="B1659" i="1"/>
  <c r="A1659" i="1"/>
  <c r="D1658" i="1"/>
  <c r="C1658" i="1"/>
  <c r="B1658" i="1"/>
  <c r="A1658" i="1"/>
  <c r="D1657" i="1"/>
  <c r="B1657" i="1"/>
  <c r="A1657" i="1"/>
  <c r="D1656" i="1"/>
  <c r="B1656" i="1"/>
  <c r="A1656" i="1"/>
  <c r="D1655" i="1"/>
  <c r="C1655" i="1"/>
  <c r="B1655" i="1"/>
  <c r="A1655" i="1"/>
  <c r="D1654" i="1"/>
  <c r="B1654" i="1"/>
  <c r="A1654" i="1"/>
  <c r="D1653" i="1"/>
  <c r="B1653" i="1"/>
  <c r="A1653" i="1"/>
  <c r="D1652" i="1"/>
  <c r="C1652" i="1"/>
  <c r="B1652" i="1"/>
  <c r="A1652" i="1"/>
  <c r="D1651" i="1"/>
  <c r="C1651" i="1"/>
  <c r="B1651" i="1"/>
  <c r="A1651" i="1"/>
  <c r="D1650" i="1"/>
  <c r="B1650" i="1"/>
  <c r="A1650" i="1"/>
  <c r="D1647" i="1"/>
  <c r="B1647" i="1"/>
  <c r="A1647" i="1"/>
  <c r="D1649" i="1"/>
  <c r="B1649" i="1"/>
  <c r="A1649" i="1"/>
  <c r="D1648" i="1"/>
  <c r="B1648" i="1"/>
  <c r="A1648" i="1"/>
  <c r="D1646" i="1"/>
  <c r="B1646" i="1"/>
  <c r="A1646" i="1"/>
  <c r="D1642" i="1"/>
  <c r="B1642" i="1"/>
  <c r="A1642" i="1"/>
  <c r="D1645" i="1"/>
  <c r="B1645" i="1"/>
  <c r="A1645" i="1"/>
  <c r="D1644" i="1"/>
  <c r="C1644" i="1"/>
  <c r="B1644" i="1"/>
  <c r="A1644" i="1"/>
  <c r="D1643" i="1"/>
  <c r="B1643" i="1"/>
  <c r="A1643" i="1"/>
  <c r="D1641" i="1"/>
  <c r="B1641" i="1"/>
  <c r="A1641" i="1"/>
  <c r="D1640" i="1"/>
  <c r="B1640" i="1"/>
  <c r="A1640" i="1"/>
  <c r="D1637" i="1"/>
  <c r="B1637" i="1"/>
  <c r="A1637" i="1"/>
  <c r="D1638" i="1"/>
  <c r="C1638" i="1"/>
  <c r="B1638" i="1"/>
  <c r="A1638" i="1"/>
  <c r="D1639" i="1"/>
  <c r="C1639" i="1"/>
  <c r="B1639" i="1"/>
  <c r="A1639" i="1"/>
  <c r="D1636" i="1"/>
  <c r="B1636" i="1"/>
  <c r="A1636" i="1"/>
  <c r="D1635" i="1"/>
  <c r="B1635" i="1"/>
  <c r="A1635" i="1"/>
  <c r="D1634" i="1"/>
  <c r="B1634" i="1"/>
  <c r="A1634" i="1"/>
  <c r="D1633" i="1"/>
  <c r="B1633" i="1"/>
  <c r="A1633" i="1"/>
  <c r="D1632" i="1"/>
  <c r="B1632" i="1"/>
  <c r="A1632" i="1"/>
  <c r="D1631" i="1"/>
  <c r="B1631" i="1"/>
  <c r="A1631" i="1"/>
  <c r="D1629" i="1"/>
  <c r="B1629" i="1"/>
  <c r="A1629" i="1"/>
  <c r="D1630" i="1"/>
  <c r="B1630" i="1"/>
  <c r="A1630" i="1"/>
  <c r="D1626" i="1"/>
  <c r="B1626" i="1"/>
  <c r="A1626" i="1"/>
  <c r="D1627" i="1"/>
  <c r="B1627" i="1"/>
  <c r="A1627" i="1"/>
  <c r="D1628" i="1"/>
  <c r="B1628" i="1"/>
  <c r="A1628" i="1"/>
  <c r="D1624" i="1"/>
  <c r="B1624" i="1"/>
  <c r="A1624" i="1"/>
  <c r="D1625" i="1"/>
  <c r="B1625" i="1"/>
  <c r="A1625" i="1"/>
  <c r="D1623" i="1"/>
  <c r="B1623" i="1"/>
  <c r="A1623" i="1"/>
  <c r="D1622" i="1"/>
  <c r="B1622" i="1"/>
  <c r="A1622" i="1"/>
  <c r="D1621" i="1"/>
  <c r="B1621" i="1"/>
  <c r="A1621" i="1"/>
  <c r="D1619" i="1"/>
  <c r="B1619" i="1"/>
  <c r="A1619" i="1"/>
  <c r="D1620" i="1"/>
  <c r="B1620" i="1"/>
  <c r="A1620" i="1"/>
  <c r="D1618" i="1"/>
  <c r="B1618" i="1"/>
  <c r="A1618" i="1"/>
  <c r="D1617" i="1"/>
  <c r="B1617" i="1"/>
  <c r="A1617" i="1"/>
  <c r="D1616" i="1"/>
  <c r="B1616" i="1"/>
  <c r="A1616" i="1"/>
  <c r="D1615" i="1"/>
  <c r="C1615" i="1"/>
  <c r="B1615" i="1"/>
  <c r="A1615" i="1"/>
  <c r="D1614" i="1"/>
  <c r="B1614" i="1"/>
  <c r="A1614" i="1"/>
  <c r="D1613" i="1"/>
  <c r="B1613" i="1"/>
  <c r="A1613" i="1"/>
  <c r="D1612" i="1"/>
  <c r="B1612" i="1"/>
  <c r="A1612" i="1"/>
  <c r="D1611" i="1"/>
  <c r="B1611" i="1"/>
  <c r="A1611" i="1"/>
  <c r="D1610" i="1"/>
  <c r="B1610" i="1"/>
  <c r="A1610" i="1"/>
  <c r="D1609" i="1"/>
  <c r="B1609" i="1"/>
  <c r="A1609" i="1"/>
  <c r="D1607" i="1"/>
  <c r="B1607" i="1"/>
  <c r="A1607" i="1"/>
  <c r="D1608" i="1"/>
  <c r="B1608" i="1"/>
  <c r="A1608" i="1"/>
  <c r="D1606" i="1"/>
  <c r="B1606" i="1"/>
  <c r="A1606" i="1"/>
  <c r="D1605" i="1"/>
  <c r="B1605" i="1"/>
  <c r="A1605" i="1"/>
  <c r="D1604" i="1"/>
  <c r="B1604" i="1"/>
  <c r="A1604" i="1"/>
  <c r="D1602" i="1"/>
  <c r="B1602" i="1"/>
  <c r="A1602" i="1"/>
  <c r="D1603" i="1"/>
  <c r="B1603" i="1"/>
  <c r="A1603" i="1"/>
  <c r="D1601" i="1"/>
  <c r="B1601" i="1"/>
  <c r="A1601" i="1"/>
  <c r="D1600" i="1"/>
  <c r="B1600" i="1"/>
  <c r="A1600" i="1"/>
  <c r="D1598" i="1"/>
  <c r="A1598" i="1"/>
  <c r="D1599" i="1"/>
  <c r="B1599" i="1"/>
  <c r="A1599" i="1"/>
  <c r="D1597" i="1"/>
  <c r="B1597" i="1"/>
  <c r="A1597" i="1"/>
  <c r="D1596" i="1"/>
  <c r="B1596" i="1"/>
  <c r="A1596" i="1"/>
  <c r="D1595" i="1"/>
  <c r="B1595" i="1"/>
  <c r="A1595" i="1"/>
  <c r="D1594" i="1"/>
  <c r="B1594" i="1"/>
  <c r="A1594" i="1"/>
  <c r="D1592" i="1"/>
  <c r="B1592" i="1"/>
  <c r="A1592" i="1"/>
  <c r="D1593" i="1"/>
  <c r="B1593" i="1"/>
  <c r="A1593" i="1"/>
  <c r="D1591" i="1"/>
  <c r="B1591" i="1"/>
  <c r="A1591" i="1"/>
  <c r="D1590" i="1"/>
  <c r="B1590" i="1"/>
  <c r="A1590" i="1"/>
  <c r="D1589" i="1"/>
  <c r="B1589" i="1"/>
  <c r="A1589" i="1"/>
  <c r="D1587" i="1"/>
  <c r="B1587" i="1"/>
  <c r="A1587" i="1"/>
  <c r="D1586" i="1"/>
  <c r="B1586" i="1"/>
  <c r="A1586" i="1"/>
  <c r="D1588" i="1"/>
  <c r="B1588" i="1"/>
  <c r="A1588" i="1"/>
  <c r="D1584" i="1"/>
  <c r="B1584" i="1"/>
  <c r="A1584" i="1"/>
  <c r="D1585" i="1"/>
  <c r="B1585" i="1"/>
  <c r="A1585" i="1"/>
  <c r="D1583" i="1"/>
  <c r="B1583" i="1"/>
  <c r="A1583" i="1"/>
  <c r="D1582" i="1"/>
  <c r="C1582" i="1"/>
  <c r="B1582" i="1"/>
  <c r="A1582" i="1"/>
  <c r="D1581" i="1"/>
  <c r="C1581" i="1"/>
  <c r="B1581" i="1"/>
  <c r="A1581" i="1"/>
  <c r="D1580" i="1"/>
  <c r="B1580" i="1"/>
  <c r="A1580" i="1"/>
  <c r="D1579" i="1"/>
  <c r="B1579" i="1"/>
  <c r="A1579" i="1"/>
  <c r="D1578" i="1"/>
  <c r="A1578" i="1"/>
  <c r="D1577" i="1"/>
  <c r="B1577" i="1"/>
  <c r="A1577" i="1"/>
  <c r="D1575" i="1"/>
  <c r="B1575" i="1"/>
  <c r="A1575" i="1"/>
  <c r="D1576" i="1"/>
  <c r="B1576" i="1"/>
  <c r="A1576" i="1"/>
  <c r="D1574" i="1"/>
  <c r="B1574" i="1"/>
  <c r="A1574" i="1"/>
  <c r="D1573" i="1"/>
  <c r="C1573" i="1"/>
  <c r="B1573" i="1"/>
  <c r="A1573" i="1"/>
  <c r="D1569" i="1"/>
  <c r="B1569" i="1"/>
  <c r="A1569" i="1"/>
  <c r="D1572" i="1"/>
  <c r="B1572" i="1"/>
  <c r="A1572" i="1"/>
  <c r="D1570" i="1"/>
  <c r="B1570" i="1"/>
  <c r="A1570" i="1"/>
  <c r="D1571" i="1"/>
  <c r="B1571" i="1"/>
  <c r="A1571" i="1"/>
  <c r="D1568" i="1"/>
  <c r="C1568" i="1"/>
  <c r="B1568" i="1"/>
  <c r="A1568" i="1"/>
  <c r="D1567" i="1"/>
  <c r="B1567" i="1"/>
  <c r="A1567" i="1"/>
  <c r="D1566" i="1"/>
  <c r="B1566" i="1"/>
  <c r="A1566" i="1"/>
  <c r="D1565" i="1"/>
  <c r="B1565" i="1"/>
  <c r="A1565" i="1"/>
  <c r="D1564" i="1"/>
  <c r="B1564" i="1"/>
  <c r="A1564" i="1"/>
  <c r="D1563" i="1"/>
  <c r="A1563" i="1"/>
  <c r="D1561" i="1"/>
  <c r="B1561" i="1"/>
  <c r="A1561" i="1"/>
  <c r="D1562" i="1"/>
  <c r="C1562" i="1"/>
  <c r="B1562" i="1"/>
  <c r="A1562" i="1"/>
  <c r="D1560" i="1"/>
  <c r="B1560" i="1"/>
  <c r="A1560" i="1"/>
  <c r="D1559" i="1"/>
  <c r="B1559" i="1"/>
  <c r="A1559" i="1"/>
  <c r="D1558" i="1"/>
  <c r="B1558" i="1"/>
  <c r="A1558" i="1"/>
  <c r="D1557" i="1"/>
  <c r="B1557" i="1"/>
  <c r="A1557" i="1"/>
  <c r="D1556" i="1"/>
  <c r="B1556" i="1"/>
  <c r="A1556" i="1"/>
  <c r="D1554" i="1"/>
  <c r="B1554" i="1"/>
  <c r="A1554" i="1"/>
  <c r="D1555" i="1"/>
  <c r="B1555" i="1"/>
  <c r="A1555" i="1"/>
  <c r="D1552" i="1"/>
  <c r="B1552" i="1"/>
  <c r="A1552" i="1"/>
  <c r="D1553" i="1"/>
  <c r="C1553" i="1"/>
  <c r="B1553" i="1"/>
  <c r="A1553" i="1"/>
  <c r="D1551" i="1"/>
  <c r="B1551" i="1"/>
  <c r="A1551" i="1"/>
  <c r="D1550" i="1"/>
  <c r="B1550" i="1"/>
  <c r="A1550" i="1"/>
  <c r="D1549" i="1"/>
  <c r="B1549" i="1"/>
  <c r="A1549" i="1"/>
  <c r="D1548" i="1"/>
  <c r="B1548" i="1"/>
  <c r="A1548" i="1"/>
  <c r="D1547" i="1"/>
  <c r="B1547" i="1"/>
  <c r="A1547" i="1"/>
  <c r="D1543" i="1"/>
  <c r="B1543" i="1"/>
  <c r="A1543" i="1"/>
  <c r="D1545" i="1"/>
  <c r="B1545" i="1"/>
  <c r="A1545" i="1"/>
  <c r="D1546" i="1"/>
  <c r="B1546" i="1"/>
  <c r="A1546" i="1"/>
  <c r="D1542" i="1"/>
  <c r="B1542" i="1"/>
  <c r="A1542" i="1"/>
  <c r="D1544" i="1"/>
  <c r="B1544" i="1"/>
  <c r="A1544" i="1"/>
  <c r="D1541" i="1"/>
  <c r="B1541" i="1"/>
  <c r="A1541" i="1"/>
  <c r="D1540" i="1"/>
  <c r="B1540" i="1"/>
  <c r="A1540" i="1"/>
  <c r="D1539" i="1"/>
  <c r="B1539" i="1"/>
  <c r="A1539" i="1"/>
  <c r="D1538" i="1"/>
  <c r="C1538" i="1"/>
  <c r="B1538" i="1"/>
  <c r="A1538" i="1"/>
  <c r="D1537" i="1"/>
  <c r="B1537" i="1"/>
  <c r="A1537" i="1"/>
  <c r="D1536" i="1"/>
  <c r="B1536" i="1"/>
  <c r="A1536" i="1"/>
  <c r="D1535" i="1"/>
  <c r="B1535" i="1"/>
  <c r="A1535" i="1"/>
  <c r="D1534" i="1"/>
  <c r="B1534" i="1"/>
  <c r="A1534" i="1"/>
  <c r="D1533" i="1"/>
  <c r="B1533" i="1"/>
  <c r="A1533" i="1"/>
  <c r="D1532" i="1"/>
  <c r="B1532" i="1"/>
  <c r="A1532" i="1"/>
  <c r="D1531" i="1"/>
  <c r="B1531" i="1"/>
  <c r="A1531" i="1"/>
  <c r="D1530" i="1"/>
  <c r="B1530" i="1"/>
  <c r="A1530" i="1"/>
  <c r="D1527" i="1"/>
  <c r="B1527" i="1"/>
  <c r="A1527" i="1"/>
  <c r="D1529" i="1"/>
  <c r="B1529" i="1"/>
  <c r="A1529" i="1"/>
  <c r="D1524" i="1"/>
  <c r="C1524" i="1"/>
  <c r="B1524" i="1"/>
  <c r="A1524" i="1"/>
  <c r="D1528" i="1"/>
  <c r="B1528" i="1"/>
  <c r="A1528" i="1"/>
  <c r="D1525" i="1"/>
  <c r="B1525" i="1"/>
  <c r="A1525" i="1"/>
  <c r="D1526" i="1"/>
  <c r="B1526" i="1"/>
  <c r="A1526" i="1"/>
  <c r="D1523" i="1"/>
  <c r="B1523" i="1"/>
  <c r="A1523" i="1"/>
  <c r="D1522" i="1"/>
  <c r="B1522" i="1"/>
  <c r="A1522" i="1"/>
  <c r="D1521" i="1"/>
  <c r="B1521" i="1"/>
  <c r="A1521" i="1"/>
  <c r="D1519" i="1"/>
  <c r="B1519" i="1"/>
  <c r="A1519" i="1"/>
  <c r="D1520" i="1"/>
  <c r="B1520" i="1"/>
  <c r="A1520" i="1"/>
  <c r="D1518" i="1"/>
  <c r="B1518" i="1"/>
  <c r="A1518" i="1"/>
  <c r="D1517" i="1"/>
  <c r="B1517" i="1"/>
  <c r="A1517" i="1"/>
  <c r="D1516" i="1"/>
  <c r="B1516" i="1"/>
  <c r="A1516" i="1"/>
  <c r="D1515" i="1"/>
  <c r="B1515" i="1"/>
  <c r="A1515" i="1"/>
  <c r="D1514" i="1"/>
  <c r="B1514" i="1"/>
  <c r="A1514" i="1"/>
  <c r="D1513" i="1"/>
  <c r="B1513" i="1"/>
  <c r="A1513" i="1"/>
  <c r="D1512" i="1"/>
  <c r="B1512" i="1"/>
  <c r="A1512" i="1"/>
  <c r="D1511" i="1"/>
  <c r="B1511" i="1"/>
  <c r="A1511" i="1"/>
  <c r="D1510" i="1"/>
  <c r="B1510" i="1"/>
  <c r="A1510" i="1"/>
  <c r="D1509" i="1"/>
  <c r="B1509" i="1"/>
  <c r="A1509" i="1"/>
  <c r="D1508" i="1"/>
  <c r="B1508" i="1"/>
  <c r="A1508" i="1"/>
  <c r="D1506" i="1"/>
  <c r="C1506" i="1"/>
  <c r="B1506" i="1"/>
  <c r="A1506" i="1"/>
  <c r="D1507" i="1"/>
  <c r="A1507" i="1"/>
  <c r="D1505" i="1"/>
  <c r="C1505" i="1"/>
  <c r="B1505" i="1"/>
  <c r="A1505" i="1"/>
  <c r="D1504" i="1"/>
  <c r="C1504" i="1"/>
  <c r="B1504" i="1"/>
  <c r="A1504" i="1"/>
  <c r="D1503" i="1"/>
  <c r="B1503" i="1"/>
  <c r="A1503" i="1"/>
  <c r="D1502" i="1"/>
  <c r="B1502" i="1"/>
  <c r="A1502" i="1"/>
  <c r="D1501" i="1"/>
  <c r="C1501" i="1"/>
  <c r="B1501" i="1"/>
  <c r="A1501" i="1"/>
  <c r="D1499" i="1"/>
  <c r="B1499" i="1"/>
  <c r="A1499" i="1"/>
  <c r="D1500" i="1"/>
  <c r="B1500" i="1"/>
  <c r="A1500" i="1"/>
  <c r="D1498" i="1"/>
  <c r="C1498" i="1"/>
  <c r="B1498" i="1"/>
  <c r="A1498" i="1"/>
  <c r="D1497" i="1"/>
  <c r="B1497" i="1"/>
  <c r="A1497" i="1"/>
  <c r="D1494" i="1"/>
  <c r="B1494" i="1"/>
  <c r="A1494" i="1"/>
  <c r="D1495" i="1"/>
  <c r="C1495" i="1"/>
  <c r="B1495" i="1"/>
  <c r="A1495" i="1"/>
  <c r="D1496" i="1"/>
  <c r="C1496" i="1"/>
  <c r="B1496" i="1"/>
  <c r="A1496" i="1"/>
  <c r="D1493" i="1"/>
  <c r="B1493" i="1"/>
  <c r="A1493" i="1"/>
  <c r="D1492" i="1"/>
  <c r="B1492" i="1"/>
  <c r="A1492" i="1"/>
  <c r="D1491" i="1"/>
  <c r="C1491" i="1"/>
  <c r="B1491" i="1"/>
  <c r="A1491" i="1"/>
  <c r="D1490" i="1"/>
  <c r="B1490" i="1"/>
  <c r="A1490" i="1"/>
  <c r="D1488" i="1"/>
  <c r="B1488" i="1"/>
  <c r="A1488" i="1"/>
  <c r="D1489" i="1"/>
  <c r="C1489" i="1"/>
  <c r="B1489" i="1"/>
  <c r="A1489" i="1"/>
  <c r="D1487" i="1"/>
  <c r="B1487" i="1"/>
  <c r="A1487" i="1"/>
  <c r="D1485" i="1"/>
  <c r="C1485" i="1"/>
  <c r="B1485" i="1"/>
  <c r="A1485" i="1"/>
  <c r="D1486" i="1"/>
  <c r="B1486" i="1"/>
  <c r="A1486" i="1"/>
  <c r="D1484" i="1"/>
  <c r="B1484" i="1"/>
  <c r="A1484" i="1"/>
  <c r="D1481" i="1"/>
  <c r="C1481" i="1"/>
  <c r="B1481" i="1"/>
  <c r="A1481" i="1"/>
  <c r="D1480" i="1"/>
  <c r="C1480" i="1"/>
  <c r="B1480" i="1"/>
  <c r="A1480" i="1"/>
  <c r="D1483" i="1"/>
  <c r="B1483" i="1"/>
  <c r="A1483" i="1"/>
  <c r="D1482" i="1"/>
  <c r="B1482" i="1"/>
  <c r="A1482" i="1"/>
  <c r="D1477" i="1"/>
  <c r="B1477" i="1"/>
  <c r="A1477" i="1"/>
  <c r="D1476" i="1"/>
  <c r="B1476" i="1"/>
  <c r="A1476" i="1"/>
  <c r="D1478" i="1"/>
  <c r="C1478" i="1"/>
  <c r="B1478" i="1"/>
  <c r="A1478" i="1"/>
  <c r="D1479" i="1"/>
  <c r="B1479" i="1"/>
  <c r="A1479" i="1"/>
  <c r="D1475" i="1"/>
  <c r="C1475" i="1"/>
  <c r="B1475" i="1"/>
  <c r="A1475" i="1"/>
  <c r="D1474" i="1"/>
  <c r="B1474" i="1"/>
  <c r="A1474" i="1"/>
  <c r="D1473" i="1"/>
  <c r="B1473" i="1"/>
  <c r="A1473" i="1"/>
  <c r="D1472" i="1"/>
  <c r="B1472" i="1"/>
  <c r="A1472" i="1"/>
  <c r="D1471" i="1"/>
  <c r="B1471" i="1"/>
  <c r="A1471" i="1"/>
  <c r="D1470" i="1"/>
  <c r="B1470" i="1"/>
  <c r="A1470" i="1"/>
  <c r="D1468" i="1"/>
  <c r="B1468" i="1"/>
  <c r="A1468" i="1"/>
  <c r="D1469" i="1"/>
  <c r="B1469" i="1"/>
  <c r="A1469" i="1"/>
  <c r="D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B1463" i="1"/>
  <c r="A1463" i="1"/>
  <c r="D1462" i="1"/>
  <c r="B1462" i="1"/>
  <c r="A1462" i="1"/>
  <c r="D1461" i="1"/>
  <c r="B1461" i="1"/>
  <c r="A1461" i="1"/>
  <c r="D1460" i="1"/>
  <c r="B1460" i="1"/>
  <c r="A1460" i="1"/>
  <c r="D1458" i="1"/>
  <c r="B1458" i="1"/>
  <c r="A1458" i="1"/>
  <c r="D1459" i="1"/>
  <c r="B1459" i="1"/>
  <c r="A1459" i="1"/>
  <c r="D1457" i="1"/>
  <c r="B1457" i="1"/>
  <c r="A1457" i="1"/>
  <c r="D1456" i="1"/>
  <c r="B1456" i="1"/>
  <c r="A1456" i="1"/>
  <c r="D1455" i="1"/>
  <c r="B1455" i="1"/>
  <c r="A1455" i="1"/>
  <c r="D1454" i="1"/>
  <c r="B1454" i="1"/>
  <c r="A1454" i="1"/>
  <c r="D1453" i="1"/>
  <c r="B1453" i="1"/>
  <c r="A1453" i="1"/>
  <c r="D1449" i="1"/>
  <c r="C1449" i="1"/>
  <c r="B1449" i="1"/>
  <c r="A1449" i="1"/>
  <c r="D1452" i="1"/>
  <c r="B1452" i="1"/>
  <c r="A1452" i="1"/>
  <c r="D1451" i="1"/>
  <c r="C1451" i="1"/>
  <c r="B1451" i="1"/>
  <c r="A1451" i="1"/>
  <c r="D1450" i="1"/>
  <c r="B1450" i="1"/>
  <c r="A1450" i="1"/>
  <c r="D1446" i="1"/>
  <c r="B1446" i="1"/>
  <c r="A1446" i="1"/>
  <c r="D1447" i="1"/>
  <c r="B1447" i="1"/>
  <c r="A1447" i="1"/>
  <c r="D1448" i="1"/>
  <c r="B1448" i="1"/>
  <c r="A1448" i="1"/>
  <c r="D1445" i="1"/>
  <c r="B1445" i="1"/>
  <c r="A1445" i="1"/>
  <c r="D1443" i="1"/>
  <c r="C1443" i="1"/>
  <c r="B1443" i="1"/>
  <c r="A1443" i="1"/>
  <c r="D1444" i="1"/>
  <c r="B1444" i="1"/>
  <c r="A1444" i="1"/>
  <c r="D1442" i="1"/>
  <c r="B1442" i="1"/>
  <c r="A1442" i="1"/>
  <c r="D1441" i="1"/>
  <c r="B1441" i="1"/>
  <c r="A1441" i="1"/>
  <c r="D1440" i="1"/>
  <c r="B1440" i="1"/>
  <c r="A1440" i="1"/>
  <c r="D1438" i="1"/>
  <c r="B1438" i="1"/>
  <c r="A1438" i="1"/>
  <c r="D1437" i="1"/>
  <c r="B1437" i="1"/>
  <c r="A1437" i="1"/>
  <c r="D1439" i="1"/>
  <c r="C1439" i="1"/>
  <c r="B1439" i="1"/>
  <c r="A1439" i="1"/>
  <c r="D1436" i="1"/>
  <c r="C1436" i="1"/>
  <c r="B1436" i="1"/>
  <c r="A1436" i="1"/>
  <c r="D1435" i="1"/>
  <c r="B1435" i="1"/>
  <c r="A1435" i="1"/>
  <c r="D1434" i="1"/>
  <c r="C1434" i="1"/>
  <c r="B1434" i="1"/>
  <c r="A1434" i="1"/>
  <c r="D1433" i="1"/>
  <c r="B1433" i="1"/>
  <c r="A1433" i="1"/>
  <c r="D1432" i="1"/>
  <c r="B1432" i="1"/>
  <c r="A1432" i="1"/>
  <c r="D1431" i="1"/>
  <c r="B1431" i="1"/>
  <c r="A1431" i="1"/>
  <c r="D1430" i="1"/>
  <c r="B1430" i="1"/>
  <c r="A1430" i="1"/>
  <c r="D1429" i="1"/>
  <c r="B1429" i="1"/>
  <c r="A1429" i="1"/>
  <c r="D1428" i="1"/>
  <c r="B1428" i="1"/>
  <c r="A1428" i="1"/>
  <c r="D1427" i="1"/>
  <c r="B1427" i="1"/>
  <c r="A1427" i="1"/>
  <c r="D1426" i="1"/>
  <c r="B1426" i="1"/>
  <c r="A1426" i="1"/>
  <c r="D1425" i="1"/>
  <c r="B1425" i="1"/>
  <c r="A1425" i="1"/>
  <c r="D1424" i="1"/>
  <c r="B1424" i="1"/>
  <c r="A1424" i="1"/>
  <c r="D1423" i="1"/>
  <c r="B1423" i="1"/>
  <c r="A1423" i="1"/>
  <c r="D1422" i="1"/>
  <c r="B1422" i="1"/>
  <c r="A1422" i="1"/>
  <c r="D1421" i="1"/>
  <c r="B1421" i="1"/>
  <c r="A1421" i="1"/>
  <c r="D1419" i="1"/>
  <c r="C1419" i="1"/>
  <c r="B1419" i="1"/>
  <c r="A1419" i="1"/>
  <c r="D1420" i="1"/>
  <c r="B1420" i="1"/>
  <c r="A1420" i="1"/>
  <c r="D1418" i="1"/>
  <c r="B1418" i="1"/>
  <c r="A1418" i="1"/>
  <c r="D1415" i="1"/>
  <c r="B1415" i="1"/>
  <c r="A1415" i="1"/>
  <c r="D1414" i="1"/>
  <c r="C1414" i="1"/>
  <c r="B1414" i="1"/>
  <c r="A1414" i="1"/>
  <c r="D1416" i="1"/>
  <c r="C1416" i="1"/>
  <c r="B1416" i="1"/>
  <c r="A1416" i="1"/>
  <c r="D1417" i="1"/>
  <c r="B1417" i="1"/>
  <c r="A1417" i="1"/>
  <c r="D1412" i="1"/>
  <c r="B1412" i="1"/>
  <c r="A1412" i="1"/>
  <c r="D1413" i="1"/>
  <c r="B1413" i="1"/>
  <c r="A1413" i="1"/>
  <c r="D1411" i="1"/>
  <c r="C1411" i="1"/>
  <c r="B1411" i="1"/>
  <c r="A1411" i="1"/>
  <c r="D1410" i="1"/>
  <c r="B1410" i="1"/>
  <c r="A1410" i="1"/>
  <c r="D1409" i="1"/>
  <c r="B1409" i="1"/>
  <c r="A1409" i="1"/>
  <c r="D1408" i="1"/>
  <c r="C1408" i="1"/>
  <c r="B1408" i="1"/>
  <c r="A1408" i="1"/>
  <c r="D1407" i="1"/>
  <c r="B1407" i="1"/>
  <c r="A1407" i="1"/>
  <c r="D1406" i="1"/>
  <c r="B1406" i="1"/>
  <c r="A1406" i="1"/>
  <c r="D1404" i="1"/>
  <c r="B1404" i="1"/>
  <c r="A1404" i="1"/>
  <c r="D1403" i="1"/>
  <c r="B1403" i="1"/>
  <c r="A1403" i="1"/>
  <c r="D1405" i="1"/>
  <c r="B1405" i="1"/>
  <c r="A1405" i="1"/>
  <c r="D1402" i="1"/>
  <c r="C1402" i="1"/>
  <c r="B1402" i="1"/>
  <c r="A1402" i="1"/>
  <c r="D1401" i="1"/>
  <c r="B1401" i="1"/>
  <c r="A1401" i="1"/>
  <c r="D1400" i="1"/>
  <c r="C1400" i="1"/>
  <c r="B1400" i="1"/>
  <c r="A1400" i="1"/>
  <c r="D1399" i="1"/>
  <c r="B1399" i="1"/>
  <c r="A1399" i="1"/>
  <c r="D1398" i="1"/>
  <c r="C1398" i="1"/>
  <c r="B1398" i="1"/>
  <c r="A1398" i="1"/>
  <c r="D1397" i="1"/>
  <c r="B1397" i="1"/>
  <c r="A1397" i="1"/>
  <c r="D1396" i="1"/>
  <c r="B1396" i="1"/>
  <c r="A1396" i="1"/>
  <c r="D1395" i="1"/>
  <c r="B1395" i="1"/>
  <c r="A1395" i="1"/>
  <c r="D1392" i="1"/>
  <c r="B1392" i="1"/>
  <c r="A1392" i="1"/>
  <c r="D1393" i="1"/>
  <c r="B1393" i="1"/>
  <c r="A1393" i="1"/>
  <c r="D1394" i="1"/>
  <c r="B1394" i="1"/>
  <c r="A1394" i="1"/>
  <c r="D1391" i="1"/>
  <c r="B1391" i="1"/>
  <c r="A1391" i="1"/>
  <c r="D1390" i="1"/>
  <c r="B1390" i="1"/>
  <c r="A1390" i="1"/>
  <c r="D1389" i="1"/>
  <c r="B1389" i="1"/>
  <c r="A1389" i="1"/>
  <c r="D1388" i="1"/>
  <c r="C1388" i="1"/>
  <c r="B1388" i="1"/>
  <c r="A1388" i="1"/>
  <c r="D1387" i="1"/>
  <c r="B1387" i="1"/>
  <c r="A1387" i="1"/>
  <c r="D1386" i="1"/>
  <c r="B1386" i="1"/>
  <c r="A1386" i="1"/>
  <c r="D1385" i="1"/>
  <c r="B1385" i="1"/>
  <c r="A1385" i="1"/>
  <c r="D1384" i="1"/>
  <c r="B1384" i="1"/>
  <c r="A1384" i="1"/>
  <c r="D1383" i="1"/>
  <c r="B1383" i="1"/>
  <c r="A1383" i="1"/>
  <c r="D1382" i="1"/>
  <c r="C1382" i="1"/>
  <c r="B1382" i="1"/>
  <c r="A1382" i="1"/>
  <c r="D1381" i="1"/>
  <c r="B1381" i="1"/>
  <c r="A1381" i="1"/>
  <c r="D1378" i="1"/>
  <c r="A1378" i="1"/>
  <c r="D1379" i="1"/>
  <c r="C1379" i="1"/>
  <c r="B1379" i="1"/>
  <c r="A1379" i="1"/>
  <c r="D1380" i="1"/>
  <c r="B1380" i="1"/>
  <c r="A1380" i="1"/>
  <c r="D1377" i="1"/>
  <c r="A1377" i="1"/>
  <c r="D1376" i="1"/>
  <c r="B1376" i="1"/>
  <c r="A1376" i="1"/>
  <c r="D1375" i="1"/>
  <c r="B1375" i="1"/>
  <c r="A1375" i="1"/>
  <c r="D1373" i="1"/>
  <c r="B1373" i="1"/>
  <c r="A1373" i="1"/>
  <c r="D1374" i="1"/>
  <c r="C1374" i="1"/>
  <c r="B1374" i="1"/>
  <c r="A1374" i="1"/>
  <c r="D1372" i="1"/>
  <c r="B1372" i="1"/>
  <c r="A1372" i="1"/>
  <c r="D1371" i="1"/>
  <c r="B1371" i="1"/>
  <c r="A1371" i="1"/>
  <c r="D1369" i="1"/>
  <c r="B1369" i="1"/>
  <c r="A1369" i="1"/>
  <c r="D1368" i="1"/>
  <c r="B1368" i="1"/>
  <c r="A1368" i="1"/>
  <c r="D1370" i="1"/>
  <c r="B1370" i="1"/>
  <c r="A1370" i="1"/>
  <c r="D1367" i="1"/>
  <c r="B1367" i="1"/>
  <c r="A1367" i="1"/>
  <c r="D1366" i="1"/>
  <c r="B1366" i="1"/>
  <c r="A1366" i="1"/>
  <c r="D1365" i="1"/>
  <c r="C1365" i="1"/>
  <c r="B1365" i="1"/>
  <c r="A1365" i="1"/>
  <c r="D1364" i="1"/>
  <c r="B1364" i="1"/>
  <c r="A1364" i="1"/>
  <c r="D1363" i="1"/>
  <c r="B1363" i="1"/>
  <c r="A1363" i="1"/>
  <c r="D1361" i="1"/>
  <c r="B1361" i="1"/>
  <c r="A1361" i="1"/>
  <c r="D1362" i="1"/>
  <c r="B1362" i="1"/>
  <c r="A1362" i="1"/>
  <c r="D1360" i="1"/>
  <c r="C1360" i="1"/>
  <c r="B1360" i="1"/>
  <c r="A1360" i="1"/>
  <c r="D1359" i="1"/>
  <c r="B1359" i="1"/>
  <c r="A1359" i="1"/>
  <c r="D1358" i="1"/>
  <c r="B1358" i="1"/>
  <c r="A1358" i="1"/>
  <c r="D1355" i="1"/>
  <c r="B1355" i="1"/>
  <c r="A1355" i="1"/>
  <c r="D1357" i="1"/>
  <c r="B1357" i="1"/>
  <c r="A1357" i="1"/>
  <c r="D1356" i="1"/>
  <c r="C1356" i="1"/>
  <c r="B1356" i="1"/>
  <c r="A1356" i="1"/>
  <c r="D1354" i="1"/>
  <c r="B1354" i="1"/>
  <c r="A1354" i="1"/>
  <c r="D1353" i="1"/>
  <c r="B1353" i="1"/>
  <c r="A1353" i="1"/>
  <c r="D1352" i="1"/>
  <c r="B1352" i="1"/>
  <c r="A1352" i="1"/>
  <c r="D1351" i="1"/>
  <c r="B1351" i="1"/>
  <c r="A1351" i="1"/>
  <c r="D1350" i="1"/>
  <c r="C1350" i="1"/>
  <c r="B1350" i="1"/>
  <c r="A1350" i="1"/>
  <c r="D1349" i="1"/>
  <c r="B1349" i="1"/>
  <c r="A1349" i="1"/>
  <c r="D1348" i="1"/>
  <c r="B1348" i="1"/>
  <c r="A1348" i="1"/>
  <c r="D1347" i="1"/>
  <c r="B1347" i="1"/>
  <c r="A1347" i="1"/>
  <c r="D1346" i="1"/>
  <c r="B1346" i="1"/>
  <c r="A1346" i="1"/>
  <c r="D1345" i="1"/>
  <c r="C1345" i="1"/>
  <c r="B1345" i="1"/>
  <c r="A1345" i="1"/>
  <c r="D1343" i="1"/>
  <c r="B1343" i="1"/>
  <c r="A1343" i="1"/>
  <c r="D1344" i="1"/>
  <c r="B1344" i="1"/>
  <c r="A1344" i="1"/>
  <c r="D1342" i="1"/>
  <c r="B1342" i="1"/>
  <c r="A1342" i="1"/>
  <c r="D1341" i="1"/>
  <c r="B1341" i="1"/>
  <c r="A1341" i="1"/>
  <c r="D1340" i="1"/>
  <c r="C1340" i="1"/>
  <c r="B1340" i="1"/>
  <c r="A1340" i="1"/>
  <c r="D1339" i="1"/>
  <c r="B1339" i="1"/>
  <c r="A1339" i="1"/>
  <c r="D1338" i="1"/>
  <c r="B1338" i="1"/>
  <c r="A1338" i="1"/>
  <c r="D1337" i="1"/>
  <c r="C1337" i="1"/>
  <c r="B1337" i="1"/>
  <c r="A1337" i="1"/>
  <c r="D1336" i="1"/>
  <c r="B1336" i="1"/>
  <c r="A1336" i="1"/>
  <c r="D1335" i="1"/>
  <c r="B1335" i="1"/>
  <c r="A1335" i="1"/>
  <c r="D1332" i="1"/>
  <c r="B1332" i="1"/>
  <c r="A1332" i="1"/>
  <c r="D1333" i="1"/>
  <c r="B1333" i="1"/>
  <c r="A1333" i="1"/>
  <c r="D1334" i="1"/>
  <c r="C1334" i="1"/>
  <c r="B1334" i="1"/>
  <c r="A1334" i="1"/>
  <c r="D1331" i="1"/>
  <c r="C1331" i="1"/>
  <c r="B1331" i="1"/>
  <c r="A1331" i="1"/>
  <c r="D1330" i="1"/>
  <c r="C1330" i="1"/>
  <c r="B1330" i="1"/>
  <c r="A1330" i="1"/>
  <c r="D1324" i="1"/>
  <c r="B1324" i="1"/>
  <c r="A1324" i="1"/>
  <c r="D1325" i="1"/>
  <c r="C1325" i="1"/>
  <c r="B1325" i="1"/>
  <c r="A1325" i="1"/>
  <c r="D1323" i="1"/>
  <c r="B1323" i="1"/>
  <c r="A1323" i="1"/>
  <c r="D1327" i="1"/>
  <c r="B1327" i="1"/>
  <c r="A1327" i="1"/>
  <c r="D1328" i="1"/>
  <c r="B1328" i="1"/>
  <c r="A1328" i="1"/>
  <c r="D1326" i="1"/>
  <c r="B1326" i="1"/>
  <c r="A1326" i="1"/>
  <c r="D1329" i="1"/>
  <c r="B1329" i="1"/>
  <c r="A1329" i="1"/>
  <c r="D1322" i="1"/>
  <c r="B1322" i="1"/>
  <c r="A1322" i="1"/>
  <c r="D1320" i="1"/>
  <c r="B1320" i="1"/>
  <c r="A1320" i="1"/>
  <c r="D1321" i="1"/>
  <c r="B1321" i="1"/>
  <c r="A1321" i="1"/>
  <c r="D1319" i="1"/>
  <c r="B1319" i="1"/>
  <c r="A1319" i="1"/>
  <c r="D1318" i="1"/>
  <c r="B1318" i="1"/>
  <c r="A1318" i="1"/>
  <c r="D1316" i="1"/>
  <c r="C1316" i="1"/>
  <c r="B1316" i="1"/>
  <c r="A1316" i="1"/>
  <c r="D1317" i="1"/>
  <c r="B1317" i="1"/>
  <c r="A1317" i="1"/>
  <c r="D1314" i="1"/>
  <c r="B1314" i="1"/>
  <c r="A1314" i="1"/>
  <c r="D1315" i="1"/>
  <c r="B1315" i="1"/>
  <c r="A1315" i="1"/>
  <c r="D1312" i="1"/>
  <c r="C1312" i="1"/>
  <c r="B1312" i="1"/>
  <c r="A1312" i="1"/>
  <c r="D1311" i="1"/>
  <c r="B1311" i="1"/>
  <c r="A1311" i="1"/>
  <c r="D1310" i="1"/>
  <c r="B1310" i="1"/>
  <c r="A1310" i="1"/>
  <c r="D1313" i="1"/>
  <c r="B1313" i="1"/>
  <c r="A1313" i="1"/>
  <c r="D1309" i="1"/>
  <c r="B1309" i="1"/>
  <c r="A1309" i="1"/>
  <c r="D1308" i="1"/>
  <c r="B1308" i="1"/>
  <c r="A1308" i="1"/>
  <c r="D1307" i="1"/>
  <c r="B1307" i="1"/>
  <c r="A1307" i="1"/>
  <c r="D1305" i="1"/>
  <c r="B1305" i="1"/>
  <c r="A1305" i="1"/>
  <c r="D1304" i="1"/>
  <c r="C1304" i="1"/>
  <c r="B1304" i="1"/>
  <c r="A1304" i="1"/>
  <c r="D1303" i="1"/>
  <c r="B1303" i="1"/>
  <c r="A1303" i="1"/>
  <c r="D1306" i="1"/>
  <c r="B1306" i="1"/>
  <c r="A1306" i="1"/>
  <c r="D1302" i="1"/>
  <c r="B1302" i="1"/>
  <c r="A1302" i="1"/>
  <c r="D1301" i="1"/>
  <c r="C1301" i="1"/>
  <c r="B1301" i="1"/>
  <c r="A1301" i="1"/>
  <c r="D1300" i="1"/>
  <c r="B1300" i="1"/>
  <c r="A1300" i="1"/>
  <c r="D1299" i="1"/>
  <c r="B1299" i="1"/>
  <c r="A1299" i="1"/>
  <c r="D1298" i="1"/>
  <c r="B1298" i="1"/>
  <c r="A1298" i="1"/>
  <c r="D1295" i="1"/>
  <c r="B1295" i="1"/>
  <c r="A1295" i="1"/>
  <c r="D1297" i="1"/>
  <c r="B1297" i="1"/>
  <c r="A1297" i="1"/>
  <c r="D1296" i="1"/>
  <c r="C1296" i="1"/>
  <c r="B1296" i="1"/>
  <c r="A1296" i="1"/>
  <c r="D1294" i="1"/>
  <c r="B1294" i="1"/>
  <c r="A1294" i="1"/>
  <c r="D1291" i="1"/>
  <c r="B1291" i="1"/>
  <c r="A1291" i="1"/>
  <c r="D1289" i="1"/>
  <c r="B1289" i="1"/>
  <c r="A1289" i="1"/>
  <c r="D1292" i="1"/>
  <c r="C1292" i="1"/>
  <c r="B1292" i="1"/>
  <c r="A1292" i="1"/>
  <c r="D1293" i="1"/>
  <c r="B1293" i="1"/>
  <c r="A1293" i="1"/>
  <c r="D1290" i="1"/>
  <c r="B1290" i="1"/>
  <c r="A1290" i="1"/>
  <c r="D1288" i="1"/>
  <c r="B1288" i="1"/>
  <c r="A1288" i="1"/>
  <c r="D1287" i="1"/>
  <c r="B1287" i="1"/>
  <c r="A1287" i="1"/>
  <c r="D1286" i="1"/>
  <c r="C1286" i="1"/>
  <c r="B1286" i="1"/>
  <c r="A1286" i="1"/>
  <c r="D1285" i="1"/>
  <c r="C1285" i="1"/>
  <c r="B1285" i="1"/>
  <c r="A1285" i="1"/>
  <c r="D1283" i="1"/>
  <c r="B1283" i="1"/>
  <c r="A1283" i="1"/>
  <c r="D1284" i="1"/>
  <c r="B1284" i="1"/>
  <c r="A1284" i="1"/>
  <c r="D1280" i="1"/>
  <c r="B1280" i="1"/>
  <c r="A1280" i="1"/>
  <c r="D1282" i="1"/>
  <c r="B1282" i="1"/>
  <c r="A1282" i="1"/>
  <c r="D1281" i="1"/>
  <c r="B1281" i="1"/>
  <c r="A1281" i="1"/>
  <c r="D1279" i="1"/>
  <c r="B1279" i="1"/>
  <c r="A1279" i="1"/>
  <c r="D1278" i="1"/>
  <c r="C1278" i="1"/>
  <c r="B1278" i="1"/>
  <c r="A1278" i="1"/>
  <c r="D1277" i="1"/>
  <c r="B1277" i="1"/>
  <c r="A1277" i="1"/>
  <c r="D1276" i="1"/>
  <c r="B1276" i="1"/>
  <c r="A1276" i="1"/>
  <c r="D1274" i="1"/>
  <c r="B1274" i="1"/>
  <c r="A1274" i="1"/>
  <c r="D1275" i="1"/>
  <c r="C1275" i="1"/>
  <c r="B1275" i="1"/>
  <c r="A1275" i="1"/>
  <c r="D1273" i="1"/>
  <c r="C1273" i="1"/>
  <c r="B1273" i="1"/>
  <c r="A1273" i="1"/>
  <c r="D1271" i="1"/>
  <c r="B1271" i="1"/>
  <c r="A1271" i="1"/>
  <c r="D1270" i="1"/>
  <c r="B1270" i="1"/>
  <c r="A1270" i="1"/>
  <c r="D1269" i="1"/>
  <c r="B1269" i="1"/>
  <c r="A1269" i="1"/>
  <c r="D1272" i="1"/>
  <c r="B1272" i="1"/>
  <c r="A1272" i="1"/>
  <c r="D1268" i="1"/>
  <c r="B1268" i="1"/>
  <c r="A1268" i="1"/>
  <c r="D1267" i="1"/>
  <c r="B1267" i="1"/>
  <c r="A1267" i="1"/>
  <c r="D1266" i="1"/>
  <c r="C1266" i="1"/>
  <c r="B1266" i="1"/>
  <c r="A1266" i="1"/>
  <c r="C1265" i="1"/>
  <c r="B1265" i="1"/>
  <c r="A1265" i="1"/>
  <c r="D1263" i="1"/>
  <c r="B1263" i="1"/>
  <c r="A1263" i="1"/>
  <c r="D1264" i="1"/>
  <c r="C1264" i="1"/>
  <c r="B1264" i="1"/>
  <c r="A1264" i="1"/>
  <c r="D1261" i="1"/>
  <c r="B1261" i="1"/>
  <c r="A1261" i="1"/>
  <c r="D1262" i="1"/>
  <c r="B1262" i="1"/>
  <c r="A1262" i="1"/>
  <c r="D1260" i="1"/>
  <c r="B1260" i="1"/>
  <c r="A1260" i="1"/>
  <c r="D1259" i="1"/>
  <c r="B1259" i="1"/>
  <c r="A1259" i="1"/>
  <c r="D1258" i="1"/>
  <c r="B1258" i="1"/>
  <c r="A1258" i="1"/>
  <c r="D1257" i="1"/>
  <c r="C1257" i="1"/>
  <c r="B1257" i="1"/>
  <c r="A1257" i="1"/>
  <c r="D1255" i="1"/>
  <c r="B1255" i="1"/>
  <c r="A1255" i="1"/>
  <c r="D1254" i="1"/>
  <c r="B1254" i="1"/>
  <c r="A1254" i="1"/>
  <c r="D1256" i="1"/>
  <c r="B1256" i="1"/>
  <c r="A1256" i="1"/>
  <c r="D1252" i="1"/>
  <c r="C1252" i="1"/>
  <c r="B1252" i="1"/>
  <c r="A1252" i="1"/>
  <c r="D1253" i="1"/>
  <c r="B1253" i="1"/>
  <c r="A1253" i="1"/>
  <c r="D1251" i="1"/>
  <c r="B1251" i="1"/>
  <c r="A1251" i="1"/>
  <c r="D1250" i="1"/>
  <c r="B1250" i="1"/>
  <c r="A1250" i="1"/>
  <c r="D1249" i="1"/>
  <c r="B1249" i="1"/>
  <c r="A1249" i="1"/>
  <c r="D1248" i="1"/>
  <c r="B1248" i="1"/>
  <c r="A1248" i="1"/>
  <c r="D1246" i="1"/>
  <c r="B1246" i="1"/>
  <c r="A1246" i="1"/>
  <c r="D1247" i="1"/>
  <c r="B1247" i="1"/>
  <c r="A1247" i="1"/>
  <c r="D1245" i="1"/>
  <c r="B1245" i="1"/>
  <c r="A1245" i="1"/>
  <c r="D1244" i="1"/>
  <c r="B1244" i="1"/>
  <c r="A1244" i="1"/>
  <c r="D1243" i="1"/>
  <c r="B1243" i="1"/>
  <c r="A1243" i="1"/>
  <c r="D1240" i="1"/>
  <c r="B1240" i="1"/>
  <c r="A1240" i="1"/>
  <c r="D1242" i="1"/>
  <c r="B1242" i="1"/>
  <c r="A1242" i="1"/>
  <c r="D1241" i="1"/>
  <c r="B1241" i="1"/>
  <c r="A1241" i="1"/>
  <c r="D1239" i="1"/>
  <c r="C1239" i="1"/>
  <c r="B1239" i="1"/>
  <c r="A1239" i="1"/>
  <c r="D1238" i="1"/>
  <c r="B1238" i="1"/>
  <c r="A1238" i="1"/>
  <c r="D1236" i="1"/>
  <c r="C1236" i="1"/>
  <c r="B1236" i="1"/>
  <c r="A1236" i="1"/>
  <c r="D1235" i="1"/>
  <c r="C1235" i="1"/>
  <c r="B1235" i="1"/>
  <c r="A1235" i="1"/>
  <c r="D1237" i="1"/>
  <c r="B1237" i="1"/>
  <c r="A1237" i="1"/>
  <c r="D1233" i="1"/>
  <c r="C1233" i="1"/>
  <c r="B1233" i="1"/>
  <c r="A1233" i="1"/>
  <c r="D1234" i="1"/>
  <c r="B1234" i="1"/>
  <c r="A1234" i="1"/>
  <c r="D1232" i="1"/>
  <c r="B1232" i="1"/>
  <c r="A1232" i="1"/>
  <c r="D1231" i="1"/>
  <c r="B1231" i="1"/>
  <c r="A1231" i="1"/>
  <c r="D1230" i="1"/>
  <c r="B1230" i="1"/>
  <c r="A1230" i="1"/>
  <c r="D1229" i="1"/>
  <c r="B1229" i="1"/>
  <c r="A1229" i="1"/>
  <c r="D1226" i="1"/>
  <c r="B1226" i="1"/>
  <c r="A1226" i="1"/>
  <c r="D1227" i="1"/>
  <c r="B1227" i="1"/>
  <c r="A1227" i="1"/>
  <c r="D1228" i="1"/>
  <c r="B1228" i="1"/>
  <c r="A1228" i="1"/>
  <c r="D1224" i="1"/>
  <c r="B1224" i="1"/>
  <c r="A1224" i="1"/>
  <c r="D1223" i="1"/>
  <c r="B1223" i="1"/>
  <c r="A1223" i="1"/>
  <c r="D1225" i="1"/>
  <c r="C1225" i="1"/>
  <c r="B1225" i="1"/>
  <c r="A1225" i="1"/>
  <c r="D1222" i="1"/>
  <c r="B1222" i="1"/>
  <c r="A1222" i="1"/>
  <c r="D1221" i="1"/>
  <c r="C1221" i="1"/>
  <c r="B1221" i="1"/>
  <c r="A1221" i="1"/>
  <c r="D1220" i="1"/>
  <c r="B1220" i="1"/>
  <c r="A1220" i="1"/>
  <c r="D1219" i="1"/>
  <c r="B1219" i="1"/>
  <c r="A1219" i="1"/>
  <c r="D1218" i="1"/>
  <c r="B1218" i="1"/>
  <c r="A1218" i="1"/>
  <c r="D1216" i="1"/>
  <c r="B1216" i="1"/>
  <c r="A1216" i="1"/>
  <c r="D1213" i="1"/>
  <c r="B1213" i="1"/>
  <c r="A1213" i="1"/>
  <c r="D1214" i="1"/>
  <c r="C1214" i="1"/>
  <c r="B1214" i="1"/>
  <c r="A1214" i="1"/>
  <c r="D1215" i="1"/>
  <c r="C1215" i="1"/>
  <c r="B1215" i="1"/>
  <c r="A1215" i="1"/>
  <c r="D1217" i="1"/>
  <c r="B1217" i="1"/>
  <c r="A1217" i="1"/>
  <c r="D1212" i="1"/>
  <c r="B1212" i="1"/>
  <c r="A1212" i="1"/>
  <c r="D1211" i="1"/>
  <c r="B1211" i="1"/>
  <c r="A1211" i="1"/>
  <c r="D1210" i="1"/>
  <c r="B1210" i="1"/>
  <c r="A1210" i="1"/>
  <c r="D1208" i="1"/>
  <c r="B1208" i="1"/>
  <c r="A1208" i="1"/>
  <c r="D1209" i="1"/>
  <c r="B1209" i="1"/>
  <c r="A1209" i="1"/>
  <c r="D1206" i="1"/>
  <c r="B1206" i="1"/>
  <c r="A1206" i="1"/>
  <c r="D1207" i="1"/>
  <c r="B1207" i="1"/>
  <c r="A1207" i="1"/>
  <c r="D1205" i="1"/>
  <c r="C1205" i="1"/>
  <c r="B1205" i="1"/>
  <c r="A1205" i="1"/>
  <c r="D1204" i="1"/>
  <c r="B1204" i="1"/>
  <c r="A1204" i="1"/>
  <c r="D1203" i="1"/>
  <c r="B1203" i="1"/>
  <c r="A1203" i="1"/>
  <c r="D1202" i="1"/>
  <c r="B1202" i="1"/>
  <c r="A1202" i="1"/>
  <c r="D1200" i="1"/>
  <c r="A1200" i="1"/>
  <c r="D1201" i="1"/>
  <c r="B1201" i="1"/>
  <c r="A1201" i="1"/>
  <c r="D1199" i="1"/>
  <c r="B1199" i="1"/>
  <c r="A1199" i="1"/>
  <c r="D1198" i="1"/>
  <c r="B1198" i="1"/>
  <c r="A1198" i="1"/>
  <c r="D1197" i="1"/>
  <c r="B1197" i="1"/>
  <c r="A1197" i="1"/>
  <c r="D1196" i="1"/>
  <c r="B1196" i="1"/>
  <c r="A1196" i="1"/>
  <c r="D1195" i="1"/>
  <c r="B1195" i="1"/>
  <c r="A1195" i="1"/>
  <c r="D1194" i="1"/>
  <c r="B1194" i="1"/>
  <c r="A1194" i="1"/>
  <c r="D1193" i="1"/>
  <c r="B1193" i="1"/>
  <c r="A1193" i="1"/>
  <c r="D1192" i="1"/>
  <c r="B1192" i="1"/>
  <c r="A1192" i="1"/>
  <c r="D1191" i="1"/>
  <c r="B1191" i="1"/>
  <c r="A1191" i="1"/>
  <c r="D1190" i="1"/>
  <c r="B1190" i="1"/>
  <c r="A1190" i="1"/>
  <c r="D1189" i="1"/>
  <c r="B1189" i="1"/>
  <c r="A1189" i="1"/>
  <c r="D1188" i="1"/>
  <c r="B1188" i="1"/>
  <c r="A1188" i="1"/>
  <c r="D1187" i="1"/>
  <c r="B1187" i="1"/>
  <c r="A1187" i="1"/>
  <c r="D1186" i="1"/>
  <c r="B1186" i="1"/>
  <c r="A1186" i="1"/>
  <c r="D1185" i="1"/>
  <c r="C1185" i="1"/>
  <c r="B1185" i="1"/>
  <c r="A1185" i="1"/>
  <c r="D1184" i="1"/>
  <c r="B1184" i="1"/>
  <c r="A1184" i="1"/>
  <c r="D1182" i="1"/>
  <c r="B1182" i="1"/>
  <c r="A1182" i="1"/>
  <c r="D1183" i="1"/>
  <c r="B1183" i="1"/>
  <c r="A1183" i="1"/>
  <c r="D1181" i="1"/>
  <c r="B1181" i="1"/>
  <c r="A1181" i="1"/>
  <c r="D1180" i="1"/>
  <c r="B1180" i="1"/>
  <c r="A1180" i="1"/>
  <c r="D1179" i="1"/>
  <c r="B1179" i="1"/>
  <c r="A1179" i="1"/>
  <c r="D1178" i="1"/>
  <c r="B1178" i="1"/>
  <c r="A1178" i="1"/>
  <c r="D1177" i="1"/>
  <c r="B1177" i="1"/>
  <c r="A1177" i="1"/>
  <c r="D1176" i="1"/>
  <c r="C1176" i="1"/>
  <c r="B1176" i="1"/>
  <c r="A1176" i="1"/>
  <c r="D1175" i="1"/>
  <c r="B1175" i="1"/>
  <c r="A1175" i="1"/>
  <c r="D1174" i="1"/>
  <c r="B1174" i="1"/>
  <c r="A1174" i="1"/>
  <c r="D1173" i="1"/>
  <c r="B1173" i="1"/>
  <c r="A1173" i="1"/>
  <c r="D1168" i="1"/>
  <c r="B1168" i="1"/>
  <c r="A1168" i="1"/>
  <c r="D1169" i="1"/>
  <c r="B1169" i="1"/>
  <c r="A1169" i="1"/>
  <c r="D1166" i="1"/>
  <c r="B1166" i="1"/>
  <c r="A1166" i="1"/>
  <c r="D1172" i="1"/>
  <c r="B1172" i="1"/>
  <c r="A1172" i="1"/>
  <c r="D1167" i="1"/>
  <c r="B1167" i="1"/>
  <c r="A1167" i="1"/>
  <c r="D1171" i="1"/>
  <c r="B1171" i="1"/>
  <c r="A1171" i="1"/>
  <c r="D1170" i="1"/>
  <c r="B1170" i="1"/>
  <c r="A1170" i="1"/>
  <c r="D1165" i="1"/>
  <c r="B1165" i="1"/>
  <c r="A1165" i="1"/>
  <c r="D1164" i="1"/>
  <c r="C1164" i="1"/>
  <c r="B1164" i="1"/>
  <c r="A1164" i="1"/>
  <c r="D1163" i="1"/>
  <c r="B1163" i="1"/>
  <c r="A1163" i="1"/>
  <c r="D1162" i="1"/>
  <c r="B1162" i="1"/>
  <c r="A1162" i="1"/>
  <c r="D1161" i="1"/>
  <c r="C1161" i="1"/>
  <c r="B1161" i="1"/>
  <c r="A1161" i="1"/>
  <c r="D1160" i="1"/>
  <c r="B1160" i="1"/>
  <c r="A1160" i="1"/>
  <c r="D1159" i="1"/>
  <c r="B1159" i="1"/>
  <c r="A1159" i="1"/>
  <c r="D1158" i="1"/>
  <c r="B1158" i="1"/>
  <c r="A1158" i="1"/>
  <c r="D1154" i="1"/>
  <c r="B1154" i="1"/>
  <c r="A1154" i="1"/>
  <c r="D1155" i="1"/>
  <c r="C1155" i="1"/>
  <c r="B1155" i="1"/>
  <c r="A1155" i="1"/>
  <c r="D1157" i="1"/>
  <c r="C1157" i="1"/>
  <c r="B1157" i="1"/>
  <c r="A1157" i="1"/>
  <c r="D1156" i="1"/>
  <c r="B1156" i="1"/>
  <c r="A1156" i="1"/>
  <c r="D1153" i="1"/>
  <c r="B1153" i="1"/>
  <c r="A1153" i="1"/>
  <c r="D1152" i="1"/>
  <c r="B1152" i="1"/>
  <c r="A1152" i="1"/>
  <c r="D1151" i="1"/>
  <c r="B1151" i="1"/>
  <c r="A1151" i="1"/>
  <c r="D1150" i="1"/>
  <c r="C1150" i="1"/>
  <c r="B1150" i="1"/>
  <c r="A1150" i="1"/>
  <c r="D1149" i="1"/>
  <c r="B1149" i="1"/>
  <c r="A1149" i="1"/>
  <c r="D1148" i="1"/>
  <c r="C1148" i="1"/>
  <c r="B1148" i="1"/>
  <c r="A1148" i="1"/>
  <c r="D1147" i="1"/>
  <c r="B1147" i="1"/>
  <c r="A1147" i="1"/>
  <c r="D1146" i="1"/>
  <c r="C1146" i="1"/>
  <c r="B1146" i="1"/>
  <c r="A1146" i="1"/>
  <c r="D1145" i="1"/>
  <c r="B1145" i="1"/>
  <c r="A1145" i="1"/>
  <c r="D1144" i="1"/>
  <c r="B1144" i="1"/>
  <c r="A1144" i="1"/>
  <c r="D1143" i="1"/>
  <c r="B1143" i="1"/>
  <c r="A1143" i="1"/>
  <c r="D1142" i="1"/>
  <c r="B1142" i="1"/>
  <c r="A1142" i="1"/>
  <c r="D1141" i="1"/>
  <c r="B1141" i="1"/>
  <c r="A1141" i="1"/>
  <c r="D1140" i="1"/>
  <c r="B1140" i="1"/>
  <c r="A1140" i="1"/>
  <c r="D1139" i="1"/>
  <c r="B1139" i="1"/>
  <c r="A1139" i="1"/>
  <c r="D1137" i="1"/>
  <c r="B1137" i="1"/>
  <c r="A1137" i="1"/>
  <c r="D1138" i="1"/>
  <c r="B1138" i="1"/>
  <c r="A1138" i="1"/>
  <c r="D1136" i="1"/>
  <c r="B1136" i="1"/>
  <c r="A1136" i="1"/>
  <c r="D1134" i="1"/>
  <c r="B1134" i="1"/>
  <c r="A1134" i="1"/>
  <c r="D1135" i="1"/>
  <c r="B1135" i="1"/>
  <c r="A1135" i="1"/>
  <c r="D1132" i="1"/>
  <c r="B1132" i="1"/>
  <c r="A1132" i="1"/>
  <c r="D1133" i="1"/>
  <c r="B1133" i="1"/>
  <c r="A1133" i="1"/>
  <c r="D1130" i="1"/>
  <c r="B1130" i="1"/>
  <c r="A1130" i="1"/>
  <c r="D1131" i="1"/>
  <c r="B1131" i="1"/>
  <c r="A1131" i="1"/>
  <c r="D1128" i="1"/>
  <c r="B1128" i="1"/>
  <c r="A1128" i="1"/>
  <c r="D1129" i="1"/>
  <c r="B1129" i="1"/>
  <c r="A1129" i="1"/>
  <c r="D1127" i="1"/>
  <c r="C1127" i="1"/>
  <c r="B1127" i="1"/>
  <c r="A1127" i="1"/>
  <c r="D1126" i="1"/>
  <c r="B1126" i="1"/>
  <c r="A1126" i="1"/>
  <c r="D1125" i="1"/>
  <c r="B1125" i="1"/>
  <c r="A1125" i="1"/>
  <c r="D1124" i="1"/>
  <c r="B1124" i="1"/>
  <c r="A1124" i="1"/>
  <c r="D1123" i="1"/>
  <c r="B1123" i="1"/>
  <c r="A1123" i="1"/>
  <c r="D1122" i="1"/>
  <c r="B1122" i="1"/>
  <c r="A1122" i="1"/>
  <c r="D1121" i="1"/>
  <c r="B1121" i="1"/>
  <c r="A1121" i="1"/>
  <c r="D1120" i="1"/>
  <c r="B1120" i="1"/>
  <c r="A1120" i="1"/>
  <c r="D1119" i="1"/>
  <c r="C1119" i="1"/>
  <c r="B1119" i="1"/>
  <c r="A1119" i="1"/>
  <c r="D1118" i="1"/>
  <c r="B1118" i="1"/>
  <c r="A1118" i="1"/>
  <c r="D1117" i="1"/>
  <c r="B1117" i="1"/>
  <c r="A1117" i="1"/>
  <c r="D1116" i="1"/>
  <c r="B1116" i="1"/>
  <c r="A1116" i="1"/>
  <c r="D1113" i="1"/>
  <c r="B1113" i="1"/>
  <c r="A1113" i="1"/>
  <c r="D1115" i="1"/>
  <c r="B1115" i="1"/>
  <c r="A1115" i="1"/>
  <c r="D1114" i="1"/>
  <c r="B1114" i="1"/>
  <c r="A1114" i="1"/>
  <c r="D1112" i="1"/>
  <c r="C1112" i="1"/>
  <c r="B1112" i="1"/>
  <c r="A1112" i="1"/>
  <c r="D1111" i="1"/>
  <c r="B1111" i="1"/>
  <c r="A1111" i="1"/>
  <c r="D1110" i="1"/>
  <c r="B1110" i="1"/>
  <c r="A1110" i="1"/>
  <c r="D1109" i="1"/>
  <c r="B1109" i="1"/>
  <c r="A1109" i="1"/>
  <c r="D1108" i="1"/>
  <c r="B1108" i="1"/>
  <c r="A1108" i="1"/>
  <c r="D1107" i="1"/>
  <c r="B1107" i="1"/>
  <c r="A1107" i="1"/>
  <c r="D1106" i="1"/>
  <c r="B1106" i="1"/>
  <c r="A1106" i="1"/>
  <c r="D1105" i="1"/>
  <c r="C1105" i="1"/>
  <c r="B1105" i="1"/>
  <c r="A1105" i="1"/>
  <c r="D1104" i="1"/>
  <c r="B1104" i="1"/>
  <c r="A1104" i="1"/>
  <c r="D1103" i="1"/>
  <c r="C1103" i="1"/>
  <c r="B1103" i="1"/>
  <c r="A1103" i="1"/>
  <c r="D1102" i="1"/>
  <c r="B1102" i="1"/>
  <c r="A1102" i="1"/>
  <c r="D1101" i="1"/>
  <c r="B1101" i="1"/>
  <c r="A1101" i="1"/>
  <c r="D1100" i="1"/>
  <c r="B1100" i="1"/>
  <c r="A1100" i="1"/>
  <c r="D1099" i="1"/>
  <c r="B1099" i="1"/>
  <c r="A1099" i="1"/>
  <c r="D1098" i="1"/>
  <c r="B1098" i="1"/>
  <c r="A1098" i="1"/>
  <c r="D1094" i="1"/>
  <c r="B1094" i="1"/>
  <c r="A1094" i="1"/>
  <c r="D1095" i="1"/>
  <c r="B1095" i="1"/>
  <c r="A1095" i="1"/>
  <c r="D1096" i="1"/>
  <c r="B1096" i="1"/>
  <c r="A1096" i="1"/>
  <c r="D1097" i="1"/>
  <c r="C1097" i="1"/>
  <c r="B1097" i="1"/>
  <c r="A1097" i="1"/>
  <c r="D1093" i="1"/>
  <c r="B1093" i="1"/>
  <c r="A1093" i="1"/>
  <c r="D1091" i="1"/>
  <c r="B1091" i="1"/>
  <c r="A1091" i="1"/>
  <c r="D1092" i="1"/>
  <c r="C1092" i="1"/>
  <c r="B1092" i="1"/>
  <c r="A1092" i="1"/>
  <c r="D1090" i="1"/>
  <c r="B1090" i="1"/>
  <c r="A1090" i="1"/>
  <c r="D1089" i="1"/>
  <c r="C1089" i="1"/>
  <c r="B1089" i="1"/>
  <c r="A1089" i="1"/>
  <c r="D1088" i="1"/>
  <c r="C1088" i="1"/>
  <c r="B1088" i="1"/>
  <c r="A1088" i="1"/>
  <c r="D1087" i="1"/>
  <c r="C1087" i="1"/>
  <c r="B1087" i="1"/>
  <c r="A1087" i="1"/>
  <c r="D1086" i="1"/>
  <c r="B1086" i="1"/>
  <c r="A1086" i="1"/>
  <c r="D1084" i="1"/>
  <c r="B1084" i="1"/>
  <c r="A1084" i="1"/>
  <c r="D1085" i="1"/>
  <c r="B1085" i="1"/>
  <c r="A1085" i="1"/>
  <c r="D1083" i="1"/>
  <c r="C1083" i="1"/>
  <c r="B1083" i="1"/>
  <c r="A1083" i="1"/>
  <c r="D1082" i="1"/>
  <c r="B1082" i="1"/>
  <c r="A1082" i="1"/>
  <c r="D1081" i="1"/>
  <c r="C1081" i="1"/>
  <c r="B1081" i="1"/>
  <c r="A1081" i="1"/>
  <c r="D1080" i="1"/>
  <c r="C1080" i="1"/>
  <c r="B1080" i="1"/>
  <c r="A1080" i="1"/>
  <c r="D1079" i="1"/>
  <c r="B1079" i="1"/>
  <c r="A1079" i="1"/>
  <c r="D1078" i="1"/>
  <c r="B1078" i="1"/>
  <c r="A1078" i="1"/>
  <c r="D1077" i="1"/>
  <c r="B1077" i="1"/>
  <c r="A1077" i="1"/>
  <c r="D1076" i="1"/>
  <c r="B1076" i="1"/>
  <c r="A1076" i="1"/>
  <c r="D1075" i="1"/>
  <c r="B1075" i="1"/>
  <c r="A1075" i="1"/>
  <c r="D1074" i="1"/>
  <c r="B1074" i="1"/>
  <c r="A1074" i="1"/>
  <c r="D1073" i="1"/>
  <c r="B1073" i="1"/>
  <c r="A1073" i="1"/>
  <c r="D1072" i="1"/>
  <c r="B1072" i="1"/>
  <c r="A1072" i="1"/>
  <c r="D1071" i="1"/>
  <c r="B1071" i="1"/>
  <c r="A1071" i="1"/>
  <c r="D1070" i="1"/>
  <c r="B1070" i="1"/>
  <c r="A1070" i="1"/>
  <c r="D1069" i="1"/>
  <c r="B1069" i="1"/>
  <c r="A1069" i="1"/>
  <c r="D1068" i="1"/>
  <c r="B1068" i="1"/>
  <c r="A1068" i="1"/>
  <c r="D1067" i="1"/>
  <c r="B1067" i="1"/>
  <c r="A1067" i="1"/>
  <c r="D1066" i="1"/>
  <c r="B1066" i="1"/>
  <c r="A1066" i="1"/>
  <c r="D1065" i="1"/>
  <c r="B1065" i="1"/>
  <c r="A1065" i="1"/>
  <c r="D1064" i="1"/>
  <c r="C1064" i="1"/>
  <c r="B1064" i="1"/>
  <c r="A1064" i="1"/>
  <c r="D1063" i="1"/>
  <c r="B1063" i="1"/>
  <c r="A1063" i="1"/>
  <c r="D1062" i="1"/>
  <c r="B1062" i="1"/>
  <c r="A1062" i="1"/>
  <c r="D1061" i="1"/>
  <c r="B1061" i="1"/>
  <c r="A1061" i="1"/>
  <c r="D1060" i="1"/>
  <c r="B1060" i="1"/>
  <c r="A1060" i="1"/>
  <c r="D1057" i="1"/>
  <c r="B1057" i="1"/>
  <c r="A1057" i="1"/>
  <c r="D1059" i="1"/>
  <c r="C1059" i="1"/>
  <c r="B1059" i="1"/>
  <c r="A1059" i="1"/>
  <c r="D1056" i="1"/>
  <c r="B1056" i="1"/>
  <c r="A1056" i="1"/>
  <c r="D1058" i="1"/>
  <c r="B1058" i="1"/>
  <c r="A1058" i="1"/>
  <c r="D1055" i="1"/>
  <c r="B1055" i="1"/>
  <c r="A1055" i="1"/>
  <c r="D1053" i="1"/>
  <c r="B1053" i="1"/>
  <c r="A1053" i="1"/>
  <c r="D1054" i="1"/>
  <c r="B1054" i="1"/>
  <c r="A1054" i="1"/>
  <c r="D1049" i="1"/>
  <c r="B1049" i="1"/>
  <c r="A1049" i="1"/>
  <c r="D1052" i="1"/>
  <c r="B1052" i="1"/>
  <c r="A1052" i="1"/>
  <c r="D1051" i="1"/>
  <c r="B1051" i="1"/>
  <c r="A1051" i="1"/>
  <c r="D1048" i="1"/>
  <c r="B1048" i="1"/>
  <c r="A1048" i="1"/>
  <c r="D1050" i="1"/>
  <c r="B1050" i="1"/>
  <c r="A1050" i="1"/>
  <c r="D1047" i="1"/>
  <c r="B1047" i="1"/>
  <c r="A1047" i="1"/>
  <c r="D1046" i="1"/>
  <c r="A1046" i="1"/>
  <c r="D1045" i="1"/>
  <c r="B1045" i="1"/>
  <c r="A1045" i="1"/>
  <c r="D1043" i="1"/>
  <c r="B1043" i="1"/>
  <c r="A1043" i="1"/>
  <c r="D1044" i="1"/>
  <c r="B1044" i="1"/>
  <c r="A1044" i="1"/>
  <c r="D1042" i="1"/>
  <c r="B1042" i="1"/>
  <c r="A1042" i="1"/>
  <c r="D1041" i="1"/>
  <c r="C1041" i="1"/>
  <c r="B1041" i="1"/>
  <c r="A1041" i="1"/>
  <c r="D1040" i="1"/>
  <c r="B1040" i="1"/>
  <c r="A1040" i="1"/>
  <c r="D1038" i="1"/>
  <c r="C1038" i="1"/>
  <c r="B1038" i="1"/>
  <c r="A1038" i="1"/>
  <c r="D1039" i="1"/>
  <c r="B1039" i="1"/>
  <c r="A1039" i="1"/>
  <c r="D1037" i="1"/>
  <c r="B1037" i="1"/>
  <c r="A1037" i="1"/>
  <c r="D1036" i="1"/>
  <c r="B1036" i="1"/>
  <c r="A1036" i="1"/>
  <c r="D1035" i="1"/>
  <c r="B1035" i="1"/>
  <c r="A1035" i="1"/>
  <c r="D1034" i="1"/>
  <c r="C1034" i="1"/>
  <c r="B1034" i="1"/>
  <c r="A1034" i="1"/>
  <c r="D1033" i="1"/>
  <c r="B1033" i="1"/>
  <c r="A1033" i="1"/>
  <c r="D1032" i="1"/>
  <c r="B1032" i="1"/>
  <c r="A1032" i="1"/>
  <c r="D1031" i="1"/>
  <c r="B1031" i="1"/>
  <c r="A1031" i="1"/>
  <c r="D1030" i="1"/>
  <c r="B1030" i="1"/>
  <c r="A1030" i="1"/>
  <c r="D1029" i="1"/>
  <c r="B1029" i="1"/>
  <c r="A1029" i="1"/>
  <c r="D1028" i="1"/>
  <c r="B1028" i="1"/>
  <c r="A1028" i="1"/>
  <c r="D1027" i="1"/>
  <c r="B1027" i="1"/>
  <c r="A1027" i="1"/>
  <c r="D1026" i="1"/>
  <c r="C1026" i="1"/>
  <c r="B1026" i="1"/>
  <c r="A1026" i="1"/>
  <c r="D1024" i="1"/>
  <c r="B1024" i="1"/>
  <c r="A1024" i="1"/>
  <c r="D1025" i="1"/>
  <c r="B1025" i="1"/>
  <c r="A1025" i="1"/>
  <c r="D1023" i="1"/>
  <c r="B1023" i="1"/>
  <c r="A1023" i="1"/>
  <c r="D1022" i="1"/>
  <c r="B1022" i="1"/>
  <c r="A1022" i="1"/>
  <c r="D1020" i="1"/>
  <c r="B1020" i="1"/>
  <c r="A1020" i="1"/>
  <c r="D1019" i="1"/>
  <c r="B1019" i="1"/>
  <c r="A1019" i="1"/>
  <c r="D1018" i="1"/>
  <c r="B1018" i="1"/>
  <c r="A1018" i="1"/>
  <c r="D1021" i="1"/>
  <c r="B1021" i="1"/>
  <c r="A1021" i="1"/>
  <c r="D1016" i="1"/>
  <c r="B1016" i="1"/>
  <c r="A1016" i="1"/>
  <c r="D1017" i="1"/>
  <c r="B1017" i="1"/>
  <c r="A1017" i="1"/>
  <c r="D1015" i="1"/>
  <c r="C1015" i="1"/>
  <c r="B1015" i="1"/>
  <c r="A1015" i="1"/>
  <c r="D1014" i="1"/>
  <c r="B1014" i="1"/>
  <c r="A1014" i="1"/>
  <c r="D1013" i="1"/>
  <c r="C1013" i="1"/>
  <c r="B1013" i="1"/>
  <c r="A1013" i="1"/>
  <c r="D1012" i="1"/>
  <c r="B1012" i="1"/>
  <c r="A1012" i="1"/>
  <c r="D1011" i="1"/>
  <c r="C1011" i="1"/>
  <c r="B1011" i="1"/>
  <c r="A1011" i="1"/>
  <c r="D1010" i="1"/>
  <c r="B1010" i="1"/>
  <c r="A1010" i="1"/>
  <c r="D1008" i="1"/>
  <c r="B1008" i="1"/>
  <c r="A1008" i="1"/>
  <c r="D1007" i="1"/>
  <c r="C1007" i="1"/>
  <c r="B1007" i="1"/>
  <c r="A1007" i="1"/>
  <c r="D1009" i="1"/>
  <c r="B1009" i="1"/>
  <c r="A1009" i="1"/>
  <c r="D1006" i="1"/>
  <c r="B1006" i="1"/>
  <c r="A1006" i="1"/>
  <c r="D1005" i="1"/>
  <c r="B1005" i="1"/>
  <c r="A1005" i="1"/>
  <c r="D1004" i="1"/>
  <c r="C1004" i="1"/>
  <c r="B1004" i="1"/>
  <c r="A1004" i="1"/>
  <c r="D1001" i="1"/>
  <c r="B1001" i="1"/>
  <c r="A1001" i="1"/>
  <c r="D1003" i="1"/>
  <c r="B1003" i="1"/>
  <c r="A1003" i="1"/>
  <c r="D1002" i="1"/>
  <c r="B1002" i="1"/>
  <c r="A1002" i="1"/>
  <c r="D1000" i="1"/>
  <c r="B1000" i="1"/>
  <c r="A1000" i="1"/>
  <c r="D999" i="1"/>
  <c r="B999" i="1"/>
  <c r="A999" i="1"/>
  <c r="D998" i="1"/>
  <c r="B998" i="1"/>
  <c r="A998" i="1"/>
  <c r="D997" i="1"/>
  <c r="B997" i="1"/>
  <c r="A997" i="1"/>
  <c r="D996" i="1"/>
  <c r="C996" i="1"/>
  <c r="B996" i="1"/>
  <c r="A996" i="1"/>
  <c r="D995" i="1"/>
  <c r="B995" i="1"/>
  <c r="A995" i="1"/>
  <c r="D994" i="1"/>
  <c r="B994" i="1"/>
  <c r="A994" i="1"/>
  <c r="D993" i="1"/>
  <c r="B993" i="1"/>
  <c r="A993" i="1"/>
  <c r="D992" i="1"/>
  <c r="B992" i="1"/>
  <c r="A992" i="1"/>
  <c r="D991" i="1"/>
  <c r="B991" i="1"/>
  <c r="A991" i="1"/>
  <c r="D990" i="1"/>
  <c r="C990" i="1"/>
  <c r="B990" i="1"/>
  <c r="A990" i="1"/>
  <c r="D989" i="1"/>
  <c r="B989" i="1"/>
  <c r="A989" i="1"/>
  <c r="D986" i="1"/>
  <c r="B986" i="1"/>
  <c r="A986" i="1"/>
  <c r="D987" i="1"/>
  <c r="B987" i="1"/>
  <c r="A987" i="1"/>
  <c r="D988" i="1"/>
  <c r="B988" i="1"/>
  <c r="A988" i="1"/>
  <c r="D985" i="1"/>
  <c r="C985" i="1"/>
  <c r="B985" i="1"/>
  <c r="A985" i="1"/>
  <c r="D983" i="1"/>
  <c r="C983" i="1"/>
  <c r="B983" i="1"/>
  <c r="A983" i="1"/>
  <c r="D984" i="1"/>
  <c r="B984" i="1"/>
  <c r="A984" i="1"/>
  <c r="D982" i="1"/>
  <c r="B982" i="1"/>
  <c r="A982" i="1"/>
  <c r="D981" i="1"/>
  <c r="B981" i="1"/>
  <c r="A981" i="1"/>
  <c r="D978" i="1"/>
  <c r="C978" i="1"/>
  <c r="B978" i="1"/>
  <c r="A978" i="1"/>
  <c r="D980" i="1"/>
  <c r="B980" i="1"/>
  <c r="A980" i="1"/>
  <c r="D976" i="1"/>
  <c r="B976" i="1"/>
  <c r="A976" i="1"/>
  <c r="D979" i="1"/>
  <c r="B979" i="1"/>
  <c r="A979" i="1"/>
  <c r="D977" i="1"/>
  <c r="B977" i="1"/>
  <c r="A977" i="1"/>
  <c r="D975" i="1"/>
  <c r="B975" i="1"/>
  <c r="A975" i="1"/>
  <c r="D974" i="1"/>
  <c r="A974" i="1"/>
  <c r="D973" i="1"/>
  <c r="B973" i="1"/>
  <c r="A973" i="1"/>
  <c r="D969" i="1"/>
  <c r="A969" i="1"/>
  <c r="D972" i="1"/>
  <c r="B972" i="1"/>
  <c r="A972" i="1"/>
  <c r="D971" i="1"/>
  <c r="B971" i="1"/>
  <c r="A971" i="1"/>
  <c r="D970" i="1"/>
  <c r="B970" i="1"/>
  <c r="A970" i="1"/>
  <c r="D968" i="1"/>
  <c r="B968" i="1"/>
  <c r="A968" i="1"/>
  <c r="D967" i="1"/>
  <c r="B967" i="1"/>
  <c r="A967" i="1"/>
  <c r="D966" i="1"/>
  <c r="B966" i="1"/>
  <c r="A966" i="1"/>
  <c r="D965" i="1"/>
  <c r="B965" i="1"/>
  <c r="A965" i="1"/>
  <c r="D964" i="1"/>
  <c r="B964" i="1"/>
  <c r="A964" i="1"/>
  <c r="D963" i="1"/>
  <c r="B963" i="1"/>
  <c r="A963" i="1"/>
  <c r="D962" i="1"/>
  <c r="C962" i="1"/>
  <c r="B962" i="1"/>
  <c r="A962" i="1"/>
  <c r="D961" i="1"/>
  <c r="B961" i="1"/>
  <c r="A961" i="1"/>
  <c r="D960" i="1"/>
  <c r="B960" i="1"/>
  <c r="A960" i="1"/>
  <c r="D959" i="1"/>
  <c r="C959" i="1"/>
  <c r="B959" i="1"/>
  <c r="A959" i="1"/>
  <c r="D958" i="1"/>
  <c r="B958" i="1"/>
  <c r="A958" i="1"/>
  <c r="D957" i="1"/>
  <c r="B957" i="1"/>
  <c r="A957" i="1"/>
  <c r="D956" i="1"/>
  <c r="B956" i="1"/>
  <c r="A956" i="1"/>
  <c r="D955" i="1"/>
  <c r="B955" i="1"/>
  <c r="A955" i="1"/>
  <c r="D954" i="1"/>
  <c r="B954" i="1"/>
  <c r="A954" i="1"/>
  <c r="D953" i="1"/>
  <c r="B953" i="1"/>
  <c r="A953" i="1"/>
  <c r="D952" i="1"/>
  <c r="B952" i="1"/>
  <c r="A952" i="1"/>
  <c r="D951" i="1"/>
  <c r="C951" i="1"/>
  <c r="B951" i="1"/>
  <c r="A951" i="1"/>
  <c r="D950" i="1"/>
  <c r="C950" i="1"/>
  <c r="B950" i="1"/>
  <c r="A950" i="1"/>
  <c r="D948" i="1"/>
  <c r="B948" i="1"/>
  <c r="A948" i="1"/>
  <c r="D949" i="1"/>
  <c r="B949" i="1"/>
  <c r="A949" i="1"/>
  <c r="D947" i="1"/>
  <c r="B947" i="1"/>
  <c r="A947" i="1"/>
  <c r="D946" i="1"/>
  <c r="B946" i="1"/>
  <c r="A946" i="1"/>
  <c r="D945" i="1"/>
  <c r="B945" i="1"/>
  <c r="A945" i="1"/>
  <c r="D944" i="1"/>
  <c r="B944" i="1"/>
  <c r="A944" i="1"/>
  <c r="D943" i="1"/>
  <c r="B943" i="1"/>
  <c r="A943" i="1"/>
  <c r="D942" i="1"/>
  <c r="B942" i="1"/>
  <c r="A942" i="1"/>
  <c r="D941" i="1"/>
  <c r="B941" i="1"/>
  <c r="A941" i="1"/>
  <c r="D940" i="1"/>
  <c r="B940" i="1"/>
  <c r="A940" i="1"/>
  <c r="D939" i="1"/>
  <c r="B939" i="1"/>
  <c r="A939" i="1"/>
  <c r="D938" i="1"/>
  <c r="B938" i="1"/>
  <c r="A938" i="1"/>
  <c r="D937" i="1"/>
  <c r="B937" i="1"/>
  <c r="A937" i="1"/>
  <c r="D936" i="1"/>
  <c r="C936" i="1"/>
  <c r="B936" i="1"/>
  <c r="A936" i="1"/>
  <c r="D935" i="1"/>
  <c r="B935" i="1"/>
  <c r="A935" i="1"/>
  <c r="D934" i="1"/>
  <c r="B934" i="1"/>
  <c r="A934" i="1"/>
  <c r="D933" i="1"/>
  <c r="B933" i="1"/>
  <c r="A933" i="1"/>
  <c r="D932" i="1"/>
  <c r="B932" i="1"/>
  <c r="A932" i="1"/>
  <c r="D928" i="1"/>
  <c r="B928" i="1"/>
  <c r="A928" i="1"/>
  <c r="D930" i="1"/>
  <c r="B930" i="1"/>
  <c r="A930" i="1"/>
  <c r="D927" i="1"/>
  <c r="B927" i="1"/>
  <c r="A927" i="1"/>
  <c r="D931" i="1"/>
  <c r="B931" i="1"/>
  <c r="A931" i="1"/>
  <c r="D929" i="1"/>
  <c r="B929" i="1"/>
  <c r="A929" i="1"/>
  <c r="D925" i="1"/>
  <c r="B925" i="1"/>
  <c r="A925" i="1"/>
  <c r="D926" i="1"/>
  <c r="C926" i="1"/>
  <c r="B926" i="1"/>
  <c r="A926" i="1"/>
  <c r="D924" i="1"/>
  <c r="C924" i="1"/>
  <c r="B924" i="1"/>
  <c r="A924" i="1"/>
  <c r="D923" i="1"/>
  <c r="B923" i="1"/>
  <c r="A923" i="1"/>
  <c r="D921" i="1"/>
  <c r="B921" i="1"/>
  <c r="A921" i="1"/>
  <c r="D922" i="1"/>
  <c r="B922" i="1"/>
  <c r="A922" i="1"/>
  <c r="D917" i="1"/>
  <c r="B917" i="1"/>
  <c r="A917" i="1"/>
  <c r="D919" i="1"/>
  <c r="B919" i="1"/>
  <c r="A919" i="1"/>
  <c r="D920" i="1"/>
  <c r="B920" i="1"/>
  <c r="A920" i="1"/>
  <c r="D918" i="1"/>
  <c r="B918" i="1"/>
  <c r="A918" i="1"/>
  <c r="D916" i="1"/>
  <c r="B916" i="1"/>
  <c r="A916" i="1"/>
  <c r="D915" i="1"/>
  <c r="B915" i="1"/>
  <c r="A915" i="1"/>
  <c r="D914" i="1"/>
  <c r="C914" i="1"/>
  <c r="B914" i="1"/>
  <c r="A914" i="1"/>
  <c r="D913" i="1"/>
  <c r="C913" i="1"/>
  <c r="B913" i="1"/>
  <c r="A913" i="1"/>
  <c r="D912" i="1"/>
  <c r="A912" i="1"/>
  <c r="D911" i="1"/>
  <c r="B911" i="1"/>
  <c r="A911" i="1"/>
  <c r="D910" i="1"/>
  <c r="C910" i="1"/>
  <c r="B910" i="1"/>
  <c r="A910" i="1"/>
  <c r="D908" i="1"/>
  <c r="B908" i="1"/>
  <c r="A908" i="1"/>
  <c r="D909" i="1"/>
  <c r="B909" i="1"/>
  <c r="A909" i="1"/>
  <c r="D903" i="1"/>
  <c r="B903" i="1"/>
  <c r="A903" i="1"/>
  <c r="D907" i="1"/>
  <c r="B907" i="1"/>
  <c r="A907" i="1"/>
  <c r="D904" i="1"/>
  <c r="C904" i="1"/>
  <c r="B904" i="1"/>
  <c r="A904" i="1"/>
  <c r="D905" i="1"/>
  <c r="B905" i="1"/>
  <c r="A905" i="1"/>
  <c r="D906" i="1"/>
  <c r="B906" i="1"/>
  <c r="A906" i="1"/>
  <c r="D902" i="1"/>
  <c r="B902" i="1"/>
  <c r="A902" i="1"/>
  <c r="D901" i="1"/>
  <c r="C901" i="1"/>
  <c r="B901" i="1"/>
  <c r="A901" i="1"/>
  <c r="D900" i="1"/>
  <c r="B900" i="1"/>
  <c r="A900" i="1"/>
  <c r="D899" i="1"/>
  <c r="B899" i="1"/>
  <c r="A899" i="1"/>
  <c r="D898" i="1"/>
  <c r="C898" i="1"/>
  <c r="B898" i="1"/>
  <c r="A898" i="1"/>
  <c r="D895" i="1"/>
  <c r="B895" i="1"/>
  <c r="A895" i="1"/>
  <c r="D897" i="1"/>
  <c r="C897" i="1"/>
  <c r="B897" i="1"/>
  <c r="A897" i="1"/>
  <c r="D896" i="1"/>
  <c r="B896" i="1"/>
  <c r="A896" i="1"/>
  <c r="D894" i="1"/>
  <c r="B894" i="1"/>
  <c r="A894" i="1"/>
  <c r="D892" i="1"/>
  <c r="B892" i="1"/>
  <c r="A892" i="1"/>
  <c r="D893" i="1"/>
  <c r="B893" i="1"/>
  <c r="A893" i="1"/>
  <c r="D891" i="1"/>
  <c r="B891" i="1"/>
  <c r="A891" i="1"/>
  <c r="D890" i="1"/>
  <c r="B890" i="1"/>
  <c r="A890" i="1"/>
  <c r="D889" i="1"/>
  <c r="B889" i="1"/>
  <c r="A889" i="1"/>
  <c r="D888" i="1"/>
  <c r="B888" i="1"/>
  <c r="A888" i="1"/>
  <c r="D887" i="1"/>
  <c r="B887" i="1"/>
  <c r="A887" i="1"/>
  <c r="D886" i="1"/>
  <c r="B886" i="1"/>
  <c r="A886" i="1"/>
  <c r="D885" i="1"/>
  <c r="B885" i="1"/>
  <c r="A885" i="1"/>
  <c r="D884" i="1"/>
  <c r="C884" i="1"/>
  <c r="B884" i="1"/>
  <c r="A884" i="1"/>
  <c r="D883" i="1"/>
  <c r="B883" i="1"/>
  <c r="A883" i="1"/>
  <c r="D882" i="1"/>
  <c r="B882" i="1"/>
  <c r="A882" i="1"/>
  <c r="D881" i="1"/>
  <c r="B881" i="1"/>
  <c r="A881" i="1"/>
  <c r="D880" i="1"/>
  <c r="B880" i="1"/>
  <c r="A880" i="1"/>
  <c r="D879" i="1"/>
  <c r="B879" i="1"/>
  <c r="A879" i="1"/>
  <c r="D878" i="1"/>
  <c r="B878" i="1"/>
  <c r="A878" i="1"/>
  <c r="D877" i="1"/>
  <c r="B877" i="1"/>
  <c r="A877" i="1"/>
  <c r="D876" i="1"/>
  <c r="C876" i="1"/>
  <c r="B876" i="1"/>
  <c r="A876" i="1"/>
  <c r="D873" i="1"/>
  <c r="B873" i="1"/>
  <c r="A873" i="1"/>
  <c r="D874" i="1"/>
  <c r="B874" i="1"/>
  <c r="A874" i="1"/>
  <c r="D872" i="1"/>
  <c r="A872" i="1"/>
  <c r="D875" i="1"/>
  <c r="B875" i="1"/>
  <c r="A875" i="1"/>
  <c r="D871" i="1"/>
  <c r="B871" i="1"/>
  <c r="A871" i="1"/>
  <c r="D870" i="1"/>
  <c r="B870" i="1"/>
  <c r="A870" i="1"/>
  <c r="D869" i="1"/>
  <c r="B869" i="1"/>
  <c r="A869" i="1"/>
  <c r="D868" i="1"/>
  <c r="C868" i="1"/>
  <c r="B868" i="1"/>
  <c r="A868" i="1"/>
  <c r="D867" i="1"/>
  <c r="B867" i="1"/>
  <c r="A867" i="1"/>
  <c r="D866" i="1"/>
  <c r="B866" i="1"/>
  <c r="A866" i="1"/>
  <c r="D864" i="1"/>
  <c r="B864" i="1"/>
  <c r="A864" i="1"/>
  <c r="D865" i="1"/>
  <c r="B865" i="1"/>
  <c r="A865" i="1"/>
  <c r="D863" i="1"/>
  <c r="B863" i="1"/>
  <c r="A863" i="1"/>
  <c r="D862" i="1"/>
  <c r="B862" i="1"/>
  <c r="A862" i="1"/>
  <c r="D861" i="1"/>
  <c r="B861" i="1"/>
  <c r="A861" i="1"/>
  <c r="D860" i="1"/>
  <c r="B860" i="1"/>
  <c r="A860" i="1"/>
  <c r="D859" i="1"/>
  <c r="B859" i="1"/>
  <c r="A859" i="1"/>
  <c r="D858" i="1"/>
  <c r="B858" i="1"/>
  <c r="A858" i="1"/>
  <c r="D857" i="1"/>
  <c r="B857" i="1"/>
  <c r="A857" i="1"/>
  <c r="D856" i="1"/>
  <c r="B856" i="1"/>
  <c r="A856" i="1"/>
  <c r="D855" i="1"/>
  <c r="B855" i="1"/>
  <c r="A855" i="1"/>
  <c r="D854" i="1"/>
  <c r="B854" i="1"/>
  <c r="A854" i="1"/>
  <c r="D853" i="1"/>
  <c r="B853" i="1"/>
  <c r="A853" i="1"/>
  <c r="D852" i="1"/>
  <c r="B852" i="1"/>
  <c r="A852" i="1"/>
  <c r="D851" i="1"/>
  <c r="C851" i="1"/>
  <c r="B851" i="1"/>
  <c r="A851" i="1"/>
  <c r="D850" i="1"/>
  <c r="B850" i="1"/>
  <c r="A850" i="1"/>
  <c r="D847" i="1"/>
  <c r="B847" i="1"/>
  <c r="A847" i="1"/>
  <c r="D849" i="1"/>
  <c r="B849" i="1"/>
  <c r="A849" i="1"/>
  <c r="D848" i="1"/>
  <c r="B848" i="1"/>
  <c r="A848" i="1"/>
  <c r="D846" i="1"/>
  <c r="C846" i="1"/>
  <c r="B846" i="1"/>
  <c r="A846" i="1"/>
  <c r="D845" i="1"/>
  <c r="B845" i="1"/>
  <c r="A845" i="1"/>
  <c r="D844" i="1"/>
  <c r="A844" i="1"/>
  <c r="D843" i="1"/>
  <c r="B843" i="1"/>
  <c r="A843" i="1"/>
  <c r="D842" i="1"/>
  <c r="B842" i="1"/>
  <c r="A842" i="1"/>
  <c r="D841" i="1"/>
  <c r="B841" i="1"/>
  <c r="A841" i="1"/>
  <c r="D840" i="1"/>
  <c r="B840" i="1"/>
  <c r="A840" i="1"/>
  <c r="D839" i="1"/>
  <c r="B839" i="1"/>
  <c r="A839" i="1"/>
  <c r="D838" i="1"/>
  <c r="B838" i="1"/>
  <c r="A838" i="1"/>
  <c r="D837" i="1"/>
  <c r="B837" i="1"/>
  <c r="A837" i="1"/>
  <c r="D835" i="1"/>
  <c r="C835" i="1"/>
  <c r="B835" i="1"/>
  <c r="A835" i="1"/>
  <c r="D836" i="1"/>
  <c r="B836" i="1"/>
  <c r="A836" i="1"/>
  <c r="D834" i="1"/>
  <c r="B834" i="1"/>
  <c r="A834" i="1"/>
  <c r="D833" i="1"/>
  <c r="B833" i="1"/>
  <c r="A833" i="1"/>
  <c r="D832" i="1"/>
  <c r="B832" i="1"/>
  <c r="A832" i="1"/>
  <c r="D831" i="1"/>
  <c r="B831" i="1"/>
  <c r="A831" i="1"/>
  <c r="D830" i="1"/>
  <c r="B830" i="1"/>
  <c r="A830" i="1"/>
  <c r="D829" i="1"/>
  <c r="B829" i="1"/>
  <c r="A829" i="1"/>
  <c r="D828" i="1"/>
  <c r="B828" i="1"/>
  <c r="A828" i="1"/>
  <c r="D827" i="1"/>
  <c r="C827" i="1"/>
  <c r="B827" i="1"/>
  <c r="A827" i="1"/>
  <c r="D826" i="1"/>
  <c r="B826" i="1"/>
  <c r="A826" i="1"/>
  <c r="D825" i="1"/>
  <c r="B825" i="1"/>
  <c r="A825" i="1"/>
  <c r="D824" i="1"/>
  <c r="B824" i="1"/>
  <c r="A824" i="1"/>
  <c r="D823" i="1"/>
  <c r="B823" i="1"/>
  <c r="A823" i="1"/>
  <c r="D822" i="1"/>
  <c r="C822" i="1"/>
  <c r="B822" i="1"/>
  <c r="A822" i="1"/>
  <c r="D820" i="1"/>
  <c r="C820" i="1"/>
  <c r="B820" i="1"/>
  <c r="A820" i="1"/>
  <c r="D821" i="1"/>
  <c r="B821" i="1"/>
  <c r="A821" i="1"/>
  <c r="D819" i="1"/>
  <c r="B819" i="1"/>
  <c r="A819" i="1"/>
  <c r="D818" i="1"/>
  <c r="B818" i="1"/>
  <c r="A818" i="1"/>
  <c r="D817" i="1"/>
  <c r="B817" i="1"/>
  <c r="A817" i="1"/>
  <c r="D816" i="1"/>
  <c r="B816" i="1"/>
  <c r="A816" i="1"/>
  <c r="D815" i="1"/>
  <c r="C815" i="1"/>
  <c r="B815" i="1"/>
  <c r="A815" i="1"/>
  <c r="D813" i="1"/>
  <c r="B813" i="1"/>
  <c r="A813" i="1"/>
  <c r="D814" i="1"/>
  <c r="B814" i="1"/>
  <c r="A814" i="1"/>
  <c r="D812" i="1"/>
  <c r="B812" i="1"/>
  <c r="A812" i="1"/>
  <c r="D811" i="1"/>
  <c r="C811" i="1"/>
  <c r="B811" i="1"/>
  <c r="A811" i="1"/>
  <c r="D808" i="1"/>
  <c r="B808" i="1"/>
  <c r="A808" i="1"/>
  <c r="D810" i="1"/>
  <c r="C810" i="1"/>
  <c r="B810" i="1"/>
  <c r="A810" i="1"/>
  <c r="D809" i="1"/>
  <c r="B809" i="1"/>
  <c r="A809" i="1"/>
  <c r="D807" i="1"/>
  <c r="B807" i="1"/>
  <c r="A807" i="1"/>
  <c r="D806" i="1"/>
  <c r="C806" i="1"/>
  <c r="B806" i="1"/>
  <c r="A806" i="1"/>
  <c r="D805" i="1"/>
  <c r="B805" i="1"/>
  <c r="A805" i="1"/>
  <c r="D804" i="1"/>
  <c r="B804" i="1"/>
  <c r="A804" i="1"/>
  <c r="D803" i="1"/>
  <c r="B803" i="1"/>
  <c r="A803" i="1"/>
  <c r="D802" i="1"/>
  <c r="B802" i="1"/>
  <c r="A802" i="1"/>
  <c r="D800" i="1"/>
  <c r="B800" i="1"/>
  <c r="A800" i="1"/>
  <c r="D801" i="1"/>
  <c r="B801" i="1"/>
  <c r="A801" i="1"/>
  <c r="D799" i="1"/>
  <c r="C799" i="1"/>
  <c r="B799" i="1"/>
  <c r="A799" i="1"/>
  <c r="D798" i="1"/>
  <c r="B798" i="1"/>
  <c r="A798" i="1"/>
  <c r="D796" i="1"/>
  <c r="B796" i="1"/>
  <c r="A796" i="1"/>
  <c r="D797" i="1"/>
  <c r="B797" i="1"/>
  <c r="A797" i="1"/>
  <c r="D794" i="1"/>
  <c r="B794" i="1"/>
  <c r="A794" i="1"/>
  <c r="D795" i="1"/>
  <c r="B795" i="1"/>
  <c r="A795" i="1"/>
  <c r="D792" i="1"/>
  <c r="B792" i="1"/>
  <c r="A792" i="1"/>
  <c r="D791" i="1"/>
  <c r="B791" i="1"/>
  <c r="A791" i="1"/>
  <c r="D793" i="1"/>
  <c r="B793" i="1"/>
  <c r="A793" i="1"/>
  <c r="D790" i="1"/>
  <c r="B790" i="1"/>
  <c r="A790" i="1"/>
  <c r="D789" i="1"/>
  <c r="B789" i="1"/>
  <c r="A789" i="1"/>
  <c r="D788" i="1"/>
  <c r="B788" i="1"/>
  <c r="A788" i="1"/>
  <c r="D787" i="1"/>
  <c r="B787" i="1"/>
  <c r="A787" i="1"/>
  <c r="D786" i="1"/>
  <c r="B786" i="1"/>
  <c r="A786" i="1"/>
  <c r="D785" i="1"/>
  <c r="B785" i="1"/>
  <c r="A785" i="1"/>
  <c r="D784" i="1"/>
  <c r="B784" i="1"/>
  <c r="A784" i="1"/>
  <c r="D783" i="1"/>
  <c r="B783" i="1"/>
  <c r="A783" i="1"/>
  <c r="D782" i="1"/>
  <c r="B782" i="1"/>
  <c r="A782" i="1"/>
  <c r="D781" i="1"/>
  <c r="C781" i="1"/>
  <c r="B781" i="1"/>
  <c r="A781" i="1"/>
  <c r="D780" i="1"/>
  <c r="B780" i="1"/>
  <c r="A780" i="1"/>
  <c r="D779" i="1"/>
  <c r="C779" i="1"/>
  <c r="B779" i="1"/>
  <c r="A779" i="1"/>
  <c r="D778" i="1"/>
  <c r="B778" i="1"/>
  <c r="A778" i="1"/>
  <c r="D777" i="1"/>
  <c r="B777" i="1"/>
  <c r="A777" i="1"/>
  <c r="D776" i="1"/>
  <c r="B776" i="1"/>
  <c r="A776" i="1"/>
  <c r="D775" i="1"/>
  <c r="C775" i="1"/>
  <c r="B775" i="1"/>
  <c r="A775" i="1"/>
  <c r="D774" i="1"/>
  <c r="C774" i="1"/>
  <c r="B774" i="1"/>
  <c r="A774" i="1"/>
  <c r="D772" i="1"/>
  <c r="B772" i="1"/>
  <c r="A772" i="1"/>
  <c r="D771" i="1"/>
  <c r="B771" i="1"/>
  <c r="A771" i="1"/>
  <c r="D773" i="1"/>
  <c r="B773" i="1"/>
  <c r="A773" i="1"/>
  <c r="D770" i="1"/>
  <c r="B770" i="1"/>
  <c r="A770" i="1"/>
  <c r="D769" i="1"/>
  <c r="B769" i="1"/>
  <c r="A769" i="1"/>
  <c r="D768" i="1"/>
  <c r="B768" i="1"/>
  <c r="A768" i="1"/>
  <c r="D767" i="1"/>
  <c r="B767" i="1"/>
  <c r="A767" i="1"/>
  <c r="D766" i="1"/>
  <c r="C766" i="1"/>
  <c r="B766" i="1"/>
  <c r="A766" i="1"/>
  <c r="D765" i="1"/>
  <c r="B765" i="1"/>
  <c r="A765" i="1"/>
  <c r="D764" i="1"/>
  <c r="B764" i="1"/>
  <c r="A764" i="1"/>
  <c r="D763" i="1"/>
  <c r="C763" i="1"/>
  <c r="B763" i="1"/>
  <c r="A763" i="1"/>
  <c r="D762" i="1"/>
  <c r="C762" i="1"/>
  <c r="B762" i="1"/>
  <c r="A762" i="1"/>
  <c r="D760" i="1"/>
  <c r="B760" i="1"/>
  <c r="A760" i="1"/>
  <c r="D761" i="1"/>
  <c r="B761" i="1"/>
  <c r="A761" i="1"/>
  <c r="D759" i="1"/>
  <c r="B759" i="1"/>
  <c r="A759" i="1"/>
  <c r="D758" i="1"/>
  <c r="B758" i="1"/>
  <c r="A758" i="1"/>
  <c r="D754" i="1"/>
  <c r="B754" i="1"/>
  <c r="A754" i="1"/>
  <c r="D757" i="1"/>
  <c r="B757" i="1"/>
  <c r="A757" i="1"/>
  <c r="D756" i="1"/>
  <c r="B756" i="1"/>
  <c r="A756" i="1"/>
  <c r="D753" i="1"/>
  <c r="C753" i="1"/>
  <c r="B753" i="1"/>
  <c r="A753" i="1"/>
  <c r="D755" i="1"/>
  <c r="B755" i="1"/>
  <c r="A755" i="1"/>
  <c r="D752" i="1"/>
  <c r="B752" i="1"/>
  <c r="A752" i="1"/>
  <c r="D751" i="1"/>
  <c r="B751" i="1"/>
  <c r="A751" i="1"/>
  <c r="D750" i="1"/>
  <c r="B750" i="1"/>
  <c r="A750" i="1"/>
  <c r="D749" i="1"/>
  <c r="B749" i="1"/>
  <c r="A749" i="1"/>
  <c r="D748" i="1"/>
  <c r="B748" i="1"/>
  <c r="A748" i="1"/>
  <c r="D747" i="1"/>
  <c r="B747" i="1"/>
  <c r="A747" i="1"/>
  <c r="D746" i="1"/>
  <c r="B746" i="1"/>
  <c r="A746" i="1"/>
  <c r="D745" i="1"/>
  <c r="B745" i="1"/>
  <c r="A745" i="1"/>
  <c r="D744" i="1"/>
  <c r="B744" i="1"/>
  <c r="A744" i="1"/>
  <c r="D743" i="1"/>
  <c r="C743" i="1"/>
  <c r="B743" i="1"/>
  <c r="A743" i="1"/>
  <c r="D742" i="1"/>
  <c r="B742" i="1"/>
  <c r="A742" i="1"/>
  <c r="D741" i="1"/>
  <c r="B741" i="1"/>
  <c r="A741" i="1"/>
  <c r="D740" i="1"/>
  <c r="B740" i="1"/>
  <c r="A740" i="1"/>
  <c r="D739" i="1"/>
  <c r="B739" i="1"/>
  <c r="A739" i="1"/>
  <c r="D738" i="1"/>
  <c r="B738" i="1"/>
  <c r="A738" i="1"/>
  <c r="D736" i="1"/>
  <c r="C736" i="1"/>
  <c r="B736" i="1"/>
  <c r="A736" i="1"/>
  <c r="D737" i="1"/>
  <c r="B737" i="1"/>
  <c r="A737" i="1"/>
  <c r="D734" i="1"/>
  <c r="B734" i="1"/>
  <c r="A734" i="1"/>
  <c r="D735" i="1"/>
  <c r="B735" i="1"/>
  <c r="A735" i="1"/>
  <c r="D730" i="1"/>
  <c r="B730" i="1"/>
  <c r="A730" i="1"/>
  <c r="D732" i="1"/>
  <c r="B732" i="1"/>
  <c r="A732" i="1"/>
  <c r="D733" i="1"/>
  <c r="B733" i="1"/>
  <c r="A733" i="1"/>
  <c r="D731" i="1"/>
  <c r="B731" i="1"/>
  <c r="A731" i="1"/>
  <c r="D729" i="1"/>
  <c r="B729" i="1"/>
  <c r="A729" i="1"/>
  <c r="D728" i="1"/>
  <c r="B728" i="1"/>
  <c r="A728" i="1"/>
  <c r="D727" i="1"/>
  <c r="B727" i="1"/>
  <c r="A727" i="1"/>
  <c r="D726" i="1"/>
  <c r="B726" i="1"/>
  <c r="A726" i="1"/>
  <c r="D725" i="1"/>
  <c r="B725" i="1"/>
  <c r="A725" i="1"/>
  <c r="D724" i="1"/>
  <c r="B724" i="1"/>
  <c r="A724" i="1"/>
  <c r="D723" i="1"/>
  <c r="C723" i="1"/>
  <c r="B723" i="1"/>
  <c r="A723" i="1"/>
  <c r="D721" i="1"/>
  <c r="B721" i="1"/>
  <c r="A721" i="1"/>
  <c r="D722" i="1"/>
  <c r="B722" i="1"/>
  <c r="A722" i="1"/>
  <c r="D720" i="1"/>
  <c r="B720" i="1"/>
  <c r="A720" i="1"/>
  <c r="D719" i="1"/>
  <c r="B719" i="1"/>
  <c r="A719" i="1"/>
  <c r="D717" i="1"/>
  <c r="B717" i="1"/>
  <c r="A717" i="1"/>
  <c r="D718" i="1"/>
  <c r="B718" i="1"/>
  <c r="A718" i="1"/>
  <c r="D716" i="1"/>
  <c r="B716" i="1"/>
  <c r="A716" i="1"/>
  <c r="D715" i="1"/>
  <c r="C715" i="1"/>
  <c r="B715" i="1"/>
  <c r="A715" i="1"/>
  <c r="D714" i="1"/>
  <c r="C714" i="1"/>
  <c r="B714" i="1"/>
  <c r="A714" i="1"/>
  <c r="D713" i="1"/>
  <c r="B713" i="1"/>
  <c r="A713" i="1"/>
  <c r="D712" i="1"/>
  <c r="B712" i="1"/>
  <c r="A712" i="1"/>
  <c r="D711" i="1"/>
  <c r="C711" i="1"/>
  <c r="B711" i="1"/>
  <c r="A711" i="1"/>
  <c r="D709" i="1"/>
  <c r="B709" i="1"/>
  <c r="A709" i="1"/>
  <c r="D710" i="1"/>
  <c r="B710" i="1"/>
  <c r="A710" i="1"/>
  <c r="D708" i="1"/>
  <c r="B708" i="1"/>
  <c r="A708" i="1"/>
  <c r="D707" i="1"/>
  <c r="B707" i="1"/>
  <c r="A707" i="1"/>
  <c r="D706" i="1"/>
  <c r="B706" i="1"/>
  <c r="A706" i="1"/>
  <c r="D705" i="1"/>
  <c r="C705" i="1"/>
  <c r="B705" i="1"/>
  <c r="A705" i="1"/>
  <c r="D704" i="1"/>
  <c r="B704" i="1"/>
  <c r="A704" i="1"/>
  <c r="D703" i="1"/>
  <c r="B703" i="1"/>
  <c r="A703" i="1"/>
  <c r="D698" i="1"/>
  <c r="B698" i="1"/>
  <c r="A698" i="1"/>
  <c r="D700" i="1"/>
  <c r="B700" i="1"/>
  <c r="A700" i="1"/>
  <c r="D701" i="1"/>
  <c r="B701" i="1"/>
  <c r="A701" i="1"/>
  <c r="D702" i="1"/>
  <c r="B702" i="1"/>
  <c r="A702" i="1"/>
  <c r="D699" i="1"/>
  <c r="B699" i="1"/>
  <c r="A699" i="1"/>
  <c r="D697" i="1"/>
  <c r="B697" i="1"/>
  <c r="A697" i="1"/>
  <c r="D696" i="1"/>
  <c r="B696" i="1"/>
  <c r="A696" i="1"/>
  <c r="D695" i="1"/>
  <c r="B695" i="1"/>
  <c r="A695" i="1"/>
  <c r="D694" i="1"/>
  <c r="B694" i="1"/>
  <c r="A694" i="1"/>
  <c r="D693" i="1"/>
  <c r="B693" i="1"/>
  <c r="A693" i="1"/>
  <c r="D692" i="1"/>
  <c r="C692" i="1"/>
  <c r="B692" i="1"/>
  <c r="A692" i="1"/>
  <c r="D689" i="1"/>
  <c r="B689" i="1"/>
  <c r="A689" i="1"/>
  <c r="D691" i="1"/>
  <c r="B691" i="1"/>
  <c r="A691" i="1"/>
  <c r="D690" i="1"/>
  <c r="B690" i="1"/>
  <c r="A690" i="1"/>
  <c r="D688" i="1"/>
  <c r="B688" i="1"/>
  <c r="A688" i="1"/>
  <c r="D687" i="1"/>
  <c r="B687" i="1"/>
  <c r="A687" i="1"/>
  <c r="D686" i="1"/>
  <c r="B686" i="1"/>
  <c r="A686" i="1"/>
  <c r="D685" i="1"/>
  <c r="B685" i="1"/>
  <c r="A685" i="1"/>
  <c r="D684" i="1"/>
  <c r="B684" i="1"/>
  <c r="A684" i="1"/>
  <c r="D683" i="1"/>
  <c r="B683" i="1"/>
  <c r="A683" i="1"/>
  <c r="D682" i="1"/>
  <c r="B682" i="1"/>
  <c r="A682" i="1"/>
  <c r="D681" i="1"/>
  <c r="B681" i="1"/>
  <c r="A681" i="1"/>
  <c r="D680" i="1"/>
  <c r="B680" i="1"/>
  <c r="A680" i="1"/>
  <c r="D679" i="1"/>
  <c r="C679" i="1"/>
  <c r="B679" i="1"/>
  <c r="A679" i="1"/>
  <c r="D678" i="1"/>
  <c r="B678" i="1"/>
  <c r="A678" i="1"/>
  <c r="D677" i="1"/>
  <c r="B677" i="1"/>
  <c r="A677" i="1"/>
  <c r="D676" i="1"/>
  <c r="B676" i="1"/>
  <c r="A676" i="1"/>
  <c r="D675" i="1"/>
  <c r="B675" i="1"/>
  <c r="A675" i="1"/>
  <c r="D674" i="1"/>
  <c r="B674" i="1"/>
  <c r="A674" i="1"/>
  <c r="D672" i="1"/>
  <c r="B672" i="1"/>
  <c r="A672" i="1"/>
  <c r="D673" i="1"/>
  <c r="B673" i="1"/>
  <c r="A673" i="1"/>
  <c r="D671" i="1"/>
  <c r="C671" i="1"/>
  <c r="B671" i="1"/>
  <c r="A671" i="1"/>
  <c r="D670" i="1"/>
  <c r="B670" i="1"/>
  <c r="A670" i="1"/>
  <c r="D669" i="1"/>
  <c r="B669" i="1"/>
  <c r="A669" i="1"/>
  <c r="D668" i="1"/>
  <c r="B668" i="1"/>
  <c r="A668" i="1"/>
  <c r="D667" i="1"/>
  <c r="B667" i="1"/>
  <c r="A667" i="1"/>
  <c r="D666" i="1"/>
  <c r="C666" i="1"/>
  <c r="B666" i="1"/>
  <c r="A666" i="1"/>
  <c r="D665" i="1"/>
  <c r="B665" i="1"/>
  <c r="A665" i="1"/>
  <c r="D664" i="1"/>
  <c r="B664" i="1"/>
  <c r="A664" i="1"/>
  <c r="D663" i="1"/>
  <c r="B663" i="1"/>
  <c r="A663" i="1"/>
  <c r="D662" i="1"/>
  <c r="C662" i="1"/>
  <c r="B662" i="1"/>
  <c r="A662" i="1"/>
  <c r="D661" i="1"/>
  <c r="B661" i="1"/>
  <c r="A661" i="1"/>
  <c r="D660" i="1"/>
  <c r="B660" i="1"/>
  <c r="A660" i="1"/>
  <c r="D654" i="1"/>
  <c r="B654" i="1"/>
  <c r="A654" i="1"/>
  <c r="D652" i="1"/>
  <c r="B652" i="1"/>
  <c r="A652" i="1"/>
  <c r="D655" i="1"/>
  <c r="B655" i="1"/>
  <c r="A655" i="1"/>
  <c r="D657" i="1"/>
  <c r="B657" i="1"/>
  <c r="A657" i="1"/>
  <c r="D659" i="1"/>
  <c r="B659" i="1"/>
  <c r="A659" i="1"/>
  <c r="D656" i="1"/>
  <c r="B656" i="1"/>
  <c r="A656" i="1"/>
  <c r="D658" i="1"/>
  <c r="B658" i="1"/>
  <c r="A658" i="1"/>
  <c r="D653" i="1"/>
  <c r="B653" i="1"/>
  <c r="A653" i="1"/>
  <c r="D651" i="1"/>
  <c r="B651" i="1"/>
  <c r="A651" i="1"/>
  <c r="D650" i="1"/>
  <c r="B650" i="1"/>
  <c r="A650" i="1"/>
  <c r="D649" i="1"/>
  <c r="C649" i="1"/>
  <c r="B649" i="1"/>
  <c r="A649" i="1"/>
  <c r="D648" i="1"/>
  <c r="B648" i="1"/>
  <c r="A648" i="1"/>
  <c r="D647" i="1"/>
  <c r="B647" i="1"/>
  <c r="A647" i="1"/>
  <c r="D646" i="1"/>
  <c r="B646" i="1"/>
  <c r="A646" i="1"/>
  <c r="D645" i="1"/>
  <c r="B645" i="1"/>
  <c r="A645" i="1"/>
  <c r="D644" i="1"/>
  <c r="B644" i="1"/>
  <c r="A644" i="1"/>
  <c r="D643" i="1"/>
  <c r="B643" i="1"/>
  <c r="A643" i="1"/>
  <c r="D642" i="1"/>
  <c r="B642" i="1"/>
  <c r="A642" i="1"/>
  <c r="D641" i="1"/>
  <c r="B641" i="1"/>
  <c r="A641" i="1"/>
  <c r="D640" i="1"/>
  <c r="C640" i="1"/>
  <c r="B640" i="1"/>
  <c r="A640" i="1"/>
  <c r="D639" i="1"/>
  <c r="B639" i="1"/>
  <c r="A639" i="1"/>
  <c r="D638" i="1"/>
  <c r="B638" i="1"/>
  <c r="A638" i="1"/>
  <c r="D637" i="1"/>
  <c r="B637" i="1"/>
  <c r="A637" i="1"/>
  <c r="D636" i="1"/>
  <c r="B636" i="1"/>
  <c r="A636" i="1"/>
  <c r="D635" i="1"/>
  <c r="B635" i="1"/>
  <c r="A635" i="1"/>
  <c r="D634" i="1"/>
  <c r="B634" i="1"/>
  <c r="A634" i="1"/>
  <c r="D633" i="1"/>
  <c r="B633" i="1"/>
  <c r="A633" i="1"/>
  <c r="D629" i="1"/>
  <c r="B629" i="1"/>
  <c r="A629" i="1"/>
  <c r="D631" i="1"/>
  <c r="B631" i="1"/>
  <c r="A631" i="1"/>
  <c r="D632" i="1"/>
  <c r="B632" i="1"/>
  <c r="A632" i="1"/>
  <c r="D627" i="1"/>
  <c r="B627" i="1"/>
  <c r="A627" i="1"/>
  <c r="D628" i="1"/>
  <c r="B628" i="1"/>
  <c r="A628" i="1"/>
  <c r="D630" i="1"/>
  <c r="B630" i="1"/>
  <c r="A630" i="1"/>
  <c r="D626" i="1"/>
  <c r="B626" i="1"/>
  <c r="A626" i="1"/>
  <c r="D625" i="1"/>
  <c r="C625" i="1"/>
  <c r="B625" i="1"/>
  <c r="A625" i="1"/>
  <c r="D624" i="1"/>
  <c r="C624" i="1"/>
  <c r="B624" i="1"/>
  <c r="A624" i="1"/>
  <c r="D623" i="1"/>
  <c r="C623" i="1"/>
  <c r="B623" i="1"/>
  <c r="A623" i="1"/>
  <c r="D622" i="1"/>
  <c r="B622" i="1"/>
  <c r="A622" i="1"/>
  <c r="D621" i="1"/>
  <c r="B621" i="1"/>
  <c r="A621" i="1"/>
  <c r="D620" i="1"/>
  <c r="B620" i="1"/>
  <c r="A620" i="1"/>
  <c r="D619" i="1"/>
  <c r="B619" i="1"/>
  <c r="A619" i="1"/>
  <c r="D618" i="1"/>
  <c r="B618" i="1"/>
  <c r="A618" i="1"/>
  <c r="D617" i="1"/>
  <c r="B617" i="1"/>
  <c r="A617" i="1"/>
  <c r="D616" i="1"/>
  <c r="B616" i="1"/>
  <c r="A616" i="1"/>
  <c r="D615" i="1"/>
  <c r="C615" i="1"/>
  <c r="B615" i="1"/>
  <c r="A615" i="1"/>
  <c r="D614" i="1"/>
  <c r="B614" i="1"/>
  <c r="A614" i="1"/>
  <c r="D613" i="1"/>
  <c r="B613" i="1"/>
  <c r="A613" i="1"/>
  <c r="D612" i="1"/>
  <c r="B612" i="1"/>
  <c r="A612" i="1"/>
  <c r="D611" i="1"/>
  <c r="B611" i="1"/>
  <c r="A611" i="1"/>
  <c r="D610" i="1"/>
  <c r="C610" i="1"/>
  <c r="B610" i="1"/>
  <c r="A610" i="1"/>
  <c r="D609" i="1"/>
  <c r="B609" i="1"/>
  <c r="A609" i="1"/>
  <c r="D608" i="1"/>
  <c r="B608" i="1"/>
  <c r="A608" i="1"/>
  <c r="D607" i="1"/>
  <c r="B607" i="1"/>
  <c r="A607" i="1"/>
  <c r="D606" i="1"/>
  <c r="B606" i="1"/>
  <c r="A606" i="1"/>
  <c r="D605" i="1"/>
  <c r="B605" i="1"/>
  <c r="A605" i="1"/>
  <c r="D603" i="1"/>
  <c r="B603" i="1"/>
  <c r="A603" i="1"/>
  <c r="D602" i="1"/>
  <c r="B602" i="1"/>
  <c r="A602" i="1"/>
  <c r="D604" i="1"/>
  <c r="B604" i="1"/>
  <c r="A604" i="1"/>
  <c r="D601" i="1"/>
  <c r="B601" i="1"/>
  <c r="A601" i="1"/>
  <c r="D600" i="1"/>
  <c r="B600" i="1"/>
  <c r="A600" i="1"/>
  <c r="D599" i="1"/>
  <c r="C599" i="1"/>
  <c r="B599" i="1"/>
  <c r="A599" i="1"/>
  <c r="D598" i="1"/>
  <c r="B598" i="1"/>
  <c r="A598" i="1"/>
  <c r="D597" i="1"/>
  <c r="B597" i="1"/>
  <c r="A597" i="1"/>
  <c r="D596" i="1"/>
  <c r="B596" i="1"/>
  <c r="A596" i="1"/>
  <c r="D595" i="1"/>
  <c r="B595" i="1"/>
  <c r="A595" i="1"/>
  <c r="D594" i="1"/>
  <c r="B594" i="1"/>
  <c r="A594" i="1"/>
  <c r="D593" i="1"/>
  <c r="B593" i="1"/>
  <c r="A593" i="1"/>
  <c r="D592" i="1"/>
  <c r="B592" i="1"/>
  <c r="A592" i="1"/>
  <c r="D591" i="1"/>
  <c r="B591" i="1"/>
  <c r="A591" i="1"/>
  <c r="D590" i="1"/>
  <c r="B590" i="1"/>
  <c r="A590" i="1"/>
  <c r="D587" i="1"/>
  <c r="B587" i="1"/>
  <c r="A587" i="1"/>
  <c r="D588" i="1"/>
  <c r="B588" i="1"/>
  <c r="A588" i="1"/>
  <c r="D589" i="1"/>
  <c r="A589" i="1"/>
  <c r="D586" i="1"/>
  <c r="B586" i="1"/>
  <c r="A586" i="1"/>
  <c r="D585" i="1"/>
  <c r="B585" i="1"/>
  <c r="A585" i="1"/>
  <c r="D584" i="1"/>
  <c r="B584" i="1"/>
  <c r="A584" i="1"/>
  <c r="D583" i="1"/>
  <c r="C583" i="1"/>
  <c r="B583" i="1"/>
  <c r="A583" i="1"/>
  <c r="D582" i="1"/>
  <c r="B582" i="1"/>
  <c r="A582" i="1"/>
  <c r="D581" i="1"/>
  <c r="B581" i="1"/>
  <c r="A581" i="1"/>
  <c r="D580" i="1"/>
  <c r="B580" i="1"/>
  <c r="A580" i="1"/>
  <c r="D579" i="1"/>
  <c r="C579" i="1"/>
  <c r="B579" i="1"/>
  <c r="A579" i="1"/>
  <c r="D578" i="1"/>
  <c r="B578" i="1"/>
  <c r="A578" i="1"/>
  <c r="D577" i="1"/>
  <c r="B577" i="1"/>
  <c r="A577" i="1"/>
  <c r="D576" i="1"/>
  <c r="B576" i="1"/>
  <c r="A576" i="1"/>
  <c r="D575" i="1"/>
  <c r="C575" i="1"/>
  <c r="B575" i="1"/>
  <c r="A575" i="1"/>
  <c r="D574" i="1"/>
  <c r="B574" i="1"/>
  <c r="A574" i="1"/>
  <c r="D573" i="1"/>
  <c r="B573" i="1"/>
  <c r="A573" i="1"/>
  <c r="D572" i="1"/>
  <c r="B572" i="1"/>
  <c r="A572" i="1"/>
  <c r="D571" i="1"/>
  <c r="B571" i="1"/>
  <c r="A571" i="1"/>
  <c r="D570" i="1"/>
  <c r="B570" i="1"/>
  <c r="A570" i="1"/>
  <c r="D569" i="1"/>
  <c r="C569" i="1"/>
  <c r="B569" i="1"/>
  <c r="A569" i="1"/>
  <c r="D568" i="1"/>
  <c r="B568" i="1"/>
  <c r="A568" i="1"/>
  <c r="D567" i="1"/>
  <c r="B567" i="1"/>
  <c r="A567" i="1"/>
  <c r="D565" i="1"/>
  <c r="B565" i="1"/>
  <c r="A565" i="1"/>
  <c r="D566" i="1"/>
  <c r="B566" i="1"/>
  <c r="A566" i="1"/>
  <c r="D564" i="1"/>
  <c r="B564" i="1"/>
  <c r="A564" i="1"/>
  <c r="D563" i="1"/>
  <c r="B563" i="1"/>
  <c r="A563" i="1"/>
  <c r="D562" i="1"/>
  <c r="B562" i="1"/>
  <c r="A562" i="1"/>
  <c r="D561" i="1"/>
  <c r="B561" i="1"/>
  <c r="A561" i="1"/>
  <c r="D560" i="1"/>
  <c r="B560" i="1"/>
  <c r="A560" i="1"/>
  <c r="D559" i="1"/>
  <c r="C559" i="1"/>
  <c r="B559" i="1"/>
  <c r="A559" i="1"/>
  <c r="D558" i="1"/>
  <c r="B558" i="1"/>
  <c r="A558" i="1"/>
  <c r="D557" i="1"/>
  <c r="B557" i="1"/>
  <c r="A557" i="1"/>
  <c r="D556" i="1"/>
  <c r="B556" i="1"/>
  <c r="A556" i="1"/>
  <c r="D555" i="1"/>
  <c r="B555" i="1"/>
  <c r="A555" i="1"/>
  <c r="D554" i="1"/>
  <c r="B554" i="1"/>
  <c r="A554" i="1"/>
  <c r="D553" i="1"/>
  <c r="C553" i="1"/>
  <c r="B553" i="1"/>
  <c r="A553" i="1"/>
  <c r="D552" i="1"/>
  <c r="C552" i="1"/>
  <c r="B552" i="1"/>
  <c r="A552" i="1"/>
  <c r="D551" i="1"/>
  <c r="B551" i="1"/>
  <c r="A551" i="1"/>
  <c r="D550" i="1"/>
  <c r="C550" i="1"/>
  <c r="B550" i="1"/>
  <c r="A550" i="1"/>
  <c r="D548" i="1"/>
  <c r="B548" i="1"/>
  <c r="A548" i="1"/>
  <c r="D549" i="1"/>
  <c r="C549" i="1"/>
  <c r="B549" i="1"/>
  <c r="A549" i="1"/>
  <c r="D547" i="1"/>
  <c r="B547" i="1"/>
  <c r="A547" i="1"/>
  <c r="D546" i="1"/>
  <c r="B546" i="1"/>
  <c r="A546" i="1"/>
  <c r="D545" i="1"/>
  <c r="B545" i="1"/>
  <c r="A545" i="1"/>
  <c r="D544" i="1"/>
  <c r="B544" i="1"/>
  <c r="A544" i="1"/>
  <c r="D543" i="1"/>
  <c r="B543" i="1"/>
  <c r="A543" i="1"/>
  <c r="D541" i="1"/>
  <c r="B541" i="1"/>
  <c r="A541" i="1"/>
  <c r="D540" i="1"/>
  <c r="B540" i="1"/>
  <c r="A540" i="1"/>
  <c r="D542" i="1"/>
  <c r="B542" i="1"/>
  <c r="A542" i="1"/>
  <c r="D539" i="1"/>
  <c r="C539" i="1"/>
  <c r="B539" i="1"/>
  <c r="A539" i="1"/>
  <c r="D538" i="1"/>
  <c r="C538" i="1"/>
  <c r="B538" i="1"/>
  <c r="A538" i="1"/>
  <c r="D537" i="1"/>
  <c r="B537" i="1"/>
  <c r="A537" i="1"/>
  <c r="D536" i="1"/>
  <c r="B536" i="1"/>
  <c r="A536" i="1"/>
  <c r="D535" i="1"/>
  <c r="B535" i="1"/>
  <c r="A535" i="1"/>
  <c r="D534" i="1"/>
  <c r="B534" i="1"/>
  <c r="A534" i="1"/>
  <c r="D533" i="1"/>
  <c r="B533" i="1"/>
  <c r="A533" i="1"/>
  <c r="D532" i="1"/>
  <c r="B532" i="1"/>
  <c r="A532" i="1"/>
  <c r="D531" i="1"/>
  <c r="B531" i="1"/>
  <c r="A531" i="1"/>
  <c r="D530" i="1"/>
  <c r="B530" i="1"/>
  <c r="A530" i="1"/>
  <c r="D529" i="1"/>
  <c r="A529" i="1"/>
  <c r="D528" i="1"/>
  <c r="B528" i="1"/>
  <c r="A528" i="1"/>
  <c r="D527" i="1"/>
  <c r="C527" i="1"/>
  <c r="B527" i="1"/>
  <c r="A527" i="1"/>
  <c r="D526" i="1"/>
  <c r="C526" i="1"/>
  <c r="B526" i="1"/>
  <c r="A526" i="1"/>
  <c r="D524" i="1"/>
  <c r="B524" i="1"/>
  <c r="A524" i="1"/>
  <c r="D525" i="1"/>
  <c r="B525" i="1"/>
  <c r="A525" i="1"/>
  <c r="D523" i="1"/>
  <c r="B523" i="1"/>
  <c r="A523" i="1"/>
  <c r="D522" i="1"/>
  <c r="C522" i="1"/>
  <c r="B522" i="1"/>
  <c r="A522" i="1"/>
  <c r="D521" i="1"/>
  <c r="B521" i="1"/>
  <c r="A521" i="1"/>
  <c r="D520" i="1"/>
  <c r="B520" i="1"/>
  <c r="A520" i="1"/>
  <c r="D519" i="1"/>
  <c r="B519" i="1"/>
  <c r="A519" i="1"/>
  <c r="D518" i="1"/>
  <c r="B518" i="1"/>
  <c r="A518" i="1"/>
  <c r="D517" i="1"/>
  <c r="B517" i="1"/>
  <c r="A517" i="1"/>
  <c r="D515" i="1"/>
  <c r="B515" i="1"/>
  <c r="A515" i="1"/>
  <c r="D516" i="1"/>
  <c r="B516" i="1"/>
  <c r="A516" i="1"/>
  <c r="D514" i="1"/>
  <c r="B514" i="1"/>
  <c r="A514" i="1"/>
  <c r="D513" i="1"/>
  <c r="B513" i="1"/>
  <c r="A513" i="1"/>
  <c r="D512" i="1"/>
  <c r="B512" i="1"/>
  <c r="A512" i="1"/>
  <c r="D511" i="1"/>
  <c r="B511" i="1"/>
  <c r="A511" i="1"/>
  <c r="D510" i="1"/>
  <c r="B510" i="1"/>
  <c r="A510" i="1"/>
  <c r="D509" i="1"/>
  <c r="B509" i="1"/>
  <c r="A509" i="1"/>
  <c r="D507" i="1"/>
  <c r="B507" i="1"/>
  <c r="A507" i="1"/>
  <c r="D508" i="1"/>
  <c r="B508" i="1"/>
  <c r="A508" i="1"/>
  <c r="D506" i="1"/>
  <c r="B506" i="1"/>
  <c r="A506" i="1"/>
  <c r="D505" i="1"/>
  <c r="B505" i="1"/>
  <c r="A505" i="1"/>
  <c r="D504" i="1"/>
  <c r="B504" i="1"/>
  <c r="A504" i="1"/>
  <c r="D503" i="1"/>
  <c r="B503" i="1"/>
  <c r="A503" i="1"/>
  <c r="D502" i="1"/>
  <c r="B502" i="1"/>
  <c r="A502" i="1"/>
  <c r="D501" i="1"/>
  <c r="B501" i="1"/>
  <c r="A501" i="1"/>
  <c r="D500" i="1"/>
  <c r="B500" i="1"/>
  <c r="A500" i="1"/>
  <c r="D499" i="1"/>
  <c r="B499" i="1"/>
  <c r="A499" i="1"/>
  <c r="D498" i="1"/>
  <c r="B498" i="1"/>
  <c r="A498" i="1"/>
  <c r="D497" i="1"/>
  <c r="B497" i="1"/>
  <c r="A497" i="1"/>
  <c r="D496" i="1"/>
  <c r="B496" i="1"/>
  <c r="A496" i="1"/>
  <c r="D495" i="1"/>
  <c r="B495" i="1"/>
  <c r="A495" i="1"/>
  <c r="D494" i="1"/>
  <c r="B494" i="1"/>
  <c r="A494" i="1"/>
  <c r="D493" i="1"/>
  <c r="B493" i="1"/>
  <c r="A493" i="1"/>
  <c r="D492" i="1"/>
  <c r="B492" i="1"/>
  <c r="A492" i="1"/>
  <c r="D491" i="1"/>
  <c r="C491" i="1"/>
  <c r="B491" i="1"/>
  <c r="A491" i="1"/>
  <c r="D490" i="1"/>
  <c r="B490" i="1"/>
  <c r="A490" i="1"/>
  <c r="D489" i="1"/>
  <c r="B489" i="1"/>
  <c r="A489" i="1"/>
  <c r="D485" i="1"/>
  <c r="B485" i="1"/>
  <c r="A485" i="1"/>
  <c r="D487" i="1"/>
  <c r="B487" i="1"/>
  <c r="A487" i="1"/>
  <c r="D486" i="1"/>
  <c r="B486" i="1"/>
  <c r="A486" i="1"/>
  <c r="D488" i="1"/>
  <c r="B488" i="1"/>
  <c r="A488" i="1"/>
  <c r="D483" i="1"/>
  <c r="B483" i="1"/>
  <c r="A483" i="1"/>
  <c r="D484" i="1"/>
  <c r="B484" i="1"/>
  <c r="A484" i="1"/>
  <c r="D482" i="1"/>
  <c r="B482" i="1"/>
  <c r="A482" i="1"/>
  <c r="D481" i="1"/>
  <c r="C481" i="1"/>
  <c r="B481" i="1"/>
  <c r="A481" i="1"/>
  <c r="D480" i="1"/>
  <c r="C480" i="1"/>
  <c r="B480" i="1"/>
  <c r="A480" i="1"/>
  <c r="D479" i="1"/>
  <c r="B479" i="1"/>
  <c r="A479" i="1"/>
  <c r="D478" i="1"/>
  <c r="B478" i="1"/>
  <c r="A478" i="1"/>
  <c r="D477" i="1"/>
  <c r="B477" i="1"/>
  <c r="A477" i="1"/>
  <c r="D475" i="1"/>
  <c r="B475" i="1"/>
  <c r="A475" i="1"/>
  <c r="D476" i="1"/>
  <c r="C476" i="1"/>
  <c r="B476" i="1"/>
  <c r="A476" i="1"/>
  <c r="D474" i="1"/>
  <c r="B474" i="1"/>
  <c r="A474" i="1"/>
  <c r="D473" i="1"/>
  <c r="B473" i="1"/>
  <c r="A473" i="1"/>
  <c r="D472" i="1"/>
  <c r="B472" i="1"/>
  <c r="A472" i="1"/>
  <c r="D471" i="1"/>
  <c r="B471" i="1"/>
  <c r="A471" i="1"/>
  <c r="D470" i="1"/>
  <c r="C470" i="1"/>
  <c r="B470" i="1"/>
  <c r="A470" i="1"/>
  <c r="D469" i="1"/>
  <c r="B469" i="1"/>
  <c r="A469" i="1"/>
  <c r="D468" i="1"/>
  <c r="B468" i="1"/>
  <c r="A468" i="1"/>
  <c r="D467" i="1"/>
  <c r="B467" i="1"/>
  <c r="A467" i="1"/>
  <c r="D466" i="1"/>
  <c r="B466" i="1"/>
  <c r="A466" i="1"/>
  <c r="D465" i="1"/>
  <c r="B465" i="1"/>
  <c r="A465" i="1"/>
  <c r="D464" i="1"/>
  <c r="B464" i="1"/>
  <c r="A464" i="1"/>
  <c r="D463" i="1"/>
  <c r="C463" i="1"/>
  <c r="B463" i="1"/>
  <c r="A463" i="1"/>
  <c r="D460" i="1"/>
  <c r="B460" i="1"/>
  <c r="A460" i="1"/>
  <c r="D462" i="1"/>
  <c r="B462" i="1"/>
  <c r="A462" i="1"/>
  <c r="D459" i="1"/>
  <c r="B459" i="1"/>
  <c r="A459" i="1"/>
  <c r="D461" i="1"/>
  <c r="B461" i="1"/>
  <c r="A461" i="1"/>
  <c r="D458" i="1"/>
  <c r="B458" i="1"/>
  <c r="A458" i="1"/>
  <c r="D457" i="1"/>
  <c r="B457" i="1"/>
  <c r="A457" i="1"/>
  <c r="D456" i="1"/>
  <c r="B456" i="1"/>
  <c r="A456" i="1"/>
  <c r="D454" i="1"/>
  <c r="B454" i="1"/>
  <c r="A454" i="1"/>
  <c r="D455" i="1"/>
  <c r="B455" i="1"/>
  <c r="A455" i="1"/>
  <c r="D453" i="1"/>
  <c r="C453" i="1"/>
  <c r="B453" i="1"/>
  <c r="A453" i="1"/>
  <c r="D452" i="1"/>
  <c r="B452" i="1"/>
  <c r="A452" i="1"/>
  <c r="D451" i="1"/>
  <c r="B451" i="1"/>
  <c r="A451" i="1"/>
  <c r="D450" i="1"/>
  <c r="B450" i="1"/>
  <c r="A450" i="1"/>
  <c r="D449" i="1"/>
  <c r="C449" i="1"/>
  <c r="B449" i="1"/>
  <c r="A449" i="1"/>
  <c r="D448" i="1"/>
  <c r="B448" i="1"/>
  <c r="A448" i="1"/>
  <c r="D447" i="1"/>
  <c r="B447" i="1"/>
  <c r="A447" i="1"/>
  <c r="D445" i="1"/>
  <c r="B445" i="1"/>
  <c r="A445" i="1"/>
  <c r="D446" i="1"/>
  <c r="B446" i="1"/>
  <c r="A446" i="1"/>
  <c r="D444" i="1"/>
  <c r="B444" i="1"/>
  <c r="A444" i="1"/>
  <c r="D443" i="1"/>
  <c r="B443" i="1"/>
  <c r="A443" i="1"/>
  <c r="D442" i="1"/>
  <c r="B442" i="1"/>
  <c r="A442" i="1"/>
  <c r="D441" i="1"/>
  <c r="B441" i="1"/>
  <c r="A441" i="1"/>
  <c r="D440" i="1"/>
  <c r="B440" i="1"/>
  <c r="A440" i="1"/>
  <c r="D439" i="1"/>
  <c r="B439" i="1"/>
  <c r="A439" i="1"/>
  <c r="D437" i="1"/>
  <c r="B437" i="1"/>
  <c r="A437" i="1"/>
  <c r="D436" i="1"/>
  <c r="B436" i="1"/>
  <c r="A436" i="1"/>
  <c r="D438" i="1"/>
  <c r="C438" i="1"/>
  <c r="B438" i="1"/>
  <c r="A438" i="1"/>
  <c r="D435" i="1"/>
  <c r="B435" i="1"/>
  <c r="A435" i="1"/>
  <c r="D434" i="1"/>
  <c r="B434" i="1"/>
  <c r="A434" i="1"/>
  <c r="D433" i="1"/>
  <c r="B433" i="1"/>
  <c r="A433" i="1"/>
  <c r="D431" i="1"/>
  <c r="B431" i="1"/>
  <c r="A431" i="1"/>
  <c r="D432" i="1"/>
  <c r="B432" i="1"/>
  <c r="A432" i="1"/>
  <c r="D430" i="1"/>
  <c r="B430" i="1"/>
  <c r="A430" i="1"/>
  <c r="D428" i="1"/>
  <c r="C428" i="1"/>
  <c r="B428" i="1"/>
  <c r="A428" i="1"/>
  <c r="D429" i="1"/>
  <c r="B429" i="1"/>
  <c r="A429" i="1"/>
  <c r="D427" i="1"/>
  <c r="B427" i="1"/>
  <c r="A427" i="1"/>
  <c r="D424" i="1"/>
  <c r="B424" i="1"/>
  <c r="A424" i="1"/>
  <c r="D426" i="1"/>
  <c r="B426" i="1"/>
  <c r="A426" i="1"/>
  <c r="D425" i="1"/>
  <c r="B425" i="1"/>
  <c r="A425" i="1"/>
  <c r="D423" i="1"/>
  <c r="B423" i="1"/>
  <c r="A423" i="1"/>
  <c r="D422" i="1"/>
  <c r="B422" i="1"/>
  <c r="A422" i="1"/>
  <c r="D421" i="1"/>
  <c r="B421" i="1"/>
  <c r="A421" i="1"/>
  <c r="D420" i="1"/>
  <c r="B420" i="1"/>
  <c r="A420" i="1"/>
  <c r="D419" i="1"/>
  <c r="B419" i="1"/>
  <c r="A419" i="1"/>
  <c r="D418" i="1"/>
  <c r="B418" i="1"/>
  <c r="A418" i="1"/>
  <c r="D417" i="1"/>
  <c r="B417" i="1"/>
  <c r="A417" i="1"/>
  <c r="D416" i="1"/>
  <c r="B416" i="1"/>
  <c r="A416" i="1"/>
  <c r="D415" i="1"/>
  <c r="B415" i="1"/>
  <c r="A415" i="1"/>
  <c r="D414" i="1"/>
  <c r="B414" i="1"/>
  <c r="A414" i="1"/>
  <c r="D413" i="1"/>
  <c r="B413" i="1"/>
  <c r="A413" i="1"/>
  <c r="D412" i="1"/>
  <c r="B412" i="1"/>
  <c r="A412" i="1"/>
  <c r="D411" i="1"/>
  <c r="B411" i="1"/>
  <c r="A411" i="1"/>
  <c r="D410" i="1"/>
  <c r="B410" i="1"/>
  <c r="A410" i="1"/>
  <c r="D409" i="1"/>
  <c r="B409" i="1"/>
  <c r="A409" i="1"/>
  <c r="D408" i="1"/>
  <c r="B408" i="1"/>
  <c r="A408" i="1"/>
  <c r="D407" i="1"/>
  <c r="B407" i="1"/>
  <c r="A407" i="1"/>
  <c r="D406" i="1"/>
  <c r="B406" i="1"/>
  <c r="A406" i="1"/>
  <c r="D405" i="1"/>
  <c r="C405" i="1"/>
  <c r="B405" i="1"/>
  <c r="A405" i="1"/>
  <c r="D404" i="1"/>
  <c r="B404" i="1"/>
  <c r="A404" i="1"/>
  <c r="D403" i="1"/>
  <c r="B403" i="1"/>
  <c r="A403" i="1"/>
  <c r="D402" i="1"/>
  <c r="B402" i="1"/>
  <c r="A402" i="1"/>
  <c r="D401" i="1"/>
  <c r="B401" i="1"/>
  <c r="A401" i="1"/>
  <c r="D400" i="1"/>
  <c r="B400" i="1"/>
  <c r="A400" i="1"/>
  <c r="D399" i="1"/>
  <c r="B399" i="1"/>
  <c r="A399" i="1"/>
  <c r="D398" i="1"/>
  <c r="B398" i="1"/>
  <c r="A398" i="1"/>
  <c r="D397" i="1"/>
  <c r="B397" i="1"/>
  <c r="A397" i="1"/>
  <c r="D395" i="1"/>
  <c r="C395" i="1"/>
  <c r="B395" i="1"/>
  <c r="A395" i="1"/>
  <c r="D396" i="1"/>
  <c r="B396" i="1"/>
  <c r="A396" i="1"/>
  <c r="D394" i="1"/>
  <c r="B394" i="1"/>
  <c r="A394" i="1"/>
  <c r="D393" i="1"/>
  <c r="B393" i="1"/>
  <c r="A393" i="1"/>
  <c r="D392" i="1"/>
  <c r="B392" i="1"/>
  <c r="A392" i="1"/>
  <c r="D390" i="1"/>
  <c r="C390" i="1"/>
  <c r="B390" i="1"/>
  <c r="A390" i="1"/>
  <c r="D391" i="1"/>
  <c r="B391" i="1"/>
  <c r="A391" i="1"/>
  <c r="D388" i="1"/>
  <c r="B388" i="1"/>
  <c r="A388" i="1"/>
  <c r="D389" i="1"/>
  <c r="B389" i="1"/>
  <c r="A389" i="1"/>
  <c r="D387" i="1"/>
  <c r="B387" i="1"/>
  <c r="A387" i="1"/>
  <c r="D386" i="1"/>
  <c r="B386" i="1"/>
  <c r="A386" i="1"/>
  <c r="D385" i="1"/>
  <c r="B385" i="1"/>
  <c r="A385" i="1"/>
  <c r="D384" i="1"/>
  <c r="B384" i="1"/>
  <c r="A384" i="1"/>
  <c r="D383" i="1"/>
  <c r="B383" i="1"/>
  <c r="A383" i="1"/>
  <c r="D381" i="1"/>
  <c r="B381" i="1"/>
  <c r="A381" i="1"/>
  <c r="D382" i="1"/>
  <c r="B382" i="1"/>
  <c r="A382" i="1"/>
  <c r="D380" i="1"/>
  <c r="B380" i="1"/>
  <c r="A380" i="1"/>
  <c r="D379" i="1"/>
  <c r="B379" i="1"/>
  <c r="A379" i="1"/>
  <c r="D378" i="1"/>
  <c r="B378" i="1"/>
  <c r="A378" i="1"/>
  <c r="D377" i="1"/>
  <c r="B377" i="1"/>
  <c r="A377" i="1"/>
  <c r="D376" i="1"/>
  <c r="B376" i="1"/>
  <c r="A376" i="1"/>
  <c r="D375" i="1"/>
  <c r="B375" i="1"/>
  <c r="A375" i="1"/>
  <c r="D373" i="1"/>
  <c r="B373" i="1"/>
  <c r="A373" i="1"/>
  <c r="D374" i="1"/>
  <c r="C374" i="1"/>
  <c r="B374" i="1"/>
  <c r="A374" i="1"/>
  <c r="D372" i="1"/>
  <c r="B372" i="1"/>
  <c r="A372" i="1"/>
  <c r="D371" i="1"/>
  <c r="C371" i="1"/>
  <c r="B371" i="1"/>
  <c r="A371" i="1"/>
  <c r="D370" i="1"/>
  <c r="B370" i="1"/>
  <c r="A370" i="1"/>
  <c r="D368" i="1"/>
  <c r="B368" i="1"/>
  <c r="A368" i="1"/>
  <c r="D369" i="1"/>
  <c r="B369" i="1"/>
  <c r="A369" i="1"/>
  <c r="D367" i="1"/>
  <c r="B367" i="1"/>
  <c r="A367" i="1"/>
  <c r="D366" i="1"/>
  <c r="B366" i="1"/>
  <c r="A366" i="1"/>
  <c r="D365" i="1"/>
  <c r="B365" i="1"/>
  <c r="A365" i="1"/>
  <c r="D363" i="1"/>
  <c r="B363" i="1"/>
  <c r="A363" i="1"/>
  <c r="D364" i="1"/>
  <c r="B364" i="1"/>
  <c r="A364" i="1"/>
  <c r="D360" i="1"/>
  <c r="B360" i="1"/>
  <c r="A360" i="1"/>
  <c r="D362" i="1"/>
  <c r="B362" i="1"/>
  <c r="A362" i="1"/>
  <c r="D361" i="1"/>
  <c r="B361" i="1"/>
  <c r="A361" i="1"/>
  <c r="D359" i="1"/>
  <c r="B359" i="1"/>
  <c r="A359" i="1"/>
  <c r="D358" i="1"/>
  <c r="B358" i="1"/>
  <c r="A358" i="1"/>
  <c r="D357" i="1"/>
  <c r="B357" i="1"/>
  <c r="A357" i="1"/>
  <c r="D356" i="1"/>
  <c r="B356" i="1"/>
  <c r="A356" i="1"/>
  <c r="D355" i="1"/>
  <c r="B355" i="1"/>
  <c r="A355" i="1"/>
  <c r="D354" i="1"/>
  <c r="B354" i="1"/>
  <c r="A354" i="1"/>
  <c r="D353" i="1"/>
  <c r="C353" i="1"/>
  <c r="B353" i="1"/>
  <c r="A353" i="1"/>
  <c r="D352" i="1"/>
  <c r="B352" i="1"/>
  <c r="A352" i="1"/>
  <c r="D351" i="1"/>
  <c r="B351" i="1"/>
  <c r="A351" i="1"/>
  <c r="D350" i="1"/>
  <c r="C350" i="1"/>
  <c r="B350" i="1"/>
  <c r="A350" i="1"/>
  <c r="D348" i="1"/>
  <c r="B348" i="1"/>
  <c r="A348" i="1"/>
  <c r="D349" i="1"/>
  <c r="B349" i="1"/>
  <c r="A349" i="1"/>
  <c r="D347" i="1"/>
  <c r="B347" i="1"/>
  <c r="A347" i="1"/>
  <c r="D346" i="1"/>
  <c r="B346" i="1"/>
  <c r="A346" i="1"/>
  <c r="D345" i="1"/>
  <c r="B345" i="1"/>
  <c r="A345" i="1"/>
  <c r="D344" i="1"/>
  <c r="B344" i="1"/>
  <c r="A344" i="1"/>
  <c r="D343" i="1"/>
  <c r="B343" i="1"/>
  <c r="A343" i="1"/>
  <c r="D342" i="1"/>
  <c r="B342" i="1"/>
  <c r="A342" i="1"/>
  <c r="D341" i="1"/>
  <c r="B341" i="1"/>
  <c r="A341" i="1"/>
  <c r="D340" i="1"/>
  <c r="B340" i="1"/>
  <c r="A340" i="1"/>
  <c r="D339" i="1"/>
  <c r="B339" i="1"/>
  <c r="A339" i="1"/>
  <c r="D338" i="1"/>
  <c r="C338" i="1"/>
  <c r="B338" i="1"/>
  <c r="A338" i="1"/>
  <c r="D336" i="1"/>
  <c r="B336" i="1"/>
  <c r="A336" i="1"/>
  <c r="D337" i="1"/>
  <c r="C337" i="1"/>
  <c r="B337" i="1"/>
  <c r="A337" i="1"/>
  <c r="D335" i="1"/>
  <c r="B335" i="1"/>
  <c r="A335" i="1"/>
  <c r="D334" i="1"/>
  <c r="A334" i="1"/>
  <c r="D333" i="1"/>
  <c r="B333" i="1"/>
  <c r="A333" i="1"/>
  <c r="D332" i="1"/>
  <c r="B332" i="1"/>
  <c r="A332" i="1"/>
  <c r="D331" i="1"/>
  <c r="B331" i="1"/>
  <c r="A331" i="1"/>
  <c r="D330" i="1"/>
  <c r="B330" i="1"/>
  <c r="A330" i="1"/>
  <c r="D329" i="1"/>
  <c r="B329" i="1"/>
  <c r="A329" i="1"/>
  <c r="D328" i="1"/>
  <c r="B328" i="1"/>
  <c r="A328" i="1"/>
  <c r="D327" i="1"/>
  <c r="B327" i="1"/>
  <c r="A327" i="1"/>
  <c r="D326" i="1"/>
  <c r="B326" i="1"/>
  <c r="A326" i="1"/>
  <c r="D324" i="1"/>
  <c r="C324" i="1"/>
  <c r="B324" i="1"/>
  <c r="A324" i="1"/>
  <c r="D325" i="1"/>
  <c r="B325" i="1"/>
  <c r="A325" i="1"/>
  <c r="D323" i="1"/>
  <c r="B323" i="1"/>
  <c r="A323" i="1"/>
  <c r="D322" i="1"/>
  <c r="B322" i="1"/>
  <c r="A322" i="1"/>
  <c r="D321" i="1"/>
  <c r="B321" i="1"/>
  <c r="A321" i="1"/>
  <c r="D320" i="1"/>
  <c r="B320" i="1"/>
  <c r="A320" i="1"/>
  <c r="D319" i="1"/>
  <c r="B319" i="1"/>
  <c r="A319" i="1"/>
  <c r="D317" i="1"/>
  <c r="B317" i="1"/>
  <c r="A317" i="1"/>
  <c r="D318" i="1"/>
  <c r="B318" i="1"/>
  <c r="A318" i="1"/>
  <c r="D316" i="1"/>
  <c r="B316" i="1"/>
  <c r="A316" i="1"/>
  <c r="D315" i="1"/>
  <c r="B315" i="1"/>
  <c r="A315" i="1"/>
  <c r="D314" i="1"/>
  <c r="B314" i="1"/>
  <c r="A314" i="1"/>
  <c r="D313" i="1"/>
  <c r="B313" i="1"/>
  <c r="A313" i="1"/>
  <c r="D312" i="1"/>
  <c r="B312" i="1"/>
  <c r="A312" i="1"/>
  <c r="D311" i="1"/>
  <c r="C311" i="1"/>
  <c r="B311" i="1"/>
  <c r="A311" i="1"/>
  <c r="D310" i="1"/>
  <c r="B310" i="1"/>
  <c r="A310" i="1"/>
  <c r="D309" i="1"/>
  <c r="B309" i="1"/>
  <c r="A309" i="1"/>
  <c r="D308" i="1"/>
  <c r="C308" i="1"/>
  <c r="B308" i="1"/>
  <c r="A308" i="1"/>
  <c r="D307" i="1"/>
  <c r="B307" i="1"/>
  <c r="A307" i="1"/>
  <c r="D305" i="1"/>
  <c r="B305" i="1"/>
  <c r="A305" i="1"/>
  <c r="D306" i="1"/>
  <c r="B306" i="1"/>
  <c r="A306" i="1"/>
  <c r="D304" i="1"/>
  <c r="B304" i="1"/>
  <c r="A304" i="1"/>
  <c r="D303" i="1"/>
  <c r="B303" i="1"/>
  <c r="A303" i="1"/>
  <c r="D300" i="1"/>
  <c r="B300" i="1"/>
  <c r="A300" i="1"/>
  <c r="D302" i="1"/>
  <c r="B302" i="1"/>
  <c r="A302" i="1"/>
  <c r="D299" i="1"/>
  <c r="B299" i="1"/>
  <c r="A299" i="1"/>
  <c r="D301" i="1"/>
  <c r="B301" i="1"/>
  <c r="A301" i="1"/>
  <c r="D298" i="1"/>
  <c r="B298" i="1"/>
  <c r="A298" i="1"/>
  <c r="D297" i="1"/>
  <c r="B297" i="1"/>
  <c r="A297" i="1"/>
  <c r="D296" i="1"/>
  <c r="B296" i="1"/>
  <c r="A296" i="1"/>
  <c r="D294" i="1"/>
  <c r="B294" i="1"/>
  <c r="A294" i="1"/>
  <c r="D295" i="1"/>
  <c r="B295" i="1"/>
  <c r="A295" i="1"/>
  <c r="D293" i="1"/>
  <c r="B293" i="1"/>
  <c r="A293" i="1"/>
  <c r="D292" i="1"/>
  <c r="B292" i="1"/>
  <c r="A292" i="1"/>
  <c r="D291" i="1"/>
  <c r="B291" i="1"/>
  <c r="A291" i="1"/>
  <c r="D290" i="1"/>
  <c r="B290" i="1"/>
  <c r="A290" i="1"/>
  <c r="D289" i="1"/>
  <c r="B289" i="1"/>
  <c r="A289" i="1"/>
  <c r="D287" i="1"/>
  <c r="B287" i="1"/>
  <c r="A287" i="1"/>
  <c r="D286" i="1"/>
  <c r="C286" i="1"/>
  <c r="B286" i="1"/>
  <c r="A286" i="1"/>
  <c r="D288" i="1"/>
  <c r="C288" i="1"/>
  <c r="B288" i="1"/>
  <c r="A288" i="1"/>
  <c r="D285" i="1"/>
  <c r="B285" i="1"/>
  <c r="A285" i="1"/>
  <c r="D283" i="1"/>
  <c r="C283" i="1"/>
  <c r="B283" i="1"/>
  <c r="A283" i="1"/>
  <c r="D282" i="1"/>
  <c r="B282" i="1"/>
  <c r="A282" i="1"/>
  <c r="D284" i="1"/>
  <c r="B284" i="1"/>
  <c r="A284" i="1"/>
  <c r="D281" i="1"/>
  <c r="B281" i="1"/>
  <c r="A281" i="1"/>
  <c r="D280" i="1"/>
  <c r="B280" i="1"/>
  <c r="A280" i="1"/>
  <c r="D279" i="1"/>
  <c r="C279" i="1"/>
  <c r="B279" i="1"/>
  <c r="A279" i="1"/>
  <c r="D278" i="1"/>
  <c r="B278" i="1"/>
  <c r="A278" i="1"/>
  <c r="D277" i="1"/>
  <c r="B277" i="1"/>
  <c r="A277" i="1"/>
  <c r="D276" i="1"/>
  <c r="B276" i="1"/>
  <c r="A276" i="1"/>
  <c r="D275" i="1"/>
  <c r="B275" i="1"/>
  <c r="A275" i="1"/>
  <c r="D274" i="1"/>
  <c r="B274" i="1"/>
  <c r="A274" i="1"/>
  <c r="D273" i="1"/>
  <c r="C273" i="1"/>
  <c r="B273" i="1"/>
  <c r="A273" i="1"/>
  <c r="D272" i="1"/>
  <c r="B272" i="1"/>
  <c r="A272" i="1"/>
  <c r="D271" i="1"/>
  <c r="C271" i="1"/>
  <c r="B271" i="1"/>
  <c r="A271" i="1"/>
  <c r="D270" i="1"/>
  <c r="B270" i="1"/>
  <c r="A270" i="1"/>
  <c r="D269" i="1"/>
  <c r="B269" i="1"/>
  <c r="A269" i="1"/>
  <c r="D268" i="1"/>
  <c r="B268" i="1"/>
  <c r="A268" i="1"/>
  <c r="D267" i="1"/>
  <c r="B267" i="1"/>
  <c r="A267" i="1"/>
  <c r="D265" i="1"/>
  <c r="B265" i="1"/>
  <c r="A265" i="1"/>
  <c r="D266" i="1"/>
  <c r="B266" i="1"/>
  <c r="A266" i="1"/>
  <c r="D264" i="1"/>
  <c r="B264" i="1"/>
  <c r="A264" i="1"/>
  <c r="D262" i="1"/>
  <c r="B262" i="1"/>
  <c r="A262" i="1"/>
  <c r="D263" i="1"/>
  <c r="B263" i="1"/>
  <c r="A263" i="1"/>
  <c r="D260" i="1"/>
  <c r="B260" i="1"/>
  <c r="A260" i="1"/>
  <c r="D261" i="1"/>
  <c r="B261" i="1"/>
  <c r="A261" i="1"/>
  <c r="D259" i="1"/>
  <c r="B259" i="1"/>
  <c r="A259" i="1"/>
  <c r="D258" i="1"/>
  <c r="B258" i="1"/>
  <c r="A258" i="1"/>
  <c r="D257" i="1"/>
  <c r="B257" i="1"/>
  <c r="A257" i="1"/>
  <c r="D255" i="1"/>
  <c r="B255" i="1"/>
  <c r="A255" i="1"/>
  <c r="D256" i="1"/>
  <c r="B256" i="1"/>
  <c r="A256" i="1"/>
  <c r="D254" i="1"/>
  <c r="B254" i="1"/>
  <c r="A254" i="1"/>
  <c r="D253" i="1"/>
  <c r="B253" i="1"/>
  <c r="A253" i="1"/>
  <c r="D252" i="1"/>
  <c r="B252" i="1"/>
  <c r="A252" i="1"/>
  <c r="D251" i="1"/>
  <c r="C251" i="1"/>
  <c r="B251" i="1"/>
  <c r="A251" i="1"/>
  <c r="D249" i="1"/>
  <c r="B249" i="1"/>
  <c r="A249" i="1"/>
  <c r="D248" i="1"/>
  <c r="B248" i="1"/>
  <c r="A248" i="1"/>
  <c r="D250" i="1"/>
  <c r="B250" i="1"/>
  <c r="A250" i="1"/>
  <c r="D247" i="1"/>
  <c r="C247" i="1"/>
  <c r="B247" i="1"/>
  <c r="A247" i="1"/>
  <c r="D246" i="1"/>
  <c r="B246" i="1"/>
  <c r="A246" i="1"/>
  <c r="D245" i="1"/>
  <c r="B245" i="1"/>
  <c r="A245" i="1"/>
  <c r="D243" i="1"/>
  <c r="B243" i="1"/>
  <c r="A243" i="1"/>
  <c r="D244" i="1"/>
  <c r="B244" i="1"/>
  <c r="A244" i="1"/>
  <c r="D241" i="1"/>
  <c r="B241" i="1"/>
  <c r="A241" i="1"/>
  <c r="D242" i="1"/>
  <c r="B242" i="1"/>
  <c r="A242" i="1"/>
  <c r="D240" i="1"/>
  <c r="B240" i="1"/>
  <c r="A240" i="1"/>
  <c r="D239" i="1"/>
  <c r="B239" i="1"/>
  <c r="A239" i="1"/>
  <c r="D238" i="1"/>
  <c r="B238" i="1"/>
  <c r="A238" i="1"/>
  <c r="D237" i="1"/>
  <c r="B237" i="1"/>
  <c r="A237" i="1"/>
  <c r="D236" i="1"/>
  <c r="B236" i="1"/>
  <c r="A236" i="1"/>
  <c r="D235" i="1"/>
  <c r="B235" i="1"/>
  <c r="A235" i="1"/>
  <c r="D233" i="1"/>
  <c r="B233" i="1"/>
  <c r="A233" i="1"/>
  <c r="D234" i="1"/>
  <c r="B234" i="1"/>
  <c r="A234" i="1"/>
  <c r="D231" i="1"/>
  <c r="B231" i="1"/>
  <c r="A231" i="1"/>
  <c r="D232" i="1"/>
  <c r="B232" i="1"/>
  <c r="A232" i="1"/>
  <c r="D229" i="1"/>
  <c r="B229" i="1"/>
  <c r="A229" i="1"/>
  <c r="D230" i="1"/>
  <c r="B230" i="1"/>
  <c r="A230" i="1"/>
  <c r="D228" i="1"/>
  <c r="B228" i="1"/>
  <c r="A228" i="1"/>
  <c r="D227" i="1"/>
  <c r="A227" i="1"/>
  <c r="D226" i="1"/>
  <c r="B226" i="1"/>
  <c r="A226" i="1"/>
  <c r="D225" i="1"/>
  <c r="C225" i="1"/>
  <c r="B225" i="1"/>
  <c r="A225" i="1"/>
  <c r="D224" i="1"/>
  <c r="B224" i="1"/>
  <c r="A224" i="1"/>
  <c r="D223" i="1"/>
  <c r="B223" i="1"/>
  <c r="A223" i="1"/>
  <c r="D222" i="1"/>
  <c r="B222" i="1"/>
  <c r="A222" i="1"/>
  <c r="D221" i="1"/>
  <c r="C221" i="1"/>
  <c r="B221" i="1"/>
  <c r="A221" i="1"/>
  <c r="D220" i="1"/>
  <c r="C220" i="1"/>
  <c r="B220" i="1"/>
  <c r="A220" i="1"/>
  <c r="D219" i="1"/>
  <c r="B219" i="1"/>
  <c r="A219" i="1"/>
  <c r="D218" i="1"/>
  <c r="B218" i="1"/>
  <c r="A218" i="1"/>
  <c r="D217" i="1"/>
  <c r="B217" i="1"/>
  <c r="A217" i="1"/>
  <c r="D216" i="1"/>
  <c r="C216" i="1"/>
  <c r="B216" i="1"/>
  <c r="A216" i="1"/>
  <c r="D215" i="1"/>
  <c r="C215" i="1"/>
  <c r="B215" i="1"/>
  <c r="A215" i="1"/>
  <c r="D214" i="1"/>
  <c r="B214" i="1"/>
  <c r="A214" i="1"/>
  <c r="D212" i="1"/>
  <c r="B212" i="1"/>
  <c r="A212" i="1"/>
  <c r="D213" i="1"/>
  <c r="B213" i="1"/>
  <c r="A213" i="1"/>
  <c r="D211" i="1"/>
  <c r="B211" i="1"/>
  <c r="A211" i="1"/>
  <c r="D209" i="1"/>
  <c r="B209" i="1"/>
  <c r="A209" i="1"/>
  <c r="D207" i="1"/>
  <c r="B207" i="1"/>
  <c r="A207" i="1"/>
  <c r="D210" i="1"/>
  <c r="B210" i="1"/>
  <c r="A210" i="1"/>
  <c r="D208" i="1"/>
  <c r="B208" i="1"/>
  <c r="A208" i="1"/>
  <c r="D206" i="1"/>
  <c r="B206" i="1"/>
  <c r="A206" i="1"/>
  <c r="D205" i="1"/>
  <c r="B205" i="1"/>
  <c r="A205" i="1"/>
  <c r="D204" i="1"/>
  <c r="B204" i="1"/>
  <c r="A204" i="1"/>
  <c r="D202" i="1"/>
  <c r="C202" i="1"/>
  <c r="B202" i="1"/>
  <c r="A202" i="1"/>
  <c r="D203" i="1"/>
  <c r="B203" i="1"/>
  <c r="A203" i="1"/>
  <c r="D201" i="1"/>
  <c r="B201" i="1"/>
  <c r="A201" i="1"/>
  <c r="D200" i="1"/>
  <c r="B200" i="1"/>
  <c r="A200" i="1"/>
  <c r="D199" i="1"/>
  <c r="B199" i="1"/>
  <c r="A199" i="1"/>
  <c r="D198" i="1"/>
  <c r="B198" i="1"/>
  <c r="A198" i="1"/>
  <c r="D197" i="1"/>
  <c r="B197" i="1"/>
  <c r="A197" i="1"/>
  <c r="D196" i="1"/>
  <c r="B196" i="1"/>
  <c r="A196" i="1"/>
  <c r="D195" i="1"/>
  <c r="B195" i="1"/>
  <c r="A195" i="1"/>
  <c r="D194" i="1"/>
  <c r="B194" i="1"/>
  <c r="A194" i="1"/>
  <c r="D193" i="1"/>
  <c r="B193" i="1"/>
  <c r="A193" i="1"/>
  <c r="D192" i="1"/>
  <c r="B192" i="1"/>
  <c r="A192" i="1"/>
  <c r="D191" i="1"/>
  <c r="B191" i="1"/>
  <c r="A191" i="1"/>
  <c r="D190" i="1"/>
  <c r="B190" i="1"/>
  <c r="A190" i="1"/>
  <c r="D189" i="1"/>
  <c r="B189" i="1"/>
  <c r="A189" i="1"/>
  <c r="D188" i="1"/>
  <c r="B188" i="1"/>
  <c r="A188" i="1"/>
  <c r="D187" i="1"/>
  <c r="B187" i="1"/>
  <c r="A187" i="1"/>
  <c r="D186" i="1"/>
  <c r="B186" i="1"/>
  <c r="A186" i="1"/>
  <c r="D185" i="1"/>
  <c r="B185" i="1"/>
  <c r="A185" i="1"/>
  <c r="D184" i="1"/>
  <c r="B184" i="1"/>
  <c r="A184" i="1"/>
  <c r="D183" i="1"/>
  <c r="B183" i="1"/>
  <c r="A183" i="1"/>
  <c r="D182" i="1"/>
  <c r="B182" i="1"/>
  <c r="A182" i="1"/>
  <c r="D181" i="1"/>
  <c r="B181" i="1"/>
  <c r="A181" i="1"/>
  <c r="D180" i="1"/>
  <c r="B180" i="1"/>
  <c r="A180" i="1"/>
  <c r="D179" i="1"/>
  <c r="B179" i="1"/>
  <c r="A179" i="1"/>
  <c r="D178" i="1"/>
  <c r="B178" i="1"/>
  <c r="A178" i="1"/>
  <c r="D177" i="1"/>
  <c r="B177" i="1"/>
  <c r="A177" i="1"/>
  <c r="D176" i="1"/>
  <c r="C176" i="1"/>
  <c r="B176" i="1"/>
  <c r="A176" i="1"/>
  <c r="D175" i="1"/>
  <c r="B175" i="1"/>
  <c r="A175" i="1"/>
  <c r="D174" i="1"/>
  <c r="B174" i="1"/>
  <c r="A174" i="1"/>
  <c r="D173" i="1"/>
  <c r="B173" i="1"/>
  <c r="A173" i="1"/>
  <c r="D172" i="1"/>
  <c r="C172" i="1"/>
  <c r="B172" i="1"/>
  <c r="A172" i="1"/>
  <c r="D171" i="1"/>
  <c r="B171" i="1"/>
  <c r="A171" i="1"/>
  <c r="D170" i="1"/>
  <c r="B170" i="1"/>
  <c r="A170" i="1"/>
  <c r="D169" i="1"/>
  <c r="B169" i="1"/>
  <c r="A169" i="1"/>
  <c r="D166" i="1"/>
  <c r="B166" i="1"/>
  <c r="A166" i="1"/>
  <c r="D167" i="1"/>
  <c r="B167" i="1"/>
  <c r="A167" i="1"/>
  <c r="D168" i="1"/>
  <c r="B168" i="1"/>
  <c r="A168" i="1"/>
  <c r="D165" i="1"/>
  <c r="C165" i="1"/>
  <c r="B165" i="1"/>
  <c r="A165" i="1"/>
  <c r="D164" i="1"/>
  <c r="B164" i="1"/>
  <c r="A164" i="1"/>
  <c r="D163" i="1"/>
  <c r="B163" i="1"/>
  <c r="A163" i="1"/>
  <c r="D162" i="1"/>
  <c r="B162" i="1"/>
  <c r="A162" i="1"/>
  <c r="D161" i="1"/>
  <c r="C161" i="1"/>
  <c r="B161" i="1"/>
  <c r="A161" i="1"/>
  <c r="D160" i="1"/>
  <c r="B160" i="1"/>
  <c r="A160" i="1"/>
  <c r="D159" i="1"/>
  <c r="B159" i="1"/>
  <c r="A159" i="1"/>
  <c r="D158" i="1"/>
  <c r="B158" i="1"/>
  <c r="A158" i="1"/>
  <c r="D157" i="1"/>
  <c r="B157" i="1"/>
  <c r="A157" i="1"/>
  <c r="D156" i="1"/>
  <c r="B156" i="1"/>
  <c r="A156" i="1"/>
  <c r="D155" i="1"/>
  <c r="B155" i="1"/>
  <c r="A155" i="1"/>
  <c r="D154" i="1"/>
  <c r="B154" i="1"/>
  <c r="A154" i="1"/>
  <c r="D153" i="1"/>
  <c r="B153" i="1"/>
  <c r="A153" i="1"/>
  <c r="D152" i="1"/>
  <c r="B152" i="1"/>
  <c r="A152" i="1"/>
  <c r="D151" i="1"/>
  <c r="B151" i="1"/>
  <c r="A151" i="1"/>
  <c r="D150" i="1"/>
  <c r="B150" i="1"/>
  <c r="A150" i="1"/>
  <c r="D149" i="1"/>
  <c r="B149" i="1"/>
  <c r="A149" i="1"/>
  <c r="D148" i="1"/>
  <c r="B148" i="1"/>
  <c r="A148" i="1"/>
  <c r="D146" i="1"/>
  <c r="B146" i="1"/>
  <c r="A146" i="1"/>
  <c r="D147" i="1"/>
  <c r="B147" i="1"/>
  <c r="A147" i="1"/>
  <c r="D145" i="1"/>
  <c r="B145" i="1"/>
  <c r="A145" i="1"/>
  <c r="D144" i="1"/>
  <c r="B144" i="1"/>
  <c r="A144" i="1"/>
  <c r="D143" i="1"/>
  <c r="B143" i="1"/>
  <c r="A143" i="1"/>
  <c r="D142" i="1"/>
  <c r="B142" i="1"/>
  <c r="A142" i="1"/>
  <c r="D141" i="1"/>
  <c r="B141" i="1"/>
  <c r="A141" i="1"/>
  <c r="D140" i="1"/>
  <c r="B140" i="1"/>
  <c r="A140" i="1"/>
  <c r="D139" i="1"/>
  <c r="B139" i="1"/>
  <c r="A139" i="1"/>
  <c r="D138" i="1"/>
  <c r="B138" i="1"/>
  <c r="A138" i="1"/>
  <c r="D137" i="1"/>
  <c r="B137" i="1"/>
  <c r="A137" i="1"/>
  <c r="D136" i="1"/>
  <c r="B136" i="1"/>
  <c r="A136" i="1"/>
  <c r="D135" i="1"/>
  <c r="B135" i="1"/>
  <c r="A135" i="1"/>
  <c r="D134" i="1"/>
  <c r="B134" i="1"/>
  <c r="A134" i="1"/>
  <c r="D132" i="1"/>
  <c r="B132" i="1"/>
  <c r="A132" i="1"/>
  <c r="D133" i="1"/>
  <c r="B133" i="1"/>
  <c r="A133" i="1"/>
  <c r="D131" i="1"/>
  <c r="B131" i="1"/>
  <c r="A131" i="1"/>
  <c r="D130" i="1"/>
  <c r="B130" i="1"/>
  <c r="A130" i="1"/>
  <c r="D127" i="1"/>
  <c r="B127" i="1"/>
  <c r="A127" i="1"/>
  <c r="D128" i="1"/>
  <c r="B128" i="1"/>
  <c r="A128" i="1"/>
  <c r="D129" i="1"/>
  <c r="B129" i="1"/>
  <c r="A129" i="1"/>
  <c r="D126" i="1"/>
  <c r="B126" i="1"/>
  <c r="A126" i="1"/>
  <c r="D125" i="1"/>
  <c r="B125" i="1"/>
  <c r="A125" i="1"/>
  <c r="D124" i="1"/>
  <c r="B124" i="1"/>
  <c r="A124" i="1"/>
  <c r="D123" i="1"/>
  <c r="B123" i="1"/>
  <c r="A123" i="1"/>
  <c r="D122" i="1"/>
  <c r="C122" i="1"/>
  <c r="B122" i="1"/>
  <c r="A122" i="1"/>
  <c r="D121" i="1"/>
  <c r="B121" i="1"/>
  <c r="A121" i="1"/>
  <c r="D120" i="1"/>
  <c r="C120" i="1"/>
  <c r="B120" i="1"/>
  <c r="A120" i="1"/>
  <c r="D119" i="1"/>
  <c r="B119" i="1"/>
  <c r="A119" i="1"/>
  <c r="D118" i="1"/>
  <c r="B118" i="1"/>
  <c r="A118" i="1"/>
  <c r="D117" i="1"/>
  <c r="B117" i="1"/>
  <c r="A117" i="1"/>
  <c r="D116" i="1"/>
  <c r="C116" i="1"/>
  <c r="B116" i="1"/>
  <c r="A116" i="1"/>
  <c r="D115" i="1"/>
  <c r="B115" i="1"/>
  <c r="A115" i="1"/>
  <c r="D113" i="1"/>
  <c r="B113" i="1"/>
  <c r="A113" i="1"/>
  <c r="D114" i="1"/>
  <c r="B114" i="1"/>
  <c r="A114" i="1"/>
  <c r="D112" i="1"/>
  <c r="B112" i="1"/>
  <c r="A112" i="1"/>
  <c r="D111" i="1"/>
  <c r="B111" i="1"/>
  <c r="A111" i="1"/>
  <c r="D110" i="1"/>
  <c r="B110" i="1"/>
  <c r="A110" i="1"/>
  <c r="D108" i="1"/>
  <c r="B108" i="1"/>
  <c r="A108" i="1"/>
  <c r="D109" i="1"/>
  <c r="B109" i="1"/>
  <c r="A109" i="1"/>
  <c r="D107" i="1"/>
  <c r="B107" i="1"/>
  <c r="A107" i="1"/>
  <c r="D106" i="1"/>
  <c r="B106" i="1"/>
  <c r="A106" i="1"/>
  <c r="D105" i="1"/>
  <c r="B105" i="1"/>
  <c r="A105" i="1"/>
  <c r="D104" i="1"/>
  <c r="C104" i="1"/>
  <c r="B104" i="1"/>
  <c r="A104" i="1"/>
  <c r="D103" i="1"/>
  <c r="B103" i="1"/>
  <c r="A103" i="1"/>
  <c r="D102" i="1"/>
  <c r="B102" i="1"/>
  <c r="A102" i="1"/>
  <c r="D101" i="1"/>
  <c r="B101" i="1"/>
  <c r="A101" i="1"/>
  <c r="D100" i="1"/>
  <c r="B100" i="1"/>
  <c r="A100" i="1"/>
  <c r="D99" i="1"/>
  <c r="B99" i="1"/>
  <c r="A99" i="1"/>
  <c r="D98" i="1"/>
  <c r="B98" i="1"/>
  <c r="A98" i="1"/>
  <c r="D97" i="1"/>
  <c r="B97" i="1"/>
  <c r="A97" i="1"/>
  <c r="D96" i="1"/>
  <c r="B96" i="1"/>
  <c r="A96" i="1"/>
  <c r="D95" i="1"/>
  <c r="B95" i="1"/>
  <c r="A95" i="1"/>
  <c r="D94" i="1"/>
  <c r="B94" i="1"/>
  <c r="A94" i="1"/>
  <c r="D93" i="1"/>
  <c r="B93" i="1"/>
  <c r="A93" i="1"/>
  <c r="D92" i="1"/>
  <c r="B92" i="1"/>
  <c r="A92" i="1"/>
  <c r="D91" i="1"/>
  <c r="B91" i="1"/>
  <c r="A91" i="1"/>
  <c r="D90" i="1"/>
  <c r="B90" i="1"/>
  <c r="A90" i="1"/>
  <c r="D89" i="1"/>
  <c r="B89" i="1"/>
  <c r="A89" i="1"/>
  <c r="D88" i="1"/>
  <c r="B88" i="1"/>
  <c r="A88" i="1"/>
  <c r="D87" i="1"/>
  <c r="B87" i="1"/>
  <c r="A87" i="1"/>
  <c r="D86" i="1"/>
  <c r="B86" i="1"/>
  <c r="A86" i="1"/>
  <c r="D85" i="1"/>
  <c r="B85" i="1"/>
  <c r="A85" i="1"/>
  <c r="D84" i="1"/>
  <c r="B84" i="1"/>
  <c r="A84" i="1"/>
  <c r="D83" i="1"/>
  <c r="B83" i="1"/>
  <c r="A83" i="1"/>
  <c r="D82" i="1"/>
  <c r="B82" i="1"/>
  <c r="A82" i="1"/>
  <c r="D81" i="1"/>
  <c r="B81" i="1"/>
  <c r="A81" i="1"/>
  <c r="D80" i="1"/>
  <c r="B80" i="1"/>
  <c r="A80" i="1"/>
  <c r="D79" i="1"/>
  <c r="B79" i="1"/>
  <c r="A79" i="1"/>
  <c r="D78" i="1"/>
  <c r="B78" i="1"/>
  <c r="A78" i="1"/>
  <c r="D77" i="1"/>
  <c r="B77" i="1"/>
  <c r="A77" i="1"/>
  <c r="D76" i="1"/>
  <c r="C76" i="1"/>
  <c r="B76" i="1"/>
  <c r="A76" i="1"/>
  <c r="D75" i="1"/>
  <c r="B75" i="1"/>
  <c r="A75" i="1"/>
  <c r="D74" i="1"/>
  <c r="B74" i="1"/>
  <c r="A74" i="1"/>
  <c r="D73" i="1"/>
  <c r="B73" i="1"/>
  <c r="A73" i="1"/>
  <c r="D72" i="1"/>
  <c r="B72" i="1"/>
  <c r="A72" i="1"/>
  <c r="D71" i="1"/>
  <c r="B71" i="1"/>
  <c r="A71" i="1"/>
  <c r="D69" i="1"/>
  <c r="B69" i="1"/>
  <c r="A69" i="1"/>
  <c r="D70" i="1"/>
  <c r="B70" i="1"/>
  <c r="A70" i="1"/>
  <c r="D68" i="1"/>
  <c r="C68" i="1"/>
  <c r="B68" i="1"/>
  <c r="A68" i="1"/>
  <c r="D67" i="1"/>
  <c r="C67" i="1"/>
  <c r="B67" i="1"/>
  <c r="A67" i="1"/>
  <c r="D66" i="1"/>
  <c r="C66" i="1"/>
  <c r="B66" i="1"/>
  <c r="A66" i="1"/>
  <c r="D65" i="1"/>
  <c r="B65" i="1"/>
  <c r="A65" i="1"/>
  <c r="D64" i="1"/>
  <c r="B64" i="1"/>
  <c r="A64" i="1"/>
  <c r="D63" i="1"/>
  <c r="B63" i="1"/>
  <c r="A63" i="1"/>
  <c r="D62" i="1"/>
  <c r="B62" i="1"/>
  <c r="A62" i="1"/>
  <c r="D61" i="1"/>
  <c r="B61" i="1"/>
  <c r="A61" i="1"/>
  <c r="D60" i="1"/>
  <c r="B60" i="1"/>
  <c r="A60" i="1"/>
  <c r="D59" i="1"/>
  <c r="A59" i="1"/>
  <c r="D58" i="1"/>
  <c r="B58" i="1"/>
  <c r="A58" i="1"/>
  <c r="D57" i="1"/>
  <c r="B57" i="1"/>
  <c r="A57" i="1"/>
  <c r="D56" i="1"/>
  <c r="B56" i="1"/>
  <c r="A56" i="1"/>
  <c r="D55" i="1"/>
  <c r="C55" i="1"/>
  <c r="B55" i="1"/>
  <c r="A55" i="1"/>
  <c r="D54" i="1"/>
  <c r="B54" i="1"/>
  <c r="A54" i="1"/>
  <c r="D53" i="1"/>
  <c r="B53" i="1"/>
  <c r="A53" i="1"/>
  <c r="D52" i="1"/>
  <c r="B52" i="1"/>
  <c r="A52" i="1"/>
  <c r="D51" i="1"/>
  <c r="B51" i="1"/>
  <c r="A51" i="1"/>
  <c r="D50" i="1"/>
  <c r="B50" i="1"/>
  <c r="A50" i="1"/>
  <c r="D49" i="1"/>
  <c r="B49" i="1"/>
  <c r="A49" i="1"/>
  <c r="D48" i="1"/>
  <c r="B48" i="1"/>
  <c r="A48" i="1"/>
  <c r="D47" i="1"/>
  <c r="B47" i="1"/>
  <c r="A47" i="1"/>
  <c r="D46" i="1"/>
  <c r="B46" i="1"/>
  <c r="A46" i="1"/>
  <c r="D44" i="1"/>
  <c r="B44" i="1"/>
  <c r="A44" i="1"/>
  <c r="D45" i="1"/>
  <c r="B45" i="1"/>
  <c r="A45" i="1"/>
  <c r="D43" i="1"/>
  <c r="C43" i="1"/>
  <c r="B43" i="1"/>
  <c r="A43" i="1"/>
  <c r="D42" i="1"/>
  <c r="B42" i="1"/>
  <c r="A42" i="1"/>
  <c r="D41" i="1"/>
  <c r="B41" i="1"/>
  <c r="A41" i="1"/>
  <c r="D40" i="1"/>
  <c r="B40" i="1"/>
  <c r="A40" i="1"/>
  <c r="D39" i="1"/>
  <c r="B39" i="1"/>
  <c r="A39" i="1"/>
  <c r="D38" i="1"/>
  <c r="B38" i="1"/>
  <c r="A38" i="1"/>
  <c r="D37" i="1"/>
  <c r="B37" i="1"/>
  <c r="A37" i="1"/>
  <c r="D35" i="1"/>
  <c r="B35" i="1"/>
  <c r="A35" i="1"/>
  <c r="D36" i="1"/>
  <c r="B36" i="1"/>
  <c r="A36" i="1"/>
  <c r="D34" i="1"/>
  <c r="B34" i="1"/>
  <c r="A34" i="1"/>
  <c r="D33" i="1"/>
  <c r="B33" i="1"/>
  <c r="A33" i="1"/>
  <c r="D32" i="1"/>
  <c r="B32" i="1"/>
  <c r="A32" i="1"/>
  <c r="D30" i="1"/>
  <c r="C30" i="1"/>
  <c r="B30" i="1"/>
  <c r="A30" i="1"/>
  <c r="D29" i="1"/>
  <c r="B29" i="1"/>
  <c r="A29" i="1"/>
  <c r="D31" i="1"/>
  <c r="B31" i="1"/>
  <c r="A31" i="1"/>
  <c r="D28" i="1"/>
  <c r="B28" i="1"/>
  <c r="A28" i="1"/>
  <c r="D27" i="1"/>
  <c r="B27" i="1"/>
  <c r="A27" i="1"/>
  <c r="D26" i="1"/>
  <c r="B26" i="1"/>
  <c r="A26" i="1"/>
  <c r="D25" i="1"/>
  <c r="B25" i="1"/>
  <c r="A25" i="1"/>
  <c r="D24" i="1"/>
  <c r="B24" i="1"/>
  <c r="A24" i="1"/>
  <c r="D23" i="1"/>
  <c r="B23" i="1"/>
  <c r="A23" i="1"/>
  <c r="D22" i="1"/>
  <c r="B22" i="1"/>
  <c r="A22" i="1"/>
  <c r="D21" i="1"/>
  <c r="B21" i="1"/>
  <c r="A21" i="1"/>
  <c r="D20" i="1"/>
  <c r="B20" i="1"/>
  <c r="A20" i="1"/>
  <c r="D19" i="1"/>
  <c r="B19" i="1"/>
  <c r="A19" i="1"/>
  <c r="D18" i="1"/>
  <c r="B18" i="1"/>
  <c r="A18" i="1"/>
  <c r="D17" i="1"/>
  <c r="B17" i="1"/>
  <c r="A17" i="1"/>
  <c r="D16" i="1"/>
  <c r="B16" i="1"/>
  <c r="A16" i="1"/>
  <c r="D15" i="1"/>
  <c r="B15" i="1"/>
  <c r="A15" i="1"/>
  <c r="D14" i="1"/>
  <c r="B14" i="1"/>
  <c r="A14" i="1"/>
  <c r="D13" i="1"/>
  <c r="B13" i="1"/>
  <c r="A13" i="1"/>
  <c r="D12" i="1"/>
  <c r="B12" i="1"/>
  <c r="A12" i="1"/>
  <c r="D11" i="1"/>
  <c r="B11" i="1"/>
  <c r="A11" i="1"/>
  <c r="D10" i="1"/>
  <c r="B10" i="1"/>
  <c r="A10" i="1"/>
  <c r="D9" i="1"/>
  <c r="B9" i="1"/>
  <c r="A9" i="1"/>
  <c r="D8" i="1"/>
  <c r="B8" i="1"/>
  <c r="A8" i="1"/>
  <c r="D7" i="1"/>
  <c r="C7" i="1"/>
  <c r="B7" i="1"/>
  <c r="A7" i="1"/>
  <c r="D6" i="1"/>
  <c r="B6" i="1"/>
  <c r="A6" i="1"/>
  <c r="D5" i="1"/>
  <c r="B5" i="1"/>
  <c r="A5" i="1"/>
  <c r="D4" i="1"/>
  <c r="B4" i="1"/>
  <c r="A4" i="1"/>
  <c r="D3" i="1"/>
  <c r="B3" i="1"/>
  <c r="A3" i="1"/>
</calcChain>
</file>

<file path=xl/sharedStrings.xml><?xml version="1.0" encoding="utf-8"?>
<sst xmlns="http://schemas.openxmlformats.org/spreadsheetml/2006/main" count="53750" uniqueCount="10863">
  <si>
    <t>Ensembl Gene ID</t>
  </si>
  <si>
    <t>Nematode Entrez Gene ID(s)</t>
  </si>
  <si>
    <t>Human Entrez Gene ID(s)</t>
  </si>
  <si>
    <t>Symbol</t>
  </si>
  <si>
    <t>Description</t>
  </si>
  <si>
    <t>Biotype</t>
  </si>
  <si>
    <t>GO Term(s)</t>
  </si>
  <si>
    <t>p</t>
  </si>
  <si>
    <r>
      <t xml:space="preserve">FDR </t>
    </r>
    <r>
      <rPr>
        <b/>
        <i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(all)</t>
    </r>
  </si>
  <si>
    <t>fold change</t>
  </si>
  <si>
    <t>Wald statistic</t>
  </si>
  <si>
    <t>protein_coding</t>
  </si>
  <si>
    <t xml:space="preserve">INSulin related </t>
  </si>
  <si>
    <t>GO:0005576 (extracellular region); GO:0005179 (hormone activity); GO:0007165 (signal transduction)</t>
  </si>
  <si>
    <t xml:space="preserve">Putative sphingomyelin phosphodiesterase asm-3 </t>
  </si>
  <si>
    <t>GO:0006685 (sphingomyelin catabolic process); GO:0004767 (sphingomyelin phosphodiesterase activity); GO:0016787 (hydrolase activity); GO:0008152 (metabolic process); GO:0016798 (hydrolase activity, acting on glycosyl bonds); GO:0046872 (metal ion binding); GO:0005576 (extracellular region)</t>
  </si>
  <si>
    <t xml:space="preserve">TransThyretin-Related family domain </t>
  </si>
  <si>
    <t>GO:0005576 (extracellular region); GO:0009986 (cell surface)</t>
  </si>
  <si>
    <t xml:space="preserve">Lipase </t>
  </si>
  <si>
    <t>GO:0016787 (hydrolase activity); GO:0005576 (extracellular region); GO:0006629 (lipid metabolic process); GO:0016042 (lipid catabolic process); GO:0016788 (hydrolase activity, acting on ester bonds); GO:0005764 (lysosome); GO:0043202 (lysosomal lumen); GO:0019433 (triglyceride catabolic process); GO:0050829 (defense response to Gram-negative bacterium); GO:0055088 (lipid homeostasis)</t>
  </si>
  <si>
    <t xml:space="preserve">THaumatiN family </t>
  </si>
  <si>
    <t>GO:0050830 (defense response to Gram-positive bacterium); GO:0050829 (defense response to Gram-negative bacterium); GO:0005576 (extracellular region); GO:0003674 (molecular_function)</t>
  </si>
  <si>
    <t xml:space="preserve">p-GlycoProtein related; p-glycoprotein related (146.8 kD) (Pgp-14) </t>
  </si>
  <si>
    <t>GO:0016020 (membrane); GO:0016021 (integral component of membrane); GO:0005524 (ATP binding); GO:0042626 (ATPase-coupled transmembrane transporter activity); GO:0000166 (nucleotide binding); GO:0055085 (transmembrane transport); GO:0093002 (response to nematicide); GO:0016887 (ATPase activity)</t>
  </si>
  <si>
    <t xml:space="preserve">Downstream Of DAF-16 (Regulated by DAF-16) </t>
  </si>
  <si>
    <t>GO:0016020 (membrane); GO:0016021 (integral component of membrane)</t>
  </si>
  <si>
    <t xml:space="preserve">DOMON domain-containing protein Y73F4A.2 </t>
  </si>
  <si>
    <t>GO:0005576 (extracellular region)</t>
  </si>
  <si>
    <t xml:space="preserve">FIP (Fungus-Induced Protein) Related </t>
  </si>
  <si>
    <t>GO:0006629 (lipid metabolic process)</t>
  </si>
  <si>
    <t xml:space="preserve">Chondroitin proteoglycan-2 </t>
  </si>
  <si>
    <t>GO:0008061 (chitin binding); GO:0005576 (extracellular region)</t>
  </si>
  <si>
    <t xml:space="preserve">Zwei Ig domain protein zig-3 </t>
  </si>
  <si>
    <t>GO:0005886 (plasma membrane); GO:0007155 (cell adhesion); GO:0005576 (extracellular region); GO:0007156 (homophilic cell adhesion via plasma membrane adhesion molecules); GO:0007411 (axon guidance); GO:0030424 (axon); GO:0070593 (dendrite self-avoidance); GO:0098632 (cell-cell adhesion mediator activity); GO:0005515 (protein binding)</t>
  </si>
  <si>
    <t xml:space="preserve">Pumilio domain-containing protein 5 </t>
  </si>
  <si>
    <t>GO:0003723 (RNA binding)</t>
  </si>
  <si>
    <t xml:space="preserve">ACid Phosphatase family </t>
  </si>
  <si>
    <t>GO:0016311 (dephosphorylation); GO:0016791 (phosphatase activity)</t>
  </si>
  <si>
    <t xml:space="preserve">GILT-like protein ZK669.3 </t>
  </si>
  <si>
    <t>GO:0005576 (extracellular region); GO:0016491 (oxidoreductase activity)</t>
  </si>
  <si>
    <t xml:space="preserve">COLlagen </t>
  </si>
  <si>
    <t>GO:0016020 (membrane); GO:0016021 (integral component of membrane); GO:0042302 (structural constituent of cuticle)</t>
  </si>
  <si>
    <t xml:space="preserve">GLutamiNe synthetase (Glutamate-ammonia ligase) </t>
  </si>
  <si>
    <t>GO:0005737 (cytoplasm); GO:0003824 (catalytic activity); GO:0006807 (nitrogen compound metabolic process); GO:0004356 (glutamate-ammonia ligase activity); GO:0006542 (glutamine biosynthetic process)</t>
  </si>
  <si>
    <t xml:space="preserve">Receptor Mediated Endocytosis </t>
  </si>
  <si>
    <t>GO:0016020 (membrane); GO:0016021 (integral component of membrane); GO:0005509 (calcium ion binding); GO:0005886 (plasma membrane); GO:0006897 (endocytosis); GO:0009792 (embryo development ending in birth or egg hatching); GO:0031410 (cytoplasmic vesicle); GO:0005887 (integral component of plasma membrane); GO:0030728 (ovulation); GO:0010008 (endosome membrane); GO:0048599 (oocyte development); GO:0005041 (low-density lipoprotein particle receptor activity); GO:0005515 (protein binding)</t>
  </si>
  <si>
    <t xml:space="preserve">C-type LECtin </t>
  </si>
  <si>
    <t>GO:0030246 (carbohydrate binding)</t>
  </si>
  <si>
    <t xml:space="preserve">PUF (Pumilio/FBF) domain-containing </t>
  </si>
  <si>
    <t>GO:0005634 (nucleus); GO:0005737 (cytoplasm); GO:0003723 (RNA binding); GO:0003730 (mRNA 3'-UTR binding); GO:0003729 (mRNA binding); GO:0005515 (protein binding); GO:0010608 (posttranscriptional regulation of gene expression)</t>
  </si>
  <si>
    <t>GO:0004867 (serine-type endopeptidase inhibitor activity); GO:0010951 (negative regulation of endopeptidase activity)</t>
  </si>
  <si>
    <t>GO:0046872 (metal ion binding)</t>
  </si>
  <si>
    <t>GO:0016020 (membrane); GO:0016021 (integral component of membrane); GO:0005581 (collagen trimer)</t>
  </si>
  <si>
    <t xml:space="preserve">LDL receptor repeat-containing protein egg-2 </t>
  </si>
  <si>
    <t>GO:0005515 (protein binding)</t>
  </si>
  <si>
    <t xml:space="preserve">Glutamine-Fructose 6-phosphate AminoTransferase homolog </t>
  </si>
  <si>
    <t>GO:0016740 (transferase activity); GO:0006487 (protein N-linked glycosylation); GO:0006002 (fructose 6-phosphate metabolic process); GO:0006541 (glutamine metabolic process); GO:0004360 (glutamine-fructose-6-phosphate transaminase (isomerizing) activity); GO:0006047 (UDP-N-acetylglucosamine metabolic process); GO:0097367 (carbohydrate derivative binding); GO:1901135 (carbohydrate derivative metabolic process)</t>
  </si>
  <si>
    <t xml:space="preserve">Chitin-binding domain protein cbd-1 </t>
  </si>
  <si>
    <t xml:space="preserve">Chondroitin proteoglycan 3 </t>
  </si>
  <si>
    <t xml:space="preserve">Chondroitin proteoglycan 1 </t>
  </si>
  <si>
    <t xml:space="preserve">Stress-induced protein 1 </t>
  </si>
  <si>
    <t>GO:0009792 (embryo development ending in birth or egg hatching); GO:0008340 (determination of adult lifespan); GO:0005829 (cytosol); GO:0009408 (response to heat); GO:0051082 (unfolded protein binding); GO:0019538 (protein metabolic process)</t>
  </si>
  <si>
    <t xml:space="preserve">SaPosin-like Protein family </t>
  </si>
  <si>
    <t>GO:0005615 (extracellular space)</t>
  </si>
  <si>
    <t>GO:0005515 (protein binding); GO:0008270 (zinc ion binding)</t>
  </si>
  <si>
    <t xml:space="preserve">Hydroxy-Acyl-CoA Dehydrogenase </t>
  </si>
  <si>
    <t>GO:0016020 (membrane); GO:0016021 (integral component of membrane); GO:0006631 (fatty acid metabolic process); GO:0016491 (oxidoreductase activity); GO:0016616 (oxidoreductase activity, acting on the CH-OH group of donors, NAD or NADP as acceptor); GO:0070403 (NAD+ binding); GO:0003857 (3-hydroxyacyl-CoA dehydrogenase activity); GO:0055114 (oxidation-reduction process)</t>
  </si>
  <si>
    <t xml:space="preserve">Chitin synthase chs-1 </t>
  </si>
  <si>
    <t>GO:0016758 (transferase activity, transferring hexosyl groups); GO:0004100 (chitin synthase activity)</t>
  </si>
  <si>
    <t xml:space="preserve">MEiotic SPindle </t>
  </si>
  <si>
    <t xml:space="preserve">Importin subunit alpha-2 </t>
  </si>
  <si>
    <t>GO:0006606 (protein import into nucleus); GO:0061608 (nuclear import signal receptor activity); GO:0005737 (cytoplasm); GO:0005515 (protein binding)</t>
  </si>
  <si>
    <t xml:space="preserve">LDL receptor repeat-containing protein egg-1 </t>
  </si>
  <si>
    <t xml:space="preserve">Lipase ZK262.3 </t>
  </si>
  <si>
    <t>GO:0016787 (hydrolase activity); GO:0005576 (extracellular region); GO:0006629 (lipid metabolic process); GO:0016042 (lipid catabolic process)</t>
  </si>
  <si>
    <t xml:space="preserve">CCCH-type zinc finger protein oma-2 </t>
  </si>
  <si>
    <t xml:space="preserve">Neuropeptide-Like Protein </t>
  </si>
  <si>
    <t>GO:0007218 (neuropeptide signaling pathway)</t>
  </si>
  <si>
    <t xml:space="preserve">GlYcoGenin like </t>
  </si>
  <si>
    <t>GO:0005737 (cytoplasm); GO:0016757 (transferase activity, transferring glycosyl groups)</t>
  </si>
  <si>
    <t>pseudogene</t>
  </si>
  <si>
    <t>GO:0016020 (membrane); GO:0016021 (integral component of membrane); GO:0046513 (ceramide biosynthetic process); GO:0046475 (glycerophospholipid catabolic process); GO:0006685 (sphingomyelin catabolic process); GO:0050290 (sphingomyelin phosphodiesterase D activity); GO:0005783 (endoplasmic reticulum); GO:0005794 (Golgi apparatus); GO:0005802 (trans-Golgi network)</t>
  </si>
  <si>
    <t xml:space="preserve">ABF-6; AntiBacterial Factor related </t>
  </si>
  <si>
    <t>GO:0005634 (nucleus); GO:0005737 (cytoplasm); GO:0003723 (RNA binding); GO:0003730 (mRNA 3'-UTR binding); GO:0003729 (mRNA binding); GO:0010608 (posttranscriptional regulation of gene expression)</t>
  </si>
  <si>
    <t>GO:0050830 (defense response to Gram-positive bacterium)</t>
  </si>
  <si>
    <t xml:space="preserve">Serine/threonine-protein kinase plk-3 </t>
  </si>
  <si>
    <t>GO:0004672 (protein kinase activity); GO:0006468 (protein phosphorylation); GO:0005515 (protein binding); GO:0005524 (ATP binding)</t>
  </si>
  <si>
    <t>GO:0016020 (membrane); GO:0016021 (integral component of membrane); GO:0005524 (ATP binding); GO:0042626 (ATPase-coupled transmembrane transporter activity); GO:0000166 (nucleotide binding); GO:0022857 (transmembrane transporter activity); GO:0055085 (transmembrane transport); GO:0007040 (lysosome organization); GO:0010877 (lipid transport involved in lipid storage); GO:0030139 (endocytic vesicle); GO:0044840 (gut granule); GO:0016887 (ATPase activity)</t>
  </si>
  <si>
    <t xml:space="preserve">Acid ceramidase </t>
  </si>
  <si>
    <t>GO:0017064 (fatty acid amide hydrolase activity); GO:0005764 (lysosome); GO:0006631 (fatty acid metabolic process)</t>
  </si>
  <si>
    <t xml:space="preserve">SKN-1 Dependent Zygotic transcript </t>
  </si>
  <si>
    <t>GO:0003676 (nucleic acid binding)</t>
  </si>
  <si>
    <t xml:space="preserve">Protein tyrosine phosphatase-like protein egg-3 </t>
  </si>
  <si>
    <t>GO:0006470 (protein dephosphorylation); GO:0004725 (protein tyrosine phosphatase activity)</t>
  </si>
  <si>
    <t>GO:0016020 (membrane); GO:0016021 (integral component of membrane); GO:0005615 (extracellular space); GO:0030198 (extracellular matrix organization); GO:0042302 (structural constituent of cuticle); GO:0005201 (extracellular matrix structural constituent); GO:0031012 (extracellular matrix)</t>
  </si>
  <si>
    <t xml:space="preserve">Zinc finger protein mex-6 </t>
  </si>
  <si>
    <t xml:space="preserve">Suppressor of ZYg-1 </t>
  </si>
  <si>
    <t>GO:0005515 (protein binding); GO:0010824 (regulation of centrosome duplication)</t>
  </si>
  <si>
    <t xml:space="preserve">Embryonic mRna (mRNA) Anterior </t>
  </si>
  <si>
    <t xml:space="preserve">Dimethylaniline monooxygenase [N-oxide-forming] </t>
  </si>
  <si>
    <t>GO:0016020 (membrane); GO:0016021 (integral component of membrane); GO:0016491 (oxidoreductase activity); GO:0050660 (flavin adenine dinucleotide binding); GO:0004497 (monooxygenase activity); GO:0004499 (N,N-dimethylaniline monooxygenase activity); GO:0050661 (NADP binding); GO:0005783 (endoplasmic reticulum); GO:0005789 (endoplasmic reticulum membrane); GO:0043231 (intracellular membrane-bounded organelle); GO:0016174 (NAD(P)H oxidase H2O2-forming activity); GO:0005737 (cytoplasm); GO:0055114 (oxidation-reduction process); GO:0106294 (NADPH oxidase H202-forming activity)</t>
  </si>
  <si>
    <t>GO:0005576 (extracellular region); GO:0010951 (negative regulation of endopeptidase activity); GO:0010466 (negative regulation of peptidase activity); GO:0030414 (peptidase inhibitor activity); GO:0004867 (serine-type endopeptidase inhibitor activity)</t>
  </si>
  <si>
    <t>GO:0005524 (ATP binding); GO:0005737 (cytoplasm); GO:0000166 (nucleotide binding); GO:0016887 (ATPase activity); GO:0042026 (protein refolding); GO:0051082 (unfolded protein binding); GO:0031072 (heat shock protein binding); GO:0034620 (cellular response to unfolded protein); GO:0044183 (protein folding chaperone); GO:0051085 (chaperone cofactor-dependent protein refolding); GO:0051787 (misfolded protein binding)</t>
  </si>
  <si>
    <t xml:space="preserve">UDP-GlucuronosylTransferase </t>
  </si>
  <si>
    <t>GO:0016020 (membrane); GO:0016021 (integral component of membrane); GO:0016740 (transferase activity); GO:0043231 (intracellular membrane-bounded organelle); GO:0015020 (glucuronosyltransferase activity); GO:0016757 (transferase activity, transferring glycosyl groups); GO:0008194 (UDP-glycosyltransferase activity)</t>
  </si>
  <si>
    <t>GO:0045087 (innate immune response); GO:0045121 (membrane raft)</t>
  </si>
  <si>
    <t xml:space="preserve">Zrt (ZRT), Irt-(IRT-) like Protein Transporter </t>
  </si>
  <si>
    <t>GO:0016020 (membrane); GO:0016021 (integral component of membrane); GO:0005886 (plasma membrane); GO:0055085 (transmembrane transport); GO:0005385 (zinc ion transmembrane transporter activity); GO:0071577 (zinc ion transmembrane transport); GO:0030001 (metal ion transport); GO:0046873 (metal ion transmembrane transporter activity)</t>
  </si>
  <si>
    <t xml:space="preserve">MEiosis-to-MItosis transition associated </t>
  </si>
  <si>
    <t xml:space="preserve">Microtubule-Associated Protein Homolog </t>
  </si>
  <si>
    <t>GO:0003779 (actin binding); GO:0005829 (cytosol); GO:0045202 (synapse); GO:0008017 (microtubule binding); GO:0000226 (microtubule cytoskeleton organization); GO:0043025 (neuronal cell body); GO:0005874 (microtubule); GO:0030425 (dendrite); GO:0007409 (axonogenesis); GO:0005875 (microtubule associated complex); GO:0016358 (dendrite development); GO:0031114 (regulation of microtubule depolymerization)</t>
  </si>
  <si>
    <t xml:space="preserve">Leucine-rich repeat-containing protein egg-6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</si>
  <si>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GO:0032436 (positive regulation of proteasomal ubiquitin-dependent protein catabolic process); GO:0016055 (Wnt signaling pathway); GO:0006897 (endocytosis); GO:0090263 (positive regulation of canonical Wnt signaling pathway)</t>
  </si>
  <si>
    <t xml:space="preserve">Pumilio domain-containing protein 7 </t>
  </si>
  <si>
    <t xml:space="preserve">MARCH (Membrane-Associated Ring finger (C3HC4)) homolog </t>
  </si>
  <si>
    <t>GO:0016020 (membrane); GO:0016021 (integral component of membrane); GO:0016567 (protein ubiquitination); GO:0008270 (zinc ion binding); GO:0004842 (ubiquitin-protein transferase activity); GO:0000209 (protein polyubiquitination)</t>
  </si>
  <si>
    <t xml:space="preserve">Heritable RNAi Deficient </t>
  </si>
  <si>
    <t>GO:0003676 (nucleic acid binding); GO:0005634 (nucleus); GO:0007281 (germ cell development); GO:0016246 (RNA interference); GO:0031332 (RNAi effector complex); GO:0005515 (protein binding)</t>
  </si>
  <si>
    <t xml:space="preserve">Argonaute protein wago-1 </t>
  </si>
  <si>
    <t>GO:0003676 (nucleic acid binding); GO:0007275 (multicellular organism development); GO:0031047 (gene silencing by RNA); GO:0043186 (P granule); GO:0017151 (DEAD/H-box RNA helicase binding); GO:0005515 (protein binding)</t>
  </si>
  <si>
    <t>GO:0005515 (protein binding); GO:0000003 (reproduction); GO:0043186 (P granule); GO:0032504 (multicellular organism reproduction); GO:0036093 (germ cell proliferation); GO:1903864 (P granule disassembly)</t>
  </si>
  <si>
    <t>GO:0046835 (carbohydrate phosphorylation); GO:0045127 (N-acetylglucosamine kinase activity)</t>
  </si>
  <si>
    <t xml:space="preserve">Bestrophin homolog 24 </t>
  </si>
  <si>
    <t xml:space="preserve">ATP-citrate synthase </t>
  </si>
  <si>
    <t>GO:0005524 (ATP binding); GO:0003824 (catalytic activity); GO:0046872 (metal ion binding); GO:0000166 (nucleotide binding); GO:0016740 (transferase activity); GO:0005737 (cytoplasm); GO:0005829 (cytosol); GO:0006629 (lipid metabolic process); GO:0006101 (citrate metabolic process); GO:0046912 (transferase activity, transferring acyl groups, acyl groups converted into alkyl on transfer); GO:0003878 (ATP citrate synthase activity); GO:0006085 (acetyl-CoA biosynthetic process); GO:0006633 (fatty acid biosynthetic process)</t>
  </si>
  <si>
    <t xml:space="preserve">PIP-1 </t>
  </si>
  <si>
    <t>GO:0005634 (nucleus); GO:0005737 (cytoplasm); GO:0000381 (regulation of alternative mRNA splicing, via spliceosome); GO:0003676 (nucleic acid binding); GO:0003723 (RNA binding); GO:0005515 (protein binding); GO:0003729 (mRNA binding); GO:0007399 (nervous system development); GO:0043186 (P granule)</t>
  </si>
  <si>
    <t>GO:0016020 (membrane); GO:0016021 (integral component of membrane); GO:0005576 (extracellular region); GO:0004623 (phospholipase A2 activity); GO:0006644 (phospholipid metabolic process); GO:0050482 (arachidonic acid secretion)</t>
  </si>
  <si>
    <t xml:space="preserve">Fatty Acid/Retinol binding protein </t>
  </si>
  <si>
    <t>GO:0005576 (extracellular region); GO:0008289 (lipid binding)</t>
  </si>
  <si>
    <t xml:space="preserve">CYclin B </t>
  </si>
  <si>
    <t>GO:0005634 (nucleus); GO:0005737 (cytoplasm); GO:0005813 (centrosome); GO:0000079 (regulation of cyclin-dependent protein serine/threonine kinase activity); GO:0000307 (cyclin-dependent protein kinase holoenzyme complex); GO:0016538 (cyclin-dependent protein serine/threonine kinase regulator activity); GO:0044772 (mitotic cell cycle phase transition); GO:0001556 (oocyte maturation); GO:0008595 (anterior/posterior axis specification, embryo)</t>
  </si>
  <si>
    <t xml:space="preserve">ATP-dependent RNA helicase glh-2 </t>
  </si>
  <si>
    <t>GO:0004386 (helicase activity); GO:0003676 (nucleic acid binding); GO:0005524 (ATP binding); GO:0008270 (zinc ion binding)</t>
  </si>
  <si>
    <t xml:space="preserve">PaTched Related family </t>
  </si>
  <si>
    <t>GO:0016020 (membrane); GO:0016021 (integral component of membrane); GO:0005886 (plasma membrane); GO:0022857 (transmembrane transporter activity); GO:0055085 (transmembrane transport); GO:0030659 (cytoplasmic vesicle membrane); GO:0006897 (endocytosis); GO:0090597 (nematode male tail mating organ morphogenesis); GO:0018996 (molting cycle, collagen and cuticulin-based cuticle); GO:0000281 (mitotic cytokinesis); GO:0045138 (nematode male tail tip morphogenesis)</t>
  </si>
  <si>
    <t xml:space="preserve">PERMeable eggshell </t>
  </si>
  <si>
    <t xml:space="preserve">Meiotic spindle formation protein 2 </t>
  </si>
  <si>
    <t>GO:0008017 (microtubule binding)</t>
  </si>
  <si>
    <t xml:space="preserve">Myosin-1 </t>
  </si>
  <si>
    <t>GO:0016459 (myosin complex); GO:0003774 (motor activity); GO:0051015 (actin filament binding); GO:0005524 (ATP binding)</t>
  </si>
  <si>
    <t xml:space="preserve">Guanyl-specific ribonuclease pgl-3 </t>
  </si>
  <si>
    <t xml:space="preserve">Cytoplasmic zinc-finger protein; POsterior Segregation </t>
  </si>
  <si>
    <t>GO:0046872 (metal ion binding); GO:0005829 (cytosol); GO:0003730 (mRNA 3'-UTR binding); GO:0009792 (embryo development ending in birth or egg hatching); GO:0005737 (cytoplasm); GO:0000122 (negative regulation of transcription by RNA polymerase II); GO:0001708 (cell fate specification); GO:0003714 (transcription corepressor activity); GO:0043186 (P granule); GO:0003727 (single-stranded RNA binding); GO:0008266 (poly(U) RNA binding); GO:0009880 (embryonic pattern specification)</t>
  </si>
  <si>
    <t xml:space="preserve">Zinc finger protein mex-5 </t>
  </si>
  <si>
    <t xml:space="preserve">TRansport of membrane to Cell Surface </t>
  </si>
  <si>
    <t>GO:0016020 (membrane); GO:0016021 (integral component of membrane); GO:0016787 (hydrolase activity); GO:0052689 (carboxylic ester hydrolase activity)</t>
  </si>
  <si>
    <t xml:space="preserve">Chondroitin proteoglycan 4 </t>
  </si>
  <si>
    <t xml:space="preserve">Guanyl-specific ribonuclease pgl-1 </t>
  </si>
  <si>
    <t>GO:0016020 (membrane); GO:0016021 (integral component of membrane); GO:0005515 (protein binding); GO:0000003 (reproduction); GO:0043186 (P granule); GO:0048477 (oogenesis); GO:0043621 (protein self-association); GO:0007276 (gamete generation); GO:0003723 (RNA binding); GO:0042078 (germ-line stem cell division); GO:0030719 (P granule organization)</t>
  </si>
  <si>
    <t xml:space="preserve">Pumilio domain-containing protein 6 </t>
  </si>
  <si>
    <t>GO:0030246 (carbohydrate binding); GO:0050830 (defense response to Gram-positive bacterium)</t>
  </si>
  <si>
    <t>GO:0042302 (structural constituent of cuticle)</t>
  </si>
  <si>
    <t xml:space="preserve">Serpentine Receptor, class H </t>
  </si>
  <si>
    <t xml:space="preserve">SP (Specificity Protein) Transcription Factor </t>
  </si>
  <si>
    <t>GO:0000978 (RNA polymerase II cis-regulatory region sequence-specific DNA binding); GO:0000981 (DNA-binding transcription factor activity, RNA polymerase II-specific); GO:0006357 (regulation of transcription by RNA polymerase II)</t>
  </si>
  <si>
    <t xml:space="preserve">Phosphatidylinositol 3,4,5-trisphosphate 3-phosphatase and dual-specificity protein phosphatase daf-18 </t>
  </si>
  <si>
    <t>GO:0016311 (dephosphorylation); GO:0006470 (protein dephosphorylation); GO:0004725 (protein tyrosine phosphatase activity)</t>
  </si>
  <si>
    <t xml:space="preserve">BTB and MATH domain-containing protein 47 </t>
  </si>
  <si>
    <t>GO:0005737 (cytoplasm); GO:0010629 (negative regulation of gene expression)</t>
  </si>
  <si>
    <t xml:space="preserve">Inactive protein-tyrosine phosphatase egg-4 </t>
  </si>
  <si>
    <t>GO:0016311 (dephosphorylation); GO:0006470 (protein dephosphorylation); GO:0004725 (protein tyrosine phosphatase activity); GO:0016791 (phosphatase activity)</t>
  </si>
  <si>
    <t xml:space="preserve">SCP-Like extracellular protein </t>
  </si>
  <si>
    <t>GO:0008610 (lipid biosynthetic process)</t>
  </si>
  <si>
    <t xml:space="preserve">Zwei Ig domain protein zig-4 </t>
  </si>
  <si>
    <t>GO:0007155 (cell adhesion); GO:0005576 (extracellular region); GO:0005886 (plasma membrane); GO:0007411 (axon guidance); GO:0048666 (neuron development); GO:0005515 (protein binding)</t>
  </si>
  <si>
    <t xml:space="preserve">CUTiclin-Like </t>
  </si>
  <si>
    <t xml:space="preserve">Putative cuticle collagen 155 </t>
  </si>
  <si>
    <t xml:space="preserve">Catechol-O-MethylTransferase family </t>
  </si>
  <si>
    <t>GO:0008168 (methyltransferase activity); GO:0032259 (methylation); GO:0016740 (transferase activity); GO:0008171 (O-methyltransferase activity); GO:0008757 (S-adenosylmethionine-dependent methyltransferase activity)</t>
  </si>
  <si>
    <t xml:space="preserve">C. Elegans Y-box </t>
  </si>
  <si>
    <t>GO:0005634 (nucleus); GO:0003676 (nucleic acid binding); GO:0010468 (regulation of gene expression); GO:1990904 (ribonucleoprotein complex)</t>
  </si>
  <si>
    <t xml:space="preserve">CaLponIn-liKe proteins </t>
  </si>
  <si>
    <t>GO:0005524 (ATP binding); GO:0000166 (nucleotide binding); GO:0070615 (nucleosome-dependent ATPase activity)</t>
  </si>
  <si>
    <t xml:space="preserve">RNP (RRM RNA binding domain) containing </t>
  </si>
  <si>
    <t>GO:0005634 (nucleus); GO:0000381 (regulation of alternative mRNA splicing, via spliceosome); GO:0003676 (nucleic acid binding); GO:0003723 (RNA binding); GO:0003727 (single-stranded RNA binding); GO:0019899 (enzyme binding); GO:0034046 (poly(G) binding); GO:0032991 (protein-containing complex); GO:1990749 (polynucleotide adenylyltransferase activator activity); GO:1904247 (positive regulation of polynucleotide adenylyltransferase activity)</t>
  </si>
  <si>
    <t xml:space="preserve">CYtochrome P450 family </t>
  </si>
  <si>
    <t>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GO:0048598 (embryonic morphogenesis); GO:0008356 (asymmetric cell division); GO:0040038 (polar body extrusion after meiotic divisions); GO:0030703 (eggshell formation); GO:0008610 (lipid biosynthetic process); GO:0055114 (oxidation-reduction process)</t>
  </si>
  <si>
    <t>GO:0016020 (membrane); GO:0006486 (protein glycosylation); GO:0008417 (fucosyltransferase activity); GO:0036065 (fucosylation); GO:0046920 (alpha-(1-&gt;3)-fucosyltransferase activity)</t>
  </si>
  <si>
    <t xml:space="preserve">BTB and MATH domain containing </t>
  </si>
  <si>
    <t>GO:0005764 (lysosome); GO:0006508 (proteolysis); GO:0004197 (cysteine-type endopeptidase activity); GO:0005615 (extracellular space); GO:0008234 (cysteine-type peptidase activity); GO:0051603 (proteolysis involved in cellular protein catabolic process)</t>
  </si>
  <si>
    <t xml:space="preserve">SPSB (SPry and Socs Box) family </t>
  </si>
  <si>
    <t>GO:0043161 (proteasome-mediated ubiquitin-dependent protein catabolic process); GO:0019005 (SCF ubiquitin ligase complex); GO:0005515 (protein binding)</t>
  </si>
  <si>
    <t>GO:0016020 (membrane); GO:0016021 (integral component of membrane); GO:0007218 (neuropeptide signaling pathway)</t>
  </si>
  <si>
    <t xml:space="preserve">Probable cytochrome P450 CYP36A1 </t>
  </si>
  <si>
    <t>GO:0016705 (oxidoreductase activity, acting on paired donors, with incorporation or reduction of molecular oxygen); GO:0005506 (iron ion binding); GO:0020037 (heme binding); GO:0055114 (oxidation-reduction process)</t>
  </si>
  <si>
    <t xml:space="preserve">Gut-specific cysteine proteinase </t>
  </si>
  <si>
    <t>GO:0008234 (cysteine-type peptidase activity); GO:0006508 (proteolysis)</t>
  </si>
  <si>
    <t>GO:0005515 (protein binding); GO:1903863 (P granule assembly); GO:0043186 (P granule); GO:0036093 (germ cell proliferation); GO:0051640 (organelle localization)</t>
  </si>
  <si>
    <t>GO:0046872 (metal ion binding); GO:0005829 (cytosol); GO:0003730 (mRNA 3'-UTR binding); GO:0005515 (protein binding); GO:0005737 (cytoplasm); GO:0005938 (cell cortex)</t>
  </si>
  <si>
    <t>GO:0055085 (transmembrane transport); GO:0045087 (innate immune response); GO:0050829 (defense response to Gram-negative bacterium); GO:0050830 (defense response to Gram-positive bacterium); GO:0015267 (channel activity); GO:0035915 (pore formation in membrane of other organism); GO:0046930 (pore complex)</t>
  </si>
  <si>
    <t>GO:0005576 (extracellular region); GO:0008061 (chitin binding)</t>
  </si>
  <si>
    <t>GO:0035556 (intracellular signal transduction)</t>
  </si>
  <si>
    <t>GO:0016020 (membrane); GO:0016021 (integral component of membrane); GO:0005886 (plasma membrane); GO:0030659 (cytoplasmic vesicle membrane); GO:0006897 (endocytosis); GO:0090597 (nematode male tail mating organ morphogenesis); GO:0018996 (molting cycle, collagen and cuticulin-based cuticle); GO:0045138 (nematode male tail tip morphogenesis)</t>
  </si>
  <si>
    <t xml:space="preserve">DAZ protein 1 </t>
  </si>
  <si>
    <t>GO:0003729 (mRNA binding); GO:0003676 (nucleic acid binding); GO:0005515 (protein binding)</t>
  </si>
  <si>
    <t>GO:0005615 (extracellular space); GO:0045087 (innate immune response); GO:0062023 (collagen-containing extracellular matrix)</t>
  </si>
  <si>
    <t xml:space="preserve">Inactive protein-tyrosine phosphatase egg-5 </t>
  </si>
  <si>
    <t xml:space="preserve">Bestrophin homolog 1 </t>
  </si>
  <si>
    <t>GO:0005634 (nucleus); GO:0003676 (nucleic acid binding); GO:0010468 (regulation of gene expression); GO:1990904 (ribonucleoprotein complex); GO:0043021 (ribonucleoprotein complex binding)</t>
  </si>
  <si>
    <t xml:space="preserve">Cathepsin B-like cysteine proteinase 4 </t>
  </si>
  <si>
    <t xml:space="preserve">Lysozyme-like protein 7 </t>
  </si>
  <si>
    <t>GO:0009253 (peptidoglycan catabolic process); GO:0003796 (lysozyme activity); GO:0016998 (cell wall macromolecule catabolic process)</t>
  </si>
  <si>
    <t xml:space="preserve">Lysozyme-like protein 2 </t>
  </si>
  <si>
    <t xml:space="preserve">CCCH-type zinc finger protein oma-1 </t>
  </si>
  <si>
    <t xml:space="preserve">Troponin C, isoform 2 </t>
  </si>
  <si>
    <t>GO:0005509 (calcium ion binding); GO:0046872 (metal ion binding); GO:0050790 (regulation of catalytic activity); GO:0030234 (enzyme regulator activity); GO:0031013 (troponin I binding)</t>
  </si>
  <si>
    <t xml:space="preserve">Innexin-14 </t>
  </si>
  <si>
    <t>GO:0016020 (membrane); GO:0016021 (integral component of membrane); GO:0046872 (metal ion binding); GO:0005765 (lysosomal membrane)</t>
  </si>
  <si>
    <t>GO:0016787 (hydrolase activity); GO:0005576 (extracellular region); GO:0006629 (lipid metabolic process); GO:0016042 (lipid catabolic process); GO:0016788 (hydrolase activity, acting on ester bonds); GO:0005764 (lysosome); GO:0043202 (lysosomal lumen)</t>
  </si>
  <si>
    <t xml:space="preserve">DEgenerin Like </t>
  </si>
  <si>
    <t>GO:0016020 (membrane); GO:0016021 (integral component of membrane); GO:0006811 (ion transport); GO:0005887 (integral component of plasma membrane); GO:0005272 (sodium channel activity); GO:0006814 (sodium ion transport); GO:0035725 (sodium ion transmembrane transport); GO:0015280 (ligand-gated sodium channel activity)</t>
  </si>
  <si>
    <t xml:space="preserve">Cuticle collagen dpy-13 </t>
  </si>
  <si>
    <t xml:space="preserve">Muscle EXcess </t>
  </si>
  <si>
    <t>GO:0046872 (metal ion binding); GO:0005829 (cytosol); GO:0003730 (mRNA 3'-UTR binding); GO:0009792 (embryo development ending in birth or egg hatching); GO:0005737 (cytoplasm); GO:0001708 (cell fate specification); GO:0043186 (P granule); GO:0003723 (RNA binding); GO:0001704 (formation of primary germ layer); GO:0009880 (embryonic pattern specification); GO:0030010 (establishment of cell polarity)</t>
  </si>
  <si>
    <t>GO:0000159 (protein phosphatase type 2A complex); GO:0006470 (protein dephosphorylation); GO:0019888 (protein phosphatase regulator activity); GO:0043666 (regulation of phosphoprotein phosphatase activity)</t>
  </si>
  <si>
    <t>GO:0005634 (nucleus); GO:0005737 (cytoplasm); GO:0005813 (centrosome); GO:0000079 (regulation of cyclin-dependent protein serine/threonine kinase activity); GO:0000307 (cyclin-dependent protein kinase holoenzyme complex); GO:0016538 (cyclin-dependent protein serine/threonine kinase regulator activity); GO:0051321 (meiotic cell cycle); GO:0044772 (mitotic cell cycle phase transition); GO:0001556 (oocyte maturation); GO:0008595 (anterior/posterior axis specification, embryo)</t>
  </si>
  <si>
    <t>GO:0005737 (cytoplasm); GO:0005856 (cytoskeleton); GO:0007275 (multicellular organism development); GO:0005515 (protein binding); GO:0007049 (cell cycle); GO:0051301 (cell division); GO:0005694 (chromosome); GO:0051321 (meiotic cell cycle); GO:0000775 (chromosome, centromeric region); GO:0000776 (kinetochore); GO:0000777 (condensed chromosome kinetochore); GO:0005938 (cell cortex); GO:0005819 (spindle); GO:0034501 (protein localization to kinetochore); GO:0010696 (positive regulation of mitotic spindle pole body separation); GO:1903394 (protein localization to kinetochore involved in kinetochore assembly); GO:1905342 (positive regulation of protein localization to kinetochore); GO:1990423 (RZZ complex); GO:0007093 (mitotic cell cycle checkpoint); GO:0072413 (signal transduction involved in mitotic cell cycle checkpoint)</t>
  </si>
  <si>
    <t xml:space="preserve">DGAT (Acyl-CoA:DiacylGlycerol AcylTransferase) Related </t>
  </si>
  <si>
    <t>GO:0016020 (membrane); GO:0016021 (integral component of membrane); GO:0016740 (transferase activity); GO:0016746 (transferase activity, transferring acyl groups); GO:0016747 (transferase activity, transferring acyl groups other than amino-acyl groups); GO:0005789 (endoplasmic reticulum membrane); GO:0005783 (endoplasmic reticulum); GO:0006629 (lipid metabolic process); GO:0004144 (diacylglycerol O-acyltransferase activity); GO:0019432 (triglyceride biosynthetic process); GO:0016529 (sarcoplasmic reticulum); GO:0008374 (O-acyltransferase activity)</t>
  </si>
  <si>
    <t xml:space="preserve">ATP-dependent RNA helicase cgh-1 </t>
  </si>
  <si>
    <t>GO:0004386 (helicase activity); GO:0003676 (nucleic acid binding); GO:0005524 (ATP binding)</t>
  </si>
  <si>
    <t xml:space="preserve">Defective in germ line development protein 3 </t>
  </si>
  <si>
    <t xml:space="preserve">Probable endochitinase </t>
  </si>
  <si>
    <t>GO:0008061 (chitin binding); GO:0004553 (hydrolase activity, hydrolyzing O-glycosyl compounds); GO:0005975 (carbohydrate metabolic process); GO:0005576 (extracellular region)</t>
  </si>
  <si>
    <t>GO:0016020 (membrane); GO:0016021 (integral component of membrane); GO:0005524 (ATP binding); GO:0042626 (ATPase-coupled transmembrane transporter activity); GO:0000166 (nucleotide binding); GO:0022857 (transmembrane transporter activity); GO:0055085 (transmembrane transport); GO:0051597 (response to methylmercury); GO:0016887 (ATPase activity)</t>
  </si>
  <si>
    <t xml:space="preserve">X chromosome NonDisjunction factor </t>
  </si>
  <si>
    <t xml:space="preserve">Negative Effect on Gut development </t>
  </si>
  <si>
    <t>GO:0005634 (nucleus)</t>
  </si>
  <si>
    <t>GO:0016020 (membrane); GO:0016021 (integral component of membrane); 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GO:0048598 (embryonic morphogenesis); GO:0008356 (asymmetric cell division); GO:0040038 (polar body extrusion after meiotic divisions); GO:0030703 (eggshell formation); GO:0008610 (lipid biosynthetic process); GO:0055114 (oxidation-reduction process)</t>
  </si>
  <si>
    <t>GO:0016020 (membrane); GO:0016021 (integral component of membrane); GO:0022857 (transmembrane transporter activity); GO:0055085 (transmembrane transport)</t>
  </si>
  <si>
    <t xml:space="preserve">Histone H3-like centromeric protein cpar-1 </t>
  </si>
  <si>
    <t>GO:0046982 (protein heterodimerization activity); GO:0000786 (nucleosome); GO:0003677 (DNA binding)</t>
  </si>
  <si>
    <t xml:space="preserve">OToPetrin-Like </t>
  </si>
  <si>
    <t>GO:0016020 (membrane); GO:0016021 (integral component of membrane); GO:0005886 (plasma membrane); GO:0006811 (ion transport)</t>
  </si>
  <si>
    <t>GO:0016020 (membrane); GO:0016021 (integral component of membrane); GO:0016301 (kinase activity); GO:0016310 (phosphorylation); GO:0018108 (peptidyl-tyrosine phosphorylation); GO:0005887 (integral component of plasma membrane); GO:0030424 (axon); GO:0004714 (transmembrane receptor protein tyrosine kinase activity); GO:0007169 (transmembrane receptor protein tyrosine kinase signaling pathway); GO:0043235 (receptor complex); GO:0043410 (positive regulation of MAPK cascade); GO:0051897 (positive regulation of protein kinase B signaling); GO:0007275 (multicellular organism development); GO:0042593 (glucose homeostasis); GO:0014068 (positive regulation of phosphatidylinositol 3-kinase signaling); GO:0033674 (positive regulation of kinase activity); GO:0005009 (insulin-activated receptor activity); GO:0043560 (insulin receptor substrate binding); GO:0008286 (insulin receptor signaling pathway); GO:0005899 (insulin receptor complex); GO:0005524 (ATP binding); GO:0004672 (protein kinase activity); GO:0006468 (protein phosphorylation)</t>
  </si>
  <si>
    <t>GO:0005524 (ATP binding); GO:0006468 (protein phosphorylation); GO:0004674 (protein serine/threonine kinase activity); GO:0035556 (intracellular signal transduction)</t>
  </si>
  <si>
    <t>GO:0005576 (extracellular region); GO:0050829 (defense response to Gram-negative bacterium); GO:0009986 (cell surface)</t>
  </si>
  <si>
    <t xml:space="preserve">Acyl CoA DeHydrogenase </t>
  </si>
  <si>
    <t>GO:0016491 (oxidoreductase activity); GO:0003995 (acyl-CoA dehydrogenase activity); GO:0016627 (oxidoreductase activity, acting on the CH-CH group of donors); GO:0050660 (flavin adenine dinucleotide binding); GO:0055114 (oxidation-reduction process)</t>
  </si>
  <si>
    <t xml:space="preserve">TropoNin T </t>
  </si>
  <si>
    <t>GO:0005861 (troponin complex); GO:0006936 (muscle contraction); GO:0006937 (regulation of muscle contraction); GO:0045214 (sarcomere organization); GO:0005523 (tropomyosin binding)</t>
  </si>
  <si>
    <t xml:space="preserve">Regulator of microtubule dynamics protein 1 </t>
  </si>
  <si>
    <t>GO:0005737 (cytoplasm); GO:0005739 (mitochondrion); GO:0005856 (cytoskeleton); GO:0005874 (microtubule); GO:0007049 (cell cycle); GO:0051301 (cell division); GO:0008017 (microtubule binding); GO:0005876 (spindle microtubule); GO:0000922 (spindle pole); GO:0007059 (chromosome segregation); GO:0007052 (mitotic spindle organization); GO:0097431 (mitotic spindle pole); GO:0005515 (protein binding); GO:0019900 (kinase binding); GO:0051315 (attachment of mitotic spindle microtubules to kinetochore)</t>
  </si>
  <si>
    <t>GO:0003723 (RNA binding); GO:0003676 (nucleic acid binding); GO:0005737 (cytoplasm); GO:0001708 (cell fate specification); GO:0043186 (P granule); GO:0003727 (single-stranded RNA binding); GO:0017148 (negative regulation of translation); GO:0009880 (embryonic pattern specification); GO:0048308 (organelle inheritance); GO:0051148 (negative regulation of muscle cell differentiation); GO:0005515 (protein binding); GO:0010628 (positive regulation of gene expression); GO:0010468 (regulation of gene expression)</t>
  </si>
  <si>
    <t xml:space="preserve">Transcription factor zip-10 </t>
  </si>
  <si>
    <t>GO:0005634 (nucleus); GO:0003677 (DNA binding); GO:0010468 (regulation of gene expression); GO:0045087 (innate immune response); GO:0001046 (core promoter sequence-specific DNA binding)</t>
  </si>
  <si>
    <t xml:space="preserve">Ethanolamine-phosphate phospho-lyase homolog 1 </t>
  </si>
  <si>
    <t>GO:0008483 (transaminase activity); GO:0030170 (pyridoxal phosphate binding); GO:0003824 (catalytic activity)</t>
  </si>
  <si>
    <t xml:space="preserve">SULfatase domain protein </t>
  </si>
  <si>
    <t>GO:0008484 (sulfuric ester hydrolase activity); GO:0003824 (catalytic activity)</t>
  </si>
  <si>
    <t xml:space="preserve">CaeNaCin (Caenorhabditis bacteriocin) </t>
  </si>
  <si>
    <t xml:space="preserve">Female germline-specific tumor suppressor gld-1 </t>
  </si>
  <si>
    <t>GO:0006417 (regulation of translation); GO:0003727 (single-stranded RNA binding); GO:0003676 (nucleic acid binding); GO:0003723 (RNA binding)</t>
  </si>
  <si>
    <t xml:space="preserve">Aminoacylase </t>
  </si>
  <si>
    <t>GO:0016787 (hydrolase activity); GO:0005737 (cytoplasm); GO:0006520 (cellular amino acid metabolic process); GO:0004046 (aminoacylase activity)</t>
  </si>
  <si>
    <t xml:space="preserve">Rho GTPase Activating protein </t>
  </si>
  <si>
    <t>GO:0007165 (signal transduction); GO:0043547 (positive regulation of GTPase activity); GO:0005938 (cell cortex); GO:0030866 (cortical actin cytoskeleton organization); GO:0005813 (centrosome); GO:0005096 (GTPase activator activity); GO:0045167 (asymmetric protein localization involved in cell fate determination); GO:0032970 (regulation of actin filament-based process)</t>
  </si>
  <si>
    <t xml:space="preserve">Kinesin 1 cargo adaptor alternative variant a; Kinesin Cargo Adaptor </t>
  </si>
  <si>
    <t>GO:0005515 (protein binding); GO:0009792 (embryo development ending in birth or egg hatching); GO:0019894 (kinesin binding); GO:0040038 (polar body extrusion after meiotic divisions); GO:0051295 (establishment of meiotic spindle localization); GO:0016938 (kinesin I complex)</t>
  </si>
  <si>
    <t>GO:0003824 (catalytic activity); GO:0016491 (oxidoreductase activity); GO:0010181 (FMN binding); GO:0055114 (oxidation-reduction process)</t>
  </si>
  <si>
    <t>GO:0005737 (cytoplasm); GO:0031047 (gene silencing by RNA); GO:0048471 (perinuclear region of cytoplasm); GO:0043186 (P granule)</t>
  </si>
  <si>
    <t xml:space="preserve">Meiotic recombination protein rec-8 </t>
  </si>
  <si>
    <t>GO:0005634 (nucleus); GO:0005737 (cytoplasm); GO:0003682 (chromatin binding); GO:0005856 (cytoskeleton); GO:0007062 (sister chromatid cohesion); GO:0008278 (cohesin complex); GO:0006281 (DNA repair); GO:0006974 (cellular response to DNA damage stimulus); GO:0005694 (chromosome); GO:0000795 (synaptonemal complex); GO:0051321 (meiotic cell cycle); GO:0030997 (regulation of centriole-centriole cohesion); GO:0007064 (mitotic sister chromatid cohesion); GO:0000922 (spindle pole); GO:1990414 (replication-born double-strand break repair via sister chromatid exchange); GO:0005876 (spindle microtubule); GO:0090619 (meiotic spindle pole); GO:0000785 (chromatin); GO:0000794 (condensed nuclear chromosome); GO:0005654 (nucleoplasm); GO:0007130 (synaptonemal complex assembly); GO:0051177 (meiotic sister chromatid cohesion); GO:0003684 (damaged DNA binding); GO:0006302 (double-strand break repair); GO:0007131 (reciprocal meiotic recombination); GO:0016344 (meiotic chromosome movement towards spindle pole); GO:0005515 (protein binding); GO:0034990 (nuclear mitotic cohesin complex); GO:0034991 (nuclear meiotic cohesin complex)</t>
  </si>
  <si>
    <t>GO:0045087 (innate immune response)</t>
  </si>
  <si>
    <t>GO:0005634 (nucleus); GO:0005737 (cytoplasm); GO:0003723 (RNA binding); GO:0003730 (mRNA 3'-UTR binding); GO:0003729 (mRNA binding); GO:0007283 (spermatogenesis); GO:0006417 (regulation of translation); GO:0043186 (P granule); GO:0034399 (nuclear periphery); GO:0007140 (male meiotic nuclear division); GO:0043409 (negative regulation of MAPK cascade); GO:0010608 (posttranscriptional regulation of gene expression)</t>
  </si>
  <si>
    <t xml:space="preserve">Zinc metalloproteinase nas-37 </t>
  </si>
  <si>
    <t>GO:0018996 (molting cycle, collagen and cuticulin-based cuticle); GO:0004222 (metalloendopeptidase activity); GO:0008237 (metallopeptidase activity); GO:0006508 (proteolysis); GO:0008270 (zinc ion binding)</t>
  </si>
  <si>
    <t xml:space="preserve">A disintegrin and metalloproteinase with thrombospondin motifs adt-2 </t>
  </si>
  <si>
    <t>GO:0004222 (metalloendopeptidase activity); GO:0008237 (metallopeptidase activity); GO:0006508 (proteolysis); GO:0007229 (integrin-mediated signaling pathway); GO:0008340 (determination of adult lifespan); GO:0040018 (positive regulation of multicellular organism growth); GO:0008361 (regulation of cell size); GO:0030199 (collagen fibril organization); GO:0016787 (hydrolase activity); GO:0046872 (metal ion binding); GO:0008233 (peptidase activity)</t>
  </si>
  <si>
    <t xml:space="preserve">GoNadotropin-Releasing hormone Receptor (GnRHR) related </t>
  </si>
  <si>
    <t>GO:0016020 (membrane); GO:0016021 (integral component of membrane); GO:0004930 (G protein-coupled receptor activity); GO:0007165 (signal transduction); GO:0007186 (G protein-coupled receptor signaling pathway)</t>
  </si>
  <si>
    <t xml:space="preserve">Glutathione S-Transferase </t>
  </si>
  <si>
    <t>GO:0016740 (transferase activity); GO:0006749 (glutathione metabolic process); GO:0004364 (glutathione transferase activity); GO:0005737 (cytoplasm); GO:0008340 (determination of adult lifespan); GO:0005515 (protein binding)</t>
  </si>
  <si>
    <t>GO:0038023 (signaling receptor activity); GO:0030246 (carbohydrate binding)</t>
  </si>
  <si>
    <t xml:space="preserve">Innexin </t>
  </si>
  <si>
    <t>GO:0016020 (membrane); GO:0016021 (integral component of membrane); GO:0055085 (transmembrane transport); GO:0005886 (plasma membrane); GO:0006811 (ion transport); GO:0030054 (cell junction); GO:0005921 (gap junction); GO:0005243 (gap junction channel activity); GO:1900194 (negative regulation of oocyte maturation)</t>
  </si>
  <si>
    <t xml:space="preserve">Zinc transporter zipt-7.1 </t>
  </si>
  <si>
    <t>GO:0016020 (membrane); GO:0016021 (integral component of membrane); GO:0006811 (ion transport); GO:0055085 (transmembrane transport); GO:0005515 (protein binding); GO:0005385 (zinc ion transmembrane transporter activity); GO:0071577 (zinc ion transmembrane transport); GO:0046662 (regulation of oviposition); GO:0030001 (metal ion transport); GO:0046873 (metal ion transmembrane transporter activity); GO:1905516 (positive regulation of fertilization); GO:0030154 (cell differentiation); GO:0007283 (spermatogenesis); GO:0090727 (positive regulation of brood size); GO:0048515 (spermatid differentiation); GO:0006882 (cellular zinc ion homeostasis); GO:0006829 (zinc ion transport)</t>
  </si>
  <si>
    <t xml:space="preserve">Probable arginine kinase ZC434.8 </t>
  </si>
  <si>
    <t>GO:0003824 (catalytic activity); GO:0016301 (kinase activity); GO:0016310 (phosphorylation); GO:0000166 (nucleotide binding); GO:0016740 (transferase activity); GO:0005524 (ATP binding); GO:0016772 (transferase activity, transferring phosphorus-containing groups); GO:0004054 (arginine kinase activity); GO:0004111 (creatine kinase activity); GO:0046314 (phosphocreatine biosynthetic process)</t>
  </si>
  <si>
    <t>GO:0016787 (hydrolase activity); GO:0006629 (lipid metabolic process); GO:0016042 (lipid catabolic process); GO:0016788 (hydrolase activity, acting on ester bonds); GO:0005764 (lysosome); GO:0043202 (lysosomal lumen); GO:0004806 (triglyceride lipase activity); GO:0005737 (cytoplasm); GO:0010508 (positive regulation of autophagy); GO:0008340 (determination of adult lifespan); GO:0016239 (positive regulation of macroautophagy); GO:0019433 (triglyceride catabolic process); GO:0042759 (long-chain fatty acid biosynthetic process)</t>
  </si>
  <si>
    <t>GO:0005737 (cytoplasm); GO:0048471 (perinuclear region of cytoplasm); GO:1990633 (mutator focus)</t>
  </si>
  <si>
    <t xml:space="preserve">M-phase inducer phosphatase cdc-25.1 </t>
  </si>
  <si>
    <t>GO:1902751 (positive regulation of cell cycle G2/M phase transition); GO:0006470 (protein dephosphorylation); GO:0004725 (protein tyrosine phosphatase activity)</t>
  </si>
  <si>
    <t xml:space="preserve">Glyceraldehyde-3-phosphate dehydrogenase 4 </t>
  </si>
  <si>
    <t>GO:0006006 (glucose metabolic process); GO:0050661 (NADP binding); GO:0051287 (NAD binding); GO:0016620 (oxidoreductase activity, acting on the aldehyde or oxo group of donors, NAD or NADP as acceptor); GO:0055114 (oxidation-reduction process)</t>
  </si>
  <si>
    <t>GO:0050829 (defense response to Gram-negative bacterium)</t>
  </si>
  <si>
    <t xml:space="preserve">Myosin-2 </t>
  </si>
  <si>
    <t xml:space="preserve">Putative galactocerebrosidase </t>
  </si>
  <si>
    <t>GO:0005764 (lysosome); GO:0003824 (catalytic activity); GO:0008152 (metabolic process); GO:0016787 (hydrolase activity); GO:0016798 (hydrolase activity, acting on glycosyl bonds); GO:0006629 (lipid metabolic process); GO:0016042 (lipid catabolic process); GO:0006665 (sphingolipid metabolic process); GO:0004336 (galactosylceramidase activity); GO:0006683 (galactosylceramide catabolic process)</t>
  </si>
  <si>
    <t>GO:0005829 (cytosol); GO:0006749 (glutathione metabolic process); GO:0004364 (glutathione transferase activity); GO:0005515 (protein binding)</t>
  </si>
  <si>
    <t>GO:0004497 (monooxygenase activity); GO:0020037 (heme binding); GO:0005506 (iron ion binding); GO:0016705 (oxidoreductase activity, acting on paired donors, with incorporation or reduction of molecular oxygen); GO:0055114 (oxidation-reduction process)</t>
  </si>
  <si>
    <t xml:space="preserve">Anillin-like protein 2 </t>
  </si>
  <si>
    <t xml:space="preserve">Paired Zinc Finger protein </t>
  </si>
  <si>
    <t>GO:0005634 (nucleus); GO:0043565 (sequence-specific DNA binding); GO:0000981 (DNA-binding transcription factor activity, RNA polymerase II-specific); GO:0006357 (regulation of transcription by RNA polymerase II); GO:0045132 (meiotic chromosome segregation); GO:0051446 (positive regulation of meiotic cell cycle)</t>
  </si>
  <si>
    <t xml:space="preserve">Receptor expression-enhancing protein </t>
  </si>
  <si>
    <t xml:space="preserve">NanOS related </t>
  </si>
  <si>
    <t>GO:0003723 (RNA binding); GO:0008270 (zinc ion binding); GO:0003729 (mRNA binding); GO:0017148 (negative regulation of translation); GO:0006417 (regulation of translation); GO:0048471 (perinuclear region of cytoplasm); GO:0005737 (cytoplasm); GO:0007281 (germ cell development); GO:0048477 (oogenesis); GO:0051726 (regulation of cell cycle)</t>
  </si>
  <si>
    <t>GO:0016740 (transferase activity); GO:0005829 (cytosol); GO:0006749 (glutathione metabolic process); GO:0004364 (glutathione transferase activity); GO:0005515 (protein binding)</t>
  </si>
  <si>
    <t>GO:0046872 (metal ion binding); GO:0008270 (zinc ion binding); GO:0008340 (determination of adult lifespan); GO:0050830 (defense response to Gram-positive bacterium)</t>
  </si>
  <si>
    <t xml:space="preserve">Probable V-type proton ATPase subunit H 1 </t>
  </si>
  <si>
    <t>GO:0006811 (ion transport); GO:1902600 (proton transmembrane transport); GO:0000221 (vacuolar proton-transporting V-type ATPase, V1 domain); GO:0046961 (proton-transporting ATPase activity, rotational mechanism)</t>
  </si>
  <si>
    <t>GO:0005634 (nucleus); GO:0006879 (cellular iron ion homeostasis); GO:0005829 (cytosol); GO:0015035 (protein disulfide oxidoreductase activity); GO:0045087 (innate immune response)</t>
  </si>
  <si>
    <t xml:space="preserve">NCAM (Neural cell adhesion molecule) homolog </t>
  </si>
  <si>
    <t>GO:0016020 (membrane); GO:0016021 (integral component of membrane); GO:0005886 (plasma membrane); GO:0007155 (cell adhesion); GO:0007156 (homophilic cell adhesion via plasma membrane adhesion molecules); GO:0007411 (axon guidance); GO:0030424 (axon); GO:0070593 (dendrite self-avoidance); GO:0098632 (cell-cell adhesion mediator activity); GO:0005515 (protein binding)</t>
  </si>
  <si>
    <t xml:space="preserve">ATP-dependent RNA helicase glh-4 </t>
  </si>
  <si>
    <t>GO:0016020 (membrane); GO:0016021 (integral component of membrane); GO:0098655 (cation transmembrane transport); GO:0055085 (transmembrane transport); GO:0006812 (cation transport); GO:0008324 (cation transmembrane transporter activity); GO:0006829 (zinc ion transport)</t>
  </si>
  <si>
    <t xml:space="preserve">Glyceraldehyde-3-phosphate dehydrogenase 1 </t>
  </si>
  <si>
    <t xml:space="preserve">Piwi-like protein </t>
  </si>
  <si>
    <t>GO:0005737 (cytoplasm); GO:0003676 (nucleic acid binding); GO:0003723 (RNA binding); GO:0031047 (gene silencing by RNA); GO:0048471 (perinuclear region of cytoplasm); GO:0031048 (heterochromatin assembly by small RNA); GO:0060966 (regulation of gene silencing by RNA); GO:0005515 (protein binding)</t>
  </si>
  <si>
    <t xml:space="preserve">F-box C protein </t>
  </si>
  <si>
    <t xml:space="preserve">CALmodulin related genes </t>
  </si>
  <si>
    <t>GO:0005509 (calcium ion binding); GO:0050790 (regulation of catalytic activity); GO:0030234 (enzyme regulator activity)</t>
  </si>
  <si>
    <t xml:space="preserve">PLugged Excretory Pore </t>
  </si>
  <si>
    <t>GO:0006952 (defense response)</t>
  </si>
  <si>
    <t xml:space="preserve">Synaptonemal complex protein 4 </t>
  </si>
  <si>
    <t>GO:0005694 (chromosome); GO:0051321 (meiotic cell cycle); GO:0005515 (protein binding); GO:0000794 (condensed nuclear chromosome); GO:0000801 (central element)</t>
  </si>
  <si>
    <t>GO:0005737 (cytoplasm)</t>
  </si>
  <si>
    <t xml:space="preserve">HMG; High mobility group protein I beta </t>
  </si>
  <si>
    <t>GO:0005634 (nucleus); GO:0003677 (DNA binding); GO:0010628 (positive regulation of gene expression); GO:0006355 (regulation of transcription, DNA-templated); GO:0003712 (transcription coregulator activity); GO:0000979 (RNA polymerase II core promoter sequence-specific DNA binding)</t>
  </si>
  <si>
    <t xml:space="preserve">Cuticle collagen 10 </t>
  </si>
  <si>
    <t xml:space="preserve">Amine N-MethylTransferase </t>
  </si>
  <si>
    <t>GO:0008168 (methyltransferase activity); GO:0032259 (methylation); GO:0016740 (transferase activity); GO:0005829 (cytosol); GO:0008170 (N-methyltransferase activity)</t>
  </si>
  <si>
    <t xml:space="preserve">Transmembrane matrix receptor MUP-4 </t>
  </si>
  <si>
    <t>GO:0005509 (calcium ion binding)</t>
  </si>
  <si>
    <t xml:space="preserve">Zinc finger In Meiosis </t>
  </si>
  <si>
    <t>GO:0000794 (condensed nuclear chromosome); GO:0045132 (meiotic chromosome segregation)</t>
  </si>
  <si>
    <t xml:space="preserve">Cytokinesis defective protein 7 </t>
  </si>
  <si>
    <t xml:space="preserve">Wnt homolog </t>
  </si>
  <si>
    <t>GO:0005576 (extracellular region); GO:0005615 (extracellular space); GO:0007275 (multicellular organism development); GO:0016055 (Wnt signaling pathway); GO:0060070 (canonical Wnt signaling pathway); GO:0000132 (establishment of mitotic spindle orientation); GO:0001764 (neuron migration); GO:0070986 (left/right axis specification); GO:0097402 (neuroblast migration); GO:0097475 (motor neuron migration); GO:1903356 (positive regulation of distal tip cell migration); GO:1904936 (interneuron migration); GO:1904937 (sensory neuron migration); GO:1905485 (positive regulation of motor neuron migration); GO:1905488 (positive regulation of anterior/posterior axon guidance); GO:1905491 (positive regulation of sensory neuron axon guidance); GO:0030182 (neuron differentiation); GO:0005125 (cytokine activity); GO:0005102 (signaling receptor binding); GO:0005109 (frizzled binding); GO:0045165 (cell fate commitment); GO:1905484 (negative regulation of motor neuron migration); GO:0016477 (cell migration); GO:0030334 (regulation of cell migration); GO:0030971 (receptor tyrosine kinase binding); GO:0040028 (regulation of vulval development); GO:0008356 (asymmetric cell division); GO:0048018 (receptor ligand activity)</t>
  </si>
  <si>
    <t xml:space="preserve">Intermediate filament protein ifa-1 </t>
  </si>
  <si>
    <t>GO:0016020 (membrane); GO:0016021 (integral component of membrane); 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GO:0055114 (oxidation-reduction process)</t>
  </si>
  <si>
    <t xml:space="preserve">Spermatocyte protein spe-26 </t>
  </si>
  <si>
    <t>GO:0005737 (cytoplasm); GO:0005856 (cytoskeleton); GO:0003779 (actin binding); GO:0005515 (protein binding)</t>
  </si>
  <si>
    <t xml:space="preserve">Uncharacterized oxidoreductase dhs-5 </t>
  </si>
  <si>
    <t>GO:0055114 (oxidation-reduction process)</t>
  </si>
  <si>
    <t xml:space="preserve">Glucosamine phosphate N-Acetyl transferase; Phosphoglucosamine acetyltransferase </t>
  </si>
  <si>
    <t>GO:0016740 (transferase activity); GO:0016746 (transferase activity, transferring acyl groups); GO:0005794 (Golgi apparatus); GO:0005783 (endoplasmic reticulum); GO:0008080 (N-acetyltransferase activity); GO:0004343 (glucosamine 6-phosphate N-acetyltransferase activity); GO:0006048 (UDP-N-acetylglucosamine biosynthetic process); GO:0005793 (endoplasmic reticulum-Golgi intermediate compartment); GO:0006031 (chitin biosynthetic process); GO:0030703 (eggshell formation); GO:0048029 (monosaccharide binding); GO:0005770 (late endosome)</t>
  </si>
  <si>
    <t xml:space="preserve">Acetyl-coenzyme A synthetase </t>
  </si>
  <si>
    <t>GO:0000166 (nucleotide binding); GO:0016874 (ligase activity); GO:0005524 (ATP binding); GO:0032436 (positive regulation of proteasomal ubiquitin-dependent protein catabolic process); GO:1902882 (regulation of response to oxidative stress); GO:0003987 (acetate-CoA ligase activity); GO:0016208 (AMP binding); GO:0019427 (acetyl-CoA biosynthetic process from acetate)</t>
  </si>
  <si>
    <t xml:space="preserve">SprT-like domain-containing protein Spartan </t>
  </si>
  <si>
    <t>GO:0005634 (nucleus); GO:0016787 (hydrolase activity); GO:0003677 (DNA binding); GO:0046872 (metal ion binding); GO:0004222 (metalloendopeptidase activity); GO:0006508 (proteolysis); GO:0008233 (peptidase activity); GO:0008237 (metallopeptidase activity); GO:0006281 (DNA repair); GO:0006974 (cellular response to DNA damage stimulus); GO:0005694 (chromosome); GO:0031593 (polyubiquitin modification-dependent protein binding); GO:0003697 (single-stranded DNA binding)</t>
  </si>
  <si>
    <t>GO:0007219 (Notch signaling pathway); GO:0030154 (cell differentiation); GO:0007275 (multicellular organism development); GO:0005509 (calcium ion binding); GO:0016021 (integral component of membrane); GO:0005515 (protein binding)</t>
  </si>
  <si>
    <t>FMRFamide-like neuropeptides 13 SDRPTRAMDSPLIRF-amide AMDSPLIRF-amide AADGAPLIRF-amide 1 APEASPFIRF-amide 1 AADGAPLIRF-amide 2 APEASPFIRF-amide 2 ASPSAPLIRF-amide SPSAVPLIRF-amide SAAAPLIRF-amide ASSAPLIRF-amide</t>
  </si>
  <si>
    <t xml:space="preserve">Tyrosine decarboxylase </t>
  </si>
  <si>
    <t>GO:0005737 (cytoplasm); GO:0003824 (catalytic activity); GO:0016829 (lyase activity); GO:0030170 (pyridoxal phosphate binding); GO:0042995 (cell projection); GO:0019752 (carboxylic acid metabolic process); GO:0016831 (carboxy-lyase activity); GO:0006520 (cellular amino acid metabolic process); GO:0030424 (axon); GO:0043204 (perikaryon); GO:0004837 (tyrosine decarboxylase activity); GO:0043025 (neuronal cell body); GO:0006589 (octopamine biosynthetic process)</t>
  </si>
  <si>
    <t xml:space="preserve">WD repeat-containing protein wdr-5.3 </t>
  </si>
  <si>
    <t>GO:0044666 (MLL3/4 complex); GO:0005515 (protein binding)</t>
  </si>
  <si>
    <t xml:space="preserve">C. Elegans Homeobox </t>
  </si>
  <si>
    <t>GO:0003677 (DNA binding)</t>
  </si>
  <si>
    <t xml:space="preserve">Troponin I 4 </t>
  </si>
  <si>
    <t>GO:0003779 (actin binding); GO:0005861 (troponin complex); GO:0006936 (muscle contraction); GO:0009792 (embryo development ending in birth or egg hatching); GO:0030017 (sarcomere); GO:0043050 (pharyngeal pumping); GO:0030172 (troponin C binding)</t>
  </si>
  <si>
    <t xml:space="preserve">GRound-Like (Grd related) </t>
  </si>
  <si>
    <t xml:space="preserve">Pharynx and intestine in excess protein 1 </t>
  </si>
  <si>
    <t xml:space="preserve">Putative glucosylceramidase 4 </t>
  </si>
  <si>
    <t>GO:0006665 (sphingolipid metabolic process); GO:0004348 (glucosylceramidase activity)</t>
  </si>
  <si>
    <t xml:space="preserve">TRYpsin-like protease </t>
  </si>
  <si>
    <t>GO:0016787 (hydrolase activity); GO:0006508 (proteolysis); GO:0008233 (peptidase activity); GO:0004252 (serine-type endopeptidase activity); GO:0008236 (serine-type peptidase activity)</t>
  </si>
  <si>
    <t xml:space="preserve">Lysozyme-like protein 1 </t>
  </si>
  <si>
    <t xml:space="preserve">High Incidence of Males (Increased X chromosome loss); Meiotic chromosome core protein </t>
  </si>
  <si>
    <t>GO:0005694 (chromosome); GO:0030997 (regulation of centriole-centriole cohesion); GO:0000794 (condensed nuclear chromosome); GO:0003677 (DNA binding); GO:0007062 (sister chromatid cohesion); GO:0007130 (synaptonemal complex assembly); GO:0045143 (homologous chromosome segregation); GO:0000800 (lateral element)</t>
  </si>
  <si>
    <t xml:space="preserve">DNA topoisomerase-like protein cin-4 </t>
  </si>
  <si>
    <t>GO:0006259 (DNA metabolic process); GO:0003918 (DNA topoisomerase type II (double strand cut, ATP-hydrolyzing) activity); GO:0006265 (DNA topological change); GO:0005524 (ATP binding); GO:0003677 (DNA binding)</t>
  </si>
  <si>
    <t xml:space="preserve">bZIP transcription factor 8 </t>
  </si>
  <si>
    <t>GO:0003700 (DNA-binding transcription factor activity); GO:0006355 (regulation of transcription, DNA-templated)</t>
  </si>
  <si>
    <t xml:space="preserve">Cytoplasmic polyadenylation element-binding protein 3 </t>
  </si>
  <si>
    <t>GO:0045182 (translation regulator activity); GO:0003730 (mRNA 3'-UTR binding); GO:0006417 (regulation of translation); GO:0003676 (nucleic acid binding)</t>
  </si>
  <si>
    <t xml:space="preserve">Him-Three Paralog </t>
  </si>
  <si>
    <t>GO:0000785 (chromatin); GO:0000793 (condensed chromosome); GO:0000800 (lateral element); GO:0007129 (homologous chromosome pairing at meiosis); GO:0042138 (meiotic DNA double-strand break formation)</t>
  </si>
  <si>
    <t xml:space="preserve">Sterol 4-C-methyltransferase strm-1 </t>
  </si>
  <si>
    <t>GO:0008168 (methyltransferase activity); GO:0032259 (methylation); GO:0016740 (transferase activity); GO:0005783 (endoplasmic reticulum); GO:0006629 (lipid metabolic process); GO:0016126 (sterol biosynthetic process); GO:0008202 (steroid metabolic process); GO:0008203 (cholesterol metabolic process); GO:0003838 (sterol 24-C-methyltransferase activity); GO:0061065 (regulation of dauer larval development); GO:0008757 (S-adenosylmethionine-dependent methyltransferase activity); GO:0043414 (macromolecule methylation)</t>
  </si>
  <si>
    <t>GO:0016020 (membrane); GO:0016021 (integral component of membrane); GO:0005886 (plasma membrane)</t>
  </si>
  <si>
    <t xml:space="preserve">Probable urocanate hydratase </t>
  </si>
  <si>
    <t>GO:0016829 (lyase activity); GO:0006547 (histidine metabolic process); GO:0006548 (histidine catabolic process); GO:0019556 (histidine catabolic process to glutamate and formamide); GO:0019557 (histidine catabolic process to glutamate and formate); GO:0016153 (urocanate hydratase activity)</t>
  </si>
  <si>
    <t xml:space="preserve">Nuclear Pore complex Protein </t>
  </si>
  <si>
    <t>GO:0005737 (cytoplasm); GO:0046872 (metal ion binding); GO:0005096 (GTPase activator activity); GO:0043547 (positive regulation of GTPase activity); GO:0005643 (nuclear pore); GO:0046907 (intracellular transport); GO:0005515 (protein binding); GO:0009792 (embryo development ending in birth or egg hatching); GO:0006997 (nucleus organization)</t>
  </si>
  <si>
    <t xml:space="preserve">ARRestin Domain protein </t>
  </si>
  <si>
    <t>GO:0005737 (cytoplasm); GO:0015031 (protein transport)</t>
  </si>
  <si>
    <t xml:space="preserve">AQuaPorin or aquaglyceroporin related </t>
  </si>
  <si>
    <t>GO:0016020 (membrane); GO:0016021 (integral component of membrane); GO:0055085 (transmembrane transport); GO:0015267 (channel activity); GO:0045087 (innate immune response); GO:0050829 (defense response to Gram-negative bacterium); GO:0016323 (basolateral plasma membrane); GO:0015793 (glycerol transport)</t>
  </si>
  <si>
    <t xml:space="preserve">Equilibrative Nucleoside Transporter </t>
  </si>
  <si>
    <t>GO:0016020 (membrane); GO:0016021 (integral component of membrane); GO:0005886 (plasma membrane); GO:0005337 (nucleoside transmembrane transporter activity); GO:1901642 (nucleoside transmembrane transport)</t>
  </si>
  <si>
    <t xml:space="preserve">Carboxylic ester hydrolase </t>
  </si>
  <si>
    <t>GO:0016787 (hydrolase activity); GO:0005615 (extracellular space); GO:0052689 (carboxylic ester hydrolase activity); GO:0005575 (cellular_component); GO:0008150 (biological_process)</t>
  </si>
  <si>
    <t>GO:0016491 (oxidoreductase activity); GO:0016616 (oxidoreductase activity, acting on the CH-OH group of donors, NAD or NADP as acceptor); GO:0003854 (3-beta-hydroxy-delta5-steroid dehydrogenase activity); GO:0006694 (steroid biosynthetic process); GO:0055114 (oxidation-reduction process)</t>
  </si>
  <si>
    <t>GO:0005737 (cytoplasm); GO:0008080 (N-acetyltransferase activity)</t>
  </si>
  <si>
    <t xml:space="preserve">Zinc finger-interacting factor 1 </t>
  </si>
  <si>
    <t>GO:0016567 (protein ubiquitination); GO:0007275 (multicellular organism development); GO:0005515 (protein binding); GO:0009792 (embryo development ending in birth or egg hatching); GO:0006511 (ubiquitin-dependent protein catabolic process)</t>
  </si>
  <si>
    <t xml:space="preserve">Feminization Of Germline </t>
  </si>
  <si>
    <t>GO:0005634 (nucleus); GO:0005737 (cytoplasm); GO:0043005 (neuron projection); GO:0003676 (nucleic acid binding); GO:0003723 (RNA binding); GO:0045202 (synapse); GO:0000900 (translation repressor activity, mRNA regulatory element binding); GO:0003730 (mRNA 3'-UTR binding); GO:0006412 (translation); GO:0006417 (regulation of translation); GO:0008135 (translation factor activity, RNA binding); GO:0043022 (ribosome binding); GO:0045182 (translation regulator activity); GO:1990124 (messenger ribonucleoprotein complex); GO:2000766 (negative regulation of cytoplasmic translation); GO:0007283 (spermatogenesis); GO:0018992 (germ-line sex determination); GO:0001708 (cell fate specification); GO:0034399 (nuclear periphery)</t>
  </si>
  <si>
    <t xml:space="preserve">MSH (MutS Homolog) family </t>
  </si>
  <si>
    <t>GO:0005524 (ATP binding); GO:0000166 (nucleotide binding); GO:0003677 (DNA binding); GO:0006298 (mismatch repair); GO:0030983 (mismatched DNA binding); GO:0006281 (DNA repair); GO:0006974 (cellular response to DNA damage stimulus); GO:0032300 (mismatch repair complex); GO:0008094 (DNA-dependent ATPase activity); GO:0045910 (negative regulation of DNA recombination); GO:0000400 (four-way junction DNA binding); GO:0036297 (interstrand cross-link repair); GO:0008630 (intrinsic apoptotic signaling pathway in response to DNA damage); GO:0032357 (oxidized purine DNA binding); GO:0032143 (single thymine insertion binding); GO:0000710 (meiotic mismatch repair); GO:0006290 (pyrimidine dimer repair); GO:0032301 (MutSalpha complex); GO:0043570 (maintenance of DNA repeat elements); GO:0032405 (MutLalpha complex binding)</t>
  </si>
  <si>
    <t>GO:0016787 (hydrolase activity); GO:0004445 (inositol-polyphosphate 5-phosphatase activity); GO:0046855 (inositol phosphate dephosphorylation); GO:0048016 (inositol phosphate-mediated signaling)</t>
  </si>
  <si>
    <t>GO:0016020 (membrane); GO:0016021 (integral component of membrane); GO:0045087 (innate immune response)</t>
  </si>
  <si>
    <t xml:space="preserve">Heat shock protein Hsp-12.2 </t>
  </si>
  <si>
    <t>GO:0035091 (phosphatidylinositol binding); GO:0005769 (early endosome)</t>
  </si>
  <si>
    <t xml:space="preserve">ShK domain and PerOxidase domain containing protein </t>
  </si>
  <si>
    <t>GO:0020037 (heme binding); GO:0098869 (cellular oxidant detoxification); GO:0004601 (peroxidase activity); GO:0006979 (response to oxidative stress); GO:0055114 (oxidation-reduction process)</t>
  </si>
  <si>
    <t xml:space="preserve">Ferritin </t>
  </si>
  <si>
    <t>GO:0005737 (cytoplasm); GO:0046872 (metal ion binding); GO:0016491 (oxidoreductase activity); GO:0005515 (protein binding); GO:0008198 (ferrous iron binding); GO:0004322 (ferroxidase activity); GO:0042802 (identical protein binding); GO:0008199 (ferric iron binding); GO:0006826 (iron ion transport); GO:0006879 (cellular iron ion homeostasis); GO:0006880 (intracellular sequestering of iron ion)</t>
  </si>
  <si>
    <t xml:space="preserve">FMRF-Like Peptide </t>
  </si>
  <si>
    <t>GO:0005576 (extracellular region); GO:0007218 (neuropeptide signaling pathway); GO:0043005 (neuron projection); GO:0043025 (neuronal cell body); GO:1901045 (negative regulation of oviposition)</t>
  </si>
  <si>
    <t xml:space="preserve">PRogression Of Meiosis </t>
  </si>
  <si>
    <t>GO:0016020 (membrane); GO:0016021 (integral component of membrane); GO:0005886 (plasma membrane); GO:0030659 (cytoplasmic vesicle membrane); GO:0006897 (endocytosis); GO:0018996 (molting cycle, collagen and cuticulin-based cuticle); GO:0045138 (nematode male tail tip morphogenesis)</t>
  </si>
  <si>
    <t xml:space="preserve">Putative serine protease K12H4.7 </t>
  </si>
  <si>
    <t>GO:0016787 (hydrolase activity); GO:0006508 (proteolysis); GO:0008233 (peptidase activity); GO:0008236 (serine-type peptidase activity); GO:0008239 (dipeptidyl-peptidase activity); GO:0005575 (cellular_component); GO:0045087 (innate immune response)</t>
  </si>
  <si>
    <t xml:space="preserve">Double-strand break repair protein mre-11 </t>
  </si>
  <si>
    <t>GO:0030870 (Mre11 complex); GO:0006302 (double-strand break repair); GO:0004519 (endonuclease activity); GO:0008408 (3'-5' exonuclease activity); GO:0016787 (hydrolase activity); GO:0030145 (manganese ion binding); GO:0005634 (nucleus)</t>
  </si>
  <si>
    <t xml:space="preserve">Pyrazinamidase and NiCotinamidase </t>
  </si>
  <si>
    <t>GO:0008936 (nicotinamidase activity); GO:0006769 (nicotinamide metabolic process); GO:0005615 (extracellular space); GO:0005634 (nucleus); GO:0005737 (cytoplasm)</t>
  </si>
  <si>
    <t>FMRFamide-like neuropeptides 3 SPLGTMRF-amide TPLGTMRF-amide SAEPFGTMRF-amide NPENDTPFGTMRF-amide ASEDALFGTMRF-amide EAEEPLGTMRF-amide SADDSAPFGTMRF-amide NPLGTMRF-amide</t>
  </si>
  <si>
    <t>GO:0016020 (membrane); GO:0016021 (integral component of membrane); GO:0005886 (plasma membrane); GO:0006412 (translation); GO:0006751 (glutathione catabolic process); GO:0006508 (proteolysis); GO:0000048 (peptidyltransferase activity); GO:0036374 (glutathione hydrolase activity)</t>
  </si>
  <si>
    <t>GO:0003723 (RNA binding); GO:0005737 (cytoplasm); GO:0003676 (nucleic acid binding); GO:0010629 (negative regulation of gene expression); GO:0043066 (negative regulation of apoptotic process); GO:0048471 (perinuclear region of cytoplasm); GO:0060968 (regulation of gene silencing)</t>
  </si>
  <si>
    <t xml:space="preserve">Aminopeptidase-like protein AC3.5 </t>
  </si>
  <si>
    <t>GO:0016020 (membrane); GO:0016021 (integral component of membrane); GO:0005737 (cytoplasm); GO:0008270 (zinc ion binding); GO:0006508 (proteolysis); GO:0008237 (metallopeptidase activity); GO:0042277 (peptide binding); GO:0043171 (peptide catabolic process); GO:0070006 (metalloaminopeptidase activity); GO:0004177 (aminopeptidase activity)</t>
  </si>
  <si>
    <t xml:space="preserve">Bypass of Response to Pheromone in yeast </t>
  </si>
  <si>
    <t>GO:0016020 (membrane); GO:0016021 (integral component of membrane); GO:0005515 (protein binding)</t>
  </si>
  <si>
    <t xml:space="preserve">DihydroCaffeic Acid Receptor; L-3,4-dihydroxyphenylalanine receptor </t>
  </si>
  <si>
    <t>GO:0016020 (membrane); GO:0016021 (integral component of membrane); GO:0005887 (integral component of plasma membrane); GO:0007186 (G protein-coupled receptor signaling pathway); GO:0004930 (G protein-coupled receptor activity); GO:0097730 (non-motile cilium); GO:0050832 (defense response to fungus); GO:0016324 (apical plasma membrane); GO:0009611 (response to wounding)</t>
  </si>
  <si>
    <t xml:space="preserve">Histidine ammonia-lyase </t>
  </si>
  <si>
    <t>GO:0016841 (ammonia-lyase activity); GO:0006548 (histidine catabolic process); GO:0004397 (histidine ammonia-lyase activity); GO:0005737 (cytoplasm); GO:0003824 (catalytic activity)</t>
  </si>
  <si>
    <t xml:space="preserve">UPF0046 protein C25E10.12 </t>
  </si>
  <si>
    <t>GO:0016787 (hydrolase activity)</t>
  </si>
  <si>
    <t xml:space="preserve">PHAryngeal gland Toxin-related </t>
  </si>
  <si>
    <t>GO:1905905 (pharyngeal gland morphogenesis)</t>
  </si>
  <si>
    <t xml:space="preserve">Ras activating factor in development Of Germline </t>
  </si>
  <si>
    <t>GO:0016020 (membrane)</t>
  </si>
  <si>
    <t xml:space="preserve">ALdehyde deHydrogenase </t>
  </si>
  <si>
    <t>GO:0016491 (oxidoreductase activity); GO:0016620 (oxidoreductase activity, acting on the aldehyde or oxo group of donors, NAD or NADP as acceptor); GO:0004029 (aldehyde dehydrogenase (NAD+) activity); GO:0055114 (oxidation-reduction process)</t>
  </si>
  <si>
    <t xml:space="preserve">LIPaSe related </t>
  </si>
  <si>
    <t>GO:0016787 (hydrolase activity); GO:0016298 (lipase activity); GO:0016042 (lipid catabolic process)</t>
  </si>
  <si>
    <t xml:space="preserve">Prion-like-(Q/N-rich)-domain-bearing protein </t>
  </si>
  <si>
    <t xml:space="preserve">Zinc metalloproteinase nas-4 </t>
  </si>
  <si>
    <t>GO:0004222 (metalloendopeptidase activity); GO:0008237 (metallopeptidase activity); GO:0006508 (proteolysis); GO:0008270 (zinc ion binding); GO:0016787 (hydrolase activity); GO:0046872 (metal ion binding); GO:0008233 (peptidase activity)</t>
  </si>
  <si>
    <t xml:space="preserve">Bestrophin homolog 14 </t>
  </si>
  <si>
    <t xml:space="preserve">RNase H </t>
  </si>
  <si>
    <t>GO:0003676 (nucleic acid binding); GO:0004523 (RNA-DNA hybrid ribonuclease activity); GO:0043137 (DNA replication, removal of RNA primer); GO:0090502 (RNA phosphodiester bond hydrolysis, endonucleolytic)</t>
  </si>
  <si>
    <t>GO:0005737 (cytoplasm); GO:0046872 (metal ion binding); GO:0043231 (intracellular membrane-bounded organelle); GO:0016491 (oxidoreductase activity);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GO:0055114 (oxidation-reduction process)</t>
  </si>
  <si>
    <t>GO:0016020 (membrane); GO:0016021 (integral component of membrane); GO:0055085 (transmembrane transport); GO:0015267 (channel activity); GO:0009986 (cell surface)</t>
  </si>
  <si>
    <t>GO:0005730 (nucleolus); GO:0005654 (nucleoplasm)</t>
  </si>
  <si>
    <t xml:space="preserve">Low-density lipoprotein receptor-related protein </t>
  </si>
  <si>
    <t>GO:0005509 (calcium ion binding); GO:0005515 (protein binding)</t>
  </si>
  <si>
    <t xml:space="preserve">Membrane-associated tyrosine- and threonine-specific cdc2-inhibitory kinase wee-1.3 </t>
  </si>
  <si>
    <t>GO:0004672 (protein kinase activity); GO:0006468 (protein phosphorylation); GO:0005524 (ATP binding)</t>
  </si>
  <si>
    <t>GO:0003676 (nucleic acid binding); GO:0005515 (protein binding)</t>
  </si>
  <si>
    <t>GO:0016740 (transferase activity); GO:0006749 (glutathione metabolic process); GO:0004364 (glutathione transferase activity); GO:0045087 (innate immune response); GO:0005515 (protein binding)</t>
  </si>
  <si>
    <t>GO:0005524 (ATP binding); GO:0000166 (nucleotide binding); GO:0046872 (metal ion binding)</t>
  </si>
  <si>
    <t xml:space="preserve">Histone H3.3-like type 2 </t>
  </si>
  <si>
    <t>GO:0003779 (actin binding); GO:0045944 (positive regulation of transcription by RNA polymerase II); GO:0030017 (sarcomere); GO:0035025 (positive regulation of Rho protein signal transduction); GO:0051091 (positive regulation of DNA-binding transcription factor activity); GO:0005783 (endoplasmic reticulum)</t>
  </si>
  <si>
    <t xml:space="preserve">Delta(6)-fatty-acid desaturase fat-3 </t>
  </si>
  <si>
    <t>GO:0006629 (lipid metabolic process); GO:0016491 (oxidoreductase activity); GO:0016021 (integral component of membrane); GO:0016020 (membrane)</t>
  </si>
  <si>
    <t>GO:0097501 (stress response to metal ion)</t>
  </si>
  <si>
    <t xml:space="preserve">Kinesin Light Chain </t>
  </si>
  <si>
    <t>GO:0005737 (cytoplasm); GO:0005856 (cytoskeleton); GO:0005874 (microtubule); GO:0005515 (protein binding); GO:0005871 (kinesin complex); GO:0040038 (polar body extrusion after meiotic divisions); GO:0051295 (establishment of meiotic spindle localization)</t>
  </si>
  <si>
    <t>GO:0005515 (protein binding); GO:0043186 (P granule); GO:1903864 (P granule disassembly)</t>
  </si>
  <si>
    <t xml:space="preserve">Cytoplasmic polyadenylation element-binding protein 1 </t>
  </si>
  <si>
    <t>GO:0003723 (RNA binding); GO:0046872 (metal ion binding); GO:0005737 (cytoplasm); GO:0008270 (zinc ion binding); GO:0003729 (mRNA binding); GO:0017148 (negative regulation of translation); GO:0006417 (regulation of translation); GO:0048471 (perinuclear region of cytoplasm); GO:0007614 (short-term memory); GO:0072375 (medium-term memory); GO:0048477 (oogenesis)</t>
  </si>
  <si>
    <t>GO:0005524 (ATP binding); GO:0016787 (hydrolase activity); GO:0004386 (helicase activity); GO:0000166 (nucleotide binding); GO:0003723 (RNA binding); GO:0003676 (nucleic acid binding); GO:0003724 (RNA helicase activity)</t>
  </si>
  <si>
    <t xml:space="preserve">Probable N-acetylgalactosaminyltransferase 8 </t>
  </si>
  <si>
    <t xml:space="preserve">Putative cuticle collagen 90 </t>
  </si>
  <si>
    <t xml:space="preserve">Zinc finger putative Transcription Factor family </t>
  </si>
  <si>
    <t>GO:0005634 (nucleus); GO:0000977 (RNA polymerase II transcription regulatory region sequence-specific DNA binding); GO:0000981 (DNA-binding transcription factor activity, RNA polymerase II-specific); GO:0006357 (regulation of transcription by RNA polymerase II)</t>
  </si>
  <si>
    <t>GO:0046872 (metal ion binding); GO:0005515 (protein binding)</t>
  </si>
  <si>
    <t>GO:0005576 (extracellular region); GO:0007218 (neuropeptide signaling pathway); GO:0061096 (negative regulation of turning behavior involved in mating)</t>
  </si>
  <si>
    <t>GO:0005737 (cytoplasm); GO:0031047 (gene silencing by RNA); GO:0007283 (spermatogenesis); GO:0090727 (positive regulation of brood size); GO:0048471 (perinuclear region of cytoplasm); GO:0030422 (production of siRNA involved in RNA interference); GO:1905881 (positive regulation of oogenesis)</t>
  </si>
  <si>
    <t xml:space="preserve">Cell fusion protein aff-1 </t>
  </si>
  <si>
    <t xml:space="preserve">F-box A protein </t>
  </si>
  <si>
    <t xml:space="preserve">BTB (Broad/complex/Tramtrack/Bric a brac) domain protein </t>
  </si>
  <si>
    <t xml:space="preserve">Kinesin-like protein </t>
  </si>
  <si>
    <t>GO:0005634 (nucleus); GO:0005524 (ATP binding); GO:0000166 (nucleotide binding); GO:0003774 (motor activity); GO:0007018 (microtubule-based movement); GO:0008017 (microtubule binding); GO:0003777 (microtubule motor activity); GO:0005871 (kinesin complex); GO:0005874 (microtubule); GO:0005815 (microtubule organizing center); GO:0007059 (chromosome segregation); GO:0090307 (mitotic spindle assembly); GO:0072686 (mitotic spindle); GO:0008569 (ATP-dependent microtubule motor activity, minus-end-directed); GO:1990939 (ATP-dependent microtubule motor activity)</t>
  </si>
  <si>
    <t>GO:0005524 (ATP binding); GO:0003677 (DNA binding); GO:0005634 (nucleus); GO:0000166 (nucleotide binding); GO:0006298 (mismatch repair); GO:0030983 (mismatched DNA binding); GO:0006974 (cellular response to DNA damage stimulus); GO:0032300 (mismatch repair complex); GO:0008094 (DNA-dependent ATPase activity); GO:0045910 (negative regulation of DNA recombination); GO:0000400 (four-way junction DNA binding); GO:0006310 (DNA recombination); GO:0006301 (postreplication repair); GO:0032357 (oxidized purine DNA binding); GO:0000406 (double-strand/single-strand DNA junction binding); GO:0032137 (guanine/thymine mispair binding); GO:0032143 (single thymine insertion binding); GO:0032301 (MutSalpha complex); GO:0043570 (maintenance of DNA repeat elements); GO:0032405 (MutLalpha complex binding); GO:0032302 (MutSbeta complex); GO:0042771 (intrinsic apoptotic signaling pathway in response to DNA damage by p53 class mediator); GO:0000003 (reproduction); GO:0032142 (single guanine insertion binding); GO:0032181 (dinucleotide repeat insertion binding)</t>
  </si>
  <si>
    <t>GO:0030997 (regulation of centriole-centriole cohesion); GO:0000800 (lateral element)</t>
  </si>
  <si>
    <t xml:space="preserve">Probable acid ceramidase </t>
  </si>
  <si>
    <t>GO:0016787 (hydrolase activity); GO:0006508 (proteolysis); GO:0070006 (metalloaminopeptidase activity)</t>
  </si>
  <si>
    <t xml:space="preserve">MO25-like protein 3 </t>
  </si>
  <si>
    <t xml:space="preserve">Intracelllar PhosphoLipase A family </t>
  </si>
  <si>
    <t>GO:0005737 (cytoplasm); GO:0006629 (lipid metabolic process); GO:0051015 (actin filament binding); GO:0051017 (actin filament bundle assembly); GO:0042594 (response to starvation); GO:0044258 (intestinal lipid catabolic process); GO:0005515 (protein binding)</t>
  </si>
  <si>
    <t xml:space="preserve">Serine/threonine-protein kinase plk-2 </t>
  </si>
  <si>
    <t xml:space="preserve">AP-2 Transcription Factor family </t>
  </si>
  <si>
    <t>GO:0005634 (nucleus); GO:0003700 (DNA-binding transcription factor activity); GO:0006355 (regulation of transcription, DNA-templated); GO:0042127 (regulation of cell population proliferation); GO:0000977 (RNA polymerase II transcription regulatory region sequence-specific DNA binding); GO:0000981 (DNA-binding transcription factor activity, RNA polymerase II-specific); GO:0006357 (regulation of transcription by RNA polymerase II); GO:0048856 (anatomical structure development); GO:0045944 (positive regulation of transcription by RNA polymerase II); GO:0043565 (sequence-specific DNA binding); GO:0001228 (DNA-binding transcription activator activity, RNA polymerase II-specific)</t>
  </si>
  <si>
    <t>ncRNA</t>
  </si>
  <si>
    <t xml:space="preserve">C-type lectin domain-containing protein 160 </t>
  </si>
  <si>
    <t>GO:0005634 (nucleus); GO:0046872 (metal ion binding); GO:0010628 (positive regulation of gene expression); GO:0008406 (gonad development)</t>
  </si>
  <si>
    <t xml:space="preserve">LSY-2-Like </t>
  </si>
  <si>
    <t>GO:0000978 (RNA polymerase II cis-regulatory region sequence-specific DNA binding); GO:0003700 (DNA-binding transcription factor activity); GO:0006357 (regulation of transcription by RNA polymerase II)</t>
  </si>
  <si>
    <t xml:space="preserve">FACT complex subunit ssrp1-B </t>
  </si>
  <si>
    <t>GO:0003677 (DNA binding); GO:0005634 (nucleus); GO:0042393 (histone binding); GO:0031491 (nucleosome binding); GO:0006260 (DNA replication); GO:0006281 (DNA repair); GO:0006974 (cellular response to DNA damage stimulus); GO:0005694 (chromosome); GO:0060465 (pharynx development); GO:0045995 (regulation of embryonic development); GO:0035101 (FACT complex); GO:1902275 (regulation of chromatin organization)</t>
  </si>
  <si>
    <t xml:space="preserve">DeHydrogenases, Short chain </t>
  </si>
  <si>
    <t>GO:0016491 (oxidoreductase activity); GO:0055114 (oxidation-reduction process)</t>
  </si>
  <si>
    <t xml:space="preserve">Cholesterol 25-hydroxylase-like protein </t>
  </si>
  <si>
    <t>GO:0016020 (membrane); GO:0016021 (integral component of membrane); GO:0046872 (metal ion binding); GO:0016491 (oxidoreductase activity); GO:0005789 (endoplasmic reticulum membrane); GO:0006629 (lipid metabolic process); GO:0005506 (iron ion binding); GO:0000254 (C-4 methylsterol oxidase activity); GO:0008610 (lipid biosynthetic process); GO:0016126 (sterol biosynthetic process); GO:0008202 (steroid metabolic process); GO:0006694 (steroid biosynthetic process); GO:0055114 (oxidation-reduction process)</t>
  </si>
  <si>
    <t xml:space="preserve">GLutamate Receptor family (AMPA) </t>
  </si>
  <si>
    <t>GO:0016020 (membrane); GO:0016021 (integral component of membrane); GO:0038023 (signaling receptor activity); GO:0005886 (plasma membrane); GO:0006811 (ion transport); GO:0034220 (ion transmembrane transport); GO:0008066 (glutamate receptor activity); GO:0030054 (cell junction); GO:0045202 (synapse); GO:0045211 (postsynaptic membrane); GO:0060078 (regulation of postsynaptic membrane potential); GO:0004970 (ionotropic glutamate receptor activity); GO:0035235 (ionotropic glutamate receptor signaling pathway); GO:0035249 (synaptic transmission, glutamatergic); GO:0050804 (modulation of chemical synaptic transmission); GO:1904315 (transmitter-gated ion channel activity involved in regulation of postsynaptic membrane potential); GO:0015276 (ligand-gated ion channel activity)</t>
  </si>
  <si>
    <t>GO:0003676 (nucleic acid binding); GO:0003729 (mRNA binding); GO:0006139 (nucleobase-containing compound metabolic process); GO:0003735 (structural constituent of ribosome); GO:0006412 (translation)</t>
  </si>
  <si>
    <t>GO:0003676 (nucleic acid binding); GO:0000003 (reproduction); GO:0007283 (spermatogenesis); GO:0043186 (P granule); GO:0007276 (gamete generation); GO:0042078 (germ-line stem cell division); GO:0034583 (21U-RNA binding); GO:0034585 (21U-RNA metabolic process); GO:0045840 (positive regulation of mitotic nuclear division); GO:0005515 (protein binding)</t>
  </si>
  <si>
    <t xml:space="preserve">MutS protein homolog him-14 </t>
  </si>
  <si>
    <t>GO:0006298 (mismatch repair); GO:0030983 (mismatched DNA binding); GO:0005524 (ATP binding)</t>
  </si>
  <si>
    <t xml:space="preserve">Cytokinesis, Apoptosis, RNA-associated </t>
  </si>
  <si>
    <t>GO:0000932 (P-body); GO:0033962 (P-body assembly); GO:0005515 (protein binding); GO:1990124 (messenger ribonucleoprotein complex); GO:0003729 (mRNA binding); GO:0010628 (positive regulation of gene expression); GO:0006397 (mRNA processing); GO:0034063 (stress granule assembly); GO:0005737 (cytoplasm); GO:0005783 (endoplasmic reticulum); GO:0043186 (P granule); GO:1990904 (ribonucleoprotein complex); GO:0072686 (mitotic spindle); GO:1990023 (mitotic spindle midzone); GO:0000242 (pericentriolar material); GO:0000979 (RNA polymerase II core promoter sequence-specific DNA binding)</t>
  </si>
  <si>
    <t xml:space="preserve">TetraSPanin family </t>
  </si>
  <si>
    <t xml:space="preserve">Intestinal acid PHOsphatase </t>
  </si>
  <si>
    <t xml:space="preserve">Zip (Yeast meiotic zipper) Homologous Protein </t>
  </si>
  <si>
    <t>GO:0046872 (metal ion binding); GO:0005515 (protein binding); GO:0005694 (chromosome); GO:0006310 (DNA recombination); GO:0000795 (synaptonemal complex); GO:0007129 (homologous chromosome pairing at meiosis); GO:0016925 (protein sumoylation); GO:0019789 (SUMO transferase activity); GO:0051321 (meiotic cell cycle); GO:0007131 (reciprocal meiotic recombination)</t>
  </si>
  <si>
    <t>GO:0016787 (hydrolase activity); GO:0005576 (extracellular region); GO:0005615 (extracellular space); GO:0008081 (phosphoric diester hydrolase activity)</t>
  </si>
  <si>
    <t xml:space="preserve">Ligand-Gated ion Channel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</si>
  <si>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</t>
  </si>
  <si>
    <t xml:space="preserve">Intermediate filament protein ifa-2 </t>
  </si>
  <si>
    <t xml:space="preserve">EnLarged germLIne granules </t>
  </si>
  <si>
    <t>GO:0005737 (cytoplasm); GO:0009792 (embryo development ending in birth or egg hatching); GO:1903863 (P granule assembly); GO:0003674 (molecular_function)</t>
  </si>
  <si>
    <t xml:space="preserve">GEX Interacting protein </t>
  </si>
  <si>
    <t xml:space="preserve">Sex-determination protein fem-3 </t>
  </si>
  <si>
    <t>GO:0005515 (protein binding); GO:0042006 (masculinization of hermaphroditic germ-line); GO:0030238 (male sex determination)</t>
  </si>
  <si>
    <t xml:space="preserve">Presenilin hop-1 </t>
  </si>
  <si>
    <t>GO:0016485 (protein processing); GO:0004190 (aspartic-type endopeptidase activity); GO:0016021 (integral component of membrane)</t>
  </si>
  <si>
    <t xml:space="preserve">AMine oXidase family </t>
  </si>
  <si>
    <t>GO:0003682 (chromatin binding); GO:0045944 (positive regulation of transcription by RNA polymerase II); GO:0016491 (oxidoreductase activity); GO:0008134 (transcription factor binding); GO:0000122 (negative regulation of transcription by RNA polymerase II); GO:0050660 (flavin adenine dinucleotide binding); GO:0034648 (histone demethylase activity (H3-dimethyl-K4 specific)); GO:0034720 (histone H3-K4 demethylation); GO:0055114 (oxidation-reduction process)</t>
  </si>
  <si>
    <t xml:space="preserve">LIN-46 </t>
  </si>
  <si>
    <t>GO:0005737 (cytoplasm); GO:0046872 (metal ion binding); GO:0016740 (transferase activity); GO:0005524 (ATP binding); GO:0005829 (cytosol); GO:0045211 (postsynaptic membrane); GO:0030425 (dendrite); GO:0098970 (postsynaptic neurotransmitter receptor diffusion trapping); GO:0006777 (Mo-molybdopterin cofactor biosynthetic process); GO:0007529 (establishment of synaptic specificity at neuromuscular junction); GO:0018315 (molybdenum incorporation into molybdenum-molybdopterin complex); GO:0032324 (molybdopterin cofactor biosynthetic process); GO:0061598 (molybdopterin adenylyltransferase activity); GO:0061599 (molybdopterin molybdotransferase activity); GO:0072579 (glycine receptor clustering); GO:0097112 (gamma-aminobutyric acid receptor clustering); GO:0099572 (postsynaptic specialization); GO:0099634 (postsynaptic specialization membrane); GO:0005634 (nucleus); GO:0040034 (regulation of development, heterochronic); GO:0060090 (molecular adaptor activity)</t>
  </si>
  <si>
    <t xml:space="preserve">Zinc metalloproteinase nas-31 </t>
  </si>
  <si>
    <t>GO:0005737 (cytoplasm); GO:0046872 (metal ion binding); GO:0043231 (intracellular membrane-bounded organelle); GO:0016491 (oxidoreductase activity);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GO:0043051 (regulation of pharyngeal pumping); GO:0001676 (long-chain fatty acid metabolic process); GO:0055114 (oxidation-reduction process)</t>
  </si>
  <si>
    <t xml:space="preserve">SoWAH (Drosophila) homolog </t>
  </si>
  <si>
    <t>GO:0016567 (protein ubiquitination); GO:0045732 (positive regulation of protein catabolic process); GO:0005515 (protein binding)</t>
  </si>
  <si>
    <t xml:space="preserve">Probable UDP-N-acetylglucosamine pyrophosphorylase </t>
  </si>
  <si>
    <t>GO:0016740 (transferase activity); GO:0005737 (cytoplasm); GO:0016779 (nucleotidyltransferase activity); GO:0070569 (uridylyltransferase activity)</t>
  </si>
  <si>
    <t xml:space="preserve">Fasting Induced Lipase </t>
  </si>
  <si>
    <t>GO:0008289 (lipid binding); GO:0006869 (lipid transport)</t>
  </si>
  <si>
    <t xml:space="preserve">CaDHerin family </t>
  </si>
  <si>
    <t>GO:0016020 (membrane); GO:0016021 (integral component of membrane); GO:0005509 (calcium ion binding); GO:0007155 (cell adhesion); GO:0098609 (cell-cell adhesion); GO:0005886 (plasma membrane); GO:0007156 (homophilic cell adhesion via plasma membrane adhesion molecules)</t>
  </si>
  <si>
    <t xml:space="preserve">Peptide transporter family 2 </t>
  </si>
  <si>
    <t>GO:0006857 (oligopeptide transport); GO:0035673 (oligopeptide transmembrane transporter activity); GO:0016021 (integral component of membrane); GO:0055085 (transmembrane transport); GO:0022857 (transmembrane transporter activity); GO:0016020 (membrane)</t>
  </si>
  <si>
    <t xml:space="preserve">Double-Strand Break factor </t>
  </si>
  <si>
    <t>GO:0000793 (condensed chromosome)</t>
  </si>
  <si>
    <t xml:space="preserve">Fatty Acid CoA Synthetase family </t>
  </si>
  <si>
    <t>GO:0006631 (fatty acid metabolic process); GO:0005739 (mitochondrion); GO:0031956 (medium-chain fatty acid-CoA ligase activity)</t>
  </si>
  <si>
    <t xml:space="preserve">V-type proton ATPase subunit a </t>
  </si>
  <si>
    <t>GO:0016020 (membrane); GO:0016021 (integral component of membrane); GO:0006811 (ion transport); GO:0005886 (plasma membrane); GO:0007035 (vacuolar acidification); GO:0015078 (proton transmembrane transporter activity); GO:0016471 (vacuolar proton-transporting V-type ATPase complex); GO:0033179 (proton-transporting V-type ATPase, V0 domain); GO:0046961 (proton-transporting ATPase activity, rotational mechanism); GO:0051117 (ATPase binding); GO:0000220 (vacuolar proton-transporting V-type ATPase, V0 domain); GO:1902600 (proton transmembrane transport)</t>
  </si>
  <si>
    <t xml:space="preserve">Transporter </t>
  </si>
  <si>
    <t>GO:0016020 (membrane); GO:0016021 (integral component of membrane); GO:0005887 (integral component of plasma membrane); GO:0015179 (L-amino acid transmembrane transporter activity); GO:1902475 (L-alpha-amino acid transmembrane transport); GO:0035725 (sodium ion transmembrane transport); GO:0015293 (symporter activity); GO:0008134 (transcription factor binding); GO:0030139 (endocytic vesicle); GO:0045177 (apical part of cell); GO:0002804 (positive regulation of antifungal peptide production); GO:0005283 (amino acid:sodium symporter activity); GO:1903825 (organic acid transmembrane transport); GO:0015807 (L-amino acid transport)</t>
  </si>
  <si>
    <t xml:space="preserve">Venom-Allergen-like Protein </t>
  </si>
  <si>
    <t>GO:0005576 (extracellular region); GO:0016020 (membrane); GO:0016021 (integral component of membrane)</t>
  </si>
  <si>
    <t>GO:0016740 (transferase activity); GO:0005515 (protein binding); GO:0006487 (protein N-linked glycosylation); GO:0006048 (UDP-N-acetylglucosamine biosynthetic process); GO:0006002 (fructose 6-phosphate metabolic process); GO:0006541 (glutamine metabolic process); GO:0004360 (glutamine-fructose-6-phosphate transaminase (isomerizing) activity); GO:0006047 (UDP-N-acetylglucosamine metabolic process); GO:0097367 (carbohydrate derivative binding); GO:1901135 (carbohydrate derivative metabolic process); GO:1901137 (carbohydrate derivative biosynthetic process)</t>
  </si>
  <si>
    <t xml:space="preserve">Na/Ca eXchangers </t>
  </si>
  <si>
    <t>GO:0016020 (membrane); GO:0016021 (integral component of membrane); GO:0005886 (plasma membrane); GO:0006811 (ion transport); GO:0046872 (metal ion binding); GO:0055085 (transmembrane transport); GO:0005887 (integral component of plasma membrane); GO:0006816 (calcium ion transport); GO:0030424 (axon); GO:0042383 (sarcolemma); GO:0005516 (calmodulin binding); GO:0006814 (sodium ion transport); GO:0035725 (sodium ion transmembrane transport); GO:0015297 (antiporter activity); GO:0005432 (calcium:sodium antiporter activity); GO:0007154 (cell communication); GO:0098794 (postsynapse); GO:0098703 (calcium ion import across plasma membrane); GO:0015491 (cation:cation antiporter activity); GO:0030001 (metal ion transport)</t>
  </si>
  <si>
    <t xml:space="preserve">Uncharacterized monothiol glutaredoxin F10D7.3 </t>
  </si>
  <si>
    <t>GO:0005737 (cytoplasm); GO:0046872 (metal ion binding); GO:0098869 (cellular oxidant detoxification); GO:0051536 (iron-sulfur cluster binding); GO:0015035 (protein disulfide oxidoreductase activity); GO:0034599 (cellular response to oxidative stress); GO:0051537 (2 iron, 2 sulfur cluster binding); GO:0004362 (glutathione-disulfide reductase activity)</t>
  </si>
  <si>
    <t xml:space="preserve">ATLastiN (Endoplasmic reticulum GTPase) related </t>
  </si>
  <si>
    <t>GO:0016020 (membrane); GO:0016021 (integral component of membrane); GO:0003924 (GTPase activity); GO:0005525 (GTP binding); GO:0007029 (endoplasmic reticulum organization); GO:0051260 (protein homooligomerization)</t>
  </si>
  <si>
    <t>GO:0045121 (membrane raft)</t>
  </si>
  <si>
    <t xml:space="preserve">ATP-dependent RNA helicase glh-1 </t>
  </si>
  <si>
    <t>GO:0003677 (DNA binding); GO:0005634 (nucleus); GO:0046872 (metal ion binding); GO:0005515 (protein binding); GO:0005694 (chromosome); GO:0000978 (RNA polymerase II cis-regulatory region sequence-specific DNA binding); GO:0001228 (DNA-binding transcription activator activity, RNA polymerase II-specific); GO:0045944 (positive regulation of transcription by RNA polymerase II); GO:0030849 (autosome); GO:1902064 (regulation of transcription from RNA polymerase II promoter involved in spermatogenesis)</t>
  </si>
  <si>
    <t xml:space="preserve">Aspartic protease 6 </t>
  </si>
  <si>
    <t>GO:0004190 (aspartic-type endopeptidase activity); GO:0006508 (proteolysis)</t>
  </si>
  <si>
    <t>FMRFamide-like neuropeptides 5 APKPKFIRF-amide AGAKFIRF-amide GAKFIRF-amide</t>
  </si>
  <si>
    <t>GO:0005615 (extracellular space); GO:0008289 (lipid binding)</t>
  </si>
  <si>
    <t xml:space="preserve">Acid Alpha Glucosidase Relate </t>
  </si>
  <si>
    <t>GO:0016020 (membrane); GO:0003824 (catalytic activity); GO:0008152 (metabolic process); GO:0016787 (hydrolase activity); GO:0016798 (hydrolase activity, acting on glycosyl bonds); GO:0005975 (carbohydrate metabolic process); GO:0030246 (carbohydrate binding); GO:0004553 (hydrolase activity, hydrolyzing O-glycosyl compounds); GO:0005764 (lysosome); GO:0004558 (alpha-1,4-glucosidase activity); GO:0005980 (glycogen catabolic process)</t>
  </si>
  <si>
    <t>GO:0016020 (membrane); GO:0016021 (integral component of membrane); GO:0005789 (endoplasmic reticulum membrane); GO:0006506 (GPI anchor biosynthetic process); GO:0000139 (Golgi membrane)</t>
  </si>
  <si>
    <t xml:space="preserve">Cuticle collagen dpy-5 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</si>
  <si>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activity); GO:0004890 (GABA-A receptor activity); GO:1902711 (GABA-A receptor complex)</t>
  </si>
  <si>
    <t xml:space="preserve">Delta(9)-fatty-acid desaturase fat-6 </t>
  </si>
  <si>
    <t>GO:0016717 (oxidoreductase activity, acting on paired donors, with oxidation of a pair of donors resulting in the reduction of molecular oxygen to two molecules of water); GO:0055114 (oxidation-reduction process); GO:0006629 (lipid metabolic process)</t>
  </si>
  <si>
    <t xml:space="preserve">1,2-dihydroxy-3-keto-5-methylthiopentene dioxygenase homolog 1 </t>
  </si>
  <si>
    <t>GO:0005634 (nucleus); GO:0005737 (cytoplasm); GO:0016491 (oxidoreductase activity); GO:0010309 (acireductone dioxygenase [iron(II)-requiring] activity); GO:0051213 (dioxygenase activity); GO:0008652 (cellular amino acid biosynthetic process); GO:0006555 (methionine metabolic process); GO:0009086 (methionine biosynthetic process); GO:0016702 (oxidoreductase activity, acting on single donors with incorporation of molecular oxygen, incorporation of two atoms of oxygen); GO:0019509 (L-methionine salvage from methylthioadenosine); GO:0055114 (oxidation-reduction process)</t>
  </si>
  <si>
    <t xml:space="preserve">Peptide transporter 3 </t>
  </si>
  <si>
    <t>GO:0042938 (dipeptide transport); GO:0071916 (dipeptide transmembrane transporter activity); GO:0015252 (proton channel activity); GO:0006857 (oligopeptide transport); GO:0035673 (oligopeptide transmembrane transporter activity); GO:1902600 (proton transmembrane transport); GO:0016021 (integral component of membrane); GO:0055085 (transmembrane transport); GO:0022857 (transmembrane transporter activity); GO:0016020 (membrane)</t>
  </si>
  <si>
    <t>GO:0005634 (nucleus); GO:0000977 (RNA polymerase II transcription regulatory region sequence-specific DNA binding); GO:0006357 (regulation of transcription by RNA polymerase II); GO:0010468 (regulation of gene expression); GO:0034972 (histone H3-R26 methylation)</t>
  </si>
  <si>
    <t xml:space="preserve">TYRosinase </t>
  </si>
  <si>
    <t>GO:0016491 (oxidoreductase activity); GO:0005507 (copper ion binding); GO:0016716 (oxidoreductase activity, acting on paired donors, with incorporation or reduction of molecular oxygen, another compound as one donor, and incorporation of one atom of oxygen); GO:0042438 (melanin biosynthetic process); GO:0033162 (melanosome membrane); GO:0055114 (oxidation-reduction process)</t>
  </si>
  <si>
    <t>GO:0055085 (transmembrane transport); GO:0050829 (defense response to Gram-negative bacterium); GO:0050830 (defense response to Gram-positive bacterium); GO:0015267 (channel activity)</t>
  </si>
  <si>
    <t xml:space="preserve">SKR-17; SKp1 Related (Ubiquitin ligase complex component) </t>
  </si>
  <si>
    <t>GO:0005634 (nucleus); GO:0005737 (cytoplasm); GO:0006511 (ubiquitin-dependent protein catabolic process); GO:0016567 (protein ubiquitination); GO:0031146 (SCF-dependent proteasomal ubiquitin-dependent protein catabolic process); GO:0097602 (cullin family protein binding)</t>
  </si>
  <si>
    <t>GO:0016020 (membrane); GO:0016021 (integral component of membrane); GO:0016740 (transferase activity); GO:0043231 (intracellular membrane-bounded organelle); GO:0015020 (glucuronosyltransferase activity); GO:0016757 (transferase activity, transferring glycosyl groups); GO:0045087 (innate immune response); GO:0008194 (UDP-glycosyltransferase activity)</t>
  </si>
  <si>
    <t>GO:0045087 (innate immune response); GO:0016020 (membrane); GO:0016021 (integral component of membrane)</t>
  </si>
  <si>
    <t xml:space="preserve">NRAMP-like transporter smf-3 </t>
  </si>
  <si>
    <t>GO:0030001 (metal ion transport); GO:0046873 (metal ion transmembrane transporter activity); GO:0016020 (membrane)</t>
  </si>
  <si>
    <t xml:space="preserve">TPX2 (Targeting Protein for Xenopus Klp2)-Like; TPX2-related alternative variant b </t>
  </si>
  <si>
    <t>GO:0005515 (protein binding); GO:0019901 (protein kinase binding); GO:0000235 (astral microtubule); GO:0005813 (centrosome); GO:0005874 (microtubule); GO:0030953 (astral microtubule organization); GO:0072687 (meiotic spindle); GO:0044877 (protein-containing complex binding); GO:0090307 (mitotic spindle assembly); GO:0031616 (spindle pole centrosome)</t>
  </si>
  <si>
    <t xml:space="preserve">DumPY: shorter than wild-type </t>
  </si>
  <si>
    <t>GO:0005516 (calmodulin binding)</t>
  </si>
  <si>
    <t xml:space="preserve">SKP2 (S phase Kinase associated Protein Two) homolog </t>
  </si>
  <si>
    <t>GO:0005634 (nucleus); GO:0005829 (cytosol); GO:0051726 (regulation of cell cycle); GO:0019005 (SCF ubiquitin ligase complex); GO:0031146 (SCF-dependent proteasomal ubiquitin-dependent protein catabolic process); GO:0000086 (G2/M transition of mitotic cell cycle); GO:0005515 (protein binding)</t>
  </si>
  <si>
    <t>GO:0016020 (membrane); GO:0016021 (integral component of membrane); GO:0005615 (extracellular space); GO:0030198 (extracellular matrix organization); GO:0042302 (structural constituent of cuticle); GO:0005201 (extracellular matrix structural constituent); GO:0031012 (extracellular matrix); GO:0042338 (cuticle development involved in collagen and cuticulin-based cuticle molting cycle)</t>
  </si>
  <si>
    <t>GO:0016020 (membrane); GO:0016021 (integral component of membrane); GO:0046872 (metal ion binding)</t>
  </si>
  <si>
    <t xml:space="preserve">SLC (SoLute Carrier) homolog </t>
  </si>
  <si>
    <t>GO:0016020 (membrane); GO:0016021 (integral component of membrane); GO:1902475 (L-alpha-amino acid transmembrane transport); GO:0003333 (amino acid transmembrane transport); GO:0015171 (amino acid transmembrane transporter activity); GO:0015179 (L-amino acid transmembrane transporter activity); GO:0015807 (L-amino acid transport)</t>
  </si>
  <si>
    <t xml:space="preserve">ATP-dependent DNA helicase chl-1 </t>
  </si>
  <si>
    <t>GO:0004386 (helicase activity); GO:0003678 (DNA helicase activity); GO:0006139 (nucleobase-containing compound metabolic process); GO:0003676 (nucleic acid binding); GO:0016818 (hydrolase activity, acting on acid anhydrides, in phosphorus-containing anhydrides); GO:0005524 (ATP binding); GO:0003677 (DNA binding)</t>
  </si>
  <si>
    <t>GO:0006644 (phospholipid metabolic process); GO:0004620 (phospholipase activity); GO:0016788 (hydrolase activity, acting on ester bonds)</t>
  </si>
  <si>
    <t xml:space="preserve">Cuticle collagen 12 </t>
  </si>
  <si>
    <t xml:space="preserve">Seven TM Receptor </t>
  </si>
  <si>
    <t>GO:0016020 (membrane); GO:0016021 (integral component of membrane); GO:0005887 (integral component of plasma membrane); GO:0050911 (detection of chemical stimulus involved in sensory perception of smell); GO:0007186 (G protein-coupled receptor signaling pathway); GO:0038022 (G protein-coupled olfactory receptor activity); GO:0042048 (olfactory behavior)</t>
  </si>
  <si>
    <t>GO:0000166 (nucleotide binding); GO:0016491 (oxidoreductase activity); GO:0055114 (oxidation-reduction process)</t>
  </si>
  <si>
    <t>GO:0005581 (collagen trimer)</t>
  </si>
  <si>
    <t xml:space="preserve">Aminopeptidase </t>
  </si>
  <si>
    <t>GO:0016020 (membrane); GO:0016021 (integral component of membrane); GO:0005737 (cytoplasm); GO:0016787 (hydrolase activity); GO:0046872 (metal ion binding); GO:0008270 (zinc ion binding); GO:0006508 (proteolysis); GO:0008233 (peptidase activity); GO:0008237 (metallopeptidase activity); GO:0042277 (peptide binding); GO:0004177 (aminopeptidase activity); GO:0043171 (peptide catabolic process); GO:0070006 (metalloaminopeptidase activity)</t>
  </si>
  <si>
    <t xml:space="preserve">MATH (Meprin-associated Traf homology) domain containing </t>
  </si>
  <si>
    <t>GO:0016055 (Wnt signaling pathway); GO:0005102 (signaling receptor binding); GO:0007275 (multicellular organism development); GO:0005576 (extracellular region)</t>
  </si>
  <si>
    <t xml:space="preserve">tRNA (guanine-N(7)-)-methyltransferase non-catalytic subunit </t>
  </si>
  <si>
    <t>GO:0005634 (nucleus); GO:0005829 (cytosol); GO:0008033 (tRNA processing); GO:0030488 (tRNA methylation); GO:0036265 (RNA (guanine-N7)-methylation); GO:0008176 (tRNA (guanine-N7-)-methyltransferase activity); GO:0106004 (tRNA (guanine-N7)-methylation); GO:0043527 (tRNA methyltransferase complex); GO:0005515 (protein binding); GO:0008168 (methyltransferase activity); GO:0032259 (methylation); GO:0016740 (transferase activity)</t>
  </si>
  <si>
    <t xml:space="preserve">FiBrilliN homolog </t>
  </si>
  <si>
    <t>GO:0016020 (membrane); GO:0016021 (integral component of membrane); GO:0005509 (calcium ion binding)</t>
  </si>
  <si>
    <t>GO:0016020 (membrane); GO:0016021 (integral component of membrane); GO:0016740 (transferase activity); GO:0000139 (Golgi membrane); GO:0016757 (transferase activity, transferring glycosyl groups)</t>
  </si>
  <si>
    <t>GO:0016020 (membrane); GO:0016021 (integral component of membrane); GO:0005892 (acetylcholine-gated channel complex)</t>
  </si>
  <si>
    <t xml:space="preserve">Phosphoacetylglucosamine mutase </t>
  </si>
  <si>
    <t>GO:0046872 (metal ion binding); GO:0000287 (magnesium ion binding); GO:0005975 (carbohydrate metabolic process); GO:0016853 (isomerase activity); GO:0006048 (UDP-N-acetylglucosamine biosynthetic process); GO:0016868 (intramolecular transferase activity, phosphotransferases); GO:0071704 (organic substance metabolic process); GO:0004610 (phosphoacetylglucosamine mutase activity)</t>
  </si>
  <si>
    <t xml:space="preserve">THR-like peptide hormone </t>
  </si>
  <si>
    <t xml:space="preserve">Alcohol dehydrogenase 1 </t>
  </si>
  <si>
    <t>GO:0016491 (oxidoreductase activity); GO:0055114 (oxidation-reduction process); GO:0008270 (zinc ion binding)</t>
  </si>
  <si>
    <t>GO:0005112 (Notch binding)</t>
  </si>
  <si>
    <t xml:space="preserve">Transmembrane protein 201 homolog </t>
  </si>
  <si>
    <t>GO:0016020 (membrane); GO:0016021 (integral component of membrane); GO:0005634 (nucleus); GO:0051015 (actin filament binding); GO:0031965 (nuclear membrane); GO:0005637 (nuclear inner membrane); GO:0005521 (lamin binding); GO:0005639 (integral component of nuclear inner membrane); GO:0030473 (nuclear migration along microtubule); GO:0009792 (embryo development ending in birth or egg hatching); GO:0005635 (nuclear envelope)</t>
  </si>
  <si>
    <t xml:space="preserve">Probable glucosamine-6-phosphate isomerase </t>
  </si>
  <si>
    <t>GO:0005737 (cytoplasm); GO:0016787 (hydrolase activity); GO:0005975 (carbohydrate metabolic process); GO:0006048 (UDP-N-acetylglucosamine biosynthetic process); GO:0042802 (identical protein binding); GO:0006044 (N-acetylglucosamine metabolic process); GO:0006046 (N-acetylglucosamine catabolic process); GO:0004342 (glucosamine-6-phosphate deaminase activity); GO:0006043 (glucosamine catabolic process); GO:0019262 (N-acetylneuraminate catabolic process)</t>
  </si>
  <si>
    <t xml:space="preserve">CUTiclin </t>
  </si>
  <si>
    <t>GO:0016020 (membrane); GO:0016021 (integral component of membrane); GO:0005886 (plasma membrane); GO:0042302 (structural constituent of cuticle)</t>
  </si>
  <si>
    <t>GO:0045087 (innate immune response); GO:0050829 (defense response to Gram-negative bacterium); GO:0005576 (extracellular region); GO:0003674 (molecular_function)</t>
  </si>
  <si>
    <t xml:space="preserve">Probable Werner syndrome ATP-dependent helicase homolog 1 </t>
  </si>
  <si>
    <t>GO:0005634 (nucleus); GO:0005524 (ATP binding); GO:0005737 (cytoplasm); GO:0016787 (hydrolase activity); GO:0000166 (nucleotide binding); GO:0004386 (helicase activity); GO:0003676 (nucleic acid binding); GO:0003677 (DNA binding); GO:0006281 (DNA repair); GO:0006260 (DNA replication); GO:0000723 (telomere maintenance); GO:0005654 (nucleoplasm); GO:0000724 (double-strand break repair via homologous recombination); GO:0043138 (3'-5' DNA helicase activity); GO:0044237 (cellular metabolic process); GO:0032508 (DNA duplex unwinding); GO:0006310 (DNA recombination); GO:0005694 (chromosome); GO:0009378 (four-way junction helicase activity); GO:0044806 (G-quadruplex DNA unwinding); GO:0003678 (DNA helicase activity); GO:0006268 (DNA unwinding involved in DNA replication); GO:0010259 (multicellular organism aging); GO:0005515 (protein binding); GO:0008340 (determination of adult lifespan); GO:0010212 (response to ionizing radiation); GO:0006259 (DNA metabolic process); GO:0035861 (site of double-strand break); GO:0016887 (ATPase activity)</t>
  </si>
  <si>
    <t>GO:0005634 (nucleus); GO:0046872 (metal ion binding)</t>
  </si>
  <si>
    <t xml:space="preserve">Nicotinamide Nucleotide Transhydrogenase </t>
  </si>
  <si>
    <t>GO:0016020 (membrane); GO:0016021 (integral component of membrane); GO:1902600 (proton transmembrane transport); GO:0006740 (NADPH regeneration); GO:0008746 (NAD(P)+ transhydrogenase activity); GO:0050661 (NADP binding); GO:0051287 (NAD binding); GO:0005739 (mitochondrion); GO:0055114 (oxidation-reduction process)</t>
  </si>
  <si>
    <t xml:space="preserve">Poly [ADP-ribose] polymerase 1 </t>
  </si>
  <si>
    <t>GO:0006471 (protein ADP-ribosylation); GO:0003950 (NAD+ ADP-ribosyltransferase activity); GO:0051287 (NAD binding); GO:0005634 (nucleus); GO:0008270 (zinc ion binding); GO:0003677 (DNA binding); GO:0016740 (transferase activity); GO:0016757 (transferase activity, transferring glycosyl groups)</t>
  </si>
  <si>
    <t xml:space="preserve">Signal transducer and activator of transcription b </t>
  </si>
  <si>
    <t>GO:0003677 (DNA binding); GO:0005634 (nucleus); GO:0005737 (cytoplasm); GO:0007165 (signal transduction); GO:0003700 (DNA-binding transcription factor activity); GO:0006355 (regulation of transcription, DNA-templated); GO:0042127 (regulation of cell population proliferation); GO:0007275 (multicellular organism development); GO:0000978 (RNA polymerase II cis-regulatory region sequence-specific DNA binding); GO:0010628 (positive regulation of gene expression); GO:0000981 (DNA-binding transcription factor activity, RNA polymerase II-specific); GO:0006357 (regulation of transcription by RNA polymerase II); GO:0050832 (defense response to fungus); GO:0006952 (defense response); GO:0005515 (protein binding); GO:0030056 (hemidesmosome); GO:0030139 (endocytic vesicle); GO:0045177 (apical part of cell); GO:0002804 (positive regulation of antifungal peptide production); GO:0007259 (receptor signaling pathway via JAK-STAT); GO:0098733 (hemidesmosome associated protein complex); GO:0009611 (response to wounding)</t>
  </si>
  <si>
    <t xml:space="preserve">C-type lectin domain-containing protein 87 </t>
  </si>
  <si>
    <t>GO:0005524 (ATP binding); GO:0004672 (protein kinase activity); GO:0006468 (protein phosphorylation); GO:0016301 (kinase activity); GO:0016310 (phosphorylation); GO:0000166 (nucleotide binding); GO:0016740 (transferase activity); GO:0007165 (signal transduction); GO:0004674 (protein serine/threonine kinase activity); GO:0000287 (magnesium ion binding); GO:0000186 (activation of MAPKK activity); GO:0004709 (MAP kinase kinase kinase activity); GO:0000165 (MAPK cascade); GO:0106310 (protein serine kinase activity); GO:0106311 (protein threonine kinase activity)</t>
  </si>
  <si>
    <t xml:space="preserve">Transcriptional repressor NF-X1 homolog </t>
  </si>
  <si>
    <t>GO:0003676 (nucleic acid binding); GO:0003700 (DNA-binding transcription factor activity); GO:0005634 (nucleus); GO:0008270 (zinc ion binding); GO:0006355 (regulation of transcription, DNA-templated)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</si>
  <si>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GO:0051260 (protein homooligomerization); GO:0005242 (inward rectifier potassium channel activity)</t>
  </si>
  <si>
    <t>GO:0016020 (membrane); GO:0016021 (integral component of membrane); GO:0005886 (plasma membrane); GO:0022857 (transmembrane transporter activity); GO:0055085 (transmembrane transport); GO:0030659 (cytoplasmic vesicle membrane); GO:0006897 (endocytosis); GO:0018996 (molting cycle, collagen and cuticulin-based cuticle); GO:0045138 (nematode male tail tip morphogenesis)</t>
  </si>
  <si>
    <t>GO:0016020 (membrane); GO:0016021 (integral component of membrane); GO:0005764 (lysosome); GO:0006508 (proteolysis); GO:0004197 (cysteine-type endopeptidase activity); GO:0005615 (extracellular space); GO:0008234 (cysteine-type peptidase activity); GO:0051603 (proteolysis involved in cellular protein catabolic process)</t>
  </si>
  <si>
    <t xml:space="preserve">GLoBin related </t>
  </si>
  <si>
    <t>GO:0019825 (oxygen binding); GO:0020037 (heme binding); GO:0005344 (oxygen carrier activity); GO:0015671 (oxygen transport)</t>
  </si>
  <si>
    <t xml:space="preserve">Serine/threonine-protein phosphatase 4 catalytic subunit 2 </t>
  </si>
  <si>
    <t>GO:0016787 (hydrolase activity); GO:0006470 (protein dephosphorylation); GO:0004722 (protein serine/threonine phosphatase activity); GO:0106306 (protein serine phosphatase activity); GO:0106307 (protein threonine phosphatase activity)</t>
  </si>
  <si>
    <t xml:space="preserve">Nuclear Hormone Receptor family 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</si>
  <si>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GO:0000978 (RNA polymerase II cis-regulatory region sequence-specific DNA binding); GO:0006357 (regulation of transcription by RNA polymerase II); GO:0030154 (cell differentiation); GO:0048856 (anatomical structure development)</t>
  </si>
  <si>
    <t>GO:0016020 (membrane); GO:0016021 (integral component of membrane); GO:0005737 (cytoplasm); GO:0016491 (oxidoreductase activity); GO:0050660 (flavin adenine dinucleotide binding); GO:0071949 (FAD binding); GO:0000246 (delta24(24-1) sterol reductase activity); GO:0008202 (steroid metabolic process); GO:0016628 (oxidoreductase activity, acting on the CH-CH group of donors, NAD or NADP as acceptor); GO:0055114 (oxidation-reduction process); GO:0050614 (delta24-sterol reductase activity)</t>
  </si>
  <si>
    <t xml:space="preserve">Sphingomyelin phosphodiesterase 2 </t>
  </si>
  <si>
    <t>GO:0006685 (sphingomyelin catabolic process); GO:0004767 (sphingomyelin phosphodiesterase activity); GO:0006629 (lipid metabolic process); GO:0016787 (hydrolase activity)</t>
  </si>
  <si>
    <t xml:space="preserve">Putative T-box protein 36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</si>
  <si>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</t>
  </si>
  <si>
    <t>GO:0005634 (nucleus); GO:0016787 (hydrolase activity); GO:0046872 (metal ion binding); GO:0000166 (nucleotide binding); GO:0003723 (RNA binding); GO:0005829 (cytosol); GO:0004518 (nuclease activity); GO:0000956 (nuclear-transcribed mRNA catabolic process); GO:0090305 (nucleic acid phosphodiester bond hydrolysis); GO:0034353 (); GO:0110155 (NAD-cap decapping)</t>
  </si>
  <si>
    <t>GO:0050829 (defense response to Gram-negative bacterium); GO:0003690 (double-stranded DNA binding); GO:0031640 (killing of cells of other organism)</t>
  </si>
  <si>
    <t>Uridine 5'-monophosphate synthase Orotate phosphoribosyltransferase Orotidine 5'-phosphate decarboxylase</t>
  </si>
  <si>
    <t>GO:0003824 (catalytic activity); GO:0008152 (metabolic process); GO:0016740 (transferase activity); GO:0005737 (cytoplasm); GO:0016757 (transferase activity, transferring glycosyl groups); GO:0016829 (lyase activity); GO:0006207 ('de novo' pyrimidine nucleobase biosynthetic process); GO:0006221 (pyrimidine nucleotide biosynthetic process); GO:0008340 (determination of adult lifespan); GO:0048557 (embryonic digestive tract morphogenesis); GO:0040018 (positive regulation of multicellular organism growth); GO:0009792 (embryo development ending in birth or egg hatching); GO:0009116 (nucleoside metabolic process); GO:0002119 (nematode larval development); GO:0019856 (pyrimidine nucleobase biosynthetic process); GO:0090727 (positive regulation of brood size); GO:0004588 (orotate phosphoribosyltransferase activity); GO:0004590 (orotidine-5'-phosphate decarboxylase activity); GO:0010165 (response to X-ray); GO:0010225 (response to UV-C); GO:0010332 (response to gamma radiation); GO:0014070 (response to organic cyclic compound); GO:0016831 (carboxy-lyase activity); GO:0044205 ('de novo' UMP biosynthetic process); GO:0000003 (reproduction); GO:0007040 (lysosome organization); GO:0006222 (UMP biosynthetic process); GO:0009411 (response to UV)</t>
  </si>
  <si>
    <t xml:space="preserve">SULfate Permease family </t>
  </si>
  <si>
    <t>GO:0016020 (membrane); GO:0016021 (integral component of membrane); GO:0055085 (transmembrane transport); GO:1902476 (chloride transmembrane transport); GO:0005887 (integral component of plasma membrane); GO:0008271 (secondary active sulfate transmembrane transporter activity); GO:0008272 (sulfate transport); GO:0015106 (bicarbonate transmembrane transporter activity); GO:0015108 (chloride transmembrane transporter activity); GO:0015116 (sulfate transmembrane transporter activity); GO:0015301 (anion:anion antiporter activity); GO:0015701 (bicarbonate transport); GO:0019531 (oxalate transmembrane transporter activity); GO:0019532 (oxalate transport); GO:0098656 (anion transmembrane transport); GO:1902358 (sulfate transmembrane transport)</t>
  </si>
  <si>
    <t xml:space="preserve">GPI inositol-deacylase </t>
  </si>
  <si>
    <t>GO:0016020 (membrane); GO:0016021 (integral component of membrane); GO:0016787 (hydrolase activity); GO:0015031 (protein transport); GO:0005783 (endoplasmic reticulum); GO:0006888 (endoplasmic reticulum to Golgi vesicle-mediated transport); GO:0016788 (hydrolase activity, acting on ester bonds); GO:0005789 (endoplasmic reticulum membrane); GO:0006505 (GPI anchor metabolic process); GO:0050185 (phosphatidylinositol deacylase activity)</t>
  </si>
  <si>
    <t>GO:0007218 (neuropeptide signaling pathway); GO:0043025 (neuronal cell body); GO:0043005 (neuron projection); GO:0060756 (foraging behavior); GO:0005615 (extracellular space); GO:0031739 (cholecystokinin receptor binding)</t>
  </si>
  <si>
    <t xml:space="preserve">ABC Transporter family </t>
  </si>
  <si>
    <t>GO:0016020 (membrane); GO:0016021 (integral component of membrane); GO:0005524 (ATP binding); GO:0042626 (ATPase-coupled transmembrane transporter activity); GO:0000166 (nucleotide binding); GO:0043231 (intracellular membrane-bounded organelle); GO:0055085 (transmembrane transport); GO:0005319 (lipid transporter activity); GO:0006869 (lipid transport); GO:0016887 (ATPase activity)</t>
  </si>
  <si>
    <t>GO:0045087 (innate immune response); GO:0050829 (defense response to Gram-negative bacterium); GO:0050830 (defense response to Gram-positive bacterium); GO:0042802 (identical protein binding); GO:0032991 (protein-containing complex)</t>
  </si>
  <si>
    <t xml:space="preserve">Vacuolar protein sorting-associated protein 26 </t>
  </si>
  <si>
    <t>GO:0006886 (intracellular protein transport); GO:0015031 (protein transport); GO:0005829 (cytosol); GO:0030904 (retromer complex); GO:0042147 (retrograde transport, endosome to Golgi); GO:0005768 (endosome)</t>
  </si>
  <si>
    <t xml:space="preserve">Deubiquitylating with USP/UBP and OTU domains </t>
  </si>
  <si>
    <t>GO:0006511 (ubiquitin-dependent protein catabolic process); GO:0016579 (protein deubiquitination); GO:0004843 (thiol-dependent ubiquitin-specific protease activity)</t>
  </si>
  <si>
    <t xml:space="preserve">Putative tyrosinase-like protein tyr-1 </t>
  </si>
  <si>
    <t>GO:0046872 (metal ion binding); GO:0016491 (oxidoreductase activity); GO:0004497 (monooxygenase activity); GO:0005515 (protein binding)</t>
  </si>
  <si>
    <t>GO:0005515 (protein binding); GO:0005634 (nucleus); GO:0000003 (reproduction); GO:0045132 (meiotic chromosome segregation); GO:0000795 (synaptonemal complex); GO:0007130 (synaptonemal complex assembly); GO:0010845 (positive regulation of reciprocal meiotic recombination); GO:0000801 (central element)</t>
  </si>
  <si>
    <t xml:space="preserve">Fatty Acid Amide Hydrolase homolog </t>
  </si>
  <si>
    <t>GO:0009062 (fatty acid catabolic process); GO:0004040 (amidase activity); GO:0017064 (fatty acid amide hydrolase activity)</t>
  </si>
  <si>
    <t xml:space="preserve">Dauer larva development regulatory growth factor daf-7 </t>
  </si>
  <si>
    <t>GO:0005615 (extracellular space); GO:0008083 (growth factor activity)</t>
  </si>
  <si>
    <t xml:space="preserve">Enoyl-CoA Hydratase </t>
  </si>
  <si>
    <t>GO:0003857 (3-hydroxyacyl-CoA dehydrogenase activity); GO:0005777 (peroxisome); GO:0006631 (fatty acid metabolic process); GO:0006635 (fatty acid beta-oxidation); GO:0016491 (oxidoreductase activity); GO:0016616 (oxidoreductase activity, acting on the CH-OH group of donors, NAD or NADP as acceptor); GO:0070403 (NAD+ binding); GO:0055114 (oxidation-reduction process)</t>
  </si>
  <si>
    <t xml:space="preserve">Glutathione peroxidase 3 </t>
  </si>
  <si>
    <t>GO:0006979 (response to oxidative stress); GO:0004602 (glutathione peroxidase activity); GO:0055114 (oxidation-reduction process)</t>
  </si>
  <si>
    <t>GO:0005576 (extracellular region); GO:0005615 (extracellular space); GO:0007166 (cell surface receptor signaling pathway); GO:0051427 (hormone receptor binding)</t>
  </si>
  <si>
    <t xml:space="preserve">NASP (Human Nuclear Autoantigenic Sperm Protein) homolog </t>
  </si>
  <si>
    <t>GO:0005634 (nucleus); GO:0042393 (histone binding); GO:0005654 (nucleoplasm); GO:0006335 (DNA replication-dependent nucleosome assembly); GO:0034080 (CENP-A containing nucleosome assembly); GO:0005515 (protein binding)</t>
  </si>
  <si>
    <t>GO:0005739 (mitochondrion); GO:0006637 (acyl-CoA metabolic process); GO:0047617 (acyl-CoA hydrolase activity)</t>
  </si>
  <si>
    <t xml:space="preserve">Glycogen [starch] synthase </t>
  </si>
  <si>
    <t>GO:0004373 (glycogen (starch) synthase activity); GO:0005978 (glycogen biosynthetic process)</t>
  </si>
  <si>
    <t xml:space="preserve">DNA polymerase kappa </t>
  </si>
  <si>
    <t>GO:0003887 (DNA-directed DNA polymerase activity); GO:0006281 (DNA repair); GO:0003684 (damaged DNA binding); GO:0003677 (DNA binding)</t>
  </si>
  <si>
    <t xml:space="preserve">MAM (Meprin, A5-protein, PTPmu) domain protein 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</si>
  <si>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GO:0051260 (protein homooligomerization); GO:0005515 (protein binding); GO:0007638 (mechanosensory behavior); GO:0006972 (hyperosmotic response); GO:0050920 (regulation of chemotaxis); GO:0043056 (forward locomotion)</t>
  </si>
  <si>
    <t xml:space="preserve">PeroXidasiN (Drosophila peroxidase) homolog </t>
  </si>
  <si>
    <t>GO:0046872 (metal ion binding); GO:0016491 (oxidoreductase activity); GO:0005576 (extracellular region); GO:0005615 (extracellular space); GO:0020037 (heme binding); GO:0098869 (cellular oxidant detoxification); GO:0004601 (peroxidase activity); GO:0006979 (response to oxidative stress); GO:0005604 (basement membrane); GO:0010172 (embryonic body morphogenesis); GO:0007411 (axon guidance); GO:0071711 (basement membrane organization); GO:0048681 (negative regulation of axon regeneration); GO:0016203 (muscle attachment); GO:0110011 (regulation of basement membrane organization); GO:0055114 (oxidation-reduction process); GO:0005515 (protein binding)</t>
  </si>
  <si>
    <t xml:space="preserve">NEPrilysin metallopeptidase family </t>
  </si>
  <si>
    <t>GO:0016020 (membrane); GO:0016021 (integral component of membrane); GO:0016787 (hydrolase activity); GO:0005886 (plasma membrane); GO:0046872 (metal ion binding); GO:0004222 (metalloendopeptidase activity); GO:0006508 (proteolysis); GO:0008233 (peptidase activity); GO:0008237 (metallopeptidase activity); GO:0016485 (protein processing); GO:0045121 (membrane raft)</t>
  </si>
  <si>
    <t xml:space="preserve">PARN (Poly(A)-specific RiboNuclease) homolog </t>
  </si>
  <si>
    <t>GO:0005737 (cytoplasm); GO:0003723 (RNA binding); GO:0003676 (nucleic acid binding); GO:0034472 (snRNA 3'-end processing); GO:0000175 (3'-5'-exoribonuclease activity); GO:0015030 (Cajal body); GO:0090503 (RNA phosphodiester bond hydrolysis, exonucleolytic); GO:0017069 (snRNA binding)</t>
  </si>
  <si>
    <t xml:space="preserve">ADAMTS family </t>
  </si>
  <si>
    <t>GO:0016787 (hydrolase activity); GO:0046872 (metal ion binding); GO:0004222 (metalloendopeptidase activity); GO:0006508 (proteolysis); GO:0008233 (peptidase activity); GO:0008237 (metallopeptidase activity)</t>
  </si>
  <si>
    <t>GO:0003824 (catalytic activity); GO:0005739 (mitochondrion); GO:0006635 (fatty acid beta-oxidation); GO:0004300 (enoyl-CoA hydratase activity)</t>
  </si>
  <si>
    <t>GO:0046872 (metal ion binding); GO:0005789 (endoplasmic reticulum membrane); GO:0000139 (Golgi membrane); GO:0009072 (aromatic amino acid family metabolic process); GO:0003868 (4-hydroxyphenylpyruvate dioxygenase activity); GO:0006572 (tyrosine catabolic process); GO:0016701 (oxidoreductase activity, acting on single donors with incorporation of molecular oxygen); GO:0055114 (oxidation-reduction process)</t>
  </si>
  <si>
    <t xml:space="preserve">UPF0376 protein C03G6.5 </t>
  </si>
  <si>
    <t>GO:0005829 (cytosol); GO:0016491 (oxidoreductase activity); GO:0004032 (alditol:NADP+ 1-oxidoreductase activity); GO:0055114 (oxidation-reduction process); GO:0047834 (D-threo-aldose 1-dehydrogenase activity)</t>
  </si>
  <si>
    <t xml:space="preserve">EXOnuclease </t>
  </si>
  <si>
    <t>GO:0005634 (nucleus); GO:0003824 (catalytic activity); GO:0016787 (hydrolase activity); GO:0003677 (DNA binding); GO:0046872 (metal ion binding); GO:0006281 (DNA repair); GO:0090305 (nucleic acid phosphodiester bond hydrolysis); GO:0006974 (cellular response to DNA damage stimulus); GO:0004518 (nuclease activity); GO:0004527 (exonuclease activity); GO:0004519 (endonuclease activity); GO:0006298 (mismatch repair); GO:0006310 (DNA recombination); GO:0017108 (5'-flap endonuclease activity); GO:0035312 (5'-3' exodeoxyribonuclease activity)</t>
  </si>
  <si>
    <t xml:space="preserve">PhosphatidylSerine SYnthase </t>
  </si>
  <si>
    <t>GO:0016020 (membrane); GO:0016021 (integral component of membrane); GO:0016740 (transferase activity); GO:0006629 (lipid metabolic process); GO:0005783 (endoplasmic reticulum); GO:0005789 (endoplasmic reticulum membrane); GO:0006659 (phosphatidylserine biosynthetic process); GO:0106245 (L-serine-phosphatidylethanolamine phosphatidyltransferase activity)</t>
  </si>
  <si>
    <t xml:space="preserve">Zinc metalloproteinase dpy-31 </t>
  </si>
  <si>
    <t>GO:0046872 (metal ion binding); GO:0003834 (beta-carotene 15,15'-monooxygenase activity); GO:0010436 (carotenoid dioxygenase activity); GO:0016121 (carotene catabolic process); GO:0016702 (oxidoreductase activity, acting on single donors with incorporation of molecular oxygen, incorporation of two atoms of oxygen); GO:0042574 (retinal metabolic process); GO:0055114 (oxidation-reduction process)</t>
  </si>
  <si>
    <t>GO:0016020 (membrane); GO:0016021 (integral component of membrane); GO:0016491 (oxidoreductase activity); GO:0050660 (flavin adenine dinucleotide binding); GO:0004497 (monooxygenase activity); GO:0004499 (N,N-dimethylaniline monooxygenase activity); GO:0050661 (NADP binding); GO:0005783 (endoplasmic reticulum); GO:0005789 (endoplasmic reticulum membrane); GO:0043231 (intracellular membrane-bounded organelle); GO:0016174 (NAD(P)H oxidase H2O2-forming activity); GO:0055114 (oxidation-reduction process); GO:0106294 (NADPH oxidase H202-forming activity)</t>
  </si>
  <si>
    <t xml:space="preserve">Histone H1.3 </t>
  </si>
  <si>
    <t>GO:0006334 (nucleosome assembly); GO:0000786 (nucleosome); GO:0003677 (DNA binding)</t>
  </si>
  <si>
    <t xml:space="preserve">Phosphoenolypyruvate CarboxyKinase </t>
  </si>
  <si>
    <t>GO:0005525 (GTP binding); GO:0016301 (kinase activity); GO:0016310 (phosphorylation); GO:0046872 (metal ion binding); GO:0000166 (nucleotide binding); GO:0005829 (cytosol); GO:0016829 (lyase activity); GO:0030145 (manganese ion binding); GO:0006094 (gluconeogenesis); GO:0033993 (response to lipid); GO:0016831 (carboxy-lyase activity); GO:0042594 (response to starvation); GO:0004611 (phosphoenolpyruvate carboxykinase activity); GO:0004613 (phosphoenolpyruvate carboxykinase (GTP) activity); GO:0017076 (purine nucleotide binding); GO:0019543 (propionate catabolic process); GO:0046327 (glycerol biosynthetic process from pyruvate); GO:0071333 (cellular response to glucose stimulus); GO:0055120 (striated muscle dense body)</t>
  </si>
  <si>
    <t xml:space="preserve">Anillin-like protein 3 </t>
  </si>
  <si>
    <t xml:space="preserve">DNA primase </t>
  </si>
  <si>
    <t>GO:0046872 (metal ion binding); GO:0016740 (transferase activity); GO:0016779 (nucleotidyltransferase activity); GO:0006260 (DNA replication); GO:0003899 (DNA-directed 5'-3' RNA polymerase activity); GO:0005658 (alpha DNA polymerase:primase complex); GO:0003896 (DNA primase activity); GO:0006269 (DNA replication, synthesis of RNA primer)</t>
  </si>
  <si>
    <t xml:space="preserve">Cuticle collagen 6 </t>
  </si>
  <si>
    <t xml:space="preserve">5'-tyrosyl-DNA phosphodiesterase </t>
  </si>
  <si>
    <t>GO:0005737 (cytoplasm); GO:0016787 (hydrolase activity); GO:0005634 (nucleus); GO:0046872 (metal ion binding); GO:0090305 (nucleic acid phosphodiester bond hydrolysis); GO:0006302 (double-strand break repair); GO:0006281 (DNA repair); GO:0006974 (cellular response to DNA damage stimulus); GO:0004518 (nuclease activity); GO:0042802 (identical protein binding); GO:0003697 (single-stranded DNA binding); GO:0016605 (PML body); GO:0070260 (5'-tyrosyl-DNA phosphodiesterase activity); GO:0005515 (protein binding)</t>
  </si>
  <si>
    <t xml:space="preserve">X-BoX promoter element regulated </t>
  </si>
  <si>
    <t xml:space="preserve">NDNF (Neuron Derived Neurotrophic Factor) homolog </t>
  </si>
  <si>
    <t>GO:0005509 (calcium ion binding); GO:0005576 (extracellular region); GO:0005615 (extracellular space); GO:0010951 (negative regulation of endopeptidase activity); GO:0010466 (negative regulation of peptidase activity); GO:0030414 (peptidase inhibitor activity); GO:0031012 (extracellular matrix); GO:0004867 (serine-type endopeptidase inhibitor activity)</t>
  </si>
  <si>
    <t xml:space="preserve">Nuclear RNA export factor 2 </t>
  </si>
  <si>
    <t xml:space="preserve">INOsitol-3-phosphate Synthase </t>
  </si>
  <si>
    <t>GO:0005737 (cytoplasm); GO:0016853 (isomerase activity); GO:0008654 (phospholipid biosynthetic process); GO:0004512 (inositol-3-phosphate synthase activity); GO:0006021 (inositol biosynthetic process)</t>
  </si>
  <si>
    <t xml:space="preserve">Regulator of G-protein signaling rgs-3 </t>
  </si>
  <si>
    <t>GO:0007635 (chemosensory behavior); GO:0050913 (sensory perception of bitter taste); GO:0009968 (negative regulation of signal transduction)</t>
  </si>
  <si>
    <t>GO:0005525 (GTP binding); GO:0005886 (plasma membrane); GO:0003924 (GTPase activity); GO:0005246 (calcium channel regulator activity)</t>
  </si>
  <si>
    <t xml:space="preserve">Adenosine deaminase-like protein </t>
  </si>
  <si>
    <t>GO:0016787 (hydrolase activity); GO:0046872 (metal ion binding); GO:0019239 (deaminase activity); GO:0004000 (adenosine deaminase activity); GO:0006154 (adenosine catabolic process); GO:0046103 (inosine biosynthetic process); GO:0009117 (nucleotide metabolic process); GO:0062154 (N6-mAMP deaminase activity)</t>
  </si>
  <si>
    <t xml:space="preserve">MUTator </t>
  </si>
  <si>
    <t>GO:0016779 (nucleotidyltransferase activity); GO:0031123 (RNA 3'-end processing); GO:0009792 (embryo development ending in birth or egg hatching); GO:0000003 (reproduction); GO:0048471 (perinuclear region of cytoplasm); GO:0045132 (meiotic chromosome segregation); GO:0016246 (RNA interference); GO:0000335 (negative regulation of transposition, DNA-mediated); GO:0050265 (RNA uridylyltransferase activity); GO:0071076 (RNA 3' uridylation)</t>
  </si>
  <si>
    <t xml:space="preserve">Probable insulin-like peptide beta-type 1 </t>
  </si>
  <si>
    <t>GO:0005179 (hormone activity); GO:0005576 (extracellular region)</t>
  </si>
  <si>
    <t xml:space="preserve">Baculoviral IAP repeat-containing protein bir-2 </t>
  </si>
  <si>
    <t xml:space="preserve">Abnormal cell lineage protein 44 </t>
  </si>
  <si>
    <t xml:space="preserve">GRASP (General Receptor for phosphoinositides 1-Associated Scaffold Protein) homolog </t>
  </si>
  <si>
    <t xml:space="preserve">SNAPc (Small Nuclear RNA Activating Complex) homolog </t>
  </si>
  <si>
    <t>GO:0043565 (sequence-specific DNA binding); GO:0019185 (snRNA-activating protein complex); GO:0042795 (snRNA transcription by RNA polymerase II); GO:0042796 (snRNA transcription by RNA polymerase III)</t>
  </si>
  <si>
    <t xml:space="preserve">MonoCarboxylate Transporter family </t>
  </si>
  <si>
    <t>GO:0016020 (membrane); GO:0016021 (integral component of membrane); GO:0022857 (transmembrane transporter activity); GO:0055085 (transmembrane transport); GO:0008028 (monocarboxylic acid transmembrane transporter activity); GO:0015718 (monocarboxylic acid transport)</t>
  </si>
  <si>
    <t xml:space="preserve">Importin subunit alpha-1 </t>
  </si>
  <si>
    <t>GO:0006606 (protein import into nucleus); GO:0061608 (nuclear import signal receptor activity)</t>
  </si>
  <si>
    <t>GO:0030246 (carbohydrate binding); GO:0045087 (innate immune response)</t>
  </si>
  <si>
    <t>GO:0005515 (protein binding); GO:0042802 (identical protein binding)</t>
  </si>
  <si>
    <t xml:space="preserve">C-type lectin domain-containing protein 91 </t>
  </si>
  <si>
    <t xml:space="preserve">BCS1 (Mitochondrial chaperone) homolog </t>
  </si>
  <si>
    <t>GO:0016020 (membrane); GO:0005524 (ATP binding); GO:0005743 (mitochondrial inner membrane); GO:0000166 (nucleotide binding); GO:0016887 (ATPase activity); GO:0032979 (protein insertion into mitochondrial inner membrane from matrix); GO:0034551 (mitochondrial respiratory chain complex III assembly)</t>
  </si>
  <si>
    <t xml:space="preserve">Glutamine synthetase </t>
  </si>
  <si>
    <t>GO:0005737 (cytoplasm); GO:0003824 (catalytic activity); GO:0000166 (nucleotide binding); GO:0016874 (ligase activity); GO:0005524 (ATP binding); GO:0006807 (nitrogen compound metabolic process); GO:0004356 (glutamate-ammonia ligase activity); GO:0006542 (glutamine biosynthetic process)</t>
  </si>
  <si>
    <t xml:space="preserve">Basement membrane proteoglycan </t>
  </si>
  <si>
    <t>GO:0005509 (calcium ion binding); GO:0005737 (cytoplasm); GO:0005576 (extracellular region); GO:0009888 (tissue development); GO:0002119 (nematode larval development); GO:0005604 (basement membrane); GO:0040017 (positive regulation of locomotion); GO:0060465 (pharynx development); GO:1905905 (pharyngeal gland morphogenesis); GO:0031430 (M band); GO:0060298 (positive regulation of sarcomere organization); GO:0007005 (mitochondrion organization); GO:0046716 (muscle cell cellular homeostasis); GO:0055120 (striated muscle dense body); GO:0060279 (positive regulation of ovulation); GO:0030239 (myofibril assembly); GO:0031012 (extracellular matrix); GO:0009792 (embryo development ending in birth or egg hatching); GO:0016477 (cell migration); GO:0040011 (locomotion); GO:0005201 (extracellular matrix structural constituent); GO:0007517 (muscle organ development); GO:0008543 (fibroblast growth factor receptor signaling pathway); GO:0031581 (hemidesmosome assembly); GO:0048644 (muscle organ morphogenesis); GO:0009887 (animal organ morphogenesis); GO:0005515 (protein binding); GO:0005198 (structural molecule activity)</t>
  </si>
  <si>
    <t xml:space="preserve">Inositol-pentakisphosphate 2-kinase </t>
  </si>
  <si>
    <t>GO:0005634 (nucleus); GO:0005524 (ATP binding); GO:0016301 (kinase activity); GO:0016310 (phosphorylation); GO:0000166 (nucleotide binding); GO:0016740 (transferase activity); GO:0032958 (inositol phosphate biosynthetic process); GO:0035299 (inositol pentakisphosphate 2-kinase activity); GO:0052746 (inositol phosphorylation)</t>
  </si>
  <si>
    <t xml:space="preserve">Probable ubiquitin carboxyl-terminal hydrolase K02C4.3 </t>
  </si>
  <si>
    <t>GO:0005634 (nucleus); GO:0016787 (hydrolase activity); GO:0006511 (ubiquitin-dependent protein catabolic process); GO:0006508 (proteolysis); GO:0008233 (peptidase activity); GO:0005829 (cytosol); GO:0004197 (cysteine-type endopeptidase activity); GO:0016579 (protein deubiquitination); GO:0008234 (cysteine-type peptidase activity); GO:0004843 (thiol-dependent ubiquitin-specific protease activity); GO:0042981 (regulation of apoptotic process)</t>
  </si>
  <si>
    <t xml:space="preserve">TAF (TBP-associated transcription factor) family </t>
  </si>
  <si>
    <t>GO:0005634 (nucleus); GO:0046982 (protein heterodimerization activity); GO:0005669 (transcription factor TFIID complex); GO:0006367 (transcription initiation from RNA polymerase II promoter); GO:0051123 (RNA polymerase II preinitiation complex assembly); GO:0008134 (transcription factor binding); GO:0003713 (transcription coactivator activity); GO:0045893 (positive regulation of transcription, DNA-templated)</t>
  </si>
  <si>
    <t xml:space="preserve">GRounDhog (Hedgehog-like family) </t>
  </si>
  <si>
    <t>GO:0005102 (signaling receptor binding); GO:0007267 (cell-cell signaling); GO:0050829 (defense response to Gram-negative bacterium); GO:0005576 (extracellular region)</t>
  </si>
  <si>
    <t>GO:0008270 (zinc ion binding); GO:0006508 (proteolysis); GO:0005615 (extracellular space); GO:0004181 (metallocarboxypeptidase activity)</t>
  </si>
  <si>
    <t xml:space="preserve">Meiotic recombination protein spo-11 </t>
  </si>
  <si>
    <t>GO:0005524 (ATP binding); GO:0003824 (catalytic activity); GO:0016787 (hydrolase activity); GO:0003677 (DNA binding); GO:0005634 (nucleus); GO:0046872 (metal ion binding); GO:0005694 (chromosome); GO:0006259 (DNA metabolic process); GO:0000228 (nuclear chromosome); GO:0051321 (meiotic cell cycle); GO:0007131 (reciprocal meiotic recombination); GO:0000706 (meiotic DNA double-strand break processing); GO:0042138 (meiotic DNA double-strand break formation); GO:0016889 (endodeoxyribonuclease activity, producing 3'-phosphomonoesters)</t>
  </si>
  <si>
    <t xml:space="preserve">2 (Zwei) IG domain protein </t>
  </si>
  <si>
    <t xml:space="preserve">Serpentine Receptor, class R </t>
  </si>
  <si>
    <t>GO:0016020 (membrane); GO:0016021 (integral component of membrane); GO:0008340 (determination of adult lifespan)</t>
  </si>
  <si>
    <t xml:space="preserve">Oocyte and Germ-line Related </t>
  </si>
  <si>
    <t xml:space="preserve">Neuronal calcium sensor 1 </t>
  </si>
  <si>
    <t xml:space="preserve">G1/S-specific cyclin-E </t>
  </si>
  <si>
    <t xml:space="preserve">ATP-dependent RNA helicase glh-3 </t>
  </si>
  <si>
    <t>GO:0007631 (feeding behavior); GO:0007218 (neuropeptide signaling pathway); GO:0005615 (extracellular space); GO:0031841 (neuropeptide Y receptor binding); GO:1904068 (G protein-coupled receptor signaling pathway involved in social behavior)</t>
  </si>
  <si>
    <t xml:space="preserve">Anaphase-promoting complex subunit 10 </t>
  </si>
  <si>
    <t>GO:0005680 (anaphase-promoting complex); GO:0031145 (anaphase-promoting complex-dependent catabolic process)</t>
  </si>
  <si>
    <t xml:space="preserve">CRAL-TRIO domain-containing protein F28H7.8 </t>
  </si>
  <si>
    <t xml:space="preserve">GPI mannosyltransferase pigv-1 </t>
  </si>
  <si>
    <t>GO:0004376 (glycolipid mannosyltransferase activity); GO:0000009 (alpha-1,6-mannosyltransferase activity); GO:0006506 (GPI anchor biosynthetic process)</t>
  </si>
  <si>
    <t xml:space="preserve">RaB GAP related </t>
  </si>
  <si>
    <t>GO:0005096 (GTPase activator activity); GO:0006886 (intracellular protein transport); GO:0090630 (activation of GTPase activity); GO:0005737 (cytoplasm)</t>
  </si>
  <si>
    <t>GO:0071013 (catalytic step 2 spliceosome); GO:0000398 (mRNA splicing, via spliceosome); GO:0005515 (protein binding)</t>
  </si>
  <si>
    <t>GO:0005634 (nucleus); GO:0004843 (thiol-dependent ubiquitin-specific protease activity); GO:0043130 (ubiquitin binding); GO:0019784 (NEDD8-specific protease activity); GO:0071108 (protein K48-linked deubiquitination)</t>
  </si>
  <si>
    <t xml:space="preserve">Peptidyl-prolyl cis-trans isomerase 9 </t>
  </si>
  <si>
    <t>GO:0000413 (protein peptidyl-prolyl isomerization); GO:0006457 (protein folding); GO:0003755 (peptidyl-prolyl cis-trans isomerase activity)</t>
  </si>
  <si>
    <t xml:space="preserve">Gamma-aminobutyric acid receptor exp-1 </t>
  </si>
  <si>
    <t>GO:0005230 (extracellular ligand-gated ion channel activity); GO:0034220 (ion transmembrane transport); GO:0006811 (ion transport); GO:0005216 (ion channel activity); GO:0004888 (transmembrane signaling receptor activity); GO:0016021 (integral component of membrane)</t>
  </si>
  <si>
    <t xml:space="preserve">Translocon-associated protein subunit beta </t>
  </si>
  <si>
    <t>GO:0016020 (membrane); GO:0016021 (integral component of membrane); GO:0005783 (endoplasmic reticulum); GO:0005789 (endoplasmic reticulum membrane)</t>
  </si>
  <si>
    <t xml:space="preserve">BZIP transcription factor family </t>
  </si>
  <si>
    <t>GO:0005634 (nucleus); GO:0003700 (DNA-binding transcription factor activity); GO:0006355 (regulation of transcription, DNA-templated); GO:0003677 (DNA binding); GO:0005515 (protein binding); GO:0006357 (regulation of transcription by RNA polymerase II); GO:0000978 (RNA polymerase II cis-regulatory region sequence-specific DNA binding); GO:0000981 (DNA-binding transcription factor activity, RNA polymerase II-specific)</t>
  </si>
  <si>
    <t xml:space="preserve">Nucleoporin ndc-1 </t>
  </si>
  <si>
    <t xml:space="preserve">DM (Doublesex/MAB-3) Domain family </t>
  </si>
  <si>
    <t>GO:0005634 (nucleus); GO:0046872 (metal ion binding);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GO:0003700 (DNA-binding transcription factor activity); GO:0007548 (sex differentiation)</t>
  </si>
  <si>
    <t xml:space="preserve">Solute carrier organic anion transporter family member </t>
  </si>
  <si>
    <t>GO:0016020 (membrane); GO:0016021 (integral component of membrane); GO:0005886 (plasma membrane); GO:0006811 (ion transport); GO:0022857 (transmembrane transporter activity); GO:0055085 (transmembrane transport); GO:0005887 (integral component of plasma membrane); GO:0015347 (sodium-independent organic anion transmembrane transporter activity); GO:0043252 (sodium-independent organic anion transport); GO:0005515 (protein binding)</t>
  </si>
  <si>
    <t>GO:0005737 (cytoplasm); GO:0055120 (striated muscle dense body)</t>
  </si>
  <si>
    <t>GO:0016020 (membrane); GO:0016021 (integral component of membrane); GO:0005643 (nuclear pore)</t>
  </si>
  <si>
    <t xml:space="preserve">Putative phospholipase B-like 3 </t>
  </si>
  <si>
    <t>GO:0016787 (hydrolase activity); GO:0005576 (extracellular region); GO:0006629 (lipid metabolic process); GO:0016042 (lipid catabolic process); GO:0004620 (phospholipase activity); GO:0009395 (phospholipid catabolic process)</t>
  </si>
  <si>
    <t xml:space="preserve">Hypoxia Inhibited Receptor tyrosine kinase </t>
  </si>
  <si>
    <t>GO:0016020 (membrane); GO:0016021 (integral component of membrane); GO:0005524 (ATP binding); GO:0004672 (protein kinase activity); GO:0006468 (protein phosphorylation); GO:0016301 (kinase activity); GO:0016310 (phosphorylation);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activity); GO:0005515 (protein binding)</t>
  </si>
  <si>
    <t>GO:0016020 (membrane); GO:0016021 (integral component of membrane); GO:0003824 (catalytic activity); GO:0032504 (multicellular organism reproduction)</t>
  </si>
  <si>
    <t xml:space="preserve">Alpha-1,4 glucan phosphorylase </t>
  </si>
  <si>
    <t>GO:0005737 (cytoplasm); GO:0016740 (transferase activity); GO:0016757 (transferase activity, transferring glycosyl groups); GO:0005975 (carbohydrate metabolic process); GO:0030170 (pyridoxal phosphate binding); GO:0004645 (1,4-alpha-oligoglucan phosphorylase activity); GO:0005980 (glycogen catabolic process); GO:0008184 (glycogen phosphorylase activity); GO:0102250 (linear malto-oligosaccharide phosphorylase activity); GO:0102499 (SHG alpha-glucan phosphorylase activity); GO:0005977 (glycogen metabolic process)</t>
  </si>
  <si>
    <t xml:space="preserve">C-type lectin domain-containing protein 88 </t>
  </si>
  <si>
    <t xml:space="preserve">Probable cubilin </t>
  </si>
  <si>
    <t>GO:0005509 (calcium ion binding); GO:0015031 (protein transport); GO:0005576 (extracellular region); GO:0006629 (lipid metabolic process)</t>
  </si>
  <si>
    <t xml:space="preserve">Long Arms of the Bivalent protein </t>
  </si>
  <si>
    <t>GO:0005634 (nucleus); GO:0005515 (protein binding); GO:0005694 (chromosome); GO:0000793 (condensed chromosome); GO:1900182 (positive regulation of protein localization to nucleus); GO:0008157 (protein phosphatase 1 binding); GO:0034089 (establishment of meiotic sister chromatid cohesion); GO:0034090 (maintenance of meiotic sister chromatid cohesion); GO:1900181 (negative regulation of protein localization to nucleus)</t>
  </si>
  <si>
    <t xml:space="preserve">Frizzled-2 </t>
  </si>
  <si>
    <t>GO:0004888 (transmembrane signaling receptor activity); GO:0007166 (cell surface receptor signaling pathway); GO:0016021 (integral component of membrane); GO:0016020 (membrane); GO:0005515 (protein binding)</t>
  </si>
  <si>
    <t xml:space="preserve">Malignant brain tumor repeat protein 1 </t>
  </si>
  <si>
    <t>GO:0005634 (nucleus); GO:0006355 (regulation of transcription, DNA-templated)</t>
  </si>
  <si>
    <t>GO:0008237 (metallopeptidase activity); GO:0006508 (proteolysis); GO:0008270 (zinc ion binding)</t>
  </si>
  <si>
    <t>GO:0003723 (RNA binding); GO:0003743 (translation initiation factor activity); GO:0005852 (eukaryotic translation initiation factor 3 complex); GO:0006413 (translational initiation); GO:0031369 (translation initiation factor binding)</t>
  </si>
  <si>
    <t xml:space="preserve">Sun domain-containing protein 1 </t>
  </si>
  <si>
    <t>GO:0016020 (membrane); GO:0016021 (integral component of membrane); GO:0005634 (nucleus); GO:0005515 (protein binding); GO:0031965 (nuclear membrane); GO:0005635 (nuclear envelope); GO:0006998 (nuclear envelope organization); GO:0043495 (protein-membrane adaptor activity); GO:0009792 (embryo development ending in birth or egg hatching); GO:0008104 (protein localization); GO:0010824 (regulation of centrosome duplication); GO:0051642 (centrosome localization); GO:0034993 (meiotic nuclear membrane microtubule tethering complex)</t>
  </si>
  <si>
    <t xml:space="preserve">DeoxyUTPase; Deoxyuridinetriphosphatase </t>
  </si>
  <si>
    <t>GO:0000287 (magnesium ion binding); GO:0016787 (hydrolase activity); GO:0006226 (dUMP biosynthetic process); GO:0004170 (dUTP diphosphatase activity); GO:0046081 (dUTP catabolic process)</t>
  </si>
  <si>
    <t xml:space="preserve">Alkaline ceramidase </t>
  </si>
  <si>
    <t>GO:0016020 (membrane); GO:0016021 (integral component of membrane); GO:0016787 (hydrolase activity); GO:0046872 (metal ion binding); GO:0006629 (lipid metabolic process); GO:0006672 (ceramide metabolic process); GO:0016811 (hydrolase activity, acting on carbon-nitrogen (but not peptide) bonds, in linear amides); GO:0017040 (N-acylsphingosine amidohydrolase activity); GO:0102121 (ceramidase activity); GO:0046512 (sphingosine biosynthetic process); GO:0030173 (integral component of Golgi membrane)</t>
  </si>
  <si>
    <t xml:space="preserve">Probable peptidyl-alpha-hydroxyglycine alpha-amidating lyase pgal-1 </t>
  </si>
  <si>
    <t>GO:0006518 (peptide metabolic process); GO:0003824 (catalytic activity); GO:0016020 (membrane); GO:0005515 (protein binding)</t>
  </si>
  <si>
    <t>GO:0016020 (membrane); GO:0016021 (integral component of membrane); GO:0005230 (extracellular ligand-gated ion channel activity); GO:0006811 (ion transport); GO:0034220 (ion transmembrane transport)</t>
  </si>
  <si>
    <t>GO:0030246 (carbohydrate binding); GO:0016020 (membrane); GO:0016021 (integral component of membrane)</t>
  </si>
  <si>
    <t xml:space="preserve">ELRR (Extracellular Leucine-Rich Repeat) ONly </t>
  </si>
  <si>
    <t xml:space="preserve">Delta(12) fatty acid desaturase fat-2 </t>
  </si>
  <si>
    <t>GO:0016717 (oxidoreductase activity, acting on paired donors, with oxidation of a pair of donors resulting in the reduction of molecular oxygen to two molecules of water); GO:0006629 (lipid metabolic process); GO:0055114 (oxidation-reduction process)</t>
  </si>
  <si>
    <t>GO:0051260 (protein homooligomerization); GO:0005515 (protein binding)</t>
  </si>
  <si>
    <t xml:space="preserve">Soluble guanylate cyclase gcy-32 </t>
  </si>
  <si>
    <t>GO:0016849 (phosphorus-oxygen lyase activity); GO:0006182 (cGMP biosynthetic process); GO:0004383 (guanylate cyclase activity); GO:0009190 (cyclic nucleotide biosynthetic process); GO:0020037 (heme binding); GO:0035556 (intracellular signal transduction)</t>
  </si>
  <si>
    <t>GO:0016020 (membrane); GO:0016021 (integral component of membrane); GO:0007218 (neuropeptide signaling pathway); GO:0050829 (defense response to Gram-negative bacterium)</t>
  </si>
  <si>
    <t xml:space="preserve">Matrix non-peptidase homolog 1 </t>
  </si>
  <si>
    <t xml:space="preserve">Telomerase reverse transcriptase </t>
  </si>
  <si>
    <t>GO:0003677 (DNA binding); GO:0005634 (nucleus); GO:0046872 (metal ion binding); GO:0016740 (transferase activity); GO:0016779 (nucleotidyltransferase activity); GO:0005694 (chromosome); GO:0000781 (chromosome, telomeric region); GO:0003721 (telomerase RNA reverse transcriptase activity); GO:0003964 (RNA-directed DNA polymerase activity); GO:0007004 (telomere maintenance via telomerase)</t>
  </si>
  <si>
    <t xml:space="preserve">Potassium voltage-gated channel protein shk-1 </t>
  </si>
  <si>
    <t>GO:0008076 (voltage-gated potassium channel complex); GO:0005249 (voltage-gated potassium channel activity); GO:0051260 (protein homooligomerization); GO:0006811 (ion transport); GO:0005216 (ion channel activity); GO:0006813 (potassium ion transport); GO:0055085 (transmembrane transport); GO:0016020 (membrane); GO:0005515 (protein binding)</t>
  </si>
  <si>
    <t xml:space="preserve">Dauer Up-Regulated </t>
  </si>
  <si>
    <t>FMRFamide-like neuropeptides 26 EFNADDLTLRF-amide GGAGEPLAFSPDMLSLRF-amide</t>
  </si>
  <si>
    <t xml:space="preserve">SCAVenger receptor (CD36 family) related </t>
  </si>
  <si>
    <t>GO:0016020 (membrane); GO:0016021 (integral component of membrane); GO:0005737 (cytoplasm); GO:0006897 (endocytosis); GO:0005044 (scavenger receptor activity)</t>
  </si>
  <si>
    <t xml:space="preserve">Beta-galactosidase </t>
  </si>
  <si>
    <t>GO:0008152 (metabolic process); GO:0016787 (hydrolase activity); GO:0016798 (hydrolase activity, acting on glycosyl bonds); GO:0005975 (carbohydrate metabolic process); GO:0004553 (hydrolase activity, hydrolyzing O-glycosyl compounds); GO:0005773 (vacuole); GO:0004565 (beta-galactosidase activity)</t>
  </si>
  <si>
    <t xml:space="preserve">Potassium/chloride cotransporter 3 </t>
  </si>
  <si>
    <t>GO:0006811 (ion transport); GO:0055085 (transmembrane transport); GO:0022857 (transmembrane transporter activity); GO:0016020 (membrane); GO:0016021 (integral component of membrane)</t>
  </si>
  <si>
    <t xml:space="preserve">Phosphoethanolamine MethylTransferase </t>
  </si>
  <si>
    <t>GO:0002119 (nematode larval development); GO:0005829 (cytosol); GO:0000234 (phosphoethanolamine N-methyltransferase activity); GO:0032504 (multicellular organism reproduction); GO:0070832 (phosphatidylcholine biosynthesis from phosphoryl-ethanolamine via N-dimethylethanolamine phosphate and CDP-choline)</t>
  </si>
  <si>
    <t xml:space="preserve">Zinc metalloproteinase nas-32 </t>
  </si>
  <si>
    <t xml:space="preserve">Separin homolog sep-1 </t>
  </si>
  <si>
    <t>GO:0005634 (nucleus); GO:0005737 (cytoplasm); GO:0016787 (hydrolase activity); GO:0006508 (proteolysis); GO:0008233 (peptidase activity); GO:0005856 (cytoskeleton); GO:0004197 (cysteine-type endopeptidase activity); GO:0005515 (protein binding); GO:0007049 (cell cycle); GO:0051301 (cell division); GO:0005813 (centrosome); GO:0005694 (chromosome); GO:0008234 (cysteine-type peptidase activity); GO:0051321 (meiotic cell cycle); GO:0030997 (regulation of centriole-centriole cohesion); GO:0032154 (cleavage furrow); GO:0051307 (meiotic chromosome separation); GO:0030703 (eggshell formation); GO:0005815 (microtubule organizing center); GO:0040038 (polar body extrusion after meiotic divisions); GO:0007059 (chromosome segregation); GO:0000281 (mitotic cytokinesis); GO:0005635 (nuclear envelope); GO:0005819 (spindle); GO:0009949 (polarity specification of anterior/posterior axis); GO:0016485 (protein processing); GO:0017157 (regulation of exocytosis); GO:0030496 (midbody); GO:0034613 (cellular protein localization); GO:0051306 (mitotic sister chromatid separation); GO:0072686 (mitotic spindle); GO:0005938 (cell cortex); GO:0000794 (condensed nuclear chromosome); GO:0040012 (regulation of locomotion); GO:0070090 (metaphase plate); GO:0048609 (multicellular organismal reproductive process); GO:0060471 (cortical granule exocytosis); GO:0061062 (regulation of nematode larval development); GO:0060473 (cortical granule); GO:0072687 (meiotic spindle)</t>
  </si>
  <si>
    <t>GO:0046982 (protein heterodimerization activity)</t>
  </si>
  <si>
    <t xml:space="preserve">Cystatin </t>
  </si>
  <si>
    <t>GO:0005615 (extracellular space); GO:0010951 (negative regulation of endopeptidase activity); GO:0004869 (cysteine-type endopeptidase inhibitor activity); GO:0010466 (negative regulation of peptidase activity); GO:0030414 (peptidase inhibitor activity)</t>
  </si>
  <si>
    <t xml:space="preserve">Probable insulin-like peptide beta-type 3 </t>
  </si>
  <si>
    <t xml:space="preserve">CRiM (Cysteine Rich motor neuron protein) homolog </t>
  </si>
  <si>
    <t>GO:0016020 (membrane); GO:0016021 (integral component of membrane); GO:0004867 (serine-type endopeptidase inhibitor activity); GO:0010951 (negative regulation of endopeptidase activity); GO:0005515 (protein binding); GO:0005576 (extracellular region); GO:0005520 (insulin-like growth factor binding)</t>
  </si>
  <si>
    <t xml:space="preserve">Non-structural maintenance of chromosomes element 4 </t>
  </si>
  <si>
    <t>GO:0005634 (nucleus); GO:0006281 (DNA repair); GO:0006974 (cellular response to DNA damage stimulus); GO:0006310 (DNA recombination); GO:0030915 (Smc5-Smc6 complex)</t>
  </si>
  <si>
    <t xml:space="preserve">DNaJ domain (Prokaryotic heat shock protein) </t>
  </si>
  <si>
    <t>GO:0005783 (endoplasmic reticulum); GO:0051787 (misfolded protein binding); GO:0034975 (protein folding in endoplasmic reticulum); GO:0051087 (chaperone binding); GO:0005515 (protein binding)</t>
  </si>
  <si>
    <t xml:space="preserve">Fatty acyl-CoA reductase </t>
  </si>
  <si>
    <t>GO:0043231 (intracellular membrane-bounded organelle); GO:0016491 (oxidoreductase activity); GO:0005777 (peroxisome); GO:0006629 (lipid metabolic process); GO:0035336 (long-chain fatty-acyl-CoA metabolic process); GO:0080019 (fatty-acyl-CoA reductase (alcohol-forming) activity); GO:0102965 (alcohol-forming fatty acyl-CoA reductase activity)</t>
  </si>
  <si>
    <t xml:space="preserve">Nuclear hormone receptor family member nhr-7 </t>
  </si>
  <si>
    <t>GO:0043565 (sequence-specific DNA binding); GO:0003700 (DNA-binding transcription factor activity); GO:0008270 (zinc ion binding); GO:0006355 (regulation of transcription, DNA-templated)</t>
  </si>
  <si>
    <t xml:space="preserve">BTB and MATH domain-containing protein 41 </t>
  </si>
  <si>
    <t>GO:0006914 (autophagy); GO:0005737 (cytoplasm)</t>
  </si>
  <si>
    <t xml:space="preserve">SPG (Spastic paraplegia) </t>
  </si>
  <si>
    <t>GO:0016020 (membrane); GO:0005886 (plasma membrane); GO:0005778 (peroxisomal membrane); GO:0030514 (negative regulation of BMP signaling pathway); GO:0005780 (extrinsic component of intraperoxisomal membrane); GO:0045033 (peroxisome inheritance); GO:0051301 (cell division)</t>
  </si>
  <si>
    <t xml:space="preserve">Enlarged Deps-1 Granule phenotype </t>
  </si>
  <si>
    <t xml:space="preserve">Serpentine receptor class r-10 </t>
  </si>
  <si>
    <t>GO:0004713 (protein tyrosine kinase activity); GO:0004672 (protein kinase activity); GO:0006468 (protein phosphorylation); GO:0005524 (ATP binding)</t>
  </si>
  <si>
    <t xml:space="preserve">WHiTe (Drosophila) related ABC transporter </t>
  </si>
  <si>
    <t>GO:0016020 (membrane); GO:0016021 (integral component of membrane); GO:0005524 (ATP binding); GO:0055085 (transmembrane transport); GO:0005886 (plasma membrane); GO:0000166 (nucleotide binding); GO:0042626 (ATPase-coupled transmembrane transporter activity); GO:0016887 (ATPase activity)</t>
  </si>
  <si>
    <t xml:space="preserve">One IG domain </t>
  </si>
  <si>
    <t xml:space="preserve">RAP homolog (Vertebrate Rap GTPase family) </t>
  </si>
  <si>
    <t>GO:0003924 (GTPase activity); GO:0005525 (GTP binding); GO:0016020 (membrane); GO:0005886 (plasma membrane); GO:0000166 (nucleotide binding); GO:0007165 (signal transduction); GO:0030336 (negative regulation of cell migration); GO:0019003 (GDP binding); GO:0032486 (Rap protein signal transduction)</t>
  </si>
  <si>
    <t xml:space="preserve">LiPocalin-Related protein </t>
  </si>
  <si>
    <t>GO:0006869 (lipid transport); GO:0005576 (extracellular region)</t>
  </si>
  <si>
    <t>GO:0019825 (oxygen binding); GO:0020037 (heme binding)</t>
  </si>
  <si>
    <t>GO:0016020 (membrane); GO:0016021 (integral component of membrane); GO:0005887 (integral component of plasma membrane)</t>
  </si>
  <si>
    <t xml:space="preserve">Acetylcholine receptor subunit alpha-type acr-16 </t>
  </si>
  <si>
    <t>GO:0005230 (extracellular ligand-gated ion channel activity); GO:0034220 (ion transmembrane transport); GO:0045211 (postsynaptic membrane); GO:0022848 (acetylcholine-gated cation-selective channel activity); GO:0006811 (ion transport); GO:0005216 (ion channel activity); GO:0004888 (transmembrane signaling receptor activity); GO:0016021 (integral component of membrane)</t>
  </si>
  <si>
    <t>GO:0000795 (synaptonemal complex); GO:0007129 (homologous chromosome pairing at meiosis); GO:0016925 (protein sumoylation); GO:0019789 (SUMO transferase activity)</t>
  </si>
  <si>
    <t xml:space="preserve">Very-long-chain 3-oxooacyl-coA reductase let-767 </t>
  </si>
  <si>
    <t>GO:0016491 (oxidoreductase activity); GO:0055114 (oxidation-reduction process); GO:0005783 (endoplasmic reticulum); GO:0018996 (molting cycle, collagen and cuticulin-based cuticle); GO:0030283 (testosterone dehydrogenase [NAD(P)] activity); GO:0050062 (long-chain-fatty-acyl-CoA reductase activity); GO:0006694 (steroid biosynthetic process); GO:0008209 (androgen metabolic process); GO:0008210 (estrogen metabolic process); GO:0042759 (long-chain fatty acid biosynthetic process); GO:0045179 (apical cortex)</t>
  </si>
  <si>
    <t xml:space="preserve">Guanine nucleotide-binding protein alpha-3 subunit </t>
  </si>
  <si>
    <t>GO:0007188 (adenylate cyclase-modulating G protein-coupled receptor signaling pathway); GO:0019001 (guanyl nucleotide binding); GO:0031683 (G-protein beta/gamma-subunit complex binding); GO:0003924 (GTPase activity); GO:0005525 (GTP binding); GO:0007186 (G protein-coupled receptor signaling pathway); GO:0007165 (signal transduction)</t>
  </si>
  <si>
    <t>GO:0016740 (transferase activity); GO:0006749 (glutathione metabolic process); GO:0004364 (glutathione transferase activity); GO:0005515 (protein binding)</t>
  </si>
  <si>
    <t xml:space="preserve">Alpha-amylase </t>
  </si>
  <si>
    <t>GO:0005737 (cytoplasm); GO:0003824 (catalytic activity); GO:0016740 (transferase activity); GO:0005975 (carbohydrate metabolic process); GO:0004553 (hydrolase activity, hydrolyzing O-glycosyl compounds); GO:0043169 (cation binding); GO:0005978 (glycogen biosynthetic process); GO:0003844 (1,4-alpha-glucan branching enzyme activity); GO:0102752 (1,4-alpha-glucan branching enzyme activity (using a glucosylated glycogenin as primer for glycogen synthesis))</t>
  </si>
  <si>
    <t xml:space="preserve">Netrin unc-6 </t>
  </si>
  <si>
    <t>GO:0005576 (extracellular region); GO:0009888 (tissue development); GO:1905488 (positive regulation of anterior/posterior axon guidance); GO:0007399 (nervous system development); GO:0097374 (sensory neuron axon guidance); GO:1905489 (regulation of sensory neuron axon guidance); GO:0008045 (motor neuron axon guidance); GO:0051965 (positive regulation of synapse assembly); GO:0097376 (interneuron axon guidance); GO:0005604 (basement membrane); GO:0035262 (gonad morphogenesis); GO:0040017 (positive regulation of locomotion); GO:0038007 (netrin-activated signaling pathway); GO:1905812 (regulation of motor neuron axon guidance); GO:1905815 (regulation of dorsal/ventral axon guidance); GO:0007419 (ventral cord development); GO:0033563 (dorsal/ventral axon guidance); GO:0005737 (cytoplasm); GO:0005102 (signaling receptor binding); GO:0030424 (axon); GO:0007411 (axon guidance); GO:0008078 (mesodermal cell migration); GO:0030334 (regulation of cell migration); GO:0031175 (neuron projection development); GO:0045138 (nematode male tail tip morphogenesis); GO:0009887 (animal organ morphogenesis); GO:0016358 (dendrite development); GO:0030950 (establishment or maintenance of actin cytoskeleton polarity); GO:0031115 (negative regulation of microtubule polymerization); GO:0005515 (protein binding); GO:0048813 (dendrite morphogenesis)</t>
  </si>
  <si>
    <t xml:space="preserve">MADF domain transcription factor </t>
  </si>
  <si>
    <t>GO:0005634 (nucleus); GO:0003677 (DNA binding); GO:0005667 (transcription regulator complex); GO:0006357 (regulation of transcription by RNA polymerase II)</t>
  </si>
  <si>
    <t xml:space="preserve">O-ACyltransferase homolog </t>
  </si>
  <si>
    <t>GO:0016020 (membrane); GO:0016021 (integral component of membrane); GO:0016747 (transferase activity, transferring acyl groups other than amino-acyl groups)</t>
  </si>
  <si>
    <t xml:space="preserve">ABC transporter PGP-2; p-GlycoProtein related </t>
  </si>
  <si>
    <t>GO:0016020 (membrane); GO:0016021 (integral component of membrane); GO:0005524 (ATP binding); GO:0000166 (nucleotide binding); GO:0055085 (transmembrane transport); GO:0042626 (ATPase-coupled transmembrane transporter activity); GO:0019915 (lipid storage); GO:0044841 (gut granule membrane); GO:0006996 (organelle organization); GO:0016887 (ATPase activity)</t>
  </si>
  <si>
    <t>FMRFamide-like neuropeptides 9 KPSFVRF-amide 1 KPSFVRF-amide 2</t>
  </si>
  <si>
    <t xml:space="preserve">Transient receptor potential cation channel subfamily A member 1 homolog </t>
  </si>
  <si>
    <t>GO:0016020 (membrane); GO:0016021 (integral component of membrane); GO:0005216 (ion channel activity); GO:0005886 (plasma membrane); GO:0006811 (ion transport); GO:0034220 (ion transmembrane transport); GO:0055085 (transmembrane transport); GO:0050896 (response to stimulus); GO:0097730 (non-motile cilium); GO:0043025 (neuronal cell body); GO:0005515 (protein binding)</t>
  </si>
  <si>
    <t xml:space="preserve">Carboxypeptidase </t>
  </si>
  <si>
    <t>GO:0016787 (hydrolase activity); GO:0006508 (proteolysis); GO:0008233 (peptidase activity); GO:0004185 (serine-type carboxypeptidase activity); GO:0004180 (carboxypeptidase activity); GO:0045121 (membrane raft)</t>
  </si>
  <si>
    <t xml:space="preserve">Regulatory Gene for Behavioral Aging </t>
  </si>
  <si>
    <t>GO:0005634 (nucleus); GO:0005737 (cytoplasm); GO:0005813 (centrosome); GO:0000079 (regulation of cyclin-dependent protein serine/threonine kinase activity); GO:0000307 (cyclin-dependent protein kinase holoenzyme complex); GO:0016538 (cyclin-dependent protein serine/threonine kinase regulator activity); GO:0044772 (mitotic cell cycle phase transition)</t>
  </si>
  <si>
    <t xml:space="preserve">TWiK family of potassium channels 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</si>
  <si>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</t>
  </si>
  <si>
    <t xml:space="preserve">Suppressor of spindle checkpoint defect 1 </t>
  </si>
  <si>
    <t>GO:0016567 (protein ubiquitination); GO:0007275 (multicellular organism development); GO:0007049 (cell cycle); GO:0051301 (cell division); GO:0051321 (meiotic cell cycle); GO:0005680 (anaphase-promoting complex); GO:0070979 (protein K11-linked ubiquitination); GO:0045842 (positive regulation of mitotic metaphase/anaphase transition); GO:0031145 (anaphase-promoting complex-dependent catabolic process)</t>
  </si>
  <si>
    <t>GO:0016787 (hydrolase activity); GO:0005737 (cytoplasm); GO:0016810 (hydrolase activity, acting on carbon-nitrogen (but not peptide) bonds); GO:0016812 (hydrolase activity, acting on carbon-nitrogen (but not peptide) bonds, in cyclic amides); GO:0006547 (histidine metabolic process); GO:0006548 (histidine catabolic process); GO:0019556 (histidine catabolic process to glutamate and formamide); GO:0019557 (histidine catabolic process to glutamate and formate); GO:0050480 (imidazolonepropionase activity)</t>
  </si>
  <si>
    <t xml:space="preserve">Major sperm protein </t>
  </si>
  <si>
    <t>GO:0005856 (cytoskeleton); GO:0043025 (neuronal cell body); GO:0005737 (cytoplasm); GO:0030424 (axon); GO:0043005 (neuron projection); GO:0005034 (osmosensor activity); GO:0007231 (osmosensory signaling pathway)</t>
  </si>
  <si>
    <t>GO:0016020 (membrane); GO:0005783 (endoplasmic reticulum); GO:0004467 (long-chain fatty acid-CoA ligase activity); GO:0001676 (long-chain fatty acid metabolic process)</t>
  </si>
  <si>
    <t xml:space="preserve">Phenylalanine-4-hydroxylase </t>
  </si>
  <si>
    <t>GO:0016714 (oxidoreductase activity, acting on paired donors, with incorporation or reduction of molecular oxygen, reduced pteridine as one donor, and incorporation of one atom of oxygen); GO:0004505 (phenylalanine 4-monooxygenase activity); GO:0006559 (L-phenylalanine catabolic process); GO:0009072 (aromatic amino acid family metabolic process); GO:0005506 (iron ion binding); GO:0004497 (monooxygenase activity); GO:0055114 (oxidation-reduction process)</t>
  </si>
  <si>
    <t>GO:0016020 (membrane); GO:0016021 (integral component of membrane); GO:0005634 (nucleus); GO:0005737 (cytoplasm); GO:0006606 (protein import into nucleus)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</si>
  <si>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GO:0051260 (protein homooligomerization)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</si>
  <si>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GO:0030594 (neurotransmitter receptor activity)</t>
  </si>
  <si>
    <t xml:space="preserve">FMRF-Like Peptide; FMRFamide-like peptide 4 </t>
  </si>
  <si>
    <t>GO:0005576 (extracellular region); GO:0007218 (neuropeptide signaling pathway)</t>
  </si>
  <si>
    <t>GO:0006631 (fatty acid metabolic process); GO:0031956 (medium-chain fatty acid-CoA ligase activity)</t>
  </si>
  <si>
    <t xml:space="preserve">Regulator of chromosome condensation </t>
  </si>
  <si>
    <t>GO:0005737 (cytoplasm); GO:0005634 (nucleus); GO:0003682 (chromatin binding); GO:0007049 (cell cycle); GO:0050790 (regulation of catalytic activity); GO:0051301 (cell division); GO:0005085 (guanyl-nucleotide exchange factor activity); GO:0009792 (embryo development ending in birth or egg hatching); GO:0110039 (positive regulation of nematode male tail tip morphogenesis); GO:0031291 (Ran protein signal transduction); GO:1901673 (regulation of mitotic spindle assembly)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</si>
  <si>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activity); GO:0004890 (GABA-A receptor activity); GO:1902711 (GABA-A receptor complex)</t>
  </si>
  <si>
    <t xml:space="preserve">Activated in Blocked Unfolded protein response </t>
  </si>
  <si>
    <t>GO:0031151 (histone methyltransferase activity (H3-K79 specific)); GO:0034729 (histone H3-K79 methylation); GO:0051726 (regulation of cell cycle)</t>
  </si>
  <si>
    <t xml:space="preserve">TRP (Transient receptor potential) channel family; TRP homlogous cation channel protein </t>
  </si>
  <si>
    <t>GO:0016020 (membrane); GO:0016021 (integral component of membrane); GO:0005216 (ion channel activity); GO:0006811 (ion transport); GO:0055085 (transmembrane transport); GO:0005887 (integral component of plasma membrane); GO:0070588 (calcium ion transmembrane transport); GO:0005262 (calcium channel activity); GO:0051480 (regulation of cytosolic calcium ion concentration); GO:0006828 (manganese ion transport); GO:0015279 (store-operated calcium channel activity); GO:0034703 (cation channel complex); GO:0070679 (inositol 1,4,5 trisphosphate binding); GO:0005515 (protein binding)</t>
  </si>
  <si>
    <t>GO:0007411 (axon guidance); GO:0030215 (semaphorin receptor binding); GO:0030335 (positive regulation of cell migration); GO:0045499 (chemorepellent activity); GO:0048843 (negative regulation of axon extension involved in axon guidance); GO:0071526 (semaphorin-plexin signaling pathway); GO:0050919 (negative chemotaxis)</t>
  </si>
  <si>
    <t xml:space="preserve">Latrophilin-like protein LAT-2 </t>
  </si>
  <si>
    <t>GO:0030246 (carbohydrate binding); GO:0004888 (transmembrane signaling receptor activity); GO:0007166 (cell surface receptor signaling pathway); GO:0004930 (G protein-coupled receptor activity); GO:0007186 (G protein-coupled receptor signaling pathway); GO:0016021 (integral component of membrane); GO:0016020 (membrane)</t>
  </si>
  <si>
    <t xml:space="preserve">Uncharacterized F-box protein C27F2.7 </t>
  </si>
  <si>
    <t xml:space="preserve">UTP--glucose-1-phosphate uridylyltransferase </t>
  </si>
  <si>
    <t>GO:0005737 (cytoplasm); GO:0016740 (transferase activity); GO:0016779 (nucleotidyltransferase activity); GO:0005978 (glycogen biosynthetic process); GO:0070569 (uridylyltransferase activity); GO:0003983 (UTP:glucose-1-phosphate uridylyltransferase activity); GO:0005977 (glycogen metabolic process); GO:0006011 (UDP-glucose metabolic process)</t>
  </si>
  <si>
    <t xml:space="preserve">Probable beta-mannosidase </t>
  </si>
  <si>
    <t>GO:0005764 (lysosome); GO:0008152 (metabolic process); GO:0016787 (hydrolase activity); GO:0016798 (hydrolase activity, acting on glycosyl bonds); GO:0005975 (carbohydrate metabolic process); GO:0006516 (glycoprotein catabolic process); GO:0004553 (hydrolase activity, hydrolyzing O-glycosyl compounds); GO:0004567 (beta-mannosidase activity)</t>
  </si>
  <si>
    <t xml:space="preserve">cAMP-dependent protein kinase, catalytic subunit-like </t>
  </si>
  <si>
    <t>GO:0005524 (ATP binding); GO:0004672 (protein kinase activity); GO:0006468 (protein phosphorylation); GO:0016301 (kinase activity); GO:0016310 (phosphorylation); GO:0018105 (peptidyl-serine phosphorylation); GO:0000166 (nucleotide binding); GO:0016740 (transferase activity); GO:0004674 (protein serine/threonine kinase activity); GO:0007165 (signal transduction); GO:0004691 (cAMP-dependent protein kinase activity); GO:0005737 (cytoplasm); GO:0005952 (cAMP-dependent protein kinase complex); GO:0004679 (AMP-activated protein kinase activity); GO:0106310 (protein serine kinase activity); GO:0106311 (protein threonine kinase activity)</t>
  </si>
  <si>
    <t xml:space="preserve">Glycoprotein hormone beta 5 </t>
  </si>
  <si>
    <t>GO:0005576 (extracellular region); GO:0005737 (cytoplasm); GO:0009755 (hormone-mediated signaling pathway); GO:0005615 (extracellular space); GO:0007186 (G protein-coupled receptor signaling pathway); GO:0005179 (hormone activity)</t>
  </si>
  <si>
    <t xml:space="preserve">ThioredoXin Domain Containing protein homolog </t>
  </si>
  <si>
    <t>GO:0016491 (oxidoreductase activity); GO:0005783 (endoplasmic reticulum); GO:0060548 (negative regulation of cell death)</t>
  </si>
  <si>
    <t xml:space="preserve">DieneLactone Hydrolase Domain containing protein </t>
  </si>
  <si>
    <t xml:space="preserve">alpha-1,2-Mannosidase </t>
  </si>
  <si>
    <t>GO:0016020 (membrane); GO:0016021 (integral component of membrane); GO:0005509 (calcium ion binding); GO:0004571 (mannosyl-oligosaccharide 1,2-alpha-mannosidase activity); GO:0008152 (metabolic process); GO:0016787 (hydrolase activity); GO:0016798 (hydrolase activity, acting on glycosyl bonds); GO:0005975 (carbohydrate metabolic process); GO:0005783 (endoplasmic reticulum); GO:0030433 (ubiquitin-dependent ERAD pathway); GO:0006491 (N-glycan processing)</t>
  </si>
  <si>
    <t xml:space="preserve">Uncharacterized mitochondrial carrier C16C10.1 </t>
  </si>
  <si>
    <t>GO:0016020 (membrane); GO:0016021 (integral component of membrane); GO:0005739 (mitochondrion); GO:0005743 (mitochondrial inner membrane)</t>
  </si>
  <si>
    <t xml:space="preserve">Succinate--CoA ligase [GDP-forming] subunit beta, mitochondrial </t>
  </si>
  <si>
    <t>GO:0005524 (ATP binding); GO:0003824 (catalytic activity); GO:0046872 (metal ion binding); GO:0000166 (nucleotide binding); GO:0005525 (GTP binding); GO:0016874 (ligase activity); GO:0005739 (mitochondrion); GO:0006099 (tricarboxylic acid cycle); GO:0000287 (magnesium ion binding); GO:0004775 (succinate-CoA ligase (ADP-forming) activity); GO:0004776 (succinate-CoA ligase (GDP-forming) activity); GO:0006104 (succinyl-CoA metabolic process); GO:0042709 (succinate-CoA ligase complex)</t>
  </si>
  <si>
    <t>GO:0046872 (metal ion binding); GO:0016740 (transferase activity); GO:0043161 (proteasome-mediated ubiquitin-dependent protein catabolic process); GO:0016491 (oxidoreductase activity); GO:0000151 (ubiquitin ligase complex); GO:0004842 (ubiquitin-protein transferase activity); GO:0043130 (ubiquitin binding); GO:0071797 (LUBAC complex); GO:0097039 (protein linear polyubiquitination)</t>
  </si>
  <si>
    <t xml:space="preserve">Putative ribosomal protein S6 kinase alpha-1 </t>
  </si>
  <si>
    <t>GO:0004672 (protein kinase activity); GO:0004674 (protein serine/threonine kinase activity); GO:0035556 (intracellular signal transduction); GO:0006468 (protein phosphorylation); GO:0000287 (magnesium ion binding); GO:0005524 (ATP binding); GO:0016301 (kinase activity); GO:0016310 (phosphorylation); GO:0000166 (nucleotide binding); GO:0016740 (transferase activity); GO:0106310 (protein serine kinase activity); GO:0106311 (protein threonine kinase activity)</t>
  </si>
  <si>
    <t xml:space="preserve">ImmunoGlobulin-like Cell adhesion Molecule family </t>
  </si>
  <si>
    <t>GO:0016020 (membrane); GO:0016021 (integral component of membrane); GO:0098609 (cell-cell adhesion); GO:0005887 (integral component of plasma membrane); GO:0050839 (cell adhesion molecule binding); GO:0005911 (cell-cell junction); GO:0005515 (protein binding)</t>
  </si>
  <si>
    <t xml:space="preserve">Facilitated glucose transporter homolog </t>
  </si>
  <si>
    <t>GO:0016020 (membrane); GO:0016021 (integral component of membrane); GO:0005886 (plasma membrane); GO:0022857 (transmembrane transporter activity); GO:0055085 (transmembrane transport)</t>
  </si>
  <si>
    <t>GO:0016787 (hydrolase activity); GO:0046872 (metal ion binding); GO:0008270 (zinc ion binding); GO:0006508 (proteolysis); GO:0008233 (peptidase activity); GO:0008237 (metallopeptidase activity); GO:0005615 (extracellular space); GO:0004181 (metallocarboxypeptidase activity); GO:0004180 (carboxypeptidase activity)</t>
  </si>
  <si>
    <t xml:space="preserve">Probable insulin-like peptide beta-type 5 </t>
  </si>
  <si>
    <t>GO:0007218 (neuropeptide signaling pathway); GO:0050829 (defense response to Gram-negative bacterium)</t>
  </si>
  <si>
    <t xml:space="preserve">UDP-glucuronosyltransferase </t>
  </si>
  <si>
    <t>GO:0016740 (transferase activity); GO:0005829 (cytosol); GO:0000287 (magnesium ion binding); GO:0019878 (lysine biosynthetic process via aminoadipic acid); GO:0008897 (holo-[acyl-carrier-protein] synthase activity)</t>
  </si>
  <si>
    <t>GO:0016020 (membrane); GO:0016021 (integral component of membrane); GO:0006811 (ion transport); GO:0005891 (voltage-gated calcium channel complex); GO:0006816 (calcium ion transport); GO:0005245 (voltage-gated calcium channel activity); GO:0070588 (calcium ion transmembrane transport)</t>
  </si>
  <si>
    <t>GO:1990904 (ribonucleoprotein complex); GO:0005783 (endoplasmic reticulum); GO:0008298 (intracellular mRNA localization); GO:0042175 (nuclear outer membrane-endoplasmic reticulum membrane network); GO:0045087 (innate immune response)</t>
  </si>
  <si>
    <t xml:space="preserve">Tetraspanin-14 </t>
  </si>
  <si>
    <t>GO:0016020 (membrane); GO:0016021 (integral component of membrane); GO:0005886 (plasma membrane); GO:0005887 (integral component of plasma membrane); GO:0005515 (protein binding); GO:0040026 (positive regulation of vulval development); GO:0042661 (regulation of mesodermal cell fate specification); GO:0040019 (positive regulation of embryonic development); GO:1901046 (positive regulation of oviposition); GO:1901048 (transforming growth factor beta receptor signaling pathway involved in regulation of multicellular organism growth); GO:0030511 (positive regulation of transforming growth factor beta receptor signaling pathway); GO:0045138 (nematode male tail tip morphogenesis); GO:0002020 (protease binding)</t>
  </si>
  <si>
    <t xml:space="preserve">Growth arrest-specific protein 1 homolog </t>
  </si>
  <si>
    <t xml:space="preserve">MAB-18 </t>
  </si>
  <si>
    <t>GO:0003677 (DNA binding); GO:0005634 (nucleus); GO:0005737 (cytoplasm); GO:0006355 (regulation of transcription, DNA-templated); GO:0007275 (multicellular organism development); GO:0005515 (protein binding); GO:0000978 (RNA polymerase II cis-regulatory region sequence-specific DNA binding); GO:0000981 (DNA-binding transcription factor activity, RNA polymerase II-specific); GO:0006357 (regulation of transcription by RNA polymerase II); GO:0048856 (anatomical structure development); GO:1903355 (negative regulation of distal tip cell migration); GO:0003700 (DNA-binding transcription factor activity); GO:0045944 (positive regulation of transcription by RNA polymerase II); GO:0045138 (nematode male tail tip morphogenesis); GO:0009952 (anterior/posterior pattern specification); GO:0030155 (regulation of cell adhesion); GO:0045165 (cell fate commitment); GO:0045687 (positive regulation of glial cell differentiation)</t>
  </si>
  <si>
    <t xml:space="preserve">Ubiquitin fusion degradation protein 3 homolog </t>
  </si>
  <si>
    <t>GO:0005634 (nucleus); GO:0005737 (cytoplasm); GO:0043161 (proteasome-mediated ubiquitin-dependent protein catabolic process); GO:0005515 (protein binding); GO:0010992 (ubiquitin recycling); GO:0043130 (ubiquitin binding)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</si>
  <si>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activity); GO:0043051 (regulation of pharyngeal pumping); GO:0001508 (action potential); GO:0031987 (locomotion involved in locomotory behavior)</t>
  </si>
  <si>
    <t xml:space="preserve">Cell Division Cycle related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</si>
  <si>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</t>
  </si>
  <si>
    <t>GO:0005856 (cytoskeleton); GO:0008017 (microtubule binding); GO:0034453 (microtubule anchoring)</t>
  </si>
  <si>
    <t xml:space="preserve">Histone H1.4 </t>
  </si>
  <si>
    <t>GO:0031234 (extrinsic component of cytoplasmic side of plasma membrane); GO:0003009 (skeletal muscle contraction); GO:1901387 (positive regulation of voltage-gated calcium channel activity); GO:1903078 (positive regulation of protein localization to plasma membrane); GO:0005515 (protein binding)</t>
  </si>
  <si>
    <t xml:space="preserve">Zinc finger transcription factor family protein 1 </t>
  </si>
  <si>
    <t>GO:0005634 (nucleus); GO:0046872 (metal ion binding); GO:0003677 (DNA binding); GO:0043565 (sequence-specific DNA binding); GO:0000981 (DNA-binding transcription factor activity, RNA polymerase II-specific); GO:0006357 (regulation of transcription by RNA polymerase II)</t>
  </si>
  <si>
    <t>GO:0003682 (chromatin binding); GO:0035064 (methylated histone binding); GO:0097240 (chromosome attachment to the nuclear envelope); GO:0010468 (regulation of gene expression); GO:0000793 (condensed chromosome); GO:0005637 (nuclear inner membrane)</t>
  </si>
  <si>
    <t xml:space="preserve">Succinate dehydrogenase [ubiquinone] flavoprotein subunit, mitochondrial </t>
  </si>
  <si>
    <t>GO:0016020 (membrane); GO:0016491 (oxidoreductase activity); GO:0009055 (electron transfer activity); GO:0016627 (oxidoreductase activity, acting on the CH-CH group of donors); GO:0050660 (flavin adenine dinucleotide binding); GO:0006099 (tricarboxylic acid cycle); GO:0005743 (mitochondrial inner membrane); GO:0000104 (succinate dehydrogenase activity); GO:0005749 (mitochondrial respiratory chain complex II, succinate dehydrogenase complex (ubiquinone)); GO:0006121 (mitochondrial electron transport, succinate to ubiquinone); GO:0008177 (succinate dehydrogenase (ubiquinone) activity); GO:0022900 (electron transport chain); GO:0055114 (oxidation-reduction process)</t>
  </si>
  <si>
    <t xml:space="preserve">Histone H1.5 </t>
  </si>
  <si>
    <t xml:space="preserve">D2-like dopamine receptor long variant; DOPamine receptor </t>
  </si>
  <si>
    <t>GO:0004930 (G protein-coupled receptor activity); GO:0007186 (G protein-coupled receptor signaling pathway); GO:0016021 (integral component of membrane); GO:0016020 (membrane); GO:0005886 (plasma membrane); GO:0007268 (chemical synaptic transmission); GO:0007165 (signal transduction); GO:0005887 (integral component of plasma membrane); GO:0005515 (protein binding); GO:0090326 (positive regulation of locomotion involved in locomotory behavior);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GO:0090327 (negative regulation of locomotion involved in locomotory behavior); GO:0034608 (vulval location); GO:0034609 (spicule insertion); GO:0001591 (dopamine neurotransmitter receptor activity, coupled via Gi/Go); GO:0007212 (dopamine receptor signaling pathway); GO:0032094 (response to food); GO:0001963 (synaptic transmission, dopaminergic); GO:1902435 (regulation of male mating behavior); GO:1902437 (positive regulation of male mating behavior); GO:0045202 (synapse); GO:0033602 (negative regulation of dopamine secretion); GO:0071316 (cellular response to nicotine); GO:0071419 (cellular response to amphetamine); GO:1902847 (regulation of neuronal signal transduction)</t>
  </si>
  <si>
    <t xml:space="preserve">Probable histone chaperone asf-1-like protein </t>
  </si>
  <si>
    <t>GO:0006337 (nucleosome disassembly); GO:0042393 (histone binding); GO:0006333 (chromatin assembly or disassembly); GO:0016573 (histone acetylation); GO:0006334 (nucleosome assembly); GO:0005634 (nucleus)</t>
  </si>
  <si>
    <t>FMRFamide-like neuropeptides 14 KHEYLRF-amide 1 KHEYLRF-amide 2 KHEYLRF-amide 3 KHEYLRF-amide 4</t>
  </si>
  <si>
    <t xml:space="preserve">Tyrosine protein-kinase src-2 </t>
  </si>
  <si>
    <t>GO:0005524 (ATP binding); GO:0004672 (protein kinase activity); GO:0006468 (protein phosphorylation); GO:0016301 (kinase activity); GO:0016310 (phosphorylation); GO:0046872 (metal ion binding); GO:0000166 (nucleotide binding); GO:0016740 (transferase activity); GO:0004713 (protein tyrosine kinase activity); GO:0004715 (non-membrane spanning protein tyrosine kinase activity); GO:0018108 (peptidyl-tyrosine phosphorylation); GO:0031234 (extrinsic component of cytoplasmic side of plasma membrane); GO:0005102 (signaling receptor binding); GO:0007169 (transmembrane receptor protein tyrosine kinase signaling pathway); GO:0030154 (cell differentiation); GO:0045087 (innate immune response); GO:0060465 (pharynx development); GO:0005515 (protein binding); GO:0004714 (transmembrane receptor protein tyrosine kinase activity)</t>
  </si>
  <si>
    <t xml:space="preserve">Eukaryotic translation initiation factor 4E-3 </t>
  </si>
  <si>
    <t>GO:0006413 (translational initiation); GO:0003743 (translation initiation factor activity); GO:0005737 (cytoplasm); GO:0003723 (RNA binding)</t>
  </si>
  <si>
    <t>GO:0038023 (signaling receptor activity); GO:0030246 (carbohydrate binding); GO:0005576 (extracellular region); GO:0048029 (monosaccharide binding)</t>
  </si>
  <si>
    <t>GO:0046872 (metal ion binding); GO:0005739 (mitochondrion)</t>
  </si>
  <si>
    <t xml:space="preserve">Transducer of Cdc42-dependent actin assembly protein 2 homolog </t>
  </si>
  <si>
    <t>GO:0016020 (membrane); GO:0005886 (plasma membrane); GO:0005737 (cytoplasm); GO:0031410 (cytoplasmic vesicle); GO:0007165 (signal transduction); GO:0005515 (protein binding); GO:0030054 (cell junction); GO:0005768 (endosome); GO:0005911 (cell-cell junction); GO:0006897 (endocytosis); GO:1901046 (positive regulation of oviposition); GO:2000370 (positive regulation of clathrin-dependent endocytosis); GO:0055037 (recycling endosome); GO:0048613 (embryonic ectodermal digestive tract morphogenesis); GO:0032956 (regulation of actin cytoskeleton organization); GO:0097708 (intracellular vesicle); GO:1904703 (negative regulation of protein localization to adherens junction)</t>
  </si>
  <si>
    <t xml:space="preserve">Origin recognition complex subunit 1 </t>
  </si>
  <si>
    <t>GO:0005524 (ATP binding); GO:0005634 (nucleus); GO:0000166 (nucleotide binding); GO:0003677 (DNA binding); GO:0016887 (ATPase activity); GO:0006260 (DNA replication); GO:0003688 (DNA replication origin binding); GO:0005664 (nuclear origin of replication recognition complex); GO:0006270 (DNA replication initiation); GO:0033314 (mitotic DNA replication checkpoint)</t>
  </si>
  <si>
    <t>GO:0016020 (membrane); GO:0016021 (integral component of membrane); GO:0016740 (transferase activity); GO:0016746 (transferase activity, transferring acyl groups); GO:0016747 (transferase activity, transferring acyl groups other than amino-acyl groups); GO:0005789 (endoplasmic reticulum membrane); GO:0005783 (endoplasmic reticulum); GO:0006629 (lipid metabolic process); GO:0004144 (diacylglycerol O-acyltransferase activity); GO:0019432 (triglyceride biosynthetic process); GO:0008374 (O-acyltransferase activity)</t>
  </si>
  <si>
    <t xml:space="preserve">Homolog of Odr-2 (Two); Ly-6-related protein HOT-7 </t>
  </si>
  <si>
    <t>GO:0005634 (nucleus); GO:0005737 (cytoplasm); GO:0046872 (metal ion binding); GO:0016740 (transferase activity); GO:0006511 (ubiquitin-dependent protein catabolic process); GO:0016567 (protein ubiquitination); GO:0061630 (ubiquitin protein ligase activity); GO:0008270 (zinc ion binding); GO:0016055 (Wnt signaling pathway); GO:0004842 (ubiquitin-protein transferase activity); GO:0005829 (cytosol); GO:0072572 (poly-ADP-D-ribose binding); GO:0051865 (protein autoubiquitination)</t>
  </si>
  <si>
    <t xml:space="preserve">PhosphoDiEsterase </t>
  </si>
  <si>
    <t>GO:0005739 (mitochondrion); GO:0090305 (nucleic acid phosphodiester bond hydrolysis); GO:0004527 (exonuclease activity); GO:0000288 (nuclear-transcribed mRNA catabolic process, deadenylation-dependent decay); GO:0000175 (3'-5'-exoribonuclease activity); GO:0090503 (RNA phosphodiester bond hydrolysis, exonucleolytic)</t>
  </si>
  <si>
    <t xml:space="preserve">BPTI/Kunitz inhibitor domain-containing protein C02F12.5 </t>
  </si>
  <si>
    <t>GO:0004867 (serine-type endopeptidase inhibitor activity); GO:0010951 (negative regulation of endopeptidase activity); GO:0010466 (negative regulation of peptidase activity); GO:0030414 (peptidase inhibitor activity); GO:0003674 (molecular_function); GO:0005575 (cellular_component); GO:0008150 (biological_process)</t>
  </si>
  <si>
    <t xml:space="preserve">Transmembrane cell adhesion receptor mua-3 </t>
  </si>
  <si>
    <t xml:space="preserve">UnCoupling Protein (Mitochondrial substrate carrier) </t>
  </si>
  <si>
    <t>GO:0016020 (membrane); GO:0016021 (integral component of membrane); GO:0009409 (response to cold)</t>
  </si>
  <si>
    <t xml:space="preserve">DroMyoSuppressin Receptor related </t>
  </si>
  <si>
    <t>GO:0016020 (membrane); GO:0016021 (integral component of membrane); GO:0005886 (plasma membrane); GO:0004930 (G protein-coupled receptor activity); GO:0007165 (signal transduction); GO:0007186 (G protein-coupled receptor signaling pathway); GO:0007218 (neuropeptide signaling pathway); GO:0008528 (G protein-coupled peptide receptor activity); GO:0008188 (neuropeptide receptor activity); GO:0045187 (regulation of circadian sleep/wake cycle, sleep); GO:1900034 (regulation of cellular response to heat); GO:0032809 (neuronal cell body membrane)</t>
  </si>
  <si>
    <t xml:space="preserve">Putative syntaxin-4 </t>
  </si>
  <si>
    <t>GO:0016020 (membrane); GO:0016021 (integral component of membrane); GO:0005886 (plasma membrane); GO:0006886 (intracellular protein transport); GO:0016192 (vesicle-mediated transport); GO:0000149 (SNARE binding); GO:0031201 (SNARE complex); GO:0005515 (protein binding); GO:0005484 (SNAP receptor activity); GO:0006887 (exocytosis); GO:0006906 (vesicle fusion); GO:0031629 (synaptic vesicle fusion to presynaptic active zone membrane); GO:0006836 (neurotransmitter transport); GO:0012505 (endomembrane system); GO:0017157 (regulation of exocytosis); GO:0008021 (synaptic vesicle); GO:0048278 (vesicle docking); GO:0048787 (presynaptic active zone membrane); GO:0016081 (synaptic vesicle docking); GO:0048471 (perinuclear region of cytoplasm); GO:0005887 (integral component of plasma membrane); GO:0032154 (cleavage furrow); GO:0060471 (cortical granule exocytosis); GO:0060473 (cortical granule); GO:0032467 (positive regulation of cytokinesis)</t>
  </si>
  <si>
    <t>Neuropeptide-like protein 29 QWGYGGY-amide GYGGYGGY-amide GMYGGY-amide GMYGGW-amide</t>
  </si>
  <si>
    <t>GO:0016020 (membrane); GO:0016021 (integral component of membrane); GO:0015144 (carbohydrate transmembrane transporter activity); GO:0034219 (carbohydrate transmembrane transport)</t>
  </si>
  <si>
    <t>GO:0016020 (membrane); GO:0016021 (integral component of membrane); GO:0005789 (endoplasmic reticulum membrane); GO:0030433 (ubiquitin-dependent ERAD pathway); GO:0051085 (chaperone cofactor-dependent protein refolding); GO:0030544 (Hsp70 protein binding); GO:0071218 (cellular response to misfolded protein)</t>
  </si>
  <si>
    <t xml:space="preserve">Oocyte Excluded Factor </t>
  </si>
  <si>
    <t xml:space="preserve">KCNN (Potassium K ChaNNel, calcium activated)-Like </t>
  </si>
  <si>
    <t>GO:0016020 (membrane); GO:0016021 (integral component of membrane); GO:0006811 (ion transport); GO:0005886 (plasma membrane); GO:0043005 (neuron projection); GO:0071805 (potassium ion transmembrane transport); GO:0006813 (potassium ion transport); GO:0005516 (calmodulin binding); GO:0043025 (neuronal cell body); GO:0015269 (calcium-activated potassium channel activity); GO:0016286 (small conductance calcium-activated potassium channel activity)</t>
  </si>
  <si>
    <t>GO:0005515 (protein binding); GO:0005737 (cytoplasm); GO:0017148 (negative regulation of translation); GO:0030371 (translation repressor activity); GO:0040021 (hermaphrodite germ-line sex determination); GO:0007283 (spermatogenesis); GO:1900195 (positive regulation of oocyte maturation); GO:2000648 (positive regulation of stem cell proliferation); GO:2000738 (positive regulation of stem cell differentiation)</t>
  </si>
  <si>
    <t xml:space="preserve">General Transcription Factor homolog </t>
  </si>
  <si>
    <t>GO:0005634 (nucleus); GO:0006355 (regulation of transcription, DNA-templated); GO:0000439 (transcription factor TFIIH core complex); GO:0005675 (transcription factor TFIIH holo complex); GO:0006289 (nucleotide-excision repair); GO:0070816 (phosphorylation of RNA polymerase II C-terminal domain)</t>
  </si>
  <si>
    <t xml:space="preserve">Alpha,alpha-trehalose-phosphate synthase [UDP-forming] 1 </t>
  </si>
  <si>
    <t>GO:0003824 (catalytic activity); GO:0016740 (transferase activity); GO:0005829 (cytosol); GO:0016757 (transferase activity, transferring glycosyl groups); GO:0003825 (alpha,alpha-trehalose-phosphate synthase (UDP-forming) activity); GO:0005946 (alpha,alpha-trehalose-phosphate synthase complex (UDP-forming)); GO:0005992 (trehalose biosynthetic process)</t>
  </si>
  <si>
    <t xml:space="preserve">DEgenerin Linked to Mechanosensation </t>
  </si>
  <si>
    <t>GO:0000981 (DNA-binding transcription factor activity, RNA polymerase II-specific); GO:0006355 (regulation of transcription, DNA-templated); GO:0003677 (DNA binding)</t>
  </si>
  <si>
    <t xml:space="preserve">Histone H1.1 </t>
  </si>
  <si>
    <t xml:space="preserve">Serpentine Receptor, class W </t>
  </si>
  <si>
    <t>GO:0016020 (membrane); GO:0016021 (integral component of membrane); GO:0005886 (plasma membrane); GO:0007186 (G protein-coupled receptor signaling pathway); GO:0008528 (G protein-coupled peptide receptor activity)</t>
  </si>
  <si>
    <t>GO:0043231 (intracellular membrane-bounded organelle); GO:1901981 (phosphatidylinositol phosphate binding)</t>
  </si>
  <si>
    <t xml:space="preserve">Tyramine beta-hydroxylase </t>
  </si>
  <si>
    <t>GO:0016020 (membrane); GO:0016021 (integral component of membrane); GO:0003824 (catalytic activity); GO:0046872 (metal ion binding); GO:0016491 (oxidoreductase activity); GO:0005615 (extracellular space); GO:0004497 (monooxygenase activity); GO:0005507 (copper ion binding); GO:0016715 (oxidoreductase activity, acting on paired donors, with incorporation or reduction of molecular oxygen, reduced ascorbate as one donor, and incorporation of one atom of oxygen); GO:0042136 (neurotransmitter biosynthetic process); GO:0004500 (dopamine beta-monooxygenase activity); GO:0006589 (octopamine biosynthetic process); GO:0030667 (secretory granule membrane); GO:0042420 (dopamine catabolic process); GO:0042421 (norepinephrine biosynthetic process); GO:0045202 (synapse); GO:0004836 (tyramine-beta hydroxylase activity); GO:0055114 (oxidation-reduction process)</t>
  </si>
  <si>
    <t xml:space="preserve">Tyrosine-protein phosphatase </t>
  </si>
  <si>
    <t>GO:0004725 (protein tyrosine phosphatase activity); GO:0006470 (protein dephosphorylation); GO:0035335 (peptidyl-tyrosine dephosphorylation); GO:0016311 (dephosphorylation); GO:0016791 (phosphatase activity)</t>
  </si>
  <si>
    <t xml:space="preserve">NeuroPeptide Receptor family </t>
  </si>
  <si>
    <t>GO:0016020 (membrane); GO:0016021 (integral component of membrane); GO:0004930 (G protein-coupled receptor activity); GO:0007186 (G protein-coupled receptor signaling pathway); GO:0005887 (integral component of plasma membrane); GO:0007218 (neuropeptide signaling pathway); GO:0008528 (G protein-coupled peptide receptor activity)</t>
  </si>
  <si>
    <t xml:space="preserve">Hsp-70 Interacting Protein homolog </t>
  </si>
  <si>
    <t>GO:0046983 (protein dimerization activity); GO:0031072 (heat shock protein binding); GO:0051085 (chaperone cofactor-dependent protein refolding); GO:0005783 (endoplasmic reticulum); GO:0055120 (striated muscle dense body); GO:0030017 (sarcomere); GO:0065003 (protein-containing complex assembly); GO:0005515 (protein binding)</t>
  </si>
  <si>
    <t xml:space="preserve">HAlF transporter (PGP related) </t>
  </si>
  <si>
    <t>GO:0016020 (membrane); GO:0016021 (integral component of membrane); GO:0005524 (ATP binding); GO:0000166 (nucleotide binding); GO:0055085 (transmembrane transport); GO:0042626 (ATPase-coupled transmembrane transporter activity); GO:0002376 (immune system process); GO:0098656 (anion transmembrane transport); GO:0015833 (peptide transport); GO:1904680 (peptide transmembrane transporter activity); GO:0016246 (RNA interference); GO:0016887 (ATPase activity); GO:0002250 (adaptive immune response)</t>
  </si>
  <si>
    <t xml:space="preserve">Putative zinc finger protein F56D1.1 </t>
  </si>
  <si>
    <t xml:space="preserve">Heme Responsive protein </t>
  </si>
  <si>
    <t>GO:0005764 (lysosome); GO:0016787 (hydrolase activity); GO:0006508 (proteolysis); GO:0008233 (peptidase activity); GO:0005576 (extracellular region); GO:0004190 (aspartic-type endopeptidase activity); GO:0008219 (cell death)</t>
  </si>
  <si>
    <t xml:space="preserve">EXPOrtin (Nuclear export receptor) </t>
  </si>
  <si>
    <t>GO:0006886 (intracellular protein transport); GO:0005829 (cytosol); GO:0006606 (protein import into nucleus); GO:0005635 (nuclear envelope); GO:0005049 (nuclear export signal receptor activity); GO:0006611 (protein export from nucleus); GO:0005515 (protein binding); GO:0031267 (small GTPase binding)</t>
  </si>
  <si>
    <t>GO:0005524 (ATP binding); GO:0000166 (nucleotide binding); GO:0003774 (motor activity); GO:0003777 (microtubule motor activity); GO:0007018 (microtubule-based movement); GO:0008017 (microtubule binding); GO:0005871 (kinesin complex); GO:0005874 (microtubule); GO:0051257 (meiotic spindle midzone assembly); GO:0010032 (meiotic chromosome condensation); GO:0000794 (condensed nuclear chromosome); GO:0005654 (nucleoplasm); GO:0005819 (spindle); GO:0005694 (chromosome); GO:1990939 (ATP-dependent microtubule motor activity)</t>
  </si>
  <si>
    <t xml:space="preserve">Leishmanolysin-like peptidase </t>
  </si>
  <si>
    <t>GO:0005737 (cytoplasm); GO:0016020 (membrane); GO:0016787 (hydrolase activity); GO:0046872 (metal ion binding); GO:0004222 (metalloendopeptidase activity); GO:0006508 (proteolysis); GO:0008233 (peptidase activity); GO:0008237 (metallopeptidase activity); GO:0007155 (cell adhesion); GO:0007049 (cell cycle); GO:0051301 (cell division)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</si>
  <si>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GO:0005929 (cilium); GO:0042073 (intraciliary transport); GO:0060271 (cilium assembly)</t>
  </si>
  <si>
    <t xml:space="preserve">High Incidence of Males (Increased X chromosome loss) </t>
  </si>
  <si>
    <t>GO:0045132 (meiotic chromosome segregation); GO:0003674 (molecular_function); GO:0000793 (condensed chromosome); GO:0010780 (meiotic DNA double-strand break formation involved in reciprocal meiotic recombination)</t>
  </si>
  <si>
    <t xml:space="preserve">RMi1 (RMI1) Homolog </t>
  </si>
  <si>
    <t>GO:0000166 (nucleotide binding); GO:0000724 (double-strand break repair via homologous recombination); GO:0000712 (resolution of meiotic recombination intermediates); GO:0016604 (nuclear body); GO:0031422 (RecQ family helicase-topoisomerase III complex)</t>
  </si>
  <si>
    <t xml:space="preserve">Cuticle collagen 8 </t>
  </si>
  <si>
    <t xml:space="preserve">SKp1 Related (Ubiquitin ligase complex component) </t>
  </si>
  <si>
    <t xml:space="preserve">Gon-2 Extragenic Modifier </t>
  </si>
  <si>
    <t>GO:0005886 (plasma membrane); GO:0005544 (calcium-dependent phospholipid binding); GO:0071277 (cellular response to calcium ion)</t>
  </si>
  <si>
    <t>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activity); GO:0005863 (striated muscle myosin thick filament)</t>
  </si>
  <si>
    <t>GO:0005737 (cytoplasm); GO:0046872 (metal ion binding); GO:0016491 (oxidoreductase activity); GO:0051213 (dioxygenase activity); GO:0005506 (iron ion binding); GO:0016705 (oxidoreductase activity, acting on paired donors, with incorporation or reduction of molecular oxygen); GO:0031418 (L-ascorbic acid binding); GO:0006449 (regulation of translational termination); GO:0016706 (2-oxoglutarate-dependent dioxygenase activity); GO:0019511 (peptidyl-proline hydroxylation); GO:0031543 (peptidyl-proline dioxygenase activity); GO:0055114 (oxidation-reduction process)</t>
  </si>
  <si>
    <t>GO:0005634 (nucleus); GO:0046872 (metal ion binding); GO:0016740 (transferase activity); GO:0016746 (transferase activity, transferring acyl groups); GO:0007049 (cell cycle); GO:0007062 (sister chromatid cohesion); GO:0000070 (mitotic sister chromatid segregation); GO:0006275 (regulation of DNA replication); GO:0016407 (acetyltransferase activity); GO:0045132 (meiotic chromosome segregation); GO:0034421 (post-translational protein acetylation)</t>
  </si>
  <si>
    <t xml:space="preserve">Sulfide Quinone oxidoReDuctase </t>
  </si>
  <si>
    <t>GO:0005739 (mitochondrion); GO:0070221 (sulfide oxidation, using sulfide:quinone oxidoreductase); GO:0070224 (sulfide:quinone oxidoreductase activity); GO:0071949 (FAD binding); GO:0016491 (oxidoreductase activity); GO:0055114 (oxidation-reduction process)</t>
  </si>
  <si>
    <t xml:space="preserve">Cuticle collagen 14 </t>
  </si>
  <si>
    <t>GO:0042302 (structural constituent of cuticle); GO:0016020 (membrane); GO:0016021 (integral component of membrane)</t>
  </si>
  <si>
    <t xml:space="preserve">Bloom syndrome protein homolog </t>
  </si>
  <si>
    <t>GO:0043138 (3'-5' DNA helicase activity); GO:0004386 (helicase activity); GO:0006310 (DNA recombination); GO:0006281 (DNA repair); GO:0000166 (nucleotide binding); GO:0006260 (DNA replication); GO:0044237 (cellular metabolic process); GO:0003676 (nucleic acid binding); GO:0005524 (ATP binding)</t>
  </si>
  <si>
    <t xml:space="preserve">Tyrosine-protein phosphatase 4 </t>
  </si>
  <si>
    <t>GO:0016311 (dephosphorylation); GO:0006470 (protein dephosphorylation); GO:0004725 (protein tyrosine phosphatase activity); GO:0016791 (phosphatase activity); GO:0005515 (protein binding)</t>
  </si>
  <si>
    <t>GO:0042995 (cell projection); GO:0008017 (microtubule binding); GO:0003779 (actin binding); GO:0005515 (protein binding)</t>
  </si>
  <si>
    <t>GO:0016020 (membrane); GO:0016021 (integral component of membrane); GO:0098609 (cell-cell adhesion); GO:0005887 (integral component of plasma membrane); GO:0050839 (cell adhesion molecule binding); GO:0005911 (cell-cell junction)</t>
  </si>
  <si>
    <t xml:space="preserve">SEM-4 long form </t>
  </si>
  <si>
    <t>GO:0005634 (nucleus); GO:0000978 (RNA polymerase II cis-regulatory region sequence-specific DNA binding); GO:0000981 (DNA-binding transcription factor activity, RNA polymerase II-specific); GO:0006357 (regulation of transcription by RNA polymerase II); GO:0000977 (RNA polymerase II transcription regulatory region sequence-specific DNA binding); GO:0005515 (protein binding); GO:0000122 (negative regulation of transcription by RNA polymerase II); GO:0014016 (neuroblast differentiation); GO:0042692 (muscle cell differentiation); GO:0048333 (mesodermal cell differentiation); GO:0060290 (transdifferentiation)</t>
  </si>
  <si>
    <t>Neuropeptide-like protein 31 QWGYGGY-amide GYGGYGGY-amide GYGGY-amide GMYGGY-amide PYGGYGW-amide</t>
  </si>
  <si>
    <t xml:space="preserve">Centromere/kinetochore protein zw10 homolog </t>
  </si>
  <si>
    <t>GO:0005737 (cytoplasm); GO:0005634 (nucleus); GO:0005856 (cytoskeleton); GO:0005515 (protein binding); GO:0006888 (endoplasmic reticulum to Golgi vesicle-mediated transport); GO:0007049 (cell cycle); GO:0051301 (cell division); GO:0005694 (chromosome); GO:0000775 (chromosome, centromeric region); GO:0000776 (kinetochore); GO:0000777 (condensed chromosome kinetochore); GO:0007059 (chromosome segregation); GO:0005819 (spindle); GO:0007094 (mitotic spindle assembly checkpoint); GO:0000278 (mitotic cell cycle); GO:1990423 (RZZ complex)</t>
  </si>
  <si>
    <t xml:space="preserve">PUD-Like protein </t>
  </si>
  <si>
    <t>GO:0050830 (defense response to Gram-positive bacterium); GO:0005515 (protein binding)</t>
  </si>
  <si>
    <t xml:space="preserve">Uncharacterized transporter B0285.6 </t>
  </si>
  <si>
    <t>GO:0016020 (membrane); GO:0016021 (integral component of membrane); GO:0022857 (transmembrane transporter activity); GO:0055085 (transmembrane transport); GO:0015141 (succinate transmembrane transporter activity); GO:0071422 (succinate transmembrane transport); GO:0015137 (citrate transmembrane transporter activity); GO:0015746 (citrate transport); GO:0098656 (anion transmembrane transport)</t>
  </si>
  <si>
    <t>GO:0016740 (transferase activity); GO:0008080 (N-acetyltransferase activity); GO:0045087 (innate immune response)</t>
  </si>
  <si>
    <t>GO:0010952 (positive regulation of peptidase activity); GO:0016504 (peptidase activator activity); GO:0005634 (nucleus); GO:0005829 (cytosol); GO:0006281 (DNA repair); GO:0006974 (cellular response to DNA damage stimulus); GO:0010499 (proteasomal ubiquitin-independent protein catabolic process); GO:0070577 (lysine-acetylated histone binding); GO:0070628 (proteasome binding)</t>
  </si>
  <si>
    <t xml:space="preserve">Stomatin-2 </t>
  </si>
  <si>
    <t xml:space="preserve">Methylmalonyl-CoA Epimerase; Mitochondrial methylmalonyl-CoA epimerase </t>
  </si>
  <si>
    <t>GO:0004493 (methylmalonyl-CoA epimerase activity); GO:0046491 (L-methylmalonyl-CoA metabolic process); GO:0005739 (mitochondrion)</t>
  </si>
  <si>
    <t xml:space="preserve">Asparagine--tRNA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</si>
  <si>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GO:0003676 (nucleic acid binding); GO:0004816 (asparagine-tRNA ligase activity); GO:0006421 (asparaginyl-tRNA aminoacylation)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</si>
  <si>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</t>
  </si>
  <si>
    <t xml:space="preserve">Chloride channel protein </t>
  </si>
  <si>
    <t>GO:0016020 (membrane); GO:0016021 (integral component of membrane); GO:0006811 (ion transport); GO:0034220 (ion transmembrane transport); GO:0055085 (transmembrane transport); GO:0005887 (integral component of plasma membrane); GO:0005247 (voltage-gated chloride channel activity); GO:0006821 (chloride transport)</t>
  </si>
  <si>
    <t>FMRFamide-like neuropeptides 6 QQDSEVEREMM KSAYMRF-amide 1 KSAYMRF-amide 2 KSAYMRF-amide 3 KSAYMRF-amide 4 KSAYMRF-amide 5 KSAYMRF-amide 6</t>
  </si>
  <si>
    <t xml:space="preserve">D-amino-acid oxidase </t>
  </si>
  <si>
    <t>GO:0046416 (D-amino acid metabolic process); GO:0003884 (D-amino-acid oxidase activity); GO:0071949 (FAD binding); GO:0016491 (oxidoreductase activity); GO:0055114 (oxidation-reduction process)</t>
  </si>
  <si>
    <t xml:space="preserve">Intermediate filament protein ifb-1 </t>
  </si>
  <si>
    <t xml:space="preserve">Intraflagellar transport protein 122 homolog </t>
  </si>
  <si>
    <t>GO:0060271 (cilium assembly); GO:0005515 (protein binding)</t>
  </si>
  <si>
    <t xml:space="preserve">Wiskott-Aldrich syndrome protein (WASP)-Interacting Protein and gene assignment </t>
  </si>
  <si>
    <t>GO:0003779 (actin binding); GO:0010172 (embryonic body morphogenesis); GO:0030334 (regulation of cell migration); GO:0005519 (cytoskeletal regulatory protein binding); GO:0031647 (regulation of protein stability)</t>
  </si>
  <si>
    <t xml:space="preserve">Fem-3 mRNA-binding factor 1 </t>
  </si>
  <si>
    <t xml:space="preserve">Beta-LACTamase domain containing </t>
  </si>
  <si>
    <t xml:space="preserve">LAMinin related. See also lmb </t>
  </si>
  <si>
    <t>GO:0016020 (membrane); GO:0009888 (tissue development); GO:0016477 (cell migration); GO:0005604 (basement membrane); GO:0034446 (substrate adhesion-dependent cell spreading); GO:0040017 (positive regulation of locomotion); GO:0060465 (pharynx development); GO:0009887 (animal organ morphogenesis); GO:0070831 (basement membrane assembly); GO:0043256 (laminin complex)</t>
  </si>
  <si>
    <t xml:space="preserve">Dual specificity mitogen-activated protein kinase kinase mek-1 </t>
  </si>
  <si>
    <t>GO:0016020 (membrane); GO:0016021 (integral component of membrane); GO:0004930 (G protein-coupled receptor activity); GO:0007186 (G protein-coupled receptor signaling pathway)</t>
  </si>
  <si>
    <t>GO:0031410 (cytoplasmic vesicle); GO:0035255 (ionotropic glutamate receptor binding); GO:0008328 (ionotropic glutamate receptor complex); GO:0030054 (cell junction); GO:0045202 (synapse); GO:0005515 (protein binding); GO:0042995 (cell projection); GO:0045211 (postsynaptic membrane); GO:0014069 (postsynaptic density); GO:0031143 (pseudopodium); GO:0043197 (dendritic spine); GO:0051968 (positive regulation of synaptic transmission, glutamatergic); GO:2000311 (regulation of AMPA receptor activity); GO:0048854 (brain morphogenesis); GO:0030421 (defecation); GO:0007622 (rhythmic behavior); GO:0030160 (synaptic receptor adaptor activity); GO:0051124 (synaptic growth at neuromuscular junction); GO:0060291 (long-term synaptic potentiation); GO:0060997 (dendritic spine morphogenesis); GO:0060999 (positive regulation of dendritic spine development); GO:0097107 (postsynaptic density assembly); GO:2000463 (positive regulation of excitatory postsynaptic potential)</t>
  </si>
  <si>
    <t xml:space="preserve">60S ribosomal protein L11-1 </t>
  </si>
  <si>
    <t>GO:0005634 (nucleus); GO:0005737 (cytoplasm); GO:0003723 (RNA binding); GO:0003735 (structural constituent of ribosome); GO:0005840 (ribosome); GO:0006412 (translation); GO:0022625 (cytosolic large ribosomal subunit); GO:0019843 (rRNA binding)</t>
  </si>
  <si>
    <t xml:space="preserve">Beta-lactamase domain-containing protein 2 </t>
  </si>
  <si>
    <t xml:space="preserve">Probable 3',5'-cyclic phosphodiesterase pde-1 </t>
  </si>
  <si>
    <t>GO:0008081 (phosphoric diester hydrolase activity); GO:0004114 (3',5'-cyclic-nucleotide phosphodiesterase activity); GO:0007165 (signal transduction); GO:0016787 (hydrolase activity); GO:0046872 (metal ion binding); GO:0005516 (calmodulin binding)</t>
  </si>
  <si>
    <t>GO:0016020 (membrane); GO:0016021 (integral component of membrane); GO:0098655 (cation transmembrane transport); GO:0055085 (transmembrane transport); GO:0006812 (cation transport); GO:0008324 (cation transmembrane transporter activity); GO:0006829 (zinc ion transport); GO:0045087 (innate immune response)</t>
  </si>
  <si>
    <t>GO:0009792 (embryo development ending in birth or egg hatching); GO:0005102 (signaling receptor binding); GO:0005576 (extracellular region); GO:0007154 (cell communication)</t>
  </si>
  <si>
    <t xml:space="preserve">Transient-receptor-potential-like protein </t>
  </si>
  <si>
    <t>GO:0016020 (membrane); GO:0016021 (integral component of membrane); GO:0005216 (ion channel activity); GO:0006811 (ion transport); GO:0055085 (transmembrane transport); GO:0005887 (integral component of plasma membrane); GO:0070588 (calcium ion transmembrane transport); GO:0005262 (calcium channel activity); GO:0051480 (regulation of cytosolic calcium ion concentration); GO:0006828 (manganese ion transport); GO:0007338 (single fertilization); GO:0015279 (store-operated calcium channel activity); GO:0034703 (cation channel complex); GO:0070679 (inositol 1,4,5 trisphosphate binding); GO:0005515 (protein binding)</t>
  </si>
  <si>
    <t>GO:0016020 (membrane); GO:0016021 (integral component of membrane); GO:0005783 (endoplasmic reticulum); GO:0005789 (endoplasmic reticulum membrane); GO:0005635 (nuclear envelope); GO:0005637 (nuclear inner membrane); GO:0005640 (nuclear outer membrane)</t>
  </si>
  <si>
    <t>GO:0016491 (oxidoreductase activity)</t>
  </si>
  <si>
    <t>GO:0016787 (hydrolase activity); GO:0005782 (peroxisomal matrix); GO:0006637 (acyl-CoA metabolic process); GO:0009062 (fatty acid catabolic process); GO:0047617 (acyl-CoA hydrolase activity); GO:0016020 (membrane); GO:0016021 (integral component of membrane)</t>
  </si>
  <si>
    <t xml:space="preserve">Peptidyl-prolyl cis-trans isomerase 7 </t>
  </si>
  <si>
    <t xml:space="preserve">TropoMoDulin </t>
  </si>
  <si>
    <t>GO:0005856 (cytoskeleton); GO:0007015 (actin filament organization); GO:0005523 (tropomyosin binding); GO:0030016 (myofibril); GO:0030239 (myofibril assembly); GO:0051694 (pointed-end actin filament capping)</t>
  </si>
  <si>
    <t xml:space="preserve">Aspartic protease 3 </t>
  </si>
  <si>
    <t xml:space="preserve">AnNEXin family </t>
  </si>
  <si>
    <t>GO:0005509 (calcium ion binding); GO:0005544 (calcium-dependent phospholipid binding); GO:0005737 (cytoplasm); GO:0001786 (phosphatidylserine binding); GO:0005545 (1-phosphatidylinositol binding); GO:0008201 (heparin binding); GO:0008429 (phosphatidylethanolamine binding)</t>
  </si>
  <si>
    <t xml:space="preserve">VIG (Drosophila Vasa Intronic Gene) ortholog </t>
  </si>
  <si>
    <t>GO:0005634 (nucleus); GO:0005737 (cytoplasm); GO:0003723 (RNA binding); GO:0016442 (RISC complex)</t>
  </si>
  <si>
    <t xml:space="preserve">SQuashed Vulva </t>
  </si>
  <si>
    <t>GO:0005737 (cytoplasm); GO:0016829 (lyase activity); GO:0070403 (NAD+ binding); GO:0016831 (carboxy-lyase activity); GO:0048040 (UDP-glucuronate decarboxylase activity); GO:0009792 (embryo development ending in birth or egg hatching); GO:0018991 (oviposition); GO:0000003 (reproduction); GO:0040025 (vulval development); GO:0060465 (pharynx development); GO:0002009 (morphogenesis of an epithelium); GO:0042732 (D-xylose metabolic process); GO:0033320 (UDP-D-xylose biosynthetic process)</t>
  </si>
  <si>
    <t xml:space="preserve">Homeobox protein pal-1 </t>
  </si>
  <si>
    <t>GO:0035694 (mitochondrial protein catabolic process); GO:0005741 (mitochondrial outer membrane)</t>
  </si>
  <si>
    <t xml:space="preserve">Onchocerca Related Antigen family </t>
  </si>
  <si>
    <t xml:space="preserve">U Six snRNA Interacting Protein </t>
  </si>
  <si>
    <t>GO:0005634 (nucleus); GO:0046872 (metal ion binding); GO:0016740 (transferase activity); GO:0016779 (nucleotidyltransferase activity); GO:0005654 (nucleoplasm); GO:0031123 (RNA 3'-end processing); GO:0050265 (RNA uridylyltransferase activity); GO:0034477 (U6 snRNA 3'-end processing); GO:0071076 (RNA 3' uridylation)</t>
  </si>
  <si>
    <t xml:space="preserve">Putative UDP-glucuronosyltransferase ugt-55 </t>
  </si>
  <si>
    <t xml:space="preserve">Transmembrane and Coiled-Coil protein </t>
  </si>
  <si>
    <t>GO:0016020 (membrane); GO:0016021 (integral component of membrane); GO:0019894 (kinesin binding); GO:0005789 (endoplasmic reticulum membrane); GO:0051653 (spindle localization)</t>
  </si>
  <si>
    <t xml:space="preserve">ATP Synthase B homolog </t>
  </si>
  <si>
    <t>GO:0016020 (membrane); GO:0006811 (ion transport); GO:0005739 (mitochondrion); GO:0005743 (mitochondrial inner membrane); GO:0015078 (proton transmembrane transporter activity); GO:0015986 (ATP synthesis coupled proton transport); GO:0000276 (mitochondrial proton-transporting ATP synthase complex, coupling factor F(o)); GO:0097730 (non-motile cilium)</t>
  </si>
  <si>
    <t xml:space="preserve">Sugar transporter SWEET1 </t>
  </si>
  <si>
    <t>GO:0016020 (membrane); GO:0016021 (integral component of membrane); GO:0005886 (plasma membrane); GO:0000139 (Golgi membrane); GO:0005794 (Golgi apparatus); GO:0008643 (carbohydrate transport); GO:0034219 (carbohydrate transmembrane transport); GO:0051119 (sugar transmembrane transporter activity)</t>
  </si>
  <si>
    <t xml:space="preserve">N-acetylglucosamine-6-phosphate deacetylase </t>
  </si>
  <si>
    <t>GO:0016787 (hydrolase activity); GO:0046872 (metal ion binding); GO:0005975 (carbohydrate metabolic process); GO:0016810 (hydrolase activity, acting on carbon-nitrogen (but not peptide) bonds); GO:0006044 (N-acetylglucosamine metabolic process); GO:0006046 (N-acetylglucosamine catabolic process); GO:0008448 (N-acetylglucosamine-6-phosphate deacetylase activity); GO:0047419 (N-acetylgalactosamine-6-phosphate deacetylase activity)</t>
  </si>
  <si>
    <t>Cell death protein 3 Cell death protein 3 subunit p17 Cell death protein 3 subunit p15 Cell death protein 3 subunit p13</t>
  </si>
  <si>
    <t>GO:0042981 (regulation of apoptotic process); GO:0004197 (cysteine-type endopeptidase activity); GO:0008234 (cysteine-type peptidase activity); GO:0006508 (proteolysis); GO:0016787 (hydrolase activity); GO:0008233 (peptidase activity); GO:0009792 (embryo development ending in birth or egg hatching); GO:0005737 (cytoplasm); GO:0048471 (perinuclear region of cytoplasm); GO:0006915 (apoptotic process); GO:0012501 (programmed cell death); GO:0016020 (membrane); GO:0004175 (endopeptidase activity); GO:0016540 (protein autoprocessing); GO:0030163 (protein catabolic process); GO:0097194 (execution phase of apoptosis)</t>
  </si>
  <si>
    <t xml:space="preserve">Homeobox protein ceh-32 </t>
  </si>
  <si>
    <t>GO:0016020 (membrane); GO:0016021 (integral component of membrane); GO:0038023 (signaling receptor activity); GO:0005216 (ion channel activity); GO:0005886 (plasma membrane); GO:0006811 (ion transport); GO:0034220 (ion transmembrane transport); GO:0008066 (glutamate receptor activity); GO:0030054 (cell junction); GO:0045202 (synapse); GO:0045211 (postsynaptic membrane); GO:0060078 (regulation of postsynaptic membrane potential); GO:0004970 (ionotropic glutamate receptor activity); GO:0035235 (ionotropic glutamate receptor signaling pathway); GO:0035249 (synaptic transmission, glutamatergic); GO:0050804 (modulation of chemical synaptic transmission); GO:1904315 (transmitter-gated ion channel activity involved in regulation of postsynaptic membrane potential); GO:0015276 (ligand-gated ion channel activity)</t>
  </si>
  <si>
    <t xml:space="preserve">1,2-dihydroxy-3-keto-5-methylthiopentene dioxygenase homolog 2 </t>
  </si>
  <si>
    <t xml:space="preserve">Probable phosphomannomutase </t>
  </si>
  <si>
    <t>GO:0046872 (metal ion binding); GO:0005737 (cytoplasm); GO:0005829 (cytosol); GO:0016853 (isomerase activity); GO:0006487 (protein N-linked glycosylation); GO:0009298 (GDP-mannose biosynthetic process); GO:0006013 (mannose metabolic process); GO:0004615 (phosphomannomutase activity)</t>
  </si>
  <si>
    <t xml:space="preserve">Nuclear hormone receptor family member nhr-25 </t>
  </si>
  <si>
    <t>GO:0004879 (nuclear receptor activity); GO:0043565 (sequence-specific DNA binding); GO:0003700 (DNA-binding transcription factor activity); GO:0008270 (zinc ion binding); GO:0006355 (regulation of transcription, DNA-templated); GO:0003677 (DNA binding)</t>
  </si>
  <si>
    <t xml:space="preserve">Uterine Lumin Expressed/locailized </t>
  </si>
  <si>
    <t>GO:0005525 (GTP binding); GO:0003924 (GTPase activity)</t>
  </si>
  <si>
    <t>GO:0005615 (extracellular space); GO:0005112 (Notch binding); GO:0045747 (positive regulation of Notch signaling pathway); GO:0006970 (response to osmotic stress)</t>
  </si>
  <si>
    <t xml:space="preserve">Tetraspanin-15 </t>
  </si>
  <si>
    <t>GO:0016020 (membrane); GO:0016021 (integral component of membrane); GO:0005887 (integral component of plasma membrane); GO:0042338 (cuticle development involved in collagen and cuticulin-based cuticle molting cycle); GO:0098773 (skin epidermis development)</t>
  </si>
  <si>
    <t xml:space="preserve">PAX (Paired box) transcription factor </t>
  </si>
  <si>
    <t>GO:0003677 (DNA binding); GO:0005634 (nucleus); GO:0006355 (regulation of transcription, DNA-templated); GO:0005515 (protein binding); GO:0000978 (RNA polymerase II cis-regulatory region sequence-specific DNA binding); GO:0000981 (DNA-binding transcription factor activity, RNA polymerase II-specific); GO:0006357 (regulation of transcription by RNA polymerase II); GO:0048856 (anatomical structure development); GO:0031581 (hemidesmosome assembly)</t>
  </si>
  <si>
    <t xml:space="preserve">RBR-type E3 ubiquitin transferase </t>
  </si>
  <si>
    <t>GO:0016020 (membrane); GO:0016021 (integral component of membrane); GO:0005737 (cytoplasm); GO:0046872 (metal ion binding); GO:0016740 (transferase activity); GO:0000209 (protein polyubiquitination); GO:0004842 (ubiquitin-protein transferase activity); GO:0006511 (ubiquitin-dependent protein catabolic process); GO:0061630 (ubiquitin protein ligase activity); GO:0016567 (protein ubiquitination); GO:0000151 (ubiquitin ligase complex); GO:0031624 (ubiquitin conjugating enzyme binding); GO:0032436 (positive regulation of proteasomal ubiquitin-dependent protein catabolic process)</t>
  </si>
  <si>
    <t xml:space="preserve">Adenylyl cyclase-associated protein </t>
  </si>
  <si>
    <t>GO:0005737 (cytoplasm); GO:0003779 (actin binding); GO:0000902 (cell morphogenesis); GO:0007010 (cytoskeleton organization); GO:0008179 (adenylate cyclase binding); GO:0045761 (regulation of adenylate cyclase activity); GO:0019933 (cAMP-mediated signaling)</t>
  </si>
  <si>
    <t xml:space="preserve">Protein containing ALS2cr12 (ALS2CR12) signature </t>
  </si>
  <si>
    <t xml:space="preserve">Plant Late Embryo Abundant (LEA) related </t>
  </si>
  <si>
    <t>GO:0009269 (response to desiccation); GO:0005576 (extracellular region); GO:0008289 (lipid binding); GO:0006869 (lipid transport); GO:0042157 (lipoprotein metabolic process); GO:0006972 (hyperosmotic response); GO:0009408 (response to heat)</t>
  </si>
  <si>
    <t xml:space="preserve">Suppressor of Stomatin mutant Uncoordination </t>
  </si>
  <si>
    <t>GO:0016020 (membrane); GO:0005737 (cytoplasm); GO:0016740 (transferase activity); GO:0008146 (sulfotransferase activity); GO:0005829 (cytosol); GO:0006970 (response to osmotic stress); GO:0006790 (sulfur compound metabolic process); GO:0004062 (aryl sulfotransferase activity); GO:0034930 (1-hydroxypyrene sulfotransferase activity); GO:0051923 (sulfation)</t>
  </si>
  <si>
    <t xml:space="preserve">WaRThog (Hedgehog-like family) </t>
  </si>
  <si>
    <t xml:space="preserve">P granule abnormality protein 2 </t>
  </si>
  <si>
    <t xml:space="preserve">Suppressor of presenilin-2 </t>
  </si>
  <si>
    <t>GO:0005634 (nucleus); GO:0003682 (chromatin binding); GO:0042393 (histone binding); GO:0000785 (chromatin); GO:0006334 (nucleosome assembly); GO:0046662 (regulation of oviposition)</t>
  </si>
  <si>
    <t>GO:0005615 (extracellular space); GO:0005112 (Notch binding); GO:0045747 (positive regulation of Notch signaling pathway); GO:0001708 (cell fate specification); GO:0040025 (vulval development); GO:0006970 (response to osmotic stress); GO:0045177 (apical part of cell)</t>
  </si>
  <si>
    <t>GO:0042138 (meiotic DNA double-strand break formation); GO:0090173 (regulation of synaptonemal complex assembly)</t>
  </si>
  <si>
    <t xml:space="preserve">CoPiNe domain protein, Atypical </t>
  </si>
  <si>
    <t xml:space="preserve">Regulator of G-protein signaling rgs-2 </t>
  </si>
  <si>
    <t>GO:0043547 (positive regulation of GTPase activity); GO:0009968 (negative regulation of signal transduction); GO:0005096 (GTPase activator activity)</t>
  </si>
  <si>
    <t xml:space="preserve">Endoplasmic reticulum-like protein </t>
  </si>
  <si>
    <t>GO:0046872 (metal ion binding); GO:0008270 (zinc ion binding); GO:0005829 (cytosol); GO:0005975 (carbohydrate metabolic process); GO:0016853 (isomerase activity); GO:0009298 (GDP-mannose biosynthetic process); GO:0006486 (protein glycosylation); GO:0000032 (cell wall mannoprotein biosynthetic process); GO:0004476 (mannose-6-phosphate isomerase activity)</t>
  </si>
  <si>
    <t xml:space="preserve">Homolog of S. Pombe Rad; Rad17-like protein </t>
  </si>
  <si>
    <t>GO:0005634 (nucleus); GO:0000166 (nucleotide binding); GO:0000077 (DNA damage checkpoint); GO:0005524 (ATP binding); GO:0003682 (chromatin binding); GO:0006281 (DNA repair); GO:0006974 (cellular response to DNA damage stimulus); GO:0033314 (mitotic DNA replication checkpoint)</t>
  </si>
  <si>
    <t xml:space="preserve">CHp/Wrch Rho-like protein homolog </t>
  </si>
  <si>
    <t>GO:0003924 (GTPase activity); GO:0005525 (GTP binding); GO:0016477 (cell migration); GO:0006897 (endocytosis); GO:0030031 (cell projection assembly); GO:0032488 (Cdc42 protein signal transduction); GO:0040025 (vulval development); GO:0007163 (establishment or maintenance of cell polarity)</t>
  </si>
  <si>
    <t xml:space="preserve">Tubulin beta-4 chain 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</si>
  <si>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GO:0005879 (axonemal microtubule)</t>
  </si>
  <si>
    <t>GO:0005634 (nucleus); GO:0005524 (ATP binding); GO:0000166 (nucleotide binding); GO:0003774 (motor activity); GO:0007018 (microtubule-based movement); GO:0008017 (microtubule binding); GO:0003777 (microtubule motor activity); GO:0005871 (kinesin complex); GO:0005874 (microtubule); GO:0005815 (microtubule organizing center); GO:0007059 (chromosome segregation); GO:0090307 (mitotic spindle assembly); GO:0072686 (mitotic spindle); GO:0043025 (neuronal cell body); GO:1990939 (ATP-dependent microtubule motor activity)</t>
  </si>
  <si>
    <t xml:space="preserve">CDT (S. pombe CDC10 Dependent Transcript) homolog </t>
  </si>
  <si>
    <t>GO:0005634 (nucleus); GO:0043161 (proteasome-mediated ubiquitin-dependent protein catabolic process); GO:0005515 (protein binding)</t>
  </si>
  <si>
    <t>GO:0005615 (extracellular space); GO:0003674 (molecular_function); GO:0008150 (biological_process)</t>
  </si>
  <si>
    <t xml:space="preserve">SPINster (Drosophila lysosomal permease) homolog </t>
  </si>
  <si>
    <t xml:space="preserve">UPF0375 protein Y45F10C.2 </t>
  </si>
  <si>
    <t>GO:0016020 (membrane); GO:0016021 (integral component of membrane); GO:0005737 (cytoplasm); GO:0046872 (metal ion binding); GO:0006511 (ubiquitin-dependent protein catabolic process); GO:0061630 (ubiquitin protein ligase activity); GO:0016567 (protein ubiquitination)</t>
  </si>
  <si>
    <t xml:space="preserve">Cystathionine Beta Lyase </t>
  </si>
  <si>
    <t>GO:0005737 (cytoplasm); GO:0003824 (catalytic activity); GO:0030170 (pyridoxal phosphate binding); GO:0016846 (carbon-sulfur lyase activity); GO:0019346 (transsulfuration); GO:0019344 (cysteine biosynthetic process); GO:0004123 (cystathionine gamma-lyase activity); GO:0044540 (L-cystine L-cysteine-lyase (deaminating)); GO:0080146 (L-cysteine desulfhydrase activity)</t>
  </si>
  <si>
    <t xml:space="preserve">PhosphoLipid Phosphatase Related homolog </t>
  </si>
  <si>
    <t>GO:0016020 (membrane); GO:0016021 (integral component of membrane); GO:0006644 (phospholipid metabolic process); GO:0005887 (integral component of plasma membrane); GO:0007165 (signal transduction); GO:0008195 (phosphatidate phosphatase activity); GO:0042577 (lipid phosphatase activity); GO:0046839 (phospholipid dephosphorylation)</t>
  </si>
  <si>
    <t>GO:0016020 (membrane); GO:0016021 (integral component of membrane); GO:0032504 (multicellular organism reproduction)</t>
  </si>
  <si>
    <t>GO:0016020 (membrane); GO:0016021 (integral component of membrane); GO:0005216 (ion channel activity); GO:0006811 (ion transport); GO:0055085 (transmembrane transport); GO:0005244 (voltage-gated ion channel activity); GO:0034765 (regulation of ion transmembrane transport); GO:0005249 (voltage-gated potassium channel activity); GO:0005267 (potassium channel activity); GO:0006813 (potassium ion transport); GO:0071805 (potassium ion transmembrane transport); GO:0005516 (calmodulin binding); GO:0019901 (protein kinase binding); GO:0018991 (oviposition); GO:0007635 (chemosensory behavior); GO:0006936 (muscle contraction); GO:0031528 (microvillus membrane)</t>
  </si>
  <si>
    <t xml:space="preserve">UPF0046 protein K07C11.7 </t>
  </si>
  <si>
    <t>GO:0019825 (oxygen binding); GO:0020037 (heme binding); GO:0003674 (molecular_function); GO:0005575 (cellular_component); GO:0008150 (biological_process)</t>
  </si>
  <si>
    <t xml:space="preserve">Uncharacterized calcium-binding protein C50C3.5 </t>
  </si>
  <si>
    <t>GO:0005509 (calcium ion binding); GO:0046872 (metal ion binding); GO:0051015 (actin filament binding); GO:0003009 (skeletal muscle contraction); GO:0005861 (troponin complex); GO:0003674 (molecular_function); GO:0005575 (cellular_component); GO:0008150 (biological_process); GO:0006937 (regulation of muscle contraction); GO:0048306 (calcium-dependent protein binding)</t>
  </si>
  <si>
    <t xml:space="preserve">Trehalase </t>
  </si>
  <si>
    <t>GO:0008152 (metabolic process); GO:0016787 (hydrolase activity); GO:0016798 (hydrolase activity, acting on glycosyl bonds); GO:0005975 (carbohydrate metabolic process); GO:0004555 (alpha,alpha-trehalase activity); GO:0005991 (trehalose metabolic process); GO:0015927 (trehalase activity)</t>
  </si>
  <si>
    <t xml:space="preserve">Membrane-associated tyrosine- and threonine-specific cdc2-inhibitory kinase wee-1.1 </t>
  </si>
  <si>
    <t xml:space="preserve">Muscarinic acetylcholine receptor gar-2 </t>
  </si>
  <si>
    <t>GO:0005887 (integral component of plasma membrane); GO:0016907 (G protein-coupled acetylcholine receptor activity); GO:0004930 (G protein-coupled receptor activity); GO:0007186 (G protein-coupled receptor signaling pathway); GO:0016021 (integral component of membrane); GO:0016020 (membrane); GO:0007165 (signal transduction); GO:0007213 (G protein-coupled acetylcholine receptor signaling pathway); GO:0045202 (synapse); GO:0005886 (plasma membrane)</t>
  </si>
  <si>
    <t>GO:0005654 (nucleoplasm); GO:0006974 (cellular response to DNA damage stimulus); GO:0140293 (ADP-ribosylglutamate hydrolase activity); GO:0042278 (purine nucleoside metabolic process); GO:0140291 (peptidyl-glutamate ADP-deribosylation)</t>
  </si>
  <si>
    <t>GO:0016020 (membrane); GO:0016021 (integral component of membrane); GO:0055085 (transmembrane transport); GO:0005887 (integral component of plasma membrane); GO:0005385 (zinc ion transmembrane transporter activity); GO:0030001 (metal ion transport); GO:0046873 (metal ion transmembrane transporter activity); GO:0006882 (cellular zinc ion homeostasis); GO:0071578 (zinc ion import across plasma membrane)</t>
  </si>
  <si>
    <t>GO:0016020 (membrane); GO:0016021 (integral component of membrane); GO:0016627 (oxidoreductase activity, acting on the CH-CH group of donors); GO:0006629 (lipid metabolic process); GO:0016491 (oxidoreductase activity); GO:0007548 (sex differentiation); GO:0003865 (3-oxo-5-alpha-steroid 4-dehydrogenase activity); GO:0006694 (steroid biosynthetic process); GO:0008202 (steroid metabolic process); GO:0045087 (innate immune response); GO:0047751 (cholestenone 5-alpha-reductase activity); GO:0055114 (oxidation-reduction process)</t>
  </si>
  <si>
    <t xml:space="preserve">Invertebrate-type lysozyme 3 </t>
  </si>
  <si>
    <t>GO:0003796 (lysozyme activity)</t>
  </si>
  <si>
    <t xml:space="preserve">Heparan SulphoTransferase </t>
  </si>
  <si>
    <t>GO:0016740 (transferase activity); GO:0008146 (sulfotransferase activity); GO:0008467 ([heparan sulfate]-glucosamine 3-sulfotransferase 1 activity); GO:0015012 (heparan sulfate proteoglycan biosynthetic process); GO:0005796 (Golgi lumen)</t>
  </si>
  <si>
    <t xml:space="preserve">Putative sarcosine oxidase </t>
  </si>
  <si>
    <t>GO:0016491 (oxidoreductase activity); GO:0005777 (peroxisome); GO:0008115 (sarcosine oxidase activity); GO:0033514 (L-lysine catabolic process to acetyl-CoA via L-pipecolate); GO:0050031 (L-pipecolate oxidase activity); GO:0055114 (oxidation-reduction process)</t>
  </si>
  <si>
    <t xml:space="preserve">Purple acid phosphatase </t>
  </si>
  <si>
    <t>GO:0016787 (hydrolase activity); GO:0046872 (metal ion binding); GO:0003993 (acid phosphatase activity); GO:0016311 (dephosphorylation)</t>
  </si>
  <si>
    <t xml:space="preserve">ParaQuat (Methylviologen) responsive; Paraquat responsive protein </t>
  </si>
  <si>
    <t>GO:0005634 (nucleus); GO:0043565 (sequence-specific DNA binding); GO:0000981 (DNA-binding transcription factor activity, RNA polymerase II-specific); GO:0006357 (regulation of transcription by RNA polymerase II); GO:0045087 (innate immune response); GO:0005737 (cytoplasm); GO:0008340 (determination of adult lifespan); GO:0050829 (defense response to Gram-negative bacterium); GO:0008134 (transcription factor binding)</t>
  </si>
  <si>
    <t xml:space="preserve">Axin-like protein 1 </t>
  </si>
  <si>
    <t>GO:0090090 (negative regulation of canonical Wnt signaling pathway)</t>
  </si>
  <si>
    <t xml:space="preserve">Cadherin-3 </t>
  </si>
  <si>
    <t>GO:0005886 (plasma membrane); GO:0007155 (cell adhesion); GO:0007156 (homophilic cell adhesion via plasma membrane adhesion molecules); GO:0005509 (calcium ion binding); GO:0016020 (membrane)</t>
  </si>
  <si>
    <t xml:space="preserve">URI (Unconventional prefoldin RPB5 Interactor) homolog </t>
  </si>
  <si>
    <t>GO:0003682 (chromatin binding); GO:0000122 (negative regulation of transcription by RNA polymerase II); GO:0003714 (transcription corepressor activity); GO:0010923 (negative regulation of phosphatase activity); GO:0019212 (phosphatase inhibitor activity); GO:0000077 (DNA damage checkpoint); GO:0042078 (germ-line stem cell division); GO:0051446 (positive regulation of meiotic cell cycle); GO:0042771 (intrinsic apoptotic signaling pathway in response to DNA damage by p53 class mediator); GO:0008284 (positive regulation of cell population proliferation); GO:0045931 (positive regulation of mitotic cell cycle)</t>
  </si>
  <si>
    <t xml:space="preserve">EGF plus ASC domain ion channel </t>
  </si>
  <si>
    <t>GO:0016020 (membrane); GO:0016021 (integral component of membrane); GO:0005509 (calcium ion binding); GO:0006811 (ion transport); GO:0005887 (integral component of plasma membrane); GO:0005272 (sodium channel activity); GO:0006814 (sodium ion transport); GO:0035725 (sodium ion transmembrane transport); GO:0015280 (ligand-gated sodium channel activity)</t>
  </si>
  <si>
    <t>GO:0016020 (membrane); GO:0016740 (transferase activity); GO:0016757 (transferase activity, transferring glycosyl groups)</t>
  </si>
  <si>
    <t xml:space="preserve">Cleavage and Polyadenylation Specificity Factor </t>
  </si>
  <si>
    <t>GO:0005634 (nucleus); GO:0046872 (metal ion binding); GO:0008270 (zinc ion binding); GO:0003676 (nucleic acid binding); GO:0098789 (pre-mRNA cleavage required for polyadenylation)</t>
  </si>
  <si>
    <t xml:space="preserve">Soluble guanylate cyclase gcy-37 </t>
  </si>
  <si>
    <t xml:space="preserve">Mitochondrial sodium/calcium exchanger protein </t>
  </si>
  <si>
    <t>GO:0016021 (integral component of membrane); GO:0055085 (transmembrane transport)</t>
  </si>
  <si>
    <t>GO:0005576 (extracellular region); GO:0046872 (metal ion binding); GO:0010951 (negative regulation of endopeptidase activity); GO:0010466 (negative regulation of peptidase activity); GO:0030414 (peptidase inhibitor activity); GO:0006801 (superoxide metabolic process); GO:0004867 (serine-type endopeptidase inhibitor activity)</t>
  </si>
  <si>
    <t>GO:0016020 (membrane); GO:0016021 (integral component of membrane); GO:0055085 (transmembrane transport); GO:0005743 (mitochondrial inner membrane); GO:0005471 (ATP:ADP antiporter activity); GO:1990544 (mitochondrial ATP transmembrane transport); GO:0140021 (mitochondrial ADP transmembrane transport)</t>
  </si>
  <si>
    <t xml:space="preserve">Acyl-coenzyme A oxidase </t>
  </si>
  <si>
    <t>GO:0000166 (nucleotide binding); GO:0016491 (oxidoreductase activity); GO:0005524 (ATP binding); GO:0005777 (peroxisome); GO:0006631 (fatty acid metabolic process); GO:0016627 (oxidoreductase activity, acting on the CH-CH group of donors); GO:0050660 (flavin adenine dinucleotide binding); GO:0006629 (lipid metabolic process); GO:0071949 (FAD binding); GO:0042811 (pheromone biosynthetic process); GO:1904070 (ascaroside biosynthetic process); GO:0055088 (lipid homeostasis); GO:0006635 (fatty acid beta-oxidation); GO:0003997 (acyl-CoA oxidase activity); GO:0005504 (fatty acid binding); GO:0033540 (fatty acid beta-oxidation using acyl-CoA oxidase); GO:0055114 (oxidation-reduction process)</t>
  </si>
  <si>
    <t xml:space="preserve">Putative G-protein coupled receptor F59B2.13 </t>
  </si>
  <si>
    <t>GO:0016020 (membrane); GO:0016021 (integral component of membrane); GO:0005886 (plasma membrane); GO:0004930 (G protein-coupled receptor activity); GO:0007165 (signal transduction); GO:0007186 (G protein-coupled receptor signaling pathway); GO:0008528 (G protein-coupled peptide receptor activity)</t>
  </si>
  <si>
    <t>GO:0005576 (extracellular region); GO:0008061 (chitin binding); GO:0005515 (protein binding)</t>
  </si>
  <si>
    <t xml:space="preserve">ATP-dependent RNA helicase SUV3 homolog, mitochondrial </t>
  </si>
  <si>
    <t>GO:0016787 (hydrolase activity); GO:0004386 (helicase activity); GO:0005634 (nucleus); GO:0000166 (nucleotide binding); GO:0005524 (ATP binding); GO:0003677 (DNA binding); GO:0005739 (mitochondrion); GO:0016817 (hydrolase activity, acting on acid anhydrides); GO:0005759 (mitochondrial matrix); GO:0006401 (RNA catabolic process); GO:0000965 (mitochondrial RNA 3'-end processing); GO:0003678 (DNA helicase activity); GO:0032508 (DNA duplex unwinding); GO:0045025 (mitochondrial degradosome); GO:0003724 (RNA helicase activity); GO:0016887 (ATPase activity)</t>
  </si>
  <si>
    <t xml:space="preserve">Coexpressed With Polycystins </t>
  </si>
  <si>
    <t xml:space="preserve">COHesin family </t>
  </si>
  <si>
    <t>GO:0051177 (meiotic sister chromatid cohesion)</t>
  </si>
  <si>
    <t>GO:0003824 (catalytic activity); GO:0046872 (metal ion binding); GO:0000166 (nucleotide binding); GO:0005525 (GTP binding); GO:0016829 (lyase activity); GO:0006777 (Mo-molybdopterin cofactor biosynthetic process); GO:0019008 (molybdopterin synthase complex); GO:0051536 (iron-sulfur cluster binding); GO:0051539 (4 iron, 4 sulfur cluster binding); GO:0061798 (GTP 3',8'-cyclase activity)</t>
  </si>
  <si>
    <t>GO:0016020 (membrane); GO:0016021 (integral component of membrane); GO:0005886 (plasma membrane); GO:0031410 (cytoplasmic vesicle); GO:0030054 (cell junction); GO:0045202 (synapse); GO:0042995 (cell projection); GO:0008021 (synaptic vesicle); GO:0043204 (perikaryon); GO:0043025 (neuronal cell body); GO:0043005 (neuron projection); GO:0032809 (neuronal cell body membrane)</t>
  </si>
  <si>
    <t>GO:0005576 (extracellular region); GO:0005179 (hormone activity); GO:1905909 (regulation of dauer entry); GO:0008582 (regulation of synaptic growth at neuromuscular junction); GO:1905910 (negative regulation of dauer entry); GO:0040024 (dauer larval development); GO:1900181 (negative regulation of protein localization to nucleus); GO:0045202 (synapse); GO:0005615 (extracellular space); GO:0008286 (insulin receptor signaling pathway); GO:0006606 (protein import into nucleus); GO:0005158 (insulin receptor binding)</t>
  </si>
  <si>
    <t xml:space="preserve">CTP synthase </t>
  </si>
  <si>
    <t>GO:0005737 (cytoplasm); GO:0000166 (nucleotide binding); GO:0016874 (ligase activity); GO:0005524 (ATP binding); GO:0006221 (pyrimidine nucleotide biosynthetic process); GO:0003883 (CTP synthase activity); GO:0006241 (CTP biosynthetic process); GO:0006541 (glutamine metabolic process); GO:0019856 (pyrimidine nucleobase biosynthetic process); GO:0042802 (identical protein binding); GO:0044210 ('de novo' CTP biosynthetic process); GO:0097268 (cytoophidium)</t>
  </si>
  <si>
    <t xml:space="preserve">NADH Ubiquinone oxidoreductase Fe-S protein </t>
  </si>
  <si>
    <t>GO:0048038 (quinone binding); GO:0051287 (NAD binding); GO:0005747 (mitochondrial respiratory chain complex I); GO:0006120 (mitochondrial electron transport, NADH to ubiquinone); GO:0008137 (NADH dehydrogenase (ubiquinone) activity); GO:0016651 (oxidoreductase activity, acting on NAD(P)H); GO:0055114 (oxidation-reduction process)</t>
  </si>
  <si>
    <t>GO:0005739 (mitochondrion); GO:0005975 (carbohydrate metabolic process); GO:0004370 (glycerol kinase activity); GO:0006071 (glycerol metabolic process); GO:0006641 (triglyceride metabolic process); GO:0016310 (phosphorylation); GO:0016773 (phosphotransferase activity, alcohol group as acceptor); GO:0046167 (glycerol-3-phosphate biosynthetic process)</t>
  </si>
  <si>
    <t xml:space="preserve">Dendrite extension defective protein 1 </t>
  </si>
  <si>
    <t>GO:0007160 (cell-matrix adhesion); GO:0005509 (calcium ion binding)</t>
  </si>
  <si>
    <t xml:space="preserve">SyNapTotagmin </t>
  </si>
  <si>
    <t>GO:0016020 (membrane); GO:0016021 (integral component of membrane); GO:0005886 (plasma membrane); GO:0045202 (synapse);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GO:0030276 (clathrin binding); GO:0070382 (exocytic vesicle); GO:0071277 (cellular response to calcium ion); GO:0030424 (axon); GO:0006906 (vesicle fusion)</t>
  </si>
  <si>
    <t xml:space="preserve">Defective pharyngeal development protein 4 </t>
  </si>
  <si>
    <t>GO:0043565 (sequence-specific DNA binding); GO:0003700 (DNA-binding transcription factor activity); GO:0006355 (regulation of transcription, DNA-templated)</t>
  </si>
  <si>
    <t xml:space="preserve">Osm-9 and Capsaicin receptor-Related </t>
  </si>
  <si>
    <t>GO:0016020 (membrane); GO:0016021 (integral component of membrane); GO:0005216 (ion channel activity); GO:0006811 (ion transport); GO:0055085 (transmembrane transport); GO:0005887 (integral component of plasma membrane); GO:0005262 (calcium channel activity); GO:0005886 (plasma membrane); GO:0097730 (non-motile cilium); GO:0005515 (protein binding); GO:0098703 (calcium ion import across plasma membrane); GO:0034220 (ion transmembrane transport)</t>
  </si>
  <si>
    <t>GO:0008152 (metabolic process); GO:0016787 (hydrolase activity); GO:0016798 (hydrolase activity, acting on glycosyl bonds); GO:0005975 (carbohydrate metabolic process); GO:0004555 (alpha,alpha-trehalase activity); GO:0005991 (trehalose metabolic process); GO:0045121 (membrane raft); GO:0015927 (trehalase activity)</t>
  </si>
  <si>
    <t xml:space="preserve">Twenty One u-rna (21U-RNA) biogenesis Fouled Up </t>
  </si>
  <si>
    <t xml:space="preserve">Ceramide synthase hyl-1 </t>
  </si>
  <si>
    <t>GO:0016021 (integral component of membrane); GO:0016020 (membrane); GO:0006665 (sphingolipid metabolic process)</t>
  </si>
  <si>
    <t xml:space="preserve">Xylosylprotein 4-beta-galactosyltransferase </t>
  </si>
  <si>
    <t>GO:0016020 (membrane); GO:0016021 (integral component of membrane); GO:0046872 (metal ion binding); GO:0016740 (transferase activity); GO:0016757 (transferase activity, transferring glycosyl groups); GO:0005794 (Golgi apparatus); GO:0005975 (carbohydrate metabolic process); GO:0006486 (protein glycosylation); GO:0048680 (positive regulation of axon regeneration); GO:0046525 (xylosylprotein 4-beta-galactosyltransferase activity); GO:0030166 (proteoglycan biosynthetic process); GO:0008378 (galactosyltransferase activity); GO:0009792 (embryo development ending in birth or egg hatching); GO:0018991 (oviposition); GO:0000003 (reproduction); GO:0040025 (vulval development); GO:0002009 (morphogenesis of an epithelium); GO:0022604 (regulation of cell morphogenesis); GO:0015012 (heparan sulfate proteoglycan biosynthetic process); GO:0030206 (chondroitin sulfate biosynthetic process); GO:0018215 (protein phosphopantetheinylation); GO:0070085 (glycosylation)</t>
  </si>
  <si>
    <t>Peroxidase mlt-7 Peroxidase mlt-7 light chain Peroxidase mlt-7 heavy chain</t>
  </si>
  <si>
    <t>GO:0004601 (peroxidase activity); GO:0006979 (response to oxidative stress); GO:0020037 (heme binding); GO:0055114 (oxidation-reduction process)</t>
  </si>
  <si>
    <t>GO:0003824 (catalytic activity); GO:0008152 (metabolic process); GO:0016787 (hydrolase activity); GO:0016798 (hydrolase activity, acting on glycosyl bonds); GO:0005975 (carbohydrate metabolic process); GO:0030246 (carbohydrate binding); GO:0004553 (hydrolase activity, hydrolyzing O-glycosyl compounds); GO:0006491 (N-glycan processing); GO:0090599 (alpha-glucosidase activity)</t>
  </si>
  <si>
    <t>GO:0008430 (selenium binding)</t>
  </si>
  <si>
    <t xml:space="preserve">DR1 (One) transcription factor family </t>
  </si>
  <si>
    <t>GO:0045944 (positive regulation of transcription by RNA polymerase II); GO:0046982 (protein heterodimerization activity); GO:0051123 (RNA polymerase II preinitiation complex assembly); GO:0000122 (negative regulation of transcription by RNA polymerase II); GO:0003713 (transcription coactivator activity); GO:0003714 (transcription corepressor activity); GO:0017025 (TBP-class protein binding); GO:0006338 (chromatin remodeling); GO:0005671 (Ada2/Gcn5/Ada3 transcription activator complex); GO:0017054 (negative cofactor 2 complex); GO:0003712 (transcription coregulator activity); GO:0001046 (core promoter sequence-specific DNA binding); GO:0140223 (general transcription initiation factor activity)</t>
  </si>
  <si>
    <t>GO:0016787 (hydrolase activity); GO:0005739 (mitochondrion); GO:0006508 (proteolysis); GO:0008233 (peptidase activity); GO:0008237 (metallopeptidase activity); GO:0051603 (proteolysis involved in cellular protein catabolic process); GO:0046872 (metal ion binding); GO:0043171 (peptide catabolic process)</t>
  </si>
  <si>
    <t>GO:0016020 (membrane); GO:0016021 (integral component of membrane); GO:0004930 (G protein-coupled receptor activity); GO:0004983 (neuropeptide Y receptor activity); GO:0007165 (signal transduction); GO:0007186 (G protein-coupled receptor signaling pathway); GO:0007218 (neuropeptide signaling pathway)</t>
  </si>
  <si>
    <t>GO:0009792 (embryo development ending in birth or egg hatching); GO:0005515 (protein binding); GO:0005737 (cytoplasm); GO:1903863 (P granule assembly); GO:0043186 (P granule); GO:0036093 (germ cell proliferation); GO:0051640 (organelle localization)</t>
  </si>
  <si>
    <t>GO:0016020 (membrane); GO:0016021 (integral component of membrane); GO:0005524 (ATP binding); GO:0042626 (ATPase-coupled transmembrane transporter activity); GO:0000166 (nucleotide binding); GO:0055085 (transmembrane transport); GO:0002376 (immune system process); GO:0098656 (anion transmembrane transport); GO:0015833 (peptide transport); GO:1904680 (peptide transmembrane transporter activity); GO:0035264 (multicellular organism growth); GO:0007041 (lysosomal transport); GO:0016246 (RNA interference); GO:0005765 (lysosomal membrane); GO:0015440 (ATPase-coupled peptide transmembrane transporter activity); GO:0016887 (ATPase activity); GO:0002250 (adaptive immune response)</t>
  </si>
  <si>
    <t xml:space="preserve">Mitochondrial Fission Factor </t>
  </si>
  <si>
    <t>GO:0016020 (membrane); GO:0016021 (integral component of membrane); GO:0005739 (mitochondrion)</t>
  </si>
  <si>
    <t xml:space="preserve">Laminin-like protein epi-1 </t>
  </si>
  <si>
    <t>GO:0007155 (cell adhesion); GO:0016477 (cell migration); GO:0005604 (basement membrane); GO:0040017 (positive regulation of locomotion); GO:0000003 (reproduction); GO:0001764 (neuron migration); GO:0007414 (axonal defasciculation); GO:0009408 (response to heat); GO:0010950 (positive regulation of endopeptidase activity); GO:0042127 (regulation of cell population proliferation); GO:0051788 (response to misfolded protein); GO:0071711 (basement membrane organization)</t>
  </si>
  <si>
    <t xml:space="preserve">MutS protein homolog 5 </t>
  </si>
  <si>
    <t xml:space="preserve">Probable ceramide synthase lagr-1 </t>
  </si>
  <si>
    <t>GO:0016021 (integral component of membrane)</t>
  </si>
  <si>
    <t xml:space="preserve">Major Facilitator Superfamily Domain containing homolog </t>
  </si>
  <si>
    <t xml:space="preserve">Probable ubiquitin-conjugating enzyme protein 17 </t>
  </si>
  <si>
    <t>GO:0005634 (nucleus); GO:0016740 (transferase activity); GO:0006511 (ubiquitin-dependent protein catabolic process); GO:0016874 (ligase activity); GO:0016567 (protein ubiquitination); GO:0010951 (negative regulation of endopeptidase activity); GO:0061631 (ubiquitin conjugating enzyme activity); GO:0043066 (negative regulation of apoptotic process); GO:0004869 (cysteine-type endopeptidase inhibitor activity)</t>
  </si>
  <si>
    <t xml:space="preserve">Wrapper/Rega-1/Klingon homolog </t>
  </si>
  <si>
    <t>GO:0005886 (plasma membrane); GO:0007156 (homophilic cell adhesion via plasma membrane adhesion molecules); GO:0030424 (axon); GO:0043025 (neuronal cell body); GO:0050808 (synapse organization); GO:0007411 (axon guidance); GO:0008046 (axon guidance receptor activity)</t>
  </si>
  <si>
    <t>GO:0009986 (cell surface)</t>
  </si>
  <si>
    <t>GO:0016020 (membrane); GO:0016021 (integral component of membrane); GO:0006811 (ion transport); GO:0005886 (plasma membrane); GO:0043005 (neuron projection); GO:0071805 (potassium ion transmembrane transport); GO:0006813 (potassium ion transport); GO:0005516 (calmodulin binding); GO:0043025 (neuronal cell body); GO:0015269 (calcium-activated potassium channel activity); GO:0016286 (small conductance calcium-activated potassium channel activity); GO:1901046 (positive regulation of oviposition)</t>
  </si>
  <si>
    <t>GO:0005524 (ATP binding); GO:0004672 (protein kinase activity); GO:0006468 (protein phosphorylation); GO:0016301 (kinase activity); GO:0016310 (phosphorylation)</t>
  </si>
  <si>
    <t xml:space="preserve">SOX (Mammalian SRY box) family </t>
  </si>
  <si>
    <t>GO:0000978 (RNA polymerase II cis-regulatory region sequence-specific DNA binding); GO:0000981 (DNA-binding transcription factor activity, RNA polymerase II-specific); GO:0006355 (regulation of transcription, DNA-templated); GO:0006357 (regulation of transcription by RNA polymerase II); GO:0030154 (cell differentiation); GO:0009653 (anatomical structure morphogenesis); GO:0043565 (sequence-specific DNA binding)</t>
  </si>
  <si>
    <t>GO:0005737 (cytoplasm); GO:0016209 (antioxidant activity); GO:0098869 (cellular oxidant detoxification); GO:0055114 (oxidation-reduction process)</t>
  </si>
  <si>
    <t>GO:0016020 (membrane); GO:0016021 (integral component of membrane); GO:0005886 (plasma membrane); GO:0015031 (protein transport); GO:0006898 (receptor-mediated endocytosis); GO:0008104 (protein localization); GO:0030139 (endocytic vesicle); GO:0016324 (apical plasma membrane)</t>
  </si>
  <si>
    <t xml:space="preserve">Neuropeptide-like protein 1 </t>
  </si>
  <si>
    <t xml:space="preserve">Calcium BiNding protein homolog </t>
  </si>
  <si>
    <t xml:space="preserve">Prolyl Carboxy Peptidase like </t>
  </si>
  <si>
    <t>GO:0016787 (hydrolase activity); GO:0006508 (proteolysis); GO:0008236 (serine-type peptidase activity); GO:0008239 (dipeptidyl-peptidase activity); GO:0045121 (membrane raft)</t>
  </si>
  <si>
    <t xml:space="preserve">Putative ammonium transporter 3 </t>
  </si>
  <si>
    <t>GO:0015696 (ammonium transport); GO:0072488 (ammonium transmembrane transport); GO:0008519 (ammonium transmembrane transporter activity); GO:0016020 (membrane)</t>
  </si>
  <si>
    <t xml:space="preserve">Ectonucleotide pyrophosphatase/phosphodiesterase C27A7.1 </t>
  </si>
  <si>
    <t>GO:0016020 (membrane); GO:0016021 (integral component of membrane); GO:0003824 (catalytic activity); GO:0016787 (hydrolase activity)</t>
  </si>
  <si>
    <t xml:space="preserve">BRICHOS domain-containing protein C09F5.1 </t>
  </si>
  <si>
    <t xml:space="preserve">Cell death-related nuclease 4 </t>
  </si>
  <si>
    <t xml:space="preserve">Globin-like protein 6 </t>
  </si>
  <si>
    <t>GO:0005634 (nucleus); GO:0046872 (metal ion binding); GO:0043565 (sequence-specific DNA binding); GO:0000981 (DNA-binding transcription factor activity, RNA polymerase II-specific); GO:0006357 (regulation of transcription by RNA polymerase II); GO:0003700 (DNA-binding transcription factor activity); GO:0001709 (cell fate determination); GO:0016477 (cell migration); GO:0045664 (regulation of neuron differentiation); GO:0006355 (regulation of transcription, DNA-templated)</t>
  </si>
  <si>
    <t>GO:0016020 (membrane); GO:0016021 (integral component of membrane); GO:0055085 (transmembrane transport); GO:0005886 (plasma membrane); GO:0006811 (ion transport); GO:0030054 (cell junction); GO:0005921 (gap junction); GO:0005243 (gap junction channel activity)</t>
  </si>
  <si>
    <t>FMRFamide-like neuropeptides 7 TPMQRSSMVRF-amide 1 SPMQRSSMVRF-amide 1 SPMQRSSMVRF-amide 2 SPMQRSSMVRF-amide 3 SPMERSAMVRF-amide SPMDRSKMVRF-amide SSIDRASMVRL-amide TPMQRSSMVRF-amide 2</t>
  </si>
  <si>
    <t xml:space="preserve">Neuropeptide-like peptide 11 </t>
  </si>
  <si>
    <t>GO:0005764 (lysosome); GO:0016787 (hydrolase activity); GO:0006508 (proteolysis); GO:0008233 (peptidase activity); GO:0004197 (cysteine-type endopeptidase activity); GO:0005615 (extracellular space); GO:0008234 (cysteine-type peptidase activity); GO:0051603 (proteolysis involved in cellular protein catabolic process)</t>
  </si>
  <si>
    <t xml:space="preserve">Innexin-8 </t>
  </si>
  <si>
    <t>GO:0016020 (membrane); GO:0016021 (integral component of membrane); GO:0003674 (molecular_function); GO:0045211 (postsynaptic membrane); GO:0032223 (negative regulation of synaptic transmission, cholinergic)</t>
  </si>
  <si>
    <t xml:space="preserve">CRAL-TRIO domain-containing protein C34C12.6 </t>
  </si>
  <si>
    <t xml:space="preserve">Thymosin beta </t>
  </si>
  <si>
    <t>GO:0005737 (cytoplasm); GO:0005829 (cytosol); GO:0005856 (cytoskeleton); GO:0030054 (cell junction); GO:0007015 (actin filament organization); GO:0003779 (actin binding); GO:0005938 (cell cortex); GO:0003785 (actin monomer binding)</t>
  </si>
  <si>
    <t xml:space="preserve">Epoxide hydrolase </t>
  </si>
  <si>
    <t>GO:0016020 (membrane); GO:0016021 (integral component of membrane); GO:0003824 (catalytic activity); GO:0016787 (hydrolase activity); GO:0005783 (endoplasmic reticulum); GO:0005789 (endoplasmic reticulum membrane); GO:0019439 (aromatic compound catabolic process); GO:0033961 (cis-stilbene-oxide hydrolase activity)</t>
  </si>
  <si>
    <t>GO:0005634 (nucleus); GO:0005524 (ATP binding); GO:0000166 (nucleotide binding); GO:0015616 (DNA translocase activity); GO:0007131 (reciprocal meiotic recombination); GO:0045003 (double-strand break repair via synthesis-dependent strand annealing); GO:0070615 (nucleosome-dependent ATPase activity)</t>
  </si>
  <si>
    <t xml:space="preserve">Lateral Signaling Target </t>
  </si>
  <si>
    <t>GO:0001965 (G-protein alpha-subunit binding)</t>
  </si>
  <si>
    <t>GO:0016020 (membrane); GO:0016021 (integral component of membrane); GO:0031462 (Cul2-RING ubiquitin ligase complex)</t>
  </si>
  <si>
    <t xml:space="preserve">KQT-1 potassium channel; Potassium channel, KvQLT family </t>
  </si>
  <si>
    <t>GO:0016020 (membrane); GO:0016021 (integral component of membrane); GO:0005216 (ion channel activity); GO:0005886 (plasma membrane);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GO:0005516 (calmodulin binding); GO:0007213 (G protein-coupled acetylcholine receptor signaling pathway); GO:0035556 (intracellular signal transduction); GO:0045202 (synapse)</t>
  </si>
  <si>
    <t>GO:0005576 (extracellular region); GO:0006508 (proteolysis); GO:0005515 (protein binding)</t>
  </si>
  <si>
    <t xml:space="preserve">DAB (Drosophila disabled) homolog </t>
  </si>
  <si>
    <t>GO:0005737 (cytoplasm); GO:0032502 (developmental process); GO:0045807 (positive regulation of endocytosis); GO:0009792 (embryo development ending in birth or egg hatching); GO:0002119 (nematode larval development); GO:0030136 (clathrin-coated vesicle); GO:0019904 (protein domain specific binding); GO:0032050 (clathrin heavy chain binding); GO:0006898 (receptor-mediated endocytosis); GO:0008104 (protein localization); GO:0009306 (protein secretion); GO:0018991 (oviposition); GO:0040010 (positive regulation of growth rate); GO:0040017 (positive regulation of locomotion); GO:0042395 (ecdysis, collagen and cuticulin-based cuticle); GO:0005798 (Golgi-associated vesicle); GO:0005938 (cell cortex); GO:0031234 (extrinsic component of cytoplasmic side of plasma membrane); GO:0031982 (vesicle)</t>
  </si>
  <si>
    <t xml:space="preserve">Carbonic AnHydrase </t>
  </si>
  <si>
    <t>GO:0008270 (zinc ion binding); GO:0004089 (carbonate dehydratase activity); GO:0006730 (one-carbon metabolic process); GO:0044281 (small molecule metabolic process); GO:0016836 (hydro-lyase activity)</t>
  </si>
  <si>
    <t xml:space="preserve">Nuclear pore complex protein 14 </t>
  </si>
  <si>
    <t xml:space="preserve">Poly(U) Polymerase </t>
  </si>
  <si>
    <t>GO:0005515 (protein binding); GO:0016779 (nucleotidyltransferase activity); GO:0031123 (RNA 3'-end processing); GO:0031054 (pre-miRNA processing); GO:0050265 (RNA uridylyltransferase activity); GO:0071076 (RNA 3' uridylation)</t>
  </si>
  <si>
    <t xml:space="preserve">Metallothionein-1 </t>
  </si>
  <si>
    <t xml:space="preserve">PhosphatidylInositol Transfer Protein family </t>
  </si>
  <si>
    <t>GO:0005737 (cytoplasm); GO:0046872 (metal ion binding); GO:0035091 (phosphatidylinositol binding); GO:0015914 (phospholipid transport); GO:0005548 (phospholipid transporter activity); GO:0008525 (phosphatidylcholine transporter activity); GO:0008526 (phosphatidylinositol transfer activity); GO:0031210 (phosphatidylcholine binding); GO:0035869 (ciliary transition zone); GO:0045202 (synapse); GO:0120009 (intermembrane lipid transfer)</t>
  </si>
  <si>
    <t xml:space="preserve">Eukaryotic elongation factor 2 kinase </t>
  </si>
  <si>
    <t>GO:0004686 (elongation factor-2 kinase activity); GO:0005516 (calmodulin binding); GO:0004674 (protein serine/threonine kinase activity); GO:0006468 (protein phosphorylation); GO:0005509 (calcium ion binding); GO:0005515 (protein binding); GO:0005524 (ATP binding)</t>
  </si>
  <si>
    <t>GO:0005634 (nucleus); GO:0003677 (DNA binding);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GO:0030154 (cell differentiation); GO:0000977 (RNA polymerase II transcription regulatory region sequence-specific DNA binding)</t>
  </si>
  <si>
    <t xml:space="preserve">Microfilaria Surface-Associated protein </t>
  </si>
  <si>
    <t>GO:0005634 (nucleus); GO:0005737 (cytoplasm); GO:0006511 (ubiquitin-dependent protein catabolic process); GO:0016567 (protein ubiquitination); GO:0008340 (determination of adult lifespan); GO:0031146 (SCF-dependent proteasomal ubiquitin-dependent protein catabolic process); GO:0097602 (cullin family protein binding)</t>
  </si>
  <si>
    <t>GO:0005737 (cytoplasm); GO:0006357 (regulation of transcription by RNA polymerase II); GO:0055059 (asymmetric neuroblast division); GO:0051653 (spindle localization); GO:1990179 (protein localization to actomyosin contractile ring); GO:0005634 (nucleus); GO:0001709 (cell fate determination); GO:0005938 (cell cortex); GO:0045944 (positive regulation of transcription by RNA polymerase II); GO:0001764 (neuron migration); GO:0045167 (asymmetric protein localization involved in cell fate determination); GO:0001228 (DNA-binding transcription activator activity, RNA polymerase II-specific)</t>
  </si>
  <si>
    <t xml:space="preserve">Mitochondrial elongation factor Tu homologue; TU elongation Factor (EF-Tu), Mitochondrial </t>
  </si>
  <si>
    <t>GO:0005525 (GTP binding); GO:0000166 (nucleotide binding); GO:0003924 (GTPase activity); GO:0005737 (cytoplasm); GO:0005739 (mitochondrion); GO:0006412 (translation); GO:0003746 (translation elongation factor activity); GO:0006414 (translational elongation); GO:0070125 (mitochondrial translational elongation)</t>
  </si>
  <si>
    <t>GO:0005525 (GTP binding); GO:0016020 (membrane); GO:0005886 (plasma membrane); GO:0000166 (nucleotide binding); GO:0003924 (GTPase activity); GO:0007165 (signal transduction); GO:0005246 (calcium channel regulator activity)</t>
  </si>
  <si>
    <t xml:space="preserve">Putative UDP-glucuronosyltransferase ugt-56 </t>
  </si>
  <si>
    <t>GO:0016020 (membrane); GO:0016021 (integral component of membrane); GO:0016311 (dephosphorylation); GO:0016791 (phosphatase activity)</t>
  </si>
  <si>
    <t xml:space="preserve">Methionine Sulfoxide Reductase A </t>
  </si>
  <si>
    <t>GO:0005737 (cytoplasm); GO:0016491 (oxidoreductase activity); GO:0008113 (peptide-methionine (S)-S-oxide reductase activity); GO:0034599 (cellular response to oxidative stress); GO:0036456 (L-methionine-(S)-S-oxide reductase activity); GO:0033744 (L-methionine:thioredoxin-disulfide S-oxidoreductase activity); GO:0055114 (oxidation-reduction process)</t>
  </si>
  <si>
    <t xml:space="preserve">Protease Inhibitor I2 (Two) </t>
  </si>
  <si>
    <t xml:space="preserve">CAP-Gly domain-containing linker protein 1 homolog </t>
  </si>
  <si>
    <t xml:space="preserve">Cystinosin homolog </t>
  </si>
  <si>
    <t xml:space="preserve">Putative phospholipase B-like 2 </t>
  </si>
  <si>
    <t>GO:0016539 (intein-mediated protein splicing); GO:0016540 (protein autoprocessing); GO:0007275 (multicellular organism development); GO:0007267 (cell-cell signaling)</t>
  </si>
  <si>
    <t xml:space="preserve">Pharyngeal MARGginal cell marker </t>
  </si>
  <si>
    <t xml:space="preserve">Co-chaperone protein daf-41 </t>
  </si>
  <si>
    <t xml:space="preserve">ABl Interactor homolog </t>
  </si>
  <si>
    <t>GO:0098793 (presynapse); GO:0005515 (protein binding); GO:0017124 (SH3 domain binding); GO:0097091 (synaptic vesicle clustering); GO:2000370 (positive regulation of clathrin-dependent endocytosis); GO:0099140 (presynaptic actin cytoskeleton organization); GO:0019901 (protein kinase binding); GO:0043025 (neuronal cell body); GO:0005737 (cytoplasm); GO:0016477 (cell migration); GO:0030424 (axon); GO:0001764 (neuron migration); GO:0030425 (dendrite); GO:0048858 (cell projection morphogenesis); GO:1901076 (positive regulation of engulfment of apoptotic cell); GO:0008154 (actin polymerization or depolymerization); GO:0047485 (protein N-terminus binding)</t>
  </si>
  <si>
    <t>GO:0005515 (protein binding); GO:0051260 (protein homooligomerization)</t>
  </si>
  <si>
    <t xml:space="preserve">Nuclear hormone receptor family member nhr-57 </t>
  </si>
  <si>
    <t xml:space="preserve">Na(+)/H(+) exchanger protein 2 </t>
  </si>
  <si>
    <t>GO:0015299 (solute:proton antiporter activity); GO:0006812 (cation transport); GO:0006885 (regulation of pH); GO:0015385 (sodium:proton antiporter activity); GO:0006814 (sodium ion transport); GO:0016021 (integral component of membrane); GO:0055085 (transmembrane transport)</t>
  </si>
  <si>
    <t xml:space="preserve">Myotactin form A </t>
  </si>
  <si>
    <t>GO:0016020 (membrane); GO:0016021 (integral component of membrane); GO:0019221 (cytokine-mediated signaling pathway); GO:0043235 (receptor complex); GO:0009897 (external side of plasma membrane); GO:0030056 (hemidesmosome); GO:0004896 (cytokine receptor activity); GO:0019955 (cytokine binding); GO:0005515 (protein binding); GO:0031581 (hemidesmosome assembly)</t>
  </si>
  <si>
    <t>GO:0003924 (GTPase activity); GO:0005525 (GTP binding); GO:0043022 (ribosome binding); GO:1990904 (ribonucleoprotein complex); GO:0042256 (mature ribosome assembly)</t>
  </si>
  <si>
    <t>GO:0071805 (potassium ion transmembrane transport); GO:0005267 (potassium channel activity); GO:0016020 (membrane); GO:0016021 (integral component of membrane); GO:0006811 (ion transport); GO:0005887 (integral component of plasma membrane); GO:0022841 (potassium ion leak channel activity); GO:0030322 (stabilization of membrane potential)</t>
  </si>
  <si>
    <t>GO:0004222 (metalloendopeptidase activity); GO:0005615 (extracellular space); GO:0030198 (extracellular matrix organization); GO:0030574 (collagen catabolic process); GO:0006508 (proteolysis)</t>
  </si>
  <si>
    <t xml:space="preserve">Myoblast growth factor receptor egl-15 </t>
  </si>
  <si>
    <t>GO:0004713 (protein tyrosine kinase activity); GO:0004672 (protein kinase activity); GO:0006468 (protein phosphorylation); GO:0005524 (ATP binding); GO:0016020 (membrane); GO:0016021 (integral component of membrane); GO:0016301 (kinase activity); GO:0016310 (phosphorylation); GO:0000166 (nucleotide binding); GO:0018108 (peptidyl-tyrosine phosphorylation); GO:0004714 (transmembrane receptor protein tyrosine kinase activity)</t>
  </si>
  <si>
    <t>GO:0005743 (mitochondrial inner membrane); GO:0007005 (mitochondrion organization); GO:0055088 (lipid homeostasis); GO:0032592 (integral component of mitochondrial membrane)</t>
  </si>
  <si>
    <t xml:space="preserve">JuMonJi (Transcription factor) Domain protein </t>
  </si>
  <si>
    <t>GO:0005634 (nucleus); GO:0000978 (RNA polymerase II cis-regulatory region sequence-specific DNA binding); GO:0031490 (chromatin DNA binding); GO:0044666 (MLL3/4 complex); GO:0071558 (histone demethylase activity (H3-K27 specific)); GO:0010468 (regulation of gene expression); GO:0071557 (histone H3-K27 demethylation)</t>
  </si>
  <si>
    <t xml:space="preserve">DNA repair protein rad-50 </t>
  </si>
  <si>
    <t>GO:0000723 (telomere maintenance); GO:0016887 (ATPase activity); GO:0030870 (Mre11 complex); GO:0006281 (DNA repair); GO:0005634 (nucleus); GO:0046872 (metal ion binding); GO:0000166 (nucleotide binding); GO:0005524 (ATP binding)</t>
  </si>
  <si>
    <t xml:space="preserve">4D656 </t>
  </si>
  <si>
    <t>GO:0016020 (membrane); GO:0016021 (integral component of membrane); GO:0006886 (intracellular protein transport); GO:0015031 (protein transport); GO:0016192 (vesicle-mediated transport); GO:0005789 (endoplasmic reticulum membrane); GO:0006888 (endoplasmic reticulum to Golgi vesicle-mediated transport); GO:0005783 (endoplasmic reticulum); GO:0070973 (protein localization to endoplasmic reticulum exit site); GO:0045121 (membrane raft)</t>
  </si>
  <si>
    <t xml:space="preserve">Putative iroquois-class homeodomain protein irx-1 </t>
  </si>
  <si>
    <t>GO:0000981 (DNA-binding transcription factor activity, RNA polymerase II-specific); GO:0005634 (nucleus); GO:0006355 (regulation of transcription, DNA-templated); GO:0003677 (DNA binding)</t>
  </si>
  <si>
    <t xml:space="preserve">Spindle and Kinetochore-Associated protein homolog </t>
  </si>
  <si>
    <t xml:space="preserve">High-affinity choline transporter 1 </t>
  </si>
  <si>
    <t>GO:0016020 (membrane); GO:0016021 (integral component of membrane); GO:0006811 (ion transport); GO:0005886 (plasma membrane); GO:0022857 (transmembrane transporter activity); GO:0055085 (transmembrane transport); GO:0006814 (sodium ion transport); GO:0015293 (symporter activity); GO:0005307 (choline:sodium symporter activity); GO:0008292 (acetylcholine biosynthetic process); GO:0015220 (choline transmembrane transporter activity); GO:0015871 (choline transport); GO:0042136 (neurotransmitter biosynthetic process); GO:0043025 (neuronal cell body); GO:0045202 (synapse); GO:0030424 (axon); GO:0043005 (neuron projection); GO:0008021 (synaptic vesicle)</t>
  </si>
  <si>
    <t xml:space="preserve">Aurora/Ipl1 Related kinase; Aurora/Ipl1-related protein kinase 1 </t>
  </si>
  <si>
    <t>GO:0005524 (ATP binding); GO:0004672 (protein kinase activity); GO:0006468 (protein phosphorylation); GO:0016301 (kinase activity); GO:0016310 (phosphorylation); GO:0000166 (nucleotide binding); GO:0016740 (transferase activity); GO:0004674 (protein serine/threonine kinase activity); GO:0005515 (protein binding); GO:0007052 (mitotic spindle organization); GO:0005876 (spindle microtubule); GO:0031616 (spindle pole centrosome); GO:0032133 (chromosome passenger complex); GO:0032465 (regulation of cytokinesis); GO:0035174 (histone serine kinase activity); GO:0035404 (histone-serine phosphorylation); GO:0051233 (spindle midzone); GO:1904781 (positive regulation of protein localization to centrosome); GO:0000235 (astral microtubule); GO:0005813 (centrosome); GO:0000794 (condensed nuclear chromosome); GO:0090307 (mitotic spindle assembly); GO:0005828 (kinetochore microtubule); GO:0106310 (protein serine kinase activity); GO:0106311 (protein threonine kinase activity)</t>
  </si>
  <si>
    <t xml:space="preserve">Vesicular GLUtamate transporter </t>
  </si>
  <si>
    <t>GO:0016020 (membrane); GO:0016021 (integral component of membrane); GO:0022857 (transmembrane transporter activity); GO:0055085 (transmembrane transport); GO:0035249 (synaptic transmission, glutamatergic); GO:0005313 (L-glutamate transmembrane transporter activity); GO:0005326 (neurotransmitter transmembrane transporter activity); GO:0015813 (L-glutamate transmembrane transport); GO:0030285 (integral component of synaptic vesicle membrane); GO:0050803 (regulation of synapse structure or activity); GO:0060076 (excitatory synapse); GO:0098700 (neurotransmitter loading into synaptic vesicle); GO:0006820 (anion transport)</t>
  </si>
  <si>
    <t xml:space="preserve">Putative cytochrome P450 CYP13A7 </t>
  </si>
  <si>
    <t xml:space="preserve">PArtner of DroSHa (DRSH-1 interactor) </t>
  </si>
  <si>
    <t>GO:0003723 (RNA binding); GO:0020037 (heme binding); GO:0003725 (double-stranded RNA binding); GO:0031053 (primary miRNA processing); GO:0042802 (identical protein binding); GO:0070877 (microprocessor complex); GO:0070878 (primary miRNA binding); GO:0040028 (regulation of vulval development); GO:0040034 (regulation of development, heterochronic); GO:0045604 (regulation of epidermal cell differentiation); GO:0005515 (protein binding)</t>
  </si>
  <si>
    <t xml:space="preserve">ERLin (ER lipid raft associated protein) homolog </t>
  </si>
  <si>
    <t>GO:0016020 (membrane); GO:0016021 (integral component of membrane); GO:0005789 (endoplasmic reticulum membrane); GO:0031625 (ubiquitin protein ligase binding); GO:0005783 (endoplasmic reticulum); GO:0015485 (cholesterol binding); GO:0032933 (SREBP signaling pathway); GO:0032991 (protein-containing complex)</t>
  </si>
  <si>
    <t>GO:0016787 (hydrolase activity); GO:0005811 (lipid droplet); GO:0019915 (lipid storage)</t>
  </si>
  <si>
    <t xml:space="preserve">KETtiN (Drosophila actin-binding) homolog; Kettin </t>
  </si>
  <si>
    <t>GO:0051015 (actin filament binding); GO:0006936 (muscle contraction); GO:0031430 (M band); GO:0031674 (I band)</t>
  </si>
  <si>
    <t>GO:0005634 (nucleus); GO:0003677 (DNA binding); GO:0046872 (metal ion binding); GO:0003700 (DNA-binding transcription factor activity); GO:0006355 (regulation of transcription, DNA-templated); GO:0008270 (zinc ion binding); GO:0043565 (sequence-specific DNA binding); GO:0030522 (intracellular receptor signaling pathway); GO:0006357 (regulation of transcription by RNA polymerase II); GO:0000977 (RNA polymerase II transcription regulatory region sequence-specific DNA binding); GO:0004879 (nuclear receptor activity)</t>
  </si>
  <si>
    <t xml:space="preserve">p-GlycoProtein related </t>
  </si>
  <si>
    <t>GO:0016020 (membrane); GO:0016021 (integral component of membrane); GO:0005524 (ATP binding); GO:0042626 (ATPase-coupled transmembrane transporter activity); GO:0000166 (nucleotide binding); GO:0055085 (transmembrane transport); GO:0016887 (ATPase activity); GO:0008559 (ATPase-coupled xenobiotic transmembrane transporter activity); GO:0042908 (xenobiotic transport)</t>
  </si>
  <si>
    <t xml:space="preserve">Xaa-Pro aminopeptidase app-1 </t>
  </si>
  <si>
    <t>GO:0016787 (hydrolase activity); GO:0046872 (metal ion binding); GO:0005737 (cytoplasm); GO:0006508 (proteolysis); GO:0008233 (peptidase activity); GO:0008270 (zinc ion binding); GO:0070006 (metalloaminopeptidase activity); GO:0004177 (aminopeptidase activity); GO:0042803 (protein homodimerization activity)</t>
  </si>
  <si>
    <t xml:space="preserve">FERM domain (Protein4.1-ezrin-radixin-moesin) family </t>
  </si>
  <si>
    <t>GO:0016020 (membrane); GO:0016021 (integral component of membrane); GO:0005856 (cytoskeleton); GO:0031032 (actomyosin structure organization)</t>
  </si>
  <si>
    <t xml:space="preserve">Dual oxidase maturation factor 1 </t>
  </si>
  <si>
    <t>GO:0005789 (endoplasmic reticulum membrane); GO:0015031 (protein transport); GO:0016021 (integral component of membrane)</t>
  </si>
  <si>
    <t>GO:0003924 (GTPase activity); GO:0005525 (GTP binding); GO:0016020 (membrane); GO:0005886 (plasma membrane); GO:0046872 (metal ion binding); GO:0000166 (nucleotide binding); GO:0007165 (signal transduction); GO:0007265 (Ras protein signal transduction); GO:0019003 (GDP binding)</t>
  </si>
  <si>
    <t xml:space="preserve">Ceramide glucosyltransferase 3 </t>
  </si>
  <si>
    <t>GO:0016757 (transferase activity, transferring glycosyl groups)</t>
  </si>
  <si>
    <t xml:space="preserve">Uncharacterized serine carboxypeptidase F13S12.6 </t>
  </si>
  <si>
    <t>GO:0016787 (hydrolase activity); GO:0006508 (proteolysis); GO:0008233 (peptidase activity); GO:0004185 (serine-type carboxypeptidase activity); GO:0004180 (carboxypeptidase activity)</t>
  </si>
  <si>
    <t>GO:0005524 (ATP binding); GO:0005737 (cytoplasm); GO:0016301 (kinase activity); GO:0016310 (phosphorylation); GO:0016740 (transferase activity); GO:0005739 (mitochondrion); GO:0006139 (nucleobase-containing compound metabolic process); GO:0019205 (nucleobase-containing compound kinase activity); GO:0046940 (nucleoside monophosphate phosphorylation); GO:0004017 (adenylate kinase activity)</t>
  </si>
  <si>
    <t xml:space="preserve">Probable cation-transporting ATPase W08D2.5 </t>
  </si>
  <si>
    <t>GO:0016020 (membrane); GO:0016021 (integral component of membrane); GO:0005524 (ATP binding); GO:0000166 (nucleotide binding); GO:0046872 (metal ion binding); GO:0034220 (ion transmembrane transport); GO:0098655 (cation transmembrane transport); GO:0016887 (ATPase activity); GO:0006812 (cation transport); GO:0006874 (cellular calcium ion homeostasis); GO:0019829 (ATPase-coupled cation transmembrane transporter activity); GO:0005886 (plasma membrane); GO:0031410 (cytoplasmic vesicle); GO:0006457 (protein folding); GO:0005774 (vacuolar membrane); GO:0005764 (lysosome)</t>
  </si>
  <si>
    <t xml:space="preserve">Nuclear Envelope integral Membrane Protein homolog </t>
  </si>
  <si>
    <t>GO:0016020 (membrane); GO:0016021 (integral component of membrane); GO:0005635 (nuclear envelope); GO:0005637 (nuclear inner membrane)</t>
  </si>
  <si>
    <t xml:space="preserve">Securin-like protein </t>
  </si>
  <si>
    <t xml:space="preserve">CBP/p300 homolog </t>
  </si>
  <si>
    <t>GO:0005634 (nucleus); GO:0046872 (metal ion binding); GO:0006355 (regulation of transcription, DNA-templated); GO:0003712 (transcription coregulator activity)</t>
  </si>
  <si>
    <t xml:space="preserve">MYOsin heavy chain structural genes </t>
  </si>
  <si>
    <t>GO:0005524 (ATP binding); GO:0000166 (nucleotide binding); GO:0005737 (cytoplasm); GO:0003774 (motor activity); GO:0051015 (actin filament binding); GO:0003779 (actin binding); GO:0016459 (myosin complex); GO:0030016 (myofibril); GO:0032982 (myosin filament)</t>
  </si>
  <si>
    <t xml:space="preserve">SHaL family of potassium channels 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</si>
  <si>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GO:0042995 (cell projection); GO:0008076 (voltage-gated potassium channel complex); GO:0051260 (protein homooligomerization); GO:0030425 (dendrite); GO:0005250 (A-type (transient outward) potassium channel activity); GO:0005515 (protein binding)</t>
  </si>
  <si>
    <t xml:space="preserve">Sulfate permease family protein 3 </t>
  </si>
  <si>
    <t>GO:0005634 (nucleus); GO:0005737 (cytoplasm); GO:0016567 (protein ubiquitination); GO:0031625 (ubiquitin protein ligase binding); GO:0019941 (modification-dependent protein catabolic process); GO:0031386 (protein tag); GO:0005515 (protein binding)</t>
  </si>
  <si>
    <t xml:space="preserve">NIFK homolog </t>
  </si>
  <si>
    <t>GO:0003723 (RNA binding); GO:0003676 (nucleic acid binding); GO:0005730 (nucleolus); GO:0000463 (maturation of LSU-rRNA from tricistronic rRNA transcript (SSU-rRNA, 5.8S rRNA, LSU-rRNA))</t>
  </si>
  <si>
    <t>GO:0051897 (positive regulation of protein kinase B signaling); GO:0031929 (TOR signaling); GO:0031932 (TORC2 complex); GO:0038203 (TORC2 signaling); GO:0048382 (mesendoderm development); GO:0043539 (protein serine/threonine kinase activator activity); GO:0071902 (positive regulation of protein serine/threonine kinase activity)</t>
  </si>
  <si>
    <t xml:space="preserve">Nuclear hormone receptor family member nhr-8 </t>
  </si>
  <si>
    <t xml:space="preserve">Yeast DNA helicase/endonuclease family </t>
  </si>
  <si>
    <t>GO:0005737 (cytoplasm); GO:0004386 (helicase activity); GO:0003723 (RNA binding); GO:0032508 (DNA duplex unwinding); GO:0017108 (5'-flap endonuclease activity); GO:0071932 (replication fork reversal); GO:0005634 (nucleus); GO:0017116 (single-stranded DNA helicase activity); GO:0006259 (DNA metabolic process); GO:0000014 (single-stranded DNA endodeoxyribonuclease activity); GO:0043139 (5'-3' DNA helicase activity)</t>
  </si>
  <si>
    <t>GO:0003824 (catalytic activity); GO:0006152 (purine nucleoside catabolic process); GO:0047974 (guanosine deaminase activity)</t>
  </si>
  <si>
    <t xml:space="preserve">AGRin (Synaptic protein) homolog; AGRin (Synaptic protein) homolog family member </t>
  </si>
  <si>
    <t>GO:0009888 (tissue development); GO:0016477 (cell migration); GO:0030154 (cell differentiation); GO:0034446 (substrate adhesion-dependent cell spreading); GO:0005604 (basement membrane); GO:0005201 (extracellular matrix structural constituent); GO:0009887 (animal organ morphogenesis); GO:0002162 (dystroglycan binding); GO:0070831 (basement membrane assembly); GO:0043256 (laminin complex); GO:0005515 (protein binding)</t>
  </si>
  <si>
    <t>GO:0016020 (membrane); GO:0016021 (integral component of membrane); GO:0005634 (nucleus); GO:0005524 (ATP binding); GO:0005737 (cytoplasm); GO:0004672 (protein kinase activity); GO:0006468 (protein phosphorylation); GO:0016301 (kinase activity); GO:0016310 (phosphorylation); GO:0035556 (intracellular signal transduction); GO:0000278 (mitotic cell cycle); GO:0072354 (histone kinase activity (H3-T3 specific)); GO:0072355 (histone H3-T3 phosphorylation)</t>
  </si>
  <si>
    <t>GO:0016020 (membrane); GO:0016021 (integral component of membrane); GO:0005261 (cation channel activity); GO:0034220 (ion transmembrane transport); GO:0098655 (cation transmembrane transport); GO:0030424 (axon); GO:0034703 (cation channel complex); GO:0072347 (response to anesthetic); GO:0055080 (cation homeostasis); GO:0040017 (positive regulation of locomotion); GO:0042493 (response to drug)</t>
  </si>
  <si>
    <t>GO:0005886 (plasma membrane); GO:0045202 (synapse);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GO:0030276 (clathrin binding); GO:0070382 (exocytic vesicle); GO:0071277 (cellular response to calcium ion); GO:0030424 (axon); GO:0006906 (vesicle fusion); GO:0005515 (protein binding)</t>
  </si>
  <si>
    <t xml:space="preserve">CRAL/TRIO and GOLD domain containing </t>
  </si>
  <si>
    <t xml:space="preserve">Meiotic spindle formation protein mei-1 </t>
  </si>
  <si>
    <t>GO:0051013 (microtubule severing); GO:0008568 (microtubule-severing ATPase activity); GO:0016887 (ATPase activity); GO:0008017 (microtubule binding); GO:0005524 (ATP binding)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</si>
  <si>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GO:0051260 (protein homooligomerization); GO:0005886 (plasma membrane)</t>
  </si>
  <si>
    <t>GO:0005886 (plasma membrane); GO:0046872 (metal ion binding); GO:0051015 (actin filament binding); GO:0051017 (actin filament bundle assembly); GO:0015629 (actin cytoskeleton)</t>
  </si>
  <si>
    <t xml:space="preserve">Sorting NeXin </t>
  </si>
  <si>
    <t>GO:0035091 (phosphatidylinositol binding); GO:0030904 (retromer complex); GO:0032266 (phosphatidylinositol-3-phosphate binding); GO:0032456 (endocytic recycling); GO:0031901 (early endosome membrane); GO:0005768 (endosome); GO:0034499 (late endosome to Golgi transport)</t>
  </si>
  <si>
    <t xml:space="preserve">DOPamine receptor 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</si>
  <si>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GO:0045202 (synapse)</t>
  </si>
  <si>
    <t>GO:0008045 (motor neuron axon guidance); GO:0005509 (calcium ion binding); GO:0016020 (membrane)</t>
  </si>
  <si>
    <t xml:space="preserve">G-protein coupled receptor daf-38 </t>
  </si>
  <si>
    <t>GO:0004930 (G protein-coupled receptor activity); GO:0007186 (G protein-coupled receptor signaling pathway); GO:0016021 (integral component of membrane)</t>
  </si>
  <si>
    <t>GO:0009792 (embryo development ending in birth or egg hatching); GO:0005515 (protein binding); GO:0045132 (meiotic chromosome segregation); GO:0007130 (synaptonemal complex assembly); GO:0000800 (lateral element); GO:0000801 (central element); GO:0051026 (chiasma assembly)</t>
  </si>
  <si>
    <t xml:space="preserve">Delta(5) fatty acid desaturase fat-4 </t>
  </si>
  <si>
    <t>GO:0006629 (lipid metabolic process); GO:0016491 (oxidoreductase activity); GO:0016021 (integral component of membrane)</t>
  </si>
  <si>
    <t xml:space="preserve">Probable S-adenosylmethionine synthase 1 </t>
  </si>
  <si>
    <t>GO:0006556 (S-adenosylmethionine biosynthetic process); GO:0004478 (methionine adenosyltransferase activity); GO:0005524 (ATP binding)</t>
  </si>
  <si>
    <t>GO:0005524 (ATP binding); GO:0000166 (nucleotide binding); GO:0003774 (motor activity); GO:0051015 (actin filament binding); GO:0003779 (actin binding); GO:0016459 (myosin complex); GO:0030016 (myofibril); GO:0032982 (myosin filament); GO:0005515 (protein binding)</t>
  </si>
  <si>
    <t xml:space="preserve">F-box B protein </t>
  </si>
  <si>
    <t xml:space="preserve">Glycine Rich Secreted Protein </t>
  </si>
  <si>
    <t xml:space="preserve">COG-1B </t>
  </si>
  <si>
    <t>GO:0005634 (nucleus); GO:0003677 (DNA binding); GO:0006355 (regulation of transcription, DNA-templated); GO:0000978 (RNA polymerase II cis-regulatory region sequence-specific DNA binding); GO:0003388 (neuron development involved in amphid sensory organ development); GO:0010628 (positive regulation of gene expression); GO:0000981 (DNA-binding transcription factor activity, RNA polymerase II-specific); GO:0006357 (regulation of transcription by RNA polymerase II); GO:0030154 (cell differentiation); GO:0010629 (negative regulation of gene expression); GO:0018991 (oviposition); GO:0008406 (gonad development); GO:0070491 (repressing transcription factor binding); GO:0007368 (determination of left/right symmetry); GO:0007389 (pattern specification process)</t>
  </si>
  <si>
    <t>GO:0005737 (cytoplasm); GO:0005829 (cytosol)</t>
  </si>
  <si>
    <t xml:space="preserve">Ubiquitin-Like Protease </t>
  </si>
  <si>
    <t>GO:0005634 (nucleus); GO:0006508 (proteolysis); GO:0008233 (peptidase activity); GO:0008234 (cysteine-type peptidase activity); GO:0016926 (protein desumoylation)</t>
  </si>
  <si>
    <t xml:space="preserve">GRainyHead (Drosophila transcription factor) homolog; Grainyhead transcription factor </t>
  </si>
  <si>
    <t>GO:0005634 (nucleus); GO:0003677 (DNA binding); GO:0000978 (RNA polymerase II cis-regulatory region sequence-specific DNA binding); GO:0006357 (regulation of transcription by RNA polymerase II); GO:0001228 (DNA-binding transcription activator activity, RNA polymerase II-specific); GO:0045944 (positive regulation of transcription by RNA polymerase II); GO:0043565 (sequence-specific DNA binding)</t>
  </si>
  <si>
    <t xml:space="preserve">Transthyretin-like protein 46 </t>
  </si>
  <si>
    <t xml:space="preserve">XPC (Xeroderma Pigmentosum group C) DNA repair gene homolog </t>
  </si>
  <si>
    <t>GO:0005737 (cytoplasm); GO:0003677 (DNA binding); GO:0005634 (nucleus); GO:0006281 (DNA repair); GO:0006974 (cellular response to DNA damage stimulus); GO:0009411 (response to UV); GO:0006289 (nucleotide-excision repair); GO:0003684 (damaged DNA binding); GO:0003697 (single-stranded DNA binding); GO:0006298 (mismatch repair); GO:0000111 (nucleotide-excision repair factor 2 complex); GO:0071942 (XPC complex)</t>
  </si>
  <si>
    <t xml:space="preserve">Probable vesicular glutamate transporter eat-4 </t>
  </si>
  <si>
    <t>GO:0055085 (transmembrane transport); GO:0022857 (transmembrane transporter activity); GO:0016020 (membrane); GO:0016021 (integral component of membrane)</t>
  </si>
  <si>
    <t>Bifunctional glyoxylate cycle protein Isocitrate lyase Malate synthase</t>
  </si>
  <si>
    <t>GO:0004451 (isocitrate lyase activity); GO:0019752 (carboxylic acid metabolic process); GO:0006097 (glyoxylate cycle); GO:0004474 (malate synthase activity); GO:0003824 (catalytic activity)</t>
  </si>
  <si>
    <t xml:space="preserve">Heritable Enhancer of RnaI (RNAi) </t>
  </si>
  <si>
    <t>GO:0005524 (ATP binding); GO:0004672 (protein kinase activity); GO:0006468 (protein phosphorylation)</t>
  </si>
  <si>
    <t xml:space="preserve">Pyruvate Dehydrogenase Phosphatase homolog </t>
  </si>
  <si>
    <t>GO:0016787 (hydrolase activity); GO:0046872 (metal ion binding); GO:0005739 (mitochondrion); GO:0006470 (protein dephosphorylation); GO:0004721 (phosphoprotein phosphatase activity); GO:0016791 (phosphatase activity); GO:0004722 (protein serine/threonine phosphatase activity); GO:0043169 (cation binding); GO:0004741 ([pyruvate dehydrogenase (lipoamide)] phosphatase activity); GO:1904184 (positive regulation of pyruvate dehydrogenase activity)</t>
  </si>
  <si>
    <t>GO:0005737 (cytoplasm); GO:0031931 (TORC1 complex); GO:0031932 (TORC2 complex); GO:0070209 (ASTRA complex); GO:0032006 (regulation of TOR signaling)</t>
  </si>
  <si>
    <t xml:space="preserve">Dual specificity mitogen-activated protein kinase kinase sek-1 </t>
  </si>
  <si>
    <t>GO:0005524 (ATP binding); GO:0004672 (protein kinase activity); GO:0006468 (protein phosphorylation); GO:0016301 (kinase activity); GO:0016310 (phosphorylation); GO:0046872 (metal ion binding); GO:0000166 (nucleotide binding); GO:0016740 (transferase activity); GO:0004713 (protein tyrosine kinase activity); GO:0018108 (peptidyl-tyrosine phosphorylation); GO:0004674 (protein serine/threonine kinase activity); GO:0010628 (positive regulation of gene expression); GO:0007399 (nervous system development); GO:0050832 (defense response to fungus); GO:0009636 (response to toxic substance); GO:0000187 (activation of MAPK activity); GO:0004708 (MAP kinase kinase activity); GO:0093002 (response to nematicide); GO:1901215 (negative regulation of neuron death); GO:0050830 (defense response to Gram-positive bacterium); GO:0050829 (defense response to Gram-negative bacterium); GO:0038066 (p38MAPK cascade); GO:0045087 (innate immune response); GO:0046662 (regulation of oviposition); GO:0035545 (determination of left/right asymmetry in nervous system); GO:1901046 (positive regulation of oviposition); GO:0034607 (turning behavior involved in mating); GO:0031435 (mitogen-activated protein kinase kinase kinase binding); GO:0000165 (MAPK cascade); GO:0000302 (response to reactive oxygen species); GO:0000303 (response to superoxide); GO:0051403 (stress-activated MAPK cascade); GO:1902097 (positive regulation of transcription from RNA polymerase II promoter involved in defense response to Gram-negative bacterium); GO:0004714 (transmembrane receptor protein tyrosine kinase activity); GO:0106310 (protein serine kinase activity); GO:0106311 (protein threonine kinase activity)</t>
  </si>
  <si>
    <t xml:space="preserve">Mitochondrial sorting homolog </t>
  </si>
  <si>
    <t>GO:0016887 (ATPase activity); GO:0005524 (ATP binding)</t>
  </si>
  <si>
    <t>GO:0005634 (nucleus); GO:0016180 (snRNA processing)</t>
  </si>
  <si>
    <t xml:space="preserve">Homolog of Hedgehog AcylTransferase </t>
  </si>
  <si>
    <t>GO:0016020 (membrane); GO:0016021 (integral component of membrane); GO:0016740 (transferase activity); GO:0016746 (transferase activity, transferring acyl groups); GO:0005783 (endoplasmic reticulum); GO:0016409 (palmitoyltransferase activity); GO:0018345 (protein palmitoylation)</t>
  </si>
  <si>
    <t xml:space="preserve">Contactin rig-6 </t>
  </si>
  <si>
    <t>GO:0016020 (membrane); GO:0016021 (integral component of membrane); GO:0005886 (plasma membrane); GO:0005737 (cytoplasm); GO:0007155 (cell adhesion); GO:0030054 (cell junction); GO:0045202 (synapse); GO:1903356 (positive regulation of distal tip cell migration); GO:0007156 (homophilic cell adhesion via plasma membrane adhesion molecules); GO:0007411 (axon guidance); GO:0030424 (axon); GO:0070593 (dendrite self-avoidance); GO:0098632 (cell-cell adhesion mediator activity); GO:0042995 (cell projection); GO:0043025 (neuronal cell body); GO:0009792 (embryo development ending in birth or egg hatching); GO:0007399 (nervous system development); GO:0040015 (negative regulation of multicellular organism growth); GO:0043204 (perikaryon); GO:0008045 (motor neuron axon guidance); GO:0031225 (anchored component of membrane); GO:0060562 (epithelial tube morphogenesis); GO:0033563 (dorsal/ventral axon guidance); GO:0035150 (regulation of tube size); GO:0035545 (determination of left/right asymmetry in nervous system); GO:0048842 (positive regulation of axon extension involved in axon guidance); GO:0060467 (negative regulation of fertilization); GO:0090327 (negative regulation of locomotion involved in locomotory behavior); GO:2000747 (negative regulation of defecation rhythm); GO:0005515 (protein binding)</t>
  </si>
  <si>
    <t>GO:0016020 (membrane); GO:0016021 (integral component of membrane); GO:0055085 (transmembrane transport); GO:0005886 (plasma membrane); GO:0006811 (ion transport); GO:0030054 (cell junction); GO:0005921 (gap junction); GO:0005243 (gap junction channel activity); GO:0110039 (positive regulation of nematode male tail tip morphogenesis)</t>
  </si>
  <si>
    <t xml:space="preserve">Serpentine receptor class alpha-10 </t>
  </si>
  <si>
    <t>GO:0016020 (membrane); GO:0016021 (integral component of membrane); GO:0007606 (sensory perception of chemical stimulus); GO:0004930 (G protein-coupled receptor activity); GO:0004984 (olfactory receptor activity); GO:0050907 (detection of chemical stimulus involved in sensory perception); GO:0050911 (detection of chemical stimulus involved in sensory perception of smell); GO:0007186 (G protein-coupled receptor signaling pathway)</t>
  </si>
  <si>
    <t xml:space="preserve">Probable G-protein coupled receptor npr-8 </t>
  </si>
  <si>
    <t>GO:0004983 (neuropeptide Y receptor activity); GO:0004930 (G protein-coupled receptor activity); GO:0007186 (G protein-coupled receptor signaling pathway); GO:0016021 (integral component of membrane); GO:0016020 (membrane); GO:0007165 (signal transduction); GO:0007218 (neuropeptide signaling pathway)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</si>
  <si>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GO:0030594 (neurotransmitter receptor activity)</t>
  </si>
  <si>
    <t xml:space="preserve">Uncharacterized peptidase C1-like protein F26E4.3 </t>
  </si>
  <si>
    <t>GO:0005764 (lysosome); GO:0006508 (proteolysis); GO:0005576 (extracellular region); GO:0005615 (extracellular space); GO:0008234 (cysteine-type peptidase activity); GO:0005201 (extracellular matrix structural constituent); GO:0062023 (collagen-containing extracellular matrix)</t>
  </si>
  <si>
    <t xml:space="preserve">Girdin homolog </t>
  </si>
  <si>
    <t>GO:0030705 (cytoskeleton-dependent intracellular transport); GO:0005515 (protein binding)</t>
  </si>
  <si>
    <t>GO:0003676 (nucleic acid binding); GO:0004527 (exonuclease activity); GO:0000467 (exonucleolytic trimming to generate mature 3'-end of 5.8S rRNA from tricistronic rRNA transcript (SSU-rRNA, 5.8S rRNA, LSU-rRNA)); GO:0000175 (3'-5'-exoribonuclease activity); GO:0000738 (DNA catabolic process, exonucleolytic); GO:0045087 (innate immune response)</t>
  </si>
  <si>
    <t xml:space="preserve">Serpentine Receptor, class X </t>
  </si>
  <si>
    <t xml:space="preserve">Disintegrin and metalloproteinase domain-containing protein 10 homolog </t>
  </si>
  <si>
    <t>GO:0004222 (metalloendopeptidase activity); GO:0008237 (metallopeptidase activity); GO:0006508 (proteolysis)</t>
  </si>
  <si>
    <t xml:space="preserve">KLUmpfuss related </t>
  </si>
  <si>
    <t xml:space="preserve">Gamma Butyrobetaine Hydroxylase </t>
  </si>
  <si>
    <t>GO:0046872 (metal ion binding); GO:0005739 (mitochondrion); GO:0016491 (oxidoreductase activity); GO:0051213 (dioxygenase activity); GO:0005506 (iron ion binding); GO:0045329 (carnitine biosynthetic process); GO:0050353 (trimethyllysine dioxygenase activity); GO:0055114 (oxidation-reduction process)</t>
  </si>
  <si>
    <t>GO:0016226 (iron-sulfur cluster assembly); GO:0005759 (mitochondrial matrix); GO:0005515 (protein binding)</t>
  </si>
  <si>
    <t xml:space="preserve">Lim and Transglutaminase Domain </t>
  </si>
  <si>
    <t>GO:0046872 (metal ion binding); GO:0005737 (cytoplasm); GO:0005911 (cell-cell junction); GO:0055120 (striated muscle dense body); GO:0003674 (molecular_function); GO:0061061 (muscle structure development)</t>
  </si>
  <si>
    <t>miRNA</t>
  </si>
  <si>
    <t xml:space="preserve">Cuticle collagen lon-3 </t>
  </si>
  <si>
    <t xml:space="preserve">Period protein homolog lin-42 </t>
  </si>
  <si>
    <t xml:space="preserve">Bifunctional arginine demethylase and lysyl-hydroxylase psr-1 </t>
  </si>
  <si>
    <t>GO:0005634 (nucleus); GO:0043652 (engulfment of apoptotic cell); GO:0005515 (protein binding); GO:0001786 (phosphatidylserine binding)</t>
  </si>
  <si>
    <t xml:space="preserve">CrossOver Site Associated </t>
  </si>
  <si>
    <t>GO:0035861 (site of double-strand break); GO:0007131 (reciprocal meiotic recombination)</t>
  </si>
  <si>
    <t>GO:0055085 (transmembrane transport); GO:0050830 (defense response to Gram-positive bacterium); GO:0015267 (channel activity); GO:0035915 (pore formation in membrane of other organism); GO:0046930 (pore complex)</t>
  </si>
  <si>
    <t>GO:0046872 (metal ion binding); GO:0005829 (cytosol); GO:0000287 (magnesium ion binding); GO:0005975 (carbohydrate metabolic process); GO:0016853 (isomerase activity); GO:0016868 (intramolecular transferase activity, phosphotransferases); GO:0071704 (organic substance metabolic process); GO:0006006 (glucose metabolic process); GO:0004614 (phosphoglucomutase activity)</t>
  </si>
  <si>
    <t xml:space="preserve">DreBriN 1/DreBriN-like (Where Drebrin is from Developmentally REgulated BRaIN protein) family homolog </t>
  </si>
  <si>
    <t>GO:0005886 (plasma membrane); GO:0003779 (actin binding); GO:0030864 (cortical actin cytoskeleton); GO:0051015 (actin filament binding); GO:0045211 (postsynaptic membrane); GO:0030425 (dendrite); GO:0048812 (neuron projection morphogenesis); GO:0014069 (postsynaptic density); GO:0005884 (actin filament); GO:0030027 (lamellipodium); GO:0030833 (regulation of actin filament polymerization); GO:0045773 (positive regulation of axon extension); GO:0061003 (positive regulation of dendritic spine morphogenesis); GO:0098974 (postsynaptic actin cytoskeleton organization); GO:0030427 (site of polarized growth); GO:0005515 (protein binding)</t>
  </si>
  <si>
    <t xml:space="preserve">Coelomocyte uptake defective protein 15 </t>
  </si>
  <si>
    <t>GO:0016740 (transferase activity); GO:0005794 (Golgi apparatus); GO:0008033 (tRNA processing); GO:0016432 (tRNA-uridine aminocarboxypropyltransferase activity)</t>
  </si>
  <si>
    <t xml:space="preserve">Propionyl Coenzyme A Carboxylase Beta subunit </t>
  </si>
  <si>
    <t>GO:0016874 (ligase activity)</t>
  </si>
  <si>
    <t xml:space="preserve">Exonuclease mut-7 </t>
  </si>
  <si>
    <t>GO:0008408 (3'-5' exonuclease activity); GO:0006139 (nucleobase-containing compound metabolic process); GO:0003676 (nucleic acid binding)</t>
  </si>
  <si>
    <t xml:space="preserve">Serpentine Receptor, class I </t>
  </si>
  <si>
    <t xml:space="preserve">Erythroid-Like Transcription factor family; GATA-like transcription factor ELT-6 </t>
  </si>
  <si>
    <t>GO:0005634 (nucleus); GO:0046872 (metal ion binding); GO:0003700 (DNA-binding transcription factor activity); GO:0006355 (regulation of transcription, DNA-templated); GO:0008270 (zinc ion binding); GO:0043565 (sequence-specific DNA binding); GO:0006357 (regulation of transcription by RNA polymerase II); GO:0000978 (RNA polymerase II cis-regulatory region sequence-specific DNA binding); GO:0000981 (DNA-binding transcription factor activity, RNA polymerase II-specific); GO:0045165 (cell fate commitment); GO:0000977 (RNA polymerase II transcription regulatory region sequence-specific DNA binding)</t>
  </si>
  <si>
    <t>GO:0005634 (nucleus); GO:0035556 (intracellular signal transduction); GO:0016567 (protein ubiquitination); GO:0006281 (DNA repair); GO:0004842 (ubiquitin-protein transferase activity); GO:0000724 (double-strand break repair via homologous recombination); GO:0030915 (Smc5-Smc6 complex); GO:0006301 (postreplication repair)</t>
  </si>
  <si>
    <t xml:space="preserve">Serine/threonine-protein kinase D1044.8 </t>
  </si>
  <si>
    <t>GO:0005576 (extracellular region); GO:0005615 (extracellular space)</t>
  </si>
  <si>
    <t>GO:0016020 (membrane); GO:0016021 (integral component of membrane); GO:0008061 (chitin binding); GO:0005975 (carbohydrate metabolic process)</t>
  </si>
  <si>
    <t>lincRNA</t>
  </si>
  <si>
    <t>GO:0016020 (membrane); GO:0016021 (integral component of membrane); GO:0043005 (neuron projection); GO:0004930 (G protein-coupled receptor activity); GO:0007186 (G protein-coupled receptor signaling pathway); GO:0005887 (integral component of plasma membrane); GO:0042277 (peptide binding)</t>
  </si>
  <si>
    <t xml:space="preserve">MAP kinase kinase mkk-4 </t>
  </si>
  <si>
    <t xml:space="preserve">Serpentine Receptor, class D (Delta) </t>
  </si>
  <si>
    <t>GO:0005515 (protein binding); GO:0000978 (RNA polymerase II cis-regulatory region sequence-specific DNA binding); GO:0003700 (DNA-binding transcription factor activity); GO:0006357 (regulation of transcription by RNA polymerase II)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</si>
  <si>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GO:0060078 (regulation of postsynaptic membrane potential); GO:0060079 (excitatory postsynaptic potential); GO:0008340 (determination of adult lifespan); GO:0030594 (neurotransmitter receptor activity); GO:0098794 (postsynapse); GO:0005737 (cytoplasm); GO:0006897 (endocytosis); GO:0022848 (acetylcholine-gated cation-selective channel activity)</t>
  </si>
  <si>
    <t>GO:0016020 (membrane); GO:0016021 (integral component of membrane); GO:0016740 (transferase activity); GO:0016757 (transferase activity, transferring glycosyl groups); GO:0006486 (protein glycosylation); GO:0005783 (endoplasmic reticulum); GO:0004169 (dolichyl-phosphate-mannose-protein mannosyltransferase activity); GO:0005515 (protein binding); GO:0035269 (protein O-linked mannosylation)</t>
  </si>
  <si>
    <t>GO:0005739 (mitochondrion); GO:0005654 (nucleoplasm); GO:0032543 (mitochondrial translation); GO:0005761 (mitochondrial ribosome)</t>
  </si>
  <si>
    <t xml:space="preserve">Probable spastin homolog spas-1 </t>
  </si>
  <si>
    <t>GO:0005634 (nucleus); GO:0005524 (ATP binding); GO:0000166 (nucleotide binding); GO:0005737 (cytoplasm); GO:0005856 (cytoskeleton); GO:0005874 (microtubule); GO:0016887 (ATPase activity); GO:0016853 (isomerase activity); GO:0031122 (cytoplasmic microtubule organization); GO:0042802 (identical protein binding); GO:0048471 (perinuclear region of cytoplasm); GO:0008568 (microtubule-severing ATPase activity); GO:0051013 (microtubule severing); GO:0001578 (microtubule bundle formation); GO:0031117 (positive regulation of microtubule depolymerization); GO:0015630 (microtubule cytoskeleton); GO:0040025 (vulval development); GO:0048477 (oogenesis); GO:0008017 (microtubule binding); GO:0007019 (microtubule depolymerization); GO:0032991 (protein-containing complex); GO:0051647 (nucleus localization); GO:0051260 (protein homooligomerization)</t>
  </si>
  <si>
    <t xml:space="preserve">UPF0375 protein R05A10.4 </t>
  </si>
  <si>
    <t xml:space="preserve">ASpartyl Protease </t>
  </si>
  <si>
    <t>GO:0005764 (lysosome); GO:0016787 (hydrolase activity); GO:0006508 (proteolysis); GO:0008233 (peptidase activity); GO:0004190 (aspartic-type endopeptidase activity); GO:0008219 (cell death)</t>
  </si>
  <si>
    <t>GO:0016020 (membrane); GO:0016021 (integral component of membrane); GO:0005634 (nucleus); GO:0061024 (membrane organization)</t>
  </si>
  <si>
    <t xml:space="preserve">Calcium/calmodulin-dependent protein kinase type 1 </t>
  </si>
  <si>
    <t>GO:0005634 (nucleus); GO:0005515 (protein binding)</t>
  </si>
  <si>
    <t xml:space="preserve">Bestrophin homolog </t>
  </si>
  <si>
    <t>GO:0016020 (membrane); GO:0016021 (integral component of membrane); GO:0005886 (plasma membrane); GO:0006811 (ion transport); GO:0005254 (chloride channel activity); GO:0006821 (chloride transport); GO:0034707 (chloride channel complex)</t>
  </si>
  <si>
    <t xml:space="preserve">Transthyretin-like protein 1 </t>
  </si>
  <si>
    <t xml:space="preserve">Ataxin-3 homolog </t>
  </si>
  <si>
    <t>GO:0016579 (protein deubiquitination); GO:0004843 (thiol-dependent ubiquitin-specific protease activity)</t>
  </si>
  <si>
    <t>GO:0005524 (ATP binding); GO:0004672 (protein kinase activity); GO:0006468 (protein phosphorylation); GO:0016301 (kinase activity); GO:0016310 (phosphorylation); GO:0000166 (nucleotide binding);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activity); GO:0005515 (protein binding)</t>
  </si>
  <si>
    <t xml:space="preserve">Probable Dol-P-Man:Man(7)GlcNAc(2)-PP-Dol alpha-1,6-mannosyltransferase </t>
  </si>
  <si>
    <t>GO:0016020 (membrane); GO:0016021 (integral component of membrane); GO:0016740 (transferase activity); GO:0016757 (transferase activity, transferring glycosyl groups); GO:0005789 (endoplasmic reticulum membrane); GO:0006486 (protein glycosylation); GO:0006487 (protein N-linked glycosylation); GO:0005783 (endoplasmic reticulum); GO:0097502 (mannosylation); GO:0000030 (mannosyltransferase activity); GO:0006488 (dolichol-linked oligosaccharide biosynthetic process); GO:0005788 (endoplasmic reticulum lumen); GO:0000009 (alpha-1,6-mannosyltransferase activity); GO:0052917 (dol-P-Man:Man(7)GlcNAc(2)-PP-Dol alpha-1,6-mannosyltransferase activity); GO:0052824 (dolichyl-pyrophosphate Man7GlcNAc2 alpha-1,6-mannosyltransferase activity)</t>
  </si>
  <si>
    <t>GO:0005509 (calcium ion binding); GO:0005615 (extracellular space); GO:0030198 (extracellular matrix organization); GO:0008201 (heparin binding); GO:0005604 (basement membrane); GO:0050840 (extracellular matrix binding)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</si>
  <si>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GO:0004713 (protein tyrosine kinase activity); GO:0018108 (peptidyl-tyrosine phosphorylation); GO:0005887 (integral component of plasma membrane); GO:0016477 (cell migration); GO:0004714 (transmembrane receptor protein tyrosine kinase activity); GO:0007169 (transmembrane receptor protein tyrosine kinase signaling pathway); GO:0043235 (receptor complex); GO:0007275 (multicellular organism development); GO:0007399 (nervous system development); GO:0033674 (positive regulation of kinase activity)</t>
  </si>
  <si>
    <t xml:space="preserve">Probable DNA replication complex GINS protein PSF2 </t>
  </si>
  <si>
    <t>GO:0006260 (DNA replication); GO:0005634 (nucleus)</t>
  </si>
  <si>
    <t>GO:0010951 (negative regulation of endopeptidase activity); GO:0005615 (extracellular space); GO:0004866 (endopeptidase inhibitor activity)</t>
  </si>
  <si>
    <t>GO:0016788 (hydrolase activity, acting on ester bonds); GO:0006259 (DNA metabolic process); GO:0016888 (endodeoxyribonuclease activity, producing 5'-phosphomonoesters)</t>
  </si>
  <si>
    <t xml:space="preserve">Globin-like protein 26 </t>
  </si>
  <si>
    <t xml:space="preserve">Zinc metalloproteinase nas-9 </t>
  </si>
  <si>
    <t>GO:0004222 (metalloendopeptidase activity); GO:0008237 (metallopeptidase activity); GO:0006508 (proteolysis); GO:0008270 (zinc ion binding)</t>
  </si>
  <si>
    <t xml:space="preserve">T-complex protein 1 subunit theta </t>
  </si>
  <si>
    <t>GO:0005524 (ATP binding); GO:0000166 (nucleotide binding); GO:0005737 (cytoplasm); GO:0016887 (ATPase activity); GO:0051082 (unfolded protein binding); GO:0006457 (protein folding); GO:0005832 (chaperonin-containing T-complex)</t>
  </si>
  <si>
    <t xml:space="preserve">Zinc metalloproteinase nas-33 </t>
  </si>
  <si>
    <t xml:space="preserve">Homeobox protein ceh-24 </t>
  </si>
  <si>
    <t xml:space="preserve">Putative cuticle collagen 99 </t>
  </si>
  <si>
    <t xml:space="preserve">Heavy chain, Unconventional Myosin </t>
  </si>
  <si>
    <t>GO:0005524 (ATP binding); GO:0005737 (cytoplasm); GO:0005886 (plasma membrane); GO:0000166 (nucleotide binding); GO:0003774 (motor activity); GO:0007015 (actin filament organization); GO:0051015 (actin filament binding); GO:0003779 (actin binding); GO:0031982 (vesicle); GO:0016459 (myosin complex); GO:0015629 (actin cytoskeleton); GO:0000146 (microfilament motor activity); GO:0030898 (actin-dependent ATPase activity); GO:0030050 (vesicle transport along actin filament); GO:0005902 (microvillus); GO:0005515 (protein binding)</t>
  </si>
  <si>
    <t xml:space="preserve">Ankyrin repeat and LEM domain-containing protein 1 homolog </t>
  </si>
  <si>
    <t>GO:0004519 (endonuclease activity); GO:0005515 (protein binding)</t>
  </si>
  <si>
    <t>GO:0003824 (catalytic activity); GO:0046872 (metal ion binding); GO:0016740 (transferase activity); GO:0016491 (oxidoreductase activity); GO:0050660 (flavin adenine dinucleotide binding); GO:0005506 (iron ion binding); GO:0051536 (iron-sulfur cluster binding); GO:0006537 (glutamate biosynthetic process); GO:0010181 (FMN binding); GO:0006807 (nitrogen compound metabolic process); GO:0006541 (glutamine metabolic process); GO:0015930 (glutamate synthase activity); GO:0016040 (glutamate synthase (NADH) activity); GO:0016638 (oxidoreductase activity, acting on the CH-NH2 group of donors); GO:0016639 (oxidoreductase activity, acting on the CH-NH2 group of donors, NAD or NADP as acceptor); GO:0019676 (ammonia assimilation cycle); GO:0051538 (3 iron, 4 sulfur cluster binding); GO:0008652 (cellular amino acid biosynthetic process); GO:0055114 (oxidation-reduction process); GO:0097054 (L-glutamate biosynthetic process)</t>
  </si>
  <si>
    <t xml:space="preserve">Spindle-defective protein 2 </t>
  </si>
  <si>
    <t>GO:0005737 (cytoplasm); GO:0005856 (cytoskeleton); GO:0007275 (multicellular organism development); GO:0007049 (cell cycle); GO:0019901 (protein kinase binding); GO:0005515 (protein binding); GO:0005814 (centriole); GO:0090307 (mitotic spindle assembly); GO:0005813 (centrosome); GO:0005815 (microtubule organizing center); GO:0008104 (protein localization); GO:0000242 (pericentriolar material); GO:0051298 (centrosome duplication); GO:0071539 (protein localization to centrosome); GO:0090222 (centrosome-templated microtubule nucleation); GO:0009792 (embryo development ending in birth or egg hatching); GO:0040025 (vulval development); GO:0007099 (centriole replication); GO:0000226 (microtubule cytoskeleton organization); GO:0007098 (centrosome cycle)</t>
  </si>
  <si>
    <t xml:space="preserve">Probable S-adenosylmethionine synthase 3 </t>
  </si>
  <si>
    <t xml:space="preserve">DNA replication licensing factor mcm-4 </t>
  </si>
  <si>
    <t>GO:0042555 (MCM complex); GO:0006270 (DNA replication initiation); GO:0032508 (DNA duplex unwinding); GO:0003678 (DNA helicase activity); GO:0006260 (DNA replication); GO:0005524 (ATP binding); GO:0003677 (DNA binding)</t>
  </si>
  <si>
    <t xml:space="preserve">Phospholipase A2-like protein Y52B11A.8 </t>
  </si>
  <si>
    <t>GO:0005576 (extracellular region); GO:0004623 (phospholipase A2 activity); GO:0006644 (phospholipid metabolic process); GO:0050482 (arachidonic acid secretion)</t>
  </si>
  <si>
    <t>GO:0016020 (membrane); GO:0016021 (integral component of membrane); GO:0006811 (ion transport); GO:0006816 (calcium ion transport); GO:0005783 (endoplasmic reticulum); GO:0005789 (endoplasmic reticulum membrane); GO:0030176 (integral component of endoplasmic reticulum membrane); GO:2001256 (regulation of store-operated calcium entry)</t>
  </si>
  <si>
    <t xml:space="preserve">Eukaryotic translation initiation factor 2A </t>
  </si>
  <si>
    <t>GO:0006413 (translational initiation); GO:0003743 (translation initiation factor activity)</t>
  </si>
  <si>
    <t xml:space="preserve">Receptor-type guanylate cyclase gcy-17 </t>
  </si>
  <si>
    <t>GO:0016849 (phosphorus-oxygen lyase activity); GO:0006182 (cGMP biosynthetic process); GO:0004383 (guanylate cyclase activity); GO:0009190 (cyclic nucleotide biosynthetic process); GO:0004672 (protein kinase activity); GO:0035556 (intracellular signal transduction); GO:0006468 (protein phosphorylation); GO:0005524 (ATP binding)</t>
  </si>
  <si>
    <t xml:space="preserve">Calcium/calmodulin-dependent protein kinase kinase </t>
  </si>
  <si>
    <t xml:space="preserve">Titin homolog </t>
  </si>
  <si>
    <t>GO:0016020 (membrane); GO:0005524 (ATP binding); GO:0004672 (protein kinase activity); GO:0006468 (protein phosphorylation); GO:0016301 (kinase activity); GO:0016310 (phosphorylation); GO:0005634 (nucleus); GO:0046872 (metal ion binding); GO:0000166 (nucleotide binding); GO:0016740 (transferase activity); GO:0005737 (cytoplasm); GO:0004674 (protein serine/threonine kinase activity); GO:0017022 (myosin binding); GO:0031672 (A band); GO:0031674 (I band); GO:0031965 (nuclear membrane); GO:0051015 (actin filament binding); GO:0005515 (protein binding); GO:0106310 (protein serine kinase activity); GO:0106311 (protein threonine kinase activity)</t>
  </si>
  <si>
    <t>GO:0005525 (GTP binding); GO:0016301 (kinase activity); GO:0016310 (phosphorylation); GO:0046872 (metal ion binding); GO:0000166 (nucleotide binding); GO:0005829 (cytosol); GO:0016829 (lyase activity); GO:0030145 (manganese ion binding); GO:0006094 (gluconeogenesis); GO:0033993 (response to lipid); GO:0016831 (carboxy-lyase activity); GO:0042594 (response to starvation); GO:0004611 (phosphoenolpyruvate carboxykinase activity); GO:0004613 (phosphoenolpyruvate carboxykinase (GTP) activity); GO:0017076 (purine nucleotide binding); GO:0019543 (propionate catabolic process); GO:0046327 (glycerol biosynthetic process from pyruvate); GO:0071333 (cellular response to glucose stimulus); GO:0005739 (mitochondrion)</t>
  </si>
  <si>
    <t xml:space="preserve">Mannosyl-oligosaccharide glucosidase </t>
  </si>
  <si>
    <t>GO:0009311 (oligosaccharide metabolic process); GO:0004573 (mannosyl-oligosaccharide glucosidase activity); GO:0005975 (carbohydrate metabolic process)</t>
  </si>
  <si>
    <t xml:space="preserve">Transcription factor </t>
  </si>
  <si>
    <t>GO:0005634 (nucleus); GO:0000978 (RNA polymerase II cis-regulatory region sequence-specific DNA binding); GO:0006357 (regulation of transcription by RNA polymerase II); GO:0001228 (DNA-binding transcription activator activity, RNA polymerase II-specific); GO:0045944 (positive regulation of transcription by RNA polymerase II); GO:0040028 (regulation of vulval development); GO:0000977 (RNA polymerase II transcription regulatory region sequence-specific DNA binding); GO:0040034 (regulation of development, heterochronic); GO:0043067 (regulation of programmed cell death); GO:0061067 (negative regulation of dauer larval development)</t>
  </si>
  <si>
    <t xml:space="preserve">Enhancer of Glp-One (Glp-1); RNA-directed RNA polymerase related EGO-1 </t>
  </si>
  <si>
    <t>GO:0016740 (transferase activity); GO:0003723 (RNA binding); GO:0031047 (gene silencing by RNA); GO:0031380 (nuclear RNA-directed RNA polymerase complex); GO:0001172 (transcription, RNA-templated); GO:0003968 (RNA-directed 5'-3' RNA polymerase activity); GO:0030422 (production of siRNA involved in RNA interference); GO:0070919 (production of siRNA involved in chromatin silencing by small RNA); GO:0005634 (nucleus); GO:0005737 (cytoplasm); GO:0007281 (germ cell development); GO:1903863 (P granule assembly); GO:0007283 (spermatogenesis); GO:0000794 (condensed nuclear chromosome); GO:0043186 (P granule); GO:0048477 (oogenesis); GO:0016246 (RNA interference); GO:0070090 (metaphase plate); GO:0051664 (nuclear pore localization)</t>
  </si>
  <si>
    <t xml:space="preserve">Degenerin-like protein del-10 </t>
  </si>
  <si>
    <t>GO:0005272 (sodium channel activity); GO:0006814 (sodium ion transport); GO:0016020 (membrane)</t>
  </si>
  <si>
    <t xml:space="preserve">Adenylosuccinate synthetase </t>
  </si>
  <si>
    <t>GO:0006164 (purine nucleotide biosynthetic process); GO:0004019 (adenylosuccinate synthase activity); GO:0005525 (GTP binding)</t>
  </si>
  <si>
    <t xml:space="preserve">Seven B Two (Mammalian 7BT prohormone convertase chaperone) homolog </t>
  </si>
  <si>
    <t>GO:0010952 (positive regulation of peptidase activity); GO:0005576 (extracellular region); GO:0006937 (regulation of muscle contraction); GO:0007218 (neuropeptide signaling pathway); GO:0030234 (enzyme regulator activity); GO:0030141 (secretory granule); GO:0016504 (peptidase activator activity); GO:0030414 (peptidase inhibitor activity); GO:0010466 (negative regulation of peptidase activity); GO:0051345 (positive regulation of hydrolase activity); GO:0046883 (regulation of hormone secretion)</t>
  </si>
  <si>
    <t xml:space="preserve">Fructose-bisphosphate aldolase 2 </t>
  </si>
  <si>
    <t>GO:0004332 (fructose-bisphosphate aldolase activity); GO:0003824 (catalytic activity); GO:0006096 (glycolytic process)</t>
  </si>
  <si>
    <t xml:space="preserve">EGR (Early Growth factor Response factor) Homolog </t>
  </si>
  <si>
    <t>GO:0016020 (membrane); GO:0016021 (integral component of membrane); GO:0005886 (plasma membrane); GO:0022857 (transmembrane transporter activity); GO:0055085 (transmembrane transport); GO:0015171 (amino acid transmembrane transporter activity); GO:0006865 (amino acid transport); GO:0003333 (amino acid transmembrane transport); GO:1905039 (carboxylic acid transmembrane transport)</t>
  </si>
  <si>
    <t xml:space="preserve">Phospholipid-transporting ATPase </t>
  </si>
  <si>
    <t>GO:0016020 (membrane); GO:0016021 (integral component of membrane); GO:0005524 (ATP binding); GO:0000166 (nucleotide binding); GO:0000287 (magnesium ion binding); GO:0016887 (ATPase activity); GO:0015914 (phospholipid transport); GO:0016125 (sterol metabolic process); GO:0140326 (ATPase-coupled intramembrane lipid transporter activity); GO:0034204 (lipid translocation)</t>
  </si>
  <si>
    <t xml:space="preserve">Patterned Expression Site </t>
  </si>
  <si>
    <t>GO:0005737 (cytoplasm); GO:0005096 (GTPase activator activity); GO:0007165 (signal transduction); GO:0043547 (positive regulation of GTPase activity); GO:0051015 (actin filament binding); GO:0032956 (regulation of actin cytoskeleton organization); GO:0005516 (calmodulin binding); GO:0043087 (regulation of GTPase activity); GO:0005515 (protein binding)</t>
  </si>
  <si>
    <t xml:space="preserve">TIP41-like protein </t>
  </si>
  <si>
    <t>GO:0005829 (cytosol); GO:0031929 (TOR signaling); GO:0043666 (regulation of phosphoprotein phosphatase activity)</t>
  </si>
  <si>
    <t>GO:0016020 (membrane); GO:0016021 (integral component of membrane); GO:0042302 (structural constituent of cuticle); GO:0042338 (cuticle development involved in collagen and cuticulin-based cuticle molting cycle)</t>
  </si>
  <si>
    <t xml:space="preserve">Formin HOmology Domain </t>
  </si>
  <si>
    <t>GO:0050804 (modulation of chemical synaptic transmission); GO:0008344 (adult locomotory behavior); GO:0048512 (circadian behavior); GO:0005515 (protein binding)</t>
  </si>
  <si>
    <t>GO:0005634 (nucleus); GO:0005524 (ATP binding); GO:0000166 (nucleotide binding); GO:0000724 (double-strand break repair via homologous recombination); GO:0015616 (DNA translocase activity); GO:0007131 (reciprocal meiotic recombination); GO:0070615 (nucleosome-dependent ATPase activity)</t>
  </si>
  <si>
    <t>GO:0016020 (membrane); GO:0016021 (integral component of membrane); GO:0005886 (plasma membrane); GO:0005794 (Golgi apparatus); GO:0001540 (amyloid-beta binding); GO:0042985 (negative regulation of amyloid precursor protein biosynthetic process)</t>
  </si>
  <si>
    <t>GO:0003677 (DNA binding); GO:0005634 (nucleus);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GO:0030154 (cell differentiation); GO:1905905 (pharyngeal gland morphogenesis); GO:0002119 (nematode larval development); GO:0030036 (actin cytoskeleton organization); GO:0043282 (pharyngeal muscle development); GO:0040014 (regulation of multicellular organism growth); GO:0009887 (animal organ morphogenesis); GO:0042694 (muscle cell fate specification); GO:0042755 (eating behavior)</t>
  </si>
  <si>
    <t>GO:0006357 (regulation of transcription by RNA polymerase II); GO:0005694 (chromosome); GO:0043035 (chromatin insulator sequence binding)</t>
  </si>
  <si>
    <t xml:space="preserve">Mitochondrial import receptor subunit TOM40 homolog </t>
  </si>
  <si>
    <t>GO:0016020 (membrane); GO:0016021 (integral component of membrane); GO:0006811 (ion transport); GO:0015031 (protein transport); GO:0055085 (transmembrane transport); GO:0005739 (mitochondrion); GO:0030150 (protein import into mitochondrial matrix); GO:0008320 (protein transmembrane transporter activity); GO:0005741 (mitochondrial outer membrane); GO:0005742 (mitochondrial outer membrane translocase complex); GO:0006626 (protein targeting to mitochondrion); GO:0015288 (porin activity); GO:0046930 (pore complex); GO:0031966 (mitochondrial membrane)</t>
  </si>
  <si>
    <t xml:space="preserve">Elongation of very long chain fatty acids protein 5 </t>
  </si>
  <si>
    <t xml:space="preserve">DOMON domain-containing protein Y73F4A.1 </t>
  </si>
  <si>
    <t>GO:0016740 (transferase activity); GO:0016746 (transferase activity, transferring acyl groups); GO:0005777 (peroxisome); GO:0008458 (carnitine O-octanoyltransferase activity)</t>
  </si>
  <si>
    <t>GO:0003779 (actin binding); GO:0030036 (actin cytoskeleton organization); GO:0030018 (Z disc); GO:0031941 (filamentous actin); GO:0005912 (adherens junction); GO:0051371 (muscle alpha-actinin binding); GO:0001725 (stress fiber); GO:0061061 (muscle structure development); GO:0005515 (protein binding)</t>
  </si>
  <si>
    <t xml:space="preserve">Biogenesis of lysosome-related organelles complex 1 subunit 4 </t>
  </si>
  <si>
    <t>GO:0005861 (troponin complex); GO:0006936 (muscle contraction); GO:0006937 (regulation of muscle contraction); GO:0045214 (sarcomere organization); GO:0005523 (tropomyosin binding); GO:0002119 (nematode larval development); GO:0060465 (pharynx development); GO:1905905 (pharyngeal gland morphogenesis)</t>
  </si>
  <si>
    <t>GO:0016020 (membrane); GO:0016021 (integral component of membrane); GO:0005783 (endoplasmic reticulum); GO:0005254 (chloride channel activity); GO:0015698 (inorganic anion transport); GO:0009792 (embryo development ending in birth or egg hatching); GO:0008104 (protein localization); GO:0003674 (molecular_function); GO:0000132 (establishment of mitotic spindle orientation); GO:0007163 (establishment or maintenance of cell polarity)</t>
  </si>
  <si>
    <t xml:space="preserve">Alpha-(1,3)-fucosyltransferase fut-3 </t>
  </si>
  <si>
    <t>GO:0006486 (protein glycosylation); GO:0008417 (fucosyltransferase activity); GO:0016020 (membrane)</t>
  </si>
  <si>
    <t xml:space="preserve">Fem-3 mRNA-binding factor 2 </t>
  </si>
  <si>
    <t xml:space="preserve">Chondroitin sulfate synthase sqv-5 </t>
  </si>
  <si>
    <t>GO:0032580 (Golgi cisterna membrane); GO:0008376 (acetylgalactosaminyltransferase activity); GO:0016020 (membrane); GO:0016021 (integral component of membrane); GO:0016740 (transferase activity); GO:0005794 (Golgi apparatus)</t>
  </si>
  <si>
    <t xml:space="preserve">GlyPicaN </t>
  </si>
  <si>
    <t>GO:0016020 (membrane); GO:0045202 (synapse); GO:0016477 (cell migration); GO:0009966 (regulation of signal transduction); GO:0009986 (cell surface); GO:0046658 (anchored component of plasma membrane); GO:0062023 (collagen-containing extracellular matrix); GO:0009792 (embryo development ending in birth or egg hatching); GO:0002119 (nematode larval development); GO:0001764 (neuron migration); GO:1905475 (regulation of protein localization to membrane); GO:0048730 (epidermis morphogenesis)</t>
  </si>
  <si>
    <t>GO:0016787 (hydrolase activity); GO:0005737 (cytoplasm); GO:0006516 (glycoprotein catabolic process)</t>
  </si>
  <si>
    <t>GO:0005737 (cytoplasm); GO:0061630 (ubiquitin protein ligase activity); GO:0016567 (protein ubiquitination); GO:0006516 (glycoprotein catabolic process); GO:0005515 (protein binding); GO:0030433 (ubiquitin-dependent ERAD pathway); GO:0019005 (SCF ubiquitin ligase complex); GO:0031146 (SCF-dependent proteasomal ubiquitin-dependent protein catabolic process)</t>
  </si>
  <si>
    <t xml:space="preserve">Bestrophin homolog 2 </t>
  </si>
  <si>
    <t>GO:0006751 (glutathione catabolic process); GO:0036374 (glutathione hydrolase activity)</t>
  </si>
  <si>
    <t>GO:0005524 (ATP binding); GO:0000166 (nucleotide binding); GO:0003774 (motor activity); GO:0005874 (microtubule); GO:0003777 (microtubule motor activity); GO:0007018 (microtubule-based movement); GO:0008017 (microtubule binding); GO:0005871 (kinesin complex); GO:0097730 (non-motile cilium); GO:0043025 (neuronal cell body); GO:0030424 (axon); GO:0030425 (dendrite); GO:0031966 (mitochondrial membrane); GO:0005515 (protein binding); GO:1990939 (ATP-dependent microtubule motor activity)</t>
  </si>
  <si>
    <t xml:space="preserve">One cut domain family member </t>
  </si>
  <si>
    <t>GO:0005634 (nucleus); GO:0003677 (DNA binding); GO:0000978 (RNA polymerase II cis-regulatory region sequence-specific DNA binding); GO:0000981 (DNA-binding transcription factor activity, RNA polymerase II-specific); GO:0006357 (regulation of transcription by RNA polymerase II)</t>
  </si>
  <si>
    <t xml:space="preserve">Small Nuclear RibonucleoProtein homolog </t>
  </si>
  <si>
    <t xml:space="preserve">Phospholipid scramblase </t>
  </si>
  <si>
    <t>GO:0005886 (plasma membrane); GO:0017121 (plasma membrane phospholipid scrambling); GO:0017128 (phospholipid scramblase activity)</t>
  </si>
  <si>
    <t xml:space="preserve">C.Elegans Chromodomain protein </t>
  </si>
  <si>
    <t>GO:0030907 (MBF transcription complex); GO:0033309 (SBF transcription complex); GO:0071931 (positive regulation of transcription involved in G1/S transition of mitotic cell cycle); GO:0005515 (protein binding)</t>
  </si>
  <si>
    <t>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GO:0055114 (oxidation-reduction process)</t>
  </si>
  <si>
    <t xml:space="preserve">Insulin/EGF-Receptor L Domain protein </t>
  </si>
  <si>
    <t xml:space="preserve">Probable cytochrome c-type heme lyase </t>
  </si>
  <si>
    <t>GO:0005739 (mitochondrion); GO:0004408 ()</t>
  </si>
  <si>
    <t xml:space="preserve">SUMO-activating enzyme subunit aos-1 </t>
  </si>
  <si>
    <t>GO:0005737 (cytoplasm); GO:0016874 (ligase activity); GO:0008641 (ubiquitin-like modifier activating enzyme activity); GO:0032446 (protein modification by small protein conjugation); GO:0016925 (protein sumoylation); GO:0031510 (SUMO activating enzyme complex); GO:0019948 (SUMO activating enzyme activity); GO:0018215 (protein phosphopantetheinylation)</t>
  </si>
  <si>
    <t>GO:0016020 (membrane); GO:0016021 (integral component of membrane); GO:0098655 (cation transmembrane transport); GO:0055085 (transmembrane transport); GO:0006816 (calcium ion transport); GO:0006874 (cellular calcium ion homeostasis); GO:0015297 (antiporter activity); GO:0008324 (cation transmembrane transporter activity); GO:0086036 (regulation of cardiac muscle cell membrane potential); GO:0086038 (calcium:sodium antiporter activity involved in regulation of cardiac muscle cell membrane potential); GO:0006812 (cation transport)</t>
  </si>
  <si>
    <t>GO:0016829 (lyase activity); GO:0006565 (L-serine catabolic process); GO:0003941 (L-serine ammonia-lyase activity); GO:0004794 (L-threonine ammonia-lyase activity); GO:0006567 (threonine catabolic process)</t>
  </si>
  <si>
    <t xml:space="preserve">Probable DNA replication complex GINS protein PSF1 </t>
  </si>
  <si>
    <t>GO:0000811 (GINS complex); GO:0006260 (DNA replication)</t>
  </si>
  <si>
    <t xml:space="preserve">Chromosome-Segregation and RNAi deficient </t>
  </si>
  <si>
    <t>GO:0003676 (nucleic acid binding); GO:0090502 (RNA phosphodiester bond hydrolysis, endonucleolytic); GO:0005634 (nucleus); GO:1903863 (P granule assembly); GO:0000794 (condensed nuclear chromosome); GO:0043186 (P granule); GO:0016246 (RNA interference); GO:0070090 (metaphase plate); GO:0000070 (mitotic sister chromatid segregation); GO:0070551 (endoribonuclease activity, cleaving siRNA-paired mRNA); GO:0090625 (mRNA cleavage involved in gene silencing by siRNA); GO:0005515 (protein binding)</t>
  </si>
  <si>
    <t xml:space="preserve">RiNg Finger protein </t>
  </si>
  <si>
    <t xml:space="preserve">Serpentine Receptor, class SX </t>
  </si>
  <si>
    <t xml:space="preserve">SNAPIN protein homolog </t>
  </si>
  <si>
    <t>GO:0006886 (intracellular protein transport); GO:0005515 (protein binding); GO:0000149 (SNARE binding); GO:0007040 (lysosome organization); GO:0008021 (synaptic vesicle); GO:0016079 (synaptic vesicle exocytosis); GO:0032418 (lysosome localization); GO:0099078 (BORC complex); GO:0031083 (BLOC-1 complex); GO:0016197 (endosomal transport); GO:0090316 (positive regulation of intracellular protein transport); GO:0008333 (endosome to lysosome transport); GO:2000300 (regulation of synaptic vesicle exocytosis)</t>
  </si>
  <si>
    <t xml:space="preserve">Delta(9)-fatty-acid desaturase fat-7 </t>
  </si>
  <si>
    <t>GO:0016717 (oxidoreductase activity, acting on paired donors, with oxidation of a pair of donors resulting in the reduction of molecular oxygen to two molecules of water); GO:0055114 (oxidation-reduction process)</t>
  </si>
  <si>
    <t xml:space="preserve">Phosphotransferase </t>
  </si>
  <si>
    <t>GO:0005524 (ATP binding); GO:0016301 (kinase activity); GO:0016310 (phosphorylation); GO:0000166 (nucleotide binding); GO:0016740 (transferase activity); GO:0005739 (mitochondrion); GO:0005829 (cytosol); GO:0005975 (carbohydrate metabolic process); GO:0005515 (protein binding); GO:0006096 (glycolytic process); GO:0019318 (hexose metabolic process); GO:0016773 (phosphotransferase activity, alcohol group as acceptor); GO:0046835 (carbohydrate phosphorylation); GO:0001678 (cellular glucose homeostasis); GO:0004340 (glucokinase activity); GO:0004396 (hexokinase activity); GO:0005536 (glucose binding); GO:0008865 (fructokinase activity); GO:0019158 (mannokinase activity); GO:0051156 (glucose 6-phosphate metabolic process)</t>
  </si>
  <si>
    <t>GO:0006508 (proteolysis); GO:0004252 (serine-type endopeptidase activity)</t>
  </si>
  <si>
    <t xml:space="preserve">Putative methyltransferase B0361.6 </t>
  </si>
  <si>
    <t>GO:0008168 (methyltransferase activity); GO:0032259 (methylation); GO:0016740 (transferase activity)</t>
  </si>
  <si>
    <t xml:space="preserve">TBC (Tre-2/Bub2/Cdc16) domain family </t>
  </si>
  <si>
    <t>GO:0005096 (GTPase activator activity); GO:0006886 (intracellular protein transport); GO:0090630 (activation of GTPase activity); GO:0005515 (protein binding); GO:2000643 (positive regulation of early endosome to late endosome transport); GO:0043547 (positive regulation of GTPase activity); GO:0005770 (late endosome)</t>
  </si>
  <si>
    <t xml:space="preserve">TWiK family of potassium channels protein 7 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</si>
  <si>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GO:0006813 (potassium ion transport)</t>
  </si>
  <si>
    <t>GO:0016491 (oxidoreductase activity); GO:0045087 (innate immune response); GO:0050829 (defense response to Gram-negative bacterium); GO:0055114 (oxidation-reduction process)</t>
  </si>
  <si>
    <t xml:space="preserve">Homeobox protein vab-7 </t>
  </si>
  <si>
    <t>GO:0005634 (nucleus); GO:0003677 (DNA binding); GO:0006355 (regulation of transcription, DNA-templated);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</t>
  </si>
  <si>
    <t>Luqin-like RYamide peptides lury-1 LURY-1-1 LURY-1-2</t>
  </si>
  <si>
    <t>GO:0005615 (extracellular space); GO:0007160 (cell-matrix adhesion)</t>
  </si>
  <si>
    <t xml:space="preserve">Helix Loop Helix </t>
  </si>
  <si>
    <t>GO:0046983 (protein dimerization activity)</t>
  </si>
  <si>
    <t xml:space="preserve">M-phase inducer phosphatase cdc-25.3 </t>
  </si>
  <si>
    <t xml:space="preserve">PhosphoGlycolate Phosphatase Homolog </t>
  </si>
  <si>
    <t>GO:0005737 (cytoplasm); GO:0016311 (dephosphorylation); GO:0016791 (phosphatase activity)</t>
  </si>
  <si>
    <t xml:space="preserve">ASPScr1 (ASPSCR1) homolog </t>
  </si>
  <si>
    <t xml:space="preserve">Guanine nucleotide-binding protein alpha-2 subunit </t>
  </si>
  <si>
    <t xml:space="preserve">Mediator of RNA polymerase II transcription subunit 8 </t>
  </si>
  <si>
    <t>GO:0016592 (mediator complex); GO:0003712 (transcription coregulator activity); GO:0006357 (regulation of transcription by RNA polymerase II)</t>
  </si>
  <si>
    <t xml:space="preserve">Structure-specific endonuclease subunit SLX1 homolog </t>
  </si>
  <si>
    <t>GO:0016787 (hydrolase activity); GO:0005634 (nucleus); GO:0046872 (metal ion binding); GO:0006281 (DNA repair); GO:0090305 (nucleic acid phosphodiester bond hydrolysis); GO:0006974 (cellular response to DNA damage stimulus); GO:0009792 (embryo development ending in birth or egg hatching); GO:0004518 (nuclease activity); GO:0000724 (double-strand break repair via homologous recombination); GO:0006310 (DNA recombination); GO:0040019 (positive regulation of embryonic development); GO:0004519 (endonuclease activity); GO:0019899 (enzyme binding); GO:0051307 (meiotic chromosome separation); GO:0061064 (negative regulation of nematode larval development); GO:0002164 (larval development); GO:0000706 (meiotic DNA double-strand break processing); GO:0004520 (endodeoxyribonuclease activity); GO:0017108 (5'-flap endonuclease activity); GO:0033557 (Slx1-Slx4 complex); GO:0036297 (interstrand cross-link repair); GO:0008821 (crossover junction endodeoxyribonuclease activity); GO:0048257 (3'-flap endonuclease activity); GO:0000712 (resolution of meiotic recombination intermediates)</t>
  </si>
  <si>
    <t xml:space="preserve">Ceinsulin-1; INSulin related </t>
  </si>
  <si>
    <t>GO:1905909 (regulation of dauer entry); GO:0043055 (maintenance of dauer); GO:0046627 (negative regulation of insulin receptor signaling pathway)</t>
  </si>
  <si>
    <t xml:space="preserve">Muscarinic acetylcholine receptor gar-3 </t>
  </si>
  <si>
    <t>GO:0005887 (integral component of plasma membrane); GO:0016907 (G protein-coupled acetylcholine receptor activity); GO:0004930 (G protein-coupled receptor activity); GO:0007186 (G protein-coupled receptor signaling pathway); GO:0016021 (integral component of membrane)</t>
  </si>
  <si>
    <t xml:space="preserve">SleepleSS (Drosophila) Homolog </t>
  </si>
  <si>
    <t>GO:0030431 (sleep); GO:0032222 (regulation of synaptic transmission, cholinergic); GO:1903818 (positive regulation of voltage-gated potassium channel activity)</t>
  </si>
  <si>
    <t>GO:0005524 (ATP binding); GO:0005737 (cytoplasm); GO:0000166 (nucleotide binding); GO:0005739 (mitochondrion)</t>
  </si>
  <si>
    <t xml:space="preserve">Serine/threonine-protein phosphatase 2A regulatory subunit rsa-1 </t>
  </si>
  <si>
    <t xml:space="preserve">UPF0057 membrane protein F47B7.1 </t>
  </si>
  <si>
    <t xml:space="preserve">Gelsolin-like protein 1 </t>
  </si>
  <si>
    <t>GO:0051015 (actin filament binding)</t>
  </si>
  <si>
    <t xml:space="preserve">Dipeptidyl peptidase family member 2 </t>
  </si>
  <si>
    <t>GO:0008236 (serine-type peptidase activity); GO:0006508 (proteolysis)</t>
  </si>
  <si>
    <t>GO:0016020 (membrane); GO:0016021 (integral component of membrane); GO:0005509 (calcium ion binding); GO:0005216 (ion channel activity); GO:0006811 (ion transport); GO:0005886 (plasma membrane); GO:0055085 (transmembrane transport); GO:0070588 (calcium ion transmembrane transport); GO:0005262 (calcium channel activity); GO:0006816 (calcium ion transport); GO:0005219 (ryanodine-sensitive calcium-release channel activity); GO:0005790 (smooth endoplasmic reticulum); GO:0006874 (cellular calcium ion homeostasis); GO:0030018 (Z disc); GO:0030659 (cytoplasmic vesicle membrane); GO:0033017 (sarcoplasmic reticulum membrane); GO:0034704 (calcium channel complex); GO:0042383 (sarcolemma); GO:0048763 (calcium-induced calcium release activity); GO:0051209 (release of sequestered calcium ion into cytosol); GO:0016529 (sarcoplasmic reticulum); GO:0005515 (protein binding); GO:0040011 (locomotion); GO:0033365 (protein localization to organelle); GO:0043068 (positive regulation of programmed cell death); GO:0031674 (I band)</t>
  </si>
  <si>
    <t>GO:0030968 (endoplasmic reticulum unfolded protein response)</t>
  </si>
  <si>
    <t>GO:0003677 (DNA binding); GO:0005634 (nucleus); GO:0006383 (transcription by RNA polymerase III); GO:0003899 (DNA-directed 5'-3' RNA polymerase activity); GO:0005666 (RNA polymerase III complex)</t>
  </si>
  <si>
    <t>GO:0005634 (nucleus); GO:0046872 (metal ion binding); GO:0007275 (multicellular organism development); GO:0000978 (RNA polymerase II cis-regulatory region sequence-specific DNA binding); GO:0006357 (regulation of transcription by RNA polymerase II); GO:0003700 (DNA-binding transcription factor activity); GO:0007399 (nervous system development); GO:0001228 (DNA-binding transcription activator activity, RNA polymerase II-specific); GO:0042659 (regulation of cell fate specification); GO:0000122 (negative regulation of transcription by RNA polymerase II); GO:0030334 (regulation of cell migration); GO:0045944 (positive regulation of transcription by RNA polymerase II); GO:0045664 (regulation of neuron differentiation); GO:0006355 (regulation of transcription, DNA-templated); GO:0007346 (regulation of mitotic cell cycle)</t>
  </si>
  <si>
    <t>GO:0016020 (membrane); GO:0016021 (integral component of membrane); GO:0016740 (transferase activity); GO:0016757 (transferase activity, transferring glycosyl groups)</t>
  </si>
  <si>
    <t xml:space="preserve">POD-1 </t>
  </si>
  <si>
    <t>GO:0000139 (Golgi membrane); GO:0005737 (cytoplasm); GO:0005794 (Golgi apparatus); GO:0007015 (actin filament organization); GO:0051015 (actin filament binding); GO:0005829 (cytosol); GO:0005938 (cell cortex); GO:0051285 (cell cortex of cell tip); GO:0005515 (protein binding); GO:0032154 (cleavage furrow)</t>
  </si>
  <si>
    <t xml:space="preserve">NYN domain ribonuclease homolog </t>
  </si>
  <si>
    <t>GO:0030422 (production of siRNA involved in RNA interference)</t>
  </si>
  <si>
    <t xml:space="preserve">Tubulin beta chain 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</si>
  <si>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</t>
  </si>
  <si>
    <t xml:space="preserve">OTUBain deubiquitylating protease homolog </t>
  </si>
  <si>
    <t>GO:0004843 (thiol-dependent ubiquitin-specific protease activity); GO:0016579 (protein deubiquitination)</t>
  </si>
  <si>
    <t xml:space="preserve">Systemic RNA interference defective protein 1 </t>
  </si>
  <si>
    <t>GO:0016020 (membrane); GO:0016021 (integral component of membrane); GO:0005764 (lysosome); GO:0005886 (plasma membrane); GO:0003723 (RNA binding); GO:0031047 (gene silencing by RNA); GO:0003725 (double-stranded RNA binding); GO:0016246 (RNA interference); GO:0005887 (integral component of plasma membrane); GO:0050658 (RNA transport); GO:0051033 (RNA transmembrane transporter activity); GO:0033227 (dsRNA transport)</t>
  </si>
  <si>
    <t>GO:0016020 (membrane); GO:0016301 (kinase activity); GO:0016310 (phosphorylation); GO:0005886 (plasma membrane); GO:0000166 (nucleotide binding); GO:0016740 (transferase activity); GO:0005524 (ATP binding); GO:0046854 (phosphatidylinositol phosphorylation); GO:0007032 (endosome organization); GO:0007030 (Golgi organization); GO:0005802 (trans-Golgi network); GO:0005768 (endosome); GO:0004430 (1-phosphatidylinositol 4-kinase activity)</t>
  </si>
  <si>
    <t xml:space="preserve">Bestrophin homolog 9 </t>
  </si>
  <si>
    <t>GO:0005525 (GTP binding); GO:0000166 (nucleotide binding); GO:0006886 (intracellular protein transport); GO:0005794 (Golgi apparatus); GO:0043001 (Golgi to plasma membrane protein transport); GO:0033365 (protein localization to organelle)</t>
  </si>
  <si>
    <t xml:space="preserve">BTB and MATH domain-containing protein 15 </t>
  </si>
  <si>
    <t xml:space="preserve">Quinoid DihydroPteridine Reductase </t>
  </si>
  <si>
    <t>GO:0005737 (cytoplasm); GO:0016491 (oxidoreductase activity); GO:0006729 (tetrahydrobiopterin biosynthetic process); GO:0070402 (NADPH binding); GO:0006559 (L-phenylalanine catabolic process); GO:0004155 (6,7-dihydropteridine reductase activity); GO:0070404 (NADH binding); GO:0055114 (oxidation-reduction process)</t>
  </si>
  <si>
    <t xml:space="preserve">SUppressor of Elongation defect </t>
  </si>
  <si>
    <t>GO:0016020 (membrane); 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ion); GO:0060291 (long-term synaptic potentiation); GO:0046928 (regulation of neurotransmitter secretion)</t>
  </si>
  <si>
    <t xml:space="preserve">2-(3-amino-3-carboxypropyl)histidine synthase subunit 2 </t>
  </si>
  <si>
    <t>GO:0017183 (peptidyl-diphthamide biosynthetic process from peptidyl-histidine)</t>
  </si>
  <si>
    <t xml:space="preserve">Probable glycerol-3-phosphate acyltransferase, mitochondrial </t>
  </si>
  <si>
    <t>GO:0004366 (glycerol-3-phosphate O-acyltransferase activity); GO:0044255 (cellular lipid metabolic process); GO:0005886 (plasma membrane); GO:0008374 (O-acyltransferase activity); GO:0016746 (transferase activity, transferring acyl groups); GO:0008654 (phospholipid biosynthetic process); GO:0016740 (transferase activity); GO:0005739 (mitochondrion)</t>
  </si>
  <si>
    <t xml:space="preserve">Innexin unc-9 </t>
  </si>
  <si>
    <t>GO:0016020 (membrane); GO:0016021 (integral component of membrane); GO:0005886 (plasma membrane); GO:0006811 (ion transport); GO:0030054 (cell junction); GO:0005921 (gap junction); GO:0005243 (gap junction channel activity); GO:0040017 (positive regulation of locomotion); GO:0055077 (gap junction hemi-channel activity); GO:0051015 (actin filament binding); GO:0005911 (cell-cell junction); GO:0034220 (ion transmembrane transport)</t>
  </si>
  <si>
    <t>GO:0016491 (oxidoreductase activity); GO:0046592 (polyamine oxidase activity); GO:0055114 (oxidation-reduction process)</t>
  </si>
  <si>
    <t>GO:0006629 (lipid metabolic process); GO:0006637 (acyl-CoA metabolic process); GO:0047617 (acyl-CoA hydrolase activity); GO:0006631 (fatty acid metabolic process); GO:0016790 (thiolester hydrolase activity)</t>
  </si>
  <si>
    <t>GO:0005829 (cytosol); GO:0042147 (retrograde transport, endosome to Golgi); GO:0000139 (Golgi membrane); GO:0034066 (RIC1-RGP1 guanyl-nucleotide exchange factor complex)</t>
  </si>
  <si>
    <t xml:space="preserve">GEN1 Holliday junction resolvase homolog </t>
  </si>
  <si>
    <t>GO:0003824 (catalytic activity); GO:0016787 (hydrolase activity); GO:0003677 (DNA binding); GO:0046872 (metal ion binding); GO:0090305 (nucleic acid phosphodiester bond hydrolysis); GO:0006281 (DNA repair); GO:0006974 (cellular response to DNA damage stimulus); GO:0004518 (nuclease activity); GO:0004519 (endonuclease activity); GO:0061064 (negative regulation of nematode larval development); GO:0000400 (four-way junction DNA binding); GO:0017108 (5'-flap endonuclease activity); GO:0005634 (nucleus); GO:0005737 (cytoplasm); GO:0000724 (double-strand break repair via homologous recombination); GO:0008630 (intrinsic apoptotic signaling pathway in response to DNA damage); GO:0008821 (crossover junction endodeoxyribonuclease activity); GO:0072422 (signal transduction involved in DNA damage checkpoint)</t>
  </si>
  <si>
    <t xml:space="preserve">SKR-2; SKp1 Related (Ubiquitin ligase complex component) </t>
  </si>
  <si>
    <t>GO:0005634 (nucleus); GO:0005737 (cytoplasm); GO:0006511 (ubiquitin-dependent protein catabolic process); GO:0016567 (protein ubiquitination); GO:0005515 (protein binding); GO:0010826 (negative regulation of centrosome duplication); GO:0031647 (regulation of protein stability); GO:0031146 (SCF-dependent proteasomal ubiquitin-dependent protein catabolic process); GO:0097602 (cullin family protein binding); GO:0009792 (embryo development ending in birth or egg hatching); GO:0000132 (establishment of mitotic spindle orientation); GO:0010629 (negative regulation of gene expression); GO:0008285 (negative regulation of cell population proliferation); GO:0051445 (regulation of meiotic cell cycle); GO:0019005 (SCF ubiquitin ligase complex)</t>
  </si>
  <si>
    <t xml:space="preserve">EGF-like domain-containing protein C02B10.3 </t>
  </si>
  <si>
    <t xml:space="preserve">Eph(F)riN </t>
  </si>
  <si>
    <t>GO:0016020 (membrane); GO:0005886 (plasma membrane); GO:0007411 (axon guidance); GO:0046875 (ephrin receptor binding); GO:0048013 (ephrin receptor signaling pathway)</t>
  </si>
  <si>
    <t xml:space="preserve">Probable tyrosyl-DNA phosphodiesterase </t>
  </si>
  <si>
    <t>GO:0005634 (nucleus); GO:0003824 (catalytic activity); GO:0016787 (hydrolase activity); GO:0008081 (phosphoric diester hydrolase activity); GO:0006281 (DNA repair); GO:0090305 (nucleic acid phosphodiester bond hydrolysis); GO:0006302 (double-strand break repair); GO:0003690 (double-stranded DNA binding); GO:0006974 (cellular response to DNA damage stimulus); GO:0004518 (nuclease activity); GO:0004527 (exonuclease activity); GO:0003697 (single-stranded DNA binding); GO:0000012 (single strand break repair); GO:0017005 (3'-tyrosyl-DNA phosphodiesterase activity)</t>
  </si>
  <si>
    <t xml:space="preserve">Beta-1,3-galactosyltransferase sqv-2 </t>
  </si>
  <si>
    <t>GO:0016020 (membrane); GO:0016021 (integral component of membrane); GO:0016740 (transferase activity); GO:0000139 (Golgi membrane); GO:0005794 (Golgi apparatus); GO:0016757 (transferase activity, transferring glycosyl groups); GO:0016758 (transferase activity, transferring hexosyl groups); GO:0006486 (protein glycosylation); GO:0015012 (heparan sulfate proteoglycan biosynthetic process); GO:0030206 (chondroitin sulfate biosynthetic process); GO:0006024 (glycosaminoglycan biosynthetic process); GO:0035250 (UDP-galactosyltransferase activity); GO:0047220 (galactosylxylosylprotein 3-beta-galactosyltransferase activity); GO:0009792 (embryo development ending in birth or egg hatching); GO:0018991 (oviposition); GO:0000003 (reproduction); GO:0040025 (vulval development); GO:0002009 (morphogenesis of an epithelium); GO:0018215 (protein phosphopantetheinylation)</t>
  </si>
  <si>
    <t xml:space="preserve">DAF-16/FOXO Controlled, germline Tumor affecting </t>
  </si>
  <si>
    <t>GO:0016020 (membrane); GO:0016021 (integral component of membrane); GO:0005355 (glucose transmembrane transporter activity); GO:1904659 (glucose transmembrane transport)</t>
  </si>
  <si>
    <t>GO:0005783 (endoplasmic reticulum); GO:0003756 (protein disulfide isomerase activity); GO:0018215 (protein phosphopantetheinylation)</t>
  </si>
  <si>
    <t xml:space="preserve">Profilin-1 </t>
  </si>
  <si>
    <t>GO:0003779 (actin binding)</t>
  </si>
  <si>
    <t xml:space="preserve">UBX domain-containing protein 6 </t>
  </si>
  <si>
    <t>GO:0045892 (negative regulation of transcription, DNA-templated); GO:0045893 (positive regulation of transcription, DNA-templated); GO:0005654 (nucleoplasm)</t>
  </si>
  <si>
    <t xml:space="preserve">Putative carbonic anhydrase 5 </t>
  </si>
  <si>
    <t>GO:0004089 (carbonate dehydratase activity); GO:0008270 (zinc ion binding)</t>
  </si>
  <si>
    <t>GO:0016020 (membrane); GO:0016021 (integral component of membrane); GO:0016740 (transferase activity); GO:0016746 (transferase activity, transferring acyl groups); GO:0005739 (mitochondrion); GO:0004095 (carnitine O-palmitoyltransferase activity); GO:0009437 (carnitine metabolic process); GO:0006631 (fatty acid metabolic process)</t>
  </si>
  <si>
    <t xml:space="preserve">Probable replication factor C subunit 5 </t>
  </si>
  <si>
    <t>GO:0005634 (nucleus); GO:0005524 (ATP binding); GO:0003677 (DNA binding); GO:0000166 (nucleotide binding); GO:0016887 (ATPase activity); GO:0006260 (DNA replication); GO:0006261 (DNA-dependent DNA replication); GO:0006281 (DNA repair); GO:0003689 (DNA clamp loader activity); GO:0005663 (DNA replication factor C complex)</t>
  </si>
  <si>
    <t>GO:0005634 (nucleus); GO:0008284 (positive regulation of cell population proliferation)</t>
  </si>
  <si>
    <t>GO:0005886 (plasma membrane); GO:0017121 (plasma membrane phospholipid scrambling); GO:0017128 (phospholipid scramblase activity); GO:0005887 (integral component of plasma membrane); GO:0005515 (protein binding); GO:0070782 (phosphatidylserine exposure on apoptotic cell surface)</t>
  </si>
  <si>
    <t>GO:0045087 (innate immune response); GO:0003674 (molecular_function); GO:0005575 (cellular_component)</t>
  </si>
  <si>
    <t xml:space="preserve">Structural maintenance of chromosomes protein 6 homolog smc-6 </t>
  </si>
  <si>
    <t>GO:0005634 (nucleus); GO:0005524 (ATP binding); GO:0000166 (nucleotide binding); GO:0005694 (chromosome); GO:0016887 (ATPase activity); GO:0006260 (DNA replication); GO:0006281 (DNA repair); GO:0006974 (cellular response to DNA damage stimulus); GO:0051276 (chromosome organization); GO:0000724 (double-strand break repair via homologous recombination); GO:0006310 (DNA recombination); GO:0030915 (Smc5-Smc6 complex); GO:0032508 (DNA duplex unwinding); GO:0051321 (meiotic cell cycle); GO:0003684 (damaged DNA binding); GO:0003697 (single-stranded DNA binding); GO:0035861 (site of double-strand break); GO:0000794 (condensed nuclear chromosome); GO:0005654 (nucleoplasm); GO:0005515 (protein binding); GO:0036121 (double-stranded DNA helicase activity)</t>
  </si>
  <si>
    <t xml:space="preserve">AcetylCholine Receptor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</si>
  <si>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GO:0022848 (acetylcholine-gated cation-selective channel activity); GO:0030054 (cell junction); GO:0045211 (postsynaptic membrane); GO:0060078 (regulation of postsynaptic membrane potential); GO:0060079 (excitatory postsynaptic potential); GO:0030594 (neurotransmitter receptor activity)</t>
  </si>
  <si>
    <t>GO:0004222 (metalloendopeptidase activity); GO:0030198 (extracellular matrix organization); GO:0006508 (proteolysis); GO:0031012 (extracellular matrix)</t>
  </si>
  <si>
    <t xml:space="preserve">Paralysed Arrest at Two-fold </t>
  </si>
  <si>
    <t>GO:0000977 (RNA polymerase II transcription regulatory region sequence-specific DNA binding); GO:0000981 (DNA-binding transcription factor activity, RNA polymerase II-specific); GO:0006357 (regulation of transcription by RNA polymerase II); GO:0005634 (nucleus); GO:0051153 (regulation of striated muscle cell differentiation)</t>
  </si>
  <si>
    <t>GO:0005737 (cytoplasm); GO:0016740 (transferase activity); GO:0016779 (nucleotidyltransferase activity); GO:0005978 (glycogen biosynthetic process); GO:0070569 (uridylyltransferase activity); GO:0003983 (UTP:glucose-1-phosphate uridylyltransferase activity); GO:0005977 (glycogen metabolic process); GO:0006011 (UDP-glucose metabolic process); GO:0005783 (endoplasmic reticulum); GO:0055120 (striated muscle dense body); GO:0030017 (sarcomere)</t>
  </si>
  <si>
    <t>GO:0005634 (nucleus); GO:0005737 (cytoplasm); GO:0046872 (metal ion binding); GO:0016740 (transferase activity); GO:0000209 (protein polyubiquitination); GO:0004842 (ubiquitin-protein transferase activity); GO:0006511 (ubiquitin-dependent protein catabolic process); GO:0061630 (ubiquitin protein ligase activity); GO:0016567 (protein ubiquitination); GO:0000151 (ubiquitin ligase complex); GO:0031624 (ubiquitin conjugating enzyme binding); GO:0032436 (positive regulation of proteasomal ubiquitin-dependent protein catabolic process)</t>
  </si>
  <si>
    <t>GO:0044255 (cellular lipid metabolic process)</t>
  </si>
  <si>
    <t xml:space="preserve">Putative RNA polymerase II transcriptional coactivator </t>
  </si>
  <si>
    <t>GO:0005634 (nucleus); GO:0003677 (DNA binding); GO:0006355 (regulation of transcription, DNA-templated); GO:0005667 (transcription regulator complex); GO:0003713 (transcription coactivator activity); GO:0060261 (positive regulation of transcription initiation from RNA polymerase II promoter)</t>
  </si>
  <si>
    <t xml:space="preserve">CathePsin Z </t>
  </si>
  <si>
    <t xml:space="preserve">Adp (ADP) Ribosylation factor Like gtpase (GTPase) 14 Effector protein homolog </t>
  </si>
  <si>
    <t>GO:0043231 (intracellular membrane-bounded organelle)</t>
  </si>
  <si>
    <t>GO:0040027 (negative regulation of vulval development)</t>
  </si>
  <si>
    <t xml:space="preserve">CHItinase-Like </t>
  </si>
  <si>
    <t xml:space="preserve">AminoAdipate-Semialdehyde Synthase homolog </t>
  </si>
  <si>
    <t>GO:0005737 (cytoplasm); GO:0008152 (metabolic process); GO:0016491 (oxidoreductase activity); GO:0003824 (catalytic activity); GO:0019878 (lysine biosynthetic process via aminoadipic acid); GO:0055114 (oxidation-reduction process); GO:0004753 (saccharopine dehydrogenase activity); GO:0047130 (saccharopine dehydrogenase (NADP+, L-lysine-forming) activity); GO:0047131 (saccharopine dehydrogenase (NAD+, L-glutamate-forming) activity); GO:0033512 (L-lysine catabolic process to acetyl-CoA via saccharopine)</t>
  </si>
  <si>
    <t>GO:0045087 (innate immune response); GO:0050829 (defense response to Gram-negative bacterium); GO:0045121 (membrane raft)</t>
  </si>
  <si>
    <t xml:space="preserve">SNAP (Soluble NSF Attachment Protein) homolog </t>
  </si>
  <si>
    <t>GO:0016020 (membrane); GO:0006886 (intracellular protein transport); GO:0015031 (protein transport); GO:0016192 (vesicle-mediated transport); GO:0019905 (syntaxin binding); GO:0031201 (SNARE complex); GO:0005774 (vacuolar membrane); GO:0005483 (soluble NSF attachment protein activity); GO:0035494 (SNARE complex disassembly); GO:0005515 (protein binding)</t>
  </si>
  <si>
    <t>GO:0005634 (nucleus); GO:0003723 (RNA binding); GO:0003676 (nucleic acid binding); GO:0005829 (cytosol); GO:0003730 (mRNA 3'-UTR binding); GO:1990904 (ribonucleoprotein complex); GO:0005515 (protein binding); GO:0008143 (poly(A) binding); GO:0008266 (poly(U) RNA binding); GO:0045664 (regulation of neuron differentiation); GO:0003727 (single-stranded RNA binding); GO:0000381 (regulation of alternative mRNA splicing, via spliceosome); GO:0002064 (epithelial cell development); GO:0035150 (regulation of tube size); GO:0016607 (nuclear speck)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</si>
  <si>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</t>
  </si>
  <si>
    <t xml:space="preserve">Sjogren Syndrome antigen B homolog </t>
  </si>
  <si>
    <t>GO:0003723 (RNA binding); GO:0005634 (nucleus); GO:0003676 (nucleic acid binding); GO:0006396 (RNA processing); GO:1990904 (ribonucleoprotein complex)</t>
  </si>
  <si>
    <t>GO:0005737 (cytoplasm); GO:0005654 (nucleoplasm); GO:0000502 (proteasome complex); GO:0061133 (endopeptidase activator activity); GO:0008537 (proteasome activator complex); GO:0010950 (positive regulation of endopeptidase activity); GO:0061136 (regulation of proteasomal protein catabolic process); GO:2000045 (regulation of G1/S transition of mitotic cell cycle)</t>
  </si>
  <si>
    <t xml:space="preserve">MICOS complex subunit MIC60-2 </t>
  </si>
  <si>
    <t xml:space="preserve">Nicotinic receptor-associated protein 1 </t>
  </si>
  <si>
    <t xml:space="preserve">Elongation of very long chain fatty acids protein </t>
  </si>
  <si>
    <t>GO:0016020 (membrane); GO:0016021 (integral component of membrane); GO:0016740 (transferase activity); GO:0006629 (lipid metabolic process); GO:0006631 (fatty acid metabolic process); GO:0006633 (fatty acid biosynthetic process); GO:0009922 (fatty acid elongase activity); GO:0019367 (fatty acid elongation, saturated fatty acid); GO:0030148 (sphingolipid biosynthetic process); GO:0030176 (integral component of endoplasmic reticulum membrane); GO:0034625 (fatty acid elongation, monounsaturated fatty acid); GO:0034626 (fatty acid elongation, polyunsaturated fatty acid); GO:0042761 (very long-chain fatty acid biosynthetic process); GO:0102336 (3-oxo-arachidoyl-CoA synthase activity); GO:0102337 (3-oxo-cerotoyl-CoA synthase activity); GO:0102338 (3-oxo-lignoceronyl-CoA synthase activity); GO:0102756 (very-long-chain 3-ketoacyl-CoA synthase activity); GO:0006636 (unsaturated fatty acid biosynthetic process)</t>
  </si>
  <si>
    <t xml:space="preserve">Acetylcholine-gated chloride channel subunit acc-1 </t>
  </si>
  <si>
    <t>GO:0005230 (extracellular ligand-gated ion channel activity); GO:0034220 (ion transmembrane transport); GO:0006811 (ion transport); GO:0005216 (ion channel activity); GO:0004888 (transmembrane signaling receptor activity); GO:0016021 (integral component of membrane); GO:0016020 (membrane); GO:0005886 (plasma membrane)</t>
  </si>
  <si>
    <t>GO:0006606 (protein import into nucleus)</t>
  </si>
  <si>
    <t xml:space="preserve">4-hydroxybenzoate polyprenyltransferase, mitochondrial </t>
  </si>
  <si>
    <t>GO:0004659 (prenyltransferase activity); GO:0016765 (transferase activity, transferring alkyl or aryl (other than methyl) groups); GO:0016021 (integral component of membrane)</t>
  </si>
  <si>
    <t xml:space="preserve">Telomerase CAjal Body protein 1 homolog </t>
  </si>
  <si>
    <t>GO:0003723 (RNA binding); GO:0015030 (Cajal body); GO:0030576 (Cajal body organization); GO:0005515 (protein binding)</t>
  </si>
  <si>
    <t>GO:0016020 (membrane); GO:0016021 (integral component of membrane); GO:0005524 (ATP binding); GO:0004672 (protein kinase activity); GO:0006468 (protein phosphorylation); GO:0016301 (kinase activity); GO:0016310 (phosphorylation);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</t>
  </si>
  <si>
    <t xml:space="preserve">L-xylulose reductase </t>
  </si>
  <si>
    <t>GO:0016020 (membrane); GO:0016021 (integral component of membrane); GO:0005886 (plasma membrane); GO:0004930 (G protein-coupled receptor activity); GO:0007186 (G protein-coupled receptor signaling pathway); GO:0008528 (G protein-coupled peptide receptor activity)</t>
  </si>
  <si>
    <t xml:space="preserve">PRoMiNin (5-transmembrane domain glycoprotein) homolog </t>
  </si>
  <si>
    <t xml:space="preserve">Molybdopterin synthase catalytic subunit </t>
  </si>
  <si>
    <t>GO:0016740 (transferase activity); GO:0005737 (cytoplasm); GO:0005829 (cytosol); GO:0006777 (Mo-molybdopterin cofactor biosynthetic process); GO:0019008 (molybdopterin synthase complex); GO:0030366 (molybdopterin synthase activity)</t>
  </si>
  <si>
    <t xml:space="preserve">ABC transporter, eXtended </t>
  </si>
  <si>
    <t>GO:0016020 (membrane); GO:0016021 (integral component of membrane); GO:0055085 (transmembrane transport); GO:0005886 (plasma membrane); GO:0042626 (ATPase-coupled transmembrane transporter activity); GO:0110039 (positive regulation of nematode male tail tip morphogenesis)</t>
  </si>
  <si>
    <t xml:space="preserve">Fanconi-associated nuclease 1 homolog </t>
  </si>
  <si>
    <t>GO:0036297 (interstrand cross-link repair); GO:0004518 (nuclease activity); GO:0016788 (hydrolase activity, acting on ester bonds); GO:0006281 (DNA repair); GO:0003676 (nucleic acid binding); GO:0003677 (DNA binding); GO:0016787 (hydrolase activity); GO:0005634 (nucleus); GO:0046872 (metal ion binding); GO:0090305 (nucleic acid phosphodiester bond hydrolysis); GO:0006974 (cellular response to DNA damage stimulus); GO:0004528 (phosphodiesterase I activity)</t>
  </si>
  <si>
    <t>GO:0004888 (transmembrane signaling receptor activity); GO:0005887 (integral component of plasma membrane); GO:0030195 (negative regulation of blood coagulation)</t>
  </si>
  <si>
    <t xml:space="preserve">Regulator of telomere elongation helicase 1 homolog </t>
  </si>
  <si>
    <t>GO:0005634 (nucleus); GO:0005524 (ATP binding); GO:0016787 (hydrolase activity); GO:0004386 (helicase activity); GO:0003677 (DNA binding); GO:0046872 (metal ion binding); GO:0000166 (nucleotide binding); GO:0003676 (nucleic acid binding); GO:0006139 (nucleobase-containing compound metabolic process); GO:0006281 (DNA repair); GO:0006260 (DNA replication); GO:0006974 (cellular response to DNA damage stimulus); GO:0000723 (telomere maintenance); GO:0051536 (iron-sulfur cluster binding); GO:0051539 (4 iron, 4 sulfur cluster binding); GO:0003678 (DNA helicase activity); GO:0070182 (DNA polymerase binding); GO:0032508 (DNA duplex unwinding); GO:0045910 (negative regulation of DNA recombination); GO:0010569 (regulation of double-strand break repair via homologous recombination); GO:0006310 (DNA recombination); GO:0016818 (hydrolase activity, acting on acid anhydrides, in phosphorus-containing anhydrides); GO:0090657 (telomeric loop disassembly); GO:1904430 (negative regulation of t-circle formation); GO:0016887 (ATPase activity)</t>
  </si>
  <si>
    <t>GO:0005634 (nucleus); GO:0043565 (sequence-specific DNA binding); GO:0000981 (DNA-binding transcription factor activity, RNA polymerase II-specific); GO:0006357 (regulation of transcription by RNA polymerase II)</t>
  </si>
  <si>
    <t xml:space="preserve">Serpentine receptor class X 45 </t>
  </si>
  <si>
    <t>GO:0016020 (membrane); GO:0016021 (integral component of membrane); GO:0005886 (plasma membrane); GO:0004930 (G protein-coupled receptor activity); GO:0007165 (signal transduction); GO:0007186 (G protein-coupled receptor signaling pathway)</t>
  </si>
  <si>
    <t xml:space="preserve">Mesocentin </t>
  </si>
  <si>
    <t>GO:0005509 (calcium ion binding); GO:0003824 (catalytic activity); GO:0005515 (protein binding)</t>
  </si>
  <si>
    <t xml:space="preserve">Guanine nucleotide-binding protein alpha-14 subunit </t>
  </si>
  <si>
    <t>GO:0019001 (guanyl nucleotide binding); GO:0031683 (G-protein beta/gamma-subunit complex binding); GO:0003924 (GTPase activity); GO:0007186 (G protein-coupled receptor signaling pathway); GO:0007165 (signal transduction)</t>
  </si>
  <si>
    <t xml:space="preserve">Annexin </t>
  </si>
  <si>
    <t>GO:0005509 (calcium ion binding); GO:0005737 (cytoplasm); GO:0001786 (phosphatidylserine binding); GO:0005544 (calcium-dependent phospholipid binding); GO:0005545 (1-phosphatidylinositol binding); GO:0008201 (heparin binding); GO:0008429 (phosphatidylethanolamine binding); GO:0043395 (heparan sulfate proteoglycan binding)</t>
  </si>
  <si>
    <t>GO:0019005 (SCF ubiquitin ligase complex); GO:0031146 (SCF-dependent proteasomal ubiquitin-dependent protein catabolic process); GO:0005515 (protein binding)</t>
  </si>
  <si>
    <t xml:space="preserve">ECT2 (Mammalian Rho GEF) homolog </t>
  </si>
  <si>
    <t>GO:0005634 (nucleus); GO:0090630 (activation of GTPase activity); GO:0005737 (cytoplasm); GO:0005085 (guanyl-nucleotide exchange factor activity); GO:0005096 (GTPase activator activity); GO:0043547 (positive regulation of GTPase activity); GO:0007399 (nervous system development); GO:0005938 (cell cortex); GO:0000281 (mitotic cytokinesis); GO:2000431 (regulation of cytokinesis, actomyosin contractile ring assembly); GO:0032880 (regulation of protein localization); GO:0045167 (asymmetric protein localization involved in cell fate determination); GO:0032970 (regulation of actin filament-based process); GO:0005515 (protein binding)</t>
  </si>
  <si>
    <t xml:space="preserve">MMACHC-like protein </t>
  </si>
  <si>
    <t xml:space="preserve">Caveolin-1 </t>
  </si>
  <si>
    <t>GO:0070836 (caveola assembly); GO:0016020 (membrane); GO:0016021 (integral component of membrane); GO:0005886 (plasma membrane); GO:0000139 (Golgi membrane); GO:0005794 (Golgi apparatus); GO:0005901 (caveola); GO:0005938 (cell cortex); GO:0048471 (perinuclear region of cytoplasm); GO:0005887 (integral component of plasma membrane); GO:0046662 (regulation of oviposition); GO:0051321 (meiotic cell cycle); GO:0009898 (cytoplasmic side of plasma membrane); GO:0060473 (cortical granule); GO:0007265 (Ras protein signal transduction); GO:0030133 (transport vesicle)</t>
  </si>
  <si>
    <t>GO:0016020 (membrane); GO:0016021 (integral component of membrane); GO:0004930 (G protein-coupled receptor activity); GO:0007186 (G protein-coupled receptor signaling pathway); GO:0005887 (integral component of plasma membrane); GO:0007602 (phototransduction); GO:0008020 (G protein-coupled photoreceptor activity); GO:0009584 (detection of visible light); GO:0071482 (cellular response to light stimulus)</t>
  </si>
  <si>
    <t xml:space="preserve">Glutathione-independent glyoxalase DJR-1.2 </t>
  </si>
  <si>
    <t>GO:0005524 (ATP binding); GO:0004672 (protein kinase activity); GO:0006468 (protein phosphorylation); GO:0016301 (kinase activity); GO:0016310 (phosphorylation); GO:0000166 (nucleotide binding); GO:0004674 (protein serine/threonine kinase activity)</t>
  </si>
  <si>
    <t xml:space="preserve">Set1 WD40 repeat protein </t>
  </si>
  <si>
    <t>GO:0003682 (chromatin binding); GO:0048188 (Set1C/COMPASS complex); GO:0042800 (histone methyltransferase activity (H3-K4 specific)); GO:0080182 (histone H3-K4 trimethylation); GO:0005515 (protein binding)</t>
  </si>
  <si>
    <t>GO:0016020 (membrane); GO:0016021 (integral component of membrane); GO:0005576 (extracellular region); GO:0010951 (negative regulation of endopeptidase activity); GO:0010466 (negative regulation of peptidase activity); GO:0030414 (peptidase inhibitor activity); GO:0004867 (serine-type endopeptidase inhibitor activity)</t>
  </si>
  <si>
    <t xml:space="preserve">Poly(A) RNA polymerase gld-4 </t>
  </si>
  <si>
    <t>GO:0016779 (nucleotidyltransferase activity)</t>
  </si>
  <si>
    <t xml:space="preserve">N-terminal AceTyltransferase B (NatB) complex, catalytic subunit, homolog </t>
  </si>
  <si>
    <t>GO:0016740 (transferase activity); GO:0004596 (peptide alpha-N-acetyltransferase activity); GO:0017196 (N-terminal peptidyl-methionine acetylation); GO:0008080 (N-acetyltransferase activity); GO:0031416 (NatB complex)</t>
  </si>
  <si>
    <t xml:space="preserve">NIDogen (Basement membrane protein) </t>
  </si>
  <si>
    <t>GO:0016020 (membrane); GO:0005509 (calcium ion binding); GO:1905488 (positive regulation of anterior/posterior axon guidance); GO:0007155 (cell adhesion); GO:0007160 (cell-matrix adhesion); GO:0097376 (interneuron axon guidance); GO:0007419 (ventral cord development); GO:0005604 (basement membrane); GO:0007271 (synaptic transmission, cholinergic); GO:0001764 (neuron migration); GO:0050808 (synapse organization); GO:0005201 (extracellular matrix structural constituent); GO:0035418 (protein localization to synapse); GO:0045178 (basal part of cell); GO:0045202 (synapse)</t>
  </si>
  <si>
    <t>GO:0046872 (metal ion binding); GO:0008340 (determination of adult lifespan); GO:0008139 (nuclear localization sequence binding); GO:0009792 (embryo development ending in birth or egg hatching); GO:0031965 (nuclear membrane); GO:0005643 (nuclear pore); GO:0006405 (RNA export from nucleus); GO:0006606 (protein import into nucleus); GO:0006997 (nucleus organization); GO:0017056 (structural constituent of nuclear pore); GO:0007096 (regulation of exit from mitosis)</t>
  </si>
  <si>
    <t xml:space="preserve">Nuclear pore complex protein 15 </t>
  </si>
  <si>
    <t>GO:0017056 (structural constituent of nuclear pore); GO:0005515 (protein binding)</t>
  </si>
  <si>
    <t>GO:0005634 (nucleus); GO:0000978 (RNA polymerase II cis-regulatory region sequence-specific DNA binding); GO:0000981 (DNA-binding transcription factor activity, RNA polymerase II-specific); GO:0006357 (regulation of transcription by RNA polymerase II)</t>
  </si>
  <si>
    <t xml:space="preserve">Transcription factor cep-1 </t>
  </si>
  <si>
    <t>GO:0000976 (transcription regulatory region sequence-specific DNA binding); GO:0003700 (DNA-binding transcription factor activity); GO:0005634 (nucleus); GO:0006355 (regulation of transcription, DNA-templated); GO:0003677 (DNA binding)</t>
  </si>
  <si>
    <t xml:space="preserve">Cation transporting ATPase </t>
  </si>
  <si>
    <t>GO:0016020 (membrane); GO:0016021 (integral component of membrane); GO:0005524 (ATP binding); GO:0000166 (nucleotide binding); GO:0016887 (ATPase activity); GO:1990573 (potassium ion import across plasma membrane); GO:0005391 (sodium:potassium-exchanging ATPase activity); GO:0006883 (cellular sodium ion homeostasis); GO:0010248 (establishment or maintenance of transmembrane electrochemical gradient); GO:0030007 (cellular potassium ion homeostasis); GO:0036376 (sodium ion export across plasma membrane); GO:1902600 (proton transmembrane transport)</t>
  </si>
  <si>
    <t xml:space="preserve">Uncharacterized GTP-binding protein E02H1.2 </t>
  </si>
  <si>
    <t>GO:0005525 (GTP binding); GO:0003723 (RNA binding); GO:0000166 (nucleotide binding); GO:0005759 (mitochondrial matrix); GO:0019843 (rRNA binding); GO:0000028 (ribosomal small subunit assembly); GO:0043024 (ribosomal small subunit binding)</t>
  </si>
  <si>
    <t xml:space="preserve">Serpentine receptor class gamma </t>
  </si>
  <si>
    <t>GO:0016020 (membrane); GO:0016021 (integral component of membrane); GO:0004888 (transmembrane signaling receptor activity); GO:0007606 (sensory perception of chemical stimulus)</t>
  </si>
  <si>
    <t>GO:0005509 (calcium ion binding); GO:0005615 (extracellular space); GO:0004867 (serine-type endopeptidase inhibitor activity); GO:0010951 (negative regulation of endopeptidase activity); GO:0007638 (mechanosensory behavior); GO:0050976 (detection of mechanical stimulus involved in sensory perception of touch); GO:0009612 (response to mechanical stimulus); GO:0043062 (extracellular structure organization)</t>
  </si>
  <si>
    <t xml:space="preserve">Leucine-rich Repeats (LRR) and Calponin Homology (CH) domain homolog </t>
  </si>
  <si>
    <t>GO:0016020 (membrane); GO:0016021 (integral component of membrane); GO:0005524 (ATP binding); GO:0004672 (protein kinase activity); GO:0006468 (protein phosphorylation); GO:0016301 (kinase activity); GO:0016310 (phosphorylation);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</t>
  </si>
  <si>
    <t xml:space="preserve">Probable Na(+)/H(+) antiporter nhx-3 </t>
  </si>
  <si>
    <t xml:space="preserve">Guanine nucleotide-binding protein alpha-12 subunit </t>
  </si>
  <si>
    <t>GO:0019001 (guanyl nucleotide binding); GO:0007266 (Rho protein signal transduction); GO:0001664 (G protein-coupled receptor binding); GO:0031683 (G-protein beta/gamma-subunit complex binding); GO:0003924 (GTPase activity); GO:0007186 (G protein-coupled receptor signaling pathway); GO:0007165 (signal transduction)</t>
  </si>
  <si>
    <t xml:space="preserve">Nuclear transcription Factor Y, A (Alpha) subunit </t>
  </si>
  <si>
    <t>GO:0005634 (nucleus); GO:0003700 (DNA-binding transcription factor activity); GO:0006355 (regulation of transcription, DNA-templated); GO:0003677 (DNA binding); GO:0016602 (CCAAT-binding factor complex); GO:0000978 (RNA polymerase II cis-regulatory region sequence-specific DNA binding); GO:0000981 (DNA-binding transcription factor activity, RNA polymerase II-specific); GO:0006357 (regulation of transcription by RNA polymerase II); GO:0010468 (regulation of gene expression); GO:0001217 (DNA-binding transcription repressor activity); GO:0009888 (tissue development); GO:0045892 (negative regulation of transcription, DNA-templated)</t>
  </si>
  <si>
    <t xml:space="preserve">Voltage-dependent calcium channel unc-36 </t>
  </si>
  <si>
    <t>GO:0016020 (membrane); GO:0016021 (integral component of membrane); GO:0006811 (ion transport); GO:0005891 (voltage-gated calcium channel complex); GO:0005244 (voltage-gated ion channel activity); GO:0005262 (calcium channel activity); GO:0006816 (calcium ion transport); GO:0034765 (regulation of ion transmembrane transport); GO:0070588 (calcium ion transmembrane transport); GO:0005245 (voltage-gated calcium channel activity); GO:0040011 (locomotion); GO:0007210 (serotonin receptor signaling pathway); GO:0018991 (oviposition); GO:0043050 (pharyngeal pumping); GO:0005886 (plasma membrane); GO:0040017 (positive regulation of locomotion); GO:0035418 (protein localization to synapse); GO:0005246 (calcium channel regulator activity); GO:0051924 (regulation of calcium ion transport); GO:0005789 (endoplasmic reticulum membrane)</t>
  </si>
  <si>
    <t xml:space="preserve">Invertebrate LYSozyme </t>
  </si>
  <si>
    <t>GO:0008152 (metabolic process); GO:0016787 (hydrolase activity); GO:0003796 (lysozyme activity); GO:0050830 (defense response to Gram-positive bacterium); GO:0003824 (catalytic activity); GO:0019835 (cytolysis); GO:0042742 (defense response to bacterium)</t>
  </si>
  <si>
    <t>GO:0006355 (regulation of transcription, DNA-templated); GO:0000932 (P-body); GO:0030015 (CCR4-NOT core complex); GO:0000289 (nuclear-transcribed mRNA poly(A) tail shortening); GO:2000036 (regulation of stem cell population maintenance)</t>
  </si>
  <si>
    <t>GO:0005515 (protein binding); GO:0030968 (endoplasmic reticulum unfolded protein response)</t>
  </si>
  <si>
    <t xml:space="preserve">Mitochondrial Ribosomal Protein, Large </t>
  </si>
  <si>
    <t>GO:0005739 (mitochondrion); GO:0003735 (structural constituent of ribosome); GO:0005840 (ribosome); GO:0005762 (mitochondrial large ribosomal subunit); GO:0032543 (mitochondrial translation)</t>
  </si>
  <si>
    <t xml:space="preserve">G-patch domain and KOW motifs-containing protein homolog 1 </t>
  </si>
  <si>
    <t>GO:0016020 (membrane); GO:0016021 (integral component of membrane); GO:0012505 (endomembrane system)</t>
  </si>
  <si>
    <t xml:space="preserve">Helix-loop-helix protein 13 </t>
  </si>
  <si>
    <t xml:space="preserve">Putative glutaminase 3 </t>
  </si>
  <si>
    <t>GO:0006541 (glutamine metabolic process); GO:0004359 (glutaminase activity); GO:0005515 (protein binding)</t>
  </si>
  <si>
    <t xml:space="preserve">Nematode Specific Peptide family, group B </t>
  </si>
  <si>
    <t xml:space="preserve">Nucleosome Assembly Protein </t>
  </si>
  <si>
    <t>GO:0005634 (nucleus); GO:0003682 (chromatin binding); GO:0042393 (histone binding); GO:0000785 (chromatin); GO:0006334 (nucleosome assembly); GO:0005737 (cytoplasm); GO:0008134 (transcription factor binding); GO:0015485 (cholesterol binding)</t>
  </si>
  <si>
    <t>GO:0003677 (DNA binding); GO:0005634 (nucleus); GO:0006351 (transcription, DNA-templated); GO:0003899 (DNA-directed 5'-3' RNA polymerase activity); GO:0003697 (single-stranded DNA binding); GO:0005666 (RNA polymerase III complex)</t>
  </si>
  <si>
    <t xml:space="preserve">GOlgi-associated PDZ and Coiled-coil motif protein </t>
  </si>
  <si>
    <t>GO:0016020 (membrane); GO:0005794 (Golgi apparatus); GO:0005515 (protein binding); GO:0043004 (cytoplasmic sequestering of CFTR protein); GO:0042802 (identical protein binding); GO:0030140 (trans-Golgi network transport vesicle); GO:2000009 (negative regulation of protein localization to cell surface); GO:0044325 (ion channel binding)</t>
  </si>
  <si>
    <t>GO:0046872 (metal ion binding); GO:0005737 (cytoplasm); GO:0016491 (oxidoreductase activity); GO:0005506 (iron ion binding); GO:0019310 (inositol catabolic process); GO:0050113 (inositol oxygenase activity); GO:0055114 (oxidation-reduction process)</t>
  </si>
  <si>
    <t xml:space="preserve">Calcitonin receptor-like protein 1 </t>
  </si>
  <si>
    <t>GO:0004888 (transmembrane signaling receptor activity); GO:0007166 (cell surface receptor signaling pathway); GO:0004930 (G protein-coupled receptor activity); GO:0007186 (G protein-coupled receptor signaling pathway); GO:0016021 (integral component of membrane); GO:0016020 (membrane); GO:0005886 (plasma membrane)</t>
  </si>
  <si>
    <t>GO:0016020 (membrane); GO:0016021 (integral component of membrane); GO:0055085 (transmembrane transport); GO:0015267 (channel activity); GO:0015250 (water channel activity); GO:0006833 (water transport)</t>
  </si>
  <si>
    <t>GO:0005615 (extracellular space); GO:0062023 (collagen-containing extracellular matrix)</t>
  </si>
  <si>
    <t xml:space="preserve">Neuropeptide receptor 15 </t>
  </si>
  <si>
    <t xml:space="preserve">Ga Binding and Activating and Spk (SPK) domain containing </t>
  </si>
  <si>
    <t>GO:0005515 (protein binding); GO:0050790 (regulation of catalytic activity); GO:0005085 (guanyl-nucleotide exchange factor activity); GO:0007264 (small GTPase mediated signal transduction); GO:0001965 (G-protein alpha-subunit binding)</t>
  </si>
  <si>
    <t>GO:0005739 (mitochondrion)</t>
  </si>
  <si>
    <t xml:space="preserve">Soluble guanylate cyclase gcy-35 </t>
  </si>
  <si>
    <t>GO:0016849 (phosphorus-oxygen lyase activity); GO:0006182 (cGMP biosynthetic process); GO:0004383 (guanylate cyclase activity); GO:0009190 (cyclic nucleotide biosynthetic process); GO:0020037 (heme binding); GO:0035556 (intracellular signal transduction); GO:0016829 (lyase activity); GO:0019826 (oxygen sensor activity); GO:0070482 (response to oxygen levels); GO:0009454 (aerotaxis); GO:0055093 (response to hyperoxia); GO:0070026 (nitric oxide binding); GO:0019825 (oxygen binding); GO:0070025 (carbon monoxide binding)</t>
  </si>
  <si>
    <t>GO:0016020 (membrane); GO:0016021 (integral component of membrane); GO:0006629 (lipid metabolic process); GO:0008081 (phosphoric diester hydrolase activity)</t>
  </si>
  <si>
    <t xml:space="preserve">Methyltransferase-like protein </t>
  </si>
  <si>
    <t xml:space="preserve">LIPase Like </t>
  </si>
  <si>
    <t>GO:0020037 (heme binding); GO:0005344 (oxygen carrier activity); GO:0015671 (oxygen transport)</t>
  </si>
  <si>
    <t xml:space="preserve">Probable methylmalonyl-CoA mutase, mitochondrial </t>
  </si>
  <si>
    <t>GO:0016853 (isomerase activity); GO:0016866 (intramolecular transferase activity); GO:0031419 (cobalamin binding); GO:0004494 (methylmalonyl-CoA mutase activity); GO:0046872 (metal ion binding); GO:0003824 (catalytic activity)</t>
  </si>
  <si>
    <t xml:space="preserve">COX assembly mitochondrial protein </t>
  </si>
  <si>
    <t xml:space="preserve">Infection Response protein </t>
  </si>
  <si>
    <t>GO:0045087 (innate immune response); GO:0050829 (defense response to Gram-negative bacterium)</t>
  </si>
  <si>
    <t xml:space="preserve">NMUR (NeuroMedin U Receptor) homolog; Neuromedin U receptor </t>
  </si>
  <si>
    <t xml:space="preserve">Transcription initiation factor IIA small chain homolog </t>
  </si>
  <si>
    <t>GO:0005634 (nucleus); GO:0006367 (transcription initiation from RNA polymerase II promoter); GO:0051123 (RNA polymerase II preinitiation complex assembly); GO:0017025 (TBP-class protein binding); GO:0005672 (transcription factor TFIIA complex); GO:0016251 (RNA polymerase II general transcription initiation factor activity)</t>
  </si>
  <si>
    <t xml:space="preserve">Diacylglycerol kinase </t>
  </si>
  <si>
    <t>GO:0016301 (kinase activity); GO:0016310 (phosphorylation); GO:0046872 (metal ion binding); GO:0000166 (nucleotide binding); GO:0016740 (transferase activity); GO:0007165 (signal transduction); GO:0005524 (ATP binding); GO:0035556 (intracellular signal transduction); GO:0003951 (NAD+ kinase activity); GO:0004143 (diacylglycerol kinase activity); GO:0007205 (protein kinase C-activating G protein-coupled receptor signaling pathway); GO:0046339 (diacylglycerol metabolic process); GO:0046834 (lipid phosphorylation); GO:0007271 (synaptic transmission, cholinergic); GO:0030424 (axon); GO:0044297 (cell body); GO:0048471 (perinuclear region of cytoplasm); GO:0005829 (cytosol); GO:0046662 (regulation of oviposition); GO:0040012 (regulation of locomotion); GO:0040013 (negative regulation of locomotion); GO:0007212 (dopamine receptor signaling pathway); GO:0032094 (response to food); GO:0007210 (serotonin receptor signaling pathway); GO:0045202 (synapse); GO:0031267 (small GTPase binding); GO:2000292 (regulation of defecation)</t>
  </si>
  <si>
    <t>GO:0046872 (metal ion binding); GO:0016740 (transferase activity); GO:0061630 (ubiquitin protein ligase activity); GO:0016567 (protein ubiquitination); GO:0072344 (rescue of stalled ribosome)</t>
  </si>
  <si>
    <t>GO:0016020 (membrane); GO:0016021 (integral component of membrane); GO:0000064 (L-ornithine transmembrane transporter activity); GO:1990575 (mitochondrial L-ornithine transmembrane transport)</t>
  </si>
  <si>
    <t xml:space="preserve">DNA repair protein RAD51 homolog </t>
  </si>
  <si>
    <t>GO:0005524 (ATP binding); GO:0000166 (nucleotide binding); GO:0003677 (DNA binding); GO:0005634 (nucleus); GO:0006259 (DNA metabolic process); GO:0000794 (condensed nuclear chromosome); GO:0006281 (DNA repair); GO:0005515 (protein binding); GO:0003690 (double-stranded DNA binding); GO:0006974 (cellular response to DNA damage stimulus); GO:0000724 (double-strand break repair via homologous recombination); GO:0006310 (DNA recombination); GO:0042802 (identical protein binding); GO:0003697 (single-stranded DNA binding); GO:0000150 (recombinase activity); GO:0000730 (DNA recombinase assembly); GO:0006312 (mitotic recombination); GO:0007131 (reciprocal meiotic recombination); GO:0008094 (DNA-dependent ATPase activity); GO:0042148 (strand invasion); GO:0070192 (chromosome organization involved in meiotic cell cycle); GO:1990426 (mitotic recombination-dependent replication fork processing); GO:0009792 (embryo development ending in birth or egg hatching); GO:0043073 (germ cell nucleus); GO:0043066 (negative regulation of apoptotic process); GO:0017151 (DEAD/H-box RNA helicase binding); GO:0016887 (ATPase activity); GO:0010032 (meiotic chromosome condensation); GO:0042771 (intrinsic apoptotic signaling pathway in response to DNA damage by p53 class mediator); GO:0035861 (site of double-strand break)</t>
  </si>
  <si>
    <t xml:space="preserve">Protection Of Telomeres 1 (Pot1) homolog </t>
  </si>
  <si>
    <t>GO:0005634 (nucleus); GO:0003677 (DNA binding); GO:0005694 (chromosome); GO:0043047 (single-stranded telomeric DNA binding); GO:0000781 (chromosome, telomeric region); GO:1904357 (negative regulation of telomere maintenance via telomere lengthening)</t>
  </si>
  <si>
    <t>GO:0016787 (hydrolase activity); GO:0005615 (extracellular space); GO:0052689 (carboxylic ester hydrolase activity)</t>
  </si>
  <si>
    <t xml:space="preserve">Probable G-protein coupled receptor npr-29 </t>
  </si>
  <si>
    <t xml:space="preserve">Perilipin-1 homolog </t>
  </si>
  <si>
    <t xml:space="preserve">DNA topoisomerase 3 </t>
  </si>
  <si>
    <t>GO:0005634 (nucleus); GO:0003677 (DNA binding); GO:0046872 (metal ion binding); GO:0008270 (zinc ion binding); GO:0016853 (isomerase activity); GO:0006265 (DNA topological change); GO:0003916 (DNA topoisomerase activity); GO:0003917 (DNA topoisomerase type I (single strand cut, ATP-independent) activity)</t>
  </si>
  <si>
    <t xml:space="preserve">Ly-6-related protein ODR-2 isoform 16 </t>
  </si>
  <si>
    <t>GO:0016020 (membrane); GO:0016021 (integral component of membrane); GO:0042048 (olfactory behavior); GO:0030424 (axon); GO:0043025 (neuronal cell body); GO:1990834 (response to odorant); GO:0019897 (extrinsic component of plasma membrane); GO:0043005 (neuron projection); GO:0003674 (molecular_function); GO:0007635 (chemosensory behavior); GO:0007608 (sensory perception of smell)</t>
  </si>
  <si>
    <t xml:space="preserve">Proteasome subunit alpha type-6 </t>
  </si>
  <si>
    <t>GO:0019773 (proteasome core complex, alpha-subunit complex); GO:0006511 (ubiquitin-dependent protein catabolic process); GO:0005839 (proteasome core complex); GO:0051603 (proteolysis involved in cellular protein catabolic process)</t>
  </si>
  <si>
    <t xml:space="preserve">Bestrophin homolog 17 </t>
  </si>
  <si>
    <t xml:space="preserve">Sphingomyelin phosphodiesterase 1 </t>
  </si>
  <si>
    <t>GO:0006685 (sphingomyelin catabolic process); GO:0004767 (sphingomyelin phosphodiesterase activity); GO:0016787 (hydrolase activity)</t>
  </si>
  <si>
    <t xml:space="preserve">Transient receptor potential channel </t>
  </si>
  <si>
    <t>GO:0016020 (membrane); GO:0016021 (integral component of membrane); GO:0005216 (ion channel activity); GO:0006811 (ion transport); GO:0005261 (cation channel activity); GO:0055085 (transmembrane transport); GO:0005887 (integral component of plasma membrane); GO:0008406 (gonad development); GO:0000278 (mitotic cell cycle); GO:0005886 (plasma membrane); GO:0008324 (cation transmembrane transporter activity); GO:0006812 (cation transport); GO:0030421 (defecation); GO:0098655 (cation transmembrane transport); GO:0034220 (ion transmembrane transport)</t>
  </si>
  <si>
    <t xml:space="preserve">Carboxypeptidase E </t>
  </si>
  <si>
    <t>GO:0004181 (metallocarboxypeptidase activity); GO:0006518 (peptide metabolic process); GO:0006508 (proteolysis); GO:0008270 (zinc ion binding)</t>
  </si>
  <si>
    <t xml:space="preserve">Histone AcetylTransferase </t>
  </si>
  <si>
    <t>GO:0005634 (nucleus); GO:0016740 (transferase activity); GO:0016746 (transferase activity, transferring acyl groups); GO:0000781 (chromosome, telomeric region); GO:0004402 (histone acetyltransferase activity); GO:0016573 (histone acetylation); GO:0006325 (chromatin organization); GO:0043967 (histone H4 acetylation); GO:0042393 (histone binding); GO:0006348 (chromatin silencing at telomere); GO:0010485 (H4 histone acetyltransferase activity)</t>
  </si>
  <si>
    <t>GO:0016020 (membrane); GO:0016021 (integral component of membrane); GO:0005741 (mitochondrial outer membrane); GO:0090149 (mitochondrial membrane fission)</t>
  </si>
  <si>
    <t xml:space="preserve">Probable phosphoribosylformylglycinamidine synthase </t>
  </si>
  <si>
    <t>GO:0046872 (metal ion binding); GO:0000166 (nucleotide binding); GO:0016874 (ligase activity); GO:0005737 (cytoplasm); GO:0005524 (ATP binding); GO:0006541 (glutamine metabolic process); GO:0006164 (purine nucleotide biosynthetic process); GO:0006189 ('de novo' IMP biosynthetic process); GO:0004642 (phosphoribosylformylglycinamidine synthase activity)</t>
  </si>
  <si>
    <t xml:space="preserve">Regulator of G-protein signaling rgs-9 </t>
  </si>
  <si>
    <t>GO:0009968 (negative regulation of signal transduction)</t>
  </si>
  <si>
    <t>GO:0005737 (cytoplasm); GO:0005515 (protein binding); GO:0060828 (regulation of canonical Wnt signaling pathway); GO:0019207 (kinase regulator activity); GO:0045087 (innate immune response); GO:0055120 (striated muscle dense body); GO:0051018 (protein kinase A binding); GO:0043549 (regulation of kinase activity)</t>
  </si>
  <si>
    <t xml:space="preserve">Histone H2A </t>
  </si>
  <si>
    <t xml:space="preserve">Bestrophin homolog 13 </t>
  </si>
  <si>
    <t xml:space="preserve">Eukaryotic Initiation Factor </t>
  </si>
  <si>
    <t>GO:0003743 (translation initiation factor activity); GO:0006412 (translation); GO:0006413 (translational initiation); GO:0005085 (guanyl-nucleotide exchange factor activity); GO:0050790 (regulation of catalytic activity); GO:0031369 (translation initiation factor binding); GO:0005851 (eukaryotic translation initiation factor 2B complex); GO:0005515 (protein binding)</t>
  </si>
  <si>
    <t>GO:0005524 (ATP binding); GO:0000166 (nucleotide binding); GO:0005737 (cytoplasm); GO:0016887 (ATPase activity); GO:0050804 (modulation of chemical synaptic transmission); GO:0017025 (TBP-class protein binding); GO:0000502 (proteasome complex); GO:0008540 (proteasome regulatory particle, base subcomplex); GO:0030163 (protein catabolic process); GO:1901800 (positive regulation of proteasomal protein catabolic process); GO:0031597 (cytosolic proteasome complex); GO:0045899 (positive regulation of RNA polymerase II transcription preinitiation complex assembly); GO:0031595 (nuclear proteasome complex); GO:0098794 (postsynapse); GO:0016787 (hydrolase activity); GO:0036402 (proteasome-activating ATPase activity)</t>
  </si>
  <si>
    <t xml:space="preserve">Nuclear anchorage protein 1 </t>
  </si>
  <si>
    <t>GO:0051087 (chaperone binding); GO:0016021 (integral component of membrane); GO:0005515 (protein binding); GO:0016020 (membrane); GO:0005634 (nucleus); GO:0003779 (actin binding); GO:0005640 (nuclear outer membrane)</t>
  </si>
  <si>
    <t xml:space="preserve">Probable clathrin heavy chain 1 </t>
  </si>
  <si>
    <t>GO:0071439 (clathrin complex); GO:0032051 (clathrin light chain binding); GO:0030132 (clathrin coat of coated pit); GO:0030130 (clathrin coat of trans-Golgi network vesicle); GO:0005198 (structural molecule activity); GO:0016192 (vesicle-mediated transport); GO:0006886 (intracellular protein transport); GO:0005515 (protein binding)</t>
  </si>
  <si>
    <t xml:space="preserve">Diphosphomevalonate decarboxylase </t>
  </si>
  <si>
    <t>GO:0019287 (isopentenyl diphosphate biosynthetic process, mevalonate pathway); GO:0004163 (diphosphomevalonate decarboxylase activity); GO:0016831 (carboxy-lyase activity); GO:0005829 (cytosol); GO:0008299 (isoprenoid biosynthetic process); GO:0005524 (ATP binding); GO:0000166 (nucleotide binding); GO:0016829 (lyase activity); GO:0006629 (lipid metabolic process); GO:0008202 (steroid metabolic process); GO:0008203 (cholesterol metabolic process); GO:0006694 (steroid biosynthetic process); GO:0016126 (sterol biosynthetic process); GO:0006695 (cholesterol biosynthetic process)</t>
  </si>
  <si>
    <t>GO:0005737 (cytoplasm); GO:0016020 (membrane); GO:0016787 (hydrolase activity); GO:0046872 (metal ion binding); GO:0004222 (metalloendopeptidase activity); GO:0006508 (proteolysis); GO:0008233 (peptidase activity); GO:0007155 (cell adhesion)</t>
  </si>
  <si>
    <t>GO:0016020 (membrane); GO:0016021 (integral component of membrane); GO:0005615 (extracellular space); GO:0062023 (collagen-containing extracellular matrix)</t>
  </si>
  <si>
    <t>GO:0005525 (GTP binding); GO:0005886 (plasma membrane); GO:0003924 (GTPase activity); GO:0005794 (Golgi apparatus); GO:0072659 (protein localization to plasma membrane); GO:0017157 (regulation of exocytosis); GO:0032869 (cellular response to insulin stimulus); GO:0005768 (endosome); GO:0055037 (recycling endosome); GO:0006904 (vesicle docking involved in exocytosis); GO:0008021 (synaptic vesicle); GO:0009306 (protein secretion); GO:0032593 (insulin-responsive compartment)</t>
  </si>
  <si>
    <t xml:space="preserve">Enhanced RNAI (RNA interference) </t>
  </si>
  <si>
    <t>GO:0005515 (protein binding); GO:0030674 (protein-macromolecule adaptor activity); GO:0019899 (enzyme binding); GO:0070918 (production of small RNA involved in gene silencing by RNA)</t>
  </si>
  <si>
    <t>GO:0016020 (membrane); GO:0016021 (integral component of membrane); GO:0016787 (hydrolase activity); GO:0005615 (extracellular space); GO:0052689 (carboxylic ester hydrolase activity)</t>
  </si>
  <si>
    <t xml:space="preserve">Neurexin Like receptor </t>
  </si>
  <si>
    <t>GO:0016020 (membrane); GO:0016021 (integral component of membrane); GO:0005509 (calcium ion binding); GO:0055085 (transmembrane transport); GO:0005886 (plasma membrane); GO:0030054 (cell junction); GO:0005921 (gap junction); GO:0005243 (gap junction channel activity); GO:0051015 (actin filament binding); GO:1903746 (positive regulation of pharyngeal pumping); GO:1903598 (positive regulation of gap junction assembly)</t>
  </si>
  <si>
    <t xml:space="preserve">GPN-loop GTPase 2 </t>
  </si>
  <si>
    <t>GO:0003924 (GTPase activity); GO:0016787 (hydrolase activity); GO:0000166 (nucleotide binding); GO:0005525 (GTP binding)</t>
  </si>
  <si>
    <t xml:space="preserve">Glutamate receptor 1 </t>
  </si>
  <si>
    <t>GO:0004970 (ionotropic glutamate receptor activity); GO:0038023 (signaling receptor activity); GO:0006811 (ion transport); GO:0005216 (ion channel activity); GO:0015276 (ligand-gated ion channel activity); GO:0016020 (membrane)</t>
  </si>
  <si>
    <t xml:space="preserve">Probable GMP synthase [glutamine-hydrolyzing] </t>
  </si>
  <si>
    <t>GO:0016462 (pyrophosphatase activity); GO:0006177 (GMP biosynthetic process); GO:0003922 (GMP synthase (glutamine-hydrolyzing) activity); GO:0006164 (purine nucleotide biosynthetic process); GO:0005524 (ATP binding)</t>
  </si>
  <si>
    <t xml:space="preserve">Putative glycosyltransferase C14A4.3 </t>
  </si>
  <si>
    <t>GO:0016020 (membrane); GO:0016021 (integral component of membrane); GO:0016740 (transferase activity); GO:0016757 (transferase activity, transferring glycosyl groups); GO:0005789 (endoplasmic reticulum membrane); GO:0006486 (protein glycosylation); GO:0006487 (protein N-linked glycosylation); GO:0005783 (endoplasmic reticulum); GO:0000030 (mannosyltransferase activity); GO:0097502 (mannosylation); GO:0052918 (dol-P-Man:Man(8)GlcNAc(2)-PP-Dol alpha-1,2-mannosyltransferase activity); GO:0052926 (dol-P-Man:Man(6)GlcNAc(2)-PP-Dol alpha-1,2-mannosyltransferase activity); GO:0000026 (alpha-1,2-mannosyltransferase activity)</t>
  </si>
  <si>
    <t>GO:0005096 (GTPase activator activity); GO:0006886 (intracellular protein transport); GO:0090630 (activation of GTPase activity); GO:0005515 (protein binding); GO:0005829 (cytosol); GO:0005797 (Golgi medial cisterna); GO:0005769 (early endosome); GO:0000138 (Golgi trans cisterna); GO:1990502 (dense core granule maturation); GO:0031267 (small GTPase binding)</t>
  </si>
  <si>
    <t xml:space="preserve">Proteasome subunit alpha type-3 </t>
  </si>
  <si>
    <t xml:space="preserve">WD repeat-containing protein 20 homolog </t>
  </si>
  <si>
    <t>GO:0005515 (protein binding); GO:0010628 (positive regulation of gene expression); GO:0090326 (positive regulation of locomotion involved in locomotory behavior); GO:1903003 (positive regulation of protein deubiquitination); GO:2000010 (positive regulation of protein localization to cell surface)</t>
  </si>
  <si>
    <t xml:space="preserve">Protein phosphatase fem-2 </t>
  </si>
  <si>
    <t>GO:0004722 (protein serine/threonine phosphatase activity); GO:0006470 (protein dephosphorylation); GO:0043169 (cation binding); GO:0016791 (phosphatase activity)</t>
  </si>
  <si>
    <t xml:space="preserve">Aspartate aminotransferase </t>
  </si>
  <si>
    <t>GO:0003824 (catalytic activity); GO:0016740 (transferase activity); GO:0005739 (mitochondrion); GO:0009058 (biosynthetic process); GO:0030170 (pyridoxal phosphate binding); GO:0006520 (cellular amino acid metabolic process); GO:0008483 (transaminase activity); GO:0004069 (L-aspartate:2-oxoglutarate aminotransferase activity); GO:0006533 (aspartate catabolic process)</t>
  </si>
  <si>
    <t xml:space="preserve">Protein arginine N-methyltransferase 5 </t>
  </si>
  <si>
    <t>GO:0018216 (peptidyl-arginine methylation); GO:0016274 (protein-arginine N-methyltransferase activity); GO:0035246 (peptidyl-arginine N-methylation); GO:0006479 (protein methylation); GO:0008168 (methyltransferase activity)</t>
  </si>
  <si>
    <t xml:space="preserve">Omega-3 fatty acid desaturase fat-1 </t>
  </si>
  <si>
    <t xml:space="preserve">Kinesin-like protein; Kinesin-like protein-18 </t>
  </si>
  <si>
    <t>GO:0005524 (ATP binding); GO:0000166 (nucleotide binding); GO:0003774 (motor activity); GO:0007018 (microtubule-based movement); GO:0008017 (microtubule binding); GO:0003777 (microtubule motor activity); GO:0005871 (kinesin complex); GO:0005874 (microtubule); GO:0005938 (cell cortex); GO:0090306 (spindle assembly involved in meiosis); GO:0000922 (spindle pole); GO:1990939 (ATP-dependent microtubule motor activity)</t>
  </si>
  <si>
    <t xml:space="preserve">Hexosaminidase </t>
  </si>
  <si>
    <t>GO:0016787 (hydrolase activity); GO:0005975 (carbohydrate metabolic process); GO:0004553 (hydrolase activity, hydrolyzing O-glycosyl compounds); GO:0015929 (hexosaminidase activity); GO:0004563 (beta-N-acetylhexosaminidase activity); GO:0102148 (N-acetyl-beta-D-galactosaminidase activity)</t>
  </si>
  <si>
    <t xml:space="preserve">Protein maternal effect lethal 26 </t>
  </si>
  <si>
    <t>GO:0016020 (membrane); GO:0016021 (integral component of membrane); GO:0005886 (plasma membrane); GO:0004222 (metalloendopeptidase activity); GO:0006508 (proteolysis); GO:0008237 (metallopeptidase activity); GO:0016485 (protein processing)</t>
  </si>
  <si>
    <t xml:space="preserve">SET domain-containing protein 14 </t>
  </si>
  <si>
    <t>GO:0005634 (nucleus); GO:0046872 (metal ion binding); GO:0003677 (DNA binding); GO:0018024 (histone-lysine N-methyltransferase activity); GO:0034968 (histone lysine methylation); GO:0005515 (protein binding)</t>
  </si>
  <si>
    <t>GO:0005764 (lysosome); GO:0003674 (molecular_function); GO:0006897 (endocytosis); GO:1905146 (lysosomal protein catabolic process); GO:0005575 (cellular_component)</t>
  </si>
  <si>
    <t>GO:0016020 (membrane); GO:0016021 (integral component of membrane); GO:0005509 (calcium ion binding); GO:0055085 (transmembrane transport); GO:0005739 (mitochondrion); GO:0005743 (mitochondrial inner membrane)</t>
  </si>
  <si>
    <t xml:space="preserve">SeRPin; Serine or cysteine protease inhibitor </t>
  </si>
  <si>
    <t>GO:0006508 (proteolysis); GO:0008233 (peptidase activity); GO:0005615 (extracellular space); GO:0004867 (serine-type endopeptidase inhibitor activity); GO:0005515 (protein binding); GO:0010951 (negative regulation of endopeptidase activity); GO:0010466 (negative regulation of peptidase activity); GO:0030414 (peptidase inhibitor activity)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</si>
  <si>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GO:0035556 (intracellular signal transduction); GO:0000165 (MAPK cascade); GO:0004707 (MAP kinase activity)</t>
  </si>
  <si>
    <t>GO:0005634 (nucleus); GO:0032039 (integrator complex); GO:0034472 (snRNA 3'-end processing); GO:0016180 (snRNA processing)</t>
  </si>
  <si>
    <t>GO:0007623 (circadian rhythm)</t>
  </si>
  <si>
    <t xml:space="preserve">RNA Polymerase II (B) subunit </t>
  </si>
  <si>
    <t>GO:0046983 (protein dimerization activity); GO:0006351 (transcription, DNA-templated); GO:0003899 (DNA-directed 5'-3' RNA polymerase activity); GO:0005665 (RNA polymerase II, core complex)</t>
  </si>
  <si>
    <t xml:space="preserve">Tafazzin family protein </t>
  </si>
  <si>
    <t>GO:0016746 (transferase activity, transferring acyl groups); GO:0031966 (mitochondrial membrane); GO:0006644 (phospholipid metabolic process); GO:0007007 (inner mitochondrial membrane organization); GO:0035965 (cardiolipin acyl-chain remodeling); GO:0008374 (O-acyltransferase activity); GO:0047184 (1-acylglycerophosphocholine O-acyltransferase activity)</t>
  </si>
  <si>
    <t xml:space="preserve">Endoplasmic reticulum chaperone BiP homolog </t>
  </si>
  <si>
    <t>GO:0005524 (ATP binding); GO:0000166 (nucleotide binding); GO:0016887 (ATPase activity)</t>
  </si>
  <si>
    <t xml:space="preserve">SQuaT </t>
  </si>
  <si>
    <t>GO:0016020 (membrane); GO:0016021 (integral component of membrane); GO:0005783 (endoplasmic reticulum); GO:0006888 (endoplasmic reticulum to Golgi vesicle-mediated transport); GO:0006890 (retrograde vesicle-mediated transport, Golgi to endoplasmic reticulum); GO:0030134 (COPII-coated ER to Golgi transport vesicle); GO:0030173 (integral component of Golgi membrane); GO:0033116 (endoplasmic reticulum-Golgi intermediate compartment membrane); GO:0030176 (integral component of endoplasmic reticulum membrane)</t>
  </si>
  <si>
    <t xml:space="preserve">Thyrotropin-Releasing Hormone Receptor </t>
  </si>
  <si>
    <t>GO:0016020 (membrane); GO:0016021 (integral component of membrane); GO:0005886 (plasma membrane); GO:0004930 (G protein-coupled receptor activity); GO:0007165 (signal transduction); GO:0007186 (G protein-coupled receptor signaling pathway); GO:0004997 (thyrotropin-releasing hormone receptor activity)</t>
  </si>
  <si>
    <t>GO:0016020 (membrane); GO:0016021 (integral component of membrane); GO:0034220 (ion transmembrane transport); GO:0055085 (transmembrane transport); GO:0005887 (integral component of plasma membrane); GO:0005247 (voltage-gated chloride channel activity); GO:0006821 (chloride transport); GO:0006811 (ion transport)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</si>
  <si>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GO:0006357 (regulation of transcription by RNA polymerase II); GO:0045944 (positive regulation of transcription by RNA polymerase II); GO:0007275 (multicellular organism development); GO:0045923 (positive regulation of fatty acid metabolic process); GO:0008340 (determination of adult lifespan)</t>
  </si>
  <si>
    <t>GO:0016020 (membrane); GO:0016021 (integral component of membrane); GO:0022857 (transmembrane transporter activity); GO:0055085 (transmembrane transport); GO:0031526 (brush border membrane)</t>
  </si>
  <si>
    <t xml:space="preserve">Nucleotide Sugar TransPorter family </t>
  </si>
  <si>
    <t>GO:0016020 (membrane); GO:0016021 (integral component of membrane); GO:0008643 (carbohydrate transport); GO:0030173 (integral component of Golgi membrane); GO:0000139 (Golgi membrane); GO:0005459 (UDP-galactose transmembrane transporter activity); GO:0015165 (pyrimidine nucleotide-sugar transmembrane transporter activity); GO:0072334 (UDP-galactose transmembrane transport); GO:0090481 (pyrimidine nucleotide-sugar transmembrane transport)</t>
  </si>
  <si>
    <t>GO:0016020 (membrane); GO:0016021 (integral component of membrane); GO:0004623 (phospholipase A2 activity); GO:0006644 (phospholipid metabolic process); GO:0050482 (arachidonic acid secretion)</t>
  </si>
  <si>
    <t xml:space="preserve">GrpE protein homolog, mitochondrial </t>
  </si>
  <si>
    <t>GO:0005739 (mitochondrion); GO:0050790 (regulation of catalytic activity); GO:0051087 (chaperone binding); GO:0042803 (protein homodimerization activity); GO:0030150 (protein import into mitochondrial matrix); GO:0005759 (mitochondrial matrix); GO:0051082 (unfolded protein binding); GO:0000774 (adenyl-nucleotide exchange factor activity); GO:0006457 (protein folding); GO:0001405 (PAM complex, Tim23 associated import motor)</t>
  </si>
  <si>
    <t xml:space="preserve">Putative 1-acyl-sn-glycerol-3-phosphate acyltransferase acl-1 </t>
  </si>
  <si>
    <t>GO:0003841 (1-acylglycerol-3-phosphate O-acyltransferase activity); GO:0016746 (transferase activity, transferring acyl groups); GO:0008654 (phospholipid biosynthetic process); GO:0016020 (membrane)</t>
  </si>
  <si>
    <t>GO:0003723 (RNA binding); GO:0008168 (methyltransferase activity); GO:0032259 (methylation); GO:0006396 (RNA processing); GO:0008173 (RNA methyltransferase activity); GO:0030488 (tRNA methylation); GO:0016423 (tRNA (guanine) methyltransferase activity)</t>
  </si>
  <si>
    <t xml:space="preserve">Interleukin cytokine receptor-related protein 1 </t>
  </si>
  <si>
    <t>GO:0030368 (interleukin-17 receptor activity)</t>
  </si>
  <si>
    <t>GO:0006355 (regulation of transcription, DNA-templated); GO:0005634 (nucleus); GO:0035267 (NuA4 histone acetyltransferase complex); GO:0000123 (histone acetyltransferase complex); GO:0016575 (histone deacetylation); GO:0006325 (chromatin organization); GO:0043967 (histone H4 acetylation); GO:0006342 (chromatin silencing); GO:0016573 (histone acetylation); GO:0043968 (histone H2A acetylation)</t>
  </si>
  <si>
    <t>GO:0005576 (extracellular region); GO:0005615 (extracellular space); GO:0007275 (multicellular organism development); GO:0016055 (Wnt signaling pathway); GO:0060070 (canonical Wnt signaling pathway); GO:0001764 (neuron migration); GO:0097402 (neuroblast migration); GO:0097475 (motor neuron migration); GO:1904936 (interneuron migration); GO:1904937 (sensory neuron migration); GO:1905485 (positive regulation of motor neuron migration); GO:0030182 (neuron differentiation); GO:0007399 (nervous system development); GO:0005125 (cytokine activity); GO:0005102 (signaling receptor binding); GO:0005109 (frizzled binding); GO:0045165 (cell fate commitment); GO:0009792 (embryo development ending in birth or egg hatching); GO:0040025 (vulval development); GO:0033564 (anterior/posterior axon guidance); GO:0048018 (receptor ligand activity); GO:0009948 (anterior/posterior axis specification); GO:0010084 (specification of animal organ axis polarity); GO:0060573 (cell fate specification involved in pattern specification)</t>
  </si>
  <si>
    <t xml:space="preserve">Cuticle collagen 34 </t>
  </si>
  <si>
    <t>GO:0003723 (RNA binding); GO:0005634 (nucleus); GO:0006364 (rRNA processing); GO:0042254 (ribosome biogenesis); GO:0001522 (pseudouridine synthesis); GO:0005732 (small nucleolar ribonucleoprotein complex); GO:0000493 (box H/ACA snoRNP assembly)</t>
  </si>
  <si>
    <t>GO:0016020 (membrane); GO:0016021 (integral component of membrane); GO:0016747 (transferase activity, transferring acyl groups other than amino-acyl groups); GO:0033692 (cellular polysaccharide biosynthetic process)</t>
  </si>
  <si>
    <t xml:space="preserve">Galactosylgalactosylxylosylprotein 3-beta-glucuronosyltransferase sqv-8 </t>
  </si>
  <si>
    <t>GO:0016020 (membrane); GO:0016021 (integral component of membrane); GO:0046872 (metal ion binding); GO:0016740 (transferase activity); GO:0016757 (transferase activity, transferring glycosyl groups); GO:0015018 (galactosylgalactosylxylosylprotein 3-beta-glucuronosyltransferase activity); GO:0000139 (Golgi membrane); GO:0050650 (chondroitin sulfate proteoglycan biosynthetic process); GO:0005975 (carbohydrate metabolic process); GO:0009792 (embryo development ending in birth or egg hatching); GO:0018991 (oviposition); GO:0000003 (reproduction); GO:0040025 (vulval development); GO:0060465 (pharynx development); GO:0007286 (spermatid development); GO:0002009 (morphogenesis of an epithelium); GO:0015020 (glucuronosyltransferase activity); GO:0030206 (chondroitin sulfate biosynthetic process)</t>
  </si>
  <si>
    <t xml:space="preserve">Nijmegen Breakage Syndrome homolog </t>
  </si>
  <si>
    <t>GO:0005634 (nucleus); GO:0005737 (cytoplasm); GO:0005515 (protein binding); GO:0007049 (cell cycle); GO:0031047 (gene silencing by RNA); GO:0051301 (cell division); GO:0051781 (positive regulation of cell division); GO:0007059 (chromosome segregation); GO:0048471 (perinuclear region of cytoplasm); GO:0051984 (positive regulation of chromosome segregation); GO:1990511 (piRNA biosynthetic process)</t>
  </si>
  <si>
    <t xml:space="preserve">Telomere length regulation protein clk-2 </t>
  </si>
  <si>
    <t xml:space="preserve">RFC (DNA replication factor) family </t>
  </si>
  <si>
    <t>GO:0005634 (nucleus); GO:0003677 (DNA binding); GO:0006260 (DNA replication); GO:0005515 (protein binding); GO:0006261 (DNA-dependent DNA replication); GO:0006281 (DNA repair); GO:0003689 (DNA clamp loader activity); GO:0005663 (DNA replication factor C complex)</t>
  </si>
  <si>
    <t xml:space="preserve">CCCH-type zinc finger putative transcription factor </t>
  </si>
  <si>
    <t xml:space="preserve">Peptide transporter family 1 </t>
  </si>
  <si>
    <t xml:space="preserve">Endoprotease aex-5 </t>
  </si>
  <si>
    <t>GO:0004252 (serine-type endopeptidase activity); GO:0008236 (serine-type peptidase activity); GO:0006508 (proteolysis)</t>
  </si>
  <si>
    <t xml:space="preserve">Uncharacterized RING finger protein T02C1.1 </t>
  </si>
  <si>
    <t>GO:0035556 (intracellular signal transduction); GO:0008289 (lipid binding); GO:0005739 (mitochondrion); GO:0006869 (lipid transport); GO:0044233 (mitochondria-associated endoplasmic reticulum membrane); GO:0051560 (mitochondrial calcium ion homeostasis); GO:1990456 (mitochondrion-endoplasmic reticulum membrane tethering); GO:0005515 (protein binding)</t>
  </si>
  <si>
    <t xml:space="preserve">GTP cyclohydrolase 1 </t>
  </si>
  <si>
    <t>GO:0046654 (tetrahydrofolate biosynthetic process); GO:0003934 (GTP cyclohydrolase I activity)</t>
  </si>
  <si>
    <t xml:space="preserve">Probable G-protein coupled receptor B0563.6 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</si>
  <si>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GO:0005244 (voltage-gated ion channel activity); GO:0034765 (regulation of ion transmembrane transport)</t>
  </si>
  <si>
    <t>GO:0000794 (condensed nuclear chromosome); GO:0045132 (meiotic chromosome segregation); GO:0005634 (nucleus); GO:0005635 (nuclear envelope); GO:0000805 (X chromosome)</t>
  </si>
  <si>
    <t>GO:0005634 (nucleus); GO:0005667 (transcription regulator complex); GO:0006357 (regulation of transcription by RNA polymerase II)</t>
  </si>
  <si>
    <t>GO:0005524 (ATP binding); GO:0070615 (nucleosome-dependent ATPase activity)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</si>
  <si>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GO:0006357 (regulation of transcription by RNA polymerase II)</t>
  </si>
  <si>
    <t>GO:0016020 (membrane); GO:0016021 (integral component of membrane); GO:0016255 (attachment of GPI anchor to protein); GO:0042765 (GPI-anchor transamidase complex)</t>
  </si>
  <si>
    <t xml:space="preserve">GABA/Glycine Receptor family (See gbr) </t>
  </si>
  <si>
    <t>GO:0003924 (GTPase activity); GO:0005525 (GTP binding); GO:0000166 (nucleotide binding); GO:0005515 (protein binding); GO:0060271 (cilium assembly); GO:0005940 (septin ring); GO:0015630 (microtubule cytoskeleton); GO:0031105 (septin complex); GO:0061640 (cytoskeleton-dependent cytokinesis); GO:0032153 (cell division site); GO:0018991 (oviposition); GO:0040011 (locomotion); GO:0009791 (post-embryonic development); GO:0032154 (cleavage furrow); GO:0030496 (midbody); GO:0034613 (cellular protein localization); GO:0060090 (molecular adaptor activity)</t>
  </si>
  <si>
    <t>GO:0005634 (nucleus); GO:0003682 (chromatin binding); GO:0007049 (cell cycle); GO:0006260 (DNA replication); GO:0003688 (DNA replication origin binding); GO:0006270 (DNA replication initiation); GO:0000727 (double-strand break repair via break-induced replication); GO:0003697 (single-stranded DNA binding); GO:0031261 (DNA replication preinitiation complex); GO:0031938 (regulation of chromatin silencing at telomere); GO:1902977 (mitotic DNA replication preinitiation complex assembly)</t>
  </si>
  <si>
    <t xml:space="preserve">DNA helicase </t>
  </si>
  <si>
    <t>GO:0005634 (nucleus); GO:0005524 (ATP binding); GO:0004386 (helicase activity); GO:0003677 (DNA binding); GO:0000166 (nucleotide binding); GO:0006260 (DNA replication); GO:0003688 (DNA replication origin binding); GO:1902975 (mitotic DNA replication initiation); GO:0000727 (double-strand break repair via break-induced replication); GO:0003697 (single-stranded DNA binding); GO:0006270 (DNA replication initiation); GO:0042555 (MCM complex); GO:0003678 (DNA helicase activity); GO:0006271 (DNA strand elongation involved in DNA replication); GO:0006267 (pre-replicative complex assembly involved in nuclear cell cycle DNA replication); GO:0000793 (condensed chromosome); GO:0045120 (pronucleus); GO:0032508 (DNA duplex unwinding); GO:0016887 (ATPase activity)</t>
  </si>
  <si>
    <t xml:space="preserve">FANCM (Fanconi anemia complex component M) homolog </t>
  </si>
  <si>
    <t xml:space="preserve">CAlSYntenin/Alcadein homolog; Calsyntenin </t>
  </si>
  <si>
    <t>GO:0016020 (membrane); GO:0016021 (integral component of membrane); GO:0005509 (calcium ion binding); GO:0000139 (Golgi membrane); GO:0005794 (Golgi apparatus); GO:0007156 (homophilic cell adhesion via plasma membrane adhesion molecules); GO:0042995 (cell projection); GO:0045211 (postsynaptic membrane); GO:0009986 (cell surface); GO:0050806 (positive regulation of synaptic transmission); GO:0051965 (positive regulation of synapse assembly); GO:0043025 (neuronal cell body); GO:0030424 (axon); GO:0008355 (olfactory learning); GO:0032809 (neuronal cell body membrane); GO:0008306 (associative learning); GO:0005615 (extracellular space); GO:0043231 (intracellular membrane-bounded organelle); GO:0005515 (protein binding); GO:0005158 (insulin receptor binding); GO:0034613 (cellular protein localization)</t>
  </si>
  <si>
    <t xml:space="preserve">Eukaryotic Elongation Factor, SelenoCysteine-tRNA-specific </t>
  </si>
  <si>
    <t>GO:0005525 (GTP binding); GO:0003924 (GTPase activity); GO:0003746 (translation elongation factor activity); GO:0006414 (translational elongation); GO:0001514 (selenocysteine incorporation)</t>
  </si>
  <si>
    <t xml:space="preserve">Transthyretin-like protein 5 </t>
  </si>
  <si>
    <t>GO:0005576 (extracellular region); GO:0003674 (molecular_function); GO:0005575 (cellular_component); GO:0009986 (cell surface)</t>
  </si>
  <si>
    <t>GO:0005737 (cytoplasm); GO:0046872 (metal ion binding); GO:0030036 (actin cytoskeleton organization); GO:0005515 (protein binding); GO:0045138 (nematode male tail tip morphogenesis); GO:0010171 (body morphogenesis); GO:0002064 (epithelial cell development); GO:0035150 (regulation of tube size); GO:0008270 (zinc ion binding); GO:0001738 (morphogenesis of a polarized epithelium)</t>
  </si>
  <si>
    <t xml:space="preserve">D-aspartate oxidase 2 </t>
  </si>
  <si>
    <t xml:space="preserve">Sorting nexin lst-4 </t>
  </si>
  <si>
    <t>GO:0005515 (protein binding); GO:0000278 (mitotic cell cycle); GO:0035091 (phosphatidylinositol binding); GO:0015031 (protein transport)</t>
  </si>
  <si>
    <t>GO:0000795 (synaptonemal complex); GO:0007131 (reciprocal meiotic recombination); GO:0019789 (SUMO transferase activity); GO:0046872 (metal ion binding); GO:0005694 (chromosome); GO:0006310 (DNA recombination); GO:0007129 (homologous chromosome pairing at meiosis); GO:0016925 (protein sumoylation); GO:0051321 (meiotic cell cycle); GO:0009792 (embryo development ending in birth or egg hatching); GO:0045132 (meiotic chromosome segregation); GO:0070194 (synaptonemal complex disassembly)</t>
  </si>
  <si>
    <t>GO:0016020 (membrane); GO:0016021 (integral component of membrane); GO:0007268 (chemical synaptic transmission); GO:0004930 (G protein-coupled receptor activity);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GO:0007212 (dopamine receptor signaling pathway); GO:0045202 (synapse)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</si>
  <si>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GO:0005515 (protein binding)</t>
  </si>
  <si>
    <t>FMRFamide-like neuropeptide 18 EMPGVLRF-amide SVPGVLRF-amide 1 SVPGVLRF-amide 2 EIPGVLRF-amide SEVPGVLRF-amide DVPGVLRF-amide SVPGVLRF-amide 3</t>
  </si>
  <si>
    <t xml:space="preserve">NRAMP-like transporter smf-1 </t>
  </si>
  <si>
    <t xml:space="preserve">Fatty acid-binding protein homolog 6 </t>
  </si>
  <si>
    <t>GO:0008289 (lipid binding)</t>
  </si>
  <si>
    <t xml:space="preserve">Fatty acid-binding protein homolog 4 </t>
  </si>
  <si>
    <t xml:space="preserve">Putative steroid dehydrogenase 4 </t>
  </si>
  <si>
    <t>GO:0016491 (oxidoreductase activity); GO:0005783 (endoplasmic reticulum); GO:0006629 (lipid metabolic process); GO:0006694 (steroid biosynthetic process); GO:0030497 (fatty acid elongation); GO:0055114 (oxidation-reduction process); GO:0016020 (membrane); GO:0016021 (integral component of membrane)</t>
  </si>
  <si>
    <t xml:space="preserve">Yeast Enhancer of DeCapping homolog </t>
  </si>
  <si>
    <t>GO:0000932 (P-body); GO:0033962 (P-body assembly); GO:0003729 (mRNA binding); GO:0005515 (protein binding); GO:0031087 (deadenylation-independent decapping of nuclear-transcribed mRNA)</t>
  </si>
  <si>
    <t xml:space="preserve">Galectin </t>
  </si>
  <si>
    <t>GO:0030246 (carbohydrate binding); GO:0016936 (galactoside binding); GO:0045121 (membrane raft)</t>
  </si>
  <si>
    <t xml:space="preserve">Notch signaling pathway homolog-1 </t>
  </si>
  <si>
    <t>GO:0005634 (nucleus); GO:0006355 (regulation of transcription, DNA-templated); GO:0042393 (histone binding); GO:0031490 (chromatin DNA binding); GO:0045138 (nematode male tail tip morphogenesis); GO:0046579 (positive regulation of Ras protein signal transduction); GO:0042660 (positive regulation of cell fate specification); GO:0072327 (vulval cell fate specification)</t>
  </si>
  <si>
    <t>GO:0016020 (membrane); GO:0016021 (integral component of membrane); GO:0022857 (transmembrane transporter activity); GO:0055085 (transmembrane transport); GO:0030176 (integral component of endoplasmic reticulum membrane); GO:0005886 (plasma membrane)</t>
  </si>
  <si>
    <t xml:space="preserve">Probable 26S proteasome regulatory subunit rpn-6.2 </t>
  </si>
  <si>
    <t>GO:0005634 (nucleus); GO:0008168 (methyltransferase activity); GO:0032259 (methylation); GO:0016740 (transferase activity); GO:0030488 (tRNA methylation); GO:0031515 (tRNA (m1A) methyltransferase complex); GO:0016429 (tRNA (adenine-N1-)-methyltransferase activity)</t>
  </si>
  <si>
    <t xml:space="preserve">Dietary restriction over expressed </t>
  </si>
  <si>
    <t xml:space="preserve">Transcription factor ets-4 </t>
  </si>
  <si>
    <t xml:space="preserve">Ribonuclease 3 </t>
  </si>
  <si>
    <t>GO:0005634 (nucleus); GO:0016787 (hydrolase activity); GO:0003723 (RNA binding); GO:0046872 (metal ion binding); GO:0007275 (multicellular organism development); GO:0006396 (RNA processing); GO:0090305 (nucleic acid phosphodiester bond hydrolysis); GO:0006364 (rRNA processing); GO:0042254 (ribosome biogenesis); GO:0090501 (RNA phosphodiester bond hydrolysis); GO:0090502 (RNA phosphodiester bond hydrolysis, endonucleolytic); GO:0004518 (nuclease activity); GO:0030154 (cell differentiation); GO:0003725 (double-stranded RNA binding); GO:0030422 (production of siRNA involved in RNA interference); GO:0004519 (endonuclease activity); GO:0007506 (gonadal mesoderm development); GO:0004525 (ribonuclease III activity); GO:0016075 (rRNA catabolic process); GO:0019953 (sexual reproduction); GO:0031053 (primary miRNA processing); GO:0031054 (pre-miRNA processing); GO:0070877 (microprocessor complex)</t>
  </si>
  <si>
    <t>GO:0016020 (membrane); GO:0016021 (integral component of membrane); GO:0035725 (sodium ion transmembrane transport); GO:0044341 (sodium-dependent phosphate transport); GO:0005436 (sodium:phosphate symporter activity)</t>
  </si>
  <si>
    <t xml:space="preserve">SET (Trithorax/polycomb) domain containing </t>
  </si>
  <si>
    <t xml:space="preserve">D-aspartate oxidase 3 </t>
  </si>
  <si>
    <t>GO:0003723 (RNA binding); GO:0004826 (phenylalanine-tRNA ligase activity); GO:0005515 (protein binding)</t>
  </si>
  <si>
    <t xml:space="preserve">IntraMembrane Protease (IMPAS) family </t>
  </si>
  <si>
    <t>GO:0016020 (membrane); GO:0016021 (integral component of membrane); GO:0006508 (proteolysis); GO:0008233 (peptidase activity); GO:0004190 (aspartic-type endopeptidase activity)</t>
  </si>
  <si>
    <t>GO:0003824 (catalytic activity); GO:0006567 (threonine catabolic process); GO:0045087 (innate immune response); GO:0008743 (L-threonine 3-dehydrogenase activity)</t>
  </si>
  <si>
    <t>GO:0005615 (extracellular space); GO:0030198 (extracellular matrix organization); GO:0050839 (cell adhesion molecule binding); GO:0031012 (extracellular matrix); GO:0007155 (cell adhesion)</t>
  </si>
  <si>
    <t xml:space="preserve">Eukaryotic translation initiation factor 5A-1 </t>
  </si>
  <si>
    <t>GO:0045905 (positive regulation of translational termination); GO:0045901 (positive regulation of translational elongation); GO:0043022 (ribosome binding); GO:0003746 (translation elongation factor activity); GO:0003723 (RNA binding); GO:0003743 (translation initiation factor activity); GO:0006412 (translation); GO:0006413 (translational initiation); GO:0008104 (protein localization); GO:0007276 (gamete generation); GO:0006414 (translational elongation)</t>
  </si>
  <si>
    <t xml:space="preserve">Phosphate transporter </t>
  </si>
  <si>
    <t>GO:0016020 (membrane); GO:0016021 (integral component of membrane); GO:0005887 (integral component of plasma membrane); GO:0015293 (symporter activity); GO:0035435 (phosphate ion transmembrane transport); GO:0005315 (inorganic phosphate transmembrane transporter activity); GO:0006817 (phosphate ion transport)</t>
  </si>
  <si>
    <t xml:space="preserve">AIP1 (Actin Interacting Protein 1) Like </t>
  </si>
  <si>
    <t>GO:0030864 (cortical actin cytoskeleton); GO:0051015 (actin filament binding); GO:0045214 (sarcomere organization); GO:0030042 (actin filament depolymerization); GO:0030836 (positive regulation of actin filament depolymerization); GO:0040011 (locomotion); GO:0032880 (regulation of protein localization); GO:0007015 (actin filament organization); GO:0005515 (protein binding)</t>
  </si>
  <si>
    <t>GO:0016020 (membrane); GO:0016021 (integral component of membrane); GO:0051260 (protein homooligomerization); GO:0005515 (protein binding)</t>
  </si>
  <si>
    <t>GO:0005737 (cytoplasm); GO:0003682 (chromatin binding); GO:0005515 (protein binding)</t>
  </si>
  <si>
    <t xml:space="preserve">Inositol polyphosphate 5-phosphatase </t>
  </si>
  <si>
    <t>GO:0046856 (phosphatidylinositol dephosphorylation)</t>
  </si>
  <si>
    <t>GO:0005737 (cytoplasm); GO:0005739 (mitochondrion); GO:0016491 (oxidoreductase activity); GO:0005759 (mitochondrial matrix); GO:0047865 (dimethylglycine dehydrogenase activity); GO:0055114 (oxidation-reduction process); GO:0005515 (protein binding)</t>
  </si>
  <si>
    <t xml:space="preserve">Associated with RAN (Nuclear import/export) function </t>
  </si>
  <si>
    <t>GO:0005737 (cytoplasm); GO:0005096 (GTPase activator activity); GO:0043547 (positive regulation of GTPase activity); GO:0005643 (nuclear pore); GO:0006611 (protein export from nucleus); GO:0046907 (intracellular transport)</t>
  </si>
  <si>
    <t xml:space="preserve">Ceramide glucosyltransferase 2 </t>
  </si>
  <si>
    <t xml:space="preserve">Putative pachytene checkpoint protein 2 </t>
  </si>
  <si>
    <t xml:space="preserve">Tetratricopeptide repeat protein 30 homolog </t>
  </si>
  <si>
    <t>GO:0005929 (cilium); GO:0042995 (cell projection); GO:0030992 (intraciliary transport particle B); GO:0042073 (intraciliary transport); GO:0030030 (cell projection organization); GO:0036064 (ciliary basal body); GO:0005879 (axonemal microtubule); GO:0018095 (protein polyglutamylation); GO:0072659 (protein localization to plasma membrane); GO:0120170 (intraciliary transport particle B binding); GO:0005515 (protein binding)</t>
  </si>
  <si>
    <t xml:space="preserve">Probable arginine--tRNA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</si>
  <si>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GO:0008340 (determination of adult lifespan); GO:0010628 (positive regulation of gene expression); GO:0005829 (cytosol); GO:0010629 (negative regulation of gene expression); GO:0004814 (arginine-tRNA ligase activity); GO:0006420 (arginyl-tRNA aminoacylation)</t>
  </si>
  <si>
    <t xml:space="preserve">Proteasome subunit alpha type-1 </t>
  </si>
  <si>
    <t xml:space="preserve">Dual oxidase 1 </t>
  </si>
  <si>
    <t>GO:0050665 (hydrogen peroxide biosynthetic process); GO:0016174 (NAD(P)H oxidase H2O2-forming activity); GO:0004601 (peroxidase activity); GO:0006979 (response to oxidative stress); GO:0020037 (heme binding); GO:0016491 (oxidoreductase activity); GO:0005509 (calcium ion binding); GO:0055114 (oxidation-reduction process)</t>
  </si>
  <si>
    <t xml:space="preserve">PON (Paraoxonase) and MEC-6 Like </t>
  </si>
  <si>
    <t>GO:0006914 (autophagy)</t>
  </si>
  <si>
    <t>GO:0010506 (regulation of autophagy); GO:0005096 (GTPase activator activity); GO:0043547 (positive regulation of GTPase activity); GO:0035556 (intracellular signal transduction); GO:0005765 (lysosomal membrane); GO:0032007 (negative regulation of TOR signaling); GO:0034198 (cellular response to amino acid starvation); GO:1990130 (GATOR1 complex)</t>
  </si>
  <si>
    <t xml:space="preserve">Kinetochore-associated protein rod-1 </t>
  </si>
  <si>
    <t xml:space="preserve">Guanine nucleotide-binding protein alpha-17 subunit </t>
  </si>
  <si>
    <t>GO:0007275 (multicellular organism development); GO:0016539 (intein-mediated protein splicing); GO:0090597 (nematode male tail mating organ morphogenesis); GO:0016540 (protein autoprocessing)</t>
  </si>
  <si>
    <t>GO:0016020 (membrane); GO:0016021 (integral component of membrane); GO:0006811 (ion transport); GO:0005886 (plasma membrane); GO:0005375 (copper ion transmembrane transporter activity); GO:0006878 (cellular copper ion homeostasis); GO:0035434 (copper ion transmembrane transport); GO:0006825 (copper ion transport)</t>
  </si>
  <si>
    <t xml:space="preserve">Glutamate-gated ChLoride channel; Glutamate-gated chloride channel subunit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</si>
  <si>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GO:0007606 (sensory perception of chemical stimulus); GO:0050893 (sensory processing); GO:0030594 (neurotransmitter receptor activity); GO:0031987 (locomotion involved in locomotory behavior)</t>
  </si>
  <si>
    <t xml:space="preserve">RAB family </t>
  </si>
  <si>
    <t>GO:0005525 (GTP binding); GO:0003924 (GTPase activity); GO:0005794 (Golgi apparatus); GO:0005768 (endosome)</t>
  </si>
  <si>
    <t xml:space="preserve">Histone H1.2 </t>
  </si>
  <si>
    <t xml:space="preserve">Ras-related protein Rab-6.1 </t>
  </si>
  <si>
    <t>GO:0003924 (GTPase activity); GO:0005525 (GTP binding)</t>
  </si>
  <si>
    <t>GO:0035091 (phosphatidylinositol binding); GO:0005515 (protein binding); GO:0005829 (cytosol); GO:0034498 (early endosome to Golgi transport); GO:0032009 (early phagosome); GO:0090386 (phagosome maturation involved in apoptotic cell clearance); GO:0090387 (phagolysosome assembly involved in apoptotic cell clearance); GO:0090389 (phagosome-lysosome fusion involved in apoptotic cell clearance); GO:0097194 (execution phase of apoptosis); GO:0005768 (endosome); GO:0007638 (mechanosensory behavior); GO:0010008 (endosome membrane); GO:1903539 (protein localization to postsynaptic membrane); GO:0005737 (cytoplasm); GO:0043621 (protein self-association); GO:0045335 (phagocytic vesicle); GO:0005769 (early endosome); GO:0042147 (retrograde transport, endosome to Golgi); GO:0005547 (phosphatidylinositol-3,4,5-trisphosphate binding)</t>
  </si>
  <si>
    <t xml:space="preserve">TATA-box-binding protein </t>
  </si>
  <si>
    <t>GO:0003677 (DNA binding); GO:0005634 (nucleus); GO:0006352 (DNA-templated transcription, initiation); GO:0000995 (RNA polymerase III general transcription initiation factor activity); GO:0005669 (transcription factor TFIID complex); GO:0006366 (transcription by RNA polymerase II); GO:0006383 (transcription by RNA polymerase III); GO:0003700 (DNA-binding transcription factor activity); GO:0008134 (transcription factor binding); GO:0045893 (positive regulation of transcription, DNA-templated); GO:0003680 (minor groove of adenine-thymine-rich DNA binding); GO:0016251 (RNA polymerase II general transcription initiation factor activity); GO:0140223 (general transcription initiation factor activity)</t>
  </si>
  <si>
    <t xml:space="preserve">(Xeroderma Pigmentosum group F) DNA repair gene homolog </t>
  </si>
  <si>
    <t>GO:0003677 (DNA binding); GO:0005515 (protein binding); GO:0000724 (double-strand break repair via homologous recombination); GO:0040019 (positive regulation of embryonic development); GO:0004518 (nuclease activity); GO:0000014 (single-stranded DNA endodeoxyribonuclease activity); GO:0000110 (nucleotide-excision repair factor 1 complex); GO:0000712 (resolution of meiotic recombination intermediates); GO:0003684 (damaged DNA binding); GO:0003697 (single-stranded DNA binding); GO:0006296 (nucleotide-excision repair, DNA incision, 5'-to lesion); GO:0019899 (enzyme binding); GO:0051307 (meiotic chromosome separation); GO:0061064 (negative regulation of nematode larval development); GO:1901255 (nucleotide-excision repair involved in interstrand cross-link repair); GO:0006974 (cellular response to DNA damage stimulus)</t>
  </si>
  <si>
    <t>GO:0016740 (transferase activity); GO:0016757 (transferase activity, transferring glycosyl groups); GO:0005788 (endoplasmic reticulum lumen); GO:0016262 (protein N-acetylglucosaminyltransferase activity); GO:0097370 (protein O-GlcNAcylation via threonine); GO:0018215 (protein phosphopantetheinylation)</t>
  </si>
  <si>
    <t xml:space="preserve">Germinal center kinase 1 </t>
  </si>
  <si>
    <t>GO:0004672 (protein kinase activity); GO:0006468 (protein phosphorylation); GO:0005524 (ATP binding); GO:0016301 (kinase activity); GO:0016310 (phosphorylation); GO:0000166 (nucleotide binding)</t>
  </si>
  <si>
    <t xml:space="preserve">FLP-2 receptor; FMRFamide Peptide Receptor family </t>
  </si>
  <si>
    <t xml:space="preserve">Arginyl(R) Amino-acyl tRNA Synthetase </t>
  </si>
  <si>
    <t>GO:0005524 (ATP binding); GO:0000166 (nucleotide binding); GO:0004812 (aminoacyl-tRNA ligase activity); GO:0006418 (tRNA aminoacylation for protein translation); GO:0016874 (ligase activity); GO:0005739 (mitochondrion); GO:0006412 (translation); GO:0032543 (mitochondrial translation); GO:0004814 (arginine-tRNA ligase activity); GO:0006420 (arginyl-tRNA aminoacylation)</t>
  </si>
  <si>
    <t xml:space="preserve">HoloCentric chromosome binding Protein </t>
  </si>
  <si>
    <t>GO:0051307 (meiotic chromosome separation); GO:0051257 (meiotic spindle midzone assembly); GO:0000776 (kinetochore); GO:0000212 (meiotic spindle organization); GO:0051316 (attachment of spindle microtubules to kinetochore involved in meiotic chromosome segregation); GO:0005515 (protein binding); GO:0008104 (protein localization); GO:0051306 (mitotic sister chromatid separation)</t>
  </si>
  <si>
    <t xml:space="preserve">Probable tRNA (uracil-O(2)-)-methyltransferase </t>
  </si>
  <si>
    <t>GO:0008168 (methyltransferase activity); GO:0032259 (methylation); GO:0046872 (metal ion binding); GO:0016740 (transferase activity); GO:0005737 (cytoplasm); GO:0008033 (tRNA processing); GO:0030488 (tRNA methylation); GO:0016300 (tRNA (uracil) methyltransferase activity)</t>
  </si>
  <si>
    <t xml:space="preserve">Probable peptide chain release factor 1, mitochondrial </t>
  </si>
  <si>
    <t>GO:0005739 (mitochondrion); GO:0006412 (translation); GO:0003747 (translation release factor activity); GO:0006415 (translational termination); GO:0070126 (mitochondrial translational termination)</t>
  </si>
  <si>
    <t xml:space="preserve">UBA (Human ubiquitin) related </t>
  </si>
  <si>
    <t>GO:0005634 (nucleus); GO:0005737 (cytoplasm); GO:0016567 (protein ubiquitination); GO:0000166 (nucleotide binding); GO:0006511 (ubiquitin-dependent protein catabolic process); GO:0016874 (ligase activity); GO:0005524 (ATP binding); GO:0006464 (cellular protein modification process); GO:0008641 (ubiquitin-like modifier activating enzyme activity); GO:0004839 (ubiquitin activating enzyme activity); GO:0006974 (cellular response to DNA damage stimulus); GO:0032446 (protein modification by small protein conjugation); GO:1901407 (regulation of phosphorylation of RNA polymerase II C-terminal domain); GO:0009792 (embryo development ending in birth or egg hatching); GO:0002119 (nematode larval development); GO:0007283 (spermatogenesis); GO:0045138 (nematode male tail tip morphogenesis); GO:0048477 (oogenesis); GO:0050905 (neuromuscular process); GO:0018215 (protein phosphopantetheinylation)</t>
  </si>
  <si>
    <t xml:space="preserve">Biofilm Absent on Head (After Yersinia exposure) </t>
  </si>
  <si>
    <t xml:space="preserve">Glycosyltransferase </t>
  </si>
  <si>
    <t>GO:0016020 (membrane); GO:0016021 (integral component of membrane); GO:0016740 (transferase activity); GO:0016757 (transferase activity, transferring glycosyl groups); GO:0006486 (protein glycosylation); GO:0097502 (mannosylation); GO:0000033 (alpha-1,3-mannosyltransferase activity); GO:0004378 (GDP-Man:Man1GlcNAc2-PP-Dol alpha-1,3-mannosyltransferase activity); GO:0005783 (endoplasmic reticulum); GO:0006490 (oligosaccharide-lipid intermediate biosynthetic process); GO:0033577 (protein glycosylation in endoplasmic reticulum); GO:0102704 (GDP-Man:Man2GlcNAc2-PP-dolichol alpha-1,6-mannosyltransferase activity)</t>
  </si>
  <si>
    <t>GO:0006629 (lipid metabolic process); GO:0008081 (phosphoric diester hydrolase activity)</t>
  </si>
  <si>
    <t xml:space="preserve">Histone deacetylase </t>
  </si>
  <si>
    <t xml:space="preserve">Uncharacterized F-box protein ZK328.6 </t>
  </si>
  <si>
    <t>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GO:0001708 (cell fate specification); GO:0005515 (protein binding); GO:0005634 (nucleus)</t>
  </si>
  <si>
    <t xml:space="preserve">TeTratriCopeptide repeat domain protein related </t>
  </si>
  <si>
    <t>GO:0051879 (Hsp90 protein binding); GO:0005515 (protein binding)</t>
  </si>
  <si>
    <t xml:space="preserve">Acetolactate synthase-like protein </t>
  </si>
  <si>
    <t>GO:0016020 (membrane); GO:0016021 (integral component of membrane); GO:0003824 (catalytic activity); GO:0046872 (metal ion binding); GO:0000287 (magnesium ion binding); GO:0016829 (lyase activity); GO:0006629 (lipid metabolic process); GO:0005783 (endoplasmic reticulum); GO:0005789 (endoplasmic reticulum membrane); GO:0050660 (flavin adenine dinucleotide binding); GO:0006631 (fatty acid metabolic process); GO:0030976 (thiamine pyrophosphate binding); GO:0009099 (valine biosynthetic process); GO:0001561 (fatty acid alpha-oxidation); GO:0003984 (acetolactate synthase activity); GO:0009097 (isoleucine biosynthetic process); GO:0005948 (acetolactate synthase complex)</t>
  </si>
  <si>
    <t xml:space="preserve">Receptor-type guanylate cyclase gcy-14 </t>
  </si>
  <si>
    <t xml:space="preserve">Glutamate receptor 2 </t>
  </si>
  <si>
    <t xml:space="preserve">GLoBin related; Globin </t>
  </si>
  <si>
    <t>GO:0007165 (signal transduction); GO:0050832 (defense response to fungus)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</si>
  <si>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GO:0005515 (protein binding); GO:0000978 (RNA polymerase II cis-regulatory region sequence-specific DNA binding); GO:0006357 (regulation of transcription by RNA polymerase II); GO:0030154 (cell differentiation); GO:0048856 (anatomical structure development); GO:0045944 (positive regulation of transcription by RNA polymerase II); GO:1904122 (positive regulation of fatty acid beta-oxidation by octopamine signaling pathway); GO:1904123 (positive regulation of fatty acid beta-oxidation by serotonin receptor signaling pathway)</t>
  </si>
  <si>
    <t xml:space="preserve">Non-lysosomal glucosylceramidase </t>
  </si>
  <si>
    <t>GO:0016020 (membrane); GO:0008152 (metabolic process); GO:0016787 (hydrolase activity); GO:0016798 (hydrolase activity, acting on glycosyl bonds); GO:0005975 (carbohydrate metabolic process); GO:0006629 (lipid metabolic process); GO:0004553 (hydrolase activity, hydrolyzing O-glycosyl compounds); GO:0008422 (beta-glucosidase activity); GO:0004348 (glucosylceramidase activity); GO:0006680 (glucosylceramide catabolic process)</t>
  </si>
  <si>
    <t>GO:0016301 (kinase activity); GO:0016310 (phosphorylation); GO:0016740 (transferase activity); GO:0005739 (mitochondrion); GO:0003951 (NAD+ kinase activity); GO:0019674 (NAD metabolic process); GO:0006741 (NADP biosynthetic process)</t>
  </si>
  <si>
    <t xml:space="preserve">Innexin-12 </t>
  </si>
  <si>
    <t xml:space="preserve">DNA replication licensing factor mcm-6 </t>
  </si>
  <si>
    <t>GO:0042555 (MCM complex); GO:0006270 (DNA replication initiation); GO:0032508 (DNA duplex unwinding); GO:0003678 (DNA helicase activity); GO:0006260 (DNA replication); GO:0005524 (ATP binding); GO:0005634 (nucleus); GO:0003677 (DNA binding)</t>
  </si>
  <si>
    <t xml:space="preserve">CRAL/TRIO and GOLD domain suppressor of activated Ras </t>
  </si>
  <si>
    <t xml:space="preserve">Mitochondrial genome maintenance exonuclease 1 </t>
  </si>
  <si>
    <t>GO:0005739 (mitochondrion); GO:0090305 (nucleic acid phosphodiester bond hydrolysis); GO:0004527 (exonuclease activity); GO:0006264 (mitochondrial DNA replication); GO:0008297 (single-stranded DNA exodeoxyribonuclease activity); GO:0006259 (DNA metabolic process)</t>
  </si>
  <si>
    <t xml:space="preserve">Multidrug resistance protein pgp-1 </t>
  </si>
  <si>
    <t>GO:0016887 (ATPase activity); GO:0042626 (ATPase-coupled transmembrane transporter activity); GO:0016021 (integral component of membrane); GO:0055085 (transmembrane transport); GO:0005524 (ATP binding)</t>
  </si>
  <si>
    <t xml:space="preserve">Clc-like protein 5 </t>
  </si>
  <si>
    <t>GO:0016020 (membrane); GO:0016021 (integral component of membrane); 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</t>
  </si>
  <si>
    <t xml:space="preserve">SERotonin/octopamine receptor family </t>
  </si>
  <si>
    <t>GO:0016020 (membrane); GO:0016021 (integral component of membrane); GO:0004930 (G protein-coupled receptor activity); GO:0007165 (signal transduction); GO:0007186 (G protein-coupled receptor signaling pathway); GO:0005887 (integral component of plasma membrane); GO:0071880 (adenylate cyclase-activating adrenergic receptor signaling pathway); GO:0004937 (alpha1-adrenergic receptor activity); GO:0007200 (phospholipase C-activating G protein-coupled receptor signaling pathway); GO:0007204 (positive regulation of cytosolic calcium ion concentration); GO:1901046 (positive regulation of oviposition); GO:0007267 (cell-cell signaling)</t>
  </si>
  <si>
    <t xml:space="preserve">LECT-2; LEukocyte cell-derived ChemoTaxin 2 (LECT-2) homolog </t>
  </si>
  <si>
    <t>GO:0005515 (protein binding); GO:0043204 (perikaryon); GO:0009986 (cell surface); GO:0005604 (basement membrane); GO:0048814 (regulation of dendrite morphogenesis); GO:1903859 (regulation of dendrite extension); GO:0071683 (sensory dendrite); GO:0060384 (innervation)</t>
  </si>
  <si>
    <t xml:space="preserve">MoRTal germline </t>
  </si>
  <si>
    <t>GO:0005634 (nucleus); GO:0003677 (DNA binding); GO:0090305 (nucleic acid phosphodiester bond hydrolysis); GO:0006303 (double-strand break repair via nonhomologous end joining); GO:0003684 (damaged DNA binding); GO:0043047 (single-stranded telomeric DNA binding); GO:0035312 (5'-3' exodeoxyribonuclease activity); GO:0000781 (chromosome, telomeric region); GO:0031848 (protection from non-homologous end joining at telomere); GO:0036297 (interstrand cross-link repair); GO:0000003 (reproduction); GO:0006289 (nucleotide-excision repair); GO:0007004 (telomere maintenance via telomerase); GO:0008408 (3'-5' exonuclease activity); GO:0003697 (single-stranded DNA binding)</t>
  </si>
  <si>
    <t xml:space="preserve">BLIstered cuticle </t>
  </si>
  <si>
    <t>GO:0016020 (membrane); GO:0016021 (integral component of membrane); GO:0042302 (structural constituent of cuticle); GO:0040002 (collagen and cuticulin-based cuticle development); GO:0042329 (structural constituent of collagen and cuticulin-based cuticle); GO:0030312 (external encapsulating structure)</t>
  </si>
  <si>
    <t xml:space="preserve">Tyramine receptor Ser-2 </t>
  </si>
  <si>
    <t>GO:0016020 (membrane); GO:0016021 (integral component of membrane); GO:0005886 (plasma membrane); GO:0004930 (G protein-coupled receptor activity); GO:0007165 (signal transduction); GO:0007186 (G protein-coupled receptor signaling pathway); GO:0005887 (integral component of plasma membrane); GO:0071880 (adenylate cyclase-activating adrenergic receptor signaling pathway); GO:0004989 (octopamine receptor activity); GO:0007211 (octopamine or tyramine signaling pathway); GO:0008226 (tyramine receptor activity); GO:0007212 (dopamine receptor signaling pathway); GO:0008227 (G protein-coupled amine receptor activity)</t>
  </si>
  <si>
    <t>GO:0006614 (SRP-dependent cotranslational protein targeting to membrane); GO:0045047 (protein targeting to ER); GO:0008312 (7S RNA binding); GO:0005786 (signal recognition particle, endoplasmic reticulum targeting); GO:0030942 (endoplasmic reticulum signal peptide binding)</t>
  </si>
  <si>
    <t xml:space="preserve">Troponin I 1 </t>
  </si>
  <si>
    <t>GO:0046872 (metal ion binding); GO:0003779 (actin binding); GO:0005861 (troponin complex); GO:0006936 (muscle contraction); GO:0043057 (backward locomotion); GO:0030172 (troponin C binding); GO:0005862 (muscle thin filament tropomyosin)</t>
  </si>
  <si>
    <t xml:space="preserve">Serine/threonine-protein kinase chk-1 </t>
  </si>
  <si>
    <t>GO:0000077 (DNA damage checkpoint); GO:0004672 (protein kinase activity); GO:0004674 (protein serine/threonine kinase activity); GO:0006468 (protein phosphorylation); GO:0005524 (ATP binding)</t>
  </si>
  <si>
    <t xml:space="preserve">ANGeL-like deadenylase </t>
  </si>
  <si>
    <t>GO:0090305 (nucleic acid phosphodiester bond hydrolysis); GO:0004527 (exonuclease activity); GO:0000175 (3'-5'-exoribonuclease activity); GO:0090503 (RNA phosphodiester bond hydrolysis, exonucleolytic)</t>
  </si>
  <si>
    <t>GO:0016020 (membrane); GO:0016021 (integral component of membrane); GO:0005886 (plasma membrane); GO:0032541 (cortical endoplasmic reticulum)</t>
  </si>
  <si>
    <t xml:space="preserve">Suppressor of aph-1 </t>
  </si>
  <si>
    <t>GO:0007275 (multicellular organism development); GO:0005515 (protein binding); GO:0007219 (Notch signaling pathway); GO:0005737 (cytoplasm); GO:0005938 (cell cortex); GO:0071987 (WD40-repeat domain binding); GO:0045746 (negative regulation of Notch signaling pathway); GO:0060625 (regulation of protein deneddylation); GO:0032154 (cleavage furrow)</t>
  </si>
  <si>
    <t>GO:0016020 (membrane); GO:0016021 (integral component of membrane); GO:0005886 (plasma membrane); GO:0005794 (Golgi apparatus); GO:0005783 (endoplasmic reticulum)</t>
  </si>
  <si>
    <t>GO:0005886 (plasma membrane); GO:0016020 (membrane); GO:0005783 (endoplasmic reticulum); GO:0004467 (long-chain fatty acid-CoA ligase activity); GO:0030182 (neuron differentiation); GO:0005811 (lipid droplet); GO:0035336 (long-chain fatty-acyl-CoA metabolic process); GO:0001676 (long-chain fatty acid metabolic process)</t>
  </si>
  <si>
    <t xml:space="preserve">Dipeptidyl Peptidase Four (IV) family </t>
  </si>
  <si>
    <t xml:space="preserve">Leucine-rich repeat-containing protein let-4 </t>
  </si>
  <si>
    <t xml:space="preserve">N-terminal PAX (PAI domain only) protein </t>
  </si>
  <si>
    <t>GO:0003677 (DNA binding); GO:0005634 (nucleus);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GO:0048856 (anatomical structure development)</t>
  </si>
  <si>
    <t>GO:0005634 (nucleus); GO:0008270 (zinc ion binding); GO:0016814 (hydrolase activity, acting on carbon-nitrogen (but not peptide) bonds, in cyclic amidines)</t>
  </si>
  <si>
    <t xml:space="preserve">ETS class transcription factor </t>
  </si>
  <si>
    <t xml:space="preserve">MLH (MutL Homolog) family </t>
  </si>
  <si>
    <t>GO:0005524 (ATP binding); GO:0005634 (nucleus); GO:0006298 (mismatch repair); GO:0030983 (mismatched DNA binding); GO:0016887 (ATPase activity); GO:0005515 (protein binding); GO:0006974 (cellular response to DNA damage stimulus); GO:0032300 (mismatch repair complex); GO:0032389 (MutLalpha complex)</t>
  </si>
  <si>
    <t xml:space="preserve">Nuclear hormone receptor family member nhr-62 </t>
  </si>
  <si>
    <t>GO:0016787 (hydrolase activity); GO:0006629 (lipid metabolic process); GO:0016042 (lipid catabolic process); GO:0016788 (hydrolase activity, acting on ester bonds)</t>
  </si>
  <si>
    <t xml:space="preserve">I Kappa B homolog; IKB-1 </t>
  </si>
  <si>
    <t>GO:0007165 (signal transduction); GO:0005515 (protein binding); GO:0005737 (cytoplasm); GO:0050829 (defense response to Gram-negative bacterium)</t>
  </si>
  <si>
    <t xml:space="preserve">Ubiquitin carboxyl-terminal hydrolase 14 </t>
  </si>
  <si>
    <t>GO:0005634 (nucleus); GO:0016787 (hydrolase activity); GO:0006511 (ubiquitin-dependent protein catabolic process); GO:0006508 (proteolysis); GO:0008233 (peptidase activity); GO:0016579 (protein deubiquitination); GO:0008234 (cysteine-type peptidase activity); GO:0043161 (proteasome-mediated ubiquitin-dependent protein catabolic process); GO:0000502 (proteasome complex); GO:0004843 (thiol-dependent ubiquitin-specific protease activity); GO:0005515 (protein binding)</t>
  </si>
  <si>
    <t>GO:0005576 (extracellular region); GO:0003674 (molecular_function)</t>
  </si>
  <si>
    <t xml:space="preserve">PSF (Yeast Partner of Sld Five) conserved replication factor, GINS complex </t>
  </si>
  <si>
    <t>GO:0005634 (nucleus); GO:0006260 (DNA replication); GO:1902975 (mitotic DNA replication initiation); GO:0000811 (GINS complex)</t>
  </si>
  <si>
    <t>GO:0016787 (hydrolase activity); GO:0052689 (carboxylic ester hydrolase activity)</t>
  </si>
  <si>
    <t xml:space="preserve">Tyramine receptor tyra-2 </t>
  </si>
  <si>
    <t xml:space="preserve">CLaudin-like in Caenorhabditis </t>
  </si>
  <si>
    <t>GO:0016020 (membrane); GO:0016021 (integral component of membrane); GO:0005886 (plasma membrane); GO:0090136 (epithelial cell-cell adhesion)</t>
  </si>
  <si>
    <t xml:space="preserve">tRNA (guanine-N(7)-)-methyltransferase </t>
  </si>
  <si>
    <t>GO:0005634 (nucleus); GO:0008168 (methyltransferase activity); GO:0032259 (methylation); GO:0016740 (transferase activity); GO:0003723 (RNA binding); GO:0008033 (tRNA processing); GO:0030488 (tRNA methylation); GO:0000049 (tRNA binding); GO:0005575 (cellular_component); GO:0006400 (tRNA modification); GO:0008176 (tRNA (guanine-N7-)-methyltransferase activity); GO:0036265 (RNA (guanine-N7)-methylation); GO:0106004 (tRNA (guanine-N7)-methylation); GO:0043527 (tRNA methyltransferase complex)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</si>
  <si>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GO:0018107 (peptidyl-threonine phosphorylation)</t>
  </si>
  <si>
    <t>GO:0060465 (pharynx development)</t>
  </si>
  <si>
    <t xml:space="preserve">X-box Binding Protein homolog; X-box binding protein unprocessed isoform </t>
  </si>
  <si>
    <t>GO:0003700 (DNA-binding transcription factor activity); GO:0006355 (regulation of transcription, DNA-templated); GO:0006990 (positive regulation of transcription from RNA polymerase II promoter involved in unfolded protein response)</t>
  </si>
  <si>
    <t xml:space="preserve">Embryonic developmental protein tofu-6 </t>
  </si>
  <si>
    <t>GO:0005634 (nucleus); GO:0005737 (cytoplasm); GO:0003676 (nucleic acid binding); GO:0003723 (RNA binding); GO:0007275 (multicellular organism development); GO:0005515 (protein binding); GO:0007049 (cell cycle); GO:0006260 (DNA replication); GO:0031047 (gene silencing by RNA); GO:0051301 (cell division); GO:0051781 (positive regulation of cell division); GO:0007059 (chromosome segregation); GO:0048471 (perinuclear region of cytoplasm); GO:0003674 (molecular_function); GO:0051984 (positive regulation of chromosome segregation); GO:0009792 (embryo development ending in birth or egg hatching); GO:0051306 (mitotic sister chromatid separation); GO:0040016 (embryonic cleavage); GO:1990511 (piRNA biosynthetic process)</t>
  </si>
  <si>
    <t xml:space="preserve">TWiK family of potassium channels protein 9 </t>
  </si>
  <si>
    <t>GO:0016020 (membrane); GO:0016021 (integral component of membrane); GO:0022857 (transmembrane transporter activity); GO:0055085 (transmembrane transport); GO:0005886 (plasma membrane)</t>
  </si>
  <si>
    <t xml:space="preserve">Inorganic pyrophosphatase 1 </t>
  </si>
  <si>
    <t>GO:0006796 (phosphate-containing compound metabolic process); GO:0004427 (inorganic diphosphatase activity); GO:0005737 (cytoplasm); GO:0000287 (magnesium ion binding)</t>
  </si>
  <si>
    <t xml:space="preserve">Lysozyme-like protein 3 </t>
  </si>
  <si>
    <t xml:space="preserve">Checkpoint protein </t>
  </si>
  <si>
    <t>GO:0005515 (protein binding); GO:0000723 (telomere maintenance); GO:0000077 (DNA damage checkpoint); GO:0030896 (checkpoint clamp complex); GO:0000724 (double-strand break repair via homologous recombination); GO:0006289 (nucleotide-excision repair); GO:0005730 (nucleolus); GO:0031573 (intra-S DNA damage checkpoint); GO:0033314 (mitotic DNA replication checkpoint); GO:0035861 (site of double-strand break); GO:0044778 (meiotic DNA integrity checkpoint); GO:0009792 (embryo development ending in birth or egg hatching); GO:0005634 (nucleus); GO:0043073 (germ cell nucleus); GO:0008340 (determination of adult lifespan); GO:0000785 (chromatin); GO:0007059 (chromosome segregation); GO:0008630 (intrinsic apoptotic signaling pathway in response to DNA damage)</t>
  </si>
  <si>
    <t>GO:0016020 (membrane); GO:0016021 (integral component of membrane); GO:0005634 (nucleus); GO:0046872 (metal ion binding); GO:0006355 (regulation of transcription, DNA-templated); GO:0008270 (zinc ion binding); GO:0004879 (nuclear receptor activity); GO:0030522 (intracellular receptor signaling pathway); GO:0000978 (RNA polymerase II cis-regulatory region sequence-specific DNA binding); GO:0006357 (regulation of transcription by RNA polymerase II); GO:0030154 (cell differentiation); GO:0048856 (anatomical structure development); GO:0003700 (DNA-binding transcription factor activity); GO:0043565 (sequence-specific DNA binding); GO:0003677 (DNA binding)</t>
  </si>
  <si>
    <t>GO:0005634 (nucleus); GO:0005737 (cytoplasm); GO:0016567 (protein ubiquitination); GO:0042802 (identical protein binding); GO:0031625 (ubiquitin protein ligase binding); GO:0019941 (modification-dependent protein catabolic process); GO:0031386 (protein tag); GO:0005515 (protein binding)</t>
  </si>
  <si>
    <t xml:space="preserve">Serine/threonine kinase SAD-1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</si>
  <si>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GO:0046872 (metal ion binding); GO:0000166 (nucleotide binding); GO:0016740 (transferase activity); GO:0035556 (intracellular signal transduction); GO:0030054 (cell junction); GO:0045202 (synapse); GO:0007399 (nervous system development); GO:0007409 (axonogenesis); GO:0030010 (establishment of cell polarity); GO:0042149 (cellular response to glucose starvation); GO:0050321 (tau-protein kinase activity); GO:0005515 (protein binding); GO:0048489 (synaptic vesicle transport); GO:0030424 (axon); GO:0030516 (regulation of axon extension); GO:0007411 (axon guidance); GO:0050808 (synapse organization); GO:0030425 (dendrite); GO:0007416 (synapse assembly); GO:0007163 (establishment or maintenance of cell polarity); GO:0008088 (axo-dendritic transport); GO:0018105 (peptidyl-serine phosphorylation); GO:0034613 (cellular protein localization); GO:0106310 (protein serine kinase activity); GO:0106311 (protein threonine kinase activity)</t>
  </si>
  <si>
    <t xml:space="preserve">LAMinin related. See also lmb; Laminin alpha chain </t>
  </si>
  <si>
    <t>GO:0009888 (tissue development); GO:0007411 (axon guidance); GO:0005604 (basement membrane); GO:0009887 (animal organ morphogenesis)</t>
  </si>
  <si>
    <t xml:space="preserve">Probable peptidylglycine alpha-hydroxylating monooxygenase 1 </t>
  </si>
  <si>
    <t>GO:0006518 (peptide metabolic process); GO:0016715 (oxidoreductase activity, acting on paired donors, with incorporation or reduction of molecular oxygen, reduced ascorbate as one donor, and incorporation of one atom of oxygen); GO:0005507 (copper ion binding); GO:0004497 (monooxygenase activity); GO:0055114 (oxidation-reduction process); GO:0003824 (catalytic activity); GO:0016020 (membrane)</t>
  </si>
  <si>
    <t>GO:0005524 (ATP binding); GO:0000166 (nucleotide binding); GO:0016874 (ligase activity); GO:0006730 (one-carbon metabolic process); GO:0035999 (tetrahydrofolate interconversion); GO:0004329 (formate-tetrahydrofolate ligase activity)</t>
  </si>
  <si>
    <t>GO:0016491 (oxidoreductase activity); GO:0016620 (oxidoreductase activity, acting on the aldehyde or oxo group of donors, NAD or NADP as acceptor); GO:0004029 (aldehyde dehydrogenase (NAD+) activity); GO:0019145 (aminobutyraldehyde dehydrogenase activity); GO:0047105 (4-trimethylammoniobutyraldehyde dehydrogenase activity); GO:0055114 (oxidation-reduction process)</t>
  </si>
  <si>
    <t xml:space="preserve">Wings apart-like protein homolog 1 </t>
  </si>
  <si>
    <t>GO:0005634 (nucleus); GO:0006281 (DNA repair); GO:0006974 (cellular response to DNA damage stimulus); GO:0051321 (meiotic cell cycle); GO:0060623 (regulation of chromosome condensation); GO:0071922 (regulation of cohesin loading); GO:0043073 (germ cell nucleus); GO:0045875 (negative regulation of sister chromatid cohesion); GO:0071923 (negative regulation of cohesin loading); GO:1905168 (positive regulation of double-strand break repair via homologous recombination)</t>
  </si>
  <si>
    <t xml:space="preserve">Leucine-Rich Repeat protein </t>
  </si>
  <si>
    <t>GO:0005515 (protein binding); GO:0005634 (nucleus); GO:0031462 (Cul2-RING ubiquitin ligase complex); GO:0033314 (mitotic DNA replication checkpoint)</t>
  </si>
  <si>
    <t xml:space="preserve">GTP-binding protein Rheb homolog 1 </t>
  </si>
  <si>
    <t>GO:0016020 (membrane); GO:0003924 (GTPase activity); GO:0005525 (GTP binding); GO:0005886 (plasma membrane); GO:0046872 (metal ion binding); GO:0000166 (nucleotide binding); GO:0007165 (signal transduction); GO:0003674 (molecular_function); GO:0005575 (cellular_component); GO:0007264 (small GTPase mediated signal transduction); GO:0019003 (GDP binding); GO:0032008 (positive regulation of TOR signaling)</t>
  </si>
  <si>
    <t xml:space="preserve">Thymidylate synthase </t>
  </si>
  <si>
    <t>GO:0008168 (methyltransferase activity); GO:0032259 (methylation); GO:0016740 (transferase activity); GO:0005739 (mitochondrion); GO:0005829 (cytosol); GO:0006231 (dTMP biosynthetic process); GO:0009165 (nucleotide biosynthetic process); GO:0004799 (thymidylate synthase activity)</t>
  </si>
  <si>
    <t xml:space="preserve">Homeobox protein ceh-20 </t>
  </si>
  <si>
    <t>GO:0000981 (DNA-binding transcription factor activity, RNA polymerase II-specific); GO:0003700 (DNA-binding transcription factor activity); GO:0005634 (nucleus); GO:0006355 (regulation of transcription, DNA-templated); GO:0003677 (DNA binding)</t>
  </si>
  <si>
    <t xml:space="preserve">Glutathione peroxidase </t>
  </si>
  <si>
    <t>GO:0016491 (oxidoreductase activity); GO:0098869 (cellular oxidant detoxification); GO:0004601 (peroxidase activity); GO:0004602 (glutathione peroxidase activity); GO:0006979 (response to oxidative stress); GO:0005615 (extracellular space); GO:0000302 (response to reactive oxygen species); GO:0055114 (oxidation-reduction process)</t>
  </si>
  <si>
    <t>GO:0003677 (DNA binding); GO:0005634 (nucleus); GO:0006355 (regulation of transcription, DNA-templated); GO:0000977 (RNA polymerase II transcription regulatory region sequence-specific DNA binding); GO:0000981 (DNA-binding transcription factor activity, RNA polymerase II-specific); GO:0006357 (regulation of transcription by RNA polymerase II); GO:0045944 (positive regulation of transcription by RNA polymerase II); GO:0048665 (neuron fate specification)</t>
  </si>
  <si>
    <t xml:space="preserve">Bestrophin homolog 22 </t>
  </si>
  <si>
    <t xml:space="preserve">Alanine--tRNA ligase, cytoplasmic </t>
  </si>
  <si>
    <t>GO:0005524 (ATP binding); GO:0000166 (nucleotide binding); GO:0004812 (aminoacyl-tRNA ligase activity); GO:0046872 (metal ion binding); GO:0016874 (ligase activity); GO:0005737 (cytoplasm); GO:0005739 (mitochondrion); GO:0006412 (translation); GO:0003676 (nucleic acid binding); GO:0003723 (RNA binding); GO:0008270 (zinc ion binding); GO:0000049 (tRNA binding); GO:0043039 (tRNA aminoacylation); GO:0106074 (aminoacyl-tRNA metabolism involved in translational fidelity); GO:0006400 (tRNA modification); GO:0004813 (alanine-tRNA ligase activity); GO:0006419 (alanyl-tRNA aminoacylation); GO:0016597 (amino acid binding); GO:0002161 (aminoacyl-tRNA editing activity)</t>
  </si>
  <si>
    <t xml:space="preserve">Zinc finger transcription factor family protein 17 </t>
  </si>
  <si>
    <t>GO:0005515 (protein binding); GO:0000978 (RNA polymerase II cis-regulatory region sequence-specific DNA binding); GO:0005667 (transcription regulator complex); GO:0000981 (DNA-binding transcription factor activity, RNA polymerase II-specific); GO:0006357 (regulation of transcription by RNA polymerase II); GO:0031519 (PcG protein complex); GO:0000977 (RNA polymerase II transcription regulatory region sequence-specific DNA binding)</t>
  </si>
  <si>
    <t>GO:0003723 (RNA binding); GO:0071013 (catalytic step 2 spliceosome); GO:0034470 (ncRNA processing)</t>
  </si>
  <si>
    <t xml:space="preserve">COlmedin (Collagen plus olFactomedin) family; Collagen/olfactomedin domain containing protein 2 </t>
  </si>
  <si>
    <t xml:space="preserve">Metal transporter cnnm-4 </t>
  </si>
  <si>
    <t>GO:0005509 (calcium ion binding); GO:0004571 (mannosyl-oligosaccharide 1,2-alpha-mannosidase activity); GO:0008152 (metabolic process); GO:0016020 (membrane); GO:0016787 (hydrolase activity); GO:0016798 (hydrolase activity, acting on glycosyl bonds); GO:0005975 (carbohydrate metabolic process); GO:1904382 (mannose trimming involved in glycoprotein ERAD pathway); GO:1904380 (endoplasmic reticulum mannose trimming); GO:0044322 (endoplasmic reticulum quality control compartment)</t>
  </si>
  <si>
    <t xml:space="preserve">Nucleoside-triphosphatase ntp-1 </t>
  </si>
  <si>
    <t xml:space="preserve">Xylosyltransferase sqv-6 </t>
  </si>
  <si>
    <t>GO:0016020 (membrane); GO:0016021 (integral component of membrane); GO:0046872 (metal ion binding); GO:0016740 (transferase activity); GO:0000139 (Golgi membrane); GO:0005794 (Golgi apparatus); GO:0016757 (transferase activity, transferring glycosyl groups); GO:0007275 (multicellular organism development); GO:0005783 (endoplasmic reticulum); GO:0005789 (endoplasmic reticulum membrane); GO:0015012 (heparan sulfate proteoglycan biosynthetic process); GO:0050650 (chondroitin sulfate proteoglycan biosynthetic process); GO:0030206 (chondroitin sulfate biosynthetic process); GO:0030158 (protein xylosyltransferase activity); GO:0030166 (proteoglycan biosynthetic process); GO:0018991 (oviposition); GO:0000003 (reproduction); GO:0040025 (vulval development); GO:0002009 (morphogenesis of an epithelium); GO:0030210 (heparin biosynthetic process); GO:0033319 (UDP-D-xylose metabolic process); GO:0018215 (protein phosphopantetheinylation)</t>
  </si>
  <si>
    <t xml:space="preserve">SART-3/p110 homolog </t>
  </si>
  <si>
    <t>GO:0005634 (nucleus); GO:0003676 (nucleic acid binding); GO:0003723 (RNA binding); GO:0006396 (RNA processing); GO:0006397 (mRNA processing); GO:0008380 (RNA splicing); GO:0005654 (nucleoplasm); GO:0001731 (formation of translation preinitiation complex); GO:0043024 (ribosomal small subunit binding); GO:0030621 (U4 snRNA binding); GO:0005515 (protein binding); GO:0033592 (RNA strand annealing activity); GO:0034057 (RNA strand-exchange activity); GO:0097010 (eukaryotic translation initiation factor 4F complex assembly)</t>
  </si>
  <si>
    <t>GO:0016791 (phosphatase activity); GO:0046856 (phosphatidylinositol dephosphorylation); GO:0005769 (early endosome); GO:0043812 (phosphatidylinositol-4-phosphate phosphatase activity); GO:0045334 (clathrin-coated endocytic vesicle); GO:2001135 (regulation of endocytic recycling); GO:0042578 (phosphoric ester hydrolase activity)</t>
  </si>
  <si>
    <t xml:space="preserve">Oxysterol-binding protein </t>
  </si>
  <si>
    <t>GO:0016020 (membrane); GO:0043231 (intracellular membrane-bounded organelle); GO:0005829 (cytosol); GO:0008289 (lipid binding); GO:0006869 (lipid transport); GO:0032934 (sterol binding); GO:0005516 (calmodulin binding); GO:0015248 (sterol transporter activity); GO:0015918 (sterol transport)</t>
  </si>
  <si>
    <t>GO:0016020 (membrane); GO:0016021 (integral component of membrane); GO:0005789 (endoplasmic reticulum membrane); GO:0006486 (protein glycosylation); GO:0005783 (endoplasmic reticulum); GO:0016765 (transferase activity, transferring alkyl or aryl (other than methyl) groups); GO:0019408 (dolichol biosynthetic process); GO:1904423 (dehydrodolichyl diphosphate synthase complex); GO:0045547 (dehydrodolichyl diphosphate synthase activity)</t>
  </si>
  <si>
    <t>GO:0016020 (membrane); GO:0016021 (integral component of membrane); GO:0003333 (amino acid transmembrane transport); GO:0015171 (amino acid transmembrane transporter activity)</t>
  </si>
  <si>
    <t>GO:0034198 (cellular response to amino acid starvation); GO:0010507 (negative regulation of autophagy); GO:0070513 (death domain binding); GO:0097190 (apoptotic signaling pathway)</t>
  </si>
  <si>
    <t>Putative N(4)-(beta-N-acetylglucosaminyl)-L-asparaginase Glycosylasparaginase alpha chain Glycosylasparaginase beta chain</t>
  </si>
  <si>
    <t>GO:0005764 (lysosome); GO:0005737 (cytoplasm); GO:0016787 (hydrolase activity); GO:0006508 (proteolysis); GO:0008233 (peptidase activity); GO:0006517 (protein deglycosylation); GO:0003948 (N4-(beta-N-acetylglucosaminyl)-L-asparaginase activity)</t>
  </si>
  <si>
    <t xml:space="preserve">Mechanosensory protein 2 </t>
  </si>
  <si>
    <t>GO:0005886 (plasma membrane); GO:0016020 (membrane); GO:0016021 (integral component of membrane); GO:0007638 (mechanosensory behavior); GO:0009612 (response to mechanical stimulus); GO:0043005 (neuron projection); GO:0032589 (neuron projection membrane)</t>
  </si>
  <si>
    <t>GO:0030246 (carbohydrate binding); GO:0005737 (cytoplasm)</t>
  </si>
  <si>
    <t>GO:0005634 (nucleus); GO:0003676 (nucleic acid binding); GO:0090305 (nucleic acid phosphodiester bond hydrolysis); GO:0004527 (exonuclease activity)</t>
  </si>
  <si>
    <t>GO:0003723 (RNA binding); GO:0001522 (pseudouridine synthesis); GO:0009451 (RNA modification); GO:0009982 (pseudouridine synthase activity)</t>
  </si>
  <si>
    <t>GO:0016020 (membrane); GO:0016021 (integral component of membrane); GO:0046872 (metal ion binding); GO:0016740 (transferase activity); GO:0016567 (protein ubiquitination); GO:0061630 (ubiquitin protein ligase activity); GO:0005783 (endoplasmic reticulum); GO:0005789 (endoplasmic reticulum membrane)</t>
  </si>
  <si>
    <t xml:space="preserve">ELongin C </t>
  </si>
  <si>
    <t>GO:0006511 (ubiquitin-dependent protein catabolic process); GO:0070449 (elongin complex)</t>
  </si>
  <si>
    <t xml:space="preserve">Metalloprotease TIKI homolog </t>
  </si>
  <si>
    <t>GO:0016020 (membrane); GO:0016021 (integral component of membrane); GO:0016787 (hydrolase activity); GO:0046872 (metal ion binding); GO:0004222 (metalloendopeptidase activity); GO:0006508 (proteolysis); GO:0008233 (peptidase activity); GO:0008237 (metallopeptidase activity); GO:0030178 (negative regulation of Wnt signaling pathway); GO:0003674 (molecular_function); GO:0005575 (cellular_component); GO:0008150 (biological_process); GO:0004175 (endopeptidase activity)</t>
  </si>
  <si>
    <t xml:space="preserve">KH domain-containing protein C06G4.1 </t>
  </si>
  <si>
    <t>GO:0005634 (nucleus); GO:0005737 (cytoplasm); GO:0003723 (RNA binding); GO:0003676 (nucleic acid binding); GO:0003729 (mRNA binding); GO:0006357 (regulation of transcription by RNA polymerase II); GO:0010468 (regulation of gene expression); GO:0048024 (regulation of mRNA splicing, via spliceosome)</t>
  </si>
  <si>
    <t>GO:0006325 (chromatin organization); GO:0006351 (transcription, DNA-templated); GO:0005515 (protein binding); GO:0005634 (nucleus); GO:0006355 (regulation of transcription, DNA-templated)</t>
  </si>
  <si>
    <t xml:space="preserve">DEGenerin-related Touch-involved channel </t>
  </si>
  <si>
    <t>GO:0008168 (methyltransferase activity); GO:0032259 (methylation); GO:0016740 (transferase activity); GO:0005739 (mitochondrion); GO:0006412 (translation); GO:0003735 (structural constituent of ribosome); GO:0005763 (mitochondrial small ribosomal subunit)</t>
  </si>
  <si>
    <t>GO:0016020 (membrane); GO:0016021 (integral component of membrane); GO:0005615 (extracellular space); GO:0050728 (negative regulation of inflammatory response)</t>
  </si>
  <si>
    <t xml:space="preserve">Probable glutathione S-transferase 7 </t>
  </si>
  <si>
    <t>GO:0006749 (glutathione metabolic process); GO:0005515 (protein binding)</t>
  </si>
  <si>
    <t xml:space="preserve">SYM-1 protein </t>
  </si>
  <si>
    <t>GO:0005615 (extracellular space); GO:0005515 (protein binding)</t>
  </si>
  <si>
    <t xml:space="preserve">SAND endocytosis protein family </t>
  </si>
  <si>
    <t>GO:0016020 (membrane); GO:0016021 (integral component of membrane); GO:0016192 (vesicle-mediated transport); GO:0005515 (protein binding); GO:0005829 (cytosol); GO:2000643 (positive regulation of early endosome to late endosome transport); GO:0032510 (endosome to lysosome transport via multivesicular body sorting pathway); GO:0009792 (embryo development ending in birth or egg hatching); GO:0002119 (nematode larval development); GO:0005737 (cytoplasm); GO:0040017 (positive regulation of locomotion); GO:0032880 (regulation of protein localization); GO:0010171 (body morphogenesis); GO:0005769 (early endosome); GO:0090386 (phagosome maturation involved in apoptotic cell clearance); GO:0006623 (protein targeting to vacuole); GO:0045022 (early endosome to late endosome transport)</t>
  </si>
  <si>
    <t xml:space="preserve">Serine Rich Adhesion Protein-like </t>
  </si>
  <si>
    <t xml:space="preserve">InTestinal NeureXin-like </t>
  </si>
  <si>
    <t>GO:0016020 (membrane); GO:0016021 (integral component of membrane); GO:0016323 (basolateral plasma membrane); GO:0005912 (adherens junction)</t>
  </si>
  <si>
    <t xml:space="preserve">Transcription factor unc-86 </t>
  </si>
  <si>
    <t>GO:0003677 (DNA binding); GO:0005634 (nucleus); 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GO:0007399 (nervous system development); GO:0007608 (sensory perception of smell); GO:0050896 (response to stimulus); GO:0000977 (RNA polymerase II transcription regulatory region sequence-specific DNA binding); GO:0007638 (mechanosensory behavior); GO:0009612 (response to mechanical stimulus); GO:0045944 (positive regulation of transcription by RNA polymerase II); GO:0043565 (sequence-specific DNA binding); GO:0008134 (transcription factor binding); GO:0048666 (neuron development); GO:0048665 (neuron fate specification); GO:0090575 (RNA polymerase II transcription regulator complex)</t>
  </si>
  <si>
    <t xml:space="preserve">Zinc metalloproteinase nas-23 </t>
  </si>
  <si>
    <t xml:space="preserve">Polyadenylation and cleavage factor homolog 11 </t>
  </si>
  <si>
    <t>GO:0015031 (protein transport); GO:0005768 (endosome); GO:0032456 (endocytic recycling)</t>
  </si>
  <si>
    <t xml:space="preserve">DNA polymerase delta catalytic subunit </t>
  </si>
  <si>
    <t>GO:0016787 (hydrolase activity); GO:0000166 (nucleotide binding); GO:0003677 (DNA binding); GO:0005634 (nucleus); GO:0046872 (metal ion binding); GO:0016740 (transferase activity); GO:0003676 (nucleic acid binding); GO:0016779 (nucleotidyltransferase activity); GO:0003887 (DNA-directed DNA polymerase activity); GO:0006260 (DNA replication); GO:0090305 (nucleic acid phosphodiester bond hydrolysis); GO:0006261 (DNA-dependent DNA replication); GO:0071897 (DNA biosynthetic process); GO:0004518 (nuclease activity); GO:0004527 (exonuclease activity); GO:0008296 (3'-5'-exodeoxyribonuclease activity); GO:0051536 (iron-sulfur cluster binding); GO:0051539 (4 iron, 4 sulfur cluster binding); GO:0006287 (base-excision repair, gap-filling); GO:0006297 (nucleotide-excision repair, DNA gap filling); GO:0045004 (DNA replication proofreading); GO:0043625 (delta DNA polymerase complex)</t>
  </si>
  <si>
    <t>GO:0008092 (cytoskeletal protein binding); GO:0005515 (protein binding); GO:0005737 (cytoplasm); GO:0040011 (locomotion); GO:0005863 (striated muscle myosin thick filament); GO:0071688 (striated muscle myosin thick filament assembly); GO:0031430 (M band); GO:0051493 (regulation of cytoskeleton organization); GO:0017022 (myosin binding)</t>
  </si>
  <si>
    <t xml:space="preserve">PleXin Domain containing </t>
  </si>
  <si>
    <t xml:space="preserve">Proteasome subunit alpha type-4 </t>
  </si>
  <si>
    <t>GO:0003676 (nucleic acid binding); GO:0006139 (nucleobase-containing compound metabolic process); GO:0090305 (nucleic acid phosphodiester bond hydrolysis); GO:0004527 (exonuclease activity); GO:0008408 (3'-5' exonuclease activity); GO:0005783 (endoplasmic reticulum)</t>
  </si>
  <si>
    <t xml:space="preserve">DNA polymerase theta </t>
  </si>
  <si>
    <t>GO:0006261 (DNA-dependent DNA replication); GO:0003887 (DNA-directed DNA polymerase activity); GO:0006260 (DNA replication); GO:0003676 (nucleic acid binding); GO:0005524 (ATP binding); GO:0003677 (DNA binding)</t>
  </si>
  <si>
    <t xml:space="preserve">DNA damage-binding protein 1 </t>
  </si>
  <si>
    <t>GO:0006281 (DNA repair); GO:0003676 (nucleic acid binding); GO:0005515 (protein binding); GO:0005634 (nucleus)</t>
  </si>
  <si>
    <t xml:space="preserve">FMRFamide Peptide Receptor family </t>
  </si>
  <si>
    <t xml:space="preserve">Serine/threonine-protein kinase dyf-5 </t>
  </si>
  <si>
    <t xml:space="preserve">Serpentine receptor class alpha-6 </t>
  </si>
  <si>
    <t>GO:0016020 (membrane); GO:0016021 (integral component of membrane); GO:0007606 (sensory perception of chemical stimulus); GO:0004930 (G protein-coupled receptor activity); GO:0004984 (olfactory receptor activity); GO:0050907 (detection of chemical stimulus involved in sensory perception); GO:0050911 (detection of chemical stimulus involved in sensory perception of smell); GO:0007186 (G protein-coupled receptor signaling pathway); GO:0005929 (cilium)</t>
  </si>
  <si>
    <t>GO:0016020 (membrane); GO:0016021 (integral component of membrane); GO:0016740 (transferase activity); GO:0016747 (transferase activity, transferring acyl groups other than amino-acyl groups); GO:0033692 (cellular polysaccharide biosynthetic process)</t>
  </si>
  <si>
    <t xml:space="preserve">CRAL-TRIO domain-containing protein T23G5.2 </t>
  </si>
  <si>
    <t xml:space="preserve">Steroidogenic acute regulatory-like protein 1 </t>
  </si>
  <si>
    <t>GO:0016020 (membrane); GO:0016021 (integral component of membrane); GO:0016740 (transferase activity); GO:0006629 (lipid metabolic process); GO:0006631 (fatty acid metabolic process); GO:0006633 (fatty acid biosynthetic process); GO:0009922 (fatty acid elongase activity); GO:0019367 (fatty acid elongation, saturated fatty acid); GO:0030148 (sphingolipid biosynthetic process); GO:0030176 (integral component of endoplasmic reticulum membrane); GO:0034625 (fatty acid elongation, monounsaturated fatty acid); GO:0034626 (fatty acid elongation, polyunsaturated fatty acid); GO:0042761 (very long-chain fatty acid biosynthetic process); GO:0102336 (3-oxo-arachidoyl-CoA synthase activity); GO:0102337 (3-oxo-cerotoyl-CoA synthase activity); GO:0102338 (3-oxo-lignoceronyl-CoA synthase activity); GO:0102756 (very-long-chain 3-ketoacyl-CoA synthase activity); GO:0035264 (multicellular organism growth); GO:0000003 (reproduction); GO:0008340 (determination of adult lifespan); GO:0010468 (regulation of gene expression)</t>
  </si>
  <si>
    <t xml:space="preserve">DNA polymerase eta; POLH (DNA polymerase eta) homolog </t>
  </si>
  <si>
    <t>GO:0005634 (nucleus); GO:0006281 (DNA repair); GO:0042276 (error-prone translesion synthesis); GO:0009314 (response to radiation); GO:0003684 (damaged DNA binding); GO:0035861 (site of double-strand break); GO:0005657 (replication fork); GO:0003887 (DNA-directed DNA polymerase activity); GO:0009792 (embryo development ending in birth or egg hatching); GO:0005515 (protein binding); GO:0000003 (reproduction); GO:1904290 (negative regulation of mitotic DNA damage checkpoint)</t>
  </si>
  <si>
    <t xml:space="preserve">EXOSome (Multiexonuclease complex) component </t>
  </si>
  <si>
    <t>GO:0005730 (nucleolus); GO:0000176 (nuclear exosome (RNase complex)); GO:0000177 (cytoplasmic exosome (RNase complex)); GO:0016075 (rRNA catabolic process); GO:0034427 (nuclear-transcribed mRNA catabolic process, exonucleolytic, 3'-5'); GO:0034475 (U4 snRNA 3'-end processing); GO:0071028 (nuclear mRNA surveillance); GO:0071051 (polyadenylation-dependent snoRNA 3'-end processing)</t>
  </si>
  <si>
    <t>GO:0005634 (nucleus); GO:0008168 (methyltransferase activity); GO:0032259 (methylation); GO:0016740 (transferase activity); GO:0005654 (nucleoplasm); GO:0000049 (tRNA binding); GO:0005739 (mitochondrion); GO:0009019 (tRNA (guanine-N1-)-methyltransferase activity); GO:0030488 (tRNA methylation); GO:0090646 (mitochondrial tRNA processing); GO:0052905 (tRNA (guanine(9)-N(1))-methyltransferase activity)</t>
  </si>
  <si>
    <t>GO:0016020 (membrane); GO:0016021 (integral component of membrane); GO:0032592 (integral component of mitochondrial membrane); GO:0033615 (mitochondrial proton-transporting ATP synthase complex assembly)</t>
  </si>
  <si>
    <t xml:space="preserve">Chromosome Transmission Fidelity factor homolog </t>
  </si>
  <si>
    <t>GO:0005634 (nucleus); GO:0003682 (chromatin binding); GO:0006261 (DNA-dependent DNA replication); GO:0000278 (mitotic cell cycle); GO:0006281 (DNA repair); GO:0043596 (nuclear replication fork); GO:0031298 (replication fork protection complex); GO:0005515 (protein binding)</t>
  </si>
  <si>
    <t xml:space="preserve">Mec-8 protein </t>
  </si>
  <si>
    <t>GO:0003676 (nucleic acid binding); GO:0003723 (RNA binding); GO:0003729 (mRNA binding); GO:0005515 (protein binding); GO:0009792 (embryo development ending in birth or egg hatching); GO:0002119 (nematode larval development); GO:0005634 (nucleus); GO:0007638 (mechanosensory behavior); GO:0048666 (neuron development); GO:0031581 (hemidesmosome assembly); GO:0048644 (muscle organ morphogenesis)</t>
  </si>
  <si>
    <t>GO:0016020 (membrane); GO:0016021 (integral component of membrane); GO:0005524 (ATP binding); GO:0004672 (protein kinase activity); GO:0006468 (protein phosphorylation); GO:0016301 (kinase activity); GO:0016310 (phosphorylation)</t>
  </si>
  <si>
    <t xml:space="preserve">PhosphoLipid PhosPhatase homolog </t>
  </si>
  <si>
    <t xml:space="preserve">Numb-related protein 1 </t>
  </si>
  <si>
    <t>GO:0007275 (multicellular organism development); GO:0005737 (cytoplasm); GO:0016323 (basolateral plasma membrane); GO:0051117 (ATPase binding); GO:0015914 (phospholipid transport); GO:0032456 (endocytic recycling)</t>
  </si>
  <si>
    <t xml:space="preserve">INverted Formin/formin Three-related </t>
  </si>
  <si>
    <t xml:space="preserve">Polycomb protein mes-6 </t>
  </si>
  <si>
    <t>GO:0035098 (ESC/E(Z) complex); GO:0016571 (histone methylation); GO:0005515 (protein binding)</t>
  </si>
  <si>
    <t xml:space="preserve">Proteasome subunit alpha type-7 </t>
  </si>
  <si>
    <t xml:space="preserve">RCOR (REST CO-Repressor) homolog </t>
  </si>
  <si>
    <t>GO:0005634 (nucleus); GO:0006355 (regulation of transcription, DNA-templated); GO:0008270 (zinc ion binding); GO:0043565 (sequence-specific DNA binding); GO:0045892 (negative regulation of transcription, DNA-templated); GO:0005667 (transcription regulator complex); GO:0003714 (transcription corepressor activity); GO:0016575 (histone deacetylation); GO:0006357 (regulation of transcription by RNA polymerase II); GO:0000118 (histone deacetylase complex)</t>
  </si>
  <si>
    <t xml:space="preserve">Thymidylate kinase </t>
  </si>
  <si>
    <t>GO:0006233 (dTDP biosynthetic process); GO:0004798 (thymidylate kinase activity); GO:0005524 (ATP binding)</t>
  </si>
  <si>
    <t>GO:0003824 (catalytic activity)</t>
  </si>
  <si>
    <t xml:space="preserve">Zinc metalloproteinase nas-8 </t>
  </si>
  <si>
    <t>GO:0003723 (RNA binding); GO:0005737 (cytoplasm); GO:0000176 (nuclear exosome (RNase complex)); GO:0000177 (cytoplasmic exosome (RNase complex)); GO:0000467 (exonucleolytic trimming to generate mature 3'-end of 5.8S rRNA from tricistronic rRNA transcript (SSU-rRNA, 5.8S rRNA, LSU-rRNA)); GO:0034427 (nuclear-transcribed mRNA catabolic process, exonucleolytic, 3'-5'); GO:0034475 (U4 snRNA 3'-end processing); GO:0043928 (exonucleolytic catabolism of deadenylated mRNA); GO:0071035 (nuclear polyadenylation-dependent rRNA catabolic process); GO:0071038 (nuclear polyadenylation-dependent tRNA catabolic process); GO:0071051 (polyadenylation-dependent snoRNA 3'-end processing); GO:0000178 (exosome (RNase complex)); GO:0071034 (CUT catabolic process); GO:0071049 (nuclear retention of pre-mRNA with aberrant 3'-ends at the site of transcription); GO:0005634 (nucleus)</t>
  </si>
  <si>
    <t xml:space="preserve">OSM-5 </t>
  </si>
  <si>
    <t>GO:0042073 (intraciliary transport); GO:1905515 (non-motile cilium assembly); GO:0097730 (non-motile cilium); GO:0005814 (centriole); GO:0006970 (response to osmotic stress); GO:0019894 (kinesin binding); GO:0035641 (locomotory exploration behavior); GO:0036064 (ciliary basal body); GO:0043005 (neuron projection); GO:0043053 (dauer entry); GO:0050921 (positive regulation of chemotaxis); GO:0060271 (cilium assembly); GO:0097546 (ciliary base); GO:0003674 (molecular_function); GO:0030992 (intraciliary transport particle B); GO:0005515 (protein binding)</t>
  </si>
  <si>
    <t>GO:0008270 (zinc ion binding); GO:0003676 (nucleic acid binding)</t>
  </si>
  <si>
    <t xml:space="preserve">Equilibrative Nucleoside Transporter; Equilibrative nucleoside transporter 1 </t>
  </si>
  <si>
    <t>GO:0016020 (membrane); GO:0016021 (integral component of membrane); GO:0006811 (ion transport); GO:0005886 (plasma membrane); GO:0007035 (vacuolar acidification); GO:0015078 (proton transmembrane transporter activity); GO:0016471 (vacuolar proton-transporting V-type ATPase complex); GO:0033179 (proton-transporting V-type ATPase, V0 domain); GO:0046961 (proton-transporting ATPase activity, rotational mechanism); GO:0051117 (ATPase binding); GO:0000220 (vacuolar proton-transporting V-type ATPase, V0 domain); GO:1902600 (proton transmembrane transport); GO:0002119 (nematode larval development); GO:0030104 (water homeostasis); GO:0031410 (cytoplasmic vesicle); GO:0016324 (apical plasma membrane); GO:0040002 (collagen and cuticulin-based cuticle development); GO:0050891 (multicellular organismal water homeostasis); GO:0051046 (regulation of secretion); GO:1990182 (exosomal secretion); GO:0005771 (multivesicular body); GO:0044298 (cell body membrane); GO:0070382 (exocytic vesicle)</t>
  </si>
  <si>
    <t xml:space="preserve">Fatty acid amide hydrolase 1 </t>
  </si>
  <si>
    <t xml:space="preserve">Very-long-chain (3R)-3-hydroxyacyl-CoA dehydratase hpo-8 </t>
  </si>
  <si>
    <t xml:space="preserve">CyCliN K </t>
  </si>
  <si>
    <t>GO:0005634 (nucleus); GO:0006357 (regulation of transcription by RNA polymerase II); GO:0016538 (cyclin-dependent protein serine/threonine kinase regulator activity); GO:0032786 (positive regulation of DNA-templated transcription, elongation); GO:0002119 (nematode larval development); GO:0000079 (regulation of cyclin-dependent protein serine/threonine kinase activity); GO:0008024 (cyclin/CDK positive transcription elongation factor complex); GO:0045737 (positive regulation of cyclin-dependent protein serine/threonine kinase activity); GO:0061575 (cyclin-dependent protein serine/threonine kinase activator activity); GO:0070816 (phosphorylation of RNA polymerase II C-terminal domain)</t>
  </si>
  <si>
    <t xml:space="preserve">Acetylcholine receptor-like protein cup-4 </t>
  </si>
  <si>
    <t xml:space="preserve">Probable DNA polymerase delta small subunit </t>
  </si>
  <si>
    <t>GO:0003677 (DNA binding); GO:0005634 (nucleus); GO:0016740 (transferase activity); GO:0016779 (nucleotidyltransferase activity); GO:0003887 (DNA-directed DNA polymerase activity); GO:0006260 (DNA replication); GO:0071897 (DNA biosynthetic process); GO:0043625 (delta DNA polymerase complex); GO:0006271 (DNA strand elongation involved in DNA replication); GO:0042575 (DNA polymerase complex)</t>
  </si>
  <si>
    <t>GO:0007165 (signal transduction); GO:0030433 (ubiquitin-dependent ERAD pathway); GO:0051787 (misfolded protein binding); GO:0031593 (polyubiquitin modification-dependent protein binding); GO:0071818 (BAT3 complex); GO:0005515 (protein binding)</t>
  </si>
  <si>
    <t xml:space="preserve">G-protein coupled receptor daf-37 </t>
  </si>
  <si>
    <t>GO:0008528 (G protein-coupled peptide receptor activity); GO:0004930 (G protein-coupled receptor activity); GO:0007186 (G protein-coupled receptor signaling pathway); GO:0016021 (integral component of membrane)</t>
  </si>
  <si>
    <t>GO:0016020 (membrane); GO:0016021 (integral component of membrane); GO:0034220 (ion transmembrane transport); GO:0015698 (inorganic anion transport); GO:0008308 (voltage-gated anion channel activity); GO:0032580 (Golgi cisterna membrane); GO:0051452 (intracellular pH reduction)</t>
  </si>
  <si>
    <t>GO:0016787 (hydrolase activity); GO:0005886 (plasma membrane); GO:0046872 (metal ion binding); GO:0004222 (metalloendopeptidase activity); GO:0006508 (proteolysis); GO:0008233 (peptidase activity); GO:0008237 (metallopeptidase activity); GO:0016485 (protein processing)</t>
  </si>
  <si>
    <t xml:space="preserve">Fatty-acid and retinol-binding protein 1 </t>
  </si>
  <si>
    <t xml:space="preserve">Suppressor of Overexpressed MIcro-RNA </t>
  </si>
  <si>
    <t xml:space="preserve">RNA Binding Motif protein homolog </t>
  </si>
  <si>
    <t>GO:0005634 (nucleus); GO:0046872 (metal ion binding); GO:0003723 (RNA binding); GO:0003676 (nucleic acid binding); GO:0006397 (mRNA processing)</t>
  </si>
  <si>
    <t>GO:0003676 (nucleic acid binding); GO:0003723 (RNA binding)</t>
  </si>
  <si>
    <t xml:space="preserve">Guanine nucleotide-binding protein alpha-16 subunit </t>
  </si>
  <si>
    <t xml:space="preserve">GTP-binding protein drn-1 </t>
  </si>
  <si>
    <t>GO:0003924 (GTPase activity); GO:0005525 (GTP binding); GO:0007165 (signal transduction); GO:0016020 (membrane)</t>
  </si>
  <si>
    <t xml:space="preserve">Homolog of Odr-2 (Two) </t>
  </si>
  <si>
    <t>GO:0042048 (olfactory behavior); GO:0030424 (axon); GO:0043025 (neuronal cell body); GO:0019897 (extrinsic component of plasma membrane); GO:1990834 (response to odorant)</t>
  </si>
  <si>
    <t xml:space="preserve">Ribonucleoside-diphosphate reductase large subunit </t>
  </si>
  <si>
    <t>GO:0005524 (ATP binding); GO:0008152 (metabolic process); GO:0000166 (nucleotide binding); GO:0016491 (oxidoreductase activity); GO:0006260 (DNA replication); GO:0003824 (catalytic activity); GO:0004748 (ribonucleoside-diphosphate reductase activity, thioredoxin disulfide as acceptor); GO:0009263 (deoxyribonucleotide biosynthetic process); GO:0005971 (ribonucleoside-diphosphate reductase complex); GO:0055114 (oxidation-reduction process)</t>
  </si>
  <si>
    <t xml:space="preserve">Sphingomyelin synthase-related 1 </t>
  </si>
  <si>
    <t>GO:0016020 (membrane); GO:0016021 (integral component of membrane); GO:0016740 (transferase activity); GO:0005887 (integral component of plasma membrane); GO:0006629 (lipid metabolic process); GO:0030173 (integral component of Golgi membrane); GO:0030176 (integral component of endoplasmic reticulum membrane); GO:0006665 (sphingolipid metabolic process); GO:0046513 (ceramide biosynthetic process); GO:0003674 (molecular_function); GO:0006686 (sphingomyelin biosynthetic process); GO:0033188 (sphingomyelin synthase activity); GO:0047493 (ceramide cholinephosphotransferase activity); GO:0005515 (protein binding)</t>
  </si>
  <si>
    <t xml:space="preserve">Ankyrin repeat-containing protein F37A4.4 </t>
  </si>
  <si>
    <t xml:space="preserve">Glycosyltransferase-like protein LARGE </t>
  </si>
  <si>
    <t xml:space="preserve">Epoxide hydrolase 1 </t>
  </si>
  <si>
    <t xml:space="preserve">ALK tyrosine kinase receptor homolog scd-2 </t>
  </si>
  <si>
    <t>GO:0016020 (membrane); GO:0016021 (integral component of membrane); GO:0005524 (ATP binding); GO:0005886 (plasma membrane); GO:0004672 (protein kinase activity); GO:0006468 (protein phosphorylation); GO:0016301 (kinase activity); GO:0016310 (phosphorylation); GO:0000166 (nucleotide binding); GO:0016740 (transferase activity); GO:0004713 (protein tyrosine kinase activity); GO:0018108 (peptidyl-tyrosine phosphorylation); GO:0004714 (transmembrane receptor protein tyrosine kinase activity); GO:0007606 (sensory perception of chemical stimulus); GO:0050893 (sensory processing); GO:0006935 (chemotaxis); GO:0040024 (dauer larval development); GO:0005515 (protein binding); GO:0045664 (regulation of neuron differentiation)</t>
  </si>
  <si>
    <t>GO:0005777 (peroxisome); GO:0006631 (fatty acid metabolic process); GO:0016627 (oxidoreductase activity, acting on the CH-CH group of donors); GO:0050660 (flavin adenine dinucleotide binding); GO:0006629 (lipid metabolic process); GO:0071949 (FAD binding); GO:0055088 (lipid homeostasis); GO:0006635 (fatty acid beta-oxidation); GO:0003997 (acyl-CoA oxidase activity); GO:0005504 (fatty acid binding); GO:0033540 (fatty acid beta-oxidation using acyl-CoA oxidase); GO:0055114 (oxidation-reduction process)</t>
  </si>
  <si>
    <t xml:space="preserve">Tetraspanin-12 </t>
  </si>
  <si>
    <t>GO:0016020 (membrane); GO:0016021 (integral component of membrane); GO:0005886 (plasma membrane); GO:0031410 (cytoplasmic vesicle); GO:0005887 (integral component of plasma membrane); GO:0005515 (protein binding); GO:0072659 (protein localization to plasma membrane); GO:0040026 (positive regulation of vulval development); GO:0042661 (regulation of mesodermal cell fate specification); GO:0040019 (positive regulation of embryonic development); GO:1901046 (positive regulation of oviposition); GO:1901048 (transforming growth factor beta receptor signaling pathway involved in regulation of multicellular organism growth); GO:0030511 (positive regulation of transforming growth factor beta receptor signaling pathway); GO:0051604 (protein maturation); GO:0030659 (cytoplasmic vesicle membrane); GO:0045138 (nematode male tail tip morphogenesis); GO:0002020 (protease binding)</t>
  </si>
  <si>
    <t xml:space="preserve">Structural maintenance of chromosomes protein 5 </t>
  </si>
  <si>
    <t>GO:0005524 (ATP binding); GO:0005634 (nucleus); GO:0000166 (nucleotide binding); GO:0016887 (ATPase activity); GO:0006260 (DNA replication); GO:0006281 (DNA repair); GO:0007062 (sister chromatid cohesion); GO:0006974 (cellular response to DNA damage stimulus); GO:0005694 (chromosome); GO:0000724 (double-strand break repair via homologous recombination); GO:0006310 (DNA recombination); GO:0030915 (Smc5-Smc6 complex); GO:0051321 (meiotic cell cycle); GO:0000794 (condensed nuclear chromosome); GO:0010705 (meiotic DNA double-strand break processing involved in reciprocal meiotic recombination)</t>
  </si>
  <si>
    <t xml:space="preserve">ENDonuclease, poly(U) specific </t>
  </si>
  <si>
    <t>GO:0016787 (hydrolase activity); GO:0046872 (metal ion binding); GO:0003723 (RNA binding); GO:0090305 (nucleic acid phosphodiester bond hydrolysis); GO:0090502 (RNA phosphodiester bond hydrolysis, endonucleolytic); GO:0004518 (nuclease activity); GO:0004519 (endonuclease activity); GO:0004521 (endoribonuclease activity); GO:0045087 (innate immune response); GO:0050829 (defense response to Gram-negative bacterium)</t>
  </si>
  <si>
    <t>GO:0005509 (calcium ion binding); GO:0005783 (endoplasmic reticulum); GO:0017156 (calcium-ion regulated exocytosis); GO:0005796 (Golgi lumen)</t>
  </si>
  <si>
    <t xml:space="preserve">Disintegrin and metalloproteinase domain-containing protein 17 homolog </t>
  </si>
  <si>
    <t xml:space="preserve">Alpha-mannosidase </t>
  </si>
  <si>
    <t>GO:0005764 (lysosome); GO:0003824 (catalytic activity); GO:0008152 (metabolic process); GO:0016787 (hydrolase activity); GO:0016798 (hydrolase activity, acting on glycosyl bonds); GO:0046872 (metal ion binding); GO:0005975 (carbohydrate metabolic process); GO:0030246 (carbohydrate binding); GO:0005774 (vacuolar membrane); GO:0004559 (alpha-mannosidase activity); GO:0006013 (mannose metabolic process)</t>
  </si>
  <si>
    <t>GO:0005525 (GTP binding); GO:0000166 (nucleotide binding); GO:0003924 (GTPase activity); GO:0005515 (protein binding); GO:0042802 (identical protein binding); GO:0003746 (translation elongation factor activity); GO:0006414 (translational elongation)</t>
  </si>
  <si>
    <t>GO:0005515 (protein binding); GO:0043248 (proteasome assembly)</t>
  </si>
  <si>
    <t>GO:0016020 (membrane); GO:0016021 (integral component of membrane); GO:0016787 (hydrolase activity); GO:1904070 (ascaroside biosynthetic process); GO:0052689 (carboxylic ester hydrolase activity)</t>
  </si>
  <si>
    <t>GO:0005789 (endoplasmic reticulum membrane); GO:0006506 (GPI anchor biosynthetic process); GO:0000139 (Golgi membrane)</t>
  </si>
  <si>
    <t>GO:0005509 (calcium ion binding); GO:0005576 (extracellular region); GO:0007156 (homophilic cell adhesion via plasma membrane adhesion molecules); GO:0007157 (heterophilic cell-cell adhesion via plasma membrane cell adhesion molecules); GO:0005912 (adherens junction); GO:0005604 (basement membrane); GO:0034769 (basement membrane disassembly); GO:0071711 (basement membrane organization); GO:0005201 (extracellular matrix structural constituent); GO:0031012 (extracellular matrix)</t>
  </si>
  <si>
    <t xml:space="preserve">CAlcium channel Localization Factor </t>
  </si>
  <si>
    <t>GO:0016020 (membrane); GO:0016021 (integral component of membrane); GO:0040017 (positive regulation of locomotion); GO:0035545 (determination of left/right asymmetry in nervous system); GO:0035418 (protein localization to synapse); GO:0005789 (endoplasmic reticulum membrane); GO:0032527 (protein exit from endoplasmic reticulum)</t>
  </si>
  <si>
    <t>GO:0005634 (nucleus); GO:0005669 (transcription factor TFIID complex); GO:0006367 (transcription initiation from RNA polymerase II promoter); GO:0051123 (RNA polymerase II preinitiation complex assembly); GO:0035065 (regulation of histone acetylation); GO:0003713 (transcription coactivator activity); GO:0035034 (histone acetyltransferase regulator activity); GO:0016251 (RNA polymerase II general transcription initiation factor activity); GO:0045893 (positive regulation of transcription, DNA-templated)</t>
  </si>
  <si>
    <t>GO:0005634 (nucleus); GO:0016567 (protein ubiquitination); GO:0046872 (metal ion binding); GO:0061630 (ubiquitin protein ligase activity); GO:0051092 (positive regulation of NF-kappaB transcription factor activity); GO:0005515 (protein binding)</t>
  </si>
  <si>
    <t xml:space="preserve">MMP-like protein; Zinc MetalloProtease </t>
  </si>
  <si>
    <t>GO:0016787 (hydrolase activity); GO:0046872 (metal ion binding); GO:0008270 (zinc ion binding); GO:0004222 (metalloendopeptidase activity); GO:0006508 (proteolysis); GO:0008233 (peptidase activity); GO:0008237 (metallopeptidase activity); GO:0005615 (extracellular space); GO:0030198 (extracellular matrix organization); GO:0030574 (collagen catabolic process); GO:0031012 (extracellular matrix)</t>
  </si>
  <si>
    <t xml:space="preserve">Mitogen-activated protein kinase sma-5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</si>
  <si>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GO:0035556 (intracellular signal transduction); GO:0008340 (determination of adult lifespan); GO:0040018 (positive regulation of multicellular organism growth); GO:0040014 (regulation of multicellular organism growth); GO:0000165 (MAPK cascade); GO:0004707 (MAP kinase activity); GO:0007567 (parturition); GO:0002119 (nematode larval development); GO:0008283 (cell population proliferation); GO:0009791 (post-embryonic development); GO:0030307 (positive regulation of cell growth); GO:0045793 (positive regulation of cell size); GO:0051640 (organelle localization); GO:0040024 (dauer larval development); GO:0106310 (protein serine kinase activity); GO:0106311 (protein threonine kinase activity)</t>
  </si>
  <si>
    <t xml:space="preserve">Poly(A) RNA polymerase gld-2 </t>
  </si>
  <si>
    <t xml:space="preserve">Coiled-coil domain-containing protein 130 homolog </t>
  </si>
  <si>
    <t>GO:0005515 (protein binding); GO:0071014 (post-mRNA release spliceosomal complex); GO:0008380 (RNA splicing); GO:0005684 (U2-type spliceosomal complex)</t>
  </si>
  <si>
    <t xml:space="preserve">Choline transporter-like protein 1 </t>
  </si>
  <si>
    <t>GO:0055085 (transmembrane transport); GO:0022857 (transmembrane transporter activity)</t>
  </si>
  <si>
    <t xml:space="preserve">Pseudocleavage protein nop-1 </t>
  </si>
  <si>
    <t xml:space="preserve">Suppressor of lurcher protein 1 </t>
  </si>
  <si>
    <t>GO:0016020 (membrane); GO:0016021 (integral component of membrane); GO:0005886 (plasma membrane); GO:0030054 (cell junction); GO:0045202 (synapse); GO:0045211 (postsynaptic membrane); GO:0005515 (protein binding); GO:0008344 (adult locomotory behavior); GO:0006972 (hyperosmotic response); GO:0040012 (regulation of locomotion); GO:0032589 (neuron projection membrane); GO:0051968 (positive regulation of synaptic transmission, glutamatergic); GO:0016247 (channel regulator activity); GO:0001966 (thigmotaxis); GO:0008328 (ionotropic glutamate receptor complex)</t>
  </si>
  <si>
    <t>GO:0016020 (membrane); GO:0016021 (integral component of membrane); GO:0005524 (ATP binding); GO:0042626 (ATPase-coupled transmembrane transporter activity); GO:0000166 (nucleotide binding); GO:0055085 (transmembrane transport); GO:0016246 (RNA interference); GO:0016887 (ATPase activity)</t>
  </si>
  <si>
    <t xml:space="preserve">Lysine--tRNA ligase </t>
  </si>
  <si>
    <t>GO:0005524 (ATP binding); GO:0000166 (nucleotide binding); GO:0004812 (aminoacyl-tRNA ligase activity); GO:0006418 (tRNA aminoacylation for protein translation); GO:0046872 (metal ion binding); GO:0016874 (ligase activity); GO:0005737 (cytoplasm); GO:0005739 (mitochondrion); GO:0006412 (translation); GO:0003676 (nucleic acid binding); GO:0005829 (cytosol); GO:0001934 (positive regulation of protein phosphorylation); GO:0008340 (determination of adult lifespan); GO:0000049 (tRNA binding); GO:0010629 (negative regulation of gene expression); GO:0060378 (regulation of brood size); GO:0061063 (positive regulation of nematode larval development); GO:0017101 (aminoacyl-tRNA synthetase multienzyme complex); GO:0004824 (lysine-tRNA ligase activity); GO:0006430 (lysyl-tRNA aminoacylation)</t>
  </si>
  <si>
    <t>GO:0005634 (nucleus); GO:0003700 (DNA-binding transcription factor activity); GO:0006355 (regulation of transcription, DNA-templated); GO:0043565 (sequence-specific DNA binding); GO:0003677 (DNA binding)</t>
  </si>
  <si>
    <t xml:space="preserve">Palmitoyltransferase </t>
  </si>
  <si>
    <t>GO:0016020 (membrane); GO:0016021 (integral component of membrane); GO:0016740 (transferase activity); GO:0016746 (transferase activity, transferring acyl groups); GO:0005794 (Golgi apparatus); GO:0005783 (endoplasmic reticulum); GO:0019706 (protein-cysteine S-palmitoyltransferase activity); GO:0006612 (protein targeting to membrane); GO:0018230 (peptidyl-L-cysteine S-palmitoylation); GO:0016409 (palmitoyltransferase activity); GO:0018215 (protein phosphopantetheinylation)</t>
  </si>
  <si>
    <t>GO:0005737 (cytoplasm); GO:0005634 (nucleus); GO:0003723 (RNA binding); GO:0000049 (tRNA binding); GO:0005643 (nuclear pore); GO:0016363 (nuclear matrix); GO:0006409 (tRNA export from nucleus); GO:0071528 (tRNA re-export from nucleus); GO:0031267 (small GTPase binding)</t>
  </si>
  <si>
    <t xml:space="preserve">SUPpressor of Rpm-1 </t>
  </si>
  <si>
    <t>GO:0005634 (nucleus); GO:0005737 (cytoplasm); GO:0030424 (axon)</t>
  </si>
  <si>
    <t>FMRFamide-like neuropeptides 22 SPSAKWMRF-amide 1 SPSAKWMRF-amide 2 SPSAKWMRF-amide 3</t>
  </si>
  <si>
    <t xml:space="preserve">Peroxidase skpo-1 </t>
  </si>
  <si>
    <t>GO:0046872 (metal ion binding); GO:0016491 (oxidoreductase activity); GO:0020037 (heme binding); GO:0098869 (cellular oxidant detoxification); GO:0008340 (determination of adult lifespan); GO:0002376 (immune system process); GO:0045087 (innate immune response); GO:0004601 (peroxidase activity); GO:0006979 (response to oxidative stress); GO:0010629 (negative regulation of gene expression); GO:0050830 (defense response to Gram-positive bacterium); GO:0055114 (oxidation-reduction process)</t>
  </si>
  <si>
    <t xml:space="preserve">AcetylCholine Receptor; Nicotinic acetylcholine receptor-like subunit ACR-12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</si>
  <si>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GO:0022848 (acetylcholine-gated cation-selective channel activity); GO:0030054 (cell junction); GO:0045211 (postsynaptic membrane); GO:0060078 (regulation of postsynaptic membrane potential); GO:0060079 (excitatory postsynaptic potential); GO:0006937 (regulation of muscle contraction); GO:0030594 (neurotransmitter receptor activity); GO:0098703 (calcium ion import across plasma membrane)</t>
  </si>
  <si>
    <t xml:space="preserve">Nuclear Hormone Receptor family; Nuclear receptor NHR-94 </t>
  </si>
  <si>
    <t xml:space="preserve">Superoxide dismutase [Mn] 2, mitochondrial </t>
  </si>
  <si>
    <t>GO:0046872 (metal ion binding); GO:0005739 (mitochondrion); GO:0016491 (oxidoreductase activity); GO:0030145 (manganese ion binding); GO:0004784 (superoxide dismutase activity); GO:0006801 (superoxide metabolic process); GO:0042803 (protein homodimerization activity); GO:0019430 (removal of superoxide radicals); GO:0005746 (mitochondrial respirasome); GO:0055114 (oxidation-reduction process)</t>
  </si>
  <si>
    <t xml:space="preserve">Receptor-type guanylate cyclase gcy-22 </t>
  </si>
  <si>
    <t>GO:0016849 (phosphorus-oxygen lyase activity); GO:0006182 (cGMP biosynthetic process); GO:0004383 (guanylate cyclase activity); GO:0009190 (cyclic nucleotide biosynthetic process); GO:0004672 (protein kinase activity); GO:0035556 (intracellular signal transduction); GO:0006468 (protein phosphorylation); GO:0016021 (integral component of membrane); GO:0005524 (ATP binding)</t>
  </si>
  <si>
    <t>GO:0005524 (ATP binding); GO:0000166 (nucleotide binding); GO:0003774 (motor activity); GO:0005874 (microtubule); GO:0005737 (cytoplasm); GO:0003777 (microtubule motor activity); GO:0007018 (microtubule-based movement); GO:0008017 (microtubule binding); GO:0005813 (centrosome); GO:0005871 (kinesin complex); GO:0009794 (regulation of mitotic cell cycle, embryonic); GO:0030953 (astral microtubule organization); GO:0051661 (maintenance of centrosome location); GO:0071539 (protein localization to centrosome); GO:1903436 (regulation of mitotic cytokinetic process); GO:1905833 (negative regulation of microtubule nucleation); GO:0005819 (spindle); GO:0018991 (oviposition); GO:0000793 (condensed chromosome); GO:0090306 (spindle assembly involved in meiosis); GO:0007019 (microtubule depolymerization); GO:0000777 (condensed chromosome kinetochore); GO:0010938 (cytoplasmic microtubule depolymerization); GO:0090619 (meiotic spindle pole); GO:1990939 (ATP-dependent microtubule motor activity); GO:0005694 (chromosome); GO:0000776 (kinetochore); GO:0043515 (kinetochore binding)</t>
  </si>
  <si>
    <t xml:space="preserve">32 kDa beta-galactoside-binding lectin lec-3 </t>
  </si>
  <si>
    <t>GO:0030246 (carbohydrate binding); GO:0005886 (plasma membrane); GO:0005515 (protein binding)</t>
  </si>
  <si>
    <t xml:space="preserve">Neuroendocrine convertase 2 </t>
  </si>
  <si>
    <t xml:space="preserve">Proteasome subunit beta </t>
  </si>
  <si>
    <t>GO:0005634 (nucleus); GO:0005737 (cytoplasm); GO:0043161 (proteasome-mediated ubiquitin-dependent protein catabolic process); GO:0005515 (protein binding); GO:0004298 (threonine-type endopeptidase activity); GO:0010499 (proteasomal ubiquitin-independent protein catabolic process); GO:0004175 (endopeptidase activity); GO:0000502 (proteasome complex); GO:0005839 (proteasome core complex); GO:0051603 (proteolysis involved in cellular protein catabolic process)</t>
  </si>
  <si>
    <t xml:space="preserve">Nuclear hormone receptor family member nhr-35 </t>
  </si>
  <si>
    <t>GO:0003824 (catalytic activity); GO:0003723 (RNA binding); GO:0008033 (tRNA processing); GO:0004526 (ribonuclease P activity); GO:0005655 (nucleolar ribonuclease P complex); GO:0090502 (RNA phosphodiester bond hydrolysis, endonucleolytic)</t>
  </si>
  <si>
    <t xml:space="preserve">Innexin unc-7 </t>
  </si>
  <si>
    <t>GO:0016020 (membrane); GO:0016021 (integral component of membrane); GO:0005886 (plasma membrane); GO:0006811 (ion transport); GO:0030054 (cell junction); GO:0005921 (gap junction); GO:0005243 (gap junction channel activity); GO:0090325 (regulation of locomotion involved in locomotory behavior); GO:0055077 (gap junction hemi-channel activity); GO:0040011 (locomotion); GO:0034609 (spicule insertion); GO:0018991 (oviposition); GO:0005911 (cell-cell junction); GO:0043051 (regulation of pharyngeal pumping); GO:0034220 (ion transmembrane transport); GO:0016264 (gap junction assembly); GO:0032589 (neuron projection membrane); GO:0072347 (response to anesthetic); GO:1902435 (regulation of male mating behavior); GO:1902847 (regulation of neuronal signal transduction); GO:1903351 (cellular response to dopamine)</t>
  </si>
  <si>
    <t xml:space="preserve">Putative stoned B-like protein </t>
  </si>
  <si>
    <t>GO:0005737 (cytoplasm); GO:0043231 (intracellular membrane-bounded organelle); GO:0016192 (vesicle-mediated transport); GO:0048488 (synaptic vesicle endocytosis); GO:0006897 (endocytosis); GO:0035615 (clathrin adaptor activity); GO:0030136 (clathrin-coated vesicle); GO:0008021 (synaptic vesicle); GO:0031410 (cytoplasmic vesicle); GO:0030100 (regulation of endocytosis); GO:0005515 (protein binding); GO:0040017 (positive regulation of locomotion); GO:0045202 (synapse)</t>
  </si>
  <si>
    <t xml:space="preserve">Probable N-acetylgalactosaminyltransferase 6 </t>
  </si>
  <si>
    <t xml:space="preserve">DnaJ homolog dnj-5 </t>
  </si>
  <si>
    <t xml:space="preserve">Probable 26S proteasome regulatory subunit 6B </t>
  </si>
  <si>
    <t>GO:0036402 (proteasome-activating ATPase activity); GO:0016887 (ATPase activity); GO:0030163 (protein catabolic process); GO:0005737 (cytoplasm); GO:0016787 (hydrolase activity); GO:0005524 (ATP binding)</t>
  </si>
  <si>
    <t xml:space="preserve">RAs-related GTP binding protein C homolog </t>
  </si>
  <si>
    <t>GO:0003924 (GTPase activity); GO:0005525 (GTP binding); GO:0005634 (nucleus); GO:0005764 (lysosome); GO:0009267 (cellular response to starvation); GO:0010506 (regulation of autophagy); GO:0032008 (positive regulation of TOR signaling); GO:0071230 (cellular response to amino acid stimulus); GO:1990131 (Gtr1-Gtr2 GTPase complex); GO:0000166 (nucleotide binding); GO:0008340 (determination of adult lifespan); GO:2000785 (regulation of autophagosome assembly); GO:0071986 (Ragulator complex)</t>
  </si>
  <si>
    <t>GO:0006886 (intracellular protein transport); GO:0032588 (trans-Golgi network membrane); GO:0019904 (protein domain specific binding); GO:0005543 (phospholipid binding); GO:0005739 (mitochondrion); GO:0034315 (regulation of Arp2/3 complex-mediated actin nucleation)</t>
  </si>
  <si>
    <t xml:space="preserve">Splicing factor ESS-2 </t>
  </si>
  <si>
    <t>GO:0005634 (nucleus); GO:0008168 (methyltransferase activity); GO:0032259 (methylation); GO:0016740 (transferase activity); GO:0005829 (cytosol); GO:0008757 (S-adenosylmethionine-dependent methyltransferase activity); GO:0030735 (carnosine N-methyltransferase activity); GO:0035498 (carnosine metabolic process)</t>
  </si>
  <si>
    <t xml:space="preserve">Stress-activated map kinase-interacting protein 1 homolog </t>
  </si>
  <si>
    <t>GO:0005737 (cytoplasm); GO:0005886 (plasma membrane); GO:0031932 (TORC2 complex); GO:0030950 (establishment or maintenance of actin cytoskeleton polarity); GO:0005546 (phosphatidylinositol-4,5-bisphosphate binding); GO:0038203 (TORC2 signaling); GO:0048382 (mesendoderm development)</t>
  </si>
  <si>
    <t xml:space="preserve">Glutathione transferase omega-1 </t>
  </si>
  <si>
    <t>GO:0006749 (glutathione metabolic process); GO:0004364 (glutathione transferase activity); GO:0005737 (cytoplasm); GO:0005515 (protein binding)</t>
  </si>
  <si>
    <t xml:space="preserve">GATOR complex protein NPRL3 </t>
  </si>
  <si>
    <t>GO:0034198 (cellular response to amino acid starvation); GO:0032007 (negative regulation of TOR signaling)</t>
  </si>
  <si>
    <t xml:space="preserve">Segment polarity protein dishevelled homolog mig-5 </t>
  </si>
  <si>
    <t>GO:0016055 (Wnt signaling pathway); GO:0035556 (intracellular signal transduction); GO:0005515 (protein binding)</t>
  </si>
  <si>
    <t xml:space="preserve">GLutaRedoXin </t>
  </si>
  <si>
    <t>GO:0005634 (nucleus); GO:0006879 (cellular iron ion homeostasis); GO:0046872 (metal ion binding); GO:0005829 (cytosol); GO:0051536 (iron-sulfur cluster binding); GO:0015035 (protein disulfide oxidoreductase activity); GO:0005737 (cytoplasm); GO:0055120 (striated muscle dense body)</t>
  </si>
  <si>
    <t xml:space="preserve">DDB1- and CUL4-associated factor homolog 1 </t>
  </si>
  <si>
    <t>GO:0016567 (protein ubiquitination); GO:0005515 (protein binding)</t>
  </si>
  <si>
    <t xml:space="preserve">Ubiquitin carboxyl-terminal hydrolase 46 </t>
  </si>
  <si>
    <t>GO:0005634 (nucleus); GO:0016787 (hydrolase activity); GO:0006511 (ubiquitin-dependent protein catabolic process); GO:0005737 (cytoplasm); GO:0006508 (proteolysis); GO:0008233 (peptidase activity); GO:0005829 (cytosol); GO:0004197 (cysteine-type endopeptidase activity); GO:0005515 (protein binding); GO:0016579 (protein deubiquitination); GO:0010628 (positive regulation of gene expression); GO:0043204 (perikaryon); GO:0008234 (cysteine-type peptidase activity); GO:0090326 (positive regulation of locomotion involved in locomotory behavior); GO:0004843 (thiol-dependent ubiquitin-specific protease activity); GO:0043025 (neuronal cell body); GO:0005768 (endosome); GO:0008595 (anterior/posterior axis specification, embryo); GO:0035255 (ionotropic glutamate receptor binding); GO:0071947 (protein deubiquitination involved in ubiquitin-dependent protein catabolic process); GO:2000311 (regulation of AMPA receptor activity)</t>
  </si>
  <si>
    <t>GO:0004523 (RNA-DNA hybrid ribonuclease activity); GO:0043137 (DNA replication, removal of RNA primer); GO:0090502 (RNA phosphodiester bond hydrolysis, endonucleolytic)</t>
  </si>
  <si>
    <t xml:space="preserve">Neuropeptide receptor 22 </t>
  </si>
  <si>
    <t>GO:0005737 (cytoplasm); GO:0005813 (centrosome); GO:0000776 (kinetochore); GO:0000922 (spindle pole); GO:0030951 (establishment or maintenance of microtubule cytoskeleton polarity); GO:0046785 (microtubule polymerization); GO:0051298 (centrosome duplication); GO:0035371 (microtubule plus-end); GO:0008017 (microtubule binding); GO:0007052 (mitotic spindle organization); GO:0061863 (microtubule plus end polymerase)</t>
  </si>
  <si>
    <t>GO:0003924 (GTPase activity); GO:0005525 (GTP binding); GO:0016020 (membrane); GO:0005886 (plasma membrane); GO:0000166 (nucleotide binding); GO:0007165 (signal transduction); GO:0019003 (GDP binding)</t>
  </si>
  <si>
    <t>GO:0016020 (membrane); GO:0016021 (integral component of membrane); 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GO:0050830 (defense response to Gram-positive bacterium); GO:0055114 (oxidation-reduction process)</t>
  </si>
  <si>
    <t xml:space="preserve">Putative carbonic anhydrase-like protein 2 </t>
  </si>
  <si>
    <t xml:space="preserve">Intermediate filament protein ifa-4 </t>
  </si>
  <si>
    <t>GO:0000287 (magnesium ion binding); GO:0003824 (catalytic activity); GO:0046872 (metal ion binding); GO:0006107 (oxaloacetate metabolic process)</t>
  </si>
  <si>
    <t>GO:0006355 (regulation of transcription, DNA-templated); GO:0005739 (mitochondrion); GO:0003690 (double-stranded DNA binding); GO:0061668 (mitochondrial ribosome assembly)</t>
  </si>
  <si>
    <t xml:space="preserve">Phosphatidylinositol-4,5-bisphosphate 4-phosphatase </t>
  </si>
  <si>
    <t>GO:0016020 (membrane); GO:0016021 (integral component of membrane); GO:0016787 (hydrolase activity); GO:0005768 (endosome); GO:0005764 (lysosome); GO:0005765 (lysosomal membrane); GO:0031902 (late endosome membrane); GO:0034597 (phosphatidylinositol-4,5-bisphosphate 4-phosphatase activity); GO:0046856 (phosphatidylinositol dephosphorylation); GO:0010008 (endosome membrane)</t>
  </si>
  <si>
    <t>GO:0005737 (cytoplasm); GO:0016567 (protein ubiquitination); GO:0046872 (metal ion binding); GO:0061630 (ubiquitin protein ligase activity); GO:0005515 (protein binding)</t>
  </si>
  <si>
    <t>GO:0016020 (membrane); GO:0016021 (integral component of membrane); GO:0004984 (olfactory receptor activity); GO:0050907 (detection of chemical stimulus involved in sensory perception); GO:0050911 (detection of chemical stimulus involved in sensory perception of smell)</t>
  </si>
  <si>
    <t xml:space="preserve">Nuclear hormone receptor family member nhr-67 </t>
  </si>
  <si>
    <t xml:space="preserve">Globin-like protein 9 </t>
  </si>
  <si>
    <t xml:space="preserve">Glyceraldehyde-3-phosphate dehydrogenase 3 </t>
  </si>
  <si>
    <t xml:space="preserve">Probable cytochrome P450 CYP44 </t>
  </si>
  <si>
    <t xml:space="preserve">DNA-directed RNA polymerase subunit beta </t>
  </si>
  <si>
    <t>GO:0003677 (DNA binding); GO:0005634 (nucleus); GO:0016740 (transferase activity); GO:0016779 (nucleotidyltransferase activity); GO:0006351 (transcription, DNA-templated); GO:0003899 (DNA-directed 5'-3' RNA polymerase activity); GO:0005736 (RNA polymerase I complex); GO:0032549 (ribonucleoside binding); GO:0005730 (nucleolus)</t>
  </si>
  <si>
    <t>GO:0005524 (ATP binding); GO:0006811 (ion transport); GO:1902600 (proton transmembrane transport); GO:0046034 (ATP metabolic process); GO:0033180 (proton-transporting V-type ATPase, V1 domain); GO:0043068 (positive regulation of programmed cell death)</t>
  </si>
  <si>
    <t xml:space="preserve">SUppressor of Pkc-3 (Pkc-3) Sterility </t>
  </si>
  <si>
    <t xml:space="preserve">Kruppel-Like Factor (Zinc finger protein) </t>
  </si>
  <si>
    <t>GO:0000978 (RNA polymerase II cis-regulatory region sequence-specific DNA binding); GO:0000981 (DNA-binding transcription factor activity, RNA polymerase II-specific); GO:0006357 (regulation of transcription by RNA polymerase II); GO:0010468 (regulation of gene expression); GO:0045087 (innate immune response); GO:0019216 (regulation of lipid metabolic process)</t>
  </si>
  <si>
    <t>GO:0005524 (ATP binding); GO:0005737 (cytoplasm); GO:0046872 (metal ion binding); GO:0000166 (nucleotide binding); GO:0005096 (GTPase activator activity); GO:0007165 (signal transduction); GO:0043547 (positive regulation of GTPase activity); GO:0003774 (motor activity); GO:0035556 (intracellular signal transduction); GO:0007015 (actin filament organization); GO:0051015 (actin filament binding); GO:0003779 (actin binding); GO:0031982 (vesicle); GO:0016459 (myosin complex); GO:0015629 (actin cytoskeleton); GO:0005516 (calmodulin binding); GO:0060002 (plus-end directed microfilament motor activity); GO:0033275 (actin-myosin filament sliding); GO:0000146 (microfilament motor activity); GO:0030898 (actin-dependent ATPase activity); GO:0030050 (vesicle transport along actin filament); GO:0005515 (protein binding)</t>
  </si>
  <si>
    <t>GO:0005634 (nucleus); GO:0003729 (mRNA binding); GO:0090502 (RNA phosphodiester bond hydrolysis, endonucleolytic); GO:0004521 (endoribonuclease activity); GO:0036464 (cytoplasmic ribonucleoprotein granule)</t>
  </si>
  <si>
    <t xml:space="preserve">Fatty Acid SyNthase </t>
  </si>
  <si>
    <t>GO:0008152 (metabolic process); GO:0016740 (transferase activity); GO:0016491 (oxidoreductase activity); GO:0016746 (transferase activity, transferring acyl groups); GO:0016829 (lyase activity); GO:0009058 (biosynthetic process); GO:0031177 (phosphopantetheine binding); GO:0006633 (fatty acid biosynthetic process); GO:0006631 (fatty acid metabolic process); GO:0003824 (catalytic activity); GO:0004312 (fatty acid synthase activity); GO:0004315 (3-oxoacyl-[acyl-carrier-protein] synthase activity); GO:0016788 (hydrolase activity, acting on ester bonds); GO:0055114 (oxidation-reduction process); GO:0004320 (oleoyl-[acyl-carrier-protein] hydrolase activity); GO:0016295 (myristoyl-[acyl-carrier-protein] hydrolase activity); GO:0016296 (palmitoyl-[acyl-carrier-protein] hydrolase activity); GO:0016297 (acyl-[acyl-carrier-protein] hydrolase activity); GO:0004313 ([acyl-carrier-protein] S-acetyltransferase activity); GO:0004316 (3-oxoacyl-[acyl-carrier-protein] reductase (NADPH) activity); GO:0004317 (3-hydroxypalmitoyl-[acyl-carrier-protein] dehydratase activity); GO:0008659 ((3R)-hydroxymyristoyl-[acyl-carrier-protein] dehydratase activity); GO:0008693 (3-hydroxydecanoyl-[acyl-carrier-protein] dehydratase activity); GO:0016418 (S-acetyltransferase activity); GO:0019171 (3-hydroxyacyl-[acyl-carrier-protein] dehydratase activity); GO:0047117 (enoyl-[acyl-carrier-protein] reductase (NADPH, A-specific) activity); GO:0047451 (3-hydroxyoctanoyl-[acyl-carrier-protein] dehydratase activity); GO:0102131 (3-oxo-glutaryl-[acp] methyl ester reductase activity); GO:0102132 (3-oxo-pimeloyl-[acp] methyl ester reductase activity)</t>
  </si>
  <si>
    <t xml:space="preserve">Metaxin-1 homolog </t>
  </si>
  <si>
    <t>GO:0001401 (SAM complex)</t>
  </si>
  <si>
    <t>GO:0016020 (membrane); GO:0016021 (integral component of membrane); GO:0005096 (GTPase activator activity); GO:0043547 (positive regulation of GTPase activity); GO:0005789 (endoplasmic reticulum membrane); GO:0006888 (endoplasmic reticulum to Golgi vesicle-mediated transport)</t>
  </si>
  <si>
    <t xml:space="preserve">Eukaryotic translation initiation factor 6 </t>
  </si>
  <si>
    <t>GO:0042256 (mature ribosome assembly); GO:0043022 (ribosome binding)</t>
  </si>
  <si>
    <t xml:space="preserve">Completion Of Meiotic recombination (Budding yeast Com) related </t>
  </si>
  <si>
    <t>GO:0003690 (double-stranded DNA binding); GO:0000724 (double-strand break repair via homologous recombination); GO:0000014 (single-stranded DNA endodeoxyribonuclease activity); GO:0003684 (damaged DNA binding); GO:0003697 (single-stranded DNA binding); GO:0035861 (site of double-strand break); GO:0000403 (Y-form DNA binding); GO:0070336 (flap-structured DNA binding); GO:0000406 (double-strand/single-strand DNA junction binding); GO:0010792 (DNA double-strand break processing involved in repair via single-strand annealing)</t>
  </si>
  <si>
    <t xml:space="preserve">Increased Sodium Tolerance Related </t>
  </si>
  <si>
    <t>GO:0015031 (protein transport); GO:0008104 (protein localization)</t>
  </si>
  <si>
    <t xml:space="preserve">Prion-like-(Q/N-rich) domain-bearing protein 25 </t>
  </si>
  <si>
    <t>GO:0016020 (membrane); GO:0016021 (integral component of membrane); GO:0006811 (ion transport); GO:0005886 (plasma membrane); GO:0007035 (vacuolar acidification); GO:0015078 (proton transmembrane transporter activity); GO:0016471 (vacuolar proton-transporting V-type ATPase complex); GO:0033179 (proton-transporting V-type ATPase, V0 domain); GO:0046961 (proton-transporting ATPase activity, rotational mechanism); GO:0051117 (ATPase binding); GO:0000220 (vacuolar proton-transporting V-type ATPase, V0 domain); GO:1902600 (proton transmembrane transport); GO:0002119 (nematode larval development); GO:0016324 (apical plasma membrane); GO:0045177 (apical part of cell)</t>
  </si>
  <si>
    <t xml:space="preserve">Phosphatidylinositol 3-kinase age-1 </t>
  </si>
  <si>
    <t>GO:0048015 (phosphatidylinositol-mediated signaling); GO:0046854 (phosphatidylinositol phosphorylation); GO:0016301 (kinase activity)</t>
  </si>
  <si>
    <t xml:space="preserve">PeRoXisome assembly factor </t>
  </si>
  <si>
    <t>GO:0016020 (membrane); GO:0015031 (protein transport); GO:0005102 (signaling receptor binding); GO:0005778 (peroxisomal membrane); GO:0005777 (peroxisome); GO:0016560 (protein import into peroxisome matrix, docking); GO:1990429 (peroxisomal importomer complex); GO:0005515 (protein binding)</t>
  </si>
  <si>
    <t xml:space="preserve">Leucine carboxyl methyltransferase 1 </t>
  </si>
  <si>
    <t>GO:0032259 (methylation); GO:0008168 (methyltransferase activity)</t>
  </si>
  <si>
    <t xml:space="preserve">Nucleoporin NUP35 </t>
  </si>
  <si>
    <t>GO:0031965 (nuclear membrane); GO:0017056 (structural constituent of nuclear pore); GO:0006913 (nucleocytoplasmic transport); GO:0003676 (nucleic acid binding)</t>
  </si>
  <si>
    <t xml:space="preserve">Homeobox protein ceh-18 </t>
  </si>
  <si>
    <t>GO:0000981 (DNA-binding transcription factor activity, RNA polymerase II-specific); GO:0003700 (DNA-binding transcription factor activity); GO:0006355 (regulation of transcription, DNA-templated); GO:0003677 (DNA binding)</t>
  </si>
  <si>
    <t xml:space="preserve">Early embryogenesis protein zyg-11 </t>
  </si>
  <si>
    <t>GO:0031462 (Cul2-RING ubiquitin ligase complex); GO:0007275 (multicellular organism development); GO:0005515 (protein binding); GO:0051321 (meiotic cell cycle); GO:0009792 (embryo development ending in birth or egg hatching); GO:1902104 (positive regulation of metaphase/anaphase transition of meiotic cell cycle); GO:0008595 (anterior/posterior axis specification, embryo); GO:0030332 (cyclin binding); GO:0031145 (anaphase-promoting complex-dependent catabolic process); GO:0032436 (positive regulation of proteasomal ubiquitin-dependent protein catabolic process); GO:0051759 (sister chromosome movement towards spindle pole involved in meiotic sister chromatid segregation)</t>
  </si>
  <si>
    <t xml:space="preserve">Laminin-like protein lam-2 </t>
  </si>
  <si>
    <t>GO:0005634 (nucleus); GO:0008168 (methyltransferase activity); GO:0032259 (methylation); GO:0016740 (transferase activity); GO:0010468 (regulation of gene expression); GO:0005515 (protein binding); GO:0042054 (histone methyltransferase activity); GO:0016571 (histone methylation)</t>
  </si>
  <si>
    <t xml:space="preserve">Serine/threonine-protein phosphatase </t>
  </si>
  <si>
    <t>GO:0005634 (nucleus); GO:0005737 (cytoplasm); GO:0016787 (hydrolase activity); GO:0006470 (protein dephosphorylation); GO:0004722 (protein serine/threonine phosphatase activity); GO:0106306 (protein serine phosphatase activity); GO:0106307 (protein threonine phosphatase activity)</t>
  </si>
  <si>
    <t xml:space="preserve">Homeobox protein unc-39 </t>
  </si>
  <si>
    <t xml:space="preserve">Drosophila CRumBs homolog </t>
  </si>
  <si>
    <t>GO:0016020 (membrane); GO:0016021 (integral component of membrane); GO:0005509 (calcium ion binding); GO:0005886 (plasma membrane); GO:0045197 (establishment or maintenance of epithelial cell apical/basal polarity); GO:0007157 (heterophilic cell-cell adhesion via plasma membrane cell adhesion molecules); GO:0030154 (cell differentiation); GO:0032991 (protein-containing complex); GO:0005737 (cytoplasm); GO:0045177 (apical part of cell)</t>
  </si>
  <si>
    <t xml:space="preserve">Bardet-Biedl syndrome 5 protein homolog </t>
  </si>
  <si>
    <t>GO:0034464 (BBSome)</t>
  </si>
  <si>
    <t xml:space="preserve">Protein phosphatase 1 regulatory subunit </t>
  </si>
  <si>
    <t>GO:0005975 (carbohydrate metabolic process); GO:0005977 (glycogen metabolic process); GO:0008157 (protein phosphatase 1 binding); GO:0005515 (protein binding); GO:2001069 (glycogen binding); GO:0005979 (regulation of glycogen biosynthetic process); GO:0000164 (protein phosphatase type 1 complex)</t>
  </si>
  <si>
    <t>GO:0005856 (cytoskeleton); GO:0050790 (regulation of catalytic activity); GO:0005912 (adherens junction); GO:0008092 (cytoskeletal protein binding); GO:0005085 (guanyl-nucleotide exchange factor activity); GO:0005886 (plasma membrane); GO:0005515 (protein binding); GO:0097112 (gamma-aminobutyric acid receptor clustering); GO:0050811 (GABA receptor binding)</t>
  </si>
  <si>
    <t xml:space="preserve">Probable 3',5'-cyclic phosphodiesterase pde-5 </t>
  </si>
  <si>
    <t>GO:0008081 (phosphoric diester hydrolase activity); GO:0004114 (3',5'-cyclic-nucleotide phosphodiesterase activity); GO:0007165 (signal transduction); GO:0005515 (protein binding)</t>
  </si>
  <si>
    <t xml:space="preserve">Probable 3',5'-cyclic phosphodiesterase pde-6 </t>
  </si>
  <si>
    <t>GO:0008081 (phosphoric diester hydrolase activity); GO:0004114 (3',5'-cyclic-nucleotide phosphodiesterase activity); GO:0007165 (signal transduction); GO:0016787 (hydrolase activity); GO:0046872 (metal ion binding); GO:0004115 (3',5'-cyclic-AMP phosphodiesterase activity); GO:1900194 (negative regulation of oocyte maturation)</t>
  </si>
  <si>
    <t xml:space="preserve">EFF-1A; Epithelial Fusion Failure </t>
  </si>
  <si>
    <t>GO:0016020 (membrane); GO:0016021 (integral component of membrane); GO:0000768 (syncytium formation by plasma membrane fusion); GO:0005576 (extracellular region); GO:0007275 (multicellular organism development); GO:0044291 (cell-cell contact zone); GO:0042802 (identical protein binding); GO:0005737 (cytoplasm); GO:0018991 (oviposition); GO:0040011 (locomotion); GO:0040025 (vulval development); GO:0090597 (nematode male tail mating organ morphogenesis); GO:0010172 (embryonic body morphogenesis); GO:0005887 (integral component of plasma membrane); GO:0045138 (nematode male tail tip morphogenesis); GO:0002009 (morphogenesis of an epithelium); GO:0040032 (post-embryonic body morphogenesis); GO:0043282 (pharyngeal muscle development); GO:0140253 (cell-cell fusion)</t>
  </si>
  <si>
    <t xml:space="preserve">CaDmium Responsive; Cadmium-inducible lysosomal protein CDR-4 </t>
  </si>
  <si>
    <t>GO:0005737 (cytoplasm); GO:0045087 (innate immune response); GO:0030968 (endoplasmic reticulum unfolded protein response); GO:0005764 (lysosome); GO:1990170 (stress response to cadmium ion)</t>
  </si>
  <si>
    <t>GO:0003743 (translation initiation factor activity); GO:0006413 (translational initiation); GO:0044237 (cellular metabolic process); GO:0008340 (determination of adult lifespan); GO:0019915 (lipid storage); GO:0009408 (response to heat); GO:0006979 (response to oxidative stress); GO:0006412 (translation)</t>
  </si>
  <si>
    <t>GO:0005737 (cytoplasm); GO:0005515 (protein binding); GO:0060828 (regulation of canonical Wnt signaling pathway); GO:0019207 (kinase regulator activity); GO:0051018 (protein kinase A binding); GO:0043549 (regulation of kinase activity)</t>
  </si>
  <si>
    <t>GO:0003723 (RNA binding); GO:0005737 (cytoplasm); GO:0003743 (translation initiation factor activity); GO:0006413 (translational initiation); GO:0022627 (cytosolic small ribosomal subunit); GO:0001731 (formation of translation preinitiation complex)</t>
  </si>
  <si>
    <t xml:space="preserve">Nose resistant to fluoxetine protein 6 </t>
  </si>
  <si>
    <t>GO:0016747 (transferase activity, transferring acyl groups other than amino-acyl groups)</t>
  </si>
  <si>
    <t>GO:0005634 (nucleus); GO:0035064 (methylated histone binding); GO:0000124 (SAGA complex); GO:0043966 (histone H3 acetylation); GO:0005671 (Ada2/Gcn5/Ada3 transcription activator complex)</t>
  </si>
  <si>
    <t xml:space="preserve">Vacuolar protein sorting-associated protein 35 </t>
  </si>
  <si>
    <t>GO:0016020 (membrane); GO:0015031 (protein transport); GO:0006886 (intracellular protein transport); GO:0005770 (late endosome); GO:0005829 (cytosol); GO:0030904 (retromer complex); GO:0030906 (retromer, cargo-selective complex); GO:0042147 (retrograde transport, endosome to Golgi); GO:0043025 (neuronal cell body); GO:0030425 (dendrite); GO:1903539 (protein localization to postsynaptic membrane); GO:1905606 (regulation of presynapse assembly)</t>
  </si>
  <si>
    <t>GO:0005783 (endoplasmic reticulum); GO:0050790 (regulation of catalytic activity); GO:0000774 (adenyl-nucleotide exchange factor activity)</t>
  </si>
  <si>
    <t xml:space="preserve">Conserved Cysteine/Glycine domain protein </t>
  </si>
  <si>
    <t xml:space="preserve">26S proteasome non-ATPase regulatory subunit 2 </t>
  </si>
  <si>
    <t>GO:0005634 (nucleus); GO:0043161 (proteasome-mediated ubiquitin-dependent protein catabolic process); GO:0050790 (regulation of catalytic activity); GO:0004175 (endopeptidase activity); GO:0000502 (proteasome complex); GO:0008540 (proteasome regulatory particle, base subcomplex); GO:0030234 (enzyme regulator activity); GO:0042176 (regulation of protein catabolic process); GO:0034515 (proteasome storage granule); GO:0022624 (proteasome accessory complex); GO:0002119 (nematode larval development); GO:0000003 (reproduction)</t>
  </si>
  <si>
    <t xml:space="preserve">TuBulin folding Cofactor E homolog </t>
  </si>
  <si>
    <t>GO:0005737 (cytoplasm); GO:0000226 (microtubule cytoskeleton organization); GO:0007021 (tubulin complex assembly); GO:0043014 (alpha-tubulin binding); GO:0007023 (post-chaperonin tubulin folding pathway)</t>
  </si>
  <si>
    <t xml:space="preserve">TWiK family of potassium channels protein 18 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</si>
  <si>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GO:0006813 (potassium ion transport); GO:0040011 (locomotion); GO:0015271 (outward rectifier potassium channel activity); GO:0006936 (muscle contraction)</t>
  </si>
  <si>
    <t xml:space="preserve">T-box protein 2 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</si>
  <si>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GO:0001708 (cell fate specification); GO:0043282 (pharyngeal muscle development); GO:0010468 (regulation of gene expression); GO:0002119 (nematode larval development); GO:0005737 (cytoplasm); GO:0040011 (locomotion); GO:0032880 (regulation of protein localization); GO:0042048 (olfactory behavior); GO:0019899 (enzyme binding); GO:0005667 (transcription regulator complex); GO:0042694 (muscle cell fate specification); GO:0001217 (DNA-binding transcription repressor activity); GO:0045892 (negative regulation of transcription, DNA-templated); GO:0001046 (core promoter sequence-specific DNA binding)</t>
  </si>
  <si>
    <t xml:space="preserve">UPF0057 membrane protein T23F2.3 </t>
  </si>
  <si>
    <t xml:space="preserve">DNA-directed RNA polymerase subunit </t>
  </si>
  <si>
    <t>GO:0003677 (DNA binding); GO:0005634 (nucleus); GO:0016740 (transferase activity); GO:0016779 (nucleotidyltransferase activity); GO:0006351 (transcription, DNA-templated); GO:0003899 (DNA-directed 5'-3' RNA polymerase activity); GO:0005666 (RNA polymerase III complex)</t>
  </si>
  <si>
    <t xml:space="preserve">Proline HYdroxylase </t>
  </si>
  <si>
    <t>GO:0046872 (metal ion binding); GO:0016491 (oxidoreductase activity); GO:0005783 (endoplasmic reticulum); GO:0051213 (dioxygenase activity); GO:0005506 (iron ion binding); GO:0016705 (oxidoreductase activity, acting on paired donors, with incorporation or reduction of molecular oxygen); GO:0018401 (peptidyl-proline hydroxylation to 4-hydroxy-L-proline); GO:0031418 (L-ascorbic acid binding); GO:0004656 (procollagen-proline 4-dioxygenase activity); GO:0055114 (oxidation-reduction process)</t>
  </si>
  <si>
    <t xml:space="preserve">DNA-(apurinic or apyrimidinic site) lyase </t>
  </si>
  <si>
    <t>GO:0005634 (nucleus); GO:0046872 (metal ion binding); GO:0006281 (DNA repair); GO:0090305 (nucleic acid phosphodiester bond hydrolysis); GO:0006974 (cellular response to DNA damage stimulus); GO:0004527 (exonuclease activity); GO:0003906 (DNA-(apurinic or apyrimidinic site) endonuclease activity); GO:0004518 (nuclease activity); GO:0004528 (phosphodiesterase I activity); GO:0006284 (base-excision repair); GO:0008311 (double-stranded DNA 3'-5' exodeoxyribonuclease activity); GO:0004519 (endonuclease activity); GO:0009792 (embryo development ending in birth or egg hatching); GO:0002119 (nematode larval development); GO:0008081 (phosphoric diester hydrolase activity)</t>
  </si>
  <si>
    <t>GO:0016020 (membrane); GO:0016021 (integral component of membrane); GO:0010883 (regulation of lipid storage); GO:0090087 (regulation of peptide transport); GO:2000192 (negative regulation of fatty acid transport)</t>
  </si>
  <si>
    <t xml:space="preserve">Sex Peptide Receptor (Drosophila) Related </t>
  </si>
  <si>
    <t xml:space="preserve">Serine/threonine-protein kinase pak-2 </t>
  </si>
  <si>
    <t>GO:0004672 (protein kinase activity); GO:0004674 (protein serine/threonine kinase activity); GO:0006468 (protein phosphorylation); GO:0005524 (ATP binding)</t>
  </si>
  <si>
    <t>GO:0045087 (innate immune response); GO:0005515 (protein binding)</t>
  </si>
  <si>
    <t xml:space="preserve">XPD (Xeroderma Pigmentosum complementation group D) related </t>
  </si>
  <si>
    <t>GO:0005634 (nucleus); GO:0005524 (ATP binding); GO:0016787 (hydrolase activity); GO:0004386 (helicase activity); GO:0003677 (DNA binding); GO:0000166 (nucleotide binding); GO:0003676 (nucleic acid binding); GO:0006139 (nucleobase-containing compound metabolic process); GO:0006366 (transcription by RNA polymerase II); GO:0006281 (DNA repair); GO:0006974 (cellular response to DNA damage stimulus); GO:0006289 (nucleotide-excision repair); GO:0003678 (DNA helicase activity); GO:0003684 (damaged DNA binding); GO:0006979 (response to oxidative stress); GO:0016818 (hydrolase activity, acting on acid anhydrides, in phosphorus-containing anhydrides); GO:0033683 (nucleotide-excision repair, DNA incision); GO:0009411 (response to UV); GO:0000717 (nucleotide-excision repair, DNA duplex unwinding); GO:0045951 (positive regulation of mitotic recombination); GO:0016887 (ATPase activity)</t>
  </si>
  <si>
    <t>GO:0016020 (membrane); GO:0016021 (integral component of membrane); GO:0005524 (ATP binding); GO:0004672 (protein kinase activity); GO:0006468 (protein phosphorylation); GO:0000166 (nucleotide binding); GO:0004715 (non-membrane spanning protein tyrosine kinase activity); GO:0018108 (peptidyl-tyrosine phosphorylation); GO:0031234 (extrinsic component of cytoplasmic side of plasma membrane); GO:0005102 (signaling receptor binding); GO:0007169 (transmembrane receptor protein tyrosine kinase signaling pathway); GO:0030154 (cell differentiation); GO:0045087 (innate immune response); GO:0009792 (embryo development ending in birth or egg hatching); GO:0040011 (locomotion); GO:0031252 (cell leading edge); GO:0071944 (cell periphery); GO:0005515 (protein binding); GO:0004713 (protein tyrosine kinase activity)</t>
  </si>
  <si>
    <t>GO:0038023 (signaling receptor activity); GO:0030246 (carbohydrate binding); GO:0050830 (defense response to Gram-positive bacterium)</t>
  </si>
  <si>
    <t xml:space="preserve">Synaptosomal-associated protein </t>
  </si>
  <si>
    <t>GO:0098793 (presynapse); GO:0005886 (plasma membrane); GO:0019905 (syntaxin binding); GO:0045202 (synapse); GO:0031201 (SNARE complex); GO:0043005 (neuron projection); GO:0005484 (SNAP receptor activity); GO:0006887 (exocytosis); GO:0006906 (vesicle fusion); GO:0016082 (synaptic vesicle priming); GO:0031629 (synaptic vesicle fusion to presynaptic active zone membrane); GO:0007271 (synaptic transmission, cholinergic)</t>
  </si>
  <si>
    <t>GO:0005737 (cytoplasm); GO:0000302 (response to reactive oxygen species); GO:0006629 (lipid metabolic process); GO:0006869 (lipid transport); GO:0005576 (extracellular region)</t>
  </si>
  <si>
    <t xml:space="preserve">26S proteasome non-ATPase regulatory subunit 6 </t>
  </si>
  <si>
    <t>GO:0030234 (enzyme regulator activity)</t>
  </si>
  <si>
    <t>GO:0005737 (cytoplasm); GO:0005739 (mitochondrion); GO:0030488 (tRNA methylation); GO:0002098 (tRNA wobble uridine modification); GO:0005515 (protein binding)</t>
  </si>
  <si>
    <t>GO:0003723 (RNA binding); GO:0006417 (regulation of translation); GO:0005737 (cytoplasm); GO:0045836 (positive regulation of meiotic nuclear division); GO:0005515 (protein binding)</t>
  </si>
  <si>
    <t xml:space="preserve">Probable elongation factor 1-beta/1-delta 2 </t>
  </si>
  <si>
    <t>GO:0005853 (eukaryotic translation elongation factor 1 complex); GO:0006414 (translational elongation); GO:0003746 (translation elongation factor activity)</t>
  </si>
  <si>
    <t>GO:0016311 (dephosphorylation); GO:0016791 (phosphatase activity); GO:0005829 (cytosol); GO:0006470 (protein dephosphorylation); GO:0004427 (inorganic diphosphatase activity); GO:0101006 (protein histidine phosphatase activity)</t>
  </si>
  <si>
    <t xml:space="preserve">SPD-1 </t>
  </si>
  <si>
    <t>GO:0005737 (cytoplasm); GO:0008017 (microtubule binding); GO:0000226 (microtubule cytoskeleton organization); GO:0051256 (mitotic spindle midzone assembly); GO:0061073 (ciliary body morphogenesis); GO:0005819 (spindle); GO:0009792 (embryo development ending in birth or egg hatching); GO:0005634 (nucleus); GO:0040017 (positive regulation of locomotion); GO:0008406 (gonad development); GO:0040014 (regulation of multicellular organism growth); GO:0005874 (microtubule); GO:1990023 (mitotic spindle midzone); GO:0007052 (mitotic spindle organization)</t>
  </si>
  <si>
    <t xml:space="preserve">Tyrosine-protein kinase abl-1 </t>
  </si>
  <si>
    <t>GO:0004715 (non-membrane spanning protein tyrosine kinase activity); GO:0004713 (protein tyrosine kinase activity); GO:0004672 (protein kinase activity); GO:0006468 (protein phosphorylation); GO:0005515 (protein binding); GO:0005524 (ATP binding)</t>
  </si>
  <si>
    <t xml:space="preserve">INtegrator complex SubuniT 1 homolog </t>
  </si>
  <si>
    <t>GO:0032039 (integrator complex); GO:0034474 (U2 snRNA 3'-end processing)</t>
  </si>
  <si>
    <t xml:space="preserve">SUMO-activating enzyme subunit uba-2 </t>
  </si>
  <si>
    <t>GO:0005737 (cytoplasm); GO:0046872 (metal ion binding); GO:0000166 (nucleotide binding); GO:0016740 (transferase activity); GO:0005524 (ATP binding); GO:0008641 (ubiquitin-like modifier activating enzyme activity); GO:0032446 (protein modification by small protein conjugation); GO:0016925 (protein sumoylation); GO:0019948 (SUMO activating enzyme activity); GO:0031510 (SUMO activating enzyme complex); GO:0009792 (embryo development ending in birth or egg hatching); GO:0002119 (nematode larval development); GO:0009952 (anterior/posterior pattern specification); GO:0018215 (protein phosphopantetheinylation)</t>
  </si>
  <si>
    <t>GO:0016020 (membrane); GO:0016021 (integral component of membrane); GO:0016740 (transferase activity); GO:0006629 (lipid metabolic process); GO:0006631 (fatty acid metabolic process); GO:0006633 (fatty acid biosynthetic process); GO:0009922 (fatty acid elongase activity); GO:0019367 (fatty acid elongation, saturated fatty acid); GO:0030148 (sphingolipid biosynthetic process); GO:0030176 (integral component of endoplasmic reticulum membrane); GO:0034625 (fatty acid elongation, monounsaturated fatty acid); GO:0034626 (fatty acid elongation, polyunsaturated fatty acid); GO:0042761 (very long-chain fatty acid biosynthetic process); GO:0102336 (3-oxo-arachidoyl-CoA synthase activity); GO:0102337 (3-oxo-cerotoyl-CoA synthase activity); GO:0102338 (3-oxo-lignoceronyl-CoA synthase activity); GO:0102756 (very-long-chain 3-ketoacyl-CoA synthase activity)</t>
  </si>
  <si>
    <t xml:space="preserve">Beta GALactosidase homolog </t>
  </si>
  <si>
    <t>GO:0005634 (nucleus); GO:0005524 (ATP binding); GO:0000166 (nucleotide binding); GO:0045944 (positive regulation of transcription by RNA polymerase II); GO:0008134 (transcription factor binding); GO:0003677 (DNA binding); GO:0043044 (ATP-dependent chromatin remodeling); GO:0042393 (histone binding); GO:0008094 (DNA-dependent ATPase activity); GO:0070615 (nucleosome-dependent ATPase activity)</t>
  </si>
  <si>
    <t xml:space="preserve">Histone-lysine N-methyltransferase mes-2 </t>
  </si>
  <si>
    <t>GO:0005634 (nucleus); GO:0005524 (ATP binding); GO:0016787 (hydrolase activity); GO:0004386 (helicase activity); GO:0003677 (DNA binding); GO:0046872 (metal ion binding); GO:0000166 (nucleotide binding); GO:0007049 (cell cycle); GO:0006260 (DNA replication); GO:0003688 (DNA replication origin binding); GO:1902975 (mitotic DNA replication initiation); GO:0000727 (double-strand break repair via break-induced replication); GO:0043138 (3'-5' DNA helicase activity); GO:0003697 (single-stranded DNA binding); GO:0006270 (DNA replication initiation); GO:0042555 (MCM complex); GO:0003678 (DNA helicase activity); GO:0006268 (DNA unwinding involved in DNA replication); GO:0006267 (pre-replicative complex assembly involved in nuclear cell cycle DNA replication); GO:1905775 (negative regulation of DNA helicase activity); GO:0000793 (condensed chromosome); GO:0045120 (pronucleus); GO:0032508 (DNA duplex unwinding); GO:0017116 (single-stranded DNA helicase activity); GO:0016887 (ATPase activity)</t>
  </si>
  <si>
    <t xml:space="preserve">Osm-6 protein </t>
  </si>
  <si>
    <t>GO:1902075 (cellular response to salt); GO:0005929 (cilium); GO:0030992 (intraciliary transport particle B); GO:0042073 (intraciliary transport); GO:0060271 (cilium assembly); GO:0005814 (centriole); GO:0036064 (ciliary basal body); GO:0006935 (chemotaxis); GO:0097730 (non-motile cilium); GO:1905515 (non-motile cilium assembly); GO:0035869 (ciliary transition zone); GO:0043025 (neuronal cell body); GO:0005737 (cytoplasm); GO:0003674 (molecular_function); GO:0006970 (response to osmotic stress); GO:0050954 (sensory perception of mechanical stimulus)</t>
  </si>
  <si>
    <t xml:space="preserve">Egg laying defective EGL-47A </t>
  </si>
  <si>
    <t>GO:0016020 (membrane); GO:0016021 (integral component of membrane); GO:0005886 (plasma membrane); GO:0030424 (axon); GO:0043025 (neuronal cell body); GO:0030425 (dendrite); GO:0050909 (sensory perception of taste); GO:0018991 (oviposition); GO:0004930 (G protein-coupled receptor activity); GO:0007186 (G protein-coupled receptor signaling pathway)</t>
  </si>
  <si>
    <t xml:space="preserve">Ref/ALY RNA export adaptor family </t>
  </si>
  <si>
    <t>GO:0003824 (catalytic activity); GO:0008152 (metabolic process); GO:0016787 (hydrolase activity); GO:0016798 (hydrolase activity, acting on glycosyl bonds); GO:0046872 (metal ion binding); GO:0005975 (carbohydrate metabolic process); GO:0043169 (cation binding); GO:0004556 (alpha-amylase activity); GO:0103025 (alpha-amylase activity (releasing maltohexaose))</t>
  </si>
  <si>
    <t xml:space="preserve">T-complex protein 1 subunit delta </t>
  </si>
  <si>
    <t>GO:0005524 (ATP binding); GO:0000166 (nucleotide binding); GO:0005737 (cytoplasm); GO:0016887 (ATPase activity); GO:0051082 (unfolded protein binding); GO:0006457 (protein folding); GO:0005832 (chaperonin-containing T-complex); GO:0040032 (post-embryonic body morphogenesis)</t>
  </si>
  <si>
    <t xml:space="preserve">T-complex protein 1 subunit zeta </t>
  </si>
  <si>
    <t xml:space="preserve">QUInine non-avoider </t>
  </si>
  <si>
    <t>GO:0005634 (nucleus); GO:0005737 (cytoplasm); GO:0042995 (cell projection); GO:0030424 (axon); GO:0005829 (cytosol); GO:0030425 (dendrite); GO:0043204 (perikaryon); GO:0043025 (neuronal cell body); GO:0003674 (molecular_function); GO:0043279 (response to alkaloid); GO:0005515 (protein binding)</t>
  </si>
  <si>
    <t xml:space="preserve">Mitogen-activated protein kinase 15 </t>
  </si>
  <si>
    <t>GO:0004707 (MAP kinase activity); GO:0004672 (protein kinase activity); GO:0006468 (protein phosphorylation); GO:0005524 (ATP binding)</t>
  </si>
  <si>
    <t xml:space="preserve">TachyKinin Receptor family </t>
  </si>
  <si>
    <t>GO:0016020 (membrane); GO:0016021 (integral component of membrane); GO:0004930 (G protein-coupled receptor activity); GO:0004983 (neuropeptide Y receptor activity); GO:0007186 (G protein-coupled receptor signaling pathway); GO:0007218 (neuropeptide signaling pathway)</t>
  </si>
  <si>
    <t xml:space="preserve">Ubiquitin-like protease 4 </t>
  </si>
  <si>
    <t>GO:0016787 (hydrolase activity); GO:0005634 (nucleus); GO:0005737 (cytoplasm); GO:0006508 (proteolysis); GO:0008233 (peptidase activity); GO:0005856 (cytoskeleton); GO:0008234 (cysteine-type peptidase activity); GO:0005739 (mitochondrion); GO:0008340 (determination of adult lifespan); GO:0045087 (innate immune response); GO:0005759 (mitochondrial matrix); GO:0005815 (microtubule organizing center); GO:0042307 (positive regulation of protein import into nucleus); GO:0016925 (protein sumoylation); GO:0016926 (protein desumoylation); GO:0034514 (mitochondrial unfolded protein response); GO:0008134 (transcription factor binding); GO:0070140 (SUMO-specific isopeptidase activity); GO:0051091 (positive regulation of DNA-binding transcription factor activity)</t>
  </si>
  <si>
    <t xml:space="preserve">Tyrosine-protein kinase </t>
  </si>
  <si>
    <t>GO:0005524 (ATP binding); GO:0004672 (protein kinase activity); GO:0006468 (protein phosphorylation); GO:0016301 (kinase activity); GO:0016310 (phosphorylation); GO:0000166 (nucleotide binding); GO:0016740 (transferase activity); GO:0004713 (protein tyrosine kinase activity); GO:0004715 (non-membrane spanning protein tyrosine kinase activity); GO:0018108 (peptidyl-tyrosine phosphorylation); GO:0031234 (extrinsic component of cytoplasmic side of plasma membrane); GO:0005102 (signaling receptor binding); GO:0007169 (transmembrane receptor protein tyrosine kinase signaling pathway); GO:0030154 (cell differentiation); GO:0045087 (innate immune response); GO:0004714 (transmembrane receptor protein tyrosine kinase activity)</t>
  </si>
  <si>
    <t xml:space="preserve">MecKel-Gruber Syndrome (MKS) homolog </t>
  </si>
  <si>
    <t>GO:0044292 (dendrite terminus); GO:1904491 (protein localization to ciliary transition zone); GO:1905515 (non-motile cilium assembly); GO:0035869 (ciliary transition zone); GO:0003674 (molecular_function)</t>
  </si>
  <si>
    <t xml:space="preserve">CAPA (Insect neuropeptide) related </t>
  </si>
  <si>
    <t>GO:0007218 (neuropeptide signaling pathway); GO:0001664 (G protein-coupled receptor binding)</t>
  </si>
  <si>
    <t xml:space="preserve">T-box transcription factor mls-1 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</si>
  <si>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GO:0001708 (cell fate specification); GO:0009791 (post-embryonic development); GO:0042694 (muscle cell fate specification)</t>
  </si>
  <si>
    <t xml:space="preserve">WD repeat-containing protein dyf-2 </t>
  </si>
  <si>
    <t>GO:0035721 (intraciliary retrograde transport); GO:0005515 (protein binding)</t>
  </si>
  <si>
    <t xml:space="preserve">AdaPTin or adaptin-related protein </t>
  </si>
  <si>
    <t>GO:0006886 (intracellular protein transport); GO:0015031 (protein transport); GO:0009306 (protein secretion); GO:0047485 (protein N-terminus binding)</t>
  </si>
  <si>
    <t>GO:0016020 (membrane); GO:0016021 (integral component of membrane); GO:0005789 (endoplasmic reticulum membrane); GO:0005975 (carbohydrate metabolic process); GO:0006487 (protein N-linked glycosylation); GO:0004573 (mannosyl-oligosaccharide glucosidase activity); GO:0009311 (oligosaccharide metabolic process)</t>
  </si>
  <si>
    <t xml:space="preserve">Regulator of G-protein signaling rgs-6 </t>
  </si>
  <si>
    <t xml:space="preserve">Heterogeneous nuclear RibonucleoProtein (HnRNP) K homolog </t>
  </si>
  <si>
    <t>GO:0005634 (nucleus); GO:0005737 (cytoplasm); GO:0003723 (RNA binding); GO:0003676 (nucleic acid binding); GO:0003729 (mRNA binding); GO:0031047 (gene silencing by RNA); GO:0005515 (protein binding); GO:0006357 (regulation of transcription by RNA polymerase II); GO:0010468 (regulation of gene expression); GO:0048024 (regulation of mRNA splicing, via spliceosome); GO:0009792 (embryo development ending in birth or egg hatching); GO:0006974 (cellular response to DNA damage stimulus)</t>
  </si>
  <si>
    <t xml:space="preserve">Ribonuclease Z </t>
  </si>
  <si>
    <t>GO:0016787 (hydrolase activity); GO:0005634 (nucleus); GO:0046872 (metal ion binding); GO:0005739 (mitochondrion); GO:0008033 (tRNA processing); GO:0004518 (nuclease activity); GO:0004519 (endonuclease activity); GO:0072684 (mitochondrial tRNA 3'-trailer cleavage, endonucleolytic); GO:0002119 (nematode larval development); GO:0040026 (positive regulation of vulval development); GO:0007281 (germ cell development); GO:0051321 (meiotic cell cycle); GO:0042781 (3'-tRNA processing endoribonuclease activity)</t>
  </si>
  <si>
    <t xml:space="preserve">Replication factor C subunit 4 </t>
  </si>
  <si>
    <t>GO:0005634 (nucleus); GO:0005524 (ATP binding); GO:0000166 (nucleotide binding); GO:0016887 (ATPase activity); GO:0006260 (DNA replication); GO:0005515 (protein binding); GO:0006261 (DNA-dependent DNA replication); GO:0006281 (DNA repair); GO:0003689 (DNA clamp loader activity); GO:0005663 (DNA replication factor C complex)</t>
  </si>
  <si>
    <t>GO:0005737 (cytoplasm); GO:0005654 (nucleoplasm); GO:0051082 (unfolded protein binding); GO:0000493 (box H/ACA snoRNP assembly); GO:0022618 (ribonucleoprotein complex assembly)</t>
  </si>
  <si>
    <t xml:space="preserve">Probable dolichyl pyrophosphate Glc1Man9GlcNAc2 alpha-1,3-glucosyltransferase </t>
  </si>
  <si>
    <t>GO:0016020 (membrane); GO:0016021 (integral component of membrane); GO:0016740 (transferase activity); GO:0016757 (transferase activity, transferring glycosyl groups); GO:0016758 (transferase activity, transferring hexosyl groups); GO:0005789 (endoplasmic reticulum membrane); GO:0006486 (protein glycosylation); GO:0006281 (DNA repair); GO:0090305 (nucleic acid phosphodiester bond hydrolysis); GO:0006487 (protein N-linked glycosylation); GO:0005783 (endoplasmic reticulum); GO:0004519 (endonuclease activity); GO:0006490 (oligosaccharide-lipid intermediate biosynthetic process); GO:0042283 (dolichyl pyrophosphate Glc1Man9GlcNAc2 alpha-1,3-glucosyltransferase activity)</t>
  </si>
  <si>
    <t xml:space="preserve">Probable ATP-dependent RNA helicase DHX35 homolog </t>
  </si>
  <si>
    <t xml:space="preserve">DNA polymerase </t>
  </si>
  <si>
    <t>GO:0005634 (nucleus); GO:0000166 (nucleotide binding); GO:0003677 (DNA binding); GO:0016740 (transferase activity); GO:0003676 (nucleic acid binding); GO:0016779 (nucleotidyltransferase activity); GO:0003887 (DNA-directed DNA polymerase activity); GO:0006260 (DNA replication); GO:0006281 (DNA repair); GO:0016035 (zeta DNA polymerase complex); GO:0019985 (translesion synthesis); GO:0042276 (error-prone translesion synthesis); GO:0090305 (nucleic acid phosphodiester bond hydrolysis); GO:0000724 (double-strand break repair via homologous recombination)</t>
  </si>
  <si>
    <t>GO:0006631 (fatty acid metabolic process); GO:0016491 (oxidoreductase activity); GO:0016616 (oxidoreductase activity, acting on the CH-OH group of donors, NAD or NADP as acceptor); GO:0070403 (NAD+ binding); GO:0003857 (3-hydroxyacyl-CoA dehydrogenase activity); GO:0055114 (oxidation-reduction process)</t>
  </si>
  <si>
    <t xml:space="preserve">Nematode Polyprotein Allergen related; Nematode polyprotein allergen related, post-translationnally cleaved, the diverse 14.5 kDa cleavage products bind lipids and retinol (164.6 kD) (Npa-1) </t>
  </si>
  <si>
    <t xml:space="preserve">Nucleoporin SEH1 </t>
  </si>
  <si>
    <t>GO:0016020 (membrane); GO:0005634 (nucleus); GO:0005198 (structural molecule activity); GO:0015031 (protein transport); GO:0005764 (lysosome); GO:0005765 (lysosomal membrane); GO:0031080 (nuclear pore outer ring); GO:0034198 (cellular response to amino acid starvation); GO:0005643 (nuclear pore); GO:0051028 (mRNA transport); GO:0035859 (Seh1-associated complex); GO:1904263 (positive regulation of TORC1 signaling); GO:0005515 (protein binding)</t>
  </si>
  <si>
    <t xml:space="preserve">Putative cuticle collagen 75 </t>
  </si>
  <si>
    <t xml:space="preserve">Conserved regulator of innate immunity protein 3 </t>
  </si>
  <si>
    <t>GO:0005759 (mitochondrial matrix)</t>
  </si>
  <si>
    <t xml:space="preserve">Protein MTO1 homolog, mitochondrial </t>
  </si>
  <si>
    <t>GO:0008033 (tRNA processing); GO:0002098 (tRNA wobble uridine modification); GO:0050660 (flavin adenine dinucleotide binding)</t>
  </si>
  <si>
    <t xml:space="preserve">Dipeptidyl peptidase family member 1 </t>
  </si>
  <si>
    <t xml:space="preserve">NITrilase </t>
  </si>
  <si>
    <t>GO:0003824 (catalytic activity); GO:0016787 (hydrolase activity); GO:0006807 (nitrogen compound metabolic process); GO:0000257 (nitrilase activity); GO:0018822 (nitrile hydratase activity); GO:0051410 (detoxification of nitrogen compound)</t>
  </si>
  <si>
    <t>GO:0016020 (membrane); GO:0005737 (cytoplasm); GO:0005102 (signaling receptor binding); GO:0005783 (endoplasmic reticulum); GO:0006621 (protein retention in ER lumen); GO:0005515 (protein binding)</t>
  </si>
  <si>
    <t xml:space="preserve">Tetratricopeptide repeat-containing protein trd-1 </t>
  </si>
  <si>
    <t>GO:0005737 (cytoplasm); GO:0030154 (cell differentiation); GO:0005515 (protein binding)</t>
  </si>
  <si>
    <t>GO:0016020 (membrane); GO:0016021 (integral component of membrane); GO:0000139 (Golgi membrane); GO:0005794 (Golgi apparatus); GO:0015031 (protein transport); GO:0005829 (cytosol); GO:0030173 (integral component of Golgi membrane); GO:0005802 (trans-Golgi network); GO:0043001 (Golgi to plasma membrane protein transport); GO:0006895 (Golgi to endosome transport); GO:0034067 (protein localization to Golgi apparatus)</t>
  </si>
  <si>
    <t xml:space="preserve">Kelch repeat-containing protein kel-10 </t>
  </si>
  <si>
    <t xml:space="preserve">LU (Ly6 Urokinase plasminogen) domain Receptor-related Protein </t>
  </si>
  <si>
    <t xml:space="preserve">CystaTHionine gamma lyase </t>
  </si>
  <si>
    <t>GO:0005737 (cytoplasm); GO:0003824 (catalytic activity); GO:0030170 (pyridoxal phosphate binding); GO:0016846 (carbon-sulfur lyase activity); GO:0019346 (transsulfuration); GO:0004123 (cystathionine gamma-lyase activity); GO:0019343 (cysteine biosynthetic process via cystathionine); GO:0019344 (cysteine biosynthetic process); GO:0044540 (L-cystine L-cysteine-lyase (deaminating)); GO:0080146 (L-cysteine desulfhydrase activity)</t>
  </si>
  <si>
    <t xml:space="preserve">Mtor (MTOR) associated protein, LST8 homolog </t>
  </si>
  <si>
    <t>GO:0032956 (regulation of actin cytoskeleton organization); GO:0031929 (TOR signaling); GO:0031931 (TORC1 complex); GO:0031932 (TORC2 complex); GO:0048382 (mesendoderm development); GO:0005515 (protein binding)</t>
  </si>
  <si>
    <t xml:space="preserve">Transitional endoplasmic reticulum ATPase homolog 1 </t>
  </si>
  <si>
    <t>GO:0005634 (nucleus); GO:0005524 (ATP binding); GO:0016787 (hydrolase activity); GO:0000166 (nucleotide binding); GO:0005737 (cytoplasm); GO:0005829 (cytosol); GO:0005515 (protein binding); GO:0016887 (ATPase activity); GO:0008340 (determination of adult lifespan); GO:0030433 (ubiquitin-dependent ERAD pathway); GO:0044877 (protein-containing complex binding); GO:0042802 (identical protein binding); GO:0032436 (positive regulation of proteasomal ubiquitin-dependent protein catabolic process); GO:0045977 (positive regulation of mitotic cell cycle, embryonic); GO:0071712 (ER-associated misfolded protein catabolic process); GO:0031593 (polyubiquitin modification-dependent protein binding); GO:0048471 (perinuclear region of cytoplasm); GO:0034098 (VCP-NPL4-UFD1 AAA ATPase complex); GO:1905634 (regulation of protein localization to chromatin); GO:0030970 (retrograde protein transport, ER to cytosol); GO:0051228 (mitotic spindle disassembly); GO:0097352 (autophagosome maturation); GO:0009792 (embryo development ending in birth or egg hatching); GO:0005654 (nucleoplasm)</t>
  </si>
  <si>
    <t xml:space="preserve">Serpentine Receptor, class E (Epsilon) </t>
  </si>
  <si>
    <t>GO:0016020 (membrane); GO:0016021 (integral component of membrane); GO:0007606 (sensory perception of chemical stimulus)</t>
  </si>
  <si>
    <t xml:space="preserve">Transcription factor sox-2 </t>
  </si>
  <si>
    <t>GO:0005634 (nucleus); GO:0003677 (DNA binding); GO:0000978 (RNA polymerase II cis-regulatory region sequence-specific DNA binding); GO:0000981 (DNA-binding transcription factor activity, RNA polymerase II-specific); GO:0006355 (regulation of transcription, DNA-templated); GO:0006357 (regulation of transcription by RNA polymerase II); GO:0030154 (cell differentiation); GO:0009653 (anatomical structure morphogenesis); GO:0000977 (RNA polymerase II transcription regulatory region sequence-specific DNA binding); GO:0005515 (protein binding); GO:0048665 (neuron fate specification)</t>
  </si>
  <si>
    <t xml:space="preserve">Ubiquitin thioesterase otubain-like </t>
  </si>
  <si>
    <t>GO:0016579 (protein deubiquitination); GO:0016787 (hydrolase activity)</t>
  </si>
  <si>
    <t>GO:0003729 (mRNA binding); GO:0006376 (mRNA splice site selection); GO:0005685 (U1 snRNP); GO:0071004 (U2-type prespliceosome)</t>
  </si>
  <si>
    <t xml:space="preserve">Metabotropic GLutamate receptor family </t>
  </si>
  <si>
    <t>GO:0016020 (membrane); GO:0016021 (integral component of membrane); GO:0005886 (plasma membrane); GO:0004930 (G protein-coupled receptor activity); GO:0007165 (signal transduction); GO:0007186 (G protein-coupled receptor signaling pathway); GO:0005887 (integral component of plasma membrane); GO:0007216 (G protein-coupled glutamate receptor signaling pathway); GO:0051966 (regulation of synaptic transmission, glutamatergic); GO:0007196 (adenylate cyclase-inhibiting G protein-coupled glutamate receptor signaling pathway); GO:0001640 (adenylate cyclase inhibiting G protein-coupled glutamate receptor activity); GO:0010884 (positive regulation of lipid storage)</t>
  </si>
  <si>
    <t>GO:0005198 (structural molecule activity); GO:0006886 (intracellular protein transport); GO:0016192 (vesicle-mediated transport); GO:0030117 (membrane coat); GO:0005515 (protein binding)</t>
  </si>
  <si>
    <t xml:space="preserve">Cadherin-4 </t>
  </si>
  <si>
    <t xml:space="preserve">Bladder cancer related protein </t>
  </si>
  <si>
    <t>GO:0006508 (proteolysis); GO:0008233 (peptidase activity); GO:0008234 (cysteine-type peptidase activity); GO:0019784 (NEDD8-specific protease activity)</t>
  </si>
  <si>
    <t xml:space="preserve">PHd Finger family </t>
  </si>
  <si>
    <t>GO:0005634 (nucleus); GO:0046872 (metal ion binding); GO:0042393 (histone binding); GO:0043972 (histone H3-K23 acetylation); GO:0043994 (histone acetyltransferase activity (H3-K23 specific)); GO:0044154 (histone H3-K14 acetylation); GO:0070776 (MOZ/MORF histone acetyltransferase complex)</t>
  </si>
  <si>
    <t xml:space="preserve">Serpentine Receptor, class U </t>
  </si>
  <si>
    <t xml:space="preserve">Acetylcholine receptor subunit beta-type acr-2 </t>
  </si>
  <si>
    <t xml:space="preserve">5H1 </t>
  </si>
  <si>
    <t>GO:0005829 (cytosol); GO:0006378 (mRNA polyadenylation); GO:0016779 (nucleotidyltransferase activity); GO:0004652 (polynucleotide adenylyltransferase activity); GO:0031123 (RNA 3'-end processing)</t>
  </si>
  <si>
    <t>GO:0005096 (GTPase activator activity); GO:0006886 (intracellular protein transport); GO:0090630 (activation of GTPase activity); GO:0005769 (early endosome)</t>
  </si>
  <si>
    <t xml:space="preserve">Serine/threonine-protein kinase par-4 </t>
  </si>
  <si>
    <t xml:space="preserve">Cytochrome OXidase assembly protein </t>
  </si>
  <si>
    <t>GO:0016020 (membrane); GO:0016021 (integral component of membrane); GO:0005739 (mitochondrion); GO:0005507 (copper ion binding); GO:0005743 (mitochondrial inner membrane); GO:0031304 (intrinsic component of mitochondrial inner membrane)</t>
  </si>
  <si>
    <t xml:space="preserve">Putative complexin-1 </t>
  </si>
  <si>
    <t>GO:0006836 (neurotransmitter transport); GO:0019905 (syntaxin binding)</t>
  </si>
  <si>
    <t>GO:0016020 (membrane); GO:0016021 (integral component of membrane); GO:0005576 (extracellular region); GO:0009986 (cell surface)</t>
  </si>
  <si>
    <t xml:space="preserve">Ubiquitin carboxyl-terminal hydrolase </t>
  </si>
  <si>
    <t>GO:0005634 (nucleus); GO:0006511 (ubiquitin-dependent protein catabolic process); GO:0005829 (cytosol); GO:0004197 (cysteine-type endopeptidase activity); GO:0016579 (protein deubiquitination); GO:0004843 (thiol-dependent ubiquitin-specific protease activity); GO:0031647 (regulation of protein stability); GO:0005737 (cytoplasm); GO:0008595 (anterior/posterior axis specification, embryo)</t>
  </si>
  <si>
    <t xml:space="preserve">Regulator of G-protein signaling rgs-11 </t>
  </si>
  <si>
    <t>GO:0016020 (membrane); GO:0016491 (oxidoreductase activity); GO:0005783 (endoplasmic reticulum); GO:0015036 (disulfide oxidoreductase activity); GO:0034975 (protein folding in endoplasmic reticulum); GO:0005788 (endoplasmic reticulum lumen)</t>
  </si>
  <si>
    <t>GO:0016020 (membrane); GO:0016021 (integral component of membrane); GO:0006986 (response to unfolded protein); GO:0030968 (endoplasmic reticulum unfolded protein response); GO:0005515 (protein binding)</t>
  </si>
  <si>
    <t>GO:0008152 (metabolic process); GO:0016787 (hydrolase activity); GO:0016798 (hydrolase activity, acting on glycosyl bonds); GO:0016301 (kinase activity); GO:0016310 (phosphorylation); GO:0046872 (metal ion binding); GO:0016740 (transferase activity); GO:0016829 (lyase activity); GO:0016773 (phosphotransferase activity, alcohol group as acceptor)</t>
  </si>
  <si>
    <t>GO:0016020 (membrane); GO:0016021 (integral component of membrane); GO:0008289 (lipid binding); GO:0031902 (late endosome membrane)</t>
  </si>
  <si>
    <t xml:space="preserve">Carnitine Palmitoyl Transferase </t>
  </si>
  <si>
    <t>GO:0016740 (transferase activity); GO:0016746 (transferase activity, transferring acyl groups); GO:0005739 (mitochondrion); GO:0004095 (carnitine O-palmitoyltransferase activity); GO:0009437 (carnitine metabolic process); GO:0006631 (fatty acid metabolic process)</t>
  </si>
  <si>
    <t xml:space="preserve">Mitochondrial elongation factor G2 </t>
  </si>
  <si>
    <t>GO:0003924 (GTPase activity); GO:0005525 (GTP binding); GO:0000166 (nucleotide binding); GO:0005739 (mitochondrion); GO:0006412 (translation); GO:0003746 (translation elongation factor activity); GO:0006414 (translational elongation); GO:0032543 (mitochondrial translation); GO:0032790 (ribosome disassembly)</t>
  </si>
  <si>
    <t xml:space="preserve">Histone H4 </t>
  </si>
  <si>
    <t>GO:0016020 (membrane); GO:0016021 (integral component of membrane); GO:0005524 (ATP binding); GO:0000166 (nucleotide binding); GO:0016887 (ATPase activity); GO:1990573 (potassium ion import across plasma membrane); GO:0005391 (sodium:potassium-exchanging ATPase activity); GO:0006883 (cellular sodium ion homeostasis); GO:0010248 (establishment or maintenance of transmembrane electrochemical gradient); GO:0030007 (cellular potassium ion homeostasis); GO:0036376 (sodium ion export across plasma membrane); GO:0002119 (nematode larval development); GO:0040024 (dauer larval development); GO:1902600 (proton transmembrane transport)</t>
  </si>
  <si>
    <t xml:space="preserve">Stomatin-1 </t>
  </si>
  <si>
    <t xml:space="preserve">Anterior pharynx in excess protein 1 </t>
  </si>
  <si>
    <t>GO:0007154 (cell communication); GO:0016020 (membrane); GO:0016021 (integral component of membrane)</t>
  </si>
  <si>
    <t xml:space="preserve">Probable ligand-gated ion channel 46 </t>
  </si>
  <si>
    <t>GO:0005634 (nucleus); GO:0005737 (cytoplasm); GO:0003723 (RNA binding); GO:0003676 (nucleic acid binding); GO:0003729 (mRNA binding); GO:0010468 (regulation of gene expression)</t>
  </si>
  <si>
    <t xml:space="preserve">Cytosolic carboxypeptidase 6 </t>
  </si>
  <si>
    <t>GO:0004181 (metallocarboxypeptidase activity); GO:0006508 (proteolysis); GO:0008270 (zinc ion binding)</t>
  </si>
  <si>
    <t xml:space="preserve">Nematocin receptor 1 </t>
  </si>
  <si>
    <t xml:space="preserve">Na/Ca eXchangers; Sodium-calcium exchanger </t>
  </si>
  <si>
    <t>GO:0006508 (proteolysis); GO:0004185 (serine-type carboxypeptidase activity)</t>
  </si>
  <si>
    <t xml:space="preserve">Zinc metalloproteinase nas-25 </t>
  </si>
  <si>
    <t>GO:0016020 (membrane); GO:0016021 (integral component of membrane); GO:0004930 (G protein-coupled receptor activity); GO:0007165 (signal transduction); GO:0007186 (G protein-coupled receptor signaling pathway); GO:0005887 (integral component of plasma membrane); GO:0007218 (neuropeptide signaling pathway); GO:0008528 (G protein-coupled peptide receptor activity)</t>
  </si>
  <si>
    <t xml:space="preserve">Esterase CM06B1 </t>
  </si>
  <si>
    <t>GO:0016020 (membrane); GO:0005886 (plasma membrane); GO:0016787 (hydrolase activity); GO:0005737 (cytoplasm); GO:0052689 (carboxylic ester hydrolase activity); GO:0080030 (methyl indole-3-acetate esterase activity)</t>
  </si>
  <si>
    <t xml:space="preserve">Spindle-defective protein 5 </t>
  </si>
  <si>
    <t>GO:0005737 (cytoplasm); GO:0005856 (cytoskeleton); GO:0007275 (multicellular organism development); GO:0007049 (cell cycle); GO:0005515 (protein binding); GO:0042802 (identical protein binding); GO:0005813 (centrosome); GO:0005815 (microtubule organizing center); GO:0045977 (positive regulation of mitotic cell cycle, embryonic); GO:0008104 (protein localization); GO:0007274 (neuromuscular synaptic transmission); GO:0048167 (regulation of synaptic plasticity); GO:0048788 (cytoskeleton of presynaptic active zone); GO:0033365 (protein localization to organelle); GO:0007098 (centrosome cycle); GO:0098882 (structural constituent of presynaptic active zone); GO:0048790 (maintenance of presynaptic active zone structure)</t>
  </si>
  <si>
    <t xml:space="preserve">Histone H3-like centromeric protein hcp-3 </t>
  </si>
  <si>
    <t>GO:0016020 (membrane); GO:0016021 (integral component of membrane); GO:0005509 (calcium ion binding); GO:0006897 (endocytosis); GO:0005515 (protein binding)</t>
  </si>
  <si>
    <t xml:space="preserve">T-complex protein 1 subunit beta </t>
  </si>
  <si>
    <t>GO:0005524 (ATP binding); GO:0000166 (nucleotide binding); GO:0005737 (cytoplasm); GO:0016887 (ATPase activity); GO:0005515 (protein binding); GO:0005829 (cytosol); GO:0051082 (unfolded protein binding); GO:0006457 (protein folding); GO:0005832 (chaperonin-containing T-complex)</t>
  </si>
  <si>
    <t xml:space="preserve">Metallothionein-2 </t>
  </si>
  <si>
    <t>GO:0016020 (membrane); GO:0016021 (integral component of membrane); GO:0005886 (plasma membrane); GO:0055085 (transmembrane transport); GO:0015171 (amino acid transmembrane transporter activity); GO:0000064 (L-ornithine transmembrane transporter activity); GO:1903401 (L-lysine transmembrane transport); GO:0006865 (amino acid transport); GO:0015181 (arginine transmembrane transporter activity); GO:0015189 (L-lysine transmembrane transporter activity); GO:0097638 (L-arginine import across plasma membrane); GO:1903352 (L-ornithine transmembrane transport); GO:0022857 (transmembrane transporter activity)</t>
  </si>
  <si>
    <t xml:space="preserve">Alpha/beta hydrolase domain-containing protein aho-3 </t>
  </si>
  <si>
    <t xml:space="preserve">REgulator of Fusion </t>
  </si>
  <si>
    <t>GO:0005634 (nucleus); GO:0000978 (RNA polymerase II cis-regulatory region sequence-specific DNA binding); GO:0000981 (DNA-binding transcription factor activity, RNA polymerase II-specific); GO:0006357 (regulation of transcription by RNA polymerase II); GO:0007417 (central nervous system development); GO:0000977 (RNA polymerase II transcription regulatory region sequence-specific DNA binding); GO:0002119 (nematode larval development); GO:0045944 (positive regulation of transcription by RNA polymerase II); GO:0048665 (neuron fate specification); GO:0001085 (RNA polymerase II transcription factor binding)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</si>
  <si>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GO:0018991 (oviposition); GO:0005198 (structural molecule activity); GO:0007635 (chemosensory behavior)</t>
  </si>
  <si>
    <t>GO:0005737 (cytoplasm); 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activity); GO:0060271 (cilium assembly)</t>
  </si>
  <si>
    <t xml:space="preserve">Homeobox protein vab-15 </t>
  </si>
  <si>
    <t>GO:0005634 (nucleus); GO:0003677 (DNA binding); GO:0006355 (regulation of transcription, DNA-templated); GO:0007275 (multicellular organism development); GO:0048598 (embryonic morphogenesis); GO:0000977 (RNA polymerase II transcription regulatory region sequence-specific DNA binding); GO:0000981 (DNA-binding transcription factor activity, RNA polymerase II-specific); GO:0006357 (regulation of transcription by RNA polymerase II); GO:0003700 (DNA-binding transcription factor activity); GO:0007567 (parturition); GO:0043565 (sequence-specific DNA binding); GO:0007626 (locomotory behavior)</t>
  </si>
  <si>
    <t xml:space="preserve">Sulfhydryl oxidase </t>
  </si>
  <si>
    <t>GO:0016491 (oxidoreductase activity); GO:0005615 (extracellular space); GO:0030173 (integral component of Golgi membrane); GO:0003756 (protein disulfide isomerase activity); GO:0016971 (flavin-linked sulfhydryl oxidase activity); GO:0016972 (thiol oxidase activity); GO:0006457 (protein folding); GO:0055114 (oxidation-reduction process); GO:0018215 (protein phosphopantetheinylation)</t>
  </si>
  <si>
    <t xml:space="preserve">Transmembrane protein NDG-4 </t>
  </si>
  <si>
    <t xml:space="preserve">Probable calcium-binding mitochondrial carrier K02F3.2 </t>
  </si>
  <si>
    <t>GO:0016020 (membrane); GO:0016021 (integral component of membrane); GO:0005509 (calcium ion binding); GO:0046872 (metal ion binding); GO:0055085 (transmembrane transport); GO:0005739 (mitochondrion); GO:0005743 (mitochondrial inner membrane); GO:0022857 (transmembrane transporter activity); GO:0005313 (L-glutamate transmembrane transporter activity); GO:0042802 (identical protein binding); GO:0015183 (L-aspartate transmembrane transporter activity); GO:0015810 (aspartate transmembrane transport); GO:0015813 (L-glutamate transmembrane transport); GO:0043490 (malate-aspartate shuttle); GO:0070778 (L-aspartate transmembrane transport)</t>
  </si>
  <si>
    <t xml:space="preserve">Adenine Nucleotide Translocator; Mitochondrial adenine nucleotide translocase 1.3 </t>
  </si>
  <si>
    <t>GO:0016020 (membrane); GO:0016021 (integral component of membrane); GO:0055085 (transmembrane transport); GO:0005743 (mitochondrial inner membrane); GO:1990544 (mitochondrial ATP transmembrane transport); GO:0140021 (mitochondrial ADP transmembrane transport); GO:0005471 (ATP:ADP antiporter activity)</t>
  </si>
  <si>
    <t xml:space="preserve">Receptor-type guanylate cyclase gcy-21 </t>
  </si>
  <si>
    <t>GO:0016849 (phosphorus-oxygen lyase activity); GO:0009190 (cyclic nucleotide biosynthetic process); GO:0004672 (protein kinase activity); GO:0035556 (intracellular signal transduction); GO:0006468 (protein phosphorylation); GO:0005524 (ATP binding)</t>
  </si>
  <si>
    <t xml:space="preserve">ACyLtransferase-like </t>
  </si>
  <si>
    <t>GO:0016020 (membrane); GO:0016021 (integral component of membrane); GO:0016740 (transferase activity); GO:0016746 (transferase activity, transferring acyl groups); GO:0005783 (endoplasmic reticulum); GO:0012505 (endomembrane system); GO:0036149 (phosphatidylinositol acyl-chain remodeling)</t>
  </si>
  <si>
    <t>GO:0003743 (translation initiation factor activity); GO:0006413 (translational initiation); GO:0050790 (regulation of catalytic activity); GO:0044237 (cellular metabolic process); GO:0005085 (guanyl-nucleotide exchange factor activity); GO:0005851 (eukaryotic translation initiation factor 2B complex)</t>
  </si>
  <si>
    <t>GO:0016020 (membrane); GO:0016021 (integral component of membrane); GO:0005886 (plasma membrane); GO:0005737 (cytoplasm); GO:0005794 (Golgi apparatus); GO:0030154 (cell differentiation)</t>
  </si>
  <si>
    <t xml:space="preserve">Ribosomal protein S6 kinase beta </t>
  </si>
  <si>
    <t>GO:0004672 (protein kinase activity); GO:0004674 (protein serine/threonine kinase activity); GO:0006468 (protein phosphorylation); GO:0007165 (signal transduction); GO:0005524 (ATP binding)</t>
  </si>
  <si>
    <t xml:space="preserve">Dimethyladenosine transferase 1, mitochondrial </t>
  </si>
  <si>
    <t>GO:0008168 (methyltransferase activity); GO:0032259 (methylation); GO:0016740 (transferase activity); GO:0003723 (RNA binding); GO:0005739 (mitochondrion); GO:0006364 (rRNA processing); GO:0005759 (mitochondrial matrix); GO:0031167 (rRNA methylation); GO:0000154 (rRNA modification); GO:0000179 (rRNA (adenine-N6,N6-)-dimethyltransferase activity); GO:0008649 (rRNA methyltransferase activity); GO:0034246 (mitochondrial transcription factor activity); GO:0006391 (transcription initiation from mitochondrial promoter)</t>
  </si>
  <si>
    <t>GO:0005634 (nucleus); GO:0003700 (DNA-binding transcription factor activity); GO:0006355 (regulation of transcription, DNA-templated); GO:0043565 (sequence-specific DNA binding); GO:0003677 (DNA binding); GO:0000981 (DNA-binding transcription factor activity, RNA polymerase II-specific); GO:0006357 (regulation of transcription by RNA polymerase II); GO:0030154 (cell differentiation); GO:0045892 (negative regulation of transcription, DNA-templated); GO:0000122 (negative regulation of transcription by RNA polymerase II); GO:0001709 (cell fate determination); GO:0045596 (negative regulation of cell differentiation)</t>
  </si>
  <si>
    <t xml:space="preserve">Melanoma-Associated-antiGEn homolog </t>
  </si>
  <si>
    <t xml:space="preserve">PDF (Arthropod Pigment Dispersing Factor) homolog </t>
  </si>
  <si>
    <t xml:space="preserve">Ras-Gtpase-activating protein SH3 (Three) domain-Binding Protein </t>
  </si>
  <si>
    <t>GO:0003676 (nucleic acid binding); GO:0003723 (RNA binding); GO:0005829 (cytosol); GO:0003729 (mRNA binding); GO:1990904 (ribonucleoprotein complex); GO:0005515 (protein binding); GO:0010494 (cytoplasmic stress granule)</t>
  </si>
  <si>
    <t xml:space="preserve">Adenylate cyclase </t>
  </si>
  <si>
    <t>GO:0016020 (membrane); GO:0016021 (integral component of membrane); GO:0046872 (metal ion binding); GO:0000166 (nucleotide binding); GO:0005524 (ATP binding); GO:0005887 (integral component of plasma membrane); GO:0009190 (cyclic nucleotide biosynthetic process); GO:0016829 (lyase activity); GO:0016849 (phosphorus-oxygen lyase activity); GO:0035556 (intracellular signal transduction); GO:0005886 (plasma membrane); GO:0007189 (adenylate cyclase-activating G protein-coupled receptor signaling pathway); GO:0004016 (adenylate cyclase activity); GO:0006171 (cAMP biosynthetic process); GO:0007186 (G protein-coupled receptor signaling pathway); GO:1900195 (positive regulation of oocyte maturation); GO:0007193 (adenylate cyclase-inhibiting G protein-coupled receptor signaling pathway)</t>
  </si>
  <si>
    <t>Tubulin alpha-3 chain Detyrosinated tubulin alpha-3 chain</t>
  </si>
  <si>
    <t>GO:0005525 (GTP binding); GO:0005737 (cytoplasm); GO:0000166 (nucleotide binding); GO:0003924 (GTPase activity); GO:0005874 (microtubule); GO:0007017 (microtubule-based process); GO:0005200 (structural constituent of cytoskeleton); GO:0000278 (mitotic cell cycle); GO:0000226 (microtubule cytoskeleton organization); GO:0007638 (mechanosensory behavior); GO:0050976 (detection of mechanical stimulus involved in sensory perception of touch); GO:1905789 (positive regulation of detection of mechanical stimulus involved in sensory perception of touch); GO:1905792 (positive regulation of mechanosensory behavior); GO:0043025 (neuronal cell body); GO:0009612 (response to mechanical stimulus); GO:0030424 (axon); GO:0001966 (thigmotaxis)</t>
  </si>
  <si>
    <t xml:space="preserve">SHC (Src Homology domain C-terminal) adaptor homolog </t>
  </si>
  <si>
    <t xml:space="preserve">Glutathione S-transferase kappa 1 </t>
  </si>
  <si>
    <t>GO:0006749 (glutathione metabolic process); GO:0004364 (glutathione transferase activity); GO:0004602 (glutathione peroxidase activity); GO:0016491 (oxidoreductase activity)</t>
  </si>
  <si>
    <t>antisense_RNA</t>
  </si>
  <si>
    <t xml:space="preserve">FMRFamide Peptide Receptor family; VRFamide receptor 1 </t>
  </si>
  <si>
    <t xml:space="preserve">Probable insulin-like peptide beta-type 2 </t>
  </si>
  <si>
    <t xml:space="preserve">RING finger protein nhl-1 </t>
  </si>
  <si>
    <t xml:space="preserve">Zinc finger, HIT-type </t>
  </si>
  <si>
    <t xml:space="preserve">Carbonic anhydrase </t>
  </si>
  <si>
    <t>GO:0008270 (zinc ion binding); GO:0016829 (lyase activity); GO:0004089 (carbonate dehydratase activity); GO:0044237 (cellular metabolic process)</t>
  </si>
  <si>
    <t>GO:0005634 (nucleus); GO:0046872 (metal ion binding); GO:0006355 (regulation of transcription, DNA-templated); GO:0008270 (zinc ion binding); GO:0005515 (protein binding); GO:0007399 (nervous system development); GO:0002119 (nematode larval development); GO:0048666 (neuron development); GO:0048664 (neuron fate determination); GO:0048665 (neuron fate specification); GO:0045666 (positive regulation of neuron differentiation); GO:0060968 (regulation of gene silencing); GO:1903620 (positive regulation of transdifferentiation)</t>
  </si>
  <si>
    <t xml:space="preserve">Proteasome Regulatory Particle, Non-ATPase-like </t>
  </si>
  <si>
    <t>GO:0005737 (cytoplasm); GO:0043161 (proteasome-mediated ubiquitin-dependent protein catabolic process); GO:0008541 (proteasome regulatory particle, lid subcomplex); GO:0031595 (nuclear proteasome complex)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</si>
  <si>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GO:0042149 (cellular response to glucose starvation)</t>
  </si>
  <si>
    <t xml:space="preserve">CHImaeriN (Rac-GTPase-activating protein) homolog </t>
  </si>
  <si>
    <t>GO:0005096 (GTPase activator activity); GO:0007165 (signal transduction); GO:0043547 (positive regulation of GTPase activity); GO:0035556 (intracellular signal transduction); GO:0051056 (regulation of small GTPase mediated signal transduction); GO:0043087 (regulation of GTPase activity); GO:0008104 (protein localization); GO:0005938 (cell cortex)</t>
  </si>
  <si>
    <t xml:space="preserve">Dynactin subunit 6 </t>
  </si>
  <si>
    <t>GO:0005869 (dynactin complex)</t>
  </si>
  <si>
    <t>GO:0016020 (membrane); GO:0016021 (integral component of membrane); GO:0016740 (transferase activity); GO:0016757 (transferase activity, transferring glycosyl groups); GO:0006506 (GPI anchor biosynthetic process); GO:0000506 (glycosylphosphatidylinositol-N-acetylglucosaminyltransferase (GPI-GnT) complex); GO:0017176 (phosphatidylinositol N-acetylglucosaminyltransferase activity); GO:0005634 (nucleus)</t>
  </si>
  <si>
    <t xml:space="preserve">Putative acid phosphatase F26C11.1 </t>
  </si>
  <si>
    <t>GO:0016311 (dephosphorylation); GO:0016791 (phosphatase activity); GO:0016787 (hydrolase activity); GO:0003993 (acid phosphatase activity)</t>
  </si>
  <si>
    <t>GO:0031491 (nucleosome binding); GO:0006338 (chromatin remodeling); GO:0000812 (Swr1 complex); GO:0043486 (histone exchange); GO:0046872 (metal ion binding)</t>
  </si>
  <si>
    <t>GO:0005737 (cytoplasm); GO:0005576 (extracellular region); GO:0005615 (extracellular space); GO:0010951 (negative regulation of endopeptidase activity); GO:0004869 (cysteine-type endopeptidase inhibitor activity); GO:0010466 (negative regulation of peptidase activity); GO:0030414 (peptidase inhibitor activity); GO:0060281 (regulation of oocyte development); GO:0070613 (regulation of protein processing); GO:1903188 (positive regulation of vitellogenesis); GO:0042718 (yolk granule)</t>
  </si>
  <si>
    <t>GO:0016020 (membrane); GO:0016021 (integral component of membrane); GO:0006811 (ion transport); GO:0005272 (sodium channel activity); GO:0006814 (sodium ion transport); GO:0035725 (sodium ion transmembrane transport)</t>
  </si>
  <si>
    <t>GO:0005737 (cytoplasm); GO:0036092 (phosphatidylinositol-3-phosphate biosynthetic process); GO:0016316 (phosphatidylinositol-3,4-bisphosphate 4-phosphatase activity)</t>
  </si>
  <si>
    <t>GO:0016787 (hydrolase activity); GO:0046872 (metal ion binding); GO:0006508 (proteolysis); GO:0004180 (carboxypeptidase activity); GO:0008233 (peptidase activity); GO:0070573 (metallodipeptidase activity)</t>
  </si>
  <si>
    <t xml:space="preserve">Probable 39S ribosomal protein L45, mitochondrial </t>
  </si>
  <si>
    <t>GO:0005739 (mitochondrion); GO:0005840 (ribosome)</t>
  </si>
  <si>
    <t xml:space="preserve">Clc-like protein 2 </t>
  </si>
  <si>
    <t xml:space="preserve">Endonuclease G, mitochondrial </t>
  </si>
  <si>
    <t>GO:0003676 (nucleic acid binding); GO:0046872 (metal ion binding); GO:0016787 (hydrolase activity)</t>
  </si>
  <si>
    <t>GO:0005634 (nucleus); GO:0005730 (nucleolus); GO:0000793 (condensed chromosome); GO:0006302 (double-strand break repair)</t>
  </si>
  <si>
    <t xml:space="preserve">Glutamate-gated ChLoride channel </t>
  </si>
  <si>
    <t xml:space="preserve">Proteasome subunit beta type-1 </t>
  </si>
  <si>
    <t>GO:0005839 (proteasome core complex); GO:0051603 (proteolysis involved in cellular protein catabolic process); GO:0004298 (threonine-type endopeptidase activity)</t>
  </si>
  <si>
    <t xml:space="preserve">Beta-hexosaminidase A </t>
  </si>
  <si>
    <t>GO:0004563 (beta-N-acetylhexosaminidase activity); GO:0004553 (hydrolase activity, hydrolyzing O-glycosyl compounds); GO:0005975 (carbohydrate metabolic process)</t>
  </si>
  <si>
    <t xml:space="preserve">G1/S-specific cyclin-D </t>
  </si>
  <si>
    <t>GO:0016301 (kinase activity); GO:0016310 (phosphorylation)</t>
  </si>
  <si>
    <t>GO:0016020 (membrane); GO:0016021 (integral component of membrane); GO:0030246 (carbohydrate binding)</t>
  </si>
  <si>
    <t>GO:0055085 (transmembrane transport); GO:0016020 (membrane); GO:0022829 (wide pore channel activity)</t>
  </si>
  <si>
    <t xml:space="preserve">UPF0057 membrane protein ZK632.10 </t>
  </si>
  <si>
    <t xml:space="preserve">Ubiquitin Specific Protease </t>
  </si>
  <si>
    <t>GO:0005634 (nucleus); GO:0046872 (metal ion binding); GO:0008270 (zinc ion binding); GO:0006508 (proteolysis); GO:0008233 (peptidase activity); GO:0006397 (mRNA processing); GO:0016579 (protein deubiquitination); GO:0008380 (RNA splicing); GO:0005681 (spliceosomal complex); GO:0000245 (spliceosomal complex assembly); GO:0004843 (thiol-dependent ubiquitin-specific protease activity)</t>
  </si>
  <si>
    <t xml:space="preserve">ABC transporter, class H </t>
  </si>
  <si>
    <t>GO:0016020 (membrane); GO:0016021 (integral component of membrane); GO:0005524 (ATP binding); GO:0000166 (nucleotide binding)</t>
  </si>
  <si>
    <t>GO:0008168 (methyltransferase activity)</t>
  </si>
  <si>
    <t>GO:0016740 (transferase activity); GO:0004402 (histone acetyltransferase activity); GO:0000139 (Golgi membrane); GO:0004596 (peptide alpha-N-acetyltransferase activity); GO:0017196 (N-terminal peptidyl-methionine acetylation); GO:0043966 (histone H3 acetylation); GO:0043967 (histone H4 acetylation); GO:0008080 (N-acetyltransferase activity)</t>
  </si>
  <si>
    <t xml:space="preserve">Ammonium transporter </t>
  </si>
  <si>
    <t>GO:0016020 (membrane); GO:0016021 (integral component of membrane); GO:0005887 (integral component of plasma membrane); GO:0008519 (ammonium transmembrane transporter activity); GO:0015696 (ammonium transport); GO:0072488 (ammonium transmembrane transport)</t>
  </si>
  <si>
    <t xml:space="preserve">Soluble guanylate cyclase gcy-36 </t>
  </si>
  <si>
    <t>GO:0005783 (endoplasmic reticulum)</t>
  </si>
  <si>
    <t xml:space="preserve">Probable G-protein coupled receptor tkr-1 </t>
  </si>
  <si>
    <t>GO:0016020 (membrane); GO:0016021 (integral component of membrane); GO:0005886 (plasma membrane); GO:0004930 (G protein-coupled receptor activity); GO:0007165 (signal transduction); GO:0007186 (G protein-coupled receptor signaling pathway); GO:0004995 (tachykinin receptor activity); GO:0007217 (tachykinin receptor signaling pathway)</t>
  </si>
  <si>
    <t xml:space="preserve">Ornithine decarboxylase </t>
  </si>
  <si>
    <t>GO:0006596 (polyamine biosynthetic process); GO:0003824 (catalytic activity)</t>
  </si>
  <si>
    <t xml:space="preserve">Nuclear hormone receptor family member nhr-12 </t>
  </si>
  <si>
    <t>GO:0043565 (sequence-specific DNA binding); GO:0003700 (DNA-binding transcription factor activity); GO:0008270 (zinc ion binding); GO:0006355 (regulation of transcription, DNA-templated); GO:0005634 (nucleus); GO:0046872 (metal ion binding); GO:0003677 (DNA binding)</t>
  </si>
  <si>
    <t xml:space="preserve">Chromodomain-helicase-DNA-binding protein 3 homolog </t>
  </si>
  <si>
    <t>GO:0005524 (ATP binding)</t>
  </si>
  <si>
    <t xml:space="preserve">Aldehyde dehydrogenase </t>
  </si>
  <si>
    <t>GO:0016491 (oxidoreductase activity); GO:0016620 (oxidoreductase activity, acting on the aldehyde or oxo group of donors, NAD or NADP as acceptor); GO:0004028 (3-chloroallyl aldehyde dehydrogenase activity); GO:0006081 (cellular aldehyde metabolic process); GO:0055114 (oxidation-reduction process)</t>
  </si>
  <si>
    <t xml:space="preserve">Vacuolar protein sorting-associated protein 39 homolog </t>
  </si>
  <si>
    <t>GO:0016020 (membrane); GO:0005737 (cytoplasm); GO:0016192 (vesicle-mediated transport); GO:0005515 (protein binding); GO:0005768 (endosome); GO:0005764 (lysosome); GO:0005765 (lysosomal membrane); GO:0031902 (late endosome membrane); GO:0006914 (autophagy); GO:0005770 (late endosome); GO:0030897 (HOPS complex); GO:0034058 (endosomal vesicle fusion)</t>
  </si>
  <si>
    <t xml:space="preserve">RAB family; Rab8 </t>
  </si>
  <si>
    <t>GO:0005525 (GTP binding); GO:0005886 (plasma membrane); GO:0003924 (GTPase activity); GO:0005515 (protein binding); GO:0072659 (protein localization to plasma membrane); GO:0017157 (regulation of exocytosis); GO:0032869 (cellular response to insulin stimulus); GO:0005768 (endosome); GO:0055038 (recycling endosome membrane); GO:0006904 (vesicle docking involved in exocytosis); GO:0008021 (synaptic vesicle); GO:0009306 (protein secretion); GO:0030140 (trans-Golgi network transport vesicle); GO:0032794 (GTPase activating protein binding); GO:0048210 (Golgi vesicle fusion to target membrane); GO:0071532 (ankyrin repeat binding); GO:1902647 (negative regulation of 1-phosphatidyl-1D-myo-inositol 4,5-bisphosphate biosynthetic process); GO:1904951 (positive regulation of establishment of protein localization); GO:0000003 (reproduction); GO:0016324 (apical plasma membrane); GO:0045179 (apical cortex); GO:0030538 (embryonic genitalia morphogenesis); GO:0010008 (endosome membrane); GO:0030133 (transport vesicle)</t>
  </si>
  <si>
    <t xml:space="preserve">NMUR (NeuroMedin U Receptor) homolog </t>
  </si>
  <si>
    <t>GO:0016020 (membrane); GO:0016021 (integral component of membrane); GO:0004930 (G protein-coupled receptor activity); GO:0007165 (signal transduction); GO:0007186 (G protein-coupled receptor signaling pathway); GO:0005887 (integral component of plasma membrane); GO:0007602 (phototransduction); GO:0008020 (G protein-coupled photoreceptor activity); GO:0009584 (detection of visible light); GO:0071482 (cellular response to light stimulus)</t>
  </si>
  <si>
    <t xml:space="preserve">Erythroid-Like Transcription factor family </t>
  </si>
  <si>
    <t>GO:0005634 (nucleus); GO:0046872 (metal ion binding); GO:0003700 (DNA-binding transcription factor activity); GO:0006355 (regulation of transcription, DNA-templated); GO:0008270 (zinc ion binding); GO:0043565 (sequence-specific DNA binding); GO:0006357 (regulation of transcription by RNA polymerase II); GO:0000978 (RNA polymerase II cis-regulatory region sequence-specific DNA binding); GO:0000981 (DNA-binding transcription factor activity, RNA polymerase II-specific); GO:0045165 (cell fate commitment); GO:0000977 (RNA polymerase II transcription regulatory region sequence-specific DNA binding); GO:0045944 (positive regulation of transcription by RNA polymerase II); GO:0008340 (determination of adult lifespan)</t>
  </si>
  <si>
    <t xml:space="preserve">piRNA biogenesis factor prde-1 </t>
  </si>
  <si>
    <t>GO:0003676 (nucleic acid binding); GO:0005737 (cytoplasm); GO:0007283 (spermatogenesis); GO:0043186 (P granule); GO:0005515 (protein binding)</t>
  </si>
  <si>
    <t xml:space="preserve">Kinase suppressor of Ras B </t>
  </si>
  <si>
    <t>GO:0004713 (protein tyrosine kinase activity); GO:0004672 (protein kinase activity); GO:0035556 (intracellular signal transduction); GO:0006468 (protein phosphorylation); GO:0005524 (ATP binding)</t>
  </si>
  <si>
    <t>GO:0032039 (integrator complex); GO:0016180 (snRNA processing)</t>
  </si>
  <si>
    <t xml:space="preserve">Troponin I 3 </t>
  </si>
  <si>
    <t>GO:0046872 (metal ion binding); GO:0003779 (actin binding); GO:0005861 (troponin complex); GO:0006936 (muscle contraction); GO:0018991 (oviposition); GO:0030017 (sarcomere); GO:0040032 (post-embryonic body morphogenesis); GO:0030016 (myofibril); GO:0030172 (troponin C binding)</t>
  </si>
  <si>
    <t>GO:0005576 (extracellular region); GO:0040010 (positive regulation of growth rate); GO:0000003 (reproduction); GO:0040015 (negative regulation of multicellular organism growth); GO:0032876 (negative regulation of DNA endoreduplication)</t>
  </si>
  <si>
    <t xml:space="preserve">Translation factor GUF1 homolog, mitochondrial </t>
  </si>
  <si>
    <t>GO:0016020 (membrane); GO:0005525 (GTP binding); GO:0016787 (hydrolase activity); GO:0000166 (nucleotide binding); GO:0003924 (GTPase activity); GO:0005739 (mitochondrion); GO:0006412 (translation); GO:0005743 (mitochondrial inner membrane); GO:0005759 (mitochondrial matrix); GO:0043022 (ribosome binding); GO:0045727 (positive regulation of translation)</t>
  </si>
  <si>
    <t xml:space="preserve">Trna (tRNA) Splicing ENdonuclease subunit related </t>
  </si>
  <si>
    <t>GO:0008033 (tRNA processing); GO:0000379 (tRNA-type intron splice site recognition and cleavage); GO:0000214 (tRNA-intron endonuclease complex)</t>
  </si>
  <si>
    <t xml:space="preserve">MeTHuselah (Drosophila aging-associated GPCR) homolog </t>
  </si>
  <si>
    <t>GO:0016020 (membrane); GO:0016021 (integral component of membrane); GO:0005887 (integral component of plasma membrane); GO:0004930 (G protein-coupled receptor activity); GO:0007189 (adenylate cyclase-activating G protein-coupled receptor signaling pathway)</t>
  </si>
  <si>
    <t xml:space="preserve">CPN-1; CalPoNin </t>
  </si>
  <si>
    <t>GO:0005634 (nucleus); GO:0006508 (proteolysis); GO:0004252 (serine-type endopeptidase activity); GO:0004176 (ATP-dependent peptidase activity)</t>
  </si>
  <si>
    <t>GO:0003677 (DNA binding); GO:0046872 (metal ion binding)</t>
  </si>
  <si>
    <t xml:space="preserve">Sodium/hydrogen exchanger </t>
  </si>
  <si>
    <t>GO:0016020 (membrane); GO:0016021 (integral component of membrane); GO:0006811 (ion transport); GO:0005886 (plasma membrane); GO:0055085 (transmembrane transport); GO:0071805 (potassium ion transmembrane transport); GO:0006812 (cation transport); GO:0098656 (anion transmembrane transport); GO:1902600 (proton transmembrane transport); GO:0006814 (sodium ion transport); GO:0051453 (regulation of intracellular pH); GO:0006885 (regulation of pH); GO:0015297 (antiporter activity); GO:0015299 (solute:proton antiporter activity); GO:0015385 (sodium:proton antiporter activity); GO:0015386 (potassium:proton antiporter activity); GO:0098719 (sodium ion import across plasma membrane)</t>
  </si>
  <si>
    <t xml:space="preserve">Riboflavin transporter rft-2 </t>
  </si>
  <si>
    <t>GO:0016020 (membrane); GO:0016021 (integral component of membrane); GO:0005886 (plasma membrane); GO:0005887 (integral component of plasma membrane); GO:0032217 (riboflavin transmembrane transporter activity); GO:0032218 (riboflavin transport)</t>
  </si>
  <si>
    <t xml:space="preserve">Intraflagellar transport protein che-13 </t>
  </si>
  <si>
    <t xml:space="preserve">RNA-binding protein asd-2 </t>
  </si>
  <si>
    <t>GO:0003676 (nucleic acid binding); GO:0003723 (RNA binding); GO:0005515 (protein binding); GO:0005634 (nucleus); GO:0043186 (P granule); GO:0003727 (single-stranded RNA binding); GO:0097157 (pre-mRNA intronic binding); GO:0000381 (regulation of alternative mRNA splicing, via spliceosome); GO:1990904 (ribonucleoprotein complex)</t>
  </si>
  <si>
    <t xml:space="preserve">Probable maleylacetoacetate isomerase </t>
  </si>
  <si>
    <t>GO:0006749 (glutathione metabolic process); GO:0009072 (aromatic amino acid family metabolic process); GO:0005737 (cytoplasm); GO:0003824 (catalytic activity); GO:0005515 (protein binding)</t>
  </si>
  <si>
    <t xml:space="preserve">Putative ammonium transporter 2 </t>
  </si>
  <si>
    <t xml:space="preserve">Amino Acid Transporter </t>
  </si>
  <si>
    <t>GO:0016020 (membrane); GO:0016021 (integral component of membrane); GO:0022857 (transmembrane transporter activity); GO:0055085 (transmembrane transport); GO:1902475 (L-alpha-amino acid transmembrane transport); GO:0005886 (plasma membrane); GO:0015179 (L-amino acid transmembrane transporter activity); GO:0003333 (amino acid transmembrane transport); GO:1990184 (amino acid transport complex); GO:0015807 (L-amino acid transport)</t>
  </si>
  <si>
    <t xml:space="preserve">Glycine--tRNA ligase </t>
  </si>
  <si>
    <t>GO:0006426 (glycyl-tRNA aminoacylation); GO:0004820 (glycine-tRNA ligase activity); GO:0000166 (nucleotide binding); GO:0006418 (tRNA aminoacylation for protein translation); GO:0004812 (aminoacyl-tRNA ligase activity); GO:0005737 (cytoplasm); GO:0005524 (ATP binding); GO:0016740 (transferase activity); GO:0016874 (ligase activity); GO:0006412 (translation)</t>
  </si>
  <si>
    <t xml:space="preserve">Histone deacetylase 6 </t>
  </si>
  <si>
    <t>GO:0008270 (zinc ion binding); GO:0006476 (protein deacetylation); GO:0033558 (protein deacetylase activity)</t>
  </si>
  <si>
    <t xml:space="preserve">Tat-binding homolog 7 </t>
  </si>
  <si>
    <t>GO:0005634 (nucleus); GO:0005524 (ATP binding); GO:0000166 (nucleotide binding); GO:0003682 (chromatin binding); GO:0045944 (positive regulation of transcription by RNA polymerase II); GO:0016887 (ATPase activity); GO:0042393 (histone binding); GO:0003674 (molecular_function); GO:0005575 (cellular_component); GO:0031936 (negative regulation of chromatin silencing); GO:0031445 (regulation of heterochromatin assembly); GO:0005515 (protein binding)</t>
  </si>
  <si>
    <t xml:space="preserve">U3 small nucleolar RNA-associated protein 18 homolog </t>
  </si>
  <si>
    <t>GO:0005634 (nucleus); GO:0005730 (nucleolus); GO:0006364 (rRNA processing); GO:0032040 (small-subunit processome); GO:0034388 (Pwp2p-containing subcomplex of 90S preribosome); GO:0005515 (protein binding)</t>
  </si>
  <si>
    <t>Serine/threonine-protein kinase/endoribonuclease ire-1 Serine/threonine-protein kinase Endoribonuclease</t>
  </si>
  <si>
    <t>GO:0006397 (mRNA processing); GO:0004540 (ribonuclease activity); GO:0004672 (protein kinase activity); GO:0006468 (protein phosphorylation); GO:0005515 (protein binding); GO:0005524 (ATP binding); GO:0000166 (nucleotide binding); GO:0090501 (RNA phosphodiester bond hydrolysis); GO:0035966 (response to topologically incorrect protein)</t>
  </si>
  <si>
    <t xml:space="preserve">HMG </t>
  </si>
  <si>
    <t>GO:0005634 (nucleus); GO:0010468 (regulation of gene expression)</t>
  </si>
  <si>
    <t>Warthog protein 6 Warthog protein 6 N-product Warthog protein 6 C-product</t>
  </si>
  <si>
    <t>GO:0016020 (membrane); GO:0005886 (plasma membrane); GO:0016787 (hydrolase activity); GO:0006508 (proteolysis); GO:0008233 (peptidase activity); GO:0005576 (extracellular region); GO:0007275 (multicellular organism development); GO:0007267 (cell-cell signaling); GO:0016539 (intein-mediated protein splicing); GO:0009986 (cell surface); GO:0005615 (extracellular space); GO:0016540 (protein autoprocessing)</t>
  </si>
  <si>
    <t xml:space="preserve">Serpentine Receptor, class T </t>
  </si>
  <si>
    <t xml:space="preserve">Putative zinc finger transcription factor </t>
  </si>
  <si>
    <t>GO:0005634 (nucleus); GO:0046872 (metal ion binding); GO:0000978 (RNA polymerase II cis-regulatory region sequence-specific DNA binding); GO:0000981 (DNA-binding transcription factor activity, RNA polymerase II-specific); GO:0006357 (regulation of transcription by RNA polymerase II); GO:0009913 (epidermal cell differentiation); GO:0003700 (DNA-binding transcription factor activity); GO:0045138 (nematode male tail tip morphogenesis); GO:0006355 (regulation of transcription, DNA-templated); GO:0007442 (hindgut morphogenesis)</t>
  </si>
  <si>
    <t>GO:0016020 (membrane); GO:0005886 (plasma membrane); GO:0009966 (regulation of signal transduction); GO:0010314 (phosphatidylinositol-5-phosphate binding)</t>
  </si>
  <si>
    <t xml:space="preserve">Superoxide dismutase [Cu-Zn] </t>
  </si>
  <si>
    <t>GO:0046872 (metal ion binding); GO:0005737 (cytoplasm); GO:0016491 (oxidoreductase activity); GO:0042803 (protein homodimerization activity); GO:0060378 (regulation of brood size); GO:0004784 (superoxide dismutase activity); GO:0006801 (superoxide metabolic process); GO:0005507 (copper ion binding); GO:0016209 (antioxidant activity); GO:0019430 (removal of superoxide radicals); GO:0005829 (cytosol); GO:0005739 (mitochondrion); GO:0040028 (regulation of vulval development); GO:0001306 (age-dependent response to oxidative stress); GO:0055114 (oxidation-reduction process)</t>
  </si>
  <si>
    <t xml:space="preserve">BUD13 homolog </t>
  </si>
  <si>
    <t>GO:0000398 (mRNA splicing, via spliceosome); GO:0005684 (U2-type spliceosomal complex); GO:0070274 (RES complex)</t>
  </si>
  <si>
    <t xml:space="preserve">RRP15-like protein </t>
  </si>
  <si>
    <t>GO:0006364 (rRNA processing); GO:0000460 (maturation of 5.8S rRNA); GO:0000470 (maturation of LSU-rRNA); GO:0030687 (preribosome, large subunit precursor)</t>
  </si>
  <si>
    <t>GO:0016020 (membrane); GO:0016021 (integral component of membrane); GO:0006843 (mitochondrial citrate transmembrane transport)</t>
  </si>
  <si>
    <t xml:space="preserve">ForKHead transcription factor family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</si>
  <si>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morphogenesis); GO:0009792 (embryo development ending in birth or egg hatching); GO:0002119 (nematode larval development); GO:1905515 (non-motile cilium assembly); GO:0045944 (positive regulation of transcription by RNA polymerase II); GO:0016358 (dendrite development); GO:0048665 (neuron fate specification)</t>
  </si>
  <si>
    <t>GO:0042073 (intraciliary transport); GO:0097730 (non-motile cilium); GO:0030991 (intraciliary transport particle A); GO:0035721 (intraciliary retrograde transport); GO:0036064 (ciliary basal body); GO:0043053 (dauer entry); GO:0060271 (cilium assembly); GO:0005930 (axoneme); GO:1905798 (positive regulation of intraciliary anterograde transport); GO:1905801 (positive regulation of intraciliary retrograde transport); GO:0008340 (determination of adult lifespan); GO:0006972 (hyperosmotic response); GO:0009408 (response to heat); GO:0006979 (response to oxidative stress); GO:0005515 (protein binding)</t>
  </si>
  <si>
    <t xml:space="preserve">Kinesin-like protein unc-104 </t>
  </si>
  <si>
    <t>GO:0005524 (ATP binding); GO:0000166 (nucleotide binding); GO:0005737 (cytoplasm); GO:0005856 (cytoskeleton); GO:0005874 (microtubule); GO:0008574 (ATP-dependent microtubule motor activity, plus-end-directed); GO:0016192 (vesicle-mediated transport); GO:0007049 (cell cycle); GO:1905488 (positive regulation of anterior/posterior axon guidance); GO:0003777 (microtubule motor activity); GO:0007018 (microtubule-based movement); GO:0042995 (cell projection); GO:0008017 (microtubule binding); GO:0051301 (cell division); GO:0007399 (nervous system development); GO:0030424 (axon); GO:0012501 (programmed cell death); GO:0005871 (kinesin complex); GO:1902473 (regulation of protein localization to synapse); GO:0030705 (cytoskeleton-dependent intracellular transport); GO:0051965 (positive regulation of synapse assembly); GO:1904810 (negative regulation of dense core granule transport); GO:1904115 (axon cytoplasm); GO:0005886 (plasma membrane); GO:0007419 (ventral cord development); GO:0090316 (positive regulation of intracellular protein transport); GO:0008089 (anterograde axonal transport); GO:0016322 (neuron remodeling); GO:0050807 (regulation of synapse organization); GO:1901953 (positive regulation of anterograde dense core granule transport); GO:1905608 (positive regulation of presynapse assembly); GO:0005515 (protein binding); GO:0002119 (nematode larval development); GO:0043025 (neuronal cell body); GO:0040010 (positive regulation of growth rate); GO:0000003 (reproduction); GO:0030421 (defecation); GO:0007271 (synaptic transmission, cholinergic); GO:0030516 (regulation of axon extension); GO:0010940 (positive regulation of necrotic cell death); GO:0030425 (dendrite); GO:0040018 (positive regulation of multicellular organism growth); GO:0018996 (molting cycle, collagen and cuticulin-based cuticle); GO:0007631 (feeding behavior); GO:0005546 (phosphatidylinositol-4,5-bisphosphate binding); GO:0070273 (phosphatidylinositol-4-phosphate binding); GO:1903746 (positive regulation of pharyngeal pumping); GO:0007270 (neuron-neuron synaptic transmission); GO:0048156 (tau protein binding); GO:0006942 (regulation of striated muscle contraction); GO:0043113 (receptor clustering); GO:0045055 (regulated exocytosis); GO:0045887 (positive regulation of synaptic growth at neuromuscular junction); GO:0048490 (anterograde synaptic vesicle transport); GO:0098793 (presynapse); GO:1990939 (ATP-dependent microtubule motor activity)</t>
  </si>
  <si>
    <t xml:space="preserve">C/EBP (CCAAT/enhancer-binding protein) homolog </t>
  </si>
  <si>
    <t>GO:0000187 (activation of MAPK activity); GO:0031103 (axon regeneration); GO:0048691 (positive regulation of axon extension involved in regeneration); GO:0000978 (RNA polymerase II cis-regulatory region sequence-specific DNA binding); GO:0000981 (DNA-binding transcription factor activity, RNA polymerase II-specific); GO:0006357 (regulation of transcription by RNA polymerase II); GO:0048841 (regulation of axon extension involved in axon guidance); GO:0050829 (defense response to Gram-negative bacterium); GO:1905606 (regulation of presynapse assembly); GO:1905944 (positive regulation of formation of growth cone in injured axon); GO:0005634 (nucleus); GO:0005737 (cytoplasm); GO:0045202 (synapse)</t>
  </si>
  <si>
    <t xml:space="preserve">Threonine--tRNA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</si>
  <si>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GO:0043039 (tRNA aminoacylation); GO:0004829 (threonine-tRNA ligase activity); GO:0006435 (threonyl-tRNA aminoacylation); GO:0008340 (determination of adult lifespan)</t>
  </si>
  <si>
    <t xml:space="preserve">FUBp (FUBP) Like </t>
  </si>
  <si>
    <t>GO:0005634 (nucleus); GO:0005737 (cytoplasm); GO:0003723 (RNA binding); GO:0006355 (regulation of transcription, DNA-templated); GO:0000381 (regulation of alternative mRNA splicing, via spliceosome); GO:0003676 (nucleic acid binding); GO:0003729 (mRNA binding); GO:0010468 (regulation of gene expression); GO:0006397 (mRNA processing)</t>
  </si>
  <si>
    <t>GO:0016020 (membrane); GO:0016021 (integral component of membrane); GO:0004222 (metalloendopeptidase activity); GO:0006508 (proteolysis); GO:0008237 (metallopeptidase activity); GO:0006509 (membrane protein ectodomain proteolysis)</t>
  </si>
  <si>
    <t>GO:0016020 (membrane); GO:0016021 (integral component of membrane); GO:0005886 (plasma membrane); GO:0005794 (Golgi apparatus); GO:0005783 (endoplasmic reticulum); GO:0051301 (cell division); GO:0045087 (innate immune response)</t>
  </si>
  <si>
    <t xml:space="preserve">Probable protein disulfide-isomerase A4 </t>
  </si>
  <si>
    <t>GO:0005783 (endoplasmic reticulum); GO:0016853 (isomerase activity); GO:0003756 (protein disulfide isomerase activity); GO:0006457 (protein folding); GO:0034976 (response to endoplasmic reticulum stress); GO:0009986 (cell surface); GO:0005788 (endoplasmic reticulum lumen); GO:0030968 (endoplasmic reticulum unfolded protein response); GO:0018215 (protein phosphopantetheinylation)</t>
  </si>
  <si>
    <t xml:space="preserve">Suppressor of PAr-Two defect </t>
  </si>
  <si>
    <t>GO:0046872 (metal ion binding); GO:0005545 (1-phosphatidylinositol binding); GO:0005515 (protein binding)</t>
  </si>
  <si>
    <t>GO:0016020 (membrane); GO:0016021 (integral component of membrane); GO:0022857 (transmembrane transporter activity); GO:0055085 (transmembrane transport); GO:0006820 (anion transport)</t>
  </si>
  <si>
    <t xml:space="preserve">Transmembrane protein 104 homolog </t>
  </si>
  <si>
    <t>GO:0003824 (catalytic activity); GO:0005739 (mitochondrion); GO:0016491 (oxidoreductase activity); GO:0050660 (flavin adenine dinucleotide binding); GO:0071949 (FAD binding); GO:0055114 (oxidation-reduction process)</t>
  </si>
  <si>
    <t>GO:0016020 (membrane); GO:0016021 (integral component of membrane); GO:0015031 (protein transport); GO:0005783 (endoplasmic reticulum); GO:0005789 (endoplasmic reticulum membrane); GO:0006486 (protein glycosylation); GO:0030968 (endoplasmic reticulum unfolded protein response)</t>
  </si>
  <si>
    <t>GO:0005737 (cytoplasm); GO:0035091 (phosphatidylinositol binding); GO:0015914 (phospholipid transport); GO:0005548 (phospholipid transporter activity); GO:0008525 (phosphatidylcholine transporter activity); GO:0008526 (phosphatidylinositol transfer activity); GO:0031210 (phosphatidylcholine binding); GO:0120009 (intermembrane lipid transfer)</t>
  </si>
  <si>
    <t>GO:0016020 (membrane); GO:0016021 (integral component of membrane); GO:0055085 (transmembrane transport); GO:0005385 (zinc ion transmembrane transporter activity); GO:0071577 (zinc ion transmembrane transport); GO:0030001 (metal ion transport); GO:0046873 (metal ion transmembrane transporter activity)</t>
  </si>
  <si>
    <t xml:space="preserve">Synaptojanin </t>
  </si>
  <si>
    <t>GO:0016787 (hydrolase activity); GO:0031410 (cytoplasmic vesicle); GO:0030054 (cell junction); GO:0045202 (synapse); GO:0048488 (synaptic vesicle endocytosis); GO:0016791 (phosphatase activity); GO:0046856 (phosphatidylinositol dephosphorylation); GO:0004439 (phosphatidylinositol-4,5-bisphosphate 5-phosphatase activity); GO:0046855 (inositol phosphate dephosphorylation); GO:0006897 (endocytosis); GO:0008021 (synaptic vesicle); GO:0036092 (phosphatidylinositol-3-phosphate biosynthetic process); GO:0040011 (locomotion); GO:0048489 (synaptic vesicle transport); GO:0010940 (positive regulation of necrotic cell death); GO:0040018 (positive regulation of multicellular organism growth); GO:0035418 (protein localization to synapse); GO:0043058 (regulation of backward locomotion); GO:0045933 (positive regulation of muscle contraction); GO:0043813 (phosphatidylinositol-3,5-bisphosphate 5-phosphatase activity); GO:0001956 (positive regulation of neurotransmitter secretion); GO:0006936 (muscle contraction); GO:0007010 (cytoskeleton organization); GO:0007032 (endosome organization); GO:0015812 (gamma-aminobutyric acid transport); GO:0015870 (acetylcholine transport); GO:0016050 (vesicle organization); GO:0016185 (synaptic vesicle budding from presynaptic endocytic zone membrane); GO:0016191 (synaptic vesicle uncoating); GO:0043059 (regulation of forward locomotion); GO:0048212 (Golgi vesicle uncoating); GO:0042578 (phosphoric ester hydrolase activity)</t>
  </si>
  <si>
    <t xml:space="preserve">Putative 39S ribosomal protein L3, mitochondrial </t>
  </si>
  <si>
    <t>GO:0005739 (mitochondrion); GO:0003735 (structural constituent of ribosome); GO:0005840 (ribosome); GO:0006412 (translation); GO:0005762 (mitochondrial large ribosomal subunit)</t>
  </si>
  <si>
    <t>GO:0005634 (nucleus); GO:0000209 (protein polyubiquitination); GO:0006511 (ubiquitin-dependent protein catabolic process); GO:0000151 (ubiquitin ligase complex); GO:0061631 (ubiquitin conjugating enzyme activity); GO:0031625 (ubiquitin protein ligase binding)</t>
  </si>
  <si>
    <t>GO:0016020 (membrane); GO:0005886 (plasma membrane); GO:0005737 (cytoplasm); GO:0005768 (endosome); GO:0005770 (late endosome); GO:0005515 (protein binding)</t>
  </si>
  <si>
    <t xml:space="preserve">Kinesin-like protein vab-8 </t>
  </si>
  <si>
    <t>GO:0007018 (microtubule-based movement); GO:0003777 (microtubule motor activity); GO:0008017 (microtubule binding); GO:0005524 (ATP binding); GO:0016477 (cell migration); GO:0018991 (oviposition); GO:0040011 (locomotion); GO:0040025 (vulval development); GO:0005865 (striated muscle thin filament); GO:0001764 (neuron migration); GO:0007411 (axon guidance); GO:0008078 (mesodermal cell migration); GO:0030334 (regulation of cell migration); GO:1990939 (ATP-dependent microtubule motor activity)</t>
  </si>
  <si>
    <t xml:space="preserve">NeuRonal IGCAM </t>
  </si>
  <si>
    <t>GO:0043005 (neuron projection)</t>
  </si>
  <si>
    <t xml:space="preserve">Cell death abnormality protein 2 </t>
  </si>
  <si>
    <t xml:space="preserve">Phosphoinositide 3-kinase adapter subunit; Phosphoinositide kinase AdAPter subunit </t>
  </si>
  <si>
    <t>GO:0016301 (kinase activity); GO:0016310 (phosphorylation); GO:0046854 (phosphatidylinositol phosphorylation); GO:0005942 (phosphatidylinositol 3-kinase complex); GO:0008286 (insulin receptor signaling pathway); GO:0043551 (regulation of phosphatidylinositol 3-kinase activity); GO:0046935 (1-phosphatidylinositol-3-kinase regulator activity); GO:0019901 (protein kinase binding); GO:0008340 (determination of adult lifespan); GO:0040024 (dauer larval development)</t>
  </si>
  <si>
    <t>GO:0016020 (membrane); GO:0005737 (cytoplasm); GO:0005829 (cytosol); GO:0035627 (ceramide transport); GO:0120009 (intermembrane lipid transfer); GO:0120013 (lipid transfer activity); GO:1902387 (ceramide 1-phosphate binding); GO:1902388 (ceramide 1-phosphate transfer activity); GO:1902389 (ceramide 1-phosphate transport)</t>
  </si>
  <si>
    <t xml:space="preserve">DNA primase large subunit </t>
  </si>
  <si>
    <t>GO:0006269 (DNA replication, synthesis of RNA primer); GO:0046872 (metal ion binding); GO:0003677 (DNA binding); GO:0006260 (DNA replication); GO:0051536 (iron-sulfur cluster binding); GO:0051539 (4 iron, 4 sulfur cluster binding); GO:0110039 (positive regulation of nematode male tail tip morphogenesis)</t>
  </si>
  <si>
    <t xml:space="preserve">Putative elongator complex protein 4 </t>
  </si>
  <si>
    <t>GO:0033588 (Elongator holoenzyme complex); GO:0002098 (tRNA wobble uridine modification)</t>
  </si>
  <si>
    <t>GO:0016301 (kinase activity); GO:0016310 (phosphorylation); GO:0000166 (nucleotide binding); GO:0005524 (ATP binding); GO:0004674 (protein serine/threonine kinase activity); GO:0006468 (protein phosphorylation); GO:0106310 (protein serine kinase activity); GO:0106311 (protein threonine kinase activity)</t>
  </si>
  <si>
    <t xml:space="preserve">IFT (Chlamydomonas IntraFlagellar Transport) homolog </t>
  </si>
  <si>
    <t>GO:0005813 (centrosome); GO:0005929 (cilium); GO:0030992 (intraciliary transport particle B); GO:0042073 (intraciliary transport); GO:0060271 (cilium assembly); GO:0015631 (tubulin binding); GO:0005515 (protein binding); GO:0006935 (chemotaxis); GO:0035264 (multicellular organism growth); GO:0050906 (detection of stimulus involved in sensory perception); GO:0097730 (non-motile cilium)</t>
  </si>
  <si>
    <t xml:space="preserve">DAAM (Disheveled-Associated Activator of Morphogenesis) homolog </t>
  </si>
  <si>
    <t>GO:0003779 (actin binding); GO:0016043 (cellular component organization); GO:0030838 (positive regulation of actin filament polymerization); GO:0030036 (actin cytoskeleton organization); GO:0031267 (small GTPase binding)</t>
  </si>
  <si>
    <t xml:space="preserve">Rab-3-interacting molecule unc-10 </t>
  </si>
  <si>
    <t>GO:0016020 (membrane); GO:0046872 (metal ion binding); GO:0006886 (intracellular protein transport); GO:0042391 (regulation of membrane potential); GO:0042734 (presynaptic membrane); GO:0006887 (exocytosis); GO:0030054 (cell junction); GO:0045202 (synapse); GO:0048791 (calcium ion-regulated exocytosis of neurotransmitter); GO:1905909 (regulation of dauer entry); GO:0050806 (positive regulation of synaptic transmission); GO:0044325 (ion channel binding); GO:0048167 (regulation of synaptic plasticity); GO:0048788 (cytoskeleton of presynaptic active zone); GO:2000300 (regulation of synaptic vesicle exocytosis); GO:0008104 (protein localization); GO:0030421 (defecation); GO:0040011 (locomotion); GO:0007271 (synaptic transmission, cholinergic); GO:0008022 (protein C-terminus binding); GO:0030424 (axon); GO:0043051 (regulation of pharyngeal pumping); GO:0048786 (presynaptic active zone); GO:0016082 (synaptic vesicle priming); GO:0040018 (positive regulation of multicellular organism growth); GO:0007617 (mating behavior); GO:0007626 (locomotory behavior); GO:0032224 (positive regulation of synaptic transmission, cholinergic); GO:0005515 (protein binding); GO:0031267 (small GTPase binding)</t>
  </si>
  <si>
    <t xml:space="preserve">BTB and MATH domain-containing protein 42 </t>
  </si>
  <si>
    <t>GO:0046872 (metal ion binding); GO:0006357 (regulation of transcription by RNA polymerase II); GO:0035102 (PRC1 complex); GO:0036353 (histone H2A-K119 monoubiquitination); GO:0005634 (nucleus); GO:0040027 (negative regulation of vulval development); GO:0000003 (reproduction); GO:0030334 (regulation of cell migration); GO:0005730 (nucleolus); GO:0045138 (nematode male tail tip morphogenesis); GO:0046662 (regulation of oviposition); GO:0033522 (histone H2A ubiquitination); GO:0048841 (regulation of axon extension involved in axon guidance)</t>
  </si>
  <si>
    <t xml:space="preserve">3-hydroxy-3-methylglutaryl coenzyme A reductase </t>
  </si>
  <si>
    <t>GO:0016491 (oxidoreductase activity); GO:0005789 (endoplasmic reticulum membrane); GO:0016616 (oxidoreductase activity, acting on the CH-OH group of donors, NAD or NADP as acceptor); GO:0005783 (endoplasmic reticulum); GO:0016126 (sterol biosynthetic process); GO:0005778 (peroxisomal membrane); GO:0008299 (isoprenoid biosynthetic process); GO:0004420 (hydroxymethylglutaryl-CoA reductase (NADPH) activity); GO:0015936 (coenzyme A metabolic process); GO:0042282 (hydroxymethylglutaryl-CoA reductase activity); GO:0055114 (oxidation-reduction process); GO:0005515 (protein binding)</t>
  </si>
  <si>
    <t xml:space="preserve">Voltage-dependent L-type calcium channel subunit alpha </t>
  </si>
  <si>
    <t>GO:0016020 (membrane); GO:0016021 (integral component of membrane); GO:0005216 (ion channel activity); GO:0006811 (ion transport); GO:0046872 (metal ion binding); GO:0055085 (transmembrane transport); GO:0005245 (voltage-gated calcium channel activity); GO:0005891 (voltage-gated calcium channel complex); GO:0070588 (calcium ion transmembrane transport); GO:0006816 (calcium ion transport); GO:0005244 (voltage-gated ion channel activity); GO:0005262 (calcium channel activity); GO:0034765 (regulation of ion transmembrane transport); GO:0070509 (calcium ion import); GO:0005886 (plasma membrane); GO:0005261 (cation channel activity); GO:0043051 (regulation of pharyngeal pumping); GO:0035545 (determination of left/right asymmetry in nervous system); GO:0040017 (positive regulation of locomotion); GO:0045989 (positive regulation of striated muscle contraction); GO:0006942 (regulation of striated muscle contraction)</t>
  </si>
  <si>
    <t xml:space="preserve">Calcium-transporting ATPase </t>
  </si>
  <si>
    <t>GO:0016020 (membrane); GO:0016021 (integral component of membrane); GO:0005524 (ATP binding); GO:0006811 (ion transport); GO:0000166 (nucleotide binding); GO:0005886 (plasma membrane); GO:0016887 (ATPase activity); GO:0005783 (endoplasmic reticulum); GO:0006816 (calcium ion transport); GO:1902600 (proton transmembrane transport); GO:0000139 (Golgi membrane); GO:0005388 (calcium transmembrane transporter activity, phosphorylative mechanism); GO:0006874 (cellular calcium ion homeostasis); GO:0008553 (proton-exporting ATPase activity, phosphorylative mechanism); GO:0070588 (calcium ion transmembrane transport); GO:0006828 (manganese ion transport); GO:0015410 (manganese transmembrane transporter activity, phosphorylative mechanism); GO:0071421 (manganese ion transmembrane transport); GO:0030334 (regulation of cell migration); GO:0006979 (response to oxidative stress); GO:0005794 (Golgi apparatus); GO:0010042 (response to manganese ion); GO:0051592 (response to calcium ion)</t>
  </si>
  <si>
    <t xml:space="preserve">L1 CAM ADhesion molecule homolog </t>
  </si>
  <si>
    <t>GO:0016020 (membrane); GO:0016021 (integral component of membrane); GO:0007155 (cell adhesion); GO:0005515 (protein binding); GO:0005886 (plasma membrane); GO:0071526 (semaphorin-plexin signaling pathway); GO:1902667 (regulation of axon guidance); GO:0007411 (axon guidance); GO:0033563 (dorsal/ventral axon guidance); GO:0005887 (integral component of plasma membrane); GO:0017154 (semaphorin receptor activity); GO:0033564 (anterior/posterior axon guidance)</t>
  </si>
  <si>
    <t xml:space="preserve">NADH-cytochrome b5 reductase </t>
  </si>
  <si>
    <t>GO:0016020 (membrane); GO:0016021 (integral component of membrane); GO:0016491 (oxidoreductase activity); GO:0071949 (FAD binding); GO:0004128 (cytochrome-b5 reductase activity, acting on NAD(P)H); GO:0055114 (oxidation-reduction process)</t>
  </si>
  <si>
    <t xml:space="preserve">Serpentine Receptor, class V </t>
  </si>
  <si>
    <t xml:space="preserve">Homeobox protein ceh-43 </t>
  </si>
  <si>
    <t>GO:0000981 (DNA-binding transcription factor activity, RNA polymerase II-specific); GO:0006355 (regulation of transcription, DNA-templated); GO:0003677 (DNA binding); GO:0005634 (nucleus)</t>
  </si>
  <si>
    <t xml:space="preserve">Probable ATP-citrate synthase </t>
  </si>
  <si>
    <t>GO:0006085 (acetyl-CoA biosynthetic process); GO:0003878 (ATP citrate synthase activity); GO:0006101 (citrate metabolic process); GO:0046912 (transferase activity, transferring acyl groups, acyl groups converted into alkyl on transfer); GO:0003824 (catalytic activity); GO:0005524 (ATP binding)</t>
  </si>
  <si>
    <t xml:space="preserve">Nematode Specific Peptide family, group E </t>
  </si>
  <si>
    <t xml:space="preserve">Ribonuclease H2 subunit A </t>
  </si>
  <si>
    <t>GO:0016787 (hydrolase activity); GO:0003723 (RNA binding); GO:0046872 (metal ion binding); GO:0003676 (nucleic acid binding); GO:0090305 (nucleic acid phosphodiester bond hydrolysis); GO:0090502 (RNA phosphodiester bond hydrolysis, endonucleolytic); GO:0004518 (nuclease activity); GO:0016070 (RNA metabolic process); GO:0004519 (endonuclease activity); GO:0004523 (RNA-DNA hybrid ribonuclease activity); GO:0043137 (DNA replication, removal of RNA primer); GO:0006298 (mismatch repair); GO:0032299 (ribonuclease H2 complex)</t>
  </si>
  <si>
    <t>GO:0016020 (membrane); GO:0016021 (integral component of membrane); GO:0005509 (calcium ion binding); GO:0004571 (mannosyl-oligosaccharide 1,2-alpha-mannosidase activity); GO:0008152 (metabolic process); GO:0016787 (hydrolase activity); GO:0016798 (hydrolase activity, acting on glycosyl bonds); GO:0005975 (carbohydrate metabolic process); GO:0005783 (endoplasmic reticulum); GO:0000139 (Golgi membrane); GO:0006491 (N-glycan processing)</t>
  </si>
  <si>
    <t xml:space="preserve">Cyclic Nucleotide Gated channel </t>
  </si>
  <si>
    <t>GO:0016020 (membrane); GO:0016021 (integral component of membrane); GO:0034220 (ion transmembrane transport); GO:0098655 (cation transmembrane transport); GO:0005222 (intracellular cAMP-activated cation channel activity); GO:0005223 (intracellular cGMP-activated cation channel activity); GO:0007606 (sensory perception of chemical stimulus); GO:0030553 (cGMP binding); GO:0050893 (sensory processing); GO:0043025 (neuronal cell body); GO:0010754 (negative regulation of cGMP-mediated signaling); GO:0070482 (response to oxygen levels)</t>
  </si>
  <si>
    <t xml:space="preserve">Fatty acid-binding protein homolog 7 </t>
  </si>
  <si>
    <t>GO:0030414 (peptidase inhibitor activity); GO:0005576 (extracellular region); GO:0052547 (regulation of peptidase activity)</t>
  </si>
  <si>
    <t xml:space="preserve">39S ribosomal protein L51, mitochondrial </t>
  </si>
  <si>
    <t>GO:0006412 (translation); GO:0005739 (mitochondrion); GO:0003735 (structural constituent of ribosome); GO:0005840 (ribosome); GO:0005762 (mitochondrial large ribosomal subunit); GO:0032543 (mitochondrial translation); GO:0005761 (mitochondrial ribosome)</t>
  </si>
  <si>
    <t>GO:0008168 (methyltransferase activity); GO:0032259 (methylation); GO:0046872 (metal ion binding); GO:0016740 (transferase activity); GO:0008033 (tRNA processing); GO:0008175 (tRNA methyltransferase activity); GO:0030488 (tRNA methylation); GO:0106050 (tRNA 2'-O-methyltransferase activity)</t>
  </si>
  <si>
    <t>GO:0051260 (protein homooligomerization)</t>
  </si>
  <si>
    <t xml:space="preserve">CARMIL (Capping, ARp2/3, Myosin I Linker protein) homolog </t>
  </si>
  <si>
    <t>GO:0005886 (plasma membrane); GO:0040011 (locomotion); GO:0007411 (axon guidance); GO:0030334 (regulation of cell migration); GO:0048841 (regulation of axon extension involved in axon guidance); GO:0032794 (GTPase activating protein binding); GO:0035021 (negative regulation of Rac protein signal transduction); GO:0005515 (protein binding)</t>
  </si>
  <si>
    <t>GO:0003723 (RNA binding); GO:0003676 (nucleic acid binding); GO:0001682 (tRNA 5'-leader removal); GO:0000172 (ribonuclease MRP complex)</t>
  </si>
  <si>
    <t xml:space="preserve">Vacuolar protein sorting-associated protein 33B </t>
  </si>
  <si>
    <t>GO:0016020 (membrane); GO:0005764 (lysosome); GO:0016192 (vesicle-mediated transport); GO:0031410 (cytoplasmic vesicle); GO:0006886 (intracellular protein transport); GO:0005768 (endosome); GO:0005769 (early endosome); GO:0005765 (lysosomal membrane); GO:0031902 (late endosome membrane); GO:0030154 (cell differentiation); GO:0007283 (spermatogenesis); GO:0055037 (recycling endosome); GO:0030136 (clathrin-coated vesicle); GO:0048137 (spermatocyte division); GO:0005515 (protein binding); GO:0006904 (vesicle docking involved in exocytosis); GO:0033263 (CORVET complex)</t>
  </si>
  <si>
    <t xml:space="preserve">NeuReXin related </t>
  </si>
  <si>
    <t>GO:0016020 (membrane); GO:0016021 (integral component of membrane); GO:0048786 (presynaptic active zone); GO:1903910 (negative regulation of receptor clustering)</t>
  </si>
  <si>
    <t xml:space="preserve">Elongation of very long chain fatty acids protein 6 </t>
  </si>
  <si>
    <t xml:space="preserve">Uncoordinated protein 79 </t>
  </si>
  <si>
    <t>GO:0040017 (positive regulation of locomotion); GO:0030424 (axon); GO:0042493 (response to drug); GO:0005515 (protein binding); GO:0045471 (response to ethanol); GO:0072347 (response to anesthetic); GO:1901424 (response to toluene)</t>
  </si>
  <si>
    <t xml:space="preserve">ASpartyl Protease; Aspartic protease 1 </t>
  </si>
  <si>
    <t>GO:0005764 (lysosome); GO:0016787 (hydrolase activity); GO:0005737 (cytoplasm); GO:0006508 (proteolysis); GO:0008233 (peptidase activity); GO:0005576 (extracellular region); GO:0004190 (aspartic-type endopeptidase activity); GO:0012501 (programmed cell death); GO:0008219 (cell death); GO:0098591 (external side of apical plasma membrane)</t>
  </si>
  <si>
    <t>GO:0016020 (membrane); GO:0016021 (integral component of membrane); GO:0005524 (ATP binding); GO:0042626 (ATPase-coupled transmembrane transporter activity); GO:0000166 (nucleotide binding); GO:0055085 (transmembrane transport); GO:0016887 (ATPase activity)</t>
  </si>
  <si>
    <t>GO:0016020 (membrane); 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ion); GO:0048488 (synaptic vesicle endocytosis); GO:0030424 (axon); GO:0048791 (calcium ion-regulated exocytosis of neurotransmitter); GO:0030672 (synaptic vesicle membrane); GO:0031045 (dense core granule)</t>
  </si>
  <si>
    <t>GO:0005886 (plasma membrane)</t>
  </si>
  <si>
    <t>GO:0016020 (membrane); GO:0016021 (integral component of membrane); GO:0003674 (molecular_function); GO:0005575 (cellular_component); GO:0008150 (biological_process)</t>
  </si>
  <si>
    <t xml:space="preserve">Nicotinamide/nicotinic acid mononucleotide adenylyltransferase 2 </t>
  </si>
  <si>
    <t>GO:0009435 (NAD biosynthetic process); GO:0016779 (nucleotidyltransferase activity); GO:0009058 (biosynthetic process); GO:0003824 (catalytic activity)</t>
  </si>
  <si>
    <t xml:space="preserve">GTL-1; Gon-Two Like (TRP subfamily) </t>
  </si>
  <si>
    <t>GO:0016020 (membrane); GO:0016021 (integral component of membrane); GO:0006811 (ion transport); GO:0005261 (cation channel activity); GO:0005887 (integral component of plasma membrane); GO:0030421 (defecation); GO:0098655 (cation transmembrane transport)</t>
  </si>
  <si>
    <t xml:space="preserve">Plexin-2 </t>
  </si>
  <si>
    <t>GO:0071526 (semaphorin-plexin signaling pathway); GO:0017154 (semaphorin receptor activity); GO:0007165 (signal transduction); GO:0005515 (protein binding)</t>
  </si>
  <si>
    <t xml:space="preserve">Probable glutathione S-transferase 5 </t>
  </si>
  <si>
    <t xml:space="preserve">Intermediate filament protein ifp-1 </t>
  </si>
  <si>
    <t xml:space="preserve">TWinFilin actin binding protein homolog </t>
  </si>
  <si>
    <t>GO:0005737 (cytoplasm); GO:0003779 (actin binding); GO:0005856 (cytoskeleton); GO:0051015 (actin filament binding); GO:0030016 (myofibril); GO:0005884 (actin filament); GO:0003785 (actin monomer binding); GO:0030042 (actin filament depolymerization); GO:0051016 (barbed-end actin filament capping); GO:0010591 (regulation of lamellipodium assembly); GO:0042989 (sequestering of actin monomers); GO:0010976 (positive regulation of neuron projection development); GO:0030837 (negative regulation of actin filament polymerization)</t>
  </si>
  <si>
    <t xml:space="preserve">Neuropeptide-Like Protein; Pigment dispersing factor 2 </t>
  </si>
  <si>
    <t>GO:0016020 (membrane); GO:0016021 (integral component of membrane); GO:0046872 (metal ion binding); GO:0005765 (lysosomal membrane); GO:0030968 (endoplasmic reticulum unfolded protein response)</t>
  </si>
  <si>
    <t>GO:0000166 (nucleotide binding); GO:0005524 (ATP binding); GO:0006357 (regulation of transcription by RNA polymerase II); GO:0033588 (Elongator holoenzyme complex); GO:0002098 (tRNA wobble uridine modification)</t>
  </si>
  <si>
    <t xml:space="preserve">26S proteasome regulatory subunit 7 </t>
  </si>
  <si>
    <t>GO:0005634 (nucleus); GO:0005737 (cytoplasm); GO:0003677 (DNA binding); GO:0046983 (protein dimerization activity); GO:0000977 (RNA polymerase II transcription regulatory region sequence-specific DNA binding); GO:0000981 (DNA-binding transcription factor activity, RNA polymerase II-specific); GO:0006357 (regulation of transcription by RNA polymerase II); GO:0032502 (developmental process); GO:0000122 (negative regulation of transcription by RNA polymerase II); GO:0003714 (transcription corepressor activity); GO:0046982 (protein heterodimerization activity)</t>
  </si>
  <si>
    <t>GO:0016020 (membrane); GO:0016021 (integral component of membrane); GO:0045087 (innate immune response); GO:0050832 (defense response to fungus)</t>
  </si>
  <si>
    <t xml:space="preserve">Transmembrane protein 151 homolog </t>
  </si>
  <si>
    <t xml:space="preserve">Histone-lysine N-methyltransferase, H3 lysine-79 specific </t>
  </si>
  <si>
    <t>GO:0005634 (nucleus); GO:0008168 (methyltransferase activity); GO:0032259 (methylation); GO:0016740 (transferase activity); GO:0000077 (DNA damage checkpoint); GO:0000781 (chromosome, telomeric region); GO:0006348 (chromatin silencing at telomere); GO:0031151 (histone methyltransferase activity (H3-K79 specific)); GO:0034729 (histone H3-K79 methylation); GO:0051726 (regulation of cell cycle); GO:2000677 (regulation of transcription regulatory region DNA binding); GO:0018024 (histone-lysine N-methyltransferase activity); GO:0006325 (chromatin organization); GO:0006281 (DNA repair)</t>
  </si>
  <si>
    <t xml:space="preserve">LysM Domain (Peptidoglycan binding) protein </t>
  </si>
  <si>
    <t>GO:0008152 (metabolic process); GO:0016787 (hydrolase activity); GO:0016798 (hydrolase activity, acting on glycosyl bonds); GO:0008061 (chitin binding); GO:0005975 (carbohydrate metabolic process); GO:0004553 (hydrolase activity, hydrolyzing O-glycosyl compounds)</t>
  </si>
  <si>
    <t xml:space="preserve">Anaphase-promoting complex subunit emb-1 </t>
  </si>
  <si>
    <t>GO:0005634 (nucleus);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GO:0030182 (neuron differentiation)</t>
  </si>
  <si>
    <t>GO:0005515 (protein binding); GO:0042302 (structural constituent of cuticle)</t>
  </si>
  <si>
    <t xml:space="preserve">GLYcosylation related </t>
  </si>
  <si>
    <t>GO:0016020 (membrane); GO:0016021 (integral component of membrane); GO:0046872 (metal ion binding); GO:0016740 (transferase activity); GO:0000139 (Golgi membrane); GO:0005794 (Golgi apparatus); GO:0016757 (transferase activity, transferring glycosyl groups); GO:0006486 (protein glycosylation); GO:0006487 (protein N-linked glycosylation); GO:0005795 (Golgi stack); GO:0008455 (alpha-1,6-mannosylglycoprotein 2-beta-N-acetylglucosaminyltransferase activity); GO:0009312 (oligosaccharide biosynthetic process); GO:0018215 (protein phosphopantetheinylation)</t>
  </si>
  <si>
    <t xml:space="preserve">Suppressor of organelle fusion 2 </t>
  </si>
  <si>
    <t>GO:0005737 (cytoplasm); GO:0005515 (protein binding); GO:0005768 (endosome); GO:0005769 (early endosome); GO:0031902 (late endosome membrane); GO:0051036 (regulation of endosome size); GO:0005829 (cytosol); GO:0031901 (early endosome membrane); GO:0005770 (late endosome); GO:0031313 (extrinsic component of endosome membrane); GO:0035014 (phosphatidylinositol 3-kinase regulator activity); GO:0043551 (regulation of phosphatidylinositol 3-kinase activity); GO:0045022 (early endosome to late endosome transport); GO:0048284 (organelle fusion); GO:2000643 (positive regulation of early endosome to late endosome transport)</t>
  </si>
  <si>
    <t>snoRNA</t>
  </si>
  <si>
    <t xml:space="preserve">RNA-binding protein rnp-1 </t>
  </si>
  <si>
    <t>GO:0046872 (metal ion binding); GO:0000398 (mRNA splicing, via spliceosome); GO:0003723 (RNA binding); GO:0003676 (nucleic acid binding); GO:0016607 (nuclear speck); GO:0007283 (spermatogenesis); GO:0060282 (positive regulation of oocyte development); GO:0048600 (oocyte fate commitment)</t>
  </si>
  <si>
    <t xml:space="preserve">Homeobox protein ceh-23 </t>
  </si>
  <si>
    <t>GO:0016020 (membrane); GO:0016021 (integral component of membrane); GO:0005634 (nucleus); GO:0016787 (hydrolase activity); GO:0005737 (cytoplasm); GO:0005829 (cytosol); GO:0000224 (peptide-N4-(N-acetyl-beta-glucosaminyl)asparagine amidase activity); GO:0006515 (protein quality control for misfolded or incompletely synthesized proteins); GO:0006516 (glycoprotein catabolic process); GO:0006517 (protein deglycosylation)</t>
  </si>
  <si>
    <t>GO:0005737 (cytoplasm); GO:0046872 (metal ion binding); GO:0008270 (zinc ion binding); GO:0016829 (lyase activity); GO:0004089 (carbonate dehydratase activity); GO:0006730 (one-carbon metabolic process); GO:0016836 (hydro-lyase activity)</t>
  </si>
  <si>
    <t xml:space="preserve">Cyclin-T1.1 </t>
  </si>
  <si>
    <t>GO:0016538 (cyclin-dependent protein serine/threonine kinase regulator activity); GO:0006357 (regulation of transcription by RNA polymerase II); GO:0006351 (transcription, DNA-templated)</t>
  </si>
  <si>
    <t xml:space="preserve">Asparaginyl(N) Amino-acyl tRNA Synthetase </t>
  </si>
  <si>
    <t>GO:0005524 (ATP binding); GO:0000166 (nucleotide binding); GO:0004812 (aminoacyl-tRNA ligase activity); GO:0006418 (tRNA aminoacylation for protein translation); GO:0016874 (ligase activity); GO:0006412 (translation)</t>
  </si>
  <si>
    <t xml:space="preserve">Solute carrier family 40 protein </t>
  </si>
  <si>
    <t>GO:0016020 (membrane); GO:0016021 (integral component of membrane); GO:0006811 (ion transport); GO:0005381 (iron ion transmembrane transporter activity); GO:0034755 (iron ion transmembrane transport)</t>
  </si>
  <si>
    <t>GO:0005634 (nucleus); GO:0005737 (cytoplasm)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</si>
  <si>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GO:0030594 (neurotransmitter receptor activity); GO:0043025 (neuronal cell body); GO:0007638 (mechanosensory behavior); GO:0006821 (chloride transport); GO:0014069 (postsynaptic density); GO:0005254 (chloride channel activity)</t>
  </si>
  <si>
    <t xml:space="preserve">Vesicular NUcleotide Transporte </t>
  </si>
  <si>
    <t xml:space="preserve">Related to yeast Vacuolar Protein Sorting factor </t>
  </si>
  <si>
    <t>GO:0005737 (cytoplasm); GO:0015031 (protein transport); GO:0005768 (endosome); GO:0031902 (late endosome membrane); GO:0043130 (ubiquitin binding); GO:0032509 (endosome transport via multivesicular body sorting pathway); GO:0000814 (ESCRT II complex); GO:0043328 (protein transport to vacuole involved in ubiquitin-dependent protein catabolic process via the multivesicular body sorting pathway); GO:0032266 (phosphatidylinositol-3-phosphate binding)</t>
  </si>
  <si>
    <t xml:space="preserve">UDP-glucose 6-dehydrogenase </t>
  </si>
  <si>
    <t>GO:0005634 (nucleus); GO:0016491 (oxidoreductase activity); GO:0005829 (cytosol); GO:0016616 (oxidoreductase activity, acting on the CH-OH group of donors, NAD or NADP as acceptor); GO:0051287 (NAD binding); GO:0042802 (identical protein binding); GO:0003979 (UDP-glucose 6-dehydrogenase activity); GO:0006024 (glycosaminoglycan biosynthetic process); GO:0006065 (UDP-glucuronate biosynthetic process); GO:0009792 (embryo development ending in birth or egg hatching); GO:0005737 (cytoplasm); GO:0018991 (oviposition); GO:0000003 (reproduction); GO:0040025 (vulval development); GO:0002009 (morphogenesis of an epithelium); GO:0055114 (oxidation-reduction process)</t>
  </si>
  <si>
    <t>GO:0016020 (membrane); GO:0016021 (integral component of membrane); GO:0003824 (catalytic activity)</t>
  </si>
  <si>
    <t xml:space="preserve">SEL-7; Suppressor/Enhancer of Lin-12 </t>
  </si>
  <si>
    <t>GO:0005515 (protein binding); GO:0005634 (nucleus); GO:0000122 (negative regulation of transcription by RNA polymerase II); GO:0043565 (sequence-specific DNA binding); GO:0040034 (regulation of development, heterochronic); GO:0045747 (positive regulation of Notch signaling pathway); GO:0042802 (identical protein binding); GO:0042659 (regulation of cell fate specification); GO:0042661 (regulation of mesodermal cell fate specification); GO:0046331 (lateral inhibition)</t>
  </si>
  <si>
    <t>GO:0003674 (molecular_function); GO:0005575 (cellular_component); GO:0010780 (meiotic DNA double-strand break formation involved in reciprocal meiotic recombination)</t>
  </si>
  <si>
    <t>FMRFamide-like neuropeptides 16 AQTFVRF-amide 1 AQTFVRF-amide 2 GQTFVRF-amide</t>
  </si>
  <si>
    <t xml:space="preserve">Putative transcription factor MAB-23 </t>
  </si>
  <si>
    <t>GO:0005634 (nucleus); GO:0046872 (metal ion binding);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GO:0010629 (negative regulation of gene expression); GO:0048664 (neuron fate determination); GO:0110037 (regulation of nematode male tail tip morphogenesis); GO:1902435 (regulation of male mating behavior); GO:0003700 (DNA-binding transcription factor activity); GO:0007548 (sex differentiation)</t>
  </si>
  <si>
    <t xml:space="preserve">Beta-1,3-galactosyltransferase bre-2 </t>
  </si>
  <si>
    <t>GO:0006486 (protein glycosylation); GO:0016020 (membrane); GO:0016021 (integral component of membrane); GO:0016740 (transferase activity); GO:0000139 (Golgi membrane); GO:0005794 (Golgi apparatus); GO:0016757 (transferase activity, transferring glycosyl groups); GO:0016758 (transferase activity, transferring hexosyl groups)</t>
  </si>
  <si>
    <t xml:space="preserve">Acyl-Coenzyme A Binding Protein </t>
  </si>
  <si>
    <t>GO:0000062 (fatty-acyl-CoA binding); GO:0005515 (protein binding)</t>
  </si>
  <si>
    <t xml:space="preserve">General Transcription Factor homolog; TFIIE-alpha protein </t>
  </si>
  <si>
    <t>GO:0003743 (translation initiation factor activity); GO:0006413 (translational initiation); GO:0006367 (transcription initiation from RNA polymerase II promoter); GO:0005673 (transcription factor TFIIE complex); GO:0001113 (transcription open complex formation at RNA polymerase II promoter); GO:0000993 (RNA polymerase II complex binding)</t>
  </si>
  <si>
    <t>GO:0016787 (hydrolase activity); GO:0006511 (ubiquitin-dependent protein catabolic process); GO:0006508 (proteolysis); GO:0008233 (peptidase activity); GO:0016579 (protein deubiquitination); GO:0008234 (cysteine-type peptidase activity); GO:0004843 (thiol-dependent ubiquitin-specific protease activity)</t>
  </si>
  <si>
    <t xml:space="preserve">Cuticle collagen 13 </t>
  </si>
  <si>
    <t>GO:0005737 (cytoplasm); GO:0016740 (transferase activity); GO:0008080 (N-acetyltransferase activity)</t>
  </si>
  <si>
    <t xml:space="preserve">Ankyrin repeat and KH domain-containing protein mask-1 </t>
  </si>
  <si>
    <t>GO:0003676 (nucleic acid binding); GO:0003723 (RNA binding); GO:0005515 (protein binding)</t>
  </si>
  <si>
    <t>GO:0016020 (membrane); GO:0016021 (integral component of membrane); GO:0005634 (nucleus); GO:0005737 (cytoplasm); GO:0031410 (cytoplasmic vesicle); GO:0098655 (cation transmembrane transport); GO:0055085 (transmembrane transport); GO:0006812 (cation transport); GO:0008324 (cation transmembrane transporter activity); GO:0005783 (endoplasmic reticulum); GO:0006829 (zinc ion transport)</t>
  </si>
  <si>
    <t>GO:0016020 (membrane); GO:0016021 (integral component of membrane); GO:0005765 (lysosomal membrane)</t>
  </si>
  <si>
    <t>GO:0005634 (nucleus); GO:0035267 (NuA4 histone acetyltransferase complex); GO:0006281 (DNA repair); GO:0000122 (negative regulation of transcription by RNA polymerase II); GO:0003714 (transcription corepressor activity); GO:0006338 (chromatin remodeling); GO:0043967 (histone H4 acetylation); GO:0043968 (histone H2A acetylation); GO:0045892 (negative regulation of transcription, DNA-templated); GO:0000812 (Swr1 complex); GO:0043486 (histone exchange); GO:0009996 (negative regulation of cell fate specification)</t>
  </si>
  <si>
    <t>GO:0005634 (nucleus); GO:0007275 (multicellular organism development); GO:0007049 (cell cycle); GO:0051301 (cell division); GO:0003677 (DNA binding); GO:0006281 (DNA repair); GO:0031298 (replication fork protection complex); GO:0051321 (meiotic cell cycle); GO:0000076 (DNA replication checkpoint); GO:0043111 (replication fork arrest); GO:0048478 (replication fork protection); GO:0009792 (embryo development ending in birth or egg hatching); GO:0007064 (mitotic sister chromatid cohesion); GO:0051177 (meiotic sister chromatid cohesion); GO:0007063 (regulation of sister chromatid cohesion)</t>
  </si>
  <si>
    <t xml:space="preserve">DNA repair protein brc-2 </t>
  </si>
  <si>
    <t xml:space="preserve">NMDA class glutamate Receptor </t>
  </si>
  <si>
    <t>GO:0016020 (membrane); GO:0016021 (integral component of membrane); GO:0038023 (signaling receptor activity); GO:0005216 (ion channel activity); GO:0005886 (plasma membrane); GO:0006811 (ion transport); GO:0034220 (ion transmembrane transport); GO:0030054 (cell junction); GO:0045202 (synapse); GO:0045211 (postsynaptic membrane); GO:0004970 (ionotropic glutamate receptor activity); GO:0035235 (ionotropic glutamate receptor signaling pathway); GO:0004972 (NMDA glutamate receptor activity); GO:0015276 (ligand-gated ion channel activity)</t>
  </si>
  <si>
    <t>GO:0001540 (amyloid-beta binding); GO:0005515 (protein binding)</t>
  </si>
  <si>
    <t xml:space="preserve">UPF0376 protein F10G2.1 </t>
  </si>
  <si>
    <t xml:space="preserve">ABC transporter, class F </t>
  </si>
  <si>
    <t>GO:0005524 (ATP binding); GO:0055085 (transmembrane transport); GO:0000166 (nucleotide binding); GO:0042626 (ATPase-coupled transmembrane transporter activity); GO:0016887 (ATPase activity)</t>
  </si>
  <si>
    <t>GO:0007165 (signal transduction)</t>
  </si>
  <si>
    <t>GO:0016020 (membrane); GO:0016021 (integral component of membrane); GO:0005863 (striated muscle myosin thick filament); GO:0005515 (protein binding)</t>
  </si>
  <si>
    <t>GO:0032504 (multicellular organism reproduction)</t>
  </si>
  <si>
    <t>GO:0016020 (membrane); GO:0016021 (integral component of membrane); GO:0004930 (G protein-coupled receptor activity); GO:0004983 (neuropeptide Y receptor activity); GO:0007165 (signal transduction); GO:0007186 (G protein-coupled receptor signaling pathway); GO:0006937 (regulation of muscle contraction); GO:0043052 (thermotaxis); GO:0005886 (plasma membrane); GO:0043025 (neuronal cell body); GO:0030424 (axon); GO:0070482 (response to oxygen levels); GO:0005887 (integral component of plasma membrane); GO:0030425 (dendrite); GO:0007631 (feeding behavior); GO:0007218 (neuropeptide signaling pathway); GO:0048149 (behavioral response to ethanol); GO:0008188 (neuropeptide receptor activity); GO:1904068 (G protein-coupled receptor signaling pathway involved in social behavior)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</si>
  <si>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GO:0000166 (nucleotide binding)</t>
  </si>
  <si>
    <t xml:space="preserve">Transmembrane channel-like protein 1 </t>
  </si>
  <si>
    <t>GO:0016020 (membrane); GO:0016021 (integral component of membrane); GO:0005886 (plasma membrane); GO:0006811 (ion transport); GO:0008381 (mechanosensitive ion channel activity); GO:0005887 (integral component of plasma membrane); GO:0035725 (sodium ion transmembrane transport); GO:0007606 (sensory perception of chemical stimulus); GO:0005216 (ion channel activity); GO:0005272 (sodium channel activity); GO:0034220 (ion transmembrane transport); GO:0050906 (detection of stimulus involved in sensory perception); GO:0097730 (non-motile cilium); GO:0043025 (neuronal cell body)</t>
  </si>
  <si>
    <t xml:space="preserve">Glycerol-3-phosphate dehydrogenase [NAD(+)] </t>
  </si>
  <si>
    <t>GO:0016491 (oxidoreductase activity); GO:0005829 (cytosol); GO:0005975 (carbohydrate metabolic process); GO:0016616 (oxidoreductase activity, acting on the CH-OH group of donors, NAD or NADP as acceptor); GO:0004367 (glycerol-3-phosphate dehydrogenase [NAD+] activity); GO:0006072 (glycerol-3-phosphate metabolic process); GO:0009331 (glycerol-3-phosphate dehydrogenase complex); GO:0042803 (protein homodimerization activity); GO:0046168 (glycerol-3-phosphate catabolic process); GO:0051287 (NAD binding); GO:0006116 (NADH oxidation); GO:0004368 (glycerol-3-phosphate dehydrogenase (quinone) activity); GO:0055114 (oxidation-reduction process)</t>
  </si>
  <si>
    <t xml:space="preserve">Serpentine Receptor, class BC (Class B-like) </t>
  </si>
  <si>
    <t xml:space="preserve">Mitochondrial import inner membrane translocase subunit tim-13 </t>
  </si>
  <si>
    <t>GO:0016020 (membrane); GO:0046872 (metal ion binding); GO:0015031 (protein transport); GO:0005739 (mitochondrion); GO:0005743 (mitochondrial inner membrane); GO:0045039 (protein insertion into mitochondrial inner membrane); GO:0005758 (mitochondrial intermembrane space); GO:0042719 (mitochondrial intermembrane space protein transporter complex); GO:0072321 (chaperone-mediated protein transport)</t>
  </si>
  <si>
    <t xml:space="preserve">Regulator of hypoxia-inducible factor 1 </t>
  </si>
  <si>
    <t>GO:0016020 (membrane); GO:0016021 (integral component of membrane); GO:0016747 (transferase activity, transferring acyl groups other than amino-acyl groups); GO:0005783 (endoplasmic reticulum); GO:0005789 (endoplasmic reticulum membrane); GO:1900038 (negative regulation of cellular response to hypoxia); GO:0048471 (perinuclear region of cytoplasm); GO:0001666 (response to hypoxia)</t>
  </si>
  <si>
    <t xml:space="preserve">EF HanD calcium binding protein </t>
  </si>
  <si>
    <t>GO:0005509 (calcium ion binding); GO:0046872 (metal ion binding)</t>
  </si>
  <si>
    <t xml:space="preserve">Betaine receptor acr-23 </t>
  </si>
  <si>
    <t>GO:0005230 (extracellular ligand-gated ion channel activity); GO:0034220 (ion transmembrane transport); GO:0006811 (ion transport); GO:0005216 (ion channel activity); GO:0004888 (transmembrane signaling receptor activity); GO:0016021 (integral component of membrane); GO:0016020 (membrane)</t>
  </si>
  <si>
    <t>GO:0036064 (ciliary basal body); GO:0060271 (cilium assembly); GO:0005814 (centriole); GO:0090162 (establishment of epithelial cell polarity); GO:0097539 (ciliary transition fiber); GO:1905515 (non-motile cilium assembly)</t>
  </si>
  <si>
    <t xml:space="preserve">Propionyl-CoA carboxylase alpha chain, mitochondrial </t>
  </si>
  <si>
    <t>GO:0046872 (metal ion binding); GO:0005524 (ATP binding)</t>
  </si>
  <si>
    <t xml:space="preserve">Profilin-2 </t>
  </si>
  <si>
    <t>GO:0008460 (dTDP-glucose 4,6-dehydratase activity)</t>
  </si>
  <si>
    <t xml:space="preserve">MBF (Multiprotein bridging factor) transcriptional coactivator </t>
  </si>
  <si>
    <t>GO:0005634 (nucleus); GO:0003677 (DNA binding)</t>
  </si>
  <si>
    <t>GO:0016020 (membrane); GO:0016021 (integral component of membrane); GO:0005509 (calcium ion binding); GO:0030246 (carbohydrate binding); GO:0006508 (proteolysis); GO:0008236 (serine-type peptidase activity); GO:0050830 (defense response to Gram-positive bacterium); GO:0005515 (protein binding)</t>
  </si>
  <si>
    <t>GO:0000387 (spliceosomal snRNP assembly); GO:0003723 (RNA binding); GO:0071013 (catalytic step 2 spliceosome); GO:0006396 (RNA processing); GO:0005686 (U2 snRNP); GO:0005685 (U1 snRNP); GO:0000243 (commitment complex); GO:0005682 (U5 snRNP); GO:0005687 (U4 snRNP); GO:0005689 (U12-type spliceosomal complex); GO:0034715 (pICln-Sm protein complex); GO:0034719 (SMN-Sm protein complex); GO:0071011 (precatalytic spliceosome); GO:0097526 (spliceosomal tri-snRNP complex)</t>
  </si>
  <si>
    <t xml:space="preserve">Coiled-coil domain-containing protein mdt-28 </t>
  </si>
  <si>
    <t xml:space="preserve">Mitochondrial Ribosomal Protein, Small </t>
  </si>
  <si>
    <t>GO:0000462 (maturation of SSU-rRNA from tricistronic rRNA transcript (SSU-rRNA, 5.8S rRNA, LSU-rRNA)); GO:0003735 (structural constituent of ribosome); GO:0005840 (ribosome); GO:0006412 (translation); GO:0022627 (cytosolic small ribosomal subunit); GO:0000028 (ribosomal small subunit assembly); GO:0005763 (mitochondrial small ribosomal subunit); GO:0032543 (mitochondrial translation); GO:0070181 (small ribosomal subunit rRNA binding); GO:0048027 (mRNA 5'-UTR binding)</t>
  </si>
  <si>
    <t xml:space="preserve">Acetylcholine receptor subunit alpha-type acr-5 </t>
  </si>
  <si>
    <t xml:space="preserve">EGL-17 </t>
  </si>
  <si>
    <t>GO:0005737 (cytoplasm); GO:0005615 (extracellular space); GO:0008284 (positive regulation of cell population proliferation); GO:0030154 (cell differentiation); GO:0008083 (growth factor activity); GO:0030334 (regulation of cell migration); GO:0010628 (positive regulation of gene expression); GO:0001934 (positive regulation of protein phosphorylation); GO:0046662 (regulation of oviposition); GO:0008543 (fibroblast growth factor receptor signaling pathway); GO:0009887 (animal organ morphogenesis); GO:0005104 (fibroblast growth factor receptor binding); GO:0005105 (type 1 fibroblast growth factor receptor binding); GO:0005111 (type 2 fibroblast growth factor receptor binding)</t>
  </si>
  <si>
    <t xml:space="preserve">Rentinal Degeneration 3-Like </t>
  </si>
  <si>
    <t xml:space="preserve">Putative UDP-glucuronosyltransferase ugt-48 </t>
  </si>
  <si>
    <t>GO:0016020 (membrane); GO:0016021 (integral component of membrane); GO:0016740 (transferase activity); GO:0043231 (intracellular membrane-bounded organelle); GO:0015020 (glucuronosyltransferase activity); GO:0016757 (transferase activity, transferring glycosyl groups); GO:0005516 (calmodulin binding); GO:0008194 (UDP-glycosyltransferase activity)</t>
  </si>
  <si>
    <t>GO:0016020 (membrane); GO:0016021 (integral component of membrane); 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ion); GO:0048488 (synaptic vesicle endocytosis); GO:0030424 (axon); GO:0048791 (calcium ion-regulated exocytosis of neurotransmitter); GO:0030672 (synaptic vesicle membrane); GO:0031045 (dense core granule)</t>
  </si>
  <si>
    <t xml:space="preserve">Leucine-rich repeats and immunoglobulin-like domains protein sma-10 </t>
  </si>
  <si>
    <t>GO:0016020 (membrane); GO:0016021 (integral component of membrane); GO:0005886 (plasma membrane); GO:0031410 (cytoplasmic vesicle); GO:0005615 (extracellular space); GO:0042661 (regulation of mesodermal cell fate specification); GO:0031012 (extracellular matrix); GO:0031225 (anchored component of membrane); GO:0030659 (cytoplasmic vesicle membrane); GO:0005887 (integral component of plasma membrane); GO:0007179 (transforming growth factor beta receptor signaling pathway); GO:0040018 (positive regulation of multicellular organism growth); GO:0030511 (positive regulation of transforming growth factor beta receptor signaling pathway); GO:0005114 (type II transforming growth factor beta receptor binding); GO:0034713 (type I transforming growth factor beta receptor binding); GO:0005515 (protein binding)</t>
  </si>
  <si>
    <t xml:space="preserve">UNC-112-Interacting Guanine nucleotide exchange factor </t>
  </si>
  <si>
    <t>GO:0035556 (intracellular signal transduction); GO:0005085 (guanyl-nucleotide exchange factor activity); GO:0050790 (regulation of catalytic activity); GO:0019904 (protein domain specific binding); GO:0055120 (striated muscle dense body); GO:1901074 (regulation of engulfment of apoptotic cell)</t>
  </si>
  <si>
    <t xml:space="preserve">26S protease regulatory subunit 6A </t>
  </si>
  <si>
    <t xml:space="preserve">BTB and MATH domain-containing protein 40 </t>
  </si>
  <si>
    <t xml:space="preserve">XPB (Xeroderma Pigmentosum complementation group B) related </t>
  </si>
  <si>
    <t>GO:0005524 (ATP binding); GO:0016787 (hydrolase activity); GO:0004386 (helicase activity); GO:0003677 (DNA binding); GO:0000166 (nucleotide binding); GO:0006367 (transcription initiation from RNA polymerase II promoter); GO:0008134 (transcription factor binding); GO:0005675 (transcription factor TFIIH holo complex); GO:0006289 (nucleotide-excision repair); GO:0003678 (DNA helicase activity); GO:0032508 (DNA duplex unwinding); GO:0043138 (3'-5' DNA helicase activity); GO:0097550 (transcription preinitiation complex); GO:0033683 (nucleotide-excision repair, DNA incision); GO:0000112 (nucleotide-excision repair factor 3 complex); GO:0009411 (response to UV); GO:0016887 (ATPase activity)</t>
  </si>
  <si>
    <t>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GO:0050829 (defense response to Gram-negative bacterium)</t>
  </si>
  <si>
    <t xml:space="preserve">ATPase family AAA domain-containing protein 3 </t>
  </si>
  <si>
    <t>GO:0007005 (mitochondrion organization); GO:0016887 (ATPase activity); GO:0005739 (mitochondrion); GO:0005524 (ATP binding)</t>
  </si>
  <si>
    <t xml:space="preserve">REST corepressor spr-1 </t>
  </si>
  <si>
    <t>GO:0005634 (nucleus); GO:0046872 (metal ion binding); GO:0006355 (regulation of transcription, DNA-templated); GO:0008270 (zinc ion binding); GO:0043565 (sequence-specific DNA binding); GO:0003677 (DNA binding); GO:0045892 (negative regulation of transcription, DNA-templated); GO:0005667 (transcription regulator complex); GO:0003714 (transcription corepressor activity); GO:0016575 (histone deacetylation); GO:0006357 (regulation of transcription by RNA polymerase II); GO:0000118 (histone deacetylase complex)</t>
  </si>
  <si>
    <t xml:space="preserve">Regulator of spindle assembly protein 2 </t>
  </si>
  <si>
    <t>GO:0005737 (cytoplasm); GO:0005856 (cytoskeleton); GO:0007049 (cell cycle); GO:0005515 (protein binding); GO:0005815 (microtubule organizing center); GO:0008013 (beta-catenin binding); GO:0033365 (protein localization to organelle); GO:0048566 (embryonic digestive tract development); GO:0030674 (protein-macromolecule adaptor activity); GO:0005813 (centrosome); GO:0007052 (mitotic spindle organization)</t>
  </si>
  <si>
    <t xml:space="preserve">Disintegrin and metalloproteinase domain-containing protein unc-71 </t>
  </si>
  <si>
    <t>GO:0016020 (membrane); GO:0016021 (integral component of membrane); GO:0005886 (plasma membrane); GO:0004222 (metalloendopeptidase activity); GO:0006508 (proteolysis); GO:0008237 (metallopeptidase activity); GO:0006509 (membrane protein ectodomain proteolysis); GO:0098609 (cell-cell adhesion); GO:0045026 (plasma membrane fusion)</t>
  </si>
  <si>
    <t>GO:0005634 (nucleus); GO:0005524 (ATP binding); GO:0016787 (hydrolase activity); GO:0004386 (helicase activity); GO:0000166 (nucleotide binding); GO:0003723 (RNA binding); GO:0003676 (nucleic acid binding); GO:0030154 (cell differentiation); GO:0043186 (P granule); GO:0048471 (perinuclear region of cytoplasm); GO:0016246 (RNA interference); GO:0007276 (gamete generation); GO:0003724 (RNA helicase activity)</t>
  </si>
  <si>
    <t>GO:0016020 (membrane); GO:0016021 (integral component of membrane); GO:0016627 (oxidoreductase activity, acting on the CH-CH group of donors); GO:0006629 (lipid metabolic process); GO:0016491 (oxidoreductase activity); GO:0007548 (sex differentiation); GO:0003865 (3-oxo-5-alpha-steroid 4-dehydrogenase activity); GO:0006694 (steroid biosynthetic process); GO:0008202 (steroid metabolic process); GO:0047751 (cholestenone 5-alpha-reductase activity); GO:0055114 (oxidation-reduction process)</t>
  </si>
  <si>
    <t>GO:0046872 (metal ion binding); GO:0019825 (oxygen binding); GO:0020037 (heme binding); GO:0005344 (oxygen carrier activity); GO:0015671 (oxygen transport)</t>
  </si>
  <si>
    <t xml:space="preserve">Zinc metalloproteinase nas-16 </t>
  </si>
  <si>
    <t xml:space="preserve">DisPaTcheD family </t>
  </si>
  <si>
    <t>GO:0016020 (membrane); GO:0016021 (integral component of membrane); GO:0007224 (smoothened signaling pathway)</t>
  </si>
  <si>
    <t xml:space="preserve">NOmpA Homolog (Drosophila nompA: no mechanoreceptor potential A) </t>
  </si>
  <si>
    <t>GO:0016020 (membrane); GO:0016021 (integral component of membrane); GO:0018996 (molting cycle, collagen and cuticulin-based cuticle)</t>
  </si>
  <si>
    <t xml:space="preserve">NEDD8-conjugating enzyme ubc-12 </t>
  </si>
  <si>
    <t>GO:0000166 (nucleotide binding); GO:0016740 (transferase activity); GO:0000209 (protein polyubiquitination); GO:0043161 (proteasome-mediated ubiquitin-dependent protein catabolic process); GO:0005737 (cytoplasm); GO:0005524 (ATP binding); GO:0007275 (multicellular organism development); GO:0061631 (ubiquitin conjugating enzyme activity); GO:0045116 (protein neddylation); GO:0006281 (DNA repair); GO:0043518 (negative regulation of DNA damage response, signal transduction by p53 class mediator); GO:0005575 (cellular_component); GO:0033503 (HULC complex); GO:0019788 (NEDD8 transferase activity); GO:0110039 (positive regulation of nematode male tail tip morphogenesis); GO:0016574 (histone ubiquitination); GO:0018215 (protein phosphopantetheinylation)</t>
  </si>
  <si>
    <t>GO:0005515 (protein binding); GO:0009792 (embryo development ending in birth or egg hatching); GO:0000070 (mitotic sister chromatid segregation); GO:0000712 (resolution of meiotic recombination intermediates); GO:0019899 (enzyme binding); GO:0036297 (interstrand cross-link repair); GO:0042802 (identical protein binding); GO:0000706 (meiotic DNA double-strand break processing); GO:0033557 (Slx1-Slx4 complex); GO:0005634 (nucleus)</t>
  </si>
  <si>
    <t xml:space="preserve">Cysteine synthase 3 </t>
  </si>
  <si>
    <t>GO:0004124 (cysteine synthase activity); GO:0006535 (cysteine biosynthetic process from serine)</t>
  </si>
  <si>
    <t>GO:0016020 (membrane); GO:0016021 (integral component of membrane); GO:0005886 (plasma membrane); GO:0055088 (lipid homeostasis); GO:0007009 (plasma membrane organization); GO:0055091 (phospholipid homeostasis); GO:0071709 (membrane assembly); GO:0097035 (regulation of membrane lipid distribution)</t>
  </si>
  <si>
    <t xml:space="preserve">CHE-2 protein </t>
  </si>
  <si>
    <t>GO:0040018 (positive regulation of multicellular organism growth); GO:0005813 (centrosome); GO:0005929 (cilium); GO:0030992 (intraciliary transport particle B); GO:0006935 (chemotaxis); GO:0040014 (regulation of multicellular organism growth); GO:0060271 (cilium assembly); GO:0090326 (positive regulation of locomotion involved in locomotory behavior); GO:0036064 (ciliary basal body); GO:0090325 (regulation of locomotion involved in locomotory behavior); GO:0097730 (non-motile cilium); GO:0040024 (dauer larval development); GO:0003674 (molecular_function); GO:0030512 (negative regulation of transforming growth factor beta receptor signaling pathway); GO:0005515 (protein binding)</t>
  </si>
  <si>
    <t xml:space="preserve">IG(Immunoglobulin) and LRR(Leucine Rich Repeat) domains </t>
  </si>
  <si>
    <t xml:space="preserve">Homeobox protein ceh-6 </t>
  </si>
  <si>
    <t xml:space="preserve">Rho GTPase-activating protein syd-1 </t>
  </si>
  <si>
    <t>GO:0005096 (GTPase activator activity); GO:0007165 (signal transduction); GO:0007275 (multicellular organism development); GO:0030054 (cell junction); GO:0045202 (synapse); GO:0007399 (nervous system development); GO:0030030 (cell projection organization); GO:0030154 (cell differentiation); GO:0043005 (neuron projection); GO:0090630 (activation of GTPase activity); GO:0040011 (locomotion); GO:0008088 (axo-dendritic transport); GO:0042734 (presynaptic membrane); GO:0034613 (cellular protein localization); GO:0005515 (protein binding); GO:0031267 (small GTPase binding)</t>
  </si>
  <si>
    <t>GO:0016020 (membrane); GO:0016021 (integral component of membrane); GO:0022857 (transmembrane transporter activity); GO:0055085 (transmembrane transport); GO:0030176 (integral component of endoplasmic reticulum membrane)</t>
  </si>
  <si>
    <t xml:space="preserve">ERGIC-53-like protein; Intracellular LEctin </t>
  </si>
  <si>
    <t>GO:0016020 (membrane); GO:0016021 (integral component of membrane); GO:0005789 (endoplasmic reticulum membrane); GO:0030246 (carbohydrate binding); GO:0006888 (endoplasmic reticulum to Golgi vesicle-mediated transport); GO:0030134 (COPII-coated ER to Golgi transport vesicle); GO:0005793 (endoplasmic reticulum-Golgi intermediate compartment); GO:0007030 (Golgi organization); GO:0000139 (Golgi membrane); GO:0005537 (mannose binding); GO:0007029 (endoplasmic reticulum organization)</t>
  </si>
  <si>
    <t xml:space="preserve">ATP-dependent DNA helicase II subunit 2 </t>
  </si>
  <si>
    <t>GO:0016787 (hydrolase activity); GO:0004386 (helicase activity); GO:0003677 (DNA binding); GO:0005634 (nucleus); GO:0000166 (nucleotide binding); GO:0005524 (ATP binding); GO:0000723 (telomere maintenance); GO:0006303 (double-strand break repair via nonhomologous end joining); GO:0042162 (telomeric DNA binding); GO:0043564 (Ku70:Ku80 complex); GO:0071480 (cellular response to gamma radiation); GO:0071481 (cellular response to X-ray); GO:0003690 (double-stranded DNA binding); GO:0006281 (DNA repair); GO:0006974 (cellular response to DNA damage stimulus); GO:0006310 (DNA recombination); GO:0032508 (DNA duplex unwinding); GO:0003684 (damaged DNA binding); GO:0003678 (DNA helicase activity); GO:0016887 (ATPase activity)</t>
  </si>
  <si>
    <t>CAD protein Glutamine-dependent carbamoyl-phosphate synthase Aspartate carbamoyltransferase Dihydroorotase</t>
  </si>
  <si>
    <t>GO:0006541 (glutamine metabolic process); GO:0004088 (carbamoyl-phosphate synthase (glutamine-hydrolyzing) activity); GO:0016743 (carboxyl- or carbamoyltransferase activity); GO:0016597 (amino acid binding); GO:0006807 (nitrogen compound metabolic process); GO:0016810 (hydrolase activity, acting on carbon-nitrogen (but not peptide) bonds); GO:0016812 (hydrolase activity, acting on carbon-nitrogen (but not peptide) bonds, in cyclic amides); GO:0004070 (aspartate carbamoyltransferase activity); GO:0006207 ('de novo' pyrimidine nucleobase biosynthetic process); GO:0006520 (cellular amino acid metabolic process); GO:0046872 (metal ion binding); GO:0016787 (hydrolase activity); GO:0005524 (ATP binding)</t>
  </si>
  <si>
    <t xml:space="preserve">Tubulin Tyrosine Ligase Like </t>
  </si>
  <si>
    <t>GO:0005524 (ATP binding); GO:0006464 (cellular protein modification process); GO:0000166 (nucleotide binding); GO:0016874 (ligase activity); GO:0005929 (cilium); GO:0015631 (tubulin binding); GO:0000226 (microtubule cytoskeleton organization); GO:0034606 (response to hermaphrodite contact); GO:0070740 (tubulin-glutamic acid ligase activity); GO:0018095 (protein polyglutamylation); GO:0018215 (protein phosphopantetheinylation)</t>
  </si>
  <si>
    <t xml:space="preserve">Copper homeostasis protein cutC homolog </t>
  </si>
  <si>
    <t>GO:0055070 (copper ion homeostasis); GO:0005507 (copper ion binding)</t>
  </si>
  <si>
    <t>GO:0006511 (ubiquitin-dependent protein catabolic process); GO:0005829 (cytosol); GO:0005515 (protein binding); GO:0031593 (polyubiquitin modification-dependent protein binding)</t>
  </si>
  <si>
    <t>GO:0005524 (ATP binding); GO:0000166 (nucleotide binding); GO:0003723 (RNA binding); GO:0003676 (nucleic acid binding); GO:0004386 (helicase activity)</t>
  </si>
  <si>
    <t>GO:0008270 (zinc ion binding)</t>
  </si>
  <si>
    <t xml:space="preserve">Spindle and kinetochore-associated protein 1 </t>
  </si>
  <si>
    <t>GO:0005737 (cytoplasm); GO:0005856 (cytoskeleton); GO:0005874 (microtubule); GO:0007049 (cell cycle); GO:0008017 (microtubule binding); GO:0051301 (cell division); GO:0000278 (mitotic cell cycle); GO:0005694 (chromosome); GO:0007059 (chromosome segregation); GO:0005876 (spindle microtubule); GO:0000775 (chromosome, centromeric region); GO:0000776 (kinetochore); GO:0000777 (condensed chromosome kinetochore); GO:0005819 (spindle); GO:0072686 (mitotic spindle); GO:0031110 (regulation of microtubule polymerization or depolymerization); GO:0000940 (condensed chromosome outer kinetochore)</t>
  </si>
  <si>
    <t xml:space="preserve">Lysine-Specific histone Demethylase homolog </t>
  </si>
  <si>
    <t>GO:0016020 (membrane); GO:0016021 (integral component of membrane); GO:0005634 (nucleus); GO:0008168 (methyltransferase activity); GO:0032259 (methylation); GO:0006355 (regulation of transcription, DNA-templated); GO:0016491 (oxidoreductase activity); GO:0003682 (chromatin binding); GO:0045944 (positive regulation of transcription by RNA polymerase II); GO:0050660 (flavin adenine dinucleotide binding); GO:0008134 (transcription factor binding); GO:0000122 (negative regulation of transcription by RNA polymerase II); GO:0006325 (chromatin organization); GO:0034720 (histone H3-K4 demethylation); GO:0034648 (histone demethylase activity (H3-dimethyl-K4 specific)); GO:0055114 (oxidation-reduction process); GO:0005515 (protein binding)</t>
  </si>
  <si>
    <t>GO:0016787 (hydrolase activity); GO:0005886 (plasma membrane); GO:0002084 (protein depalmitoylation); GO:0008474 (palmitoyl-(protein) hydrolase activity); GO:0010008 (endosome membrane); GO:0018215 (protein phosphopantetheinylation)</t>
  </si>
  <si>
    <t xml:space="preserve">BTB and MATH domain-containing protein 34 </t>
  </si>
  <si>
    <t>GO:0016020 (membrane); GO:0016021 (integral component of membrane); GO:0022857 (transmembrane transporter activity); GO:0055085 (transmembrane transport); GO:0015179 (L-amino acid transmembrane transporter activity); GO:1902475 (L-alpha-amino acid transmembrane transport); GO:0015807 (L-amino acid transport)</t>
  </si>
  <si>
    <t xml:space="preserve">Calmodulin-like protein </t>
  </si>
  <si>
    <t xml:space="preserve">P-granule-associated novel protein 1 </t>
  </si>
  <si>
    <t xml:space="preserve">Gastrulation defective protein 1 </t>
  </si>
  <si>
    <t xml:space="preserve">Serpentine Receptor, class J </t>
  </si>
  <si>
    <t xml:space="preserve">Nematocin </t>
  </si>
  <si>
    <t>GO:0005185 (neurohypophyseal hormone activity); GO:0005576 (extracellular region)</t>
  </si>
  <si>
    <t xml:space="preserve">Ral GDS-Like </t>
  </si>
  <si>
    <t>GO:0007165 (signal transduction); GO:0005085 (guanyl-nucleotide exchange factor activity); GO:0007264 (small GTPase mediated signal transduction); GO:0050790 (regulation of catalytic activity); GO:0007173 (epidermal growth factor receptor signaling pathway); GO:0040026 (positive regulation of vulval development); GO:0016020 (membrane); GO:0030695 (GTPase regulator activity)</t>
  </si>
  <si>
    <t xml:space="preserve">Putative glycerophosphocholine phosphodiesterase GPCPD1 homolog 2 </t>
  </si>
  <si>
    <t>GO:0008081 (phosphoric diester hydrolase activity); GO:2001070 (starch binding); GO:0006629 (lipid metabolic process); GO:0030246 (carbohydrate binding)</t>
  </si>
  <si>
    <t xml:space="preserve">NucleOLar protein </t>
  </si>
  <si>
    <t>GO:0005634 (nucleus); GO:0005730 (nucleolus); GO:0000462 (maturation of SSU-rRNA from tricistronic rRNA transcript (SSU-rRNA, 5.8S rRNA, LSU-rRNA)); GO:0032040 (small-subunit processome); GO:0005515 (protein binding)</t>
  </si>
  <si>
    <t xml:space="preserve">SYntaXin </t>
  </si>
  <si>
    <t>GO:0016020 (membrane); GO:0016021 (integral component of membrane); GO:0005783 (endoplasmic reticulum); GO:0031201 (SNARE complex); GO:0006890 (retrograde vesicle-mediated transport, Golgi to endoplasmic reticulum)</t>
  </si>
  <si>
    <t xml:space="preserve">Calcium uniporter protein, mitochondrial </t>
  </si>
  <si>
    <t>GO:0051560 (mitochondrial calcium ion homeostasis)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</si>
  <si>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GO:0007638 (mechanosensory behavior); GO:0046959 (habituation); GO:0040012 (regulation of locomotion); GO:0007212 (dopamine receptor signaling pathway); GO:0032094 (response to food); GO:0007191 (adenylate cyclase-activating dopamine receptor signaling pathway); GO:0001588 (dopamine neurotransmitter receptor activity, coupled via Gs); GO:0051379 (epinephrine binding); GO:0051380 (norepinephrine binding); GO:0001963 (synaptic transmission, dopaminergic); GO:0045202 (synapse)</t>
  </si>
  <si>
    <t>GO:0005634 (nucleus); GO:0003677 (DNA binding);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GO:0030182 (neuron differentiation); GO:0045944 (positive regulation of transcription by RNA polymerase II); GO:0032226 (positive regulation of synaptic transmission, dopaminergic)</t>
  </si>
  <si>
    <t>GO:0016020 (membrane); GO:0016021 (integral component of membrane); GO:0055085 (transmembrane transport); GO:1902476 (chloride transmembrane transport); GO:0005887 (integral component of plasma membrane); GO:0008271 (secondary active sulfate transmembrane transporter activity); GO:0008272 (sulfate transport); GO:0015106 (bicarbonate transmembrane transporter activity); GO:0015108 (chloride transmembrane transporter activity); GO:0015116 (sulfate transmembrane transporter activity); GO:0015301 (anion:anion antiporter activity); GO:0015701 (bicarbonate transport); GO:0019531 (oxalate transmembrane transporter activity); GO:0019532 (oxalate transport); GO:0098656 (anion transmembrane transport); GO:1902358 (sulfate transmembrane transport); GO:0016324 (apical plasma membrane)</t>
  </si>
  <si>
    <t xml:space="preserve">Histidine--tRNA ligase </t>
  </si>
  <si>
    <t>GO:0005524 (ATP binding); GO:0004812 (aminoacyl-tRNA ligase activity); GO:0000166 (nucleotide binding); GO:0016874 (ligase activity); GO:0005739 (mitochondrion); GO:0005737 (cytoplasm); GO:0006412 (translation); GO:0005829 (cytosol); GO:0032543 (mitochondrial translation); GO:0002119 (nematode larval development); GO:0004821 (histidine-tRNA ligase activity); GO:0006427 (histidyl-tRNA aminoacylation); GO:0007281 (germ cell development); GO:0042802 (identical protein binding)</t>
  </si>
  <si>
    <t xml:space="preserve">Mediator of RNA polymerase II transcription subunit 29 </t>
  </si>
  <si>
    <t>GO:0016592 (mediator complex)</t>
  </si>
  <si>
    <t xml:space="preserve">H(+) MyoInositol coTransporter </t>
  </si>
  <si>
    <t>GO:0016020 (membrane); GO:0016021 (integral component of membrane); GO:0005886 (plasma membrane); GO:0022857 (transmembrane transporter activity); GO:0055085 (transmembrane transport); GO:0005366 (myo-inositol:proton symporter activity); GO:0015798 (myo-inositol transport); GO:0016324 (apical plasma membrane)</t>
  </si>
  <si>
    <t xml:space="preserve">Nose resistant to fluoxetine protein 5 </t>
  </si>
  <si>
    <t xml:space="preserve">Glutamate-gated chloride channel subunit beta </t>
  </si>
  <si>
    <t>GO:0016020 (membrane); GO:0016021 (integral component of membrane); GO:0005576 (extracellular region); GO:0005615 (extracellular space); GO:0004867 (serine-type endopeptidase inhibitor activity); GO:0010951 (negative regulation of endopeptidase activity); GO:0030414 (peptidase inhibitor activity); GO:0043086 (negative regulation of catalytic activity); GO:0004857 (enzyme inhibitor activity); GO:0052547 (regulation of peptidase activity)</t>
  </si>
  <si>
    <t>GO:0005634 (nucleus); GO:0046872 (metal ion binding); GO:0008270 (zinc ion binding); GO:0003676 (nucleic acid binding); GO:0005730 (nucleolus); GO:0006351 (transcription, DNA-templated); GO:0003899 (DNA-directed 5'-3' RNA polymerase activity); GO:0005736 (RNA polymerase I complex); GO:0006379 (mRNA cleavage); GO:0006363 (termination of RNA polymerase I transcription)</t>
  </si>
  <si>
    <t>GO:0016020 (membrane); GO:0016021 (integral component of membrane); GO:0005886 (plasma membrane); GO:0004930 (G protein-coupled receptor activity); GO:0007165 (signal transduction); GO:0007186 (G protein-coupled receptor signaling pathway); GO:0008528 (G protein-coupled peptide receptor activity); GO:0006935 (chemotaxis); GO:0007610 (behavior)</t>
  </si>
  <si>
    <t xml:space="preserve">Ubiquinol-Cytochrome c oxidoReductase complex </t>
  </si>
  <si>
    <t>GO:0004222 (metalloendopeptidase activity); GO:0046872 (metal ion binding); GO:0006508 (proteolysis)</t>
  </si>
  <si>
    <t xml:space="preserve">Elongator complex protein 1 </t>
  </si>
  <si>
    <t>GO:0005634 (nucleus); GO:0005737 (cytoplasm); GO:0005829 (cytosol); GO:0000049 (tRNA binding); GO:0008033 (tRNA processing); GO:0002098 (tRNA wobble uridine modification); GO:0033588 (Elongator holoenzyme complex); GO:0002926 (tRNA wobble base 5-methoxycarbonylmethyl-2-thiouridinylation); GO:0048598 (embryonic morphogenesis); GO:0043025 (neuronal cell body); GO:0040025 (vulval development); GO:0043005 (neuron projection); GO:0008355 (olfactory learning); GO:0007283 (spermatogenesis); GO:0006412 (translation); GO:0048599 (oocyte development)</t>
  </si>
  <si>
    <t xml:space="preserve">Enolase </t>
  </si>
  <si>
    <t>GO:0000015 (phosphopyruvate hydratase complex); GO:0004634 (phosphopyruvate hydratase activity); GO:0000287 (magnesium ion binding); GO:0006096 (glycolytic process)</t>
  </si>
  <si>
    <t xml:space="preserve">Inosine-5'-monophosphate dehydrogenase </t>
  </si>
  <si>
    <t>GO:0005737 (cytoplasm); GO:0003824 (catalytic activity); GO:0046872 (metal ion binding); GO:0000166 (nucleotide binding); GO:0016491 (oxidoreductase activity); GO:0006164 (purine nucleotide biosynthetic process); GO:0006177 (GMP biosynthetic process); GO:0003938 (IMP dehydrogenase activity); GO:0006183 (GTP biosynthetic process); GO:0055114 (oxidation-reduction process)</t>
  </si>
  <si>
    <t xml:space="preserve">N-terminal acetyltransferase B complex subunit NAA25 homolog </t>
  </si>
  <si>
    <t xml:space="preserve">Phosphodiesterase delta-like protein </t>
  </si>
  <si>
    <t>GO:0050953 (sensory perception of light stimulus)</t>
  </si>
  <si>
    <t>piRNA</t>
  </si>
  <si>
    <t xml:space="preserve">SWimming Induced Paralysis </t>
  </si>
  <si>
    <t>GO:0005576 (extracellular region); GO:0005184 (neuropeptide hormone activity); GO:0007623 (circadian rhythm); GO:0007165 (signal transduction)</t>
  </si>
  <si>
    <t xml:space="preserve">Aminomethyltransferase </t>
  </si>
  <si>
    <t>GO:0008168 (methyltransferase activity); GO:0032259 (methylation); GO:0016740 (transferase activity); GO:0005739 (mitochondrion); GO:0008483 (transaminase activity); GO:0004047 (aminomethyltransferase activity); GO:0019464 (glycine decarboxylation via glycine cleavage system); GO:0006546 (glycine catabolic process); GO:0005515 (protein binding)</t>
  </si>
  <si>
    <t xml:space="preserve">Huntington interacting protein related 1 </t>
  </si>
  <si>
    <t>GO:0098793 (presynapse); GO:0005737 (cytoplasm); GO:0043231 (intracellular membrane-bounded organelle); GO:0003779 (actin binding); GO:0005856 (cytoskeleton); GO:0007015 (actin filament organization); GO:0051015 (actin filament binding); GO:0005543 (phospholipid binding); GO:0006897 (endocytosis); GO:0080025 (phosphatidylinositol-3,5-bisphosphate binding); GO:0030276 (clathrin binding); GO:0032051 (clathrin light chain binding); GO:0035615 (clathrin adaptor activity); GO:0043325 (phosphatidylinositol-3,4-bisphosphate binding); GO:0048268 (clathrin coat assembly); GO:0030136 (clathrin-coated vesicle); GO:0008104 (protein localization); GO:0030421 (defecation); GO:0007269 (neurotransmitter secretion); GO:0007624 (ultradian rhythm); GO:0032502 (developmental process); GO:0030479 (actin cortical patch)</t>
  </si>
  <si>
    <t>GO:0000290 (deadenylation-dependent decapping of nuclear-transcribed mRNA)</t>
  </si>
  <si>
    <t xml:space="preserve">GTP-binding nuclear protein ran-1 </t>
  </si>
  <si>
    <t>GO:0006913 (nucleocytoplasmic transport); GO:0003924 (GTPase activity); GO:0005525 (GTP binding)</t>
  </si>
  <si>
    <t xml:space="preserve">mRNA export factor rae-1 </t>
  </si>
  <si>
    <t>GO:0006406 (mRNA export from nucleus); GO:0005515 (protein binding)</t>
  </si>
  <si>
    <t xml:space="preserve">Pseudouridine synthase </t>
  </si>
  <si>
    <t>GO:0003723 (RNA binding); GO:0001522 (pseudouridine synthesis); GO:0009451 (RNA modification); GO:0009982 (pseudouridine synthase activity); GO:0000455 (enzyme-directed rRNA pseudouridine synthesis); GO:0016853 (isomerase activity)</t>
  </si>
  <si>
    <t>GO:0035023 (regulation of Rho protein signal transduction); GO:0005737 (cytoplasm); GO:0005096 (GTPase activator activity); GO:0007165 (signal transduction); GO:0043547 (positive regulation of GTPase activity); GO:0008289 (lipid binding); GO:0030036 (actin cytoskeleton organization); GO:0005515 (protein binding)</t>
  </si>
  <si>
    <t xml:space="preserve">Heavy Metal Tolerance factor; Heavy metal tolerance factor 1 </t>
  </si>
  <si>
    <t>GO:0016020 (membrane); GO:0016021 (integral component of membrane); GO:0005524 (ATP binding); GO:0042626 (ATPase-coupled transmembrane transporter activity); GO:0000166 (nucleotide binding); GO:0055085 (transmembrane transport); GO:0005769 (early endosome); GO:0020037 (heme binding); GO:0005774 (vacuolar membrane); GO:0005770 (late endosome); GO:0055037 (recycling endosome); GO:0010273 (detoxification of copper ion); GO:0071585 (detoxification of cadmium ion); GO:0046686 (response to cadmium ion); GO:0015086 (cadmium ion transmembrane transporter activity); GO:0070574 (cadmium ion transmembrane transport); GO:0015886 (heme transport); GO:0015439 (ATPase-coupled heme transmembrane transporter activity); GO:0035351 (heme transmembrane transport); GO:0016887 (ATPase activity); GO:0098849 (cellular detoxification of cadmium ion)</t>
  </si>
  <si>
    <t xml:space="preserve">Chromo domain-containing protein cec-3 </t>
  </si>
  <si>
    <t xml:space="preserve">Putative RNA polymerase II subunit B1 CTD phosphatase rpap-2 </t>
  </si>
  <si>
    <t>GO:0005634 (nucleus); GO:0005737 (cytoplasm); GO:0016787 (hydrolase activity); GO:0046872 (metal ion binding); GO:0004721 (phosphoprotein phosphatase activity); GO:0008420 (RNA polymerase II CTD heptapeptide repeat phosphatase activity); GO:0070940 (dephosphorylation of RNA polymerase II C-terminal domain); GO:0043175 (RNA polymerase core enzyme binding); GO:0004722 (protein serine/threonine phosphatase activity); GO:0106306 (protein serine phosphatase activity); GO:0106307 (protein threonine phosphatase activity)</t>
  </si>
  <si>
    <t xml:space="preserve">Nuclear hormone receptor family member nhr-121 </t>
  </si>
  <si>
    <t xml:space="preserve">E3 ubiquitin-protein ligase hrd-like protein 1 </t>
  </si>
  <si>
    <t>GO:0043130 (ubiquitin binding)</t>
  </si>
  <si>
    <t xml:space="preserve">Glycine receptor subunit beta-type 4 </t>
  </si>
  <si>
    <t xml:space="preserve">RNA binding protein; RRM-type RNA binding protein </t>
  </si>
  <si>
    <t xml:space="preserve">Cullin-3 </t>
  </si>
  <si>
    <t>GO:0031461 (cullin-RING ubiquitin ligase complex); GO:0031625 (ubiquitin protein ligase binding); GO:0006511 (ubiquitin-dependent protein catabolic process)</t>
  </si>
  <si>
    <t xml:space="preserve">Obg-like ATPase 1 </t>
  </si>
  <si>
    <t>GO:0005525 (GTP binding); GO:0005783 (endoplasmic reticulum)</t>
  </si>
  <si>
    <t xml:space="preserve">CU (Copper) ATPase </t>
  </si>
  <si>
    <t>GO:0016020 (membrane); GO:0016021 (integral component of membrane); GO:0005524 (ATP binding); GO:0000166 (nucleotide binding); GO:0046872 (metal ion binding); GO:0005794 (Golgi apparatus); GO:0016887 (ATPase activity); GO:0006812 (cation transport); GO:0005507 (copper ion binding); GO:0006878 (cellular copper ion homeostasis); GO:0005802 (trans-Golgi network); GO:0019829 (ATPase-coupled cation transmembrane transporter activity); GO:0043682 (copper transmembrane transporter activity, phosphorylative mechanism); GO:0048471 (perinuclear region of cytoplasm); GO:0060003 (copper ion export); GO:0006825 (copper ion transport); GO:0030001 (metal ion transport); GO:0140581 (); GO:0005774 (vacuolar membrane); GO:0005375 (copper ion transmembrane transporter activity)</t>
  </si>
  <si>
    <t xml:space="preserve">Matrix metalloproteinase-B </t>
  </si>
  <si>
    <t>GO:0031012 (extracellular matrix); GO:0004222 (metalloendopeptidase activity); GO:0008237 (metallopeptidase activity); GO:0006508 (proteolysis); GO:0008270 (zinc ion binding)</t>
  </si>
  <si>
    <t xml:space="preserve">Putative UDP-glucuronosyltransferase ugt-50 </t>
  </si>
  <si>
    <t xml:space="preserve">Isopentenyl-diphosphate isomerase </t>
  </si>
  <si>
    <t>GO:0005737 (cytoplasm); GO:0016787 (hydrolase activity); GO:0016853 (isomerase activity); GO:0004452 (isopentenyl-diphosphate delta-isomerase activity); GO:0008299 (isoprenoid biosynthetic process); GO:0009240 (isopentenyl diphosphate biosynthetic process); GO:0050992 (dimethylallyl diphosphate biosynthetic process)</t>
  </si>
  <si>
    <t>GO:0003677 (DNA binding); GO:0005634 (nucleus); GO:0046872 (metal ion binding); GO:0003700 (DNA-binding transcription factor activity); GO:0006355 (regulation of transcription, DNA-templated); GO:0008270 (zinc ion binding); GO:0043565 (sequence-specific DNA binding); GO:0009755 (hormone-mediated signaling pathway); GO:0009888 (tissue development); GO:0030522 (intracellular receptor signaling pathway); GO:0090575 (RNA polymerase II transcription regulator complex); GO:0000978 (RNA polymerase II cis-regulatory region sequence-specific DNA binding); GO:0006357 (regulation of transcription by RNA polymerase II); GO:0004879 (nuclear receptor activity)</t>
  </si>
  <si>
    <t xml:space="preserve">WD repeat-containing protein 48 homolog </t>
  </si>
  <si>
    <t>GO:0005515 (protein binding); GO:0010628 (positive regulation of gene expression); GO:0090326 (positive regulation of locomotion involved in locomotory behavior); GO:1903003 (positive regulation of protein deubiquitination); GO:2000010 (positive regulation of protein localization to cell surface); GO:0043130 (ubiquitin binding)</t>
  </si>
  <si>
    <t xml:space="preserve">Dystrophin-1 </t>
  </si>
  <si>
    <t>GO:0005515 (protein binding); GO:0008270 (zinc ion binding); GO:0016020 (membrane); GO:0005886 (plasma membrane); GO:0046872 (metal ion binding); GO:0042383 (sarcolemma); GO:0005856 (cytoskeleton); GO:0003779 (actin binding)</t>
  </si>
  <si>
    <t>GO:0006508 (proteolysis); GO:0008236 (serine-type peptidase activity); GO:0004252 (serine-type endopeptidase activity)</t>
  </si>
  <si>
    <t xml:space="preserve">CWF19-like protein 1 homolog </t>
  </si>
  <si>
    <t>GO:0000398 (mRNA splicing, via spliceosome); GO:0071014 (post-mRNA release spliceosomal complex); GO:0061632 (RNA lariat debranching enzyme activator activity)</t>
  </si>
  <si>
    <t xml:space="preserve">Tubulin-specific chaperone A </t>
  </si>
  <si>
    <t>GO:0005737 (cytoplasm); GO:0005829 (cytosol); GO:0005856 (cytoskeleton); GO:0005874 (microtubule); GO:0048487 (beta-tubulin binding); GO:0015631 (tubulin binding); GO:0006457 (protein folding); GO:0015630 (microtubule cytoskeleton); GO:0007021 (tubulin complex assembly); GO:0007023 (post-chaperonin tubulin folding pathway)</t>
  </si>
  <si>
    <t>GO:0008168 (methyltransferase activity); GO:0032259 (methylation); GO:0016740 (transferase activity); GO:0008171 (O-methyltransferase activity); GO:0008757 (S-adenosylmethionine-dependent methyltransferase activity); GO:0045087 (innate immune response)</t>
  </si>
  <si>
    <t>GO:0005634 (nucleus); GO:0005737 (cytoplasm); GO:0007275 (multicellular organism development); GO:0042995 (cell projection); GO:0030424 (axon); GO:0043005 (neuron projection)</t>
  </si>
  <si>
    <t>GO:0005634 (nucleus); GO:0046872 (metal ion binding); GO:0032039 (integrator complex); GO:0034472 (snRNA 3'-end processing)</t>
  </si>
  <si>
    <t xml:space="preserve">Putative ATP-dependent RNA helicase ZK686.2 </t>
  </si>
  <si>
    <t>GO:0005634 (nucleus); GO:0005524 (ATP binding); GO:0016787 (hydrolase activity); GO:0004386 (helicase activity); GO:0000166 (nucleotide binding); GO:0003676 (nucleic acid binding); GO:0003723 (RNA binding); GO:0003724 (RNA helicase activity); GO:0016887 (ATPase activity)</t>
  </si>
  <si>
    <t>GO:0016020 (membrane); GO:0016021 (integral component of membrane); GO:0022857 (transmembrane transporter activity); GO:0055085 (transmembrane transport); GO:0030672 (synaptic vesicle membrane); GO:0043195 (terminal bouton); GO:0005335 (serotonin:sodium symporter activity); GO:0015842 (aminergic neurotransmitter loading into synaptic vesicle); GO:0051610 (serotonin uptake); GO:0090494 (dopamine uptake); GO:0007631 (feeding behavior); GO:0008021 (synaptic vesicle); GO:0005330 (dopamine:sodium symporter activity); GO:0006837 (serotonin transport); GO:0015872 (dopamine transport); GO:0042417 (dopamine metabolic process)</t>
  </si>
  <si>
    <t>GO:0005634 (nucleus); GO:0005737 (cytoplasm); GO:0006406 (mRNA export from nucleus); GO:0070390 (transcription export complex 2)</t>
  </si>
  <si>
    <t>GO:0016491 (oxidoreductase activity); GO:0005737 (cytoplasm); GO:2000377 (regulation of reactive oxygen species metabolic process); GO:0055114 (oxidation-reduction process)</t>
  </si>
  <si>
    <t xml:space="preserve">Zinc finger C2HC domain-containing protein T03G11.3 </t>
  </si>
  <si>
    <t xml:space="preserve">Nucleolar protein 16 </t>
  </si>
  <si>
    <t xml:space="preserve">CDP-diacylglycerol--glycerol-3-phosphate 3-phosphatidyltransferase </t>
  </si>
  <si>
    <t>GO:0003824 (catalytic activity); GO:0000166 (nucleotide binding); GO:0016740 (transferase activity); GO:0005739 (mitochondrion); GO:0005524 (ATP binding); GO:0006629 (lipid metabolic process); GO:0016042 (lipid catabolic process); GO:0008654 (phospholipid biosynthetic process); GO:0032049 (cardiolipin biosynthetic process); GO:0006655 (phosphatidylglycerol biosynthetic process); GO:0008444 (CDP-diacylglycerol-glycerol-3-phosphate 3-phosphatidyltransferase activity); GO:0042127 (regulation of cell population proliferation); GO:0051881 (regulation of mitochondrial membrane potential)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</si>
  <si>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GO:0060078 (regulation of postsynaptic membrane potential); GO:0060079 (excitatory postsynaptic potential); GO:0030594 (neurotransmitter receptor activity); GO:0098794 (postsynapse); GO:0022848 (acetylcholine-gated cation-selective channel activity)</t>
  </si>
  <si>
    <t xml:space="preserve">KNL (Kinetochore null) Binding Protein </t>
  </si>
  <si>
    <t>GO:0005515 (protein binding); GO:0000776 (kinetochore); GO:0000777 (condensed chromosome kinetochore); GO:0031262 (Ndc80 complex)</t>
  </si>
  <si>
    <t xml:space="preserve">60 kDa SS-A/Ro ribonucleoprotein homolog </t>
  </si>
  <si>
    <t>GO:0003723 (RNA binding); GO:0046872 (metal ion binding); GO:0005737 (cytoplasm); GO:1990904 (ribonucleoprotein complex)</t>
  </si>
  <si>
    <t>GO:0005230 (extracellular ligand-gated ion channel activity); GO:0034220 (ion transmembrane transport); GO:0006811 (ion transport); GO:0005216 (ion channel activity); GO:0004890 (GABA-A receptor activity); GO:0004888 (transmembrane signaling receptor activity); GO:0016021 (integral component of membrane); GO:0016020 (membrane)</t>
  </si>
  <si>
    <t xml:space="preserve">Probable ornithine aminotransferase, mitochondrial </t>
  </si>
  <si>
    <t>GO:0004587 (ornithine-oxo-acid transaminase activity); GO:0008483 (transaminase activity); GO:0030170 (pyridoxal phosphate binding); GO:0003824 (catalytic activity)</t>
  </si>
  <si>
    <t>GO:0005758 (mitochondrial intermembrane space); GO:0015914 (phospholipid transport); GO:1990050 (phosphatidic acid transfer activity); GO:0120009 (intermembrane lipid transfer)</t>
  </si>
  <si>
    <t>GO:0003824 (catalytic activity); GO:0032504 (multicellular organism reproduction)</t>
  </si>
  <si>
    <t xml:space="preserve">CUP-5L </t>
  </si>
  <si>
    <t>GO:0016020 (membrane); GO:0016021 (integral component of membrane); GO:0005886 (plasma membrane); GO:0034220 (ion transmembrane transport); GO:0098655 (cation transmembrane transport); GO:0070588 (calcium ion transmembrane transport); GO:0005261 (cation channel activity); GO:0005765 (lysosomal membrane); GO:0051209 (release of sequestered calcium ion into cytosol); GO:0072345 (NAADP-sensitive calcium-release channel activity); GO:0031410 (cytoplasmic vesicle); GO:0005764 (lysosome); GO:0005262 (calcium channel activity); GO:0007040 (lysosome organization); GO:0007041 (lysosomal transport); GO:0010877 (lipid transport involved in lipid storage); GO:0030100 (regulation of endocytosis); GO:0008340 (determination of adult lifespan); GO:0010508 (positive regulation of autophagy); GO:0080025 (phosphatidylinositol-3,5-bisphosphate binding); GO:0005217 (intracellular ligand-gated ion channel activity); GO:0045806 (negative regulation of endocytosis); GO:0036019 (endolysosome)</t>
  </si>
  <si>
    <t xml:space="preserve">Probable aconitate hydratase, mitochondrial </t>
  </si>
  <si>
    <t>GO:0003994 (aconitate hydratase activity); GO:0006099 (tricarboxylic acid cycle); GO:0051539 (4 iron, 4 sulfur cluster binding)</t>
  </si>
  <si>
    <t xml:space="preserve">Serpentine receptor class delta-32 </t>
  </si>
  <si>
    <t>GO:0005737 (cytoplasm); GO:0051082 (unfolded protein binding); GO:0031072 (heat shock protein binding); GO:0006457 (protein folding); GO:0050821 (protein stabilization); GO:0051087 (chaperone binding)</t>
  </si>
  <si>
    <t>GO:0046872 (metal ion binding); GO:0020037 (heme binding); GO:0016020 (membrane); GO:0016021 (integral component of membrane); GO:0007606 (sensory perception of chemical stimulus)</t>
  </si>
  <si>
    <t xml:space="preserve">JunctoPHilin </t>
  </si>
  <si>
    <t>GO:0016020 (membrane); GO:0016021 (integral component of membrane); GO:0005886 (plasma membrane); GO:0005789 (endoplasmic reticulum membrane); GO:0030314 (junctional membrane complex); GO:0040011 (locomotion); GO:0005198 (structural molecule activity); GO:0006936 (muscle contraction); GO:1901076 (positive regulation of engulfment of apoptotic cell)</t>
  </si>
  <si>
    <t>GO:0016020 (membrane); GO:0016021 (integral component of membrane); GO:0005886 (plasma membrane); GO:0098655 (cation transmembrane transport); GO:0006812 (cation transport); GO:0008324 (cation transmembrane transporter activity)</t>
  </si>
  <si>
    <t>GO:0005509 (calcium ion binding); GO:0005576 (extracellular region); GO:0016042 (lipid catabolic process); GO:0004623 (phospholipase A2 activity); GO:0006644 (phospholipid metabolic process); GO:0050482 (arachidonic acid secretion)</t>
  </si>
  <si>
    <t>GO:0035556 (intracellular signal transduction); GO:0005515 (protein binding)</t>
  </si>
  <si>
    <t xml:space="preserve">Proteasome subunit beta type-2 </t>
  </si>
  <si>
    <t xml:space="preserve">Tyrosine 3-monooxygenase </t>
  </si>
  <si>
    <t>GO:0046872 (metal ion binding); GO:0016491 (oxidoreductase activity); GO:0004497 (monooxygenase activity); GO:0005506 (iron ion binding); GO:0009072 (aromatic amino acid family metabolic process); GO:0016714 (oxidoreductase activity, acting on paired donors, with incorporation or reduction of molecular oxygen, reduced pteridine as one donor, and incorporation of one atom of oxygen); GO:0055114 (oxidation-reduction process); GO:0005737 (cytoplasm); GO:0048471 (perinuclear region of cytoplasm); GO:0042136 (neurotransmitter biosynthetic process); GO:0042416 (dopamine biosynthetic process); GO:0042423 (catecholamine biosynthetic process); GO:0004511 (tyrosine 3-monooxygenase activity); GO:0030424 (axon); GO:0090327 (negative regulation of locomotion involved in locomotory behavior); GO:0007610 (behavior); GO:0006585 (dopamine biosynthetic process from tyrosine); GO:0043204 (perikaryon); GO:0034609 (spicule insertion); GO:0007638 (mechanosensory behavior); GO:0046959 (habituation); GO:0040012 (regulation of locomotion); GO:0032094 (response to food); GO:0034607 (turning behavior involved in mating); GO:1902437 (positive regulation of male mating behavior); GO:0071419 (cellular response to amphetamine)</t>
  </si>
  <si>
    <t xml:space="preserve">Probable metabotropic glutamate receptor mgl-1 </t>
  </si>
  <si>
    <t>GO:0004930 (G protein-coupled receptor activity); GO:0007186 (G protein-coupled receptor signaling pathway); GO:0016021 (integral component of membrane); GO:0016020 (membrane); GO:0005886 (plasma membrane); GO:0007165 (signal transduction)</t>
  </si>
  <si>
    <t xml:space="preserve">TWiK family of potassium channels protein 12 </t>
  </si>
  <si>
    <t xml:space="preserve">Delta-like protein </t>
  </si>
  <si>
    <t>GO:0016020 (membrane); GO:0016021 (integral component of membrane); GO:0005887 (integral component of plasma membrane); GO:0007275 (multicellular organism development); GO:0001708 (cell fate specification); GO:0007154 (cell communication)</t>
  </si>
  <si>
    <t>GO:0006914 (autophagy); GO:0005515 (protein binding); GO:0005737 (cytoplasm)</t>
  </si>
  <si>
    <t xml:space="preserve">Zinc finger E-box-binding homeobox protein zag-1 </t>
  </si>
  <si>
    <t>GO:0003677 (DNA binding); GO:0005634 (nucleus); GO:0046872 (metal ion binding); GO:0006355 (regulation of transcription, DNA-templated);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GO:0048856 (anatomical structure development); GO:0000122 (negative regulation of transcription by RNA polymerase II); GO:0007411 (axon guidance); GO:0045773 (positive regulation of axon extension); GO:0045664 (regulation of neuron differentiation)</t>
  </si>
  <si>
    <t xml:space="preserve">Nuclear hormone receptor family member nhr-91 </t>
  </si>
  <si>
    <t xml:space="preserve">Queuosine salvage protein </t>
  </si>
  <si>
    <t>GO:0006400 (tRNA modification); GO:0101030 (tRNA-guanine transglycosylation)</t>
  </si>
  <si>
    <t xml:space="preserve">Probable DNA-directed RNA polymerases I and III subunit RPAC2 </t>
  </si>
  <si>
    <t>GO:0003677 (DNA binding); GO:0005634 (nucleus); GO:0046983 (protein dimerization activity); GO:0006351 (transcription, DNA-templated); GO:0003899 (DNA-directed 5'-3' RNA polymerase activity); GO:0005736 (RNA polymerase I complex); GO:0005666 (RNA polymerase III complex)</t>
  </si>
  <si>
    <t xml:space="preserve">F-box/SPRY domain-containing protein 1 </t>
  </si>
  <si>
    <t>GO:0005634 (nucleus); GO:0006351 (transcription, DNA-templated); GO:0005666 (RNA polymerase III complex)</t>
  </si>
  <si>
    <t xml:space="preserve">Serpentine receptor class alpha-34 </t>
  </si>
  <si>
    <t xml:space="preserve">Abhydrolase domain-containing protein lid-1 </t>
  </si>
  <si>
    <t xml:space="preserve">Dual specificity protein phosphatase lip-1 </t>
  </si>
  <si>
    <t>GO:0008138 (protein tyrosine/serine/threonine phosphatase activity); GO:0017017 (MAP kinase tyrosine/serine/threonine phosphatase activity); GO:0016311 (dephosphorylation); GO:0006470 (protein dephosphorylation); GO:0016791 (phosphatase activity)</t>
  </si>
  <si>
    <t xml:space="preserve">Mitochondrial import receptor subunit tomm-70 </t>
  </si>
  <si>
    <t>GO:0016020 (membrane); GO:0016021 (integral component of membrane); GO:0005739 (mitochondrion); GO:0005741 (mitochondrial outer membrane); GO:0005515 (protein binding); GO:0002218 (activation of innate immune response); GO:0002230 (positive regulation of defense response to virus by host); GO:0032728 (positive regulation of interferon-beta production); GO:0042981 (regulation of apoptotic process); GO:0098586 (cellular response to virus)</t>
  </si>
  <si>
    <t xml:space="preserve">Putative dihydrofolate reductase </t>
  </si>
  <si>
    <t>GO:0006545 (glycine biosynthetic process); GO:0004146 (dihydrofolate reductase activity); GO:0046654 (tetrahydrofolate biosynthetic process); GO:0050661 (NADP binding); GO:0055114 (oxidation-reduction process)</t>
  </si>
  <si>
    <t xml:space="preserve">Dna (DNA) replication and Sister Chromatid Cohesion </t>
  </si>
  <si>
    <t>GO:0005634 (nucleus); GO:0006260 (DNA replication); GO:0000785 (chromatin); GO:0007064 (mitotic sister chromatid cohesion); GO:0003689 (DNA clamp loader activity); GO:0034088 (maintenance of mitotic sister chromatid cohesion); GO:0000775 (chromosome, centromeric region); GO:0006275 (regulation of DNA replication); GO:0031390 (Ctf18 RFC-like complex)</t>
  </si>
  <si>
    <t xml:space="preserve">Multispecific organic anion transporter; Organic Anion Transporter </t>
  </si>
  <si>
    <t xml:space="preserve">Dystrobrevin-1 </t>
  </si>
  <si>
    <t>GO:0008270 (zinc ion binding); GO:0046872 (metal ion binding); GO:0005737 (cytoplasm)</t>
  </si>
  <si>
    <t xml:space="preserve">Netrin receptor unc-5 </t>
  </si>
  <si>
    <t>GO:0016020 (membrane); GO:0016021 (integral component of membrane); GO:0005886 (plasma membrane); GO:0007165 (signal transduction); GO:0007275 (multicellular organism development); GO:1905488 (positive regulation of anterior/posterior axon guidance); GO:0042995 (cell projection); GO:0043005 (neuron projection); GO:0008045 (motor neuron axon guidance); GO:0035262 (gonad morphogenesis); GO:0040017 (positive regulation of locomotion); GO:0071679 (commissural neuron axon guidance); GO:0038007 (netrin-activated signaling pathway); GO:1905815 (regulation of dorsal/ventral axon guidance); GO:0007419 (ventral cord development); GO:0033563 (dorsal/ventral axon guidance); GO:0005042 (netrin receptor activity); GO:1990782 (protein tyrosine kinase binding); GO:0008078 (mesodermal cell migration); GO:0005887 (integral component of plasma membrane); GO:0045138 (nematode male tail tip morphogenesis); GO:0045773 (positive regulation of axon extension); GO:0030950 (establishment or maintenance of actin cytoskeleton polarity); GO:0031115 (negative regulation of microtubule polymerization); GO:0061643 (chemorepulsion of axon); GO:0044295 (axonal growth cone); GO:0045121 (membrane raft); GO:0005515 (protein binding); GO:0097628 (distal tip cell migration)</t>
  </si>
  <si>
    <t xml:space="preserve">JTB gene Related </t>
  </si>
  <si>
    <t>GO:0016020 (membrane); GO:0016021 (integral component of membrane); GO:0005737 (cytoplasm); GO:0005813 (centrosome); GO:0005819 (spindle); GO:0000281 (mitotic cytokinesis); GO:0030496 (midbody)</t>
  </si>
  <si>
    <t>GO:0016020 (membrane); GO:0016021 (integral component of membrane); GO:0005743 (mitochondrial inner membrane); GO:0016627 (oxidoreductase activity, acting on the CH-CH group of donors); GO:0006784 (heme A biosynthetic process); GO:0016653 (oxidoreductase activity, acting on NAD(P)H, heme protein as acceptor); GO:0055114 (oxidation-reduction process)</t>
  </si>
  <si>
    <t xml:space="preserve">Nuclear pore complex protein Nup85 </t>
  </si>
  <si>
    <t>GO:0016020 (membrane); GO:0005634 (nucleus); GO:0015031 (protein transport); GO:0045893 (positive regulation of transcription, DNA-templated); GO:0009792 (embryo development ending in birth or egg hatching); GO:0031080 (nuclear pore outer ring); GO:0006406 (mRNA export from nucleus); GO:0031965 (nuclear membrane); GO:0005643 (nuclear pore); GO:0006606 (protein import into nucleus); GO:0006997 (nucleus organization); GO:0017056 (structural constituent of nuclear pore); GO:0034501 (protein localization to kinetochore); GO:0051028 (mRNA transport); GO:0090435 (protein localization to nuclear envelope)</t>
  </si>
  <si>
    <t xml:space="preserve">TRK (Vertebrate neurotrophin receptor tyrosine kinase) homolog </t>
  </si>
  <si>
    <t>GO:0004672 (protein kinase activity); GO:0006468 (protein phosphorylation); GO:0005524 (ATP binding); GO:0004713 (protein tyrosine kinase activity)</t>
  </si>
  <si>
    <t xml:space="preserve">AT Hook plus PHD finger transcription factor </t>
  </si>
  <si>
    <t>GO:0005634 (nucleus); GO:0046872 (metal ion binding); GO:0005515 (protein binding); GO:0000122 (negative regulation of transcription by RNA polymerase II); GO:0006355 (regulation of transcription, DNA-templated); GO:0003714 (transcription corepressor activity); GO:0045892 (negative regulation of transcription, DNA-templated); GO:0070822 (Sin3-type complex); GO:0003712 (transcription coregulator activity)</t>
  </si>
  <si>
    <t xml:space="preserve">Serine/threonine-protein kinase plk-1 </t>
  </si>
  <si>
    <t>GO:0016787 (hydrolase activity); GO:0005634 (nucleus); GO:0046872 (metal ion binding); GO:0000166 (nucleotide binding); GO:0003723 (RNA binding); GO:0090305 (nucleic acid phosphodiester bond hydrolysis); GO:0004518 (nuclease activity); GO:0005829 (cytosol); GO:0000956 (nuclear-transcribed mRNA catabolic process); GO:0034353 (); GO:0110155 (NAD-cap decapping)</t>
  </si>
  <si>
    <t xml:space="preserve">Intraflagellar transport protein 20 homolog </t>
  </si>
  <si>
    <t>GO:0003735 (structural constituent of ribosome); GO:0005840 (ribosome); GO:0006412 (translation); GO:0005515 (protein binding); GO:0005762 (mitochondrial large ribosomal subunit); GO:0006390 (mitochondrial transcription)</t>
  </si>
  <si>
    <t>GO:0005886 (plasma membrane); GO:0030036 (actin cytoskeleton organization); GO:0031410 (cytoplasmic vesicle); GO:0030334 (regulation of cell migration); GO:0005923 (bicellular tight junction)</t>
  </si>
  <si>
    <t>GO:0007165 (signal transduction); GO:0045742 (positive regulation of epidermal growth factor receptor signaling pathway); GO:0045743 (positive regulation of fibroblast growth factor receptor signaling pathway)</t>
  </si>
  <si>
    <t xml:space="preserve">GPCR Thermal Receptor </t>
  </si>
  <si>
    <t xml:space="preserve">Proteasome subunit alpha type-5 </t>
  </si>
  <si>
    <t>GO:0043161 (proteasome-mediated ubiquitin-dependent protein catabolic process); GO:0019773 (proteasome core complex, alpha-subunit complex); GO:0006511 (ubiquitin-dependent protein catabolic process); GO:0005839 (proteasome core complex); GO:0051603 (proteolysis involved in cellular protein catabolic process)</t>
  </si>
  <si>
    <t xml:space="preserve">Methionine--tRNA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</si>
  <si>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GO:0003723 (RNA binding); GO:0005829 (cytosol); GO:0004825 (methionine-tRNA ligase activity); GO:0006431 (methionyl-tRNA aminoacylation); GO:0000049 (tRNA binding)</t>
  </si>
  <si>
    <t xml:space="preserve">Synthetic MUTator </t>
  </si>
  <si>
    <t>GO:0003676 (nucleic acid binding); GO:0005524 (ATP binding)</t>
  </si>
  <si>
    <t xml:space="preserve">GTP-binding protein cgp-1 </t>
  </si>
  <si>
    <t>GO:0003924 (GTPase activity); GO:0005525 (GTP binding); GO:0000166 (nucleotide binding)</t>
  </si>
  <si>
    <t xml:space="preserve">Endo-b-N-acetylGlucosaminidase; Endo-beta-N-acetylglucosaminidase </t>
  </si>
  <si>
    <t>GO:0008152 (metabolic process); GO:0016787 (hydrolase activity); GO:0016798 (hydrolase activity, acting on glycosyl bonds); GO:0005737 (cytoplasm); GO:0033925 (mannosyl-glycoprotein endo-beta-N-acetylglucosaminidase activity)</t>
  </si>
  <si>
    <t xml:space="preserve">Neuronal SYmmetry </t>
  </si>
  <si>
    <t>GO:0016020 (membrane); GO:0016021 (integral component of membrane); GO:0005886 (plasma membrane); GO:0097730 (non-motile cilium); GO:0030424 (axon); GO:0030425 (dendrite); GO:0035545 (determination of left/right asymmetry in nervous system); GO:0098609 (cell-cell adhesion); GO:0004860 (protein kinase inhibitor activity); GO:0006469 (negative regulation of protein kinase activity); GO:0019855 (calcium channel inhibitor activity); GO:0051390 (inactivation of MAPKKK activity); GO:2001258 (negative regulation of cation channel activity)</t>
  </si>
  <si>
    <t xml:space="preserve">NTF2-related export protein </t>
  </si>
  <si>
    <t>GO:0031410 (cytoplasmic vesicle); GO:0031594 (neuromuscular junction)</t>
  </si>
  <si>
    <t xml:space="preserve">Neuronal Calcium Sensor family </t>
  </si>
  <si>
    <t>GO:0016020 (membrane); GO:0016021 (integral component of membrane); GO:0046872 (metal ion binding); GO:0008270 (zinc ion binding)</t>
  </si>
  <si>
    <t xml:space="preserve">Probable glutamine--tRNA ligase </t>
  </si>
  <si>
    <t>GO:0005524 (ATP binding); GO:0000166 (nucleotide binding); GO:0004812 (aminoacyl-tRNA ligase activity); GO:0006418 (tRNA aminoacylation for protein translation); GO:0016874 (ligase activity); GO:0005737 (cytoplasm); GO:0006412 (translation); GO:0005829 (cytosol); GO:0004819 (glutamine-tRNA ligase activity); GO:0006425 (glutaminyl-tRNA aminoacylation); GO:0043039 (tRNA aminoacylation); GO:0017101 (aminoacyl-tRNA synthetase multienzyme complex)</t>
  </si>
  <si>
    <t xml:space="preserve">Serine/threonine-protein kinase nekl-3 </t>
  </si>
  <si>
    <t xml:space="preserve">Target Of ERK kinase MPK-1 </t>
  </si>
  <si>
    <t>GO:0016301 (kinase activity); GO:0016310 (phosphorylation); GO:0005515 (protein binding); GO:0043065 (positive regulation of apoptotic process); GO:0009786 (regulation of asymmetric cell division)</t>
  </si>
  <si>
    <t xml:space="preserve">Probable geranylgeranyl transferase type-2 subunit beta </t>
  </si>
  <si>
    <t>GO:0004663 (Rab geranylgeranyltransferase activity); GO:0018344 (protein geranylgeranylation); GO:0003824 (catalytic activity)</t>
  </si>
  <si>
    <t>GO:0003677 (DNA binding); GO:0046872 (metal ion binding); GO:0008270 (zinc ion binding); GO:0045893 (positive regulation of transcription, DNA-templated); GO:0051568 (histone H3-K4 methylation); GO:0042800 (histone methyltransferase activity (H3-K4 specific)); GO:0035097 (histone methyltransferase complex)</t>
  </si>
  <si>
    <t>GO:0032039 (integrator complex); GO:0034472 (snRNA 3'-end processing)</t>
  </si>
  <si>
    <t xml:space="preserve">Uncharacterized serine carboxypeptidase F41C3.5 </t>
  </si>
  <si>
    <t xml:space="preserve">Endophilin-A homolog </t>
  </si>
  <si>
    <t>GO:0016020 (membrane); GO:0031410 (cytoplasmic vesicle); GO:0005737 (cytoplasm); GO:0030054 (cell junction); GO:0045202 (synapse); GO:0006897 (endocytosis); GO:0008021 (synaptic vesicle); GO:0012501 (programmed cell death); GO:0010940 (positive regulation of necrotic cell death); GO:0072583 (clathrin-dependent endocytosis); GO:0031594 (neuromuscular junction); GO:0005515 (protein binding)</t>
  </si>
  <si>
    <t xml:space="preserve">Guanine nucleotide-binding protein alpha-7 subunit </t>
  </si>
  <si>
    <t>GO:0016020 (membrane); GO:0016021 (integral component of membrane); GO:0016491 (oxidoreductase activity); GO:0055114 (oxidation-reduction process)</t>
  </si>
  <si>
    <t xml:space="preserve">Ribosomal RNA small subunit methyltransferase nep-1 </t>
  </si>
  <si>
    <t>GO:0005634 (nucleus); GO:0008168 (methyltransferase activity); GO:0032259 (methylation); GO:0016740 (transferase activity); GO:0003723 (RNA binding); GO:0005730 (nucleolus); GO:0006364 (rRNA processing); GO:0042254 (ribosome biogenesis); GO:0070475 (rRNA base methylation); GO:0032040 (small-subunit processome); GO:0019843 (rRNA binding); GO:0070037 (rRNA (pseudouridine) methyltransferase activity)</t>
  </si>
  <si>
    <t xml:space="preserve">Homeobox protein ceh-13 </t>
  </si>
  <si>
    <t>GO:0007275 (multicellular organism development); GO:0042600 (egg chorion)</t>
  </si>
  <si>
    <t xml:space="preserve">Probable ribosome biogenesis protein CELE_F52C12.2 </t>
  </si>
  <si>
    <t>GO:0016740 (transferase activity); GO:0005737 (cytoplasm); GO:0006364 (rRNA processing); GO:0042254 (ribosome biogenesis); GO:0030490 (maturation of SSU-rRNA); GO:1904047 (S-adenosyl-L-methionine binding); GO:0000455 (enzyme-directed rRNA pseudouridine synthesis)</t>
  </si>
  <si>
    <t xml:space="preserve">General transcription factor IIH subunit 4 </t>
  </si>
  <si>
    <t>GO:0005634 (nucleus); GO:0003690 (double-stranded DNA binding); GO:0006281 (DNA repair); GO:0006974 (cellular response to DNA damage stimulus); GO:0000439 (transcription factor TFIIH core complex); GO:0001671 (ATPase activator activity); GO:0005675 (transcription factor TFIIH holo complex); GO:0006289 (nucleotide-excision repair); GO:0032781 (positive regulation of ATPase activity); GO:0070816 (phosphorylation of RNA polymerase II C-terminal domain)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</si>
  <si>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GO:0051260 (protein homooligomerization); GO:0005515 (protein binding)</t>
  </si>
  <si>
    <t xml:space="preserve">ABHydrolase Domain containing homolog </t>
  </si>
  <si>
    <t>GO:0016020 (membrane); GO:0016021 (integral component of membrane); GO:0016787 (hydrolase activity); GO:0008474 (palmitoyl-(protein) hydrolase activity); GO:0005789 (endoplasmic reticulum membrane); GO:0004622 (lysophospholipase activity); GO:0047372 (acylglycerol lipase activity); GO:0098734 (macromolecule depalmitoylation); GO:0006660 (phosphatidylserine catabolic process); GO:0052651 (monoacylglycerol catabolic process); GO:0018215 (protein phosphopantetheinylation)</t>
  </si>
  <si>
    <t xml:space="preserve">Mitochondrial prohibitin complex protein 1 </t>
  </si>
  <si>
    <t xml:space="preserve">Hypoxia-inducible factor prolyl hydroxylase </t>
  </si>
  <si>
    <t>GO:0031418 (L-ascorbic acid binding); GO:0016705 (oxidoreductase activity, acting on paired donors, with incorporation or reduction of molecular oxygen); GO:0005506 (iron ion binding); GO:0016491 (oxidoreductase activity); GO:0055114 (oxidation-reduction process)</t>
  </si>
  <si>
    <t>GO:0016020 (membrane); GO:0016021 (integral component of membrane); GO:0010883 (regulation of lipid storage); GO:0090087 (regulation of peptide transport)</t>
  </si>
  <si>
    <t xml:space="preserve">RuvB-like 2 </t>
  </si>
  <si>
    <t>GO:0005524 (ATP binding); GO:0016787 (hydrolase activity); GO:0004386 (helicase activity); GO:0005634 (nucleus); GO:0000166 (nucleotide binding); GO:0005737 (cytoplasm); GO:0035267 (NuA4 histone acetyltransferase complex); GO:0005515 (protein binding); GO:0006357 (regulation of transcription by RNA polymerase II); GO:0006281 (DNA repair); GO:0006974 (cellular response to DNA damage stimulus); GO:0016573 (histone acetylation); GO:0006325 (chromatin organization); GO:0000812 (Swr1 complex); GO:0003678 (DNA helicase activity); GO:0032508 (DNA duplex unwinding); GO:0031011 (Ino80 complex); GO:0006338 (chromatin remodeling); GO:0000492 (box C/D snoRNP assembly); GO:0097255 (R2TP complex); GO:0043139 (5'-3' DNA helicase activity); GO:0016887 (ATPase activity)</t>
  </si>
  <si>
    <t xml:space="preserve">PhosphatidylInositol-Glycan biosynthesis class A protein </t>
  </si>
  <si>
    <t>GO:0016020 (membrane); GO:0016021 (integral component of membrane); GO:0006506 (GPI anchor biosynthetic process); GO:0000506 (glycosylphosphatidylinositol-N-acetylglucosaminyltransferase (GPI-GnT) complex); GO:0017176 (phosphatidylinositol N-acetylglucosaminyltransferase activity)</t>
  </si>
  <si>
    <t xml:space="preserve">Histone acetyltransferase </t>
  </si>
  <si>
    <t>GO:0046872 (metal ion binding); GO:0016740 (transferase activity); GO:0006355 (regulation of transcription, DNA-templated); GO:0045944 (positive regulation of transcription by RNA polymerase II); GO:0004402 (histone acetyltransferase activity); GO:0042393 (histone binding); GO:0045892 (negative regulation of transcription, DNA-templated); GO:0016573 (histone acetylation); GO:0003712 (transcription coregulator activity)</t>
  </si>
  <si>
    <t>GO:0016020 (membrane); GO:0016021 (integral component of membrane); GO:0004497 (monooxygenase activity); GO:0020037 (heme binding); GO:0005506 (iron ion binding); GO:0016705 (oxidoreductase activity, acting on paired donors, with incorporation or reduction of molecular oxygen); GO:0055114 (oxidation-reduction process)</t>
  </si>
  <si>
    <t xml:space="preserve">UBX domain-containing protein 4 </t>
  </si>
  <si>
    <t>GO:0016020 (membrane); GO:0005515 (protein binding); GO:0005783 (endoplasmic reticulum); GO:0005789 (endoplasmic reticulum membrane); GO:0006986 (response to unfolded protein); GO:0030433 (ubiquitin-dependent ERAD pathway); GO:1990440 (positive regulation of transcription from RNA polymerase II promoter in response to endoplasmic reticulum stress)</t>
  </si>
  <si>
    <t xml:space="preserve">DnaJ homolog dnj-2 </t>
  </si>
  <si>
    <t>GO:0046872 (metal ion binding); GO:0005694 (chromosome); GO:0006310 (DNA recombination); GO:0000795 (synaptonemal complex); GO:0007129 (homologous chromosome pairing at meiosis); GO:0016925 (protein sumoylation); GO:0019789 (SUMO transferase activity); GO:0051321 (meiotic cell cycle); GO:0007131 (reciprocal meiotic recombination)</t>
  </si>
  <si>
    <t xml:space="preserve">Acetylcholine receptor subunit alpha-type unc-38 </t>
  </si>
  <si>
    <t xml:space="preserve">Chloride intracellular channel exl-1 </t>
  </si>
  <si>
    <t>GO:0046872 (metal ion binding); GO:0005737 (cytoplasm); GO:0005739 (mitochondrion); GO:0030433 (ubiquitin-dependent ERAD pathway); GO:0030425 (dendrite)</t>
  </si>
  <si>
    <t xml:space="preserve">Cathepsin B-like cysteine proteinase 5 </t>
  </si>
  <si>
    <t xml:space="preserve">Mannose-1-phosphate guanyltransferase beta </t>
  </si>
  <si>
    <t>GO:0016779 (nucleotidyltransferase activity); GO:0016740 (transferase activity); GO:0009058 (biosynthetic process)</t>
  </si>
  <si>
    <t xml:space="preserve">Calcineurin-interacting protein 3 </t>
  </si>
  <si>
    <t xml:space="preserve">39S ribosomal protein L18, mitochondrial </t>
  </si>
  <si>
    <t>GO:0005739 (mitochondrion); GO:0003735 (structural constituent of ribosome); GO:0005840 (ribosome); GO:0006412 (translation); GO:0005762 (mitochondrial large ribosomal subunit); GO:0008097 (5S rRNA binding)</t>
  </si>
  <si>
    <t>GO:0005634 (nucleus); GO:0045666 (positive regulation of neuron differentiation)</t>
  </si>
  <si>
    <t>GO:0046982 (protein heterodimerization activity); GO:0005515 (protein binding); GO:0031490 (chromatin DNA binding); GO:0006974 (cellular response to DNA damage stimulus); GO:0006272 (leading strand elongation); GO:0008622 (epsilon DNA polymerase complex); GO:0042766 (nucleosome mobilization); GO:0008623 (CHRAC); GO:0031507 (heterochromatin assembly)</t>
  </si>
  <si>
    <t xml:space="preserve">Proteasome subunit alpha type-2 </t>
  </si>
  <si>
    <t xml:space="preserve">Leucyl Amino-acyl tRNA Synthetase </t>
  </si>
  <si>
    <t>GO:0005524 (ATP binding); GO:0000166 (nucleotide binding); GO:0004812 (aminoacyl-tRNA ligase activity); GO:0006418 (tRNA aminoacylation for protein translation); GO:0016874 (ligase activity); GO:0005739 (mitochondrion); GO:0006412 (translation); GO:0004823 (leucine-tRNA ligase activity); GO:0006429 (leucyl-tRNA aminoacylation); GO:0032543 (mitochondrial translation); GO:0002161 (aminoacyl-tRNA editing activity); GO:0106074 (aminoacyl-tRNA metabolism involved in translational fidelity)</t>
  </si>
  <si>
    <t xml:space="preserve">NETO (NEuropilin and TOlloid-like) homolog </t>
  </si>
  <si>
    <t xml:space="preserve">Biogenesis of lysosome-related organelles complex 1 subunit 1 </t>
  </si>
  <si>
    <t>GO:0031083 (BLOC-1 complex)</t>
  </si>
  <si>
    <t xml:space="preserve">Phosphatidylcholine:ceramide cholinephosphotransferase 1 </t>
  </si>
  <si>
    <t>GO:0016020 (membrane); GO:0016021 (integral component of membrane); GO:0016740 (transferase activity); GO:0000139 (Golgi membrane); GO:0005794 (Golgi apparatus); GO:0005887 (integral component of plasma membrane); GO:0006629 (lipid metabolic process); GO:0030173 (integral component of Golgi membrane); GO:0030176 (integral component of endoplasmic reticulum membrane); GO:0006665 (sphingolipid metabolic process); GO:0046513 (ceramide biosynthetic process); GO:0006686 (sphingomyelin biosynthetic process); GO:0033188 (sphingomyelin synthase activity); GO:0047493 (ceramide cholinephosphotransferase activity)</t>
  </si>
  <si>
    <t xml:space="preserve">PAX protein </t>
  </si>
  <si>
    <t>GO:0003677 (DNA binding); GO:0005634 (nucleus); GO:0006355 (regulation of transcription, DNA-templated);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GO:0048856 (anatomical structure development); GO:0000977 (RNA polymerase II transcription regulatory region sequence-specific DNA binding); GO:0009792 (embryo development ending in birth or egg hatching); GO:0002119 (nematode larval development); GO:0003700 (DNA-binding transcription factor activity); GO:0001708 (cell fate specification); GO:0040025 (vulval development); GO:0045944 (positive regulation of transcription by RNA polymerase II); GO:0043565 (sequence-specific DNA binding); GO:0045138 (nematode male tail tip morphogenesis); GO:0060065 (uterus development)</t>
  </si>
  <si>
    <t xml:space="preserve">Peptidyl-prolyl cis-trans isomerase 1 </t>
  </si>
  <si>
    <t xml:space="preserve">Hexosyltransferase </t>
  </si>
  <si>
    <t>GO:0016020 (membrane); GO:0016021 (integral component of membrane); GO:0003674 (molecular_function); GO:0008150 (biological_process)</t>
  </si>
  <si>
    <t xml:space="preserve">UBiquitin Conjugating enzyme </t>
  </si>
  <si>
    <t>GO:0005634 (nucleus); GO:0000209 (protein polyubiquitination); GO:0043161 (proteasome-mediated ubiquitin-dependent protein catabolic process); GO:0061631 (ubiquitin conjugating enzyme activity); GO:0005515 (protein binding)</t>
  </si>
  <si>
    <t xml:space="preserve">Caffeine Induced Death (S. pombe Cid) homolog </t>
  </si>
  <si>
    <t>GO:0008270 (zinc ion binding); GO:0003676 (nucleic acid binding); GO:0016779 (nucleotidyltransferase activity); GO:0031123 (RNA 3'-end processing); GO:0005737 (cytoplasm); GO:0048471 (perinuclear region of cytoplasm); GO:0000794 (condensed nuclear chromosome); GO:0043186 (P granule); GO:0050265 (RNA uridylyltransferase activity); GO:0071076 (RNA 3' uridylation)</t>
  </si>
  <si>
    <t>GO:0005739 (mitochondrion); GO:0005777 (peroxisome); GO:0098869 (cellular oxidant detoxification); GO:0006749 (glutathione metabolic process); GO:0004364 (glutathione transferase activity); GO:0004602 (glutathione peroxidase activity)</t>
  </si>
  <si>
    <t xml:space="preserve">ALS/FTD Associated gene homolog </t>
  </si>
  <si>
    <t>GO:0005085 (guanyl-nucleotide exchange factor activity); GO:0050790 (regulation of catalytic activity); GO:0005776 (autophagosome); GO:0006897 (endocytosis); GO:0005768 (endosome); GO:0006914 (autophagy)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</si>
  <si>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</t>
  </si>
  <si>
    <t xml:space="preserve">NPC intracellular cholesterol transporter 1 homolog 2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</si>
  <si>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GO:0008406 (gonad development); GO:0009653 (anatomical structure morphogenesis); GO:0019100 (male germ-line sex determination); GO:0008584 (male gonad development)</t>
  </si>
  <si>
    <t>GO:0016020 (membrane); GO:0016021 (integral component of membrane); GO:0003824 (catalytic activity); GO:0030170 (pyridoxal phosphate binding); GO:0030151 (molybdenum ion binding)</t>
  </si>
  <si>
    <t xml:space="preserve">PAC-1 interacting and coiled-coil domain-containing protein 1 </t>
  </si>
  <si>
    <t xml:space="preserve">Receptor-type guanylate cyclase gcy-27 </t>
  </si>
  <si>
    <t>GO:0009190 (cyclic nucleotide biosynthetic process); GO:0004672 (protein kinase activity); GO:0035556 (intracellular signal transduction); GO:0006468 (protein phosphorylation); GO:0005524 (ATP binding)</t>
  </si>
  <si>
    <t>GO:0005634 (nucleus); GO:0006355 (regulation of transcription, DNA-templated); GO:0008406 (gonad development); GO:0051781 (positive regulation of cell division); GO:0003712 (transcription coregulator activity); GO:0000003 (reproduction); GO:0043073 (germ cell nucleus)</t>
  </si>
  <si>
    <t xml:space="preserve">tRNA-splicing ligase RtcB homolog </t>
  </si>
  <si>
    <t>GO:0005634 (nucleus); GO:0046872 (metal ion binding); GO:0000166 (nucleotide binding); GO:0005525 (GTP binding); GO:0016874 (ligase activity); GO:0005737 (cytoplasm); GO:0006396 (RNA processing); GO:0008033 (tRNA processing); GO:0000971 (tRNA exon ligation utilizing 2',3' cyclic phosphate of 5'-exon as source of linkage phosphate); GO:0003972 (RNA ligase (ATP) activity); GO:0006388 (tRNA splicing, via endonucleolytic cleavage and ligation); GO:0008452 (RNA ligase activity); GO:0072669 (tRNA-splicing ligase complex); GO:0040025 (vulval development); GO:0007281 (germ cell development); GO:0005635 (nuclear envelope); GO:0005789 (endoplasmic reticulum membrane); GO:0016886 (ligase activity, forming phosphoric ester bonds)</t>
  </si>
  <si>
    <t xml:space="preserve">FiLamiN (Actin binding protein) homolog </t>
  </si>
  <si>
    <t xml:space="preserve">Acidic leucine-rich nuclear phosphoprotein 32-related protein 2 </t>
  </si>
  <si>
    <t>GO:0042393 (histone binding)</t>
  </si>
  <si>
    <t xml:space="preserve">Acetylcholine receptor subunit alpha-type acr-7 </t>
  </si>
  <si>
    <t>GO:0034464 (BBSome); GO:0005515 (protein binding)</t>
  </si>
  <si>
    <t xml:space="preserve">Secreted Frizzled-Related Protein </t>
  </si>
  <si>
    <t>GO:0005576 (extracellular region); GO:0005615 (extracellular space); GO:0007275 (multicellular organism development); GO:0016055 (Wnt signaling pathway); GO:0017147 (Wnt-protein binding); GO:0060070 (canonical Wnt signaling pathway); GO:0090090 (negative regulation of canonical Wnt signaling pathway); GO:0030154 (cell differentiation); GO:0005634 (nucleus); GO:0005515 (protein binding)</t>
  </si>
  <si>
    <t xml:space="preserve">ALKylated DNA repair protein AlkB homolog </t>
  </si>
  <si>
    <t>GO:0005759 (mitochondrial matrix); GO:0006974 (cellular response to DNA damage stimulus); GO:1902445 (regulation of mitochondrial membrane permeability involved in programmed necrotic cell death)</t>
  </si>
  <si>
    <t>GO:0008061 (chitin binding); GO:0005975 (carbohydrate metabolic process)</t>
  </si>
  <si>
    <t xml:space="preserve">MIF (Macrophage migration Inhibitory Factor) related </t>
  </si>
  <si>
    <t xml:space="preserve">Sodium-dependent high-affinity dicarboxylate transporter 3 </t>
  </si>
  <si>
    <t>GO:0055085 (transmembrane transport); GO:0022857 (transmembrane transporter activity); GO:0016020 (membrane)</t>
  </si>
  <si>
    <t xml:space="preserve">Serine/threonine-protein kinase prk-2 </t>
  </si>
  <si>
    <t xml:space="preserve">Receptor-like tyrosine-protein kinase kin-15 </t>
  </si>
  <si>
    <t>GO:0004714 (transmembrane receptor protein tyrosine kinase activity); GO:0004713 (protein tyrosine kinase activity); GO:0004672 (protein kinase activity); GO:0006468 (protein phosphorylation); GO:0005524 (ATP binding); GO:0016301 (kinase activity); GO:0016310 (phosphorylation); GO:0000166 (nucleotide binding); GO:0018108 (peptidyl-tyrosine phosphorylation)</t>
  </si>
  <si>
    <t>GO:0005856 (cytoskeleton)</t>
  </si>
  <si>
    <t>GO:0004568 (chitinase activity); GO:0006032 (chitin catabolic process); GO:0016998 (cell wall macromolecule catabolic process)</t>
  </si>
  <si>
    <t>GO:0005634 (nucleus); GO:0006366 (transcription by RNA polymerase II); GO:0006367 (transcription initiation from RNA polymerase II promoter); GO:0005672 (transcription factor TFIIA complex)</t>
  </si>
  <si>
    <t xml:space="preserve">PaNtothenate Kinase </t>
  </si>
  <si>
    <t>GO:0005634 (nucleus); GO:0005524 (ATP binding); GO:0016301 (kinase activity); GO:0016310 (phosphorylation); GO:0000166 (nucleotide binding); GO:0005829 (cytosol); GO:0015937 (coenzyme A biosynthetic process); GO:0004594 (pantothenate kinase activity)</t>
  </si>
  <si>
    <t xml:space="preserve">Acetylcholine receptor subunit alpha-type des-2 </t>
  </si>
  <si>
    <t>GO:0005230 (extracellular ligand-gated ion channel activity); GO:0034220 (ion transmembrane transport); GO:0006811 (ion transport); GO:0005216 (ion channel activity); GO:0004888 (transmembrane signaling receptor activity); GO:0016021 (integral component of membrane); GO:0016020 (membrane); GO:0005887 (integral component of plasma membrane)</t>
  </si>
  <si>
    <t xml:space="preserve">Aryl hydrocarbon receptor protein 1 </t>
  </si>
  <si>
    <t>GO:0009410 (response to xenobiotic stimulus); GO:0006805 (xenobiotic metabolic process); GO:0046983 (protein dimerization activity); GO:0005515 (protein binding); GO:0006355 (regulation of transcription, DNA-templated)</t>
  </si>
  <si>
    <t>GO:0016020 (membrane); GO:0016021 (integral component of membrane); GO:0006508 (proteolysis); GO:0008233 (peptidase activity); GO:0004190 (aspartic-type endopeptidase activity); GO:0005765 (lysosomal membrane); GO:0033619 (membrane protein proteolysis); GO:0042500 (aspartic endopeptidase activity, intramembrane cleaving); GO:0071458 (integral component of cytoplasmic side of endoplasmic reticulum membrane); GO:0071556 (integral component of lumenal side of endoplasmic reticulum membrane); GO:0030660 (Golgi-associated vesicle membrane); GO:0005886 (plasma membrane); GO:0030176 (integral component of endoplasmic reticulum membrane)</t>
  </si>
  <si>
    <t xml:space="preserve">Putative glucosylceramidase 3 </t>
  </si>
  <si>
    <t xml:space="preserve">Synaptonemal complex protein SYP-1 </t>
  </si>
  <si>
    <t>GO:0005515 (protein binding); GO:0042803 (protein homodimerization activity); GO:0000795 (synaptonemal complex); GO:0007130 (synaptonemal complex assembly); GO:0010845 (positive regulation of reciprocal meiotic recombination); GO:0051983 (regulation of chromosome segregation); GO:0000801 (central element)</t>
  </si>
  <si>
    <t xml:space="preserve">ELongator complex Protein Component </t>
  </si>
  <si>
    <t>GO:0005634 (nucleus); GO:0005737 (cytoplasm); GO:0008033 (tRNA processing); GO:0002098 (tRNA wobble uridine modification); GO:0008023 (transcription elongation factor complex); GO:0033588 (Elongator holoenzyme complex); GO:0005515 (protein binding)</t>
  </si>
  <si>
    <t>GO:0005811 (lipid droplet); GO:0019915 (lipid storage)</t>
  </si>
  <si>
    <t>GO:0016020 (membrane); GO:0016021 (integral component of membrane); GO:0008146 (sulfotransferase activity); GO:0030206 (chondroitin sulfate biosynthetic process); GO:0047756 (chondroitin 4-sulfotransferase activity); GO:1902884 (positive regulation of response to oxidative stress)</t>
  </si>
  <si>
    <t>GO:0016020 (membrane); GO:0016021 (integral component of membrane); GO:0035435 (phosphate ion transmembrane transport); GO:0031305 (integral component of mitochondrial inner membrane); GO:0005315 (inorganic phosphate transmembrane transporter activity); GO:1990547 (mitochondrial phosphate ion transmembrane transport)</t>
  </si>
  <si>
    <t xml:space="preserve">Bardet-Biedl syndrome 7 protein homolog </t>
  </si>
  <si>
    <t>GO:1905515 (non-motile cilium assembly); GO:0034464 (BBSome)</t>
  </si>
  <si>
    <t>GO:0016020 (membrane); GO:0016021 (integral component of membrane); GO:0022857 (transmembrane transporter activity); GO:0055085 (transmembrane transport); GO:0050807 (regulation of synapse organization); GO:0005764 (lysosome); GO:0015136 (sialic acid transmembrane transporter activity); GO:0015739 (sialic acid transport); GO:0042176 (regulation of protein catabolic process); GO:0006820 (anion transport)</t>
  </si>
  <si>
    <t>GO:0005509 (calcium ion binding); GO:0004867 (serine-type endopeptidase inhibitor activity); GO:0010951 (negative regulation of endopeptidase activity); GO:0007638 (mechanosensory behavior); GO:0050976 (detection of mechanical stimulus involved in sensory perception of touch); GO:1905789 (positive regulation of detection of mechanical stimulus involved in sensory perception of touch); GO:1905792 (positive regulation of mechanosensory behavior); GO:0009612 (response to mechanical stimulus); GO:0005576 (extracellular region)</t>
  </si>
  <si>
    <t>GO:0050211 (procollagen galactosyltransferase activity); GO:0018215 (protein phosphopantetheinylation)</t>
  </si>
  <si>
    <t xml:space="preserve">Abnormal pharyngeal pumping eat-20 </t>
  </si>
  <si>
    <t xml:space="preserve">SAC1 PIP phosphatase (Yeast Suppressor of ACtin) homolog </t>
  </si>
  <si>
    <t>GO:0016020 (membrane); GO:0016021 (integral component of membrane); GO:0005783 (endoplasmic reticulum); GO:0016791 (phosphatase activity); GO:0046856 (phosphatidylinositol dephosphorylation); GO:0043812 (phosphatidylinositol-4-phosphate phosphatase activity); GO:0042578 (phosphoric ester hydrolase activity)</t>
  </si>
  <si>
    <t xml:space="preserve">Dauer or Aging adult Overexpression </t>
  </si>
  <si>
    <t>GO:0003824 (catalytic activity); GO:0016787 (hydrolase activity); GO:0005829 (cytosol); GO:0006730 (one-carbon metabolic process); GO:0035999 (tetrahydrofolate interconversion); GO:0004477 (methenyltetrahydrofolate cyclohydrolase activity); GO:0004488 (methylenetetrahydrofolate dehydrogenase (NADP+) activity); GO:0055114 (oxidation-reduction process)</t>
  </si>
  <si>
    <t xml:space="preserve">Serine/threonine-protein phosphatase Pgam5, mitochondrial </t>
  </si>
  <si>
    <t xml:space="preserve">60S ribosomal export protein NMD3 </t>
  </si>
  <si>
    <t>GO:0005634 (nucleus); GO:0005737 (cytoplasm); GO:0015031 (protein transport); GO:0043023 (ribosomal large subunit binding); GO:0000055 (ribosomal large subunit export from nucleus)</t>
  </si>
  <si>
    <t>GO:0007032 (endosome organization); GO:0005768 (endosome); GO:0071203 (WASH complex); GO:0030041 (actin filament polymerization); GO:0051125 (regulation of actin nucleation); GO:0140285 (endosome fission)</t>
  </si>
  <si>
    <t xml:space="preserve">MaLonyl CoA Decarboxylase </t>
  </si>
  <si>
    <t>GO:0005782 (peroxisomal matrix); GO:0005759 (mitochondrial matrix); GO:0006633 (fatty acid biosynthetic process); GO:0006085 (acetyl-CoA biosynthetic process); GO:0050080 (malonyl-CoA decarboxylase activity); GO:0046321 (positive regulation of fatty acid oxidation); GO:2001294 (malonyl-CoA catabolic process)</t>
  </si>
  <si>
    <t>GO:0005634 (nucleus); GO:0071339 (MLL1 complex)</t>
  </si>
  <si>
    <t>GO:0032367 (intracellular cholesterol transport)</t>
  </si>
  <si>
    <t xml:space="preserve">Probable 39S ribosomal protein L11, mitochondrial </t>
  </si>
  <si>
    <t>GO:0005739 (mitochondrion); GO:0003735 (structural constituent of ribosome); GO:0005840 (ribosome); GO:0006412 (translation); GO:0005762 (mitochondrial large ribosomal subunit); GO:0015934 (large ribosomal subunit); GO:0070180 (large ribosomal subunit rRNA binding)</t>
  </si>
  <si>
    <t>GO:0016020 (membrane); GO:0016021 (integral component of membrane); GO:0003924 (GTPase activity); GO:0005525 (GTP binding); GO:0000166 (nucleotide binding); GO:0005940 (septin ring); GO:0015630 (microtubule cytoskeleton); GO:0031105 (septin complex); GO:0061640 (cytoskeleton-dependent cytokinesis); GO:0032153 (cell division site); GO:0032154 (cleavage furrow); GO:0030496 (midbody); GO:0034613 (cellular protein localization); GO:0060090 (molecular adaptor activity); GO:0005515 (protein binding)</t>
  </si>
  <si>
    <t>GO:0016020 (membrane); GO:0046872 (metal ion binding); GO:0016491 (oxidoreductase activity); GO:0004497 (monooxygenase activity); GO:0020037 (heme binding); GO:0005506 (iron ion binding); GO:0016705 (oxidoreductase activity, acting on paired donors, with incorporation or reduction of molecular oxygen); GO:0005789 (endoplasmic reticulum membrane); GO:0055114 (oxidation-reduction process)</t>
  </si>
  <si>
    <t xml:space="preserve">Intestinal acid phosphatase </t>
  </si>
  <si>
    <t xml:space="preserve">Sperm Meiosis PDZ domain containing proteins </t>
  </si>
  <si>
    <t>GO:0000785 (chromatin); GO:0007060 (male meiosis chromosome segregation); GO:0005515 (protein binding)</t>
  </si>
  <si>
    <t>GO:0005737 (cytoplasm); GO:0051959 (dynein light intermediate chain binding); GO:0005813 (centrosome); GO:0008017 (microtubule binding); GO:0030705 (cytoskeleton-dependent intracellular transport); GO:0031122 (cytoplasmic microtubule organization)</t>
  </si>
  <si>
    <t xml:space="preserve">Major sperm protein 19/31/40/45/50/51/53/59/61/65/81/113/142 </t>
  </si>
  <si>
    <t xml:space="preserve">Stress-induced-phosphoprotein 1 </t>
  </si>
  <si>
    <t>GO:0005737 (cytoplasm); GO:0007275 (multicellular organism development); GO:0005515 (protein binding); GO:0051879 (Hsp90 protein binding); GO:0000003 (reproduction); GO:0008340 (determination of adult lifespan); GO:0009408 (response to heat); GO:0030544 (Hsp70 protein binding); GO:0042030 (ATPase inhibitor activity); GO:0032780 (negative regulation of ATPase activity)</t>
  </si>
  <si>
    <t>GO:0008893 (guanosine-3',5'-bis(diphosphate) 3'-diphosphatase activity)</t>
  </si>
  <si>
    <t xml:space="preserve">Dicer Related Helicase </t>
  </si>
  <si>
    <t>GO:0005524 (ATP binding); GO:0005737 (cytoplasm); GO:0004386 (helicase activity); GO:0016787 (hydrolase activity); GO:0003677 (DNA binding); GO:0000166 (nucleotide binding); GO:0005515 (protein binding); GO:0002376 (immune system process); GO:0045087 (innate immune response); GO:0016246 (RNA interference)</t>
  </si>
  <si>
    <t xml:space="preserve">Mitochondrial prohibitin complex protein 2 </t>
  </si>
  <si>
    <t xml:space="preserve">SOL-2 protein; Suppressor Of Lurcher movement defect </t>
  </si>
  <si>
    <t>GO:0016020 (membrane); GO:0016021 (integral component of membrane); GO:0005515 (protein binding); GO:0006972 (hyperosmotic response); GO:0040012 (regulation of locomotion); GO:0032589 (neuron projection membrane); GO:0051968 (positive regulation of synaptic transmission, glutamatergic); GO:0016247 (channel regulator activity); GO:0001966 (thigmotaxis); GO:0008328 (ionotropic glutamate receptor complex)</t>
  </si>
  <si>
    <t>GO:0005737 (cytoplasm); GO:0043231 (intracellular membrane-bounded organelle);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GO:0055114 (oxidation-reduction process)</t>
  </si>
  <si>
    <t>GO:0005634 (nucleus); GO:0005737 (cytoplasm); GO:0004862 (cAMP-dependent protein kinase inhibitor activity); GO:0006469 (negative regulation of protein kinase activity); GO:2000480 (negative regulation of cAMP-dependent protein kinase activity)</t>
  </si>
  <si>
    <t xml:space="preserve">MAD-Like; MAD-like-1 homolog </t>
  </si>
  <si>
    <t>GO:0005634 (nucleus); GO:0003677 (DNA binding); GO:0046983 (protein dimerization activity); GO:0005515 (protein binding); GO:0000978 (RNA polymerase II cis-regulatory region sequence-specific DNA binding); GO:0000981 (DNA-binding transcription factor activity, RNA polymerase II-specific); GO:0006357 (regulation of transcription by RNA polymerase II); GO:0043565 (sequence-specific DNA binding); GO:0008340 (determination of adult lifespan); GO:0045595 (regulation of cell differentiation); GO:0046982 (protein heterodimerization activity); GO:0005667 (transcription regulator complex)</t>
  </si>
  <si>
    <t xml:space="preserve">O-acyltransferase </t>
  </si>
  <si>
    <t>GO:0016020 (membrane); GO:0016021 (integral component of membrane); GO:0016740 (transferase activity); GO:0016746 (transferase activity, transferring acyl groups); GO:0005789 (endoplasmic reticulum membrane); GO:0005783 (endoplasmic reticulum); GO:0004144 (diacylglycerol O-acyltransferase activity); GO:0008374 (O-acyltransferase activity); GO:0019432 (triglyceride biosynthetic process); GO:0042572 (retinol metabolic process); GO:0050252 (retinol O-fatty-acyltransferase activity); GO:0046486 (glycerolipid metabolic process)</t>
  </si>
  <si>
    <t xml:space="preserve">HECT and RCC domain E3 ubiquitin ligase </t>
  </si>
  <si>
    <t>GO:0004842 (ubiquitin-protein transferase activity); GO:0016567 (protein ubiquitination)</t>
  </si>
  <si>
    <t xml:space="preserve">UPF0587 protein F46B6.12 </t>
  </si>
  <si>
    <t>GO:0046872 (metal ion binding); GO:0008270 (zinc ion binding)</t>
  </si>
  <si>
    <t xml:space="preserve">Tubulin gamma chain </t>
  </si>
  <si>
    <t>GO:0005525 (GTP binding); GO:0005634 (nucleus); GO:0005737 (cytoplasm); GO:0000166 (nucleotide binding); GO:0003924 (GTPase activity); GO:0005856 (cytoskeleton); GO:0005874 (microtubule); GO:0007017 (microtubule-based process); GO:0030054 (cell junction); GO:0005912 (adherens junction); GO:0005813 (centrosome); GO:0000278 (mitotic cell cycle); GO:0007052 (mitotic spindle organization); GO:0000226 (microtubule cytoskeleton organization); GO:0005815 (microtubule organizing center); GO:0009794 (regulation of mitotic cell cycle, embryonic); GO:0016048 (detection of temperature stimulus); GO:0051661 (maintenance of centrosome location); GO:1903436 (regulation of mitotic cytokinetic process); GO:0005200 (structural constituent of cytoskeleton); GO:0030056 (hemidesmosome); GO:0000930 (gamma-tubulin complex); GO:0007020 (microtubule nucleation); GO:0000070 (mitotic sister chromatid segregation); GO:0000212 (meiotic spindle organization); GO:0005819 (spindle); GO:0031122 (cytoplasmic microtubule organization)</t>
  </si>
  <si>
    <t xml:space="preserve">Phenylalanyl Amino-acyl tRNA Synthetase </t>
  </si>
  <si>
    <t>GO:0005524 (ATP binding); GO:0005737 (cytoplasm); GO:0000166 (nucleotide binding); GO:0004812 (aminoacyl-tRNA ligase activity); GO:0016874 (ligase activity); GO:0006412 (translation); GO:0005829 (cytosol); GO:0004826 (phenylalanine-tRNA ligase activity); GO:0006432 (phenylalanyl-tRNA aminoacylation); GO:0000049 (tRNA binding); GO:0043039 (tRNA aminoacylation); GO:0009328 (phenylalanine-tRNA ligase complex)</t>
  </si>
  <si>
    <t xml:space="preserve">rRNA 2'-O-methyltransferase fibrillarin </t>
  </si>
  <si>
    <t>GO:0008168 (methyltransferase activity); GO:0006364 (rRNA processing); GO:0003723 (RNA binding)</t>
  </si>
  <si>
    <t>GO:0005737 (cytoplasm); GO:0046872 (metal ion binding); GO:0051603 (proteolysis involved in cellular protein catabolic process); GO:0016567 (protein ubiquitination); GO:0004842 (ubiquitin-protein transferase activity); GO:0005515 (protein binding)</t>
  </si>
  <si>
    <t>GO:0006886 (intracellular protein transport); GO:0006888 (endoplasmic reticulum to Golgi vesicle-mediated transport); GO:0006890 (retrograde vesicle-mediated transport, Golgi to endoplasmic reticulum); GO:0006891 (intra-Golgi vesicle-mediated transport); GO:0030126 (COPI vesicle coat); GO:0005515 (protein binding)</t>
  </si>
  <si>
    <t xml:space="preserve">Bifunctional lysine-specific demethylase and histidyl-hydroxylase NO66 </t>
  </si>
  <si>
    <t xml:space="preserve">ARF-Like; Novel small G protein indispensable for equal chromosome segregation </t>
  </si>
  <si>
    <t>GO:0005525 (GTP binding); GO:0000166 (nucleotide binding); GO:0003924 (GTPase activity); GO:0015031 (protein transport); GO:0005765 (lysosomal membrane); GO:0005774 (vacuolar membrane); GO:0043005 (neuron projection); GO:1903742 (regulation of anterograde synaptic vesicle transport); GO:0048786 (presynaptic active zone); GO:0005764 (lysosome); GO:0008021 (synaptic vesicle); GO:0008088 (axo-dendritic transport); GO:0008333 (endosome to lysosome transport)</t>
  </si>
  <si>
    <t>GO:0016020 (membrane); GO:0016021 (integral component of membrane); GO:0022857 (transmembrane transporter activity); GO:0055085 (transmembrane transport); GO:0015293 (symporter activity); GO:0006814 (sodium ion transport)</t>
  </si>
  <si>
    <t xml:space="preserve">Uncharacterized helicase C28H8.3 </t>
  </si>
  <si>
    <t>GO:0005524 (ATP binding); GO:0016787 (hydrolase activity); GO:0004386 (helicase activity); GO:0005634 (nucleus); GO:0000166 (nucleotide binding); GO:0003676 (nucleic acid binding)</t>
  </si>
  <si>
    <t>GO:0016020 (membrane); GO:0016021 (integral component of membrane); GO:0005509 (calcium ion binding); GO:0005886 (plasma membrane); GO:0007219 (Notch signaling pathway); GO:0005112 (Notch binding); GO:0005515 (protein binding); GO:0045746 (negative regulation of Notch signaling pathway)</t>
  </si>
  <si>
    <t xml:space="preserve">Heat Shock Protein </t>
  </si>
  <si>
    <t>GO:0000462 (maturation of SSU-rRNA from tricistronic rRNA transcript (SSU-rRNA, 5.8S rRNA, LSU-rRNA)); GO:0030686 (90S preribosome); GO:0032040 (small-subunit processome); GO:0034455 (t-UTP complex); GO:0005515 (protein binding)</t>
  </si>
  <si>
    <t xml:space="preserve">Zinc finger transcription factor family protein 30 </t>
  </si>
  <si>
    <t xml:space="preserve">Homeobox protein ceh-30 </t>
  </si>
  <si>
    <t xml:space="preserve">Fructose-bisphosphate aldolase 1 </t>
  </si>
  <si>
    <t xml:space="preserve">Non-muscle MYosin </t>
  </si>
  <si>
    <t>GO:0005524 (ATP binding); GO:0000166 (nucleotide binding); GO:0003774 (motor activity); GO:0051015 (actin filament binding); GO:0003779 (actin binding); GO:0016459 (myosin complex)</t>
  </si>
  <si>
    <t>GO:0005634 (nucleus); GO:0046872 (metal ion binding); GO:0035064 (methylated histone binding); GO:0043972 (histone H3-K23 acetylation); GO:0043994 (histone acetyltransferase activity (H3-K23 specific))</t>
  </si>
  <si>
    <t xml:space="preserve">Putative exosome complex component RRP41 </t>
  </si>
  <si>
    <t xml:space="preserve">AMP-Activated protein Kinase Gamma subunit </t>
  </si>
  <si>
    <t>GO:0005634 (nucleus); GO:0005737 (cytoplasm); GO:0016301 (kinase activity); GO:0016310 (phosphorylation); GO:0019887 (protein kinase regulator activity); GO:0045859 (regulation of protein kinase activity); GO:0019901 (protein kinase binding); GO:0006468 (protein phosphorylation); GO:0031588 (nucleotide-activated protein kinase complex); GO:0042149 (cellular response to glucose starvation); GO:0016208 (AMP binding); GO:0050790 (regulation of catalytic activity)</t>
  </si>
  <si>
    <t xml:space="preserve">Tubby protein homolog 1 </t>
  </si>
  <si>
    <t>GO:0005737 (cytoplasm); GO:0006629 (lipid metabolic process); GO:0005929 (cilium); GO:0042995 (cell projection); GO:0030424 (axon); GO:0006935 (chemotaxis); GO:0050896 (response to stimulus); GO:0030425 (dendrite); GO:0061512 (protein localization to cilium); GO:0003674 (molecular_function); GO:0005575 (cellular_component); GO:0097500 (receptor localization to non-motile cilium)</t>
  </si>
  <si>
    <t xml:space="preserve">VAMP (Vesicle Associated Membrane Protein) homolog </t>
  </si>
  <si>
    <t>GO:0016020 (membrane); GO:0016021 (integral component of membrane); GO:0016192 (vesicle-mediated transport); GO:0000149 (SNARE binding); GO:0031201 (SNARE complex); GO:0005484 (SNAP receptor activity); GO:0006887 (exocytosis); GO:0006906 (vesicle fusion)</t>
  </si>
  <si>
    <t xml:space="preserve">HydroxySteroid Dehydrogenase homolog </t>
  </si>
  <si>
    <t>GO:0016020 (membrane); GO:0016021 (integral component of membrane); GO:0016491 (oxidoreductase activity); GO:0016616 (oxidoreductase activity, acting on the CH-OH group of donors, NAD or NADP as acceptor); GO:0003854 (3-beta-hydroxy-delta5-steroid dehydrogenase activity); GO:0006694 (steroid biosynthetic process); GO:0055114 (oxidation-reduction process)</t>
  </si>
  <si>
    <t>GO:0005201 (extracellular matrix structural constituent); GO:0030198 (extracellular matrix organization); GO:0062023 (collagen-containing extracellular matrix)</t>
  </si>
  <si>
    <t xml:space="preserve">Putative serine/threonine-protein kinase F31E3.2 </t>
  </si>
  <si>
    <t>GO:0005524 (ATP binding); GO:0004672 (protein kinase activity); GO:0006468 (protein phosphorylation); GO:0016301 (kinase activity); GO:0016310 (phosphorylation); GO:0000166 (nucleotide binding); GO:0016740 (transferase activity); GO:0004674 (protein serine/threonine kinase activity); GO:0106310 (protein serine kinase activity); GO:0106311 (protein threonine kinase activity)</t>
  </si>
  <si>
    <t xml:space="preserve">ATP-dependent RNA helicase </t>
  </si>
  <si>
    <t>GO:0005524 (ATP binding); GO:0016787 (hydrolase activity); GO:0004386 (helicase activity); GO:0003723 (RNA binding); GO:0005634 (nucleus); GO:0000166 (nucleotide binding); GO:0003676 (nucleic acid binding); GO:0005730 (nucleolus); GO:0006364 (rRNA processing); GO:0003724 (RNA helicase activity); GO:0016887 (ATPase activity); GO:0016020 (membrane); GO:0016021 (integral component of membrane)</t>
  </si>
  <si>
    <t xml:space="preserve">Liprin-alpha </t>
  </si>
  <si>
    <t>GO:0050808 (synapse organization); GO:0045202 (synapse); GO:0005515 (protein binding)</t>
  </si>
  <si>
    <t xml:space="preserve">FCH domain Only (FCH stands for Fes/CIP4 homology domain) </t>
  </si>
  <si>
    <t>GO:0005737 (cytoplasm); GO:0005886 (plasma membrane); GO:0005856 (cytoskeleton); GO:0072583 (clathrin-dependent endocytosis); GO:0048268 (clathrin coat assembly); GO:0030136 (clathrin-coated vesicle); GO:0005905 (clathrin-coated pit)</t>
  </si>
  <si>
    <t>GO:0005634 (nucleus); GO:0003677 (DNA binding); GO:0042645 (mitochondrial nucleoid); GO:0070987 (error-free translesion synthesis)</t>
  </si>
  <si>
    <t>GO:0005634 (nucleus); GO:0006260 (DNA replication); GO:0003887 (DNA-directed DNA polymerase activity); GO:0006297 (nucleotide-excision repair, DNA gap filling); GO:0043625 (delta DNA polymerase complex); GO:0006271 (DNA strand elongation involved in DNA replication); GO:1904161 (DNA synthesis involved in UV-damage excision repair)</t>
  </si>
  <si>
    <t>GO:0016020 (membrane); GO:0016021 (integral component of membrane); GO:0005615 (extracellular space)</t>
  </si>
  <si>
    <t>GO:0016020 (membrane); GO:0016021 (integral component of membrane); GO:0016787 (hydrolase activity); GO:0006508 (proteolysis); GO:0008233 (peptidase activity); GO:0004185 (serine-type carboxypeptidase activity); GO:0004180 (carboxypeptidase activity); GO:0045121 (membrane raft)</t>
  </si>
  <si>
    <t xml:space="preserve">Potassium voltage-gated channel protein egl-36 </t>
  </si>
  <si>
    <t xml:space="preserve">Phenylalanine--tRNA ligase beta subunit </t>
  </si>
  <si>
    <t>GO:0005524 (ATP binding); GO:0000166 (nucleotide binding); GO:0004812 (aminoacyl-tRNA ligase activity); GO:0003723 (RNA binding); GO:0016874 (ligase activity); GO:0005737 (cytoplasm); GO:0006412 (translation); GO:0000287 (magnesium ion binding); GO:0004826 (phenylalanine-tRNA ligase activity); GO:0006432 (phenylalanyl-tRNA aminoacylation); GO:0009328 (phenylalanine-tRNA ligase complex)</t>
  </si>
  <si>
    <t xml:space="preserve">Sperm Specific family, class P </t>
  </si>
  <si>
    <t xml:space="preserve">UBX domain-containing protein 1 </t>
  </si>
  <si>
    <t>GO:0005737 (cytoplasm); GO:0005515 (protein binding); GO:0042006 (masculinization of hermaphroditic germ-line); GO:0030154 (cell differentiation); GO:0007283 (spermatogenesis); GO:0048471 (perinuclear region of cytoplasm); GO:0036435 (K48-linked polyubiquitin modification-dependent protein binding); GO:1903364 (positive regulation of cellular protein catabolic process)</t>
  </si>
  <si>
    <t xml:space="preserve">XPA (Xeroderma pigmentosum comp grp A) related </t>
  </si>
  <si>
    <t>GO:0005634 (nucleus); GO:0046872 (metal ion binding); GO:0003677 (DNA binding); GO:0006281 (DNA repair); GO:0006974 (cellular response to DNA damage stimulus); GO:0009411 (response to UV); GO:0006289 (nucleotide-excision repair); GO:0006284 (base-excision repair); GO:0000110 (nucleotide-excision repair factor 1 complex); GO:0003684 (damaged DNA binding); GO:1901255 (nucleotide-excision repair involved in interstrand cross-link repair); GO:0000715 (nucleotide-excision repair, DNA damage recognition); GO:0033683 (nucleotide-excision repair, DNA incision); GO:0070914 (UV-damage excision repair); GO:0000003 (reproduction); GO:0040025 (vulval development); GO:0008340 (determination of adult lifespan); GO:0010225 (response to UV-C)</t>
  </si>
  <si>
    <t>GO:0016020 (membrane); GO:0003824 (catalytic activity); GO:0016787 (hydrolase activity); GO:0005783 (endoplasmic reticulum); GO:0005789 (endoplasmic reticulum membrane); GO:0019439 (aromatic compound catabolic process); GO:0033961 (cis-stilbene-oxide hydrolase activity)</t>
  </si>
  <si>
    <t>GO:0016020 (membrane); GO:0016021 (integral component of membrane); GO:0016787 (hydrolase activity); GO:0005737 (cytoplasm); GO:0006516 (glycoprotein catabolic process)</t>
  </si>
  <si>
    <t>GO:0006355 (regulation of transcription, DNA-templated); GO:0005515 (protein binding)</t>
  </si>
  <si>
    <t xml:space="preserve">Ubiquitin-conjugating enzyme E2 25 </t>
  </si>
  <si>
    <t>GO:0005634 (nucleus); GO:0000166 (nucleotide binding); GO:0016740 (transferase activity); GO:0000209 (protein polyubiquitination); GO:0016567 (protein ubiquitination); GO:0005737 (cytoplasm); GO:0005524 (ATP binding); GO:0061631 (ubiquitin conjugating enzyme activity); GO:0043025 (neuronal cell body); GO:0005829 (cytosol); GO:0040011 (locomotion)</t>
  </si>
  <si>
    <t xml:space="preserve">Ribosome maturation protein SBDS </t>
  </si>
  <si>
    <t>GO:0005634 (nucleus); GO:0005737 (cytoplasm); GO:0005856 (cytoskeleton); GO:0005730 (nucleolus); GO:0042254 (ribosome biogenesis); GO:0005819 (spindle); GO:0005654 (nucleoplasm); GO:0042256 (mature ribosome assembly)</t>
  </si>
  <si>
    <t>GO:0005737 (cytoplasm); GO:0005515 (protein binding)</t>
  </si>
  <si>
    <t xml:space="preserve">Probable RING finger protein 207 homolog </t>
  </si>
  <si>
    <t>GO:0046872 (metal ion binding); GO:0008270 (zinc ion binding); GO:0030544 (Hsp70 protein binding)</t>
  </si>
  <si>
    <t xml:space="preserve">Serine/threonine-protein kinase SULU </t>
  </si>
  <si>
    <t>GO:0005524 (ATP binding); GO:0005737 (cytoplasm); GO:0004672 (protein kinase activity); GO:0004674 (protein serine/threonine kinase activity); GO:0006468 (protein phosphorylation); GO:0016301 (kinase activity); GO:0016310 (phosphorylation); GO:0046872 (metal ion binding); GO:0000166 (nucleotide binding); GO:0016740 (transferase activity); GO:0005856 (cytoskeleton); GO:0032147 (activation of protein kinase activity); GO:0005938 (cell cortex); GO:0048812 (neuron projection morphogenesis); GO:0043051 (regulation of pharyngeal pumping); GO:0007631 (feeding behavior); GO:0043407 (negative regulation of MAP kinase activity); GO:0060631 (regulation of meiosis I); GO:0031098 (stress-activated protein kinase signaling cascade); GO:0000165 (MAPK cascade); GO:0106310 (protein serine kinase activity); GO:0106311 (protein threonine kinase activity)</t>
  </si>
  <si>
    <t xml:space="preserve">Probable 5-hydroxyisourate hydrolase R09H10.3 </t>
  </si>
  <si>
    <t>GO:0016787 (hydrolase activity); GO:0005515 (protein binding); GO:0042802 (identical protein binding); GO:0006144 (purine nucleobase metabolic process); GO:0033971 (hydroxyisourate hydrolase activity)</t>
  </si>
  <si>
    <t>GO:0016020 (membrane); GO:0016021 (integral component of membrane); GO:0055085 (transmembrane transport); GO:0008643 (carbohydrate transport); GO:0030173 (integral component of Golgi membrane); GO:0030176 (integral component of endoplasmic reticulum membrane); GO:0022857 (transmembrane transporter activity); GO:0005462 (UDP-N-acetylglucosamine transmembrane transporter activity); GO:0005464 (UDP-xylose transmembrane transporter activity); GO:0015790 (UDP-xylose transmembrane transport); GO:1990569 (UDP-N-acetylglucosamine transmembrane transport)</t>
  </si>
  <si>
    <t>GO:0005634 (nucleus); GO:0003677 (DNA binding); GO:0000978 (RNA polymerase II cis-regulatory region sequence-specific DNA binding); GO:0001006 (RNA polymerase III type 3 promoter sequence-specific DNA binding); GO:0019185 (snRNA-activating protein complex); GO:0042795 (snRNA transcription by RNA polymerase II); GO:0042796 (snRNA transcription by RNA polymerase III); GO:0001046 (core promoter sequence-specific DNA binding); GO:0003681 (bent DNA binding)</t>
  </si>
  <si>
    <t xml:space="preserve">Ras GTPase-activating protein gap-1 </t>
  </si>
  <si>
    <t>GO:0043087 (regulation of GTPase activity); GO:0007165 (signal transduction)</t>
  </si>
  <si>
    <t>GO:0005634 (nucleus); GO:0003743 (translation initiation factor activity); GO:0006413 (translational initiation); GO:0046982 (protein heterodimerization activity); GO:0005669 (transcription factor TFIID complex); GO:0006367 (transcription initiation from RNA polymerase II promoter)</t>
  </si>
  <si>
    <t xml:space="preserve">Putative cuticle collagen 80 </t>
  </si>
  <si>
    <t>GO:0016740 (transferase activity); GO:0005829 (cytosol); GO:0061929 (gamma-glutamylaminecyclotransferase activity)</t>
  </si>
  <si>
    <t xml:space="preserve">Myotubularin-related protein 9 </t>
  </si>
  <si>
    <t xml:space="preserve">Ribosomal protein S6 Kinase Delta homolog </t>
  </si>
  <si>
    <t>GO:0005524 (ATP binding); GO:0004672 (protein kinase activity); GO:0006468 (protein phosphorylation); GO:0035091 (phosphatidylinositol binding)</t>
  </si>
  <si>
    <t xml:space="preserve">Nuclear hormone receptor family member nhr-213 </t>
  </si>
  <si>
    <t xml:space="preserve">Zyxin </t>
  </si>
  <si>
    <t>GO:0005634 (nucleus); GO:0046872 (metal ion binding); GO:0005737 (cytoplasm); GO:0098609 (cell-cell adhesion); GO:0005856 (cytoskeleton); GO:0005515 (protein binding); GO:0030054 (cell junction); GO:0042995 (cell projection); GO:0007155 (cell adhesion); GO:0007399 (nervous system development); GO:0030424 (axon); GO:0005925 (focal adhesion); GO:0031430 (M band); GO:0001725 (stress fiber); GO:0000003 (reproduction); GO:0055120 (striated muscle dense body); GO:0017151 (DEAD/H-box RNA helicase binding); GO:0015629 (actin cytoskeleton); GO:0099558 (maintenance of synapse structure)</t>
  </si>
  <si>
    <t xml:space="preserve">Sperm activation Without Mating </t>
  </si>
  <si>
    <t>GO:0031410 (cytoplasmic vesicle); GO:0005576 (extracellular region); GO:0010951 (negative regulation of endopeptidase activity); GO:0010466 (negative regulation of peptidase activity); GO:0030414 (peptidase inhibitor activity); GO:0030154 (cell differentiation); GO:0007283 (spermatogenesis); GO:0005615 (extracellular space); GO:0004867 (serine-type endopeptidase inhibitor activity); GO:0007286 (spermatid development); GO:0099503 (secretory vesicle)</t>
  </si>
  <si>
    <t xml:space="preserve">LIM domain family </t>
  </si>
  <si>
    <t>GO:0005634 (nucleus); GO:0003677 (DNA binding); GO:0046872 (metal ion binding); GO:0000977 (RNA polymerase II transcription regulatory region sequence-specific DNA binding); GO:0000981 (DNA-binding transcription factor activity, RNA polymerase II-specific); GO:0006357 (regulation of transcription by RNA polymerase II); GO:0030182 (neuron differentiation); GO:0003700 (DNA-binding transcription factor activity); GO:0001708 (cell fate specification); GO:0006355 (regulation of transcription, DNA-templated)</t>
  </si>
  <si>
    <t>GO:0016787 (hydrolase activity); GO:0004104 (cholinesterase activity); GO:0043083 (synaptic cleft); GO:0052689 (carboxylic ester hydrolase activity); GO:0003990 (acetylcholinesterase activity); GO:0042135 (neurotransmitter catabolic process); GO:0002119 (nematode larval development); GO:0042803 (protein homodimerization activity); GO:0042802 (identical protein binding); GO:0043058 (regulation of backward locomotion); GO:0001507 (acetylcholine catabolic process in synaptic cleft); GO:0006581 (acetylcholine catabolic process); GO:0035188 (hatching); GO:0050879 (multicellular organismal movement)</t>
  </si>
  <si>
    <t xml:space="preserve">Cleavage and Polyadenylation Factor </t>
  </si>
  <si>
    <t>GO:0031124 (mRNA 3'-end processing); GO:0005848 (mRNA cleavage stimulating factor complex); GO:0005515 (protein binding)</t>
  </si>
  <si>
    <t>GO:0016020 (membrane); GO:0016021 (integral component of membrane); GO:0005524 (ATP binding); GO:0042626 (ATPase-coupled transmembrane transporter activity); GO:0000166 (nucleotide binding); GO:0055085 (transmembrane transport); GO:0005887 (integral component of plasma membrane); GO:0050829 (defense response to Gram-negative bacterium); GO:0050830 (defense response to Gram-positive bacterium); GO:0042493 (response to drug); GO:1990170 (stress response to cadmium ion); GO:0015562 (efflux transmembrane transporter activity); GO:0093002 (response to nematicide); GO:1990169 (stress response to copper ion); GO:0016887 (ATPase activity); GO:0008559 (ATPase-coupled xenobiotic transmembrane transporter activity); GO:0042908 (xenobiotic transport)</t>
  </si>
  <si>
    <t>GO:0016020 (membrane); GO:0016021 (integral component of membrane); GO:0005216 (ion channel activity); GO:0006811 (ion transport); GO:0034220 (ion transmembrane transport); GO:0098655 (cation transmembrane transport); GO:0055085 (transmembrane transport); GO:0005261 (cation channel activity); GO:0040017 (positive regulation of locomotion); GO:0030424 (axon); GO:0032224 (positive regulation of synaptic transmission, cholinergic); GO:0032230 (positive regulation of synaptic transmission, GABAergic)</t>
  </si>
  <si>
    <t xml:space="preserve">COP9 signalosome complex subunit 4 </t>
  </si>
  <si>
    <t>GO:0008180 (COP9 signalosome)</t>
  </si>
  <si>
    <t xml:space="preserve">Exchange factor for Arf-6 </t>
  </si>
  <si>
    <t>GO:0005543 (phospholipid binding); GO:0032012 (regulation of ARF protein signal transduction); GO:0005515 (protein binding)</t>
  </si>
  <si>
    <t>GO:0007015 (actin filament organization); GO:0061038 (uterus morphogenesis); GO:0005884 (actin filament); GO:0005515 (protein binding); GO:0007411 (axon guidance); GO:0007413 (axonal fasciculation); GO:0071526 (semaphorin-plexin signaling pathway)</t>
  </si>
  <si>
    <t xml:space="preserve">Ribosomal RNA-processing protein 7 homolog </t>
  </si>
  <si>
    <t>GO:0006364 (rRNA processing); GO:0000028 (ribosomal small subunit assembly); GO:0032545 (CURI complex); GO:0034456 (UTP-C complex)</t>
  </si>
  <si>
    <t>GO:0005739 (mitochondrion); GO:0017148 (negative regulation of translation); GO:0043023 (ribosomal large subunit binding); GO:0090071 (negative regulation of ribosome biogenesis)</t>
  </si>
  <si>
    <t xml:space="preserve">CHromatin Assembly Factor </t>
  </si>
  <si>
    <t>GO:0005634 (nucleus); GO:0006334 (nucleosome assembly); GO:0033186 (CAF-1 complex); GO:0005515 (protein binding)</t>
  </si>
  <si>
    <t xml:space="preserve">Intraflagellar transport protein osm-1 </t>
  </si>
  <si>
    <t xml:space="preserve">Beta-catenin-like protein hmp-2 </t>
  </si>
  <si>
    <t>GO:0045296 (cadherin binding); GO:0007155 (cell adhesion); GO:0005515 (protein binding); GO:0019901 (protein kinase binding); GO:0009792 (embryo development ending in birth or egg hatching); GO:0005634 (nucleus); GO:0016477 (cell migration); GO:0019904 (protein domain specific binding); GO:0010172 (embryonic body morphogenesis); GO:0032880 (regulation of protein localization); GO:0042074 (cell migration involved in gastrulation); GO:0045944 (positive regulation of transcription by RNA polymerase II); GO:0030866 (cortical actin cytoskeleton organization); GO:0003713 (transcription coactivator activity); GO:0005912 (adherens junction); GO:0045294 (alpha-catenin binding); GO:0016342 (catenin complex)</t>
  </si>
  <si>
    <t xml:space="preserve">Serpentine receptor class gamma-5 </t>
  </si>
  <si>
    <t>GO:0016740 (transferase activity); GO:0016746 (transferase activity, transferring acyl groups); GO:0016747 (transferase activity, transferring acyl groups other than amino-acyl groups); GO:0005739 (mitochondrion); GO:0006635 (fatty acid beta-oxidation); GO:0003985 (acetyl-CoA C-acetyltransferase activity)</t>
  </si>
  <si>
    <t xml:space="preserve">Translational repressor ifet-1 </t>
  </si>
  <si>
    <t>GO:0016020 (membrane); GO:0016021 (integral component of membrane); GO:0030176 (integral component of endoplasmic reticulum membrane); GO:0036064 (ciliary basal body); GO:0035437 (maintenance of protein localization in endoplasmic reticulum); GO:0045724 (positive regulation of cilium assembly)</t>
  </si>
  <si>
    <t xml:space="preserve">Sentrin-specific protease </t>
  </si>
  <si>
    <t>GO:0005634 (nucleus); GO:0016787 (hydrolase activity); GO:0006508 (proteolysis); GO:0008233 (peptidase activity); GO:0008234 (cysteine-type peptidase activity); GO:0005635 (nuclear envelope); GO:0016926 (protein desumoylation); GO:0009792 (embryo development ending in birth or egg hatching); GO:0032880 (regulation of protein localization); GO:1904333 (positive regulation of error-prone translesion synthesis)</t>
  </si>
  <si>
    <t xml:space="preserve">ETHE1 (Human ETHylmalonic Encephalopathy) homolog </t>
  </si>
  <si>
    <t>GO:0005739 (mitochondrion); GO:0016788 (hydrolase activity, acting on ester bonds); GO:0006749 (glutathione metabolic process); GO:0050313 (sulfur dioxygenase activity); GO:0070813 (hydrogen sulfide metabolic process)</t>
  </si>
  <si>
    <t>GO:0016020 (membrane); GO:0016021 (integral component of membrane); GO:0016491 (oxidoreductase activity); GO:0005789 (endoplasmic reticulum membrane); GO:0030148 (sphingolipid biosynthetic process); GO:0006666 (3-keto-sphinganine metabolic process); GO:0047560 (3-dehydrosphinganine reductase activity); GO:0055114 (oxidation-reduction process)</t>
  </si>
  <si>
    <t xml:space="preserve">Translational Activator of Cytochrome c Oxidase </t>
  </si>
  <si>
    <t xml:space="preserve">HMG; High mobility group protein I alpha </t>
  </si>
  <si>
    <t xml:space="preserve">SWS1 homolog </t>
  </si>
  <si>
    <t>GO:0008270 (zinc ion binding); GO:0000724 (double-strand break repair via homologous recombination); GO:0097196 (Shu complex)</t>
  </si>
  <si>
    <t xml:space="preserve">Putative carbonic anhydrase-like protein 1 </t>
  </si>
  <si>
    <t>GO:0005576 (extracellular region); GO:0006935 (chemotaxis); GO:0043204 (perikaryon); GO:0019236 (response to pheromone); GO:0050920 (regulation of chemotaxis); GO:0090328 (regulation of olfactory learning)</t>
  </si>
  <si>
    <t>GO:0005515 (protein binding); GO:0016020 (membrane); GO:0016021 (integral component of membrane)</t>
  </si>
  <si>
    <t xml:space="preserve">Secretory carrier-associated membrane protein </t>
  </si>
  <si>
    <t>GO:0016020 (membrane); GO:0016021 (integral component of membrane); GO:0032588 (trans-Golgi network membrane); GO:0015031 (protein transport); GO:0055038 (recycling endosome membrane); GO:0031410 (cytoplasmic vesicle)</t>
  </si>
  <si>
    <t>GO:0005515 (protein binding); GO:0048471 (perinuclear region of cytoplasm); GO:0005829 (cytosol); GO:0045132 (meiotic chromosome segregation); GO:0016246 (RNA interference); GO:0000335 (negative regulation of transposition, DNA-mediated); GO:0016441 (posttranscriptional gene silencing)</t>
  </si>
  <si>
    <t>GO:0045292 (mRNA cis splicing, via spliceosome); GO:0006396 (RNA processing); GO:0005681 (spliceosomal complex)</t>
  </si>
  <si>
    <t xml:space="preserve">CID domain-containing protein 1 </t>
  </si>
  <si>
    <t>GO:0016020 (membrane); GO:0016021 (integral component of membrane); GO:0007369 (gastrulation)</t>
  </si>
  <si>
    <t>GO:0000166 (nucleotide binding); GO:0003677 (DNA binding); GO:0016740 (transferase activity); GO:0003676 (nucleic acid binding); GO:0016779 (nucleotidyltransferase activity); GO:0003887 (DNA-directed DNA polymerase activity); GO:0006260 (DNA replication); GO:0071897 (DNA biosynthetic process)</t>
  </si>
  <si>
    <t xml:space="preserve">Eukaryotic Release FActor homolog </t>
  </si>
  <si>
    <t>GO:0003924 (GTPase activity); GO:0005525 (GTP binding); GO:0000166 (nucleotide binding); GO:0005737 (cytoplasm); GO:0006412 (translation); GO:0005829 (cytosol); GO:0002184 (cytoplasmic translational termination); GO:0003747 (translation release factor activity); GO:0018444 (translation release factor complex)</t>
  </si>
  <si>
    <t>GO:0016020 (membrane); GO:0016021 (integral component of membrane); GO:0005216 (ion channel activity); GO:0006811 (ion transport); GO:0055085 (transmembrane transport); GO:0005887 (integral component of plasma membrane); GO:0005262 (calcium channel activity); GO:0005515 (protein binding); GO:0098703 (calcium ion import across plasma membrane)</t>
  </si>
  <si>
    <t xml:space="preserve">Serpentine receptor class alpha/beta-14 </t>
  </si>
  <si>
    <t xml:space="preserve">Chitin synthase chs-2 </t>
  </si>
  <si>
    <t>GO:0016758 (transferase activity, transferring hexosyl groups); GO:0004100 (chitin synthase activity); GO:0016020 (membrane); GO:0016021 (integral component of membrane)</t>
  </si>
  <si>
    <t>GO:0016020 (membrane); GO:0016021 (integral component of membrane); GO:0005783 (endoplasmic reticulum); GO:0004597 (peptide-aspartate beta-dioxygenase activity); GO:0018193 (peptidyl-amino acid modification); GO:0042264 (peptidyl-aspartic acid hydroxylation); GO:0005515 (protein binding); GO:0018215 (protein phosphopantetheinylation)</t>
  </si>
  <si>
    <t xml:space="preserve">FlaMIngo (Cadherin plus 7TM domain) homolog </t>
  </si>
  <si>
    <t>GO:0016020 (membrane); GO:0016021 (integral component of membrane); GO:0005509 (calcium ion binding); GO:0005886 (plasma membrane); GO:0007155 (cell adhesion); GO:0098609 (cell-cell adhesion); GO:0004930 (G protein-coupled receptor activity); GO:0007186 (G protein-coupled receptor signaling pathway); GO:0007156 (homophilic cell adhesion via plasma membrane adhesion molecules); GO:0042995 (cell projection); GO:0007399 (nervous system development); GO:0030424 (axon); GO:0030425 (dendrite); GO:0097376 (interneuron axon guidance); GO:0033564 (anterior/posterior axon guidance)</t>
  </si>
  <si>
    <t>GO:0005634 (nucleus); GO:0005737 (cytoplasm); GO:0032502 (developmental process)</t>
  </si>
  <si>
    <t xml:space="preserve">UreidoPropionase Beta </t>
  </si>
  <si>
    <t>GO:0016787 (hydrolase activity); GO:0006807 (nitrogen compound metabolic process); GO:0003837 (beta-ureidopropionase activity); GO:0033396 (beta-alanine biosynthetic process via 3-ureidopropionate); GO:0055120 (striated muscle dense body); GO:0006210 (thymine catabolic process); GO:0006212 (uracil catabolic process); GO:0016811 (hydrolase activity, acting on carbon-nitrogen (but not peptide) bonds, in linear amides)</t>
  </si>
  <si>
    <t>GO:0016020 (membrane); GO:0016021 (integral component of membrane); GO:0043051 (regulation of pharyngeal pumping); GO:0007268 (chemical synaptic transmission); GO:0045202 (synapse)</t>
  </si>
  <si>
    <t xml:space="preserve">Probable phosphoserine aminotransferase </t>
  </si>
  <si>
    <t>GO:0005737 (cytoplasm); GO:0006564 (L-serine biosynthetic process); GO:0003824 (catalytic activity); GO:0016740 (transferase activity); GO:0030170 (pyridoxal phosphate binding); GO:0008483 (transaminase activity); GO:0008652 (cellular amino acid biosynthetic process); GO:0004648 (O-phospho-L-serine:2-oxoglutarate aminotransferase activity)</t>
  </si>
  <si>
    <t>GO:0005524 (ATP binding); GO:0016301 (kinase activity); GO:0016310 (phosphorylation); GO:0000166 (nucleotide binding); GO:0016740 (transferase activity); GO:0005739 (mitochondrion); GO:0005829 (cytosol); GO:0005975 (carbohydrate metabolic process); GO:0006096 (glycolytic process); GO:0019318 (hexose metabolic process); GO:0016773 (phosphotransferase activity, alcohol group as acceptor); GO:0046835 (carbohydrate phosphorylation); GO:0001678 (cellular glucose homeostasis); GO:0004340 (glucokinase activity); GO:0004396 (hexokinase activity); GO:0005536 (glucose binding); GO:0008865 (fructokinase activity); GO:0019158 (mannokinase activity); GO:0051156 (glucose 6-phosphate metabolic process)</t>
  </si>
  <si>
    <t xml:space="preserve">E3 ubiquitin-protein ligase hrd-1 </t>
  </si>
  <si>
    <t>GO:0000836 (Hrd1p ubiquitin ligase complex); GO:0030433 (ubiquitin-dependent ERAD pathway); GO:0061630 (ubiquitin protein ligase activity); GO:0016567 (protein ubiquitination)</t>
  </si>
  <si>
    <t>GO:0016787 (hydrolase activity); GO:0006753 (nucleoside phosphate metabolic process); GO:0019693 (ribose phosphate metabolic process); GO:0008768 (UDP-sugar diphosphatase activity)</t>
  </si>
  <si>
    <t xml:space="preserve">Dietary restriction down regulated </t>
  </si>
  <si>
    <t xml:space="preserve">Cytoplasmic tRNA 2-thiolation protein 1 </t>
  </si>
  <si>
    <t>GO:0008033 (tRNA processing); GO:0034227 (tRNA thio-modification); GO:0002098 (tRNA wobble uridine modification); GO:0000049 (tRNA binding)</t>
  </si>
  <si>
    <t>GO:0016020 (membrane); GO:0016021 (integral component of membrane); GO:0005246 (calcium channel regulator activity)</t>
  </si>
  <si>
    <t xml:space="preserve">E2F-like (Mammalian transcription factor) </t>
  </si>
  <si>
    <t>GO:0005667 (transcription regulator complex); GO:0003700 (DNA-binding transcription factor activity); GO:0006355 (regulation of transcription, DNA-templated); GO:0005634 (nucleus); GO:0003677 (DNA binding); GO:0006357 (regulation of transcription by RNA polymerase II); GO:0000978 (RNA polymerase II cis-regulatory region sequence-specific DNA binding)</t>
  </si>
  <si>
    <t xml:space="preserve">DYnein Light chain, Axonemal p28 type </t>
  </si>
  <si>
    <t>GO:0045504 (dynein heavy chain binding); GO:0005930 (axoneme); GO:0030175 (filopodium)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</si>
  <si>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GO:0005515 (protein binding); GO:0000978 (RNA polymerase II cis-regulatory region sequence-specific DNA binding); GO:0006357 (regulation of transcription by RNA polymerase II); GO:0030154 (cell differentiation); GO:0048856 (anatomical structure development)</t>
  </si>
  <si>
    <t>GO:0120009 (intermembrane lipid transfer); GO:0120013 (lipid transfer activity); GO:0005737 (cytoplasm)</t>
  </si>
  <si>
    <t>GO:0016020 (membrane); GO:0016021 (integral component of membrane); GO:0060271 (cilium assembly); GO:0035869 (ciliary transition zone); GO:0036038 (MKS complex); GO:1905515 (non-motile cilium assembly)</t>
  </si>
  <si>
    <t xml:space="preserve">TRP (Transient receptor potential) channel family </t>
  </si>
  <si>
    <t>GO:0016020 (membrane); GO:0016021 (integral component of membrane); GO:0005216 (ion channel activity); GO:0006811 (ion transport); GO:0055085 (transmembrane transport); GO:0070588 (calcium ion transmembrane transport); GO:0005262 (calcium channel activity); GO:0005515 (protein binding)</t>
  </si>
  <si>
    <t xml:space="preserve">Choline O-acetyltransferase </t>
  </si>
  <si>
    <t>GO:0016746 (transferase activity, transferring acyl groups)</t>
  </si>
  <si>
    <t xml:space="preserve">Queuine tRNA-ribosyltransferase catalytic subunit </t>
  </si>
  <si>
    <t>GO:0046872 (metal ion binding); GO:0016740 (transferase activity); GO:0005737 (cytoplasm); GO:0016757 (transferase activity, transferring glycosyl groups); GO:0008033 (tRNA processing); GO:0006400 (tRNA modification); GO:0016763 (transferase activity, transferring pentosyl groups); GO:0008479 (queuine tRNA-ribosyltransferase activity); GO:0101030 (tRNA-guanine transglycosylation)</t>
  </si>
  <si>
    <t>GO:0016020 (membrane); GO:0016021 (integral component of membrane); GO:0038023 (signaling receptor activity)</t>
  </si>
  <si>
    <t xml:space="preserve">Nuclear hormone receptor family member nhr-97 </t>
  </si>
  <si>
    <t xml:space="preserve">MeDiaTor </t>
  </si>
  <si>
    <t xml:space="preserve">CLArinet, functional homolog of cytomatrix at the active zone proteins piccolo and fife </t>
  </si>
  <si>
    <t>GO:0005515 (protein binding); GO:0048786 (presynaptic active zone); GO:0007416 (synapse assembly)</t>
  </si>
  <si>
    <t xml:space="preserve">Phosphate carrier protein, mitochondrial </t>
  </si>
  <si>
    <t>GO:0016020 (membrane); GO:0016021 (integral component of membrane); GO:0005739 (mitochondrion); GO:0005743 (mitochondrial inner membrane); GO:0035435 (phosphate ion transmembrane transport); GO:0031305 (integral component of mitochondrial inner membrane); GO:0005315 (inorganic phosphate transmembrane transporter activity); GO:1990547 (mitochondrial phosphate ion transmembrane transport)</t>
  </si>
  <si>
    <t xml:space="preserve">DNA polymerase epsilon catalytic subunit </t>
  </si>
  <si>
    <t>GO:0000166 (nucleotide binding); GO:0003677 (DNA binding); GO:0005634 (nucleus); GO:0046872 (metal ion binding); GO:0016740 (transferase activity); GO:0008270 (zinc ion binding); GO:0003676 (nucleic acid binding); GO:0016779 (nucleotidyltransferase activity); GO:0003887 (DNA-directed DNA polymerase activity); GO:0006260 (DNA replication); GO:0006281 (DNA repair); GO:0090305 (nucleic acid phosphodiester bond hydrolysis); GO:0071897 (DNA biosynthetic process); GO:0000278 (mitotic cell cycle); GO:0006272 (leading strand elongation); GO:0051536 (iron-sulfur cluster binding); GO:0051539 (4 iron, 4 sulfur cluster binding); GO:0006287 (base-excision repair, gap-filling); GO:0006297 (nucleotide-excision repair, DNA gap filling); GO:0008310 (single-stranded DNA 3'-5' exodeoxyribonuclease activity); GO:0008622 (epsilon DNA polymerase complex); GO:0045004 (DNA replication proofreading)</t>
  </si>
  <si>
    <t xml:space="preserve">TransKeTolase homolog </t>
  </si>
  <si>
    <t>GO:0003824 (catalytic activity); GO:0046872 (metal ion binding); GO:0016740 (transferase activity); GO:0030976 (thiamine pyrophosphate binding); GO:0004802 (transketolase activity)</t>
  </si>
  <si>
    <t xml:space="preserve">Probable 5-hydroxyisourate hydrolase ZK697.8 </t>
  </si>
  <si>
    <t>GO:0016787 (hydrolase activity); GO:0006144 (purine nucleobase metabolic process); GO:0033971 (hydroxyisourate hydrolase activity)</t>
  </si>
  <si>
    <t xml:space="preserve">Bardet-Biedl syndrome 1 protein homolog </t>
  </si>
  <si>
    <t xml:space="preserve">Tyrosine-protein phosphatase non-receptor type ptp-2 </t>
  </si>
  <si>
    <t xml:space="preserve">Ectopic P granules protein 2 </t>
  </si>
  <si>
    <t>GO:0005634 (nucleus); GO:0008168 (methyltransferase activity); GO:0001510 (RNA methylation); GO:0009452 (7-methylguanosine RNA capping); GO:0036261 (7-methylguanosine cap hypermethylation); GO:0071164 (RNA trimethylguanosine synthase activity)</t>
  </si>
  <si>
    <t>GO:0003824 (catalytic activity); GO:0009058 (biosynthetic process); GO:0030170 (pyridoxal phosphate binding)</t>
  </si>
  <si>
    <t xml:space="preserve">X-linked retinitis pigmentosa GTPase regulator homolog </t>
  </si>
  <si>
    <t>GO:0050790 (regulation of catalytic activity); GO:0005085 (guanyl-nucleotide exchange factor activity); GO:0045202 (synapse); GO:0030424 (axon); GO:0030517 (negative regulation of axon extension)</t>
  </si>
  <si>
    <t xml:space="preserve">Probable RNA-binding protein EIF1AD </t>
  </si>
  <si>
    <t>GO:0005634 (nucleus); GO:0003723 (RNA binding); GO:0003743 (translation initiation factor activity); GO:0006413 (translational initiation)</t>
  </si>
  <si>
    <t>GO:0043130 (ubiquitin binding); GO:0000813 (ESCRT I complex); GO:0043162 (ubiquitin-dependent protein catabolic process via the multivesicular body sorting pathway); GO:0005515 (protein binding)</t>
  </si>
  <si>
    <t xml:space="preserve">AcTiniN </t>
  </si>
  <si>
    <t>GO:0005509 (calcium ion binding); GO:0046872 (metal ion binding); GO:0005515 (protein binding); GO:0003779 (actin binding); GO:0055120 (striated muscle dense body); GO:0005865 (striated muscle thin filament); GO:0097433 (dense body)</t>
  </si>
  <si>
    <t>GO:0016020 (membrane); GO:0016021 (integral component of membrane); GO:0005739 (mitochondrion); GO:0007005 (mitochondrion organization); GO:0042981 (regulation of apoptotic process)</t>
  </si>
  <si>
    <t>GO:0006644 (phospholipid metabolic process); GO:0004620 (phospholipase activity); GO:0016020 (membrane); GO:0016021 (integral component of membrane)</t>
  </si>
  <si>
    <t xml:space="preserve">CHE-14 protein </t>
  </si>
  <si>
    <t>GO:0016020 (membrane); GO:0016021 (integral component of membrane); GO:0016324 (apical plasma membrane)</t>
  </si>
  <si>
    <t xml:space="preserve">VAB-10B protein </t>
  </si>
  <si>
    <t>GO:0005856 (cytoskeleton); GO:0005737 (cytoplasm); GO:0016020 (membrane); GO:0005198 (structural molecule activity); GO:0030056 (hemidesmosome); GO:0042060 (wound healing); GO:0045104 (intermediate filament cytoskeleton organization); GO:0005882 (intermediate filament); GO:0031122 (cytoplasmic microtubule organization); GO:0051015 (actin filament binding); GO:0016324 (apical plasma membrane); GO:0043229 (intracellular organelle); GO:0009925 (basal plasma membrane); GO:0005515 (protein binding); GO:0008017 (microtubule binding); GO:0048730 (epidermis morphogenesis); GO:0003779 (actin binding); GO:0005874 (microtubule); GO:0042995 (cell projection)</t>
  </si>
  <si>
    <t xml:space="preserve">Nicalin </t>
  </si>
  <si>
    <t>GO:0009966 (regulation of signal transduction); GO:0016020 (membrane); GO:0016021 (integral component of membrane); GO:0005789 (endoplasmic reticulum membrane); GO:0005515 (protein binding); GO:0005783 (endoplasmic reticulum); GO:0065003 (protein-containing complex assembly); GO:0090313 (regulation of protein targeting to membrane)</t>
  </si>
  <si>
    <t>GO:0005524 (ATP binding); GO:0005743 (mitochondrial inner membrane); GO:0000166 (nucleotide binding); GO:0016887 (ATPase activity); GO:0019901 (protein kinase binding); GO:0051082 (unfolded protein binding); GO:0006457 (protein folding)</t>
  </si>
  <si>
    <t xml:space="preserve">Probable splicing factor, arginine/serine-rich 5 </t>
  </si>
  <si>
    <t>GO:0005634 (nucleus); GO:0000398 (mRNA splicing, via spliceosome); GO:0003723 (RNA binding); GO:0003676 (nucleic acid binding); GO:0016607 (nuclear speck); GO:0003729 (mRNA binding); GO:0006397 (mRNA processing); GO:0008380 (RNA splicing); GO:0030154 (cell differentiation); GO:0007548 (sex differentiation)</t>
  </si>
  <si>
    <t xml:space="preserve">Putative transporter svop-1 </t>
  </si>
  <si>
    <t>GO:0005654 (nucleoplasm)</t>
  </si>
  <si>
    <t>GO:0016020 (membrane); GO:0016021 (integral component of membrane); GO:0005743 (mitochondrial inner membrane); GO:0016491 (oxidoreductase activity); GO:0042574 (retinal metabolic process); GO:0042572 (retinol metabolic process); GO:0055114 (oxidation-reduction process); GO:0052650 (NADP-retinol dehydrogenase activity)</t>
  </si>
  <si>
    <t xml:space="preserve">RING finger protein 121 </t>
  </si>
  <si>
    <t>GO:0016020 (membrane); GO:0016021 (integral component of membrane); GO:0046872 (metal ion binding); GO:0061630 (ubiquitin protein ligase activity); GO:0005789 (endoplasmic reticulum membrane); GO:0016567 (protein ubiquitination); GO:0030433 (ubiquitin-dependent ERAD pathway); GO:0000139 (Golgi membrane); GO:0030968 (endoplasmic reticulum unfolded protein response); GO:0040039 (inductive cell migration); GO:0033017 (sarcoplasmic reticulum membrane)</t>
  </si>
  <si>
    <t>GO:0016020 (membrane); GO:0016021 (integral component of membrane); GO:0005634 (nucleus); GO:0000209 (protein polyubiquitination); GO:0030433 (ubiquitin-dependent ERAD pathway); GO:0061631 (ubiquitin conjugating enzyme activity)</t>
  </si>
  <si>
    <t xml:space="preserve">CKA And Striatin Homolog </t>
  </si>
  <si>
    <t>GO:0016020 (membrane); GO:0005516 (calmodulin binding); GO:0043547 (positive regulation of GTPase activity); GO:0060562 (epithelial tube morphogenesis); GO:1903358 (regulation of Golgi organization); GO:2001137 (positive regulation of endocytic recycling); GO:0005515 (protein binding)</t>
  </si>
  <si>
    <t xml:space="preserve">SLOwpoke potassium channel family </t>
  </si>
  <si>
    <t>GO:0016020 (membrane); GO:0016021 (integral component of membrane); GO:0005886 (plasma membrane); GO:0006811 (ion transport); GO:0005267 (potassium channel activity); GO:0006813 (potassium ion transport); GO:0071805 (potassium ion transmembrane transport); GO:0005228 (intracellular sodium activated potassium channel activity); GO:0015271 (outward rectifier potassium channel activity); GO:0030424 (axon); GO:0015269 (calcium-activated potassium channel activity); GO:0001956 (positive regulation of neurotransmitter secretion)</t>
  </si>
  <si>
    <t xml:space="preserve">Guanine nucleotide-binding protein alpha-10 subunit </t>
  </si>
  <si>
    <t xml:space="preserve">Nuclear pore complex protein 5 </t>
  </si>
  <si>
    <t>GO:0005643 (nuclear pore); GO:0017056 (structural constituent of nuclear pore)</t>
  </si>
  <si>
    <t xml:space="preserve">HIstidiNe Triad nucleotide-binding protein </t>
  </si>
  <si>
    <t>GO:0003824 (catalytic activity); GO:0016020 (membrane); GO:0016021 (integral component of membrane)</t>
  </si>
  <si>
    <t xml:space="preserve">Chromosome segregation and cytokinesis defective protein 1 </t>
  </si>
  <si>
    <t xml:space="preserve">CHiTinase </t>
  </si>
  <si>
    <t>GO:0008152 (metabolic process); GO:0016787 (hydrolase activity); GO:0016798 (hydrolase activity, acting on glycosyl bonds); GO:0008061 (chitin binding); GO:0005975 (carbohydrate metabolic process); GO:0004553 (hydrolase activity, hydrolyzing O-glycosyl compounds); GO:0005576 (extracellular region); GO:0004568 (chitinase activity); GO:0006032 (chitin catabolic process)</t>
  </si>
  <si>
    <t xml:space="preserve">D-aspartate oxidase 1 </t>
  </si>
  <si>
    <t>GO:0046416 (D-amino acid metabolic process); GO:0003884 (D-amino-acid oxidase activity); GO:0071949 (FAD binding); GO:0016491 (oxidoreductase activity); GO:0055114 (oxidation-reduction process); GO:0008445 (D-aspartate oxidase activity); GO:0047821 (D-glutamate oxidase activity)</t>
  </si>
  <si>
    <t xml:space="preserve">Histone H3 </t>
  </si>
  <si>
    <t xml:space="preserve">MAGUK family </t>
  </si>
  <si>
    <t>GO:0016301 (kinase activity); GO:0016310 (phosphorylation); GO:0005515 (protein binding)</t>
  </si>
  <si>
    <t>GO:0003676 (nucleic acid binding); GO:0000776 (kinetochore)</t>
  </si>
  <si>
    <t>GO:0003824 (catalytic activity); GO:0030170 (pyridoxal phosphate binding); GO:0030151 (molybdenum ion binding)</t>
  </si>
  <si>
    <t>GO:0003677 (DNA binding); GO:0005634 (nucleus); GO:0000977 (RNA polymerase II transcription regulatory region sequence-specific DNA binding); GO:0000981 (DNA-binding transcription factor activity, RNA polymerase II-specific); GO:0006357 (regulation of transcription by RNA polymerase II)</t>
  </si>
  <si>
    <t xml:space="preserve">RNA-binding protein pno-1 </t>
  </si>
  <si>
    <t>Multifunctional procollagen lysine hydroxylase and glycosyltransferase Procollagen-lysine,2-oxoglutarate 5-dioxygenase Procollagen glycosyltransferase</t>
  </si>
  <si>
    <t>GO:0031418 (L-ascorbic acid binding); GO:0016705 (oxidoreductase activity, acting on paired donors, with incorporation or reduction of molecular oxygen); GO:0005506 (iron ion binding); GO:0008475 (procollagen-lysine 5-dioxygenase activity); GO:0016491 (oxidoreductase activity); GO:0055114 (oxidation-reduction process)</t>
  </si>
  <si>
    <t>GO:0005634 (nucleus); GO:0003729 (mRNA binding); GO:0035196 (production of miRNAs involved in gene silencing by miRNA); GO:0005515 (protein binding)</t>
  </si>
  <si>
    <t>GO:0003824 (catalytic activity); GO:0010181 (FMN binding); GO:0015937 (coenzyme A biosynthetic process); GO:0004633 (phosphopantothenoylcysteine decarboxylase activity); GO:0071513 (phosphopantothenoylcysteine decarboxylase complex)</t>
  </si>
  <si>
    <t xml:space="preserve">Uncharacterized tRNA-dihydrouridine synthase-like protein C45G9.2 </t>
  </si>
  <si>
    <t>GO:0003824 (catalytic activity); GO:0016491 (oxidoreductase activity); GO:0050660 (flavin adenine dinucleotide binding); GO:0008033 (tRNA processing); GO:0002943 (tRNA dihydrouridine synthesis); GO:0017150 (tRNA dihydrouridine synthase activity); GO:0055114 (oxidation-reduction process)</t>
  </si>
  <si>
    <t>GO:0005737 (cytoplasm); GO:0005739 (mitochondrion); GO:0006464 (cellular protein modification process); GO:0009249 (protein lipoylation); GO:0017118 (lipoyltransferase activity)</t>
  </si>
  <si>
    <t xml:space="preserve">Multisubstrate adapter protein soc-1 </t>
  </si>
  <si>
    <t>GO:0040024 (dauer larval development)</t>
  </si>
  <si>
    <t xml:space="preserve">Serpentine Receptor, class M </t>
  </si>
  <si>
    <t xml:space="preserve">Crescerin-like protein che-12 </t>
  </si>
  <si>
    <t xml:space="preserve">CholecystoKinin Receptor homolog </t>
  </si>
  <si>
    <t>GO:0016020 (membrane); GO:0016021 (integral component of membrane); GO:0005886 (plasma membrane); GO:0004930 (G protein-coupled receptor activity); GO:0007165 (signal transduction); GO:0007186 (G protein-coupled receptor signaling pathway); GO:0008340 (determination of adult lifespan)</t>
  </si>
  <si>
    <t>GO:0016020 (membrane); GO:0016021 (integral component of membrane); GO:0005887 (integral component of plasma membrane); GO:0022841 (potassium ion leak channel activity); GO:0030322 (stabilization of membrane potential); GO:0071805 (potassium ion transmembrane transport)</t>
  </si>
  <si>
    <t xml:space="preserve">GEI-4 (Four) Interacting protein </t>
  </si>
  <si>
    <t>GO:0005886 (plasma membrane); GO:0050790 (regulation of catalytic activity); GO:0019888 (protein phosphatase regulator activity); GO:0043666 (regulation of phosphoprotein phosphatase activity); GO:0008157 (protein phosphatase 1 binding); GO:0005515 (protein binding); GO:0017020 (myosin phosphatase regulator activity); GO:0035304 (regulation of protein dephosphorylation)</t>
  </si>
  <si>
    <t xml:space="preserve">Dynamin-related protein </t>
  </si>
  <si>
    <t>GO:0003924 (GTPase activity); GO:0005525 (GTP binding); GO:0005737 (cytoplasm); GO:0016787 (hydrolase activity); GO:0000166 (nucleotide binding); GO:0016020 (membrane); GO:0008017 (microtubule binding); GO:0000266 (mitochondrial fission); GO:0031966 (mitochondrial membrane); GO:0043653 (mitochondrial fragmentation involved in apoptotic process); GO:0048312 (intracellular distribution of mitochondria); GO:0061025 (membrane fusion); GO:1903146 (regulation of autophagy of mitochondrion); GO:0005739 (mitochondrion); GO:0006915 (apoptotic process); GO:0008637 (apoptotic mitochondrial changes); GO:0003374 (dynamin family protein polymerization involved in mitochondrial fission); GO:0009792 (embryo development ending in birth or egg hatching)</t>
  </si>
  <si>
    <t>GO:0005737 (cytoplasm); GO:0045504 (dynein heavy chain binding); GO:0043014 (alpha-tubulin binding); GO:0036158 (outer dynein arm assembly); GO:0005515 (protein binding)</t>
  </si>
  <si>
    <t xml:space="preserve">ELL Associated Factor homolog </t>
  </si>
  <si>
    <t>GO:0005634 (nucleus); GO:0006355 (regulation of transcription, DNA-templated); GO:0032783 (super elongation complex)</t>
  </si>
  <si>
    <t>GO:0003824 (catalytic activity); GO:0005739 (mitochondrion)</t>
  </si>
  <si>
    <t>GO:0003924 (GTPase activity); GO:0005525 (GTP binding); GO:0000166 (nucleotide binding); GO:0005739 (mitochondrion); GO:0042254 (ribosome biogenesis)</t>
  </si>
  <si>
    <t xml:space="preserve">ORC (Origin Recognition Complex) subunit </t>
  </si>
  <si>
    <t xml:space="preserve">Receptor-type guanylate cyclase gcy-20 </t>
  </si>
  <si>
    <t xml:space="preserve">T-complex protein 1 subunit eta </t>
  </si>
  <si>
    <t>GO:0016020 (membrane); GO:0016021 (integral component of membrane); GO:0006886 (intracellular protein transport); GO:0005739 (mitochondrion); GO:0030150 (protein import into mitochondrial matrix); GO:0008320 (protein transmembrane transporter activity); GO:0005741 (mitochondrial outer membrane); GO:0031307 (integral component of mitochondrial outer membrane); GO:0005742 (mitochondrial outer membrane translocase complex); GO:0006605 (protein targeting); GO:0016031 (tRNA import into mitochondrion); GO:0030943 (mitochondrion targeting sequence binding)</t>
  </si>
  <si>
    <t xml:space="preserve">Uncharacterized WD repeat-containing protein F47D12.9 </t>
  </si>
  <si>
    <t>GO:0010951 (negative regulation of endopeptidase activity); GO:0004869 (cysteine-type endopeptidase inhibitor activity)</t>
  </si>
  <si>
    <t>GO:0005515 (protein binding); GO:0006914 (autophagy)</t>
  </si>
  <si>
    <t xml:space="preserve">DAChsund transcription factor homolog </t>
  </si>
  <si>
    <t>GO:0005634 (nucleus); GO:0000978 (RNA polymerase II cis-regulatory region sequence-specific DNA binding); GO:0005667 (transcription regulator complex); GO:0000981 (DNA-binding transcription factor activity, RNA polymerase II-specific); GO:0006357 (regulation of transcription by RNA polymerase II)</t>
  </si>
  <si>
    <t>GO:0042395 (ecdysis, collagen and cuticulin-based cuticle); GO:0005515 (protein binding)</t>
  </si>
  <si>
    <t xml:space="preserve">Discoidin domain-containing receptor A </t>
  </si>
  <si>
    <t>GO:0016020 (membrane); GO:0016021 (integral component of membrane); GO:0005524 (ATP binding); GO:0042626 (ATPase-coupled transmembrane transporter activity); GO:0000166 (nucleotide binding); GO:0022857 (transmembrane transporter activity); GO:0055085 (transmembrane transport); GO:0016887 (ATPase activity)</t>
  </si>
  <si>
    <t xml:space="preserve">Potassium voltage-gated channel unc-103 </t>
  </si>
  <si>
    <t>GO:0016020 (membrane); GO:0016021 (integral component of membrane); GO:0005216 (ion channel activity); GO:0005886 (plasma membrane); GO:0006811 (ion transport); GO:0042391 (regulation of membrane potential); GO:0055085 (transmembrane transport); GO:0005887 (integral component of plasma membrane);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GO:0046662 (regulation of oviposition); GO:0007617 (mating behavior); GO:0006937 (regulation of muscle contraction)</t>
  </si>
  <si>
    <t xml:space="preserve">Homogentisate 1,2-dioxygenase </t>
  </si>
  <si>
    <t>GO:0006570 (tyrosine metabolic process); GO:0006559 (L-phenylalanine catabolic process); GO:0004411 (homogentisate 1,2-dioxygenase activity); GO:0055114 (oxidation-reduction process)</t>
  </si>
  <si>
    <t>GO:0005096 (GTPase activator activity); GO:0006886 (intracellular protein transport); GO:0090630 (activation of GTPase activity); GO:0005794 (Golgi apparatus)</t>
  </si>
  <si>
    <t xml:space="preserve">N-alpha-acetyltransferase daf-31 </t>
  </si>
  <si>
    <t>GO:0008080 (N-acetyltransferase activity)</t>
  </si>
  <si>
    <t xml:space="preserve">UPF0160 protein C27H6.8 </t>
  </si>
  <si>
    <t xml:space="preserve">Membrane Associated Acyl-CoA binding protein </t>
  </si>
  <si>
    <t>GO:0000062 (fatty-acyl-CoA binding); GO:0032456 (endocytic recycling); GO:0045178 (basal part of cell); GO:0045177 (apical part of cell); GO:0007032 (endosome organization); GO:0055038 (recycling endosome membrane); GO:0016021 (integral component of membrane); GO:0032504 (multicellular organism reproduction); GO:0030173 (integral component of Golgi membrane); GO:0031303 (integral component of endosome membrane)</t>
  </si>
  <si>
    <t>GO:0005634 (nucleus); GO:0046872 (metal ion binding); GO:0051213 (dioxygenase activity); GO:0006357 (regulation of transcription by RNA polymerase II); GO:0006325 (chromatin organization); GO:0003712 (transcription coregulator activity); GO:0006482 (protein demethylation); GO:0032452 (histone demethylase activity); GO:0016577 (histone demethylation)</t>
  </si>
  <si>
    <t xml:space="preserve">Glutamate dehydrogenase </t>
  </si>
  <si>
    <t>GO:0000166 (nucleotide binding); GO:0005739 (mitochondrion); GO:0016491 (oxidoreductase activity); GO:0006520 (cellular amino acid metabolic process); GO:0016639 (oxidoreductase activity, acting on the CH-NH2 group of donors, NAD or NADP as acceptor); GO:0004352 (glutamate dehydrogenase (NAD+) activity); GO:0006538 (glutamate catabolic process); GO:0055114 (oxidation-reduction process); GO:0004353 (glutamate dehydrogenase [NAD(P)+] activity); GO:0004354 (glutamate dehydrogenase (NADP+) activity)</t>
  </si>
  <si>
    <t xml:space="preserve">Serpentine receptor class gamma-31 </t>
  </si>
  <si>
    <t xml:space="preserve">Nuclear hormone receptor family member nhr-44 </t>
  </si>
  <si>
    <t>GO:0016020 (membrane); GO:0016021 (integral component of membrane); GO:0005886 (plasma membrane); GO:0006811 (ion transport); GO:0055085 (transmembrane transport); GO:0005887 (integral component of plasma membrane); GO:0015347 (sodium-independent organic anion transmembrane transporter activity); GO:0043252 (sodium-independent organic anion transport); GO:0005515 (protein binding)</t>
  </si>
  <si>
    <t xml:space="preserve">KiDINs220 (Vertebrate scaffold protein) homolog </t>
  </si>
  <si>
    <t>GO:0016020 (membrane); GO:0016021 (integral component of membrane); GO:0019887 (protein kinase regulator activity); GO:0030165 (PDZ domain binding); GO:0045859 (regulation of protein kinase activity); GO:0005515 (protein binding)</t>
  </si>
  <si>
    <t xml:space="preserve">GTPase Activating Protein family </t>
  </si>
  <si>
    <t>GO:0007165 (signal transduction); GO:0007635 (chemosensory behavior); GO:0007616 (long-term memory); GO:0008306 (associative learning); GO:0007614 (short-term memory); GO:0043409 (negative regulation of MAPK cascade); GO:0005515 (protein binding)</t>
  </si>
  <si>
    <t>GO:0046872 (metal ion binding); GO:0008270 (zinc ion binding); GO:0003676 (nucleic acid binding)</t>
  </si>
  <si>
    <t xml:space="preserve">Fatty acid-binding protein homolog 9 </t>
  </si>
  <si>
    <t>GO:0005730 (nucleolus); GO:0006364 (rRNA processing); GO:0042254 (ribosome biogenesis); GO:0032040 (small-subunit processome); GO:0070181 (small ribosomal subunit rRNA binding)</t>
  </si>
  <si>
    <t xml:space="preserve">Inositol monophosphatase ttx-7 </t>
  </si>
  <si>
    <t>GO:0008934 (inositol monophosphate 1-phosphatase activity); GO:0046854 (phosphatidylinositol phosphorylation); GO:0046855 (inositol phosphate dephosphorylation)</t>
  </si>
  <si>
    <t xml:space="preserve">IG (Immunoglobulin), EGF and transmmembrane domain </t>
  </si>
  <si>
    <t>GO:0003677 (DNA binding); GO:0005634 (nucleus); GO:0006260 (DNA replication); GO:0003688 (DNA replication origin binding); GO:0005664 (nuclear origin of replication recognition complex); GO:0006270 (DNA replication initiation); GO:0000808 (origin recognition complex)</t>
  </si>
  <si>
    <t>GO:0043161 (proteasome-mediated ubiquitin-dependent protein catabolic process); GO:0008237 (metallopeptidase activity); GO:0005515 (protein binding); GO:0000502 (proteasome complex); GO:0005838 (proteasome regulatory particle); GO:0070122 (isopeptidase activity)</t>
  </si>
  <si>
    <t xml:space="preserve">Actin-Related Proteins </t>
  </si>
  <si>
    <t>GO:0005737 (cytoplasm); GO:0005856 (cytoskeleton); GO:0007018 (microtubule-based movement); GO:1904115 (axon cytoplasm); GO:0005869 (dynactin complex); GO:0098958 (retrograde axonal transport of mitochondrion)</t>
  </si>
  <si>
    <t>GO:0000244 (spliceosomal tri-snRNP complex assembly)</t>
  </si>
  <si>
    <t>GO:0098793 (presynapse); GO:0006937 (regulation of muscle contraction); GO:2000294 (positive regulation of defecation); GO:0040017 (positive regulation of locomotion); GO:0030042 (actin filament depolymerization); GO:1905808 (positive regulation of synapse pruning); GO:0050807 (regulation of synapse organization); GO:0051646 (mitochondrion localization); GO:1905386 (positive regulation of protein localization to presynapse); GO:0045202 (synapse); GO:0005739 (mitochondrion); GO:0003674 (molecular_function); GO:1990504 (dense core granule exocytosis); GO:0061544 (peptide secretion, neurotransmission)</t>
  </si>
  <si>
    <t>GO:0005634 (nucleus); GO:0046872 (metal ion binding); GO:0003677 (DNA binding); GO:0006355 (regulation of transcription, DNA-templated); GO:0008623 (CHRAC); GO:0016590 (ACF complex); GO:0005515 (protein binding)</t>
  </si>
  <si>
    <t xml:space="preserve">MAX-like-1 homolog; MaX-Like </t>
  </si>
  <si>
    <t>GO:0005634 (nucleus); GO:0003700 (DNA-binding transcription factor activity); GO:0006355 (regulation of transcription, DNA-templated); GO:0003677 (DNA binding); GO:0045944 (positive regulation of transcription by RNA polymerase II); GO:0090575 (RNA polymerase II transcription regulator complex); GO:0046983 (protein dimerization activity); GO:0046982 (protein heterodimerization activity); GO:0005515 (protein binding); GO:0006357 (regulation of transcription by RNA polymerase II); GO:0071339 (MLL1 complex); GO:0019904 (protein domain specific binding); GO:0043565 (sequence-specific DNA binding); GO:0008340 (determination of adult lifespan); GO:0005667 (transcription regulator complex); GO:1990837 (sequence-specific double-stranded DNA binding)</t>
  </si>
  <si>
    <t xml:space="preserve">Conserved Oligomeric Golgi (COG) Component </t>
  </si>
  <si>
    <t>GO:0016020 (membrane); GO:0005794 (Golgi apparatus); GO:0006886 (intracellular protein transport); GO:0015031 (protein transport); GO:0006891 (intra-Golgi vesicle-mediated transport); GO:0007030 (Golgi organization); GO:0005801 (cis-Golgi network); GO:0017119 (Golgi transport complex); GO:0005783 (endoplasmic reticulum); GO:0030334 (regulation of cell migration); GO:0035262 (gonad morphogenesis)</t>
  </si>
  <si>
    <t xml:space="preserve">Farnesyl DiPhosphate Synthetase </t>
  </si>
  <si>
    <t>GO:0005737 (cytoplasm); GO:0016740 (transferase activity); GO:0008299 (isoprenoid biosynthetic process); GO:0016765 (transferase activity, transferring alkyl or aryl (other than methyl) groups); GO:0004161 (dimethylallyltranstransferase activity); GO:0004337 (geranyltranstransferase activity); GO:0045337 (farnesyl diphosphate biosynthetic process)</t>
  </si>
  <si>
    <t>GO:0005730 (nucleolus); GO:0005634 (nucleus); GO:0000462 (maturation of SSU-rRNA from tricistronic rRNA transcript (SSU-rRNA, 5.8S rRNA, LSU-rRNA)); GO:0032040 (small-subunit processome); GO:0019843 (rRNA binding); GO:0034511 (U3 snoRNA binding)</t>
  </si>
  <si>
    <t xml:space="preserve">Serpentine Receptor, class XA </t>
  </si>
  <si>
    <t>GO:0007275 (multicellular organism development)</t>
  </si>
  <si>
    <t xml:space="preserve">Axon STeering defect </t>
  </si>
  <si>
    <t>GO:0005634 (nucleus); GO:0003700 (DNA-binding transcription factor activity); GO:0006355 (regulation of transcription, DNA-templated); GO:0043565 (sequence-specific DNA binding); GO:0003677 (DNA binding); GO:0000981 (DNA-binding transcription factor activity, RNA polymerase II-specific); GO:0006357 (regulation of transcription by RNA polymerase II); GO:0030154 (cell differentiation); GO:0048664 (neuron fate determination); GO:0045944 (positive regulation of transcription by RNA polymerase II); GO:0071542 (dopaminergic neuron differentiation); GO:0110037 (regulation of nematode male tail tip morphogenesis)</t>
  </si>
  <si>
    <t xml:space="preserve">FRL (Formin Related gene in Leukocytes) homolog </t>
  </si>
  <si>
    <t>GO:0003779 (actin binding); GO:0007010 (cytoskeleton organization); GO:0005829 (cytosol); GO:0016043 (cellular component organization); GO:0016477 (cell migration); GO:0051015 (actin filament binding); GO:0030036 (actin cytoskeleton organization); GO:0030866 (cortical actin cytoskeleton organization); GO:0008360 (regulation of cell shape); GO:0022604 (regulation of cell morphogenesis); GO:0031267 (small GTPase binding)</t>
  </si>
  <si>
    <t xml:space="preserve">Low-density lipoprotein RecePtor related </t>
  </si>
  <si>
    <t>GO:0016020 (membrane); GO:0016021 (integral component of membrane); GO:0006897 (endocytosis); GO:0005515 (protein binding); GO:0030334 (regulation of cell migration)</t>
  </si>
  <si>
    <t xml:space="preserve">COP9 signalosome complex subunit 5 </t>
  </si>
  <si>
    <t>GO:0008180 (COP9 signalosome); GO:0004222 (metalloendopeptidase activity); GO:0070122 (isopeptidase activity); GO:0008237 (metallopeptidase activity); GO:0005515 (protein binding)</t>
  </si>
  <si>
    <t>GO:0008033 (tRNA processing); GO:0000172 (ribonuclease MRP complex); GO:0005655 (nucleolar ribonuclease P complex); GO:0090502 (RNA phosphodiester bond hydrolysis, endonucleolytic); GO:0001682 (tRNA 5'-leader removal)</t>
  </si>
  <si>
    <t xml:space="preserve">Cyclin-dependent kinases regulatory subunit </t>
  </si>
  <si>
    <t>GO:0016538 (cyclin-dependent protein serine/threonine kinase regulator activity)</t>
  </si>
  <si>
    <t xml:space="preserve">Beta-Carotene 15,15'-MonoOxygenase </t>
  </si>
  <si>
    <t>GO:0046872 (metal ion binding); GO:0004497 (monooxygenase activity); GO:0010436 (carotenoid dioxygenase activity); GO:0016121 (carotene catabolic process); GO:0016702 (oxidoreductase activity, acting on single donors with incorporation of molecular oxygen, incorporation of two atoms of oxygen); GO:0055114 (oxidation-reduction process)</t>
  </si>
  <si>
    <t>GO:0016491 (oxidoreductase activity); GO:0051213 (dioxygenase activity); GO:0055114 (oxidation-reduction process)</t>
  </si>
  <si>
    <t xml:space="preserve">Deoxyhypusine synthase </t>
  </si>
  <si>
    <t>GO:0008612 (peptidyl-lysine modification to peptidyl-hypusine)</t>
  </si>
  <si>
    <t>GO:0016020 (membrane); GO:0016021 (integral component of membrane); GO:0005794 (Golgi apparatus); GO:0005739 (mitochondrion)</t>
  </si>
  <si>
    <t xml:space="preserve">Anillin-like protein 1 </t>
  </si>
  <si>
    <t xml:space="preserve">LMBR1 domain-containing protein 2 homolog </t>
  </si>
  <si>
    <t>GO:0005085 (guanyl-nucleotide exchange factor activity); GO:0050790 (regulation of catalytic activity); GO:0032012 (regulation of ARF protein signal transduction); GO:0005515 (protein binding)</t>
  </si>
  <si>
    <t>GO:0005634 (nucleus); GO:0005829 (cytosol); GO:0004197 (cysteine-type endopeptidase activity); GO:0016579 (protein deubiquitination); GO:0004843 (thiol-dependent ubiquitin-specific protease activity)</t>
  </si>
  <si>
    <t xml:space="preserve">Malate dehydrogenase </t>
  </si>
  <si>
    <t>GO:0003824 (catalytic activity); GO:0016491 (oxidoreductase activity); GO:0005829 (cytosol); GO:0005975 (carbohydrate metabolic process); GO:0016616 (oxidoreductase activity, acting on the CH-OH group of donors, NAD or NADP as acceptor); GO:0019752 (carboxylic acid metabolic process); GO:0006099 (tricarboxylic acid cycle); GO:0006108 (malate metabolic process); GO:0016615 (malate dehydrogenase activity); GO:0030060 (L-malate dehydrogenase activity); GO:0006734 (NADH metabolic process); GO:0006107 (oxaloacetate metabolic process); GO:0055114 (oxidation-reduction process)</t>
  </si>
  <si>
    <t xml:space="preserve">Homeobox protein ceh-34 </t>
  </si>
  <si>
    <t xml:space="preserve">High voltage activated calcium channel alpha-1 subunit </t>
  </si>
  <si>
    <t>GO:0016020 (membrane); GO:0016021 (integral component of membrane); GO:0005509 (calcium ion binding); GO:0005216 (ion channel activity); GO:0006811 (ion transport); GO:0046872 (metal ion binding); GO:0055085 (transmembrane transport); GO:0007268 (chemical synaptic transmission); GO:0005245 (voltage-gated calcium channel activity); GO:0005891 (voltage-gated calcium channel complex); GO:0070588 (calcium ion transmembrane transport); GO:0006816 (calcium ion transport); GO:0005244 (voltage-gated ion channel activity); GO:0005262 (calcium channel activity); GO:0034765 (regulation of ion transmembrane transport); GO:0070509 (calcium ion import); GO:0005886 (plasma membrane); GO:0005261 (cation channel activity); GO:0035545 (determination of left/right asymmetry in nervous system); GO:0009408 (response to heat); GO:0007626 (locomotory behavior); GO:0001505 (regulation of neurotransmitter levels); GO:0030512 (negative regulation of transforming growth factor beta receptor signaling pathway); GO:0042594 (response to starvation); GO:0048787 (presynaptic active zone membrane); GO:0045202 (synapse)</t>
  </si>
  <si>
    <t>GO:0005737 (cytoplasm); GO:0006629 (lipid metabolic process); GO:0051015 (actin filament binding); GO:0051017 (actin filament bundle assembly); GO:0005515 (protein binding)</t>
  </si>
  <si>
    <t>GO:0000184 (nuclear-transcribed mRNA catabolic process, nonsense-mediated decay); GO:0003674 (molecular_function); GO:0005737 (cytoplasm); GO:0055120 (striated muscle dense body)</t>
  </si>
  <si>
    <t xml:space="preserve">Intraflagellar transport protein 56 homolog </t>
  </si>
  <si>
    <t xml:space="preserve">Thymidine kinase </t>
  </si>
  <si>
    <t>GO:0005524 (ATP binding); GO:0016301 (kinase activity); GO:0016310 (phosphorylation); GO:0000166 (nucleotide binding); GO:0016740 (transferase activity); GO:0004797 (thymidine kinase activity); GO:0009157 (deoxyribonucleoside monophosphate biosynthetic process); GO:0046104 (thymidine metabolic process); GO:0071897 (DNA biosynthetic process)</t>
  </si>
  <si>
    <t>GO:0006631 (fatty acid metabolic process); GO:0045197 (establishment or maintenance of epithelial cell apical/basal polarity); GO:0031956 (medium-chain fatty acid-CoA ligase activity)</t>
  </si>
  <si>
    <t xml:space="preserve">IMP Homolog </t>
  </si>
  <si>
    <t>GO:0005634 (nucleus); GO:0005737 (cytoplasm); GO:0003723 (RNA binding); GO:0003676 (nucleic acid binding); GO:0005829 (cytosol); GO:0003730 (mRNA 3'-UTR binding); GO:0003729 (mRNA binding); GO:0010468 (regulation of gene expression); GO:0007399 (nervous system development); GO:0051252 (regulation of RNA metabolic process)</t>
  </si>
  <si>
    <t>GO:0005634 (nucleus); GO:0006355 (regulation of transcription, DNA-templated); GO:0003712 (transcription coregulator activity)</t>
  </si>
  <si>
    <t xml:space="preserve">Histone-lysine N-methyltransferase mes-4 </t>
  </si>
  <si>
    <t xml:space="preserve">RAs-related GTP-binding protein A </t>
  </si>
  <si>
    <t>GO:0003924 (GTPase activity); GO:0005525 (GTP binding); GO:0005634 (nucleus); GO:0005764 (lysosome); GO:0009267 (cellular response to starvation); GO:0010506 (regulation of autophagy); GO:0032008 (positive regulation of TOR signaling); GO:0071230 (cellular response to amino acid stimulus); GO:1990131 (Gtr1-Gtr2 GTPase complex); GO:0000166 (nucleotide binding); GO:0008340 (determination of adult lifespan); GO:0071986 (Ragulator complex); GO:0040018 (positive regulation of multicellular organism growth); GO:0032504 (multicellular organism reproduction)</t>
  </si>
  <si>
    <t xml:space="preserve">Glutamyl-tRNA(Gln) amidotransferase subunit B, mitochondrial </t>
  </si>
  <si>
    <t>GO:0003824 (catalytic activity); GO:0000166 (nucleotide binding); GO:0016740 (transferase activity); GO:0016874 (ligase activity); GO:0005739 (mitochondrion); GO:0005524 (ATP binding); GO:0006412 (translation); GO:0032543 (mitochondrial translation); GO:0016884 (carbon-nitrogen ligase activity, with glutamine as amido-N-donor); GO:0030956 (glutamyl-tRNA(Gln) amidotransferase complex); GO:0050567 (glutaminyl-tRNA synthase (glutamine-hydrolyzing) activity); GO:0070681 (glutaminyl-tRNAGln biosynthesis via transamidation)</t>
  </si>
  <si>
    <t xml:space="preserve">t-SNARE protein aex-4 </t>
  </si>
  <si>
    <t xml:space="preserve">Lipoma Hmgic (HMGIC) Fusion Partner-like homolog </t>
  </si>
  <si>
    <t>GO:0016020 (membrane); GO:0016021 (integral component of membrane); GO:0005886 (plasma membrane); GO:0007605 (sensory perception of sound)</t>
  </si>
  <si>
    <t>GO:0016740 (transferase activity); GO:0016746 (transferase activity, transferring acyl groups); GO:0005739 (mitochondrion); GO:0047961 (glycine N-acyltransferase activity); GO:0016410 (N-acyltransferase activity)</t>
  </si>
  <si>
    <t xml:space="preserve">Putative syntaxin-5 </t>
  </si>
  <si>
    <t>GO:0016020 (membrane); GO:0016021 (integral component of membrane); GO:0098793 (presynapse); GO:0006886 (intracellular protein transport); GO:0016192 (vesicle-mediated transport); GO:0006888 (endoplasmic reticulum to Golgi vesicle-mediated transport); GO:0000149 (SNARE binding); GO:0031201 (SNARE complex); GO:0000139 (Golgi membrane); GO:0005484 (SNAP receptor activity); GO:0006906 (vesicle fusion); GO:0006836 (neurotransmitter transport); GO:0012505 (endomembrane system); GO:0048278 (vesicle docking); GO:0016081 (synaptic vesicle docking); GO:0005515 (protein binding)</t>
  </si>
  <si>
    <t>GO:0008017 (microtubule binding); GO:0005813 (centrosome); GO:0030992 (intraciliary transport particle B); GO:0042073 (intraciliary transport); GO:0060271 (cilium assembly); GO:0036064 (ciliary basal body); GO:0008306 (associative learning); GO:0005930 (axoneme); GO:0006935 (chemotaxis); GO:1905515 (non-motile cilium assembly); GO:0006972 (hyperosmotic response); GO:0048609 (multicellular organismal reproductive process); GO:0045184 (establishment of protein localization); GO:0043053 (dauer entry); GO:0055088 (lipid homeostasis); GO:0065003 (protein-containing complex assembly); GO:0070507 (regulation of microtubule cytoskeleton organization)</t>
  </si>
  <si>
    <t>GO:0005515 (protein binding); GO:0006468 (protein phosphorylation); GO:0004672 (protein kinase activity); GO:0000778 (condensed nuclear chromosome kinetochore); GO:0005654 (nucleoplasm); GO:0007094 (mitotic spindle assembly checkpoint); GO:0051726 (regulation of cell cycle); GO:0051754 (meiotic sister chromatid cohesion, centromeric); GO:0005634 (nucleus); GO:0000776 (kinetochore); GO:0034059 (response to anoxia)</t>
  </si>
  <si>
    <t xml:space="preserve">Resistance to inhibitors of cholinesterase protein 3 </t>
  </si>
  <si>
    <t>GO:0016020 (membrane); GO:0016021 (integral component of membrane); GO:0043231 (intracellular membrane-bounded organelle); GO:0043005 (neuron projection); GO:0006937 (regulation of muscle contraction); GO:0043025 (neuronal cell body); GO:0005783 (endoplasmic reticulum); GO:0005789 (endoplasmic reticulum membrane); GO:0034394 (protein localization to cell surface); GO:0007271 (synaptic transmission, cholinergic); GO:0033130 (acetylcholine receptor binding); GO:0032224 (positive regulation of synaptic transmission, cholinergic); GO:0045202 (synapse)</t>
  </si>
  <si>
    <t xml:space="preserve">Ligand-gated ion channel 50 </t>
  </si>
  <si>
    <t xml:space="preserve">Amyloid-beta-like protein </t>
  </si>
  <si>
    <t>GO:0046914 (transition metal ion binding); GO:0008201 (heparin binding); GO:0016021 (integral component of membrane)</t>
  </si>
  <si>
    <t xml:space="preserve">Glycoprotein-N-acetylgalactosamine 3-beta-galactosyltransferase 1 </t>
  </si>
  <si>
    <t>GO:0016020 (membrane); GO:0016021 (integral component of membrane); GO:0016740 (transferase activity); GO:0016757 (transferase activity, transferring glycosyl groups); GO:0016263 (glycoprotein-N-acetylgalactosamine 3-beta-galactosyltransferase activity); GO:0016267 (O-glycan processing, core 1); GO:0018215 (protein phosphopantetheinylation)</t>
  </si>
  <si>
    <t xml:space="preserve">Inward rectifier potassium channel irk-1 </t>
  </si>
  <si>
    <t>GO:0005242 (inward rectifier potassium channel activity); GO:0006813 (potassium ion transport); GO:0016021 (integral component of membrane)</t>
  </si>
  <si>
    <t xml:space="preserve">Glutamyl(E) Amino-acyl tRNA Synthetase </t>
  </si>
  <si>
    <t>GO:0005524 (ATP binding); GO:0005737 (cytoplasm); GO:0000166 (nucleotide binding); GO:0004812 (aminoacyl-tRNA ligase activity); GO:0006418 (tRNA aminoacylation for protein translation); GO:0016874 (ligase activity); GO:0006412 (translation); GO:0043039 (tRNA aminoacylation); GO:0004818 (glutamate-tRNA ligase activity); GO:0006424 (glutamyl-tRNA aminoacylation); GO:0004827 (proline-tRNA ligase activity); GO:0006433 (prolyl-tRNA aminoacylation); GO:0017101 (aminoacyl-tRNA synthetase multienzyme complex)</t>
  </si>
  <si>
    <t xml:space="preserve">Probable succinyl-CoA:3-ketoacid coenzyme A transferase, mitochondrial </t>
  </si>
  <si>
    <t>GO:0016740 (transferase activity); GO:0005739 (mitochondrion); GO:0008260 (3-oxoacid CoA-transferase activity); GO:0008410 (CoA-transferase activity); GO:0046952 (ketone body catabolic process); GO:0046950 (cellular ketone body metabolic process)</t>
  </si>
  <si>
    <t xml:space="preserve">Thioredoxin-related transmembrane protein 2 homolog </t>
  </si>
  <si>
    <t>GO:0016020 (membrane); GO:0016021 (integral component of membrane); GO:0043227 (membrane-bounded organelle); GO:0015036 (disulfide oxidoreductase activity)</t>
  </si>
  <si>
    <t xml:space="preserve">Protein arginine N-methyltransferase 1 </t>
  </si>
  <si>
    <t>GO:0018216 (peptidyl-arginine methylation); GO:0016274 (protein-arginine N-methyltransferase activity)</t>
  </si>
  <si>
    <t>GO:0005634 (nucleus); GO:0043291 (RAVE complex); GO:0005635 (nuclear envelope)</t>
  </si>
  <si>
    <t>GO:0005764 (lysosome); GO:0016787 (hydrolase activity); GO:0005737 (cytoplasm); GO:0006508 (proteolysis); GO:0008233 (peptidase activity); GO:0005576 (extracellular region); GO:0004190 (aspartic-type endopeptidase activity); GO:0012501 (programmed cell death); GO:0008219 (cell death); GO:0070265 (necrotic cell death)</t>
  </si>
  <si>
    <t xml:space="preserve">Receptor-type guanylate cyclase gcy-12 </t>
  </si>
  <si>
    <t xml:space="preserve">Mammalian ZAK kinase homolog </t>
  </si>
  <si>
    <t>GO:0005524 (ATP binding); GO:0005737 (cytoplasm); GO:0004672 (protein kinase activity); GO:0006468 (protein phosphorylation); GO:0007165 (signal transduction); GO:0005515 (protein binding); GO:0000166 (nucleotide binding); GO:0004674 (protein serine/threonine kinase activity)</t>
  </si>
  <si>
    <t>GO:0005634 (nucleus); GO:0006203 (dGTP catabolic process); GO:0008832 (dGTPase activity)</t>
  </si>
  <si>
    <t xml:space="preserve">Na-K-Cl Cotransporter homolog </t>
  </si>
  <si>
    <t>GO:0016020 (membrane); GO:0016021 (integral component of membrane); GO:0006811 (ion transport); GO:0022857 (transmembrane transporter activity); GO:0055085 (transmembrane transport); GO:0006884 (cell volume homeostasis); GO:0015379 (potassium:chloride symporter activity); GO:0055064 (chloride ion homeostasis); GO:0055075 (potassium ion homeostasis); GO:1902476 (chloride transmembrane transport); GO:1990573 (potassium ion import across plasma membrane); GO:0008511 (sodium:potassium:chloride symporter activity); GO:0035725 (sodium ion transmembrane transport); GO:0055078 (sodium ion homeostasis); GO:0015293 (symporter activity); GO:0015377 (cation:chloride symporter activity)</t>
  </si>
  <si>
    <t>GO:0009792 (embryo development ending in birth or egg hatching); GO:0005643 (nuclear pore); GO:0006405 (RNA export from nucleus); GO:0006606 (protein import into nucleus); GO:0006997 (nucleus organization); GO:0017056 (structural constituent of nuclear pore); GO:0005543 (phospholipid binding); GO:0044613 (nuclear pore central transport channel); GO:0005515 (protein binding); GO:0005635 (nuclear envelope); GO:0000132 (establishment of mitotic spindle orientation)</t>
  </si>
  <si>
    <t xml:space="preserve">Small Nuclear RNA (snRNA) Associated protein </t>
  </si>
  <si>
    <t xml:space="preserve">Potential vesicular glutamate transporter vglu-3 </t>
  </si>
  <si>
    <t>GO:0016020 (membrane); GO:0016021 (integral component of membrane); GO:0006811 (ion transport); GO:0022857 (transmembrane transporter activity); GO:0055085 (transmembrane transport); GO:0006814 (sodium ion transport); GO:0035249 (synaptic transmission, glutamatergic); GO:0015293 (symporter activity); GO:0005313 (L-glutamate transmembrane transporter activity); GO:0005326 (neurotransmitter transmembrane transporter activity); GO:0015813 (L-glutamate transmembrane transport); GO:0030285 (integral component of synaptic vesicle membrane); GO:0050803 (regulation of synapse structure or activity); GO:0060076 (excitatory synapse); GO:0098700 (neurotransmitter loading into synaptic vesicle); GO:0006820 (anion transport)</t>
  </si>
  <si>
    <t xml:space="preserve">Adenylate kinase </t>
  </si>
  <si>
    <t>GO:0006172 (ADP biosynthetic process); GO:0016776 (phosphotransferase activity, phosphate group as acceptor); GO:0004017 (adenylate kinase activity); GO:0006139 (nucleobase-containing compound metabolic process); GO:0019205 (nucleobase-containing compound kinase activity); GO:0005524 (ATP binding)</t>
  </si>
  <si>
    <t xml:space="preserve">Mitogen-activated protein kinase kinase kinase mom-4 </t>
  </si>
  <si>
    <t>GO:0004709 (MAP kinase kinase kinase activity); GO:0004672 (protein kinase activity); GO:0006468 (protein phosphorylation); GO:0007165 (signal transduction); GO:0000287 (magnesium ion binding); GO:0005524 (ATP binding)</t>
  </si>
  <si>
    <t>GO:0061096 (negative regulation of turning behavior involved in mating)</t>
  </si>
  <si>
    <t xml:space="preserve">Palmitoyltransferase spe-10 </t>
  </si>
  <si>
    <t>GO:0016020 (membrane); GO:0016021 (integral component of membrane); GO:0016740 (transferase activity); GO:0016746 (transferase activity, transferring acyl groups); GO:0005794 (Golgi apparatus); GO:0005783 (endoplasmic reticulum); GO:0030154 (cell differentiation); GO:0007283 (spermatogenesis); GO:0019706 (protein-cysteine S-palmitoyltransferase activity); GO:0006612 (protein targeting to membrane); GO:0018230 (peptidyl-L-cysteine S-palmitoylation); GO:0031268 (pseudopodium organization); GO:0061025 (membrane fusion); GO:0097723 (amoeboid sperm motility); GO:0007286 (spermatid development); GO:0007097 (nuclear migration); GO:0045793 (positive regulation of cell size); GO:0006996 (organelle organization); GO:0051179 (localization); GO:0043227 (membrane-bounded organelle); GO:0016409 (palmitoyltransferase activity); GO:0018215 (protein phosphopantetheinylation)</t>
  </si>
  <si>
    <t xml:space="preserve">SKI (Yeast SuperKIller) Helicase homolog </t>
  </si>
  <si>
    <t>GO:0005524 (ATP binding); GO:0016787 (hydrolase activity); GO:0004386 (helicase activity); GO:0003723 (RNA binding); GO:0000166 (nucleotide binding); GO:0003676 (nucleic acid binding); GO:0006401 (RNA catabolic process); GO:0003724 (RNA helicase activity); GO:0055087 (Ski complex); GO:0070478 (nuclear-transcribed mRNA catabolic process, 3'-5' exonucleolytic nonsense-mediated decay)</t>
  </si>
  <si>
    <t>GO:0016020 (membrane); GO:0016021 (integral component of membrane); GO:0071944 (cell periphery)</t>
  </si>
  <si>
    <t xml:space="preserve">Nuclear hormone receptor family member nhr-86 </t>
  </si>
  <si>
    <t xml:space="preserve">Nuclear hormone receptor family member odr-7 </t>
  </si>
  <si>
    <t xml:space="preserve">Twist-related protein </t>
  </si>
  <si>
    <t>GO:0005634 (nucleus); GO:0003677 (DNA binding); GO:0007275 (multicellular organism development); GO:0046983 (protein dimerization activity); GO:0000977 (RNA polymerase II transcription regulatory region sequence-specific DNA binding); GO:0000981 (DNA-binding transcription factor activity, RNA polymerase II-specific); GO:0006357 (regulation of transcription by RNA polymerase II); GO:0030154 (cell differentiation); GO:0032502 (developmental process); GO:0072327 (vulval cell fate specification); GO:0045893 (positive regulation of transcription, DNA-templated); GO:0007501 (mesodermal cell fate specification); GO:0045944 (positive regulation of transcription by RNA polymerase II)</t>
  </si>
  <si>
    <t>GO:0016020 (membrane); GO:0016021 (integral component of membrane); GO:0006631 (fatty acid metabolic process); GO:0005789 (endoplasmic reticulum membrane); GO:0050207 (plasmanylethanolamine desaturase activity); GO:0008611 (ether lipid biosynthetic process)</t>
  </si>
  <si>
    <t>GO:0005524 (ATP binding); GO:0000166 (nucleotide binding); GO:0016874 (ligase activity); GO:0006464 (cellular protein modification process); GO:0005929 (cilium); GO:0015631 (tubulin binding); GO:0000226 (microtubule cytoskeleton organization); GO:0070740 (tubulin-glutamic acid ligase activity); GO:0018095 (protein polyglutamylation); GO:0018215 (protein phosphopantetheinylation)</t>
  </si>
  <si>
    <t xml:space="preserve">Ribosome biogenesis protein BRX1 homolog </t>
  </si>
  <si>
    <t>GO:0005634 (nucleus); GO:0003723 (RNA binding); GO:0005730 (nucleolus); GO:0042254 (ribosome biogenesis); GO:0006364 (rRNA processing); GO:0000027 (ribosomal large subunit assembly); GO:0019843 (rRNA binding)</t>
  </si>
  <si>
    <t xml:space="preserve">MeNoRin (Dendritic branching protein) </t>
  </si>
  <si>
    <t>GO:0005515 (protein binding); GO:0050775 (positive regulation of dendrite morphogenesis); GO:0048814 (regulation of dendrite morphogenesis); GO:0070593 (dendrite self-avoidance); GO:1903859 (regulation of dendrite extension); GO:0005886 (plasma membrane); GO:0005615 (extracellular space); GO:0048813 (dendrite morphogenesis)</t>
  </si>
  <si>
    <t>GO:0005737 (cytoplasm); GO:0016301 (kinase activity); GO:0016310 (phosphorylation); GO:0005524 (ATP binding); GO:0046872 (metal ion binding); GO:0016740 (transferase activity); GO:0000287 (magnesium ion binding); GO:0002189 (ribose phosphate diphosphokinase complex); GO:0004749 (ribose phosphate diphosphokinase activity); GO:0006015 (5-phosphoribose 1-diphosphate biosynthetic process); GO:0006164 (purine nucleotide biosynthetic process); GO:0009116 (nucleoside metabolic process); GO:0009165 (nucleotide biosynthetic process); GO:0009156 (ribonucleoside monophosphate biosynthetic process); GO:0044249 (cellular biosynthetic process)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</si>
  <si>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GO:0035556 (intracellular signal transduction); GO:0042149 (cellular response to glucose starvation); GO:0008307 (structural constituent of muscle); GO:0061203 (striated muscle paramyosin thick filament assembly); GO:0071688 (striated muscle myosin thick filament assembly); GO:0031430 (M band)</t>
  </si>
  <si>
    <t xml:space="preserve">NAD kinase 2, mitochondrial </t>
  </si>
  <si>
    <t>GO:0016301 (kinase activity); GO:0016310 (phosphorylation); GO:0000166 (nucleotide binding); GO:0016740 (transferase activity); GO:0005739 (mitochondrion); GO:0005524 (ATP binding); GO:0003951 (NAD+ kinase activity); GO:0019674 (NAD metabolic process); GO:0042803 (protein homodimerization activity); GO:0006741 (NADP biosynthetic process)</t>
  </si>
  <si>
    <t xml:space="preserve">Proliferating cell nuclear antigen </t>
  </si>
  <si>
    <t>GO:0006275 (regulation of DNA replication); GO:0030337 (DNA polymerase processivity factor activity); GO:0003677 (DNA binding)</t>
  </si>
  <si>
    <t xml:space="preserve">Nuclear transcription factor Y subunit gamma </t>
  </si>
  <si>
    <t>GO:0005634 (nucleus); GO:0005737 (cytoplasm); GO:0003700 (DNA-binding transcription factor activity); GO:0006355 (regulation of transcription, DNA-templated); GO:0003677 (DNA binding); GO:0005515 (protein binding); GO:0016602 (CCAAT-binding factor complex); GO:0046982 (protein heterodimerization activity); GO:0043204 (perikaryon); GO:0010468 (regulation of gene expression); GO:0001228 (DNA-binding transcription activator activity, RNA polymerase II-specific); GO:0045944 (positive regulation of transcription by RNA polymerase II); GO:0001217 (DNA-binding transcription repressor activity); GO:0009888 (tissue development); GO:0045892 (negative regulation of transcription, DNA-templated)</t>
  </si>
  <si>
    <t xml:space="preserve">Probable phosphoglycerate kinase </t>
  </si>
  <si>
    <t>GO:0004618 (phosphoglycerate kinase activity); GO:0006096 (glycolytic process)</t>
  </si>
  <si>
    <t xml:space="preserve">Endoplasmic reticulum oxidoreductin-1 </t>
  </si>
  <si>
    <t>GO:0016671 (oxidoreductase activity, acting on a sulfur group of donors, disulfide as acceptor); GO:0003756 (protein disulfide isomerase activity); GO:0005783 (endoplasmic reticulum); GO:0055114 (oxidation-reduction process); GO:0016020 (membrane); GO:0016491 (oxidoreductase activity); GO:0005789 (endoplasmic reticulum membrane)</t>
  </si>
  <si>
    <t>GO:0007076 (mitotic chromosome condensation)</t>
  </si>
  <si>
    <t>GO:0005737 (cytoplasm); GO:0046872 (metal ion binding); GO:0016491 (oxidoreductase activity); GO:0005515 (protein binding); GO:0008198 (ferrous iron binding); GO:0004322 (ferroxidase activity); GO:0042802 (identical protein binding); GO:0008199 (ferric iron binding); GO:0006826 (iron ion transport); GO:0006879 (cellular iron ion homeostasis); GO:0006880 (intracellular sequestering of iron ion); GO:0050830 (defense response to Gram-positive bacterium)</t>
  </si>
  <si>
    <t xml:space="preserve">Polyprenol reductase </t>
  </si>
  <si>
    <t>GO:0016020 (membrane); GO:0016021 (integral component of membrane); GO:0016491 (oxidoreductase activity); GO:0016627 (oxidoreductase activity, acting on the CH-CH group of donors); GO:0006486 (protein glycosylation); GO:0005783 (endoplasmic reticulum); GO:0006629 (lipid metabolic process); GO:0005789 (endoplasmic reticulum membrane); GO:0006488 (dolichol-linked oligosaccharide biosynthetic process); GO:0003865 (3-oxo-5-alpha-steroid 4-dehydrogenase activity); GO:0016095 (polyprenol catabolic process); GO:0019348 (dolichol metabolic process); GO:0019408 (dolichol biosynthetic process); GO:0102389 (polyprenol reductase activity)</t>
  </si>
  <si>
    <t>GO:0005886 (plasma membrane); GO:0031718 (type 1 cannabinoid receptor binding); GO:2000272 (negative regulation of signaling receptor activity)</t>
  </si>
  <si>
    <t>GO:0005634 (nucleus); GO:0003676 (nucleic acid binding); GO:0090305 (nucleic acid phosphodiester bond hydrolysis); GO:0006364 (rRNA processing); GO:0004527 (exonuclease activity); GO:0008408 (3'-5' exonuclease activity)</t>
  </si>
  <si>
    <t>GO:0016020 (membrane); GO:0016021 (integral component of membrane); GO:0005886 (plasma membrane); GO:0006811 (ion transport); GO:0005254 (chloride channel activity); GO:0006821 (chloride transport); GO:0034707 (chloride channel complex); GO:0005229 (intracellular calcium activated chloride channel activity); GO:0072320 (volume-sensitive chloride channel activity)</t>
  </si>
  <si>
    <t xml:space="preserve">Myosin regulatory light chain </t>
  </si>
  <si>
    <t xml:space="preserve">Probable 3',5'-cyclic phosphodiesterase pde-3 </t>
  </si>
  <si>
    <t>GO:0008081 (phosphoric diester hydrolase activity); GO:0004114 (3',5'-cyclic-nucleotide phosphodiesterase activity); GO:0007165 (signal transduction); GO:0016787 (hydrolase activity); GO:0046872 (metal ion binding)</t>
  </si>
  <si>
    <t xml:space="preserve">Probable insulin-like peptide beta-type 4 </t>
  </si>
  <si>
    <t>GO:0005179 (hormone activity); GO:0005576 (extracellular region); GO:0016020 (membrane); GO:0016021 (integral component of membrane); GO:0007165 (signal transduction)</t>
  </si>
  <si>
    <t>GO:0016020 (membrane); GO:0016021 (integral component of membrane); GO:0005770 (late endosome); GO:0016246 (RNA interference); GO:0050658 (RNA transport)</t>
  </si>
  <si>
    <t xml:space="preserve">Mediator of RNA polymerase II transcription subunit 6 </t>
  </si>
  <si>
    <t xml:space="preserve">Serpentine receptor class gamma-20 </t>
  </si>
  <si>
    <t xml:space="preserve">Casein kinase I isoform delta </t>
  </si>
  <si>
    <t xml:space="preserve">Uncharacterized NTE family protein ZK370.4 </t>
  </si>
  <si>
    <t>GO:0016020 (membrane); GO:0016021 (integral component of membrane); GO:0016787 (hydrolase activity); GO:0005783 (endoplasmic reticulum); GO:0006629 (lipid metabolic process); GO:0016042 (lipid catabolic process); GO:0004622 (lysophospholipase activity); GO:0046470 (phosphatidylcholine metabolic process)</t>
  </si>
  <si>
    <t xml:space="preserve">Histone H1.X </t>
  </si>
  <si>
    <t xml:space="preserve">5N224 </t>
  </si>
  <si>
    <t xml:space="preserve">Breast cancer type 1 susceptibility protein homolog </t>
  </si>
  <si>
    <t>GO:0006974 (cellular response to DNA damage stimulus); GO:0006281 (DNA repair); GO:0046872 (metal ion binding)</t>
  </si>
  <si>
    <t>GO:0005737 (cytoplasm); GO:0046872 (metal ion binding); GO:0030036 (actin cytoskeleton organization); GO:0045087 (innate immune response); GO:0018991 (oviposition); GO:0008270 (zinc ion binding); GO:0022600 (digestive system process)</t>
  </si>
  <si>
    <t xml:space="preserve">ADP-ribosylation factor-like protein 3 </t>
  </si>
  <si>
    <t>GO:0005525 (GTP binding)</t>
  </si>
  <si>
    <t xml:space="preserve">26S proteasome non-ATPase regulatory subunit 1 </t>
  </si>
  <si>
    <t>GO:0000502 (proteasome complex); GO:0042176 (regulation of protein catabolic process); GO:0030234 (enzyme regulator activity)</t>
  </si>
  <si>
    <t xml:space="preserve">Conserved oligomeric Golgi complex subunit 2 </t>
  </si>
  <si>
    <t>GO:0007030 (Golgi organization); GO:0015031 (protein transport); GO:0016020 (membrane)</t>
  </si>
  <si>
    <t xml:space="preserve">ComPleXin (Synaptic protein) homolog </t>
  </si>
  <si>
    <t>GO:0006887 (exocytosis); GO:0006836 (neurotransmitter transport); GO:0019905 (syntaxin binding)</t>
  </si>
  <si>
    <t>GO:0016020 (membrane); GO:0016021 (integral component of membrane); GO:0005886 (plasma membrane); GO:0006811 (ion transport); GO:0030054 (cell junction); GO:0005921 (gap junction); GO:0055085 (transmembrane transport); GO:0005243 (gap junction channel activity)</t>
  </si>
  <si>
    <t xml:space="preserve">Cytidine deaminase </t>
  </si>
  <si>
    <t>GO:0003824 (catalytic activity); GO:0016787 (hydrolase activity); GO:0046872 (metal ion binding); GO:0008270 (zinc ion binding); GO:0005829 (cytosol); GO:0004126 (cytidine deaminase activity); GO:0009972 (cytidine deamination); GO:0003723 (RNA binding); GO:0016070 (RNA metabolic process); GO:0047844 (deoxycytidine deaminase activity); GO:0006217 (deoxycytidine catabolic process); GO:0009451 (RNA modification); GO:0046109 (uridine biosynthetic process)</t>
  </si>
  <si>
    <t xml:space="preserve">Cyclin-dependent kinase 11.1 </t>
  </si>
  <si>
    <t xml:space="preserve">Isocitrate dehydrogenase [NAD] subunit, mitochondrial </t>
  </si>
  <si>
    <t>GO:0005739 (mitochondrion); GO:0000287 (magnesium ion binding); GO:0006099 (tricarboxylic acid cycle); GO:0016616 (oxidoreductase activity, acting on the CH-OH group of donors, NAD or NADP as acceptor); GO:0051287 (NAD binding); GO:0006102 (isocitrate metabolic process); GO:0004449 (isocitrate dehydrogenase (NAD+) activity); GO:0055114 (oxidation-reduction process)</t>
  </si>
  <si>
    <t xml:space="preserve">Tryptophanyl(W) Amino-acyl tRNA Synthetase; Tryptophanyl-tRNA synthetase (Cytosolic) </t>
  </si>
  <si>
    <t>GO:0005524 (ATP binding); GO:0005737 (cytoplasm); GO:0000166 (nucleotide binding); GO:0004812 (aminoacyl-tRNA ligase activity); GO:0006418 (tRNA aminoacylation for protein translation); GO:0016874 (ligase activity); GO:0006412 (translation); GO:0004830 (tryptophan-tRNA ligase activity); GO:0006436 (tryptophanyl-tRNA aminoacylation)</t>
  </si>
  <si>
    <t>GO:0005634 (nucleus); GO:0005737 (cytoplasm); GO:0008168 (methyltransferase activity); GO:0032259 (methylation); GO:0016740 (transferase activity); GO:0000049 (tRNA binding); GO:0030488 (tRNA methylation); GO:0002098 (tRNA wobble uridine modification); GO:0016300 (tRNA (uracil) methyltransferase activity)</t>
  </si>
  <si>
    <t>GO:0016020 (membrane); GO:0016021 (integral component of membrane); GO:0030431 (sleep); GO:0032222 (regulation of synaptic transmission, cholinergic); GO:1903818 (positive regulation of voltage-gated potassium channel activity)</t>
  </si>
  <si>
    <t>GO:0005634 (nucleus); GO:0005737 (cytoplasm); GO:0000079 (regulation of cyclin-dependent protein serine/threonine kinase activity); GO:0000307 (cyclin-dependent protein kinase holoenzyme complex); GO:0016538 (cyclin-dependent protein serine/threonine kinase regulator activity); GO:0044772 (mitotic cell cycle phase transition); GO:1900087 (positive regulation of G1/S transition of mitotic cell cycle)</t>
  </si>
  <si>
    <t>GO:0016491 (oxidoreductase activity); GO:0005515 (protein binding); GO:0016616 (oxidoreductase activity, acting on the CH-OH group of donors, NAD or NADP as acceptor); GO:0008106 (alcohol dehydrogenase (NADP+) activity); GO:0006066 (alcohol metabolic process); GO:0055114 (oxidation-reduction process)</t>
  </si>
  <si>
    <t xml:space="preserve">Microtubule End Binding Protein </t>
  </si>
  <si>
    <t>GO:0005737 (cytoplasm); GO:0005856 (cytoskeleton); GO:0005874 (microtubule); GO:0007049 (cell cycle); GO:0008017 (microtubule binding); GO:0051301 (cell division); GO:0051010 (microtubule plus-end binding); GO:0035371 (microtubule plus-end); GO:0005815 (microtubule organizing center); GO:0005813 (centrosome); GO:0051233 (spindle midzone); GO:0051225 (spindle assembly); GO:0005881 (cytoplasmic microtubule); GO:0031110 (regulation of microtubule polymerization or depolymerization); GO:1904825 (protein localization to microtubule plus-end); GO:0097730 (non-motile cilium); GO:0005938 (cell cortex); GO:0000776 (kinetochore); GO:0005515 (protein binding)</t>
  </si>
  <si>
    <t>GO:0000049 (tRNA binding); GO:0043023 (ribosomal large subunit binding); GO:0072344 (rescue of stalled ribosome); GO:1990112 (RQC complex); GO:1990116 (ribosome-associated ubiquitin-dependent protein catabolic process)</t>
  </si>
  <si>
    <t xml:space="preserve">BCAS splicing factor homolog </t>
  </si>
  <si>
    <t>GO:0005634 (nucleus); GO:0000974 (Prp19 complex); GO:0071013 (catalytic step 2 spliceosome); GO:0006397 (mRNA processing); GO:0008380 (RNA splicing)</t>
  </si>
  <si>
    <t xml:space="preserve">CDGSH Iron Sulfur Domain protein homolog </t>
  </si>
  <si>
    <t>GO:0046872 (metal ion binding); GO:0043231 (intracellular membrane-bounded organelle); GO:0051537 (2 iron, 2 sulfur cluster binding)</t>
  </si>
  <si>
    <t>GO:0016787 (hydrolase activity); GO:0005829 (cytosol);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</t>
  </si>
  <si>
    <t xml:space="preserve">GLIoTactin (Drosophila neuroligin-like) homolog </t>
  </si>
  <si>
    <t>GO:0016020 (membrane); GO:0016021 (integral component of membrane); GO:0038023 (signaling receptor activity); GO:0005886 (plasma membrane); GO:0098793 (presynapse); GO:0007268 (chemical synaptic transmission); GO:0005887 (integral component of plasma membrane); GO:0045202 (synapse); GO:0048488 (synaptic vesicle endocytosis); GO:0050804 (modulation of chemical synaptic transmission); GO:0009986 (cell surface); GO:1902883 (negative regulation of response to oxidative stress); GO:0007158 (neuron cell-cell adhesion); GO:0042043 (neurexin family protein binding); GO:0097104 (postsynaptic membrane assembly); GO:0097105 (presynaptic membrane assembly); GO:1903204 (negative regulation of oxidative stress-induced neuron death); GO:0072756 (cellular response to paraquat)</t>
  </si>
  <si>
    <t xml:space="preserve">RuvB-like 1 </t>
  </si>
  <si>
    <t>GO:0005524 (ATP binding); GO:0016787 (hydrolase activity); GO:0004386 (helicase activity); GO:0005634 (nucleus); GO:0000166 (nucleotide binding); GO:0005737 (cytoplasm); GO:0035267 (NuA4 histone acetyltransferase complex); GO:0005515 (protein binding); GO:0006357 (regulation of transcription by RNA polymerase II); GO:0006281 (DNA repair); GO:0006974 (cellular response to DNA damage stimulus); GO:0016573 (histone acetylation); GO:0006325 (chromatin organization); GO:0000812 (Swr1 complex); GO:0003678 (DNA helicase activity); GO:0032508 (DNA duplex unwinding); GO:0031011 (Ino80 complex); GO:0006338 (chromatin remodeling); GO:0000492 (box C/D snoRNP assembly); GO:0097255 (R2TP complex); GO:0002119 (nematode larval development); GO:0031929 (TOR signaling); GO:0045727 (positive regulation of translation); GO:0043139 (5'-3' DNA helicase activity); GO:0016887 (ATPase activity)</t>
  </si>
  <si>
    <t>GO:0016020 (membrane); GO:0016021 (integral component of membrane); GO:0055085 (transmembrane transport); GO:0008517 (folic acid transmembrane transporter activity); GO:0015230 (FAD transmembrane transporter activity); GO:0015884 (folic acid transport); GO:0035350 (FAD transmembrane transport); GO:0006862 (nucleotide transport)</t>
  </si>
  <si>
    <t xml:space="preserve">Tyrosine-protein phosphatase 1 </t>
  </si>
  <si>
    <t>GO:0008092 (cytoskeletal protein binding); GO:0016311 (dephosphorylation); GO:0005856 (cytoskeleton); GO:0006470 (protein dephosphorylation); GO:0004725 (protein tyrosine phosphatase activity); GO:0016791 (phosphatase activity); GO:0005515 (protein binding)</t>
  </si>
  <si>
    <t xml:space="preserve">ELMO domain-containing protein C56G7.3 </t>
  </si>
  <si>
    <t>GO:0005886 (plasma membrane); GO:0043547 (positive regulation of GTPase activity); GO:0005096 (GTPase activator activity)</t>
  </si>
  <si>
    <t xml:space="preserve">Cytochrome Oxidase Assembly subunits </t>
  </si>
  <si>
    <t>GO:0005739 (mitochondrion); GO:0033617 (mitochondrial cytochrome c oxidase assembly)</t>
  </si>
  <si>
    <t>GO:0005524 (ATP binding); GO:0000166 (nucleotide binding); GO:0016874 (ligase activity); GO:0006464 (cellular protein modification process); GO:0018991 (oviposition)</t>
  </si>
  <si>
    <t xml:space="preserve">Nuclear Hormone Receptor family; Nuclear receptor protein 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</si>
  <si>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GO:0005515 (protein binding); GO:0000978 (RNA polymerase II cis-regulatory region sequence-specific DNA binding); GO:0006357 (regulation of transcription by RNA polymerase II); GO:0030154 (cell differentiation); GO:0010468 (regulation of gene expression); GO:0048856 (anatomical structure development); GO:0033353 (S-adenosylmethionine cycle)</t>
  </si>
  <si>
    <t>GO:0005524 (ATP binding); GO:0000166 (nucleotide binding); GO:0005737 (cytoplasm); GO:0003774 (motor activity); GO:0051015 (actin filament binding); GO:0003779 (actin binding); GO:0016459 (myosin complex); GO:0032154 (cleavage furrow); GO:0045167 (asymmetric protein localization involved in cell fate determination); GO:0055059 (asymmetric neuroblast division); GO:0070938 (contractile ring); GO:0030016 (myofibril); GO:0032982 (myosin filament); GO:0019901 (protein kinase binding); GO:0009792 (embryo development ending in birth or egg hatching); GO:0002119 (nematode larval development); GO:0005938 (cell cortex); GO:0005516 (calmodulin binding); GO:0072686 (mitotic spindle); GO:0000146 (microfilament motor activity); GO:0000281 (mitotic cytokinesis); GO:0009949 (polarity specification of anterior/posterior axis); GO:0016476 (regulation of embryonic cell shape); GO:0016460 (myosin II complex); GO:0110039 (positive regulation of nematode male tail tip morphogenesis); GO:0005515 (protein binding)</t>
  </si>
  <si>
    <t xml:space="preserve">Pre-mRNA-splicing factor SLU7 </t>
  </si>
  <si>
    <t>GO:0005634 (nucleus); GO:0046872 (metal ion binding); GO:0008270 (zinc ion binding); GO:0003676 (nucleic acid binding); GO:0000398 (mRNA splicing, via spliceosome); GO:0005681 (spliceosomal complex); GO:0006397 (mRNA processing); GO:0008380 (RNA splicing); GO:0000386 (second spliceosomal transesterification activity); GO:0030628 (pre-mRNA 3'-splice site binding)</t>
  </si>
  <si>
    <t xml:space="preserve">Piwi-like protein ergo-1 </t>
  </si>
  <si>
    <t xml:space="preserve">Protein kinase C-like 1 </t>
  </si>
  <si>
    <t>GO:0004697 (protein kinase C activity); GO:0004672 (protein kinase activity); GO:0004674 (protein serine/threonine kinase activity); GO:0035556 (intracellular signal transduction); GO:0006468 (protein phosphorylation); GO:0005524 (ATP binding)</t>
  </si>
  <si>
    <t>GO:0005794 (Golgi apparatus); GO:0007275 (multicellular organism development); GO:0005829 (cytosol); GO:0042147 (retrograde transport, endosome to Golgi); GO:0005802 (trans-Golgi network); GO:0071203 (WASH complex); GO:0099041 (vesicle tethering to Golgi)</t>
  </si>
  <si>
    <t>GO:0004865 (protein serine/threonine phosphatase inhibitor activity); GO:0032515 (negative regulation of phosphoprotein phosphatase activity)</t>
  </si>
  <si>
    <t xml:space="preserve">Probable G-protein coupled receptor AH9.4 </t>
  </si>
  <si>
    <t>GO:0016020 (membrane); GO:0016021 (integral component of membrane); GO:0005886 (plasma membrane); GO:0004930 (G protein-coupled receptor activity); GO:0007165 (signal transduction); GO:0007186 (G protein-coupled receptor signaling pathway); GO:0005887 (integral component of plasma membrane); GO:0007218 (neuropeptide signaling pathway); GO:0008528 (G protein-coupled peptide receptor activity)</t>
  </si>
  <si>
    <t xml:space="preserve">RNA interference promoting factor </t>
  </si>
  <si>
    <t>GO:0003723 (RNA binding); GO:0005515 (protein binding); GO:0042803 (protein homodimerization activity); GO:0003727 (single-stranded RNA binding); GO:1990904 (ribonucleoprotein complex); GO:0030422 (production of siRNA involved in RNA interference); GO:0003725 (double-stranded RNA binding); GO:0016246 (RNA interference)</t>
  </si>
  <si>
    <t xml:space="preserve">Mitogen-activated protein kinase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</si>
  <si>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GO:0016740 (transferase activity); GO:0035556 (intracellular signal transduction); GO:0004707 (MAP kinase activity); GO:0004705 (JUN kinase activity); GO:0007254 (JNK cascade); GO:0007258 (JUN phosphorylation); GO:0106310 (protein serine kinase activity); GO:0106311 (protein threonine kinase activity)</t>
  </si>
  <si>
    <t xml:space="preserve">SAPK/ERK kinase </t>
  </si>
  <si>
    <t>GO:0005524 (ATP binding); GO:0004672 (protein kinase activity); GO:0006468 (protein phosphorylation); GO:0016301 (kinase activity); GO:0016310 (phosphorylation); GO:0000166 (nucleotide binding); GO:0000187 (activation of MAPK activity); GO:0004708 (MAP kinase kinase activity); GO:0007257 (activation of JUN kinase activity); GO:0008545 (JUN kinase kinase activity)</t>
  </si>
  <si>
    <t xml:space="preserve">Tetraspanin </t>
  </si>
  <si>
    <t xml:space="preserve">mRNA transport homolog 4 </t>
  </si>
  <si>
    <t>GO:0006401 (RNA catabolic process); GO:0003724 (RNA helicase activity); GO:0003676 (nucleic acid binding); GO:0003723 (RNA binding); GO:0005524 (ATP binding)</t>
  </si>
  <si>
    <t xml:space="preserve">Cyclin-dependent kinase 1 </t>
  </si>
  <si>
    <t>GO:0016020 (membrane); GO:0016021 (integral component of membrane); GO:0004930 (G protein-coupled receptor activity); GO:0004983 (neuropeptide Y receptor activity); GO:0007165 (signal transduction); GO:0007186 (G protein-coupled receptor signaling pathway); GO:0007218 (neuropeptide signaling pathway); GO:0006937 (regulation of muscle contraction)</t>
  </si>
  <si>
    <t>GO:0015031 (protein transport); GO:0043231 (intracellular membrane-bounded organelle); GO:0005768 (endosome); GO:0005515 (protein binding); GO:0006623 (protein targeting to vacuole); GO:0031902 (late endosome membrane); GO:0006612 (protein targeting to membrane); GO:0000813 (ESCRT I complex); GO:0005829 (cytosol); GO:0010008 (endosome membrane); GO:0032801 (receptor catabolic process); GO:0043162 (ubiquitin-dependent protein catabolic process via the multivesicular body sorting pathway)</t>
  </si>
  <si>
    <t>GO:0003735 (structural constituent of ribosome); GO:0005840 (ribosome); GO:0005739 (mitochondrion); GO:0032543 (mitochondrial translation); GO:0005763 (mitochondrial small ribosomal subunit)</t>
  </si>
  <si>
    <t xml:space="preserve">V-type proton ATPase subunit C </t>
  </si>
  <si>
    <t>GO:0006811 (ion transport); GO:0016787 (hydrolase activity); GO:0005737 (cytoplasm); GO:0007275 (multicellular organism development); GO:0015078 (proton transmembrane transporter activity); GO:0046961 (proton-transporting ATPase activity, rotational mechanism); GO:0009792 (embryo development ending in birth or egg hatching); GO:1902600 (proton transmembrane transport); GO:0016471 (vacuolar proton-transporting V-type ATPase complex); GO:0033180 (proton-transporting V-type ATPase, V1 domain); GO:0000221 (vacuolar proton-transporting V-type ATPase, V1 domain); GO:0030728 (ovulation); GO:0043229 (intracellular organelle)</t>
  </si>
  <si>
    <t>GO:0005737 (cytoplasm); GO:0035091 (phosphatidylinositol binding); GO:0019901 (protein kinase binding); GO:0005515 (protein binding)</t>
  </si>
  <si>
    <t xml:space="preserve">Putative UDP-glucuronosyltransferase ugt-60 </t>
  </si>
  <si>
    <t xml:space="preserve">Raf homolog serine/threonine-protein kinase </t>
  </si>
  <si>
    <t>GO:0004672 (protein kinase activity); GO:0035556 (intracellular signal transduction); GO:0006468 (protein phosphorylation); GO:0007165 (signal transduction); GO:0005524 (ATP binding); GO:0016301 (kinase activity); GO:0016310 (phosphorylation); GO:0000166 (nucleotide binding); GO:0004674 (protein serine/threonine kinase activity); GO:0106310 (protein serine kinase activity); GO:0106311 (protein threonine kinase activity)</t>
  </si>
  <si>
    <t xml:space="preserve">3A339 </t>
  </si>
  <si>
    <t>GO:0005813 (centrosome); GO:0000776 (kinetochore); GO:0000922 (spindle pole); GO:0030951 (establishment or maintenance of microtubule cytoskeleton polarity); GO:0046785 (microtubule polymerization); GO:0051298 (centrosome duplication); GO:0035371 (microtubule plus-end); GO:0008017 (microtubule binding); GO:0007052 (mitotic spindle organization); GO:0061863 (microtubule plus end polymerase)</t>
  </si>
  <si>
    <t xml:space="preserve">Putative histone deacetylase 2 </t>
  </si>
  <si>
    <t>GO:0004407 (histone deacetylase activity); GO:0016575 (histone deacetylation)</t>
  </si>
  <si>
    <t>GO:0005634 (nucleus); GO:0005783 (endoplasmic reticulum); GO:0055120 (striated muscle dense body); GO:0030017 (sarcomere); GO:0018024 (histone-lysine N-methyltransferase activity); GO:0034968 (histone lysine methylation); GO:0005515 (protein binding)</t>
  </si>
  <si>
    <t xml:space="preserve">Mediator of RNA polymerase II transcription subunit 12 </t>
  </si>
  <si>
    <t xml:space="preserve">Putative acid phosphatase 11 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</si>
  <si>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GO:0004989 (octopamine receptor activity); GO:0007211 (octopamine or tyramine signaling pathway); GO:0045202 (synapse)</t>
  </si>
  <si>
    <t xml:space="preserve">Transcription factor elt-1 </t>
  </si>
  <si>
    <t>GO:0005634 (nucleus); GO:0046872 (metal ion binding); GO:0003700 (DNA-binding transcription factor activity); GO:0006355 (regulation of transcription, DNA-templated); GO:0008270 (zinc ion binding); GO:0043565 (sequence-specific DNA binding); GO:0006357 (regulation of transcription by RNA polymerase II); GO:0045944 (positive regulation of transcription by RNA polymerase II); GO:0007283 (spermatogenesis); GO:0000981 (DNA-binding transcription factor activity, RNA polymerase II-specific); GO:0009957 (epidermal cell fate specification)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</si>
  <si>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GO:0000785 (chromatin); GO:1903354 (regulation of distal tip cell migration); GO:0040014 (regulation of multicellular organism growth); GO:0090038 (negative regulation of protein kinase C signaling); GO:2000114 (regulation of establishment of cell polarity); GO:0008361 (regulation of cell size)</t>
  </si>
  <si>
    <t>GO:0000775 (chromosome, centromeric region); GO:0005515 (protein binding)</t>
  </si>
  <si>
    <t>GO:0016020 (membrane); GO:0016021 (integral component of membrane); GO:0006886 (intracellular protein transport); GO:0016192 (vesicle-mediated transport); GO:0000149 (SNARE binding); GO:0031201 (SNARE complex); GO:0005484 (SNAP receptor activity); GO:0006906 (vesicle fusion); GO:0006836 (neurotransmitter transport); GO:0012505 (endomembrane system); GO:0008021 (synaptic vesicle); GO:0048278 (vesicle docking)</t>
  </si>
  <si>
    <t>GO:0008936 (nicotinamidase activity); GO:0006769 (nicotinamide metabolic process)</t>
  </si>
  <si>
    <t xml:space="preserve">Microtubule-associated protein </t>
  </si>
  <si>
    <t>GO:0005737 (cytoplasm); GO:0043005 (neuron projection); GO:0005856 (cytoskeleton); GO:0005874 (microtubule); GO:0015631 (tubulin binding); GO:0008017 (microtubule binding); GO:0000226 (microtubule cytoskeleton organization); GO:0031175 (neuron projection development); GO:0030424 (axon); GO:0019894 (kinesin binding); GO:0046785 (microtubule polymerization); GO:0110039 (positive regulation of nematode male tail tip morphogenesis)</t>
  </si>
  <si>
    <t xml:space="preserve">Shugoshin </t>
  </si>
  <si>
    <t>GO:0005634 (nucleus); GO:0007049 (cell cycle); GO:0051301 (cell division); GO:0005694 (chromosome); GO:0000775 (chromosome, centromeric region); GO:0007059 (chromosome segregation)</t>
  </si>
  <si>
    <t xml:space="preserve">Endonuclease III homolog </t>
  </si>
  <si>
    <t>GO:0006285 (base-excision repair, AP site formation); GO:0019104 (DNA N-glycosylase activity); GO:0003906 (DNA-(apurinic or apyrimidinic site) endonuclease activity); GO:0006284 (base-excision repair); GO:0006281 (DNA repair); GO:0003824 (catalytic activity); GO:0005634 (nucleus); GO:0003677 (DNA binding)</t>
  </si>
  <si>
    <t xml:space="preserve">Homeobox protein ceh-36 </t>
  </si>
  <si>
    <t xml:space="preserve">Acetylcholine receptor (51.1 kD) (Acr-22); Ligand-Gated ion Channel </t>
  </si>
  <si>
    <t xml:space="preserve">Peroxidasin homolog </t>
  </si>
  <si>
    <t>GO:0048679 (regulation of axon regeneration); GO:0010172 (embryonic body morphogenesis); GO:0004601 (peroxidase activity); GO:0006979 (response to oxidative stress); GO:0020037 (heme binding); GO:0055114 (oxidation-reduction process); GO:0005515 (protein binding)</t>
  </si>
  <si>
    <t>GO:0003723 (RNA binding); GO:0016740 (transferase activity); GO:0005739 (mitochondrion); GO:0003676 (nucleic acid binding); GO:0005829 (cytosol); GO:0016779 (nucleotidyltransferase activity); GO:0006396 (RNA processing); GO:0000175 (3'-5'-exoribonuclease activity); GO:0006401 (RNA catabolic process); GO:0090503 (RNA phosphodiester bond hydrolysis, exonucleolytic); GO:0000965 (mitochondrial RNA 3'-end processing); GO:0006402 (mRNA catabolic process); GO:0000958 (mitochondrial mRNA catabolic process); GO:0004654 (polyribonucleotide nucleotidyltransferase activity)</t>
  </si>
  <si>
    <t xml:space="preserve">Zinc metalloproteinase nas-20 </t>
  </si>
  <si>
    <t xml:space="preserve">AO49 ankyrin </t>
  </si>
  <si>
    <t>GO:0033563 (dorsal/ventral axon guidance); GO:0050839 (cell adhesion molecule binding); GO:0016328 (lateral plasma membrane); GO:0007165 (signal transduction); GO:0005515 (protein binding); GO:0016020 (membrane); GO:0005856 (cytoskeleton); GO:0030951 (establishment or maintenance of microtubule cytoskeleton polarity); GO:0038007 (netrin-activated signaling pathway); GO:1905815 (regulation of dorsal/ventral axon guidance); GO:0040011 (locomotion); GO:0040018 (positive regulation of multicellular organism growth); GO:0010171 (body morphogenesis); GO:0030950 (establishment or maintenance of actin cytoskeleton polarity); GO:0031115 (negative regulation of microtubule polymerization); GO:0061643 (chemorepulsion of axon)</t>
  </si>
  <si>
    <t xml:space="preserve">DNA N6-methyl methyltransferase </t>
  </si>
  <si>
    <t>GO:0032259 (methylation); GO:0008168 (methyltransferase activity); GO:0003676 (nucleic acid binding)</t>
  </si>
  <si>
    <t>GO:0046872 (metal ion binding); GO:0005515 (protein binding); GO:0035091 (phosphatidylinositol binding); GO:0005769 (early endosome); GO:0032266 (phosphatidylinositol-3-phosphate binding)</t>
  </si>
  <si>
    <t xml:space="preserve">GTP binding protein; R-RAS related; R-ras1 homolog </t>
  </si>
  <si>
    <t>GO:0003924 (GTPase activity); GO:0005525 (GTP binding); GO:0016020 (membrane); GO:0005886 (plasma membrane); GO:0000166 (nucleotide binding); GO:0007165 (signal transduction); GO:0007567 (parturition); GO:0040025 (vulval development); GO:0007265 (Ras protein signal transduction); GO:0019003 (GDP binding)</t>
  </si>
  <si>
    <t>GO:0005634 (nucleus); GO:0005737 (cytoplasm); GO:0043161 (proteasome-mediated ubiquitin-dependent protein catabolic process); GO:0004298 (threonine-type endopeptidase activity); GO:0010499 (proteasomal ubiquitin-independent protein catabolic process); GO:0004175 (endopeptidase activity); GO:0000502 (proteasome complex); GO:0005839 (proteasome core complex); GO:0051603 (proteolysis involved in cellular protein catabolic process)</t>
  </si>
  <si>
    <t>GO:0003676 (nucleic acid binding); GO:0003723 (RNA binding); GO:0003729 (mRNA binding); GO:0005515 (protein binding); GO:0005847 (mRNA cleavage and polyadenylation specificity factor complex); GO:0098789 (pre-mRNA cleavage required for polyadenylation)</t>
  </si>
  <si>
    <t xml:space="preserve">Kinase </t>
  </si>
  <si>
    <t>GO:0005634 (nucleus); GO:0005737 (cytoplasm); GO:0016301 (kinase activity); GO:0016310 (phosphorylation); GO:0016740 (transferase activity); GO:0046854 (phosphatidylinositol phosphorylation); GO:0032958 (inositol phosphate biosynthetic process); GO:0000828 (inositol hexakisphosphate kinase activity)</t>
  </si>
  <si>
    <t xml:space="preserve">Acetylcholine-gated ion channel acc-4 </t>
  </si>
  <si>
    <t>GO:0016020 (membrane); GO:0016021 (integral component of membrane); GO:0043005 (neuron projection); GO:0043025 (neuronal cell body); GO:0007399 (nervous system development); GO:0030133 (transport vesicle)</t>
  </si>
  <si>
    <t xml:space="preserve">Ionotropic GABA receptor subunit UNC-49B.3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</si>
  <si>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GO:0005254 (chloride channel activity); GO:0030594 (neurotransmitter receptor activity); GO:0004890 (GABA-A receptor activity); GO:0098794 (postsynapse); GO:0031594 (neuromuscular junction); GO:0045211 (postsynaptic membrane); GO:0007626 (locomotory behavior); GO:0007214 (gamma-aminobutyric acid signaling pathway); GO:0043058 (regulation of backward locomotion); GO:0005515 (protein binding)</t>
  </si>
  <si>
    <t xml:space="preserve">DystroGlycaN </t>
  </si>
  <si>
    <t>GO:0016020 (membrane); GO:0016021 (integral component of membrane); GO:0005509 (calcium ion binding); GO:0005634 (nucleus); GO:0030054 (cell junction); GO:0045202 (synapse); GO:0045211 (postsynaptic membrane); GO:0007411 (axon guidance); GO:0042383 (sarcolemma); GO:0005615 (extracellular space); GO:0005654 (nucleoplasm); GO:0016010 (dystrophin-associated glycoprotein complex); GO:0040017 (positive regulation of locomotion); GO:0035262 (gonad morphogenesis); GO:0040039 (inductive cell migration); GO:0002009 (morphogenesis of an epithelium); GO:0048846 (axon extension involved in axon guidance); GO:0009925 (basal plasma membrane); GO:0043236 (laminin binding); GO:0021675 (nerve development); GO:0016011 (dystroglycan complex)</t>
  </si>
  <si>
    <t>GO:0005737 (cytoplasm); GO:0004865 (protein serine/threonine phosphatase inhibitor activity); GO:0032515 (negative regulation of phosphoprotein phosphatase activity); GO:0042325 (regulation of phosphorylation); GO:0004864 (protein phosphatase inhibitor activity)</t>
  </si>
  <si>
    <t>GO:0005096 (GTPase activator activity); GO:0007165 (signal transduction); GO:0043547 (positive regulation of GTPase activity); GO:0005515 (protein binding)</t>
  </si>
  <si>
    <t>GO:0005634 (nucleus); GO:0045944 (positive regulation of transcription by RNA polymerase II); GO:0003713 (transcription coactivator activity)</t>
  </si>
  <si>
    <t>GO:0046872 (metal ion binding); GO:0061630 (ubiquitin protein ligase activity); GO:0016567 (protein ubiquitination); GO:0005938 (cell cortex); GO:0005524 (ATP binding); GO:0000132 (establishment of mitotic spindle orientation); GO:0030010 (establishment of cell polarity); GO:0008356 (asymmetric cell division); GO:0045167 (asymmetric protein localization involved in cell fate determination); GO:0008270 (zinc ion binding); GO:0005515 (protein binding); GO:0043186 (P granule); GO:0061803 (posterior cell cortex); GO:0019901 (protein kinase binding); GO:0000209 (protein polyubiquitination); GO:0008017 (microtubule binding); GO:0005546 (phosphatidylinositol-4,5-bisphosphate binding); GO:0032991 (protein-containing complex); GO:0005547 (phosphatidylinositol-3,4,5-trisphosphate binding)</t>
  </si>
  <si>
    <t xml:space="preserve">Argonaute (Plant)-Like protein </t>
  </si>
  <si>
    <t>GO:0003676 (nucleic acid binding); GO:0005737 (cytoplasm); GO:0043186 (P granule); GO:0005515 (protein binding); GO:0007283 (spermatogenesis)</t>
  </si>
  <si>
    <t xml:space="preserve">Prolyl 4-hydroxylase subunit alpha-2 </t>
  </si>
  <si>
    <t>GO:0004656 (procollagen-proline 4-dioxygenase activity); GO:0031418 (L-ascorbic acid binding); GO:0016702 (oxidoreductase activity, acting on single donors with incorporation of molecular oxygen, incorporation of two atoms of oxygen); GO:0016705 (oxidoreductase activity, acting on paired donors, with incorporation or reduction of molecular oxygen); GO:0005506 (iron ion binding); GO:0005783 (endoplasmic reticulum); GO:0016491 (oxidoreductase activity); GO:0055114 (oxidation-reduction process); GO:0005515 (protein binding)</t>
  </si>
  <si>
    <t xml:space="preserve">Staphylococcal nuclease domain-containing protein </t>
  </si>
  <si>
    <t>GO:0005634 (nucleus); GO:0005737 (cytoplasm); GO:0003723 (RNA binding); GO:0090305 (nucleic acid phosphodiester bond hydrolysis); GO:0090502 (RNA phosphodiester bond hydrolysis, endonucleolytic); GO:0004518 (nuclease activity); GO:0006401 (RNA catabolic process); GO:0004521 (endoribonuclease activity); GO:0016442 (RISC complex); GO:0031047 (gene silencing by RNA); GO:0005829 (cytosol); GO:0035195 (gene silencing by miRNA)</t>
  </si>
  <si>
    <t xml:space="preserve">Chitinase-like protein C25A8.4 </t>
  </si>
  <si>
    <t xml:space="preserve">Uncharacterized calcium-binding protein R08D7.5 </t>
  </si>
  <si>
    <t>GO:0005509 (calcium ion binding); GO:0005813 (centrosome); GO:0000278 (mitotic cell cycle); GO:0005814 (centriole); GO:0007099 (centriole replication)</t>
  </si>
  <si>
    <t xml:space="preserve">Delta(9)-fatty-acid desaturase fat-5 </t>
  </si>
  <si>
    <t>GO:0003723 (RNA binding); GO:0032040 (small-subunit processome); GO:0031428 (box C/D snoRNP complex); GO:0000494 (box C/D snoRNA 3'-end processing); GO:0008649 (rRNA methyltransferase activity); GO:0015030 (Cajal body); GO:0031167 (rRNA methylation); GO:1990258 (histone glutamine methylation); GO:1990259 (histone-glutamine methyltransferase activity); GO:0005515 (protein binding)</t>
  </si>
  <si>
    <t xml:space="preserve">Late endosomal/lysosomal adaptor, Mapk (MAPK) and mToR (MTOR) activator homolog </t>
  </si>
  <si>
    <t>GO:0032008 (positive regulation of TOR signaling); GO:0071230 (cellular response to amino acid stimulus); GO:0032006 (regulation of TOR signaling); GO:0071986 (Ragulator complex)</t>
  </si>
  <si>
    <t xml:space="preserve">Armadillo repeat-containing protein 1 </t>
  </si>
  <si>
    <t>GO:0016020 (membrane); GO:0005741 (mitochondrial outer membrane)</t>
  </si>
  <si>
    <t xml:space="preserve">ADP-ribosylation factor-like protein 5 </t>
  </si>
  <si>
    <t xml:space="preserve">Ceramide kinase 1 </t>
  </si>
  <si>
    <t>GO:0003951 (NAD+ kinase activity); GO:0016301 (kinase activity)</t>
  </si>
  <si>
    <t xml:space="preserve">Yeast MCM (Licensing factor) related </t>
  </si>
  <si>
    <t>GO:0005634 (nucleus); GO:0046872 (metal ion binding); GO:0006260 (DNA replication); GO:0003688 (DNA replication origin binding); GO:0006270 (DNA replication initiation); GO:0031298 (replication fork protection complex); GO:0003697 (single-stranded DNA binding); GO:0003690 (double-stranded DNA binding)</t>
  </si>
  <si>
    <t xml:space="preserve">Nematode Specific Peptide family, group C </t>
  </si>
  <si>
    <t xml:space="preserve">Serpentine Receptor, class O (Opsin) </t>
  </si>
  <si>
    <t xml:space="preserve">Ankyrin repeat and LEM domain-containing protein 2 homolog </t>
  </si>
  <si>
    <t>GO:0007084 (mitotic nuclear envelope reassembly); GO:0051721 (protein phosphatase 2A binding); GO:0035307 (positive regulation of protein dephosphorylation); GO:0005515 (protein binding)</t>
  </si>
  <si>
    <t xml:space="preserve">Aspartate--tRNA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</si>
  <si>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GO:0003723 (RNA binding); GO:0003676 (nucleic acid binding); GO:0005829 (cytosol); GO:0017101 (aminoacyl-tRNA synthetase multienzyme complex); GO:0004815 (aspartate-tRNA ligase activity); GO:0006422 (aspartyl-tRNA aminoacylation)</t>
  </si>
  <si>
    <t xml:space="preserve">RAL (Ras-related GTPase) homolog </t>
  </si>
  <si>
    <t>GO:0003924 (GTPase activity); GO:0005525 (GTP binding); GO:0016020 (membrane); GO:0005886 (plasma membrane); GO:0000166 (nucleotide binding); GO:0007165 (signal transduction); GO:0007265 (Ras protein signal transduction); GO:0007173 (epidermal growth factor receptor signaling pathway); GO:0040026 (positive regulation of vulval development); GO:0019003 (GDP binding); GO:0008340 (determination of adult lifespan); GO:0036258 (multivesicular body assembly); GO:0060178 (regulation of exocyst localization)</t>
  </si>
  <si>
    <t>GO:0016020 (membrane); GO:0016021 (integral component of membrane); GO:0005886 (plasma membrane); GO:0038023 (signaling receptor activity); GO:0005783 (endoplasmic reticulum); GO:0005789 (endoplasmic reticulum membrane); GO:0009897 (external side of plasma membrane); GO:0030177 (positive regulation of Wnt signaling pathway)</t>
  </si>
  <si>
    <t xml:space="preserve">Tubulin-specific chaperone D </t>
  </si>
  <si>
    <t>GO:0005096 (GTPase activator activity); GO:0043547 (positive regulation of GTPase activity); GO:0005874 (microtubule); GO:0048487 (beta-tubulin binding); GO:0000226 (microtubule cytoskeleton organization); GO:0006457 (protein folding); GO:0007021 (tubulin complex assembly); GO:0007023 (post-chaperonin tubulin folding pathway); GO:0016328 (lateral plasma membrane); GO:0034333 (adherens junction assembly); GO:0070830 (bicellular tight junction assembly)</t>
  </si>
  <si>
    <t xml:space="preserve">GILT-like protein F37H8.5 </t>
  </si>
  <si>
    <t>GO:0005576 (extracellular region); GO:0016491 (oxidoreductase activity); GO:0005737 (cytoplasm)</t>
  </si>
  <si>
    <t xml:space="preserve">Probable U3 small nucleolar RNA-associated protein 11 </t>
  </si>
  <si>
    <t>GO:0005634 (nucleus); GO:0006412 (translation); GO:0005730 (nucleolus); GO:0006364 (rRNA processing); GO:0032040 (small-subunit processome)</t>
  </si>
  <si>
    <t xml:space="preserve">Fibulin-1 </t>
  </si>
  <si>
    <t>GO:0030198 (extracellular matrix organization); GO:0016504 (peptidase activator activity); GO:0005509 (calcium ion binding); GO:0005576 (extracellular region); GO:0010952 (positive regulation of peptidase activity)</t>
  </si>
  <si>
    <t xml:space="preserve">PLaSTin (Actin bundling protein) homolog </t>
  </si>
  <si>
    <t>GO:0005737 (cytoplasm); GO:0051015 (actin filament binding); GO:0003779 (actin binding); GO:0051017 (actin filament bundle assembly); GO:0005884 (actin filament); GO:0032432 (actin filament bundle); GO:0051639 (actin filament network formation); GO:0005515 (protein binding)</t>
  </si>
  <si>
    <t xml:space="preserve">FOG-3 protein; Feminization Of Germline </t>
  </si>
  <si>
    <t>GO:0005634 (nucleus); GO:0005737 (cytoplasm); GO:0003714 (transcription corepressor activity); GO:0010468 (regulation of gene expression); GO:0007283 (spermatogenesis); GO:0060282 (positive regulation of oocyte development); GO:0001708 (cell fate specification); GO:0003674 (molecular_function); GO:0034399 (nuclear periphery); GO:0042006 (masculinization of hermaphroditic germ-line); GO:0045892 (negative regulation of transcription, DNA-templated)</t>
  </si>
  <si>
    <t xml:space="preserve">NEK (NEver in mitosis Kinase) Like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</si>
  <si>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GO:0005813 (centrosome); GO:0007059 (chromosome segregation)</t>
  </si>
  <si>
    <t xml:space="preserve">SORBin homolog </t>
  </si>
  <si>
    <t>GO:0016020 (membrane); GO:0005886 (plasma membrane); GO:0005515 (protein binding); GO:0030054 (cell junction); GO:0005912 (adherens junction); GO:0005925 (focal adhesion); GO:0045214 (sarcomere organization); GO:0051659 (maintenance of mitochondrion location); GO:0097433 (dense body)</t>
  </si>
  <si>
    <t xml:space="preserve">Peptidylprolyl isomerase </t>
  </si>
  <si>
    <t>GO:0005737 (cytoplasm); GO:0016853 (isomerase activity); GO:0003755 (peptidyl-prolyl cis-trans isomerase activity); GO:0000413 (protein peptidyl-prolyl isomerization); GO:0061077 (chaperone-mediated protein folding); GO:0051879 (Hsp90 protein binding); GO:0005515 (protein binding)</t>
  </si>
  <si>
    <t xml:space="preserve">Serine/threonine-protein kinase sel-5 </t>
  </si>
  <si>
    <t>GO:0005524 (ATP binding); GO:0005737 (cytoplasm); GO:0004672 (protein kinase activity); GO:0004674 (protein serine/threonine kinase activity); GO:0006468 (protein phosphorylation); GO:0016301 (kinase activity); GO:0016310 (phosphorylation); GO:0046872 (metal ion binding); GO:0000166 (nucleotide binding); GO:0016740 (transferase activity); GO:0045747 (positive regulation of Notch signaling pathway); GO:0035612 (AP-2 adaptor complex binding); GO:2000369 (regulation of clathrin-dependent endocytosis); GO:0106310 (protein serine kinase activity); GO:0106311 (protein threonine kinase activity)</t>
  </si>
  <si>
    <t>GO:0005634 (nucleus); GO:0006260 (DNA replication); GO:0003688 (DNA replication origin binding); GO:0005664 (nuclear origin of replication recognition complex); GO:0006270 (DNA replication initiation); GO:0000808 (origin recognition complex)</t>
  </si>
  <si>
    <t xml:space="preserve">Nop2 (NOP2)/SUN domain family member </t>
  </si>
  <si>
    <t>GO:0001510 (RNA methylation); GO:0008168 (methyltransferase activity); GO:0032259 (methylation); GO:0016740 (transferase activity); GO:0003723 (RNA binding); GO:0005730 (nucleolus); GO:0006364 (rRNA processing); GO:0070475 (rRNA base methylation); GO:0090327 (negative regulation of locomotion involved in locomotory behavior); GO:0009383 (rRNA (cytosine-C5-)-methyltransferase activity); GO:1900035 (negative regulation of cellular response to heat); GO:2000234 (positive regulation of rRNA processing)</t>
  </si>
  <si>
    <t xml:space="preserve">TEP (ThiolEster containing Protein) </t>
  </si>
  <si>
    <t>GO:0005576 (extracellular region); GO:0010951 (negative regulation of endopeptidase activity); GO:0005615 (extracellular space); GO:0004866 (endopeptidase inhibitor activity)</t>
  </si>
  <si>
    <t xml:space="preserve">Hepatocyte Growth factor-Regulated TK Substrate (HRS) family </t>
  </si>
  <si>
    <t>GO:0016301 (kinase activity); GO:0016310 (phosphorylation); GO:0046872 (metal ion binding); GO:0006886 (intracellular protein transport); GO:0005769 (early endosome); GO:0010008 (endosome membrane); GO:0032266 (phosphatidylinositol-3-phosphate binding); GO:0043130 (ubiquitin binding); GO:0033565 (ESCRT-0 complex); GO:0097499 (protein localization to non-motile cilium)</t>
  </si>
  <si>
    <t>GO:0002119 (nematode larval development)</t>
  </si>
  <si>
    <t xml:space="preserve">Ribonuclease P protein subunit p29 </t>
  </si>
  <si>
    <t>GO:0016787 (hydrolase activity); GO:0003723 (RNA binding); GO:0005737 (cytoplasm); GO:0006396 (RNA processing); GO:0090305 (nucleic acid phosphodiester bond hydrolysis); GO:0090501 (RNA phosphodiester bond hydrolysis); GO:0090502 (RNA phosphodiester bond hydrolysis, endonucleolytic); GO:0004526 (ribonuclease P activity); GO:0006364 (rRNA processing); GO:0008033 (tRNA processing); GO:0004518 (nuclease activity); GO:0000172 (ribonuclease MRP complex); GO:0004519 (endonuclease activity); GO:0000171 (ribonuclease MRP activity); GO:0001682 (tRNA 5'-leader removal); GO:0030677 (ribonuclease P complex); GO:0033204 (ribonuclease P RNA binding); GO:0004540 (ribonuclease activity)</t>
  </si>
  <si>
    <t>GO:0016853 (isomerase activity); GO:0003755 (peptidyl-prolyl cis-trans isomerase activity); GO:0000413 (protein peptidyl-prolyl isomerization)</t>
  </si>
  <si>
    <t xml:space="preserve">Putative cytochrome P450 CYP13A5 </t>
  </si>
  <si>
    <t>GO:0016020 (membrane); GO:0005777 (peroxisome); GO:0005779 (integral component of peroxisomal membrane); GO:0016559 (peroxisome fission); GO:0045087 (innate immune response); GO:0050829 (defense response to Gram-negative bacterium); GO:0044375 (regulation of peroxisome size); GO:0031231 (intrinsic component of peroxisomal membrane)</t>
  </si>
  <si>
    <t xml:space="preserve">Teneurin-1 </t>
  </si>
  <si>
    <t>GO:0016020 (membrane); GO:0016021 (integral component of membrane); GO:0005886 (plasma membrane); GO:0005634 (nucleus); GO:0007275 (multicellular organism development); GO:0008045 (motor neuron axon guidance); GO:0016477 (cell migration); GO:0008585 (female gonad development); GO:0060465 (pharynx development); GO:0007411 (axon guidance); GO:0007413 (axonal fasciculation); GO:0008584 (male gonad development); GO:2001197 (basement membrane assembly involved in embryonic body morphogenesis); GO:0009792 (embryo development ending in birth or egg hatching); GO:0008406 (gonad development); GO:0030421 (defecation); GO:0010172 (embryonic body morphogenesis); GO:0003674 (molecular_function); GO:0071711 (basement membrane organization); GO:0040039 (inductive cell migration); GO:0007276 (gamete generation); GO:0040032 (post-embryonic body morphogenesis); GO:0019953 (sexual reproduction); GO:0048563 (post-embryonic animal organ morphogenesis)</t>
  </si>
  <si>
    <t xml:space="preserve">Dihydropyrimidine dehydrogenase [NADP(+)] </t>
  </si>
  <si>
    <t>GO:0051536 (iron-sulfur cluster binding); GO:0016627 (oxidoreductase activity, acting on the CH-CH group of donors); GO:0005737 (cytoplasm); GO:0016491 (oxidoreductase activity); GO:0055114 (oxidation-reduction process); GO:0003824 (catalytic activity)</t>
  </si>
  <si>
    <t>GO:0016787 (hydrolase activity); GO:0046872 (metal ion binding); GO:0005739 (mitochondrion); GO:0016311 (dephosphorylation); GO:0004721 (phosphoprotein phosphatase activity); GO:0006470 (protein dephosphorylation); GO:0016791 (phosphatase activity); GO:0004722 (protein serine/threonine phosphatase activity); GO:0106306 (protein serine phosphatase activity); GO:0106307 (protein threonine phosphatase activity)</t>
  </si>
  <si>
    <t xml:space="preserve">Serine/threonine-protein kinase akt-2 </t>
  </si>
  <si>
    <t xml:space="preserve">POLG (Mitochondrial DNA POLymerase Gamma) </t>
  </si>
  <si>
    <t>GO:0003677 (DNA binding); GO:0005739 (mitochondrion); GO:0003887 (DNA-directed DNA polymerase activity); GO:0090305 (nucleic acid phosphodiester bond hydrolysis); GO:0008408 (3'-5' exonuclease activity); GO:0006260 (DNA replication); GO:0071897 (DNA biosynthetic process); GO:0006264 (mitochondrial DNA replication); GO:0005760 (gamma DNA polymerase complex); GO:0008406 (gonad development); GO:0030421 (defecation); GO:0008340 (determination of adult lifespan); GO:0007005 (mitochondrion organization)</t>
  </si>
  <si>
    <t>GO:0005634 (nucleus); GO:0046872 (metal ion binding); GO:0008270 (zinc ion binding); GO:0016788 (hydrolase activity, acting on ester bonds)</t>
  </si>
  <si>
    <t>GO:0004879 (nuclear receptor activity); GO:0030522 (intracellular receptor signaling pathway); GO:0000978 (RNA polymerase II cis-regulatory region sequence-specific DNA binding); GO:0006357 (regulation of transcription by RNA polymerase II); GO:0030154 (cell differentiation); GO:0048856 (anatomical structure development)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</si>
  <si>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GO:0016055 (Wnt signaling pathway); GO:0006897 (endocytosis)</t>
  </si>
  <si>
    <t xml:space="preserve">LiPocalin related protein variant 1b; LiPocalin-Related protein </t>
  </si>
  <si>
    <t>GO:0002119 (nematode larval development); GO:0006869 (lipid transport); GO:0005576 (extracellular region); GO:0035295 (tube development)</t>
  </si>
  <si>
    <t xml:space="preserve">Zinc finger protein PAG-3 </t>
  </si>
  <si>
    <t>GO:0000978 (RNA polymerase II cis-regulatory region sequence-specific DNA binding); GO:0003700 (DNA-binding transcription factor activity); GO:0006357 (regulation of transcription by RNA polymerase II); GO:0005634 (nucleus); GO:0045664 (regulation of neuron differentiation); GO:0000122 (negative regulation of transcription by RNA polymerase II); GO:0003714 (transcription corepressor activity); GO:0043066 (negative regulation of apoptotic process); GO:0043058 (regulation of backward locomotion); GO:0043059 (regulation of forward locomotion); GO:0014018 (neuroblast fate specification); GO:0046676 (negative regulation of insulin secretion); GO:0046929 (negative regulation of neurotransmitter secretion)</t>
  </si>
  <si>
    <t xml:space="preserve">Matrix metalloproteinase-A </t>
  </si>
  <si>
    <t>GO:0016020 (membrane); GO:0016021 (integral component of membrane); GO:0005938 (cell cortex); GO:0035017 (cuticle pattern formation)</t>
  </si>
  <si>
    <t xml:space="preserve">Putative endoplasmic reticulum metallopeptidase 1-B </t>
  </si>
  <si>
    <t>GO:0016020 (membrane); GO:0016021 (integral component of membrane); GO:0016787 (hydrolase activity); GO:0046872 (metal ion binding); GO:0006508 (proteolysis); GO:0008233 (peptidase activity); GO:0008237 (metallopeptidase activity); GO:0005783 (endoplasmic reticulum); GO:0005789 (endoplasmic reticulum membrane); GO:0008235 (metalloexopeptidase activity)</t>
  </si>
  <si>
    <t xml:space="preserve">SIPA (Vertebrate Signal-Induced Proliferation-Associated) homolog </t>
  </si>
  <si>
    <t>GO:0005737 (cytoplasm); GO:0005096 (GTPase activator activity); GO:0090630 (activation of GTPase activity); GO:0005515 (protein binding); GO:0051056 (regulation of small GTPase mediated signal transduction)</t>
  </si>
  <si>
    <t xml:space="preserve">Extracellular serine/threonine protein kinase CeFam20 </t>
  </si>
  <si>
    <t>GO:0004674 (protein serine/threonine kinase activity); GO:0016301 (kinase activity); GO:0016310 (phosphorylation); GO:0046872 (metal ion binding); GO:0000166 (nucleotide binding); GO:0016740 (transferase activity); GO:0005794 (Golgi apparatus); GO:0005576 (extracellular region); GO:0005524 (ATP binding); GO:0006468 (protein phosphorylation); GO:0030145 (manganese ion binding); GO:0016773 (phosphotransferase activity, alcohol group as acceptor); GO:0106310 (protein serine kinase activity); GO:0106311 (protein threonine kinase activity)</t>
  </si>
  <si>
    <t xml:space="preserve">Cell division control protein 42 homolog </t>
  </si>
  <si>
    <t>GO:0007264 (small GTPase mediated signal transduction); GO:0003924 (GTPase activity); GO:0005525 (GTP binding)</t>
  </si>
  <si>
    <t xml:space="preserve">Probable 26S proteasome regulatory subunit 4 </t>
  </si>
  <si>
    <t>GO:0005886 (plasma membrane); GO:0005829 (cytosol); GO:0030054 (cell junction); GO:0019239 (deaminase activity); GO:0004000 (adenosine deaminase activity); GO:0006154 (adenosine catabolic process); GO:0043103 (hypoxanthine salvage); GO:0046103 (inosine biosynthetic process); GO:0060205 (cytoplasmic vesicle lumen); GO:0009897 (external side of plasma membrane); GO:0060169 (negative regulation of adenosine receptor signaling pathway)</t>
  </si>
  <si>
    <t xml:space="preserve">SAPS (Phosphatase associated) domain protein </t>
  </si>
  <si>
    <t>GO:0019903 (protein phosphatase binding); GO:0043666 (regulation of phosphoprotein phosphatase activity); GO:0005634 (nucleus); GO:0005737 (cytoplasm); GO:0005829 (cytosol); GO:0005856 (cytoskeleton); GO:0007049 (cell cycle); GO:0019888 (protein phosphatase regulator activity); GO:0000922 (spindle pole); GO:0005938 (cell cortex); GO:0030590 (first cell cycle pseudocleavage); GO:0030866 (cortical actin cytoskeleton organization); GO:0040001 (establishment of mitotic spindle localization); GO:0000235 (astral microtubule)</t>
  </si>
  <si>
    <t>GO:0003924 (GTPase activity); GO:0005525 (GTP binding); GO:0005886 (plasma membrane); GO:0006886 (intracellular protein transport); GO:0005515 (protein binding); GO:0005769 (early endosome); GO:0006897 (endocytosis); GO:0005768 (endosome); GO:0012505 (endomembrane system); GO:0031901 (early endosome membrane); GO:0030139 (endocytic vesicle); GO:0030100 (regulation of endocytosis); GO:0009792 (embryo development ending in birth or egg hatching); GO:0006898 (receptor-mediated endocytosis); GO:0008104 (protein localization); GO:0009306 (protein secretion); GO:0005938 (cell cortex); GO:0045335 (phagocytic vesicle); GO:1990075 (periciliary membrane compartment); GO:0032794 (GTPase activating protein binding); GO:0090386 (phagosome maturation involved in apoptotic cell clearance); GO:0045176 (apical protein localization)</t>
  </si>
  <si>
    <t>GO:0000166 (nucleotide binding); GO:0005524 (ATP binding); GO:0003723 (RNA binding); GO:0000184 (nuclear-transcribed mRNA catabolic process, nonsense-mediated decay); GO:0004386 (helicase activity); GO:0000956 (nuclear-transcribed mRNA catabolic process)</t>
  </si>
  <si>
    <t xml:space="preserve">Anaphase-promoting complex subunit 2 </t>
  </si>
  <si>
    <t>GO:0031625 (ubiquitin protein ligase binding); GO:0006511 (ubiquitin-dependent protein catabolic process)</t>
  </si>
  <si>
    <t>GO:0005929 (cilium); GO:0060271 (cilium assembly); GO:0016020 (membrane); GO:0016021 (integral component of membrane)</t>
  </si>
  <si>
    <t>GO:0005737 (cytoplasm); GO:0016787 (hydrolase activity); GO:0046872 (metal ion binding); GO:0005829 (cytosol); GO:0019547 (arginine catabolic process to ornithine); GO:0030145 (manganese ion binding); GO:0045087 (innate immune response); GO:0004053 (arginase activity); GO:0006525 (arginine metabolic process); GO:0000050 (urea cycle)</t>
  </si>
  <si>
    <t xml:space="preserve">ArylForMamiDase </t>
  </si>
  <si>
    <t>GO:0005737 (cytoplasm); GO:0016787 (hydrolase activity); GO:0019441 (tryptophan catabolic process to kynurenine)</t>
  </si>
  <si>
    <t>GO:0005737 (cytoplasm); GO:0005634 (nucleus); GO:0003723 (RNA binding); GO:0035145 (exon-exon junction complex); GO:1903259 (exon-exon junction complex disassembly)</t>
  </si>
  <si>
    <t>GO:0003735 (structural constituent of ribosome); GO:0005840 (ribosome); GO:0006412 (translation); GO:0005762 (mitochondrial large ribosomal subunit); GO:0032543 (mitochondrial translation); GO:0019843 (rRNA binding)</t>
  </si>
  <si>
    <t xml:space="preserve">Beta carbonic anhydrase 1 </t>
  </si>
  <si>
    <t xml:space="preserve">Mediator of RNA polymerase II transcription subunit 11 </t>
  </si>
  <si>
    <t>GO:0005840 (ribosome); GO:0005762 (mitochondrial large ribosomal subunit); GO:0003735 (structural constituent of ribosome)</t>
  </si>
  <si>
    <t>GO:0003674 (molecular_function); GO:0005575 (cellular_component); GO:0008150 (biological_process)</t>
  </si>
  <si>
    <t>GO:0005634 (nucleus); GO:0005669 (transcription factor TFIID complex); GO:0006355 (regulation of transcription, DNA-templated); GO:0043966 (histone H3 acetylation); GO:0006367 (transcription initiation from RNA polymerase II promoter); GO:0005515 (protein binding)</t>
  </si>
  <si>
    <t xml:space="preserve">Cysteine synthase 1 </t>
  </si>
  <si>
    <t xml:space="preserve">Adenosine 3'-phospho 5'-phosphosulfate transporter 2 </t>
  </si>
  <si>
    <t>GO:0016020 (membrane); GO:0016021 (integral component of membrane); GO:0000139 (Golgi membrane); GO:0005794 (Golgi apparatus); GO:0055085 (transmembrane transport); GO:0030173 (integral component of Golgi membrane); GO:0030176 (integral component of endoplasmic reticulum membrane); GO:0022857 (transmembrane transporter activity); GO:0046964 (3'-phosphoadenosine 5'-phosphosulfate transmembrane transporter activity); GO:1902559 (3'-phospho-5'-adenylyl sulfate transmembrane transport); GO:0046963 (3'-phosphoadenosine 5'-phosphosulfate transport)</t>
  </si>
  <si>
    <t xml:space="preserve">Choline kinase A2 </t>
  </si>
  <si>
    <t xml:space="preserve">Tubulin--tyrosine ligase-like protein 12 </t>
  </si>
  <si>
    <t>GO:0005524 (ATP binding); GO:0000166 (nucleotide binding); GO:0006464 (cellular protein modification process); GO:0003674 (molecular_function); GO:0005783 (endoplasmic reticulum); GO:0018991 (oviposition); GO:0055120 (striated muscle dense body); GO:0030017 (sarcomere)</t>
  </si>
  <si>
    <t xml:space="preserve">26S proteasome non-ATPase regulatory subunit 14 </t>
  </si>
  <si>
    <t>GO:0061578 (Lys63-specific deubiquitinase activity); GO:0070122 (isopeptidase activity); GO:0008237 (metallopeptidase activity); GO:0005515 (protein binding)</t>
  </si>
  <si>
    <t xml:space="preserve">Small conductance calcium-activated potassium channel-like protein 3 </t>
  </si>
  <si>
    <t>GO:0016286 (small conductance calcium-activated potassium channel activity); GO:0015269 (calcium-activated potassium channel activity); GO:0005516 (calmodulin binding); GO:0006813 (potassium ion transport); GO:0016021 (integral component of membrane)</t>
  </si>
  <si>
    <t xml:space="preserve">Probable elongation factor 1-gamma </t>
  </si>
  <si>
    <t>GO:0006414 (translational elongation); GO:0003746 (translation elongation factor activity)</t>
  </si>
  <si>
    <t xml:space="preserve">Receptor-type guanylate cyclase gcy-13 </t>
  </si>
  <si>
    <t>GO:0016020 (membrane); GO:0016021 (integral component of membrane); GO:0043005 (neuron projection); GO:0004930 (G protein-coupled receptor activity); GO:0007165 (signal transduction); GO:0007186 (G protein-coupled receptor signaling pathway); GO:0005887 (integral component of plasma membrane); GO:0042277 (peptide binding)</t>
  </si>
  <si>
    <t xml:space="preserve">DNA replication licensing factor mcm-5 </t>
  </si>
  <si>
    <t>GO:0003688 (DNA replication origin binding); GO:0042555 (MCM complex); GO:0006270 (DNA replication initiation); GO:0032508 (DNA duplex unwinding); GO:0006260 (DNA replication); GO:0005524 (ATP binding); GO:0005634 (nucleus); GO:0003677 (DNA binding)</t>
  </si>
  <si>
    <t>GO:0005730 (nucleolus); GO:0032040 (small-subunit processome); GO:0030692 (Noc4p-Nop14p complex); GO:0042254 (ribosome biogenesis)</t>
  </si>
  <si>
    <t xml:space="preserve">Serine/threonine-protein phosphatase 4 regulatory subunit ppfr-4 </t>
  </si>
  <si>
    <t>GO:0009966 (regulation of signal transduction)</t>
  </si>
  <si>
    <t>GO:0005737 (cytoplasm); GO:0006468 (protein phosphorylation); GO:0008887 (glycerate kinase activity)</t>
  </si>
  <si>
    <t xml:space="preserve">Nuclear hormone receptor family member nhr-5 </t>
  </si>
  <si>
    <t xml:space="preserve">Protein Phosphatase Four Regulatory subunit </t>
  </si>
  <si>
    <t>GO:0005634 (nucleus); GO:0005737 (cytoplasm); GO:0006470 (protein dephosphorylation); GO:0019888 (protein phosphatase regulator activity); GO:0043666 (regulation of phosphoprotein phosphatase activity); GO:0030289 (protein phosphatase 4 complex)</t>
  </si>
  <si>
    <t xml:space="preserve">Delta and OSM-11-like </t>
  </si>
  <si>
    <t>GO:0005615 (extracellular space); GO:0005112 (Notch binding); GO:0045747 (positive regulation of Notch signaling pathway)</t>
  </si>
  <si>
    <t xml:space="preserve">Probable Na(+)/H(+) antiporter nhx-9 </t>
  </si>
  <si>
    <t>GO:0016020 (membrane); GO:0016021 (integral component of membrane); GO:0016740 (transferase activity); GO:0016746 (transferase activity, transferring acyl groups); GO:0005789 (endoplasmic reticulum membrane); GO:0006629 (lipid metabolic process); GO:0005783 (endoplasmic reticulum); GO:0008374 (O-acyltransferase activity); GO:0008202 (steroid metabolic process); GO:0008203 (cholesterol metabolic process); GO:0034435 (cholesterol esterification); GO:0034736 (cholesterol O-acyltransferase activity); GO:0042632 (cholesterol homeostasis)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</si>
  <si>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GO:0004707 (MAP kinase activity); GO:0004705 (JUN kinase activity); GO:0007254 (JNK cascade); GO:0007258 (JUN phosphorylation)</t>
  </si>
  <si>
    <t xml:space="preserve">Excretory canal abnormal protein 6 </t>
  </si>
  <si>
    <t>GO:0016020 (membrane); GO:0016021 (integral component of membrane); GO:0043231 (intracellular membrane-bounded organelle)</t>
  </si>
  <si>
    <t>GO:0006508 (proteolysis); GO:0008233 (peptidase activity); GO:0005615 (extracellular space); GO:0004867 (serine-type endopeptidase inhibitor activity); GO:0010951 (negative regulation of endopeptidase activity); GO:0010466 (negative regulation of peptidase activity); GO:0030414 (peptidase inhibitor activity); GO:0005783 (endoplasmic reticulum)</t>
  </si>
  <si>
    <t>GO:0005634 (nucleus); GO:0006366 (transcription by RNA polymerase II); GO:0003713 (transcription coactivator activity); GO:0043966 (histone H3 acetylation); GO:0005516 (calmodulin binding); GO:0030914 (STAGA complex); GO:0045893 (positive regulation of transcription, DNA-templated)</t>
  </si>
  <si>
    <t xml:space="preserve">COGC-1; Conserved Oligomeric Golgi (COG) Component </t>
  </si>
  <si>
    <t>GO:0016020 (membrane); GO:0005794 (Golgi apparatus); GO:0015031 (protein transport); GO:0006891 (intra-Golgi vesicle-mediated transport); GO:0017119 (Golgi transport complex); GO:0040025 (vulval development); GO:0030334 (regulation of cell migration); GO:0035262 (gonad morphogenesis); GO:0002009 (morphogenesis of an epithelium); GO:0048815 (hermaphrodite genitalia morphogenesis)</t>
  </si>
  <si>
    <t>GO:0005634 (nucleus); GO:0009792 (embryo development ending in birth or egg hatching); GO:0031965 (nuclear membrane); GO:0005643 (nuclear pore); GO:0006997 (nucleus organization); GO:0017056 (structural constituent of nuclear pore); GO:0034501 (protein localization to kinetochore); GO:0090435 (protein localization to nuclear envelope); GO:0006913 (nucleocytoplasmic transport); GO:0110039 (positive regulation of nematode male tail tip morphogenesis)</t>
  </si>
  <si>
    <t>GO:0070131 (positive regulation of mitochondrial translation)</t>
  </si>
  <si>
    <t>GO:0003677 (DNA binding); GO:0000724 (double-strand break repair via homologous recombination); GO:0010212 (response to ionizing radiation); GO:0070876 (SOSS complex)</t>
  </si>
  <si>
    <t xml:space="preserve">Methionine aminopeptidase 2 </t>
  </si>
  <si>
    <t>GO:0070006 (metalloaminopeptidase activity); GO:0006508 (proteolysis); GO:0016787 (hydrolase activity); GO:0046872 (metal ion binding); GO:0005737 (cytoplasm); GO:0008233 (peptidase activity); GO:0004177 (aminopeptidase activity); GO:0070084 (protein initiator methionine removal); GO:0007276 (gamete generation); GO:0008238 (exopeptidase activity)</t>
  </si>
  <si>
    <t>GO:0016020 (membrane); GO:0016021 (integral component of membrane); GO:0046872 (metal ion binding); GO:0016740 (transferase activity); GO:0016757 (transferase activity, transferring glycosyl groups); GO:0006486 (protein glycosylation); GO:0016263 (glycoprotein-N-acetylgalactosamine 3-beta-galactosyltransferase activity); GO:0016267 (O-glycan processing, core 1); GO:0016266 (O-glycan processing); GO:0018215 (protein phosphopantetheinylation)</t>
  </si>
  <si>
    <t xml:space="preserve">Sperm-specific class P protein 19 </t>
  </si>
  <si>
    <t>GO:0042803 (protein homodimerization activity)</t>
  </si>
  <si>
    <t xml:space="preserve">Unconventional myosin heavy chain 6 </t>
  </si>
  <si>
    <t>GO:0016459 (myosin complex); GO:0003774 (motor activity); GO:0051015 (actin filament binding); GO:0005856 (cytoskeleton); GO:0005515 (protein binding); GO:0005524 (ATP binding)</t>
  </si>
  <si>
    <t xml:space="preserve">Neurogenic differentiation factor 1 </t>
  </si>
  <si>
    <t xml:space="preserve">Acyl-CoA-binding protein homolog 1 </t>
  </si>
  <si>
    <t>GO:0000062 (fatty-acyl-CoA binding)</t>
  </si>
  <si>
    <t xml:space="preserve">A Kinase Anchor protein </t>
  </si>
  <si>
    <t>GO:0016301 (kinase activity); GO:0016310 (phosphorylation); GO:0046872 (metal ion binding); GO:0016197 (endosomal transport); GO:0031901 (early endosome membrane); GO:0032266 (phosphatidylinositol-3-phosphate binding)</t>
  </si>
  <si>
    <t xml:space="preserve">Synaptotagmin-1 </t>
  </si>
  <si>
    <t>GO:0016020 (membrane); GO:0016021 (integral component of membrane); GO:0005886 (plasma membrane); GO:0046872 (metal ion binding); GO:0031410 (cytoplasmic vesicle);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ion); GO:0030054 (cell junction); GO:0045202 (synapse); GO:0048488 (synaptic vesicle endocytosis); GO:0030424 (axon); GO:0048791 (calcium ion-regulated exocytosis of neurotransmitter); GO:0012501 (programmed cell death); GO:0030672 (synaptic vesicle membrane); GO:0007269 (neurotransmitter secretion); GO:0008021 (synaptic vesicle); GO:0031045 (dense core granule); GO:0030421 (defecation); GO:0043051 (regulation of pharyngeal pumping); GO:0010940 (positive regulation of necrotic cell death); GO:0007626 (locomotory behavior); GO:0046928 (regulation of neurotransmitter secretion); GO:0016079 (synaptic vesicle exocytosis)</t>
  </si>
  <si>
    <t xml:space="preserve">Protein Kinase N (PKN) homolog 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</si>
  <si>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GO:0005634 (nucleus); GO:0000166 (nucleotide binding); GO:0016740 (transferase activity); GO:0007165 (signal transduction); GO:0035556 (intracellular signal transduction); GO:0004697 (protein kinase C activity); GO:0005737 (cytoplasm); GO:0055120 (striated muscle dense body); GO:0031430 (M band); GO:0004698 (calcium-dependent protein kinase C activity); GO:0106310 (protein serine kinase activity); GO:0106311 (protein threonine kinase activity); GO:0031267 (small GTPase binding)</t>
  </si>
  <si>
    <t>GO:0003824 (catalytic activity); GO:0016787 (hydrolase activity); GO:0008484 (sulfuric ester hydrolase activity)</t>
  </si>
  <si>
    <t>GO:0005737 (cytoplasm); GO:0008296 (3'-5'-exodeoxyribonuclease activity); GO:0000738 (DNA catabolic process, exonucleolytic)</t>
  </si>
  <si>
    <t xml:space="preserve">CaDmium Responsive; Cadmium-inducible lysosomal protein CDR-2 </t>
  </si>
  <si>
    <t>GO:0016020 (membrane); GO:0016021 (integral component of membrane); GO:0005737 (cytoplasm); GO:0060625 (regulation of protein deneddylation); GO:1990170 (stress response to cadmium ion)</t>
  </si>
  <si>
    <t xml:space="preserve">Serpentine Receptor, class TX </t>
  </si>
  <si>
    <t>GO:0016020 (membrane); GO:0016021 (integral component of membrane); GO:0040040 (thermosensory behavior); GO:0032589 (neuron projection membrane); GO:0044306 (neuron projection terminus)</t>
  </si>
  <si>
    <t xml:space="preserve">Iodotyrosine dehalogenase 1 homolog </t>
  </si>
  <si>
    <t xml:space="preserve">LEV-10B </t>
  </si>
  <si>
    <t>GO:0016020 (membrane); GO:0016021 (integral component of membrane); GO:0045202 (synapse); GO:0043196 (varicosity); GO:0005515 (protein binding)</t>
  </si>
  <si>
    <t xml:space="preserve">SR protein related </t>
  </si>
  <si>
    <t>GO:0000785 (chromatin); GO:0016607 (nuclear speck)</t>
  </si>
  <si>
    <t xml:space="preserve">PCI domain-containing protein 2 homolog </t>
  </si>
  <si>
    <t>GO:0003723 (RNA binding); GO:0003690 (double-stranded DNA binding); GO:0000973 (posttranscriptional tethering of RNA polymerase II gene DNA at nuclear periphery); GO:0006368 (transcription elongation from RNA polymerase II promoter); GO:0016973 (poly(A)+ mRNA export from nucleus); GO:0070390 (transcription export complex 2); GO:0071033 (nuclear retention of pre-mRNA at the site of transcription)</t>
  </si>
  <si>
    <t xml:space="preserve">Systemic RNA interference defective protein 2 </t>
  </si>
  <si>
    <t>GO:0016020 (membrane); GO:0016021 (integral component of membrane); GO:0005886 (plasma membrane); GO:0005737 (cytoplasm); GO:0031047 (gene silencing by RNA); GO:0016324 (apical plasma membrane); GO:0006897 (endocytosis); GO:0050658 (RNA transport); GO:0016246 (RNA interference)</t>
  </si>
  <si>
    <t xml:space="preserve">MLt-TeN (Mlt-10) related </t>
  </si>
  <si>
    <t xml:space="preserve">Protein male abnormal 7 </t>
  </si>
  <si>
    <t xml:space="preserve">XO lethal protein 1 </t>
  </si>
  <si>
    <t>GO:0005634 (nucleus); GO:0007275 (multicellular organism development); GO:0030154 (cell differentiation); GO:0003674 (molecular_function); GO:0005575 (cellular_component); GO:0042464 (dosage compensation by hypoactivation of X chromosome); GO:0030238 (male sex determination); GO:0000366 (intergenic mRNA trans splicing)</t>
  </si>
  <si>
    <t xml:space="preserve">Tubulin alpha chain </t>
  </si>
  <si>
    <t>GO:0005525 (GTP binding); GO:0005737 (cytoplasm); GO:0000166 (nucleotide binding); GO:0003924 (GTPase activity); GO:0005874 (microtubule); GO:0007017 (microtubule-based process); GO:0005200 (structural constituent of cytoskeleton); GO:0000278 (mitotic cell cycle); GO:0000226 (microtubule cytoskeleton organization)</t>
  </si>
  <si>
    <t>GO:0005615 (extracellular space); GO:0004867 (serine-type endopeptidase inhibitor activity); GO:0010951 (negative regulation of endopeptidase activity)</t>
  </si>
  <si>
    <t xml:space="preserve">Serpentine receptor class alpha-13 </t>
  </si>
  <si>
    <t>GO:0016020 (membrane); GO:0016021 (integral component of membrane); GO:0007606 (sensory perception of chemical stimulus); GO:0004930 (G protein-coupled receptor activity); GO:0004984 (olfactory receptor activity); GO:0050907 (detection of chemical stimulus involved in sensory perception); GO:0007186 (G protein-coupled receptor signaling pathway); GO:0007608 (sensory perception of smell); GO:0050896 (response to stimulus); GO:0040027 (negative regulation of vulval development); GO:0032096 (negative regulation of response to food); GO:0046580 (negative regulation of Ras protein signal transduction); GO:0050911 (detection of chemical stimulus involved in sensory perception of smell)</t>
  </si>
  <si>
    <t>GO:0004714 (transmembrane receptor protein tyrosine kinase activity); GO:0004713 (protein tyrosine kinase activity); GO:0004672 (protein kinase activity); GO:0006468 (protein phosphorylation); GO:0005524 (ATP binding)</t>
  </si>
  <si>
    <t xml:space="preserve">C-type lectin domain-containing protein 162 </t>
  </si>
  <si>
    <t xml:space="preserve">Serpentine receptor class epsilon-37 </t>
  </si>
  <si>
    <t xml:space="preserve">Serpentine Receptor, class AB (Class A-like) </t>
  </si>
  <si>
    <t>GO:0005886 (plasma membrane); GO:0046872 (metal ion binding); GO:0005829 (cytosol); GO:0005925 (focal adhesion); GO:0003712 (transcription coregulator activity)</t>
  </si>
  <si>
    <t>snRNA</t>
  </si>
  <si>
    <t xml:space="preserve">MX region of TRA-2 Related </t>
  </si>
  <si>
    <t>GO:0016021 (integral component of membrane); GO:0004888 (transmembrane signaling receptor activity); GO:0005886 (plasma membrane); GO:0018992 (germ-line sex determination); GO:0040021 (hermaphrodite germ-line sex determination); GO:0042001 (hermaphrodite somatic sex determination)</t>
  </si>
  <si>
    <t>tRNA</t>
  </si>
  <si>
    <t xml:space="preserve">Serpentine receptor class alpha-31 </t>
  </si>
  <si>
    <t>GO:0016020 (membrane); GO:0016021 (integral component of membrane); GO:0007606 (sensory perception of chemical stimulus); GO:0004930 (G protein-coupled receptor activity); GO:0007186 (G protein-coupled receptor signaling pathway)</t>
  </si>
  <si>
    <t xml:space="preserve">Serpentine Receptor, class Z </t>
  </si>
  <si>
    <t>GO:0006508 (proteolysis); GO:0004190 (aspartic-type endopeptidase activity)</t>
  </si>
  <si>
    <t xml:space="preserve">Serpentine receptor class epsilon-30 </t>
  </si>
  <si>
    <t xml:space="preserve">Serpentine Receptor, class A (Alpha) </t>
  </si>
  <si>
    <t xml:space="preserve">Secreted nematode Clade V Protein gene family </t>
  </si>
  <si>
    <t>GO:0009263 (deoxyribonucleotide biosynthetic process)</t>
  </si>
  <si>
    <t xml:space="preserve">LOW QUALITY PROTEIN: Uncharacterized protein CELE_Y55F3C.17 </t>
  </si>
  <si>
    <t xml:space="preserve">Putative cuticle collagen 79 </t>
  </si>
  <si>
    <t xml:space="preserve">Serpentine receptor class gamma-16 </t>
  </si>
  <si>
    <t>GO:0016020 (membrane); GO:0016740 (transferase activity); GO:0016757 (transferase activity, transferring glycosyl groups); GO:0005975 (carbohydrate metabolic process); GO:0008107 (galactoside 2-alpha-L-fucosyltransferase activity); GO:0036065 (fucosylation); GO:0043413 (macromolecule glycosylation)</t>
  </si>
  <si>
    <t xml:space="preserve">Nuclear hormone receptor family member nhr-51 </t>
  </si>
  <si>
    <t xml:space="preserve">Non-catalytic caspase homolog csp-3 </t>
  </si>
  <si>
    <t>GO:0004197 (cysteine-type endopeptidase activity); GO:0008234 (cysteine-type peptidase activity); GO:0006508 (proteolysis)</t>
  </si>
  <si>
    <t>GO:0005581 (collagen trimer); GO:0005615 (extracellular space); GO:0030198 (extracellular matrix organization); GO:0005201 (extracellular matrix structural constituent); GO:0031012 (extracellular matrix)</t>
  </si>
  <si>
    <t>GO:0005634 (nucleus); GO:0005524 (ATP binding); GO:0005737 (cytoplasm); GO:0004672 (protein kinase activity); GO:0006468 (protein phosphorylation); GO:0016301 (kinase activity); GO:0016310 (phosphorylation); GO:0000166 (nucleotide binding); GO:0035556 (intracellular signal transduction); GO:0000278 (mitotic cell cycle); GO:0072354 (histone kinase activity (H3-T3 specific)); GO:0072355 (histone H3-T3 phosphorylation)</t>
  </si>
  <si>
    <t xml:space="preserve">FER-1 Like </t>
  </si>
  <si>
    <t>GO:0016787 (hydrolase activity); GO:0005739 (mitochondrion)</t>
  </si>
  <si>
    <t xml:space="preserve">B3GNT1, Beta-1,3-N-acetylGucosamiNylTransferase 1, homolog </t>
  </si>
  <si>
    <t>GO:0016740 (transferase activity); GO:0016020 (membrane); GO:0016021 (integral component of membrane)</t>
  </si>
  <si>
    <t xml:space="preserve">Serpentine receptor class alpha-21 </t>
  </si>
  <si>
    <t xml:space="preserve">Serpentine receptor class delta-19 </t>
  </si>
  <si>
    <t xml:space="preserve">Serpentine receptor class epsilon-38 </t>
  </si>
  <si>
    <t xml:space="preserve">ATP-dependent DNA helicase </t>
  </si>
  <si>
    <t>GO:0000723 (telomere maintenance); GO:0003678 (DNA helicase activity); GO:0006281 (DNA repair)</t>
  </si>
  <si>
    <t>GO:0016020 (membrane); GO:0016021 (integral component of membrane); GO:0005216 (ion channel activity); GO:0006811 (ion transport); GO:0034220 (ion transmembrane transport); GO:0098655 (cation transmembrane transport); GO:0055085 (transmembrane transport); GO:0005222 (intracellular cAMP-activated cation channel activity); GO:0005223 (intracellular cGMP-activated cation channel activity); GO:0030553 (cGMP binding); GO:0097730 (non-motile cilium); GO:0040010 (positive regulation of growth rate); GO:0009408 (response to heat); GO:0048609 (multicellular organismal reproductive process)</t>
  </si>
  <si>
    <t xml:space="preserve">Putative serine/threonine-protein kinase K06H7.1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</si>
  <si>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GO:0106310 (protein serine kinase activity); GO:0106311 (protein threonine kinase activity)</t>
  </si>
  <si>
    <t xml:space="preserve">Ribosomal Protein, Large subunit </t>
  </si>
  <si>
    <t>GO:0005840 (ribosome)</t>
  </si>
  <si>
    <t xml:space="preserve">Nuclear hormone receptor family member nhr-9 </t>
  </si>
  <si>
    <t xml:space="preserve">Serpentine receptor class gamma-11 </t>
  </si>
  <si>
    <t>GO:0016020 (membrane); GO:0016740 (transferase activity); GO:0000139 (Golgi membrane); GO:0016757 (transferase activity, transferring glycosyl groups)</t>
  </si>
  <si>
    <t xml:space="preserve">Probable insulin-like peptide alpha-type 1 </t>
  </si>
  <si>
    <t xml:space="preserve">Probable G-protein coupled receptor F27E5.8 </t>
  </si>
  <si>
    <t xml:space="preserve">Histone H3.3-like type 1 </t>
  </si>
  <si>
    <t xml:space="preserve">Serpentine receptor class epsilon-45 </t>
  </si>
  <si>
    <t xml:space="preserve">Tyrosine-protein kinase receptor old-1 </t>
  </si>
  <si>
    <t xml:space="preserve">Serpentine receptor class gamma-6 </t>
  </si>
  <si>
    <t xml:space="preserve">Inactive tau-tubulin kinase ttbk-6 </t>
  </si>
  <si>
    <t>GO:0005634 (nucleus); GO:0005524 (ATP binding); GO:0005737 (cytoplasm); GO:0004672 (protein kinase activity); GO:0004674 (protein serine/threonine kinase activity); GO:0006468 (protein phosphorylation); GO:0018105 (peptidyl-serine phosphorylation)</t>
  </si>
  <si>
    <t>GO:0016020 (membrane); GO:0016021 (integral component of membrane); GO:0016740 (transferase activity); GO:0000139 (Golgi membrane); GO:0005794 (Golgi apparatus); GO:0016757 (transferase activity, transferring glycosyl groups); GO:0016758 (transferase activity, transferring hexosyl groups); GO:0006486 (protein glycosylation); GO:0008376 (acetylgalactosaminyltransferase activity); GO:0008375 (acetylglucosaminyltransferase activity)</t>
  </si>
  <si>
    <t>GO:0006888 (endoplasmic reticulum to Golgi vesicle-mediated transport); GO:0070971 (endoplasmic reticulum exit site); GO:0048208 (COPII vesicle coating); GO:0042802 (identical protein binding); GO:0005515 (protein binding)</t>
  </si>
  <si>
    <t>GO:0006508 (proteolysis); GO:0004252 (serine-type endopeptidase activity); GO:0016812 (hydrolase activity, acting on carbon-nitrogen (but not peptide) bonds, in cyclic amides)</t>
  </si>
  <si>
    <t>GO:0016020 (membrane); GO:0016021 (integral component of membrane); GO:0016740 (transferase activity); GO:0016757 (transferase activity, transferring glycosyl groups); GO:0005975 (carbohydrate metabolic process); GO:0008107 (galactoside 2-alpha-L-fucosyltransferase activity); GO:0036065 (fucosylation); GO:0043413 (macromolecule glycosylation)</t>
  </si>
  <si>
    <t xml:space="preserve">Nematode Specific Peptide family, group A </t>
  </si>
  <si>
    <t>GO:0006397 (mRNA processing)</t>
  </si>
  <si>
    <t>GO:0005737 (cytoplasm); GO:0005856 (cytoskeleton); GO:0005874 (microtubule); GO:0008017 (microtubule binding); GO:0051010 (microtubule plus-end binding); GO:0035371 (microtubule plus-end); GO:0005815 (microtubule organizing center); GO:0051233 (spindle midzone); GO:0051225 (spindle assembly); GO:0005881 (cytoplasmic microtubule); GO:0031110 (regulation of microtubule polymerization or depolymerization); GO:1904825 (protein localization to microtubule plus-end)</t>
  </si>
  <si>
    <t xml:space="preserve">Helix-loop-helix 34 </t>
  </si>
  <si>
    <t>GO:0046983 (protein dimerization activity); GO:0006355 (regulation of transcription, DNA-templated)</t>
  </si>
  <si>
    <t xml:space="preserve">Bestrophin homolog 25 </t>
  </si>
  <si>
    <t>GO:0005634 (nucleus);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GO:0050767 (regulation of neurogenesis); GO:0009952 (anterior/posterior pattern specification)</t>
  </si>
  <si>
    <t xml:space="preserve">Serpentine receptor class gamma-33 </t>
  </si>
  <si>
    <t>GO:0016020 (membrane); GO:0004675 (transmembrane receptor protein serine/threonine kinase activity); GO:0007178 (transmembrane receptor protein serine/threonine kinase signaling pathway)</t>
  </si>
  <si>
    <t xml:space="preserve">Tau TuBulin Kinase 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</si>
  <si>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</t>
  </si>
  <si>
    <t xml:space="preserve">Heat shock protein Hsp-16.48/Hsp-16.49 </t>
  </si>
  <si>
    <t>GO:0060271 (cilium assembly); GO:0097500 (receptor localization to non-motile cilium); GO:0034464 (BBSome)</t>
  </si>
  <si>
    <t xml:space="preserve">Serpentine receptor class gamma-4 </t>
  </si>
  <si>
    <t xml:space="preserve">Serpentine receptor class delta-34 </t>
  </si>
  <si>
    <t>GO:0016740 (transferase activity)</t>
  </si>
  <si>
    <t xml:space="preserve">Major Sperm Protein </t>
  </si>
  <si>
    <t xml:space="preserve">Dauer Pheromone Responsive </t>
  </si>
  <si>
    <t>GO:0043410 (positive regulation of MAPK cascade); GO:0007171 (activation of transmembrane receptor protein tyrosine kinase activity); GO:0030297 (transmembrane receptor protein tyrosine kinase activator activity); GO:0043195 (terminal bouton)</t>
  </si>
  <si>
    <t xml:space="preserve">Serpentine receptor class delta-59 </t>
  </si>
  <si>
    <t xml:space="preserve">Serpentine receptor class delta-26 </t>
  </si>
  <si>
    <t xml:space="preserve">F-box A protein 224 </t>
  </si>
  <si>
    <t>GO:0030864 (cortical actin cytoskeleton); GO:0035556 (intracellular signal transduction); GO:0005874 (microtubule); GO:0005815 (microtubule organizing center)</t>
  </si>
  <si>
    <t>GO:0005525 (GTP binding); GO:0003924 (GTPase activity); GO:0005794 (Golgi apparatus); GO:0000139 (Golgi membrane)</t>
  </si>
  <si>
    <t xml:space="preserve">Nuclear hormone receptor family member nhr-174 </t>
  </si>
  <si>
    <t xml:space="preserve">Serpentine receptor class beta-3 </t>
  </si>
  <si>
    <t>GO:0016020 (membrane); GO:0016021 (integral component of membrane); GO:0004888 (transmembrane signaling receptor activity); GO:0005886 (plasma membrane); GO:0007606 (sensory perception of chemical stimulus); GO:0004930 (G protein-coupled receptor activity); GO:0007165 (signal transduction); GO:0007186 (G protein-coupled receptor signaling pathway); GO:0042995 (cell projection); GO:0030425 (dendrite); GO:0043204 (perikaryon)</t>
  </si>
  <si>
    <t>GO:0001561 (fatty acid alpha-oxidation); GO:0048244 (phytanoyl-CoA dioxygenase activity)</t>
  </si>
  <si>
    <t>GO:0005929 (cilium)</t>
  </si>
  <si>
    <t>GO:0005515 (protein binding); GO:0030968 (endoplasmic reticulum unfolded protein response); GO:0060465 (pharynx development)</t>
  </si>
  <si>
    <t xml:space="preserve">Rhomboid-like protein </t>
  </si>
  <si>
    <t>GO:0016020 (membrane); GO:0016021 (integral component of membrane); GO:0005789 (endoplasmic reticulum membrane); GO:0004252 (serine-type endopeptidase activity); GO:0042058 (regulation of epidermal growth factor receptor signaling pathway); GO:0050708 (regulation of protein secretion); GO:0006508 (proteolysis)</t>
  </si>
  <si>
    <t>GO:0007369 (gastrulation)</t>
  </si>
  <si>
    <t xml:space="preserve">Cuticlin-1 </t>
  </si>
  <si>
    <t>GO:0005524 (ATP binding); GO:0006508 (proteolysis); GO:0004252 (serine-type endopeptidase activity); GO:0005782 (peroxisomal matrix); GO:0004176 (ATP-dependent peptidase activity); GO:0016485 (protein processing); GO:0006625 (protein targeting to peroxisome); GO:0030163 (protein catabolic process)</t>
  </si>
  <si>
    <t>GO:0030246 (carbohydrate binding); GO:0016936 (galactoside binding)</t>
  </si>
  <si>
    <t xml:space="preserve">Serpentine receptor class delta-41 </t>
  </si>
  <si>
    <t>GO:0003677 (DNA binding); GO:0005634 (nucleus)</t>
  </si>
  <si>
    <t>GO:0016020 (membrane); GO:0016021 (integral component of membrane); GO:0016787 (hydrolase activity); GO:0005886 (plasma membrane); GO:0046872 (metal ion binding); GO:0004222 (metalloendopeptidase activity); GO:0006508 (proteolysis); GO:0008233 (peptidase activity); GO:0008237 (metallopeptidase activity); GO:0016485 (protein processing)</t>
  </si>
  <si>
    <t>GO:0005634 (nucleus); GO:0005737 (cytoplasm); GO:0004674 (protein serine/threonine kinase activity); GO:0018105 (peptidyl-serine phosphorylation); GO:0000727 (double-strand break repair via break-induced replication)</t>
  </si>
  <si>
    <t xml:space="preserve">Bestrophin-6 </t>
  </si>
  <si>
    <t xml:space="preserve">Serpentine receptor class delta-2 </t>
  </si>
  <si>
    <t>GO:0016020 (membrane); GO:0016021 (integral component of membrane); GO:0003674 (molecular_function); GO:0005575 (cellular_component)</t>
  </si>
  <si>
    <t>GO:0016020 (membrane); GO:0016021 (integral component of membrane); GO:0016740 (transferase activity); GO:0000139 (Golgi membrane); GO:0016757 (transferase activity, transferring glycosyl groups); GO:0008375 (acetylglucosaminyltransferase activity)</t>
  </si>
  <si>
    <t xml:space="preserve">Putative steroid dehydrogenase 2 </t>
  </si>
  <si>
    <t>GO:0016491 (oxidoreductase activity); GO:0005783 (endoplasmic reticulum); GO:0006629 (lipid metabolic process); GO:0006694 (steroid biosynthetic process); GO:0030497 (fatty acid elongation); GO:0055114 (oxidation-reduction process)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</si>
  <si>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GO:0032436 (positive regulation of proteasomal ubiquitin-dependent protein catabolic process); GO:0016055 (Wnt signaling pathway); GO:0006897 (endocytosis); GO:0090263 (positive regulation of canonical Wnt signaling pathway)</t>
  </si>
  <si>
    <t xml:space="preserve">Cuticle collagen sqt-1 </t>
  </si>
  <si>
    <t>GO:0005581 (collagen trimer); GO:0042302 (structural constituent of cuticle); GO:0040002 (collagen and cuticulin-based cuticle development); GO:0042338 (cuticle development involved in collagen and cuticulin-based cuticle molting cycle); GO:0042329 (structural constituent of collagen and cuticulin-based cuticle)</t>
  </si>
  <si>
    <t>GO:0030968 (endoplasmic reticulum unfolded protein response); GO:0060465 (pharynx development)</t>
  </si>
  <si>
    <t xml:space="preserve">Serpentine receptor class beta-2 </t>
  </si>
  <si>
    <t>GO:0005525 (GTP binding); GO:0000166 (nucleotide binding); GO:0005874 (microtubule); GO:0007017 (microtubule-based process); GO:0005200 (structural constituent of cytoskeleton); GO:0007010 (cytoskeleton organization)</t>
  </si>
  <si>
    <t xml:space="preserve">Receptor-type guanylate cyclase gcy-1 </t>
  </si>
  <si>
    <t>GO:0016020 (membrane); GO:0016021 (integral component of membrane); GO:0005744 (TIM23 mitochondrial import inner membrane translocase complex); GO:0030150 (protein import into mitochondrial matrix); GO:0045039 (protein insertion into mitochondrial inner membrane)</t>
  </si>
  <si>
    <t xml:space="preserve">Serpentine receptor class delta-47 </t>
  </si>
  <si>
    <t>GO:0005634 (nucleus); GO:0005737 (cytoplasm); GO:0016787 (hydrolase activity); GO:0004725 (protein tyrosine phosphatase activity); GO:0006470 (protein dephosphorylation); GO:0035335 (peptidyl-tyrosine dephosphorylation); GO:1902751 (positive regulation of cell cycle G2/M phase transition); GO:0007049 (cell cycle); GO:0004721 (phosphoprotein phosphatase activity); GO:0051301 (cell division); GO:0000086 (G2/M transition of mitotic cell cycle); GO:0010971 (positive regulation of G2/M transition of mitotic cell cycle); GO:0110032 (positive regulation of G2/MI transition of meiotic cell cycle)</t>
  </si>
  <si>
    <t>GO:0016787 (hydrolase activity); GO:0006508 (proteolysis); GO:0008233 (peptidase activity); GO:0008234 (cysteine-type peptidase activity)</t>
  </si>
  <si>
    <t>GO:0004725 (protein tyrosine phosphatase activity); GO:0006470 (protein dephosphorylation); GO:0035335 (peptidyl-tyrosine dephosphorylation)</t>
  </si>
  <si>
    <t>GO:0005634 (nucleus); GO:0005737 (cytoplasm); GO:0004674 (protein serine/threonine kinase activity); GO:0018105 (peptidyl-serine phosphorylation); GO:0032436 (positive regulation of proteasomal ubiquitin-dependent protein catabolic process); GO:0016055 (Wnt signaling pathway); GO:0006897 (endocytosis); GO:0090263 (positive regulation of canonical Wnt signaling pathway)</t>
  </si>
  <si>
    <t xml:space="preserve">Glycine-rich antibacterial related peptide 2 </t>
  </si>
  <si>
    <t xml:space="preserve">Bestrophin homolog 12 </t>
  </si>
  <si>
    <t xml:space="preserve">MS Related Protein </t>
  </si>
  <si>
    <t>GO:0016020 (membrane); GO:0016021 (integral component of membrane); GO:0004725 (protein tyrosine phosphatase activity); GO:0006470 (protein dephosphorylation); GO:0035335 (peptidyl-tyrosine dephosphorylation); GO:0016311 (dephosphorylation); GO:0016791 (phosphatase activity)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</si>
  <si>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GO:0035556 (intracellular signal transduction)</t>
  </si>
  <si>
    <t xml:space="preserve">Regulator of Microtubule Dynamics </t>
  </si>
  <si>
    <t>GO:0005737 (cytoplasm); GO:0005739 (mitochondrion); GO:0008017 (microtubule binding); GO:0005876 (spindle microtubule); GO:0097431 (mitotic spindle pole); GO:0005515 (protein binding)</t>
  </si>
  <si>
    <t xml:space="preserve">CaiB/baiF CoA-transferase family protein ZK892.4 </t>
  </si>
  <si>
    <t>GO:0016740 (transferase activity); GO:0008410 (CoA-transferase activity)</t>
  </si>
  <si>
    <t xml:space="preserve">Protein-tyrosine-phosphatase </t>
  </si>
  <si>
    <t xml:space="preserve">HIstone H1 Like </t>
  </si>
  <si>
    <t>GO:0003677 (DNA binding); GO:0000786 (nucleosome); GO:0006334 (nucleosome assembly)</t>
  </si>
  <si>
    <t xml:space="preserve">Receptor-type guanylate cyclase gcy-5 </t>
  </si>
  <si>
    <t xml:space="preserve">PDZ domain-containing protein C52A11.3 </t>
  </si>
  <si>
    <t>GO:0016020 (membrane); GO:0016021 (integral component of membrane); GO:0005764 (lysosome); GO:0005886 (plasma membrane); GO:0003725 (double-stranded RNA binding); GO:0050658 (RNA transport); GO:0051033 (RNA transmembrane transporter activity)</t>
  </si>
  <si>
    <t>GO:0016020 (membrane); GO:0016021 (integral component of membrane); GO:0005615 (extracellular space); GO:0004867 (serine-type endopeptidase inhibitor activity); GO:0010951 (negative regulation of endopeptidase activity); GO:0010466 (negative regulation of peptidase activity); GO:0030414 (peptidase inhibitor activity)</t>
  </si>
  <si>
    <t>GO:0016020 (membrane); GO:0016021 (integral component of membrane); GO:0005739 (mitochondrion); GO:0005759 (mitochondrial matrix); GO:0003729 (mRNA binding); GO:0008494 (translation activator activity); GO:0070131 (positive regulation of mitochondrial translation); GO:0097177 (mitochondrial ribosome binding)</t>
  </si>
  <si>
    <t xml:space="preserve">GUstatory Receptor family </t>
  </si>
  <si>
    <t>GO:0005737 (cytoplasm); GO:0035556 (intracellular signal transduction); GO:0042995 (cell projection)</t>
  </si>
  <si>
    <t xml:space="preserve">Zinc metalloproteinase nas-10 </t>
  </si>
  <si>
    <t>GO:0006565 (L-serine catabolic process); GO:0003941 (L-serine ammonia-lyase activity); GO:0004794 (L-threonine ammonia-lyase activity); GO:0006567 (threonine catabolic process)</t>
  </si>
  <si>
    <t>GO:0016020 (membrane); GO:0016021 (integral component of membrane); GO:0005581 (collagen trimer); GO:0005615 (extracellular space); GO:0030198 (extracellular matrix organization); GO:0005201 (extracellular matrix structural constituent); GO:0031012 (extracellular matrix)</t>
  </si>
  <si>
    <t xml:space="preserve">Probable actin-related protein 2/3 complex subunit 5 </t>
  </si>
  <si>
    <t>GO:0005737 (cytoplasm); GO:0005856 (cytoskeleton); GO:0016477 (cell migration); GO:0051015 (actin filament binding); GO:0015629 (actin cytoskeleton); GO:0003779 (actin binding); GO:0034314 (Arp2/3 complex-mediated actin nucleation); GO:0005885 (Arp2/3 protein complex); GO:0030833 (regulation of actin filament polymerization)</t>
  </si>
  <si>
    <t>GO:0005737 (cytoplasm); GO:0016787 (hydrolase activity); GO:0046872 (metal ion binding); GO:0008270 (zinc ion binding); GO:0006508 (proteolysis); GO:0008233 (peptidase activity); GO:0008237 (metallopeptidase activity); GO:0042277 (peptide binding); GO:0009792 (embryo development ending in birth or egg hatching); GO:0043171 (peptide catabolic process); GO:0046662 (regulation of oviposition); GO:0070006 (metalloaminopeptidase activity); GO:1903538 (regulation of meiotic cell cycle process involved in oocyte maturation)</t>
  </si>
  <si>
    <t xml:space="preserve">Putative serine/threonine-protein kinase ZK507.1 </t>
  </si>
  <si>
    <t xml:space="preserve">Patched-related protein 9 </t>
  </si>
  <si>
    <t>GO:0016020 (membrane); GO:0016021 (integral component of membrane); GO:0006679 (glucosylceramide biosynthetic process); GO:0008120 (ceramide glucosyltransferase activity)</t>
  </si>
  <si>
    <t>GO:0016020 (membrane); GO:0016021 (integral component of membrane); GO:0097730 (non-motile cilium)</t>
  </si>
  <si>
    <t xml:space="preserve">F44C8.7-like protein; Nucleotide Sugar TransPorter family </t>
  </si>
  <si>
    <t>GO:0016020 (membrane); GO:0016021 (integral component of membrane); GO:0005887 (integral component of plasma membrane); GO:0015179 (L-amino acid transmembrane transporter activity); GO:1902475 (L-alpha-amino acid transmembrane transport); GO:0035725 (sodium ion transmembrane transport); GO:0015293 (symporter activity); GO:0005283 (amino acid:sodium symporter activity); GO:1903825 (organic acid transmembrane transport); GO:0015807 (L-amino acid transport)</t>
  </si>
  <si>
    <t xml:space="preserve">CYclin A </t>
  </si>
  <si>
    <t>GO:0005634 (nucleus); GO:0005737 (cytoplasm); GO:0000079 (regulation of cyclin-dependent protein serine/threonine kinase activity); GO:0000307 (cyclin-dependent protein kinase holoenzyme complex); GO:0016538 (cyclin-dependent protein serine/threonine kinase regulator activity); GO:0044772 (mitotic cell cycle phase transition); GO:0097124 (cyclin A2-CDK2 complex)</t>
  </si>
  <si>
    <t>GO:0046872 (metal ion binding); GO:0016491 (oxidoreductase activity); GO:0004784 (superoxide dismutase activity); GO:0006801 (superoxide metabolic process); GO:0005507 (copper ion binding); GO:0016209 (antioxidant activity); GO:0019430 (removal of superoxide radicals); GO:0055114 (oxidation-reduction process)</t>
  </si>
  <si>
    <t>GO:0016020 (membrane); GO:0016021 (integral component of membrane); GO:0004930 (G protein-coupled receptor activity); GO:0007186 (G protein-coupled receptor signaling pathway); GO:0005887 (integral component of plasma membrane); GO:0007216 (G protein-coupled glutamate receptor signaling pathway); GO:0051966 (regulation of synaptic transmission, glutamatergic); GO:0001641 (group II metabotropic glutamate receptor activity); GO:0007196 (adenylate cyclase-inhibiting G protein-coupled glutamate receptor signaling pathway); GO:0001640 (adenylate cyclase inhibiting G protein-coupled glutamate receptor activity)</t>
  </si>
  <si>
    <t xml:space="preserve">Heat shock protein Hsp-16.1/Hsp-16.11 </t>
  </si>
  <si>
    <t xml:space="preserve">Serpentine receptor class delta-7 </t>
  </si>
  <si>
    <t xml:space="preserve">2-oxoisovalerate dehydrogenase subunit alpha </t>
  </si>
  <si>
    <t>GO:0003826 (alpha-ketoacid dehydrogenase activity); GO:0005947 (mitochondrial alpha-ketoglutarate dehydrogenase complex); GO:0009083 (branched-chain amino acid catabolic process)</t>
  </si>
  <si>
    <t xml:space="preserve">Serpentine receptor class epsilon-29 </t>
  </si>
  <si>
    <t xml:space="preserve">Helix-loop-helix protein 26 </t>
  </si>
  <si>
    <t xml:space="preserve">Putative G-protein coupled receptor B0244.4 </t>
  </si>
  <si>
    <t>Putative inactive caspase B Putative inactive caspase B subunit p31 Putative inactive caspase B subunit p17 Putative inactive caspase subunit p14</t>
  </si>
  <si>
    <t xml:space="preserve">Major sperm protein 63 </t>
  </si>
  <si>
    <t xml:space="preserve">SKN Related </t>
  </si>
  <si>
    <t>GO:0005634 (nucleus); GO:0003677 (DNA binding); 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</t>
  </si>
  <si>
    <t>GO:0016020 (membrane); GO:0016021 (integral component of membrane); GO:0016747 (transferase activity, transferring acyl groups other than amino-acyl groups); GO:0002009 (morphogenesis of an epithelium); GO:0033692 (cellular polysaccharide biosynthetic process)</t>
  </si>
  <si>
    <t xml:space="preserve">TMEM (Human TransMEMbrane protein) homolog </t>
  </si>
  <si>
    <t>GO:0016020 (membrane); GO:0016021 (integral component of membrane); GO:1905515 (non-motile cilium assembly); GO:0035869 (ciliary transition zone)</t>
  </si>
  <si>
    <t xml:space="preserve">Serpentine receptor class epsilon-13 </t>
  </si>
  <si>
    <t>GO:0016020 (membrane); GO:0016021 (integral component of membrane); GO:0007411 (axon guidance); GO:0042383 (sarcolemma); GO:0016010 (dystrophin-associated glycoprotein complex); GO:0043236 (laminin binding); GO:0002009 (morphogenesis of an epithelium); GO:0021675 (nerve development); GO:0016011 (dystroglycan complex)</t>
  </si>
  <si>
    <t xml:space="preserve">Serpentine receptor class gamma-2 </t>
  </si>
  <si>
    <t>GO:0016020 (membrane); GO:0016021 (integral component of membrane); GO:0097730 (non-motile cilium); GO:0043025 (neuronal cell body)</t>
  </si>
  <si>
    <t>GO:0005634 (nucleus); GO:0005524 (ATP binding); GO:0005737 (cytoplasm); GO:0004672 (protein kinase activity); GO:0006468 (protein phosphorylation); GO:0016301 (kinase activity); GO:0016310 (phosphorylation); GO:0035556 (intracellular signal transduction); GO:0000278 (mitotic cell cycle); GO:0072354 (histone kinase activity (H3-T3 specific)); GO:0072355 (histone H3-T3 phosphorylation)</t>
  </si>
  <si>
    <t>GO:0016020 (membrane); GO:0016021 (integral component of membrane); GO:0005216 (ion channel activity); GO:0006811 (ion transport); GO:0034220 (ion transmembrane transport); GO:0098655 (cation transmembrane transport); GO:0055085 (transmembrane transport); GO:0005222 (intracellular cAMP-activated cation channel activity); GO:0005223 (intracellular cGMP-activated cation channel activity); GO:0030553 (cGMP binding); GO:0043025 (neuronal cell body)</t>
  </si>
  <si>
    <t>GO:0005929 (cilium); GO:0005515 (protein binding)</t>
  </si>
  <si>
    <t xml:space="preserve">Putative steroid dehydrogenase 3 </t>
  </si>
  <si>
    <t>GO:0005886 (plasma membrane); GO:0005515 (protein binding); GO:0017121 (plasma membrane phospholipid scrambling); GO:0017128 (phospholipid scramblase activity)</t>
  </si>
  <si>
    <t xml:space="preserve">PEEL-1 </t>
  </si>
  <si>
    <t xml:space="preserve">Dynein light chain </t>
  </si>
  <si>
    <t>GO:0005737 (cytoplasm); GO:0005856 (cytoskeleton); GO:0005868 (cytoplasmic dynein complex); GO:0005874 (microtubule); GO:0007017 (microtubule-based process); GO:0030286 (dynein complex); GO:0045505 (dynein intermediate chain binding); GO:0051959 (dynein light intermediate chain binding); GO:2000582 (positive regulation of ATP-dependent microtubule motor activity, plus-end-directed); GO:0060271 (cilium assembly)</t>
  </si>
  <si>
    <t xml:space="preserve">TAX2 </t>
  </si>
  <si>
    <t>GO:0016020 (membrane); GO:0016021 (integral component of membrane); GO:0010628 (positive regulation of gene expression); GO:0005222 (intracellular cAMP-activated cation channel activity); GO:0030553 (cGMP binding); GO:0007199 (G protein-coupled receptor signaling pathway coupled to cGMP nucleotide second messenger); GO:0006935 (chemotaxis); GO:0045664 (regulation of neuron differentiation); GO:0045944 (positive regulation of transcription by RNA polymerase II); GO:0030516 (regulation of axon extension); GO:0010754 (negative regulation of cGMP-mediated signaling); GO:0070482 (response to oxygen levels); GO:0040040 (thermosensory behavior); GO:0098655 (cation transmembrane transport); GO:0048812 (neuron projection morphogenesis); GO:0005223 (intracellular cGMP-activated cation channel activity); GO:0009454 (aerotaxis); GO:0055093 (response to hyperoxia); GO:0034703 (cation channel complex)</t>
  </si>
  <si>
    <t>GO:0005634 (nucleus); GO:0004865 (protein serine/threonine phosphatase inhibitor activity); GO:0008157 (protein phosphatase 1 binding); GO:0032515 (negative regulation of phosphoprotein phosphatase activity)</t>
  </si>
  <si>
    <t xml:space="preserve">Serpentine receptor class beta-1 </t>
  </si>
  <si>
    <t>GO:0005737 (cytoplasm); GO:0006516 (glycoprotein catabolic process)</t>
  </si>
  <si>
    <t xml:space="preserve">Alpha-(1,3)-fucosyltransferase fut-5 </t>
  </si>
  <si>
    <t xml:space="preserve">Galactosylgalactosylxylosylprotein 3-beta-glucuronosyltransferase </t>
  </si>
  <si>
    <t>GO:0016020 (membrane); GO:0016021 (integral component of membrane); GO:0046872 (metal ion binding); GO:0016740 (transferase activity); GO:0000139 (Golgi membrane); GO:0005794 (Golgi apparatus); GO:0006486 (protein glycosylation); GO:0015018 (galactosylgalactosylxylosylprotein 3-beta-glucuronosyltransferase activity); GO:0050650 (chondroitin sulfate proteoglycan biosynthetic process); GO:0005975 (carbohydrate metabolic process)</t>
  </si>
  <si>
    <t xml:space="preserve">Synaptobrevin-like protein 5 </t>
  </si>
  <si>
    <t>GO:0016021 (integral component of membrane); GO:0005886 (plasma membrane); GO:0016192 (vesicle-mediated transport); GO:0019905 (syntaxin binding); GO:0031201 (SNARE complex); GO:0005484 (SNAP receptor activity); GO:0006906 (vesicle fusion)</t>
  </si>
  <si>
    <t>rRNA</t>
  </si>
  <si>
    <t xml:space="preserve">Overexpression Longevity Determinant 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</si>
  <si>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GO:0007171 (activation of transmembrane receptor protein tyrosine kinase activity); GO:0008340 (determination of adult lifespan); GO:0030297 (transmembrane receptor protein tyrosine kinase activator activity); GO:0033674 (positive regulation of kinase activity)</t>
  </si>
  <si>
    <t xml:space="preserve">High Performance in Advanced age </t>
  </si>
  <si>
    <t>GO:0005525 (GTP binding); GO:0003924 (GTPase activity); GO:0006887 (exocytosis); GO:0005768 (endosome); GO:0055037 (recycling endosome)</t>
  </si>
  <si>
    <t xml:space="preserve">Serpentine receptor class delta-48 </t>
  </si>
  <si>
    <t>GO:0016020 (membrane); GO:0016021 (integral component of membrane); GO:0005887 (integral component of plasma membrane); GO:0015179 (L-amino acid transmembrane transporter activity); GO:1902475 (L-alpha-amino acid transmembrane transport); GO:0035725 (sodium ion transmembrane transport); GO:0015293 (symporter activity); GO:0044298 (cell body membrane); GO:1905418 (positive regulation of amoeboid sperm motility); GO:0005283 (amino acid:sodium symporter activity); GO:1903825 (organic acid transmembrane transport); GO:0015807 (L-amino acid transport)</t>
  </si>
  <si>
    <t xml:space="preserve">Mitochondrial fission 1 protein </t>
  </si>
  <si>
    <t>GO:0016020 (membrane); GO:0016021 (integral component of membrane); GO:0005739 (mitochondrion); GO:0000422 (autophagy of mitochondrion); GO:0000266 (mitochondrial fission); GO:0043653 (mitochondrial fragmentation involved in apoptotic process); GO:0005741 (mitochondrial outer membrane); GO:0005779 (integral component of peroxisomal membrane); GO:0016559 (peroxisome fission); GO:0031307 (integral component of mitochondrial outer membrane); GO:0005515 (protein binding)</t>
  </si>
  <si>
    <t>GO:0015035 (protein disulfide oxidoreductase activity)</t>
  </si>
  <si>
    <t>GO:0005634 (nucleus); GO:0046872 (metal ion binding); GO:0006355 (regulation of transcription, DNA-templated); GO:0043565 (sequence-specific DNA binding);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GO:0043025 (neuronal cell body); GO:0043204 (perikaryon); GO:0010629 (negative regulation of gene expression); GO:0030154 (cell differentiation); GO:0007548 (sex differentiation); GO:0048664 (neuron fate determination); GO:0045944 (positive regulation of transcription by RNA polymerase II); GO:0045138 (nematode male tail tip morphogenesis); GO:0110039 (positive regulation of nematode male tail tip morphogenesis); GO:0110037 (regulation of nematode male tail tip morphogenesis); GO:1902435 (regulation of male mating behavior); GO:0048675 (axon extension); GO:0003700 (DNA-binding transcription factor activity)</t>
  </si>
  <si>
    <t xml:space="preserve">Serpentine receptor class delta-50 </t>
  </si>
  <si>
    <t xml:space="preserve">Seven TM Receptor; Seven transmembrane receptor 2 </t>
  </si>
  <si>
    <t>GO:0016020 (membrane); GO:0016021 (integral component of membrane); GO:0005887 (integral component of plasma membrane); GO:0050911 (detection of chemical stimulus involved in sensory perception of smell); GO:0007186 (G protein-coupled receptor signaling pathway); GO:0038022 (G protein-coupled olfactory receptor activity); GO:0042048 (olfactory behavior); GO:0097730 (non-motile cilium)</t>
  </si>
  <si>
    <t xml:space="preserve">Serpentine receptor class alpha-17 </t>
  </si>
  <si>
    <t xml:space="preserve">Serpentine receptor class alpha-7 </t>
  </si>
  <si>
    <t xml:space="preserve">Serpentine receptor class gamma-8 </t>
  </si>
  <si>
    <t xml:space="preserve">Patterned Expression Site; Pes-2 protein </t>
  </si>
  <si>
    <t>GO:0016020 (membrane); GO:0016021 (integral component of membrane); GO:0005938 (cell cortex); GO:0007338 (single fertilization); GO:0035037 (sperm entry)</t>
  </si>
  <si>
    <t xml:space="preserve">Serpentine receptor class alpha-28 </t>
  </si>
  <si>
    <t xml:space="preserve">Enhancer of AKt-1 null </t>
  </si>
  <si>
    <t>GO:0005737 (cytoplasm); GO:0003824 (catalytic activity); GO:0009058 (biosynthetic process); GO:0016853 (isomerase activity)</t>
  </si>
  <si>
    <t xml:space="preserve">Serpentine receptor class alpha-11 </t>
  </si>
  <si>
    <t>GO:0016020 (membrane); GO:0016021 (integral component of membrane); GO:0007606 (sensory perception of chemical stimulus); GO:0004930 (G protein-coupled receptor activity); GO:0004984 (olfactory receptor activity); GO:0050907 (detection of chemical stimulus involved in sensory perception); GO:0050911 (detection of chemical stimulus involved in sensory perception of smell); GO:0007186 (G protein-coupled receptor signaling pathway); GO:0007608 (sensory perception of smell); GO:0050896 (response to stimulus); GO:0008355 (olfactory learning); GO:0004888 (transmembrane signaling receptor activity)</t>
  </si>
  <si>
    <t xml:space="preserve">Zinc metalloproteinase-like protein nas-21 </t>
  </si>
  <si>
    <t xml:space="preserve">Hypodermis PeroXidase </t>
  </si>
  <si>
    <t>GO:0046872 (metal ion binding); GO:0016491 (oxidoreductase activity); GO:0005576 (extracellular region); GO:0020037 (heme binding); GO:0098869 (cellular oxidant detoxification); GO:0004601 (peroxidase activity); GO:0006979 (response to oxidative stress); GO:0050830 (defense response to Gram-positive bacterium); GO:0055114 (oxidation-reduction process)</t>
  </si>
  <si>
    <t xml:space="preserve">Zinc metalloproteinase nas-24 </t>
  </si>
  <si>
    <t>FMRFamide-like neuropeptide 23 VVGQQDFLRF-amide</t>
  </si>
  <si>
    <t>GO:0016020 (membrane); GO:0016021 (integral component of membrane); GO:0055085 (transmembrane transport); GO:0015267 (channel activity)</t>
  </si>
  <si>
    <t xml:space="preserve">Fungus-Induced Protein </t>
  </si>
  <si>
    <t>GO:0016020 (membrane); GO:0016021 (integral component of membrane); GO:0007286 (spermatid development)</t>
  </si>
  <si>
    <t xml:space="preserve">Serpentine receptor class epsilon-8 </t>
  </si>
  <si>
    <t>GO:0005576 (extracellular region); GO:0005615 (extracellular space); GO:0004867 (serine-type endopeptidase inhibitor activity); GO:0010951 (negative regulation of endopeptidase activity); GO:0030414 (peptidase inhibitor activity); GO:0052547 (regulation of peptidase activity)</t>
  </si>
  <si>
    <t xml:space="preserve">Torsin </t>
  </si>
  <si>
    <t>GO:0005524 (ATP binding); GO:0000166 (nucleotide binding); GO:0005783 (endoplasmic reticulum); GO:0005635 (nuclear envelope); GO:0005788 (endoplasmic reticulum lumen); GO:0051085 (chaperone cofactor-dependent protein refolding); GO:0071218 (cellular response to misfolded protein); GO:0010629 (negative regulation of gene expression); GO:0043523 (regulation of neuron apoptotic process)</t>
  </si>
  <si>
    <t xml:space="preserve">Glycosyltransferase family 92 protein ZK381.2 </t>
  </si>
  <si>
    <t xml:space="preserve">Putative G-protein coupled receptor B0244.5 </t>
  </si>
  <si>
    <t xml:space="preserve">EYG (Drosophila eyegone) homolog </t>
  </si>
  <si>
    <t>GO:0005634 (nucleus); GO:0005524 (ATP binding); GO:0005737 (cytoplasm); GO:0004672 (protein kinase activity); GO:0004674 (protein serine/threonine kinase activity); GO:0006468 (protein phosphorylation); GO:0018105 (peptidyl-serine phosphorylation); GO:0000166 (nucleotide binding)</t>
  </si>
  <si>
    <t xml:space="preserve">Sideroflexin </t>
  </si>
  <si>
    <t>GO:0016020 (membrane); GO:0016021 (integral component of membrane); GO:0006811 (ion transport); GO:0055085 (transmembrane transport); GO:0005739 (mitochondrion); GO:0015075 (ion transmembrane transporter activity); GO:0006865 (amino acid transport); GO:0022857 (transmembrane transporter activity); GO:0031305 (integral component of mitochondrial inner membrane); GO:0031966 (mitochondrial membrane); GO:1990542 (mitochondrial transmembrane transport); GO:0022889 (serine transmembrane transporter activity); GO:0140300 (serine import into mitochondrion)</t>
  </si>
  <si>
    <t xml:space="preserve">NRAMP-like transporter smf-2 </t>
  </si>
  <si>
    <t>GO:0003924 (GTPase activity); GO:0005525 (GTP binding); GO:0016020 (membrane); GO:0005886 (plasma membrane); GO:0007165 (signal transduction); GO:0019003 (GDP binding)</t>
  </si>
  <si>
    <t xml:space="preserve">EF-Hand domain-Containing protein 1 homolog </t>
  </si>
  <si>
    <t>GO:0007052 (mitotic spindle organization); GO:0072686 (mitotic spindle); GO:0005930 (axoneme); GO:0000281 (mitotic cytokinesis); GO:0043014 (alpha-tubulin binding); GO:0060285 (cilium-dependent cell motility)</t>
  </si>
  <si>
    <t xml:space="preserve">Putative sideroflexin-1.1 </t>
  </si>
  <si>
    <t>GO:0016020 (membrane); GO:0016021 (integral component of membrane); GO:0006811 (ion transport); GO:0055085 (transmembrane transport); GO:0005739 (mitochondrion); GO:0005743 (mitochondrial inner membrane); GO:0015075 (ion transmembrane transporter activity); GO:0006865 (amino acid transport); GO:0022857 (transmembrane transporter activity); GO:0031305 (integral component of mitochondrial inner membrane); GO:1990542 (mitochondrial transmembrane transport); GO:0022889 (serine transmembrane transporter activity); GO:0140300 (serine import into mitochondrion)</t>
  </si>
  <si>
    <t xml:space="preserve">Serpentine receptor class gamma-10 </t>
  </si>
  <si>
    <t>GO:0046872 (metal ion binding); GO:0016491 (oxidoreductase activity); GO:0005783 (endoplasmic reticulum); GO:0051213 (dioxygenase activity); GO:0005506 (iron ion binding); GO:0016705 (oxidoreductase activity, acting on paired donors, with incorporation or reduction of molecular oxygen); GO:0018401 (peptidyl-proline hydroxylation to 4-hydroxy-L-proline); GO:0031418 (L-ascorbic acid binding); GO:0004656 (procollagen-proline 4-dioxygenase activity); GO:0031545 (peptidyl-proline 4-dioxygenase activity); GO:0016222 (procollagen-proline 4-dioxygenase complex); GO:0055114 (oxidation-reduction process)</t>
  </si>
  <si>
    <t xml:space="preserve">Ubiquitin E2 (Conjugating enzyme) variant </t>
  </si>
  <si>
    <t>GO:0005634 (nucleus); GO:0000209 (protein polyubiquitination); GO:0061631 (ubiquitin conjugating enzyme activity); GO:0019789 (SUMO transferase activity); GO:0016925 (protein sumoylation)</t>
  </si>
  <si>
    <t xml:space="preserve">Protein Up-regulated in Daf-2(Gf)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</si>
  <si>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GO:0035556 (intracellular signal transduction); GO:0042149 (cellular response to glucose starvation)</t>
  </si>
  <si>
    <t>GO:0005524 (ATP binding); GO:0000166 (nucleotide binding); GO:0005515 (protein binding); GO:0003774 (motor activity); GO:0016459 (myosin complex)</t>
  </si>
  <si>
    <t xml:space="preserve">GDP-mannose 4,6 dehydratase 2 </t>
  </si>
  <si>
    <t>GO:0019673 (GDP-mannose metabolic process); GO:0008446 (GDP-mannose 4,6-dehydratase activity)</t>
  </si>
  <si>
    <t>GO:0005858 (axonemal dynein complex)</t>
  </si>
  <si>
    <t>GO:0016020 (membrane); GO:0016021 (integral component of membrane); GO:0043413 (macromolecule glycosylation)</t>
  </si>
  <si>
    <t xml:space="preserve">Receptor-type guanylate cyclase gcy-4 </t>
  </si>
  <si>
    <t>GO:0016020 (membrane); GO:0016021 (integral component of membrane); GO:0016740 (transferase activity); GO:0000139 (Golgi membrane); GO:0005794 (Golgi apparatus); GO:0016757 (transferase activity, transferring glycosyl groups); GO:0016758 (transferase activity, transferring hexosyl groups); GO:0006486 (protein glycosylation); GO:0008376 (acetylgalactosaminyltransferase activity); GO:0008375 (acetylglucosaminyltransferase activity); GO:0005575 (cellular_component)</t>
  </si>
  <si>
    <t xml:space="preserve">C-type lectin domain-containing protein 141 </t>
  </si>
  <si>
    <t xml:space="preserve">Serpentine receptor class epsilon-1 </t>
  </si>
  <si>
    <t xml:space="preserve">Serpentine receptor class alpha-27 </t>
  </si>
  <si>
    <t>GO:0005634 (nucleus); GO:0003677 (DNA binding); GO:0046982 (protein heterodimerization activity); GO:0000786 (nucleosome)</t>
  </si>
  <si>
    <t>GO:0016020 (membrane); GO:0016021 (integral component of membrane); GO:0055085 (transmembrane transport); GO:0005887 (integral component of plasma membrane); GO:0006816 (calcium ion transport); GO:0098656 (anion transmembrane transport); GO:0035725 (sodium ion transmembrane transport); GO:0006874 (cellular calcium ion homeostasis); GO:0070588 (calcium ion transmembrane transport); GO:0071805 (potassium ion transmembrane transport); GO:0015297 (antiporter activity); GO:0005262 (calcium channel activity); GO:0008273 (calcium, potassium:sodium antiporter activity)</t>
  </si>
  <si>
    <t xml:space="preserve">Serpentine receptor class alpha-32 </t>
  </si>
  <si>
    <t>GO:0031047 (gene silencing by RNA); GO:0060964 (regulation of gene silencing by miRNA)</t>
  </si>
  <si>
    <t>GO:0005524 (ATP binding); GO:0006508 (proteolysis); GO:0016887 (ATPase activity); GO:0005759 (mitochondrial matrix); GO:0030163 (protein catabolic process)</t>
  </si>
  <si>
    <t xml:space="preserve">Transmembrane protein 237 homolog </t>
  </si>
  <si>
    <t>GO:0016020 (membrane); GO:0016021 (integral component of membrane); GO:0005929 (cilium); GO:0036064 (ciliary basal body); GO:0042995 (cell projection); GO:0030030 (cell projection organization); GO:0060271 (cilium assembly); GO:0035869 (ciliary transition zone); GO:1905515 (non-motile cilium assembly)</t>
  </si>
  <si>
    <t>GO:0016020 (membrane); GO:0016021 (integral component of membrane); GO:0005886 (plasma membrane); GO:0022857 (transmembrane transporter activity); GO:0055085 (transmembrane transport); GO:0043204 (perikaryon); GO:0005366 (myo-inositol:proton symporter activity); GO:0015798 (myo-inositol transport); GO:0016324 (apical plasma membrane); GO:0009925 (basal plasma membrane)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</si>
  <si>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GO:0045944 (positive regulation of transcription by RNA polymerase II); GO:0000978 (RNA polymerase II cis-regulatory region sequence-specific DNA binding); GO:0006357 (regulation of transcription by RNA polymerase II); GO:0030154 (cell differentiation); GO:0048856 (anatomical structure development)</t>
  </si>
  <si>
    <t>GO:0000978 (RNA polymerase II cis-regulatory region sequence-specific DNA binding); GO:0000981 (DNA-binding transcription factor activity, RNA polymerase II-specific); GO:0006357 (regulation of transcription by RNA polymerase II); GO:0010468 (regulation of gene expression); GO:0019216 (regulation of lipid metabolic process)</t>
  </si>
  <si>
    <t xml:space="preserve">Receptor-type guanylate cyclase gcy-25 </t>
  </si>
  <si>
    <t>GO:0005737 (cytoplasm); GO:0016787 (hydrolase activity); GO:0016020 (membrane); GO:0006629 (lipid metabolic process); GO:0005811 (lipid droplet); GO:0016042 (lipid catabolic process); GO:0055088 (lipid homeostasis); GO:0004806 (triglyceride lipase activity); GO:0019433 (triglyceride catabolic process); GO:0042572 (retinol metabolic process); GO:0050253 (retinyl-palmitate esterase activity)</t>
  </si>
  <si>
    <t>Neuropeptide-like protein 30 QWGYGGY-amide GYGGYGGY-amide GYGGY-amide GMW-amide PYGGYGW-amide</t>
  </si>
  <si>
    <t xml:space="preserve">Activated in Blocked Unfolded protein response; Prion-like-(Q/N-rich)-domain-bearing protein </t>
  </si>
  <si>
    <t xml:space="preserve">HOG only (Hedgehog Hog domain alone) </t>
  </si>
  <si>
    <t>GO:0016540 (protein autoprocessing)</t>
  </si>
  <si>
    <t>GO:0016020 (membrane); GO:0016021 (integral component of membrane); GO:0005887 (integral component of plasma membrane); GO:0050911 (detection of chemical stimulus involved in sensory perception of smell); GO:0007186 (G protein-coupled receptor signaling pathway); GO:0038022 (G protein-coupled olfactory receptor activity); GO:0042048 (olfactory behavior); GO:0007614 (short-term memory)</t>
  </si>
  <si>
    <t xml:space="preserve">Serpentine receptor class epsilon-6 </t>
  </si>
  <si>
    <t>GO:0016787 (hydrolase activity); GO:0005782 (peroxisomal matrix); GO:0006637 (acyl-CoA metabolic process); GO:0009062 (fatty acid catabolic process); GO:0047617 (acyl-CoA hydrolase activity)</t>
  </si>
  <si>
    <t>GO:0016787 (hydrolase activity); GO:0004386 (helicase activity); GO:0000166 (nucleotide binding); GO:0005524 (ATP binding); GO:0006281 (DNA repair); GO:0006974 (cellular response to DNA damage stimulus); GO:0000723 (telomere maintenance); GO:0006310 (DNA recombination); GO:0003678 (DNA helicase activity); GO:0005657 (replication fork); GO:0006260 (DNA replication); GO:0032508 (DNA duplex unwinding); GO:0016887 (ATPase activity)</t>
  </si>
  <si>
    <t>GO:0005737 (cytoplasm); GO:0060271 (cilium assembly); GO:0036064 (ciliary basal body)</t>
  </si>
  <si>
    <t>GO:0030246 (carbohydrate binding); GO:0005515 (protein binding)</t>
  </si>
  <si>
    <t xml:space="preserve">Glycosyltransferase family 92 protein C35A5.5 </t>
  </si>
  <si>
    <t xml:space="preserve">Homeobox protein ceh-9 </t>
  </si>
  <si>
    <t xml:space="preserve">FEZ Family zinc finger protein </t>
  </si>
  <si>
    <t xml:space="preserve">GATA-type transcription factor; Mesoderm and Endoderm Determination </t>
  </si>
  <si>
    <t>GO:0005634 (nucleus); GO:0046872 (metal ion binding); GO:0003700 (DNA-binding transcription factor activity); GO:0006355 (regulation of transcription, DNA-templated); GO:0008270 (zinc ion binding); GO:0043565 (sequence-specific DNA binding); GO:0006357 (regulation of transcription by RNA polymerase II); GO:0000978 (RNA polymerase II cis-regulatory region sequence-specific DNA binding); GO:0000981 (DNA-binding transcription factor activity, RNA polymerase II-specific); GO:0045165 (cell fate commitment); GO:0001714 (endodermal cell fate specification); GO:0060465 (pharynx development)</t>
  </si>
  <si>
    <t xml:space="preserve">1-alkyl-2-acetylglycerophosphocholine esterase </t>
  </si>
  <si>
    <t>GO:0016787 (hydrolase activity); GO:0006629 (lipid metabolic process); GO:0016042 (lipid catabolic process); GO:0003847 (1-alkyl-2-acetylglycerophosphocholine esterase activity); GO:0005829 (cytosol); GO:0005789 (endoplasmic reticulum membrane)</t>
  </si>
  <si>
    <t xml:space="preserve">Cytoplasmic polyadenylation element-binding protein 2 </t>
  </si>
  <si>
    <t>GO:0006749 (glutathione metabolic process); GO:0004364 (glutathione transferase activity); GO:0005515 (protein binding)</t>
  </si>
  <si>
    <t>GO:0016020 (membrane); GO:0016021 (integral component of membrane); GO:0004970 (ionotropic glutamate receptor activity); GO:0035235 (ionotropic glutamate receptor signaling pathway)</t>
  </si>
  <si>
    <t xml:space="preserve">Nuclear hormone receptor family member nhr-124 </t>
  </si>
  <si>
    <t xml:space="preserve">Zinc metalloproteinase nas-3 </t>
  </si>
  <si>
    <t xml:space="preserve">C. Elegans Homeobox; NK-2 family homeodomain protein CEH-28 </t>
  </si>
  <si>
    <t>GO:0005634 (nucleus); GO:0003677 (DNA binding);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GO:0030154 (cell differentiation); GO:0007399 (nervous system development); GO:0000785 (chromatin); GO:0050807 (regulation of synapse organization); GO:0003700 (DNA-binding transcription factor activity); GO:0045944 (positive regulation of transcription by RNA polymerase II); GO:0034243 (regulation of transcription elongation from RNA polymerase II promoter); GO:0045664 (regulation of neuron differentiation)</t>
  </si>
  <si>
    <t xml:space="preserve">Acetylcholine-gated chloride channel subunit acc-2 </t>
  </si>
  <si>
    <t>GO:0031462 (Cul2-RING ubiquitin ligase complex)</t>
  </si>
  <si>
    <t xml:space="preserve">CILiary localization </t>
  </si>
  <si>
    <t>GO:0097730 (non-motile cilium); GO:0043025 (neuronal cell body); GO:0030424 (axon); GO:0030425 (dendrite); GO:0097546 (ciliary base)</t>
  </si>
  <si>
    <t xml:space="preserve">Thioredoxin-1 </t>
  </si>
  <si>
    <t>GO:0006662 (glycerol ether metabolic process); GO:0015035 (protein disulfide oxidoreductase activity); GO:0097730 (non-motile cilium); GO:0005634 (nucleus); GO:0043025 (neuronal cell body); GO:0005737 (cytoplasm); GO:0008340 (determination of adult lifespan); GO:0030424 (axon); GO:0030425 (dendrite); GO:0045454 (cell redox homeostasis)</t>
  </si>
  <si>
    <t xml:space="preserve">TryPtophan Hydroxylase </t>
  </si>
  <si>
    <t>GO:0046872 (metal ion binding); GO:0016491 (oxidoreductase activity); GO:0043005 (neuron projection); GO:0004497 (monooxygenase activity); GO:0005506 (iron ion binding); GO:0004510 (tryptophan 5-monooxygenase activity); GO:0009072 (aromatic amino acid family metabolic process); GO:0016714 (oxidoreductase activity, acting on paired donors, with incorporation or reduction of molecular oxygen, reduced pteridine as one donor, and incorporation of one atom of oxygen); GO:0042427 (serotonin biosynthetic process); GO:0008340 (determination of adult lifespan); GO:0043051 (regulation of pharyngeal pumping); GO:0019915 (lipid storage); GO:0040024 (dauer larval development); GO:0046662 (regulation of oviposition); GO:0006587 (serotonin biosynthetic process from tryptophan); GO:0030511 (positive regulation of transforming growth factor beta receptor signaling pathway); GO:0055114 (oxidation-reduction process); GO:0031103 (axon regeneration); GO:0048678 (response to axon injury)</t>
  </si>
  <si>
    <t xml:space="preserve">Zinc metalloproteinase nas-15 </t>
  </si>
  <si>
    <t xml:space="preserve">Putative insulin-like peptide beta-type 6 </t>
  </si>
  <si>
    <t xml:space="preserve">Poly(ADP-ribose) glycohydrolase 2 </t>
  </si>
  <si>
    <t>GO:0004649 (poly(ADP-ribose) glycohydrolase activity); GO:0005975 (carbohydrate metabolic process)</t>
  </si>
  <si>
    <t xml:space="preserve">Homeobox protein ceh-5 </t>
  </si>
  <si>
    <t>GO:0003690 (double-stranded DNA binding)</t>
  </si>
  <si>
    <t>GO:0051225 (spindle assembly); GO:0000281 (mitotic cytokinesis)</t>
  </si>
  <si>
    <t xml:space="preserve">Branched-chain-amino-acid aminotransferase </t>
  </si>
  <si>
    <t>GO:0003824 (catalytic activity); GO:0016740 (transferase activity); GO:0005739 (mitochondrion); GO:0008483 (transaminase activity); GO:0008652 (cellular amino acid biosynthetic process); GO:0004084 (branched-chain-amino-acid transaminase activity); GO:0009081 (branched-chain amino acid metabolic process); GO:0009082 (branched-chain amino acid biosynthetic process); GO:0009098 (leucine biosynthetic process); GO:0009099 (valine biosynthetic process); GO:0052654 (L-leucine transaminase activity); GO:0052655 (L-valine transaminase activity); GO:0052656 (L-isoleucine transaminase activity); GO:0050048 (L-leucine:2-oxoglutarate aminotransferase activity)</t>
  </si>
  <si>
    <t xml:space="preserve">Cuticle collagen rol-6 </t>
  </si>
  <si>
    <t>GO:0005581 (collagen trimer); GO:0042302 (structural constituent of cuticle); GO:0042329 (structural constituent of collagen and cuticulin-based cuticle); GO:0060102 (collagen and cuticulin-based cuticle extracellular matrix); GO:0042338 (cuticle development involved in collagen and cuticulin-based cuticle molting cycle)</t>
  </si>
  <si>
    <t>GO:0052689 (carboxylic ester hydrolase activity); GO:0005739 (mitochondrion); GO:0005811 (lipid droplet); GO:0055088 (lipid homeostasis); GO:0006654 (phosphatidic acid biosynthetic process); GO:0042171 (lysophosphatidic acid acyltransferase activity)</t>
  </si>
  <si>
    <t xml:space="preserve">TRP-channel-Like </t>
  </si>
  <si>
    <t>GO:0016020 (membrane); GO:0016021 (integral component of membrane); GO:0005261 (cation channel activity); GO:0005887 (integral component of plasma membrane); GO:0098655 (cation transmembrane transport)</t>
  </si>
  <si>
    <t>GO:0005886 (plasma membrane); GO:0043235 (receptor complex); GO:0006898 (receptor-mediated endocytosis); GO:0016324 (apical plasma membrane); GO:0005515 (protein binding); GO:0042562 (hormone binding)</t>
  </si>
  <si>
    <t xml:space="preserve">Putative cuticle collagen 145 </t>
  </si>
  <si>
    <t xml:space="preserve">Serpentine receptor class J-38 </t>
  </si>
  <si>
    <t>GO:0005634 (nucleus); GO:0003723 (RNA binding); GO:0003729 (mRNA binding); GO:0048024 (regulation of mRNA splicing, via spliceosome)</t>
  </si>
  <si>
    <t>GO:0005868 (cytoplasmic dynein complex); GO:0042073 (intraciliary transport); GO:0007018 (microtubule-based movement); GO:0045504 (dynein heavy chain binding); GO:0045503 (dynein light chain binding); GO:0005515 (protein binding); GO:0097014 (ciliary plasm)</t>
  </si>
  <si>
    <t xml:space="preserve">Alcohol dehydrogenase 2 </t>
  </si>
  <si>
    <t>GO:0016020 (membrane); GO:0016021 (integral component of membrane); GO:0005524 (ATP binding); GO:0000166 (nucleotide binding); GO:0005886 (plasma membrane); GO:0000287 (magnesium ion binding); GO:0016887 (ATPase activity); GO:0006890 (retrograde vesicle-mediated transport, Golgi to endoplasmic reticulum); GO:0006897 (endocytosis); GO:0005802 (trans-Golgi network); GO:0005768 (endosome); GO:0015914 (phospholipid transport); GO:0045332 (phospholipid translocation); GO:0140326 (ATPase-coupled intramembrane lipid transporter activity)</t>
  </si>
  <si>
    <t xml:space="preserve">Serpentine receptor class delta-63 </t>
  </si>
  <si>
    <t>GO:0016020 (membrane); GO:0016021 (integral component of membrane); GO:0038023 (signaling receptor activity); GO:0005216 (ion channel activity); GO:0005886 (plasma membrane); GO:0006811 (ion transport); GO:0034220 (ion transmembrane transport); GO:0008066 (glutamate receptor activity); GO:0030054 (cell junction); GO:0045202 (synapse); GO:0045211 (postsynaptic membrane); GO:0060078 (regulation of postsynaptic membrane potential); GO:0004970 (ionotropic glutamate receptor activity); GO:0035235 (ionotropic glutamate receptor signaling pathway); GO:0035249 (synaptic transmission, glutamatergic); GO:0050804 (modulation of chemical synaptic transmission); GO:1904315 (transmitter-gated ion channel activity involved in regulation of postsynaptic membrane potential); GO:0050896 (response to stimulus); GO:0015276 (ligand-gated ion channel activity); GO:0050965 (detection of temperature stimulus involved in sensory perception of pain); GO:0120169 (detection of cold stimulus involved in thermoception)</t>
  </si>
  <si>
    <t>GO:0016020 (membrane); GO:0005886 (plasma membrane); GO:0007186 (G protein-coupled receptor signaling pathway); GO:0008528 (G protein-coupled peptide receptor activity); GO:0016021 (integral component of membrane)</t>
  </si>
  <si>
    <t>GO:0031462 (Cul2-RING ubiquitin ligase complex); GO:0005515 (protein binding)</t>
  </si>
  <si>
    <t xml:space="preserve">Degenerin-like protein asic-2 </t>
  </si>
  <si>
    <t xml:space="preserve">Non-specific protein-tyrosine kinase </t>
  </si>
  <si>
    <t>GO:0003677 (DNA binding); GO:0005634 (nucleus); GO:0046982 (protein heterodimerization activity); GO:0000786 (nucleosome)</t>
  </si>
  <si>
    <t>GO:0005783 (endoplasmic reticulum); GO:0003756 (protein disulfide isomerase activity); GO:0006457 (protein folding); GO:0034976 (response to endoplasmic reticulum stress); GO:0018215 (protein phosphopantetheinylation)</t>
  </si>
  <si>
    <t>GO:0005576 (extracellular region); GO:0005125 (cytokine activity); GO:0007165 (signal transduction)</t>
  </si>
  <si>
    <t xml:space="preserve">Probable acyl-CoA dehydrogenase 6 </t>
  </si>
  <si>
    <t>GO:0003995 (acyl-CoA dehydrogenase activity); GO:0016627 (oxidoreductase activity, acting on the CH-CH group of donors); GO:0055114 (oxidation-reduction process); GO:0050660 (flavin adenine dinucleotide binding)</t>
  </si>
  <si>
    <t>GO:0004725 (protein tyrosine phosphatase activity); GO:0006470 (protein dephosphorylation); GO:0035335 (peptidyl-tyrosine dephosphorylation); GO:0016311 (dephosphorylation); GO:0016791 (phosphatase activity); GO:0005634 (nucleus)</t>
  </si>
  <si>
    <t xml:space="preserve">Glutathione S-transferase 2 </t>
  </si>
  <si>
    <t>GO:0005524 (ATP binding); GO:0016301 (kinase activity); GO:0016310 (phosphorylation); GO:0000166 (nucleotide binding); GO:0016740 (transferase activity); GO:0016887 (ATPase activity); GO:0005975 (carbohydrate metabolic process); GO:0046177 (D-gluconate catabolic process); GO:0046316 (gluconokinase activity); GO:0005515 (protein binding)</t>
  </si>
  <si>
    <t xml:space="preserve">Adenine Nucleotide Translocator; Mitochondrial adenine nucleotide translocase 1.4 </t>
  </si>
  <si>
    <t>GO:0016020 (membrane); GO:0016021 (integral component of membrane); GO:0055085 (transmembrane transport); GO:0005743 (mitochondrial inner membrane); GO:0005739 (mitochondrion); GO:1990544 (mitochondrial ATP transmembrane transport); GO:0140021 (mitochondrial ADP transmembrane transport); GO:0005471 (ATP:ADP antiporter activity)</t>
  </si>
  <si>
    <t xml:space="preserve">C. Elegans Homeobox; CEH-17 </t>
  </si>
  <si>
    <t>GO:0003677 (DNA binding); GO:0005634 (nucleus); GO:0006355 (regulation of transcription, DNA-templated); GO:0005515 (protein binding); GO:0000977 (RNA polymerase II transcription regulatory region sequence-specific DNA binding); GO:0000981 (DNA-binding transcription factor activity, RNA polymerase II-specific); GO:0006357 (regulation of transcription by RNA polymerase II); GO:0007399 (nervous system development); GO:0003700 (DNA-binding transcription factor activity); GO:0045944 (positive regulation of transcription by RNA polymerase II); GO:0030516 (regulation of axon extension); GO:0007411 (axon guidance); GO:0048666 (neuron development); GO:0001228 (DNA-binding transcription activator activity, RNA polymerase II-specific)</t>
  </si>
  <si>
    <t xml:space="preserve">Zinc metalloproteinase nas-6 </t>
  </si>
  <si>
    <t>GO:0004222 (metalloendopeptidase activity); GO:0008237 (metallopeptidase activity); GO:0006508 (proteolysis); GO:0008270 (zinc ion binding); GO:0016787 (hydrolase activity); GO:0046872 (metal ion binding); GO:0008233 (peptidase activity); GO:0060465 (pharynx development); GO:0043050 (pharyngeal pumping)</t>
  </si>
  <si>
    <t xml:space="preserve">Neuronal acetylcholine receptor subunit eat-2 </t>
  </si>
  <si>
    <t xml:space="preserve">Matrix metalloproteinase-C </t>
  </si>
  <si>
    <t xml:space="preserve">Putative cytochrome P450 CYP13A4 </t>
  </si>
  <si>
    <t xml:space="preserve">Receptor-type guanylate cyclase gcy-10 </t>
  </si>
  <si>
    <t xml:space="preserve">Protein male abnormal 3 </t>
  </si>
  <si>
    <t>GO:0043565 (sequence-specific DNA binding); GO:0003700 (DNA-binding transcription factor activity); GO:0005634 (nucleus); GO:0006355 (regulation of transcription, DNA-templated)</t>
  </si>
  <si>
    <t>GO:0005929 (cilium); GO:0042995 (cell projection); GO:0031514 (motile cilium); GO:0060271 (cilium assembly); GO:0015630 (microtubule cytoskeleton); GO:0060294 (cilium movement involved in cell motility)</t>
  </si>
  <si>
    <t xml:space="preserve">UDP-Glucose Glycoprotein glucosylTransferase </t>
  </si>
  <si>
    <t>GO:0016740 (transferase activity); GO:0006486 (protein glycosylation); GO:0005783 (endoplasmic reticulum); GO:0051082 (unfolded protein binding); GO:0003980 (UDP-glucose:glycoprotein glucosyltransferase activity); GO:0018279 (protein N-linked glycosylation via asparagine); GO:0071712 (ER-associated misfolded protein catabolic process); GO:0097359 (UDP-glucosylation); GO:0005788 (endoplasmic reticulum lumen); GO:0030968 (endoplasmic reticulum unfolded protein response); GO:0061062 (regulation of nematode larval development); GO:0045995 (regulation of embryonic development)</t>
  </si>
  <si>
    <t xml:space="preserve">Receptor-type guanylate cyclase gcy-23 </t>
  </si>
  <si>
    <t>GO:0004725 (protein tyrosine phosphatase activity); GO:0006470 (protein dephosphorylation); GO:0035335 (peptidyl-tyrosine dephosphorylation); GO:0016311 (dephosphorylation); GO:0016791 (phosphatase activity); GO:0008045 (motor neuron axon guidance)</t>
  </si>
  <si>
    <t>GO:0016020 (membrane); GO:0016021 (integral component of membrane); GO:0005856 (cytoskeleton)</t>
  </si>
  <si>
    <t xml:space="preserve">Serpentine receptor class XA 10 </t>
  </si>
  <si>
    <t xml:space="preserve">Sperm Specific Transcript </t>
  </si>
  <si>
    <t xml:space="preserve">FOLate Receptor homolog </t>
  </si>
  <si>
    <t xml:space="preserve">LYSozyme </t>
  </si>
  <si>
    <t>GO:0007165 (signal transduction); GO:0045087 (innate immune response)</t>
  </si>
  <si>
    <t>GO:0016020 (membrane); GO:0016021 (integral component of membrane); GO:0055085 (transmembrane transport); GO:0006812 (cation transport); GO:1902600 (proton transmembrane transport); GO:0015299 (solute:proton antiporter activity)</t>
  </si>
  <si>
    <t xml:space="preserve">Homeobox protein dsc-1 </t>
  </si>
  <si>
    <t xml:space="preserve">BHLH-PAS factor; CKY homolog </t>
  </si>
  <si>
    <t>GO:0046983 (protein dimerization activity); GO:0000977 (RNA polymerase II transcription regulatory region sequence-specific DNA binding); GO:0000981 (DNA-binding transcription factor activity, RNA polymerase II-specific); GO:0006357 (regulation of transcription by RNA polymerase II); GO:0005515 (protein binding); GO:0005634 (nucleus); GO:0045944 (positive regulation of transcription by RNA polymerase II); GO:0043565 (sequence-specific DNA binding); GO:0090575 (RNA polymerase II transcription regulator complex)</t>
  </si>
  <si>
    <t xml:space="preserve">Zinc metalloproteinase nas-13 </t>
  </si>
  <si>
    <t xml:space="preserve">Cadmium-inducible lysosomal protein CDR-5; Heme Responsive protein </t>
  </si>
  <si>
    <t>GO:0016020 (membrane); GO:0016021 (integral component of membrane); GO:0005737 (cytoplasm); GO:0020037 (heme binding)</t>
  </si>
  <si>
    <t xml:space="preserve">Receptor-type guanylate cyclase daf-11 </t>
  </si>
  <si>
    <t>GO:0009190 (cyclic nucleotide biosynthetic process); GO:0004672 (protein kinase activity); GO:0035556 (intracellular signal transduction); GO:0006468 (protein phosphorylation); GO:0005524 (ATP binding); GO:0016020 (membrane); GO:0016021 (integral component of membrane); GO:0004383 (guanylate cyclase activity); GO:0006182 (cGMP biosynthetic process); GO:0016829 (lyase activity)</t>
  </si>
  <si>
    <t xml:space="preserve">Sperm transmembrane protein 9 </t>
  </si>
  <si>
    <t>GO:0016020 (membrane); GO:0016021 (integral component of membrane); GO:0005509 (calcium ion binding); GO:0005737 (cytoplasm); GO:0007155 (cell adhesion); GO:0007338 (single fertilization); GO:0005886 (plasma membrane); GO:0005102 (signaling receptor binding); GO:0009986 (cell surface); GO:0031143 (pseudopodium); GO:0043227 (membrane-bounded organelle)</t>
  </si>
  <si>
    <t>GO:0003677 (DNA binding); GO:0005634 (nucleus); GO:0006355 (regulation of transcription, DNA-templated);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GO:0048856 (anatomical structure development)</t>
  </si>
  <si>
    <t>GO:0007154 (cell communication); GO:0016020 (membrane)</t>
  </si>
  <si>
    <t>GO:0005737 (cytoplasm); GO:0051015 (actin filament binding); GO:0003779 (actin binding); GO:0030674 (protein-macromolecule adaptor activity)</t>
  </si>
  <si>
    <t xml:space="preserve">Putative forkhead-related transcription factor fkh-5 </t>
  </si>
  <si>
    <t xml:space="preserve">Glutamate CarboxyPeptidase 2 homolog </t>
  </si>
  <si>
    <t>GO:0016020 (membrane); GO:0016021 (integral component of membrane); GO:0006508 (proteolysis); GO:0004180 (carboxypeptidase activity); GO:0008235 (metalloexopeptidase activity)</t>
  </si>
  <si>
    <t xml:space="preserve">Protein odd-skipped-related 1 </t>
  </si>
  <si>
    <t xml:space="preserve">Potassium channel subunit n2P16; TWiK family of potassium channels </t>
  </si>
  <si>
    <t xml:space="preserve">TNF Receptor Associated Factor (TRAF) homolog; TRF-1 </t>
  </si>
  <si>
    <t>GO:0046872 (metal ion binding); GO:0005737 (cytoplasm); GO:0007165 (signal transduction); GO:0008270 (zinc ion binding); GO:0004842 (ubiquitin-protein transferase activity); GO:0042981 (regulation of apoptotic process); GO:0031625 (ubiquitin protein ligase binding); GO:0070534 (protein K63-linked ubiquitination); GO:0045087 (innate immune response); GO:0050829 (defense response to Gram-negative bacterium); GO:0033209 (tumor necrosis factor-mediated signaling pathway); GO:0043122 (regulation of I-kappaB kinase/NF-kappaB signaling); GO:0046330 (positive regulation of JNK cascade); GO:0005515 (protein binding); GO:0005164 (tumor necrosis factor receptor binding); GO:0009898 (cytoplasmic side of plasma membrane)</t>
  </si>
  <si>
    <t xml:space="preserve">Guanine nucleotide-binding protein alpha-15 subunit </t>
  </si>
  <si>
    <t xml:space="preserve">Warthog protein 3 </t>
  </si>
  <si>
    <t>GO:0005576 (extracellular region); GO:0007275 (multicellular organism development)</t>
  </si>
  <si>
    <t>GO:0035966 (response to topologically incorrect protein)</t>
  </si>
  <si>
    <t xml:space="preserve">Fer-related kinase 1 </t>
  </si>
  <si>
    <t xml:space="preserve">Uncharacterized calcium-binding protein C07A9.5 </t>
  </si>
  <si>
    <t xml:space="preserve">Translocase, Inner Mitochondrial Membrane </t>
  </si>
  <si>
    <t xml:space="preserve">Zinc metalloproteinase nas-12 </t>
  </si>
  <si>
    <t>GO:0005524 (ATP binding); GO:0006464 (cellular protein modification process); GO:0000166 (nucleotide binding); GO:0016874 (ligase activity); GO:0005929 (cilium); GO:0042995 (cell projection); GO:0015631 (tubulin binding); GO:0030424 (axon); GO:0030425 (dendrite); GO:0043204 (perikaryon); GO:0000226 (microtubule cytoskeleton organization); GO:0034606 (response to hermaphrodite contact); GO:0018095 (protein polyglutamylation); GO:0070740 (tubulin-glutamic acid ligase activity); GO:0018215 (protein phosphopantetheinylation)</t>
  </si>
  <si>
    <t>GO:0090305 (nucleic acid phosphodiester bond hydrolysis); GO:0004519 (endonuclease activity)</t>
  </si>
  <si>
    <t xml:space="preserve">Putative histone H1.6 </t>
  </si>
  <si>
    <t xml:space="preserve">STarGazin (Mammalian calcium channel) homolog; TARP-like protein STG-2 </t>
  </si>
  <si>
    <t>GO:0016020 (membrane); GO:0016021 (integral component of membrane); GO:0008344 (adult locomotory behavior); GO:0051968 (positive regulation of synaptic transmission, glutamatergic)</t>
  </si>
  <si>
    <t xml:space="preserve">Two pore potassium channel protein sup-9 </t>
  </si>
  <si>
    <t>GO:0005739 (mitochondrion); GO:0016491 (oxidoreductase activity); GO:0006635 (fatty acid beta-oxidation); GO:0003995 (acyl-CoA dehydrogenase activity); GO:0016627 (oxidoreductase activity, acting on the CH-CH group of donors); GO:0050660 (flavin adenine dinucleotide binding); GO:0051793 (medium-chain fatty acid catabolic process); GO:0070991 (medium-chain-acyl-CoA dehydrogenase activity); GO:0055114 (oxidation-reduction process)</t>
  </si>
  <si>
    <t xml:space="preserve">Asparagine synthetase </t>
  </si>
  <si>
    <t>GO:0000166 (nucleotide binding); GO:0005524 (ATP binding); GO:0005829 (cytosol); GO:0006541 (glutamine metabolic process); GO:0008652 (cellular amino acid biosynthetic process); GO:0004066 (asparagine synthase (glutamine-hydrolyzing) activity); GO:0006529 (asparagine biosynthetic process); GO:0070981 (L-asparagine biosynthetic process)</t>
  </si>
  <si>
    <t xml:space="preserve">Dynein Heavy Chain </t>
  </si>
  <si>
    <t>GO:0030286 (dynein complex); GO:0045505 (dynein intermediate chain binding); GO:0051959 (dynein light intermediate chain binding); GO:0007018 (microtubule-based movement); GO:0008569 (ATP-dependent microtubule motor activity, minus-end-directed); GO:0003341 (cilium movement); GO:0036156 (inner dynein arm)</t>
  </si>
  <si>
    <t xml:space="preserve">CYclophyliN </t>
  </si>
  <si>
    <t xml:space="preserve">Serpentine Receptor, class B (Beta) </t>
  </si>
  <si>
    <t>GO:0008270 (zinc ion binding); GO:0006508 (proteolysis); GO:0005615 (extracellular space); GO:0004181 (metallocarboxypeptidase activity); GO:0016787 (hydrolase activity); GO:0046872 (metal ion binding); GO:0008233 (peptidase activity); GO:0008237 (metallopeptidase activity); GO:0004180 (carboxypeptidase activity)</t>
  </si>
  <si>
    <t xml:space="preserve">Probable G-protein coupled receptor K01A12.3 </t>
  </si>
  <si>
    <t xml:space="preserve">Histone H2B 2 </t>
  </si>
  <si>
    <t xml:space="preserve">Nematode Kynurenine AminoTransferase </t>
  </si>
  <si>
    <t>GO:0005737 (cytoplasm); GO:0003824 (catalytic activity); GO:0005739 (mitochondrion); GO:0009058 (biosynthetic process); GO:0030170 (pyridoxal phosphate binding); GO:0016212 (kynurenine-oxoglutarate transaminase activity); GO:0097052 (L-kynurenine metabolic process)</t>
  </si>
  <si>
    <t xml:space="preserve">Transmembrane protein RAM-5 </t>
  </si>
  <si>
    <t>GO:0016020 (membrane); GO:0016021 (integral component of membrane); GO:0005887 (integral component of plasma membrane); GO:0045138 (nematode male tail tip morphogenesis)</t>
  </si>
  <si>
    <t xml:space="preserve">Serpentine receptor class gamma-15 </t>
  </si>
  <si>
    <t xml:space="preserve">Putative T-box protein 7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</si>
  <si>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GO:0003674 (molecular_function); GO:0008150 (biological_process); GO:0005667 (transcription regulator complex)</t>
  </si>
  <si>
    <t>GO:0030968 (endoplasmic reticulum unfolded protein response); GO:0003674 (molecular_function); GO:0030176 (integral component of endoplasmic reticulum membrane)</t>
  </si>
  <si>
    <t>GO:0016779 (nucleotidyltransferase activity); GO:0031123 (RNA 3'-end processing); GO:0050265 (RNA uridylyltransferase activity); GO:0071076 (RNA 3' uridylation)</t>
  </si>
  <si>
    <t>GO:0005634 (nucleus); GO:0005524 (ATP binding); GO:0004672 (protein kinase activity); GO:0006468 (protein phosphorylation); GO:0016301 (kinase activity); GO:0016310 (phosphorylation); GO:0051726 (regulation of cell cycle); GO:0008353 (RNA polymerase II CTD heptapeptide repeat kinase activity); GO:0004693 (cyclin-dependent protein serine/threonine kinase activity); GO:0016592 (mediator complex)</t>
  </si>
  <si>
    <t xml:space="preserve">Transcription factor aptf-1 </t>
  </si>
  <si>
    <t>GO:0003700 (DNA-binding transcription factor activity); GO:0005634 (nucleus); GO:0006355 (regulation of transcription, DNA-templated)</t>
  </si>
  <si>
    <t xml:space="preserve">Cyclin-dependent kinase-like 1 </t>
  </si>
  <si>
    <t>GO:0004672 (protein kinase activity); GO:0006468 (protein phosphorylation); GO:0005524 (ATP binding); GO:0016301 (kinase activity); GO:0016310 (phosphorylation); GO:0000166 (nucleotide binding); GO:0004674 (protein serine/threonine kinase activity); GO:0035869 (ciliary transition zone)</t>
  </si>
  <si>
    <t xml:space="preserve">MiRP K channel accessory Subunit </t>
  </si>
  <si>
    <t>GO:0016020 (membrane); GO:0016021 (integral component of membrane); GO:0005634 (nucleus); GO:0003729 (mRNA binding); GO:0090502 (RNA phosphodiester bond hydrolysis, endonucleolytic); GO:0004521 (endoribonuclease activity); GO:0005886 (plasma membrane); GO:0005515 (protein binding); GO:0007638 (mechanosensory behavior); GO:0006972 (hyperosmotic response); GO:0032809 (neuronal cell body membrane); GO:0004674 (protein serine/threonine kinase activity); GO:0018107 (peptidyl-threonine phosphorylation); GO:0030673 (axolemma); GO:0015459 (potassium channel regulator activity); GO:0043266 (regulation of potassium ion transport); GO:0050920 (regulation of chemotaxis); GO:0032590 (dendrite membrane); GO:0018105 (peptidyl-serine phosphorylation); GO:0008076 (voltage-gated potassium channel complex); GO:0043267 (negative regulation of potassium ion transport); GO:0036464 (cytoplasmic ribonucleoprotein granule)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</si>
  <si>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GO:0004715 (non-membrane spanning protein tyrosine kinase activity); GO:0038083 (peptidyl-tyrosine autophosphorylation); GO:0004713 (protein tyrosine kinase activity)</t>
  </si>
  <si>
    <t xml:space="preserve">HASPin kinase related </t>
  </si>
  <si>
    <t>GO:0005634 (nucleus); GO:0005524 (ATP binding); GO:0005737 (cytoplasm); GO:0004672 (protein kinase activity); GO:0006468 (protein phosphorylation); GO:0016301 (kinase activity); GO:0016310 (phosphorylation); GO:0000166 (nucleotide binding); GO:0016740 (transferase activity); GO:0004674 (protein serine/threonine kinase activity); GO:0035556 (intracellular signal transduction); GO:0000278 (mitotic cell cycle); GO:0072354 (histone kinase activity (H3-T3 specific)); GO:0072355 (histone H3-T3 phosphorylation); GO:0106310 (protein serine kinase activity); GO:0106311 (protein threonine kinase activity)</t>
  </si>
  <si>
    <t xml:space="preserve">Nematocin receptor 2 </t>
  </si>
  <si>
    <t xml:space="preserve">NePHronoPhthisis (Human kidney disease) homolog </t>
  </si>
  <si>
    <t>GO:0003674 (molecular_function); GO:0097543 (ciliary inversin compartment); GO:1904108 (protein localization to ciliary inversin compartment); GO:0005515 (protein binding)</t>
  </si>
  <si>
    <t xml:space="preserve">Acetylcholine receptor subunit beta-type acr-3 </t>
  </si>
  <si>
    <t>GO:0003677 (DNA binding); GO:0005634 (nucleus);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</t>
  </si>
  <si>
    <t>GO:0016491 (oxidoreductase activity); GO:0098869 (cellular oxidant detoxification); GO:0004601 (peroxidase activity); GO:0004602 (glutathione peroxidase activity); GO:0006979 (response to oxidative stress); GO:0005615 (extracellular space); GO:0055114 (oxidation-reduction process)</t>
  </si>
  <si>
    <t xml:space="preserve">Guanine nucleotide-binding protein alpha-5 subunit </t>
  </si>
  <si>
    <t>GO:0016020 (membrane); GO:0016021 (integral component of membrane); GO:0005737 (cytoplasm); GO:0055120 (striated muscle dense body)</t>
  </si>
  <si>
    <t>GO:0016020 (membrane); GO:0016021 (integral component of membrane); GO:0005737 (cytoplasm); GO:0046872 (metal ion binding); GO:0043231 (intracellular membrane-bounded organelle); GO:0016491 (oxidoreductase activity);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GO:0055114 (oxidation-reduction process)</t>
  </si>
  <si>
    <t xml:space="preserve">Receptor-type guanylate cyclase gcy-29 </t>
  </si>
  <si>
    <t xml:space="preserve">Neuropeptide receptor 18 </t>
  </si>
  <si>
    <t>GO:0004930 (G protein-coupled receptor activity); GO:0007186 (G protein-coupled receptor signaling pathway); GO:0016021 (integral component of membrane); GO:0016020 (membrane); GO:0007165 (signal transduction)</t>
  </si>
  <si>
    <t>GO:0005777 (peroxisome); GO:0016491 (oxidoreductase activity); GO:0008115 (sarcosine oxidase activity); GO:0033514 (L-lysine catabolic process to acetyl-CoA via L-pipecolate); GO:0050031 (L-pipecolate oxidase activity); GO:0055114 (oxidation-reduction process)</t>
  </si>
  <si>
    <t>GO:0016020 (membrane); GO:0016021 (integral component of membrane); GO:0016787 (hydrolase activity); GO:0005615 (extracellular space)</t>
  </si>
  <si>
    <t xml:space="preserve">Guanine nucleotide-binding protein alpha-11 subunit </t>
  </si>
  <si>
    <t xml:space="preserve">Yeast DiM Like </t>
  </si>
  <si>
    <t xml:space="preserve">Serpentine receptor class delta-51 </t>
  </si>
  <si>
    <t>GO:0016020 (membrane); GO:0016021 (integral component of membrane); GO:0009062 (fatty acid catabolic process); GO:0004040 (amidase activity); GO:0017064 (fatty acid amide hydrolase activity)</t>
  </si>
  <si>
    <t xml:space="preserve">Sodium-dependent dopamine transporter </t>
  </si>
  <si>
    <t xml:space="preserve">Probable diacylglycerol kinase 3 </t>
  </si>
  <si>
    <t>GO:0003951 (NAD+ kinase activity); GO:0016301 (kinase activity); GO:0007205 (protein kinase C-activating G protein-coupled receptor signaling pathway); GO:0004143 (diacylglycerol kinase activity); GO:0035556 (intracellular signal transduction); GO:0005509 (calcium ion binding); GO:0007165 (signal transduction)</t>
  </si>
  <si>
    <t xml:space="preserve">Sperm vesicle fusion protein fer-1 </t>
  </si>
  <si>
    <t>GO:0016021 (integral component of membrane); GO:0016020 (membrane); GO:0007009 (plasma membrane organization); GO:0007283 (spermatogenesis); GO:0031268 (pseudopodium organization); GO:0061025 (membrane fusion); GO:0097723 (amoeboid sperm motility); GO:0005887 (integral component of plasma membrane); GO:0031260 (pseudopodium membrane); GO:0031301 (integral component of organelle membrane); GO:0032809 (neuronal cell body membrane)</t>
  </si>
  <si>
    <t>GO:0030968 (endoplasmic reticulum unfolded protein response); GO:0008460 (dTDP-glucose 4,6-dehydratase activity); GO:0009225 (nucleotide-sugar metabolic process)</t>
  </si>
  <si>
    <t xml:space="preserve">Serpentine receptor class epsilon-27 </t>
  </si>
  <si>
    <t>GO:0016020 (membrane); GO:0016021 (integral component of membrane); GO:0004675 (transmembrane receptor protein serine/threonine kinase activity); GO:0007178 (transmembrane receptor protein serine/threonine kinase signaling pathway)</t>
  </si>
  <si>
    <t xml:space="preserve">Carbohydrate sulfotransferase chst-1 </t>
  </si>
  <si>
    <t>GO:1902884 (positive regulation of response to oxidative stress); GO:0030206 (chondroitin sulfate biosynthetic process); GO:0047756 (chondroitin 4-sulfotransferase activity); GO:0008146 (sulfotransferase activity); GO:0016021 (integral component of membrane)</t>
  </si>
  <si>
    <t>GO:0016020 (membrane); GO:0016021 (integral component of membrane); GO:0005634 (nucleus); GO:0005737 (cytoplasm); GO:0016787 (hydrolase activity); GO:0006470 (protein dephosphorylation); GO:0004722 (protein serine/threonine phosphatase activity)</t>
  </si>
  <si>
    <t xml:space="preserve">Rap guanine nucleotide exchange factor 1 </t>
  </si>
  <si>
    <t>GO:0035556 (intracellular signal transduction); GO:0005085 (guanyl-nucleotide exchange factor activity); GO:0007264 (small GTPase mediated signal transduction); GO:0050790 (regulation of catalytic activity)</t>
  </si>
  <si>
    <t>GO:0043565 (sequence-specific DNA binding); GO:0003700 (DNA-binding transcription factor activity); GO:0006355 (regulation of transcription, DNA-templated); GO:0005634 (nucleus);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</t>
  </si>
  <si>
    <t xml:space="preserve">T BoX family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</si>
  <si>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GO:0007507 (heart development)</t>
  </si>
  <si>
    <t xml:space="preserve">Nuclear hormone receptor family member nhr-199 </t>
  </si>
  <si>
    <t xml:space="preserve">Probable 2,4-dienoyl-CoA reductase 3 </t>
  </si>
  <si>
    <t xml:space="preserve">Neuropeptide-like protein 33 </t>
  </si>
  <si>
    <t xml:space="preserve">Glycosyltransferase family 92 protein F13G3.3 </t>
  </si>
  <si>
    <t>GO:0005737 (cytoplasm); GO:0006470 (protein dephosphorylation); GO:0017017 (MAP kinase tyrosine/serine/threonine phosphatase activity); GO:0004721 (phosphoprotein phosphatase activity); GO:0051019 (mitogen-activated protein kinase binding); GO:0000188 (inactivation of MAPK activity); GO:0008330 (protein tyrosine/threonine phosphatase activity); GO:0035335 (peptidyl-tyrosine dephosphorylation); GO:0035970 (peptidyl-threonine dephosphorylation)</t>
  </si>
  <si>
    <t>GO:0016740 (transferase activity); GO:0043231 (intracellular membrane-bounded organelle); GO:0015020 (glucuronosyltransferase activity); GO:0016757 (transferase activity, transferring glycosyl groups); GO:0008194 (UDP-glycosyltransferase activity)</t>
  </si>
  <si>
    <t>GO:0016787 (hydrolase activity); GO:0004104 (cholinesterase activity); GO:0052689 (carboxylic ester hydrolase activity); GO:0042135 (neurotransmitter catabolic process)</t>
  </si>
  <si>
    <t xml:space="preserve">Putative zinc finger protein ZK686.5 </t>
  </si>
  <si>
    <t>GO:0005634 (nucleus); GO:0046872 (metal ion binding); GO:0003677 (DNA binding)</t>
  </si>
  <si>
    <t xml:space="preserve">Intraflagellar transport associated protein 2 </t>
  </si>
  <si>
    <t>GO:0046872 (metal ion binding); GO:0019825 (oxygen binding); GO:0020037 (heme binding); GO:0005506 (iron ion binding); GO:0005344 (oxygen carrier activity); GO:0015671 (oxygen transport)</t>
  </si>
  <si>
    <t>GO:0005634 (nucleus); GO:0046872 (metal ion binding); GO:0006355 (regulation of transcription, DNA-templated); GO:0045944 (positive regulation of transcription by RNA polymerase II); GO:0004402 (histone acetyltransferase activity); GO:0000123 (histone acetyltransferase complex); GO:0031490 (chromatin DNA binding); GO:0003712 (transcription coregulator activity); GO:0005667 (transcription regulator complex); GO:0003713 (transcription coactivator activity); GO:0016573 (histone acetylation); GO:0001085 (RNA polymerase II transcription factor binding)</t>
  </si>
  <si>
    <t>GO:0005634 (nucleus); GO:0003700 (DNA-binding transcription factor activity); GO:0006355 (regulation of transcription, DNA-templated); GO:0043565 (sequence-specific DNA binding); GO:0003677 (DNA binding); GO:0000981 (DNA-binding transcription factor activity, RNA polymerase II-specific); GO:0006357 (regulation of transcription by RNA polymerase II); GO:0030154 (cell differentiation)</t>
  </si>
  <si>
    <t>GO:0005737 (cytoplasm); GO:0005856 (cytoskeleton); GO:0005515 (protein binding); GO:0008017 (microtubule binding); GO:0051013 (microtubule severing); GO:0008352 (katanin complex); GO:0007019 (microtubule depolymerization); GO:0008568 (microtubule-severing ATPase activity)</t>
  </si>
  <si>
    <t>GO:0098609 (cell-cell adhesion)</t>
  </si>
  <si>
    <t>GO:0005737 (cytoplasm); GO:0003824 (catalytic activity); GO:0016868 (intramolecular transferase activity, phosphotransferases)</t>
  </si>
  <si>
    <t xml:space="preserve">Guanine nucleotide-binding protein alpha-1 subunit </t>
  </si>
  <si>
    <t>GO:0016020 (membrane); GO:0016021 (integral component of membrane); GO:0005886 (plasma membrane); GO:0042302 (structural constituent of cuticle); GO:0060111 (alae of collagen and cuticulin-based cuticle extracellular matrix)</t>
  </si>
  <si>
    <t xml:space="preserve">Putative histone H3.3-like type 3 </t>
  </si>
  <si>
    <t xml:space="preserve">Olfactory channel </t>
  </si>
  <si>
    <t>GO:0016020 (membrane); GO:0016021 (integral component of membrane); GO:0005216 (ion channel activity); GO:0006811 (ion transport); GO:0055085 (transmembrane transport); GO:0005887 (integral component of plasma membrane); GO:0005262 (calcium channel activity); GO:0097730 (non-motile cilium); GO:0043025 (neuronal cell body); GO:0009612 (response to mechanical stimulus); GO:0006972 (hyperosmotic response); GO:0048471 (perinuclear region of cytoplasm); GO:0008355 (olfactory learning); GO:0042048 (olfactory behavior); GO:0005261 (cation channel activity); GO:0007608 (sensory perception of smell); GO:0022401 (negative adaptation of signaling pathway); GO:0005515 (protein binding); GO:0098703 (calcium ion import across plasma membrane)</t>
  </si>
  <si>
    <t xml:space="preserve">Putative zinc finger protein C09F5.3 </t>
  </si>
  <si>
    <t>GO:0005829 (cytosol); GO:0005515 (protein binding); GO:0006749 (glutathione metabolic process); GO:0004364 (glutathione transferase activity)</t>
  </si>
  <si>
    <t xml:space="preserve">ABC transporter ATP-binding protein/permease wht-3 </t>
  </si>
  <si>
    <t>GO:0016020 (membrane); GO:0016021 (integral component of membrane); GO:0005524 (ATP binding); GO:0055085 (transmembrane transport); GO:0005886 (plasma membrane); GO:0000166 (nucleotide binding); GO:0042626 (ATPase-coupled transmembrane transporter activity); GO:0003674 (molecular_function); GO:0005575 (cellular_component); GO:0016887 (ATPase activity)</t>
  </si>
  <si>
    <t>GO:0016020 (membrane); GO:0016021 (integral component of membrane); GO:0097730 (non-motile cilium); GO:0044297 (cell body); GO:0030425 (dendrite); GO:0003674 (molecular_function); GO:0023041 (neuronal signal transduction); GO:0034606 (response to hermaphrodite contact); GO:0005929 (cilium)</t>
  </si>
  <si>
    <t>GO:0046872 (metal ion binding); GO:0005829 (cytosol); GO:0003730 (mRNA 3'-UTR binding)</t>
  </si>
  <si>
    <t xml:space="preserve">Adenine Nucleotide Translocator </t>
  </si>
  <si>
    <t xml:space="preserve">Bardet-Biedl syndrome 4 protein homolog </t>
  </si>
  <si>
    <t xml:space="preserve">Putative sodium/calcium exchanger 6 </t>
  </si>
  <si>
    <t xml:space="preserve">Tetratricopeptide repeat protein 21 homolog </t>
  </si>
  <si>
    <t>GO:0005737 (cytoplasm); GO:0005856 (cytoskeleton); GO:0005929 (cilium); GO:0042995 (cell projection); GO:0030030 (cell projection organization); GO:0030425 (dendrite); GO:0030991 (intraciliary transport particle A); GO:0035721 (intraciliary retrograde transport); GO:0061512 (protein localization to cilium); GO:0005515 (protein binding)</t>
  </si>
  <si>
    <t xml:space="preserve">Glycosyltransferase family 92 protein F59C6.8 </t>
  </si>
  <si>
    <t>GO:0016020 (membrane); GO:0016021 (integral component of membrane); GO:0016740 (transferase activity); GO:0016757 (transferase activity, transferring glycosyl groups); GO:0003674 (molecular_function); GO:0005575 (cellular_component); GO:0008150 (biological_process)</t>
  </si>
  <si>
    <t>GO:0005856 (cytoskeleton); GO:0008017 (microtubule binding); GO:0005814 (centriole); GO:0036064 (ciliary basal body); GO:0005879 (axonemal microtubule); GO:0034453 (microtubule anchoring); GO:0036126 (sperm flagellum)</t>
  </si>
  <si>
    <t xml:space="preserve">Tetratricopeptide repeat protein 8 </t>
  </si>
  <si>
    <t>GO:0005737 (cytoplasm); GO:0015031 (protein transport); GO:0005856 (cytoskeleton); GO:0005929 (cilium); GO:0042995 (cell projection); GO:0030030 (cell projection organization); GO:1905515 (non-motile cilium assembly); GO:0036064 (ciliary basal body); GO:0043005 (neuron projection); GO:0097730 (non-motile cilium); GO:0034464 (BBSome); GO:1905798 (positive regulation of intraciliary anterograde transport); GO:1905801 (positive regulation of intraciliary retrograde transport); GO:1903569 (positive regulation of protein localization to ciliary membrane); GO:0044292 (dendrite terminus); GO:0006935 (chemotaxis); GO:0042073 (intraciliary transport); GO:0008355 (olfactory learning); GO:0003674 (molecular_function); GO:0060271 (cilium assembly); GO:0097546 (ciliary base); GO:1904107 (protein localization to microvillus membrane); GO:0005515 (protein binding)</t>
  </si>
  <si>
    <t>GO:0005634 (nucleus); GO:0003723 (RNA binding); GO:0046872 (metal ion binding); GO:0000166 (nucleotide binding); GO:0016740 (transferase activity); GO:0005524 (ATP binding); GO:0006378 (mRNA polyadenylation); GO:0016779 (nucleotidyltransferase activity); GO:0006397 (mRNA processing); GO:0004652 (polynucleotide adenylyltransferase activity); GO:0031123 (RNA 3'-end processing); GO:0043631 (RNA polyadenylation)</t>
  </si>
  <si>
    <t xml:space="preserve">CaDmium Responsive; Cadmium-inducible lysosomal protein CDR-1 </t>
  </si>
  <si>
    <t>GO:0005737 (cytoplasm); GO:0003674 (molecular_function); GO:0005764 (lysosome); GO:1990170 (stress response to cadmium ion); GO:0016021 (integral component of membrane)</t>
  </si>
  <si>
    <t xml:space="preserve">Ligand-gated ion channel 4 </t>
  </si>
  <si>
    <t xml:space="preserve">Putative cytochrome P450 CYP13A1 </t>
  </si>
  <si>
    <t xml:space="preserve">ENhancer of Uncoordination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</si>
  <si>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</t>
  </si>
  <si>
    <t>GO:0005737 (cytoplasm); GO:0006508 (proteolysis); GO:0008270 (zinc ion binding); GO:0042277 (peptide binding); GO:0043171 (peptide catabolic process); GO:0070006 (metalloaminopeptidase activity)</t>
  </si>
  <si>
    <t>GO:0005576 (extracellular region); GO:0005886 (plasma membrane); GO:0008061 (chitin binding); GO:0043235 (receptor complex); GO:0006898 (receptor-mediated endocytosis); GO:0016324 (apical plasma membrane); GO:0005515 (protein binding); GO:0042562 (hormone binding)</t>
  </si>
  <si>
    <t xml:space="preserve">Innexin-6 </t>
  </si>
  <si>
    <t xml:space="preserve">Serpentine receptor class delta-28 </t>
  </si>
  <si>
    <t>GO:0016020 (membrane); GO:0016021 (integral component of membrane); GO:0007614 (short-term memory)</t>
  </si>
  <si>
    <t>GO:0005524 (ATP binding); GO:0000166 (nucleotide binding); GO:0005737 (cytoplasm); GO:0016887 (ATPase activity); GO:0017025 (TBP-class protein binding); GO:0000502 (proteasome complex); GO:0008540 (proteasome regulatory particle, base subcomplex); GO:0030163 (protein catabolic process); GO:0036402 (proteasome-activating ATPase activity); GO:1901800 (positive regulation of proteasomal protein catabolic process); GO:0016787 (hydrolase activity)</t>
  </si>
  <si>
    <t xml:space="preserve">Galanin-like G-protein coupled receptor npr-9 </t>
  </si>
  <si>
    <t xml:space="preserve">Dopamine receptor 4 </t>
  </si>
  <si>
    <t xml:space="preserve">Putative glycosyltransferase C06E1.7 </t>
  </si>
  <si>
    <t xml:space="preserve">Nuclear hormone receptor unc-55 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</si>
  <si>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GO:0045944 (positive regulation of transcription by RNA polymerase II); GO:0000978 (RNA polymerase II cis-regulatory region sequence-specific DNA binding); GO:0000122 (negative regulation of transcription by RNA polymerase II); GO:0030154 (cell differentiation)</t>
  </si>
  <si>
    <t xml:space="preserve">Lysozyme-like protein 5 </t>
  </si>
  <si>
    <t>GO:0016020 (membrane); GO:0016021 (integral component of membrane); GO:0000768 (syncytium formation by plasma membrane fusion); GO:0005576 (extracellular region); GO:0007275 (multicellular organism development); GO:0044291 (cell-cell contact zone)</t>
  </si>
  <si>
    <t xml:space="preserve">Guanylate cyclase </t>
  </si>
  <si>
    <t>GO:0016020 (membrane); GO:0016021 (integral component of membrane); GO:0005524 (ATP binding); GO:0004672 (protein kinase activity); GO:0006468 (protein phosphorylation); GO:0004383 (guanylate cyclase activity); GO:0006182 (cGMP biosynthetic process); GO:0009190 (cyclic nucleotide biosynthetic process); GO:0016829 (lyase activity); GO:0016849 (phosphorus-oxygen lyase activity); GO:0035556 (intracellular signal transduction)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</si>
  <si>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GO:0018107 (peptidyl-threonine phosphorylation); GO:0000166 (nucleotide binding); GO:0016740 (transferase activity); GO:0018108 (peptidyl-tyrosine phosphorylation); GO:0005856 (cytoskeleton); GO:0004712 (protein serine/threonine/tyrosine kinase activity); GO:0004714 (transmembrane receptor protein tyrosine kinase activity); GO:0106310 (protein serine kinase activity); GO:0106311 (protein threonine kinase activity)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</si>
  <si>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GO:0031929 (TOR signaling); GO:0004711 (ribosomal protein S6 kinase activity)</t>
  </si>
  <si>
    <t>GO:0005525 (GTP binding); GO:0005737 (cytoplasm); GO:0000166 (nucleotide binding); GO:0003924 (GTPase activity); GO:0005874 (microtubule); GO:0007017 (microtubule-based process); GO:0005200 (structural constituent of cytoskeleton); GO:0000278 (mitotic cell cycle); GO:0000226 (microtubule cytoskeleton organization); GO:0005879 (axonemal microtubule)</t>
  </si>
  <si>
    <t>GO:0005634 (nucleus); GO:0006289 (nucleotide-excision repair); GO:0032508 (DNA duplex unwinding); GO:1990918 (double-strand break repair involved in meiotic recombination); GO:0003678 (DNA helicase activity)</t>
  </si>
  <si>
    <t xml:space="preserve">Receptor-type guanylate cyclase gcy-6 </t>
  </si>
  <si>
    <t xml:space="preserve">A disintegrin and metalloproteinase with thrombospondin motifs adt-1 </t>
  </si>
  <si>
    <t xml:space="preserve">Enhancer of HAND mutation hnd-1 </t>
  </si>
  <si>
    <t>GO:0005634 (nucleus); GO:0046872 (metal ion binding); GO:0000978 (RNA polymerase II cis-regulatory region sequence-specific DNA binding); GO:0003700 (DNA-binding transcription factor activity); GO:0006357 (regulation of transcription by RNA polymerase II); GO:0008406 (gonad development); GO:0010628 (positive regulation of gene expression)</t>
  </si>
  <si>
    <t xml:space="preserve">UPF0057 membrane protein T23F2.4 </t>
  </si>
  <si>
    <t xml:space="preserve">AEX-2 related neuropeptide Receptor </t>
  </si>
  <si>
    <t>GO:0016020 (membrane); GO:0016021 (integral component of membrane); GO:0004930 (G protein-coupled receptor activity); GO:0007186 (G protein-coupled receptor signaling pathway); GO:0007218 (neuropeptide signaling pathway); GO:0008188 (neuropeptide receptor activity)</t>
  </si>
  <si>
    <t xml:space="preserve">IntraFlagellar Transport Associated </t>
  </si>
  <si>
    <t>GO:0060271 (cilium assembly); GO:0030991 (intraciliary transport particle A); GO:0035721 (intraciliary retrograde transport); GO:0005930 (axoneme); GO:0006935 (chemotaxis); GO:0042073 (intraciliary transport); GO:1905515 (non-motile cilium assembly); GO:0036064 (ciliary basal body); GO:0005515 (protein binding)</t>
  </si>
  <si>
    <t xml:space="preserve">PEPtidase M1 domain containing </t>
  </si>
  <si>
    <t>GO:0016740 (transferase activity); GO:0016020 (membrane); GO:0016021 (integral component of membrane); GO:0043231 (intracellular membrane-bounded organelle); GO:0015020 (glucuronosyltransferase activity); GO:0016757 (transferase activity, transferring glycosyl groups); GO:0008194 (UDP-glycosyltransferase activity)</t>
  </si>
  <si>
    <t>GO:0005634 (nucleus); GO:0005737 (cytoplasm); GO:0016787 (hydrolase activity); GO:0006470 (protein dephosphorylation); GO:0004722 (protein serine/threonine phosphatase activity)</t>
  </si>
  <si>
    <t xml:space="preserve">NAD-dependent protein deacylase sir-2.3 </t>
  </si>
  <si>
    <t>GO:0046872 (metal ion binding); GO:0016740 (transferase activity); GO:0008270 (zinc ion binding); GO:0005739 (mitochondrion); GO:0005759 (mitochondrial matrix); GO:0070403 (NAD+ binding); GO:0006471 (protein ADP-ribosylation); GO:0006476 (protein deacetylation); GO:0034979 (NAD-dependent protein deacetylase activity)</t>
  </si>
  <si>
    <t xml:space="preserve">Molting protein MLT-4 </t>
  </si>
  <si>
    <t xml:space="preserve">ADP-ribosylation factor-like protein 6 </t>
  </si>
  <si>
    <t xml:space="preserve">TRYpsin-like protease; Trypsin-like serine protease </t>
  </si>
  <si>
    <t>GO:0016787 (hydrolase activity); GO:0031410 (cytoplasmic vesicle); GO:0006508 (proteolysis); GO:0008233 (peptidase activity); GO:0005576 (extracellular region); GO:0004252 (serine-type endopeptidase activity); GO:0030154 (cell differentiation); GO:0007283 (spermatogenesis); GO:0008236 (serine-type peptidase activity); GO:0005615 (extracellular space); GO:0007286 (spermatid development); GO:0099503 (secretory vesicle)</t>
  </si>
  <si>
    <t xml:space="preserve">ADP-ribosylation factor-like protein 13B </t>
  </si>
  <si>
    <t>GO:0016020 (membrane); GO:0016021 (integral component of membrane); GO:0004888 (transmembrane signaling receptor activity); GO:0007606 (sensory perception of chemical stimulus); GO:0004984 (olfactory receptor activity); GO:0050907 (detection of chemical stimulus involved in sensory perception); GO:0050911 (detection of chemical stimulus involved in sensory perception of smell)</t>
  </si>
  <si>
    <t>GO:0016020 (membrane); GO:0016021 (integral component of membrane); GO:0004725 (protein tyrosine phosphatase activity); GO:0006470 (protein dephosphorylation); GO:0035335 (peptidyl-tyrosine dephosphorylation)</t>
  </si>
  <si>
    <t>GO:0005634 (nucleus); GO:0003700 (DNA-binding transcription factor activity); GO:0003677 (DNA binding); GO:0045944 (positive regulation of transcription by RNA polymerase II); GO:0090575 (RNA polymerase II transcription regulator complex); GO:0007275 (multicellular organism development); GO:0046983 (protein dimerization activity); GO:0006357 (regulation of transcription by RNA polymerase II); GO:0000977 (RNA polymerase II transcription regulatory region sequence-specific DNA binding); GO:0000981 (DNA-binding transcription factor activity, RNA polymerase II-specific); GO:0007399 (nervous system development); GO:0002119 (nematode larval development); GO:0045664 (regulation of neuron differentiation); GO:0018991 (oviposition); GO:0040010 (positive regulation of growth rate); GO:0000003 (reproduction); GO:0040011 (locomotion); GO:0043565 (sequence-specific DNA binding); GO:0001764 (neuron migration); GO:0010171 (body morphogenesis); GO:0009786 (regulation of asymmetric cell division); GO:0014018 (neuroblast fate specification)</t>
  </si>
  <si>
    <t>GO:0016405 (CoA-ligase activity)</t>
  </si>
  <si>
    <t xml:space="preserve">Cuticle collagen 7 </t>
  </si>
  <si>
    <t>GO:0016020 (membrane); GO:0016021 (integral component of membrane); GO:0005886 (plasma membrane); GO:0005737 (cytoplasm); GO:0030864 (cortical actin cytoskeleton); GO:0005856 (cytoskeleton); GO:0035556 (intracellular signal transduction); GO:0005929 (cilium); GO:0042995 (cell projection); GO:0005874 (microtubule); GO:0005815 (microtubule organizing center); GO:0060170 (ciliary membrane); GO:0035869 (ciliary transition zone); GO:0097546 (ciliary base); GO:0005879 (axonemal microtubule); GO:0005881 (cytoplasmic microtubule)</t>
  </si>
  <si>
    <t xml:space="preserve">Zinc metalloproteinase nas-1 </t>
  </si>
  <si>
    <t>GO:0016020 (membrane); GO:0016021 (integral component of membrane); GO:0008152 (metabolic process); GO:0016787 (hydrolase activity); GO:0016798 (hydrolase activity, acting on glycosyl bonds); GO:0005975 (carbohydrate metabolic process); GO:0004555 (alpha,alpha-trehalase activity); GO:0005991 (trehalose metabolic process); GO:0015927 (trehalase activity)</t>
  </si>
  <si>
    <t xml:space="preserve">Putative aminopeptidase-2 </t>
  </si>
  <si>
    <t>GO:0005737 (cytoplasm); GO:0016787 (hydrolase activity); GO:0046872 (metal ion binding); GO:0008270 (zinc ion binding); GO:0006508 (proteolysis); GO:0008233 (peptidase activity); GO:0008237 (metallopeptidase activity); GO:0042277 (peptide binding); GO:0004177 (aminopeptidase activity); GO:0009792 (embryo development ending in birth or egg hatching); GO:0043171 (peptide catabolic process); GO:0046662 (regulation of oviposition); GO:0070006 (metalloaminopeptidase activity); GO:1903538 (regulation of meiotic cell cycle process involved in oocyte maturation); GO:0030154 (cell differentiation); GO:0048477 (oogenesis)</t>
  </si>
  <si>
    <t>GO:0005634 (nucleus); GO:0003723 (RNA binding); GO:1990904 (ribonucleoprotein complex)</t>
  </si>
  <si>
    <t xml:space="preserve">Uncharacterized serine carboxypeptidase C08H9.1 </t>
  </si>
  <si>
    <t xml:space="preserve">Probable G-protein coupled receptor frpr-1 </t>
  </si>
  <si>
    <t xml:space="preserve">Guanine nucleotide-binding protein alpha-8 subunit </t>
  </si>
  <si>
    <t>GO:0036065 (fucosylation); GO:0046920 (alpha-(1-&gt;3)-fucosyltransferase activity)</t>
  </si>
  <si>
    <t>GO:0005525 (GTP binding); GO:0016020 (membrane)</t>
  </si>
  <si>
    <t xml:space="preserve">Peroxisomal Membrane Protein related </t>
  </si>
  <si>
    <t>GO:0016020 (membrane); GO:0016021 (integral component of membrane); GO:0005524 (ATP binding); GO:0042626 (ATPase-coupled transmembrane transporter activity); GO:0000166 (nucleotide binding); GO:0055085 (transmembrane transport); GO:0006635 (fatty acid beta-oxidation); GO:0005324 (long-chain fatty acid transporter activity); GO:0005777 (peroxisome); GO:0005778 (peroxisomal membrane); GO:0007031 (peroxisome organization); GO:0015910 (long-chain fatty acid import into peroxisome); GO:0016887 (ATPase activity); GO:0042760 (very long-chain fatty acid catabolic process)</t>
  </si>
  <si>
    <t xml:space="preserve">DUal OXidase </t>
  </si>
  <si>
    <t>GO:0016020 (membrane); GO:0016021 (integral component of membrane); GO:0005509 (calcium ion binding); GO:0005886 (plasma membrane); GO:0016491 (oxidoreductase activity); GO:0020037 (heme binding); GO:0098869 (cellular oxidant detoxification); GO:0006979 (response to oxidative stress); GO:0004601 (peroxidase activity); GO:0006952 (defense response); GO:0016174 (NAD(P)H oxidase H2O2-forming activity); GO:0016175 (superoxide-generating NAD(P)H oxidase activity); GO:0042554 (superoxide anion generation); GO:0043020 (NADPH oxidase complex); GO:0050665 (hydrogen peroxide biosynthetic process); GO:0040032 (post-embryonic body morphogenesis); GO:0042338 (cuticle development involved in collagen and cuticulin-based cuticle molting cycle); GO:0055114 (oxidation-reduction process); GO:0106294 (NADPH oxidase H202-forming activity); GO:0106293 (NADH oxidase H202-forming activity)</t>
  </si>
  <si>
    <t>GO:0016020 (membrane); GO:0016021 (integral component of membrane); GO:0038023 (signaling receptor activity); GO:0005216 (ion channel activity); GO:0005886 (plasma membrane); GO:0006811 (ion transport); GO:0034220 (ion transmembrane transport); GO:0004970 (ionotropic glutamate receptor activity); GO:0035235 (ionotropic glutamate receptor signaling pathway); GO:0015276 (ligand-gated ion channel activity)</t>
  </si>
  <si>
    <t xml:space="preserve">Cyclic nucleotide-gated cation channel </t>
  </si>
  <si>
    <t>GO:0005249 (voltage-gated potassium channel activity); GO:0006811 (ion transport); GO:0005216 (ion channel activity); GO:0006813 (potassium ion transport); GO:0055085 (transmembrane transport); GO:0016020 (membrane)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</si>
  <si>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GO:0000978 (RNA polymerase II cis-regulatory region sequence-specific DNA binding); GO:0006357 (regulation of transcription by RNA polymerase II); GO:0030154 (cell differentiation); GO:0048856 (anatomical structure development); GO:0042594 (response to starvation)</t>
  </si>
  <si>
    <t xml:space="preserve">Adenylyl CYclase </t>
  </si>
  <si>
    <t>GO:0016020 (membrane); GO:0016021 (integral component of membrane); GO:0005887 (integral component of plasma membrane); GO:0009190 (cyclic nucleotide biosynthetic process); GO:0016829 (lyase activity); GO:0016849 (phosphorus-oxygen lyase activity); GO:0035556 (intracellular signal transduction); GO:0007189 (adenylate cyclase-activating G protein-coupled receptor signaling pathway); GO:0004016 (adenylate cyclase activity); GO:0005886 (plasma membrane); GO:0002119 (nematode larval development); GO:0007188 (adenylate cyclase-modulating G protein-coupled receptor signaling pathway)</t>
  </si>
  <si>
    <t xml:space="preserve">Degenerin-like protein asic-1 </t>
  </si>
  <si>
    <t>GO:0005272 (sodium channel activity); GO:0006811 (ion transport); GO:0005216 (ion channel activity); GO:0006814 (sodium ion transport); GO:0016021 (integral component of membrane); GO:0016020 (membrane)</t>
  </si>
  <si>
    <t xml:space="preserve">Nuclear hormone receptor family member nhr-167 </t>
  </si>
  <si>
    <t xml:space="preserve">Dipeptidyl peptidase family member 6 </t>
  </si>
  <si>
    <t xml:space="preserve">Potassium channel, KvQLT family </t>
  </si>
  <si>
    <t>GO:0016020 (membrane); GO:0016021 (integral component of membrane); GO:0005216 (ion channel activity); GO:0005886 (plasma membrane);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GO:0015271 (outward rectifier potassium channel activity); GO:0005516 (calmodulin binding); GO:0007213 (G protein-coupled acetylcholine receptor signaling pathway); GO:0045202 (synapse); GO:0097623 (potassium ion export across plasma membrane)</t>
  </si>
  <si>
    <t xml:space="preserve">Dynein Light Chain </t>
  </si>
  <si>
    <t>GO:0005868 (cytoplasmic dynein complex); GO:0007017 (microtubule-based process); GO:0030286 (dynein complex); GO:0045505 (dynein intermediate chain binding); GO:0051959 (dynein light intermediate chain binding); GO:2000582 (positive regulation of ATP-dependent microtubule motor activity, plus-end-directed); GO:0060271 (cilium assembly)</t>
  </si>
  <si>
    <t xml:space="preserve">TRP homologous cation channel protein; TRP-3 channel protein </t>
  </si>
  <si>
    <t>GO:0016020 (membrane); GO:0016021 (integral component of membrane); GO:0005887 (integral component of plasma membrane); GO:0070588 (calcium ion transmembrane transport); GO:0005262 (calcium channel activity); GO:0051480 (regulation of cytosolic calcium ion concentration); GO:0006828 (manganese ion transport); GO:0007338 (single fertilization); GO:0015279 (store-operated calcium channel activity); GO:0034703 (cation channel complex); GO:0070679 (inositol 1,4,5 trisphosphate binding); GO:0006874 (cellular calcium ion homeostasis); GO:0031410 (cytoplasmic vesicle); GO:0031260 (pseudopodium membrane); GO:0006816 (calcium ion transport)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</si>
  <si>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GO:0018107 (peptidyl-threonine phosphorylation); GO:0005856 (cytoskeleton)</t>
  </si>
  <si>
    <t xml:space="preserve">Myosin Light Chain </t>
  </si>
  <si>
    <t xml:space="preserve">T-box protein 12 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</si>
  <si>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GO:0001708 (cell fate specification); GO:0007507 (heart development); GO:0040011 (locomotion); GO:0045138 (nematode male tail tip morphogenesis); GO:0048620 (post-embryonic hindgut morphogenesis)</t>
  </si>
  <si>
    <t xml:space="preserve">Peptidyl-prolyl cis-trans isomerase 2 </t>
  </si>
  <si>
    <t>GO:0016020 (membrane); GO:0016021 (integral component of membrane); GO:0005886 (plasma membrane); GO:0004930 (G protein-coupled receptor activity); GO:0007165 (signal transduction); GO:0007186 (G protein-coupled receptor signaling pathway); GO:0005887 (integral component of plasma membrane); GO:0042277 (peptide binding); GO:0005000 (vasopressin receptor activity)</t>
  </si>
  <si>
    <t xml:space="preserve">Serine/threonine-protein kinase nekl-2 </t>
  </si>
  <si>
    <t>GO:0005634 (nucleus); GO:0043565 (sequence-specific DNA binding); GO:0000981 (DNA-binding transcription factor activity, RNA polymerase II-specific); GO:0006357 (regulation of transcription by RNA polymerase II); GO:0005515 (protein binding)</t>
  </si>
  <si>
    <t>GO:0016020 (membrane); GO:0016021 (integral component of membrane); GO:0055085 (transmembrane transport); GO:0015267 (channel activity); GO:0015250 (water channel activity); GO:0006833 (water transport); GO:0015793 (glycerol transport)</t>
  </si>
  <si>
    <t xml:space="preserve">Homeobox protein engrailed-like ceh-16 </t>
  </si>
  <si>
    <t>GO:0006508 (proteolysis)</t>
  </si>
  <si>
    <t>GO:0005524 (ATP binding); GO:0004386 (helicase activity); GO:0005739 (mitochondrion); GO:0006260 (DNA replication); GO:0006264 (mitochondrial DNA replication); GO:0003678 (DNA helicase activity); GO:0032508 (DNA duplex unwinding); GO:0003697 (single-stranded DNA binding); GO:0042645 (mitochondrial nucleoid); GO:0043139 (5'-3' DNA helicase activity)</t>
  </si>
  <si>
    <t>GO:0003924 (GTPase activity); GO:0005525 (GTP binding); GO:0016020 (membrane); GO:0000166 (nucleotide binding); GO:0006886 (intracellular protein transport); GO:0007165 (signal transduction); GO:0000045 (autophagosome assembly); GO:0012505 (endomembrane system)</t>
  </si>
  <si>
    <t xml:space="preserve">Metal transporter cnnm-5 </t>
  </si>
  <si>
    <t>GO:0005737 (cytoplasm); GO:0000902 (cell morphogenesis); GO:0005856 (cytoskeleton); GO:0000922 (spindle pole); GO:0005815 (microtubule organizing center); GO:0031616 (spindle pole centrosome); GO:0051661 (maintenance of centrosome location); GO:0051684 (maintenance of Golgi location)</t>
  </si>
  <si>
    <t>GO:0003824 (catalytic activity); GO:0003857 (3-hydroxyacyl-CoA dehydrogenase activity); GO:0006631 (fatty acid metabolic process); GO:0006635 (fatty acid beta-oxidation); GO:0016491 (oxidoreductase activity); GO:0006629 (lipid metabolic process); GO:0016616 (oxidoreductase activity, acting on the CH-OH group of donors, NAD or NADP as acceptor); GO:0005739 (mitochondrion); GO:0070403 (NAD+ binding); GO:0004300 (enoyl-CoA hydratase activity); GO:0016507 (mitochondrial fatty acid beta-oxidation multienzyme complex); GO:0016509 (long-chain-3-hydroxyacyl-CoA dehydrogenase activity); GO:0055114 (oxidation-reduction process)</t>
  </si>
  <si>
    <t xml:space="preserve">Guanine nucleotide-binding protein alpha-13 subunit </t>
  </si>
  <si>
    <t>GO:0019001 (guanyl nucleotide binding); GO:0031683 (G-protein beta/gamma-subunit complex binding); GO:0003924 (GTPase activity); GO:0007186 (G protein-coupled receptor signaling pathway); GO:0007165 (signal transduction); GO:0097730 (non-motile cilium); GO:0043025 (neuronal cell body); GO:0030424 (axon)</t>
  </si>
  <si>
    <t>GO:0016787 (hydrolase activity); GO:0006470 (protein dephosphorylation); GO:0004721 (phosphoprotein phosphatase activity); GO:0016311 (dephosphorylation); GO:0016791 (phosphatase activity); GO:0008138 (protein tyrosine/serine/threonine phosphatase activity)</t>
  </si>
  <si>
    <t>GO:0005634 (nucleus); GO:0005737 (cytoplasm); GO:0007141 (male meiosis I); GO:0007144 (female meiosis I); GO:0048255 (mRNA stabilization); GO:0051321 (meiotic cell cycle)</t>
  </si>
  <si>
    <t>GO:0016020 (membrane); GO:0016021 (integral component of membrane); GO:0005929 (cilium); GO:0042995 (cell projection); GO:0005773 (vacuole); GO:0005774 (vacuolar membrane); GO:0035869 (ciliary transition zone)</t>
  </si>
  <si>
    <t xml:space="preserve">Transthyretin-like protein 52 </t>
  </si>
  <si>
    <t>GO:0005576 (extracellular region); GO:0006915 (apoptotic process); GO:0009986 (cell surface); GO:1902742 (apoptotic process involved in development); GO:0005515 (protein binding); GO:0030674 (protein-macromolecule adaptor activity); GO:0042803 (protein homodimerization activity); GO:0001786 (phosphatidylserine binding); GO:0005124 (scavenger receptor binding); GO:0015917 (aminophospholipid transport); GO:0043654 (recognition of apoptotic cell); GO:1903561 (extracellular vesicle)</t>
  </si>
  <si>
    <t>GO:0005737 (cytoplasm); GO:0046872 (metal ion binding); GO:0043231 (intracellular membrane-bounded organelle); GO:0016491 (oxidoreductase activity);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GO:0045087 (innate immune response); GO:0009410 (response to xenobiotic stimulus); GO:0055114 (oxidation-reduction process)</t>
  </si>
  <si>
    <t xml:space="preserve">Homeobox protein ceh-2 </t>
  </si>
  <si>
    <t>GO:0043066 (negative regulation of apoptotic process); GO:0007249 (I-kappaB kinase/NF-kappaB signaling); GO:0050769 (positive regulation of neurogenesis); GO:1902042 (negative regulation of extrinsic apoptotic signaling pathway via death domain receptors)</t>
  </si>
  <si>
    <t xml:space="preserve">Zwei Ig domain protein zig-8 </t>
  </si>
  <si>
    <t>GO:0005576 (extracellular region); GO:0032589 (neuron projection membrane); GO:0050808 (synapse organization)</t>
  </si>
  <si>
    <t>GO:0007010 (cytoskeleton organization); GO:0060271 (cilium assembly); GO:0036064 (ciliary basal body); GO:0005515 (protein binding)</t>
  </si>
  <si>
    <t xml:space="preserve">SGN1 Homolog </t>
  </si>
  <si>
    <t xml:space="preserve">ADenOsine Receptor homolog </t>
  </si>
  <si>
    <t>GO:0016020 (membrane); GO:0016021 (integral component of membrane); GO:0004064 (arylesterase activity)</t>
  </si>
  <si>
    <t xml:space="preserve">Degenerin mec-10 </t>
  </si>
  <si>
    <t>GO:0016020 (membrane); GO:0016021 (integral component of membrane); GO:0009755 (hormone-mediated signaling pathway); GO:0005887 (integral component of plasma membrane); GO:0008528 (G protein-coupled peptide receptor activity); GO:0007189 (adenylate cyclase-activating G protein-coupled receptor signaling pathway); GO:0007190 (activation of adenylate cyclase activity); GO:0005515 (protein binding)</t>
  </si>
  <si>
    <t>GO:0004190 (aspartic-type endopeptidase activity); GO:0003676 (nucleic acid binding); GO:0006508 (proteolysis); GO:0008270 (zinc ion binding)</t>
  </si>
  <si>
    <t xml:space="preserve">AT-rich interactive domain-containing protein cfi-1 </t>
  </si>
  <si>
    <t>GO:0005739 (mitochondrion); GO:0046474 (glycerophospholipid biosynthetic process)</t>
  </si>
  <si>
    <t xml:space="preserve">Lin-22 </t>
  </si>
  <si>
    <t>GO:0005634 (nucleus); GO:0003677 (DNA binding);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GO:0050767 (regulation of neurogenesis); GO:0009952 (anterior/posterior pattern specification); GO:0045138 (nematode male tail tip morphogenesis); GO:0010629 (negative regulation of gene expression); GO:0009957 (epidermal cell fate specification)</t>
  </si>
  <si>
    <t xml:space="preserve">RH (Rhesus) antigen Related </t>
  </si>
  <si>
    <t xml:space="preserve">Lin-12 and Glp-1 X-hybridizing </t>
  </si>
  <si>
    <t>GO:0003824 (catalytic activity); GO:0005975 (carbohydrate metabolic process); GO:0016810 (hydrolase activity, acting on carbon-nitrogen (but not peptide) bonds)</t>
  </si>
  <si>
    <t>GO:0016020 (membrane); GO:0016021 (integral component of membrane); GO:0004888 (transmembrane signaling receptor activity); GO:0005216 (ion channel activity); GO:0005230 (extracellular ligand-gated ion channel activity); GO:0006811 (ion transport); GO:0034220 (ion transmembrane transport)</t>
  </si>
  <si>
    <t xml:space="preserve">HIStone </t>
  </si>
  <si>
    <t>GO:0003677 (DNA binding); GO:0046982 (protein heterodimerization activity); GO:0000786 (nucleosome)</t>
  </si>
  <si>
    <t xml:space="preserve">Battenin </t>
  </si>
  <si>
    <t>GO:0016020 (membrane); GO:0016021 (integral component of membrane); GO:0005764 (lysosome); GO:0005765 (lysosomal membrane); GO:0051453 (regulation of intracellular pH); GO:0005773 (vacuole); GO:0007040 (lysosome organization); GO:0015809 (arginine transport); GO:0005737 (cytoplasm); GO:0008340 (determination of adult lifespan); GO:0003674 (molecular_function); GO:0046662 (regulation of oviposition)</t>
  </si>
  <si>
    <t>GO:0005737 (cytoplasm); GO:0046872 (metal ion binding); GO:0043231 (intracellular membrane-bounded organelle); GO:0016491 (oxidoreductase activity); GO:0004497 (monooxygenase activity); GO:0020037 (heme binding); GO:0005506 (iron ion binding); GO:0016705 (oxidoreductase activity, acting on paired donors, with incorporation or reduction of molecular oxygen); GO:0006082 (organic acid metabolic process); GO:0006805 (xenobiotic metabolic process); GO:0008395 (steroid hydroxylase activity); GO:0016712 (oxidoreductase activity, acting on paired donors, with incorporation or reduction of molecular oxygen, reduced flavin or flavoprotein as one donor, and incorporation of one atom of oxygen); GO:0042738 (exogenous drug catabolic process); GO:0009410 (response to xenobiotic stimulus); GO:0055114 (oxidation-reduction process)</t>
  </si>
  <si>
    <t xml:space="preserve">Homeobox protein ceh-31 </t>
  </si>
  <si>
    <t xml:space="preserve">Gustatory receptor family protein 3 </t>
  </si>
  <si>
    <t>GO:0050909 (sensory perception of taste); GO:0016021 (integral component of membrane)</t>
  </si>
  <si>
    <t>GO:0005634 (nucleus); GO:0003677 (DNA binding); GO:0007275 (multicellular organism development); GO:0006357 (regulation of transcription by RNA polymerase II); GO:0030154 (cell differentiation)</t>
  </si>
  <si>
    <t xml:space="preserve">Putative cytochrome P450 CYP13A10 </t>
  </si>
  <si>
    <t xml:space="preserve">Gastrulation-defective protein 3 </t>
  </si>
  <si>
    <t xml:space="preserve">Osmotic avoidance abnormal protein 3 </t>
  </si>
  <si>
    <t>GO:0007018 (microtubule-based movement); GO:0003777 (microtubule motor activity); GO:0008017 (microtubule binding); GO:0005524 (ATP binding)</t>
  </si>
  <si>
    <t xml:space="preserve">Y71A12B.17 </t>
  </si>
  <si>
    <t xml:space="preserve">Proton-gated ion channel subunit pbo-6 </t>
  </si>
  <si>
    <t>GO:0042393 (histone binding); GO:0007049 (cell cycle); GO:0019901 (protein kinase binding); GO:0051301 (cell division); GO:0000307 (cyclin-dependent protein kinase holoenzyme complex); GO:0000079 (regulation of cyclin-dependent protein serine/threonine kinase activity); GO:0007346 (regulation of mitotic cell cycle); GO:0043130 (ubiquitin binding); GO:0019005 (SCF ubiquitin ligase complex); GO:0045737 (positive regulation of cyclin-dependent protein serine/threonine kinase activity); GO:0061575 (cyclin-dependent protein serine/threonine kinase activator activity); GO:0016538 (cyclin-dependent protein serine/threonine kinase regulator activity)</t>
  </si>
  <si>
    <t xml:space="preserve">HGF/MSP/plasminogen-like protein </t>
  </si>
  <si>
    <t>GO:0016020 (membrane); GO:0016787 (hydrolase activity); GO:0006508 (proteolysis); GO:0008233 (peptidase activity); GO:0005576 (extracellular region); GO:0004252 (serine-type endopeptidase activity); GO:0031103 (axon regeneration); GO:1905941 (positive regulation of gonad development); GO:0005044 (scavenger receptor activity); GO:0031648 (protein destabilization); GO:0008236 (serine-type peptidase activity); GO:0002164 (larval development); GO:0006897 (endocytosis); GO:0005615 (extracellular space); GO:0043410 (positive regulation of MAPK cascade); GO:1903746 (positive regulation of pharyngeal pumping); GO:0005515 (protein binding)</t>
  </si>
  <si>
    <t xml:space="preserve">Probable G-protein coupled receptor C06G4.5 </t>
  </si>
  <si>
    <t>GO:0016020 (membrane); GO:0016021 (integral component of membrane); GO:0005886 (plasma membrane); GO:0043005 (neuron projection); GO:0004930 (G protein-coupled receptor activity); GO:0007165 (signal transduction); GO:0007186 (G protein-coupled receptor signaling pathway); GO:0005887 (integral component of plasma membrane); GO:0042277 (peptide binding)</t>
  </si>
  <si>
    <t xml:space="preserve">Putative RNA-binding protein EEED8.12 </t>
  </si>
  <si>
    <t xml:space="preserve">Gamma-aminobutyric acid receptor subunit beta </t>
  </si>
  <si>
    <t>GO:0016020 (membrane); GO:0016021 (integral component of membrane); GO:0055085 (transmembrane transport); GO:0015267 (channel activity); GO:0015250 (water channel activity); GO:0006833 (water transport); GO:0009986 (cell surface)</t>
  </si>
  <si>
    <t xml:space="preserve">Dopamine receptor 3 </t>
  </si>
  <si>
    <t>GO:0016020 (membrane); GO:0016021 (integral component of membrane); GO:0005509 (calcium ion binding); GO:0007160 (cell-matrix adhesion); GO:0005201 (extracellular matrix structural constituent); GO:0008150 (biological_process); GO:0062023 (collagen-containing extracellular matrix)</t>
  </si>
  <si>
    <t xml:space="preserve">SERotonin/octopamine receptor family; Serotonin receptor 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</si>
  <si>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GO:0051378 (serotonin binding); GO:0005886 (plasma membrane); GO:0018991 (oviposition); GO:0009408 (response to heat); GO:0060179 (male mating behavior); GO:0043176 (amine binding); GO:0007210 (serotonin receptor signaling pathway); GO:0019722 (calcium-mediated signaling); GO:0045202 (synapse)</t>
  </si>
  <si>
    <t xml:space="preserve">Serpentine receptor class delta-33 </t>
  </si>
  <si>
    <t xml:space="preserve">Putative potassium channel subunit n2P17m2-1; TWiK family of potassium channels </t>
  </si>
  <si>
    <t xml:space="preserve">Probable muscarinic acetylcholine receptor gar-1 </t>
  </si>
  <si>
    <t>GO:0005576 (extracellular region); GO:0010951 (negative regulation of endopeptidase activity); GO:0010466 (negative regulation of peptidase activity); GO:0030414 (peptidase inhibitor activity); GO:0004867 (serine-type endopeptidase inhibitor activity); GO:0045087 (innate immune response)</t>
  </si>
  <si>
    <t>GO:0010951 (negative regulation of endopeptidase activity); GO:0010466 (negative regulation of peptidase activity); GO:0030414 (peptidase inhibitor activity); GO:0004867 (serine-type endopeptidase inhibitor activity)</t>
  </si>
  <si>
    <t xml:space="preserve">G Protein, Alpha subunit </t>
  </si>
  <si>
    <t>GO:0003924 (GTPase activity); GO:0007266 (Rho protein signal transduction); GO:0007165 (signal transduction); GO:0007186 (G protein-coupled receptor signaling pathway); GO:0007188 (adenylate cyclase-modulating G protein-coupled receptor signaling pathway); GO:0019001 (guanyl nucleotide binding); GO:0031683 (G-protein beta/gamma-subunit complex binding); GO:0001664 (G protein-coupled receptor binding); GO:0005834 (heterotrimeric G-protein complex); GO:0031526 (brush border membrane); GO:0031752 (D5 dopamine receptor binding)</t>
  </si>
  <si>
    <t>Warthog protein 1 Warthog protein 1 N-product Warthog protein 1 C-product</t>
  </si>
  <si>
    <t>GO:0016020 (membrane); GO:0005886 (plasma membrane); GO:0016787 (hydrolase activity); GO:0006508 (proteolysis); GO:0008233 (peptidase activity); GO:0005576 (extracellular region); GO:0007275 (multicellular organism development); GO:0007267 (cell-cell signaling); GO:0016539 (intein-mediated protein splicing); GO:0009986 (cell surface); GO:0005615 (extracellular space); GO:0003674 (molecular_function); GO:0016540 (protein autoprocessing); GO:0007367 (segment polarity determination); GO:0090597 (nematode male tail mating organ morphogenesis)</t>
  </si>
  <si>
    <t xml:space="preserve">Receptor-like tyrosine-protein kinase kin-16 </t>
  </si>
  <si>
    <t>GO:0006511 (ubiquitin-dependent protein catabolic process)</t>
  </si>
  <si>
    <t xml:space="preserve">Protein O-mannosyl-transferase TMTC1 </t>
  </si>
  <si>
    <t>GO:0016020 (membrane); GO:0016021 (integral component of membrane); GO:0016740 (transferase activity); GO:0006486 (protein glycosylation); GO:0005783 (endoplasmic reticulum); GO:0000030 (mannosyltransferase activity); GO:0004169 (dolichyl-phosphate-mannose-protein mannosyltransferase activity); GO:0035269 (protein O-linked mannosylation); GO:0005515 (protein binding)</t>
  </si>
  <si>
    <t>GO:0016020 (membrane); GO:0016021 (integral component of membrane); GO:0005524 (ATP binding); GO:0005886 (plasma membrane); GO:0004672 (protein kinase activity); GO:0006468 (protein phosphorylation); GO:0000166 (nucleotide binding);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GO:0045138 (nematode male tail tip morphogenesis); GO:0033674 (positive regulation of kinase activity)</t>
  </si>
  <si>
    <t xml:space="preserve">Abnormal cell migration protein 13 </t>
  </si>
  <si>
    <t>GO:0016020 (membrane); GO:0005789 (endoplasmic reticulum membrane); GO:0005515 (protein binding); GO:0008017 (microtubule binding); GO:0071782 (endoplasmic reticulum tubular network); GO:0071786 (endoplasmic reticulum tubular network organization); GO:0005881 (cytoplasmic microtubule)</t>
  </si>
  <si>
    <t xml:space="preserve">CeLIM-7; LIM domain family </t>
  </si>
  <si>
    <t>GO:0005634 (nucleus); GO:0003677 (DNA binding); GO:0046872 (metal ion binding); GO:0006355 (regulation of transcription, DNA-templated); GO:0005515 (protein binding); GO:0000981 (DNA-binding transcription factor activity, RNA polymerase II-specific); GO:0006357 (regulation of transcription by RNA polymerase II); GO:0007409 (axonogenesis); GO:0048665 (neuron fate specification); GO:0002119 (nematode larval development); GO:0040011 (locomotion); GO:0060465 (pharynx development); GO:0010171 (body morphogenesis); GO:0035262 (gonad morphogenesis); GO:0007588 (excretion); GO:0060323 (head morphogenesis); GO:0000987 (cis-regulatory region sequence-specific DNA binding)</t>
  </si>
  <si>
    <t>GO:0005634 (nucleus); GO:0003700 (DNA-binding transcription factor activity); GO:0006355 (regulation of transcription, DNA-templated); GO:0043565 (sequence-specific DNA binding); GO:0003677 (DNA binding); GO:0005515 (protein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morphogenesis); GO:0000977 (RNA polymerase II transcription regulatory region sequence-specific DNA binding); GO:0009792 (embryo development ending in birth or egg hatching); GO:0000122 (negative regulation of transcription by RNA polymerase II); GO:0003714 (transcription corepressor activity); GO:0045138 (nematode male tail tip morphogenesis); GO:0048846 (axon extension involved in axon guidance); GO:0045185 (maintenance of protein location); GO:0007399 (nervous system development)</t>
  </si>
  <si>
    <t xml:space="preserve">Homeobox protein ceh-22 </t>
  </si>
  <si>
    <t>GO:0000981 (DNA-binding transcription factor activity, RNA polymerase II-specific); GO:0006355 (regulation of transcription, DNA-templated); GO:0003677 (DNA binding); GO:0005634 (nucleus); GO:0006357 (regulation of transcription by RNA polymerase II)</t>
  </si>
  <si>
    <t xml:space="preserve">Serpentine receptor class gamma-69 </t>
  </si>
  <si>
    <t xml:space="preserve">Cystic Fibrosis Transmembrane conductance regulator homolog </t>
  </si>
  <si>
    <t>GO:0016020 (membrane); GO:0016021 (integral component of membrane); GO:0005524 (ATP binding); GO:0042626 (ATPase-coupled transmembrane transporter activity); GO:0000166 (nucleotide binding); GO:0055085 (transmembrane transport)</t>
  </si>
  <si>
    <t>GO:0016021 (integral component of membrane); GO:0005230 (extracellular ligand-gated ion channel activity); GO:0006811 (ion transport); GO:0034220 (ion transmembrane transport)</t>
  </si>
  <si>
    <t xml:space="preserve">FlaMIngo-Like </t>
  </si>
  <si>
    <t>GO:0016020 (membrane); GO:0016021 (integral component of membrane); GO:0005509 (calcium ion binding); GO:0005887 (integral component of plasma membrane); GO:0007155 (cell adhesion)</t>
  </si>
  <si>
    <t xml:space="preserve">Putative tyrosine-protein kinase F09A5.2 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</si>
  <si>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GO:0016740 (transferase activity);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GO:0033674 (positive regulation of kinase activity)</t>
  </si>
  <si>
    <t xml:space="preserve">Cell death-related nuclease 6 </t>
  </si>
  <si>
    <t>GO:0006259 (DNA metabolic process); GO:0004531 (deoxyribonuclease II activity)</t>
  </si>
  <si>
    <t xml:space="preserve">Zinc metalloproteinase nas-30 </t>
  </si>
  <si>
    <t>GO:0019825 (oxygen binding); GO:0020037 (heme binding); GO:0005344 (oxygen carrier activity); GO:0015671 (oxygen transport); GO:0005886 (plasma membrane)</t>
  </si>
  <si>
    <t>GO:0005576 (extracellular region); GO:0003674 (molecular_function); GO:0005615 (extracellular space)</t>
  </si>
  <si>
    <t xml:space="preserve">Spermatocyte protein spe-11 </t>
  </si>
  <si>
    <t>GO:0005737 (cytoplasm); GO:0007275 (multicellular organism development); GO:0030154 (cell differentiation); GO:0007283 (spermatogenesis); GO:0048471 (perinuclear region of cytoplasm); GO:0005634 (nucleus); GO:0003674 (molecular_function); GO:0030703 (eggshell formation); GO:0060468 (prevention of polyspermy)</t>
  </si>
  <si>
    <t xml:space="preserve">Multiple PDZ domain protein </t>
  </si>
  <si>
    <t xml:space="preserve">UPF0376 protein C36C5.12 </t>
  </si>
  <si>
    <t>GO:0016311 (dephosphorylation); GO:0016787 (hydrolase activity); GO:0005829 (cytosol); GO:0006281 (DNA repair); GO:0008967 (phosphoglycolate phosphatase activity)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</si>
  <si>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GO:0022848 (acetylcholine-gated cation-selective channel activity); GO:0030054 (cell junction); GO:0045211 (postsynaptic membrane); GO:0060078 (regulation of postsynaptic membrane potential); GO:0060079 (excitatory postsynaptic potential); GO:0030594 (neurotransmitter receptor activity); GO:0015464 (acetylcholine receptor activity); GO:0007271 (synaptic transmission, cholinergic); GO:0071316 (cellular response to nicotine)</t>
  </si>
  <si>
    <t>GO:0016020 (membrane); GO:0016021 (integral component of membrane); GO:0007268 (chemical synaptic transmission); GO:0004930 (G protein-coupled receptor activity);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GO:0045202 (synapse)</t>
  </si>
  <si>
    <t xml:space="preserve">Steroid hormone receptor family member cnr14 </t>
  </si>
  <si>
    <t xml:space="preserve">Cuticle collagen 39 </t>
  </si>
  <si>
    <t>GO:0007275 (multicellular organism development); GO:0016539 (intein-mediated protein splicing); GO:0016540 (protein autoprocessing)</t>
  </si>
  <si>
    <t xml:space="preserve">Heme transporter hrg-4 </t>
  </si>
  <si>
    <t>GO:0015886 (heme transport); GO:0015232 (heme transmembrane transporter activity)</t>
  </si>
  <si>
    <t xml:space="preserve">NeMiTiN (Neuronal enriched MAP interacting protein) homolog </t>
  </si>
  <si>
    <t xml:space="preserve">Innexin-3 </t>
  </si>
  <si>
    <t>GO:0016020 (membrane); GO:0016021 (integral component of membrane); GO:0005615 (extracellular space); GO:0008289 (lipid binding)</t>
  </si>
  <si>
    <t xml:space="preserve">Osmotic avoidance abnormal protein 8 </t>
  </si>
  <si>
    <t xml:space="preserve">GAS (Human Growth Arrest-Specific) Related </t>
  </si>
  <si>
    <t>GO:0005794 (Golgi apparatus); GO:0036064 (ciliary basal body); GO:0008017 (microtubule binding); GO:0005874 (microtubule); GO:0048870 (cell motility); GO:0034613 (cellular protein localization); GO:0031267 (small GTPase binding)</t>
  </si>
  <si>
    <t>GO:0003824 (catalytic activity); GO:0005739 (mitochondrion); GO:0009058 (biosynthetic process); GO:0030170 (pyridoxal phosphate binding); GO:0006567 (threonine catabolic process); GO:0008890 (glycine C-acetyltransferase activity)</t>
  </si>
  <si>
    <t xml:space="preserve">Ras-related protein Rab-28 </t>
  </si>
  <si>
    <t xml:space="preserve">Zinc metalloproteinase nas-26 </t>
  </si>
  <si>
    <t xml:space="preserve">Programmed cell death activator egl-1 </t>
  </si>
  <si>
    <t xml:space="preserve">Serine protease inhibitor 1 protein </t>
  </si>
  <si>
    <t xml:space="preserve">Zwei Ig domain protein zig-5 </t>
  </si>
  <si>
    <t>GO:0005576 (extracellular region); GO:0016020 (membrane); GO:0007389 (pattern specification process)</t>
  </si>
  <si>
    <t xml:space="preserve">Innexin-2 </t>
  </si>
  <si>
    <t xml:space="preserve">Glutamate-gated chloride channel alpha </t>
  </si>
  <si>
    <t xml:space="preserve">Degenerin unc-8 </t>
  </si>
  <si>
    <t>GO:0016020 (membrane); GO:0016021 (integral component of membrane); GO:0005216 (ion channel activity); GO:0006811 (ion transport); GO:0005887 (integral component of plasma membrane); GO:0005272 (sodium channel activity); GO:0006814 (sodium ion transport); GO:0035725 (sodium ion transmembrane transport); GO:0005886 (plasma membrane); GO:0043025 (neuronal cell body); GO:0006812 (cation transport); GO:0040011 (locomotion); GO:0005261 (cation channel activity); GO:0015280 (ligand-gated sodium channel activity); GO:0034220 (ion transmembrane transport)</t>
  </si>
  <si>
    <t xml:space="preserve">Synaptogenesis protein syg-1 </t>
  </si>
  <si>
    <t>GO:0016020 (membrane); GO:0016021 (integral component of membrane); GO:0005886 (plasma membrane); GO:0098609 (cell-cell adhesion); GO:0005887 (integral component of plasma membrane); GO:0005515 (protein binding); GO:0030054 (cell junction); GO:0045202 (synapse); GO:0042995 (cell projection); GO:0050839 (cell adhesion molecule binding); GO:0005911 (cell-cell junction); GO:0007155 (cell adhesion); GO:0007399 (nervous system development); GO:0007416 (synapse assembly); GO:0030424 (axon); GO:0044877 (protein-containing complex binding); GO:0048668 (collateral sprouting); GO:0051017 (actin filament bundle assembly); GO:0007267 (cell-cell signaling); GO:0008039 (synaptic target recognition); GO:0048755 (branching morphogenesis of a nerve); GO:0050808 (synapse organization)</t>
  </si>
  <si>
    <t xml:space="preserve">Nephrocystin-1-like protein 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</si>
  <si>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GO:0000166 (nucleotide binding); GO:0035556 (intracellular signal transduction)</t>
  </si>
  <si>
    <t>GO:0016020 (membrane); GO:0016021 (integral component of membrane); GO:0007638 (mechanosensory behavior); GO:0050976 (detection of mechanical stimulus involved in sensory perception of touch); GO:0043025 (neuronal cell body); GO:0043005 (neuron projection); GO:0016405 (CoA-ligase activity)</t>
  </si>
  <si>
    <t xml:space="preserve">Nuclear hormone receptor family member nhr-59 </t>
  </si>
  <si>
    <t>GO:0043565 (sequence-specific DNA binding); GO:0003700 (DNA-binding transcription factor activity); GO:0008270 (zinc ion binding); GO:0006355 (regulation of transcription, DNA-templated); GO:0005634 (nucleus)</t>
  </si>
  <si>
    <t>GO:0016020 (membrane); GO:0016021 (integral component of membrane); GO:0005524 (ATP binding); GO:0004672 (protein kinase activity); GO:0006468 (protein phosphorylation); GO:0016301 (kinase activity); GO:0016310 (phosphorylation); GO:0018108 (peptidyl-tyrosine phosphorylation); GO:0005887 (integral component of plasma membrane); GO:0007169 (transmembrane receptor protein tyrosine kinase signaling pathway); GO:0043235 (receptor complex); GO:0007275 (multicellular organism development); GO:0007409 (axonogenesis); GO:0033674 (positive regulation of kinase activity)</t>
  </si>
  <si>
    <t>GO:0046872 (metal ion binding); GO:0019825 (oxygen binding); GO:0020037 (heme binding); GO:0005344 (oxygen carrier activity); GO:0015671 (oxygen transport); GO:0019826 (oxygen sensor activity); GO:0003032 (detection of oxygen)</t>
  </si>
  <si>
    <t xml:space="preserve">Vesicular acetylcholine transporter unc-17 </t>
  </si>
  <si>
    <t>GO:0016020 (membrane); GO:0016021 (integral component of membrane); GO:0031410 (cytoplasmic vesicle); GO:0022857 (transmembrane transporter activity); GO:0055085 (transmembrane transport); GO:0007268 (chemical synaptic transmission); GO:0030054 (cell junction); GO:0045202 (synapse); GO:0006937 (regulation of muscle contraction); GO:0030121 (AP-1 adaptor complex); GO:0005887 (integral component of plasma membrane); GO:0006836 (neurotransmitter transport); GO:0043195 (terminal bouton); GO:0030122 (AP-2 adaptor complex); GO:0030672 (synaptic vesicle membrane); GO:0005277 (acetylcholine transmembrane transporter activity); GO:0015870 (acetylcholine transport); GO:0002119 (nematode larval development); GO:0007271 (synaptic transmission, cholinergic); GO:0043051 (regulation of pharyngeal pumping); GO:0043005 (neuron projection); GO:0040012 (regulation of locomotion); GO:0008021 (synaptic vesicle); GO:0031090 (organelle membrane); GO:0046928 (regulation of neurotransmitter secretion); GO:0060076 (excitatory synapse); GO:0042910 (xenobiotic transmembrane transporter activity); GO:0030285 (integral component of synaptic vesicle membrane); GO:0042908 (xenobiotic transport)</t>
  </si>
  <si>
    <t xml:space="preserve">LOW QUALITY PROTEIN: Uncharacterized protein CELE_H37A05.4 </t>
  </si>
  <si>
    <t xml:space="preserve">UBX domain-containing protein 5 </t>
  </si>
  <si>
    <t xml:space="preserve">Cuticle collagen dpy-2 </t>
  </si>
  <si>
    <t xml:space="preserve">Glutathione S-transferase 4 </t>
  </si>
  <si>
    <t>GO:0008080 (N-acetyltransferase activity); GO:0016740 (transferase activity); GO:0045087 (innate immune response)</t>
  </si>
  <si>
    <t xml:space="preserve">Delta and osm-11 homolog protein 1 </t>
  </si>
  <si>
    <t xml:space="preserve">Motor AXon guidance </t>
  </si>
  <si>
    <t>GO:0005856 (cytoskeleton); GO:0008045 (motor neuron axon guidance)</t>
  </si>
  <si>
    <t xml:space="preserve">Zinc metalloproteinase nas-29 </t>
  </si>
  <si>
    <t xml:space="preserve">Bestrophin homolog 18 </t>
  </si>
  <si>
    <t>GO:0016020 (membrane); GO:0016021 (integral component of membrane); GO:0006644 (phospholipid metabolic process); GO:0004620 (phospholipase activity)</t>
  </si>
  <si>
    <t>GO:0005886 (plasma membrane); GO:0006412 (translation); GO:0006751 (glutathione catabolic process); GO:0006508 (proteolysis); GO:0000048 (peptidyltransferase activity); GO:0036374 (glutathione hydrolase activity); GO:0016020 (membrane); GO:0016021 (integral component of membrane)</t>
  </si>
  <si>
    <t>GO:0000166 (nucleotide binding); GO:0005525 (GTP binding); GO:0005096 (GTPase activator activity); GO:0000902 (cell morphogenesis); GO:0005929 (cilium); GO:0043547 (positive regulation of GTPase activity); GO:0006892 (post-Golgi vesicle-mediated transport); GO:1990075 (periciliary membrane compartment)</t>
  </si>
  <si>
    <t>GO:0005634 (nucleus); GO:0043565 (sequence-specific DNA binding); GO:0000981 (DNA-binding transcription factor activity, RNA polymerase II-specific); GO:0006357 (regulation of transcription by RNA polymerase II); GO:0003677 (DNA binding); GO:0046872 (metal ion binding)</t>
  </si>
  <si>
    <t xml:space="preserve">Replication Protein A homolog </t>
  </si>
  <si>
    <t>GO:0005634 (nucleus); GO:0000724 (double-strand break repair via homologous recombination); GO:0006289 (nucleotide-excision repair); GO:0003697 (single-stranded DNA binding); GO:0005662 (DNA replication factor A complex); GO:0035861 (site of double-strand break); GO:0006260 (DNA replication); GO:0000781 (chromosome, telomeric region)</t>
  </si>
  <si>
    <t xml:space="preserve">Homeobox protein ceh-10 </t>
  </si>
  <si>
    <t xml:space="preserve">Mitogen-activated protein kinase pmk-2 </t>
  </si>
  <si>
    <t>GO:0004707 (MAP kinase activity); GO:0004672 (protein kinase activity); GO:0006468 (protein phosphorylation); GO:0005524 (ATP binding); GO:0016301 (kinase activity); GO:0016310 (phosphorylation); GO:0000165 (MAPK cascade)</t>
  </si>
  <si>
    <t>GO:0016020 (membrane); GO:0016021 (integral component of membrane); GO:0019825 (oxygen binding); GO:0020037 (heme binding)</t>
  </si>
  <si>
    <t xml:space="preserve">Tubulin beta-1 chain 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</si>
  <si>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GO:0007638 (mechanosensory behavior); GO:0050976 (detection of mechanical stimulus involved in sensory perception of touch); GO:1905789 (positive regulation of detection of mechanical stimulus involved in sensory perception of touch); GO:1905792 (positive regulation of mechanosensory behavior); GO:0043025 (neuronal cell body); GO:0009612 (response to mechanical stimulus); GO:0043005 (neuron projection); GO:0031122 (cytoplasmic microtubule organization); GO:0050974 (detection of mechanical stimulus involved in sensory perception)</t>
  </si>
  <si>
    <t xml:space="preserve">Major sperm protein 38 </t>
  </si>
  <si>
    <t xml:space="preserve">KRIT 1 (Krev interaction trapped/cerebral cavernous malformation 1) homolog </t>
  </si>
  <si>
    <t>GO:0005856 (cytoskeleton); GO:0016327 (apicolateral plasma membrane); GO:0005634 (nucleus); GO:0016324 (apical plasma membrane); GO:0005515 (protein binding)</t>
  </si>
  <si>
    <t>GO:0005886 (plasma membrane); GO:0030054 (cell junction); GO:0035332 (positive regulation of hippo signaling)</t>
  </si>
  <si>
    <t xml:space="preserve">Thioredoxin </t>
  </si>
  <si>
    <t xml:space="preserve">Acetylcholine receptor subunit alpha-type deg-3 </t>
  </si>
  <si>
    <t xml:space="preserve">Diminuto-like protein </t>
  </si>
  <si>
    <t>GO:0005737 (cytoplasm); GO:0016020 (membrane); GO:0016491 (oxidoreductase activity); GO:0050660 (flavin adenine dinucleotide binding); GO:0071949 (FAD binding); GO:0000246 (delta24(24-1) sterol reductase activity); GO:0008202 (steroid metabolic process); GO:0016628 (oxidoreductase activity, acting on the CH-CH group of donors, NAD or NADP as acceptor); GO:0055114 (oxidation-reduction process)</t>
  </si>
  <si>
    <t xml:space="preserve">Glutathione S-transferase 3 </t>
  </si>
  <si>
    <t xml:space="preserve">Serotonin-gated chloride channel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</si>
  <si>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GO:1902476 (chloride transmembrane transport); GO:0030594 (neurotransmitter receptor activity); GO:0098664 (G protein-coupled serotonin receptor signaling pathway); GO:0043025 (neuronal cell body); GO:0006821 (chloride transport); GO:0004993 (G protein-coupled serotonin receptor activity); GO:0007210 (serotonin receptor signaling pathway); GO:0005254 (chloride channel activity); GO:0042595 (behavioral response to starvation); GO:1904123 (positive regulation of fatty acid beta-oxidation by serotonin receptor signaling pathway)</t>
  </si>
  <si>
    <t>GO:0016020 (membrane); GO:0016021 (integral component of membrane); GO:0005783 (endoplasmic reticulum); GO:0001676 (long-chain fatty acid metabolic process); GO:0004467 (long-chain fatty acid-CoA ligase activity); GO:0005324 (long-chain fatty acid transporter activity); GO:0015909 (long-chain fatty acid transport); GO:0070328 (triglyceride homeostasis); GO:0043231 (intracellular membrane-bounded organelle)</t>
  </si>
  <si>
    <t xml:space="preserve">Nuclear Hormone Receptor family; Nuclear receptor NHR-107 </t>
  </si>
  <si>
    <t xml:space="preserve">Probable glutathione S-transferase gst-36 </t>
  </si>
  <si>
    <t xml:space="preserve">RGM domain family member drag-1 </t>
  </si>
  <si>
    <t>GO:0016020 (membrane); GO:0016021 (integral component of membrane); GO:0005886 (plasma membrane); GO:0040018 (positive regulation of multicellular organism growth); GO:0030509 (BMP signaling pathway); GO:0015026 (coreceptor activity); GO:0031225 (anchored component of membrane); GO:1901048 (transforming growth factor beta receptor signaling pathway involved in regulation of multicellular organism growth); GO:0040014 (regulation of multicellular organism growth); GO:0007501 (mesodermal cell fate specification); GO:0030510 (regulation of BMP signaling pathway); GO:0061065 (regulation of dauer larval development); GO:0043235 (receptor complex)</t>
  </si>
  <si>
    <t xml:space="preserve">Putative tyrosine-protein kinase C03B1.5 </t>
  </si>
  <si>
    <t>GO:0005524 (ATP binding); GO:0004672 (protein kinase activity); GO:0006468 (protein phosphorylation); GO:0016301 (kinase activity); GO:0016310 (phosphorylation); GO:0000166 (nucleotide binding); GO:0016740 (transferase activity); GO:0004713 (protein tyrosine kinase activity); GO:0004715 (non-membrane spanning protein tyrosine kinase activity); GO:0018108 (peptidyl-tyrosine phosphorylation); GO:0004714 (transmembrane receptor protein tyrosine kinase activity)</t>
  </si>
  <si>
    <t xml:space="preserve">Probable voltage-gated potassium channel subunit kvs-4 </t>
  </si>
  <si>
    <t>GO:0008076 (voltage-gated potassium channel complex); GO:0005249 (voltage-gated potassium channel activity); GO:0051260 (protein homooligomerization); GO:0006811 (ion transport); GO:0005216 (ion channel activity); GO:0006813 (potassium ion transport); GO:0055085 (transmembrane transport); GO:0016020 (membrane)</t>
  </si>
  <si>
    <t>Serine/threonine-protein kinase cst-1 Serine/threonine-protein kinase cst-1 37kDa subunit Serine/threonine-protein kinase cst-1 18kDa subunit</t>
  </si>
  <si>
    <t xml:space="preserve">Putative cytochrome P450 CYP13A2 </t>
  </si>
  <si>
    <t xml:space="preserve">Zinc finger BED domain-containing protein 3 </t>
  </si>
  <si>
    <t xml:space="preserve">Vesicular GABA transporter </t>
  </si>
  <si>
    <t>GO:0016020 (membrane); GO:0016021 (integral component of membrane); GO:0005886 (plasma membrane); GO:0031410 (cytoplasmic vesicle); GO:0006836 (neurotransmitter transport); GO:0015812 (gamma-aminobutyric acid transport); GO:0030285 (integral component of synaptic vesicle membrane); GO:0098700 (neurotransmitter loading into synaptic vesicle); GO:0030659 (cytoplasmic vesicle membrane); GO:0015495 (gamma-aminobutyric acid:proton symporter activity); GO:0044292 (dendrite terminus); GO:0044306 (neuron projection terminus); GO:0008021 (synaptic vesicle)</t>
  </si>
  <si>
    <t xml:space="preserve">Putative glycerophosphocholine phosphodiesterase GPCPD1 homolog 1 </t>
  </si>
  <si>
    <t xml:space="preserve">Amino acid transporter </t>
  </si>
  <si>
    <t>GO:0016020 (membrane); GO:0016021 (integral component of membrane); GO:0055085 (transmembrane transport); GO:0015293 (symporter activity)</t>
  </si>
  <si>
    <t xml:space="preserve">Inactive tyrosine-protein kinase RYK </t>
  </si>
  <si>
    <t>GO:0016020 (membrane); GO:0016021 (integral component of membrane); GO:0005524 (ATP binding); GO:0005886 (plasma membrane); GO:0004672 (protein kinase activity); GO:0006468 (protein phosphorylation); GO:0000166 (nucleotide binding); GO:0018108 (peptidyl-tyrosine phosphorylation); GO:0005887 (integral component of plasma membrane); GO:0016055 (Wnt signaling pathway); GO:1904937 (sensory neuron migration); GO:1905485 (positive regulation of motor neuron migration); GO:1905488 (positive regulation of anterior/posterior axon guidance); GO:1905491 (positive regulation of sensory neuron axon guidance); GO:0016323 (basolateral plasma membrane); GO:0007169 (transmembrane receptor protein tyrosine kinase signaling pathway); GO:0043235 (receptor complex); GO:0007399 (nervous system development); GO:0007275 (multicellular organism development); GO:0007409 (axonogenesis); GO:0005634 (nucleus); GO:0005737 (cytoplasm); GO:0040028 (regulation of vulval development); GO:0009786 (regulation of asymmetric cell division); GO:0002009 (morphogenesis of an epithelium); GO:0045167 (asymmetric protein localization involved in cell fate determination); GO:0009949 (polarity specification of anterior/posterior axis); GO:0010085 (polarity specification of proximal/distal axis); GO:0040035 (hermaphrodite genitalia development); GO:0048560 (establishment of anatomical structure orientation); GO:0033674 (positive regulation of kinase activity)</t>
  </si>
  <si>
    <t xml:space="preserve">Nuclear hormone receptor family member nhr-150 </t>
  </si>
  <si>
    <t xml:space="preserve">STOmatin </t>
  </si>
  <si>
    <t xml:space="preserve">Modifier Of Apl-1 activity </t>
  </si>
  <si>
    <t xml:space="preserve">Dystrophin-like protein 1 </t>
  </si>
  <si>
    <t>GO:0016020 (membrane); GO:0008474 (palmitoyl-(protein) hydrolase activity); GO:0098734 (macromolecule depalmitoylation); GO:0018215 (protein phosphopantetheinylation)</t>
  </si>
  <si>
    <t>GO:0005634 (nucleus); GO:0005737 (cytoplasm); GO:0006511 (ubiquitin-dependent protein catabolic process); GO:0031146 (SCF-dependent proteasomal ubiquitin-dependent protein catabolic process); GO:0097602 (cullin family protein binding)</t>
  </si>
  <si>
    <t xml:space="preserve">Uncharacterized amino-acid permease B0303.11 </t>
  </si>
  <si>
    <t>GO:0006811 (ion transport); GO:0055085 (transmembrane transport); GO:0022857 (transmembrane transporter activity); GO:0016020 (membrane)</t>
  </si>
  <si>
    <t xml:space="preserve">Homeobox protein unc-30 </t>
  </si>
  <si>
    <t>GO:0005634 (nucleus); GO:0003677 (DNA binding); GO:0003700 (DNA-binding transcription factor activity); GO:0006355 (regulation of transcription, DNA-templated);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GO:0009653 (anatomical structure morphogenesis); GO:0045944 (positive regulation of transcription by RNA polymerase II); GO:0043565 (sequence-specific DNA binding); GO:0033563 (dorsal/ventral axon guidance); GO:0040012 (regulation of locomotion); GO:0097154 (GABAergic neuron differentiation)</t>
  </si>
  <si>
    <t>GO:0016788 (hydrolase activity, acting on ester bonds); GO:0004806 (triglyceride lipase activity); GO:0019433 (triglyceride catabolic process)</t>
  </si>
  <si>
    <t xml:space="preserve">Mblk-1-related factor 1 </t>
  </si>
  <si>
    <t xml:space="preserve">Sex determination and dosage compensation protein sdc-2 </t>
  </si>
  <si>
    <t>GO:0005694 (chromosome); GO:0030154 (cell differentiation); GO:0007548 (sex differentiation); GO:0000122 (negative regulation of transcription by RNA polymerase II); GO:0042464 (dosage compensation by hypoactivation of X chromosome); GO:0000228 (nuclear chromosome)</t>
  </si>
  <si>
    <t xml:space="preserve">Ras-related protein Rab-3 </t>
  </si>
  <si>
    <t>GO:0016020 (membrane); GO:0005525 (GTP binding); GO:0005886 (plasma membrane); GO:0000166 (nucleotide binding); GO:0003924 (GTPase activity); GO:0015031 (protein transport); GO:0006886 (intracellular protein transport); GO:0006935 (chemotaxis); GO:0007271 (synaptic transmission, cholinergic); GO:0043051 (regulation of pharyngeal pumping); GO:0040012 (regulation of locomotion); GO:0007617 (mating behavior); GO:0008021 (synaptic vesicle)</t>
  </si>
  <si>
    <t xml:space="preserve">Parkin Co-Regulated Gene (PACRG) homolog </t>
  </si>
  <si>
    <t>GO:0051879 (Hsp90 protein binding); GO:0051087 (chaperone binding); GO:0030544 (Hsp70 protein binding); GO:0060548 (negative regulation of cell death)</t>
  </si>
  <si>
    <t xml:space="preserve">Nuclear Hormone Receptor family; Nuclear receptor NHR-116 </t>
  </si>
  <si>
    <t>GO:0034198 (cellular response to amino acid starvation); GO:0010507 (negative regulation of autophagy); GO:0070513 (death domain binding); GO:0097190 (apoptotic signaling pathway); GO:0045087 (innate immune response)</t>
  </si>
  <si>
    <t>GO:0005576 (extracellular region); GO:0005615 (extracellular space); GO:0005179 (hormone activity); GO:0006874 (cellular calcium ion homeostasis); GO:0007165 (signal transduction)</t>
  </si>
  <si>
    <t xml:space="preserve">T-box transcription factor tbx-8 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</si>
  <si>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GO:0001708 (cell fate specification); GO:0010172 (embryonic body morphogenesis); GO:0005667 (transcription regulator complex)</t>
  </si>
  <si>
    <t xml:space="preserve">Profilin-3 </t>
  </si>
  <si>
    <t xml:space="preserve">CUTicle and epithelial Integrity </t>
  </si>
  <si>
    <t>GO:0016020 (membrane); GO:0016021 (integral component of membrane); GO:0005886 (plasma membrane); GO:0005737 (cytoplasm)</t>
  </si>
  <si>
    <t>GO:0005085 (guanyl-nucleotide exchange factor activity); GO:0050790 (regulation of catalytic activity)</t>
  </si>
  <si>
    <t xml:space="preserve">Discoidin domain-containing receptor tyrosine kinase B </t>
  </si>
  <si>
    <t xml:space="preserve">Nuclear Hormone Receptor family; Nuclear receptor NHR-123 </t>
  </si>
  <si>
    <t xml:space="preserve">Probable E3 ubiquitin-protein ligase plr-1 </t>
  </si>
  <si>
    <t xml:space="preserve">Gamma-aminobutyric acid type B receptor subunit 1 </t>
  </si>
  <si>
    <t>GO:0004965 (G protein-coupled GABA receptor activity); GO:0004930 (G protein-coupled receptor activity); GO:0007186 (G protein-coupled receptor signaling pathway); GO:0016021 (integral component of membrane); GO:0016020 (membrane)</t>
  </si>
  <si>
    <t xml:space="preserve">Putative alpha-L-fucosidase </t>
  </si>
  <si>
    <t>GO:0005764 (lysosome); GO:0008152 (metabolic process); GO:0016787 (hydrolase activity); GO:0016798 (hydrolase activity, acting on glycosyl bonds); GO:0005975 (carbohydrate metabolic process); GO:0016139 (glycoside catabolic process); GO:0004560 (alpha-L-fucosidase activity); GO:0006004 (fucose metabolic process)</t>
  </si>
  <si>
    <t xml:space="preserve">Zinc MetalloProtease </t>
  </si>
  <si>
    <t>GO:0016020 (membrane); GO:0016021 (integral component of membrane); GO:0016787 (hydrolase activity); GO:0046872 (metal ion binding); GO:0008270 (zinc ion binding); GO:0004222 (metalloendopeptidase activity); GO:0006508 (proteolysis); GO:0008233 (peptidase activity); GO:0008237 (metallopeptidase activity); GO:0005615 (extracellular space); GO:0030198 (extracellular matrix organization); GO:0030574 (collagen catabolic process); GO:0031012 (extracellular matrix)</t>
  </si>
  <si>
    <t xml:space="preserve">Homolog of Odr-2 (Two); Ly-6-related protein HOT-1 </t>
  </si>
  <si>
    <t xml:space="preserve">ThioRedoXin [see also xtr] </t>
  </si>
  <si>
    <t>GO:0005634 (nucleus); GO:0005737 (cytoplasm); GO:0016324 (apical plasma membrane)</t>
  </si>
  <si>
    <t xml:space="preserve">Cysteine protease </t>
  </si>
  <si>
    <t>GO:0016787 (hydrolase activity); GO:0005737 (cytoplasm); GO:0015031 (protein transport); GO:0006508 (proteolysis); GO:0008233 (peptidase activity); GO:0008234 (cysteine-type peptidase activity); GO:0006914 (autophagy); GO:0004197 (cysteine-type endopeptidase activity)</t>
  </si>
  <si>
    <t>GO:0016020 (membrane); GO:0016021 (integral component of membrane); GO:0005615 (extracellular space); GO:0031012 (extracellular matrix); GO:0005515 (protein binding)</t>
  </si>
  <si>
    <t xml:space="preserve">Cdc-42 Related Protein </t>
  </si>
  <si>
    <t>GO:0003924 (GTPase activity); GO:0005525 (GTP binding); GO:0005886 (plasma membrane); GO:0043231 (intracellular membrane-bounded organelle); GO:0007163 (establishment or maintenance of cell polarity); GO:0043005 (neuron projection); GO:0007264 (small GTPase mediated signal transduction); GO:0007015 (actin filament organization); GO:0019901 (protein kinase binding); GO:0042995 (cell projection); GO:0043652 (engulfment of apoptotic cell); GO:0005856 (cytoskeleton); GO:0032956 (regulation of actin cytoskeleton organization); GO:0008045 (motor neuron axon guidance); GO:0005938 (cell cortex); GO:0031410 (cytoplasmic vesicle); GO:0008360 (regulation of cell shape); GO:0030865 (cortical cytoskeleton organization); GO:0055037 (recycling endosome); GO:0005802 (trans-Golgi network)</t>
  </si>
  <si>
    <t xml:space="preserve">Stress-activated protein kinase jnk-1 </t>
  </si>
  <si>
    <t>FMRFamide-like neuropeptides 19 WANQVRF-amide</t>
  </si>
  <si>
    <t xml:space="preserve">Amidophosphoribosyltransferase </t>
  </si>
  <si>
    <t>GO:0046872 (metal ion binding); GO:0016740 (transferase activity); GO:0016757 (transferase activity, transferring glycosyl groups); GO:0051536 (iron-sulfur cluster binding); GO:0006164 (purine nucleotide biosynthetic process); GO:0009116 (nucleoside metabolic process); GO:0006189 ('de novo' IMP biosynthetic process); GO:0009113 (purine nucleobase biosynthetic process); GO:0004044 (amidophosphoribosyltransferase activity)</t>
  </si>
  <si>
    <t xml:space="preserve">Putative neuropeptide Y receptor 11 </t>
  </si>
  <si>
    <t>GO:0004983 (neuropeptide Y receptor activity); GO:0004930 (G protein-coupled receptor activity); GO:0007186 (G protein-coupled receptor signaling pathway); GO:0016021 (integral component of membrane)</t>
  </si>
  <si>
    <t xml:space="preserve">Putative carbonic anhydrase 3 </t>
  </si>
  <si>
    <t>GO:0008061 (chitin binding)</t>
  </si>
  <si>
    <t xml:space="preserve">Soluble guanylate cyclase gcy-34 </t>
  </si>
  <si>
    <t>GO:0016020 (membrane); GO:0016021 (integral component of membrane); GO:0046872 (metal ion binding); GO:0016740 (transferase activity); GO:0016757 (transferase activity, transferring glycosyl groups); GO:0008375 (acetylglucosaminyltransferase activity); GO:0006486 (protein glycosylation); GO:0003827 (alpha-1,3-mannosylglycoprotein 2-beta-N-acetylglucosaminyltransferase activity); GO:0048471 (perinuclear region of cytoplasm); GO:0006487 (protein N-linked glycosylation); GO:0005797 (Golgi medial cisterna); GO:0018215 (protein phosphopantetheinylation)</t>
  </si>
  <si>
    <t xml:space="preserve">Intermediate Filament Organize </t>
  </si>
  <si>
    <t xml:space="preserve">Mammalian ELKS/CAST/ERC/Rab6 interacting protein homolog </t>
  </si>
  <si>
    <t>GO:0005737 (cytoplasm); GO:0007274 (neuromuscular synaptic transmission); GO:0048167 (regulation of synaptic plasticity); GO:0048788 (cytoskeleton of presynaptic active zone); GO:0005604 (basement membrane); GO:0008104 (protein localization); GO:0048786 (presynaptic active zone); GO:0060625 (regulation of protein deneddylation); GO:0030165 (PDZ domain binding); GO:0098882 (structural constituent of presynaptic active zone); GO:0048790 (maintenance of presynaptic active zone structure)</t>
  </si>
  <si>
    <t>GO:0097501 (stress response to metal ion); GO:0045087 (innate immune response)</t>
  </si>
  <si>
    <t xml:space="preserve">Homeobox protein ceh-33 </t>
  </si>
  <si>
    <t xml:space="preserve">Receptor-type guanylate cyclase gcy-11 </t>
  </si>
  <si>
    <t xml:space="preserve">Probable mitochondrial pyruvate carrier 1 </t>
  </si>
  <si>
    <t>GO:0006850 (mitochondrial pyruvate transmembrane transport); GO:0005743 (mitochondrial inner membrane)</t>
  </si>
  <si>
    <t xml:space="preserve">HID-1; High temperature-Induced Dauer formation </t>
  </si>
  <si>
    <t>GO:0016020 (membrane); GO:0000138 (Golgi trans cisterna); GO:0005797 (Golgi medial cisterna); GO:0071244 (cellular response to carbon dioxide); GO:1903745 (negative regulation of pharyngeal pumping); GO:0030421 (defecation); GO:0040011 (locomotion); GO:0005829 (cytosol); GO:0040024 (dauer larval development); GO:0043005 (neuron projection); GO:0003674 (molecular_function); GO:0009408 (response to heat); GO:0002791 (regulation of peptide secretion)</t>
  </si>
  <si>
    <t xml:space="preserve">HEN-1; HEsitatioN behavior </t>
  </si>
  <si>
    <t>GO:0043410 (positive regulation of MAPK cascade); GO:0007606 (sensory perception of chemical stimulus); GO:0050893 (sensory processing); GO:0007171 (activation of transmembrane receptor protein tyrosine kinase activity); GO:0030297 (transmembrane receptor protein tyrosine kinase activator activity); GO:0043195 (terminal bouton); GO:0043025 (neuronal cell body); GO:0030424 (axon); GO:0040024 (dauer larval development); GO:0008306 (associative learning); GO:0005515 (protein binding)</t>
  </si>
  <si>
    <t xml:space="preserve">Putative transporter B0252.3 </t>
  </si>
  <si>
    <t>GO:0016020 (membrane); GO:0016021 (integral component of membrane); GO:0005887 (integral component of plasma membrane); GO:0009190 (cyclic nucleotide biosynthetic process); GO:0016829 (lyase activity); GO:0035556 (intracellular signal transduction); GO:2000292 (regulation of defecation); GO:0007189 (adenylate cyclase-activating G protein-coupled receptor signaling pathway); GO:0004016 (adenylate cyclase activity); GO:0005886 (plasma membrane); GO:0006935 (chemotaxis); GO:0002119 (nematode larval development); GO:0040017 (positive regulation of locomotion); GO:0007614 (short-term memory); GO:0007188 (adenylate cyclase-modulating G protein-coupled receptor signaling pathway); GO:0072375 (medium-term memory); GO:0030431 (sleep); GO:0008219 (cell death)</t>
  </si>
  <si>
    <t>GO:0016020 (membrane); GO:0016021 (integral component of membrane); GO:0055085 (transmembrane transport); GO:0006884 (cell volume homeostasis); GO:0015379 (potassium:chloride symporter activity); GO:0055064 (chloride ion homeostasis); GO:0055075 (potassium ion homeostasis); GO:1902476 (chloride transmembrane transport); GO:1990573 (potassium ion import across plasma membrane)</t>
  </si>
  <si>
    <t xml:space="preserve">Cyclin-dependent kinase 5 activator 1 </t>
  </si>
  <si>
    <t>GO:0016533 (protein kinase 5 complex); GO:0061575 (cyclin-dependent protein serine/threonine kinase activator activity)</t>
  </si>
  <si>
    <t xml:space="preserve">MEC-5 </t>
  </si>
  <si>
    <t>GO:0007638 (mechanosensory behavior); GO:0050976 (detection of mechanical stimulus involved in sensory perception of touch); GO:1905789 (positive regulation of detection of mechanical stimulus involved in sensory perception of touch); GO:1905792 (positive regulation of mechanosensory behavior); GO:0009612 (response to mechanical stimulus); GO:0005201 (extracellular matrix structural constituent); GO:0031012 (extracellular matrix)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</si>
  <si>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GO:0060079 (excitatory postsynaptic potential); GO:1902476 (chloride transmembrane transport); GO:0005254 (chloride channel activity); GO:0030594 (neurotransmitter receptor activity); GO:0098794 (postsynapse); GO:0043051 (regulation of pharyngeal pumping); GO:0031987 (locomotion involved in locomotory behavior); GO:0042493 (response to drug); GO:0008068 (extracellularly glutamate-gated chloride channel activity)</t>
  </si>
  <si>
    <t xml:space="preserve">C-terminal-binding protein 1 </t>
  </si>
  <si>
    <t>GO:0003714 (transcription corepressor activity); GO:0016616 (oxidoreductase activity, acting on the CH-OH group of donors, NAD or NADP as acceptor); GO:0051287 (NAD binding); GO:0055114 (oxidation-reduction process)</t>
  </si>
  <si>
    <t xml:space="preserve">JNK Interacting Protein (Scaffold protein) </t>
  </si>
  <si>
    <t>GO:0005737 (cytoplasm); GO:0046328 (regulation of JNK cascade); GO:0005515 (protein binding)</t>
  </si>
  <si>
    <t xml:space="preserve">Patronin (microtubule-binding protein) homolog </t>
  </si>
  <si>
    <t>GO:0005516 (calmodulin binding); GO:0008017 (microtubule binding); GO:0005515 (protein binding)</t>
  </si>
  <si>
    <t xml:space="preserve">Putative serine/threonine-protein kinase C01C4.3 </t>
  </si>
  <si>
    <t xml:space="preserve">Putative serine/threonine-protein phosphatase C27B7.6 </t>
  </si>
  <si>
    <t>GO:0005634 (nucleus); GO:0005737 (cytoplasm); GO:0016787 (hydrolase activity); GO:0046872 (metal ion binding); GO:0004721 (phosphoprotein phosphatase activity); GO:0006470 (protein dephosphorylation); GO:0004722 (protein serine/threonine phosphatase activity); GO:0106306 (protein serine phosphatase activity); GO:0106307 (protein threonine phosphatase activity)</t>
  </si>
  <si>
    <t>GO:0005634 (nucleus); GO:0005524 (ATP binding); GO:0005737 (cytoplasm); GO:0004672 (protein kinase activity); GO:0006468 (protein phosphorylation); GO:0016301 (kinase activity); GO:0016310 (phosphorylation); GO:0000166 (nucleotide binding); GO:0005829 (cytosol); GO:0004693 (cyclin-dependent protein serine/threonine kinase activity); GO:0051726 (regulation of cell cycle); GO:0030332 (cyclin binding); GO:0000083 (regulation of transcription involved in G1/S transition of mitotic cell cycle)</t>
  </si>
  <si>
    <t>GO:0016020 (membrane); GO:0016021 (integral component of membrane); GO:0005887 (integral component of plasma membrane); GO:0009190 (cyclic nucleotide biosynthetic process); GO:0016829 (lyase activity); GO:0035556 (intracellular signal transduction); GO:0007189 (adenylate cyclase-activating G protein-coupled receptor signaling pathway); GO:0004016 (adenylate cyclase activity); GO:0006171 (cAMP biosynthetic process); GO:0005886 (plasma membrane); GO:0008294 (calcium- and calmodulin-responsive adenylate cyclase activity); GO:0019933 (cAMP-mediated signaling); GO:0090038 (negative regulation of protein kinase C signaling); GO:2000114 (regulation of establishment of cell polarity)</t>
  </si>
  <si>
    <t>GO:0005634 (nucleus); GO:0003677 (DNA binding); GO:0046872 (metal ion binding); GO:0046983 (protein dimerization activity); GO:0006357 (regulation of transcription by RNA polymerase II)</t>
  </si>
  <si>
    <t xml:space="preserve">VAB-2 </t>
  </si>
  <si>
    <t>GO:0016020 (membrane); GO:0005886 (plasma membrane); GO:0007411 (axon guidance); GO:0046875 (ephrin receptor binding); GO:0048013 (ephrin receptor signaling pathway); GO:0030424 (axon); GO:0048730 (epidermis morphogenesis); GO:0031362 (anchored component of external side of plasma membrane)</t>
  </si>
  <si>
    <t xml:space="preserve">Immunoglobulin domain-containing protein oig-4 </t>
  </si>
  <si>
    <t xml:space="preserve">Nuclear hormone receptor family member nhr-42 </t>
  </si>
  <si>
    <t xml:space="preserve">SMAll </t>
  </si>
  <si>
    <t>GO:0005634 (nucleus); GO:0005737 (cytoplasm); GO:0005874 (microtubule); GO:0050790 (regulation of catalytic activity); GO:0005543 (phospholipid binding); GO:0003779 (actin binding); GO:0005085 (guanyl-nucleotide exchange factor activity); GO:0051693 (actin filament capping); GO:0002119 (nematode larval development); GO:0060465 (pharynx development); GO:1905905 (pharyngeal gland morphogenesis); GO:0010172 (embryonic body morphogenesis); GO:0016324 (apical plasma membrane); GO:0040018 (positive regulation of multicellular organism growth); GO:0010171 (body morphogenesis); GO:0040012 (regulation of locomotion); GO:0002064 (epithelial cell development); GO:0035150 (regulation of tube size); GO:0045793 (positive regulation of cell size); GO:0046622 (positive regulation of organ growth); GO:0005515 (protein binding)</t>
  </si>
  <si>
    <t xml:space="preserve">Nuclear hormone receptor family member nhr-6 </t>
  </si>
  <si>
    <t>GO:0007015 (actin filament organization); GO:0051015 (actin filament binding); GO:0015629 (actin cytoskeleton)</t>
  </si>
  <si>
    <t>GO:0005634 (nucleus); GO:0000977 (RNA polymerase II transcription regulatory region sequence-specific DNA binding); GO:0000981 (DNA-binding transcription factor activity, RNA polymerase II-specific); GO:0006357 (regulation of transcription by RNA polymerase II); GO:0016607 (nuclear speck); GO:0005515 (protein binding)</t>
  </si>
  <si>
    <t xml:space="preserve">SoLute Carrier Family </t>
  </si>
  <si>
    <t>GO:0016020 (membrane); GO:0016021 (integral component of membrane); GO:0022857 (transmembrane transporter activity); GO:0055085 (transmembrane transport); GO:0008028 (monocarboxylic acid transmembrane transporter activity); GO:0016323 (basolateral plasma membrane); GO:0015718 (monocarboxylic acid transport)</t>
  </si>
  <si>
    <t xml:space="preserve">Caenorhabditis STE20-like kinase </t>
  </si>
  <si>
    <t>GO:0005524 (ATP binding); GO:0005737 (cytoplasm); GO:0004672 (protein kinase activity); GO:0004674 (protein serine/threonine kinase activity); GO:0006468 (protein phosphorylation); GO:0016301 (kinase activity); GO:0016310 (phosphorylation); GO:0000166 (nucleotide binding); GO:0032147 (activation of protein kinase activity); GO:0031098 (stress-activated protein kinase signaling cascade)</t>
  </si>
  <si>
    <t xml:space="preserve">CalPoNin </t>
  </si>
  <si>
    <t>GO:0016491 (oxidoreductase activity); GO:0005777 (peroxisome); GO:0006631 (fatty acid metabolic process); GO:0016627 (oxidoreductase activity, acting on the CH-CH group of donors); GO:0006629 (lipid metabolic process); GO:0050660 (flavin adenine dinucleotide binding); GO:0071949 (FAD binding); GO:1904070 (ascaroside biosynthetic process); GO:0055088 (lipid homeostasis); GO:0006635 (fatty acid beta-oxidation); GO:0003997 (acyl-CoA oxidase activity); GO:0005504 (fatty acid binding); GO:0033540 (fatty acid beta-oxidation using acyl-CoA oxidase); GO:0016402 (pristanoyl-CoA oxidase activity); GO:0055114 (oxidation-reduction process)</t>
  </si>
  <si>
    <t>GO:0005886 (plasma membrane); GO:0004222 (metalloendopeptidase activity); GO:0006508 (proteolysis); GO:0008237 (metallopeptidase activity); GO:0016485 (protein processing)</t>
  </si>
  <si>
    <t xml:space="preserve">Transcription factor unc-3 </t>
  </si>
  <si>
    <t>GO:0003677 (DNA binding); GO:0005634 (nucleus); GO:0046872 (metal ion binding); GO:0003700 (DNA-binding transcription factor activity); GO:0006355 (regulation of transcription, DNA-templated); GO:0007275 (multicellular organism development);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GO:0000977 (RNA polymerase II transcription regulatory region sequence-specific DNA binding); GO:0045944 (positive regulation of transcription by RNA polymerase II); GO:0040024 (dauer larval development); GO:0043065 (positive regulation of apoptotic process); GO:0042802 (identical protein binding); GO:0010975 (regulation of neuron projection development); GO:0035035 (histone acetyltransferase binding)</t>
  </si>
  <si>
    <t>GO:0016020 (membrane); GO:0016021 (integral component of membrane); GO:0045087 (innate immune response); GO:0050829 (defense response to Gram-negative bacterium); GO:0045121 (membrane raft)</t>
  </si>
  <si>
    <t>GO:0005794 (Golgi apparatus); GO:0007030 (Golgi organization); GO:0009306 (protein secretion)</t>
  </si>
  <si>
    <t>GO:0005634 (nucleus); GO:0008270 (zinc ion binding); GO:0018024 (histone-lysine N-methyltransferase activity); GO:0034968 (histone lysine methylation); GO:0002039 (p53 binding); GO:0045087 (innate immune response); GO:0005515 (protein binding)</t>
  </si>
  <si>
    <t xml:space="preserve">Nuclear hormone receptor family member nhr-136 </t>
  </si>
  <si>
    <t xml:space="preserve">Synaptogyrin homolog 1 </t>
  </si>
  <si>
    <t>GO:0016020 (membrane); GO:0016021 (integral component of membrane); GO:0031594 (neuromuscular junction); GO:0030672 (synaptic vesicle membrane); GO:0048489 (synaptic vesicle transport); GO:0031410 (cytoplasmic vesicle); GO:0008021 (synaptic vesicle); GO:0017157 (regulation of exocytosis)</t>
  </si>
  <si>
    <t xml:space="preserve">Pha-1 protein; Pha1 protein </t>
  </si>
  <si>
    <t>GO:0016020 (membrane); GO:0006486 (protein glycosylation); GO:0008417 (fucosyltransferase activity); GO:0036065 (fucosylation); GO:0046920 (alpha-(1-&gt;3)-fucosyltransferase activity); GO:0002119 (nematode larval development); GO:0005737 (cytoplasm); GO:0000003 (reproduction); GO:0048557 (embryonic digestive tract morphogenesis)</t>
  </si>
  <si>
    <t xml:space="preserve">C2 domain-containing protein aex-1 </t>
  </si>
  <si>
    <t>GO:0018991 (oviposition); GO:0030421 (defecation); GO:0040011 (locomotion); GO:0003674 (molecular_function); GO:0035418 (protein localization to synapse); GO:0014057 (positive regulation of acetylcholine secretion, neurotransmission); GO:0060179 (male mating behavior)</t>
  </si>
  <si>
    <t xml:space="preserve">Nuclear hormone receptor family member nhr-14 </t>
  </si>
  <si>
    <t xml:space="preserve">Regulator of G protein Signaling </t>
  </si>
  <si>
    <t xml:space="preserve">CELF35-1 </t>
  </si>
  <si>
    <t>GO:0016020 (membrane); GO:0016021 (integral component of membrane); GO:0098839 (postsynaptic density membrane); GO:0004930 (G protein-coupled receptor activity); GO:0007186 (G protein-coupled receptor signaling pathway); GO:0005887 (integral component of plasma membrane); GO:0007216 (G protein-coupled glutamate receptor signaling pathway); GO:0051966 (regulation of synaptic transmission, glutamatergic); GO:0060078 (regulation of postsynaptic membrane potential); GO:0099530 (G protein-coupled receptor activity involved in regulation of postsynaptic membrane potential); GO:0099566 (regulation of postsynaptic cytosolic calcium ion concentration); GO:0099583 (neurotransmitter receptor activity involved in regulation of postsynaptic cytosolic calcium ion concentration); GO:0007196 (adenylate cyclase-inhibiting G protein-coupled glutamate receptor signaling pathway); GO:0001640 (adenylate cyclase inhibiting G protein-coupled glutamate receptor activity)</t>
  </si>
  <si>
    <t xml:space="preserve">Homeobox protein egl-5 </t>
  </si>
  <si>
    <t xml:space="preserve">Putative polypeptide N-acetylgalactosaminyltransferase 11 </t>
  </si>
  <si>
    <t>GO:0005085 (guanyl-nucleotide exchange factor activity); GO:0007264 (small GTPase mediated signal transduction); GO:0050790 (regulation of catalytic activity)</t>
  </si>
  <si>
    <t>GO:0004067 (asparaginase activity); GO:0006520 (cellular amino acid metabolic process); GO:0005515 (protein binding)</t>
  </si>
  <si>
    <t>GO:0007369 (gastrulation); GO:0005515 (protein binding)</t>
  </si>
  <si>
    <t xml:space="preserve">NMDA class glutamate Receptor; NMDA-type ionotropic glutamate receptor NMR-1 </t>
  </si>
  <si>
    <t>GO:0016020 (membrane); GO:0016021 (integral component of membrane); GO:0038023 (signaling receptor activity); GO:0005216 (ion channel activity); GO:0006811 (ion transport); GO:0005886 (plasma membrane); GO:0034220 (ion transmembrane transport); GO:0042391 (regulation of membrane potential); GO:0007268 (chemical synaptic transmission); GO:0043005 (neuron projection); GO:0045202 (synapse); GO:0004972 (NMDA glutamate receptor activity); GO:0017146 (NMDA selective glutamate receptor complex); GO:0005887 (integral component of plasma membrane); GO:0007626 (locomotory behavior); GO:0043059 (regulation of forward locomotion); GO:0015276 (ligand-gated ion channel activity); GO:0035235 (ionotropic glutamate receptor signaling pathway)</t>
  </si>
  <si>
    <t xml:space="preserve">Chromodomain and Helicase Domain protein </t>
  </si>
  <si>
    <t>GO:0005524 (ATP binding); GO:0004386 (helicase activity); GO:0000166 (nucleotide binding); GO:0005515 (protein binding); GO:0070615 (nucleosome-dependent ATPase activity)</t>
  </si>
  <si>
    <t xml:space="preserve">Mechanosensory abnormality protein 6 </t>
  </si>
  <si>
    <t>GO:0004064 (arylesterase activity)</t>
  </si>
  <si>
    <t xml:space="preserve">Protein unc-1; Stomatin-like protein UNC-1 </t>
  </si>
  <si>
    <t>GO:0016020 (membrane); GO:0016021 (integral component of membrane); GO:0005886 (plasma membrane); GO:0030054 (cell junction); GO:0005921 (gap junction); GO:0042493 (response to drug); GO:0005911 (cell-cell junction); GO:0030424 (axon); GO:0010650 (positive regulation of cell communication by electrical coupling); GO:0099106 (ion channel regulator activity)</t>
  </si>
  <si>
    <t>GO:0016020 (membrane); GO:0016021 (integral component of membrane); GO:0042048 (olfactory behavior); GO:0030424 (axon); GO:0043025 (neuronal cell body); GO:0019897 (extrinsic component of plasma membrane); GO:1990834 (response to odorant)</t>
  </si>
  <si>
    <t xml:space="preserve">Conserved Regulator of Innate immunity </t>
  </si>
  <si>
    <t xml:space="preserve">HAND bHLH transcription factor family </t>
  </si>
  <si>
    <t>GO:0005634 (nucleus); GO:0003677 (DNA binding); GO:0007275 (multicellular organism development); GO:0046983 (protein dimerization activity); GO:0000977 (RNA polymerase II transcription regulatory region sequence-specific DNA binding); GO:0000981 (DNA-binding transcription factor activity, RNA polymerase II-specific); GO:0006357 (regulation of transcription by RNA polymerase II); GO:0008406 (gonad development); GO:0032502 (developmental process); GO:0007506 (gonadal mesoderm development); GO:0007517 (muscle organ development); GO:0051149 (positive regulation of muscle cell differentiation)</t>
  </si>
  <si>
    <t xml:space="preserve">Putative neurobeachin homolog </t>
  </si>
  <si>
    <t xml:space="preserve">Downstream of Daf-Nineteen </t>
  </si>
  <si>
    <t>GO:0008237 (metallopeptidase activity); GO:0006508 (proteolysis); GO:0003674 (molecular_function); GO:0005575 (cellular_component); GO:0008150 (biological_process)</t>
  </si>
  <si>
    <t>GO:0005892 (acetylcholine-gated channel complex)</t>
  </si>
  <si>
    <t xml:space="preserve">Transmembrane receptor LIN-17 </t>
  </si>
  <si>
    <t>GO:0016020 (membrane); GO:0016021 (integral component of membrane); GO:0004888 (transmembrane signaling receptor activity); GO:0005886 (plasma membrane); GO:0007166 (cell surface receptor signaling pathway); GO:0017147 (Wnt-protein binding); GO:0042813 (Wnt-activated receptor activity); GO:0060070 (canonical Wnt signaling pathway); GO:0097402 (neuroblast migration); GO:0097475 (motor neuron migration); GO:1904936 (interneuron migration); GO:1905485 (positive regulation of motor neuron migration); GO:0097376 (interneuron axon guidance); GO:0008406 (gonad development); GO:0030334 (regulation of cell migration); GO:0030971 (receptor tyrosine kinase binding); GO:0045138 (nematode male tail tip morphogenesis); GO:0040028 (regulation of vulval development); GO:0032589 (neuron projection membrane); GO:0009786 (regulation of asymmetric cell division); GO:0002009 (morphogenesis of an epithelium); GO:0007163 (establishment or maintenance of cell polarity); GO:0045167 (asymmetric protein localization involved in cell fate determination); GO:0009949 (polarity specification of anterior/posterior axis); GO:0033564 (anterior/posterior axon guidance); GO:0042659 (regulation of cell fate specification); GO:0010085 (polarity specification of proximal/distal axis); GO:0040035 (hermaphrodite genitalia development); GO:0048560 (establishment of anatomical structure orientation); GO:0005515 (protein binding)</t>
  </si>
  <si>
    <t xml:space="preserve">Anion transporter SULP-8a; Anion transporter SULP-8b; SULfate Permease family </t>
  </si>
  <si>
    <t>GO:0016020 (membrane); GO:0016021 (integral component of membrane); GO:0055085 (transmembrane transport); GO:1902476 (chloride transmembrane transport); GO:0005887 (integral component of plasma membrane); GO:0008271 (secondary active sulfate transmembrane transporter activity); GO:0008272 (sulfate transport); GO:0015106 (bicarbonate transmembrane transporter activity); GO:0015108 (chloride transmembrane transporter activity); GO:0015116 (sulfate transmembrane transporter activity); GO:0015301 (anion:anion antiporter activity); GO:0015701 (bicarbonate transport); GO:0019531 (oxalate transmembrane transporter activity); GO:0019532 (oxalate transport); GO:0098656 (anion transmembrane transport); GO:1902358 (sulfate transmembrane transport); GO:0016323 (basolateral plasma membrane)</t>
  </si>
  <si>
    <t>GO:0016787 (hydrolase activity); GO:0003723 (RNA binding); GO:0016829 (lyase activity); GO:0090305 (nucleic acid phosphodiester bond hydrolysis); GO:0090502 (RNA phosphodiester bond hydrolysis, endonucleolytic); GO:0005764 (lysosome); GO:0004518 (nuclease activity); GO:0005576 (extracellular region); GO:0004519 (endonuclease activity); GO:0004521 (endoribonuclease activity); GO:0006401 (RNA catabolic process); GO:0033897 (ribonuclease T2 activity)</t>
  </si>
  <si>
    <t xml:space="preserve">Homeobox protein ceh-1 </t>
  </si>
  <si>
    <t xml:space="preserve">INSulin related; Insulin-like peptide </t>
  </si>
  <si>
    <t>GO:0005576 (extracellular region); GO:0005179 (hormone activity); GO:1905909 (regulation of dauer entry); GO:0007165 (signal transduction); GO:0043025 (neuronal cell body); GO:0045202 (synapse); GO:0031410 (cytoplasmic vesicle); GO:0043005 (neuron projection); GO:0046627 (negative regulation of insulin receptor signaling pathway); GO:0050920 (regulation of chemotaxis); GO:0007611 (learning or memory)</t>
  </si>
  <si>
    <t>GO:0005634 (nucleus); GO:0000209 (protein polyubiquitination); GO:0061631 (ubiquitin conjugating enzyme activity); GO:0006974 (cellular response to DNA damage stimulus)</t>
  </si>
  <si>
    <t xml:space="preserve">Nuclear hormone receptor family member nhr-1 </t>
  </si>
  <si>
    <t xml:space="preserve">BMP Receptor Associated protein family </t>
  </si>
  <si>
    <t>GO:0005515 (protein binding); GO:0005102 (signaling receptor binding); GO:0008340 (determination of adult lifespan); GO:0030424 (axon); GO:0030425 (dendrite); GO:0030512 (negative regulation of transforming growth factor beta receptor signaling pathway)</t>
  </si>
  <si>
    <t>GO:0005737 (cytoplasm); GO:0016853 (isomerase activity); GO:0003755 (peptidyl-prolyl cis-trans isomerase activity); GO:0000413 (protein peptidyl-prolyl isomerization); GO:0061077 (chaperone-mediated protein folding)</t>
  </si>
  <si>
    <t xml:space="preserve">Serpentine receptor class alpha-3 </t>
  </si>
  <si>
    <t xml:space="preserve">Elongin-B/C E3 ligase in AXon guidance </t>
  </si>
  <si>
    <t>GO:0031462 (Cul2-RING ubiquitin ligase complex); GO:0008270 (zinc ion binding); GO:0005829 (cytosol); GO:1902667 (regulation of axon guidance); GO:0005515 (protein binding); GO:0043025 (neuronal cell body); GO:0040017 (positive regulation of locomotion); GO:0005102 (signaling receptor binding); GO:0030424 (axon); GO:1901046 (positive regulation of oviposition); GO:0051879 (Hsp90 protein binding); GO:0051787 (misfolded protein binding); GO:1902435 (regulation of male mating behavior); GO:2000627 (positive regulation of miRNA catabolic process)</t>
  </si>
  <si>
    <t xml:space="preserve">SPerm CHromatin enriched </t>
  </si>
  <si>
    <t>GO:0000785 (chromatin)</t>
  </si>
  <si>
    <t>GO:0016020 (membrane); GO:0016021 (integral component of membrane); GO:0004222 (metalloendopeptidase activity); GO:0006508 (proteolysis); GO:0008237 (metallopeptidase activity)</t>
  </si>
  <si>
    <t>GO:0016020 (membrane); GO:0005737 (cytoplasm); GO:0006886 (intracellular protein transport); GO:0043005 (neuron projection); GO:0043113 (receptor clustering); GO:0005856 (cytoskeleton); GO:0045202 (synapse); GO:0005080 (protein kinase C binding); GO:0032588 (trans-Golgi network membrane); GO:0003779 (actin binding); GO:0019904 (protein domain specific binding); GO:0008021 (synaptic vesicle); GO:0048471 (perinuclear region of cytoplasm); GO:0005886 (plasma membrane); GO:0005543 (phospholipid binding); GO:0014069 (postsynaptic density); GO:0002092 (positive regulation of receptor internalization); GO:0097062 (dendritic spine maintenance); GO:0098842 (postsynaptic early endosome); GO:0034315 (regulation of Arp2/3 complex-mediated actin nucleation); GO:0005515 (protein binding)</t>
  </si>
  <si>
    <t>GO:0000166 (nucleotide binding); GO:0016491 (oxidoreductase activity); GO:0005524 (ATP binding); GO:0005777 (peroxisome); GO:0006631 (fatty acid metabolic process); GO:0005515 (protein binding); GO:0016627 (oxidoreductase activity, acting on the CH-CH group of donors); GO:0050660 (flavin adenine dinucleotide binding); GO:0006629 (lipid metabolic process); GO:0071949 (FAD binding); GO:0042811 (pheromone biosynthetic process); GO:1904070 (ascaroside biosynthetic process); GO:0055088 (lipid homeostasis); GO:0006635 (fatty acid beta-oxidation); GO:0003997 (acyl-CoA oxidase activity); GO:0005504 (fatty acid binding); GO:0033540 (fatty acid beta-oxidation using acyl-CoA oxidase); GO:0005782 (peroxisomal matrix); GO:0055114 (oxidation-reduction process)</t>
  </si>
  <si>
    <t>GO:0005758 (mitochondrial intermembrane space); GO:0015035 (protein disulfide oxidoreductase activity); GO:0022417 (protein maturation by protein folding); GO:0045041 (protein import into mitochondrial intermembrane space)</t>
  </si>
  <si>
    <t xml:space="preserve">Putative aminopeptidase W07G4.4 </t>
  </si>
  <si>
    <t>GO:0016787 (hydrolase activity); GO:0030145 (manganese ion binding); GO:0046872 (metal ion binding); GO:0006508 (proteolysis); GO:0008233 (peptidase activity); GO:0005737 (cytoplasm); GO:0070006 (metalloaminopeptidase activity); GO:0004177 (aminopeptidase activity); GO:0019538 (protein metabolic process)</t>
  </si>
  <si>
    <t xml:space="preserve">Immunoglobulin domain-containing protein oig-1 </t>
  </si>
  <si>
    <t>GO:0016787 (hydrolase activity); GO:0046872 (metal ion binding); GO:0043161 (proteasome-mediated ubiquitin-dependent protein catabolic process); GO:0006508 (proteolysis); GO:0008233 (peptidase activity); GO:0008237 (metallopeptidase activity); GO:0004843 (thiol-dependent ubiquitin-specific protease activity); GO:0016579 (protein deubiquitination); GO:0070628 (proteasome binding); GO:0008541 (proteasome regulatory particle, lid subcomplex); GO:0070122 (isopeptidase activity); GO:0005515 (protein binding)</t>
  </si>
  <si>
    <t xml:space="preserve">FLR-1 </t>
  </si>
  <si>
    <t>GO:0016020 (membrane); GO:0016021 (integral component of membrane); GO:0006811 (ion transport); GO:0005887 (integral component of plasma membrane); GO:0005272 (sodium channel activity); GO:0006814 (sodium ion transport); GO:0035725 (sodium ion transmembrane transport); GO:0005886 (plasma membrane); GO:0030421 (defecation); GO:0007624 (ultradian rhythm); GO:0031090 (organelle membrane); GO:0031965 (nuclear membrane); GO:0015280 (ligand-gated sodium channel activity)</t>
  </si>
  <si>
    <t xml:space="preserve">CaDmium Responsive; Cadmium-inducible lysosomal protein CDR-7 </t>
  </si>
  <si>
    <t xml:space="preserve">Protein transport protein Sec61 subunit gamma </t>
  </si>
  <si>
    <t>GO:0016020 (membrane); GO:0016021 (integral component of membrane); GO:0006886 (intracellular protein transport); GO:0015031 (protein transport); GO:0007275 (multicellular organism development); GO:0005783 (endoplasmic reticulum); GO:0005789 (endoplasmic reticulum membrane); GO:0030154 (cell differentiation); GO:0048477 (oogenesis); GO:0008320 (protein transmembrane transporter activity); GO:0015450 (P-P-bond-hydrolysis-driven protein transmembrane transporter activity); GO:0006605 (protein targeting); GO:0031204 (posttranslational protein targeting to membrane, translocation); GO:0030728 (ovulation); GO:0001555 (oocyte growth); GO:0005784 (Sec61 translocon complex); GO:0071261 (Ssh1 translocon complex)</t>
  </si>
  <si>
    <t xml:space="preserve">NePHronoPhthisis (Human kidney disease) homolog; Nephrocystin-4-like protein </t>
  </si>
  <si>
    <t>GO:0005856 (cytoskeleton); GO:0090090 (negative regulation of canonical Wnt signaling pathway); GO:0036064 (ciliary basal body); GO:0035869 (ciliary transition zone); GO:0097730 (non-motile cilium); GO:0097546 (ciliary base); GO:1904491 (protein localization to ciliary transition zone); GO:1905515 (non-motile cilium assembly); GO:0008104 (protein localization); GO:0008340 (determination of adult lifespan); GO:0023041 (neuronal signal transduction); GO:0034606 (response to hermaphrodite contact); GO:0016358 (dendrite development); GO:0034607 (turning behavior involved in mating); GO:0035177 (larval foraging behavior)</t>
  </si>
  <si>
    <t>GO:0016020 (membrane); GO:0016021 (integral component of membrane); GO:0046872 (metal ion binding); GO:0016740 (transferase activity); GO:0000139 (Golgi membrane); GO:0005794 (Golgi apparatus); GO:0006486 (protein glycosylation); GO:0015018 (galactosylgalactosylxylosylprotein 3-beta-glucuronosyltransferase activity)</t>
  </si>
  <si>
    <t xml:space="preserve">Helix-loop-helix protein 6 </t>
  </si>
  <si>
    <t>GO:0046983 (protein dimerization activity); GO:0006357 (regulation of transcription by RNA polymerase II); GO:0003700 (DNA-binding transcription factor activity)</t>
  </si>
  <si>
    <t xml:space="preserve">Glucose-6-phosphate 1-dehydrogenase </t>
  </si>
  <si>
    <t>GO:0004345 (glucose-6-phosphate dehydrogenase activity); GO:0006006 (glucose metabolic process); GO:0050661 (NADP binding); GO:0055114 (oxidation-reduction process); GO:0016614 (oxidoreductase activity, acting on CH-OH group of donors)</t>
  </si>
  <si>
    <t>GO:0030433 (ubiquitin-dependent ERAD pathway); GO:0005783 (endoplasmic reticulum); GO:0005788 (endoplasmic reticulum lumen); GO:0030970 (retrograde protein transport, ER to cytosol)</t>
  </si>
  <si>
    <t xml:space="preserve">Peptidyl-prolyl cis-trans isomerase 6 </t>
  </si>
  <si>
    <t xml:space="preserve">Cuticle collagen 1 </t>
  </si>
  <si>
    <t>GO:0042302 (structural constituent of cuticle); GO:0005581 (collagen trimer); GO:0040002 (collagen and cuticulin-based cuticle development); GO:0060102 (collagen and cuticulin-based cuticle extracellular matrix)</t>
  </si>
  <si>
    <t xml:space="preserve">Metal transporter cnnm-1 </t>
  </si>
  <si>
    <t xml:space="preserve">Receptor-type guanylate cyclase gcy-28 </t>
  </si>
  <si>
    <t>GO:0016849 (phosphorus-oxygen lyase activity); GO:0009190 (cyclic nucleotide biosynthetic process); GO:0004672 (protein kinase activity); GO:0035556 (intracellular signal transduction); GO:0006468 (protein phosphorylation); GO:0016021 (integral component of membrane); GO:0005524 (ATP binding)</t>
  </si>
  <si>
    <t>GO:0016020 (membrane); GO:0016021 (integral component of membrane); GO:0016491 (oxidoreductase activity); GO:0016616 (oxidoreductase activity, acting on the CH-OH group of donors, NAD or NADP as acceptor); GO:0005811 (lipid droplet); GO:0055114 (oxidation-reduction process)</t>
  </si>
  <si>
    <t xml:space="preserve">Chromosome condensation protein dpy-27 </t>
  </si>
  <si>
    <t>GO:0051276 (chromosome organization); GO:0005694 (chromosome); GO:0005515 (protein binding); GO:0005524 (ATP binding)</t>
  </si>
  <si>
    <t xml:space="preserve">Transcription factor egl-13 </t>
  </si>
  <si>
    <t xml:space="preserve">Phorbol ester/diacylglycerol-binding protein unc-13 </t>
  </si>
  <si>
    <t>GO:0005509 (calcium ion binding); GO:0005886 (plasma membrane); GO:0046872 (metal ion binding); GO:0031594 (neuromuscular junction); GO:0007528 (neuromuscular junction development); GO:0035556 (intracellular signal transduction); GO:0042734 (presynaptic membrane); GO:0005543 (phospholipid binding); GO:0007268 (chemical synaptic transmission); GO:0019992 (diacylglycerol binding); GO:0005516 (calmodulin binding); GO:0035249 (synaptic transmission, glutamatergic); GO:0016082 (synaptic vesicle priming); GO:0030672 (synaptic vesicle membrane); GO:0007283 (spermatogenesis); GO:0060282 (positive regulation of oocyte development); GO:0043195 (terminal bouton); GO:0016081 (synaptic vesicle docking); GO:0016188 (synaptic vesicle maturation); GO:0017075 (syntaxin-1 binding); GO:0061789 (dense core granule priming); GO:0098831 (presynaptic active zone cytoplasmic component); GO:0099525 (presynaptic dense core vesicle exocytosis); GO:0045202 (synapse); GO:0043051 (regulation of pharyngeal pumping); GO:0048786 (presynaptic active zone); GO:0046662 (regulation of oviposition); GO:0016079 (synaptic vesicle exocytosis)</t>
  </si>
  <si>
    <t xml:space="preserve">RASSF (Ras-association domain family) homolog </t>
  </si>
  <si>
    <t>GO:0007165 (signal transduction); GO:0005856 (cytoskeleton); GO:0005874 (microtubule); GO:0035556 (intracellular signal transduction); GO:0005515 (protein binding); GO:0007015 (actin filament organization); GO:0030261 (chromosome condensation); GO:0040028 (regulation of vulval development); GO:0016331 (morphogenesis of embryonic epithelium); GO:0031267 (small GTPase binding); GO:1902884 (positive regulation of response to oxidative stress); GO:0042327 (positive regulation of phosphorylation)</t>
  </si>
  <si>
    <t xml:space="preserve">SHaW family of potassium channels 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</si>
  <si>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GO:0030424 (axon); GO:0005251 (delayed rectifier potassium channel activity); GO:0008076 (voltage-gated potassium channel complex); GO:0032590 (dendrite membrane); GO:0032809 (neuronal cell body membrane); GO:0051260 (protein homooligomerization); GO:0005515 (protein binding)</t>
  </si>
  <si>
    <t xml:space="preserve">SUppressor of activated let-60 Ras </t>
  </si>
  <si>
    <t>GO:0016020 (membrane); GO:0016021 (integral component of membrane); GO:0005789 (endoplasmic reticulum membrane); GO:0046579 (positive regulation of Ras protein signal transduction); GO:0071294 (cellular response to zinc ion); GO:0031647 (regulation of protein stability); GO:0046716 (muscle cell cellular homeostasis)</t>
  </si>
  <si>
    <t xml:space="preserve">Fatty acid-binding protein homolog 2 </t>
  </si>
  <si>
    <t>GO:0016020 (membrane); GO:0005576 (extracellular region); GO:0005886 (plasma membrane); GO:0005737 (cytoplasm); GO:0005615 (extracellular space); GO:0007275 (multicellular organism development); GO:0016055 (Wnt signaling pathway); GO:0060070 (canonical Wnt signaling pathway); GO:0001764 (neuron migration); GO:0097402 (neuroblast migration); GO:0097475 (motor neuron migration); GO:1904936 (interneuron migration); GO:1905485 (positive regulation of motor neuron migration); GO:1905488 (positive regulation of anterior/posterior axon guidance); GO:1905491 (positive regulation of sensory neuron axon guidance); GO:0030182 (neuron differentiation); GO:0007399 (nervous system development); GO:0005125 (cytokine activity); GO:0005102 (signaling receptor binding); GO:0005109 (frizzled binding); GO:0045165 (cell fate commitment); GO:0001708 (cell fate specification); GO:0030971 (receptor tyrosine kinase binding); GO:0040028 (regulation of vulval development); GO:0048018 (receptor ligand activity)</t>
  </si>
  <si>
    <t xml:space="preserve">Mediator of RNA polymerase II transcription subunit 13 </t>
  </si>
  <si>
    <t xml:space="preserve">Phosphoinositide phospholipase C </t>
  </si>
  <si>
    <t>GO:0016787 (hydrolase activity); GO:0007165 (signal transduction); GO:0035556 (intracellular signal transduction); GO:0004435 (phosphatidylinositol phospholipase C activity); GO:0006629 (lipid metabolic process); GO:0008081 (phosphoric diester hydrolase activity); GO:0016042 (lipid catabolic process); GO:0048015 (phosphatidylinositol-mediated signaling); GO:0070679 (inositol 1,4,5 trisphosphate binding); GO:0032228 (regulation of synaptic transmission, GABAergic); GO:0050811 (GABA receptor binding)</t>
  </si>
  <si>
    <t>GO:0016020 (membrane); GO:0016021 (integral component of membrane); GO:0016740 (transferase activity); GO:0016757 (transferase activity, transferring glycosyl groups); GO:0008375 (acetylglucosaminyltransferase activity)</t>
  </si>
  <si>
    <t xml:space="preserve">Hydroxyacid-oxoacid transhydrogenase, mitochondrial </t>
  </si>
  <si>
    <t>GO:0046872 (metal ion binding); GO:0016491 (oxidoreductase activity); GO:0055114 (oxidation-reduction process)</t>
  </si>
  <si>
    <t>GO:0016020 (membrane); GO:0016021 (integral component of membrane); GO:0022857 (transmembrane transporter activity); GO:0055085 (transmembrane transport); GO:0016529 (sarcoplasmic reticulum); GO:0006820 (anion transport)</t>
  </si>
  <si>
    <t xml:space="preserve">Cathepsin B-like cysteine proteinase 3 </t>
  </si>
  <si>
    <t xml:space="preserve">Sugar transporter SWEET </t>
  </si>
  <si>
    <t>GO:0016020 (membrane); GO:0016021 (integral component of membrane); GO:0008643 (carbohydrate transport); GO:0034219 (carbohydrate transmembrane transport); GO:0051119 (sugar transmembrane transporter activity)</t>
  </si>
  <si>
    <t xml:space="preserve">Mediator of RNA polymerase II transcription subunit 18 </t>
  </si>
  <si>
    <t>GO:0016592 (mediator complex); GO:0003712 (transcription coregulator activity); GO:0006357 (regulation of transcription by RNA polymerase II); GO:0005634 (nucleus)</t>
  </si>
  <si>
    <t xml:space="preserve">Neprilysin-1 </t>
  </si>
  <si>
    <t>GO:0016020 (membrane); GO:0016021 (integral component of membrane); GO:0043413 (macromolecule glycosylation); GO:0045087 (innate immune response)</t>
  </si>
  <si>
    <t>GO:0005096 (GTPase activator activity); GO:0006886 (intracellular protein transport); GO:0090630 (activation of GTPase activity); GO:0005515 (protein binding)</t>
  </si>
  <si>
    <t xml:space="preserve">Neuropeptide-like protein 7 </t>
  </si>
  <si>
    <t xml:space="preserve">GDP-fucose protein O-fucosyltransferase 2 </t>
  </si>
  <si>
    <t>GO:0016740 (transferase activity); GO:0016757 (transferase activity, transferring glycosyl groups); GO:0006004 (fucose metabolic process); GO:0046922 (peptide-O-fucosyltransferase activity); GO:0036066 (protein O-linked fucosylation)</t>
  </si>
  <si>
    <t xml:space="preserve">Intermediate filament protein ifd-2 </t>
  </si>
  <si>
    <t xml:space="preserve">Protein odd-skipped-related 2 </t>
  </si>
  <si>
    <t xml:space="preserve">Suppressor of gpa-3QL dye-filling defect </t>
  </si>
  <si>
    <t>GO:0005794 (Golgi apparatus); GO:0006888 (endoplasmic reticulum to Golgi vesicle-mediated transport); GO:0007030 (Golgi organization); GO:0031267 (small GTPase binding)</t>
  </si>
  <si>
    <t>GO:0003677 (DNA binding); GO:0005634 (nucleus); GO:0006355 (regulation of transcription, DNA-templated); GO:0000977 (RNA polymerase II transcription regulatory region sequence-specific DNA binding); GO:0000981 (DNA-binding transcription factor activity, RNA polymerase II-specific); GO:0006357 (regulation of transcription by RNA polymerase II)</t>
  </si>
  <si>
    <t xml:space="preserve">MAGI (Membrane Associated Guanylate kinase Inverted) homolog </t>
  </si>
  <si>
    <t>GO:0016020 (membrane); GO:0005737 (cytoplasm); GO:0016301 (kinase activity); GO:0016310 (phosphorylation); GO:0007165 (signal transduction); GO:0030054 (cell junction); GO:0008013 (beta-catenin binding); GO:0032880 (regulation of protein localization); GO:0045202 (synapse); GO:0035254 (glutamate receptor binding); GO:0007616 (long-term memory); GO:0046959 (habituation); GO:0005912 (adherens junction); GO:0005515 (protein binding)</t>
  </si>
  <si>
    <t xml:space="preserve">Arrestin domain-containing protein 17 </t>
  </si>
  <si>
    <t xml:space="preserve">LIN-24 (Twenty-four) Like </t>
  </si>
  <si>
    <t xml:space="preserve">Sex determination protein fox-1 </t>
  </si>
  <si>
    <t>GO:0016020 (membrane); GO:0016021 (integral component of membrane); GO:0042302 (structural constituent of cuticle); GO:0042329 (structural constituent of collagen and cuticulin-based cuticle); GO:0060102 (collagen and cuticulin-based cuticle extracellular matrix)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</si>
  <si>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morphogenesis); GO:0000977 (RNA polymerase II transcription regulatory region sequence-specific DNA binding)</t>
  </si>
  <si>
    <t>GO:0016491 (oxidoreductase activity); GO:0016620 (oxidoreductase activity, acting on the aldehyde or oxo group of donors, NAD or NADP as acceptor); GO:0055114 (oxidation-reduction process)</t>
  </si>
  <si>
    <t xml:space="preserve">Semaphorin-2A </t>
  </si>
  <si>
    <t>GO:0005576 (extracellular region); GO:0005615 (extracellular space); GO:0007275 (multicellular organism development); GO:0007411 (axon guidance); GO:1902667 (regulation of axon guidance); GO:0030215 (semaphorin receptor binding); GO:0030335 (positive regulation of cell migration); GO:0045499 (chemorepellent activity); GO:0048843 (negative regulation of axon extension involved in axon guidance); GO:0050919 (negative chemotaxis); GO:0071526 (semaphorin-plexin signaling pathway); GO:0090597 (nematode male tail mating organ morphogenesis); GO:0010172 (embryonic body morphogenesis); GO:0032956 (regulation of actin cytoskeleton organization); GO:0030334 (regulation of cell migration); GO:0045138 (nematode male tail tip morphogenesis); GO:0007413 (axonal fasciculation); GO:0009986 (cell surface); GO:0030155 (regulation of cell adhesion); GO:0016331 (morphogenesis of embryonic epithelium); GO:0005515 (protein binding)</t>
  </si>
  <si>
    <t>FMRFamide-like neuropeptides 11 AMRNALVRF-amide ASGGMRNALVRF-amide SPLDEEDFAPESPLQ-amide NGAPQPFVRF-amide</t>
  </si>
  <si>
    <t xml:space="preserve">Copine family protein 5 </t>
  </si>
  <si>
    <t>GO:0003676 (nucleic acid binding); GO:0003723 (RNA binding); GO:0003729 (mRNA binding); GO:0005847 (mRNA cleavage and polyadenylation specificity factor complex); GO:0098789 (pre-mRNA cleavage required for polyadenylation)</t>
  </si>
  <si>
    <t xml:space="preserve">Nuclear hormone receptor family member nhr-3 </t>
  </si>
  <si>
    <t xml:space="preserve">SarcoGlyCan Beta homolog </t>
  </si>
  <si>
    <t>GO:0016020 (membrane); GO:0016021 (integral component of membrane); GO:0005856 (cytoskeleton); GO:0016012 (sarcoglycan complex); GO:0007517 (muscle organ development); GO:0042383 (sarcolemma)</t>
  </si>
  <si>
    <t xml:space="preserve">Protein male abnormal 21 </t>
  </si>
  <si>
    <t xml:space="preserve">Guanine nucleotide-binding protein alpha-6 subunit </t>
  </si>
  <si>
    <t>GO:0005634 (nucleus); GO:0006355 (regulation of transcription, DNA-templated); GO:0003677 (DNA binding); GO:0090575 (RNA polymerase II transcription regulator complex); GO:0007275 (multicellular organism development); GO:0005667 (transcription regulator complex); GO:0006357 (regulation of transcription by RNA polymerase II); GO:0000978 (RNA polymerase II cis-regulatory region sequence-specific DNA binding); GO:0000981 (DNA-binding transcription factor activity, RNA polymerase II-specific); GO:0010629 (negative regulation of gene expression); GO:0003700 (DNA-binding transcription factor activity)</t>
  </si>
  <si>
    <t xml:space="preserve">Anion transporter ABTS-2; Anion/Bicarbonate TranSporter family </t>
  </si>
  <si>
    <t>GO:0016020 (membrane); GO:0016021 (integral component of membrane); GO:0006811 (ion transport); GO:0005886 (plasma membrane); GO:0016323 (basolateral plasma membrane); GO:0005452 (inorganic anion exchanger activity); GO:0006820 (anion transport); GO:0015698 (inorganic anion transport); GO:0055085 (transmembrane transport); GO:0022857 (transmembrane transporter activity); GO:0050801 (ion homeostasis)</t>
  </si>
  <si>
    <t xml:space="preserve">Putative metallophosphoesterase F40B5.2 </t>
  </si>
  <si>
    <t>GO:0016020 (membrane); GO:0016021 (integral component of membrane); GO:0016787 (hydrolase activity); GO:0046872 (metal ion binding)</t>
  </si>
  <si>
    <t xml:space="preserve">Putative glutaminase 2 </t>
  </si>
  <si>
    <t>GO:0006541 (glutamine metabolic process); GO:0004359 (glutaminase activity); GO:0016787 (hydrolase activity)</t>
  </si>
  <si>
    <t>GO:0016020 (membrane); GO:0016021 (integral component of membrane); GO:0031462 (Cul2-RING ubiquitin ligase complex); GO:0005515 (protein binding)</t>
  </si>
  <si>
    <t xml:space="preserve">Ig-like and fibronectin type-III domain-containing protein 2 </t>
  </si>
  <si>
    <t xml:space="preserve">Receptor-type guanylate cyclase gcy-7 </t>
  </si>
  <si>
    <t>GO:0005634 (nucleus); GO:0003676 (nucleic acid binding); GO:0003723 (RNA binding); GO:0003729 (mRNA binding)</t>
  </si>
  <si>
    <t xml:space="preserve">Zinc metalloproteinase nas-5 </t>
  </si>
  <si>
    <t>GO:0005524 (ATP binding); GO:0005737 (cytoplasm); GO:0016887 (ATPase activity)</t>
  </si>
  <si>
    <t>GO:0005524 (ATP binding); GO:0000166 (nucleotide binding); GO:0003774 (motor activity); GO:0003777 (microtubule motor activity); GO:0007018 (microtubule-based movement); GO:0008017 (microtubule binding); GO:0005871 (kinesin complex); GO:0005874 (microtubule); GO:0072383 (plus-end-directed vesicle transport along microtubule); GO:0043025 (neuronal cell body); GO:0030424 (axon); GO:0005881 (cytoplasmic microtubule); GO:0005515 (protein binding); GO:1990939 (ATP-dependent microtubule motor activity)</t>
  </si>
  <si>
    <t>GO:0016020 (membrane); GO:0016021 (integral component of membrane); GO:0005886 (plasma membrane); GO:0046872 (metal ion binding); GO:0098655 (cation transmembrane transport); GO:0055085 (transmembrane transport); GO:0006816 (calcium ion transport); GO:0005516 (calmodulin binding); GO:0006814 (sodium ion transport); GO:0035725 (sodium ion transmembrane transport); GO:0015297 (antiporter activity); GO:0005432 (calcium:sodium antiporter activity); GO:0007154 (cell communication); GO:0015491 (cation:cation antiporter activity); GO:0030001 (metal ion transport)</t>
  </si>
  <si>
    <t xml:space="preserve">Probable glutathione transferase omega-2 </t>
  </si>
  <si>
    <t>GO:0005525 (GTP binding); GO:0003924 (GTPase activity); GO:0005802 (trans-Golgi network)</t>
  </si>
  <si>
    <t xml:space="preserve">INositol Polyphosphate-5-Phosphatase </t>
  </si>
  <si>
    <t>GO:0005634 (nucleus); GO:0005737 (cytoplasm); GO:0005886 (plasma membrane); GO:0030424 (axon); GO:0046856 (phosphatidylinositol dephosphorylation); GO:0043025 (neuronal cell body); GO:0004439 (phosphatidylinositol-4,5-bisphosphate 5-phosphatase activity); GO:0046855 (inositol phosphate dephosphorylation); GO:0030425 (dendrite); GO:0097730 (non-motile cilium); GO:0001726 (ruffle); GO:1902093 (positive regulation of flagellated sperm motility)</t>
  </si>
  <si>
    <t>GO:0016020 (membrane); GO:0016021 (integral component of membrane); GO:0006644 (phospholipid metabolic process); GO:0004620 (phospholipase activity); GO:0016788 (hydrolase activity, acting on ester bonds)</t>
  </si>
  <si>
    <t>GO:0008270 (zinc ion binding); GO:0003676 (nucleic acid binding); GO:0005634 (nucleus); GO:0003713 (transcription coactivator activity); GO:0003714 (transcription corepressor activity); GO:0007179 (transforming growth factor beta receptor signaling pathway); GO:0040018 (positive regulation of multicellular organism growth); GO:0045138 (nematode male tail tip morphogenesis); GO:0045892 (negative regulation of transcription, DNA-templated); GO:0045893 (positive regulation of transcription, DNA-templated); GO:0042661 (regulation of mesodermal cell fate specification); GO:0048337 (positive regulation of mesodermal cell fate specification)</t>
  </si>
  <si>
    <t xml:space="preserve">Insulin receptor SubsTrate homolog </t>
  </si>
  <si>
    <t>GO:0040024 (dauer larval development); GO:0008286 (insulin receptor signaling pathway); GO:0007614 (short-term memory); GO:0005158 (insulin receptor binding); GO:0005068 (transmembrane receptor protein tyrosine kinase adaptor activity); GO:0043548 (phosphatidylinositol 3-kinase binding)</t>
  </si>
  <si>
    <t>GO:0005737 (cytoplasm); GO:0006464 (cellular protein modification process); GO:0004719 (protein-L-isoaspartate (D-aspartate) O-methyltransferase activity); GO:0006479 (protein methylation)</t>
  </si>
  <si>
    <t xml:space="preserve">Actin-1 </t>
  </si>
  <si>
    <t>GO:0005515 (protein binding); GO:0000978 (RNA polymerase II cis-regulatory region sequence-specific DNA binding); GO:0000981 (DNA-binding transcription factor activity, RNA polymerase II-specific); GO:0006357 (regulation of transcription by RNA polymerase II)</t>
  </si>
  <si>
    <t xml:space="preserve">Receptor-type tyrosine-protein phosphatase-like ida-1 </t>
  </si>
  <si>
    <t>GO:0030141 (secretory granule); GO:0016311 (dephosphorylation); GO:0006470 (protein dephosphorylation); GO:0004725 (protein tyrosine phosphatase activity); GO:0016791 (phosphatase activity)</t>
  </si>
  <si>
    <t xml:space="preserve">Alkylglycerol monooxygenase </t>
  </si>
  <si>
    <t>GO:0008610 (lipid biosynthetic process); GO:0005506 (iron ion binding); GO:0016491 (oxidoreductase activity); GO:0055114 (oxidation-reduction process)</t>
  </si>
  <si>
    <t xml:space="preserve">Signal Element on Autosome </t>
  </si>
  <si>
    <t>GO:0005634 (nucleus); GO:0046872 (metal ion binding); GO:0005737 (cytoplasm); GO:0003723 (RNA binding); GO:0003677 (DNA binding); GO:0006417 (regulation of translation); GO:0030154 (cell differentiation); GO:0007548 (sex differentiation); GO:0008340 (determination of adult lifespan); GO:0009408 (response to heat); GO:0003727 (single-stranded RNA binding); GO:0010629 (negative regulation of gene expression); GO:0040034 (regulation of development, heterochronic); GO:0003725 (double-stranded RNA binding); GO:0007549 (dosage compensation)</t>
  </si>
  <si>
    <t xml:space="preserve">Regulator of G-protein signaling rgs-1 </t>
  </si>
  <si>
    <t>GO:0043547 (positive regulation of GTPase activity); GO:0007635 (chemosensory behavior); GO:0050913 (sensory perception of bitter taste); GO:0009968 (negative regulation of signal transduction); GO:0005096 (GTPase activator activity)</t>
  </si>
  <si>
    <t xml:space="preserve">Vitellogenin-4 </t>
  </si>
  <si>
    <t>GO:0005576 (extracellular region); GO:0006869 (lipid transport); GO:0005319 (lipid transporter activity); GO:0045735 (nutrient reservoir activity)</t>
  </si>
  <si>
    <t xml:space="preserve">Putative RNA-binding protein </t>
  </si>
  <si>
    <t>GO:0005634 (nucleus); GO:0005737 (cytoplasm); GO:0003723 (RNA binding); GO:0000381 (regulation of alternative mRNA splicing, via spliceosome); GO:0003676 (nucleic acid binding); GO:0003729 (mRNA binding); GO:0006376 (mRNA splice site selection); GO:1990904 (ribonucleoprotein complex); GO:0045664 (regulation of neuron differentiation); GO:0007271 (synaptic transmission, cholinergic); GO:0003727 (single-stranded RNA binding); GO:0032224 (positive regulation of synaptic transmission, cholinergic); GO:0032230 (positive regulation of synaptic transmission, GABAergic); GO:0016071 (mRNA metabolic process); GO:0016607 (nuclear speck); GO:0045202 (synapse)</t>
  </si>
  <si>
    <t>GO:0008830 (dTDP-4-dehydrorhamnose 3,5-epimerase activity)</t>
  </si>
  <si>
    <t xml:space="preserve">Dehydrogenase/reductase SDR family member 4 </t>
  </si>
  <si>
    <t>GO:0005634 (nucleus); GO:0003677 (DNA binding); GO:0006355 (regulation of transcription, DNA-templated); GO:0005515 (protein binding); GO:0000978 (RNA polymerase II cis-regulatory region sequence-specific DNA binding); GO:0000981 (DNA-binding transcription factor activity, RNA polymerase II-specific); GO:0006357 (regulation of transcription by RNA polymerase II); GO:0000977 (RNA polymerase II transcription regulatory region sequence-specific DNA binding); GO:0009792 (embryo development ending in birth or egg hatching); GO:0003700 (DNA-binding transcription factor activity); GO:0045944 (positive regulation of transcription by RNA polymerase II); GO:0006366 (transcription by RNA polymerase II); GO:0040040 (thermosensory behavior); GO:0030182 (neuron differentiation); GO:1902855 (regulation of non-motile cilium assembly); GO:0032534 (regulation of microvillus assembly)</t>
  </si>
  <si>
    <t xml:space="preserve">U3 small nucleolar ribonucleoprotein protein MPP10 </t>
  </si>
  <si>
    <t>GO:0005634 (nucleus); GO:0005730 (nucleolus); GO:0006364 (rRNA processing); GO:0042254 (ribosome biogenesis); GO:0032040 (small-subunit processome); GO:0034457 (Mpp10 complex); GO:0005732 (small nucleolar ribonucleoprotein complex)</t>
  </si>
  <si>
    <t>GO:0015031 (protein transport); GO:0007275 (multicellular organism development); GO:0005515 (protein binding); GO:0005929 (cilium); GO:0008289 (lipid binding); GO:0030030 (cell projection organization); GO:0060271 (cilium assembly); GO:0007399 (nervous system development); GO:0042953 (lipoprotein transport); GO:0000003 (reproduction); GO:0040011 (locomotion); GO:0030424 (axon); GO:0043051 (regulation of pharyngeal pumping); GO:0040024 (dauer larval development); GO:0007631 (feeding behavior); GO:0007635 (chemosensory behavior); GO:0010171 (body morphogenesis); GO:0030517 (negative regulation of axon extension); GO:0046662 (regulation of oviposition)</t>
  </si>
  <si>
    <t>GO:0016020 (membrane); GO:0016021 (integral component of membrane); GO:0046872 (metal ion binding); GO:0061630 (ubiquitin protein ligase activity); GO:0008270 (zinc ion binding); GO:0005783 (endoplasmic reticulum); GO:0016567 (protein ubiquitination); GO:0012505 (endomembrane system)</t>
  </si>
  <si>
    <t xml:space="preserve">Inactive angiotensin-converting enzyme-related protein </t>
  </si>
  <si>
    <t>GO:0008241 (peptidyl-dipeptidase activity); GO:0008237 (metallopeptidase activity); GO:0006508 (proteolysis); GO:0016020 (membrane)</t>
  </si>
  <si>
    <t xml:space="preserve">DiSHevelled related </t>
  </si>
  <si>
    <t>GO:0035556 (intracellular signal transduction); GO:0007275 (multicellular organism development); GO:0016055 (Wnt signaling pathway); GO:0060069 (Wnt signaling pathway, regulating spindle positioning); GO:0030971 (receptor tyrosine kinase binding); GO:0005515 (protein binding)</t>
  </si>
  <si>
    <t xml:space="preserve">Alpha-CaTuliN (Catenin/vinculin related) </t>
  </si>
  <si>
    <t>GO:0005737 (cytoplasm); GO:0007155 (cell adhesion); GO:0045296 (cadherin binding); GO:0051015 (actin filament binding); GO:0007266 (Rho protein signal transduction); GO:0005886 (plasma membrane); GO:0005515 (protein binding); GO:0055120 (striated muscle dense body); GO:0040012 (regulation of locomotion)</t>
  </si>
  <si>
    <t>GO:0005634 (nucleus); GO:0005737 (cytoplasm); GO:0016787 (hydrolase activity); GO:0050072 (m7G(5')pppN diphosphatase activity); GO:0000298 (endopolyphosphatase activity); GO:0008486 (diphosphoinositol-polyphosphate diphosphatase activity); GO:0034431 (bis(5'-adenosyl)-hexaphosphatase activity); GO:0034432 (bis(5'-adenosyl)-pentaphosphatase activity); GO:0071543 (diphosphoinositol polyphosphate metabolic process); GO:1901907 (diadenosine pentaphosphate catabolic process); GO:1901909 (diadenosine hexaphosphate catabolic process); GO:1901911 (adenosine 5'-(hexahydrogen pentaphosphate) catabolic process)</t>
  </si>
  <si>
    <t xml:space="preserve">Probable ubiquitin-conjugating enzyme E2 21 </t>
  </si>
  <si>
    <t>GO:0005634 (nucleus); GO:0000166 (nucleotide binding); GO:0016740 (transferase activity); GO:0000209 (protein polyubiquitination); GO:0016567 (protein ubiquitination); GO:0043161 (proteasome-mediated ubiquitin-dependent protein catabolic process); GO:0005524 (ATP binding); GO:0061631 (ubiquitin conjugating enzyme activity); GO:0003674 (molecular_function); GO:0005575 (cellular_component); GO:0008150 (biological_process); GO:0005515 (protein binding)</t>
  </si>
  <si>
    <t xml:space="preserve">MAP kinase-activating death domain protein </t>
  </si>
  <si>
    <t xml:space="preserve">Probable G-protein coupled receptor AH9.1 </t>
  </si>
  <si>
    <t xml:space="preserve">Alpha-tubulin N-acetyltransferase 1 </t>
  </si>
  <si>
    <t>GO:0071929 (alpha-tubulin acetylation); GO:0019799 (tubulin N-acetyltransferase activity); GO:0005874 (microtubule); GO:0016740 (transferase activity); GO:0016746 (transferase activity, transferring acyl groups); GO:0018215 (protein phosphopantetheinylation)</t>
  </si>
  <si>
    <t>GO:0016020 (membrane); GO:0016021 (integral component of membrane); GO:0005524 (ATP binding); GO:0042626 (ATPase-coupled transmembrane transporter activity); GO:0000166 (nucleotide binding); GO:0055085 (transmembrane transport); GO:0005887 (integral component of plasma membrane); GO:0016246 (RNA interference); GO:1990170 (stress response to cadmium ion); GO:0015562 (efflux transmembrane transporter activity); GO:0016887 (ATPase activity)</t>
  </si>
  <si>
    <t xml:space="preserve">Putative syntaxin-3 </t>
  </si>
  <si>
    <t>GO:0016020 (membrane); GO:0016021 (integral component of membrane); GO:0005886 (plasma membrane); GO:0006886 (intracellular protein transport); GO:0016192 (vesicle-mediated transport); GO:0000149 (SNARE binding); GO:0031201 (SNARE complex); GO:0006937 (regulation of muscle contraction); GO:0005484 (SNAP receptor activity); GO:0006887 (exocytosis); GO:0006906 (vesicle fusion); GO:0031629 (synaptic vesicle fusion to presynaptic active zone membrane); GO:0006836 (neurotransmitter transport); GO:2000294 (positive regulation of defecation); GO:0012505 (endomembrane system); GO:0008021 (synaptic vesicle); GO:0048278 (vesicle docking); GO:0048787 (presynaptic active zone membrane); GO:0016081 (synaptic vesicle docking); GO:0061025 (membrane fusion)</t>
  </si>
  <si>
    <t xml:space="preserve">NCA Localization Factor; NLF-1 </t>
  </si>
  <si>
    <t xml:space="preserve">Actin-depolymerizing factor 2, isoform c </t>
  </si>
  <si>
    <t>GO:0030042 (actin filament depolymerization); GO:0003779 (actin binding); GO:0015629 (actin cytoskeleton)</t>
  </si>
  <si>
    <t>GO:0046872 (metal ion binding); GO:0008270 (zinc ion binding); GO:0005515 (protein binding)</t>
  </si>
  <si>
    <t xml:space="preserve">TEStin (Human testis-derived transcript) homolog </t>
  </si>
  <si>
    <t>GO:0046872 (metal ion binding); GO:0005737 (cytoplasm); GO:0008270 (zinc ion binding)</t>
  </si>
  <si>
    <t>GO:0016787 (hydrolase activity); GO:0004104 (cholinesterase activity); GO:0043083 (synaptic cleft); GO:0052689 (carboxylic ester hydrolase activity); GO:0003990 (acetylcholinesterase activity); GO:0042135 (neurotransmitter catabolic process); GO:0007271 (synaptic transmission, cholinergic); GO:0042803 (protein homodimerization activity); GO:0040012 (regulation of locomotion); GO:0042802 (identical protein binding); GO:0001507 (acetylcholine catabolic process in synaptic cleft); GO:0006581 (acetylcholine catabolic process); GO:0045202 (synapse)</t>
  </si>
  <si>
    <t xml:space="preserve">Methionine synthase reductase </t>
  </si>
  <si>
    <t>GO:0010181 (FMN binding); GO:0016491 (oxidoreductase activity); GO:0055114 (oxidation-reduction process)</t>
  </si>
  <si>
    <t xml:space="preserve">Tetraspanin-21 </t>
  </si>
  <si>
    <t>GO:0016020 (membrane); GO:0016021 (integral component of membrane); GO:0005886 (plasma membrane); GO:0031410 (cytoplasmic vesicle); GO:0005887 (integral component of plasma membrane); GO:0005515 (protein binding); GO:0016323 (basolateral plasma membrane); GO:0040018 (positive regulation of multicellular organism growth); GO:0042661 (regulation of mesodermal cell fate specification); GO:1901048 (transforming growth factor beta receptor signaling pathway involved in regulation of multicellular organism growth); GO:0030511 (positive regulation of transforming growth factor beta receptor signaling pathway); GO:0030659 (cytoplasmic vesicle membrane); GO:0042802 (identical protein binding); GO:0045747 (positive regulation of Notch signaling pathway)</t>
  </si>
  <si>
    <t>GO:0016020 (membrane); GO:0043231 (intracellular membrane-bounded organelle); GO:0005829 (cytosol); GO:0008289 (lipid binding); GO:0006869 (lipid transport); GO:0032934 (sterol binding); GO:0015248 (sterol transporter activity); GO:0015918 (sterol transport)</t>
  </si>
  <si>
    <t xml:space="preserve">Rootletin </t>
  </si>
  <si>
    <t>GO:0005102 (signaling receptor binding)</t>
  </si>
  <si>
    <t>GO:0016020 (membrane); GO:0016021 (integral component of membrane); 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GO:0030276 (clathrin binding); GO:0070382 (exocytic vesicle); GO:0071277 (cellular response to calcium ion)</t>
  </si>
  <si>
    <t xml:space="preserve">Receptor-type tyrosine-protein phosphatase dep-1 </t>
  </si>
  <si>
    <t>GO:0016020 (membrane); GO:0016021 (integral component of membrane); GO:0004888 (transmembrane signaling receptor activity); GO:0005216 (ion channel activity); GO:0005230 (extracellular ligand-gated ion channel activity); GO:0005886 (plasma membrane); GO:0006811 (ion transport); GO:0034220 (ion transmembrane transport); GO:0042391 (regulation of membrane potential); GO:0007268 (chemical synaptic transmission); GO:0043005 (neuron projection); GO:0005887 (integral component of plasma membrane); GO:0007165 (signal transduction); GO:0045202 (synapse); GO:0050877 (nervous system process); GO:0022848 (acetylcholine-gated cation-selective channel activity); GO:0030054 (cell junction); GO:0045211 (postsynaptic membrane); GO:0060078 (regulation of postsynaptic membrane potential); GO:0060079 (excitatory postsynaptic potential); GO:0030594 (neurotransmitter receptor activity); GO:0015464 (acetylcholine receptor activity); GO:0007271 (synaptic transmission, cholinergic)</t>
  </si>
  <si>
    <t xml:space="preserve">Gex-3-interacting protein 13 </t>
  </si>
  <si>
    <t xml:space="preserve">LGL-1; Lgl-1 protein </t>
  </si>
  <si>
    <t>GO:0005737 (cytoplasm); GO:0005886 (plasma membrane); GO:0005096 (GTPase activator activity); GO:0043547 (positive regulation of GTPase activity); GO:0030864 (cortical actin cytoskeleton); GO:0050708 (regulation of protein secretion); GO:0019905 (syntaxin binding); GO:0008593 (regulation of Notch signaling pathway); GO:0030866 (cortical actin cytoskeleton organization); GO:0032878 (regulation of establishment or maintenance of cell polarity); GO:0051294 (establishment of spindle orientation); GO:0045159 (myosin II binding); GO:0008104 (protein localization); GO:0005938 (cell cortex); GO:0016323 (basolateral plasma membrane); GO:0030010 (establishment of cell polarity); GO:0044877 (protein-containing complex binding); GO:0005515 (protein binding)</t>
  </si>
  <si>
    <t>GO:0005813 (centrosome); GO:0034454 (microtubule anchoring at centrosome)</t>
  </si>
  <si>
    <t>GO:0016020 (membrane); GO:0016021 (integral component of membrane); GO:0006844 (acyl carnitine transport); GO:0015227 (acyl carnitine transmembrane transporter activity); GO:1902616 (acyl carnitine transmembrane transport); GO:0006865 (amino acid transport)</t>
  </si>
  <si>
    <t xml:space="preserve">Acetyl-CoA acetyltransferase homolog, mitochondrial </t>
  </si>
  <si>
    <t>GO:0046872 (metal ion binding); GO:0016740 (transferase activity); GO:0016746 (transferase activity, transferring acyl groups); GO:0016747 (transferase activity, transferring acyl groups other than amino-acyl groups); GO:0005739 (mitochondrion); GO:0006635 (fatty acid beta-oxidation); GO:0003985 (acetyl-CoA C-acetyltransferase activity)</t>
  </si>
  <si>
    <t>GO:0005737 (cytoplasm); GO:0005515 (protein binding); GO:0003779 (actin binding); GO:0031674 (I band); GO:0005865 (striated muscle thin filament); GO:0001725 (stress fiber); GO:0031032 (actomyosin structure organization)</t>
  </si>
  <si>
    <t>GO:0016020 (membrane); GO:0016021 (integral component of membrane); GO:0006886 (intracellular protein transport); GO:0005794 (Golgi apparatus); GO:0005783 (endoplasmic reticulum); GO:0006888 (endoplasmic reticulum to Golgi vesicle-mediated transport); GO:0030134 (COPII-coated ER to Golgi transport vesicle); GO:0005793 (endoplasmic reticulum-Golgi intermediate compartment); GO:0007030 (Golgi organization)</t>
  </si>
  <si>
    <t xml:space="preserve">Putative syntaxin-2 </t>
  </si>
  <si>
    <t>GO:0016020 (membrane); GO:0016021 (integral component of membrane); GO:0005886 (plasma membrane); GO:0006886 (intracellular protein transport); GO:0016192 (vesicle-mediated transport); GO:0000149 (SNARE binding); GO:0031201 (SNARE complex); GO:0005484 (SNAP receptor activity); GO:0006887 (exocytosis); GO:0006906 (vesicle fusion); GO:0031629 (synaptic vesicle fusion to presynaptic active zone membrane); GO:0006836 (neurotransmitter transport); GO:0012505 (endomembrane system); GO:0008021 (synaptic vesicle); GO:0048278 (vesicle docking); GO:0048787 (presynaptic active zone membrane); GO:0016081 (synaptic vesicle docking); GO:0007614 (short-term memory)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</si>
  <si>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GO:0007210 (serotonin receptor signaling pathway); GO:0045202 (synapse)</t>
  </si>
  <si>
    <t xml:space="preserve">UNC-24 </t>
  </si>
  <si>
    <t>GO:0016020 (membrane); GO:0005886 (plasma membrane); GO:0042493 (response to drug); GO:0045184 (establishment of protein localization)</t>
  </si>
  <si>
    <t>S-adenosylmethionine decarboxylase proenzyme S-adenosylmethionine decarboxylase alpha chain S-adenosylmethionine decarboxylase beta chain</t>
  </si>
  <si>
    <t>GO:0008295 (spermidine biosynthetic process); GO:0006597 (spermine biosynthetic process); GO:0004014 (adenosylmethionine decarboxylase activity)</t>
  </si>
  <si>
    <t>GO:0016020 (membrane); GO:0016021 (integral component of membrane); GO:0005886 (plasma membrane); GO:0008643 (carbohydrate transport); GO:0034219 (carbohydrate transmembrane transport); GO:0051119 (sugar transmembrane transporter activity)</t>
  </si>
  <si>
    <t>GO:0005576 (extracellular region); GO:0005634 (nucleus); GO:0009986 (cell surface)</t>
  </si>
  <si>
    <t xml:space="preserve">Tyrosine-protein kinase receptor svh-2 </t>
  </si>
  <si>
    <t>GO:0016020 (membrane); GO:0016021 (integral component of membrane); GO:0005524 (ATP binding); GO:0005886 (plasma membrane); GO:0004672 (protein kinase activity); GO:0006468 (protein phosphorylation); GO:0016301 (kinase activity); GO:0016310 (phosphorylation); GO:0000166 (nucleotide binding); GO:0016740 (transferase activity); GO:0004713 (protein tyrosine kinase activity); GO:0005887 (integral component of plasma membrane); GO:0005515 (protein binding); GO:0004714 (transmembrane receptor protein tyrosine kinase activity); GO:0031103 (axon regeneration); GO:0048680 (positive regulation of axon regeneration); GO:0007169 (transmembrane receptor protein tyrosine kinase signaling pathway); GO:0043235 (receptor complex); GO:0007275 (multicellular organism development); GO:0018108 (peptidyl-tyrosine phosphorylation); GO:0031435 (mitogen-activated protein kinase kinase kinase binding); GO:0038083 (peptidyl-tyrosine autophosphorylation); GO:0043410 (positive regulation of MAPK cascade); GO:0033674 (positive regulation of kinase activity)</t>
  </si>
  <si>
    <t xml:space="preserve">Probable syndecan </t>
  </si>
  <si>
    <t>GO:0016020 (membrane); GO:0016021 (integral component of membrane); GO:0005737 (cytoplasm); GO:0030054 (cell junction); GO:0016477 (cell migration); GO:0009986 (cell surface); GO:0007411 (axon guidance); GO:0009792 (embryo development ending in birth or egg hatching); GO:0005515 (protein binding); GO:0002119 (nematode larval development); GO:0048730 (epidermis morphogenesis)</t>
  </si>
  <si>
    <t>GO:0016740 (transferase activity); GO:0005515 (protein binding); GO:0006749 (glutathione metabolic process); GO:0004364 (glutathione transferase activity)</t>
  </si>
  <si>
    <t xml:space="preserve">CCCP-1; Conserved Coiled-Coil Protein </t>
  </si>
  <si>
    <t>GO:0005802 (trans-Golgi network); GO:0042981 (regulation of apoptotic process); GO:0031267 (small GTPase binding); GO:0099518 (vesicle cytoskeletal trafficking); GO:0048471 (perinuclear region of cytoplasm); GO:0043025 (neuronal cell body); GO:0030424 (axon); GO:0090325 (regulation of locomotion involved in locomotory behavior); GO:1990502 (dense core granule maturation)</t>
  </si>
  <si>
    <t>GO:0016021 (integral component of membrane); GO:0045595 (regulation of cell differentiation)</t>
  </si>
  <si>
    <t xml:space="preserve">Tyrosine-protein kinase receptor ver-3 </t>
  </si>
  <si>
    <t>GO:0016020 (membrane); GO:0016021 (integral component of membrane); GO:0005524 (ATP binding); GO:0005886 (plasma membrane); GO:0004672 (protein kinase activity); GO:0006468 (protein phosphorylation); GO:0016301 (kinase activity); GO:0016310 (phosphorylation); GO:0000166 (nucleotide binding); GO:0016740 (transferase activity); GO:0004713 (protein tyrosine kinase activity); GO:0018108 (peptidyl-tyrosine phosphorylation); GO:0005887 (integral component of plasma membrane); GO:0004714 (transmembrane receptor protein tyrosine kinase activity); GO:0007169 (transmembrane receptor protein tyrosine kinase signaling pathway); GO:0043235 (receptor complex); GO:0007275 (multicellular organism development); GO:0045138 (nematode male tail tip morphogenesis); GO:0033674 (positive regulation of kinase activity)</t>
  </si>
  <si>
    <t>GO:0007218 (neuropeptide signaling pathway); GO:0005184 (neuropeptide hormone activity)</t>
  </si>
  <si>
    <t xml:space="preserve">Coiled-coil domain-containing protein 149 </t>
  </si>
  <si>
    <t xml:space="preserve">Vitellogenin-6 </t>
  </si>
  <si>
    <t>GO:0005576 (extracellular region); GO:0006869 (lipid transport); GO:0005319 (lipid transporter activity); GO:1903427 (negative regulation of reactive oxygen species biosynthetic process); GO:1904109 (positive regulation of cholesterol import); GO:1904807 (negative regulation of protein oxidation); GO:0045735 (nutrient reservoir activity)</t>
  </si>
  <si>
    <t xml:space="preserve">Synaptogenesis protein syg-2 </t>
  </si>
  <si>
    <t>GO:0016020 (membrane); GO:0016021 (integral component of membrane); GO:0005886 (plasma membrane); GO:0098609 (cell-cell adhesion); GO:0005887 (integral component of plasma membrane); GO:0005515 (protein binding); GO:0030054 (cell junction); GO:0045202 (synapse); GO:0050839 (cell adhesion molecule binding); GO:0005911 (cell-cell junction); GO:0007155 (cell adhesion); GO:0007399 (nervous system development); GO:0007416 (synapse assembly); GO:0048668 (collateral sprouting); GO:0042803 (protein homodimerization activity); GO:0035418 (protein localization to synapse); GO:0007267 (cell-cell signaling); GO:0008039 (synaptic target recognition); GO:0050808 (synapse organization)</t>
  </si>
  <si>
    <t>GO:0016020 (membrane); GO:0016021 (integral component of membrane); GO:0030425 (dendrite)</t>
  </si>
  <si>
    <t xml:space="preserve">Phytanoyl-CoA dioxygenase domain-containing protein 1 homolog </t>
  </si>
  <si>
    <t>GO:0046872 (metal ion binding); GO:0016491 (oxidoreductase activity); GO:0051213 (dioxygenase activity)</t>
  </si>
  <si>
    <t xml:space="preserve">SUPpressor </t>
  </si>
  <si>
    <t>GO:0005634 (nucleus); GO:0003723 (RNA binding); GO:0003676 (nucleic acid binding); GO:0005829 (cytosol); GO:0003730 (mRNA 3'-UTR binding); GO:1990904 (ribonucleoprotein complex); GO:0008143 (poly(A) binding); GO:0008266 (poly(U) RNA binding); GO:0005515 (protein binding); GO:0005737 (cytoplasm); GO:0017148 (negative regulation of translation)</t>
  </si>
  <si>
    <t>GO:0005634 (nucleus); GO:0051568 (histone H3-K4 methylation); GO:0042800 (histone methyltransferase activity (H3-K4 specific)); GO:0018024 (histone-lysine N-methyltransferase activity); GO:0034968 (histone lysine methylation); GO:0005515 (protein binding)</t>
  </si>
  <si>
    <t xml:space="preserve">Succinate--CoA ligase [ADP-forming] subunit beta, mitochondrial </t>
  </si>
  <si>
    <t>GO:0005524 (ATP binding); GO:0003824 (catalytic activity); GO:0046872 (metal ion binding); GO:0000166 (nucleotide binding); GO:0016874 (ligase activity); GO:0005739 (mitochondrion); GO:0006099 (tricarboxylic acid cycle); GO:0000287 (magnesium ion binding); GO:0004775 (succinate-CoA ligase (ADP-forming) activity); GO:0006104 (succinyl-CoA metabolic process); GO:0042709 (succinate-CoA ligase complex); GO:0004776 (succinate-CoA ligase (GDP-forming) activity)</t>
  </si>
  <si>
    <t xml:space="preserve">Excitatory amino acid transporter </t>
  </si>
  <si>
    <t>GO:0015293 (symporter activity); GO:0016021 (integral component of membrane)</t>
  </si>
  <si>
    <t xml:space="preserve">EPHeXin (Eph-interacting GEF) homolog </t>
  </si>
  <si>
    <t>GO:0090630 (activation of GTPase activity); GO:0005085 (guanyl-nucleotide exchange factor activity); GO:0005515 (protein binding)</t>
  </si>
  <si>
    <t>GO:0016020 (membrane); GO:0016021 (integral component of membrane); GO:0043025 (neuronal cell body); GO:0048846 (axon extension involved in axon guidance)</t>
  </si>
  <si>
    <t>GO:0016491 (oxidoreductase activity); GO:0003995 (acyl-CoA dehydrogenase activity); GO:0016627 (oxidoreductase activity, acting on the CH-CH group of donors); GO:0050660 (flavin adenine dinucleotide binding); GO:0045087 (innate immune response); GO:0050829 (defense response to Gram-negative bacterium); GO:0055114 (oxidation-reduction process)</t>
  </si>
  <si>
    <t xml:space="preserve">Degenerin deg-1 </t>
  </si>
  <si>
    <t xml:space="preserve">Serine/threonine-protein kinase sma-6 </t>
  </si>
  <si>
    <t>GO:0016020 (membrane); GO:0016021 (integral component of membrane); GO:0005524 (ATP binding); GO:0004672 (protein kinase activity); GO:0004674 (protein serine/threonine kinase activity); GO:0006468 (protein phosphorylation); GO:0016301 (kinase activity); GO:0016310 (phosphorylation); GO:0005886 (plasma membrane); GO:0000166 (nucleotide binding); GO:0016740 (transferase activity); GO:0007275 (multicellular organism development); GO:0005515 (protein binding); GO:0004675 (transmembrane receptor protein serine/threonine kinase activity); GO:0007178 (transmembrane receptor protein serine/threonine kinase signaling pathway); GO:0043235 (receptor complex); GO:0030509 (BMP signaling pathway); GO:0046332 (SMAD binding); GO:0030511 (positive regulation of transforming growth factor beta receptor signaling pathway); GO:0050830 (defense response to Gram-positive bacterium); GO:0005025 (transforming growth factor beta receptor activity, type I); GO:0005634 (nucleus); GO:0045087 (innate immune response); GO:0050832 (defense response to fungus); GO:0000003 (reproduction); GO:0045944 (positive regulation of transcription by RNA polymerase II); GO:0040024 (dauer larval development); GO:0040018 (positive regulation of multicellular organism growth); GO:0045138 (nematode male tail tip morphogenesis); GO:0030155 (regulation of cell adhesion); GO:0022604 (regulation of cell morphogenesis); GO:0036122 (BMP binding); GO:0045732 (positive regulation of protein catabolic process); GO:0051457 (maintenance of protein location in nucleus); GO:0009953 (dorsal/ventral pattern formation); GO:0071363 (cellular response to growth factor stimulus)</t>
  </si>
  <si>
    <t xml:space="preserve">Molybdenum cofactor sulfurase </t>
  </si>
  <si>
    <t>GO:0008265 (Mo-molybdopterin cofactor sulfurase activity); GO:0030151 (molybdenum ion binding); GO:0006777 (Mo-molybdopterin cofactor biosynthetic process); GO:0030170 (pyridoxal phosphate binding); GO:0003824 (catalytic activity)</t>
  </si>
  <si>
    <t xml:space="preserve">Putative potassium channel regulatory protein sup-10 </t>
  </si>
  <si>
    <t>GO:0016020 (membrane); GO:0016021 (integral component of membrane); GO:0006811 (ion transport); GO:0006813 (potassium ion transport); GO:0006937 (regulation of muscle contraction); GO:0005887 (integral component of plasma membrane); GO:0015459 (potassium channel regulator activity); GO:0043266 (regulation of potassium ion transport); GO:0055120 (striated muscle dense body)</t>
  </si>
  <si>
    <t xml:space="preserve">Tyrosine-protein phosphatase Lar-like </t>
  </si>
  <si>
    <t>GO:0016311 (dephosphorylation); GO:0006470 (protein dephosphorylation); GO:0004725 (protein tyrosine phosphatase activity); GO:0016791 (phosphatase activity); GO:0005515 (protein binding); GO:0016787 (hydrolase activity); GO:0035335 (peptidyl-tyrosine dephosphorylation); GO:0004721 (phosphoprotein phosphatase activity); GO:0007369 (gastrulation); GO:0010172 (embryonic body morphogenesis); GO:0045202 (synapse); GO:0007416 (synapse assembly); GO:0005912 (adherens junction); GO:0035418 (protein localization to synapse); GO:0008544 (epidermis development); GO:0008045 (motor neuron axon guidance); GO:0005001 (transmembrane receptor protein tyrosine phosphatase activity); GO:0016020 (membrane); GO:0016021 (integral component of membrane)</t>
  </si>
  <si>
    <t xml:space="preserve">Putative protein-tyrosine sulfotransferase </t>
  </si>
  <si>
    <t>GO:0016740 (transferase activity); GO:0005794 (Golgi apparatus); GO:0003674 (molecular_function); GO:0005575 (cellular_component); GO:0008146 (sulfotransferase activity); GO:0006478 (peptidyl-tyrosine sulfation); GO:0008476 (protein-tyrosine sulfotransferase activity); GO:0018215 (protein phosphopantetheinylation)</t>
  </si>
  <si>
    <t xml:space="preserve">Synapsin </t>
  </si>
  <si>
    <t>GO:0005524 (ATP binding); GO:0000166 (nucleotide binding); GO:0046872 (metal ion binding); GO:0030054 (cell junction); GO:0045202 (synapse); GO:0007269 (neurotransmitter secretion); GO:0030672 (synaptic vesicle membrane); GO:0008021 (synaptic vesicle); GO:0036062 (presynaptic periactive zone); GO:0007274 (neuromuscular synaptic transmission); GO:0005515 (protein binding)</t>
  </si>
  <si>
    <t xml:space="preserve">Bardet-Biedl syndrome 2 protein homolog </t>
  </si>
  <si>
    <t>GO:1905515 (non-motile cilium assembly); GO:0034464 (BBSome); GO:0005515 (protein binding)</t>
  </si>
  <si>
    <t xml:space="preserve">Putative transporter B0361.11 </t>
  </si>
  <si>
    <t>GO:0016020 (membrane); GO:0016021 (integral component of membrane); GO:0022857 (transmembrane transporter activity); GO:0055085 (transmembrane transport); GO:0008643 (carbohydrate transport)</t>
  </si>
  <si>
    <t>GO:0003824 (catalytic activity); GO:0005739 (mitochondrion); GO:0016491 (oxidoreductase activity); GO:0050660 (flavin adenine dinucleotide binding); GO:0071949 (FAD binding); GO:0004458 (D-lactate dehydrogenase (cytochrome) activity); GO:0008720 (D-lactate dehydrogenase activity); GO:1903457 (lactate catabolic process); GO:0055114 (oxidation-reduction process)</t>
  </si>
  <si>
    <t xml:space="preserve">Bestrophin homolog 15 </t>
  </si>
  <si>
    <t>Phosphatidylserine decarboxylase proenzyme, mitochondrial Phosphatidylserine decarboxylase beta chain Phosphatidylserine decarboxylase alpha chain</t>
  </si>
  <si>
    <t>GO:0004609 (phosphatidylserine decarboxylase activity); GO:0005739 (mitochondrion); GO:0008654 (phospholipid biosynthetic process)</t>
  </si>
  <si>
    <t xml:space="preserve">Ubiquitin-like protein </t>
  </si>
  <si>
    <t>GO:0016020 (membrane); GO:0005886 (plasma membrane)</t>
  </si>
  <si>
    <t xml:space="preserve">GDP-D-glucose phosphorylase 1 </t>
  </si>
  <si>
    <t>GO:0080048 (GDP-D-glucose phosphorylase activity)</t>
  </si>
  <si>
    <t xml:space="preserve">Dual specificity mitogen-activated protein kinase kinase jkk-1 </t>
  </si>
  <si>
    <t xml:space="preserve">SUlfite OXidase </t>
  </si>
  <si>
    <t>GO:0046872 (metal ion binding); GO:0005739 (mitochondrion); GO:0016491 (oxidoreductase activity); GO:0020037 (heme binding); GO:0030151 (molybdenum ion binding); GO:0006790 (sulfur compound metabolic process); GO:0008482 (sulfite oxidase activity); GO:0043546 (molybdopterin cofactor binding); GO:0055114 (oxidation-reduction process)</t>
  </si>
  <si>
    <t xml:space="preserve">FMRF-Like Peptide; FMRFamide-like peptide 12 </t>
  </si>
  <si>
    <t xml:space="preserve">CyPIN (Guanine aminohydrolase) homolog </t>
  </si>
  <si>
    <t>GO:0016787 (hydrolase activity); GO:0016810 (hydrolase activity, acting on carbon-nitrogen (but not peptide) bonds)</t>
  </si>
  <si>
    <t>GO:0005634 (nucleus); GO:0003677 (DNA binding); GO:0046872 (metal ion binding); GO:0006357 (regulation of transcription by RNA polymerase II)</t>
  </si>
  <si>
    <t>GO:0005524 (ATP binding); GO:0016787 (hydrolase activity); GO:0004386 (helicase activity)</t>
  </si>
  <si>
    <t xml:space="preserve">Aquaporin </t>
  </si>
  <si>
    <t>GO:0016020 (membrane); GO:0016021 (integral component of membrane); GO:0055085 (transmembrane transport); GO:0005737 (cytoplasm); GO:0015267 (channel activity)</t>
  </si>
  <si>
    <t xml:space="preserve">RIM Binding protein </t>
  </si>
  <si>
    <t>GO:0005515 (protein binding); GO:0007274 (neuromuscular synaptic transmission); GO:0045202 (synapse)</t>
  </si>
  <si>
    <t xml:space="preserve">Serine/threonine-protein kinase pak-1 </t>
  </si>
  <si>
    <t xml:space="preserve">Probable type I inositol 1,4,5-trisphosphate 5-phosphatase </t>
  </si>
  <si>
    <t>GO:0004445 (inositol-polyphosphate 5-phosphatase activity); GO:0046856 (phosphatidylinositol dephosphorylation); GO:0016787 (hydrolase activity); GO:0052658 (inositol-1,4,5-trisphosphate 5-phosphatase activity); GO:0052659 (inositol-1,3,4,5-tetrakisphosphate 5-phosphatase activity)</t>
  </si>
  <si>
    <t xml:space="preserve">Presenilin sel-12 </t>
  </si>
  <si>
    <t>GO:0018991 (oviposition); GO:0007399 (nervous system development); GO:0016485 (protein processing); GO:0004190 (aspartic-type endopeptidase activity); GO:0016021 (integral component of membrane)</t>
  </si>
  <si>
    <t xml:space="preserve">Major sperm protein 3 </t>
  </si>
  <si>
    <t>GO:0005886 (plasma membrane); GO:0005739 (mitochondrion); GO:0016491 (oxidoreductase activity); GO:0005811 (lipid droplet); GO:0009247 (glycolipid biosynthetic process); GO:0055114 (oxidation-reduction process)</t>
  </si>
  <si>
    <t xml:space="preserve">ZO-1 (Zonula Occludens tight junctional protein) Ortholog </t>
  </si>
  <si>
    <t>GO:0005886 (plasma membrane); GO:0098609 (cell-cell adhesion); GO:0050839 (cell adhesion molecule binding); GO:0009792 (embryo development ending in birth or egg hatching); GO:0048598 (embryonic morphogenesis); GO:0005912 (adherens junction); GO:0007015 (actin filament organization); GO:0005923 (bicellular tight junction); GO:0045216 (cell-cell junction organization); GO:0005515 (protein binding); GO:0150105 (protein localization to cell-cell junction)</t>
  </si>
  <si>
    <t>GO:0016491 (oxidoreductase activity); GO:0016616 (oxidoreductase activity, acting on the CH-OH group of donors, NAD or NADP as acceptor); GO:0051287 (NAD binding); GO:0004617 (phosphoglycerate dehydrogenase activity); GO:0055114 (oxidation-reduction process)</t>
  </si>
  <si>
    <t xml:space="preserve">Furin-like protease kpc-1 </t>
  </si>
  <si>
    <t xml:space="preserve">HMG; High mobility group protein 1.1 </t>
  </si>
  <si>
    <t>GO:0000976 (transcription regulatory region sequence-specific DNA binding); GO:0006357 (regulation of transcription by RNA polymerase II); GO:0008301 (DNA binding, bending)</t>
  </si>
  <si>
    <t xml:space="preserve">Anion transporter SULP-7a; SULfate Permease family </t>
  </si>
  <si>
    <t>GO:0003674 (molecular_function); GO:0005575 (cellular_component); GO:0005515 (protein binding)</t>
  </si>
  <si>
    <t>Myelin regulatory factor homolog 1 Myelin regulatory factor homolog 1, N-terminal Myelin regulatory factor homolog 1, C-terminal</t>
  </si>
  <si>
    <t>GO:0016540 (protein autoprocessing); GO:0003700 (DNA-binding transcription factor activity); GO:0006355 (regulation of transcription, DNA-templated); GO:0003677 (DNA binding)</t>
  </si>
  <si>
    <t>GO:0003824 (catalytic activity); GO:0030170 (pyridoxal phosphate binding); GO:0008483 (transaminase activity)</t>
  </si>
  <si>
    <t>GO:0003677 (DNA binding); GO:0005634 (nucleus); GO:0006355 (regulation of transcription, DNA-templated); GO:0006357 (regulation of transcription by RNA polymerase II); GO:0000981 (DNA-binding transcription factor activity, RNA polymerase II-specific); GO:0000977 (RNA polymerase II transcription regulatory region sequence-specific DNA binding)</t>
  </si>
  <si>
    <t>GO:0007030 (Golgi organization); GO:0000139 (Golgi membrane); GO:0043001 (Golgi to plasma membrane protein transport)</t>
  </si>
  <si>
    <t xml:space="preserve">Mannosyl-oligosaccharide 1,2-alpha-mannosidase C52E4.5 </t>
  </si>
  <si>
    <t>GO:0016020 (membrane); GO:0016021 (integral component of membrane); GO:0005509 (calcium ion binding); GO:0004571 (mannosyl-oligosaccharide 1,2-alpha-mannosidase activity); GO:0008152 (metabolic process); GO:0016787 (hydrolase activity); GO:0016798 (hydrolase activity, acting on glycosyl bonds); GO:0046872 (metal ion binding); GO:0005975 (carbohydrate metabolic process); GO:0006486 (protein glycosylation); GO:0005783 (endoplasmic reticulum); GO:0000139 (Golgi membrane); GO:0006491 (N-glycan processing)</t>
  </si>
  <si>
    <t>GO:0005524 (ATP binding); GO:0000166 (nucleotide binding); GO:0005737 (cytoplasm); GO:0005829 (cytosol); GO:0016887 (ATPase activity); GO:0005777 (peroxisome); GO:0005778 (peroxisomal membrane); GO:0016558 (protein import into peroxisome matrix); GO:0007031 (peroxisome organization); GO:0006625 (protein targeting to peroxisome)</t>
  </si>
  <si>
    <t xml:space="preserve">Nicotinamide-nucleotide adenylyltransferase </t>
  </si>
  <si>
    <t>GO:0003824 (catalytic activity); GO:0000166 (nucleotide binding); GO:0016740 (transferase activity); GO:0005524 (ATP binding); GO:0016779 (nucleotidyltransferase activity); GO:0009058 (biosynthetic process); GO:0009435 (NAD biosynthetic process); GO:0000309 (nicotinamide-nucleotide adenylyltransferase activity); GO:0004515 (nicotinate-nucleotide adenylyltransferase activity); GO:0019363 (pyridine nucleotide biosynthetic process)</t>
  </si>
  <si>
    <t xml:space="preserve">E3 ubiquitin-protein ligase arc-1 </t>
  </si>
  <si>
    <t>GO:0005525 (GTP binding); GO:0005886 (plasma membrane); GO:0046872 (metal ion binding); GO:0000166 (nucleotide binding); GO:0016740 (transferase activity); GO:0016567 (protein ubiquitination); GO:0006886 (intracellular protein transport); GO:0008270 (zinc ion binding); GO:0016192 (vesicle-mediated transport); GO:0005575 (cellular_component); GO:0008150 (biological_process)</t>
  </si>
  <si>
    <t xml:space="preserve">Flavin-containing monooxygenase </t>
  </si>
  <si>
    <t>GO:0016020 (membrane); GO:0016491 (oxidoreductase activity); GO:0050660 (flavin adenine dinucleotide binding); GO:0004497 (monooxygenase activity); GO:0004499 (N,N-dimethylaniline monooxygenase activity); GO:0050661 (NADP binding); GO:0005783 (endoplasmic reticulum); GO:0005789 (endoplasmic reticulum membrane); GO:0043231 (intracellular membrane-bounded organelle); GO:0016174 (NAD(P)H oxidase H2O2-forming activity); GO:0055114 (oxidation-reduction process); GO:0106294 (NADPH oxidase H202-forming activity)</t>
  </si>
  <si>
    <t xml:space="preserve">TRPA cation channel homolog </t>
  </si>
  <si>
    <t>GO:0016020 (membrane); GO:0016021 (integral component of membrane); GO:0015002 (heme-copper terminal oxidase activity)</t>
  </si>
  <si>
    <t xml:space="preserve">Inactive tyrosine-protein kinase kin-32 </t>
  </si>
  <si>
    <t>GO:0005925 (focal adhesion); GO:0007172 (signal complex assembly); GO:0004713 (protein tyrosine kinase activity); GO:0004672 (protein kinase activity); GO:0005856 (cytoskeleton); GO:0006468 (protein phosphorylation); GO:0005524 (ATP binding)</t>
  </si>
  <si>
    <t xml:space="preserve">VAB-19 </t>
  </si>
  <si>
    <t>GO:0005737 (cytoplasm); GO:0005856 (cytoskeleton); GO:0030837 (negative regulation of actin filament polymerization); GO:0009792 (embryo development ending in birth or egg hatching); GO:0048598 (embryonic morphogenesis); GO:0005515 (protein binding); GO:0008104 (protein localization); GO:0005911 (cell-cell junction); GO:0030036 (actin cytoskeleton organization); GO:0030056 (hemidesmosome); GO:0005882 (intermediate filament); GO:0045217 (cell-cell junction maintenance); GO:0030055 (cell-substrate junction)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</si>
  <si>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GO:0006813 (potassium ion transport); GO:0006937 (regulation of muscle contraction); GO:0055120 (striated muscle dense body); GO:0036195 (muscle cell projection membrane)</t>
  </si>
  <si>
    <t xml:space="preserve">Spectrin beta chain </t>
  </si>
  <si>
    <t>GO:0005737 (cytoplasm); GO:0003779 (actin binding); GO:0005856 (cytoskeleton); GO:0005200 (structural constituent of cytoskeleton); GO:0005543 (phospholipid binding); GO:0007010 (cytoskeleton organization); GO:0008091 (spectrin); GO:0051693 (actin filament capping); GO:0002119 (nematode larval development); GO:0010172 (embryonic body morphogenesis); GO:0031674 (I band); GO:0040012 (regulation of locomotion); GO:0031430 (M band); GO:0016358 (dendrite development); GO:0046716 (muscle cell cellular homeostasis); GO:0048666 (neuron development); GO:0016328 (lateral plasma membrane); GO:0030054 (cell junction); GO:0005515 (protein binding)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</si>
  <si>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GO:0004989 (octopamine receptor activity); GO:0071927 (octopamine signaling pathway); GO:1904122 (positive regulation of fatty acid beta-oxidation by octopamine signaling pathway); GO:0045202 (synapse)</t>
  </si>
  <si>
    <t>GO:0003677 (DNA binding); GO:0005634 (nucleus); GO:0005737 (cytoplasm); GO:0005515 (protein binding); GO:0000978 (RNA polymerase II cis-regulatory region sequence-specific DNA binding); GO:0000981 (DNA-binding transcription factor activity, RNA polymerase II-specific); GO:0006357 (regulation of transcription by RNA polymerase II); GO:0006338 (chromatin remodeling); GO:0044877 (protein-containing complex binding); GO:0005829 (cytosol); GO:0019899 (enzyme binding); GO:0000785 (chromatin); GO:0009792 (embryo development ending in birth or egg hatching); GO:0051087 (chaperone binding); GO:0005667 (transcription regulator complex); GO:0034514 (mitochondrial unfolded protein response); GO:0045088 (regulation of innate immune response)</t>
  </si>
  <si>
    <t>GO:0071805 (potassium ion transmembrane transport); GO:0005267 (potassium channel activity); GO:0016020 (membrane); GO:0016021 (integral component of membrane); GO:0006811 (ion transport)</t>
  </si>
  <si>
    <t xml:space="preserve">Myosin regulatory light chain 2 </t>
  </si>
  <si>
    <t>GO:0000166 (nucleotide binding); GO:0016491 (oxidoreductase activity); GO:0005524 (ATP binding); GO:0005777 (peroxisome); GO:0006631 (fatty acid metabolic process); GO:0005515 (protein binding); GO:0016627 (oxidoreductase activity, acting on the CH-CH group of donors); GO:0050660 (flavin adenine dinucleotide binding); GO:0006629 (lipid metabolic process); GO:0071949 (FAD binding); GO:0042811 (pheromone biosynthetic process); GO:1904070 (ascaroside biosynthetic process); GO:0055088 (lipid homeostasis); GO:0006635 (fatty acid beta-oxidation); GO:0003997 (acyl-CoA oxidase activity); GO:0005504 (fatty acid binding); GO:0033540 (fatty acid beta-oxidation using acyl-CoA oxidase); GO:0055114 (oxidation-reduction process)</t>
  </si>
  <si>
    <t xml:space="preserve">Nuclear hormone receptor family member nhr-103 </t>
  </si>
  <si>
    <t xml:space="preserve">SPermiDine Synthase </t>
  </si>
  <si>
    <t>GO:0003824 (catalytic activity); GO:0016740 (transferase activity); GO:0004766 (spermidine synthase activity); GO:0006595 (polyamine metabolic process); GO:0006596 (polyamine biosynthetic process); GO:0008295 (spermidine biosynthetic process)</t>
  </si>
  <si>
    <t xml:space="preserve">Cystathionine Beta-Synthase </t>
  </si>
  <si>
    <t>GO:0005737 (cytoplasm); GO:0030170 (pyridoxal phosphate binding); GO:0019346 (transsulfuration); GO:0070814 (hydrogen sulfide biosynthetic process); GO:0004122 (cystathionine beta-synthase activity); GO:0004124 (cysteine synthase activity); GO:0044272 (sulfur compound biosynthetic process); GO:0019344 (cysteine biosynthetic process)</t>
  </si>
  <si>
    <t xml:space="preserve">Sterol regulatory element Binding Protein </t>
  </si>
  <si>
    <t>GO:0016020 (membrane); GO:0016021 (integral component of membrane); GO:0005634 (nucleus);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GO:0005515 (protein binding); GO:0010884 (positive regulation of lipid storage); GO:0003700 (DNA-binding transcription factor activity); GO:0040011 (locomotion); GO:0045944 (positive regulation of transcription by RNA polymerase II); GO:0008340 (determination of adult lifespan); GO:0010468 (regulation of gene expression); GO:0040014 (regulation of multicellular organism growth); GO:0034059 (response to anoxia)</t>
  </si>
  <si>
    <t>GO:0016020 (membrane); GO:0016021 (integral component of membrane); GO:0004930 (G protein-coupled receptor activity); GO:0007186 (G protein-coupled receptor signaling pathway); GO:0006937 (regulation of muscle contraction)</t>
  </si>
  <si>
    <t>GO:0006508 (proteolysis); GO:0008235 (metalloexopeptidase activity)</t>
  </si>
  <si>
    <t>GO:0005813 (centrosome); GO:0005929 (cilium); GO:0030992 (intraciliary transport particle B); GO:0031514 (motile cilium); GO:0042073 (intraciliary transport); GO:0048487 (beta-tubulin binding); GO:0060271 (cilium assembly); GO:0035735 (intraciliary transport involved in cilium assembly); GO:0005515 (protein binding); GO:0006935 (chemotaxis); GO:0035264 (multicellular organism growth); GO:0050906 (detection of stimulus involved in sensory perception); GO:0097730 (non-motile cilium)</t>
  </si>
  <si>
    <t xml:space="preserve">SWI/SNF nucleosome remodeling complex component; SWI2/SNF2-like protein </t>
  </si>
  <si>
    <t>GO:0005634 (nucleus); GO:0005524 (ATP binding); GO:0016787 (hydrolase activity); GO:0004386 (helicase activity); GO:0000166 (nucleotide binding); GO:0006355 (regulation of transcription, DNA-templated); GO:0045944 (positive regulation of transcription by RNA polymerase II); GO:0008134 (transcription factor binding); GO:0003677 (DNA binding); GO:0008406 (gonad development); GO:0043044 (ATP-dependent chromatin remodeling); GO:0042393 (histone binding); GO:0008094 (DNA-dependent ATPase activity); GO:0005515 (protein binding); GO:0070615 (nucleosome-dependent ATPase activity)</t>
  </si>
  <si>
    <t xml:space="preserve">Uncharacterized oxidoreductase dhs-27 </t>
  </si>
  <si>
    <t xml:space="preserve">Putative G-protein coupled receptor-like protein B0244.6 </t>
  </si>
  <si>
    <t xml:space="preserve">PolyKetide Synthase </t>
  </si>
  <si>
    <t>GO:0003824 (catalytic activity); GO:0016740 (transferase activity); GO:0016874 (ligase activity); GO:0016746 (transferase activity, transferring acyl groups); GO:0009058 (biosynthetic process); GO:0031177 (phosphopantetheine binding); GO:0006633 (fatty acid biosynthetic process); GO:0006631 (fatty acid metabolic process); GO:0004315 (3-oxoacyl-[acyl-carrier-protein] synthase activity); GO:0016788 (hydrolase activity, acting on ester bonds); GO:0004312 (fatty acid synthase activity); GO:0004320 (oleoyl-[acyl-carrier-protein] hydrolase activity); GO:0016295 (myristoyl-[acyl-carrier-protein] hydrolase activity); GO:0016296 (palmitoyl-[acyl-carrier-protein] hydrolase activity); GO:0016297 (acyl-[acyl-carrier-protein] hydrolase activity)</t>
  </si>
  <si>
    <t xml:space="preserve">Muscle M-line assembly protein unc-89 </t>
  </si>
  <si>
    <t>GO:0005524 (ATP binding); GO:0004672 (protein kinase activity); GO:0006468 (protein phosphorylation); GO:0005737 (cytoplasm); GO:0005887 (integral component of plasma membrane); GO:0005515 (protein binding); GO:0005085 (guanyl-nucleotide exchange factor activity); GO:0050790 (regulation of catalytic activity); GO:0010628 (positive regulation of gene expression); GO:0034613 (cellular protein localization); GO:0040017 (positive regulation of locomotion); GO:1905905 (pharyngeal gland morphogenesis); GO:0031430 (M band); GO:0045989 (positive regulation of striated muscle contraction); GO:0071688 (striated muscle myosin thick filament assembly); GO:0090736 (MATH domain binding); GO:0031672 (A band); GO:0019902 (phosphatase binding); GO:0030241 (skeletal muscle myosin thick filament assembly); GO:0031034 (myosin filament assembly); GO:0031267 (small GTPase binding)</t>
  </si>
  <si>
    <t xml:space="preserve">Putative RNA-binding protein EEED8.4 </t>
  </si>
  <si>
    <t>GO:0005525 (GTP binding); GO:0005634 (nucleus); GO:0003924 (GTPase activity); GO:0005829 (cytosol)</t>
  </si>
  <si>
    <t>GO:0005515 (protein binding); GO:0046983 (protein dimerization activity); GO:0000978 (RNA polymerase II cis-regulatory region sequence-specific DNA binding); GO:0005667 (transcription regulator complex); GO:0000981 (DNA-binding transcription factor activity, RNA polymerase II-specific); GO:0006357 (regulation of transcription by RNA polymerase II); GO:0000977 (RNA polymerase II transcription regulatory region sequence-specific DNA binding); GO:0009792 (embryo development ending in birth or egg hatching); GO:0002119 (nematode larval development); GO:0005634 (nucleus); GO:0005737 (cytoplasm); GO:0000003 (reproduction); GO:0008406 (gonad development); GO:0001708 (cell fate specification); GO:0040025 (vulval development); GO:0045944 (positive regulation of transcription by RNA polymerase II); GO:0043565 (sequence-specific DNA binding); GO:0042803 (protein homodimerization activity); GO:0045138 (nematode male tail tip morphogenesis); GO:0043068 (positive regulation of programmed cell death); GO:0010171 (body morphogenesis); GO:0048666 (neuron development); GO:0035262 (gonad morphogenesis); GO:0014018 (neuroblast fate specification); GO:0090575 (RNA polymerase II transcription regulator complex); GO:0043425 (bHLH transcription factor binding); GO:0046982 (protein heterodimerization activity)</t>
  </si>
  <si>
    <t xml:space="preserve">Innexin-19 </t>
  </si>
  <si>
    <t xml:space="preserve">Histone DeAcetylase </t>
  </si>
  <si>
    <t>GO:0004407 (histone deacetylase activity); GO:0016575 (histone deacetylation); GO:0033558 (protein deacetylase activity)</t>
  </si>
  <si>
    <t xml:space="preserve">ACTin </t>
  </si>
  <si>
    <t>GO:0030536 (larval feeding behavior); GO:1904000 (positive regulation of eating behavior); GO:0002119 (nematode larval development); GO:0035148 (tube formation); GO:1990357 (terminal web); GO:0030033 (microvillus assembly); GO:0097516 (microvillar actin bundle)</t>
  </si>
  <si>
    <t>GO:0016787 (hydrolase activity); GO:0008203 (cholesterol metabolic process); GO:0016042 (lipid catabolic process); GO:0016298 (lipase activity)</t>
  </si>
  <si>
    <t xml:space="preserve">Regulator of G-protein signaling rgs-5 </t>
  </si>
  <si>
    <t>GO:0005886 (plasma membrane); GO:0005739 (mitochondrion); GO:0008104 (protein localization); GO:0009968 (negative regulation of signal transduction)</t>
  </si>
  <si>
    <t xml:space="preserve">Spindly-like protein spdl-1 </t>
  </si>
  <si>
    <t>GO:0005737 (cytoplasm); GO:0005856 (cytoskeleton); GO:0005515 (protein binding); GO:0007049 (cell cycle); GO:0051301 (cell division); GO:0005694 (chromosome); GO:0000775 (chromosome, centromeric region); GO:0000776 (kinetochore); GO:0000777 (condensed chromosome kinetochore); GO:0000922 (spindle pole); GO:0007059 (chromosome segregation); GO:0034501 (protein localization to kinetochore); GO:0007079 (mitotic chromosome movement towards spindle pole); GO:0010696 (positive regulation of mitotic spindle pole body separation); GO:1901970 (positive regulation of mitotic sister chromatid separation); GO:1905561 (positive regulation of kinetochore assembly); GO:1905342 (positive regulation of protein localization to kinetochore); GO:0007094 (mitotic spindle assembly checkpoint); GO:0090268 (activation of mitotic cell cycle spindle assembly checkpoint); GO:1905824 (positive regulation of mitotic sister chromatid arm separation); GO:0009792 (embryo development ending in birth or egg hatching); GO:0005874 (microtubule); GO:0000070 (mitotic sister chromatid segregation); GO:0008608 (attachment of spindle microtubules to kinetochore); GO:1902423 (regulation of attachment of mitotic spindle microtubules to kinetochore)</t>
  </si>
  <si>
    <t xml:space="preserve">Nuclear hormone receptor family member nhr-53 </t>
  </si>
  <si>
    <t xml:space="preserve">UTX (Ubiquitously transcribed TPR on X) homolog </t>
  </si>
  <si>
    <t>GO:0005634 (nucleus); GO:0000978 (RNA polymerase II cis-regulatory region sequence-specific DNA binding); GO:0001708 (cell fate specification); GO:0031490 (chromatin DNA binding); GO:0044666 (MLL3/4 complex); GO:0071558 (histone demethylase activity (H3-K27 specific)); GO:0010468 (regulation of gene expression); GO:0071557 (histone H3-K27 demethylation); GO:0005515 (protein binding)</t>
  </si>
  <si>
    <t xml:space="preserve">Mitogen-activated protein kinase kinase kinase nsy-1 </t>
  </si>
  <si>
    <t>GO:0000165 (MAPK cascade); GO:0004672 (protein kinase activity); GO:0006468 (protein phosphorylation); GO:0005524 (ATP binding); GO:0016301 (kinase activity); GO:0016310 (phosphorylation); GO:0046872 (metal ion binding); GO:0000166 (nucleotide binding); GO:0004674 (protein serine/threonine kinase activity); GO:0000186 (activation of MAPKK activity); GO:0004709 (MAP kinase kinase kinase activity); GO:0106310 (protein serine kinase activity); GO:0106311 (protein threonine kinase activity)</t>
  </si>
  <si>
    <t xml:space="preserve">Cysteine dioxygenase 1 </t>
  </si>
  <si>
    <t>GO:0016702 (oxidoreductase activity, acting on single donors with incorporation of molecular oxygen, incorporation of two atoms of oxygen); GO:0005506 (iron ion binding); GO:0055114 (oxidation-reduction process)</t>
  </si>
  <si>
    <t xml:space="preserve">LYSosomal Trafficking regulator protein </t>
  </si>
  <si>
    <t>GO:0016020 (membrane); GO:0005829 (cytosol); GO:0019901 (protein kinase binding); GO:0008104 (protein localization)</t>
  </si>
  <si>
    <t>GO:0008270 (zinc ion binding); GO:0046872 (metal ion binding); GO:0005515 (protein binding); GO:0019904 (protein domain specific binding); GO:0031430 (M band)</t>
  </si>
  <si>
    <t>GO:0005764 (lysosome); GO:0016787 (hydrolase activity); GO:0006508 (proteolysis); GO:0008233 (peptidase activity); GO:0004190 (aspartic-type endopeptidase activity); GO:0008219 (cell death); GO:0045087 (innate immune response)</t>
  </si>
  <si>
    <t>GO:0016020 (membrane); GO:0016021 (integral component of membrane); GO:0005737 (cytoplasm); GO:0005739 (mitochondrion); GO:0061668 (mitochondrial ribosome assembly)</t>
  </si>
  <si>
    <t xml:space="preserve">Uncharacterized serine carboxypeptidase F32A5.3 </t>
  </si>
  <si>
    <t xml:space="preserve">Homeobox protein unc-62 </t>
  </si>
  <si>
    <t>GO:0003677 (DNA binding); GO:0005634 (nucleus); GO:0006355 (regulation of transcription, DNA-templated); GO:0007275 (multicellular organism development); GO:0005515 (protein binding); GO:0000978 (RNA polymerase II cis-regulatory region sequence-specific DNA binding); GO:0000981 (DNA-binding transcription factor activity, RNA polymerase II-specific); GO:0006357 (regulation of transcription by RNA polymerase II); GO:0000785 (chromatin); GO:0007501 (mesodermal cell fate specification); GO:0042692 (muscle cell differentiation); GO:0045727 (positive regulation of translation); GO:0055088 (lipid homeostasis)</t>
  </si>
  <si>
    <t xml:space="preserve">Neuropeptide-like protein 68 </t>
  </si>
  <si>
    <t xml:space="preserve">G-protein coupled receptor aex-2 </t>
  </si>
  <si>
    <t>GO:0008188 (neuropeptide receptor activity); GO:0007218 (neuropeptide signaling pathway); GO:0004930 (G protein-coupled receptor activity); GO:0007186 (G protein-coupled receptor signaling pathway); GO:0016021 (integral component of membrane)</t>
  </si>
  <si>
    <t xml:space="preserve">Probable methionine synthase </t>
  </si>
  <si>
    <t>GO:0031419 (cobalamin binding); GO:0009086 (methionine biosynthetic process); GO:0008705 (methionine synthase activity); GO:0044237 (cellular metabolic process); GO:0042558 (pteridine-containing compound metabolic process); GO:0046872 (metal ion binding); GO:0008270 (zinc ion binding)</t>
  </si>
  <si>
    <t xml:space="preserve">Kinesin-like protein klp-3 </t>
  </si>
  <si>
    <t xml:space="preserve">Kinesin associated protein kap-1; Kinesin-Associated Protein </t>
  </si>
  <si>
    <t>GO:0007018 (microtubule-based movement); GO:0035720 (intraciliary anterograde transport); GO:1902856 (negative regulation of non-motile cilium assembly); GO:1902857 (positive regulation of non-motile cilium assembly); GO:0035869 (ciliary transition zone); GO:0097730 (non-motile cilium); GO:0005871 (kinesin complex); GO:0019894 (kinesin binding); GO:0005930 (axoneme); GO:0044782 (cilium organization); GO:0003777 (microtubule motor activity); GO:0030993 (axonemal heterotrimeric kinesin-II complex); GO:0016939 (kinesin II complex); GO:0005515 (protein binding)</t>
  </si>
  <si>
    <t xml:space="preserve">Zwei Ig domain protein zig-6 </t>
  </si>
  <si>
    <t>GO:0007155 (cell adhesion); GO:0005576 (extracellular region); GO:0005886 (plasma membrane); GO:0007411 (axon guidance); GO:0016020 (membrane); GO:0042592 (homeostatic process); GO:0005515 (protein binding)</t>
  </si>
  <si>
    <t xml:space="preserve">BAM-2 </t>
  </si>
  <si>
    <t>GO:0016020 (membrane); GO:0016021 (integral component of membrane); GO:0005886 (plasma membrane); GO:0042995 (cell projection); GO:0007399 (nervous system development); GO:0030424 (axon); GO:0005887 (integral component of plasma membrane)</t>
  </si>
  <si>
    <t xml:space="preserve">Sodium/nucleoside cotransporter </t>
  </si>
  <si>
    <t>GO:0016020 (membrane); GO:0016021 (integral component of membrane); GO:0005887 (integral component of plasma membrane); GO:0005337 (nucleoside transmembrane transporter activity); GO:0005415 (nucleoside:sodium symporter activity); GO:1901642 (nucleoside transmembrane transport); GO:0015293 (symporter activity)</t>
  </si>
  <si>
    <t xml:space="preserve">Uncharacterized integrin beta-like protein C05D9.3 </t>
  </si>
  <si>
    <t>GO:0016020 (membrane); GO:0016021 (integral component of membrane); GO:0007229 (integrin-mediated signaling pathway); GO:0005886 (plasma membrane)</t>
  </si>
  <si>
    <t xml:space="preserve">JC8.12-like protein </t>
  </si>
  <si>
    <t>GO:0016020 (membrane); GO:0016021 (integral component of membrane); GO:0055085 (transmembrane transport); GO:0005794 (Golgi apparatus); GO:0015297 (antiporter activity)</t>
  </si>
  <si>
    <t>GO:0005524 (ATP binding); GO:0016787 (hydrolase activity); GO:0004386 (helicase activity); GO:0000166 (nucleotide binding); GO:0006412 (translation); GO:0003676 (nucleic acid binding); GO:0003743 (translation initiation factor activity); GO:0002183 (cytoplasmic translational initiation); GO:0003724 (RNA helicase activity)</t>
  </si>
  <si>
    <t>GO:0005737 (cytoplasm); GO:0005634 (nucleus); GO:0000122 (negative regulation of transcription by RNA polymerase II); GO:0005654 (nucleoplasm); GO:0004861 (cyclin-dependent protein serine/threonine kinase inhibitor activity); GO:0017069 (snRNA binding); GO:0045736 (negative regulation of cyclin-dependent protein serine/threonine kinase activity); GO:0097322 (7SK snRNA binding)</t>
  </si>
  <si>
    <t xml:space="preserve">OCTopamine Receptor (GPCR) </t>
  </si>
  <si>
    <t>GO:0016020 (membrane); GO:0016021 (integral component of membrane); GO:0007268 (chemical synaptic transmission); GO:0004930 (G protein-coupled receptor activity); GO:0007165 (signal transduction); GO:0007186 (G protein-coupled receptor signaling pathway); GO:0005887 (integral component of plasma membrane); GO:0004993 (G protein-coupled serotonin receptor activity); GO:0007187 (G protein-coupled receptor signaling pathway, coupled to cyclic nucleotide second messenger); GO:0030425 (dendrite); GO:0030594 (neurotransmitter receptor activity); GO:0098664 (G protein-coupled serotonin receptor signaling pathway); GO:0045202 (synapse); GO:0045824 (negative regulation of innate immune response); GO:0004989 (octopamine receptor activity); GO:1900101 (regulation of endoplasmic reticulum unfolded protein response); GO:0071927 (octopamine signaling pathway)</t>
  </si>
  <si>
    <t xml:space="preserve">NonRibosomal Peptide Synthetase </t>
  </si>
  <si>
    <t>GO:0005737 (cytoplasm); GO:0003824 (catalytic activity); GO:0016874 (ligase activity); GO:0031177 (phosphopantetheine binding); GO:0043041 (amino acid activation for nonribosomal peptide biosynthetic process); GO:0044550 (secondary metabolite biosynthetic process); GO:0004312 (fatty acid synthase activity)</t>
  </si>
  <si>
    <t xml:space="preserve">MPS-3; MiRP K channel accessory Subunit </t>
  </si>
  <si>
    <t>GO:0016020 (membrane); GO:0016021 (integral component of membrane); GO:0015459 (potassium channel regulator activity); GO:0043266 (regulation of potassium ion transport); GO:0050920 (regulation of chemotaxis)</t>
  </si>
  <si>
    <t xml:space="preserve">MIB (MIndBomb) ubiquitin ligase homolog </t>
  </si>
  <si>
    <t>GO:0005737 (cytoplasm); GO:0016567 (protein ubiquitination); GO:0046872 (metal ion binding); GO:0016740 (transferase activity); GO:0016874 (ligase activity); GO:0007219 (Notch signaling pathway); GO:0004842 (ubiquitin-protein transferase activity); GO:0006897 (endocytosis); GO:0005515 (protein binding)</t>
  </si>
  <si>
    <t>GO:0030246 (carbohydrate binding); GO:0045087 (innate immune response); GO:0005737 (cytoplasm)</t>
  </si>
  <si>
    <t xml:space="preserve">M-phase inducer phosphatase cdc-25.2 </t>
  </si>
  <si>
    <t>GO:1902751 (positive regulation of cell cycle G2/M phase transition); GO:0006470 (protein dephosphorylation); GO:0004725 (protein tyrosine phosphatase activity); GO:0016787 (hydrolase activity); GO:0035335 (peptidyl-tyrosine dephosphorylation); GO:0007049 (cell cycle); GO:0004721 (phosphoprotein phosphatase activity); GO:0051301 (cell division)</t>
  </si>
  <si>
    <t xml:space="preserve">TIAM (Mammalian Tumor Invasion And Metastasis factor) homolog </t>
  </si>
  <si>
    <t>GO:0016020 (membrane); GO:0090630 (activation of GTPase activity); GO:0045202 (synapse); GO:0005085 (guanyl-nucleotide exchange factor activity); GO:0007264 (small GTPase mediated signal transduction); GO:0050772 (positive regulation of axonogenesis); GO:0030424 (axon); GO:0071944 (cell periphery); GO:0030426 (growth cone)</t>
  </si>
  <si>
    <t xml:space="preserve">MIF-like protein mif-2 </t>
  </si>
  <si>
    <t>GO:0005856 (cytoskeleton); GO:0005912 (adherens junction); GO:0008092 (cytoskeletal protein binding); GO:0031032 (actomyosin structure organization)</t>
  </si>
  <si>
    <t xml:space="preserve">Sodium: Neurotransmitter symporter Family </t>
  </si>
  <si>
    <t>GO:0016020 (membrane); GO:0016021 (integral component of membrane); GO:0005887 (integral component of plasma membrane); GO:0035725 (sodium ion transmembrane transport); GO:0015293 (symporter activity)</t>
  </si>
  <si>
    <t xml:space="preserve">Intermediate filament protein ifc-2 </t>
  </si>
  <si>
    <t>GO:0005882 (intermediate filament); GO:0005737 (cytoplasm); GO:0030057 (desmosome)</t>
  </si>
  <si>
    <t xml:space="preserve">Histone-lysine N-methyltransferase set-26 </t>
  </si>
  <si>
    <t>GO:0005634 (nucleus); GO:0008168 (methyltransferase activity); GO:0032259 (methylation); GO:0046872 (metal ion binding); GO:0016740 (transferase activity); GO:0046974 (histone methyltransferase activity (H3-K9 specific)); GO:0036124 (histone H3-K9 trimethylation); GO:0005515 (protein binding)</t>
  </si>
  <si>
    <t xml:space="preserve">Calexcitin-2 </t>
  </si>
  <si>
    <t xml:space="preserve">Putative peroxisome assembly protein 12 </t>
  </si>
  <si>
    <t>GO:0006625 (protein targeting to peroxisome); GO:0008022 (protein C-terminus binding); GO:0005779 (integral component of peroxisomal membrane); GO:0008270 (zinc ion binding)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</si>
  <si>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GO:0004713 (protein tyrosine kinase activity); GO:0004715 (non-membrane spanning protein tyrosine kinase activity); GO:0018108 (peptidyl-tyrosine phosphorylation); GO:0031234 (extrinsic component of cytoplasmic side of plasma membrane); GO:0005102 (signaling receptor binding); GO:0007169 (transmembrane receptor protein tyrosine kinase signaling pathway); GO:0030154 (cell differentiation); GO:0045087 (innate immune response)</t>
  </si>
  <si>
    <t>GO:0032008 (positive regulation of TOR signaling); GO:0005737 (cytoplasm); GO:0034198 (cellular response to amino acid starvation); GO:0005515 (protein binding)</t>
  </si>
  <si>
    <t xml:space="preserve">F58A3.1a; LIM Domain Binding protein </t>
  </si>
  <si>
    <t>GO:0005634 (nucleus); GO:0045944 (positive regulation of transcription by RNA polymerase II); GO:0005667 (transcription regulator complex); GO:0040026 (positive regulation of vulval development); GO:0000122 (negative regulation of transcription by RNA polymerase II); GO:0001102 (RNA polymerase II activating transcription factor binding); GO:0030274 (LIM domain binding); GO:0007399 (nervous system development); GO:0003700 (DNA-binding transcription factor activity); GO:0007638 (mechanosensory behavior); GO:0040011 (locomotion); GO:0040025 (vulval development); GO:0007416 (synapse assembly); GO:0034504 (protein localization to nucleus); GO:0140297 (DNA-binding transcription factor binding); GO:0006355 (regulation of transcription, DNA-templated)</t>
  </si>
  <si>
    <t>GO:0008340 (determination of adult lifespan); GO:0000978 (RNA polymerase II cis-regulatory region sequence-specific DNA binding); GO:0000981 (DNA-binding transcription factor activity, RNA polymerase II-specific); GO:0006357 (regulation of transcription by RNA polymerase II); GO:0000785 (chromatin); GO:0006915 (apoptotic process); GO:0044255 (cellular lipid metabolic process); GO:0043277 (apoptotic cell clearance); GO:0006805 (xenobiotic metabolic process)</t>
  </si>
  <si>
    <t xml:space="preserve">Sphingomyelin synthase-related 2 </t>
  </si>
  <si>
    <t>GO:0016020 (membrane); GO:0016021 (integral component of membrane); GO:0016740 (transferase activity); GO:0005887 (integral component of plasma membrane); GO:0006629 (lipid metabolic process); GO:0030173 (integral component of Golgi membrane); GO:0030176 (integral component of endoplasmic reticulum membrane); GO:0006665 (sphingolipid metabolic process); GO:0046513 (ceramide biosynthetic process); GO:0003674 (molecular_function); GO:0006686 (sphingomyelin biosynthetic process); GO:0033188 (sphingomyelin synthase activity); GO:0047493 (ceramide cholinephosphotransferase activity)</t>
  </si>
  <si>
    <t xml:space="preserve">Calponin Homology Domain containing Protein </t>
  </si>
  <si>
    <t>GO:0005856 (cytoskeleton); GO:0005886 (plasma membrane); GO:0005198 (structural molecule activity); GO:0003779 (actin binding); GO:0005912 (adherens junction); GO:0008092 (cytoskeletal protein binding); GO:0031032 (actomyosin structure organization); GO:0005515 (protein binding)</t>
  </si>
  <si>
    <t xml:space="preserve">Putative nudix hydrolase 2 </t>
  </si>
  <si>
    <t xml:space="preserve">Putative phosphatidylcholine:ceramide cholinephosphotransferase 3 </t>
  </si>
  <si>
    <t>GO:0016020 (membrane); GO:0016021 (integral component of membrane); GO:0016740 (transferase activity); GO:0005887 (integral component of plasma membrane); GO:0006629 (lipid metabolic process); GO:0030173 (integral component of Golgi membrane); GO:0030176 (integral component of endoplasmic reticulum membrane); GO:0006665 (sphingolipid metabolic process); GO:0046513 (ceramide biosynthetic process); GO:0006686 (sphingomyelin biosynthetic process); GO:0033188 (sphingomyelin synthase activity); GO:0047493 (ceramide cholinephosphotransferase activity)</t>
  </si>
  <si>
    <t xml:space="preserve">Grip (GRIP) and Coiled-Coil domain containing protein related </t>
  </si>
  <si>
    <t>GO:0005794 (Golgi apparatus)</t>
  </si>
  <si>
    <t xml:space="preserve">Calcium-dependent secretion activator </t>
  </si>
  <si>
    <t>GO:1990504 (dense core granule exocytosis); GO:0016079 (synaptic vesicle exocytosis); GO:0098793 (presynapse); GO:0043025 (neuronal cell body); GO:0018991 (oviposition); GO:0045202 (synapse); GO:0030424 (axon); GO:0001820 (serotonin secretion); GO:0007626 (locomotory behavior); GO:0046872 (metal ion binding); GO:0015031 (protein transport); GO:0031410 (cytoplasmic vesicle)</t>
  </si>
  <si>
    <t>GO:0005737 (cytoplasm); GO:0004674 (protein serine/threonine kinase activity); GO:0018107 (peptidyl-threonine phosphorylation); GO:0035556 (intracellular signal transduction); GO:0005856 (cytoskeleton); GO:0031032 (actomyosin structure organization)</t>
  </si>
  <si>
    <t>GO:0016020 (membrane); GO:0016021 (integral component of membrane); GO:0010181 (FMN binding); GO:0031591 (wybutosine biosynthetic process)</t>
  </si>
  <si>
    <t xml:space="preserve">SKR-3; SKp1 Related (Ubiquitin ligase complex component) </t>
  </si>
  <si>
    <t>GO:0005634 (nucleus); GO:0005737 (cytoplasm); GO:0006511 (ubiquitin-dependent protein catabolic process); GO:0016567 (protein ubiquitination); GO:0031146 (SCF-dependent proteasomal ubiquitin-dependent protein catabolic process); GO:0097602 (cullin family protein binding); GO:0045087 (innate immune response); GO:0050829 (defense response to Gram-negative bacterium)</t>
  </si>
  <si>
    <t xml:space="preserve">UNC-129 </t>
  </si>
  <si>
    <t>GO:0005576 (extracellular region); GO:0005615 (extracellular space); GO:0007399 (nervous system development); GO:0005125 (cytokine activity); GO:0008083 (growth factor activity); GO:0010862 (positive regulation of pathway-restricted SMAD protein phosphorylation); GO:0060395 (SMAD protein signal transduction); GO:0040011 (locomotion); GO:0005102 (signaling receptor binding); GO:0033563 (dorsal/ventral axon guidance); GO:0045138 (nematode male tail tip morphogenesis); GO:0043057 (backward locomotion); GO:0040039 (inductive cell migration); GO:0008045 (motor neuron axon guidance); GO:0005160 (transforming growth factor beta receptor binding)</t>
  </si>
  <si>
    <t xml:space="preserve">Vacuolar H ATPase </t>
  </si>
  <si>
    <t>GO:0006811 (ion transport); GO:0008553 (proton-exporting ATPase activity, phosphorylative mechanism); GO:1902600 (proton transmembrane transport); GO:0046961 (proton-transporting ATPase activity, rotational mechanism); GO:0033178 (proton-transporting two-sector ATPase complex, catalytic domain); GO:0005886 (plasma membrane); GO:0005737 (cytoplasm); GO:0016324 (apical plasma membrane)</t>
  </si>
  <si>
    <t xml:space="preserve">Voltage-dependent T-type calcium channel subunit alpha </t>
  </si>
  <si>
    <t>GO:0016020 (membrane); GO:0016021 (integral component of membrane); GO:0005216 (ion channel activity); GO:0006811 (ion transport); GO:0055085 (transmembrane transport); GO:0043005 (neuron projection); GO:0005245 (voltage-gated calcium channel activity); GO:0005891 (voltage-gated calcium channel complex); GO:0070588 (calcium ion transmembrane transport); GO:0005244 (voltage-gated ion channel activity); GO:0005262 (calcium channel activity); GO:0006816 (calcium ion transport); GO:0008332 (low voltage-gated calcium channel activity); GO:0019228 (neuronal action potential); GO:0034765 (regulation of ion transmembrane transport); GO:0070509 (calcium ion import); GO:0086010 (membrane depolarization during action potential); GO:0005886 (plasma membrane); GO:0035725 (sodium ion transmembrane transport); GO:0005261 (cation channel activity); GO:0043051 (regulation of pharyngeal pumping); GO:0045760 (positive regulation of action potential); GO:0051899 (membrane depolarization); GO:0005248 (voltage-gated sodium channel activity); GO:0001518 (voltage-gated sodium channel complex)</t>
  </si>
  <si>
    <t>GO:0003824 (catalytic activity); GO:0016787 (hydrolase activity); GO:0005829 (cytosol); GO:0006749 (glutathione metabolic process); GO:0017168 (5-oxoprolinase (ATP-hydrolyzing) activity)</t>
  </si>
  <si>
    <t>GO:0005829 (cytosol); GO:0019888 (protein phosphatase regulator activity); GO:0032515 (negative regulation of phosphoprotein phosphatase activity); GO:0080163 (regulation of protein serine/threonine phosphatase activity); GO:0008287 (protein serine/threonine phosphatase complex)</t>
  </si>
  <si>
    <t xml:space="preserve">Kinesin-like protein klp-20 </t>
  </si>
  <si>
    <t xml:space="preserve">Rhomboid-related protein 2 </t>
  </si>
  <si>
    <t>GO:0016020 (membrane); GO:0016021 (integral component of membrane); GO:0005509 (calcium ion binding); GO:0046872 (metal ion binding); GO:0004252 (serine-type endopeptidase activity); GO:0006508 (proteolysis)</t>
  </si>
  <si>
    <t xml:space="preserve">KALlmann syndrome homolog </t>
  </si>
  <si>
    <t>GO:0005576 (extracellular region); GO:0030414 (peptidase inhibitor activity); GO:0030182 (neuron differentiation); GO:0009986 (cell surface); GO:0009792 (embryo development ending in birth or egg hatching); GO:0048598 (embryonic morphogenesis); GO:0001764 (neuron migration); GO:0045138 (nematode male tail tip morphogenesis); GO:0048730 (epidermis morphogenesis); GO:0008201 (heparin binding); GO:0043395 (heparan sulfate proteoglycan binding); GO:0045545 (syndecan binding); GO:0048675 (axon extension); GO:0005515 (protein binding); GO:0052547 (regulation of peptidase activity)</t>
  </si>
  <si>
    <t xml:space="preserve">Dwarfin sma </t>
  </si>
  <si>
    <t>GO:0005634 (nucleus); GO:0046872 (metal ion binding); GO:0005737 (cytoplasm); GO:0006355 (regulation of transcription, DNA-templated); GO:0003677 (DNA binding); GO:0005667 (transcription regulator complex); GO:0007179 (transforming growth factor beta receptor signaling pathway); GO:0030154 (cell differentiation); GO:0030509 (BMP signaling pathway); GO:0060395 (SMAD protein signal transduction); GO:0009653 (anatomical structure morphogenesis); GO:0005515 (protein binding); GO:0070411 (I-SMAD binding); GO:0071144 (heteromeric SMAD protein complex); GO:0140416 (DNA-binding transcription factor inhibitor activity)</t>
  </si>
  <si>
    <t>GO:0016020 (membrane); GO:0016021 (integral component of membrane); GO:0098609 (cell-cell adhesion); GO:0005887 (integral component of plasma membrane); GO:0050839 (cell adhesion molecule binding); GO:0005911 (cell-cell junction); GO:0005829 (cytosol); GO:0097374 (sensory neuron axon guidance); GO:1905489 (regulation of sensory neuron axon guidance); GO:0005515 (protein binding); GO:0001764 (neuron migration); GO:0033563 (dorsal/ventral axon guidance); GO:0008046 (axon guidance receptor activity); GO:0035385 (Roundabout signaling pathway)</t>
  </si>
  <si>
    <t xml:space="preserve">Putative cytosolic 5'-nucleotidase 3 </t>
  </si>
  <si>
    <t>GO:0005737 (cytoplasm); GO:0016787 (hydrolase activity); GO:0046872 (metal ion binding); GO:0000166 (nucleotide binding); GO:0000287 (magnesium ion binding); GO:0016311 (dephosphorylation); GO:0008253 (5'-nucleotidase activity); GO:0009117 (nucleotide metabolic process)</t>
  </si>
  <si>
    <t xml:space="preserve">Zinc Finger and Homeobox </t>
  </si>
  <si>
    <t>GO:0005634 (nucleus); GO:0003677 (DNA binding); GO:0006355 (regulation of transcription, DNA-templated); GO:0008270 (zinc ion binding); GO:0003676 (nucleic acid binding); GO:0000978 (RNA polymerase II cis-regulatory region sequence-specific DNA binding); GO:0000981 (DNA-binding transcription factor activity, RNA polymerase II-specific); GO:0006357 (regulation of transcription by RNA polymerase II)</t>
  </si>
  <si>
    <t>GO:0016020 (membrane); GO:0090162 (establishment of epithelial cell polarity); GO:0070830 (bicellular tight junction assembly); GO:0005515 (protein binding)</t>
  </si>
  <si>
    <t xml:space="preserve">Methylthioribose-1-phosphate isomerase </t>
  </si>
  <si>
    <t>GO:0005634 (nucleus); GO:0005737 (cytoplasm); GO:0016853 (isomerase activity); GO:0044237 (cellular metabolic process); GO:0008652 (cellular amino acid biosynthetic process); GO:0009086 (methionine biosynthetic process); GO:0019509 (L-methionine salvage from methylthioadenosine); GO:0019284 (L-methionine salvage from S-adenosylmethionine); GO:0044249 (cellular biosynthetic process); GO:0046523 (S-methyl-5-thioribose-1-phosphate isomerase activity)</t>
  </si>
  <si>
    <t>GO:0016020 (membrane); GO:0016021 (integral component of membrane); GO:0005634 (nucleus); GO:0007160 (cell-matrix adhesion); GO:0031122 (cytoplasmic microtubule organization); GO:0008568 (microtubule-severing ATPase activity); GO:0051013 (microtubule severing)</t>
  </si>
  <si>
    <t xml:space="preserve">Serine/threonine-protein kinase flr-4 </t>
  </si>
  <si>
    <t>GO:0008410 (CoA-transferase activity)</t>
  </si>
  <si>
    <t xml:space="preserve">INSOmniac (Drosophila sleep affecting) homolog </t>
  </si>
  <si>
    <t>GO:0005737 (cytoplasm); GO:0043161 (proteasome-mediated ubiquitin-dependent protein catabolic process); GO:0005515 (protein binding); GO:0051260 (protein homooligomerization); GO:0097602 (cullin family protein binding); GO:0031463 (Cul3-RING ubiquitin ligase complex); GO:0055120 (striated muscle dense body); GO:0030054 (cell junction)</t>
  </si>
  <si>
    <t xml:space="preserve">Mitogen-activated protein kinase pmk-1 </t>
  </si>
  <si>
    <t xml:space="preserve">CALUmenin (Calcium-binding protein) homolog </t>
  </si>
  <si>
    <t>GO:0005509 (calcium ion binding); GO:0005783 (endoplasmic reticulum)</t>
  </si>
  <si>
    <t xml:space="preserve">FUS/TLS RNA binding protein homolog </t>
  </si>
  <si>
    <t>GO:0005634 (nucleus); GO:0003723 (RNA binding); GO:0046872 (metal ion binding); GO:0006355 (regulation of transcription, DNA-templated); GO:0003676 (nucleic acid binding); GO:0003712 (transcription coregulator activity)</t>
  </si>
  <si>
    <t xml:space="preserve">Putative nudix hydrolase 6 </t>
  </si>
  <si>
    <t>GO:0047631 (ADP-ribose diphosphatase activity); GO:0016787 (hydrolase activity)</t>
  </si>
  <si>
    <t xml:space="preserve">Probable methylenetetrahydrofolate reductase </t>
  </si>
  <si>
    <t>GO:0006555 (methionine metabolic process); GO:0004489 (methylenetetrahydrofolate reductase (NAD(P)H) activity); GO:0055114 (oxidation-reduction process)</t>
  </si>
  <si>
    <t>GO:0016020 (membrane); GO:0016021 (integral component of membrane); GO:0098793 (presynapse); GO:0043005 (neuron projection); GO:0005887 (integral component of plasma membrane); GO:0035725 (sodium ion transmembrane transport); GO:0015293 (symporter activity); GO:0051378 (serotonin binding); GO:0005335 (serotonin:sodium symporter activity); GO:0051610 (serotonin uptake)</t>
  </si>
  <si>
    <t>GO:0005634 (nucleus); GO:0006397 (mRNA processing); GO:0008380 (RNA splicing)</t>
  </si>
  <si>
    <t xml:space="preserve">Calcium-activated potassium channel slo-1 </t>
  </si>
  <si>
    <t>GO:0016020 (membrane); GO:0016021 (integral component of membrane); GO:0005216 (ion channel activity); GO:0005886 (plasma membrane); GO:0006811 (ion transport); GO:0055085 (transmembrane transport); GO:0005244 (voltage-gated ion channel activity); GO:0034765 (regulation of ion transmembrane transport); GO:0030054 (cell junction); GO:0045202 (synapse); GO:0005267 (potassium channel activity); GO:0006813 (potassium ion transport); GO:0071805 (potassium ion transmembrane transport); GO:0045211 (postsynaptic membrane); GO:0060072 (large conductance calcium-activated potassium channel activity); GO:0005515 (protein binding); GO:0040011 (locomotion); GO:0055120 (striated muscle dense body); GO:0015269 (calcium-activated potassium channel activity); GO:0031430 (M band); GO:0048149 (behavioral response to ethanol); GO:0043050 (pharyngeal pumping); GO:0042493 (response to drug); GO:0045214 (sarcomere organization); GO:0005249 (voltage-gated potassium channel activity); GO:0046928 (regulation of neurotransmitter secretion); GO:0050804 (modulation of chemical synaptic transmission)</t>
  </si>
  <si>
    <t xml:space="preserve">Homeobox protein lin-39 </t>
  </si>
  <si>
    <t>GO:0016020 (membrane); GO:0016021 (integral component of membrane); GO:0005739 (mitochondrion); GO:0033617 (mitochondrial cytochrome c oxidase assembly); GO:0051082 (unfolded protein binding); GO:0031305 (integral component of mitochondrial inner membrane)</t>
  </si>
  <si>
    <t xml:space="preserve">F-box protein dre-1 </t>
  </si>
  <si>
    <t>GO:0000151 (ubiquitin ligase complex); GO:0016567 (protein ubiquitination); GO:0005515 (protein binding); GO:0008270 (zinc ion binding); GO:0046872 (metal ion binding)</t>
  </si>
  <si>
    <t xml:space="preserve">Nematode Specific Peptide family, group D </t>
  </si>
  <si>
    <t>GO:0016020 (membrane); GO:0016021 (integral component of membrane); GO:0005886 (plasma membrane); GO:0006811 (ion transport); GO:0022857 (transmembrane transporter activity); GO:0055085 (transmembrane transport); GO:0005887 (integral component of plasma membrane); GO:0015347 (sodium-independent organic anion transmembrane transporter activity); GO:0043252 (sodium-independent organic anion transport)</t>
  </si>
  <si>
    <t xml:space="preserve">Probable enoyl-CoA hydratase, mitochondrial </t>
  </si>
  <si>
    <t xml:space="preserve">EGL-30; Heterotrimeric G protein alpha subunit </t>
  </si>
  <si>
    <t>GO:0003924 (GTPase activity); GO:0007165 (signal transduction); GO:0007186 (G protein-coupled receptor signaling pathway); GO:0048680 (positive regulation of axon regeneration); GO:0007188 (adenylate cyclase-modulating G protein-coupled receptor signaling pathway); GO:0007635 (chemosensory behavior); GO:0019001 (guanyl nucleotide binding); GO:0031683 (G-protein beta/gamma-subunit complex binding); GO:2000292 (regulation of defecation); GO:0050920 (regulation of chemotaxis); GO:1902074 (response to salt); GO:0002253 (activation of immune response); GO:0042307 (positive regulation of protein import into nucleus); GO:0050830 (defense response to Gram-positive bacterium); GO:0001664 (G protein-coupled receptor binding); GO:0005834 (heterotrimeric G-protein complex); GO:0002119 (nematode larval development); GO:0043025 (neuronal cell body); GO:0005737 (cytoplasm); GO:0040017 (positive regulation of locomotion); GO:0031234 (extrinsic component of cytoplasmic side of plasma membrane); GO:0030424 (axon); GO:0043051 (regulation of pharyngeal pumping); GO:0043005 (neuron projection); GO:0007631 (feeding behavior); GO:0046662 (regulation of oviposition); GO:0007212 (dopamine receptor signaling pathway); GO:0014057 (positive regulation of acetylcholine secretion, neurotransmission); GO:0007210 (serotonin receptor signaling pathway); GO:1902474 (positive regulation of protein localization to synapse); GO:0060158 (phospholipase C-activating dopamine receptor signaling pathway)</t>
  </si>
  <si>
    <t xml:space="preserve">Lon protease homolog 2, peroxisomal </t>
  </si>
  <si>
    <t>GO:0006515 (protein quality control for misfolded or incompletely synthesized proteins); GO:0016887 (ATPase activity); GO:0030163 (protein catabolic process); GO:0004252 (serine-type endopeptidase activity); GO:0004176 (ATP-dependent peptidase activity); GO:0006508 (proteolysis); GO:0005524 (ATP binding)</t>
  </si>
  <si>
    <t>GO:0007155 (cell adhesion); GO:0005886 (plasma membrane); GO:0032589 (neuron projection membrane); GO:0050808 (synapse organization); GO:0007411 (axon guidance); GO:0005515 (protein binding); GO:0016020 (membrane); GO:0016021 (integral component of membrane)</t>
  </si>
  <si>
    <t xml:space="preserve">Mammalian BCL (B cell lymphoma) gene homologs </t>
  </si>
  <si>
    <t>GO:0005524 (ATP binding); GO:0000166 (nucleotide binding); GO:0003774 (motor activity); GO:0005874 (microtubule); GO:0003777 (microtubule motor activity); GO:0007018 (microtubule-based movement); GO:0008017 (microtubule binding); GO:0005871 (kinesin complex); GO:0030993 (axonemal heterotrimeric kinesin-II complex); GO:1990939 (ATP-dependent microtubule motor activity)</t>
  </si>
  <si>
    <t>GO:0016020 (membrane); GO:0016021 (integral component of membrane); GO:0005764 (lysosome); GO:0010506 (regulation of autophagy)</t>
  </si>
  <si>
    <t>GO:0003723 (RNA binding); GO:0005730 (nucleolus); GO:0042274 (ribosomal small subunit biogenesis); GO:0005515 (protein binding)</t>
  </si>
  <si>
    <t xml:space="preserve">Acetylcholine-gated chloride channel subunit acc-3 </t>
  </si>
  <si>
    <t xml:space="preserve">Probable galaptin lec-7 </t>
  </si>
  <si>
    <t>GO:0016787 (hydrolase activity); GO:0005737 (cytoplasm); GO:0006508 (proteolysis); GO:0008233 (peptidase activity); GO:0005829 (cytosol); GO:0016920 (pyroglutamyl-peptidase activity); GO:0008234 (cysteine-type peptidase activity)</t>
  </si>
  <si>
    <t xml:space="preserve">MAF (MusculoAponeurotic Fibrosarcoma) transcription factor homolog </t>
  </si>
  <si>
    <t>GO:0005634 (nucleus); GO:0045944 (positive regulation of transcription by RNA polymerase II); GO:0010468 (regulation of gene expression); GO:0048557 (embryonic digestive tract morphogenesis)</t>
  </si>
  <si>
    <t xml:space="preserve">FMRF-Like Peptide; FMRFamide-like peptide 10 </t>
  </si>
  <si>
    <t>GO:1901045 (negative regulation of oviposition); GO:0061096 (negative regulation of turning behavior involved in mating); GO:0001966 (thigmotaxis)</t>
  </si>
  <si>
    <t>GO:0005319 (lipid transporter activity); GO:0006869 (lipid transport); GO:0006689 (ganglioside catabolic process); GO:0008047 (enzyme activator activity); GO:0009898 (cytoplasmic side of plasma membrane)</t>
  </si>
  <si>
    <t xml:space="preserve">Tubulin polymerization-promoting protein homolog </t>
  </si>
  <si>
    <t>GO:0005874 (microtubule); GO:0032273 (positive regulation of protein polymerization)</t>
  </si>
  <si>
    <t>GO:0006560 (proline metabolic process); GO:0016491 (oxidoreductase activity); GO:0005759 (mitochondrial matrix); GO:0016620 (oxidoreductase activity, acting on the aldehyde or oxo group of donors, NAD or NADP as acceptor); GO:0003842 (1-pyrroline-5-carboxylate dehydrogenase activity); GO:0010133 (proline catabolic process to glutamate); GO:0055114 (oxidation-reduction process)</t>
  </si>
  <si>
    <t>Neuropeptide-like protein 28 QWGYGGY-amide GYGGYGGY-amide GMYGGY-amide GMYGGW-amide</t>
  </si>
  <si>
    <t xml:space="preserve">Serine/threonine-protein kinase mig-15 </t>
  </si>
  <si>
    <t xml:space="preserve">Zinc metalloproteinase nas-7 </t>
  </si>
  <si>
    <t xml:space="preserve">Nuclear hormone receptor family member nhr-40 </t>
  </si>
  <si>
    <t xml:space="preserve">Probable methylthioribulose-1-phosphate dehydratase </t>
  </si>
  <si>
    <t>GO:0005737 (cytoplasm); GO:0046872 (metal ion binding); GO:0016829 (lyase activity); GO:0008270 (zinc ion binding); GO:0008652 (cellular amino acid biosynthetic process); GO:0009086 (methionine biosynthetic process); GO:0019509 (L-methionine salvage from methylthioadenosine); GO:0019284 (L-methionine salvage from S-adenosylmethionine); GO:0046570 (methylthioribulose 1-phosphate dehydratase activity)</t>
  </si>
  <si>
    <t>GO:0005737 (cytoplasm); GO:0008017 (microtubule binding); GO:0005876 (spindle microtubule); GO:0097431 (mitotic spindle pole); GO:0005515 (protein binding)</t>
  </si>
  <si>
    <t>GO:0008152 (metabolic process); GO:0016787 (hydrolase activity); GO:0016798 (hydrolase activity, acting on glycosyl bonds); GO:0005615 (extracellular space); GO:0005975 (carbohydrate metabolic process); GO:0004553 (hydrolase activity, hydrolyzing O-glycosyl compounds); GO:0005764 (lysosome); GO:0004566 (beta-glucuronidase activity); GO:0030246 (carbohydrate binding); GO:0019391 (glucuronoside catabolic process)</t>
  </si>
  <si>
    <t xml:space="preserve">Peptidyl-prolyl cis-trans isomerase 8 </t>
  </si>
  <si>
    <t>GO:0003824 (catalytic activity); GO:0005739 (mitochondrion); GO:0005737 (cytoplasm); GO:0016853 (isomerase activity); GO:0006749 (glutathione metabolic process); GO:0009072 (aromatic amino acid family metabolic process); GO:0006559 (L-phenylalanine catabolic process); GO:0004364 (glutathione transferase activity); GO:0006572 (tyrosine catabolic process); GO:0016034 (maleylacetoacetate isomerase activity); GO:0005515 (protein binding)</t>
  </si>
  <si>
    <t>GO:0016020 (membrane); GO:0016021 (integral component of membrane); GO:0031410 (cytoplasmic vesicle)</t>
  </si>
  <si>
    <t xml:space="preserve">Probable S-adenosylmethionine synthase 5 </t>
  </si>
  <si>
    <t xml:space="preserve">Target Of Splicing </t>
  </si>
  <si>
    <t xml:space="preserve">CREB Homolog; Cyclic AMP-response element binding protein 1 beta </t>
  </si>
  <si>
    <t>GO:0003677 (DNA binding); GO:0005634 (nucleus); GO:0003700 (DNA-binding transcription factor activity); GO:0006355 (regulation of transcription, DNA-templated); GO:0000978 (RNA polymerase II cis-regulatory region sequence-specific DNA binding); GO:0005667 (transcription regulator complex); GO:0000981 (DNA-binding transcription factor activity, RNA polymerase II-specific); GO:0006357 (regulation of transcription by RNA polymerase II); GO:0045944 (positive regulation of transcription by RNA polymerase II); GO:0008340 (determination of adult lifespan); GO:0001223 (transcription coactivator binding); GO:0035556 (intracellular signal transduction); GO:0005515 (protein binding); GO:0040040 (thermosensory behavior)</t>
  </si>
  <si>
    <t>GO:0000287 (magnesium ion binding); GO:0005524 (ATP binding); GO:0016829 (lyase activity); GO:0030170 (pyridoxal phosphate binding); GO:0006520 (cellular amino acid metabolic process); GO:0003941 (L-serine ammonia-lyase activity); GO:0006563 (L-serine metabolic process); GO:0018114 (threonine racemase activity); GO:0030378 (serine racemase activity); GO:0042866 (pyruvate biosynthetic process); GO:0070179 (D-serine biosynthetic process)</t>
  </si>
  <si>
    <t xml:space="preserve">Sestrin homolog </t>
  </si>
  <si>
    <t>GO:0005737 (cytoplasm); GO:0005634 (nucleus); GO:0031932 (TORC2 complex); GO:1904262 (negative regulation of TORC1 signaling); GO:0016239 (positive regulation of macroautophagy); GO:0016684 (oxidoreductase activity, acting on peroxide as acceptor); GO:0070728 (leucine binding); GO:0071233 (cellular response to leucine); GO:1901031 (regulation of response to reactive oxygen species); GO:1990253 (cellular response to leucine starvation); GO:0061700 (GATOR2 complex)</t>
  </si>
  <si>
    <t xml:space="preserve">Disco-Interacting Protein 2 homolog </t>
  </si>
  <si>
    <t>GO:0016020 (membrane); GO:0016021 (integral component of membrane); GO:0016746 (transferase activity, transferring acyl groups); GO:0005737 (cytoplasm); GO:0055120 (striated muscle dense body)</t>
  </si>
  <si>
    <t xml:space="preserve">Mesodermal Lineage Specification </t>
  </si>
  <si>
    <t>GO:0005634 (nucleus); GO:0003677 (DNA binding); GO:0006355 (regulation of transcription, DNA-templated); GO:0000977 (RNA polymerase II transcription regulatory region sequence-specific DNA binding); GO:0000981 (DNA-binding transcription factor activity, RNA polymerase II-specific); GO:0006357 (regulation of transcription by RNA polymerase II); GO:0002119 (nematode larval development); GO:0045944 (positive regulation of transcription by RNA polymerase II); GO:0000132 (establishment of mitotic spindle orientation); GO:0042661 (regulation of mesodermal cell fate specification); GO:0008284 (positive regulation of cell population proliferation); GO:0003387 (neuron differentiation involved in amphid sensory organ development); GO:0045687 (positive regulation of glial cell differentiation)</t>
  </si>
  <si>
    <t xml:space="preserve">TRanslocon-Associated Protein </t>
  </si>
  <si>
    <t>GO:0003723 (RNA binding); GO:0005737 (cytoplasm); GO:0000932 (P-body); GO:0003729 (mRNA binding); GO:0017148 (negative regulation of translation); GO:0000289 (nuclear-transcribed mRNA poly(A) tail shortening); GO:0030371 (translation repressor activity); GO:0043488 (regulation of mRNA stability); GO:0005515 (protein binding)</t>
  </si>
  <si>
    <t>GO:0016020 (membrane); GO:0016021 (integral component of membrane); GO:0005524 (ATP binding); GO:0042626 (ATPase-coupled transmembrane transporter activity); GO:0000166 (nucleotide binding); GO:0055085 (transmembrane transport); GO:0005783 (endoplasmic reticulum); GO:0016246 (RNA interference); GO:0097038 (perinuclear endoplasmic reticulum); GO:0016887 (ATPase activity)</t>
  </si>
  <si>
    <t xml:space="preserve">Enoyl-[acyl-carrier-protein] reductase, mitochondrial </t>
  </si>
  <si>
    <t>GO:0005739 (mitochondrion); GO:0016491 (oxidoreductase activity); GO:0006629 (lipid metabolic process); GO:0006631 (fatty acid metabolic process); GO:0006633 (fatty acid biosynthetic process); GO:0019166 (trans-2-enoyl-CoA reductase (NADPH) activity); GO:0055114 (oxidation-reduction process)</t>
  </si>
  <si>
    <t>GO:0016020 (membrane); GO:0016021 (integral component of membrane); GO:0007155 (cell adhesion); GO:0005515 (protein binding)</t>
  </si>
  <si>
    <t>GO:0016020 (membrane); GO:0016021 (integral component of membrane); GO:0005783 (endoplasmic reticulum); GO:0006874 (cellular calcium ion homeostasis)</t>
  </si>
  <si>
    <t xml:space="preserve">Innexin-5 </t>
  </si>
  <si>
    <t xml:space="preserve">Germinal Center Kinase family </t>
  </si>
  <si>
    <t>GO:0005524 (ATP binding); GO:0004672 (protein kinase activity); GO:0006468 (protein phosphorylation); GO:0016301 (kinase activity); GO:0016310 (phosphorylation); GO:0004674 (protein serine/threonine kinase activity)</t>
  </si>
  <si>
    <t xml:space="preserve">SynaptoPHysin </t>
  </si>
  <si>
    <t>GO:0016020 (membrane); GO:0016021 (integral component of membrane); GO:0030672 (synaptic vesicle membrane); GO:0008021 (synaptic vesicle); GO:0017075 (syntaxin-1 binding); GO:0031410 (cytoplasmic vesicle)</t>
  </si>
  <si>
    <t>GO:0005634 (nucleus); GO:0005737 (cytoplasm); GO:0016301 (kinase activity); GO:0016310 (phosphorylation); GO:0019887 (protein kinase regulator activity); GO:0019901 (protein kinase binding); GO:0032559 (adenyl ribonucleotide binding); GO:0071900 (regulation of protein serine/threonine kinase activity); GO:0006468 (protein phosphorylation); GO:0031588 (nucleotide-activated protein kinase complex); GO:0042149 (cellular response to glucose starvation); GO:0016208 (AMP binding); GO:0050790 (regulation of catalytic activity)</t>
  </si>
  <si>
    <t>GO:0005634 (nucleus); GO:0005524 (ATP binding); GO:0005737 (cytoplasm); GO:0004672 (protein kinase activity); GO:0006468 (protein phosphorylation); GO:0016301 (kinase activity); GO:0016310 (phosphorylation); GO:0003677 (DNA binding); GO:0000166 (nucleotide binding); GO:0035556 (intracellular signal transduction); GO:0000278 (mitotic cell cycle); GO:0072354 (histone kinase activity (H3-T3 specific)); GO:0072355 (histone H3-T3 phosphorylation); GO:0000786 (nucleosome); GO:0006334 (nucleosome assembly)</t>
  </si>
  <si>
    <t xml:space="preserve">Innexin-10 </t>
  </si>
  <si>
    <t>GO:0016020 (membrane); GO:0016021 (integral component of membrane); GO:0005886 (plasma membrane); GO:0006811 (ion transport); GO:0030054 (cell junction); GO:0005921 (gap junction)</t>
  </si>
  <si>
    <t xml:space="preserve">Serine/threonine-protein phosphatase with EF-hands pef-1 </t>
  </si>
  <si>
    <t>GO:0050906 (detection of stimulus involved in sensory perception); GO:0004721 (phosphoprotein phosphatase activity); GO:0005506 (iron ion binding); GO:0005509 (calcium ion binding); GO:0016787 (hydrolase activity); GO:0030145 (manganese ion binding)</t>
  </si>
  <si>
    <t>GO:0005680 (anaphase-promoting complex); GO:0005515 (protein binding)</t>
  </si>
  <si>
    <t>GO:0005634 (nucleus); GO:0045944 (positive regulation of transcription by RNA polymerase II); GO:0006357 (regulation of transcription by RNA polymerase II); GO:0000122 (negative regulation of transcription by RNA polymerase II); GO:0030154 (cell differentiation); GO:0001085 (RNA polymerase II transcription factor binding); GO:0007507 (heart development)</t>
  </si>
  <si>
    <t xml:space="preserve">TaLiN </t>
  </si>
  <si>
    <t>GO:0005856 (cytoskeleton); GO:0005886 (plasma membrane); GO:0005737 (cytoplasm); GO:0003779 (actin binding); GO:0007155 (cell adhesion); GO:0098609 (cell-cell adhesion); GO:0001726 (ruffle); GO:0005200 (structural constituent of cytoskeleton); GO:0005925 (focal adhesion); GO:0051015 (actin filament binding); GO:0007229 (integrin-mediated signaling pathway); GO:0007010 (cytoskeleton organization); GO:0016328 (lateral plasma membrane); GO:0072327 (vulval cell fate specification); GO:0005604 (basement membrane); GO:0040028 (regulation of vulval development); GO:0042059 (negative regulation of epidermal growth factor receptor signaling pathway); GO:0005178 (integrin binding); GO:0055120 (striated muscle dense body); GO:0031430 (M band)</t>
  </si>
  <si>
    <t xml:space="preserve">Cation-transporting ATPase catp-5 </t>
  </si>
  <si>
    <t>GO:0016887 (ATPase activity); GO:0006812 (cation transport); GO:0000166 (nucleotide binding); GO:0016021 (integral component of membrane); GO:0016020 (membrane); GO:0005524 (ATP binding); GO:0046872 (metal ion binding); GO:0034220 (ion transmembrane transport); GO:0098655 (cation transmembrane transport); GO:0019829 (ATPase-coupled cation transmembrane transporter activity)</t>
  </si>
  <si>
    <t>GO:0005509 (calcium ion binding); GO:0005783 (endoplasmic reticulum); GO:0042335 (cuticle development)</t>
  </si>
  <si>
    <t xml:space="preserve">Prion-like-(Q/N-rich) domain-bearing protein 8 </t>
  </si>
  <si>
    <t>GO:0016020 (membrane); GO:0016021 (integral component of membrane); GO:0043005 (neuron projection); GO:0005887 (integral component of plasma membrane); GO:0035725 (sodium ion transmembrane transport); GO:0015293 (symporter activity); GO:0005332 (gamma-aminobutyric acid:sodium symporter activity); GO:0043025 (neuronal cell body); GO:0015812 (gamma-aminobutyric acid transport)</t>
  </si>
  <si>
    <t xml:space="preserve">SPeCtrin </t>
  </si>
  <si>
    <t>GO:0005509 (calcium ion binding); GO:0046872 (metal ion binding); GO:0005737 (cytoplasm); GO:0005856 (cytoskeleton); GO:0003779 (actin binding); GO:0005516 (calmodulin binding); GO:0051693 (actin filament capping); GO:0002119 (nematode larval development); GO:0010172 (embryonic body morphogenesis); GO:0040018 (positive regulation of multicellular organism growth); GO:0040012 (regulation of locomotion); GO:0005515 (protein binding)</t>
  </si>
  <si>
    <t xml:space="preserve">Syntrophin-1 </t>
  </si>
  <si>
    <t>GO:0016020 (membrane); GO:0005198 (structural molecule activity); GO:0005737 (cytoplasm); GO:0005856 (cytoskeleton); GO:0005515 (protein binding); GO:0006836 (neurotransmitter transport); GO:0040017 (positive regulation of locomotion); GO:0016010 (dystrophin-associated glycoprotein complex); GO:0046716 (muscle cell cellular homeostasis); GO:0005277 (acetylcholine transmembrane transporter activity); GO:0015870 (acetylcholine transport); GO:0050808 (synapse organization); GO:0005246 (calcium channel regulator activity); GO:0007528 (neuromuscular junction development); GO:0046662 (regulation of oviposition); GO:0040013 (negative regulation of locomotion); GO:0043058 (regulation of backward locomotion); GO:0043059 (regulation of forward locomotion); GO:0045214 (sarcomere organization); GO:0032413 (negative regulation of ion transmembrane transporter activity)</t>
  </si>
  <si>
    <t>GO:0098887 (neurotransmitter receptor transport, endosome to postsynaptic membrane); GO:0099152 (regulation of neurotransmitter receptor transport, endosome to postsynaptic membrane); GO:0099158 (regulation of recycling endosome localization within postsynapse); GO:1905244 (regulation of modification of synaptic structure); GO:0098837 (postsynaptic recycling endosome); GO:0098978 (glutamatergic synapse); GO:0098998 (extrinsic component of postsynaptic early endosome membrane)</t>
  </si>
  <si>
    <t xml:space="preserve">C-type lectin domain-containing protein 180 </t>
  </si>
  <si>
    <t xml:space="preserve">3-hydroxyanthranilate 3,4-dioxygenase </t>
  </si>
  <si>
    <t>GO:0000334 (3-hydroxyanthranilate 3,4-dioxygenase activity); GO:0005506 (iron ion binding); GO:0005737 (cytoplasm); GO:0046872 (metal ion binding); GO:0055114 (oxidation-reduction process)</t>
  </si>
  <si>
    <t xml:space="preserve">Inositol 1,4,5-trisphosphate receptor itr-1 </t>
  </si>
  <si>
    <t>GO:0006811 (ion transport); GO:0005216 (ion channel activity); GO:0005262 (calcium channel activity); GO:0070588 (calcium ion transmembrane transport); GO:0005783 (endoplasmic reticulum); GO:0006816 (calcium ion transport); GO:0070679 (inositol 1,4,5 trisphosphate binding); GO:0005220 (inositol 1,4,5-trisphosphate-sensitive calcium-release channel activity); GO:0055085 (transmembrane transport); GO:0016020 (membrane)</t>
  </si>
  <si>
    <t xml:space="preserve">GTP binding protein; R-RAS related </t>
  </si>
  <si>
    <t>GO:0003924 (GTPase activity); GO:0005525 (GTP binding); GO:0016020 (membrane); GO:0005886 (plasma membrane); GO:0000166 (nucleotide binding); GO:0007165 (signal transduction); GO:0007265 (Ras protein signal transduction); GO:0019003 (GDP binding)</t>
  </si>
  <si>
    <t xml:space="preserve">Putative zinc finger protein B0310.2 </t>
  </si>
  <si>
    <t>GO:0005634 (nucleus); GO:0046872 (metal ion binding); GO:0003677 (DNA binding); GO:0000978 (RNA polymerase II cis-regulatory region sequence-specific DNA binding); GO:0003700 (DNA-binding transcription factor activity); GO:0006357 (regulation of transcription by RNA polymerase II)</t>
  </si>
  <si>
    <t xml:space="preserve">B lymphocyte-induced maturation protein 1 homolog </t>
  </si>
  <si>
    <t xml:space="preserve">Calcium Channel, Beta subunit </t>
  </si>
  <si>
    <t>GO:0007268 (chemical synaptic transmission); GO:0005245 (voltage-gated calcium channel activity); GO:0005891 (voltage-gated calcium channel complex); GO:0007528 (neuromuscular junction development); GO:0008331 (high voltage-gated calcium channel activity); GO:0070588 (calcium ion transmembrane transport); GO:1901385 (regulation of voltage-gated calcium channel activity); GO:0040017 (positive regulation of locomotion); GO:0048786 (presynaptic active zone); GO:0051924 (regulation of calcium ion transport); GO:0061199 (striated muscle contraction involved in embryonic body morphogenesis); GO:0005515 (protein binding)</t>
  </si>
  <si>
    <t xml:space="preserve">SarcoGlyCan Alpha homolog </t>
  </si>
  <si>
    <t>GO:0016020 (membrane); GO:0016021 (integral component of membrane); GO:0005509 (calcium ion binding); GO:0005856 (cytoskeleton); GO:0016012 (sarcoglycan complex); GO:0055120 (striated muscle dense body)</t>
  </si>
  <si>
    <t>GO:0005576 (extracellular region); GO:0007218 (neuropeptide signaling pathway); GO:0006935 (chemotaxis); GO:0007610 (behavior)</t>
  </si>
  <si>
    <t xml:space="preserve">CarboxyPeptidase D family </t>
  </si>
  <si>
    <t>GO:0008270 (zinc ion binding); GO:0006508 (proteolysis); GO:0006518 (peptide metabolic process); GO:0005615 (extracellular space); GO:0006937 (regulation of muscle contraction); GO:0004181 (metallocarboxypeptidase activity); GO:0016485 (protein processing); GO:0004180 (carboxypeptidase activity)</t>
  </si>
  <si>
    <t xml:space="preserve">Cation diffusion facilitator family protein 1 </t>
  </si>
  <si>
    <t>GO:0006812 (cation transport); GO:0008324 (cation transmembrane transporter activity); GO:0016021 (integral component of membrane); GO:0055085 (transmembrane transport); GO:0016020 (membrane); GO:0098655 (cation transmembrane transport); GO:0006829 (zinc ion transport)</t>
  </si>
  <si>
    <t>GO:0016020 (membrane); GO:0016021 (integral component of membrane); GO:0003824 (catalytic activity); GO:0008152 (metabolic process); GO:0016787 (hydrolase activity); GO:0016798 (hydrolase activity, acting on glycosyl bonds); GO:0046872 (metal ion binding); GO:0005975 (carbohydrate metabolic process); GO:0030246 (carbohydrate binding); GO:0006517 (protein deglycosylation); GO:0000139 (Golgi membrane); GO:0006491 (N-glycan processing); GO:0004559 (alpha-mannosidase activity); GO:0006013 (mannose metabolic process)</t>
  </si>
  <si>
    <t xml:space="preserve">Leucine-rich repeat serine/threonine-protein kinase 1 </t>
  </si>
  <si>
    <t>GO:0005524 (ATP binding); GO:0000166 (nucleotide binding); GO:0004812 (aminoacyl-tRNA ligase activity); GO:0006418 (tRNA aminoacylation for protein translation); GO:0016874 (ligase activity); GO:0008270 (zinc ion binding); GO:0006412 (translation); GO:0000049 (tRNA binding); GO:0043039 (tRNA aminoacylation); GO:0004818 (glutamate-tRNA ligase activity); GO:0006424 (glutamyl-tRNA aminoacylation)</t>
  </si>
  <si>
    <t xml:space="preserve">C-mannosyltransferase dpy-19 </t>
  </si>
  <si>
    <t>GO:0000030 (mannosyltransferase activity); GO:0016021 (integral component of membrane); GO:0003824 (catalytic activity); GO:0005975 (carbohydrate metabolic process)</t>
  </si>
  <si>
    <t xml:space="preserve">Innexin-11 </t>
  </si>
  <si>
    <t>GO:0005921 (gap junction); GO:1903763 (gap junction channel activity involved in cell communication by electrical coupling); GO:0016020 (membrane); GO:0016021 (integral component of membrane); GO:0005886 (plasma membrane); GO:0006811 (ion transport); GO:0030054 (cell junction); GO:0010644 (cell communication by electrical coupling)</t>
  </si>
  <si>
    <t xml:space="preserve">Putative acetylcholine regulator unc-18 </t>
  </si>
  <si>
    <t>GO:0098793 (presynapse); GO:0005886 (plasma membrane); GO:0015031 (protein transport); GO:0016192 (vesicle-mediated transport); GO:0006886 (intracellular protein transport); GO:0019905 (syntaxin binding); GO:0007269 (neurotransmitter secretion); GO:0030141 (secretory granule); GO:0006904 (vesicle docking involved in exocytosis); GO:0005515 (protein binding); GO:0007271 (synaptic transmission, cholinergic); GO:0030424 (axon); GO:0001956 (positive regulation of neurotransmitter secretion); GO:0016081 (synaptic vesicle docking); GO:0045202 (synapse)</t>
  </si>
  <si>
    <t>GO:0016020 (membrane); GO:0016021 (integral component of membrane); GO:0006811 (ion transport); GO:0055085 (transmembrane transport); GO:0005887 (integral component of plasma membrane); GO:0006816 (calcium ion transport); GO:0098656 (anion transmembrane transport); GO:0035725 (sodium ion transmembrane transport); GO:0006874 (cellular calcium ion homeostasis); GO:0070588 (calcium ion transmembrane transport); GO:0071805 (potassium ion transmembrane transport); GO:0015297 (antiporter activity); GO:0005262 (calcium channel activity); GO:0008273 (calcium, potassium:sodium antiporter activity)</t>
  </si>
  <si>
    <t>GO:0005634 (nucleus); GO:0003677 (DNA binding); GO:0000978 (RNA polymerase II cis-regulatory region sequence-specific DNA binding); GO:0005667 (transcription regulator complex); GO:0000981 (DNA-binding transcription factor activity, RNA polymerase II-specific); GO:0006357 (regulation of transcription by RNA polymerase II)</t>
  </si>
  <si>
    <t>GO:0005634 (nucleus); GO:0006355 (regulation of transcription, DNA-templated); GO:0005515 (protein binding); GO:0003712 (transcription coregulator activity); GO:0008134 (transcription factor binding); GO:0045892 (negative regulation of transcription, DNA-templated); GO:0040028 (regulation of vulval development)</t>
  </si>
  <si>
    <t xml:space="preserve">Ras-related protein Rab-6.2 </t>
  </si>
  <si>
    <t xml:space="preserve">V-type proton ATPase 16 kDa proteolipid subunit 2/3 </t>
  </si>
  <si>
    <t>GO:0033177 (proton-transporting two-sector ATPase complex, proton-transporting domain); GO:0033179 (proton-transporting V-type ATPase, V0 domain); GO:1902600 (proton transmembrane transport); GO:0015078 (proton transmembrane transporter activity)</t>
  </si>
  <si>
    <t xml:space="preserve">Adenylate kinase isoenzyme 1 </t>
  </si>
  <si>
    <t>GO:0005524 (ATP binding); GO:0005737 (cytoplasm); GO:0016301 (kinase activity); GO:0016310 (phosphorylation); GO:0000166 (nucleotide binding); GO:0016740 (transferase activity); GO:0005829 (cytosol); GO:0006139 (nucleobase-containing compound metabolic process); GO:0019205 (nucleobase-containing compound kinase activity); GO:0046940 (nucleoside monophosphate phosphorylation); GO:0009142 (nucleoside triphosphate biosynthetic process); GO:0046034 (ATP metabolic process); GO:0004017 (adenylate kinase activity); GO:0006172 (ADP biosynthetic process); GO:0046033 (AMP metabolic process); GO:0004550 (nucleoside diphosphate kinase activity); GO:0006165 (nucleoside diphosphate phosphorylation)</t>
  </si>
  <si>
    <t>GO:0005730 (nucleolus)</t>
  </si>
  <si>
    <t xml:space="preserve">43 kDa receptor-associated protein of the synapse homolog </t>
  </si>
  <si>
    <t>GO:0046872 (metal ion binding); GO:0005515 (protein binding); GO:0007268 (chemical synaptic transmission); GO:0033130 (acetylcholine receptor binding); GO:0043495 (protein-membrane adaptor activity); GO:0045202 (synapse)</t>
  </si>
  <si>
    <t xml:space="preserve">5-Aminoimidazole-4-carboxamide ribonucleotide formylTransferase/IMP Cyclohydrolase homolog </t>
  </si>
  <si>
    <t>GO:0003824 (catalytic activity); GO:0005829 (cytosol); GO:0006164 (purine nucleotide biosynthetic process); GO:0006189 ('de novo' IMP biosynthetic process); GO:0003937 (IMP cyclohydrolase activity); GO:0004643 (phosphoribosylaminoimidazolecarboxamide formyltransferase activity); GO:0008152 (metabolic process); GO:0016787 (hydrolase activity); GO:0016740 (transferase activity)</t>
  </si>
  <si>
    <t>Myelin regulatory factor homolog 2 Myelin regulatory factor homolog 2, N-terminal Myelin regulatory factor homolog 2, C-terminal</t>
  </si>
  <si>
    <t xml:space="preserve">Actin-2 </t>
  </si>
  <si>
    <t xml:space="preserve">Protein transport protein Sec61 subunit beta </t>
  </si>
  <si>
    <t>GO:0016020 (membrane); GO:0016021 (integral component of membrane); GO:0006886 (intracellular protein transport); GO:0015031 (protein transport); GO:0005783 (endoplasmic reticulum); GO:0005789 (endoplasmic reticulum membrane); GO:0005784 (Sec61 translocon complex); GO:0006616 (SRP-dependent cotranslational protein targeting to membrane, translocation); GO:0031204 (posttranslational protein targeting to membrane, translocation)</t>
  </si>
  <si>
    <t xml:space="preserve">F59G1.4 </t>
  </si>
  <si>
    <t>GO:0060271 (cilium assembly); GO:0036064 (ciliary basal body)</t>
  </si>
  <si>
    <t xml:space="preserve">Four domain-type voltage-gated ion channel alpha-1 subunit; Novel Channel type/putative Nematode CAlcium channel </t>
  </si>
  <si>
    <t>GO:0016020 (membrane); GO:0016021 (integral component of membrane); GO:0005216 (ion channel activity); GO:0006811 (ion transport); GO:0034220 (ion transmembrane transport); GO:0098655 (cation transmembrane transport); GO:0055085 (transmembrane transport); GO:0005261 (cation channel activity); GO:0040017 (positive regulation of locomotion); GO:0032224 (positive regulation of synaptic transmission, cholinergic); GO:0032230 (positive regulation of synaptic transmission, GABAergic)</t>
  </si>
  <si>
    <t xml:space="preserve">ABF-5; AntiBacterial Factor related </t>
  </si>
  <si>
    <t xml:space="preserve">Sodium-dependent high-affinity dicarboxylate transporter 2 </t>
  </si>
  <si>
    <t>GO:0055085 (transmembrane transport); GO:0022857 (transmembrane transporter activity); GO:0016020 (membrane); GO:0016021 (integral component of membrane); GO:0071422 (succinate transmembrane transport); GO:0008340 (determination of adult lifespan); GO:0040018 (positive regulation of multicellular organism growth); GO:0015137 (citrate transmembrane transporter activity); GO:0015141 (succinate transmembrane transporter activity); GO:0006629 (lipid metabolic process); GO:0015744 (succinate transport); GO:0015746 (citrate transport)</t>
  </si>
  <si>
    <t xml:space="preserve">Transcriptional regulator ATRX homolog </t>
  </si>
  <si>
    <t>GO:0005737 (cytoplasm); GO:0005856 (cytoskeleton); GO:0005874 (microtubule); GO:0007049 (cell cycle); GO:0005515 (protein binding); GO:0008017 (microtubule binding); GO:0051301 (cell division); GO:0051010 (microtubule plus-end binding); GO:0035371 (microtubule plus-end); GO:0005815 (microtubule organizing center); GO:0051233 (spindle midzone); GO:0051225 (spindle assembly); GO:0005881 (cytoplasmic microtubule); GO:0031110 (regulation of microtubule polymerization or depolymerization); GO:1904825 (protein localization to microtubule plus-end); GO:0005938 (cell cortex); GO:0000235 (astral microtubule); GO:0005813 (centrosome)</t>
  </si>
  <si>
    <t xml:space="preserve">Putative extracellular sulfatase Sulf-1 homolog </t>
  </si>
  <si>
    <t>GO:0003824 (catalytic activity); GO:0016787 (hydrolase activity); GO:0046872 (metal ion binding); GO:0005794 (Golgi apparatus); GO:0008484 (sulfuric ester hydrolase activity); GO:0005783 (endoplasmic reticulum); GO:0009986 (cell surface); GO:0005539 (glycosaminoglycan binding); GO:0005795 (Golgi stack); GO:0008449 (N-acetylglucosamine-6-sulfatase activity); GO:0015015 (heparan sulfate proteoglycan biosynthetic process, enzymatic modification); GO:0017095 (heparan sulfate 6-O-sulfotransferase activity)</t>
  </si>
  <si>
    <t>GO:0016020 (membrane); GO:0016021 (integral component of membrane); GO:0004930 (G protein-coupled receptor activity); GO:0004983 (neuropeptide Y receptor activity); GO:0007186 (G protein-coupled receptor signaling pathway); GO:0005887 (integral component of plasma membrane); GO:0007218 (neuropeptide signaling pathway); GO:0008528 (G protein-coupled peptide receptor activity)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</si>
  <si>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GO:0000978 (RNA polymerase II cis-regulatory region sequence-specific DNA binding); GO:0006357 (regulation of transcription by RNA polymerase II); GO:0030154 (cell differentiation); GO:0048856 (anatomical structure development); GO:0000785 (chromatin); GO:0019543 (propionate catabolic process)</t>
  </si>
  <si>
    <t>GO:0000149 (SNARE binding); GO:0005829 (cytosol); GO:0042147 (retrograde transport, endosome to Golgi); GO:0090326 (positive regulation of locomotion involved in locomotory behavior); GO:1904811 (positive regulation of dense core granule transport); GO:0032456 (endocytic recycling); GO:1990745 (EARP complex)</t>
  </si>
  <si>
    <t xml:space="preserve">AristaLess (Drosophila homeodomain) Related </t>
  </si>
  <si>
    <t xml:space="preserve">Guanine nucleotide exchange factor UNC-73B </t>
  </si>
  <si>
    <t>GO:0035556 (intracellular signal transduction); GO:0005085 (guanyl-nucleotide exchange factor activity); GO:0050790 (regulation of catalytic activity); GO:0008045 (motor neuron axon guidance); GO:0016477 (cell migration); GO:0038007 (netrin-activated signaling pathway); GO:1905815 (regulation of dorsal/ventral axon guidance); GO:0009792 (embryo development ending in birth or egg hatching); GO:0043652 (engulfment of apoptotic cell); GO:0002119 (nematode larval development); GO:0005737 (cytoplasm); GO:0018991 (oviposition); GO:0030424 (axon); GO:0001764 (neuron migration); GO:0008078 (mesodermal cell migration); GO:0016601 (Rac protein signal transduction); GO:0030838 (positive regulation of actin filament polymerization); GO:0035022 (positive regulation of Rac protein signal transduction); GO:0035025 (positive regulation of Rho protein signal transduction); GO:0040012 (regulation of locomotion); GO:0040028 (regulation of vulval development); GO:0045773 (positive regulation of axon extension); GO:0048808 (male genitalia morphogenesis); GO:0036194 (muscle cell projection); GO:0014057 (positive regulation of acetylcholine secretion, neurotransmission); GO:1902474 (positive regulation of protein localization to synapse); GO:0061643 (chemorepulsion of axon); GO:0005515 (protein binding); GO:0031267 (small GTPase binding); GO:0032228 (regulation of synaptic transmission, GABAergic); GO:0030950 (establishment or maintenance of actin cytoskeleton polarity)</t>
  </si>
  <si>
    <t>GO:0046872 (metal ion binding); GO:0003779 (actin binding); GO:0007010 (cytoskeleton organization); GO:0051015 (actin filament binding); GO:0015629 (actin cytoskeleton); GO:0030032 (lamellipodium assembly); GO:0005515 (protein binding); GO:0009925 (basal plasma membrane); GO:0005886 (plasma membrane); GO:0005737 (cytoplasm); GO:0048812 (neuron projection morphogenesis); GO:0010591 (regulation of lamellipodium assembly); GO:0051489 (regulation of filopodium assembly)</t>
  </si>
  <si>
    <t xml:space="preserve">Sodium- and chloride-dependent betaine transporter </t>
  </si>
  <si>
    <t>GO:0016020 (membrane); GO:0016021 (integral component of membrane); GO:0005886 (plasma membrane); GO:0043005 (neuron projection); GO:0005887 (integral component of plasma membrane); GO:0035725 (sodium ion transmembrane transport); GO:0015293 (symporter activity); GO:0005332 (gamma-aminobutyric acid:sodium symporter activity); GO:0006836 (neurotransmitter transport); GO:0015812 (gamma-aminobutyric acid transport); GO:0015199 (amino-acid betaine transmembrane transporter activity); GO:0015838 (amino-acid betaine transport)</t>
  </si>
  <si>
    <t xml:space="preserve">Sorting Of Apical Proteins </t>
  </si>
  <si>
    <t>GO:0005829 (cytosol); GO:0042147 (retrograde transport, endosome to Golgi); GO:0006897 (endocytosis); GO:0008104 (protein localization); GO:0030139 (endocytic vesicle); GO:0003674 (molecular_function); GO:0045176 (apical protein localization)</t>
  </si>
  <si>
    <t xml:space="preserve">CDC-42 Guanine nucleotide Exchange Factor </t>
  </si>
  <si>
    <t>GO:0005085 (guanyl-nucleotide exchange factor activity); GO:0005737 (cytoplasm); GO:0008104 (protein localization); GO:0005938 (cell cortex); GO:0005654 (nucleoplasm); GO:0043547 (positive regulation of GTPase activity)</t>
  </si>
  <si>
    <t>GO:0016301 (kinase activity); GO:0016310 (phosphorylation); GO:0000166 (nucleotide binding); GO:0016740 (transferase activity); GO:0005737 (cytoplasm); GO:0005524 (ATP binding); GO:0006629 (lipid metabolic process); GO:0005829 (cytosol); GO:0004631 (phosphomevalonate kinase activity); GO:0006695 (cholesterol biosynthetic process); GO:0019287 (isopentenyl diphosphate biosynthetic process, mevalonate pathway)</t>
  </si>
  <si>
    <t xml:space="preserve">Nuclear hormone receptor family member nhr-28 </t>
  </si>
  <si>
    <t xml:space="preserve">LIR-2B protein; LIn-26 Related </t>
  </si>
  <si>
    <t>GO:0006511 (ubiquitin-dependent protein catabolic process); GO:0004843 (thiol-dependent ubiquitin-specific protease activity)</t>
  </si>
  <si>
    <t xml:space="preserve">AMPHiphysin homolog </t>
  </si>
  <si>
    <t>GO:0005886 (plasma membrane); GO:0005737 (cytoplasm); GO:0005515 (protein binding); GO:0005543 (phospholipid binding); GO:0048471 (perinuclear region of cytoplasm); GO:0005635 (nuclear envelope); GO:0060990 (lipid tube assembly involved in organelle fission); GO:0055037 (recycling endosome); GO:0006997 (nucleus organization); GO:0051647 (nucleus localization)</t>
  </si>
  <si>
    <t xml:space="preserve">Fatty acid-binding protein homolog 3 </t>
  </si>
  <si>
    <t xml:space="preserve">CALMyrin (Calcium and Integrin Binding protein) homolog </t>
  </si>
  <si>
    <t>GO:0005509 (calcium ion binding); GO:0007229 (integrin-mediated signaling pathway)</t>
  </si>
  <si>
    <t xml:space="preserve">Cation-transporting ATPase </t>
  </si>
  <si>
    <t>GO:0016020 (membrane); GO:0016021 (integral component of membrane); GO:0005524 (ATP binding); GO:0000166 (nucleotide binding); GO:0046872 (metal ion binding); GO:0034220 (ion transmembrane transport); GO:0098655 (cation transmembrane transport); GO:0016887 (ATPase activity); GO:0006812 (cation transport); GO:0006874 (cellular calcium ion homeostasis); GO:0019829 (ATPase-coupled cation transmembrane transporter activity)</t>
  </si>
  <si>
    <t xml:space="preserve">Yeast ERV (ER to Golgi transport Vesicle protein) homolog </t>
  </si>
  <si>
    <t>GO:0016020 (membrane); GO:0016021 (integral component of membrane); GO:0007186 (G protein-coupled receptor signaling pathway); GO:0019236 (response to pheromone)</t>
  </si>
  <si>
    <t xml:space="preserve">Soluble guanylate cyclase gcy-31 </t>
  </si>
  <si>
    <t>GO:0016849 (phosphorus-oxygen lyase activity); GO:0006182 (cGMP biosynthetic process); GO:0004383 (guanylate cyclase activity); GO:0009190 (cyclic nucleotide biosynthetic process); GO:0020037 (heme binding); GO:0035556 (intracellular signal transduction); GO:0046872 (metal ion binding); GO:0000166 (nucleotide binding); GO:0005525 (GTP binding); GO:0005737 (cytoplasm); GO:0016829 (lyase activity)</t>
  </si>
  <si>
    <t xml:space="preserve">Arf-GAP with ANK repeat and PH domain-containing protein cnt-2 </t>
  </si>
  <si>
    <t>GO:0003924 (GTPase activity); GO:0005525 (GTP binding); GO:0005096 (GTPase activator activity); GO:0005515 (protein binding); GO:0046872 (metal ion binding); GO:0043547 (positive regulation of GTPase activity)</t>
  </si>
  <si>
    <t>GO:0046872 (metal ion binding); GO:0016529 (sarcoplasmic reticulum)</t>
  </si>
  <si>
    <t>GO:0016020 (membrane); GO:0016021 (integral component of membrane); GO:0005737 (cytoplasm); GO:0016787 (hydrolase activity); GO:0046872 (metal ion binding); GO:0008270 (zinc ion binding); GO:0006508 (proteolysis); GO:0008233 (peptidase activity); GO:0008237 (metallopeptidase activity); GO:0042277 (peptide binding); GO:0004177 (aminopeptidase activity); GO:0043171 (peptide catabolic process); GO:0070006 (metalloaminopeptidase activity); GO:0009792 (embryo development ending in birth or egg hatching); GO:0046662 (regulation of oviposition); GO:1903538 (regulation of meiotic cell cycle process involved in oocyte maturation)</t>
  </si>
  <si>
    <t xml:space="preserve">Zinc finger protein sdc-1 </t>
  </si>
  <si>
    <t>GO:0005634 (nucleus); GO:0046872 (metal ion binding); GO:0003677 (DNA binding); GO:0007275 (multicellular organism development); GO:0043565 (sequence-specific DNA binding); GO:0000981 (DNA-binding transcription factor activity, RNA polymerase II-specific); GO:0006357 (regulation of transcription by RNA polymerase II); GO:0005694 (chromosome); GO:0030154 (cell differentiation); GO:0007548 (sex differentiation); GO:0000122 (negative regulation of transcription by RNA polymerase II); GO:0042464 (dosage compensation by hypoactivation of X chromosome); GO:0000228 (nuclear chromosome); GO:0007530 (sex determination); GO:0051571 (positive regulation of histone H3-K4 methylation)</t>
  </si>
  <si>
    <t>GO:0016020 (membrane); GO:0016021 (integral component of membrane); GO:0005783 (endoplasmic reticulum); GO:0006506 (GPI anchor biosynthetic process)</t>
  </si>
  <si>
    <t>GO:0016020 (membrane); GO:0016021 (integral component of membrane); GO:0005764 (lysosome); GO:0005765 (lysosomal membrane); GO:0051453 (regulation of intracellular pH); GO:0005773 (vacuole); GO:0007040 (lysosome organization); GO:0015809 (arginine transport); GO:0008340 (determination of adult lifespan); GO:0003674 (molecular_function); GO:0046662 (regulation of oviposition)</t>
  </si>
  <si>
    <t>GO:0016020 (membrane); GO:0016021 (integral component of membrane); GO:0006357 (regulation of transcription by RNA polymerase II); GO:0008643 (carbohydrate transport); GO:0003712 (transcription coregulator activity); GO:0016592 (mediator complex); GO:0045087 (innate immune response); GO:0050829 (defense response to Gram-negative bacterium)</t>
  </si>
  <si>
    <t xml:space="preserve">Suppressor of Constitutive Dauer formation </t>
  </si>
  <si>
    <t>GO:0005856 (cytoskeleton); GO:0005524 (ATP binding); GO:0005737 (cytoplasm); GO:0000166 (nucleotide binding); GO:0003774 (motor activity); GO:0007015 (actin filament organization); GO:0051015 (actin filament binding); GO:0003779 (actin binding); GO:0031982 (vesicle); GO:0016459 (myosin complex); GO:0015629 (actin cytoskeleton); GO:0005516 (calmodulin binding); GO:0000146 (microfilament motor activity); GO:0030898 (actin-dependent ATPase activity); GO:0030050 (vesicle transport along actin filament); GO:0098858 (actin-based cell projection); GO:0005515 (protein binding)</t>
  </si>
  <si>
    <t xml:space="preserve">Mitogen-activated protein kinase pmk-3 </t>
  </si>
  <si>
    <t>GO:0004707 (MAP kinase activity); GO:0004672 (protein kinase activity); GO:0006468 (protein phosphorylation); GO:0005524 (ATP binding); GO:0016301 (kinase activity); GO:0016310 (phosphorylation)</t>
  </si>
  <si>
    <t>GO:0016020 (membrane); GO:0016021 (integral component of membrane); GO:0006629 (lipid metabolic process)</t>
  </si>
  <si>
    <t xml:space="preserve">Ras GTPase-activating protein gap-2 </t>
  </si>
  <si>
    <t xml:space="preserve">Transmembrane protein adipocyte-associated 1 homolog </t>
  </si>
  <si>
    <t>GO:0007218 (neuropeptide signaling pathway); GO:0071244 (cellular response to carbon dioxide); GO:1903745 (negative regulation of pharyngeal pumping); GO:0005184 (neuropeptide hormone activity)</t>
  </si>
  <si>
    <t>GO:0055120 (striated muscle dense body); GO:0030054 (cell junction)</t>
  </si>
  <si>
    <t xml:space="preserve">SYmmetrical Sister cell hermaphrodite gonad defect </t>
  </si>
  <si>
    <t>GO:0005634 (nucleus); GO:0005737 (cytoplasm); GO:0005515 (protein binding); GO:0097110 (scaffold protein binding); GO:0008406 (gonad development); GO:0048337 (positive regulation of mesodermal cell fate specification); GO:0048566 (embryonic digestive tract development); GO:0045892 (negative regulation of transcription, DNA-templated); GO:0007501 (mesodermal cell fate specification); GO:0000242 (pericentriolar material); GO:0009792 (embryo development ending in birth or egg hatching); GO:0045944 (positive regulation of transcription by RNA polymerase II); GO:0005813 (centrosome); GO:0003713 (transcription coactivator activity); GO:0008134 (transcription factor binding); GO:0009786 (regulation of asymmetric cell division); GO:0010085 (polarity specification of proximal/distal axis); GO:0008584 (male gonad development); GO:0008585 (female gonad development); GO:0009954 (proximal/distal pattern formation)</t>
  </si>
  <si>
    <t xml:space="preserve">Histone-lysine N-methyltransferase </t>
  </si>
  <si>
    <t>GO:0005634 (nucleus); GO:0008168 (methyltransferase activity); GO:0032259 (methylation); GO:0046872 (metal ion binding); GO:0016740 (transferase activity); GO:0045944 (positive regulation of transcription by RNA polymerase II); GO:0042393 (histone binding); GO:0044666 (MLL3/4 complex); GO:0042800 (histone methyltransferase activity (H3-K4 specific)); GO:0003713 (transcription coactivator activity); GO:0006325 (chromatin organization); GO:0040028 (regulation of vulval development); GO:0051568 (histone H3-K4 methylation); GO:0005515 (protein binding)</t>
  </si>
  <si>
    <t>GO:0005634 (nucleus); GO:0005737 (cytoplasm); GO:0046872 (metal ion binding); GO:0006511 (ubiquitin-dependent protein catabolic process); GO:0008270 (zinc ion binding); GO:0016567 (protein ubiquitination); GO:0004842 (ubiquitin-protein transferase activity); GO:0072572 (poly-ADP-D-ribose binding)</t>
  </si>
  <si>
    <t>GO:0016020 (membrane); GO:0016021 (integral component of membrane); GO:0005524 (ATP binding); GO:0042626 (ATPase-coupled transmembrane transporter activity); GO:0000166 (nucleotide binding); GO:0055085 (transmembrane transport); GO:0006635 (fatty acid beta-oxidation); GO:0005324 (long-chain fatty acid transporter activity); GO:0005778 (peroxisomal membrane); GO:0007031 (peroxisome organization); GO:0016887 (ATPase activity); GO:0015910 (long-chain fatty acid import into peroxisome); GO:0042760 (very long-chain fatty acid catabolic process)</t>
  </si>
  <si>
    <t>GO:0005524 (ATP binding); GO:0000166 (nucleotide binding); GO:0004812 (aminoacyl-tRNA ligase activity); GO:0006418 (tRNA aminoacylation for protein translation); GO:0016874 (ligase activity); GO:0006412 (translation); GO:0004825 (methionine-tRNA ligase activity); GO:0006431 (methionyl-tRNA aminoacylation)</t>
  </si>
  <si>
    <t xml:space="preserve">Intraflagellar transport protein 46 homolog </t>
  </si>
  <si>
    <t>GO:0042073 (intraciliary transport)</t>
  </si>
  <si>
    <t xml:space="preserve">E3 ubiquitin-protein ligase rpm-1 </t>
  </si>
  <si>
    <t>GO:0005634 (nucleus); GO:0046872 (metal ion binding); GO:0016740 (transferase activity); GO:0016567 (protein ubiquitination); GO:0008270 (zinc ion binding); GO:0045202 (synapse); GO:0005515 (protein binding); GO:0042995 (cell projection); GO:0030424 (axon); GO:1905489 (regulation of sensory neuron axon guidance); GO:0008582 (regulation of synaptic growth at neuromuscular junction); GO:1902230 (negative regulation of intrinsic apoptotic signaling pathway in response to DNA damage); GO:0048692 (negative regulation of axon extension involved in regeneration); GO:0048843 (negative regulation of axon extension involved in axon guidance); GO:1905490 (negative regulation of sensory neuron axon guidance); GO:1905812 (regulation of motor neuron axon guidance); GO:1905815 (regulation of dorsal/ventral axon guidance); GO:0033563 (dorsal/ventral axon guidance); GO:0043409 (negative regulation of MAPK cascade); GO:0048841 (regulation of axon extension involved in axon guidance); GO:1905868 (regulation of 3'-UTR-mediated mRNA stabilization); GO:0050807 (regulation of synapse organization); GO:1905608 (positive regulation of presynapse assembly); GO:1905606 (regulation of presynapse assembly); GO:1905869 (negative regulation of 3'-UTR-mediated mRNA stabilization); GO:0018991 (oviposition); GO:0040011 (locomotion); GO:0031594 (neuromuscular junction); GO:0019903 (protein phosphatase binding); GO:0061630 (ubiquitin protein ligase activity); GO:0010171 (body morphogenesis); GO:0030517 (negative regulation of axon extension); GO:0036062 (presynaptic periactive zone); GO:0031435 (mitogen-activated protein kinase kinase kinase binding); GO:0048681 (negative regulation of axon regeneration); GO:0031647 (regulation of protein stability); GO:0051965 (positive regulation of synapse assembly)</t>
  </si>
  <si>
    <t>GO:0043235 (receptor complex); GO:0051260 (protein homooligomerization); GO:0005515 (protein binding)</t>
  </si>
  <si>
    <t xml:space="preserve">Clusterin-associated protein 1 homolog </t>
  </si>
  <si>
    <t xml:space="preserve">AT hook Transcription Factor family </t>
  </si>
  <si>
    <t xml:space="preserve">Serine hydroxymethyltransferase </t>
  </si>
  <si>
    <t>GO:0035999 (tetrahydrofolate interconversion); GO:0019264 (glycine biosynthetic process from serine); GO:0004372 (glycine hydroxymethyltransferase activity); GO:0030170 (pyridoxal phosphate binding); GO:0003824 (catalytic activity)</t>
  </si>
  <si>
    <t xml:space="preserve">Innexin-17 </t>
  </si>
  <si>
    <t xml:space="preserve">Mitochondrial import receptor subunit TOM22 homolog </t>
  </si>
  <si>
    <t>GO:0016020 (membrane); GO:0016021 (integral component of membrane); GO:0006886 (intracellular protein transport); GO:0015031 (protein transport); GO:0005739 (mitochondrion); GO:0005741 (mitochondrial outer membrane)</t>
  </si>
  <si>
    <t>GO:0005778 (peroxisomal membrane); GO:0005779 (integral component of peroxisomal membrane); GO:0007031 (peroxisome organization); GO:0030674 (protein-macromolecule adaptor activity); GO:0045046 (protein import into peroxisome membrane)</t>
  </si>
  <si>
    <t xml:space="preserve">von Hippel-Lindau tumor suppressor homolog </t>
  </si>
  <si>
    <t>GO:0005634 (nucleus); GO:0016567 (protein ubiquitination); GO:0030891 (VCB complex); GO:0001666 (response to hypoxia); GO:0031462 (Cul2-RING ubiquitin ligase complex)</t>
  </si>
  <si>
    <t>GO:0005634 (nucleus); GO:0003676 (nucleic acid binding); GO:0003723 (RNA binding); GO:0005515 (protein binding); GO:0043565 (sequence-specific DNA binding); GO:0006357 (regulation of transcription by RNA polymerase II); GO:0050684 (regulation of mRNA processing); GO:0007586 (digestion)</t>
  </si>
  <si>
    <t>GO:0005737 (cytoplasm); GO:0016787 (hydrolase activity); GO:0006511 (ubiquitin-dependent protein catabolic process); GO:0006508 (proteolysis); GO:0008233 (peptidase activity); GO:0008234 (cysteine-type peptidase activity); GO:0004843 (thiol-dependent ubiquitin-specific protease activity); GO:0016579 (protein deubiquitination)</t>
  </si>
  <si>
    <t>GO:0016020 (membrane); GO:0016021 (integral component of membrane); GO:0005524 (ATP binding); GO:0006811 (ion transport); GO:0000166 (nucleotide binding); GO:0043231 (intracellular membrane-bounded organelle); GO:0005887 (integral component of plasma membrane); GO:0070588 (calcium ion transmembrane transport); GO:0016887 (ATPase activity); GO:0006816 (calcium ion transport); GO:0005388 (calcium transmembrane transporter activity, phosphorylative mechanism); GO:0006874 (cellular calcium ion homeostasis); GO:0051480 (regulation of cytosolic calcium ion concentration); GO:0019829 (ATPase-coupled cation transmembrane transporter activity)</t>
  </si>
  <si>
    <t>GO:0005085 (guanyl-nucleotide exchange factor activity); GO:0050790 (regulation of catalytic activity); GO:0035023 (regulation of Rho protein signal transduction)</t>
  </si>
  <si>
    <t xml:space="preserve">GLY-19; GLYcosylation related </t>
  </si>
  <si>
    <t>GO:0016020 (membrane); GO:0016740 (transferase activity); GO:0000139 (Golgi membrane); GO:0016757 (transferase activity, transferring glycosyl groups); GO:0008375 (acetylglucosaminyltransferase activity)</t>
  </si>
  <si>
    <t xml:space="preserve">Chromo domain-containing protein cec-1 </t>
  </si>
  <si>
    <t xml:space="preserve">Structural maintenance of chromosomes protein 6 </t>
  </si>
  <si>
    <t>GO:0005634 (nucleus); GO:0005524 (ATP binding); GO:0000166 (nucleotide binding); GO:0016887 (ATPase activity); GO:0006281 (DNA repair); GO:0006974 (cellular response to DNA damage stimulus); GO:0005694 (chromosome); GO:0000724 (double-strand break repair via homologous recombination); GO:0030915 (Smc5-Smc6 complex); GO:0032508 (DNA duplex unwinding); GO:0003684 (damaged DNA binding); GO:0003697 (single-stranded DNA binding); GO:0035861 (site of double-strand break); GO:0036121 (double-stranded DNA helicase activity)</t>
  </si>
  <si>
    <t xml:space="preserve">Gut granule LOss; Rab GTPase GLO-1 </t>
  </si>
  <si>
    <t>GO:0016020 (membrane); GO:0003924 (GTPase activity); GO:0005525 (GTP binding); GO:0000166 (nucleotide binding); GO:0016192 (vesicle-mediated transport); GO:0006886 (intracellular protein transport); GO:0005739 (mitochondrion); GO:0005794 (Golgi apparatus); GO:0005802 (trans-Golgi network); GO:0031982 (vesicle); GO:0012505 (endomembrane system); GO:0019915 (lipid storage); GO:0007040 (lysosome organization); GO:0044840 (gut granule); GO:0044841 (gut granule membrane); GO:0032438 (melanosome organization); GO:0042470 (melanosome)</t>
  </si>
  <si>
    <t xml:space="preserve">Poly [ADP-ribose] polymerase tankyrase </t>
  </si>
  <si>
    <t>GO:0005634 (nucleus); GO:0016740 (transferase activity); GO:0005730 (nucleolus); GO:0016757 (transferase activity, transferring glycosyl groups); GO:0003950 (NAD+ ADP-ribosyltransferase activity); GO:0006471 (protein ADP-ribosylation); GO:0006302 (double-strand break repair); GO:0006281 (DNA repair); GO:0006974 (cellular response to DNA damage stimulus); GO:0005694 (chromosome); GO:0070212 (protein poly-ADP-ribosylation); GO:1990404 (protein ADP-ribosylase activity); GO:0008630 (intrinsic apoptotic signaling pathway in response to DNA damage); GO:0043069 (negative regulation of programmed cell death); GO:0010332 (response to gamma radiation); GO:0005515 (protein binding)</t>
  </si>
  <si>
    <t>GO:0016529 (sarcoplasmic reticulum)</t>
  </si>
  <si>
    <t xml:space="preserve">Eukaryotic translation initiation factor 4E-4 </t>
  </si>
  <si>
    <t>GO:0005634 (nucleus); GO:0005737 (cytoplasm); GO:0005515 (protein binding); GO:2000812 (regulation of barbed-end actin filament capping)</t>
  </si>
  <si>
    <t>GO:0040027 (negative regulation of vulval development); GO:0046580 (negative regulation of Ras protein signal transduction); GO:0005515 (protein binding)</t>
  </si>
  <si>
    <t xml:space="preserve">Probable V-type proton ATPase subunit G </t>
  </si>
  <si>
    <t>GO:0006811 (ion transport); GO:0042626 (ATPase-coupled transmembrane transporter activity); GO:0016471 (vacuolar proton-transporting V-type ATPase complex); GO:0012501 (programmed cell death); GO:1902600 (proton transmembrane transport); GO:0006754 (ATP biosynthetic process); GO:0015078 (proton transmembrane transporter activity); GO:0043068 (positive regulation of programmed cell death)</t>
  </si>
  <si>
    <t>GO:0005634 (nucleus); GO:0006355 (regulation of transcription, DNA-templated); GO:0008270 (zinc ion binding); GO:0043565 (sequence-specific DNA binding); GO:0005515 (protein binding); GO:0003682 (chromatin binding); GO:0000122 (negative regulation of transcription by RNA polymerase II); GO:0001103 (RNA polymerase II repressing transcription factor binding); GO:0003713 (transcription coactivator activity); GO:0003714 (transcription corepressor activity); GO:0005654 (nucleoplasm); GO:0016575 (histone deacetylation); GO:0016581 (NuRD complex); GO:0042826 (histone deacetylase binding); GO:0006325 (chromatin organization); GO:1900182 (positive regulation of protein localization to nucleus); GO:0045893 (positive regulation of transcription, DNA-templated); GO:0034514 (mitochondrial unfolded protein response)</t>
  </si>
  <si>
    <t xml:space="preserve">Gamma-glutamylcyclotransferase </t>
  </si>
  <si>
    <t>GO:0005737 (cytoplasm); GO:0016740 (transferase activity); GO:0016829 (lyase activity); GO:0003839 (gamma-glutamylcyclotransferase activity); GO:0006751 (glutathione catabolic process); GO:0061928 (glutathione specific gamma-glutamylcyclotransferase activity); GO:0055120 (striated muscle dense body)</t>
  </si>
  <si>
    <t xml:space="preserve">TOMosyn synaptic protein </t>
  </si>
  <si>
    <t>GO:0098793 (presynapse); GO:0010807 (regulation of synaptic vesicle priming); GO:0031594 (neuromuscular junction); GO:0098674 (extrinsic component of neuronal dense core vesicle membrane); GO:0098981 (cholinergic synapse); GO:0098982 (GABA-ergic synapse); GO:0099148 (regulation of synaptic vesicle docking); GO:0099161 (regulation of presynaptic dense core granule exocytosis); GO:0006887 (exocytosis); GO:0016082 (synaptic vesicle priming); GO:0031201 (SNARE complex); GO:0005515 (protein binding); GO:0005737 (cytoplasm); GO:0005886 (plasma membrane); GO:0005096 (GTPase activator activity); GO:0043547 (positive regulation of GTPase activity); GO:0050708 (regulation of protein secretion); GO:0019905 (syntaxin binding); GO:0017157 (regulation of exocytosis); GO:1902075 (cellular response to salt); GO:0045159 (myosin II binding)</t>
  </si>
  <si>
    <t xml:space="preserve">Liprin-beta </t>
  </si>
  <si>
    <t>GO:0007528 (neuromuscular junction development); GO:0050808 (synapse organization); GO:0048786 (presynaptic active zone); GO:0040017 (positive regulation of locomotion); GO:0000003 (reproduction); GO:0043051 (regulation of pharyngeal pumping); GO:0005515 (protein binding)</t>
  </si>
  <si>
    <t>GO:0004713 (protein tyrosine kinase activity); GO:0004672 (protein kinase activity); GO:0006468 (protein phosphorylation); GO:0005515 (protein binding); GO:0005524 (ATP binding)</t>
  </si>
  <si>
    <t xml:space="preserve">T lineage defect, LePtoderan tail; Zinc finger protein TLP-1 </t>
  </si>
  <si>
    <t>GO:0005634 (nucleus); GO:0046872 (metal ion binding); GO:0007275 (multicellular organism development); GO:0045892 (negative regulation of transcription, DNA-templated); GO:0007399 (nervous system development); GO:0070491 (repressing transcription factor binding); GO:0045944 (positive regulation of transcription by RNA polymerase II)</t>
  </si>
  <si>
    <t>GO:0006886 (intracellular protein transport); GO:0035091 (phosphatidylinositol binding); GO:0005769 (early endosome); GO:0032456 (endocytic recycling); GO:0032266 (phosphatidylinositol-3-phosphate binding); GO:0005515 (protein binding)</t>
  </si>
  <si>
    <t xml:space="preserve">Acidic leucine-rich nuclear phosphoprotein 32-related protein 1 </t>
  </si>
  <si>
    <t>GO:0005892 (acetylcholine-gated channel complex); GO:0045121 (membrane raft)</t>
  </si>
  <si>
    <t xml:space="preserve">Choline kinase B1 </t>
  </si>
  <si>
    <t>GO:0005634 (nucleus); GO:0046872 (metal ion binding); GO:0046982 (protein heterodimerization activity); GO:0005669 (transcription factor TFIID complex)</t>
  </si>
  <si>
    <t xml:space="preserve">SEcretin/class B GPCR; Secretin receptor-like protein SEB-3 </t>
  </si>
  <si>
    <t>GO:0016020 (membrane); GO:0016021 (integral component of membrane); GO:0004888 (transmembrane signaling receptor activity); GO:0005886 (plasma membrane); GO:0004930 (G protein-coupled receptor activity); GO:0007186 (G protein-coupled receptor signaling pathway); GO:0007166 (cell surface receptor signaling pathway); GO:0007188 (adenylate cyclase-modulating G protein-coupled receptor signaling pathway); GO:0008528 (G protein-coupled peptide receptor activity); GO:0043025 (neuronal cell body); GO:0030424 (axon); GO:0032809 (neuronal cell body membrane); GO:0009408 (response to heat); GO:0007626 (locomotory behavior); GO:0048149 (behavioral response to ethanol); GO:0030673 (axolemma)</t>
  </si>
  <si>
    <t>GO:0016020 (membrane); GO:0016021 (integral component of membrane); GO:0005886 (plasma membrane); GO:0002028 (regulation of sodium ion transport)</t>
  </si>
  <si>
    <t>GO:0005783 (endoplasmic reticulum); GO:0005518 (collagen binding); GO:0030199 (collagen fibril organization)</t>
  </si>
  <si>
    <t>GO:0016020 (membrane); GO:0005783 (endoplasmic reticulum); GO:0001676 (long-chain fatty acid metabolic process); GO:0004467 (long-chain fatty acid-CoA ligase activity)</t>
  </si>
  <si>
    <t xml:space="preserve">Sterile alpha and TIR motif-containing protein tir-1 </t>
  </si>
  <si>
    <t>GO:0016787 (hydrolase activity); GO:0005737 (cytoplasm); GO:0007165 (signal transduction); GO:0007275 (multicellular organism development); GO:0034128 (negative regulation of MyD88-independent toll-like receptor signaling pathway); GO:0035591 (signaling adaptor activity); GO:0048678 (response to axon injury); GO:0002376 (immune system process); GO:0045087 (innate immune response); GO:0010628 (positive regulation of gene expression); GO:0007399 (nervous system development); GO:0010629 (negative regulation of gene expression); GO:0030154 (cell differentiation); GO:0030425 (dendrite); GO:0042802 (identical protein binding); GO:0050832 (defense response to fungus); GO:1901216 (positive regulation of neuron death); GO:1901214 (regulation of neuron death); GO:0019901 (protein kinase binding); GO:0005515 (protein binding); GO:0008104 (protein localization); GO:0045944 (positive regulation of transcription by RNA polymerase II); GO:0000187 (activation of MAPK activity); GO:0042742 (defense response to bacterium); GO:1904115 (axon cytoplasm); GO:0045168 (cell-cell signaling involved in cell fate commitment); GO:0003953 (NAD+ nucleosidase activity); GO:0050135 (NAD(P)+ nucleosidase activity); GO:0061809 (NAD+ nucleotidase, cyclic ADP-ribose generating); GO:0019677 (NAD catabolic process); GO:0031267 (small GTPase binding)</t>
  </si>
  <si>
    <t xml:space="preserve">Drosophila PRicKLe homolog </t>
  </si>
  <si>
    <t xml:space="preserve">Insulin-like peptide 17 </t>
  </si>
  <si>
    <t xml:space="preserve">Lin-5 (Five) Interacting protein </t>
  </si>
  <si>
    <t>GO:0005634 (nucleus); GO:0005828 (kinetochore microtubule)</t>
  </si>
  <si>
    <t xml:space="preserve">T-cell defective protein 2 </t>
  </si>
  <si>
    <t>GO:0005634 (nucleus); GO:0005737 (cytoplasm); GO:0016055 (Wnt signaling pathway); GO:0003674 (molecular_function); GO:0008356 (asymmetric cell division)</t>
  </si>
  <si>
    <t xml:space="preserve">Mitotic chromosome and X-chromosome-associated protein mix-1 </t>
  </si>
  <si>
    <t xml:space="preserve">Globin-like protein </t>
  </si>
  <si>
    <t>GO:0015671 (oxygen transport); GO:0019825 (oxygen binding); GO:0005506 (iron ion binding); GO:0020037 (heme binding)</t>
  </si>
  <si>
    <t xml:space="preserve">Yeast SEC homolog </t>
  </si>
  <si>
    <t>GO:0016020 (membrane); GO:0016021 (integral component of membrane); GO:0015031 (protein transport); GO:0043022 (ribosome binding); GO:0005789 (endoplasmic reticulum membrane); GO:0005048 (signal sequence binding); GO:0005784 (Sec61 translocon complex); GO:0006616 (SRP-dependent cotranslational protein targeting to membrane, translocation); GO:0008320 (protein transmembrane transporter activity); GO:0031204 (posttranslational protein targeting to membrane, translocation)</t>
  </si>
  <si>
    <t>GO:0016020 (membrane); GO:0016021 (integral component of membrane); GO:0016263 (glycoprotein-N-acetylgalactosamine 3-beta-galactosyltransferase activity); GO:0016267 (O-glycan processing, core 1); GO:0018215 (protein phosphopantetheinylation); GO:0016757 (transferase activity, transferring glycosyl groups)</t>
  </si>
  <si>
    <t xml:space="preserve">Tyrosine-protein kinase sid-3 </t>
  </si>
  <si>
    <t>GO:0005524 (ATP binding); GO:0004672 (protein kinase activity); GO:0006468 (protein phosphorylation); GO:0016301 (kinase activity); GO:0016310 (phosphorylation); GO:0000166 (nucleotide binding); GO:0016740 (transferase activity); GO:0005737 (cytoplasm); GO:0004713 (protein tyrosine kinase activity); GO:0004715 (non-membrane spanning protein tyrosine kinase activity); GO:0018108 (peptidyl-tyrosine phosphorylation); GO:0031234 (extrinsic component of cytoplasmic side of plasma membrane); GO:0005102 (signaling receptor binding); GO:0031047 (gene silencing by RNA); GO:0007169 (transmembrane receptor protein tyrosine kinase signaling pathway); GO:0030154 (cell differentiation); GO:0045087 (innate immune response); GO:0016246 (RNA interference); GO:0005515 (protein binding); GO:0004714 (transmembrane receptor protein tyrosine kinase activity)</t>
  </si>
  <si>
    <t xml:space="preserve">NUCleoBindin homolog </t>
  </si>
  <si>
    <t>GO:0005509 (calcium ion binding); GO:0005793 (endoplasmic reticulum-Golgi intermediate compartment)</t>
  </si>
  <si>
    <t xml:space="preserve">Exostosin-2 homolog </t>
  </si>
  <si>
    <t>GO:0016757 (transferase activity, transferring glycosyl groups); GO:0006486 (protein glycosylation); GO:0016021 (integral component of membrane)</t>
  </si>
  <si>
    <t xml:space="preserve">Disks large homolog 1 </t>
  </si>
  <si>
    <t xml:space="preserve">DENN domain type RAB GEF </t>
  </si>
  <si>
    <t>GO:0031410 (cytoplasmic vesicle); GO:0032483 (regulation of Rab protein signal transduction); GO:0005515 (protein binding)</t>
  </si>
  <si>
    <t xml:space="preserve">Nuclear hormone receptor family member nhr-11 </t>
  </si>
  <si>
    <t xml:space="preserve">SF1 protein; Splicing FActor </t>
  </si>
  <si>
    <t>GO:0005634 (nucleus); GO:0003723 (RNA binding); GO:0046872 (metal ion binding); GO:0008270 (zinc ion binding); GO:0003676 (nucleic acid binding); GO:0003729 (mRNA binding); GO:0000398 (mRNA splicing, via spliceosome); GO:0006397 (mRNA processing); GO:0008380 (RNA splicing); GO:0005681 (spliceosomal complex); GO:0045131 (pre-mRNA branch point binding); GO:0048024 (regulation of mRNA splicing, via spliceosome); GO:0000380 (alternative mRNA splicing, via spliceosome)</t>
  </si>
  <si>
    <t>GO:0000166 (nucleotide binding); GO:0016740 (transferase activity); GO:0000209 (protein polyubiquitination); GO:0006511 (ubiquitin-dependent protein catabolic process); GO:0005524 (ATP binding); GO:0061631 (ubiquitin conjugating enzyme activity)</t>
  </si>
  <si>
    <t xml:space="preserve">MNAT (Menage a trois) TFIIH subunit </t>
  </si>
  <si>
    <t>GO:0016301 (kinase activity); GO:0016310 (phosphorylation); GO:0005634 (nucleus); GO:0046872 (metal ion binding); GO:0007049 (cell cycle); GO:0006357 (regulation of transcription by RNA polymerase II); GO:0000079 (regulation of cyclin-dependent protein serine/threonine kinase activity); GO:0005675 (transcription factor TFIIH holo complex); GO:0006289 (nucleotide-excision repair); GO:0006281 (DNA repair); GO:0045737 (positive regulation of cyclin-dependent protein serine/threonine kinase activity); GO:0061575 (cyclin-dependent protein serine/threonine kinase activator activity)</t>
  </si>
  <si>
    <t xml:space="preserve">NONO (Conserved nuclear protein, aka PSF) homolog </t>
  </si>
  <si>
    <t>GO:0005634 (nucleus); GO:0000398 (mRNA splicing, via spliceosome); GO:0003676 (nucleic acid binding); GO:0003723 (RNA binding); GO:0000976 (transcription regulatory region sequence-specific DNA binding); GO:0006355 (regulation of transcription, DNA-templated); GO:0016020 (membrane); GO:0016021 (integral component of membrane)</t>
  </si>
  <si>
    <t xml:space="preserve">FoLliCuliN </t>
  </si>
  <si>
    <t>GO:0005085 (guanyl-nucleotide exchange factor activity); GO:0050790 (regulation of catalytic activity); GO:0016020 (membrane); GO:0005634 (nucleus); GO:0005737 (cytoplasm); GO:0005096 (GTPase activator activity); GO:0043547 (positive regulation of GTPase activity); GO:0005856 (cytoskeleton); GO:0005929 (cilium); GO:0042995 (cell projection); GO:0005764 (lysosome); GO:0005765 (lysosomal membrane); GO:0005829 (cytosol); GO:0005815 (microtubule organizing center); GO:0005819 (spindle)</t>
  </si>
  <si>
    <t xml:space="preserve">Cilia- and flagella-associated protein 36 </t>
  </si>
  <si>
    <t xml:space="preserve">K+/Cl-Cotransporter </t>
  </si>
  <si>
    <t>GO:0016020 (membrane); GO:0016021 (integral component of membrane); GO:0006811 (ion transport); GO:0022857 (transmembrane transporter activity); GO:0055085 (transmembrane transport); GO:0007268 (chemical synaptic transmission); GO:0006884 (cell volume homeostasis); GO:0015379 (potassium:chloride symporter activity); GO:0055064 (chloride ion homeostasis); GO:0055075 (potassium ion homeostasis); GO:1902476 (chloride transmembrane transport); GO:1990573 (potassium ion import across plasma membrane); GO:0006813 (potassium ion transport); GO:0032228 (regulation of synaptic transmission, GABAergic); GO:0006821 (chloride transport); GO:0045202 (synapse); GO:0015293 (symporter activity); GO:0015377 (cation:chloride symporter activity)</t>
  </si>
  <si>
    <t xml:space="preserve">Nicotinamide N-methyltransferase </t>
  </si>
  <si>
    <t>GO:0016020 (membrane); GO:0016021 (integral component of membrane); GO:0016740 (transferase activity); GO:0016829 (lyase activity); GO:0003839 (gamma-glutamylcyclotransferase activity)</t>
  </si>
  <si>
    <t xml:space="preserve">Twitchin </t>
  </si>
  <si>
    <t>GO:0005524 (ATP binding); GO:0004672 (protein kinase activity); GO:0006468 (protein phosphorylation); GO:0016301 (kinase activity); GO:0016310 (phosphorylation); GO:0046872 (metal ion binding); GO:0000166 (nucleotide binding); GO:0016740 (transferase activity); GO:0005737 (cytoplasm); GO:0004674 (protein serine/threonine kinase activity); GO:0005516 (calmodulin binding); GO:0031672 (A band); GO:0008344 (adult locomotory behavior); GO:0040017 (positive regulation of locomotion); GO:0019901 (protein kinase binding); GO:0060298 (positive regulation of sarcomere organization); GO:0051782 (negative regulation of cell division); GO:0045989 (positive regulation of striated muscle contraction); GO:0035095 (behavioral response to nicotine); GO:0030017 (sarcomere); GO:0018107 (peptidyl-threonine phosphorylation); GO:0018105 (peptidyl-serine phosphorylation); GO:0005515 (protein binding); GO:0106310 (protein serine kinase activity); GO:0106311 (protein threonine kinase activity)</t>
  </si>
  <si>
    <t xml:space="preserve">FMRF-Like Peptide; FMRFamide-like peptide 2b </t>
  </si>
  <si>
    <t xml:space="preserve">WD40 and FYVE domain protein </t>
  </si>
  <si>
    <t>GO:0046872 (metal ion binding); GO:0016020 (membrane); GO:0005829 (cytosol); GO:0019901 (protein kinase binding); GO:0008104 (protein localization); GO:0005515 (protein binding)</t>
  </si>
  <si>
    <t xml:space="preserve">Synembryn </t>
  </si>
  <si>
    <t>GO:0005737 (cytoplasm); GO:0005096 (GTPase activator activity); GO:0043547 (positive regulation of GTPase activity); GO:0007275 (multicellular organism development); GO:0007186 (G protein-coupled receptor signaling pathway); GO:0050790 (regulation of catalytic activity); GO:0005085 (guanyl-nucleotide exchange factor activity); GO:0005938 (cell cortex); GO:0001965 (G-protein alpha-subunit binding); GO:0005819 (spindle); GO:0005828 (kinetochore microtubule); GO:0090038 (negative regulation of protein kinase C signaling); GO:2000114 (regulation of establishment of cell polarity); GO:0060259 (regulation of feeding behavior); GO:0005818 (aster); GO:0072697 (protein localization to cell cortex)</t>
  </si>
  <si>
    <t xml:space="preserve">Nuclear hormone receptor family member nhr-134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</si>
  <si>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GO:0035556 (intracellular signal transduction); GO:0000165 (MAPK cascade); GO:0004707 (MAP kinase activity); GO:0106310 (protein serine kinase activity); GO:0106311 (protein threonine kinase activity)</t>
  </si>
  <si>
    <t>GO:0016020 (membrane); GO:0016021 (integral component of membrane); GO:0006915 (apoptotic process); GO:0043280 (positive regulation of cysteine-type endopeptidase activity involved in apoptotic process); GO:0034164 (negative regulation of toll-like receptor 9 signaling pathway)</t>
  </si>
  <si>
    <t xml:space="preserve">Pim (Mammalian oncogene) Related Kinase </t>
  </si>
  <si>
    <t>GO:0005524 (ATP binding); GO:0005737 (cytoplasm); GO:0004672 (protein kinase activity); GO:0004674 (protein serine/threonine kinase activity); GO:0006468 (protein phosphorylation); GO:0016301 (kinase activity); GO:0016310 (phosphorylation); GO:0000166 (nucleotide binding); GO:0046777 (protein autophosphorylation)</t>
  </si>
  <si>
    <t>GO:0016020 (membrane); GO:0016021 (integral component of membrane); GO:0005886 (plasma membrane); GO:0030659 (cytoplasmic vesicle membrane); GO:0006897 (endocytosis); GO:0005813 (centrosome); GO:0018996 (molting cycle, collagen and cuticulin-based cuticle); GO:0045138 (nematode male tail tip morphogenesis)</t>
  </si>
  <si>
    <t xml:space="preserve">Serine/threonine kinase NLK </t>
  </si>
  <si>
    <t>GO:0005634 (nucleus); GO:0046872 (metal ion binding); GO:0005737 (cytoplasm); GO:0006355 (regulation of transcription, DNA-templated); GO:0003677 (DNA binding); GO:0005667 (transcription regulator complex); GO:0007179 (transforming growth factor beta receptor signaling pathway); GO:0005515 (protein binding); GO:0005694 (chromosome); GO:0061065 (regulation of dauer larval development); GO:0050829 (defense response to Gram-negative bacterium); GO:0071444 (cellular response to pheromone); GO:0000122 (negative regulation of transcription by RNA polymerase II); GO:0008340 (determination of adult lifespan); GO:0043051 (regulation of pharyngeal pumping); GO:0040024 (dauer larval development); GO:0000793 (condensed chromosome); GO:0061066 (positive regulation of dauer larval development); GO:0000987 (cis-regulatory region sequence-specific DNA binding)</t>
  </si>
  <si>
    <t xml:space="preserve">Gamma-aminobutyric acid type B receptor subunit 2 </t>
  </si>
  <si>
    <t>GO:0004965 (G protein-coupled GABA receptor activity); GO:0004930 (G protein-coupled receptor activity); GO:0007186 (G protein-coupled receptor signaling pathway); GO:0016021 (integral component of membrane)</t>
  </si>
  <si>
    <t xml:space="preserve">Metallophosphoesterase 1 homolog </t>
  </si>
  <si>
    <t>GO:0016020 (membrane); GO:0016021 (integral component of membrane); GO:0016787 (hydrolase activity); GO:0046872 (metal ion binding); GO:0005794 (Golgi apparatus); GO:0016192 (vesicle-mediated transport); GO:0006506 (GPI anchor biosynthetic process); GO:0033116 (endoplasmic reticulum-Golgi intermediate compartment membrane)</t>
  </si>
  <si>
    <t xml:space="preserve">GAK Homolog </t>
  </si>
  <si>
    <t>GO:0005524 (ATP binding); GO:0005737 (cytoplasm); GO:0004672 (protein kinase activity); GO:0004674 (protein serine/threonine kinase activity); GO:0006468 (protein phosphorylation); GO:0016301 (kinase activity); GO:0016310 (phosphorylation)</t>
  </si>
  <si>
    <t>GO:0005096 (GTPase activator activity); GO:0006886 (intracellular protein transport); GO:0090630 (activation of GTPase activity); GO:0043087 (regulation of GTPase activity)</t>
  </si>
  <si>
    <t xml:space="preserve">Zinc finger protein sdc-3 </t>
  </si>
  <si>
    <t>GO:0005634 (nucleus); GO:0046872 (metal ion binding); GO:0003677 (DNA binding); GO:0007275 (multicellular organism development); GO:0005694 (chromosome); GO:0000122 (negative regulation of transcription by RNA polymerase II); GO:0043565 (sequence-specific DNA binding); GO:0000805 (X chromosome); GO:0000070 (mitotic sister chromatid segregation); GO:0007530 (sex determination); GO:0042715 (dosage compensation complex assembly involved in dosage compensation by hypoactivation of X chromosome)</t>
  </si>
  <si>
    <t xml:space="preserve">Histone H3.3 type 1 </t>
  </si>
  <si>
    <t>GO:0005737 (cytoplasm); GO:0050790 (regulation of catalytic activity); GO:0030234 (enzyme regulator activity); GO:0055120 (striated muscle dense body); GO:0030054 (cell junction)</t>
  </si>
  <si>
    <t xml:space="preserve">Exocyst complex component 6 </t>
  </si>
  <si>
    <t>GO:0000145 (exocyst); GO:0006904 (vesicle docking involved in exocytosis)</t>
  </si>
  <si>
    <t>GO:0016020 (membrane); GO:0005515 (protein binding); GO:0030833 (regulation of actin filament polymerization); GO:0031267 (small GTPase binding)</t>
  </si>
  <si>
    <t xml:space="preserve">Regulator of G-protein signaling egl-10 </t>
  </si>
  <si>
    <t>GO:0008277 (regulation of G protein-coupled receptor signaling pathway); GO:0035556 (intracellular signal transduction); GO:0007186 (G protein-coupled receptor signaling pathway); GO:0009968 (negative regulation of signal transduction); GO:0005737 (cytoplasm); GO:0040017 (positive regulation of locomotion); GO:0043005 (neuron projection); GO:0007622 (rhythmic behavior); GO:0007631 (feeding behavior); GO:0046662 (regulation of oviposition); GO:0007212 (dopamine receptor signaling pathway)</t>
  </si>
  <si>
    <t xml:space="preserve">Serine/threonine-protein kinase WNK </t>
  </si>
  <si>
    <t>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GO:0035556 (intracellular signal transduction); GO:0007275 (multicellular organism development); GO:0005515 (protein binding); GO:0006972 (hyperosmotic response); GO:0050891 (multicellular organismal water homeostasis); GO:0010628 (positive regulation of gene expression); GO:0010766 (negative regulation of sodium ion transport); GO:0019869 (chloride channel inhibitor activity); GO:0019870 (potassium channel inhibitor activity); GO:0050801 (ion homeostasis); GO:1903288 (positive regulation of potassium ion import across plasma membrane); GO:2000651 (positive regulation of sodium ion transmembrane transporter activity); GO:0106310 (protein serine kinase activity); GO:0106311 (protein threonine kinase activity)</t>
  </si>
  <si>
    <t xml:space="preserve">Organic Cation Transporter </t>
  </si>
  <si>
    <t xml:space="preserve">Neprilysin-21 </t>
  </si>
  <si>
    <t>GO:0004222 (metalloendopeptidase activity); GO:0008237 (metallopeptidase activity); GO:0006508 (proteolysis); GO:0016020 (membrane); GO:0016021 (integral component of membrane); GO:0016787 (hydrolase activity); GO:0046872 (metal ion binding); GO:0008233 (peptidase activity)</t>
  </si>
  <si>
    <t>Probable delta-1-pyrroline-5-carboxylate synthase Glutamate 5-kinase Gamma-glutamyl phosphate reductase</t>
  </si>
  <si>
    <t>GO:0004349 (glutamate 5-kinase activity); GO:0004350 (glutamate-5-semialdehyde dehydrogenase activity); GO:0016620 (oxidoreductase activity, acting on the aldehyde or oxo group of donors, NAD or NADP as acceptor); GO:0005737 (cytoplasm); GO:0006561 (proline biosynthetic process); GO:0016491 (oxidoreductase activity); GO:0055114 (oxidation-reduction process); GO:0003824 (catalytic activity)</t>
  </si>
  <si>
    <t xml:space="preserve">Vitellogenin-3 </t>
  </si>
  <si>
    <t xml:space="preserve">Heavy chain, Unconventional Myosin; Myosin IA </t>
  </si>
  <si>
    <t xml:space="preserve">Lysine-specific demethylase jmjd-3.1 </t>
  </si>
  <si>
    <t>GO:0005634 (nucleus); GO:0071557 (histone H3-K27 demethylation); GO:0071558 (histone demethylase activity (H3-K27 specific))</t>
  </si>
  <si>
    <t>GO:0016020 (membrane); GO:0016021 (integral component of membrane); GO:0042995 (cell projection); GO:0007399 (nervous system development); GO:0030424 (axon); GO:0012505 (endomembrane system); GO:0045087 (innate immune response)</t>
  </si>
  <si>
    <t xml:space="preserve">CYtoKinesis defect </t>
  </si>
  <si>
    <t>GO:0003779 (actin binding); GO:0016043 (cellular component organization); GO:0030036 (actin cytoskeleton organization); GO:0032154 (cleavage furrow); GO:0035046 (pronuclear migration); GO:0009898 (cytoplasmic side of plasma membrane); GO:0005826 (actomyosin contractile ring); GO:0031267 (small GTPase binding); GO:0005515 (protein binding)</t>
  </si>
  <si>
    <t>GO:0005524 (ATP binding); GO:0008152 (metabolic process); GO:0000166 (nucleotide binding); GO:0016874 (ligase activity); GO:0046872 (metal ion binding); GO:0006629 (lipid metabolic process); GO:0003989 (acetyl-CoA carboxylase activity); GO:0006633 (fatty acid biosynthetic process); GO:0006631 (fatty acid metabolic process); GO:0003824 (catalytic activity); GO:2001295 (malonyl-CoA biosynthetic process)</t>
  </si>
  <si>
    <t xml:space="preserve">Rab-11 Family Interacting-Protein </t>
  </si>
  <si>
    <t>GO:0016020 (membrane); GO:0005813 (centrosome); GO:0032456 (endocytic recycling); GO:0032465 (regulation of cytokinesis); GO:0055038 (recycling endosome membrane); GO:0030139 (endocytic vesicle); GO:0030496 (midbody); GO:0032154 (cleavage furrow)</t>
  </si>
  <si>
    <t xml:space="preserve">Apyrase apy-1 </t>
  </si>
  <si>
    <t>GO:0017110 (nucleoside-diphosphatase activity); GO:0005509 (calcium ion binding)</t>
  </si>
  <si>
    <t>GO:0003677 (DNA binding); GO:0005634 (nucleus); GO:0016740 (transferase activity); GO:0008270 (zinc ion binding); GO:0016779 (nucleotidyltransferase activity); GO:0006351 (transcription, DNA-templated); GO:0003899 (DNA-directed 5'-3' RNA polymerase activity); GO:0005736 (RNA polymerase I complex)</t>
  </si>
  <si>
    <t xml:space="preserve">HELicase Q homolog </t>
  </si>
  <si>
    <t>GO:0005634 (nucleus); GO:0005524 (ATP binding); GO:0004386 (helicase activity); GO:0000166 (nucleotide binding); GO:0003676 (nucleic acid binding); GO:0006364 (rRNA processing); GO:0032508 (DNA duplex unwinding); GO:0051117 (ATPase binding); GO:0000712 (resolution of meiotic recombination intermediates); GO:0017116 (single-stranded DNA helicase activity)</t>
  </si>
  <si>
    <t>GO:0016020 (membrane); GO:0016021 (integral component of membrane); GO:0005886 (plasma membrane); GO:0098839 (postsynaptic density membrane); GO:0004930 (G protein-coupled receptor activity); GO:0007165 (signal transduction); GO:0007186 (G protein-coupled receptor signaling pathway); GO:0005887 (integral component of plasma membrane); GO:0007216 (G protein-coupled glutamate receptor signaling pathway); GO:0051966 (regulation of synaptic transmission, glutamatergic); GO:0060078 (regulation of postsynaptic membrane potential); GO:0099530 (G protein-coupled receptor activity involved in regulation of postsynaptic membrane potential); GO:0099566 (regulation of postsynaptic cytosolic calcium ion concentration); GO:0099583 (neurotransmitter receptor activity involved in regulation of postsynaptic cytosolic calcium ion concentration); GO:0007196 (adenylate cyclase-inhibiting G protein-coupled glutamate receptor signaling pathway); GO:0001640 (adenylate cyclase inhibiting G protein-coupled glutamate receptor activity)</t>
  </si>
  <si>
    <t>GO:0046872 (metal ion binding); GO:0035556 (intracellular signal transduction); GO:0005085 (guanyl-nucleotide exchange factor activity); GO:0050790 (regulation of catalytic activity); GO:0040017 (positive regulation of locomotion); GO:0040028 (regulation of vulval development); GO:0045746 (negative regulation of Notch signaling pathway); GO:0110039 (positive regulation of nematode male tail tip morphogenesis); GO:0005515 (protein binding)</t>
  </si>
  <si>
    <t xml:space="preserve">Sperm-Specific family, class R </t>
  </si>
  <si>
    <t xml:space="preserve">Cell junction protein VAB-9 </t>
  </si>
  <si>
    <t>GO:0016020 (membrane); GO:0016021 (integral component of membrane); GO:0098609 (cell-cell adhesion); GO:0005515 (protein binding); GO:0005911 (cell-cell junction); GO:0045087 (innate immune response); GO:0050829 (defense response to Gram-negative bacterium); GO:0030054 (cell junction)</t>
  </si>
  <si>
    <t xml:space="preserve">Heme transporter hrg-1 </t>
  </si>
  <si>
    <t xml:space="preserve">Probable V-type proton ATPase subunit B </t>
  </si>
  <si>
    <t>GO:0005524 (ATP binding); GO:0006811 (ion transport); GO:0016787 (hydrolase activity); GO:1902600 (proton transmembrane transport); GO:0046034 (ATP metabolic process); GO:0008219 (cell death); GO:0015988 (energy coupled proton transmembrane transport, against electrochemical gradient); GO:0033180 (proton-transporting V-type ATPase, V1 domain); GO:0046961 (proton-transporting ATPase activity, rotational mechanism); GO:0098609 (cell-cell adhesion); GO:0043068 (positive regulation of programmed cell death); GO:0001666 (response to hypoxia); GO:0060142 (regulation of syncytium formation by plasma membrane fusion); GO:0051453 (regulation of intracellular pH)</t>
  </si>
  <si>
    <t>GO:0005886 (plasma membrane); GO:0016491 (oxidoreductase activity); GO:0005507 (copper ion binding); GO:0004322 (ferroxidase activity); GO:0006826 (iron ion transport); GO:0055072 (iron ion homeostasis); GO:0055114 (oxidation-reduction process)</t>
  </si>
  <si>
    <t xml:space="preserve">Probable 2-oxoglutarate dehydrogenase E1 component DHKTD1 homolog, mitochondrial </t>
  </si>
  <si>
    <t>GO:0004591 (oxoglutarate dehydrogenase (succinyl-transferring) activity); GO:0006099 (tricarboxylic acid cycle); GO:0016624 (oxidoreductase activity, acting on the aldehyde or oxo group of donors, disulfide as acceptor); GO:0030976 (thiamine pyrophosphate binding); GO:0055114 (oxidation-reduction process); GO:0016491 (oxidoreductase activity)</t>
  </si>
  <si>
    <t xml:space="preserve">Serine/threonine-protein kinase dkf-1 </t>
  </si>
  <si>
    <t>GO:0004672 (protein kinase activity); GO:0004674 (protein serine/threonine kinase activity); GO:0035556 (intracellular signal transduction); GO:0006468 (protein phosphorylation); GO:0005524 (ATP binding)</t>
  </si>
  <si>
    <t xml:space="preserve">Probable sodium/potassium-transporting ATPase subunit beta-3 </t>
  </si>
  <si>
    <t>GO:0005890 (sodium:potassium-exchanging ATPase complex); GO:0006814 (sodium ion transport); GO:0006813 (potassium ion transport); GO:0016020 (membrane); GO:0016021 (integral component of membrane); GO:0005886 (plasma membrane)</t>
  </si>
  <si>
    <t>GO:0016740 (transferase activity); GO:0016746 (transferase activity, transferring acyl groups); GO:0005777 (peroxisome); GO:0004092 (carnitine O-acetyltransferase activity); GO:0019254 (carnitine metabolic process, CoA-linked)</t>
  </si>
  <si>
    <t xml:space="preserve">Palmitoyl-protein thioesterase 1 </t>
  </si>
  <si>
    <t>GO:0002084 (protein depalmitoylation); GO:0008474 (palmitoyl-(protein) hydrolase activity); GO:0098599 (palmitoyl hydrolase activity)</t>
  </si>
  <si>
    <t xml:space="preserve">Lysosomal-associated transmembrane protein </t>
  </si>
  <si>
    <t xml:space="preserve">C.Elegans Chromodomain protein; Chromodomain protein </t>
  </si>
  <si>
    <t xml:space="preserve">Glutathione S-Transferase, Omega class </t>
  </si>
  <si>
    <t>GO:0016491 (oxidoreductase activity); GO:0005737 (cytoplasm); GO:0098869 (cellular oxidant detoxification); GO:0004364 (glutathione transferase activity); GO:0045174 (glutathione dehydrogenase (ascorbate) activity); GO:0006749 (glutathione metabolic process); GO:0005515 (protein binding)</t>
  </si>
  <si>
    <t xml:space="preserve">Heterodimeric GTPase Activating Protein subunit </t>
  </si>
  <si>
    <t>GO:0005096 (GTPase activator activity); GO:0090630 (activation of GTPase activity); GO:0051056 (regulation of small GTPase mediated signal transduction); GO:0008340 (determination of adult lifespan)</t>
  </si>
  <si>
    <t xml:space="preserve">Myoblast determination protein 1 homolog </t>
  </si>
  <si>
    <t>GO:0007517 (muscle organ development); GO:0046983 (protein dimerization activity); GO:0006355 (regulation of transcription, DNA-templated)</t>
  </si>
  <si>
    <t xml:space="preserve">PIX (PAK (p21-activated kinase) Interacting eXchange factor) homolog </t>
  </si>
  <si>
    <t>GO:0016301 (kinase activity); GO:0016310 (phosphorylation); GO:0005085 (guanyl-nucleotide exchange factor activity); GO:0050790 (regulation of catalytic activity); GO:0005737 (cytoplasm); GO:0001764 (neuron migration); GO:0005912 (adherens junction); GO:0035262 (gonad morphogenesis); GO:0040039 (inductive cell migration); GO:0030056 (hemidesmosome); GO:0071944 (cell periphery); GO:0030027 (lamellipodium); GO:0005515 (protein binding)</t>
  </si>
  <si>
    <t>GO:0005515 (protein binding); GO:0051013 (microtubule severing); GO:0008352 (katanin complex); GO:0007019 (microtubule depolymerization); GO:0008568 (microtubule-severing ATPase activity)</t>
  </si>
  <si>
    <t xml:space="preserve">GTPase-activating protein rrc-1 </t>
  </si>
  <si>
    <t>GO:0005096 (GTPase activator activity); GO:0007165 (signal transduction); GO:0005515 (protein binding); GO:0043547 (positive regulation of GTPase activity); GO:0005575 (cellular_component); GO:0007264 (small GTPase mediated signal transduction)</t>
  </si>
  <si>
    <t>GO:0005524 (ATP binding); GO:0046872 (metal ion binding); GO:0000166 (nucleotide binding); GO:0000209 (protein polyubiquitination); GO:0061630 (ubiquitin protein ligase activity); GO:0006974 (cellular response to DNA damage stimulus); GO:0070615 (nucleosome-dependent ATPase activity)</t>
  </si>
  <si>
    <t xml:space="preserve">Condensin complex subunit 1 </t>
  </si>
  <si>
    <t>GO:0007076 (mitotic chromosome condensation); GO:0030261 (chromosome condensation); GO:0000278 (mitotic cell cycle); GO:0005634 (nucleus)</t>
  </si>
  <si>
    <t xml:space="preserve">5-demethoxyubiquinone hydroxylase, mitochondrial </t>
  </si>
  <si>
    <t>GO:0006744 (ubiquinone biosynthetic process); GO:0004497 (monooxygenase activity)</t>
  </si>
  <si>
    <t xml:space="preserve">3'-Phosphoadenosine 5'-Phosphosulfate Synthetase </t>
  </si>
  <si>
    <t>GO:0005524 (ATP binding); GO:0000166 (nucleotide binding); GO:0016740 (transferase activity); GO:0000103 (sulfate assimilation); GO:0004020 (adenylylsulfate kinase activity); GO:0004781 (sulfate adenylyltransferase (ATP) activity); GO:0016310 (phosphorylation); GO:0050428 (3'-phosphoadenosine 5'-phosphosulfate biosynthetic process); GO:0016779 (nucleotidyltransferase activity); GO:0005634 (nucleus)</t>
  </si>
  <si>
    <t>GO:0016787 (hydrolase activity); GO:0046872 (metal ion binding); GO:0016311 (dephosphorylation); GO:0008253 (5'-nucleotidase activity)</t>
  </si>
  <si>
    <t>GO:0005975 (carbohydrate metabolic process); GO:0005576 (extracellular region); GO:0070492 (oligosaccharide binding)</t>
  </si>
  <si>
    <t xml:space="preserve">Nuclear hormone receptor family member nhr-85 </t>
  </si>
  <si>
    <t>GO:0016020 (membrane); GO:0016021 (integral component of membrane); GO:0005783 (endoplasmic reticulum); GO:0005789 (endoplasmic reticulum membrane); GO:0006614 (SRP-dependent cotranslational protein targeting to membrane)</t>
  </si>
  <si>
    <t xml:space="preserve">5'-3' exoribonuclease 1 </t>
  </si>
  <si>
    <t>GO:0005634 (nucleus); GO:0016787 (hydrolase activity); GO:0005737 (cytoplasm); GO:0003723 (RNA binding); GO:0003676 (nucleic acid binding); GO:0090305 (nucleic acid phosphodiester bond hydrolysis); GO:0004518 (nuclease activity); GO:0004527 (exonuclease activity); GO:0016075 (rRNA catabolic process); GO:0090503 (RNA phosphodiester bond hydrolysis, exonucleolytic); GO:0000956 (nuclear-transcribed mRNA catabolic process); GO:0008409 (5'-3' exonuclease activity); GO:0008340 (determination of adult lifespan); GO:0010607 (negative regulation of cytoplasmic mRNA processing body assembly); GO:0004534 (5'-3' exoribonuclease activity)</t>
  </si>
  <si>
    <t xml:space="preserve">Paxillin homolog 1 </t>
  </si>
  <si>
    <t xml:space="preserve">Suppressor of presenilin protein 4 </t>
  </si>
  <si>
    <t>GO:0005634 (nucleus); GO:0046872 (metal ion binding); GO:0003677 (DNA binding); GO:0000977 (RNA polymerase II transcription regulatory region sequence-specific DNA binding); GO:0000981 (DNA-binding transcription factor activity, RNA polymerase II-specific); GO:0006357 (regulation of transcription by RNA polymerase II); GO:0006979 (response to oxidative stress)</t>
  </si>
  <si>
    <t xml:space="preserve">G Protein, Gamma subunit; Heterotrimeric G protein gamma subunit 2 </t>
  </si>
  <si>
    <t>GO:0007186 (G protein-coupled receptor signaling pathway); GO:0005834 (heterotrimeric G-protein complex); GO:0007200 (phospholipase C-activating G protein-coupled receptor signaling pathway); GO:0050909 (sensory perception of taste); GO:0031681 (G-protein beta-subunit binding)</t>
  </si>
  <si>
    <t xml:space="preserve">Bromodomain Adjacent to Zinc finger domain, 2A/2B, homolog </t>
  </si>
  <si>
    <t>GO:0003677 (DNA binding); GO:0005634 (nucleus); GO:0046872 (metal ion binding); GO:0005515 (protein binding); GO:0005694 (chromosome); GO:0000785 (chromatin); GO:0090647 (modulation of age-related behavioral decline); GO:0051574 (positive regulation of histone H3-K9 methylation)</t>
  </si>
  <si>
    <t xml:space="preserve">Nuclear hormone receptor family member nhr-47 </t>
  </si>
  <si>
    <t xml:space="preserve">Beta-lactamase-like protein 2 homolog </t>
  </si>
  <si>
    <t>GO:0016787 (hydrolase activity); GO:0046872 (metal ion binding); GO:0090502 (RNA phosphodiester bond hydrolysis, endonucleolytic); GO:0003727 (single-stranded RNA binding); GO:0005759 (mitochondrial matrix); GO:0004521 (endoribonuclease activity)</t>
  </si>
  <si>
    <t>GO:0016020 (membrane); GO:0016021 (integral component of membrane); GO:0008521 (acetyl-CoA transmembrane transporter activity); GO:0015295 (solute:proton symporter activity); GO:0015876 (acetyl-CoA transport); GO:1902600 (proton transmembrane transport)</t>
  </si>
  <si>
    <t xml:space="preserve">Anion exchange protein </t>
  </si>
  <si>
    <t>GO:0016020 (membrane); GO:0016021 (integral component of membrane); GO:0006811 (ion transport); GO:0005886 (plasma membrane); GO:1902476 (chloride transmembrane transport); GO:0098656 (anion transmembrane transport); GO:0035725 (sodium ion transmembrane transport); GO:0005452 (inorganic anion exchanger activity); GO:0006820 (anion transport); GO:0015698 (inorganic anion transport); GO:0051453 (regulation of intracellular pH); GO:0055085 (transmembrane transport); GO:0008509 (anion transmembrane transporter activity); GO:0008510 (sodium:bicarbonate symporter activity); GO:0015701 (bicarbonate transport); GO:0022857 (transmembrane transporter activity); GO:0050801 (ion homeostasis); GO:0007271 (synaptic transmission, cholinergic); GO:0005887 (integral component of plasma membrane); GO:0015108 (chloride transmembrane transporter activity); GO:0015301 (anion:anion antiporter activity); GO:0032228 (regulation of synaptic transmission, GABAergic); GO:0046685 (response to arsenic-containing substance); GO:0045202 (synapse)</t>
  </si>
  <si>
    <t xml:space="preserve">GTPase-activating protein pac-1 </t>
  </si>
  <si>
    <t>GO:0003779 (actin binding); GO:0045944 (positive regulation of transcription by RNA polymerase II); GO:0030017 (sarcomere); GO:0035025 (positive regulation of Rho protein signal transduction); GO:0051091 (positive regulation of DNA-binding transcription factor activity)</t>
  </si>
  <si>
    <t xml:space="preserve">Ribonuclease H1 </t>
  </si>
  <si>
    <t>GO:0004523 (RNA-DNA hybrid ribonuclease activity); GO:0043137 (DNA replication, removal of RNA primer); GO:0090502 (RNA phosphodiester bond hydrolysis, endonucleolytic); GO:0016787 (hydrolase activity); GO:0046872 (metal ion binding); GO:0003676 (nucleic acid binding); GO:0000287 (magnesium ion binding); GO:0004518 (nuclease activity); GO:0004519 (endonuclease activity)</t>
  </si>
  <si>
    <t xml:space="preserve">Probable 3',5'-cyclic phosphodiesterase pde-4 </t>
  </si>
  <si>
    <t>GO:0008081 (phosphoric diester hydrolase activity); GO:0004114 (3',5'-cyclic-nucleotide phosphodiesterase activity); GO:0007165 (signal transduction); GO:0016020 (membrane); GO:0016021 (integral component of membrane); GO:0016787 (hydrolase activity); GO:0046872 (metal ion binding); GO:0045202 (synapse); GO:0040013 (negative regulation of locomotion); GO:0004115 (3',5'-cyclic-AMP phosphodiesterase activity); GO:0030431 (sleep); GO:0006198 (cAMP catabolic process); GO:0043951 (negative regulation of cAMP-mediated signaling)</t>
  </si>
  <si>
    <t xml:space="preserve">ADP-ribosylation factor 1-like 2 </t>
  </si>
  <si>
    <t>GO:0005634 (nucleus); GO:0045893 (positive regulation of transcription, DNA-templated); GO:0005515 (protein binding); GO:0031490 (chromatin DNA binding); GO:0003713 (transcription coactivator activity)</t>
  </si>
  <si>
    <t xml:space="preserve">HMBOX (Mammalian HoMeoBOX gene) homolog </t>
  </si>
  <si>
    <t>GO:0005634 (nucleus); GO:0003677 (DNA binding); GO:0005515 (protein binding); GO:0045893 (positive regulation of transcription, DNA-templated); GO:0003691 (double-stranded telomeric DNA binding)</t>
  </si>
  <si>
    <t xml:space="preserve">Elongation factor 1-alpha </t>
  </si>
  <si>
    <t>GO:0006414 (translational elongation); GO:0003746 (translation elongation factor activity); GO:0003924 (GTPase activity); GO:0005525 (GTP binding)</t>
  </si>
  <si>
    <t xml:space="preserve">Smad protein </t>
  </si>
  <si>
    <t>GO:0005515 (protein binding);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GO:0030154 (cell differentiation); GO:0030509 (BMP signaling pathway); GO:0060395 (SMAD protein signal transduction); GO:0009653 (anatomical structure morphogenesis); GO:0018991 (oviposition); GO:0008340 (determination of adult lifespan); GO:0040024 (dauer larval development); GO:0035176 (social behavior); GO:0043476 (pigment accumulation); GO:0061067 (negative regulation of dauer larval development); GO:0070411 (I-SMAD binding); GO:0007179 (transforming growth factor beta receptor signaling pathway); GO:0071144 (heteromeric SMAD protein complex)</t>
  </si>
  <si>
    <t xml:space="preserve">Adapter protein unc-53 </t>
  </si>
  <si>
    <t>GO:0007275 (multicellular organism development); GO:0005516 (calmodulin binding); GO:0022008 (neurogenesis); GO:0008045 (motor neuron axon guidance); GO:0007399 (nervous system development); GO:0048842 (positive regulation of axon extension involved in axon guidance); GO:0005515 (protein binding); GO:0005737 (cytoplasm); GO:0018991 (oviposition); GO:0051015 (actin filament binding); GO:0007411 (axon guidance); GO:0008078 (mesodermal cell migration); GO:0040018 (positive regulation of multicellular organism growth); GO:0045773 (positive regulation of axon extension); GO:0007165 (signal transduction); GO:0007617 (mating behavior); GO:0016204 (determination of muscle attachment site); GO:0030036 (actin cytoskeleton organization); GO:0030335 (positive regulation of cell migration); GO:0043057 (backward locomotion); GO:0048858 (cell projection morphogenesis)</t>
  </si>
  <si>
    <t>GO:0005576 (extracellular region); GO:0010951 (negative regulation of endopeptidase activity); GO:0010466 (negative regulation of peptidase activity); GO:0030414 (peptidase inhibitor activity); GO:0004867 (serine-type endopeptidase inhibitor activity); GO:0005515 (protein binding)</t>
  </si>
  <si>
    <t>GO:0005634 (nucleus); GO:0005737 (cytoplasm); GO:0046872 (metal ion binding); GO:0016740 (transferase activity); GO:0000209 (protein polyubiquitination); GO:0004842 (ubiquitin-protein transferase activity); GO:0006511 (ubiquitin-dependent protein catabolic process); GO:0061630 (ubiquitin protein ligase activity); GO:0016567 (protein ubiquitination); GO:0000151 (ubiquitin ligase complex); GO:0031624 (ubiquitin conjugating enzyme binding); GO:0032436 (positive regulation of proteasomal ubiquitin-dependent protein catabolic process); GO:0045087 (innate immune response); GO:0005515 (protein binding)</t>
  </si>
  <si>
    <t xml:space="preserve">Guanine nucleotide exchange factor rei-1 </t>
  </si>
  <si>
    <t>GO:0016020 (membrane); GO:0005737 (cytoplasm); GO:0000166 (nucleotide binding); GO:0005525 (GTP binding); GO:0000139 (Golgi membrane); GO:0005794 (Golgi apparatus); GO:0035556 (intracellular signal transduction); GO:0007049 (cell cycle); GO:0005515 (protein binding); GO:0051301 (cell division); GO:0004860 (protein kinase inhibitor activity); GO:0061099 (negative regulation of protein tyrosine kinase activity)</t>
  </si>
  <si>
    <t xml:space="preserve">Nuclear hormone receptor family member nhr-18 </t>
  </si>
  <si>
    <t xml:space="preserve">U2AF splicing factor </t>
  </si>
  <si>
    <t>GO:0003723 (RNA binding); GO:0046872 (metal ion binding); GO:0000398 (mRNA splicing, via spliceosome); GO:0003676 (nucleic acid binding); GO:0005681 (spliceosomal complex); GO:0030628 (pre-mRNA 3'-splice site binding); GO:0089701 (U2AF complex)</t>
  </si>
  <si>
    <t>GO:0006629 (lipid metabolic process); GO:0005515 (protein binding)</t>
  </si>
  <si>
    <t xml:space="preserve">Apical junction molecule </t>
  </si>
  <si>
    <t>GO:0045216 (cell-cell junction organization); GO:0016020 (membrane); GO:0016021 (integral component of membrane); GO:0009792 (embryo development ending in birth or egg hatching); GO:0008092 (cytoskeletal protein binding); GO:0016327 (apicolateral plasma membrane); GO:0043296 (apical junction complex); GO:0005912 (adherens junction); GO:0005515 (protein binding)</t>
  </si>
  <si>
    <t xml:space="preserve">Neuronal calcium sensor 2 </t>
  </si>
  <si>
    <t xml:space="preserve">Nuclear hormone receptor family member nhr-2 </t>
  </si>
  <si>
    <t xml:space="preserve">R-Seven Binding Protein (R7BP) homolog </t>
  </si>
  <si>
    <t>GO:0005737 (cytoplasm); GO:0044297 (cell body); GO:0043005 (neuron projection); GO:0055120 (striated muscle dense body)</t>
  </si>
  <si>
    <t xml:space="preserve">SeRPin </t>
  </si>
  <si>
    <t>GO:0005615 (extracellular space); GO:0004867 (serine-type endopeptidase inhibitor activity); GO:0010951 (negative regulation of endopeptidase activity); GO:0010466 (negative regulation of peptidase activity); GO:0030414 (peptidase inhibitor activity); GO:0004869 (cysteine-type endopeptidase inhibitor activity); GO:2000117 (negative regulation of cysteine-type endopeptidase activity)</t>
  </si>
  <si>
    <t xml:space="preserve">Probable prefoldin subunit 1 </t>
  </si>
  <si>
    <t>GO:0016272 (prefoldin complex); GO:0051082 (unfolded protein binding); GO:0006457 (protein folding)</t>
  </si>
  <si>
    <t>GO:0005829 (cytosol); GO:0006446 (regulation of translational initiation); GO:0008494 (translation activator activity); GO:0045727 (positive regulation of translation); GO:0016529 (sarcoplasmic reticulum); GO:0003723 (RNA binding); GO:0005515 (protein binding)</t>
  </si>
  <si>
    <t xml:space="preserve">Putative UDP-glucuronosyltransferase ugt-58 </t>
  </si>
  <si>
    <t xml:space="preserve">Alpha-(1,3)-fucosyltransferase fut-6 </t>
  </si>
  <si>
    <t xml:space="preserve">Putative hydroxypyruvate isomerase </t>
  </si>
  <si>
    <t>GO:0016853 (isomerase activity); GO:0008903 (hydroxypyruvate isomerase activity); GO:0046487 (glyoxylate metabolic process)</t>
  </si>
  <si>
    <t>GO:0007165 (signal transduction); GO:0005515 (protein binding)</t>
  </si>
  <si>
    <t>GO:0016787 (hydrolase activity); GO:0052689 (carboxylic ester hydrolase activity); GO:0005739 (mitochondrion); GO:0005811 (lipid droplet); GO:0055088 (lipid homeostasis); GO:0006654 (phosphatidic acid biosynthetic process); GO:0042171 (lysophosphatidic acid acyltransferase activity)</t>
  </si>
  <si>
    <t xml:space="preserve">AdaPtin, Mu/medium chain (Clathrin associated complex) </t>
  </si>
  <si>
    <t>GO:0016020 (membrane); GO:0006886 (intracellular protein transport); GO:0015031 (protein transport); GO:0016192 (vesicle-mediated transport); GO:0043231 (intracellular membrane-bounded organelle); GO:0006897 (endocytosis); GO:0030131 (clathrin adaptor complex); GO:0031410 (cytoplasmic vesicle); GO:0019915 (lipid storage); GO:0007040 (lysosome organization)</t>
  </si>
  <si>
    <t>GO:0005634 (nucleus); GO:0003682 (chromatin binding); GO:0042393 (histone binding); GO:0007049 (cell cycle); GO:0051301 (cell division); GO:0007076 (mitotic chromosome condensation); GO:0030261 (chromosome condensation); GO:0010032 (meiotic chromosome condensation); GO:0000779 (condensed chromosome, centromeric region); GO:0009792 (embryo development ending in birth or egg hatching); GO:0005654 (nucleoplasm); GO:0000793 (condensed chromosome); GO:0000070 (mitotic sister chromatid segregation); GO:0051315 (attachment of mitotic spindle microtubules to kinetochore); GO:0051304 (chromosome separation); GO:0000796 (condensin complex)</t>
  </si>
  <si>
    <t>GO:0016020 (membrane); GO:0016021 (integral component of membrane); GO:0006506 (GPI anchor biosynthetic process); GO:0016757 (transferase activity, transferring glycosyl groups); GO:0000139 (Golgi membrane)</t>
  </si>
  <si>
    <t xml:space="preserve">Abnormal cell migration protein 10 </t>
  </si>
  <si>
    <t>GO:0016020 (membrane); GO:0016021 (integral component of membrane); GO:0006811 (ion transport); GO:0031410 (cytoplasmic vesicle); GO:0005262 (calcium channel activity); GO:0006816 (calcium ion transport); GO:0070588 (calcium ion transmembrane transport); GO:0016192 (vesicle-mediated transport); GO:0030672 (synaptic vesicle membrane)</t>
  </si>
  <si>
    <t xml:space="preserve">Probable glutathione S-transferase 9 </t>
  </si>
  <si>
    <t>GO:0003735 (structural constituent of ribosome); GO:0005840 (ribosome); GO:0006412 (translation); GO:0015935 (small ribosomal subunit); GO:0005763 (mitochondrial small ribosomal subunit); GO:0032543 (mitochondrial translation)</t>
  </si>
  <si>
    <t xml:space="preserve">Integrin alpha pat-2 </t>
  </si>
  <si>
    <t>GO:0008305 (integrin complex); GO:0007155 (cell adhesion)</t>
  </si>
  <si>
    <t xml:space="preserve">Sodium/potassium-transporting ATPase subunit beta-1 </t>
  </si>
  <si>
    <t>GO:0005890 (sodium:potassium-exchanging ATPase complex); GO:0006814 (sodium ion transport); GO:0006813 (potassium ion transport)</t>
  </si>
  <si>
    <t xml:space="preserve">Phosphatidylcholine:ceramide cholinephosphotransferase 2 </t>
  </si>
  <si>
    <t xml:space="preserve">RHo Guanine nucleotide exchange Factor </t>
  </si>
  <si>
    <t>GO:0005886 (plasma membrane); GO:0007266 (Rho protein signal transduction); GO:0005737 (cytoplasm); GO:0005085 (guanyl-nucleotide exchange factor activity); GO:0030424 (axon); GO:0030139 (endocytic vesicle); GO:0005515 (protein binding); GO:0010172 (embryonic body morphogenesis); GO:0045944 (positive regulation of transcription by RNA polymerase II); GO:0044297 (cell body); GO:0043005 (neuron projection); GO:0040012 (regulation of locomotion); GO:0000902 (cell morphogenesis); GO:0010977 (negative regulation of neuron projection development); GO:0090630 (activation of GTPase activity); GO:0043542 (endothelial cell migration); GO:0031267 (small GTPase binding); GO:0050790 (regulation of catalytic activity)</t>
  </si>
  <si>
    <t xml:space="preserve">Uncharacterized MFS-type transporter C09D4.1 </t>
  </si>
  <si>
    <t>GO:0016020 (membrane); GO:0016021 (integral component of membrane); GO:0022857 (transmembrane transporter activity); GO:0055085 (transmembrane transport); GO:0020037 (heme binding); GO:0015232 (heme transmembrane transporter activity); GO:0097037 (heme export)</t>
  </si>
  <si>
    <t xml:space="preserve">Zwei Ig domain protein zig-1 </t>
  </si>
  <si>
    <t xml:space="preserve">Regulator of SYnapse formation </t>
  </si>
  <si>
    <t>GO:0016607 (nuclear speck); GO:0005515 (protein binding); GO:0048786 (presynaptic active zone); GO:0005634 (nucleus)</t>
  </si>
  <si>
    <t xml:space="preserve">Ectopic P Granules </t>
  </si>
  <si>
    <t>GO:0019901 (protein kinase binding); GO:0019898 (extrinsic component of membrane); GO:0006914 (autophagy); GO:0000045 (autophagosome assembly); GO:0000422 (autophagy of mitochondrion); GO:0034045 (phagophore assembly site membrane); GO:0030242 (autophagy of peroxisome); GO:0034727 (piecemeal microautophagy of the nucleus); GO:1990316 (Atg1/ULK1 kinase complex); GO:0001934 (positive regulation of protein phosphorylation); GO:0061709 (reticulophagy); GO:0061723 (glycophagy); GO:0005515 (protein binding); GO:0005737 (cytoplasm); GO:0060090 (molecular adaptor activity); GO:0016239 (positive regulation of macroautophagy)</t>
  </si>
  <si>
    <t xml:space="preserve">Adenine phosphoribosyltransferase </t>
  </si>
  <si>
    <t>GO:0005737 (cytoplasm); GO:0016740 (transferase activity); GO:0016757 (transferase activity, transferring glycosyl groups); GO:0009116 (nucleoside metabolic process); GO:0002055 (adenine binding); GO:0003999 (adenine phosphoribosyltransferase activity); GO:0006166 (purine ribonucleoside salvage); GO:0006168 (adenine salvage); GO:0016208 (AMP binding); GO:0044209 (AMP salvage)</t>
  </si>
  <si>
    <t>GO:0016020 (membrane); GO:0016021 (integral component of membrane); GO:0005764 (lysosome); GO:0005737 (cytoplasm); GO:0000209 (protein polyubiquitination); GO:0061630 (ubiquitin protein ligase activity); GO:0008270 (zinc ion binding); GO:0031901 (early endosome membrane); GO:0031902 (late endosome membrane); GO:0004842 (ubiquitin-protein transferase activity); GO:0006955 (immune response); GO:0042287 (MHC protein binding); GO:0002495 (antigen processing and presentation of peptide antigen via MHC class II)</t>
  </si>
  <si>
    <t>GO:0016301 (kinase activity); GO:0016310 (phosphorylation); GO:0046835 (carbohydrate phosphorylation); GO:0045127 (N-acetylglucosamine kinase activity)</t>
  </si>
  <si>
    <t xml:space="preserve">Putative metalloproteinase inhibitor tag-225 </t>
  </si>
  <si>
    <t>GO:0046872 (metal ion binding); GO:0005576 (extracellular region); GO:0005615 (extracellular space); GO:0010951 (negative regulation of endopeptidase activity); GO:0010466 (negative regulation of peptidase activity); GO:0030414 (peptidase inhibitor activity); GO:0031012 (extracellular matrix); GO:0010033 (response to organic substance); GO:0002020 (protease binding); GO:0004857 (enzyme inhibitor activity); GO:0008191 (metalloendopeptidase inhibitor activity); GO:0051045 (negative regulation of membrane protein ectodomain proteolysis); GO:0005515 (protein binding)</t>
  </si>
  <si>
    <t xml:space="preserve">Nicotinic Receptor Associated </t>
  </si>
  <si>
    <t>GO:0016020 (membrane); GO:0016021 (integral component of membrane); GO:0005789 (endoplasmic reticulum membrane); GO:0005515 (protein binding); GO:0005783 (endoplasmic reticulum); GO:0065003 (protein-containing complex assembly)</t>
  </si>
  <si>
    <t xml:space="preserve">V-type proton ATPase subunit D </t>
  </si>
  <si>
    <t>GO:0055085 (transmembrane transport); GO:0006811 (ion transport); GO:0042626 (ATPase-coupled transmembrane transporter activity); GO:0046961 (proton-transporting ATPase activity, rotational mechanism); GO:1902600 (proton transmembrane transport); GO:0003674 (molecular_function); GO:0051453 (regulation of intracellular pH); GO:0033176 (proton-transporting V-type ATPase complex); GO:0008553 (proton-exporting ATPase activity, phosphorylative mechanism)</t>
  </si>
  <si>
    <t xml:space="preserve">Myosin-3 </t>
  </si>
  <si>
    <t>GO:0016459 (myosin complex); GO:0003774 (motor activity); GO:0051015 (actin filament binding); GO:0005515 (protein binding); GO:0005524 (ATP binding)</t>
  </si>
  <si>
    <t>GO:0016787 (hydrolase activity); GO:0005515 (protein binding); GO:0042995 (cell projection); GO:0007399 (nervous system development); GO:0030424 (axon); GO:0030425 (dendrite); GO:0097374 (sensory neuron axon guidance); GO:0008045 (motor neuron axon guidance); GO:0030951 (establishment or maintenance of microtubule cytoskeleton polarity); GO:0038007 (netrin-activated signaling pathway); GO:1905815 (regulation of dorsal/ventral axon guidance); GO:0016810 (hydrolase activity, acting on carbon-nitrogen (but not peptide) bonds); GO:0030334 (regulation of cell migration); GO:0007411 (axon guidance); GO:0043005 (neuron projection); GO:0004157 (dihydropyrimidinase activity); GO:0031005 (filamin binding); GO:0006208 (pyrimidine nucleobase catabolic process); GO:0030950 (establishment or maintenance of actin cytoskeleton polarity); GO:0031115 (negative regulation of microtubule polymerization); GO:0061643 (chemorepulsion of axon)</t>
  </si>
  <si>
    <t xml:space="preserve">Abnormal cell migration protein 38 </t>
  </si>
  <si>
    <t>GO:0009308 (amine metabolic process); GO:0008131 (primary amine oxidase activity); GO:0048038 (quinone binding); GO:0005507 (copper ion binding); GO:0055114 (oxidation-reduction process)</t>
  </si>
  <si>
    <t>GO:0016020 (membrane); GO:0016021 (integral component of membrane); GO:0005783 (endoplasmic reticulum); GO:0001676 (long-chain fatty acid metabolic process); GO:0004467 (long-chain fatty acid-CoA ligase activity); GO:0005324 (long-chain fatty acid transporter activity); GO:0015909 (long-chain fatty acid transport); GO:0070328 (triglyceride homeostasis)</t>
  </si>
  <si>
    <t>GO:0016020 (membrane); GO:0005794 (Golgi apparatus); GO:0005829 (cytosol); GO:0008289 (lipid binding); GO:0005783 (endoplasmic reticulum); GO:0035627 (ceramide transport); GO:0120009 (intermembrane lipid transfer); GO:1902387 (ceramide 1-phosphate binding); GO:1902388 (ceramide 1-phosphate transfer activity); GO:1902389 (ceramide 1-phosphate transport); GO:0035621 (ER to Golgi ceramide transport); GO:0070273 (phosphatidylinositol-4-phosphate binding)</t>
  </si>
  <si>
    <t xml:space="preserve">Nuclear RNAi defective-3 protein </t>
  </si>
  <si>
    <t xml:space="preserve">NeuroFibroMatosis homolog </t>
  </si>
  <si>
    <t>GO:0016020 (membrane); GO:0005856 (cytoskeleton); GO:0005886 (plasma membrane); GO:0005737 (cytoplasm); GO:0003779 (actin binding); GO:0005912 (adherens junction); GO:0008092 (cytoskeletal protein binding); GO:0005515 (protein binding)</t>
  </si>
  <si>
    <t>GO:0005634 (nucleus); GO:0005737 (cytoplasm); GO:0015937 (coenzyme A biosynthetic process); GO:0004632 (phosphopantothenate--cysteine ligase activity)</t>
  </si>
  <si>
    <t xml:space="preserve">Probable V-type proton ATPase subunit H 2 </t>
  </si>
  <si>
    <t xml:space="preserve">EPS (Human endocytosis) related </t>
  </si>
  <si>
    <t>GO:0003779 (actin binding); GO:0005886 (plasma membrane); GO:0007266 (Rho protein signal transduction); GO:0035023 (regulation of Rho protein signal transduction); GO:0005737 (cytoplasm); GO:0048598 (embryonic morphogenesis); GO:0008092 (cytoskeletal protein binding); GO:0002119 (nematode larval development); GO:0051015 (actin filament binding); GO:0030056 (hemidesmosome); GO:0045177 (apical part of cell); GO:0045109 (intermediate filament organization); GO:0045185 (maintenance of protein location); GO:0048546 (digestive tract morphogenesis); GO:0048730 (epidermis morphogenesis); GO:0051016 (barbed-end actin filament capping); GO:0051017 (actin filament bundle assembly); GO:0005903 (brush border); GO:0005515 (protein binding)</t>
  </si>
  <si>
    <t xml:space="preserve">Isovaleryl-CoA dehydrogenase </t>
  </si>
  <si>
    <t>GO:0016491 (oxidoreductase activity); GO:0003995 (acyl-CoA dehydrogenase activity); GO:0016627 (oxidoreductase activity, acting on the CH-CH group of donors); GO:0050660 (flavin adenine dinucleotide binding); GO:0032436 (positive regulation of proteasomal ubiquitin-dependent protein catabolic process); GO:0008470 (isovaleryl-CoA dehydrogenase activity); GO:1902882 (regulation of response to oxidative stress); GO:0006552 (leucine catabolic process); GO:0055114 (oxidation-reduction process); GO:0004085 (butyryl-CoA dehydrogenase activity)</t>
  </si>
  <si>
    <t xml:space="preserve">Probable glycerol kinase </t>
  </si>
  <si>
    <t>GO:0016301 (kinase activity); GO:0016310 (phosphorylation); GO:0000166 (nucleotide binding); GO:0016740 (transferase activity); GO:0005739 (mitochondrion); GO:0005524 (ATP binding); GO:0005975 (carbohydrate metabolic process); GO:0006072 (glycerol-3-phosphate metabolic process); GO:0004370 (glycerol kinase activity); GO:0006071 (glycerol metabolic process); GO:0006641 (triglyceride metabolic process); GO:0016773 (phosphotransferase activity, alcohol group as acceptor); GO:0046167 (glycerol-3-phosphate biosynthetic process); GO:0019563 (glycerol catabolic process)</t>
  </si>
  <si>
    <t xml:space="preserve">Nucleolar complex protein 3 homolog </t>
  </si>
  <si>
    <t>GO:0005634 (nucleus); GO:0005730 (nucleolus); GO:0003682 (chromatin binding); GO:0006270 (DNA replication initiation)</t>
  </si>
  <si>
    <t xml:space="preserve">Dorsal Intercalation and Elongation defect </t>
  </si>
  <si>
    <t>GO:0003388 (neuron development involved in amphid sensory organ development); GO:0010628 (positive regulation of gene expression)</t>
  </si>
  <si>
    <t>GO:0007032 (endosome organization); GO:0005768 (endosome); GO:0016197 (endosomal transport); GO:0071203 (WASH complex)</t>
  </si>
  <si>
    <t xml:space="preserve">NCK (Non-Catalytic region of tyrosine Kinase) adaptor protein family </t>
  </si>
  <si>
    <t>GO:0016301 (kinase activity); GO:0016310 (phosphorylation); GO:0005515 (protein binding); GO:0005634 (nucleus); GO:0005737 (cytoplasm)</t>
  </si>
  <si>
    <t>GO:0016020 (membrane); GO:0016021 (integral component of membrane); GO:0005886 (plasma membrane); GO:0005576 (extracellular region); GO:0005783 (endoplasmic reticulum)</t>
  </si>
  <si>
    <t xml:space="preserve">Lariat debranching enzyme </t>
  </si>
  <si>
    <t>GO:0006397 (mRNA processing); GO:0016788 (hydrolase activity, acting on ester bonds); GO:0016787 (hydrolase activity)</t>
  </si>
  <si>
    <t>GO:0016020 (membrane); GO:0016021 (integral component of membrane); GO:0005044 (scavenger receptor activity); GO:0006897 (endocytosis)</t>
  </si>
  <si>
    <t xml:space="preserve">Transcription factor sem-2 </t>
  </si>
  <si>
    <t>GO:0005634 (nucleus); GO:0003677 (DNA binding); GO:0007275 (multicellular organism development); GO:0000978 (RNA polymerase II cis-regulatory region sequence-specific DNA binding); GO:0040026 (positive regulation of vulval development); GO:0000981 (DNA-binding transcription factor activity, RNA polymerase II-specific); GO:0006355 (regulation of transcription, DNA-templated); GO:0006357 (regulation of transcription by RNA polymerase II); GO:0030154 (cell differentiation); GO:0048337 (positive regulation of mesodermal cell fate specification); GO:0040019 (positive regulation of embryonic development); GO:1901046 (positive regulation of oviposition); GO:0009653 (anatomical structure morphogenesis); GO:0007501 (mesodermal cell fate specification); GO:0048582 (positive regulation of post-embryonic development); GO:0048626 (myoblast fate specification)</t>
  </si>
  <si>
    <t>GO:0005634 (nucleus); GO:0016301 (kinase activity); GO:0016310 (phosphorylation); GO:0016740 (transferase activity); GO:0005829 (cytosol); GO:0005515 (protein binding); GO:0016773 (phosphotransferase activity, alcohol group as acceptor); GO:0006166 (purine ribonucleoside salvage); GO:0044209 (AMP salvage); GO:0004001 (adenosine kinase activity)</t>
  </si>
  <si>
    <t xml:space="preserve">Uncharacterized F-box/LRR-repeat protein C02F5.7 </t>
  </si>
  <si>
    <t>GO:0005929 (cilium); GO:0042995 (cell projection); GO:0030424 (axon); GO:0030425 (dendrite); GO:0043204 (perikaryon); GO:1905909 (regulation of dauer entry); GO:0019005 (SCF ubiquitin ligase complex); GO:0031146 (SCF-dependent proteasomal ubiquitin-dependent protein catabolic process); GO:0035882 (defecation rhythm); GO:0043053 (dauer entry); GO:2000746 (regulation of defecation rhythm); GO:0005515 (protein binding)</t>
  </si>
  <si>
    <t xml:space="preserve">Uncharacterized oxidoreductase ZK1290.5 </t>
  </si>
  <si>
    <t>GO:0016491 (oxidoreductase activity); GO:0005829 (cytosol); GO:0004032 (alditol:NADP+ 1-oxidoreductase activity); GO:0055114 (oxidation-reduction process); GO:0047834 (D-threo-aldose 1-dehydrogenase activity)</t>
  </si>
  <si>
    <t xml:space="preserve">UMP-CMP kinase 1 </t>
  </si>
  <si>
    <t>GO:0005634 (nucleus); GO:0005524 (ATP binding); GO:0005737 (cytoplasm); GO:0016301 (kinase activity); GO:0016310 (phosphorylation); GO:0000166 (nucleotide binding); GO:0016740 (transferase activity); GO:0004127 (cytidylate kinase activity); GO:0006139 (nucleobase-containing compound metabolic process); GO:0006207 ('de novo' pyrimidine nucleobase biosynthetic process); GO:0006221 (pyrimidine nucleotide biosynthetic process); GO:0009041 (uridylate kinase activity); GO:0019205 (nucleobase-containing compound kinase activity); GO:0046940 (nucleoside monophosphate phosphorylation); GO:0033862 (UMP kinase activity); GO:0006225 (UDP biosynthetic process); GO:0046705 (CDP biosynthetic process); GO:0036430 (CMP kinase activity); GO:0036431 (dCMP kinase activity)</t>
  </si>
  <si>
    <t>GO:0003677 (DNA binding); GO:0005634 (nucleus); GO:0045944 (positive regulation of transcription by RNA polymerase II); GO:0007275 (multicellular organism development);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GO:0007517 (muscle organ development); GO:0000987 (cis-regulatory region sequence-specific DNA binding); GO:0051149 (positive regulation of muscle cell differentiation)</t>
  </si>
  <si>
    <t xml:space="preserve">TransformIng Growth factor beta family </t>
  </si>
  <si>
    <t>GO:0005576 (extracellular region); GO:0005615 (extracellular space); GO:0005125 (cytokine activity); GO:0008083 (growth factor activity); GO:0010862 (positive regulation of pathway-restricted SMAD protein phosphorylation); GO:0030509 (BMP signaling pathway); GO:0060395 (SMAD protein signal transduction)</t>
  </si>
  <si>
    <t xml:space="preserve">Zwei Ig domain protein zig-7 </t>
  </si>
  <si>
    <t xml:space="preserve">AP-3 complex subunit delta </t>
  </si>
  <si>
    <t>GO:0016020 (membrane); GO:0005794 (Golgi apparatus); GO:0006886 (intracellular protein transport); GO:0015031 (protein transport); GO:0016192 (vesicle-mediated transport); GO:0030117 (membrane coat); GO:0006623 (protein targeting to vacuole); GO:0098943 (neurotransmitter receptor transport, postsynaptic endosome to lysosome); GO:0043195 (terminal bouton); GO:1904115 (axon cytoplasm); GO:0010008 (endosome membrane); GO:0006896 (Golgi to vacuole transport); GO:0016182 (synaptic vesicle budding from endosome); GO:0030123 (AP-3 adaptor complex); GO:0048490 (anterograde synaptic vesicle transport); GO:0048499 (synaptic vesicle membrane organization); GO:0098830 (presynaptic endosome)</t>
  </si>
  <si>
    <t>GO:0005509 (calcium ion binding); GO:0016787 (hydrolase activity); GO:0007165 (signal transduction); GO:0035556 (intracellular signal transduction); GO:0004435 (phosphatidylinositol phospholipase C activity); GO:0006629 (lipid metabolic process); GO:0008081 (phosphoric diester hydrolase activity); GO:0016042 (lipid catabolic process); GO:0048015 (phosphatidylinositol-mediated signaling); GO:0042127 (regulation of cell population proliferation); GO:0001525 (angiogenesis)</t>
  </si>
  <si>
    <t xml:space="preserve">Stomatin-4 </t>
  </si>
  <si>
    <t xml:space="preserve">MOG interacting and ectopic P-granules protein 1 </t>
  </si>
  <si>
    <t>GO:0003723 (RNA binding); GO:0005634 (nucleus); GO:0005737 (cytoplasm); GO:0006397 (mRNA processing); GO:0042995 (cell projection); GO:0035145 (exon-exon junction complex); GO:0006417 (regulation of translation); GO:0008380 (RNA splicing); GO:0051028 (mRNA transport); GO:0000184 (nuclear-transcribed mRNA catabolic process, nonsense-mediated decay); GO:0016607 (nuclear speck)</t>
  </si>
  <si>
    <t xml:space="preserve">Amine oxidase family member 1 </t>
  </si>
  <si>
    <t>GO:0016491 (oxidoreductase activity); GO:0055114 (oxidation-reduction process); GO:0005515 (protein binding)</t>
  </si>
  <si>
    <t xml:space="preserve">Formin-homology and zinc finger domains protein 1 </t>
  </si>
  <si>
    <t>GO:0022604 (regulation of cell morphogenesis); GO:0007010 (cytoskeleton organization)</t>
  </si>
  <si>
    <t xml:space="preserve">Death-associated protein kinase dapk-1 </t>
  </si>
  <si>
    <t>GO:0004672 (protein kinase activity); GO:0006468 (protein phosphorylation); GO:0007165 (signal transduction); GO:0005515 (protein binding); GO:0005524 (ATP binding); GO:0016301 (kinase activity); GO:0016310 (phosphorylation); GO:0000166 (nucleotide binding); GO:0004674 (protein serine/threonine kinase activity); GO:0106310 (protein serine kinase activity); GO:0106311 (protein threonine kinase activity)</t>
  </si>
  <si>
    <t xml:space="preserve">Vinculin </t>
  </si>
  <si>
    <t>GO:0016020 (membrane); GO:0005886 (plasma membrane); GO:0005198 (structural molecule activity); GO:0005737 (cytoplasm); GO:0003779 (actin binding); GO:0007155 (cell adhesion); GO:0005856 (cytoskeleton); GO:0005515 (protein binding); GO:0030054 (cell junction); GO:0051015 (actin filament binding); GO:0005912 (adherens junction); GO:0015629 (actin cytoskeleton); GO:0005200 (structural constituent of cytoskeleton); GO:0007010 (cytoskeleton organization); GO:0055120 (striated muscle dense body); GO:0060279 (positive regulation of ovulation); GO:0005925 (focal adhesion); GO:0097433 (dense body)</t>
  </si>
  <si>
    <t xml:space="preserve">Eukaryotic translation initiation factor 2-alpha kinase gcn-2 </t>
  </si>
  <si>
    <t xml:space="preserve">4-hydroxyphenylpyruvate dioxygenase </t>
  </si>
  <si>
    <t>GO:0016701 (oxidoreductase activity, acting on single donors with incorporation of molecular oxygen); GO:0003868 (4-hydroxyphenylpyruvate dioxygenase activity); GO:0009072 (aromatic amino acid family metabolic process); GO:0055114 (oxidation-reduction process)</t>
  </si>
  <si>
    <t>GO:0005634 (nucleus); GO:0005669 (transcription factor TFIID complex); GO:0006366 (transcription by RNA polymerase II); GO:0006367 (transcription initiation from RNA polymerase II promoter); GO:0000439 (transcription factor TFIIH core complex); GO:0005675 (transcription factor TFIIH holo complex); GO:0006289 (nucleotide-excision repair); GO:0070816 (phosphorylation of RNA polymerase II C-terminal domain); GO:0006294 (nucleotide-excision repair, preincision complex assembly)</t>
  </si>
  <si>
    <t>GO:0006886 (intracellular protein transport); GO:0015031 (protein transport); GO:0019905 (syntaxin binding); GO:0031201 (SNARE complex); GO:0005774 (vacuolar membrane); GO:0005483 (soluble NSF attachment protein activity); GO:0005515 (protein binding)</t>
  </si>
  <si>
    <t xml:space="preserve">Eyes absent homolog 1 </t>
  </si>
  <si>
    <t>GO:0007275 (multicellular organism development); GO:0004725 (protein tyrosine phosphatase activity)</t>
  </si>
  <si>
    <t xml:space="preserve">Methyl-CpG BinDing protein; Methyl-binding protein-2 </t>
  </si>
  <si>
    <t xml:space="preserve">Nuclear hormone receptor family member nhr-31 </t>
  </si>
  <si>
    <t>GO:0016020 (membrane); GO:0016021 (integral component of membrane); GO:0005524 (ATP binding); GO:0042626 (ATPase-coupled transmembrane transporter activity); GO:0000166 (nucleotide binding); GO:0055085 (transmembrane transport); GO:0005887 (integral component of plasma membrane); GO:0015562 (efflux transmembrane transporter activity); GO:0016887 (ATPase activity)</t>
  </si>
  <si>
    <t xml:space="preserve">Sensory AXon guidance </t>
  </si>
  <si>
    <t>GO:0016020 (membrane); GO:0016021 (integral component of membrane); GO:0005515 (protein binding); GO:0009792 (embryo development ending in birth or egg hatching); GO:0005886 (plasma membrane); GO:0042074 (cell migration involved in gastrulation); GO:0050839 (cell adhesion molecule binding); GO:0032809 (neuronal cell body membrane); GO:0005912 (adherens junction); GO:0000132 (establishment of mitotic spindle orientation); GO:0030017 (sarcomere); GO:0016328 (lateral plasma membrane); GO:0030673 (axolemma); GO:0032590 (dendrite membrane); GO:0030506 (ankyrin binding); GO:0003384 (apical constriction involved in gastrulation); GO:0050775 (positive regulation of dendrite morphogenesis); GO:0048814 (regulation of dendrite morphogenesis); GO:0070593 (dendrite self-avoidance); GO:1903859 (regulation of dendrite extension); GO:0048813 (dendrite morphogenesis)</t>
  </si>
  <si>
    <t xml:space="preserve">Tissue Inhibitor of MetalloProtease </t>
  </si>
  <si>
    <t>GO:0005576 (extracellular region); GO:0005615 (extracellular space); GO:0010951 (negative regulation of endopeptidase activity); GO:0031012 (extracellular matrix); GO:0010033 (response to organic substance); GO:0002020 (protease binding); GO:0008191 (metalloendopeptidase inhibitor activity); GO:0051045 (negative regulation of membrane protein ectodomain proteolysis); GO:0005515 (protein binding)</t>
  </si>
  <si>
    <t>GO:0046872 (metal ion binding); GO:0005813 (centrosome); GO:0032266 (phosphatidylinositol-3-phosphate binding); GO:0030496 (midbody); GO:0032154 (cleavage furrow); GO:0009838 (abscission); GO:0044878 (mitotic cytokinesis checkpoint)</t>
  </si>
  <si>
    <t xml:space="preserve">MAP kinase-activated protein kinase mak-1 </t>
  </si>
  <si>
    <t xml:space="preserve">MIZ-type zinc finger putative transcription factor </t>
  </si>
  <si>
    <t>GO:0046872 (metal ion binding); GO:0008270 (zinc ion binding); GO:0006357 (regulation of transcription by RNA polymerase II); GO:0030374 (nuclear receptor transcription coactivator activity); GO:0048096 (chromatin-mediated maintenance of transcription)</t>
  </si>
  <si>
    <t xml:space="preserve">BED-type zinc finger putative transcription factor </t>
  </si>
  <si>
    <t>GO:0005634 (nucleus); GO:0046872 (metal ion binding); GO:0006355 (regulation of transcription, DNA-templated); GO:0045893 (positive regulation of transcription, DNA-templated); GO:0003677 (DNA binding); GO:0003712 (transcription coregulator activity)</t>
  </si>
  <si>
    <t>GO:0003924 (GTPase activity); GO:0005525 (GTP binding); GO:0006886 (intracellular protein transport); GO:0000045 (autophagosome assembly); GO:0012505 (endomembrane system); GO:0005515 (protein binding)</t>
  </si>
  <si>
    <t xml:space="preserve">High-energy light unresponsive protein 1 </t>
  </si>
  <si>
    <t xml:space="preserve">Dual specificity tyrosine-phosphorylation-regulated kinase mbk-1 </t>
  </si>
  <si>
    <t>GO:0004712 (protein serine/threonine/tyrosine kinase activity); GO:0046777 (protein autophosphorylation); GO:0004672 (protein kinase activity); GO:0006468 (protein phosphorylation); GO:0005524 (ATP binding)</t>
  </si>
  <si>
    <t xml:space="preserve">LONg </t>
  </si>
  <si>
    <t>GO:0016020 (membrane); GO:0045202 (synapse); GO:0016477 (cell migration); GO:0009966 (regulation of signal transduction); GO:0040015 (negative regulation of multicellular organism growth); GO:0042661 (regulation of mesodermal cell fate specification); GO:0009986 (cell surface); GO:1901048 (transforming growth factor beta receptor signaling pathway involved in regulation of multicellular organism growth); GO:0046658 (anchored component of plasma membrane); GO:0062023 (collagen-containing extracellular matrix); GO:0030512 (negative regulation of transforming growth factor beta receptor signaling pathway); GO:0030334 (regulation of cell migration); GO:1905475 (regulation of protein localization to membrane); GO:0019838 (growth factor binding)</t>
  </si>
  <si>
    <t xml:space="preserve">Isocitrate dehydrogenase [NADP] </t>
  </si>
  <si>
    <t>GO:0046872 (metal ion binding); GO:0005739 (mitochondrion); GO:0016491 (oxidoreductase activity); GO:0000287 (magnesium ion binding); GO:0016616 (oxidoreductase activity, acting on the CH-OH group of donors, NAD or NADP as acceptor); GO:0051287 (NAD binding); GO:0004450 (isocitrate dehydrogenase (NADP+) activity); GO:0006102 (isocitrate metabolic process); GO:0006739 (NADP metabolic process); GO:0006099 (tricarboxylic acid cycle); GO:0006097 (glyoxylate cycle); GO:0055114 (oxidation-reduction process)</t>
  </si>
  <si>
    <t xml:space="preserve">SREBP Cleavage activating Protein (SCAP) homolog </t>
  </si>
  <si>
    <t>GO:0016020 (membrane); GO:0016021 (integral component of membrane); GO:0000139 (Golgi membrane); GO:0005794 (Golgi apparatus); GO:0006629 (lipid metabolic process); GO:0005789 (endoplasmic reticulum membrane); GO:0012507 (ER to Golgi transport vesicle membrane); GO:0008289 (lipid binding); GO:0032933 (SREBP signaling pathway); GO:0032934 (sterol binding); GO:0005515 (protein binding)</t>
  </si>
  <si>
    <t xml:space="preserve">Sphingosine kinase 1 </t>
  </si>
  <si>
    <t>GO:0016020 (membrane); GO:0005886 (plasma membrane); GO:0005737 (cytoplasm); GO:0016301 (kinase activity); GO:0016310 (phosphorylation); GO:0005634 (nucleus); GO:0000166 (nucleotide binding); GO:0016740 (transferase activity); GO:0043231 (intracellular membrane-bounded organelle); GO:0005524 (ATP binding); GO:0006629 (lipid metabolic process); GO:0030054 (cell junction); GO:0045202 (synapse); GO:0005739 (mitochondrion); GO:0042995 (cell projection); GO:0006665 (sphingolipid metabolic process); GO:0003951 (NAD+ kinase activity); GO:0030424 (axon); GO:0043204 (perikaryon); GO:0031966 (mitochondrial membrane); GO:0050764 (regulation of phagocytosis); GO:0008481 (sphinganine kinase activity); GO:0042734 (presynaptic membrane); GO:0043025 (neuronal cell body); GO:0040012 (regulation of locomotion); GO:0036062 (presynaptic periactive zone); GO:0014057 (positive regulation of acetylcholine secretion, neurotransmission); GO:0046834 (lipid phosphorylation); GO:0016407 (acetyltransferase activity); GO:0017050 (D-erythro-sphingosine kinase activity); GO:0006473 (protein acetylation); GO:0046512 (sphingosine biosynthetic process); GO:0001727 (lipid kinase activity)</t>
  </si>
  <si>
    <t xml:space="preserve">Nuclear hormone receptor family member nhr-48 </t>
  </si>
  <si>
    <t xml:space="preserve">Lysine-specific demethylase 9 </t>
  </si>
  <si>
    <t xml:space="preserve">Nuclear hormone receptor family member nhr-100 </t>
  </si>
  <si>
    <t>GO:0050790 (regulation of catalytic activity); GO:0051087 (chaperone binding); GO:0000774 (adenyl-nucleotide exchange factor activity); GO:0050821 (protein stabilization); GO:0005634 (nucleus); GO:0005737 (cytoplasm); GO:0055120 (striated muscle dense body); GO:0005730 (nucleolus); GO:0031430 (M band); GO:0016203 (muscle attachment); GO:0031072 (heat shock protein binding)</t>
  </si>
  <si>
    <t>GO:0005739 (mitochondrion); GO:0005654 (nucleoplasm)</t>
  </si>
  <si>
    <t xml:space="preserve">Rabphilin-1 </t>
  </si>
  <si>
    <t>GO:0016020 (membrane); GO:0046872 (metal ion binding); GO:0006886 (intracellular protein transport); GO:0006887 (exocytosis); GO:0030054 (cell junction); GO:0045202 (synapse); GO:0008021 (synaptic vesicle); GO:0040017 (positive regulation of locomotion); GO:1990504 (dense core granule exocytosis); GO:0031267 (small GTPase binding)</t>
  </si>
  <si>
    <t xml:space="preserve">rRNA methyltransferase </t>
  </si>
  <si>
    <t>GO:0005634 (nucleus); GO:0008168 (methyltransferase activity); GO:0032259 (methylation); GO:0016740 (transferase activity); GO:0005730 (nucleolus); GO:0006364 (rRNA processing); GO:0042254 (ribosome biogenesis); GO:0001510 (RNA methylation); GO:0030687 (preribosome, large subunit precursor); GO:0000463 (maturation of LSU-rRNA from tricistronic rRNA transcript (SSU-rRNA, 5.8S rRNA, LSU-rRNA)); GO:0000466 (maturation of 5.8S rRNA from tricistronic rRNA transcript (SSU-rRNA, 5.8S rRNA, LSU-rRNA)); GO:0008650 (rRNA (uridine-2'-O-)-methyltransferase activity); GO:0008173 (RNA methyltransferase activity); GO:0031167 (rRNA methylation); GO:0008649 (rRNA methyltransferase activity); GO:0016435 (rRNA (guanine) methyltransferase activity); GO:0000453 (enzyme-directed rRNA 2'-O-methylation)</t>
  </si>
  <si>
    <t xml:space="preserve">SPARC </t>
  </si>
  <si>
    <t>GO:0005509 (calcium ion binding); GO:0046872 (metal ion binding); GO:0005576 (extracellular region); GO:0005615 (extracellular space); GO:0007275 (multicellular organism development); GO:0005604 (basement membrane); GO:0048856 (anatomical structure development); GO:0005518 (collagen binding); GO:0050840 (extracellular matrix binding); GO:0005515 (protein binding)</t>
  </si>
  <si>
    <t xml:space="preserve">GCL (Drosophila Germ Cell-Less) homolog </t>
  </si>
  <si>
    <t>GO:0007275 (multicellular organism development); GO:0042802 (identical protein binding); GO:0007281 (germ cell development); GO:0005515 (protein binding)</t>
  </si>
  <si>
    <t xml:space="preserve">Nucleosome-remodeling factor subunit NURF301-like </t>
  </si>
  <si>
    <t>GO:0016589 (NURF complex); GO:0006357 (regulation of transcription by RNA polymerase II); GO:0005515 (protein binding); GO:0005634 (nucleus); GO:0046872 (metal ion binding)</t>
  </si>
  <si>
    <t>GO:0016020 (membrane); GO:0016021 (integral component of membrane); GO:0005886 (plasma membrane); GO:0038023 (signaling receptor activity); GO:0005783 (endoplasmic reticulum); GO:0005789 (endoplasmic reticulum membrane); GO:0009897 (external side of plasma membrane); GO:0002119 (nematode larval development); GO:0030177 (positive regulation of Wnt signaling pathway)</t>
  </si>
  <si>
    <t xml:space="preserve">Phosphatidylinositol 3-kinase catalytic subunit type 3 </t>
  </si>
  <si>
    <t>GO:0048015 (phosphatidylinositol-mediated signaling); GO:0046854 (phosphatidylinositol phosphorylation); GO:0016303 (1-phosphatidylinositol-3-kinase activity); GO:0016301 (kinase activity)</t>
  </si>
  <si>
    <t>GO:0046872 (metal ion binding); GO:0061630 (ubiquitin protein ligase activity); GO:0003682 (chromatin binding); GO:0000151 (ubiquitin ligase complex); GO:0031519 (PcG protein complex); GO:0035518 (histone H2A monoubiquitination); GO:0040027 (negative regulation of vulval development); GO:0000003 (reproduction); GO:0030334 (regulation of cell migration); GO:0045138 (nematode male tail tip morphogenesis); GO:0033522 (histone H2A ubiquitination); GO:0045814 (negative regulation of gene expression, epigenetic)</t>
  </si>
  <si>
    <t xml:space="preserve">MICOS complex subunit MIC60-1 </t>
  </si>
  <si>
    <t xml:space="preserve">Calcineurin-interacting protein 2 </t>
  </si>
  <si>
    <t xml:space="preserve">NeurABin </t>
  </si>
  <si>
    <t>GO:0005737 (cytoplasm); GO:0005856 (cytoskeleton); GO:0007015 (actin filament organization); GO:0051015 (actin filament binding); GO:0019722 (calcium-mediated signaling); GO:0007399 (nervous system development); GO:0030425 (dendrite); GO:0031175 (neuron projection development); GO:0014069 (postsynaptic density); GO:0015629 (actin cytoskeleton); GO:0005886 (plasma membrane); GO:0048786 (presynaptic active zone); GO:0007416 (synapse assembly); GO:0036062 (presynaptic periactive zone); GO:0001725 (stress fiber); GO:0030864 (cortical actin cytoskeleton); GO:0005515 (protein binding)</t>
  </si>
  <si>
    <t>GO:0030968 (endoplasmic reticulum unfolded protein response); GO:0006469 (negative regulation of protein kinase activity); GO:0051787 (misfolded protein binding); GO:0005788 (endoplasmic reticulum lumen); GO:0005515 (protein binding)</t>
  </si>
  <si>
    <t xml:space="preserve">Probable ADP-dependent glucokinase </t>
  </si>
  <si>
    <t>GO:0016301 (kinase activity); GO:0016310 (phosphorylation); GO:0046872 (metal ion binding); GO:0016740 (transferase activity); GO:0005576 (extracellular region); GO:0005975 (carbohydrate metabolic process); GO:0006096 (glycolytic process); GO:0016773 (phosphotransferase activity, alcohol group as acceptor); GO:0043843 (ADP-specific glucokinase activity)</t>
  </si>
  <si>
    <t>GO:0016020 (membrane); GO:0016021 (integral component of membrane); GO:0005524 (ATP binding); GO:0042626 (ATPase-coupled transmembrane transporter activity); GO:0005886 (plasma membrane); GO:0000166 (nucleotide binding); GO:0055085 (transmembrane transport); GO:0016323 (basolateral plasma membrane); GO:0016887 (ATPase activity)</t>
  </si>
  <si>
    <t>GO:0005829 (cytosol); GO:0000122 (negative regulation of transcription by RNA polymerase II); GO:0051082 (unfolded protein binding); GO:0051085 (chaperone cofactor-dependent protein refolding); GO:0006457 (protein folding); GO:0051087 (chaperone binding)</t>
  </si>
  <si>
    <t xml:space="preserve">MuSashI (Fly neural) family; Neural RNA-binding protein MSI-1 </t>
  </si>
  <si>
    <t>GO:0005737 (cytoplasm); GO:0003723 (RNA binding); GO:0003676 (nucleic acid binding); GO:0005844 (polysome); GO:0003729 (mRNA binding); GO:0050877 (nervous system process)</t>
  </si>
  <si>
    <t xml:space="preserve">NIP3 homolog </t>
  </si>
  <si>
    <t>GO:0043065 (positive regulation of apoptotic process); GO:0005740 (mitochondrial envelope); GO:0016021 (integral component of membrane)</t>
  </si>
  <si>
    <t>GO:0016020 (membrane); GO:0016021 (integral component of membrane); GO:0005524 (ATP binding); GO:0006811 (ion transport); GO:0000166 (nucleotide binding); GO:0043231 (intracellular membrane-bounded organelle); GO:0005887 (integral component of plasma membrane); GO:0070588 (calcium ion transmembrane transport); GO:0016887 (ATPase activity); GO:0006816 (calcium ion transport); GO:0005388 (calcium transmembrane transporter activity, phosphorylative mechanism); GO:0006874 (cellular calcium ion homeostasis); GO:0051480 (regulation of cytosolic calcium ion concentration); GO:0009792 (embryo development ending in birth or egg hatching); GO:0005886 (plasma membrane); GO:0002119 (nematode larval development); GO:0040010 (positive regulation of growth rate); GO:0040017 (positive regulation of locomotion); GO:0006897 (endocytosis); GO:0045807 (positive regulation of endocytosis); GO:0051481 (negative regulation of cytosolic calcium ion concentration); GO:0019829 (ATPase-coupled cation transmembrane transporter activity)</t>
  </si>
  <si>
    <t xml:space="preserve">NOT-Like (Yeast CCR4/NOT complex component) </t>
  </si>
  <si>
    <t>GO:0006355 (regulation of transcription, DNA-templated); GO:0000932 (P-body); GO:0005515 (protein binding); GO:0030015 (CCR4-NOT core complex); GO:0000289 (nuclear-transcribed mRNA poly(A) tail shortening); GO:2000036 (regulation of stem cell population maintenance)</t>
  </si>
  <si>
    <t>GO:0005634 (nucleus); GO:0046540 (U4/U6 x U5 tri-snRNP complex); GO:0045292 (mRNA cis splicing, via spliceosome); GO:0000398 (mRNA splicing, via spliceosome); GO:0000481 (maturation of 5S rRNA)</t>
  </si>
  <si>
    <t xml:space="preserve">Hypoxia-inducible factor 1 </t>
  </si>
  <si>
    <t xml:space="preserve">PLeXin </t>
  </si>
  <si>
    <t>GO:0016020 (membrane); GO:0016021 (integral component of membrane); GO:0005886 (plasma membrane); GO:0007165 (signal transduction); GO:0005887 (integral component of plasma membrane); GO:0007399 (nervous system development); GO:0002116 (semaphorin receptor complex); GO:0007162 (negative regulation of cell adhesion); GO:0008360 (regulation of cell shape); GO:0017154 (semaphorin receptor activity); GO:0030334 (regulation of cell migration); GO:0043087 (regulation of GTPase activity); GO:0050772 (positive regulation of axonogenesis); GO:0071526 (semaphorin-plexin signaling pathway); GO:1902287 (semaphorin-plexin signaling pathway involved in axon guidance); GO:0090597 (nematode male tail mating organ morphogenesis); GO:0005884 (actin filament); GO:0007264 (small GTPase mediated signal transduction); GO:0051270 (regulation of cellular component movement); GO:0001726 (ruffle); GO:0005515 (protein binding); GO:0031267 (small GTPase binding); GO:0045138 (nematode male tail tip morphogenesis); GO:0008544 (epidermis development)</t>
  </si>
  <si>
    <t xml:space="preserve">Microtubule-associated protein homolog maph-1.1 </t>
  </si>
  <si>
    <t>GO:0000226 (microtubule cytoskeleton organization); GO:0008017 (microtubule binding); GO:0005874 (microtubule)</t>
  </si>
  <si>
    <t>GO:0016020 (membrane); GO:0016021 (integral component of membrane); GO:0031204 (posttranslational protein targeting to membrane, translocation); GO:0015031 (protein transport); GO:0005783 (endoplasmic reticulum)</t>
  </si>
  <si>
    <t>GO:0000981 (DNA-binding transcription factor activity, RNA polymerase II-specific); GO:0046983 (protein dimerization activity); GO:0005634 (nucleus); GO:0005737 (cytoplasm); GO:0003677 (DNA binding); GO:0000978 (RNA polymerase II cis-regulatory region sequence-specific DNA binding); GO:0010628 (positive regulation of gene expression); GO:0006357 (regulation of transcription by RNA polymerase II); GO:0050830 (defense response to Gram-positive bacterium); GO:0045944 (positive regulation of transcription by RNA polymerase II); GO:0008340 (determination of adult lifespan); GO:0050829 (defense response to Gram-negative bacterium); GO:0010506 (regulation of autophagy); GO:1904417 (positive regulation of xenophagy); GO:1905686 (positive regulation of plasma membrane repair)</t>
  </si>
  <si>
    <t>GO:0005634 (nucleus); GO:0005737 (cytoplasm); GO:0007165 (signal transduction); GO:0019901 (protein kinase binding); GO:0006397 (mRNA processing); GO:0008380 (RNA splicing); GO:0031588 (nucleotide-activated protein kinase complex); GO:0045859 (regulation of protein kinase activity); GO:0080090 (regulation of primary metabolic process)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</si>
  <si>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GO:0005876 (spindle microtubule)</t>
  </si>
  <si>
    <t>GO:0016567 (protein ubiquitination); GO:0046872 (metal ion binding); GO:0004842 (ubiquitin-protein transferase activity); GO:0003676 (nucleic acid binding); GO:0003723 (RNA binding); GO:0030014 (CCR4-NOT complex); GO:0005515 (protein binding)</t>
  </si>
  <si>
    <t>GO:1990817 (RNA adenylyltransferase activity); GO:0048255 (mRNA stabilization)</t>
  </si>
  <si>
    <t>GO:0005869 (dynactin complex); GO:0005886 (plasma membrane); GO:0055120 (striated muscle dense body)</t>
  </si>
  <si>
    <t xml:space="preserve">Related to vertebrate MEF2 transcription factor </t>
  </si>
  <si>
    <t>GO:0003677 (DNA binding); GO:0005634 (nucleus); GO:0045944 (positive regulation of transcription by RNA polymerase II); GO:0046983 (protein dimerization activity); GO:0000978 (RNA polymerase II cis-regulatory region sequence-specific DNA binding); GO:0042826 (histone deacetylase binding); GO:0000981 (DNA-binding transcription factor activity, RNA polymerase II-specific); GO:0006357 (regulation of transcription by RNA polymerase II); GO:0030154 (cell differentiation); GO:0000977 (RNA polymerase II transcription regulatory region sequence-specific DNA binding); GO:0000122 (negative regulation of transcription by RNA polymerase II); GO:0043565 (sequence-specific DNA binding); GO:0014056 (regulation of acetylcholine secretion, neurotransmission)</t>
  </si>
  <si>
    <t xml:space="preserve">Pyruvate kinase </t>
  </si>
  <si>
    <t>GO:0005737 (cytoplasm); GO:0003824 (catalytic activity); GO:0016301 (kinase activity); GO:0016310 (phosphorylation); GO:0046872 (metal ion binding); GO:0000166 (nucleotide binding); GO:0016740 (transferase activity); GO:0005524 (ATP binding); GO:0000287 (magnesium ion binding); GO:0004743 (pyruvate kinase activity); GO:0006096 (glycolytic process); GO:0030955 (potassium ion binding)</t>
  </si>
  <si>
    <t xml:space="preserve">Dosage compensation protein dpy-30 </t>
  </si>
  <si>
    <t>GO:0044666 (MLL3/4 complex); GO:0048188 (Set1C/COMPASS complex)</t>
  </si>
  <si>
    <t xml:space="preserve">Sra (SRA) stem-Loop interacting Rna (RNA) binding Protein homolog </t>
  </si>
  <si>
    <t>GO:0016020 (membrane); GO:0016021 (integral component of membrane); GO:0005794 (Golgi apparatus); GO:0005829 (cytosol); GO:0042147 (retrograde transport, endosome to Golgi); GO:0005515 (protein binding)</t>
  </si>
  <si>
    <t xml:space="preserve">Nuclear receptor corepressor 1 </t>
  </si>
  <si>
    <t xml:space="preserve">Pumilio domain-containing protein 12 </t>
  </si>
  <si>
    <t xml:space="preserve">Dolichyl-diphosphooligosaccharide--protein glycosyltransferase subunit 2 </t>
  </si>
  <si>
    <t>GO:0016020 (membrane); GO:0016021 (integral component of membrane); GO:0006486 (protein glycosylation); GO:0006487 (protein N-linked glycosylation); GO:0005783 (endoplasmic reticulum); GO:0005789 (endoplasmic reticulum membrane); GO:0008250 (oligosaccharyltransferase complex); GO:0007029 (endoplasmic reticulum organization); GO:0051302 (regulation of cell division)</t>
  </si>
  <si>
    <t xml:space="preserve">Zinc finger DHHC domain-containing protein 4 </t>
  </si>
  <si>
    <t>GO:0016020 (membrane); GO:0016021 (integral component of membrane); GO:0016740 (transferase activity); GO:0016746 (transferase activity, transferring acyl groups); GO:0005794 (Golgi apparatus); GO:0005783 (endoplasmic reticulum); GO:0006612 (protein targeting to membrane); GO:0018230 (peptidyl-L-cysteine S-palmitoylation); GO:0019706 (protein-cysteine S-palmitoyltransferase activity); GO:0016409 (palmitoyltransferase activity); GO:0018215 (protein phosphopantetheinylation)</t>
  </si>
  <si>
    <t>GO:0016020 (membrane); GO:0006811 (ion transport); GO:0005739 (mitochondrion); GO:0005743 (mitochondrial inner membrane); GO:0015078 (proton transmembrane transporter activity); GO:0015986 (ATP synthesis coupled proton transport); GO:0000276 (mitochondrial proton-transporting ATP synthase complex, coupling factor F(o))</t>
  </si>
  <si>
    <t>GO:0005096 (GTPase activator activity); GO:0006886 (intracellular protein transport); GO:0090630 (activation of GTPase activity)</t>
  </si>
  <si>
    <t xml:space="preserve">Egg-laying defective protein 27 </t>
  </si>
  <si>
    <t>GO:0003682 (chromatin binding); GO:0043565 (sequence-specific DNA binding); GO:0008270 (zinc ion binding); GO:0006355 (regulation of transcription, DNA-templated); GO:0005634 (nucleus)</t>
  </si>
  <si>
    <t xml:space="preserve">Guanine nucleotide-binding protein G(o) subunit alpha </t>
  </si>
  <si>
    <t xml:space="preserve">Zygote defective protein 9 </t>
  </si>
  <si>
    <t>GO:0005737 (cytoplasm); GO:0005856 (cytoskeleton); GO:0005874 (microtubule); GO:0007017 (microtubule-based process); GO:0007049 (cell cycle); GO:0005515 (protein binding); GO:0008017 (microtubule binding); GO:0051301 (cell division); GO:0005813 (centrosome); GO:0000776 (kinetochore); GO:0000922 (spindle pole); GO:0030951 (establishment or maintenance of microtubule cytoskeleton polarity); GO:0046785 (microtubule polymerization); GO:0051298 (centrosome duplication); GO:0035371 (microtubule plus-end); GO:0009792 (embryo development ending in birth or egg hatching); GO:0007052 (mitotic spindle organization); GO:0051321 (meiotic cell cycle); GO:0005815 (microtubule organizing center); GO:0007051 (spindle organization); GO:0051231 (spindle elongation); GO:0072687 (meiotic spindle); GO:0000212 (meiotic spindle organization); GO:0061863 (microtubule plus end polymerase)</t>
  </si>
  <si>
    <t>GO:0005096 (GTPase activator activity); GO:0007165 (signal transduction); GO:0043547 (positive regulation of GTPase activity)</t>
  </si>
  <si>
    <t>GO:0005856 (cytoskeleton); GO:0005737 (cytoplasm)</t>
  </si>
  <si>
    <t xml:space="preserve">Mediator of RNA polymerase II transcription subunit 15 </t>
  </si>
  <si>
    <t>GO:0016592 (mediator complex); GO:0003712 (transcription coregulator activity); GO:0006357 (regulation of transcription by RNA polymerase II); GO:0006355 (regulation of transcription, DNA-templated)</t>
  </si>
  <si>
    <t xml:space="preserve">Unc-40 protein </t>
  </si>
  <si>
    <t>GO:0016020 (membrane); GO:0016021 (integral component of membrane); GO:0005886 (plasma membrane); GO:0040018 (positive regulation of multicellular organism growth); GO:0007399 (nervous system development); GO:0042661 (regulation of mesodermal cell fate specification); GO:0097374 (sensory neuron axon guidance); GO:0008045 (motor neuron axon guidance); GO:0051965 (positive regulation of synapse assembly); GO:1901048 (transforming growth factor beta receptor signaling pathway involved in regulation of multicellular organism growth); GO:0035262 (gonad morphogenesis); GO:0040017 (positive regulation of locomotion); GO:0016199 (axon midline choice point recognition); GO:0038007 (netrin-activated signaling pathway); GO:0048843 (negative regulation of axon extension involved in axon guidance); GO:1905490 (negative regulation of sensory neuron axon guidance); GO:1905812 (regulation of motor neuron axon guidance); GO:1905815 (regulation of dorsal/ventral axon guidance); GO:0005515 (protein binding); GO:0019904 (protein domain specific binding); GO:0001764 (neuron migration); GO:0030334 (regulation of cell migration); GO:0033563 (dorsal/ventral axon guidance); GO:0031175 (neuron projection development); GO:0005887 (integral component of plasma membrane); GO:0045138 (nematode male tail tip morphogenesis); GO:0035545 (determination of left/right asymmetry in nervous system); GO:0097402 (neuroblast migration); GO:0043235 (receptor complex); GO:0005042 (netrin receptor activity); GO:0030513 (positive regulation of BMP signaling pathway); GO:0031253 (cell projection membrane); GO:0061643 (chemorepulsion of axon); GO:0044295 (axonal growth cone); GO:0048813 (dendrite morphogenesis); GO:0097628 (distal tip cell migration)</t>
  </si>
  <si>
    <t>GO:0016020 (membrane); GO:0006886 (intracellular protein transport); GO:0015031 (protein transport); GO:0031410 (cytoplasmic vesicle); GO:0008270 (zinc ion binding); GO:0000149 (SNARE binding); GO:0005789 (endoplasmic reticulum membrane); GO:0012507 (ER to Golgi transport vesicle membrane); GO:0006888 (endoplasmic reticulum to Golgi vesicle-mediated transport); GO:0030127 (COPII vesicle coat); GO:0070971 (endoplasmic reticulum exit site); GO:0090110 (COPII-coated vesicle cargo loading)</t>
  </si>
  <si>
    <t xml:space="preserve">ALG-1 INteracting protein </t>
  </si>
  <si>
    <t>GO:0005515 (protein binding); GO:0009792 (embryo development ending in birth or egg hatching); GO:0040034 (regulation of development, heterochronic); GO:0042659 (regulation of cell fate specification); GO:0040028 (regulation of vulval development); GO:0040012 (regulation of locomotion); GO:0005737 (cytoplasm); GO:0032880 (regulation of protein localization); GO:0000932 (P-body); GO:0000956 (nuclear-transcribed mRNA catabolic process); GO:0045947 (negative regulation of translational initiation)</t>
  </si>
  <si>
    <t>GO:0007218 (neuropeptide signaling pathway); GO:0009792 (embryo development ending in birth or egg hatching); GO:1904333 (positive regulation of error-prone translesion synthesis)</t>
  </si>
  <si>
    <t xml:space="preserve">Cytochrome c oxidase subunit 5A, mitochondrial </t>
  </si>
  <si>
    <t>GO:0005743 (mitochondrial inner membrane); GO:0004129 (cytochrome-c oxidase activity)</t>
  </si>
  <si>
    <t xml:space="preserve">Ectopic P granules protein 4 </t>
  </si>
  <si>
    <t xml:space="preserve">2,3-bisphosphoglycerate-independent phosphoglycerate mutase </t>
  </si>
  <si>
    <t>GO:0006007 (glucose catabolic process); GO:0004619 (phosphoglycerate mutase activity); GO:0005737 (cytoplasm); GO:0046872 (metal ion binding); GO:0003824 (catalytic activity); GO:0030145 (manganese ion binding)</t>
  </si>
  <si>
    <t xml:space="preserve">ABC transporter ced-7 </t>
  </si>
  <si>
    <t>GO:0016887 (ATPase activity); GO:0042626 (ATPase-coupled transmembrane transporter activity); GO:0016021 (integral component of membrane); GO:0055085 (transmembrane transport); GO:0005524 (ATP binding); GO:0016020 (membrane); GO:0000166 (nucleotide binding); GO:0043652 (engulfment of apoptotic cell); GO:0005886 (plasma membrane); GO:0006869 (lipid transport); GO:0012501 (programmed cell death)</t>
  </si>
  <si>
    <t xml:space="preserve">Putative endoplasmic reticulum metallopeptidase 1-A </t>
  </si>
  <si>
    <t xml:space="preserve">TOLl (Drosophila) family </t>
  </si>
  <si>
    <t>GO:0016020 (membrane); GO:0016021 (integral component of membrane); GO:0007165 (signal transduction); GO:0005615 (extracellular space); GO:0031012 (extracellular matrix); GO:0009792 (embryo development ending in birth or egg hatching); GO:0050829 (defense response to Gram-negative bacterium); GO:0007166 (cell surface receptor signaling pathway); GO:0006952 (defense response); GO:0005515 (protein binding)</t>
  </si>
  <si>
    <t xml:space="preserve">SyNaptoBrevin related </t>
  </si>
  <si>
    <t>GO:0016020 (membrane); GO:0016021 (integral component of membrane); GO:0005886 (plasma membrane); GO:0016192 (vesicle-mediated transport); GO:0019905 (syntaxin binding); GO:0031201 (SNARE complex); GO:0005484 (SNAP receptor activity); GO:0006906 (vesicle fusion)</t>
  </si>
  <si>
    <t xml:space="preserve">Pre-rRNA-processing protein pro-1 </t>
  </si>
  <si>
    <t>GO:0016020 (membrane); GO:0016021 (integral component of membrane); GO:0006508 (proteolysis); GO:0004252 (serine-type endopeptidase activity)</t>
  </si>
  <si>
    <t>GO:0030246 (carbohydrate binding); GO:0005886 (plasma membrane); GO:0016936 (galactoside binding); GO:0045121 (membrane raft)</t>
  </si>
  <si>
    <t xml:space="preserve">ATP synthase subunit </t>
  </si>
  <si>
    <t>GO:0016020 (membrane); GO:0006811 (ion transport); GO:0005739 (mitochondrion); GO:0005743 (mitochondrial inner membrane); GO:0015078 (proton transmembrane transporter activity); GO:0015986 (ATP synthesis coupled proton transport); GO:0000276 (mitochondrial proton-transporting ATP synthase complex, coupling factor F(o)); GO:0005753 (mitochondrial proton-transporting ATP synthase complex)</t>
  </si>
  <si>
    <t xml:space="preserve">Phosphatidylinositol 3-kinase piki-1 </t>
  </si>
  <si>
    <t>GO:0048015 (phosphatidylinositol-mediated signaling); GO:0046854 (phosphatidylinositol phosphorylation); GO:0035091 (phosphatidylinositol binding); GO:0016301 (kinase activity)</t>
  </si>
  <si>
    <t xml:space="preserve">Serine palmitoyltransferase 1 </t>
  </si>
  <si>
    <t>GO:0003824 (catalytic activity); GO:0016740 (transferase activity); GO:0016746 (transferase activity, transferring acyl groups); GO:0009058 (biosynthetic process); GO:0030170 (pyridoxal phosphate binding); GO:0005783 (endoplasmic reticulum); GO:0006629 (lipid metabolic process); GO:0006665 (sphingolipid metabolic process); GO:0046513 (ceramide biosynthetic process); GO:0004758 (serine C-palmitoyltransferase activity); GO:0045197 (establishment or maintenance of epithelial cell apical/basal polarity); GO:0046512 (sphingosine biosynthetic process)</t>
  </si>
  <si>
    <t xml:space="preserve">ANK repeat-containing protein nipk-1 </t>
  </si>
  <si>
    <t>GO:0006915 (apoptotic process); GO:0008134 (transcription factor binding); GO:0006351 (transcription, DNA-templated); GO:0005515 (protein binding)</t>
  </si>
  <si>
    <t xml:space="preserve">Pre-mRNA-splicing factor 8 homolog </t>
  </si>
  <si>
    <t>GO:0017070 (U6 snRNA binding); GO:0030623 (U5 snRNA binding); GO:0000398 (mRNA splicing, via spliceosome); GO:0005681 (spliceosomal complex); GO:0070122 (isopeptidase activity); GO:0008237 (metallopeptidase activity); GO:0003723 (RNA binding); GO:0005515 (protein binding)</t>
  </si>
  <si>
    <t xml:space="preserve">MethylCrotonoyl-Coenzyme A Carboxylase (Alpha) </t>
  </si>
  <si>
    <t>GO:0005524 (ATP binding); GO:0000166 (nucleotide binding); GO:0016874 (ligase activity); GO:0005739 (mitochondrion); GO:0046872 (metal ion binding); GO:0004485 (methylcrotonoyl-CoA carboxylase activity); GO:0016421 (CoA carboxylase activity)</t>
  </si>
  <si>
    <t xml:space="preserve">Autophagy-related protein 3 </t>
  </si>
  <si>
    <t>GO:0005829 (cytosol); GO:0000045 (autophagosome assembly); GO:0000422 (autophagy of mitochondrion); GO:0019776 (Atg8 ligase activity); GO:0000153 (cytoplasmic ubiquitin ligase complex); GO:0016236 (macroautophagy); GO:0044804 (autophagy of nucleus)</t>
  </si>
  <si>
    <t xml:space="preserve">Branched-chain-amino-acid aminotransferase, cytosolic </t>
  </si>
  <si>
    <t>GO:0009081 (branched-chain amino acid metabolic process); GO:0004084 (branched-chain-amino-acid transaminase activity); GO:0003824 (catalytic activity)</t>
  </si>
  <si>
    <t xml:space="preserve">CDC50 family protein chat-1 </t>
  </si>
  <si>
    <t xml:space="preserve">UBR E3 ubiquitin ligase homolog </t>
  </si>
  <si>
    <t>GO:0005634 (nucleus); GO:0046872 (metal ion binding); GO:0000209 (protein polyubiquitination); GO:0004842 (ubiquitin-protein transferase activity); GO:0008270 (zinc ion binding); GO:0006974 (cellular response to DNA damage stimulus); GO:0043130 (ubiquitin binding); GO:1901315 (negative regulation of histone H2A K63-linked ubiquitination); GO:2000779 (regulation of double-strand break repair)</t>
  </si>
  <si>
    <t xml:space="preserve">Egalitarian protein homolog </t>
  </si>
  <si>
    <t>GO:0003824 (catalytic activity); GO:0005739 (mitochondrion); GO:0051750 (delta3,5-delta2,4-dienoyl-CoA isomerase activity)</t>
  </si>
  <si>
    <t xml:space="preserve">1-phosphatidylinositol 4,5-bisphosphate phosphodiesterase epsilon-1 </t>
  </si>
  <si>
    <t>GO:0008081 (phosphoric diester hydrolase activity); GO:0007264 (small GTPase mediated signal transduction); GO:0004435 (phosphatidylinositol phospholipase C activity); GO:0006629 (lipid metabolic process); GO:0035556 (intracellular signal transduction); GO:0005085 (guanyl-nucleotide exchange factor activity); GO:0007165 (signal transduction); GO:0016787 (hydrolase activity); GO:0016042 (lipid catabolic process); GO:0050790 (regulation of catalytic activity)</t>
  </si>
  <si>
    <t xml:space="preserve">Peptidyl-prolyl cis-trans isomerase 5 </t>
  </si>
  <si>
    <t>GO:0005886 (plasma membrane); GO:0043231 (intracellular membrane-bounded organelle); GO:0030276 (clathrin binding); GO:0006897 (endocytosis); GO:0005768 (endosome); GO:0005543 (phospholipid binding); GO:0030125 (clathrin vesicle coat)</t>
  </si>
  <si>
    <t xml:space="preserve">Membrane-associated protein gex-3 </t>
  </si>
  <si>
    <t>GO:0005634 (nucleus); GO:0046872 (metal ion binding);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</t>
  </si>
  <si>
    <t xml:space="preserve">NADH pyrophosphatase </t>
  </si>
  <si>
    <t xml:space="preserve">DAF-15 </t>
  </si>
  <si>
    <t>GO:0009267 (cellular response to starvation); GO:0010506 (regulation of autophagy); GO:0071230 (cellular response to amino acid stimulus); GO:0005737 (cytoplasm); GO:0031929 (TOR signaling); GO:0031931 (TORC1 complex); GO:0030307 (positive regulation of cell growth); GO:0030674 (protein-macromolecule adaptor activity); GO:0071902 (positive regulation of protein serine/threonine kinase activity); GO:0038202 (TORC1 signaling); GO:0008340 (determination of adult lifespan); GO:0040024 (dauer larval development); GO:0005515 (protein binding); GO:0032147 (activation of protein kinase activity); GO:2000785 (regulation of autophagosome assembly); GO:0002119 (nematode larval development); GO:0045860 (positive regulation of protein kinase activity); GO:0030295 (protein kinase activator activity)</t>
  </si>
  <si>
    <t>GO:0003677 (DNA binding); GO:0005634 (nucleus); GO:0003743 (translation initiation factor activity); GO:0006413 (translational initiation); GO:0045944 (positive regulation of transcription by RNA polymerase II); GO:0006367 (transcription initiation from RNA polymerase II promoter); GO:0006368 (transcription elongation from RNA polymerase II promoter); GO:0032968 (positive regulation of transcription elongation from RNA polymerase II promoter); GO:0005674 (transcription factor TFIIF complex); GO:0016251 (RNA polymerase II general transcription initiation factor activity); GO:0001096 (TFIIF-class transcription factor complex binding)</t>
  </si>
  <si>
    <t>GO:0016020 (membrane); GO:0005886 (plasma membrane); GO:0005737 (cytoplasm); GO:0005515 (protein binding); GO:1903356 (positive regulation of distal tip cell migration); GO:0007155 (cell adhesion); GO:0048815 (hermaphrodite genitalia morphogenesis); GO:0040017 (positive regulation of locomotion); GO:0031430 (M band); GO:0060298 (positive regulation of sarcomere organization); GO:0007005 (mitochondrion organization); GO:0046716 (muscle cell cellular homeostasis); GO:0055120 (striated muscle dense body); GO:0007517 (muscle organ development); GO:0060279 (positive regulation of ovulation); GO:0005178 (integrin binding); GO:0007160 (cell-matrix adhesion); GO:0007229 (integrin-mediated signaling pathway); GO:0043621 (protein self-association); GO:0045987 (positive regulation of smooth muscle contraction); GO:0050839 (cell adhesion molecule binding); GO:0072594 (establishment of protein localization to organelle); GO:1904901 (positive regulation of myosin II filament organization); GO:0040011 (locomotion); GO:0030674 (protein-macromolecule adaptor activity); GO:1901074 (regulation of engulfment of apoptotic cell); GO:0030055 (cell-substrate junction)</t>
  </si>
  <si>
    <t xml:space="preserve">ADP-ribosylation factor-like protein 1 </t>
  </si>
  <si>
    <t>GO:0005737 (cytoplasm); GO:0005096 (GTPase activator activity); GO:0005634 (nucleus); GO:0043547 (positive regulation of GTPase activity); GO:0051056 (regulation of small GTPase mediated signal transduction); GO:0008340 (determination of adult lifespan)</t>
  </si>
  <si>
    <t>GO:0005634 (nucleus); GO:0008168 (methyltransferase activity); GO:0032259 (methylation); GO:0016740 (transferase activity); GO:0000077 (DNA damage checkpoint); GO:0000781 (chromosome, telomeric region); GO:0006348 (chromatin silencing at telomere); GO:0031151 (histone methyltransferase activity (H3-K79 specific)); GO:0034729 (histone H3-K79 methylation); GO:0051726 (regulation of cell cycle); GO:2000677 (regulation of transcription regulatory region DNA binding); GO:0003677 (DNA binding); GO:0005515 (protein binding); GO:0018024 (histone-lysine N-methyltransferase activity); GO:0006325 (chromatin organization); GO:0005694 (chromosome); GO:0006281 (DNA repair)</t>
  </si>
  <si>
    <t>GO:0016020 (membrane); GO:0016021 (integral component of membrane); GO:0015031 (protein transport); GO:0005739 (mitochondrion); GO:0005743 (mitochondrial inner membrane); GO:0005744 (TIM23 mitochondrial import inner membrane translocase complex); GO:0030150 (protein import into mitochondrial matrix); GO:0031966 (mitochondrial membrane)</t>
  </si>
  <si>
    <t>GO:0005737 (cytoplasm); GO:0004596 (peptide alpha-N-acetyltransferase activity); GO:0017196 (N-terminal peptidyl-methionine acetylation); GO:0031415 (NatA complex); GO:0005515 (protein binding)</t>
  </si>
  <si>
    <t>GO:0005737 (cytoplasm); GO:0016740 (transferase activity); GO:0008080 (N-acetyltransferase activity); GO:0016573 (histone acetylation); GO:0007064 (mitotic sister chromatid cohesion); GO:0031415 (NatA complex)</t>
  </si>
  <si>
    <t>GO:0010883 (regulation of lipid storage); GO:0090087 (regulation of peptide transport)</t>
  </si>
  <si>
    <t>GO:0016020 (membrane); GO:0031410 (cytoplasmic vesicle); GO:0030054 (cell junction); GO:0045202 (synapse)</t>
  </si>
  <si>
    <t xml:space="preserve">Arf-1 Guanine nucleotide Exchange Factor homolog </t>
  </si>
  <si>
    <t>GO:0015031 (protein transport); GO:0005085 (guanyl-nucleotide exchange factor activity); GO:0050790 (regulation of catalytic activity); GO:0032012 (regulation of ARF protein signal transduction)</t>
  </si>
  <si>
    <t xml:space="preserve">Probable fumarate hydratase, mitochondrial </t>
  </si>
  <si>
    <t>GO:0045239 (tricarboxylic acid cycle enzyme complex); GO:0006106 (fumarate metabolic process); GO:0004333 (fumarate hydratase activity); GO:0006099 (tricarboxylic acid cycle); GO:0016829 (lyase activity); GO:0003824 (catalytic activity)</t>
  </si>
  <si>
    <t xml:space="preserve">Ubiquinone biosynthesis O-methyltransferase, mitochondrial </t>
  </si>
  <si>
    <t>GO:0016020 (membrane); GO:0008168 (methyltransferase activity); GO:0032259 (methylation); GO:0016740 (transferase activity); GO:0005739 (mitochondrion); GO:0005743 (mitochondrial inner membrane); GO:0006744 (ubiquinone biosynthetic process); GO:0031314 (extrinsic component of mitochondrial inner membrane); GO:0004395 (hexaprenyldihydroxybenzoate methyltransferase activity); GO:0008425 (2-polyprenyl-6-methoxy-1,4-benzoquinone methyltransferase activity); GO:0008689 (3-demethylubiquinone-9 3-O-methyltransferase activity); GO:0010420 (3,4-dihydroxy-5-polyprenylbenzoic acid O-methyltransferase activity); GO:0061542 (3-demethylubiquinol-n 3-O-methyltransferase activity); GO:0002119 (nematode larval development)</t>
  </si>
  <si>
    <t xml:space="preserve">Conserved oligomeric Golgi complex subunit 8 </t>
  </si>
  <si>
    <t>GO:0017119 (Golgi transport complex)</t>
  </si>
  <si>
    <t xml:space="preserve">SPONdin (Extracellular matrix glycoprotein) family </t>
  </si>
  <si>
    <t>GO:0046872 (metal ion binding); GO:0005576 (extracellular region); GO:0004867 (serine-type endopeptidase inhibitor activity); GO:0010951 (negative regulation of endopeptidase activity); GO:0007155 (cell adhesion); GO:0031012 (extracellular matrix); GO:0005604 (basement membrane); GO:0033563 (dorsal/ventral axon guidance); GO:0055120 (striated muscle dense body); GO:0031430 (M band); GO:0007413 (axonal fasciculation); GO:0008045 (motor neuron axon guidance); GO:0016203 (muscle attachment); GO:0033627 (cell adhesion mediated by integrin)</t>
  </si>
  <si>
    <t xml:space="preserve">LIn-26 Related </t>
  </si>
  <si>
    <t xml:space="preserve">ACINus (Mammalian Apoptotic Chromatin condensation Inducer in the Nucleus) homolog </t>
  </si>
  <si>
    <t>GO:0003676 (nucleic acid binding); GO:0003723 (RNA binding); GO:0030334 (regulation of cell migration); GO:0035262 (gonad morphogenesis)</t>
  </si>
  <si>
    <t xml:space="preserve">Essential MCU regulator, mitochondrial </t>
  </si>
  <si>
    <t>GO:0051560 (mitochondrial calcium ion homeostasis); GO:1990246 (uniplex complex); GO:0036444 (calcium import into the mitochondrion)</t>
  </si>
  <si>
    <t xml:space="preserve">Probable arginine kinase F46H5.3 </t>
  </si>
  <si>
    <t>GO:0003723 (RNA binding); GO:0003676 (nucleic acid binding); GO:0000398 (mRNA splicing, via spliceosome); GO:0005686 (U2 snRNP); GO:0005684 (U2-type spliceosomal complex)</t>
  </si>
  <si>
    <t xml:space="preserve">Myotubularin-related protein 3 </t>
  </si>
  <si>
    <t>GO:0016311 (dephosphorylation); GO:0046872 (metal ion binding); GO:0004725 (protein tyrosine phosphatase activity)</t>
  </si>
  <si>
    <t xml:space="preserve">Probable actin-related protein 2/3 complex subunit 4 </t>
  </si>
  <si>
    <t>GO:0030041 (actin filament polymerization); GO:0005885 (Arp2/3 protein complex); GO:0034314 (Arp2/3 complex-mediated actin nucleation); GO:0030833 (regulation of actin filament polymerization); GO:0015629 (actin cytoskeleton)</t>
  </si>
  <si>
    <t>GO:0003723 (RNA binding); GO:0051726 (regulation of cell cycle); GO:0003676 (nucleic acid binding); GO:0043484 (regulation of RNA splicing); GO:0048024 (regulation of mRNA splicing, via spliceosome)</t>
  </si>
  <si>
    <t xml:space="preserve">Probable methylcrotonoyl-CoA carboxylase beta chain, mitochondrial </t>
  </si>
  <si>
    <t>GO:0000166 (nucleotide binding); GO:0016874 (ligase activity); GO:0005739 (mitochondrion); GO:0005524 (ATP binding); GO:0005759 (mitochondrial matrix); GO:0006552 (leucine catabolic process); GO:0004485 (methylcrotonoyl-CoA carboxylase activity); GO:0005737 (cytoplasm); GO:1905202 (methylcrotonoyl-CoA carboxylase complex)</t>
  </si>
  <si>
    <t xml:space="preserve">Pyruvate dehydrogenase E1 component subunit beta, mitochondrial </t>
  </si>
  <si>
    <t>GO:0006086 (acetyl-CoA biosynthetic process from pyruvate); GO:0004739 (pyruvate dehydrogenase (acetyl-transferring) activity); GO:0003824 (catalytic activity)</t>
  </si>
  <si>
    <t>Molybdenum cofactor biosynthesis protein 1 GTP 3',8-cyclase Cyclic pyranopterin monophosphate synthase</t>
  </si>
  <si>
    <t>GO:0003824 (catalytic activity); GO:0046872 (metal ion binding); GO:0000166 (nucleotide binding); GO:0005525 (GTP binding); GO:0016829 (lyase activity); GO:0006777 (Mo-molybdopterin cofactor biosynthetic process); GO:0019008 (molybdopterin synthase complex); GO:0051536 (iron-sulfur cluster binding); GO:0051539 (4 iron, 4 sulfur cluster binding); GO:0061798 (GTP 3',8'-cyclase activity); GO:0061799 (cyclic pyranopterin monophosphate synthase activity)</t>
  </si>
  <si>
    <t xml:space="preserve">Probable serine/threonine-protein phosphatase PP2A regulatory subunit </t>
  </si>
  <si>
    <t>GO:0098793 (presynapse); GO:0005886 (plasma membrane); GO:0016192 (vesicle-mediated transport); GO:0006886 (intracellular protein transport); GO:0019905 (syntaxin binding); GO:0007269 (neurotransmitter secretion); GO:0030141 (secretory granule); GO:0006904 (vesicle docking involved in exocytosis)</t>
  </si>
  <si>
    <t xml:space="preserve">MOdifier of protein AGgregation </t>
  </si>
  <si>
    <t>GO:0005634 (nucleus); GO:0005737 (cytoplasm); GO:0005829 (cytosol); GO:0031648 (protein destabilization)</t>
  </si>
  <si>
    <t xml:space="preserve">Ubiquitin conjugation factor E4 ufd-2 </t>
  </si>
  <si>
    <t>GO:0016020 (membrane); GO:0005634 (nucleus); GO:0005737 (cytoplasm); GO:0016740 (transferase activity); GO:0000209 (protein polyubiquitination); GO:0004842 (ubiquitin-protein transferase activity); GO:0006511 (ubiquitin-dependent protein catabolic process); GO:0016567 (protein ubiquitination); GO:0000151 (ubiquitin ligase complex); GO:0008340 (determination of adult lifespan); GO:0005730 (nucleolus); GO:0005515 (protein binding); GO:0030433 (ubiquitin-dependent ERAD pathway); GO:0031965 (nuclear membrane); GO:0032436 (positive regulation of proteasomal ubiquitin-dependent protein catabolic process); GO:0034450 (ubiquitin-ubiquitin ligase activity); GO:0031625 (ubiquitin protein ligase binding); GO:0051087 (chaperone binding); GO:0051865 (protein autoubiquitination)</t>
  </si>
  <si>
    <t xml:space="preserve">Glycogen synthase kinase-3 </t>
  </si>
  <si>
    <t>GO:0005634 (nucleus); GO:0016740 (transferase activity); GO:0000209 (protein polyubiquitination); GO:0016567 (protein ubiquitination); GO:0016874 (ligase activity); GO:0043161 (proteasome-mediated ubiquitin-dependent protein catabolic process); GO:0061631 (ubiquitin conjugating enzyme activity)</t>
  </si>
  <si>
    <t xml:space="preserve">Serine/threonine-protein kinase mrck-1 </t>
  </si>
  <si>
    <t>GO:0004672 (protein kinase activity); GO:0004674 (protein serine/threonine kinase activity); GO:0035556 (intracellular signal transduction); GO:0006468 (protein phosphorylation); GO:0005524 (ATP binding); GO:0016301 (kinase activity); GO:0016310 (phosphorylation); GO:0000166 (nucleotide binding); GO:0016740 (transferase activity); GO:0106310 (protein serine kinase activity); GO:0106311 (protein threonine kinase activity)</t>
  </si>
  <si>
    <t xml:space="preserve">Autophagy protein 5 </t>
  </si>
  <si>
    <t>GO:0016020 (membrane); GO:0005737 (cytoplasm); GO:0005515 (protein binding); GO:0006914 (autophagy); GO:0000045 (autophagosome assembly); GO:0000422 (autophagy of mitochondrion); GO:0034045 (phagophore assembly site membrane); GO:0006501 (C-terminal protein lipidation); GO:0006995 (cellular response to nitrogen starvation); GO:0010506 (regulation of autophagy); GO:0034274 (Atg12-Atg5-Atg16 complex); GO:0044804 (autophagy of nucleus)</t>
  </si>
  <si>
    <t xml:space="preserve">NAD-dependent protein deacetylase sir-2.1 </t>
  </si>
  <si>
    <t>GO:0005634 (nucleus); GO:0046872 (metal ion binding); GO:0016740 (transferase activity); GO:0005737 (cytoplasm); GO:0045892 (negative regulation of transcription, DNA-templated); GO:0005515 (protein binding); GO:0003714 (transcription corepressor activity); GO:0005654 (nucleoplasm); GO:0005637 (nuclear inner membrane); GO:0070403 (NAD+ binding); GO:0070932 (histone H3 deacetylation); GO:0002039 (p53 binding); GO:0033553 (rDNA heterochromatin); GO:0017136 (NAD-dependent histone deacetylase activity); GO:0008340 (determination of adult lifespan); GO:0048471 (perinuclear region of cytoplasm); GO:0040024 (dauer larval development); GO:0019213 (deacetylase activity); GO:0006476 (protein deacetylation); GO:0043970 (histone H3-K9 acetylation); GO:0008630 (intrinsic apoptotic signaling pathway in response to DNA damage); GO:0000781 (chromosome, telomeric region)</t>
  </si>
  <si>
    <t xml:space="preserve">SWI/SNF nucleosome remodeling complex component; SWI3-like protein </t>
  </si>
  <si>
    <t>GO:0042393 (histone binding); GO:0071564 (npBAF complex); GO:0045893 (positive regulation of transcription, DNA-templated); GO:0005515 (protein binding); GO:0042802 (identical protein binding); GO:0043044 (ATP-dependent chromatin remodeling); GO:0016514 (SWI/SNF complex); GO:0009792 (embryo development ending in birth or egg hatching); GO:0002119 (nematode larval development); GO:0040027 (negative regulation of vulval development); GO:0040010 (positive regulation of growth rate); GO:0000003 (reproduction); GO:0040018 (positive regulation of multicellular organism growth); GO:0046662 (regulation of oviposition); GO:0035262 (gonad morphogenesis); GO:0002009 (morphogenesis of an epithelium); GO:0040035 (hermaphrodite genitalia development); GO:0071565 (nBAF complex)</t>
  </si>
  <si>
    <t xml:space="preserve">DDRGK domain-containing protein 1 </t>
  </si>
  <si>
    <t xml:space="preserve">SWI/SNF nucleosome remodeling complex component </t>
  </si>
  <si>
    <t>GO:0045892 (negative regulation of transcription, DNA-templated); GO:0016514 (SWI/SNF complex); GO:0043044 (ATP-dependent chromatin remodeling); GO:0016922 (nuclear receptor binding)</t>
  </si>
  <si>
    <t>GO:0005737 (cytoplasm); GO:0005515 (protein binding); GO:0005794 (Golgi apparatus)</t>
  </si>
  <si>
    <t>GO:0005634 (nucleus); GO:0005524 (ATP binding); GO:0016787 (hydrolase activity); GO:0000166 (nucleotide binding); GO:0003677 (DNA binding); GO:0016887 (ATPase activity); GO:0070615 (nucleosome-dependent ATPase activity); GO:0016020 (membrane); GO:0016021 (integral component of membrane)</t>
  </si>
  <si>
    <t xml:space="preserve">ACetyl-CoA Acyltransferase 2 homolog </t>
  </si>
  <si>
    <t xml:space="preserve">TRansport Protein Particle </t>
  </si>
  <si>
    <t>GO:0005794 (Golgi apparatus); GO:0030008 (TRAPP complex)</t>
  </si>
  <si>
    <t xml:space="preserve">Aryl hydrocarbon receptor nuclear translocator homolog </t>
  </si>
  <si>
    <t>GO:0046983 (protein dimerization activity); GO:0005667 (transcription regulator complex); GO:0005737 (cytoplasm); GO:0003700 (DNA-binding transcription factor activity); GO:0005634 (nucleus); GO:0006355 (regulation of transcription, DNA-templated)</t>
  </si>
  <si>
    <t xml:space="preserve">Poly-A Polymerase </t>
  </si>
  <si>
    <t xml:space="preserve">Probable isocitrate dehydrogenase [NAD] subunit beta, mitochondrial </t>
  </si>
  <si>
    <t>GO:0006099 (tricarboxylic acid cycle); GO:0004449 (isocitrate dehydrogenase (NAD+) activity); GO:0016616 (oxidoreductase activity, acting on the CH-OH group of donors, NAD or NADP as acceptor); GO:0051287 (NAD binding); GO:0055114 (oxidation-reduction process); GO:0000287 (magnesium ion binding)</t>
  </si>
  <si>
    <t>GO:0005737 (cytoplasm); GO:0005856 (cytoskeleton); GO:0046872 (metal ion binding); GO:0005085 (guanyl-nucleotide exchange factor activity); GO:0050790 (regulation of catalytic activity); GO:1901981 (phosphatidylinositol phosphate binding)</t>
  </si>
  <si>
    <t>GO:0016020 (membrane); GO:0016021 (integral component of membrane); GO:0005524 (ATP binding); GO:0006811 (ion transport); GO:0000166 (nucleotide binding); GO:0016887 (ATPase activity); GO:0006816 (calcium ion transport); GO:0033017 (sarcoplasmic reticulum membrane); GO:1902600 (proton transmembrane transport); GO:0005388 (calcium transmembrane transporter activity, phosphorylative mechanism); GO:0006874 (cellular calcium ion homeostasis); GO:0008553 (proton-exporting ATPase activity, phosphorylative mechanism); GO:0070588 (calcium ion transmembrane transport); GO:0010629 (negative regulation of gene expression); GO:0016529 (sarcoplasmic reticulum); GO:0050829 (defense response to Gram-negative bacterium); GO:0009792 (embryo development ending in birth or egg hatching); GO:0002119 (nematode larval development); GO:0030968 (endoplasmic reticulum unfolded protein response); GO:0005783 (endoplasmic reticulum); GO:0008340 (determination of adult lifespan); GO:0040024 (dauer larval development); GO:0031490 (chromatin DNA binding); GO:0030104 (water homeostasis); GO:0070509 (calcium ion import); GO:0005635 (nuclear envelope); GO:0031410 (cytoplasmic vesicle); GO:0042175 (nuclear outer membrane-endoplasmic reticulum membrane network)</t>
  </si>
  <si>
    <t xml:space="preserve">Putative ribosomal protein S6 kinase alpha-2 </t>
  </si>
  <si>
    <t>GO:0005634 (nucleus); GO:0003682 (chromatin binding); GO:0007049 (cell cycle); GO:0007062 (sister chromatid cohesion); GO:0008278 (cohesin complex); GO:0000795 (synaptonemal complex); GO:0007064 (mitotic sister chromatid cohesion); GO:1990414 (replication-born double-strand break repair via sister chromatid exchange); GO:0005515 (protein binding); GO:0007130 (synaptonemal complex assembly); GO:0034990 (nuclear mitotic cohesin complex); GO:0034991 (nuclear meiotic cohesin complex)</t>
  </si>
  <si>
    <t xml:space="preserve">Guanine nucleotide-binding protein subunit beta-1 </t>
  </si>
  <si>
    <t>GO:0007165 (signal transduction); GO:0005515 (protein binding); GO:0009792 (embryo development ending in birth or egg hatching); GO:0046662 (regulation of oviposition); GO:0000132 (establishment of mitotic spindle orientation); GO:0040013 (negative regulation of locomotion); GO:0005834 (heterotrimeric G-protein complex)</t>
  </si>
  <si>
    <t>GO:0005634 (nucleus); GO:0003677 (DNA binding); GO:0000978 (RNA polymerase II cis-regulatory region sequence-specific DNA binding); GO:0000981 (DNA-binding transcription factor activity, RNA polymerase II-specific); GO:0006357 (regulation of transcription by RNA polymerase II); GO:0030182 (neuron differentiation); GO:0007417 (central nervous system development)</t>
  </si>
  <si>
    <t>GO:0016020 (membrane); GO:0016021 (integral component of membrane); GO:0005739 (mitochondrion); GO:0005743 (mitochondrial inner membrane); GO:1902600 (proton transmembrane transport); GO:0004129 (cytochrome-c oxidase activity); GO:0006123 (mitochondrial electron transport, cytochrome c to oxygen); GO:0006119 (oxidative phosphorylation)</t>
  </si>
  <si>
    <t xml:space="preserve">Germinal center kinase 3 </t>
  </si>
  <si>
    <t>GO:0000381 (regulation of alternative mRNA splicing, via spliceosome); GO:0003676 (nucleic acid binding); GO:0003723 (RNA binding); GO:0003729 (mRNA binding); GO:0006397 (mRNA processing)</t>
  </si>
  <si>
    <t xml:space="preserve">DihydroLipoamide S-SuccinylTransferase </t>
  </si>
  <si>
    <t>GO:0016740 (transferase activity); GO:0016746 (transferase activity, transferring acyl groups); GO:0006099 (tricarboxylic acid cycle); GO:0004149 (dihydrolipoyllysine-residue succinyltransferase activity); GO:0045252 (oxoglutarate dehydrogenase complex); GO:0033512 (L-lysine catabolic process to acetyl-CoA via saccharopine); GO:0018215 (protein phosphopantetheinylation)</t>
  </si>
  <si>
    <t>GO:0016020 (membrane); GO:0005515 (protein binding)</t>
  </si>
  <si>
    <t>GO:0009267 (cellular response to starvation); GO:0000423 (mitophagy); GO:0005776 (autophagosome); GO:0000045 (autophagosome assembly); GO:0035032 (phosphatidylinositol 3-kinase complex, class III); GO:0043552 (positive regulation of phosphatidylinositol 3-kinase activity); GO:0044233 (mitochondria-associated endoplasmic reticulum membrane); GO:0097629 (extrinsic component of omegasome membrane); GO:0097632 (extrinsic component of phagophore assembly site membrane); GO:0010508 (positive regulation of autophagy); GO:0005515 (protein binding); GO:0005737 (cytoplasm); GO:0006914 (autophagy); GO:0040019 (positive regulation of embryonic development); GO:0016236 (macroautophagy)</t>
  </si>
  <si>
    <t>GO:0005634 (nucleus); GO:0005737 (cytoplasm); GO:0005739 (mitochondrion)</t>
  </si>
  <si>
    <t>GO:0016020 (membrane); GO:0005739 (mitochondrion); GO:0005743 (mitochondrial inner membrane); GO:0070469 (respirasome); GO:0005747 (mitochondrial respiratory chain complex I); GO:0006120 (mitochondrial electron transport, NADH to ubiquinone)</t>
  </si>
  <si>
    <t xml:space="preserve">DyNactin Complex component </t>
  </si>
  <si>
    <t xml:space="preserve">Pre-mRNA-splicing factor CWC22 homolog </t>
  </si>
  <si>
    <t>GO:0003723 (RNA binding); GO:0005515 (protein binding)</t>
  </si>
  <si>
    <t>GO:0000974 (Prp19 complex); GO:0000398 (mRNA splicing, via spliceosome); GO:0005681 (spliceosomal complex); GO:0000977 (RNA polymerase II transcription regulatory region sequence-specific DNA binding); GO:0000981 (DNA-binding transcription factor activity, RNA polymerase II-specific); GO:0006357 (regulation of transcription by RNA polymerase II); GO:0051301 (cell division); GO:0006397 (mRNA processing); GO:0008380 (RNA splicing)</t>
  </si>
  <si>
    <t>GO:0005634 (nucleus); GO:0005730 (nucleolus)</t>
  </si>
  <si>
    <t>GO:0016192 (vesicle-mediated transport); GO:0006886 (intracellular protein transport); GO:0005515 (protein binding); GO:0000139 (Golgi membrane); GO:0006898 (receptor-mediated endocytosis); GO:0006907 (pinocytosis); GO:0006904 (vesicle docking involved in exocytosis)</t>
  </si>
  <si>
    <t xml:space="preserve">Guanine nucleotide exchange factor subunit R06F6.8 </t>
  </si>
  <si>
    <t>GO:0016020 (membrane); GO:0016021 (integral component of membrane); GO:0006886 (intracellular protein transport); GO:0005829 (cytosol); GO:0042147 (retrograde transport, endosome to Golgi); GO:0000139 (Golgi membrane); GO:0005085 (guanyl-nucleotide exchange factor activity); GO:0043547 (positive regulation of GTPase activity); GO:0032991 (protein-containing complex); GO:0034066 (RIC1-RGP1 guanyl-nucleotide exchange factor complex); GO:1903363 (negative regulation of cellular protein catabolic process); GO:0005515 (protein binding); GO:0031267 (small GTPase binding)</t>
  </si>
  <si>
    <t xml:space="preserve">DEAD-box ATP-dependent RNA helicase rde-12 </t>
  </si>
  <si>
    <t>GO:0005634 (nucleus); GO:0005524 (ATP binding); GO:0016787 (hydrolase activity); GO:0004386 (helicase activity); GO:0000166 (nucleotide binding); GO:0005737 (cytoplasm); GO:0003723 (RNA binding); GO:0003676 (nucleic acid binding); GO:0031047 (gene silencing by RNA); GO:0030154 (cell differentiation); GO:0006417 (regulation of translation); GO:0000932 (P-body); GO:0048471 (perinuclear region of cytoplasm); GO:0043186 (P granule); GO:0005515 (protein binding); GO:0019899 (enzyme binding); GO:0030422 (production of siRNA involved in RNA interference); GO:0043330 (response to exogenous dsRNA); GO:0031332 (RNAi effector complex); GO:0003724 (RNA helicase activity); GO:0007276 (gamete generation); GO:0016887 (ATPase activity)</t>
  </si>
  <si>
    <t xml:space="preserve">Lissencephaly-1 homolog </t>
  </si>
  <si>
    <t xml:space="preserve">F-actin-capping protein subunit beta </t>
  </si>
  <si>
    <t>GO:0030036 (actin cytoskeleton organization); GO:0003779 (actin binding); GO:0008290 (F-actin capping protein complex); GO:0051016 (barbed-end actin filament capping); GO:0005737 (cytoplasm)</t>
  </si>
  <si>
    <t xml:space="preserve">TIA-1/TIAL RNA binding protein homolog </t>
  </si>
  <si>
    <t>GO:0003676 (nucleic acid binding); GO:0003723 (RNA binding); GO:0003729 (mRNA binding); GO:0000184 (nuclear-transcribed mRNA catabolic process, nonsense-mediated decay); GO:0010494 (cytoplasmic stress granule); GO:0034063 (stress granule assembly); GO:0043488 (regulation of mRNA stability); GO:0002119 (nematode larval development); GO:0005634 (nucleus); GO:0005737 (cytoplasm); GO:0000003 (reproduction); GO:0008340 (determination of adult lifespan); GO:0006972 (hyperosmotic response); GO:0009408 (response to heat)</t>
  </si>
  <si>
    <t>GO:0003723 (RNA binding); GO:0016604 (nuclear body); GO:0004386 (helicase activity); GO:0006369 (termination of RNA polymerase II transcription); GO:0001147 (transcription termination site sequence-specific DNA binding)</t>
  </si>
  <si>
    <t xml:space="preserve">Mediator of RNA polymerase II transcription subunit 1.1 </t>
  </si>
  <si>
    <t xml:space="preserve">Glutathione peroxidase 2 </t>
  </si>
  <si>
    <t>GO:0006979 (response to oxidative stress); GO:0004602 (glutathione peroxidase activity); GO:0055114 (oxidation-reduction process); GO:0016491 (oxidoreductase activity); GO:0098869 (cellular oxidant detoxification); GO:0004601 (peroxidase activity)</t>
  </si>
  <si>
    <t xml:space="preserve">Nipped-B-like protein pqn-85 </t>
  </si>
  <si>
    <t>GO:0010468 (regulation of gene expression); GO:0003682 (chromatin binding); GO:0005634 (nucleus); GO:0007049 (cell cycle)</t>
  </si>
  <si>
    <t>GO:0016491 (oxidoreductase activity); GO:0005788 (endoplasmic reticulum lumen)</t>
  </si>
  <si>
    <t xml:space="preserve">Tyrosine-protein kinase receptor cam-1 </t>
  </si>
  <si>
    <t>GO:0007169 (transmembrane receptor protein tyrosine kinase signaling pathway); GO:0004713 (protein tyrosine kinase activity); GO:0004672 (protein kinase activity); GO:0006468 (protein phosphorylation); GO:0005515 (protein binding); GO:0005524 (ATP binding)</t>
  </si>
  <si>
    <t xml:space="preserve">Threonylcarbamoyladenosine tRNA methylthiotransferase </t>
  </si>
  <si>
    <t>GO:0016020 (membrane); GO:0016021 (integral component of membrane); GO:0003824 (catalytic activity); GO:0046872 (metal ion binding); GO:0016740 (transferase activity); GO:0005783 (endoplasmic reticulum); GO:0051536 (iron-sulfur cluster binding); GO:0051539 (4 iron, 4 sulfur cluster binding); GO:0008033 (tRNA processing); GO:0035598 (N6-threonylcarbomyladenosine methylthiotransferase activity); GO:0035600 (tRNA methylthiolation); GO:0061712 (tRNA (N(6)-L-threonylcarbamoyladenosine(37)-C(2))-methylthiotransferase)</t>
  </si>
  <si>
    <t xml:space="preserve">LIMR family protein R05D3.2 </t>
  </si>
  <si>
    <t>GO:0005887 (integral component of plasma membrane); GO:0007165 (signal transduction); GO:0004888 (transmembrane signaling receptor activity)</t>
  </si>
  <si>
    <t xml:space="preserve">NADH dehydrogenase [ubiquinone] 1 alpha subcomplex subunit 10, mitochondrial </t>
  </si>
  <si>
    <t>GO:0005737 (cytoplasm); GO:0005739 (mitochondrion); GO:0005759 (mitochondrial matrix); GO:0005747 (mitochondrial respiratory chain complex I); GO:0006120 (mitochondrial electron transport, NADH to ubiquinone); GO:0070469 (respirasome)</t>
  </si>
  <si>
    <t>GO:0000398 (mRNA splicing, via spliceosome); GO:0003676 (nucleic acid binding); GO:0003723 (RNA binding); GO:0005515 (protein binding); GO:0005685 (U1 snRNP); GO:0030619 (U1 snRNA binding)</t>
  </si>
  <si>
    <t>GO:0016020 (membrane); GO:0016021 (integral component of membrane); GO:0005783 (endoplasmic reticulum); GO:0072546 (ER membrane protein complex)</t>
  </si>
  <si>
    <t>GO:0003824 (catalytic activity); GO:0016740 (transferase activity); GO:0005515 (protein binding); GO:0005953 (CAAX-protein geranylgeranyltransferase complex); GO:0018342 (protein prenylation); GO:0018344 (protein geranylgeranylation); GO:0004662 (CAAX-protein geranylgeranyltransferase activity); GO:0004659 (prenyltransferase activity); GO:0004661 (protein geranylgeranyltransferase activity); GO:0018215 (protein phosphopantetheinylation)</t>
  </si>
  <si>
    <t xml:space="preserve">E3 ubiquitin-protein ligase hecw-1 </t>
  </si>
  <si>
    <t>GO:0004842 (ubiquitin-protein transferase activity); GO:0005515 (protein binding)</t>
  </si>
  <si>
    <t xml:space="preserve">60S ribosome subunit biogenesis protein NIP7 homolog </t>
  </si>
  <si>
    <t>GO:0003723 (RNA binding); GO:0005634 (nucleus); GO:0005730 (nucleolus); GO:0042254 (ribosome biogenesis); GO:0030687 (preribosome, large subunit precursor); GO:0042273 (ribosomal large subunit biogenesis); GO:0042255 (ribosome assembly)</t>
  </si>
  <si>
    <t xml:space="preserve">Mitochondrial Processing Peptidase Beta </t>
  </si>
  <si>
    <t>GO:0016787 (hydrolase activity); GO:0046872 (metal ion binding); GO:0005739 (mitochondrion); GO:0006508 (proteolysis); GO:0006627 (protein processing involved in protein targeting to mitochondrion); GO:0008233 (peptidase activity); GO:0008237 (metallopeptidase activity); GO:0005759 (mitochondrial matrix); GO:0004222 (metalloendopeptidase activity); GO:0005515 (protein binding); GO:0017087 (mitochondrial processing peptidase complex)</t>
  </si>
  <si>
    <t xml:space="preserve">Serine/threonine-protein phosphatase 4 catalytic subunit 1 </t>
  </si>
  <si>
    <t xml:space="preserve">Eukaryotic translation initiation factor 4E-binding protein Mextli homolog </t>
  </si>
  <si>
    <t>GO:0045727 (positive regulation of translation); GO:0008190 (eukaryotic initiation factor 4E binding); GO:0003676 (nucleic acid binding); GO:0003723 (RNA binding)</t>
  </si>
  <si>
    <t>GO:0005576 (extracellular region); GO:0008289 (lipid binding); GO:0006869 (lipid transport); GO:0042157 (lipoprotein metabolic process)</t>
  </si>
  <si>
    <t xml:space="preserve">Probable histone-lysine N-methyltransferase lin-59 </t>
  </si>
  <si>
    <t>GO:0018024 (histone-lysine N-methyltransferase activity); GO:0003682 (chromatin binding); GO:0005515 (protein binding); GO:0005634 (nucleus)</t>
  </si>
  <si>
    <t xml:space="preserve">Collagen alpha-2(IV) chain </t>
  </si>
  <si>
    <t>GO:0005581 (collagen trimer); GO:0005201 (extracellular matrix structural constituent)</t>
  </si>
  <si>
    <t xml:space="preserve">Vesicle transport protein </t>
  </si>
  <si>
    <t>GO:0016020 (membrane); GO:0016021 (integral component of membrane); GO:0000139 (Golgi membrane); GO:0015031 (protein transport); GO:0016192 (vesicle-mediated transport)</t>
  </si>
  <si>
    <t xml:space="preserve">Abnormal DAuer Formation DAF-5, a Ski oncogene homolog involved in a neuronal TGF beta pathway (71.0 kD) (Daf-5) </t>
  </si>
  <si>
    <t>GO:0005634 (nucleus); GO:0005515 (protein binding); GO:0000978 (RNA polymerase II cis-regulatory region sequence-specific DNA binding); GO:0005667 (transcription regulator complex); GO:0000122 (negative regulation of transcription by RNA polymerase II); GO:0000981 (DNA-binding transcription factor activity, RNA polymerase II-specific); GO:0030514 (negative regulation of BMP signaling pathway); GO:0046332 (SMAD binding); GO:0005737 (cytoplasm); GO:0008340 (determination of adult lifespan); GO:0040024 (dauer larval development); GO:0007179 (transforming growth factor beta receptor signaling pathway); GO:0061066 (positive regulation of dauer larval development)</t>
  </si>
  <si>
    <t>GO:0003924 (GTPase activity); GO:0006886 (intracellular protein transport); GO:0012505 (endomembrane system)</t>
  </si>
  <si>
    <t xml:space="preserve">Mesencephalic astrocyte-derived neurotrophic factor homolog </t>
  </si>
  <si>
    <t xml:space="preserve">Probable NADH dehydrogenase [ubiquinone] iron-sulfur protein 7, mitochondrial </t>
  </si>
  <si>
    <t>GO:0048038 (quinone binding); GO:0051536 (iron-sulfur cluster binding); GO:0051539 (4 iron, 4 sulfur cluster binding); GO:0008137 (NADH dehydrogenase (ubiquinone) activity); GO:0055114 (oxidation-reduction process)</t>
  </si>
  <si>
    <t xml:space="preserve">Transcription elongation factor SPT5 </t>
  </si>
  <si>
    <t>GO:0005634 (nucleus); GO:0006355 (regulation of transcription, DNA-templated); GO:0003729 (mRNA binding); GO:0006357 (regulation of transcription by RNA polymerase II); GO:0006368 (transcription elongation from RNA polymerase II promoter); GO:0032044 (DSIF complex); GO:0032784 (regulation of DNA-templated transcription, elongation); GO:0005694 (chromosome); GO:0005515 (protein binding)</t>
  </si>
  <si>
    <t>GO:0016020 (membrane); GO:0006811 (ion transport); GO:0005739 (mitochondrion); GO:0005743 (mitochondrial inner membrane); GO:0015078 (proton transmembrane transporter activity); GO:0015986 (ATP synthesis coupled proton transport); GO:0000276 (mitochondrial proton-transporting ATP synthase complex, coupling factor F(o)); GO:0000274 (mitochondrial proton-transporting ATP synthase, stator stalk)</t>
  </si>
  <si>
    <t xml:space="preserve">Rab27 </t>
  </si>
  <si>
    <t>GO:0016020 (membrane); GO:0005525 (GTP binding); GO:0003924 (GTPase activity); GO:0005768 (endosome); GO:0030141 (secretory granule); GO:0032402 (melanosome transport); GO:0045921 (positive regulation of exocytosis); GO:2000294 (positive regulation of defecation); GO:0005770 (late endosome); GO:0090522 (vesicle tethering involved in exocytosis); GO:1903364 (positive regulation of cellular protein catabolic process); GO:1990504 (dense core granule exocytosis); GO:0008021 (synaptic vesicle); GO:0042470 (melanosome); GO:0003925 (obsolete small monomeric GTPase activity)</t>
  </si>
  <si>
    <t xml:space="preserve">Nuclear hormone receptor family member nhr-133 </t>
  </si>
  <si>
    <t xml:space="preserve">NHL (Ring finger b-box coiled coil) domain containing </t>
  </si>
  <si>
    <t>GO:0046872 (metal ion binding); GO:0005737 (cytoplasm); GO:0008270 (zinc ion binding); GO:0016567 (protein ubiquitination); GO:0045893 (positive regulation of transcription, DNA-templated); GO:0005654 (nucleoplasm); GO:0000785 (chromatin); GO:0004842 (ubiquitin-protein transferase activity); GO:0072697 (protein localization to cell cortex); GO:2000114 (regulation of establishment of cell polarity); GO:0043186 (P granule); GO:0040034 (regulation of development, heterochronic); GO:0000932 (P-body); GO:0017151 (DEAD/H-box RNA helicase binding); GO:0045962 (positive regulation of development, heterochronic); GO:0005515 (protein binding)</t>
  </si>
  <si>
    <t>GO:0008168 (methyltransferase activity); GO:0032259 (methylation); GO:0016740 (transferase activity); GO:0006656 (phosphatidylcholine biosynthetic process); GO:0000773 (phosphatidyl-N-methylethanolamine N-methyltransferase activity); GO:0080101 (phosphatidyl-N-dimethylethanolamine N-methyltransferase activity)</t>
  </si>
  <si>
    <t xml:space="preserve">RutC family protein C23G10.2 </t>
  </si>
  <si>
    <t>GO:0005739 (mitochondrion); GO:0005829 (cytosol); GO:0019239 (deaminase activity); GO:1901565 (organonitrogen compound catabolic process)</t>
  </si>
  <si>
    <t xml:space="preserve">Ubiquilin </t>
  </si>
  <si>
    <t>GO:0006511 (ubiquitin-dependent protein catabolic process); GO:0005829 (cytosol); GO:0006281 (DNA repair); GO:0006974 (cellular response to DNA damage stimulus); GO:0006289 (nucleotide-excision repair); GO:0043161 (proteasome-mediated ubiquitin-dependent protein catabolic process); GO:0003684 (damaged DNA binding); GO:0030433 (ubiquitin-dependent ERAD pathway); GO:0031593 (polyubiquitin modification-dependent protein binding); GO:1990440 (positive regulation of transcription from RNA polymerase II promoter in response to endoplasmic reticulum stress); GO:2000042 (negative regulation of double-strand break repair via homologous recombination); GO:0006611 (protein export from nucleus); GO:0005515 (protein binding)</t>
  </si>
  <si>
    <t xml:space="preserve">Dynein heavy chain, cytoplasmic </t>
  </si>
  <si>
    <t>GO:0008569 (ATP-dependent microtubule motor activity, minus-end-directed); GO:0007018 (microtubule-based movement); GO:0030286 (dynein complex); GO:0005524 (ATP binding); GO:0000166 (nucleotide binding); GO:0005737 (cytoplasm); GO:0005856 (cytoskeleton); GO:0005874 (microtubule); GO:0005929 (cilium); GO:0042995 (cell projection)</t>
  </si>
  <si>
    <t>GO:0005730 (nucleolus); GO:0030687 (preribosome, large subunit precursor); GO:0042273 (ribosomal large subunit biogenesis); GO:0005515 (protein binding)</t>
  </si>
  <si>
    <t>GO:0016020 (membrane); GO:0016021 (integral component of membrane); GO:0005886 (plasma membrane); GO:0005783 (endoplasmic reticulum); GO:0004467 (long-chain fatty acid-CoA ligase activity); GO:0030182 (neuron differentiation); GO:0005811 (lipid droplet); GO:0035336 (long-chain fatty-acyl-CoA metabolic process); GO:0001676 (long-chain fatty acid metabolic process)</t>
  </si>
  <si>
    <t>GO:0005634 (nucleus); GO:0005515 (protein binding); GO:0005669 (transcription factor TFIID complex); GO:0006351 (transcription, DNA-templated); GO:0003677 (DNA binding); GO:0006352 (DNA-templated transcription, initiation); GO:0006367 (transcription initiation from RNA polymerase II promoter); GO:0009792 (embryo development ending in birth or egg hatching); GO:0005737 (cytoplasm); GO:0009794 (regulation of mitotic cell cycle, embryonic); GO:0016251 (RNA polymerase II general transcription initiation factor activity)</t>
  </si>
  <si>
    <t xml:space="preserve">Sodium-dependent acetylcholine transporter </t>
  </si>
  <si>
    <t>GO:0016020 (membrane); GO:0016021 (integral component of membrane); GO:0005886 (plasma membrane); GO:0005887 (integral component of plasma membrane); GO:0030054 (cell junction); GO:0045202 (synapse); GO:0045211 (postsynaptic membrane); GO:0005515 (protein binding); GO:0015179 (L-amino acid transmembrane transporter activity); GO:1902475 (L-alpha-amino acid transmembrane transport); GO:0035725 (sodium ion transmembrane transport); GO:0015293 (symporter activity); GO:0006836 (neurotransmitter transport); GO:0007274 (neuromuscular synaptic transmission); GO:0040017 (positive regulation of locomotion); GO:0001504 (neurotransmitter uptake); GO:0005277 (acetylcholine transmembrane transporter activity); GO:0005328 (neurotransmitter:sodium symporter activity); GO:0015870 (acetylcholine transport); GO:0015871 (choline transport); GO:0030165 (PDZ domain binding); GO:0005283 (amino acid:sodium symporter activity); GO:1903825 (organic acid transmembrane transport); GO:0015807 (L-amino acid transport)</t>
  </si>
  <si>
    <t>GO:0003735 (structural constituent of ribosome); GO:0005840 (ribosome); GO:0006412 (translation); GO:0005763 (mitochondrial small ribosomal subunit); GO:0019843 (rRNA binding); GO:0032543 (mitochondrial translation); GO:0070181 (small ribosomal subunit rRNA binding)</t>
  </si>
  <si>
    <t xml:space="preserve">Calcium load-activated calcium channel homolog </t>
  </si>
  <si>
    <t>GO:0016020 (membrane); GO:0016021 (integral component of membrane); GO:0006811 (ion transport); GO:0005737 (cytoplasm); GO:0032469 (endoplasmic reticulum calcium ion homeostasis); GO:0005783 (endoplasmic reticulum); GO:0005262 (calcium channel activity); GO:0006816 (calcium ion transport); GO:0070588 (calcium ion transmembrane transport); GO:0005789 (endoplasmic reticulum membrane); GO:0006874 (cellular calcium ion homeostasis); GO:0030176 (integral component of endoplasmic reticulum membrane); GO:0055120 (striated muscle dense body)</t>
  </si>
  <si>
    <t>GO:0016020 (membrane); GO:0016021 (integral component of membrane); GO:0006811 (ion transport); GO:0034220 (ion transmembrane transport); GO:0055085 (transmembrane transport); GO:0005887 (integral component of plasma membrane); GO:0005794 (Golgi apparatus); GO:0005247 (voltage-gated chloride channel activity); GO:0006821 (chloride transport); GO:1902600 (proton transmembrane transport); GO:0005769 (early endosome); GO:0008021 (synaptic vesicle); GO:0015299 (solute:proton antiporter activity)</t>
  </si>
  <si>
    <t xml:space="preserve">Tyrosine AminoTraNsferase </t>
  </si>
  <si>
    <t>GO:0003824 (catalytic activity); GO:0016740 (transferase activity); GO:0009058 (biosynthetic process); GO:0030170 (pyridoxal phosphate binding); GO:0006520 (cellular amino acid metabolic process); GO:0009072 (aromatic amino acid family metabolic process); GO:0008483 (transaminase activity); GO:0006559 (L-phenylalanine catabolic process); GO:0004838 (L-tyrosine:2-oxoglutarate aminotransferase activity); GO:0043053 (dauer entry)</t>
  </si>
  <si>
    <t>GO:0016740 (transferase activity); GO:0016746 (transferase activity, transferring acyl groups); GO:0005739 (mitochondrion); GO:0006635 (fatty acid beta-oxidation); GO:0004095 (carnitine O-palmitoyltransferase activity); GO:0005515 (protein binding)</t>
  </si>
  <si>
    <t xml:space="preserve">Probable NADH dehydrogenase [ubiquinone] 1 beta subcomplex subunit 2, mitochondrial </t>
  </si>
  <si>
    <t>GO:0016020 (membrane); GO:0005739 (mitochondrion); GO:0005743 (mitochondrial inner membrane); GO:0005747 (mitochondrial respiratory chain complex I); GO:0070469 (respirasome)</t>
  </si>
  <si>
    <t xml:space="preserve">5'-3' exoribonuclease 2 homolog </t>
  </si>
  <si>
    <t>GO:0005634 (nucleus); GO:0016787 (hydrolase activity); GO:0046872 (metal ion binding); GO:0003723 (RNA binding); GO:0003676 (nucleic acid binding); GO:0007275 (multicellular organism development); GO:0006139 (nucleobase-containing compound metabolic process); GO:0005730 (nucleolus); GO:0005515 (protein binding); GO:0004518 (nuclease activity); GO:0004527 (exonuclease activity); GO:0006397 (mRNA processing); GO:0090503 (RNA phosphodiester bond hydrolysis, exonucleolytic); GO:0000956 (nuclear-transcribed mRNA catabolic process); GO:0006353 (DNA-templated transcription, termination); GO:0008409 (5'-3' exonuclease activity); GO:0000738 (DNA catabolic process, exonucleolytic); GO:0004534 (5'-3' exoribonuclease activity); GO:0040028 (regulation of vulval development); GO:0040034 (regulation of development, heterochronic); GO:0010587 (miRNA catabolic process); GO:0060965 (negative regulation of gene silencing by miRNA)</t>
  </si>
  <si>
    <t xml:space="preserve">GDP-mannose 4,6 dehydratase 1 </t>
  </si>
  <si>
    <t xml:space="preserve">EEA1 (Early Endosome Antigen, Rab effector) homolog </t>
  </si>
  <si>
    <t>GO:0046872 (metal ion binding); GO:0006897 (endocytosis); GO:0030139 (endocytic vesicle); GO:0005769 (early endosome); GO:0032266 (phosphatidylinositol-3-phosphate binding)</t>
  </si>
  <si>
    <t xml:space="preserve">Coatomer subunit epsilon </t>
  </si>
  <si>
    <t>GO:0006890 (retrograde vesicle-mediated transport, Golgi to endoplasmic reticulum); GO:0005198 (structural molecule activity); GO:0005515 (protein binding)</t>
  </si>
  <si>
    <t xml:space="preserve">NPC intracellular cholesterol transporter 1 homolog 1 </t>
  </si>
  <si>
    <t xml:space="preserve">Cytoplasmic dynein 2 heavy chain 1 </t>
  </si>
  <si>
    <t>GO:0008569 (ATP-dependent microtubule motor activity, minus-end-directed); GO:0007018 (microtubule-based movement); GO:0030286 (dynein complex); GO:0005524 (ATP binding)</t>
  </si>
  <si>
    <t xml:space="preserve">Zyg eleven-related protein 1 </t>
  </si>
  <si>
    <t xml:space="preserve">Alcohol dehydrogenase class-3 </t>
  </si>
  <si>
    <t>GO:0046872 (metal ion binding); GO:0005737 (cytoplasm); GO:0008270 (zinc ion binding); GO:0016491 (oxidoreductase activity); GO:0005829 (cytosol); GO:0004022 (alcohol dehydrogenase (NAD+) activity); GO:0004024 (alcohol dehydrogenase activity, zinc-dependent); GO:0006066 (alcohol metabolic process); GO:0006069 (ethanol oxidation); GO:0046294 (formaldehyde catabolic process); GO:0051903 (S-(hydroxymethyl)glutathione dehydrogenase activity); GO:0055114 (oxidation-reduction process); GO:0106321 (S-(hydroxymethyl)glutathione dehydrogenase NADP activity); GO:0106322 (S-(hydroxymethyl)glutathione dehydrogenase NAD activity); GO:0018455 (alcohol dehydrogenase [NAD(P)+] activity)</t>
  </si>
  <si>
    <t xml:space="preserve">mammalian SKIP (Ski interacting protein) homolog </t>
  </si>
  <si>
    <t>GO:0000398 (mRNA splicing, via spliceosome); GO:0005681 (spliceosomal complex); GO:0005515 (protein binding); GO:0009792 (embryo development ending in birth or egg hatching); GO:0002119 (nematode larval development); GO:0018991 (oviposition); GO:0040011 (locomotion); GO:0040025 (vulval development); GO:0007281 (germ cell development); GO:0010468 (regulation of gene expression); GO:0045893 (positive regulation of transcription, DNA-templated); GO:0060065 (uterus development); GO:0042303 (molting cycle)</t>
  </si>
  <si>
    <t>GO:0045944 (positive regulation of transcription by RNA polymerase II); GO:0007275 (multicellular organism development); GO:0044545 (NSL complex); GO:0043981 (histone H4-K5 acetylation); GO:0043982 (histone H4-K8 acetylation); GO:0043984 (histone H4-K16 acetylation)</t>
  </si>
  <si>
    <t xml:space="preserve">EMC Endoplasmic Membrane protein Complex (Yeast EMC) homolog </t>
  </si>
  <si>
    <t>GO:0016020 (membrane); GO:0005634 (nucleus); GO:0005515 (protein binding); GO:0005783 (endoplasmic reticulum); GO:0005789 (endoplasmic reticulum membrane); GO:0072546 (ER membrane protein complex); GO:0016529 (sarcoplasmic reticulum)</t>
  </si>
  <si>
    <t>GO:0005634 (nucleus); GO:0005737 (cytoplasm); GO:0000381 (regulation of alternative mRNA splicing, via spliceosome); GO:0003729 (mRNA binding); GO:0010468 (regulation of gene expression); GO:0006397 (mRNA processing); GO:0003723 (RNA binding); GO:0006355 (regulation of transcription, DNA-templated); GO:0003676 (nucleic acid binding)</t>
  </si>
  <si>
    <t>GO:0016740 (transferase activity); GO:0016746 (transferase activity, transferring acyl groups); GO:0008080 (N-acetyltransferase activity)</t>
  </si>
  <si>
    <t xml:space="preserve">PHF-5; PHd Finger family </t>
  </si>
  <si>
    <t>GO:0000398 (mRNA splicing, via spliceosome); GO:0005686 (U2 snRNP); GO:0071011 (precatalytic spliceosome); GO:0005634 (nucleus); GO:0005737 (cytoplasm)</t>
  </si>
  <si>
    <t>GO:0005634 (nucleus); GO:0005730 (nucleolus); GO:0000027 (ribosomal large subunit assembly); GO:0007219 (Notch signaling pathway); GO:0005515 (protein binding)</t>
  </si>
  <si>
    <t xml:space="preserve">Polyadenylation Factor Subunit homolog </t>
  </si>
  <si>
    <t>GO:0005634 (nucleus); GO:0005847 (mRNA cleavage and polyadenylation specificity factor complex); GO:0006378 (mRNA polyadenylation); GO:0006397 (mRNA processing); GO:0016607 (nuclear speck); GO:0005515 (protein binding)</t>
  </si>
  <si>
    <t>GO:0047617 (acyl-CoA hydrolase activity)</t>
  </si>
  <si>
    <t>GO:0005794 (Golgi apparatus); GO:0016192 (vesicle-mediated transport); GO:0006888 (endoplasmic reticulum to Golgi vesicle-mediated transport); GO:0030008 (TRAPP complex); GO:0005515 (protein binding); GO:0005783 (endoplasmic reticulum)</t>
  </si>
  <si>
    <t xml:space="preserve">Trimeric intracellular cation channel type 1B.1 </t>
  </si>
  <si>
    <t>GO:0016020 (membrane); GO:0016021 (integral component of membrane); GO:0006811 (ion transport); GO:0005267 (potassium channel activity); GO:0071805 (potassium ion transmembrane transport); GO:0006813 (potassium ion transport); GO:0005783 (endoplasmic reticulum); GO:0005789 (endoplasmic reticulum membrane); GO:0042802 (identical protein binding); GO:0015672 (monovalent inorganic cation transport); GO:0005261 (cation channel activity)</t>
  </si>
  <si>
    <t xml:space="preserve">FAR (Factor ARrest) Like </t>
  </si>
  <si>
    <t>GO:0005829 (cytosol); GO:0007010 (cytoskeleton organization); GO:0060562 (epithelial tube morphogenesis); GO:2001137 (positive regulation of endocytic recycling); GO:0005783 (endoplasmic reticulum); GO:0003674 (molecular_function); GO:0007029 (endoplasmic reticulum organization)</t>
  </si>
  <si>
    <t>GO:0003723 (RNA binding); GO:0005737 (cytoplasm); GO:0001731 (formation of translation preinitiation complex); GO:0002188 (translation reinitiation)</t>
  </si>
  <si>
    <t>GO:0003682 (chromatin binding); GO:0035267 (NuA4 histone acetyltransferase complex); GO:0006357 (regulation of transcription by RNA polymerase II); GO:0043967 (histone H4 acetylation); GO:0007399 (nervous system development); GO:0043044 (ATP-dependent chromatin remodeling); GO:0016514 (SWI/SNF complex)</t>
  </si>
  <si>
    <t xml:space="preserve">Suppressor of zyg-1 protein 20 </t>
  </si>
  <si>
    <t>GO:0009792 (embryo development ending in birth or egg hatching); GO:0005634 (nucleus); GO:0005737 (cytoplasm); GO:0010824 (regulation of centrosome duplication); GO:0045132 (meiotic chromosome segregation); GO:0051301 (cell division); GO:0005730 (nucleolus); GO:0005813 (centrosome); GO:0003723 (RNA binding); GO:0005856 (cytoskeleton); GO:0005515 (protein binding); GO:0007049 (cell cycle); GO:0005694 (chromosome); GO:1905516 (positive regulation of fertilization); GO:0005814 (centriole); GO:0005815 (microtubule organizing center); GO:0009794 (regulation of mitotic cell cycle, embryonic); GO:0045977 (positive regulation of mitotic cell cycle, embryonic); GO:0090169 (regulation of spindle assembly); GO:1903436 (regulation of mitotic cytokinetic process); GO:1903438 (positive regulation of mitotic cytokinetic process); GO:1904780 (negative regulation of protein localization to centrosome)</t>
  </si>
  <si>
    <t xml:space="preserve">Nucleolar GTP-binding protein 2 </t>
  </si>
  <si>
    <t>GO:0005525 (GTP binding); GO:0005634 (nucleus); GO:0000166 (nucleotide binding); GO:0005730 (nucleolus)</t>
  </si>
  <si>
    <t xml:space="preserve">Homeobox protein ceh-14 </t>
  </si>
  <si>
    <t xml:space="preserve">GOLGi associated coiled-coil protein homolog </t>
  </si>
  <si>
    <t>GO:0007030 (Golgi organization); GO:0005794 (Golgi apparatus); GO:0005801 (cis-Golgi network); GO:0032580 (Golgi cisterna membrane); GO:0000137 (Golgi cis cisterna)</t>
  </si>
  <si>
    <t xml:space="preserve">Mediator of RNA polymerase II transcription subunit 1.2 </t>
  </si>
  <si>
    <t>GO:0008168 (methyltransferase activity); GO:0032259 (methylation); GO:0016740 (transferase activity); GO:0030488 (tRNA methylation); GO:0052735 (tRNA (cytosine-3-)-methyltransferase activity)</t>
  </si>
  <si>
    <t xml:space="preserve">Probable signal peptidase complex subunit 2 </t>
  </si>
  <si>
    <t>GO:0016020 (membrane); GO:0016021 (integral component of membrane); GO:0016787 (hydrolase activity); GO:0006508 (proteolysis); GO:0008233 (peptidase activity); GO:0005783 (endoplasmic reticulum); GO:0005789 (endoplasmic reticulum membrane); GO:0045047 (protein targeting to ER); GO:0043231 (intracellular membrane-bounded organelle); GO:0005787 (signal peptidase complex); GO:0006465 (signal peptide processing); GO:0016529 (sarcoplasmic reticulum)</t>
  </si>
  <si>
    <t>GO:0005524 (ATP binding); GO:0016787 (hydrolase activity); GO:0004386 (helicase activity); GO:0000166 (nucleotide binding); GO:0003723 (RNA binding); GO:0071013 (catalytic step 2 spliceosome); GO:0003676 (nucleic acid binding); GO:0005730 (nucleolus); GO:0003729 (mRNA binding); GO:0003724 (RNA helicase activity)</t>
  </si>
  <si>
    <t xml:space="preserve">FumarylAcetoacetate Hydrolase </t>
  </si>
  <si>
    <t>GO:0003824 (catalytic activity); GO:0016787 (hydrolase activity); GO:0046872 (metal ion binding); GO:0009072 (aromatic amino acid family metabolic process); GO:0006559 (L-phenylalanine catabolic process); GO:0006572 (tyrosine catabolic process); GO:0004334 (fumarylacetoacetase activity); GO:1902000 (homogentisate catabolic process)</t>
  </si>
  <si>
    <t xml:space="preserve">Adducin-related protein 1 </t>
  </si>
  <si>
    <t>GO:0051015 (actin filament binding); GO:0007616 (long-term memory); GO:0051016 (barbed-end actin filament capping); GO:0014069 (postsynaptic density); GO:0007614 (short-term memory); GO:0097120 (receptor localization to synapse); GO:2000249 (regulation of actin cytoskeleton reorganization)</t>
  </si>
  <si>
    <t xml:space="preserve">RAB eXchange factor </t>
  </si>
  <si>
    <t>GO:0003677 (DNA binding); GO:0046872 (metal ion binding); GO:0008270 (zinc ion binding); GO:0005515 (protein binding); GO:0018996 (molting cycle, collagen and cuticulin-based cuticle); GO:0043547 (positive regulation of GTPase activity); GO:0005769 (early endosome); GO:0034058 (endosomal vesicle fusion)</t>
  </si>
  <si>
    <t>GO:0046872 (metal ion binding); GO:0008270 (zinc ion binding); GO:0016567 (protein ubiquitination); GO:0045893 (positive regulation of transcription, DNA-templated); GO:0005654 (nucleoplasm); GO:0000785 (chromatin); GO:0004842 (ubiquitin-protein transferase activity); GO:0005515 (protein binding)</t>
  </si>
  <si>
    <t>GO:0061138 (morphogenesis of a branching epithelium)</t>
  </si>
  <si>
    <t xml:space="preserve">FANCI (Fanconi anemia complex component I) homolog </t>
  </si>
  <si>
    <t>GO:0006281 (DNA repair); GO:0070182 (DNA polymerase binding)</t>
  </si>
  <si>
    <t xml:space="preserve">Polyglutamine-repeat protein pqn-41 </t>
  </si>
  <si>
    <t xml:space="preserve">Bromodomain-containing protein bet-1 </t>
  </si>
  <si>
    <t>GO:0016020 (membrane); GO:0016021 (integral component of membrane); GO:0098655 (cation transmembrane transport); GO:0055085 (transmembrane transport); GO:0005794 (Golgi apparatus); GO:0006812 (cation transport); GO:0008324 (cation transmembrane transporter activity); GO:0006829 (zinc ion transport); GO:0005783 (endoplasmic reticulum)</t>
  </si>
  <si>
    <t xml:space="preserve">Lipase maturation factor </t>
  </si>
  <si>
    <t>GO:0016020 (membrane); GO:0016021 (integral component of membrane); GO:0005789 (endoplasmic reticulum membrane); GO:0005783 (endoplasmic reticulum); GO:0051604 (protein maturation)</t>
  </si>
  <si>
    <t xml:space="preserve">Myotubularin-related protein 6 </t>
  </si>
  <si>
    <t>GO:0052866 (phosphatidylinositol phosphate phosphatase activity); GO:0016311 (dephosphorylation); GO:0046872 (metal ion binding); GO:0046856 (phosphatidylinositol dephosphorylation); GO:0004725 (protein tyrosine phosphatase activity); GO:0016020 (membrane); GO:0005737 (cytoplasm); GO:0006629 (lipid metabolic process); GO:0035335 (peptidyl-tyrosine dephosphorylation); GO:0004438 (phosphatidylinositol-3-phosphatase activity); GO:0002119 (nematode larval development); GO:0030334 (regulation of cell migration); GO:0016324 (apical plasma membrane); GO:0006897 (endocytosis); GO:0046488 (phosphatidylinositol metabolic process); GO:0019902 (phosphatase binding); GO:0006907 (pinocytosis); GO:0030111 (regulation of Wnt signaling pathway)</t>
  </si>
  <si>
    <t xml:space="preserve">Nuclear hormone receptor family member nhr-49 </t>
  </si>
  <si>
    <t>GO:0043565 (sequence-specific DNA binding); GO:0003700 (DNA-binding transcription factor activity); GO:0008270 (zinc ion binding); GO:0006355 (regulation of transcription, DNA-templated); GO:0005634 (nucleus); GO:0005515 (protein binding); GO:0045944 (positive regulation of transcription by RNA polymerase II); GO:0008340 (determination of adult lifespan); GO:0019216 (regulation of lipid metabolic process); GO:0019217 (regulation of fatty acid metabolic process)</t>
  </si>
  <si>
    <t xml:space="preserve">Protein memo-1 homolog, partial </t>
  </si>
  <si>
    <t xml:space="preserve">Son of sevenless homolog </t>
  </si>
  <si>
    <t>GO:0005085 (guanyl-nucleotide exchange factor activity); GO:0007264 (small GTPase mediated signal transduction); GO:0046982 (protein heterodimerization activity); GO:0050790 (regulation of catalytic activity); GO:0009792 (embryo development ending in birth or egg hatching); GO:0016477 (cell migration); GO:0040026 (positive regulation of vulval development); GO:0005516 (calmodulin binding); GO:0007292 (female gamete generation)</t>
  </si>
  <si>
    <t>GO:0005739 (mitochondrion); GO:0044877 (protein-containing complex binding); GO:1901006 (ubiquinone-6 biosynthetic process); GO:0005747 (mitochondrial respiratory chain complex I); GO:0032981 (mitochondrial respiratory chain complex I assembly)</t>
  </si>
  <si>
    <t xml:space="preserve">Transcription factor lin-26 </t>
  </si>
  <si>
    <t xml:space="preserve">Partitioning defective protein 6 </t>
  </si>
  <si>
    <t>GO:0005515 (protein binding); GO:0007163 (establishment or maintenance of cell polarity); GO:0007043 (cell-cell junction assembly)</t>
  </si>
  <si>
    <t xml:space="preserve">Probable glycerol-3-phosphate dehydrogenase, mitochondrial </t>
  </si>
  <si>
    <t>GO:0005509 (calcium ion binding); GO:0046872 (metal ion binding); GO:0005739 (mitochondrion); GO:0016491 (oxidoreductase activity); GO:0006072 (glycerol-3-phosphate metabolic process); GO:0009331 (glycerol-3-phosphate dehydrogenase complex); GO:0004368 (glycerol-3-phosphate dehydrogenase (quinone) activity); GO:0019563 (glycerol catabolic process); GO:0052590 (sn-glycerol-3-phosphate:ubiquinone oxidoreductase activity); GO:0052591 (sn-glycerol-3-phosphate:ubiquinone-8 oxidoreductase activity); GO:0055114 (oxidation-reduction process)</t>
  </si>
  <si>
    <t xml:space="preserve">Mitochondrial import inner membrane translocase subunit Tim8 </t>
  </si>
  <si>
    <t>GO:0016020 (membrane); GO:0046872 (metal ion binding); GO:0015031 (protein transport); GO:0005739 (mitochondrion); GO:0005743 (mitochondrial inner membrane); GO:0005758 (mitochondrial intermembrane space); GO:0072321 (chaperone-mediated protein transport); GO:0007005 (mitochondrion organization)</t>
  </si>
  <si>
    <t xml:space="preserve">Histone H2A.V </t>
  </si>
  <si>
    <t xml:space="preserve">SYM-4 </t>
  </si>
  <si>
    <t xml:space="preserve">Electron transfer flavoprotein-ubiquinone oxidoreductase, mitochondrial </t>
  </si>
  <si>
    <t>GO:0004174 (electron-transferring-flavoprotein dehydrogenase activity); GO:0022900 (electron transport chain)</t>
  </si>
  <si>
    <t>GO:0003779 (actin binding); GO:0030838 (positive regulation of actin filament polymerization)</t>
  </si>
  <si>
    <t xml:space="preserve">SCO (Yeast Suppressor of Cytochrome Oxidase deficiency) homolog </t>
  </si>
  <si>
    <t>GO:0016020 (membrane); GO:0016021 (integral component of membrane); GO:0046872 (metal ion binding); GO:0005507 (copper ion binding); GO:0005739 (mitochondrion); GO:0005743 (mitochondrial inner membrane); GO:0033617 (mitochondrial cytochrome c oxidase assembly); GO:0006878 (cellular copper ion homeostasis); GO:0008535 (respiratory chain complex IV assembly); GO:0016531 (copper chaperone activity)</t>
  </si>
  <si>
    <t xml:space="preserve">Transaldolase </t>
  </si>
  <si>
    <t>GO:0003824 (catalytic activity); GO:0016740 (transferase activity); GO:0005737 (cytoplasm); GO:0005975 (carbohydrate metabolic process); GO:0006098 (pentose-phosphate shunt); GO:0009052 (pentose-phosphate shunt, non-oxidative branch); GO:0004801 (sedoheptulose-7-phosphate:D-glyceraldehyde-3-phosphate glyceronetransferase activity)</t>
  </si>
  <si>
    <t>GO:0005634 (nucleus); GO:0006879 (cellular iron ion homeostasis); GO:0005829 (cytosol); GO:0051536 (iron-sulfur cluster binding)</t>
  </si>
  <si>
    <t xml:space="preserve">Serine/threonine-protein phosphatase 2B catalytic subunit </t>
  </si>
  <si>
    <t>GO:0097720 (calcineurin-mediated signaling); GO:0033192 (calmodulin-dependent protein phosphatase activity); GO:0016787 (hydrolase activity)</t>
  </si>
  <si>
    <t>GO:0000932 (P-body); GO:0031087 (deadenylation-independent decapping of nuclear-transcribed mRNA); GO:0005515 (protein binding)</t>
  </si>
  <si>
    <t>GO:0003723 (RNA binding); GO:0005634 (nucleus); GO:0046872 (metal ion binding); GO:0008270 (zinc ion binding); GO:0000398 (mRNA splicing, via spliceosome); GO:0003676 (nucleic acid binding); GO:0005681 (spliceosomal complex); GO:0005515 (protein binding)</t>
  </si>
  <si>
    <t xml:space="preserve">Probable selenide, water dikinase </t>
  </si>
  <si>
    <t>GO:0005524 (ATP binding); GO:0005737 (cytoplasm); GO:0016301 (kinase activity); GO:0016310 (phosphorylation); GO:0046872 (metal ion binding); GO:0000166 (nucleotide binding); GO:0016740 (transferase activity); GO:0004756 (selenide, water dikinase activity); GO:0016260 (selenocysteine biosynthetic process)</t>
  </si>
  <si>
    <t xml:space="preserve">GDP-fucose protein O-fucosyltransferase 1 </t>
  </si>
  <si>
    <t>GO:0016740 (transferase activity); GO:0016757 (transferase activity, transferring glycosyl groups); GO:0006486 (protein glycosylation); GO:0008417 (fucosyltransferase activity); GO:0005975 (carbohydrate metabolic process); GO:0005783 (endoplasmic reticulum); GO:0007219 (Notch signaling pathway); GO:0006004 (fucose metabolic process); GO:0006493 (protein O-linked glycosylation); GO:0046922 (peptide-O-fucosyltransferase activity); GO:0036066 (protein O-linked fucosylation)</t>
  </si>
  <si>
    <t xml:space="preserve">Structural maintenance of chromosomes-like protein 1 </t>
  </si>
  <si>
    <t>GO:0005634 (nucleus); GO:0000166 (nucleotide binding); GO:0005524 (ATP binding); GO:0007049 (cell cycle); GO:0007062 (sister chromatid cohesion); GO:0051301 (cell division); GO:0003677 (DNA binding); GO:0008278 (cohesin complex)</t>
  </si>
  <si>
    <t xml:space="preserve">Probable phosphorylase b kinase regulatory subunit alpha </t>
  </si>
  <si>
    <t>GO:0005975 (carbohydrate metabolic process); GO:0005516 (calmodulin binding); GO:0005977 (glycogen metabolic process); GO:0005964 (phosphorylase kinase complex); GO:0016020 (membrane); GO:0005886 (plasma membrane)</t>
  </si>
  <si>
    <t xml:space="preserve">Probable 3',5'-cyclic phosphodiesterase pde-2 </t>
  </si>
  <si>
    <t>GO:0006895 (Golgi to endosome transport)</t>
  </si>
  <si>
    <t xml:space="preserve">RaBConnectin related </t>
  </si>
  <si>
    <t xml:space="preserve">Non-centrosomal microtubule array protein 1 </t>
  </si>
  <si>
    <t xml:space="preserve">UPF0518 protein C05D11.8 </t>
  </si>
  <si>
    <t xml:space="preserve">Synaptotagmin 2 </t>
  </si>
  <si>
    <t>GO:0016020 (membrane); GO:0005886 (plasma membrane); GO:0046872 (metal ion binding); GO:0031410 (cytoplasmic vesicle);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ion); GO:0048488 (synaptic vesicle endocytosis); GO:0030424 (axon); GO:0048791 (calcium ion-regulated exocytosis of neurotransmitter); GO:0006887 (exocytosis); GO:0030672 (synaptic vesicle membrane); GO:0031045 (dense core granule)</t>
  </si>
  <si>
    <t xml:space="preserve">Helix-loop-helix protein 11 </t>
  </si>
  <si>
    <t xml:space="preserve">Probable splicing factor, arginine/serine-rich 7 </t>
  </si>
  <si>
    <t>GO:0005634 (nucleus); GO:0003723 (RNA binding); GO:0003676 (nucleic acid binding); GO:0005654 (nucleoplasm); GO:0006397 (mRNA processing); GO:0008380 (RNA splicing); GO:0000398 (mRNA splicing, via spliceosome)</t>
  </si>
  <si>
    <t xml:space="preserve">Probable glutathione reductase 2 </t>
  </si>
  <si>
    <t>GO:0005737 (cytoplasm); GO:0005739 (mitochondrion); GO:0016491 (oxidoreductase activity); GO:0050660 (flavin adenine dinucleotide binding); GO:0045454 (cell redox homeostasis); GO:0098869 (cellular oxidant detoxification); GO:0016668 (oxidoreductase activity, acting on a sulfur group of donors, NAD(P) as acceptor); GO:0004362 (glutathione-disulfide reductase activity); GO:0004791 (thioredoxin-disulfide reductase activity); GO:0055114 (oxidation-reduction process)</t>
  </si>
  <si>
    <t xml:space="preserve">Nuclear hormone receptor family member daf-12 </t>
  </si>
  <si>
    <t xml:space="preserve">Putative NipSnap protein K02D10.1 </t>
  </si>
  <si>
    <t>GO:0005739 (mitochondrion); GO:0016311 (dephosphorylation); GO:0016791 (phosphatase activity); GO:0016787 (hydrolase activity)</t>
  </si>
  <si>
    <t xml:space="preserve">Retinoblastoma-like protein homolog lin-35 </t>
  </si>
  <si>
    <t>GO:0051726 (regulation of cell cycle); GO:0006357 (regulation of transcription by RNA polymerase II); GO:0005634 (nucleus)</t>
  </si>
  <si>
    <t xml:space="preserve">UBX domain-containing protein 2 </t>
  </si>
  <si>
    <t>GO:0005634 (nucleus); GO:0043161 (proteasome-mediated ubiquitin-dependent protein catabolic process); GO:0005737 (cytoplasm); GO:0005829 (cytosol); GO:0005856 (cytoskeleton); GO:0005515 (protein binding); GO:0000132 (establishment of mitotic spindle orientation); GO:0007030 (Golgi organization); GO:0042006 (masculinization of hermaphroditic germ-line); GO:0030154 (cell differentiation); GO:0000045 (autophagosome assembly); GO:0007283 (spermatogenesis); GO:0005815 (microtubule organizing center); GO:1904780 (negative regulation of protein localization to centrosome); GO:0061025 (membrane fusion); GO:0019901 (protein kinase binding); GO:0043130 (ubiquitin binding); GO:0048471 (perinuclear region of cytoplasm); GO:0036435 (K48-linked polyubiquitin modification-dependent protein binding); GO:1903364 (positive regulation of cellular protein catabolic process); GO:0031468 (nuclear envelope reassembly); GO:0031616 (spindle pole centrosome)</t>
  </si>
  <si>
    <t>GO:0022900 (electron transport chain); GO:0005739 (mitochondrion); GO:0005747 (mitochondrial respiratory chain complex I); GO:0008137 (NADH dehydrogenase (ubiquinone) activity); GO:0003954 (NADH dehydrogenase activity)</t>
  </si>
  <si>
    <t>GO:0005794 (Golgi apparatus); GO:0006888 (endoplasmic reticulum to Golgi vesicle-mediated transport); GO:0030008 (TRAPP complex); GO:0005802 (trans-Golgi network); GO:0043087 (regulation of GTPase activity); GO:0048193 (Golgi vesicle transport); GO:0005801 (cis-Golgi network)</t>
  </si>
  <si>
    <t xml:space="preserve">Probable-ribose 5-phosphate isomerase </t>
  </si>
  <si>
    <t>GO:0043231 (intracellular membrane-bounded organelle); GO:0016853 (isomerase activity); GO:0006098 (pentose-phosphate shunt); GO:0004751 (ribose-5-phosphate isomerase activity); GO:0006014 (D-ribose metabolic process); GO:0009052 (pentose-phosphate shunt, non-oxidative branch)</t>
  </si>
  <si>
    <t xml:space="preserve">Putative nudix hydrolase 7 </t>
  </si>
  <si>
    <t>GO:0006893 (Golgi to plasma membrane transport)</t>
  </si>
  <si>
    <t>GO:0015031 (protein transport); GO:0005198 (structural molecule activity); GO:0042803 (protein homodimerization activity); GO:0000814 (ESCRT II complex); GO:0043328 (protein transport to vacuole involved in ubiquitin-dependent protein catabolic process via the multivesicular body sorting pathway); GO:0071985 (multivesicular body sorting pathway)</t>
  </si>
  <si>
    <t xml:space="preserve">Probable tRNA N6-adenosine threonylcarbamoyltransferase, mitochondrial </t>
  </si>
  <si>
    <t>GO:0002949 (tRNA threonylcarbamoyladenosine modification)</t>
  </si>
  <si>
    <t xml:space="preserve">Intraflagellar transport protein 43 homolog </t>
  </si>
  <si>
    <t>GO:0005730 (nucleolus); GO:0000463 (maturation of LSU-rRNA from tricistronic rRNA transcript (SSU-rRNA, 5.8S rRNA, LSU-rRNA)); GO:0000466 (maturation of 5.8S rRNA from tricistronic rRNA transcript (SSU-rRNA, 5.8S rRNA, LSU-rRNA))</t>
  </si>
  <si>
    <t xml:space="preserve">Eukaryotic peptide chain release factor subunit 1 </t>
  </si>
  <si>
    <t>GO:0006415 (translational termination); GO:0003747 (translation release factor activity)</t>
  </si>
  <si>
    <t>GO:0005634 (nucleus); GO:0016020 (membrane)</t>
  </si>
  <si>
    <t xml:space="preserve">AP-1 complex subunit gamma </t>
  </si>
  <si>
    <t>GO:0016020 (membrane); GO:0005794 (Golgi apparatus); GO:0006886 (intracellular protein transport); GO:0015031 (protein transport); GO:0016192 (vesicle-mediated transport); GO:0030117 (membrane coat); GO:0031410 (cytoplasmic vesicle); GO:0030121 (AP-1 adaptor complex); GO:0006898 (receptor-mediated endocytosis); GO:0035615 (clathrin adaptor activity); GO:0006896 (Golgi to vacuole transport); GO:0005515 (protein binding); GO:0009306 (protein secretion); GO:0045176 (apical protein localization); GO:0030276 (clathrin binding); GO:0140312 (cargo adaptor activity)</t>
  </si>
  <si>
    <t xml:space="preserve">CDP-diacylglycerol--inositol 3-phosphatidyltransferase </t>
  </si>
  <si>
    <t>GO:0016020 (membrane); GO:0016021 (integral component of membrane); GO:0016740 (transferase activity); GO:0005794 (Golgi apparatus); GO:0006629 (lipid metabolic process); GO:0008654 (phospholipid biosynthetic process); GO:0016780 (phosphotransferase activity, for other substituted phosphate groups); GO:0006661 (phosphatidylinositol biosynthetic process); GO:0003881 (CDP-diacylglycerol-inositol 3-phosphatidyltransferase activity)</t>
  </si>
  <si>
    <t>GO:0003676 (nucleic acid binding); GO:0003723 (RNA binding); GO:0005654 (nucleoplasm); GO:0045892 (negative regulation of transcription, DNA-templated); GO:0045814 (negative regulation of gene expression, epigenetic); GO:0097355 (protein localization to heterochromatin)</t>
  </si>
  <si>
    <t xml:space="preserve">Putative peroxisomal biogenesis factor 19 </t>
  </si>
  <si>
    <t>GO:0005777 (peroxisome)</t>
  </si>
  <si>
    <t xml:space="preserve">Downstream of XBP-1 </t>
  </si>
  <si>
    <t>GO:0005634 (nucleus); GO:0003690 (double-stranded DNA binding); GO:0006974 (cellular response to DNA damage stimulus); GO:0006260 (DNA replication); GO:0005730 (nucleolus)</t>
  </si>
  <si>
    <t xml:space="preserve">Transcription enhancer factor-like protein egl-44 </t>
  </si>
  <si>
    <t>GO:0035329 (hippo signaling); GO:0003700 (DNA-binding transcription factor activity); GO:0006355 (regulation of transcription, DNA-templated); GO:0005634 (nucleus); GO:0003677 (DNA binding)</t>
  </si>
  <si>
    <t xml:space="preserve">Rab GDP dissociation inhibitor </t>
  </si>
  <si>
    <t>GO:0005737 (cytoplasm); GO:0005096 (GTPase activator activity); GO:0043547 (positive regulation of GTPase activity); GO:0007264 (small GTPase mediated signal transduction); GO:0016192 (vesicle-mediated transport); GO:0050790 (regulation of catalytic activity); GO:0015031 (protein transport); GO:0005092 (GDP-dissociation inhibitor activity); GO:0005093 (Rab GDP-dissociation inhibitor activity)</t>
  </si>
  <si>
    <t xml:space="preserve">Prefoldin subunit 2 </t>
  </si>
  <si>
    <t xml:space="preserve">SWI/SNF-related matrix-associated actin-dependent regulator of chromatin subfamily A-like protein 1 homolog </t>
  </si>
  <si>
    <t>GO:0005524 (ATP binding); GO:0016787 (hydrolase activity); GO:0004386 (helicase activity); GO:0005634 (nucleus); GO:0000166 (nucleotide binding); GO:0006281 (DNA repair); GO:0006325 (chromatin organization); GO:0005662 (DNA replication factor A complex); GO:0048478 (replication fork protection); GO:0000733 (DNA strand renaturation); GO:0031297 (replication fork processing); GO:0006357 (regulation of transcription by RNA polymerase II); GO:0043596 (nuclear replication fork); GO:0036310 (annealing helicase activity); GO:0070615 (nucleosome-dependent ATPase activity)</t>
  </si>
  <si>
    <t xml:space="preserve">Spliceosome RNA helicase DDX39B homolog </t>
  </si>
  <si>
    <t xml:space="preserve">Mediator of RNA polymerase II transcription subunit 31 </t>
  </si>
  <si>
    <t>GO:0016592 (mediator complex); GO:0003712 (transcription coregulator activity); GO:0006355 (regulation of transcription, DNA-templated)</t>
  </si>
  <si>
    <t xml:space="preserve">Acetylcholine receptor subunit alpha-type unc-63 </t>
  </si>
  <si>
    <t>GO:0046872 (metal ion binding); GO:0005737 (cytoplasm); GO:0008270 (zinc ion binding); GO:0005856 (cytoskeleton); GO:0016199 (axon midline choice point recognition); GO:0032880 (regulation of protein localization); GO:0005515 (protein binding); GO:0043025 (neuronal cell body); GO:0005102 (signaling receptor binding); GO:0033563 (dorsal/ventral axon guidance); GO:0042803 (protein homodimerization activity); GO:0030031 (cell projection assembly); GO:0031175 (neuron projection development); GO:0031252 (cell leading edge); GO:0043005 (neuron projection); GO:0055120 (striated muscle dense body); GO:0004842 (ubiquitin-protein transferase activity); GO:0016567 (protein ubiquitination)</t>
  </si>
  <si>
    <t xml:space="preserve">Ubiquitin-conjugating enzyme E2 2 </t>
  </si>
  <si>
    <t>GO:0005634 (nucleus); GO:0000166 (nucleotide binding); GO:0016740 (transferase activity); GO:0000209 (protein polyubiquitination); GO:0006511 (ubiquitin-dependent protein catabolic process); GO:0016567 (protein ubiquitination); GO:0005524 (ATP binding); GO:0000151 (ubiquitin ligase complex); GO:0061631 (ubiquitin conjugating enzyme activity); GO:0005694 (chromosome); GO:0031625 (ubiquitin protein ligase binding); GO:0004842 (ubiquitin-protein transferase activity)</t>
  </si>
  <si>
    <t xml:space="preserve">WD repeat-containing protein wdr-5.1 </t>
  </si>
  <si>
    <t>GO:0005634 (nucleus); GO:0007275 (multicellular organism development); GO:0042393 (histone binding); GO:0031047 (gene silencing by RNA); GO:0048188 (Set1C/COMPASS complex); GO:0051568 (histone H3-K4 methylation); GO:0006325 (chromatin organization); GO:0003674 (molecular_function); GO:0044666 (MLL3/4 complex); GO:0005515 (protein binding); GO:0005737 (cytoplasm); GO:0008340 (determination of adult lifespan); GO:0060290 (transdifferentiation); GO:0001085 (RNA polymerase II transcription factor binding)</t>
  </si>
  <si>
    <t xml:space="preserve">Probable signal peptidase complex subunit 3 </t>
  </si>
  <si>
    <t>GO:0016020 (membrane); GO:0016021 (integral component of membrane); GO:0016787 (hydrolase activity); GO:0006508 (proteolysis); GO:0008233 (peptidase activity); GO:0005783 (endoplasmic reticulum); GO:0005789 (endoplasmic reticulum membrane); GO:0045047 (protein targeting to ER); GO:0043231 (intracellular membrane-bounded organelle); GO:0005787 (signal peptidase complex); GO:0006465 (signal peptide processing)</t>
  </si>
  <si>
    <t>GO:0016020 (membrane); GO:0016021 (integral component of membrane); GO:0016746 (transferase activity, transferring acyl groups)</t>
  </si>
  <si>
    <t xml:space="preserve">Probable prefoldin subunit 3 </t>
  </si>
  <si>
    <t>GO:0016272 (prefoldin complex); GO:0006457 (protein folding)</t>
  </si>
  <si>
    <t xml:space="preserve">YTochrome B </t>
  </si>
  <si>
    <t>GO:0016020 (membrane); GO:0016021 (integral component of membrane); GO:0046872 (metal ion binding); GO:0043231 (intracellular membrane-bounded organelle); GO:0009055 (electron transfer activity); GO:0022900 (electron transport chain); GO:0020037 (heme binding); GO:0048471 (perinuclear region of cytoplasm)</t>
  </si>
  <si>
    <t xml:space="preserve">Serine/threonine-protein phosphatase 4 regulatory subunit 1 </t>
  </si>
  <si>
    <t xml:space="preserve">Probable malate dehydrogenase, mitochondrial </t>
  </si>
  <si>
    <t>GO:0030060 (L-malate dehydrogenase activity); GO:0006099 (tricarboxylic acid cycle); GO:0019752 (carboxylic acid metabolic process); GO:0016616 (oxidoreductase activity, acting on the CH-OH group of donors, NAD or NADP as acceptor); GO:0006108 (malate metabolic process); GO:0016615 (malate dehydrogenase activity); GO:0016491 (oxidoreductase activity); GO:0055114 (oxidation-reduction process); GO:0003824 (catalytic activity); GO:0005975 (carbohydrate metabolic process)</t>
  </si>
  <si>
    <t xml:space="preserve">Heat shock 70 kDa protein F, mitochondrial </t>
  </si>
  <si>
    <t>GO:0051082 (unfolded protein binding); GO:0006457 (protein folding); GO:0005524 (ATP binding)</t>
  </si>
  <si>
    <t xml:space="preserve">CDK5RAP1-like protein </t>
  </si>
  <si>
    <t>GO:0003824 (catalytic activity); GO:0046872 (metal ion binding); GO:0005739 (mitochondrion); GO:0005829 (cytosol); GO:0051536 (iron-sulfur cluster binding); GO:0051539 (4 iron, 4 sulfur cluster binding); GO:0016740 (transferase activity); GO:0003674 (molecular_function); GO:0005575 (cellular_component); GO:0006400 (tRNA modification); GO:0000079 (regulation of cyclin-dependent protein serine/threonine kinase activity); GO:0045736 (negative regulation of cyclin-dependent protein serine/threonine kinase activity); GO:0035596 (methylthiotransferase activity); GO:0035597 (N6-isopentenyladenosine methylthiotransferase activity); GO:0035600 (tRNA methylthiolation)</t>
  </si>
  <si>
    <t xml:space="preserve">Prolyl Amino-acyl tRNA Synthetase </t>
  </si>
  <si>
    <t>GO:0005524 (ATP binding); GO:0000166 (nucleotide binding); GO:0004812 (aminoacyl-tRNA ligase activity); GO:0006418 (tRNA aminoacylation for protein translation); GO:0016874 (ligase activity); GO:0005739 (mitochondrion); GO:0005737 (cytoplasm); GO:0004827 (proline-tRNA ligase activity); GO:0006433 (prolyl-tRNA aminoacylation)</t>
  </si>
  <si>
    <t>GO:0005829 (cytosol); GO:0035556 (intracellular signal transduction); GO:0007275 (multicellular organism development); GO:0016055 (Wnt signaling pathway); GO:0060070 (canonical Wnt signaling pathway); GO:0005515 (protein binding); GO:0048557 (embryonic digestive tract morphogenesis); GO:0070986 (left/right axis specification); GO:0005109 (frizzled binding); GO:0001714 (endodermal cell fate specification); GO:0048598 (embryonic morphogenesis); GO:0060069 (Wnt signaling pathway, regulating spindle positioning); GO:0008104 (protein localization); GO:0005938 (cell cortex); GO:0001708 (cell fate specification); GO:0000132 (establishment of mitotic spindle orientation); GO:0035262 (gonad morphogenesis); GO:0008356 (asymmetric cell division); GO:0048546 (digestive tract morphogenesis); GO:0035591 (signaling adaptor activity)</t>
  </si>
  <si>
    <t xml:space="preserve">tRNA pseudouridine synthase </t>
  </si>
  <si>
    <t>GO:0003723 (RNA binding); GO:0001522 (pseudouridine synthesis); GO:0009451 (RNA modification); GO:0009982 (pseudouridine synthase activity); GO:0016853 (isomerase activity); GO:0008033 (tRNA processing); GO:0031119 (tRNA pseudouridine synthesis); GO:0106029 (tRNA pseudouridine synthase activity)</t>
  </si>
  <si>
    <t xml:space="preserve">Allophagy receptor allo-1 </t>
  </si>
  <si>
    <t xml:space="preserve">Probable NADH dehydrogenase [ubiquinone] 1 alpha subcomplex subunit 5 </t>
  </si>
  <si>
    <t>GO:0016020 (membrane); GO:0005739 (mitochondrion); GO:0005743 (mitochondrial inner membrane); GO:0022904 (respiratory electron transport chain); GO:0005747 (mitochondrial respiratory chain complex I); GO:0070469 (respirasome); GO:0008137 (NADH dehydrogenase (ubiquinone) activity); GO:0006120 (mitochondrial electron transport, NADH to ubiquinone)</t>
  </si>
  <si>
    <t>GO:0032981 (mitochondrial respiratory chain complex I assembly); GO:0031305 (integral component of mitochondrial inner membrane); GO:0033617 (mitochondrial cytochrome c oxidase assembly)</t>
  </si>
  <si>
    <t xml:space="preserve">Glycine cleavage system P protein </t>
  </si>
  <si>
    <t>GO:0003824 (catalytic activity); GO:0005739 (mitochondrion); GO:0016491 (oxidoreductase activity); GO:0030170 (pyridoxal phosphate binding); GO:0019464 (glycine decarboxylation via glycine cleavage system); GO:0004375 (glycine dehydrogenase (decarboxylating) activity); GO:0005960 (glycine cleavage complex); GO:0006544 (glycine metabolic process); GO:0006546 (glycine catabolic process); GO:0016594 (glycine binding); GO:0055114 (oxidation-reduction process)</t>
  </si>
  <si>
    <t xml:space="preserve">Serine/threonine-protein kinase dkf-2 </t>
  </si>
  <si>
    <t xml:space="preserve">Myotubularin-related protein 1 </t>
  </si>
  <si>
    <t>GO:0016311 (dephosphorylation); GO:0004725 (protein tyrosine phosphatase activity)</t>
  </si>
  <si>
    <t xml:space="preserve">Actin-4 </t>
  </si>
  <si>
    <t>GO:0005865 (striated muscle thin filament); GO:0030036 (actin cytoskeleton organization); GO:0045121 (membrane raft); GO:0005856 (cytoskeleton); GO:0005200 (structural constituent of cytoskeleton)</t>
  </si>
  <si>
    <t>GO:0005634 (nucleus); GO:0000978 (RNA polymerase II cis-regulatory region sequence-specific DNA binding); GO:0006357 (regulation of transcription by RNA polymerase II); GO:0001228 (DNA-binding transcription activator activity, RNA polymerase II-specific); GO:0045944 (positive regulation of transcription by RNA polymerase II)</t>
  </si>
  <si>
    <t xml:space="preserve">LiPid Depleted </t>
  </si>
  <si>
    <t>GO:0016020 (membrane); GO:0016021 (integral component of membrane); GO:0098793 (presynapse); GO:0048488 (synaptic vesicle endocytosis)</t>
  </si>
  <si>
    <t>GO:0016020 (membrane); GO:0016021 (integral component of membrane); GO:0035556 (intracellular signal transduction); GO:0005886 (plasma membrane)</t>
  </si>
  <si>
    <t xml:space="preserve">Putative ATP synthase subunit f, mitochondrial </t>
  </si>
  <si>
    <t>GO:0016020 (membrane); GO:0006811 (ion transport); GO:0005739 (mitochondrion); GO:0031966 (mitochondrial membrane); GO:0005753 (mitochondrial proton-transporting ATP synthase complex); GO:0006754 (ATP biosynthetic process); GO:0045263 (proton-transporting ATP synthase complex, coupling factor F(o)); GO:0046933 (proton-transporting ATP synthase activity, rotational mechanism); GO:0042776 (mitochondrial ATP synthesis coupled proton transport)</t>
  </si>
  <si>
    <t>GO:0016020 (membrane); GO:0016021 (integral component of membrane); GO:0032511 (late endosome to vacuole transport via multivesicular body sorting pathway)</t>
  </si>
  <si>
    <t xml:space="preserve">Chloride channel protein clh-3 </t>
  </si>
  <si>
    <t>GO:0006821 (chloride transport); GO:0005247 (voltage-gated chloride channel activity); GO:0055085 (transmembrane transport); GO:0016020 (membrane); GO:0016021 (integral component of membrane); GO:0006811 (ion transport); GO:0034220 (ion transmembrane transport)</t>
  </si>
  <si>
    <t xml:space="preserve">Glutamate carboxypeptidase 2 homolog </t>
  </si>
  <si>
    <t>GO:0006508 (proteolysis); GO:0004180 (carboxypeptidase activity); GO:0008235 (metalloexopeptidase activity)</t>
  </si>
  <si>
    <t xml:space="preserve">Cathepsin B-like cysteine proteinase 6 </t>
  </si>
  <si>
    <t>Ubiquitin-60S ribosomal protein L40 Ubiquitin 60S ribosomal protein L40</t>
  </si>
  <si>
    <t>GO:0005634 (nucleus); GO:0005737 (cytoplasm); GO:0016567 (protein ubiquitination); GO:0003735 (structural constituent of ribosome); GO:0005840 (ribosome); GO:0006412 (translation); GO:0022627 (cytosolic small ribosomal subunit); GO:0009949 (polarity specification of anterior/posterior axis); GO:0031625 (ubiquitin protein ligase binding); GO:0019941 (modification-dependent protein catabolic process); GO:0031386 (protein tag); GO:0005515 (protein binding)</t>
  </si>
  <si>
    <t>GO:0003924 (GTPase activity); GO:0005525 (GTP binding); GO:0000166 (nucleotide binding); GO:0016020 (membrane); GO:0006886 (intracellular protein transport); GO:0005789 (endoplasmic reticulum membrane); GO:0005047 (signal recognition particle binding); GO:0005785 (signal recognition particle receptor complex); GO:0006605 (protein targeting); GO:0006614 (SRP-dependent cotranslational protein targeting to membrane); GO:0045047 (protein targeting to ER)</t>
  </si>
  <si>
    <t xml:space="preserve">Signal peptidase complex catalytic subunit SEC11 </t>
  </si>
  <si>
    <t>GO:0016020 (membrane); GO:0016021 (integral component of membrane); GO:0016787 (hydrolase activity); GO:0006508 (proteolysis); GO:0008233 (peptidase activity); GO:0004252 (serine-type endopeptidase activity); GO:0005783 (endoplasmic reticulum); GO:0005789 (endoplasmic reticulum membrane); GO:0008236 (serine-type peptidase activity); GO:0005787 (signal peptidase complex); GO:0006465 (signal peptide processing)</t>
  </si>
  <si>
    <t xml:space="preserve">Cell surface receptor daf-1 </t>
  </si>
  <si>
    <t>GO:0004672 (protein kinase activity); GO:0007178 (transmembrane receptor protein serine/threonine kinase signaling pathway); GO:0004675 (transmembrane receptor protein serine/threonine kinase activity); GO:0006468 (protein phosphorylation); GO:0016020 (membrane); GO:0005524 (ATP binding)</t>
  </si>
  <si>
    <t>GO:0016020 (membrane); GO:0016021 (integral component of membrane); GO:0005739 (mitochondrion); GO:0005743 (mitochondrial inner membrane); GO:0005750 (mitochondrial respiratory chain complex III); GO:0006122 (mitochondrial electron transport, ubiquinol to cytochrome c); GO:0070469 (respirasome); GO:0009060 (aerobic respiration)</t>
  </si>
  <si>
    <t>GO:0005737 (cytoplasm); GO:0016868 (intramolecular transferase activity, phosphotransferases)</t>
  </si>
  <si>
    <t>GO:0005515 (protein binding); GO:0045087 (innate immune response)</t>
  </si>
  <si>
    <t xml:space="preserve">Seven WD repeats, AN11 family </t>
  </si>
  <si>
    <t>GO:0005634 (nucleus); GO:0009408 (response to heat); GO:0006970 (response to osmotic stress); GO:0005515 (protein binding)</t>
  </si>
  <si>
    <t xml:space="preserve">KIN-4 protein; Protein KINase 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</si>
  <si>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GO:0016740 (transferase activity); GO:0035556 (intracellular signal transduction); GO:0000287 (magnesium ion binding); GO:0005515 (protein binding); GO:0106310 (protein serine kinase activity); GO:0106311 (protein threonine kinase activity)</t>
  </si>
  <si>
    <t xml:space="preserve">E3 ubiquitin-protein ligase ubr-1 </t>
  </si>
  <si>
    <t>GO:0016020 (membrane); GO:0016021 (integral component of membrane); GO:0005737 (cytoplasm); GO:0016567 (protein ubiquitination); GO:0046872 (metal ion binding); GO:0016740 (transferase activity); GO:0061630 (ubiquitin protein ligase activity); GO:0008270 (zinc ion binding); GO:0000151 (ubiquitin ligase complex); GO:0043058 (regulation of backward locomotion); GO:0030163 (protein catabolic process); GO:0071596 (ubiquitin-dependent protein catabolic process via the N-end rule pathway); GO:2000212 (negative regulation of glutamate metabolic process); GO:0031624 (ubiquitin conjugating enzyme binding)</t>
  </si>
  <si>
    <t xml:space="preserve">CaLPain family </t>
  </si>
  <si>
    <t>GO:0005737 (cytoplasm); GO:0006508 (proteolysis); GO:0004198 (calcium-dependent cysteine-type endopeptidase activity)</t>
  </si>
  <si>
    <t xml:space="preserve">E3 ubiquitin-protein ligase bre-1 </t>
  </si>
  <si>
    <t>GO:0010390 (histone monoubiquitination); GO:0004842 (ubiquitin-protein transferase activity)</t>
  </si>
  <si>
    <t xml:space="preserve">Phospholipid phosphatase homolog 1.2 homolog </t>
  </si>
  <si>
    <t>GO:0008195 (phosphatidate phosphatase activity); GO:0006644 (phospholipid metabolic process); GO:0016020 (membrane); GO:0016021 (integral component of membrane); GO:0016311 (dephosphorylation); GO:0042577 (lipid phosphatase activity)</t>
  </si>
  <si>
    <t xml:space="preserve">U6 snRNA-associated Sm-like protein LSm2 </t>
  </si>
  <si>
    <t>GO:0005634 (nucleus); GO:0000398 (mRNA splicing, via spliceosome); GO:0000932 (P-body); GO:0003723 (RNA binding); GO:0005688 (U6 snRNP); GO:0046540 (U4/U6 x U5 tri-snRNP complex); GO:0071013 (catalytic step 2 spliceosome); GO:1990726 (Lsm1-7-Pat1 complex); GO:0006397 (mRNA processing); GO:0008380 (RNA splicing); GO:0005681 (spliceosomal complex); GO:0071011 (precatalytic spliceosome)</t>
  </si>
  <si>
    <t>GO:0003712 (transcription coregulator activity); GO:0016573 (histone acetylation); GO:0004402 (histone acetyltransferase activity); GO:0005515 (protein binding); GO:0008270 (zinc ion binding); GO:0006355 (regulation of transcription, DNA-templated)</t>
  </si>
  <si>
    <t xml:space="preserve">Bifunctional L-3-cyanoalanine synthase/cysteine synthase </t>
  </si>
  <si>
    <t>GO:0016020 (membrane); GO:0016021 (integral component of membrane); GO:0005789 (endoplasmic reticulum membrane); GO:0008017 (microtubule binding); GO:0071782 (endoplasmic reticulum tubular network); GO:0071786 (endoplasmic reticulum tubular network organization); GO:0005881 (cytoplasmic microtubule)</t>
  </si>
  <si>
    <t xml:space="preserve">Tumorous Enhancer of Glp-1(Gf) </t>
  </si>
  <si>
    <t>GO:0005634 (nucleus); GO:0000398 (mRNA splicing, via spliceosome); GO:0003676 (nucleic acid binding); GO:0005686 (U2 snRNP); GO:0030620 (U2 snRNA binding); GO:0005515 (protein binding)</t>
  </si>
  <si>
    <t xml:space="preserve">Probable glutaryl-CoA dehydrogenase, mitochondrial </t>
  </si>
  <si>
    <t>GO:0016491 (oxidoreductase activity); GO:0003995 (acyl-CoA dehydrogenase activity); GO:0016627 (oxidoreductase activity, acting on the CH-CH group of donors); GO:0050660 (flavin adenine dinucleotide binding); GO:0005739 (mitochondrion); GO:0005759 (mitochondrial matrix); GO:0006568 (tryptophan metabolic process); GO:0033539 (fatty acid beta-oxidation using acyl-CoA dehydrogenase); GO:0000062 (fatty-acyl-CoA binding); GO:0004361 (glutaryl-CoA dehydrogenase activity); GO:0055114 (oxidation-reduction process); GO:0046949 (fatty-acyl-CoA biosynthetic process)</t>
  </si>
  <si>
    <t xml:space="preserve">UDP-galactose/UDP-N-acetylglucosamine transporter srf-3 </t>
  </si>
  <si>
    <t>GO:0016020 (membrane); GO:0016021 (integral component of membrane); GO:0000139 (Golgi membrane); GO:0005794 (Golgi apparatus); GO:0008643 (carbohydrate transport); GO:0030173 (integral component of Golgi membrane); GO:0005459 (UDP-galactose transmembrane transporter activity); GO:0015165 (pyrimidine nucleotide-sugar transmembrane transporter activity); GO:0090481 (pyrimidine nucleotide-sugar transmembrane transport); GO:0005462 (UDP-N-acetylglucosamine transmembrane transporter activity); GO:0072334 (UDP-galactose transmembrane transport); GO:1990569 (UDP-N-acetylglucosamine transmembrane transport); GO:0048471 (perinuclear region of cytoplasm)</t>
  </si>
  <si>
    <t xml:space="preserve">Chromo-domain protein; HP1 Like (Heterochromatin protein) </t>
  </si>
  <si>
    <t>GO:0005634 (nucleus); GO:0003682 (chromatin binding); GO:0035064 (methylated histone binding); GO:0097240 (chromosome attachment to the nuclear envelope); GO:0010468 (regulation of gene expression); GO:0000793 (condensed chromosome); GO:0005637 (nuclear inner membrane); GO:0002119 (nematode larval development); GO:0040027 (negative regulation of vulval development); GO:0040010 (positive regulation of growth rate); GO:0000003 (reproduction); GO:0008406 (gonad development); GO:0007281 (germ cell development); GO:0034399 (nuclear periphery); GO:0016458 (gene silencing); GO:0045595 (regulation of cell differentiation); GO:0046580 (negative regulation of Ras protein signal transduction); GO:1900193 (regulation of oocyte maturation); GO:0000792 (heterochromatin); GO:0008355 (olfactory learning)</t>
  </si>
  <si>
    <t>Probable multifunctional protein ADE2 Phosphoribosylaminoimidazole-succinocarboxamide synthase Phosphoribosylaminoimidazole carboxylase</t>
  </si>
  <si>
    <t>GO:0004639 (phosphoribosylaminoimidazolesuccinocarboxamide synthase activity); GO:0006164 (purine nucleotide biosynthetic process); GO:0006189 ('de novo' IMP biosynthetic process)</t>
  </si>
  <si>
    <t>GO:0016020 (membrane); GO:0016021 (integral component of membrane); GO:0005737 (cytoplasm); GO:0000302 (response to reactive oxygen species); GO:0006629 (lipid metabolic process); GO:0006869 (lipid transport); GO:0005576 (extracellular region)</t>
  </si>
  <si>
    <t>GO:0003690 (double-stranded DNA binding); GO:0006281 (DNA repair); GO:0046403 (polynucleotide 3'-phosphatase activity); GO:0046404 (ATP-dependent polydeoxyribonucleotide 5'-hydroxyl-kinase activity); GO:0046939 (nucleotide phosphorylation); GO:0098506 (polynucleotide 3' dephosphorylation)</t>
  </si>
  <si>
    <t>GO:0005634 (nucleus); GO:0005730 (nucleolus); GO:0000460 (maturation of 5.8S rRNA); GO:0000470 (maturation of LSU-rRNA); GO:0030687 (preribosome, large subunit precursor)</t>
  </si>
  <si>
    <t xml:space="preserve">Spermathecal Physiology Variant </t>
  </si>
  <si>
    <t>GO:0005096 (GTPase activator activity); GO:0090630 (activation of GTPase activity); GO:0007165 (signal transduction); GO:0035556 (intracellular signal transduction)</t>
  </si>
  <si>
    <t>GO:0016020 (membrane); GO:0016021 (integral component of membrane); GO:0008289 (lipid binding); GO:0005783 (endoplasmic reticulum); GO:0006869 (lipid transport)</t>
  </si>
  <si>
    <t>GO:0005634 (nucleus); GO:0003700 (DNA-binding transcription factor activity); GO:0006355 (regulation of transcription, DNA-templated); GO:0003677 (DNA binding); GO:0005515 (protein binding); GO:0016602 (CCAAT-binding factor complex); GO:0000978 (RNA polymerase II cis-regulatory region sequence-specific DNA binding); GO:0000981 (DNA-binding transcription factor activity, RNA polymerase II-specific); GO:0006357 (regulation of transcription by RNA polymerase II); GO:0010468 (regulation of gene expression); GO:0110039 (positive regulation of nematode male tail tip morphogenesis); GO:0001217 (DNA-binding transcription repressor activity); GO:0009888 (tissue development); GO:0045892 (negative regulation of transcription, DNA-templated)</t>
  </si>
  <si>
    <t xml:space="preserve">Dolichyl-diphosphooligosaccharide--protein glycosyltransferase subunit 1 </t>
  </si>
  <si>
    <t>GO:0016020 (membrane); GO:0016021 (integral component of membrane); GO:0006486 (protein glycosylation); GO:0005783 (endoplasmic reticulum); GO:0005789 (endoplasmic reticulum membrane); GO:0018279 (protein N-linked glycosylation via asparagine); GO:0008250 (oligosaccharyltransferase complex)</t>
  </si>
  <si>
    <t xml:space="preserve">Alpha-(1,3)-fucosyltransferase fut-1 </t>
  </si>
  <si>
    <t>GO:0005634 (nucleus); GO:0003676 (nucleic acid binding); GO:0010468 (regulation of gene expression); GO:0005783 (endoplasmic reticulum)</t>
  </si>
  <si>
    <t xml:space="preserve">DEAD boX helicase homolog </t>
  </si>
  <si>
    <t>GO:0005524 (ATP binding); GO:0016787 (hydrolase activity); GO:0004386 (helicase activity); GO:0000166 (nucleotide binding); GO:0000398 (mRNA splicing, via spliceosome); GO:0003723 (RNA binding); GO:0071013 (catalytic step 2 spliceosome); GO:0003676 (nucleic acid binding); GO:0002119 (nematode larval development); GO:0005634 (nucleus); GO:0010172 (embryonic body morphogenesis); GO:0007281 (germ cell development); GO:0040021 (hermaphrodite germ-line sex determination); GO:0048589 (developmental growth); GO:0031054 (pre-miRNA processing); GO:0003724 (RNA helicase activity)</t>
  </si>
  <si>
    <t>GO:0046872 (metal ion binding); GO:0005096 (GTPase activator activity); GO:0043547 (positive regulation of GTPase activity); GO:0000139 (Golgi membrane); GO:0048205 (COPI coating of Golgi vesicle)</t>
  </si>
  <si>
    <t xml:space="preserve">G-protein regulator 2 </t>
  </si>
  <si>
    <t>GO:0030695 (GTPase regulator activity); GO:0005515 (protein binding)</t>
  </si>
  <si>
    <t xml:space="preserve">Sideroflexin-5 </t>
  </si>
  <si>
    <t>GO:0016020 (membrane); GO:0016021 (integral component of membrane); GO:0006811 (ion transport); GO:0034220 (ion transmembrane transport); GO:0055085 (transmembrane transport); GO:0005739 (mitochondrion); GO:0015075 (ion transmembrane transporter activity); GO:0006865 (amino acid transport); GO:0022857 (transmembrane transporter activity); GO:0031305 (integral component of mitochondrial inner membrane); GO:0031966 (mitochondrial membrane); GO:0003674 (molecular_function); GO:0005575 (cellular_component); GO:0008150 (biological_process); GO:1990542 (mitochondrial transmembrane transport)</t>
  </si>
  <si>
    <t>GO:0016192 (vesicle-mediated transport)</t>
  </si>
  <si>
    <t xml:space="preserve">Putative ER lumen protein-retaining receptor C28H8.4 </t>
  </si>
  <si>
    <t>GO:0016020 (membrane); GO:0016021 (integral component of membrane); GO:0015031 (protein transport); GO:0016192 (vesicle-mediated transport); GO:0005783 (endoplasmic reticulum); GO:0005789 (endoplasmic reticulum membrane); GO:0006621 (protein retention in ER lumen); GO:0046923 (ER retention sequence binding)</t>
  </si>
  <si>
    <t xml:space="preserve">ATP-dependent zinc metalloprotease YME1 homolog </t>
  </si>
  <si>
    <t>GO:0016020 (membrane); GO:0016021 (integral component of membrane); GO:0005524 (ATP binding); GO:0005743 (mitochondrial inner membrane); GO:0016787 (hydrolase activity); GO:0046872 (metal ion binding); GO:0000166 (nucleotide binding); GO:0004222 (metalloendopeptidase activity); GO:0006508 (proteolysis); GO:0008233 (peptidase activity); GO:0008237 (metallopeptidase activity); GO:0016887 (ATPase activity); GO:0005739 (mitochondrion); GO:0004176 (ATP-dependent peptidase activity); GO:0008053 (mitochondrial fusion); GO:0034982 (mitochondrial protein processing); GO:0042407 (cristae formation); GO:0065003 (protein-containing complex assembly)</t>
  </si>
  <si>
    <t>GO:0031410 (cytoplasmic vesicle); GO:0043231 (intracellular membrane-bounded organelle); GO:0005829 (cytosol); GO:0005085 (guanyl-nucleotide exchange factor activity); GO:0005515 (protein binding); GO:0050790 (regulation of catalytic activity); GO:0006897 (endocytosis); GO:0032456 (endocytic recycling); GO:1901981 (phosphatidylinositol phosphate binding); GO:0005905 (clathrin-coated pit)</t>
  </si>
  <si>
    <t xml:space="preserve">Tropomyosin isoforms a/b/d/f </t>
  </si>
  <si>
    <t>GO:0005737 (cytoplasm); GO:0006937 (regulation of muscle contraction); GO:0007015 (actin filament organization); GO:0051015 (actin filament binding); GO:0003779 (actin binding); GO:0006936 (muscle contraction); GO:0031674 (I band); GO:0005884 (actin filament); GO:0040011 (locomotion); GO:0034609 (spicule insertion); GO:0005865 (striated muscle thin filament); GO:0030835 (negative regulation of actin filament depolymerization); GO:0030833 (regulation of actin filament polymerization); GO:0043393 (regulation of protein binding); GO:0009792 (embryo development ending in birth or egg hatching)</t>
  </si>
  <si>
    <t xml:space="preserve">Lysine-specific demethylase rbr-2 </t>
  </si>
  <si>
    <t>GO:0003677 (DNA binding); GO:0005634 (nucleus); GO:0008168 (methyltransferase activity); GO:0032259 (methylation); GO:0046872 (metal ion binding); GO:0051213 (dioxygenase activity); GO:0006325 (chromatin organization); GO:0034721 (histone H3-K4 demethylation, trimethyl-H3-K4-specific); GO:0034647 (histone demethylase activity (H3-trimethyl-K4 specific))</t>
  </si>
  <si>
    <t xml:space="preserve">Protein arginine methyltransferase NDUFAF7 homolog, mitochondrial </t>
  </si>
  <si>
    <t>GO:0008168 (methyltransferase activity); GO:0032259 (methylation); GO:0016740 (transferase activity); GO:0005739 (mitochondrion); GO:0032981 (mitochondrial respiratory chain complex I assembly); GO:0035243 (protein-arginine omega-N symmetric methyltransferase activity); GO:0019918 (peptidyl-arginine methylation, to symmetrical-dimethyl arginine)</t>
  </si>
  <si>
    <t>GO:0006511 (ubiquitin-dependent protein catabolic process); GO:0016579 (protein deubiquitination); GO:0004843 (thiol-dependent ubiquitin-specific protease activity); GO:0005769 (early endosome)</t>
  </si>
  <si>
    <t xml:space="preserve">Ancient ubiquitous protein 1 homolog </t>
  </si>
  <si>
    <t>GO:0016020 (membrane); GO:0016746 (transferase activity, transferring acyl groups); GO:0050790 (regulation of catalytic activity); GO:0030433 (ubiquitin-dependent ERAD pathway); GO:0005783 (endoplasmic reticulum); GO:0005789 (endoplasmic reticulum membrane); GO:0005811 (lipid droplet); GO:0030176 (integral component of endoplasmic reticulum membrane); GO:0043130 (ubiquitin binding); GO:0000839 (Hrd1p ubiquitin ligase ERAD-L complex); GO:0097027 (ubiquitin-protein transferase activator activity)</t>
  </si>
  <si>
    <t xml:space="preserve">Facilitated glucose transporter protein 1 </t>
  </si>
  <si>
    <t>GO:0016021 (integral component of membrane); GO:0055085 (transmembrane transport); GO:0022857 (transmembrane transporter activity); GO:0016020 (membrane)</t>
  </si>
  <si>
    <t xml:space="preserve">RNA interference promoting factor RDE-1 </t>
  </si>
  <si>
    <t>GO:0003676 (nucleic acid binding); GO:0005515 (protein binding); GO:0090502 (RNA phosphodiester bond hydrolysis, endonucleolytic); GO:0017151 (DEAD/H-box RNA helicase binding); GO:0016246 (RNA interference); GO:0031048 (heterochromatin assembly by small RNA); GO:0016891 (endoribonuclease activity, producing 5'-phosphomonoesters); GO:0035197 (siRNA binding); GO:0033168 (conversion of ds siRNA to ss siRNA involved in RNA interference); GO:0016442 (RISC complex)</t>
  </si>
  <si>
    <t>GO:0000974 (Prp19 complex); GO:0071007 (U2-type catalytic step 2 spliceosome); GO:0000398 (mRNA splicing, via spliceosome); GO:0006396 (RNA processing); GO:0000245 (spliceosomal complex assembly); GO:0071014 (post-mRNA release spliceosomal complex); GO:0005515 (protein binding)</t>
  </si>
  <si>
    <t xml:space="preserve">Ubiquitin-like protease 2 </t>
  </si>
  <si>
    <t>GO:0016787 (hydrolase activity); GO:0005634 (nucleus); GO:0005737 (cytoplasm); GO:0006508 (proteolysis); GO:0008233 (peptidase activity); GO:0008234 (cysteine-type peptidase activity); GO:0007275 (multicellular organism development); GO:0005829 (cytosol); GO:0070587 (regulation of cell-cell adhesion involved in gastrulation); GO:0016926 (protein desumoylation); GO:0070140 (SUMO-specific isopeptidase activity); GO:0034334 (adherens junction maintenance)</t>
  </si>
  <si>
    <t>GO:0016020 (membrane); GO:0016021 (integral component of membrane); GO:0005794 (Golgi apparatus); GO:0016192 (vesicle-mediated transport); GO:0031902 (late endosome membrane); GO:0010008 (endosome membrane); GO:0031267 (small GTPase binding)</t>
  </si>
  <si>
    <t>GO:0005886 (plasma membrane); GO:0046872 (metal ion binding); GO:0005856 (cytoskeleton); GO:0005789 (endoplasmic reticulum membrane); GO:0005515 (protein binding); GO:0033149 (FFAT motif binding); GO:0061817 (endoplasmic reticulum-plasma membrane tethering); GO:0090158 (endoplasmic reticulum membrane organization)</t>
  </si>
  <si>
    <t xml:space="preserve">Ubiquitin carboxyl-terminal hydrolase cyk-3 </t>
  </si>
  <si>
    <t>GO:0005509 (calcium ion binding); GO:0005737 (cytoplasm); GO:0016787 (hydrolase activity); GO:0005634 (nucleus); GO:0046872 (metal ion binding); GO:0006508 (proteolysis); GO:0008233 (peptidase activity); GO:0005856 (cytoskeleton); GO:0016579 (protein deubiquitination); GO:0009792 (embryo development ending in birth or egg hatching); GO:0008234 (cysteine-type peptidase activity); GO:0005815 (microtubule organizing center); GO:0004843 (thiol-dependent ubiquitin-specific protease activity); GO:0009992 (cellular water homeostasis); GO:0030010 (establishment of cell polarity); GO:0031023 (microtubule organizing center organization); GO:1903673 (mitotic cleavage furrow formation); GO:1904785 (regulation of asymmetric protein localization involved in cell fate determination); GO:2000251 (positive regulation of actin cytoskeleton reorganization)</t>
  </si>
  <si>
    <t>GO:0000149 (SNARE binding); GO:0035493 (SNARE complex assembly); GO:0005768 (endosome); GO:0000323 (lytic vacuole); GO:0016020 (membrane); GO:0005737 (cytoplasm); GO:0015031 (protein transport); GO:0010008 (endosome membrane); GO:0032511 (late endosome to vacuole transport via multivesicular body sorting pathway)</t>
  </si>
  <si>
    <t xml:space="preserve">MIP18 family protein F45G2.10 </t>
  </si>
  <si>
    <t>GO:0005515 (protein binding); GO:0016226 (iron-sulfur cluster assembly); GO:0007059 (chromosome segregation); GO:0097361 (CIA complex); GO:0106035 (protein maturation by [4Fe-4S] cluster transfer)</t>
  </si>
  <si>
    <t>GO:0097602 (cullin family protein binding); GO:2000060 (positive regulation of ubiquitin-dependent protein catabolic process)</t>
  </si>
  <si>
    <t xml:space="preserve">Probable rRNA-processing protein EBP2 homolog </t>
  </si>
  <si>
    <t>GO:0005634 (nucleus); GO:0005730 (nucleolus); GO:0042254 (ribosome biogenesis); GO:0005515 (protein binding); GO:0034399 (nuclear periphery); GO:0006364 (rRNA processing); GO:0030687 (preribosome, large subunit precursor); GO:0042273 (ribosomal large subunit biogenesis)</t>
  </si>
  <si>
    <t xml:space="preserve">Cytoplasmic tRNA 2-thiolation protein 2 </t>
  </si>
  <si>
    <t>GO:0034227 (tRNA thio-modification); GO:0002098 (tRNA wobble uridine modification); GO:0000049 (tRNA binding)</t>
  </si>
  <si>
    <t>GO:0016020 (membrane); GO:0005783 (endoplasmic reticulum); GO:0006506 (GPI anchor biosynthetic process); GO:0000225 (N-acetylglucosaminylphosphatidylinositol deacetylase activity); GO:0016811 (hydrolase activity, acting on carbon-nitrogen (but not peptide) bonds, in linear amides)</t>
  </si>
  <si>
    <t>GO:0005634 (nucleus); GO:0007049 (cell cycle)</t>
  </si>
  <si>
    <t xml:space="preserve">Serine/threonine-protein kinase sgk-1 </t>
  </si>
  <si>
    <t>GO:0016020 (membrane); GO:0005524 (ATP binding); GO:0005886 (plasma membrane); GO:0004672 (protein kinase activity); GO:0004674 (protein serine/threonine kinase activity); GO:0006468 (protein phosphorylation); GO:0016301 (kinase activity); GO:0016310 (phosphorylation); GO:0018105 (peptidyl-serine phosphorylation); GO:0005634 (nucleus); GO:0046872 (metal ion binding); GO:0000166 (nucleotide binding); GO:0016740 (transferase activity); GO:0005737 (cytoplasm); GO:0035556 (intracellular signal transduction); GO:0007275 (multicellular organism development); GO:0005515 (protein binding); GO:0016324 (apical plasma membrane); GO:0002119 (nematode larval development); GO:0048382 (mesendoderm development); GO:1904508 (regulation of protein localization to basolateral plasma membrane); GO:0005547 (phosphatidylinositol-3,4,5-trisphosphate binding); GO:0106310 (protein serine kinase activity); GO:0106311 (protein threonine kinase activity)</t>
  </si>
  <si>
    <t xml:space="preserve">OXA mitochondrial inner membrane insertase homolog </t>
  </si>
  <si>
    <t>GO:0016020 (membrane); GO:0016021 (integral component of membrane); GO:0031305 (integral component of mitochondrial inner membrane); GO:0033617 (mitochondrial cytochrome c oxidase assembly); GO:0032977 (membrane insertase activity); GO:0032979 (protein insertion into mitochondrial inner membrane from matrix); GO:0051205 (protein insertion into membrane); GO:0005739 (mitochondrion)</t>
  </si>
  <si>
    <t xml:space="preserve">NEDD8-activating enzyme E1 catalytic subunit </t>
  </si>
  <si>
    <t>GO:0005634 (nucleus); GO:0005737 (cytoplasm); GO:0000166 (nucleotide binding); GO:0016874 (ligase activity); GO:0005524 (ATP binding); GO:0007275 (multicellular organism development); GO:0008641 (ubiquitin-like modifier activating enzyme activity); GO:0019781 (NEDD8 activating enzyme activity); GO:0045116 (protein neddylation); GO:0032446 (protein modification by small protein conjugation); GO:0043518 (negative regulation of DNA damage response, signal transduction by p53 class mediator); GO:0018215 (protein phosphopantetheinylation)</t>
  </si>
  <si>
    <t>GO:0005737 (cytoplasm); GO:0051287 (NAD binding); GO:0016620 (oxidoreductase activity, acting on the aldehyde or oxo group of donors, NAD or NADP as acceptor); GO:0051170 (import into nucleus); GO:0055114 (oxidation-reduction process)</t>
  </si>
  <si>
    <t xml:space="preserve">ATP-dependent RNA helicase laf-1 </t>
  </si>
  <si>
    <t xml:space="preserve">FLYWCH zinc finger transcription factor homolog </t>
  </si>
  <si>
    <t>GO:0045892 (negative regulation of transcription, DNA-templated); GO:0043565 (sequence-specific DNA binding); GO:0003700 (DNA-binding transcription factor activity); GO:0002119 (nematode larval development); GO:0005634 (nucleus)</t>
  </si>
  <si>
    <t xml:space="preserve">DNA-directed RNA polymerase II subunit RPB1 </t>
  </si>
  <si>
    <t>GO:0003677 (DNA binding); GO:0005634 (nucleus); GO:0046872 (metal ion binding); GO:0016740 (transferase activity); GO:0016779 (nucleotidyltransferase activity); GO:0005515 (protein binding); GO:0006366 (transcription by RNA polymerase II); GO:0006351 (transcription, DNA-templated); GO:0003899 (DNA-directed 5'-3' RNA polymerase activity); GO:0005694 (chromosome); GO:0035327 (transcriptionally active chromatin); GO:2000543 (positive regulation of gastrulation); GO:0005665 (RNA polymerase II, core complex); GO:0045893 (positive regulation of transcription, DNA-templated); GO:0001055 (); GO:0007369 (gastrulation); GO:0009792 (embryo development ending in birth or egg hatching); GO:0042789 (mRNA transcription by RNA polymerase II)</t>
  </si>
  <si>
    <t>GO:0016020 (membrane); GO:0016021 (integral component of membrane); GO:0043231 (intracellular membrane-bounded organelle); GO:0005783 (endoplasmic reticulum); GO:0005789 (endoplasmic reticulum membrane); GO:0005773 (vacuole); GO:0006624 (vacuolar protein processing)</t>
  </si>
  <si>
    <t>GO:0016020 (membrane); GO:0016021 (integral component of membrane); GO:0006886 (intracellular protein transport); GO:0016192 (vesicle-mediated transport); GO:0000149 (SNARE binding); GO:0031201 (SNARE complex); GO:0005515 (protein binding); GO:0005484 (SNAP receptor activity); GO:0006906 (vesicle fusion); GO:0012505 (endomembrane system); GO:0048278 (vesicle docking)</t>
  </si>
  <si>
    <t xml:space="preserve">Tubulin alpha-2 chain 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</si>
  <si>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GO:0009792 (embryo development ending in birth or egg hatching); GO:0008104 (protein localization); GO:0000132 (establishment of mitotic spindle orientation); GO:0032465 (regulation of cytokinesis); GO:0051642 (centrosome localization)</t>
  </si>
  <si>
    <t xml:space="preserve">Vitellogenin-5 </t>
  </si>
  <si>
    <t>GO:0016020 (membrane); GO:0006886 (intracellular protein transport); GO:0015031 (protein transport); GO:0007165 (signal transduction); GO:0030276 (clathrin binding); GO:0005768 (endosome)</t>
  </si>
  <si>
    <t xml:space="preserve">Probable uridine-cytidine kinase </t>
  </si>
  <si>
    <t>GO:0005524 (ATP binding); GO:0005737 (cytoplasm); GO:0016301 (kinase activity); GO:0016310 (phosphorylation); GO:0000166 (nucleotide binding); GO:0016740 (transferase activity); GO:0005829 (cytosol); GO:0004849 (uridine kinase activity); GO:0044206 (UMP salvage); GO:0044211 (CTP salvage)</t>
  </si>
  <si>
    <t xml:space="preserve">Putative tricarboxylate transport protein, mitochondrial </t>
  </si>
  <si>
    <t>GO:0016020 (membrane); GO:0016021 (integral component of membrane); GO:0005739 (mitochondrion); GO:0005743 (mitochondrial inner membrane); GO:0006843 (mitochondrial citrate transmembrane transport)</t>
  </si>
  <si>
    <t>GO:0005634 (nucleus); GO:0046872 (metal ion binding); GO:0071006 (U2-type catalytic step 1 spliceosome); GO:0000398 (mRNA splicing, via spliceosome); GO:0006397 (mRNA processing); GO:0008380 (RNA splicing); GO:0005681 (spliceosomal complex); GO:0000349 (generation of catalytic spliceosome for first transesterification step)</t>
  </si>
  <si>
    <t>GO:0005737 (cytoplasm); GO:0045087 (innate immune response)</t>
  </si>
  <si>
    <t>GO:0016020 (membrane); GO:0016021 (integral component of membrane); GO:0016740 (transferase activity); GO:0005789 (endoplasmic reticulum membrane)</t>
  </si>
  <si>
    <t xml:space="preserve">Arginyl-tRNA--protein transferase 1 </t>
  </si>
  <si>
    <t>GO:0005737 (cytoplasm); GO:0016740 (transferase activity); GO:0016746 (transferase activity, transferring acyl groups); GO:0004057 (arginyltransferase activity); GO:0016598 (protein arginylation)</t>
  </si>
  <si>
    <t xml:space="preserve">Calcipressin-like protein </t>
  </si>
  <si>
    <t>GO:0005634 (nucleus); GO:0005737 (cytoplasm); GO:0003676 (nucleic acid binding); GO:0005515 (protein binding); GO:0019722 (calcium-mediated signaling); GO:0008597 (calcium-dependent protein serine/threonine phosphatase regulator activity); GO:0040040 (thermosensory behavior); GO:0034606 (response to hermaphrodite contact); GO:0030346 (protein phosphatase 2B binding); GO:0034608 (vulval location); GO:0004865 (protein serine/threonine phosphatase inhibitor activity); GO:0032515 (negative regulation of phosphoprotein phosphatase activity); GO:0110039 (positive regulation of nematode male tail tip morphogenesis)</t>
  </si>
  <si>
    <t xml:space="preserve">Dynein Light Intermediate chain </t>
  </si>
  <si>
    <t>GO:0000166 (nucleotide binding); GO:0005737 (cytoplasm); GO:0005524 (ATP binding); GO:0005856 (cytoskeleton); GO:0005868 (cytoplasmic dynein complex); GO:0005874 (microtubule); GO:0030286 (dynein complex); GO:0007018 (microtubule-based movement); GO:0005813 (centrosome); GO:0000226 (microtubule cytoskeleton organization); GO:0045504 (dynein heavy chain binding); GO:1904115 (axon cytoplasm); GO:0005515 (protein binding); GO:0043005 (neuron projection); GO:0035371 (microtubule plus-end); GO:0048814 (regulation of dendrite morphogenesis); GO:0008090 (retrograde axonal transport)</t>
  </si>
  <si>
    <t xml:space="preserve">Heterogeneous nuclear ribonucleoprotein A1 </t>
  </si>
  <si>
    <t>GO:0005634 (nucleus); GO:0005737 (cytoplasm); GO:0003723 (RNA binding); GO:0003676 (nucleic acid binding); GO:0003729 (mRNA binding); GO:1990904 (ribonucleoprotein complex); GO:0005694 (chromosome); GO:0000781 (chromosome, telomeric region); GO:0031581 (hemidesmosome assembly); GO:0000398 (mRNA splicing, via spliceosome)</t>
  </si>
  <si>
    <t>GO:0003824 (catalytic activity); GO:0006596 (polyamine biosynthetic process)</t>
  </si>
  <si>
    <t xml:space="preserve">Putative succinate dehydrogenase [ubiquinone] cytochrome b small subunit, mitochondrial </t>
  </si>
  <si>
    <t>GO:0005740 (mitochondrial envelope); GO:0016021 (integral component of membrane); GO:0016020 (membrane)</t>
  </si>
  <si>
    <t xml:space="preserve">Transcription initiation factor TFIID subunit 10 </t>
  </si>
  <si>
    <t>GO:0005634 (nucleus); GO:0003743 (translation initiation factor activity); GO:0006413 (translational initiation); GO:0006352 (DNA-templated transcription, initiation); GO:0009792 (embryo development ending in birth or egg hatching); GO:0045944 (positive regulation of transcription by RNA polymerase II); GO:0009794 (regulation of mitotic cell cycle, embryonic)</t>
  </si>
  <si>
    <t xml:space="preserve">Probable voltage-dependent anion-selective channel </t>
  </si>
  <si>
    <t>GO:0016020 (membrane); GO:0016021 (integral component of membrane); GO:0006811 (ion transport); GO:0055085 (transmembrane transport); GO:0005739 (mitochondrion); GO:0015698 (inorganic anion transport); GO:0005741 (mitochondrial outer membrane); GO:0008308 (voltage-gated anion channel activity); GO:0015288 (porin activity); GO:0046930 (pore complex); GO:0098656 (anion transmembrane transport); GO:0007005 (mitochondrion organization)</t>
  </si>
  <si>
    <t xml:space="preserve">SNF chromatin remodeling Complex component </t>
  </si>
  <si>
    <t>GO:0005634 (nucleus); GO:0005515 (protein binding); GO:0003713 (transcription coactivator activity); GO:0006357 (regulation of transcription by RNA polymerase II); GO:0006338 (chromatin remodeling); GO:0003712 (transcription coregulator activity); GO:0071565 (nBAF complex); GO:0000228 (nuclear chromosome); GO:0016514 (SWI/SNF complex); GO:0035060 (brahma complex); GO:0071564 (npBAF complex); GO:0045893 (positive regulation of transcription, DNA-templated)</t>
  </si>
  <si>
    <t xml:space="preserve">Serine/threonine-protein phosphatase 2A regulatory subunit sur-6 </t>
  </si>
  <si>
    <t>GO:0005515 (protein binding); GO:0000159 (protein phosphatase type 2A complex); GO:0019888 (protein phosphatase regulator activity)</t>
  </si>
  <si>
    <t>GO:0005737 (cytoplasm); GO:0046872 (metal ion binding); GO:0008270 (zinc ion binding); GO:0016491 (oxidoreductase activity); GO:0005515 (protein binding); GO:0004022 (alcohol dehydrogenase (NAD+) activity); GO:0055120 (striated muscle dense body); GO:0055114 (oxidation-reduction process)</t>
  </si>
  <si>
    <t xml:space="preserve">Probable small nuclear ribonucleoprotein F </t>
  </si>
  <si>
    <t>GO:0005634 (nucleus); GO:0000398 (mRNA splicing, via spliceosome); GO:0003723 (RNA binding); GO:0071013 (catalytic step 2 spliceosome); GO:0005681 (spliceosomal complex); GO:0005515 (protein binding); GO:0006397 (mRNA processing); GO:0008380 (RNA splicing); GO:0000387 (spliceosomal snRNP assembly); GO:0005685 (U1 snRNP); GO:0005732 (small nucleolar ribonucleoprotein complex)</t>
  </si>
  <si>
    <t xml:space="preserve">Transmembrane protein 135 homolog </t>
  </si>
  <si>
    <t>GO:0016020 (membrane); GO:0016021 (integral component of membrane); GO:0031410 (cytoplasmic vesicle); GO:0030659 (cytoplasmic vesicle membrane); GO:0005737 (cytoplasm); GO:0005811 (lipid droplet); GO:0008340 (determination of adult lifespan); GO:0009409 (response to cold); GO:0010628 (positive regulation of gene expression); GO:0010884 (positive regulation of lipid storage); GO:0010918 (positive regulation of mitochondrial membrane potential); GO:0032094 (response to food)</t>
  </si>
  <si>
    <t>GO:0005840 (ribosome); GO:0005761 (mitochondrial ribosome)</t>
  </si>
  <si>
    <t>GO:0016020 (membrane); GO:0006886 (intracellular protein transport); GO:0015031 (protein transport); GO:0016192 (vesicle-mediated transport); GO:0043231 (intracellular membrane-bounded organelle); GO:0030131 (clathrin adaptor complex); GO:0035615 (clathrin adaptor activity); GO:0030136 (clathrin-coated vesicle); GO:0031410 (cytoplasmic vesicle); GO:0045087 (innate immune response); GO:0045176 (apical protein localization)</t>
  </si>
  <si>
    <t>GO:0016020 (membrane); GO:0016021 (integral component of membrane); GO:0005739 (mitochondrion); GO:0005743 (mitochondrial inner membrane); GO:0005747 (mitochondrial respiratory chain complex I); GO:0070469 (respirasome); GO:0008137 (NADH dehydrogenase (ubiquinone) activity); GO:0006120 (mitochondrial electron transport, NADH to ubiquinone)</t>
  </si>
  <si>
    <t xml:space="preserve">DRAP1 corepressor homolog </t>
  </si>
  <si>
    <t>GO:0005634 (nucleus); GO:0045944 (positive regulation of transcription by RNA polymerase II); GO:0046982 (protein heterodimerization activity); GO:0006366 (transcription by RNA polymerase II); GO:0003712 (transcription coregulator activity); GO:0000122 (negative regulation of transcription by RNA polymerase II); GO:0003713 (transcription coactivator activity); GO:0003714 (transcription corepressor activity); GO:0006355 (regulation of transcription, DNA-templated); GO:0017054 (negative cofactor 2 complex); GO:0001046 (core promoter sequence-specific DNA binding); GO:0016251 (RNA polymerase II general transcription initiation factor activity)</t>
  </si>
  <si>
    <t xml:space="preserve">Probable glutathione S-transferase 6 </t>
  </si>
  <si>
    <t xml:space="preserve">G protein-coupled receptor kinase 1 </t>
  </si>
  <si>
    <t>GO:0004672 (protein kinase activity); GO:0004674 (protein serine/threonine kinase activity); GO:0006468 (protein phosphorylation); GO:0004703 (G protein-coupled receptor kinase activity); GO:0007165 (signal transduction); GO:0005524 (ATP binding)</t>
  </si>
  <si>
    <t xml:space="preserve">Collagen alpha-1(IV) chain </t>
  </si>
  <si>
    <t xml:space="preserve">Eukaryotic translation initiation factor 5A-2 </t>
  </si>
  <si>
    <t>GO:0045905 (positive regulation of translational termination); GO:0045901 (positive regulation of translational elongation); GO:0043022 (ribosome binding); GO:0003746 (translation elongation factor activity); GO:0003723 (RNA binding)</t>
  </si>
  <si>
    <t xml:space="preserve">SUppressor of Tau pathology </t>
  </si>
  <si>
    <t>GO:0005515 (protein binding); GO:0005634 (nucleus); GO:0005737 (cytoplasm)</t>
  </si>
  <si>
    <t xml:space="preserve">LIM domain-containing protein unc-95 </t>
  </si>
  <si>
    <t>GO:0016020 (membrane); GO:0005886 (plasma membrane); GO:0005634 (nucleus); GO:0046872 (metal ion binding); GO:0005737 (cytoplasm); GO:0030054 (cell junction); GO:0005515 (protein binding); GO:0031430 (M band); GO:0055120 (striated muscle dense body); GO:0005925 (focal adhesion); GO:0019904 (protein domain specific binding)</t>
  </si>
  <si>
    <t xml:space="preserve">Intracellular LEctin </t>
  </si>
  <si>
    <t>GO:0016740 (transferase activity); GO:0016746 (transferase activity, transferring acyl groups); GO:0006633 (fatty acid biosynthetic process); GO:0004315 (3-oxoacyl-[acyl-carrier-protein] synthase activity)</t>
  </si>
  <si>
    <t>GO:0016279 (protein-lysine N-methyltransferase activity); GO:0018023 (peptidyl-lysine trimethylation); GO:0018026 (peptidyl-lysine monomethylation); GO:0005515 (protein binding)</t>
  </si>
  <si>
    <t xml:space="preserve">Regulation of longevity by E3 ubiquitin-protein ligase </t>
  </si>
  <si>
    <t>GO:0046872 (metal ion binding); GO:0016740 (transferase activity); GO:0000209 (protein polyubiquitination); GO:0006511 (ubiquitin-dependent protein catabolic process); GO:0061630 (ubiquitin protein ligase activity); GO:0005515 (protein binding); GO:0003729 (mRNA binding); GO:0008340 (determination of adult lifespan); GO:0009408 (response to heat); GO:0003725 (double-stranded RNA binding); GO:0010494 (cytoplasmic stress granule); GO:0000288 (nuclear-transcribed mRNA catabolic process, deadenylation-dependent decay); GO:0043161 (proteasome-mediated ubiquitin-dependent protein catabolic process); GO:0004842 (ubiquitin-protein transferase activity); GO:0043488 (regulation of mRNA stability); GO:0035613 (RNA stem-loop binding)</t>
  </si>
  <si>
    <t xml:space="preserve">Thioredoxin domain-containing protein 9 </t>
  </si>
  <si>
    <t>GO:0005634 (nucleus); GO:0005737 (cytoplasm); GO:0000226 (microtubule cytoskeleton organization)</t>
  </si>
  <si>
    <t>GO:0016192 (vesicle-mediated transport); GO:0006886 (intracellular protein transport); GO:0005198 (structural molecule activity); GO:0005783 (endoplasmic reticulum); GO:0005789 (endoplasmic reticulum membrane); GO:0006888 (endoplasmic reticulum to Golgi vesicle-mediated transport); GO:0007029 (endoplasmic reticulum organization); GO:0030127 (COPII vesicle coat); GO:0070971 (endoplasmic reticulum exit site); GO:0090110 (COPII-coated vesicle cargo loading); GO:0005515 (protein binding)</t>
  </si>
  <si>
    <t>GO:0007229 (integrin-mediated signaling pathway)</t>
  </si>
  <si>
    <t xml:space="preserve">Eukaryotic initiation factor 4A </t>
  </si>
  <si>
    <t xml:space="preserve">ITSN (Intersectin) family </t>
  </si>
  <si>
    <t>GO:0005509 (calcium ion binding); GO:0005515 (protein binding); GO:0005886 (plasma membrane); GO:0030139 (endocytic vesicle); GO:0036062 (presynaptic periactive zone); GO:1900244 (positive regulation of synaptic vesicle endocytosis)</t>
  </si>
  <si>
    <t xml:space="preserve">ATP synthase lipid-binding protein, mitochondrial </t>
  </si>
  <si>
    <t>GO:0016020 (membrane); GO:0016021 (integral component of membrane); GO:0006811 (ion transport); GO:0005739 (mitochondrion); GO:0015078 (proton transmembrane transporter activity); GO:0008289 (lipid binding); GO:0033177 (proton-transporting two-sector ATPase complex, proton-transporting domain); GO:0031966 (mitochondrial membrane); GO:1902600 (proton transmembrane transport); GO:0015986 (ATP synthesis coupled proton transport); GO:0045263 (proton-transporting ATP synthase complex, coupling factor F(o)); GO:0000276 (mitochondrial proton-transporting ATP synthase complex, coupling factor F(o))</t>
  </si>
  <si>
    <t>GO:0005525 (GTP binding); GO:0005737 (cytoplasm); GO:0000166 (nucleotide binding); GO:0003924 (GTPase activity); GO:0005874 (microtubule); GO:0007017 (microtubule-based process); GO:0005200 (structural constituent of cytoskeleton); GO:0000278 (mitotic cell cycle); GO:0000226 (microtubule cytoskeleton organization); GO:0009792 (embryo development ending in birth or egg hatching); GO:0043025 (neuronal cell body); GO:0030424 (axon); GO:0030425 (dendrite); GO:0000132 (establishment of mitotic spindle orientation); GO:0072686 (mitotic spindle); GO:0072687 (meiotic spindle); GO:0032465 (regulation of cytokinesis)</t>
  </si>
  <si>
    <t xml:space="preserve">Putative choline-phosphate cytidylyltransferase </t>
  </si>
  <si>
    <t>GO:0003824 (catalytic activity); GO:0016740 (transferase activity); GO:0016779 (nucleotidyltransferase activity); GO:0009058 (biosynthetic process); GO:0006629 (lipid metabolic process); GO:0006657 (CDP-choline pathway); GO:0031210 (phosphatidylcholine binding); GO:0008654 (phospholipid biosynthetic process); GO:0006656 (phosphatidylcholine biosynthetic process); GO:0004105 (choline-phosphate cytidylyltransferase activity)</t>
  </si>
  <si>
    <t>GO:0005840 (ribosome); GO:0005762 (mitochondrial large ribosomal subunit)</t>
  </si>
  <si>
    <t>GO:0032874 (positive regulation of stress-activated MAPK cascade); GO:0005515 (protein binding)</t>
  </si>
  <si>
    <t>GO:0004386 (helicase activity); GO:0003700 (DNA-binding transcription factor activity); GO:0005634 (nucleus); GO:0008270 (zinc ion binding); GO:0006355 (regulation of transcription, DNA-templated); GO:0016787 (hydrolase activity); GO:0046872 (metal ion binding); GO:0000166 (nucleotide binding); GO:0005737 (cytoplasm); GO:0005524 (ATP binding); GO:0003723 (RNA binding); GO:0031047 (gene silencing by RNA); GO:0031048 (heterochromatin assembly by small RNA); GO:0031380 (nuclear RNA-directed RNA polymerase complex); GO:0048471 (perinuclear region of cytoplasm); GO:0003724 (RNA helicase activity); GO:0016887 (ATPase activity)</t>
  </si>
  <si>
    <t xml:space="preserve">DNA polymerase alpha subunit B </t>
  </si>
  <si>
    <t>GO:0006260 (DNA replication); GO:0003677 (DNA binding)</t>
  </si>
  <si>
    <t xml:space="preserve">TFG related </t>
  </si>
  <si>
    <t>GO:0016192 (vesicle-mediated transport); GO:0006888 (endoplasmic reticulum to Golgi vesicle-mediated transport); GO:0005739 (mitochondrion); GO:0005783 (endoplasmic reticulum); GO:0070971 (endoplasmic reticulum exit site); GO:0048208 (COPII vesicle coating); GO:0042802 (identical protein binding); GO:0005515 (protein binding); GO:0005737 (cytoplasm); GO:0009306 (protein secretion); GO:0043066 (negative regulation of apoptotic process); GO:0040014 (regulation of multicellular organism growth); GO:0008361 (regulation of cell size); GO:0001558 (regulation of cell growth); GO:0072595 (maintenance of protein localization in organelle); GO:0005793 (endoplasmic reticulum-Golgi intermediate compartment)</t>
  </si>
  <si>
    <t xml:space="preserve">Kinase suppressor of Ras A </t>
  </si>
  <si>
    <t>GO:0004672 (protein kinase activity); GO:0035556 (intracellular signal transduction); GO:0006468 (protein phosphorylation); GO:0005524 (ATP binding)</t>
  </si>
  <si>
    <t xml:space="preserve">TRna (tRNA) Methyltransferase homolog </t>
  </si>
  <si>
    <t>GO:0008168 (methyltransferase activity); GO:0032259 (methylation); GO:0016740 (transferase activity); GO:0003676 (nucleic acid binding); GO:0003723 (RNA binding); GO:0001510 (RNA methylation); GO:0006396 (RNA processing); GO:0008173 (RNA methyltransferase activity)</t>
  </si>
  <si>
    <t>GO:0005509 (calcium ion binding); GO:0006851 (mitochondrial calcium ion transmembrane transport); GO:0036444 (calcium import into the mitochondrion); GO:0051560 (mitochondrial calcium ion homeostasis); GO:1990246 (uniplex complex)</t>
  </si>
  <si>
    <t xml:space="preserve">High mobility group protein 1.2 </t>
  </si>
  <si>
    <t xml:space="preserve">Tyrosine--tRNA ligase </t>
  </si>
  <si>
    <t>GO:0005524 (ATP binding); GO:0000166 (nucleotide binding); GO:0004812 (aminoacyl-tRNA ligase activity); GO:0006418 (tRNA aminoacylation for protein translation); GO:0016874 (ligase activity); GO:0005739 (mitochondrion); GO:0006412 (translation); GO:0005829 (cytosol); GO:0004831 (tyrosine-tRNA ligase activity); GO:0006437 (tyrosyl-tRNA aminoacylation); GO:0043039 (tRNA aminoacylation)</t>
  </si>
  <si>
    <t>GO:0016020 (membrane); GO:0016021 (integral component of membrane); GO:0016787 (hydrolase activity); GO:0003993 (acid phosphatase activity); GO:0016311 (dephosphorylation); GO:0008198 (ferrous iron binding); GO:0008199 (ferric iron binding)</t>
  </si>
  <si>
    <t xml:space="preserve">Cell adhesion protein byn-1 </t>
  </si>
  <si>
    <t>GO:0005829 (cytosol); GO:0016491 (oxidoreductase activity); GO:0003730 (mRNA 3'-UTR binding); GO:0003960 (NADPH:quinone reductase activity); GO:0070402 (NADPH binding); GO:0055114 (oxidation-reduction process)</t>
  </si>
  <si>
    <t>GO:1990112 (RQC complex)</t>
  </si>
  <si>
    <t xml:space="preserve">DihydroUridine Synthase two homolog </t>
  </si>
  <si>
    <t>GO:0005737 (cytoplasm); GO:0003824 (catalytic activity); GO:0016491 (oxidoreductase activity); GO:0050660 (flavin adenine dinucleotide binding); GO:0008033 (tRNA processing); GO:0017150 (tRNA dihydrouridine synthase activity); GO:0055114 (oxidation-reduction process); GO:0002943 (tRNA dihydrouridine synthesis)</t>
  </si>
  <si>
    <t xml:space="preserve">Nucleoside-diphosphatase mig-23 </t>
  </si>
  <si>
    <t>GO:0016020 (membrane); GO:0016021 (integral component of membrane); GO:0005739 (mitochondrion); GO:0005737 (cytoplasm); GO:0097250 (mitochondrial respirasome assembly)</t>
  </si>
  <si>
    <t xml:space="preserve">SeQueSTosome related </t>
  </si>
  <si>
    <t>GO:0046872 (metal ion binding); GO:0008270 (zinc ion binding); GO:0000423 (mitophagy); GO:0005080 (protein kinase C binding); GO:0007032 (endosome organization); GO:0016235 (aggresome); GO:0035973 (aggrephagy); GO:0044753 (amphisome); GO:0070530 (K63-linked polyubiquitin modification-dependent protein binding); GO:0005515 (protein binding); GO:0005737 (cytoplasm)</t>
  </si>
  <si>
    <t xml:space="preserve">Xanthine DeHydrogenase homolog </t>
  </si>
  <si>
    <t>GO:0046872 (metal ion binding); GO:0016491 (oxidoreductase activity); GO:0009055 (electron transfer activity); GO:0022900 (electron transport chain); GO:0050660 (flavin adenine dinucleotide binding); GO:0005506 (iron ion binding); GO:0051536 (iron-sulfur cluster binding); GO:0051537 (2 iron, 2 sulfur cluster binding); GO:0071949 (FAD binding); GO:0005777 (peroxisome); GO:0004854 (xanthine dehydrogenase activity); GO:0004855 (xanthine oxidase activity); GO:0055114 (oxidation-reduction process)</t>
  </si>
  <si>
    <t>GO:0016020 (membrane); GO:0016021 (integral component of membrane); GO:0005747 (mitochondrial respiratory chain complex I); GO:0006120 (mitochondrial electron transport, NADH to ubiquinone)</t>
  </si>
  <si>
    <t>GO:0003743 (translation initiation factor activity); GO:0005737 (cytoplasm); GO:0005852 (eukaryotic translation initiation factor 3 complex); GO:0006413 (translational initiation)</t>
  </si>
  <si>
    <t xml:space="preserve">Fumarylacetoacetate hydrolase domain-containing protein 1 </t>
  </si>
  <si>
    <t xml:space="preserve">PMS (Post Meiotic Segregation) family </t>
  </si>
  <si>
    <t>GO:0005524 (ATP binding); GO:0006298 (mismatch repair); GO:0030983 (mismatched DNA binding); GO:0016887 (ATPase activity); GO:0005515 (protein binding); GO:0006974 (cellular response to DNA damage stimulus); GO:0032300 (mismatch repair complex); GO:0032389 (MutLalpha complex)</t>
  </si>
  <si>
    <t xml:space="preserve">Probable electron transfer flavoprotein subunit alpha, mitochondrial </t>
  </si>
  <si>
    <t>GO:0005739 (mitochondrion); GO:0009055 (electron transfer activity); GO:0022900 (electron transport chain); GO:0050660 (flavin adenine dinucleotide binding); GO:0005759 (mitochondrial matrix); GO:0033539 (fatty acid beta-oxidation using acyl-CoA dehydrogenase)</t>
  </si>
  <si>
    <t>GO:0016020 (membrane); GO:0016021 (integral component of membrane); GO:0005783 (endoplasmic reticulum); GO:0007029 (endoplasmic reticulum organization)</t>
  </si>
  <si>
    <t xml:space="preserve">Acyl carrier protein </t>
  </si>
  <si>
    <t>GO:0005739 (mitochondrion); GO:0006629 (lipid metabolic process); GO:0006633 (fatty acid biosynthetic process); GO:0006631 (fatty acid metabolic process); GO:0005747 (mitochondrial respiratory chain complex I); GO:0000035 (acyl binding); GO:0000036 (acyl carrier activity)</t>
  </si>
  <si>
    <t xml:space="preserve">MICOS complex subunit Mic10 </t>
  </si>
  <si>
    <t>GO:0016020 (membrane); GO:0016021 (integral component of membrane); GO:0005739 (mitochondrion); GO:0005743 (mitochondrial inner membrane); GO:0061617 (MICOS complex)</t>
  </si>
  <si>
    <t xml:space="preserve">Glutathione S-transferase P </t>
  </si>
  <si>
    <t xml:space="preserve">Cytoplasmic FMR1-interacting protein homolog </t>
  </si>
  <si>
    <t>GO:0030833 (regulation of actin filament polymerization)</t>
  </si>
  <si>
    <t xml:space="preserve">ZiNc Finger protein homolog </t>
  </si>
  <si>
    <t>GO:0005634 (nucleus); GO:0003677 (DNA binding); GO:0046872 (metal ion binding); GO:0000776 (kinetochore); GO:0008017 (microtubule binding); GO:0090307 (mitotic spindle assembly); GO:0007094 (mitotic spindle assembly checkpoint); GO:0008608 (attachment of spindle microtubules to kinetochore); GO:1990047 (spindle matrix)</t>
  </si>
  <si>
    <t>GO:0008013 (beta-catenin binding)</t>
  </si>
  <si>
    <t xml:space="preserve">Uncharacterized oxidoreductase F53C11.3 </t>
  </si>
  <si>
    <t xml:space="preserve">60S ribosomal protein L23a 1 </t>
  </si>
  <si>
    <t>GO:0005840 (ribosome); GO:0006412 (translation); GO:0003735 (structural constituent of ribosome)</t>
  </si>
  <si>
    <t>GO:0003735 (structural constituent of ribosome); GO:0005840 (ribosome); GO:0005762 (mitochondrial large ribosomal subunit); GO:0006412 (translation); GO:0005739 (mitochondrion)</t>
  </si>
  <si>
    <t>GO:0005524 (ATP binding); GO:0046872 (metal ion binding); GO:0005829 (cytosol); GO:0006457 (protein folding); GO:0051082 (unfolded protein binding); GO:0009408 (response to heat); GO:0031072 (heat shock protein binding); GO:0030544 (Hsp70 protein binding)</t>
  </si>
  <si>
    <t xml:space="preserve">Slit homolog 1 protein </t>
  </si>
  <si>
    <t>GO:0005509 (calcium ion binding); GO:0005576 (extracellular region); GO:0007275 (multicellular organism development); GO:0007411 (axon guidance); GO:0008201 (heparin binding); GO:0097374 (sensory neuron axon guidance); GO:1905489 (regulation of sensory neuron axon guidance); GO:0016199 (axon midline choice point recognition); GO:0005102 (signaling receptor binding); GO:0001764 (neuron migration); GO:0033563 (dorsal/ventral axon guidance); GO:0048495 (Roundabout binding); GO:0048843 (negative regulation of axon extension involved in axon guidance); GO:0005515 (protein binding)</t>
  </si>
  <si>
    <t xml:space="preserve">TBP-like factor </t>
  </si>
  <si>
    <t>GO:0006352 (DNA-templated transcription, initiation); GO:0003677 (DNA binding); GO:0005634 (nucleus); GO:0000785 (chromatin); GO:0045944 (positive regulation of transcription by RNA polymerase II); GO:0009792 (embryo development ending in birth or egg hatching); GO:0000122 (negative regulation of transcription by RNA polymerase II); GO:0001934 (positive regulation of protein phosphorylation); GO:0140223 (general transcription initiation factor activity)</t>
  </si>
  <si>
    <t xml:space="preserve">Mitochondrial import receptor subunit TOM20 homolog </t>
  </si>
  <si>
    <t>GO:0016020 (membrane); GO:0016021 (integral component of membrane); GO:0006886 (intracellular protein transport); GO:0015031 (protein transport); GO:0005739 (mitochondrion); GO:0005515 (protein binding); GO:0030150 (protein import into mitochondrial matrix); GO:0008320 (protein transmembrane transporter activity); GO:0005741 (mitochondrial outer membrane); GO:0031307 (integral component of mitochondrial outer membrane); GO:0005742 (mitochondrial outer membrane translocase complex); GO:0006605 (protein targeting); GO:0016031 (tRNA import into mitochondrion); GO:0030943 (mitochondrion targeting sequence binding)</t>
  </si>
  <si>
    <t>GO:0016020 (membrane); GO:0016021 (integral component of membrane); GO:0005737 (cytoplasm); GO:0006886 (intracellular protein transport); GO:0005783 (endoplasmic reticulum); GO:0030176 (integral component of endoplasmic reticulum membrane); GO:0015035 (protein disulfide oxidoreductase activity)</t>
  </si>
  <si>
    <t>GO:0016020 (membrane); GO:0016021 (integral component of membrane); GO:0005789 (endoplasmic reticulum membrane)</t>
  </si>
  <si>
    <t xml:space="preserve">Structural maintenance of chromosomes protein 3 </t>
  </si>
  <si>
    <t>GO:0005524 (ATP binding); GO:0005634 (nucleus); GO:0005694 (chromosome); GO:0016887 (ATPase activity); GO:0007049 (cell cycle); GO:0051301 (cell division); GO:0006281 (DNA repair); GO:0006974 (cellular response to DNA damage stimulus); GO:0051276 (chromosome organization); GO:0000785 (chromatin); GO:0008278 (cohesin complex); GO:0005515 (protein binding)</t>
  </si>
  <si>
    <t xml:space="preserve">Ribosome biogenesis protein WDR12 homolog </t>
  </si>
  <si>
    <t>GO:0005634 (nucleus); GO:0005730 (nucleolus); GO:0006364 (rRNA processing); GO:0042254 (ribosome biogenesis); GO:0030687 (preribosome, large subunit precursor); GO:0005654 (nucleoplasm); GO:0042273 (ribosomal large subunit biogenesis); GO:0000463 (maturation of LSU-rRNA from tricistronic rRNA transcript (SSU-rRNA, 5.8S rRNA, LSU-rRNA)); GO:0000466 (maturation of 5.8S rRNA from tricistronic rRNA transcript (SSU-rRNA, 5.8S rRNA, LSU-rRNA)); GO:0043021 (ribonucleoprotein complex binding); GO:0070545 (PeBoW complex); GO:0005515 (protein binding)</t>
  </si>
  <si>
    <t>GO:0016020 (membrane); GO:0005794 (Golgi apparatus); GO:0007030 (Golgi organization); GO:0005515 (protein binding)</t>
  </si>
  <si>
    <t xml:space="preserve">Inosine triphosphate pyrophosphatase </t>
  </si>
  <si>
    <t>GO:0009143 (nucleoside triphosphate catabolic process); GO:0047429 (nucleoside-triphosphate diphosphatase activity)</t>
  </si>
  <si>
    <t xml:space="preserve">Eukaryotic translation initiation factor 3 subunit F </t>
  </si>
  <si>
    <t>GO:0031369 (translation initiation factor binding); GO:0005852 (eukaryotic translation initiation factor 3 complex); GO:0006413 (translational initiation); GO:0003743 (translation initiation factor activity); GO:0070122 (isopeptidase activity); GO:0008237 (metallopeptidase activity); GO:0005515 (protein binding)</t>
  </si>
  <si>
    <t xml:space="preserve">AuTophaGy (Yeast Atg homolog) </t>
  </si>
  <si>
    <t>GO:0005737 (cytoplasm); GO:0015031 (protein transport); GO:0008641 (ubiquitin-like modifier activating enzyme activity); GO:0032446 (protein modification by small protein conjugation); GO:0006914 (autophagy); GO:0000045 (autophagosome assembly); GO:0000422 (autophagy of mitochondrion); GO:0000407 (phagophore assembly site); GO:0006501 (C-terminal protein lipidation); GO:0006995 (cellular response to nitrogen starvation); GO:0019778 (Atg12 activating enzyme activity); GO:0019779 (Atg8 activating enzyme activity); GO:0034727 (piecemeal microautophagy of the nucleus); GO:0044805 (late nucleophagy); GO:2000786 (positive regulation of autophagosome assembly); GO:0009792 (embryo development ending in birth or egg hatching); GO:0008340 (determination of adult lifespan); GO:0040024 (dauer larval development); GO:0030163 (protein catabolic process); GO:0018215 (protein phosphopantetheinylation)</t>
  </si>
  <si>
    <t xml:space="preserve">Probable pre-mRNA-splicing factor ATP-dependent RNA helicase mog-1 </t>
  </si>
  <si>
    <t>GO:0000815 (ESCRT III complex); GO:0005771 (multivesicular body); GO:0007034 (vacuolar transport); GO:0032511 (late endosome to vacuole transport via multivesicular body sorting pathway); GO:0006900 (vesicle budding from membrane); GO:0045121 (membrane raft); GO:0010008 (endosome membrane); GO:0009898 (cytoplasmic side of plasma membrane)</t>
  </si>
  <si>
    <t xml:space="preserve">Transmembrane protein 258 </t>
  </si>
  <si>
    <t>GO:0016020 (membrane); GO:0016021 (integral component of membrane); GO:0032991 (protein-containing complex); GO:0006487 (protein N-linked glycosylation); GO:0043227 (membrane-bounded organelle); GO:0034998 (oligosaccharyltransferase I complex)</t>
  </si>
  <si>
    <t xml:space="preserve">FErroChelatase-Like </t>
  </si>
  <si>
    <t>GO:0005739 (mitochondrion); GO:0004325 (ferrochelatase activity); GO:0006783 (heme biosynthetic process)</t>
  </si>
  <si>
    <t xml:space="preserve">G-protein coupled receptor seb-2 </t>
  </si>
  <si>
    <t>GO:0016020 (membrane); GO:0016021 (integral component of membrane); GO:0004888 (transmembrane signaling receptor activity); GO:0005886 (plasma membrane); GO:0004930 (G protein-coupled receptor activity); GO:0007165 (signal transduction); GO:0007186 (G protein-coupled receptor signaling pathway); GO:0007166 (cell surface receptor signaling pathway); GO:0007275 (multicellular organism development); GO:0007188 (adenylate cyclase-modulating G protein-coupled receptor signaling pathway); GO:0008528 (G protein-coupled peptide receptor activity)</t>
  </si>
  <si>
    <t xml:space="preserve">Transmembrane receptor </t>
  </si>
  <si>
    <t>GO:0016020 (membrane); GO:0016021 (integral component of membrane); GO:0004888 (transmembrane signaling receptor activity); GO:0005615 (extracellular space); GO:0007166 (cell surface receptor signaling pathway); GO:0017147 (Wnt-protein binding); GO:0060070 (canonical Wnt signaling pathway); GO:0016055 (Wnt signaling pathway); GO:0090090 (negative regulation of canonical Wnt signaling pathway); GO:0097402 (neuroblast migration); GO:0097475 (motor neuron migration); GO:1904937 (sensory neuron migration); GO:0042813 (Wnt-activated receptor activity); GO:0030334 (regulation of cell migration); GO:0005515 (protein binding); GO:1905485 (positive regulation of motor neuron migration); GO:1905488 (positive regulation of anterior/posterior axon guidance); GO:1905491 (positive regulation of sensory neuron axon guidance)</t>
  </si>
  <si>
    <t xml:space="preserve">NADH dehydrogenase [ubiquinone] 1 alpha subcomplex subunit 8 </t>
  </si>
  <si>
    <t>GO:0016020 (membrane); GO:0005739 (mitochondrion); GO:0005743 (mitochondrial inner membrane); GO:0005747 (mitochondrial respiratory chain complex I); GO:0070469 (respirasome); GO:0006120 (mitochondrial electron transport, NADH to ubiquinone); GO:0032981 (mitochondrial respiratory chain complex I assembly)</t>
  </si>
  <si>
    <t>GO:0016020 (membrane); GO:0016021 (integral component of membrane); GO:0006811 (ion transport); GO:0055085 (transmembrane transport); GO:0071805 (potassium ion transmembrane transport); GO:0005794 (Golgi apparatus); GO:0006812 (cation transport); GO:0098656 (anion transmembrane transport); GO:1902600 (proton transmembrane transport); GO:0006814 (sodium ion transport); GO:0035725 (sodium ion transmembrane transport); GO:0051453 (regulation of intracellular pH); GO:0006885 (regulation of pH); GO:0015297 (antiporter activity); GO:0015299 (solute:proton antiporter activity); GO:0015385 (sodium:proton antiporter activity); GO:0015386 (potassium:proton antiporter activity)</t>
  </si>
  <si>
    <t xml:space="preserve">UNC-45 </t>
  </si>
  <si>
    <t>GO:0007275 (multicellular organism development); GO:0005515 (protein binding); GO:0030154 (cell differentiation); GO:0061077 (chaperone-mediated protein folding); GO:0042802 (identical protein binding); GO:0051879 (Hsp90 protein binding); GO:0007517 (muscle organ development); GO:0009792 (embryo development ending in birth or egg hatching); GO:0005886 (plasma membrane); GO:0018991 (oviposition); GO:0005938 (cell cortex); GO:0040011 (locomotion); GO:0032154 (cleavage furrow); GO:0031625 (ubiquitin protein ligase binding); GO:0045214 (sarcomere organization)</t>
  </si>
  <si>
    <t>GO:0005509 (calcium ion binding); GO:0000159 (protein phosphatase type 2A complex); GO:0006470 (protein dephosphorylation); GO:0019888 (protein phosphatase regulator activity); GO:0043666 (regulation of phosphoprotein phosphatase activity); GO:0005515 (protein binding)</t>
  </si>
  <si>
    <t xml:space="preserve">Suppressor of Ectopic Unc-5 </t>
  </si>
  <si>
    <t>GO:0005634 (nucleus); GO:0040011 (locomotion); GO:0033563 (dorsal/ventral axon guidance)</t>
  </si>
  <si>
    <t>GO:0005840 (ribosome); GO:0005762 (mitochondrial large ribosomal subunit); GO:0003735 (structural constituent of ribosome); GO:0006412 (translation); GO:0015934 (large ribosomal subunit); GO:0042254 (ribosome biogenesis)</t>
  </si>
  <si>
    <t>GO:0016020 (membrane); GO:0016021 (integral component of membrane); GO:0030016 (myofibril)</t>
  </si>
  <si>
    <t>GO:0005524 (ATP binding); GO:0004672 (protein kinase activity); GO:0006468 (protein phosphorylation); GO:0016301 (kinase activity); GO:0016310 (phosphorylation); GO:0000166 (nucleotide binding); GO:0004674 (protein serine/threonine kinase activity); GO:0000187 (activation of MAPK activity); GO:0004708 (MAP kinase kinase activity); GO:0007257 (activation of JUN kinase activity); GO:0008545 (JUN kinase kinase activity)</t>
  </si>
  <si>
    <t xml:space="preserve">RIN (Ras/Rab INteractor) homolog </t>
  </si>
  <si>
    <t>GO:0005096 (GTPase activator activity); GO:0043547 (positive regulation of GTPase activity); GO:0005737 (cytoplasm); GO:0001764 (neuron migration); GO:0033563 (dorsal/ventral axon guidance); GO:0051020 (GTPase binding); GO:0030175 (filopodium); GO:0071944 (cell periphery)</t>
  </si>
  <si>
    <t xml:space="preserve">Myosin-2 essential light chain </t>
  </si>
  <si>
    <t>GO:0016020 (membrane); GO:0016021 (integral component of membrane); GO:0005783 (endoplasmic reticulum); GO:0005789 (endoplasmic reticulum membrane); GO:0072546 (ER membrane protein complex); GO:0000045 (autophagosome assembly)</t>
  </si>
  <si>
    <t xml:space="preserve">Cub (CUB) Like Domain containing protein </t>
  </si>
  <si>
    <t xml:space="preserve">Cyclin-dependent kinase 17 </t>
  </si>
  <si>
    <t>GO:0005525 (GTP binding); GO:0005886 (plasma membrane); GO:0003924 (GTPase activity); GO:0005515 (protein binding); GO:0055038 (recycling endosome membrane); GO:0032456 (endocytic recycling); GO:0010008 (endosome membrane); GO:0032794 (GTPase activating protein binding); GO:0071532 (ankyrin repeat binding); GO:0032482 (Rab protein signal transduction); GO:0005769 (early endosome)</t>
  </si>
  <si>
    <t xml:space="preserve">Ribosome assembly factor mrt4 </t>
  </si>
  <si>
    <t>GO:0005634 (nucleus); GO:0005737 (cytoplasm); GO:0005730 (nucleolus); GO:0042254 (ribosome biogenesis); GO:0006364 (rRNA processing); GO:0030687 (preribosome, large subunit precursor); GO:0042273 (ribosomal large subunit biogenesis); GO:0000027 (ribosomal large subunit assembly); GO:0000956 (nuclear-transcribed mRNA catabolic process)</t>
  </si>
  <si>
    <t xml:space="preserve">Sodium/potassium-transporting ATPase subunit alpha </t>
  </si>
  <si>
    <t>GO:0016020 (membrane); GO:0016021 (integral component of membrane); GO:0005524 (ATP binding); GO:0006811 (ion transport); GO:0000166 (nucleotide binding); GO:0046872 (metal ion binding); GO:0016887 (ATPase activity); GO:0006813 (potassium ion transport); GO:1990573 (potassium ion import across plasma membrane); GO:0005391 (sodium:potassium-exchanging ATPase activity); GO:0006883 (cellular sodium ion homeostasis); GO:0030007 (cellular potassium ion homeostasis); GO:0036376 (sodium ion export across plasma membrane); GO:0008556 (potassium transmembrane transporter activity, phosphorylative mechanism); GO:0005886 (plasma membrane); GO:0000003 (reproduction); GO:0001508 (action potential); GO:0006814 (sodium ion transport); GO:0006937 (regulation of muscle contraction); GO:0010248 (establishment or maintenance of transmembrane electrochemical gradient); GO:0042391 (regulation of membrane potential); GO:1902600 (proton transmembrane transport)</t>
  </si>
  <si>
    <t xml:space="preserve">Lateral signaling target protein 2 </t>
  </si>
  <si>
    <t xml:space="preserve">Ras and EF-hand domain-containing protein homolog </t>
  </si>
  <si>
    <t>GO:0005509 (calcium ion binding); GO:0005525 (GTP binding); GO:0046872 (metal ion binding); GO:0000166 (nucleotide binding); GO:0003924 (GTPase activity); GO:0005737 (cytoplasm); GO:0048471 (perinuclear region of cytoplasm)</t>
  </si>
  <si>
    <t xml:space="preserve">Eukaryotic translation initiation factor 3 subunit G </t>
  </si>
  <si>
    <t>GO:0005852 (eukaryotic translation initiation factor 3 complex); GO:0003743 (translation initiation factor activity); GO:0003676 (nucleic acid binding); GO:0005737 (cytoplasm)</t>
  </si>
  <si>
    <t xml:space="preserve">Serine/threonine-protein phosphatase PP1-alpha </t>
  </si>
  <si>
    <t>GO:0070072 (vacuolar proton-transporting V-type ATPase complex assembly); GO:0051082 (unfolded protein binding); GO:0042406 (extrinsic component of endoplasmic reticulum membrane); GO:0005783 (endoplasmic reticulum)</t>
  </si>
  <si>
    <t xml:space="preserve">Peptide-methionine (R)-S-oxide reductase </t>
  </si>
  <si>
    <t>GO:0005737 (cytoplasm); GO:0046872 (metal ion binding); GO:0016491 (oxidoreductase activity); GO:0006979 (response to oxidative stress); GO:0016671 (oxidoreductase activity, acting on a sulfur group of donors, disulfide as acceptor); GO:0030091 (protein repair); GO:0033743 (peptide-methionine (R)-S-oxide reductase activity); GO:0055114 (oxidation-reduction process)</t>
  </si>
  <si>
    <t xml:space="preserve">Nudix hydrolase 3 </t>
  </si>
  <si>
    <t>GO:0016787 (hydrolase activity); GO:0009132 (nucleoside diphosphate metabolic process); GO:0030145 (manganese ion binding); GO:0016818 (hydrolase activity, acting on acid anhydrides, in phosphorus-containing anhydrides); GO:0000287 (magnesium ion binding)</t>
  </si>
  <si>
    <t>GO:0046872 (metal ion binding); GO:0001725 (stress fiber); GO:0019904 (protein domain specific binding); GO:0031430 (M band); GO:0016460 (myosin II complex); GO:0032034 (myosin II head/neck binding); GO:0051496 (positive regulation of stress fiber assembly); GO:0051893 (regulation of focal adhesion assembly); GO:0005515 (protein binding)</t>
  </si>
  <si>
    <t xml:space="preserve">6-phosphogluconate dehydrogenase, decarboxylating </t>
  </si>
  <si>
    <t>GO:0016491 (oxidoreductase activity); GO:0005829 (cytosol); GO:0050661 (NADP binding); GO:0010629 (negative regulation of gene expression); GO:0050829 (defense response to Gram-negative bacterium); GO:0006098 (pentose-phosphate shunt); GO:0009051 (pentose-phosphate shunt, oxidative branch); GO:0046177 (D-gluconate catabolic process); GO:0004616 (phosphogluconate dehydrogenase (decarboxylating) activity); GO:0019521 (D-gluconate metabolic process); GO:0055114 (oxidation-reduction process)</t>
  </si>
  <si>
    <t xml:space="preserve">DICE1 (Deleted In Cancer) homolog </t>
  </si>
  <si>
    <t xml:space="preserve">Ectopic P granules protein 5 </t>
  </si>
  <si>
    <t xml:space="preserve">RNA interference defective protein 10 </t>
  </si>
  <si>
    <t>GO:0031047 (gene silencing by RNA); GO:0006417 (regulation of translation); GO:0060964 (regulation of gene silencing by miRNA)</t>
  </si>
  <si>
    <t xml:space="preserve">DYnein Chain, light Intermediate </t>
  </si>
  <si>
    <t>GO:0005868 (cytoplasmic dynein complex); GO:0005515 (protein binding); GO:0007018 (microtubule-based movement); GO:0045504 (dynein heavy chain binding); GO:0045503 (dynein light chain binding); GO:0010970 (transport along microtubule)</t>
  </si>
  <si>
    <t>GO:0034511 (U3 snoRNA binding); GO:0006364 (rRNA processing); GO:0005515 (protein binding)</t>
  </si>
  <si>
    <t>GO:0023052 (signaling); GO:0099572 (postsynaptic specialization); GO:0098978 (glutamatergic synapse); GO:0060090 (molecular adaptor activity); GO:0098962 (regulation of postsynaptic neurotransmitter receptor activity)</t>
  </si>
  <si>
    <t xml:space="preserve">Innexin-7 </t>
  </si>
  <si>
    <t xml:space="preserve">ParaPleGiN AAA protease family; Paraplegin </t>
  </si>
  <si>
    <t>GO:0016020 (membrane); GO:0016021 (integral component of membrane); GO:0005524 (ATP binding); GO:0005743 (mitochondrial inner membrane); GO:0016787 (hydrolase activity); GO:0004222 (metalloendopeptidase activity); GO:0006508 (proteolysis); GO:0008233 (peptidase activity); GO:0008237 (metallopeptidase activity); GO:0016887 (ATPase activity); GO:0004176 (ATP-dependent peptidase activity); GO:0008053 (mitochondrial fusion); GO:0034982 (mitochondrial protein processing); GO:0042407 (cristae formation); GO:0065003 (protein-containing complex assembly)</t>
  </si>
  <si>
    <t>GO:0005634 (nucleus); GO:0005737 (cytoplasm); GO:0006886 (intracellular protein transport); GO:0005096 (GTPase activator activity); GO:0043547 (positive regulation of GTPase activity); GO:0005829 (cytosol); GO:0007264 (small GTPase mediated signal transduction); GO:0016192 (vesicle-mediated transport); GO:0050790 (regulation of catalytic activity); GO:0015031 (protein transport); GO:0018344 (protein geranylgeranylation); GO:0005092 (GDP-dissociation inhibitor activity); GO:0005093 (Rab GDP-dissociation inhibitor activity); GO:0005968 (Rab-protein geranylgeranyltransferase complex)</t>
  </si>
  <si>
    <t>GO:0005634 (nucleus); GO:0003723 (RNA binding); GO:0005730 (nucleolus); GO:0006364 (rRNA processing)</t>
  </si>
  <si>
    <t xml:space="preserve">Acyl-CoA:DiacylGlycerol AcylTransferase </t>
  </si>
  <si>
    <t>GO:0016020 (membrane); GO:0016021 (integral component of membrane); GO:0016740 (transferase activity); GO:0016746 (transferase activity, transferring acyl groups); GO:0016747 (transferase activity, transferring acyl groups other than amino-acyl groups); GO:0005789 (endoplasmic reticulum membrane); GO:0005783 (endoplasmic reticulum); GO:0006629 (lipid metabolic process); GO:0004144 (diacylglycerol O-acyltransferase activity); GO:0019432 (triglyceride biosynthetic process); GO:0005811 (lipid droplet); GO:0008374 (O-acyltransferase activity)</t>
  </si>
  <si>
    <t>GO:0016020 (membrane); GO:0016021 (integral component of membrane); GO:0005524 (ATP binding); GO:0042626 (ATPase-coupled transmembrane transporter activity); GO:0000166 (nucleotide binding); GO:0055085 (transmembrane transport); GO:0008559 (ATPase-coupled xenobiotic transmembrane transporter activity); GO:0042908 (xenobiotic transport); GO:0016887 (ATPase activity)</t>
  </si>
  <si>
    <t xml:space="preserve">Transmembrane protein 41 homolog </t>
  </si>
  <si>
    <t xml:space="preserve">UV-stimulated scaffold protein A homolog </t>
  </si>
  <si>
    <t>GO:0006281 (DNA repair); GO:0006974 (cellular response to DNA damage stimulus); GO:0000993 (RNA polymerase II complex binding); GO:0005694 (chromosome); GO:0009411 (response to UV); GO:0006283 (transcription-coupled nucleotide-excision repair)</t>
  </si>
  <si>
    <t>GO:0005682 (U5 snRNP); GO:0005515 (protein binding); GO:0005737 (cytoplasm); GO:0005654 (nucleoplasm); GO:2000738 (positive regulation of stem cell differentiation)</t>
  </si>
  <si>
    <t xml:space="preserve">Signal recognition particle subunit SRP72 </t>
  </si>
  <si>
    <t>GO:0005737 (cytoplasm); GO:0043022 (ribosome binding); GO:0006614 (SRP-dependent cotranslational protein targeting to membrane); GO:0005786 (signal recognition particle, endoplasmic reticulum targeting); GO:0008312 (7S RNA binding); GO:0048500 (signal recognition particle); GO:0005515 (protein binding)</t>
  </si>
  <si>
    <t xml:space="preserve">Metaxin-2 homolog </t>
  </si>
  <si>
    <t xml:space="preserve">Homeobox protein unc-4 </t>
  </si>
  <si>
    <t>GO:0003677 (DNA binding); GO:0005634 (nucleus); GO:0006355 (regulation of transcription, DNA-templated); GO:0007275 (multicellular organism development); GO:0000977 (RNA polymerase II transcription regulatory region sequence-specific DNA binding); GO:0000981 (DNA-binding transcription factor activity, RNA polymerase II-specific); GO:0006357 (regulation of transcription by RNA polymerase II); GO:0003700 (DNA-binding transcription factor activity); GO:0007399 (nervous system development); GO:0030154 (cell differentiation); GO:0008039 (synaptic target recognition); GO:0048489 (synaptic vesicle transport); GO:0040011 (locomotion); GO:0030424 (axon); GO:0007416 (synapse assembly); GO:0050770 (regulation of axonogenesis); GO:0050803 (regulation of synapse structure or activity); GO:0007400 (neuroblast fate determination)</t>
  </si>
  <si>
    <t xml:space="preserve">GLH-binding kinase 1 </t>
  </si>
  <si>
    <t>GO:0005737 (cytoplasm); GO:0120009 (intermembrane lipid transfer); GO:0120013 (lipid transfer activity)</t>
  </si>
  <si>
    <t>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GO:0006888 (endoplasmic reticulum to Golgi vesicle-mediated transport); GO:0012505 (endomembrane system)</t>
  </si>
  <si>
    <t xml:space="preserve">LEPtoderan male tail </t>
  </si>
  <si>
    <t>GO:0016567 (protein ubiquitination); GO:0046872 (metal ion binding); GO:0016740 (transferase activity); GO:0061630 (ubiquitin protein ligase activity); GO:0005737 (cytoplasm); GO:0003723 (RNA binding); GO:0030154 (cell differentiation); GO:0007548 (sex differentiation)</t>
  </si>
  <si>
    <t>GO:0003824 (catalytic activity); GO:0005829 (cytosol); GO:0016829 (lyase activity); GO:0006520 (cellular amino acid metabolic process); GO:0006567 (threonine catabolic process); GO:0006545 (glycine biosynthetic process); GO:0008732 (L-allo-threonine aldolase activity)</t>
  </si>
  <si>
    <t xml:space="preserve">Fatty-acid and retinol-binding protein 2 </t>
  </si>
  <si>
    <t>GO:0005737 (cytoplasm); GO:0016853 (isomerase activity); GO:0000413 (protein peptidyl-prolyl isomerization); GO:0003755 (peptidyl-prolyl cis-trans isomerase activity); GO:0061077 (chaperone-mediated protein folding)</t>
  </si>
  <si>
    <t xml:space="preserve">Anion/Bicarbonate TranSporter family </t>
  </si>
  <si>
    <t>GO:0016020 (membrane); GO:0016021 (integral component of membrane); GO:0006811 (ion transport); GO:0005886 (plasma membrane); GO:0015301 (anion:anion antiporter activity); GO:0098656 (anion transmembrane transport); GO:0005452 (inorganic anion exchanger activity); GO:0006820 (anion transport); GO:0015698 (inorganic anion transport); GO:0051453 (regulation of intracellular pH); GO:0055085 (transmembrane transport); GO:0008509 (anion transmembrane transporter activity); GO:0015701 (bicarbonate transport); GO:0022857 (transmembrane transporter activity); GO:0050801 (ion homeostasis); GO:0016323 (basolateral plasma membrane)</t>
  </si>
  <si>
    <t xml:space="preserve">Tyrosine-protein kinase csk-1 </t>
  </si>
  <si>
    <t xml:space="preserve">Dynein light chain roadblock </t>
  </si>
  <si>
    <t>GO:0005737 (cytoplasm); GO:0005856 (cytoskeleton); GO:0005868 (cytoplasmic dynein complex); GO:0005874 (microtubule); GO:0030286 (dynein complex); GO:0045505 (dynein intermediate chain binding); GO:0005515 (protein binding); GO:0007018 (microtubule-based movement); GO:0005813 (centrosome); GO:0005938 (cell cortex); GO:0048471 (perinuclear region of cytoplasm); GO:0005819 (spindle); GO:0005876 (spindle microtubule); GO:0005694 (chromosome)</t>
  </si>
  <si>
    <t xml:space="preserve">FiZzy Related family </t>
  </si>
  <si>
    <t>GO:0051302 (regulation of cell division); GO:0005680 (anaphase-promoting complex); GO:0031145 (anaphase-promoting complex-dependent catabolic process); GO:0010997 (anaphase-promoting complex binding); GO:0097027 (ubiquitin-protein transferase activator activity); GO:1904668 (positive regulation of ubiquitin protein ligase activity); GO:0044843 (cell cycle G1/S phase transition); GO:0005634 (nucleus); GO:0005737 (cytoplasm); GO:0005515 (protein binding); GO:1990757 (ubiquitin ligase activator activity); GO:1905786 (positive regulation of anaphase-promoting complex-dependent catabolic process)</t>
  </si>
  <si>
    <t xml:space="preserve">Dipeptidyl peptidase 3 </t>
  </si>
  <si>
    <t>GO:0005737 (cytoplasm); GO:0016787 (hydrolase activity); GO:0046872 (metal ion binding); GO:0006508 (proteolysis); GO:0008233 (peptidase activity); GO:0008237 (metallopeptidase activity); GO:0070006 (metalloaminopeptidase activity); GO:0004177 (aminopeptidase activity); GO:0008239 (dipeptidyl-peptidase activity)</t>
  </si>
  <si>
    <t>GO:0016740 (transferase activity); GO:0008080 (N-acetyltransferase activity)</t>
  </si>
  <si>
    <t xml:space="preserve">Putative sodium-dependent excitatory amino acid transporter glt-4 </t>
  </si>
  <si>
    <t xml:space="preserve">HIstone Nuclear Factor p (P) homolog </t>
  </si>
  <si>
    <t>GO:0000978 (RNA polymerase II cis-regulatory region sequence-specific DNA binding); GO:0000981 (DNA-binding transcription factor activity, RNA polymerase II-specific); GO:0006357 (regulation of transcription by RNA polymerase II); GO:0048856 (anatomical structure development)</t>
  </si>
  <si>
    <t xml:space="preserve">Dual specificity mitogen-activated protein kinase kinase mek-2 </t>
  </si>
  <si>
    <t>GO:0016020 (membrane); GO:0005525 (GTP binding); GO:0005886 (plasma membrane); GO:0000166 (nucleotide binding); GO:0003924 (GTPase activity); GO:0005794 (Golgi apparatus); GO:0005515 (protein binding); GO:0000139 (Golgi membrane); GO:0006914 (autophagy); GO:0032482 (Rab protein signal transduction); GO:1902884 (positive regulation of response to oxidative stress)</t>
  </si>
  <si>
    <t>GO:0005794 (Golgi apparatus); GO:0016192 (vesicle-mediated transport); GO:0005085 (guanyl-nucleotide exchange factor activity); GO:0050790 (regulation of catalytic activity); GO:0032012 (regulation of ARF protein signal transduction); GO:0007005 (mitochondrion organization); GO:0007029 (endoplasmic reticulum organization); GO:0016197 (endosomal transport); GO:0046903 (secretion); GO:0000137 (Golgi cis cisterna); GO:0070971 (endoplasmic reticulum exit site); GO:0005793 (endoplasmic reticulum-Golgi intermediate compartment)</t>
  </si>
  <si>
    <t xml:space="preserve">ProGRaNulin homolog </t>
  </si>
  <si>
    <t>GO:0016020 (membrane); GO:0016021 (integral component of membrane); GO:0005576 (extracellular region)</t>
  </si>
  <si>
    <t xml:space="preserve">Protein yippee-like B0546.4 </t>
  </si>
  <si>
    <t>GO:0046872 (metal ion binding); GO:0000151 (ubiquitin ligase complex)</t>
  </si>
  <si>
    <t xml:space="preserve">Rhomboid-related protein 1 </t>
  </si>
  <si>
    <t>GO:0016020 (membrane); GO:0016021 (integral component of membrane); GO:0016787 (hydrolase activity); GO:0006508 (proteolysis); GO:0008233 (peptidase activity); GO:0004252 (serine-type endopeptidase activity); GO:0040026 (positive regulation of vulval development); GO:0008236 (serine-type peptidase activity)</t>
  </si>
  <si>
    <t xml:space="preserve">NADH Ubiquinone Oxidoreductase </t>
  </si>
  <si>
    <t>GO:0016020 (membrane); GO:0009055 (electron transfer activity); GO:0016491 (oxidoreductase activity); GO:0005743 (mitochondrial inner membrane); GO:0051536 (iron-sulfur cluster binding); GO:0051539 (4 iron, 4 sulfur cluster binding); GO:0008137 (NADH dehydrogenase (ubiquinone) activity); GO:0042773 (ATP synthesis coupled electron transport); GO:0016651 (oxidoreductase activity, acting on NAD(P)H); GO:0005747 (mitochondrial respiratory chain complex I); GO:0006120 (mitochondrial electron transport, NADH to ubiquinone); GO:0055114 (oxidation-reduction process)</t>
  </si>
  <si>
    <t xml:space="preserve">Defective in cullin neddylation protein 1 </t>
  </si>
  <si>
    <t xml:space="preserve">Pharyngeal Enhancer Binding </t>
  </si>
  <si>
    <t>GO:0005634 (nucleus); GO:0040010 (positive regulation of growth rate); GO:0040025 (vulval development); GO:0007442 (hindgut morphogenesis); GO:0009887 (animal organ morphogenesis); GO:0000978 (RNA polymerase II cis-regulatory region sequence-specific DNA binding)</t>
  </si>
  <si>
    <t xml:space="preserve">Ribonuclease P/MRP protein subunit POP5 </t>
  </si>
  <si>
    <t>GO:0016787 (hydrolase activity); GO:0005634 (nucleus); GO:0005730 (nucleolus); GO:0008033 (tRNA processing); GO:0090501 (RNA phosphodiester bond hydrolysis); GO:0090502 (RNA phosphodiester bond hydrolysis, endonucleolytic); GO:0004526 (ribonuclease P activity); GO:0006364 (rRNA processing); GO:0000172 (ribonuclease MRP complex); GO:0005655 (nucleolar ribonuclease P complex); GO:0016070 (RNA metabolic process); GO:0004540 (ribonuclease activity)</t>
  </si>
  <si>
    <t xml:space="preserve">Fatty acid-binding protein homolog 1 </t>
  </si>
  <si>
    <t xml:space="preserve">Putative folylpolyglutamate synthase </t>
  </si>
  <si>
    <t>GO:0016020 (membrane); GO:0005524 (ATP binding); GO:0005737 (cytoplasm); GO:0046872 (metal ion binding); GO:0000166 (nucleotide binding); GO:0016874 (ligase activity); GO:0005739 (mitochondrion); GO:0005829 (cytosol); GO:0009058 (biosynthetic process); GO:0005743 (mitochondrial inner membrane); GO:0005759 (mitochondrial matrix); GO:0006730 (one-carbon metabolic process); GO:0004326 (tetrahydrofolylpolyglutamate synthase activity); GO:0009396 (folic acid-containing compound biosynthetic process); GO:0046901 (tetrahydrofolylpolyglutamate biosynthetic process)</t>
  </si>
  <si>
    <t>GO:0016740 (transferase activity); GO:0016746 (transferase activity, transferring acyl groups); GO:0016747 (transferase activity, transferring acyl groups other than amino-acyl groups); GO:0005739 (mitochondrion); GO:0006635 (fatty acid beta-oxidation); GO:0006629 (lipid metabolic process); GO:0006631 (fatty acid metabolic process); GO:0003988 (acetyl-CoA C-acyltransferase activity)</t>
  </si>
  <si>
    <t xml:space="preserve">Golgi-resident PAp (PAP) 3-Phosphatase homolog </t>
  </si>
  <si>
    <t>GO:0016020 (membrane); GO:0016021 (integral component of membrane); GO:0046854 (phosphatidylinositol phosphorylation); GO:0012505 (endomembrane system); GO:0046855 (inositol phosphate dephosphorylation); GO:0008254 (3'-nucleotidase activity)</t>
  </si>
  <si>
    <t>GO:0005737 (cytoplasm); GO:0043231 (intracellular membrane-bounded organelle); GO:0030276 (clathrin binding); GO:0031982 (vesicle); GO:0072318 (clathrin coat disassembly); GO:0072583 (clathrin-dependent endocytosis); GO:0006898 (receptor-mediated endocytosis)</t>
  </si>
  <si>
    <t>GO:0016787 (hydrolase activity); GO:0004045 (aminoacyl-tRNA hydrolase activity)</t>
  </si>
  <si>
    <t xml:space="preserve">Apoptotic enhancer 1 protein </t>
  </si>
  <si>
    <t xml:space="preserve">UTP small subunit (SSU) processome component homolog </t>
  </si>
  <si>
    <t>GO:0005730 (nucleolus); GO:0030686 (90S preribosome); GO:0032040 (small-subunit processome)</t>
  </si>
  <si>
    <t xml:space="preserve">Neuferricin homolog </t>
  </si>
  <si>
    <t xml:space="preserve">Enhancer of Glp-One (Glp-1) </t>
  </si>
  <si>
    <t>GO:0045747 (positive regulation of Notch signaling pathway); GO:0005515 (protein binding); GO:0005634 (nucleus); GO:0005737 (cytoplasm); GO:1903361 (protein localization to basolateral plasma membrane); GO:0003674 (molecular_function); GO:0005768 (endosome); GO:0043162 (ubiquitin-dependent protein catabolic process via the multivesicular body sorting pathway)</t>
  </si>
  <si>
    <t xml:space="preserve">Probable splicing factor, arginine/serine-rich 6 </t>
  </si>
  <si>
    <t>GO:0005634 (nucleus); GO:0000398 (mRNA splicing, via spliceosome); GO:0003723 (RNA binding); GO:0003676 (nucleic acid binding); GO:0016607 (nuclear speck); GO:0007275 (multicellular organism development); GO:0003729 (mRNA binding); GO:0008406 (gonad development); GO:0006397 (mRNA processing); GO:0008380 (RNA splicing); GO:0030154 (cell differentiation); GO:0007548 (sex differentiation); GO:0031554 (regulation of DNA-templated transcription, termination)</t>
  </si>
  <si>
    <t xml:space="preserve">Exocyst complex component 3 </t>
  </si>
  <si>
    <t>GO:0000145 (exocyst); GO:0006887 (exocytosis)</t>
  </si>
  <si>
    <t>GO:0006357 (regulation of transcription by RNA polymerase II)</t>
  </si>
  <si>
    <t xml:space="preserve">Translation machinery-associated protein 7 homolog </t>
  </si>
  <si>
    <t>GO:0002181 (cytoplasmic translation)</t>
  </si>
  <si>
    <t xml:space="preserve">Ribonuclease P protein subunit p20 </t>
  </si>
  <si>
    <t>GO:0005634 (nucleus); GO:0016787 (hydrolase activity); GO:0003676 (nucleic acid binding); GO:0005730 (nucleolus); GO:0008033 (tRNA processing); GO:0004526 (ribonuclease P activity); GO:0090502 (RNA phosphodiester bond hydrolysis, endonucleolytic)</t>
  </si>
  <si>
    <t>GO:0005524 (ATP binding); GO:0004672 (protein kinase activity); GO:0006468 (protein phosphorylation); GO:0016301 (kinase activity); GO:0016310 (phosphorylation); GO:0005975 (carbohydrate metabolic process); GO:0005516 (calmodulin binding); GO:0005977 (glycogen metabolic process); GO:0005978 (glycogen biosynthetic process); GO:0004689 (phosphorylase kinase activity); GO:0005964 (phosphorylase kinase complex)</t>
  </si>
  <si>
    <t xml:space="preserve">Poly(U)-specific endoribonuclease homolog </t>
  </si>
  <si>
    <t>GO:0004521 (endoribonuclease activity)</t>
  </si>
  <si>
    <t xml:space="preserve">DnaJ homolog subfamily B member 1 </t>
  </si>
  <si>
    <t xml:space="preserve">Mitochondrial Processing Peptidase Alpha </t>
  </si>
  <si>
    <t>GO:0005739 (mitochondrion); GO:0006627 (protein processing involved in protein targeting to mitochondrion); GO:0046872 (metal ion binding); GO:0005759 (mitochondrial matrix); GO:0005515 (protein binding); GO:0006508 (proteolysis); GO:0004222 (metalloendopeptidase activity); GO:0017087 (mitochondrial processing peptidase complex)</t>
  </si>
  <si>
    <t xml:space="preserve">Probable aldehyde oxidase gad-3 </t>
  </si>
  <si>
    <t>GO:0071949 (FAD binding); GO:0005506 (iron ion binding); GO:0051537 (2 iron, 2 sulfur cluster binding); GO:0051536 (iron-sulfur cluster binding); GO:0009055 (electron transfer activity); GO:0046872 (metal ion binding); GO:0016491 (oxidoreductase activity); GO:0055114 (oxidation-reduction process); GO:0050660 (flavin adenine dinucleotide binding)</t>
  </si>
  <si>
    <t xml:space="preserve">Syntaxin-1A homolog </t>
  </si>
  <si>
    <t>GO:0016020 (membrane); GO:0016021 (integral component of membrane); GO:0005886 (plasma membrane); GO:0006886 (intracellular protein transport); GO:0016192 (vesicle-mediated transport); GO:0007275 (multicellular organism development); GO:0005515 (protein binding); GO:0000149 (SNARE binding); GO:0031201 (SNARE complex); GO:1905488 (positive regulation of anterior/posterior axon guidance); GO:0005484 (SNAP receptor activity); GO:0006887 (exocytosis); GO:0006906 (vesicle fusion); GO:0031629 (synaptic vesicle fusion to presynaptic active zone membrane); GO:0007269 (neurotransmitter secretion); GO:0007399 (nervous system development); GO:0040014 (regulation of multicellular organism growth); GO:0030154 (cell differentiation); GO:0019722 (calcium-mediated signaling); GO:0006836 (neurotransmitter transport); GO:0007268 (chemical synaptic transmission); GO:0012505 (endomembrane system); GO:0008021 (synaptic vesicle); GO:0007419 (ventral cord development); GO:0008286 (insulin receptor signaling pathway); GO:0040011 (locomotion); GO:0042302 (structural constituent of cuticle); GO:0048278 (vesicle docking); GO:0048787 (presynaptic active zone membrane); GO:0043025 (neuronal cell body); GO:0007271 (synaptic transmission, cholinergic); GO:0030424 (axon); GO:0030425 (dendrite); GO:0016323 (basolateral plasma membrane); GO:0051087 (chaperone binding)</t>
  </si>
  <si>
    <t xml:space="preserve">Uncharacterized Golgi apparatus membrane protein-like protein C34D4.4 </t>
  </si>
  <si>
    <t>GO:0016020 (membrane); GO:0016021 (integral component of membrane); GO:0016192 (vesicle-mediated transport); GO:0030173 (integral component of Golgi membrane); GO:0009306 (protein secretion)</t>
  </si>
  <si>
    <t xml:space="preserve">NTL-1a </t>
  </si>
  <si>
    <t>GO:0005634 (nucleus); GO:0005737 (cytoplasm); GO:0000932 (P-body); GO:0006417 (regulation of translation); GO:0017148 (negative regulation of translation); GO:0030015 (CCR4-NOT core complex); GO:0000288 (nuclear-transcribed mRNA catabolic process, deadenylation-dependent decay); GO:0002119 (nematode larval development); GO:0040001 (establishment of mitotic spindle localization); GO:0048477 (oogenesis); GO:0010468 (regulation of gene expression); GO:0030953 (astral microtubule organization); GO:0000956 (nuclear-transcribed mRNA catabolic process); GO:0000289 (nuclear-transcribed mRNA poly(A) tail shortening); GO:0030014 (CCR4-NOT complex); GO:0060090 (molecular adaptor activity)</t>
  </si>
  <si>
    <t xml:space="preserve">E2F-like (Mammalian transcription factor); EFL-1 </t>
  </si>
  <si>
    <t>GO:0005634 (nucleus); GO:0006355 (regulation of transcription, DNA-templated); GO:0003677 (DNA binding); GO:0090575 (RNA polymerase II transcription regulator complex); GO:0046983 (protein dimerization activity); GO:0005667 (transcription regulator complex); GO:0005515 (protein binding); GO:0006357 (regulation of transcription by RNA polymerase II); GO:0000978 (RNA polymerase II cis-regulatory region sequence-specific DNA binding); GO:0000981 (DNA-binding transcription factor activity, RNA polymerase II-specific); GO:0010629 (negative regulation of gene expression); GO:0008022 (protein C-terminus binding); GO:0040027 (negative regulation of vulval development); GO:0047485 (protein N-terminus binding); GO:0008134 (transcription factor binding); GO:0048557 (embryonic digestive tract morphogenesis); GO:0046580 (negative regulation of Ras protein signal transduction); GO:0003700 (DNA-binding transcription factor activity)</t>
  </si>
  <si>
    <t xml:space="preserve">ATPase asna-1 </t>
  </si>
  <si>
    <t>GO:0005886 (plasma membrane); GO:0007156 (homophilic cell adhesion via plasma membrane adhesion molecules); GO:0030424 (axon); GO:0043025 (neuronal cell body); GO:0050808 (synapse organization); GO:0007411 (axon guidance); GO:0008046 (axon guidance receptor activity); GO:0005783 (endoplasmic reticulum); GO:0055120 (striated muscle dense body); GO:0030017 (sarcomere)</t>
  </si>
  <si>
    <t xml:space="preserve">RNA-binding protein ASD-1 </t>
  </si>
  <si>
    <t>GO:0005634 (nucleus); GO:0005737 (cytoplasm); GO:0003723 (RNA binding); GO:0000381 (regulation of alternative mRNA splicing, via spliceosome); GO:0003676 (nucleic acid binding); GO:0003729 (mRNA binding); GO:0005515 (protein binding); GO:0007399 (nervous system development); GO:0003727 (single-stranded RNA binding)</t>
  </si>
  <si>
    <t>GO:0016020 (membrane); GO:0016021 (integral component of membrane); GO:0008270 (zinc ion binding); GO:0030433 (ubiquitin-dependent ERAD pathway); GO:0030176 (integral component of endoplasmic reticulum membrane); GO:0035264 (multicellular organism growth); GO:0004842 (ubiquitin-protein transferase activity); GO:0000209 (protein polyubiquitination)</t>
  </si>
  <si>
    <t xml:space="preserve">Probable small nuclear ribonucleoprotein Sm D1 </t>
  </si>
  <si>
    <t>GO:0005634 (nucleus); GO:0000387 (spliceosomal snRNP assembly); GO:0003723 (RNA binding); GO:0071013 (catalytic step 2 spliceosome); GO:0006396 (RNA processing); GO:0006397 (mRNA processing); GO:0008380 (RNA splicing); GO:0005686 (U2 snRNP); GO:0005685 (U1 snRNP); GO:0000243 (commitment complex); GO:0005682 (U5 snRNP); GO:0005687 (U4 snRNP); GO:0005689 (U12-type spliceosomal complex); GO:0034715 (pICln-Sm protein complex); GO:0034719 (SMN-Sm protein complex); GO:0071011 (precatalytic spliceosome); GO:0043186 (P granule); GO:0097526 (spliceosomal tri-snRNP complex)</t>
  </si>
  <si>
    <t xml:space="preserve">2-methoxy-6-polyprenyl-1,4-benzoquinol methylase, mitochondrial </t>
  </si>
  <si>
    <t xml:space="preserve">Connector enhancer of kinase suppressor of ras </t>
  </si>
  <si>
    <t xml:space="preserve">Splicing factor 3B subunit 6-like protein </t>
  </si>
  <si>
    <t>GO:0005634 (nucleus); GO:0000398 (mRNA splicing, via spliceosome); GO:0071013 (catalytic step 2 spliceosome); GO:0003676 (nucleic acid binding); GO:0003723 (RNA binding); GO:0006397 (mRNA processing); GO:0008380 (RNA splicing); GO:0005686 (U2 snRNP); GO:0005684 (U2-type spliceosomal complex); GO:0071011 (precatalytic spliceosome)</t>
  </si>
  <si>
    <t xml:space="preserve">Probable NADH dehydrogenase [ubiquinone] flavoprotein 2, mitochondrial </t>
  </si>
  <si>
    <t>GO:0016020 (membrane); GO:0046872 (metal ion binding); GO:0016491 (oxidoreductase activity); GO:0005739 (mitochondrion); GO:0005743 (mitochondrial inner membrane); GO:0051536 (iron-sulfur cluster binding); GO:0005747 (mitochondrial respiratory chain complex I); GO:0006120 (mitochondrial electron transport, NADH to ubiquinone); GO:0051537 (2 iron, 2 sulfur cluster binding); GO:0070469 (respirasome); GO:0008137 (NADH dehydrogenase (ubiquinone) activity); GO:0055114 (oxidation-reduction process)</t>
  </si>
  <si>
    <t xml:space="preserve">Target of rapamycin homolog </t>
  </si>
  <si>
    <t>GO:0005634 (nucleus); GO:0004674 (protein serine/threonine kinase activity); GO:0016301 (kinase activity); GO:0016310 (phosphorylation); GO:0000166 (nucleotide binding); GO:0016740 (transferase activity); GO:0005524 (ATP binding); GO:0008340 (determination of adult lifespan); GO:0010628 (positive regulation of gene expression); GO:0044877 (protein-containing complex binding); GO:0010629 (negative regulation of gene expression); GO:0006417 (regulation of translation); GO:1903935 (response to sodium arsenite); GO:0031931 (TORC1 complex); GO:0031932 (TORC2 complex); GO:0016242 (negative regulation of macroautophagy); GO:0038202 (TORC1 signaling); GO:0006468 (protein phosphorylation); GO:0002119 (nematode larval development); GO:0005737 (cytoplasm); GO:0031929 (TOR signaling); GO:0004672 (protein kinase activity); GO:0048382 (mesendoderm development); GO:0000492 (box C/D snoRNP assembly); GO:0045727 (positive regulation of translation); GO:0005515 (protein binding); GO:0106310 (protein serine kinase activity); GO:0106311 (protein threonine kinase activity)</t>
  </si>
  <si>
    <t xml:space="preserve">Putative cystathionine gamma-lyase 2 </t>
  </si>
  <si>
    <t>GO:0019346 (transsulfuration); GO:0030170 (pyridoxal phosphate binding); GO:0003824 (catalytic activity)</t>
  </si>
  <si>
    <t>GO:0043235 (receptor complex)</t>
  </si>
  <si>
    <t xml:space="preserve">ATF (cAMP-dependent transcription factor) family </t>
  </si>
  <si>
    <t>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GO:0035497 (cAMP response element binding); GO:0005634 (nucleus); GO:0000122 (negative regulation of transcription by RNA polymerase II); GO:0045944 (positive regulation of transcription by RNA polymerase II); GO:0051019 (mitogen-activated protein kinase binding); GO:0045089 (positive regulation of innate immune response); GO:0045824 (negative regulation of innate immune response); GO:0050829 (defense response to Gram-negative bacterium)</t>
  </si>
  <si>
    <t xml:space="preserve">Lysophospholipid acyltransferase 7 </t>
  </si>
  <si>
    <t xml:space="preserve">Glycine cleavage system H protein </t>
  </si>
  <si>
    <t>GO:0005737 (cytoplasm); GO:0005739 (mitochondrion); GO:0005960 (glycine cleavage complex); GO:0019464 (glycine decarboxylation via glycine cleavage system); GO:0009249 (protein lipoylation)</t>
  </si>
  <si>
    <t xml:space="preserve">Cell death abnormality protein 12 </t>
  </si>
  <si>
    <t>GO:0005737 (cytoplasm); GO:0006915 (apoptotic process); GO:0006909 (phagocytosis); GO:0017124 (SH3 domain binding)</t>
  </si>
  <si>
    <t>GO:0003824 (catalytic activity); GO:0005975 (carbohydrate metabolic process); GO:0005783 (endoplasmic reticulum)</t>
  </si>
  <si>
    <t>GO:0003986 (acetyl-CoA hydrolase activity); GO:0008775 (acetate CoA-transferase activity); GO:0006083 (acetate metabolic process); GO:0019679 (propionate metabolic process, methylcitrate cycle)</t>
  </si>
  <si>
    <t>GO:0005634 (nucleus); GO:0003700 (DNA-binding transcription factor activity); GO:0006355 (regulation of transcription, DNA-templated); GO:0000978 (RNA polymerase II cis-regulatory region sequence-specific DNA binding); GO:0000981 (DNA-binding transcription factor activity, RNA polymerase II-specific); GO:0006357 (regulation of transcription by RNA polymerase II); GO:0030968 (endoplasmic reticulum unfolded protein response); GO:1904576 (response to tunicamycin); GO:0000977 (RNA polymerase II transcription regulatory region sequence-specific DNA binding); GO:0006990 (positive regulation of transcription from RNA polymerase II promoter involved in unfolded protein response); GO:0035966 (response to topologically incorrect protein)</t>
  </si>
  <si>
    <t xml:space="preserve">E3 ubiquitin-protein ligase </t>
  </si>
  <si>
    <t>GO:0005737 (cytoplasm); GO:0016567 (protein ubiquitination); GO:0016740 (transferase activity); GO:0000209 (protein polyubiquitination); GO:0004842 (ubiquitin-protein transferase activity); GO:0006511 (ubiquitin-dependent protein catabolic process); GO:0043161 (proteasome-mediated ubiquitin-dependent protein catabolic process); GO:0045732 (positive regulation of protein catabolic process); GO:0061630 (ubiquitin protein ligase activity); GO:0008340 (determination of adult lifespan); GO:0005515 (protein binding); GO:0050830 (defense response to Gram-positive bacterium); GO:0050829 (defense response to Gram-negative bacterium); GO:0061631 (ubiquitin conjugating enzyme activity); GO:0042176 (regulation of protein catabolic process)</t>
  </si>
  <si>
    <t>GO:0016020 (membrane); GO:0016021 (integral component of membrane); GO:0016787 (hydrolase activity)</t>
  </si>
  <si>
    <t xml:space="preserve">Cytochrome b-c1 complex subunit Rieske, mitochondrial </t>
  </si>
  <si>
    <t>GO:0016020 (membrane); GO:0016021 (integral component of membrane); GO:0046872 (metal ion binding); GO:0005739 (mitochondrion); GO:0005743 (mitochondrial inner membrane); GO:0001934 (positive regulation of protein phosphorylation); GO:0010628 (positive regulation of gene expression); GO:0016491 (oxidoreductase activity); GO:0051537 (2 iron, 2 sulfur cluster binding); GO:0010629 (negative regulation of gene expression); GO:0051536 (iron-sulfur cluster binding); GO:0061063 (positive regulation of nematode larval development); GO:0001933 (negative regulation of protein phosphorylation); GO:0005750 (mitochondrial respiratory chain complex III); GO:0006122 (mitochondrial electron transport, ubiquinol to cytochrome c); GO:0008121 (ubiquinol-cytochrome-c reductase activity); GO:0070469 (respirasome); GO:0055114 (oxidation-reduction process)</t>
  </si>
  <si>
    <t xml:space="preserve">Probable H/ACA ribonucleoprotein complex subunit 1-like protein </t>
  </si>
  <si>
    <t>GO:0005634 (nucleus); GO:0003723 (RNA binding); GO:0005730 (nucleolus); GO:0006364 (rRNA processing); GO:0042254 (ribosome biogenesis); GO:0001522 (pseudouridine synthesis); GO:0031429 (box H/ACA snoRNP complex); GO:0000454 (snoRNA guided rRNA pseudouridine synthesis); GO:0034513 (box H/ACA snoRNA binding)</t>
  </si>
  <si>
    <t xml:space="preserve">CAMTA (CAlModulin-binding Transcriptional activator) </t>
  </si>
  <si>
    <t>GO:0005634 (nucleus); GO:0003677 (DNA binding); GO:0003690 (double-stranded DNA binding); GO:0006357 (regulation of transcription by RNA polymerase II); GO:0003712 (transcription coregulator activity); GO:0005515 (protein binding)</t>
  </si>
  <si>
    <t xml:space="preserve">Zwei Ig domain protein zig-2 </t>
  </si>
  <si>
    <t>GO:0016020 (membrane); GO:0016021 (integral component of membrane); GO:0016255 (attachment of GPI anchor to protein); GO:0042765 (GPI-anchor transamidase complex); GO:0005783 (endoplasmic reticulum); GO:0005789 (endoplasmic reticulum membrane); GO:0006506 (GPI anchor biosynthetic process); GO:0034394 (protein localization to cell surface)</t>
  </si>
  <si>
    <t>GO:0016020 (membrane); GO:0016021 (integral component of membrane); GO:0043025 (neuronal cell body); GO:0048846 (axon extension involved in axon guidance); GO:0048675 (axon extension)</t>
  </si>
  <si>
    <t xml:space="preserve">Serine/threonine-protein kinase spk-1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</si>
  <si>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GO:0035556 (intracellular signal transduction); GO:0007275 (multicellular organism development); GO:0005515 (protein binding); GO:0009792 (embryo development ending in birth or egg hatching); GO:0000245 (spliceosomal complex assembly); GO:0050684 (regulation of mRNA processing); GO:0005575 (cellular_component); GO:0106310 (protein serine kinase activity); GO:0106311 (protein threonine kinase activity)</t>
  </si>
  <si>
    <t xml:space="preserve">Doa4-Independent Degradation, homologous to yeast Did2 </t>
  </si>
  <si>
    <t>GO:0045324 (late endosome to vacuole transport); GO:0015031 (protein transport); GO:0000815 (ESCRT III complex); GO:0005771 (multivesicular body); GO:0007034 (vacuolar transport); GO:0032509 (endosome transport via multivesicular body sorting pathway); GO:0005737 (cytoplasm); GO:0010008 (endosome membrane)</t>
  </si>
  <si>
    <t>GO:0016020 (membrane); GO:0016021 (integral component of membrane); GO:0016740 (transferase activity); GO:0016746 (transferase activity, transferring acyl groups); GO:0005739 (mitochondrion); GO:0012505 (endomembrane system)</t>
  </si>
  <si>
    <t xml:space="preserve">COP9/Signalosome and eIF3 complex-shared subunit 1 </t>
  </si>
  <si>
    <t>GO:0005852 (eukaryotic translation initiation factor 3 complex); GO:0003743 (translation initiation factor activity); GO:0005737 (cytoplasm)</t>
  </si>
  <si>
    <t xml:space="preserve">Transmembrane GTPase fzo-1 </t>
  </si>
  <si>
    <t>GO:0008053 (mitochondrial fusion); GO:0005741 (mitochondrial outer membrane); GO:0003924 (GTPase activity); GO:0005525 (GTP binding); GO:0016021 (integral component of membrane)</t>
  </si>
  <si>
    <t xml:space="preserve">Serrate RNA effector molecule homolog </t>
  </si>
  <si>
    <t>GO:0005634 (nucleus); GO:0006397 (mRNA processing); GO:0031047 (gene silencing by RNA); GO:0005654 (nucleoplasm); GO:0016604 (nuclear body); GO:0031053 (primary miRNA processing)</t>
  </si>
  <si>
    <t xml:space="preserve">Antibacterial factor-related peptide 2 </t>
  </si>
  <si>
    <t>GO:0098542 (defense response to other organism)</t>
  </si>
  <si>
    <t xml:space="preserve">Elongation factor Tu homologue; TU elongation Factor (EF-Tu), Mitochondrial </t>
  </si>
  <si>
    <t>GO:0005739 (mitochondrion); GO:0034553 (mitochondrial respiratory chain complex II assembly)</t>
  </si>
  <si>
    <t>GO:0006508 (proteolysis); GO:0004198 (calcium-dependent cysteine-type endopeptidase activity)</t>
  </si>
  <si>
    <t xml:space="preserve">DNA repair protein REV1 </t>
  </si>
  <si>
    <t>GO:0005634 (nucleus); GO:0016740 (transferase activity); GO:0003677 (DNA binding); GO:0016779 (nucleotidyltransferase activity); GO:0006281 (DNA repair); GO:0042276 (error-prone translesion synthesis); GO:0006974 (cellular response to DNA damage stimulus); GO:0071897 (DNA biosynthetic process); GO:0003684 (damaged DNA binding); GO:0003887 (DNA-directed DNA polymerase activity); GO:0017125 (deoxycytidyl transferase activity); GO:0070987 (error-free translesion synthesis)</t>
  </si>
  <si>
    <t>GO:0072669 (tRNA-splicing ligase complex)</t>
  </si>
  <si>
    <t xml:space="preserve">Eukaryotic translation initiation factor eIF5B; Initiation Factor Five B (eIF5B) </t>
  </si>
  <si>
    <t>GO:0005525 (GTP binding); GO:0000166 (nucleotide binding); GO:0003924 (GTPase activity); GO:0003743 (translation initiation factor activity); GO:0006412 (translation); GO:0006413 (translational initiation)</t>
  </si>
  <si>
    <t xml:space="preserve">Tetraspanin-1 </t>
  </si>
  <si>
    <t>GO:0016020 (membrane); GO:0016021 (integral component of membrane); GO:0005887 (integral component of plasma membrane); GO:0045087 (innate immune response)</t>
  </si>
  <si>
    <t xml:space="preserve">tRNA isopentenyl transferase </t>
  </si>
  <si>
    <t>GO:0000166 (nucleotide binding); GO:0016740 (transferase activity); GO:0005739 (mitochondrion); GO:0005524 (ATP binding); GO:0006400 (tRNA modification); GO:0008033 (tRNA processing); GO:0052381 (tRNA dimethylallyltransferase activity); GO:0005634 (nucleus); GO:0005737 (cytoplasm); GO:0008340 (determination of adult lifespan); GO:0040014 (regulation of multicellular organism growth)</t>
  </si>
  <si>
    <t>GO:0016787 (hydrolase activity); GO:0007165 (signal transduction); GO:0035556 (intracellular signal transduction); GO:0004435 (phosphatidylinositol phospholipase C activity); GO:0006629 (lipid metabolic process); GO:0008081 (phosphoric diester hydrolase activity); GO:0016042 (lipid catabolic process); GO:0048015 (phosphatidylinositol-mediated signaling)</t>
  </si>
  <si>
    <t xml:space="preserve">Suppressor/Enhancer of Lin-12 </t>
  </si>
  <si>
    <t>GO:0005634 (nucleus); GO:0046872 (metal ion binding); GO:0008270 (zinc ion binding); GO:0003676 (nucleic acid binding); GO:0005681 (spliceosomal complex); GO:0044773 (mitotic DNA damage checkpoint); GO:0048478 (replication fork protection); GO:0033314 (mitotic DNA replication checkpoint); GO:0033260 (nuclear DNA replication)</t>
  </si>
  <si>
    <t xml:space="preserve">CAAX prenyl protease 1 homolog </t>
  </si>
  <si>
    <t>GO:0071586 (CAAX-box protein processing); GO:0008233 (peptidase activity); GO:0004222 (metalloendopeptidase activity); GO:0006508 (proteolysis)</t>
  </si>
  <si>
    <t xml:space="preserve">Neprilysin-2 </t>
  </si>
  <si>
    <t xml:space="preserve">Vacuolar protein sorting-associated protein 54 </t>
  </si>
  <si>
    <t>GO:0005794 (Golgi apparatus); GO:0015031 (protein transport); GO:0005515 (protein binding); GO:0019905 (syntaxin binding); GO:0005829 (cytosol); GO:0042147 (retrograde transport, endosome to Golgi); GO:0000938 (GARP complex); GO:0006896 (Golgi to vacuole transport)</t>
  </si>
  <si>
    <t xml:space="preserve">BTAF (TBP-associated factor) homolog </t>
  </si>
  <si>
    <t>GO:0005634 (nucleus); GO:0005524 (ATP binding); GO:0000166 (nucleotide binding); GO:0003677 (DNA binding); GO:0008094 (DNA-dependent ATPase activity); GO:0070615 (nucleosome-dependent ATPase activity)</t>
  </si>
  <si>
    <t xml:space="preserve">Serine/threonine protein phosphatase 2A regulatory subunit </t>
  </si>
  <si>
    <t>GO:0005634 (nucleus); GO:0007165 (signal transduction); GO:0005829 (cytosol); GO:0050790 (regulation of catalytic activity); GO:0000159 (protein phosphatase type 2A complex); GO:0006470 (protein dephosphorylation); GO:0043666 (regulation of phosphoprotein phosphatase activity); GO:0019888 (protein phosphatase regulator activity); GO:0031952 (regulation of protein autophosphorylation); GO:0072542 (protein phosphatase activator activity); GO:0005515 (protein binding); GO:1903863 (P granule assembly)</t>
  </si>
  <si>
    <t>GO:0003824 (catalytic activity); GO:0005777 (peroxisome); GO:0000287 (magnesium ion binding); GO:0030976 (thiamine pyrophosphate binding); GO:0001561 (fatty acid alpha-oxidation)</t>
  </si>
  <si>
    <t>GO:0005634 (nucleus); GO:0008168 (methyltransferase activity); GO:0032259 (methylation); GO:0016740 (transferase activity); GO:0005654 (nucleoplasm); GO:0000049 (tRNA binding); GO:0005739 (mitochondrion); GO:0009019 (tRNA (guanine-N1-)-methyltransferase activity); GO:0030488 (tRNA methylation); GO:0090646 (mitochondrial tRNA processing)</t>
  </si>
  <si>
    <t xml:space="preserve">Histone deacetylase 1 </t>
  </si>
  <si>
    <t xml:space="preserve">Putative serine protease pcp-1 </t>
  </si>
  <si>
    <t xml:space="preserve">Amino acid Transporter GlycoProtein subunit </t>
  </si>
  <si>
    <t>GO:0016020 (membrane); GO:0016021 (integral component of membrane); GO:0003824 (catalytic activity); GO:0005975 (carbohydrate metabolic process); GO:1902475 (L-alpha-amino acid transmembrane transport); GO:0005886 (plasma membrane); GO:0015179 (L-amino acid transmembrane transporter activity); GO:0003333 (amino acid transmembrane transport); GO:1990184 (amino acid transport complex); GO:0015807 (L-amino acid transport)</t>
  </si>
  <si>
    <t xml:space="preserve">Progestin and AdipoQ Receptor family </t>
  </si>
  <si>
    <t>GO:0016020 (membrane); GO:0016021 (integral component of membrane); GO:0038023 (signaling receptor activity); GO:0005886 (plasma membrane); GO:0033211 (adiponectin-activated signaling pathway); GO:0009409 (response to cold); GO:0046321 (positive regulation of fatty acid oxidation); GO:1990522 (tail spike morphogenesis)</t>
  </si>
  <si>
    <t xml:space="preserve">Cuticle collagen dpy-7 </t>
  </si>
  <si>
    <t xml:space="preserve">Transmembrane channel-like protein 2 </t>
  </si>
  <si>
    <t>GO:0016020 (membrane); GO:0016021 (integral component of membrane); GO:0006811 (ion transport); GO:0008381 (mechanosensitive ion channel activity); GO:0034220 (ion transmembrane transport); GO:0005887 (integral component of plasma membrane)</t>
  </si>
  <si>
    <t xml:space="preserve">Nuclear envelope phosphatase-regulatory subunit 1 homolog </t>
  </si>
  <si>
    <t>GO:0071595 (Nem1-Spo7 phosphatase complex); GO:0035307 (positive regulation of protein dephosphorylation); GO:0016020 (membrane); GO:0016021 (integral component of membrane); GO:0005634 (nucleus); GO:0005737 (cytoplasm); GO:0006629 (lipid metabolic process); GO:0031965 (nuclear membrane); GO:0051783 (regulation of nuclear division)</t>
  </si>
  <si>
    <t xml:space="preserve">Probable Golgi transport protein 1 </t>
  </si>
  <si>
    <t>GO:0016020 (membrane); GO:0016021 (integral component of membrane); GO:0000139 (Golgi membrane); GO:0005794 (Golgi apparatus); GO:0015031 (protein transport); GO:0016192 (vesicle-mediated transport); GO:0005783 (endoplasmic reticulum)</t>
  </si>
  <si>
    <t xml:space="preserve">Alpha-catenin-like protein hmp-1 </t>
  </si>
  <si>
    <t>GO:0051015 (actin filament binding); GO:0045296 (cadherin binding); GO:0007155 (cell adhesion); GO:0005737 (cytoplasm); GO:0005515 (protein binding); GO:0043296 (apical junction complex); GO:0016477 (cell migration); GO:0008013 (beta-catenin binding); GO:0010172 (embryonic body morphogenesis); GO:0032880 (regulation of protein localization); GO:0032956 (regulation of actin cytoskeleton organization); GO:0042074 (cell migration involved in gastrulation); GO:0030866 (cortical actin cytoskeleton organization); GO:0005912 (adherens junction)</t>
  </si>
  <si>
    <t>GO:0003824 (catalytic activity); GO:0000062 (fatty-acyl-CoA binding); GO:0019915 (lipid storage); GO:0006635 (fatty acid beta-oxidation)</t>
  </si>
  <si>
    <t xml:space="preserve">Zinc finger Ran-binding domain-containing protein 2 </t>
  </si>
  <si>
    <t>GO:0005634 (nucleus); GO:0046872 (metal ion binding); GO:0003723 (RNA binding); GO:0001530 (lipopolysaccharide binding)</t>
  </si>
  <si>
    <t xml:space="preserve">Actin-related protein 3 </t>
  </si>
  <si>
    <t>GO:0005885 (Arp2/3 protein complex); GO:0034314 (Arp2/3 complex-mediated actin nucleation); GO:0007015 (actin filament organization); GO:0005524 (ATP binding)</t>
  </si>
  <si>
    <t xml:space="preserve">Guanine nucleotide exchange factor rei-2 </t>
  </si>
  <si>
    <t>GO:0005737 (cytoplasm); GO:0000166 (nucleotide binding); GO:0005525 (GTP binding); GO:0035556 (intracellular signal transduction); GO:0007049 (cell cycle); GO:0051301 (cell division); GO:0004860 (protein kinase inhibitor activity); GO:0061099 (negative regulation of protein tyrosine kinase activity)</t>
  </si>
  <si>
    <t>GO:0016020 (membrane); GO:0016021 (integral component of membrane); GO:0003924 (GTPase activity); GO:0005525 (GTP binding); GO:0005737 (cytoplasm); GO:0005739 (mitochondrion); GO:0005743 (mitochondrial inner membrane); GO:0008289 (lipid binding); GO:0008017 (microtubule binding); GO:0006915 (apoptotic process); GO:0000266 (mitochondrial fission); GO:0031966 (mitochondrial membrane); GO:0061025 (membrane fusion); GO:0007005 (mitochondrion organization); GO:0035264 (multicellular organism growth); GO:0002119 (nematode larval development); GO:0040014 (regulation of multicellular organism growth); GO:0000303 (response to superoxide); GO:0008053 (mitochondrial fusion); GO:0003374 (dynamin family protein polymerization involved in mitochondrial fission)</t>
  </si>
  <si>
    <t xml:space="preserve">KELch-repeat containing protein; Kel-1 protein </t>
  </si>
  <si>
    <t xml:space="preserve">Molybdopterin synthase sulfur carrier subunit </t>
  </si>
  <si>
    <t>GO:0000166 (nucleotide binding); GO:0005737 (cytoplasm); GO:0006777 (Mo-molybdopterin cofactor biosynthetic process); GO:0005829 (cytosol); GO:0019008 (molybdopterin synthase complex); GO:0030366 (molybdopterin synthase activity)</t>
  </si>
  <si>
    <t>GO:0003676 (nucleic acid binding); GO:0008270 (zinc ion binding)</t>
  </si>
  <si>
    <t xml:space="preserve">Probable glycerol-3-phosphate dehydrogenase 2 </t>
  </si>
  <si>
    <t>GO:0016491 (oxidoreductase activity); GO:0005975 (carbohydrate metabolic process); GO:0016616 (oxidoreductase activity, acting on the CH-OH group of donors, NAD or NADP as acceptor); GO:0004367 (glycerol-3-phosphate dehydrogenase [NAD+] activity); GO:0006072 (glycerol-3-phosphate metabolic process); GO:0009331 (glycerol-3-phosphate dehydrogenase complex); GO:0042803 (protein homodimerization activity); GO:0046168 (glycerol-3-phosphate catabolic process); GO:0051287 (NAD binding); GO:0006972 (hyperosmotic response); GO:0006973 (intracellular accumulation of glycerol); GO:0004368 (glycerol-3-phosphate dehydrogenase (quinone) activity); GO:0055114 (oxidation-reduction process)</t>
  </si>
  <si>
    <t xml:space="preserve">MEL-11 </t>
  </si>
  <si>
    <t>GO:0005737 (cytoplasm); GO:0050790 (regulation of catalytic activity); GO:0019901 (protein kinase binding); GO:0004857 (enzyme inhibitor activity); GO:0019208 (phosphatase regulator activity); GO:0043086 (negative regulation of catalytic activity); GO:0009792 (embryo development ending in birth or egg hatching); GO:0048598 (embryonic morphogenesis); GO:0010172 (embryonic body morphogenesis); GO:0005912 (adherens junction); GO:0005515 (protein binding)</t>
  </si>
  <si>
    <t>GO:0003723 (RNA binding); GO:0022625 (cytosolic large ribosomal subunit); GO:0000470 (maturation of LSU-rRNA)</t>
  </si>
  <si>
    <t xml:space="preserve">OXidative stress Induced </t>
  </si>
  <si>
    <t>GO:0000209 (protein polyubiquitination); GO:0004842 (ubiquitin-protein transferase activity); GO:0006511 (ubiquitin-dependent protein catabolic process); GO:0061630 (ubiquitin protein ligase activity)</t>
  </si>
  <si>
    <t>GO:0006357 (regulation of transcription by RNA polymerase II); GO:0003674 (molecular_function); GO:0005575 (cellular_component); GO:0008150 (biological_process)</t>
  </si>
  <si>
    <t xml:space="preserve">Serine/threonine-protein kinase sax-1 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</si>
  <si>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GO:0005634 (nucleus); GO:0046872 (metal ion binding); GO:0000166 (nucleotide binding); GO:0016740 (transferase activity); GO:0005737 (cytoplasm); GO:0035556 (intracellular signal transduction); GO:0007275 (multicellular organism development); GO:0007399 (nervous system development); GO:0030424 (axon); GO:0030031 (cell projection assembly); GO:0031175 (neuron projection development); GO:0030425 (dendrite); GO:0007163 (establishment or maintenance of cell polarity); GO:0008360 (regulation of cell shape); GO:0030308 (negative regulation of cell growth); GO:0106310 (protein serine kinase activity); GO:0106311 (protein threonine kinase activity)</t>
  </si>
  <si>
    <t xml:space="preserve">Alanine--tRNA ligase, mitochondrial </t>
  </si>
  <si>
    <t>GO:0005524 (ATP binding); GO:0000166 (nucleotide binding); GO:0004812 (aminoacyl-tRNA ligase activity); GO:0046872 (metal ion binding); GO:0016874 (ligase activity); GO:0005739 (mitochondrion); GO:0005737 (cytoplasm); GO:0006412 (translation); GO:0003676 (nucleic acid binding); GO:0003723 (RNA binding); GO:0008270 (zinc ion binding); GO:0000049 (tRNA binding); GO:0043039 (tRNA aminoacylation); GO:0106074 (aminoacyl-tRNA metabolism involved in translational fidelity); GO:0006400 (tRNA modification); GO:0004813 (alanine-tRNA ligase activity); GO:0006419 (alanyl-tRNA aminoacylation); GO:0016597 (amino acid binding); GO:0002161 (aminoacyl-tRNA editing activity)</t>
  </si>
  <si>
    <t xml:space="preserve">Nuclear Hormone Receptor family; Nuclear receptor NHR-120 </t>
  </si>
  <si>
    <t xml:space="preserve">Alpha-1,6-mannosylglycoprotein 6-beta-N-acetylglucosaminyltransferase </t>
  </si>
  <si>
    <t>GO:0030144 (alpha-1,6-mannosylglycoprotein 6-beta-N-acetylglucosaminyltransferase activity); GO:0006487 (protein N-linked glycosylation)</t>
  </si>
  <si>
    <t xml:space="preserve">Cullin-4 </t>
  </si>
  <si>
    <t>GO:0016020 (membrane); GO:0016021 (integral component of membrane); GO:0005737 (cytoplasm); GO:0004222 (metalloendopeptidase activity); GO:0006508 (proteolysis); GO:0051091 (positive regulation of DNA-binding transcription factor activity); GO:0031293 (membrane protein intracellular domain proteolysis); GO:1990440 (positive regulation of transcription from RNA polymerase II promoter in response to endoplasmic reticulum stress); GO:1905897 (regulation of response to endoplasmic reticulum stress)</t>
  </si>
  <si>
    <t>GO:0005634 (nucleus); GO:0001042 (RNA polymerase I core binding); GO:0001181 (RNA polymerase I general transcription initiation factor activity); GO:0006361 (transcription initiation from RNA polymerase I promoter)</t>
  </si>
  <si>
    <t>GO:0005634 (nucleus); GO:0046872 (metal ion binding); GO:0008270 (zinc ion binding); GO:0003676 (nucleic acid binding); GO:0005730 (nucleolus); GO:0006351 (transcription, DNA-templated); GO:0003899 (DNA-directed 5'-3' RNA polymerase activity); GO:0005666 (RNA polymerase III complex); GO:0006386 (termination of RNA polymerase III transcription); GO:0042779 (tRNA 3'-trailer cleavage)</t>
  </si>
  <si>
    <t>GO:0016020 (membrane); GO:0016021 (integral component of membrane); GO:0005634 (nucleus); GO:0000139 (Golgi membrane); GO:0008033 (tRNA processing); GO:0004526 (ribonuclease P activity); GO:0090502 (RNA phosphodiester bond hydrolysis, endonucleolytic)</t>
  </si>
  <si>
    <t>GO:0010038 (response to metal ion); GO:0005507 (copper ion binding)</t>
  </si>
  <si>
    <t xml:space="preserve">Transcription factor fos-1 </t>
  </si>
  <si>
    <t>GO:0006357 (regulation of transcription by RNA polymerase II); GO:0003700 (DNA-binding transcription factor activity); GO:0006355 (regulation of transcription, DNA-templated); GO:0003677 (DNA binding)</t>
  </si>
  <si>
    <t xml:space="preserve">TYRAmine receptor </t>
  </si>
  <si>
    <t xml:space="preserve">Rap guanine nucleotide exchange factor </t>
  </si>
  <si>
    <t>GO:0005096 (GTPase activator activity); GO:0007165 (signal transduction); GO:0043547 (positive regulation of GTPase activity); GO:0005085 (guanyl-nucleotide exchange factor activity); GO:0007264 (small GTPase mediated signal transduction); GO:0005515 (protein binding); GO:0050790 (regulation of catalytic activity); GO:0018996 (molting cycle, collagen and cuticulin-based cuticle); GO:0008544 (epidermis development); GO:0040002 (collagen and cuticulin-based cuticle development); GO:0060102 (collagen and cuticulin-based cuticle extracellular matrix)</t>
  </si>
  <si>
    <t>GO:0005634 (nucleus); GO:0005737 (cytoplasm); GO:0016491 (oxidoreductase activity); GO:0051213 (dioxygenase activity); GO:0006281 (DNA repair); GO:0006974 (cellular response to DNA damage stimulus); GO:0008198 (ferrous iron binding); GO:0055114 (oxidation-reduction process); GO:0035516 (oxidative DNA demethylase activity); GO:0035515 (oxidative RNA demethylase activity); GO:0035513 (oxidative RNA demethylation); GO:0035552 (oxidative single-stranded DNA demethylation)</t>
  </si>
  <si>
    <t>GO:0005829 (cytosol); GO:0047134 (protein-disulfide reductase activity)</t>
  </si>
  <si>
    <t xml:space="preserve">Probable splicing factor, arginine/serine-rich 1 </t>
  </si>
  <si>
    <t>GO:0005634 (nucleus); GO:0003676 (nucleic acid binding); GO:0003723 (RNA binding); GO:0007275 (multicellular organism development); GO:0006397 (mRNA processing); GO:0008380 (RNA splicing); GO:0030154 (cell differentiation); GO:0007283 (spermatogenesis); GO:0040008 (regulation of growth); GO:0040009 (regulation of growth rate); GO:0000398 (mRNA splicing, via spliceosome); GO:0000381 (regulation of alternative mRNA splicing, via spliceosome); GO:0003729 (mRNA binding)</t>
  </si>
  <si>
    <t xml:space="preserve">NFI (Nuclear Factor I) family </t>
  </si>
  <si>
    <t>GO:0003700 (DNA-binding transcription factor activity); GO:0005634 (nucleus); GO:0006355 (regulation of transcription, DNA-templated); GO:0003677 (DNA binding); GO:0006260 (DNA replication); GO:0008340 (determination of adult lifespan); GO:0000978 (RNA polymerase II cis-regulatory region sequence-specific DNA binding); GO:0000981 (DNA-binding transcription factor activity, RNA polymerase II-specific); GO:0006357 (regulation of transcription by RNA polymerase II); GO:0000977 (RNA polymerase II transcription regulatory region sequence-specific DNA binding); GO:0045944 (positive regulation of transcription by RNA polymerase II); GO:0043565 (sequence-specific DNA binding); GO:0043051 (regulation of pharyngeal pumping); GO:0046662 (regulation of oviposition); GO:0040012 (regulation of locomotion)</t>
  </si>
  <si>
    <t xml:space="preserve">TM2 domain-containing protein Y66D12A.21 </t>
  </si>
  <si>
    <t>GO:0005634 (nucleus); GO:0000398 (mRNA splicing, via spliceosome); GO:0003676 (nucleic acid binding); GO:0003723 (RNA binding); GO:0006281 (DNA repair); GO:0006397 (mRNA processing); GO:0008380 (RNA splicing); GO:0005681 (spliceosomal complex); GO:0005654 (nucleoplasm); GO:0043484 (regulation of RNA splicing); GO:0000380 (alternative mRNA splicing, via spliceosome); GO:0000381 (regulation of alternative mRNA splicing, via spliceosome)</t>
  </si>
  <si>
    <t>GO:0005634 (nucleus); GO:0003677 (DNA binding); GO:0000398 (mRNA splicing, via spliceosome); GO:0006355 (regulation of transcription, DNA-templated)</t>
  </si>
  <si>
    <t>GO:0016567 (protein ubiquitination); GO:0031464 (Cul4A-RING E3 ubiquitin ligase complex)</t>
  </si>
  <si>
    <t>GO:0016020 (membrane); GO:0006811 (ion transport); GO:0015986 (ATP synthesis coupled proton transport); GO:0046933 (proton-transporting ATP synthase activity, rotational mechanism); GO:0006754 (ATP biosynthetic process); GO:0045261 (proton-transporting ATP synthase complex, catalytic core F(1))</t>
  </si>
  <si>
    <t xml:space="preserve">NADH:Ubiquinone oxidoreductase Assembly Factor </t>
  </si>
  <si>
    <t>GO:0016020 (membrane); GO:0005743 (mitochondrial inner membrane); GO:0005634 (nucleus); GO:0005739 (mitochondrion); GO:0032981 (mitochondrial respiratory chain complex I assembly)</t>
  </si>
  <si>
    <t xml:space="preserve">Transgelin </t>
  </si>
  <si>
    <t>GO:0016020 (membrane); GO:0016021 (integral component of membrane); GO:0016740 (transferase activity); GO:0016746 (transferase activity, transferring acyl groups); GO:0005739 (mitochondrion); GO:0004095 (carnitine O-palmitoyltransferase activity); GO:0006629 (lipid metabolic process); GO:0009437 (carnitine metabolic process); GO:0006631 (fatty acid metabolic process); GO:0005741 (mitochondrial outer membrane); GO:0006635 (fatty acid beta-oxidation)</t>
  </si>
  <si>
    <t xml:space="preserve">Casein kinase I gamma </t>
  </si>
  <si>
    <t>GO:0016020 (membrane); GO:0016021 (integral component of membrane); GO:0016301 (kinase activity); GO:0016310 (phosphorylation); GO:0016740 (transferase activity); GO:0005783 (endoplasmic reticulum); GO:0030176 (integral component of endoplasmic reticulum membrane); GO:0004168 (dolichol kinase activity); GO:0043048 (dolichyl monophosphate biosynthetic process)</t>
  </si>
  <si>
    <t xml:space="preserve">Probable prefoldin subunit 4 </t>
  </si>
  <si>
    <t>GO:0032880 (regulation of protein localization); GO:0007030 (Golgi organization); GO:0010008 (endosome membrane); GO:0019894 (kinesin binding); GO:0032418 (lysosome localization); GO:1903527 (positive regulation of membrane tubulation)</t>
  </si>
  <si>
    <t>GO:0005576 (extracellular region); GO:0008289 (lipid binding); GO:0005737 (cytoplasm); GO:0070538 (oleic acid binding)</t>
  </si>
  <si>
    <t>GO:0003824 (catalytic activity); GO:0016529 (sarcoplasmic reticulum); GO:0055120 (striated muscle dense body); GO:0031674 (I band)</t>
  </si>
  <si>
    <t>GO:0055085 (transmembrane transport); GO:0016020 (membrane); GO:0005515 (protein binding); GO:0016021 (integral component of membrane); GO:0005886 (plasma membrane); GO:0006811 (ion transport)</t>
  </si>
  <si>
    <t xml:space="preserve">Ras-related protein rab-11.1 </t>
  </si>
  <si>
    <t>GO:0016020 (membrane); GO:0005525 (GTP binding); GO:0005886 (plasma membrane); GO:0000166 (nucleotide binding); GO:0003924 (GTPase activity); GO:0000139 (Golgi membrane); GO:0005737 (cytoplasm); GO:0005794 (Golgi apparatus); GO:0015031 (protein transport); GO:0031410 (cytoplasmic vesicle); GO:0005856 (cytoskeleton); GO:0005768 (endosome); GO:0016324 (apical plasma membrane); GO:0006887 (exocytosis); GO:0005829 (cytosol); GO:0055038 (recycling endosome membrane); GO:0005815 (microtubule organizing center); GO:0055037 (recycling endosome); GO:0005819 (spindle); GO:0030133 (transport vesicle); GO:0009792 (embryo development ending in birth or egg hatching); GO:0006898 (receptor-mediated endocytosis); GO:0030703 (eggshell formation); GO:0060471 (cortical granule exocytosis); GO:0060473 (cortical granule); GO:0032467 (positive regulation of cytokinesis)</t>
  </si>
  <si>
    <t xml:space="preserve">Probable citrate synthase, mitochondrial </t>
  </si>
  <si>
    <t>GO:0006101 (citrate metabolic process); GO:0004108 (citrate (Si)-synthase activity); GO:0046912 (transferase activity, transferring acyl groups, acyl groups converted into alkyl on transfer)</t>
  </si>
  <si>
    <t>GO:0005524 (ATP binding); GO:0008152 (metabolic process); GO:0000166 (nucleotide binding); GO:0016874 (ligase activity); GO:0046872 (metal ion binding); GO:0006629 (lipid metabolic process); GO:0003989 (acetyl-CoA carboxylase activity); GO:0006633 (fatty acid biosynthetic process); GO:0006631 (fatty acid metabolic process); GO:0003824 (catalytic activity); GO:0045197 (establishment or maintenance of epithelial cell apical/basal polarity); GO:0002119 (nematode larval development); GO:0030104 (water homeostasis); GO:0005789 (endoplasmic reticulum membrane); GO:0009949 (polarity specification of anterior/posterior axis); GO:2001295 (malonyl-CoA biosynthetic process)</t>
  </si>
  <si>
    <t>GO:0005739 (mitochondrion); GO:0003735 (structural constituent of ribosome); GO:0005840 (ribosome); GO:0006412 (translation); GO:0005762 (mitochondrial large ribosomal subunit); GO:0032543 (mitochondrial translation); GO:0005761 (mitochondrial ribosome)</t>
  </si>
  <si>
    <t xml:space="preserve">USO1 (Yeast transport protein) homolog </t>
  </si>
  <si>
    <t>GO:0016020 (membrane); GO:0005737 (cytoplasm); GO:0005794 (Golgi apparatus); GO:0006886 (intracellular protein transport); GO:0016192 (vesicle-mediated transport); GO:0005783 (endoplasmic reticulum); GO:0006888 (endoplasmic reticulum to Golgi vesicle-mediated transport); GO:0005515 (protein binding); GO:0000139 (Golgi membrane); GO:0061025 (membrane fusion); GO:0005795 (Golgi stack); GO:0012507 (ER to Golgi transport vesicle membrane); GO:0045056 (transcytosis); GO:0048211 (Golgi vesicle docking); GO:0048280 (vesicle fusion with Golgi apparatus)</t>
  </si>
  <si>
    <t xml:space="preserve">Ubiquitin-fold modifier 1 </t>
  </si>
  <si>
    <t>GO:0005634 (nucleus); GO:0005737 (cytoplasm); GO:1990592 (protein K69-linked ufmylation); GO:0071569 (protein ufmylation)</t>
  </si>
  <si>
    <t xml:space="preserve">SYF pre-mRNA splicing factor homolog </t>
  </si>
  <si>
    <t>GO:0000974 (Prp19 complex); GO:0071007 (U2-type catalytic step 2 spliceosome); GO:0000398 (mRNA splicing, via spliceosome); GO:0006396 (RNA processing); GO:0005515 (protein binding); GO:0071014 (post-mRNA release spliceosomal complex); GO:0000349 (generation of catalytic spliceosome for first transesterification step)</t>
  </si>
  <si>
    <t xml:space="preserve">Kinetochore protein Nuf2 homolog </t>
  </si>
  <si>
    <t>GO:0031262 (Ndc80 complex); GO:0000776 (kinetochore)</t>
  </si>
  <si>
    <t xml:space="preserve">KNOB-like posterior (NO Backside) </t>
  </si>
  <si>
    <t>GO:0005634 (nucleus); GO:0003677 (DNA binding); GO:0006355 (regulation of transcription, DNA-templated); GO:0003700 (DNA-binding transcription factor activity); GO:0000977 (RNA polymerase II transcription regulatory region sequence-specific DNA binding); GO:0006357 (regulation of transcription by RNA polymerase II); GO:0030154 (cell differentiation); GO:0009948 (anterior/posterior axis specification); GO:0000981 (DNA-binding transcription factor activity, RNA polymerase II-specific); GO:0010172 (embryonic body morphogenesis); GO:0043565 (sequence-specific DNA binding); GO:0045138 (nematode male tail tip morphogenesis); GO:0009880 (embryonic pattern specification); GO:0009786 (regulation of asymmetric cell division); GO:0009887 (animal organ morphogenesis); GO:0009952 (anterior/posterior pattern specification); GO:0110039 (positive regulation of nematode male tail tip morphogenesis)</t>
  </si>
  <si>
    <t xml:space="preserve">AANAT (Arylalkylamine N-AcetylTransferase) homolog </t>
  </si>
  <si>
    <t>GO:0016020 (membrane); GO:0006811 (ion transport); GO:0005743 (mitochondrial inner membrane); GO:0015986 (ATP synthesis coupled proton transport); GO:0046933 (proton-transporting ATP synthase activity, rotational mechanism); GO:0006754 (ATP biosynthetic process); GO:0042776 (mitochondrial ATP synthesis coupled proton transport); GO:0000274 (mitochondrial proton-transporting ATP synthase, stator stalk); GO:0008340 (determination of adult lifespan); GO:0045261 (proton-transporting ATP synthase complex, catalytic core F(1))</t>
  </si>
  <si>
    <t xml:space="preserve">Golgi SNAP receptor complex member 1 </t>
  </si>
  <si>
    <t>GO:0005801 (cis-Golgi network); GO:0000139 (Golgi membrane); GO:0006888 (endoplasmic reticulum to Golgi vesicle-mediated transport); GO:0016021 (integral component of membrane)</t>
  </si>
  <si>
    <t xml:space="preserve">Ubiquitin-conjugating enzyme E2 1 </t>
  </si>
  <si>
    <t>GO:0000166 (nucleotide binding); GO:0016740 (transferase activity); GO:0000209 (protein polyubiquitination); GO:0016567 (protein ubiquitination); GO:0043161 (proteasome-mediated ubiquitin-dependent protein catabolic process); GO:0005524 (ATP binding); GO:0005515 (protein binding); GO:0061631 (ubiquitin conjugating enzyme activity); GO:0006281 (DNA repair); GO:0033503 (HULC complex); GO:0031625 (ubiquitin protein ligase binding); GO:0003697 (single-stranded DNA binding); GO:0031371 (ubiquitin conjugating enzyme complex); GO:0016574 (histone ubiquitination)</t>
  </si>
  <si>
    <t xml:space="preserve">NEDD8-activating enzyme E1 regulatory subunit </t>
  </si>
  <si>
    <t>GO:0005737 (cytoplasm); GO:0008641 (ubiquitin-like modifier activating enzyme activity); GO:0019781 (NEDD8 activating enzyme activity); GO:0045116 (protein neddylation); GO:0032446 (protein modification by small protein conjugation); GO:0043518 (negative regulation of DNA damage response, signal transduction by p53 class mediator); GO:0018215 (protein phosphopantetheinylation)</t>
  </si>
  <si>
    <t xml:space="preserve">Ras-related protein Rab-18 </t>
  </si>
  <si>
    <t>GO:0006364 (rRNA processing); GO:0032040 (small-subunit processome); GO:0034388 (Pwp2p-containing subcomplex of 90S preribosome); GO:0005515 (protein binding)</t>
  </si>
  <si>
    <t>GO:0016020 (membrane); GO:0016021 (integral component of membrane); GO:0045087 (innate immune response); GO:0050829 (defense response to Gram-negative bacterium)</t>
  </si>
  <si>
    <t xml:space="preserve">ALP/Enigma encoding </t>
  </si>
  <si>
    <t>GO:0003779 (actin binding); GO:0046872 (metal ion binding); GO:0030036 (actin cytoskeleton organization); GO:0030018 (Z disc); GO:0031941 (filamentous actin); GO:0005912 (adherens junction); GO:0051371 (muscle alpha-actinin binding); GO:0001725 (stress fiber); GO:0005634 (nucleus); GO:0005737 (cytoplasm); GO:0005911 (cell-cell junction); GO:0008340 (determination of adult lifespan); GO:0055120 (striated muscle dense body); GO:0045178 (basal part of cell); GO:0045177 (apical part of cell); GO:0043050 (pharyngeal pumping); GO:0061061 (muscle structure development); GO:0032432 (actin filament bundle); GO:0005515 (protein binding)</t>
  </si>
  <si>
    <t>GO:0050821 (protein stabilization); GO:0043066 (negative regulation of apoptotic process)</t>
  </si>
  <si>
    <t>GO:0005737 (cytoplasm); GO:0015629 (actin cytoskeleton); GO:0030041 (actin filament polymerization); GO:0005515 (protein binding)</t>
  </si>
  <si>
    <t xml:space="preserve">Cell cycle checkpoint protein RAD1 homolog mrt-2 </t>
  </si>
  <si>
    <t>GO:0000077 (DNA damage checkpoint); GO:0005634 (nucleus)</t>
  </si>
  <si>
    <t>GO:0016020 (membrane); GO:0016021 (integral component of membrane); GO:0006811 (ion transport); GO:0005886 (plasma membrane); GO:0055085 (transmembrane transport); GO:0071805 (potassium ion transmembrane transport); GO:0006812 (cation transport); GO:0005768 (endosome); GO:0098656 (anion transmembrane transport); GO:1902600 (proton transmembrane transport); GO:0006814 (sodium ion transport); GO:0051453 (regulation of intracellular pH); GO:0006885 (regulation of pH); GO:0015297 (antiporter activity); GO:0015299 (solute:proton antiporter activity); GO:0015385 (sodium:proton antiporter activity); GO:0015386 (potassium:proton antiporter activity); GO:0098719 (sodium ion import across plasma membrane); GO:0055037 (recycling endosome); GO:0010008 (endosome membrane)</t>
  </si>
  <si>
    <t>GO:0016567 (protein ubiquitination); GO:0031464 (Cul4A-RING E3 ubiquitin ligase complex); GO:0046872 (metal ion binding)</t>
  </si>
  <si>
    <t xml:space="preserve">SynDaPiN (Synaptic dynamin binding protein) homolog </t>
  </si>
  <si>
    <t>GO:0005737 (cytoplasm); GO:0005886 (plasma membrane); GO:0007010 (cytoskeleton organization); GO:0005856 (cytoskeleton); GO:0005768 (endosome); GO:0005543 (phospholipid binding); GO:0097320 (plasma membrane tubulation); GO:0030100 (regulation of endocytosis); GO:0055037 (recycling endosome); GO:0005515 (protein binding); GO:0055038 (recycling endosome membrane); GO:0032456 (endocytic recycling); GO:0005769 (early endosome)</t>
  </si>
  <si>
    <t>GO:0005096 (GTPase activator activity); GO:0006886 (intracellular protein transport); GO:0090630 (activation of GTPase activity); GO:0005776 (autophagosome); GO:0055037 (recycling endosome); GO:2000785 (regulation of autophagosome assembly)</t>
  </si>
  <si>
    <t>GO:0016020 (membrane); GO:0016021 (integral component of membrane); GO:0005789 (endoplasmic reticulum membrane); GO:0005783 (endoplasmic reticulum); GO:0007029 (endoplasmic reticulum organization)</t>
  </si>
  <si>
    <t xml:space="preserve">THO Complex (Transcription factor/nuclear export) subunit </t>
  </si>
  <si>
    <t>GO:0005634 (nucleus); GO:0006397 (mRNA processing); GO:0000445 (THO complex part of transcription export complex); GO:0006406 (mRNA export from nucleus); GO:0000347 (THO complex)</t>
  </si>
  <si>
    <t>GO:0003779 (actin binding); GO:0007009 (plasma membrane organization); GO:0005515 (protein binding); GO:0030031 (cell projection assembly); GO:0030175 (filopodium); GO:0061024 (membrane organization); GO:0031235 (intrinsic component of the cytoplasmic side of the plasma membrane)</t>
  </si>
  <si>
    <t xml:space="preserve">Serine/threonine-protein phosphatase 2A regulatory subunit pptr-1 </t>
  </si>
  <si>
    <t>GO:0007165 (signal transduction); GO:0000159 (protein phosphatase type 2A complex); GO:0019888 (protein phosphatase regulator activity)</t>
  </si>
  <si>
    <t xml:space="preserve">EthanolaminePhosphoTransferase 1 homolog </t>
  </si>
  <si>
    <t>GO:0016020 (membrane); GO:0016021 (integral component of membrane); GO:0016740 (transferase activity); GO:0005789 (endoplasmic reticulum membrane); GO:0005794 (Golgi apparatus); GO:0004307 (ethanolaminephosphotransferase activity); GO:0006646 (phosphatidylethanolamine biosynthetic process); GO:0008654 (phospholipid biosynthetic process); GO:0016780 (phosphotransferase activity, for other substituted phosphate groups)</t>
  </si>
  <si>
    <t>GO:0005272 (sodium channel activity); GO:0006814 (sodium ion transport); GO:0016020 (membrane); GO:0016021 (integral component of membrane); GO:0006811 (ion transport); GO:0005887 (integral component of plasma membrane); GO:0035725 (sodium ion transmembrane transport); GO:0015280 (ligand-gated sodium channel activity)</t>
  </si>
  <si>
    <t xml:space="preserve">ENdoSulfine Alpha </t>
  </si>
  <si>
    <t>GO:0005737 (cytoplasm); GO:0007049 (cell cycle); GO:0051301 (cell division); GO:0035308 (negative regulation of protein dephosphorylation); GO:0032515 (negative regulation of phosphoprotein phosphatase activity); GO:0004864 (protein phosphatase inhibitor activity)</t>
  </si>
  <si>
    <t>GO:0005743 (mitochondrial inner membrane); GO:0000275 (mitochondrial proton-transporting ATP synthase complex, catalytic sector F(1)); GO:0015986 (ATP synthesis coupled proton transport); GO:0046933 (proton-transporting ATP synthase activity, rotational mechanism)</t>
  </si>
  <si>
    <t xml:space="preserve">Putative ATP-dependent DNA helicase Q1 </t>
  </si>
  <si>
    <t>GO:0005524 (ATP binding); GO:0005737 (cytoplasm); GO:0016787 (hydrolase activity); GO:0004386 (helicase activity); GO:0005634 (nucleus); GO:0000166 (nucleotide binding); GO:0003676 (nucleic acid binding); GO:0000724 (double-strand break repair via homologous recombination); GO:0006281 (DNA repair); GO:0043138 (3'-5' DNA helicase activity); GO:0032508 (DNA duplex unwinding); GO:0006310 (DNA recombination); GO:0000733 (DNA strand renaturation); GO:0005694 (chromosome); GO:0009378 (four-way junction helicase activity); GO:0036310 (annealing helicase activity); GO:0003678 (DNA helicase activity); GO:0006268 (DNA unwinding involved in DNA replication); GO:0016887 (ATPase activity)</t>
  </si>
  <si>
    <t xml:space="preserve">SUppressor-of-Forked (Drosophila) homolog </t>
  </si>
  <si>
    <t>GO:0005634 (nucleus); GO:0003729 (mRNA binding); GO:0006396 (RNA processing); GO:0006397 (mRNA processing); GO:0031123 (RNA 3'-end processing); GO:0005515 (protein binding)</t>
  </si>
  <si>
    <t>GO:0003723 (RNA binding); GO:0003735 (structural constituent of ribosome); GO:0005840 (ribosome); GO:0006412 (translation); GO:0022625 (cytosolic large ribosomal subunit); GO:0042273 (ribosomal large subunit biogenesis)</t>
  </si>
  <si>
    <t xml:space="preserve">40S ribosomal protein S4 </t>
  </si>
  <si>
    <t>GO:0003723 (RNA binding); GO:0003735 (structural constituent of ribosome); GO:0005840 (ribosome); GO:0006412 (translation); GO:0022627 (cytosolic small ribosomal subunit); GO:0019843 (rRNA binding)</t>
  </si>
  <si>
    <t>GO:0016020 (membrane); GO:0016021 (integral component of membrane); GO:0016491 (oxidoreductase activity); GO:0016620 (oxidoreductase activity, acting on the aldehyde or oxo group of donors, NAD or NADP as acceptor); GO:0004028 (3-chloroallyl aldehyde dehydrogenase activity); GO:0006081 (cellular aldehyde metabolic process); GO:0055114 (oxidation-reduction process)</t>
  </si>
  <si>
    <t xml:space="preserve">Heterogeneous nuclear RibonucleoProtein U </t>
  </si>
  <si>
    <t xml:space="preserve">LIM and SH3 domain protein F42H10.3 </t>
  </si>
  <si>
    <t>GO:0046872 (metal ion binding); GO:0051015 (actin filament binding); GO:0005925 (focal adhesion); GO:0003674 (molecular_function); GO:0008150 (biological_process); GO:0055120 (striated muscle dense body); GO:0030054 (cell junction); GO:0005515 (protein binding)</t>
  </si>
  <si>
    <t>GO:0007165 (signal transduction); GO:0003796 (lysozyme activity); GO:0005515 (protein binding); GO:0045087 (innate immune response); GO:0016998 (cell wall macromolecule catabolic process); GO:1905905 (pharyngeal gland morphogenesis); GO:0009253 (peptidoglycan catabolic process)</t>
  </si>
  <si>
    <t xml:space="preserve">CaDmium Responsive; Cadmium-inducible lysosomal protein CDR-6 </t>
  </si>
  <si>
    <t>GO:0016236 (macroautophagy); GO:0000407 (phagophore assembly site); GO:0043130 (ubiquitin binding); GO:0005515 (protein binding)</t>
  </si>
  <si>
    <t>GO:0005634 (nucleus); GO:0005730 (nucleolus); GO:0042254 (ribosome biogenesis); GO:0032040 (small-subunit processome); GO:0030490 (maturation of SSU-rRNA); GO:0030692 (Noc4p-Nop14p complex)</t>
  </si>
  <si>
    <t xml:space="preserve">MAP kinase-activated protein kinase mak-2 </t>
  </si>
  <si>
    <t>GO:0016020 (membrane); GO:0016021 (integral component of membrane); GO:0045202 (synapse); GO:0016477 (cell migration); GO:0009966 (regulation of signal transduction); GO:0009986 (cell surface); GO:0046658 (anchored component of plasma membrane); GO:0062023 (collagen-containing extracellular matrix); GO:1905475 (regulation of protein localization to membrane)</t>
  </si>
  <si>
    <t xml:space="preserve">Cytochrome c oxidase subunit 6A, mitochondrial </t>
  </si>
  <si>
    <t>GO:0005751 (mitochondrial respiratory chain complex IV); GO:0005743 (mitochondrial inner membrane); GO:0004129 (cytochrome-c oxidase activity)</t>
  </si>
  <si>
    <t>GO:0006355 (regulation of transcription, DNA-templated); GO:0003690 (double-stranded DNA binding)</t>
  </si>
  <si>
    <t>GO:0016791 (phosphatase activity); GO:0016787 (hydrolase activity); GO:0008168 (methyltransferase activity); GO:0032259 (methylation); GO:0046872 (metal ion binding); GO:0016311 (dephosphorylation); GO:0006479 (protein methylation); GO:0051998 (protein carboxyl O-methyltransferase activity); GO:2001020 (regulation of response to DNA damage stimulus); GO:0008983 (protein-glutamate O-methyltransferase activity); GO:0097023 (fructose 6-phosphate aldolase activity); GO:0103026 (fructose-1-phosphatase activity)</t>
  </si>
  <si>
    <t xml:space="preserve">Repressor of RNA polymerase III transcription MAF1 </t>
  </si>
  <si>
    <t>GO:0005634 (nucleus); GO:0016480 (negative regulation of transcription by RNA polymerase III); GO:0000994 (RNA polymerase III core binding); GO:0005737 (cytoplasm)</t>
  </si>
  <si>
    <t xml:space="preserve">Protein disulfide-isomerase A6 homolog </t>
  </si>
  <si>
    <t>GO:0003756 (protein disulfide isomerase activity)</t>
  </si>
  <si>
    <t xml:space="preserve">Transcription initiation factor IIE subunit beta </t>
  </si>
  <si>
    <t>GO:0005634 (nucleus); GO:0003743 (translation initiation factor activity); GO:0006413 (translational initiation); GO:0003677 (DNA binding); GO:0006367 (transcription initiation from RNA polymerase II promoter); GO:0005673 (transcription factor TFIIE complex); GO:0000993 (RNA polymerase II complex binding)</t>
  </si>
  <si>
    <t>GO:0016020 (membrane); GO:0016021 (integral component of membrane); GO:0015031 (protein transport); GO:0006890 (retrograde vesicle-mediated transport, Golgi to endoplasmic reticulum); GO:0030173 (integral component of Golgi membrane); GO:0005783 (endoplasmic reticulum); GO:0006621 (protein retention in ER lumen)</t>
  </si>
  <si>
    <t xml:space="preserve">Phosphocholine CYtidylylTransferase </t>
  </si>
  <si>
    <t>GO:0003824 (catalytic activity); GO:0009058 (biosynthetic process); GO:0006629 (lipid metabolic process); GO:0005515 (protein binding); GO:0008654 (phospholipid biosynthetic process); GO:0004306 (ethanolamine-phosphate cytidylyltransferase activity); GO:0006646 (phosphatidylethanolamine biosynthetic process)</t>
  </si>
  <si>
    <t xml:space="preserve">P300/CBP Associated Factor homolog </t>
  </si>
  <si>
    <t>GO:0005634 (nucleus); GO:0016740 (transferase activity); GO:0006355 (regulation of transcription, DNA-templated); GO:0005856 (cytoskeleton); GO:0016573 (histone acetylation); GO:0004402 (histone acetyltransferase activity); GO:0005815 (microtubule organizing center); GO:0008080 (N-acetyltransferase activity); GO:0005515 (protein binding)</t>
  </si>
  <si>
    <t xml:space="preserve">Nuclear hormone receptor family member nhr-69 </t>
  </si>
  <si>
    <t xml:space="preserve">U6 snRNA-associated Sm-like protein LSm8 </t>
  </si>
  <si>
    <t>GO:0005634 (nucleus); GO:0000398 (mRNA splicing, via spliceosome); GO:0003723 (RNA binding); GO:0005688 (U6 snRNP); GO:0046540 (U4/U6 x U5 tri-snRNP complex); GO:0006397 (mRNA processing); GO:0008380 (RNA splicing); GO:0005681 (spliceosomal complex); GO:0071011 (precatalytic spliceosome); GO:0016070 (RNA metabolic process)</t>
  </si>
  <si>
    <t xml:space="preserve">Probable dynactin subunit 2 </t>
  </si>
  <si>
    <t>GO:0005869 (dynactin complex); GO:0007017 (microtubule-based process)</t>
  </si>
  <si>
    <t>GO:0016787 (hydrolase activity); GO:0005634 (nucleus); GO:0046872 (metal ion binding); GO:0045944 (positive regulation of transcription by RNA polymerase II); GO:0004407 (histone deacetylase activity); GO:0006325 (chromatin organization); GO:0032041 (NAD-dependent histone deacetylase activity (H3-K14 specific)); GO:0000118 (histone deacetylase complex); GO:0016575 (histone deacetylation); GO:0070932 (histone H3 deacetylation); GO:0070933 (histone H4 deacetylation); GO:0000122 (negative regulation of transcription by RNA polymerase II); GO:0003714 (transcription corepressor activity); GO:0042262 (DNA protection)</t>
  </si>
  <si>
    <t>GO:0003824 (catalytic activity); GO:0005783 (endoplasmic reticulum); GO:0001667 (ameboidal-type cell migration); GO:0008117 (sphinganine-1-phosphate aldolase activity); GO:0030149 (sphingolipid catabolic process)</t>
  </si>
  <si>
    <t xml:space="preserve">Eukaryotic translation initiation factor 3 subunit D </t>
  </si>
  <si>
    <t>GO:0005524 (ATP binding); GO:0003824 (catalytic activity); GO:0016310 (phosphorylation); GO:0009058 (biosynthetic process); GO:0004140 (dephospho-CoA kinase activity); GO:0015937 (coenzyme A biosynthetic process)</t>
  </si>
  <si>
    <t>GO:0005634 (nucleus); GO:0003700 (DNA-binding transcription factor activity); GO:0006355 (regulation of transcription, DNA-templated); GO:0005515 (protein binding); GO:0007623 (circadian rhythm); GO:0000977 (RNA polymerase II transcription regulatory region sequence-specific DNA binding); GO:0000122 (negative regulation of transcription by RNA polymerase II)</t>
  </si>
  <si>
    <t xml:space="preserve">Pol II C-terminal Interaction Domain Suppressor </t>
  </si>
  <si>
    <t>GO:0000993 (RNA polymerase II complex binding); GO:0016591 (RNA polymerase II, holoenzyme); GO:0031124 (mRNA 3'-end processing)</t>
  </si>
  <si>
    <t xml:space="preserve">Eukaryotic translation initiation factor 2-alpha kinase pek-1 </t>
  </si>
  <si>
    <t xml:space="preserve">Mediator of RNA polymerase II transcription subunit 21 </t>
  </si>
  <si>
    <t xml:space="preserve">Clk-2 Upstream, human gene XE7 related </t>
  </si>
  <si>
    <t xml:space="preserve">Neuroligin-1 </t>
  </si>
  <si>
    <t>GO:0016020 (membrane); GO:0016021 (integral component of membrane); GO:0005886 (plasma membrane); GO:0045202 (synapse); GO:0030424 (axon); GO:0030425 (dendrite); GO:0097112 (gamma-aminobutyric acid receptor clustering)</t>
  </si>
  <si>
    <t>GO:0000815 (ESCRT III complex); GO:0005771 (multivesicular body); GO:0007034 (vacuolar transport); GO:0032511 (late endosome to vacuole transport via multivesicular body sorting pathway); GO:0006900 (vesicle budding from membrane); GO:0009898 (cytoplasmic side of plasma membrane)</t>
  </si>
  <si>
    <t xml:space="preserve">Esterase C25G4.2 </t>
  </si>
  <si>
    <t>GO:0005634 (nucleus); GO:0005737 (cytoplasm); GO:0016787 (hydrolase activity); GO:0032526 (response to retinoic acid)</t>
  </si>
  <si>
    <t>GO:0005634 (nucleus); GO:0005829 (cytosol); GO:0042274 (ribosomal small subunit biogenesis); GO:0000056 (ribosomal small subunit export from nucleus); GO:0030688 (preribosome, small subunit precursor)</t>
  </si>
  <si>
    <t xml:space="preserve">Zinc finger protein dpff-1 </t>
  </si>
  <si>
    <t>GO:0071565 (nBAF complex); GO:0008270 (zinc ion binding)</t>
  </si>
  <si>
    <t>GO:0045087 (innate immune response); GO:0016020 (membrane)</t>
  </si>
  <si>
    <t xml:space="preserve">2-amino-3-carboxymuconate-6-semialdehyde decarboxylase </t>
  </si>
  <si>
    <t>GO:0016787 (hydrolase activity); GO:0005737 (cytoplasm); GO:0016829 (lyase activity); GO:0016831 (carboxy-lyase activity); GO:0005829 (cytosol); GO:0001760 (aminocarboxymuconate-semialdehyde decarboxylase activity); GO:1904985 (negative regulation of quinolinate biosynthetic process)</t>
  </si>
  <si>
    <t xml:space="preserve">COLlagen structural; DumPY: shorter than wild-type </t>
  </si>
  <si>
    <t>GO:0016020 (membrane); GO:0016021 (integral component of membrane); GO:0005581 (collagen trimer); GO:0005615 (extracellular space); GO:0030198 (extracellular matrix organization); GO:0042302 (structural constituent of cuticle); GO:0005201 (extracellular matrix structural constituent); GO:0031012 (extracellular matrix)</t>
  </si>
  <si>
    <t xml:space="preserve">Initiation Factor 4G (eIF4G) family </t>
  </si>
  <si>
    <t>GO:0003723 (RNA binding); GO:0003729 (mRNA binding); GO:0003743 (translation initiation factor activity); GO:0016281 (eukaryotic translation initiation factor 4F complex); GO:0006413 (translational initiation); GO:0005829 (cytosol); GO:0005515 (protein binding)</t>
  </si>
  <si>
    <t>GO:0003723 (RNA binding); GO:0003676 (nucleic acid binding); GO:1990904 (ribonucleoprotein complex); GO:0005654 (nucleoplasm); GO:0043484 (regulation of RNA splicing)</t>
  </si>
  <si>
    <t>GO:0005615 (extracellular space); GO:0006629 (lipid metabolic process); GO:0006665 (sphingolipid metabolic process); GO:0005764 (lysosome)</t>
  </si>
  <si>
    <t xml:space="preserve">Alpha-tubulin N-acetyltransferase 2 </t>
  </si>
  <si>
    <t>GO:0071929 (alpha-tubulin acetylation); GO:0019799 (tubulin N-acetyltransferase activity); GO:0005874 (microtubule)</t>
  </si>
  <si>
    <t xml:space="preserve">DNA replication complex GINS protein SLD5 </t>
  </si>
  <si>
    <t>GO:0005634 (nucleus); GO:0006260 (DNA replication); GO:0006261 (DNA-dependent DNA replication); GO:0000727 (double-strand break repair via break-induced replication); GO:0000811 (GINS complex)</t>
  </si>
  <si>
    <t xml:space="preserve">Frataxin, mitochondrial </t>
  </si>
  <si>
    <t>GO:0004322 (ferroxidase activity); GO:0008199 (ferric iron binding); GO:0016226 (iron-sulfur cluster assembly); GO:0005739 (mitochondrion); GO:0055114 (oxidation-reduction process)</t>
  </si>
  <si>
    <t>GO:0016787 (hydrolase activity); GO:0005634 (nucleus); GO:0005737 (cytoplasm); GO:0006508 (proteolysis); GO:0008233 (peptidase activity); GO:0016579 (protein deubiquitination); GO:0101005 (ubiquitinyl hydrolase activity); GO:0070646 (protein modification by small protein removal)</t>
  </si>
  <si>
    <t xml:space="preserve">Protein arginine N-methyltransferase 7 </t>
  </si>
  <si>
    <t>GO:0018216 (peptidyl-arginine methylation); GO:0016274 (protein-arginine N-methyltransferase activity); GO:0006479 (protein methylation); GO:0008168 (methyltransferase activity)</t>
  </si>
  <si>
    <t>GO:0000978 (RNA polymerase II cis-regulatory region sequence-specific DNA binding); GO:0000981 (DNA-binding transcription factor activity, RNA polymerase II-specific); GO:0006355 (regulation of transcription, DNA-templated); GO:0006357 (regulation of transcription by RNA polymerase II); GO:0030154 (cell differentiation); GO:0009653 (anatomical structure morphogenesis); GO:0045087 (innate immune response)</t>
  </si>
  <si>
    <t xml:space="preserve">DNA-directed RNA polymerase II subunit RPB2 </t>
  </si>
  <si>
    <t>GO:0003677 (DNA binding); GO:0005634 (nucleus); GO:0046872 (metal ion binding); GO:0016740 (transferase activity); GO:0016779 (nucleotidyltransferase activity); GO:0006351 (transcription, DNA-templated); GO:0003899 (DNA-directed 5'-3' RNA polymerase activity); GO:0005665 (RNA polymerase II, core complex); GO:0032549 (ribonucleoside binding)</t>
  </si>
  <si>
    <t>GO:0046856 (phosphatidylinositol dephosphorylation); GO:0004438 (phosphatidylinositol-3-phosphatase activity)</t>
  </si>
  <si>
    <t>GO:0009966 (regulation of signal transduction); GO:0032515 (negative regulation of phosphoprotein phosphatase activity); GO:0004864 (protein phosphatase inhibitor activity); GO:0043666 (regulation of phosphoprotein phosphatase activity); GO:0010824 (regulation of centrosome duplication); GO:0051301 (cell division); GO:0051304 (chromosome separation); GO:0007098 (centrosome cycle)</t>
  </si>
  <si>
    <t xml:space="preserve">Putative sphingolipid delta(4)-desaturase/C4-monooxygenase </t>
  </si>
  <si>
    <t>GO:0030148 (sphingolipid biosynthetic process); GO:0042284 (sphingolipid delta-4 desaturase activity); GO:0006629 (lipid metabolic process); GO:0016021 (integral component of membrane)</t>
  </si>
  <si>
    <t xml:space="preserve">Probable cytoplasmic aconitate hydratase </t>
  </si>
  <si>
    <t xml:space="preserve">Probable ATP-dependent RNA helicase DDX55 homolog </t>
  </si>
  <si>
    <t>GO:0005524 (ATP binding); GO:0016787 (hydrolase activity); GO:0004386 (helicase activity); GO:0000166 (nucleotide binding); GO:0003676 (nucleic acid binding); GO:0003723 (RNA binding); GO:0005730 (nucleolus); GO:0003724 (RNA helicase activity); GO:0016887 (ATPase activity)</t>
  </si>
  <si>
    <t xml:space="preserve">Cation Diffusion Facilitator family </t>
  </si>
  <si>
    <t>GO:0016020 (membrane); GO:0016021 (integral component of membrane); GO:0005886 (plasma membrane); GO:0055085 (transmembrane transport); GO:0006812 (cation transport); GO:0008324 (cation transmembrane transporter activity); GO:0005385 (zinc ion transmembrane transporter activity); GO:0010043 (response to zinc ion); GO:0061088 (regulation of sequestering of zinc ion); GO:0071577 (zinc ion transmembrane transport); GO:0006829 (zinc ion transport); GO:0044841 (gut granule membrane); GO:0071294 (cellular response to zinc ion)</t>
  </si>
  <si>
    <t xml:space="preserve">Probable very-long-chain enoyl-CoA reductase art-1 </t>
  </si>
  <si>
    <t>GO:0016020 (membrane); GO:0016021 (integral component of membrane); GO:0016491 (oxidoreductase activity); GO:0016627 (oxidoreductase activity, acting on the CH-CH group of donors); GO:0006629 (lipid metabolic process); GO:0005783 (endoplasmic reticulum); GO:0005789 (endoplasmic reticulum membrane); GO:0006631 (fatty acid metabolic process); GO:0006633 (fatty acid biosynthetic process); GO:0042761 (very long-chain fatty acid biosynthetic process); GO:0102758 (very-long-chain enoyl-CoA reductase activity); GO:0005515 (protein binding)</t>
  </si>
  <si>
    <t xml:space="preserve">SAM50-like protein gop-3 </t>
  </si>
  <si>
    <t>GO:0016020 (membrane); GO:0016021 (integral component of membrane); GO:0005739 (mitochondrion); GO:0005741 (mitochondrial outer membrane); GO:0019867 (outer membrane); GO:0033108 (mitochondrial respiratory chain complex assembly); GO:0034622 (cellular protein-containing complex assembly); GO:0045040 (protein insertion into mitochondrial outer membrane); GO:0001401 (SAM complex)</t>
  </si>
  <si>
    <t>GO:0005730 (nucleolus); GO:0019901 (protein kinase binding); GO:0003725 (double-stranded RNA binding); GO:0004860 (protein kinase inhibitor activity); GO:0006469 (negative regulation of protein kinase activity)</t>
  </si>
  <si>
    <t xml:space="preserve">Modifier of cell death </t>
  </si>
  <si>
    <t xml:space="preserve">Inner Mitochondrial Membrane Protease </t>
  </si>
  <si>
    <t>GO:0016020 (membrane); GO:0016021 (integral component of membrane); GO:0006508 (proteolysis); GO:0006627 (protein processing involved in protein targeting to mitochondrion); GO:0008233 (peptidase activity); GO:0004252 (serine-type endopeptidase activity); GO:0005739 (mitochondrion); GO:0005743 (mitochondrial inner membrane); GO:0008236 (serine-type peptidase activity); GO:0006465 (signal peptide processing); GO:0033108 (mitochondrial respiratory chain complex assembly); GO:0042720 (mitochondrial inner membrane peptidase complex)</t>
  </si>
  <si>
    <t xml:space="preserve">GUanylate Kinase </t>
  </si>
  <si>
    <t>GO:0016301 (kinase activity); GO:0016310 (phosphorylation); GO:0000166 (nucleotide binding); GO:0016740 (transferase activity); GO:0005524 (ATP binding); GO:0005829 (cytosol); GO:0004385 (guanylate kinase activity); GO:0006163 (purine nucleotide metabolic process); GO:0046037 (GMP metabolic process); GO:0046710 (GDP metabolic process)</t>
  </si>
  <si>
    <t xml:space="preserve">Mitogen-activated protein kinase mpk-1 </t>
  </si>
  <si>
    <t>GO:0016740 (transferase activity); GO:0009058 (biosynthetic process); GO:0016779 (nucleotidyltransferase activity)</t>
  </si>
  <si>
    <t xml:space="preserve">Ras-related protein Rab-10 </t>
  </si>
  <si>
    <t xml:space="preserve">RNA-dependent RNA polymerase Family </t>
  </si>
  <si>
    <t>GO:0016740 (transferase activity); GO:0003723 (RNA binding); GO:0031047 (gene silencing by RNA); GO:0005515 (protein binding); GO:0031380 (nuclear RNA-directed RNA polymerase complex); GO:0001172 (transcription, RNA-templated); GO:0003968 (RNA-directed 5'-3' RNA polymerase activity); GO:0030422 (production of siRNA involved in RNA interference); GO:0070919 (production of siRNA involved in chromatin silencing by small RNA); GO:0031048 (heterochromatin assembly by small RNA)</t>
  </si>
  <si>
    <t xml:space="preserve">Sex-determining transformer protein 2 </t>
  </si>
  <si>
    <t>GO:0016020 (membrane); GO:0016021 (integral component of membrane); GO:0004888 (transmembrane signaling receptor activity); GO:0005886 (plasma membrane); GO:0007275 (multicellular organism development); GO:0005515 (protein binding); GO:0018992 (germ-line sex determination); GO:0040021 (hermaphrodite germ-line sex determination); GO:0042001 (hermaphrodite somatic sex determination); GO:0030154 (cell differentiation); GO:0007548 (sex differentiation); GO:0007283 (spermatogenesis); GO:0007530 (sex determination); GO:0038023 (signaling receptor activity); GO:0005634 (nucleus); GO:0005737 (cytoplasm); GO:0048471 (perinuclear region of cytoplasm); GO:0048601 (oocyte morphogenesis); GO:0008585 (female gonad development); GO:0030716 (oocyte fate determination); GO:0048599 (oocyte development); GO:0005887 (integral component of plasma membrane)</t>
  </si>
  <si>
    <t xml:space="preserve">Serine/threonine-protein kinase RIO3 </t>
  </si>
  <si>
    <t>GO:0005524 (ATP binding); GO:0004674 (protein serine/threonine kinase activity); GO:0006468 (protein phosphorylation); GO:0016301 (kinase activity); GO:0016310 (phosphorylation); GO:0046872 (metal ion binding); GO:0000166 (nucleotide binding); GO:0016740 (transferase activity); GO:0005829 (cytosol); GO:0030490 (maturation of SSU-rRNA); GO:0030688 (preribosome, small subunit precursor); GO:0106310 (protein serine kinase activity); GO:0106311 (protein threonine kinase activity)</t>
  </si>
  <si>
    <t xml:space="preserve">E3 SUMO-protein ligase gei-17 </t>
  </si>
  <si>
    <t>GO:0019789 (SUMO transferase activity); GO:0008270 (zinc ion binding)</t>
  </si>
  <si>
    <t>GO:0005634 (nucleus); GO:0003723 (RNA binding); GO:0003676 (nucleic acid binding); GO:0003729 (mRNA binding); GO:0048024 (regulation of mRNA splicing, via spliceosome)</t>
  </si>
  <si>
    <t>GO:0016020 (membrane); GO:0005509 (calcium ion binding); GO:0005525 (GTP binding); GO:0005886 (plasma membrane); GO:0015031 (protein transport); GO:0043231 (intracellular membrane-bounded organelle); GO:0005524 (ATP binding); GO:0072659 (protein localization to plasma membrane); GO:0005768 (endosome); GO:0005929 (cilium); GO:0042995 (cell projection); GO:0005769 (early endosome); GO:0030030 (cell projection organization); GO:0060271 (cilium assembly); GO:0006897 (endocytosis); GO:0055038 (recycling endosome membrane); GO:0032456 (endocytic recycling); GO:0010008 (endosome membrane); GO:0048471 (perinuclear region of cytoplasm); GO:0016197 (endosomal transport); GO:0060170 (ciliary membrane); GO:0030139 (endocytic vesicle); GO:0005737 (cytoplasm); GO:0019904 (protein domain specific binding); GO:0010940 (positive regulation of necrotic cell death); GO:0016887 (ATPase activity); GO:0060990 (lipid tube assembly involved in organelle fission); GO:0012505 (endomembrane system); GO:0055037 (recycling endosome); GO:0005515 (protein binding); GO:1904950 (negative regulation of establishment of protein localization)</t>
  </si>
  <si>
    <t xml:space="preserve">Ubiquitin-like modifier-activating enzyme 5 </t>
  </si>
  <si>
    <t>GO:0005737 (cytoplasm); GO:0046872 (metal ion binding); GO:0000166 (nucleotide binding); GO:0005524 (ATP binding); GO:0005829 (cytosol); GO:0008340 (determination of adult lifespan); GO:0008641 (ubiquitin-like modifier activating enzyme activity); GO:0032446 (protein modification by small protein conjugation); GO:0000003 (reproduction); GO:0031624 (ubiquitin conjugating enzyme binding); GO:0071566 (UFM1 activating enzyme activity); GO:0071569 (protein ufmylation); GO:0097501 (stress response to metal ion); GO:0018215 (protein phosphopantetheinylation)</t>
  </si>
  <si>
    <t>GO:0005730 (nucleolus); GO:0030686 (90S preribosome); GO:0000447 (endonucleolytic cleavage in ITS1 to separate SSU-rRNA from 5.8S rRNA and LSU-rRNA from tricistronic rRNA transcript (SSU-rRNA, 5.8S rRNA, LSU-rRNA))</t>
  </si>
  <si>
    <t xml:space="preserve">Vesicle transport protein USE1 </t>
  </si>
  <si>
    <t>GO:0016020 (membrane); GO:0016021 (integral component of membrane); GO:0015031 (protein transport); GO:0016192 (vesicle-mediated transport); GO:0005783 (endoplasmic reticulum); GO:0031201 (SNARE complex); GO:0006890 (retrograde vesicle-mediated transport, Golgi to endoplasmic reticulum); GO:0005789 (endoplasmic reticulum membrane); GO:0005484 (SNAP receptor activity); GO:0061025 (membrane fusion)</t>
  </si>
  <si>
    <t>GO:0005865 (striated muscle thin filament); GO:0055120 (striated muscle dense body)</t>
  </si>
  <si>
    <t xml:space="preserve">Yeast PRP (Splicing factor) related </t>
  </si>
  <si>
    <t>GO:0017070 (U6 snRNA binding); GO:0000398 (mRNA splicing, via spliceosome); GO:0046540 (U4/U6 x U5 tri-snRNP complex); GO:0005681 (spliceosomal complex); GO:0016607 (nuclear speck); GO:0030621 (U4 snRNA binding); GO:0005515 (protein binding)</t>
  </si>
  <si>
    <t xml:space="preserve">Probable splicing factor, arginine/serine-rich 3 </t>
  </si>
  <si>
    <t>GO:0005634 (nucleus); GO:0000398 (mRNA splicing, via spliceosome); GO:0003723 (RNA binding); GO:0003676 (nucleic acid binding); GO:0016607 (nuclear speck); GO:0007275 (multicellular organism development); GO:0005515 (protein binding); GO:0009792 (embryo development ending in birth or egg hatching); GO:0006397 (mRNA processing); GO:0008380 (RNA splicing); GO:0000380 (alternative mRNA splicing, via spliceosome); GO:0006376 (mRNA splice site selection)</t>
  </si>
  <si>
    <t xml:space="preserve">Gamma-secretase subunit pen-2 </t>
  </si>
  <si>
    <t>GO:0005747 (mitochondrial respiratory chain complex I); GO:0008137 (NADH dehydrogenase (ubiquinone) activity); GO:0016651 (oxidoreductase activity, acting on NAD(P)H); GO:0008340 (determination of adult lifespan); GO:0005739 (mitochondrion); GO:0006120 (mitochondrial electron transport, NADH to ubiquinone); GO:0055114 (oxidation-reduction process)</t>
  </si>
  <si>
    <t xml:space="preserve">mRNA-decapping enzyme 2 </t>
  </si>
  <si>
    <t>GO:0050072 (m7G(5')pppN diphosphatase activity); GO:0000184 (nuclear-transcribed mRNA catabolic process, nonsense-mediated decay); GO:0000290 (deadenylation-dependent decapping of nuclear-transcribed mRNA); GO:0016787 (hydrolase activity); GO:0003723 (RNA binding); GO:0030145 (manganese ion binding)</t>
  </si>
  <si>
    <t xml:space="preserve">39S ribosomal protein L41, mitochondrial </t>
  </si>
  <si>
    <t>GO:0006412 (translation); GO:0005739 (mitochondrion); GO:0005840 (ribosome); GO:0005762 (mitochondrial large ribosomal subunit); GO:0003735 (structural constituent of ribosome); GO:1990904 (ribonucleoprotein complex)</t>
  </si>
  <si>
    <t xml:space="preserve">Probable ATP synthase subunit g 1, mitochondrial </t>
  </si>
  <si>
    <t>GO:0000276 (mitochondrial proton-transporting ATP synthase complex, coupling factor F(o)); GO:0015078 (proton transmembrane transporter activity); GO:0015986 (ATP synthesis coupled proton transport)</t>
  </si>
  <si>
    <t>GO:0003700 (DNA-binding transcription factor activity); GO:0006355 (regulation of transcription, DNA-templated); GO:0043565 (sequence-specific DNA binding)</t>
  </si>
  <si>
    <t>GO:0003924 (GTPase activity); GO:0005525 (GTP binding); GO:0005886 (plasma membrane); GO:0043231 (intracellular membrane-bounded organelle); GO:0007163 (establishment or maintenance of cell polarity); GO:0043005 (neuron projection); GO:0007015 (actin filament organization); GO:0019901 (protein kinase binding); GO:0042995 (cell projection); GO:0043652 (engulfment of apoptotic cell); GO:0005856 (cytoskeleton); GO:0032956 (regulation of actin cytoskeleton organization); GO:0008045 (motor neuron axon guidance); GO:0005938 (cell cortex); GO:0031410 (cytoplasmic vesicle); GO:0008360 (regulation of cell shape); GO:0030865 (cortical cytoskeleton organization)</t>
  </si>
  <si>
    <t xml:space="preserve">Mitotic checkpoint serine/threonine-protein kinase bub-1 </t>
  </si>
  <si>
    <t>GO:0007094 (mitotic spindle assembly checkpoint); GO:0004672 (protein kinase activity); GO:0006468 (protein phosphorylation); GO:0005524 (ATP binding)</t>
  </si>
  <si>
    <t xml:space="preserve">Armadillo repeat-containing protein wrm-1 </t>
  </si>
  <si>
    <t>GO:0005634 (nucleus); GO:0005737 (cytoplasm); GO:0007155 (cell adhesion); GO:0045944 (positive regulation of transcription by RNA polymerase II); GO:0045296 (cadherin binding); GO:0007275 (multicellular organism development); GO:0016055 (Wnt signaling pathway); GO:0005515 (protein binding); GO:0000132 (establishment of mitotic spindle orientation); GO:0070986 (left/right axis specification); GO:0003713 (transcription coactivator activity); GO:0051781 (positive regulation of cell division); GO:0006468 (protein phosphorylation); GO:0042661 (regulation of mesodermal cell fate specification); GO:0043282 (pharyngeal muscle development); GO:0061031 (endodermal digestive tract morphogenesis); GO:1903224 (regulation of endodermal cell differentiation); GO:0005938 (cell cortex); GO:0019901 (protein kinase binding); GO:0051782 (negative regulation of cell division); GO:0045995 (regulation of embryonic development); GO:0016342 (catenin complex); GO:0019903 (protein phosphatase binding); GO:0035257 (nuclear hormone receptor binding); GO:0045294 (alpha-catenin binding); GO:0060070 (canonical Wnt signaling pathway); GO:0007492 (endoderm development); GO:0043433 (negative regulation of DNA-binding transcription factor activity); GO:0044332 (Wnt signaling pathway involved in dorsal/ventral axis specification); GO:1903226 (positive regulation of endodermal cell differentiation); GO:1904787 (positive regulation of asymmetric protein localization involved in cell fate determination); GO:0005912 (adherens junction); GO:0001714 (endodermal cell fate specification); GO:0009792 (embryo development ending in birth or egg hatching); GO:0010172 (embryonic body morphogenesis); GO:0032880 (regulation of protein localization); GO:0001934 (positive regulation of protein phosphorylation); GO:0008134 (transcription factor binding); GO:0004672 (protein kinase activity); GO:0045860 (positive regulation of protein kinase activity); GO:0045167 (asymmetric protein localization involved in cell fate determination); GO:0043539 (protein serine/threonine kinase activator activity); GO:0000187 (activation of MAPK activity); GO:0010085 (polarity specification of proximal/distal axis); GO:0071902 (positive regulation of protein serine/threonine kinase activity); GO:1900182 (positive regulation of protein localization to nucleus); GO:1902554 (serine/threonine protein kinase complex); GO:0031334 (positive regulation of protein-containing complex assembly)</t>
  </si>
  <si>
    <t xml:space="preserve">Adducin-related protein 2 </t>
  </si>
  <si>
    <t>Endoribonuclease dcr-1 Death-promoting deoxyribonuclease</t>
  </si>
  <si>
    <t>GO:0016075 (rRNA catabolic process); GO:0016891 (endoribonuclease activity, producing 5'-phosphomonoesters); GO:0004525 (ribonuclease III activity); GO:0016787 (hydrolase activity); GO:0006396 (RNA processing); GO:0003723 (RNA binding); GO:0005515 (protein binding); GO:0005524 (ATP binding); GO:0003677 (DNA binding)</t>
  </si>
  <si>
    <t xml:space="preserve">28S ribosomal protein S31, mitochondrial </t>
  </si>
  <si>
    <t>GO:0005739 (mitochondrion); GO:0003735 (structural constituent of ribosome); GO:0005840 (ribosome); GO:0005763 (mitochondrial small ribosomal subunit)</t>
  </si>
  <si>
    <t xml:space="preserve">General transcription factor IIF subunit 2 </t>
  </si>
  <si>
    <t>GO:0016787 (hydrolase activity); GO:0004386 (helicase activity); GO:0005634 (nucleus); GO:0000166 (nucleotide binding); GO:0005524 (ATP binding); GO:0003677 (DNA binding); GO:0006367 (transcription initiation from RNA polymerase II promoter); GO:0006366 (transcription by RNA polymerase II); GO:0032508 (DNA duplex unwinding); GO:0003678 (DNA helicase activity); GO:0005674 (transcription factor TFIIF complex); GO:0016887 (ATPase activity)</t>
  </si>
  <si>
    <t>GO:0016491 (oxidoreductase activity); GO:0016616 (oxidoreductase activity, acting on the CH-OH group of donors, NAD or NADP as acceptor); GO:0006633 (fatty acid biosynthetic process); GO:0048038 (quinone binding); GO:0055114 (oxidation-reduction process)</t>
  </si>
  <si>
    <t>GO:0000287 (magnesium ion binding); GO:0004749 (ribose phosphate diphosphokinase activity); GO:0009116 (nucleoside metabolic process); GO:0009165 (nucleotide biosynthetic process)</t>
  </si>
  <si>
    <t>GO:0016020 (membrane); GO:0016021 (integral component of membrane); GO:0042765 (GPI-anchor transamidase complex); GO:0005783 (endoplasmic reticulum); GO:0005789 (endoplasmic reticulum membrane); GO:0006506 (GPI anchor biosynthetic process); GO:0016255 (attachment of GPI anchor to protein)</t>
  </si>
  <si>
    <t xml:space="preserve">YKT6 (Yeast v-SNARE) homolog </t>
  </si>
  <si>
    <t>GO:0016020 (membrane); GO:0016021 (integral component of membrane); GO:0016192 (vesicle-mediated transport); GO:0005783 (endoplasmic reticulum); GO:0019706 (protein-cysteine S-palmitoyltransferase activity); GO:0006888 (endoplasmic reticulum to Golgi vesicle-mediated transport); GO:0006903 (vesicle targeting); GO:0006904 (vesicle docking involved in exocytosis); GO:0005887 (integral component of plasma membrane); GO:0018215 (protein phosphopantetheinylation)</t>
  </si>
  <si>
    <t xml:space="preserve">Putative H/ACA ribonucleoprotein complex subunit 2-like protein </t>
  </si>
  <si>
    <t>GO:0003723 (RNA binding); GO:0005634 (nucleus); GO:0005730 (nucleolus); GO:0006364 (rRNA processing); GO:0042254 (ribosome biogenesis); GO:0000470 (maturation of LSU-rRNA); GO:1990904 (ribonucleoprotein complex); GO:0031118 (rRNA pseudouridine synthesis); GO:0031120 (snRNA pseudouridine synthesis); GO:0031429 (box H/ACA snoRNP complex); GO:0034513 (box H/ACA snoRNA binding); GO:0005732 (small nucleolar ribonucleoprotein complex); GO:0000469 (cleavage involved in rRNA processing)</t>
  </si>
  <si>
    <t xml:space="preserve">Probable actin-related protein 2/3 complex subunit 3 </t>
  </si>
  <si>
    <t>GO:0005885 (Arp2/3 protein complex); GO:0034314 (Arp2/3 complex-mediated actin nucleation); GO:0030833 (regulation of actin filament polymerization); GO:0005856 (cytoskeleton)</t>
  </si>
  <si>
    <t xml:space="preserve">Serine/threonine-protein kinase zyg-8 </t>
  </si>
  <si>
    <t>GO:0004672 (protein kinase activity); GO:0035556 (intracellular signal transduction); GO:0006468 (protein phosphorylation); GO:0005524 (ATP binding); GO:0016301 (kinase activity); GO:0016310 (phosphorylation)</t>
  </si>
  <si>
    <t xml:space="preserve">Sex muscle abnormal protein 5 </t>
  </si>
  <si>
    <t>GO:0016020 (membrane); GO:0005886 (plasma membrane); GO:0005515 (protein binding); GO:0002119 (nematode larval development); GO:0016477 (cell migration); GO:0030539 (male genitalia development); GO:0040028 (regulation of vulval development); GO:0007517 (muscle organ development); GO:0031344 (regulation of cell projection organization); GO:0005154 (epidermal growth factor receptor binding)</t>
  </si>
  <si>
    <t xml:space="preserve">Lon protease homolog, mitochondrial </t>
  </si>
  <si>
    <t>GO:0005739 (mitochondrion); GO:0005840 (ribosome); GO:0005761 (mitochondrial ribosome); GO:0005762 (mitochondrial large ribosomal subunit)</t>
  </si>
  <si>
    <t xml:space="preserve">Pre-mRNA-splicing factor ATP-dependent RNA helicase ddx-15 </t>
  </si>
  <si>
    <t>GO:0004386 (helicase activity); GO:0003676 (nucleic acid binding); GO:0005524 (ATP binding); GO:0000166 (nucleotide binding)</t>
  </si>
  <si>
    <t>GO:0005634 (nucleus); GO:0005524 (ATP binding); GO:0016887 (ATPase activity); GO:0003677 (DNA binding)</t>
  </si>
  <si>
    <t xml:space="preserve">CYLinDromatosis (Human disease gene) homolog </t>
  </si>
  <si>
    <t>GO:0005829 (cytosol); GO:0004843 (thiol-dependent ubiquitin-specific protease activity); GO:0005815 (microtubule organizing center); GO:0048471 (perinuclear region of cytoplasm); GO:0070536 (protein K63-linked deubiquitination); GO:0061578 (Lys63-specific deubiquitinase activity); GO:0016579 (protein deubiquitination)</t>
  </si>
  <si>
    <t>GO:0016787 (hydrolase activity); GO:0005515 (protein binding)</t>
  </si>
  <si>
    <t xml:space="preserve">Neuropeptide-like peptide 36 </t>
  </si>
  <si>
    <t xml:space="preserve">Ribosome biogenesis protein NOP53 </t>
  </si>
  <si>
    <t>GO:0005634 (nucleus); GO:0005730 (nucleolus); GO:0042254 (ribosome biogenesis); GO:0000027 (ribosomal large subunit assembly); GO:0006364 (rRNA processing); GO:0005654 (nucleoplasm); GO:0008097 (5S rRNA binding); GO:1901857 (positive regulation of cellular respiration)</t>
  </si>
  <si>
    <t xml:space="preserve">Choline Kinase B </t>
  </si>
  <si>
    <t>GO:0016301 (kinase activity); GO:0016310 (phosphorylation); GO:0004103 (choline kinase activity); GO:0006657 (CDP-choline pathway)</t>
  </si>
  <si>
    <t xml:space="preserve">Actin-related protein 2/3 complex subunit </t>
  </si>
  <si>
    <t>GO:0005737 (cytoplasm); GO:0005856 (cytoskeleton); GO:0051015 (actin filament binding); GO:0015629 (actin cytoskeleton); GO:0003779 (actin binding); GO:0034314 (Arp2/3 complex-mediated actin nucleation); GO:0005885 (Arp2/3 protein complex); GO:0030833 (regulation of actin filament polymerization); GO:0005515 (protein binding)</t>
  </si>
  <si>
    <t xml:space="preserve">Cullin-2 </t>
  </si>
  <si>
    <t>GO:0005783 (endoplasmic reticulum); GO:0016853 (isomerase activity); GO:0003756 (protein disulfide isomerase activity); GO:0006457 (protein folding); GO:0034976 (response to endoplasmic reticulum stress); GO:0005788 (endoplasmic reticulum lumen); GO:0003810 (protein-glutamine gamma-glutamyltransferase activity); GO:0080058 (protein deglutathionylation); GO:0018991 (oviposition); GO:0090597 (nematode male tail mating organ morphogenesis); GO:0045138 (nematode male tail tip morphogenesis); GO:0010171 (body morphogenesis); GO:0040002 (collagen and cuticulin-based cuticle development); GO:0008360 (regulation of cell shape); GO:0018149 (peptide cross-linking); GO:0040019 (positive regulation of embryonic development); GO:0018215 (protein phosphopantetheinylation)</t>
  </si>
  <si>
    <t xml:space="preserve">Pleckstrin homology domain-containing family D member 1 </t>
  </si>
  <si>
    <t xml:space="preserve">U6 snRNA-associated Sm-like protein LSm3 </t>
  </si>
  <si>
    <t>GO:0003723 (RNA binding); GO:0005634 (nucleus); GO:0000398 (mRNA splicing, via spliceosome); GO:0000932 (P-body); GO:0005688 (U6 snRNP); GO:0033962 (P-body assembly); GO:0046540 (U4/U6 x U5 tri-snRNP complex); GO:0071013 (catalytic step 2 spliceosome); GO:1990726 (Lsm1-7-Pat1 complex); GO:0006397 (mRNA processing); GO:0008380 (RNA splicing); GO:0005681 (spliceosomal complex); GO:0071011 (precatalytic spliceosome); GO:0000956 (nuclear-transcribed mRNA catabolic process)</t>
  </si>
  <si>
    <t xml:space="preserve">Kinetochore null protein 2 </t>
  </si>
  <si>
    <t xml:space="preserve">Very-long-chain (3R)-3-hydroxyacyl-CoA dehydratase </t>
  </si>
  <si>
    <t>GO:0016020 (membrane); GO:0016021 (integral component of membrane); GO:0016829 (lyase activity); GO:0006629 (lipid metabolic process); GO:0005783 (endoplasmic reticulum); GO:0005789 (endoplasmic reticulum membrane); GO:0006631 (fatty acid metabolic process); GO:0006633 (fatty acid biosynthetic process); GO:0030148 (sphingolipid biosynthetic process); GO:0030176 (integral component of endoplasmic reticulum membrane); GO:0042761 (very long-chain fatty acid biosynthetic process); GO:0030497 (fatty acid elongation); GO:0018812 (3-hydroxyacyl-CoA dehydratase activity); GO:0102158 (very-long-chain 3-hydroxyacyl-CoA dehydratase activity); GO:0102343 (3-hydroxy-arachidoyl-CoA dehydratase activity); GO:0102344 (3-hydroxy-behenoyl-CoA dehydratase activity); GO:0102345 (3-hydroxy-lignoceroyl-CoA dehydratase activity); GO:0005886 (plasma membrane)</t>
  </si>
  <si>
    <t xml:space="preserve">Serine/threonine-protein phosphatase PP1-beta </t>
  </si>
  <si>
    <t xml:space="preserve">STE20-related kinase adapter protein strd-1 </t>
  </si>
  <si>
    <t>GO:0005524 (ATP binding); GO:0004672 (protein kinase activity); GO:0006468 (protein phosphorylation); GO:0005634 (nucleus); GO:0000166 (nucleotide binding); GO:0005737 (cytoplasm); GO:0030054 (cell junction); GO:0045202 (synapse); GO:0042995 (cell projection); GO:0007399 (nervous system development); GO:0030424 (axon); GO:0030425 (dendrite); GO:0043204 (perikaryon); GO:0005938 (cell cortex); GO:1904746 (negative regulation of apoptotic process involved in development); GO:0019901 (protein kinase binding); GO:0044297 (cell body); GO:0043005 (neuron projection); GO:0050808 (synapse organization); GO:0035418 (protein localization to synapse); GO:0007163 (establishment or maintenance of cell polarity); GO:0043055 (maintenance of dauer); GO:0043539 (protein serine/threonine kinase activator activity); GO:0010800 (positive regulation of peptidyl-threonine phosphorylation); GO:0055059 (asymmetric neuroblast division); GO:0071902 (positive regulation of protein serine/threonine kinase activity)</t>
  </si>
  <si>
    <t xml:space="preserve">Interleukin cytokine receptor-related protein 2 </t>
  </si>
  <si>
    <t xml:space="preserve">60S ribosomal protein L12 </t>
  </si>
  <si>
    <t>GO:0003723 (RNA binding); GO:0003735 (structural constituent of ribosome); GO:0005840 (ribosome); GO:0006412 (translation); GO:0022625 (cytosolic large ribosomal subunit); GO:0015934 (large ribosomal subunit); GO:0070180 (large ribosomal subunit rRNA binding); GO:0000381 (regulation of alternative mRNA splicing, via spliceosome)</t>
  </si>
  <si>
    <t xml:space="preserve">AT hook-containing protein attf-4 </t>
  </si>
  <si>
    <t xml:space="preserve">Endoplasmin homolog </t>
  </si>
  <si>
    <t xml:space="preserve">Mitochondrial 2-oxoglutarate/malate carrier protein </t>
  </si>
  <si>
    <t>GO:0005524 (ATP binding); GO:0005737 (cytoplasm); GO:0004672 (protein kinase activity); GO:0004674 (protein serine/threonine kinase activity); GO:0006468 (protein phosphorylation); GO:0016301 (kinase activity); GO:0016310 (phosphorylation); GO:0035861 (site of double-strand break); GO:0007095 (mitotic G2 DNA damage checkpoint); GO:1902402 (signal transduction involved in mitotic DNA damage checkpoint)</t>
  </si>
  <si>
    <t>GO:0055120 (striated muscle dense body); GO:0031430 (M band)</t>
  </si>
  <si>
    <t xml:space="preserve">GDP-fucose transporter </t>
  </si>
  <si>
    <t xml:space="preserve">DnaJ homolog dnj-10 </t>
  </si>
  <si>
    <t>GO:0009408 (response to heat); GO:0051082 (unfolded protein binding); GO:0031072 (heat shock protein binding); GO:0006457 (protein folding); GO:0005524 (ATP binding)</t>
  </si>
  <si>
    <t xml:space="preserve">Receptor-type tyrosine-protein phosphatase </t>
  </si>
  <si>
    <t>GO:0016311 (dephosphorylation); GO:0006470 (protein dephosphorylation); GO:0004725 (protein tyrosine phosphatase activity); GO:0016791 (phosphatase activity); GO:0005515 (protein binding); GO:0016787 (hydrolase activity); GO:0035335 (peptidyl-tyrosine dephosphorylation); GO:0004721 (phosphoprotein phosphatase activity)</t>
  </si>
  <si>
    <t xml:space="preserve">Transcription elongation factor 1 homolog </t>
  </si>
  <si>
    <t>GO:0005634 (nucleus); GO:0046872 (metal ion binding); GO:0000993 (RNA polymerase II complex binding); GO:0006368 (transcription elongation from RNA polymerase II promoter); GO:0003674 (molecular_function); GO:0008150 (biological_process); GO:0008023 (transcription elongation factor complex); GO:0048096 (chromatin-mediated maintenance of transcription); GO:0005730 (nucleolus)</t>
  </si>
  <si>
    <t xml:space="preserve">Transforming acid coiled-coil-containing protein 1 </t>
  </si>
  <si>
    <t>GO:0005737 (cytoplasm); GO:0005856 (cytoskeleton); GO:0005874 (microtubule); GO:0005515 (protein binding); GO:0007049 (cell cycle); GO:0042995 (cell projection); GO:0051301 (cell division); GO:0030424 (axon); GO:0005694 (chromosome); GO:0043204 (perikaryon); GO:0051321 (meiotic cell cycle); GO:0000775 (chromosome, centromeric region); GO:0000776 (kinetochore); GO:0000777 (condensed chromosome kinetochore); GO:0000922 (spindle pole); GO:0005813 (centrosome); GO:0005815 (microtubule organizing center); GO:0009792 (embryo development ending in birth or egg hatching); GO:0019904 (protein domain specific binding); GO:0035046 (pronuclear migration); GO:0005819 (spindle); GO:0000022 (mitotic spindle elongation); GO:0007026 (negative regulation of microtubule depolymerization); GO:0007052 (mitotic spindle organization); GO:0030953 (astral microtubule organization); GO:0031113 (regulation of microtubule polymerization)</t>
  </si>
  <si>
    <t xml:space="preserve">Translationally-controlled tumor protein homolog </t>
  </si>
  <si>
    <t>GO:0005737 (cytoplasm); GO:0005509 (calcium ion binding); GO:0005783 (endoplasmic reticulum)</t>
  </si>
  <si>
    <t xml:space="preserve">Probable DNA polymerase epsilon subunit 2 </t>
  </si>
  <si>
    <t>GO:0008622 (epsilon DNA polymerase complex); GO:0006261 (DNA-dependent DNA replication); GO:0006260 (DNA replication); GO:0003677 (DNA binding)</t>
  </si>
  <si>
    <t xml:space="preserve">Pescadillo homolog </t>
  </si>
  <si>
    <t>GO:0005730 (nucleolus); GO:0042254 (ribosome biogenesis)</t>
  </si>
  <si>
    <t>GO:0033314 (mitotic DNA replication checkpoint); GO:0010212 (response to ionizing radiation); GO:0006260 (DNA replication); GO:0005634 (nucleus)</t>
  </si>
  <si>
    <t>GO:0016020 (membrane); GO:0016021 (integral component of membrane); GO:0005525 (GTP binding); GO:0000166 (nucleotide binding); GO:0045047 (protein targeting to ER); GO:0005785 (signal recognition particle receptor complex)</t>
  </si>
  <si>
    <t xml:space="preserve">Protein transport protein SEC23 </t>
  </si>
  <si>
    <t>GO:0016020 (membrane); GO:0046872 (metal ion binding); GO:0005737 (cytoplasm); GO:0006886 (intracellular protein transport); GO:0015031 (protein transport); GO:0016192 (vesicle-mediated transport); GO:0031410 (cytoplasmic vesicle); GO:0005096 (GTPase activator activity); GO:0043547 (positive regulation of GTPase activity); GO:0008270 (zinc ion binding); GO:0005783 (endoplasmic reticulum); GO:0005789 (endoplasmic reticulum membrane); GO:0012507 (ER to Golgi transport vesicle membrane); GO:0006888 (endoplasmic reticulum to Golgi vesicle-mediated transport); GO:0030127 (COPII vesicle coat); GO:0070971 (endoplasmic reticulum exit site); GO:0090110 (COPII-coated vesicle cargo loading); GO:0090114 (COPII-coated vesicle budding)</t>
  </si>
  <si>
    <t xml:space="preserve">Probable manganese-transporting ATPase catp-8 </t>
  </si>
  <si>
    <t>GO:0016887 (ATPase activity); GO:0006812 (cation transport); GO:0000166 (nucleotide binding); GO:0016021 (integral component of membrane)</t>
  </si>
  <si>
    <t xml:space="preserve">Mps One Binder (Mats/MOB1) homolog </t>
  </si>
  <si>
    <t xml:space="preserve">Transmembrane 9 superfamily member </t>
  </si>
  <si>
    <t>GO:0016020 (membrane); GO:0016021 (integral component of membrane); GO:0072657 (protein localization to membrane)</t>
  </si>
  <si>
    <t xml:space="preserve">MAP kinase-interacting serine/threonine-protein kinase mnk-1 </t>
  </si>
  <si>
    <t xml:space="preserve">HnRNP F homolog </t>
  </si>
  <si>
    <t>GO:0016020 (membrane); GO:0016021 (integral component of membrane); GO:0005783 (endoplasmic reticulum); GO:0006486 (protein glycosylation); GO:0000030 (mannosyltransferase activity); GO:0097502 (mannosylation); GO:0052925 (dol-P-Man:Man(5)GlcNAc(2)-PP-Dol alpha-1,3-mannosyltransferase activity)</t>
  </si>
  <si>
    <t xml:space="preserve">D-glucuronyl C5-epimerase </t>
  </si>
  <si>
    <t>GO:0015012 (heparan sulfate proteoglycan biosynthetic process); GO:0047464 (heparosan-N-sulfate-glucuronate 5-epimerase activity)</t>
  </si>
  <si>
    <t>GO:0016020 (membrane); GO:0016021 (integral component of membrane); GO:0005096 (GTPase activator activity); GO:0043547 (positive regulation of GTPase activity); GO:0030176 (integral component of endoplasmic reticulum membrane); GO:0009306 (protein secretion); GO:0003400 (regulation of COPII vesicle coating); GO:0005515 (protein binding)</t>
  </si>
  <si>
    <t>GO:0005634 (nucleus); GO:0016567 (protein ubiquitination); GO:0005730 (nucleolus); GO:0000462 (maturation of SSU-rRNA from tricistronic rRNA transcript (SSU-rRNA, 5.8S rRNA, LSU-rRNA)); GO:0032040 (small-subunit processome); GO:0080008 (Cul4-RING E3 ubiquitin ligase complex); GO:0005515 (protein binding)</t>
  </si>
  <si>
    <t xml:space="preserve">Splicing Factor ThreeB (3b) Subunit homolog </t>
  </si>
  <si>
    <t>GO:0005634 (nucleus); GO:0071013 (catalytic step 2 spliceosome); GO:0003729 (mRNA binding); GO:0000245 (spliceosomal complex assembly); GO:0010629 (negative regulation of gene expression); GO:0005686 (U2 snRNP); GO:0071004 (U2-type prespliceosome); GO:0005681 (spliceosomal complex)</t>
  </si>
  <si>
    <t>GO:0003677 (DNA binding); GO:0005634 (nucleus); GO:0000978 (RNA polymerase II cis-regulatory region sequence-specific DNA binding); GO:0000981 (DNA-binding transcription factor activity, RNA polymerase II-specific); GO:0006357 (regulation of transcription by RNA polymerase II); GO:0048856 (anatomical structure development)</t>
  </si>
  <si>
    <t xml:space="preserve">Probable signal recognition particle subunit SRP68 </t>
  </si>
  <si>
    <t>GO:0003723 (RNA binding); GO:0005737 (cytoplasm); GO:0005047 (signal recognition particle binding); GO:0006614 (SRP-dependent cotranslational protein targeting to membrane); GO:0005786 (signal recognition particle, endoplasmic reticulum targeting); GO:0008312 (7S RNA binding); GO:0030942 (endoplasmic reticulum signal peptide binding)</t>
  </si>
  <si>
    <t>GO:0005525 (GTP binding); GO:0005737 (cytoplasm); GO:0046872 (metal ion binding); GO:0000166 (nucleotide binding); GO:0005739 (mitochondrion); GO:0030488 (tRNA methylation); GO:0002098 (tRNA wobble uridine modification)</t>
  </si>
  <si>
    <t xml:space="preserve">Probable protein phosphatase 2C F42G9.1 </t>
  </si>
  <si>
    <t>GO:0016787 (hydrolase activity); GO:0046872 (metal ion binding); GO:0006470 (protein dephosphorylation); GO:0004721 (phosphoprotein phosphatase activity); GO:0016791 (phosphatase activity); GO:0004722 (protein serine/threonine phosphatase activity); GO:0043169 (cation binding); GO:0106306 (protein serine phosphatase activity); GO:0106307 (protein threonine phosphatase activity)</t>
  </si>
  <si>
    <t>GO:0005634 (nucleus); GO:0046540 (U4/U6 x U5 tri-snRNP complex); GO:0000398 (mRNA splicing, via spliceosome); GO:0005681 (spliceosomal complex); GO:0006397 (mRNA processing); GO:0008380 (RNA splicing); GO:0005682 (U5 snRNP)</t>
  </si>
  <si>
    <t xml:space="preserve">Dihydrolipoyllysine-residue acetyltransferase component of pyruvate dehydrogenase complex, mitochondrial </t>
  </si>
  <si>
    <t>GO:0045254 (pyruvate dehydrogenase complex); GO:0004742 (dihydrolipoyllysine-residue acetyltransferase activity); GO:0006090 (pyruvate metabolic process); GO:0016746 (transferase activity, transferring acyl groups)</t>
  </si>
  <si>
    <t>GO:0005634 (nucleus); GO:0006357 (regulation of transcription by RNA polymerase II); GO:0001228 (DNA-binding transcription activator activity, RNA polymerase II-specific); GO:0045944 (positive regulation of transcription by RNA polymerase II); GO:0008134 (transcription factor binding); GO:0006351 (transcription, DNA-templated); GO:0005515 (protein binding)</t>
  </si>
  <si>
    <t>GO:0003723 (RNA binding); GO:0003676 (nucleic acid binding); GO:0006396 (RNA processing)</t>
  </si>
  <si>
    <t xml:space="preserve">5'-nucleotidase </t>
  </si>
  <si>
    <t>GO:0005737 (cytoplasm); GO:0016787 (hydrolase activity); GO:0046872 (metal ion binding); GO:0000166 (nucleotide binding); GO:0000287 (magnesium ion binding); GO:0016311 (dephosphorylation); GO:0008253 (5'-nucleotidase activity); GO:0009117 (nucleotide metabolic process); GO:0016020 (membrane); GO:0016021 (integral component of membrane)</t>
  </si>
  <si>
    <t>GO:0000445 (THO complex part of transcription export complex); GO:0006406 (mRNA export from nucleus); GO:0032784 (regulation of DNA-templated transcription, elongation); GO:0000347 (THO complex)</t>
  </si>
  <si>
    <t>GO:0005634 (nucleus); GO:0005730 (nucleolus); GO:0006364 (rRNA processing); GO:0032040 (small-subunit processome); GO:0005515 (protein binding)</t>
  </si>
  <si>
    <t xml:space="preserve">14-3-3-like protein 1 </t>
  </si>
  <si>
    <t xml:space="preserve">Protein-lysine methyltransferase C42C1.13 </t>
  </si>
  <si>
    <t>GO:0005737 (cytoplasm); GO:0008168 (methyltransferase activity); GO:0032259 (methylation); GO:0016740 (transferase activity); GO:0005829 (cytosol); GO:0016279 (protein-lysine N-methyltransferase activity); GO:0018023 (peptidyl-lysine trimethylation); GO:0018022 (peptidyl-lysine methylation)</t>
  </si>
  <si>
    <t xml:space="preserve">Synthetic with Lin-35/Rb </t>
  </si>
  <si>
    <t>GO:0005515 (protein binding); GO:0072546 (ER membrane protein complex); GO:0005737 (cytoplasm); GO:0055120 (striated muscle dense body)</t>
  </si>
  <si>
    <t xml:space="preserve">KELch-repeat containing protein </t>
  </si>
  <si>
    <t xml:space="preserve">COP9 signalosome complex subunit 1 </t>
  </si>
  <si>
    <t>GO:0008180 (COP9 signalosome); GO:0000338 (protein deneddylation)</t>
  </si>
  <si>
    <t>GO:0016787 (hydrolase activity); GO:0046872 (metal ion binding); GO:0004222 (metalloendopeptidase activity); GO:0005739 (mitochondrion); GO:0006508 (proteolysis); GO:0006518 (peptide metabolic process); GO:0006627 (protein processing involved in protein targeting to mitochondrion); GO:0008233 (peptidase activity); GO:0008237 (metallopeptidase activity)</t>
  </si>
  <si>
    <t>GO:0005096 (GTPase activator activity); GO:0043547 (positive regulation of GTPase activity); GO:0000139 (Golgi membrane); GO:0030100 (regulation of endocytosis); GO:0032012 (regulation of ARF protein signal transduction)</t>
  </si>
  <si>
    <t xml:space="preserve">Retinoblastoma-binding protein homolog 5 </t>
  </si>
  <si>
    <t>GO:0005634 (nucleus); GO:0048188 (Set1C/COMPASS complex); GO:0006325 (chromatin organization); GO:0018991 (oviposition); GO:0007281 (germ cell development); GO:0044648 (histone H3-K4 dimethylation); GO:0080182 (histone H3-K4 trimethylation); GO:0044666 (MLL3/4 complex); GO:0060290 (transdifferentiation); GO:0005515 (protein binding)</t>
  </si>
  <si>
    <t xml:space="preserve">Ribosomal RNA processing protein 1 homolog </t>
  </si>
  <si>
    <t>GO:0005634 (nucleus); GO:0006364 (rRNA processing); GO:0030687 (preribosome, large subunit precursor); GO:0030688 (preribosome, small subunit precursor)</t>
  </si>
  <si>
    <t xml:space="preserve">APOPT family protein Y39B6A.34, mitochondrial </t>
  </si>
  <si>
    <t>GO:0016020 (membrane); GO:0005739 (mitochondrion); GO:0005743 (mitochondrial inner membrane); GO:0006915 (apoptotic process); GO:0097193 (intrinsic apoptotic signaling pathway)</t>
  </si>
  <si>
    <t xml:space="preserve">ATP synthase subunit delta, mitochondrial </t>
  </si>
  <si>
    <t>GO:0016020 (membrane); GO:0006811 (ion transport); GO:0005739 (mitochondrion); GO:0005743 (mitochondrial inner membrane); GO:0015986 (ATP synthesis coupled proton transport); GO:0046933 (proton-transporting ATP synthase activity, rotational mechanism); GO:0006754 (ATP biosynthetic process); GO:0045261 (proton-transporting ATP synthase complex, catalytic core F(1)); GO:0000275 (mitochondrial proton-transporting ATP synthase complex, catalytic sector F(1))</t>
  </si>
  <si>
    <t>GO:0005886 (plasma membrane); GO:0098655 (cation transmembrane transport); GO:0005794 (Golgi apparatus); GO:0005769 (early endosome); GO:0022890 (inorganic cation transmembrane transporter activity); GO:0072546 (ER membrane protein complex)</t>
  </si>
  <si>
    <t>GO:0005739 (mitochondrion); GO:0005506 (iron ion binding); GO:0051536 (iron-sulfur cluster binding); GO:0016226 (iron-sulfur cluster assembly); GO:0097428 (protein maturation by iron-sulfur cluster transfer); GO:0051539 (4 iron, 4 sulfur cluster binding); GO:0019915 (lipid storage)</t>
  </si>
  <si>
    <t xml:space="preserve">Kinesin heavy chain </t>
  </si>
  <si>
    <t>GO:0016020 (membrane); GO:0016021 (integral component of membrane); GO:0005737 (cytoplasm); GO:0008270 (zinc ion binding); GO:0003676 (nucleic acid binding); GO:0003729 (mRNA binding); GO:0003727 (single-stranded RNA binding); GO:0045182 (translation regulator activity); GO:2000767 (positive regulation of cytoplasmic translation)</t>
  </si>
  <si>
    <t>GO:0045324 (late endosome to vacuole transport); GO:0015031 (protein transport); GO:0000815 (ESCRT III complex); GO:0005771 (multivesicular body); GO:0007034 (vacuolar transport); GO:0032509 (endosome transport via multivesicular body sorting pathway); GO:0005737 (cytoplasm)</t>
  </si>
  <si>
    <t xml:space="preserve">Ribosome production factor 2 homolog </t>
  </si>
  <si>
    <t>GO:0005634 (nucleus); GO:0005730 (nucleolus); GO:0006364 (rRNA processing); GO:0000027 (ribosomal large subunit assembly); GO:0019843 (rRNA binding); GO:0000463 (maturation of LSU-rRNA from tricistronic rRNA transcript (SSU-rRNA, 5.8S rRNA, LSU-rRNA)); GO:0000470 (maturation of LSU-rRNA)</t>
  </si>
  <si>
    <t>GO:0005634 (nucleus); GO:0007049 (cell cycle); GO:0005739 (mitochondrion); GO:0005840 (ribosome); GO:0071850 (mitotic cell cycle arrest)</t>
  </si>
  <si>
    <t xml:space="preserve">Phospholipase A(2) </t>
  </si>
  <si>
    <t>GO:0005509 (calcium ion binding); GO:0016787 (hydrolase activity); GO:0005576 (extracellular region); GO:0006629 (lipid metabolic process); GO:0016042 (lipid catabolic process); GO:0004623 (phospholipase A2 activity); GO:0006644 (phospholipid metabolic process); GO:0050482 (arachidonic acid secretion); GO:0102567 (phospholipase A2 activity (consuming 1,2-dipalmitoylphosphatidylcholine)); GO:0102568 (phospholipase A2 activity consuming 1,2-dioleoylphosphatidylethanolamine))</t>
  </si>
  <si>
    <t>GO:0016020 (membrane); GO:0016021 (integral component of membrane); GO:0008544 (epidermis development); GO:0042338 (cuticle development involved in collagen and cuticulin-based cuticle molting cycle); GO:0005615 (extracellular space)</t>
  </si>
  <si>
    <t>GO:0016020 (membrane); GO:0016021 (integral component of membrane); GO:0005634 (nucleus); GO:0003677 (DNA binding); GO:0031965 (nuclear membrane); GO:0003674 (molecular_function); GO:0005575 (cellular_component); GO:0008150 (biological_process)</t>
  </si>
  <si>
    <t xml:space="preserve">MAD (Yeast Mitosis arrest DeFicient) related; MDF-1 </t>
  </si>
  <si>
    <t>GO:0005634 (nucleus); GO:0005515 (protein binding); GO:0007049 (cell cycle); GO:0000776 (kinetochore); GO:0009792 (embryo development ending in birth or egg hatching); GO:0051315 (attachment of mitotic spindle microtubules to kinetochore); GO:0031965 (nuclear membrane); GO:0072686 (mitotic spindle); GO:0090307 (mitotic spindle assembly); GO:0019901 (protein kinase binding); GO:0005635 (nuclear envelope); GO:0007094 (mitotic spindle assembly checkpoint); GO:0010965 (regulation of mitotic sister chromatid separation); GO:0034399 (nuclear periphery)</t>
  </si>
  <si>
    <t xml:space="preserve">Inward Rectifying K (Potassium) channel family </t>
  </si>
  <si>
    <t>GO:0016020 (membrane); GO:0016021 (integral component of membrane); GO:0006811 (ion transport); GO:0005886 (plasma membrane); GO:0005244 (voltage-gated ion channel activity); GO:0034765 (regulation of ion transmembrane transport); GO:0006813 (potassium ion transport); GO:1990573 (potassium ion import across plasma membrane); GO:0005242 (inward rectifier potassium channel activity)</t>
  </si>
  <si>
    <t>GO:0055120 (striated muscle dense body); GO:0031672 (A band)</t>
  </si>
  <si>
    <t>GO:0046872 (metal ion binding); GO:0005737 (cytoplasm); GO:0008270 (zinc ion binding); GO:0003676 (nucleic acid binding); GO:0030687 (preribosome, large subunit precursor); GO:0042273 (ribosomal large subunit biogenesis)</t>
  </si>
  <si>
    <t>GO:0005634 (nucleus); GO:0016973 (poly(A)+ mRNA export from nucleus)</t>
  </si>
  <si>
    <t>GO:0016020 (membrane); GO:0005634 (nucleus); GO:0005524 (ATP binding); GO:0000166 (nucleotide binding); GO:0016887 (ATPase activity); GO:0031902 (late endosome membrane); GO:0007638 (mechanosensory behavior); GO:0010008 (endosome membrane); GO:1903539 (protein localization to postsynaptic membrane); GO:0016197 (endosomal transport); GO:0007033 (vacuole organization)</t>
  </si>
  <si>
    <t xml:space="preserve">BTB/POZ Domain-containing protein homolog </t>
  </si>
  <si>
    <t>GO:0005737 (cytoplasm); GO:0005515 (protein binding); GO:0042327 (positive regulation of phosphorylation)</t>
  </si>
  <si>
    <t>GO:0005096 (GTPase activator activity); GO:0007165 (signal transduction); GO:0043547 (positive regulation of GTPase activity); GO:0032956 (regulation of actin cytoskeleton organization); GO:0035020 (regulation of Rac protein signal transduction)</t>
  </si>
  <si>
    <t>GO:0003723 (RNA binding); GO:0003743 (translation initiation factor activity); GO:0006412 (translation); GO:0006413 (translational initiation)</t>
  </si>
  <si>
    <t xml:space="preserve">BET1; Nematode homolog of yeast BET1 (Blocked Early in Transport) </t>
  </si>
  <si>
    <t>GO:0016020 (membrane); GO:0016021 (integral component of membrane); GO:0005794 (Golgi apparatus); GO:0015031 (protein transport); GO:0006888 (endoplasmic reticulum to Golgi vesicle-mediated transport); GO:0031201 (SNARE complex); GO:0005484 (SNAP receptor activity); GO:0000138 (Golgi trans cisterna); GO:0030173 (integral component of Golgi membrane); GO:0048280 (vesicle fusion with Golgi apparatus)</t>
  </si>
  <si>
    <t xml:space="preserve">Putative 28S ribosomal protein S5, mitochondrial </t>
  </si>
  <si>
    <t>GO:0003723 (RNA binding); GO:0005739 (mitochondrion); GO:0003735 (structural constituent of ribosome); GO:0005840 (ribosome); GO:0006412 (translation); GO:0005763 (mitochondrial small ribosomal subunit)</t>
  </si>
  <si>
    <t>GO:0005739 (mitochondrion); GO:0005840 (ribosome); GO:0005762 (mitochondrial large ribosomal subunit)</t>
  </si>
  <si>
    <t>GO:0005634 (nucleus); GO:0005737 (cytoplasm); GO:0008168 (methyltransferase activity); GO:0032259 (methylation); GO:0016740 (transferase activity); GO:0004483 (mRNA (nucleoside-2'-O-)-methyltransferase activity); GO:0006370 (7-methylguanosine mRNA capping); GO:0097309 (cap1 mRNA methylation); GO:0097310 (cap2 mRNA methylation)</t>
  </si>
  <si>
    <t xml:space="preserve">Guanine nucleotide-binding protein-like 3 homolog </t>
  </si>
  <si>
    <t xml:space="preserve">Probable U2 small nuclear ribonucleoprotein A' </t>
  </si>
  <si>
    <t>GO:0005634 (nucleus); GO:0000398 (mRNA splicing, via spliceosome); GO:0003723 (RNA binding); GO:0005515 (protein binding); GO:0005686 (U2 snRNP); GO:0030620 (U2 snRNA binding); GO:0005654 (nucleoplasm); GO:0040022 (feminization of hermaphroditic germ-line); GO:0051729 (germline cell cycle switching, mitotic to meiotic cell cycle); GO:0000389 (mRNA 3'-splice site recognition)</t>
  </si>
  <si>
    <t xml:space="preserve">Acyl protein THioesterase family </t>
  </si>
  <si>
    <t>GO:0005737 (cytoplasm); GO:0016787 (hydrolase activity); GO:0002084 (protein depalmitoylation); GO:0008474 (palmitoyl-(protein) hydrolase activity); GO:0052689 (carboxylic ester hydrolase activity); GO:0018215 (protein phosphopantetheinylation)</t>
  </si>
  <si>
    <t xml:space="preserve">Uncharacterized RING finger protein ZK945.4 </t>
  </si>
  <si>
    <t xml:space="preserve">40S ribosomal protein S28 </t>
  </si>
  <si>
    <t>GO:0005737 (cytoplasm); GO:0003735 (structural constituent of ribosome); GO:0005840 (ribosome); GO:0006412 (translation); GO:0005783 (endoplasmic reticulum); GO:0022627 (cytosolic small ribosomal subunit); GO:0005829 (cytosol); GO:0030490 (maturation of SSU-rRNA); GO:0000028 (ribosomal small subunit assembly); GO:0002181 (cytoplasmic translation); GO:0005791 (rough endoplasmic reticulum); GO:0042788 (polysomal ribosome); GO:0098556 (cytoplasmic side of rough endoplasmic reticulum membrane)</t>
  </si>
  <si>
    <t xml:space="preserve">E3 ubiquitin ligase rnf-5 </t>
  </si>
  <si>
    <t>GO:0016020 (membrane); GO:0005886 (plasma membrane); GO:0046872 (metal ion binding); GO:0016740 (transferase activity); GO:0006511 (ubiquitin-dependent protein catabolic process); GO:0016567 (protein ubiquitination); GO:0061630 (ubiquitin protein ligase activity); GO:0030054 (cell junction); GO:0005515 (protein binding); GO:0071712 (ER-associated misfolded protein catabolic process); GO:0005925 (focal adhesion); GO:0044390 (ubiquitin-like protein conjugating enzyme binding); GO:0005634 (nucleus); GO:0055120 (striated muscle dense body); GO:0018996 (molting cycle, collagen and cuticulin-based cuticle); GO:0040039 (inductive cell migration); GO:0055002 (striated muscle cell development); GO:0016021 (integral component of membrane)</t>
  </si>
  <si>
    <t>GO:0005634 (nucleus); GO:0046982 (protein heterodimerization activity); GO:0005669 (transcription factor TFIID complex); GO:0006366 (transcription by RNA polymerase II)</t>
  </si>
  <si>
    <t>GO:0003676 (nucleic acid binding); GO:0003723 (RNA binding); GO:0003729 (mRNA binding); GO:0000184 (nuclear-transcribed mRNA catabolic process, nonsense-mediated decay); GO:0010494 (cytoplasmic stress granule); GO:0034063 (stress granule assembly); GO:0043488 (regulation of mRNA stability); GO:0002119 (nematode larval development); GO:0005634 (nucleus); GO:0005737 (cytoplasm); GO:0000003 (reproduction); GO:0008340 (determination of adult lifespan); GO:0043186 (P granule); GO:0040012 (regulation of locomotion); GO:0006979 (response to oxidative stress); GO:0009411 (response to UV); GO:0010259 (multicellular organism aging)</t>
  </si>
  <si>
    <t xml:space="preserve">Enhancer of EfL-1 mutant phenotype </t>
  </si>
  <si>
    <t>GO:0005634 (nucleus); GO:0005737 (cytoplasm); GO:0016567 (protein ubiquitination); GO:0016740 (transferase activity); GO:0000209 (protein polyubiquitination); GO:0004842 (ubiquitin-protein transferase activity); GO:0043161 (proteasome-mediated ubiquitin-dependent protein catabolic process); GO:0045732 (positive regulation of protein catabolic process); GO:0061630 (ubiquitin protein ligase activity); GO:0005515 (protein binding); GO:0031581 (hemidesmosome assembly); GO:0043065 (positive regulation of apoptotic process); GO:0010468 (regulation of gene expression); GO:0045167 (asymmetric protein localization involved in cell fate determination); GO:0042770 (signal transduction in response to DNA damage); GO:0030178 (negative regulation of Wnt signaling pathway)</t>
  </si>
  <si>
    <t xml:space="preserve">Slit-Robo GAP homolog </t>
  </si>
  <si>
    <t>GO:0005737 (cytoplasm); GO:0007165 (signal transduction); GO:0030336 (negative regulation of cell migration); GO:0005938 (cell cortex); GO:0005912 (adherens junction); GO:0005096 (GTPase activator activity); GO:0043621 (protein self-association); GO:0022409 (positive regulation of cell-cell adhesion); GO:0043547 (positive regulation of GTPase activity); GO:0060101 (negative regulation of phagocytosis, engulfment); GO:0070587 (regulation of cell-cell adhesion involved in gastrulation); GO:0031267 (small GTPase binding)</t>
  </si>
  <si>
    <t xml:space="preserve">Coatomer subunit alpha </t>
  </si>
  <si>
    <t>GO:0016020 (membrane); GO:0000139 (Golgi membrane); GO:0005198 (structural molecule activity); GO:0005737 (cytoplasm); GO:0005794 (Golgi apparatus); GO:0006886 (intracellular protein transport); GO:0015031 (protein transport); GO:0016192 (vesicle-mediated transport); GO:0030117 (membrane coat); GO:0030126 (COPI vesicle coat); GO:0006888 (endoplasmic reticulum to Golgi vesicle-mediated transport); GO:0006890 (retrograde vesicle-mediated transport, Golgi to endoplasmic reticulum); GO:0006891 (intra-Golgi vesicle-mediated transport); GO:0005515 (protein binding)</t>
  </si>
  <si>
    <t xml:space="preserve">60S ribosomal protein L6 </t>
  </si>
  <si>
    <t>GO:0005737 (cytoplasm); GO:0003723 (RNA binding); GO:0003735 (structural constituent of ribosome); GO:0005840 (ribosome); GO:0006412 (translation); GO:0000027 (ribosomal large subunit assembly); GO:0005515 (protein binding); GO:0022625 (cytosolic large ribosomal subunit); GO:0005783 (endoplasmic reticulum); GO:0005829 (cytosol); GO:0002181 (cytoplasmic translation); GO:0005791 (rough endoplasmic reticulum); GO:0008340 (determination of adult lifespan)</t>
  </si>
  <si>
    <t>GO:0005515 (protein binding); GO:0000122 (negative regulation of transcription by RNA polymerase II); GO:0017053 (transcription repressor complex); GO:0005634 (nucleus); GO:0048557 (embryonic digestive tract morphogenesis); GO:0031523 (Myb complex)</t>
  </si>
  <si>
    <t xml:space="preserve">Transcription initiation factor IIA subunit 2 </t>
  </si>
  <si>
    <t xml:space="preserve">Multidrug resistance protein pgp-3 </t>
  </si>
  <si>
    <t xml:space="preserve">60S ribosomal protein L39 </t>
  </si>
  <si>
    <t>GO:0003735 (structural constituent of ribosome); GO:0005840 (ribosome); GO:0006412 (translation); GO:0022625 (cytosolic large ribosomal subunit)</t>
  </si>
  <si>
    <t>GO:0003924 (GTPase activity); GO:0005525 (GTP binding); GO:0006886 (intracellular protein transport); GO:0000045 (autophagosome assembly); GO:0012505 (endomembrane system)</t>
  </si>
  <si>
    <t xml:space="preserve">Signal recognition particle 14 kDa protein </t>
  </si>
  <si>
    <t>GO:0005737 (cytoplasm); GO:0003723 (RNA binding); GO:0006614 (SRP-dependent cotranslational protein targeting to membrane); GO:0045047 (protein targeting to ER); GO:0005786 (signal recognition particle, endoplasmic reticulum targeting); GO:0008312 (7S RNA binding); GO:0048500 (signal recognition particle); GO:0030942 (endoplasmic reticulum signal peptide binding)</t>
  </si>
  <si>
    <t xml:space="preserve">40S ribosomal protein S27 </t>
  </si>
  <si>
    <t>GO:0046872 (metal ion binding); GO:0003723 (RNA binding); GO:0003735 (structural constituent of ribosome); GO:0005840 (ribosome); GO:0006412 (translation); GO:0022627 (cytosolic small ribosomal subunit); GO:0000028 (ribosomal small subunit assembly)</t>
  </si>
  <si>
    <t>GO:0072659 (protein localization to plasma membrane)</t>
  </si>
  <si>
    <t xml:space="preserve">GTP-binding protein SAR1 </t>
  </si>
  <si>
    <t>GO:0003924 (GTPase activity); GO:0005525 (GTP binding); GO:0000166 (nucleotide binding); GO:0005794 (Golgi apparatus); GO:0006886 (intracellular protein transport); GO:0015031 (protein transport); GO:0016192 (vesicle-mediated transport); GO:0006888 (endoplasmic reticulum to Golgi vesicle-mediated transport); GO:0005783 (endoplasmic reticulum); GO:0030127 (COPII vesicle coat); GO:0070971 (endoplasmic reticulum exit site); GO:0070863 (positive regulation of protein exit from endoplasmic reticulum); GO:0003400 (regulation of COPII vesicle coating); GO:0016050 (vesicle organization); GO:0061024 (membrane organization); GO:0009792 (embryo development ending in birth or egg hatching)</t>
  </si>
  <si>
    <t xml:space="preserve">Protein Phosphatase, Mg2+/Mn2+ dependent </t>
  </si>
  <si>
    <t>GO:0005634 (nucleus); GO:0016787 (hydrolase activity); GO:0046872 (metal ion binding); GO:0005829 (cytosol); GO:0016311 (dephosphorylation); GO:0004721 (phosphoprotein phosphatase activity); GO:0006470 (protein dephosphorylation); GO:0016791 (phosphatase activity); GO:0043169 (cation binding); GO:0051019 (mitogen-activated protein kinase binding)</t>
  </si>
  <si>
    <t xml:space="preserve">Zinc finger CCCH domain-containing protein 15 homolog </t>
  </si>
  <si>
    <t>GO:0046872 (metal ion binding); GO:0005829 (cytosol); GO:0002181 (cytoplasmic translation)</t>
  </si>
  <si>
    <t xml:space="preserve">60S acidic ribosomal protein P1 </t>
  </si>
  <si>
    <t>GO:0003735 (structural constituent of ribosome); GO:0005840 (ribosome); GO:0006412 (translation); GO:0022625 (cytosolic large ribosomal subunit); GO:0002181 (cytoplasmic translation); GO:0032147 (activation of protein kinase activity); GO:0030295 (protein kinase activator activity); GO:0043021 (ribonucleoprotein complex binding); GO:0006414 (translational elongation)</t>
  </si>
  <si>
    <t xml:space="preserve">cAMP-dependent protein kinase regulatory subunit </t>
  </si>
  <si>
    <t>GO:0005952 (cAMP-dependent protein kinase complex); GO:0001932 (regulation of protein phosphorylation); GO:0008603 (cAMP-dependent protein kinase regulator activity)</t>
  </si>
  <si>
    <t>GO:0016787 (hydrolase activity); GO:0005737 (cytoplasm); GO:0003993 (acid phosphatase activity); GO:0004725 (protein tyrosine phosphatase activity); GO:0006470 (protein dephosphorylation); GO:0035335 (peptidyl-tyrosine dephosphorylation); GO:0004726 (non-membrane spanning protein tyrosine phosphatase activity)</t>
  </si>
  <si>
    <t xml:space="preserve">SMN (Survival of Motor Neuron protein) Related </t>
  </si>
  <si>
    <t>GO:0005739 (mitochondrion); GO:0003735 (structural constituent of ribosome); GO:0005840 (ribosome); GO:0006412 (translation)</t>
  </si>
  <si>
    <t xml:space="preserve">G patch domain-containing protein 1 homolog </t>
  </si>
  <si>
    <t>GO:0005634 (nucleus); GO:0003723 (RNA binding); GO:0003676 (nucleic acid binding); GO:0006397 (mRNA processing); GO:0005515 (protein binding)</t>
  </si>
  <si>
    <t xml:space="preserve">UPF0183 protein T01G9.2 </t>
  </si>
  <si>
    <t>GO:0005515 (protein binding); GO:0005802 (trans-Golgi network); GO:0043001 (Golgi to plasma membrane protein transport); GO:0005737 (cytoplasm); GO:0055120 (striated muscle dense body)</t>
  </si>
  <si>
    <t xml:space="preserve">Transcription elongation factor B polypeptide 3 </t>
  </si>
  <si>
    <t>GO:0070449 (elongin complex); GO:0006368 (transcription elongation from RNA polymerase II promoter); GO:0005634 (nucleus)</t>
  </si>
  <si>
    <t xml:space="preserve">1,2-dihydroxy-3-keto-5-methylthiopentene dioxygenase </t>
  </si>
  <si>
    <t>GO:0005634 (nucleus); GO:0046872 (metal ion binding); GO:0005737 (cytoplasm); GO:0016491 (oxidoreductase activity); GO:0010309 (acireductone dioxygenase [iron(II)-requiring] activity); GO:0051213 (dioxygenase activity); GO:0008652 (cellular amino acid biosynthetic process); GO:0005506 (iron ion binding); GO:0006555 (methionine metabolic process); GO:0009086 (methionine biosynthetic process); GO:0019509 (L-methionine salvage from methylthioadenosine); GO:0055114 (oxidation-reduction process)</t>
  </si>
  <si>
    <t>Ubiquitin-like protein 1-40S ribosomal protein S27a Ubiquitin-like protein 1 40S ribosomal protein S27a</t>
  </si>
  <si>
    <t>GO:0005634 (nucleus); GO:0005737 (cytoplasm); GO:0016567 (protein ubiquitination); GO:0046872 (metal ion binding); GO:0003735 (structural constituent of ribosome); GO:0005840 (ribosome); GO:0006412 (translation); GO:0031625 (ubiquitin protein ligase binding); GO:0003674 (molecular_function); GO:0005575 (cellular_component); GO:0008150 (biological_process); GO:0019941 (modification-dependent protein catabolic process); GO:0031386 (protein tag); GO:0005515 (protein binding)</t>
  </si>
  <si>
    <t xml:space="preserve">LIGase </t>
  </si>
  <si>
    <t>GO:0005524 (ATP binding); GO:0003677 (DNA binding); GO:0005634 (nucleus); GO:0000166 (nucleotide binding); GO:0016874 (ligase activity); GO:0006260 (DNA replication); GO:0006281 (DNA repair); GO:0006303 (double-strand break repair via nonhomologous end joining); GO:0003910 (DNA ligase (ATP) activity); GO:0006310 (DNA recombination); GO:0006297 (nucleotide-excision repair, DNA gap filling); GO:0051103 (DNA ligation involved in DNA repair); GO:0005958 (DNA-dependent protein kinase-DNA ligase 4 complex); GO:0032807 (DNA ligase IV complex)</t>
  </si>
  <si>
    <t xml:space="preserve">O-GlcNAc selective N-Acetyl-beta-D-glucosaminidase (O-GlcNAcase) </t>
  </si>
  <si>
    <t>GO:0008152 (metabolic process); GO:0016787 (hydrolase activity); GO:0016798 (hydrolase activity, acting on glycosyl bonds); GO:0009100 (glycoprotein metabolic process); GO:0016231 (beta-N-acetylglucosaminidase activity); GO:0004722 (protein serine/threonine phosphatase activity); GO:0015929 (hexosaminidase activity); GO:0005977 (glycogen metabolic process); GO:0006470 (protein dephosphorylation); GO:0019915 (lipid storage); GO:0040024 (dauer larval development); GO:0060051 (negative regulation of protein glycosylation); GO:0009266 (response to temperature stimulus)</t>
  </si>
  <si>
    <t>GO:0046872 (metal ion binding); GO:0008270 (zinc ion binding); GO:0000423 (mitophagy); GO:0005080 (protein kinase C binding); GO:0007032 (endosome organization); GO:0016235 (aggresome); GO:0035973 (aggrephagy); GO:0044753 (amphisome); GO:0070530 (K63-linked polyubiquitin modification-dependent protein binding)</t>
  </si>
  <si>
    <t>GO:0009055 (electron transfer activity); GO:0022900 (electron transport chain); GO:0005739 (mitochondrion); GO:0005759 (mitochondrial matrix)</t>
  </si>
  <si>
    <t xml:space="preserve">U1 small nuclear ribonucleoprotein C </t>
  </si>
  <si>
    <t>GO:0005634 (nucleus); GO:0046872 (metal ion binding); GO:0008270 (zinc ion binding); GO:0003676 (nucleic acid binding); GO:0003723 (RNA binding); GO:0005685 (U1 snRNP); GO:0000398 (mRNA splicing, via spliceosome); GO:0000387 (spliceosomal snRNP assembly); GO:0000243 (commitment complex); GO:0000395 (mRNA 5'-splice site recognition); GO:0003729 (mRNA binding); GO:0030619 (U1 snRNA binding); GO:0030627 (pre-mRNA 5'-splice site binding); GO:0071004 (U2-type prespliceosome)</t>
  </si>
  <si>
    <t>GO:0016787 (hydrolase activity); GO:0046872 (metal ion binding); GO:0004222 (metalloendopeptidase activity); GO:0006508 (proteolysis); GO:0006518 (peptide metabolic process); GO:0008233 (peptidase activity); GO:0008237 (metallopeptidase activity)</t>
  </si>
  <si>
    <t xml:space="preserve">Nuclear hormone receptor family member nhr-71 </t>
  </si>
  <si>
    <t xml:space="preserve">Ribosomal Protein, Small subunit </t>
  </si>
  <si>
    <t>GO:0008270 (zinc ion binding); GO:0003735 (structural constituent of ribosome); GO:0005840 (ribosome); GO:0006412 (translation); GO:0022627 (cytosolic small ribosomal subunit)</t>
  </si>
  <si>
    <t xml:space="preserve">BRag/Iqsec/Schizo related Arf GEF family member </t>
  </si>
  <si>
    <t>GO:0005737 (cytoplasm); GO:0005085 (guanyl-nucleotide exchange factor activity); GO:0030036 (actin cytoskeleton organization); GO:0050790 (regulation of catalytic activity); GO:0032012 (regulation of ARF protein signal transduction)</t>
  </si>
  <si>
    <t xml:space="preserve">Peptidyl-prolyl cis-trans isomerase 4 </t>
  </si>
  <si>
    <t>GO:0016567 (protein ubiquitination); GO:0000413 (protein peptidyl-prolyl isomerization); GO:0006457 (protein folding); GO:0004842 (ubiquitin-protein transferase activity); GO:0003755 (peptidyl-prolyl cis-trans isomerase activity)</t>
  </si>
  <si>
    <t>GO:0016020 (membrane); GO:0016791 (phosphatase activity); GO:0046856 (phosphatidylinositol dephosphorylation); GO:0036092 (phosphatidylinositol-3-phosphate biosynthetic process); GO:0043813 (phosphatidylinositol-3,5-bisphosphate 5-phosphatase activity); GO:0042578 (phosphoric ester hydrolase activity)</t>
  </si>
  <si>
    <t>GO:0016579 (protein deubiquitination); GO:0004843 (thiol-dependent ubiquitin-specific protease activity); GO:0061578 (Lys63-specific deubiquitinase activity); GO:0070536 (protein K63-linked deubiquitination)</t>
  </si>
  <si>
    <t>GO:0005634 (nucleus); GO:0005737 (cytoplasm); GO:0008152 (metabolic process); GO:0046872 (metal ion binding); GO:0003676 (nucleic acid binding); GO:0003723 (RNA binding); GO:0016491 (oxidoreductase activity); GO:0008168 (methyltransferase activity); GO:0000049 (tRNA binding); GO:0003824 (catalytic activity); GO:0002098 (tRNA wobble uridine modification); GO:0055114 (oxidation-reduction process); GO:0106335 ()</t>
  </si>
  <si>
    <t xml:space="preserve">Paramyosin </t>
  </si>
  <si>
    <t>GO:0016459 (myosin complex); GO:0003774 (motor activity)</t>
  </si>
  <si>
    <t>GO:0005634 (nucleus); GO:0005737 (cytoplasm); GO:0006396 (RNA processing); GO:0000176 (nuclear exosome (RNase complex)); GO:0000177 (cytoplasmic exosome (RNase complex)); GO:0000467 (exonucleolytic trimming to generate mature 3'-end of 5.8S rRNA from tricistronic rRNA transcript (SSU-rRNA, 5.8S rRNA, LSU-rRNA)); GO:0016075 (rRNA catabolic process); GO:0034427 (nuclear-transcribed mRNA catabolic process, exonucleolytic, 3'-5'); GO:0034473 (U1 snRNA 3'-end processing); GO:0034475 (U4 snRNA 3'-end processing); GO:0034476 (U5 snRNA 3'-end processing); GO:0043928 (exonucleolytic catabolism of deadenylated mRNA); GO:0071028 (nuclear mRNA surveillance); GO:0071035 (nuclear polyadenylation-dependent rRNA catabolic process); GO:0071038 (nuclear polyadenylation-dependent tRNA catabolic process); GO:0071042 (nuclear polyadenylation-dependent mRNA catabolic process); GO:0000178 (exosome (RNase complex))</t>
  </si>
  <si>
    <t xml:space="preserve">Serine/threonine-protein phosphatase 2A catalytic subunit </t>
  </si>
  <si>
    <t>GO:0006561 (proline biosynthetic process); GO:0055129 (L-proline biosynthetic process); GO:0004735 (pyrroline-5-carboxylate reductase activity); GO:0055114 (oxidation-reduction process)</t>
  </si>
  <si>
    <t>GO:0003677 (DNA binding); GO:0005634 (nucleus); GO:0006355 (regulation of transcription, DNA-templated); GO:0005730 (nucleolus); GO:0043565 (sequence-specific DNA binding); GO:0003714 (transcription corepressor activity); GO:0008134 (transcription factor binding); GO:0045892 (negative regulation of transcription, DNA-templated)</t>
  </si>
  <si>
    <t xml:space="preserve">Guanine nucleotide-binding protein subunit gamma </t>
  </si>
  <si>
    <t>GO:0005834 (heterotrimeric G-protein complex); GO:0031681 (G-protein beta-subunit binding); GO:0007186 (G protein-coupled receptor signaling pathway)</t>
  </si>
  <si>
    <t xml:space="preserve">WAVE (Actin cytoskeleton modulator) homolog </t>
  </si>
  <si>
    <t>GO:0005856 (cytoskeleton); GO:0005737 (cytoplasm); GO:0003779 (actin binding); GO:0030036 (actin cytoskeleton organization); GO:0005515 (protein binding); GO:0048668 (collateral sprouting); GO:0007015 (actin filament organization); GO:1901046 (positive regulation of oviposition); GO:0031209 (SCAR complex); GO:2000370 (positive regulation of clathrin-dependent endocytosis); GO:0048613 (embryonic ectodermal digestive tract morphogenesis); GO:1902474 (positive regulation of protein localization to synapse); GO:0034237 (protein kinase A regulatory subunit binding); GO:0048598 (embryonic morphogenesis); GO:0001764 (neuron migration); GO:0008045 (motor neuron axon guidance); GO:0071933 (Arp2/3 complex binding); GO:2000601 (positive regulation of Arp2/3 complex-mediated actin nucleation)</t>
  </si>
  <si>
    <t xml:space="preserve">Eukaryotic translation initiation factor 2 subunit 2 </t>
  </si>
  <si>
    <t>GO:0046872 (metal ion binding); GO:0003743 (translation initiation factor activity); GO:0006412 (translation); GO:0006413 (translational initiation); GO:0003729 (mRNA binding); GO:0031369 (translation initiation factor binding); GO:0001731 (formation of translation preinitiation complex); GO:0001732 (formation of cytoplasmic translation initiation complex); GO:0005850 (eukaryotic translation initiation factor 2 complex); GO:0008340 (determination of adult lifespan); GO:0040014 (regulation of multicellular organism growth)</t>
  </si>
  <si>
    <t xml:space="preserve">Eukaryotic translation initiation factor 3 subunit K </t>
  </si>
  <si>
    <t>GO:0006446 (regulation of translational initiation); GO:0005852 (eukaryotic translation initiation factor 3 complex); GO:0043022 (ribosome binding); GO:0003743 (translation initiation factor activity); GO:0005737 (cytoplasm)</t>
  </si>
  <si>
    <t>GO:1990544 (mitochondrial ATP transmembrane transport); GO:0140021 (mitochondrial ADP transmembrane transport); GO:0005471 (ATP:ADP antiporter activity); GO:0005743 (mitochondrial inner membrane)</t>
  </si>
  <si>
    <t>GO:0005634 (nucleus); GO:0003700 (DNA-binding transcription factor activity); GO:0006355 (regulation of transcription, DNA-templated); GO:0003677 (DNA binding); GO:0000978 (RNA polymerase II cis-regulatory region sequence-specific DNA binding); GO:0002376 (immune system process); GO:0045087 (innate immune response); GO:0000981 (DNA-binding transcription factor activity, RNA polymerase II-specific); GO:0006357 (regulation of transcription by RNA polymerase II); GO:0050829 (defense response to Gram-negative bacterium); GO:0019216 (regulation of lipid metabolic process)</t>
  </si>
  <si>
    <t xml:space="preserve">Uncharacterized RING finger protein ZK637.14 </t>
  </si>
  <si>
    <t>GO:0046872 (metal ion binding); GO:0061630 (ubiquitin protein ligase activity); GO:0008270 (zinc ion binding); GO:0005783 (endoplasmic reticulum); GO:0016567 (protein ubiquitination); GO:0012505 (endomembrane system); GO:0036503 (ERAD pathway)</t>
  </si>
  <si>
    <t xml:space="preserve">Uncharacterized RING finger protein C02B8.6 </t>
  </si>
  <si>
    <t xml:space="preserve">MOlybdenum Cofactor biosynthesis </t>
  </si>
  <si>
    <t>GO:0016740 (transferase activity); GO:0006777 (Mo-molybdopterin cofactor biosynthetic process); GO:0061599 (molybdopterin molybdotransferase activity)</t>
  </si>
  <si>
    <t>GO:0005634 (nucleus); GO:0016592 (mediator complex)</t>
  </si>
  <si>
    <t xml:space="preserve">60S ribosomal protein L10a </t>
  </si>
  <si>
    <t>GO:0003723 (RNA binding); GO:0003735 (structural constituent of ribosome); GO:0005840 (ribosome); GO:0006412 (translation); GO:0022625 (cytosolic large ribosomal subunit); GO:0000470 (maturation of LSU-rRNA); GO:0015934 (large ribosomal subunit)</t>
  </si>
  <si>
    <t>GO:0016020 (membrane); GO:0005737 (cytoplasm); GO:0031410 (cytoplasmic vesicle); GO:0005829 (cytosol); GO:0019898 (extrinsic component of membrane); GO:0008289 (lipid binding); GO:0006914 (autophagy); GO:0000422 (autophagy of mitochondrion); GO:0006497 (protein lipidation); GO:0032266 (phosphatidylinositol-3-phosphate binding); GO:0034045 (phagophore assembly site membrane); GO:0034497 (protein localization to phagophore assembly site); GO:0080025 (phosphatidylinositol-3,5-bisphosphate binding); GO:0030670 (phagocytic vesicle membrane); GO:0010508 (positive regulation of autophagy); GO:0036093 (germ cell proliferation); GO:0042078 (germ-line stem cell division); GO:0009792 (embryo development ending in birth or egg hatching); GO:0048598 (embryonic morphogenesis); GO:0008340 (determination of adult lifespan); GO:0040024 (dauer larval development); GO:0012501 (programmed cell death); GO:0030163 (protein catabolic process); GO:0045335 (phagocytic vesicle); GO:0070273 (phosphatidylinositol-4-phosphate binding); GO:0043277 (apoptotic cell clearance); GO:0010314 (phosphatidylinositol-5-phosphate binding); GO:0061365 (positive regulation of triglyceride lipase activity); GO:0044804 (autophagy of nucleus); GO:0005515 (protein binding); GO:0001778 (plasma membrane repair); GO:0098792 (xenophagy)</t>
  </si>
  <si>
    <t>GO:0046872 (metal ion binding); GO:0008270 (zinc ion binding); GO:0005515 (protein binding); GO:0000423 (mitophagy); GO:0005080 (protein kinase C binding); GO:0007032 (endosome organization); GO:0016235 (aggresome); GO:0035973 (aggrephagy); GO:0044753 (amphisome); GO:0070530 (K63-linked polyubiquitin modification-dependent protein binding)</t>
  </si>
  <si>
    <t>GO:0005634 (nucleus); GO:0000976 (transcription regulatory region sequence-specific DNA binding); GO:0000981 (DNA-binding transcription factor activity, RNA polymerase II-specific); GO:0006357 (regulation of transcription by RNA polymerase II)</t>
  </si>
  <si>
    <t xml:space="preserve">Actin-interacting protein 1 </t>
  </si>
  <si>
    <t>GO:0005737 (cytoplasm); GO:0030864 (cortical actin cytoskeleton); GO:0005856 (cytoskeleton); GO:0051015 (actin filament binding); GO:0003779 (actin binding); GO:0045214 (sarcomere organization); GO:0030042 (actin filament depolymerization); GO:0030836 (positive regulation of actin filament depolymerization); GO:0040011 (locomotion); GO:0040012 (regulation of locomotion); GO:0030240 (skeletal muscle thin filament assembly); GO:0030016 (myofibril); GO:0071689 (muscle thin filament assembly); GO:0030837 (negative regulation of actin filament polymerization); GO:0016528 (sarcoplasm); GO:0005515 (protein binding)</t>
  </si>
  <si>
    <t>GO:0016740 (transferase activity); GO:0016746 (transferase activity, transferring acyl groups); GO:0008270 (zinc ion binding); GO:0006508 (proteolysis); GO:0016603 (glutaminyl-peptide cyclotransferase activity); GO:0017186 (peptidyl-pyroglutamic acid biosynthetic process, using glutaminyl-peptide cyclotransferase); GO:0018215 (protein phosphopantetheinylation); GO:0008235 (metalloexopeptidase activity)</t>
  </si>
  <si>
    <t xml:space="preserve">60S ribosomal protein L27 </t>
  </si>
  <si>
    <t>GO:0005737 (cytoplasm); GO:0003735 (structural constituent of ribosome); GO:0005840 (ribosome); GO:0006412 (translation); GO:0022625 (cytosolic large ribosomal subunit); GO:0005783 (endoplasmic reticulum); GO:0005829 (cytosol); GO:0005791 (rough endoplasmic reticulum); GO:0098556 (cytoplasmic side of rough endoplasmic reticulum membrane); GO:0015934 (large ribosomal subunit)</t>
  </si>
  <si>
    <t xml:space="preserve">40S ribosomal protein S17 </t>
  </si>
  <si>
    <t>GO:0003735 (structural constituent of ribosome); GO:0005840 (ribosome); GO:0006412 (translation)</t>
  </si>
  <si>
    <t>GO:0005634 (nucleus); GO:0005737 (cytoplasm); GO:0032039 (integrator complex); GO:0051321 (meiotic cell cycle); GO:0007283 (spermatogenesis); GO:0007346 (regulation of mitotic cell cycle); GO:0048471 (perinuclear region of cytoplasm); GO:0051642 (centrosome localization)</t>
  </si>
  <si>
    <t xml:space="preserve">CD2AP homolog </t>
  </si>
  <si>
    <t xml:space="preserve">Small Glutamine-rich Tetratrico repeat protein </t>
  </si>
  <si>
    <t>GO:0016020 (membrane); GO:0005515 (protein binding); GO:0030433 (ubiquitin-dependent ERAD pathway); GO:0006620 (posttranslational protein targeting to endoplasmic reticulum membrane); GO:0072380 (TRC complex); GO:1903646 (positive regulation of chaperone-mediated protein folding); GO:0060090 (molecular adaptor activity)</t>
  </si>
  <si>
    <t xml:space="preserve">Protein kinase C-like 1B </t>
  </si>
  <si>
    <t>GO:0004697 (protein kinase C activity); GO:0004672 (protein kinase activity); GO:0004674 (protein serine/threonine kinase activity); GO:0035556 (intracellular signal transduction); GO:0006468 (protein phosphorylation); GO:0005524 (ATP binding); GO:0098793 (presynapse); GO:0016301 (kinase activity); GO:0016310 (phosphorylation); GO:0000166 (nucleotide binding); GO:0016740 (transferase activity); GO:0006935 (chemotaxis); GO:0040012 (regulation of locomotion); GO:0007269 (neurotransmitter secretion); GO:0004698 (calcium-dependent protein kinase C activity); GO:0106310 (protein serine kinase activity); GO:0106311 (protein threonine kinase activity)</t>
  </si>
  <si>
    <t xml:space="preserve">Homeobox protein ceh-62 </t>
  </si>
  <si>
    <t xml:space="preserve">Cap-specific mRNA (nucleoside-2'-O-)-methyltransferase 1 </t>
  </si>
  <si>
    <t>GO:0005634 (nucleus); GO:0005737 (cytoplasm); GO:0008168 (methyltransferase activity); GO:0032259 (methylation); GO:0016740 (transferase activity); GO:0003676 (nucleic acid binding); GO:0006397 (mRNA processing); GO:0006370 (7-methylguanosine mRNA capping); GO:0004483 (mRNA (nucleoside-2'-O-)-methyltransferase activity); GO:0097309 (cap1 mRNA methylation); GO:0080009 (mRNA methylation)</t>
  </si>
  <si>
    <t>GO:0005634 (nucleus); GO:0006355 (regulation of transcription, DNA-templated); GO:0006338 (chromatin remodeling); GO:0043486 (histone exchange)</t>
  </si>
  <si>
    <t>GO:0016787 (hydrolase activity); GO:0005634 (nucleus); GO:0046872 (metal ion binding); GO:0000469 (cleavage involved in rRNA processing); GO:0090502 (RNA phosphodiester bond hydrolysis, endonucleolytic); GO:0004518 (nuclease activity); GO:0004521 (endoribonuclease activity); GO:0030490 (maturation of SSU-rRNA); GO:0030688 (preribosome, small subunit precursor); GO:0042274 (ribosomal small subunit biogenesis); GO:0005737 (cytoplasm)</t>
  </si>
  <si>
    <t xml:space="preserve">ATPase inhibitor mai-2, mitochondrial </t>
  </si>
  <si>
    <t>GO:0032780 (negative regulation of ATPase activity); GO:0042030 (ATPase inhibitor activity); GO:0005739 (mitochondrion)</t>
  </si>
  <si>
    <t xml:space="preserve">Adenomatous polyposis coli protein-related protein 1 </t>
  </si>
  <si>
    <t>GO:0030178 (negative regulation of Wnt signaling pathway); GO:0008013 (beta-catenin binding); GO:0016055 (Wnt signaling pathway)</t>
  </si>
  <si>
    <t>GO:0005634 (nucleus); GO:0046983 (protein dimerization activity); GO:0006357 (regulation of transcription by RNA polymerase II)</t>
  </si>
  <si>
    <t>GO:0005634 (nucleus); GO:0006357 (regulation of transcription by RNA polymerase II); GO:0070577 (lysine-acetylated histone binding); GO:0005515 (protein binding)</t>
  </si>
  <si>
    <t xml:space="preserve">Nuclear hormone receptor family member nhr-20 </t>
  </si>
  <si>
    <t>GO:0016020 (membrane); GO:0016021 (integral component of membrane); GO:0046872 (metal ion binding); GO:0051537 (2 iron, 2 sulfur cluster binding); GO:0043231 (intracellular membrane-bounded organelle); GO:0005741 (mitochondrial outer membrane)</t>
  </si>
  <si>
    <t xml:space="preserve">ACyLtransferase-like; Dihydroxyacetone phosphate acyltransferase </t>
  </si>
  <si>
    <t>GO:0016740 (transferase activity); GO:0016746 (transferase activity, transferring acyl groups); GO:0005778 (peroxisomal membrane); GO:0006631 (fatty acid metabolic process); GO:0008374 (O-acyltransferase activity); GO:0031966 (mitochondrial membrane); GO:0008611 (ether lipid biosynthetic process); GO:0008654 (phospholipid biosynthetic process); GO:0016287 (glycerone-phosphate O-acyltransferase activity); GO:0044255 (cellular lipid metabolic process)</t>
  </si>
  <si>
    <t xml:space="preserve">Probable histone-binding protein lin-53 </t>
  </si>
  <si>
    <t xml:space="preserve">cyclin L </t>
  </si>
  <si>
    <t>GO:0005634 (nucleus); GO:0006357 (regulation of transcription by RNA polymerase II); GO:0016538 (cyclin-dependent protein serine/threonine kinase regulator activity); GO:0000079 (regulation of cyclin-dependent protein serine/threonine kinase activity)</t>
  </si>
  <si>
    <t>GO:0005634 (nucleus); GO:0000209 (protein polyubiquitination); GO:0006511 (ubiquitin-dependent protein catabolic process); GO:0016567 (protein ubiquitination); GO:0000151 (ubiquitin ligase complex); GO:0005515 (protein binding); GO:0061631 (ubiquitin conjugating enzyme activity); GO:0031625 (ubiquitin protein ligase binding); GO:0009887 (animal organ morphogenesis); GO:0008340 (determination of adult lifespan); GO:0048557 (embryonic digestive tract morphogenesis); GO:0051443 (positive regulation of ubiquitin-protein transferase activity)</t>
  </si>
  <si>
    <t>GO:0046872 (metal ion binding); GO:0005739 (mitochondrion); GO:0016491 (oxidoreductase activity); GO:0005829 (cytosol); GO:0005777 (peroxisome); GO:0000287 (magnesium ion binding); GO:0016616 (oxidoreductase activity, acting on the CH-OH group of donors, NAD or NADP as acceptor); GO:0051287 (NAD binding); GO:0004450 (isocitrate dehydrogenase (NADP+) activity); GO:0006102 (isocitrate metabolic process); GO:0006739 (NADP metabolic process); GO:0006099 (tricarboxylic acid cycle); GO:0006097 (glyoxylate cycle); GO:0055114 (oxidation-reduction process)</t>
  </si>
  <si>
    <t xml:space="preserve">LAMP family protein lmp-1 </t>
  </si>
  <si>
    <t xml:space="preserve">Ribosomal RNA-processing protein 8 </t>
  </si>
  <si>
    <t>GO:0005634 (nucleus); GO:0008168 (methyltransferase activity); GO:0032259 (methylation); GO:0016740 (transferase activity); GO:0005730 (nucleolus); GO:0035064 (methylated histone binding); GO:0006364 (rRNA processing); GO:0006325 (chromatin organization); GO:0042149 (cellular response to glucose starvation); GO:0000183 (rDNA heterochromatin assembly); GO:0005677 (chromatin silencing complex); GO:0033553 (rDNA heterochromatin); GO:0046015 (regulation of transcription by glucose)</t>
  </si>
  <si>
    <t xml:space="preserve">ER membrane protein complex subunit 7 homolog </t>
  </si>
  <si>
    <t>GO:0016020 (membrane); GO:0016021 (integral component of membrane); GO:0072546 (ER membrane protein complex)</t>
  </si>
  <si>
    <t>GO:0016020 (membrane); GO:0016021 (integral component of membrane); GO:0022857 (transmembrane transporter activity); GO:0055085 (transmembrane transport); GO:0008028 (monocarboxylic acid transmembrane transporter activity); GO:0005886 (plasma membrane); GO:0015718 (monocarboxylic acid transport)</t>
  </si>
  <si>
    <t>GO:0016246 (RNA interference)</t>
  </si>
  <si>
    <t>GO:0003723 (RNA binding); GO:0003676 (nucleic acid binding); GO:0005634 (nucleus); GO:0006397 (mRNA processing); GO:0031490 (chromatin DNA binding); GO:0006998 (nuclear envelope organization); GO:0005639 (integral component of nuclear inner membrane)</t>
  </si>
  <si>
    <t xml:space="preserve">Clathrin light chain </t>
  </si>
  <si>
    <t>GO:0016020 (membrane); GO:0005886 (plasma membrane); GO:0005198 (structural molecule activity); GO:0006886 (intracellular protein transport); GO:0016192 (vesicle-mediated transport); GO:0031410 (cytoplasmic vesicle); GO:0072583 (clathrin-dependent endocytosis); GO:0030672 (synaptic vesicle membrane); GO:0048268 (clathrin coat assembly); GO:0030659 (cytoplasmic vesicle membrane); GO:0030125 (clathrin vesicle coat); GO:0005905 (clathrin-coated pit); GO:0030130 (clathrin coat of trans-Golgi network vesicle); GO:0030132 (clathrin coat of coated pit); GO:0032050 (clathrin heavy chain binding); GO:0099631 (postsynaptic endocytic zone cytoplasmic component); GO:1990075 (periciliary membrane compartment)</t>
  </si>
  <si>
    <t xml:space="preserve">Origin recognition complex subunit 2 </t>
  </si>
  <si>
    <t>GO:0000808 (origin recognition complex); GO:0006260 (DNA replication); GO:0005634 (nucleus)</t>
  </si>
  <si>
    <t xml:space="preserve">N-alpha-AcetylTransferase C complex subunit </t>
  </si>
  <si>
    <t>GO:0016740 (transferase activity); GO:0016746 (transferase activity, transferring acyl groups); GO:0004596 (peptide alpha-N-acetyltransferase activity); GO:0017196 (N-terminal peptidyl-methionine acetylation); GO:0008080 (N-acetyltransferase activity); GO:0031417 (NatC complex); GO:0040024 (dauer larval development)</t>
  </si>
  <si>
    <t>GO:0006397 (mRNA processing); GO:0031417 (NatC complex)</t>
  </si>
  <si>
    <t>GO:0016020 (membrane); GO:0016021 (integral component of membrane); GO:0005524 (ATP binding); GO:0000166 (nucleotide binding); GO:0055085 (transmembrane transport); GO:0042626 (ATPase-coupled transmembrane transporter activity); GO:0016887 (ATPase activity)</t>
  </si>
  <si>
    <t xml:space="preserve">Potential E3 ubiquitin-protein ligase ariadne-2 </t>
  </si>
  <si>
    <t>GO:0005737 (cytoplasm); GO:0005634 (nucleus); GO:0046872 (metal ion binding); GO:0016740 (transferase activity); GO:0000209 (protein polyubiquitination); GO:0004842 (ubiquitin-protein transferase activity); GO:0006511 (ubiquitin-dependent protein catabolic process); GO:0061630 (ubiquitin protein ligase activity); GO:0016567 (protein ubiquitination); GO:0000151 (ubiquitin ligase complex); GO:0031624 (ubiquitin conjugating enzyme binding); GO:0032436 (positive regulation of proteasomal ubiquitin-dependent protein catabolic process)</t>
  </si>
  <si>
    <t xml:space="preserve">Mannose-P-dolichol utilization defect 1 protein homolog </t>
  </si>
  <si>
    <t>GO:0016020 (membrane); GO:0016021 (integral component of membrane); GO:0009312 (oligosaccharide biosynthetic process)</t>
  </si>
  <si>
    <t xml:space="preserve">Ubiquinone biosynthesis protein coq-4, mitochondrial </t>
  </si>
  <si>
    <t>GO:0006744 (ubiquinone biosynthetic process); GO:0005743 (mitochondrial inner membrane)</t>
  </si>
  <si>
    <t>GO:0005515 (protein binding); GO:0030424 (axon); GO:0032794 (GTPase activating protein binding)</t>
  </si>
  <si>
    <t xml:space="preserve">MVB (Yeast MultiVesicular Body sorting factor) related </t>
  </si>
  <si>
    <t>GO:0016020 (membrane); GO:0005737 (cytoplasm); GO:0015031 (protein transport); GO:0005829 (cytosol); GO:0042058 (regulation of epidermal growth factor receptor signaling pathway); GO:0005768 (endosome); GO:0031902 (late endosome membrane); GO:0010008 (endosome membrane); GO:0017124 (SH3 domain binding); GO:0000813 (ESCRT I complex); GO:0032510 (endosome to lysosome transport via multivesicular body sorting pathway); GO:0032801 (receptor catabolic process); GO:0019075 (virus maturation); GO:0046755 (viral budding)</t>
  </si>
  <si>
    <t xml:space="preserve">Leucine aminopeptidase 1 </t>
  </si>
  <si>
    <t>GO:0019538 (protein metabolic process); GO:0070006 (metalloaminopeptidase activity); GO:0005737 (cytoplasm); GO:0006508 (proteolysis); GO:0030145 (manganese ion binding)</t>
  </si>
  <si>
    <t>GO:0003924 (GTPase activity); GO:0005525 (GTP binding); GO:0005634 (nucleus); GO:0000462 (maturation of SSU-rRNA from tricistronic rRNA transcript (SSU-rRNA, 5.8S rRNA, LSU-rRNA)); GO:0005730 (nucleolus); GO:0030686 (90S preribosome); GO:0042254 (ribosome biogenesis); GO:0034511 (U3 snoRNA binding); GO:0000479 (endonucleolytic cleavage of tricistronic rRNA transcript (SSU-rRNA, 5.8S rRNA, LSU-rRNA))</t>
  </si>
  <si>
    <t xml:space="preserve">Malic enzyme </t>
  </si>
  <si>
    <t>GO:0046872 (metal ion binding); GO:0005739 (mitochondrion); GO:0016491 (oxidoreductase activity); GO:0051287 (NAD binding); GO:0006090 (pyruvate metabolic process); GO:0006108 (malate metabolic process); GO:0004470 (malic enzyme activity); GO:0004471 (malate dehydrogenase (decarboxylating) (NAD+) activity); GO:0004473 (malate dehydrogenase (decarboxylating) (NADP+) activity); GO:0055114 (oxidation-reduction process)</t>
  </si>
  <si>
    <t xml:space="preserve">REF-1; REgulator of Fusion </t>
  </si>
  <si>
    <t>GO:0005634 (nucleus);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GO:0050767 (regulation of neurogenesis); GO:0009952 (anterior/posterior pattern specification); GO:0000122 (negative regulation of transcription by RNA polymerase II); GO:0045138 (nematode male tail tip morphogenesis); GO:0048666 (neuron development); GO:0009957 (epidermal cell fate specification)</t>
  </si>
  <si>
    <t>GO:0005840 (ribosome); GO:0003735 (structural constituent of ribosome); GO:0005763 (mitochondrial small ribosomal subunit)</t>
  </si>
  <si>
    <t xml:space="preserve">AFG3-like protein spg-7 </t>
  </si>
  <si>
    <t>GO:0016887 (ATPase activity); GO:0004222 (metalloendopeptidase activity); GO:0004176 (ATP-dependent peptidase activity); GO:0006508 (proteolysis); GO:0016021 (integral component of membrane); GO:0016020 (membrane); GO:0005524 (ATP binding); GO:0008270 (zinc ion binding)</t>
  </si>
  <si>
    <t xml:space="preserve">60S ribosomal protein L5 </t>
  </si>
  <si>
    <t>GO:0005634 (nucleus); GO:0005737 (cytoplasm); GO:0003723 (RNA binding); GO:0003735 (structural constituent of ribosome); GO:0005840 (ribosome); GO:0006412 (translation); GO:0000027 (ribosomal large subunit assembly); GO:0022625 (cytosolic large ribosomal subunit); GO:0019843 (rRNA binding); GO:0008097 (5S rRNA binding)</t>
  </si>
  <si>
    <t xml:space="preserve">Adenylate kinase isoenzyme 6 homolog </t>
  </si>
  <si>
    <t>GO:0005634 (nucleus); GO:0005524 (ATP binding); GO:0005737 (cytoplasm); GO:0016301 (kinase activity); GO:0016310 (phosphorylation); GO:0000166 (nucleotide binding); GO:0016740 (transferase activity); GO:0016887 (ATPase activity); GO:0046940 (nucleoside monophosphate phosphorylation); GO:0004017 (adenylate kinase activity)</t>
  </si>
  <si>
    <t xml:space="preserve">GLutamiNAse </t>
  </si>
  <si>
    <t>GO:0016787 (hydrolase activity); GO:0004359 (glutaminase activity); GO:0006541 (glutamine metabolic process); GO:0006537 (glutamate biosynthetic process); GO:0006543 (glutamine catabolic process); GO:0005515 (protein binding); GO:0005739 (mitochondrion)</t>
  </si>
  <si>
    <t>GO:0005737 (cytoplasm); GO:0006606 (protein import into nucleus)</t>
  </si>
  <si>
    <t xml:space="preserve">Gut esterase 1 </t>
  </si>
  <si>
    <t xml:space="preserve">60S ribosomal protein L11-2 </t>
  </si>
  <si>
    <t>GO:0005634 (nucleus); GO:0006355 (regulation of transcription, DNA-templated); GO:0035267 (NuA4 histone acetyltransferase complex); GO:0006357 (regulation of transcription by RNA polymerase II); GO:0016573 (histone acetylation); GO:0043189 (H4/H2A histone acetyltransferase complex)</t>
  </si>
  <si>
    <t>GO:0005634 (nucleus); GO:0005737 (cytoplasm); GO:0006355 (regulation of transcription, DNA-templated)</t>
  </si>
  <si>
    <t xml:space="preserve">Multifunctional methyltransferase subunit TRM112-like protein </t>
  </si>
  <si>
    <t>GO:0046982 (protein heterodimerization activity); GO:0030488 (tRNA methylation); GO:0018364 (peptidyl-glutamine methylation); GO:0070476 (rRNA (guanine-N7)-methylation)</t>
  </si>
  <si>
    <t xml:space="preserve">Cyclin-dependent kinase 8 </t>
  </si>
  <si>
    <t xml:space="preserve">Virus Induced Reporter Off </t>
  </si>
  <si>
    <t>GO:0016491 (oxidoreductase activity); GO:0050660 (flavin adenine dinucleotide binding); GO:0004497 (monooxygenase activity); GO:0004499 (N,N-dimethylaniline monooxygenase activity); GO:0050661 (NADP binding); GO:0055114 (oxidation-reduction process)</t>
  </si>
  <si>
    <t xml:space="preserve">Protein kinase C-like 2 </t>
  </si>
  <si>
    <t>GO:0004697 (protein kinase C activity); GO:0004672 (protein kinase activity); GO:0004674 (protein serine/threonine kinase activity); GO:0035556 (intracellular signal transduction); GO:0006468 (protein phosphorylation); GO:0005524 (ATP binding); GO:0008270 (zinc ion binding); GO:0016301 (kinase activity); GO:0016310 (phosphorylation); GO:0000166 (nucleotide binding); GO:0016740 (transferase activity); GO:0043025 (neuronal cell body); GO:0005829 (cytosol); GO:0043005 (neuron projection); GO:0016020 (membrane); GO:0018107 (peptidyl-threonine phosphorylation); GO:0018105 (peptidyl-serine phosphorylation); GO:0004698 (calcium-dependent protein kinase C activity); GO:0106311 (protein threonine kinase activity)</t>
  </si>
  <si>
    <t>GO:0016020 (membrane); GO:0016021 (integral component of membrane); GO:0005783 (endoplasmic reticulum); GO:0005789 (endoplasmic reticulum membrane); GO:0070072 (vacuolar proton-transporting V-type ATPase complex assembly); GO:0012505 (endomembrane system)</t>
  </si>
  <si>
    <t>GO:0005634 (nucleus); GO:0003729 (mRNA binding); GO:0000445 (THO complex part of transcription export complex); GO:0006406 (mRNA export from nucleus); GO:0032786 (positive regulation of DNA-templated transcription, elongation); GO:0000347 (THO complex)</t>
  </si>
  <si>
    <t xml:space="preserve">Phospholipid-transporting ATPase tat-1 </t>
  </si>
  <si>
    <t>GO:0016020 (membrane); GO:0016021 (integral component of membrane); GO:0005524 (ATP binding); GO:0005886 (plasma membrane); GO:0000166 (nucleotide binding); GO:0046872 (metal ion binding); GO:0000287 (magnesium ion binding); GO:0016887 (ATPase activity); GO:0005768 (endosome); GO:0005802 (trans-Golgi network); GO:0015914 (phospholipid transport); GO:0045332 (phospholipid translocation); GO:0055038 (recycling endosome membrane); GO:0031901 (early endosome membrane); GO:0005515 (protein binding); GO:0005737 (cytoplasm); GO:0005887 (integral component of plasma membrane); GO:0016323 (basolateral plasma membrane); GO:0016324 (apical plasma membrane); GO:0006897 (endocytosis); GO:0005794 (Golgi apparatus); GO:0060101 (negative regulation of phagocytosis, engulfment); GO:0007040 (lysosome organization); GO:0005769 (early endosome); GO:0005770 (late endosome); GO:0055037 (recycling endosome); GO:0060100 (positive regulation of phagocytosis, engulfment); GO:0140326 (ATPase-coupled intramembrane lipid transporter activity)</t>
  </si>
  <si>
    <t xml:space="preserve">Cytochrome c oxidase assembly protein COX16 homolog, mitochondrial </t>
  </si>
  <si>
    <t>GO:0016020 (membrane); GO:0016021 (integral component of membrane); GO:0005739 (mitochondrion); GO:0005743 (mitochondrial inner membrane); GO:0031966 (mitochondrial membrane); GO:0033617 (mitochondrial cytochrome c oxidase assembly); GO:0031305 (integral component of mitochondrial inner membrane)</t>
  </si>
  <si>
    <t xml:space="preserve">Putative RNA exonuclease pqe-1 </t>
  </si>
  <si>
    <t xml:space="preserve">Zinc finger BED domain-containing protein 39 </t>
  </si>
  <si>
    <t xml:space="preserve">RNA POlymerase I (A) subunit </t>
  </si>
  <si>
    <t>GO:0003677 (DNA binding); GO:0005634 (nucleus); GO:0005730 (nucleolus); GO:0006351 (transcription, DNA-templated); GO:0003899 (DNA-directed 5'-3' RNA polymerase activity); GO:0005736 (RNA polymerase I complex); GO:0042790 (nucleolar large rRNA transcription by RNA polymerase I); GO:0001188 (RNA polymerase I preinitiation complex assembly); GO:0006362 (transcription elongation from RNA polymerase I promoter)</t>
  </si>
  <si>
    <t xml:space="preserve">SMEK (Dictyostelium Suppressor of MEK null) homolog </t>
  </si>
  <si>
    <t>GO:0005634 (nucleus); GO:0006974 (cellular response to DNA damage stimulus); GO:0009411 (response to UV); GO:0010165 (response to X-ray); GO:1904290 (negative regulation of mitotic DNA damage checkpoint); GO:0042742 (defense response to bacterium)</t>
  </si>
  <si>
    <t xml:space="preserve">Structural maintenance of chromosomes protein 1 </t>
  </si>
  <si>
    <t>GO:0005634 (nucleus); GO:0005524 (ATP binding); GO:0005694 (chromosome); GO:0016887 (ATPase activity); GO:0007049 (cell cycle); GO:0008278 (cohesin complex); GO:0007062 (sister chromatid cohesion); GO:0051301 (cell division); GO:0006281 (DNA repair); GO:0006974 (cellular response to DNA damage stimulus); GO:0003677 (DNA binding); GO:0051276 (chromosome organization); GO:0007064 (mitotic sister chromatid cohesion); GO:0009792 (embryo development ending in birth or egg hatching); GO:0000785 (chromatin); GO:0007059 (chromosome segregation); GO:0009411 (response to UV); GO:0010165 (response to X-ray); GO:0005515 (protein binding)</t>
  </si>
  <si>
    <t xml:space="preserve">60S ribosomal protein L19 </t>
  </si>
  <si>
    <t>GO:0003723 (RNA binding); GO:0003735 (structural constituent of ribosome); GO:0005840 (ribosome); GO:0006412 (translation); GO:0022625 (cytosolic large ribosomal subunit); GO:0008340 (determination of adult lifespan)</t>
  </si>
  <si>
    <t xml:space="preserve">Derlin-2 </t>
  </si>
  <si>
    <t>GO:0016020 (membrane); GO:0016021 (integral component of membrane); GO:0015031 (protein transport); GO:0030433 (ubiquitin-dependent ERAD pathway); GO:0030968 (endoplasmic reticulum unfolded protein response); GO:0005783 (endoplasmic reticulum); GO:0005789 (endoplasmic reticulum membrane); GO:0030176 (integral component of endoplasmic reticulum membrane); GO:0030307 (positive regulation of cell growth); GO:0051787 (misfolded protein binding); GO:0000839 (Hrd1p ubiquitin ligase ERAD-L complex); GO:1990381 (ubiquitin-specific protease binding); GO:0008284 (positive regulation of cell population proliferation); GO:0030970 (retrograde protein transport, ER to cytosol); GO:0005047 (signal recognition particle binding)</t>
  </si>
  <si>
    <t>GO:0005744 (TIM23 mitochondrial import inner membrane translocase complex); GO:0030150 (protein import into mitochondrial matrix); GO:0008320 (protein transmembrane transporter activity); GO:0031305 (integral component of mitochondrial inner membrane); GO:0030943 (mitochondrion targeting sequence binding)</t>
  </si>
  <si>
    <t>GO:0005634 (nucleus); GO:0003677 (DNA binding); GO:0005737 (cytoplasm); GO:0003700 (DNA-binding transcription factor activity); GO:0006355 (regulation of transcription, DNA-templated); GO:0007275 (multicellular organism development); GO:0005515 (protein binding); GO:0005739 (mitochondrion); GO:0008340 (determination of adult lifespan); GO:0000978 (RNA polymerase II cis-regulatory region sequence-specific DNA binding); GO:0010628 (positive regulation of gene expression); GO:0000981 (DNA-binding transcription factor activity, RNA polymerase II-specific); GO:0006357 (regulation of transcription by RNA polymerase II); GO:0006417 (regulation of translation); GO:0048566 (embryonic digestive tract development); GO:1901215 (negative regulation of neuron death); GO:1905804 (positive regulation of cellular response to manganese ion); GO:1901562 (response to paraquat); GO:0001714 (endodermal cell fate specification); GO:1900409 (positive regulation of cellular response to oxidative stress); GO:0000977 (RNA polymerase II transcription regulatory region sequence-specific DNA binding); GO:0006990 (positive regulation of transcription from RNA polymerase II promoter involved in unfolded protein response); GO:0005783 (endoplasmic reticulum); GO:0001708 (cell fate specification); GO:0045944 (positive regulation of transcription by RNA polymerase II); GO:0043565 (sequence-specific DNA binding); GO:0009408 (response to heat); GO:0006979 (response to oxidative stress); GO:0009880 (embryonic pattern specification); GO:0030544 (Hsp70 protein binding); GO:0000303 (response to superoxide); GO:0048382 (mesendoderm development); GO:0061408 (positive regulation of transcription from RNA polymerase II promoter in response to heat stress)</t>
  </si>
  <si>
    <t>GO:0006508 (proteolysis); GO:0004190 (aspartic-type endopeptidase activity); GO:0045087 (innate immune response)</t>
  </si>
  <si>
    <t>GO:0006364 (rRNA processing)</t>
  </si>
  <si>
    <t>Nuclear pore complex protein Nup98-Nup96 Nuclear pore complex protein Nup98 Nuclear pore complex protein Nup96</t>
  </si>
  <si>
    <t>GO:0005643 (nuclear pore); GO:0017056 (structural constituent of nuclear pore); GO:0006913 (nucleocytoplasmic transport)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</si>
  <si>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GO:0005251 (delayed rectifier potassium channel activity); GO:0008076 (voltage-gated potassium channel complex); GO:0015271 (outward rectifier potassium channel activity); GO:0005516 (calmodulin binding); GO:0030421 (defecation); GO:0097623 (potassium ion export across plasma membrane)</t>
  </si>
  <si>
    <t xml:space="preserve">Proteasomal ubiquitin receptor ADRM1 homolog </t>
  </si>
  <si>
    <t>GO:0005737 (cytoplasm); GO:0005634 (nucleus); GO:0000502 (proteasome complex)</t>
  </si>
  <si>
    <t xml:space="preserve">RABaptiN (Rab effector) </t>
  </si>
  <si>
    <t>GO:0046872 (metal ion binding); GO:0043231 (intracellular membrane-bounded organelle); GO:0043547 (positive regulation of GTPase activity); GO:0005096 (GTPase activator activity); GO:0006897 (endocytosis); GO:0018996 (molting cycle, collagen and cuticulin-based cuticle); GO:0032794 (GTPase activating protein binding)</t>
  </si>
  <si>
    <t xml:space="preserve">Probable 28S ribosomal protein S25, mitochondrial </t>
  </si>
  <si>
    <t xml:space="preserve">Cohesin subunit scc-3 </t>
  </si>
  <si>
    <t>GO:0005634 (nucleus); GO:0003682 (chromatin binding); GO:0007049 (cell cycle); GO:0007062 (sister chromatid cohesion); GO:0051301 (cell division); GO:0000785 (chromatin); GO:0005694 (chromosome); GO:0008278 (cohesin complex); GO:0000793 (condensed chromosome); GO:0003677 (DNA binding); GO:0051177 (meiotic sister chromatid cohesion); GO:0000070 (mitotic sister chromatid segregation); GO:1905309 (positive regulation of cohesin loading); GO:1990918 (double-strand break repair involved in meiotic recombination); GO:2000001 (regulation of DNA damage checkpoint)</t>
  </si>
  <si>
    <t xml:space="preserve">60S ribosomal protein L36 </t>
  </si>
  <si>
    <t>GO:0005737 (cytoplasm); GO:0003735 (structural constituent of ribosome); GO:0005840 (ribosome); GO:0006412 (translation); GO:0005515 (protein binding); GO:0022625 (cytosolic large ribosomal subunit); GO:0005829 (cytosol); GO:0002181 (cytoplasmic translation)</t>
  </si>
  <si>
    <t xml:space="preserve">60S ribosomal protein L13a </t>
  </si>
  <si>
    <t>GO:0003729 (mRNA binding); GO:0003735 (structural constituent of ribosome); GO:0005840 (ribosome); GO:0006412 (translation); GO:0017148 (negative regulation of translation); GO:0022625 (cytosolic large ribosomal subunit); GO:0015934 (large ribosomal subunit)</t>
  </si>
  <si>
    <t xml:space="preserve">40S ribosomal protein S30 </t>
  </si>
  <si>
    <t>GO:0003735 (structural constituent of ribosome); GO:0005840 (ribosome); GO:0006412 (translation); GO:0022627 (cytosolic small ribosomal subunit); GO:0005515 (protein binding)</t>
  </si>
  <si>
    <t xml:space="preserve">LAMP (Lysosome-associated membrane protein) homolog </t>
  </si>
  <si>
    <t>GO:0016020 (membrane); GO:0016021 (integral component of membrane); GO:0005886 (plasma membrane); GO:0005765 (lysosomal membrane); GO:0031902 (late endosome membrane); GO:0072594 (establishment of protein localization to organelle)</t>
  </si>
  <si>
    <t>GO:0009058 (biosynthetic process); GO:0016844 (strictosidine synthase activity); GO:0016529 (sarcoplasmic reticulum)</t>
  </si>
  <si>
    <t xml:space="preserve">RBD (RNA binding domain) protein </t>
  </si>
  <si>
    <t>GO:0000398 (mRNA splicing, via spliceosome); GO:0003723 (RNA binding); GO:0003676 (nucleic acid binding); GO:0005730 (nucleolus); GO:0016607 (nuclear speck); GO:0002119 (nematode larval development); GO:0040010 (positive regulation of growth rate); GO:0008406 (gonad development); GO:0040025 (vulval development); GO:0018996 (molting cycle, collagen and cuticulin-based cuticle); GO:0040002 (collagen and cuticulin-based cuticle development); GO:0000478 (endonucleolytic cleavage involved in rRNA processing)</t>
  </si>
  <si>
    <t xml:space="preserve">Putative UDP-glucuronosyltransferase ugt-47 </t>
  </si>
  <si>
    <t xml:space="preserve">Dual specificity tyrosine-phosphorylation-regulated kinase mbk-2 </t>
  </si>
  <si>
    <t>GO:0004672 (protein kinase activity); GO:0006468 (protein phosphorylation); GO:0005524 (ATP binding); GO:0016301 (kinase activity); GO:0016310 (phosphorylation); GO:0000166 (nucleotide binding); GO:0016740 (transferase activity); GO:0018108 (peptidyl-tyrosine phosphorylation); GO:0004674 (protein serine/threonine kinase activity); GO:0004712 (protein serine/threonine/tyrosine kinase activity); GO:0004714 (transmembrane receptor protein tyrosine kinase activity); GO:0106310 (protein serine kinase activity); GO:0106311 (protein threonine kinase activity)</t>
  </si>
  <si>
    <t>GO:0000281 (mitotic cytokinesis); GO:0000915 (actomyosin contractile ring assembly); GO:0005826 (actomyosin contractile ring); GO:0031106 (septin ring organization)</t>
  </si>
  <si>
    <t xml:space="preserve">Organic solute transporter alpha-like protein 2 </t>
  </si>
  <si>
    <t xml:space="preserve">60S ribosomal protein L7a </t>
  </si>
  <si>
    <t>GO:0003723 (RNA binding); GO:0005840 (ribosome); GO:0005516 (calmodulin binding); GO:0022625 (cytosolic large ribosomal subunit); GO:0000470 (maturation of LSU-rRNA); GO:1990904 (ribonucleoprotein complex); GO:0042254 (ribosome biogenesis)</t>
  </si>
  <si>
    <t>GO:0005634 (nucleus); GO:0006397 (mRNA processing); GO:0008380 (RNA splicing); GO:0000398 (mRNA splicing, via spliceosome); GO:0005681 (spliceosomal complex); GO:0071011 (precatalytic spliceosome)</t>
  </si>
  <si>
    <t xml:space="preserve">Decapping nuclease dom-3 </t>
  </si>
  <si>
    <t xml:space="preserve">Leucine--tRNA ligase </t>
  </si>
  <si>
    <t>GO:0005524 (ATP binding); GO:0000166 (nucleotide binding); GO:0004812 (aminoacyl-tRNA ligase activity); GO:0006418 (tRNA aminoacylation for protein translation); GO:0016874 (ligase activity); GO:0006412 (translation); GO:0001934 (positive regulation of protein phosphorylation); GO:0004823 (leucine-tRNA ligase activity); GO:0006429 (leucyl-tRNA aminoacylation); GO:0002161 (aminoacyl-tRNA editing activity); GO:0106074 (aminoacyl-tRNA metabolism involved in translational fidelity)</t>
  </si>
  <si>
    <t xml:space="preserve">Transcription factor BTF3 homolog </t>
  </si>
  <si>
    <t xml:space="preserve">28S ribosomal protein S24, mitochondrial </t>
  </si>
  <si>
    <t>GO:0005739 (mitochondrion); GO:0005840 (ribosome); GO:0003735 (structural constituent of ribosome); GO:0005763 (mitochondrial small ribosomal subunit); GO:0032543 (mitochondrial translation)</t>
  </si>
  <si>
    <t xml:space="preserve">PRA1 family protein </t>
  </si>
  <si>
    <t>GO:0016301 (kinase activity); GO:0016310 (phosphorylation); GO:0000166 (nucleotide binding); GO:0016740 (transferase activity); GO:0007165 (signal transduction); GO:0005524 (ATP binding); GO:0035556 (intracellular signal transduction); GO:0003951 (NAD+ kinase activity); GO:0004143 (diacylglycerol kinase activity); GO:0007205 (protein kinase C-activating G protein-coupled receptor signaling pathway); GO:0046339 (diacylglycerol metabolic process); GO:0046834 (lipid phosphorylation); GO:0005515 (protein binding)</t>
  </si>
  <si>
    <t xml:space="preserve">Masculinisation Of Germline; Sex determining protein MOG-3 </t>
  </si>
  <si>
    <t>GO:0000398 (mRNA splicing, via spliceosome); GO:0005515 (protein binding); GO:0005684 (U2-type spliceosomal complex); GO:0005634 (nucleus); GO:0040022 (feminization of hermaphroditic germ-line); GO:0051321 (meiotic cell cycle)</t>
  </si>
  <si>
    <t xml:space="preserve">Cytosolic Fe-S cluster assembly factor NUBP1 homolog </t>
  </si>
  <si>
    <t>GO:0016226 (iron-sulfur cluster assembly); GO:0051536 (iron-sulfur cluster binding); GO:0051539 (4 iron, 4 sulfur cluster binding); GO:0005524 (ATP binding)</t>
  </si>
  <si>
    <t xml:space="preserve">RUN Domain containing protein; RUND-1 </t>
  </si>
  <si>
    <t>GO:0005096 (GTPase activator activity); GO:0006886 (intracellular protein transport); GO:0090630 (activation of GTPase activity); GO:0090326 (positive regulation of locomotion involved in locomotory behavior); GO:1904811 (positive regulation of dense core granule transport); GO:1901046 (positive regulation of oviposition); GO:0005515 (protein binding); GO:0043025 (neuronal cell body); GO:0030424 (axon); GO:0048471 (perinuclear region of cytoplasm); GO:0046662 (regulation of oviposition); GO:0090325 (regulation of locomotion involved in locomotory behavior); GO:0061065 (regulation of dauer larval development); GO:0000138 (Golgi trans cisterna); GO:1990502 (dense core granule maturation); GO:2000292 (regulation of defecation); GO:0031267 (small GTPase binding)</t>
  </si>
  <si>
    <t xml:space="preserve">Dwarfin sma-4 </t>
  </si>
  <si>
    <t>GO:0005634 (nucleus); GO:0046872 (metal ion binding); GO:0005737 (cytoplasm); GO:0006355 (regulation of transcription, DNA-templated); GO:0003677 (DNA binding); GO:0005667 (transcription regulator complex); GO:0007179 (transforming growth factor beta receptor signaling pathway); GO:0008340 (determination of adult lifespan); GO:0000978 (RNA polymerase II cis-regulatory region sequence-specific DNA binding); GO:0040018 (positive regulation of multicellular organism growth); GO:0000981 (DNA-binding transcription factor activity, RNA polymerase II-specific); GO:0006357 (regulation of transcription by RNA polymerase II); GO:0030154 (cell differentiation); GO:0042661 (regulation of mesodermal cell fate specification); GO:0007567 (parturition); GO:0009791 (post-embryonic development); GO:0030307 (positive regulation of cell growth); GO:0030509 (BMP signaling pathway); GO:0060395 (SMAD protein signal transduction); GO:0009653 (anatomical structure morphogenesis); GO:0002119 (nematode larval development); GO:0040024 (dauer larval development); GO:0045138 (nematode male tail tip morphogenesis); GO:0045793 (positive regulation of cell size); GO:0046622 (positive regulation of organ growth); GO:0045732 (positive regulation of protein catabolic process); GO:0005515 (protein binding); GO:0070411 (I-SMAD binding); GO:0071144 (heteromeric SMAD protein complex)</t>
  </si>
  <si>
    <t xml:space="preserve">UPF0057 membrane protein C04G6.5 </t>
  </si>
  <si>
    <t xml:space="preserve">CCR (Yeast CCR4/NOT complex component) homolog </t>
  </si>
  <si>
    <t>GO:0005634 (nucleus); GO:0005737 (cytoplasm); GO:0046872 (metal ion binding); GO:0090305 (nucleic acid phosphodiester bond hydrolysis); GO:0004518 (nuclease activity); GO:0004527 (exonuclease activity); GO:0000175 (3'-5'-exoribonuclease activity); GO:0000289 (nuclear-transcribed mRNA poly(A) tail shortening); GO:0090503 (RNA phosphodiester bond hydrolysis, exonucleolytic); GO:0004535 (poly(A)-specific ribonuclease activity); GO:0030014 (CCR4-NOT complex); GO:0005515 (protein binding)</t>
  </si>
  <si>
    <t xml:space="preserve">Ribosomal protein, Large subunit, Acidic (P1) </t>
  </si>
  <si>
    <t>GO:0003735 (structural constituent of ribosome); GO:0005840 (ribosome); GO:0006414 (translational elongation); GO:0022625 (cytosolic large ribosomal subunit); GO:0002182 (cytoplasmic translational elongation)</t>
  </si>
  <si>
    <t>GO:0000184 (nuclear-transcribed mRNA catabolic process, nonsense-mediated decay)</t>
  </si>
  <si>
    <t xml:space="preserve">Kynurenine 3-monooxygenase </t>
  </si>
  <si>
    <t>GO:0019805 (quinolinate biosynthetic process); GO:0004502 (kynurenine 3-monooxygenase activity); GO:0006569 (tryptophan catabolic process); GO:0071949 (FAD binding)</t>
  </si>
  <si>
    <t xml:space="preserve">Patterned expression site protein 10 </t>
  </si>
  <si>
    <t xml:space="preserve">Zygote defective protein 12 </t>
  </si>
  <si>
    <t xml:space="preserve">RNAi-Induced Longevity </t>
  </si>
  <si>
    <t>GO:0005515 (protein binding); GO:0005737 (cytoplasm)</t>
  </si>
  <si>
    <t xml:space="preserve">Eukaryotic translation initiation factor 3 subunit H </t>
  </si>
  <si>
    <t>GO:0005852 (eukaryotic translation initiation factor 3 complex); GO:0003743 (translation initiation factor activity); GO:0070122 (isopeptidase activity); GO:0008237 (metallopeptidase activity); GO:0005737 (cytoplasm); GO:0005515 (protein binding)</t>
  </si>
  <si>
    <t>GO:0005737 (cytoplasm); GO:0043248 (proteasome assembly); GO:0060090 (molecular adaptor activity)</t>
  </si>
  <si>
    <t xml:space="preserve">Probable translation initiation factor eIF-2B subunit alpha </t>
  </si>
  <si>
    <t>GO:0003743 (translation initiation factor activity); GO:0006412 (translation); GO:0006413 (translational initiation); GO:0050790 (regulation of catalytic activity); GO:0042802 (identical protein binding); GO:0044237 (cellular metabolic process); GO:0006446 (regulation of translational initiation); GO:0005085 (guanyl-nucleotide exchange factor activity); GO:0005851 (eukaryotic translation initiation factor 2B complex)</t>
  </si>
  <si>
    <t xml:space="preserve">Serine/threonine-protein kinase RIO1 </t>
  </si>
  <si>
    <t>GO:0005524 (ATP binding); GO:0016787 (hydrolase activity); GO:0004674 (protein serine/threonine kinase activity); GO:0016301 (kinase activity); GO:0016310 (phosphorylation); GO:0046872 (metal ion binding); GO:0000166 (nucleotide binding); GO:0016740 (transferase activity); GO:0005737 (cytoplasm); GO:0005829 (cytosol); GO:0042254 (ribosome biogenesis); GO:0006468 (protein phosphorylation); GO:0051321 (meiotic cell cycle); GO:0030490 (maturation of SSU-rRNA); GO:0030688 (preribosome, small subunit precursor); GO:0002119 (nematode larval development); GO:0008406 (gonad development); GO:0040026 (positive regulation of vulval development); GO:0007281 (germ cell development); GO:0048477 (oogenesis); GO:0046579 (positive regulation of Ras protein signal transduction); GO:0036093 (germ cell proliferation); GO:0043409 (negative regulation of MAPK cascade); GO:0106310 (protein serine kinase activity); GO:0106311 (protein threonine kinase activity)</t>
  </si>
  <si>
    <t xml:space="preserve">60S ribosomal protein L24 </t>
  </si>
  <si>
    <t>GO:0003723 (RNA binding); GO:0005840 (ribosome); GO:0000027 (ribosomal large subunit assembly); GO:0022625 (cytosolic large ribosomal subunit); GO:0003735 (structural constituent of ribosome); GO:0006412 (translation); GO:1902626 (assembly of large subunit precursor of preribosome)</t>
  </si>
  <si>
    <t>GO:0016020 (membrane); GO:0016021 (integral component of membrane); GO:0035091 (phosphatidylinositol binding); GO:0043547 (positive regulation of GTPase activity)</t>
  </si>
  <si>
    <t xml:space="preserve">RNA helicase </t>
  </si>
  <si>
    <t>GO:0005524 (ATP binding); GO:0016787 (hydrolase activity); GO:0004386 (helicase activity); GO:0000166 (nucleotide binding); GO:0003676 (nucleic acid binding); GO:0003723 (RNA binding); GO:0005730 (nucleolus); GO:0000463 (maturation of LSU-rRNA from tricistronic rRNA transcript (SSU-rRNA, 5.8S rRNA, LSU-rRNA)); GO:0003724 (RNA helicase activity)</t>
  </si>
  <si>
    <t>GO:0003723 (RNA binding); GO:0005840 (ribosome); GO:0022625 (cytosolic large ribosomal subunit); GO:0000470 (maturation of LSU-rRNA)</t>
  </si>
  <si>
    <t xml:space="preserve">Probable isocitrate dehydrogenase [NAD] subunit alpha, mitochondrial </t>
  </si>
  <si>
    <t>GO:0046872 (metal ion binding); GO:0000287 (magnesium ion binding); GO:0005975 (carbohydrate metabolic process); GO:0016853 (isomerase activity); GO:0016868 (intramolecular transferase activity, phosphotransferases); GO:0071704 (organic substance metabolic process); GO:0006006 (glucose metabolic process); GO:0005634 (nucleus)</t>
  </si>
  <si>
    <t xml:space="preserve">60S ribosomal protein L37 </t>
  </si>
  <si>
    <t>GO:0046872 (metal ion binding); GO:0003723 (RNA binding); GO:0003735 (structural constituent of ribosome); GO:0005840 (ribosome); GO:0006412 (translation); GO:0022625 (cytosolic large ribosomal subunit); GO:0019843 (rRNA binding)</t>
  </si>
  <si>
    <t xml:space="preserve">Activating signal cointegrator 1 complex subunit 1 homolog </t>
  </si>
  <si>
    <t>GO:0003723 (RNA binding); GO:0003676 (nucleic acid binding)</t>
  </si>
  <si>
    <t>GO:0016020 (membrane); GO:0005737 (cytoplasm); GO:0005829 (cytosol); GO:0005515 (protein binding); GO:0005778 (peroxisomal membrane); GO:0005052 (peroxisome matrix targeting signal-1 binding); GO:0016560 (protein import into peroxisome matrix, docking); GO:0002119 (nematode larval development); GO:0000268 (peroxisome targeting sequence binding); GO:0016558 (protein import into peroxisome matrix)</t>
  </si>
  <si>
    <t xml:space="preserve">Vertebrate proteoglycan TESTican homolog </t>
  </si>
  <si>
    <t xml:space="preserve">Relative of Woc homolog </t>
  </si>
  <si>
    <t>GO:0005634 (nucleus); GO:0045944 (positive regulation of transcription by RNA polymerase II); GO:0010468 (regulation of gene expression)</t>
  </si>
  <si>
    <t xml:space="preserve">COP9 signalosome complex subunit 3 </t>
  </si>
  <si>
    <t xml:space="preserve">CHolesterol UPtake associated </t>
  </si>
  <si>
    <t>GO:0016020 (membrane); GO:0016021 (integral component of membrane); GO:0005764 (lysosome); GO:0005886 (plasma membrane); GO:0008289 (lipid binding); GO:0003725 (double-stranded RNA binding); GO:0031410 (cytoplasmic vesicle); GO:0005794 (Golgi apparatus); GO:0050658 (RNA transport); GO:0015485 (cholesterol binding); GO:0070508 (cholesterol import); GO:0005768 (endosome); GO:0051033 (RNA transmembrane transporter activity); GO:0005496 (steroid binding)</t>
  </si>
  <si>
    <t xml:space="preserve">Homeobox protein ceh-38 </t>
  </si>
  <si>
    <t xml:space="preserve">Nicotinate phosphoribosyltransferase </t>
  </si>
  <si>
    <t>GO:0004514 (nicotinate-nucleotide diphosphorylase (carboxylating) activity); GO:0004516 (nicotinate phosphoribosyltransferase activity); GO:0009435 (NAD biosynthetic process); GO:0003824 (catalytic activity)</t>
  </si>
  <si>
    <t xml:space="preserve">Intramembrane protease 2 </t>
  </si>
  <si>
    <t>GO:0004190 (aspartic-type endopeptidase activity); GO:0016021 (integral component of membrane)</t>
  </si>
  <si>
    <t>GO:0003824 (catalytic activity); GO:0016787 (hydrolase activity); GO:0046872 (metal ion binding); GO:0008270 (zinc ion binding); GO:0005829 (cytosol); GO:0005515 (protein binding); GO:0004126 (cytidine deaminase activity); GO:0009972 (cytidine deamination); GO:0009792 (embryo development ending in birth or egg hatching); GO:0003723 (RNA binding); GO:0047844 (deoxycytidine deaminase activity); GO:0006217 (deoxycytidine catabolic process); GO:0009451 (RNA modification); GO:0046109 (uridine biosynthetic process)</t>
  </si>
  <si>
    <t xml:space="preserve">Nuclear hormone receptor family member nhr-65 </t>
  </si>
  <si>
    <t xml:space="preserve">Tubulin beta-2 chain </t>
  </si>
  <si>
    <t>GO:0005525 (GTP binding); GO:0005737 (cytoplasm); GO:0000166 (nucleotide binding); GO:0003924 (GTPase activity); GO:0005856 (cytoskeleton); GO:0005874 (microtubule); GO:0007017 (microtubule-based process); GO:0005200 (structural constituent of cytoskeleton); GO:0000278 (mitotic cell cycle); GO:0000226 (microtubule cytoskeleton organization); GO:0000212 (meiotic spindle organization); GO:0005876 (spindle microtubule); GO:0045298 (tubulin complex)</t>
  </si>
  <si>
    <t xml:space="preserve">Chromatin-remodeling complex ATPase chain isw-1 </t>
  </si>
  <si>
    <t>GO:0043044 (ATP-dependent chromatin remodeling); GO:0031491 (nucleosome binding); GO:0006338 (chromatin remodeling); GO:0003676 (nucleic acid binding); GO:0016818 (hydrolase activity, acting on acid anhydrides, in phosphorus-containing anhydrides); GO:0005524 (ATP binding); GO:0005634 (nucleus)</t>
  </si>
  <si>
    <t xml:space="preserve">60S ribosomal protein L37a </t>
  </si>
  <si>
    <t>GO:0046872 (metal ion binding); GO:0003735 (structural constituent of ribosome); GO:0005840 (ribosome); GO:0006412 (translation)</t>
  </si>
  <si>
    <t xml:space="preserve">Anaphase-promoting complex subunit 11 </t>
  </si>
  <si>
    <t>GO:0097602 (cullin family protein binding); GO:0005680 (anaphase-promoting complex); GO:0031145 (anaphase-promoting complex-dependent catabolic process); GO:0061630 (ubiquitin protein ligase activity); GO:0008270 (zinc ion binding)</t>
  </si>
  <si>
    <t xml:space="preserve">CYtochrome C </t>
  </si>
  <si>
    <t>GO:0016020 (membrane); GO:0016021 (integral component of membrane); GO:0046872 (metal ion binding); GO:0009055 (electron transfer activity); GO:0020037 (heme binding); GO:0005743 (mitochondrial inner membrane); GO:0008340 (determination of adult lifespan); GO:0005750 (mitochondrial respiratory chain complex III); GO:0006122 (mitochondrial electron transport, ubiquinol to cytochrome c); GO:0042776 (mitochondrial ATP synthesis coupled proton transport)</t>
  </si>
  <si>
    <t>GO:0006366 (transcription by RNA polymerase II)</t>
  </si>
  <si>
    <t xml:space="preserve">Chromosomal passenger complex protein bir-1 </t>
  </si>
  <si>
    <t xml:space="preserve">Probable lysine-specific histone demethylase 1 </t>
  </si>
  <si>
    <t>GO:0034720 (histone H3-K4 demethylation); GO:0016491 (oxidoreductase activity); GO:0055114 (oxidation-reduction process); GO:0050660 (flavin adenine dinucleotide binding); GO:0005515 (protein binding); GO:0005634 (nucleus); GO:0006355 (regulation of transcription, DNA-templated)</t>
  </si>
  <si>
    <t xml:space="preserve">Probable histone deacetylase complex subunit SAP18 </t>
  </si>
  <si>
    <t>GO:0005634 (nucleus); GO:0045892 (negative regulation of transcription, DNA-templated); GO:0008134 (transcription factor binding); GO:0003714 (transcription corepressor activity)</t>
  </si>
  <si>
    <t>GO:0003723 (RNA binding); GO:0003735 (structural constituent of ribosome); GO:0005840 (ribosome); GO:0022625 (cytosolic large ribosomal subunit); GO:0008340 (determination of adult lifespan)</t>
  </si>
  <si>
    <t xml:space="preserve">Succinate dehydrogenase cytochrome b560 subunit, mitochondrial </t>
  </si>
  <si>
    <t>GO:0045281 (succinate dehydrogenase complex); GO:0000104 (succinate dehydrogenase activity); GO:0006099 (tricarboxylic acid cycle); GO:0009055 (electron transfer activity); GO:0016627 (oxidoreductase activity, acting on the CH-CH group of donors); GO:0016020 (membrane); GO:0016021 (integral component of membrane); GO:0046872 (metal ion binding); GO:0022900 (electron transport chain)</t>
  </si>
  <si>
    <t>GO:0016020 (membrane); GO:0016021 (integral component of membrane); GO:0055085 (transmembrane transport); GO:0005743 (mitochondrial inner membrane); GO:0005515 (protein binding); GO:0008340 (determination of adult lifespan); GO:0005739 (mitochondrion); GO:0007005 (mitochondrion organization); GO:0043065 (positive regulation of apoptotic process); GO:1990544 (mitochondrial ATP transmembrane transport); GO:0140021 (mitochondrial ADP transmembrane transport); GO:0005471 (ATP:ADP antiporter activity)</t>
  </si>
  <si>
    <t>GO:0005524 (ATP binding); GO:0000166 (nucleotide binding); GO:0004812 (aminoacyl-tRNA ligase activity); GO:0006418 (tRNA aminoacylation for protein translation); GO:0016874 (ligase activity); GO:0006412 (translation); GO:0004831 (tyrosine-tRNA ligase activity); GO:0006437 (tyrosyl-tRNA aminoacylation)</t>
  </si>
  <si>
    <t>GO:0003723 (RNA binding); GO:0016740 (transferase activity); GO:0006396 (RNA processing); GO:0016779 (nucleotidyltransferase activity)</t>
  </si>
  <si>
    <t>GO:0003723 (RNA binding); GO:0003743 (translation initiation factor activity); GO:0006412 (translation); GO:0006413 (translational initiation); GO:0003676 (nucleic acid binding); GO:0043022 (ribosome binding); GO:0043614 (multi-eIF complex); GO:0005851 (eukaryotic translation initiation factor 2B complex); GO:0005850 (eukaryotic translation initiation factor 2 complex); GO:0033290 (eukaryotic 48S preinitiation complex)</t>
  </si>
  <si>
    <t xml:space="preserve">60S ribosomal protein L38 </t>
  </si>
  <si>
    <t>GO:0003735 (structural constituent of ribosome); GO:0005840 (ribosome); GO:0006412 (translation); GO:0022625 (cytosolic large ribosomal subunit); GO:0022618 (ribonucleoprotein complex assembly)</t>
  </si>
  <si>
    <t>GO:0000062 (fatty-acyl-CoA binding); GO:0000139 (Golgi membrane)</t>
  </si>
  <si>
    <t>GO:0003723 (RNA binding); GO:0003676 (nucleic acid binding); GO:1990904 (ribonucleoprotein complex)</t>
  </si>
  <si>
    <t xml:space="preserve">Putative 6-phosphogluconolactonase </t>
  </si>
  <si>
    <t>GO:0005737 (cytoplasm); GO:0016787 (hydrolase activity); GO:0005634 (nucleus); GO:0005975 (carbohydrate metabolic process); GO:0006098 (pentose-phosphate shunt); GO:0009051 (pentose-phosphate shunt, oxidative branch); GO:0017057 (6-phosphogluconolactonase activity); GO:0005783 (endoplasmic reticulum); GO:0055120 (striated muscle dense body); GO:0030017 (sarcomere)</t>
  </si>
  <si>
    <t xml:space="preserve">Vitellogenin Regulating Protein </t>
  </si>
  <si>
    <t>GO:0005634 (nucleus); GO:0005737 (cytoplasm); GO:0003723 (RNA binding); GO:0006355 (regulation of transcription, DNA-templated); GO:0000381 (regulation of alternative mRNA splicing, via spliceosome); GO:0003676 (nucleic acid binding); GO:0003729 (mRNA binding); GO:0010468 (regulation of gene expression); GO:0006397 (mRNA processing); GO:0005515 (protein binding)</t>
  </si>
  <si>
    <t>GO:0046872 (metal ion binding); GO:0005737 (cytoplasm)</t>
  </si>
  <si>
    <t xml:space="preserve">WASH complex subunit homolog 3 </t>
  </si>
  <si>
    <t>GO:0005515 (protein binding); GO:0006887 (exocytosis); GO:0071203 (WASH complex); GO:0030041 (actin filament polymerization); GO:0005737 (cytoplasm); GO:0008340 (determination of adult lifespan); GO:0051220 (cytoplasmic sequestering of protein); GO:2000677 (regulation of transcription regulatory region DNA binding)</t>
  </si>
  <si>
    <t xml:space="preserve">Actin-3 </t>
  </si>
  <si>
    <t xml:space="preserve">Probable 39S ribosomal protein L24, mitochondrial </t>
  </si>
  <si>
    <t>GO:0003723 (RNA binding); GO:0005739 (mitochondrion); GO:0003735 (structural constituent of ribosome); GO:0005840 (ribosome); GO:0006412 (translation)</t>
  </si>
  <si>
    <t xml:space="preserve">Casein kinase II subunit beta </t>
  </si>
  <si>
    <t>GO:0005956 (protein kinase CK2 complex); GO:0019887 (protein kinase regulator activity)</t>
  </si>
  <si>
    <t xml:space="preserve">60S ribosomal protein L22 </t>
  </si>
  <si>
    <t>GO:0003723 (RNA binding); GO:0003735 (structural constituent of ribosome); GO:0005840 (ribosome); GO:0006412 (translation); GO:0002181 (cytoplasmic translation)</t>
  </si>
  <si>
    <t xml:space="preserve">ADP-Ribosylation Factor related </t>
  </si>
  <si>
    <t>GO:0005525 (GTP binding); GO:0000166 (nucleotide binding); GO:0003924 (GTPase activity); GO:0006886 (intracellular protein transport); GO:0016192 (vesicle-mediated transport); GO:0016323 (basolateral plasma membrane); GO:0055038 (recycling endosome membrane); GO:1902647 (negative regulation of 1-phosphatidyl-1D-myo-inositol 4,5-bisphosphate biosynthetic process); GO:0098592 (cytoplasmic side of apical plasma membrane); GO:1902648 (positive regulation of 1-phosphatidyl-1D-myo-inositol 4,5-bisphosphate biosynthetic process); GO:1905751 (positive regulation of endosome to plasma membrane protein transport); GO:0012505 (endomembrane system)</t>
  </si>
  <si>
    <t xml:space="preserve">TASPase homolog </t>
  </si>
  <si>
    <t>GO:0005737 (cytoplasm); GO:0016787 (hydrolase activity); GO:0006508 (proteolysis); GO:0004298 (threonine-type endopeptidase activity); GO:0051604 (protein maturation)</t>
  </si>
  <si>
    <t xml:space="preserve">Condensin-2 complex subunit kle-2 </t>
  </si>
  <si>
    <t>GO:0030261 (chromosome condensation)</t>
  </si>
  <si>
    <t>GO:0045892 (negative regulation of transcription, DNA-templated); GO:0043565 (sequence-specific DNA binding); GO:0003700 (DNA-binding transcription factor activity)</t>
  </si>
  <si>
    <t>GO:0005840 (ribosome); GO:0003735 (structural constituent of ribosome); GO:0006412 (translation)</t>
  </si>
  <si>
    <t>GO:0016020 (membrane); GO:0006508 (proteolysis); GO:0006627 (protein processing involved in protein targeting to mitochondrion); GO:0008236 (serine-type peptidase activity); GO:0042720 (mitochondrial inner membrane peptidase complex)</t>
  </si>
  <si>
    <t>GO:0016020 (membrane); GO:0016021 (integral component of membrane); GO:0005789 (endoplasmic reticulum membrane); GO:0006506 (GPI anchor biosynthetic process)</t>
  </si>
  <si>
    <t>GO:0017053 (transcription repressor complex); GO:0006351 (transcription, DNA-templated)</t>
  </si>
  <si>
    <t>GO:0005737 (cytoplasm); GO:0016491 (oxidoreductase activity); GO:0006693 (prostaglandin metabolic process); GO:0047522 (15-oxoprostaglandin 13-oxidase activity); GO:0055114 (oxidation-reduction process); GO:0036132 (13-prostaglandin reductase activity)</t>
  </si>
  <si>
    <t xml:space="preserve">Beclin homolog </t>
  </si>
  <si>
    <t xml:space="preserve">Pre-RNA processing 21; Yeast PRP (Splicing factor) related </t>
  </si>
  <si>
    <t>GO:0003723 (RNA binding); GO:0005634 (nucleus); GO:0071013 (catalytic step 2 spliceosome); GO:0006396 (RNA processing); GO:0005515 (protein binding); GO:0006397 (mRNA processing); GO:0008380 (RNA splicing); GO:0005686 (U2 snRNP); GO:0071004 (U2-type prespliceosome); GO:0005681 (spliceosomal complex)</t>
  </si>
  <si>
    <t>GO:0003735 (structural constituent of ribosome); GO:0005840 (ribosome); GO:0006412 (translation); GO:0022625 (cytosolic large ribosomal subunit); GO:0042254 (ribosome biogenesis)</t>
  </si>
  <si>
    <t xml:space="preserve">Transcription and mRNA export factor ENY2 </t>
  </si>
  <si>
    <t>GO:0005634 (nucleus); GO:0015031 (protein transport); GO:0000124 (SAGA complex); GO:0045893 (positive regulation of transcription, DNA-templated); GO:0006325 (chromatin organization); GO:0006406 (mRNA export from nucleus); GO:0005643 (nuclear pore); GO:0051028 (mRNA transport); GO:0005654 (nucleoplasm); GO:0003713 (transcription coactivator activity); GO:0006368 (transcription elongation from RNA polymerase II promoter); GO:0016578 (histone deubiquitination); GO:0070390 (transcription export complex 2); GO:0071819 (DUBm complex)</t>
  </si>
  <si>
    <t>GO:0016020 (membrane); GO:0016021 (integral component of membrane); GO:0006364 (rRNA processing); GO:0000027 (ribosomal large subunit assembly); GO:0030687 (preribosome, large subunit precursor); GO:0019843 (rRNA binding); GO:0019915 (lipid storage)</t>
  </si>
  <si>
    <t xml:space="preserve">Glutamine-dependent NAD(+) synthetase </t>
  </si>
  <si>
    <t>GO:0005524 (ATP binding); GO:0005737 (cytoplasm); GO:0000166 (nucleotide binding); GO:0016874 (ligase activity); GO:0004359 (glutaminase activity); GO:0009435 (NAD biosynthetic process); GO:0003952 (NAD+ synthase (glutamine-hydrolyzing) activity); GO:0006807 (nitrogen compound metabolic process); GO:0008340 (determination of adult lifespan); GO:0008795 (NAD+ synthase activity)</t>
  </si>
  <si>
    <t xml:space="preserve">IMportin Beta family </t>
  </si>
  <si>
    <t>GO:0005634 (nucleus); GO:0005737 (cytoplasm); GO:0006886 (intracellular protein transport); GO:0006606 (protein import into nucleus); GO:0008139 (nuclear localization sequence binding); GO:0009792 (embryo development ending in birth or egg hatching); GO:0000003 (reproduction); GO:0061608 (nuclear import signal receptor activity); GO:0031267 (small GTPase binding)</t>
  </si>
  <si>
    <t xml:space="preserve">ThioredoXin-Like; Thioredoxin-like protein; Thioredoxin-like protein TXL </t>
  </si>
  <si>
    <t xml:space="preserve">SKR-15; SKp1 Related (Ubiquitin ligase complex component) </t>
  </si>
  <si>
    <t xml:space="preserve">60S ribosomal protein L21 </t>
  </si>
  <si>
    <t xml:space="preserve">mRNA cap guanine-N7 methyltransferase </t>
  </si>
  <si>
    <t>GO:0004482 (mRNA (guanine-N7-)-methyltransferase activity); GO:0006370 (7-methylguanosine mRNA capping)</t>
  </si>
  <si>
    <t xml:space="preserve">Glutathione peroxidase 1 </t>
  </si>
  <si>
    <t xml:space="preserve">Ribulose-phosphate 3-epimerase </t>
  </si>
  <si>
    <t>GO:0003824 (catalytic activity); GO:0046872 (metal ion binding); GO:0005829 (cytosol); GO:0005975 (carbohydrate metabolic process); GO:0016853 (isomerase activity); GO:0044262 (cellular carbohydrate metabolic process); GO:0006098 (pentose-phosphate shunt); GO:0009052 (pentose-phosphate shunt, non-oxidative branch); GO:0004750 (ribulose-phosphate 3-epimerase activity); GO:0016857 (racemase and epimerase activity, acting on carbohydrates and derivatives); GO:0019323 (pentose catabolic process)</t>
  </si>
  <si>
    <t xml:space="preserve">Casein kinase I isoform alpha </t>
  </si>
  <si>
    <t xml:space="preserve">60S ribosomal protein L31 </t>
  </si>
  <si>
    <t>GO:0003735 (structural constituent of ribosome); GO:0005840 (ribosome); GO:0006412 (translation); GO:0022625 (cytosolic large ribosomal subunit); GO:0002181 (cytoplasmic translation)</t>
  </si>
  <si>
    <t xml:space="preserve">Ubiquitin fusion degradation protein 1 homolog </t>
  </si>
  <si>
    <t>GO:0005634 (nucleus); GO:0006511 (ubiquitin-dependent protein catabolic process); GO:0005737 (cytoplasm); GO:0005515 (protein binding); GO:0030433 (ubiquitin-dependent ERAD pathway); GO:0044877 (protein-containing complex binding); GO:1900182 (positive regulation of protein localization to nucleus); GO:0071712 (ER-associated misfolded protein catabolic process); GO:0031593 (polyubiquitin modification-dependent protein binding); GO:0034098 (VCP-NPL4-UFD1 AAA ATPase complex); GO:0009792 (embryo development ending in birth or egg hatching)</t>
  </si>
  <si>
    <t xml:space="preserve">AP-3 complex subunit beta </t>
  </si>
  <si>
    <t>GO:0016020 (membrane); GO:0006886 (intracellular protein transport); GO:0015031 (protein transport); GO:0016192 (vesicle-mediated transport); GO:0030117 (membrane coat); GO:0030123 (AP-3 adaptor complex); GO:0030665 (clathrin-coated vesicle membrane); GO:0009792 (embryo development ending in birth or egg hatching); GO:0007040 (lysosome organization)</t>
  </si>
  <si>
    <t>GO:0005634 (nucleus); GO:0006383 (transcription by RNA polymerase III); GO:0005666 (RNA polymerase III complex)</t>
  </si>
  <si>
    <t>GO:0003723 (RNA binding); GO:0005840 (ribosome); GO:0005515 (protein binding); GO:0003735 (structural constituent of ribosome); GO:0022627 (cytosolic small ribosomal subunit); GO:0000028 (ribosomal small subunit assembly); GO:0008340 (determination of adult lifespan)</t>
  </si>
  <si>
    <t xml:space="preserve">FuN14 (FUN14) Domain Containing homolog </t>
  </si>
  <si>
    <t>GO:0016020 (membrane); GO:0016021 (integral component of membrane); GO:0005739 (mitochondrion); GO:0006914 (autophagy); GO:0000422 (autophagy of mitochondrion); GO:0005741 (mitochondrial outer membrane); GO:0031307 (integral component of mitochondrial outer membrane); GO:0000423 (mitophagy)</t>
  </si>
  <si>
    <t xml:space="preserve">Endoplasmic Reticulum Protein homolog </t>
  </si>
  <si>
    <t xml:space="preserve">40S ribosomal protein S13 </t>
  </si>
  <si>
    <t>GO:0005730 (nucleolus); GO:0003735 (structural constituent of ribosome); GO:0005840 (ribosome); GO:0006412 (translation); GO:0022627 (cytosolic small ribosomal subunit); GO:0070181 (small ribosomal subunit rRNA binding)</t>
  </si>
  <si>
    <t xml:space="preserve">Cyclin-dependent kinase 12 </t>
  </si>
  <si>
    <t xml:space="preserve">26S proteasome non-ATPase regulatory subunit 4 </t>
  </si>
  <si>
    <t xml:space="preserve">60S ribosomal protein L29 </t>
  </si>
  <si>
    <t xml:space="preserve">Mitochondrial scaffolding protein 1 </t>
  </si>
  <si>
    <t>GO:0007049 (cell cycle); GO:0051301 (cell division); GO:0005680 (anaphase-promoting complex); GO:0031145 (anaphase-promoting complex-dependent catabolic process); GO:0070979 (protein K11-linked ubiquitination)</t>
  </si>
  <si>
    <t>GO:0005634 (nucleus); GO:0005524 (ATP binding); GO:0000166 (nucleotide binding); GO:0003774 (motor activity); GO:0005874 (microtubule); GO:0005515 (protein binding); GO:0003777 (microtubule motor activity); GO:0007018 (microtubule-based movement); GO:0008017 (microtubule binding); GO:0005871 (kinesin complex); GO:0000070 (mitotic sister chromatid segregation); GO:0042802 (identical protein binding); GO:0051256 (mitotic spindle midzone assembly); GO:0051257 (meiotic spindle midzone assembly); GO:0019901 (protein kinase binding); GO:0005813 (centrosome); GO:0032154 (cleavage furrow); GO:0035046 (pronuclear migration); GO:0030496 (midbody); GO:0051233 (spindle midzone); GO:0040038 (polar body extrusion after meiotic divisions); GO:0008574 (ATP-dependent microtubule motor activity, plus-end-directed); GO:0031991 (regulation of actomyosin contractile ring contraction); GO:1990023 (mitotic spindle midzone); GO:1990939 (ATP-dependent microtubule motor activity); GO:0097149 (centralspindlin complex)</t>
  </si>
  <si>
    <t>GO:0003676 (nucleic acid binding); GO:0003723 (RNA binding); GO:0005515 (protein binding); GO:0032956 (regulation of actin cytoskeleton organization); GO:0040012 (regulation of locomotion); GO:0003727 (single-stranded RNA binding); GO:0097157 (pre-mRNA intronic binding); GO:0000381 (regulation of alternative mRNA splicing, via spliceosome); GO:1990904 (ribonucleoprotein complex); GO:0016607 (nuclear speck); GO:0000380 (alternative mRNA splicing, via spliceosome); GO:0036002 (pre-mRNA binding)</t>
  </si>
  <si>
    <t>GO:0016020 (membrane); GO:0016021 (integral component of membrane); GO:0005743 (mitochondrial inner membrane)</t>
  </si>
  <si>
    <t xml:space="preserve">Vacuolar protein sorting-associated protein 18 homolog </t>
  </si>
  <si>
    <t>GO:0016020 (membrane); GO:0046872 (metal ion binding); GO:0005737 (cytoplasm); GO:0031410 (cytoplasmic vesicle); GO:0005768 (endosome); GO:0005769 (early endosome); GO:0007032 (endosome organization); GO:0005764 (lysosome); GO:0005765 (lysosomal membrane); GO:0031902 (late endosome membrane); GO:0051036 (regulation of endosome size); GO:0006914 (autophagy); GO:0007040 (lysosome organization); GO:0030674 (protein-macromolecule adaptor activity); GO:0006904 (vesicle docking involved in exocytosis); GO:0005776 (autophagosome); GO:0007033 (vacuole organization); GO:0030897 (HOPS complex); GO:0035542 (regulation of SNARE complex assembly); GO:0048284 (organelle fusion); GO:0030136 (clathrin-coated vesicle); GO:0090389 (phagosome-lysosome fusion involved in apoptotic cell clearance); GO:0005515 (protein binding)</t>
  </si>
  <si>
    <t xml:space="preserve">Septin and tuftelin-interacting protein 1 homolog </t>
  </si>
  <si>
    <t>GO:0005634 (nucleus); GO:0003676 (nucleic acid binding); GO:0006397 (mRNA processing); GO:0008380 (RNA splicing); GO:0005681 (spliceosomal complex); GO:0000390 (spliceosomal complex disassembly); GO:0071008 (U2-type post-mRNA release spliceosomal complex)</t>
  </si>
  <si>
    <t xml:space="preserve">Monensin-resistant homolog 2 </t>
  </si>
  <si>
    <t>GO:0015031 (protein transport)</t>
  </si>
  <si>
    <t xml:space="preserve">BRCA1-associated protein homolog 2 </t>
  </si>
  <si>
    <t xml:space="preserve">Pyruvate Dehydrogenase Phosphatase Regulatory subunit </t>
  </si>
  <si>
    <t>GO:0005737 (cytoplasm); GO:0005739 (mitochondrion); GO:0016491 (oxidoreductase activity); GO:0005759 (mitochondrial matrix); GO:0055114 (oxidation-reduction process); GO:0005515 (protein binding)</t>
  </si>
  <si>
    <t xml:space="preserve">TATA box-binding protein-associated factor RNA polymerase I subunit B </t>
  </si>
  <si>
    <t>GO:0005634 (nucleus); GO:0046872 (metal ion binding); GO:0003677 (DNA binding); GO:0005730 (nucleolus); GO:0001164 (RNA polymerase I core promoter sequence-specific DNA binding); GO:0001188 (RNA polymerase I preinitiation complex assembly); GO:0005668 (RNA polymerase transcription factor SL1 complex); GO:0006360 (transcription by RNA polymerase I); GO:0042790 (nucleolar large rRNA transcription by RNA polymerase I); GO:0070860 (RNA polymerase I core factor complex)</t>
  </si>
  <si>
    <t>GO:0005634 (nucleus); GO:0051015 (actin filament binding); GO:0030425 (dendrite); GO:0003785 (actin monomer binding); GO:0030027 (lamellipodium); GO:0030833 (regulation of actin filament polymerization); GO:0048813 (dendrite morphogenesis); GO:0051489 (regulation of filopodium assembly); GO:0032433 (filopodium tip)</t>
  </si>
  <si>
    <t xml:space="preserve">Cuticlin-2 </t>
  </si>
  <si>
    <t>GO:0005856 (cytoskeleton); GO:0005515 (protein binding)</t>
  </si>
  <si>
    <t xml:space="preserve">DYnein Light chain (Tctex type) </t>
  </si>
  <si>
    <t>GO:0005634 (nucleus); GO:0003677 (DNA binding); GO:0006281 (DNA repair); GO:0006260 (DNA replication); GO:0005515 (protein binding); GO:0000724 (double-strand break repair via homologous recombination); GO:0006289 (nucleotide-excision repair); GO:0003697 (single-stranded DNA binding); GO:0005662 (DNA replication factor A complex); GO:0035861 (site of double-strand break); GO:0006310 (DNA recombination); GO:0000781 (chromosome, telomeric region); GO:0019899 (enzyme binding); GO:0051096 (positive regulation of helicase activity)</t>
  </si>
  <si>
    <t xml:space="preserve">Small ubiquitin-related modifier </t>
  </si>
  <si>
    <t>GO:0005634 (nucleus); GO:0005737 (cytoplasm); GO:0005856 (cytoskeleton); GO:0007275 (multicellular organism development); GO:0005515 (protein binding); GO:0005694 (chromosome); GO:0016925 (protein sumoylation); GO:0042802 (identical protein binding); GO:0005815 (microtubule organizing center); GO:0031647 (regulation of protein stability); GO:0010468 (regulation of gene expression); GO:0005819 (spindle); GO:0045892 (negative regulation of transcription, DNA-templated); GO:0046716 (muscle cell cellular homeostasis); GO:0016605 (PML body); GO:0031386 (protein tag); GO:0044389 (ubiquitin-like protein ligase binding); GO:0071965 (multicellular organismal locomotion); GO:0009792 (embryo development ending in birth or egg hatching); GO:0002119 (nematode larval development); GO:0000122 (negative regulation of transcription by RNA polymerase II); GO:0070194 (synaptonemal complex disassembly); GO:0051306 (mitotic sister chromatid separation); GO:0007080 (mitotic metaphase plate congression); GO:0034502 (protein localization to chromosome); GO:0110039 (positive regulation of nematode male tail tip morphogenesis)</t>
  </si>
  <si>
    <t>GO:0008340 (determination of adult lifespan); GO:0009792 (embryo development ending in birth or egg hatching); GO:0005643 (nuclear pore); GO:0006405 (RNA export from nucleus); GO:0006606 (protein import into nucleus); GO:0006997 (nucleus organization); GO:0017056 (structural constituent of nuclear pore); GO:0005543 (phospholipid binding); GO:0044613 (nuclear pore central transport channel); GO:0005515 (protein binding); GO:0000132 (establishment of mitotic spindle orientation)</t>
  </si>
  <si>
    <t xml:space="preserve">Isoleucyl Amino-acyl tRNA Synthetase </t>
  </si>
  <si>
    <t>GO:0005524 (ATP binding); GO:0000166 (nucleotide binding); GO:0004812 (aminoacyl-tRNA ligase activity); GO:0006418 (tRNA aminoacylation for protein translation); GO:0016874 (ligase activity); GO:0005739 (mitochondrion); GO:0006412 (translation); GO:0032543 (mitochondrial translation); GO:0000049 (tRNA binding); GO:0002161 (aminoacyl-tRNA editing activity); GO:0004822 (isoleucine-tRNA ligase activity); GO:0006428 (isoleucyl-tRNA aminoacylation); GO:0106074 (aminoacyl-tRNA metabolism involved in translational fidelity)</t>
  </si>
  <si>
    <t xml:space="preserve">Ubiquitin carboxyl-terminal hydrolase 7 </t>
  </si>
  <si>
    <t>GO:0016787 (hydrolase activity); GO:0006511 (ubiquitin-dependent protein catabolic process); GO:0016579 (protein deubiquitination); GO:0004843 (thiol-dependent ubiquitin-specific protease activity); GO:0005634 (nucleus); GO:0005737 (cytoplasm); GO:0031581 (hemidesmosome assembly); GO:0005515 (protein binding); GO:0006508 (proteolysis); GO:0008233 (peptidase activity); GO:0005829 (cytosol); GO:0004197 (cysteine-type endopeptidase activity); GO:0008234 (cysteine-type peptidase activity); GO:0031647 (regulation of protein stability); GO:0008595 (anterior/posterior axis specification, embryo); GO:0051091 (positive regulation of DNA-binding transcription factor activity); GO:0061629 (RNA polymerase II-specific DNA-binding transcription factor binding); GO:0051661 (maintenance of centrosome location)</t>
  </si>
  <si>
    <t xml:space="preserve">Degenerin mec-4 </t>
  </si>
  <si>
    <t xml:space="preserve">Germ Cell Nuclear Antigen </t>
  </si>
  <si>
    <t>GO:0005634 (nucleus); GO:0045132 (meiotic chromosome segregation); GO:0003674 (molecular_function); GO:0000793 (condensed chromosome)</t>
  </si>
  <si>
    <t xml:space="preserve">R151.8A protein </t>
  </si>
  <si>
    <t>GO:0016791 (phosphatase activity); GO:0016787 (hydrolase activity); GO:0016311 (dephosphorylation); GO:0016529 (sarcoplasmic reticulum)</t>
  </si>
  <si>
    <t>GO:0005737 (cytoplasm); GO:0005634 (nucleus); GO:0005049 (nuclear export signal receptor activity); GO:0005643 (nuclear pore); GO:0006611 (protein export from nucleus); GO:0051169 (nuclear transport)</t>
  </si>
  <si>
    <t xml:space="preserve">Asparagine Linked Glycosylation (ALG) homolog, Nematode </t>
  </si>
  <si>
    <t>GO:0016740 (transferase activity); GO:0016757 (transferase activity, transferring glycosyl groups); GO:0016758 (transferase activity, transferring hexosyl groups); GO:0006488 (dolichol-linked oligosaccharide biosynthetic process); GO:0004577 (N-acetylglucosaminyldiphosphodolichol N-acetylglucosaminyltransferase activity)</t>
  </si>
  <si>
    <t xml:space="preserve">Actin-related protein 2 </t>
  </si>
  <si>
    <t>GO:0005885 (Arp2/3 protein complex); GO:0034314 (Arp2/3 complex-mediated actin nucleation); GO:0007015 (actin filament organization); GO:0005856 (cytoskeleton); GO:0005524 (ATP binding)</t>
  </si>
  <si>
    <t>GO:0042302 (structural constituent of cuticle); GO:0042338 (cuticle development involved in collagen and cuticulin-based cuticle molting cycle)</t>
  </si>
  <si>
    <t>GO:0003723 (RNA binding); GO:0005730 (nucleolus); GO:0000447 (endonucleolytic cleavage in ITS1 to separate SSU-rRNA from 5.8S rRNA and LSU-rRNA from tricistronic rRNA transcript (SSU-rRNA, 5.8S rRNA, LSU-rRNA)); GO:0000472 (endonucleolytic cleavage to generate mature 5'-end of SSU-rRNA from (SSU-rRNA, 5.8S rRNA, LSU-rRNA)); GO:0000480 (endonucleolytic cleavage in 5'-ETS of tricistronic rRNA transcript (SSU-rRNA, 5.8S rRNA, LSU-rRNA)); GO:0034462 (small-subunit processome assembly)</t>
  </si>
  <si>
    <t>GO:0005634 (nucleus); GO:0016740 (transferase activity); GO:0006355 (regulation of transcription, DNA-templated); GO:0045944 (positive regulation of transcription by RNA polymerase II); GO:0042393 (histone binding); GO:0045892 (negative regulation of transcription, DNA-templated); GO:0004402 (histone acetyltransferase activity); GO:0016573 (histone acetylation); GO:0072487 (MSL complex); GO:0043984 (histone H4-K16 acetylation); GO:0046972 (histone acetyltransferase activity (H4-K16 specific)); GO:0003712 (transcription coregulator activity)</t>
  </si>
  <si>
    <t>GO:0005737 (cytoplasm); GO:0005515 (protein binding); GO:0015031 (protein transport)</t>
  </si>
  <si>
    <t xml:space="preserve">Homeobox protein ceh-39 </t>
  </si>
  <si>
    <t>GO:0005525 (GTP binding); GO:0005764 (lysosome); GO:0003924 (GTPase activity); GO:0005770 (late endosome); GO:0031902 (late endosome membrane); GO:0051036 (regulation of endosome size); GO:0008333 (endosome to lysosome transport); GO:0048284 (organelle fusion); GO:2000643 (positive regulation of early endosome to late endosome transport); GO:0045335 (phagocytic vesicle); GO:0090385 (phagosome-lysosome fusion); GO:0010171 (body morphogenesis); GO:0031090 (organelle membrane); GO:0016197 (endosomal transport); GO:0090387 (phagolysosome assembly involved in apoptotic cell clearance); GO:0001555 (oocyte growth); GO:0030670 (phagocytic vesicle membrane)</t>
  </si>
  <si>
    <t xml:space="preserve">Golgi apparatus protein 1 homolog </t>
  </si>
  <si>
    <t>GO:0016020 (membrane); GO:0016021 (integral component of membrane); GO:0000139 (Golgi membrane); GO:0017134 (fibroblast growth factor binding)</t>
  </si>
  <si>
    <t xml:space="preserve">SLY1 homolog </t>
  </si>
  <si>
    <t>GO:0016192 (vesicle-mediated transport); GO:0006886 (intracellular protein transport); GO:0005829 (cytosol); GO:0006888 (endoplasmic reticulum to Golgi vesicle-mediated transport); GO:0019905 (syntaxin binding); GO:0000139 (Golgi membrane); GO:0006904 (vesicle docking involved in exocytosis)</t>
  </si>
  <si>
    <t xml:space="preserve">AKIRin (Conserved nuclear protein family) homolog </t>
  </si>
  <si>
    <t>GO:0005634 (nucleus); GO:0003677 (DNA binding); GO:0045944 (positive regulation of transcription by RNA polymerase II); GO:0002376 (immune system process); GO:0045087 (innate immune response); GO:0000785 (chromatin); GO:0051321 (meiotic cell cycle); GO:0003712 (transcription coregulator activity); GO:0045089 (positive regulation of innate immune response)</t>
  </si>
  <si>
    <t>Polyubiquitin-A Ubiquitin Ubiquitin-related</t>
  </si>
  <si>
    <t xml:space="preserve">Elongation factor Ts, mitochondrial </t>
  </si>
  <si>
    <t>GO:0006414 (translational elongation); GO:0003746 (translation elongation factor activity); GO:0005515 (protein binding)</t>
  </si>
  <si>
    <t xml:space="preserve">Cytochrome b-c1 complex subunit 1, mitochondrial </t>
  </si>
  <si>
    <t>GO:0005739 (mitochondrion); GO:0006508 (proteolysis); GO:0046872 (metal ion binding); GO:0005759 (mitochondrial matrix); GO:0070469 (respirasome)</t>
  </si>
  <si>
    <t xml:space="preserve">Probable coatomer subunit beta' </t>
  </si>
  <si>
    <t>GO:0030117 (membrane coat); GO:0005198 (structural molecule activity); GO:0016192 (vesicle-mediated transport); GO:0006886 (intracellular protein transport); GO:0005515 (protein binding)</t>
  </si>
  <si>
    <t xml:space="preserve">Lysine-specific demethylase 7 homolog </t>
  </si>
  <si>
    <t>GO:0005634 (nucleus); GO:0046872 (metal ion binding); GO:0051213 (dioxygenase activity); GO:0006325 (chromatin organization)</t>
  </si>
  <si>
    <t xml:space="preserve">UDP-N-acetylglucosamine--peptide N-acetylglucosaminyltransferase </t>
  </si>
  <si>
    <t>GO:0006493 (protein O-linked glycosylation); GO:0016757 (transferase activity, transferring glycosyl groups); GO:0005515 (protein binding); GO:0016740 (transferase activity); GO:0006486 (protein glycosylation); GO:0005634 (nucleus); GO:0000003 (reproduction); GO:0048471 (perinuclear region of cytoplasm); GO:0004722 (protein serine/threonine phosphatase activity); GO:0005977 (glycogen metabolic process); GO:0006470 (protein dephosphorylation); GO:0019915 (lipid storage); GO:0040024 (dauer larval development); GO:0016262 (protein N-acetylglucosaminyltransferase activity); GO:0097363 (protein O-GlcNAc transferase activity); GO:0006112 (energy reserve metabolic process); GO:0006048 (UDP-N-acetylglucosamine biosynthetic process); GO:0018215 (protein phosphopantetheinylation)</t>
  </si>
  <si>
    <t xml:space="preserve">Suppressor of ACY-4 sterility </t>
  </si>
  <si>
    <t>GO:0005524 (ATP binding); GO:0016787 (hydrolase activity); GO:0004386 (helicase activity); GO:0000166 (nucleotide binding); GO:0008270 (zinc ion binding); GO:0000398 (mRNA splicing, via spliceosome); GO:0003723 (RNA binding); GO:0003676 (nucleic acid binding); GO:0005681 (spliceosomal complex); GO:0005634 (nucleus); GO:0005737 (cytoplasm); GO:0003724 (RNA helicase activity)</t>
  </si>
  <si>
    <t>GO:0005794 (Golgi apparatus); GO:0007030 (Golgi organization); GO:0005783 (endoplasmic reticulum)</t>
  </si>
  <si>
    <t xml:space="preserve">NAD(P)H-hydrate epimerase </t>
  </si>
  <si>
    <t>GO:0046872 (metal ion binding); GO:0000166 (nucleotide binding); GO:0005739 (mitochondrion); GO:0016853 (isomerase activity); GO:0052856 (NADHX epimerase activity); GO:0052857 (NADPHX epimerase activity)</t>
  </si>
  <si>
    <t xml:space="preserve">Probable ribosome biogenesis protein RLP24 </t>
  </si>
  <si>
    <t>GO:0005634 (nucleus); GO:0003723 (RNA binding); GO:0005730 (nucleolus); GO:0042254 (ribosome biogenesis); GO:0000027 (ribosomal large subunit assembly); GO:0022625 (cytosolic large ribosomal subunit); GO:0003735 (structural constituent of ribosome); GO:0006412 (translation); GO:1902626 (assembly of large subunit precursor of preribosome)</t>
  </si>
  <si>
    <t xml:space="preserve">Alpha,alpha-trehalose-phosphate synthase [UDP-forming] 2 </t>
  </si>
  <si>
    <t>GO:0005634 (nucleus); GO:0005737 (cytoplasm); GO:0031072 (heat shock protein binding)</t>
  </si>
  <si>
    <t xml:space="preserve">Mitogen-activated protein kinase kinase kinase dlk-1 </t>
  </si>
  <si>
    <t>GO:0046777 (protein autophosphorylation); GO:0000186 (activation of MAPKK activity); GO:0004709 (MAP kinase kinase kinase activity); GO:0004672 (protein kinase activity); GO:0006468 (protein phosphorylation); GO:0005524 (ATP binding); GO:0016301 (kinase activity); GO:0016310 (phosphorylation); GO:0043025 (neuronal cell body); GO:0045202 (synapse); GO:0008022 (protein C-terminus binding); GO:0050807 (regulation of synapse organization)</t>
  </si>
  <si>
    <t>GO:0003723 (RNA binding); GO:0005739 (mitochondrion); GO:1903108 (regulation of mitochondrial transcription)</t>
  </si>
  <si>
    <t xml:space="preserve">AMP-Activated Kinase Beta subunit </t>
  </si>
  <si>
    <t>GO:0005634 (nucleus); GO:0005737 (cytoplasm); GO:0007165 (signal transduction); GO:0019901 (protein kinase binding); GO:0005515 (protein binding); GO:0031588 (nucleotide-activated protein kinase complex); GO:0080090 (regulation of primary metabolic process)</t>
  </si>
  <si>
    <t xml:space="preserve">Bis(5'-nucleosyl)-tetraphosphatase [asymmetrical] </t>
  </si>
  <si>
    <t>GO:0008796 (bis(5'-nucleosyl)-tetraphosphatase activity); GO:0016787 (hydrolase activity)</t>
  </si>
  <si>
    <t xml:space="preserve">Ribosomal protein L37 </t>
  </si>
  <si>
    <t>GO:0016020 (membrane); GO:0016021 (integral component of membrane); GO:0016740 (transferase activity); GO:0016746 (transferase activity, transferring acyl groups); GO:0000139 (Golgi membrane); GO:0019706 (protein-cysteine S-palmitoyltransferase activity); GO:0016409 (palmitoyltransferase activity); GO:0018345 (protein palmitoylation); GO:0005515 (protein binding); GO:0018215 (protein phosphopantetheinylation)</t>
  </si>
  <si>
    <t xml:space="preserve">Sodium-coupled neutral amino acid transporter 9 homolog </t>
  </si>
  <si>
    <t>GO:0016020 (membrane); GO:0016021 (integral component of membrane); GO:0046872 (metal ion binding); GO:0005768 (endosome); GO:0005764 (lysosome); GO:0005765 (lysosomal membrane); GO:0031902 (late endosome membrane); GO:0003333 (amino acid transmembrane transport); GO:0015171 (amino acid transmembrane transporter activity); GO:0006865 (amino acid transport)</t>
  </si>
  <si>
    <t xml:space="preserve">Hydrolethalus syndrome protein 1 homolog </t>
  </si>
  <si>
    <t>GO:0005515 (protein binding); GO:0097730 (non-motile cilium); GO:0060271 (cilium assembly); GO:0060756 (foraging behavior); GO:0005814 (centriole)</t>
  </si>
  <si>
    <t>GO:0005739 (mitochondrion); GO:0016627 (oxidoreductase activity, acting on the CH-CH group of donors); GO:0050660 (flavin adenine dinucleotide binding); GO:0000062 (fatty-acyl-CoA binding); GO:0017099 (very-long-chain-acyl-CoA dehydrogenase activity); GO:0055114 (oxidation-reduction process)</t>
  </si>
  <si>
    <t xml:space="preserve">Short coiled-coil domain-containing protein UNC-69 splice variant T07A5.6b </t>
  </si>
  <si>
    <t>GO:0005794 (Golgi apparatus); GO:0005802 (trans-Golgi network); GO:0005515 (protein binding); GO:0043025 (neuronal cell body); GO:0005737 (cytoplasm); GO:0030424 (axon); GO:0030516 (regulation of axon extension); GO:0050807 (regulation of synapse organization); GO:0048471 (perinuclear region of cytoplasm); GO:0016020 (membrane); GO:0016021 (integral component of membrane)</t>
  </si>
  <si>
    <t xml:space="preserve">40S ribosomal protein S14 </t>
  </si>
  <si>
    <t>GO:0000462 (maturation of SSU-rRNA from tricistronic rRNA transcript (SSU-rRNA, 5.8S rRNA, LSU-rRNA)); GO:0003735 (structural constituent of ribosome); GO:0005840 (ribosome); GO:0006412 (translation); GO:0022627 (cytosolic small ribosomal subunit); GO:0003674 (molecular_function); GO:0005575 (cellular_component); GO:0000028 (ribosomal small subunit assembly); GO:0070181 (small ribosomal subunit rRNA binding); GO:0048027 (mRNA 5'-UTR binding)</t>
  </si>
  <si>
    <t xml:space="preserve">RNA-binding protein sym-2 </t>
  </si>
  <si>
    <t>GO:0005634 (nucleus); GO:0003723 (RNA binding); GO:0003676 (nucleic acid binding); GO:0003729 (mRNA binding); GO:1990904 (ribonucleoprotein complex); GO:0005654 (nucleoplasm); GO:0006397 (mRNA processing); GO:0008380 (RNA splicing); GO:0009792 (embryo development ending in birth or egg hatching); GO:0010172 (embryonic body morphogenesis); GO:0043484 (regulation of RNA splicing); GO:0050879 (multicellular organismal movement)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</si>
  <si>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GO:0005515 (protein binding)</t>
  </si>
  <si>
    <t xml:space="preserve">Mediator of RNA polymerase II transcription subunit 17 </t>
  </si>
  <si>
    <t xml:space="preserve">Suppressor/enhancer of lin-12 protein 9 </t>
  </si>
  <si>
    <t>GO:0016020 (membrane); GO:0016021 (integral component of membrane); GO:0000139 (Golgi membrane); GO:0005794 (Golgi apparatus); GO:0015031 (protein transport); GO:0016192 (vesicle-mediated transport); GO:0030663 (COPI-coated vesicle membrane); GO:0031410 (cytoplasmic vesicle); GO:0006886 (intracellular protein transport); GO:0005783 (endoplasmic reticulum); GO:0006888 (endoplasmic reticulum to Golgi vesicle-mediated transport); GO:0030134 (COPII-coated ER to Golgi transport vesicle); GO:0005793 (endoplasmic reticulum-Golgi intermediate compartment); GO:0007030 (Golgi organization); GO:0012507 (ER to Golgi transport vesicle membrane); GO:0030659 (cytoplasmic vesicle membrane); GO:0008593 (regulation of Notch signaling pathway); GO:0051049 (regulation of transport)</t>
  </si>
  <si>
    <t xml:space="preserve">Elongation factor G, mitochondrial </t>
  </si>
  <si>
    <t xml:space="preserve">Nx </t>
  </si>
  <si>
    <t xml:space="preserve">Exocyst complex component 4 </t>
  </si>
  <si>
    <t>GO:0090522 (vesicle tethering involved in exocytosis); GO:0000145 (exocyst); GO:0006904 (vesicle docking involved in exocytosis)</t>
  </si>
  <si>
    <t xml:space="preserve">Actin-depolymerizing factor 1, isoforms a/b </t>
  </si>
  <si>
    <t xml:space="preserve">Eukaryotic translation initiation factor 3 subunit B </t>
  </si>
  <si>
    <t>GO:0031369 (translation initiation factor binding); GO:0005852 (eukaryotic translation initiation factor 3 complex); GO:0006413 (translational initiation); GO:0003743 (translation initiation factor activity); GO:0003723 (RNA binding); GO:0005515 (protein binding)</t>
  </si>
  <si>
    <t>GO:0005515 (protein binding); GO:0016020 (membrane); GO:0005737 (cytoplasm); GO:0005829 (cytosol); GO:0019898 (extrinsic component of membrane); GO:0008289 (lipid binding); GO:0006914 (autophagy); GO:0000422 (autophagy of mitochondrion); GO:0006497 (protein lipidation); GO:0032266 (phosphatidylinositol-3-phosphate binding); GO:0034045 (phagophore assembly site membrane); GO:0034497 (protein localization to phagophore assembly site); GO:0080025 (phosphatidylinositol-3,5-bisphosphate binding); GO:0070273 (phosphatidylinositol-4-phosphate binding); GO:0010314 (phosphatidylinositol-5-phosphate binding); GO:0000045 (autophagosome assembly); GO:0044804 (autophagy of nucleus)</t>
  </si>
  <si>
    <t>GO:0016020 (membrane); GO:0016021 (integral component of membrane); GO:0046872 (metal ion binding); GO:0016740 (transferase activity); GO:0016757 (transferase activity, transferring glycosyl groups); GO:0006486 (protein glycosylation); GO:0005783 (endoplasmic reticulum); GO:0005789 (endoplasmic reticulum membrane); GO:0006488 (dolichol-linked oligosaccharide biosynthetic process); GO:0006487 (protein N-linked glycosylation); GO:0003975 (UDP-N-acetylglucosamine-dolichyl-phosphate N-acetylglucosaminephosphotransferase activity); GO:0006489 (dolichyl diphosphate biosynthetic process); GO:0008963 (phospho-N-acetylmuramoyl-pentapeptide-transferase activity)</t>
  </si>
  <si>
    <t>GO:0005829 (cytosol); GO:0030488 (tRNA methylation)</t>
  </si>
  <si>
    <t>GO:0005524 (ATP binding); GO:0016301 (kinase activity); GO:0016310 (phosphorylation); GO:0000166 (nucleotide binding); GO:0016740 (transferase activity); GO:0005829 (cytosol); GO:0019563 (glycerol catabolic process); GO:0004371 (glycerone kinase activity); GO:0006071 (glycerol metabolic process); GO:0034012 (FAD-AMP lyase (cyclizing) activity)</t>
  </si>
  <si>
    <t>GO:0005634 (nucleus); GO:0045944 (positive regulation of transcription by RNA polymerase II); GO:0006357 (regulation of transcription by RNA polymerase II); GO:0006325 (chromatin organization); GO:0005694 (chromosome); GO:0005635 (nuclear envelope); GO:0001228 (DNA-binding transcription activator activity, RNA polymerase II-specific); GO:0005654 (nucleoplasm); GO:0006337 (nucleosome disassembly); GO:0016514 (SWI/SNF complex); GO:0000793 (condensed chromosome); GO:0001085 (RNA polymerase II transcription factor binding); GO:0005515 (protein binding)</t>
  </si>
  <si>
    <t xml:space="preserve">Nuclear cap-binding protein subunit 2 </t>
  </si>
  <si>
    <t>GO:0045292 (mRNA cis splicing, via spliceosome); GO:0005846 (nuclear cap binding complex); GO:0000339 (RNA cap binding); GO:0003676 (nucleic acid binding)</t>
  </si>
  <si>
    <t xml:space="preserve">Derlin-1 </t>
  </si>
  <si>
    <t xml:space="preserve">Apoptosis-linked gene 2-interacting protein X 1 </t>
  </si>
  <si>
    <t>GO:0005524 (ATP binding); GO:0005737 (cytoplasm); GO:0000166 (nucleotide binding); GO:0003774 (motor activity); GO:0007015 (actin filament organization); GO:0051015 (actin filament binding); GO:0003779 (actin binding); GO:0031982 (vesicle); GO:0016459 (myosin complex); GO:0015629 (actin cytoskeleton); GO:0005515 (protein binding); GO:0000146 (microfilament motor activity); GO:0030898 (actin-dependent ATPase activity); GO:0030050 (vesicle transport along actin filament)</t>
  </si>
  <si>
    <t>GO:0005634 (nucleus); GO:0003676 (nucleic acid binding); GO:0003723 (RNA binding); GO:0003729 (mRNA binding); GO:0005847 (mRNA cleavage and polyadenylation specificity factor complex); GO:0098789 (pre-mRNA cleavage required for polyadenylation); GO:0031124 (mRNA 3'-end processing); GO:0016607 (nuclear speck)</t>
  </si>
  <si>
    <t>GO:0016020 (membrane); GO:0016021 (integral component of membrane); GO:0005886 (plasma membrane); GO:0000139 (Golgi membrane); GO:0005794 (Golgi apparatus); GO:0098655 (cation transmembrane transport); GO:0005768 (endosome); GO:0005769 (early endosome); GO:0005783 (endoplasmic reticulum); GO:0022890 (inorganic cation transmembrane transporter activity); GO:0072546 (ER membrane protein complex); GO:0010008 (endosome membrane); GO:0031901 (early endosome membrane)</t>
  </si>
  <si>
    <t xml:space="preserve">Glutamate Receptor Level Decreased </t>
  </si>
  <si>
    <t>GO:0005634 (nucleus); GO:0000398 (mRNA splicing, via spliceosome); GO:0003676 (nucleic acid binding); GO:0003723 (RNA binding)</t>
  </si>
  <si>
    <t xml:space="preserve">S-formylglutathione hydrolase </t>
  </si>
  <si>
    <t>GO:0016787 (hydrolase activity); GO:0005737 (cytoplasm); GO:0005829 (cytosol); GO:0018738 (S-formylglutathione hydrolase activity); GO:0046294 (formaldehyde catabolic process); GO:0052689 (carboxylic ester hydrolase activity)</t>
  </si>
  <si>
    <t xml:space="preserve">Serine/threonine-protein kinase ATR </t>
  </si>
  <si>
    <t>GO:0016301 (kinase activity); GO:0005515 (protein binding); GO:0016310 (phosphorylation); GO:0000166 (nucleotide binding); GO:0016740 (transferase activity); GO:0005524 (ATP binding); GO:0004674 (protein serine/threonine kinase activity); GO:0006468 (protein phosphorylation); GO:0036092 (phosphatidylinositol-3-phosphate biosynthetic process); GO:0005634 (nucleus); GO:0045132 (meiotic chromosome segregation); GO:0000794 (condensed nuclear chromosome); GO:0016303 (1-phosphatidylinositol-3-kinase activity); GO:0106310 (protein serine kinase activity); GO:0106311 (protein threonine kinase activity)</t>
  </si>
  <si>
    <t xml:space="preserve">General transcription factor IIH subunit 2 </t>
  </si>
  <si>
    <t>GO:0005634 (nucleus); GO:0046872 (metal ion binding); GO:0008270 (zinc ion binding); GO:0006281 (DNA repair); GO:0006357 (regulation of transcription by RNA polymerase II); GO:0006351 (transcription, DNA-templated); GO:0006974 (cellular response to DNA damage stimulus); GO:0000439 (transcription factor TFIIH core complex); GO:0005675 (transcription factor TFIIH holo complex); GO:0006289 (nucleotide-excision repair)</t>
  </si>
  <si>
    <t xml:space="preserve">Protein phosphatase 1 regulatory subunit 37 homolog </t>
  </si>
  <si>
    <t>GO:0016020 (membrane); GO:0016021 (integral component of membrane); GO:0070588 (calcium ion transmembrane transport); GO:0030728 (ovulation); GO:0016323 (basolateral plasma membrane); GO:0016324 (apical plasma membrane); GO:0015279 (store-operated calcium channel activity); GO:0002115 (store-operated calcium entry)</t>
  </si>
  <si>
    <t>GO:0005634 (nucleus); GO:0005737 (cytoplasm); GO:0046872 (metal ion binding); GO:0043161 (proteasome-mediated ubiquitin-dependent protein catabolic process); GO:0061630 (ubiquitin protein ligase activity); GO:0016567 (protein ubiquitination); GO:0004842 (ubiquitin-protein transferase activity); GO:0034657 (GID complex)</t>
  </si>
  <si>
    <t xml:space="preserve">Carrier protein (C2) </t>
  </si>
  <si>
    <t>GO:0016020 (membrane); GO:0016021 (integral component of membrane); GO:0031966 (mitochondrial membrane); GO:0006839 (mitochondrial transport); GO:0015218 (pyrimidine nucleotide transmembrane transporter activity); GO:1990519 (pyrimidine nucleotide import into mitochondrion)</t>
  </si>
  <si>
    <t xml:space="preserve">10-formyltetrahydrofolate dehydrogenase </t>
  </si>
  <si>
    <t>GO:0003824 (catalytic activity); GO:0016491 (oxidoreductase activity); GO:0005737 (cytoplasm); GO:0009058 (biosynthetic process); GO:0016620 (oxidoreductase activity, acting on the aldehyde or oxo group of donors, NAD or NADP as acceptor); GO:0004029 (aldehyde dehydrogenase (NAD+) activity); GO:0006730 (one-carbon metabolic process); GO:0009258 (10-formyltetrahydrofolate catabolic process); GO:0016155 (formyltetrahydrofolate dehydrogenase activity); GO:0016742 (hydroxymethyl-, formyl- and related transferase activity); GO:0055114 (oxidation-reduction process)</t>
  </si>
  <si>
    <t xml:space="preserve">Probable adenylate kinase isoenzyme ZK673.2 </t>
  </si>
  <si>
    <t>GO:0005524 (ATP binding); GO:0005737 (cytoplasm); GO:0016301 (kinase activity); GO:0016310 (phosphorylation); GO:0000166 (nucleotide binding); GO:0016740 (transferase activity); GO:0006139 (nucleobase-containing compound metabolic process); GO:0019205 (nucleobase-containing compound kinase activity); GO:0046940 (nucleoside monophosphate phosphorylation); GO:0046033 (AMP metabolic process); GO:0005759 (mitochondrial matrix); GO:0009142 (nucleoside triphosphate biosynthetic process); GO:0004017 (adenylate kinase activity); GO:0046899 (nucleoside triphosphate adenylate kinase activity)</t>
  </si>
  <si>
    <t xml:space="preserve">COLlagen; COLlagen structural </t>
  </si>
  <si>
    <t>GO:0016020 (membrane); GO:0016021 (integral component of membrane); GO:0005581 (collagen trimer); GO:0042302 (structural constituent of cuticle)</t>
  </si>
  <si>
    <t>GO:0016740 (transferase activity); GO:0006355 (regulation of transcription, DNA-templated); GO:0045944 (positive regulation of transcription by RNA polymerase II); GO:0004402 (histone acetyltransferase activity); GO:0042393 (histone binding); GO:0045892 (negative regulation of transcription, DNA-templated); GO:0016573 (histone acetylation); GO:0003712 (transcription coregulator activity)</t>
  </si>
  <si>
    <t>GO:0000166 (nucleotide binding); GO:0016740 (transferase activity); GO:0000209 (protein polyubiquitination); GO:0006511 (ubiquitin-dependent protein catabolic process); GO:0005524 (ATP binding); GO:0005829 (cytosol); GO:0005783 (endoplasmic reticulum); GO:0030433 (ubiquitin-dependent ERAD pathway); GO:0061631 (ubiquitin conjugating enzyme activity)</t>
  </si>
  <si>
    <t>GO:0000166 (nucleotide binding); GO:0016874 (ligase activity); GO:0005524 (ATP binding); GO:0006629 (lipid metabolic process); GO:0005777 (peroxisome); GO:0006631 (fatty acid metabolic process); GO:0006633 (fatty acid biosynthetic process); GO:1904070 (ascaroside biosynthetic process); GO:0016405 (CoA-ligase activity); GO:0031956 (medium-chain fatty acid-CoA ligase activity)</t>
  </si>
  <si>
    <t xml:space="preserve">Putative serine/threonine-protein phosphatase pph-6 </t>
  </si>
  <si>
    <t>GO:0005634 (nucleus); GO:0005737 (cytoplasm); GO:0003676 (nucleic acid binding); GO:0006139 (nucleobase-containing compound metabolic process); GO:0090305 (nucleic acid phosphodiester bond hydrolysis); GO:0008408 (3'-5' exonuclease activity)</t>
  </si>
  <si>
    <t xml:space="preserve">AdaPtin, Small chain (Clathrin associated complex) </t>
  </si>
  <si>
    <t>GO:0006886 (intracellular protein transport); GO:0015031 (protein transport); GO:0016192 (vesicle-mediated transport); GO:0030117 (membrane coat); GO:0043231 (intracellular membrane-bounded organelle)</t>
  </si>
  <si>
    <t xml:space="preserve">Proteasome subunit pbs-5 </t>
  </si>
  <si>
    <t xml:space="preserve">Zinc finger CCCH domain-containing protein 14 </t>
  </si>
  <si>
    <t>GO:0005634 (nucleus); GO:0005737 (cytoplasm); GO:0046872 (metal ion binding); GO:0005515 (protein binding); GO:0006397 (mRNA processing); GO:0008143 (poly(A) binding); GO:0043488 (regulation of mRNA stability); GO:0016607 (nuclear speck); GO:1900364 (negative regulation of mRNA polyadenylation); GO:0048471 (perinuclear region of cytoplasm)</t>
  </si>
  <si>
    <t>GO:0003824 (catalytic activity); GO:0016829 (lyase activity); GO:0006629 (lipid metabolic process); GO:0004419 (hydroxymethylglutaryl-CoA lyase activity); GO:0006552 (leucine catabolic process); GO:0046951 (ketone body biosynthetic process); GO:0016833 (oxo-acid-lyase activity)</t>
  </si>
  <si>
    <t xml:space="preserve">Temporal Asymmetry between Division of Sister cells </t>
  </si>
  <si>
    <t>GO:0005634 (nucleus); GO:0071171 (site-specific DNA replication termination at RTS1 barrier); GO:1902979 (mitotic DNA replication termination)</t>
  </si>
  <si>
    <t xml:space="preserve">C2H2 zinc finger protein EGL-46 </t>
  </si>
  <si>
    <t>GO:0005634 (nucleus); GO:0003700 (DNA-binding transcription factor activity); GO:0000978 (RNA polymerase II cis-regulatory region sequence-specific DNA binding); GO:0000122 (negative regulation of transcription by RNA polymerase II); GO:0030182 (neuron differentiation); GO:0001227 (DNA-binding transcription repressor activity, RNA polymerase II-specific); GO:0031536 (positive regulation of exit from mitosis); GO:0017053 (transcription repressor complex); GO:0001764 (neuron migration); GO:0007411 (axon guidance); GO:0045165 (cell fate commitment); GO:0000981 (DNA-binding transcription factor activity, RNA polymerase II-specific); GO:0001085 (RNA polymerase II transcription factor binding); GO:0010564 (regulation of cell cycle process); GO:0055057 (neuroblast division)</t>
  </si>
  <si>
    <t xml:space="preserve">Signal transducer and activator of transcription 1 </t>
  </si>
  <si>
    <t>GO:0003677 (DNA binding); GO:0005634 (nucleus); GO:0005737 (cytoplasm); GO:0007165 (signal transduction); GO:0003700 (DNA-binding transcription factor activity); GO:0006355 (regulation of transcription, DNA-templated); GO:0042127 (regulation of cell population proliferation); GO:0007275 (multicellular organism development); GO:0005515 (protein binding); GO:0000978 (RNA polymerase II cis-regulatory region sequence-specific DNA binding); GO:0000981 (DNA-binding transcription factor activity, RNA polymerase II-specific); GO:0006357 (regulation of transcription by RNA polymerase II); GO:0006952 (defense response); GO:0045944 (positive regulation of transcription by RNA polymerase II); GO:0043565 (sequence-specific DNA binding); GO:0040024 (dauer larval development); GO:0007259 (receptor signaling pathway via JAK-STAT)</t>
  </si>
  <si>
    <t xml:space="preserve">Stromal interaction molecule 1 </t>
  </si>
  <si>
    <t>GO:0016020 (membrane); GO:0016021 (integral component of membrane); GO:0006811 (ion transport); GO:0005886 (plasma membrane); GO:0046872 (metal ion binding); GO:0005783 (endoplasmic reticulum); GO:0005262 (calcium channel activity); GO:0006816 (calcium ion transport); GO:0070588 (calcium ion transmembrane transport); GO:0005509 (calcium ion binding); GO:0005246 (calcium channel regulator activity); GO:0006874 (cellular calcium ion homeostasis); GO:0042802 (identical protein binding); GO:0002115 (store-operated calcium entry); GO:0032237 (activation of store-operated calcium channel activity); GO:0043025 (neuronal cell body); GO:0005737 (cytoplasm); GO:0000003 (reproduction); GO:0030425 (dendrite); GO:0030728 (ovulation); GO:0043229 (intracellular organelle); GO:0045987 (positive regulation of smooth muscle contraction); GO:1901076 (positive regulation of engulfment of apoptotic cell); GO:1901341 (positive regulation of store-operated calcium channel activity); GO:0005515 (protein binding)</t>
  </si>
  <si>
    <t>GO:0005634 (nucleus); GO:0003677 (DNA binding); GO:0003700 (DNA-binding transcription factor activity); GO:0006355 (regulation of transcription, DNA-templated); GO:0006357 (regulation of transcription by RNA polymerase II); GO:0000978 (RNA polymerase II cis-regulatory region sequence-specific DNA binding); GO:0000981 (DNA-binding transcription factor activity, RNA polymerase II-specific)</t>
  </si>
  <si>
    <t xml:space="preserve">Probable dimethyladenosine transferase </t>
  </si>
  <si>
    <t>GO:0005634 (nucleus); GO:0008168 (methyltransferase activity); GO:0032259 (methylation); GO:0016740 (transferase activity); GO:0003723 (RNA binding); GO:0005730 (nucleolus); GO:0006364 (rRNA processing); GO:0005759 (mitochondrial matrix); GO:0031167 (rRNA methylation); GO:0000154 (rRNA modification); GO:0000179 (rRNA (adenine-N6,N6-)-dimethyltransferase activity); GO:0008649 (rRNA methyltransferase activity); GO:0052909 (18S rRNA (adenine(1779)-N(6)/adenine(1780)-N(6))-dimethyltransferase activity)</t>
  </si>
  <si>
    <t xml:space="preserve">40S ribosomal protein S15 </t>
  </si>
  <si>
    <t>GO:0003723 (RNA binding); GO:0003735 (structural constituent of ribosome); GO:0005840 (ribosome); GO:0006412 (translation); GO:0022627 (cytosolic small ribosomal subunit); GO:0015935 (small ribosomal subunit); GO:0000028 (ribosomal small subunit assembly); GO:0008340 (determination of adult lifespan)</t>
  </si>
  <si>
    <t xml:space="preserve">Peptidyl-prolyl cis-trans isomerase sig-7 </t>
  </si>
  <si>
    <t>GO:0005634 (nucleus); GO:0003676 (nucleic acid binding); GO:0003723 (RNA binding); GO:0016853 (isomerase activity); GO:0040026 (positive regulation of vulval development); GO:0000413 (protein peptidyl-prolyl isomerization); GO:0003755 (peptidyl-prolyl cis-trans isomerase activity); GO:0005694 (chromosome); GO:0002119 (nematode larval development); GO:0060282 (positive regulation of oocyte development); GO:0033120 (positive regulation of RNA splicing); GO:0048639 (positive regulation of developmental growth); GO:0000993 (RNA polymerase II complex binding); GO:0005654 (nucleoplasm); GO:0006351 (transcription, DNA-templated); GO:0032786 (positive regulation of DNA-templated transcription, elongation); GO:0035327 (transcriptionally active chromatin); GO:0050685 (positive regulation of mRNA processing); GO:1901407 (regulation of phosphorylation of RNA polymerase II C-terminal domain); GO:1905437 (positive regulation of histone H3-K4 trimethylation); GO:1905473 (positive regulation of histone H3-K79 dimethylation); GO:2000543 (positive regulation of gastrulation); GO:2001165 (positive regulation of phosphorylation of RNA polymerase II C-terminal domain serine 2 residues); GO:2001255 (positive regulation of histone H3-K36 trimethylation)</t>
  </si>
  <si>
    <t>GO:0016020 (membrane); GO:0016021 (integral component of membrane); GO:0004930 (G protein-coupled receptor activity); GO:0007186 (G protein-coupled receptor signaling pathway); GO:0005887 (integral component of plasma membrane); GO:0035025 (positive regulation of Rho protein signal transduction); GO:0051482 (positive regulation of cytosolic calcium ion concentration involved in phospholipase C-activating G protein-coupled signaling pathway)</t>
  </si>
  <si>
    <t xml:space="preserve">Nuclear cap-binding protein subunit 1 </t>
  </si>
  <si>
    <t>GO:0045292 (mRNA cis splicing, via spliceosome); GO:0005846 (nuclear cap binding complex); GO:0000339 (RNA cap binding); GO:0051028 (mRNA transport); GO:0016070 (RNA metabolic process); GO:0003723 (RNA binding); GO:0005515 (protein binding)</t>
  </si>
  <si>
    <t>GO:0016020 (membrane); GO:0016021 (integral component of membrane); GO:0005741 (mitochondrial outer membrane)</t>
  </si>
  <si>
    <t>GO:0003729 (mRNA binding); GO:0005515 (protein binding)</t>
  </si>
  <si>
    <t xml:space="preserve">Vesicular PolyAmine Transporter </t>
  </si>
  <si>
    <t>GO:0005737 (cytoplasm); GO:0048471 (perinuclear region of cytoplasm)</t>
  </si>
  <si>
    <t>GO:0005764 (lysosome); GO:0071230 (cellular response to amino acid stimulus); GO:0005737 (cytoplasm); GO:0043066 (negative regulation of apoptotic process); GO:0043154 (negative regulation of cysteine-type endopeptidase activity involved in apoptotic process); GO:0071986 (Ragulator complex); GO:1904263 (positive regulation of TORC1 signaling); GO:0005085 (guanyl-nucleotide exchange factor activity)</t>
  </si>
  <si>
    <t xml:space="preserve">Corticotrophin Releasing Factor related </t>
  </si>
  <si>
    <t xml:space="preserve">Ataxin-2 homolog </t>
  </si>
  <si>
    <t xml:space="preserve">Dihydrolipoyl dehydrogenase, mitochondrial </t>
  </si>
  <si>
    <t>GO:0016668 (oxidoreductase activity, acting on a sulfur group of donors, NAD(P) as acceptor); GO:0004148 (dihydrolipoyl dehydrogenase activity); GO:0045454 (cell redox homeostasis); GO:0016491 (oxidoreductase activity); GO:0055114 (oxidation-reduction process); GO:0050660 (flavin adenine dinucleotide binding)</t>
  </si>
  <si>
    <t>GO:0005634 (nucleus); GO:0005737 (cytoplasm); GO:0007165 (signal transduction); GO:0019901 (protein kinase binding); GO:0031588 (nucleotide-activated protein kinase complex); GO:0005515 (protein binding); GO:0080090 (regulation of primary metabolic process)</t>
  </si>
  <si>
    <t xml:space="preserve">Polypeptide N-acetylgalactosaminyltransferase 5 </t>
  </si>
  <si>
    <t xml:space="preserve">Nucleolar complex protein 2 homolog </t>
  </si>
  <si>
    <t>GO:0005634 (nucleus); GO:0005737 (cytoplasm); GO:0006886 (intracellular protein transport); GO:0015031 (protein transport); GO:0006606 (protein import into nucleus); GO:0008139 (nuclear localization sequence binding); GO:0061608 (nuclear import signal receptor activity); GO:0005515 (protein binding); GO:0031267 (small GTPase binding)</t>
  </si>
  <si>
    <t xml:space="preserve">Deoxyhypusine hydroxylase </t>
  </si>
  <si>
    <t>GO:0019135 (deoxyhypusine monooxygenase activity); GO:0008612 (peptidyl-lysine modification to peptidyl-hypusine)</t>
  </si>
  <si>
    <t xml:space="preserve">Organic solute transporter alpha-like protein 3 </t>
  </si>
  <si>
    <t xml:space="preserve">WW domain-containing protein tag-325 </t>
  </si>
  <si>
    <t>GO:0005737 (cytoplasm); GO:0007165 (signal transduction); GO:0043087 (regulation of GTPase activity); GO:0005515 (protein binding)</t>
  </si>
  <si>
    <t xml:space="preserve">Purine nucleoside phosphorylase </t>
  </si>
  <si>
    <t>GO:0005737 (cytoplasm); GO:0003824 (catalytic activity); GO:0016740 (transferase activity); GO:0016757 (transferase activity, transferring glycosyl groups); GO:0006139 (nucleobase-containing compound metabolic process); GO:0009116 (nucleoside metabolic process); GO:0004731 (purine-nucleoside phosphorylase activity); GO:0047975 (guanosine phosphorylase activity); GO:0045087 (innate immune response)</t>
  </si>
  <si>
    <t xml:space="preserve">40S ribosomal protein S16 </t>
  </si>
  <si>
    <t>GO:0003723 (RNA binding); GO:0000462 (maturation of SSU-rRNA from tricistronic rRNA transcript (SSU-rRNA, 5.8S rRNA, LSU-rRNA)); GO:0003735 (structural constituent of ribosome); GO:0005840 (ribosome); GO:0006412 (translation); GO:0005515 (protein binding); GO:0022627 (cytosolic small ribosomal subunit); GO:0015935 (small ribosomal subunit)</t>
  </si>
  <si>
    <t xml:space="preserve">Nascent polypeptide-associated complex subunit alpha </t>
  </si>
  <si>
    <t>GO:0005854 (nascent polypeptide-associated complex)</t>
  </si>
  <si>
    <t xml:space="preserve">Elongation Factor TU family </t>
  </si>
  <si>
    <t>GO:0003924 (GTPase activity); GO:0005525 (GTP binding); GO:0005634 (nucleus); GO:0071007 (U2-type catalytic step 2 spliceosome); GO:0000398 (mRNA splicing, via spliceosome); GO:0046540 (U4/U6 x U5 tri-snRNP complex); GO:1990904 (ribonucleoprotein complex); GO:0006397 (mRNA processing); GO:0008380 (RNA splicing); GO:0030623 (U5 snRNA binding)</t>
  </si>
  <si>
    <t xml:space="preserve">Activator of G protein Signalling </t>
  </si>
  <si>
    <t>GO:0005886 (plasma membrane); GO:0005515 (protein binding); GO:0030695 (GTPase regulator activity); GO:0050790 (regulation of catalytic activity); GO:0016020 (membrane); GO:0001965 (G-protein alpha-subunit binding); GO:0060259 (regulation of feeding behavior); GO:0005092 (GDP-dissociation inhibitor activity)</t>
  </si>
  <si>
    <t xml:space="preserve">G protein, Subunit Alpha </t>
  </si>
  <si>
    <t>GO:0003924 (GTPase activity); GO:0005525 (GTP binding); GO:0007165 (signal transduction); GO:0007186 (G protein-coupled receptor signaling pathway); GO:0007188 (adenylate cyclase-modulating G protein-coupled receptor signaling pathway); GO:0019001 (guanyl nucleotide binding); GO:0031683 (G-protein beta/gamma-subunit complex binding); GO:1900195 (positive regulation of oocyte maturation); GO:2000292 (regulation of defecation); GO:0001664 (G protein-coupled receptor binding); GO:0005834 (heterotrimeric G-protein complex); GO:0007191 (adenylate cyclase-activating dopamine receptor signaling pathway); GO:0090038 (negative regulation of protein kinase C signaling); GO:2000114 (regulation of establishment of cell polarity); GO:0007606 (sensory perception of chemical stimulus)</t>
  </si>
  <si>
    <t>GO:0016020 (membrane); GO:0008474 (palmitoyl-(protein) hydrolase activity); GO:0004620 (phospholipase activity); GO:0047372 (acylglycerol lipase activity); GO:0098734 (macromolecule depalmitoylation); GO:0006660 (phosphatidylserine catabolic process); GO:0052651 (monoacylglycerol catabolic process); GO:0018215 (protein phosphopantetheinylation)</t>
  </si>
  <si>
    <t xml:space="preserve">Ig-like and fibronectin type-III domain-containing protein C27B7.7 </t>
  </si>
  <si>
    <t>GO:0005576 (extracellular region); GO:0005515 (protein binding)</t>
  </si>
  <si>
    <t xml:space="preserve">Putative fatty acid elongation protein 3 </t>
  </si>
  <si>
    <t>GO:0046872 (metal ion binding); GO:0008270 (zinc ion binding); GO:0003676 (nucleic acid binding); GO:0006351 (transcription, DNA-templated); GO:0003899 (DNA-directed 5'-3' RNA polymerase activity); GO:0006367 (transcription initiation from RNA polymerase II promoter); GO:0005665 (RNA polymerase II, core complex); GO:0006379 (mRNA cleavage); GO:0001193 (maintenance of transcriptional fidelity during DNA-templated transcription elongation from RNA polymerase II promoter); GO:0006283 (transcription-coupled nucleotide-excision repair)</t>
  </si>
  <si>
    <t>GO:0008270 (zinc ion binding); GO:0003723 (RNA binding); GO:0003676 (nucleic acid binding); GO:0000398 (mRNA splicing, via spliceosome); GO:0008380 (RNA splicing); GO:0071011 (precatalytic spliceosome)</t>
  </si>
  <si>
    <t xml:space="preserve">Atypical kinase coq-8, mitochondrial </t>
  </si>
  <si>
    <t xml:space="preserve">EPsiN (Endocytic protein) homolog </t>
  </si>
  <si>
    <t>GO:0005886 (plasma membrane); GO:0043231 (intracellular membrane-bounded organelle); GO:0030276 (clathrin binding); GO:0008289 (lipid binding); GO:0006897 (endocytosis); GO:0005768 (endosome); GO:0005543 (phospholipid binding); GO:0030125 (clathrin vesicle coat); GO:0030128 (clathrin coat of endocytic vesicle); GO:0005737 (cytoplasm); GO:0031410 (cytoplasmic vesicle); GO:0031143 (pseudopodium); GO:0032009 (early phagosome); GO:0001891 (phagocytic cup)</t>
  </si>
  <si>
    <t xml:space="preserve">Nuclear hormone receptor family member nhr-22 </t>
  </si>
  <si>
    <t xml:space="preserve">Zinc finger protein 593 homolog </t>
  </si>
  <si>
    <t>GO:0003735 (structural constituent of ribosome); GO:0005840 (ribosome); GO:0006412 (translation); GO:0022627 (cytosolic small ribosomal subunit); GO:0015935 (small ribosomal subunit)</t>
  </si>
  <si>
    <t>GO:0003723 (RNA binding); GO:0005845 (mRNA cap binding complex); GO:0106005 (RNA 5'-cap (guanine-N7)-methylation)</t>
  </si>
  <si>
    <t xml:space="preserve">ADAM (Disintegrin plus metalloprotease) family </t>
  </si>
  <si>
    <t>GO:0016020 (membrane); GO:0016021 (integral component of membrane); GO:0004222 (metalloendopeptidase activity); GO:0006508 (proteolysis); GO:0008233 (peptidase activity); GO:0008237 (metallopeptidase activity); GO:0007229 (integrin-mediated signaling pathway); GO:0006509 (membrane protein ectodomain proteolysis)</t>
  </si>
  <si>
    <t xml:space="preserve">Vacuolar protein sorting-associated protein 55 homolog </t>
  </si>
  <si>
    <t>GO:0016020 (membrane); GO:0016021 (integral component of membrane); GO:0015031 (protein transport); GO:0005768 (endosome); GO:0010008 (endosome membrane); GO:0032511 (late endosome to vacuole transport via multivesicular body sorting pathway); GO:2000009 (negative regulation of protein localization to cell surface)</t>
  </si>
  <si>
    <t xml:space="preserve">AlkylGuanine DNA alkylTransferase </t>
  </si>
  <si>
    <t>GO:0003824 (catalytic activity); GO:0008168 (methyltransferase activity); GO:0032259 (methylation); GO:0016740 (transferase activity); GO:0006281 (DNA repair); GO:0003908 (methylated-DNA-[protein]-cysteine S-methyltransferase activity); GO:0005634 (nucleus); GO:0003684 (damaged DNA binding); GO:0016765 (transferase activity, transferring alkyl or aryl (other than methyl) groups); GO:0006307 (DNA dealkylation involved in DNA repair)</t>
  </si>
  <si>
    <t xml:space="preserve">Barrier-to-autointegration factor 1 </t>
  </si>
  <si>
    <t xml:space="preserve">REPS (RalBP1-associated Eps domain-containing protein) homolog </t>
  </si>
  <si>
    <t xml:space="preserve">Probable pre-mRNA-splicing factor ATP-dependent RNA helicase mog-5 </t>
  </si>
  <si>
    <t>GO:0004386 (helicase activity); GO:0003676 (nucleic acid binding)</t>
  </si>
  <si>
    <t xml:space="preserve">Cuticlin-like protein 19 </t>
  </si>
  <si>
    <t>GO:0016787 (hydrolase activity); GO:0006508 (proteolysis); GO:0008233 (peptidase activity); GO:0005829 (cytosol); GO:0008234 (cysteine-type peptidase activity); GO:0036435 (K48-linked polyubiquitin modification-dependent protein binding); GO:0004843 (thiol-dependent ubiquitin-specific protease activity); GO:0071108 (protein K48-linked deubiquitination); GO:0016807 (cysteine-type carboxypeptidase activity); GO:1990380 (Lys48-specific deubiquitinase activity); GO:0071944 (cell periphery)</t>
  </si>
  <si>
    <t xml:space="preserve">Nuclear hormone receptor family member nhr-60 </t>
  </si>
  <si>
    <t>GO:0016020 (membrane); GO:0016021 (integral component of membrane); GO:0004725 (protein tyrosine phosphatase activity); GO:0006470 (protein dephosphorylation); GO:0035335 (peptidyl-tyrosine dephosphorylation); GO:0016311 (dephosphorylation); GO:0016791 (phosphatase activity); GO:0008045 (motor neuron axon guidance)</t>
  </si>
  <si>
    <t xml:space="preserve">Probable tRNA N6-adenosine threonylcarbamoyltransferase </t>
  </si>
  <si>
    <t>GO:0005634 (nucleus); GO:0046872 (metal ion binding); GO:0016740 (transferase activity); GO:0016746 (transferase activity, transferring acyl groups); GO:0005737 (cytoplasm); GO:0008033 (tRNA processing); GO:0000408 (EKC/KEOPS complex); GO:0002949 (tRNA threonylcarbamoyladenosine modification); GO:0016747 (transferase activity, transferring acyl groups other than amino-acyl groups); GO:0061711 (N(6)-L-threonylcarbamoyladenine synthase activity)</t>
  </si>
  <si>
    <t xml:space="preserve">Probable small nuclear ribonucleoprotein Sm D2 </t>
  </si>
  <si>
    <t>GO:0005634 (nucleus); GO:0000387 (spliceosomal snRNP assembly); GO:0046540 (U4/U6 x U5 tri-snRNP complex); GO:0071013 (catalytic step 2 spliceosome); GO:0005515 (protein binding); GO:0006397 (mRNA processing); GO:0008380 (RNA splicing); GO:0005686 (U2 snRNP); GO:0005685 (U1 snRNP); GO:0005682 (U5 snRNP); GO:0030532 (small nuclear ribonucleoprotein complex); GO:0071011 (precatalytic spliceosome)</t>
  </si>
  <si>
    <t xml:space="preserve">Probable dual specificity protein kinase madd-3 </t>
  </si>
  <si>
    <t xml:space="preserve">28S ribosomal protein S17, mitochondrial </t>
  </si>
  <si>
    <t>GO:0003723 (RNA binding); GO:0005739 (mitochondrion); GO:0003735 (structural constituent of ribosome); GO:0005840 (ribosome); GO:0005763 (mitochondrial small ribosomal subunit); GO:0032543 (mitochondrial translation)</t>
  </si>
  <si>
    <t>GO:0051087 (chaperone binding); GO:0050821 (protein stabilization)</t>
  </si>
  <si>
    <t xml:space="preserve">Transcription Factor ThreeC subunit (GTF3C homolog) </t>
  </si>
  <si>
    <t>GO:0005634 (nucleus); GO:0003677 (DNA binding); GO:0006384 (transcription initiation from RNA polymerase III promoter); GO:0000127 (transcription factor TFIIIC complex)</t>
  </si>
  <si>
    <t xml:space="preserve">Probable V-type proton ATPase 116 kDa subunit a </t>
  </si>
  <si>
    <t>GO:0016020 (membrane); GO:0016021 (integral component of membrane); GO:0006811 (ion transport); GO:0005886 (plasma membrane); GO:0007035 (vacuolar acidification); GO:0015078 (proton transmembrane transporter activity); GO:0016471 (vacuolar proton-transporting V-type ATPase complex); GO:0033179 (proton-transporting V-type ATPase, V0 domain); GO:0046961 (proton-transporting ATPase activity, rotational mechanism); GO:0051117 (ATPase binding); GO:0000220 (vacuolar proton-transporting V-type ATPase, V0 domain); GO:0050830 (defense response to Gram-positive bacterium); GO:1902600 (proton transmembrane transport); GO:0015986 (ATP synthesis coupled proton transport); GO:0040013 (negative regulation of locomotion); GO:0009792 (embryo development ending in birth or egg hatching); GO:0002119 (nematode larval development); GO:0040011 (locomotion); GO:0007271 (synaptic transmission, cholinergic); GO:0043068 (positive regulation of programmed cell death); GO:0001666 (response to hypoxia); GO:0045202 (synapse)</t>
  </si>
  <si>
    <t xml:space="preserve">ABC transporter, class E </t>
  </si>
  <si>
    <t>GO:0005524 (ATP binding); GO:0055085 (transmembrane transport); GO:0000166 (nucleotide binding); GO:0042626 (ATPase-coupled transmembrane transporter activity); GO:0005506 (iron ion binding); GO:0005852 (eukaryotic translation initiation factor 3 complex); GO:0006413 (translational initiation); GO:0006415 (translational termination); GO:0043024 (ribosomal small subunit binding); GO:0000054 (ribosomal subunit export from nucleus); GO:0016887 (ATPase activity)</t>
  </si>
  <si>
    <t xml:space="preserve">Putative T-box protein 33 </t>
  </si>
  <si>
    <t xml:space="preserve">Cyclin-Y </t>
  </si>
  <si>
    <t>GO:0000079 (regulation of cyclin-dependent protein serine/threonine kinase activity); GO:0019901 (protein kinase binding)</t>
  </si>
  <si>
    <t xml:space="preserve">60S ribosomal protein L10 </t>
  </si>
  <si>
    <t>GO:0003735 (structural constituent of ribosome); GO:0005840 (ribosome); GO:0006412 (translation); GO:0000027 (ribosomal large subunit assembly); GO:0022625 (cytosolic large ribosomal subunit)</t>
  </si>
  <si>
    <t xml:space="preserve">Nuclear hormone receptor family member nhr-154 </t>
  </si>
  <si>
    <t xml:space="preserve">Zinc finger protein-like 1 homolog </t>
  </si>
  <si>
    <t>GO:0016020 (membrane); GO:0016021 (integral component of membrane); GO:0046872 (metal ion binding); GO:0005794 (Golgi apparatus)</t>
  </si>
  <si>
    <t xml:space="preserve">Lysophospholipid acyltransferase; Membrane Bound O-Acyl transferase, MBOAT </t>
  </si>
  <si>
    <t>GO:0016020 (membrane); GO:0016021 (integral component of membrane); GO:0016740 (transferase activity); GO:0016746 (transferase activity, transferring acyl groups); GO:0030258 (lipid modification)</t>
  </si>
  <si>
    <t xml:space="preserve">CCDC (Human Coiled Coil Domain Containing) homolog </t>
  </si>
  <si>
    <t>GO:0016020 (membrane); GO:0016021 (integral component of membrane); GO:0005783 (endoplasmic reticulum); GO:0005509 (calcium ion binding); GO:0005515 (protein binding); GO:0030867 (rough endoplasmic reticulum membrane)</t>
  </si>
  <si>
    <t xml:space="preserve">Protein transport protein Sec16 </t>
  </si>
  <si>
    <t>GO:0016192 (vesicle-mediated transport); GO:0007030 (Golgi organization); GO:0005783 (endoplasmic reticulum); GO:0070973 (protein localization to endoplasmic reticulum exit site); GO:0006914 (autophagy); GO:0007029 (endoplasmic reticulum organization); GO:0070971 (endoplasmic reticulum exit site); GO:0012507 (ER to Golgi transport vesicle membrane); GO:0048208 (COPII vesicle coating); GO:0070863 (positive regulation of protein exit from endoplasmic reticulum); GO:0005515 (protein binding); GO:0006888 (endoplasmic reticulum to Golgi vesicle-mediated transport); GO:0005793 (endoplasmic reticulum-Golgi intermediate compartment)</t>
  </si>
  <si>
    <t>GO:0005886 (plasma membrane); GO:0005634 (nucleus); GO:0046872 (metal ion binding); GO:0061630 (ubiquitin protein ligase activity); GO:0008270 (zinc ion binding); GO:0003677 (DNA binding); GO:0016567 (protein ubiquitination); GO:0045202 (synapse); GO:0099536 (synaptic signaling)</t>
  </si>
  <si>
    <t>GO:0005524 (ATP binding); GO:0045087 (innate immune response); GO:0070615 (nucleosome-dependent ATPase activity)</t>
  </si>
  <si>
    <t>GO:0003723 (RNA binding); GO:0003676 (nucleic acid binding); GO:0005829 (cytosol); GO:0003735 (structural constituent of ribosome); GO:0005840 (ribosome); GO:0006412 (translation); GO:0015935 (small ribosomal subunit)</t>
  </si>
  <si>
    <t>GO:0005524 (ATP binding); GO:0016301 (kinase activity); GO:0016310 (phosphorylation); GO:0000166 (nucleotide binding); GO:0016740 (transferase activity); GO:0005737 (cytoplasm); GO:0005829 (cytosol); GO:0016773 (phosphotransferase activity, alcohol group as acceptor); GO:0004335 (galactokinase activity); GO:0006012 (galactose metabolic process); GO:0046835 (carbohydrate phosphorylation)</t>
  </si>
  <si>
    <t xml:space="preserve">Mitochondrial import inner membrane translocase subunit Tim10 </t>
  </si>
  <si>
    <t>GO:0016020 (membrane); GO:0005743 (mitochondrial inner membrane); GO:0046872 (metal ion binding); GO:0015031 (protein transport); GO:0005739 (mitochondrion); GO:0045039 (protein insertion into mitochondrial inner membrane); GO:0042719 (mitochondrial intermembrane space protein transporter complex); GO:0000003 (reproduction); GO:0040014 (regulation of multicellular organism growth)</t>
  </si>
  <si>
    <t xml:space="preserve">Major sperm protein 78 </t>
  </si>
  <si>
    <t>GO:0005634 (nucleus); GO:0003677 (DNA binding); GO:0005829 (cytosol)</t>
  </si>
  <si>
    <t xml:space="preserve">Putative deoxyribose-phosphate aldolase </t>
  </si>
  <si>
    <t>GO:0003824 (catalytic activity); GO:0005737 (cytoplasm); GO:0016829 (lyase activity); GO:0004139 (deoxyribose-phosphate aldolase activity); GO:0009264 (deoxyribonucleotide catabolic process); GO:0016052 (carbohydrate catabolic process); GO:0046386 (deoxyribose phosphate catabolic process)</t>
  </si>
  <si>
    <t xml:space="preserve">Probable small nuclear ribonucleoprotein-associated protein B </t>
  </si>
  <si>
    <t>GO:0005737 (cytoplasm); GO:0005634 (nucleus); GO:0000398 (mRNA splicing, via spliceosome); GO:0046540 (U4/U6 x U5 tri-snRNP complex); GO:0071013 (catalytic step 2 spliceosome); GO:0003723 (RNA binding); GO:0006397 (mRNA processing); GO:0008380 (RNA splicing); GO:0005686 (U2 snRNP); GO:0071004 (U2-type prespliceosome); GO:0005681 (spliceosomal complex); GO:0005685 (U1 snRNP); GO:0005682 (U5 snRNP); GO:0005687 (U4 snRNP)</t>
  </si>
  <si>
    <t xml:space="preserve">Tripeptidyl-peptidase 2 </t>
  </si>
  <si>
    <t>GO:0016787 (hydrolase activity); GO:0006508 (proteolysis); GO:0008233 (peptidase activity); GO:0005829 (cytosol); GO:0004252 (serine-type endopeptidase activity); GO:0004177 (aminopeptidase activity); GO:0008236 (serine-type peptidase activity); GO:0008240 (tripeptidyl-peptidase activity); GO:0010884 (positive regulation of lipid storage)</t>
  </si>
  <si>
    <t xml:space="preserve">Probable coatomer subunit gamma </t>
  </si>
  <si>
    <t>GO:0016020 (membrane); GO:0000139 (Golgi membrane); GO:0005198 (structural molecule activity); GO:0005737 (cytoplasm); GO:0005794 (Golgi apparatus); GO:0006886 (intracellular protein transport); GO:0015031 (protein transport); GO:0016192 (vesicle-mediated transport); GO:0030117 (membrane coat); GO:0030126 (COPI vesicle coat); GO:0030663 (COPI-coated vesicle membrane); GO:0031410 (cytoplasmic vesicle); GO:0005783 (endoplasmic reticulum); GO:0006888 (endoplasmic reticulum to Golgi vesicle-mediated transport); GO:0006891 (intra-Golgi vesicle-mediated transport); GO:0005793 (endoplasmic reticulum-Golgi intermediate compartment); GO:0009306 (protein secretion); GO:0072384 (organelle transport along microtubule)</t>
  </si>
  <si>
    <t xml:space="preserve">40S ribosomal protein S3a </t>
  </si>
  <si>
    <t>GO:0005737 (cytoplasm); GO:0006412 (translation); GO:0005829 (cytosol); GO:0003735 (structural constituent of ribosome); GO:0005840 (ribosome); GO:0022627 (cytosolic small ribosomal subunit)</t>
  </si>
  <si>
    <t xml:space="preserve">Putative prenylated protein tyrosine phosphatase </t>
  </si>
  <si>
    <t>GO:0005634 (nucleus); GO:0005737 (cytoplasm); GO:0004725 (protein tyrosine phosphatase activity); GO:0006470 (protein dephosphorylation); GO:0035335 (peptidyl-tyrosine dephosphorylation); GO:0016311 (dephosphorylation); GO:0016791 (phosphatase activity)</t>
  </si>
  <si>
    <t xml:space="preserve">Transcription factor elt-7 </t>
  </si>
  <si>
    <t>GO:0006357 (regulation of transcription by RNA polymerase II); GO:0043565 (sequence-specific DNA binding); GO:0003700 (DNA-binding transcription factor activity); GO:0008270 (zinc ion binding); GO:0006355 (regulation of transcription, DNA-templated)</t>
  </si>
  <si>
    <t xml:space="preserve">CREB-regulated transcription coactivator 1 homolog </t>
  </si>
  <si>
    <t>GO:0032793 (positive regulation of CREB transcription factor activity); GO:0051289 (protein homotetramerization); GO:0008140 (cAMP response element binding protein binding); GO:0005737 (cytoplasm); GO:0005634 (nucleus)</t>
  </si>
  <si>
    <t>GO:0005634 (nucleus); GO:0005524 (ATP binding); GO:0005737 (cytoplasm); GO:0016787 (hydrolase activity); GO:0004386 (helicase activity); GO:0000166 (nucleotide binding); GO:0003723 (RNA binding); GO:0003676 (nucleic acid binding); GO:1990904 (ribonucleoprotein complex); GO:0016246 (RNA interference); GO:0031054 (pre-miRNA processing); GO:0003724 (RNA helicase activity)</t>
  </si>
  <si>
    <t xml:space="preserve">Probable glycylpeptide N-tetradecanoyltransferase </t>
  </si>
  <si>
    <t>GO:0006499 (N-terminal protein myristoylation); GO:0004379 (glycylpeptide N-tetradecanoyltransferase activity); GO:0016740 (transferase activity); GO:0016746 (transferase activity, transferring acyl groups)</t>
  </si>
  <si>
    <t>GO:0016020 (membrane); GO:0016021 (integral component of membrane); GO:0005886 (plasma membrane); GO:0030659 (cytoplasmic vesicle membrane); GO:0006897 (endocytosis); GO:0000122 (negative regulation of transcription by RNA polymerase II); GO:0031410 (cytoplasmic vesicle); GO:0018996 (molting cycle, collagen and cuticulin-based cuticle); GO:0009653 (anatomical structure morphogenesis); GO:0061066 (positive regulation of dauer larval development); GO:0046626 (regulation of insulin receptor signaling pathway); GO:0045138 (nematode male tail tip morphogenesis)</t>
  </si>
  <si>
    <t xml:space="preserve">Smu-2 suppressor of mec-8 and unc-52 protein </t>
  </si>
  <si>
    <t>GO:0005634 (nucleus); GO:0000398 (mRNA splicing, via spliceosome); GO:0005515 (protein binding); GO:0006397 (mRNA processing); GO:0008380 (RNA splicing); GO:0005681 (spliceosomal complex); GO:0009792 (embryo development ending in birth or egg hatching); GO:0002119 (nematode larval development); GO:0007638 (mechanosensory behavior); GO:0040011 (locomotion); GO:0005730 (nucleolus); GO:0000381 (regulation of alternative mRNA splicing, via spliceosome); GO:0048666 (neuron development); GO:0048644 (muscle organ morphogenesis)</t>
  </si>
  <si>
    <t>GO:0005634 (nucleus); GO:0005515 (protein binding); GO:0007049 (cell cycle); GO:0051301 (cell division); GO:0005694 (chromosome); GO:0000775 (chromosome, centromeric region); GO:0000776 (kinetochore); GO:0000777 (condensed chromosome kinetochore); GO:0000818 (nuclear MIS12/MIND complex); GO:0051382 (kinetochore assembly)</t>
  </si>
  <si>
    <t>GO:0006281 (DNA repair); GO:0008270 (zinc ion binding); GO:0003677 (DNA binding)</t>
  </si>
  <si>
    <t xml:space="preserve">DnaJ homolog dnj-20 </t>
  </si>
  <si>
    <t>GO:0051082 (unfolded protein binding); GO:0006457 (protein folding)</t>
  </si>
  <si>
    <t xml:space="preserve">GPN-loop GTPase 1 </t>
  </si>
  <si>
    <t>GO:0003924 (GTPase activity)</t>
  </si>
  <si>
    <t xml:space="preserve">Cilia- and flagella-associated protein 20 </t>
  </si>
  <si>
    <t>GO:0005634 (nucleus); GO:0005737 (cytoplasm); GO:0005856 (cytoskeleton); GO:0005874 (microtubule); GO:0005929 (cilium); GO:0036064 (ciliary basal body); GO:0042995 (cell projection); GO:0060271 (cilium assembly); GO:0005814 (centriole); GO:0031514 (motile cilium); GO:0060296 (regulation of cilium beat frequency involved in ciliary motility); GO:2000147 (positive regulation of cell motility); GO:2000253 (positive regulation of feeding behavior)</t>
  </si>
  <si>
    <t xml:space="preserve">Methylmalonic aciduria type A homolog, mitochondrial </t>
  </si>
  <si>
    <t xml:space="preserve">Probable coatomer subunit delta </t>
  </si>
  <si>
    <t>GO:0030126 (COPI vesicle coat); GO:0006890 (retrograde vesicle-mediated transport, Golgi to endoplasmic reticulum)</t>
  </si>
  <si>
    <t xml:space="preserve">E3 UFM1-protein ligase 1 homolog </t>
  </si>
  <si>
    <t>GO:0016740 (transferase activity); GO:0005789 (endoplasmic reticulum membrane); GO:0034976 (response to endoplasmic reticulum stress); GO:1990592 (protein K69-linked ufmylation); GO:0071568 (UFM1 transferase activity); GO:0032088 (negative regulation of NF-kappaB transcription factor activity); GO:0071569 (protein ufmylation); GO:0032434 (regulation of proteasomal ubiquitin-dependent protein catabolic process); GO:0018215 (protein phosphopantetheinylation); GO:0061666 (UFM1 ligase activity)</t>
  </si>
  <si>
    <t xml:space="preserve">GCN (Yeast General Control Nondrepressible) homolog </t>
  </si>
  <si>
    <t>GO:0045859 (regulation of protein kinase activity); GO:0006417 (regulation of translation); GO:0017148 (negative regulation of translation); GO:0019887 (protein kinase regulator activity); GO:0019901 (protein kinase binding); GO:0033674 (positive regulation of kinase activity); GO:0043022 (ribosome binding); GO:0010628 (positive regulation of gene expression); GO:0005515 (protein binding); GO:0005829 (cytosol); GO:0033138 (positive regulation of peptidyl-serine phosphorylation); GO:0042981 (regulation of apoptotic process); GO:0022626 (cytosolic ribosome)</t>
  </si>
  <si>
    <t>GO:0016020 (membrane); GO:0016021 (integral component of membrane); GO:0005829 (cytosol); GO:0042147 (retrograde transport, endosome to Golgi); GO:0005802 (trans-Golgi network); GO:0005768 (endosome); GO:0045332 (phospholipid translocation)</t>
  </si>
  <si>
    <t xml:space="preserve">Adenosylhomocysteinase </t>
  </si>
  <si>
    <t>GO:0016787 (hydrolase activity); GO:0005829 (cytosol); GO:0006730 (one-carbon metabolic process); GO:0004013 (adenosylhomocysteinase activity); GO:0033353 (S-adenosylmethionine cycle); GO:0019510 (S-adenosylhomocysteine catabolic process)</t>
  </si>
  <si>
    <t xml:space="preserve">Coiled-coil and C2 domain-containing protein 1-like </t>
  </si>
  <si>
    <t>GO:0005634 (nucleus); GO:0000978 (RNA polymerase II cis-regulatory region sequence-specific DNA binding); GO:0000981 (DNA-binding transcription factor activity, RNA polymerase II-specific); GO:0006357 (regulation of transcription by RNA polymerase II); GO:0000122 (negative regulation of transcription by RNA polymerase II); GO:0001227 (DNA-binding transcription repressor activity, RNA polymerase II-specific)</t>
  </si>
  <si>
    <t xml:space="preserve">Serine/threonine-protein kinase RIO2 </t>
  </si>
  <si>
    <t>GO:0005634 (nucleus); GO:0005524 (ATP binding); GO:0004672 (protein kinase activity); GO:0006468 (protein phosphorylation); GO:0016301 (kinase activity); GO:0016310 (phosphorylation); GO:0046872 (metal ion binding); GO:0000166 (nucleotide binding); GO:0016740 (transferase activity); GO:0004674 (protein serine/threonine kinase activity); GO:0005829 (cytosol); GO:0030490 (maturation of SSU-rRNA); GO:0030688 (preribosome, small subunit precursor); GO:0002119 (nematode larval development); GO:0106310 (protein serine kinase activity); GO:0106311 (protein threonine kinase activity)</t>
  </si>
  <si>
    <t xml:space="preserve">JOSephin Domain protein </t>
  </si>
  <si>
    <t>GO:0016787 (hydrolase activity); GO:0006508 (proteolysis); GO:0008233 (peptidase activity); GO:0016579 (protein deubiquitination); GO:0004843 (thiol-dependent ubiquitin-specific protease activity)</t>
  </si>
  <si>
    <t xml:space="preserve">Mammalian cell Death Associated Protein related </t>
  </si>
  <si>
    <t>GO:0005739 (mitochondrion); GO:0005840 (ribosome); GO:0003735 (structural constituent of ribosome); GO:0005763 (mitochondrial small ribosomal subunit); GO:0006915 (apoptotic process); GO:0005761 (mitochondrial ribosome); GO:0015935 (small ribosomal subunit)</t>
  </si>
  <si>
    <t xml:space="preserve">BTB and MATH domain-containing protein 43 </t>
  </si>
  <si>
    <t>GO:0005515 (protein binding); GO:0048566 (embryonic digestive tract development)</t>
  </si>
  <si>
    <t xml:space="preserve">Spliceosome-associated protein CWC15 homolog </t>
  </si>
  <si>
    <t>GO:0000398 (mRNA splicing, via spliceosome); GO:0005681 (spliceosomal complex)</t>
  </si>
  <si>
    <t>GO:0005085 (guanyl-nucleotide exchange factor activity); GO:0005515 (protein binding); GO:0050790 (regulation of catalytic activity)</t>
  </si>
  <si>
    <t xml:space="preserve">Mediator of RNA polymerase II transcription subunit 20 </t>
  </si>
  <si>
    <t xml:space="preserve">Nuclear hormone receptor family member nhr-64 </t>
  </si>
  <si>
    <t>GO:0043565 (sequence-specific DNA binding); GO:0003700 (DNA-binding transcription factor activity); GO:0005634 (nucleus); GO:0008270 (zinc ion binding); GO:0006355 (regulation of transcription, DNA-templated); GO:0003707 (steroid hormone receptor activity); GO:0003677 (DNA binding); GO:0046872 (metal ion binding); GO:0043401 (steroid hormone mediated signaling pathway)</t>
  </si>
  <si>
    <t xml:space="preserve">Nonsense-mediated mRNA decay protein; Suppressor with Morphological effect on Genitalia </t>
  </si>
  <si>
    <t>GO:0005515 (protein binding); GO:0043666 (regulation of phosphoprotein phosphatase activity); GO:0090501 (RNA phosphodiester bond hydrolysis); GO:0005634 (nucleus); GO:0005737 (cytoplasm); GO:0000184 (nuclear-transcribed mRNA catabolic process, nonsense-mediated decay); GO:0017151 (DEAD/H-box RNA helicase binding); GO:0016246 (RNA interference); GO:0004540 (ribonuclease activity); GO:0019888 (protein phosphatase regulator activity); GO:0051721 (protein phosphatase 2A binding); GO:0030538 (embryonic genitalia morphogenesis); GO:0034660 (ncRNA metabolic process)</t>
  </si>
  <si>
    <t>GO:0005844 (polysome); GO:0002181 (cytoplasmic translation); GO:0005515 (protein binding)</t>
  </si>
  <si>
    <t xml:space="preserve">Kinetochore null protein 1 </t>
  </si>
  <si>
    <t xml:space="preserve">Probable S-adenosylmethionine synthase 4 </t>
  </si>
  <si>
    <t xml:space="preserve">Serine/threonine-protein phosphatase 5 </t>
  </si>
  <si>
    <t>GO:0004721 (phosphoprotein phosphatase activity); GO:0006470 (protein dephosphorylation); GO:0016787 (hydrolase activity); GO:0005515 (protein binding); GO:0005737 (cytoplasm); GO:0033365 (protein localization to organelle); GO:0045920 (negative regulation of exocytosis); GO:0072686 (mitotic spindle)</t>
  </si>
  <si>
    <t>GO:0016020 (membrane); GO:0016021 (integral component of membrane); GO:0005783 (endoplasmic reticulum)</t>
  </si>
  <si>
    <t xml:space="preserve">Sex-determining transformer protein 1 </t>
  </si>
  <si>
    <t>GO:0005634 (nucleus); GO:0046872 (metal ion binding); GO:0005737 (cytoplasm); GO:0003677 (DNA binding); GO:0045944 (positive regulation of transcription by RNA polymerase II); GO:0007275 (multicellular organism development); GO:0005515 (protein binding); GO:0000978 (RNA polymerase II cis-regulatory region sequence-specific DNA binding); GO:0000122 (negative regulation of transcription by RNA polymerase II); GO:0000981 (DNA-binding transcription factor activity, RNA polymerase II-specific); GO:0006357 (regulation of transcription by RNA polymerase II); GO:0008406 (gonad development); GO:0030154 (cell differentiation); GO:0007548 (sex differentiation); GO:0007283 (spermatogenesis); GO:0008022 (protein C-terminus binding); GO:0007417 (central nervous system development); GO:0019099 (female germ-line sex determination); GO:0019101 (female somatic sex determination); GO:0043565 (sequence-specific DNA binding); GO:0001162 (RNA polymerase II intronic transcription regulatory region sequence-specific DNA binding); GO:0043525 (positive regulation of neuron apoptotic process)</t>
  </si>
  <si>
    <t xml:space="preserve">Glutamate--cysteine ligase </t>
  </si>
  <si>
    <t>GO:0006750 (glutathione biosynthetic process); GO:0004357 (glutamate-cysteine ligase activity); GO:0003824 (catalytic activity)</t>
  </si>
  <si>
    <t>GO:0003735 (structural constituent of ribosome); GO:0005840 (ribosome); GO:0006412 (translation); GO:0005762 (mitochondrial large ribosomal subunit); GO:0015934 (large ribosomal subunit)</t>
  </si>
  <si>
    <t xml:space="preserve">BRCA1-associated RING domain protein 1 </t>
  </si>
  <si>
    <t xml:space="preserve">Probable serine/threonine-protein kinase zyg-1 </t>
  </si>
  <si>
    <t>GO:0005524 (ATP binding); GO:0004672 (protein kinase activity); GO:0006468 (protein phosphorylation); GO:0016301 (kinase activity); GO:0016310 (phosphorylation); GO:0000166 (nucleotide binding); GO:0016740 (transferase activity); GO:0005737 (cytoplasm); GO:0004674 (protein serine/threonine kinase activity); GO:0005856 (cytoskeleton); GO:0007275 (multicellular organism development); GO:0005515 (protein binding); GO:0007049 (cell cycle); GO:0005814 (centriole); GO:0042802 (identical protein binding); GO:0005813 (centrosome); GO:0005815 (microtubule organizing center); GO:0009794 (regulation of mitotic cell cycle, embryonic); GO:0010824 (regulation of centrosome duplication); GO:0016048 (detection of temperature stimulus); GO:0045977 (positive regulation of mitotic cell cycle, embryonic); GO:0090169 (regulation of spindle assembly); GO:1903436 (regulation of mitotic cytokinetic process); GO:1904779 (regulation of protein localization to centrosome); GO:0034613 (cellular protein localization); GO:0000278 (mitotic cell cycle); GO:0051726 (regulation of cell cycle); GO:1905342 (positive regulation of protein localization to kinetochore); GO:0090268 (activation of mitotic cell cycle spindle assembly checkpoint); GO:0051298 (centrosome duplication); GO:0010825 (positive regulation of centrosome duplication); GO:1905832 (positive regulation of spindle assembly); GO:0009792 (embryo development ending in birth or egg hatching); GO:0008104 (protein localization); GO:0000003 (reproduction); GO:0051301 (cell division); GO:0018105 (peptidyl-serine phosphorylation); GO:0007099 (centriole replication); GO:0051225 (spindle assembly); GO:0106310 (protein serine kinase activity); GO:0106311 (protein threonine kinase activity)</t>
  </si>
  <si>
    <t xml:space="preserve">LeukoTriene A4 Hydrolase homolog </t>
  </si>
  <si>
    <t>GO:0016787 (hydrolase activity); GO:0046872 (metal ion binding); GO:0008270 (zinc ion binding); GO:0006508 (proteolysis); GO:0008233 (peptidase activity); GO:0008237 (metallopeptidase activity); GO:0005829 (cytosol); GO:0043171 (peptide catabolic process); GO:0004301 (epoxide hydrolase activity); GO:0010883 (regulation of lipid storage); GO:0090087 (regulation of peptide transport); GO:2000192 (negative regulation of fatty acid transport); GO:0004177 (aminopeptidase activity)</t>
  </si>
  <si>
    <t xml:space="preserve">E3 ubiquitin-protein ligase listerin </t>
  </si>
  <si>
    <t>GO:0046872 (metal ion binding); GO:0016740 (transferase activity); GO:0016567 (protein ubiquitination); GO:0061630 (ubiquitin protein ligase activity); GO:0005829 (cytosol); GO:0043023 (ribosomal large subunit binding); GO:0072344 (rescue of stalled ribosome); GO:1990112 (RQC complex); GO:1990116 (ribosome-associated ubiquitin-dependent protein catabolic process)</t>
  </si>
  <si>
    <t>GO:0016020 (membrane); GO:0005739 (mitochondrion); GO:0005743 (mitochondrial inner membrane); GO:0006979 (response to oxidative stress); GO:0005747 (mitochondrial respiratory chain complex I); GO:0070469 (respirasome); GO:0006120 (mitochondrial electron transport, NADH to ubiquinone)</t>
  </si>
  <si>
    <t>GO:0016020 (membrane); GO:0016021 (integral component of membrane); GO:0030246 (carbohydrate binding); GO:0016936 (galactoside binding)</t>
  </si>
  <si>
    <t>GO:0000126 (transcription factor TFIIIB complex); GO:0070898 (RNA polymerase III preinitiation complex assembly); GO:0001156 (TFIIIC-class transcription factor complex binding)</t>
  </si>
  <si>
    <t>GO:0045324 (late endosome to vacuole transport); GO:0015031 (protein transport); GO:0000815 (ESCRT III complex); GO:0005771 (multivesicular body); GO:0007034 (vacuolar transport); GO:0032509 (endosome transport via multivesicular body sorting pathway)</t>
  </si>
  <si>
    <t xml:space="preserve">Ack-related non-receptor tyrosine kinase </t>
  </si>
  <si>
    <t xml:space="preserve">Homologous to Drosophila SQD (Squid) protein </t>
  </si>
  <si>
    <t>GO:0016020 (membrane); GO:0016021 (integral component of membrane); GO:0040018 (positive regulation of multicellular organism growth); GO:0010171 (body morphogenesis)</t>
  </si>
  <si>
    <t>GO:0005743 (mitochondrial inner membrane); GO:0043022 (ribosome binding); GO:0032979 (protein insertion into mitochondrial inner membrane from matrix); GO:0007007 (inner mitochondrial membrane organization)</t>
  </si>
  <si>
    <t xml:space="preserve">40S ribosomal protein S19 </t>
  </si>
  <si>
    <t>GO:0003723 (RNA binding); GO:0003735 (structural constituent of ribosome); GO:0005840 (ribosome); GO:0006412 (translation); GO:0022627 (cytosolic small ribosomal subunit); GO:0000028 (ribosomal small subunit assembly)</t>
  </si>
  <si>
    <t xml:space="preserve">Putative polypeptide N-acetylgalactosaminyltransferase 10 </t>
  </si>
  <si>
    <t xml:space="preserve">Probable prefoldin subunit 5 </t>
  </si>
  <si>
    <t xml:space="preserve">Putative zinc finger protein F44E2.7 </t>
  </si>
  <si>
    <t>GO:0005634 (nucleus); GO:0046872 (metal ion binding); GO:0003677 (DNA binding); GO:0005515 (protein binding)</t>
  </si>
  <si>
    <t xml:space="preserve">60S ribosomal protein L35 </t>
  </si>
  <si>
    <t>GO:0003729 (mRNA binding); GO:0003735 (structural constituent of ribosome); GO:0005840 (ribosome); GO:0006412 (translation); GO:0022625 (cytosolic large ribosomal subunit); GO:0000463 (maturation of LSU-rRNA from tricistronic rRNA transcript (SSU-rRNA, 5.8S rRNA, LSU-rRNA))</t>
  </si>
  <si>
    <t xml:space="preserve">FAM172 family protein homolog Y75B8A.31 </t>
  </si>
  <si>
    <t>GO:0005634 (nucleus); GO:0031048 (heterochromatin assembly by small RNA); GO:0035197 (siRNA binding)</t>
  </si>
  <si>
    <t>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activity); GO:0004439 (phosphatidylinositol-4,5-bisphosphate 5-phosphatase activity)</t>
  </si>
  <si>
    <t xml:space="preserve">Post-GPI attachment to proteins factor 2 </t>
  </si>
  <si>
    <t>GO:0000139 (Golgi membrane)</t>
  </si>
  <si>
    <t>GO:0005634 (nucleus); GO:0006396 (RNA processing); GO:0005739 (mitochondrion); GO:0005840 (ribosome); GO:0090501 (RNA phosphodiester bond hydrolysis); GO:0090502 (RNA phosphodiester bond hydrolysis, endonucleolytic); GO:0003725 (double-stranded RNA binding); GO:0030422 (production of siRNA involved in RNA interference); GO:0004525 (ribonuclease III activity); GO:0031053 (primary miRNA processing); GO:0031054 (pre-miRNA processing)</t>
  </si>
  <si>
    <t xml:space="preserve">Probable [pyruvate dehydrogenase (acetyl-transferring)] kinase, mitochondrial </t>
  </si>
  <si>
    <t>GO:0004672 (protein kinase activity)</t>
  </si>
  <si>
    <t xml:space="preserve">Fatty acid-binding protein homolog 5 </t>
  </si>
  <si>
    <t xml:space="preserve">GAS41-Like </t>
  </si>
  <si>
    <t>GO:0005634 (nucleus); GO:0006355 (regulation of transcription, DNA-templated); GO:0016246 (RNA interference); GO:0003682 (chromatin binding)</t>
  </si>
  <si>
    <t>GO:0003735 (structural constituent of ribosome); GO:0005840 (ribosome); GO:0006412 (translation); GO:0022627 (cytosolic small ribosomal subunit); GO:0008340 (determination of adult lifespan)</t>
  </si>
  <si>
    <t>GO:0016020 (membrane); GO:0016021 (integral component of membrane); GO:0006629 (lipid metabolic process); GO:0005783 (endoplasmic reticulum); GO:0005789 (endoplasmic reticulum membrane); GO:0030176 (integral component of endoplasmic reticulum membrane); GO:0019915 (lipid storage); GO:0034389 (lipid droplet organization)</t>
  </si>
  <si>
    <t xml:space="preserve">Probable 5-formyltetrahydrofolate cyclo-ligase </t>
  </si>
  <si>
    <t>GO:0046872 (metal ion binding); GO:0000166 (nucleotide binding); GO:0016874 (ligase activity); GO:0005737 (cytoplasm); GO:0005739 (mitochondrion); GO:0005524 (ATP binding); GO:0035999 (tetrahydrofolate interconversion); GO:0009396 (folic acid-containing compound biosynthetic process); GO:0030272 (5-formyltetrahydrofolate cyclo-ligase activity)</t>
  </si>
  <si>
    <t xml:space="preserve">Acyl-CoA dehydrogenase family member 11 </t>
  </si>
  <si>
    <t>GO:0016627 (oxidoreductase activity, acting on the CH-CH group of donors); GO:0055114 (oxidation-reduction process)</t>
  </si>
  <si>
    <t xml:space="preserve">Chondroitin proteoglycan 8 </t>
  </si>
  <si>
    <t xml:space="preserve">Serine/threonine-protein kinase akt-1 </t>
  </si>
  <si>
    <t xml:space="preserve">Exocyst complex component 5 </t>
  </si>
  <si>
    <t>GO:0000145 (exocyst); GO:0006887 (exocytosis); GO:0005737 (cytoplasm)</t>
  </si>
  <si>
    <t>GO:0016020 (membrane); GO:0005829 (cytosol); GO:0006890 (retrograde vesicle-mediated transport, Golgi to endoplasmic reticulum); GO:0007030 (Golgi organization); GO:0005802 (trans-Golgi network); GO:0000139 (Golgi membrane); GO:0043001 (Golgi to plasma membrane protein transport); GO:0031985 (Golgi cisterna); GO:0070273 (phosphatidylinositol-4-phosphate binding); GO:0048194 (Golgi vesicle budding)</t>
  </si>
  <si>
    <t xml:space="preserve">Na(+)/H(+) exchanger protein 7 </t>
  </si>
  <si>
    <t>GO:0003779 (actin binding); GO:0034316 (negative regulation of Arp2/3 complex-mediated actin nucleation); GO:0071846 (actin filament debranching); GO:0071933 (Arp2/3 complex binding); GO:0030479 (actin cortical patch)</t>
  </si>
  <si>
    <t xml:space="preserve">Ceramide glucosyltransferase 1 </t>
  </si>
  <si>
    <t>GO:0007165 (signal transduction); GO:0043547 (positive regulation of GTPase activity); GO:0030866 (cortical actin cytoskeleton organization); GO:0005096 (GTPase activator activity); GO:0045167 (asymmetric protein localization involved in cell fate determination); GO:0032970 (regulation of actin filament-based process)</t>
  </si>
  <si>
    <t xml:space="preserve">Uncharacterized RING finger protein C32D5.10 </t>
  </si>
  <si>
    <t>GO:0046872 (metal ion binding); GO:0004842 (ubiquitin-protein transferase activity); GO:0051865 (protein autoubiquitination)</t>
  </si>
  <si>
    <t xml:space="preserve">Biotin Protein Ligase </t>
  </si>
  <si>
    <t>GO:0005737 (cytoplasm); GO:0006464 (cellular protein modification process); GO:0004077 (biotin-[acetyl-CoA-carboxylase] ligase activity); GO:0009305 (protein biotinylation); GO:0071110 (histone biotinylation); GO:0018215 (protein phosphopantetheinylation); GO:0016874 (ligase activity)</t>
  </si>
  <si>
    <t>GO:0016020 (membrane); GO:0003924 (GTPase activity); GO:0005525 (GTP binding); GO:0000166 (nucleotide binding); GO:0000139 (Golgi membrane); GO:0005794 (Golgi apparatus); GO:0006886 (intracellular protein transport); GO:0005768 (endosome); GO:0005829 (cytosol); GO:0005769 (early endosome); GO:0005802 (trans-Golgi network); GO:0012505 (endomembrane system); GO:0031901 (early endosome membrane); GO:0045335 (phagocytic vesicle); GO:0032456 (endocytic recycling); GO:0006895 (Golgi to endosome transport); GO:0042742 (defense response to bacterium); GO:0055037 (recycling endosome); GO:0090382 (phagosome maturation); GO:0090387 (phagolysosome assembly involved in apoptotic cell clearance); GO:0090390 (phagosome acidification involved in apoptotic cell clearance)</t>
  </si>
  <si>
    <t xml:space="preserve">RILP (Rab7-Interacting Lysosomal Protein) homolog </t>
  </si>
  <si>
    <t>GO:0016020 (membrane); GO:0016021 (integral component of membrane); GO:0005737 (cytoplasm); GO:0015031 (protein transport); GO:0046983 (protein dimerization activity); GO:0060271 (cilium assembly); GO:0036064 (ciliary basal body)</t>
  </si>
  <si>
    <t>GO:0005507 (copper ion binding); GO:0005758 (mitochondrial intermembrane space); GO:0016531 (copper chaperone activity); GO:0033617 (mitochondrial cytochrome c oxidase assembly)</t>
  </si>
  <si>
    <t xml:space="preserve">Ragulator complex protein LAMTOR2 homolog </t>
  </si>
  <si>
    <t>GO:0032008 (positive regulation of TOR signaling); GO:0060090 (molecular adaptor activity); GO:0005085 (guanyl-nucleotide exchange factor activity)</t>
  </si>
  <si>
    <t>GO:0016020 (membrane); GO:0016021 (integral component of membrane); GO:0005739 (mitochondrion); GO:0005783 (endoplasmic reticulum); GO:0097250 (mitochondrial respirasome assembly)</t>
  </si>
  <si>
    <t>GO:0016020 (membrane); GO:0016021 (integral component of membrane); GO:0005743 (mitochondrial inner membrane); GO:0004252 (serine-type endopeptidase activity); GO:0006508 (proteolysis); GO:0010821 (regulation of mitochondrion organization)</t>
  </si>
  <si>
    <t>GO:0005634 (nucleus); GO:0006979 (response to oxidative stress); GO:0008340 (determination of adult lifespan); GO:0009408 (response to heat)</t>
  </si>
  <si>
    <t xml:space="preserve">Exocyst complex component 7 </t>
  </si>
  <si>
    <t>GO:0016020 (membrane); GO:0005794 (Golgi apparatus); GO:0006886 (intracellular protein transport); GO:0015031 (protein transport); GO:0006887 (exocytosis); GO:0005801 (cis-Golgi network); GO:0000145 (exocyst); GO:0005546 (phosphatidylinositol-4,5-bisphosphate binding); GO:0090522 (vesicle tethering involved in exocytosis)</t>
  </si>
  <si>
    <t>GO:0030036 (actin cytoskeleton organization); GO:0031941 (filamentous actin); GO:0005815 (microtubule organizing center); GO:0005739 (mitochondrion); GO:0005515 (protein binding)</t>
  </si>
  <si>
    <t xml:space="preserve">5'-AMP-activated protein kinase catalytic subunit alpha-2 </t>
  </si>
  <si>
    <t xml:space="preserve">60S ribosomal protein L17 </t>
  </si>
  <si>
    <t>GO:0003735 (structural constituent of ribosome); GO:0005840 (ribosome); GO:0006412 (translation); GO:0022625 (cytosolic large ribosomal subunit); GO:0002181 (cytoplasmic translation); GO:0015934 (large ribosomal subunit)</t>
  </si>
  <si>
    <t xml:space="preserve">Ras-related protein ced-10 </t>
  </si>
  <si>
    <t xml:space="preserve">Rap Guanine nucleotide Exchange Factor homolog </t>
  </si>
  <si>
    <t>GO:0005509 (calcium ion binding); GO:0035556 (intracellular signal transduction); GO:0005085 (guanyl-nucleotide exchange factor activity); GO:0007264 (small GTPase mediated signal transduction); GO:0050790 (regulation of catalytic activity); GO:0006935 (chemotaxis); GO:0005737 (cytoplasm); GO:0046579 (positive regulation of Ras protein signal transduction); GO:0043231 (intracellular membrane-bounded organelle)</t>
  </si>
  <si>
    <t xml:space="preserve">Ran GTPase-activating protein 2 </t>
  </si>
  <si>
    <t>GO:0005634 (nucleus); GO:0005096 (GTPase activator activity); GO:0043547 (positive regulation of GTPase activity); GO:0007049 (cell cycle); GO:0051301 (cell division); GO:0009792 (embryo development ending in birth or egg hatching); GO:0005515 (protein binding)</t>
  </si>
  <si>
    <t>GO:0016020 (membrane); GO:0016021 (integral component of membrane); GO:0090502 (RNA phosphodiester bond hydrolysis, endonucleolytic); GO:0004521 (endoribonuclease activity); GO:0090305 (nucleic acid phosphodiester bond hydrolysis)</t>
  </si>
  <si>
    <t xml:space="preserve">SMG-7; Suppressor with Morphological effect on Genitalia </t>
  </si>
  <si>
    <t>GO:0005515 (protein binding); GO:0042162 (telomeric DNA binding); GO:0000184 (nuclear-transcribed mRNA catabolic process, nonsense-mediated decay); GO:0005697 (telomerase holoenzyme complex); GO:0070034 (telomerase RNA binding); GO:0005634 (nucleus); GO:0005737 (cytoplasm)</t>
  </si>
  <si>
    <t>GO:0005730 (nucleolus); GO:0001099 (basal RNA polymerase II transcription machinery binding); GO:0097484 (dendrite extension)</t>
  </si>
  <si>
    <t xml:space="preserve">Protein-S-isoprenylcysteine O-methyltransferase </t>
  </si>
  <si>
    <t>GO:0016020 (membrane); GO:0016021 (integral component of membrane); GO:0008168 (methyltransferase activity); GO:0032259 (methylation); GO:0016740 (transferase activity); GO:0005783 (endoplasmic reticulum); GO:0005789 (endoplasmic reticulum membrane); GO:0006481 (C-terminal protein methylation); GO:0004671 (protein C-terminal S-isoprenylcysteine carboxyl O-methyltransferase activity)</t>
  </si>
  <si>
    <t xml:space="preserve">40S ribosomal protein S6 </t>
  </si>
  <si>
    <t>GO:0003735 (structural constituent of ribosome); GO:0005840 (ribosome); GO:0006412 (translation); GO:0008340 (determination of adult lifespan)</t>
  </si>
  <si>
    <t xml:space="preserve">Germline survival defective-1 </t>
  </si>
  <si>
    <t>GO:0007165 (signal transduction); GO:0043547 (positive regulation of GTPase activity); GO:0030695 (GTPase regulator activity)</t>
  </si>
  <si>
    <t xml:space="preserve">60S ribosomal protein L3 </t>
  </si>
  <si>
    <t>GO:0005737 (cytoplasm); GO:0003723 (RNA binding); GO:0003735 (structural constituent of ribosome); GO:0005840 (ribosome); GO:0006412 (translation); GO:0000027 (ribosomal large subunit assembly); GO:0022625 (cytosolic large ribosomal subunit)</t>
  </si>
  <si>
    <t xml:space="preserve">40S ribosomal protein S9 </t>
  </si>
  <si>
    <t>GO:0003723 (RNA binding); GO:0003735 (structural constituent of ribosome); GO:0005840 (ribosome); GO:0006412 (translation); GO:0022627 (cytosolic small ribosomal subunit); GO:0015935 (small ribosomal subunit); GO:0019843 (rRNA binding); GO:0045903 (positive regulation of translational fidelity)</t>
  </si>
  <si>
    <t>GO:0005634 (nucleus); GO:0005730 (nucleolus); GO:0042254 (ribosome biogenesis); GO:0032040 (small-subunit processome); GO:0030515 (snoRNA binding); GO:0031428 (box C/D snoRNP complex)</t>
  </si>
  <si>
    <t>GO:0005515 (protein binding); GO:0030170 (pyridoxal phosphate binding)</t>
  </si>
  <si>
    <t>GO:0005768 (endosome); GO:0005764 (lysosome); GO:0006914 (autophagy); GO:0007040 (lysosome organization)</t>
  </si>
  <si>
    <t xml:space="preserve">MIF-like protein mif-3 </t>
  </si>
  <si>
    <t xml:space="preserve">IWS1-like protein </t>
  </si>
  <si>
    <t xml:space="preserve">RNA polymerase-associated protein RTF1 homolog </t>
  </si>
  <si>
    <t>GO:0003677 (DNA binding); GO:0005634 (nucleus); GO:0016593 (Cdc73/Paf1 complex); GO:1990269 (RNA polymerase II C-terminal domain phosphoserine binding)</t>
  </si>
  <si>
    <t xml:space="preserve">Probable 39S ribosomal protein L49, mitochondrial </t>
  </si>
  <si>
    <t xml:space="preserve">Lysophospholipid acyltransferase 5 </t>
  </si>
  <si>
    <t xml:space="preserve">Putative low density lipoprotein receptor associated protein (37.4 kD) </t>
  </si>
  <si>
    <t>GO:0005783 (endoplasmic reticulum); GO:0012505 (endomembrane system); GO:0008201 (heparin binding); GO:0048019 (receptor antagonist activity); GO:0050750 (low-density lipoprotein particle receptor binding); GO:2000272 (negative regulation of signaling receptor activity); GO:0048259 (regulation of receptor-mediated endocytosis)</t>
  </si>
  <si>
    <t xml:space="preserve">Cysteinyl Amino-acyl tRNA Synthetase </t>
  </si>
  <si>
    <t>GO:0005524 (ATP binding); GO:0005737 (cytoplasm); GO:0000166 (nucleotide binding); GO:0004812 (aminoacyl-tRNA ligase activity); GO:0004817 (cysteine-tRNA ligase activity); GO:0006418 (tRNA aminoacylation for protein translation); GO:0006423 (cysteinyl-tRNA aminoacylation); GO:0046872 (metal ion binding); GO:0016874 (ligase activity); GO:0006412 (translation)</t>
  </si>
  <si>
    <t xml:space="preserve">40S ribosomal protein S3 </t>
  </si>
  <si>
    <t>GO:0005634 (nucleus); GO:0003723 (RNA binding); GO:0003735 (structural constituent of ribosome); GO:0005840 (ribosome); GO:0006412 (translation); GO:0022627 (cytosolic small ribosomal subunit); GO:0015935 (small ribosomal subunit); GO:2001235 (positive regulation of apoptotic signaling pathway)</t>
  </si>
  <si>
    <t xml:space="preserve">ATP synthase subunit alpha, mitochondrial </t>
  </si>
  <si>
    <t>GO:0032559 (adenyl ribonucleotide binding); GO:0046034 (ATP metabolic process); GO:1902600 (proton transmembrane transport); GO:0045261 (proton-transporting ATP synthase complex, catalytic core F(1)); GO:0015986 (ATP synthesis coupled proton transport); GO:0046933 (proton-transporting ATP synthase activity, rotational mechanism); GO:0005524 (ATP binding)</t>
  </si>
  <si>
    <t xml:space="preserve">Axin-like protein pry-1 </t>
  </si>
  <si>
    <t xml:space="preserve">40S ribosomal protein SA </t>
  </si>
  <si>
    <t>GO:0005737 (cytoplasm); GO:0006412 (translation); GO:0003735 (structural constituent of ribosome); GO:0005840 (ribosome); GO:0005515 (protein binding); GO:0022627 (cytosolic small ribosomal subunit); GO:0002181 (cytoplasmic translation); GO:0015935 (small ribosomal subunit); GO:0000028 (ribosomal small subunit assembly)</t>
  </si>
  <si>
    <t xml:space="preserve">Histidine triad nucleotide-binding protein 1 </t>
  </si>
  <si>
    <t>GO:0005634 (nucleus); GO:0046540 (U4/U6 x U5 tri-snRNP complex); GO:0005681 (spliceosomal complex); GO:0006397 (mRNA processing); GO:0008380 (RNA splicing); GO:0005682 (U5 snRNP); GO:0000350 (generation of catalytic spliceosome for second transesterification step); GO:0071021 (U2-type post-spliceosomal complex); GO:0071048 (nuclear retention of unspliced pre-mRNA at the site of transcription); GO:0016607 (nuclear speck)</t>
  </si>
  <si>
    <t xml:space="preserve">Casein kinase II subunit alpha </t>
  </si>
  <si>
    <t>GO:0016787 (hydrolase activity); GO:0005739 (mitochondrion); GO:0006635 (fatty acid beta-oxidation); GO:0051793 (medium-chain fatty acid catabolic process); GO:0070991 (medium-chain-acyl-CoA dehydrogenase activity)</t>
  </si>
  <si>
    <t xml:space="preserve">Probable 26S proteasome regulatory subunit rpn-6.1 </t>
  </si>
  <si>
    <t xml:space="preserve">Cullin-associated NEDD8-dissociated protein 1 </t>
  </si>
  <si>
    <t>GO:0010265 (SCF complex assembly)</t>
  </si>
  <si>
    <t>GO:0003824 (catalytic activity); GO:0030170 (pyridoxal phosphate binding); GO:0030151 (molybdenum ion binding); GO:0005634 (nucleus); GO:0005737 (cytoplasm); GO:0060625 (regulation of protein deneddylation)</t>
  </si>
  <si>
    <t>GO:0016787 (hydrolase activity); GO:0030145 (manganese ion binding); GO:0046872 (metal ion binding); GO:0006508 (proteolysis); GO:0070006 (metalloaminopeptidase activity); GO:0008233 (peptidase activity)</t>
  </si>
  <si>
    <t>GO:0006364 (rRNA processing); GO:0032040 (small-subunit processome); GO:0034511 (U3 snoRNA binding); GO:0030515 (snoRNA binding); GO:0005515 (protein binding)</t>
  </si>
  <si>
    <t xml:space="preserve">Probable U6 snRNA-associated Sm-like protein LSm4 </t>
  </si>
  <si>
    <t>GO:0000956 (nuclear-transcribed mRNA catabolic process); GO:0000398 (mRNA splicing, via spliceosome); GO:0006396 (RNA processing)</t>
  </si>
  <si>
    <t>GO:0016020 (membrane); GO:0016021 (integral component of membrane); GO:0004930 (G protein-coupled receptor activity); GO:0007186 (G protein-coupled receptor signaling pathway); GO:0005887 (integral component of plasma membrane)</t>
  </si>
  <si>
    <t xml:space="preserve">Human/fission yeast MIS (MInichromosome Stability) homolog </t>
  </si>
  <si>
    <t>GO:0000776 (kinetochore); GO:0051382 (kinetochore assembly); GO:0000777 (condensed chromosome kinetochore)</t>
  </si>
  <si>
    <t xml:space="preserve">Polyadenylate-binding protein </t>
  </si>
  <si>
    <t>GO:0005634 (nucleus); GO:0003723 (RNA binding); GO:0005737 (cytoplasm); GO:0003676 (nucleic acid binding); GO:0005829 (cytosol); GO:0003730 (mRNA 3'-UTR binding); GO:1990904 (ribonucleoprotein complex); GO:0008143 (poly(A) binding); GO:0008266 (poly(U) RNA binding); GO:0010494 (cytoplasmic stress granule); GO:0005844 (polysome)</t>
  </si>
  <si>
    <t xml:space="preserve">Nuclear hormone receptor family member nhr-16 </t>
  </si>
  <si>
    <t xml:space="preserve">Cell death-related nuclease 2; Cell-death-Related Nuclease </t>
  </si>
  <si>
    <t>GO:0005829 (cytosol); GO:0016788 (hydrolase activity, acting on ester bonds); GO:0016888 (endodeoxyribonuclease activity, producing 5'-phosphomonoesters); GO:0008310 (single-stranded DNA 3'-5' exodeoxyribonuclease activity); GO:0045087 (innate immune response); GO:0006309 (apoptotic DNA fragmentation); GO:0043277 (apoptotic cell clearance); GO:0004536 (deoxyribonuclease activity)</t>
  </si>
  <si>
    <t xml:space="preserve">40S ribosomal protein S2 </t>
  </si>
  <si>
    <t>GO:0003723 (RNA binding); GO:0003735 (structural constituent of ribosome); GO:0005840 (ribosome); GO:0006412 (translation); GO:0022627 (cytosolic small ribosomal subunit); GO:0015935 (small ribosomal subunit)</t>
  </si>
  <si>
    <t xml:space="preserve">TM2 domain-containing protein C41D11.9 </t>
  </si>
  <si>
    <t xml:space="preserve">SynTrophiN </t>
  </si>
  <si>
    <t>GO:0005198 (structural molecule activity); GO:0005515 (protein binding); GO:0016020 (membrane); GO:0005856 (cytoskeleton); GO:0016010 (dystrophin-associated glycoprotein complex); GO:0005886 (plasma membrane); GO:0005737 (cytoplasm); GO:0044297 (cell body); GO:0043005 (neuron projection); GO:0050839 (cell adhesion molecule binding); GO:0030017 (sarcomere)</t>
  </si>
  <si>
    <t xml:space="preserve">Heat Shock factor Binding protein </t>
  </si>
  <si>
    <t>GO:0005634 (nucleus); GO:0005829 (cytosol); GO:0005515 (protein binding); GO:0003714 (transcription corepressor activity); GO:0070370 (cellular heat acclimation); GO:0045892 (negative regulation of transcription, DNA-templated)</t>
  </si>
  <si>
    <t xml:space="preserve">Structural maintenance of chromosomes protein 4 </t>
  </si>
  <si>
    <t>GO:0005524 (ATP binding); GO:0005634 (nucleus); GO:0000166 (nucleotide binding); GO:0005694 (chromosome); GO:0016887 (ATPase activity); GO:0007049 (cell cycle); GO:0005515 (protein binding); GO:0051301 (cell division); GO:0051276 (chromosome organization); GO:0051321 (meiotic cell cycle); GO:0007076 (mitotic chromosome condensation); GO:0030261 (chromosome condensation); GO:0000793 (condensed chromosome); GO:0000070 (mitotic sister chromatid segregation); GO:0000775 (chromosome, centromeric region); GO:0110039 (positive regulation of nematode male tail tip morphogenesis)</t>
  </si>
  <si>
    <t xml:space="preserve">Probable 28S ribosomal protein S10, mitochondrial </t>
  </si>
  <si>
    <t>GO:0005739 (mitochondrion); GO:0005840 (ribosome); GO:0005763 (mitochondrial small ribosomal subunit)</t>
  </si>
  <si>
    <t xml:space="preserve">PELI1 and PELI2 related </t>
  </si>
  <si>
    <t>GO:0000209 (protein polyubiquitination); GO:0061630 (ubiquitin protein ligase activity); GO:0008063 (Toll signaling pathway); GO:0008592 (regulation of Toll signaling pathway)</t>
  </si>
  <si>
    <t xml:space="preserve">60S ribosomal protein L15 </t>
  </si>
  <si>
    <t>GO:0003723 (RNA binding); GO:0003735 (structural constituent of ribosome); GO:0005840 (ribosome); GO:0006412 (translation); GO:0022625 (cytosolic large ribosomal subunit); GO:0002181 (cytoplasmic translation)</t>
  </si>
  <si>
    <t>GO:0005739 (mitochondrion); GO:0042407 (cristae formation); GO:0061617 (MICOS complex)</t>
  </si>
  <si>
    <t xml:space="preserve">Vacuolar protein sorting-associated protein 53 homolog </t>
  </si>
  <si>
    <t>GO:0016020 (membrane); GO:0005737 (cytoplasm); GO:0005794 (Golgi apparatus); GO:0005515 (protein binding); GO:0005768 (endosome); GO:0005829 (cytosol); GO:0042147 (retrograde transport, endosome to Golgi); GO:0043204 (perikaryon); GO:0060378 (regulation of brood size); GO:0000938 (GARP complex); GO:0090326 (positive regulation of locomotion involved in locomotory behavior); GO:1904810 (negative regulation of dense core granule transport); GO:1904811 (positive regulation of dense core granule transport); GO:0010008 (endosome membrane); GO:0048471 (perinuclear region of cytoplasm)</t>
  </si>
  <si>
    <t>GO:0032040 (small-subunit processome); GO:0030490 (maturation of SSU-rRNA); GO:0030515 (snoRNA binding); GO:0034388 (Pwp2p-containing subcomplex of 90S preribosome); GO:0005515 (protein binding)</t>
  </si>
  <si>
    <t xml:space="preserve">Nuclear speckle splicing regulatory protein 1 homolog </t>
  </si>
  <si>
    <t xml:space="preserve">Puromycin-sensitive aminopeptidase </t>
  </si>
  <si>
    <t xml:space="preserve">Mitoferrin </t>
  </si>
  <si>
    <t>GO:0016020 (membrane); GO:0016021 (integral component of membrane); GO:0016491 (oxidoreductase activity); GO:0005615 (extracellular space); GO:0030173 (integral component of Golgi membrane); GO:0003756 (protein disulfide isomerase activity); GO:0016971 (flavin-linked sulfhydryl oxidase activity); GO:0016972 (thiol oxidase activity); GO:0006457 (protein folding); GO:0055114 (oxidation-reduction process); GO:0018215 (protein phosphopantetheinylation)</t>
  </si>
  <si>
    <t>GO:0070301 (cellular response to hydrogen peroxide)</t>
  </si>
  <si>
    <t>GO:0005634 (nucleus); GO:0008270 (zinc ion binding); GO:0042393 (histone binding); GO:0006974 (cellular response to DNA damage stimulus); GO:0010835 (regulation of protein ADP-ribosylation); GO:0018312 (peptidyl-serine ADP-ribosylation); GO:0072572 (poly-ADP-D-ribose binding)</t>
  </si>
  <si>
    <t xml:space="preserve">60S ribosomal protein L18a </t>
  </si>
  <si>
    <t xml:space="preserve">Putative 1-acyl-sn-glycerol-3-phosphate acyltransferase acl-2 </t>
  </si>
  <si>
    <t>GO:0016020 (membrane); GO:0016021 (integral component of membrane); GO:0005524 (ATP binding); GO:0006811 (ion transport); GO:0000166 (nucleotide binding); GO:0046872 (metal ion binding); GO:0016887 (ATPase activity); GO:0006813 (potassium ion transport); GO:1990573 (potassium ion import across plasma membrane); GO:0005391 (sodium:potassium-exchanging ATPase activity); GO:0006883 (cellular sodium ion homeostasis); GO:0010248 (establishment or maintenance of transmembrane electrochemical gradient); GO:0030007 (cellular potassium ion homeostasis); GO:0036376 (sodium ion export across plasma membrane); GO:0008556 (potassium transmembrane transporter activity, phosphorylative mechanism); GO:1902600 (proton transmembrane transport)</t>
  </si>
  <si>
    <t xml:space="preserve">Spindle apparatus protein lin-5 </t>
  </si>
  <si>
    <t xml:space="preserve">Yeast RBX (Ring finger protein) homolog </t>
  </si>
  <si>
    <t>GO:0005634 (nucleus); GO:0016567 (protein ubiquitination); GO:0046872 (metal ion binding); GO:0006511 (ubiquitin-dependent protein catabolic process); GO:0061630 (ubiquitin protein ligase activity); GO:0008270 (zinc ion binding); GO:0097602 (cullin family protein binding); GO:0031461 (cullin-RING ubiquitin ligase complex); GO:0031466 (Cul5-RING ubiquitin ligase complex)</t>
  </si>
  <si>
    <t xml:space="preserve">Biogenesis of lysosome-related organelles complex 1 subunit 2 </t>
  </si>
  <si>
    <t xml:space="preserve">Putative sphingolipid delta(4)-desaturase </t>
  </si>
  <si>
    <t>GO:0016020 (membrane); GO:0016021 (integral component of membrane); GO:0016491 (oxidoreductase activity); GO:0006629 (lipid metabolic process); GO:0006665 (sphingolipid metabolic process); GO:0030148 (sphingolipid biosynthetic process); GO:0042284 (sphingolipid delta-4 desaturase activity); GO:0046513 (ceramide biosynthetic process)</t>
  </si>
  <si>
    <t xml:space="preserve">Beta-1,3-galactosyltransferase bre-5 </t>
  </si>
  <si>
    <t>GO:0006486 (protein glycosylation); GO:0016020 (membrane); GO:0016021 (integral component of membrane); GO:0016740 (transferase activity); GO:0000139 (Golgi membrane); GO:0005794 (Golgi apparatus); GO:0016757 (transferase activity, transferring glycosyl groups); GO:0016758 (transferase activity, transferring hexosyl groups); GO:0009636 (response to toxic substance); GO:0016051 (carbohydrate biosynthetic process); GO:0045747 (positive regulation of Notch signaling pathway)</t>
  </si>
  <si>
    <t xml:space="preserve">Ubiquinone biosynthesis monooxygenase COQ6, mitochondrial </t>
  </si>
  <si>
    <t>GO:0016709 (oxidoreductase activity, acting on paired donors, with incorporation or reduction of molecular oxygen, NAD(P)H as one donor, and incorporation of one atom of oxygen); GO:0006744 (ubiquinone biosynthetic process); GO:0071949 (FAD binding); GO:0004497 (monooxygenase activity); GO:0055114 (oxidation-reduction process); GO:0050660 (flavin adenine dinucleotide binding)</t>
  </si>
  <si>
    <t xml:space="preserve">DIS3-like exonuclease 2 </t>
  </si>
  <si>
    <t>GO:0034427 (nuclear-transcribed mRNA catabolic process, exonucleolytic, 3'-5'); GO:0000175 (3'-5'-exoribonuclease activity); GO:0004540 (ribonuclease activity); GO:0003723 (RNA binding)</t>
  </si>
  <si>
    <t>GO:0016021 (integral component of membrane); GO:0005886 (plasma membrane); GO:0004888 (transmembrane signaling receptor activity); GO:0018992 (germ-line sex determination)</t>
  </si>
  <si>
    <t xml:space="preserve">Polypeptide N-acetylgalactosaminyltransferase 3 </t>
  </si>
  <si>
    <t xml:space="preserve">COP9 signalosome complex subunit 6 </t>
  </si>
  <si>
    <t>GO:0070122 (isopeptidase activity); GO:0008237 (metallopeptidase activity); GO:0005515 (protein binding); GO:0006508 (proteolysis)</t>
  </si>
  <si>
    <t xml:space="preserve">Protein disulfide-isomerase 1 </t>
  </si>
  <si>
    <t xml:space="preserve">Ubiquitin-like protein 5 </t>
  </si>
  <si>
    <t>GO:0005634 (nucleus); GO:0005737 (cytoplasm); GO:0000398 (mRNA splicing, via spliceosome); GO:0010628 (positive regulation of gene expression); GO:0006464 (cellular protein modification process); GO:0031386 (protein tag); GO:0005829 (cytosol); GO:0005667 (transcription regulator complex); GO:0034514 (mitochondrial unfolded protein response); GO:0005515 (protein binding)</t>
  </si>
  <si>
    <t>GO:0005524 (ATP binding); GO:0005737 (cytoplasm); GO:0005886 (plasma membrane); GO:0000166 (nucleotide binding); GO:0003774 (motor activity); GO:0007015 (actin filament organization); GO:0051015 (actin filament binding); GO:0003779 (actin binding); GO:0006897 (endocytosis); GO:0031982 (vesicle); GO:0016459 (myosin complex); GO:0015629 (actin cytoskeleton); GO:0030139 (endocytic vesicle); GO:0000146 (microfilament motor activity); GO:0030898 (actin-dependent ATPase activity); GO:0030050 (vesicle transport along actin filament); GO:0005902 (microvillus); GO:0005515 (protein binding)</t>
  </si>
  <si>
    <t xml:space="preserve">N-Acyl Phosphatidyl Ethanolamine specific phospholipase D (NAPE-PLD) homolog </t>
  </si>
  <si>
    <t>GO:0005737 (cytoplasm); GO:0008270 (zinc ion binding); GO:0043227 (membrane-bounded organelle); GO:0070290 (N-acylphosphatidylethanolamine-specific phospholipase D activity); GO:0070291 (N-acylethanolamine metabolic process); GO:0070292 (N-acylphosphatidylethanolamine metabolic process); GO:0043025 (neuronal cell body); GO:0102200 (N-acetylphosphatidylethanolamine-hydrolysing phospholipase activity); GO:0009395 (phospholipid catabolic process)</t>
  </si>
  <si>
    <t xml:space="preserve">MiTochondrial Carrier Homolog </t>
  </si>
  <si>
    <t xml:space="preserve">Actin-like protein C08B11.6 </t>
  </si>
  <si>
    <t>GO:0006338 (chromatin remodeling); GO:0005634 (nucleus)</t>
  </si>
  <si>
    <t xml:space="preserve">U6 snRNA-associated Sm-like protein LSm5 </t>
  </si>
  <si>
    <t>GO:0005634 (nucleus); GO:0000398 (mRNA splicing, via spliceosome); GO:0003723 (RNA binding); GO:0005688 (U6 snRNP); GO:0046540 (U4/U6 x U5 tri-snRNP complex); GO:1990726 (Lsm1-7-Pat1 complex); GO:0005515 (protein binding); GO:0006397 (mRNA processing); GO:0008380 (RNA splicing); GO:0005681 (spliceosomal complex)</t>
  </si>
  <si>
    <t xml:space="preserve">Seryl Amino-acyl tRNA Synthetase </t>
  </si>
  <si>
    <t>GO:0005524 (ATP binding); GO:0000166 (nucleotide binding); GO:0004812 (aminoacyl-tRNA ligase activity); GO:0006418 (tRNA aminoacylation for protein translation); GO:0016874 (ligase activity); GO:0005739 (mitochondrion); GO:0000049 (tRNA binding); GO:0004828 (serine-tRNA ligase activity); GO:0006434 (seryl-tRNA aminoacylation); GO:0070158 (mitochondrial seryl-tRNA aminoacylation)</t>
  </si>
  <si>
    <t xml:space="preserve">MaX-Like </t>
  </si>
  <si>
    <t>GO:0005634 (nucleus); GO:0046983 (protein dimerization activity); GO:0005515 (protein binding); GO:0000978 (RNA polymerase II cis-regulatory region sequence-specific DNA binding); GO:0000981 (DNA-binding transcription factor activity, RNA polymerase II-specific); GO:0006357 (regulation of transcription by RNA polymerase II); GO:0005737 (cytoplasm); GO:0008340 (determination of adult lifespan); GO:0010629 (negative regulation of gene expression)</t>
  </si>
  <si>
    <t xml:space="preserve">Heat Shock Protein; Heat shock protein 12.6 </t>
  </si>
  <si>
    <t>GO:0005737 (cytoplasm); GO:0042802 (identical protein binding)</t>
  </si>
  <si>
    <t xml:space="preserve">Splicing factor 3B subunit 4 </t>
  </si>
  <si>
    <t>GO:0005634 (nucleus); GO:0003723 (RNA binding); GO:0003676 (nucleic acid binding); GO:1990904 (ribonucleoprotein complex); GO:0005515 (protein binding); GO:0006397 (mRNA processing); GO:0008380 (RNA splicing); GO:0005686 (U2 snRNP); GO:0005681 (spliceosomal complex)</t>
  </si>
  <si>
    <t xml:space="preserve">Nuclear hormone receptor family member nhr-4 </t>
  </si>
  <si>
    <t>GO:0003779 (actin binding); GO:0051015 (actin filament binding); GO:0007015 (actin filament organization); GO:0015629 (actin cytoskeleton); GO:0031941 (filamentous actin); GO:0034198 (cellular response to amino acid starvation); GO:1904262 (negative regulation of TORC1 signaling); GO:0030027 (lamellipodium)</t>
  </si>
  <si>
    <t xml:space="preserve">Probable peroxiredoxin prdx-3 </t>
  </si>
  <si>
    <t>GO:0005737 (cytoplasm); GO:0005739 (mitochondrion); GO:0016491 (oxidoreductase activity); GO:0016209 (antioxidant activity); GO:0051920 (peroxiredoxin activity); GO:0098869 (cellular oxidant detoxification); GO:0004601 (peroxidase activity); GO:0034599 (cellular response to oxidative stress); GO:0045454 (cell redox homeostasis); GO:0008379 (thioredoxin peroxidase activity); GO:0055114 (oxidation-reduction process)</t>
  </si>
  <si>
    <t xml:space="preserve">Probable 39S ribosomal protein L19, mitochondrial </t>
  </si>
  <si>
    <t>GO:0003676 (nucleic acid binding); GO:0003723 (RNA binding); GO:0005634 (nucleus); GO:0000381 (regulation of alternative mRNA splicing, via spliceosome); GO:0003677 (DNA binding); GO:0006376 (mRNA splice site selection); GO:0006397 (mRNA processing); GO:0008380 (RNA splicing); GO:0000380 (alternative mRNA splicing, via spliceosome)</t>
  </si>
  <si>
    <t xml:space="preserve">Trafficking protein particle complex subunit 5 </t>
  </si>
  <si>
    <t>GO:0005794 (Golgi apparatus); GO:0016192 (vesicle-mediated transport); GO:0006888 (endoplasmic reticulum to Golgi vesicle-mediated transport); GO:0005515 (protein binding); GO:0005783 (endoplasmic reticulum); GO:0030008 (TRAPP complex); GO:1990071 (TRAPPII protein complex); GO:1990072 (TRAPPIII protein complex); GO:0048193 (Golgi vesicle transport); GO:1990070 (TRAPPI protein complex); GO:0005886 (plasma membrane)</t>
  </si>
  <si>
    <t xml:space="preserve">Non-specific lipid-transfer protein-like 1 </t>
  </si>
  <si>
    <t xml:space="preserve">Heat shock 70 kDa protein A </t>
  </si>
  <si>
    <t xml:space="preserve">60S ribosomal protein L7 </t>
  </si>
  <si>
    <t>GO:0003723 (RNA binding); GO:0003735 (structural constituent of ribosome); GO:0005840 (ribosome); GO:0022625 (cytosolic large ribosomal subunit); GO:0000463 (maturation of LSU-rRNA from tricistronic rRNA transcript (SSU-rRNA, 5.8S rRNA, LSU-rRNA))</t>
  </si>
  <si>
    <t xml:space="preserve">Calcium homeostasis modulator protein </t>
  </si>
  <si>
    <t xml:space="preserve">MTK1/MEKK4 homolog </t>
  </si>
  <si>
    <t xml:space="preserve">UPF0375 protein Y45F10C.4 </t>
  </si>
  <si>
    <t xml:space="preserve">Probable exosome complex exonuclease RRP44 </t>
  </si>
  <si>
    <t>GO:0016787 (hydrolase activity); GO:0003723 (RNA binding); GO:0005634 (nucleus); GO:0005737 (cytoplasm); GO:0090305 (nucleic acid phosphodiester bond hydrolysis); GO:0005730 (nucleolus); GO:0006364 (rRNA processing); GO:0090501 (RNA phosphodiester bond hydrolysis); GO:0004518 (nuclease activity); GO:0004527 (exonuclease activity); GO:0004540 (ribonuclease activity); GO:0000176 (nuclear exosome (RNase complex)); GO:0000177 (cytoplasmic exosome (RNase complex)); GO:0016075 (rRNA catabolic process); GO:0000175 (3'-5'-exoribonuclease activity); GO:0090503 (RNA phosphodiester bond hydrolysis, exonucleolytic); GO:0000178 (exosome (RNase complex)); GO:0004519 (endonuclease activity)</t>
  </si>
  <si>
    <t xml:space="preserve">40S ribosomal protein S5 </t>
  </si>
  <si>
    <t>GO:0003723 (RNA binding); GO:0003729 (mRNA binding); GO:0003735 (structural constituent of ribosome); GO:0005840 (ribosome); GO:0006412 (translation); GO:0022627 (cytosolic small ribosomal subunit); GO:0015935 (small ribosomal subunit); GO:0019843 (rRNA binding); GO:0000028 (ribosomal small subunit assembly)</t>
  </si>
  <si>
    <t>GO:0045892 (negative regulation of transcription, DNA-templated); GO:0043565 (sequence-specific DNA binding); GO:0003700 (DNA-binding transcription factor activity); GO:0002119 (nematode larval development)</t>
  </si>
  <si>
    <t>GO:0006406 (mRNA export from nucleus); GO:0000445 (THO complex part of transcription export complex); GO:0000347 (THO complex); GO:0005515 (protein binding)</t>
  </si>
  <si>
    <t xml:space="preserve">PQBP1 (Polyglutamine tract-binding neurodegeneration protein) homolog </t>
  </si>
  <si>
    <t>GO:0005737 (cytoplasm); GO:0002376 (immune system process); GO:0045087 (innate immune response); GO:0006397 (mRNA processing); GO:0008380 (RNA splicing); GO:0043021 (ribonucleoprotein complex binding); GO:0016604 (nuclear body); GO:0016607 (nuclear speck); GO:0006641 (triglyceride metabolic process); GO:0043484 (regulation of RNA splicing); GO:0005515 (protein binding)</t>
  </si>
  <si>
    <t>GO:0016607 (nuclear speck); GO:0003729 (mRNA binding); GO:0004865 (protein serine/threonine phosphatase inhibitor activity); GO:0035308 (negative regulation of protein dephosphorylation); GO:0032515 (negative regulation of phosphoprotein phosphatase activity); GO:0005515 (protein binding)</t>
  </si>
  <si>
    <t xml:space="preserve">Protection of telomeres homolog 1 </t>
  </si>
  <si>
    <t xml:space="preserve">Putative lipoyltransferase 2, mitochondrial </t>
  </si>
  <si>
    <t>GO:0016740 (transferase activity); GO:0016746 (transferase activity, transferring acyl groups); GO:0005739 (mitochondrion); GO:0005762 (mitochondrial large ribosomal subunit); GO:0006464 (cellular protein modification process); GO:0009249 (protein lipoylation); GO:0016415 (octanoyltransferase activity); GO:0033819 (lipoyl(octanoyl) transferase activity); GO:0102555 (octanoyl transferase activity (acting on glycine-cleavage complex H protein)); GO:0018215 (protein phosphopantetheinylation)</t>
  </si>
  <si>
    <t>GO:0005737 (cytoplasm); GO:0042594 (response to starvation); GO:0005515 (protein binding)</t>
  </si>
  <si>
    <t>GO:0016020 (membrane); GO:0016021 (integral component of membrane); GO:0005524 (ATP binding); GO:0000166 (nucleotide binding); GO:0005886 (plasma membrane); GO:0000287 (magnesium ion binding); GO:0016887 (ATPase activity); GO:0007030 (Golgi organization); GO:0005802 (trans-Golgi network); GO:0015914 (phospholipid transport); GO:0045332 (phospholipid translocation); GO:0016125 (sterol metabolic process); GO:0140326 (ATPase-coupled intramembrane lipid transporter activity)</t>
  </si>
  <si>
    <t xml:space="preserve">F-box/WD repeat-containing protein mec-15 </t>
  </si>
  <si>
    <t>GO:0030433 (ubiquitin-dependent ERAD pathway); GO:0005515 (protein binding)</t>
  </si>
  <si>
    <t xml:space="preserve">BROther (Drosophila tx factor partner) homolog </t>
  </si>
  <si>
    <t>GO:0005634 (nucleus); GO:0043565 (sequence-specific DNA binding); GO:0003713 (transcription coactivator activity); GO:0006357 (regulation of transcription by RNA polymerase II); GO:0016513 (core-binding factor complex); GO:0045138 (nematode male tail tip morphogenesis); GO:0019827 (stem cell population maintenance); GO:0045893 (positive regulation of transcription, DNA-templated)</t>
  </si>
  <si>
    <t xml:space="preserve">Eukaryotic translation initiation factor 3 subunit L </t>
  </si>
  <si>
    <t>GO:0005852 (eukaryotic translation initiation factor 3 complex); GO:0003743 (translation initiation factor activity); GO:0005737 (cytoplasm); GO:0006412 (translation); GO:0006413 (translational initiation); GO:0001732 (formation of cytoplasmic translation initiation complex); GO:0002183 (cytoplasmic translational initiation); GO:0016282 (eukaryotic 43S preinitiation complex); GO:0033290 (eukaryotic 48S preinitiation complex)</t>
  </si>
  <si>
    <t xml:space="preserve">ATP-dependent DNA helicase PIF1 </t>
  </si>
  <si>
    <t>GO:0016787 (hydrolase activity); GO:0004386 (helicase activity); GO:0005634 (nucleus); GO:0000166 (nucleotide binding); GO:0005524 (ATP binding); GO:0003677 (DNA binding); GO:0006281 (DNA repair); GO:0005739 (mitochondrion); GO:0006974 (cellular response to DNA damage stimulus); GO:0000723 (telomere maintenance); GO:0000002 (mitochondrial genome maintenance); GO:0006310 (DNA recombination); GO:0003678 (DNA helicase activity); GO:0005657 (replication fork); GO:0006260 (DNA replication); GO:0032508 (DNA duplex unwinding); GO:0043139 (5'-3' DNA helicase activity); GO:0016887 (ATPase activity)</t>
  </si>
  <si>
    <t>GO:0005525 (GTP binding); GO:0016787 (hydrolase activity); GO:0000166 (nucleotide binding); GO:0003924 (GTPase activity); GO:0003743 (translation initiation factor activity); GO:0006413 (translational initiation); GO:0005829 (cytosol); GO:0000049 (tRNA binding); GO:0001731 (formation of translation preinitiation complex); GO:0045903 (positive regulation of translational fidelity); GO:0005850 (eukaryotic translation initiation factor 2 complex)</t>
  </si>
  <si>
    <t>GO:0016787 (hydrolase activity); GO:0046872 (metal ion binding); GO:0004416 (hydroxyacylglutathione hydrolase activity); GO:0019243 (methylglyoxal catabolic process to D-lactate via S-lactoyl-glutathione)</t>
  </si>
  <si>
    <t>GO:0005634 (nucleus); GO:0005737 (cytoplasm); GO:0016301 (kinase activity); GO:0016310 (phosphorylation); GO:0016740 (transferase activity); GO:0032958 (inositol phosphate biosynthetic process); GO:0008440 (inositol-1,4,5-trisphosphate 3-kinase activity); GO:0051765 (inositol tetrakisphosphate kinase activity)</t>
  </si>
  <si>
    <t xml:space="preserve">3'-5' exonuclease eri-1 </t>
  </si>
  <si>
    <t>GO:0003676 (nucleic acid binding); GO:0090305 (nucleic acid phosphodiester bond hydrolysis); GO:0004527 (exonuclease activity)</t>
  </si>
  <si>
    <t xml:space="preserve">Vacuolar-sorting protein SNF8 </t>
  </si>
  <si>
    <t>GO:0015031 (protein transport); GO:0000814 (ESCRT II complex); GO:0043328 (protein transport to vacuole involved in ubiquitin-dependent protein catabolic process via the multivesicular body sorting pathway); GO:0071985 (multivesicular body sorting pathway)</t>
  </si>
  <si>
    <t xml:space="preserve">Probable cytosolic Fe-S cluster assembly factor oxy-4 </t>
  </si>
  <si>
    <t>GO:0005634 (nucleus); GO:0005730 (nucleolus); GO:0035267 (NuA4 histone acetyltransferase complex); GO:0016573 (histone acetylation); GO:0043972 (histone H3-K23 acetylation); GO:0043994 (histone acetyltransferase activity (H3-K23 specific)); GO:0043968 (histone H2A acetylation); GO:0006325 (chromatin organization); GO:0000123 (histone acetyltransferase complex); GO:0043981 (histone H4-K5 acetylation); GO:0043982 (histone H4-K8 acetylation); GO:0043983 (histone H4-K12 acetylation); GO:0044154 (histone H3-K14 acetylation); GO:0070776 (MOZ/MORF histone acetyltransferase complex); GO:1990467 (NuA3a histone acetyltransferase complex); GO:1990468 (NuA3b histone acetyltransferase complex)</t>
  </si>
  <si>
    <t xml:space="preserve">Aryl hydrocarbon receptor Interacting Protein (AIP) Related </t>
  </si>
  <si>
    <t>GO:0005681 (spliceosomal complex); GO:0048024 (regulation of mRNA splicing, via spliceosome)</t>
  </si>
  <si>
    <t xml:space="preserve">ProstaGlandin E Synthase homolog </t>
  </si>
  <si>
    <t>GO:0005739 (mitochondrion); GO:0009055 (electron transfer activity); GO:0022900 (electron transport chain); GO:0050220 (prostaglandin-E synthase activity); GO:0006749 (glutathione metabolic process); GO:0005515 (protein binding)</t>
  </si>
  <si>
    <t xml:space="preserve">60S acidic ribosomal protein P2 </t>
  </si>
  <si>
    <t>GO:0015031 (protein transport); GO:0005085 (guanyl-nucleotide exchange factor activity); GO:0007264 (small GTPase mediated signal transduction); GO:0050790 (regulation of catalytic activity)</t>
  </si>
  <si>
    <t xml:space="preserve">40S ribosomal protein S26 </t>
  </si>
  <si>
    <t>GO:0005737 (cytoplasm); GO:0003729 (mRNA binding); GO:0003735 (structural constituent of ribosome); GO:0005840 (ribosome); GO:0006412 (translation); GO:0005783 (endoplasmic reticulum); GO:0022627 (cytosolic small ribosomal subunit); GO:0005829 (cytosol); GO:0002181 (cytoplasmic translation); GO:0005791 (rough endoplasmic reticulum); GO:0042788 (polysomal ribosome); GO:0098556 (cytoplasmic side of rough endoplasmic reticulum membrane); GO:0008340 (determination of adult lifespan)</t>
  </si>
  <si>
    <t xml:space="preserve">Dihydroorotate dehydrogenase (quinone), mitochondrial </t>
  </si>
  <si>
    <t>GO:0016020 (membrane); GO:0005743 (mitochondrial inner membrane); GO:0003824 (catalytic activity); GO:0016491 (oxidoreductase activity); GO:0005737 (cytoplasm); GO:0016627 (oxidoreductase activity, acting on the CH-CH group of donors); GO:0006207 ('de novo' pyrimidine nucleobase biosynthetic process); GO:0005739 (mitochondrion); GO:0044205 ('de novo' UMP biosynthetic process); GO:0004152 (dihydroorotate dehydrogenase activity); GO:0009220 (pyrimidine ribonucleotide biosynthetic process); GO:0055114 (oxidation-reduction process)</t>
  </si>
  <si>
    <t>GO:0016491 (oxidoreductase activity); GO:0000104 (succinate dehydrogenase activity); GO:0055114 (oxidation-reduction process)</t>
  </si>
  <si>
    <t xml:space="preserve">AMP deaminase </t>
  </si>
  <si>
    <t>GO:0016787 (hydrolase activity); GO:0046872 (metal ion binding); GO:0005829 (cytosol); GO:0003876 (AMP deaminase activity); GO:0006188 (IMP biosynthetic process); GO:0009168 (purine ribonucleoside monophosphate biosynthetic process); GO:0019239 (deaminase activity); GO:0032264 (IMP salvage); GO:0046033 (AMP metabolic process)</t>
  </si>
  <si>
    <t xml:space="preserve">Peptidyl-prolyl cis-trans isomerase 11 </t>
  </si>
  <si>
    <t xml:space="preserve">Putative transcription elongation factor S-II </t>
  </si>
  <si>
    <t>GO:0005634 (nucleus); GO:0046872 (metal ion binding); GO:0006355 (regulation of transcription, DNA-templated); GO:0008270 (zinc ion binding); GO:0003676 (nucleic acid binding); GO:0003677 (DNA binding); GO:0006351 (transcription, DNA-templated)</t>
  </si>
  <si>
    <t xml:space="preserve">Mediator of RNA polymerase II transcription subunit 10 </t>
  </si>
  <si>
    <t>GO:0016020 (membrane); GO:0016021 (integral component of membrane); GO:0005739 (mitochondrion); GO:0009083 (branched-chain amino acid catabolic process); GO:0015658 (branched-chain amino acid transmembrane transporter activity); GO:0015803 (branched-chain amino acid transport)</t>
  </si>
  <si>
    <t xml:space="preserve">Mediator of RNA polymerase II transcription subunit 4 </t>
  </si>
  <si>
    <t xml:space="preserve">Probable 3-hydroxyacyl-CoA dehydrogenase B0272.3 </t>
  </si>
  <si>
    <t>GO:0016491 (oxidoreductase activity); GO:0006631 (fatty acid metabolic process); GO:0006629 (lipid metabolic process); GO:0005739 (mitochondrion); GO:0016616 (oxidoreductase activity, acting on the CH-OH group of donors, NAD or NADP as acceptor); GO:0005759 (mitochondrial matrix); GO:0070403 (NAD+ binding); GO:0003857 (3-hydroxyacyl-CoA dehydrogenase activity); GO:0006635 (fatty acid beta-oxidation); GO:0055114 (oxidation-reduction process)</t>
  </si>
  <si>
    <t>GO:0005524 (ATP binding); GO:0000166 (nucleotide binding); GO:0016887 (ATPase activity); GO:0034663 (endoplasmic reticulum chaperone complex); GO:0071456 (cellular response to hypoxia); GO:1903298 (negative regulation of hypoxia-induced intrinsic apoptotic signaling pathway)</t>
  </si>
  <si>
    <t xml:space="preserve">60S ribosomal protein L28 </t>
  </si>
  <si>
    <t>GO:0003735 (structural constituent of ribosome); GO:0005840 (ribosome); GO:0006412 (translation); GO:0000027 (ribosomal large subunit assembly); GO:0019843 (rRNA binding)</t>
  </si>
  <si>
    <t xml:space="preserve">Toxin-regulated Targets of MAPK </t>
  </si>
  <si>
    <t>GO:0006812 (cation transport); GO:0008324 (cation transmembrane transporter activity); GO:0016021 (integral component of membrane); GO:0055085 (transmembrane transport); GO:0016020 (membrane); GO:0005886 (plasma membrane); GO:0006811 (ion transport); GO:0031410 (cytoplasmic vesicle); GO:0005385 (zinc ion transmembrane transporter activity); GO:0010043 (response to zinc ion); GO:0061088 (regulation of sequestering of zinc ion); GO:0071577 (zinc ion transmembrane transport); GO:0016324 (apical plasma membrane); GO:0093002 (response to nematicide); GO:0030659 (cytoplasmic vesicle membrane); GO:0046686 (response to cadmium ion); GO:0006829 (zinc ion transport)</t>
  </si>
  <si>
    <t>GO:0045944 (positive regulation of transcription by RNA polymerase II); GO:0000408 (EKC/KEOPS complex); GO:0070525 (tRNA threonylcarbamoyladenosine metabolic process)</t>
  </si>
  <si>
    <t>GO:0000413 (protein peptidyl-prolyl isomerization); GO:0003755 (peptidyl-prolyl cis-trans isomerase activity); GO:0006457 (protein folding); GO:0005515 (protein binding)</t>
  </si>
  <si>
    <t xml:space="preserve">PeRoxireDoXin </t>
  </si>
  <si>
    <t>GO:0005739 (mitochondrion); GO:0016491 (oxidoreductase activity); GO:0005829 (cytosol); GO:0016209 (antioxidant activity); GO:0051920 (peroxiredoxin activity); GO:0098869 (cellular oxidant detoxification); GO:0004601 (peroxidase activity); GO:0045454 (cell redox homeostasis); GO:0055114 (oxidation-reduction process)</t>
  </si>
  <si>
    <t>GO:0005739 (mitochondrion); GO:0045333 (cellular respiration); GO:0006744 (ubiquinone biosynthetic process); GO:0048039 (ubiquinone binding)</t>
  </si>
  <si>
    <t xml:space="preserve">Homeobox protein ceh-21 </t>
  </si>
  <si>
    <t xml:space="preserve">Suppressor with Morphological effect on Genitalia </t>
  </si>
  <si>
    <t>GO:0005737 (cytoplasm); GO:0042162 (telomeric DNA binding); GO:0000184 (nuclear-transcribed mRNA catabolic process, nonsense-mediated decay); GO:0005697 (telomerase holoenzyme complex); GO:0070034 (telomerase RNA binding); GO:0016246 (RNA interference); GO:0030538 (embryonic genitalia morphogenesis); GO:0005515 (protein binding)</t>
  </si>
  <si>
    <t>GO:0016020 (membrane); GO:0016021 (integral component of membrane); GO:0035091 (phosphatidylinositol binding)</t>
  </si>
  <si>
    <t xml:space="preserve">Caenorhabditis KU </t>
  </si>
  <si>
    <t>GO:0016787 (hydrolase activity); GO:0004386 (helicase activity); GO:0003677 (DNA binding); GO:0005634 (nucleus); GO:0000166 (nucleotide binding); GO:0005524 (ATP binding); GO:0000723 (telomere maintenance); GO:0006303 (double-strand break repair via nonhomologous end joining); GO:0042162 (telomeric DNA binding); GO:0043564 (Ku70:Ku80 complex); GO:0071480 (cellular response to gamma radiation); GO:0071481 (cellular response to X-ray); GO:0003690 (double-stranded DNA binding); GO:0006281 (DNA repair); GO:0006974 (cellular response to DNA damage stimulus); GO:0006310 (DNA recombination); GO:0003678 (DNA helicase activity); GO:0032508 (DNA duplex unwinding); GO:0003684 (damaged DNA binding)</t>
  </si>
  <si>
    <t xml:space="preserve">DPH3 homolog </t>
  </si>
  <si>
    <t>GO:0005634 (nucleus); GO:0046872 (metal ion binding); GO:0005829 (cytosol); GO:0017183 (peptidyl-diphthamide biosynthetic process from peptidyl-histidine); GO:0002098 (tRNA wobble uridine modification)</t>
  </si>
  <si>
    <t>GO:0005634 (nucleus); GO:0010468 (regulation of gene expression); GO:0005515 (protein binding)</t>
  </si>
  <si>
    <t>GO:0016020 (membrane); GO:0005765 (lysosomal membrane); GO:0030672 (synaptic vesicle membrane); GO:0032418 (lysosome localization); GO:0099078 (BORC complex); GO:0072384 (organelle transport along microtubule); GO:0040011 (locomotion); GO:0040018 (positive regulation of multicellular organism growth); GO:0003674 (molecular_function); GO:0048609 (multicellular organismal reproductive process); GO:1903744 (positive regulation of anterograde synaptic vesicle transport); GO:1903746 (positive regulation of pharyngeal pumping); GO:0005873 (plus-end kinesin complex); GO:0031224 (intrinsic component of membrane); GO:0098574 (cytoplasmic side of lysosomal membrane)</t>
  </si>
  <si>
    <t>GO:0016020 (membrane); GO:0005794 (Golgi apparatus); GO:0006891 (intra-Golgi vesicle-mediated transport); GO:0017119 (Golgi transport complex)</t>
  </si>
  <si>
    <t xml:space="preserve">KLOtho (Mammalian aging-associated protein) homolog </t>
  </si>
  <si>
    <t>GO:0005975 (carbohydrate metabolic process); GO:0004553 (hydrolase activity, hydrolyzing O-glycosyl compounds); GO:0008422 (beta-glucosidase activity)</t>
  </si>
  <si>
    <t>GO:0005524 (ATP binding); GO:0005737 (cytoplasm); GO:0004386 (helicase activity); GO:0000166 (nucleotide binding); GO:0003676 (nucleic acid binding); GO:0005515 (protein binding); GO:0002376 (immune system process); GO:0045087 (innate immune response); GO:1903863 (P granule assembly); GO:0000794 (condensed nuclear chromosome); GO:0043186 (P granule); GO:0003727 (single-stranded RNA binding); GO:0030422 (production of siRNA involved in RNA interference); GO:0003725 (double-stranded RNA binding); GO:0016246 (RNA interference); GO:0070090 (metaphase plate); GO:0016887 (ATPase activity); GO:0008186 (RNA-dependent ATPase activity); GO:0070063 (RNA polymerase binding)</t>
  </si>
  <si>
    <t xml:space="preserve">Ubiquitin-like protein atg-12 </t>
  </si>
  <si>
    <t>GO:0016020 (membrane); GO:0005737 (cytoplasm); GO:0006914 (autophagy); GO:0000045 (autophagosome assembly); GO:0000422 (autophagy of mitochondrion); GO:0034045 (phagophore assembly site membrane); GO:0006501 (C-terminal protein lipidation); GO:0000421 (autophagosome membrane); GO:0034274 (Atg12-Atg5-Atg16 complex); GO:0008340 (determination of adult lifespan); GO:0044804 (autophagy of nucleus); GO:0001778 (plasma membrane repair); GO:0098792 (xenophagy)</t>
  </si>
  <si>
    <t xml:space="preserve">BAG family molecular chaperone regulator 1 </t>
  </si>
  <si>
    <t>GO:0051087 (chaperone binding); GO:0005515 (protein binding)</t>
  </si>
  <si>
    <t>GO:0005634 (nucleus); GO:0005737 (cytoplasm); GO:0043248 (proteasome assembly)</t>
  </si>
  <si>
    <t>GO:0000956 (nuclear-transcribed mRNA catabolic process); GO:0005515 (protein binding)</t>
  </si>
  <si>
    <t xml:space="preserve">60S ribosomal protein L23 </t>
  </si>
  <si>
    <t>GO:0003735 (structural constituent of ribosome); GO:0005840 (ribosome); GO:0006412 (translation); GO:0022625 (cytosolic large ribosomal subunit); GO:0070180 (large ribosomal subunit rRNA binding)</t>
  </si>
  <si>
    <t xml:space="preserve">RaL Binding Protein </t>
  </si>
  <si>
    <t>GO:0005096 (GTPase activator activity); GO:0007165 (signal transduction); GO:0043547 (positive regulation of GTPase activity); GO:0007264 (small GTPase mediated signal transduction); GO:0031267 (small GTPase binding)</t>
  </si>
  <si>
    <t xml:space="preserve">Polypeptide N-acetylgalactosaminyltransferase 4 </t>
  </si>
  <si>
    <t>GO:0004653 (polypeptide N-acetylgalactosaminyltransferase activity); GO:0018243 (protein O-linked glycosylation via threonine); GO:0018215 (protein phosphopantetheinylation)</t>
  </si>
  <si>
    <t xml:space="preserve">MO25 (MOuse embryo scaffolding Protein) homolog </t>
  </si>
  <si>
    <t>GO:0035556 (intracellular signal transduction); GO:0043539 (protein serine/threonine kinase activator activity); GO:0071902 (positive regulation of protein serine/threonine kinase activity)</t>
  </si>
  <si>
    <t>GO:0000922 (spindle pole); GO:0000278 (mitotic cell cycle); GO:0005516 (calmodulin binding); GO:0019904 (protein domain specific binding); GO:0032880 (regulation of protein localization); GO:0005819 (spindle); GO:0051233 (spindle midzone); GO:0000212 (meiotic spindle organization); GO:0051296 (establishment of meiotic spindle orientation); GO:0005515 (protein binding); GO:0007051 (spindle organization); GO:0051295 (establishment of meiotic spindle localization)</t>
  </si>
  <si>
    <t>GO:0048471 (perinuclear region of cytoplasm); GO:0005634 (nucleus); GO:0005783 (endoplasmic reticulum); GO:0005730 (nucleolus); GO:0005829 (cytosol)</t>
  </si>
  <si>
    <t xml:space="preserve">Cysteine-rich hydrophobic protein </t>
  </si>
  <si>
    <t xml:space="preserve">Nucleolar protein 56 </t>
  </si>
  <si>
    <t>GO:0006396 (RNA processing); GO:0006401 (RNA catabolic process); GO:0000176 (nuclear exosome (RNase complex)); GO:0000177 (cytoplasmic exosome (RNase complex)); GO:0000467 (exonucleolytic trimming to generate mature 3'-end of 5.8S rRNA from tricistronic rRNA transcript (SSU-rRNA, 5.8S rRNA, LSU-rRNA)); GO:0016075 (rRNA catabolic process); GO:0034427 (nuclear-transcribed mRNA catabolic process, exonucleolytic, 3'-5'); GO:0034473 (U1 snRNA 3'-end processing); GO:0034475 (U4 snRNA 3'-end processing); GO:0034476 (U5 snRNA 3'-end processing); GO:0043928 (exonucleolytic catabolism of deadenylated mRNA); GO:0071028 (nuclear mRNA surveillance); GO:0071035 (nuclear polyadenylation-dependent rRNA catabolic process); GO:0071038 (nuclear polyadenylation-dependent tRNA catabolic process); GO:0071042 (nuclear polyadenylation-dependent mRNA catabolic process); GO:0000178 (exosome (RNase complex))</t>
  </si>
  <si>
    <t>GO:0005634 (nucleus); GO:0005737 (cytoplasm); GO:0005515 (protein binding)</t>
  </si>
  <si>
    <t>GO:0005634 (nucleus); GO:0006879 (cellular iron ion homeostasis); GO:0005829 (cytosol); GO:0015035 (protein disulfide oxidoreductase activity)</t>
  </si>
  <si>
    <t xml:space="preserve">EH (Eps-15-homology) domain Binding Protein family </t>
  </si>
  <si>
    <t>GO:0005515 (protein binding); GO:0030036 (actin cytoskeleton organization); GO:0031941 (filamentous actin); GO:0005815 (microtubule organizing center); GO:0005886 (plasma membrane); GO:0009306 (protein secretion); GO:0032456 (endocytic recycling); GO:0001881 (receptor recycling); GO:0010008 (endosome membrane); GO:0031901 (early endosome membrane); GO:0055038 (recycling endosome membrane); GO:0031267 (small GTPase binding)</t>
  </si>
  <si>
    <t>GO:0016020 (membrane); GO:0016021 (integral component of membrane); GO:0005634 (nucleus); GO:0003682 (chromatin binding); GO:0000993 (RNA polymerase II complex binding); GO:0006368 (transcription elongation from RNA polymerase II promoter); GO:0016570 (histone modification); GO:0016593 (Cdc73/Paf1 complex); GO:0035327 (transcriptionally active chromatin); GO:0005515 (protein binding)</t>
  </si>
  <si>
    <t>GO:0016020 (membrane); GO:0016021 (integral component of membrane); GO:0046839 (phospholipid dephosphorylation); GO:0042392 (sphingosine-1-phosphate phosphatase activity)</t>
  </si>
  <si>
    <t xml:space="preserve">Probable protein phosphatase 2C T23F11.1 </t>
  </si>
  <si>
    <t xml:space="preserve">Tar DNA-binding protein homolog 1 </t>
  </si>
  <si>
    <t>GO:0005634 (nucleus); GO:0005737 (cytoplasm); GO:0003723 (RNA binding); GO:0003676 (nucleic acid binding); GO:0005515 (protein binding); GO:0005654 (nucleoplasm); GO:0010468 (regulation of gene expression); GO:0006397 (mRNA processing); GO:0008380 (RNA splicing); GO:0008340 (determination of adult lifespan); GO:0006972 (hyperosmotic response); GO:0003727 (single-stranded RNA binding); GO:0006979 (response to oxidative stress); GO:0010628 (positive regulation of gene expression)</t>
  </si>
  <si>
    <t xml:space="preserve">Eukaryotic translation initiation factor 3 subunit A </t>
  </si>
  <si>
    <t>GO:0005852 (eukaryotic translation initiation factor 3 complex)</t>
  </si>
  <si>
    <t xml:space="preserve">Trafficking protein particle complex subunit 3 homolog </t>
  </si>
  <si>
    <t>GO:0005794 (Golgi apparatus); GO:0016192 (vesicle-mediated transport); GO:0005829 (cytosol); GO:0006888 (endoplasmic reticulum to Golgi vesicle-mediated transport); GO:0030008 (TRAPP complex); GO:0005515 (protein binding); GO:0006891 (intra-Golgi vesicle-mediated transport); GO:0005783 (endoplasmic reticulum); GO:0033106 (cis-Golgi network membrane); GO:0048193 (Golgi vesicle transport); GO:0035264 (multicellular organism growth); GO:0009306 (protein secretion); GO:0042338 (cuticle development involved in collagen and cuticulin-based cuticle molting cycle)</t>
  </si>
  <si>
    <t>GO:0016020 (membrane); GO:0005737 (cytoplasm); GO:0005739 (mitochondrion); GO:0005743 (mitochondrial inner membrane)</t>
  </si>
  <si>
    <t xml:space="preserve">SAlVador (Cell proliferation regulator) homolog </t>
  </si>
  <si>
    <t>GO:0007165 (signal transduction); GO:0035329 (hippo signaling); GO:0006915 (apoptotic process); GO:0060090 (molecular adaptor activity); GO:0042127 (regulation of cell population proliferation); GO:0005515 (protein binding)</t>
  </si>
  <si>
    <t>GO:0045039 (protein insertion into mitochondrial inner membrane); GO:0042721 (TIM22 mitochondrial import inner membrane insertion complex); GO:0005783 (endoplasmic reticulum)</t>
  </si>
  <si>
    <t>GO:0006623 (protein targeting to vacuole); GO:0019898 (extrinsic component of membrane); GO:0045053 (protein retention in Golgi apparatus)</t>
  </si>
  <si>
    <t xml:space="preserve">Abhydrolase domain-containing protein abhd-5.1 </t>
  </si>
  <si>
    <t>GO:0016020 (membrane); GO:0016021 (integral component of membrane); GO:0031410 (cytoplasmic vesicle); GO:0005789 (endoplasmic reticulum membrane); GO:0005773 (vacuole); GO:0070072 (vacuolar proton-transporting V-type ATPase complex assembly); GO:0005886 (plasma membrane)</t>
  </si>
  <si>
    <t xml:space="preserve">CLaSPin homolog </t>
  </si>
  <si>
    <t>GO:0005634 (nucleus); GO:0032147 (activation of protein kinase activity); GO:0033314 (mitotic DNA replication checkpoint); GO:0007095 (mitotic G2 DNA damage checkpoint); GO:0010997 (anaphase-promoting complex binding)</t>
  </si>
  <si>
    <t xml:space="preserve">Probable complex I intermediate-associated protein 30, mitochondrial </t>
  </si>
  <si>
    <t>GO:0032981 (mitochondrial respiratory chain complex I assembly)</t>
  </si>
  <si>
    <t xml:space="preserve">Probable peptidyl-tRNA hydrolase 2 </t>
  </si>
  <si>
    <t>GO:0016787 (hydrolase activity); GO:0005739 (mitochondrion); GO:0005829 (cytosol); GO:0004045 (aminoacyl-tRNA hydrolase activity); GO:0005515 (protein binding)</t>
  </si>
  <si>
    <t xml:space="preserve">Probable 39S ribosomal protein L35, mitochondrial </t>
  </si>
  <si>
    <t xml:space="preserve">Cactin </t>
  </si>
  <si>
    <t xml:space="preserve">Homeobox protein ceh-37 </t>
  </si>
  <si>
    <t xml:space="preserve">Nuclear protein localization protein 4 homolog 2 </t>
  </si>
  <si>
    <t xml:space="preserve">60S ribosomal protein L18 </t>
  </si>
  <si>
    <t>GO:0005737 (cytoplasm); GO:0003723 (RNA binding); GO:0003735 (structural constituent of ribosome); GO:0005840 (ribosome); GO:0006412 (translation); GO:0022625 (cytosolic large ribosomal subunit)</t>
  </si>
  <si>
    <t xml:space="preserve">XPG (Xeroderma Pigmentosum group G) DNA repair gene homolog </t>
  </si>
  <si>
    <t>GO:0003824 (catalytic activity); GO:0016787 (hydrolase activity); GO:0003677 (DNA binding); GO:0046872 (metal ion binding); GO:0090305 (nucleic acid phosphodiester bond hydrolysis); GO:0006281 (DNA repair); GO:0006974 (cellular response to DNA damage stimulus); GO:0004518 (nuclease activity); GO:0004519 (endonuclease activity); GO:0017108 (5'-flap endonuclease activity)</t>
  </si>
  <si>
    <t xml:space="preserve">Apoptosis regulator ced-9 </t>
  </si>
  <si>
    <t>GO:0042981 (regulation of apoptotic process)</t>
  </si>
  <si>
    <t xml:space="preserve">40S ribosomal protein S7 </t>
  </si>
  <si>
    <t>GO:0003735 (structural constituent of ribosome); GO:0005840 (ribosome); GO:0006412 (translation); GO:0032040 (small-subunit processome); GO:0006364 (rRNA processing); GO:0022627 (cytosolic small ribosomal subunit); GO:0042274 (ribosomal small subunit biogenesis)</t>
  </si>
  <si>
    <t xml:space="preserve">60S ribosomal protein L26 </t>
  </si>
  <si>
    <t>GO:0003723 (RNA binding); GO:0003735 (structural constituent of ribosome); GO:0005840 (ribosome); GO:0006412 (translation); GO:0022625 (cytosolic large ribosomal subunit); GO:0002181 (cytoplasmic translation); GO:0042273 (ribosomal large subunit biogenesis); GO:0015934 (large ribosomal subunit)</t>
  </si>
  <si>
    <t xml:space="preserve">TGF-beta-activated kinase 1 and MAP3K7-binding protein 1 </t>
  </si>
  <si>
    <t>GO:0005634 (nucleus); GO:0005829 (cytosol); GO:0016311 (dephosphorylation); GO:0016791 (phosphatase activity); GO:0032147 (activation of protein kinase activity); GO:0032873 (negative regulation of stress-activated MAPK cascade); GO:0001714 (endodermal cell fate specification); GO:0045860 (positive regulation of protein kinase activity); GO:0046580 (negative regulation of Ras protein signal transduction); GO:0031435 (mitogen-activated protein kinase kinase kinase binding); GO:0030295 (protein kinase activator activity)</t>
  </si>
  <si>
    <t xml:space="preserve">60S ribosomal protein L9 </t>
  </si>
  <si>
    <t>GO:0003735 (structural constituent of ribosome); GO:0005840 (ribosome); GO:0006412 (translation); GO:0022625 (cytosolic large ribosomal subunit); GO:0002181 (cytoplasmic translation); GO:0019843 (rRNA binding); GO:0008340 (determination of adult lifespan)</t>
  </si>
  <si>
    <t xml:space="preserve">Cell surface receptor daf-4 </t>
  </si>
  <si>
    <t>GO:0004672 (protein kinase activity); GO:0007178 (transmembrane receptor protein serine/threonine kinase signaling pathway); GO:0004675 (transmembrane receptor protein serine/threonine kinase activity); GO:0006468 (protein phosphorylation); GO:0016020 (membrane); GO:0005524 (ATP binding); GO:0016021 (integral component of membrane); GO:0016301 (kinase activity); GO:0016310 (phosphorylation); GO:0000166 (nucleotide binding); GO:0016740 (transferase activity); GO:0004674 (protein serine/threonine kinase activity); GO:0046872 (metal ion binding); GO:0005886 (plasma membrane); GO:0045087 (innate immune response); GO:0002119 (nematode larval development); GO:0050832 (defense response to fungus); GO:0018991 (oviposition); GO:0045944 (positive regulation of transcription by RNA polymerase II); GO:0040024 (dauer larval development); GO:0040018 (positive regulation of multicellular organism growth); GO:0030509 (BMP signaling pathway); GO:0030513 (positive regulation of BMP signaling pathway); GO:0036122 (BMP binding); GO:0030514 (negative regulation of BMP signaling pathway)</t>
  </si>
  <si>
    <t xml:space="preserve">3E324 </t>
  </si>
  <si>
    <t>GO:0005634 (nucleus); GO:0005730 (nucleolus); GO:0006364 (rRNA processing); GO:0005515 (protein binding)</t>
  </si>
  <si>
    <t xml:space="preserve">Cyclin-C </t>
  </si>
  <si>
    <t>GO:0016592 (mediator complex); GO:0016538 (cyclin-dependent protein serine/threonine kinase regulator activity); GO:0006357 (regulation of transcription by RNA polymerase II)</t>
  </si>
  <si>
    <t xml:space="preserve">Ubiquitin-related modifier 1 homolog </t>
  </si>
  <si>
    <t>GO:0005634 (nucleus); GO:0005737 (cytoplasm); GO:0008033 (tRNA processing); GO:0002098 (tRNA wobble uridine modification); GO:0005829 (cytosol); GO:0032447 (protein urmylation); GO:0034227 (tRNA thio-modification); GO:0031386 (protein tag)</t>
  </si>
  <si>
    <t xml:space="preserve">Nuclear hormone receptor family member nhr-90 </t>
  </si>
  <si>
    <t>GO:0006629 (lipid metabolic process); GO:0008374 (O-acyltransferase activity); GO:0004806 (triglyceride lipase activity)</t>
  </si>
  <si>
    <t xml:space="preserve">Homolog of Odr-2 (Two); Ly-6-related protein HOT-5 </t>
  </si>
  <si>
    <t xml:space="preserve">Glutamic acid decarboxylase </t>
  </si>
  <si>
    <t>GO:0003824 (catalytic activity); GO:0016829 (lyase activity); GO:0030170 (pyridoxal phosphate binding); GO:0019752 (carboxylic acid metabolic process); GO:0016831 (carboxy-lyase activity); GO:0043204 (perikaryon); GO:0043025 (neuronal cell body); GO:0030424 (axon); GO:0009449 (gamma-aminobutyric acid biosynthetic process); GO:0008021 (synaptic vesicle); GO:0051932 (synaptic transmission, GABAergic); GO:0004351 (glutamate decarboxylase activity); GO:0060077 (inhibitory synapse)</t>
  </si>
  <si>
    <t xml:space="preserve">GaLactoFuranose synthesis (UGM, UDP-galactopyranose mutase); UDP-galactopyranose mutase </t>
  </si>
  <si>
    <t>GO:0016491 (oxidoreductase activity); GO:0016853 (isomerase activity); GO:0006783 (heme biosynthetic process); GO:0004729 (oxygen-dependent protoporphyrinogen oxidase activity); GO:0008767 (UDP-galactopyranose mutase activity); GO:0031304 (intrinsic component of mitochondrial inner membrane); GO:0005737 (cytoplasm); GO:0033692 (cellular polysaccharide biosynthetic process); GO:0055114 (oxidation-reduction process)</t>
  </si>
  <si>
    <t>GO:0000978 (RNA polymerase II cis-regulatory region sequence-specific DNA binding); GO:0000981 (DNA-binding transcription factor activity, RNA polymerase II-specific); GO:0006357 (regulation of transcription by RNA polymerase II); GO:0002119 (nematode larval development); GO:0055059 (asymmetric neuroblast division); GO:0009887 (animal organ morphogenesis); GO:0014019 (neuroblast development); GO:0005634 (nucleus); GO:0045944 (positive regulation of transcription by RNA polymerase II); GO:0043065 (positive regulation of apoptotic process); GO:0003682 (chromatin binding)</t>
  </si>
  <si>
    <t xml:space="preserve">Heterogeneous nuclear RibonucleoProtein (HnRNP) L homolog </t>
  </si>
  <si>
    <t>GO:0005634 (nucleus); GO:0003723 (RNA binding); GO:0003676 (nucleic acid binding); GO:0003729 (mRNA binding); GO:0006397 (mRNA processing); GO:0043484 (regulation of RNA splicing)</t>
  </si>
  <si>
    <t xml:space="preserve">Uncoordinated protein 58 </t>
  </si>
  <si>
    <t>GO:0016020 (membrane); GO:0016021 (integral component of membrane); GO:0006811 (ion transport); GO:0005267 (potassium channel activity); GO:0071805 (potassium ion transmembrane transport); GO:0005887 (integral component of plasma membrane); GO:0022841 (potassium ion leak channel activity); GO:0030322 (stabilization of membrane potential); GO:0007567 (parturition); GO:0005575 (cellular_component); GO:0040011 (locomotion); GO:0006936 (muscle contraction); GO:0015271 (outward rectifier potassium channel activity); GO:0006937 (regulation of muscle contraction)</t>
  </si>
  <si>
    <t xml:space="preserve">Probable DNA-directed RNA polymerase II subunit RPB11 </t>
  </si>
  <si>
    <t>GO:0003677 (DNA binding); GO:0005634 (nucleus); GO:0046983 (protein dimerization activity); GO:0006366 (transcription by RNA polymerase II); GO:0006351 (transcription, DNA-templated); GO:0003899 (DNA-directed 5'-3' RNA polymerase activity); GO:0005665 (RNA polymerase II, core complex); GO:0001055 ()</t>
  </si>
  <si>
    <t xml:space="preserve">Histone-lysine N-methyltransferase set-25 </t>
  </si>
  <si>
    <t>GO:0005634 (nucleus); GO:0008168 (methyltransferase activity); GO:0032259 (methylation); GO:0046872 (metal ion binding); GO:0016740 (transferase activity); GO:0005694 (chromosome); GO:0005652 (nuclear lamina); GO:0005515 (protein binding); GO:0000792 (heterochromatin)</t>
  </si>
  <si>
    <t>GO:0016020 (membrane); GO:0016021 (integral component of membrane); GO:0006811 (ion transport); GO:0022857 (transmembrane transporter activity); GO:0055085 (transmembrane transport); GO:0007268 (chemical synaptic transmission); GO:0006884 (cell volume homeostasis); GO:0015379 (potassium:chloride symporter activity); GO:0055064 (chloride ion homeostasis); GO:0055075 (potassium ion homeostasis); GO:1902476 (chloride transmembrane transport); GO:1990573 (potassium ion import across plasma membrane); GO:0045202 (synapse); GO:0006813 (potassium ion transport); GO:0006821 (chloride transport)</t>
  </si>
  <si>
    <t>GO:0030687 (preribosome, large subunit precursor); GO:0005515 (protein binding)</t>
  </si>
  <si>
    <t xml:space="preserve">Probable 3-hydroxyisobutyrate dehydrogenase, mitochondrial </t>
  </si>
  <si>
    <t>GO:0005739 (mitochondrion); GO:0016491 (oxidoreductase activity); GO:0050661 (NADP binding); GO:0016616 (oxidoreductase activity, acting on the CH-OH group of donors, NAD or NADP as acceptor); GO:0051287 (NAD binding); GO:0006574 (valine catabolic process); GO:0009083 (branched-chain amino acid catabolic process); GO:0008442 (3-hydroxyisobutyrate dehydrogenase activity); GO:0055114 (oxidation-reduction process)</t>
  </si>
  <si>
    <t>GO:0016020 (membrane); GO:0016021 (integral component of membrane); GO:0005887 (integral component of plasma membrane); GO:0007275 (multicellular organism development); GO:0001708 (cell fate specification); GO:0007154 (cell communication); GO:0005112 (Notch binding)</t>
  </si>
  <si>
    <t>GO:0005886 (plasma membrane); GO:0046854 (phosphatidylinositol phosphorylation); GO:0072659 (protein localization to plasma membrane); GO:0005515 (protein binding)</t>
  </si>
  <si>
    <t xml:space="preserve">Endoribonuclease rege-1 </t>
  </si>
  <si>
    <t>GO:0005634 (nucleus); GO:0016787 (hydrolase activity); GO:0046872 (metal ion binding); GO:0005737 (cytoplasm); GO:0003723 (RNA binding); GO:0003729 (mRNA binding); GO:0004518 (nuclease activity); GO:0004519 (endonuclease activity); GO:0090502 (RNA phosphodiester bond hydrolysis, endonucleolytic); GO:0004521 (endoribonuclease activity); GO:0036464 (cytoplasmic ribonucleoprotein granule)</t>
  </si>
  <si>
    <t>GO:0005737 (cytoplasm); GO:0008270 (zinc ion binding); GO:0003676 (nucleic acid binding); GO:0003729 (mRNA binding); GO:0003727 (single-stranded RNA binding); GO:0045182 (translation regulator activity); GO:2000767 (positive regulation of cytoplasmic translation)</t>
  </si>
  <si>
    <t xml:space="preserve">Protein phosphatase 1 regulatory subunit SDS22 homolog </t>
  </si>
  <si>
    <t>GO:0005737 (cytoplasm); GO:0005634 (nucleus); GO:0005515 (protein binding)</t>
  </si>
  <si>
    <t xml:space="preserve">Probable small nuclear ribonucleoprotein E </t>
  </si>
  <si>
    <t>GO:0005634 (nucleus); GO:0000387 (spliceosomal snRNP assembly); GO:0046540 (U4/U6 x U5 tri-snRNP complex); GO:0003723 (RNA binding); GO:0000398 (mRNA splicing, via spliceosome); GO:0005681 (spliceosomal complex); GO:0006397 (mRNA processing); GO:0008380 (RNA splicing); GO:0005686 (U2 snRNP); GO:0005685 (U1 snRNP); GO:0005682 (U5 snRNP); GO:0005687 (U4 snRNP); GO:0071011 (precatalytic spliceosome); GO:0043186 (P granule)</t>
  </si>
  <si>
    <t>GO:0016491 (oxidoreductase activity); GO:0055114 (oxidation-reduction process); GO:0047834 (D-threo-aldose 1-dehydrogenase activity)</t>
  </si>
  <si>
    <t xml:space="preserve">CFP1 (CpG-binding protein, CXXC Finger Protein 1) homolog </t>
  </si>
  <si>
    <t>GO:0005634 (nucleus); GO:0046872 (metal ion binding); GO:0003677 (DNA binding); GO:0045893 (positive regulation of transcription, DNA-templated); GO:0048188 (Set1C/COMPASS complex); GO:0060290 (transdifferentiation)</t>
  </si>
  <si>
    <t xml:space="preserve">Density-regulated protein homolog </t>
  </si>
  <si>
    <t>GO:0003743 (translation initiation factor activity); GO:0003729 (mRNA binding); GO:0006413 (translational initiation); GO:0001731 (formation of translation preinitiation complex); GO:0002188 (translation reinitiation)</t>
  </si>
  <si>
    <t xml:space="preserve">CWF19-like protein 2 homolog </t>
  </si>
  <si>
    <t>GO:0000398 (mRNA splicing, via spliceosome); GO:0071014 (post-mRNA release spliceosomal complex)</t>
  </si>
  <si>
    <t xml:space="preserve">Probable 40S ribosomal protein S9, mitochondrial </t>
  </si>
  <si>
    <t>GO:0003723 (RNA binding); GO:0005739 (mitochondrion); GO:0003735 (structural constituent of ribosome); GO:0005840 (ribosome); GO:0006412 (translation); GO:0005763 (mitochondrial small ribosomal subunit); GO:0015935 (small ribosomal subunit)</t>
  </si>
  <si>
    <t xml:space="preserve">60S ribosomal protein L8 </t>
  </si>
  <si>
    <t>GO:0005737 (cytoplasm); GO:0003723 (RNA binding); GO:0003735 (structural constituent of ribosome); GO:0005840 (ribosome); GO:0006412 (translation); GO:0022625 (cytosolic large ribosomal subunit); GO:0002181 (cytoplasmic translation); GO:0019843 (rRNA binding)</t>
  </si>
  <si>
    <t xml:space="preserve">LARP (RNA binding La related protein) homolog </t>
  </si>
  <si>
    <t xml:space="preserve">Anaphase-promoting complex subunit 1 </t>
  </si>
  <si>
    <t>GO:0005680 (anaphase-promoting complex)</t>
  </si>
  <si>
    <t>GO:0000287 (magnesium ion binding); GO:0004647 (phosphoserine phosphatase activity); GO:0005737 (cytoplasm); GO:0006564 (L-serine biosynthetic process); GO:0016311 (dephosphorylation); GO:0016787 (hydrolase activity); GO:0046872 (metal ion binding); GO:0008652 (cellular amino acid biosynthetic process); GO:0036424 (L-phosphoserine phosphatase activity); GO:0036425 (D-phosphoserine phosphatase activity)</t>
  </si>
  <si>
    <t xml:space="preserve">TM2 domain-containing protein ZK858.5 </t>
  </si>
  <si>
    <t>GO:0005739 (mitochondrion); GO:0016491 (oxidoreductase activity); GO:0004047 (aminomethyltransferase activity); GO:0019464 (glycine decarboxylation via glycine cleavage system); GO:0055114 (oxidation-reduction process)</t>
  </si>
  <si>
    <t xml:space="preserve">Uridine kinase </t>
  </si>
  <si>
    <t>GO:0005524 (ATP binding); GO:0005737 (cytoplasm); GO:0016301 (kinase activity); GO:0016310 (phosphorylation); GO:0000166 (nucleotide binding); GO:0016740 (transferase activity); GO:0009116 (nucleoside metabolic process); GO:0004849 (uridine kinase activity); GO:0044206 (UMP salvage); GO:0044211 (CTP salvage); GO:0009792 (embryo development ending in birth or egg hatching)</t>
  </si>
  <si>
    <t xml:space="preserve">Putative 40S ribosomal protein S4-like </t>
  </si>
  <si>
    <t>GO:0003723 (RNA binding); GO:0005739 (mitochondrion); GO:0005840 (ribosome); GO:0032040 (small-subunit processome); GO:0006364 (rRNA processing); GO:0019843 (rRNA binding); GO:0030515 (snoRNA binding); GO:0034457 (Mpp10 complex)</t>
  </si>
  <si>
    <t xml:space="preserve">Tubulin-specific chaperone B </t>
  </si>
  <si>
    <t>GO:0005737 (cytoplasm); GO:0005856 (cytoskeleton); GO:0005874 (microtubule); GO:0005515 (protein binding)</t>
  </si>
  <si>
    <t xml:space="preserve">NHERF (Mammalian Na/H Exchange Regulatory Factor) Like </t>
  </si>
  <si>
    <t>GO:0016020 (membrane); GO:0005886 (plasma membrane); GO:0005515 (protein binding); GO:0016324 (apical plasma membrane); GO:0042995 (cell projection); GO:0043495 (protein-membrane adaptor activity); GO:0031528 (microvillus membrane)</t>
  </si>
  <si>
    <t>GO:0005524 (ATP binding); GO:0016787 (hydrolase activity); GO:0004386 (helicase activity); GO:0000166 (nucleotide binding); GO:0003676 (nucleic acid binding); GO:0005730 (nucleolus); GO:0003724 (RNA helicase activity)</t>
  </si>
  <si>
    <t>GO:0003723 (RNA binding); GO:0005634 (nucleus); GO:0006355 (regulation of transcription, DNA-templated); GO:0003677 (DNA binding); GO:0005515 (protein binding)</t>
  </si>
  <si>
    <t xml:space="preserve">Enolase-phosphatase E1 </t>
  </si>
  <si>
    <t>GO:0016787 (hydrolase activity); GO:0005634 (nucleus); GO:0046872 (metal ion binding); GO:0005737 (cytoplasm); GO:0000287 (magnesium ion binding); GO:0016311 (dephosphorylation); GO:0008652 (cellular amino acid biosynthetic process); GO:0009086 (methionine biosynthetic process); GO:0019509 (L-methionine salvage from methylthioadenosine); GO:0019284 (L-methionine salvage from S-adenosylmethionine); GO:0043715 (2,3-diketo-5-methylthiopentyl-1-phosphate enolase activity); GO:0043716 (2-hydroxy-3-keto-5-methylthiopentenyl-1-phosphate phosphatase activity); GO:0043874 (acireductone synthase activity)</t>
  </si>
  <si>
    <t xml:space="preserve">Proteasome subunit beta type-3 </t>
  </si>
  <si>
    <t>GO:0019774 (proteasome core complex, beta-subunit complex); GO:0043161 (proteasome-mediated ubiquitin-dependent protein catabolic process); GO:0005839 (proteasome core complex); GO:0051603 (proteolysis involved in cellular protein catabolic process); GO:0004298 (threonine-type endopeptidase activity)</t>
  </si>
  <si>
    <t>GO:0009306 (protein secretion)</t>
  </si>
  <si>
    <t xml:space="preserve">Pelle-like serine/threonine-protein kinase pik-1 </t>
  </si>
  <si>
    <t xml:space="preserve">ER membrane protein complex subunit 4 </t>
  </si>
  <si>
    <t>GO:0016020 (membrane); GO:0016021 (integral component of membrane); GO:0005783 (endoplasmic reticulum); GO:0005789 (endoplasmic reticulum membrane); GO:0072546 (ER membrane protein complex)</t>
  </si>
  <si>
    <t>GO:0005737 (cytoplasm); GO:0006886 (intracellular protein transport); GO:0006606 (protein import into nucleus); GO:0031267 (small GTPase binding); GO:0005634 (nucleus); GO:0008139 (nuclear localization sequence binding); GO:0061608 (nuclear import signal receptor activity)</t>
  </si>
  <si>
    <t xml:space="preserve">SET domain-containing protein 3 </t>
  </si>
  <si>
    <t>GO:0008168 (methyltransferase activity); GO:0032259 (methylation); GO:0016740 (transferase activity); GO:0005515 (protein binding)</t>
  </si>
  <si>
    <t xml:space="preserve">Spindle assembly abnormal protein 4 </t>
  </si>
  <si>
    <t>GO:0005737 (cytoplasm); GO:0005856 (cytoskeleton); GO:0007275 (multicellular organism development); GO:0007049 (cell cycle); GO:0005814 (centriole); GO:0005815 (microtubule organizing center); GO:0045185 (maintenance of protein location); GO:0007099 (centriole replication)</t>
  </si>
  <si>
    <t xml:space="preserve">Vacuolar protein sorting-associated protein 51 homolog </t>
  </si>
  <si>
    <t>GO:0016020 (membrane); GO:0005794 (Golgi apparatus); GO:0005515 (protein binding); GO:0005829 (cytosol); GO:0042147 (retrograde transport, endosome to Golgi); GO:0007030 (Golgi organization); GO:0090326 (positive regulation of locomotion involved in locomotory behavior); GO:1904810 (negative regulation of dense core granule transport); GO:1904811 (positive regulation of dense core granule transport); GO:0032456 (endocytic recycling); GO:0000938 (GARP complex); GO:0007041 (lysosomal transport); GO:0048193 (Golgi vesicle transport); GO:1990745 (EARP complex); GO:0019905 (syntaxin binding); GO:0015031 (protein transport); GO:0006869 (lipid transport)</t>
  </si>
  <si>
    <t xml:space="preserve">Ribosomal protein rpl-36.A </t>
  </si>
  <si>
    <t>GO:0030276 (clathrin binding); GO:0030121 (AP-1 adaptor complex); GO:0032588 (trans-Golgi network membrane); GO:0046907 (intracellular transport)</t>
  </si>
  <si>
    <t>GO:0043022 (ribosome binding); GO:0005829 (cytosol); GO:0030544 (Hsp70 protein binding); GO:0006450 (regulation of translational fidelity); GO:0003674 (molecular_function); GO:0051083 ('de novo' cotranslational protein folding)</t>
  </si>
  <si>
    <t xml:space="preserve">Nucleoside diphosphate kinase </t>
  </si>
  <si>
    <t>GO:0016301 (kinase activity); GO:0016310 (phosphorylation); GO:0000166 (nucleotide binding); GO:0016740 (transferase activity); GO:0005524 (ATP binding); GO:0040026 (positive regulation of vulval development); GO:0042802 (identical protein binding); GO:0006241 (CTP biosynthetic process); GO:0004550 (nucleoside diphosphate kinase activity); GO:0006165 (nucleoside diphosphate phosphorylation); GO:0006183 (GTP biosynthetic process); GO:0006228 (UTP biosynthetic process); GO:0005515 (protein binding); GO:0030334 (regulation of cell migration); GO:1901074 (regulation of engulfment of apoptotic cell); GO:0043410 (positive regulation of MAPK cascade)</t>
  </si>
  <si>
    <t xml:space="preserve">40S ribosomal protein S8 </t>
  </si>
  <si>
    <t>GO:0000462 (maturation of SSU-rRNA from tricistronic rRNA transcript (SSU-rRNA, 5.8S rRNA, LSU-rRNA)); GO:0003735 (structural constituent of ribosome); GO:0005840 (ribosome); GO:0006412 (translation); GO:0022627 (cytosolic small ribosomal subunit)</t>
  </si>
  <si>
    <t xml:space="preserve">Probable DNA-directed RNA polymerases I, II, and III subunit RPABC2 </t>
  </si>
  <si>
    <t>GO:0003677 (DNA binding); GO:0005634 (nucleus); GO:0006351 (transcription, DNA-templated); GO:0003899 (DNA-directed 5'-3' RNA polymerase activity); GO:0005736 (RNA polymerase I complex); GO:0003674 (molecular_function); GO:0005575 (cellular_component); GO:0005665 (RNA polymerase II, core complex); GO:0000003 (reproduction); GO:0005666 (RNA polymerase III complex); GO:0032502 (developmental process)</t>
  </si>
  <si>
    <t xml:space="preserve">EHS-1; Eps15 (Endocytosis protein) Homologous Sequence </t>
  </si>
  <si>
    <t>GO:0005509 (calcium ion binding); GO:0098793 (presynapse); GO:0005515 (protein binding); GO:0006897 (endocytosis); GO:0016197 (endosomal transport); GO:0005886 (plasma membrane); GO:0045202 (synapse); GO:0030424 (axon); GO:0048488 (synaptic vesicle endocytosis); GO:0007268 (chemical synaptic transmission); GO:0030132 (clathrin coat of coated pit)</t>
  </si>
  <si>
    <t xml:space="preserve">RING-box protein 1 </t>
  </si>
  <si>
    <t>GO:0005634 (nucleus); GO:0016567 (protein ubiquitination); GO:0046872 (metal ion binding); GO:0006511 (ubiquitin-dependent protein catabolic process); GO:0061630 (ubiquitin protein ligase activity); GO:0005737 (cytoplasm); GO:0008270 (zinc ion binding); GO:0007275 (multicellular organism development); GO:0007049 (cell cycle); GO:0051301 (cell division); GO:0051321 (meiotic cell cycle); GO:0043518 (negative regulation of DNA damage response, signal transduction by p53 class mediator); GO:1902230 (negative regulation of intrinsic apoptotic signaling pathway in response to DNA damage); GO:0097602 (cullin family protein binding); GO:0031461 (cullin-RING ubiquitin ligase complex); GO:0031462 (Cul2-RING ubiquitin ligase complex); GO:1902104 (positive regulation of metaphase/anaphase transition of meiotic cell cycle); GO:0008595 (anterior/posterior axis specification, embryo); GO:0051759 (sister chromosome movement towards spindle pole involved in meiotic sister chromatid segregation)</t>
  </si>
  <si>
    <t>GO:0016020 (membrane); GO:0016021 (integral component of membrane); GO:0055085 (transmembrane transport); GO:0005887 (integral component of plasma membrane); GO:0015293 (symporter activity); GO:0008643 (carbohydrate transport); GO:0071702 (organic substance transport)</t>
  </si>
  <si>
    <t>GO:0003735 (structural constituent of ribosome); GO:0005840 (ribosome); GO:0006412 (translation); GO:0022625 (cytosolic large ribosomal subunit); GO:0015934 (large ribosomal subunit)</t>
  </si>
  <si>
    <t xml:space="preserve">60S ribosomal protein L4 </t>
  </si>
  <si>
    <t xml:space="preserve">Ribosomal protein </t>
  </si>
  <si>
    <t>GO:0003735 (structural constituent of ribosome); GO:0005840 (ribosome); GO:0006412 (translation); GO:0005762 (mitochondrial large ribosomal subunit); GO:0042254 (ribosome biogenesis)</t>
  </si>
  <si>
    <t xml:space="preserve">DNA-directed RNA polymerases I, II, and III subunit RPABC5 </t>
  </si>
  <si>
    <t>GO:0003677 (DNA binding); GO:0005634 (nucleus); GO:0046872 (metal ion binding); GO:0008270 (zinc ion binding); GO:0006366 (transcription by RNA polymerase II); GO:0006351 (transcription, DNA-templated); GO:0003899 (DNA-directed 5'-3' RNA polymerase activity); GO:0005736 (RNA polymerase I complex); GO:0005665 (RNA polymerase II, core complex); GO:0006360 (transcription by RNA polymerase I); GO:0005666 (RNA polymerase III complex); GO:0042797 (tRNA transcription by RNA polymerase III)</t>
  </si>
  <si>
    <t xml:space="preserve">Nuclear hormone receptor family member nhr-54 </t>
  </si>
  <si>
    <t>GO:0005524 (ATP binding); GO:0005737 (cytoplasm); GO:0000166 (nucleotide binding); GO:0004812 (aminoacyl-tRNA ligase activity); GO:0016874 (ligase activity); GO:0005739 (mitochondrion); GO:0006412 (translation); GO:0005759 (mitochondrial matrix); GO:0004826 (phenylalanine-tRNA ligase activity); GO:0006432 (phenylalanyl-tRNA aminoacylation); GO:0000049 (tRNA binding); GO:0043039 (tRNA aminoacylation)</t>
  </si>
  <si>
    <t xml:space="preserve">Probable coatomer subunit zeta </t>
  </si>
  <si>
    <t>GO:0030126 (COPI vesicle coat); GO:0006890 (retrograde vesicle-mediated transport, Golgi to endoplasmic reticulum); GO:0030117 (membrane coat); GO:0016192 (vesicle-mediated transport); GO:0006886 (intracellular protein transport)</t>
  </si>
  <si>
    <t xml:space="preserve">Nitric oxide synthase-interacting protein homolog </t>
  </si>
  <si>
    <t>GO:0005634 (nucleus); GO:0061630 (ubiquitin protein ligase activity); GO:0005737 (cytoplasm); GO:0016567 (protein ubiquitination)</t>
  </si>
  <si>
    <t xml:space="preserve">Cell division cycle protein 27 homolog </t>
  </si>
  <si>
    <t xml:space="preserve">28S ribosomal protein S15, mitochondrial </t>
  </si>
  <si>
    <t xml:space="preserve">WD Repeat protein </t>
  </si>
  <si>
    <t xml:space="preserve">Probable E3 ubiquitin-protein ligase rnf113 </t>
  </si>
  <si>
    <t>GO:0046872 (metal ion binding); GO:0016740 (transferase activity); GO:0016567 (protein ubiquitination); GO:0006281 (DNA repair); GO:0006974 (cellular response to DNA damage stimulus); GO:0005684 (U2-type spliceosomal complex); GO:0034247 (snoRNA splicing); GO:0005634 (nucleus); GO:0004842 (ubiquitin-protein transferase activity)</t>
  </si>
  <si>
    <t xml:space="preserve">ASC-1; ThyRoid hormone receptor Interactor Protein 4 homolog </t>
  </si>
  <si>
    <t>GO:0005634 (nucleus); GO:0006355 (regulation of transcription, DNA-templated); GO:0008270 (zinc ion binding); GO:0045893 (positive regulation of transcription, DNA-templated); GO:0003713 (transcription coactivator activity); GO:0040024 (dauer larval development)</t>
  </si>
  <si>
    <t xml:space="preserve">Choline Kinase A </t>
  </si>
  <si>
    <t>GO:0016301 (kinase activity); GO:0016310 (phosphorylation); GO:0005737 (cytoplasm); GO:0005938 (cell cortex); GO:0004103 (choline kinase activity); GO:0006657 (CDP-choline pathway)</t>
  </si>
  <si>
    <t>GO:0005634 (nucleus); GO:0005737 (cytoplasm); GO:0006886 (intracellular protein transport); GO:0015031 (protein transport); GO:0005049 (nuclear export signal receptor activity); GO:0000056 (ribosomal small subunit export from nucleus); GO:0000055 (ribosomal large subunit export from nucleus); GO:0031267 (small GTPase binding)</t>
  </si>
  <si>
    <t xml:space="preserve">UPF0046 protein T07D4.2 </t>
  </si>
  <si>
    <t xml:space="preserve">Cell division cycle protein 16 homolog </t>
  </si>
  <si>
    <t>GO:0016020 (membrane); GO:0016021 (integral component of membrane); GO:0055085 (transmembrane transport)</t>
  </si>
  <si>
    <t xml:space="preserve">Double-stranded RNA-specific adenosine deaminase adr-2 </t>
  </si>
  <si>
    <t>GO:0004000 (adenosine deaminase activity); GO:0006396 (RNA processing); GO:0003723 (RNA binding)</t>
  </si>
  <si>
    <t xml:space="preserve">Probable serine--tRNA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</si>
  <si>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GO:0005829 (cytosol); GO:0000049 (tRNA binding); GO:0004828 (serine-tRNA ligase activity); GO:0006434 (seryl-tRNA aminoacylation); GO:0097056 (selenocysteinyl-tRNA(Sec) biosynthetic process)</t>
  </si>
  <si>
    <t xml:space="preserve">Probable 26S proteasome complex subunit dss-1 </t>
  </si>
  <si>
    <t>GO:0008541 (proteasome regulatory particle, lid subcomplex); GO:0043248 (proteasome assembly); GO:0006406 (mRNA export from nucleus)</t>
  </si>
  <si>
    <t xml:space="preserve">Probable amino acid transporter skat-1 </t>
  </si>
  <si>
    <t>GO:0016020 (membrane); GO:0016021 (integral component of membrane); GO:0003333 (amino acid transmembrane transport); GO:0015171 (amino acid transmembrane transporter activity); GO:0006865 (amino acid transport)</t>
  </si>
  <si>
    <t xml:space="preserve">SKR-19; SKp1 Related (Ubiquitin ligase complex component) </t>
  </si>
  <si>
    <t>GO:0010506 (regulation of autophagy); GO:0035658 (Mon1-Ccz1 complex); GO:0005515 (protein binding); GO:0031902 (late endosome membrane)</t>
  </si>
  <si>
    <t>GO:0005634 (nucleus); GO:0005524 (ATP binding); GO:0016787 (hydrolase activity); GO:0004386 (helicase activity); GO:0000166 (nucleotide binding); GO:0003676 (nucleic acid binding); GO:0003723 (RNA binding); GO:0006364 (rRNA processing); GO:0003724 (RNA helicase activity)</t>
  </si>
  <si>
    <t xml:space="preserve">Choline/EthanolaminePhosphoTransferase </t>
  </si>
  <si>
    <t>GO:0016020 (membrane); GO:0016021 (integral component of membrane); GO:0016740 (transferase activity); GO:0005789 (endoplasmic reticulum membrane); GO:0005794 (Golgi apparatus); GO:0004142 (diacylglycerol cholinephosphotransferase activity); GO:0004307 (ethanolaminephosphotransferase activity); GO:0006646 (phosphatidylethanolamine biosynthetic process); GO:0006657 (CDP-choline pathway); GO:0008654 (phospholipid biosynthetic process); GO:0016780 (phosphotransferase activity, for other substituted phosphate groups)</t>
  </si>
  <si>
    <t xml:space="preserve">Guanine nucleotide-binding protein subunit beta-2-like 1 </t>
  </si>
  <si>
    <t>GO:0003924 (GTPase activity); GO:0005525 (GTP binding); GO:0006886 (intracellular protein transport); GO:0012505 (endomembrane system)</t>
  </si>
  <si>
    <t xml:space="preserve">Dynamin </t>
  </si>
  <si>
    <t>GO:0005634 (nucleus); GO:0005515 (protein binding); GO:0003714 (transcription corepressor activity); GO:0006357 (regulation of transcription by RNA polymerase II); GO:0045892 (negative regulation of transcription, DNA-templated)</t>
  </si>
  <si>
    <t>GO:0035091 (phosphatidylinositol binding); GO:0005515 (protein binding); GO:0032009 (early phagosome); GO:0090386 (phagosome maturation involved in apoptotic cell clearance); GO:0090387 (phagolysosome assembly involved in apoptotic cell clearance); GO:0090389 (phagosome-lysosome fusion involved in apoptotic cell clearance); GO:0097194 (execution phase of apoptosis); GO:0043621 (protein self-association); GO:0045335 (phagocytic vesicle)</t>
  </si>
  <si>
    <t xml:space="preserve">40S ribosomal protein S23 </t>
  </si>
  <si>
    <t>GO:0005737 (cytoplasm); GO:0003735 (structural constituent of ribosome); GO:0005840 (ribosome); GO:0006412 (translation); GO:0005783 (endoplasmic reticulum); GO:0022627 (cytosolic small ribosomal subunit); GO:0005829 (cytosol); GO:0015935 (small ribosomal subunit); GO:0002181 (cytoplasmic translation); GO:0005791 (rough endoplasmic reticulum); GO:0042788 (polysomal ribosome)</t>
  </si>
  <si>
    <t xml:space="preserve">Mediator of RNA polymerase II transcription subunit 7 </t>
  </si>
  <si>
    <t>GO:0005634 (nucleus); GO:0003682 (chromatin binding); GO:0007389 (pattern specification process)</t>
  </si>
  <si>
    <t xml:space="preserve">Troponin T </t>
  </si>
  <si>
    <t>GO:0005861 (troponin complex); GO:0006936 (muscle contraction); GO:0006937 (regulation of muscle contraction); GO:0045214 (sarcomere organization); GO:0005523 (tropomyosin binding); GO:0048598 (embryonic morphogenesis); GO:0030728 (ovulation); GO:0007413 (axonal fasciculation); GO:0007526 (larval somatic muscle development)</t>
  </si>
  <si>
    <t xml:space="preserve">La-related protein 1 </t>
  </si>
  <si>
    <t xml:space="preserve">Mediator of RNA polymerase II transcription subunit 19 </t>
  </si>
  <si>
    <t xml:space="preserve">GDP-L-fucose synthase </t>
  </si>
  <si>
    <t>GO:0009226 (nucleotide-sugar biosynthetic process); GO:0016491 (oxidoreductase activity); GO:0003824 (catalytic activity)</t>
  </si>
  <si>
    <t xml:space="preserve">Vacuolar protein sorting-associated protein 16 homolog </t>
  </si>
  <si>
    <t>GO:0016020 (membrane); GO:0003779 (actin binding); GO:0006886 (intracellular protein transport); GO:0015031 (protein transport); GO:0005737 (cytoplasm); GO:0005768 (endosome); GO:0005764 (lysosome); GO:0005765 (lysosomal membrane); GO:0031902 (late endosome membrane); GO:0009792 (embryo development ending in birth or egg hatching); GO:0016197 (endosomal transport); GO:0030897 (HOPS complex); GO:0007033 (vacuole organization); GO:0048565 (digestive tract development); GO:0042144 (vacuole fusion, non-autophagic)</t>
  </si>
  <si>
    <t xml:space="preserve">UNC-34 </t>
  </si>
  <si>
    <t>GO:0035262 (gonad morphogenesis); GO:0040017 (positive regulation of locomotion); GO:0017124 (SH3 domain binding); GO:0005515 (protein binding); GO:0005737 (cytoplasm); GO:0005102 (signaling receptor binding); GO:0033563 (dorsal/ventral axon guidance); GO:0031252 (cell leading edge); GO:0030054 (cell junction); GO:0008045 (motor neuron axon guidance); GO:0031103 (axon regeneration); GO:0032433 (filopodium tip)</t>
  </si>
  <si>
    <t>GO:0046872 (metal ion binding); GO:0061630 (ubiquitin protein ligase activity); GO:0016567 (protein ubiquitination)</t>
  </si>
  <si>
    <t xml:space="preserve">DNA N6-methyl adenine demethylase </t>
  </si>
  <si>
    <t>GO:0070988 (demethylation)</t>
  </si>
  <si>
    <t xml:space="preserve">ATP synthase subunit beta, mitochondrial </t>
  </si>
  <si>
    <t>GO:0046034 (ATP metabolic process); GO:1902600 (proton transmembrane transport); GO:0045261 (proton-transporting ATP synthase complex, catalytic core F(1)); GO:0015986 (ATP synthesis coupled proton transport); GO:0046933 (proton-transporting ATP synthase activity, rotational mechanism); GO:0005524 (ATP binding)</t>
  </si>
  <si>
    <t>GO:0005762 (mitochondrial large ribosomal subunit); GO:0003747 (translation release factor activity); GO:0006415 (translational termination); GO:0070126 (mitochondrial translational termination)</t>
  </si>
  <si>
    <t>GO:0016020 (membrane); GO:0016021 (integral component of membrane); GO:0061630 (ubiquitin protein ligase activity); GO:0016567 (protein ubiquitination); GO:1904294 (positive regulation of ERAD pathway); GO:0046872 (metal ion binding)</t>
  </si>
  <si>
    <t xml:space="preserve">Glucose-6-phosphate isomerase </t>
  </si>
  <si>
    <t>GO:0005829 (cytosol); GO:0016853 (isomerase activity); GO:0006096 (glycolytic process); GO:0006094 (gluconeogenesis); GO:0048029 (monosaccharide binding); GO:0004347 (glucose-6-phosphate isomerase activity); GO:0051156 (glucose 6-phosphate metabolic process)</t>
  </si>
  <si>
    <t>GO:0005634 (nucleus); GO:0006364 (rRNA processing); GO:0005515 (protein binding)</t>
  </si>
  <si>
    <t xml:space="preserve">Serine palmitoyltransferase 3 </t>
  </si>
  <si>
    <t>GO:0003824 (catalytic activity); GO:0016740 (transferase activity); GO:0016746 (transferase activity, transferring acyl groups); GO:0009058 (biosynthetic process); GO:0030170 (pyridoxal phosphate binding); GO:0006629 (lipid metabolic process); GO:0006665 (sphingolipid metabolic process); GO:0046513 (ceramide biosynthetic process); GO:0004758 (serine C-palmitoyltransferase activity); GO:0046512 (sphingosine biosynthetic process); GO:0017059 (serine C-palmitoyltransferase complex)</t>
  </si>
  <si>
    <t xml:space="preserve">1-phosphatidylinositol 4,5-bisphosphate phosphodiesterase gamma plc-3 </t>
  </si>
  <si>
    <t>GO:0009395 (phospholipid catabolic process); GO:0008081 (phosphoric diester hydrolase activity); GO:0004435 (phosphatidylinositol phospholipase C activity); GO:0006629 (lipid metabolic process); GO:0035556 (intracellular signal transduction); GO:0007165 (signal transduction); GO:0005515 (protein binding)</t>
  </si>
  <si>
    <t xml:space="preserve">Parkinson's Disease Related </t>
  </si>
  <si>
    <t>GO:0005737 (cytoplasm); GO:0005634 (nucleus); GO:0046872 (metal ion binding); GO:0016740 (transferase activity); GO:0000209 (protein polyubiquitination); GO:0004842 (ubiquitin-protein transferase activity); GO:0006511 (ubiquitin-dependent protein catabolic process); GO:0016567 (protein ubiquitination); GO:0061630 (ubiquitin protein ligase activity); GO:0005829 (cytosol); GO:0005794 (Golgi apparatus); GO:0005783 (endoplasmic reticulum); GO:0000151 (ubiquitin ligase complex); GO:0031624 (ubiquitin conjugating enzyme binding); GO:0032436 (positive regulation of proteasomal ubiquitin-dependent protein catabolic process); GO:0005739 (mitochondrion); GO:0000422 (autophagy of mitochondrion); GO:0042981 (regulation of apoptotic process); GO:0010821 (regulation of mitochondrion organization); GO:0043025 (neuronal cell body); GO:0008340 (determination of adult lifespan); GO:0030336 (negative regulation of cell migration); GO:0009636 (response to toxic substance); GO:0051865 (protein autoubiquitination); GO:1901075 (negative regulation of engulfment of apoptotic cell); GO:0005741 (mitochondrial outer membrane); GO:0005515 (protein binding); GO:0001933 (negative regulation of protein phosphorylation); GO:1900407 (regulation of cellular response to oxidative stress)</t>
  </si>
  <si>
    <t>GO:0007165 (signal transduction); GO:0003796 (lysozyme activity); GO:0016998 (cell wall macromolecule catabolic process); GO:0050830 (defense response to Gram-positive bacterium); GO:0009253 (peptidoglycan catabolic process)</t>
  </si>
  <si>
    <t xml:space="preserve">ToLlIp homolog </t>
  </si>
  <si>
    <t>GO:0005737 (cytoplasm); GO:0006511 (ubiquitin-dependent protein catabolic process); GO:0031624 (ubiquitin conjugating enzyme binding); GO:0002376 (immune system process); GO:0045087 (innate immune response); GO:0006914 (autophagy); GO:0043130 (ubiquitin binding); GO:0005515 (protein binding)</t>
  </si>
  <si>
    <t xml:space="preserve">Trans-Golgi Network protein homolog </t>
  </si>
  <si>
    <t xml:space="preserve">Histone-lysine N-methyltransferase Suv4-20 </t>
  </si>
  <si>
    <t>GO:0005634 (nucleus); GO:0008168 (methyltransferase activity); GO:0032259 (methylation); GO:0016740 (transferase activity); GO:0008340 (determination of adult lifespan); GO:0006325 (chromatin organization); GO:0005694 (chromosome); GO:0003674 (molecular_function); GO:0005575 (cellular_component); GO:0042799 (histone methyltransferase activity (H4-K20 specific)); GO:0034773 (histone H4-K20 trimethylation); GO:0005515 (protein binding); GO:0034772 (histone H4-K20 dimethylation)</t>
  </si>
  <si>
    <t>GO:0007165 (signal transduction); GO:0005096 (GTPase activator activity); GO:0043547 (positive regulation of GTPase activity); GO:0005515 (protein binding); GO:0005547 (phosphatidylinositol-3,4,5-trisphosphate binding)</t>
  </si>
  <si>
    <t xml:space="preserve">Dynein light chain 1, cytoplasmic </t>
  </si>
  <si>
    <t>GO:0005875 (microtubule associated complex); GO:0030286 (dynein complex); GO:0007017 (microtubule-based process)</t>
  </si>
  <si>
    <t xml:space="preserve">Aspartate aminotransferase, cytoplasmic </t>
  </si>
  <si>
    <t>GO:0009058 (biosynthetic process); GO:0008483 (transaminase activity); GO:0006520 (cellular amino acid metabolic process); GO:0030170 (pyridoxal phosphate binding); GO:0003824 (catalytic activity)</t>
  </si>
  <si>
    <t xml:space="preserve">Poly(ADP-ribose) glycohydrolase 1 </t>
  </si>
  <si>
    <t>GO:0004649 (poly(ADP-ribose) glycohydrolase activity); GO:0005975 (carbohydrate metabolic process); GO:0016787 (hydrolase activity)</t>
  </si>
  <si>
    <t xml:space="preserve">Pre-mRNA-splicing factor syf-2 </t>
  </si>
  <si>
    <t>GO:0005634 (nucleus); GO:0000974 (Prp19 complex); GO:0071013 (catalytic step 2 spliceosome); GO:0071014 (post-mRNA release spliceosomal complex); GO:0006397 (mRNA processing); GO:0008380 (RNA splicing); GO:0005681 (spliceosomal complex)</t>
  </si>
  <si>
    <t xml:space="preserve">ATP-dependent 6-phosphofructokinase 1 </t>
  </si>
  <si>
    <t>GO:0006002 (fructose 6-phosphate metabolic process); GO:0005737 (cytoplasm); GO:0005524 (ATP binding); GO:0006096 (glycolytic process); GO:0003872 (6-phosphofructokinase activity)</t>
  </si>
  <si>
    <t xml:space="preserve">NHP2-like protein 1 homolog </t>
  </si>
  <si>
    <t>GO:0003723 (RNA binding); GO:0005634 (nucleus); GO:0000398 (mRNA splicing, via spliceosome); GO:0046540 (U4/U6 x U5 tri-snRNP complex); GO:0005730 (nucleolus); GO:0032040 (small-subunit processome); GO:0000470 (maturation of LSU-rRNA); GO:0006397 (mRNA processing); GO:0008380 (RNA splicing); GO:0005681 (spliceosomal complex); GO:0030490 (maturation of SSU-rRNA); GO:1990904 (ribonucleoprotein complex); GO:0031428 (box C/D snoRNP complex); GO:0042254 (ribosome biogenesis); GO:0071011 (precatalytic spliceosome)</t>
  </si>
  <si>
    <t xml:space="preserve">Transcription initiation factor IIB </t>
  </si>
  <si>
    <t>GO:0005634 (nucleus); GO:0046872 (metal ion binding); GO:0017025 (TBP-class protein binding); GO:0070897 (transcription preinitiation complex assembly); GO:0006352 (DNA-templated transcription, initiation); GO:0006367 (transcription initiation from RNA polymerase II promoter); GO:0097550 (transcription preinitiation complex); GO:0016251 (RNA polymerase II general transcription initiation factor activity)</t>
  </si>
  <si>
    <t xml:space="preserve">Phosphorylase b kinase regulatory subunit </t>
  </si>
  <si>
    <t>GO:0016020 (membrane); GO:0005886 (plasma membrane); GO:0005975 (carbohydrate metabolic process); GO:0005516 (calmodulin binding); GO:0005977 (glycogen metabolic process); GO:0005964 (phosphorylase kinase complex)</t>
  </si>
  <si>
    <t>GO:0004550 (nucleoside diphosphate kinase activity); GO:0006165 (nucleoside diphosphate phosphorylation)</t>
  </si>
  <si>
    <t xml:space="preserve">Mitochondrial Rho GTPase 1 </t>
  </si>
  <si>
    <t>GO:0031307 (integral component of mitochondrial outer membrane); GO:0007005 (mitochondrion organization); GO:0003924 (GTPase activity); GO:0005525 (GTP binding); GO:0005509 (calcium ion binding)</t>
  </si>
  <si>
    <t>GO:0016020 (membrane); GO:0016491 (oxidoreductase activity); GO:0009055 (electron transfer activity); GO:0016627 (oxidoreductase activity, acting on the CH-CH group of donors); GO:0050660 (flavin adenine dinucleotide binding); GO:0006099 (tricarboxylic acid cycle); GO:0005739 (mitochondrion); GO:0005743 (mitochondrial inner membrane); GO:0000104 (succinate dehydrogenase activity); GO:0005749 (mitochondrial respiratory chain complex II, succinate dehydrogenase complex (ubiquinone)); GO:0006121 (mitochondrial electron transport, succinate to ubiquinone); GO:0008177 (succinate dehydrogenase (ubiquinone) activity); GO:0022900 (electron transport chain); GO:0055114 (oxidation-reduction process)</t>
  </si>
  <si>
    <t>GO:0003735 (structural constituent of ribosome); GO:0005840 (ribosome); GO:0005762 (mitochondrial large ribosomal subunit)</t>
  </si>
  <si>
    <t>GO:0005634 (nucleus); GO:0005829 (cytosol); GO:0006606 (protein import into nucleus); GO:0030544 (Hsp70 protein binding); GO:0061608 (nuclear import signal receptor activity)</t>
  </si>
  <si>
    <t>GO:0005737 (cytoplasm); GO:0046872 (metal ion binding); GO:0061630 (ubiquitin protein ligase activity); GO:0008270 (zinc ion binding); GO:0016567 (protein ubiquitination)</t>
  </si>
  <si>
    <t>GO:0005634 (nucleus); GO:0005737 (cytoplasm); GO:0006355 (regulation of transcription, DNA-templated); GO:0000932 (P-body); GO:0005515 (protein binding); GO:0030015 (CCR4-NOT core complex); GO:0000289 (nuclear-transcribed mRNA poly(A) tail shortening)</t>
  </si>
  <si>
    <t xml:space="preserve">Uncharacterized ATP-dependent helicase C05C10.2 </t>
  </si>
  <si>
    <t>GO:0016787 (hydrolase activity); GO:0004386 (helicase activity); GO:0000166 (nucleotide binding); GO:0005524 (ATP binding); GO:0003723 (RNA binding); GO:0005829 (cytosol); GO:0043186 (P granule); GO:0035194 (post-transcriptional gene silencing by RNA)</t>
  </si>
  <si>
    <t>GO:0030016 (myofibril); GO:0005515 (protein binding)</t>
  </si>
  <si>
    <t xml:space="preserve">SR-related CTD associated factor 6 </t>
  </si>
  <si>
    <t>GO:0003676 (nucleic acid binding); GO:0006874 (cellular calcium ion homeostasis); GO:0048471 (perinuclear region of cytoplasm)</t>
  </si>
  <si>
    <t xml:space="preserve">Reticulon-4-interacting protein 1, mitochondrial </t>
  </si>
  <si>
    <t>GO:0005739 (mitochondrion); GO:0016491 (oxidoreductase activity); GO:0009792 (embryo development ending in birth or egg hatching); GO:0045087 (innate immune response); GO:0040010 (positive regulation of growth rate); GO:0000003 (reproduction); GO:0070482 (response to oxygen levels); GO:0050829 (defense response to Gram-negative bacterium); GO:0006979 (response to oxidative stress); GO:0040014 (regulation of multicellular organism growth); GO:0000303 (response to superoxide); GO:0009411 (response to UV); GO:0032504 (multicellular organism reproduction); GO:0055114 (oxidation-reduction process)</t>
  </si>
  <si>
    <t xml:space="preserve">RNA polymerase II subunit A C-terminal domain phosphatase </t>
  </si>
  <si>
    <t>GO:0070940 (dephosphorylation of RNA polymerase II C-terminal domain); GO:0008420 (RNA polymerase II CTD heptapeptide repeat phosphatase activity); GO:0004721 (phosphoprotein phosphatase activity); GO:0005634 (nucleus)</t>
  </si>
  <si>
    <t xml:space="preserve">Paired amphipathic helix protein sin-3 </t>
  </si>
  <si>
    <t>GO:0005634 (nucleus); GO:0006355 (regulation of transcription, DNA-templated); GO:0000122 (negative regulation of transcription by RNA polymerase II); GO:0003714 (transcription corepressor activity); GO:0016575 (histone deacetylation); GO:0000785 (chromatin); GO:0016580 (Sin3 complex); GO:0000118 (histone deacetylase complex); GO:0005515 (protein binding); GO:0004407 (histone deacetylase activity); GO:0001708 (cell fate specification); GO:0040011 (locomotion); GO:0040025 (vulval development); GO:0090597 (nematode male tail mating organ morphogenesis)</t>
  </si>
  <si>
    <t xml:space="preserve">40S ribosomal protein S25 </t>
  </si>
  <si>
    <t>GO:0005840 (ribosome); GO:0003735 (structural constituent of ribosome); GO:0022627 (cytosolic small ribosomal subunit)</t>
  </si>
  <si>
    <t xml:space="preserve">60S ribosomal protein L35a </t>
  </si>
  <si>
    <t>GO:0003735 (structural constituent of ribosome); GO:0005840 (ribosome); GO:0006412 (translation); GO:0022625 (cytosolic large ribosomal subunit); GO:0002181 (cytoplasmic translation); GO:0042273 (ribosomal large subunit biogenesis)</t>
  </si>
  <si>
    <t xml:space="preserve">Yeast MMS related </t>
  </si>
  <si>
    <t>GO:0005634 (nucleus); GO:0005737 (cytoplasm); GO:0005856 (cytoskeleton); GO:0006281 (DNA repair); GO:0006974 (cellular response to DNA damage stimulus); GO:0016226 (iron-sulfur cluster assembly); GO:0097428 (protein maturation by iron-sulfur cluster transfer); GO:0005819 (spindle); GO:0097361 (CIA complex)</t>
  </si>
  <si>
    <t xml:space="preserve">Synaptobrevin-1 </t>
  </si>
  <si>
    <t>GO:0016020 (membrane); GO:0016021 (integral component of membrane); GO:0005886 (plasma membrane); GO:0016192 (vesicle-mediated transport); GO:0031410 (cytoplasmic vesicle); GO:0019905 (syntaxin binding); GO:0030054 (cell junction); GO:0045202 (synapse); GO:0031201 (SNARE complex); GO:0043005 (neuron projection); GO:0005484 (SNAP receptor activity); GO:0006906 (vesicle fusion); GO:0030672 (synaptic vesicle membrane); GO:0002119 (nematode larval development); GO:0030421 (defecation); GO:0007271 (synaptic transmission, cholinergic); GO:0030424 (axon); GO:0043051 (regulation of pharyngeal pumping); GO:0048786 (presynaptic active zone); GO:0008021 (synaptic vesicle); GO:0060473 (cortical granule); GO:0016079 (synaptic vesicle exocytosis); GO:0043134 (regulation of hindgut contraction)</t>
  </si>
  <si>
    <t xml:space="preserve">Brix domain-containing protein ZK795.3 </t>
  </si>
  <si>
    <t>GO:0005730 (nucleolus); GO:0006364 (rRNA processing); GO:0032040 (small-subunit processome); GO:0019843 (rRNA binding); GO:0030515 (snoRNA binding); GO:0034457 (Mpp10 complex); GO:0042134 (rRNA primary transcript binding)</t>
  </si>
  <si>
    <t xml:space="preserve">F-box/WD repeat-containing protein lin-23 </t>
  </si>
  <si>
    <t>GO:0034511 (U3 snoRNA binding); GO:0046983 (protein dimerization activity); GO:0006364 (rRNA processing); GO:0005515 (protein binding)</t>
  </si>
  <si>
    <t xml:space="preserve">Nuclear migration and anchoring protein unc-84 </t>
  </si>
  <si>
    <t>GO:0016020 (membrane); GO:0016021 (integral component of membrane); GO:0005634 (nucleus); GO:0005737 (cytoplasm); GO:0005856 (cytoskeleton); GO:0007275 (multicellular organism development); GO:0005515 (protein binding); GO:0005635 (nuclear envelope); GO:0005637 (nuclear inner membrane); GO:0006998 (nuclear envelope organization); GO:0043495 (protein-membrane adaptor activity); GO:0018991 (oviposition); GO:0040011 (locomotion); GO:0040025 (vulval development); GO:0009791 (post-embryonic development); GO:0030334 (regulation of cell migration); GO:0007097 (nuclear migration); GO:0007399 (nervous system development); GO:0005521 (lamin binding); GO:0030473 (nuclear migration along microtubule); GO:0034993 (meiotic nuclear membrane microtubule tethering complex)</t>
  </si>
  <si>
    <t xml:space="preserve">Heat shock protein 110 </t>
  </si>
  <si>
    <t xml:space="preserve">Probable translation initiation factor eIF-2B subunit gamma </t>
  </si>
  <si>
    <t>GO:0016779 (nucleotidyltransferase activity); GO:0009058 (biosynthetic process)</t>
  </si>
  <si>
    <t>GO:0005737 (cytoplasm); GO:1990904 (ribonucleoprotein complex); GO:0006364 (rRNA processing); GO:0000492 (box C/D snoRNP assembly); GO:0097255 (R2TP complex)</t>
  </si>
  <si>
    <t xml:space="preserve">Uncharacterized transporter slc-17.2 </t>
  </si>
  <si>
    <t>GO:0016020 (membrane); GO:0016021 (integral component of membrane); GO:0006811 (ion transport); GO:0022857 (transmembrane transporter activity); GO:0055085 (transmembrane transport); GO:0006814 (sodium ion transport); GO:0015293 (symporter activity); GO:0006820 (anion transport)</t>
  </si>
  <si>
    <t>GO:0005737 (cytoplasm); GO:0046872 (metal ion binding); GO:0006508 (proteolysis); GO:0004198 (calcium-dependent cysteine-type endopeptidase activity)</t>
  </si>
  <si>
    <t xml:space="preserve">Eukaryotic translation initiation factor 5 </t>
  </si>
  <si>
    <t>GO:0000166 (nucleotide binding); GO:0005525 (GTP binding); GO:0003743 (translation initiation factor activity); GO:0006412 (translation); GO:0006413 (translational initiation); GO:0005829 (cytosol); GO:0050790 (regulation of catalytic activity); GO:0003674 (molecular_function); GO:0001731 (formation of translation preinitiation complex); GO:0001732 (formation of cytoplasmic translation initiation complex); GO:0005092 (GDP-dissociation inhibitor activity); GO:0071074 (eukaryotic initiation factor eIF2 binding); GO:0005515 (protein binding)</t>
  </si>
  <si>
    <t>GO:0006406 (mRNA export from nucleus); GO:0017056 (structural constituent of nuclear pore); GO:0005643 (nuclear pore); GO:1901673 (regulation of mitotic spindle assembly)</t>
  </si>
  <si>
    <t xml:space="preserve">26S proteasome non-ATPase regulatory subunit 3 </t>
  </si>
  <si>
    <t xml:space="preserve">ISY splicing factor homolog </t>
  </si>
  <si>
    <t>GO:0005634 (nucleus); GO:0000974 (Prp19 complex); GO:0071013 (catalytic step 2 spliceosome); GO:0071014 (post-mRNA release spliceosomal complex); GO:0000350 (generation of catalytic spliceosome for second transesterification step); GO:0000389 (mRNA 3'-splice site recognition); GO:0071020 (post-spliceosomal complex); GO:2000634 (regulation of primary miRNA processing)</t>
  </si>
  <si>
    <t>GO:0005634 (nucleus); GO:0000398 (mRNA splicing, via spliceosome); GO:0003723 (RNA binding); GO:0006397 (mRNA processing); GO:0008380 (RNA splicing); GO:0005681 (spliceosomal complex); GO:0005687 (U4 snRNP); GO:0046540 (U4/U6 x U5 tri-snRNP complex); GO:0071011 (precatalytic spliceosome); GO:0000244 (spliceosomal tri-snRNP complex assembly); GO:0097526 (spliceosomal tri-snRNP complex)</t>
  </si>
  <si>
    <t xml:space="preserve">Alcohol/Ribitol Dehydrogenase family </t>
  </si>
  <si>
    <t xml:space="preserve">KRR1 small subunit processome component </t>
  </si>
  <si>
    <t>GO:0003723 (RNA binding); GO:0005634 (nucleus); GO:0005730 (nucleolus); GO:0006364 (rRNA processing); GO:0042254 (ribosome biogenesis); GO:0032040 (small-subunit processome)</t>
  </si>
  <si>
    <t xml:space="preserve">Enhancer of rudimentary homolog </t>
  </si>
  <si>
    <t xml:space="preserve">Mediator of RNA polymerase II transcription subunit 23 </t>
  </si>
  <si>
    <t xml:space="preserve">Proteasome Regulatory Particle, ATPase-like </t>
  </si>
  <si>
    <t>GO:0005524 (ATP binding); GO:0005634 (nucleus); GO:0000166 (nucleotide binding); GO:0005737 (cytoplasm); GO:0016887 (ATPase activity); GO:0050804 (modulation of chemical synaptic transmission); GO:0017025 (TBP-class protein binding); GO:0000502 (proteasome complex); GO:0008540 (proteasome regulatory particle, base subcomplex); GO:0030163 (protein catabolic process); GO:1901800 (positive regulation of proteasomal protein catabolic process); GO:0031597 (cytosolic proteasome complex); GO:0045899 (positive regulation of RNA polymerase II transcription preinitiation complex assembly); GO:0031595 (nuclear proteasome complex); GO:0098794 (postsynapse); GO:0016787 (hydrolase activity); GO:0036402 (proteasome-activating ATPase activity)</t>
  </si>
  <si>
    <t xml:space="preserve">U6 snRNA-associated Sm-like protein LSm1 </t>
  </si>
  <si>
    <t>GO:0005737 (cytoplasm); GO:0000932 (P-body); GO:0003723 (RNA binding); GO:1990726 (Lsm1-7-Pat1 complex); GO:0006397 (mRNA processing); GO:0000290 (deadenylation-dependent decapping of nuclear-transcribed mRNA); GO:0000339 (RNA cap binding); GO:0000956 (nuclear-transcribed mRNA catabolic process); GO:0016070 (RNA metabolic process); GO:0010494 (cytoplasmic stress granule)</t>
  </si>
  <si>
    <t>GO:0000166 (nucleotide binding); GO:0005525 (GTP binding); GO:0003743 (translation initiation factor activity); GO:0006412 (translation); GO:0006413 (translational initiation); GO:0005829 (cytosol); GO:0050790 (regulation of catalytic activity); GO:0003674 (molecular_function); GO:0001731 (formation of translation preinitiation complex); GO:0001732 (formation of cytoplasmic translation initiation complex); GO:0005092 (GDP-dissociation inhibitor activity); GO:0071074 (eukaryotic initiation factor eIF2 binding)</t>
  </si>
  <si>
    <t xml:space="preserve">NAD-dependent protein deacetylase sir-2.4 </t>
  </si>
  <si>
    <t>GO:0005634 (nucleus); GO:0046872 (metal ion binding); GO:0016740 (transferase activity); GO:0000122 (negative regulation of transcription by RNA polymerase II); GO:0003714 (transcription corepressor activity); GO:0004407 (histone deacetylase activity); GO:0070403 (NAD+ binding); GO:0070932 (histone H3 deacetylation); GO:0046969 (NAD-dependent histone deacetylase activity (H3-K9 specific)); GO:1990619 (histone H3-K9 deacetylation); GO:0019213 (deacetylase activity); GO:0005515 (protein binding); GO:0005635 (nuclear envelope); GO:1903863 (P granule assembly); GO:0005643 (nuclear pore); GO:0043186 (P granule); GO:0009408 (response to heat); GO:0008134 (transcription factor binding); GO:0006476 (protein deacetylation); GO:0010494 (cytoplasmic stress granule); GO:0034979 (NAD-dependent protein deacetylase activity); GO:0061647 (histone H3-K9 modification)</t>
  </si>
  <si>
    <t xml:space="preserve">Nucleolar GTP-binding protein 1 </t>
  </si>
  <si>
    <t>GO:0005730 (nucleolus); GO:0005525 (GTP binding)</t>
  </si>
  <si>
    <t>GO:0005739 (mitochondrion); GO:0019216 (regulation of lipid metabolic process)</t>
  </si>
  <si>
    <t>GO:0005576 (extracellular region); GO:0030414 (peptidase inhibitor activity); GO:0052547 (regulation of peptidase activity)</t>
  </si>
  <si>
    <t>GO:0003924 (GTPase activity); GO:0017157 (regulation of exocytosis); GO:0008021 (synaptic vesicle); GO:0005940 (septin ring); GO:0015630 (microtubule cytoskeleton); GO:0031105 (septin complex); GO:0061640 (cytoskeleton-dependent cytokinesis); GO:0032153 (cell division site); GO:0034613 (cellular protein localization); GO:0060090 (molecular adaptor activity)</t>
  </si>
  <si>
    <t xml:space="preserve">UBX domain-containing protein 3 </t>
  </si>
  <si>
    <t>GO:0005634 (nucleus); GO:0005737 (cytoplasm); GO:0005515 (protein binding); GO:0044877 (protein-containing complex binding); GO:0005694 (chromosome); GO:0042006 (masculinization of hermaphroditic germ-line); GO:0030154 (cell differentiation); GO:0007283 (spermatogenesis); GO:0045977 (positive regulation of mitotic cell cycle, embryonic); GO:0048471 (perinuclear region of cytoplasm); GO:0000785 (chromatin); GO:0036435 (K48-linked polyubiquitin modification-dependent protein binding); GO:1903364 (positive regulation of cellular protein catabolic process); GO:1905634 (regulation of protein localization to chromatin)</t>
  </si>
  <si>
    <t>GO:0003735 (structural constituent of ribosome); GO:0005763 (mitochondrial small ribosomal subunit); GO:0032543 (mitochondrial translation)</t>
  </si>
  <si>
    <t xml:space="preserve">Trehalose-phosphatase </t>
  </si>
  <si>
    <t>GO:0005524 (ATP binding); GO:0016787 (hydrolase activity); GO:0004386 (helicase activity); GO:0000166 (nucleotide binding); GO:0003676 (nucleic acid binding); GO:0090305 (nucleic acid phosphodiester bond hydrolysis); GO:0004518 (nuclease activity); GO:0004527 (exonuclease activity); GO:0003724 (RNA helicase activity); GO:0005515 (protein binding)</t>
  </si>
  <si>
    <t xml:space="preserve">FLi1-Associated Protein homolog </t>
  </si>
  <si>
    <t>GO:0006355 (regulation of transcription, DNA-templated)</t>
  </si>
  <si>
    <t>GO:0030145 (manganese ion binding); GO:0005739 (mitochondrion); GO:0006508 (proteolysis); GO:0070006 (metalloaminopeptidase activity); GO:0008233 (peptidase activity); GO:0004177 (aminopeptidase activity)</t>
  </si>
  <si>
    <t xml:space="preserve">SAM (S-Adenosyl Methionine) Transporter </t>
  </si>
  <si>
    <t>GO:0016020 (membrane); GO:0016021 (integral component of membrane); GO:0015098 (molybdate ion transmembrane transporter activity); GO:0015689 (molybdate ion transport)</t>
  </si>
  <si>
    <t xml:space="preserve">L-2-hydroxyglutarate dehydrogenase, mitochondrial </t>
  </si>
  <si>
    <t>GO:0005739 (mitochondrion); GO:0016491 (oxidoreductase activity); GO:0003973 ((S)-2-hydroxy-acid oxidase activity); GO:0047545 (2-hydroxyglutarate dehydrogenase activity); GO:0055114 (oxidation-reduction process)</t>
  </si>
  <si>
    <t xml:space="preserve">Heat shock protein 90 </t>
  </si>
  <si>
    <t>GO:0030246 (carbohydrate binding); GO:0005737 (cytoplasm); GO:0051861 (glycolipid binding)</t>
  </si>
  <si>
    <t>GO:0006888 (endoplasmic reticulum to Golgi vesicle-mediated transport); GO:0034497 (protein localization to phagophore assembly site); GO:0030242 (autophagy of peroxisome); GO:0000407 (phagophore assembly site); GO:0031410 (cytoplasmic vesicle); GO:1990072 (TRAPPIII protein complex)</t>
  </si>
  <si>
    <t xml:space="preserve">CTD small phosphatase-like protein 3 </t>
  </si>
  <si>
    <t>GO:0016787 (hydrolase activity); GO:0016311 (dephosphorylation); GO:0004721 (phosphoprotein phosphatase activity); GO:0006470 (protein dephosphorylation); GO:0016791 (phosphatase activity)</t>
  </si>
  <si>
    <t xml:space="preserve">Probable glutamine synthetase </t>
  </si>
  <si>
    <t>GO:0006542 (glutamine biosynthetic process); GO:0004356 (glutamate-ammonia ligase activity); GO:0006807 (nitrogen compound metabolic process); GO:0003824 (catalytic activity)</t>
  </si>
  <si>
    <t xml:space="preserve">tRNA-dihydrouridine(47) synthase [NAD(P)(+)] </t>
  </si>
  <si>
    <t>GO:0003824 (catalytic activity); GO:0046872 (metal ion binding); GO:0016491 (oxidoreductase activity); GO:0050660 (flavin adenine dinucleotide binding); GO:0008033 (tRNA processing); GO:0002943 (tRNA dihydrouridine synthesis); GO:0017150 (tRNA dihydrouridine synthase activity); GO:0055114 (oxidation-reduction process)</t>
  </si>
  <si>
    <t>GO:0005634 (nucleus); GO:0005737 (cytoplasm); GO:0043161 (proteasome-mediated ubiquitin-dependent protein catabolic process); GO:0010499 (proteasomal ubiquitin-independent protein catabolic process); GO:0004175 (endopeptidase activity); GO:0000502 (proteasome complex); GO:0004298 (threonine-type endopeptidase activity); GO:0005839 (proteasome core complex); GO:0051603 (proteolysis involved in cellular protein catabolic process)</t>
  </si>
  <si>
    <t>GO:0005634 (nucleus); GO:0005737 (cytoplasm); GO:0007049 (cell cycle); GO:0019901 (protein kinase binding); GO:0005515 (protein binding); GO:0051301 (cell division); GO:0007088 (regulation of mitotic nuclear division); GO:0032147 (activation of protein kinase activity); GO:0000776 (kinetochore); GO:0060236 (regulation of mitotic spindle organization)</t>
  </si>
  <si>
    <t xml:space="preserve">Ras-related protein Rab-33 </t>
  </si>
  <si>
    <t>GO:0032482 (Rab protein signal transduction); GO:0003924 (GTPase activity); GO:0005525 (GTP binding)</t>
  </si>
  <si>
    <t xml:space="preserve">Probable 4-aminobutyrate aminotransferase, mitochondrial </t>
  </si>
  <si>
    <t>GO:0009448 (gamma-aminobutyric acid metabolic process); GO:0003867 (4-aminobutyrate transaminase activity); GO:0008483 (transaminase activity); GO:0030170 (pyridoxal phosphate binding); GO:0003824 (catalytic activity); GO:0016740 (transferase activity)</t>
  </si>
  <si>
    <t xml:space="preserve">60S ribosomal protein L13 </t>
  </si>
  <si>
    <t>GO:0005737 (cytoplasm); GO:0003723 (RNA binding); GO:0003735 (structural constituent of ribosome); GO:0005840 (ribosome); GO:0006412 (translation); GO:0022625 (cytosolic large ribosomal subunit); GO:0005829 (cytosol)</t>
  </si>
  <si>
    <t>GO:0005524 (ATP binding); GO:0016787 (hydrolase activity); GO:0004386 (helicase activity); GO:0000166 (nucleotide binding); GO:0003723 (RNA binding); GO:0071013 (catalytic step 2 spliceosome); GO:0003676 (nucleic acid binding); GO:0005730 (nucleolus); GO:0003729 (mRNA binding); GO:0003724 (RNA helicase activity); GO:0071048 (nuclear retention of unspliced pre-mRNA at the site of transcription)</t>
  </si>
  <si>
    <t>GO:0003924 (GTPase activity); GO:0005525 (GTP binding); GO:0000166 (nucleotide binding); GO:0005737 (cytoplasm); GO:0006412 (translation); GO:0003746 (translation elongation factor activity); GO:0006414 (translational elongation)</t>
  </si>
  <si>
    <t xml:space="preserve">Tyrosine-protein phosphatase vhp-1 </t>
  </si>
  <si>
    <t>GO:0005737 (cytoplasm); GO:0016787 (hydrolase activity); GO:0005829 (cytosol); GO:0004725 (protein tyrosine phosphatase activity); GO:0006470 (protein dephosphorylation); GO:0004721 (phosphoprotein phosphatase activity); GO:0000187 (activation of MAPK activity); GO:0008340 (determination of adult lifespan); GO:0016311 (dephosphorylation); GO:0016791 (phosphatase activity); GO:0008138 (protein tyrosine/serine/threonine phosphatase activity); GO:0017017 (MAP kinase tyrosine/serine/threonine phosphatase activity); GO:0006986 (response to unfolded protein); GO:1900182 (positive regulation of protein localization to nucleus); GO:0048692 (negative regulation of axon extension involved in regeneration); GO:1900426 (positive regulation of defense response to bacterium); GO:0046686 (response to cadmium ion); GO:1900180 (regulation of protein localization to nucleus); GO:1900181 (negative regulation of protein localization to nucleus); GO:1900425 (negative regulation of defense response to bacterium); GO:0001933 (negative regulation of protein phosphorylation); GO:0051019 (mitogen-activated protein kinase binding); GO:0046688 (response to copper ion); GO:0002119 (nematode larval development); GO:0005634 (nucleus); GO:1903854 (negative regulation of stress response to copper ion); GO:0008579 (JUN kinase phosphatase activity); GO:0000188 (inactivation of MAPK activity); GO:0046329 (negative regulation of JNK cascade); GO:0008330 (protein tyrosine/threonine phosphatase activity); GO:0035335 (peptidyl-tyrosine dephosphorylation); GO:0035970 (peptidyl-threonine dephosphorylation); GO:0004722 (protein serine/threonine phosphatase activity); GO:0106306 (protein serine phosphatase activity); GO:0106307 (protein threonine phosphatase activity)</t>
  </si>
  <si>
    <t xml:space="preserve">40S ribosomal protein S12 </t>
  </si>
  <si>
    <t>GO:0003735 (structural constituent of ribosome); GO:0005840 (ribosome); GO:0006412 (translation); GO:0022627 (cytosolic small ribosomal subunit)</t>
  </si>
  <si>
    <t xml:space="preserve">LiPIN (Mammalian lipodystrophy associated) homolog </t>
  </si>
  <si>
    <t>GO:0005634 (nucleus); GO:0045944 (positive regulation of transcription by RNA polymerase II); GO:0016311 (dephosphorylation); GO:0044255 (cellular lipid metabolic process); GO:0003713 (transcription coactivator activity); GO:0008195 (phosphatidate phosphatase activity); GO:0009062 (fatty acid catabolic process); GO:0032869 (cellular response to insulin stimulus); GO:0019432 (triglyceride biosynthetic process); GO:0009792 (embryo development ending in birth or egg hatching); GO:0002119 (nematode larval development); GO:0005737 (cytoplasm); GO:0005783 (endoplasmic reticulum); GO:0051783 (regulation of nuclear division); GO:0019915 (lipid storage); GO:0005635 (nuclear envelope); GO:0005654 (nucleoplasm); GO:0000070 (mitotic sister chromatid segregation); GO:0034504 (protein localization to nucleus); GO:0007029 (endoplasmic reticulum organization); GO:0007078 (lamin depolymerization); GO:0031468 (nuclear envelope reassembly); GO:0051081 (nuclear envelope disassembly)</t>
  </si>
  <si>
    <t xml:space="preserve">G protein-coupled receptor EGL-6 isoform b </t>
  </si>
  <si>
    <t>GO:0016020 (membrane); GO:0016021 (integral component of membrane); GO:0005886 (plasma membrane); GO:0004930 (G protein-coupled receptor activity); GO:0007186 (G protein-coupled receptor signaling pathway); GO:0008528 (G protein-coupled peptide receptor activity); GO:1901045 (negative regulation of oviposition)</t>
  </si>
  <si>
    <t xml:space="preserve">tRNA (adenine(58)-N(1))-methyltransferase catalytic subunit TRMT61A </t>
  </si>
  <si>
    <t>GO:0005634 (nucleus); GO:0008168 (methyltransferase activity); GO:0032259 (methylation); GO:0016740 (transferase activity); GO:0008033 (tRNA processing); GO:0030488 (tRNA methylation); GO:0016429 (tRNA (adenine-N1-)-methyltransferase activity); GO:0031515 (tRNA (m1A) methyltransferase complex)</t>
  </si>
  <si>
    <t>GO:0005739 (mitochondrion); GO:0043461 (proton-transporting ATP synthase complex assembly)</t>
  </si>
  <si>
    <t xml:space="preserve">Putative potassium channel regulatory protein unc-93 </t>
  </si>
  <si>
    <t>GO:0016020 (membrane); GO:0016021 (integral component of membrane); GO:0005886 (plasma membrane); GO:0006811 (ion transport); GO:0006813 (potassium ion transport); GO:0006937 (regulation of muscle contraction); GO:0005887 (integral component of plasma membrane); GO:0055120 (striated muscle dense body); GO:0015459 (potassium channel regulator activity); GO:0043266 (regulation of potassium ion transport)</t>
  </si>
  <si>
    <t xml:space="preserve">RFS-1 Interacting Partner </t>
  </si>
  <si>
    <t>GO:0005515 (protein binding); GO:0033061 (DNA recombinase mediator complex)</t>
  </si>
  <si>
    <t xml:space="preserve">Probable medium-chain specific acyl-CoA dehydrogenase 10, mitochondrial </t>
  </si>
  <si>
    <t>GO:0005737 (cytoplasm); GO:0005739 (mitochondrion); GO:0008017 (microtubule binding); GO:0005876 (spindle microtubule); GO:0097431 (mitotic spindle pole); GO:0005515 (protein binding); GO:0016020 (membrane); GO:0016021 (integral component of membrane)</t>
  </si>
  <si>
    <t>GO:0005737 (cytoplasm); GO:0016567 (protein ubiquitination); GO:0046872 (metal ion binding); GO:0016740 (transferase activity); GO:0061630 (ubiquitin protein ligase activity)</t>
  </si>
  <si>
    <t xml:space="preserve">Putative 1-acyl-sn-glycerol-3-phosphate acyltransferase acl-12 </t>
  </si>
  <si>
    <t xml:space="preserve">Probable tyrosine-protein phosphatase F54C8.4 </t>
  </si>
  <si>
    <t>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</t>
  </si>
  <si>
    <t xml:space="preserve">2-oxoglutarate dehydrogenase, mitochondrial </t>
  </si>
  <si>
    <t xml:space="preserve">UPF0057 membrane protein T23F2.5 </t>
  </si>
  <si>
    <t xml:space="preserve">Eukaryotic translation initiation factor 3 subunit I </t>
  </si>
  <si>
    <t>GO:0005852 (eukaryotic translation initiation factor 3 complex); GO:0003743 (translation initiation factor activity); GO:0005737 (cytoplasm); GO:0005515 (protein binding)</t>
  </si>
  <si>
    <t>GO:0005737 (cytoplasm); 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activity); GO:0008138 (protein tyrosine/serine/threonine phosphatase activity); GO:0043405 (regulation of MAP kinase activity); GO:0008579 (JUN kinase phosphatase activity)</t>
  </si>
  <si>
    <t>GO:0016020 (membrane); GO:0016021 (integral component of membrane); GO:0055085 (transmembrane transport); GO:0030001 (metal ion transport); GO:0046873 (metal ion transmembrane transporter activity)</t>
  </si>
  <si>
    <t xml:space="preserve">UDP-glucose 4-epimerase </t>
  </si>
  <si>
    <t>GO:0003978 (UDP-glucose 4-epimerase activity); GO:0006012 (galactose metabolic process)</t>
  </si>
  <si>
    <t xml:space="preserve">Homolog of Odr-2 (Two); Ly-6-related protein HOT-6 </t>
  </si>
  <si>
    <t xml:space="preserve">Transthyretin-like protein 16 </t>
  </si>
  <si>
    <t xml:space="preserve">Growth hormone-regulated TBC protein 6 </t>
  </si>
  <si>
    <t>GO:0006270 (DNA replication initiation); GO:0033314 (mitotic DNA replication checkpoint); GO:0007095 (mitotic G2 DNA damage checkpoint); GO:0009792 (embryo development ending in birth or egg hatching); GO:0006974 (cellular response to DNA damage stimulus); GO:0036093 (germ cell proliferation); GO:0006261 (DNA-dependent DNA replication)</t>
  </si>
  <si>
    <t xml:space="preserve">GMP reductase </t>
  </si>
  <si>
    <t>GO:0003824 (catalytic activity); GO:0046872 (metal ion binding); GO:0016491 (oxidoreductase activity); GO:0003920 (GMP reductase activity); GO:0006144 (purine nucleobase metabolic process); GO:0006163 (purine nucleotide metabolic process); GO:0009117 (nucleotide metabolic process); GO:1902560 (GMP reductase complex); GO:0055114 (oxidation-reduction process)</t>
  </si>
  <si>
    <t>GO:0005634 (nucleus); GO:0032039 (integrator complex); GO:0016180 (snRNA processing)</t>
  </si>
  <si>
    <t xml:space="preserve">T-complex protein 1 subunit gamma </t>
  </si>
  <si>
    <t>GO:0005524 (ATP binding); GO:0000166 (nucleotide binding); GO:0005737 (cytoplasm); GO:0005874 (microtubule); GO:0016887 (ATPase activity); GO:0051082 (unfolded protein binding); GO:0006457 (protein folding); GO:0005832 (chaperonin-containing T-complex)</t>
  </si>
  <si>
    <t xml:space="preserve">MLP/CRP family (Muscle LIM Protein/Cysteine-rich Protein) </t>
  </si>
  <si>
    <t>GO:0005737 (cytoplasm); GO:0046872 (metal ion binding); GO:0030036 (actin cytoskeleton organization); GO:0055120 (striated muscle dense body)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</si>
  <si>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transduction); GO:0000165 (MAPK cascade); GO:0004707 (MAP kinase activity)</t>
  </si>
  <si>
    <t xml:space="preserve">Nuclear transcription Factor Y, B (Beta) subunit </t>
  </si>
  <si>
    <t>GO:0005634 (nucleus); GO:0005737 (cytoplasm); GO:0006355 (regulation of transcription, DNA-templated); GO:0003677 (DNA binding); GO:0005515 (protein binding); GO:0016602 (CCAAT-binding factor complex); GO:0046982 (protein heterodimerization activity); GO:0000978 (RNA polymerase II cis-regulatory region sequence-specific DNA binding); GO:0000981 (DNA-binding transcription factor activity, RNA polymerase II-specific); GO:0006357 (regulation of transcription by RNA polymerase II); GO:0043204 (perikaryon); GO:0010468 (regulation of gene expression); GO:0045944 (positive regulation of transcription by RNA polymerase II); GO:0001228 (DNA-binding transcription activator activity, RNA polymerase II-specific); GO:0001217 (DNA-binding transcription repressor activity); GO:0009888 (tissue development); GO:0045892 (negative regulation of transcription, DNA-templated)</t>
  </si>
  <si>
    <t xml:space="preserve">Hyaluronidase </t>
  </si>
  <si>
    <t>GO:0003824 (catalytic activity); GO:0008152 (metabolic process); GO:0016787 (hydrolase activity); GO:0016798 (hydrolase activity, acting on glycosyl bonds); GO:0005975 (carbohydrate metabolic process); GO:0004415 (hyalurononglucosaminidase activity); GO:0015929 (hexosaminidase activity); GO:0030207 (chondroitin sulfate catabolic process); GO:0030214 (hyaluronan catabolic process)</t>
  </si>
  <si>
    <t xml:space="preserve">Adr-2-binding protein 1 </t>
  </si>
  <si>
    <t xml:space="preserve">Aminopeptidase ltah-1.1 </t>
  </si>
  <si>
    <t>GO:0005524 (ATP binding); GO:0000166 (nucleotide binding); GO:0005739 (mitochondrion); GO:0000049 (tRNA binding); GO:0004828 (serine-tRNA ligase activity); GO:0006434 (seryl-tRNA aminoacylation); GO:0070158 (mitochondrial seryl-tRNA aminoacylation)</t>
  </si>
  <si>
    <t xml:space="preserve">Peptidyl-prolyl cis-trans isomerase </t>
  </si>
  <si>
    <t>GO:0005634 (nucleus); GO:0005829 (cytosol); GO:0016853 (isomerase activity); GO:0003755 (peptidyl-prolyl cis-trans isomerase activity); GO:0000413 (protein peptidyl-prolyl isomerization); GO:0005515 (protein binding)</t>
  </si>
  <si>
    <t xml:space="preserve">GPN-loop GTPase 3 </t>
  </si>
  <si>
    <t>GO:0003924 (GTPase activity); GO:0016787 (hydrolase activity); GO:0000166 (nucleotide binding); GO:0005525 (GTP binding); GO:0005515 (protein binding)</t>
  </si>
  <si>
    <t xml:space="preserve">Probable pre-mRNA-splicing factor ATP-dependent RNA helicase mog-4 </t>
  </si>
  <si>
    <t>GO:0004386 (helicase activity)</t>
  </si>
  <si>
    <t>GO:0016787 (hydrolase activity); GO:0006508 (proteolysis); GO:0008233 (peptidase activity); GO:0004197 (cysteine-type endopeptidase activity); GO:0051603 (proteolysis involved in cellular protein catabolic process); GO:0005773 (vacuole); GO:0006624 (vacuolar protein processing)</t>
  </si>
  <si>
    <t xml:space="preserve">Glycoprotein Hormone (FLR-2) Interacting protein </t>
  </si>
  <si>
    <t xml:space="preserve">Transcription factor elt-2 </t>
  </si>
  <si>
    <t xml:space="preserve">Dihydropyrimidinase 2 </t>
  </si>
  <si>
    <t>GO:0016810 (hydrolase activity, acting on carbon-nitrogen (but not peptide) bonds); GO:0005737 (cytoplasm); GO:0016787 (hydrolase activity)</t>
  </si>
  <si>
    <t>6-phosphofructo-2-kinase/fructose-2,6-bisphosphatase 6-phosphofructo-2-kinase Fructose-2,6-bisphosphatase</t>
  </si>
  <si>
    <t>GO:0006000 (fructose metabolic process); GO:0003873 (6-phosphofructo-2-kinase activity); GO:0006003 (fructose 2,6-bisphosphate metabolic process); GO:0003824 (catalytic activity); GO:0005524 (ATP binding)</t>
  </si>
  <si>
    <t>GO:0005096 (GTPase activator activity); GO:0043547 (positive regulation of GTPase activity)</t>
  </si>
  <si>
    <t>GO:0005737 (cytoplasm); GO:0003779 (actin binding); GO:0000902 (cell morphogenesis); GO:0007010 (cytoskeleton organization); GO:0008179 (adenylate cyclase binding); GO:0007015 (actin filament organization); GO:0045761 (regulation of adenylate cyclase activity); GO:0019933 (cAMP-mediated signaling)</t>
  </si>
  <si>
    <t>GO:0016020 (membrane); GO:0016021 (integral component of membrane); GO:0005737 (cytoplasm); GO:0005764 (lysosome); GO:0048471 (perinuclear region of cytoplasm)</t>
  </si>
  <si>
    <t>GO:0051726 (regulation of cell cycle)</t>
  </si>
  <si>
    <t xml:space="preserve">Isoleucine--tRNA ligase, cytoplasmic </t>
  </si>
  <si>
    <t>GO:0005524 (ATP binding); GO:0000166 (nucleotide binding); GO:0004812 (aminoacyl-tRNA ligase activity); GO:0006418 (tRNA aminoacylation for protein translation); GO:0016874 (ligase activity); GO:0005737 (cytoplasm); GO:0006412 (translation); GO:0000049 (tRNA binding); GO:0002161 (aminoacyl-tRNA editing activity); GO:0004822 (isoleucine-tRNA ligase activity); GO:0006428 (isoleucyl-tRNA aminoacylation); GO:0106074 (aminoacyl-tRNA metabolism involved in translational fidelity)</t>
  </si>
  <si>
    <t xml:space="preserve">Mediator of RNA polymerase II transcription subunit 22 </t>
  </si>
  <si>
    <t>GO:0016020 (membrane); GO:0016021 (integral component of membrane); GO:0000139 (Golgi membrane); GO:0005794 (Golgi apparatus); GO:0015031 (protein transport); GO:0006937 (regulation of muscle contraction); GO:0030173 (integral component of Golgi membrane); GO:0005515 (protein binding); GO:0097120 (receptor localization to synapse)</t>
  </si>
  <si>
    <t xml:space="preserve">60S acidic ribosomal protein P0 </t>
  </si>
  <si>
    <t>GO:0005840 (ribosome); GO:0000027 (ribosomal large subunit assembly); GO:0022625 (cytosolic large ribosomal subunit); GO:0003735 (structural constituent of ribosome); GO:0002181 (cytoplasmic translation); GO:0070180 (large ribosomal subunit rRNA binding); GO:0042254 (ribosome biogenesis)</t>
  </si>
  <si>
    <t>GO:0045944 (positive regulation of transcription by RNA polymerase II); GO:0000124 (SAGA complex); GO:0005669 (transcription factor TFIID complex); GO:0006367 (transcription initiation from RNA polymerase II promoter); GO:0046695 (SLIK (SAGA-like) complex); GO:0003713 (transcription coactivator activity); GO:0016573 (histone acetylation); GO:0016251 (RNA polymerase II general transcription initiation factor activity)</t>
  </si>
  <si>
    <t>GO:0030422 (production of siRNA involved in RNA interference); GO:0005634 (nucleus); GO:0005737 (cytoplasm); GO:0048471 (perinuclear region of cytoplasm); GO:0003674 (molecular_function); GO:0016246 (RNA interference); GO:0016458 (gene silencing); GO:1990633 (mutator focus)</t>
  </si>
  <si>
    <t xml:space="preserve">Cell division cycle protein 73 </t>
  </si>
  <si>
    <t>GO:0016570 (histone modification); GO:0016593 (Cdc73/Paf1 complex); GO:0006368 (transcription elongation from RNA polymerase II promoter)</t>
  </si>
  <si>
    <t xml:space="preserve">Probable Hsp90 co-chaperone cdc37 </t>
  </si>
  <si>
    <t>GO:0019901 (protein kinase binding); GO:0016301 (kinase activity); GO:0016310 (phosphorylation); GO:0005737 (cytoplasm); GO:0000793 (condensed chromosome); GO:0072686 (mitotic spindle)</t>
  </si>
  <si>
    <t>GO:0016020 (membrane); GO:0016021 (integral component of membrane); GO:0005216 (ion channel activity); GO:0006811 (ion transport); GO:0055085 (transmembrane transport); GO:0071805 (potassium ion transmembrane transport); GO:0005244 (voltage-gated ion channel activity); GO:0034765 (regulation of ion transmembrane transport); GO:0005249 (voltage-gated potassium channel activity); GO:0005267 (potassium channel activity); GO:0006813 (potassium ion transport); GO:0030424 (axon); GO:0005251 (delayed rectifier potassium channel activity); GO:0008076 (voltage-gated potassium channel complex); GO:0032590 (dendrite membrane); GO:0032809 (neuronal cell body membrane); GO:0051260 (protein homooligomerization); GO:0030673 (axolemma); GO:0005515 (protein binding)</t>
  </si>
  <si>
    <t>GO:0003723 (RNA binding); GO:0003735 (structural constituent of ribosome); GO:0005840 (ribosome); GO:0006412 (translation); GO:0005762 (mitochondrial large ribosomal subunit); GO:0032543 (mitochondrial translation)</t>
  </si>
  <si>
    <t>GO:0016787 (hydrolase activity); GO:0005739 (mitochondrion); GO:0003735 (structural constituent of ribosome); GO:0005840 (ribosome); GO:0005762 (mitochondrial large ribosomal subunit)</t>
  </si>
  <si>
    <t>GO:0005737 (cytoplasm); GO:0005739 (mitochondrion); GO:0008017 (microtubule binding); GO:0005876 (spindle microtubule); GO:0097431 (mitotic spindle pole); GO:0005634 (nucleus); GO:0005515 (protein binding)</t>
  </si>
  <si>
    <t xml:space="preserve">Probable gamma-butyrobetaine dioxygenase </t>
  </si>
  <si>
    <t>GO:0045329 (carnitine biosynthetic process); GO:0008336 (gamma-butyrobetaine dioxygenase activity); GO:0005506 (iron ion binding); GO:0016491 (oxidoreductase activity); GO:0055114 (oxidation-reduction process)</t>
  </si>
  <si>
    <t xml:space="preserve">Ornithine decarboxylase antizyme </t>
  </si>
  <si>
    <t>GO:0008073 (ornithine decarboxylase inhibitor activity)</t>
  </si>
  <si>
    <t>GO:0000387 (spliceosomal snRNP assembly); GO:0032797 (SMN complex)</t>
  </si>
  <si>
    <t xml:space="preserve">EXOCyst component </t>
  </si>
  <si>
    <t>GO:0015031 (protein transport); GO:0006887 (exocytosis); GO:0006893 (Golgi to plasma membrane transport); GO:0008104 (protein localization); GO:0000145 (exocyst)</t>
  </si>
  <si>
    <t xml:space="preserve">RNA polymerase-associated protein LEO1 </t>
  </si>
  <si>
    <t xml:space="preserve">Putative pyrroline-5-carboxylate reductase </t>
  </si>
  <si>
    <t>GO:0016491 (oxidoreductase activity); GO:0008652 (cellular amino acid biosynthetic process); GO:0006561 (proline biosynthetic process); GO:0055129 (L-proline biosynthetic process); GO:0004735 (pyrroline-5-carboxylate reductase activity); GO:0055114 (oxidation-reduction process)</t>
  </si>
  <si>
    <t xml:space="preserve">Ubiquitin-conjugating enzyme E2 13 </t>
  </si>
  <si>
    <t>GO:0005634 (nucleus); GO:0016740 (transferase activity); GO:0000209 (protein polyubiquitination); GO:0016567 (protein ubiquitination); GO:0016874 (ligase activity); GO:0061631 (ubiquitin conjugating enzyme activity); GO:0006301 (postreplication repair); GO:0070534 (protein K63-linked ubiquitination); GO:0005515 (protein binding); GO:0004842 (ubiquitin-protein transferase activity); GO:2000008 (regulation of protein localization to cell surface); GO:0031371 (ubiquitin conjugating enzyme complex)</t>
  </si>
  <si>
    <t xml:space="preserve">Brix domain-containing protein F44G4.1 </t>
  </si>
  <si>
    <t>GO:0005730 (nucleolus); GO:0006364 (rRNA processing); GO:0000460 (maturation of 5.8S rRNA); GO:0000470 (maturation of LSU-rRNA); GO:0030687 (preribosome, large subunit precursor); GO:0019843 (rRNA binding); GO:0042134 (rRNA primary transcript binding)</t>
  </si>
  <si>
    <t xml:space="preserve">Probable trafficking protein particle complex subunit 13 homolog </t>
  </si>
  <si>
    <t>GO:1990072 (TRAPPIII protein complex)</t>
  </si>
  <si>
    <t xml:space="preserve">Sodium-dependent low-affinity dicarboxylate transporter 1 </t>
  </si>
  <si>
    <t xml:space="preserve">Succinate dehydrogenase assembly factor 2, mitochondrial </t>
  </si>
  <si>
    <t>GO:0005739 (mitochondrion); GO:0005759 (mitochondrial matrix); GO:0034553 (mitochondrial respiratory chain complex II assembly); GO:0006099 (tricarboxylic acid cycle); GO:0006121 (mitochondrial electron transport, succinate to ubiquinone); GO:0018293 (protein-FAD linkage)</t>
  </si>
  <si>
    <t xml:space="preserve">Probable N-acetylgalactosaminyltransferase 9 </t>
  </si>
  <si>
    <t xml:space="preserve">GDP-Man:Man(3)GlcNAc(2)-PP-Dol alpha-1,2-mannosyltransferase </t>
  </si>
  <si>
    <t>GO:0004377 (GDP-Man:Man3GlcNAc2-PP-Dol alpha-1,2-mannosyltransferase activity)</t>
  </si>
  <si>
    <t>GO:0042981 (regulation of apoptotic process); GO:2001268 (negative regulation of cysteine-type endopeptidase activity involved in apoptotic signaling pathway)</t>
  </si>
  <si>
    <t xml:space="preserve">Partitioning defective protein 3 </t>
  </si>
  <si>
    <t>GO:0005515 (protein binding); GO:0007049 (cell cycle); GO:0051301 (cell division)</t>
  </si>
  <si>
    <t xml:space="preserve">26S proteasome non-ATPase regulatory subunit 8 </t>
  </si>
  <si>
    <t>GO:0005838 (proteasome regulatory particle); GO:0006508 (proteolysis)</t>
  </si>
  <si>
    <t xml:space="preserve">Transcription factor lir-3 </t>
  </si>
  <si>
    <t xml:space="preserve">Systemic RNA interference defective protein 5 </t>
  </si>
  <si>
    <t>GO:0016020 (membrane); GO:0016021 (integral component of membrane); GO:0005768 (endosome); GO:0031047 (gene silencing by RNA); GO:0031902 (late endosome membrane); GO:0050658 (RNA transport); GO:0005770 (late endosome); GO:0016246 (RNA interference)</t>
  </si>
  <si>
    <t xml:space="preserve">ER membrane protein complex subunit 3 </t>
  </si>
  <si>
    <t>GO:0005634 (nucleus); GO:0016246 (RNA interference)</t>
  </si>
  <si>
    <t>GO:0000176 (nuclear exosome (RNase complex)); GO:0000177 (cytoplasmic exosome (RNase complex)); GO:0000467 (exonucleolytic trimming to generate mature 3'-end of 5.8S rRNA from tricistronic rRNA transcript (SSU-rRNA, 5.8S rRNA, LSU-rRNA)); GO:0016075 (rRNA catabolic process); GO:0034427 (nuclear-transcribed mRNA catabolic process, exonucleolytic, 3'-5'); GO:0034473 (U1 snRNA 3'-end processing); GO:0034475 (U4 snRNA 3'-end processing); GO:0034476 (U5 snRNA 3'-end processing); GO:0043928 (exonucleolytic catabolism of deadenylated mRNA); GO:0071028 (nuclear mRNA surveillance); GO:0071035 (nuclear polyadenylation-dependent rRNA catabolic process); GO:0071038 (nuclear polyadenylation-dependent tRNA catabolic process); GO:0071042 (nuclear polyadenylation-dependent mRNA catabolic process)</t>
  </si>
  <si>
    <t xml:space="preserve">Sperm-Specific family, class Q </t>
  </si>
  <si>
    <t xml:space="preserve">PIP Kinase </t>
  </si>
  <si>
    <t>GO:0005524 (ATP binding); GO:0016301 (kinase activity); GO:0016310 (phosphorylation); GO:0046872 (metal ion binding); GO:0000166 (nucleotide binding); GO:0016740 (transferase activity); GO:0016887 (ATPase activity); GO:0046854 (phosphatidylinositol phosphorylation); GO:0010008 (endosome membrane); GO:0000285 (1-phosphatidylinositol-3-phosphate 5-kinase activity); GO:0016307 (phosphatidylinositol phosphate kinase activity); GO:0046488 (phosphatidylinositol metabolic process); GO:0043025 (neuronal cell body); GO:0005737 (cytoplasm); GO:0030424 (axon); GO:0032266 (phosphatidylinositol-3-phosphate binding)</t>
  </si>
  <si>
    <t xml:space="preserve">FACT complex subunit spt-16 </t>
  </si>
  <si>
    <t>GO:0005634 (nucleus); GO:0031491 (nucleosome binding); GO:0006260 (DNA replication); GO:0006281 (DNA repair); GO:0006974 (cellular response to DNA damage stimulus); GO:0032968 (positive regulation of transcription elongation from RNA polymerase II promoter); GO:0005694 (chromosome); GO:0006368 (transcription elongation from RNA polymerase II promoter); GO:0060465 (pharynx development); GO:0045995 (regulation of embryonic development); GO:0034724 (DNA replication-independent nucleosome organization); GO:0035101 (FACT complex); GO:0051984 (positive regulation of chromosome segregation)</t>
  </si>
  <si>
    <t>GO:0000387 (spliceosomal snRNP assembly); GO:0034719 (SMN-Sm protein complex); GO:0120114 (Sm-like protein family complex)</t>
  </si>
  <si>
    <t xml:space="preserve">Transthyretin-like protein 15 </t>
  </si>
  <si>
    <t xml:space="preserve">Replication factor C subunit 1 </t>
  </si>
  <si>
    <t>GO:0005634 (nucleus); GO:0005524 (ATP binding); GO:0003677 (DNA binding); GO:0000166 (nucleotide binding); GO:0016887 (ATPase activity); GO:0006260 (DNA replication); GO:0006281 (DNA repair); GO:0003689 (DNA clamp loader activity); GO:0005663 (DNA replication factor C complex)</t>
  </si>
  <si>
    <t xml:space="preserve">Probable prefoldin subunit 6 </t>
  </si>
  <si>
    <t xml:space="preserve">Yeast Homolog UDP-Gal Transporter </t>
  </si>
  <si>
    <t>GO:0016020 (membrane); GO:0016021 (integral component of membrane); GO:0055085 (transmembrane transport); GO:0030173 (integral component of Golgi membrane); GO:0005459 (UDP-galactose transmembrane transporter activity); GO:0030176 (integral component of endoplasmic reticulum membrane); GO:0022857 (transmembrane transporter activity); GO:0005460 (UDP-glucose transmembrane transporter activity); GO:0015786 (UDP-glucose transmembrane transport); GO:0072334 (UDP-galactose transmembrane transport); GO:0002119 (nematode larval development); GO:0005783 (endoplasmic reticulum); GO:0005794 (Golgi apparatus); GO:0007029 (endoplasmic reticulum organization)</t>
  </si>
  <si>
    <t xml:space="preserve">DiAcylGlycerol Lipase homolog </t>
  </si>
  <si>
    <t>GO:0016020 (membrane); GO:0016021 (integral component of membrane); GO:0006629 (lipid metabolic process); GO:0007216 (G protein-coupled glutamate receptor signaling pathway); GO:0045211 (postsynaptic membrane); GO:0022008 (neurogenesis); GO:0042136 (neurotransmitter biosynthetic process); GO:0071926 (endocannabinoid signaling pathway); GO:0098921 (retrograde trans-synaptic signaling by endocannabinoid)</t>
  </si>
  <si>
    <t xml:space="preserve">Transthyretin-like protein 2 </t>
  </si>
  <si>
    <t>GO:0005737 (cytoplasm); GO:0000049 (tRNA binding); GO:0003725 (double-stranded RNA binding); GO:0006450 (regulation of translational fidelity); GO:0016779 (nucleotidyltransferase activity)</t>
  </si>
  <si>
    <t>GO:0005737 (cytoplasm); GO:0007165 (signal transduction); GO:0055120 (striated muscle dense body)</t>
  </si>
  <si>
    <t xml:space="preserve">Importin subunit alpha-3 </t>
  </si>
  <si>
    <t>Nitrilase and fragile histidine triad fusion protein NitFhit Bis(5'-adenosyl)-triphosphatase Nitrilase homolog</t>
  </si>
  <si>
    <t>GO:0006807 (nitrogen compound metabolic process); GO:0003824 (catalytic activity)</t>
  </si>
  <si>
    <t xml:space="preserve">Suppressor of presenilin protein 3 </t>
  </si>
  <si>
    <t>GO:0005634 (nucleus); GO:0046872 (metal ion binding); GO:0003677 (DNA binding); GO:0045944 (positive regulation of transcription by RNA polymerase II); GO:0010468 (regulation of gene expression)</t>
  </si>
  <si>
    <t>GO:0006891 (intra-Golgi vesicle-mediated transport); GO:0005829 (cytosol); GO:0034498 (early endosome to Golgi transport); GO:1990071 (TRAPPII protein complex)</t>
  </si>
  <si>
    <t>GO:0045944 (positive regulation of transcription by RNA polymerase II); GO:0042800 (histone methyltransferase activity (H3-K4 specific)); GO:0003713 (transcription coactivator activity); GO:0046975 (histone methyltransferase activity (H3-K36 specific)); GO:0010452 (histone H3-K36 methylation); GO:0016279 (protein-lysine N-methyltransferase activity); GO:0018023 (peptidyl-lysine trimethylation); GO:0018026 (peptidyl-lysine monomethylation); GO:0018027 (peptidyl-lysine dimethylation); GO:0051568 (histone H3-K4 methylation); GO:0005515 (protein binding); GO:0018064 (protein-histidine N-methyltransferase activity); GO:0030047 (actin modification)</t>
  </si>
  <si>
    <t xml:space="preserve">ATP-dependent (S)-NAD(P)H-hydrate dehydratase </t>
  </si>
  <si>
    <t>GO:0000166 (nucleotide binding); GO:0005524 (ATP binding); GO:0016829 (lyase activity); GO:0046496 (nicotinamide nucleotide metabolic process); GO:0047453 (ATP-dependent NAD(P)H-hydrate dehydratase activity); GO:0052855 (ADP-dependent NAD(P)H-hydrate dehydratase activity); GO:0110051 (metabolite repair)</t>
  </si>
  <si>
    <t>GO:0009055 (electron transfer activity); GO:0022900 (electron transport chain); GO:0051536 (iron-sulfur cluster binding); GO:0051537 (2 iron, 2 sulfur cluster binding)</t>
  </si>
  <si>
    <t>GO:0016020 (membrane); GO:0016021 (integral component of membrane); GO:0005886 (plasma membrane); GO:0005856 (cytoskeleton); GO:0005789 (endoplasmic reticulum membrane); GO:0005515 (protein binding); GO:0019904 (protein domain specific binding); GO:0046875 (ephrin receptor binding); GO:0033149 (FFAT motif binding); GO:0061817 (endoplasmic reticulum-plasma membrane tethering); GO:0090158 (endoplasmic reticulum membrane organization)</t>
  </si>
  <si>
    <t xml:space="preserve">LSM Sm-like protein </t>
  </si>
  <si>
    <t>GO:0000398 (mRNA splicing, via spliceosome); GO:0000932 (P-body); GO:0003723 (RNA binding); GO:0005688 (U6 snRNP); GO:0046540 (U4/U6 x U5 tri-snRNP complex); GO:0005730 (nucleolus); GO:0006397 (mRNA processing); GO:0008380 (RNA splicing); GO:0005681 (spliceosomal complex); GO:0030490 (maturation of SSU-rRNA); GO:0005732 (small nucleolar ribonucleoprotein complex)</t>
  </si>
  <si>
    <t xml:space="preserve">Troponin I 2 </t>
  </si>
  <si>
    <t>GO:0046872 (metal ion binding); GO:0003779 (actin binding); GO:0005861 (troponin complex); GO:0006936 (muscle contraction); GO:0040011 (locomotion); GO:0030017 (sarcomere); GO:0045214 (sarcomere organization); GO:0030172 (troponin C binding)</t>
  </si>
  <si>
    <t xml:space="preserve">DNA-binding protein LAG-1; Lag-1 protein; Lin-12 And Glp-1 phenotype </t>
  </si>
  <si>
    <t>GO:0001228 (DNA-binding transcription activator activity, RNA polymerase II-specific); GO:0000978 (RNA polymerase II cis-regulatory region sequence-specific DNA binding); GO:0006357 (regulation of transcription by RNA polymerase II); GO:0003700 (DNA-binding transcription factor activity); GO:0005634 (nucleus); GO:0006355 (regulation of transcription, DNA-templated); GO:0003677 (DNA binding); GO:0000981 (DNA-binding transcription factor activity, RNA polymerase II-specific); GO:0000785 (chromatin); GO:0000122 (negative regulation of transcription by RNA polymerase II); GO:0043565 (sequence-specific DNA binding); GO:0045944 (positive regulation of transcription by RNA polymerase II)</t>
  </si>
  <si>
    <t>GO:0006396 (RNA processing); GO:0071004 (U2-type prespliceosome); GO:0005685 (U1 snRNP); GO:0000243 (commitment complex); GO:0000395 (mRNA 5'-splice site recognition); GO:0005515 (protein binding)</t>
  </si>
  <si>
    <t xml:space="preserve">Serine/threonine-protein kinase max-2 </t>
  </si>
  <si>
    <t>GO:0004672 (protein kinase activity); GO:0006468 (protein phosphorylation); GO:0005524 (ATP binding); GO:0016301 (kinase activity); GO:0016310 (phosphorylation); GO:0000166 (nucleotide binding); GO:0004674 (protein serine/threonine kinase activity); GO:0106310 (protein serine kinase activity); GO:0106311 (protein threonine kinase activity)</t>
  </si>
  <si>
    <t xml:space="preserve">MO25-like protein 2 </t>
  </si>
  <si>
    <t xml:space="preserve">m7GpppX diphosphatase </t>
  </si>
  <si>
    <t>GO:0000290 (deadenylation-dependent decapping of nuclear-transcribed mRNA); GO:0016787 (hydrolase activity); GO:0005634 (nucleus); GO:0005737 (cytoplasm); GO:0004780 (sulfate adenylyltransferase (ADP) activity); GO:0047627 (adenylylsulfatase activity); GO:0050072 (m7G(5')pppN diphosphatase activity); GO:0006401 (RNA catabolic process); GO:0006402 (mRNA catabolic process); GO:0006790 (sulfur compound metabolic process); GO:0009150 (purine ribonucleotide metabolic process)</t>
  </si>
  <si>
    <t>GO:0005737 (cytoplasm); GO:0005794 (Golgi apparatus)</t>
  </si>
  <si>
    <t xml:space="preserve">Succinate--CoA ligase [ADP/GDP-forming] subunit alpha, mitochondrial </t>
  </si>
  <si>
    <t>GO:0003824 (catalytic activity); GO:0000166 (nucleotide binding); GO:0016874 (ligase activity); GO:0005739 (mitochondrion); GO:0006099 (tricarboxylic acid cycle); GO:0004775 (succinate-CoA ligase (ADP-forming) activity); GO:0004776 (succinate-CoA ligase (GDP-forming) activity); GO:0009361 (succinate-CoA ligase complex (ADP-forming))</t>
  </si>
  <si>
    <t xml:space="preserve">Cytochrome c oxidase assembly factor 7 homolog </t>
  </si>
  <si>
    <t xml:space="preserve">Thiamin pyrophosphokinase 1 </t>
  </si>
  <si>
    <t>GO:0005524 (ATP binding); GO:0016301 (kinase activity); GO:0016310 (phosphorylation); GO:0000166 (nucleotide binding); GO:0016740 (transferase activity); GO:0004788 (thiamine diphosphokinase activity); GO:0006772 (thiamine metabolic process); GO:0009229 (thiamine diphosphate biosynthetic process); GO:0030975 (thiamine binding)</t>
  </si>
  <si>
    <t xml:space="preserve">Cyclin-dependent kinase 7 </t>
  </si>
  <si>
    <t>GO:0070985 (transcription factor TFIIK complex); GO:0008353 (RNA polymerase II CTD heptapeptide repeat kinase activity); GO:0005675 (transcription factor TFIIH holo complex); GO:0004672 (protein kinase activity); GO:0006468 (protein phosphorylation); GO:0005524 (ATP binding)</t>
  </si>
  <si>
    <t>GO:0005524 (ATP binding); GO:0055085 (transmembrane transport); GO:0000166 (nucleotide binding); GO:0042626 (ATPase-coupled transmembrane transporter activity); GO:0005515 (protein binding); GO:0006417 (regulation of translation); GO:0033138 (positive regulation of peptidyl-serine phosphorylation); GO:0042981 (regulation of apoptotic process); GO:0022626 (cytosolic ribosome); GO:0016887 (ATPase activity)</t>
  </si>
  <si>
    <t xml:space="preserve">Probable mitochondrial import inner membrane translocase subunit tim-17B.1 </t>
  </si>
  <si>
    <t>GO:0016020 (membrane); GO:0016021 (integral component of membrane); GO:0015031 (protein transport); GO:0005739 (mitochondrion); GO:0005743 (mitochondrial inner membrane); GO:0005744 (TIM23 mitochondrial import inner membrane translocase complex); GO:0030150 (protein import into mitochondrial matrix); GO:0008320 (protein transmembrane transporter activity); GO:0031305 (integral component of mitochondrial inner membrane)</t>
  </si>
  <si>
    <t xml:space="preserve">Lysosomal amino acid transporter 1 </t>
  </si>
  <si>
    <t xml:space="preserve">Elongation factor 2 </t>
  </si>
  <si>
    <t xml:space="preserve">Eukaryotic translation initiation factor 4E-1 </t>
  </si>
  <si>
    <t>GO:0003723 (RNA binding); GO:0003743 (translation initiation factor activity); GO:0005737 (cytoplasm); GO:0006412 (translation); GO:0006413 (translational initiation); GO:0043186 (P granule); GO:0001556 (oocyte maturation); GO:0007286 (spermatid development)</t>
  </si>
  <si>
    <t>GO:0005524 (ATP binding); GO:0016301 (kinase activity); GO:0016772 (transferase activity, transferring phosphorus-containing groups); GO:0016310 (phosphorylation)</t>
  </si>
  <si>
    <t>GO:0005524 (ATP binding); GO:0005737 (cytoplasm); GO:0000166 (nucleotide binding); GO:0004812 (aminoacyl-tRNA ligase activity); GO:0006418 (tRNA aminoacylation for protein translation); GO:0016874 (ligase activity); GO:0006412 (translation); GO:0004827 (proline-tRNA ligase activity); GO:0006433 (prolyl-tRNA aminoacylation); GO:0017101 (aminoacyl-tRNA synthetase multienzyme complex)</t>
  </si>
  <si>
    <t xml:space="preserve">AVEugle (Drosophila eye differentiation) homolog </t>
  </si>
  <si>
    <t xml:space="preserve">WD repeat and FYVE domain-containing protein 2 </t>
  </si>
  <si>
    <t>GO:0046872 (metal ion binding); GO:0005515 (protein binding); GO:0006897 (endocytosis); GO:0032266 (phosphatidylinositol-3-phosphate binding)</t>
  </si>
  <si>
    <t>GO:0000978 (RNA polymerase II cis-regulatory region sequence-specific DNA binding); GO:0005654 (nucleoplasm); GO:0006357 (regulation of transcription by RNA polymerase II); GO:0000122 (negative regulation of transcription by RNA polymerase II); GO:0001227 (DNA-binding transcription repressor activity, RNA polymerase II-specific)</t>
  </si>
  <si>
    <t xml:space="preserve">BRO1 domain-containing protein BROX homolog </t>
  </si>
  <si>
    <t xml:space="preserve">SEL-1; Suppressor/Enhancer of Lin-12 </t>
  </si>
  <si>
    <t>GO:0016020 (membrane); GO:0016021 (integral component of membrane); GO:0016567 (protein ubiquitination); GO:0030433 (ubiquitin-dependent ERAD pathway); GO:0004842 (ubiquitin-protein transferase activity); GO:0000839 (Hrd1p ubiquitin ligase ERAD-L complex); GO:0031410 (cytoplasmic vesicle); GO:0045746 (negative regulation of Notch signaling pathway); GO:0000836 (Hrd1p ubiquitin ligase complex); GO:0005515 (protein binding)</t>
  </si>
  <si>
    <t>GO:0003677 (DNA binding); GO:0046872 (metal ion binding); GO:0008270 (zinc ion binding); GO:0006351 (transcription, DNA-templated); GO:0003899 (DNA-directed 5'-3' RNA polymerase activity); GO:0005736 (RNA polymerase I complex); GO:0005665 (RNA polymerase II, core complex); GO:0005666 (RNA polymerase III complex)</t>
  </si>
  <si>
    <t xml:space="preserve">40S ribosomal protein S21 </t>
  </si>
  <si>
    <t>GO:0005737 (cytoplasm); GO:0003735 (structural constituent of ribosome); GO:0005840 (ribosome); GO:0006412 (translation); GO:0005515 (protein binding); GO:0005783 (endoplasmic reticulum); GO:0022627 (cytosolic small ribosomal subunit); GO:0005829 (cytosol); GO:0000447 (endonucleolytic cleavage in ITS1 to separate SSU-rRNA from 5.8S rRNA and LSU-rRNA from tricistronic rRNA transcript (SSU-rRNA, 5.8S rRNA, LSU-rRNA)); GO:0005791 (rough endoplasmic reticulum); GO:0000461 (endonucleolytic cleavage to generate mature 3'-end of SSU-rRNA from (SSU-rRNA, 5.8S rRNA, LSU-rRNA))</t>
  </si>
  <si>
    <t xml:space="preserve">CAAX prenyl protease 2 homolog </t>
  </si>
  <si>
    <t>GO:0030176 (integral component of endoplasmic reticulum membrane); GO:0071586 (CAAX-box protein processing); GO:0004222 (metalloendopeptidase activity); GO:0016020 (membrane)</t>
  </si>
  <si>
    <t xml:space="preserve">VILliN related </t>
  </si>
  <si>
    <t>GO:0005737 (cytoplasm); GO:0003779 (actin binding); GO:0007010 (cytoskeleton organization); GO:0008154 (actin polymerization or depolymerization); GO:0051015 (actin filament binding); GO:0015629 (actin cytoskeleton); GO:0051016 (barbed-end actin filament capping); GO:0005546 (phosphatidylinositol-4,5-bisphosphate binding); GO:0051014 (actin filament severing)</t>
  </si>
  <si>
    <t>GO:0005525 (GTP binding); GO:0005737 (cytoplasm); GO:0000166 (nucleotide binding); GO:0002181 (cytoplasmic translation)</t>
  </si>
  <si>
    <t>GO:0003674 (molecular_function); GO:0005575 (cellular_component); GO:0008150 (biological_process); GO:0005515 (protein binding)</t>
  </si>
  <si>
    <t xml:space="preserve">Lysine-specific demethylase 4 </t>
  </si>
  <si>
    <t>GO:0005739 (mitochondrion); GO:0032981 (mitochondrial respiratory chain complex I assembly)</t>
  </si>
  <si>
    <t>GO:0005739 (mitochondrion); GO:0009235 (cobalamin metabolic process)</t>
  </si>
  <si>
    <t xml:space="preserve">Inhibitor of nuclear factor kappa-B kinase epsilon subunit homolog 1 </t>
  </si>
  <si>
    <t>GO:0005634 (nucleus); GO:0000166 (nucleotide binding); GO:0016740 (transferase activity); GO:0000209 (protein polyubiquitination); GO:0043161 (proteasome-mediated ubiquitin-dependent protein catabolic process); GO:0005524 (ATP binding); GO:0061631 (ubiquitin conjugating enzyme activity); GO:0005515 (protein binding)</t>
  </si>
  <si>
    <t>GO:0046872 (metal ion binding); GO:0005778 (peroxisomal membrane); GO:0016558 (protein import into peroxisome matrix)</t>
  </si>
  <si>
    <t xml:space="preserve">Peptide-N(4)-(N-acetyl-beta-glucosaminyl)asparagine amidase </t>
  </si>
  <si>
    <t>GO:0006516 (glycoprotein catabolic process); GO:0005737 (cytoplasm)</t>
  </si>
  <si>
    <t>GO:0016020 (membrane); GO:0016021 (integral component of membrane); GO:0005783 (endoplasmic reticulum); GO:0031201 (SNARE complex); GO:0006890 (retrograde vesicle-mediated transport, Golgi to endoplasmic reticulum); GO:0005484 (SNAP receptor activity); GO:0061025 (membrane fusion)</t>
  </si>
  <si>
    <t xml:space="preserve">Protein HIstidine Phosphatase </t>
  </si>
  <si>
    <t>GO:0005829 (cytosol); GO:0030154 (cell differentiation); GO:0007548 (sex differentiation); GO:0101006 (protein histidine phosphatase activity); GO:0035971 (peptidyl-histidine dephosphorylation)</t>
  </si>
  <si>
    <t xml:space="preserve">HEXosaminidase </t>
  </si>
  <si>
    <t>GO:0016020 (membrane); GO:0016021 (integral component of membrane); GO:0016787 (hydrolase activity); GO:0005975 (carbohydrate metabolic process); GO:0004553 (hydrolase activity, hydrolyzing O-glycosyl compounds); GO:0015929 (hexosaminidase activity); GO:0004563 (beta-N-acetylhexosaminidase activity); GO:0102148 (N-acetyl-beta-D-galactosaminidase activity)</t>
  </si>
  <si>
    <t xml:space="preserve">DNA-directed RNA polymerase </t>
  </si>
  <si>
    <t>GO:0003677 (DNA binding); GO:0016740 (transferase activity); GO:0016779 (nucleotidyltransferase activity); GO:0006351 (transcription, DNA-templated); GO:0001018 (mitochondrial promoter sequence-specific DNA binding); GO:0003899 (DNA-directed 5'-3' RNA polymerase activity); GO:0006390 (mitochondrial transcription); GO:0034245 (mitochondrial DNA-directed RNA polymerase complex)</t>
  </si>
  <si>
    <t xml:space="preserve">Fidgetin-like protein 1 </t>
  </si>
  <si>
    <t>GO:0016887 (ATPase activity); GO:0005524 (ATP binding); GO:0000166 (nucleotide binding)</t>
  </si>
  <si>
    <t xml:space="preserve">Anamorsin homolog </t>
  </si>
  <si>
    <t>GO:0005737 (cytoplasm); GO:0046872 (metal ion binding); GO:0022900 (electron transport chain); GO:0005739 (mitochondrion); GO:0051536 (iron-sulfur cluster binding); GO:0016226 (iron-sulfur cluster assembly); GO:0051539 (4 iron, 4 sulfur cluster binding); GO:0051537 (2 iron, 2 sulfur cluster binding); GO:0005758 (mitochondrial intermembrane space); GO:0009055 (electron transfer activity)</t>
  </si>
  <si>
    <t xml:space="preserve">ICLN (ICLn) ion channel homolog; ICln1 </t>
  </si>
  <si>
    <t>GO:0005634 (nucleus); GO:0005737 (cytoplasm); GO:0006821 (chloride transport); GO:0005886 (plasma membrane); GO:0005829 (cytosol); GO:0000387 (spliceosomal snRNP assembly); GO:0006884 (cell volume homeostasis); GO:0034709 (methylosome); GO:0034715 (pICln-Sm protein complex)</t>
  </si>
  <si>
    <t xml:space="preserve">Exocyst complex component 2 </t>
  </si>
  <si>
    <t>GO:0006893 (Golgi to plasma membrane transport); GO:0000145 (exocyst)</t>
  </si>
  <si>
    <t xml:space="preserve">Torsin-like protein </t>
  </si>
  <si>
    <t>GO:0005524 (ATP binding); GO:0000166 (nucleotide binding); GO:0005783 (endoplasmic reticulum); GO:0005635 (nuclear envelope); GO:0005788 (endoplasmic reticulum lumen); GO:0051085 (chaperone cofactor-dependent protein refolding); GO:0071218 (cellular response to misfolded protein); GO:0005886 (plasma membrane); GO:0048471 (perinuclear region of cytoplasm); GO:0005819 (spindle); GO:0000922 (spindle pole); GO:0005818 (aster)</t>
  </si>
  <si>
    <t xml:space="preserve">Putative H/ACA ribonucleoprotein complex subunit 4 </t>
  </si>
  <si>
    <t>GO:0003723 (RNA binding); GO:0005634 (nucleus); GO:0006396 (RNA processing); GO:0005730 (nucleolus); GO:0006364 (rRNA processing); GO:0042254 (ribosome biogenesis); GO:0001522 (pseudouridine synthesis); GO:0009451 (RNA modification); GO:0009982 (pseudouridine synthase activity); GO:0016853 (isomerase activity); GO:1990481 (mRNA pseudouridine synthesis); GO:0000495 (box H/ACA snoRNA 3'-end processing); GO:0031118 (rRNA pseudouridine synthesis); GO:0031120 (snRNA pseudouridine synthesis); GO:0031429 (box H/ACA snoRNP complex)</t>
  </si>
  <si>
    <t xml:space="preserve">Queuine tRNA-ribosyltransferase accessory subunit 2 </t>
  </si>
  <si>
    <t>GO:0008479 (queuine tRNA-ribosyltransferase activity); GO:0006400 (tRNA modification); GO:0016763 (transferase activity, transferring pentosyl groups)</t>
  </si>
  <si>
    <t>GO:0005634 (nucleus); GO:0003677 (DNA binding); GO:0005515 (protein binding); GO:0006281 (DNA repair); GO:0090305 (nucleic acid phosphodiester bond hydrolysis); GO:0009792 (embryo development ending in birth or egg hatching); GO:0000724 (double-strand break repair via homologous recombination); GO:0040019 (positive regulation of embryonic development); GO:0000727 (double-strand break repair via break-induced replication); GO:0004518 (nuclease activity); GO:0000712 (resolution of meiotic recombination intermediates); GO:0019899 (enzyme binding); GO:0031573 (intra-S DNA damage checkpoint); GO:0002164 (larval development); GO:0048257 (3'-flap endonuclease activity); GO:0048476 (Holliday junction resolvase complex)</t>
  </si>
  <si>
    <t>GO:0046872 (metal ion binding); GO:0016491 (oxidoreductase activity); GO:0005783 (endoplasmic reticulum); GO:0020037 (heme binding); GO:0004128 (cytochrome-b5 reductase activity, acting on NAD(P)H); GO:0006091 (generation of precursor metabolites and energy); GO:0006801 (superoxide metabolic process); GO:0055114 (oxidation-reduction process)</t>
  </si>
  <si>
    <t xml:space="preserve">Progestin and adipoQ receptor-like protein 1 </t>
  </si>
  <si>
    <t>GO:0016021 (integral component of membrane); GO:0016020 (membrane)</t>
  </si>
  <si>
    <t>GO:0003723 (RNA binding); GO:0046872 (metal ion binding); GO:0000974 (Prp19 complex); GO:0017070 (U6 snRNA binding); GO:0036002 (pre-mRNA binding); GO:0071006 (U2-type catalytic step 1 spliceosome); GO:0071007 (U2-type catalytic step 2 spliceosome); GO:0003676 (nucleic acid binding); GO:0005634 (nucleus)</t>
  </si>
  <si>
    <t xml:space="preserve">LETM1 (Leucine zipper, EF-hand, TransMembrane mitochondrial protein) homolog </t>
  </si>
  <si>
    <t>GO:0016020 (membrane); GO:0016021 (integral component of membrane); GO:0005509 (calcium ion binding); GO:0005739 (mitochondrion); GO:0043022 (ribosome binding); GO:0005743 (mitochondrial inner membrane); GO:0006875 (cellular metal ion homeostasis)</t>
  </si>
  <si>
    <t>GO:0016020 (membrane); GO:0016021 (integral component of membrane); GO:0003824 (catalytic activity); GO:0016740 (transferase activity); GO:0006506 (GPI anchor biosynthetic process); GO:0005783 (endoplasmic reticulum); GO:0005789 (endoplasmic reticulum membrane); GO:0030176 (integral component of endoplasmic reticulum membrane); GO:0051377 (mannose-ethanolamine phosphotransferase activity); GO:0051267 (CP2 mannose-ethanolamine phosphotransferase activity)</t>
  </si>
  <si>
    <t xml:space="preserve">Mitochondrial import inner membrane translocase subunit TIM50 </t>
  </si>
  <si>
    <t>GO:0016020 (membrane); GO:0016021 (integral component of membrane); GO:0015031 (protein transport); GO:0006470 (protein dephosphorylation); GO:0005739 (mitochondrion); GO:0005743 (mitochondrial inner membrane); GO:0005744 (TIM23 mitochondrial import inner membrane translocase complex); GO:0030150 (protein import into mitochondrial matrix); GO:0004721 (phosphoprotein phosphatase activity)</t>
  </si>
  <si>
    <t>GO:0005634 (nucleus); GO:0006334 (nucleosome assembly); GO:0033186 (CAF-1 complex)</t>
  </si>
  <si>
    <t xml:space="preserve">BRF (Transcription factor) homolog </t>
  </si>
  <si>
    <t>GO:0005634 (nucleus); GO:0046872 (metal ion binding); GO:0000126 (transcription factor TFIIIB complex); GO:0000995 (RNA polymerase III general transcription initiation factor activity); GO:0006383 (transcription by RNA polymerase III); GO:0017025 (TBP-class protein binding); GO:0070897 (transcription preinitiation complex assembly); GO:0001006 (RNA polymerase III type 3 promoter sequence-specific DNA binding); GO:0006352 (DNA-templated transcription, initiation); GO:0097550 (transcription preinitiation complex)</t>
  </si>
  <si>
    <t>GO:0005737 (cytoplasm); GO:0003723 (RNA binding); GO:0000184 (nuclear-transcribed mRNA catabolic process, nonsense-mediated decay); GO:0005844 (polysome); GO:0035145 (exon-exon junction complex); GO:0005515 (protein binding); GO:0019899 (enzyme binding)</t>
  </si>
  <si>
    <t xml:space="preserve">Coatomer subunit beta </t>
  </si>
  <si>
    <t>GO:0016020 (membrane); GO:0000139 (Golgi membrane); GO:0005198 (structural molecule activity); GO:0005737 (cytoplasm); GO:0005794 (Golgi apparatus); GO:0006886 (intracellular protein transport); GO:0015031 (protein transport); GO:0016192 (vesicle-mediated transport); GO:0030117 (membrane coat); GO:0030126 (COPI vesicle coat); GO:0030663 (COPI-coated vesicle membrane); GO:0031410 (cytoplasmic vesicle); GO:0006888 (endoplasmic reticulum to Golgi vesicle-mediated transport); GO:0006891 (intra-Golgi vesicle-mediated transport)</t>
  </si>
  <si>
    <t xml:space="preserve">Superoxide dismutase [Mn] 1, mitochondrial </t>
  </si>
  <si>
    <t>GO:0046872 (metal ion binding); GO:0005739 (mitochondrion); GO:0016491 (oxidoreductase activity); GO:0030145 (manganese ion binding); GO:0005759 (mitochondrial matrix); GO:0004784 (superoxide dismutase activity); GO:0006801 (superoxide metabolic process); GO:0042803 (protein homodimerization activity); GO:0019430 (removal of superoxide radicals); GO:0005746 (mitochondrial respirasome); GO:0055114 (oxidation-reduction process)</t>
  </si>
  <si>
    <t xml:space="preserve">Endocytosis protein RME-8; Receptor Mediated Endocytosis </t>
  </si>
  <si>
    <t>GO:0005515 (protein binding); GO:0005829 (cytosol); GO:0006898 (receptor-mediated endocytosis); GO:0042802 (identical protein binding); GO:0007638 (mechanosensory behavior); GO:0010008 (endosome membrane); GO:1903539 (protein localization to postsynaptic membrane); GO:0009792 (embryo development ending in birth or egg hatching); GO:0002119 (nematode larval development); GO:0005769 (early endosome); GO:0005770 (late endosome); GO:0055037 (recycling endosome); GO:0051087 (chaperone binding); GO:0042147 (retrograde transport, endosome to Golgi); GO:0110039 (positive regulation of nematode male tail tip morphogenesis)</t>
  </si>
  <si>
    <t>GO:0005739 (mitochondrion); GO:0003735 (structural constituent of ribosome); GO:0005840 (ribosome); GO:0006412 (translation); GO:0015934 (large ribosomal subunit)</t>
  </si>
  <si>
    <t xml:space="preserve">Putative GPI-anchor transamidase </t>
  </si>
  <si>
    <t>GO:0003923 (GPI-anchor transamidase activity); GO:0042765 (GPI-anchor transamidase complex); GO:0016255 (attachment of GPI anchor to protein); GO:0008233 (peptidase activity); GO:0006508 (proteolysis)</t>
  </si>
  <si>
    <t>GO:0003735 (structural constituent of ribosome); GO:0005840 (ribosome); GO:0006412 (translation); GO:0005763 (mitochondrial small ribosomal subunit); GO:0032543 (mitochondrial translation); GO:0070181 (small ribosomal subunit rRNA binding)</t>
  </si>
  <si>
    <t xml:space="preserve">Transitional endoplasmic reticulum ATPase homolog 2 </t>
  </si>
  <si>
    <t>GO:0005634 (nucleus); GO:0005524 (ATP binding); GO:0016787 (hydrolase activity); GO:0000166 (nucleotide binding); GO:0005737 (cytoplasm); GO:0005829 (cytosol); GO:0005515 (protein binding); GO:0016887 (ATPase activity); GO:0030433 (ubiquitin-dependent ERAD pathway); GO:0042802 (identical protein binding); GO:1904780 (negative regulation of protein localization to centrosome); GO:0071712 (ER-associated misfolded protein catabolic process); GO:0031593 (polyubiquitin modification-dependent protein binding); GO:0030970 (retrograde protein transport, ER to cytosol); GO:0034098 (VCP-NPL4-UFD1 AAA ATPase complex); GO:0051228 (mitotic spindle disassembly); GO:0097352 (autophagosome maturation); GO:0034504 (protein localization to nucleus); GO:0009792 (embryo development ending in birth or egg hatching)</t>
  </si>
  <si>
    <t>GO:0003723 (RNA binding); GO:0003676 (nucleic acid binding); GO:1990904 (ribonucleoprotein complex); GO:0005634 (nucleus); GO:0000003 (reproduction); GO:0008340 (determination of adult lifespan); GO:0006972 (hyperosmotic response); GO:0009408 (response to heat)</t>
  </si>
  <si>
    <t>GO:0005794 (Golgi apparatus); GO:0005802 (trans-Golgi network)</t>
  </si>
  <si>
    <t xml:space="preserve">Uracil-DNA glycosylase </t>
  </si>
  <si>
    <t>GO:0005634 (nucleus); GO:0016787 (hydrolase activity); GO:0005739 (mitochondrion); GO:0006281 (DNA repair); GO:0006974 (cellular response to DNA damage stimulus); GO:0006284 (base-excision repair); GO:0004844 (uracil DNA N-glycosylase activity); GO:0097510 (base-excision repair, AP site formation via deaminated base removal)</t>
  </si>
  <si>
    <t xml:space="preserve">Tryptophan 2,3-dioxygenase </t>
  </si>
  <si>
    <t>GO:0046872 (metal ion binding); GO:0016491 (oxidoreductase activity); GO:0020037 (heme binding); GO:0051213 (dioxygenase activity); GO:0004833 (tryptophan 2,3-dioxygenase activity); GO:0006569 (tryptophan catabolic process); GO:0019441 (tryptophan catabolic process to kynurenine); GO:0019442 (tryptophan catabolic process to acetyl-CoA)</t>
  </si>
  <si>
    <t xml:space="preserve">BLOC-1-related complex subunit 8 homolog </t>
  </si>
  <si>
    <t xml:space="preserve">JAMP (JNK1-Associated Membrane Protein) homolog; Seven transmembrane protein </t>
  </si>
  <si>
    <t>GO:0016020 (membrane); GO:0016021 (integral component of membrane); GO:0030433 (ubiquitin-dependent ERAD pathway); GO:0006986 (response to unfolded protein); GO:0031625 (ubiquitin protein ligase binding)</t>
  </si>
  <si>
    <t xml:space="preserve">Copine family protein 1 </t>
  </si>
  <si>
    <t>GO:0005737 (cytoplasm); GO:0046872 (metal ion binding); GO:0004620 (phospholipase activity); GO:0005634 (nucleus); GO:0005783 (endoplasmic reticulum); GO:0032880 (regulation of protein localization); GO:0005829 (cytosol); GO:0042803 (protein homodimerization activity); GO:0001786 (phosphatidylserine binding); GO:0005546 (phosphatidylinositol-4,5-bisphosphate binding); GO:0008970 (phospholipase A1 activity); GO:0047499 (calcium-independent phospholipase A2 activity); GO:0070273 (phosphatidylinositol-4-phosphate binding); GO:0070300 (phosphatidic acid binding); GO:0009786 (regulation of asymmetric cell division); GO:0031161 (phosphatidylinositol catabolic process); GO:0034638 (phosphatidylcholine catabolic process); GO:0046488 (phosphatidylinositol metabolic process); GO:0051289 (protein homotetramerization); GO:0070207 (protein homotrimerization); GO:0042802 (identical protein binding); GO:1903293 (phosphatase complex)</t>
  </si>
  <si>
    <t xml:space="preserve">Triosephosphate isomerase </t>
  </si>
  <si>
    <t>GO:0003824 (catalytic activity); GO:0005737 (cytoplasm); GO:0005829 (cytosol); GO:0016829 (lyase activity); GO:0016853 (isomerase activity); GO:0006096 (glycolytic process); GO:0006094 (gluconeogenesis); GO:0004807 (triose-phosphate isomerase activity); GO:0008929 (methylglyoxal synthase activity); GO:0019563 (glycerol catabolic process); GO:0046166 (glyceraldehyde-3-phosphate biosynthetic process); GO:0008340 (determination of adult lifespan); GO:0030016 (myofibril); GO:0045454 (cell redox homeostasis)</t>
  </si>
  <si>
    <t xml:space="preserve">Latrophilin-like protein 1 </t>
  </si>
  <si>
    <t xml:space="preserve">Choline Kinase C </t>
  </si>
  <si>
    <t xml:space="preserve">Ephrin-4 </t>
  </si>
  <si>
    <t xml:space="preserve">Nuclear pore protein </t>
  </si>
  <si>
    <t>GO:0016020 (membrane); GO:0005634 (nucleus); GO:0015031 (protein transport); GO:0009792 (embryo development ending in birth or egg hatching); GO:0009794 (regulation of mitotic cell cycle, embryonic); GO:0005643 (nuclear pore); GO:0006606 (protein import into nucleus); GO:0006997 (nucleus organization); GO:0017056 (structural constituent of nuclear pore); GO:0051028 (mRNA transport); GO:1990893 (mitotic chromosome centromere condensation); GO:0016973 (poly(A)+ mRNA export from nucleus); GO:0051292 (nuclear pore complex assembly); GO:1903379 (regulation of mitotic chromosome condensation); GO:0005515 (protein binding); GO:0000132 (establishment of mitotic spindle orientation)</t>
  </si>
  <si>
    <t>GO:0005730 (nucleolus); GO:0006364 (rRNA processing); GO:0042254 (ribosome biogenesis); GO:0032040 (small-subunit processome)</t>
  </si>
  <si>
    <t xml:space="preserve">Protein farnesyltransferase subunit beta </t>
  </si>
  <si>
    <t>GO:0003824 (catalytic activity); GO:0046872 (metal ion binding); GO:0016740 (transferase activity); GO:0008270 (zinc ion binding); GO:0005515 (protein binding); GO:0018342 (protein prenylation); GO:0005965 (protein farnesyltransferase complex); GO:0018343 (protein farnesylation); GO:0004660 (protein farnesyltransferase activity); GO:0004659 (prenyltransferase activity); GO:0018215 (protein phosphopantetheinylation)</t>
  </si>
  <si>
    <t xml:space="preserve">Eukaryotic translation initiation factor 3 subunit E </t>
  </si>
  <si>
    <t xml:space="preserve">Suppressor of organelle fusion 1 </t>
  </si>
  <si>
    <t>GO:0005737 (cytoplasm); GO:0005515 (protein binding); GO:0005768 (endosome); GO:0005769 (early endosome); GO:0031902 (late endosome membrane); GO:0051036 (regulation of endosome size); GO:0005829 (cytosol); GO:0043551 (regulation of phosphatidylinositol 3-kinase activity); GO:0031901 (early endosome membrane); GO:0005770 (late endosome); GO:0031313 (extrinsic component of endosome membrane); GO:0035014 (phosphatidylinositol 3-kinase regulator activity); GO:0045022 (early endosome to late endosome transport); GO:0048284 (organelle fusion); GO:2000643 (positive regulation of early endosome to late endosome transport)</t>
  </si>
  <si>
    <t xml:space="preserve">Probable elongation factor 1-beta/1-delta 1 </t>
  </si>
  <si>
    <t>GO:0045121 (membrane raft); GO:0006338 (chromatin remodeling)</t>
  </si>
  <si>
    <t xml:space="preserve">Ubiquitin-conjugating enzyme E2 variant 3 </t>
  </si>
  <si>
    <t>GO:0005634 (nucleus); GO:0000209 (protein polyubiquitination); GO:0005737 (cytoplasm); GO:0005929 (cilium); GO:0042995 (cell projection); GO:0061631 (ubiquitin conjugating enzyme activity); GO:0030424 (axon); GO:0030425 (dendrite); GO:0006974 (cellular response to DNA damage stimulus)</t>
  </si>
  <si>
    <t xml:space="preserve">Probable elongator complex protein 3 </t>
  </si>
  <si>
    <t>GO:0051536 (iron-sulfur cluster binding); GO:0008080 (N-acetyltransferase activity); GO:0003824 (catalytic activity)</t>
  </si>
  <si>
    <t xml:space="preserve">Tubulin polyglutamylase ttll-4 </t>
  </si>
  <si>
    <t>GO:0005524 (ATP binding); GO:0000166 (nucleotide binding); GO:0016874 (ligase activity); GO:0006464 (cellular protein modification process); GO:0005929 (cilium); GO:0015631 (tubulin binding); GO:0000226 (microtubule cytoskeleton organization); GO:0034606 (response to hermaphrodite contact); GO:0018095 (protein polyglutamylation); GO:0070740 (tubulin-glutamic acid ligase activity); GO:0018215 (protein phosphopantetheinylation)</t>
  </si>
  <si>
    <t>GO:0000166 (nucleotide binding); GO:0005634 (nucleus); GO:0003899 (DNA-directed 5'-3' RNA polymerase activity); GO:0006352 (DNA-templated transcription, initiation); GO:0044237 (cellular metabolic process); GO:0030880 (RNA polymerase complex); GO:0005666 (RNA polymerase III complex); GO:0006384 (transcription initiation from RNA polymerase III promoter)</t>
  </si>
  <si>
    <t>GO:0016491 (oxidoreductase activity); GO:0044237 (cellular metabolic process); GO:0004167 (dopachrome isomerase activity)</t>
  </si>
  <si>
    <t>GO:0008168 (methyltransferase activity); GO:0032259 (methylation); GO:0016740 (transferase activity); GO:0035064 (methylated histone binding); GO:0035267 (NuA4 histone acetyltransferase complex); GO:0005634 (nucleus); GO:0046872 (metal ion binding)</t>
  </si>
  <si>
    <t>GO:0005634 (nucleus); GO:0005730 (nucleolus); GO:0006364 (rRNA processing); GO:0042254 (ribosome biogenesis); GO:0000460 (maturation of 5.8S rRNA); GO:0000470 (maturation of LSU-rRNA); GO:0030687 (preribosome, large subunit precursor)</t>
  </si>
  <si>
    <t xml:space="preserve">Glutathione-independent glyoxalase DJR-1.1 </t>
  </si>
  <si>
    <t xml:space="preserve">MethylMalonic Aciduria type B homolog </t>
  </si>
  <si>
    <t>GO:0000166 (nucleotide binding); GO:0016740 (transferase activity); GO:0005524 (ATP binding); GO:0008817 (cob(I)yrinic acid a,c-diamide adenosyltransferase activity); GO:0009236 (cobalamin biosynthetic process)</t>
  </si>
  <si>
    <t>GO:0005634 (nucleus); GO:0006336 (DNA replication-independent nucleosome assembly); GO:0031491 (nucleosome binding)</t>
  </si>
  <si>
    <t>GO:0005634 (nucleus); GO:0043161 (proteasome-mediated ubiquitin-dependent protein catabolic process); GO:0005737 (cytoplasm); GO:0005829 (cytosol); GO:0005654 (nucleoplasm); GO:0006281 (DNA repair); GO:0006974 (cellular response to DNA damage stimulus); GO:0006289 (nucleotide-excision repair); GO:0043130 (ubiquitin binding); GO:0003684 (damaged DNA binding); GO:0031593 (polyubiquitin modification-dependent protein binding); GO:0070628 (proteasome binding); GO:0005515 (protein binding)</t>
  </si>
  <si>
    <t>GO:0003824 (catalytic activity); GO:0009058 (biosynthetic process); GO:0004306 (ethanolamine-phosphate cytidylyltransferase activity); GO:0006646 (phosphatidylethanolamine biosynthetic process)</t>
  </si>
  <si>
    <t xml:space="preserve">Sphingosine-1-phosphate lyase </t>
  </si>
  <si>
    <t>GO:0016020 (membrane); GO:0016021 (integral component of membrane); GO:0003824 (catalytic activity); GO:0016829 (lyase activity); GO:0030170 (pyridoxal phosphate binding); GO:0005783 (endoplasmic reticulum); GO:0006629 (lipid metabolic process); GO:0019752 (carboxylic acid metabolic process); GO:0001667 (ameboidal-type cell migration); GO:0008117 (sphinganine-1-phosphate aldolase activity); GO:0016831 (carboxy-lyase activity); GO:0030149 (sphingolipid catabolic process); GO:0005789 (endoplasmic reticulum membrane); GO:0006665 (sphingolipid metabolic process)</t>
  </si>
  <si>
    <t>GO:0005737 (cytoplasm); GO:0005856 (cytoskeleton); GO:0005868 (cytoplasmic dynein complex); GO:0005874 (microtubule); GO:0005929 (cilium); GO:0097730 (non-motile cilium); GO:0005815 (microtubule organizing center); GO:0045504 (dynein heavy chain binding); GO:0035721 (intraciliary retrograde transport); GO:0036064 (ciliary basal body); GO:0005930 (axoneme); GO:0035869 (ciliary transition zone); GO:0097546 (ciliary base); GO:0035735 (intraciliary transport involved in cilium assembly); GO:1905515 (non-motile cilium assembly)</t>
  </si>
  <si>
    <t>GO:0005634 (nucleus); GO:0045893 (positive regulation of transcription, DNA-templated); GO:0031490 (chromatin DNA binding); GO:0003713 (transcription coactivator activity)</t>
  </si>
  <si>
    <t xml:space="preserve">Transcription initiation factor TFIID subunit 2 </t>
  </si>
  <si>
    <t>GO:0005634 (nucleus); GO:0008270 (zinc ion binding); GO:0008237 (metallopeptidase activity); GO:0000976 (transcription regulatory region sequence-specific DNA binding); GO:0003682 (chromatin binding); GO:0006508 (proteolysis); GO:0005669 (transcription factor TFIID complex); GO:0006367 (transcription initiation from RNA polymerase II promoter); GO:0009792 (embryo development ending in birth or egg hatching); GO:0016251 (RNA polymerase II general transcription initiation factor activity)</t>
  </si>
  <si>
    <t xml:space="preserve">Serine/threonine-protein kinase spe-6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</si>
  <si>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GO:0030154 (cell differentiation); GO:0007283 (spermatogenesis); GO:0048515 (spermatid differentiation); GO:0051308 (male meiosis chromosome separation); GO:1903827 (regulation of cellular protein localization); GO:0106310 (protein serine kinase activity); GO:0106311 (protein threonine kinase activity)</t>
  </si>
  <si>
    <t xml:space="preserve">Deoxyribonuclease-2 </t>
  </si>
  <si>
    <t>GO:0005634 (nucleus); GO:0005669 (transcription factor TFIID complex); GO:0006367 (transcription initiation from RNA polymerase II promoter); GO:0051123 (RNA polymerase II preinitiation complex assembly); GO:0016251 (RNA polymerase II general transcription initiation factor activity)</t>
  </si>
  <si>
    <t xml:space="preserve">Probable 40S ribosomal protein S14, mitochondrial </t>
  </si>
  <si>
    <t>GO:0005739 (mitochondrion); GO:0003735 (structural constituent of ribosome); GO:0005840 (ribosome); GO:0006412 (translation); GO:0005763 (mitochondrial small ribosomal subunit); GO:0015935 (small ribosomal subunit)</t>
  </si>
  <si>
    <t xml:space="preserve">Valyl Amino-acyl tRNA Synthetase </t>
  </si>
  <si>
    <t>GO:0005524 (ATP binding); GO:0000166 (nucleotide binding); GO:0004812 (aminoacyl-tRNA ligase activity); GO:0006418 (tRNA aminoacylation for protein translation); GO:0016874 (ligase activity); GO:0006412 (translation); GO:0005829 (cytosol); GO:0002161 (aminoacyl-tRNA editing activity); GO:0106074 (aminoacyl-tRNA metabolism involved in translational fidelity); GO:0004832 (valine-tRNA ligase activity); GO:0006438 (valyl-tRNA aminoacylation)</t>
  </si>
  <si>
    <t xml:space="preserve">Nuclear RNA export factor 1 </t>
  </si>
  <si>
    <t>GO:0003723 (RNA binding); GO:0005634 (nucleus); GO:0005737 (cytoplasm); GO:0003676 (nucleic acid binding); GO:0006406 (mRNA export from nucleus); GO:0051028 (mRNA transport); GO:0005635 (nuclear envelope); GO:0005730 (nucleolus); GO:0005643 (nuclear pore); GO:0005654 (nucleoplasm); GO:0005515 (protein binding)</t>
  </si>
  <si>
    <t xml:space="preserve">ELongin B; RNA polymerase II transcription factor SIII p18 subunit </t>
  </si>
  <si>
    <t>GO:0005515 (protein binding); GO:0070449 (elongin complex); GO:0006368 (transcription elongation from RNA polymerase II promoter); GO:0030891 (VCB complex); GO:0019904 (protein domain specific binding); GO:0031462 (Cul2-RING ubiquitin ligase complex)</t>
  </si>
  <si>
    <t xml:space="preserve">Nuclear hormone receptor family member nhr-79 </t>
  </si>
  <si>
    <t xml:space="preserve">Oxysterol Binding protein (OSBP) Related </t>
  </si>
  <si>
    <t>GO:0016020 (membrane); GO:0016021 (integral component of membrane); GO:0043231 (intracellular membrane-bounded organelle); GO:0005829 (cytosol); GO:0008289 (lipid binding); GO:0015485 (cholesterol binding); GO:0006869 (lipid transport); GO:0032934 (sterol binding); GO:0015914 (phospholipid transport); GO:0007179 (transforming growth factor beta receptor signaling pathway); GO:0040014 (regulation of multicellular organism growth); GO:0015248 (sterol transporter activity); GO:0015918 (sterol transport)</t>
  </si>
  <si>
    <t xml:space="preserve">Lipid droplet localized protein </t>
  </si>
  <si>
    <t>GO:0046872 (metal ion binding); GO:0008270 (zinc ion binding); GO:0016491 (oxidoreductase activity); GO:0055114 (oxidation-reduction process); GO:0003939 (L-iditol 2-dehydrogenase activity); GO:0006062 (sorbitol catabolic process)</t>
  </si>
  <si>
    <t xml:space="preserve">Eukaryotic translation initiation factor 3 subunit C </t>
  </si>
  <si>
    <t>GO:0031369 (translation initiation factor binding); GO:0005852 (eukaryotic translation initiation factor 3 complex); GO:0006413 (translational initiation); GO:0003743 (translation initiation factor activity); GO:0003723 (RNA binding)</t>
  </si>
  <si>
    <t xml:space="preserve">T-complex protein 1 subunit alpha </t>
  </si>
  <si>
    <t>GO:0005524 (ATP binding); GO:0000166 (nucleotide binding); GO:0005737 (cytoplasm); GO:0016887 (ATPase activity); GO:0051082 (unfolded protein binding); GO:0006457 (protein folding); GO:0005832 (chaperonin-containing T-complex); GO:0005634 (nucleus)</t>
  </si>
  <si>
    <t>GO:0005634 (nucleus); GO:0009792 (embryo development ending in birth or egg hatching); GO:0009794 (regulation of mitotic cell cycle, embryonic); GO:0005643 (nuclear pore); GO:0006606 (protein import into nucleus); GO:0006997 (nucleus organization); GO:0017056 (structural constituent of nuclear pore); GO:0044611 (nuclear pore inner ring); GO:0006999 (nuclear pore organization); GO:0051292 (nuclear pore complex assembly); GO:1903379 (regulation of mitotic chromosome condensation); GO:0005515 (protein binding); GO:0000132 (establishment of mitotic spindle orientation); GO:0110039 (positive regulation of nematode male tail tip morphogenesis)</t>
  </si>
  <si>
    <t xml:space="preserve">RNA-binding protein 8A </t>
  </si>
  <si>
    <t>GO:0003723 (RNA binding); GO:0005634 (nucleus); GO:0005737 (cytoplasm); GO:0003676 (nucleic acid binding); GO:0003729 (mRNA binding); GO:0006396 (RNA processing); GO:0035145 (exon-exon junction complex); GO:0006397 (mRNA processing); GO:0008380 (RNA splicing); GO:0051028 (mRNA transport); GO:0016607 (nuclear speck); GO:0071048 (nuclear retention of unspliced pre-mRNA at the site of transcription); GO:0030620 (U2 snRNA binding); GO:0036002 (pre-mRNA binding)</t>
  </si>
  <si>
    <t xml:space="preserve">Cell death-related nuclease 3; Cell-death-Related Nuclease </t>
  </si>
  <si>
    <t>GO:0000166 (nucleotide binding); GO:0003676 (nucleic acid binding); GO:0005730 (nucleolus); GO:0006139 (nucleobase-containing compound metabolic process); GO:0006396 (RNA processing); GO:0003727 (single-stranded RNA binding); GO:0000176 (nuclear exosome (RNase complex)); GO:0008408 (3'-5' exonuclease activity); GO:0044237 (cellular metabolic process); GO:0000467 (exonucleolytic trimming to generate mature 3'-end of 5.8S rRNA from tricistronic rRNA transcript (SSU-rRNA, 5.8S rRNA, LSU-rRNA)); GO:0071035 (nuclear polyadenylation-dependent rRNA catabolic process); GO:0071038 (nuclear polyadenylation-dependent tRNA catabolic process); GO:0071044 (histone mRNA catabolic process); GO:0071051 (polyadenylation-dependent snoRNA 3'-end processing); GO:0000175 (3'-5'-exoribonuclease activity); GO:0071048 (nuclear retention of unspliced pre-mRNA at the site of transcription); GO:0006309 (apoptotic DNA fragmentation); GO:0043277 (apoptotic cell clearance); GO:0071036 (nuclear polyadenylation-dependent snoRNA catabolic process); GO:0071037 (nuclear polyadenylation-dependent snRNA catabolic process); GO:0071039 (nuclear polyadenylation-dependent CUT catabolic process); GO:0071040 (nuclear polyadenylation-dependent antisense transcript catabolic process); GO:0000178 (exosome (RNase complex)); GO:0009792 (embryo development ending in birth or egg hatching)</t>
  </si>
  <si>
    <t>GO:0003899 (DNA-directed 5'-3' RNA polymerase activity); GO:0005736 (RNA polymerase I complex); GO:0032774 (RNA biosynthetic process)</t>
  </si>
  <si>
    <t xml:space="preserve">Actin-related protein 2/3 complex subunit 5 </t>
  </si>
  <si>
    <t>GO:0005737 (cytoplasm); GO:0005856 (cytoskeleton); GO:0016477 (cell migration); GO:0051015 (actin filament binding); GO:0015629 (actin cytoskeleton); GO:0034314 (Arp2/3 complex-mediated actin nucleation); GO:0005885 (Arp2/3 protein complex); GO:0030833 (regulation of actin filament polymerization); GO:0016331 (morphogenesis of embryonic epithelium); GO:0010631 (epithelial cell migration)</t>
  </si>
  <si>
    <t xml:space="preserve">Ribokinase </t>
  </si>
  <si>
    <t>GO:0016301 (kinase activity); GO:0016310 (phosphorylation); GO:0005634 (nucleus); GO:0046872 (metal ion binding); GO:0000166 (nucleotide binding); GO:0016740 (transferase activity); GO:0005737 (cytoplasm); GO:0005524 (ATP binding); GO:0005975 (carbohydrate metabolic process); GO:0004747 (ribokinase activity); GO:0006014 (D-ribose metabolic process); GO:0019303 (D-ribose catabolic process); GO:0046835 (carbohydrate phosphorylation)</t>
  </si>
  <si>
    <t xml:space="preserve">Ribosome-recycling factor, mitochondrial </t>
  </si>
  <si>
    <t>GO:0005739 (mitochondrion); GO:0006412 (translation); GO:0043023 (ribosomal large subunit binding)</t>
  </si>
  <si>
    <t>GO:0016020 (membrane); GO:0016021 (integral component of membrane); GO:0016740 (transferase activity); GO:0016746 (transferase activity, transferring acyl groups); GO:0005783 (endoplasmic reticulum); GO:0012505 (endomembrane system); GO:0036149 (phosphatidylinositol acyl-chain remodeling); GO:0046488 (phosphatidylinositol metabolic process); GO:0002009 (morphogenesis of an epithelium)</t>
  </si>
  <si>
    <t>GO:0016020 (membrane); GO:0016021 (integral component of membrane); GO:0005794 (Golgi apparatus)</t>
  </si>
  <si>
    <t>GO:0005515 (protein binding); GO:0005634 (nucleus); GO:0005737 (cytoplasm); GO:1903863 (P granule assembly); GO:0000794 (condensed nuclear chromosome); GO:0070090 (metaphase plate); GO:0070918 (production of small RNA involved in gene silencing by RNA)</t>
  </si>
  <si>
    <t xml:space="preserve">Putative esterase F42H10.6 </t>
  </si>
  <si>
    <t>GO:0016787 (hydrolase activity); GO:0047617 (acyl-CoA hydrolase activity); GO:0042802 (identical protein binding)</t>
  </si>
  <si>
    <t xml:space="preserve">Vesicle-fusing ATPase </t>
  </si>
  <si>
    <t>GO:0035494 (SNARE complex disassembly); GO:0016887 (ATPase activity); GO:0005524 (ATP binding); GO:0016787 (hydrolase activity); GO:0046872 (metal ion binding); GO:0000166 (nucleotide binding); GO:0005737 (cytoplasm); GO:0015031 (protein transport); GO:0016192 (vesicle-mediated transport)</t>
  </si>
  <si>
    <t>GO:0000462 (maturation of SSU-rRNA from tricistronic rRNA transcript (SSU-rRNA, 5.8S rRNA, LSU-rRNA)); GO:0006364 (rRNA processing)</t>
  </si>
  <si>
    <t xml:space="preserve">Histone deacetylase 4 </t>
  </si>
  <si>
    <t xml:space="preserve">Vacuolar protein sorting-associated protein 11 homolog </t>
  </si>
  <si>
    <t>GO:0016020 (membrane); GO:0046872 (metal ion binding); GO:0006886 (intracellular protein transport); GO:0015031 (protein transport); GO:0016192 (vesicle-mediated transport); GO:0005768 (endosome); GO:0007032 (endosome organization); GO:0005764 (lysosome); GO:0005765 (lysosomal membrane); GO:0031902 (late endosome membrane); GO:0030674 (protein-macromolecule adaptor activity); GO:0006904 (vesicle docking involved in exocytosis); GO:0007033 (vacuole organization); GO:0030897 (HOPS complex); GO:0035542 (regulation of SNARE complex assembly); GO:0005515 (protein binding)</t>
  </si>
  <si>
    <t>GO:0016020 (membrane); GO:0016021 (integral component of membrane); GO:0005634 (nucleus); GO:0000209 (protein polyubiquitination); GO:0005783 (endoplasmic reticulum); GO:0030433 (ubiquitin-dependent ERAD pathway); GO:0061631 (ubiquitin conjugating enzyme activity)</t>
  </si>
  <si>
    <t>GO:0005634 (nucleus); GO:0005737 (cytoplasm); GO:0043161 (proteasome-mediated ubiquitin-dependent protein catabolic process); GO:0030162 (regulation of proteolysis); GO:0031625 (ubiquitin protein ligase binding); GO:0005515 (protein binding)</t>
  </si>
  <si>
    <t>GO:0005737 (cytoplasm); GO:0093002 (response to nematicide); GO:0015031 (protein transport)</t>
  </si>
  <si>
    <t xml:space="preserve">ACEtyl-CoA Regulator </t>
  </si>
  <si>
    <t xml:space="preserve">Histone acetyltransferase Tip60 homolog </t>
  </si>
  <si>
    <t>GO:0005634 (nucleus); GO:0046872 (metal ion binding); GO:0016740 (transferase activity); GO:0016746 (transferase activity, transferring acyl groups); GO:0006355 (regulation of transcription, DNA-templated); GO:0045944 (positive regulation of transcription by RNA polymerase II); GO:0007275 (multicellular organism development); GO:0004402 (histone acetyltransferase activity); GO:0042393 (histone binding); GO:0045892 (negative regulation of transcription, DNA-templated); GO:0016573 (histone acetylation); GO:0006325 (chromatin organization); GO:0009996 (negative regulation of cell fate specification); GO:0003712 (transcription coregulator activity); GO:0001708 (cell fate specification); GO:0071168 (protein localization to chromatin)</t>
  </si>
  <si>
    <t>GO:0005524 (ATP binding); GO:0016887 (ATPase activity); GO:0005759 (mitochondrial matrix); GO:0051082 (unfolded protein binding); GO:0051085 (chaperone cofactor-dependent protein refolding); GO:0006457 (protein folding); GO:0051087 (chaperone binding); GO:0046872 (metal ion binding)</t>
  </si>
  <si>
    <t xml:space="preserve">Putative UDP-glucuronosyltransferase ugt-46 </t>
  </si>
  <si>
    <t>GO:0004725 (protein tyrosine phosphatase activity); GO:0006470 (protein dephosphorylation); GO:0035335 (peptidyl-tyrosine dephosphorylation); GO:0005515 (protein binding); GO:0016311 (dephosphorylation); GO:0016791 (phosphatase activity); GO:0008045 (motor neuron axon guidance)</t>
  </si>
  <si>
    <t>GO:0005737 (cytoplasm); GO:0034199 (activation of protein kinase A activity); GO:0034237 (protein kinase A regulatory subunit binding); GO:0005783 (endoplasmic reticulum); GO:0055120 (striated muscle dense body); GO:0030017 (sarcomere)</t>
  </si>
  <si>
    <t>GO:0005771 (multivesicular body); GO:0007034 (vacuolar transport); GO:0032511 (late endosome to vacuole transport via multivesicular body sorting pathway); GO:0006900 (vesicle budding from membrane)</t>
  </si>
  <si>
    <t xml:space="preserve">rRNA methyltransferase 2, mitochondrial </t>
  </si>
  <si>
    <t>GO:0008168 (methyltransferase activity); GO:0032259 (methylation); GO:0016740 (transferase activity); GO:0005739 (mitochondrion); GO:0006364 (rRNA processing); GO:0001510 (RNA methylation); GO:0008650 (rRNA (uridine-2'-O-)-methyltransferase activity); GO:0031167 (rRNA methylation); GO:0008173 (RNA methyltransferase activity)</t>
  </si>
  <si>
    <t>GO:0005634 (nucleus); GO:0000209 (protein polyubiquitination); GO:0043161 (proteasome-mediated ubiquitin-dependent protein catabolic process); GO:0061630 (ubiquitin protein ligase activity); GO:0005829 (cytosol); GO:0000151 (ubiquitin ligase complex); GO:0031624 (ubiquitin conjugating enzyme binding); GO:0030332 (cyclin binding); GO:0006513 (protein monoubiquitination); GO:0051865 (protein autoubiquitination)</t>
  </si>
  <si>
    <t xml:space="preserve">LEM protein 2 </t>
  </si>
  <si>
    <t>GO:0005637 (nuclear inner membrane); GO:1902531 (regulation of intracellular signal transduction); GO:0006997 (nucleus organization)</t>
  </si>
  <si>
    <t>GO:0016740 (transferase activity); GO:0015020 (glucuronosyltransferase activity); GO:0016757 (transferase activity, transferring glycosyl groups); GO:0008194 (UDP-glycosyltransferase activity)</t>
  </si>
  <si>
    <t xml:space="preserve">CREB Homolog </t>
  </si>
  <si>
    <t>GO:0003700 (DNA-binding transcription factor activity); GO:0006355 (regulation of transcription, DNA-templated); GO:0000981 (DNA-binding transcription factor activity, RNA polymerase II-specific); GO:0006357 (regulation of transcription by RNA polymerase II); GO:0035497 (cAMP response element binding)</t>
  </si>
  <si>
    <t xml:space="preserve">CLE-1B protein; CoLlagen with Endostatin domain </t>
  </si>
  <si>
    <t>GO:0005581 (collagen trimer); GO:0005615 (extracellular space); GO:0030198 (extracellular matrix organization); GO:0005201 (extracellular matrix structural constituent); GO:0031012 (extracellular matrix); GO:0005604 (basement membrane); GO:0007271 (synaptic transmission, cholinergic); GO:0001764 (neuron migration); GO:0007411 (axon guidance); GO:0050808 (synapse organization); GO:0035418 (protein localization to synapse); GO:0030054 (cell junction); GO:0040039 (inductive cell migration); GO:0045202 (synapse); GO:0005515 (protein binding)</t>
  </si>
  <si>
    <t xml:space="preserve">ARID (AT-rich Interactive Domain-containing protein) homolog </t>
  </si>
  <si>
    <t>GO:0003677 (DNA binding); GO:0006355 (regulation of transcription, DNA-templated); GO:0017053 (transcription repressor complex)</t>
  </si>
  <si>
    <t xml:space="preserve">Degenerin-like protein unc-105 </t>
  </si>
  <si>
    <t>GO:0016020 (membrane); GO:0016021 (integral component of membrane); GO:0005216 (ion channel activity); GO:0006811 (ion transport); GO:0005887 (integral component of plasma membrane); GO:0007275 (multicellular organism development); GO:0006816 (calcium ion transport); GO:0015693 (magnesium ion transport); GO:0005272 (sodium channel activity); GO:0006814 (sodium ion transport); GO:0030154 (cell differentiation); GO:0035725 (sodium ion transmembrane transport); GO:0007517 (muscle organ development); GO:0015280 (ligand-gated sodium channel activity); GO:0034220 (ion transmembrane transport)</t>
  </si>
  <si>
    <t>GO:0003735 (structural constituent of ribosome); GO:0005840 (ribosome); GO:0006412 (translation); GO:0005763 (mitochondrial small ribosomal subunit); GO:0015935 (small ribosomal subunit); GO:0032543 (mitochondrial translation)</t>
  </si>
  <si>
    <t xml:space="preserve">Vacuolar protein sorting-associated protein 29 </t>
  </si>
  <si>
    <t>GO:0015031 (protein transport); GO:0006886 (intracellular protein transport); GO:0005829 (cytosol); GO:0030904 (retromer complex); GO:0042147 (retrograde transport, endosome to Golgi); GO:0005768 (endosome); GO:0010008 (endosome membrane)</t>
  </si>
  <si>
    <t>GO:0005737 (cytoplasm); GO:0005634 (nucleus); GO:0000398 (mRNA splicing, via spliceosome); GO:0003676 (nucleic acid binding); GO:0003723 (RNA binding); GO:0005654 (nucleoplasm); GO:0061574 (ASAP complex)</t>
  </si>
  <si>
    <t xml:space="preserve">Pre-rRNA-processing protein TSR1 homolog </t>
  </si>
  <si>
    <t>GO:0003924 (GTPase activity); GO:0005634 (nucleus); GO:0000462 (maturation of SSU-rRNA from tricistronic rRNA transcript (SSU-rRNA, 5.8S rRNA, LSU-rRNA)); GO:0005730 (nucleolus); GO:0042254 (ribosome biogenesis); GO:0005525 (GTP binding); GO:0030688 (preribosome, small subunit precursor); GO:0034511 (U3 snoRNA binding); GO:0000479 (endonucleolytic cleavage of tricistronic rRNA transcript (SSU-rRNA, 5.8S rRNA, LSU-rRNA))</t>
  </si>
  <si>
    <t>GO:0051920 (peroxiredoxin activity); GO:0016209 (antioxidant activity); GO:0016491 (oxidoreductase activity); GO:0055114 (oxidation-reduction process); GO:0005737 (cytoplasm); GO:0098869 (cellular oxidant detoxification); GO:0008340 (determination of adult lifespan); GO:0004601 (peroxidase activity); GO:0090727 (positive regulation of brood size); GO:1902882 (regulation of response to oxidative stress); GO:0070301 (cellular response to hydrogen peroxide); GO:0000122 (negative regulation of transcription by RNA polymerase II); GO:0008379 (thioredoxin peroxidase activity); GO:0010038 (response to metal ion); GO:0010286 (heat acclimation); GO:0042542 (response to hydrogen peroxide); GO:0042744 (hydrogen peroxide catabolic process)</t>
  </si>
  <si>
    <t xml:space="preserve">Ubiquitin-conjugating enzyme E2 variant 1 </t>
  </si>
  <si>
    <t>GO:0005634 (nucleus); GO:0000209 (protein polyubiquitination); GO:0005737 (cytoplasm); GO:0042995 (cell projection); GO:0005829 (cytosol); GO:0030425 (dendrite); GO:0043204 (perikaryon); GO:0006301 (postreplication repair); GO:0070534 (protein K63-linked ubiquitination); GO:0043005 (neuron projection); GO:0090325 (regulation of locomotion involved in locomotory behavior); GO:0031624 (ubiquitin conjugating enzyme binding); GO:2000008 (regulation of protein localization to cell surface)</t>
  </si>
  <si>
    <t xml:space="preserve">Dietary Restriction Response (WT but not eat-2 lifespan increased) </t>
  </si>
  <si>
    <t>GO:0003676 (nucleic acid binding); GO:0003723 (RNA binding); GO:0005844 (polysome)</t>
  </si>
  <si>
    <t>GO:0005739 (mitochondrion); GO:0003735 (structural constituent of ribosome); GO:0005840 (ribosome); GO:0032543 (mitochondrial translation); GO:0005763 (mitochondrial small ribosomal subunit)</t>
  </si>
  <si>
    <t>GO:0070176 (DRM complex); GO:0006351 (transcription, DNA-templated)</t>
  </si>
  <si>
    <t xml:space="preserve">Probable ubiquitin-conjugating enzyme E2 7 </t>
  </si>
  <si>
    <t>GO:0000166 (nucleotide binding); GO:0016740 (transferase activity); GO:0000209 (protein polyubiquitination); GO:0006511 (ubiquitin-dependent protein catabolic process); GO:0016567 (protein ubiquitination); GO:0043161 (proteasome-mediated ubiquitin-dependent protein catabolic process); GO:0005524 (ATP binding); GO:0061631 (ubiquitin conjugating enzyme activity)</t>
  </si>
  <si>
    <t xml:space="preserve">Emerin homolog 1 </t>
  </si>
  <si>
    <t xml:space="preserve">CCR4-NOT transcription complex subunit 7 </t>
  </si>
  <si>
    <t>GO:0004535 (poly(A)-specific ribonuclease activity); GO:0030014 (CCR4-NOT complex); GO:0003676 (nucleic acid binding)</t>
  </si>
  <si>
    <t xml:space="preserve">Beta-1,4-mannosyltransferase bre-3 </t>
  </si>
  <si>
    <t>GO:0019187 (beta-1,4-mannosyltransferase activity)</t>
  </si>
  <si>
    <t>GO:0016020 (membrane); GO:0005737 (cytoplasm); GO:0005096 (GTPase activator activity); GO:0043547 (positive regulation of GTPase activity); GO:0035556 (intracellular signal transduction); GO:0005085 (guanyl-nucleotide exchange factor activity); GO:0050790 (regulation of catalytic activity); GO:0005515 (protein binding)</t>
  </si>
  <si>
    <t xml:space="preserve">E3 ubiquitin-protein ligase siah-1 </t>
  </si>
  <si>
    <t>GO:0005737 (cytoplasm); GO:0046872 (metal ion binding); GO:0016740 (transferase activity); GO:0006511 (ubiquitin-dependent protein catabolic process); GO:0016567 (protein ubiquitination); GO:0043161 (proteasome-mediated ubiquitin-dependent protein catabolic process); GO:0061630 (ubiquitin protein ligase activity); GO:0008270 (zinc ion binding); GO:0031624 (ubiquitin conjugating enzyme binding); GO:0005515 (protein binding); GO:0007275 (multicellular organism development)</t>
  </si>
  <si>
    <t xml:space="preserve">BTB and MATH domain-containing protein 39 </t>
  </si>
  <si>
    <t xml:space="preserve">Acetoacetyl-CoA synthetase </t>
  </si>
  <si>
    <t>GO:0005634 (nucleus); GO:0000166 (nucleotide binding); GO:0016874 (ligase activity); GO:0005737 (cytoplasm); GO:0005524 (ATP binding); GO:0005829 (cytosol); GO:0006629 (lipid metabolic process); GO:0006631 (fatty acid metabolic process); GO:0030729 (acetoacetate-CoA ligase activity)</t>
  </si>
  <si>
    <t>GO:0005737 (cytoplasm); GO:0016740 (transferase activity); GO:0008080 (N-acetyltransferase activity); GO:0006473 (protein acetylation); GO:1905502 (acetyl-CoA binding)</t>
  </si>
  <si>
    <t xml:space="preserve">Putative tRNA (cytidine(32)/guanosine(34)-2'-O)-methyltransferase </t>
  </si>
  <si>
    <t>GO:0005737 (cytoplasm); GO:0008168 (methyltransferase activity); GO:0032259 (methylation); GO:0016740 (transferase activity); GO:0008033 (tRNA processing); GO:0008175 (tRNA methyltransferase activity); GO:0030488 (tRNA methylation); GO:0001510 (RNA methylation); GO:0002181 (cytoplasmic translation); GO:0008173 (RNA methyltransferase activity); GO:0002128 (tRNA nucleoside ribose methylation)</t>
  </si>
  <si>
    <t xml:space="preserve">Lipoyl synthase, mitochondrial </t>
  </si>
  <si>
    <t>GO:0003824 (catalytic activity); GO:0046872 (metal ion binding); GO:0016740 (transferase activity); GO:0005739 (mitochondrion); GO:0051536 (iron-sulfur cluster binding); GO:0051539 (4 iron, 4 sulfur cluster binding); GO:0016783 (sulfurtransferase activity); GO:0009107 (lipoate biosynthetic process); GO:0009249 (protein lipoylation); GO:0016992 (lipoate synthase activity); GO:0102552 (lipoyl synthase activity (acting on glycine-cleavage complex H protein); GO:0102553 (lipoyl synthase activity (acting on pyruvate dehydrogenase E2 protein))</t>
  </si>
  <si>
    <t xml:space="preserve">Peroxisomal catalase 1 </t>
  </si>
  <si>
    <t>GO:0042744 (hydrogen peroxide catabolic process); GO:0004096 (catalase activity); GO:0006979 (response to oxidative stress); GO:0020037 (heme binding); GO:0055114 (oxidation-reduction process)</t>
  </si>
  <si>
    <t xml:space="preserve">SUMO-conjugating enzyme UBC9 </t>
  </si>
  <si>
    <t>GO:0005634 (nucleus); GO:0000166 (nucleotide binding); GO:0016740 (transferase activity); GO:0005524 (ATP binding); GO:0007275 (multicellular organism development); GO:0005515 (protein binding); GO:0016925 (protein sumoylation); GO:0005635 (nuclear envelope); GO:0061656 (SUMO conjugating enzyme activity); GO:0009792 (embryo development ending in birth or egg hatching); GO:0002119 (nematode larval development); GO:0000122 (negative regulation of transcription by RNA polymerase II); GO:0019789 (SUMO transferase activity); GO:0043282 (pharyngeal muscle development); GO:0009952 (anterior/posterior pattern specification); GO:0001085 (RNA polymerase II transcription factor binding); GO:0032093 (SAM domain binding); GO:1903827 (regulation of cellular protein localization)</t>
  </si>
  <si>
    <t xml:space="preserve">UMP-CMP kinase 2 </t>
  </si>
  <si>
    <t xml:space="preserve">Dephospho-CoA kinase 2 </t>
  </si>
  <si>
    <t>GO:0005524 (ATP binding); GO:0000166 (nucleotide binding); GO:0016310 (phosphorylation); GO:0004140 (dephospho-CoA kinase activity); GO:0015937 (coenzyme A biosynthetic process); GO:0005739 (mitochondrion); GO:0016020 (membrane); GO:0016021 (integral component of membrane); GO:0016301 (kinase activity)</t>
  </si>
  <si>
    <t xml:space="preserve">Putative steroid dehydrogenase 1 </t>
  </si>
  <si>
    <t xml:space="preserve">Valine--tRNA ligase </t>
  </si>
  <si>
    <t>GO:0005524 (ATP binding); GO:0000166 (nucleotide binding); GO:0004812 (aminoacyl-tRNA ligase activity); GO:0006418 (tRNA aminoacylation for protein translation); GO:0016874 (ligase activity); GO:0006412 (translation); GO:0005829 (cytosol); GO:0008340 (determination of adult lifespan); GO:0002161 (aminoacyl-tRNA editing activity); GO:0106074 (aminoacyl-tRNA metabolism involved in translational fidelity); GO:0004832 (valine-tRNA ligase activity); GO:0006438 (valyl-tRNA aminoacylation)</t>
  </si>
  <si>
    <t xml:space="preserve">RAD51-like protein 1 </t>
  </si>
  <si>
    <t>GO:0005524 (ATP binding); GO:0003677 (DNA binding); GO:0005634 (nucleus); GO:0006281 (DNA repair); GO:0005515 (protein binding); GO:0000723 (telomere maintenance); GO:0005813 (centrosome); GO:0006974 (cellular response to DNA damage stimulus); GO:0000724 (double-strand break repair via homologous recombination); GO:0006310 (DNA recombination); GO:0051321 (meiotic cell cycle); GO:0003697 (single-stranded DNA binding); GO:0005657 (replication fork); GO:0007131 (reciprocal meiotic recombination); GO:0008094 (DNA-dependent ATPase activity); GO:0042148 (strand invasion); GO:0000400 (four-way junction DNA binding); GO:0051117 (ATPase binding); GO:0000712 (resolution of meiotic recombination intermediates); GO:0033061 (DNA recombinase mediator complex); GO:0033063 (Rad51B-Rad51C-Rad51D-XRCC2 complex); GO:0000730 (DNA recombinase assembly)</t>
  </si>
  <si>
    <t xml:space="preserve">Pur alpha Like Protein </t>
  </si>
  <si>
    <t>GO:0005634 (nucleus); GO:0003677 (DNA binding); GO:0000977 (RNA polymerase II transcription regulatory region sequence-specific DNA binding); GO:0000981 (DNA-binding transcription factor activity, RNA polymerase II-specific); GO:0006357 (regulation of transcription by RNA polymerase II); GO:0005694 (chromosome); GO:0032422 (purine-rich negative regulatory element binding); GO:0007281 (germ cell development); GO:0043565 (sequence-specific DNA binding); GO:0043186 (P granule); GO:0040012 (regulation of locomotion); GO:0003690 (double-stranded DNA binding); GO:0003691 (double-stranded telomeric DNA binding)</t>
  </si>
  <si>
    <t>GO:0003676 (nucleic acid binding); GO:0008168 (methyltransferase activity); GO:0032259 (methylation)</t>
  </si>
  <si>
    <t>GO:0008168 (methyltransferase activity); GO:0032259 (methylation); GO:0016740 (transferase activity); GO:0005737 (cytoplasm); GO:0046982 (protein heterodimerization activity); GO:0006281 (DNA repair); GO:0006974 (cellular response to DNA damage stimulus); GO:0018022 (peptidyl-lysine methylation); GO:0018025 (calmodulin-lysine N-methyltransferase activity); GO:0071821 (FANCM-MHF complex)</t>
  </si>
  <si>
    <t>GO:0005737 (cytoplasm); GO:0003676 (nucleic acid binding); GO:0005730 (nucleolus); GO:0003729 (mRNA binding); GO:0000184 (nuclear-transcribed mRNA catabolic process, nonsense-mediated decay); GO:0045727 (positive regulation of translation); GO:0005634 (nucleus); GO:0048471 (perinuclear region of cytoplasm); GO:0030539 (male genitalia development); GO:0040035 (hermaphrodite genitalia development)</t>
  </si>
  <si>
    <t>GO:0005515 (protein binding); GO:0051382 (kinetochore assembly); GO:0000777 (condensed chromosome kinetochore)</t>
  </si>
  <si>
    <t xml:space="preserve">MCRS1 (Microtubule-binding MiCRoSpherule Protein 1) homolog </t>
  </si>
  <si>
    <t>GO:0045944 (positive regulation of transcription by RNA polymerase II); GO:0071339 (MLL1 complex); GO:0002151 (G-quadruplex RNA binding); GO:0031011 (Ino80 complex); GO:0044545 (NSL complex); GO:0005515 (protein binding)</t>
  </si>
  <si>
    <t xml:space="preserve">Pre-mRNA-processing factor 19 </t>
  </si>
  <si>
    <t>GO:0000974 (Prp19 complex); GO:0061630 (ubiquitin protein ligase activity); GO:0000398 (mRNA splicing, via spliceosome); GO:0016567 (protein ubiquitination); GO:0006281 (DNA repair); GO:0004842 (ubiquitin-protein transferase activity); GO:0005515 (protein binding)</t>
  </si>
  <si>
    <t>GO:0005634 (nucleus); GO:0046872 (metal ion binding); GO:0005515 (protein binding)</t>
  </si>
  <si>
    <t xml:space="preserve">OCRL (Lowe's oculocerebrorenal syndrome protein) homolog </t>
  </si>
  <si>
    <t>GO:0016020 (membrane); GO:0016787 (hydrolase activity); GO:0031410 (cytoplasmic vesicle); GO:0007165 (signal transduction); GO:0005768 (endosome); GO:0046856 (phosphatidylinositol dephosphorylation); GO:0004439 (phosphatidylinositol-4,5-bisphosphate 5-phosphatase activity); GO:0046855 (inositol phosphate dephosphorylation); GO:0010008 (endosome membrane); GO:0030670 (phagocytic vesicle membrane); GO:0031901 (early endosome membrane)</t>
  </si>
  <si>
    <t>GO:0006470 (protein dephosphorylation); GO:0016311 (dephosphorylation); GO:0016791 (phosphatase activity); GO:0008138 (protein tyrosine/serine/threonine phosphatase activity)</t>
  </si>
  <si>
    <t xml:space="preserve">Gluconokinase </t>
  </si>
  <si>
    <t>GO:0016301 (kinase activity); GO:0016310 (phosphorylation); GO:0000166 (nucleotide binding); GO:0016740 (transferase activity); GO:0005524 (ATP binding); GO:0005975 (carbohydrate metabolic process); GO:0046177 (D-gluconate catabolic process); GO:0046316 (gluconokinase activity)</t>
  </si>
  <si>
    <t>GO:0071025 (RNA surveillance); GO:0070966 (nuclear-transcribed mRNA catabolic process, no-go decay); GO:0070481 (nuclear-transcribed mRNA catabolic process, non-stop decay)</t>
  </si>
  <si>
    <t>GO:0005634 (nucleus); GO:0005737 (cytoplasm); GO:0016192 (vesicle-mediated transport); GO:0006888 (endoplasmic reticulum to Golgi vesicle-mediated transport); GO:0030008 (TRAPP complex); GO:0048471 (perinuclear region of cytoplasm)</t>
  </si>
  <si>
    <t xml:space="preserve">Fatty acid 2-hydroxylase </t>
  </si>
  <si>
    <t>GO:0016020 (membrane); GO:0016021 (integral component of membrane); GO:0046872 (metal ion binding); GO:0016491 (oxidoreductase activity); GO:0005783 (endoplasmic reticulum); GO:0006629 (lipid metabolic process); GO:0005506 (iron ion binding); GO:0005515 (protein binding); GO:0005789 (endoplasmic reticulum membrane); GO:0008610 (lipid biosynthetic process); GO:0006631 (fatty acid metabolic process); GO:0006633 (fatty acid biosynthetic process); GO:0080132 (fatty acid alpha-hydroxylase activity); GO:0055114 (oxidation-reduction process)</t>
  </si>
  <si>
    <t xml:space="preserve">Probable cytosolic iron-sulfur protein assembly protein CIAO1 homolog </t>
  </si>
  <si>
    <t>GO:0005515 (protein binding); GO:0016226 (iron-sulfur cluster assembly); GO:0097361 (CIA complex)</t>
  </si>
  <si>
    <t xml:space="preserve">Histone-lysine N-methyltransferase met-2 </t>
  </si>
  <si>
    <t>GO:0034968 (histone lysine methylation); GO:0018024 (histone-lysine N-methyltransferase activity); GO:0005515 (protein binding); GO:0005634 (nucleus); GO:0008270 (zinc ion binding); GO:0003677 (DNA binding)</t>
  </si>
  <si>
    <t>GO:0000785 (chromatin); GO:0000712 (resolution of meiotic recombination intermediates); GO:0051729 (germline cell cycle switching, mitotic to meiotic cell cycle); GO:0007131 (reciprocal meiotic recombination)</t>
  </si>
  <si>
    <t>GO:0005739 (mitochondrion); GO:0016491 (oxidoreductase activity); GO:0003995 (acyl-CoA dehydrogenase activity); GO:0016627 (oxidoreductase activity, acting on the CH-CH group of donors); GO:0050660 (flavin adenine dinucleotide binding); GO:0000062 (fatty-acyl-CoA binding); GO:0017099 (very-long-chain-acyl-CoA dehydrogenase activity); GO:0055114 (oxidation-reduction process)</t>
  </si>
  <si>
    <t>GO:0030246 (carbohydrate binding); GO:0050921 (positive regulation of chemotaxis); GO:0045087 (innate immune response)</t>
  </si>
  <si>
    <t xml:space="preserve">Echinoderm microtubule-associated protein-like elp-1 </t>
  </si>
  <si>
    <t>GO:0005515 (protein binding); GO:0043025 (neuronal cell body); GO:0031594 (neuromuscular junction); GO:0030425 (dendrite)</t>
  </si>
  <si>
    <t xml:space="preserve">Programmed cell death protein 10 homolog </t>
  </si>
  <si>
    <t xml:space="preserve">Mitogen-activated protein kinase kinase kinase kinase </t>
  </si>
  <si>
    <t>GO:0005524 (ATP binding); GO:0004672 (protein kinase activity); GO:0006468 (protein phosphorylation); GO:0016301 (kinase activity); GO:0016310 (phosphorylation); GO:0000166 (nucleotide binding); GO:0016740 (transferase activity); GO:0004674 (protein serine/threonine kinase activity); GO:0000165 (MAPK cascade); GO:0000185 (activation of MAPKKK activity); GO:0008349 (MAP kinase kinase kinase kinase activity); GO:0106310 (protein serine kinase activity); GO:0106311 (protein threonine kinase activity)</t>
  </si>
  <si>
    <t>GO:0003735 (structural constituent of ribosome); GO:0005840 (ribosome); GO:0006412 (translation); GO:0005763 (mitochondrial small ribosomal subunit); GO:0032543 (mitochondrial translation)</t>
  </si>
  <si>
    <t>GO:0003723 (RNA binding); GO:0006396 (RNA processing); GO:0006397 (mRNA processing); GO:0008380 (RNA splicing); GO:0000395 (mRNA 5'-splice site recognition)</t>
  </si>
  <si>
    <t xml:space="preserve">FarNesylTransferase, Alpha subunit </t>
  </si>
  <si>
    <t>GO:0005737 (cytoplasm); GO:0016740 (transferase activity); GO:0005515 (protein binding); GO:0005953 (CAAX-protein geranylgeranyltransferase complex); GO:0018344 (protein geranylgeranylation); GO:0004662 (CAAX-protein geranylgeranyltransferase activity); GO:0005965 (protein farnesyltransferase complex); GO:0008318 (protein prenyltransferase activity); GO:0018342 (protein prenylation); GO:0018343 (protein farnesylation); GO:0004660 (protein farnesyltransferase activity); GO:0018215 (protein phosphopantetheinylation)</t>
  </si>
  <si>
    <t xml:space="preserve">Kinetochore protein ndc-80 </t>
  </si>
  <si>
    <t>GO:0051315 (attachment of mitotic spindle microtubules to kinetochore); GO:0031262 (Ndc80 complex)</t>
  </si>
  <si>
    <t xml:space="preserve">GPI mannosyltransferase 1 </t>
  </si>
  <si>
    <t>GO:0016020 (membrane); GO:0016021 (integral component of membrane); GO:0016740 (transferase activity); GO:0016757 (transferase activity, transferring glycosyl groups); GO:0006506 (GPI anchor biosynthetic process); GO:0005783 (endoplasmic reticulum); GO:0005789 (endoplasmic reticulum membrane); GO:0097502 (mannosylation); GO:0000030 (mannosyltransferase activity); GO:1990529 (glycosylphosphatidylinositol-mannosyltransferase I complex); GO:0051751 (alpha-1,4-mannosyltransferase activity); GO:0004376 (glycolipid mannosyltransferase activity)</t>
  </si>
  <si>
    <t xml:space="preserve">DNA replication licensing factor MCM7 </t>
  </si>
  <si>
    <t>GO:0005634 (nucleus); GO:0005524 (ATP binding); GO:0016787 (hydrolase activity); GO:0004386 (helicase activity); GO:0003677 (DNA binding); GO:0000166 (nucleotide binding); GO:0007049 (cell cycle); GO:0006260 (DNA replication); GO:0009792 (embryo development ending in birth or egg hatching); GO:0000070 (mitotic sister chromatid segregation); GO:0003688 (DNA replication origin binding); GO:0006270 (DNA replication initiation); GO:0003678 (DNA helicase activity); GO:0000727 (double-strand break repair via break-induced replication); GO:0003697 (single-stranded DNA binding); GO:0042555 (MCM complex); GO:0006271 (DNA strand elongation involved in DNA replication); GO:0006268 (DNA unwinding involved in DNA replication); GO:0006267 (pre-replicative complex assembly involved in nuclear cell cycle DNA replication); GO:1990518 (single-stranded 3'-5' DNA helicase activity); GO:0072689 (MCM complex assembly); GO:0032508 (DNA duplex unwinding); GO:0016887 (ATPase activity)</t>
  </si>
  <si>
    <t xml:space="preserve">ATPase family protein 2 homolog </t>
  </si>
  <si>
    <t xml:space="preserve">Conserved Edge Expressed protein </t>
  </si>
  <si>
    <t>GO:0005515 (protein binding); GO:0071818 (BAT3 complex); GO:0045048 (protein insertion into ER membrane)</t>
  </si>
  <si>
    <t xml:space="preserve">Flap endonuclease 1 </t>
  </si>
  <si>
    <t>GO:0004518 (nuclease activity); GO:0016788 (hydrolase activity, acting on ester bonds); GO:0003824 (catalytic activity); GO:0003677 (DNA binding)</t>
  </si>
  <si>
    <t>GO:0016020 (membrane); GO:0016021 (integral component of membrane); GO:0022857 (transmembrane transporter activity); GO:0055085 (transmembrane transport); GO:0015179 (L-amino acid transmembrane transporter activity); GO:1902475 (L-alpha-amino acid transmembrane transport); GO:0009986 (cell surface); GO:0015807 (L-amino acid transport)</t>
  </si>
  <si>
    <t>GO:0016020 (membrane); GO:0016021 (integral component of membrane); GO:0005789 (endoplasmic reticulum membrane); GO:0006888 (endoplasmic reticulum to Golgi vesicle-mediated transport); GO:0030134 (COPII-coated ER to Golgi transport vesicle); GO:0030173 (integral component of Golgi membrane)</t>
  </si>
  <si>
    <t>GO:0016020 (membrane); GO:0016021 (integral component of membrane); GO:0005524 (ATP binding); GO:0000166 (nucleotide binding); GO:0005886 (plasma membrane); GO:0000287 (magnesium ion binding); GO:0016887 (ATPase activity); GO:0015914 (phospholipid transport); GO:0045332 (phospholipid translocation); GO:0016125 (sterol metabolic process); GO:0140326 (ATPase-coupled intramembrane lipid transporter activity)</t>
  </si>
  <si>
    <t xml:space="preserve">Protein kinase C-like 3 </t>
  </si>
  <si>
    <t>GO:0004672 (protein kinase activity); GO:0004674 (protein serine/threonine kinase activity); GO:0035556 (intracellular signal transduction); GO:0006468 (protein phosphorylation); GO:0005515 (protein binding); GO:0005524 (ATP binding)</t>
  </si>
  <si>
    <t>GO:0005634 (nucleus); GO:0003690 (double-stranded DNA binding); GO:0006357 (regulation of transcription by RNA polymerase II); GO:0003712 (transcription coregulator activity)</t>
  </si>
  <si>
    <t>GO:0000398 (mRNA splicing, via spliceosome); GO:0003676 (nucleic acid binding); GO:0003723 (RNA binding); GO:0005685 (U1 snRNP); GO:0030619 (U1 snRNA binding)</t>
  </si>
  <si>
    <t xml:space="preserve">Serine/threonine-protein phosphatase PP1-delta </t>
  </si>
  <si>
    <t xml:space="preserve">Serine/threonine-protein kinase VRK1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</si>
  <si>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GO:0007275 (multicellular organism development); GO:0005515 (protein binding); GO:0000003 (reproduction); GO:0008406 (gonad development); GO:0001708 (cell fate specification); GO:0005635 (nuclear envelope); GO:0000785 (chromatin); GO:0007163 (establishment or maintenance of cell polarity); GO:0040036 (regulation of fibroblast growth factor receptor signaling pathway); GO:0106310 (protein serine kinase activity); GO:0106311 (protein threonine kinase activity)</t>
  </si>
  <si>
    <t>GO:0050829 (defense response to Gram-negative bacterium); GO:0003674 (molecular_function); GO:0005575 (cellular_component)</t>
  </si>
  <si>
    <t>GO:0006357 (regulation of transcription by RNA polymerase II); GO:0003712 (transcription coregulator activity); GO:0016592 (mediator complex); GO:0003713 (transcription coactivator activity); GO:0070847 (core mediator complex); GO:0045893 (positive regulation of transcription, DNA-templated)</t>
  </si>
  <si>
    <t xml:space="preserve">Spermatogenesis-defective protein 39 </t>
  </si>
  <si>
    <t>GO:0005737 (cytoplasm); GO:0015031 (protein transport); GO:0031410 (cytoplasmic vesicle); GO:0006886 (intracellular protein transport); GO:0005768 (endosome); GO:0005769 (early endosome); GO:0030154 (cell differentiation); GO:0005773 (vacuole); GO:0007283 (spermatogenesis); GO:0005770 (late endosome); GO:0055037 (recycling endosome); GO:0007034 (vacuolar transport); GO:0005515 (protein binding); GO:0007286 (spermatid development); GO:0006624 (vacuolar protein processing)</t>
  </si>
  <si>
    <t xml:space="preserve">RNA polymerase II-associated factor 1 homolog </t>
  </si>
  <si>
    <t>GO:0045944 (positive regulation of transcription by RNA polymerase II); GO:0046982 (protein heterodimerization activity); GO:0000124 (SAGA complex); GO:0005669 (transcription factor TFIID complex); GO:0006367 (transcription initiation from RNA polymerase II promoter); GO:0046695 (SLIK (SAGA-like) complex); GO:0003713 (transcription coactivator activity); GO:0016573 (histone acetylation); GO:0006352 (DNA-templated transcription, initiation); GO:0016251 (RNA polymerase II general transcription initiation factor activity)</t>
  </si>
  <si>
    <t xml:space="preserve">Zinc Finger Protein </t>
  </si>
  <si>
    <t>GO:0005634 (nucleus); GO:0046872 (metal ion binding); GO:0005515 (protein binding); GO:0016020 (membrane); GO:0016021 (integral component of membrane)</t>
  </si>
  <si>
    <t xml:space="preserve">Tumor Susceptibility Gene homolog </t>
  </si>
  <si>
    <t>GO:0015031 (protein transport); GO:0005768 (endosome); GO:0005515 (protein binding); GO:0006464 (cellular protein modification process); GO:0010008 (endosome membrane); GO:0032801 (receptor catabolic process); GO:0000813 (ESCRT I complex); GO:0032510 (endosome to lysosome transport via multivesicular body sorting pathway)</t>
  </si>
  <si>
    <t xml:space="preserve">Stress activated transcription factor atfs-1 </t>
  </si>
  <si>
    <t>GO:0016020 (membrane); GO:0016021 (integral component of membrane); GO:0005739 (mitochondrion); GO:0008053 (mitochondrial fusion)</t>
  </si>
  <si>
    <t xml:space="preserve">Nuclear hormone receptor family member nhr-106 </t>
  </si>
  <si>
    <t xml:space="preserve">Probable methylmalonate-semialdehyde dehydrogenase [acylating], mitochondrial </t>
  </si>
  <si>
    <t>GO:0004491 (methylmalonate-semialdehyde dehydrogenase (acylating) activity); GO:0016620 (oxidoreductase activity, acting on the aldehyde or oxo group of donors, NAD or NADP as acceptor); GO:0016491 (oxidoreductase activity); GO:0055114 (oxidation-reduction process); GO:0018478 (malonate-semialdehyde dehydrogenase (acetylating) activity); GO:0005739 (mitochondrion); GO:0102662 (malonate-semialdehyde dehydrogenase (acetylating, NAD+) activity)</t>
  </si>
  <si>
    <t xml:space="preserve">NF-kappa-B inhibitor-interacting Ras-like protein </t>
  </si>
  <si>
    <t>GO:0007249 (I-kappaB kinase/NF-kappaB signaling); GO:0003924 (GTPase activity); GO:0005525 (GTP binding)</t>
  </si>
  <si>
    <t>GO:0005634 (nucleus); GO:0016787 (hydrolase activity); GO:0046872 (metal ion binding); GO:0006511 (ubiquitin-dependent protein catabolic process); GO:0008270 (zinc ion binding); GO:0006508 (proteolysis); GO:0008233 (peptidase activity); GO:0005829 (cytosol); GO:0004197 (cysteine-type endopeptidase activity); GO:0016579 (protein deubiquitination); GO:0008234 (cysteine-type peptidase activity); GO:0004843 (thiol-dependent ubiquitin-specific protease activity); GO:0005515 (protein binding)</t>
  </si>
  <si>
    <t xml:space="preserve">Mitochondrial import inner membrane translocase subunit tim-16 </t>
  </si>
  <si>
    <t>GO:0016020 (membrane); GO:0015031 (protein transport); GO:0005739 (mitochondrion); GO:0005743 (mitochondrial inner membrane); GO:0005744 (TIM23 mitochondrial import inner membrane translocase complex); GO:0030150 (protein import into mitochondrial matrix)</t>
  </si>
  <si>
    <t xml:space="preserve">Signal transducing adapter molecule 1 </t>
  </si>
  <si>
    <t>GO:0006886 (intracellular protein transport); GO:0015031 (protein transport); GO:0007275 (multicellular organism development); GO:0005515 (protein binding); GO:0005768 (endosome); GO:0005929 (cilium); GO:0042995 (cell projection); GO:0043409 (negative regulation of MAPK cascade); GO:0048013 (ephrin receptor signaling pathway); GO:0043328 (protein transport to vacuole involved in ubiquitin-dependent protein catabolic process via the multivesicular body sorting pathway); GO:0034606 (response to hermaphrodite contact); GO:0005769 (early endosome); GO:0008333 (endosome to lysosome transport); GO:0043130 (ubiquitin binding); GO:0033565 (ESCRT-0 complex)</t>
  </si>
  <si>
    <t>GO:0003676 (nucleic acid binding); GO:0016829 (lyase activity); GO:0090305 (nucleic acid phosphodiester bond hydrolysis); GO:0090501 (RNA phosphodiester bond hydrolysis); GO:0090502 (RNA phosphodiester bond hydrolysis, endonucleolytic); GO:0004518 (nuclease activity); GO:0006388 (tRNA splicing, via endonucleolytic cleavage and ligation); GO:0000213 (tRNA-intron endonuclease activity); GO:0000379 (tRNA-type intron splice site recognition and cleavage); GO:0000214 (tRNA-intron endonuclease complex)</t>
  </si>
  <si>
    <t xml:space="preserve">MOB-like protein phocein </t>
  </si>
  <si>
    <t>GO:0016020 (membrane); GO:0016021 (integral component of membrane); GO:0005886 (plasma membrane); GO:0003824 (catalytic activity); GO:0016787 (hydrolase activity); GO:0046872 (metal ion binding); GO:0047710 (bis(5'-adenosyl)-triphosphatase activity); GO:0030194 (positive regulation of blood coagulation); GO:0007596 (blood coagulation); GO:0007599 (hemostasis)</t>
  </si>
  <si>
    <t>GO:0005634 (nucleus); GO:0043565 (sequence-specific DNA binding); GO:0003677 (DNA binding)</t>
  </si>
  <si>
    <t xml:space="preserve">Glyceraldehyde-3-phosphate dehydrogenase 2 </t>
  </si>
  <si>
    <t xml:space="preserve">Nuclear hormone receptor family member nhr-19 </t>
  </si>
  <si>
    <t xml:space="preserve">Protein adenylyltransferase fic-1 </t>
  </si>
  <si>
    <t>GO:0016020 (membrane); GO:0016021 (integral component of membrane); GO:0005794 (Golgi apparatus); GO:0070588 (calcium ion transmembrane transport); GO:0005384 (manganese ion transmembrane transporter activity); GO:0015085 (calcium ion transmembrane transporter activity); GO:0046873 (metal ion transmembrane transporter activity); GO:0032468 (Golgi calcium ion homeostasis); GO:0032472 (Golgi calcium ion transport); GO:0071421 (manganese ion transmembrane transport)</t>
  </si>
  <si>
    <t xml:space="preserve">Putative sodium/calcium exchanger 7 </t>
  </si>
  <si>
    <t xml:space="preserve">Mitotic checkpoint protein bub-3 </t>
  </si>
  <si>
    <t xml:space="preserve">Probable DNA-directed RNA polymerases I, II, and III subunit RPABC3 </t>
  </si>
  <si>
    <t>GO:0005634 (nucleus); GO:0003677 (DNA binding); GO:0005515 (protein binding); GO:0006351 (transcription, DNA-templated); GO:0003899 (DNA-directed 5'-3' RNA polymerase activity); GO:0005736 (RNA polymerase I complex); GO:0005665 (RNA polymerase II, core complex); GO:0005666 (RNA polymerase III complex)</t>
  </si>
  <si>
    <t>GO:0005634 (nucleus); GO:0005681 (spliceosomal complex); GO:0005515 (protein binding)</t>
  </si>
  <si>
    <t xml:space="preserve">STomatin-Like </t>
  </si>
  <si>
    <t>GO:0016020 (membrane); GO:0005739 (mitochondrion); GO:0045121 (membrane raft)</t>
  </si>
  <si>
    <t xml:space="preserve">Cuticle collagen dpy-10 </t>
  </si>
  <si>
    <t>GO:0016020 (membrane); GO:0016021 (integral component of membrane); GO:0005634 (nucleus); GO:0005783 (endoplasmic reticulum); GO:0005789 (endoplasmic reticulum membrane); GO:0031965 (nuclear membrane); GO:0006488 (dolichol-linked oligosaccharide biosynthetic process); GO:0043541 (UDP-N-acetylglucosamine transferase complex)</t>
  </si>
  <si>
    <t>GO:0003674 (molecular_function); GO:0008150 (biological_process)</t>
  </si>
  <si>
    <t>GO:0005743 (mitochondrial inner membrane); GO:0016491 (oxidoreductase activity); GO:0042574 (retinal metabolic process); GO:0042572 (retinol metabolic process); GO:0055114 (oxidation-reduction process); GO:0052650 (NADP-retinol dehydrogenase activity)</t>
  </si>
  <si>
    <t xml:space="preserve">G patch domain and ankyrin repeat-containing protein 1 homolog </t>
  </si>
  <si>
    <t>GO:0003676 (nucleic acid binding); GO:0003674 (molecular_function); GO:0005575 (cellular_component); GO:0008150 (biological_process); GO:0005515 (protein binding)</t>
  </si>
  <si>
    <t xml:space="preserve">Clustered mitochondria protein homolog </t>
  </si>
  <si>
    <t>GO:0048312 (intracellular distribution of mitochondria); GO:0005515 (protein binding)</t>
  </si>
  <si>
    <t>GO:0016020 (membrane); GO:0016021 (integral component of membrane); GO:0009058 (biosynthetic process); GO:0016844 (strictosidine synthase activity)</t>
  </si>
  <si>
    <t xml:space="preserve">WASP (Actin cytoskeleton modulator) homolog </t>
  </si>
  <si>
    <t>GO:0005634 (nucleus); GO:0003779 (actin binding); GO:0005515 (protein binding); GO:0007015 (actin filament organization); GO:0005938 (cell cortex); GO:0031252 (cell leading edge); GO:0030864 (cortical actin cytoskeleton); GO:0031647 (regulation of protein stability); GO:0016331 (morphogenesis of embryonic epithelium); GO:0010631 (epithelial cell migration); GO:2000601 (positive regulation of Arp2/3 complex-mediated actin nucleation); GO:0034315 (regulation of Arp2/3 complex-mediated actin nucleation); GO:1901046 (positive regulation of oviposition); GO:2000370 (positive regulation of clathrin-dependent endocytosis); GO:0048613 (embryonic ectodermal digestive tract morphogenesis); GO:0036062 (presynaptic periactive zone); GO:0051020 (GTPase binding); GO:0060090 (molecular adaptor activity); GO:0005519 (cytoskeletal regulatory protein binding); GO:0032528 (microvillus organization); GO:0031267 (small GTPase binding)</t>
  </si>
  <si>
    <t>GO:0016020 (membrane); GO:0016021 (integral component of membrane); GO:0005739 (mitochondrion); GO:0005743 (mitochondrial inner membrane); GO:0033617 (mitochondrial cytochrome c oxidase assembly); GO:0031305 (integral component of mitochondrial inner membrane)</t>
  </si>
  <si>
    <t>GO:0005524 (ATP binding); GO:0005737 (cytoplasm); GO:0016787 (hydrolase activity); GO:0004386 (helicase activity); GO:0005634 (nucleus); GO:0000166 (nucleotide binding); GO:0003676 (nucleic acid binding); GO:0000724 (double-strand break repair via homologous recombination); GO:0006281 (DNA repair); GO:0043138 (3'-5' DNA helicase activity); GO:0032508 (DNA duplex unwinding); GO:0006310 (DNA recombination); GO:0005694 (chromosome); GO:0009378 (four-way junction helicase activity); GO:0003678 (DNA helicase activity); GO:0006268 (DNA unwinding involved in DNA replication); GO:0016887 (ATPase activity)</t>
  </si>
  <si>
    <t>GO:0000166 (nucleotide binding); GO:0005634 (nucleus); GO:0000932 (P-body); GO:0003727 (single-stranded RNA binding); GO:0003899 (DNA-directed 5'-3' RNA polymerase activity); GO:0006352 (DNA-templated transcription, initiation); GO:0044237 (cellular metabolic process); GO:0003697 (single-stranded DNA binding); GO:0006367 (transcription initiation from RNA polymerase II promoter); GO:0000288 (nuclear-transcribed mRNA catabolic process, deadenylation-dependent decay); GO:0005665 (RNA polymerase II, core complex); GO:0030880 (RNA polymerase complex); GO:0031369 (translation initiation factor binding); GO:0031990 (mRNA export from nucleus in response to heat stress); GO:0034402 (recruitment of 3'-end processing factors to RNA polymerase II holoenzyme complex); GO:0045948 (positive regulation of translational initiation)</t>
  </si>
  <si>
    <t>GO:0005515 (protein binding); GO:0006750 (glutathione biosynthetic process); GO:0017109 (glutamate-cysteine ligase complex); GO:0030234 (enzyme regulator activity); GO:0035226 (glutamate-cysteine ligase catalytic subunit binding); GO:0035229 (positive regulation of glutamate-cysteine ligase activity); GO:0047834 (D-threo-aldose 1-dehydrogenase activity)</t>
  </si>
  <si>
    <t xml:space="preserve">Myosin-4 </t>
  </si>
  <si>
    <t>GO:0005634 (nucleus); GO:0005829 (cytosol); GO:0000408 (EKC/KEOPS complex); GO:0000722 (telomere maintenance via recombination); GO:0002949 (tRNA threonylcarbamoyladenosine modification)</t>
  </si>
  <si>
    <t>GO:0005737 (cytoplasm); GO:0003824 (catalytic activity); GO:0016301 (kinase activity); GO:0016310 (phosphorylation); GO:0046872 (metal ion binding); GO:0000166 (nucleotide binding); GO:0016740 (transferase activity); GO:0005524 (ATP binding); GO:0000287 (magnesium ion binding); GO:0004743 (pyruvate kinase activity); GO:0006096 (glycolytic process); GO:0030955 (potassium ion binding); GO:0005783 (endoplasmic reticulum); GO:0055120 (striated muscle dense body); GO:0030017 (sarcomere)</t>
  </si>
  <si>
    <t>GO:0005634 (nucleus); GO:0005524 (ATP binding); GO:0016787 (hydrolase activity); GO:0004386 (helicase activity); GO:0000166 (nucleotide binding); GO:0003723 (RNA binding); GO:0003676 (nucleic acid binding); GO:0010494 (cytoplasmic stress granule); GO:0016973 (poly(A)+ mRNA export from nucleus); GO:0007281 (germ cell development); GO:0043186 (P granule); GO:0003724 (RNA helicase activity)</t>
  </si>
  <si>
    <t>GO:0005634 (nucleus); GO:0006607 (NLS-bearing protein import into nucleus); GO:0005643 (nuclear pore); GO:0017056 (structural constituent of nuclear pore); GO:0036228 (protein localization to nuclear inner membrane); GO:0044613 (nuclear pore central transport channel); GO:0006999 (nuclear pore organization); GO:0009792 (embryo development ending in birth or egg hatching); GO:0005515 (protein binding); GO:0000003 (reproduction); GO:0005635 (nuclear envelope); GO:0005516 (calmodulin binding); GO:0048477 (oogenesis); GO:0000132 (establishment of mitotic spindle orientation); GO:0009786 (regulation of asymmetric cell division); GO:0042659 (regulation of cell fate specification); GO:0045977 (positive regulation of mitotic cell cycle, embryonic); GO:0006997 (nucleus organization)</t>
  </si>
  <si>
    <t xml:space="preserve">Protein phosphatase ppm-1 </t>
  </si>
  <si>
    <t>GO:0043169 (cation binding); GO:0016791 (phosphatase activity)</t>
  </si>
  <si>
    <t xml:space="preserve">TuBulin folding Cofactor C homolog </t>
  </si>
  <si>
    <t>GO:0005737 (cytoplasm); GO:0000902 (cell morphogenesis); GO:0006457 (protein folding); GO:0007021 (tubulin complex assembly); GO:0007023 (post-chaperonin tubulin folding pathway)</t>
  </si>
  <si>
    <t xml:space="preserve">Histone-lysine N-methyltransferase set-9 </t>
  </si>
  <si>
    <t>GO:0005634 (nucleus); GO:0008168 (methyltransferase activity); GO:0032259 (methylation); GO:0046872 (metal ion binding); GO:0016740 (transferase activity); GO:0034968 (histone lysine methylation); GO:0008340 (determination of adult lifespan); GO:0005515 (protein binding); GO:0018024 (histone-lysine N-methyltransferase activity)</t>
  </si>
  <si>
    <t>GO:0005634 (nucleus); GO:0000122 (negative regulation of transcription by RNA polymerase II); GO:0001103 (RNA polymerase II repressing transcription factor binding); GO:0003714 (transcription corepressor activity); GO:0005654 (nucleoplasm); GO:0016575 (histone deacetylation); GO:0042826 (histone deacetylase binding)</t>
  </si>
  <si>
    <t>GO:0005634 (nucleus); GO:0003723 (RNA binding); GO:0071013 (catalytic step 2 spliceosome); GO:0003729 (mRNA binding); GO:0000398 (mRNA splicing, via spliceosome); GO:0005681 (spliceosomal complex); GO:0006397 (mRNA processing); GO:0008380 (RNA splicing); GO:0004386 (helicase activity)</t>
  </si>
  <si>
    <t xml:space="preserve">Set1/Ash2 histone methyltransferase complex subunit ash-2 </t>
  </si>
  <si>
    <t>GO:0048188 (Set1C/COMPASS complex); GO:0051568 (histone H3-K4 methylation); GO:0005515 (protein binding); GO:0005634 (nucleus); GO:0046872 (metal ion binding); GO:0008340 (determination of adult lifespan); GO:0060290 (transdifferentiation); GO:0044666 (MLL3/4 complex)</t>
  </si>
  <si>
    <t xml:space="preserve">Multiple C2 and Transmembrane region Protein family homolog </t>
  </si>
  <si>
    <t>GO:0016020 (membrane); GO:0016021 (integral component of membrane); GO:0005509 (calcium ion binding); GO:0030672 (synaptic vesicle membrane); GO:0046928 (regulation of neurotransmitter secretion)</t>
  </si>
  <si>
    <t>GO:0016020 (membrane); GO:0016021 (integral component of membrane); GO:0006811 (ion transport); GO:0043231 (intracellular membrane-bounded organelle); GO:0034220 (ion transmembrane transport); GO:0055085 (transmembrane transport); GO:1902476 (chloride transmembrane transport); GO:0005247 (voltage-gated chloride channel activity); GO:0006821 (chloride transport); GO:0015108 (chloride transmembrane transporter activity); GO:1905146 (lysosomal protein catabolic process); GO:0005765 (lysosomal membrane)</t>
  </si>
  <si>
    <t>GO:0005739 (mitochondrion); GO:0051881 (regulation of mitochondrial membrane potential)</t>
  </si>
  <si>
    <t xml:space="preserve">AGL (Amylo-1,6-GLucosidase, 4-alpha-glucanotransferase) glycogen debranching enzyme </t>
  </si>
  <si>
    <t>GO:0008152 (metabolic process); GO:0016787 (hydrolase activity); GO:0016798 (hydrolase activity, acting on glycosyl bonds); GO:0016740 (transferase activity); GO:0005737 (cytoplasm); GO:0016757 (transferase activity, transferring glycosyl groups); GO:0005975 (carbohydrate metabolic process); GO:0005980 (glycogen catabolic process); GO:0003824 (catalytic activity); GO:0005978 (glycogen biosynthetic process); GO:0004134 (4-alpha-glucanotransferase activity); GO:0004135 (amylo-alpha-1,6-glucosidase activity); GO:0102500 (beta-maltose 4-alpha-glucanotransferase activity)</t>
  </si>
  <si>
    <t>GO:0005737 (cytoplasm); GO:0005085 (guanyl-nucleotide exchange factor activity); GO:0050790 (regulation of catalytic activity); GO:0055037 (recycling endosome)</t>
  </si>
  <si>
    <t xml:space="preserve">DNA topoisomerase </t>
  </si>
  <si>
    <t>GO:0005634 (nucleus); GO:0003677 (DNA binding); GO:0016853 (isomerase activity); GO:0006265 (DNA topological change); GO:0003916 (DNA topoisomerase activity); GO:0003917 (DNA topoisomerase type I (single strand cut, ATP-independent) activity)</t>
  </si>
  <si>
    <t xml:space="preserve">MRG (Mortality factor-Related Gene) related </t>
  </si>
  <si>
    <t>GO:0006325 (chromatin organization); GO:0005634 (nucleus); GO:0006355 (regulation of transcription, DNA-templated); GO:0005515 (protein binding); GO:0035267 (NuA4 histone acetyltransferase complex); GO:0000123 (histone acetyltransferase complex); GO:0016575 (histone deacetylation); GO:0006281 (DNA repair); GO:0006974 (cellular response to DNA damage stimulus); GO:0043967 (histone H4 acetylation); GO:0006342 (chromatin silencing); GO:0016573 (histone acetylation); GO:0043968 (histone H2A acetylation); GO:0005694 (chromosome); GO:0051321 (meiotic cell cycle); GO:0000785 (chromatin); GO:0007281 (germ cell development); GO:0009792 (embryo development ending in birth or egg hatching); GO:0000122 (negative regulation of transcription by RNA polymerase II); GO:0045944 (positive regulation of transcription by RNA polymerase II); GO:0030849 (autosome); GO:0070192 (chromosome organization involved in meiotic cell cycle); GO:0070868 (heterochromatin organization involved in chromatin silencing); GO:0120266 (positive regulation of chromosome attachment to the nuclear envelope); GO:1905632 (protein localization to euchromatin); GO:0000791 (euchromatin)</t>
  </si>
  <si>
    <t>GO:0016020 (membrane); GO:0016021 (integral component of membrane); GO:0003824 (catalytic activity); GO:0016740 (transferase activity); GO:0005789 (endoplasmic reticulum membrane); GO:0006506 (GPI anchor biosynthetic process); GO:0016772 (transferase activity, transferring phosphorus-containing groups); GO:0051377 (mannose-ethanolamine phosphotransferase activity)</t>
  </si>
  <si>
    <t>GO:0005737 (cytoplasm); GO:0043086 (negative regulation of catalytic activity); GO:0051087 (chaperone binding); GO:0042030 (ATPase inhibitor activity)</t>
  </si>
  <si>
    <t>GO:0007032 (endosome organization); GO:0005829 (cytosol); GO:0042147 (retrograde transport, endosome to Golgi); GO:0005769 (early endosome); GO:0005802 (trans-Golgi network); GO:0055037 (recycling endosome); GO:0001881 (receptor recycling)</t>
  </si>
  <si>
    <t xml:space="preserve">Probable dynein light chain 2, cytoplasmic </t>
  </si>
  <si>
    <t xml:space="preserve">Vasa-and Belle-like Helicase </t>
  </si>
  <si>
    <t>GO:0005634 (nucleus); GO:0005524 (ATP binding); GO:0016787 (hydrolase activity); GO:0004386 (helicase activity); GO:0000166 (nucleotide binding); GO:0003723 (RNA binding); GO:0003676 (nucleic acid binding); GO:0030154 (cell differentiation); GO:0043186 (P granule); GO:0005737 (cytoplasm); GO:0003724 (RNA helicase activity); GO:0007276 (gamete generation); GO:0040019 (positive regulation of embryonic development); GO:0042006 (masculinization of hermaphroditic germ-line); GO:1905516 (positive regulation of fertilization); GO:0007281 (germ cell development); GO:0010494 (cytoplasmic stress granule)</t>
  </si>
  <si>
    <t xml:space="preserve">Small nuclear ribonucleoprotein Sm D3 </t>
  </si>
  <si>
    <t>GO:0005634 (nucleus); GO:0000387 (spliceosomal snRNP assembly); GO:0003723 (RNA binding); GO:0071013 (catalytic step 2 spliceosome); GO:0006396 (RNA processing); GO:0005681 (spliceosomal complex); GO:0006397 (mRNA processing); GO:0008380 (RNA splicing); GO:0005686 (U2 snRNP); GO:0005685 (U1 snRNP); GO:0000243 (commitment complex); GO:0005682 (U5 snRNP); GO:0005687 (U4 snRNP); GO:0005689 (U12-type spliceosomal complex); GO:0034715 (pICln-Sm protein complex); GO:0034719 (SMN-Sm protein complex); GO:0071011 (precatalytic spliceosome); GO:0043186 (P granule); GO:0097526 (spliceosomal tri-snRNP complex)</t>
  </si>
  <si>
    <t xml:space="preserve">Nuclear hormone receptor family member nhr-55 </t>
  </si>
  <si>
    <t xml:space="preserve">Hypoxanthine phosphoribosyltransferase </t>
  </si>
  <si>
    <t>GO:0000287 (magnesium ion binding); GO:0046872 (metal ion binding); GO:0000166 (nucleotide binding); GO:0016740 (transferase activity); GO:0005737 (cytoplasm); GO:0016757 (transferase activity, transferring glycosyl groups); GO:0009116 (nucleoside metabolic process); GO:0042802 (identical protein binding); GO:0006166 (purine ribonucleoside salvage); GO:0006168 (adenine salvage); GO:0004422 (hypoxanthine phosphoribosyltransferase activity); GO:0006178 (guanine salvage); GO:0032263 (GMP salvage); GO:0032264 (IMP salvage); GO:0046100 (hypoxanthine metabolic process); GO:0052657 (guanine phosphoribosyltransferase activity)</t>
  </si>
  <si>
    <t xml:space="preserve">Probable 26S proteasome regulatory subunit 10B </t>
  </si>
  <si>
    <t>GO:0008540 (proteasome regulatory particle, base subcomplex); GO:0030433 (ubiquitin-dependent ERAD pathway); GO:0016887 (ATPase activity); GO:0030163 (protein catabolic process); GO:0005737 (cytoplasm); GO:0016787 (hydrolase activity); GO:0005524 (ATP binding)</t>
  </si>
  <si>
    <t xml:space="preserve">Uncharacterized serine carboxypeptidase ctsa-1 </t>
  </si>
  <si>
    <t>GO:0004185 (serine-type carboxypeptidase activity); GO:0006508 (proteolysis)</t>
  </si>
  <si>
    <t>GO:0005634 (nucleus); GO:0008270 (zinc ion binding)</t>
  </si>
  <si>
    <t xml:space="preserve">C-term of Hsp70-iNteracting protein (CHIP family); Hsp70-interacting protein </t>
  </si>
  <si>
    <t>GO:0005737 (cytoplasm); GO:0000209 (protein polyubiquitination); GO:0004842 (ubiquitin-protein transferase activity); GO:0043161 (proteasome-mediated ubiquitin-dependent protein catabolic process); GO:0061630 (ubiquitin protein ligase activity); GO:0016567 (protein ubiquitination); GO:0006515 (protein quality control for misfolded or incompletely synthesized proteins); GO:0008340 (determination of adult lifespan); GO:0030018 (Z disc); GO:0032436 (positive regulation of proteasomal ubiquitin-dependent protein catabolic process); GO:0051087 (chaperone binding); GO:0071218 (cellular response to misfolded protein); GO:0018991 (oviposition); GO:0040011 (locomotion); GO:0030544 (Hsp70 protein binding); GO:0031625 (ubiquitin protein ligase binding); GO:0034450 (ubiquitin-ubiquitin ligase activity); GO:0045214 (sarcomere organization); GO:0051865 (protein autoubiquitination); GO:0005515 (protein binding); GO:0045862 (positive regulation of proteolysis)</t>
  </si>
  <si>
    <t>Insulin-like receptor Insulin-like receptor subunit alpha Insulin-like receptor subunit beta</t>
  </si>
  <si>
    <t>GO:0004713 (protein tyrosine kinase activity); GO:0004672 (protein kinase activity); GO:0006468 (protein phosphorylation); GO:0005515 (protein binding); GO:0005524 (ATP binding); GO:0016020 (membrane); GO:0016021 (integral component of membrane); GO:0016301 (kinase activity); GO:0016310 (phosphorylation); GO:0000166 (nucleotide binding); GO:0016740 (transferase activity); GO:0018108 (peptidyl-tyrosine phosphorylation); GO:0004714 (transmembrane receptor protein tyrosine kinase activity)</t>
  </si>
  <si>
    <t>GO:0005737 (cytoplasm); GO:0005085 (guanyl-nucleotide exchange factor activity); GO:0050790 (regulation of catalytic activity)</t>
  </si>
  <si>
    <t xml:space="preserve">2O16 </t>
  </si>
  <si>
    <t>GO:0005739 (mitochondrion); GO:0006397 (mRNA processing)</t>
  </si>
  <si>
    <t xml:space="preserve">Putative 6-pyruvoyl tetrahydrobiopterin synthase </t>
  </si>
  <si>
    <t>GO:0003874 (6-pyruvoyltetrahydropterin synthase activity); GO:0006729 (tetrahydrobiopterin biosynthetic process)</t>
  </si>
  <si>
    <t>Bifunctional heparan sulfate N-deacetylase/N-sulfotransferase 1 Heparan sulfate N-deacetylase 1 Heparan sulfate N-sulfotransferase 1</t>
  </si>
  <si>
    <t>GO:0015016 ([heparan sulfate]-glucosamine N-sulfotransferase activity); GO:0008146 (sulfotransferase activity); GO:0016787 (hydrolase activity)</t>
  </si>
  <si>
    <t xml:space="preserve">Probable phytanoyl-CoA dioxygenase </t>
  </si>
  <si>
    <t>GO:0046872 (metal ion binding); GO:0016491 (oxidoreductase activity); GO:0051213 (dioxygenase activity); GO:0006631 (fatty acid metabolic process); GO:0001561 (fatty acid alpha-oxidation); GO:0048244 (phytanoyl-CoA dioxygenase activity); GO:0031418 (L-ascorbic acid binding)</t>
  </si>
  <si>
    <t>GO:0005634 (nucleus); GO:0003743 (translation initiation factor activity); GO:0006413 (translational initiation); GO:0046982 (protein heterodimerization activity); GO:0000124 (SAGA complex); GO:0005669 (transcription factor TFIID complex); GO:0046695 (SLIK (SAGA-like) complex); GO:0051123 (RNA polymerase II preinitiation complex assembly); GO:0003677 (DNA binding); GO:0006352 (DNA-templated transcription, initiation); GO:0017025 (TBP-class protein binding)</t>
  </si>
  <si>
    <t xml:space="preserve">Deletions Of G-rich DNA </t>
  </si>
  <si>
    <t>GO:0005634 (nucleus); GO:0005524 (ATP binding); GO:0016787 (hydrolase activity); GO:0004386 (helicase activity); GO:0003677 (DNA binding); GO:0000166 (nucleotide binding); GO:0003676 (nucleic acid binding); GO:0006139 (nucleobase-containing compound metabolic process); GO:0006289 (nucleotide-excision repair); GO:0003678 (DNA helicase activity); GO:0032508 (DNA duplex unwinding); GO:0016818 (hydrolase activity, acting on acid anhydrides, in phosphorus-containing anhydrides); GO:1990918 (double-strand break repair involved in meiotic recombination); GO:0000003 (reproduction); GO:0090329 (regulation of DNA-dependent DNA replication); GO:0000723 (telomere maintenance); GO:0043570 (maintenance of DNA repeat elements)</t>
  </si>
  <si>
    <t xml:space="preserve">UDP-galactose translocator 1 </t>
  </si>
  <si>
    <t>GO:0016020 (membrane); GO:0016021 (integral component of membrane); GO:0008643 (carbohydrate transport); GO:0030173 (integral component of Golgi membrane); GO:0000139 (Golgi membrane); GO:0005459 (UDP-galactose transmembrane transporter activity); GO:0015165 (pyrimidine nucleotide-sugar transmembrane transporter activity); GO:0072334 (UDP-galactose transmembrane transport); GO:0090481 (pyrimidine nucleotide-sugar transmembrane transport); GO:0005797 (Golgi medial cisterna); GO:0060473 (cortical granule)</t>
  </si>
  <si>
    <t xml:space="preserve">Putative pyridoxamine 5'-phosphate oxidase </t>
  </si>
  <si>
    <t>GO:0016491 (oxidoreductase activity); GO:0010181 (FMN binding); GO:0016638 (oxidoreductase activity, acting on the CH-NH2 group of donors); GO:0004733 (pyridoxamine-phosphate oxidase activity); GO:0008615 (pyridoxine biosynthetic process); GO:0042823 (pyridoxal phosphate biosynthetic process); GO:0055114 (oxidation-reduction process)</t>
  </si>
  <si>
    <t xml:space="preserve">Patanin-like phospholipase domain-containing protein </t>
  </si>
  <si>
    <t>GO:0016042 (lipid catabolic process); GO:0006629 (lipid metabolic process); GO:0016787 (hydrolase activity); GO:0005811 (lipid droplet)</t>
  </si>
  <si>
    <t xml:space="preserve">Serine/threonine-protein kinase ATM </t>
  </si>
  <si>
    <t>GO:0016572 (histone phosphorylation); GO:0006974 (cellular response to DNA damage stimulus); GO:0000723 (telomere maintenance); GO:0000077 (DNA damage checkpoint); GO:0016301 (kinase activity); GO:0006281 (DNA repair); GO:0004674 (protein serine/threonine kinase activity); GO:0005515 (protein binding)</t>
  </si>
  <si>
    <t xml:space="preserve">BCL7-like protein </t>
  </si>
  <si>
    <t>GO:0006508 (proteolysis); GO:0008236 (serine-type peptidase activity); GO:0008239 (dipeptidyl-peptidase activity)</t>
  </si>
  <si>
    <t xml:space="preserve">GRIP and coiled-coil domain-containing protein 2 </t>
  </si>
  <si>
    <t>GO:0031625 (ubiquitin protein ligase binding)</t>
  </si>
  <si>
    <t>GO:0046872 (metal ion binding); GO:0016491 (oxidoreductase activity); GO:0050660 (flavin adenine dinucleotide binding); GO:0051537 (2 iron, 2 sulfur cluster binding); GO:0051536 (iron-sulfur cluster binding); GO:0097194 (execution phase of apoptosis); GO:0005739 (mitochondrion); GO:0005743 (mitochondrial inner membrane); GO:0005783 (endoplasmic reticulum); GO:0055114 (oxidation-reduction process)</t>
  </si>
  <si>
    <t xml:space="preserve">Fructose-1,6-BiPhosphatase; Fructose-1,6-bisphosphatase </t>
  </si>
  <si>
    <t>GO:0005737 (cytoplasm); GO:0016787 (hydrolase activity); GO:0046872 (metal ion binding); GO:0005829 (cytosol); GO:0016311 (dephosphorylation); GO:0005975 (carbohydrate metabolic process); GO:0016791 (phosphatase activity); GO:0042578 (phosphoric ester hydrolase activity); GO:0005986 (sucrose biosynthetic process); GO:0006000 (fructose metabolic process); GO:0006002 (fructose 6-phosphate metabolic process); GO:0006094 (gluconeogenesis); GO:0030388 (fructose 1,6-bisphosphate metabolic process); GO:0042132 (fructose 1,6-bisphosphate 1-phosphatase activity)</t>
  </si>
  <si>
    <t xml:space="preserve">snRNA-activating protein complex subunit 4 homolog </t>
  </si>
  <si>
    <t xml:space="preserve">Soluble NSF attachment protein 29 </t>
  </si>
  <si>
    <t>GO:0098793 (presynapse); GO:0005886 (plasma membrane); GO:0015031 (protein transport); GO:0019905 (syntaxin binding); GO:0030054 (cell junction); GO:0045202 (synapse); GO:0031201 (SNARE complex); GO:0043005 (neuron projection); GO:0005484 (SNAP receptor activity); GO:0006887 (exocytosis); GO:0006906 (vesicle fusion); GO:0016082 (synaptic vesicle priming); GO:0031629 (synaptic vesicle fusion to presynaptic active zone membrane); GO:0030728 (ovulation); GO:0016324 (apical plasma membrane); GO:0055037 (recycling endosome); GO:0046903 (secretion); GO:0065002 (intracellular protein transmembrane transport)</t>
  </si>
  <si>
    <t>GO:0005730 (nucleolus); GO:0006364 (rRNA processing); GO:0045943 (positive regulation of transcription by RNA polymerase I); GO:0005515 (protein binding)</t>
  </si>
  <si>
    <t>GO:0005737 (cytoplasm); GO:0080008 (Cul4-RING E3 ubiquitin ligase complex); GO:0005515 (protein binding)</t>
  </si>
  <si>
    <t xml:space="preserve">Major sperm protein 55/57 </t>
  </si>
  <si>
    <t xml:space="preserve">Platelet-activating factor acetylhydrolase homolog 2 </t>
  </si>
  <si>
    <t>GO:0003847 (1-alkyl-2-acetylglycerophosphocholine esterase activity); GO:0016042 (lipid catabolic process)</t>
  </si>
  <si>
    <t>GO:0016020 (membrane); GO:0038023 (signaling receptor activity); GO:0005886 (plasma membrane); GO:0043235 (receptor complex); GO:0007399 (nervous system development); GO:0009897 (external side of plasma membrane)</t>
  </si>
  <si>
    <t xml:space="preserve">CEntrosomal Protein </t>
  </si>
  <si>
    <t>GO:1904491 (protein localization to ciliary transition zone); GO:1905515 (non-motile cilium assembly); GO:0035869 (ciliary transition zone); GO:1990805 (central cylinder)</t>
  </si>
  <si>
    <t xml:space="preserve">Putative syntaxin 6 </t>
  </si>
  <si>
    <t>GO:0016020 (membrane); GO:0016021 (integral component of membrane); GO:0098793 (presynapse); GO:0006886 (intracellular protein transport); GO:0006888 (endoplasmic reticulum to Golgi vesicle-mediated transport); GO:0031201 (SNARE complex); GO:0005484 (SNAP receptor activity); GO:0006836 (neurotransmitter transport); GO:0000138 (Golgi trans cisterna); GO:0048280 (vesicle fusion with Golgi apparatus); GO:0016081 (synaptic vesicle docking)</t>
  </si>
  <si>
    <t xml:space="preserve">28S ribosomal protein S7, mitochondrial </t>
  </si>
  <si>
    <t>GO:0003729 (mRNA binding); GO:0005739 (mitochondrion); GO:0005840 (ribosome); GO:0006412 (translation); GO:0003735 (structural constituent of ribosome); GO:0005763 (mitochondrial small ribosomal subunit); GO:0019843 (rRNA binding); GO:0000028 (ribosomal small subunit assembly); GO:0032543 (mitochondrial translation)</t>
  </si>
  <si>
    <t>GO:0005762 (mitochondrial large ribosomal subunit); GO:0003747 (translation release factor activity); GO:0006415 (translational termination)</t>
  </si>
  <si>
    <t>GO:0045944 (positive regulation of transcription by RNA polymerase II); GO:0042393 (histone binding); GO:0045892 (negative regulation of transcription, DNA-templated); GO:0043984 (histone H4-K16 acetylation); GO:0046972 (histone acetyltransferase activity (H4-K16 specific)); GO:0072487 (MSL complex); GO:0003712 (transcription coregulator activity); GO:0046872 (metal ion binding); GO:0005634 (nucleus); GO:0071564 (npBAF complex); GO:0007399 (nervous system development)</t>
  </si>
  <si>
    <t xml:space="preserve">PDCD (Mammalian ProgrammeD Cell Death protein) homolog </t>
  </si>
  <si>
    <t>GO:0004066 (asparagine synthase (glutamine-hydrolyzing) activity); GO:0006529 (asparagine biosynthetic process); GO:0005737 (cytoplasm)</t>
  </si>
  <si>
    <t xml:space="preserve">Snurportin-1 </t>
  </si>
  <si>
    <t>GO:0005524 (ATP binding); GO:0005634 (nucleus); GO:0005737 (cytoplasm); GO:0003723 (RNA binding); GO:0006281 (DNA repair); GO:0006606 (protein import into nucleus); GO:0003910 (DNA ligase (ATP) activity); GO:0006266 (DNA ligation); GO:0006310 (DNA recombination); GO:0061015 (snRNA import into nucleus); GO:0061608 (nuclear import signal receptor activity); GO:0005515 (protein binding)</t>
  </si>
  <si>
    <t xml:space="preserve">JmjC domain-containing histone demethylation protein 1 </t>
  </si>
  <si>
    <t xml:space="preserve">Cyclin-T1.2 </t>
  </si>
  <si>
    <t>GO:0016538 (cyclin-dependent protein serine/threonine kinase regulator activity); GO:0006357 (regulation of transcription by RNA polymerase II)</t>
  </si>
  <si>
    <t xml:space="preserve">Inhibitor of growth protein </t>
  </si>
  <si>
    <t>GO:0005634 (nucleus); GO:0046872 (metal ion binding); GO:0035064 (methylated histone binding); GO:0035267 (NuA4 histone acetyltransferase complex); GO:0006325 (chromatin organization); GO:0040008 (regulation of growth)</t>
  </si>
  <si>
    <t xml:space="preserve">SSU (Yeast Suppressor of SUa7) Protein homolog </t>
  </si>
  <si>
    <t>GO:0016787 (hydrolase activity); GO:0005634 (nucleus); GO:0004721 (phosphoprotein phosphatase activity); GO:0006397 (mRNA processing); GO:0005847 (mRNA cleavage and polyadenylation specificity factor complex); GO:0006378 (mRNA polyadenylation); GO:0008420 (RNA polymerase II CTD heptapeptide repeat phosphatase activity); GO:0070940 (dephosphorylation of RNA polymerase II C-terminal domain); GO:0040012 (regulation of locomotion); GO:0004722 (protein serine/threonine phosphatase activity); GO:0006369 (termination of RNA polymerase II transcription); GO:0106306 (protein serine phosphatase activity); GO:0106307 (protein threonine phosphatase activity)</t>
  </si>
  <si>
    <t xml:space="preserve">Probable 28S ribosomal protein S16, mitochondrial </t>
  </si>
  <si>
    <t>GO:0005739 (mitochondrion); GO:0003735 (structural constituent of ribosome); GO:0005840 (ribosome); GO:0006412 (translation); GO:0005763 (mitochondrial small ribosomal subunit); GO:0032543 (mitochondrial translation); GO:0015935 (small ribosomal subunit)</t>
  </si>
  <si>
    <t xml:space="preserve">Ufm1-specific protease </t>
  </si>
  <si>
    <t>GO:0016020 (membrane); GO:0016787 (hydrolase activity); GO:0005737 (cytoplasm); GO:0006508 (proteolysis); GO:0008233 (peptidase activity); GO:0005783 (endoplasmic reticulum); GO:0005789 (endoplasmic reticulum membrane); GO:0006935 (chemotaxis); GO:0008234 (cysteine-type peptidase activity); GO:0048471 (perinuclear region of cytoplasm); GO:0032991 (protein-containing complex); GO:0045471 (response to ethanol); GO:0097499 (protein localization to non-motile cilium); GO:0050921 (positive regulation of chemotaxis); GO:0071567 (UFM1 hydrolase activity)</t>
  </si>
  <si>
    <t xml:space="preserve">Ubiquitin carboxyl-terminal hydrolase ubh-4 </t>
  </si>
  <si>
    <t>GO:0005737 (cytoplasm); GO:0016787 (hydrolase activity); GO:0006511 (ubiquitin-dependent protein catabolic process); GO:0006508 (proteolysis); GO:0008233 (peptidase activity); GO:0005515 (protein binding); GO:0016579 (protein deubiquitination); GO:0008234 (cysteine-type peptidase activity); GO:0004843 (thiol-dependent ubiquitin-specific protease activity); GO:0032435 (negative regulation of proteasomal ubiquitin-dependent protein catabolic process)</t>
  </si>
  <si>
    <t>GO:0005737 (cytoplasm); GO:0009116 (nucleoside metabolic process); GO:0055120 (striated muscle dense body); GO:0004845 (uracil phosphoribosyltransferase activity)</t>
  </si>
  <si>
    <t xml:space="preserve">Rna (RNA) Polymerase II Associated Protein homolog </t>
  </si>
  <si>
    <t>GO:0005739 (mitochondrion); GO:0005829 (cytosol); GO:0031072 (heat shock protein binding); GO:0006626 (protein targeting to mitochondrion); GO:0005515 (protein binding)</t>
  </si>
  <si>
    <t xml:space="preserve">PhosphoInositide Four Kinase (PI-4 Kinase) </t>
  </si>
  <si>
    <t>GO:0005737 (cytoplasm); GO:0016301 (kinase activity); GO:0016310 (phosphorylation); GO:0016020 (membrane); GO:0016740 (transferase activity); GO:0046854 (phosphatidylinositol phosphorylation); GO:0048015 (phosphatidylinositol-mediated signaling); GO:0004430 (1-phosphatidylinositol 4-kinase activity); GO:0052742 (phosphatidylinositol kinase activity)</t>
  </si>
  <si>
    <t xml:space="preserve">60S ribosomal protein L23a 2 </t>
  </si>
  <si>
    <t xml:space="preserve">MitochonDrial interMembrane space protein Homolog </t>
  </si>
  <si>
    <t>GO:0005770 (late endosome); GO:0006623 (protein targeting to vacuole); GO:0030897 (HOPS complex); GO:0005515 (protein binding); GO:0034058 (endosomal vesicle fusion)</t>
  </si>
  <si>
    <t xml:space="preserve">G2/mitotic-specific cyclin-B3 </t>
  </si>
  <si>
    <t>GO:0010389 (regulation of G2/M transition of mitotic cell cycle); GO:0000079 (regulation of cyclin-dependent protein serine/threonine kinase activity); GO:0019901 (protein kinase binding)</t>
  </si>
  <si>
    <t xml:space="preserve">Glutamyl-tRNA(Gln) amidotransferase subunit A, mitochondrial </t>
  </si>
  <si>
    <t>GO:0016787 (hydrolase activity); GO:0000166 (nucleotide binding); GO:0016740 (transferase activity); GO:0016874 (ligase activity); GO:0005739 (mitochondrion); GO:0005524 (ATP binding); GO:0006412 (translation); GO:0032543 (mitochondrial translation); GO:0016884 (carbon-nitrogen ligase activity, with glutamine as amido-N-donor); GO:0030956 (glutamyl-tRNA(Gln) amidotransferase complex); GO:0050567 (glutaminyl-tRNA synthase (glutamine-hydrolyzing) activity); GO:0070681 (glutaminyl-tRNAGln biosynthesis via transamidation)</t>
  </si>
  <si>
    <t xml:space="preserve">Macoilin </t>
  </si>
  <si>
    <t>GO:0030867 (rough endoplasmic reticulum membrane); GO:0023041 (neuronal signal transduction)</t>
  </si>
  <si>
    <t>GO:0016020 (membrane); GO:0016021 (integral component of membrane); GO:0016740 (transferase activity); GO:0016757 (transferase activity, transferring glycosyl groups); GO:0005783 (endoplasmic reticulum); GO:0006486 (protein glycosylation); GO:0000030 (mannosyltransferase activity); GO:0097502 (mannosylation)</t>
  </si>
  <si>
    <t xml:space="preserve">F-box/WD repeat-containing protein sel-10 </t>
  </si>
  <si>
    <t>GO:0005737 (cytoplasm); GO:0007275 (multicellular organism development); GO:0005515 (protein binding); GO:0042995 (cell projection); GO:0030424 (axon); GO:0042803 (protein homodimerization activity); GO:0030154 (cell differentiation); GO:0007548 (sex differentiation); GO:0010826 (negative regulation of centrosome duplication); GO:0031647 (regulation of protein stability); GO:0046660 (female sex differentiation); GO:0019901 (protein kinase binding); GO:0040028 (regulation of vulval development); GO:0045746 (negative regulation of Notch signaling pathway); GO:0008593 (regulation of Notch signaling pathway)</t>
  </si>
  <si>
    <t xml:space="preserve">Essential Meiotic Endonuclease </t>
  </si>
  <si>
    <t>GO:0005634 (nucleus); GO:0090305 (nucleic acid phosphodiester bond hydrolysis); GO:0000727 (double-strand break repair via break-induced replication); GO:0004519 (endonuclease activity); GO:0000712 (resolution of meiotic recombination intermediates); GO:0031573 (intra-S DNA damage checkpoint); GO:0048257 (3'-flap endonuclease activity); GO:0048476 (Holliday junction resolvase complex); GO:0019899 (enzyme binding)</t>
  </si>
  <si>
    <t xml:space="preserve">Eukaryotic translation initiation factor 4E-5 </t>
  </si>
  <si>
    <t>GO:0005737 (cytoplasm); GO:0055037 (recycling endosome)</t>
  </si>
  <si>
    <t xml:space="preserve">CAP-G condensin subunit </t>
  </si>
  <si>
    <t>GO:0005634 (nucleus); GO:0005515 (protein binding); GO:0000796 (condensin complex); GO:0000070 (mitotic sister chromatid segregation)</t>
  </si>
  <si>
    <t xml:space="preserve">Probable N-acetylgalactosaminyltransferase 7 </t>
  </si>
  <si>
    <t>GO:0016020 (membrane); GO:0016021 (integral component of membrane); GO:0016740 (transferase activity); GO:0000139 (Golgi membrane); GO:0005794 (Golgi apparatus); GO:0016757 (transferase activity, transferring glycosyl groups); GO:0030246 (carbohydrate binding); GO:0006486 (protein glycosylation)</t>
  </si>
  <si>
    <t xml:space="preserve">Similar to Transporter Of divalent Cations </t>
  </si>
  <si>
    <t xml:space="preserve">Probable oligoribonuclease </t>
  </si>
  <si>
    <t>GO:0016787 (hydrolase activity); GO:0005739 (mitochondrion); GO:0003676 (nucleic acid binding); GO:0090305 (nucleic acid phosphodiester bond hydrolysis); GO:0004518 (nuclease activity); GO:0004527 (exonuclease activity); GO:0000175 (3'-5'-exoribonuclease activity); GO:0090503 (RNA phosphodiester bond hydrolysis, exonucleolytic)</t>
  </si>
  <si>
    <t>GO:0005634 (nucleus); GO:0005737 (cytoplasm); GO:0008168 (methyltransferase activity); GO:0032259 (methylation); GO:0016740 (transferase activity); GO:0003723 (RNA binding); GO:0000049 (tRNA binding); GO:0008033 (tRNA processing); GO:0030488 (tRNA methylation); GO:0001510 (RNA methylation); GO:0016428 (tRNA (cytosine-5-)-methyltransferase activity)</t>
  </si>
  <si>
    <t>GO:0005634 (nucleus); GO:0005737 (cytoplasm); GO:0030014 (CCR4-NOT complex); GO:0031047 (gene silencing by RNA)</t>
  </si>
  <si>
    <t xml:space="preserve">WRB (Human W(Tryptophan)-Rich Basic nuclear protein) homolog </t>
  </si>
  <si>
    <t>GO:0016020 (membrane); GO:0016021 (integral component of membrane); GO:0071816 (tail-anchored membrane protein insertion into ER membrane)</t>
  </si>
  <si>
    <t xml:space="preserve">Nuclear hormone receptor family member nhr-98 </t>
  </si>
  <si>
    <t>GO:0051307 (meiotic chromosome separation); GO:0051257 (meiotic spindle midzone assembly); GO:0000776 (kinetochore); GO:0000212 (meiotic spindle organization); GO:0051316 (attachment of spindle microtubules to kinetochore involved in meiotic chromosome segregation); GO:0005515 (protein binding); GO:0005634 (nucleus); GO:0008104 (protein localization); GO:0005819 (spindle); GO:0000070 (mitotic sister chromatid segregation); GO:0051382 (kinetochore assembly); GO:0000777 (condensed chromosome kinetochore); GO:0031134 (sister chromatid biorientation)</t>
  </si>
  <si>
    <t xml:space="preserve">PLeiotropic ReGulator (Vertebrate) homolog </t>
  </si>
  <si>
    <t>GO:0000974 (Prp19 complex); GO:0000398 (mRNA splicing, via spliceosome); GO:0071013 (catalytic step 2 spliceosome); GO:0080008 (Cul4-RING E3 ubiquitin ligase complex); GO:0005515 (protein binding)</t>
  </si>
  <si>
    <t>GO:0005634 (nucleus); GO:0006511 (ubiquitin-dependent protein catabolic process); GO:0005829 (cytosol); GO:0005515 (protein binding); GO:0005198 (structural molecule activity); GO:0000502 (proteasome complex); GO:0043248 (proteasome assembly); GO:0008541 (proteasome regulatory particle, lid subcomplex); GO:0005838 (proteasome regulatory particle)</t>
  </si>
  <si>
    <t xml:space="preserve">Mitochondrial import inner membrane translocase subunit Tim9 </t>
  </si>
  <si>
    <t>GO:0016020 (membrane); GO:0046872 (metal ion binding); GO:0015031 (protein transport); GO:0005739 (mitochondrion); GO:0005743 (mitochondrial inner membrane); GO:0000003 (reproduction); GO:0040014 (regulation of multicellular organism growth); GO:0045039 (protein insertion into mitochondrial inner membrane)</t>
  </si>
  <si>
    <t>GO:0005654 (nucleoplasm); GO:0032299 (ribonuclease H2 complex); GO:0006401 (RNA catabolic process); GO:0009259 (ribonucleotide metabolic process)</t>
  </si>
  <si>
    <t xml:space="preserve">Orotate phosphoribosyltransferase </t>
  </si>
  <si>
    <t>GO:0016740 (transferase activity); GO:0016757 (transferase activity, transferring glycosyl groups); GO:0006221 (pyrimidine nucleotide biosynthetic process); GO:0009116 (nucleoside metabolic process); GO:0019856 (pyrimidine nucleobase biosynthetic process); GO:0004588 (orotate phosphoribosyltransferase activity); GO:0044205 ('de novo' UMP biosynthetic process); GO:0044206 (UMP salvage); GO:0004845 (uracil phosphoribosyltransferase activity); GO:0004590 (orotidine-5'-phosphate decarboxylase activity); GO:0006222 (UMP biosynthetic process)</t>
  </si>
  <si>
    <t>GO:0005886 (plasma membrane); GO:0035023 (regulation of Rho protein signal transduction); GO:0005515 (protein binding); GO:0031267 (small GTPase binding)</t>
  </si>
  <si>
    <t xml:space="preserve">WD repeat-containing protein fzy-1 </t>
  </si>
  <si>
    <t>GO:1904668 (positive regulation of ubiquitin protein ligase activity); GO:0097027 (ubiquitin-protein transferase activator activity); GO:0010997 (anaphase-promoting complex binding); GO:0005515 (protein binding)</t>
  </si>
  <si>
    <t>GO:0005634 (nucleus); GO:0003677 (DNA binding); GO:0000976 (transcription regulatory region sequence-specific DNA binding); GO:0005739 (mitochondrion); GO:0006357 (regulation of transcription by RNA polymerase II); GO:0005694 (chromosome); GO:0008301 (DNA binding, bending); GO:0000781 (chromosome, telomeric region); GO:0042645 (mitochondrial nucleoid); GO:0042802 (identical protein binding); GO:0042162 (telomeric DNA binding); GO:0032042 (mitochondrial DNA metabolic process)</t>
  </si>
  <si>
    <t xml:space="preserve">Nucleolar protein 6 </t>
  </si>
  <si>
    <t>GO:0005634 (nucleus); GO:0003723 (RNA binding); GO:0005730 (nucleolus); GO:0032040 (small-subunit processome); GO:0006364 (rRNA processing); GO:0032545 (CURI complex); GO:0034456 (UTP-C complex); GO:0006409 (tRNA export from nucleus); GO:0000794 (condensed nuclear chromosome); GO:0045824 (negative regulation of innate immune response)</t>
  </si>
  <si>
    <t>GO:0005524 (ATP binding); GO:0016787 (hydrolase activity); GO:0004386 (helicase activity); GO:0000166 (nucleotide binding); GO:0003676 (nucleic acid binding); GO:0030490 (maturation of SSU-rRNA); GO:0003724 (RNA helicase activity)</t>
  </si>
  <si>
    <t>GO:0000902 (cell morphogenesis); GO:0009792 (embryo development ending in birth or egg hatching); GO:0002119 (nematode larval development); GO:0018991 (oviposition); GO:0040025 (vulval development); GO:0016324 (apical plasma membrane)</t>
  </si>
  <si>
    <t xml:space="preserve">Aspartyl(D) Amino-acyl tRNA Synthetase </t>
  </si>
  <si>
    <t>GO:0005524 (ATP binding); GO:0000166 (nucleotide binding); GO:0004812 (aminoacyl-tRNA ligase activity); GO:0006418 (tRNA aminoacylation for protein translation); GO:0016874 (ligase activity); GO:0005737 (cytoplasm); GO:0006412 (translation); GO:0003676 (nucleic acid binding)</t>
  </si>
  <si>
    <t xml:space="preserve">Smu-1 suppressor of mec-8 and unc-52 protein </t>
  </si>
  <si>
    <t>GO:0005634 (nucleus); GO:0005515 (protein binding); GO:0042803 (protein homodimerization activity); GO:0006397 (mRNA processing); GO:0008380 (RNA splicing); GO:0042802 (identical protein binding); GO:0000398 (mRNA splicing, via spliceosome); GO:0005681 (spliceosomal complex); GO:0071005 (U2-type precatalytic spliceosome); GO:0071011 (precatalytic spliceosome); GO:0009792 (embryo development ending in birth or egg hatching); GO:0002119 (nematode larval development); GO:0007638 (mechanosensory behavior); GO:0040011 (locomotion); GO:0000381 (regulation of alternative mRNA splicing, via spliceosome); GO:0048666 (neuron development); GO:0048644 (muscle organ morphogenesis)</t>
  </si>
  <si>
    <t xml:space="preserve">Ribosome biogenesis protein BOP1 homolog </t>
  </si>
  <si>
    <t>GO:0005634 (nucleus); GO:0005730 (nucleolus); GO:0006364 (rRNA processing); GO:0042254 (ribosome biogenesis); GO:0030687 (preribosome, large subunit precursor); GO:0005654 (nucleoplasm); GO:0043021 (ribonucleoprotein complex binding); GO:0000463 (maturation of LSU-rRNA from tricistronic rRNA transcript (SSU-rRNA, 5.8S rRNA, LSU-rRNA)); GO:0042273 (ribosomal large subunit biogenesis); GO:0000466 (maturation of 5.8S rRNA from tricistronic rRNA transcript (SSU-rRNA, 5.8S rRNA, LSU-rRNA)); GO:0070545 (PeBoW complex); GO:0005515 (protein binding)</t>
  </si>
  <si>
    <t>GO:0005840 (ribosome); GO:0005763 (mitochondrial small ribosomal subunit)</t>
  </si>
  <si>
    <t>GO:0016020 (membrane); GO:0005764 (lysosome); GO:0051453 (regulation of intracellular pH); GO:0005773 (vacuole); GO:0007040 (lysosome organization); GO:0015809 (arginine transport)</t>
  </si>
  <si>
    <t>GO:0090305 (nucleic acid phosphodiester bond hydrolysis); GO:0006364 (rRNA processing); GO:0000460 (maturation of 5.8S rRNA); GO:0000470 (maturation of LSU-rRNA); GO:0030687 (preribosome, large subunit precursor); GO:0004519 (endonuclease activity); GO:0090730 (Las1 complex)</t>
  </si>
  <si>
    <t xml:space="preserve">Uncharacterized GTP-binding protein C02F5.3 </t>
  </si>
  <si>
    <t>GO:0003729 (mRNA binding); GO:0003735 (structural constituent of ribosome); GO:0005840 (ribosome); GO:0006412 (translation); GO:0017148 (negative regulation of translation); GO:0005762 (mitochondrial large ribosomal subunit)</t>
  </si>
  <si>
    <t>GO:0005739 (mitochondrion); GO:0003723 (RNA binding); GO:0005840 (ribosome); GO:0032543 (mitochondrial translation); GO:0006417 (regulation of translation); GO:0019843 (rRNA binding); GO:0043024 (ribosomal small subunit binding); GO:0005515 (protein binding)</t>
  </si>
  <si>
    <t xml:space="preserve">Small RNA 2'-O-methyltransferase </t>
  </si>
  <si>
    <t>GO:0001510 (RNA methylation); GO:0008171 (O-methyltransferase activity); GO:0008173 (RNA methyltransferase activity)</t>
  </si>
  <si>
    <t xml:space="preserve">NeuroGeNin </t>
  </si>
  <si>
    <t>GO:0005634 (nucleus); GO:0006355 (regulation of transcription, DNA-templated); GO:0046983 (protein dimerization activity); GO:0000978 (RNA polymerase II cis-regulatory region sequence-specific DNA binding); GO:0000981 (DNA-binding transcription factor activity, RNA polymerase II-specific); GO:0006357 (regulation of transcription by RNA polymerase II); GO:0030182 (neuron differentiation)</t>
  </si>
  <si>
    <t>GO:0016567 (protein ubiquitination); GO:0046872 (metal ion binding); GO:0004842 (ubiquitin-protein transferase activity)</t>
  </si>
  <si>
    <t>GO:0016787 (hydrolase activity); GO:0006629 (lipid metabolic process); GO:0016042 (lipid catabolic process); GO:0009062 (fatty acid catabolic process); GO:0052689 (carboxylic ester hydrolase activity); GO:0102077 (oleamide hydrolase activity); GO:0103073 (anandamide amidohydrolase activity); GO:0004040 (amidase activity); GO:0017064 (fatty acid amide hydrolase activity); GO:0047372 (acylglycerol lipase activity)</t>
  </si>
  <si>
    <t xml:space="preserve">Mitochondrial import inner membrane translocase subunit tim-22 </t>
  </si>
  <si>
    <t>GO:0016020 (membrane); GO:0016021 (integral component of membrane); GO:0015031 (protein transport); GO:0005739 (mitochondrion); GO:0005743 (mitochondrial inner membrane); GO:0045039 (protein insertion into mitochondrial inner membrane); GO:0008320 (protein transmembrane transporter activity); GO:0030943 (mitochondrion targeting sequence binding); GO:0071806 (protein transmembrane transport); GO:0042721 (TIM22 mitochondrial import inner membrane insertion complex)</t>
  </si>
  <si>
    <t xml:space="preserve">GYF domain-containing protein C18H9.3 </t>
  </si>
  <si>
    <t>GO:0005730 (nucleolus); GO:0000462 (maturation of SSU-rRNA from tricistronic rRNA transcript (SSU-rRNA, 5.8S rRNA, LSU-rRNA)); GO:0032040 (small-subunit processome)</t>
  </si>
  <si>
    <t>GO:0005634 (nucleus); GO:0003723 (RNA binding); GO:0001522 (pseudouridine synthesis); GO:0009451 (RNA modification); GO:0009982 (pseudouridine synthase activity); GO:0016853 (isomerase activity); GO:0008033 (tRNA processing); GO:0031119 (tRNA pseudouridine synthesis); GO:1990481 (mRNA pseudouridine synthesis)</t>
  </si>
  <si>
    <t>GO:0016491 (oxidoreductase activity); GO:0098869 (cellular oxidant detoxification); GO:0004601 (peroxidase activity); GO:0004602 (glutathione peroxidase activity); GO:0006979 (response to oxidative stress); GO:0055114 (oxidation-reduction process)</t>
  </si>
  <si>
    <t xml:space="preserve">Serpentine receptor class V-1 </t>
  </si>
  <si>
    <t xml:space="preserve">Aspergillus NUclear Division related; NUD-1 </t>
  </si>
  <si>
    <t>GO:0005737 (cytoplasm); GO:0051082 (unfolded protein binding); GO:0006457 (protein folding); GO:0009792 (embryo development ending in birth or egg hatching); GO:0040011 (locomotion); GO:0040025 (vulval development); GO:0048489 (synaptic vesicle transport); GO:0035046 (pronuclear migration); GO:0042802 (identical protein binding); GO:0051932 (synaptic transmission, GABAergic); GO:0061077 (chaperone-mediated protein folding); GO:0045202 (synapse)</t>
  </si>
  <si>
    <t>mRNA-capping enzyme Polynucleotide 5'-triphosphatase mRNA guanylyltransferase</t>
  </si>
  <si>
    <t>GO:0004651 (polynucleotide 5'-phosphatase activity); GO:0006370 (7-methylguanosine mRNA capping); GO:0004484 (mRNA guanylyltransferase activity); GO:0016311 (dephosphorylation); GO:0004725 (protein tyrosine phosphatase activity); GO:0016791 (phosphatase activity); GO:0016787 (hydrolase activity); GO:0005634 (nucleus); GO:0000166 (nucleotide binding); GO:0005525 (GTP binding); GO:0016740 (transferase activity); GO:0016779 (nucleotidyltransferase activity); GO:0035335 (peptidyl-tyrosine dephosphorylation); GO:0006470 (protein dephosphorylation); GO:0006397 (mRNA processing); GO:0008138 (protein tyrosine/serine/threonine phosphatase activity); GO:0098507 (polynucleotide 5' dephosphorylation)</t>
  </si>
  <si>
    <t xml:space="preserve">Factor Interacting with Poly(A) Polymerase </t>
  </si>
  <si>
    <t>GO:0005634 (nucleus); GO:0003723 (RNA binding); GO:0005847 (mRNA cleavage and polyadenylation specificity factor complex); GO:0006378 (mRNA polyadenylation); GO:0098789 (pre-mRNA cleavage required for polyadenylation)</t>
  </si>
  <si>
    <t xml:space="preserve">Kelch-like protein 8 </t>
  </si>
  <si>
    <t>GO:0005515 (protein binding); GO:0016567 (protein ubiquitination); GO:0031463 (Cul3-RING ubiquitin ligase complex)</t>
  </si>
  <si>
    <t xml:space="preserve">Boca/MESD chaperone for YWTD beta-propeller-EGF </t>
  </si>
  <si>
    <t>GO:0005783 (endoplasmic reticulum); GO:0042802 (identical protein binding); GO:0006457 (protein folding)</t>
  </si>
  <si>
    <t xml:space="preserve">CENP-C-like protein HCP-4; HoloCentric chromosome binding Protein </t>
  </si>
  <si>
    <t>GO:0005634 (nucleus); GO:0005737 (cytoplasm); GO:0005515 (protein binding); GO:0005694 (chromosome); GO:0000775 (chromosome, centromeric region); GO:0000776 (kinetochore); GO:0000278 (mitotic cell cycle); GO:0046603 (negative regulation of mitotic centrosome separation); GO:0051382 (kinetochore assembly); GO:0070199 (establishment of protein localization to chromosome); GO:0090307 (mitotic spindle assembly); GO:0098813 (nuclear chromosome segregation); GO:0005654 (nucleoplasm); GO:0000793 (condensed chromosome); GO:0000070 (mitotic sister chromatid segregation); GO:0007080 (mitotic metaphase plate congression); GO:0008608 (attachment of spindle microtubules to kinetochore); GO:0000779 (condensed chromosome, centromeric region)</t>
  </si>
  <si>
    <t xml:space="preserve">Serine/threonine-protein phosphatase 2A activator </t>
  </si>
  <si>
    <t>GO:0005634 (nucleus); GO:0005737 (cytoplasm); GO:0016853 (isomerase activity); GO:0050790 (regulation of catalytic activity); GO:0000159 (protein phosphatase type 2A complex); GO:0000413 (protein peptidyl-prolyl isomerization); GO:0003755 (peptidyl-prolyl cis-trans isomerase activity); GO:0007052 (mitotic spindle organization); GO:0008160 (protein tyrosine phosphatase activator activity); GO:0019211 (phosphatase activator activity)</t>
  </si>
  <si>
    <t>GO:0005737 (cytoplasm); GO:0030165 (PDZ domain binding); GO:0008017 (microtubule binding); GO:0030425 (dendrite); GO:0031122 (cytoplasmic microtubule organization)</t>
  </si>
  <si>
    <t xml:space="preserve">Probable protein phosphatase methylesterase 1 </t>
  </si>
  <si>
    <t>GO:0003824 (catalytic activity); GO:0016787 (hydrolase activity); GO:0052689 (carboxylic ester hydrolase activity); GO:0051721 (protein phosphatase 2A binding); GO:0006482 (protein demethylation); GO:0051722 (protein C-terminal methylesterase activity); GO:0051723 (protein methylesterase activity); GO:0018215 (protein phosphopantetheinylation)</t>
  </si>
  <si>
    <t>GO:0016020 (membrane); GO:0016021 (integral component of membrane); GO:0004930 (G protein-coupled receptor activity); GO:0007186 (G protein-coupled receptor signaling pathway); GO:0007218 (neuropeptide signaling pathway); GO:0008188 (neuropeptide receptor activity); GO:0007040 (lysosome organization)</t>
  </si>
  <si>
    <t xml:space="preserve">Probable histone-lysine N-methyltransferase set-23 </t>
  </si>
  <si>
    <t>GO:0005634 (nucleus); GO:0008168 (methyltransferase activity); GO:0032259 (methylation); GO:0046872 (metal ion binding); GO:0016740 (transferase activity); GO:0008270 (zinc ion binding); GO:0007275 (multicellular organism development); GO:0018024 (histone-lysine N-methyltransferase activity); GO:0006325 (chromatin organization); GO:0005694 (chromosome); GO:0034968 (histone lysine methylation); GO:0005515 (protein binding)</t>
  </si>
  <si>
    <t xml:space="preserve">Heat Shock Factor; Heat shock transcription factor 1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</si>
  <si>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GO:0006357 (regulation of transcription by RNA polymerase II); GO:0045087 (innate immune response); GO:0002119 (nematode larval development); GO:0045944 (positive regulation of transcription by RNA polymerase II); GO:0008340 (determination of adult lifespan); GO:0040024 (dauer larval development); GO:0050829 (defense response to Gram-negative bacterium); GO:0005516 (calmodulin binding); GO:0009408 (response to heat); GO:0035966 (response to topologically incorrect protein); GO:1990837 (sequence-specific double-stranded DNA binding); GO:1990841 (promoter-specific chromatin binding); GO:0097165 (nuclear stress granule)</t>
  </si>
  <si>
    <t>GO:0005509 (calcium ion binding); GO:0016787 (hydrolase activity); GO:0004382 (guanosine-diphosphatase activity); GO:0017110 (nucleoside-diphosphatase activity); GO:0030166 (proteoglycan biosynthetic process); GO:0045134 (uridine-diphosphatase activity)</t>
  </si>
  <si>
    <t xml:space="preserve">NADPH-dependent diflavin oxidoreductase 1 </t>
  </si>
  <si>
    <t>GO:0005737 (cytoplasm); GO:0016491 (oxidoreductase activity); GO:0005829 (cytosol); GO:0050660 (flavin adenine dinucleotide binding); GO:0010181 (FMN binding); GO:0003958 (NADPH-hemoprotein reductase activity); GO:0016226 (iron-sulfur cluster assembly); GO:0016651 (oxidoreductase activity, acting on NAD(P)H); GO:0050661 (NADP binding); GO:0005634 (nucleus); GO:0016709 (oxidoreductase activity, acting on paired donors, with incorporation or reduction of molecular oxygen, NAD(P)H as one donor, and incorporation of one atom of oxygen); GO:0055114 (oxidation-reduction process)</t>
  </si>
  <si>
    <t xml:space="preserve">Probable thioredoxin-2 </t>
  </si>
  <si>
    <t>GO:0005739 (mitochondrion); GO:0006662 (glycerol ether metabolic process); GO:0015035 (protein disulfide oxidoreductase activity); GO:0045454 (cell redox homeostasis)</t>
  </si>
  <si>
    <t>GO:0005515 (protein binding); GO:0005739 (mitochondrion)</t>
  </si>
  <si>
    <t>GO:0035267 (NuA4 histone acetyltransferase complex); GO:0016573 (histone acetylation); GO:0005515 (protein binding)</t>
  </si>
  <si>
    <t xml:space="preserve">ATP-dependent Clp protease proteolytic subunit 1, mitochondrial </t>
  </si>
  <si>
    <t>GO:0004252 (serine-type endopeptidase activity); GO:0004176 (ATP-dependent peptidase activity); GO:0006508 (proteolysis)</t>
  </si>
  <si>
    <t xml:space="preserve">Dysbindin protein homolog </t>
  </si>
  <si>
    <t xml:space="preserve">COenzyme Q (Ubiquinone) biosynthesis </t>
  </si>
  <si>
    <t>GO:0016740 (transferase activity); GO:0006744 (ubiquinone biosynthetic process); GO:0008299 (isoprenoid biosynthetic process); GO:0031314 (extrinsic component of mitochondrial inner membrane); GO:0016765 (transferase activity, transferring alkyl or aryl (other than methyl) groups); GO:0004659 (prenyltransferase activity); GO:1990234 (transferase complex)</t>
  </si>
  <si>
    <t>GO:0016020 (membrane); GO:0016021 (integral component of membrane); GO:0005783 (endoplasmic reticulum); GO:0005789 (endoplasmic reticulum membrane); GO:0006665 (sphingolipid metabolic process)</t>
  </si>
  <si>
    <t xml:space="preserve">Activator of HSp90 (HSP90) Atpase (ATPase) activity homolog </t>
  </si>
  <si>
    <t>GO:0005829 (cytosol); GO:0051087 (chaperone binding); GO:0001671 (ATPase activator activity); GO:0006457 (protein folding); GO:0051879 (Hsp90 protein binding); GO:0032781 (positive regulation of ATPase activity)</t>
  </si>
  <si>
    <t>GO:0005634 (nucleus); GO:0005737 (cytoplasm); GO:0015031 (protein transport); GO:0003723 (RNA binding); GO:0006408 (snRNA export from nucleus)</t>
  </si>
  <si>
    <t xml:space="preserve">Oxoglutarate/malate carrier protein; SLC (SoLute Carrier) homolog </t>
  </si>
  <si>
    <t>GO:0016020 (membrane); GO:0016021 (integral component of membrane); GO:0055085 (transmembrane transport); GO:0015116 (sulfate transmembrane transporter activity); GO:1902358 (sulfate transmembrane transport); GO:0015297 (antiporter activity); GO:0008272 (sulfate transport); GO:0015117 (thiosulfate transmembrane transporter activity); GO:0015131 (oxaloacetate transmembrane transporter activity); GO:0015140 (malate transmembrane transporter activity); GO:0015141 (succinate transmembrane transporter activity); GO:0015709 (thiosulfate transport); GO:0015729 (oxaloacetate transport); GO:0035435 (phosphate ion transmembrane transport); GO:0071422 (succinate transmembrane transport); GO:0071423 (malate transmembrane transport); GO:1902356 (oxaloacetate(2-) transmembrane transport)</t>
  </si>
  <si>
    <t>GO:0008270 (zinc ion binding); GO:0003676 (nucleic acid binding); GO:0003727 (single-stranded RNA binding); GO:0003725 (double-stranded RNA binding)</t>
  </si>
  <si>
    <t xml:space="preserve">Cell death-related nuclease 5; Cell-death-Related Nuclease </t>
  </si>
  <si>
    <t>GO:0005730 (nucleolus); GO:0000176 (nuclear exosome (RNase complex)); GO:0000177 (cytoplasmic exosome (RNase complex)); GO:0016075 (rRNA catabolic process); GO:0034427 (nuclear-transcribed mRNA catabolic process, exonucleolytic, 3'-5'); GO:0034475 (U4 snRNA 3'-end processing); GO:0071028 (nuclear mRNA surveillance); GO:0071051 (polyadenylation-dependent snoRNA 3'-end processing); GO:0019899 (enzyme binding); GO:0003690 (double-stranded DNA binding); GO:0006309 (apoptotic DNA fragmentation); GO:0006396 (RNA processing); GO:0000178 (exosome (RNase complex)); GO:0008408 (3'-5' exonuclease activity); GO:0032077 (positive regulation of deoxyribonuclease activity)</t>
  </si>
  <si>
    <t xml:space="preserve">UDP-sugar transporter sqv-7 </t>
  </si>
  <si>
    <t>GO:0016020 (membrane); GO:0016021 (integral component of membrane); GO:0000139 (Golgi membrane); GO:0005794 (Golgi apparatus); GO:0008643 (carbohydrate transport); GO:0015297 (antiporter activity); GO:0035262 (gonad morphogenesis); GO:0005462 (UDP-N-acetylglucosamine transmembrane transporter activity); GO:1990569 (UDP-N-acetylglucosamine transmembrane transport); GO:1903354 (regulation of distal tip cell migration); GO:0030206 (chondroitin sulfate biosynthetic process); GO:0005461 (UDP-glucuronic acid transmembrane transporter activity); GO:0005463 (UDP-N-acetylgalactosamine transmembrane transporter activity); GO:0015014 (heparan sulfate proteoglycan biosynthetic process, polysaccharide chain biosynthetic process); GO:0009792 (embryo development ending in birth or egg hatching); GO:0005737 (cytoplasm); GO:0018991 (oviposition); GO:0000003 (reproduction); GO:0040025 (vulval development); GO:0002009 (morphogenesis of an epithelium); GO:0005459 (UDP-galactose transmembrane transporter activity); GO:0072334 (UDP-galactose transmembrane transport); GO:0015787 (UDP-glucuronic acid transmembrane transport); GO:0015789 (UDP-N-acetylgalactosamine transmembrane transport)</t>
  </si>
  <si>
    <t>GO:0016020 (membrane); GO:0016021 (integral component of membrane); GO:0005509 (calcium ion binding); GO:0007155 (cell adhesion); GO:0005887 (integral component of plasma membrane); GO:0005886 (plasma membrane); GO:0007156 (homophilic cell adhesion via plasma membrane adhesion molecules)</t>
  </si>
  <si>
    <t xml:space="preserve">Putative phospholipase B-like 1 </t>
  </si>
  <si>
    <t>GO:0016787 (hydrolase activity); GO:0006629 (lipid metabolic process); GO:0016042 (lipid catabolic process); GO:0004620 (phospholipase activity); GO:0005764 (lysosome); GO:0005576 (extracellular region); GO:0009395 (phospholipid catabolic process)</t>
  </si>
  <si>
    <t xml:space="preserve">Exostosin-1 homolog </t>
  </si>
  <si>
    <t>GO:0016757 (transferase activity, transferring glycosyl groups); GO:0006486 (protein glycosylation)</t>
  </si>
  <si>
    <t xml:space="preserve">Probable trafficking protein particle complex subunit 2 </t>
  </si>
  <si>
    <t>GO:0005634 (nucleus); GO:0005737 (cytoplasm); GO:0005794 (Golgi apparatus); GO:0016192 (vesicle-mediated transport); GO:0006888 (endoplasmic reticulum to Golgi vesicle-mediated transport); GO:0030008 (TRAPP complex); GO:0005515 (protein binding); GO:0005783 (endoplasmic reticulum); GO:0048471 (perinuclear region of cytoplasm)</t>
  </si>
  <si>
    <t xml:space="preserve">Regulator of nonsense transcripts 1 </t>
  </si>
  <si>
    <t>GO:0005524 (ATP binding); GO:0005737 (cytoplasm); GO:0016787 (hydrolase activity); GO:0004386 (helicase activity); GO:0003723 (RNA binding); GO:0046872 (metal ion binding); GO:0000166 (nucleotide binding); GO:0008270 (zinc ion binding); GO:0000184 (nuclear-transcribed mRNA catabolic process, nonsense-mediated decay); GO:0071030 (nuclear mRNA surveillance of spliceosomal pre-mRNA splicing); GO:0000956 (nuclear-transcribed mRNA catabolic process); GO:0003724 (RNA helicase activity); GO:0005515 (protein binding); GO:0005634 (nucleus); GO:0016246 (RNA interference); GO:0051721 (protein phosphatase 2A binding); GO:0030538 (embryonic genitalia morphogenesis); GO:0034660 (ncRNA metabolic process); GO:0003677 (DNA binding)</t>
  </si>
  <si>
    <t xml:space="preserve">Mitochondrial fission process protein 1 </t>
  </si>
  <si>
    <t xml:space="preserve">Vacuolar protein sorting-associated protein 33A </t>
  </si>
  <si>
    <t>GO:0016020 (membrane); GO:0005764 (lysosome); GO:0005886 (plasma membrane); GO:0015031 (protein transport); GO:0016192 (vesicle-mediated transport); GO:0006886 (intracellular protein transport); GO:0005768 (endosome); GO:0005769 (early endosome); GO:0005515 (protein binding); GO:0016324 (apical plasma membrane); GO:0005770 (late endosome); GO:0030897 (HOPS complex); GO:0006904 (vesicle docking involved in exocytosis); GO:0033263 (CORVET complex)</t>
  </si>
  <si>
    <t>GO:0051014 (actin filament severing); GO:0030036 (actin cytoskeleton organization); GO:0051015 (actin filament binding); GO:0005515 (protein binding)</t>
  </si>
  <si>
    <t xml:space="preserve">Homeobox protein ceh-19 </t>
  </si>
  <si>
    <t xml:space="preserve">Probable nuclear transport factor 2 </t>
  </si>
  <si>
    <t>Probable FAD synthase Molybdenum cofactor biosynthesis protein-like region FAD synthase region</t>
  </si>
  <si>
    <t>GO:0006747 (FAD biosynthetic process); GO:0003919 (FMN adenylyltransferase activity); GO:0003824 (catalytic activity); GO:0000166 (nucleotide binding); GO:0016740 (transferase activity); GO:0005524 (ATP binding); GO:0016779 (nucleotidyltransferase activity)</t>
  </si>
  <si>
    <t>GO:0003723 (RNA binding); GO:0005730 (nucleolus); GO:0030686 (90S preribosome); GO:0000056 (ribosomal small subunit export from nucleus); GO:0030688 (preribosome, small subunit precursor); GO:0000447 (endonucleolytic cleavage in ITS1 to separate SSU-rRNA from 5.8S rRNA and LSU-rRNA from tricistronic rRNA transcript (SSU-rRNA, 5.8S rRNA, LSU-rRNA)); GO:0000472 (endonucleolytic cleavage to generate mature 5'-end of SSU-rRNA from (SSU-rRNA, 5.8S rRNA, LSU-rRNA)); GO:0000480 (endonucleolytic cleavage in 5'-ETS of tricistronic rRNA transcript (SSU-rRNA, 5.8S rRNA, LSU-rRNA))</t>
  </si>
  <si>
    <t xml:space="preserve">PhytoChelatin Synthase </t>
  </si>
  <si>
    <t>GO:0046872 (metal ion binding); GO:0016740 (transferase activity); GO:0016746 (transferase activity, transferring acyl groups); GO:0010038 (response to metal ion); GO:0010273 (detoxification of copper ion); GO:0016756 (glutathione gamma-glutamylcysteinyltransferase activity); GO:0046938 (phytochelatin biosynthetic process); GO:0098849 (cellular detoxification of cadmium ion); GO:0050787 (detoxification of mercury ion); GO:0071585 (detoxification of cadmium ion); GO:0010312 (detoxification of zinc ion); GO:0018215 (protein phosphopantetheinylation)</t>
  </si>
  <si>
    <t xml:space="preserve">EARP-interacting protein 1 </t>
  </si>
  <si>
    <t>GO:0043015 (gamma-tubulin binding)</t>
  </si>
  <si>
    <t>GO:0016020 (membrane); GO:0016787 (hydrolase activity); GO:0006631 (fatty acid metabolic process); GO:0006629 (lipid metabolic process); GO:0016042 (lipid catabolic process); GO:0005764 (lysosome); GO:0019898 (extrinsic component of membrane); GO:0016810 (hydrolase activity, acting on carbon-nitrogen (but not peptide) bonds); GO:0017064 (fatty acid amide hydrolase activity); GO:0070291 (N-acylethanolamine metabolic process); GO:0047412 (N-(long-chain-acyl)ethanolamine deacylase activity)</t>
  </si>
  <si>
    <t xml:space="preserve">GTP exchange factor for ARFs 1 </t>
  </si>
  <si>
    <t>GO:0032012 (regulation of ARF protein signal transduction)</t>
  </si>
  <si>
    <t xml:space="preserve">Ribonucleoside-diphosphate reductase small chain </t>
  </si>
  <si>
    <t>GO:0046872 (metal ion binding); GO:0016491 (oxidoreductase activity); GO:0005829 (cytosol); GO:0006260 (DNA replication); GO:0004748 (ribonucleoside-diphosphate reductase activity, thioredoxin disulfide as acceptor); GO:0009263 (deoxyribonucleotide biosynthetic process); GO:0009792 (embryo development ending in birth or egg hatching); GO:0055114 (oxidation-reduction process)</t>
  </si>
  <si>
    <t xml:space="preserve">PITH domain-containing protein ZK353.9 </t>
  </si>
  <si>
    <t>GO:0005634 (nucleus); GO:0005737 (cytoplasm); GO:0005730 (nucleolus); GO:0070476 (rRNA (guanine-N7)-methylation); GO:0016435 (rRNA (guanine) methyltransferase activity)</t>
  </si>
  <si>
    <t>GO:0016491 (oxidoreductase activity); GO:0003674 (molecular_function); GO:0005575 (cellular_component); GO:0055114 (oxidation-reduction process)</t>
  </si>
  <si>
    <t>GO:0003824 (catalytic activity); GO:0052717 (tRNA-specific adenosine-34 deaminase activity)</t>
  </si>
  <si>
    <t>GO:0000978 (RNA polymerase II cis-regulatory region sequence-specific DNA binding); GO:0000981 (DNA-binding transcription factor activity, RNA polymerase II-specific); GO:0006357 (regulation of transcription by RNA polymerase II); GO:0005634 (nucleus); GO:0048471 (perinuclear region of cytoplasm); GO:1900194 (negative regulation of oocyte maturation); GO:0043407 (negative regulation of MAP kinase activity); GO:0060280 (negative regulation of ovulation)</t>
  </si>
  <si>
    <t>Adenylyltransferase and sulfurtransferase MOCS3 Molybdopterin-synthase adenylyltransferase Molybdopterin-synthase sulfurtransferase</t>
  </si>
  <si>
    <t>GO:0002143 (tRNA wobble position uridine thiolation); GO:0004792 (thiosulfate sulfurtransferase activity); GO:0005829 (cytosol); GO:0008641 (ubiquitin-like modifier activating enzyme activity)</t>
  </si>
  <si>
    <t xml:space="preserve">Phosphatidylinositol-binding clathrin assembly protein unc-11 </t>
  </si>
  <si>
    <t>GO:0030136 (clathrin-coated vesicle); GO:0048268 (clathrin coat assembly); GO:0030276 (clathrin binding); GO:0005545 (1-phosphatidylinositol binding); GO:0005543 (phospholipid binding)</t>
  </si>
  <si>
    <t>GO:0000398 (mRNA splicing, via spliceosome); GO:0003676 (nucleic acid binding); GO:0003723 (RNA binding); GO:0003729 (mRNA binding); GO:0017069 (snRNA binding)</t>
  </si>
  <si>
    <t xml:space="preserve">Conserved oligomeric Golgi complex subunit 6 </t>
  </si>
  <si>
    <t>GO:0006891 (intra-Golgi vesicle-mediated transport); GO:0017119 (Golgi transport complex)</t>
  </si>
  <si>
    <t xml:space="preserve">mRNA DeCAPping enzyme </t>
  </si>
  <si>
    <t>GO:0005737 (cytoplasm); GO:0000932 (P-body); GO:0003723 (RNA binding); GO:0003729 (mRNA binding); GO:0030234 (enzyme regulator activity); GO:0006397 (mRNA processing); GO:0000184 (nuclear-transcribed mRNA catabolic process, nonsense-mediated decay); GO:0008047 (enzyme activator activity); GO:0043085 (positive regulation of catalytic activity); GO:0031087 (deadenylation-independent decapping of nuclear-transcribed mRNA); GO:0002119 (nematode larval development); GO:0000003 (reproduction); GO:0008340 (determination of adult lifespan); GO:0043186 (P granule); GO:0009408 (response to heat); GO:0040012 (regulation of locomotion); GO:0006979 (response to oxidative stress); GO:0009411 (response to UV); GO:0000290 (deadenylation-dependent decapping of nuclear-transcribed mRNA)</t>
  </si>
  <si>
    <t xml:space="preserve">DNA primase small subunit </t>
  </si>
  <si>
    <t>GO:0006269 (DNA replication, synthesis of RNA primer); GO:0003896 (DNA primase activity); GO:0046872 (metal ion binding); GO:0016740 (transferase activity); GO:0016779 (nucleotidyltransferase activity); GO:0006260 (DNA replication); GO:0003899 (DNA-directed 5'-3' RNA polymerase activity)</t>
  </si>
  <si>
    <t>GO:0000387 (spliceosomal snRNP assembly); GO:0005634 (nucleus); GO:0000245 (spliceosomal complex assembly); GO:0032797 (SMN complex); GO:0005737 (cytoplasm); GO:0055120 (striated muscle dense body)</t>
  </si>
  <si>
    <t>GO:0005634 (nucleus); GO:0005737 (cytoplasm); GO:0005515 (protein binding); GO:0007049 (cell cycle); GO:0051301 (cell division); GO:0051781 (positive regulation of cell division); GO:0007059 (chromosome segregation); GO:0048471 (perinuclear region of cytoplasm); GO:0051984 (positive regulation of chromosome segregation)</t>
  </si>
  <si>
    <t>GO:0005737 (cytoplasm); GO:0031417 (NatC complex); GO:0006474 (N-terminal protein amino acid acetylation); GO:0017196 (N-terminal peptidyl-methionine acetylation); GO:0008340 (determination of adult lifespan); GO:0040024 (dauer larval development); GO:0009408 (response to heat); GO:1990170 (stress response to cadmium ion); GO:0004596 (peptide alpha-N-acetyltransferase activity); GO:1901562 (response to paraquat); GO:1990169 (stress response to copper ion); GO:1990359 (stress response to zinc ion)</t>
  </si>
  <si>
    <t xml:space="preserve">Probable galactose-1-phosphate uridylyltransferase </t>
  </si>
  <si>
    <t>GO:0005737 (cytoplasm); GO:0046872 (metal ion binding); GO:0016740 (transferase activity); GO:0008270 (zinc ion binding); GO:0016779 (nucleotidyltransferase activity); GO:0005975 (carbohydrate metabolic process); GO:0033499 (galactose catabolic process via UDP-galactose); GO:0006012 (galactose metabolic process); GO:0008108 (UDP-glucose:hexose-1-phosphate uridylyltransferase activity)</t>
  </si>
  <si>
    <t xml:space="preserve">Glutamine/asparagine-rich protein mdt-30 </t>
  </si>
  <si>
    <t>GO:0016020 (membrane); GO:0005886 (plasma membrane); GO:0015031 (protein transport); GO:0016323 (basolateral plasma membrane); GO:0045202 (synapse); GO:0030054 (cell junction); GO:0005911 (cell-cell junction); GO:0006887 (exocytosis); GO:0007269 (neurotransmitter secretion); GO:0045199 (maintenance of epithelial cell apical/basal polarity); GO:0097016 (L27 domain binding); GO:0097025 (MPP7-DLG1-LIN7 complex); GO:0098793 (presynapse); GO:1903361 (protein localization to basolateral plasma membrane); GO:0018991 (oviposition); GO:0005102 (signaling receptor binding); GO:0008022 (protein C-terminus binding); GO:0030674 (protein-macromolecule adaptor activity); GO:0007173 (epidermal growth factor receptor signaling pathway); GO:0009791 (post-embryonic development); GO:0040026 (positive regulation of vulval development); GO:0005515 (protein binding)</t>
  </si>
  <si>
    <t xml:space="preserve">Glutathione synthetase </t>
  </si>
  <si>
    <t>GO:0005524 (ATP binding); GO:0046872 (metal ion binding); GO:0000166 (nucleotide binding); GO:0016874 (ligase activity); GO:0005829 (cytosol); GO:0006750 (glutathione biosynthetic process); GO:0000287 (magnesium ion binding); GO:0004363 (glutathione synthase activity); GO:0043295 (glutathione binding)</t>
  </si>
  <si>
    <t xml:space="preserve">Gem-associated protein 2 </t>
  </si>
  <si>
    <t>GO:0005634 (nucleus); GO:0005737 (cytoplasm); GO:0000387 (spliceosomal snRNP assembly); GO:0005681 (spliceosomal complex); GO:0006397 (mRNA processing); GO:0008380 (RNA splicing); GO:0000245 (spliceosomal complex assembly); GO:0032797 (SMN complex); GO:0009792 (embryo development ending in birth or egg hatching); GO:0005515 (protein binding)</t>
  </si>
  <si>
    <t xml:space="preserve">Probable replication factor A 73 kDa subunit </t>
  </si>
  <si>
    <t>GO:0003677 (DNA binding); GO:0005634 (nucleus); GO:0046872 (metal ion binding); GO:0003676 (nucleic acid binding); GO:0006260 (DNA replication); GO:0006281 (DNA repair); GO:0005515 (protein binding); GO:0000724 (double-strand break repair via homologous recombination); GO:0006289 (nucleotide-excision repair); GO:0003684 (damaged DNA binding); GO:0005662 (DNA replication factor A complex); GO:0007004 (telomere maintenance via telomerase); GO:0051321 (meiotic cell cycle); GO:0006310 (DNA recombination); GO:0043047 (single-stranded telomeric DNA binding); GO:0003697 (single-stranded DNA binding); GO:0006268 (DNA unwinding involved in DNA replication); GO:0005654 (nucleoplasm); GO:0019899 (enzyme binding); GO:0051096 (positive regulation of helicase activity); GO:0110039 (positive regulation of nematode male tail tip morphogenesis)</t>
  </si>
  <si>
    <t>GO:0005634 (nucleus); GO:0046872 (metal ion binding); GO:0016874 (ligase activity); GO:0008270 (zinc ion binding); GO:0000724 (double-strand break repair via homologous recombination); GO:0030915 (Smc5-Smc6 complex); GO:0016925 (protein sumoylation); GO:0019789 (SUMO transferase activity); GO:0061665 (SUMO ligase activity)</t>
  </si>
  <si>
    <t>GO:0005634 (nucleus); GO:0045944 (positive regulation of transcription by RNA polymerase II); GO:0046982 (protein heterodimerization activity); GO:0005669 (transcription factor TFIID complex); GO:0006366 (transcription by RNA polymerase II); GO:0003713 (transcription coactivator activity); GO:0043966 (histone H3 acetylation); GO:0006352 (DNA-templated transcription, initiation); GO:0000124 (SAGA complex); GO:0009792 (embryo development ending in birth or egg hatching); GO:0009794 (regulation of mitotic cell cycle, embryonic); GO:0016251 (RNA polymerase II general transcription initiation factor activity)</t>
  </si>
  <si>
    <t>GO:0005634 (nucleus); GO:0003677 (DNA binding); GO:0046872 (metal ion binding); GO:0006355 (regulation of transcription, DNA-templated); GO:0010628 (positive regulation of gene expression); GO:0000977 (RNA polymerase II transcription regulatory region sequence-specific DNA binding); GO:0000981 (DNA-binding transcription factor activity, RNA polymerase II-specific); GO:0006357 (regulation of transcription by RNA polymerase II); GO:0030182 (neuron differentiation); GO:0010629 (negative regulation of gene expression); GO:0030421 (defecation); GO:0061038 (uterus morphogenesis); GO:0007409 (axonogenesis); GO:0009449 (gamma-aminobutyric acid biosynthetic process); GO:0010468 (regulation of gene expression); GO:0060756 (foraging behavior); GO:0003700 (DNA-binding transcription factor activity); GO:0045944 (positive regulation of transcription by RNA polymerase II); GO:0048666 (neuron development); GO:1904081 (positive regulation of transcription from RNA polymerase II promoter involved in neuron differentiation)</t>
  </si>
  <si>
    <t xml:space="preserve">Zinc finger protein zfp-2 </t>
  </si>
  <si>
    <t>GO:0005634 (nucleus); GO:0046872 (metal ion binding); GO:0003677 (DNA binding); GO:0000978 (RNA polymerase II cis-regulatory region sequence-specific DNA binding); GO:0006357 (regulation of transcription by RNA polymerase II); GO:0001228 (DNA-binding transcription activator activity, RNA polymerase II-specific); GO:0045944 (positive regulation of transcription by RNA polymerase II)</t>
  </si>
  <si>
    <t>GO:0005737 (cytoplasm); GO:0006355 (regulation of transcription, DNA-templated); GO:0016272 (prefoldin complex)</t>
  </si>
  <si>
    <t xml:space="preserve">Probable 26S proteasome non-ATPase regulatory subunit 9 </t>
  </si>
  <si>
    <t>GO:0070682 (proteasome regulatory particle assembly); GO:0005515 (protein binding)</t>
  </si>
  <si>
    <t xml:space="preserve">Maternal uncoordinated protein 2 </t>
  </si>
  <si>
    <t>GO:0005634 (nucleus); GO:0005737 (cytoplasm); GO:0007275 (multicellular organism development); GO:0007049 (cell cycle); GO:0003690 (double-stranded DNA binding); GO:0051301 (cell division); GO:0000785 (chromatin); GO:0007064 (mitotic sister chromatid cohesion); GO:0007059 (chromosome segregation); GO:0005654 (nucleoplasm); GO:0032116 (SMC loading complex); GO:0034088 (maintenance of mitotic sister chromatid cohesion); GO:0018991 (oviposition); GO:0030424 (axon); GO:0033563 (dorsal/ventral axon guidance); GO:0033564 (anterior/posterior axon guidance)</t>
  </si>
  <si>
    <t xml:space="preserve">DPP/BMP-Like; Decapentaplegic protein homolog </t>
  </si>
  <si>
    <t>GO:0005576 (extracellular region); GO:0005615 (extracellular space); GO:0007275 (multicellular organism development); GO:0042661 (regulation of mesodermal cell fate specification); GO:0005125 (cytokine activity); GO:0008083 (growth factor activity); GO:0010862 (positive regulation of pathway-restricted SMAD protein phosphorylation); GO:0030509 (BMP signaling pathway); GO:0060395 (SMAD protein signal transduction); GO:0010468 (regulation of gene expression); GO:1901048 (transforming growth factor beta receptor signaling pathway involved in regulation of multicellular organism growth); GO:0007179 (transforming growth factor beta receptor signaling pathway); GO:0030511 (positive regulation of transforming growth factor beta receptor signaling pathway); GO:0045087 (innate immune response); GO:0002119 (nematode larval development); GO:0050832 (defense response to fungus); GO:0045944 (positive regulation of transcription by RNA polymerase II); GO:0050829 (defense response to Gram-negative bacterium); GO:0040018 (positive regulation of multicellular organism growth); GO:0045138 (nematode male tail tip morphogenesis); GO:0050830 (defense response to Gram-positive bacterium); GO:0045793 (positive regulation of cell size); GO:0046622 (positive regulation of organ growth); GO:0070700 (BMP receptor binding); GO:0022604 (regulation of cell morphogenesis); GO:0032877 (positive regulation of DNA endoreduplication); GO:0019216 (regulation of lipid metabolic process)</t>
  </si>
  <si>
    <t xml:space="preserve">Vacuolar protein sorting-associated protein 28 homolog </t>
  </si>
  <si>
    <t>GO:0015031 (protein transport); GO:0005768 (endosome); GO:0044877 (protein-containing complex binding); GO:0000813 (ESCRT I complex); GO:0032509 (endosome transport via multivesicular body sorting pathway); GO:0043328 (protein transport to vacuole involved in ubiquitin-dependent protein catabolic process via the multivesicular body sorting pathway); GO:0032801 (receptor catabolic process)</t>
  </si>
  <si>
    <t>GO:0016263 (glycoprotein-N-acetylgalactosamine 3-beta-galactosyltransferase activity); GO:0016267 (O-glycan processing, core 1); GO:0018215 (protein phosphopantetheinylation)</t>
  </si>
  <si>
    <t xml:space="preserve">Dihydropyrimidinase 1 </t>
  </si>
  <si>
    <t>GO:0000266 (mitochondrial fission); GO:0005515 (protein binding); GO:0016020 (membrane); GO:0016021 (integral component of membrane); GO:0005739 (mitochondrion); GO:0000422 (autophagy of mitochondrion); GO:0043653 (mitochondrial fragmentation involved in apoptotic process); GO:0005741 (mitochondrial outer membrane); GO:0005779 (integral component of peroxisomal membrane); GO:0016559 (peroxisome fission); GO:0031307 (integral component of mitochondrial outer membrane); GO:0006915 (apoptotic process)</t>
  </si>
  <si>
    <t>GO:0003723 (RNA binding); GO:0003676 (nucleic acid binding); GO:0005730 (nucleolus); GO:0006396 (RNA processing); GO:0006364 (rRNA processing); GO:0032040 (small-subunit processome); GO:0005515 (protein binding)</t>
  </si>
  <si>
    <t>FMRFamide-like neuropeptides 1 PNFMRY-amide AGSDPNFLRF-amide SQPNFLRF-amide ASGDPNFLRF-amide SDPNFLRF-amide AAADPNFLRF-amide SADPNFLRF-amide PNFLRF-amide</t>
  </si>
  <si>
    <t xml:space="preserve">VAC (Yeast VACuole morphology)-Like </t>
  </si>
  <si>
    <t>GO:0016020 (membrane); GO:0010008 (endosome membrane); GO:0000306 (extrinsic component of vacuolar membrane); GO:0006661 (phosphatidylinositol biosynthetic process); GO:0070772 (PAS complex); GO:0033674 (positive regulation of kinase activity)</t>
  </si>
  <si>
    <t>GO:0016589 (NURF complex); GO:0071339 (MLL1 complex)</t>
  </si>
  <si>
    <t>GO:0005634 (nucleus); GO:0005737 (cytoplasm); GO:0006355 (regulation of transcription, DNA-templated); GO:0005515 (protein binding); GO:0003712 (transcription coregulator activity); GO:0006914 (autophagy); GO:0030674 (protein-macromolecule adaptor activity); GO:0043621 (protein self-association)</t>
  </si>
  <si>
    <t xml:space="preserve">Nitrogen Permease Regulator Like homolog </t>
  </si>
  <si>
    <t>GO:0032007 (negative regulation of TOR signaling); GO:0034198 (cellular response to amino acid starvation); GO:1990130 (GATOR1 complex); GO:0006995 (cellular response to nitrogen starvation); GO:2000785 (regulation of autophagosome assembly); GO:0010508 (positive regulation of autophagy)</t>
  </si>
  <si>
    <t>GO:0016020 (membrane); GO:0006612 (protein targeting to membrane); GO:0018230 (peptidyl-L-cysteine S-palmitoylation); GO:0019706 (protein-cysteine S-palmitoyltransferase activity); GO:0002178 (palmitoyltransferase complex); GO:0018215 (protein phosphopantetheinylation)</t>
  </si>
  <si>
    <t xml:space="preserve">TM2 domain-containing protein C02F5.13 </t>
  </si>
  <si>
    <t>GO:0005634 (nucleus); GO:0016787 (hydrolase activity); GO:0006511 (ubiquitin-dependent protein catabolic process); GO:0006508 (proteolysis); GO:0008233 (peptidase activity); GO:0005829 (cytosol); GO:0004197 (cysteine-type endopeptidase activity); GO:0016579 (protein deubiquitination); GO:0005694 (chromosome); GO:0008234 (cysteine-type peptidase activity); GO:0004843 (thiol-dependent ubiquitin-specific protease activity)</t>
  </si>
  <si>
    <t xml:space="preserve">Probable histone-binding protein rba-1 </t>
  </si>
  <si>
    <t>GO:0005634 (nucleus); GO:0007275 (multicellular organism development); GO:0006325 (chromatin organization); GO:0005515 (protein binding); GO:0001708 (cell fate specification); GO:0045138 (nematode male tail tip morphogenesis); GO:0050767 (regulation of neurogenesis)</t>
  </si>
  <si>
    <t>GO:0016020 (membrane); GO:0016021 (integral component of membrane); GO:0005737 (cytoplasm); GO:0005886 (plasma membrane); GO:0005794 (Golgi apparatus); GO:0000822 (inositol hexakisphosphate binding); GO:0015114 (phosphate ion transmembrane transporter activity); GO:0006817 (phosphate ion transport); GO:0016036 (cellular response to phosphate starvation); GO:0035435 (phosphate ion transmembrane transport)</t>
  </si>
  <si>
    <t xml:space="preserve">AcetylCholine Receptor; Acetylcholine receptor, one of nine alpha a7-like nicotinic acetylcholine receptor subunits (58.6 kD) (Acr-18) </t>
  </si>
  <si>
    <t>GO:0006383 (transcription by RNA polymerase III); GO:0000127 (transcription factor TFIIIC complex); GO:0005515 (protein binding)</t>
  </si>
  <si>
    <t xml:space="preserve">T-box transcription factor 18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</si>
  <si>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GO:0000977 (RNA polymerase II transcription regulatory region sequence-specific DNA binding); GO:0045944 (positive regulation of transcription by RNA polymerase II); GO:0042464 (dosage compensation by hypoactivation of X chromosome); GO:0007530 (sex determination)</t>
  </si>
  <si>
    <t>GO:0005737 (cytoplasm); GO:0006396 (RNA processing); GO:0000176 (nuclear exosome (RNase complex)); GO:0000178 (exosome (RNase complex)); GO:0005634 (nucleus)</t>
  </si>
  <si>
    <t>GO:0003723 (RNA binding); GO:0005730 (nucleolus); GO:0003677 (DNA binding); GO:0010468 (regulation of gene expression); GO:0000460 (maturation of 5.8S rRNA); GO:0000178 (exosome (RNase complex))</t>
  </si>
  <si>
    <t>GO:0046872 (metal ion binding); GO:0008270 (zinc ion binding); GO:0005739 (mitochondrion); GO:0030150 (protein import into mitochondrial matrix); GO:0006457 (protein folding); GO:0050821 (protein stabilization); GO:0051087 (chaperone binding)</t>
  </si>
  <si>
    <t>GO:0005739 (mitochondrion); GO:0008168 (methyltransferase activity); GO:0032981 (mitochondrial respiratory chain complex I assembly)</t>
  </si>
  <si>
    <t xml:space="preserve">Poly [ADP-ribose] polymerase 2 </t>
  </si>
  <si>
    <t>GO:0006471 (protein ADP-ribosylation); GO:0003950 (NAD+ ADP-ribosyltransferase activity)</t>
  </si>
  <si>
    <t xml:space="preserve">FIT family protein fitm-2 </t>
  </si>
  <si>
    <t>GO:0019915 (lipid storage); GO:0005789 (endoplasmic reticulum membrane)</t>
  </si>
  <si>
    <t xml:space="preserve">Anaphase-promoting complex subunit CDC26 </t>
  </si>
  <si>
    <t>GO:0005634 (nucleus); GO:0003723 (RNA binding); GO:0005730 (nucleolus); GO:0003677 (DNA binding); GO:0042273 (ribosomal large subunit biogenesis); GO:0042274 (ribosomal small subunit biogenesis)</t>
  </si>
  <si>
    <t>GO:0005634 (nucleus); GO:0000381 (regulation of alternative mRNA splicing, via spliceosome); GO:0003676 (nucleic acid binding); GO:0003723 (RNA binding); GO:0003727 (single-stranded RNA binding)</t>
  </si>
  <si>
    <t xml:space="preserve">tRNA (guanine(37)-N1)-methyltransferase </t>
  </si>
  <si>
    <t>GO:0005737 (cytoplasm); GO:0005634 (nucleus); GO:0008168 (methyltransferase activity); GO:0032259 (methylation); GO:0016740 (transferase activity); GO:0005739 (mitochondrion); GO:0009019 (tRNA (guanine-N1-)-methyltransferase activity); GO:0002939 (tRNA N1-guanine methylation); GO:0005759 (mitochondrial matrix); GO:0008033 (tRNA processing); GO:0008175 (tRNA methyltransferase activity); GO:0030488 (tRNA methylation); GO:0052906 (tRNA (guanine(37)-N(1))-methyltransferase activity); GO:0070901 (mitochondrial tRNA methylation)</t>
  </si>
  <si>
    <t xml:space="preserve">Methionine aminopeptidase </t>
  </si>
  <si>
    <t>GO:0016787 (hydrolase activity); GO:0046872 (metal ion binding); GO:0006508 (proteolysis); GO:0008233 (peptidase activity); GO:0070006 (metalloaminopeptidase activity); GO:0004177 (aminopeptidase activity); GO:0070084 (protein initiator methionine removal)</t>
  </si>
  <si>
    <t xml:space="preserve">Beta-1,4-N-acetylgalactosaminyltransferase bre-4 </t>
  </si>
  <si>
    <t>GO:0016757 (transferase activity, transferring glycosyl groups); GO:0005975 (carbohydrate metabolic process)</t>
  </si>
  <si>
    <t xml:space="preserve">Single-stranded DNA-binding protein, mitochondrial </t>
  </si>
  <si>
    <t>GO:0006260 (DNA replication); GO:0003697 (single-stranded DNA binding)</t>
  </si>
  <si>
    <t xml:space="preserve">Probable RNA methyltransferase Y17G7B.18 </t>
  </si>
  <si>
    <t>GO:0008168 (methyltransferase activity); GO:0032259 (methylation); GO:0016740 (transferase activity); GO:0001510 (RNA methylation); GO:0008171 (O-methyltransferase activity); GO:0008173 (RNA methyltransferase activity); GO:0017069 (snRNA binding); GO:0040031 (snRNA modification)</t>
  </si>
  <si>
    <t>GO:0016020 (membrane); GO:0016021 (integral component of membrane); GO:0005743 (mitochondrial inner membrane); GO:0008053 (mitochondrial fusion); GO:0034982 (mitochondrial protein processing); GO:0042407 (cristae formation); GO:0065003 (protein-containing complex assembly)</t>
  </si>
  <si>
    <t xml:space="preserve">ADiPose (Drosophila obesity gene) Related </t>
  </si>
  <si>
    <t>GO:0005737 (cytoplasm); GO:0045717 (negative regulation of fatty acid biosynthetic process); GO:0080008 (Cul4-RING E3 ubiquitin ligase complex); GO:0005515 (protein binding)</t>
  </si>
  <si>
    <t xml:space="preserve">Probable mitochondrial import inner membrane translocase subunit tin-44 </t>
  </si>
  <si>
    <t>GO:0016020 (membrane); GO:0005743 (mitochondrial inner membrane); GO:0015031 (protein transport); GO:0005739 (mitochondrion); GO:0051087 (chaperone binding); GO:0030150 (protein import into mitochondrial matrix)</t>
  </si>
  <si>
    <t xml:space="preserve">Transcription elongation factor SPT4 </t>
  </si>
  <si>
    <t>GO:0005634 (nucleus); GO:0046872 (metal ion binding); GO:0006355 (regulation of transcription, DNA-templated); GO:0008270 (zinc ion binding); GO:0006325 (chromatin organization); GO:0000993 (RNA polymerase II complex binding); GO:0006397 (mRNA processing); GO:0032044 (DSIF complex); GO:0032786 (positive regulation of DNA-templated transcription, elongation); GO:0034243 (regulation of transcription elongation from RNA polymerase II promoter)</t>
  </si>
  <si>
    <t>GO:0005739 (mitochondrion); GO:0016491 (oxidoreductase activity); GO:0016971 (flavin-linked sulfhydryl oxidase activity); GO:0016972 (thiol oxidase activity); GO:0050660 (flavin adenine dinucleotide binding); GO:0015035 (protein disulfide oxidoreductase activity); GO:0055114 (oxidation-reduction process)</t>
  </si>
  <si>
    <t>GO:0005737 (cytoplasm); GO:0008168 (methyltransferase activity); GO:0032259 (methylation); GO:0016740 (transferase activity); GO:0003676 (nucleic acid binding); GO:0030488 (tRNA methylation); GO:0004809 (tRNA (guanine-N2-)-methyltransferase activity)</t>
  </si>
  <si>
    <t>GO:0071014 (post-mRNA release spliceosomal complex); GO:0005684 (U2-type spliceosomal complex)</t>
  </si>
  <si>
    <t>GO:0046983 (protein dimerization activity); GO:0040027 (negative regulation of vulval development); GO:0035264 (multicellular organism growth); GO:0005634 (nucleus); GO:0030421 (defecation); GO:0005102 (signaling receptor binding); GO:0043051 (regulation of pharyngeal pumping); GO:0035262 (gonad morphogenesis); GO:0006936 (muscle contraction); GO:0002119 (nematode larval development)</t>
  </si>
  <si>
    <t xml:space="preserve">RNA Polymerase I/III (A/C) shared subunit </t>
  </si>
  <si>
    <t>GO:0046983 (protein dimerization activity); GO:0006351 (transcription, DNA-templated); GO:0003899 (DNA-directed 5'-3' RNA polymerase activity); GO:0005736 (RNA polymerase I complex); GO:0006360 (transcription by RNA polymerase I); GO:0001054 (RNA polymerase I activity); GO:0005666 (RNA polymerase III complex); GO:0006383 (transcription by RNA polymerase III); GO:0001056 (RNA polymerase III activity)</t>
  </si>
  <si>
    <t>GO:0046872 (metal ion binding); GO:0005777 (peroxisome)</t>
  </si>
  <si>
    <t xml:space="preserve">Intermediate filament protein ifc-1 </t>
  </si>
  <si>
    <t>GO:0016192 (vesicle-mediated transport); GO:0043231 (intracellular membrane-bounded organelle); GO:0035658 (Mon1-Ccz1 complex); GO:0005515 (protein binding); GO:0007040 (lysosome organization); GO:0045335 (phagocytic vesicle); GO:0090386 (phagosome maturation involved in apoptotic cell clearance); GO:0090387 (phagolysosome assembly involved in apoptotic cell clearance); GO:1905691 (lipid droplet disassembly)</t>
  </si>
  <si>
    <t xml:space="preserve">Putative pseudouridine synthase B0024.11 </t>
  </si>
  <si>
    <t>GO:0005634 (nucleus); GO:0003723 (RNA binding); GO:0001522 (pseudouridine synthesis); GO:0009451 (RNA modification); GO:0009982 (pseudouridine synthase activity); GO:0016853 (isomerase activity); GO:0008033 (tRNA processing)</t>
  </si>
  <si>
    <t>GO:0003723 (RNA binding); GO:0006400 (tRNA modification)</t>
  </si>
  <si>
    <t xml:space="preserve">Cyclin-dependent-like kinase 5 </t>
  </si>
  <si>
    <t xml:space="preserve">HCF1 related; Host cell factor 1 </t>
  </si>
  <si>
    <t>GO:0005634 (nucleus); GO:0005515 (protein binding); GO:0003713 (transcription coactivator activity); GO:0006355 (regulation of transcription, DNA-templated); GO:0035097 (histone methyltransferase complex); GO:0006338 (chromatin remodeling); GO:0008340 (determination of adult lifespan); GO:0008134 (transcription factor binding); GO:0006979 (response to oxidative stress); GO:0010621 (negative regulation of transcription by transcription factor localization); GO:0043054 (dauer exit); GO:0046686 (response to cadmium ion); GO:0045893 (positive regulation of transcription, DNA-templated)</t>
  </si>
  <si>
    <t>GO:0005634 (nucleus); GO:0009792 (embryo development ending in birth or egg hatching); GO:0005643 (nuclear pore); GO:0006405 (RNA export from nucleus); GO:0006606 (protein import into nucleus); GO:0006913 (nucleocytoplasmic transport); GO:0017056 (structural constituent of nuclear pore); GO:0000972 (transcription-dependent tethering of RNA polymerase II gene DNA at nuclear periphery); GO:0036228 (protein localization to nuclear inner membrane); GO:0044611 (nuclear pore inner ring); GO:0007096 (regulation of exit from mitosis); GO:0005515 (protein binding); GO:0006997 (nucleus organization)</t>
  </si>
  <si>
    <t xml:space="preserve">Chondroitin proteoglycan 9 </t>
  </si>
  <si>
    <t xml:space="preserve">O-phosphoseryl-tRNA(Sec) selenium transferase </t>
  </si>
  <si>
    <t>GO:0003824 (catalytic activity); GO:0016740 (transferase activity); GO:0005737 (cytoplasm); GO:0006412 (translation); GO:0003723 (RNA binding); GO:0005515 (protein binding); GO:0000049 (tRNA binding); GO:0042802 (identical protein binding); GO:0001514 (selenocysteine incorporation); GO:0097056 (selenocysteinyl-tRNA(Sec) biosynthetic process); GO:0016785 (transferase activity, transferring selenium-containing groups)</t>
  </si>
  <si>
    <t>GO:0000166 (nucleotide binding); GO:0003677 (DNA binding); GO:0005634 (nucleus); GO:0046872 (metal ion binding); GO:0016740 (transferase activity); GO:0003676 (nucleic acid binding); GO:0003682 (chromatin binding); GO:0016779 (nucleotidyltransferase activity); GO:0003887 (DNA-directed DNA polymerase activity); GO:0006260 (DNA replication); GO:0071897 (DNA biosynthetic process); GO:0003688 (DNA replication origin binding); GO:0005658 (alpha DNA polymerase:primase complex); GO:0006272 (leading strand elongation); GO:0006273 (lagging strand elongation); GO:0017076 (purine nucleotide binding); GO:0051536 (iron-sulfur cluster binding); GO:0051539 (4 iron, 4 sulfur cluster binding); GO:1902975 (mitotic DNA replication initiation); GO:0003697 (single-stranded DNA binding); GO:0019103 (pyrimidine nucleotide binding)</t>
  </si>
  <si>
    <t xml:space="preserve">G2/mitotic-specific cyclin-B1 </t>
  </si>
  <si>
    <t>GO:0000932 (P-body); GO:0003676 (nucleic acid binding); GO:0006351 (transcription, DNA-templated); GO:0003727 (single-stranded RNA binding); GO:0003899 (DNA-directed 5'-3' RNA polymerase activity); GO:0003697 (single-stranded DNA binding); GO:0006367 (transcription initiation from RNA polymerase II promoter); GO:0005665 (RNA polymerase II, core complex); GO:0031369 (translation initiation factor binding); GO:0045948 (positive regulation of translational initiation); GO:0000291 (nuclear-transcribed mRNA catabolic process, exonucleolytic); GO:0060213 (positive regulation of nuclear-transcribed mRNA poly(A) tail shortening)</t>
  </si>
  <si>
    <t xml:space="preserve">Dol-P-Glc:Glc(2)Man(9)GlcNAc(2)-PP-Dol alpha-1,2-glucosyltransferase </t>
  </si>
  <si>
    <t>GO:0016020 (membrane); GO:0016021 (integral component of membrane); GO:0016740 (transferase activity); GO:0016757 (transferase activity, transferring glycosyl groups); GO:0005783 (endoplasmic reticulum); GO:0006487 (protein N-linked glycosylation); GO:0006488 (dolichol-linked oligosaccharide biosynthetic process); GO:0106073 (dolichyl pyrophosphate Glc2Man9GlcNAc2 alpha-1,2-glucosyltransferase activity)</t>
  </si>
  <si>
    <t xml:space="preserve">Putative RNA-binding protein R05D3.8 </t>
  </si>
  <si>
    <t xml:space="preserve">C09G4.4 protein </t>
  </si>
  <si>
    <t>GO:0006364 (rRNA processing); GO:0005515 (protein binding)</t>
  </si>
  <si>
    <t xml:space="preserve">Protein-lysine N-methyltransferase M142.8 </t>
  </si>
  <si>
    <t>GO:0008168 (methyltransferase activity); GO:0032259 (methylation); GO:0016740 (transferase activity); GO:0005737 (cytoplasm); GO:0003676 (nucleic acid binding); GO:0016279 (protein-lysine N-methyltransferase activity); GO:0018022 (peptidyl-lysine methylation)</t>
  </si>
  <si>
    <t xml:space="preserve">PDGF/VEGF growth factor related </t>
  </si>
  <si>
    <t>GO:0016020 (membrane); GO:0005615 (extracellular space); GO:0008284 (positive regulation of cell population proliferation); GO:0008083 (growth factor activity); GO:0031954 (positive regulation of protein autophosphorylation); GO:0007165 (signal transduction); GO:0045138 (nematode male tail tip morphogenesis); GO:1902842 (negative regulation of netrin-activated signaling pathway); GO:0070851 (growth factor receptor binding)</t>
  </si>
  <si>
    <t xml:space="preserve">Catalase-2 </t>
  </si>
  <si>
    <t xml:space="preserve">GameTocyte Specific Factor 1 related </t>
  </si>
  <si>
    <t xml:space="preserve">FANCD2 (Fanconi's anemia defect) ortholog </t>
  </si>
  <si>
    <t>GO:0005634 (nucleus); GO:0006281 (DNA repair); GO:0000793 (condensed chromosome); GO:0007129 (homologous chromosome pairing at meiosis); GO:0070182 (DNA polymerase binding); GO:0031573 (intra-S DNA damage checkpoint); GO:0036297 (interstrand cross-link repair); GO:1990918 (double-strand break repair involved in meiotic recombination); GO:0006289 (nucleotide-excision repair); GO:0090329 (regulation of DNA-dependent DNA replication)</t>
  </si>
  <si>
    <t>GO:0016020 (membrane); GO:0016021 (integral component of membrane); GO:0042302 (structural constituent of cuticle); GO:0030968 (endoplasmic reticulum unfolded protein response)</t>
  </si>
  <si>
    <t xml:space="preserve">Collagen </t>
  </si>
  <si>
    <t>GO:0003723 (RNA binding); GO:0005739 (mitochondrion); GO:0008168 (methyltransferase activity); GO:0001510 (RNA methylation); GO:0006396 (RNA processing); GO:0008173 (RNA methyltransferase activity)</t>
  </si>
  <si>
    <t>GO:0005515 (protein binding); GO:0007283 (spermatogenesis); GO:0003674 (molecular_function)</t>
  </si>
  <si>
    <t>GO:0005524 (ATP binding); GO:0016787 (hydrolase activity); GO:0004386 (helicase activity); GO:0000166 (nucleotide binding); GO:0003723 (RNA binding); GO:0003676 (nucleic acid binding); GO:0005730 (nucleolus); GO:0045943 (positive regulation of transcription by RNA polymerase I); GO:0003724 (RNA helicase activity)</t>
  </si>
  <si>
    <t>GO:0016020 (membrane); GO:0003924 (GTPase activity); GO:0005525 (GTP binding); GO:0000166 (nucleotide binding); GO:0015031 (protein transport); GO:0006886 (intracellular protein transport); GO:0005769 (early endosome); GO:0012505 (endomembrane system); GO:0032482 (Rab protein signal transduction)</t>
  </si>
  <si>
    <t>GO:0005634 (nucleus); GO:0003723 (RNA binding); GO:0005737 (cytoplasm); GO:0006397 (mRNA processing)</t>
  </si>
  <si>
    <t xml:space="preserve">Kinetochore NuLl </t>
  </si>
  <si>
    <t>GO:0005515 (protein binding); GO:0000776 (kinetochore); GO:0034501 (protein localization to kinetochore); GO:0007079 (mitotic chromosome movement towards spindle pole); GO:0010696 (positive regulation of mitotic spindle pole body separation); GO:1901970 (positive regulation of mitotic sister chromatid separation); GO:1905561 (positive regulation of kinetochore assembly); GO:0051382 (kinetochore assembly); GO:0000777 (condensed chromosome kinetochore)</t>
  </si>
  <si>
    <t xml:space="preserve">Glyoxalase 1 </t>
  </si>
  <si>
    <t xml:space="preserve">U6 small nuclear RNA (adenine-(43)-N(6))-methyltransferase </t>
  </si>
  <si>
    <t>Caspase A Caspase A subunit p16 Caspase A subunit p14</t>
  </si>
  <si>
    <t xml:space="preserve">SMN (Human Survival Motor Neuron gene) homolog; Survival motor neuron protein </t>
  </si>
  <si>
    <t>GO:0005634 (nucleus); GO:0003723 (RNA binding); GO:0000387 (spliceosomal snRNP assembly); GO:0005737 (cytoplasm); GO:0006397 (mRNA processing); GO:0015030 (Cajal body); GO:0032797 (SMN complex); GO:0009792 (embryo development ending in birth or egg hatching); GO:0005515 (protein binding); GO:0002119 (nematode larval development); GO:0040011 (locomotion); GO:0040025 (vulval development); GO:0007281 (germ cell development); GO:0008340 (determination of adult lifespan); GO:0043621 (protein self-association); GO:0043050 (pharyngeal pumping); GO:0097504 (Gemini of coiled bodies)</t>
  </si>
  <si>
    <t>GO:0016020 (membrane); GO:0016021 (integral component of membrane); GO:0005634 (nucleus); GO:0016787 (hydrolase activity); GO:0006511 (ubiquitin-dependent protein catabolic process); GO:0006508 (proteolysis); GO:0008233 (peptidase activity); GO:0005829 (cytosol); GO:0004197 (cysteine-type endopeptidase activity); GO:0016579 (protein deubiquitination); GO:0008234 (cysteine-type peptidase activity); GO:0004843 (thiol-dependent ubiquitin-specific protease activity)</t>
  </si>
  <si>
    <t>GO:0020037 (heme binding); GO:0098869 (cellular oxidant detoxification); GO:0004601 (peroxidase activity); GO:0006979 (response to oxidative stress); GO:0062023 (collagen-containing extracellular matrix); GO:0055114 (oxidation-reduction process)</t>
  </si>
  <si>
    <t xml:space="preserve">SKR-12; SKp1 Related (Ubiquitin ligase complex component); Skp1p homolog </t>
  </si>
  <si>
    <t>GO:0005739 (mitochondrion); GO:0005840 (ribosome); GO:0005762 (mitochondrial large ribosomal subunit); GO:0003735 (structural constituent of ribosome)</t>
  </si>
  <si>
    <t>GO:0016020 (membrane); GO:0016021 (integral component of membrane); GO:0005524 (ATP binding); GO:0042626 (ATPase-coupled transmembrane transporter activity); GO:0000166 (nucleotide binding); GO:0055085 (transmembrane transport); GO:0002376 (immune system process); GO:0098656 (anion transmembrane transport); GO:0015833 (peptide transport); GO:1904680 (peptide transmembrane transporter activity); GO:0035264 (multicellular organism growth); GO:0007041 (lysosomal transport); GO:0005765 (lysosomal membrane); GO:0006629 (lipid metabolic process); GO:0016887 (ATPase activity); GO:0002250 (adaptive immune response)</t>
  </si>
  <si>
    <t xml:space="preserve">DNA-directed RNA polymerases I, II, and III subunit RPABC1 </t>
  </si>
  <si>
    <t>GO:0003677 (DNA binding); GO:0005634 (nucleus); GO:0006351 (transcription, DNA-templated); GO:0003899 (DNA-directed 5'-3' RNA polymerase activity); GO:0005736 (RNA polymerase I complex); GO:0005665 (RNA polymerase II, core complex); GO:0005666 (RNA polymerase III complex)</t>
  </si>
  <si>
    <t xml:space="preserve">Cleavage Factor IM (CFIm) homolog </t>
  </si>
  <si>
    <t>GO:0016787 (hydrolase activity); GO:0005634 (nucleus); GO:0005737 (cytoplasm); GO:0003723 (RNA binding); GO:0003729 (mRNA binding); GO:0006397 (mRNA processing); GO:0042802 (identical protein binding); GO:0006378 (mRNA polyadenylation); GO:0005849 (mRNA cleavage factor complex)</t>
  </si>
  <si>
    <t>GO:0016020 (membrane); GO:0016021 (integral component of membrane); GO:0030246 (carbohydrate binding); GO:0005783 (endoplasmic reticulum); GO:0005789 (endoplasmic reticulum membrane)</t>
  </si>
  <si>
    <t xml:space="preserve">HIstone H1 Like; Histone H1.Q </t>
  </si>
  <si>
    <t>GO:0005634 (nucleus); GO:0046982 (protein heterodimerization activity); GO:0005515 (protein binding); GO:0008622 (epsilon DNA polymerase complex)</t>
  </si>
  <si>
    <t xml:space="preserve">Major sperm protein 77/79 </t>
  </si>
  <si>
    <t>GO:0006400 (tRNA modification); GO:0008176 (tRNA (guanine-N7-)-methyltransferase activity); GO:0106004 (tRNA (guanine-N7)-methylation); GO:0008168 (methyltransferase activity)</t>
  </si>
  <si>
    <t xml:space="preserve">MecKel Syndrome 1 (MKS1)-Related </t>
  </si>
  <si>
    <t>GO:0005737 (cytoplasm); GO:0005515 (protein binding); GO:0036064 (ciliary basal body); GO:0030030 (cell projection organization); GO:0060271 (cilium assembly); GO:0036038 (MKS complex); GO:0044292 (dendrite terminus); GO:1904491 (protein localization to ciliary transition zone); GO:1905515 (non-motile cilium assembly); GO:0035869 (ciliary transition zone); GO:0008104 (protein localization); GO:0008340 (determination of adult lifespan); GO:0030425 (dendrite); GO:0035177 (larval foraging behavior)</t>
  </si>
  <si>
    <t>GO:0047429 (nucleoside-triphosphate diphosphatase activity)</t>
  </si>
  <si>
    <t xml:space="preserve">Golgi SNAP receptor complex member 2 homolog memb-1 </t>
  </si>
  <si>
    <t>GO:0005794 (Golgi apparatus); GO:0005484 (SNAP receptor activity); GO:0016192 (vesicle-mediated transport)</t>
  </si>
  <si>
    <t xml:space="preserve">Phosphatidate cytidylyltransferase, mitochondrial </t>
  </si>
  <si>
    <t>GO:0016020 (membrane); GO:0016740 (transferase activity); GO:0016779 (nucleotidyltransferase activity); GO:0006629 (lipid metabolic process); GO:0005739 (mitochondrion); GO:0005743 (mitochondrial inner membrane); GO:0031314 (extrinsic component of mitochondrial inner membrane); GO:0008654 (phospholipid biosynthetic process); GO:0004605 (phosphatidate cytidylyltransferase activity); GO:0016024 (CDP-diacylglycerol biosynthetic process); GO:0032049 (cardiolipin biosynthetic process)</t>
  </si>
  <si>
    <t>GO:0005634 (nucleus); GO:0003729 (mRNA binding); GO:0090502 (RNA phosphodiester bond hydrolysis, endonucleolytic); GO:0004521 (endoribonuclease activity); GO:0005737 (cytoplasm); GO:0030422 (production of siRNA involved in RNA interference); GO:1990633 (mutator focus); GO:1900261 (positive regulation of RNA-directed 5'-3' RNA polymerase activity); GO:0036464 (cytoplasmic ribonucleoprotein granule)</t>
  </si>
  <si>
    <t xml:space="preserve">DNA ligase 1 </t>
  </si>
  <si>
    <t>GO:0051103 (DNA ligation involved in DNA repair); GO:0003909 (DNA ligase activity); GO:0071897 (DNA biosynthetic process); GO:0006310 (DNA recombination); GO:0006281 (DNA repair); GO:0003910 (DNA ligase (ATP) activity); GO:0005524 (ATP binding); GO:0003677 (DNA binding)</t>
  </si>
  <si>
    <t xml:space="preserve">MAD (Yeast Mitosis arrest DeFicient) related </t>
  </si>
  <si>
    <t>GO:0005737 (cytoplasm); GO:0005634 (nucleus); GO:0005515 (protein binding); GO:0007049 (cell cycle); GO:0005654 (nucleoplasm); GO:0051301 (cell division); GO:0000776 (kinetochore); GO:0009792 (embryo development ending in birth or egg hatching); GO:0007094 (mitotic spindle assembly checkpoint); GO:0051726 (regulation of cell cycle); GO:0005813 (centrosome); GO:0051233 (spindle midzone); GO:0034059 (response to anoxia); GO:0000778 (condensed nuclear chromosome kinetochore); GO:0000777 (condensed chromosome kinetochore); GO:0045120 (pronucleus)</t>
  </si>
  <si>
    <t>GO:0005814 (centriole)</t>
  </si>
  <si>
    <t>GO:0005730 (nucleolus); GO:0030686 (90S preribosome); GO:0006364 (rRNA processing); GO:0032040 (small-subunit processome); GO:0000472 (endonucleolytic cleavage to generate mature 5'-end of SSU-rRNA from (SSU-rRNA, 5.8S rRNA, LSU-rRNA)); GO:0000480 (endonucleolytic cleavage in 5'-ETS of tricistronic rRNA transcript (SSU-rRNA, 5.8S rRNA, LSU-rRNA)); GO:0034511 (U3 snoRNA binding); GO:0005515 (protein binding)</t>
  </si>
  <si>
    <t>GO:0005634 (nucleus); GO:0046872 (metal ion binding); GO:0006355 (regulation of transcription, DNA-templated); GO:0008270 (zinc ion binding); GO:0003700 (DNA-binding transcription factor activity); GO:0006357 (regulation of transcription by RNA polymerase II); GO:0043565 (sequence-specific DNA binding); GO:0003677 (DNA binding)</t>
  </si>
  <si>
    <t xml:space="preserve">PRotein arginine MethylTransferase </t>
  </si>
  <si>
    <t>GO:0008168 (methyltransferase activity); GO:0032259 (methylation); GO:0016740 (transferase activity); GO:0035241 (protein-arginine omega-N monomethyltransferase activity); GO:0035247 (peptidyl-arginine omega-N-methylation)</t>
  </si>
  <si>
    <t>GO:0043130 (ubiquitin binding); GO:0005515 (protein binding)</t>
  </si>
  <si>
    <t xml:space="preserve">RNA/RNP complex-1-interacting phosphatase homolog </t>
  </si>
  <si>
    <t>GO:0008138 (protein tyrosine/serine/threonine phosphatase activity); GO:0016311 (dephosphorylation); GO:0006470 (protein dephosphorylation); GO:0004725 (protein tyrosine phosphatase activity); GO:0016791 (phosphatase activity)</t>
  </si>
  <si>
    <t xml:space="preserve">Probable 39S ribosomal protein L32, mitochondrial </t>
  </si>
  <si>
    <t>GO:0005739 (mitochondrion); GO:0003735 (structural constituent of ribosome); GO:0005840 (ribosome); GO:0006412 (translation); GO:0005762 (mitochondrial large ribosomal subunit); GO:0015934 (large ribosomal subunit)</t>
  </si>
  <si>
    <t xml:space="preserve">Partner of xrn-2 protein 1 </t>
  </si>
  <si>
    <t xml:space="preserve">(Reactive Oxygen species MOdulator) homolog </t>
  </si>
  <si>
    <t>GO:0005737 (cytoplasm); GO:0008168 (methyltransferase activity); GO:0032259 (methylation); GO:0016740 (transferase activity); GO:0003676 (nucleic acid binding); GO:0005730 (nucleolus); GO:0031167 (rRNA methylation); GO:0008988 (rRNA (adenine-N6-)-methyltransferase activity)</t>
  </si>
  <si>
    <t>GO:0016020 (membrane); GO:0016021 (integral component of membrane); GO:0005764 (lysosome); GO:0016787 (hydrolase activity); GO:0006508 (proteolysis); GO:0008233 (peptidase activity); GO:0004197 (cysteine-type endopeptidase activity); GO:0005615 (extracellular space); GO:0008234 (cysteine-type peptidase activity); GO:0051603 (proteolysis involved in cellular protein catabolic process)</t>
  </si>
  <si>
    <t>GO:0005634 (nucleus); GO:0003700 (DNA-binding transcription factor activity); GO:0006355 (regulation of transcription, DNA-templated); GO:0042127 (regulation of cell population proliferation); GO:0000977 (RNA polymerase II transcription regulatory region sequence-specific DNA binding); GO:0000981 (DNA-binding transcription factor activity, RNA polymerase II-specific); GO:0006357 (regulation of transcription by RNA polymerase II); GO:0048856 (anatomical structure development); GO:0005737 (cytoplasm)</t>
  </si>
  <si>
    <t xml:space="preserve">GIPC (RGS-GAIP Interacting Protein C) homolog </t>
  </si>
  <si>
    <t>GO:0003677 (DNA binding); GO:0040027 (negative regulation of vulval development)</t>
  </si>
  <si>
    <t xml:space="preserve">Aurora/IPL1-related protein kinase 2 </t>
  </si>
  <si>
    <t xml:space="preserve">Trimeric intracellular cation channel type 1B.2 </t>
  </si>
  <si>
    <t xml:space="preserve">Epoxide hydrolase 2 </t>
  </si>
  <si>
    <t>FMRFamide-like neuropeptides 27 EASAFGDIIGELKGKGLGGRMRF-amide</t>
  </si>
  <si>
    <t>GO:0005737 (cytoplasm); GO:0060828 (regulation of canonical Wnt signaling pathway); GO:0019207 (kinase regulator activity); GO:0051018 (protein kinase A binding); GO:0043549 (regulation of kinase activity)</t>
  </si>
  <si>
    <t>GO:0007165 (signal transduction); GO:0035556 (intracellular signal transduction); GO:0005515 (protein binding); GO:0000070 (mitotic sister chromatid segregation); GO:0005886 (plasma membrane); GO:0005096 (GTPase activator activity); GO:0043547 (positive regulation of GTPase activity); GO:0051233 (spindle midzone); GO:0040038 (polar body extrusion after meiotic divisions); GO:0000281 (mitotic cytokinesis); GO:0051256 (mitotic spindle midzone assembly); GO:1990023 (mitotic spindle midzone); GO:1990386 (mitotic cleavage furrow ingression); GO:0097149 (centralspindlin complex)</t>
  </si>
  <si>
    <t>GO:0016020 (membrane); GO:0016021 (integral component of membrane); GO:0005743 (mitochondrial inner membrane); GO:0000095 (S-adenosyl-L-methionine transmembrane transporter activity); GO:1901962 (S-adenosyl-L-methionine transmembrane transport)</t>
  </si>
  <si>
    <t>GO:0031080 (nuclear pore outer ring); GO:0000776 (kinetochore); GO:0005643 (nuclear pore); GO:0005515 (protein binding)</t>
  </si>
  <si>
    <t xml:space="preserve">Geminin homolog </t>
  </si>
  <si>
    <t>GO:0005849 (mRNA cleavage factor complex); GO:0031124 (mRNA 3'-end processing)</t>
  </si>
  <si>
    <t xml:space="preserve">Cell division control protein </t>
  </si>
  <si>
    <t>GO:0005634 (nucleus); GO:0005524 (ATP binding); GO:0016887 (ATPase activity); GO:0051301 (cell division); GO:0003688 (DNA replication origin binding); GO:0033314 (mitotic DNA replication checkpoint); GO:0006270 (DNA replication initiation); GO:0005737 (cytoplasm); GO:0005730 (nucleolus); GO:0000794 (condensed nuclear chromosome)</t>
  </si>
  <si>
    <t xml:space="preserve">Kinetochore-binding protein 3 </t>
  </si>
  <si>
    <t>GO:0005739 (mitochondrion); GO:0051087 (chaperone binding); GO:0097428 (protein maturation by iron-sulfur cluster transfer); GO:0001671 (ATPase activator activity); GO:0032781 (positive regulation of ATPase activity); GO:0044571 ([2Fe-2S] cluster assembly); GO:0051259 (protein complex oligomerization)</t>
  </si>
  <si>
    <t xml:space="preserve">SKR-8; SKp1 Related (Ubiquitin ligase complex component) </t>
  </si>
  <si>
    <t xml:space="preserve">Gamma-tubulin interacting protein 2 </t>
  </si>
  <si>
    <t xml:space="preserve">Spindle assembly abnormal protein 5 </t>
  </si>
  <si>
    <t>GO:0005737 (cytoplasm); GO:0005856 (cytoskeleton); GO:0007275 (multicellular organism development); GO:0007049 (cell cycle); GO:0005515 (protein binding); GO:0005814 (centriole); GO:0007099 (centriole replication)</t>
  </si>
  <si>
    <t xml:space="preserve">Probable histone chaperone asf-1 </t>
  </si>
  <si>
    <t>GO:0005634 (nucleus); GO:0000723 (telomere maintenance)</t>
  </si>
  <si>
    <t xml:space="preserve">Probable phospholipase D F09G2.8 </t>
  </si>
  <si>
    <t>GO:0016020 (membrane); GO:0016021 (integral component of membrane); GO:0003824 (catalytic activity); GO:0016787 (hydrolase activity); GO:0006629 (lipid metabolic process); GO:0016042 (lipid catabolic process); GO:0004630 (phospholipase D activity); GO:0070290 (N-acylphosphatidylethanolamine-specific phospholipase D activity)</t>
  </si>
  <si>
    <t>GO:0003824 (catalytic activity); GO:0000049 (tRNA binding)</t>
  </si>
  <si>
    <t xml:space="preserve">Papilin </t>
  </si>
  <si>
    <t>GO:0004867 (serine-type endopeptidase inhibitor activity)</t>
  </si>
  <si>
    <t xml:space="preserve">Sister chromatid cohesion protein 1 </t>
  </si>
  <si>
    <t>GO:0005634 (nucleus); GO:0005737 (cytoplasm); GO:0003682 (chromatin binding); GO:0007049 (cell cycle); GO:0007062 (sister chromatid cohesion); GO:0008278 (cohesin complex); GO:0051301 (cell division); GO:0005694 (chromosome); GO:0000795 (synaptonemal complex); GO:0007064 (mitotic sister chromatid cohesion); GO:1990414 (replication-born double-strand break repair via sister chromatid exchange); GO:0007130 (synaptonemal complex assembly); GO:0051321 (meiotic cell cycle); GO:0003684 (damaged DNA binding); GO:0005515 (protein binding); GO:0034990 (nuclear mitotic cohesin complex); GO:0034991 (nuclear meiotic cohesin complex)</t>
  </si>
  <si>
    <t xml:space="preserve">Daf-16-Dependent Longevity (WT but not daf-16 lifespan increased) </t>
  </si>
  <si>
    <t>GO:0005515 (protein binding); GO:0003779 (actin binding); GO:0071203 (WASH complex); GO:0005769 (early endosome); GO:0034314 (Arp2/3 complex-mediated actin nucleation); GO:0043014 (alpha-tubulin binding); GO:0008340 (determination of adult lifespan); GO:0051220 (cytoplasmic sequestering of protein); GO:2000677 (regulation of transcription regulatory region DNA binding)</t>
  </si>
  <si>
    <t>GO:0005634 (nucleus); GO:0032039 (integrator complex); GO:0034472 (snRNA 3'-end processing)</t>
  </si>
  <si>
    <t>GO:0005887 (integral component of plasma membrane); GO:0010756 (positive regulation of plasminogen activation)</t>
  </si>
  <si>
    <t>GO:0008033 (tRNA processing); GO:0090501 (RNA phosphodiester bond hydrolysis); GO:0090502 (RNA phosphodiester bond hydrolysis, endonucleolytic); GO:0004526 (ribonuclease P activity); GO:0005655 (nucleolar ribonuclease P complex)</t>
  </si>
  <si>
    <t xml:space="preserve">Major Sperm protein Domain containing </t>
  </si>
  <si>
    <t>GO:0044297 (cell body); GO:0031143 (pseudopodium)</t>
  </si>
  <si>
    <t xml:space="preserve">SKR-13; SKp1 Related (Ubiquitin ligase complex component) </t>
  </si>
  <si>
    <t xml:space="preserve">Spindle assembly abnormal protein 6 </t>
  </si>
  <si>
    <t>GO:0005737 (cytoplasm); GO:0005856 (cytoskeleton); GO:0007275 (multicellular organism development); GO:0007049 (cell cycle); GO:0005515 (protein binding); GO:0005814 (centriole); GO:0042802 (identical protein binding); GO:0051726 (regulation of cell cycle); GO:0019904 (protein domain specific binding); GO:0008104 (protein localization); GO:0007099 (centriole replication)</t>
  </si>
  <si>
    <t>GO:0005634 (nucleus); GO:0046872 (metal ion binding); GO:0000463 (maturation of LSU-rRNA from tricistronic rRNA transcript (SSU-rRNA, 5.8S rRNA, LSU-rRNA)); GO:0000492 (box C/D snoRNP assembly); GO:0048254 (snoRNA localization); GO:0070761 (pre-snoRNP complex)</t>
  </si>
  <si>
    <t>GO:0005634 (nucleus); GO:0003700 (DNA-binding transcription factor activity); GO:0006355 (regulation of transcription, DNA-templated); GO:0000977 (RNA polymerase II transcription regulatory region sequence-specific DNA binding); GO:0006357 (regulation of transcription by RNA polymerase II); GO:0001228 (DNA-binding transcription activator activity, RNA polymerase II-specific); GO:0045944 (positive regulation of transcription by RNA polymerase II)</t>
  </si>
  <si>
    <t xml:space="preserve">2-(3-amino-3-carboxypropyl)histidine synthase subunit 1 </t>
  </si>
  <si>
    <t xml:space="preserve">Transcription factor dpl-1 </t>
  </si>
  <si>
    <t>GO:0005634 (nucleus); GO:0006355 (regulation of transcription, DNA-templated); GO:0051726 (regulation of cell cycle); GO:0003677 (DNA binding); GO:0005515 (protein binding); GO:0005667 (transcription regulator complex); GO:0000977 (RNA polymerase II transcription regulatory region sequence-specific DNA binding); GO:0000981 (DNA-binding transcription factor activity, RNA polymerase II-specific); GO:0006357 (regulation of transcription by RNA polymerase II); GO:0008406 (gonad development); GO:0008022 (protein C-terminus binding); GO:0051302 (regulation of cell division); GO:0040027 (negative regulation of vulval development); GO:0045787 (positive regulation of cell cycle); GO:0012501 (programmed cell death); GO:0008134 (transcription factor binding); GO:0046580 (negative regulation of Ras protein signal transduction); GO:0042659 (regulation of cell fate specification); GO:0003700 (DNA-binding transcription factor activity)</t>
  </si>
  <si>
    <t xml:space="preserve">RNA Polymerase, Class III (C) </t>
  </si>
  <si>
    <t>GO:0005634 (nucleus); GO:0006351 (transcription, DNA-templated); GO:0003899 (DNA-directed 5'-3' RNA polymerase activity); GO:0005666 (RNA polymerase III complex); GO:0006384 (transcription initiation from RNA polymerase III promoter)</t>
  </si>
  <si>
    <t xml:space="preserve">CKI family (Cyclin-dependent Kinase Inhibitor) </t>
  </si>
  <si>
    <t>GO:0005634 (nucleus); GO:0008406 (gonad development); GO:0051302 (regulation of cell division); GO:1902806 (regulation of cell cycle G1/S phase transition); GO:0004861 (cyclin-dependent protein serine/threonine kinase inhibitor activity); GO:0007050 (cell cycle arrest); GO:0032875 (regulation of DNA endoreduplication); GO:0045736 (negative regulation of cyclin-dependent protein serine/threonine kinase activity); GO:0006469 (negative regulation of protein kinase activity); GO:0004860 (protein kinase inhibitor activity); GO:0016301 (kinase activity); GO:0016310 (phosphorylation)</t>
  </si>
  <si>
    <t xml:space="preserve">CSB (Cockayne Syndrome B) homolog </t>
  </si>
  <si>
    <t>GO:0005634 (nucleus); GO:0005524 (ATP binding); GO:0000166 (nucleotide binding); GO:0045944 (positive regulation of transcription by RNA polymerase II); GO:0003677 (DNA binding); GO:0009411 (response to UV); GO:0043044 (ATP-dependent chromatin remodeling); GO:0008094 (DNA-dependent ATPase activity); GO:0016584 (nucleosome positioning); GO:0006283 (transcription-coupled nucleotide-excision repair); GO:0009650 (UV protection); GO:0070615 (nucleosome-dependent ATPase activity)</t>
  </si>
  <si>
    <t xml:space="preserve">CYclin H </t>
  </si>
  <si>
    <t>GO:0005634 (nucleus); GO:0006357 (regulation of transcription by RNA polymerase II); GO:0000079 (regulation of cyclin-dependent protein serine/threonine kinase activity); GO:0016538 (cyclin-dependent protein serine/threonine kinase regulator activity); GO:0070816 (phosphorylation of RNA polymerase II C-terminal domain); GO:0070985 (transcription factor TFIIK complex)</t>
  </si>
  <si>
    <t>GO:0016491 (oxidoreductase activity); GO:0005739 (mitochondrion); GO:0055114 (oxidation-reduction process)</t>
  </si>
  <si>
    <t>GO:0016020 (membrane); GO:0016021 (integral component of membrane); GO:0016491 (oxidoreductase activity); GO:0005789 (endoplasmic reticulum membrane); GO:0005506 (iron ion binding); GO:0000254 (C-4 methylsterol oxidase activity); GO:0008610 (lipid biosynthetic process); GO:0016126 (sterol biosynthetic process); GO:0055114 (oxidation-reduction process)</t>
  </si>
  <si>
    <t xml:space="preserve">Probable tRNA pseudouridine synthase tag-124 </t>
  </si>
  <si>
    <t>GO:0005634 (nucleus); GO:0005737 (cytoplasm); GO:0003723 (RNA binding); GO:0001522 (pseudouridine synthesis); GO:0009451 (RNA modification); GO:0009982 (pseudouridine synthase activity); GO:0016853 (isomerase activity); GO:0008033 (tRNA processing); GO:0031119 (tRNA pseudouridine synthesis); GO:1990481 (mRNA pseudouridine synthesis)</t>
  </si>
  <si>
    <t xml:space="preserve">Abnormal cell migration protein 18 </t>
  </si>
  <si>
    <t xml:space="preserve">tRNA (guanine(26)-N(2))-dimethyltransferase </t>
  </si>
  <si>
    <t>GO:0005634 (nucleus); GO:0003723 (RNA binding); GO:0008168 (methyltransferase activity); GO:0032259 (methylation); GO:0016740 (transferase activity); GO:0008033 (tRNA processing); GO:0000049 (tRNA binding); GO:0002940 (tRNA N2-guanine methylation); GO:0004809 (tRNA (guanine-N2-)-methyltransferase activity)</t>
  </si>
  <si>
    <t xml:space="preserve">Probable deoxycytidylate deaminase </t>
  </si>
  <si>
    <t>GO:0003824 (catalytic activity); GO:0016787 (hydrolase activity); GO:0046872 (metal ion binding); GO:0008270 (zinc ion binding); GO:0006226 (dUMP biosynthetic process); GO:0004132 (dCMP deaminase activity); GO:0006231 (dTMP biosynthetic process); GO:0009165 (nucleotide biosynthetic process)</t>
  </si>
  <si>
    <t xml:space="preserve">Uncharacterized kinase-like protein D1044.1 </t>
  </si>
  <si>
    <t>GO:0016301 (kinase activity); GO:0016310 (phosphorylation); GO:0016740 (transferase activity)</t>
  </si>
  <si>
    <t xml:space="preserve">Putative thiosulfate sulfurtransferase mpst-1 </t>
  </si>
  <si>
    <t>GO:0016740 (transferase activity); GO:0005739 (mitochondrion); GO:0019346 (transsulfuration); GO:0004792 (thiosulfate sulfurtransferase activity)</t>
  </si>
  <si>
    <t>GO:0016787 (hydrolase activity); GO:0006508 (proteolysis); GO:0008236 (serine-type peptidase activity); GO:0008239 (dipeptidyl-peptidase activity)</t>
  </si>
  <si>
    <t>GO:0005634 (nucleus); GO:0046872 (metal ion binding); GO:0016740 (transferase activity); GO:0016567 (protein ubiquitination); GO:0006281 (DNA repair); GO:0006974 (cellular response to DNA damage stimulus); GO:0005694 (chromosome)</t>
  </si>
  <si>
    <t>GO:0000978 (RNA polymerase II cis-regulatory region sequence-specific DNA binding); GO:0000981 (DNA-binding transcription factor activity, RNA polymerase II-specific); GO:0006355 (regulation of transcription, DNA-templated); GO:0006357 (regulation of transcription by RNA polymerase II)</t>
  </si>
  <si>
    <t>GO:0016020 (membrane); GO:0016021 (integral component of membrane); GO:0005886 (plasma membrane); GO:0006357 (regulation of transcription by RNA polymerase II); GO:0008643 (carbohydrate transport); GO:0003712 (transcription coregulator activity); GO:0016592 (mediator complex)</t>
  </si>
  <si>
    <t>GO:0005634 (nucleus); GO:0016740 (transferase activity); GO:0016746 (transferase activity, transferring acyl groups); GO:0005737 (cytoplasm); GO:0008080 (N-acetyltransferase activity); GO:0006474 (N-terminal protein amino acid acetylation); GO:1990189 (peptide-serine-N-acetyltransferase activity); GO:0010485 (H4 histone acetyltransferase activity); GO:0043967 (histone H4 acetylation); GO:0043968 (histone H2A acetylation); GO:0043998 (H2A histone acetyltransferase activity)</t>
  </si>
  <si>
    <t>GO:0005515 (protein binding); GO:0000777 (condensed chromosome kinetochore)</t>
  </si>
  <si>
    <t>GO:0003723 (RNA binding); GO:0008168 (methyltransferase activity); GO:0032259 (methylation); GO:0030488 (tRNA methylation); GO:0016423 (tRNA (guanine) methyltransferase activity)</t>
  </si>
  <si>
    <t xml:space="preserve">Putative acid phosphatase 1 </t>
  </si>
  <si>
    <t xml:space="preserve">Zinc metalloproteinase nas-28 </t>
  </si>
  <si>
    <t xml:space="preserve">TBC Kinase homolog </t>
  </si>
  <si>
    <t>GO:0005524 (ATP binding); GO:0004672 (protein kinase activity); GO:0006468 (protein phosphorylation); GO:0016301 (kinase activity); GO:0016310 (phosphorylation); GO:0005096 (GTPase activator activity); GO:0006886 (intracellular protein transport); GO:0090630 (activation of GTPase activity)</t>
  </si>
  <si>
    <t xml:space="preserve">Probable dolichyl pyrophosphate Man9GlcNAc2 alpha-1,3-glucosyltransferase </t>
  </si>
  <si>
    <t>GO:0016020 (membrane); GO:0016021 (integral component of membrane); GO:0016740 (transferase activity); GO:0016757 (transferase activity, transferring glycosyl groups); GO:0016758 (transferase activity, transferring hexosyl groups); GO:0005789 (endoplasmic reticulum membrane); GO:0006486 (protein glycosylation); GO:0006487 (protein N-linked glycosylation); GO:0005783 (endoplasmic reticulum); GO:0006490 (oligosaccharide-lipid intermediate biosynthetic process); GO:0006488 (dolichol-linked oligosaccharide biosynthetic process); GO:0042281 (dolichyl pyrophosphate Man9GlcNAc2 alpha-1,3-glucosyltransferase activity)</t>
  </si>
  <si>
    <t xml:space="preserve">Cell death abnormality protein 8 </t>
  </si>
  <si>
    <t xml:space="preserve">Thioredoxin reductase-like selenoprotein T homolog selt-1.2 </t>
  </si>
  <si>
    <t>GO:0005737 (cytoplasm); GO:0016491 (oxidoreductase activity); GO:0005789 (endoplasmic reticulum membrane); GO:0098869 (cellular oxidant detoxification); GO:0042995 (cell projection); GO:0030424 (axon); GO:0030425 (dendrite); GO:0043204 (perikaryon); GO:0004791 (thioredoxin-disulfide reductase activity); GO:0045454 (cell redox homeostasis)</t>
  </si>
  <si>
    <t xml:space="preserve">ENDoderm determining; GATA transcription factor END-1 </t>
  </si>
  <si>
    <t>GO:0005634 (nucleus); GO:0046872 (metal ion binding); GO:0003700 (DNA-binding transcription factor activity); GO:0006355 (regulation of transcription, DNA-templated); GO:0008270 (zinc ion binding); GO:0043565 (sequence-specific DNA binding); GO:0006357 (regulation of transcription by RNA polymerase II); GO:0001714 (endodermal cell fate specification); GO:0045944 (positive regulation of transcription by RNA polymerase II); GO:0001228 (DNA-binding transcription activator activity, RNA polymerase II-specific)</t>
  </si>
  <si>
    <t>GO:0005634 (nucleus); GO:0005737 (cytoplasm); GO:0046872 (metal ion binding); GO:0016740 (transferase activity); GO:0000209 (protein polyubiquitination); GO:0004842 (ubiquitin-protein transferase activity); GO:0006511 (ubiquitin-dependent protein catabolic process); GO:0061630 (ubiquitin protein ligase activity); GO:0016567 (protein ubiquitination); GO:0000151 (ubiquitin ligase complex); GO:0031624 (ubiquitin conjugating enzyme binding); GO:0032436 (positive regulation of proteasomal ubiquitin-dependent protein catabolic process); GO:0005515 (protein binding)</t>
  </si>
  <si>
    <t>GO:0043231 (intracellular membrane-bounded organelle); GO:0006623 (protein targeting to vacuole); GO:0006612 (protein targeting to membrane); GO:0000813 (ESCRT I complex); GO:0043162 (ubiquitin-dependent protein catabolic process via the multivesicular body sorting pathway)</t>
  </si>
  <si>
    <t>GO:0046872 (metal ion binding); GO:0016491 (oxidoreductase activity); GO:0009055 (electron transfer activity); GO:0022900 (electron transport chain); GO:0050660 (flavin adenine dinucleotide binding); GO:0005506 (iron ion binding); GO:0051536 (iron-sulfur cluster binding); GO:0051537 (2 iron, 2 sulfur cluster binding); GO:0071949 (FAD binding); GO:0055114 (oxidation-reduction process)</t>
  </si>
  <si>
    <t xml:space="preserve">3-phosphoinositide-dependent protein kinase 1 </t>
  </si>
  <si>
    <t>GO:0035556 (intracellular signal transduction); GO:0046854 (phosphatidylinositol phosphorylation); GO:0040008 (regulation of growth); GO:0005942 (phosphatidylinositol 3-kinase complex); GO:0046935 (1-phosphatidylinositol-3-kinase regulator activity); GO:0009968 (negative regulation of signal transduction); GO:0043551 (regulation of phosphatidylinositol 3-kinase activity)</t>
  </si>
  <si>
    <t xml:space="preserve">Cell cycle checkpoint protein hpr-9 </t>
  </si>
  <si>
    <t>GO:0030896 (checkpoint clamp complex); GO:0000077 (DNA damage checkpoint)</t>
  </si>
  <si>
    <t>GO:0000166 (nucleotide binding); GO:0005739 (mitochondrion); GO:0005840 (ribosome)</t>
  </si>
  <si>
    <t xml:space="preserve">Nuclear hormone receptor family member nhr-23 </t>
  </si>
  <si>
    <t xml:space="preserve">Putative peroxisomal biogenesis factor 10 </t>
  </si>
  <si>
    <t>GO:0005524 (ATP binding); GO:0000166 (nucleotide binding); GO:0004812 (aminoacyl-tRNA ligase activity); GO:0006418 (tRNA aminoacylation for protein translation); GO:0016874 (ligase activity); GO:0005739 (mitochondrion); GO:0006412 (translation); GO:0005759 (mitochondrial matrix); GO:0004830 (tryptophan-tRNA ligase activity); GO:0006436 (tryptophanyl-tRNA aminoacylation); GO:0070183 (mitochondrial tryptophanyl-tRNA aminoacylation)</t>
  </si>
  <si>
    <t>GO:0005739 (mitochondrion); GO:0034551 (mitochondrial respiratory chain complex III assembly)</t>
  </si>
  <si>
    <t>GO:0005758 (mitochondrial intermembrane space); GO:0033617 (mitochondrial cytochrome c oxidase assembly)</t>
  </si>
  <si>
    <t xml:space="preserve">Golgi SNAP receptor complex member 2 </t>
  </si>
  <si>
    <t>GO:0016020 (membrane); GO:0016021 (integral component of membrane); GO:0015031 (protein transport); GO:0016192 (vesicle-mediated transport); GO:0005789 (endoplasmic reticulum membrane); GO:0005794 (Golgi apparatus); GO:0006888 (endoplasmic reticulum to Golgi vesicle-mediated transport); GO:0000149 (SNARE binding); GO:0031201 (SNARE complex); GO:0006891 (intra-Golgi vesicle-mediated transport); GO:0005829 (cytosol); GO:0042147 (retrograde transport, endosome to Golgi); GO:0006623 (protein targeting to vacuole); GO:0005484 (SNAP receptor activity); GO:0048280 (vesicle fusion with Golgi apparatus); GO:0006896 (Golgi to vacuole transport); GO:0012507 (ER to Golgi transport vesicle membrane); GO:0031902 (late endosome membrane)</t>
  </si>
  <si>
    <t>GO:0005634 (nucleus); GO:0016853 (isomerase activity); GO:0005515 (protein binding); GO:0000413 (protein peptidyl-prolyl isomerization); GO:0003755 (peptidyl-prolyl cis-trans isomerase activity); GO:0006457 (protein folding)</t>
  </si>
  <si>
    <t xml:space="preserve">Probable G-protein coupled receptor F27E5.5 </t>
  </si>
  <si>
    <t>GO:0004222 (metalloendopeptidase activity); GO:0006508 (proteolysis)</t>
  </si>
  <si>
    <t xml:space="preserve">BTB/POZ domain-containing protein Y57A10B.3 </t>
  </si>
  <si>
    <t xml:space="preserve">Maternal embryonic leucine zipper kinase </t>
  </si>
  <si>
    <t xml:space="preserve">Cyclin-dependent kinase 2 </t>
  </si>
  <si>
    <t>GO:0004672 (protein kinase activity); GO:0006468 (protein phosphorylation); GO:0005524 (ATP binding); GO:0016301 (kinase activity); GO:0016310 (phosphorylation)</t>
  </si>
  <si>
    <t xml:space="preserve">Mitotic spindle organiZing protein (MOZART) homolog </t>
  </si>
  <si>
    <t>GO:0008274 (gamma-tubulin ring complex); GO:0033566 (gamma-tubulin complex localization)</t>
  </si>
  <si>
    <t>GO:0016020 (membrane); GO:0016021 (integral component of membrane); GO:0004930 (G protein-coupled receptor activity); GO:0007165 (signal transduction); GO:0007186 (G protein-coupled receptor signaling pathway); GO:0007218 (neuropeptide signaling pathway); GO:0008188 (neuropeptide receptor activity)</t>
  </si>
  <si>
    <t xml:space="preserve">Non-specific serine/threonine protein kinase </t>
  </si>
  <si>
    <t>GO:0005524 (ATP binding);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GO:0035556 (intracellular signal transduction)</t>
  </si>
  <si>
    <t xml:space="preserve">InCenP homolog; Incenp-like protein ICP-1 </t>
  </si>
  <si>
    <t>GO:0005634 (nucleus); GO:0005737 (cytoplasm); GO:0005856 (cytoskeleton); GO:0005515 (protein binding); GO:0000776 (kinetochore); GO:0000793 (condensed chromosome); GO:0005694 (chromosome); GO:0005819 (spindle); GO:0000278 (mitotic cell cycle); GO:0090307 (mitotic spindle assembly); GO:0098813 (nuclear chromosome segregation); GO:0032133 (chromosome passenger complex); GO:0000070 (mitotic sister chromatid segregation); GO:0007143 (female meiotic nuclear division); GO:0032147 (activation of protein kinase activity); GO:1902412 (regulation of mitotic cytokinesis); GO:0071902 (positive regulation of protein serine/threonine kinase activity); GO:0010032 (meiotic chromosome condensation); GO:0000281 (mitotic cytokinesis); GO:0030496 (midbody); GO:0045860 (positive regulation of protein kinase activity); GO:0043539 (protein serine/threonine kinase activator activity); GO:0007080 (mitotic metaphase plate congression); GO:0030295 (protein kinase activator activity); GO:0007079 (mitotic chromosome movement towards spindle pole); GO:0016572 (histone phosphorylation); GO:0051257 (meiotic spindle midzone assembly); GO:0051310 (metaphase plate congression); GO:1990385 (meiotic spindle midzone)</t>
  </si>
  <si>
    <t xml:space="preserve">Nuclear hormone receptor family member nhr-13 </t>
  </si>
  <si>
    <t>GO:0005634 (nucleus); GO:0003700 (DNA-binding transcription factor activity); GO:0006355 (regulation of transcription, DNA-templated); GO:0043565 (sequence-specific DNA binding);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GO:0030154 (cell differentiation); GO:0048337 (positive regulation of mesodermal cell fate specification); GO:0002119 (nematode larval development); GO:0009653 (anatomical structure morphogenesis); GO:0007501 (mesodermal cell fate specification)</t>
  </si>
  <si>
    <t xml:space="preserve">Major sperm protein 33 </t>
  </si>
  <si>
    <t xml:space="preserve">Probable DNA-directed RNA polymerase III subunit RPC6 </t>
  </si>
  <si>
    <t>GO:0005634 (nucleus); GO:0006383 (transcription by RNA polymerase III); GO:0003899 (DNA-directed 5'-3' RNA polymerase activity); GO:0005666 (RNA polymerase III complex)</t>
  </si>
  <si>
    <t>GO:0006508 (proteolysis); GO:0008233 (peptidase activity); GO:0005615 (extracellular space); GO:0004867 (serine-type endopeptidase inhibitor activity); GO:0010951 (negative regulation of endopeptidase activity); GO:0010466 (negative regulation of peptidase activity); GO:0030414 (peptidase inhibitor activity)</t>
  </si>
  <si>
    <t>GO:0006401 (RNA catabolic process); GO:0032299 (ribonuclease H2 complex)</t>
  </si>
  <si>
    <t xml:space="preserve">Serine/threonine-protein phosphatase PP1-gamma </t>
  </si>
  <si>
    <t xml:space="preserve">Downstream Neighbor of SoN homolog </t>
  </si>
  <si>
    <t>GO:0005634 (nucleus); GO:0007275 (multicellular organism development); GO:0033260 (nuclear DNA replication)</t>
  </si>
  <si>
    <t xml:space="preserve">T-box transcription factor tbx-9 </t>
  </si>
  <si>
    <t>GO:0005634 (nucleus); GO:0003700 (DNA-binding transcription factor activity); GO:0006355 (regulation of transcription, DNA-templated); GO:0003677 (DNA binding); GO:0007275 (multicellular organism development); GO:0000978 (RNA polymerase II cis-regulatory region sequence-specific DNA binding); GO:0000981 (DNA-binding transcription factor activity, RNA polymerase II-specific); GO:0006357 (regulation of transcription by RNA polymerase II); GO:0001708 (cell fate specification); GO:0010172 (embryonic body morphogenesis); GO:0000977 (RNA polymerase II transcription regulatory region sequence-specific DNA binding); GO:0005667 (transcription regulator complex)</t>
  </si>
  <si>
    <t>GO:0006325 (chromatin organization); GO:0005515 (protein binding)</t>
  </si>
  <si>
    <t xml:space="preserve">Peptidyl-prolyl cis-trans isomerase 10 </t>
  </si>
  <si>
    <t>GO:0003676 (nucleic acid binding); GO:0004527 (exonuclease activity); GO:0000467 (exonucleolytic trimming to generate mature 3'-end of 5.8S rRNA from tricistronic rRNA transcript (SSU-rRNA, 5.8S rRNA, LSU-rRNA)); GO:0000175 (3'-5'-exoribonuclease activity); GO:0000738 (DNA catabolic process, exonucleolytic)</t>
  </si>
  <si>
    <t xml:space="preserve">Anaphase Promoting Complex see also mat </t>
  </si>
  <si>
    <t>GO:0005680 (anaphase-promoting complex); GO:0070979 (protein K11-linked ubiquitination); GO:0007091 (metaphase/anaphase transition of mitotic cell cycle); GO:0031145 (anaphase-promoting complex-dependent catabolic process); GO:0060090 (molecular adaptor activity)</t>
  </si>
  <si>
    <t>GO:0046872 (metal ion binding); GO:0016846 (carbon-sulfur lyase activity)</t>
  </si>
  <si>
    <t>GO:0005501 (retinoid binding); GO:0034632 (retinol transmembrane transporter activity); GO:0034633 (retinol transport); GO:0006869 (lipid transport); GO:0005576 (extracellular region)</t>
  </si>
  <si>
    <t xml:space="preserve">LOW QUALITY PROTEIN: Uncharacterized protein CELE_C16A11.5 </t>
  </si>
  <si>
    <t>GO:0016020 (membrane); GO:0016021 (integral component of membrane); GO:0055085 (transmembrane transport); GO:0022857 (transmembrane transporter activity); GO:0005313 (L-glutamate transmembrane transporter activity); GO:0015183 (L-aspartate transmembrane transporter activity); GO:0015810 (aspartate transmembrane transport); GO:0015813 (L-glutamate transmembrane transport); GO:0043490 (malate-aspartate shuttle); GO:0070778 (L-aspartate transmembrane transport)</t>
  </si>
  <si>
    <t xml:space="preserve">Nuclear protein localization protein 4 homolog 1 </t>
  </si>
  <si>
    <t xml:space="preserve">Neutral Cholesterol Ester Hydrolase homolog </t>
  </si>
  <si>
    <t xml:space="preserve">Putative sodium-dependent excitatory amino acid transporter glt-3 </t>
  </si>
  <si>
    <t>GO:0016020 (membrane); GO:0016021 (integral component of membrane); GO:0005886 (plasma membrane); GO:0055085 (transmembrane transport); GO:0015267 (channel activity); GO:0015250 (water channel activity); GO:0097730 (non-motile cilium); GO:0043025 (neuronal cell body); GO:0006833 (water transport)</t>
  </si>
  <si>
    <t xml:space="preserve">Diphthine--ammonia ligase </t>
  </si>
  <si>
    <t>GO:0000166 (nucleotide binding); GO:0016874 (ligase activity); GO:0005524 (ATP binding); GO:0017183 (peptidyl-diphthamide biosynthetic process from peptidyl-histidine); GO:0017178 (diphthine-ammonia ligase activity)</t>
  </si>
  <si>
    <t>GO:0000460 (maturation of 5.8S rRNA)</t>
  </si>
  <si>
    <t xml:space="preserve">Uncharacterized calcium-binding protein B0563.7 </t>
  </si>
  <si>
    <t>GO:0005634 (nucleus); GO:0006470 (protein dephosphorylation); GO:0035335 (peptidyl-tyrosine dephosphorylation); GO:0004725 (protein tyrosine phosphatase activity); GO:0016311 (dephosphorylation); GO:0016791 (phosphatase activity); GO:0008138 (protein tyrosine/serine/threonine phosphatase activity)</t>
  </si>
  <si>
    <t xml:space="preserve">Major sperm protein 10/36/56/76 </t>
  </si>
  <si>
    <t>GO:0005634 (nucleus); GO:0003677 (DNA binding); GO:0000977 (RNA polymerase II transcription regulatory region sequence-specific DNA binding); GO:0000981 (DNA-binding transcription factor activity, RNA polymerase II-specific); GO:0006357 (regulation of transcription by RNA polymerase II); GO:0032422 (purine-rich negative regulatory element binding)</t>
  </si>
  <si>
    <t>GO:0003735 (structural constituent of ribosome); GO:0005840 (ribosome); GO:0006412 (translation); GO:0005763 (mitochondrial small ribosomal subunit); GO:0070181 (small ribosomal subunit rRNA binding)</t>
  </si>
  <si>
    <t>GO:0016740 (transferase activity); GO:0006749 (glutathione metabolic process); GO:0004364 (glutathione transferase activity); GO:0000302 (response to reactive oxygen species); GO:0005515 (protein binding)</t>
  </si>
  <si>
    <t xml:space="preserve">Skn-1 dependent zygotic transcript 1 protein </t>
  </si>
  <si>
    <t>GO:0007275 (multicellular organism development); GO:0003674 (molecular_function); GO:0005575 (cellular_component); GO:0048382 (mesendoderm development)</t>
  </si>
  <si>
    <t xml:space="preserve">Tyrosine-protein kinase receptor ver-4 </t>
  </si>
  <si>
    <t xml:space="preserve">SKR-10; SKp1 Related (Ubiquitin ligase complex component) </t>
  </si>
  <si>
    <t>GO:0005634 (nucleus); GO:0005737 (cytoplasm); GO:0006511 (ubiquitin-dependent protein catabolic process); GO:0016567 (protein ubiquitination); GO:0031146 (SCF-dependent proteasomal ubiquitin-dependent protein catabolic process); GO:0097602 (cullin family protein binding); GO:0009792 (embryo development ending in birth or egg hatching); GO:0000278 (mitotic cell cycle); GO:0040032 (post-embryonic body morphogenesis); GO:0019005 (SCF ubiquitin ligase complex); GO:0002164 (larval development)</t>
  </si>
  <si>
    <t>GO:0005524 (ATP binding); GO:0004672 (protein kinase activity); GO:0006468 (protein phosphorylation); GO:0016301 (kinase activity); GO:0016310 (phosphorylation); GO:0000165 (MAPK cascade); GO:0000187 (activation of MAPK activity); GO:0004708 (MAP kinase kinase activity)</t>
  </si>
  <si>
    <t>GO:0003824 (catalytic activity); GO:0016787 (hydrolase activity); GO:0046872 (metal ion binding); GO:0008270 (zinc ion binding); GO:0002100 (tRNA wobble adenosine to inosine editing); GO:0052717 (tRNA-specific adenosine-34 deaminase activity)</t>
  </si>
  <si>
    <t xml:space="preserve">Probable insulin-like peptide alpha-type 2 </t>
  </si>
  <si>
    <t xml:space="preserve">Sperm-specific class P protein 16 </t>
  </si>
  <si>
    <t xml:space="preserve">Probable glutathione S-transferase 8 </t>
  </si>
  <si>
    <t xml:space="preserve">BLOC (Biogenesis of Lysosome-related Organelles Complex) and Related complexes subunit homolog </t>
  </si>
  <si>
    <t>GO:0032418 (lysosome localization); GO:0099078 (BORC complex)</t>
  </si>
  <si>
    <t xml:space="preserve">Cuticle collagen 40 </t>
  </si>
  <si>
    <t xml:space="preserve">Putative glucosylceramidase 2 </t>
  </si>
  <si>
    <t xml:space="preserve">Invertebrate-type lysozyme 2 </t>
  </si>
  <si>
    <t xml:space="preserve">5C820; Protein Up-regulated in Daf-2(Gf) </t>
  </si>
  <si>
    <t xml:space="preserve">Putative T-box protein 37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</si>
  <si>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GO:0060465 (pharynx development)</t>
  </si>
  <si>
    <t xml:space="preserve">Polynucleotide 5'-hydroxyl-kinase nol-9 </t>
  </si>
  <si>
    <t xml:space="preserve">Mitochondrial import inner membrane translocase subunit Tim10B </t>
  </si>
  <si>
    <t>GO:0016020 (membrane); GO:0046872 (metal ion binding); GO:0015031 (protein transport); GO:0005739 (mitochondrion); GO:0005743 (mitochondrial inner membrane); GO:0000003 (reproduction); GO:0040039 (inductive cell migration); GO:0040014 (regulation of multicellular organism growth)</t>
  </si>
  <si>
    <t>GO:0046872 (metal ion binding); GO:0016702 (oxidoreductase activity, acting on single donors with incorporation of molecular oxygen, incorporation of two atoms of oxygen); GO:0055114 (oxidation-reduction process)</t>
  </si>
  <si>
    <t xml:space="preserve">Uncharacterized F-box protein C05B5.5 </t>
  </si>
  <si>
    <t>GO:0003677 (DNA binding); GO:0006281 (DNA repair); GO:0006974 (cellular response to DNA damage stimulus); GO:0000712 (resolution of meiotic recombination intermediates); GO:0031297 (replication fork processing); GO:0043240 (Fanconi anaemia nuclear complex); GO:0051382 (kinetochore assembly); GO:0071821 (FANCM-MHF complex)</t>
  </si>
  <si>
    <t xml:space="preserve">L-Fucosyltransferase </t>
  </si>
  <si>
    <t>GO:0016020 (membrane); GO:0016021 (integral component of membrane); GO:0016740 (transferase activity); GO:0005794 (Golgi apparatus); GO:0016757 (transferase activity, transferring glycosyl groups); GO:0005975 (carbohydrate metabolic process); GO:0006486 (protein glycosylation); GO:0032580 (Golgi cisterna membrane); GO:0036065 (fucosylation); GO:0008107 (galactoside 2-alpha-L-fucosyltransferase activity)</t>
  </si>
  <si>
    <t>GO:0016020 (membrane); GO:0016021 (integral component of membrane); GO:0051260 (protein homooligomerization)</t>
  </si>
  <si>
    <t>GO:0005634 (nucleus); GO:0007062 (sister chromatid cohesion); GO:0003677 (DNA binding); GO:0008278 (cohesin complex)</t>
  </si>
  <si>
    <t xml:space="preserve">Guanine nucleotide-binding protein alpha-4 subunit </t>
  </si>
  <si>
    <t xml:space="preserve">Nuclear encoded Mitochondrial TRNA Carboxymethyl-amino-methyl modification of Uridine residues </t>
  </si>
  <si>
    <t>GO:0005525 (GTP binding); GO:0005737 (cytoplasm); GO:0000166 (nucleotide binding); GO:0003924 (GTPase activity); GO:0005739 (mitochondrion); GO:0008033 (tRNA processing); GO:0030488 (tRNA methylation); GO:0006400 (tRNA modification); GO:0002098 (tRNA wobble uridine modification); GO:0005515 (protein binding)</t>
  </si>
  <si>
    <t xml:space="preserve">Phosphoryl Seryl-TRNA (Ser/Sec) Kinase </t>
  </si>
  <si>
    <t>GO:0016301 (kinase activity); GO:0016310 (phosphorylation); GO:0000166 (nucleotide binding); GO:0005524 (ATP binding); GO:0000049 (tRNA binding)</t>
  </si>
  <si>
    <t xml:space="preserve">Sphingosine Phosphate Lyase </t>
  </si>
  <si>
    <t>GO:0003824 (catalytic activity); GO:0016829 (lyase activity); GO:0030170 (pyridoxal phosphate binding); GO:0005783 (endoplasmic reticulum); GO:0019752 (carboxylic acid metabolic process); GO:0001667 (ameboidal-type cell migration); GO:0008117 (sphinganine-1-phosphate aldolase activity); GO:0016831 (carboxy-lyase activity); GO:0030149 (sphingolipid catabolic process); GO:0050830 (defense response to Gram-positive bacterium)</t>
  </si>
  <si>
    <t xml:space="preserve">21U-RNA biogenesis factor pid-1 </t>
  </si>
  <si>
    <t xml:space="preserve">Serpentine receptor class alpha-12 </t>
  </si>
  <si>
    <t>GO:0016020 (membrane); GO:0016021 (integral component of membrane); GO:0007606 (sensory perception of chemical stimulus); GO:0004930 (G protein-coupled receptor activity); GO:0004984 (olfactory receptor activity); GO:0050907 (detection of chemical stimulus involved in sensory perception); GO:0050911 (detection of chemical stimulus involved in sensory perception of smell); GO:0007186 (G protein-coupled receptor signaling pathway); GO:0003674 (molecular_function); GO:0005575 (cellular_component); GO:0008150 (biological_process)</t>
  </si>
  <si>
    <t xml:space="preserve">Putative cytochrome P450 CYP13A3 </t>
  </si>
  <si>
    <t>GO:0050829 (defense response to Gram-negative bacterium); GO:0005615 (extracellular space); GO:0020037 (heme binding); GO:0015232 (heme transmembrane transporter activity); GO:0015886 (heme transport)</t>
  </si>
  <si>
    <t xml:space="preserve">Probable mitochondrial tRNA-specific 2-thiouridylase 1 </t>
  </si>
  <si>
    <t>GO:0016783 (sulfurtransferase activity); GO:0008033 (tRNA processing); GO:0016740 (transferase activity)</t>
  </si>
  <si>
    <t xml:space="preserve">Nuclear hormone receptor family member nhr-127 </t>
  </si>
  <si>
    <t>GO:0003924 (GTPase activity); GO:0005525 (GTP binding); GO:0005739 (mitochondrion)</t>
  </si>
  <si>
    <t xml:space="preserve">3'-5' exoribonuclease parn-1 </t>
  </si>
  <si>
    <t>GO:0016020 (membrane); GO:0016021 (integral component of membrane); GO:0055085 (transmembrane transport); GO:0005385 (zinc ion transmembrane transporter activity); GO:0071577 (zinc ion transmembrane transport); GO:0030001 (metal ion transport); GO:0046873 (metal ion transmembrane transporter activity); GO:0006882 (cellular zinc ion homeostasis)</t>
  </si>
  <si>
    <t xml:space="preserve">Helix-loop-helix protein 4 </t>
  </si>
  <si>
    <t xml:space="preserve">Catalase </t>
  </si>
  <si>
    <t>GO:0005737 (cytoplasm); GO:0046872 (metal ion binding); GO:0005739 (mitochondrion); GO:0016491 (oxidoreductase activity); GO:0005777 (peroxisome); GO:0020037 (heme binding); GO:0098869 (cellular oxidant detoxification); GO:0004601 (peroxidase activity); GO:0006979 (response to oxidative stress); GO:0042744 (hydrogen peroxide catabolic process); GO:0004096 (catalase activity); GO:0042542 (response to hydrogen peroxide); GO:0055114 (oxidation-reduction process)</t>
  </si>
  <si>
    <t>GO:0005634 (nucleus); GO:0003677 (DNA binding); GO:0043047 (single-stranded telomeric DNA binding); GO:0000781 (chromosome, telomeric region)</t>
  </si>
  <si>
    <t>GO:0045132 (meiotic chromosome segregation); GO:0000778 (condensed nuclear chromosome kinetochore); GO:0007052 (mitotic spindle organization); GO:0031262 (Ndc80 complex); GO:0044877 (protein-containing complex binding); GO:0051315 (attachment of mitotic spindle microtubules to kinetochore); GO:0051383 (kinetochore organization)</t>
  </si>
  <si>
    <t>GO:0005634 (nucleus); GO:0006607 (NLS-bearing protein import into nucleus); GO:0008139 (nuclear localization sequence binding); GO:0005654 (nucleoplasm); GO:0061608 (nuclear import signal receptor activity); GO:0005515 (protein binding)</t>
  </si>
  <si>
    <t xml:space="preserve">Putative casein kinase I C03C10.2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</si>
  <si>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GO:0018105 (peptidyl-serine phosphorylation); GO:0000166 (nucleotide binding); GO:0016740 (transferase activity); GO:0016055 (Wnt signaling pathway); GO:0006897 (endocytosis); GO:0106310 (protein serine kinase activity); GO:0106311 (protein threonine kinase activity)</t>
  </si>
  <si>
    <t>GO:0000785 (chromatin); GO:0007140 (male meiotic nuclear division)</t>
  </si>
  <si>
    <t>GO:0003723 (RNA binding); GO:0005829 (cytosol); GO:0004386 (helicase activity); GO:0043186 (P granule); GO:0035194 (post-transcriptional gene silencing by RNA)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</si>
  <si>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GO:0035556 (intracellular signal transduction)</t>
  </si>
  <si>
    <t xml:space="preserve">Serpentine receptor class beta-15 </t>
  </si>
  <si>
    <t>GO:0005615 (extracellular space); GO:0005125 (cytokine activity); GO:0008083 (growth factor activity); GO:0010862 (positive regulation of pathway-restricted SMAD protein phosphorylation); GO:0060395 (SMAD protein signal transduction)</t>
  </si>
  <si>
    <t>GO:0008270 (zinc ion binding); GO:0006508 (proteolysis); GO:0003676 (nucleic acid binding); GO:0004190 (aspartic-type endopeptidase activity)</t>
  </si>
  <si>
    <t xml:space="preserve">Fog Two (Fog-2) Related; Fog-2-like protein </t>
  </si>
  <si>
    <t xml:space="preserve">Metal transporter cnnm-2 </t>
  </si>
  <si>
    <t xml:space="preserve">Probable insulin-like peptide alpha-type 3 </t>
  </si>
  <si>
    <t xml:space="preserve">Cholesterol 7-desaturase </t>
  </si>
  <si>
    <t>GO:0051537 (2 iron, 2 sulfur cluster binding); GO:0055114 (oxidation-reduction process)</t>
  </si>
  <si>
    <t xml:space="preserve">Zinc metalloproteinase nas-38 </t>
  </si>
  <si>
    <t xml:space="preserve">Uncharacterized RING finger protein B0416.4 </t>
  </si>
  <si>
    <t>GO:0005737 (cytoplasm); GO:0016853 (isomerase activity); GO:0000413 (protein peptidyl-prolyl isomerization); GO:0003755 (peptidyl-prolyl cis-trans isomerase activity); GO:0016018 (cyclosporin A binding); GO:0006457 (protein folding)</t>
  </si>
  <si>
    <t>GO:0020037 (heme binding); GO:0098869 (cellular oxidant detoxification); GO:0004601 (peroxidase activity); GO:0006979 (response to oxidative stress); GO:0050830 (defense response to Gram-positive bacterium); GO:0055114 (oxidation-reduction process)</t>
  </si>
  <si>
    <t xml:space="preserve">GLY-1; GLYcosylation related </t>
  </si>
  <si>
    <t>GO:0005634 (nucleus); GO:0003677 (DNA binding); GO:0046983 (protein dimerization activity); GO:0008340 (determination of adult lifespan); GO:0006357 (regulation of transcription by RNA polymerase II); GO:0000978 (RNA polymerase II cis-regulatory region sequence-specific DNA binding); GO:0000981 (DNA-binding transcription factor activity, RNA polymerase II-specific); GO:0045893 (positive regulation of transcription, DNA-templated); GO:0001085 (RNA polymerase II transcription factor binding)</t>
  </si>
  <si>
    <t>GO:0005886 (plasma membrane); GO:0005856 (cytoskeleton); GO:0005789 (endoplasmic reticulum membrane); GO:0033149 (FFAT motif binding); GO:0061817 (endoplasmic reticulum-plasma membrane tethering); GO:0090158 (endoplasmic reticulum membrane organization)</t>
  </si>
  <si>
    <t xml:space="preserve">Receptor-type guanylate cyclase gcy-8 </t>
  </si>
  <si>
    <t>GO:0003676 (nucleic acid binding); GO:0016829 (lyase activity); GO:0090305 (nucleic acid phosphodiester bond hydrolysis); GO:0090501 (RNA phosphodiester bond hydrolysis); GO:0090502 (RNA phosphodiester bond hydrolysis, endonucleolytic); GO:0004518 (nuclease activity); GO:0006388 (tRNA splicing, via endonucleolytic cleavage and ligation); GO:0000213 (tRNA-intron endonuclease activity); GO:0000379 (tRNA-type intron splice site recognition and cleavage)</t>
  </si>
  <si>
    <t>GO:0016020 (membrane); GO:0016021 (integral component of membrane); GO:0005886 (plasma membrane); GO:0022857 (transmembrane transporter activity); GO:0055085 (transmembrane transport); GO:0005515 (protein binding); GO:0016324 (apical plasma membrane); GO:0015179 (L-amino acid transmembrane transporter activity); GO:1902475 (L-alpha-amino acid transmembrane transport); GO:0006865 (amino acid transport); GO:0030165 (PDZ domain binding); GO:0015807 (L-amino acid transport)</t>
  </si>
  <si>
    <t>GO:0043231 (intracellular membrane-bounded organelle); GO:0007015 (actin filament organization); GO:0051015 (actin filament binding); GO:0005543 (phospholipid binding); GO:0006897 (endocytosis); GO:0080025 (phosphatidylinositol-3,5-bisphosphate binding); GO:0030276 (clathrin binding); GO:0032051 (clathrin light chain binding); GO:0035615 (clathrin adaptor activity); GO:0043325 (phosphatidylinositol-3,4-bisphosphate binding); GO:0048268 (clathrin coat assembly); GO:0030136 (clathrin-coated vesicle); GO:0030479 (actin cortical patch)</t>
  </si>
  <si>
    <t>GO:0005634 (nucleus); GO:0005515 (protein binding); GO:0000978 (RNA polymerase II cis-regulatory region sequence-specific DNA binding); GO:0000981 (DNA-binding transcription factor activity, RNA polymerase II-specific); GO:0006357 (regulation of transcription by RNA polymerase II)</t>
  </si>
  <si>
    <t>GO:0016020 (membrane); GO:0016021 (integral component of membrane); GO:0007275 (multicellular organism development); GO:0005112 (Notch binding); GO:0007154 (cell communication)</t>
  </si>
  <si>
    <t xml:space="preserve">Very Early Transcript </t>
  </si>
  <si>
    <t>GO:0005730 (nucleolus); GO:0030686 (90S preribosome); GO:0000472 (endonucleolytic cleavage to generate mature 5'-end of SSU-rRNA from (SSU-rRNA, 5.8S rRNA, LSU-rRNA)); GO:0000480 (endonucleolytic cleavage in 5'-ETS of tricistronic rRNA transcript (SSU-rRNA, 5.8S rRNA, LSU-rRNA)); GO:0034511 (U3 snoRNA binding); GO:0005515 (protein binding)</t>
  </si>
  <si>
    <t>GO:0005813 (centrosome); GO:0000922 (spindle pole); GO:0005874 (microtubule); GO:0032467 (positive regulation of cytokinesis)</t>
  </si>
  <si>
    <t>GO:0005634 (nucleus); GO:0005737 (cytoplasm); GO:0003723 (RNA binding); GO:0003676 (nucleic acid binding); GO:0003729 (mRNA binding); GO:0005844 (polysome)</t>
  </si>
  <si>
    <t xml:space="preserve">LOW QUALITY PROTEIN: Uncharacterized protein CELE_F40E12.2 </t>
  </si>
  <si>
    <t xml:space="preserve">SKR-9; SKp1 Related (Ubiquitin ligase complex component) </t>
  </si>
  <si>
    <t xml:space="preserve">Putative cuticle collagen 91 </t>
  </si>
  <si>
    <t>GO:0046872 (metal ion binding); GO:0045087 (innate immune response)</t>
  </si>
  <si>
    <t xml:space="preserve">Zinc metalloproteinase nas-22 </t>
  </si>
  <si>
    <t>GO:0005737 (cytoplasm); GO:0006508 (proteolysis); GO:0004198 (calcium-dependent cysteine-type endopeptidase activity); GO:0008234 (cysteine-type peptidase activity)</t>
  </si>
  <si>
    <t>GO:0016020 (membrane); GO:0043231 (intracellular membrane-bounded organelle); GO:0009055 (electron transfer activity); GO:0022900 (electron transport chain); GO:0020037 (heme binding)</t>
  </si>
  <si>
    <t>GO:0016020 (membrane); GO:0016021 (integral component of membrane); GO:0005524 (ATP binding); GO:0055085 (transmembrane transport); GO:0005886 (plasma membrane); GO:0000166 (nucleotide binding); GO:0042626 (ATPase-coupled transmembrane transporter activity); GO:0110039 (positive regulation of nematode male tail tip morphogenesis)</t>
  </si>
  <si>
    <t>GO:0016020 (membrane); GO:0016740 (transferase activity); GO:0016757 (transferase activity, transferring glycosyl groups); GO:0005975 (carbohydrate metabolic process); GO:0008107 (galactoside 2-alpha-L-fucosyltransferase activity); GO:0036065 (fucosylation); GO:0043413 (macromolecule glycosylation); GO:0016021 (integral component of membrane)</t>
  </si>
  <si>
    <t xml:space="preserve">CES-1; CEll death Specification </t>
  </si>
  <si>
    <t>GO:0005634 (nucleus); GO:0005515 (protein binding); GO:0000977 (RNA polymerase II transcription regulatory region sequence-specific DNA binding); GO:0000981 (DNA-binding transcription factor activity, RNA polymerase II-specific); GO:0006357 (regulation of transcription by RNA polymerase II); GO:0000122 (negative regulation of transcription by RNA polymerase II); GO:0043565 (sequence-specific DNA binding); GO:0043069 (negative regulation of programmed cell death)</t>
  </si>
  <si>
    <t>Warthog protein 4 Warthog protein 4 N-product Warthog protein 4 C-product</t>
  </si>
  <si>
    <t>GO:0035869 (ciliary transition zone)</t>
  </si>
  <si>
    <t xml:space="preserve">Bestrophin homolog 26 </t>
  </si>
  <si>
    <t xml:space="preserve">BTB and MATH domain-containing protein 36 </t>
  </si>
  <si>
    <t xml:space="preserve">Serpentine Receptor, class N </t>
  </si>
  <si>
    <t xml:space="preserve">Serine/threonine-protein kinase chk-2 </t>
  </si>
  <si>
    <t>GO:0007268 (chemical synaptic transmission); GO:0005245 (voltage-gated calcium channel activity); GO:0005891 (voltage-gated calcium channel complex); GO:0007528 (neuromuscular junction development); GO:0008331 (high voltage-gated calcium channel activity); GO:0070588 (calcium ion transmembrane transport); GO:1901385 (regulation of voltage-gated calcium channel activity); GO:0045202 (synapse); GO:0005515 (protein binding)</t>
  </si>
  <si>
    <t>GO:0005515 (protein binding); GO:0006914 (autophagy); GO:0007369 (gastrulation); GO:0005737 (cytoplasm)</t>
  </si>
  <si>
    <t>GO:0016020 (membrane); GO:0016021 (integral component of membrane); GO:0016787 (hydrolase activity); GO:0005886 (plasma membrane); GO:0002084 (protein depalmitoylation); GO:0008474 (palmitoyl-(protein) hydrolase activity); GO:0010008 (endosome membrane); GO:0018215 (protein phosphopantetheinylation)</t>
  </si>
  <si>
    <t xml:space="preserve">GLYcosylation related; UDP-N-acetylglucosamine:a-3-D-mannoside b-1,2-N-acetylglucosaminyltransferase I </t>
  </si>
  <si>
    <t>GO:0016020 (membrane); GO:0016021 (integral component of membrane); GO:0046872 (metal ion binding); GO:0016740 (transferase activity); GO:0016757 (transferase activity, transferring glycosyl groups); GO:0008375 (acetylglucosaminyltransferase activity); GO:0005794 (Golgi apparatus); GO:0006486 (protein glycosylation); GO:0006487 (protein N-linked glycosylation); GO:0003827 (alpha-1,3-mannosylglycoprotein 2-beta-N-acetylglucosaminyltransferase activity); GO:0048471 (perinuclear region of cytoplasm); GO:0005797 (Golgi medial cisterna); GO:0018215 (protein phosphopantetheinylation)</t>
  </si>
  <si>
    <t xml:space="preserve">Nuclear hormone receptor family member nhr-108 </t>
  </si>
  <si>
    <t xml:space="preserve">Serpentine receptor class epsilon-2 </t>
  </si>
  <si>
    <t>GO:0016020 (membrane); GO:0016021 (integral component of membrane); GO:0005886 (plasma membrane); GO:0007606 (sensory perception of chemical stimulus); GO:0004930 (G protein-coupled receptor activity); GO:0007165 (signal transduction); GO:0007186 (G protein-coupled receptor signaling pathway)</t>
  </si>
  <si>
    <t>GO:0005634 (nucleus); GO:0005737 (cytoplasm); GO:0004674 (protein serine/threonine kinase activity); GO:0018105 (peptidyl-serine phosphorylation); GO:0005515 (protein binding)</t>
  </si>
  <si>
    <t xml:space="preserve">PaTChed family </t>
  </si>
  <si>
    <t xml:space="preserve">CaDmium Responsive </t>
  </si>
  <si>
    <t>GO:0016020 (membrane); GO:0016021 (integral component of membrane); GO:0005737 (cytoplasm); GO:1990170 (stress response to cadmium ion)</t>
  </si>
  <si>
    <t xml:space="preserve">Glutathione PeroXidase </t>
  </si>
  <si>
    <t>GO:0098869 (cellular oxidant detoxification); GO:0004601 (peroxidase activity); GO:0004602 (glutathione peroxidase activity); GO:0006979 (response to oxidative stress); GO:0055114 (oxidation-reduction process)</t>
  </si>
  <si>
    <t>GO:0046983 (protein dimerization activity); GO:0000977 (RNA polymerase II transcription regulatory region sequence-specific DNA binding); GO:0000981 (DNA-binding transcription factor activity, RNA polymerase II-specific); GO:0006357 (regulation of transcription by RNA polymerase II); GO:0032502 (developmental process); GO:0005634 (nucleus)</t>
  </si>
  <si>
    <t xml:space="preserve">Putative tyrosine-protein phosphatase B0280.11 </t>
  </si>
  <si>
    <t>GO:0016787 (hydrolase activity); GO:0004725 (protein tyrosine phosphatase activity); GO:0006470 (protein dephosphorylation); GO:0035335 (peptidyl-tyrosine dephosphorylation); GO:0004721 (phosphoprotein phosphatase activity)</t>
  </si>
  <si>
    <t xml:space="preserve">DiEnoyl-CoA Reductase, mitochondria </t>
  </si>
  <si>
    <t xml:space="preserve">Tyrosine-protein phosphatase non-receptor type eak-6 </t>
  </si>
  <si>
    <t xml:space="preserve">Putative tyrosinase-like protein tyr-3 </t>
  </si>
  <si>
    <t>GO:0046872 (metal ion binding); GO:0016491 (oxidoreductase activity); GO:0004497 (monooxygenase activity)</t>
  </si>
  <si>
    <t xml:space="preserve">Nuclear hormone receptor family member nhr-218 </t>
  </si>
  <si>
    <t>GO:0003676 (nucleic acid binding); GO:0006139 (nucleobase-containing compound metabolic process); GO:0090305 (nucleic acid phosphodiester bond hydrolysis); GO:0004527 (exonuclease activity); GO:0008408 (3'-5' exonuclease activity)</t>
  </si>
  <si>
    <t>GO:0016020 (membrane); GO:0016021 (integral component of membrane); GO:0042302 (structural constituent of cuticle); GO:0045138 (nematode male tail tip morphogenesis); GO:0007423 (sensory organ development)</t>
  </si>
  <si>
    <t xml:space="preserve">Cysteine PRotease related </t>
  </si>
  <si>
    <t xml:space="preserve">Uncharacterized NTE family protein M110.7 </t>
  </si>
  <si>
    <t>GO:0016020 (membrane); GO:0016021 (integral component of membrane); GO:0016787 (hydrolase activity); GO:0005783 (endoplasmic reticulum); GO:0006629 (lipid metabolic process); GO:0016042 (lipid catabolic process); GO:0003674 (molecular_function); GO:0005575 (cellular_component); GO:0008150 (biological_process); GO:0004622 (lysophospholipase activity); GO:0046470 (phosphatidylcholine metabolic process)</t>
  </si>
  <si>
    <t>Warthog protein 8 Warthog protein 8 N-product Warthog protein 8 C-product</t>
  </si>
  <si>
    <t>GO:0016020 (membrane); GO:0005886 (plasma membrane); GO:0016787 (hydrolase activity); GO:0006508 (proteolysis); GO:0008233 (peptidase activity); GO:0005576 (extracellular region); GO:0007275 (multicellular organism development); GO:0007267 (cell-cell signaling); GO:0016539 (intein-mediated protein splicing); GO:0009986 (cell surface); GO:0005615 (extracellular space); GO:0003674 (molecular_function); GO:0016540 (protein autoprocessing); GO:0007367 (segment polarity determination)</t>
  </si>
  <si>
    <t>GO:0016020 (membrane); GO:0015031 (protein transport); GO:0005829 (cytosol); GO:0005085 (guanyl-nucleotide exchange factor activity); GO:0007264 (small GTPase mediated signal transduction); GO:0008270 (zinc ion binding); GO:0050790 (regulation of catalytic activity); GO:0006892 (post-Golgi vesicle-mediated transport)</t>
  </si>
  <si>
    <t xml:space="preserve">Nuclear hormone receptor family member nhr-169 </t>
  </si>
  <si>
    <t xml:space="preserve">Putative ammonium transporter 1 </t>
  </si>
  <si>
    <t>GO:0016020 (membrane); GO:0016021 (integral component of membrane); GO:0030246 (carbohydrate binding); GO:0010629 (negative regulation of gene expression); GO:0097374 (sensory neuron axon guidance); GO:1905489 (regulation of sensory neuron axon guidance); GO:0008045 (motor neuron axon guidance); GO:0048843 (negative regulation of axon extension involved in axon guidance); GO:1905490 (negative regulation of sensory neuron axon guidance); GO:1905812 (regulation of motor neuron axon guidance); GO:1905815 (regulation of dorsal/ventral axon guidance); GO:0033563 (dorsal/ventral axon guidance); GO:0048671 (negative regulation of collateral sprouting); GO:0097479 (synaptic vesicle localization); GO:0099054 (presynapse assembly)</t>
  </si>
  <si>
    <t xml:space="preserve">Membrane Bound O-Acyl transferase, MBOAT </t>
  </si>
  <si>
    <t xml:space="preserve">Zinc metalloproteinase nas-14 </t>
  </si>
  <si>
    <t xml:space="preserve">Zinc metalloproteinase nas-27 </t>
  </si>
  <si>
    <t xml:space="preserve">Folate-like transporter 3 </t>
  </si>
  <si>
    <t>GO:0051180 (vitamin transport); GO:0090482 (vitamin transmembrane transporter activity); GO:0016021 (integral component of membrane)</t>
  </si>
  <si>
    <t>GO:0016020 (membrane); GO:0016021 (integral component of membrane); GO:0016740 (transferase activity); GO:0005794 (Golgi apparatus); GO:0016757 (transferase activity, transferring glycosyl groups); GO:0005975 (carbohydrate metabolic process); GO:0032580 (Golgi cisterna membrane); GO:0048680 (positive regulation of axon regeneration); GO:0008107 (galactoside 2-alpha-L-fucosyltransferase activity); GO:0036065 (fucosylation); GO:0043413 (macromolecule glycosylation)</t>
  </si>
  <si>
    <t xml:space="preserve">Uncharacterized lin-8 family protein T28D9.9 </t>
  </si>
  <si>
    <t xml:space="preserve">Nuclear hormone receptor family member nhr-164 </t>
  </si>
  <si>
    <t xml:space="preserve">ATP-dependent 6-phosphofructokinase 2 </t>
  </si>
  <si>
    <t>GO:0016020 (membrane); GO:0016021 (integral component of membrane); GO:0005975 (carbohydrate metabolic process)</t>
  </si>
  <si>
    <t xml:space="preserve">Putative serine/threonine-protein phosphatase C23G10.1 </t>
  </si>
  <si>
    <t xml:space="preserve">F-box A protein 155 </t>
  </si>
  <si>
    <t xml:space="preserve">Putative serine/threonine-protein kinase ZK507.3 </t>
  </si>
  <si>
    <t>GO:0007165 (signal transduction); GO:0003796 (lysozyme activity); GO:0016998 (cell wall macromolecule catabolic process); GO:0009253 (peptidoglycan catabolic process)</t>
  </si>
  <si>
    <t xml:space="preserve">Aldose 1-epimerase </t>
  </si>
  <si>
    <t>GO:0003824 (catalytic activity); GO:0005975 (carbohydrate metabolic process); GO:0030246 (carbohydrate binding); GO:0016853 (isomerase activity); GO:0004034 (aldose 1-epimerase activity); GO:0006006 (glucose metabolic process); GO:0019318 (hexose metabolic process); GO:0033499 (galactose catabolic process via UDP-galactose)</t>
  </si>
  <si>
    <t>GO:0000398 (mRNA splicing, via spliceosome); GO:0003723 (RNA binding); GO:0005681 (spliceosomal complex); GO:0004386 (helicase activity); GO:0005515 (protein binding)</t>
  </si>
  <si>
    <t>GO:0016787 (hydrolase activity); GO:0006508 (proteolysis); GO:0008233 (peptidase activity); GO:0004177 (aminopeptidase activity)</t>
  </si>
  <si>
    <t xml:space="preserve">Serpentine receptor class beta-7 </t>
  </si>
  <si>
    <t xml:space="preserve">Ig-like and fibronectin type-III domain-containing protein 1 </t>
  </si>
  <si>
    <t>GO:0005764 (lysosome); GO:0006508 (proteolysis); GO:0004190 (aspartic-type endopeptidase activity); GO:0008219 (cell death)</t>
  </si>
  <si>
    <t xml:space="preserve">ELK transcription factor homolog </t>
  </si>
  <si>
    <t xml:space="preserve">C-type lectin domain-containing protein 161 </t>
  </si>
  <si>
    <t>GO:0001731 (formation of translation preinitiation complex); GO:0043024 (ribosomal small subunit binding); GO:0033592 (RNA strand annealing activity); GO:0034057 (RNA strand-exchange activity); GO:0097010 (eukaryotic translation initiation factor 4F complex assembly)</t>
  </si>
  <si>
    <t>GO:0035434 (copper ion transmembrane transport); GO:0005375 (copper ion transmembrane transporter activity); GO:0016021 (integral component of membrane)</t>
  </si>
  <si>
    <t>GO:0005615 (extracellular space); GO:0030198 (extracellular matrix organization); GO:0042302 (structural constituent of cuticle); GO:0005201 (extracellular matrix structural constituent); GO:0031012 (extracellular matrix)</t>
  </si>
  <si>
    <t xml:space="preserve">Serpentine receptor class alpha-4 </t>
  </si>
  <si>
    <t xml:space="preserve">CaLPain Related </t>
  </si>
  <si>
    <t xml:space="preserve">Ras-related protein rac-2 </t>
  </si>
  <si>
    <t>GO:0008528 (G protein-coupled peptide receptor activity); GO:0016021 (integral component of membrane)</t>
  </si>
  <si>
    <t xml:space="preserve">Serpentine receptor class alpha-24 </t>
  </si>
  <si>
    <t>GO:0016020 (membrane); GO:0016021 (integral component of membrane); GO:0004888 (transmembrane signaling receptor activity); GO:0007606 (sensory perception of chemical stimulus); GO:0097730 (non-motile cilium); GO:0040024 (dauer larval development)</t>
  </si>
  <si>
    <t>GO:0016757 (transferase activity, transferring glycosyl groups); GO:0016020 (membrane)</t>
  </si>
  <si>
    <t>GO:0016020 (membrane); GO:0016021 (integral component of membrane); GO:0035869 (ciliary transition zone); GO:1905515 (non-motile cilium assembly)</t>
  </si>
  <si>
    <t xml:space="preserve">Spermatocyte protein spe-27 </t>
  </si>
  <si>
    <t>GO:0007275 (multicellular organism development); GO:0030154 (cell differentiation); GO:0007283 (spermatogenesis); GO:0007286 (spermatid development)</t>
  </si>
  <si>
    <t xml:space="preserve">Putative T-box protein 35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</si>
  <si>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GO:0060465 (pharynx development); GO:0045944 (positive regulation of transcription by RNA polymerase II); GO:0043565 (sequence-specific DNA binding); GO:0043282 (pharyngeal muscle development); GO:0007501 (mesodermal cell fate specification); GO:0042694 (muscle cell fate specification)</t>
  </si>
  <si>
    <t xml:space="preserve">UPF0375 protein C08F11.12 </t>
  </si>
  <si>
    <t>GO:0042302 (structural constituent of cuticle); GO:0042329 (structural constituent of collagen and cuticulin-based cuticle); GO:0060102 (collagen and cuticulin-based cuticle extracellular matrix)</t>
  </si>
  <si>
    <t xml:space="preserve">Putative T-box protein 32 </t>
  </si>
  <si>
    <t>GO:0005634 (nucleus); GO:0003700 (DNA-binding transcription factor activity); GO:0006355 (regulation of transcription, DNA-templated); GO:0003677 (DNA binding); GO:0000978 (RNA polymerase II cis-regulatory region sequence-specific DNA binding); GO:0000981 (DNA-binding transcription factor activity, RNA polymerase II-specific); GO:0006357 (regulation of transcription by RNA polymerase II); GO:0001708 (cell fate specification); GO:0001707 (mesoderm formation); GO:0003007 (heart morphogenesis)</t>
  </si>
  <si>
    <t>GO:0005634 (nucleus); GO:0005737 (cytoplasm); GO:0003677 (DNA binding); GO:0000166 (nucleotide binding); GO:0016874 (ligase activity); GO:0005739 (mitochondrion); GO:0005524 (ATP binding); GO:0006260 (DNA replication); GO:0006281 (DNA repair); GO:0006273 (lagging strand elongation); GO:0003910 (DNA ligase (ATP) activity); GO:0006310 (DNA recombination); GO:1903461 (Okazaki fragment processing involved in mitotic DNA replication); GO:0006266 (DNA ligation)</t>
  </si>
  <si>
    <t xml:space="preserve">Nuclear hormone receptor family member nhr-111 </t>
  </si>
  <si>
    <t xml:space="preserve">Sperm-specific class P protein 9/11 </t>
  </si>
  <si>
    <t xml:space="preserve">Serpentine receptor class X-43 </t>
  </si>
  <si>
    <t>GO:0016020 (membrane); GO:0016021 (integral component of membrane); GO:0005886 (plasma membrane); GO:0004930 (G protein-coupled receptor activity); GO:0007165 (signal transduction); GO:0007186 (G protein-coupled receptor signaling pathway); GO:0005929 (cilium); GO:0042995 (cell projection); GO:0043204 (perikaryon); GO:0019722 (calcium-mediated signaling); GO:0097730 (non-motile cilium); GO:0035641 (locomotory exploration behavior); GO:0016503 (pheromone receptor activity); GO:0071444 (cellular response to pheromone)</t>
  </si>
  <si>
    <t xml:space="preserve">Putative T-box protein 40 </t>
  </si>
  <si>
    <t xml:space="preserve">Serpentine receptor class delta-45 </t>
  </si>
  <si>
    <t xml:space="preserve">BAS-Like </t>
  </si>
  <si>
    <t>GO:0005737 (cytoplasm); GO:0003824 (catalytic activity); GO:0016829 (lyase activity); GO:0030170 (pyridoxal phosphate binding); GO:0019752 (carboxylic acid metabolic process); GO:0016831 (carboxy-lyase activity); GO:0006520 (cellular amino acid metabolic process); GO:0004058 (aromatic-L-amino-acid decarboxylase activity); GO:0006584 (catecholamine metabolic process); GO:0042427 (serotonin biosynthetic process)</t>
  </si>
  <si>
    <t xml:space="preserve">Putative G-protein coupled receptor B0244.7 </t>
  </si>
  <si>
    <t xml:space="preserve">Putative cytochrome P450 CYP13A8 </t>
  </si>
  <si>
    <t xml:space="preserve">Nuclear hormone receptor family member nhr-52 </t>
  </si>
  <si>
    <t xml:space="preserve">GMEB (Glucocorticoid Modulatory Element Binding protein) transcriptional regulator homolog </t>
  </si>
  <si>
    <t>GO:0003677 (DNA binding); GO:0046872 (metal ion binding); GO:0005737 (cytoplasm); GO:0005515 (protein binding); GO:0000978 (RNA polymerase II cis-regulatory region sequence-specific DNA binding); GO:0001228 (DNA-binding transcription activator activity, RNA polymerase II-specific); GO:0045944 (positive regulation of transcription by RNA polymerase II)</t>
  </si>
  <si>
    <t xml:space="preserve">MiRP K channel accessory Subunit; MiRP5 </t>
  </si>
  <si>
    <t>GO:0016020 (membrane); GO:0016021 (integral component of membrane); GO:0005515 (protein binding); GO:0015459 (potassium channel regulator activity); GO:0043266 (regulation of potassium ion transport); GO:0050920 (regulation of chemotaxis)</t>
  </si>
  <si>
    <t xml:space="preserve">Putative serine/threonine-protein kinase R03D7.5 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</si>
  <si>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GO:0005829 (cytosol); GO:0007165 (signal transduction); GO:0090090 (negative regulation of canonical Wnt signaling pathway); GO:0030424 (axon); GO:0106310 (protein serine kinase activity); GO:0106311 (protein threonine kinase activity)</t>
  </si>
  <si>
    <t>GO:0019005 (SCF ubiquitin ligase complex); GO:0031146 (SCF-dependent proteasomal ubiquitin-dependent protein catabolic process)</t>
  </si>
  <si>
    <t xml:space="preserve">Histone H2B 1 </t>
  </si>
  <si>
    <t xml:space="preserve">C-type lectin domain-containing protein 158 </t>
  </si>
  <si>
    <t>GO:0016020 (membrane); GO:0016021 (integral component of membrane); GO:0030030 (cell projection organization); GO:1905515 (non-motile cilium assembly); GO:0036038 (MKS complex); GO:1904491 (protein localization to ciliary transition zone); GO:0035869 (ciliary transition zone); GO:0016358 (dendrite development)</t>
  </si>
  <si>
    <t xml:space="preserve">Sperm-specific class P protein 31 </t>
  </si>
  <si>
    <t xml:space="preserve">Fungus-induced protein 3 </t>
  </si>
  <si>
    <t xml:space="preserve">Serpentine receptor class beta-8/9 </t>
  </si>
  <si>
    <t>GO:0016020 (membrane); GO:0033692 (cellular polysaccharide biosynthetic process)</t>
  </si>
  <si>
    <t>GO:0050830 (defense response to Gram-positive bacterium); GO:0045087 (innate immune response)</t>
  </si>
  <si>
    <t>GO:0005886 (plasma membrane); GO:0045944 (positive regulation of transcription by RNA polymerase II); GO:0016567 (protein ubiquitination); GO:0006281 (DNA repair); GO:0004842 (ubiquitin-protein transferase activity); GO:0000724 (double-strand break repair via homologous recombination); GO:0006974 (cellular response to DNA damage stimulus); GO:0031436 (BRCA1-BARD1 complex); GO:0035066 (positive regulation of histone acetylation); GO:0035067 (negative regulation of histone acetylation); GO:0045717 (negative regulation of fatty acid biosynthetic process); GO:0070531 (BRCA1-A complex); GO:0071158 (positive regulation of cell cycle arrest)</t>
  </si>
  <si>
    <t>GO:0005524 (ATP binding); GO:0016787 (hydrolase activity); GO:0004672 (protein kinase activity); GO:0006468 (protein phosphorylation); GO:0000166 (nucleotide binding); GO:0006511 (ubiquitin-dependent protein catabolic process); GO:0006508 (proteolysis); GO:0008233 (peptidase activity); GO:0016579 (protein deubiquitination); GO:0008234 (cysteine-type peptidase activity); GO:0004843 (thiol-dependent ubiquitin-specific protease activity)</t>
  </si>
  <si>
    <t xml:space="preserve">Cysteine synthase </t>
  </si>
  <si>
    <t>GO:0005737 (cytoplasm); GO:0016740 (transferase activity); GO:0030170 (pyridoxal phosphate binding); GO:0004124 (cysteine synthase activity); GO:0006535 (cysteine biosynthetic process from serine); GO:0008652 (cellular amino acid biosynthetic process); GO:0019344 (cysteine biosynthetic process)</t>
  </si>
  <si>
    <t>GO:0016020 (membrane); GO:0016021 (integral component of membrane); GO:0004888 (transmembrane signaling receptor activity); GO:0007606 (sensory perception of chemical stimulus); GO:0040024 (dauer larval development)</t>
  </si>
  <si>
    <t>GO:0043065 (positive regulation of apoptotic process); GO:0042771 (intrinsic apoptotic signaling pathway in response to DNA damage by p53 class mediator); GO:0051400 (BH domain binding)</t>
  </si>
  <si>
    <t>GO:0005634 (nucleus); GO:0005737 (cytoplasm); GO:0035556 (intracellular signal transduction); GO:0000278 (mitotic cell cycle); GO:0072354 (histone kinase activity (H3-T3 specific)); GO:0072355 (histone H3-T3 phosphorylation)</t>
  </si>
  <si>
    <t xml:space="preserve">Serpentine receptor class gamma-17 </t>
  </si>
  <si>
    <t xml:space="preserve">Serpentine receptor class T-55 </t>
  </si>
  <si>
    <t xml:space="preserve">Zinc metalloproteinase nas-19 </t>
  </si>
  <si>
    <t xml:space="preserve">Putative T-box protein 31 </t>
  </si>
  <si>
    <t xml:space="preserve">Serpentine receptor class gamma-53 </t>
  </si>
  <si>
    <t>GO:0005524 (ATP binding); GO:0004672 (protein kinase activity); GO:0006468 (protein phosphorylation); GO:0016301 (kinase activity); GO:0016310 (phosphorylation); GO:0000166 (nucleotide binding); GO:0004674 (protein serine/threonine kinase activity); GO:0005829 (cytosol); GO:0004694 (eukaryotic translation initiation factor 2alpha kinase activity); GO:0010998 (regulation of translational initiation by eIF2 alpha phosphorylation)</t>
  </si>
  <si>
    <t>GO:0046872 (metal ion binding); GO:0045944 (positive regulation of transcription by RNA polymerase II); GO:0004402 (histone acetyltransferase activity); GO:0000123 (histone acetyltransferase complex); GO:0031490 (chromatin DNA binding); GO:0005667 (transcription regulator complex); GO:0003713 (transcription coactivator activity); GO:0016573 (histone acetylation); GO:0001085 (RNA polymerase II transcription factor binding)</t>
  </si>
  <si>
    <t>GO:0005634 (nucleus); GO:0046872 (metal ion binding); GO:0000122 (negative regulation of transcription by RNA polymerase II); GO:0006355 (regulation of transcription, DNA-templated); GO:0003714 (transcription corepressor activity); GO:0045892 (negative regulation of transcription, DNA-templated); GO:0070822 (Sin3-type complex); GO:0003712 (transcription coregulator activity)</t>
  </si>
  <si>
    <t>GO:0016020 (membrane); GO:0016021 (integral component of membrane); GO:0005634 (nucleus); GO:0005737 (cytoplasm); GO:0046872 (metal ion binding); GO:0016740 (transferase activity); GO:0000209 (protein polyubiquitination); GO:0006511 (ubiquitin-dependent protein catabolic process); GO:0061630 (ubiquitin protein ligase activity); GO:0000151 (ubiquitin ligase complex); GO:0031624 (ubiquitin conjugating enzyme binding); GO:0032436 (positive regulation of proteasomal ubiquitin-dependent protein catabolic process)</t>
  </si>
  <si>
    <t xml:space="preserve">ParaQuat (Methylviologen) responsive </t>
  </si>
  <si>
    <t xml:space="preserve">Sperm-specific class P protein 32 </t>
  </si>
  <si>
    <t>GO:0016020 (membrane); GO:0016021 (integral component of membrane); GO:0046872 (metal ion binding); GO:0016491 (oxidoreductase activity)</t>
  </si>
  <si>
    <t>GO:0016787 (hydrolase activity); GO:0046872 (metal ion binding); GO:0008270 (zinc ion binding); GO:0004222 (metalloendopeptidase activity); GO:0006508 (proteolysis); GO:0008233 (peptidase activity); GO:0008237 (metallopeptidase activity); GO:0031012 (extracellular matrix)</t>
  </si>
  <si>
    <t>GO:0005737 (cytoplasm); GO:0016311 (dephosphorylation); GO:0016791 (phosphatase activity); GO:0016787 (hydrolase activity)</t>
  </si>
  <si>
    <t xml:space="preserve">NADH dehydrogenase [ubiquinone] 1 beta subcomplex subunit 7 </t>
  </si>
  <si>
    <t>GO:0016020 (membrane); GO:0022900 (electron transport chain); GO:0005739 (mitochondrion); GO:0005743 (mitochondrial inner membrane); GO:0005747 (mitochondrial respiratory chain complex I); GO:0008137 (NADH dehydrogenase (ubiquinone) activity); GO:0070469 (respirasome); GO:0005758 (mitochondrial intermembrane space); GO:0003954 (NADH dehydrogenase activity)</t>
  </si>
  <si>
    <t>GO:0016020 (membrane); GO:0016021 (integral component of membrane); GO:0005737 (cytoplasm); GO:0016757 (transferase activity, transferring glycosyl groups)</t>
  </si>
  <si>
    <t xml:space="preserve">Zinc metalloproteinase nas-36 </t>
  </si>
  <si>
    <t>GO:0046872 (metal ion binding); GO:0000978 (RNA polymerase II cis-regulatory region sequence-specific DNA binding); GO:0003700 (DNA-binding transcription factor activity); GO:0006357 (regulation of transcription by RNA polymerase II)</t>
  </si>
  <si>
    <t xml:space="preserve">Serine palmitoyltransferase 2 </t>
  </si>
  <si>
    <t xml:space="preserve">E3 ubiquitin-protein ligase hecd-1 </t>
  </si>
  <si>
    <t>GO:0016567 (protein ubiquitination); GO:0004842 (ubiquitin-protein transferase activity); GO:0046872 (metal ion binding); GO:0005515 (protein binding); GO:0016740 (transferase activity); GO:0031581 (hemidesmosome assembly)</t>
  </si>
  <si>
    <t xml:space="preserve">Serine/threonine-protein kinase pink-1, mitochondrial </t>
  </si>
  <si>
    <t>GO:0000422 (autophagy of mitochondrion); GO:0004672 (protein kinase activity); GO:0004674 (protein serine/threonine kinase activity); GO:0006468 (protein phosphorylation); GO:0005524 (ATP binding)</t>
  </si>
  <si>
    <t xml:space="preserve">Probable cardiolipin synthase (CMP-forming) </t>
  </si>
  <si>
    <t>GO:0008654 (phospholipid biosynthetic process); GO:0016780 (phosphotransferase activity, for other substituted phosphate groups); GO:0016020 (membrane); GO:0008444 (CDP-diacylglycerol-glycerol-3-phosphate 3-phosphatidyltransferase activity); GO:0016021 (integral component of membrane)</t>
  </si>
  <si>
    <t xml:space="preserve">Calpain-5 </t>
  </si>
  <si>
    <t>GO:0004198 (calcium-dependent cysteine-type endopeptidase activity); GO:0006508 (proteolysis)</t>
  </si>
  <si>
    <t>GO:0005524 (ATP binding); GO:0005737 (cytoplasm); GO:0004672 (protein kinase activity); GO:0004674 (protein serine/threonine kinase activity); GO:0006468 (protein phosphorylation); GO:0016301 (kinase activity); GO:0016310 (phosphorylation); GO:0005794 (Golgi apparatus)</t>
  </si>
  <si>
    <t xml:space="preserve">Nuclear Hormone Receptor family; Nuclear receptor NHR-126 </t>
  </si>
  <si>
    <t>GO:0008420 (RNA polymerase II CTD heptapeptide repeat phosphatase activity); GO:0070940 (dephosphorylation of RNA polymerase II C-terminal domain)</t>
  </si>
  <si>
    <t xml:space="preserve">Beta-1,4-galactosyltransferase galt-1 </t>
  </si>
  <si>
    <t>GO:0005634 (nucleus); GO:0007163 (establishment or maintenance of cell polarity); GO:0005515 (protein binding); GO:0005080 (protein kinase C binding); GO:0005938 (cell cortex); GO:0005575 (cellular_component); GO:0008150 (biological_process); GO:0016324 (apical plasma membrane); GO:0007098 (centrosome cycle); GO:0060341 (regulation of cellular localization)</t>
  </si>
  <si>
    <t xml:space="preserve">Zinc finger protein mnm-2 </t>
  </si>
  <si>
    <t xml:space="preserve">Nicastrin </t>
  </si>
  <si>
    <t>GO:0016020 (membrane); GO:0016021 (integral component of membrane); GO:0016485 (protein processing); GO:0048598 (embryonic morphogenesis); GO:0005886 (plasma membrane); GO:0018991 (oviposition); GO:0007219 (Notch signaling pathway); GO:0060465 (pharynx development); GO:0060581 (cell fate commitment involved in pattern specification)</t>
  </si>
  <si>
    <t xml:space="preserve">Uridine and thymidine phosphorylase </t>
  </si>
  <si>
    <t>GO:0003824 (catalytic activity); GO:0016740 (transferase activity); GO:0005737 (cytoplasm); GO:0016757 (transferase activity, transferring glycosyl groups); GO:0006221 (pyrimidine nucleotide biosynthetic process); GO:0009116 (nucleoside metabolic process); GO:0044206 (UMP salvage); GO:0004850 (uridine phosphorylase activity); GO:0009166 (nucleotide catabolic process); GO:0016154 (pyrimidine-nucleoside phosphorylase activity); GO:0006212 (uracil catabolic process); GO:0009032 (thymidine phosphorylase activity); GO:0006218 (uridine catabolic process); GO:0019860 (uracil metabolic process); GO:0046104 (thymidine metabolic process); GO:0046108 (uridine metabolic process); GO:0047847 (deoxyuridine phosphorylase activity)</t>
  </si>
  <si>
    <t>GO:0005730 (nucleolus); GO:0005634 (nucleus); GO:0006357 (regulation of transcription by RNA polymerase II)</t>
  </si>
  <si>
    <t xml:space="preserve">Protein transport protein sec16 </t>
  </si>
  <si>
    <t>GO:0016020 (membrane); GO:0000139 (Golgi membrane); GO:0005794 (Golgi apparatus); GO:0015031 (protein transport); GO:0016192 (vesicle-mediated transport); GO:0007030 (Golgi organization); GO:0005783 (endoplasmic reticulum); GO:0070973 (protein localization to endoplasmic reticulum exit site); GO:0006914 (autophagy); GO:0007029 (endoplasmic reticulum organization); GO:0070971 (endoplasmic reticulum exit site); GO:0012507 (ER to Golgi transport vesicle membrane); GO:0048208 (COPII vesicle coating); GO:0070863 (positive regulation of protein exit from endoplasmic reticulum)</t>
  </si>
  <si>
    <t xml:space="preserve">32 kDa beta-galactoside-binding lectin </t>
  </si>
  <si>
    <t>GO:0030246 (carbohydrate binding); GO:0005515 (protein binding); GO:0060102 (collagen and cuticulin-based cuticle extracellular matrix); GO:0016936 (galactoside binding)</t>
  </si>
  <si>
    <t xml:space="preserve">2-oxoisovalerate dehydrogenase subunit alpha, mitochondrial </t>
  </si>
  <si>
    <t>GO:0009083 (branched-chain amino acid catabolic process); GO:0003863 (3-methyl-2-oxobutanoate dehydrogenase (2-methylpropanoyl-transferring) activity); GO:0003826 (alpha-ketoacid dehydrogenase activity); GO:0016624 (oxidoreductase activity, acting on the aldehyde or oxo group of donors, disulfide as acceptor); GO:0016491 (oxidoreductase activity)</t>
  </si>
  <si>
    <t>GO:0016020 (membrane); GO:0016021 (integral component of membrane); GO:0005615 (extracellular space); GO:0030198 (extracellular matrix organization); GO:0042302 (structural constituent of cuticle); GO:0005201 (extracellular matrix structural constituent); GO:0031012 (extracellular matrix); GO:0045087 (innate immune response); GO:0050829 (defense response to Gram-negative bacterium)</t>
  </si>
  <si>
    <t xml:space="preserve">Piezo-type mechanosensitive ion channel component </t>
  </si>
  <si>
    <t>GO:0008381 (mechanosensitive ion channel activity); GO:0016021 (integral component of membrane); GO:0016020 (membrane); GO:0005886 (plasma membrane); GO:0006811 (ion transport); GO:0005261 (cation channel activity); GO:0042391 (regulation of membrane potential); GO:0050982 (detection of mechanical stimulus); GO:0071260 (cellular response to mechanical stimulus); GO:0090727 (positive regulation of brood size); GO:0060279 (positive regulation of ovulation); GO:0009612 (response to mechanical stimulus); GO:0098655 (cation transmembrane transport); GO:0030317 (flagellated sperm motility)</t>
  </si>
  <si>
    <t xml:space="preserve">Cullin-1 </t>
  </si>
  <si>
    <t>GO:0008340 (determination of adult lifespan); GO:0005515 (protein binding)</t>
  </si>
  <si>
    <t xml:space="preserve">Folate transporter 1 </t>
  </si>
  <si>
    <t>GO:0005737 (cytoplasm); GO:0030170 (pyridoxal phosphate binding); GO:0019346 (transsulfuration); GO:0070814 (hydrogen sulfide biosynthetic process)</t>
  </si>
  <si>
    <t>GO:0016020 (membrane); GO:0016021 (integral component of membrane); GO:0047408 (alkenylglycerophosphocholine hydrolase activity); GO:0047409 (alkenylglycerophosphoethanolamine hydrolase activity); GO:0005783 (endoplasmic reticulum)</t>
  </si>
  <si>
    <t xml:space="preserve">LIN-1 </t>
  </si>
  <si>
    <t>GO:0005634 (nucleus); GO:0003700 (DNA-binding transcription factor activity); GO:0006355 (regulation of transcription, DNA-templated); GO:0043565 (sequence-specific DNA binding); GO:0003677 (DNA binding); GO:0005515 (protein binding); GO:0000981 (DNA-binding transcription factor activity, RNA polymerase II-specific); GO:0006357 (regulation of transcription by RNA polymerase II); GO:0030154 (cell differentiation); GO:0000977 (RNA polymerase II transcription regulatory region sequence-specific DNA binding); GO:0000122 (negative regulation of transcription by RNA polymerase II); GO:0018991 (oviposition); GO:0000003 (reproduction); GO:0040025 (vulval development); GO:0009791 (post-embryonic development); GO:0090571 (RNA polymerase II transcription repressor complex); GO:0042659 (regulation of cell fate specification)</t>
  </si>
  <si>
    <t>GO:0005634 (nucleus); GO:0003676 (nucleic acid binding); GO:0005737 (cytoplasm); GO:0005654 (nucleoplasm); GO:0005849 (mRNA cleavage factor complex)</t>
  </si>
  <si>
    <t xml:space="preserve">Tropomodulin </t>
  </si>
  <si>
    <t>GO:0005737 (cytoplasm); GO:0005856 (cytoskeleton); GO:0007015 (actin filament organization); GO:0003779 (actin binding); GO:0005523 (tropomyosin binding); GO:0030016 (myofibril); GO:0030239 (myofibril assembly); GO:0051694 (pointed-end actin filament capping); GO:0009792 (embryo development ending in birth or egg hatching); GO:0002119 (nematode larval development); GO:0040011 (locomotion); GO:0051015 (actin filament binding); GO:0005865 (striated muscle thin filament); GO:0045214 (sarcomere organization); GO:0030835 (negative regulation of actin filament depolymerization); GO:0071689 (muscle thin filament assembly); GO:1990357 (terminal web)</t>
  </si>
  <si>
    <t xml:space="preserve">Cell death abnormality protein 1 </t>
  </si>
  <si>
    <t xml:space="preserve">Peroxisomal coenzyme A diphosphatase ndx-8 </t>
  </si>
  <si>
    <t>GO:0005576 (extracellular region); GO:0005615 (extracellular space); GO:0007165 (signal transduction); GO:0009887 (animal organ morphogenesis); GO:0036122 (BMP binding); GO:0048018 (receptor ligand activity); GO:0038098 (sequestering of BMP from receptor via BMP binding)</t>
  </si>
  <si>
    <t>GO:0016020 (membrane); GO:0016021 (integral component of membrane); GO:0005794 (Golgi apparatus); GO:0006665 (sphingolipid metabolic process); GO:0005783 (endoplasmic reticulum); GO:0005789 (endoplasmic reticulum membrane); GO:0016125 (sterol metabolic process); GO:0032366 (intracellular sterol transport); GO:0032541 (cortical endoplasmic reticulum); GO:0097036 (regulation of plasma membrane sterol distribution)</t>
  </si>
  <si>
    <t>GO:0005634 (nucleus); GO:0000166 (nucleotide binding); GO:0016740 (transferase activity); GO:0000209 (protein polyubiquitination); GO:0006511 (ubiquitin-dependent protein catabolic process); GO:0005524 (ATP binding); GO:0061631 (ubiquitin conjugating enzyme activity)</t>
  </si>
  <si>
    <t>GO:0005737 (cytoplasm); GO:0005515 (protein binding); GO:0030030 (cell projection organization); GO:0060271 (cilium assembly); GO:0036038 (MKS complex); GO:1904491 (protein localization to ciliary transition zone); GO:1905515 (non-motile cilium assembly); GO:0035869 (ciliary transition zone); GO:0008104 (protein localization); GO:0008340 (determination of adult lifespan); GO:0035177 (larval foraging behavior)</t>
  </si>
  <si>
    <t>GO:0016491 (oxidoreductase activity); GO:0003995 (acyl-CoA dehydrogenase activity); GO:0016627 (oxidoreductase activity, acting on the CH-CH group of donors); GO:0050660 (flavin adenine dinucleotide binding); GO:0006629 (lipid metabolic process); GO:0055114 (oxidation-reduction process)</t>
  </si>
  <si>
    <t xml:space="preserve">Putative DNA topoisomerase 2, mitochondrial </t>
  </si>
  <si>
    <t>GO:0005634 (nucleus); GO:0005524 (ATP binding); GO:0003677 (DNA binding); GO:0046872 (metal ion binding); GO:0000166 (nucleotide binding); GO:0006259 (DNA metabolic process); GO:0005739 (mitochondrion); GO:0016853 (isomerase activity); GO:0000712 (resolution of meiotic recombination intermediates); GO:0000819 (sister chromatid segregation); GO:0003918 (DNA topoisomerase type II (double strand cut, ATP-hydrolyzing) activity); GO:0006265 (DNA topological change); GO:0003916 (DNA topoisomerase activity)</t>
  </si>
  <si>
    <t>GO:0003677 (DNA binding); GO:0046872 (metal ion binding); GO:0005737 (cytoplasm); GO:0000978 (RNA polymerase II cis-regulatory region sequence-specific DNA binding); GO:0001228 (DNA-binding transcription activator activity, RNA polymerase II-specific); GO:0045944 (positive regulation of transcription by RNA polymerase II)</t>
  </si>
  <si>
    <t>GO:0008168 (methyltransferase activity); GO:0032259 (methylation); GO:0016740 (transferase activity); GO:0003723 (RNA binding); GO:0005739 (mitochondrion); GO:0006364 (rRNA processing); GO:0005762 (mitochondrial large ribosomal subunit); GO:0030488 (tRNA methylation); GO:0008033 (tRNA processing); GO:0001510 (RNA methylation); GO:0031167 (rRNA methylation); GO:0009383 (rRNA (cytosine-C5-)-methyltransferase activity); GO:0016428 (tRNA (cytosine-5-)-methyltransferase activity)</t>
  </si>
  <si>
    <t xml:space="preserve">N-acetyltransferase 9-like protein </t>
  </si>
  <si>
    <t>GO:0016740 (transferase activity); GO:0016746 (transferase activity, transferring acyl groups); GO:0016747 (transferase activity, transferring acyl groups other than amino-acyl groups); GO:0006473 (protein acetylation); GO:0008080 (N-acetyltransferase activity)</t>
  </si>
  <si>
    <t>GO:0016020 (membrane); GO:0016021 (integral component of membrane); GO:0005739 (mitochondrion); GO:0005741 (mitochondrial outer membrane); GO:0009792 (embryo development ending in birth or egg hatching); GO:0040025 (vulval development); GO:0000226 (microtubule cytoskeleton organization); GO:0007129 (homologous chromosome pairing at meiosis); GO:0090220 (chromosome localization to nuclear envelope involved in homologous chromosome segregation)</t>
  </si>
  <si>
    <t xml:space="preserve">Folate-like transporter 2 </t>
  </si>
  <si>
    <t>GO:0000149 (SNARE binding); GO:0035493 (SNARE complex assembly); GO:0051036 (regulation of endosome size); GO:0005768 (endosome); GO:0000323 (lytic vacuole)</t>
  </si>
  <si>
    <t xml:space="preserve">Nuclear migration protein unc-83 </t>
  </si>
  <si>
    <t>GO:0016020 (membrane); GO:0016021 (integral component of membrane); GO:0005634 (nucleus); GO:0007275 (multicellular organism development); GO:0005515 (protein binding); GO:0031965 (nuclear membrane); GO:0005635 (nuclear envelope); GO:0090435 (protein localization to nuclear envelope); GO:0030473 (nuclear migration along microtubule); GO:0005640 (nuclear outer membrane); GO:0018991 (oviposition); GO:0040011 (locomotion); GO:0040025 (vulval development); GO:0009791 (post-embryonic development); GO:0030334 (regulation of cell migration); GO:0007097 (nuclear migration); GO:0045503 (dynein light chain binding); GO:0007399 (nervous system development)</t>
  </si>
  <si>
    <t xml:space="preserve">YIP1-Interacting Factor homolog </t>
  </si>
  <si>
    <t>GO:0016020 (membrane); GO:0016021 (integral component of membrane); GO:0005794 (Golgi apparatus); GO:0015031 (protein transport); GO:0005789 (endoplasmic reticulum membrane); GO:0006888 (endoplasmic reticulum to Golgi vesicle-mediated transport); GO:0030134 (COPII-coated ER to Golgi transport vesicle); GO:0030173 (integral component of Golgi membrane); GO:0005793 (endoplasmic reticulum-Golgi intermediate compartment); GO:0005783 (endoplasmic reticulum)</t>
  </si>
  <si>
    <t xml:space="preserve">N-acetyllactosamine synthase </t>
  </si>
  <si>
    <t>GO:0016020 (membrane); GO:0016021 (integral component of membrane); GO:0016740 (transferase activity); GO:0016757 (transferase activity, transferring glycosyl groups); GO:0005794 (Golgi apparatus); GO:0005975 (carbohydrate metabolic process); GO:0006486 (protein glycosylation); GO:0033207 (beta-1,4-N-acetylgalactosaminyltransferase activity); GO:0070085 (glycosylation)</t>
  </si>
  <si>
    <t xml:space="preserve">Worm AIF (Apoptosis inducing factor) Homolog </t>
  </si>
  <si>
    <t>GO:0016020 (membrane); GO:0016021 (integral component of membrane); GO:0016491 (oxidoreductase activity); GO:0050660 (flavin adenine dinucleotide binding); GO:0046983 (protein dimerization activity); GO:0005739 (mitochondrion); GO:0006915 (apoptotic process); GO:0005634 (nucleus); GO:0005829 (cytosol); GO:0019899 (enzyme binding); GO:0006309 (apoptotic DNA fragmentation); GO:1900163 (positive regulation of phospholipid scramblase activity); GO:1905782 (positive regulation of phosphatidylserine exposure on apoptotic cell surface); GO:0055114 (oxidation-reduction process)</t>
  </si>
  <si>
    <t xml:space="preserve">RNA polymerase-associated protein CTR9 </t>
  </si>
  <si>
    <t>GO:0016570 (histone modification); GO:0005515 (protein binding); GO:0006355 (regulation of transcription, DNA-templated)</t>
  </si>
  <si>
    <t xml:space="preserve">PiNiN nuclear speckle-associated protein and splicing factor homolog </t>
  </si>
  <si>
    <t>GO:0005634 (nucleus); GO:0071013 (catalytic step 2 spliceosome); GO:0006397 (mRNA processing); GO:0008380 (RNA splicing)</t>
  </si>
  <si>
    <t>GO:0043565 (sequence-specific DNA binding); GO:0006355 (regulation of transcription, DNA-templated)</t>
  </si>
  <si>
    <t xml:space="preserve">C.elegans orthologue of yeast OligoSaccharylTransFerase Ost4p </t>
  </si>
  <si>
    <t xml:space="preserve">Rho-associated protein kinase let-502 </t>
  </si>
  <si>
    <t>GO:0005524 (ATP binding); GO:0005737 (cytoplasm); GO:0004672 (protein kinase activity); GO:0004674 (protein serine/threonine kinase activity); GO:0006468 (protein phosphorylation); GO:0016301 (kinase activity); GO:0016310 (phosphorylation); GO:0018107 (peptidyl-threonine phosphorylation); GO:0007266 (Rho protein signal transduction); GO:0046872 (metal ion binding); GO:0000166 (nucleotide binding); GO:0016740 (transferase activity); GO:0005856 (cytoskeleton); GO:0035556 (intracellular signal transduction); GO:0007275 (multicellular organism development); GO:0030154 (cell differentiation); GO:0048477 (oogenesis); GO:0031032 (actomyosin structure organization); GO:0002119 (nematode larval development); GO:0032154 (cleavage furrow); GO:0030866 (cortical actin cytoskeleton organization); GO:0060465 (pharynx development); GO:1905905 (pharyngeal gland morphogenesis); GO:0048598 (embryonic morphogenesis); GO:0000281 (mitotic cytokinesis); GO:0009792 (embryo development ending in birth or egg hatching); GO:0005634 (nucleus); GO:0010172 (embryonic body morphogenesis); GO:0005912 (adherens junction); GO:0008360 (regulation of cell shape); GO:0043292 (contractile fiber); GO:0072518 (Rho-dependent protein serine/threonine kinase activity); GO:1901888 (regulation of cell junction assembly); GO:0106310 (protein serine kinase activity); GO:0106311 (protein threonine kinase activity); GO:0031267 (small GTPase binding)</t>
  </si>
  <si>
    <t xml:space="preserve">HnRNP A1 homolog </t>
  </si>
  <si>
    <t>GO:0005634 (nucleus); GO:0003723 (RNA binding); GO:0003676 (nucleic acid binding); GO:0003729 (mRNA binding); GO:1990904 (ribonucleoprotein complex)</t>
  </si>
  <si>
    <t xml:space="preserve">Abnormal embryogenesis protein 30 </t>
  </si>
  <si>
    <t>GO:0030071 (regulation of mitotic metaphase/anaphase transition); GO:0005680 (anaphase-promoting complex); GO:0031145 (anaphase-promoting complex-dependent catabolic process); GO:0005515 (protein binding)</t>
  </si>
  <si>
    <t xml:space="preserve">Probable V-type proton ATPase subunit F </t>
  </si>
  <si>
    <t>GO:0006811 (ion transport); GO:0034220 (ion transmembrane transport); GO:0016020 (membrane); GO:0007042 (lysosomal lumen acidification); GO:1902600 (proton transmembrane transport); GO:0033180 (proton-transporting V-type ATPase, V1 domain); GO:0046961 (proton-transporting ATPase activity, rotational mechanism); GO:0042625 (ATPase-coupled ion transmembrane transporter activity)</t>
  </si>
  <si>
    <t xml:space="preserve">SWI/SNF-related matrix-associated actin-dependent regulator of chromatin subfamily A containing DEAD/H box 1 homolog </t>
  </si>
  <si>
    <t>GO:0005634 (nucleus); GO:0005524 (ATP binding); GO:0016787 (hydrolase activity); GO:0004386 (helicase activity); GO:0000166 (nucleotide binding); GO:0003677 (DNA binding); GO:0003682 (chromatin binding); GO:0006281 (DNA repair); GO:0006974 (cellular response to DNA damage stimulus); GO:0006325 (chromatin organization); GO:0032508 (DNA duplex unwinding); GO:0043044 (ATP-dependent chromatin remodeling); GO:0008094 (DNA-dependent ATPase activity); GO:0003678 (DNA helicase activity); GO:0016887 (ATPase activity); GO:0070615 (nucleosome-dependent ATPase activity)</t>
  </si>
  <si>
    <t xml:space="preserve">RABenoSyn (Trafficking protein) homolog </t>
  </si>
  <si>
    <t>GO:0046872 (metal ion binding); GO:0005515 (protein binding); GO:0006898 (receptor-mediated endocytosis); GO:0006907 (pinocytosis); GO:0032266 (phosphatidylinositol-3-phosphate binding)</t>
  </si>
  <si>
    <t>GO:0016020 (membrane); GO:0016021 (integral component of membrane); GO:0005887 (integral component of plasma membrane); GO:0007218 (neuropeptide signaling pathway); GO:0008528 (G protein-coupled peptide receptor activity)</t>
  </si>
  <si>
    <t xml:space="preserve">Ras protein let-60 </t>
  </si>
  <si>
    <t>GO:0016020 (membrane); GO:0016021 (integral component of membrane); GO:0005743 (mitochondrial inner membrane); GO:0005747 (mitochondrial respiratory chain complex I); GO:0008137 (NADH dehydrogenase (ubiquinone) activity); GO:0006120 (mitochondrial electron transport, NADH to ubiquinone)</t>
  </si>
  <si>
    <t xml:space="preserve">Putative cytochrome P450 cyp-13B1 </t>
  </si>
  <si>
    <t xml:space="preserve">Prion-like-(Q/N-rich) domain-bearing protein 96 </t>
  </si>
  <si>
    <t>GO:0005634 (nucleus); GO:0000398 (mRNA splicing, via spliceosome); GO:0046540 (U4/U6 x U5 tri-snRNP complex); GO:0006397 (mRNA processing); GO:0008380 (RNA splicing)</t>
  </si>
  <si>
    <t>GO:0016491 (oxidoreductase activity); GO:0005777 (peroxisome); GO:0061063 (positive regulation of nematode larval development); GO:0043053 (dauer entry); GO:0000038 (very long-chain fatty acid metabolic process); GO:0006637 (acyl-CoA metabolic process); GO:0010888 (negative regulation of lipid storage); GO:0019236 (response to pheromone); GO:0042811 (pheromone biosynthetic process); GO:0048639 (positive regulation of developmental growth); GO:1904070 (ascaroside biosynthetic process); GO:0055114 (oxidation-reduction process)</t>
  </si>
  <si>
    <t>GO:0005634 (nucleus); GO:0046872 (metal ion binding); GO:0003714 (transcription corepressor activity); GO:0045892 (negative regulation of transcription, DNA-templated)</t>
  </si>
  <si>
    <t xml:space="preserve">Putative tyrosine-protein phosphatase C15H7.3 </t>
  </si>
  <si>
    <t>GO:0016787 (hydrolase activity); GO:0004725 (protein tyrosine phosphatase activity); GO:0006470 (protein dephosphorylation); GO:0035335 (peptidyl-tyrosine dephosphorylation); GO:0004721 (phosphoprotein phosphatase activity); GO:0016311 (dephosphorylation); GO:0016791 (phosphatase activity)</t>
  </si>
  <si>
    <t xml:space="preserve">Putative G-protein coupled receptor B0244.10 </t>
  </si>
  <si>
    <t xml:space="preserve">Riboflavin transporter rft-1 </t>
  </si>
  <si>
    <t>GO:0016020 (membrane); GO:0016021 (integral component of membrane); GO:0005886 (plasma membrane); GO:0005887 (integral component of plasma membrane); GO:0032217 (riboflavin transmembrane transporter activity); GO:0032218 (riboflavin transport); GO:0009792 (embryo development ending in birth or egg hatching)</t>
  </si>
  <si>
    <t xml:space="preserve">MethylTransferase modifying glutamine (Q) </t>
  </si>
  <si>
    <t>GO:0003676 (nucleic acid binding); GO:0008168 (methyltransferase activity); GO:0008757 (S-adenosylmethionine-dependent methyltransferase activity); GO:0006479 (protein methylation); GO:0008276 (protein methyltransferase activity); GO:0032259 (methylation); GO:0035657 (eRF1 methyltransferase complex)</t>
  </si>
  <si>
    <t xml:space="preserve">Interactor with SLO-1 </t>
  </si>
  <si>
    <t>GO:0005634 (nucleus); GO:0015031 (protein transport); GO:0005730 (nucleolus); GO:0007275 (multicellular organism development); GO:0042254 (ribosome biogenesis); GO:0030154 (cell differentiation); GO:0030036 (actin cytoskeleton organization); GO:0042273 (ribosomal large subunit biogenesis); GO:0007506 (gonadal mesoderm development); GO:0000055 (ribosomal large subunit export from nucleus)</t>
  </si>
  <si>
    <t xml:space="preserve">Calsequestrin </t>
  </si>
  <si>
    <t>GO:0005509 (calcium ion binding); GO:0016529 (sarcoplasmic reticulum); GO:0033018 (sarcoplasmic reticulum lumen); GO:0005515 (protein binding); GO:0005634 (nucleus); GO:0005737 (cytoplasm); GO:0016324 (apical plasma membrane); GO:0055074 (calcium ion homeostasis); GO:0042383 (sarcolemma); GO:0051279 (regulation of release of sequestered calcium ion into cytosol)</t>
  </si>
  <si>
    <t xml:space="preserve">Adenylosuccinate lyase </t>
  </si>
  <si>
    <t xml:space="preserve">PolyBRoMo domain containing </t>
  </si>
  <si>
    <t>GO:0005634 (nucleus); GO:0003682 (chromatin binding); GO:0006338 (chromatin remodeling); GO:0008406 (gonad development); GO:0016586 (RSC-type complex); GO:0043044 (ATP-dependent chromatin remodeling); GO:0005515 (protein binding)</t>
  </si>
  <si>
    <t xml:space="preserve">Nuclear hormone receptor family member nhr-34 </t>
  </si>
  <si>
    <t>GO:0005634 (nucleus); GO:0005524 (ATP binding); GO:0016787 (hydrolase activity); GO:0004386 (helicase activity); GO:0000166 (nucleotide binding); GO:0000398 (mRNA splicing, via spliceosome); GO:0003676 (nucleic acid binding); GO:0003724 (RNA helicase activity)</t>
  </si>
  <si>
    <t xml:space="preserve">Probable histone H2B 3 </t>
  </si>
  <si>
    <t xml:space="preserve">Probable rho GDP-dissociation inhibitor </t>
  </si>
  <si>
    <t>GO:0005737 (cytoplasm); GO:0005094 (Rho GDP-dissociation inhibitor activity)</t>
  </si>
  <si>
    <t>GO:0005634 (nucleus); GO:0046872 (metal ion binding); GO:0000398 (mRNA splicing, via spliceosome); GO:0003723 (RNA binding); GO:0003676 (nucleic acid binding)</t>
  </si>
  <si>
    <t>GO:0016020 (membrane); GO:0016021 (integral component of membrane); GO:0022900 (electron transport chain); GO:0005739 (mitochondrion); GO:0005747 (mitochondrial respiratory chain complex I); GO:0008137 (NADH dehydrogenase (ubiquinone) activity)</t>
  </si>
  <si>
    <t xml:space="preserve">S-methyl-5'-thioadenosine phosphorylase </t>
  </si>
  <si>
    <t>GO:0003824 (catalytic activity); GO:0005634 (nucleus); GO:0016740 (transferase activity); GO:0005737 (cytoplasm); GO:0005829 (cytosol); GO:0016757 (transferase activity, transferring glycosyl groups); GO:0009116 (nucleoside metabolic process); GO:0019509 (L-methionine salvage from methylthioadenosine); GO:0006166 (purine ribonucleoside salvage); GO:0016763 (transferase activity, transferring pentosyl groups); GO:0017061 (S-methyl-5-thioadenosine phosphorylase activity)</t>
  </si>
  <si>
    <t xml:space="preserve">Muscleblind-like protein </t>
  </si>
  <si>
    <t xml:space="preserve">CDK5RAP3-like protein </t>
  </si>
  <si>
    <t>GO:0016020 (membrane); GO:0016021 (integral component of membrane); GO:0016192 (vesicle-mediated transport); GO:0005789 (endoplasmic reticulum membrane); GO:0006888 (endoplasmic reticulum to Golgi vesicle-mediated transport); GO:0031201 (SNARE complex); GO:0006890 (retrograde vesicle-mediated transport, Golgi to endoplasmic reticulum); GO:0005793 (endoplasmic reticulum-Golgi intermediate compartment); GO:0000139 (Golgi membrane); GO:0005484 (SNAP receptor activity); GO:0048280 (vesicle fusion with Golgi apparatus); GO:0012507 (ER to Golgi transport vesicle membrane)</t>
  </si>
  <si>
    <t>GO:0005789 (endoplasmic reticulum membrane); GO:0009986 (cell surface); GO:0016972 (thiol oxidase activity); GO:0018171 (peptidyl-cysteine oxidation)</t>
  </si>
  <si>
    <t xml:space="preserve">Pantothenate kinase </t>
  </si>
  <si>
    <t>GO:0005634 (nucleus); GO:0005524 (ATP binding); GO:0046872 (metal ion binding); GO:0000166 (nucleotide binding); GO:0016310 (phosphorylation); GO:0005829 (cytosol); GO:0015937 (coenzyme A biosynthetic process); GO:0004594 (pantothenate kinase activity)</t>
  </si>
  <si>
    <t xml:space="preserve">Probable splicing factor, arginine/serine-rich 4 </t>
  </si>
  <si>
    <t>GO:0005737 (cytoplasm); GO:0003723 (RNA binding); GO:0005634 (nucleus); GO:0000398 (mRNA splicing, via spliceosome); GO:0003676 (nucleic acid binding); GO:0016607 (nuclear speck); GO:0007275 (multicellular organism development); GO:0006397 (mRNA processing); GO:0008380 (RNA splicing); GO:0000381 (regulation of alternative mRNA splicing, via spliceosome)</t>
  </si>
  <si>
    <t xml:space="preserve">Neuronal Membrane GlycoProtein </t>
  </si>
  <si>
    <t>GO:0016020 (membrane); GO:0016021 (integral component of membrane); GO:0005886 (plasma membrane); GO:0031175 (neuron projection development)</t>
  </si>
  <si>
    <t xml:space="preserve">Periodic tryptophan protein 2 homolog </t>
  </si>
  <si>
    <t>GO:0000462 (maturation of SSU-rRNA from tricistronic rRNA transcript (SSU-rRNA, 5.8S rRNA, LSU-rRNA)); GO:0032040 (small-subunit processome); GO:0000028 (ribosomal small subunit assembly); GO:0034388 (Pwp2p-containing subcomplex of 90S preribosome); GO:0005515 (protein binding)</t>
  </si>
  <si>
    <t>GO:0005634 (nucleus); GO:0005737 (cytoplasm); GO:0007049 (cell cycle); GO:0051301 (cell division); GO:0006974 (cellular response to DNA damage stimulus); GO:0003677 (DNA binding); GO:0031298 (replication fork protection complex); GO:0000076 (DNA replication checkpoint); GO:0043111 (replication fork arrest); GO:0048478 (replication fork protection); GO:0000785 (chromatin); GO:0008284 (positive regulation of cell population proliferation); GO:0031573 (intra-S DNA damage checkpoint); GO:0044770 (cell cycle phase transition); GO:0003674 (molecular_function)</t>
  </si>
  <si>
    <t xml:space="preserve">Putative zinc finger protein R05D3.3 </t>
  </si>
  <si>
    <t>GO:0005576 (extracellular region); GO:0004867 (serine-type endopeptidase inhibitor activity); GO:0010951 (negative regulation of endopeptidase activity); GO:0010466 (negative regulation of peptidase activity); GO:0030414 (peptidase inhibitor activity)</t>
  </si>
  <si>
    <t xml:space="preserve">Organic solute transporter alpha-like protein 1 </t>
  </si>
  <si>
    <t xml:space="preserve">Galactoside 2-alpha-L-fucosyltransferase </t>
  </si>
  <si>
    <t>GO:0008107 (galactoside 2-alpha-L-fucosyltransferase activity); GO:0016020 (membrane); GO:0005975 (carbohydrate metabolic process)</t>
  </si>
  <si>
    <t>GO:0005743 (mitochondrial inner membrane); GO:0034551 (mitochondrial respiratory chain complex III assembly); GO:0005515 (protein binding)</t>
  </si>
  <si>
    <t xml:space="preserve">Alpha-galactosidase </t>
  </si>
  <si>
    <t>GO:0005737 (cytoplasm); GO:0003824 (catalytic activity); GO:0008152 (metabolic process); GO:0016787 (hydrolase activity); GO:0016798 (hydrolase activity, acting on glycosyl bonds); GO:0005975 (carbohydrate metabolic process); GO:0004553 (hydrolase activity, hydrolyzing O-glycosyl compounds); GO:0016139 (glycoside catabolic process); GO:0004557 (alpha-galactosidase activity); GO:0009311 (oligosaccharide metabolic process); GO:0046477 (glycosylceramide catabolic process); GO:0052692 (raffinose alpha-galactosidase activity)</t>
  </si>
  <si>
    <t xml:space="preserve">CTD nuclear envelope phosphatase 1 homolog </t>
  </si>
  <si>
    <t>GO:0016791 (phosphatase activity)</t>
  </si>
  <si>
    <t xml:space="preserve">Retinoblastoma Binding Protein Like </t>
  </si>
  <si>
    <t>GO:0005634 (nucleus); GO:0046872 (metal ion binding); GO:0004842 (ubiquitin-protein transferase activity); GO:0061630 (ubiquitin protein ligase activity); GO:0008270 (zinc ion binding); GO:0003676 (nucleic acid binding); GO:0016567 (protein ubiquitination); GO:0006397 (mRNA processing)</t>
  </si>
  <si>
    <t xml:space="preserve">ADA (Histone acetyltransferase complex) subunit </t>
  </si>
  <si>
    <t>GO:0005634 (nucleus); GO:0003682 (chromatin binding); GO:0003713 (transcription coactivator activity); GO:0006357 (regulation of transcription by RNA polymerase II); GO:0035066 (positive regulation of histone acetylation); GO:0006338 (chromatin remodeling); GO:0070461 (SAGA-type complex); GO:0045893 (positive regulation of transcription, DNA-templated)</t>
  </si>
  <si>
    <t xml:space="preserve">Probable galaptin lec-8 </t>
  </si>
  <si>
    <t>GO:0005634 (nucleus); GO:0003700 (DNA-binding transcription factor activity); GO:0006355 (regulation of transcription, DNA-templated); GO:0003677 (DNA binding); GO:0000978 (RNA polymerase II cis-regulatory region sequence-specific DNA binding); GO:0002376 (immune system process); GO:0045087 (innate immune response); GO:0010628 (positive regulation of gene expression); GO:0000981 (DNA-binding transcription factor activity, RNA polymerase II-specific); GO:0006357 (regulation of transcription by RNA polymerase II); GO:0050829 (defense response to Gram-negative bacterium); GO:0045944 (positive regulation of transcription by RNA polymerase II); GO:0140367 (antibacterial innate immune response)</t>
  </si>
  <si>
    <t xml:space="preserve">Serpentine receptor class gamma-7 </t>
  </si>
  <si>
    <t>GO:0016020 (membrane); GO:0032008 (positive regulation of TOR signaling); GO:0005634 (nucleus); GO:0005198 (structural molecule activity); GO:0015031 (protein transport); GO:0016192 (vesicle-mediated transport); GO:0031410 (cytoplasmic vesicle); GO:0007049 (cell cycle); GO:0051301 (cell division); GO:0005764 (lysosome); GO:0005765 (lysosomal membrane); GO:0005783 (endoplasmic reticulum); GO:0005789 (endoplasmic reticulum membrane); GO:0009792 (embryo development ending in birth or egg hatching); GO:0012507 (ER to Golgi transport vesicle membrane); GO:0031080 (nuclear pore outer ring); GO:0005643 (nuclear pore); GO:0006606 (protein import into nucleus); GO:0006997 (nucleus organization); GO:0051028 (mRNA transport); GO:1990893 (mitotic chromosome centromere condensation); GO:0030127 (COPII vesicle coat); GO:0090114 (COPII-coated vesicle budding); GO:0003674 (molecular_function); GO:1904263 (positive regulation of TORC1 signaling); GO:0010973 (positive regulation of division septum assembly); GO:0051169 (nuclear transport); GO:0005515 (protein binding); GO:0032527 (protein exit from endoplasmic reticulum)</t>
  </si>
  <si>
    <t>GO:0005856 (cytoskeleton); GO:0033613 (activating transcription factor binding); GO:0035332 (positive regulation of hippo signaling); GO:0098592 (cytoplasmic side of apical plasma membrane)</t>
  </si>
  <si>
    <t>GO:0003677 (DNA binding); GO:0046872 (metal ion binding); GO:0008270 (zinc ion binding); GO:0005634 (nucleus)</t>
  </si>
  <si>
    <t>GO:0003677 (DNA binding); GO:0006355 (regulation of transcription, DNA-templated)</t>
  </si>
  <si>
    <t>GO:0005886 (plasma membrane); GO:0016020 (membrane); GO:0043231 (intracellular membrane-bounded organelle); GO:0005829 (cytosol); GO:0008289 (lipid binding); GO:0006869 (lipid transport); GO:0032934 (sterol binding); GO:0015248 (sterol transporter activity); GO:0015918 (sterol transport); GO:0097038 (perinuclear endoplasmic reticulum)</t>
  </si>
  <si>
    <t>GO:0005634 (nucleus); GO:0003723 (RNA binding); GO:0005688 (U6 snRNP); GO:0071013 (catalytic step 2 spliceosome); GO:1990726 (Lsm1-7-Pat1 complex); GO:1990904 (ribonucleoprotein complex); GO:0000398 (mRNA splicing, via spliceosome); GO:0005515 (protein binding); GO:0006397 (mRNA processing); GO:0008380 (RNA splicing); GO:0071004 (U2-type prespliceosome); GO:0005681 (spliceosomal complex); GO:0005689 (U12-type spliceosomal complex); GO:0000956 (nuclear-transcribed mRNA catabolic process); GO:0097526 (spliceosomal tri-snRNP complex)</t>
  </si>
  <si>
    <t xml:space="preserve">Phosphatidylethanolamine-binding protein homolog F40A3.3 </t>
  </si>
  <si>
    <t>GO:0008289 (lipid binding); GO:0005739 (mitochondrion)</t>
  </si>
  <si>
    <t xml:space="preserve">F-actin-capping protein subunit alpha </t>
  </si>
  <si>
    <t>GO:0008290 (F-actin capping protein complex); GO:0051016 (barbed-end actin filament capping)</t>
  </si>
  <si>
    <t>GO:0005634 (nucleus); GO:0005524 (ATP binding); GO:0005737 (cytoplasm); GO:0004672 (protein kinase activity); GO:0004674 (protein serine/threonine kinase activity); GO:0006468 (protein phosphorylation); GO:0000166 (nucleotide binding); GO:0042770 (signal transduction in response to DNA damage); GO:0044773 (mitotic DNA damage checkpoint); GO:0005515 (protein binding)</t>
  </si>
  <si>
    <t xml:space="preserve">Dwarfin sma-2 </t>
  </si>
  <si>
    <t>GO:0005634 (nucleus); GO:0046872 (metal ion binding); GO:0005737 (cytoplasm); GO:0006355 (regulation of transcription, DNA-templated); GO:0003677 (DNA binding); GO:0005667 (transcription regulator complex); GO:0007179 (transforming growth factor beta receptor signaling pathway); GO:0000978 (RNA polymerase II cis-regulatory region sequence-specific DNA binding); GO:0040018 (positive regulation of multicellular organism growth); GO:0000981 (DNA-binding transcription factor activity, RNA polymerase II-specific); GO:0006357 (regulation of transcription by RNA polymerase II); GO:0030154 (cell differentiation); GO:0042661 (regulation of mesodermal cell fate specification); GO:0009791 (post-embryonic development); GO:0030307 (positive regulation of cell growth); GO:0030509 (BMP signaling pathway); GO:0060395 (SMAD protein signal transduction); GO:0060465 (pharynx development); GO:0009653 (anatomical structure morphogenesis); GO:0045138 (nematode male tail tip morphogenesis); GO:0110039 (positive regulation of nematode male tail tip morphogenesis); GO:0005515 (protein binding); GO:0070411 (I-SMAD binding); GO:0071144 (heteromeric SMAD protein complex)</t>
  </si>
  <si>
    <t>GO:0046982 (protein heterodimerization activity); GO:0000786 (nucleosome); GO:0003677 (DNA binding); GO:0005634 (nucleus); GO:0005694 (chromosome)</t>
  </si>
  <si>
    <t>GO:0016020 (membrane); GO:0016021 (integral component of membrane); GO:0005634 (nucleus); GO:0005886 (plasma membrane); GO:0006811 (ion transport); GO:0005829 (cytosol); GO:0000224 (peptide-N4-(N-acetyl-beta-glucosaminyl)asparagine amidase activity); GO:0006515 (protein quality control for misfolded or incompletely synthesized proteins); GO:0006516 (glycoprotein catabolic process); GO:0006517 (protein deglycosylation)</t>
  </si>
  <si>
    <t xml:space="preserve">Cytochrome c 2.1 </t>
  </si>
  <si>
    <t>GO:0009055 (electron transfer activity); GO:0020037 (heme binding)</t>
  </si>
  <si>
    <t xml:space="preserve">Glutamyl-tRNA(Gln) amidotransferase subunit C, mitochondrial </t>
  </si>
  <si>
    <t>GO:0000166 (nucleotide binding); GO:0016874 (ligase activity); GO:0005739 (mitochondrion); GO:0005524 (ATP binding); GO:0006412 (translation); GO:0032543 (mitochondrial translation); GO:0016884 (carbon-nitrogen ligase activity, with glutamine as amido-N-donor); GO:0030956 (glutamyl-tRNA(Gln) amidotransferase complex); GO:0050567 (glutaminyl-tRNA synthase (glutamine-hydrolyzing) activity); GO:0070681 (glutaminyl-tRNAGln biosynthesis via transamidation); GO:0006450 (regulation of translational fidelity)</t>
  </si>
  <si>
    <t xml:space="preserve">STAUfen (DsRNA binding protein) homolog </t>
  </si>
  <si>
    <t>GO:0003723 (RNA binding); GO:0007281 (germ cell development); GO:0005575 (cellular_component); GO:0010628 (positive regulation of gene expression); GO:0003725 (double-stranded RNA binding); GO:1900369 (negative regulation of RNA interference)</t>
  </si>
  <si>
    <t xml:space="preserve">B-box type zinc finger protein ncl-1 </t>
  </si>
  <si>
    <t>GO:0005515 (protein binding); GO:0035145 (exon-exon junction complex)</t>
  </si>
  <si>
    <t xml:space="preserve">Serpentine receptor class beta-6 </t>
  </si>
  <si>
    <t>GO:0016020 (membrane); GO:0016021 (integral component of membrane); GO:0004888 (transmembrane signaling receptor activity); GO:0005886 (plasma membrane); GO:0007606 (sensory perception of chemical stimulus); GO:0005929 (cilium); GO:0050896 (response to stimulus); GO:0009593 (detection of chemical stimulus); GO:0050830 (defense response to Gram-positive bacterium)</t>
  </si>
  <si>
    <t xml:space="preserve">Serpentine receptor class gamma-30 </t>
  </si>
  <si>
    <t xml:space="preserve">3-hydroxyisobutyryl-CoA hydrolase, mitochondrial </t>
  </si>
  <si>
    <t>GO:0016787 (hydrolase activity); GO:0005739 (mitochondrion); GO:0006574 (valine catabolic process); GO:0003860 (3-hydroxyisobutyryl-CoA hydrolase activity); GO:0009083 (branched-chain amino acid catabolic process)</t>
  </si>
  <si>
    <t xml:space="preserve">Protein bicaudal D homolog </t>
  </si>
  <si>
    <t>GO:0070840 (dynein complex binding); GO:0008093 (cytoskeletal anchor activity)</t>
  </si>
  <si>
    <t>GO:0008237 (metallopeptidase activity); GO:0006508 (proteolysis)</t>
  </si>
  <si>
    <t xml:space="preserve">Tyrosine-protein phosphatase cdc-14 </t>
  </si>
  <si>
    <t>GO:0007096 (regulation of exit from mitosis); GO:0008138 (protein tyrosine/serine/threonine phosphatase activity); GO:0004721 (phosphoprotein phosphatase activity); GO:0016311 (dephosphorylation); GO:0006470 (protein dephosphorylation); GO:0004725 (protein tyrosine phosphatase activity); GO:0016791 (phosphatase activity)</t>
  </si>
  <si>
    <t>GO:0016020 (membrane); GO:0016021 (integral component of membrane); GO:0016746 (transferase activity, transferring acyl groups); GO:0005783 (endoplasmic reticulum)</t>
  </si>
  <si>
    <t>GO:0003924 (GTPase activity); GO:0005525 (GTP binding); GO:0000166 (nucleotide binding); GO:0005739 (mitochondrion); GO:0000287 (magnesium ion binding); GO:0042254 (ribosome biogenesis)</t>
  </si>
  <si>
    <t xml:space="preserve">ACT1-like protein </t>
  </si>
  <si>
    <t xml:space="preserve">Bestrophin homolog 5 </t>
  </si>
  <si>
    <t xml:space="preserve">Phosphatidylinositol-glycan biosynthesis class W protein </t>
  </si>
  <si>
    <t>GO:0016020 (membrane); GO:0016021 (integral component of membrane); GO:0016740 (transferase activity); GO:0016746 (transferase activity, transferring acyl groups); GO:0072659 (protein localization to plasma membrane); GO:0006506 (GPI anchor biosynthetic process); GO:0005783 (endoplasmic reticulum); GO:0005789 (endoplasmic reticulum membrane); GO:0032216 ()</t>
  </si>
  <si>
    <t>GO:0005739 (mitochondrion); GO:0051536 (iron-sulfur cluster binding); GO:0016226 (iron-sulfur cluster assembly); GO:0051537 (2 iron, 2 sulfur cluster binding); GO:0005506 (iron ion binding); GO:0051539 (4 iron, 4 sulfur cluster binding); GO:0106035 (protein maturation by [4Fe-4S] cluster transfer); GO:0097428 (protein maturation by iron-sulfur cluster transfer); GO:0005198 (structural molecule activity)</t>
  </si>
  <si>
    <t>GO:0016020 (membrane); GO:0016021 (integral component of membrane); GO:0016740 (transferase activity); GO:0016746 (transferase activity, transferring acyl groups); GO:0016747 (transferase activity, transferring acyl groups other than amino-acyl groups); GO:0033692 (cellular polysaccharide biosynthetic process)</t>
  </si>
  <si>
    <t>GO:0030130 (clathrin coat of trans-Golgi network vesicle); GO:0005515 (protein binding)</t>
  </si>
  <si>
    <t xml:space="preserve">PES-1 protein; PES-1A protein; Patterned Expression Site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</si>
  <si>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morphogenesis); GO:0009792 (embryo development ending in birth or egg hatching); GO:0002119 (nematode larval development)</t>
  </si>
  <si>
    <t xml:space="preserve">Putative choline kinase B3 </t>
  </si>
  <si>
    <t>GO:0016301 (kinase activity); GO:0016310 (phosphorylation); GO:0000166 (nucleotide binding); GO:0016740 (transferase activity); GO:0005739 (mitochondrion); GO:0005524 (ATP binding); GO:0008531 (riboflavin kinase activity); GO:0009231 (riboflavin biosynthetic process); GO:0009398 (FMN biosynthetic process); GO:0006771 (riboflavin metabolic process)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</si>
  <si>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GO:0045087 (innate immune response); GO:0050829 (defense response to Gram-negative bacterium)</t>
  </si>
  <si>
    <t xml:space="preserve">Neuronal immunoglobulin domain-containing protein rig-3 </t>
  </si>
  <si>
    <t>GO:0016020 (membrane); GO:0005886 (plasma membrane); GO:0007155 (cell adhesion); GO:0030054 (cell junction); GO:0045202 (synapse); GO:0007156 (homophilic cell adhesion via plasma membrane adhesion molecules); GO:0007411 (axon guidance); GO:0030424 (axon); GO:0070593 (dendrite self-avoidance); GO:0098632 (cell-cell adhesion mediator activity); GO:0042995 (cell projection); GO:0031225 (anchored component of membrane); GO:0005515 (protein binding)</t>
  </si>
  <si>
    <t xml:space="preserve">Paralysed Arrest at Two-fold; Troponin C </t>
  </si>
  <si>
    <t>GO:0005509 (calcium ion binding); GO:0050790 (regulation of catalytic activity); GO:0030234 (enzyme regulator activity); GO:0009792 (embryo development ending in birth or egg hatching); GO:0008307 (structural constituent of muscle); GO:0006936 (muscle contraction); GO:0043292 (contractile fiber); GO:0031013 (troponin I binding); GO:0030240 (skeletal muscle thin filament assembly)</t>
  </si>
  <si>
    <t xml:space="preserve">PIS (Pax-2, IA-1/6, Smad-2 interacting protein) homolog </t>
  </si>
  <si>
    <t>GO:0044666 (MLL3/4 complex)</t>
  </si>
  <si>
    <t xml:space="preserve">Polycomb protein sop-2 </t>
  </si>
  <si>
    <t>GO:0005634 (nucleus); GO:0003723 (RNA binding); GO:0007275 (multicellular organism development); GO:0005515 (protein binding); GO:0006325 (chromatin organization); GO:0042803 (protein homodimerization activity); GO:0031625 (ubiquitin protein ligase binding); GO:0016604 (nuclear body); GO:0040029 (regulation of gene expression, epigenetic); GO:0002119 (nematode larval development); GO:0045892 (negative regulation of transcription, DNA-templated); GO:0007411 (axon guidance); GO:0030334 (regulation of cell migration); GO:0019899 (enzyme binding); GO:0040034 (regulation of development, heterochronic); GO:0042802 (identical protein binding); GO:0048665 (neuron fate specification); GO:0042659 (regulation of cell fate specification); GO:0009952 (anterior/posterior pattern specification); GO:0016607 (nuclear speck); GO:0040015 (negative regulation of multicellular organism growth); GO:0010607 (negative regulation of cytoplasmic mRNA processing body assembly)</t>
  </si>
  <si>
    <t>GO:0016020 (membrane); GO:0016021 (integral component of membrane); GO:0005515 (protein binding); GO:0005886 (plasma membrane)</t>
  </si>
  <si>
    <t xml:space="preserve">Midasin </t>
  </si>
  <si>
    <t>GO:0000027 (ribosomal large subunit assembly); GO:0006364 (rRNA processing); GO:0030687 (preribosome, large subunit precursor); GO:0005524 (ATP binding); GO:0005634 (nucleus); GO:0016887 (ATPase activity); GO:0005730 (nucleolus); GO:0005654 (nucleoplasm)</t>
  </si>
  <si>
    <t xml:space="preserve">Juxtamembrane domain-associated catenin </t>
  </si>
  <si>
    <t>GO:0005912 (adherens junction); GO:0032956 (regulation of actin cytoskeleton organization); GO:0010172 (embryonic body morphogenesis); GO:0098609 (cell-cell adhesion); GO:0045296 (cadherin binding); GO:0005515 (protein binding); GO:0030054 (cell junction); GO:0007155 (cell adhesion); GO:0032880 (regulation of protein localization)</t>
  </si>
  <si>
    <t xml:space="preserve">Endoprotease bli-4 </t>
  </si>
  <si>
    <t xml:space="preserve">Endoplasmic reticulum resident protein 44.2 </t>
  </si>
  <si>
    <t>GO:0005634 (nucleus); GO:0003700 (DNA-binding transcription factor activity); GO:0006355 (regulation of transcription, DNA-templated); GO:0043565 (sequence-specific DNA binding); GO:0003677 (DNA binding); GO:0000978 (RNA polymerase II cis-regulatory region sequence-specific DNA binding); GO:0000981 (DNA-binding transcription factor activity, RNA polymerase II-specific); GO:0006357 (regulation of transcription by RNA polymerase II); GO:0030154 (cell differentiation); GO:0009653 (anatomical structure morphogenesis); GO:0008340 (determination of adult lifespan); GO:0031103 (axon regeneration); GO:0007614 (short-term memory); GO:0007612 (learning)</t>
  </si>
  <si>
    <t xml:space="preserve">ELAV-Type RNA binding-protein family </t>
  </si>
  <si>
    <t>GO:0005737 (cytoplasm); GO:0003676 (nucleic acid binding); GO:0003723 (RNA binding); GO:0005634 (nucleus); GO:0008340 (determination of adult lifespan)</t>
  </si>
  <si>
    <t>GO:0005634 (nucleus); GO:0000398 (mRNA splicing, via spliceosome); GO:0046540 (U4/U6 x U5 tri-snRNP complex); GO:0071013 (catalytic step 2 spliceosome); GO:0006396 (RNA processing); GO:0006397 (mRNA processing); GO:0000244 (spliceosomal tri-snRNP complex assembly); GO:0005515 (protein binding)</t>
  </si>
  <si>
    <t xml:space="preserve">COP9 signalosome complex subunit 2 </t>
  </si>
  <si>
    <t>GO:0008180 (COP9 signalosome); GO:0005515 (protein binding)</t>
  </si>
  <si>
    <t xml:space="preserve">MAEA (MAcrophage Erythroblast Attacher protein) homolog </t>
  </si>
  <si>
    <t>GO:0005634 (nucleus); GO:0005737 (cytoplasm); GO:0016740 (transferase activity); GO:0043161 (proteasome-mediated ubiquitin-dependent protein catabolic process); GO:0016567 (protein ubiquitination); GO:0004842 (ubiquitin-protein transferase activity); GO:0034657 (GID complex); GO:0045721 (negative regulation of gluconeogenesis); GO:0005515 (protein binding); GO:0043249 (erythrocyte maturation); GO:0016363 (nuclear matrix)</t>
  </si>
  <si>
    <t>GO:0016301 (kinase activity); GO:0016310 (phosphorylation); GO:0000166 (nucleotide binding); GO:0016740 (transferase activity); GO:0005524 (ATP binding); GO:0016307 (phosphatidylinositol phosphate kinase activity); GO:0046488 (phosphatidylinositol metabolic process); GO:0046854 (phosphatidylinositol phosphorylation)</t>
  </si>
  <si>
    <t xml:space="preserve">Succinate dehydrogenase [ubiquinone] iron-sulfur subunit, mitochondrial </t>
  </si>
  <si>
    <t>GO:0016020 (membrane); GO:0046872 (metal ion binding); GO:0016491 (oxidoreductase activity); GO:0009055 (electron transfer activity); GO:0006099 (tricarboxylic acid cycle); GO:0005739 (mitochondrion); GO:0005743 (mitochondrial inner membrane); GO:0051536 (iron-sulfur cluster binding); GO:0051537 (2 iron, 2 sulfur cluster binding); GO:0051539 (4 iron, 4 sulfur cluster binding); GO:0031966 (mitochondrial membrane); GO:0022904 (respiratory electron transport chain); GO:0051538 (3 iron, 4 sulfur cluster binding); GO:0008177 (succinate dehydrogenase (ubiquinone) activity); GO:0009060 (aerobic respiration); GO:0005749 (mitochondrial respiratory chain complex II, succinate dehydrogenase complex (ubiquinone)); GO:0048039 (ubiquinone binding); GO:0055114 (oxidation-reduction process)</t>
  </si>
  <si>
    <t>GO:0005634 (nucleus); GO:0005524 (ATP binding); GO:0016787 (hydrolase activity); GO:0004386 (helicase activity); GO:0000166 (nucleotide binding); GO:0003723 (RNA binding); GO:0003676 (nucleic acid binding); GO:0032508 (DNA duplex unwinding); GO:0043138 (3'-5' DNA helicase activity)</t>
  </si>
  <si>
    <t>GO:0005737 (cytoplasm); GO:0003677 (DNA binding); GO:0005634 (nucleus); GO:0046872 (metal ion binding); GO:0000166 (nucleotide binding); GO:0016874 (ligase activity); GO:0008270 (zinc ion binding); GO:0005524 (ATP binding); GO:0006260 (DNA replication); GO:0006281 (DNA repair); GO:0006273 (lagging strand elongation); GO:0003910 (DNA ligase (ATP) activity); GO:0006310 (DNA recombination); GO:0006266 (DNA ligation)</t>
  </si>
  <si>
    <t xml:space="preserve">HEAT repeat-containing protein 1 homolog </t>
  </si>
  <si>
    <t>GO:0005634 (nucleus); GO:0005737 (cytoplasm); GO:0003677 (DNA binding); GO:0045944 (positive regulation of transcription by RNA polymerase II); GO:0090575 (RNA polymerase II transcription regulator complex); GO:0046983 (protein dimerization activity); GO:0046982 (protein heterodimerization activity); GO:0006357 (regulation of transcription by RNA polymerase II); GO:0003700 (DNA-binding transcription factor activity); GO:0071339 (MLL1 complex); GO:0000977 (RNA polymerase II transcription regulatory region sequence-specific DNA binding); GO:0042304 (regulation of fatty acid biosynthetic process); GO:1990837 (sequence-specific double-stranded DNA binding)</t>
  </si>
  <si>
    <t xml:space="preserve">Defecation Suppressor of Clk-1; Microsomal triglyceride transfer protein </t>
  </si>
  <si>
    <t>GO:0016323 (basolateral plasma membrane); GO:0005794 (Golgi apparatus); GO:0005783 (endoplasmic reticulum); GO:0005548 (phospholipid transporter activity); GO:0015914 (phospholipid transport); GO:0042157 (lipoprotein metabolic process); GO:0030968 (endoplasmic reticulum unfolded protein response); GO:0034377 (plasma lipoprotein particle assembly); GO:0042953 (lipoprotein transport)</t>
  </si>
  <si>
    <t xml:space="preserve">Probable signal recognition particle 19 kDa protein </t>
  </si>
  <si>
    <t>GO:0005737 (cytoplasm); GO:0003723 (RNA binding); GO:0006614 (SRP-dependent cotranslational protein targeting to membrane); GO:0005786 (signal recognition particle, endoplasmic reticulum targeting); GO:0008312 (7S RNA binding); GO:0048500 (signal recognition particle); GO:0006617 (SRP-dependent cotranslational protein targeting to membrane, signal sequence recognition)</t>
  </si>
  <si>
    <t xml:space="preserve">FACT complex subunit SSRP1-A </t>
  </si>
  <si>
    <t>GO:0016020 (membrane); GO:0016021 (integral component of membrane); GO:0005886 (plasma membrane); GO:0000139 (Golgi membrane); GO:0005794 (Golgi apparatus); GO:0006886 (intracellular protein transport); GO:0007275 (multicellular organism development); GO:0016055 (Wnt signaling pathway); GO:0017147 (Wnt-protein binding); GO:0005768 (endosome); GO:0048557 (embryonic digestive tract morphogenesis); GO:0070986 (left/right axis specification); GO:0031902 (late endosome membrane); GO:0012505 (endomembrane system); GO:0009925 (basal plasma membrane); GO:0031901 (early endosome membrane); GO:0030177 (positive regulation of Wnt signaling pathway); GO:0061355 (Wnt protein secretion); GO:0061357 (positive regulation of Wnt protein secretion); GO:0001714 (endodermal cell fate specification); GO:0060069 (Wnt signaling pathway, regulating spindle positioning); GO:0040025 (vulval development); GO:0030334 (regulation of cell migration); GO:0031410 (cytoplasmic vesicle); GO:0016323 (basolateral plasma membrane); GO:0000132 (establishment of mitotic spindle orientation); GO:0005789 (endoplasmic reticulum membrane); GO:0071944 (cell periphery); GO:0061359 (regulation of Wnt signaling pathway by Wnt protein secretion); GO:0031301 (integral component of organelle membrane)</t>
  </si>
  <si>
    <t>GO:0016020 (membrane); GO:0005739 (mitochondrion); GO:0005743 (mitochondrial inner membrane); GO:0019005 (SCF ubiquitin ligase complex); GO:0031146 (SCF-dependent proteasomal ubiquitin-dependent protein catabolic process)</t>
  </si>
  <si>
    <t xml:space="preserve">Protein-lysine N-methyltransferase CELE_F29B9.1 </t>
  </si>
  <si>
    <t>GO:0005737 (cytoplasm); GO:0008168 (methyltransferase activity); GO:0032259 (methylation); GO:0016740 (transferase activity); GO:0016279 (protein-lysine N-methyltransferase activity); GO:0018022 (peptidyl-lysine methylation); GO:0018026 (peptidyl-lysine monomethylation); GO:0018027 (peptidyl-lysine dimethylation)</t>
  </si>
  <si>
    <t>GO:0003824 (catalytic activity); GO:0005829 (cytosol); GO:0006635 (fatty acid beta-oxidation); GO:0004300 (enoyl-CoA hydratase activity)</t>
  </si>
  <si>
    <t>GO:0016020 (membrane); GO:0016021 (integral component of membrane); GO:0016740 (transferase activity); GO:0005794 (Golgi apparatus); GO:0016757 (transferase activity, transferring glycosyl groups); GO:0006486 (protein glycosylation); GO:0032580 (Golgi cisterna membrane); GO:0043413 (macromolecule glycosylation); GO:0008107 (galactoside 2-alpha-L-fucosyltransferase activity); GO:0005975 (carbohydrate metabolic process)</t>
  </si>
  <si>
    <t xml:space="preserve">Spermatocyte protein spe-8 </t>
  </si>
  <si>
    <t>GO:0016020 (membrane); GO:0005524 (ATP binding); GO:0005886 (plasma membrane); GO:0004672 (protein kinase activity); GO:0006468 (protein phosphorylation); GO:0016301 (kinase activity); GO:0016310 (phosphorylation); GO:0000166 (nucleotide binding); GO:0016740 (transferase activity); GO:0005737 (cytoplasm); GO:0004713 (protein tyrosine kinase activity); GO:0004715 (non-membrane spanning protein tyrosine kinase activity); GO:0018108 (peptidyl-tyrosine phosphorylation); GO:0031234 (extrinsic component of cytoplasmic side of plasma membrane); GO:0005102 (signaling receptor binding); GO:0007169 (transmembrane receptor protein tyrosine kinase signaling pathway); GO:0030154 (cell differentiation); GO:0045087 (innate immune response); GO:0007283 (spermatogenesis); GO:0007286 (spermatid development); GO:0004714 (transmembrane receptor protein tyrosine kinase activity)</t>
  </si>
  <si>
    <t xml:space="preserve">Histidine Decarboxyase Like </t>
  </si>
  <si>
    <t>GO:0016020 (membrane); GO:0016021 (integral component of membrane); GO:0005737 (cytoplasm); GO:0003824 (catalytic activity); GO:0016829 (lyase activity); GO:0030170 (pyridoxal phosphate binding); GO:0019752 (carboxylic acid metabolic process); GO:0016831 (carboxy-lyase activity); GO:0006520 (cellular amino acid metabolic process); GO:0004058 (aromatic-L-amino-acid decarboxylase activity); GO:0006584 (catecholamine metabolic process); GO:0042427 (serotonin biosynthetic process)</t>
  </si>
  <si>
    <t xml:space="preserve">Uncharacterized transporter slc-17.3 </t>
  </si>
  <si>
    <t>GO:0016020 (membrane); GO:0016021 (integral component of membrane); GO:0006811 (ion transport); GO:0022857 (transmembrane transporter activity); GO:0055085 (transmembrane transport); GO:0006814 (sodium ion transport); GO:0015293 (symporter activity)</t>
  </si>
  <si>
    <t xml:space="preserve">Cyclin-Dependent Kinase family </t>
  </si>
  <si>
    <t>GO:0005634 (nucleus); GO:0005524 (ATP binding); GO:0004672 (protein kinase activity); GO:0006468 (protein phosphorylation); GO:0016301 (kinase activity); GO:0016310 (phosphorylation); GO:0000166 (nucleotide binding); GO:0016740 (transferase activity); GO:0005737 (cytoplasm); GO:0004674 (protein serine/threonine kinase activity); GO:0040019 (positive regulation of embryonic development); GO:0004693 (cyclin-dependent protein serine/threonine kinase activity); GO:0007346 (regulation of mitotic cell cycle); GO:0106310 (protein serine kinase activity); GO:0106311 (protein threonine kinase activity)</t>
  </si>
  <si>
    <t xml:space="preserve">Chondroitin sulfate synthase mig-22 </t>
  </si>
  <si>
    <t>GO:0032580 (Golgi cisterna membrane); GO:0008376 (acetylgalactosaminyltransferase activity)</t>
  </si>
  <si>
    <t>GO:0016020 (membrane); GO:0016021 (integral component of membrane); GO:0019915 (lipid storage)</t>
  </si>
  <si>
    <t xml:space="preserve">Nuclear hormone receptor family member nhr-115 </t>
  </si>
  <si>
    <t xml:space="preserve">Chromo domain-containing protein cec-4 </t>
  </si>
  <si>
    <t>GO:0097240 (chromosome attachment to the nuclear envelope); GO:0035064 (methylated histone binding)</t>
  </si>
  <si>
    <t>GO:0016021 (integral component of membrane); GO:0005765 (lysosomal membrane); GO:0032266 (phosphatidylinositol-3-phosphate binding); GO:0000421 (autophagosome membrane)</t>
  </si>
  <si>
    <t>GO:0005730 (nucleolus); GO:0000462 (maturation of SSU-rRNA from tricistronic rRNA transcript (SSU-rRNA, 5.8S rRNA, LSU-rRNA)); GO:0000469 (cleavage involved in rRNA processing); GO:0006364 (rRNA processing); GO:0030686 (90S preribosome); GO:0042254 (ribosome biogenesis)</t>
  </si>
  <si>
    <t xml:space="preserve">GTP cyclohydrolase I Feedback Regulatory Protein homolog </t>
  </si>
  <si>
    <t>GO:0016020 (membrane); GO:0005634 (nucleus); GO:0005737 (cytoplasm); GO:0016787 (hydrolase activity); GO:0005829 (cytosol); GO:0009890 (negative regulation of biosynthetic process); GO:0043105 (negative regulation of GTP cyclohydrolase I activity); GO:0044549 (GTP cyclohydrolase binding); GO:0031965 (nuclear membrane)</t>
  </si>
  <si>
    <t xml:space="preserve">Calmodulin </t>
  </si>
  <si>
    <t>GO:0019722 (calcium-mediated signaling); GO:0005509 (calcium ion binding); GO:0046872 (metal ion binding)</t>
  </si>
  <si>
    <t xml:space="preserve">Phosphatidate cytidylyltransferase </t>
  </si>
  <si>
    <t>GO:0004605 (phosphatidate cytidylyltransferase activity); GO:0016772 (transferase activity, transferring phosphorus-containing groups); GO:0016020 (membrane)</t>
  </si>
  <si>
    <t>GO:0016020 (membrane); GO:0016021 (integral component of membrane); GO:0005886 (plasma membrane); GO:0050775 (positive regulation of dendrite morphogenesis); GO:0002020 (protease binding); GO:0048814 (regulation of dendrite morphogenesis); GO:0070593 (dendrite self-avoidance); GO:1903859 (regulation of dendrite extension); GO:0032590 (dendrite membrane); GO:0048813 (dendrite morphogenesis); GO:0070983 (dendrite guidance); GO:0005515 (protein binding)</t>
  </si>
  <si>
    <t xml:space="preserve">Ceramide synthase hyl-2 </t>
  </si>
  <si>
    <t xml:space="preserve">Rho guanine nucleotide exchange factor osg-1 </t>
  </si>
  <si>
    <t>GO:0035556 (intracellular signal transduction); GO:0005085 (guanyl-nucleotide exchange factor activity)</t>
  </si>
  <si>
    <t>GO:0016491 (oxidoreductase activity); GO:0004777 (succinate-semialdehyde dehydrogenase (NAD+) activity); GO:0016620 (oxidoreductase activity, acting on the aldehyde or oxo group of donors, NAD or NADP as acceptor); GO:0055114 (oxidation-reduction process)</t>
  </si>
  <si>
    <t>GO:0016055 (Wnt signaling pathway)</t>
  </si>
  <si>
    <t>GO:0005739 (mitochondrion); GO:0045277 (respiratory chain complex IV)</t>
  </si>
  <si>
    <t>GO:0005737 (cytoplasm); GO:0003723 (RNA binding); GO:0003676 (nucleic acid binding); GO:0016853 (isomerase activity); GO:0005515 (protein binding); GO:0000413 (protein peptidyl-prolyl isomerization); GO:0003755 (peptidyl-prolyl cis-trans isomerase activity); GO:0016018 (cyclosporin A binding); GO:0006457 (protein folding); GO:0006915 (apoptotic process); GO:0004518 (nuclease activity); GO:0006309 (apoptotic DNA fragmentation)</t>
  </si>
  <si>
    <t xml:space="preserve">Metal transporter cnnm-3 </t>
  </si>
  <si>
    <t xml:space="preserve">Inositol hexakisphosphate and diphosphoinositol-pentakisphosphate kinase </t>
  </si>
  <si>
    <t>GO:0016301 (kinase activity); GO:0016310 (phosphorylation); GO:0000166 (nucleotide binding); GO:0016740 (transferase activity); GO:0005737 (cytoplasm); GO:0005524 (ATP binding); GO:0005829 (cytosol); GO:0000827 (inositol-1,3,4,5,6-pentakisphosphate kinase activity); GO:0000828 (inositol hexakisphosphate kinase activity); GO:0000829 (inositol heptakisphosphate kinase activity); GO:0000832 (inositol hexakisphosphate 5-kinase activity); GO:0006020 (inositol metabolic process); GO:0032958 (inositol phosphate biosynthetic process); GO:0033857 (diphosphoinositol-pentakisphosphate kinase activity); GO:0052723 (inositol hexakisphosphate 1-kinase activity); GO:0052724 (inositol hexakisphosphate 3-kinase activity); GO:0102092 (5-diphosphoinositol pentakisphosphate 3-kinase activity)</t>
  </si>
  <si>
    <t>GO:0000932 (P-body); GO:0030014 (CCR4-NOT complex); GO:0017148 (negative regulation of translation); GO:0030015 (CCR4-NOT core complex); GO:0006402 (mRNA catabolic process); GO:0031581 (hemidesmosome assembly)</t>
  </si>
  <si>
    <t xml:space="preserve">Histone-lysine N-methyltransferase set-1 </t>
  </si>
  <si>
    <t>GO:0005634 (nucleus); GO:0008168 (methyltransferase activity); GO:0032259 (methylation); GO:0016740 (transferase activity); GO:0018024 (histone-lysine N-methyltransferase activity); GO:0006325 (chromatin organization); GO:0005694 (chromosome); GO:0034968 (histone lysine methylation); GO:0009792 (embryo development ending in birth or egg hatching); GO:0005515 (protein binding)</t>
  </si>
  <si>
    <t xml:space="preserve">AP-1 complex subunit mu-1-I </t>
  </si>
  <si>
    <t>GO:0030131 (clathrin adaptor complex); GO:0016192 (vesicle-mediated transport); GO:0006886 (intracellular protein transport); GO:0009792 (embryo development ending in birth or egg hatching); GO:0002119 (nematode larval development); GO:0060271 (cilium assembly)</t>
  </si>
  <si>
    <t>GO:0005634 (nucleus); GO:0005737 (cytoplasm); GO:0003676 (nucleic acid binding); GO:0003723 (RNA binding); GO:0003729 (mRNA binding); GO:1990904 (ribonucleoprotein complex); GO:0005515 (protein binding); GO:0071014 (post-mRNA release spliceosomal complex); GO:2000815 (regulation of mRNA stability involved in response to oxidative stress)</t>
  </si>
  <si>
    <t xml:space="preserve">LIM domain-containing protein pin-2 </t>
  </si>
  <si>
    <t>GO:0005634 (nucleus); GO:0005524 (ATP binding); GO:0004672 (protein kinase activity); GO:0004674 (protein serine/threonine kinase activity); GO:0006468 (protein phosphorylation); GO:0016301 (kinase activity); GO:0016310 (phosphorylation); GO:0000166 (nucleotide binding); GO:0016740 (transferase activity); GO:0008033 (tRNA processing); GO:0000408 (EKC/KEOPS complex); GO:0070525 (tRNA threonylcarbamoyladenosine metabolic process); GO:0106310 (protein serine kinase activity); GO:0106311 (protein threonine kinase activity)</t>
  </si>
  <si>
    <t xml:space="preserve">ELL transcription elongation factor homolog </t>
  </si>
  <si>
    <t>GO:0005634 (nucleus); GO:0006368 (transcription elongation from RNA polymerase II promoter); GO:0008023 (transcription elongation factor complex)</t>
  </si>
  <si>
    <t>GO:0005524 (ATP binding); GO:0000166 (nucleotide binding); GO:0003774 (motor activity); GO:0007018 (microtubule-based movement); GO:0008017 (microtubule binding); GO:0007059 (chromosome segregation); GO:0003777 (microtubule motor activity); GO:1990939 (ATP-dependent microtubule motor activity)</t>
  </si>
  <si>
    <t xml:space="preserve">Probable cleavage and polyadenylation specificity factor subunit 2 </t>
  </si>
  <si>
    <t>GO:0005847 (mRNA cleavage and polyadenylation specificity factor complex); GO:0006379 (mRNA cleavage); GO:0006378 (mRNA polyadenylation)</t>
  </si>
  <si>
    <t>GO:0005516 (calmodulin binding); GO:0005515 (protein binding)</t>
  </si>
  <si>
    <t>GO:0016020 (membrane); GO:0016021 (integral component of membrane); GO:0090136 (epithelial cell-cell adhesion)</t>
  </si>
  <si>
    <t xml:space="preserve">Mannosyltransferase </t>
  </si>
  <si>
    <t>GO:0016020 (membrane); GO:0016021 (integral component of membrane); GO:0016740 (transferase activity); GO:0016757 (transferase activity, transferring glycosyl groups); GO:0005789 (endoplasmic reticulum membrane); GO:0006506 (GPI anchor biosynthetic process); GO:0005783 (endoplasmic reticulum); GO:0097502 (mannosylation); GO:0000030 (mannosyltransferase activity); GO:0000026 (alpha-1,2-mannosyltransferase activity); GO:0004376 (glycolipid mannosyltransferase activity)</t>
  </si>
  <si>
    <t>GO:0005634 (nucleus); GO:0000977 (RNA polymerase II transcription regulatory region sequence-specific DNA binding); GO:0006357 (regulation of transcription by RNA polymerase II); GO:0001228 (DNA-binding transcription activator activity, RNA polymerase II-specific); GO:0045944 (positive regulation of transcription by RNA polymerase II)</t>
  </si>
  <si>
    <t xml:space="preserve">MAFBx (F-box) protein homolog </t>
  </si>
  <si>
    <t>GO:0005634 (nucleus); GO:0016567 (protein ubiquitination); GO:0006508 (proteolysis); GO:0004190 (aspartic-type endopeptidase activity); GO:0005515 (protein binding)</t>
  </si>
  <si>
    <t>GO:0016020 (membrane); GO:0016021 (integral component of membrane); GO:0015031 (protein transport); GO:0005783 (endoplasmic reticulum); GO:0005789 (endoplasmic reticulum membrane); GO:0030176 (integral component of endoplasmic reticulum membrane); GO:0031204 (posttranslational protein targeting to membrane, translocation)</t>
  </si>
  <si>
    <t xml:space="preserve">EOR-2; EOR-2A </t>
  </si>
  <si>
    <t>GO:0005634 (nucleus); GO:0016055 (Wnt signaling pathway); GO:0002119 (nematode larval development); GO:0001708 (cell fate specification); GO:0040011 (locomotion); GO:0001764 (neuron migration); GO:0045138 (nematode male tail tip morphogenesis); GO:0007265 (Ras protein signal transduction); GO:0051402 (neuron apoptotic process)</t>
  </si>
  <si>
    <t xml:space="preserve">Serpentine receptor class alpha-39 </t>
  </si>
  <si>
    <t>GO:0016020 (membrane); GO:0016021 (integral component of membrane); GO:0005576 (extracellular region); GO:0006508 (proteolysis); GO:0005515 (protein binding)</t>
  </si>
  <si>
    <t>GO:0005737 (cytoplasm); GO:0016787 (hydrolase activity); GO:0046872 (metal ion binding); GO:0008270 (zinc ion binding); GO:0006508 (proteolysis); GO:0008233 (peptidase activity); GO:0008237 (metallopeptidase activity); GO:0042277 (peptide binding); GO:0004177 (aminopeptidase activity); GO:0043171 (peptide catabolic process); GO:0070006 (metalloaminopeptidase activity)</t>
  </si>
  <si>
    <t xml:space="preserve">SarcoGlycaN </t>
  </si>
  <si>
    <t>GO:0016020 (membrane); GO:0016021 (integral component of membrane); GO:0005856 (cytoskeleton); GO:0042383 (sarcolemma); GO:0016012 (sarcoglycan complex); GO:0060047 (heart contraction)</t>
  </si>
  <si>
    <t xml:space="preserve">Cell-death-related nuclease 7 </t>
  </si>
  <si>
    <t>GO:0016787 (hydrolase activity); GO:0006259 (DNA metabolic process); GO:0004531 (deoxyribonuclease II activity); GO:0006309 (apoptotic DNA fragmentation)</t>
  </si>
  <si>
    <t xml:space="preserve">Putative carboxypeptidase suro-1 </t>
  </si>
  <si>
    <t>GO:0016787 (hydrolase activity); GO:0046872 (metal ion binding); GO:0031410 (cytoplasmic vesicle); GO:0008270 (zinc ion binding); GO:0006508 (proteolysis); GO:0008233 (peptidase activity); GO:0008237 (metallopeptidase activity); GO:0005576 (extracellular region); GO:0005615 (extracellular space); GO:0004181 (metallocarboxypeptidase activity); GO:0004180 (carboxypeptidase activity); GO:0005737 (cytoplasm); GO:0060102 (collagen and cuticulin-based cuticle extracellular matrix)</t>
  </si>
  <si>
    <t xml:space="preserve">Major sperm protein 49 </t>
  </si>
  <si>
    <t>GO:0016020 (membrane); GO:0016021 (integral component of membrane); GO:0005783 (endoplasmic reticulum); GO:0005789 (endoplasmic reticulum membrane); GO:0072546 (ER membrane protein complex); GO:0005515 (protein binding)</t>
  </si>
  <si>
    <t xml:space="preserve">Glutathione reductase, mitochondrial </t>
  </si>
  <si>
    <t>GO:0016668 (oxidoreductase activity, acting on a sulfur group of donors, NAD(P) as acceptor); GO:0004362 (glutathione-disulfide reductase activity); GO:0045454 (cell redox homeostasis); GO:0006749 (glutathione metabolic process); GO:0050661 (NADP binding); GO:0016491 (oxidoreductase activity); GO:0055114 (oxidation-reduction process); GO:0050660 (flavin adenine dinucleotide binding)</t>
  </si>
  <si>
    <t xml:space="preserve">AP-2 complex subunit alpha </t>
  </si>
  <si>
    <t>GO:0016020 (membrane); GO:0006886 (intracellular protein transport); GO:0015031 (protein transport); GO:0016192 (vesicle-mediated transport); GO:0030117 (membrane coat); GO:0005515 (protein binding); GO:0006897 (endocytosis); GO:0006898 (receptor-mediated endocytosis); GO:0072583 (clathrin-dependent endocytosis); GO:0030131 (clathrin adaptor complex); GO:0035615 (clathrin adaptor activity); GO:0030122 (AP-2 adaptor complex); GO:0005905 (clathrin-coated pit); GO:0009792 (embryo development ending in birth or egg hatching); GO:0005886 (plasma membrane); GO:0008104 (protein localization); GO:0045202 (synapse); GO:0008022 (protein C-terminus binding); GO:0030139 (endocytic vesicle); GO:0036062 (presynaptic periactive zone); GO:0032794 (GTPase activating protein binding); GO:0045334 (clathrin-coated endocytic vesicle); GO:0140312 (cargo adaptor activity)</t>
  </si>
  <si>
    <t xml:space="preserve">NADPH:adrenodoxin oxidoreductase, mitochondrial </t>
  </si>
  <si>
    <t>GO:0005739 (mitochondrion); GO:0016491 (oxidoreductase activity); GO:0006744 (ubiquinone biosynthetic process); GO:0008203 (cholesterol metabolic process); GO:0015039 (NADPH-adrenodoxin reductase activity); GO:0055114 (oxidation-reduction process)</t>
  </si>
  <si>
    <t xml:space="preserve">Biogenesis of lysosome-related organelles complex 1 subunit 6 </t>
  </si>
  <si>
    <t xml:space="preserve">Putative selenium-binding protein </t>
  </si>
  <si>
    <t>GO:0008430 (selenium binding); GO:0003674 (molecular_function); GO:0005575 (cellular_component); GO:0008150 (biological_process)</t>
  </si>
  <si>
    <t xml:space="preserve">Ephrin receptor 1 </t>
  </si>
  <si>
    <t>GO:0016020 (membrane); GO:0016021 (integral component of membrane); GO:0005524 (ATP binding); GO:0005886 (plasma membrane); GO:0004672 (protein kinase activity); GO:0006468 (protein phosphorylation); GO:0016301 (kinase activity); GO:0016310 (phosphorylation); GO:0000166 (nucleotide binding); GO:0016740 (transferase activity); GO:0043005 (neuron projection); GO:0004713 (protein tyrosine kinase activity); GO:0005887 (integral component of plasma membrane); GO:0007275 (multicellular organism development); GO:0004714 (transmembrane receptor protein tyrosine kinase activity); GO:0007411 (axon guidance); GO:0005515 (protein binding); GO:0007169 (transmembrane receptor protein tyrosine kinase signaling pathway); GO:0043235 (receptor complex); GO:0007399 (nervous system development); GO:1902667 (regulation of axon guidance); GO:0010172 (embryonic body morphogenesis); GO:0005005 (transmembrane-ephrin receptor activity); GO:0016331 (morphogenesis of embryonic epithelium); GO:0048013 (ephrin receptor signaling pathway); GO:0009792 (embryo development ending in birth or egg hatching); GO:0019904 (protein domain specific binding); GO:0030424 (axon); GO:0001556 (oocyte maturation); GO:0007409 (axonogenesis); GO:0018108 (peptidyl-tyrosine phosphorylation); GO:0005003 (ephrin receptor activity); GO:0033674 (positive regulation of kinase activity)</t>
  </si>
  <si>
    <t>GO:0003676 (nucleic acid binding); GO:0001731 (formation of translation preinitiation complex); GO:0043024 (ribosomal small subunit binding); GO:0097010 (eukaryotic translation initiation factor 4F complex assembly); GO:0033592 (RNA strand annealing activity); GO:0034057 (RNA strand-exchange activity)</t>
  </si>
  <si>
    <t>GO:0016020 (membrane); GO:0006914 (autophagy); GO:0005737 (cytoplasm); GO:0000421 (autophagosome membrane)</t>
  </si>
  <si>
    <t xml:space="preserve">Kinesin light chain </t>
  </si>
  <si>
    <t>GO:0005871 (kinesin complex); GO:0005515 (protein binding)</t>
  </si>
  <si>
    <t xml:space="preserve">ADP-Ribosylation Factor related; ADP-ribosylation factor related (20.5 kD) (Arf-3) </t>
  </si>
  <si>
    <t>GO:0005525 (GTP binding); GO:0005886 (plasma membrane); GO:0000166 (nucleotide binding); GO:0006886 (intracellular protein transport); GO:0016192 (vesicle-mediated transport); GO:0009792 (embryo development ending in birth or egg hatching); GO:0007281 (germ cell development)</t>
  </si>
  <si>
    <t>GO:0005634 (nucleus); GO:0016740 (transferase activity); GO:0016706 (2-oxoglutarate-dependent dioxygenase activity); GO:0051864 (histone demethylase activity (H3-K36 specific)); GO:0070544 (histone H3-K36 demethylation); GO:0008080 (N-acetyltransferase activity); GO:0016746 (transferase activity, transferring acyl groups); GO:0004343 (glucosamine 6-phosphate N-acetyltransferase activity); GO:0006048 (UDP-N-acetylglucosamine biosynthetic process)</t>
  </si>
  <si>
    <t xml:space="preserve">Zinc finger protein unc-98 </t>
  </si>
  <si>
    <t>GO:0005634 (nucleus); GO:0046872 (metal ion binding); GO:0005737 (cytoplasm); GO:0003677 (DNA binding); GO:0007275 (multicellular organism development); GO:0005515 (protein binding); GO:0008270 (zinc ion binding); GO:0000977 (RNA polymerase II transcription regulatory region sequence-specific DNA binding); GO:0000981 (DNA-binding transcription factor activity, RNA polymerase II-specific); GO:0006357 (regulation of transcription by RNA polymerase II); GO:0030154 (cell differentiation); GO:0031430 (M band); GO:0017022 (myosin binding); GO:0040011 (locomotion); GO:0007517 (muscle organ development); GO:0032982 (myosin filament); GO:0007626 (locomotory behavior); GO:0030239 (myofibril assembly); GO:0040032 (post-embryonic body morphogenesis); GO:0008092 (cytoskeletal protein binding)</t>
  </si>
  <si>
    <t xml:space="preserve">ERCC (DNA excision repair protein) homolog </t>
  </si>
  <si>
    <t>GO:0016787 (hydrolase activity); GO:0005634 (nucleus); GO:0003677 (DNA binding); GO:0006281 (DNA repair); GO:0006974 (cellular response to DNA damage stimulus); GO:0004518 (nuclease activity); GO:0000110 (nucleotide-excision repair factor 1 complex); GO:0003684 (damaged DNA binding); GO:0003697 (single-stranded DNA binding); GO:0006296 (nucleotide-excision repair, DNA incision, 5'-to lesion); GO:0019899 (enzyme binding); GO:0006312 (mitotic recombination); GO:0042802 (identical protein binding); GO:0070914 (UV-damage excision repair); GO:0000710 (meiotic mismatch repair); GO:0070522 (ERCC4-ERCC1 complex); GO:0006284 (base-excision repair)</t>
  </si>
  <si>
    <t>GO:0016020 (membrane); GO:0016021 (integral component of membrane); GO:0005886 (plasma membrane); GO:0042995 (cell projection); GO:0032880 (regulation of protein localization); GO:0060271 (cilium assembly); GO:0035869 (ciliary transition zone); GO:0060170 (ciliary membrane); GO:1905515 (non-motile cilium assembly); GO:0003674 (molecular_function)</t>
  </si>
  <si>
    <t xml:space="preserve">MICOS complex subunit MIC13 </t>
  </si>
  <si>
    <t>GO:0016020 (membrane); GO:0016021 (integral component of membrane); GO:0005739 (mitochondrion); GO:0005743 (mitochondrial inner membrane); GO:0042407 (cristae formation); GO:0061617 (MICOS complex); GO:0044284 (mitochondrial crista junction)</t>
  </si>
  <si>
    <t>GO:0005524 (ATP binding); GO:0000166 (nucleotide binding); GO:0016887 (ATPase activity); GO:0034663 (endoplasmic reticulum chaperone complex); GO:0071456 (cellular response to hypoxia); GO:1903298 (negative regulation of hypoxia-induced intrinsic apoptotic signaling pathway); GO:0030968 (endoplasmic reticulum unfolded protein response)</t>
  </si>
  <si>
    <t xml:space="preserve">Putative bolA-like protein K11H12.1 </t>
  </si>
  <si>
    <t xml:space="preserve">Serpentine receptor class U-26 </t>
  </si>
  <si>
    <t xml:space="preserve">TRAK1 and TRAK2 related </t>
  </si>
  <si>
    <t>GO:0005739 (mitochondrion); GO:0006605 (protein targeting); GO:0031410 (cytoplasmic vesicle); GO:0047496 (vesicle transport along microtubule); GO:0017022 (myosin binding); GO:0048311 (mitochondrion distribution)</t>
  </si>
  <si>
    <t>GO:0005615 (extracellular space); GO:0005102 (signaling receptor binding); GO:0062023 (collagen-containing extracellular matrix)</t>
  </si>
  <si>
    <t>GO:0005634 (nucleus); GO:0005524 (ATP binding); GO:0005737 (cytoplasm); GO:0004672 (protein kinase activity); GO:0004674 (protein serine/threonine kinase activity); GO:0006468 (protein phosphorylation); GO:0016301 (kinase activity); GO:0016310 (phosphorylation); GO:0000166 (nucleotide binding); GO:0016740 (transferase activity); GO:0005829 (cytosol); GO:0007165 (signal transduction); GO:0090090 (negative regulation of canonical Wnt signaling pathway); GO:0030424 (axon)</t>
  </si>
  <si>
    <t xml:space="preserve">Probable ATP synthase subunit g 2, mitochondrial </t>
  </si>
  <si>
    <t xml:space="preserve">Probable cleavage and polyadenylation specificity factor subunit 1 </t>
  </si>
  <si>
    <t>GO:0003676 (nucleic acid binding); GO:0005515 (protein binding); GO:0005634 (nucleus)</t>
  </si>
  <si>
    <t xml:space="preserve">Nuclear hormone receptor family member nhr-61 </t>
  </si>
  <si>
    <t xml:space="preserve">Yes-associated protein homolog 1 </t>
  </si>
  <si>
    <t>GO:0005634 (nucleus); GO:0005737 (cytoplasm); GO:0045944 (positive regulation of transcription by RNA polymerase II); GO:0005856 (cytoskeleton); GO:0003713 (transcription coactivator activity); GO:0005929 (cilium); GO:0042995 (cell projection); GO:0035329 (hippo signaling); GO:0005930 (axoneme); GO:0097546 (ciliary base); GO:0019901 (protein kinase binding); GO:0090575 (RNA polymerase II transcription regulator complex); GO:0001085 (RNA polymerase II transcription factor binding); GO:0005515 (protein binding)</t>
  </si>
  <si>
    <t>GO:0046872 (metal ion binding); GO:0016020 (membrane); GO:0043231 (intracellular membrane-bounded organelle); GO:0009055 (electron transfer activity); GO:0022900 (electron transport chain); GO:0020037 (heme binding)</t>
  </si>
  <si>
    <t>GO:0016020 (membrane); GO:0016021 (integral component of membrane); GO:0005524 (ATP binding); GO:0042626 (ATPase-coupled transmembrane transporter activity); GO:0000166 (nucleotide binding); GO:0055085 (transmembrane transport); GO:1990170 (stress response to cadmium ion); GO:0016887 (ATPase activity); GO:0008559 (ATPase-coupled xenobiotic transmembrane transporter activity); GO:0042908 (xenobiotic transport)</t>
  </si>
  <si>
    <t xml:space="preserve">Disorganized muscle protein 1 </t>
  </si>
  <si>
    <t>GO:0007411 (axon guidance); GO:0005886 (plasma membrane); GO:0007155 (cell adhesion); GO:0005515 (protein binding)</t>
  </si>
  <si>
    <t>GO:0016020 (membrane); GO:0006811 (ion transport); GO:0005739 (mitochondrion); GO:0005743 (mitochondrial inner membrane); GO:0015078 (proton transmembrane transporter activity); GO:0015986 (ATP synthesis coupled proton transport); GO:0000276 (mitochondrial proton-transporting ATP synthase complex, coupling factor F(o)); GO:0005753 (mitochondrial proton-transporting ATP synthase complex); GO:0006754 (ATP biosynthetic process); GO:0045263 (proton-transporting ATP synthase complex, coupling factor F(o))</t>
  </si>
  <si>
    <t xml:space="preserve">Abhydrolase domain-containing protein abhd-5.2 </t>
  </si>
  <si>
    <t xml:space="preserve">Non-specific lipid-transfer protein-like 2 </t>
  </si>
  <si>
    <t>GO:0016747 (transferase activity, transferring acyl groups other than amino-acyl groups); GO:0016746 (transferase activity, transferring acyl groups)</t>
  </si>
  <si>
    <t xml:space="preserve">Putative zinc finger matrin-type protein snu-23 </t>
  </si>
  <si>
    <t>GO:0005634 (nucleus); GO:0046872 (metal ion binding); GO:0008270 (zinc ion binding); GO:0000398 (mRNA splicing, via spliceosome); GO:0046540 (U4/U6 x U5 tri-snRNP complex); GO:0003676 (nucleic acid binding); GO:0003677 (DNA binding); GO:0005681 (spliceosomal complex)</t>
  </si>
  <si>
    <t>GO:0005737 (cytoplasm); GO:0005739 (mitochondrion); GO:0051536 (iron-sulfur cluster binding); GO:0016226 (iron-sulfur cluster assembly); GO:0051537 (2 iron, 2 sulfur cluster binding); GO:0097428 (protein maturation by iron-sulfur cluster transfer); GO:0005198 (structural molecule activity)</t>
  </si>
  <si>
    <t xml:space="preserve">Alpha-(1,6)-fucosyltransferase </t>
  </si>
  <si>
    <t>GO:0033578 (protein glycosylation in Golgi); GO:0008424 (glycoprotein 6-alpha-L-fucosyltransferase activity); GO:0032580 (Golgi cisterna membrane); GO:0016021 (integral component of membrane); GO:0005515 (protein binding)</t>
  </si>
  <si>
    <t>GO:0046872 (metal ion binding); GO:0006801 (superoxide metabolic process)</t>
  </si>
  <si>
    <t xml:space="preserve">Helicase ssl-1 </t>
  </si>
  <si>
    <t>GO:0005524 (ATP binding); GO:0016787 (hydrolase activity); GO:0004386 (helicase activity); GO:0005634 (nucleus); GO:0000166 (nucleotide binding); GO:0003677 (DNA binding); GO:0007275 (multicellular organism development); GO:0042393 (histone binding); GO:0006325 (chromatin organization); GO:0009996 (negative regulation of cell fate specification); GO:0000812 (Swr1 complex); GO:0043486 (histone exchange); GO:0043044 (ATP-dependent chromatin remodeling); GO:0016458 (gene silencing); GO:0070615 (nucleosome-dependent ATPase activity)</t>
  </si>
  <si>
    <t>GO:0000815 (ESCRT III complex); GO:0005771 (multivesicular body); GO:0007034 (vacuolar transport); GO:0032511 (late endosome to vacuole transport via multivesicular body sorting pathway); GO:0006900 (vesicle budding from membrane)</t>
  </si>
  <si>
    <t xml:space="preserve">Nucleolar protein dao-5 </t>
  </si>
  <si>
    <t xml:space="preserve">Signal recognition particle 54 kDa protein </t>
  </si>
  <si>
    <t>GO:0003924 (GTPase activity); GO:0005525 (GTP binding); GO:0000166 (nucleotide binding); GO:0005737 (cytoplasm); GO:0003723 (RNA binding); GO:0005829 (cytosol); GO:0006616 (SRP-dependent cotranslational protein targeting to membrane, translocation); GO:0006614 (SRP-dependent cotranslational protein targeting to membrane); GO:0005786 (signal recognition particle, endoplasmic reticulum targeting); GO:0008312 (7S RNA binding); GO:0045047 (protein targeting to ER); GO:0048500 (signal recognition particle); GO:0030942 (endoplasmic reticulum signal peptide binding)</t>
  </si>
  <si>
    <t>GO:0005737 (cytoplasm); GO:0016740 (transferase activity); GO:0018344 (protein geranylgeranylation); GO:0005968 (Rab-protein geranylgeranyltransferase complex); GO:0008318 (protein prenyltransferase activity); GO:0018342 (protein prenylation); GO:0004659 (prenyltransferase activity); GO:0004663 (Rab geranylgeranyltransferase activity); GO:0005515 (protein binding); GO:0018215 (protein phosphopantetheinylation)</t>
  </si>
  <si>
    <t xml:space="preserve">Odorant response abnormal protein 4 </t>
  </si>
  <si>
    <t>GO:0016020 (membrane); GO:0016021 (integral component of membrane); GO:0006506 (GPI anchor biosynthetic process); GO:0000506 (glycosylphosphatidylinositol-N-acetylglucosaminyltransferase (GPI-GnT) complex); GO:0017176 (phosphatidylinositol N-acetylglucosaminyltransferase activity); GO:0005783 (endoplasmic reticulum)</t>
  </si>
  <si>
    <t xml:space="preserve">LIM/homeobox protein ttx-3 </t>
  </si>
  <si>
    <t>GO:0005634 (nucleus); GO:0003677 (DNA binding); GO:0046872 (metal ion binding); GO:0006355 (regulation of transcription, DNA-templated); GO:0042995 (cell projection); GO:0000977 (RNA polymerase II transcription regulatory region sequence-specific DNA binding); GO:0000981 (DNA-binding transcription factor activity, RNA polymerase II-specific); GO:0006357 (regulation of transcription by RNA polymerase II); GO:0030182 (neuron differentiation); GO:0030424 (axon); GO:0043204 (perikaryon); GO:0045664 (regulation of neuron differentiation); GO:0030516 (regulation of axon extension); GO:0040024 (dauer larval development); GO:0008355 (olfactory learning); GO:0040040 (thermosensory behavior); GO:0007409 (axonogenesis); GO:0043052 (thermotaxis); GO:0022401 (negative adaptation of signaling pathway); GO:0008306 (associative learning); GO:0045893 (positive regulation of transcription, DNA-templated); GO:0061066 (positive regulation of dauer larval development); GO:1902667 (regulation of axon guidance); GO:1904081 (positive regulation of transcription from RNA polymerase II promoter involved in neuron differentiation)</t>
  </si>
  <si>
    <t xml:space="preserve">Thioredoxin reductase-like selenoprotein T homolog selt-1.1 </t>
  </si>
  <si>
    <t>GO:0016491 (oxidoreductase activity); GO:0005789 (endoplasmic reticulum membrane); GO:0098869 (cellular oxidant detoxification); GO:0005783 (endoplasmic reticulum); GO:0004791 (thioredoxin-disulfide reductase activity); GO:0045454 (cell redox homeostasis)</t>
  </si>
  <si>
    <t>GO:0005515 (protein binding); GO:0005102 (signaling receptor binding); GO:0005576 (extracellular region); GO:0007154 (cell communication)</t>
  </si>
  <si>
    <t xml:space="preserve">Serpentine receptor class beta-18 </t>
  </si>
  <si>
    <t xml:space="preserve">Serpentine receptor class alpha-1 </t>
  </si>
  <si>
    <t xml:space="preserve">Nuclear hormone receptor family member nhr-77 </t>
  </si>
  <si>
    <t>GO:0016020 (membrane); GO:0016021 (integral component of membrane); GO:0030206 (chondroitin sulfate biosynthetic process); GO:0047756 (chondroitin 4-sulfotransferase activity); GO:1902884 (positive regulation of response to oxidative stress)</t>
  </si>
  <si>
    <t>GO:0005581 (collagen trimer); GO:0016020 (membrane); GO:0016021 (integral component of membrane)</t>
  </si>
  <si>
    <t xml:space="preserve">OPSin related </t>
  </si>
  <si>
    <t xml:space="preserve">Putative T-box protein 34 </t>
  </si>
  <si>
    <t>GO:0016020 (membrane); GO:0016021 (integral component of membrane); GO:0035869 (ciliary transition zone); GO:1905515 (non-motile cilium assembly); GO:1904491 (protein localization to ciliary transition zone)</t>
  </si>
  <si>
    <t>GO:0005886 (plasma membrane); GO:0002142 (stereocilia ankle link complex); GO:0032426 (stereocilium tip); GO:0001917 (photoreceptor inner segment); GO:0032391 (photoreceptor connecting cilium); GO:0007605 (sensory perception of sound); GO:0050953 (sensory perception of light stimulus); GO:0005515 (protein binding)</t>
  </si>
  <si>
    <t xml:space="preserve">Kelch repeat and BTB domain-containing protein F47D12.7 </t>
  </si>
  <si>
    <t>GO:0005829 (cytosol); GO:0005975 (carbohydrate metabolic process); GO:0016310 (phosphorylation); GO:0016773 (phosphotransferase activity, alcohol group as acceptor); GO:0050277 (sedoheptulokinase activity)</t>
  </si>
  <si>
    <t xml:space="preserve">Heme transporter hrg-5 </t>
  </si>
  <si>
    <t>GO:0005829 (cytosol); GO:0016491 (oxidoreductase activity); GO:0007638 (mechanosensory behavior); GO:0050976 (detection of mechanical stimulus involved in sensory perception of touch); GO:1905789 (positive regulation of detection of mechanical stimulus involved in sensory perception of touch); GO:1905792 (positive regulation of mechanosensory behavior); GO:0055114 (oxidation-reduction process); GO:0047834 (D-threo-aldose 1-dehydrogenase activity); GO:0010349 (L-galactose dehydrogenase activity)</t>
  </si>
  <si>
    <t>GO:0016020 (membrane); GO:0016021 (integral component of membrane); GO:0005886 (plasma membrane); GO:0034220 (ion transmembrane transport); GO:0004970 (ionotropic glutamate receptor activity); GO:0035235 (ionotropic glutamate receptor signaling pathway); GO:0015276 (ligand-gated ion channel activity)</t>
  </si>
  <si>
    <t xml:space="preserve">Kynurenine 3-MonoOxygenase </t>
  </si>
  <si>
    <t>GO:0016020 (membrane); GO:0016021 (integral component of membrane); GO:0004497 (monooxygenase activity); GO:0005741 (mitochondrial outer membrane); GO:0004502 (kynurenine 3-monooxygenase activity); GO:0016174 (NAD(P)H oxidase H2O2-forming activity); GO:0019674 (NAD metabolic process); GO:0050660 (flavin adenine dinucleotide binding); GO:0070189 (kynurenine metabolic process); GO:0071949 (FAD binding)</t>
  </si>
  <si>
    <t xml:space="preserve">BK channel Interacting Protein </t>
  </si>
  <si>
    <t>GO:0016020 (membrane); GO:0016021 (integral component of membrane); GO:0043005 (neuron projection); GO:0055120 (striated muscle dense body); GO:0044325 (ion channel binding); GO:0032412 (regulation of ion transmembrane transporter activity)</t>
  </si>
  <si>
    <t xml:space="preserve">Osmotic stress resistance protein </t>
  </si>
  <si>
    <t xml:space="preserve">Nuclear hormone receptor FAX-1 </t>
  </si>
  <si>
    <t>GO:0005634 (nucleus); GO:0046872 (metal ion binding); GO:0003700 (DNA-binding transcription factor activity); GO:0006355 (regulation of transcription, DNA-templated); GO:0008270 (zinc ion binding); GO:0043565 (sequence-specific DNA binding); GO:0003677 (DNA binding); GO:0004879 (nuclear receptor activity); GO:0030522 (intracellular receptor signaling pathway); GO:0045944 (positive regulation of transcription by RNA polymerase II); GO:0000978 (RNA polymerase II cis-regulatory region sequence-specific DNA binding); GO:0006357 (regulation of transcription by RNA polymerase II); GO:0030154 (cell differentiation); GO:0048856 (anatomical structure development); GO:0007626 (locomotory behavior); GO:0043058 (regulation of backward locomotion); GO:0048665 (neuron fate specification); GO:0043059 (regulation of forward locomotion)</t>
  </si>
  <si>
    <t>GO:0007528 (neuromuscular junction development); GO:0019901 (protein kinase binding); GO:0061098 (positive regulation of protein tyrosine kinase activity)</t>
  </si>
  <si>
    <t xml:space="preserve">Degenerin del-1 </t>
  </si>
  <si>
    <t>GO:0005272 (sodium channel activity); GO:0006811 (ion transport); GO:0005216 (ion channel activity); GO:0006814 (sodium ion transport); GO:0016021 (integral component of membrane); GO:0016020 (membrane); GO:0034220 (ion transmembrane transport); GO:0035725 (sodium ion transmembrane transport)</t>
  </si>
  <si>
    <t>GO:0016567 (protein ubiquitination); GO:0046872 (metal ion binding); GO:0006511 (ubiquitin-dependent protein catabolic process); GO:0008270 (zinc ion binding); GO:0042981 (regulation of apoptotic process)</t>
  </si>
  <si>
    <t>GO:0016491 (oxidoreductase activity); GO:0016616 (oxidoreductase activity, acting on the CH-OH group of donors, NAD or NADP as acceptor); GO:0005811 (lipid droplet); GO:0055114 (oxidation-reduction process)</t>
  </si>
  <si>
    <t xml:space="preserve">Caveolin-2 </t>
  </si>
  <si>
    <t>GO:0070836 (caveola assembly); GO:0055085 (transmembrane transport); GO:0016020 (membrane)</t>
  </si>
  <si>
    <t xml:space="preserve">Proton-gated ion channel subunit pbo-5 </t>
  </si>
  <si>
    <t>GO:0016020 (membrane); GO:0005764 (lysosome); GO:0005765 (lysosomal membrane); GO:0099078 (BORC complex)</t>
  </si>
  <si>
    <t xml:space="preserve">High zinc activated nuclear receptor protein </t>
  </si>
  <si>
    <t>GO:0008168 (methyltransferase activity); GO:0032259 (methylation); GO:0046872 (metal ion binding); GO:0016740 (transferase activity); GO:0009086 (methionine biosynthetic process); GO:0008898 (S-adenosylmethionine-homocysteine S-methyltransferase activity); GO:0033528 (S-methylmethionine cycle)</t>
  </si>
  <si>
    <t xml:space="preserve">Diphthine synthase </t>
  </si>
  <si>
    <t>GO:0008168 (methyltransferase activity); GO:0032259 (methylation); GO:0016740 (transferase activity); GO:0017183 (peptidyl-diphthamide biosynthetic process from peptidyl-histidine); GO:0004164 (diphthine synthase activity)</t>
  </si>
  <si>
    <t xml:space="preserve">Vitellogenin-1 </t>
  </si>
  <si>
    <t>GO:0005886 (plasma membrane); GO:0004222 (metalloendopeptidase activity); GO:0006508 (proteolysis); GO:0016485 (protein processing)</t>
  </si>
  <si>
    <t xml:space="preserve">Cell death specification protein 2 </t>
  </si>
  <si>
    <t>GO:0006357 (regulation of transcription by RNA polymerase II); GO:0003700 (DNA-binding transcription factor activity); GO:0006355 (regulation of transcription, DNA-templated)</t>
  </si>
  <si>
    <t>GO:0005634 (nucleus); GO:0005524 (ATP binding); GO:0000166 (nucleotide binding); GO:0003774 (motor activity); GO:0005874 (microtubule); GO:0008574 (ATP-dependent microtubule motor activity, plus-end-directed); GO:0003777 (microtubule motor activity); GO:0007018 (microtubule-based movement); GO:0008017 (microtubule binding); GO:0005876 (spindle microtubule); GO:0090307 (mitotic spindle assembly); GO:0005819 (spindle); GO:0051233 (spindle midzone); GO:0000922 (spindle pole); GO:1990939 (ATP-dependent microtubule motor activity); GO:0005515 (protein binding); GO:1902845 (negative regulation of mitotic spindle elongation)</t>
  </si>
  <si>
    <t xml:space="preserve">Choline kinase B2 </t>
  </si>
  <si>
    <t xml:space="preserve">Coronin-like protein cor-1 </t>
  </si>
  <si>
    <t xml:space="preserve">CALmodulin related genes; Calmodulin-like protein </t>
  </si>
  <si>
    <t xml:space="preserve">RNA interference defective protein 11 </t>
  </si>
  <si>
    <t>GO:0046872 (metal ion binding); GO:0031047 (gene silencing by RNA); GO:0006417 (regulation of translation)</t>
  </si>
  <si>
    <t xml:space="preserve">Transcription factor unc-37 </t>
  </si>
  <si>
    <t>GO:0005634 (nucleus); GO:0006355 (regulation of transcription, DNA-templated); GO:0007275 (multicellular organism development); GO:0005515 (protein binding); GO:0090090 (negative regulation of canonical Wnt signaling pathway); GO:0005667 (transcription regulator complex); GO:0003714 (transcription corepressor activity); GO:0070491 (repressing transcription factor binding); GO:0045892 (negative regulation of transcription, DNA-templated); GO:0008134 (transcription factor binding); GO:0001505 (regulation of neurotransmitter levels); GO:0007268 (chemical synaptic transmission); GO:0050770 (regulation of axonogenesis); GO:0050803 (regulation of synapse structure or activity); GO:0045202 (synapse)</t>
  </si>
  <si>
    <t>GO:0090501 (RNA phosphodiester bond hydrolysis); GO:0090502 (RNA phosphodiester bond hydrolysis, endonucleolytic); GO:0004526 (ribonuclease P activity); GO:0001682 (tRNA 5'-leader removal); GO:0008535 (respiratory chain complex IV assembly); GO:0097745 (mitochondrial tRNA 5'-end processing); GO:0030678 (mitochondrial ribonuclease P complex); GO:0005739 (mitochondrion); GO:0045277 (respiratory chain complex IV)</t>
  </si>
  <si>
    <t xml:space="preserve">Probable splicing factor, arginine/serine-rich 2 </t>
  </si>
  <si>
    <t>GO:0005634 (nucleus); GO:0000398 (mRNA splicing, via spliceosome); GO:0003723 (RNA binding); GO:0003676 (nucleic acid binding); GO:0016607 (nuclear speck); GO:0007275 (multicellular organism development); GO:0003729 (mRNA binding); GO:0008406 (gonad development); GO:0006397 (mRNA processing); GO:0008380 (RNA splicing); GO:0030154 (cell differentiation); GO:0007283 (spermatogenesis); GO:0002119 (nematode larval development); GO:0040008 (regulation of growth); GO:0007506 (gonadal mesoderm development); GO:0040009 (regulation of growth rate)</t>
  </si>
  <si>
    <t>GO:0035556 (intracellular signal transduction); GO:0015035 (protein disulfide oxidoreductase activity)</t>
  </si>
  <si>
    <t>GO:0016020 (membrane); GO:0016021 (integral component of membrane); GO:0016192 (vesicle-mediated transport); GO:0006886 (intracellular protein transport); GO:0000149 (SNARE binding); GO:0031201 (SNARE complex); GO:0005484 (SNAP receptor activity); GO:0006906 (vesicle fusion); GO:0012505 (endomembrane system); GO:0008021 (synaptic vesicle); GO:0048278 (vesicle docking)</t>
  </si>
  <si>
    <t>GO:0050660 (flavin adenine dinucleotide binding); GO:0016491 (oxidoreductase activity); GO:0016614 (oxidoreductase activity, acting on CH-OH group of donors); GO:0055114 (oxidation-reduction process)</t>
  </si>
  <si>
    <t xml:space="preserve">MEL-46 </t>
  </si>
  <si>
    <t>GO:0005524 (ATP binding); GO:0016787 (hydrolase activity); GO:0004386 (helicase activity); GO:0000166 (nucleotide binding); GO:0000398 (mRNA splicing, via spliceosome); GO:0003723 (RNA binding); GO:0003676 (nucleic acid binding); GO:0006406 (mRNA export from nucleus); GO:0003724 (RNA helicase activity)</t>
  </si>
  <si>
    <t xml:space="preserve">ACaD (ACAD, acyl-CoA Dehydrogenase) Sequence homolog </t>
  </si>
  <si>
    <t>GO:0016787 (hydrolase activity); GO:0016627 (oxidoreductase activity, acting on the CH-CH group of donors); GO:0050660 (flavin adenine dinucleotide binding); GO:0055114 (oxidation-reduction process)</t>
  </si>
  <si>
    <t xml:space="preserve">Suppressor of activated egl-4 protein 1 </t>
  </si>
  <si>
    <t>GO:0005634 (nucleus); GO:0046872 (metal ion binding); GO:0045892 (negative regulation of transcription, DNA-templated); GO:0005667 (transcription regulator complex); GO:0003714 (transcription corepressor activity); GO:0016575 (histone deacetylation); GO:0006357 (regulation of transcription by RNA polymerase II); GO:0000118 (histone deacetylase complex)</t>
  </si>
  <si>
    <t xml:space="preserve">Cuticle collagen 19 </t>
  </si>
  <si>
    <t xml:space="preserve">Mitogen-activated protein kinase kinase kinase mlk-1 </t>
  </si>
  <si>
    <t>GO:0016787 (hydrolase activity); GO:0016579 (protein deubiquitination); GO:0004843 (thiol-dependent ubiquitin-specific protease activity); GO:0006511 (ubiquitin-dependent protein catabolic process); GO:0006508 (proteolysis); GO:0008233 (peptidase activity); GO:0008234 (cysteine-type peptidase activity)</t>
  </si>
  <si>
    <t>GO:0016020 (membrane); GO:0016021 (integral component of membrane); GO:0000139 (Golgi membrane); GO:0016529 (sarcoplasmic reticulum)</t>
  </si>
  <si>
    <t xml:space="preserve">Transcription initiation factor TFIID subunit 1 </t>
  </si>
  <si>
    <t>GO:0003677 (DNA binding); GO:0005634 (nucleus); GO:0016573 (histone acetylation); GO:0005669 (transcription factor TFIID complex); GO:0051123 (RNA polymerase II preinitiation complex assembly); GO:0006468 (protein phosphorylation); GO:0006352 (DNA-templated transcription, initiation); GO:0017025 (TBP-class protein binding); GO:0009792 (embryo development ending in birth or egg hatching); GO:0004674 (protein serine/threonine kinase activity); GO:0006367 (transcription initiation from RNA polymerase II promoter); GO:0004402 (histone acetyltransferase activity); GO:0005515 (protein binding); GO:0016251 (RNA polymerase II general transcription initiation factor activity); GO:0000976 (transcription regulatory region sequence-specific DNA binding)</t>
  </si>
  <si>
    <t>GO:0005886 (plasma membrane); GO:0000149 (SNARE binding); GO:0001786 (phosphatidylserine binding); GO:0005509 (calcium ion binding); GO:0005544 (calcium-dependent phospholipid binding); GO:0014059 (regulation of dopamine secretion); GO:0016192 (vesicle-mediated transport); GO:0017156 (calcium-ion regulated exocytosis); GO:0017158 (regulation of calcium ion-dependent exocytosis); GO:0019905 (syntaxin binding); GO:0030276 (clathrin binding); GO:0070382 (exocytic vesicle); GO:0071277 (cellular response to calcium ion)</t>
  </si>
  <si>
    <t xml:space="preserve">Deacetylase Complex Protein </t>
  </si>
  <si>
    <t>GO:0000122 (negative regulation of transcription by RNA polymerase II); GO:0005634 (nucleus); GO:0003677 (DNA binding); GO:0016581 (NuRD complex); GO:0006325 (chromatin organization); GO:0000981 (DNA-binding transcription factor activity, RNA polymerase II-specific); GO:0045944 (positive regulation of transcription by RNA polymerase II); GO:0034514 (mitochondrial unfolded protein response)</t>
  </si>
  <si>
    <t xml:space="preserve">Skp1-related protein </t>
  </si>
  <si>
    <t>GO:0005634 (nucleus); GO:0005737 (cytoplasm); GO:0006511 (ubiquitin-dependent protein catabolic process); GO:0007275 (multicellular organism development); GO:0005515 (protein binding); GO:0007399 (nervous system development); GO:0010826 (negative regulation of centrosome duplication); GO:0031647 (regulation of protein stability); GO:0043518 (negative regulation of DNA damage response, signal transduction by p53 class mediator); GO:0046660 (female sex differentiation); GO:1902230 (negative regulation of intrinsic apoptotic signaling pathway in response to DNA damage); GO:0031146 (SCF-dependent proteasomal ubiquitin-dependent protein catabolic process); GO:0097602 (cullin family protein binding); GO:0010629 (negative regulation of gene expression); GO:0043065 (positive regulation of apoptotic process)</t>
  </si>
  <si>
    <t xml:space="preserve">Polycomb protein mes-3 </t>
  </si>
  <si>
    <t>GO:0016571 (histone methylation); GO:0070734 (histone H3-K27 methylation); GO:0000786 (nucleosome); GO:0031519 (PcG protein complex)</t>
  </si>
  <si>
    <t>GO:0005737 (cytoplasm); GO:0046872 (metal ion binding); GO:0003723 (RNA binding); GO:0000381 (regulation of alternative mRNA splicing, via spliceosome); GO:0005654 (nucleoplasm)</t>
  </si>
  <si>
    <t xml:space="preserve">MAO-C-like dehydratase domain </t>
  </si>
  <si>
    <t>GO:0003857 (3-hydroxyacyl-CoA dehydrogenase activity); GO:0005777 (peroxisome); GO:0006635 (fatty acid beta-oxidation); GO:0042802 (identical protein binding); GO:0004300 (enoyl-CoA hydratase activity); GO:0045087 (innate immune response); GO:0050829 (defense response to Gram-negative bacterium); GO:0016508 (long-chain-enoyl-CoA hydratase activity); GO:0005778 (peroxisomal membrane); GO:0044594 (17-beta-hydroxysteroid dehydrogenase (NAD+) activity)</t>
  </si>
  <si>
    <t xml:space="preserve">ER lumen protein-retaining receptor </t>
  </si>
  <si>
    <t>GO:0016021 (integral component of membrane); GO:0006621 (protein retention in ER lumen); GO:0046923 (ER retention sequence binding)</t>
  </si>
  <si>
    <t>GO:0046872 (metal ion binding); GO:0008270 (zinc ion binding); GO:0006260 (DNA replication)</t>
  </si>
  <si>
    <t>GO:0016020 (membrane); GO:0016021 (integral component of membrane); GO:0016301 (kinase activity); GO:0016310 (phosphorylation); GO:0000166 (nucleotide binding); GO:0016740 (transferase activity); GO:0007165 (signal transduction); GO:0005524 (ATP binding); GO:0035556 (intracellular signal transduction); GO:0003951 (NAD+ kinase activity); GO:0004143 (diacylglycerol kinase activity); GO:0007205 (protein kinase C-activating G protein-coupled receptor signaling pathway); GO:0046339 (diacylglycerol metabolic process); GO:0046834 (lipid phosphorylation)</t>
  </si>
  <si>
    <t>GO:0005739 (mitochondrion); GO:0016491 (oxidoreductase activity); GO:0055114 (oxidation-reduction process)</t>
  </si>
  <si>
    <t xml:space="preserve">AP complex subunit sigma </t>
  </si>
  <si>
    <t>GO:0016020 (membrane); GO:0006886 (intracellular protein transport); GO:0015031 (protein transport); GO:0016192 (vesicle-mediated transport); GO:0030117 (membrane coat); GO:0043231 (intracellular membrane-bounded organelle); GO:0045176 (apical protein localization); GO:0030121 (AP-1 adaptor complex)</t>
  </si>
  <si>
    <t xml:space="preserve">MeValonate Kinase </t>
  </si>
  <si>
    <t>GO:0005524 (ATP binding); GO:0016301 (kinase activity); GO:0016310 (phosphorylation); GO:0000166 (nucleotide binding); GO:0005829 (cytosol); GO:0006695 (cholesterol biosynthetic process); GO:0019287 (isopentenyl diphosphate biosynthetic process, mevalonate pathway); GO:0004496 (mevalonate kinase activity)</t>
  </si>
  <si>
    <t xml:space="preserve">1-phosphatidylinositol 4,5-bisphosphate phosphodiesterase beta egl-8 </t>
  </si>
  <si>
    <t>GO:0008081 (phosphoric diester hydrolase activity); GO:0004435 (phosphatidylinositol phospholipase C activity); GO:0006629 (lipid metabolic process); GO:0035556 (intracellular signal transduction); GO:0005509 (calcium ion binding); GO:0007165 (signal transduction); GO:0016787 (hydrolase activity); GO:0016042 (lipid catabolic process)</t>
  </si>
  <si>
    <t xml:space="preserve">Serine/threonine-protein kinase smg-1 </t>
  </si>
  <si>
    <t>GO:0005634 (nucleus); GO:0004674 (protein serine/threonine kinase activity); GO:0016301 (kinase activity); GO:0016310 (phosphorylation); GO:0046872 (metal ion binding); GO:0000166 (nucleotide binding); GO:0016740 (transferase activity); GO:0005737 (cytoplasm); GO:0005524 (ATP binding); GO:0006468 (protein phosphorylation); GO:0000184 (nuclear-transcribed mRNA catabolic process, nonsense-mediated decay); GO:0031931 (TORC1 complex); GO:0031932 (TORC2 complex); GO:0016242 (negative regulation of macroautophagy); GO:0038202 (TORC1 signaling); GO:0071030 (nuclear mRNA surveillance of spliceosomal pre-mRNA splicing); GO:0030539 (male genitalia development); GO:0040035 (hermaphrodite genitalia development); GO:0005515 (protein binding); GO:0106310 (protein serine kinase activity); GO:0106311 (protein threonine kinase activity)</t>
  </si>
  <si>
    <t xml:space="preserve">Heat shock protein Hsp-16.2 </t>
  </si>
  <si>
    <t>GO:0005509 (calcium ion binding); GO:0005737 (cytoplasm); GO:0001786 (phosphatidylserine binding); GO:0005544 (calcium-dependent phospholipid binding); GO:0005545 (1-phosphatidylinositol binding); GO:0008201 (heparin binding); GO:0008429 (phosphatidylethanolamine binding); GO:0043652 (engulfment of apoptotic cell); GO:0005886 (plasma membrane); GO:0043231 (intracellular membrane-bounded organelle)</t>
  </si>
  <si>
    <t xml:space="preserve">SUn (SUN) domain Containing Ossification factor homolog </t>
  </si>
  <si>
    <t>GO:0016020 (membrane); GO:0016021 (integral component of membrane); GO:0005737 (cytoplasm)</t>
  </si>
  <si>
    <t>GO:0005737 (cytoplasm); GO:0010629 (negative regulation of gene expression); GO:0003674 (molecular_function); GO:0040034 (regulation of development, heterochronic)</t>
  </si>
  <si>
    <t>GO:0005737 (cytoplasm); GO:0000932 (P-body); GO:0005829 (cytosol); GO:0022008 (neurogenesis); GO:0005515 (protein binding)</t>
  </si>
  <si>
    <t>GO:0005634 (nucleus); GO:0007179 (transforming growth factor beta receptor signaling pathway); GO:0045138 (nematode male tail tip morphogenesis); GO:0003674 (molecular_function)</t>
  </si>
  <si>
    <t xml:space="preserve">Eukaryotic translation initiation factor 4E-2 </t>
  </si>
  <si>
    <t xml:space="preserve">MICOS complex subunit MIC27 </t>
  </si>
  <si>
    <t>GO:0042407 (cristae formation); GO:0061617 (MICOS complex)</t>
  </si>
  <si>
    <t xml:space="preserve">E3 ubiquitin-protein ligase etc-1 </t>
  </si>
  <si>
    <t xml:space="preserve">Probable NADH dehydrogenase [ubiquinone] iron-sulfur protein 2, mitochondrial </t>
  </si>
  <si>
    <t>GO:0048038 (quinone binding); GO:0016651 (oxidoreductase activity, acting on NAD(P)H); GO:0051287 (NAD binding); GO:0055114 (oxidation-reduction process)</t>
  </si>
  <si>
    <t>GO:0003824 (catalytic activity); GO:0008152 (metabolic process); GO:0016787 (hydrolase activity); GO:0016798 (hydrolase activity, acting on glycosyl bonds); GO:0005975 (carbohydrate metabolic process); GO:0030246 (carbohydrate binding); GO:0004553 (hydrolase activity, hydrolyzing O-glycosyl compounds); GO:0006491 (N-glycan processing); GO:0005764 (lysosome); GO:0004558 (alpha-1,4-glucosidase activity); GO:0005980 (glycogen catabolic process); GO:0090599 (alpha-glucosidase activity)</t>
  </si>
  <si>
    <t>GO:0016787 (hydrolase activity); GO:0006508 (proteolysis); GO:0008236 (serine-type peptidase activity); GO:0005634 (nucleus)</t>
  </si>
  <si>
    <t>GO:0003677 (DNA binding); GO:0005634 (nucleus); GO:0031491 (nucleosome binding); GO:0045893 (positive regulation of transcription, DNA-templated); GO:0005654 (nucleoplasm); GO:0006357 (regulation of transcription by RNA polymerase II); GO:0006338 (chromatin remodeling); GO:0043044 (ATP-dependent chromatin remodeling); GO:0016514 (SWI/SNF complex); GO:0071565 (nBAF complex); GO:0035060 (brahma complex); GO:0008406 (gonad development); GO:0002119 (nematode larval development); GO:0045944 (positive regulation of transcription by RNA polymerase II)</t>
  </si>
  <si>
    <t xml:space="preserve">Calpain clp-1 </t>
  </si>
  <si>
    <t xml:space="preserve">Putative cytochrome b561 </t>
  </si>
  <si>
    <t>GO:0016020 (membrane); GO:0016021 (integral component of membrane); GO:0046872 (metal ion binding); GO:0016491 (oxidoreductase activity); GO:0005765 (lysosomal membrane); GO:0031902 (late endosome membrane); GO:0140575 (); GO:0140576 ()</t>
  </si>
  <si>
    <t xml:space="preserve">SR Protein (Splicing factor) </t>
  </si>
  <si>
    <t>GO:0003676 (nucleic acid binding); GO:0003723 (RNA binding); GO:0005681 (spliceosomal complex); GO:0048026 (positive regulation of mRNA splicing, via spliceosome); GO:0000398 (mRNA splicing, via spliceosome)</t>
  </si>
  <si>
    <t xml:space="preserve">KH domain-containing protein akap-1 </t>
  </si>
  <si>
    <t>GO:0010738 (regulation of protein kinase A signaling); GO:0034237 (protein kinase A regulatory subunit binding); GO:0005739 (mitochondrion); GO:0003676 (nucleic acid binding); GO:0003723 (RNA binding); GO:0016020 (membrane); GO:0016021 (integral component of membrane)</t>
  </si>
  <si>
    <t>GO:0005634 (nucleus); GO:0003682 (chromatin binding); GO:0010468 (regulation of gene expression)</t>
  </si>
  <si>
    <t xml:space="preserve">Putative aldehyde dehydrogenase family 7 member A1 homolog </t>
  </si>
  <si>
    <t>GO:0016620 (oxidoreductase activity, acting on the aldehyde or oxo group of donors, NAD or NADP as acceptor); GO:0016491 (oxidoreductase activity); GO:0055114 (oxidation-reduction process)</t>
  </si>
  <si>
    <t xml:space="preserve">Homeodomain-interacting protein kinase 1 </t>
  </si>
  <si>
    <t xml:space="preserve">Transmembrane BAX inhibitor motif-containing protein 4 </t>
  </si>
  <si>
    <t xml:space="preserve">T-complex protein 1 subunit epsilon </t>
  </si>
  <si>
    <t xml:space="preserve">Probable cyclin-dependent kinase 9 </t>
  </si>
  <si>
    <t xml:space="preserve">Heat shock 70 kDa protein C </t>
  </si>
  <si>
    <t>GO:0005634 (nucleus); GO:0005737 (cytoplasm); GO:0043161 (proteasome-mediated ubiquitin-dependent protein catabolic process); GO:0005515 (protein binding)</t>
  </si>
  <si>
    <t>GO:0005085 (guanyl-nucleotide exchange factor activity); GO:0005515 (protein binding); GO:0050790 (regulation of catalytic activity); GO:0006887 (exocytosis); GO:0070319 (Golgi to plasma membrane transport vesicle)</t>
  </si>
  <si>
    <t>GO:0005634 (nucleus); GO:0006325 (chromatin organization); GO:0003674 (molecular_function); GO:0005575 (cellular_component); GO:0008150 (biological_process)</t>
  </si>
  <si>
    <t>GO:0005737 (cytoplasm); GO:0016301 (kinase activity); GO:0016310 (phosphorylation); GO:0005886 (plasma membrane); GO:0016020 (membrane); GO:0016740 (transferase activity); GO:0046854 (phosphatidylinositol phosphorylation); GO:0048015 (phosphatidylinositol-mediated signaling); GO:0004430 (1-phosphatidylinositol 4-kinase activity); GO:0052742 (phosphatidylinositol kinase activity)</t>
  </si>
  <si>
    <t xml:space="preserve">Gamma-tubulin complex component </t>
  </si>
  <si>
    <t>GO:0005737 (cytoplasm); GO:0005856 (cytoskeleton); GO:0005874 (microtubule); GO:0005813 (centrosome); GO:0000226 (microtubule cytoskeleton organization); GO:0000278 (mitotic cell cycle); GO:0031122 (cytoplasmic microtubule organization); GO:0000923 (equatorial microtubule organizing center); GO:0000930 (gamma-tubulin complex); GO:0008275 (gamma-tubulin small complex); GO:0043015 (gamma-tubulin binding); GO:0051225 (spindle assembly); GO:0051321 (meiotic cell cycle); GO:0051011 (microtubule minus-end binding); GO:0007020 (microtubule nucleation); GO:0000922 (spindle pole); GO:0005815 (microtubule organizing center); GO:0016020 (membrane); GO:0016021 (integral component of membrane)</t>
  </si>
  <si>
    <t>GO:0016020 (membrane); GO:0016021 (integral component of membrane); GO:0006811 (ion transport); GO:0022857 (transmembrane transporter activity); GO:0055085 (transmembrane transport); GO:0006884 (cell volume homeostasis); GO:0015379 (potassium:chloride symporter activity); GO:0055064 (chloride ion homeostasis); GO:0055075 (potassium ion homeostasis); GO:1902476 (chloride transmembrane transport); GO:1990573 (potassium ion import across plasma membrane)</t>
  </si>
  <si>
    <t xml:space="preserve">Putative U5 small nuclear ribonucleoprotein 200 kDa helicase </t>
  </si>
  <si>
    <t>GO:0005524 (ATP binding); GO:0016787 (hydrolase activity); GO:0004386 (helicase activity); GO:0005634 (nucleus); GO:0000166 (nucleotide binding); GO:0003723 (RNA binding); GO:0003676 (nucleic acid binding); GO:0005681 (spliceosomal complex); GO:0006397 (mRNA processing); GO:0008380 (RNA splicing); GO:0000398 (mRNA splicing, via spliceosome); GO:0000388 (spliceosome conformational change to release U4 (or U4atac) and U1 (or U11)); GO:0003724 (RNA helicase activity); GO:0016887 (ATPase activity)</t>
  </si>
  <si>
    <t xml:space="preserve">MAternally affected Uncoordination </t>
  </si>
  <si>
    <t>GO:0005515 (protein binding); GO:0008277 (regulation of G protein-coupled receptor signaling pathway)</t>
  </si>
  <si>
    <t>GO:0030246 (carbohydrate binding); GO:0005737 (cytoplasm); GO:0045177 (apical part of cell); GO:0051861 (glycolipid binding)</t>
  </si>
  <si>
    <t xml:space="preserve">Single-stranded DNA-binding protein homolog sam-10 </t>
  </si>
  <si>
    <t>GO:0005634 (nucleus); GO:0005737 (cytoplasm); GO:0045944 (positive regulation of transcription by RNA polymerase II); GO:0007399 (nervous system development); GO:0010629 (negative regulation of gene expression); GO:0048755 (branching morphogenesis of a nerve); GO:1902473 (regulation of protein localization to synapse); GO:0007416 (synapse assembly); GO:0005515 (protein binding)</t>
  </si>
  <si>
    <t>GO:0005737 (cytoplasm); GO:0007010 (cytoskeleton organization); GO:0007166 (cell surface receptor signaling pathway); GO:0005515 (protein binding)</t>
  </si>
  <si>
    <t xml:space="preserve">Probable NADH dehydrogenase [ubiquinone] 1 alpha subcomplex subunit 12 </t>
  </si>
  <si>
    <t>GO:0016020 (membrane); GO:0005739 (mitochondrion); GO:0005743 (mitochondrial inner membrane); GO:0032981 (mitochondrial respiratory chain complex I assembly); GO:0006979 (response to oxidative stress); GO:0005747 (mitochondrial respiratory chain complex I); GO:0070469 (respirasome); GO:0009055 (electron transfer activity); GO:0008137 (NADH dehydrogenase (ubiquinone) activity)</t>
  </si>
  <si>
    <t xml:space="preserve">Probable small nuclear ribonucleoprotein G </t>
  </si>
  <si>
    <t>GO:0005634 (nucleus); GO:0000398 (mRNA splicing, via spliceosome); GO:0003723 (RNA binding); GO:0071013 (catalytic step 2 spliceosome); GO:1990904 (ribonucleoprotein complex); GO:0005681 (spliceosomal complex); GO:0006397 (mRNA processing); GO:0008380 (RNA splicing); GO:0005686 (U2 snRNP); GO:0071004 (U2-type prespliceosome); GO:0000387 (spliceosomal snRNP assembly); GO:0005685 (U1 snRNP); GO:0005682 (U5 snRNP); GO:0005687 (U4 snRNP); GO:0005689 (U12-type spliceosomal complex); GO:0034719 (SMN-Sm protein complex); GO:0043186 (P granule); GO:0071011 (precatalytic spliceosome); GO:0097526 (spliceosomal tri-snRNP complex)</t>
  </si>
  <si>
    <t xml:space="preserve">Glycogenin-1 </t>
  </si>
  <si>
    <t>GO:0005737 (cytoplasm); GO:0046872 (metal ion binding); GO:0016740 (transferase activity); GO:0016757 (transferase activity, transferring glycosyl groups); GO:0005978 (glycogen biosynthetic process); GO:0008466 (glycogenin glucosyltransferase activity); GO:0102751 (UDP-alpha-D-glucose:glucosyl-glycogenin alpha-D-glucosyltransferase activity); GO:0055120 (striated muscle dense body)</t>
  </si>
  <si>
    <t>GO:0005737 (cytoplasm); GO:0046872 (metal ion binding); GO:0016740 (transferase activity); GO:0005524 (ATP binding); GO:0005829 (cytosol); GO:0006777 (Mo-molybdopterin cofactor biosynthetic process); GO:0045211 (postsynaptic membrane); GO:0030425 (dendrite); GO:0098970 (postsynaptic neurotransmitter receptor diffusion trapping); GO:0007529 (establishment of synaptic specificity at neuromuscular junction); GO:0018315 (molybdenum incorporation into molybdenum-molybdopterin complex); GO:0032324 (molybdopterin cofactor biosynthetic process); GO:0061598 (molybdopterin adenylyltransferase activity); GO:0061599 (molybdopterin molybdotransferase activity); GO:0072579 (glycine receptor clustering); GO:0097112 (gamma-aminobutyric acid receptor clustering); GO:0099572 (postsynaptic specialization); GO:0099634 (postsynaptic specialization membrane)</t>
  </si>
  <si>
    <t>GO:0005524 (ATP binding); GO:0000166 (nucleotide binding); GO:0016310 (phosphorylation); GO:0016301 (kinase activity); GO:0042352 (GDP-L-fucose salvage); GO:0050201 (fucokinase activity)</t>
  </si>
  <si>
    <t xml:space="preserve">CU (Copper) Chaperonin; Copper chaperone </t>
  </si>
  <si>
    <t>GO:0046872 (metal ion binding); GO:0005829 (cytosol); GO:0006878 (cellular copper ion homeostasis); GO:0006979 (response to oxidative stress); GO:0016531 (copper chaperone activity); GO:0006825 (copper ion transport); GO:0016530 (metallochaperone activity); GO:0015677 (copper ion import); GO:0030001 (metal ion transport)</t>
  </si>
  <si>
    <t xml:space="preserve">Warthog protein 5 </t>
  </si>
  <si>
    <t>GO:0005576 (extracellular region); GO:0007275 (multicellular organism development); GO:0005102 (signaling receptor binding); GO:0007154 (cell communication)</t>
  </si>
  <si>
    <t xml:space="preserve">Differentially expressed in FDCP 8 homolog </t>
  </si>
  <si>
    <t>GO:0046872 (metal ion binding); GO:0035556 (intracellular signal transduction)</t>
  </si>
  <si>
    <t xml:space="preserve">PolyA Binding Protein (Nuclear) </t>
  </si>
  <si>
    <t xml:space="preserve">Condensin complex subunit capg-1 </t>
  </si>
  <si>
    <t>GO:0000796 (condensin complex); GO:0007076 (mitotic chromosome condensation)</t>
  </si>
  <si>
    <t>GO:0016020 (membrane); GO:0016021 (integral component of membrane); GO:0016740 (transferase activity); GO:0043231 (intracellular membrane-bounded organelle); GO:0015020 (glucuronosyltransferase activity); GO:0016757 (transferase activity, transferring glycosyl groups); GO:0007369 (gastrulation); GO:0008194 (UDP-glycosyltransferase activity)</t>
  </si>
  <si>
    <t>GO:0016020 (membrane); GO:0016021 (integral component of membrane); GO:0061630 (ubiquitin protein ligase activity); GO:0005783 (endoplasmic reticulum); GO:0016567 (protein ubiquitination)</t>
  </si>
  <si>
    <t xml:space="preserve">Putative acid phosphatase 5 </t>
  </si>
  <si>
    <t>GO:0016020 (membrane); GO:0016021 (integral component of membrane); GO:0005524 (ATP binding); GO:0004672 (protein kinase activity); GO:0006468 (protein phosphorylation); GO:0016301 (kinase activity); GO:0016310 (phosphorylation); GO:0000166 (nucleotide binding); GO:0004674 (protein serine/threonine kinase activity); GO:0005634 (nucleus); GO:0003723 (RNA binding); GO:0000381 (regulation of alternative mRNA splicing, via spliceosome); GO:0003676 (nucleic acid binding); GO:0003729 (mRNA binding); GO:0048024 (regulation of mRNA splicing, via spliceosome)</t>
  </si>
  <si>
    <t>GO:0003677 (DNA binding); GO:0005634 (nucleus); GO:0006355 (regulation of transcription, DNA-templated); GO:0005515 (protein binding); GO:0000978 (RNA polymerase II cis-regulatory region sequence-specific DNA binding); GO:0000981 (DNA-binding transcription factor activity, RNA polymerase II-specific); GO:0006357 (regulation of transcription by RNA polymerase II); GO:0000785 (chromatin); GO:0055088 (lipid homeostasis); GO:0008134 (transcription factor binding)</t>
  </si>
  <si>
    <t xml:space="preserve">Putative serine protease F56F10.1 </t>
  </si>
  <si>
    <t>GO:0016787 (hydrolase activity); GO:0006508 (proteolysis); GO:0008233 (peptidase activity); GO:0008236 (serine-type peptidase activity); GO:0008239 (dipeptidyl-peptidase activity); GO:0045087 (innate immune response); GO:0045121 (membrane raft)</t>
  </si>
  <si>
    <t xml:space="preserve">Mitochondrial Ribosomal Protein, Large; Ny </t>
  </si>
  <si>
    <t xml:space="preserve">Putative glucosylceramidase 1 </t>
  </si>
  <si>
    <t>GO:0016020 (membrane); GO:0016021 (integral component of membrane); GO:0016740 (transferase activity)</t>
  </si>
  <si>
    <t>GO:0007064 (mitotic sister chromatid cohesion); GO:0031390 (Ctf18 RFC-like complex); GO:0003674 (molecular_function)</t>
  </si>
  <si>
    <t xml:space="preserve">SECIS (SeCis) Binding Protein homolog </t>
  </si>
  <si>
    <t>GO:0003730 (mRNA 3'-UTR binding); GO:1990904 (ribonucleoprotein complex); GO:0043021 (ribonucleoprotein complex binding); GO:0001514 (selenocysteine incorporation); GO:0035368 (selenocysteine insertion sequence binding)</t>
  </si>
  <si>
    <t xml:space="preserve">Sperm-Specific family, class S </t>
  </si>
  <si>
    <t xml:space="preserve">Transthyretin-like protein 3 </t>
  </si>
  <si>
    <t xml:space="preserve">Gon-Two Like (TRP subfamily) </t>
  </si>
  <si>
    <t>GO:0016020 (membrane); GO:0016021 (integral component of membrane); GO:0005216 (ion channel activity); GO:0006811 (ion transport); GO:0005261 (cation channel activity); GO:0055085 (transmembrane transport); GO:0005887 (integral component of plasma membrane); GO:0009925 (basal plasma membrane); GO:0098655 (cation transmembrane transport)</t>
  </si>
  <si>
    <t xml:space="preserve">BasoNuClin-1 zinc finger protein homolog </t>
  </si>
  <si>
    <t xml:space="preserve">Putative cytochrome P450 CYP13A6 </t>
  </si>
  <si>
    <t xml:space="preserve">Probable 3-hydroxyacyl-CoA dehydrogenase F54C8.1 </t>
  </si>
  <si>
    <t xml:space="preserve">SNAIl family zinc finger 2 transcription factor homolog </t>
  </si>
  <si>
    <t>GO:0003677 (DNA binding); GO:0005634 (nucleus); GO:0046982 (protein heterodimerization activity); GO:0006342 (chromatin silencing); GO:0005694 (chromosome); GO:0000786 (nucleosome)</t>
  </si>
  <si>
    <t xml:space="preserve">Probable 2,4-dienoyl-CoA reductase decr-1.2 </t>
  </si>
  <si>
    <t>GO:0005829 (cytosol); GO:0004748 (ribonucleoside-diphosphate reductase activity, thioredoxin disulfide as acceptor); GO:0009263 (deoxyribonucleotide biosynthetic process)</t>
  </si>
  <si>
    <t>GO:0016020 (membrane); GO:0016021 (integral component of membrane); GO:0097730 (non-motile cilium); GO:0040024 (dauer larval development); GO:0004930 (G protein-coupled receptor activity); GO:0007186 (G protein-coupled receptor signaling pathway); GO:1990075 (periciliary membrane compartment)</t>
  </si>
  <si>
    <t>GO:0016020 (membrane); GO:0016021 (integral component of membrane); GO:0005794 (Golgi apparatus); GO:0005457 (GDP-fucose transmembrane transporter activity); GO:0015297 (antiporter activity); GO:0036066 (protein O-linked fucosylation); GO:0036085 (GDP-fucose import into Golgi lumen)</t>
  </si>
  <si>
    <t>GO:0009058 (biosynthetic process); GO:0016844 (strictosidine synthase activity)</t>
  </si>
  <si>
    <t xml:space="preserve">PTB (HnRNP) homolog; Putative RNA-binding protein PTB-1a </t>
  </si>
  <si>
    <t>GO:0005634 (nucleus); GO:0003723 (RNA binding); GO:0003676 (nucleic acid binding); GO:0003729 (mRNA binding); GO:0006397 (mRNA processing); GO:0008380 (RNA splicing); GO:0000398 (mRNA splicing, via spliceosome); GO:0043484 (regulation of RNA splicing)</t>
  </si>
  <si>
    <t>GO:0005634 (nucleus); GO:0006366 (transcription by RNA polymerase II); GO:0006351 (transcription, DNA-templated); GO:0000439 (transcription factor TFIIH core complex); GO:0005675 (transcription factor TFIIH holo complex); GO:0006289 (nucleotide-excision repair); GO:0070816 (phosphorylation of RNA polymerase II C-terminal domain); GO:0006281 (DNA repair); GO:0006360 (transcription by RNA polymerase I)</t>
  </si>
  <si>
    <t xml:space="preserve">SPE-12 </t>
  </si>
  <si>
    <t>GO:0016020 (membrane); GO:0016021 (integral component of membrane); GO:0005886 (plasma membrane); GO:0007286 (spermatid development)</t>
  </si>
  <si>
    <t xml:space="preserve">Serpentine receptor class beta-5 </t>
  </si>
  <si>
    <t xml:space="preserve">D-aminoacyl-tRNA deacylase </t>
  </si>
  <si>
    <t>GO:0005737 (cytoplasm); GO:0016787 (hydrolase activity); GO:0003723 (RNA binding); GO:0000049 (tRNA binding); GO:0002161 (aminoacyl-tRNA editing activity); GO:0106074 (aminoacyl-tRNA metabolism involved in translational fidelity); GO:0006399 (tRNA metabolic process); GO:0051499 (D-aminoacyl-tRNA deacylase activity); GO:0051500 (D-tyrosyl-tRNA(Tyr) deacylase activity)</t>
  </si>
  <si>
    <t>GO:0016491 (oxidoreductase activity); GO:0050661 (NADP binding); GO:0009435 (NAD biosynthetic process); GO:0033735 (aspartate dehydrogenase activity); GO:0019363 (pyridine nucleotide biosynthetic process); GO:0055114 (oxidation-reduction process); GO:0106351 (); GO:0106352 ()</t>
  </si>
  <si>
    <t xml:space="preserve">Ubiquitinyl hydrolase 1 </t>
  </si>
  <si>
    <t>GO:0005737 (cytoplasm); GO:0016787 (hydrolase activity); GO:0046872 (metal ion binding); GO:0006511 (ubiquitin-dependent protein catabolic process); GO:0008270 (zinc ion binding); GO:0006508 (proteolysis); GO:0008233 (peptidase activity); GO:0016579 (protein deubiquitination); GO:0008234 (cysteine-type peptidase activity); GO:0004843 (thiol-dependent ubiquitin-specific protease activity)</t>
  </si>
  <si>
    <t xml:space="preserve">Glutathione S-transferase P 10 </t>
  </si>
  <si>
    <t>GO:0005634 (nucleus); GO:0000398 (mRNA splicing, via spliceosome); GO:0003676 (nucleic acid binding); GO:0003723 (RNA binding); GO:0003729 (mRNA binding); GO:0071004 (U2-type prespliceosome); GO:0005685 (U1 snRNP); GO:0030619 (U1 snRNA binding); GO:0017069 (snRNA binding)</t>
  </si>
  <si>
    <t>GO:0005634 (nucleus); GO:0005524 (ATP binding); GO:0016787 (hydrolase activity); GO:0004386 (helicase activity); GO:0000166 (nucleotide binding); GO:0003676 (nucleic acid binding); GO:0003724 (RNA helicase activity)</t>
  </si>
  <si>
    <t xml:space="preserve">TeNSin homolog </t>
  </si>
  <si>
    <t>GO:0016787 (hydrolase activity); GO:0005515 (protein binding); GO:0035335 (peptidyl-tyrosine dephosphorylation); GO:0004721 (phosphoprotein phosphatase activity); GO:0006470 (protein dephosphorylation); GO:0048680 (positive regulation of axon regeneration); GO:0042995 (cell projection); GO:0004725 (protein tyrosine phosphatase activity); GO:0030424 (axon); GO:0055120 (striated muscle dense body); GO:0031430 (M band); GO:0030054 (cell junction)</t>
  </si>
  <si>
    <t xml:space="preserve">WD repeat-containing protein wdr-5.2 </t>
  </si>
  <si>
    <t xml:space="preserve">Phasmid Socket Absent </t>
  </si>
  <si>
    <t>GO:0000978 (RNA polymerase II cis-regulatory region sequence-specific DNA binding); GO:0000981 (DNA-binding transcription factor activity, RNA polymerase II-specific); GO:0006357 (regulation of transcription by RNA polymerase II); GO:0005634 (nucleus); GO:0009786 (regulation of asymmetric cell division); GO:0001225 (RNA polymerase II transcription coactivator binding)</t>
  </si>
  <si>
    <t>GO:0019905 (syntaxin binding); GO:0005783 (endoplasmic reticulum)</t>
  </si>
  <si>
    <t xml:space="preserve">Nuclear hormone receptor family member nhr-125 </t>
  </si>
  <si>
    <t xml:space="preserve">Aspartyl aminopeptidase </t>
  </si>
  <si>
    <t>GO:0016787 (hydrolase activity); GO:0046872 (metal ion binding); GO:0008270 (zinc ion binding); GO:0006508 (proteolysis); GO:0008233 (peptidase activity); GO:0008237 (metallopeptidase activity); GO:0004177 (aminopeptidase activity)</t>
  </si>
  <si>
    <t xml:space="preserve">Zinc transporter zipt-7.2 </t>
  </si>
  <si>
    <t>GO:0016020 (membrane); GO:0016021 (integral component of membrane); GO:0006811 (ion transport); GO:0055085 (transmembrane transport); GO:0005385 (zinc ion transmembrane transporter activity); GO:0071577 (zinc ion transmembrane transport); GO:0030001 (metal ion transport); GO:0046873 (metal ion transmembrane transporter activity); GO:0006882 (cellular zinc ion homeostasis); GO:0006829 (zinc ion transport)</t>
  </si>
  <si>
    <t xml:space="preserve">Ras-related protein Rap-1 </t>
  </si>
  <si>
    <t>GO:0032486 (Rap protein signal transduction); GO:0003924 (GTPase activity); GO:0005525 (GTP binding); GO:0007165 (signal transduction); GO:0016020 (membrane)</t>
  </si>
  <si>
    <t xml:space="preserve">Hydroxymethylglutaryl-CoA synthase </t>
  </si>
  <si>
    <t>GO:0010142 (farnesyl diphosphate biosynthetic process, mevalonate pathway); GO:0006084 (acetyl-CoA metabolic process); GO:0004421 (hydroxymethylglutaryl-CoA synthase activity); GO:0016746 (transferase activity, transferring acyl groups); GO:0008299 (isoprenoid biosynthetic process)</t>
  </si>
  <si>
    <t xml:space="preserve">Mpv17-like protein </t>
  </si>
  <si>
    <t>GO:0016020 (membrane); GO:0016021 (integral component of membrane); GO:0005737 (cytoplasm); GO:0005739 (mitochondrion); GO:0005743 (mitochondrial inner membrane)</t>
  </si>
  <si>
    <t xml:space="preserve">Nuclear hormone receptor family member nhr-153 </t>
  </si>
  <si>
    <t>ogt-1 KO vs WT</t>
  </si>
  <si>
    <t>Enrichment FDR</t>
  </si>
  <si>
    <t>nGenes</t>
  </si>
  <si>
    <t>Pathway Genes</t>
  </si>
  <si>
    <t>Fold Enrichment</t>
  </si>
  <si>
    <t>Pathway</t>
  </si>
  <si>
    <t>URL</t>
  </si>
  <si>
    <t>Genes</t>
  </si>
  <si>
    <t xml:space="preserve">Meiotic nuclear division </t>
  </si>
  <si>
    <t xml:space="preserve"> http://amigo.geneontology.org/amigo/term/GO:0140013</t>
  </si>
  <si>
    <t xml:space="preserve"> him-3  him-5  htp-3  klc-1  mut-2  puf-8  rec-8  spo-11  syp-2  lab-1  smz-1  zhp-2  cyp-31A2  R06C7.2  pzf-1  zim-1  zim-3  kca-1  zhp-1  rmh-1  cyp-31A3  him-19</t>
  </si>
  <si>
    <t xml:space="preserve">Meiotic cell cycle </t>
  </si>
  <si>
    <t xml:space="preserve"> http://amigo.geneontology.org/amigo/term/GO:0051321</t>
  </si>
  <si>
    <t xml:space="preserve"> cyb-2.2  him-3  him-5  htp-3  klc-1  msh-6  mut-2  puf-8  rec-8  spo-11  syp-2  lab-1  smz-1  zhp-2  cyp-31A2  R06C7.2  pzf-1  zim-1  zim-3  kca-1  zhp-1  syp-4  rmh-1  cyp-31A3  zwl-1  him-19</t>
  </si>
  <si>
    <t xml:space="preserve">Meiotic cell cycle process </t>
  </si>
  <si>
    <t xml:space="preserve"> http://amigo.geneontology.org/amigo/term/GO:1903046</t>
  </si>
  <si>
    <t xml:space="preserve"> him-3  him-5  htp-3  klc-1  msh-6  mut-2  puf-8  rec-8  spo-11  syp-2  lab-1  smz-1  zhp-2  cyp-31A2  R06C7.2  pzf-1  zim-1  zim-3  kca-1  zhp-1  rmh-1  cyp-31A3  him-19</t>
  </si>
  <si>
    <t xml:space="preserve">Oogenesis </t>
  </si>
  <si>
    <t xml:space="preserve"> http://amigo.geneontology.org/amigo/term/GO:0048477</t>
  </si>
  <si>
    <t xml:space="preserve"> cyb-2.1  cyb-2.2  fog-3  gna-2  inx-22  nos-1  nos-2  pgl-1  rme-2  elli-1  cyp-31A2  meg-1  meg-2  C06A5.6  meg-4  cyp-31A3</t>
  </si>
  <si>
    <t xml:space="preserve">Cellular process involved in reproduction in multicellular organism </t>
  </si>
  <si>
    <t xml:space="preserve"> http://amigo.geneontology.org/amigo/term/GO:0022412</t>
  </si>
  <si>
    <t xml:space="preserve"> cyb-2.1  cyb-2.2  fog-3  gna-2  inx-22  klc-1  nos-1  nos-2  pgl-1  puf-8  rme-2  spe-27  hrde-1  smz-1  elli-1  cyp-31A2  meg-1  meg-2  C06A5.6  kca-1  meg-4  cyp-31A3  zipt-7.1</t>
  </si>
  <si>
    <t xml:space="preserve">Meiotic chromosome segregation </t>
  </si>
  <si>
    <t xml:space="preserve"> http://amigo.geneontology.org/amigo/term/GO:0045132</t>
  </si>
  <si>
    <t xml:space="preserve"> him-3  him-5  htp-3  mut-2  rec-8  syp-2  lab-1  smz-1  zhp-2  R06C7.2  pzf-1  zim-1  zim-3  zhp-1  rmh-1  him-19</t>
  </si>
  <si>
    <t xml:space="preserve">Female gamete generation </t>
  </si>
  <si>
    <t xml:space="preserve"> http://amigo.geneontology.org/amigo/term/GO:0007292</t>
  </si>
  <si>
    <t xml:space="preserve"> cyb-2.1  cyb-2.2  fog-3  gna-2  inx-22  klc-1  nos-1  nos-2  pgl-1  rme-2  elli-1  cyp-31A2  meg-1  meg-2  C06A5.6  kca-1  meg-4  cyp-31A3</t>
  </si>
  <si>
    <t xml:space="preserve">Homologous chromosome segregation </t>
  </si>
  <si>
    <t xml:space="preserve"> http://amigo.geneontology.org/amigo/term/GO:0045143</t>
  </si>
  <si>
    <t xml:space="preserve"> him-3  htp-3  rec-8  syp-2  zhp-2  R06C7.2  zhp-1  him-19</t>
  </si>
  <si>
    <t xml:space="preserve">Homologous chromosome pairing at meiosis </t>
  </si>
  <si>
    <t xml:space="preserve"> http://amigo.geneontology.org/amigo/term/GO:0007129</t>
  </si>
  <si>
    <t xml:space="preserve">Defense response to Gram-positive bacterium </t>
  </si>
  <si>
    <t xml:space="preserve"> http://amigo.geneontology.org/amigo/term/GO:0050830</t>
  </si>
  <si>
    <t xml:space="preserve"> spp-1  spp-2  thn-2  cyp-37B1  clec-61  ilys-1  clec-7  F43C11.7  drd-50  F53A9.8  clec-218  clec-82  clec-172</t>
  </si>
  <si>
    <t xml:space="preserve">Gamete generation </t>
  </si>
  <si>
    <t xml:space="preserve"> http://amigo.geneontology.org/amigo/term/GO:0007276</t>
  </si>
  <si>
    <t xml:space="preserve"> cyb-2.1  cyb-2.2  fog-1  fog-3  gna-2  inx-22  klc-1  nos-1  nos-2  pgl-1  puf-8  rme-2  spe-27  hrde-1  spe-44  smz-1  elli-1  cyp-31A2  meg-1  meg-2  C06A5.6  kca-1  meg-4  cyp-31A3  zipt-7.1</t>
  </si>
  <si>
    <t xml:space="preserve">Embryonic pattern specification </t>
  </si>
  <si>
    <t xml:space="preserve"> http://amigo.geneontology.org/amigo/term/GO:0009880</t>
  </si>
  <si>
    <t xml:space="preserve"> cyb-2.1  cyb-2.2  mex-1  mex-3  pgl-1  pos-1  elli-1  meg-1  meg-2  meg-4</t>
  </si>
  <si>
    <t xml:space="preserve">Nuclear division </t>
  </si>
  <si>
    <t xml:space="preserve"> http://amigo.geneontology.org/amigo/term/GO:0000280</t>
  </si>
  <si>
    <t xml:space="preserve"> him-3  him-5  htp-3  klc-1  klp-15  mut-2  puf-8  rec-8  spo-11  syp-2  lab-1  smz-1  zhp-2  cyp-31A2  R06C7.2  rmd-1  pzf-1  zim-1  zim-3  kca-1  zhp-1  rmh-1  cyp-31A3  zwl-1  him-19</t>
  </si>
  <si>
    <t xml:space="preserve">Germ cell development </t>
  </si>
  <si>
    <t xml:space="preserve"> http://amigo.geneontology.org/amigo/term/GO:0007281</t>
  </si>
  <si>
    <t xml:space="preserve"> cyb-2.1  cyb-2.2  fog-3  gna-2  inx-22  nos-1  nos-2  pgl-1  rme-2  spe-27  hrde-1  elli-1  cyp-31A2  meg-1  meg-2  C06A5.6  meg-4  cyp-31A3</t>
  </si>
  <si>
    <t xml:space="preserve">Meiosis I cell cycle process </t>
  </si>
  <si>
    <t xml:space="preserve"> http://amigo.geneontology.org/amigo/term/GO:0061982</t>
  </si>
  <si>
    <t xml:space="preserve"> him-3  him-5  htp-3  msh-6  rec-8  spo-11  syp-2  zhp-2  R06C7.2  zhp-1  rmh-1  him-19</t>
  </si>
  <si>
    <t xml:space="preserve">Organelle fission </t>
  </si>
  <si>
    <t xml:space="preserve"> http://amigo.geneontology.org/amigo/term/GO:0048285</t>
  </si>
  <si>
    <t xml:space="preserve">Meiotic DNA double-strand break formation </t>
  </si>
  <si>
    <t xml:space="preserve"> http://amigo.geneontology.org/amigo/term/GO:0042138</t>
  </si>
  <si>
    <t xml:space="preserve"> him-5  htp-3  spo-11  him-19</t>
  </si>
  <si>
    <t xml:space="preserve">Peptidoglycan catabolic process </t>
  </si>
  <si>
    <t xml:space="preserve"> http://amigo.geneontology.org/amigo/term/GO:0009253</t>
  </si>
  <si>
    <t xml:space="preserve"> lys-1  lys-2  lys-3  lys-7  lys-10</t>
  </si>
  <si>
    <t xml:space="preserve">Oocyte differentiation </t>
  </si>
  <si>
    <t xml:space="preserve"> http://amigo.geneontology.org/amigo/term/GO:0009994</t>
  </si>
  <si>
    <t xml:space="preserve"> cyb-2.1  cyb-2.2  fog-3  inx-22  pgl-1  rme-2  elli-1  meg-1  meg-2  meg-4</t>
  </si>
  <si>
    <t xml:space="preserve">Oocyte development </t>
  </si>
  <si>
    <t xml:space="preserve"> http://amigo.geneontology.org/amigo/term/GO:0048599</t>
  </si>
  <si>
    <t xml:space="preserve">Peptidoglycan metabolic process </t>
  </si>
  <si>
    <t xml:space="preserve"> http://amigo.geneontology.org/amigo/term/GO:0000270</t>
  </si>
  <si>
    <t xml:space="preserve">Meiosis I </t>
  </si>
  <si>
    <t xml:space="preserve"> http://amigo.geneontology.org/amigo/term/GO:0007127</t>
  </si>
  <si>
    <t xml:space="preserve"> him-3  him-5  htp-3  rec-8  spo-11  syp-2  zhp-2  R06C7.2  zhp-1  rmh-1  him-19</t>
  </si>
  <si>
    <t xml:space="preserve">Response to biotic stimulus </t>
  </si>
  <si>
    <t xml:space="preserve"> http://amigo.geneontology.org/amigo/term/GO:0009607</t>
  </si>
  <si>
    <t xml:space="preserve"> aqp-1  spp-1  spp-2  spp-18  ugt-44  F11D11.3  F26E4.5  thn-1  thn-2  cyp-37B1  clec-62  clec-66  F35E12.10  F47B8.4  F54D5.4  dod-22  F55G11.7  K09B11.5  zip-10  Y43C5B.2  clec-61  ZK1320.2  C37A5.5  C14C11.4  ilys-1  clec-7  F43C11.7  drd-50  F53A9.8  F57B9.8  F59A3.8  H20E11.2  H20E11.3  K12H4.7  T24C4.4  clec-218  Y52D5A.2  clec-82  fbxa-78  lipl-5  clec-172</t>
  </si>
  <si>
    <t xml:space="preserve">Response to external biotic stimulus </t>
  </si>
  <si>
    <t xml:space="preserve"> http://amigo.geneontology.org/amigo/term/GO:0043207</t>
  </si>
  <si>
    <t xml:space="preserve">Biological process involved in interspecies interaction between organisms </t>
  </si>
  <si>
    <t xml:space="preserve"> http://amigo.geneontology.org/amigo/term/GO:0044419</t>
  </si>
  <si>
    <t xml:space="preserve">Response to other organism </t>
  </si>
  <si>
    <t xml:space="preserve"> http://amigo.geneontology.org/amigo/term/GO:0051707</t>
  </si>
  <si>
    <t xml:space="preserve">Defense response to other organism </t>
  </si>
  <si>
    <t xml:space="preserve"> http://amigo.geneontology.org/amigo/term/GO:0098542</t>
  </si>
  <si>
    <t xml:space="preserve">Chromosome organization involved in meiotic cell cycle </t>
  </si>
  <si>
    <t xml:space="preserve"> http://amigo.geneontology.org/amigo/term/GO:0070192</t>
  </si>
  <si>
    <t xml:space="preserve"> him-3  htp-3  rec-8  syp-2  lab-1  zhp-2  R06C7.2  zhp-1  him-19</t>
  </si>
  <si>
    <t xml:space="preserve">Glycosaminoglycan catabolic process </t>
  </si>
  <si>
    <t xml:space="preserve"> http://amigo.geneontology.org/amigo/term/GO:0006027</t>
  </si>
  <si>
    <t xml:space="preserve">Defense response </t>
  </si>
  <si>
    <t xml:space="preserve"> http://amigo.geneontology.org/amigo/term/GO:0006952</t>
  </si>
  <si>
    <t xml:space="preserve">Sensory perception of chemical stimulus </t>
  </si>
  <si>
    <t xml:space="preserve"> http://amigo.geneontology.org/amigo/term/GO:0007606</t>
  </si>
  <si>
    <t xml:space="preserve"> sra-6  sra-13  sra-21  sra-26  sra-30  sra-31  sra-34  srb-1  srb-2  srb-3  srg-2  srg-4  srg-5  srg-6  srg-11  srg-16  srg-20  srg-27  srg-31  srg-33  srg-34  srg-41  srg-54  srg-65  srv-5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sre-13  sre-36  sre-38  sre-37  sre-45  sre-30  sre-29  K05D4.9  sre-19  Y105C5B.8  Y116A8C.40  sre-20  sre-5  sre-3  sre-53  sre-54  sre-50  sre-39  R05F9.7  sre-40  sre-46  C03H5.9</t>
  </si>
  <si>
    <t xml:space="preserve">Sensory perception </t>
  </si>
  <si>
    <t xml:space="preserve"> http://amigo.geneontology.org/amigo/term/GO:0007600</t>
  </si>
  <si>
    <t xml:space="preserve"> osm-6  sra-6  sra-13  sra-21  sra-26  sra-30  sra-31  sra-34  srb-1  srb-2  srb-3  srg-2  srg-4  srg-5  srg-6  srg-11  srg-16  srg-20  srg-27  srg-31  srg-33  srg-34  srg-41  srg-54  srg-65  srv-5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sre-13  sre-36  sre-38  sre-37  sre-45  sre-30  sre-29  K05D4.9  sre-19  Y105C5B.8  Y116A8C.40  sre-20  sre-5  sre-3  sre-53  sre-54  sre-50  sre-39  R05F9.7  sre-40  sre-46  C03H5.9</t>
  </si>
  <si>
    <t xml:space="preserve">Nervous system process </t>
  </si>
  <si>
    <t xml:space="preserve"> http://amigo.geneontology.org/amigo/term/GO:0050877</t>
  </si>
  <si>
    <t xml:space="preserve"> acr-6  osm-6  sra-6  sra-13  sra-21  sra-26  sra-30  sra-31  sra-34  srb-1  srb-2  srb-3  srg-2  srg-4  srg-5  srg-6  srg-11  srg-16  srg-20  srg-27  srg-31  srg-33  srg-34  srg-41  srg-54  srg-65  srv-5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sre-13  sre-36  sre-38  sre-37  lgc-44  sre-45  sre-30  sre-29  K05D4.9  lgc-17  sre-19  lgc-52  Y105C5B.8  lgc-19  Y116A8C.40  sre-20  sre-5  sre-3  sre-53  sre-54  sre-50  sre-39  R05F9.7  sre-40  acr-25  sre-46  C03H5.9</t>
  </si>
  <si>
    <t xml:space="preserve">Transmembrane signaling receptor activity </t>
  </si>
  <si>
    <t xml:space="preserve"> http://amigo.geneontology.org/amigo/term/GO:0004888</t>
  </si>
  <si>
    <t xml:space="preserve"> acr-6  kin-21  kin-23  kin-30  old-1  old-2  sra-6  sra-13  sra-21  sra-26  sra-30  sra-31  sra-34  srb-1  srb-2  srb-3  srg-2  srg-4  srg-5  srg-6  srg-11  srg-16  srg-20  srg-27  srg-31  srg-33  srg-34  srg-41  srg-54  srg-65  srv-5  srw-9  srw-10  srw-13  srw-16  srw-17  srw-19  srw-33  srw-40  srw-43  srw-62  srw-63  srw-67  srw-68  srw-69  srw-71  srw-88  srw-91  srw-94  srw-97  srw-98  srw-102  srw-121  srw-122  srw-124  srw-129  srw-140  srx-1  srx-7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xtr-2  srsx-28  gnrr-7  lgc-44  F49E11.2  K05D4.9  srsx-21  lgc-17  ntr-1  srsx-33  T25B9.4  srsx-38  W01B6.5  W04G5.10  npr-34  Y69E1A.3  lgc-52  Y105C5B.8  lgc-19  npr-32  Y116A8C.38  Y116A8C.40  B0244.4  C18H7.4  C30A5.10  C55C3.4  srsx-32  srsx-9  F36H9.1  F38E1.6  Y40B10A.5  Y50D4B.6  srsx-5  srsx-7  acr-25  F27E5.8  srsx-10  C25F9.13  F09C6.16  T26H8.5  M03F8.7  C03H5.9</t>
  </si>
  <si>
    <t xml:space="preserve">Signaling receptor activity </t>
  </si>
  <si>
    <t xml:space="preserve"> http://amigo.geneontology.org/amigo/term/GO:0038023</t>
  </si>
  <si>
    <t xml:space="preserve"> acr-6  kin-21  kin-23  kin-30  old-1  old-2  sra-6  sra-13  sra-21  sra-26  sra-30  sra-31  sra-34  srb-1  srb-2  srb-3  srg-2  srg-4  srg-5  srg-6  srg-11  srg-16  srg-20  srg-27  srg-31  srg-33  srg-34  srg-41  srg-54  srg-65  srv-5  srw-9  srw-10  srw-13  srw-16  srw-17  srw-19  srw-33  srw-40  srw-43  srw-62  srw-63  srw-67  srw-68  srw-69  srw-71  srw-88  srw-91  srw-94  srw-97  srw-98  srw-102  srw-121  srw-122  srw-124  srw-129  srw-140  srx-1  srx-7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xtr-2  srsx-28  gnrr-7  lgc-44  F49E11.2  K05D4.9  srsx-21  lgc-17  ntr-1  srsx-33  T25B9.4  srsx-38  W01B6.5  W04G5.10  npr-34  Y69E1A.3  lgc-52  Y105C5B.8  lgc-19  npr-32  Y116A8C.38  Y116A8C.40  B0244.4  C18H7.4  nhr-258  C30A5.10  C55C3.4  nhr-263  srsx-32  srsx-9  F36H9.1  F38E1.6  clec-148  nhr-236  Y40B10A.5  Y50D4B.6  srsx-5  srsx-7  acr-25  F27E5.8  srsx-10  C25F9.13  F09C6.16  T26H8.5  M03F8.7  C03H5.9</t>
  </si>
  <si>
    <t xml:space="preserve">Molecular transducer activity </t>
  </si>
  <si>
    <t xml:space="preserve"> http://amigo.geneontology.org/amigo/term/GO:0060089</t>
  </si>
  <si>
    <t xml:space="preserve">G protein-coupled receptor activity </t>
  </si>
  <si>
    <t xml:space="preserve"> http://amigo.geneontology.org/amigo/term/GO:0004930</t>
  </si>
  <si>
    <t xml:space="preserve"> sra-6  sra-13  sra-21  sra-26  sra-30  sra-31  sra-34  srb-3  srw-9  srw-10  srw-13  srw-16  srw-17  srw-19  srw-33  srw-40  srw-43  srw-62  srw-63  srw-67  srw-68  srw-69  srw-71  srw-88  srw-91  srw-94  srw-97  srw-98  srw-102  srw-121  srw-122  srw-124  srw-129  srw-140  srx-1  srx-7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srsx-28  gnrr-7  F49E11.2  K05D4.9  srsx-21  ntr-1  srsx-33  srsx-38  npr-34  npr-32  Y116A8C.40  B0244.4  C30A5.10  srsx-32  srsx-9  F38E1.6  Y40B10A.5  srsx-5  srsx-7  F27E5.8  srsx-10  C25F9.13  F09C6.16  T26H8.5  M03F8.7  C03H5.9</t>
  </si>
  <si>
    <t xml:space="preserve">System process </t>
  </si>
  <si>
    <t xml:space="preserve"> http://amigo.geneontology.org/amigo/term/GO:0003008</t>
  </si>
  <si>
    <t xml:space="preserve">Detection of chemical stimulus involved in sensory perception of smell </t>
  </si>
  <si>
    <t xml:space="preserve"> http://amigo.geneontology.org/amigo/term/GO:0050911</t>
  </si>
  <si>
    <t xml:space="preserve"> sra-6  sra-13  sra-34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K05D4.9  Y105C5B.8  Y116A8C.40  C03H5.9</t>
  </si>
  <si>
    <t xml:space="preserve">Olfactory receptor activity </t>
  </si>
  <si>
    <t xml:space="preserve"> http://amigo.geneontology.org/amigo/term/GO:0004984</t>
  </si>
  <si>
    <t xml:space="preserve">G protein-coupled olfactory receptor activity </t>
  </si>
  <si>
    <t xml:space="preserve"> http://amigo.geneontology.org/amigo/term/GO:0038022</t>
  </si>
  <si>
    <t xml:space="preserve">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K05D4.9  Y116A8C.40  C03H5.9</t>
  </si>
  <si>
    <t xml:space="preserve">Detection of chemical stimulus involved in sensory perception </t>
  </si>
  <si>
    <t xml:space="preserve"> http://amigo.geneontology.org/amigo/term/GO:0050907</t>
  </si>
  <si>
    <t xml:space="preserve">Detection of chemical stimulus </t>
  </si>
  <si>
    <t xml:space="preserve"> http://amigo.geneontology.org/amigo/term/GO:0009593</t>
  </si>
  <si>
    <t xml:space="preserve">Structural constituent of cuticle </t>
  </si>
  <si>
    <t xml:space="preserve"> http://amigo.geneontology.org/amigo/term/GO:0042302</t>
  </si>
  <si>
    <t xml:space="preserve"> bli-2  col-9  col-10  col-12  col-13  col-41  col-49  col-61  col-63  col-73  col-75  col-79  col-90  col-96  col-105  col-127  col-133  col-137  col-141  col-142  col-144  col-149  col-150  col-152  col-154  col-157  col-161  col-171  col-172  col-173  dpy-4  dpy-5  dpy-8  dpy-9  dpy-13  lon-3  rol-8  sqt-1  sqt-2</t>
  </si>
  <si>
    <t xml:space="preserve">Sensory perception of smell </t>
  </si>
  <si>
    <t xml:space="preserve"> http://amigo.geneontology.org/amigo/term/GO:0007608</t>
  </si>
  <si>
    <t xml:space="preserve">G protein-coupled receptor signaling pathway </t>
  </si>
  <si>
    <t xml:space="preserve"> http://amigo.geneontology.org/amigo/term/GO:0007186</t>
  </si>
  <si>
    <t xml:space="preserve"> gpa-3  nlp-17  nlp-19  sra-6  sra-13  sra-21  sra-26  sra-30  sra-31  sra-34  srb-3  srw-9  srw-10  srw-13  srw-16  srw-17  srw-19  srw-33  srw-40  srw-43  srw-62  srw-63  srw-67  srw-68  srw-69  srw-71  srw-88  srw-91  srw-94  srw-97  srw-98  srw-102  srw-121  srw-122  srw-124  srw-129  srw-140  srx-1  srx-7  str-87  str-89  str-97  str-106  str-109  str-112  str-121  str-125  str-129  str-130  str-134  str-140  str-143  str-144  str-146  str-151  str-153  str-155  str-160  str-162  str-166  str-169  str-172  str-175  str-177  str-181  str-198  str-211  str-230  str-232  str-238  str-246  str-249  str-252  str-256  tax-2  srsx-28  nlp-59  gnrr-7  F49E11.2  K05D4.9  srsx-21  nlp-66  ntr-1  srsx-33  srsx-38  npr-34  npr-32  Y116A8C.40  B0244.4  C30A5.10  nlp-60  srsx-32  srsx-9  F38E1.6  nlp-45  Y40B10A.5  srsx-5  srsx-7  F27E5.8  srsx-10  C25F9.13  F09C6.16  T26H8.5  M03F8.7  C03H5.9</t>
  </si>
  <si>
    <t xml:space="preserve">Detection of stimulus involved in sensory perception </t>
  </si>
  <si>
    <t xml:space="preserve"> http://amigo.geneontology.org/amigo/term/GO:0050906</t>
  </si>
  <si>
    <t xml:space="preserve">Olfactory behavior </t>
  </si>
  <si>
    <t xml:space="preserve"> http://amigo.geneontology.org/amigo/term/GO:0042048</t>
  </si>
  <si>
    <t xml:space="preserve">Detection of stimulus </t>
  </si>
  <si>
    <t xml:space="preserve"> http://amigo.geneontology.org/amigo/term/GO:0051606</t>
  </si>
  <si>
    <t xml:space="preserve">Chemosensory behavior </t>
  </si>
  <si>
    <t xml:space="preserve"> http://amigo.geneontology.org/amigo/term/GO:0007635</t>
  </si>
  <si>
    <t xml:space="preserve">Cellular polysaccharide biosynthetic process </t>
  </si>
  <si>
    <t xml:space="preserve"> http://amigo.geneontology.org/amigo/term/GO:0033692</t>
  </si>
  <si>
    <t xml:space="preserve"> oac-1  oac-13  oac-17  oac-34  oac-37  oac-42  oac-48  oac-4  oac-21  oac-23  oac-24  oac-30  oac-58  oac-52  oac-2  bus-1</t>
  </si>
  <si>
    <t xml:space="preserve">Polysaccharide biosynthetic process </t>
  </si>
  <si>
    <t xml:space="preserve"> http://amigo.geneontology.org/amigo/term/GO:0000271</t>
  </si>
  <si>
    <t xml:space="preserve">Cellular carbohydrate biosynthetic process </t>
  </si>
  <si>
    <t xml:space="preserve"> http://amigo.geneontology.org/amigo/term/GO:0034637</t>
  </si>
  <si>
    <t xml:space="preserve">Polysaccharide metabolic process </t>
  </si>
  <si>
    <t xml:space="preserve"> http://amigo.geneontology.org/amigo/term/GO:0005976</t>
  </si>
  <si>
    <t xml:space="preserve">Cellular polysaccharide metabolic process </t>
  </si>
  <si>
    <t xml:space="preserve"> http://amigo.geneontology.org/amigo/term/GO:0044264</t>
  </si>
  <si>
    <t xml:space="preserve">Peptide receptor activity </t>
  </si>
  <si>
    <t xml:space="preserve"> http://amigo.geneontology.org/amigo/term/GO:0001653</t>
  </si>
  <si>
    <t xml:space="preserve"> srw-9  srw-10  srw-13  srw-16  srw-17  srw-19  srw-33  srw-40  srw-43  srw-62  srw-63  srw-67  srw-68  srw-69  srw-71  srw-88  srw-91  srw-94  srw-97  srw-98  srw-102  srw-121  srw-122  srw-124  srw-129  srw-140  npr-34  F38E1.6  C25F9.13  F09C6.16  T26H8.5  M03F8.7</t>
  </si>
  <si>
    <t xml:space="preserve">G protein-coupled peptide receptor activity </t>
  </si>
  <si>
    <t xml:space="preserve"> http://amigo.geneontology.org/amigo/term/GO:0008528</t>
  </si>
  <si>
    <t xml:space="preserve">Carbohydrate biosynthetic process </t>
  </si>
  <si>
    <t xml:space="preserve"> http://amigo.geneontology.org/amigo/term/GO:0016051</t>
  </si>
  <si>
    <t xml:space="preserve">Collagen trimer </t>
  </si>
  <si>
    <t xml:space="preserve"> http://amigo.geneontology.org/amigo/term/GO:0005581</t>
  </si>
  <si>
    <t xml:space="preserve"> col-17  col-52  col-53  col-87  col-128  col-131  col-163  col-187  sqt-1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</si>
</sst>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E+00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165" fontId="1" fillId="0" borderId="0" xfId="0" applyNumberFormat="1" applyFont="1" applyAlignment="1">
      <alignment horizontal="center" vertical="top" textRotation="90" wrapText="1"/>
    </xf>
    <xf numFmtId="164" fontId="3" fillId="0" borderId="0" xfId="0" applyNumberFormat="1" applyFont="1" applyAlignment="1">
      <alignment horizontal="center" vertical="top" textRotation="90" wrapText="1"/>
    </xf>
    <xf numFmtId="165" fontId="1" fillId="0" borderId="2" xfId="0" applyNumberFormat="1" applyFont="1" applyBorder="1" applyAlignment="1">
      <alignment horizontal="center" vertical="top" textRotation="90" wrapText="1"/>
    </xf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165" fontId="0" fillId="0" borderId="2" xfId="0" applyNumberFormat="1" applyBorder="1"/>
    <xf numFmtId="0" fontId="4" fillId="2" borderId="3" xfId="0" applyFont="1" applyFill="1" applyBorder="1"/>
    <xf numFmtId="0" fontId="0" fillId="2" borderId="3" xfId="0" applyFill="1" applyBorder="1"/>
    <xf numFmtId="0" fontId="4" fillId="0" borderId="3" xfId="0" applyFont="1" applyBorder="1"/>
    <xf numFmtId="0" fontId="0" fillId="0" borderId="3" xfId="0" applyBorder="1"/>
    <xf numFmtId="164" fontId="0" fillId="0" borderId="3" xfId="0" applyNumberFormat="1" applyBorder="1"/>
    <xf numFmtId="165" fontId="0" fillId="0" borderId="3" xfId="0" applyNumberFormat="1" applyBorder="1"/>
    <xf numFmtId="165" fontId="0" fillId="0" borderId="4" xfId="0" applyNumberFormat="1" applyBorder="1"/>
    <xf numFmtId="165" fontId="0" fillId="0" borderId="0" xfId="0" applyNumberFormat="1" applyBorder="1"/>
    <xf numFmtId="0" fontId="0" fillId="0" borderId="3" xfId="0" applyFill="1" applyBorder="1"/>
    <xf numFmtId="165" fontId="0" fillId="0" borderId="4" xfId="0" applyNumberFormat="1" applyFill="1" applyBorder="1"/>
    <xf numFmtId="165" fontId="0" fillId="0" borderId="3" xfId="0" applyNumberFormat="1" applyFill="1" applyBorder="1"/>
    <xf numFmtId="164" fontId="0" fillId="0" borderId="3" xfId="0" applyNumberFormat="1" applyFill="1" applyBorder="1"/>
    <xf numFmtId="165" fontId="1" fillId="0" borderId="0" xfId="0" applyNumberFormat="1" applyFont="1" applyBorder="1" applyAlignment="1">
      <alignment horizontal="center" vertical="top" textRotation="90" wrapText="1"/>
    </xf>
    <xf numFmtId="164" fontId="3" fillId="0" borderId="0" xfId="0" applyNumberFormat="1" applyFont="1" applyBorder="1" applyAlignment="1">
      <alignment horizontal="center" vertical="top" textRotation="90" wrapText="1"/>
    </xf>
    <xf numFmtId="164" fontId="1" fillId="0" borderId="5" xfId="0" applyNumberFormat="1" applyFont="1" applyBorder="1" applyAlignment="1">
      <alignment horizontal="center" vertical="top" textRotation="90" wrapText="1"/>
    </xf>
    <xf numFmtId="164" fontId="0" fillId="0" borderId="0" xfId="0" applyNumberFormat="1" applyBorder="1"/>
    <xf numFmtId="164" fontId="0" fillId="0" borderId="5" xfId="0" applyNumberFormat="1" applyBorder="1"/>
    <xf numFmtId="0" fontId="0" fillId="0" borderId="0" xfId="0" applyBorder="1"/>
    <xf numFmtId="0" fontId="0" fillId="0" borderId="5" xfId="0" applyBorder="1"/>
    <xf numFmtId="164" fontId="0" fillId="0" borderId="6" xfId="0" applyNumberFormat="1" applyBorder="1"/>
    <xf numFmtId="164" fontId="0" fillId="0" borderId="6" xfId="0" applyNumberFormat="1" applyFill="1" applyBorder="1"/>
    <xf numFmtId="11" fontId="0" fillId="0" borderId="0" xfId="0" applyNumberFormat="1"/>
    <xf numFmtId="0" fontId="1" fillId="0" borderId="3" xfId="0" applyFont="1" applyBorder="1"/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290"/>
  <sheetViews>
    <sheetView tabSelected="1" workbookViewId="0">
      <selection activeCell="D30" sqref="D30"/>
    </sheetView>
  </sheetViews>
  <sheetFormatPr defaultRowHeight="14.5" x14ac:dyDescent="0.35"/>
  <cols>
    <col min="8" max="10" width="8.7265625" style="30"/>
    <col min="11" max="11" width="8.7265625" style="31"/>
  </cols>
  <sheetData>
    <row r="1" spans="1:12" ht="44.5" customHeight="1" x14ac:dyDescent="0.35">
      <c r="A1" s="1"/>
      <c r="B1" s="1"/>
      <c r="C1" s="1"/>
      <c r="D1" s="2"/>
      <c r="E1" s="2"/>
      <c r="F1" s="2"/>
      <c r="G1" s="3"/>
      <c r="H1" s="36" t="s">
        <v>10704</v>
      </c>
      <c r="I1" s="36"/>
      <c r="J1" s="36"/>
      <c r="K1" s="36"/>
      <c r="L1" s="2"/>
    </row>
    <row r="2" spans="1:12" ht="58" x14ac:dyDescent="0.35">
      <c r="A2" s="4" t="s">
        <v>0</v>
      </c>
      <c r="B2" s="4" t="s">
        <v>1</v>
      </c>
      <c r="C2" s="4" t="s">
        <v>2</v>
      </c>
      <c r="D2" s="5" t="s">
        <v>3</v>
      </c>
      <c r="E2" s="3" t="s">
        <v>4</v>
      </c>
      <c r="F2" s="3" t="s">
        <v>5</v>
      </c>
      <c r="G2" s="3" t="s">
        <v>6</v>
      </c>
      <c r="H2" s="8" t="s">
        <v>9</v>
      </c>
      <c r="I2" s="25" t="s">
        <v>10</v>
      </c>
      <c r="J2" s="26" t="s">
        <v>7</v>
      </c>
      <c r="K2" s="27" t="s">
        <v>8</v>
      </c>
      <c r="L2" s="3"/>
    </row>
    <row r="3" spans="1:12" x14ac:dyDescent="0.35">
      <c r="A3" s="9" t="str">
        <f>HYPERLINK("http://www.ensembl.org/id/WBGene00021768", "WBGene00021768")</f>
        <v>WBGene00021768</v>
      </c>
      <c r="B3" s="9" t="str">
        <f>HYPERLINK("http://www.ncbi.nlm.nih.gov/gene/171761", "171761")</f>
        <v>171761</v>
      </c>
      <c r="C3" s="9"/>
      <c r="D3" t="str">
        <f>"Y51F10.7"</f>
        <v>Y51F10.7</v>
      </c>
      <c r="F3" t="s">
        <v>11</v>
      </c>
      <c r="H3" s="12">
        <v>-7.7557376946994196</v>
      </c>
      <c r="I3" s="20">
        <v>-10.058796383485101</v>
      </c>
      <c r="J3" s="28">
        <v>8.4019234218696894E-24</v>
      </c>
      <c r="K3" s="29">
        <v>1.9413484258572099E-19</v>
      </c>
    </row>
    <row r="4" spans="1:12" x14ac:dyDescent="0.35">
      <c r="A4" s="9" t="str">
        <f>HYPERLINK("http://www.ensembl.org/id/WBGene00002102", "WBGene00002102")</f>
        <v>WBGene00002102</v>
      </c>
      <c r="B4" s="9" t="str">
        <f>HYPERLINK("http://www.ncbi.nlm.nih.gov/gene/3565612", "3565612")</f>
        <v>3565612</v>
      </c>
      <c r="C4" s="9"/>
      <c r="D4" t="str">
        <f>"ins-19"</f>
        <v>ins-19</v>
      </c>
      <c r="E4" t="s">
        <v>12</v>
      </c>
      <c r="F4" t="s">
        <v>11</v>
      </c>
      <c r="G4" t="s">
        <v>13</v>
      </c>
      <c r="H4" s="12">
        <v>-56.339658901642501</v>
      </c>
      <c r="I4" s="20">
        <v>-9.7520309161391499</v>
      </c>
      <c r="J4" s="28">
        <v>1.8081417888933499E-22</v>
      </c>
      <c r="K4" s="29">
        <v>2.0889462087084902E-18</v>
      </c>
    </row>
    <row r="5" spans="1:12" x14ac:dyDescent="0.35">
      <c r="A5" s="9" t="str">
        <f>HYPERLINK("http://www.ensembl.org/id/WBGene00000213", "WBGene00000213")</f>
        <v>WBGene00000213</v>
      </c>
      <c r="B5" s="9" t="str">
        <f>HYPERLINK("http://www.ncbi.nlm.nih.gov/gene/176879", "176879")</f>
        <v>176879</v>
      </c>
      <c r="C5" s="9"/>
      <c r="D5" t="str">
        <f>"asm-3"</f>
        <v>asm-3</v>
      </c>
      <c r="E5" t="s">
        <v>14</v>
      </c>
      <c r="F5" t="s">
        <v>11</v>
      </c>
      <c r="G5" t="s">
        <v>15</v>
      </c>
      <c r="H5" s="12">
        <v>-6.7372207374736197</v>
      </c>
      <c r="I5" s="20">
        <v>-8.2552382600754104</v>
      </c>
      <c r="J5" s="28">
        <v>1.5159950686179499E-16</v>
      </c>
      <c r="K5" s="29">
        <v>1.16761940184954E-12</v>
      </c>
    </row>
    <row r="6" spans="1:12" x14ac:dyDescent="0.35">
      <c r="A6" s="9" t="str">
        <f>HYPERLINK("http://www.ensembl.org/id/WBGene00011450", "WBGene00011450")</f>
        <v>WBGene00011450</v>
      </c>
      <c r="B6" s="9" t="str">
        <f>HYPERLINK("http://www.ncbi.nlm.nih.gov/gene/188071", "188071")</f>
        <v>188071</v>
      </c>
      <c r="C6" s="9"/>
      <c r="D6" t="str">
        <f>"ttr-22"</f>
        <v>ttr-22</v>
      </c>
      <c r="E6" t="s">
        <v>16</v>
      </c>
      <c r="F6" t="s">
        <v>11</v>
      </c>
      <c r="G6" t="s">
        <v>17</v>
      </c>
      <c r="H6" s="12">
        <v>7.4340191482596003</v>
      </c>
      <c r="I6" s="20">
        <v>7.8538681270230102</v>
      </c>
      <c r="J6" s="28">
        <v>4.03398439309452E-15</v>
      </c>
      <c r="K6" s="29">
        <v>2.3302310846710501E-11</v>
      </c>
    </row>
    <row r="7" spans="1:12" x14ac:dyDescent="0.35">
      <c r="A7" s="9" t="str">
        <f>HYPERLINK("http://www.ensembl.org/id/WBGene00022642", "WBGene00022642")</f>
        <v>WBGene00022642</v>
      </c>
      <c r="B7" s="9" t="str">
        <f>HYPERLINK("http://www.ncbi.nlm.nih.gov/gene/178563", "178563")</f>
        <v>178563</v>
      </c>
      <c r="C7" s="9" t="str">
        <f>HYPERLINK("http://www.ncbi.nlm.nih.gov/gene/3988", "3988")</f>
        <v>3988</v>
      </c>
      <c r="D7" t="str">
        <f>"lipl-5"</f>
        <v>lipl-5</v>
      </c>
      <c r="E7" t="s">
        <v>18</v>
      </c>
      <c r="F7" t="s">
        <v>11</v>
      </c>
      <c r="G7" t="s">
        <v>19</v>
      </c>
      <c r="H7" s="12">
        <v>-5.5309401841851802</v>
      </c>
      <c r="I7" s="20">
        <v>-7.5119626599632197</v>
      </c>
      <c r="J7" s="28">
        <v>5.8247404962365401E-14</v>
      </c>
      <c r="K7" s="29">
        <v>2.6917290781208298E-10</v>
      </c>
    </row>
    <row r="8" spans="1:12" x14ac:dyDescent="0.35">
      <c r="A8" s="9" t="str">
        <f>HYPERLINK("http://www.ensembl.org/id/WBGene00009215", "WBGene00009215")</f>
        <v>WBGene00009215</v>
      </c>
      <c r="B8" s="9" t="str">
        <f>HYPERLINK("http://www.ncbi.nlm.nih.gov/gene/178187", "178187")</f>
        <v>178187</v>
      </c>
      <c r="C8" s="9"/>
      <c r="D8" t="str">
        <f>"thn-2"</f>
        <v>thn-2</v>
      </c>
      <c r="E8" t="s">
        <v>20</v>
      </c>
      <c r="F8" t="s">
        <v>11</v>
      </c>
      <c r="G8" t="s">
        <v>21</v>
      </c>
      <c r="H8" s="12">
        <v>-4.3897078422431504</v>
      </c>
      <c r="I8" s="20">
        <v>-7.4485284735766601</v>
      </c>
      <c r="J8" s="28">
        <v>9.4387061293095698E-14</v>
      </c>
      <c r="K8" s="29">
        <v>3.6348457303971102E-10</v>
      </c>
    </row>
    <row r="9" spans="1:12" x14ac:dyDescent="0.35">
      <c r="A9" s="9" t="str">
        <f>HYPERLINK("http://www.ensembl.org/id/WBGene00004008", "WBGene00004008")</f>
        <v>WBGene00004008</v>
      </c>
      <c r="B9" s="9" t="str">
        <f>HYPERLINK("http://www.ncbi.nlm.nih.gov/gene/181416", "181416")</f>
        <v>181416</v>
      </c>
      <c r="C9" s="9"/>
      <c r="D9" t="str">
        <f>"pgp-14"</f>
        <v>pgp-14</v>
      </c>
      <c r="E9" t="s">
        <v>22</v>
      </c>
      <c r="F9" t="s">
        <v>11</v>
      </c>
      <c r="G9" t="s">
        <v>23</v>
      </c>
      <c r="H9" s="12">
        <v>3.80928433916749</v>
      </c>
      <c r="I9" s="20">
        <v>7.1885850000903204</v>
      </c>
      <c r="J9" s="28">
        <v>6.5466226127362099E-13</v>
      </c>
      <c r="K9" s="29">
        <v>2.1609466012840401E-9</v>
      </c>
    </row>
    <row r="10" spans="1:12" x14ac:dyDescent="0.35">
      <c r="A10" s="9" t="str">
        <f>HYPERLINK("http://www.ensembl.org/id/WBGene00016052", "WBGene00016052")</f>
        <v>WBGene00016052</v>
      </c>
      <c r="B10" s="9" t="str">
        <f>HYPERLINK("http://www.ncbi.nlm.nih.gov/gene/178737", "178737")</f>
        <v>178737</v>
      </c>
      <c r="C10" s="9"/>
      <c r="D10" t="str">
        <f>"dod-3"</f>
        <v>dod-3</v>
      </c>
      <c r="E10" t="s">
        <v>24</v>
      </c>
      <c r="F10" t="s">
        <v>11</v>
      </c>
      <c r="G10" t="s">
        <v>25</v>
      </c>
      <c r="H10" s="12">
        <v>-4.5940279683418304</v>
      </c>
      <c r="I10" s="20">
        <v>-7.1577677885286297</v>
      </c>
      <c r="J10" s="28">
        <v>8.2001300809949E-13</v>
      </c>
      <c r="K10" s="29">
        <v>2.3684025706433499E-9</v>
      </c>
    </row>
    <row r="11" spans="1:12" x14ac:dyDescent="0.35">
      <c r="A11" s="9" t="str">
        <f>HYPERLINK("http://www.ensembl.org/id/WBGene00013515", "WBGene00013515")</f>
        <v>WBGene00013515</v>
      </c>
      <c r="B11" s="9" t="str">
        <f>HYPERLINK("http://www.ncbi.nlm.nih.gov/gene/177722", "177722")</f>
        <v>177722</v>
      </c>
      <c r="C11" s="9"/>
      <c r="D11" t="str">
        <f>"Y73F4A.2"</f>
        <v>Y73F4A.2</v>
      </c>
      <c r="E11" t="s">
        <v>26</v>
      </c>
      <c r="F11" t="s">
        <v>11</v>
      </c>
      <c r="G11" t="s">
        <v>27</v>
      </c>
      <c r="H11" s="12">
        <v>3.74945311218239</v>
      </c>
      <c r="I11" s="20">
        <v>7.0962679683982097</v>
      </c>
      <c r="J11" s="28">
        <v>1.2817084975550899E-12</v>
      </c>
      <c r="K11" s="29">
        <v>3.2905729493897701E-9</v>
      </c>
    </row>
    <row r="12" spans="1:12" x14ac:dyDescent="0.35">
      <c r="A12" s="9" t="str">
        <f>HYPERLINK("http://www.ensembl.org/id/WBGene00008245", "WBGene00008245")</f>
        <v>WBGene00008245</v>
      </c>
      <c r="B12" s="9" t="str">
        <f>HYPERLINK("http://www.ncbi.nlm.nih.gov/gene/3565989", "3565989")</f>
        <v>3565989</v>
      </c>
      <c r="C12" s="9"/>
      <c r="D12" t="str">
        <f>"fipr-10"</f>
        <v>fipr-10</v>
      </c>
      <c r="E12" t="s">
        <v>28</v>
      </c>
      <c r="F12" t="s">
        <v>11</v>
      </c>
      <c r="H12" s="12">
        <v>7.2137828549787599</v>
      </c>
      <c r="I12" s="20">
        <v>6.8984468364886</v>
      </c>
      <c r="J12" s="28">
        <v>5.2574157622951496E-12</v>
      </c>
      <c r="K12" s="29">
        <v>1.21477848603592E-8</v>
      </c>
    </row>
    <row r="13" spans="1:12" x14ac:dyDescent="0.35">
      <c r="A13" s="9" t="str">
        <f>HYPERLINK("http://www.ensembl.org/id/WBGene00013939", "WBGene00013939")</f>
        <v>WBGene00013939</v>
      </c>
      <c r="B13" s="9" t="str">
        <f>HYPERLINK("http://www.ncbi.nlm.nih.gov/gene/191245", "191245")</f>
        <v>191245</v>
      </c>
      <c r="C13" s="9"/>
      <c r="D13" t="str">
        <f>"ZK218.5"</f>
        <v>ZK218.5</v>
      </c>
      <c r="F13" t="s">
        <v>11</v>
      </c>
      <c r="H13" s="12">
        <v>255.93339182422099</v>
      </c>
      <c r="I13" s="20">
        <v>6.8312288664201102</v>
      </c>
      <c r="J13" s="28">
        <v>8.4190291092911804E-12</v>
      </c>
      <c r="K13" s="29">
        <v>1.76845533272074E-8</v>
      </c>
    </row>
    <row r="14" spans="1:12" x14ac:dyDescent="0.35">
      <c r="A14" s="9" t="str">
        <f>HYPERLINK("http://www.ensembl.org/id/WBGene00013949", "WBGene00013949")</f>
        <v>WBGene00013949</v>
      </c>
      <c r="B14" s="9" t="str">
        <f>HYPERLINK("http://www.ncbi.nlm.nih.gov/gene/180197", "180197")</f>
        <v>180197</v>
      </c>
      <c r="C14" s="9"/>
      <c r="D14" t="str">
        <f>"ZK262.2"</f>
        <v>ZK262.2</v>
      </c>
      <c r="F14" t="s">
        <v>11</v>
      </c>
      <c r="G14" t="s">
        <v>29</v>
      </c>
      <c r="H14" s="12">
        <v>4.4658134428772298</v>
      </c>
      <c r="I14" s="20">
        <v>6.8011607141057304</v>
      </c>
      <c r="J14" s="28">
        <v>1.03779567140679E-11</v>
      </c>
      <c r="K14" s="29">
        <v>1.9982755652937801E-8</v>
      </c>
    </row>
    <row r="15" spans="1:12" x14ac:dyDescent="0.35">
      <c r="A15" s="9" t="str">
        <f>HYPERLINK("http://www.ensembl.org/id/WBGene00015102", "WBGene00015102")</f>
        <v>WBGene00015102</v>
      </c>
      <c r="B15" s="9" t="str">
        <f>HYPERLINK("http://www.ncbi.nlm.nih.gov/gene/175991", "175991")</f>
        <v>175991</v>
      </c>
      <c r="C15" s="9"/>
      <c r="D15" t="str">
        <f>"cpg-2"</f>
        <v>cpg-2</v>
      </c>
      <c r="E15" t="s">
        <v>30</v>
      </c>
      <c r="F15" t="s">
        <v>11</v>
      </c>
      <c r="G15" t="s">
        <v>31</v>
      </c>
      <c r="H15" s="12">
        <v>-5.0897975219377196</v>
      </c>
      <c r="I15" s="20">
        <v>-6.7287633158427198</v>
      </c>
      <c r="J15" s="28">
        <v>1.7111112212925701E-11</v>
      </c>
      <c r="K15" s="29">
        <v>3.0413027599374001E-8</v>
      </c>
    </row>
    <row r="16" spans="1:12" x14ac:dyDescent="0.35">
      <c r="A16" s="9" t="str">
        <f>HYPERLINK("http://www.ensembl.org/id/WBGene00006980", "WBGene00006980")</f>
        <v>WBGene00006980</v>
      </c>
      <c r="B16" s="9" t="str">
        <f>HYPERLINK("http://www.ncbi.nlm.nih.gov/gene/192088", "192088")</f>
        <v>192088</v>
      </c>
      <c r="C16" s="9"/>
      <c r="D16" t="str">
        <f>"zig-3"</f>
        <v>zig-3</v>
      </c>
      <c r="E16" t="s">
        <v>32</v>
      </c>
      <c r="F16" t="s">
        <v>11</v>
      </c>
      <c r="G16" t="s">
        <v>33</v>
      </c>
      <c r="H16" s="12">
        <v>3.7080479840575702</v>
      </c>
      <c r="I16" s="20">
        <v>6.6753516260952299</v>
      </c>
      <c r="J16" s="28">
        <v>2.4664008503687199E-11</v>
      </c>
      <c r="K16" s="29">
        <v>4.0706184320442702E-8</v>
      </c>
    </row>
    <row r="17" spans="1:11" x14ac:dyDescent="0.35">
      <c r="A17" s="9" t="str">
        <f>HYPERLINK("http://www.ensembl.org/id/WBGene00004241", "WBGene00004241")</f>
        <v>WBGene00004241</v>
      </c>
      <c r="B17" s="9" t="str">
        <f>HYPERLINK("http://www.ncbi.nlm.nih.gov/gene/174373", "174373")</f>
        <v>174373</v>
      </c>
      <c r="C17" s="9"/>
      <c r="D17" t="str">
        <f>"puf-5"</f>
        <v>puf-5</v>
      </c>
      <c r="E17" t="s">
        <v>34</v>
      </c>
      <c r="F17" t="s">
        <v>11</v>
      </c>
      <c r="G17" t="s">
        <v>35</v>
      </c>
      <c r="H17" s="12">
        <v>-4.6969296348305303</v>
      </c>
      <c r="I17" s="20">
        <v>-6.6323338844106097</v>
      </c>
      <c r="J17" s="28">
        <v>3.3042010783713099E-11</v>
      </c>
      <c r="K17" s="29">
        <v>5.0897913411231702E-8</v>
      </c>
    </row>
    <row r="18" spans="1:11" x14ac:dyDescent="0.35">
      <c r="A18" s="9" t="str">
        <f>HYPERLINK("http://www.ensembl.org/id/WBGene00022246", "WBGene00022246")</f>
        <v>WBGene00022246</v>
      </c>
      <c r="B18" s="9" t="str">
        <f>HYPERLINK("http://www.ncbi.nlm.nih.gov/gene/190656", "190656")</f>
        <v>190656</v>
      </c>
      <c r="C18" s="9"/>
      <c r="D18" t="str">
        <f>"acp-7"</f>
        <v>acp-7</v>
      </c>
      <c r="E18" t="s">
        <v>36</v>
      </c>
      <c r="F18" t="s">
        <v>11</v>
      </c>
      <c r="G18" t="s">
        <v>37</v>
      </c>
      <c r="H18" s="12">
        <v>4.11841391545736</v>
      </c>
      <c r="I18" s="20">
        <v>6.5802532998793497</v>
      </c>
      <c r="J18" s="28">
        <v>4.6964747754668899E-11</v>
      </c>
      <c r="K18" s="29">
        <v>6.3833380095257698E-8</v>
      </c>
    </row>
    <row r="19" spans="1:11" x14ac:dyDescent="0.35">
      <c r="A19" s="9" t="str">
        <f>HYPERLINK("http://www.ensembl.org/id/WBGene00014053", "WBGene00014053")</f>
        <v>WBGene00014053</v>
      </c>
      <c r="B19" s="9" t="str">
        <f>HYPERLINK("http://www.ncbi.nlm.nih.gov/gene/191388", "191388")</f>
        <v>191388</v>
      </c>
      <c r="C19" s="9"/>
      <c r="D19" t="str">
        <f>"ZK669.3"</f>
        <v>ZK669.3</v>
      </c>
      <c r="E19" t="s">
        <v>38</v>
      </c>
      <c r="F19" t="s">
        <v>11</v>
      </c>
      <c r="G19" t="s">
        <v>39</v>
      </c>
      <c r="H19" s="12">
        <v>3.7988037373790902</v>
      </c>
      <c r="I19" s="20">
        <v>6.5847701645738796</v>
      </c>
      <c r="J19" s="28">
        <v>4.5558959449491097E-11</v>
      </c>
      <c r="K19" s="29">
        <v>6.3833380095257698E-8</v>
      </c>
    </row>
    <row r="20" spans="1:11" x14ac:dyDescent="0.35">
      <c r="A20" s="9" t="str">
        <f>HYPERLINK("http://www.ensembl.org/id/WBGene00018492", "WBGene00018492")</f>
        <v>WBGene00018492</v>
      </c>
      <c r="B20" s="9" t="str">
        <f>HYPERLINK("http://www.ncbi.nlm.nih.gov/gene/179044", "179044")</f>
        <v>179044</v>
      </c>
      <c r="C20" s="9"/>
      <c r="D20" t="str">
        <f>"hpo-26"</f>
        <v>hpo-26</v>
      </c>
      <c r="F20" t="s">
        <v>11</v>
      </c>
      <c r="H20" s="12">
        <v>4.9914542759423099</v>
      </c>
      <c r="I20" s="20">
        <v>6.4807860209686199</v>
      </c>
      <c r="J20" s="28">
        <v>9.1246001834437694E-11</v>
      </c>
      <c r="K20" s="29">
        <v>1.17129451021473E-7</v>
      </c>
    </row>
    <row r="21" spans="1:11" x14ac:dyDescent="0.35">
      <c r="A21" s="9" t="str">
        <f>HYPERLINK("http://www.ensembl.org/id/WBGene00000715", "WBGene00000715")</f>
        <v>WBGene00000715</v>
      </c>
      <c r="B21" s="9" t="str">
        <f>HYPERLINK("http://www.ncbi.nlm.nih.gov/gene/188514", "188514")</f>
        <v>188514</v>
      </c>
      <c r="C21" s="9"/>
      <c r="D21" t="str">
        <f>"col-142"</f>
        <v>col-142</v>
      </c>
      <c r="E21" t="s">
        <v>40</v>
      </c>
      <c r="F21" t="s">
        <v>11</v>
      </c>
      <c r="G21" t="s">
        <v>41</v>
      </c>
      <c r="H21" s="12">
        <v>3.1702708882721402</v>
      </c>
      <c r="I21" s="20">
        <v>6.4531641093934704</v>
      </c>
      <c r="J21" s="28">
        <v>1.0953862635779799E-10</v>
      </c>
      <c r="K21" s="29">
        <v>1.33210500032804E-7</v>
      </c>
    </row>
    <row r="22" spans="1:11" x14ac:dyDescent="0.35">
      <c r="A22" s="9" t="str">
        <f>HYPERLINK("http://www.ensembl.org/id/WBGene00001606", "WBGene00001606")</f>
        <v>WBGene00001606</v>
      </c>
      <c r="B22" s="9" t="str">
        <f>HYPERLINK("http://www.ncbi.nlm.nih.gov/gene/178505", "178505")</f>
        <v>178505</v>
      </c>
      <c r="C22" s="9"/>
      <c r="D22" t="str">
        <f>"gln-5"</f>
        <v>gln-5</v>
      </c>
      <c r="E22" t="s">
        <v>42</v>
      </c>
      <c r="F22" t="s">
        <v>11</v>
      </c>
      <c r="G22" t="s">
        <v>43</v>
      </c>
      <c r="H22" s="12">
        <v>-4.0067518110120997</v>
      </c>
      <c r="I22" s="20">
        <v>-6.43428091412106</v>
      </c>
      <c r="J22" s="28">
        <v>1.2405923498458599E-10</v>
      </c>
      <c r="K22" s="29">
        <v>1.3650060397875401E-7</v>
      </c>
    </row>
    <row r="23" spans="1:11" x14ac:dyDescent="0.35">
      <c r="A23" s="9" t="str">
        <f>HYPERLINK("http://www.ensembl.org/id/WBGene00004374", "WBGene00004374")</f>
        <v>WBGene00004374</v>
      </c>
      <c r="B23" s="9" t="str">
        <f>HYPERLINK("http://www.ncbi.nlm.nih.gov/gene/177329", "177329")</f>
        <v>177329</v>
      </c>
      <c r="C23" s="9"/>
      <c r="D23" t="str">
        <f>"rme-2"</f>
        <v>rme-2</v>
      </c>
      <c r="E23" t="s">
        <v>44</v>
      </c>
      <c r="F23" t="s">
        <v>11</v>
      </c>
      <c r="G23" t="s">
        <v>45</v>
      </c>
      <c r="H23" s="12">
        <v>-5.80534239952385</v>
      </c>
      <c r="I23" s="20">
        <v>-6.4396475472138803</v>
      </c>
      <c r="J23" s="28">
        <v>1.1975125341846601E-10</v>
      </c>
      <c r="K23" s="29">
        <v>1.3650060397875401E-7</v>
      </c>
    </row>
    <row r="24" spans="1:11" x14ac:dyDescent="0.35">
      <c r="A24" s="9" t="str">
        <f>HYPERLINK("http://www.ensembl.org/id/WBGene00013013", "WBGene00013013")</f>
        <v>WBGene00013013</v>
      </c>
      <c r="B24" s="9" t="str">
        <f>HYPERLINK("http://www.ncbi.nlm.nih.gov/gene/175003", "175003")</f>
        <v>175003</v>
      </c>
      <c r="C24" s="9"/>
      <c r="D24" t="str">
        <f>"clec-145"</f>
        <v>clec-145</v>
      </c>
      <c r="E24" t="s">
        <v>46</v>
      </c>
      <c r="F24" t="s">
        <v>11</v>
      </c>
      <c r="G24" t="s">
        <v>47</v>
      </c>
      <c r="H24" s="12">
        <v>-3.11338359107086</v>
      </c>
      <c r="I24" s="20">
        <v>-6.41585608160789</v>
      </c>
      <c r="J24" s="28">
        <v>1.4003369070374999E-10</v>
      </c>
      <c r="K24" s="29">
        <v>1.4707356624549299E-7</v>
      </c>
    </row>
    <row r="25" spans="1:11" x14ac:dyDescent="0.35">
      <c r="A25" s="9" t="str">
        <f>HYPERLINK("http://www.ensembl.org/id/WBGene00004239", "WBGene00004239")</f>
        <v>WBGene00004239</v>
      </c>
      <c r="B25" s="9" t="str">
        <f>HYPERLINK("http://www.ncbi.nlm.nih.gov/gene/178320", "178320")</f>
        <v>178320</v>
      </c>
      <c r="C25" s="9"/>
      <c r="D25" t="str">
        <f>"puf-3"</f>
        <v>puf-3</v>
      </c>
      <c r="E25" t="s">
        <v>48</v>
      </c>
      <c r="F25" t="s">
        <v>11</v>
      </c>
      <c r="G25" t="s">
        <v>49</v>
      </c>
      <c r="H25" s="12">
        <v>-4.3159374934313997</v>
      </c>
      <c r="I25" s="20">
        <v>-6.37600277008102</v>
      </c>
      <c r="J25" s="28">
        <v>1.8176963870914299E-10</v>
      </c>
      <c r="K25" s="29">
        <v>1.82607359652759E-7</v>
      </c>
    </row>
    <row r="26" spans="1:11" x14ac:dyDescent="0.35">
      <c r="A26" s="9" t="str">
        <f>HYPERLINK("http://www.ensembl.org/id/WBGene00009386", "WBGene00009386")</f>
        <v>WBGene00009386</v>
      </c>
      <c r="B26" s="9" t="str">
        <f>HYPERLINK("http://www.ncbi.nlm.nih.gov/gene/179593", "179593")</f>
        <v>179593</v>
      </c>
      <c r="C26" s="9"/>
      <c r="D26" t="str">
        <f>"tag-290"</f>
        <v>tag-290</v>
      </c>
      <c r="F26" t="s">
        <v>11</v>
      </c>
      <c r="G26" t="s">
        <v>50</v>
      </c>
      <c r="H26" s="12">
        <v>3.8890809019671102</v>
      </c>
      <c r="I26" s="20">
        <v>6.3644975704545201</v>
      </c>
      <c r="J26" s="28">
        <v>1.95930023070669E-10</v>
      </c>
      <c r="K26" s="29">
        <v>1.8863162971128599E-7</v>
      </c>
    </row>
    <row r="27" spans="1:11" x14ac:dyDescent="0.35">
      <c r="A27" s="9" t="str">
        <f>HYPERLINK("http://www.ensembl.org/id/WBGene00011986", "WBGene00011986")</f>
        <v>WBGene00011986</v>
      </c>
      <c r="B27" s="9" t="str">
        <f>HYPERLINK("http://www.ncbi.nlm.nih.gov/gene/172854", "172854")</f>
        <v>172854</v>
      </c>
      <c r="C27" s="9"/>
      <c r="D27" t="str">
        <f>"T24D1.3"</f>
        <v>T24D1.3</v>
      </c>
      <c r="F27" t="s">
        <v>11</v>
      </c>
      <c r="G27" t="s">
        <v>51</v>
      </c>
      <c r="H27" s="12">
        <v>-5.1642985393551104</v>
      </c>
      <c r="I27" s="20">
        <v>-6.3581425894627399</v>
      </c>
      <c r="J27" s="28">
        <v>2.0420787270550299E-10</v>
      </c>
      <c r="K27" s="29">
        <v>1.88737084269334E-7</v>
      </c>
    </row>
    <row r="28" spans="1:11" x14ac:dyDescent="0.35">
      <c r="A28" s="9" t="str">
        <f>HYPERLINK("http://www.ensembl.org/id/WBGene00000705", "WBGene00000705")</f>
        <v>WBGene00000705</v>
      </c>
      <c r="B28" s="9" t="str">
        <f>HYPERLINK("http://www.ncbi.nlm.nih.gov/gene/178254", "178254")</f>
        <v>178254</v>
      </c>
      <c r="C28" s="9"/>
      <c r="D28" t="str">
        <f>"col-131"</f>
        <v>col-131</v>
      </c>
      <c r="E28" t="s">
        <v>40</v>
      </c>
      <c r="F28" t="s">
        <v>11</v>
      </c>
      <c r="G28" t="s">
        <v>52</v>
      </c>
      <c r="H28" s="12">
        <v>19.522818350445501</v>
      </c>
      <c r="I28" s="20">
        <v>6.3317736605592501</v>
      </c>
      <c r="J28" s="28">
        <v>2.42358841349113E-10</v>
      </c>
      <c r="K28" s="29">
        <v>1.9432999573835899E-7</v>
      </c>
    </row>
    <row r="29" spans="1:11" x14ac:dyDescent="0.35">
      <c r="A29" s="9" t="str">
        <f>HYPERLINK("http://www.ensembl.org/id/WBGene00019811", "WBGene00019811")</f>
        <v>WBGene00019811</v>
      </c>
      <c r="B29" s="9" t="str">
        <f>HYPERLINK("http://www.ncbi.nlm.nih.gov/gene/187510", "187510")</f>
        <v>187510</v>
      </c>
      <c r="C29" s="9"/>
      <c r="D29" t="str">
        <f>"egg-2"</f>
        <v>egg-2</v>
      </c>
      <c r="E29" t="s">
        <v>53</v>
      </c>
      <c r="F29" t="s">
        <v>11</v>
      </c>
      <c r="G29" t="s">
        <v>54</v>
      </c>
      <c r="H29" s="12">
        <v>-4.7282289288469199</v>
      </c>
      <c r="I29" s="20">
        <v>-6.3323127648336701</v>
      </c>
      <c r="J29" s="28">
        <v>2.4151328201246302E-10</v>
      </c>
      <c r="K29" s="29">
        <v>1.9432999573835899E-7</v>
      </c>
    </row>
    <row r="30" spans="1:11" x14ac:dyDescent="0.35">
      <c r="A30" s="9" t="str">
        <f>HYPERLINK("http://www.ensembl.org/id/WBGene00009035", "WBGene00009035")</f>
        <v>WBGene00009035</v>
      </c>
      <c r="B30" s="9" t="str">
        <f>HYPERLINK("http://www.ncbi.nlm.nih.gov/gene/178067", "178067")</f>
        <v>178067</v>
      </c>
      <c r="C30" s="9" t="str">
        <f>HYPERLINK("http://www.ncbi.nlm.nih.gov/gene/9945", "9945")</f>
        <v>9945</v>
      </c>
      <c r="D30" t="str">
        <f>"gfat-2"</f>
        <v>gfat-2</v>
      </c>
      <c r="E30" t="s">
        <v>55</v>
      </c>
      <c r="F30" t="s">
        <v>11</v>
      </c>
      <c r="G30" t="s">
        <v>56</v>
      </c>
      <c r="H30" s="12">
        <v>-5.44810233321898</v>
      </c>
      <c r="I30" s="20">
        <v>-6.3440893301677699</v>
      </c>
      <c r="J30" s="28">
        <v>2.2374497888018801E-10</v>
      </c>
      <c r="K30" s="29">
        <v>1.9432999573835899E-7</v>
      </c>
    </row>
    <row r="31" spans="1:11" x14ac:dyDescent="0.35">
      <c r="A31" s="9" t="str">
        <f>HYPERLINK("http://www.ensembl.org/id/WBGene00019368", "WBGene00019368")</f>
        <v>WBGene00019368</v>
      </c>
      <c r="B31" s="9" t="str">
        <f>HYPERLINK("http://www.ncbi.nlm.nih.gov/gene/176959", "176959")</f>
        <v>176959</v>
      </c>
      <c r="C31" s="9"/>
      <c r="D31" t="str">
        <f>"K03H6.2"</f>
        <v>K03H6.2</v>
      </c>
      <c r="F31" t="s">
        <v>11</v>
      </c>
      <c r="G31" t="s">
        <v>29</v>
      </c>
      <c r="H31" s="12">
        <v>-3.4888635919022102</v>
      </c>
      <c r="I31" s="20">
        <v>-6.3307953198610001</v>
      </c>
      <c r="J31" s="28">
        <v>2.4390071307939098E-10</v>
      </c>
      <c r="K31" s="29">
        <v>1.9432999573835899E-7</v>
      </c>
    </row>
    <row r="32" spans="1:11" x14ac:dyDescent="0.35">
      <c r="A32" s="9" t="str">
        <f>HYPERLINK("http://www.ensembl.org/id/WBGene00010351", "WBGene00010351")</f>
        <v>WBGene00010351</v>
      </c>
      <c r="B32" s="9" t="str">
        <f>HYPERLINK("http://www.ncbi.nlm.nih.gov/gene/178061", "178061")</f>
        <v>178061</v>
      </c>
      <c r="C32" s="9"/>
      <c r="D32" t="str">
        <f>"cbd-1"</f>
        <v>cbd-1</v>
      </c>
      <c r="E32" t="s">
        <v>57</v>
      </c>
      <c r="F32" t="s">
        <v>11</v>
      </c>
      <c r="G32" t="s">
        <v>31</v>
      </c>
      <c r="H32" s="12">
        <v>-5.4840498732408403</v>
      </c>
      <c r="I32" s="20">
        <v>-6.3155072634445997</v>
      </c>
      <c r="J32" s="28">
        <v>2.69276738551749E-10</v>
      </c>
      <c r="K32" s="29">
        <v>2.07396944032557E-7</v>
      </c>
    </row>
    <row r="33" spans="1:11" x14ac:dyDescent="0.35">
      <c r="A33" s="9" t="str">
        <f>HYPERLINK("http://www.ensembl.org/id/WBGene00000745", "WBGene00000745")</f>
        <v>WBGene00000745</v>
      </c>
      <c r="B33" s="9" t="str">
        <f>HYPERLINK("http://www.ncbi.nlm.nih.gov/gene/180934", "180934")</f>
        <v>180934</v>
      </c>
      <c r="C33" s="9"/>
      <c r="D33" t="str">
        <f>"col-172"</f>
        <v>col-172</v>
      </c>
      <c r="E33" t="s">
        <v>40</v>
      </c>
      <c r="F33" t="s">
        <v>11</v>
      </c>
      <c r="G33" t="s">
        <v>41</v>
      </c>
      <c r="H33" s="12">
        <v>8.5166998119371993</v>
      </c>
      <c r="I33" s="20">
        <v>6.2701163108565501</v>
      </c>
      <c r="J33" s="28">
        <v>3.6077850899568802E-10</v>
      </c>
      <c r="K33" s="29">
        <v>2.60504632151699E-7</v>
      </c>
    </row>
    <row r="34" spans="1:11" x14ac:dyDescent="0.35">
      <c r="A34" s="9" t="str">
        <f>HYPERLINK("http://www.ensembl.org/id/WBGene00045417", "WBGene00045417")</f>
        <v>WBGene00045417</v>
      </c>
      <c r="B34" s="9" t="str">
        <f>HYPERLINK("http://www.ncbi.nlm.nih.gov/gene/6418794", "6418794")</f>
        <v>6418794</v>
      </c>
      <c r="C34" s="9"/>
      <c r="D34" t="str">
        <f>"Y37H2A.13"</f>
        <v>Y37H2A.13</v>
      </c>
      <c r="F34" t="s">
        <v>11</v>
      </c>
      <c r="H34" s="12">
        <v>-7.4467501136734402</v>
      </c>
      <c r="I34" s="20">
        <v>-6.2743030634346102</v>
      </c>
      <c r="J34" s="28">
        <v>3.5120384253926998E-10</v>
      </c>
      <c r="K34" s="29">
        <v>2.60504632151699E-7</v>
      </c>
    </row>
    <row r="35" spans="1:11" x14ac:dyDescent="0.35">
      <c r="A35" s="9" t="str">
        <f>HYPERLINK("http://www.ensembl.org/id/WBGene00011063", "WBGene00011063")</f>
        <v>WBGene00011063</v>
      </c>
      <c r="B35" s="9" t="str">
        <f>HYPERLINK("http://www.ncbi.nlm.nih.gov/gene/172465", "172465")</f>
        <v>172465</v>
      </c>
      <c r="C35" s="9"/>
      <c r="D35" t="str">
        <f>"cpg-3"</f>
        <v>cpg-3</v>
      </c>
      <c r="E35" t="s">
        <v>58</v>
      </c>
      <c r="F35" t="s">
        <v>11</v>
      </c>
      <c r="H35" s="12">
        <v>-4.7970660756657502</v>
      </c>
      <c r="I35" s="20">
        <v>-6.2595542647308999</v>
      </c>
      <c r="J35" s="28">
        <v>3.86079376704143E-10</v>
      </c>
      <c r="K35" s="29">
        <v>2.6378088377089201E-7</v>
      </c>
    </row>
    <row r="36" spans="1:11" x14ac:dyDescent="0.35">
      <c r="A36" s="9" t="str">
        <f>HYPERLINK("http://www.ensembl.org/id/WBGene00021035", "WBGene00021035")</f>
        <v>WBGene00021035</v>
      </c>
      <c r="B36" s="9" t="str">
        <f>HYPERLINK("http://www.ncbi.nlm.nih.gov/gene/171908", "171908")</f>
        <v>171908</v>
      </c>
      <c r="C36" s="9"/>
      <c r="D36" t="str">
        <f>"W05F2.3"</f>
        <v>W05F2.3</v>
      </c>
      <c r="F36" t="s">
        <v>11</v>
      </c>
      <c r="G36" t="s">
        <v>25</v>
      </c>
      <c r="H36" s="12">
        <v>-3.9649921556431802</v>
      </c>
      <c r="I36" s="20">
        <v>-6.2587207814478303</v>
      </c>
      <c r="J36" s="28">
        <v>3.8814810214707499E-10</v>
      </c>
      <c r="K36" s="29">
        <v>2.6378088377089201E-7</v>
      </c>
    </row>
    <row r="37" spans="1:11" x14ac:dyDescent="0.35">
      <c r="A37" s="9" t="str">
        <f>HYPERLINK("http://www.ensembl.org/id/WBGene00000465", "WBGene00000465")</f>
        <v>WBGene00000465</v>
      </c>
      <c r="B37" s="9" t="str">
        <f>HYPERLINK("http://www.ncbi.nlm.nih.gov/gene/175586", "175586")</f>
        <v>175586</v>
      </c>
      <c r="C37" s="9"/>
      <c r="D37" t="str">
        <f>"cpg-1"</f>
        <v>cpg-1</v>
      </c>
      <c r="E37" t="s">
        <v>59</v>
      </c>
      <c r="F37" t="s">
        <v>11</v>
      </c>
      <c r="G37" t="s">
        <v>31</v>
      </c>
      <c r="H37" s="12">
        <v>-5.1917052995566397</v>
      </c>
      <c r="I37" s="20">
        <v>-6.2444875005661196</v>
      </c>
      <c r="J37" s="28">
        <v>4.2519192811488999E-10</v>
      </c>
      <c r="K37" s="29">
        <v>2.8069956260064702E-7</v>
      </c>
    </row>
    <row r="38" spans="1:11" x14ac:dyDescent="0.35">
      <c r="A38" s="9" t="str">
        <f>HYPERLINK("http://www.ensembl.org/id/WBGene00022505", "WBGene00022505")</f>
        <v>WBGene00022505</v>
      </c>
      <c r="B38" s="9" t="str">
        <f>HYPERLINK("http://www.ncbi.nlm.nih.gov/gene/191053", "191053")</f>
        <v>191053</v>
      </c>
      <c r="C38" s="9"/>
      <c r="D38" t="str">
        <f>"ZC21.3"</f>
        <v>ZC21.3</v>
      </c>
      <c r="F38" t="s">
        <v>11</v>
      </c>
      <c r="H38" s="12">
        <v>3.5619024186747299</v>
      </c>
      <c r="I38" s="20">
        <v>6.2299657063683496</v>
      </c>
      <c r="J38" s="28">
        <v>4.6653728889043404E-10</v>
      </c>
      <c r="K38" s="29">
        <v>2.9943918325284298E-7</v>
      </c>
    </row>
    <row r="39" spans="1:11" x14ac:dyDescent="0.35">
      <c r="A39" s="9" t="str">
        <f>HYPERLINK("http://www.ensembl.org/id/WBGene00004798", "WBGene00004798")</f>
        <v>WBGene00004798</v>
      </c>
      <c r="B39" s="9" t="str">
        <f>HYPERLINK("http://www.ncbi.nlm.nih.gov/gene/176471", "176471")</f>
        <v>176471</v>
      </c>
      <c r="C39" s="9"/>
      <c r="D39" t="str">
        <f>"sip-1"</f>
        <v>sip-1</v>
      </c>
      <c r="E39" t="s">
        <v>60</v>
      </c>
      <c r="F39" t="s">
        <v>11</v>
      </c>
      <c r="G39" t="s">
        <v>61</v>
      </c>
      <c r="H39" s="12">
        <v>-3.0245391278290099</v>
      </c>
      <c r="I39" s="20">
        <v>-6.2213069491967898</v>
      </c>
      <c r="J39" s="28">
        <v>4.9303053380049703E-10</v>
      </c>
      <c r="K39" s="29">
        <v>3.0789090578362902E-7</v>
      </c>
    </row>
    <row r="40" spans="1:11" x14ac:dyDescent="0.35">
      <c r="A40" s="9" t="str">
        <f>HYPERLINK("http://www.ensembl.org/id/WBGene00077757", "WBGene00077757")</f>
        <v>WBGene00077757</v>
      </c>
      <c r="B40" s="9" t="str">
        <f>HYPERLINK("http://www.ncbi.nlm.nih.gov/gene/7040175", "7040175")</f>
        <v>7040175</v>
      </c>
      <c r="C40" s="9"/>
      <c r="D40" t="str">
        <f>"E02H4.7"</f>
        <v>E02H4.7</v>
      </c>
      <c r="F40" t="s">
        <v>11</v>
      </c>
      <c r="H40" s="12">
        <v>-10.251380468609099</v>
      </c>
      <c r="I40" s="20">
        <v>-6.2079639661307002</v>
      </c>
      <c r="J40" s="28">
        <v>5.3675453801219399E-10</v>
      </c>
      <c r="K40" s="29">
        <v>3.2637500935025701E-7</v>
      </c>
    </row>
    <row r="41" spans="1:11" x14ac:dyDescent="0.35">
      <c r="A41" s="9" t="str">
        <f>HYPERLINK("http://www.ensembl.org/id/WBGene00000714", "WBGene00000714")</f>
        <v>WBGene00000714</v>
      </c>
      <c r="B41" s="9" t="str">
        <f>HYPERLINK("http://www.ncbi.nlm.nih.gov/gene/188515", "188515")</f>
        <v>188515</v>
      </c>
      <c r="C41" s="9"/>
      <c r="D41" t="str">
        <f>"col-141"</f>
        <v>col-141</v>
      </c>
      <c r="E41" t="s">
        <v>40</v>
      </c>
      <c r="F41" t="s">
        <v>11</v>
      </c>
      <c r="G41" t="s">
        <v>41</v>
      </c>
      <c r="H41" s="12">
        <v>5.6369831476837096</v>
      </c>
      <c r="I41" s="20">
        <v>6.1838161771095503</v>
      </c>
      <c r="J41" s="28">
        <v>6.2570224626837703E-10</v>
      </c>
      <c r="K41" s="29">
        <v>3.7070451544300302E-7</v>
      </c>
    </row>
    <row r="42" spans="1:11" x14ac:dyDescent="0.35">
      <c r="A42" s="9" t="str">
        <f>HYPERLINK("http://www.ensembl.org/id/WBGene00004993", "WBGene00004993")</f>
        <v>WBGene00004993</v>
      </c>
      <c r="B42" s="9" t="str">
        <f>HYPERLINK("http://www.ncbi.nlm.nih.gov/gene/177652", "177652")</f>
        <v>177652</v>
      </c>
      <c r="C42" s="9"/>
      <c r="D42" t="str">
        <f>"spp-8"</f>
        <v>spp-8</v>
      </c>
      <c r="E42" t="s">
        <v>62</v>
      </c>
      <c r="F42" t="s">
        <v>11</v>
      </c>
      <c r="G42" t="s">
        <v>63</v>
      </c>
      <c r="H42" s="12">
        <v>-3.2798906904098701</v>
      </c>
      <c r="I42" s="20">
        <v>-6.1669042089581101</v>
      </c>
      <c r="J42" s="28">
        <v>6.9639914995121096E-10</v>
      </c>
      <c r="K42" s="29">
        <v>4.0227496896931701E-7</v>
      </c>
    </row>
    <row r="43" spans="1:11" x14ac:dyDescent="0.35">
      <c r="A43" s="9" t="str">
        <f>HYPERLINK("http://www.ensembl.org/id/WBGene00003026", "WBGene00003026")</f>
        <v>WBGene00003026</v>
      </c>
      <c r="B43" s="9" t="str">
        <f>HYPERLINK("http://www.ncbi.nlm.nih.gov/gene/172760", "172760")</f>
        <v>172760</v>
      </c>
      <c r="C43" s="9" t="str">
        <f>HYPERLINK("http://www.ncbi.nlm.nih.gov/gene/131405", "131405")</f>
        <v>131405</v>
      </c>
      <c r="D43" t="str">
        <f>"lin-41"</f>
        <v>lin-41</v>
      </c>
      <c r="F43" t="s">
        <v>11</v>
      </c>
      <c r="G43" t="s">
        <v>64</v>
      </c>
      <c r="H43" s="12">
        <v>-3.7226756551467899</v>
      </c>
      <c r="I43" s="20">
        <v>-6.1386901896719204</v>
      </c>
      <c r="J43" s="28">
        <v>8.3204655496843799E-10</v>
      </c>
      <c r="K43" s="29">
        <v>4.68908968270749E-7</v>
      </c>
    </row>
    <row r="44" spans="1:11" x14ac:dyDescent="0.35">
      <c r="A44" s="9" t="str">
        <f>HYPERLINK("http://www.ensembl.org/id/WBGene00000496", "WBGene00000496")</f>
        <v>WBGene00000496</v>
      </c>
      <c r="B44" s="9" t="str">
        <f>HYPERLINK("http://www.ncbi.nlm.nih.gov/gene/172508", "172508")</f>
        <v>172508</v>
      </c>
      <c r="C44" s="9"/>
      <c r="D44" t="str">
        <f>"chs-1"</f>
        <v>chs-1</v>
      </c>
      <c r="E44" t="s">
        <v>67</v>
      </c>
      <c r="F44" t="s">
        <v>11</v>
      </c>
      <c r="G44" t="s">
        <v>68</v>
      </c>
      <c r="H44" s="12">
        <v>-5.1180078343328503</v>
      </c>
      <c r="I44" s="20">
        <v>-6.1164125970747696</v>
      </c>
      <c r="J44" s="28">
        <v>9.570533898124909E-10</v>
      </c>
      <c r="K44" s="29">
        <v>5.1427152616296304E-7</v>
      </c>
    </row>
    <row r="45" spans="1:11" x14ac:dyDescent="0.35">
      <c r="A45" s="9" t="str">
        <f>HYPERLINK("http://www.ensembl.org/id/WBGene00019978", "WBGene00019978")</f>
        <v>WBGene00019978</v>
      </c>
      <c r="B45" s="9" t="str">
        <f>HYPERLINK("http://www.ncbi.nlm.nih.gov/gene/178638", "178638")</f>
        <v>178638</v>
      </c>
      <c r="C45" s="9"/>
      <c r="D45" t="str">
        <f>"hacd-1"</f>
        <v>hacd-1</v>
      </c>
      <c r="E45" t="s">
        <v>65</v>
      </c>
      <c r="F45" t="s">
        <v>11</v>
      </c>
      <c r="G45" t="s">
        <v>66</v>
      </c>
      <c r="H45" s="12">
        <v>-3.0650163989257901</v>
      </c>
      <c r="I45" s="20">
        <v>-6.1173263879014099</v>
      </c>
      <c r="J45" s="28">
        <v>9.5158340429591493E-10</v>
      </c>
      <c r="K45" s="29">
        <v>5.1427152616296304E-7</v>
      </c>
    </row>
    <row r="46" spans="1:11" x14ac:dyDescent="0.35">
      <c r="A46" s="9" t="str">
        <f>HYPERLINK("http://www.ensembl.org/id/WBGene00016178", "WBGene00016178")</f>
        <v>WBGene00016178</v>
      </c>
      <c r="B46" s="9" t="str">
        <f>HYPERLINK("http://www.ncbi.nlm.nih.gov/gene/177655", "177655")</f>
        <v>177655</v>
      </c>
      <c r="C46" s="9"/>
      <c r="D46" t="str">
        <f>"mesp-1"</f>
        <v>mesp-1</v>
      </c>
      <c r="E46" t="s">
        <v>69</v>
      </c>
      <c r="F46" t="s">
        <v>11</v>
      </c>
      <c r="H46" s="12">
        <v>-3.7214031774689902</v>
      </c>
      <c r="I46" s="20">
        <v>-6.0458219734880698</v>
      </c>
      <c r="J46" s="28">
        <v>1.48650166890307E-9</v>
      </c>
      <c r="K46" s="29">
        <v>7.8061608094714301E-7</v>
      </c>
    </row>
    <row r="47" spans="1:11" x14ac:dyDescent="0.35">
      <c r="A47" s="9" t="str">
        <f>HYPERLINK("http://www.ensembl.org/id/WBGene00002073", "WBGene00002073")</f>
        <v>WBGene00002073</v>
      </c>
      <c r="B47" s="9" t="str">
        <f>HYPERLINK("http://www.ncbi.nlm.nih.gov/gene/172329", "172329")</f>
        <v>172329</v>
      </c>
      <c r="C47" s="9"/>
      <c r="D47" t="str">
        <f>"ima-2"</f>
        <v>ima-2</v>
      </c>
      <c r="E47" t="s">
        <v>70</v>
      </c>
      <c r="F47" t="s">
        <v>11</v>
      </c>
      <c r="G47" t="s">
        <v>71</v>
      </c>
      <c r="H47" s="12">
        <v>-3.37991240324985</v>
      </c>
      <c r="I47" s="20">
        <v>-6.03965862506295</v>
      </c>
      <c r="J47" s="28">
        <v>1.54440620579438E-9</v>
      </c>
      <c r="K47" s="29">
        <v>7.9300110646855201E-7</v>
      </c>
    </row>
    <row r="48" spans="1:11" x14ac:dyDescent="0.35">
      <c r="A48" s="9" t="str">
        <f>HYPERLINK("http://www.ensembl.org/id/WBGene00013567", "WBGene00013567")</f>
        <v>WBGene00013567</v>
      </c>
      <c r="B48" s="9" t="str">
        <f>HYPERLINK("http://www.ncbi.nlm.nih.gov/gene/190716", "190716")</f>
        <v>190716</v>
      </c>
      <c r="C48" s="9"/>
      <c r="D48" t="str">
        <f>"Y75B12B.1"</f>
        <v>Y75B12B.1</v>
      </c>
      <c r="F48" t="s">
        <v>11</v>
      </c>
      <c r="H48" s="12">
        <v>-4.48638426107218</v>
      </c>
      <c r="I48" s="20">
        <v>-6.0274183712864202</v>
      </c>
      <c r="J48" s="28">
        <v>1.66599345325029E-9</v>
      </c>
      <c r="K48" s="29">
        <v>8.3683575501741698E-7</v>
      </c>
    </row>
    <row r="49" spans="1:11" x14ac:dyDescent="0.35">
      <c r="A49" s="9" t="str">
        <f>HYPERLINK("http://www.ensembl.org/id/WBGene00015083", "WBGene00015083")</f>
        <v>WBGene00015083</v>
      </c>
      <c r="B49" s="9" t="str">
        <f>HYPERLINK("http://www.ncbi.nlm.nih.gov/gene/175804", "175804")</f>
        <v>175804</v>
      </c>
      <c r="C49" s="9"/>
      <c r="D49" t="str">
        <f>"egg-1"</f>
        <v>egg-1</v>
      </c>
      <c r="E49" t="s">
        <v>72</v>
      </c>
      <c r="F49" t="s">
        <v>11</v>
      </c>
      <c r="G49" t="s">
        <v>54</v>
      </c>
      <c r="H49" s="12">
        <v>-5.5285189819961396</v>
      </c>
      <c r="I49" s="20">
        <v>-6.0239379007757003</v>
      </c>
      <c r="J49" s="28">
        <v>1.7022369982046299E-9</v>
      </c>
      <c r="K49" s="29">
        <v>8.3684868256417197E-7</v>
      </c>
    </row>
    <row r="50" spans="1:11" x14ac:dyDescent="0.35">
      <c r="A50" s="9" t="str">
        <f>HYPERLINK("http://www.ensembl.org/id/WBGene00013950", "WBGene00013950")</f>
        <v>WBGene00013950</v>
      </c>
      <c r="B50" s="9" t="str">
        <f>HYPERLINK("http://www.ncbi.nlm.nih.gov/gene/191267", "191267")</f>
        <v>191267</v>
      </c>
      <c r="C50" s="9"/>
      <c r="D50" t="str">
        <f>"ZK262.3"</f>
        <v>ZK262.3</v>
      </c>
      <c r="E50" t="s">
        <v>73</v>
      </c>
      <c r="F50" t="s">
        <v>11</v>
      </c>
      <c r="G50" t="s">
        <v>74</v>
      </c>
      <c r="H50" s="12">
        <v>4.0556646529591101</v>
      </c>
      <c r="I50" s="20">
        <v>6.0164732841826201</v>
      </c>
      <c r="J50" s="28">
        <v>1.78257901138578E-9</v>
      </c>
      <c r="K50" s="29">
        <v>8.5808897160582899E-7</v>
      </c>
    </row>
    <row r="51" spans="1:11" x14ac:dyDescent="0.35">
      <c r="A51" s="9" t="str">
        <f>HYPERLINK("http://www.ensembl.org/id/WBGene00020946", "WBGene00020946")</f>
        <v>WBGene00020946</v>
      </c>
      <c r="B51" s="9" t="str">
        <f>HYPERLINK("http://www.ncbi.nlm.nih.gov/gene/179214", "179214")</f>
        <v>179214</v>
      </c>
      <c r="C51" s="9"/>
      <c r="D51" t="str">
        <f>"W02D7.11"</f>
        <v>W02D7.11</v>
      </c>
      <c r="F51" t="s">
        <v>11</v>
      </c>
      <c r="G51" t="s">
        <v>25</v>
      </c>
      <c r="H51" s="12">
        <v>-8.5738650610771003</v>
      </c>
      <c r="I51" s="20">
        <v>-5.97846216974669</v>
      </c>
      <c r="J51" s="28">
        <v>2.2525390726425802E-9</v>
      </c>
      <c r="K51" s="29">
        <v>1.0621870982138701E-6</v>
      </c>
    </row>
    <row r="52" spans="1:11" x14ac:dyDescent="0.35">
      <c r="A52" s="9" t="str">
        <f>HYPERLINK("http://www.ensembl.org/id/WBGene00015913", "WBGene00015913")</f>
        <v>WBGene00015913</v>
      </c>
      <c r="B52" s="9" t="str">
        <f>HYPERLINK("http://www.ncbi.nlm.nih.gov/gene/173668", "173668")</f>
        <v>173668</v>
      </c>
      <c r="C52" s="9"/>
      <c r="D52" t="str">
        <f>"C17F4.7"</f>
        <v>C17F4.7</v>
      </c>
      <c r="F52" t="s">
        <v>11</v>
      </c>
      <c r="H52" s="12">
        <v>-3.5930074461474599</v>
      </c>
      <c r="I52" s="20">
        <v>-5.9681316283198802</v>
      </c>
      <c r="J52" s="28">
        <v>2.3998573595703899E-9</v>
      </c>
      <c r="K52" s="29">
        <v>1.08727655196536E-6</v>
      </c>
    </row>
    <row r="53" spans="1:11" x14ac:dyDescent="0.35">
      <c r="A53" s="9" t="str">
        <f>HYPERLINK("http://www.ensembl.org/id/WBGene00003865", "WBGene00003865")</f>
        <v>WBGene00003865</v>
      </c>
      <c r="B53" s="9" t="str">
        <f>HYPERLINK("http://www.ncbi.nlm.nih.gov/gene/179183", "179183")</f>
        <v>179183</v>
      </c>
      <c r="C53" s="9"/>
      <c r="D53" t="str">
        <f>"oma-2"</f>
        <v>oma-2</v>
      </c>
      <c r="E53" t="s">
        <v>75</v>
      </c>
      <c r="F53" t="s">
        <v>11</v>
      </c>
      <c r="G53" t="s">
        <v>51</v>
      </c>
      <c r="H53" s="12">
        <v>-4.1373067282336402</v>
      </c>
      <c r="I53" s="20">
        <v>-5.9683567431894096</v>
      </c>
      <c r="J53" s="28">
        <v>2.3965493034198398E-9</v>
      </c>
      <c r="K53" s="29">
        <v>1.08727655196536E-6</v>
      </c>
    </row>
    <row r="54" spans="1:11" x14ac:dyDescent="0.35">
      <c r="A54" s="9" t="str">
        <f>HYPERLINK("http://www.ensembl.org/id/WBGene00008295", "WBGene00008295")</f>
        <v>WBGene00008295</v>
      </c>
      <c r="B54" s="9" t="str">
        <f>HYPERLINK("http://www.ncbi.nlm.nih.gov/gene/183774", "183774")</f>
        <v>183774</v>
      </c>
      <c r="C54" s="9"/>
      <c r="D54" t="str">
        <f>"nlp-39"</f>
        <v>nlp-39</v>
      </c>
      <c r="E54" t="s">
        <v>76</v>
      </c>
      <c r="F54" t="s">
        <v>11</v>
      </c>
      <c r="G54" t="s">
        <v>77</v>
      </c>
      <c r="H54" s="12">
        <v>-3.8938300483118899</v>
      </c>
      <c r="I54" s="20">
        <v>-5.95837964287111</v>
      </c>
      <c r="J54" s="28">
        <v>2.5475116165927101E-9</v>
      </c>
      <c r="K54" s="29">
        <v>1.1319769887113699E-6</v>
      </c>
    </row>
    <row r="55" spans="1:11" x14ac:dyDescent="0.35">
      <c r="A55" s="9" t="str">
        <f>HYPERLINK("http://www.ensembl.org/id/WBGene00012020", "WBGene00012020")</f>
        <v>WBGene00012020</v>
      </c>
      <c r="B55" s="9" t="str">
        <f>HYPERLINK("http://www.ncbi.nlm.nih.gov/gene/180119", "180119")</f>
        <v>180119</v>
      </c>
      <c r="C55" s="9" t="str">
        <f>HYPERLINK("http://www.ncbi.nlm.nih.gov/gene/8908", "8908")</f>
        <v>8908</v>
      </c>
      <c r="D55" t="str">
        <f>"gyg-2"</f>
        <v>gyg-2</v>
      </c>
      <c r="E55" t="s">
        <v>78</v>
      </c>
      <c r="F55" t="s">
        <v>11</v>
      </c>
      <c r="G55" t="s">
        <v>79</v>
      </c>
      <c r="H55" s="12">
        <v>-3.0914113308639699</v>
      </c>
      <c r="I55" s="20">
        <v>-5.92674691856715</v>
      </c>
      <c r="J55" s="28">
        <v>3.0899462821585899E-9</v>
      </c>
      <c r="K55" s="29">
        <v>1.34709997727465E-6</v>
      </c>
    </row>
    <row r="56" spans="1:11" x14ac:dyDescent="0.35">
      <c r="A56" s="9" t="str">
        <f>HYPERLINK("http://www.ensembl.org/id/WBGene00015312", "WBGene00015312")</f>
        <v>WBGene00015312</v>
      </c>
      <c r="B56" s="9" t="str">
        <f>HYPERLINK("http://www.ncbi.nlm.nih.gov/gene/172170", "172170")</f>
        <v>172170</v>
      </c>
      <c r="C56" s="9"/>
      <c r="D56" t="str">
        <f>"C01G8.1"</f>
        <v>C01G8.1</v>
      </c>
      <c r="F56" t="s">
        <v>11</v>
      </c>
      <c r="H56" s="12">
        <v>-3.4652266863880898</v>
      </c>
      <c r="I56" s="20">
        <v>-5.87952977198404</v>
      </c>
      <c r="J56" s="28">
        <v>4.1143359679275599E-9</v>
      </c>
      <c r="K56" s="29">
        <v>1.7604786458321199E-6</v>
      </c>
    </row>
    <row r="57" spans="1:11" x14ac:dyDescent="0.35">
      <c r="A57" s="9" t="str">
        <f>HYPERLINK("http://www.ensembl.org/id/WBGene00008341", "WBGene00008341")</f>
        <v>WBGene00008341</v>
      </c>
      <c r="B57" s="9" t="str">
        <f>HYPERLINK("http://www.ncbi.nlm.nih.gov/gene/179835", "179835")</f>
        <v>179835</v>
      </c>
      <c r="C57" s="9"/>
      <c r="D57" t="str">
        <f>"ttr-44"</f>
        <v>ttr-44</v>
      </c>
      <c r="E57" t="s">
        <v>16</v>
      </c>
      <c r="F57" t="s">
        <v>11</v>
      </c>
      <c r="G57" t="s">
        <v>17</v>
      </c>
      <c r="H57" s="12">
        <v>-3.5976096895140999</v>
      </c>
      <c r="I57" s="20">
        <v>-5.8419035012618901</v>
      </c>
      <c r="J57" s="28">
        <v>5.1607699796160299E-9</v>
      </c>
      <c r="K57" s="29">
        <v>2.1680863845274201E-6</v>
      </c>
    </row>
    <row r="58" spans="1:11" x14ac:dyDescent="0.35">
      <c r="A58" s="9" t="str">
        <f>HYPERLINK("http://www.ensembl.org/id/WBGene00016822", "WBGene00016822")</f>
        <v>WBGene00016822</v>
      </c>
      <c r="B58" s="9" t="str">
        <f>HYPERLINK("http://www.ncbi.nlm.nih.gov/gene/179144", "179144")</f>
        <v>179144</v>
      </c>
      <c r="C58" s="9"/>
      <c r="D58" t="str">
        <f>"C50E3.11"</f>
        <v>C50E3.11</v>
      </c>
      <c r="F58" t="s">
        <v>11</v>
      </c>
      <c r="H58" s="12">
        <v>-5.00518258635352</v>
      </c>
      <c r="I58" s="20">
        <v>-5.8313068182636698</v>
      </c>
      <c r="J58" s="28">
        <v>5.4994955719787904E-9</v>
      </c>
      <c r="K58" s="29">
        <v>2.2691311551096798E-6</v>
      </c>
    </row>
    <row r="59" spans="1:11" x14ac:dyDescent="0.35">
      <c r="A59" s="9" t="str">
        <f>HYPERLINK("http://www.ensembl.org/id/WBGene00014667", "WBGene00014667")</f>
        <v>WBGene00014667</v>
      </c>
      <c r="B59" s="9"/>
      <c r="C59" s="9"/>
      <c r="D59" t="str">
        <f>"C06A1.4"</f>
        <v>C06A1.4</v>
      </c>
      <c r="F59" t="s">
        <v>80</v>
      </c>
      <c r="H59" s="12">
        <v>-3.2763876187991698</v>
      </c>
      <c r="I59" s="20">
        <v>-5.8168635084455502</v>
      </c>
      <c r="J59" s="28">
        <v>5.9962063548408396E-9</v>
      </c>
      <c r="K59" s="29">
        <v>2.43067270236759E-6</v>
      </c>
    </row>
    <row r="60" spans="1:11" x14ac:dyDescent="0.35">
      <c r="A60" s="9" t="str">
        <f>HYPERLINK("http://www.ensembl.org/id/WBGene00011037", "WBGene00011037")</f>
        <v>WBGene00011037</v>
      </c>
      <c r="B60" s="9" t="str">
        <f>HYPERLINK("http://www.ncbi.nlm.nih.gov/gene/172650", "172650")</f>
        <v>172650</v>
      </c>
      <c r="C60" s="9"/>
      <c r="D60" t="str">
        <f>"R05D11.9"</f>
        <v>R05D11.9</v>
      </c>
      <c r="F60" t="s">
        <v>11</v>
      </c>
      <c r="G60" t="s">
        <v>81</v>
      </c>
      <c r="H60" s="12">
        <v>-3.6772858977528999</v>
      </c>
      <c r="I60" s="20">
        <v>-5.7873070585571096</v>
      </c>
      <c r="J60" s="28">
        <v>7.1523765607983898E-9</v>
      </c>
      <c r="K60" s="29">
        <v>2.84935884161737E-6</v>
      </c>
    </row>
    <row r="61" spans="1:11" x14ac:dyDescent="0.35">
      <c r="A61" s="9" t="str">
        <f>HYPERLINK("http://www.ensembl.org/id/WBGene00019146", "WBGene00019146")</f>
        <v>WBGene00019146</v>
      </c>
      <c r="B61" s="9" t="str">
        <f>HYPERLINK("http://www.ncbi.nlm.nih.gov/gene/186667", "186667")</f>
        <v>186667</v>
      </c>
      <c r="C61" s="9"/>
      <c r="D61" t="str">
        <f>"H02F09.3"</f>
        <v>H02F09.3</v>
      </c>
      <c r="F61" t="s">
        <v>11</v>
      </c>
      <c r="G61" t="s">
        <v>25</v>
      </c>
      <c r="H61" s="12">
        <v>10.931251681831901</v>
      </c>
      <c r="I61" s="20">
        <v>5.7717567480421197</v>
      </c>
      <c r="J61" s="28">
        <v>7.8449311278293796E-9</v>
      </c>
      <c r="K61" s="29">
        <v>3.0722877735529802E-6</v>
      </c>
    </row>
    <row r="62" spans="1:11" x14ac:dyDescent="0.35">
      <c r="A62" s="9" t="str">
        <f>HYPERLINK("http://www.ensembl.org/id/WBGene00000017", "WBGene00000017")</f>
        <v>WBGene00000017</v>
      </c>
      <c r="B62" s="9" t="str">
        <f>HYPERLINK("http://www.ncbi.nlm.nih.gov/gene/181418", "181418")</f>
        <v>181418</v>
      </c>
      <c r="C62" s="9"/>
      <c r="D62" t="str">
        <f>"abf-6"</f>
        <v>abf-6</v>
      </c>
      <c r="E62" t="s">
        <v>82</v>
      </c>
      <c r="F62" t="s">
        <v>11</v>
      </c>
      <c r="H62" s="12">
        <v>3.0946054731743402</v>
      </c>
      <c r="I62" s="20">
        <v>5.7496596994419003</v>
      </c>
      <c r="J62" s="28">
        <v>8.9423252117062098E-9</v>
      </c>
      <c r="K62" s="29">
        <v>3.4436894390280602E-6</v>
      </c>
    </row>
    <row r="63" spans="1:11" x14ac:dyDescent="0.35">
      <c r="A63" s="9" t="str">
        <f>HYPERLINK("http://www.ensembl.org/id/WBGene00022257", "WBGene00022257")</f>
        <v>WBGene00022257</v>
      </c>
      <c r="B63" s="9" t="str">
        <f>HYPERLINK("http://www.ncbi.nlm.nih.gov/gene/177406", "177406")</f>
        <v>177406</v>
      </c>
      <c r="C63" s="9"/>
      <c r="D63" t="str">
        <f>"puf-11"</f>
        <v>puf-11</v>
      </c>
      <c r="E63" t="s">
        <v>48</v>
      </c>
      <c r="F63" t="s">
        <v>11</v>
      </c>
      <c r="G63" t="s">
        <v>83</v>
      </c>
      <c r="H63" s="12">
        <v>-3.6821610859137399</v>
      </c>
      <c r="I63" s="20">
        <v>-5.7189498997116797</v>
      </c>
      <c r="J63" s="28">
        <v>1.0718438988857601E-8</v>
      </c>
      <c r="K63" s="29">
        <v>4.0600041192876104E-6</v>
      </c>
    </row>
    <row r="64" spans="1:11" x14ac:dyDescent="0.35">
      <c r="A64" s="9" t="str">
        <f>HYPERLINK("http://www.ensembl.org/id/WBGene00004987", "WBGene00004987")</f>
        <v>WBGene00004987</v>
      </c>
      <c r="B64" s="9" t="str">
        <f>HYPERLINK("http://www.ncbi.nlm.nih.gov/gene/259714", "259714")</f>
        <v>259714</v>
      </c>
      <c r="C64" s="9"/>
      <c r="D64" t="str">
        <f>"spp-2"</f>
        <v>spp-2</v>
      </c>
      <c r="E64" t="s">
        <v>62</v>
      </c>
      <c r="F64" t="s">
        <v>11</v>
      </c>
      <c r="G64" t="s">
        <v>84</v>
      </c>
      <c r="H64" s="12">
        <v>-3.8060177970264002</v>
      </c>
      <c r="I64" s="20">
        <v>-5.7099528107288</v>
      </c>
      <c r="J64" s="28">
        <v>1.1300750286863E-8</v>
      </c>
      <c r="K64" s="29">
        <v>4.2115344536815597E-6</v>
      </c>
    </row>
    <row r="65" spans="1:11" x14ac:dyDescent="0.35">
      <c r="A65" s="9" t="str">
        <f>HYPERLINK("http://www.ensembl.org/id/WBGene00004044", "WBGene00004044")</f>
        <v>WBGene00004044</v>
      </c>
      <c r="B65" s="9" t="str">
        <f>HYPERLINK("http://www.ncbi.nlm.nih.gov/gene/266900", "266900")</f>
        <v>266900</v>
      </c>
      <c r="C65" s="9"/>
      <c r="D65" t="str">
        <f>"plk-3"</f>
        <v>plk-3</v>
      </c>
      <c r="E65" t="s">
        <v>85</v>
      </c>
      <c r="F65" t="s">
        <v>11</v>
      </c>
      <c r="G65" t="s">
        <v>86</v>
      </c>
      <c r="H65" s="12">
        <v>-3.9979875743412499</v>
      </c>
      <c r="I65" s="20">
        <v>-5.7046188635671804</v>
      </c>
      <c r="J65" s="28">
        <v>1.16603701791426E-8</v>
      </c>
      <c r="K65" s="29">
        <v>4.2765795771312399E-6</v>
      </c>
    </row>
    <row r="66" spans="1:11" x14ac:dyDescent="0.35">
      <c r="A66" s="9" t="str">
        <f>HYPERLINK("http://www.ensembl.org/id/WBGene00003410", "WBGene00003410")</f>
        <v>WBGene00003410</v>
      </c>
      <c r="B66" s="9" t="str">
        <f>HYPERLINK("http://www.ncbi.nlm.nih.gov/gene/181202", "181202")</f>
        <v>181202</v>
      </c>
      <c r="C66" s="9" t="str">
        <f>HYPERLINK("http://www.ncbi.nlm.nih.gov/gene/8714", "8714")</f>
        <v>8714</v>
      </c>
      <c r="D66" t="str">
        <f>"mrp-4"</f>
        <v>mrp-4</v>
      </c>
      <c r="F66" t="s">
        <v>11</v>
      </c>
      <c r="G66" t="s">
        <v>87</v>
      </c>
      <c r="H66" s="12">
        <v>-3.0370148098729302</v>
      </c>
      <c r="I66" s="20">
        <v>-5.6987866541240599</v>
      </c>
      <c r="J66" s="28">
        <v>1.2066311197111199E-8</v>
      </c>
      <c r="K66" s="29">
        <v>4.3563154143820503E-6</v>
      </c>
    </row>
    <row r="67" spans="1:11" x14ac:dyDescent="0.35">
      <c r="A67" s="9" t="str">
        <f>HYPERLINK("http://www.ensembl.org/id/WBGene00010769", "WBGene00010769")</f>
        <v>WBGene00010769</v>
      </c>
      <c r="B67" s="9" t="str">
        <f>HYPERLINK("http://www.ncbi.nlm.nih.gov/gene/173120", "173120")</f>
        <v>173120</v>
      </c>
      <c r="C67" s="9" t="str">
        <f>HYPERLINK("http://www.ncbi.nlm.nih.gov/gene/427", "427")</f>
        <v>427</v>
      </c>
      <c r="D67" t="str">
        <f>"asah-1"</f>
        <v>asah-1</v>
      </c>
      <c r="E67" t="s">
        <v>88</v>
      </c>
      <c r="F67" t="s">
        <v>11</v>
      </c>
      <c r="G67" t="s">
        <v>89</v>
      </c>
      <c r="H67" s="12">
        <v>-3.1076688948020501</v>
      </c>
      <c r="I67" s="20">
        <v>-5.67545781096364</v>
      </c>
      <c r="J67" s="28">
        <v>1.3831823131047199E-8</v>
      </c>
      <c r="K67" s="29">
        <v>4.9168939271688797E-6</v>
      </c>
    </row>
    <row r="68" spans="1:11" x14ac:dyDescent="0.35">
      <c r="A68" s="9" t="str">
        <f>HYPERLINK("http://www.ensembl.org/id/WBGene00008905", "WBGene00008905")</f>
        <v>WBGene00008905</v>
      </c>
      <c r="B68" s="9" t="str">
        <f>HYPERLINK("http://www.ncbi.nlm.nih.gov/gene/173182", "173182")</f>
        <v>173182</v>
      </c>
      <c r="C68" s="9" t="str">
        <f>HYPERLINK("http://www.ncbi.nlm.nih.gov/gene/158046", "158046")</f>
        <v>158046</v>
      </c>
      <c r="D68" t="str">
        <f>"F17B5.1"</f>
        <v>F17B5.1</v>
      </c>
      <c r="F68" t="s">
        <v>11</v>
      </c>
      <c r="H68" s="12">
        <v>-5.4625273158809904</v>
      </c>
      <c r="I68" s="20">
        <v>-5.6721005110967297</v>
      </c>
      <c r="J68" s="28">
        <v>1.4105717136212601E-8</v>
      </c>
      <c r="K68" s="29">
        <v>4.9382833355958902E-6</v>
      </c>
    </row>
    <row r="69" spans="1:11" x14ac:dyDescent="0.35">
      <c r="A69" s="9" t="str">
        <f>HYPERLINK("http://www.ensembl.org/id/WBGene00009701", "WBGene00009701")</f>
        <v>WBGene00009701</v>
      </c>
      <c r="B69" s="9" t="str">
        <f>HYPERLINK("http://www.ncbi.nlm.nih.gov/gene/174677", "174677")</f>
        <v>174677</v>
      </c>
      <c r="C69" s="9"/>
      <c r="D69" t="str">
        <f>"egg-3"</f>
        <v>egg-3</v>
      </c>
      <c r="E69" t="s">
        <v>92</v>
      </c>
      <c r="F69" t="s">
        <v>11</v>
      </c>
      <c r="G69" t="s">
        <v>93</v>
      </c>
      <c r="H69" s="12">
        <v>-3.1496911268248202</v>
      </c>
      <c r="I69" s="20">
        <v>-5.6361593013037696</v>
      </c>
      <c r="J69" s="28">
        <v>1.7388453931314501E-8</v>
      </c>
      <c r="K69" s="29">
        <v>5.9966448133782097E-6</v>
      </c>
    </row>
    <row r="70" spans="1:11" x14ac:dyDescent="0.35">
      <c r="A70" s="9" t="str">
        <f>HYPERLINK("http://www.ensembl.org/id/WBGene00019495", "WBGene00019495")</f>
        <v>WBGene00019495</v>
      </c>
      <c r="B70" s="9" t="str">
        <f>HYPERLINK("http://www.ncbi.nlm.nih.gov/gene/173457", "173457")</f>
        <v>173457</v>
      </c>
      <c r="C70" s="9"/>
      <c r="D70" t="str">
        <f>"sdz-24"</f>
        <v>sdz-24</v>
      </c>
      <c r="E70" t="s">
        <v>90</v>
      </c>
      <c r="F70" t="s">
        <v>11</v>
      </c>
      <c r="G70" t="s">
        <v>91</v>
      </c>
      <c r="H70" s="12">
        <v>-2.9317466950529001</v>
      </c>
      <c r="I70" s="20">
        <v>-5.6336071615929297</v>
      </c>
      <c r="J70" s="28">
        <v>1.7647877058327599E-8</v>
      </c>
      <c r="K70" s="29">
        <v>5.9966448133782097E-6</v>
      </c>
    </row>
    <row r="71" spans="1:11" x14ac:dyDescent="0.35">
      <c r="A71" s="9" t="str">
        <f>HYPERLINK("http://www.ensembl.org/id/WBGene00000671", "WBGene00000671")</f>
        <v>WBGene00000671</v>
      </c>
      <c r="B71" s="9" t="str">
        <f>HYPERLINK("http://www.ncbi.nlm.nih.gov/gene/353461", "353461")</f>
        <v>353461</v>
      </c>
      <c r="C71" s="9"/>
      <c r="D71" t="str">
        <f>"col-96"</f>
        <v>col-96</v>
      </c>
      <c r="E71" t="s">
        <v>40</v>
      </c>
      <c r="F71" t="s">
        <v>11</v>
      </c>
      <c r="G71" t="s">
        <v>94</v>
      </c>
      <c r="H71" s="12">
        <v>2.75156868039734</v>
      </c>
      <c r="I71" s="20">
        <v>5.6303304217248096</v>
      </c>
      <c r="J71" s="28">
        <v>1.7986470796954901E-8</v>
      </c>
      <c r="K71" s="29">
        <v>6.0231216555715798E-6</v>
      </c>
    </row>
    <row r="72" spans="1:11" x14ac:dyDescent="0.35">
      <c r="A72" s="9" t="str">
        <f>HYPERLINK("http://www.ensembl.org/id/WBGene00003231", "WBGene00003231")</f>
        <v>WBGene00003231</v>
      </c>
      <c r="B72" s="9" t="str">
        <f>HYPERLINK("http://www.ncbi.nlm.nih.gov/gene/174504", "174504")</f>
        <v>174504</v>
      </c>
      <c r="C72" s="9"/>
      <c r="D72" t="str">
        <f>"mex-6"</f>
        <v>mex-6</v>
      </c>
      <c r="E72" t="s">
        <v>95</v>
      </c>
      <c r="F72" t="s">
        <v>11</v>
      </c>
      <c r="G72" t="s">
        <v>51</v>
      </c>
      <c r="H72" s="12">
        <v>-3.03201309366945</v>
      </c>
      <c r="I72" s="20">
        <v>-5.6176847984045404</v>
      </c>
      <c r="J72" s="28">
        <v>1.9353313730995699E-8</v>
      </c>
      <c r="K72" s="29">
        <v>6.3882523866912502E-6</v>
      </c>
    </row>
    <row r="73" spans="1:11" x14ac:dyDescent="0.35">
      <c r="A73" s="9" t="str">
        <f>HYPERLINK("http://www.ensembl.org/id/WBGene00007580", "WBGene00007580")</f>
        <v>WBGene00007580</v>
      </c>
      <c r="B73" s="9" t="str">
        <f>HYPERLINK("http://www.ncbi.nlm.nih.gov/gene/175480", "175480")</f>
        <v>175480</v>
      </c>
      <c r="C73" s="9"/>
      <c r="D73" t="str">
        <f>"C14B1.9"</f>
        <v>C14B1.9</v>
      </c>
      <c r="F73" t="s">
        <v>11</v>
      </c>
      <c r="H73" s="12">
        <v>-3.4669307127628199</v>
      </c>
      <c r="I73" s="20">
        <v>-5.6109624937943998</v>
      </c>
      <c r="J73" s="28">
        <v>2.0120437374657001E-8</v>
      </c>
      <c r="K73" s="29">
        <v>6.4569836941503302E-6</v>
      </c>
    </row>
    <row r="74" spans="1:11" x14ac:dyDescent="0.35">
      <c r="A74" s="9" t="str">
        <f>HYPERLINK("http://www.ensembl.org/id/WBGene00077732", "WBGene00077732")</f>
        <v>WBGene00077732</v>
      </c>
      <c r="B74" s="9" t="str">
        <f>HYPERLINK("http://www.ncbi.nlm.nih.gov/gene/174029", "174029")</f>
        <v>174029</v>
      </c>
      <c r="C74" s="9"/>
      <c r="D74" t="str">
        <f>"szy-4"</f>
        <v>szy-4</v>
      </c>
      <c r="E74" t="s">
        <v>96</v>
      </c>
      <c r="F74" t="s">
        <v>11</v>
      </c>
      <c r="G74" t="s">
        <v>97</v>
      </c>
      <c r="H74" s="12">
        <v>-3.5851463459450001</v>
      </c>
      <c r="I74" s="20">
        <v>-5.6129446161729</v>
      </c>
      <c r="J74" s="28">
        <v>1.9891227904227301E-8</v>
      </c>
      <c r="K74" s="29">
        <v>6.4569836941503302E-6</v>
      </c>
    </row>
    <row r="75" spans="1:11" x14ac:dyDescent="0.35">
      <c r="A75" s="9" t="str">
        <f>HYPERLINK("http://www.ensembl.org/id/WBGene00020948", "WBGene00020948")</f>
        <v>WBGene00020948</v>
      </c>
      <c r="B75" s="9" t="str">
        <f>HYPERLINK("http://www.ncbi.nlm.nih.gov/gene/179061", "179061")</f>
        <v>179061</v>
      </c>
      <c r="C75" s="9"/>
      <c r="D75" t="str">
        <f>"era-1"</f>
        <v>era-1</v>
      </c>
      <c r="E75" t="s">
        <v>98</v>
      </c>
      <c r="F75" t="s">
        <v>11</v>
      </c>
      <c r="H75" s="12">
        <v>-2.9448031423865499</v>
      </c>
      <c r="I75" s="20">
        <v>-5.5748337890104303</v>
      </c>
      <c r="J75" s="28">
        <v>2.4776631019432199E-8</v>
      </c>
      <c r="K75" s="29">
        <v>7.8423128265068696E-6</v>
      </c>
    </row>
    <row r="76" spans="1:11" x14ac:dyDescent="0.35">
      <c r="A76" s="9" t="str">
        <f>HYPERLINK("http://www.ensembl.org/id/WBGene00001477", "WBGene00001477")</f>
        <v>WBGene00001477</v>
      </c>
      <c r="B76" s="9" t="str">
        <f>HYPERLINK("http://www.ncbi.nlm.nih.gov/gene/177958", "177958")</f>
        <v>177958</v>
      </c>
      <c r="C76" s="9" t="str">
        <f>HYPERLINK("http://www.ncbi.nlm.nih.gov/gene/2330", "2330")</f>
        <v>2330</v>
      </c>
      <c r="D76" t="str">
        <f>"fmo-2"</f>
        <v>fmo-2</v>
      </c>
      <c r="E76" t="s">
        <v>99</v>
      </c>
      <c r="F76" t="s">
        <v>11</v>
      </c>
      <c r="G76" t="s">
        <v>100</v>
      </c>
      <c r="H76" s="12">
        <v>-5.4883621727216196</v>
      </c>
      <c r="I76" s="20">
        <v>-5.56564752404124</v>
      </c>
      <c r="J76" s="28">
        <v>2.6118071106209999E-8</v>
      </c>
      <c r="K76" s="29">
        <v>8.1551912294606594E-6</v>
      </c>
    </row>
    <row r="77" spans="1:11" x14ac:dyDescent="0.35">
      <c r="A77" s="9" t="str">
        <f>HYPERLINK("http://www.ensembl.org/id/WBGene00015076", "WBGene00015076")</f>
        <v>WBGene00015076</v>
      </c>
      <c r="B77" s="9" t="str">
        <f>HYPERLINK("http://www.ncbi.nlm.nih.gov/gene/178914", "178914")</f>
        <v>178914</v>
      </c>
      <c r="C77" s="9"/>
      <c r="D77" t="str">
        <f>"B0238.12"</f>
        <v>B0238.12</v>
      </c>
      <c r="F77" t="s">
        <v>11</v>
      </c>
      <c r="G77" t="s">
        <v>101</v>
      </c>
      <c r="H77" s="12">
        <v>4.5383695179297003</v>
      </c>
      <c r="I77" s="20">
        <v>5.5597433600430701</v>
      </c>
      <c r="J77" s="28">
        <v>2.7017163272180699E-8</v>
      </c>
      <c r="K77" s="29">
        <v>8.3094864313110104E-6</v>
      </c>
    </row>
    <row r="78" spans="1:11" x14ac:dyDescent="0.35">
      <c r="A78" s="9" t="str">
        <f>HYPERLINK("http://www.ensembl.org/id/WBGene00009691", "WBGene00009691")</f>
        <v>WBGene00009691</v>
      </c>
      <c r="B78" s="9" t="str">
        <f>HYPERLINK("http://www.ncbi.nlm.nih.gov/gene/174805", "174805")</f>
        <v>174805</v>
      </c>
      <c r="C78" s="9"/>
      <c r="D78" t="str">
        <f>"F44E5.4"</f>
        <v>F44E5.4</v>
      </c>
      <c r="F78" t="s">
        <v>11</v>
      </c>
      <c r="G78" t="s">
        <v>102</v>
      </c>
      <c r="H78" s="12">
        <v>-1407.73268807664</v>
      </c>
      <c r="I78" s="20">
        <v>-5.5577242562976004</v>
      </c>
      <c r="J78" s="28">
        <v>2.7331470993665599E-8</v>
      </c>
      <c r="K78" s="29">
        <v>8.3094864313110104E-6</v>
      </c>
    </row>
    <row r="79" spans="1:11" x14ac:dyDescent="0.35">
      <c r="A79" s="9" t="str">
        <f>HYPERLINK("http://www.ensembl.org/id/WBGene00011011", "WBGene00011011")</f>
        <v>WBGene00011011</v>
      </c>
      <c r="B79" s="9" t="str">
        <f>HYPERLINK("http://www.ncbi.nlm.nih.gov/gene/181453", "181453")</f>
        <v>181453</v>
      </c>
      <c r="C79" s="9"/>
      <c r="D79" t="str">
        <f>"R04D3.3"</f>
        <v>R04D3.3</v>
      </c>
      <c r="F79" t="s">
        <v>11</v>
      </c>
      <c r="H79" s="12">
        <v>-3.7237506903439201</v>
      </c>
      <c r="I79" s="20">
        <v>-5.5451652011586301</v>
      </c>
      <c r="J79" s="28">
        <v>2.9367676048519901E-8</v>
      </c>
      <c r="K79" s="29">
        <v>8.8125912048974102E-6</v>
      </c>
    </row>
    <row r="80" spans="1:11" x14ac:dyDescent="0.35">
      <c r="A80" s="9" t="str">
        <f>HYPERLINK("http://www.ensembl.org/id/WBGene00016667", "WBGene00016667")</f>
        <v>WBGene00016667</v>
      </c>
      <c r="B80" s="9" t="str">
        <f>HYPERLINK("http://www.ncbi.nlm.nih.gov/gene/183472", "183472")</f>
        <v>183472</v>
      </c>
      <c r="C80" s="9"/>
      <c r="D80" t="str">
        <f>"C45E5.4"</f>
        <v>C45E5.4</v>
      </c>
      <c r="F80" t="s">
        <v>11</v>
      </c>
      <c r="H80" s="12">
        <v>10.108187064762999</v>
      </c>
      <c r="I80" s="20">
        <v>5.5373133709682101</v>
      </c>
      <c r="J80" s="28">
        <v>3.0714670459535697E-8</v>
      </c>
      <c r="K80" s="29">
        <v>9.0986304568978506E-6</v>
      </c>
    </row>
    <row r="81" spans="1:11" x14ac:dyDescent="0.35">
      <c r="A81" s="9" t="str">
        <f>HYPERLINK("http://www.ensembl.org/id/WBGene00020592", "WBGene00020592")</f>
        <v>WBGene00020592</v>
      </c>
      <c r="B81" s="9" t="str">
        <f>HYPERLINK("http://www.ncbi.nlm.nih.gov/gene/178880", "178880")</f>
        <v>178880</v>
      </c>
      <c r="C81" s="9"/>
      <c r="D81" t="str">
        <f>"ugt-12"</f>
        <v>ugt-12</v>
      </c>
      <c r="E81" t="s">
        <v>103</v>
      </c>
      <c r="F81" t="s">
        <v>11</v>
      </c>
      <c r="G81" t="s">
        <v>104</v>
      </c>
      <c r="H81" s="12">
        <v>3.3578358923123299</v>
      </c>
      <c r="I81" s="20">
        <v>5.5285217010325196</v>
      </c>
      <c r="J81" s="28">
        <v>3.2294048333797798E-8</v>
      </c>
      <c r="K81" s="29">
        <v>9.4453959595029195E-6</v>
      </c>
    </row>
    <row r="82" spans="1:11" x14ac:dyDescent="0.35">
      <c r="A82" s="9" t="str">
        <f>HYPERLINK("http://www.ensembl.org/id/WBGene00022645", "WBGene00022645")</f>
        <v>WBGene00022645</v>
      </c>
      <c r="B82" s="9" t="str">
        <f>HYPERLINK("http://www.ncbi.nlm.nih.gov/gene/191209", "191209")</f>
        <v>191209</v>
      </c>
      <c r="C82" s="9"/>
      <c r="D82" t="str">
        <f>"ZK6.11"</f>
        <v>ZK6.11</v>
      </c>
      <c r="F82" t="s">
        <v>11</v>
      </c>
      <c r="G82" t="s">
        <v>105</v>
      </c>
      <c r="H82" s="12">
        <v>2.8522035239738202</v>
      </c>
      <c r="I82" s="20">
        <v>5.51957327860696</v>
      </c>
      <c r="J82" s="28">
        <v>3.3982386302461301E-8</v>
      </c>
      <c r="K82" s="29">
        <v>9.8149627238083706E-6</v>
      </c>
    </row>
    <row r="83" spans="1:11" x14ac:dyDescent="0.35">
      <c r="A83" s="9" t="str">
        <f>HYPERLINK("http://www.ensembl.org/id/WBGene00017936", "WBGene00017936")</f>
        <v>WBGene00017936</v>
      </c>
      <c r="B83" s="9" t="str">
        <f>HYPERLINK("http://www.ncbi.nlm.nih.gov/gene/177186", "177186")</f>
        <v>177186</v>
      </c>
      <c r="C83" s="9"/>
      <c r="D83" t="str">
        <f>"zipt-2.2"</f>
        <v>zipt-2.2</v>
      </c>
      <c r="E83" t="s">
        <v>106</v>
      </c>
      <c r="F83" t="s">
        <v>11</v>
      </c>
      <c r="G83" t="s">
        <v>107</v>
      </c>
      <c r="H83" s="12">
        <v>3.2283471572790501</v>
      </c>
      <c r="I83" s="20">
        <v>5.5151054775899002</v>
      </c>
      <c r="J83" s="28">
        <v>3.4857084062287302E-8</v>
      </c>
      <c r="K83" s="29">
        <v>9.9433059795457992E-6</v>
      </c>
    </row>
    <row r="84" spans="1:11" x14ac:dyDescent="0.35">
      <c r="A84" s="9" t="str">
        <f>HYPERLINK("http://www.ensembl.org/id/WBGene00011320", "WBGene00011320")</f>
        <v>WBGene00011320</v>
      </c>
      <c r="B84" s="9" t="str">
        <f>HYPERLINK("http://www.ncbi.nlm.nih.gov/gene/179997", "179997")</f>
        <v>179997</v>
      </c>
      <c r="C84" s="9"/>
      <c r="D84" t="str">
        <f>"T01C3.3"</f>
        <v>T01C3.3</v>
      </c>
      <c r="F84" t="s">
        <v>11</v>
      </c>
      <c r="G84" t="s">
        <v>51</v>
      </c>
      <c r="H84" s="12">
        <v>-3.3397957915379299</v>
      </c>
      <c r="I84" s="20">
        <v>-5.50853115582097</v>
      </c>
      <c r="J84" s="28">
        <v>3.6184020635411302E-8</v>
      </c>
      <c r="K84" s="29">
        <v>1.0195950985388E-5</v>
      </c>
    </row>
    <row r="85" spans="1:11" x14ac:dyDescent="0.35">
      <c r="A85" s="9" t="str">
        <f>HYPERLINK("http://www.ensembl.org/id/WBGene00010353", "WBGene00010353")</f>
        <v>WBGene00010353</v>
      </c>
      <c r="B85" s="9" t="str">
        <f>HYPERLINK("http://www.ncbi.nlm.nih.gov/gene/178064", "178064")</f>
        <v>178064</v>
      </c>
      <c r="C85" s="9"/>
      <c r="D85" t="str">
        <f>"memi-3"</f>
        <v>memi-3</v>
      </c>
      <c r="E85" t="s">
        <v>108</v>
      </c>
      <c r="F85" t="s">
        <v>11</v>
      </c>
      <c r="H85" s="12">
        <v>-3.75674431751239</v>
      </c>
      <c r="I85" s="20">
        <v>-5.4942746874919903</v>
      </c>
      <c r="J85" s="28">
        <v>3.9231944615718102E-8</v>
      </c>
      <c r="K85" s="29">
        <v>1.09216061721781E-5</v>
      </c>
    </row>
    <row r="86" spans="1:11" x14ac:dyDescent="0.35">
      <c r="A86" s="9" t="str">
        <f>HYPERLINK("http://www.ensembl.org/id/WBGene00020599", "WBGene00020599")</f>
        <v>WBGene00020599</v>
      </c>
      <c r="B86" s="9" t="str">
        <f>HYPERLINK("http://www.ncbi.nlm.nih.gov/gene/188630", "188630")</f>
        <v>188630</v>
      </c>
      <c r="C86" s="9"/>
      <c r="D86" t="str">
        <f>"T20B6.3"</f>
        <v>T20B6.3</v>
      </c>
      <c r="F86" t="s">
        <v>11</v>
      </c>
      <c r="H86" s="12">
        <v>4.1881835484810797</v>
      </c>
      <c r="I86" s="20">
        <v>5.4918426898521302</v>
      </c>
      <c r="J86" s="28">
        <v>3.9776161465839699E-8</v>
      </c>
      <c r="K86" s="29">
        <v>1.09412855574963E-5</v>
      </c>
    </row>
    <row r="87" spans="1:11" x14ac:dyDescent="0.35">
      <c r="A87" s="9" t="str">
        <f>HYPERLINK("http://www.ensembl.org/id/WBGene00009113", "WBGene00009113")</f>
        <v>WBGene00009113</v>
      </c>
      <c r="B87" s="9" t="str">
        <f>HYPERLINK("http://www.ncbi.nlm.nih.gov/gene/172918", "172918")</f>
        <v>172918</v>
      </c>
      <c r="C87" s="9"/>
      <c r="D87" t="str">
        <f>"maph-1.2"</f>
        <v>maph-1.2</v>
      </c>
      <c r="E87" t="s">
        <v>109</v>
      </c>
      <c r="F87" t="s">
        <v>11</v>
      </c>
      <c r="G87" t="s">
        <v>110</v>
      </c>
      <c r="H87" s="12">
        <v>-3.2443617441898098</v>
      </c>
      <c r="I87" s="20">
        <v>-5.48277004638694</v>
      </c>
      <c r="J87" s="28">
        <v>4.1871713726911999E-8</v>
      </c>
      <c r="K87" s="29">
        <v>1.1382209616165001E-5</v>
      </c>
    </row>
    <row r="88" spans="1:11" x14ac:dyDescent="0.35">
      <c r="A88" s="9" t="str">
        <f>HYPERLINK("http://www.ensembl.org/id/WBGene00008032", "WBGene00008032")</f>
        <v>WBGene00008032</v>
      </c>
      <c r="B88" s="9" t="str">
        <f>HYPERLINK("http://www.ncbi.nlm.nih.gov/gene/178255", "178255")</f>
        <v>178255</v>
      </c>
      <c r="C88" s="9"/>
      <c r="D88" t="str">
        <f>"C39E9.8"</f>
        <v>C39E9.8</v>
      </c>
      <c r="F88" t="s">
        <v>11</v>
      </c>
      <c r="H88" s="12">
        <v>2.7084317038839001</v>
      </c>
      <c r="I88" s="20">
        <v>5.48068953703463</v>
      </c>
      <c r="J88" s="28">
        <v>4.2367136613148299E-8</v>
      </c>
      <c r="K88" s="29">
        <v>1.13829657974815E-5</v>
      </c>
    </row>
    <row r="89" spans="1:11" x14ac:dyDescent="0.35">
      <c r="A89" s="9" t="str">
        <f>HYPERLINK("http://www.ensembl.org/id/WBGene00011244", "WBGene00011244")</f>
        <v>WBGene00011244</v>
      </c>
      <c r="B89" s="9" t="str">
        <f>HYPERLINK("http://www.ncbi.nlm.nih.gov/gene/187804", "187804")</f>
        <v>187804</v>
      </c>
      <c r="C89" s="9"/>
      <c r="D89" t="str">
        <f>"R11D1.3"</f>
        <v>R11D1.3</v>
      </c>
      <c r="F89" t="s">
        <v>11</v>
      </c>
      <c r="H89" s="12">
        <v>4.5239154102786898</v>
      </c>
      <c r="I89" s="20">
        <v>5.4508661712602704</v>
      </c>
      <c r="J89" s="28">
        <v>5.0125081107743898E-8</v>
      </c>
      <c r="K89" s="29">
        <v>1.33125301617877E-5</v>
      </c>
    </row>
    <row r="90" spans="1:11" x14ac:dyDescent="0.35">
      <c r="A90" s="9" t="str">
        <f>HYPERLINK("http://www.ensembl.org/id/WBGene00010621", "WBGene00010621")</f>
        <v>WBGene00010621</v>
      </c>
      <c r="B90" s="9" t="str">
        <f>HYPERLINK("http://www.ncbi.nlm.nih.gov/gene/172670", "172670")</f>
        <v>172670</v>
      </c>
      <c r="C90" s="9"/>
      <c r="D90" t="str">
        <f>"egg-6"</f>
        <v>egg-6</v>
      </c>
      <c r="E90" t="s">
        <v>111</v>
      </c>
      <c r="F90" t="s">
        <v>11</v>
      </c>
      <c r="G90" t="s">
        <v>54</v>
      </c>
      <c r="H90" s="12">
        <v>-3.0648662256819299</v>
      </c>
      <c r="I90" s="20">
        <v>-5.4237482252673397</v>
      </c>
      <c r="J90" s="28">
        <v>5.8362072834694397E-8</v>
      </c>
      <c r="K90" s="29">
        <v>1.5194787680619999E-5</v>
      </c>
    </row>
    <row r="91" spans="1:11" x14ac:dyDescent="0.35">
      <c r="A91" s="9" t="str">
        <f>HYPERLINK("http://www.ensembl.org/id/WBGene00010555", "WBGene00010555")</f>
        <v>WBGene00010555</v>
      </c>
      <c r="B91" s="9" t="str">
        <f>HYPERLINK("http://www.ncbi.nlm.nih.gov/gene/186980", "186980")</f>
        <v>186980</v>
      </c>
      <c r="C91" s="9"/>
      <c r="D91" t="str">
        <f>"K04C1.5"</f>
        <v>K04C1.5</v>
      </c>
      <c r="F91" t="s">
        <v>11</v>
      </c>
      <c r="G91" t="s">
        <v>112</v>
      </c>
      <c r="H91" s="12">
        <v>-6.64573698296073</v>
      </c>
      <c r="I91" s="20">
        <v>-5.42324255685054</v>
      </c>
      <c r="J91" s="28">
        <v>5.8527486521906697E-8</v>
      </c>
      <c r="K91" s="29">
        <v>1.5194787680619999E-5</v>
      </c>
    </row>
    <row r="92" spans="1:11" x14ac:dyDescent="0.35">
      <c r="A92" s="9" t="str">
        <f>HYPERLINK("http://www.ensembl.org/id/WBGene00004243", "WBGene00004243")</f>
        <v>WBGene00004243</v>
      </c>
      <c r="B92" s="9" t="str">
        <f>HYPERLINK("http://www.ncbi.nlm.nih.gov/gene/177332", "177332")</f>
        <v>177332</v>
      </c>
      <c r="C92" s="9"/>
      <c r="D92" t="str">
        <f>"puf-7"</f>
        <v>puf-7</v>
      </c>
      <c r="E92" t="s">
        <v>113</v>
      </c>
      <c r="F92" t="s">
        <v>11</v>
      </c>
      <c r="G92" t="s">
        <v>35</v>
      </c>
      <c r="H92" s="12">
        <v>-3.1586257142095699</v>
      </c>
      <c r="I92" s="20">
        <v>-5.3920395512101802</v>
      </c>
      <c r="J92" s="28">
        <v>6.9662429349118605E-8</v>
      </c>
      <c r="K92" s="29">
        <v>1.7884667694896999E-5</v>
      </c>
    </row>
    <row r="93" spans="1:11" x14ac:dyDescent="0.35">
      <c r="A93" s="9" t="str">
        <f>HYPERLINK("http://www.ensembl.org/id/WBGene00007643", "WBGene00007643")</f>
        <v>WBGene00007643</v>
      </c>
      <c r="B93" s="9" t="str">
        <f>HYPERLINK("http://www.ncbi.nlm.nih.gov/gene/172767", "172767")</f>
        <v>172767</v>
      </c>
      <c r="C93" s="9"/>
      <c r="D93" t="str">
        <f>"marc-3"</f>
        <v>marc-3</v>
      </c>
      <c r="E93" t="s">
        <v>114</v>
      </c>
      <c r="F93" t="s">
        <v>11</v>
      </c>
      <c r="G93" t="s">
        <v>115</v>
      </c>
      <c r="H93" s="12">
        <v>-3.46134621739971</v>
      </c>
      <c r="I93" s="20">
        <v>-5.3882093770516999</v>
      </c>
      <c r="J93" s="28">
        <v>7.1163120483313994E-8</v>
      </c>
      <c r="K93" s="29">
        <v>1.8069176504257701E-5</v>
      </c>
    </row>
    <row r="94" spans="1:11" x14ac:dyDescent="0.35">
      <c r="A94" s="9" t="str">
        <f>HYPERLINK("http://www.ensembl.org/id/WBGene00011289", "WBGene00011289")</f>
        <v>WBGene00011289</v>
      </c>
      <c r="B94" s="9" t="str">
        <f>HYPERLINK("http://www.ncbi.nlm.nih.gov/gene/177959", "177959")</f>
        <v>177959</v>
      </c>
      <c r="C94" s="9"/>
      <c r="D94" t="str">
        <f>"R102.2"</f>
        <v>R102.2</v>
      </c>
      <c r="F94" t="s">
        <v>11</v>
      </c>
      <c r="H94" s="12">
        <v>3.1975550544484701</v>
      </c>
      <c r="I94" s="20">
        <v>5.3656773652664</v>
      </c>
      <c r="J94" s="28">
        <v>8.0645986483198701E-8</v>
      </c>
      <c r="K94" s="29">
        <v>2.0254414822617299E-5</v>
      </c>
    </row>
    <row r="95" spans="1:11" x14ac:dyDescent="0.35">
      <c r="A95" s="9" t="str">
        <f>HYPERLINK("http://www.ensembl.org/id/WBGene00007624", "WBGene00007624")</f>
        <v>WBGene00007624</v>
      </c>
      <c r="B95" s="9" t="str">
        <f>HYPERLINK("http://www.ncbi.nlm.nih.gov/gene/175535", "175535")</f>
        <v>175535</v>
      </c>
      <c r="C95" s="9"/>
      <c r="D95" t="str">
        <f>"hrde-1"</f>
        <v>hrde-1</v>
      </c>
      <c r="E95" t="s">
        <v>116</v>
      </c>
      <c r="F95" t="s">
        <v>11</v>
      </c>
      <c r="G95" t="s">
        <v>117</v>
      </c>
      <c r="H95" s="12">
        <v>-3.0365207008106001</v>
      </c>
      <c r="I95" s="20">
        <v>-5.3622386331312901</v>
      </c>
      <c r="J95" s="28">
        <v>8.2196851759804098E-8</v>
      </c>
      <c r="K95" s="29">
        <v>2.0421940395290701E-5</v>
      </c>
    </row>
    <row r="96" spans="1:11" x14ac:dyDescent="0.35">
      <c r="A96" s="9" t="str">
        <f>HYPERLINK("http://www.ensembl.org/id/WBGene00003755", "WBGene00003755")</f>
        <v>WBGene00003755</v>
      </c>
      <c r="B96" s="9" t="str">
        <f>HYPERLINK("http://www.ncbi.nlm.nih.gov/gene/178319", "178319")</f>
        <v>178319</v>
      </c>
      <c r="C96" s="9"/>
      <c r="D96" t="str">
        <f>"nlp-17"</f>
        <v>nlp-17</v>
      </c>
      <c r="E96" t="s">
        <v>76</v>
      </c>
      <c r="F96" t="s">
        <v>11</v>
      </c>
      <c r="G96" t="s">
        <v>77</v>
      </c>
      <c r="H96" s="12">
        <v>2.8046494043942598</v>
      </c>
      <c r="I96" s="20">
        <v>5.3522148314179496</v>
      </c>
      <c r="J96" s="28">
        <v>8.6884159963800601E-8</v>
      </c>
      <c r="K96" s="29">
        <v>2.1356865958761499E-5</v>
      </c>
    </row>
    <row r="97" spans="1:11" x14ac:dyDescent="0.35">
      <c r="A97" s="9" t="str">
        <f>HYPERLINK("http://www.ensembl.org/id/WBGene00011061", "WBGene00011061")</f>
        <v>WBGene00011061</v>
      </c>
      <c r="B97" s="9" t="str">
        <f>HYPERLINK("http://www.ncbi.nlm.nih.gov/gene/172463", "172463")</f>
        <v>172463</v>
      </c>
      <c r="C97" s="9"/>
      <c r="D97" t="str">
        <f>"wago-1"</f>
        <v>wago-1</v>
      </c>
      <c r="E97" t="s">
        <v>118</v>
      </c>
      <c r="F97" t="s">
        <v>11</v>
      </c>
      <c r="G97" t="s">
        <v>119</v>
      </c>
      <c r="H97" s="12">
        <v>-2.7986093804843999</v>
      </c>
      <c r="I97" s="20">
        <v>-5.3244179058660004</v>
      </c>
      <c r="J97" s="28">
        <v>1.01276827590389E-7</v>
      </c>
      <c r="K97" s="29">
        <v>2.4632656613721302E-5</v>
      </c>
    </row>
    <row r="98" spans="1:11" x14ac:dyDescent="0.35">
      <c r="A98" s="9" t="str">
        <f>HYPERLINK("http://www.ensembl.org/id/WBGene00016291", "WBGene00016291")</f>
        <v>WBGene00016291</v>
      </c>
      <c r="B98" s="9" t="str">
        <f>HYPERLINK("http://www.ncbi.nlm.nih.gov/gene/177351", "177351")</f>
        <v>177351</v>
      </c>
      <c r="C98" s="9"/>
      <c r="D98" t="str">
        <f>"C31H1.8"</f>
        <v>C31H1.8</v>
      </c>
      <c r="F98" t="s">
        <v>11</v>
      </c>
      <c r="H98" s="12">
        <v>-3.18004174425585</v>
      </c>
      <c r="I98" s="20">
        <v>-5.2874681860562101</v>
      </c>
      <c r="J98" s="28">
        <v>1.2402092209610701E-7</v>
      </c>
      <c r="K98" s="29">
        <v>2.9850285687006699E-5</v>
      </c>
    </row>
    <row r="99" spans="1:11" x14ac:dyDescent="0.35">
      <c r="A99" s="9" t="str">
        <f>HYPERLINK("http://www.ensembl.org/id/WBGene00016048", "WBGene00016048")</f>
        <v>WBGene00016048</v>
      </c>
      <c r="B99" s="9" t="str">
        <f>HYPERLINK("http://www.ncbi.nlm.nih.gov/gene/178736", "178736")</f>
        <v>178736</v>
      </c>
      <c r="C99" s="9"/>
      <c r="D99" t="str">
        <f>"C24B9.3"</f>
        <v>C24B9.3</v>
      </c>
      <c r="F99" t="s">
        <v>11</v>
      </c>
      <c r="H99" s="12">
        <v>-2.7367167758352902</v>
      </c>
      <c r="I99" s="20">
        <v>-5.2661088384540902</v>
      </c>
      <c r="J99" s="28">
        <v>1.3934569102974099E-7</v>
      </c>
      <c r="K99" s="29">
        <v>3.3193005535393797E-5</v>
      </c>
    </row>
    <row r="100" spans="1:11" x14ac:dyDescent="0.35">
      <c r="A100" s="9" t="str">
        <f>HYPERLINK("http://www.ensembl.org/id/WBGene00001607", "WBGene00001607")</f>
        <v>WBGene00001607</v>
      </c>
      <c r="B100" s="9" t="str">
        <f>HYPERLINK("http://www.ncbi.nlm.nih.gov/gene/177808", "177808")</f>
        <v>177808</v>
      </c>
      <c r="C100" s="9"/>
      <c r="D100" t="str">
        <f>"gln-6"</f>
        <v>gln-6</v>
      </c>
      <c r="E100" t="s">
        <v>42</v>
      </c>
      <c r="F100" t="s">
        <v>11</v>
      </c>
      <c r="G100" t="s">
        <v>43</v>
      </c>
      <c r="H100" s="12">
        <v>-2.5998355373179298</v>
      </c>
      <c r="I100" s="20">
        <v>-5.2603569561512904</v>
      </c>
      <c r="J100" s="28">
        <v>1.4377601585768399E-7</v>
      </c>
      <c r="K100" s="29">
        <v>3.3898863493955497E-5</v>
      </c>
    </row>
    <row r="101" spans="1:11" x14ac:dyDescent="0.35">
      <c r="A101" s="9" t="str">
        <f>HYPERLINK("http://www.ensembl.org/id/WBGene00010492", "WBGene00010492")</f>
        <v>WBGene00010492</v>
      </c>
      <c r="B101" s="9" t="str">
        <f>HYPERLINK("http://www.ncbi.nlm.nih.gov/gene/181502", "181502")</f>
        <v>181502</v>
      </c>
      <c r="C101" s="9"/>
      <c r="D101" t="str">
        <f>"meg-1"</f>
        <v>meg-1</v>
      </c>
      <c r="F101" t="s">
        <v>11</v>
      </c>
      <c r="G101" t="s">
        <v>120</v>
      </c>
      <c r="H101" s="12">
        <v>-2.8611030714523098</v>
      </c>
      <c r="I101" s="20">
        <v>-5.2559878646207201</v>
      </c>
      <c r="J101" s="28">
        <v>1.47231998925945E-7</v>
      </c>
      <c r="K101" s="29">
        <v>3.4259874904524701E-5</v>
      </c>
    </row>
    <row r="102" spans="1:11" x14ac:dyDescent="0.35">
      <c r="A102" s="9" t="str">
        <f>HYPERLINK("http://www.ensembl.org/id/WBGene00021056", "WBGene00021056")</f>
        <v>WBGene00021056</v>
      </c>
      <c r="B102" s="9" t="str">
        <f>HYPERLINK("http://www.ncbi.nlm.nih.gov/gene/173785", "173785")</f>
        <v>173785</v>
      </c>
      <c r="C102" s="9"/>
      <c r="D102" t="str">
        <f>"W06B4.1"</f>
        <v>W06B4.1</v>
      </c>
      <c r="F102" t="s">
        <v>11</v>
      </c>
      <c r="G102" t="s">
        <v>121</v>
      </c>
      <c r="H102" s="12">
        <v>-2.9275943664278898</v>
      </c>
      <c r="I102" s="20">
        <v>-5.2546917013012902</v>
      </c>
      <c r="J102" s="28">
        <v>1.48272634400263E-7</v>
      </c>
      <c r="K102" s="29">
        <v>3.4259874904524701E-5</v>
      </c>
    </row>
    <row r="103" spans="1:11" x14ac:dyDescent="0.35">
      <c r="A103" s="9" t="str">
        <f>HYPERLINK("http://www.ensembl.org/id/WBGene00022797", "WBGene00022797")</f>
        <v>WBGene00022797</v>
      </c>
      <c r="B103" s="9" t="str">
        <f>HYPERLINK("http://www.ncbi.nlm.nih.gov/gene/176110", "176110")</f>
        <v>176110</v>
      </c>
      <c r="C103" s="9"/>
      <c r="D103" t="str">
        <f>"best-24"</f>
        <v>best-24</v>
      </c>
      <c r="E103" t="s">
        <v>122</v>
      </c>
      <c r="F103" t="s">
        <v>11</v>
      </c>
      <c r="H103" s="12">
        <v>3.0188725502804901</v>
      </c>
      <c r="I103" s="20">
        <v>5.2422811343156797</v>
      </c>
      <c r="J103" s="28">
        <v>1.5860346834726401E-7</v>
      </c>
      <c r="K103" s="29">
        <v>3.6284076630018601E-5</v>
      </c>
    </row>
    <row r="104" spans="1:11" x14ac:dyDescent="0.35">
      <c r="A104" s="9" t="str">
        <f>HYPERLINK("http://www.ensembl.org/id/WBGene00007150", "WBGene00007150")</f>
        <v>WBGene00007150</v>
      </c>
      <c r="B104" s="9" t="str">
        <f>HYPERLINK("http://www.ncbi.nlm.nih.gov/gene/179795", "179795")</f>
        <v>179795</v>
      </c>
      <c r="C104" s="9" t="str">
        <f>HYPERLINK("http://www.ncbi.nlm.nih.gov/gene/47", "47")</f>
        <v>47</v>
      </c>
      <c r="D104" t="str">
        <f>"acly-2"</f>
        <v>acly-2</v>
      </c>
      <c r="E104" t="s">
        <v>123</v>
      </c>
      <c r="F104" t="s">
        <v>11</v>
      </c>
      <c r="G104" t="s">
        <v>124</v>
      </c>
      <c r="H104" s="12">
        <v>-2.7121478592266102</v>
      </c>
      <c r="I104" s="20">
        <v>-5.2383272402224001</v>
      </c>
      <c r="J104" s="28">
        <v>1.6203855926572001E-7</v>
      </c>
      <c r="K104" s="29">
        <v>3.6706499513663997E-5</v>
      </c>
    </row>
    <row r="105" spans="1:11" x14ac:dyDescent="0.35">
      <c r="A105" s="9" t="str">
        <f>HYPERLINK("http://www.ensembl.org/id/WBGene00009081", "WBGene00009081")</f>
        <v>WBGene00009081</v>
      </c>
      <c r="B105" s="9" t="str">
        <f>HYPERLINK("http://www.ncbi.nlm.nih.gov/gene/179944", "179944")</f>
        <v>179944</v>
      </c>
      <c r="C105" s="9"/>
      <c r="D105" t="str">
        <f>"F23B12.4"</f>
        <v>F23B12.4</v>
      </c>
      <c r="F105" t="s">
        <v>11</v>
      </c>
      <c r="H105" s="12">
        <v>2.7033130739336002</v>
      </c>
      <c r="I105" s="20">
        <v>5.2345369096129799</v>
      </c>
      <c r="J105" s="28">
        <v>1.6539901913458199E-7</v>
      </c>
      <c r="K105" s="29">
        <v>3.7103978020618099E-5</v>
      </c>
    </row>
    <row r="106" spans="1:11" x14ac:dyDescent="0.35">
      <c r="A106" s="9" t="str">
        <f>HYPERLINK("http://www.ensembl.org/id/WBGene00009497", "WBGene00009497")</f>
        <v>WBGene00009497</v>
      </c>
      <c r="B106" s="9" t="str">
        <f>HYPERLINK("http://www.ncbi.nlm.nih.gov/gene/3564789", "3564789")</f>
        <v>3564789</v>
      </c>
      <c r="C106" s="9"/>
      <c r="D106" t="str">
        <f>"F36H1.12"</f>
        <v>F36H1.12</v>
      </c>
      <c r="F106" t="s">
        <v>11</v>
      </c>
      <c r="H106" s="12">
        <v>14.710948868267399</v>
      </c>
      <c r="I106" s="20">
        <v>5.2304081247021204</v>
      </c>
      <c r="J106" s="28">
        <v>1.6913621952924499E-7</v>
      </c>
      <c r="K106" s="29">
        <v>3.7577514311949301E-5</v>
      </c>
    </row>
    <row r="107" spans="1:11" x14ac:dyDescent="0.35">
      <c r="A107" s="9" t="str">
        <f>HYPERLINK("http://www.ensembl.org/id/WBGene00011489", "WBGene00011489")</f>
        <v>WBGene00011489</v>
      </c>
      <c r="B107" s="9" t="str">
        <f>HYPERLINK("http://www.ncbi.nlm.nih.gov/gene/172804", "172804")</f>
        <v>172804</v>
      </c>
      <c r="C107" s="9"/>
      <c r="D107" t="str">
        <f>"T05F1.2"</f>
        <v>T05F1.2</v>
      </c>
      <c r="F107" t="s">
        <v>11</v>
      </c>
      <c r="H107" s="12">
        <v>-2.6510622477757102</v>
      </c>
      <c r="I107" s="20">
        <v>-5.1850152950379904</v>
      </c>
      <c r="J107" s="28">
        <v>2.15997138195687E-7</v>
      </c>
      <c r="K107" s="29">
        <v>4.75317130966622E-5</v>
      </c>
    </row>
    <row r="108" spans="1:11" x14ac:dyDescent="0.35">
      <c r="A108" s="9" t="str">
        <f>HYPERLINK("http://www.ensembl.org/id/WBGene00009404", "WBGene00009404")</f>
        <v>WBGene00009404</v>
      </c>
      <c r="B108" s="9" t="str">
        <f>HYPERLINK("http://www.ncbi.nlm.nih.gov/gene/174325", "174325")</f>
        <v>174325</v>
      </c>
      <c r="C108" s="9"/>
      <c r="D108" t="str">
        <f>"F35C11.5"</f>
        <v>F35C11.5</v>
      </c>
      <c r="F108" t="s">
        <v>11</v>
      </c>
      <c r="G108" t="s">
        <v>127</v>
      </c>
      <c r="H108" s="12">
        <v>-3.43011571629637</v>
      </c>
      <c r="I108" s="20">
        <v>-5.1780918883025304</v>
      </c>
      <c r="J108" s="28">
        <v>2.2416682006905E-7</v>
      </c>
      <c r="K108" s="29">
        <v>4.8407463032854903E-5</v>
      </c>
    </row>
    <row r="109" spans="1:11" x14ac:dyDescent="0.35">
      <c r="A109" s="9" t="str">
        <f>HYPERLINK("http://www.ensembl.org/id/WBGene00004984", "WBGene00004984")</f>
        <v>WBGene00004984</v>
      </c>
      <c r="B109" s="9" t="str">
        <f>HYPERLINK("http://www.ncbi.nlm.nih.gov/gene/179070", "179070")</f>
        <v>179070</v>
      </c>
      <c r="C109" s="9"/>
      <c r="D109" t="str">
        <f>"spn-4"</f>
        <v>spn-4</v>
      </c>
      <c r="E109" t="s">
        <v>125</v>
      </c>
      <c r="F109" t="s">
        <v>11</v>
      </c>
      <c r="G109" t="s">
        <v>126</v>
      </c>
      <c r="H109" s="12">
        <v>-2.5684040960158798</v>
      </c>
      <c r="I109" s="20">
        <v>-5.1789470249886804</v>
      </c>
      <c r="J109" s="28">
        <v>2.2314181848855399E-7</v>
      </c>
      <c r="K109" s="29">
        <v>4.8407463032854903E-5</v>
      </c>
    </row>
    <row r="110" spans="1:11" x14ac:dyDescent="0.35">
      <c r="A110" s="9" t="str">
        <f>HYPERLINK("http://www.ensembl.org/id/WBGene00001392", "WBGene00001392")</f>
        <v>WBGene00001392</v>
      </c>
      <c r="B110" s="9" t="str">
        <f>HYPERLINK("http://www.ncbi.nlm.nih.gov/gene/186902", "186902")</f>
        <v>186902</v>
      </c>
      <c r="C110" s="9"/>
      <c r="D110" t="str">
        <f>"far-8"</f>
        <v>far-8</v>
      </c>
      <c r="E110" t="s">
        <v>128</v>
      </c>
      <c r="F110" t="s">
        <v>11</v>
      </c>
      <c r="G110" t="s">
        <v>129</v>
      </c>
      <c r="H110" s="12">
        <v>2.81663829292079</v>
      </c>
      <c r="I110" s="20">
        <v>5.1741528401223498</v>
      </c>
      <c r="J110" s="28">
        <v>2.28947360642955E-7</v>
      </c>
      <c r="K110" s="29">
        <v>4.8982015879778801E-5</v>
      </c>
    </row>
    <row r="111" spans="1:11" x14ac:dyDescent="0.35">
      <c r="A111" s="9" t="str">
        <f>HYPERLINK("http://www.ensembl.org/id/WBGene00000866", "WBGene00000866")</f>
        <v>WBGene00000866</v>
      </c>
      <c r="B111" s="9" t="str">
        <f>HYPERLINK("http://www.ncbi.nlm.nih.gov/gene/177994", "177994")</f>
        <v>177994</v>
      </c>
      <c r="C111" s="9"/>
      <c r="D111" t="str">
        <f>"cyb-2.1"</f>
        <v>cyb-2.1</v>
      </c>
      <c r="E111" t="s">
        <v>130</v>
      </c>
      <c r="F111" t="s">
        <v>11</v>
      </c>
      <c r="G111" t="s">
        <v>131</v>
      </c>
      <c r="H111" s="12">
        <v>-3.0015502769886502</v>
      </c>
      <c r="I111" s="20">
        <v>-5.1655744358255999</v>
      </c>
      <c r="J111" s="28">
        <v>2.3970161025090701E-7</v>
      </c>
      <c r="K111" s="29">
        <v>5.06126804175292E-5</v>
      </c>
    </row>
    <row r="112" spans="1:11" x14ac:dyDescent="0.35">
      <c r="A112" s="9" t="str">
        <f>HYPERLINK("http://www.ensembl.org/id/WBGene00001599", "WBGene00001599")</f>
        <v>WBGene00001599</v>
      </c>
      <c r="B112" s="9" t="str">
        <f>HYPERLINK("http://www.ncbi.nlm.nih.gov/gene/172361", "172361")</f>
        <v>172361</v>
      </c>
      <c r="C112" s="9"/>
      <c r="D112" t="str">
        <f>"glh-2"</f>
        <v>glh-2</v>
      </c>
      <c r="E112" t="s">
        <v>132</v>
      </c>
      <c r="F112" t="s">
        <v>11</v>
      </c>
      <c r="G112" t="s">
        <v>133</v>
      </c>
      <c r="H112" s="12">
        <v>-3.20708764191121</v>
      </c>
      <c r="I112" s="20">
        <v>-5.16460268131459</v>
      </c>
      <c r="J112" s="28">
        <v>2.40950179430806E-7</v>
      </c>
      <c r="K112" s="29">
        <v>5.06126804175292E-5</v>
      </c>
    </row>
    <row r="113" spans="1:11" x14ac:dyDescent="0.35">
      <c r="A113" s="9" t="str">
        <f>HYPERLINK("http://www.ensembl.org/id/WBGene00011350", "WBGene00011350")</f>
        <v>WBGene00011350</v>
      </c>
      <c r="B113" s="9" t="str">
        <f>HYPERLINK("http://www.ncbi.nlm.nih.gov/gene/174273", "174273")</f>
        <v>174273</v>
      </c>
      <c r="C113" s="9"/>
      <c r="D113" t="str">
        <f>"perm-1"</f>
        <v>perm-1</v>
      </c>
      <c r="E113" t="s">
        <v>136</v>
      </c>
      <c r="F113" t="s">
        <v>11</v>
      </c>
      <c r="G113" t="s">
        <v>25</v>
      </c>
      <c r="H113" s="12">
        <v>-3.7254747760705098</v>
      </c>
      <c r="I113" s="20">
        <v>-5.1608639013771196</v>
      </c>
      <c r="J113" s="28">
        <v>2.4581284114823001E-7</v>
      </c>
      <c r="K113" s="29">
        <v>5.0712067031883901E-5</v>
      </c>
    </row>
    <row r="114" spans="1:11" x14ac:dyDescent="0.35">
      <c r="A114" s="9" t="str">
        <f>HYPERLINK("http://www.ensembl.org/id/WBGene00004217", "WBGene00004217")</f>
        <v>WBGene00004217</v>
      </c>
      <c r="B114" s="9" t="str">
        <f>HYPERLINK("http://www.ncbi.nlm.nih.gov/gene/171950", "171950")</f>
        <v>171950</v>
      </c>
      <c r="C114" s="9"/>
      <c r="D114" t="str">
        <f>"ptr-2"</f>
        <v>ptr-2</v>
      </c>
      <c r="E114" t="s">
        <v>134</v>
      </c>
      <c r="F114" t="s">
        <v>11</v>
      </c>
      <c r="G114" t="s">
        <v>135</v>
      </c>
      <c r="H114" s="12">
        <v>-2.7612686785442802</v>
      </c>
      <c r="I114" s="20">
        <v>-5.1618600649340598</v>
      </c>
      <c r="J114" s="28">
        <v>2.4450804387333698E-7</v>
      </c>
      <c r="K114" s="29">
        <v>5.0712067031883901E-5</v>
      </c>
    </row>
    <row r="115" spans="1:11" x14ac:dyDescent="0.35">
      <c r="A115" s="9" t="str">
        <f>HYPERLINK("http://www.ensembl.org/id/WBGene00003184", "WBGene00003184")</f>
        <v>WBGene00003184</v>
      </c>
      <c r="B115" s="9" t="str">
        <f>HYPERLINK("http://www.ncbi.nlm.nih.gov/gene/172374", "172374")</f>
        <v>172374</v>
      </c>
      <c r="C115" s="9"/>
      <c r="D115" t="str">
        <f>"mei-2"</f>
        <v>mei-2</v>
      </c>
      <c r="E115" t="s">
        <v>137</v>
      </c>
      <c r="F115" t="s">
        <v>11</v>
      </c>
      <c r="G115" t="s">
        <v>138</v>
      </c>
      <c r="H115" s="12">
        <v>-2.7286304970366699</v>
      </c>
      <c r="I115" s="20">
        <v>-5.1142125891997896</v>
      </c>
      <c r="J115" s="28">
        <v>3.15052383181E-7</v>
      </c>
      <c r="K115" s="29">
        <v>6.4421242175045898E-5</v>
      </c>
    </row>
    <row r="116" spans="1:11" x14ac:dyDescent="0.35">
      <c r="A116" s="9" t="str">
        <f>HYPERLINK("http://www.ensembl.org/id/WBGene00002348", "WBGene00002348")</f>
        <v>WBGene00002348</v>
      </c>
      <c r="B116" s="9" t="str">
        <f>HYPERLINK("http://www.ncbi.nlm.nih.gov/gene/172471", "172471")</f>
        <v>172471</v>
      </c>
      <c r="C116" s="9" t="str">
        <f>HYPERLINK("http://www.ncbi.nlm.nih.gov/gene/57644", "57644")</f>
        <v>57644</v>
      </c>
      <c r="D116" t="str">
        <f>"myo-1"</f>
        <v>myo-1</v>
      </c>
      <c r="E116" t="s">
        <v>139</v>
      </c>
      <c r="F116" t="s">
        <v>11</v>
      </c>
      <c r="G116" t="s">
        <v>140</v>
      </c>
      <c r="H116" s="12">
        <v>3.3640562270841698</v>
      </c>
      <c r="I116" s="20">
        <v>5.1103208548360497</v>
      </c>
      <c r="J116" s="28">
        <v>3.21612146080196E-7</v>
      </c>
      <c r="K116" s="29">
        <v>6.5185703923938595E-5</v>
      </c>
    </row>
    <row r="117" spans="1:11" x14ac:dyDescent="0.35">
      <c r="A117" s="9" t="str">
        <f>HYPERLINK("http://www.ensembl.org/id/WBGene00019268", "WBGene00019268")</f>
        <v>WBGene00019268</v>
      </c>
      <c r="B117" s="9" t="str">
        <f>HYPERLINK("http://www.ncbi.nlm.nih.gov/gene/173994", "173994")</f>
        <v>173994</v>
      </c>
      <c r="C117" s="9"/>
      <c r="D117" t="str">
        <f>"H41C03.1"</f>
        <v>H41C03.1</v>
      </c>
      <c r="F117" t="s">
        <v>11</v>
      </c>
      <c r="H117" s="12">
        <v>2.72543968849783</v>
      </c>
      <c r="I117" s="20">
        <v>5.1066087574382504</v>
      </c>
      <c r="J117" s="28">
        <v>3.2799186684983002E-7</v>
      </c>
      <c r="K117" s="29">
        <v>6.5332586857173904E-5</v>
      </c>
    </row>
    <row r="118" spans="1:11" x14ac:dyDescent="0.35">
      <c r="A118" s="9" t="str">
        <f>HYPERLINK("http://www.ensembl.org/id/WBGene00003994", "WBGene00003994")</f>
        <v>WBGene00003994</v>
      </c>
      <c r="B118" s="9" t="str">
        <f>HYPERLINK("http://www.ncbi.nlm.nih.gov/gene/178867", "178867")</f>
        <v>178867</v>
      </c>
      <c r="C118" s="9"/>
      <c r="D118" t="str">
        <f>"pgl-3"</f>
        <v>pgl-3</v>
      </c>
      <c r="E118" t="s">
        <v>141</v>
      </c>
      <c r="F118" t="s">
        <v>11</v>
      </c>
      <c r="H118" s="12">
        <v>-3.1870461309054701</v>
      </c>
      <c r="I118" s="20">
        <v>-5.1077555112560002</v>
      </c>
      <c r="J118" s="28">
        <v>3.2600809285851501E-7</v>
      </c>
      <c r="K118" s="29">
        <v>6.5332586857173904E-5</v>
      </c>
    </row>
    <row r="119" spans="1:11" x14ac:dyDescent="0.35">
      <c r="A119" s="9" t="str">
        <f>HYPERLINK("http://www.ensembl.org/id/WBGene00004078", "WBGene00004078")</f>
        <v>WBGene00004078</v>
      </c>
      <c r="B119" s="9" t="str">
        <f>HYPERLINK("http://www.ncbi.nlm.nih.gov/gene/179224", "179224")</f>
        <v>179224</v>
      </c>
      <c r="C119" s="9"/>
      <c r="D119" t="str">
        <f>"pos-1"</f>
        <v>pos-1</v>
      </c>
      <c r="E119" t="s">
        <v>142</v>
      </c>
      <c r="F119" t="s">
        <v>11</v>
      </c>
      <c r="G119" t="s">
        <v>143</v>
      </c>
      <c r="H119" s="12">
        <v>-2.5237637232351302</v>
      </c>
      <c r="I119" s="20">
        <v>-5.0787042113197796</v>
      </c>
      <c r="J119" s="28">
        <v>3.80017816782799E-7</v>
      </c>
      <c r="K119" s="29">
        <v>7.5048646791310699E-5</v>
      </c>
    </row>
    <row r="120" spans="1:11" x14ac:dyDescent="0.35">
      <c r="A120" s="9" t="str">
        <f>HYPERLINK("http://www.ensembl.org/id/WBGene00015623", "WBGene00015623")</f>
        <v>WBGene00015623</v>
      </c>
      <c r="B120" s="9" t="str">
        <f>HYPERLINK("http://www.ncbi.nlm.nih.gov/gene/180870", "180870")</f>
        <v>180870</v>
      </c>
      <c r="C120" s="9" t="str">
        <f>HYPERLINK("http://www.ncbi.nlm.nih.gov/gene/79639", "79639")</f>
        <v>79639</v>
      </c>
      <c r="D120" t="str">
        <f>"C09B8.4"</f>
        <v>C09B8.4</v>
      </c>
      <c r="F120" t="s">
        <v>11</v>
      </c>
      <c r="G120" t="s">
        <v>25</v>
      </c>
      <c r="H120" s="12">
        <v>3.1840414768407399</v>
      </c>
      <c r="I120" s="20">
        <v>5.0700567660889098</v>
      </c>
      <c r="J120" s="28">
        <v>3.97697065680014E-7</v>
      </c>
      <c r="K120" s="29">
        <v>7.7874477962732198E-5</v>
      </c>
    </row>
    <row r="121" spans="1:11" x14ac:dyDescent="0.35">
      <c r="A121" s="9" t="str">
        <f>HYPERLINK("http://www.ensembl.org/id/WBGene00003230", "WBGene00003230")</f>
        <v>WBGene00003230</v>
      </c>
      <c r="B121" s="9" t="str">
        <f>HYPERLINK("http://www.ncbi.nlm.nih.gov/gene/178296", "178296")</f>
        <v>178296</v>
      </c>
      <c r="C121" s="9"/>
      <c r="D121" t="str">
        <f>"mex-5"</f>
        <v>mex-5</v>
      </c>
      <c r="E121" t="s">
        <v>144</v>
      </c>
      <c r="F121" t="s">
        <v>11</v>
      </c>
      <c r="G121" t="s">
        <v>51</v>
      </c>
      <c r="H121" s="12">
        <v>-2.5418234017035202</v>
      </c>
      <c r="I121" s="20">
        <v>-5.0683856264838099</v>
      </c>
      <c r="J121" s="28">
        <v>4.01203943398315E-7</v>
      </c>
      <c r="K121" s="29">
        <v>7.79009942534578E-5</v>
      </c>
    </row>
    <row r="122" spans="1:11" x14ac:dyDescent="0.35">
      <c r="A122" s="9" t="str">
        <f>HYPERLINK("http://www.ensembl.org/id/WBGene00009186", "WBGene00009186")</f>
        <v>WBGene00009186</v>
      </c>
      <c r="B122" s="9" t="str">
        <f>HYPERLINK("http://www.ncbi.nlm.nih.gov/gene/177791", "177791")</f>
        <v>177791</v>
      </c>
      <c r="C122" s="9" t="str">
        <f>HYPERLINK("http://www.ncbi.nlm.nih.gov/gene/57552", "57552")</f>
        <v>57552</v>
      </c>
      <c r="D122" t="str">
        <f>"trcs-1"</f>
        <v>trcs-1</v>
      </c>
      <c r="E122" t="s">
        <v>145</v>
      </c>
      <c r="F122" t="s">
        <v>11</v>
      </c>
      <c r="G122" t="s">
        <v>146</v>
      </c>
      <c r="H122" s="12">
        <v>-2.5645477579913498</v>
      </c>
      <c r="I122" s="20">
        <v>-5.0569835486086498</v>
      </c>
      <c r="J122" s="28">
        <v>4.25939966768777E-7</v>
      </c>
      <c r="K122" s="29">
        <v>8.2014740601328099E-5</v>
      </c>
    </row>
    <row r="123" spans="1:11" x14ac:dyDescent="0.35">
      <c r="A123" s="9" t="str">
        <f>HYPERLINK("http://www.ensembl.org/id/WBGene00015677", "WBGene00015677")</f>
        <v>WBGene00015677</v>
      </c>
      <c r="B123" s="9" t="str">
        <f>HYPERLINK("http://www.ncbi.nlm.nih.gov/gene/178986", "178986")</f>
        <v>178986</v>
      </c>
      <c r="C123" s="9"/>
      <c r="D123" t="str">
        <f>"cpg-4"</f>
        <v>cpg-4</v>
      </c>
      <c r="E123" t="s">
        <v>147</v>
      </c>
      <c r="F123" t="s">
        <v>11</v>
      </c>
      <c r="H123" s="12">
        <v>-3.0038817866876202</v>
      </c>
      <c r="I123" s="20">
        <v>-5.0450868764874599</v>
      </c>
      <c r="J123" s="28">
        <v>4.5331534771806699E-7</v>
      </c>
      <c r="K123" s="29">
        <v>8.6564499374988904E-5</v>
      </c>
    </row>
    <row r="124" spans="1:11" x14ac:dyDescent="0.35">
      <c r="A124" s="9" t="str">
        <f>HYPERLINK("http://www.ensembl.org/id/WBGene00011898", "WBGene00011898")</f>
        <v>WBGene00011898</v>
      </c>
      <c r="B124" s="9" t="str">
        <f>HYPERLINK("http://www.ncbi.nlm.nih.gov/gene/179480", "179480")</f>
        <v>179480</v>
      </c>
      <c r="C124" s="9"/>
      <c r="D124" t="str">
        <f>"T21C9.13"</f>
        <v>T21C9.13</v>
      </c>
      <c r="F124" t="s">
        <v>11</v>
      </c>
      <c r="G124" t="s">
        <v>25</v>
      </c>
      <c r="H124" s="12">
        <v>-2.9741304275965801</v>
      </c>
      <c r="I124" s="20">
        <v>-5.0371353127134499</v>
      </c>
      <c r="J124" s="28">
        <v>4.7255073356382599E-7</v>
      </c>
      <c r="K124" s="29">
        <v>8.9498010243653801E-5</v>
      </c>
    </row>
    <row r="125" spans="1:11" x14ac:dyDescent="0.35">
      <c r="A125" s="9" t="str">
        <f>HYPERLINK("http://www.ensembl.org/id/WBGene00003992", "WBGene00003992")</f>
        <v>WBGene00003992</v>
      </c>
      <c r="B125" s="9" t="str">
        <f>HYPERLINK("http://www.ncbi.nlm.nih.gov/gene/177461", "177461")</f>
        <v>177461</v>
      </c>
      <c r="C125" s="9"/>
      <c r="D125" t="str">
        <f>"pgl-1"</f>
        <v>pgl-1</v>
      </c>
      <c r="E125" t="s">
        <v>148</v>
      </c>
      <c r="F125" t="s">
        <v>11</v>
      </c>
      <c r="G125" t="s">
        <v>149</v>
      </c>
      <c r="H125" s="12">
        <v>-2.77695778386461</v>
      </c>
      <c r="I125" s="20">
        <v>-5.0321421776333501</v>
      </c>
      <c r="J125" s="28">
        <v>4.8502932930013299E-7</v>
      </c>
      <c r="K125" s="29">
        <v>9.1114534006576204E-5</v>
      </c>
    </row>
    <row r="126" spans="1:11" x14ac:dyDescent="0.35">
      <c r="A126" s="9" t="str">
        <f>HYPERLINK("http://www.ensembl.org/id/WBGene00007332", "WBGene00007332")</f>
        <v>WBGene00007332</v>
      </c>
      <c r="B126" s="9" t="str">
        <f>HYPERLINK("http://www.ncbi.nlm.nih.gov/gene/174551", "174551")</f>
        <v>174551</v>
      </c>
      <c r="C126" s="9"/>
      <c r="D126" t="str">
        <f>"C05C10.5"</f>
        <v>C05C10.5</v>
      </c>
      <c r="F126" t="s">
        <v>11</v>
      </c>
      <c r="G126" t="s">
        <v>54</v>
      </c>
      <c r="H126" s="12">
        <v>-2.63813897825995</v>
      </c>
      <c r="I126" s="20">
        <v>-5.0248137839189102</v>
      </c>
      <c r="J126" s="28">
        <v>5.0392125276377497E-7</v>
      </c>
      <c r="K126" s="29">
        <v>9.1681924931966797E-5</v>
      </c>
    </row>
    <row r="127" spans="1:11" x14ac:dyDescent="0.35">
      <c r="A127" s="9" t="str">
        <f>HYPERLINK("http://www.ensembl.org/id/WBGene00014047", "WBGene00014047")</f>
        <v>WBGene00014047</v>
      </c>
      <c r="B127" s="9" t="str">
        <f>HYPERLINK("http://www.ncbi.nlm.nih.gov/gene/174613", "174613")</f>
        <v>174613</v>
      </c>
      <c r="C127" s="9"/>
      <c r="D127" t="str">
        <f>"clec-61"</f>
        <v>clec-61</v>
      </c>
      <c r="E127" t="s">
        <v>46</v>
      </c>
      <c r="F127" t="s">
        <v>11</v>
      </c>
      <c r="G127" t="s">
        <v>151</v>
      </c>
      <c r="H127" s="12">
        <v>-13.9048461727686</v>
      </c>
      <c r="I127" s="20">
        <v>-5.0253458499976196</v>
      </c>
      <c r="J127" s="28">
        <v>5.0252607990775304E-7</v>
      </c>
      <c r="K127" s="29">
        <v>9.1681924931966797E-5</v>
      </c>
    </row>
    <row r="128" spans="1:11" x14ac:dyDescent="0.35">
      <c r="A128" s="9" t="str">
        <f>HYPERLINK("http://www.ensembl.org/id/WBGene00004242", "WBGene00004242")</f>
        <v>WBGene00004242</v>
      </c>
      <c r="B128" s="9" t="str">
        <f>HYPERLINK("http://www.ncbi.nlm.nih.gov/gene/174947", "174947")</f>
        <v>174947</v>
      </c>
      <c r="C128" s="9"/>
      <c r="D128" t="str">
        <f>"puf-6"</f>
        <v>puf-6</v>
      </c>
      <c r="E128" t="s">
        <v>150</v>
      </c>
      <c r="F128" t="s">
        <v>11</v>
      </c>
      <c r="G128" t="s">
        <v>35</v>
      </c>
      <c r="H128" s="12">
        <v>-2.8780159677690298</v>
      </c>
      <c r="I128" s="20">
        <v>-5.0277784300667001</v>
      </c>
      <c r="J128" s="28">
        <v>4.9619472558996399E-7</v>
      </c>
      <c r="K128" s="29">
        <v>9.1681924931966797E-5</v>
      </c>
    </row>
    <row r="129" spans="1:11" x14ac:dyDescent="0.35">
      <c r="A129" s="9" t="str">
        <f>HYPERLINK("http://www.ensembl.org/id/WBGene00012104", "WBGene00012104")</f>
        <v>WBGene00012104</v>
      </c>
      <c r="B129" s="9" t="str">
        <f>HYPERLINK("http://www.ncbi.nlm.nih.gov/gene/173116", "173116")</f>
        <v>173116</v>
      </c>
      <c r="C129" s="9"/>
      <c r="D129" t="str">
        <f>"sygl-1"</f>
        <v>sygl-1</v>
      </c>
      <c r="F129" t="s">
        <v>11</v>
      </c>
      <c r="H129" s="12">
        <v>-2.8444462283387999</v>
      </c>
      <c r="I129" s="20">
        <v>-5.0285648150149598</v>
      </c>
      <c r="J129" s="28">
        <v>4.9416448145824501E-7</v>
      </c>
      <c r="K129" s="29">
        <v>9.1681924931966797E-5</v>
      </c>
    </row>
    <row r="130" spans="1:11" x14ac:dyDescent="0.35">
      <c r="A130" s="9" t="str">
        <f>HYPERLINK("http://www.ensembl.org/id/WBGene00000717", "WBGene00000717")</f>
        <v>WBGene00000717</v>
      </c>
      <c r="B130" s="9" t="str">
        <f>HYPERLINK("http://www.ncbi.nlm.nih.gov/gene/179296", "179296")</f>
        <v>179296</v>
      </c>
      <c r="C130" s="9"/>
      <c r="D130" t="str">
        <f>"col-144"</f>
        <v>col-144</v>
      </c>
      <c r="E130" t="s">
        <v>40</v>
      </c>
      <c r="F130" t="s">
        <v>11</v>
      </c>
      <c r="G130" t="s">
        <v>152</v>
      </c>
      <c r="H130" s="12">
        <v>2.68502723634231</v>
      </c>
      <c r="I130" s="20">
        <v>5.0081856394105104</v>
      </c>
      <c r="J130" s="28">
        <v>5.4945526728425699E-7</v>
      </c>
      <c r="K130" s="29">
        <v>9.8416382991240706E-5</v>
      </c>
    </row>
    <row r="131" spans="1:11" x14ac:dyDescent="0.35">
      <c r="A131" s="9" t="str">
        <f>HYPERLINK("http://www.ensembl.org/id/WBGene00005394", "WBGene00005394")</f>
        <v>WBGene00005394</v>
      </c>
      <c r="B131" s="9" t="str">
        <f>HYPERLINK("http://www.ncbi.nlm.nih.gov/gene/191254", "191254")</f>
        <v>191254</v>
      </c>
      <c r="C131" s="9"/>
      <c r="D131" t="str">
        <f>"srh-179"</f>
        <v>srh-179</v>
      </c>
      <c r="E131" t="s">
        <v>153</v>
      </c>
      <c r="F131" t="s">
        <v>11</v>
      </c>
      <c r="G131" t="s">
        <v>25</v>
      </c>
      <c r="H131" s="12">
        <v>-10.9489173338456</v>
      </c>
      <c r="I131" s="20">
        <v>-5.00918412157273</v>
      </c>
      <c r="J131" s="28">
        <v>5.4661261050933498E-7</v>
      </c>
      <c r="K131" s="29">
        <v>9.8416382991240706E-5</v>
      </c>
    </row>
    <row r="132" spans="1:11" x14ac:dyDescent="0.35">
      <c r="A132" s="9" t="str">
        <f>HYPERLINK("http://www.ensembl.org/id/WBGene00000913", "WBGene00000913")</f>
        <v>WBGene00000913</v>
      </c>
      <c r="B132" s="9" t="str">
        <f>HYPERLINK("http://www.ncbi.nlm.nih.gov/gene/176869", "176869")</f>
        <v>176869</v>
      </c>
      <c r="C132" s="9"/>
      <c r="D132" t="str">
        <f>"daf-18"</f>
        <v>daf-18</v>
      </c>
      <c r="E132" t="s">
        <v>156</v>
      </c>
      <c r="F132" t="s">
        <v>11</v>
      </c>
      <c r="G132" t="s">
        <v>157</v>
      </c>
      <c r="H132" s="12">
        <v>-2.4980138799248399</v>
      </c>
      <c r="I132" s="20">
        <v>-5.0016895043860403</v>
      </c>
      <c r="J132" s="28">
        <v>5.6830066687622203E-7</v>
      </c>
      <c r="K132" s="29">
        <v>1.00237826021695E-4</v>
      </c>
    </row>
    <row r="133" spans="1:11" x14ac:dyDescent="0.35">
      <c r="A133" s="9" t="str">
        <f>HYPERLINK("http://www.ensembl.org/id/WBGene00009743", "WBGene00009743")</f>
        <v>WBGene00009743</v>
      </c>
      <c r="B133" s="9" t="str">
        <f>HYPERLINK("http://www.ncbi.nlm.nih.gov/gene/172909", "172909")</f>
        <v>172909</v>
      </c>
      <c r="C133" s="9"/>
      <c r="D133" t="str">
        <f>"sptf-1"</f>
        <v>sptf-1</v>
      </c>
      <c r="E133" t="s">
        <v>154</v>
      </c>
      <c r="F133" t="s">
        <v>11</v>
      </c>
      <c r="G133" t="s">
        <v>155</v>
      </c>
      <c r="H133" s="12">
        <v>2.5933493163344301</v>
      </c>
      <c r="I133" s="20">
        <v>5.00218380637744</v>
      </c>
      <c r="J133" s="28">
        <v>5.6684505598696097E-7</v>
      </c>
      <c r="K133" s="29">
        <v>1.00237826021695E-4</v>
      </c>
    </row>
    <row r="134" spans="1:11" x14ac:dyDescent="0.35">
      <c r="A134" s="9" t="str">
        <f>HYPERLINK("http://www.ensembl.org/id/WBGene00006464", "WBGene00006464")</f>
        <v>WBGene00006464</v>
      </c>
      <c r="B134" s="9" t="str">
        <f>HYPERLINK("http://www.ncbi.nlm.nih.gov/gene/173532", "173532")</f>
        <v>173532</v>
      </c>
      <c r="C134" s="9"/>
      <c r="D134" t="str">
        <f>"bath-47"</f>
        <v>bath-47</v>
      </c>
      <c r="E134" t="s">
        <v>158</v>
      </c>
      <c r="F134" t="s">
        <v>11</v>
      </c>
      <c r="G134" t="s">
        <v>54</v>
      </c>
      <c r="H134" s="12">
        <v>-7.1702647924667398</v>
      </c>
      <c r="I134" s="20">
        <v>-4.99932582569852</v>
      </c>
      <c r="J134" s="28">
        <v>5.7531114223814595E-7</v>
      </c>
      <c r="K134" s="29">
        <v>1.00705600398141E-4</v>
      </c>
    </row>
    <row r="135" spans="1:11" x14ac:dyDescent="0.35">
      <c r="A135" s="9" t="str">
        <f>HYPERLINK("http://www.ensembl.org/id/WBGene00013380", "WBGene00013380")</f>
        <v>WBGene00013380</v>
      </c>
      <c r="B135" s="9" t="str">
        <f>HYPERLINK("http://www.ncbi.nlm.nih.gov/gene/178305", "178305")</f>
        <v>178305</v>
      </c>
      <c r="C135" s="9"/>
      <c r="D135" t="str">
        <f>"memi-2"</f>
        <v>memi-2</v>
      </c>
      <c r="E135" t="s">
        <v>108</v>
      </c>
      <c r="F135" t="s">
        <v>11</v>
      </c>
      <c r="H135" s="12">
        <v>-4.0170756446665301</v>
      </c>
      <c r="I135" s="20">
        <v>-4.9939041631538501</v>
      </c>
      <c r="J135" s="28">
        <v>5.9170768274372797E-7</v>
      </c>
      <c r="K135" s="29">
        <v>1.02796975319373E-4</v>
      </c>
    </row>
    <row r="136" spans="1:11" x14ac:dyDescent="0.35">
      <c r="A136" s="9" t="str">
        <f>HYPERLINK("http://www.ensembl.org/id/WBGene00044242", "WBGene00044242")</f>
        <v>WBGene00044242</v>
      </c>
      <c r="B136" s="9" t="str">
        <f>HYPERLINK("http://www.ncbi.nlm.nih.gov/gene/3565544", "3565544")</f>
        <v>3565544</v>
      </c>
      <c r="C136" s="9"/>
      <c r="D136" t="str">
        <f>"C54C8.12"</f>
        <v>C54C8.12</v>
      </c>
      <c r="F136" t="s">
        <v>11</v>
      </c>
      <c r="H136" s="12">
        <v>-3.2825004362863002</v>
      </c>
      <c r="I136" s="20">
        <v>-4.9906889743326301</v>
      </c>
      <c r="J136" s="28">
        <v>6.0164307226023696E-7</v>
      </c>
      <c r="K136" s="29">
        <v>1.03743021101829E-4</v>
      </c>
    </row>
    <row r="137" spans="1:11" x14ac:dyDescent="0.35">
      <c r="A137" s="9" t="str">
        <f>HYPERLINK("http://www.ensembl.org/id/WBGene00007290", "WBGene00007290")</f>
        <v>WBGene00007290</v>
      </c>
      <c r="B137" s="9" t="str">
        <f>HYPERLINK("http://www.ncbi.nlm.nih.gov/gene/181388", "181388")</f>
        <v>181388</v>
      </c>
      <c r="C137" s="9"/>
      <c r="D137" t="str">
        <f>"C04B4.2"</f>
        <v>C04B4.2</v>
      </c>
      <c r="F137" t="s">
        <v>11</v>
      </c>
      <c r="G137" t="s">
        <v>159</v>
      </c>
      <c r="H137" s="12">
        <v>-3.78891769085556</v>
      </c>
      <c r="I137" s="20">
        <v>-4.9889824752113396</v>
      </c>
      <c r="J137" s="28">
        <v>6.0698152466684603E-7</v>
      </c>
      <c r="K137" s="29">
        <v>1.03888260066312E-4</v>
      </c>
    </row>
    <row r="138" spans="1:11" x14ac:dyDescent="0.35">
      <c r="A138" s="9" t="str">
        <f>HYPERLINK("http://www.ensembl.org/id/WBGene00013559", "WBGene00013559")</f>
        <v>WBGene00013559</v>
      </c>
      <c r="B138" s="9" t="str">
        <f>HYPERLINK("http://www.ncbi.nlm.nih.gov/gene/190712", "190712")</f>
        <v>190712</v>
      </c>
      <c r="C138" s="9"/>
      <c r="D138" t="str">
        <f>"Y75B8A.28"</f>
        <v>Y75B8A.28</v>
      </c>
      <c r="F138" t="s">
        <v>11</v>
      </c>
      <c r="H138" s="12">
        <v>-3.7840460957327502</v>
      </c>
      <c r="I138" s="20">
        <v>-4.97372445230293</v>
      </c>
      <c r="J138" s="28">
        <v>6.5678648008137296E-7</v>
      </c>
      <c r="K138" s="29">
        <v>1.11586091240884E-4</v>
      </c>
    </row>
    <row r="139" spans="1:11" x14ac:dyDescent="0.35">
      <c r="A139" s="9" t="str">
        <f>HYPERLINK("http://www.ensembl.org/id/WBGene00020652", "WBGene00020652")</f>
        <v>WBGene00020652</v>
      </c>
      <c r="B139" s="9" t="str">
        <f>HYPERLINK("http://www.ncbi.nlm.nih.gov/gene/171980", "171980")</f>
        <v>171980</v>
      </c>
      <c r="C139" s="9"/>
      <c r="D139" t="str">
        <f>"egg-4"</f>
        <v>egg-4</v>
      </c>
      <c r="E139" t="s">
        <v>160</v>
      </c>
      <c r="F139" t="s">
        <v>11</v>
      </c>
      <c r="G139" t="s">
        <v>161</v>
      </c>
      <c r="H139" s="12">
        <v>-2.9457967051192901</v>
      </c>
      <c r="I139" s="20">
        <v>-4.9542782189619397</v>
      </c>
      <c r="J139" s="28">
        <v>7.2599267892871099E-7</v>
      </c>
      <c r="K139" s="29">
        <v>1.21556426371933E-4</v>
      </c>
    </row>
    <row r="140" spans="1:11" x14ac:dyDescent="0.35">
      <c r="A140" s="9" t="str">
        <f>HYPERLINK("http://www.ensembl.org/id/WBGene00009692", "WBGene00009692")</f>
        <v>WBGene00009692</v>
      </c>
      <c r="B140" s="9" t="str">
        <f>HYPERLINK("http://www.ncbi.nlm.nih.gov/gene/174806", "174806")</f>
        <v>174806</v>
      </c>
      <c r="C140" s="9"/>
      <c r="D140" t="str">
        <f>"F44E5.5"</f>
        <v>F44E5.5</v>
      </c>
      <c r="F140" t="s">
        <v>11</v>
      </c>
      <c r="G140" t="s">
        <v>102</v>
      </c>
      <c r="H140" s="12">
        <v>-1396.14649274265</v>
      </c>
      <c r="I140" s="20">
        <v>-4.9548326175776696</v>
      </c>
      <c r="J140" s="28">
        <v>7.2392580252783098E-7</v>
      </c>
      <c r="K140" s="29">
        <v>1.21556426371933E-4</v>
      </c>
    </row>
    <row r="141" spans="1:11" x14ac:dyDescent="0.35">
      <c r="A141" s="9" t="str">
        <f>HYPERLINK("http://www.ensembl.org/id/WBGene00009895", "WBGene00009895")</f>
        <v>WBGene00009895</v>
      </c>
      <c r="B141" s="9" t="str">
        <f>HYPERLINK("http://www.ncbi.nlm.nih.gov/gene/178251", "178251")</f>
        <v>178251</v>
      </c>
      <c r="C141" s="9"/>
      <c r="D141" t="str">
        <f>"scl-2"</f>
        <v>scl-2</v>
      </c>
      <c r="E141" t="s">
        <v>162</v>
      </c>
      <c r="F141" t="s">
        <v>11</v>
      </c>
      <c r="G141" t="s">
        <v>63</v>
      </c>
      <c r="H141" s="12">
        <v>-3.07761927392295</v>
      </c>
      <c r="I141" s="20">
        <v>-4.94363384053801</v>
      </c>
      <c r="J141" s="28">
        <v>7.6679663832090605E-7</v>
      </c>
      <c r="K141" s="29">
        <v>1.2746477068376099E-4</v>
      </c>
    </row>
    <row r="142" spans="1:11" x14ac:dyDescent="0.35">
      <c r="A142" s="9" t="str">
        <f>HYPERLINK("http://www.ensembl.org/id/WBGene00009396", "WBGene00009396")</f>
        <v>WBGene00009396</v>
      </c>
      <c r="B142" s="9" t="str">
        <f>HYPERLINK("http://www.ncbi.nlm.nih.gov/gene/174928", "174928")</f>
        <v>174928</v>
      </c>
      <c r="C142" s="9"/>
      <c r="D142" t="str">
        <f>"clec-65"</f>
        <v>clec-65</v>
      </c>
      <c r="E142" t="s">
        <v>46</v>
      </c>
      <c r="F142" t="s">
        <v>11</v>
      </c>
      <c r="G142" t="s">
        <v>47</v>
      </c>
      <c r="H142" s="12">
        <v>-3.4625823220681999</v>
      </c>
      <c r="I142" s="20">
        <v>-4.9380738512478999</v>
      </c>
      <c r="J142" s="28">
        <v>7.8897965940046902E-7</v>
      </c>
      <c r="K142" s="29">
        <v>1.3021545721505199E-4</v>
      </c>
    </row>
    <row r="143" spans="1:11" x14ac:dyDescent="0.35">
      <c r="A143" s="9" t="str">
        <f>HYPERLINK("http://www.ensembl.org/id/WBGene00017548", "WBGene00017548")</f>
        <v>WBGene00017548</v>
      </c>
      <c r="B143" s="9" t="str">
        <f>HYPERLINK("http://www.ncbi.nlm.nih.gov/gene/174237", "174237")</f>
        <v>174237</v>
      </c>
      <c r="C143" s="9"/>
      <c r="D143" t="str">
        <f>"F18A1.7"</f>
        <v>F18A1.7</v>
      </c>
      <c r="F143" t="s">
        <v>11</v>
      </c>
      <c r="H143" s="12">
        <v>-2.5145478625439299</v>
      </c>
      <c r="I143" s="20">
        <v>-4.9350946526165096</v>
      </c>
      <c r="J143" s="28">
        <v>8.0111898410455604E-7</v>
      </c>
      <c r="K143" s="29">
        <v>1.3128124288453799E-4</v>
      </c>
    </row>
    <row r="144" spans="1:11" x14ac:dyDescent="0.35">
      <c r="A144" s="9" t="str">
        <f>HYPERLINK("http://www.ensembl.org/id/WBGene00013485", "WBGene00013485")</f>
        <v>WBGene00013485</v>
      </c>
      <c r="B144" s="9" t="str">
        <f>HYPERLINK("http://www.ncbi.nlm.nih.gov/gene/190560", "190560")</f>
        <v>190560</v>
      </c>
      <c r="C144" s="9"/>
      <c r="D144" t="str">
        <f>"Y69H2.10"</f>
        <v>Y69H2.10</v>
      </c>
      <c r="F144" t="s">
        <v>11</v>
      </c>
      <c r="G144" t="s">
        <v>101</v>
      </c>
      <c r="H144" s="12">
        <v>3.1076521374725301</v>
      </c>
      <c r="I144" s="20">
        <v>4.9321396546763197</v>
      </c>
      <c r="J144" s="28">
        <v>8.13337305046163E-7</v>
      </c>
      <c r="K144" s="29">
        <v>1.3234487162251199E-4</v>
      </c>
    </row>
    <row r="145" spans="1:11" x14ac:dyDescent="0.35">
      <c r="A145" s="9" t="str">
        <f>HYPERLINK("http://www.ensembl.org/id/WBGene00017986", "WBGene00017986")</f>
        <v>WBGene00017986</v>
      </c>
      <c r="B145" s="9" t="str">
        <f>HYPERLINK("http://www.ncbi.nlm.nih.gov/gene/178836", "178836")</f>
        <v>178836</v>
      </c>
      <c r="C145" s="9"/>
      <c r="D145" t="str">
        <f>"F32D1.7"</f>
        <v>F32D1.7</v>
      </c>
      <c r="F145" t="s">
        <v>11</v>
      </c>
      <c r="H145" s="12">
        <v>-2.5802986794531502</v>
      </c>
      <c r="I145" s="20">
        <v>-4.9303821567743702</v>
      </c>
      <c r="J145" s="28">
        <v>8.2068911324942901E-7</v>
      </c>
      <c r="K145" s="29">
        <v>1.3260729126392501E-4</v>
      </c>
    </row>
    <row r="146" spans="1:11" x14ac:dyDescent="0.35">
      <c r="A146" s="9" t="str">
        <f>HYPERLINK("http://www.ensembl.org/id/WBGene00017177", "WBGene00017177")</f>
        <v>WBGene00017177</v>
      </c>
      <c r="B146" s="9" t="str">
        <f>HYPERLINK("http://www.ncbi.nlm.nih.gov/gene/184092", "184092")</f>
        <v>184092</v>
      </c>
      <c r="C146" s="9"/>
      <c r="D146" t="str">
        <f>"F02E8.4"</f>
        <v>F02E8.4</v>
      </c>
      <c r="F146" t="s">
        <v>11</v>
      </c>
      <c r="H146" s="12">
        <v>-3.4041859774141301</v>
      </c>
      <c r="I146" s="20">
        <v>-4.9188021792149899</v>
      </c>
      <c r="J146" s="28">
        <v>8.7075413718010298E-7</v>
      </c>
      <c r="K146" s="29">
        <v>1.3964201907385799E-4</v>
      </c>
    </row>
    <row r="147" spans="1:11" x14ac:dyDescent="0.35">
      <c r="A147" s="9" t="str">
        <f>HYPERLINK("http://www.ensembl.org/id/WBGene00009388", "WBGene00009388")</f>
        <v>WBGene00009388</v>
      </c>
      <c r="B147" s="9" t="str">
        <f>HYPERLINK("http://www.ncbi.nlm.nih.gov/gene/179591", "179591")</f>
        <v>179591</v>
      </c>
      <c r="C147" s="9"/>
      <c r="D147" t="str">
        <f>"F35B12.9"</f>
        <v>F35B12.9</v>
      </c>
      <c r="F147" t="s">
        <v>11</v>
      </c>
      <c r="G147" t="s">
        <v>25</v>
      </c>
      <c r="H147" s="12">
        <v>2.6319553139116798</v>
      </c>
      <c r="I147" s="20">
        <v>4.9175561626074504</v>
      </c>
      <c r="J147" s="28">
        <v>8.7631319855056898E-7</v>
      </c>
      <c r="K147" s="29">
        <v>1.3964201907385799E-4</v>
      </c>
    </row>
    <row r="148" spans="1:11" x14ac:dyDescent="0.35">
      <c r="A148" s="9" t="str">
        <f>HYPERLINK("http://www.ensembl.org/id/WBGene00008743", "WBGene00008743")</f>
        <v>WBGene00008743</v>
      </c>
      <c r="B148" s="9" t="str">
        <f>HYPERLINK("http://www.ncbi.nlm.nih.gov/gene/174794", "174794")</f>
        <v>174794</v>
      </c>
      <c r="C148" s="9"/>
      <c r="D148" t="str">
        <f>"F13D12.9"</f>
        <v>F13D12.9</v>
      </c>
      <c r="F148" t="s">
        <v>11</v>
      </c>
      <c r="G148" t="s">
        <v>163</v>
      </c>
      <c r="H148" s="12">
        <v>3.0916470528287299</v>
      </c>
      <c r="I148" s="20">
        <v>4.9132140866821903</v>
      </c>
      <c r="J148" s="28">
        <v>8.9595351657589497E-7</v>
      </c>
      <c r="K148" s="29">
        <v>1.41793849000018E-4</v>
      </c>
    </row>
    <row r="149" spans="1:11" x14ac:dyDescent="0.35">
      <c r="A149" s="9" t="str">
        <f>HYPERLINK("http://www.ensembl.org/id/WBGene00008707", "WBGene00008707")</f>
        <v>WBGene00008707</v>
      </c>
      <c r="B149" s="9" t="str">
        <f>HYPERLINK("http://www.ncbi.nlm.nih.gov/gene/178533", "178533")</f>
        <v>178533</v>
      </c>
      <c r="C149" s="9"/>
      <c r="D149" t="str">
        <f>"F11E6.3"</f>
        <v>F11E6.3</v>
      </c>
      <c r="F149" t="s">
        <v>11</v>
      </c>
      <c r="H149" s="12">
        <v>2.55368415998863</v>
      </c>
      <c r="I149" s="20">
        <v>4.9045028860370099</v>
      </c>
      <c r="J149" s="28">
        <v>9.3664244562988205E-7</v>
      </c>
      <c r="K149" s="29">
        <v>1.4722490033145601E-4</v>
      </c>
    </row>
    <row r="150" spans="1:11" x14ac:dyDescent="0.35">
      <c r="A150" s="9" t="str">
        <f>HYPERLINK("http://www.ensembl.org/id/WBGene00015514", "WBGene00015514")</f>
        <v>WBGene00015514</v>
      </c>
      <c r="B150" s="9" t="str">
        <f>HYPERLINK("http://www.ncbi.nlm.nih.gov/gene/174259", "174259")</f>
        <v>174259</v>
      </c>
      <c r="C150" s="9"/>
      <c r="D150" t="str">
        <f>"nlp-77"</f>
        <v>nlp-77</v>
      </c>
      <c r="E150" t="s">
        <v>76</v>
      </c>
      <c r="F150" t="s">
        <v>11</v>
      </c>
      <c r="H150" s="12">
        <v>2.44017621622783</v>
      </c>
      <c r="I150" s="20">
        <v>4.8988806787349501</v>
      </c>
      <c r="J150" s="28">
        <v>9.6384151375682194E-7</v>
      </c>
      <c r="K150" s="29">
        <v>1.5047650011395399E-4</v>
      </c>
    </row>
    <row r="151" spans="1:11" x14ac:dyDescent="0.35">
      <c r="A151" s="9" t="str">
        <f>HYPERLINK("http://www.ensembl.org/id/WBGene00011284", "WBGene00011284")</f>
        <v>WBGene00011284</v>
      </c>
      <c r="B151" s="9" t="str">
        <f>HYPERLINK("http://www.ncbi.nlm.nih.gov/gene/179769", "179769")</f>
        <v>179769</v>
      </c>
      <c r="C151" s="9"/>
      <c r="D151" t="str">
        <f>"ttr-27"</f>
        <v>ttr-27</v>
      </c>
      <c r="E151" t="s">
        <v>16</v>
      </c>
      <c r="F151" t="s">
        <v>11</v>
      </c>
      <c r="G151" t="s">
        <v>17</v>
      </c>
      <c r="H151" s="12">
        <v>3.2375530875759</v>
      </c>
      <c r="I151" s="20">
        <v>4.8967421244163001</v>
      </c>
      <c r="J151" s="28">
        <v>9.7438570770747206E-7</v>
      </c>
      <c r="K151" s="29">
        <v>1.5110171920999199E-4</v>
      </c>
    </row>
    <row r="152" spans="1:11" x14ac:dyDescent="0.35">
      <c r="A152" s="9" t="str">
        <f>HYPERLINK("http://www.ensembl.org/id/WBGene00009097", "WBGene00009097")</f>
        <v>WBGene00009097</v>
      </c>
      <c r="B152" s="9" t="str">
        <f>HYPERLINK("http://www.ncbi.nlm.nih.gov/gene/179696", "179696")</f>
        <v>179696</v>
      </c>
      <c r="C152" s="9"/>
      <c r="D152" t="str">
        <f>"fipr-2"</f>
        <v>fipr-2</v>
      </c>
      <c r="E152" t="s">
        <v>28</v>
      </c>
      <c r="F152" t="s">
        <v>11</v>
      </c>
      <c r="H152" s="12">
        <v>2.4765185988606699</v>
      </c>
      <c r="I152" s="20">
        <v>4.8943256295668398</v>
      </c>
      <c r="J152" s="28">
        <v>9.8643392737690799E-7</v>
      </c>
      <c r="K152" s="29">
        <v>1.51950282173139E-4</v>
      </c>
    </row>
    <row r="153" spans="1:11" x14ac:dyDescent="0.35">
      <c r="A153" s="9" t="str">
        <f>HYPERLINK("http://www.ensembl.org/id/WBGene00018010", "WBGene00018010")</f>
        <v>WBGene00018010</v>
      </c>
      <c r="B153" s="9" t="str">
        <f>HYPERLINK("http://www.ncbi.nlm.nih.gov/gene/178555", "178555")</f>
        <v>178555</v>
      </c>
      <c r="C153" s="9"/>
      <c r="D153" t="str">
        <f>"F33E11.2"</f>
        <v>F33E11.2</v>
      </c>
      <c r="F153" t="s">
        <v>11</v>
      </c>
      <c r="H153" s="12">
        <v>-3.10055099291881</v>
      </c>
      <c r="I153" s="20">
        <v>-4.8864764173335402</v>
      </c>
      <c r="J153" s="28">
        <v>1.0265661721858801E-6</v>
      </c>
      <c r="K153" s="29">
        <v>1.5708501969885399E-4</v>
      </c>
    </row>
    <row r="154" spans="1:11" x14ac:dyDescent="0.35">
      <c r="A154" s="9" t="str">
        <f>HYPERLINK("http://www.ensembl.org/id/WBGene00017426", "WBGene00017426")</f>
        <v>WBGene00017426</v>
      </c>
      <c r="B154" s="9" t="str">
        <f>HYPERLINK("http://www.ncbi.nlm.nih.gov/gene/180412", "180412")</f>
        <v>180412</v>
      </c>
      <c r="C154" s="9"/>
      <c r="D154" t="str">
        <f>"F13C5.5"</f>
        <v>F13C5.5</v>
      </c>
      <c r="F154" t="s">
        <v>11</v>
      </c>
      <c r="G154" t="s">
        <v>25</v>
      </c>
      <c r="H154" s="12">
        <v>3.2654956552087002</v>
      </c>
      <c r="I154" s="20">
        <v>4.87008802183606</v>
      </c>
      <c r="J154" s="28">
        <v>1.1154854616816801E-6</v>
      </c>
      <c r="K154" s="29">
        <v>1.6956846761590001E-4</v>
      </c>
    </row>
    <row r="155" spans="1:11" x14ac:dyDescent="0.35">
      <c r="A155" s="9" t="str">
        <f>HYPERLINK("http://www.ensembl.org/id/WBGene00012034", "WBGene00012034")</f>
        <v>WBGene00012034</v>
      </c>
      <c r="B155" s="9" t="str">
        <f>HYPERLINK("http://www.ncbi.nlm.nih.gov/gene/188916", "188916")</f>
        <v>188916</v>
      </c>
      <c r="C155" s="9"/>
      <c r="D155" t="str">
        <f>"T26C5.4"</f>
        <v>T26C5.4</v>
      </c>
      <c r="F155" t="s">
        <v>11</v>
      </c>
      <c r="H155" s="12">
        <v>3.2839179703050299</v>
      </c>
      <c r="I155" s="20">
        <v>4.8668895051404997</v>
      </c>
      <c r="J155" s="28">
        <v>1.13368369706064E-6</v>
      </c>
      <c r="K155" s="29">
        <v>1.7120846734825599E-4</v>
      </c>
    </row>
    <row r="156" spans="1:11" x14ac:dyDescent="0.35">
      <c r="A156" s="9" t="str">
        <f>HYPERLINK("http://www.ensembl.org/id/WBGene00006981", "WBGene00006981")</f>
        <v>WBGene00006981</v>
      </c>
      <c r="B156" s="9" t="str">
        <f>HYPERLINK("http://www.ncbi.nlm.nih.gov/gene/181051", "181051")</f>
        <v>181051</v>
      </c>
      <c r="C156" s="9"/>
      <c r="D156" t="str">
        <f>"zig-4"</f>
        <v>zig-4</v>
      </c>
      <c r="E156" t="s">
        <v>164</v>
      </c>
      <c r="F156" t="s">
        <v>11</v>
      </c>
      <c r="G156" t="s">
        <v>165</v>
      </c>
      <c r="H156" s="12">
        <v>3.0298256837749999</v>
      </c>
      <c r="I156" s="20">
        <v>4.8645508449202497</v>
      </c>
      <c r="J156" s="28">
        <v>1.1471701564222601E-6</v>
      </c>
      <c r="K156" s="29">
        <v>1.7212021840449899E-4</v>
      </c>
    </row>
    <row r="157" spans="1:11" x14ac:dyDescent="0.35">
      <c r="A157" s="9" t="str">
        <f>HYPERLINK("http://www.ensembl.org/id/WBGene00019622", "WBGene00019622")</f>
        <v>WBGene00019622</v>
      </c>
      <c r="B157" s="9" t="str">
        <f>HYPERLINK("http://www.ncbi.nlm.nih.gov/gene/180916", "180916")</f>
        <v>180916</v>
      </c>
      <c r="C157" s="9"/>
      <c r="D157" t="str">
        <f>"K10C2.7"</f>
        <v>K10C2.7</v>
      </c>
      <c r="F157" t="s">
        <v>11</v>
      </c>
      <c r="H157" s="12">
        <v>4.0961476452235699</v>
      </c>
      <c r="I157" s="20">
        <v>4.8544776824819103</v>
      </c>
      <c r="J157" s="28">
        <v>1.20704461893621E-6</v>
      </c>
      <c r="K157" s="29">
        <v>1.7993530945251601E-4</v>
      </c>
    </row>
    <row r="158" spans="1:11" x14ac:dyDescent="0.35">
      <c r="A158" s="9" t="str">
        <f>HYPERLINK("http://www.ensembl.org/id/WBGene00011928", "WBGene00011928")</f>
        <v>WBGene00011928</v>
      </c>
      <c r="B158" s="9" t="str">
        <f>HYPERLINK("http://www.ncbi.nlm.nih.gov/gene/188735", "188735")</f>
        <v>188735</v>
      </c>
      <c r="C158" s="9"/>
      <c r="D158" t="str">
        <f>"cutl-12"</f>
        <v>cutl-12</v>
      </c>
      <c r="E158" t="s">
        <v>166</v>
      </c>
      <c r="F158" t="s">
        <v>11</v>
      </c>
      <c r="G158" t="s">
        <v>25</v>
      </c>
      <c r="H158" s="12">
        <v>3.2630055700936298</v>
      </c>
      <c r="I158" s="20">
        <v>4.8520284672006904</v>
      </c>
      <c r="J158" s="28">
        <v>1.22205076445136E-6</v>
      </c>
      <c r="K158" s="29">
        <v>1.8100451899623801E-4</v>
      </c>
    </row>
    <row r="159" spans="1:11" x14ac:dyDescent="0.35">
      <c r="A159" s="9" t="str">
        <f>HYPERLINK("http://www.ensembl.org/id/WBGene00000728", "WBGene00000728")</f>
        <v>WBGene00000728</v>
      </c>
      <c r="B159" s="9" t="str">
        <f>HYPERLINK("http://www.ncbi.nlm.nih.gov/gene/186301", "186301")</f>
        <v>186301</v>
      </c>
      <c r="C159" s="9"/>
      <c r="D159" t="str">
        <f>"col-155"</f>
        <v>col-155</v>
      </c>
      <c r="E159" t="s">
        <v>167</v>
      </c>
      <c r="F159" t="s">
        <v>11</v>
      </c>
      <c r="G159" t="s">
        <v>152</v>
      </c>
      <c r="H159" s="12">
        <v>2.3871549279220599</v>
      </c>
      <c r="I159" s="20">
        <v>4.8500457107442303</v>
      </c>
      <c r="J159" s="28">
        <v>1.23433025583096E-6</v>
      </c>
      <c r="K159" s="29">
        <v>1.81658820963249E-4</v>
      </c>
    </row>
    <row r="160" spans="1:11" x14ac:dyDescent="0.35">
      <c r="A160" s="9" t="str">
        <f>HYPERLINK("http://www.ensembl.org/id/WBGene00015756", "WBGene00015756")</f>
        <v>WBGene00015756</v>
      </c>
      <c r="B160" s="9" t="str">
        <f>HYPERLINK("http://www.ncbi.nlm.nih.gov/gene/178576", "178576")</f>
        <v>178576</v>
      </c>
      <c r="C160" s="9"/>
      <c r="D160" t="str">
        <f>"C14C6.2"</f>
        <v>C14C6.2</v>
      </c>
      <c r="F160" t="s">
        <v>11</v>
      </c>
      <c r="H160" s="12">
        <v>-3.4266362198609301</v>
      </c>
      <c r="I160" s="20">
        <v>-4.8460673623451296</v>
      </c>
      <c r="J160" s="28">
        <v>1.25932772816277E-6</v>
      </c>
      <c r="K160" s="29">
        <v>1.8416472460081599E-4</v>
      </c>
    </row>
    <row r="161" spans="1:11" x14ac:dyDescent="0.35">
      <c r="A161" s="9" t="str">
        <f>HYPERLINK("http://www.ensembl.org/id/WBGene00021491", "WBGene00021491")</f>
        <v>WBGene00021491</v>
      </c>
      <c r="B161" s="9" t="str">
        <f>HYPERLINK("http://www.ncbi.nlm.nih.gov/gene/189789", "189789")</f>
        <v>189789</v>
      </c>
      <c r="C161" s="9" t="str">
        <f>HYPERLINK("http://www.ncbi.nlm.nih.gov/gene/118881", "118881")</f>
        <v>118881</v>
      </c>
      <c r="D161" t="str">
        <f>"comt-4"</f>
        <v>comt-4</v>
      </c>
      <c r="E161" t="s">
        <v>168</v>
      </c>
      <c r="F161" t="s">
        <v>11</v>
      </c>
      <c r="G161" t="s">
        <v>169</v>
      </c>
      <c r="H161" s="12">
        <v>-8.6186224800282201</v>
      </c>
      <c r="I161" s="20">
        <v>-4.8436689523151601</v>
      </c>
      <c r="J161" s="28">
        <v>1.27463238102747E-6</v>
      </c>
      <c r="K161" s="29">
        <v>1.85230539597614E-4</v>
      </c>
    </row>
    <row r="162" spans="1:11" x14ac:dyDescent="0.35">
      <c r="A162" s="9" t="str">
        <f>HYPERLINK("http://www.ensembl.org/id/WBGene00010135", "WBGene00010135")</f>
        <v>WBGene00010135</v>
      </c>
      <c r="B162" s="9" t="str">
        <f>HYPERLINK("http://www.ncbi.nlm.nih.gov/gene/186344", "186344")</f>
        <v>186344</v>
      </c>
      <c r="C162" s="9"/>
      <c r="D162" t="str">
        <f>"F55H12.4"</f>
        <v>F55H12.4</v>
      </c>
      <c r="F162" t="s">
        <v>11</v>
      </c>
      <c r="H162" s="12">
        <v>2.4801061496017698</v>
      </c>
      <c r="I162" s="20">
        <v>4.8314683070764799</v>
      </c>
      <c r="J162" s="28">
        <v>1.3552979524926301E-6</v>
      </c>
      <c r="K162" s="29">
        <v>1.9572196556434199E-4</v>
      </c>
    </row>
    <row r="163" spans="1:11" x14ac:dyDescent="0.35">
      <c r="A163" s="9" t="str">
        <f>HYPERLINK("http://www.ensembl.org/id/WBGene00000473", "WBGene00000473")</f>
        <v>WBGene00000473</v>
      </c>
      <c r="B163" s="9" t="str">
        <f>HYPERLINK("http://www.ncbi.nlm.nih.gov/gene/172219", "172219")</f>
        <v>172219</v>
      </c>
      <c r="C163" s="9"/>
      <c r="D163" t="str">
        <f>"cey-2"</f>
        <v>cey-2</v>
      </c>
      <c r="E163" t="s">
        <v>170</v>
      </c>
      <c r="F163" t="s">
        <v>11</v>
      </c>
      <c r="G163" t="s">
        <v>171</v>
      </c>
      <c r="H163" s="12">
        <v>-2.4576616334318699</v>
      </c>
      <c r="I163" s="20">
        <v>-4.8279324277822697</v>
      </c>
      <c r="J163" s="28">
        <v>1.37957885227416E-6</v>
      </c>
      <c r="K163" s="29">
        <v>1.9799098733321E-4</v>
      </c>
    </row>
    <row r="164" spans="1:11" x14ac:dyDescent="0.35">
      <c r="A164" s="9" t="str">
        <f>HYPERLINK("http://www.ensembl.org/id/WBGene00016898", "WBGene00016898")</f>
        <v>WBGene00016898</v>
      </c>
      <c r="B164" s="9" t="str">
        <f>HYPERLINK("http://www.ncbi.nlm.nih.gov/gene/181031", "181031")</f>
        <v>181031</v>
      </c>
      <c r="C164" s="9"/>
      <c r="D164" t="str">
        <f>"clik-2"</f>
        <v>clik-2</v>
      </c>
      <c r="E164" t="s">
        <v>172</v>
      </c>
      <c r="F164" t="s">
        <v>11</v>
      </c>
      <c r="H164" s="12">
        <v>2.7735079612643601</v>
      </c>
      <c r="I164" s="20">
        <v>4.8156876230486203</v>
      </c>
      <c r="J164" s="28">
        <v>1.4669385441553199E-6</v>
      </c>
      <c r="K164" s="29">
        <v>2.09228901242301E-4</v>
      </c>
    </row>
    <row r="165" spans="1:11" x14ac:dyDescent="0.35">
      <c r="A165" s="9" t="str">
        <f>HYPERLINK("http://www.ensembl.org/id/WBGene00010061", "WBGene00010061")</f>
        <v>WBGene00010061</v>
      </c>
      <c r="B165" s="9" t="str">
        <f>HYPERLINK("http://www.ncbi.nlm.nih.gov/gene/178054", "178054")</f>
        <v>178054</v>
      </c>
      <c r="C165" s="9" t="str">
        <f>HYPERLINK("http://www.ncbi.nlm.nih.gov/gene/8458", "8458")</f>
        <v>8458</v>
      </c>
      <c r="D165" t="str">
        <f>"F54E12.2"</f>
        <v>F54E12.2</v>
      </c>
      <c r="F165" t="s">
        <v>11</v>
      </c>
      <c r="G165" t="s">
        <v>173</v>
      </c>
      <c r="H165" s="12">
        <v>-2.5174161624712901</v>
      </c>
      <c r="I165" s="20">
        <v>-4.8050485571532304</v>
      </c>
      <c r="J165" s="28">
        <v>1.54713952345395E-6</v>
      </c>
      <c r="K165" s="29">
        <v>2.1931414618973601E-4</v>
      </c>
    </row>
    <row r="166" spans="1:11" x14ac:dyDescent="0.35">
      <c r="A166" s="9" t="str">
        <f>HYPERLINK("http://www.ensembl.org/id/WBGene00016163", "WBGene00016163")</f>
        <v>WBGene00016163</v>
      </c>
      <c r="B166" s="9" t="str">
        <f>HYPERLINK("http://www.ncbi.nlm.nih.gov/gene/173822", "173822")</f>
        <v>173822</v>
      </c>
      <c r="C166" s="9"/>
      <c r="D166" t="str">
        <f>"C27D9.1"</f>
        <v>C27D9.1</v>
      </c>
      <c r="F166" t="s">
        <v>11</v>
      </c>
      <c r="G166" t="s">
        <v>178</v>
      </c>
      <c r="H166" s="12">
        <v>-3.0189444362172799</v>
      </c>
      <c r="I166" s="20">
        <v>-4.7979106291526996</v>
      </c>
      <c r="J166" s="28">
        <v>1.60329282176433E-6</v>
      </c>
      <c r="K166" s="29">
        <v>2.2316677072100401E-4</v>
      </c>
    </row>
    <row r="167" spans="1:11" x14ac:dyDescent="0.35">
      <c r="A167" s="9" t="str">
        <f>HYPERLINK("http://www.ensembl.org/id/WBGene00010354", "WBGene00010354")</f>
        <v>WBGene00010354</v>
      </c>
      <c r="B167" s="9" t="str">
        <f>HYPERLINK("http://www.ncbi.nlm.nih.gov/gene/178065", "178065")</f>
        <v>178065</v>
      </c>
      <c r="C167" s="9"/>
      <c r="D167" t="str">
        <f>"cyp-31A2"</f>
        <v>cyp-31A2</v>
      </c>
      <c r="E167" t="s">
        <v>176</v>
      </c>
      <c r="F167" t="s">
        <v>11</v>
      </c>
      <c r="G167" t="s">
        <v>177</v>
      </c>
      <c r="H167" s="12">
        <v>-2.9259259201369701</v>
      </c>
      <c r="I167" s="20">
        <v>-4.79948980221155</v>
      </c>
      <c r="J167" s="28">
        <v>1.5907033493289999E-6</v>
      </c>
      <c r="K167" s="29">
        <v>2.2316677072100401E-4</v>
      </c>
    </row>
    <row r="168" spans="1:11" x14ac:dyDescent="0.35">
      <c r="A168" s="9" t="str">
        <f>HYPERLINK("http://www.ensembl.org/id/WBGene00020091", "WBGene00020091")</f>
        <v>WBGene00020091</v>
      </c>
      <c r="B168" s="9" t="str">
        <f>HYPERLINK("http://www.ncbi.nlm.nih.gov/gene/171627", "171627")</f>
        <v>171627</v>
      </c>
      <c r="C168" s="9"/>
      <c r="D168" t="str">
        <f>"rnp-8"</f>
        <v>rnp-8</v>
      </c>
      <c r="E168" t="s">
        <v>174</v>
      </c>
      <c r="F168" t="s">
        <v>11</v>
      </c>
      <c r="G168" t="s">
        <v>175</v>
      </c>
      <c r="H168" s="12">
        <v>-2.5934883728025699</v>
      </c>
      <c r="I168" s="20">
        <v>-4.7988780421907098</v>
      </c>
      <c r="J168" s="28">
        <v>1.5955691009201299E-6</v>
      </c>
      <c r="K168" s="29">
        <v>2.2316677072100401E-4</v>
      </c>
    </row>
    <row r="169" spans="1:11" x14ac:dyDescent="0.35">
      <c r="A169" s="9" t="str">
        <f>HYPERLINK("http://www.ensembl.org/id/WBGene00020329", "WBGene00020329")</f>
        <v>WBGene00020329</v>
      </c>
      <c r="B169" s="9" t="str">
        <f>HYPERLINK("http://www.ncbi.nlm.nih.gov/gene/173531", "173531")</f>
        <v>173531</v>
      </c>
      <c r="C169" s="9"/>
      <c r="D169" t="str">
        <f>"bath-26"</f>
        <v>bath-26</v>
      </c>
      <c r="E169" t="s">
        <v>179</v>
      </c>
      <c r="F169" t="s">
        <v>11</v>
      </c>
      <c r="G169" t="s">
        <v>54</v>
      </c>
      <c r="H169" s="12">
        <v>-10.873199998832799</v>
      </c>
      <c r="I169" s="20">
        <v>-4.7717939333322699</v>
      </c>
      <c r="J169" s="28">
        <v>1.82592266091401E-6</v>
      </c>
      <c r="K169" s="29">
        <v>2.5263334732382703E-4</v>
      </c>
    </row>
    <row r="170" spans="1:11" x14ac:dyDescent="0.35">
      <c r="A170" s="9" t="str">
        <f>HYPERLINK("http://www.ensembl.org/id/WBGene00012747", "WBGene00012747")</f>
        <v>WBGene00012747</v>
      </c>
      <c r="B170" s="9" t="str">
        <f>HYPERLINK("http://www.ncbi.nlm.nih.gov/gene/189809", "189809")</f>
        <v>189809</v>
      </c>
      <c r="C170" s="9"/>
      <c r="D170" t="str">
        <f>"Y40H7A.10"</f>
        <v>Y40H7A.10</v>
      </c>
      <c r="F170" t="s">
        <v>11</v>
      </c>
      <c r="G170" t="s">
        <v>180</v>
      </c>
      <c r="H170" s="12">
        <v>-3.3903931160793599</v>
      </c>
      <c r="I170" s="20">
        <v>-4.7686791799817696</v>
      </c>
      <c r="J170" s="28">
        <v>1.85437696867303E-6</v>
      </c>
      <c r="K170" s="29">
        <v>2.5504306094142198E-4</v>
      </c>
    </row>
    <row r="171" spans="1:11" x14ac:dyDescent="0.35">
      <c r="A171" s="9" t="str">
        <f>HYPERLINK("http://www.ensembl.org/id/WBGene00020938", "WBGene00020938")</f>
        <v>WBGene00020938</v>
      </c>
      <c r="B171" s="9" t="str">
        <f>HYPERLINK("http://www.ncbi.nlm.nih.gov/gene/189114", "189114")</f>
        <v>189114</v>
      </c>
      <c r="C171" s="9"/>
      <c r="D171" t="str">
        <f>"clec-218"</f>
        <v>clec-218</v>
      </c>
      <c r="E171" t="s">
        <v>46</v>
      </c>
      <c r="F171" t="s">
        <v>11</v>
      </c>
      <c r="G171" t="s">
        <v>151</v>
      </c>
      <c r="H171" s="12">
        <v>-2.7267880656111001</v>
      </c>
      <c r="I171" s="20">
        <v>-4.7657366493534496</v>
      </c>
      <c r="J171" s="28">
        <v>1.8816489912234101E-6</v>
      </c>
      <c r="K171" s="29">
        <v>2.5726261296572897E-4</v>
      </c>
    </row>
    <row r="172" spans="1:11" x14ac:dyDescent="0.35">
      <c r="A172" s="9" t="str">
        <f>HYPERLINK("http://www.ensembl.org/id/WBGene00021596", "WBGene00021596")</f>
        <v>WBGene00021596</v>
      </c>
      <c r="B172" s="9" t="str">
        <f>HYPERLINK("http://www.ncbi.nlm.nih.gov/gene/266877", "266877")</f>
        <v>266877</v>
      </c>
      <c r="C172" s="9" t="str">
        <f>HYPERLINK("http://www.ncbi.nlm.nih.gov/gene/92369", "92369")</f>
        <v>92369</v>
      </c>
      <c r="D172" t="str">
        <f>"spsb-2"</f>
        <v>spsb-2</v>
      </c>
      <c r="E172" t="s">
        <v>181</v>
      </c>
      <c r="F172" t="s">
        <v>11</v>
      </c>
      <c r="G172" t="s">
        <v>182</v>
      </c>
      <c r="H172" s="12">
        <v>-2.6087065831445702</v>
      </c>
      <c r="I172" s="20">
        <v>-4.7550597794941396</v>
      </c>
      <c r="J172" s="28">
        <v>1.9838770529323799E-6</v>
      </c>
      <c r="K172" s="29">
        <v>2.6964390108856202E-4</v>
      </c>
    </row>
    <row r="173" spans="1:11" x14ac:dyDescent="0.35">
      <c r="A173" s="9" t="str">
        <f>HYPERLINK("http://www.ensembl.org/id/WBGene00008385", "WBGene00008385")</f>
        <v>WBGene00008385</v>
      </c>
      <c r="B173" s="9" t="str">
        <f>HYPERLINK("http://www.ncbi.nlm.nih.gov/gene/172638", "172638")</f>
        <v>172638</v>
      </c>
      <c r="C173" s="9"/>
      <c r="D173" t="str">
        <f>"D1081.7"</f>
        <v>D1081.7</v>
      </c>
      <c r="F173" t="s">
        <v>11</v>
      </c>
      <c r="H173" s="12">
        <v>-2.4902700923421199</v>
      </c>
      <c r="I173" s="20">
        <v>-4.7526851193035498</v>
      </c>
      <c r="J173" s="28">
        <v>2.00732837795097E-6</v>
      </c>
      <c r="K173" s="29">
        <v>2.7123584503470799E-4</v>
      </c>
    </row>
    <row r="174" spans="1:11" x14ac:dyDescent="0.35">
      <c r="A174" s="9" t="str">
        <f>HYPERLINK("http://www.ensembl.org/id/WBGene00008522", "WBGene00008522")</f>
        <v>WBGene00008522</v>
      </c>
      <c r="B174" s="9" t="str">
        <f>HYPERLINK("http://www.ncbi.nlm.nih.gov/gene/3565387", "3565387")</f>
        <v>3565387</v>
      </c>
      <c r="C174" s="9"/>
      <c r="D174" t="str">
        <f>"nlp-59"</f>
        <v>nlp-59</v>
      </c>
      <c r="E174" t="s">
        <v>76</v>
      </c>
      <c r="F174" t="s">
        <v>11</v>
      </c>
      <c r="G174" t="s">
        <v>183</v>
      </c>
      <c r="H174" s="12">
        <v>2.6491444900450198</v>
      </c>
      <c r="I174" s="20">
        <v>4.7492134751564397</v>
      </c>
      <c r="J174" s="28">
        <v>2.04209294657025E-6</v>
      </c>
      <c r="K174" s="29">
        <v>2.7432906757821101E-4</v>
      </c>
    </row>
    <row r="175" spans="1:11" x14ac:dyDescent="0.35">
      <c r="A175" s="9" t="str">
        <f>HYPERLINK("http://www.ensembl.org/id/WBGene00014253", "WBGene00014253")</f>
        <v>WBGene00014253</v>
      </c>
      <c r="B175" s="9" t="str">
        <f>HYPERLINK("http://www.ncbi.nlm.nih.gov/gene/174521", "174521")</f>
        <v>174521</v>
      </c>
      <c r="C175" s="9"/>
      <c r="D175" t="str">
        <f>"ZK1320.3"</f>
        <v>ZK1320.3</v>
      </c>
      <c r="F175" t="s">
        <v>11</v>
      </c>
      <c r="H175" s="12">
        <v>-3.2734764819517101</v>
      </c>
      <c r="I175" s="20">
        <v>-4.7446006997968997</v>
      </c>
      <c r="J175" s="28">
        <v>2.0891803043855499E-6</v>
      </c>
      <c r="K175" s="29">
        <v>2.7903237059614098E-4</v>
      </c>
    </row>
    <row r="176" spans="1:11" x14ac:dyDescent="0.35">
      <c r="A176" s="9" t="str">
        <f>HYPERLINK("http://www.ensembl.org/id/WBGene00007913", "WBGene00007913")</f>
        <v>WBGene00007913</v>
      </c>
      <c r="B176" s="9" t="str">
        <f>HYPERLINK("http://www.ncbi.nlm.nih.gov/gene/183193", "183193")</f>
        <v>183193</v>
      </c>
      <c r="C176" s="9" t="str">
        <f>HYPERLINK("http://www.ncbi.nlm.nih.gov/gene/1549,1553,1548", "1549,1553,1548")</f>
        <v>1549,1553,1548</v>
      </c>
      <c r="D176" t="str">
        <f>"cyp-36A1"</f>
        <v>cyp-36A1</v>
      </c>
      <c r="E176" t="s">
        <v>184</v>
      </c>
      <c r="F176" t="s">
        <v>11</v>
      </c>
      <c r="G176" t="s">
        <v>185</v>
      </c>
      <c r="H176" s="12">
        <v>3.3904341338209401</v>
      </c>
      <c r="I176" s="20">
        <v>4.7406810366228997</v>
      </c>
      <c r="J176" s="28">
        <v>2.13001031995401E-6</v>
      </c>
      <c r="K176" s="29">
        <v>2.8285068076354798E-4</v>
      </c>
    </row>
    <row r="177" spans="1:11" x14ac:dyDescent="0.35">
      <c r="A177" s="9" t="str">
        <f>HYPERLINK("http://www.ensembl.org/id/WBGene00000781", "WBGene00000781")</f>
        <v>WBGene00000781</v>
      </c>
      <c r="B177" s="9" t="str">
        <f>HYPERLINK("http://www.ncbi.nlm.nih.gov/gene/179637", "179637")</f>
        <v>179637</v>
      </c>
      <c r="C177" s="9"/>
      <c r="D177" t="str">
        <f>"cpr-1"</f>
        <v>cpr-1</v>
      </c>
      <c r="E177" t="s">
        <v>186</v>
      </c>
      <c r="F177" t="s">
        <v>11</v>
      </c>
      <c r="G177" t="s">
        <v>187</v>
      </c>
      <c r="H177" s="12">
        <v>-2.5425647454781499</v>
      </c>
      <c r="I177" s="20">
        <v>-4.7380733465282798</v>
      </c>
      <c r="J177" s="28">
        <v>2.1575972472662002E-6</v>
      </c>
      <c r="K177" s="29">
        <v>2.8487681140190198E-4</v>
      </c>
    </row>
    <row r="178" spans="1:11" x14ac:dyDescent="0.35">
      <c r="A178" s="9" t="str">
        <f>HYPERLINK("http://www.ensembl.org/id/WBGene00016485", "WBGene00016485")</f>
        <v>WBGene00016485</v>
      </c>
      <c r="B178" s="9" t="str">
        <f>HYPERLINK("http://www.ncbi.nlm.nih.gov/gene/180497", "180497")</f>
        <v>180497</v>
      </c>
      <c r="C178" s="9"/>
      <c r="D178" t="str">
        <f>"meg-4"</f>
        <v>meg-4</v>
      </c>
      <c r="F178" t="s">
        <v>11</v>
      </c>
      <c r="G178" t="s">
        <v>188</v>
      </c>
      <c r="H178" s="12">
        <v>-3.0340685720031901</v>
      </c>
      <c r="I178" s="20">
        <v>-4.7339575783989396</v>
      </c>
      <c r="J178" s="28">
        <v>2.2018376554084801E-6</v>
      </c>
      <c r="K178" s="29">
        <v>2.8906625491970599E-4</v>
      </c>
    </row>
    <row r="179" spans="1:11" x14ac:dyDescent="0.35">
      <c r="A179" s="9" t="str">
        <f>HYPERLINK("http://www.ensembl.org/id/WBGene00011376", "WBGene00011376")</f>
        <v>WBGene00011376</v>
      </c>
      <c r="B179" s="9" t="str">
        <f>HYPERLINK("http://www.ncbi.nlm.nih.gov/gene/172604", "172604")</f>
        <v>172604</v>
      </c>
      <c r="C179" s="9"/>
      <c r="D179" t="str">
        <f>"gla-3"</f>
        <v>gla-3</v>
      </c>
      <c r="F179" t="s">
        <v>11</v>
      </c>
      <c r="G179" t="s">
        <v>189</v>
      </c>
      <c r="H179" s="12">
        <v>-2.6835712967197698</v>
      </c>
      <c r="I179" s="20">
        <v>-4.7255876323874002</v>
      </c>
      <c r="J179" s="28">
        <v>2.2945085612449198E-6</v>
      </c>
      <c r="K179" s="29">
        <v>2.9953059218149801E-4</v>
      </c>
    </row>
    <row r="180" spans="1:11" x14ac:dyDescent="0.35">
      <c r="A180" s="9" t="str">
        <f>HYPERLINK("http://www.ensembl.org/id/WBGene00004986", "WBGene00004986")</f>
        <v>WBGene00004986</v>
      </c>
      <c r="B180" s="9" t="str">
        <f>HYPERLINK("http://www.ncbi.nlm.nih.gov/gene/176452", "176452")</f>
        <v>176452</v>
      </c>
      <c r="C180" s="9"/>
      <c r="D180" t="str">
        <f>"spp-1"</f>
        <v>spp-1</v>
      </c>
      <c r="E180" t="s">
        <v>62</v>
      </c>
      <c r="F180" t="s">
        <v>11</v>
      </c>
      <c r="G180" t="s">
        <v>190</v>
      </c>
      <c r="H180" s="12">
        <v>-2.5735707397080101</v>
      </c>
      <c r="I180" s="20">
        <v>-4.7208568640818802</v>
      </c>
      <c r="J180" s="28">
        <v>2.3485317023911002E-6</v>
      </c>
      <c r="K180" s="29">
        <v>3.0486052536768897E-4</v>
      </c>
    </row>
    <row r="181" spans="1:11" x14ac:dyDescent="0.35">
      <c r="A181" s="9" t="str">
        <f>HYPERLINK("http://www.ensembl.org/id/WBGene00009394", "WBGene00009394")</f>
        <v>WBGene00009394</v>
      </c>
      <c r="B181" s="9" t="str">
        <f>HYPERLINK("http://www.ncbi.nlm.nih.gov/gene/174927", "174927")</f>
        <v>174927</v>
      </c>
      <c r="C181" s="9"/>
      <c r="D181" t="str">
        <f>"clec-63"</f>
        <v>clec-63</v>
      </c>
      <c r="E181" t="s">
        <v>46</v>
      </c>
      <c r="F181" t="s">
        <v>11</v>
      </c>
      <c r="G181" t="s">
        <v>47</v>
      </c>
      <c r="H181" s="12">
        <v>-2.6721699719869001</v>
      </c>
      <c r="I181" s="20">
        <v>-4.7126369491094602</v>
      </c>
      <c r="J181" s="28">
        <v>2.44531633207937E-6</v>
      </c>
      <c r="K181" s="29">
        <v>3.1565072161466998E-4</v>
      </c>
    </row>
    <row r="182" spans="1:11" x14ac:dyDescent="0.35">
      <c r="A182" s="9" t="str">
        <f>HYPERLINK("http://www.ensembl.org/id/WBGene00019833", "WBGene00019833")</f>
        <v>WBGene00019833</v>
      </c>
      <c r="B182" s="9" t="str">
        <f>HYPERLINK("http://www.ncbi.nlm.nih.gov/gene/175755", "175755")</f>
        <v>175755</v>
      </c>
      <c r="C182" s="9"/>
      <c r="D182" t="str">
        <f>"R02F2.4"</f>
        <v>R02F2.4</v>
      </c>
      <c r="F182" t="s">
        <v>11</v>
      </c>
      <c r="G182" t="s">
        <v>191</v>
      </c>
      <c r="H182" s="12">
        <v>-3.1416936858597602</v>
      </c>
      <c r="I182" s="20">
        <v>-4.6730274453614902</v>
      </c>
      <c r="J182" s="28">
        <v>2.96792088537807E-6</v>
      </c>
      <c r="K182" s="29">
        <v>3.8098211098636499E-4</v>
      </c>
    </row>
    <row r="183" spans="1:11" x14ac:dyDescent="0.35">
      <c r="A183" s="9" t="str">
        <f>HYPERLINK("http://www.ensembl.org/id/WBGene00002368", "WBGene00002368")</f>
        <v>WBGene00002368</v>
      </c>
      <c r="B183" s="9" t="str">
        <f>HYPERLINK("http://www.ncbi.nlm.nih.gov/gene/178210", "178210")</f>
        <v>178210</v>
      </c>
      <c r="C183" s="9"/>
      <c r="D183" t="str">
        <f>"let-99"</f>
        <v>let-99</v>
      </c>
      <c r="F183" t="s">
        <v>11</v>
      </c>
      <c r="G183" t="s">
        <v>192</v>
      </c>
      <c r="H183" s="12">
        <v>-2.6169951632400701</v>
      </c>
      <c r="I183" s="20">
        <v>-4.6691658456844598</v>
      </c>
      <c r="J183" s="28">
        <v>3.02425170069181E-6</v>
      </c>
      <c r="K183" s="29">
        <v>3.8606828616676801E-4</v>
      </c>
    </row>
    <row r="184" spans="1:11" x14ac:dyDescent="0.35">
      <c r="A184" s="9" t="str">
        <f>HYPERLINK("http://www.ensembl.org/id/WBGene00011153", "WBGene00011153")</f>
        <v>WBGene00011153</v>
      </c>
      <c r="B184" s="9" t="str">
        <f>HYPERLINK("http://www.ncbi.nlm.nih.gov/gene/181409", "181409")</f>
        <v>181409</v>
      </c>
      <c r="C184" s="9"/>
      <c r="D184" t="str">
        <f>"R09A8.2"</f>
        <v>R09A8.2</v>
      </c>
      <c r="F184" t="s">
        <v>11</v>
      </c>
      <c r="H184" s="12">
        <v>-3.4058330225918798</v>
      </c>
      <c r="I184" s="20">
        <v>-4.6567473357864104</v>
      </c>
      <c r="J184" s="28">
        <v>3.2124429072358401E-6</v>
      </c>
      <c r="K184" s="29">
        <v>4.0783904293731501E-4</v>
      </c>
    </row>
    <row r="185" spans="1:11" x14ac:dyDescent="0.35">
      <c r="A185" s="9" t="str">
        <f>HYPERLINK("http://www.ensembl.org/id/WBGene00004237", "WBGene00004237")</f>
        <v>WBGene00004237</v>
      </c>
      <c r="B185" s="9" t="str">
        <f>HYPERLINK("http://www.ncbi.nlm.nih.gov/gene/173362", "173362")</f>
        <v>173362</v>
      </c>
      <c r="C185" s="9"/>
      <c r="D185" t="str">
        <f>"ptr-23"</f>
        <v>ptr-23</v>
      </c>
      <c r="E185" t="s">
        <v>134</v>
      </c>
      <c r="F185" t="s">
        <v>11</v>
      </c>
      <c r="G185" t="s">
        <v>193</v>
      </c>
      <c r="H185" s="12">
        <v>2.42604864646776</v>
      </c>
      <c r="I185" s="20">
        <v>4.6516622232532496</v>
      </c>
      <c r="J185" s="28">
        <v>3.2927009968029602E-6</v>
      </c>
      <c r="K185" s="29">
        <v>4.15743984875023E-4</v>
      </c>
    </row>
    <row r="186" spans="1:11" x14ac:dyDescent="0.35">
      <c r="A186" s="9" t="str">
        <f>HYPERLINK("http://www.ensembl.org/id/WBGene00000935", "WBGene00000935")</f>
        <v>WBGene00000935</v>
      </c>
      <c r="B186" s="9" t="str">
        <f>HYPERLINK("http://www.ncbi.nlm.nih.gov/gene/173931", "173931")</f>
        <v>173931</v>
      </c>
      <c r="C186" s="9"/>
      <c r="D186" t="str">
        <f>"daz-1"</f>
        <v>daz-1</v>
      </c>
      <c r="E186" t="s">
        <v>194</v>
      </c>
      <c r="F186" t="s">
        <v>11</v>
      </c>
      <c r="G186" t="s">
        <v>195</v>
      </c>
      <c r="H186" s="12">
        <v>-2.5541885001526698</v>
      </c>
      <c r="I186" s="20">
        <v>-4.6230056283660197</v>
      </c>
      <c r="J186" s="28">
        <v>3.78219456429257E-6</v>
      </c>
      <c r="K186" s="29">
        <v>4.7495319349208701E-4</v>
      </c>
    </row>
    <row r="187" spans="1:11" x14ac:dyDescent="0.35">
      <c r="A187" s="9" t="str">
        <f>HYPERLINK("http://www.ensembl.org/id/WBGene00019111", "WBGene00019111")</f>
        <v>WBGene00019111</v>
      </c>
      <c r="B187" s="9" t="str">
        <f>HYPERLINK("http://www.ncbi.nlm.nih.gov/gene/179278", "179278")</f>
        <v>179278</v>
      </c>
      <c r="C187" s="9"/>
      <c r="D187" t="str">
        <f>"F59E11.5"</f>
        <v>F59E11.5</v>
      </c>
      <c r="F187" t="s">
        <v>11</v>
      </c>
      <c r="G187" t="s">
        <v>25</v>
      </c>
      <c r="H187" s="12">
        <v>2.8700920107604802</v>
      </c>
      <c r="I187" s="20">
        <v>4.6080858137218499</v>
      </c>
      <c r="J187" s="28">
        <v>4.06392945628089E-6</v>
      </c>
      <c r="K187" s="29">
        <v>5.0757380549635797E-4</v>
      </c>
    </row>
    <row r="188" spans="1:11" x14ac:dyDescent="0.35">
      <c r="A188" s="9" t="str">
        <f>HYPERLINK("http://www.ensembl.org/id/WBGene00016769", "WBGene00016769")</f>
        <v>WBGene00016769</v>
      </c>
      <c r="B188" s="9" t="str">
        <f>HYPERLINK("http://www.ncbi.nlm.nih.gov/gene/177668", "177668")</f>
        <v>177668</v>
      </c>
      <c r="C188" s="9"/>
      <c r="D188" t="str">
        <f>"C49C8.5"</f>
        <v>C49C8.5</v>
      </c>
      <c r="F188" t="s">
        <v>11</v>
      </c>
      <c r="G188" t="s">
        <v>196</v>
      </c>
      <c r="H188" s="12">
        <v>2.47955933688581</v>
      </c>
      <c r="I188" s="20">
        <v>4.5993271823628001</v>
      </c>
      <c r="J188" s="28">
        <v>4.23857643077442E-6</v>
      </c>
      <c r="K188" s="29">
        <v>5.2654057531975097E-4</v>
      </c>
    </row>
    <row r="189" spans="1:11" x14ac:dyDescent="0.35">
      <c r="A189" s="9" t="str">
        <f>HYPERLINK("http://www.ensembl.org/id/WBGene00020035", "WBGene00020035")</f>
        <v>WBGene00020035</v>
      </c>
      <c r="B189" s="9" t="str">
        <f>HYPERLINK("http://www.ncbi.nlm.nih.gov/gene/172007", "172007")</f>
        <v>172007</v>
      </c>
      <c r="C189" s="9"/>
      <c r="D189" t="str">
        <f>"egg-5"</f>
        <v>egg-5</v>
      </c>
      <c r="E189" t="s">
        <v>197</v>
      </c>
      <c r="F189" t="s">
        <v>11</v>
      </c>
      <c r="G189" t="s">
        <v>161</v>
      </c>
      <c r="H189" s="12">
        <v>-3.0160861547185598</v>
      </c>
      <c r="I189" s="20">
        <v>-4.5938646933138596</v>
      </c>
      <c r="J189" s="28">
        <v>4.3511156390113403E-6</v>
      </c>
      <c r="K189" s="29">
        <v>5.37630363395701E-4</v>
      </c>
    </row>
    <row r="190" spans="1:11" x14ac:dyDescent="0.35">
      <c r="A190" s="9" t="str">
        <f>HYPERLINK("http://www.ensembl.org/id/WBGene00007203", "WBGene00007203")</f>
        <v>WBGene00007203</v>
      </c>
      <c r="B190" s="9" t="str">
        <f>HYPERLINK("http://www.ncbi.nlm.nih.gov/gene/178264", "178264")</f>
        <v>178264</v>
      </c>
      <c r="C190" s="9"/>
      <c r="D190" t="str">
        <f>"best-1"</f>
        <v>best-1</v>
      </c>
      <c r="E190" t="s">
        <v>198</v>
      </c>
      <c r="F190" t="s">
        <v>11</v>
      </c>
      <c r="H190" s="12">
        <v>2.9007266324789698</v>
      </c>
      <c r="I190" s="20">
        <v>4.5820582828127101</v>
      </c>
      <c r="J190" s="28">
        <v>4.6042152136305999E-6</v>
      </c>
      <c r="K190" s="29">
        <v>5.6587764216036503E-4</v>
      </c>
    </row>
    <row r="191" spans="1:11" x14ac:dyDescent="0.35">
      <c r="A191" s="9" t="str">
        <f>HYPERLINK("http://www.ensembl.org/id/WBGene00022775", "WBGene00022775")</f>
        <v>WBGene00022775</v>
      </c>
      <c r="B191" s="9" t="str">
        <f>HYPERLINK("http://www.ncbi.nlm.nih.gov/gene/177323", "177323")</f>
        <v>177323</v>
      </c>
      <c r="C191" s="9"/>
      <c r="D191" t="str">
        <f>"ZK616.5"</f>
        <v>ZK616.5</v>
      </c>
      <c r="F191" t="s">
        <v>11</v>
      </c>
      <c r="H191" s="12">
        <v>-3.0717952970887099</v>
      </c>
      <c r="I191" s="20">
        <v>-4.5772836674557897</v>
      </c>
      <c r="J191" s="28">
        <v>4.7105251200805102E-6</v>
      </c>
      <c r="K191" s="29">
        <v>5.7588038848984204E-4</v>
      </c>
    </row>
    <row r="192" spans="1:11" x14ac:dyDescent="0.35">
      <c r="A192" s="9" t="str">
        <f>HYPERLINK("http://www.ensembl.org/id/WBGene00000474", "WBGene00000474")</f>
        <v>WBGene00000474</v>
      </c>
      <c r="B192" s="9" t="str">
        <f>HYPERLINK("http://www.ncbi.nlm.nih.gov/gene/172211", "172211")</f>
        <v>172211</v>
      </c>
      <c r="C192" s="9"/>
      <c r="D192" t="str">
        <f>"cey-3"</f>
        <v>cey-3</v>
      </c>
      <c r="E192" t="s">
        <v>170</v>
      </c>
      <c r="F192" t="s">
        <v>11</v>
      </c>
      <c r="G192" t="s">
        <v>199</v>
      </c>
      <c r="H192" s="12">
        <v>-2.3125761906485902</v>
      </c>
      <c r="I192" s="20">
        <v>-4.5750885614558499</v>
      </c>
      <c r="J192" s="28">
        <v>4.7601858197319399E-6</v>
      </c>
      <c r="K192" s="29">
        <v>5.7738579246786599E-4</v>
      </c>
    </row>
    <row r="193" spans="1:11" x14ac:dyDescent="0.35">
      <c r="A193" s="9" t="str">
        <f>HYPERLINK("http://www.ensembl.org/id/WBGene00000784", "WBGene00000784")</f>
        <v>WBGene00000784</v>
      </c>
      <c r="B193" s="9" t="str">
        <f>HYPERLINK("http://www.ncbi.nlm.nih.gov/gene/179053", "179053")</f>
        <v>179053</v>
      </c>
      <c r="C193" s="9"/>
      <c r="D193" t="str">
        <f>"cpr-4"</f>
        <v>cpr-4</v>
      </c>
      <c r="E193" t="s">
        <v>200</v>
      </c>
      <c r="F193" t="s">
        <v>11</v>
      </c>
      <c r="G193" t="s">
        <v>187</v>
      </c>
      <c r="H193" s="12">
        <v>-2.37636728672845</v>
      </c>
      <c r="I193" s="20">
        <v>-4.5745337805945496</v>
      </c>
      <c r="J193" s="28">
        <v>4.7728159941730502E-6</v>
      </c>
      <c r="K193" s="29">
        <v>5.7738579246786599E-4</v>
      </c>
    </row>
    <row r="194" spans="1:11" x14ac:dyDescent="0.35">
      <c r="A194" s="9" t="str">
        <f>HYPERLINK("http://www.ensembl.org/id/WBGene00003096", "WBGene00003096")</f>
        <v>WBGene00003096</v>
      </c>
      <c r="B194" s="9" t="str">
        <f>HYPERLINK("http://www.ncbi.nlm.nih.gov/gene/178772", "178772")</f>
        <v>178772</v>
      </c>
      <c r="C194" s="9"/>
      <c r="D194" t="str">
        <f>"lys-7"</f>
        <v>lys-7</v>
      </c>
      <c r="E194" t="s">
        <v>201</v>
      </c>
      <c r="F194" t="s">
        <v>11</v>
      </c>
      <c r="G194" t="s">
        <v>202</v>
      </c>
      <c r="H194" s="12">
        <v>-2.3732769182847999</v>
      </c>
      <c r="I194" s="20">
        <v>-4.5703202242995804</v>
      </c>
      <c r="J194" s="28">
        <v>4.8697952018796101E-6</v>
      </c>
      <c r="K194" s="29">
        <v>5.8604941632619905E-4</v>
      </c>
    </row>
    <row r="195" spans="1:11" x14ac:dyDescent="0.35">
      <c r="A195" s="9" t="str">
        <f>HYPERLINK("http://www.ensembl.org/id/WBGene00003091", "WBGene00003091")</f>
        <v>WBGene00003091</v>
      </c>
      <c r="B195" s="9" t="str">
        <f>HYPERLINK("http://www.ncbi.nlm.nih.gov/gene/179429", "179429")</f>
        <v>179429</v>
      </c>
      <c r="C195" s="9"/>
      <c r="D195" t="str">
        <f>"lys-2"</f>
        <v>lys-2</v>
      </c>
      <c r="E195" t="s">
        <v>203</v>
      </c>
      <c r="F195" t="s">
        <v>11</v>
      </c>
      <c r="G195" t="s">
        <v>202</v>
      </c>
      <c r="H195" s="12">
        <v>-3.40138007131947</v>
      </c>
      <c r="I195" s="20">
        <v>-4.5614274931880896</v>
      </c>
      <c r="J195" s="28">
        <v>5.0807020943750396E-6</v>
      </c>
      <c r="K195" s="29">
        <v>6.0826270773383197E-4</v>
      </c>
    </row>
    <row r="196" spans="1:11" x14ac:dyDescent="0.35">
      <c r="A196" s="9" t="str">
        <f>HYPERLINK("http://www.ensembl.org/id/WBGene00003864", "WBGene00003864")</f>
        <v>WBGene00003864</v>
      </c>
      <c r="B196" s="9" t="str">
        <f>HYPERLINK("http://www.ncbi.nlm.nih.gov/gene/177703", "177703")</f>
        <v>177703</v>
      </c>
      <c r="C196" s="9"/>
      <c r="D196" t="str">
        <f>"oma-1"</f>
        <v>oma-1</v>
      </c>
      <c r="E196" t="s">
        <v>204</v>
      </c>
      <c r="F196" t="s">
        <v>11</v>
      </c>
      <c r="G196" t="s">
        <v>51</v>
      </c>
      <c r="H196" s="12">
        <v>-2.3867578352654202</v>
      </c>
      <c r="I196" s="20">
        <v>-4.5602624293778096</v>
      </c>
      <c r="J196" s="28">
        <v>5.1089732713186799E-6</v>
      </c>
      <c r="K196" s="29">
        <v>6.0849451756231701E-4</v>
      </c>
    </row>
    <row r="197" spans="1:11" x14ac:dyDescent="0.35">
      <c r="A197" s="9" t="str">
        <f>HYPERLINK("http://www.ensembl.org/id/WBGene00000723", "WBGene00000723")</f>
        <v>WBGene00000723</v>
      </c>
      <c r="B197" s="9" t="str">
        <f>HYPERLINK("http://www.ncbi.nlm.nih.gov/gene/181814", "181814")</f>
        <v>181814</v>
      </c>
      <c r="C197" s="9"/>
      <c r="D197" t="str">
        <f>"col-150"</f>
        <v>col-150</v>
      </c>
      <c r="E197" t="s">
        <v>40</v>
      </c>
      <c r="F197" t="s">
        <v>11</v>
      </c>
      <c r="G197" t="s">
        <v>41</v>
      </c>
      <c r="H197" s="12">
        <v>3.02438624940284</v>
      </c>
      <c r="I197" s="20">
        <v>4.5574080502303698</v>
      </c>
      <c r="J197" s="28">
        <v>5.1788750368813303E-6</v>
      </c>
      <c r="K197" s="29">
        <v>6.1365685437015402E-4</v>
      </c>
    </row>
    <row r="198" spans="1:11" x14ac:dyDescent="0.35">
      <c r="A198" s="9" t="str">
        <f>HYPERLINK("http://www.ensembl.org/id/WBGene00010516", "WBGene00010516")</f>
        <v>WBGene00010516</v>
      </c>
      <c r="B198" s="9" t="str">
        <f>HYPERLINK("http://www.ncbi.nlm.nih.gov/gene/186898", "186898")</f>
        <v>186898</v>
      </c>
      <c r="C198" s="9"/>
      <c r="D198" t="str">
        <f>"K02E11.7"</f>
        <v>K02E11.7</v>
      </c>
      <c r="F198" t="s">
        <v>11</v>
      </c>
      <c r="H198" s="12">
        <v>2.88043616395499</v>
      </c>
      <c r="I198" s="20">
        <v>4.5541919720039203</v>
      </c>
      <c r="J198" s="28">
        <v>5.2587317165338099E-6</v>
      </c>
      <c r="K198" s="29">
        <v>6.1679317280319897E-4</v>
      </c>
    </row>
    <row r="199" spans="1:11" x14ac:dyDescent="0.35">
      <c r="A199" s="9" t="str">
        <f>HYPERLINK("http://www.ensembl.org/id/WBGene00006583", "WBGene00006583")</f>
        <v>WBGene00006583</v>
      </c>
      <c r="B199" s="9" t="str">
        <f>HYPERLINK("http://www.ncbi.nlm.nih.gov/gene/174612", "174612")</f>
        <v>174612</v>
      </c>
      <c r="C199" s="9"/>
      <c r="D199" t="str">
        <f>"tnc-2"</f>
        <v>tnc-2</v>
      </c>
      <c r="E199" t="s">
        <v>205</v>
      </c>
      <c r="F199" t="s">
        <v>11</v>
      </c>
      <c r="G199" t="s">
        <v>206</v>
      </c>
      <c r="H199" s="12">
        <v>2.5546602834858398</v>
      </c>
      <c r="I199" s="20">
        <v>4.5542102145550603</v>
      </c>
      <c r="J199" s="28">
        <v>5.2582754385458299E-6</v>
      </c>
      <c r="K199" s="29">
        <v>6.1679317280319897E-4</v>
      </c>
    </row>
    <row r="200" spans="1:11" x14ac:dyDescent="0.35">
      <c r="A200" s="9" t="str">
        <f>HYPERLINK("http://www.ensembl.org/id/WBGene00002136", "WBGene00002136")</f>
        <v>WBGene00002136</v>
      </c>
      <c r="B200" s="9" t="str">
        <f>HYPERLINK("http://www.ncbi.nlm.nih.gov/gene/172488", "172488")</f>
        <v>172488</v>
      </c>
      <c r="C200" s="9"/>
      <c r="D200" t="str">
        <f>"inx-14"</f>
        <v>inx-14</v>
      </c>
      <c r="E200" t="s">
        <v>207</v>
      </c>
      <c r="F200" t="s">
        <v>11</v>
      </c>
      <c r="H200" s="12">
        <v>-2.5703748013027199</v>
      </c>
      <c r="I200" s="20">
        <v>-4.5455583176166403</v>
      </c>
      <c r="J200" s="28">
        <v>5.4789823946943E-6</v>
      </c>
      <c r="K200" s="29">
        <v>6.3938064248387095E-4</v>
      </c>
    </row>
    <row r="201" spans="1:11" x14ac:dyDescent="0.35">
      <c r="A201" s="9" t="str">
        <f>HYPERLINK("http://www.ensembl.org/id/WBGene00044260", "WBGene00044260")</f>
        <v>WBGene00044260</v>
      </c>
      <c r="B201" s="9" t="str">
        <f>HYPERLINK("http://www.ncbi.nlm.nih.gov/gene/3565150", "3565150")</f>
        <v>3565150</v>
      </c>
      <c r="C201" s="9"/>
      <c r="D201" t="str">
        <f>"Y87G2A.19"</f>
        <v>Y87G2A.19</v>
      </c>
      <c r="F201" t="s">
        <v>11</v>
      </c>
      <c r="G201" t="s">
        <v>208</v>
      </c>
      <c r="H201" s="12">
        <v>2.9003094835460499</v>
      </c>
      <c r="I201" s="20">
        <v>4.5413579811772804</v>
      </c>
      <c r="J201" s="28">
        <v>5.5893031736374698E-6</v>
      </c>
      <c r="K201" s="29">
        <v>6.4897708105561504E-4</v>
      </c>
    </row>
    <row r="202" spans="1:11" x14ac:dyDescent="0.35">
      <c r="A202" s="9" t="str">
        <f>HYPERLINK("http://www.ensembl.org/id/WBGene00020016", "WBGene00020016")</f>
        <v>WBGene00020016</v>
      </c>
      <c r="B202" s="9" t="str">
        <f>HYPERLINK("http://www.ncbi.nlm.nih.gov/gene/178572", "178572")</f>
        <v>178572</v>
      </c>
      <c r="C202" s="9" t="str">
        <f>HYPERLINK("http://www.ncbi.nlm.nih.gov/gene/3988", "3988")</f>
        <v>3988</v>
      </c>
      <c r="D202" t="str">
        <f>"lipl-3"</f>
        <v>lipl-3</v>
      </c>
      <c r="E202" t="s">
        <v>18</v>
      </c>
      <c r="F202" t="s">
        <v>11</v>
      </c>
      <c r="G202" t="s">
        <v>209</v>
      </c>
      <c r="H202" s="12">
        <v>-4.5433140099517804</v>
      </c>
      <c r="I202" s="20">
        <v>-4.53693764949971</v>
      </c>
      <c r="J202" s="28">
        <v>5.7076972220286897E-6</v>
      </c>
      <c r="K202" s="29">
        <v>6.5612961200096898E-4</v>
      </c>
    </row>
    <row r="203" spans="1:11" x14ac:dyDescent="0.35">
      <c r="A203" s="9" t="str">
        <f>HYPERLINK("http://www.ensembl.org/id/WBGene00011429", "WBGene00011429")</f>
        <v>WBGene00011429</v>
      </c>
      <c r="B203" s="9" t="str">
        <f>HYPERLINK("http://www.ncbi.nlm.nih.gov/gene/179530", "179530")</f>
        <v>179530</v>
      </c>
      <c r="C203" s="9"/>
      <c r="D203" t="str">
        <f>"T04C12.7"</f>
        <v>T04C12.7</v>
      </c>
      <c r="F203" t="s">
        <v>11</v>
      </c>
      <c r="G203" t="s">
        <v>25</v>
      </c>
      <c r="H203" s="12">
        <v>3.5282666270788301</v>
      </c>
      <c r="I203" s="20">
        <v>4.5372003782570101</v>
      </c>
      <c r="J203" s="28">
        <v>5.7005937156149301E-6</v>
      </c>
      <c r="K203" s="29">
        <v>6.5612961200096898E-4</v>
      </c>
    </row>
    <row r="204" spans="1:11" x14ac:dyDescent="0.35">
      <c r="A204" s="9" t="str">
        <f>HYPERLINK("http://www.ensembl.org/id/WBGene00011891", "WBGene00011891")</f>
        <v>WBGene00011891</v>
      </c>
      <c r="B204" s="9" t="str">
        <f>HYPERLINK("http://www.ncbi.nlm.nih.gov/gene/179474", "179474")</f>
        <v>179474</v>
      </c>
      <c r="C204" s="9"/>
      <c r="D204" t="str">
        <f>"del-6"</f>
        <v>del-6</v>
      </c>
      <c r="E204" t="s">
        <v>210</v>
      </c>
      <c r="F204" t="s">
        <v>11</v>
      </c>
      <c r="G204" t="s">
        <v>211</v>
      </c>
      <c r="H204" s="12">
        <v>2.3460687379057301</v>
      </c>
      <c r="I204" s="20">
        <v>4.51768810521693</v>
      </c>
      <c r="J204" s="28">
        <v>6.2518481438831503E-6</v>
      </c>
      <c r="K204" s="29">
        <v>7.1512476837903003E-4</v>
      </c>
    </row>
    <row r="205" spans="1:11" x14ac:dyDescent="0.35">
      <c r="A205" s="9" t="str">
        <f>HYPERLINK("http://www.ensembl.org/id/WBGene00017621", "WBGene00017621")</f>
        <v>WBGene00017621</v>
      </c>
      <c r="B205" s="9" t="str">
        <f>HYPERLINK("http://www.ncbi.nlm.nih.gov/gene/184707", "184707")</f>
        <v>184707</v>
      </c>
      <c r="C205" s="9"/>
      <c r="D205" t="str">
        <f>"F20A1.10"</f>
        <v>F20A1.10</v>
      </c>
      <c r="F205" t="s">
        <v>11</v>
      </c>
      <c r="H205" s="12">
        <v>2.3406386918570901</v>
      </c>
      <c r="I205" s="20">
        <v>4.5155059333516503</v>
      </c>
      <c r="J205" s="28">
        <v>6.3165777952418396E-6</v>
      </c>
      <c r="K205" s="29">
        <v>7.1896968737368398E-4</v>
      </c>
    </row>
    <row r="206" spans="1:11" x14ac:dyDescent="0.35">
      <c r="A206" s="9" t="str">
        <f>HYPERLINK("http://www.ensembl.org/id/WBGene00009968", "WBGene00009968")</f>
        <v>WBGene00009968</v>
      </c>
      <c r="B206" s="9" t="str">
        <f>HYPERLINK("http://www.ncbi.nlm.nih.gov/gene/179523", "179523")</f>
        <v>179523</v>
      </c>
      <c r="C206" s="9"/>
      <c r="D206" t="str">
        <f>"fig-1"</f>
        <v>fig-1</v>
      </c>
      <c r="F206" t="s">
        <v>11</v>
      </c>
      <c r="G206" t="s">
        <v>25</v>
      </c>
      <c r="H206" s="12">
        <v>2.4898646392473398</v>
      </c>
      <c r="I206" s="20">
        <v>4.5048025512295302</v>
      </c>
      <c r="J206" s="28">
        <v>6.6434684289486899E-6</v>
      </c>
      <c r="K206" s="29">
        <v>7.5247049764357097E-4</v>
      </c>
    </row>
    <row r="207" spans="1:11" x14ac:dyDescent="0.35">
      <c r="A207" s="9" t="str">
        <f>HYPERLINK("http://www.ensembl.org/id/WBGene00000739", "WBGene00000739")</f>
        <v>WBGene00000739</v>
      </c>
      <c r="B207" s="9" t="str">
        <f>HYPERLINK("http://www.ncbi.nlm.nih.gov/gene/180902", "180902")</f>
        <v>180902</v>
      </c>
      <c r="C207" s="9"/>
      <c r="D207" t="str">
        <f>"col-166"</f>
        <v>col-166</v>
      </c>
      <c r="E207" t="s">
        <v>40</v>
      </c>
      <c r="F207" t="s">
        <v>11</v>
      </c>
      <c r="G207" t="s">
        <v>41</v>
      </c>
      <c r="H207" s="12">
        <v>2.3088818312283101</v>
      </c>
      <c r="I207" s="20">
        <v>4.48572279614796</v>
      </c>
      <c r="J207" s="28">
        <v>7.2667167954109697E-6</v>
      </c>
      <c r="K207" s="29">
        <v>8.1050607904673097E-4</v>
      </c>
    </row>
    <row r="208" spans="1:11" x14ac:dyDescent="0.35">
      <c r="A208" s="9" t="str">
        <f>HYPERLINK("http://www.ensembl.org/id/WBGene00001074", "WBGene00001074")</f>
        <v>WBGene00001074</v>
      </c>
      <c r="B208" s="9" t="str">
        <f>HYPERLINK("http://www.ncbi.nlm.nih.gov/gene/177187", "177187")</f>
        <v>177187</v>
      </c>
      <c r="C208" s="9"/>
      <c r="D208" t="str">
        <f>"dpy-13"</f>
        <v>dpy-13</v>
      </c>
      <c r="E208" t="s">
        <v>212</v>
      </c>
      <c r="F208" t="s">
        <v>11</v>
      </c>
      <c r="G208" t="s">
        <v>152</v>
      </c>
      <c r="H208" s="12">
        <v>10.4679862929435</v>
      </c>
      <c r="I208" s="20">
        <v>4.4849088432854698</v>
      </c>
      <c r="J208" s="28">
        <v>7.29451128844081E-6</v>
      </c>
      <c r="K208" s="29">
        <v>8.1050607904673097E-4</v>
      </c>
    </row>
    <row r="209" spans="1:11" x14ac:dyDescent="0.35">
      <c r="A209" s="9" t="str">
        <f>HYPERLINK("http://www.ensembl.org/id/WBGene00009096", "WBGene00009096")</f>
        <v>WBGene00009096</v>
      </c>
      <c r="B209" s="9" t="str">
        <f>HYPERLINK("http://www.ncbi.nlm.nih.gov/gene/259653", "259653")</f>
        <v>259653</v>
      </c>
      <c r="C209" s="9"/>
      <c r="D209" t="str">
        <f>"fipr-1"</f>
        <v>fipr-1</v>
      </c>
      <c r="E209" t="s">
        <v>28</v>
      </c>
      <c r="F209" t="s">
        <v>11</v>
      </c>
      <c r="H209" s="12">
        <v>2.3014699579897</v>
      </c>
      <c r="I209" s="20">
        <v>4.4878960047813097</v>
      </c>
      <c r="J209" s="28">
        <v>7.19300237966797E-6</v>
      </c>
      <c r="K209" s="29">
        <v>8.1050607904673097E-4</v>
      </c>
    </row>
    <row r="210" spans="1:11" x14ac:dyDescent="0.35">
      <c r="A210" s="9" t="str">
        <f>HYPERLINK("http://www.ensembl.org/id/WBGene00194855", "WBGene00194855")</f>
        <v>WBGene00194855</v>
      </c>
      <c r="B210" s="9" t="str">
        <f>HYPERLINK("http://www.ncbi.nlm.nih.gov/gene/13191537", "13191537")</f>
        <v>13191537</v>
      </c>
      <c r="C210" s="9"/>
      <c r="D210" t="str">
        <f>"Y75B8A.44"</f>
        <v>Y75B8A.44</v>
      </c>
      <c r="F210" t="s">
        <v>11</v>
      </c>
      <c r="G210" t="s">
        <v>25</v>
      </c>
      <c r="H210" s="12">
        <v>4.3487460983878803</v>
      </c>
      <c r="I210" s="20">
        <v>4.4848604123359097</v>
      </c>
      <c r="J210" s="28">
        <v>7.2961682870994497E-6</v>
      </c>
      <c r="K210" s="29">
        <v>8.1050607904673097E-4</v>
      </c>
    </row>
    <row r="211" spans="1:11" x14ac:dyDescent="0.35">
      <c r="A211" s="9" t="str">
        <f>HYPERLINK("http://www.ensembl.org/id/WBGene00003228", "WBGene00003228")</f>
        <v>WBGene00003228</v>
      </c>
      <c r="B211" s="9" t="str">
        <f>HYPERLINK("http://www.ncbi.nlm.nih.gov/gene/174836", "174836")</f>
        <v>174836</v>
      </c>
      <c r="C211" s="9"/>
      <c r="D211" t="str">
        <f>"mex-1"</f>
        <v>mex-1</v>
      </c>
      <c r="E211" t="s">
        <v>213</v>
      </c>
      <c r="F211" t="s">
        <v>11</v>
      </c>
      <c r="G211" t="s">
        <v>214</v>
      </c>
      <c r="H211" s="12">
        <v>-2.2944469632985198</v>
      </c>
      <c r="I211" s="20">
        <v>-4.4792622021148301</v>
      </c>
      <c r="J211" s="28">
        <v>7.4901481384057004E-6</v>
      </c>
      <c r="K211" s="29">
        <v>8.2807350663159E-4</v>
      </c>
    </row>
    <row r="212" spans="1:11" x14ac:dyDescent="0.35">
      <c r="A212" s="9" t="str">
        <f>HYPERLINK("http://www.ensembl.org/id/WBGene00000867", "WBGene00000867")</f>
        <v>WBGene00000867</v>
      </c>
      <c r="B212" s="9" t="str">
        <f>HYPERLINK("http://www.ncbi.nlm.nih.gov/gene/171993", "171993")</f>
        <v>171993</v>
      </c>
      <c r="C212" s="9"/>
      <c r="D212" t="str">
        <f>"cyb-2.2"</f>
        <v>cyb-2.2</v>
      </c>
      <c r="E212" t="s">
        <v>130</v>
      </c>
      <c r="F212" t="s">
        <v>11</v>
      </c>
      <c r="G212" t="s">
        <v>216</v>
      </c>
      <c r="H212" s="12">
        <v>-2.3848130323554901</v>
      </c>
      <c r="I212" s="20">
        <v>-4.4688048234904603</v>
      </c>
      <c r="J212" s="28">
        <v>7.8657860715341992E-6</v>
      </c>
      <c r="K212" s="29">
        <v>8.5860417384759204E-4</v>
      </c>
    </row>
    <row r="213" spans="1:11" x14ac:dyDescent="0.35">
      <c r="A213" s="9" t="str">
        <f>HYPERLINK("http://www.ensembl.org/id/WBGene00020684", "WBGene00020684")</f>
        <v>WBGene00020684</v>
      </c>
      <c r="B213" s="9" t="str">
        <f>HYPERLINK("http://www.ncbi.nlm.nih.gov/gene/177454", "177454")</f>
        <v>177454</v>
      </c>
      <c r="C213" s="9"/>
      <c r="D213" t="str">
        <f>"T22D1.5"</f>
        <v>T22D1.5</v>
      </c>
      <c r="F213" t="s">
        <v>11</v>
      </c>
      <c r="G213" t="s">
        <v>215</v>
      </c>
      <c r="H213" s="12">
        <v>-2.3621414168183099</v>
      </c>
      <c r="I213" s="20">
        <v>-4.4685760061902302</v>
      </c>
      <c r="J213" s="28">
        <v>7.8742033859586497E-6</v>
      </c>
      <c r="K213" s="29">
        <v>8.5860417384759204E-4</v>
      </c>
    </row>
    <row r="214" spans="1:11" x14ac:dyDescent="0.35">
      <c r="A214" s="9" t="str">
        <f>HYPERLINK("http://www.ensembl.org/id/WBGene00021460", "WBGene00021460")</f>
        <v>WBGene00021460</v>
      </c>
      <c r="B214" s="9" t="str">
        <f>HYPERLINK("http://www.ncbi.nlm.nih.gov/gene/171798", "171798")</f>
        <v>171798</v>
      </c>
      <c r="C214" s="9"/>
      <c r="D214" t="str">
        <f>"zwl-1"</f>
        <v>zwl-1</v>
      </c>
      <c r="F214" t="s">
        <v>11</v>
      </c>
      <c r="G214" t="s">
        <v>217</v>
      </c>
      <c r="H214" s="12">
        <v>-2.4828128152730899</v>
      </c>
      <c r="I214" s="20">
        <v>-4.4684787321175001</v>
      </c>
      <c r="J214" s="28">
        <v>7.8777843354838403E-6</v>
      </c>
      <c r="K214" s="29">
        <v>8.5860417384759204E-4</v>
      </c>
    </row>
    <row r="215" spans="1:11" x14ac:dyDescent="0.35">
      <c r="A215" s="9" t="str">
        <f>HYPERLINK("http://www.ensembl.org/id/WBGene00020910", "WBGene00020910")</f>
        <v>WBGene00020910</v>
      </c>
      <c r="B215" s="9" t="str">
        <f>HYPERLINK("http://www.ncbi.nlm.nih.gov/gene/189077", "189077")</f>
        <v>189077</v>
      </c>
      <c r="C215" s="9" t="str">
        <f>HYPERLINK("http://www.ncbi.nlm.nih.gov/gene/80168", "80168")</f>
        <v>80168</v>
      </c>
      <c r="D215" t="str">
        <f>"dgtr-1"</f>
        <v>dgtr-1</v>
      </c>
      <c r="E215" t="s">
        <v>218</v>
      </c>
      <c r="F215" t="s">
        <v>11</v>
      </c>
      <c r="G215" t="s">
        <v>219</v>
      </c>
      <c r="H215" s="12">
        <v>-3.0791632654616699</v>
      </c>
      <c r="I215" s="20">
        <v>-4.4664778939086203</v>
      </c>
      <c r="J215" s="28">
        <v>7.9517874607968993E-6</v>
      </c>
      <c r="K215" s="29">
        <v>8.6260094398672802E-4</v>
      </c>
    </row>
    <row r="216" spans="1:11" x14ac:dyDescent="0.35">
      <c r="A216" s="9" t="str">
        <f>HYPERLINK("http://www.ensembl.org/id/WBGene00000479", "WBGene00000479")</f>
        <v>WBGene00000479</v>
      </c>
      <c r="B216" s="9" t="str">
        <f>HYPERLINK("http://www.ncbi.nlm.nih.gov/gene/176061", "176061")</f>
        <v>176061</v>
      </c>
      <c r="C216" s="9" t="str">
        <f>HYPERLINK("http://www.ncbi.nlm.nih.gov/gene/1656", "1656")</f>
        <v>1656</v>
      </c>
      <c r="D216" t="str">
        <f>"cgh-1"</f>
        <v>cgh-1</v>
      </c>
      <c r="E216" t="s">
        <v>220</v>
      </c>
      <c r="F216" t="s">
        <v>11</v>
      </c>
      <c r="G216" t="s">
        <v>221</v>
      </c>
      <c r="H216" s="12">
        <v>-2.2784767260807599</v>
      </c>
      <c r="I216" s="20">
        <v>-4.4550113357483196</v>
      </c>
      <c r="J216" s="28">
        <v>8.3888762215972695E-6</v>
      </c>
      <c r="K216" s="29">
        <v>9.04225730791171E-4</v>
      </c>
    </row>
    <row r="217" spans="1:11" x14ac:dyDescent="0.35">
      <c r="A217" s="9" t="str">
        <f>HYPERLINK("http://www.ensembl.org/id/WBGene00010717", "WBGene00010717")</f>
        <v>WBGene00010717</v>
      </c>
      <c r="B217" s="9" t="str">
        <f>HYPERLINK("http://www.ncbi.nlm.nih.gov/gene/3565446", "3565446")</f>
        <v>3565446</v>
      </c>
      <c r="C217" s="9"/>
      <c r="D217" t="str">
        <f>"K09C8.7"</f>
        <v>K09C8.7</v>
      </c>
      <c r="F217" t="s">
        <v>11</v>
      </c>
      <c r="H217" s="12">
        <v>-4.23024835765254</v>
      </c>
      <c r="I217" s="20">
        <v>-4.4543756302000501</v>
      </c>
      <c r="J217" s="28">
        <v>8.4137683770493301E-6</v>
      </c>
      <c r="K217" s="29">
        <v>9.04225730791171E-4</v>
      </c>
    </row>
    <row r="218" spans="1:11" x14ac:dyDescent="0.35">
      <c r="A218" s="9" t="str">
        <f>HYPERLINK("http://www.ensembl.org/id/WBGene00001597", "WBGene00001597")</f>
        <v>WBGene00001597</v>
      </c>
      <c r="B218" s="9" t="str">
        <f>HYPERLINK("http://www.ncbi.nlm.nih.gov/gene/174174", "174174")</f>
        <v>174174</v>
      </c>
      <c r="C218" s="9"/>
      <c r="D218" t="str">
        <f>"gld-3"</f>
        <v>gld-3</v>
      </c>
      <c r="E218" t="s">
        <v>222</v>
      </c>
      <c r="F218" t="s">
        <v>11</v>
      </c>
      <c r="H218" s="12">
        <v>-2.31664156170811</v>
      </c>
      <c r="I218" s="20">
        <v>-4.4491314904319399</v>
      </c>
      <c r="J218" s="28">
        <v>8.6218222614998802E-6</v>
      </c>
      <c r="K218" s="29">
        <v>9.1847872091527E-4</v>
      </c>
    </row>
    <row r="219" spans="1:11" x14ac:dyDescent="0.35">
      <c r="A219" s="9" t="str">
        <f>HYPERLINK("http://www.ensembl.org/id/WBGene00021658", "WBGene00021658")</f>
        <v>WBGene00021658</v>
      </c>
      <c r="B219" s="9" t="str">
        <f>HYPERLINK("http://www.ncbi.nlm.nih.gov/gene/171625", "171625")</f>
        <v>171625</v>
      </c>
      <c r="C219" s="9"/>
      <c r="D219" t="str">
        <f>"Y48G1A.2"</f>
        <v>Y48G1A.2</v>
      </c>
      <c r="F219" t="s">
        <v>11</v>
      </c>
      <c r="H219" s="12">
        <v>-2.7859530115792399</v>
      </c>
      <c r="I219" s="20">
        <v>-4.4490300970838002</v>
      </c>
      <c r="J219" s="28">
        <v>8.6258929472264092E-6</v>
      </c>
      <c r="K219" s="29">
        <v>9.1847872091527E-4</v>
      </c>
    </row>
    <row r="220" spans="1:11" x14ac:dyDescent="0.35">
      <c r="A220" s="9" t="str">
        <f>HYPERLINK("http://www.ensembl.org/id/WBGene00000503", "WBGene00000503")</f>
        <v>WBGene00000503</v>
      </c>
      <c r="B220" s="9" t="str">
        <f>HYPERLINK("http://www.ncbi.nlm.nih.gov/gene/180628", "180628")</f>
        <v>180628</v>
      </c>
      <c r="C220" s="9" t="str">
        <f>HYPERLINK("http://www.ncbi.nlm.nih.gov/gene/1118", "1118")</f>
        <v>1118</v>
      </c>
      <c r="D220" t="str">
        <f>"cht-1"</f>
        <v>cht-1</v>
      </c>
      <c r="E220" t="s">
        <v>223</v>
      </c>
      <c r="F220" t="s">
        <v>11</v>
      </c>
      <c r="G220" t="s">
        <v>224</v>
      </c>
      <c r="H220" s="12">
        <v>2.3630330999362701</v>
      </c>
      <c r="I220" s="20">
        <v>4.4377444828728398</v>
      </c>
      <c r="J220" s="28">
        <v>9.0906441454465001E-6</v>
      </c>
      <c r="K220" s="29">
        <v>9.6352487901232495E-4</v>
      </c>
    </row>
    <row r="221" spans="1:11" x14ac:dyDescent="0.35">
      <c r="A221" s="9" t="str">
        <f>HYPERLINK("http://www.ensembl.org/id/WBGene00003413", "WBGene00003413")</f>
        <v>WBGene00003413</v>
      </c>
      <c r="B221" s="9" t="str">
        <f>HYPERLINK("http://www.ncbi.nlm.nih.gov/gene/180289", "180289")</f>
        <v>180289</v>
      </c>
      <c r="C221" s="9" t="str">
        <f>HYPERLINK("http://www.ncbi.nlm.nih.gov/gene/8714", "8714")</f>
        <v>8714</v>
      </c>
      <c r="D221" t="str">
        <f>"mrp-7"</f>
        <v>mrp-7</v>
      </c>
      <c r="F221" t="s">
        <v>11</v>
      </c>
      <c r="G221" t="s">
        <v>225</v>
      </c>
      <c r="H221" s="12">
        <v>-2.35970395279177</v>
      </c>
      <c r="I221" s="20">
        <v>-4.4302350773413899</v>
      </c>
      <c r="J221" s="28">
        <v>9.4130421013077199E-6</v>
      </c>
      <c r="K221" s="29">
        <v>9.9085490178571294E-4</v>
      </c>
    </row>
    <row r="222" spans="1:11" x14ac:dyDescent="0.35">
      <c r="A222" s="9" t="str">
        <f>HYPERLINK("http://www.ensembl.org/id/WBGene00001514", "WBGene00001514")</f>
        <v>WBGene00001514</v>
      </c>
      <c r="B222" s="9" t="str">
        <f>HYPERLINK("http://www.ncbi.nlm.nih.gov/gene/175776", "175776")</f>
        <v>175776</v>
      </c>
      <c r="C222" s="9"/>
      <c r="D222" t="str">
        <f>"xnd-1"</f>
        <v>xnd-1</v>
      </c>
      <c r="E222" t="s">
        <v>226</v>
      </c>
      <c r="F222" t="s">
        <v>11</v>
      </c>
      <c r="H222" s="12">
        <v>-2.6196851656995999</v>
      </c>
      <c r="I222" s="20">
        <v>-4.4297494541275597</v>
      </c>
      <c r="J222" s="28">
        <v>9.4342628924459799E-6</v>
      </c>
      <c r="K222" s="29">
        <v>9.9085490178571294E-4</v>
      </c>
    </row>
    <row r="223" spans="1:11" x14ac:dyDescent="0.35">
      <c r="A223" s="9" t="str">
        <f>HYPERLINK("http://www.ensembl.org/id/WBGene00017985", "WBGene00017985")</f>
        <v>WBGene00017985</v>
      </c>
      <c r="B223" s="9" t="str">
        <f>HYPERLINK("http://www.ncbi.nlm.nih.gov/gene/185201", "185201")</f>
        <v>185201</v>
      </c>
      <c r="C223" s="9"/>
      <c r="D223" t="str">
        <f>"neg-1"</f>
        <v>neg-1</v>
      </c>
      <c r="E223" t="s">
        <v>227</v>
      </c>
      <c r="F223" t="s">
        <v>11</v>
      </c>
      <c r="G223" t="s">
        <v>228</v>
      </c>
      <c r="H223" s="12">
        <v>-2.6929091915669598</v>
      </c>
      <c r="I223" s="20">
        <v>-4.42704262103336</v>
      </c>
      <c r="J223" s="28">
        <v>9.5533861227109395E-6</v>
      </c>
      <c r="K223" s="29">
        <v>9.9882597172560694E-4</v>
      </c>
    </row>
    <row r="224" spans="1:11" x14ac:dyDescent="0.35">
      <c r="A224" s="9" t="str">
        <f>HYPERLINK("http://www.ensembl.org/id/WBGene00021200", "WBGene00021200")</f>
        <v>WBGene00021200</v>
      </c>
      <c r="B224" s="9" t="str">
        <f>HYPERLINK("http://www.ncbi.nlm.nih.gov/gene/189467", "189467")</f>
        <v>189467</v>
      </c>
      <c r="C224" s="9"/>
      <c r="D224" t="str">
        <f>"cyp-31A3"</f>
        <v>cyp-31A3</v>
      </c>
      <c r="E224" t="s">
        <v>176</v>
      </c>
      <c r="F224" t="s">
        <v>11</v>
      </c>
      <c r="G224" t="s">
        <v>229</v>
      </c>
      <c r="H224" s="12">
        <v>-2.7047614843096599</v>
      </c>
      <c r="I224" s="20">
        <v>-4.42167169616744</v>
      </c>
      <c r="J224" s="28">
        <v>9.79401925955129E-6</v>
      </c>
      <c r="K224" s="29">
        <v>1.0193721126630301E-3</v>
      </c>
    </row>
    <row r="225" spans="1:11" x14ac:dyDescent="0.35">
      <c r="A225" s="9" t="str">
        <f>HYPERLINK("http://www.ensembl.org/id/WBGene00016586", "WBGene00016586")</f>
        <v>WBGene00016586</v>
      </c>
      <c r="B225" s="9" t="str">
        <f>HYPERLINK("http://www.ncbi.nlm.nih.gov/gene/178179", "178179")</f>
        <v>178179</v>
      </c>
      <c r="C225" s="9" t="str">
        <f>HYPERLINK("http://www.ncbi.nlm.nih.gov/gene/84179", "84179")</f>
        <v>84179</v>
      </c>
      <c r="D225" t="str">
        <f>"C42C1.8"</f>
        <v>C42C1.8</v>
      </c>
      <c r="F225" t="s">
        <v>11</v>
      </c>
      <c r="G225" t="s">
        <v>230</v>
      </c>
      <c r="H225" s="12">
        <v>-2.4196374059411001</v>
      </c>
      <c r="I225" s="20">
        <v>-4.4159897051142396</v>
      </c>
      <c r="J225" s="28">
        <v>1.00548869785202E-5</v>
      </c>
      <c r="K225" s="29">
        <v>1.04183057634837E-3</v>
      </c>
    </row>
    <row r="226" spans="1:11" x14ac:dyDescent="0.35">
      <c r="A226" s="9" t="str">
        <f>HYPERLINK("http://www.ensembl.org/id/WBGene00044756", "WBGene00044756")</f>
        <v>WBGene00044756</v>
      </c>
      <c r="B226" s="9" t="str">
        <f>HYPERLINK("http://www.ncbi.nlm.nih.gov/gene/4363022", "4363022")</f>
        <v>4363022</v>
      </c>
      <c r="C226" s="9"/>
      <c r="D226" t="str">
        <f>"F58F12.4"</f>
        <v>F58F12.4</v>
      </c>
      <c r="F226" t="s">
        <v>11</v>
      </c>
      <c r="G226" t="s">
        <v>25</v>
      </c>
      <c r="H226" s="12">
        <v>2.62851606465372</v>
      </c>
      <c r="I226" s="20">
        <v>4.4100047962889999</v>
      </c>
      <c r="J226" s="28">
        <v>1.0336832965024E-5</v>
      </c>
      <c r="K226" s="29">
        <v>1.0662627789725201E-3</v>
      </c>
    </row>
    <row r="227" spans="1:11" x14ac:dyDescent="0.35">
      <c r="A227" s="9" t="str">
        <f>HYPERLINK("http://www.ensembl.org/id/WBGene00303423", "WBGene00303423")</f>
        <v>WBGene00303423</v>
      </c>
      <c r="B227" s="9"/>
      <c r="C227" s="9"/>
      <c r="D227" t="str">
        <f>"F10D7.11"</f>
        <v>F10D7.11</v>
      </c>
      <c r="F227" t="s">
        <v>11</v>
      </c>
      <c r="H227" s="12">
        <v>2.9672284383596899</v>
      </c>
      <c r="I227" s="20">
        <v>4.4080612824622101</v>
      </c>
      <c r="J227" s="28">
        <v>1.04300036862073E-5</v>
      </c>
      <c r="K227" s="29">
        <v>1.07109184521558E-3</v>
      </c>
    </row>
    <row r="228" spans="1:11" x14ac:dyDescent="0.35">
      <c r="A228" s="9" t="str">
        <f>HYPERLINK("http://www.ensembl.org/id/WBGene00010036", "WBGene00010036")</f>
        <v>WBGene00010036</v>
      </c>
      <c r="B228" s="9" t="str">
        <f>HYPERLINK("http://www.ncbi.nlm.nih.gov/gene/186223", "186223")</f>
        <v>186223</v>
      </c>
      <c r="C228" s="9"/>
      <c r="D228" t="str">
        <f>"cpar-1"</f>
        <v>cpar-1</v>
      </c>
      <c r="E228" t="s">
        <v>231</v>
      </c>
      <c r="F228" t="s">
        <v>11</v>
      </c>
      <c r="G228" t="s">
        <v>232</v>
      </c>
      <c r="H228" s="12">
        <v>-2.8092367768080702</v>
      </c>
      <c r="I228" s="20">
        <v>-4.40283118813712</v>
      </c>
      <c r="J228" s="28">
        <v>1.0684730393117599E-5</v>
      </c>
      <c r="K228" s="29">
        <v>1.0923954887760001E-3</v>
      </c>
    </row>
    <row r="229" spans="1:11" x14ac:dyDescent="0.35">
      <c r="A229" s="9" t="str">
        <f>HYPERLINK("http://www.ensembl.org/id/WBGene00017660", "WBGene00017660")</f>
        <v>WBGene00017660</v>
      </c>
      <c r="B229" s="9" t="str">
        <f>HYPERLINK("http://www.ncbi.nlm.nih.gov/gene/179293", "179293")</f>
        <v>179293</v>
      </c>
      <c r="C229" s="9"/>
      <c r="D229" t="str">
        <f>"F21C10.11"</f>
        <v>F21C10.11</v>
      </c>
      <c r="F229" t="s">
        <v>11</v>
      </c>
      <c r="H229" s="12">
        <v>-3.0492554976930601</v>
      </c>
      <c r="I229" s="20">
        <v>-4.3939777858326803</v>
      </c>
      <c r="J229" s="28">
        <v>1.11295193573765E-5</v>
      </c>
      <c r="K229" s="29">
        <v>1.1278889222435999E-3</v>
      </c>
    </row>
    <row r="230" spans="1:11" x14ac:dyDescent="0.35">
      <c r="A230" s="9" t="str">
        <f>HYPERLINK("http://www.ensembl.org/id/WBGene00018950", "WBGene00018950")</f>
        <v>WBGene00018950</v>
      </c>
      <c r="B230" s="9" t="str">
        <f>HYPERLINK("http://www.ncbi.nlm.nih.gov/gene/176035", "176035")</f>
        <v>176035</v>
      </c>
      <c r="C230" s="9"/>
      <c r="D230" t="str">
        <f>"F56C9.6"</f>
        <v>F56C9.6</v>
      </c>
      <c r="F230" t="s">
        <v>11</v>
      </c>
      <c r="H230" s="12">
        <v>-2.4905065096110399</v>
      </c>
      <c r="I230" s="20">
        <v>-4.3948426090355097</v>
      </c>
      <c r="J230" s="28">
        <v>1.1085304136145299E-5</v>
      </c>
      <c r="K230" s="29">
        <v>1.1278889222435999E-3</v>
      </c>
    </row>
    <row r="231" spans="1:11" x14ac:dyDescent="0.35">
      <c r="A231" s="9" t="str">
        <f>HYPERLINK("http://www.ensembl.org/id/WBGene00007521", "WBGene00007521")</f>
        <v>WBGene00007521</v>
      </c>
      <c r="B231" s="9" t="str">
        <f>HYPERLINK("http://www.ncbi.nlm.nih.gov/gene/182517", "182517")</f>
        <v>182517</v>
      </c>
      <c r="C231" s="9"/>
      <c r="D231" t="str">
        <f>"C11E4.7"</f>
        <v>C11E4.7</v>
      </c>
      <c r="F231" t="s">
        <v>11</v>
      </c>
      <c r="H231" s="12">
        <v>2.7067956321654898</v>
      </c>
      <c r="I231" s="20">
        <v>4.3916279146864401</v>
      </c>
      <c r="J231" s="28">
        <v>1.12505114834427E-5</v>
      </c>
      <c r="K231" s="29">
        <v>1.1302398044558E-3</v>
      </c>
    </row>
    <row r="232" spans="1:11" x14ac:dyDescent="0.35">
      <c r="A232" s="9" t="str">
        <f>HYPERLINK("http://www.ensembl.org/id/WBGene00018480", "WBGene00018480")</f>
        <v>WBGene00018480</v>
      </c>
      <c r="B232" s="9" t="str">
        <f>HYPERLINK("http://www.ncbi.nlm.nih.gov/gene/185808", "185808")</f>
        <v>185808</v>
      </c>
      <c r="C232" s="9"/>
      <c r="D232" t="str">
        <f>"otpl-7"</f>
        <v>otpl-7</v>
      </c>
      <c r="E232" t="s">
        <v>233</v>
      </c>
      <c r="F232" t="s">
        <v>11</v>
      </c>
      <c r="G232" t="s">
        <v>234</v>
      </c>
      <c r="H232" s="12">
        <v>6.33556096031056</v>
      </c>
      <c r="I232" s="20">
        <v>4.3916272150283202</v>
      </c>
      <c r="J232" s="28">
        <v>1.12505476943147E-5</v>
      </c>
      <c r="K232" s="29">
        <v>1.1302398044558E-3</v>
      </c>
    </row>
    <row r="233" spans="1:11" x14ac:dyDescent="0.35">
      <c r="A233" s="9" t="str">
        <f>HYPERLINK("http://www.ensembl.org/id/WBGene00008596", "WBGene00008596")</f>
        <v>WBGene00008596</v>
      </c>
      <c r="B233" s="9" t="str">
        <f>HYPERLINK("http://www.ncbi.nlm.nih.gov/gene/184217", "184217")</f>
        <v>184217</v>
      </c>
      <c r="C233" s="9"/>
      <c r="D233" t="str">
        <f>"clec-54"</f>
        <v>clec-54</v>
      </c>
      <c r="E233" t="s">
        <v>46</v>
      </c>
      <c r="F233" t="s">
        <v>11</v>
      </c>
      <c r="G233" t="s">
        <v>47</v>
      </c>
      <c r="H233" s="12">
        <v>-8.0257613101826006</v>
      </c>
      <c r="I233" s="20">
        <v>-4.3778840959231102</v>
      </c>
      <c r="J233" s="28">
        <v>1.1983704663391299E-5</v>
      </c>
      <c r="K233" s="29">
        <v>1.1947769162010699E-3</v>
      </c>
    </row>
    <row r="234" spans="1:11" x14ac:dyDescent="0.35">
      <c r="A234" s="9" t="str">
        <f>HYPERLINK("http://www.ensembl.org/id/WBGene00020678", "WBGene00020678")</f>
        <v>WBGene00020678</v>
      </c>
      <c r="B234" s="9" t="str">
        <f>HYPERLINK("http://www.ncbi.nlm.nih.gov/gene/177234", "177234")</f>
        <v>177234</v>
      </c>
      <c r="C234" s="9"/>
      <c r="D234" t="str">
        <f>"T22B11.4"</f>
        <v>T22B11.4</v>
      </c>
      <c r="F234" t="s">
        <v>11</v>
      </c>
      <c r="G234" t="s">
        <v>235</v>
      </c>
      <c r="H234" s="12">
        <v>2.39174574807135</v>
      </c>
      <c r="I234" s="20">
        <v>4.3776537129799697</v>
      </c>
      <c r="J234" s="28">
        <v>1.19963751648337E-5</v>
      </c>
      <c r="K234" s="29">
        <v>1.1947769162010699E-3</v>
      </c>
    </row>
    <row r="235" spans="1:11" x14ac:dyDescent="0.35">
      <c r="A235" s="9" t="str">
        <f>HYPERLINK("http://www.ensembl.org/id/WBGene00011254", "WBGene00011254")</f>
        <v>WBGene00011254</v>
      </c>
      <c r="B235" s="9" t="str">
        <f>HYPERLINK("http://www.ncbi.nlm.nih.gov/gene/187844", "187844")</f>
        <v>187844</v>
      </c>
      <c r="C235" s="9"/>
      <c r="D235" t="str">
        <f>"R12G8.1"</f>
        <v>R12G8.1</v>
      </c>
      <c r="F235" t="s">
        <v>11</v>
      </c>
      <c r="G235" t="s">
        <v>236</v>
      </c>
      <c r="H235" s="12">
        <v>5.4099819124506299</v>
      </c>
      <c r="I235" s="20">
        <v>4.3751348258782397</v>
      </c>
      <c r="J235" s="28">
        <v>1.2135744539637E-5</v>
      </c>
      <c r="K235" s="29">
        <v>1.2034700143040899E-3</v>
      </c>
    </row>
    <row r="236" spans="1:11" x14ac:dyDescent="0.35">
      <c r="A236" s="9" t="str">
        <f>HYPERLINK("http://www.ensembl.org/id/WBGene00008628", "WBGene00008628")</f>
        <v>WBGene00008628</v>
      </c>
      <c r="B236" s="9" t="str">
        <f>HYPERLINK("http://www.ncbi.nlm.nih.gov/gene/184253", "184253")</f>
        <v>184253</v>
      </c>
      <c r="C236" s="9"/>
      <c r="D236" t="str">
        <f>"ttr-21"</f>
        <v>ttr-21</v>
      </c>
      <c r="E236" t="s">
        <v>16</v>
      </c>
      <c r="F236" t="s">
        <v>11</v>
      </c>
      <c r="G236" t="s">
        <v>237</v>
      </c>
      <c r="H236" s="12">
        <v>2.3138795773660599</v>
      </c>
      <c r="I236" s="20">
        <v>4.3630556261457603</v>
      </c>
      <c r="J236" s="28">
        <v>1.2825831465678201E-5</v>
      </c>
      <c r="K236" s="29">
        <v>1.2664686403673501E-3</v>
      </c>
    </row>
    <row r="237" spans="1:11" x14ac:dyDescent="0.35">
      <c r="A237" s="9" t="str">
        <f>HYPERLINK("http://www.ensembl.org/id/WBGene00015894", "WBGene00015894")</f>
        <v>WBGene00015894</v>
      </c>
      <c r="B237" s="9" t="str">
        <f>HYPERLINK("http://www.ncbi.nlm.nih.gov/gene/173940", "173940")</f>
        <v>173940</v>
      </c>
      <c r="C237" s="9"/>
      <c r="D237" t="str">
        <f>"acdh-2"</f>
        <v>acdh-2</v>
      </c>
      <c r="E237" t="s">
        <v>238</v>
      </c>
      <c r="F237" t="s">
        <v>11</v>
      </c>
      <c r="G237" t="s">
        <v>239</v>
      </c>
      <c r="H237" s="12">
        <v>2.93229243858532</v>
      </c>
      <c r="I237" s="20">
        <v>4.3560151492832402</v>
      </c>
      <c r="J237" s="28">
        <v>1.32451613394059E-5</v>
      </c>
      <c r="K237" s="29">
        <v>1.30016189169215E-3</v>
      </c>
    </row>
    <row r="238" spans="1:11" x14ac:dyDescent="0.35">
      <c r="A238" s="9" t="str">
        <f>HYPERLINK("http://www.ensembl.org/id/WBGene00003216", "WBGene00003216")</f>
        <v>WBGene00003216</v>
      </c>
      <c r="B238" s="9" t="str">
        <f>HYPERLINK("http://www.ncbi.nlm.nih.gov/gene/189470", "189470")</f>
        <v>189470</v>
      </c>
      <c r="C238" s="9"/>
      <c r="D238" t="str">
        <f>"memi-1"</f>
        <v>memi-1</v>
      </c>
      <c r="E238" t="s">
        <v>108</v>
      </c>
      <c r="F238" t="s">
        <v>11</v>
      </c>
      <c r="H238" s="12">
        <v>-2.8858628302450202</v>
      </c>
      <c r="I238" s="20">
        <v>-4.3554465813708703</v>
      </c>
      <c r="J238" s="28">
        <v>1.3279589995643899E-5</v>
      </c>
      <c r="K238" s="29">
        <v>1.30016189169215E-3</v>
      </c>
    </row>
    <row r="239" spans="1:11" x14ac:dyDescent="0.35">
      <c r="A239" s="9" t="str">
        <f>HYPERLINK("http://www.ensembl.org/id/WBGene00006588", "WBGene00006588")</f>
        <v>WBGene00006588</v>
      </c>
      <c r="B239" s="9" t="str">
        <f>HYPERLINK("http://www.ncbi.nlm.nih.gov/gene/181052", "181052")</f>
        <v>181052</v>
      </c>
      <c r="C239" s="9"/>
      <c r="D239" t="str">
        <f>"tnt-3"</f>
        <v>tnt-3</v>
      </c>
      <c r="E239" t="s">
        <v>240</v>
      </c>
      <c r="F239" t="s">
        <v>11</v>
      </c>
      <c r="G239" t="s">
        <v>241</v>
      </c>
      <c r="H239" s="12">
        <v>2.4167330765780499</v>
      </c>
      <c r="I239" s="20">
        <v>4.3445579330208499</v>
      </c>
      <c r="J239" s="28">
        <v>1.39556411426478E-5</v>
      </c>
      <c r="K239" s="29">
        <v>1.36058668456549E-3</v>
      </c>
    </row>
    <row r="240" spans="1:11" x14ac:dyDescent="0.35">
      <c r="A240" s="9" t="str">
        <f>HYPERLINK("http://www.ensembl.org/id/WBGene00020811", "WBGene00020811")</f>
        <v>WBGene00020811</v>
      </c>
      <c r="B240" s="9" t="str">
        <f>HYPERLINK("http://www.ncbi.nlm.nih.gov/gene/188908", "188908")</f>
        <v>188908</v>
      </c>
      <c r="C240" s="9"/>
      <c r="D240" t="str">
        <f>"T25G12.3"</f>
        <v>T25G12.3</v>
      </c>
      <c r="F240" t="s">
        <v>11</v>
      </c>
      <c r="H240" s="12">
        <v>2.3270236240889699</v>
      </c>
      <c r="I240" s="20">
        <v>4.3410550252312197</v>
      </c>
      <c r="J240" s="28">
        <v>1.41800203924125E-5</v>
      </c>
      <c r="K240" s="29">
        <v>1.3766535764163201E-3</v>
      </c>
    </row>
    <row r="241" spans="1:11" x14ac:dyDescent="0.35">
      <c r="A241" s="9" t="str">
        <f>HYPERLINK("http://www.ensembl.org/id/WBGene00011501", "WBGene00011501")</f>
        <v>WBGene00011501</v>
      </c>
      <c r="B241" s="9" t="str">
        <f>HYPERLINK("http://www.ncbi.nlm.nih.gov/gene/176379", "176379")</f>
        <v>176379</v>
      </c>
      <c r="C241" s="9"/>
      <c r="D241" t="str">
        <f>"rmd-1"</f>
        <v>rmd-1</v>
      </c>
      <c r="E241" t="s">
        <v>242</v>
      </c>
      <c r="F241" t="s">
        <v>11</v>
      </c>
      <c r="G241" t="s">
        <v>243</v>
      </c>
      <c r="H241" s="12">
        <v>-2.2384606351356902</v>
      </c>
      <c r="I241" s="20">
        <v>-4.3318246543908101</v>
      </c>
      <c r="J241" s="28">
        <v>1.47878693305352E-5</v>
      </c>
      <c r="K241" s="29">
        <v>1.4295595260708301E-3</v>
      </c>
    </row>
    <row r="242" spans="1:11" x14ac:dyDescent="0.35">
      <c r="A242" s="9" t="str">
        <f>HYPERLINK("http://www.ensembl.org/id/WBGene00011404", "WBGene00011404")</f>
        <v>WBGene00011404</v>
      </c>
      <c r="B242" s="9" t="str">
        <f>HYPERLINK("http://www.ncbi.nlm.nih.gov/gene/179564", "179564")</f>
        <v>179564</v>
      </c>
      <c r="C242" s="9"/>
      <c r="D242" t="str">
        <f>"T03F7.7"</f>
        <v>T03F7.7</v>
      </c>
      <c r="F242" t="s">
        <v>11</v>
      </c>
      <c r="H242" s="12">
        <v>2.3252349638087302</v>
      </c>
      <c r="I242" s="20">
        <v>4.3309207859866996</v>
      </c>
      <c r="J242" s="28">
        <v>1.4848709696918501E-5</v>
      </c>
      <c r="K242" s="29">
        <v>1.4295595260708301E-3</v>
      </c>
    </row>
    <row r="243" spans="1:11" x14ac:dyDescent="0.35">
      <c r="A243" s="9" t="str">
        <f>HYPERLINK("http://www.ensembl.org/id/WBGene00000738", "WBGene00000738")</f>
        <v>WBGene00000738</v>
      </c>
      <c r="B243" s="9" t="str">
        <f>HYPERLINK("http://www.ncbi.nlm.nih.gov/gene/180710", "180710")</f>
        <v>180710</v>
      </c>
      <c r="C243" s="9"/>
      <c r="D243" t="str">
        <f>"col-165"</f>
        <v>col-165</v>
      </c>
      <c r="E243" t="s">
        <v>40</v>
      </c>
      <c r="F243" t="s">
        <v>11</v>
      </c>
      <c r="G243" t="s">
        <v>41</v>
      </c>
      <c r="H243" s="12">
        <v>-5.4875895774872401</v>
      </c>
      <c r="I243" s="20">
        <v>-4.3288975475067302</v>
      </c>
      <c r="J243" s="28">
        <v>1.4985762321333599E-5</v>
      </c>
      <c r="K243" s="29">
        <v>1.43190852173228E-3</v>
      </c>
    </row>
    <row r="244" spans="1:11" x14ac:dyDescent="0.35">
      <c r="A244" s="9" t="str">
        <f>HYPERLINK("http://www.ensembl.org/id/WBGene00003229", "WBGene00003229")</f>
        <v>WBGene00003229</v>
      </c>
      <c r="B244" s="9" t="str">
        <f>HYPERLINK("http://www.ncbi.nlm.nih.gov/gene/171607", "171607")</f>
        <v>171607</v>
      </c>
      <c r="C244" s="9"/>
      <c r="D244" t="str">
        <f>"mex-3"</f>
        <v>mex-3</v>
      </c>
      <c r="E244" t="s">
        <v>213</v>
      </c>
      <c r="F244" t="s">
        <v>11</v>
      </c>
      <c r="G244" t="s">
        <v>244</v>
      </c>
      <c r="H244" s="12">
        <v>-2.1972262969739602</v>
      </c>
      <c r="I244" s="20">
        <v>-4.3287316846166197</v>
      </c>
      <c r="J244" s="28">
        <v>1.4997051080204799E-5</v>
      </c>
      <c r="K244" s="29">
        <v>1.43190852173228E-3</v>
      </c>
    </row>
    <row r="245" spans="1:11" x14ac:dyDescent="0.35">
      <c r="A245" s="9" t="str">
        <f>HYPERLINK("http://www.ensembl.org/id/WBGene00007408", "WBGene00007408")</f>
        <v>WBGene00007408</v>
      </c>
      <c r="B245" s="9" t="str">
        <f>HYPERLINK("http://www.ncbi.nlm.nih.gov/gene/182360", "182360")</f>
        <v>182360</v>
      </c>
      <c r="C245" s="9"/>
      <c r="D245" t="str">
        <f>"C07B5.3"</f>
        <v>C07B5.3</v>
      </c>
      <c r="F245" t="s">
        <v>11</v>
      </c>
      <c r="H245" s="12">
        <v>3.8202464068647699</v>
      </c>
      <c r="I245" s="20">
        <v>4.3102409462763998</v>
      </c>
      <c r="J245" s="28">
        <v>1.6307676481547799E-5</v>
      </c>
      <c r="K245" s="29">
        <v>1.55063857112199E-3</v>
      </c>
    </row>
    <row r="246" spans="1:11" x14ac:dyDescent="0.35">
      <c r="A246" s="9" t="str">
        <f>HYPERLINK("http://www.ensembl.org/id/WBGene00012101", "WBGene00012101")</f>
        <v>WBGene00012101</v>
      </c>
      <c r="B246" s="9" t="str">
        <f>HYPERLINK("http://www.ncbi.nlm.nih.gov/gene/179599", "179599")</f>
        <v>179599</v>
      </c>
      <c r="C246" s="9"/>
      <c r="D246" t="str">
        <f>"zip-10"</f>
        <v>zip-10</v>
      </c>
      <c r="E246" t="s">
        <v>245</v>
      </c>
      <c r="F246" t="s">
        <v>11</v>
      </c>
      <c r="G246" t="s">
        <v>246</v>
      </c>
      <c r="H246" s="12">
        <v>-3.74261574720513</v>
      </c>
      <c r="I246" s="20">
        <v>-4.3071544016291599</v>
      </c>
      <c r="J246" s="28">
        <v>1.6536818180054502E-5</v>
      </c>
      <c r="K246" s="29">
        <v>1.5659824625751601E-3</v>
      </c>
    </row>
    <row r="247" spans="1:11" x14ac:dyDescent="0.35">
      <c r="A247" s="9" t="str">
        <f>HYPERLINK("http://www.ensembl.org/id/WBGene00020139", "WBGene00020139")</f>
        <v>WBGene00020139</v>
      </c>
      <c r="B247" s="9" t="str">
        <f>HYPERLINK("http://www.ncbi.nlm.nih.gov/gene/177646", "177646")</f>
        <v>177646</v>
      </c>
      <c r="C247" s="9" t="str">
        <f>HYPERLINK("http://www.ncbi.nlm.nih.gov/gene/64850", "64850")</f>
        <v>64850</v>
      </c>
      <c r="D247" t="str">
        <f>"eppl-1"</f>
        <v>eppl-1</v>
      </c>
      <c r="E247" t="s">
        <v>247</v>
      </c>
      <c r="F247" t="s">
        <v>11</v>
      </c>
      <c r="G247" t="s">
        <v>248</v>
      </c>
      <c r="H247" s="12">
        <v>-2.3211389161330001</v>
      </c>
      <c r="I247" s="20">
        <v>-4.3008826096143498</v>
      </c>
      <c r="J247" s="28">
        <v>1.7011916798680399E-5</v>
      </c>
      <c r="K247" s="29">
        <v>1.6043973451033101E-3</v>
      </c>
    </row>
    <row r="248" spans="1:11" x14ac:dyDescent="0.35">
      <c r="A248" s="9" t="str">
        <f>HYPERLINK("http://www.ensembl.org/id/WBGene00012152", "WBGene00012152")</f>
        <v>WBGene00012152</v>
      </c>
      <c r="B248" s="9" t="str">
        <f>HYPERLINK("http://www.ncbi.nlm.nih.gov/gene/3565147", "3565147")</f>
        <v>3565147</v>
      </c>
      <c r="C248" s="9"/>
      <c r="D248" t="str">
        <f>"cnc-10"</f>
        <v>cnc-10</v>
      </c>
      <c r="E248" t="s">
        <v>251</v>
      </c>
      <c r="F248" t="s">
        <v>11</v>
      </c>
      <c r="H248" s="12">
        <v>2.5214751940427398</v>
      </c>
      <c r="I248" s="20">
        <v>4.2933013763021997</v>
      </c>
      <c r="J248" s="28">
        <v>1.7603579744513502E-5</v>
      </c>
      <c r="K248" s="29">
        <v>1.6401141676481001E-3</v>
      </c>
    </row>
    <row r="249" spans="1:11" x14ac:dyDescent="0.35">
      <c r="A249" s="9" t="str">
        <f>HYPERLINK("http://www.ensembl.org/id/WBGene00001595", "WBGene00001595")</f>
        <v>WBGene00001595</v>
      </c>
      <c r="B249" s="9" t="str">
        <f>HYPERLINK("http://www.ncbi.nlm.nih.gov/gene/172532", "172532")</f>
        <v>172532</v>
      </c>
      <c r="C249" s="9"/>
      <c r="D249" t="str">
        <f>"gld-1"</f>
        <v>gld-1</v>
      </c>
      <c r="E249" t="s">
        <v>252</v>
      </c>
      <c r="F249" t="s">
        <v>11</v>
      </c>
      <c r="G249" t="s">
        <v>253</v>
      </c>
      <c r="H249" s="12">
        <v>-2.3175355844641699</v>
      </c>
      <c r="I249" s="20">
        <v>-4.2934263801440897</v>
      </c>
      <c r="J249" s="28">
        <v>1.7593666995435899E-5</v>
      </c>
      <c r="K249" s="29">
        <v>1.6401141676481001E-3</v>
      </c>
    </row>
    <row r="250" spans="1:11" x14ac:dyDescent="0.35">
      <c r="A250" s="9" t="str">
        <f>HYPERLINK("http://www.ensembl.org/id/WBGene00006310", "WBGene00006310")</f>
        <v>WBGene00006310</v>
      </c>
      <c r="B250" s="9" t="str">
        <f>HYPERLINK("http://www.ncbi.nlm.nih.gov/gene/183778", "183778")</f>
        <v>183778</v>
      </c>
      <c r="C250" s="9"/>
      <c r="D250" t="str">
        <f>"sul-3"</f>
        <v>sul-3</v>
      </c>
      <c r="E250" t="s">
        <v>249</v>
      </c>
      <c r="F250" t="s">
        <v>11</v>
      </c>
      <c r="G250" t="s">
        <v>250</v>
      </c>
      <c r="H250" s="12">
        <v>2.56986891850763</v>
      </c>
      <c r="I250" s="20">
        <v>4.2945204578661897</v>
      </c>
      <c r="J250" s="28">
        <v>1.75071338124309E-5</v>
      </c>
      <c r="K250" s="29">
        <v>1.6401141676481001E-3</v>
      </c>
    </row>
    <row r="251" spans="1:11" x14ac:dyDescent="0.35">
      <c r="A251" s="9" t="str">
        <f>HYPERLINK("http://www.ensembl.org/id/WBGene00007507", "WBGene00007507")</f>
        <v>WBGene00007507</v>
      </c>
      <c r="B251" s="9" t="str">
        <f>HYPERLINK("http://www.ncbi.nlm.nih.gov/gene/177767", "177767")</f>
        <v>177767</v>
      </c>
      <c r="C251" s="9" t="str">
        <f>HYPERLINK("http://www.ncbi.nlm.nih.gov/gene/95", "95")</f>
        <v>95</v>
      </c>
      <c r="D251" t="str">
        <f>"C10C5.3"</f>
        <v>C10C5.3</v>
      </c>
      <c r="E251" t="s">
        <v>254</v>
      </c>
      <c r="F251" t="s">
        <v>11</v>
      </c>
      <c r="G251" t="s">
        <v>255</v>
      </c>
      <c r="H251" s="12">
        <v>3.6123625624389399</v>
      </c>
      <c r="I251" s="20">
        <v>4.2913882131690899</v>
      </c>
      <c r="J251" s="28">
        <v>1.7755958297831701E-5</v>
      </c>
      <c r="K251" s="29">
        <v>1.64766735915542E-3</v>
      </c>
    </row>
    <row r="252" spans="1:11" x14ac:dyDescent="0.35">
      <c r="A252" s="9" t="str">
        <f>HYPERLINK("http://www.ensembl.org/id/WBGene00019600", "WBGene00019600")</f>
        <v>WBGene00019600</v>
      </c>
      <c r="B252" s="9" t="str">
        <f>HYPERLINK("http://www.ncbi.nlm.nih.gov/gene/178961", "178961")</f>
        <v>178961</v>
      </c>
      <c r="C252" s="9"/>
      <c r="D252" t="str">
        <f>"rga-3"</f>
        <v>rga-3</v>
      </c>
      <c r="E252" t="s">
        <v>256</v>
      </c>
      <c r="F252" t="s">
        <v>11</v>
      </c>
      <c r="G252" t="s">
        <v>257</v>
      </c>
      <c r="H252" s="12">
        <v>-2.4208378163518098</v>
      </c>
      <c r="I252" s="20">
        <v>-4.2903053815132504</v>
      </c>
      <c r="J252" s="28">
        <v>1.7842759150962998E-5</v>
      </c>
      <c r="K252" s="29">
        <v>1.64909917176861E-3</v>
      </c>
    </row>
    <row r="253" spans="1:11" x14ac:dyDescent="0.35">
      <c r="A253" s="9" t="str">
        <f>HYPERLINK("http://www.ensembl.org/id/WBGene00015698", "WBGene00015698")</f>
        <v>WBGene00015698</v>
      </c>
      <c r="B253" s="9" t="str">
        <f>HYPERLINK("http://www.ncbi.nlm.nih.gov/gene/172090", "172090")</f>
        <v>172090</v>
      </c>
      <c r="C253" s="9"/>
      <c r="D253" t="str">
        <f>"kca-1"</f>
        <v>kca-1</v>
      </c>
      <c r="E253" t="s">
        <v>258</v>
      </c>
      <c r="F253" t="s">
        <v>11</v>
      </c>
      <c r="G253" t="s">
        <v>259</v>
      </c>
      <c r="H253" s="12">
        <v>-3.38705193793349</v>
      </c>
      <c r="I253" s="20">
        <v>-4.2730139218306498</v>
      </c>
      <c r="J253" s="28">
        <v>1.9284841116009101E-5</v>
      </c>
      <c r="K253" s="29">
        <v>1.7752810311813E-3</v>
      </c>
    </row>
    <row r="254" spans="1:11" x14ac:dyDescent="0.35">
      <c r="A254" s="9" t="str">
        <f>HYPERLINK("http://www.ensembl.org/id/WBGene00010223", "WBGene00010223")</f>
        <v>WBGene00010223</v>
      </c>
      <c r="B254" s="9" t="str">
        <f>HYPERLINK("http://www.ncbi.nlm.nih.gov/gene/186482", "186482")</f>
        <v>186482</v>
      </c>
      <c r="C254" s="9"/>
      <c r="D254" t="str">
        <f>"F58A3.3"</f>
        <v>F58A3.3</v>
      </c>
      <c r="F254" t="s">
        <v>11</v>
      </c>
      <c r="H254" s="12">
        <v>2.44792713867351</v>
      </c>
      <c r="I254" s="20">
        <v>4.2715933270828899</v>
      </c>
      <c r="J254" s="28">
        <v>1.9408127151406501E-5</v>
      </c>
      <c r="K254" s="29">
        <v>1.77954042047777E-3</v>
      </c>
    </row>
    <row r="255" spans="1:11" x14ac:dyDescent="0.35">
      <c r="A255" s="9" t="str">
        <f>HYPERLINK("http://www.ensembl.org/id/WBGene00022034", "WBGene00022034")</f>
        <v>WBGene00022034</v>
      </c>
      <c r="B255" s="9" t="str">
        <f>HYPERLINK("http://www.ncbi.nlm.nih.gov/gene/171642", "171642")</f>
        <v>171642</v>
      </c>
      <c r="C255" s="9"/>
      <c r="D255" t="str">
        <f>"deps-1"</f>
        <v>deps-1</v>
      </c>
      <c r="F255" t="s">
        <v>11</v>
      </c>
      <c r="G255" t="s">
        <v>261</v>
      </c>
      <c r="H255" s="12">
        <v>-2.2809142606572799</v>
      </c>
      <c r="I255" s="20">
        <v>-4.26826823723008</v>
      </c>
      <c r="J255" s="28">
        <v>1.9699635719581098E-5</v>
      </c>
      <c r="K255" s="29">
        <v>1.7920463895143299E-3</v>
      </c>
    </row>
    <row r="256" spans="1:11" x14ac:dyDescent="0.35">
      <c r="A256" s="9" t="str">
        <f>HYPERLINK("http://www.ensembl.org/id/WBGene00022814", "WBGene00022814")</f>
        <v>WBGene00022814</v>
      </c>
      <c r="B256" s="9" t="str">
        <f>HYPERLINK("http://www.ncbi.nlm.nih.gov/gene/179159", "179159")</f>
        <v>179159</v>
      </c>
      <c r="C256" s="9"/>
      <c r="D256" t="str">
        <f>"ZK742.4"</f>
        <v>ZK742.4</v>
      </c>
      <c r="F256" t="s">
        <v>11</v>
      </c>
      <c r="G256" t="s">
        <v>260</v>
      </c>
      <c r="H256" s="12">
        <v>2.4282465523838499</v>
      </c>
      <c r="I256" s="20">
        <v>4.2688606330692602</v>
      </c>
      <c r="J256" s="28">
        <v>1.9647397308521701E-5</v>
      </c>
      <c r="K256" s="29">
        <v>1.7920463895143299E-3</v>
      </c>
    </row>
    <row r="257" spans="1:11" x14ac:dyDescent="0.35">
      <c r="A257" s="9" t="str">
        <f>HYPERLINK("http://www.ensembl.org/id/WBGene00011087", "WBGene00011087")</f>
        <v>WBGene00011087</v>
      </c>
      <c r="B257" s="9" t="str">
        <f>HYPERLINK("http://www.ncbi.nlm.nih.gov/gene/179654", "179654")</f>
        <v>179654</v>
      </c>
      <c r="C257" s="9"/>
      <c r="D257" t="str">
        <f>"R07B7.2"</f>
        <v>R07B7.2</v>
      </c>
      <c r="F257" t="s">
        <v>11</v>
      </c>
      <c r="H257" s="12">
        <v>-2.74039090266138</v>
      </c>
      <c r="I257" s="20">
        <v>-4.2553609167097699</v>
      </c>
      <c r="J257" s="28">
        <v>2.0871207149724902E-5</v>
      </c>
      <c r="K257" s="29">
        <v>1.8911769113786E-3</v>
      </c>
    </row>
    <row r="258" spans="1:11" x14ac:dyDescent="0.35">
      <c r="A258" s="9" t="str">
        <f>HYPERLINK("http://www.ensembl.org/id/WBGene00007931", "WBGene00007931")</f>
        <v>WBGene00007931</v>
      </c>
      <c r="B258" s="9" t="str">
        <f>HYPERLINK("http://www.ncbi.nlm.nih.gov/gene/179807", "179807")</f>
        <v>179807</v>
      </c>
      <c r="C258" s="9"/>
      <c r="D258" t="str">
        <f>"C34D1.4"</f>
        <v>C34D1.4</v>
      </c>
      <c r="F258" t="s">
        <v>11</v>
      </c>
      <c r="G258" t="s">
        <v>25</v>
      </c>
      <c r="H258" s="12">
        <v>2.60961290357274</v>
      </c>
      <c r="I258" s="20">
        <v>4.2538158802654502</v>
      </c>
      <c r="J258" s="28">
        <v>2.1015812337334001E-5</v>
      </c>
      <c r="K258" s="29">
        <v>1.8968412494782801E-3</v>
      </c>
    </row>
    <row r="259" spans="1:11" x14ac:dyDescent="0.35">
      <c r="A259" s="9" t="str">
        <f>HYPERLINK("http://www.ensembl.org/id/WBGene00007573", "WBGene00007573")</f>
        <v>WBGene00007573</v>
      </c>
      <c r="B259" s="9" t="str">
        <f>HYPERLINK("http://www.ncbi.nlm.nih.gov/gene/175473", "175473")</f>
        <v>175473</v>
      </c>
      <c r="C259" s="9"/>
      <c r="D259" t="str">
        <f>"C14B1.2"</f>
        <v>C14B1.2</v>
      </c>
      <c r="F259" t="s">
        <v>11</v>
      </c>
      <c r="G259" t="s">
        <v>25</v>
      </c>
      <c r="H259" s="12">
        <v>-2.29970987206391</v>
      </c>
      <c r="I259" s="20">
        <v>-4.2494330238726299</v>
      </c>
      <c r="J259" s="28">
        <v>2.1431227448690801E-5</v>
      </c>
      <c r="K259" s="29">
        <v>1.9156001882097401E-3</v>
      </c>
    </row>
    <row r="260" spans="1:11" x14ac:dyDescent="0.35">
      <c r="A260" s="9" t="str">
        <f>HYPERLINK("http://www.ensembl.org/id/WBGene00009393", "WBGene00009393")</f>
        <v>WBGene00009393</v>
      </c>
      <c r="B260" s="9" t="str">
        <f>HYPERLINK("http://www.ncbi.nlm.nih.gov/gene/174926", "174926")</f>
        <v>174926</v>
      </c>
      <c r="C260" s="9"/>
      <c r="D260" t="str">
        <f>"clec-62"</f>
        <v>clec-62</v>
      </c>
      <c r="E260" t="s">
        <v>46</v>
      </c>
      <c r="F260" t="s">
        <v>11</v>
      </c>
      <c r="G260" t="s">
        <v>264</v>
      </c>
      <c r="H260" s="12">
        <v>-2.8560824048530198</v>
      </c>
      <c r="I260" s="20">
        <v>-4.2491992679561204</v>
      </c>
      <c r="J260" s="28">
        <v>2.1453601404387902E-5</v>
      </c>
      <c r="K260" s="29">
        <v>1.9156001882097401E-3</v>
      </c>
    </row>
    <row r="261" spans="1:11" x14ac:dyDescent="0.35">
      <c r="A261" s="9" t="str">
        <f>HYPERLINK("http://www.ensembl.org/id/WBGene00004333", "WBGene00004333")</f>
        <v>WBGene00004333</v>
      </c>
      <c r="B261" s="9" t="str">
        <f>HYPERLINK("http://www.ncbi.nlm.nih.gov/gene/178295", "178295")</f>
        <v>178295</v>
      </c>
      <c r="C261" s="9"/>
      <c r="D261" t="str">
        <f>"rec-8"</f>
        <v>rec-8</v>
      </c>
      <c r="E261" t="s">
        <v>262</v>
      </c>
      <c r="F261" t="s">
        <v>11</v>
      </c>
      <c r="G261" t="s">
        <v>263</v>
      </c>
      <c r="H261" s="12">
        <v>-2.5588527329573298</v>
      </c>
      <c r="I261" s="20">
        <v>-4.2490034184250396</v>
      </c>
      <c r="J261" s="28">
        <v>2.1472364266697901E-5</v>
      </c>
      <c r="K261" s="29">
        <v>1.9156001882097401E-3</v>
      </c>
    </row>
    <row r="262" spans="1:11" x14ac:dyDescent="0.35">
      <c r="A262" s="9" t="str">
        <f>HYPERLINK("http://www.ensembl.org/id/WBGene00004244", "WBGene00004244")</f>
        <v>WBGene00004244</v>
      </c>
      <c r="B262" s="9" t="str">
        <f>HYPERLINK("http://www.ncbi.nlm.nih.gov/gene/174197", "174197")</f>
        <v>174197</v>
      </c>
      <c r="C262" s="9"/>
      <c r="D262" t="str">
        <f>"puf-8"</f>
        <v>puf-8</v>
      </c>
      <c r="E262" t="s">
        <v>48</v>
      </c>
      <c r="F262" t="s">
        <v>11</v>
      </c>
      <c r="G262" t="s">
        <v>265</v>
      </c>
      <c r="H262" s="12">
        <v>-2.5592544032362001</v>
      </c>
      <c r="I262" s="20">
        <v>-4.2408693219653797</v>
      </c>
      <c r="J262" s="28">
        <v>2.2265574578645301E-5</v>
      </c>
      <c r="K262" s="29">
        <v>1.9711431655715598E-3</v>
      </c>
    </row>
    <row r="263" spans="1:11" x14ac:dyDescent="0.35">
      <c r="A263" s="9" t="str">
        <f>HYPERLINK("http://www.ensembl.org/id/WBGene00022615", "WBGene00022615")</f>
        <v>WBGene00022615</v>
      </c>
      <c r="B263" s="9" t="str">
        <f>HYPERLINK("http://www.ncbi.nlm.nih.gov/gene/180776", "180776")</f>
        <v>180776</v>
      </c>
      <c r="C263" s="9"/>
      <c r="D263" t="str">
        <f>"ZC449.5"</f>
        <v>ZC449.5</v>
      </c>
      <c r="F263" t="s">
        <v>11</v>
      </c>
      <c r="G263" t="s">
        <v>25</v>
      </c>
      <c r="H263" s="12">
        <v>2.7991413429679901</v>
      </c>
      <c r="I263" s="20">
        <v>4.24134314858322</v>
      </c>
      <c r="J263" s="28">
        <v>2.22186137178648E-5</v>
      </c>
      <c r="K263" s="29">
        <v>1.9711431655715598E-3</v>
      </c>
    </row>
    <row r="264" spans="1:11" x14ac:dyDescent="0.35">
      <c r="A264" s="9" t="str">
        <f>HYPERLINK("http://www.ensembl.org/id/WBGene00011746", "WBGene00011746")</f>
        <v>WBGene00011746</v>
      </c>
      <c r="B264" s="9" t="str">
        <f>HYPERLINK("http://www.ncbi.nlm.nih.gov/gene/177817", "177817")</f>
        <v>177817</v>
      </c>
      <c r="C264" s="9"/>
      <c r="D264" t="str">
        <f>"T13F2.6"</f>
        <v>T13F2.6</v>
      </c>
      <c r="F264" t="s">
        <v>11</v>
      </c>
      <c r="H264" s="12">
        <v>-2.3430684741927701</v>
      </c>
      <c r="I264" s="20">
        <v>-4.2325898328626801</v>
      </c>
      <c r="J264" s="28">
        <v>2.3101559123233601E-5</v>
      </c>
      <c r="K264" s="29">
        <v>2.0373458973337302E-3</v>
      </c>
    </row>
    <row r="265" spans="1:11" x14ac:dyDescent="0.35">
      <c r="A265" s="9" t="str">
        <f>HYPERLINK("http://www.ensembl.org/id/WBGene00000083", "WBGene00000083")</f>
        <v>WBGene00000083</v>
      </c>
      <c r="B265" s="9" t="str">
        <f>HYPERLINK("http://www.ncbi.nlm.nih.gov/gene/181022", "181022")</f>
        <v>181022</v>
      </c>
      <c r="C265" s="9"/>
      <c r="D265" t="str">
        <f>"adt-2"</f>
        <v>adt-2</v>
      </c>
      <c r="E265" t="s">
        <v>268</v>
      </c>
      <c r="F265" t="s">
        <v>11</v>
      </c>
      <c r="G265" t="s">
        <v>269</v>
      </c>
      <c r="H265" s="12">
        <v>2.23049285743474</v>
      </c>
      <c r="I265" s="20">
        <v>4.2301071003759096</v>
      </c>
      <c r="J265" s="28">
        <v>2.3358007757095099E-5</v>
      </c>
      <c r="K265" s="29">
        <v>2.05199844083835E-3</v>
      </c>
    </row>
    <row r="266" spans="1:11" x14ac:dyDescent="0.35">
      <c r="A266" s="9" t="str">
        <f>HYPERLINK("http://www.ensembl.org/id/WBGene00003553", "WBGene00003553")</f>
        <v>WBGene00003553</v>
      </c>
      <c r="B266" s="9" t="str">
        <f>HYPERLINK("http://www.ncbi.nlm.nih.gov/gene/181208", "181208")</f>
        <v>181208</v>
      </c>
      <c r="C266" s="9"/>
      <c r="D266" t="str">
        <f>"nas-37"</f>
        <v>nas-37</v>
      </c>
      <c r="E266" t="s">
        <v>266</v>
      </c>
      <c r="F266" t="s">
        <v>11</v>
      </c>
      <c r="G266" t="s">
        <v>267</v>
      </c>
      <c r="H266" s="12">
        <v>2.4872225517737698</v>
      </c>
      <c r="I266" s="20">
        <v>4.2292677181422196</v>
      </c>
      <c r="J266" s="28">
        <v>2.3445321058656799E-5</v>
      </c>
      <c r="K266" s="29">
        <v>2.05199844083835E-3</v>
      </c>
    </row>
    <row r="267" spans="1:11" x14ac:dyDescent="0.35">
      <c r="A267" s="9" t="str">
        <f>HYPERLINK("http://www.ensembl.org/id/WBGene00009216", "WBGene00009216")</f>
        <v>WBGene00009216</v>
      </c>
      <c r="B267" s="9" t="str">
        <f>HYPERLINK("http://www.ncbi.nlm.nih.gov/gene/185062", "185062")</f>
        <v>185062</v>
      </c>
      <c r="C267" s="9"/>
      <c r="D267" t="str">
        <f>"F28D1.6"</f>
        <v>F28D1.6</v>
      </c>
      <c r="F267" t="s">
        <v>11</v>
      </c>
      <c r="G267" t="s">
        <v>25</v>
      </c>
      <c r="H267" s="12">
        <v>4.01926286582197</v>
      </c>
      <c r="I267" s="20">
        <v>4.2278608656458596</v>
      </c>
      <c r="J267" s="28">
        <v>2.35923600132894E-5</v>
      </c>
      <c r="K267" s="29">
        <v>2.0570757376115602E-3</v>
      </c>
    </row>
    <row r="268" spans="1:11" x14ac:dyDescent="0.35">
      <c r="A268" s="9" t="str">
        <f>HYPERLINK("http://www.ensembl.org/id/WBGene00022244", "WBGene00022244")</f>
        <v>WBGene00022244</v>
      </c>
      <c r="B268" s="9" t="str">
        <f>HYPERLINK("http://www.ncbi.nlm.nih.gov/gene/177404", "177404")</f>
        <v>177404</v>
      </c>
      <c r="C268" s="9"/>
      <c r="D268" t="str">
        <f>"Y73B6BL.23"</f>
        <v>Y73B6BL.23</v>
      </c>
      <c r="F268" t="s">
        <v>11</v>
      </c>
      <c r="H268" s="12">
        <v>-2.51801829681673</v>
      </c>
      <c r="I268" s="20">
        <v>-4.2267018464185302</v>
      </c>
      <c r="J268" s="28">
        <v>2.3714155155583501E-5</v>
      </c>
      <c r="K268" s="29">
        <v>2.0599220640034302E-3</v>
      </c>
    </row>
    <row r="269" spans="1:11" x14ac:dyDescent="0.35">
      <c r="A269" s="9" t="str">
        <f>HYPERLINK("http://www.ensembl.org/id/WBGene00017692", "WBGene00017692")</f>
        <v>WBGene00017692</v>
      </c>
      <c r="B269" s="9" t="str">
        <f>HYPERLINK("http://www.ncbi.nlm.nih.gov/gene/184811", "184811")</f>
        <v>184811</v>
      </c>
      <c r="C269" s="9"/>
      <c r="D269" t="str">
        <f>"F22B7.1"</f>
        <v>F22B7.1</v>
      </c>
      <c r="F269" t="s">
        <v>11</v>
      </c>
      <c r="H269" s="12">
        <v>2.3354410877581202</v>
      </c>
      <c r="I269" s="20">
        <v>4.2210452945421002</v>
      </c>
      <c r="J269" s="28">
        <v>2.4317206405900798E-5</v>
      </c>
      <c r="K269" s="29">
        <v>2.1043946487443498E-3</v>
      </c>
    </row>
    <row r="270" spans="1:11" x14ac:dyDescent="0.35">
      <c r="A270" s="9" t="str">
        <f>HYPERLINK("http://www.ensembl.org/id/WBGene00015073", "WBGene00015073")</f>
        <v>WBGene00015073</v>
      </c>
      <c r="B270" s="9" t="str">
        <f>HYPERLINK("http://www.ncbi.nlm.nih.gov/gene/178917", "178917")</f>
        <v>178917</v>
      </c>
      <c r="C270" s="9"/>
      <c r="D270" t="str">
        <f>"B0238.9"</f>
        <v>B0238.9</v>
      </c>
      <c r="F270" t="s">
        <v>11</v>
      </c>
      <c r="H270" s="12">
        <v>-2.7356302709685401</v>
      </c>
      <c r="I270" s="20">
        <v>-4.2122077871219297</v>
      </c>
      <c r="J270" s="28">
        <v>2.52886750462916E-5</v>
      </c>
      <c r="K270" s="29">
        <v>2.1802989761925901E-3</v>
      </c>
    </row>
    <row r="271" spans="1:11" x14ac:dyDescent="0.35">
      <c r="A271" s="9" t="str">
        <f>HYPERLINK("http://www.ensembl.org/id/WBGene00009500", "WBGene00009500")</f>
        <v>WBGene00009500</v>
      </c>
      <c r="B271" s="9" t="str">
        <f>HYPERLINK("http://www.ncbi.nlm.nih.gov/gene/185381", "185381")</f>
        <v>185381</v>
      </c>
      <c r="C271" s="9" t="str">
        <f>HYPERLINK("http://www.ncbi.nlm.nih.gov/gene/3075", "3075")</f>
        <v>3075</v>
      </c>
      <c r="D271" t="str">
        <f>"F36H2.3"</f>
        <v>F36H2.3</v>
      </c>
      <c r="F271" t="s">
        <v>11</v>
      </c>
      <c r="H271" s="12">
        <v>2.3299658368366698</v>
      </c>
      <c r="I271" s="20">
        <v>4.2097074742258798</v>
      </c>
      <c r="J271" s="28">
        <v>2.55701539106457E-5</v>
      </c>
      <c r="K271" s="29">
        <v>2.1963716589568001E-3</v>
      </c>
    </row>
    <row r="272" spans="1:11" x14ac:dyDescent="0.35">
      <c r="A272" s="9" t="str">
        <f>HYPERLINK("http://www.ensembl.org/id/WBGene00008737", "WBGene00008737")</f>
        <v>WBGene00008737</v>
      </c>
      <c r="B272" s="9" t="str">
        <f>HYPERLINK("http://www.ncbi.nlm.nih.gov/gene/184414", "184414")</f>
        <v>184414</v>
      </c>
      <c r="C272" s="9"/>
      <c r="D272" t="str">
        <f>"gnrr-7"</f>
        <v>gnrr-7</v>
      </c>
      <c r="E272" t="s">
        <v>270</v>
      </c>
      <c r="F272" t="s">
        <v>11</v>
      </c>
      <c r="G272" t="s">
        <v>271</v>
      </c>
      <c r="H272" s="12">
        <v>3.0427541655494301</v>
      </c>
      <c r="I272" s="20">
        <v>4.2071419546649098</v>
      </c>
      <c r="J272" s="28">
        <v>2.5862069743071301E-5</v>
      </c>
      <c r="K272" s="29">
        <v>2.21321845734595E-3</v>
      </c>
    </row>
    <row r="273" spans="1:11" x14ac:dyDescent="0.35">
      <c r="A273" s="9" t="str">
        <f>HYPERLINK("http://www.ensembl.org/id/WBGene00001768", "WBGene00001768")</f>
        <v>WBGene00001768</v>
      </c>
      <c r="B273" s="9" t="str">
        <f>HYPERLINK("http://www.ncbi.nlm.nih.gov/gene/175008", "175008")</f>
        <v>175008</v>
      </c>
      <c r="C273" s="9" t="str">
        <f>HYPERLINK("http://www.ncbi.nlm.nih.gov/gene/27306", "27306")</f>
        <v>27306</v>
      </c>
      <c r="D273" t="str">
        <f>"gst-20"</f>
        <v>gst-20</v>
      </c>
      <c r="E273" t="s">
        <v>272</v>
      </c>
      <c r="F273" t="s">
        <v>11</v>
      </c>
      <c r="G273" t="s">
        <v>273</v>
      </c>
      <c r="H273" s="12">
        <v>2.2744525196366201</v>
      </c>
      <c r="I273" s="20">
        <v>4.2059481454077501</v>
      </c>
      <c r="J273" s="28">
        <v>2.5998984540914799E-5</v>
      </c>
      <c r="K273" s="29">
        <v>2.2167252280530501E-3</v>
      </c>
    </row>
    <row r="274" spans="1:11" x14ac:dyDescent="0.35">
      <c r="A274" s="9" t="str">
        <f>HYPERLINK("http://www.ensembl.org/id/WBGene00007773", "WBGene00007773")</f>
        <v>WBGene00007773</v>
      </c>
      <c r="B274" s="9" t="str">
        <f>HYPERLINK("http://www.ncbi.nlm.nih.gov/gene/181582", "181582")</f>
        <v>181582</v>
      </c>
      <c r="C274" s="9"/>
      <c r="D274" t="str">
        <f>"C27C12.3"</f>
        <v>C27C12.3</v>
      </c>
      <c r="F274" t="s">
        <v>11</v>
      </c>
      <c r="H274" s="12">
        <v>-3.6479115848646</v>
      </c>
      <c r="I274" s="20">
        <v>-4.1966360021612701</v>
      </c>
      <c r="J274" s="28">
        <v>2.7090880739882301E-5</v>
      </c>
      <c r="K274" s="29">
        <v>2.3013304793225E-3</v>
      </c>
    </row>
    <row r="275" spans="1:11" x14ac:dyDescent="0.35">
      <c r="A275" s="9" t="str">
        <f>HYPERLINK("http://www.ensembl.org/id/WBGene00012253", "WBGene00012253")</f>
        <v>WBGene00012253</v>
      </c>
      <c r="B275" s="9" t="str">
        <f>HYPERLINK("http://www.ncbi.nlm.nih.gov/gene/180299", "180299")</f>
        <v>180299</v>
      </c>
      <c r="C275" s="9"/>
      <c r="D275" t="str">
        <f>"clec-50"</f>
        <v>clec-50</v>
      </c>
      <c r="E275" t="s">
        <v>46</v>
      </c>
      <c r="F275" t="s">
        <v>11</v>
      </c>
      <c r="G275" t="s">
        <v>274</v>
      </c>
      <c r="H275" s="12">
        <v>-2.17474266790353</v>
      </c>
      <c r="I275" s="20">
        <v>-4.1911309483869097</v>
      </c>
      <c r="J275" s="28">
        <v>2.7756739375100499E-5</v>
      </c>
      <c r="K275" s="29">
        <v>2.3492572161211501E-3</v>
      </c>
    </row>
    <row r="276" spans="1:11" x14ac:dyDescent="0.35">
      <c r="A276" s="9" t="str">
        <f>HYPERLINK("http://www.ensembl.org/id/WBGene00002144", "WBGene00002144")</f>
        <v>WBGene00002144</v>
      </c>
      <c r="B276" s="9" t="str">
        <f>HYPERLINK("http://www.ncbi.nlm.nih.gov/gene/171929", "171929")</f>
        <v>171929</v>
      </c>
      <c r="C276" s="9"/>
      <c r="D276" t="str">
        <f>"inx-22"</f>
        <v>inx-22</v>
      </c>
      <c r="E276" t="s">
        <v>275</v>
      </c>
      <c r="F276" t="s">
        <v>11</v>
      </c>
      <c r="G276" t="s">
        <v>276</v>
      </c>
      <c r="H276" s="12">
        <v>-2.3304841869269</v>
      </c>
      <c r="I276" s="20">
        <v>-4.1823678953264301</v>
      </c>
      <c r="J276" s="28">
        <v>2.88488648977859E-5</v>
      </c>
      <c r="K276" s="29">
        <v>2.4302656054006502E-3</v>
      </c>
    </row>
    <row r="277" spans="1:11" x14ac:dyDescent="0.35">
      <c r="A277" s="9" t="str">
        <f>HYPERLINK("http://www.ensembl.org/id/WBGene00044067", "WBGene00044067")</f>
        <v>WBGene00044067</v>
      </c>
      <c r="B277" s="9" t="str">
        <f>HYPERLINK("http://www.ncbi.nlm.nih.gov/gene/178509", "178509")</f>
        <v>178509</v>
      </c>
      <c r="C277" s="9"/>
      <c r="D277" t="str">
        <f>"zipt-7.1"</f>
        <v>zipt-7.1</v>
      </c>
      <c r="E277" t="s">
        <v>277</v>
      </c>
      <c r="F277" t="s">
        <v>11</v>
      </c>
      <c r="G277" t="s">
        <v>278</v>
      </c>
      <c r="H277" s="12">
        <v>-2.40724579911394</v>
      </c>
      <c r="I277" s="20">
        <v>-4.1817749416500503</v>
      </c>
      <c r="J277" s="28">
        <v>2.8924220613051999E-5</v>
      </c>
      <c r="K277" s="29">
        <v>2.4302656054006502E-3</v>
      </c>
    </row>
    <row r="278" spans="1:11" x14ac:dyDescent="0.35">
      <c r="A278" s="9" t="str">
        <f>HYPERLINK("http://www.ensembl.org/id/WBGene00013894", "WBGene00013894")</f>
        <v>WBGene00013894</v>
      </c>
      <c r="B278" s="9" t="str">
        <f>HYPERLINK("http://www.ncbi.nlm.nih.gov/gene/172907", "172907")</f>
        <v>172907</v>
      </c>
      <c r="C278" s="9"/>
      <c r="D278" t="str">
        <f>"ZC434.8"</f>
        <v>ZC434.8</v>
      </c>
      <c r="E278" t="s">
        <v>279</v>
      </c>
      <c r="F278" t="s">
        <v>11</v>
      </c>
      <c r="G278" t="s">
        <v>280</v>
      </c>
      <c r="H278" s="12">
        <v>-2.2546817341356</v>
      </c>
      <c r="I278" s="20">
        <v>-4.1758565827559702</v>
      </c>
      <c r="J278" s="28">
        <v>2.9686681979988198E-5</v>
      </c>
      <c r="K278" s="29">
        <v>2.4852915718464098E-3</v>
      </c>
    </row>
    <row r="279" spans="1:11" x14ac:dyDescent="0.35">
      <c r="A279" s="9" t="str">
        <f>HYPERLINK("http://www.ensembl.org/id/WBGene00019376", "WBGene00019376")</f>
        <v>WBGene00019376</v>
      </c>
      <c r="B279" s="9" t="str">
        <f>HYPERLINK("http://www.ncbi.nlm.nih.gov/gene/179046", "179046")</f>
        <v>179046</v>
      </c>
      <c r="C279" s="9" t="str">
        <f>HYPERLINK("http://www.ncbi.nlm.nih.gov/gene/3988", "3988")</f>
        <v>3988</v>
      </c>
      <c r="D279" t="str">
        <f>"lipl-4"</f>
        <v>lipl-4</v>
      </c>
      <c r="E279" t="s">
        <v>18</v>
      </c>
      <c r="F279" t="s">
        <v>11</v>
      </c>
      <c r="G279" t="s">
        <v>281</v>
      </c>
      <c r="H279" s="12">
        <v>-5.8792235658570604</v>
      </c>
      <c r="I279" s="20">
        <v>-4.1723967996982099</v>
      </c>
      <c r="J279" s="28">
        <v>3.0141213138265699E-5</v>
      </c>
      <c r="K279" s="29">
        <v>2.51423419051541E-3</v>
      </c>
    </row>
    <row r="280" spans="1:11" x14ac:dyDescent="0.35">
      <c r="A280" s="9" t="str">
        <f>HYPERLINK("http://www.ensembl.org/id/WBGene00019426", "WBGene00019426")</f>
        <v>WBGene00019426</v>
      </c>
      <c r="B280" s="9" t="str">
        <f>HYPERLINK("http://www.ncbi.nlm.nih.gov/gene/174065", "174065")</f>
        <v>174065</v>
      </c>
      <c r="C280" s="9"/>
      <c r="D280" t="str">
        <f>"cutl-16"</f>
        <v>cutl-16</v>
      </c>
      <c r="E280" t="s">
        <v>166</v>
      </c>
      <c r="F280" t="s">
        <v>11</v>
      </c>
      <c r="G280" t="s">
        <v>25</v>
      </c>
      <c r="H280" s="12">
        <v>2.2933258262408698</v>
      </c>
      <c r="I280" s="20">
        <v>4.1442042324637702</v>
      </c>
      <c r="J280" s="28">
        <v>3.40995745633115E-5</v>
      </c>
      <c r="K280" s="29">
        <v>2.8316193423578301E-3</v>
      </c>
    </row>
    <row r="281" spans="1:11" x14ac:dyDescent="0.35">
      <c r="A281" s="9" t="str">
        <f>HYPERLINK("http://www.ensembl.org/id/WBGene00014113", "WBGene00014113")</f>
        <v>WBGene00014113</v>
      </c>
      <c r="B281" s="9" t="str">
        <f>HYPERLINK("http://www.ncbi.nlm.nih.gov/gene/179421", "179421")</f>
        <v>179421</v>
      </c>
      <c r="C281" s="9"/>
      <c r="D281" t="str">
        <f>"hpo-40"</f>
        <v>hpo-40</v>
      </c>
      <c r="F281" t="s">
        <v>11</v>
      </c>
      <c r="G281" t="s">
        <v>282</v>
      </c>
      <c r="H281" s="12">
        <v>-2.6792740021062</v>
      </c>
      <c r="I281" s="20">
        <v>-4.1435892145560196</v>
      </c>
      <c r="J281" s="28">
        <v>3.4191196940960601E-5</v>
      </c>
      <c r="K281" s="29">
        <v>2.8316193423578301E-3</v>
      </c>
    </row>
    <row r="282" spans="1:11" x14ac:dyDescent="0.35">
      <c r="A282" s="9" t="str">
        <f>HYPERLINK("http://www.ensembl.org/id/WBGene00000386", "WBGene00000386")</f>
        <v>WBGene00000386</v>
      </c>
      <c r="B282" s="9" t="str">
        <f>HYPERLINK("http://www.ncbi.nlm.nih.gov/gene/172353", "172353")</f>
        <v>172353</v>
      </c>
      <c r="C282" s="9"/>
      <c r="D282" t="str">
        <f>"cdc-25.1"</f>
        <v>cdc-25.1</v>
      </c>
      <c r="E282" t="s">
        <v>283</v>
      </c>
      <c r="F282" t="s">
        <v>11</v>
      </c>
      <c r="G282" t="s">
        <v>284</v>
      </c>
      <c r="H282" s="12">
        <v>-2.1808302869043299</v>
      </c>
      <c r="I282" s="20">
        <v>-4.1397080415185803</v>
      </c>
      <c r="J282" s="28">
        <v>3.4774811114025103E-5</v>
      </c>
      <c r="K282" s="29">
        <v>2.8587736626153699E-3</v>
      </c>
    </row>
    <row r="283" spans="1:11" x14ac:dyDescent="0.35">
      <c r="A283" s="9" t="str">
        <f>HYPERLINK("http://www.ensembl.org/id/WBGene00001686", "WBGene00001686")</f>
        <v>WBGene00001686</v>
      </c>
      <c r="B283" s="9" t="str">
        <f>HYPERLINK("http://www.ncbi.nlm.nih.gov/gene/174578", "174578")</f>
        <v>174578</v>
      </c>
      <c r="C283" s="9" t="str">
        <f>HYPERLINK("http://www.ncbi.nlm.nih.gov/gene/2597", "2597")</f>
        <v>2597</v>
      </c>
      <c r="D283" t="str">
        <f>"gpd-4"</f>
        <v>gpd-4</v>
      </c>
      <c r="E283" t="s">
        <v>285</v>
      </c>
      <c r="F283" t="s">
        <v>11</v>
      </c>
      <c r="G283" t="s">
        <v>286</v>
      </c>
      <c r="H283" s="12">
        <v>-2.2408727929014902</v>
      </c>
      <c r="I283" s="20">
        <v>-4.1389476635679303</v>
      </c>
      <c r="J283" s="28">
        <v>3.48902524390865E-5</v>
      </c>
      <c r="K283" s="29">
        <v>2.8587736626153699E-3</v>
      </c>
    </row>
    <row r="284" spans="1:11" x14ac:dyDescent="0.35">
      <c r="A284" s="9" t="str">
        <f>HYPERLINK("http://www.ensembl.org/id/WBGene00045265", "WBGene00045265")</f>
        <v>WBGene00045265</v>
      </c>
      <c r="B284" s="9" t="str">
        <f>HYPERLINK("http://www.ncbi.nlm.nih.gov/gene/6418859", "6418859")</f>
        <v>6418859</v>
      </c>
      <c r="C284" s="9"/>
      <c r="D284" t="str">
        <f>"K10C2.8"</f>
        <v>K10C2.8</v>
      </c>
      <c r="F284" t="s">
        <v>11</v>
      </c>
      <c r="H284" s="12">
        <v>2.1393430661840398</v>
      </c>
      <c r="I284" s="20">
        <v>4.1404142432939901</v>
      </c>
      <c r="J284" s="28">
        <v>3.4667919846352203E-5</v>
      </c>
      <c r="K284" s="29">
        <v>2.8587736626153699E-3</v>
      </c>
    </row>
    <row r="285" spans="1:11" x14ac:dyDescent="0.35">
      <c r="A285" s="9" t="str">
        <f>HYPERLINK("http://www.ensembl.org/id/WBGene00019090", "WBGene00019090")</f>
        <v>WBGene00019090</v>
      </c>
      <c r="B285" s="9" t="str">
        <f>HYPERLINK("http://www.ncbi.nlm.nih.gov/gene/178682", "178682")</f>
        <v>178682</v>
      </c>
      <c r="C285" s="9"/>
      <c r="D285" t="str">
        <f>"F59A7.2"</f>
        <v>F59A7.2</v>
      </c>
      <c r="F285" t="s">
        <v>11</v>
      </c>
      <c r="G285" t="s">
        <v>287</v>
      </c>
      <c r="H285" s="12">
        <v>2.8209463054231798</v>
      </c>
      <c r="I285" s="20">
        <v>4.1344683236607196</v>
      </c>
      <c r="J285" s="28">
        <v>3.5577731833092697E-5</v>
      </c>
      <c r="K285" s="29">
        <v>2.90480237362346E-3</v>
      </c>
    </row>
    <row r="286" spans="1:11" x14ac:dyDescent="0.35">
      <c r="A286" s="9" t="str">
        <f>HYPERLINK("http://www.ensembl.org/id/WBGene00016207", "WBGene00016207")</f>
        <v>WBGene00016207</v>
      </c>
      <c r="B286" s="9" t="str">
        <f>HYPERLINK("http://www.ncbi.nlm.nih.gov/gene/183002", "183002")</f>
        <v>183002</v>
      </c>
      <c r="C286" s="9" t="str">
        <f>HYPERLINK("http://www.ncbi.nlm.nih.gov/gene/2581", "2581")</f>
        <v>2581</v>
      </c>
      <c r="D286" t="str">
        <f>"C29E4.10"</f>
        <v>C29E4.10</v>
      </c>
      <c r="E286" t="s">
        <v>289</v>
      </c>
      <c r="F286" t="s">
        <v>11</v>
      </c>
      <c r="G286" t="s">
        <v>290</v>
      </c>
      <c r="H286" s="12">
        <v>-2.2653128070276098</v>
      </c>
      <c r="I286" s="20">
        <v>-4.1223565228859398</v>
      </c>
      <c r="J286" s="28">
        <v>3.7501618928171998E-5</v>
      </c>
      <c r="K286" s="29">
        <v>3.03714821402823E-3</v>
      </c>
    </row>
    <row r="287" spans="1:11" x14ac:dyDescent="0.35">
      <c r="A287" s="9" t="str">
        <f>HYPERLINK("http://www.ensembl.org/id/WBGene00018911", "WBGene00018911")</f>
        <v>WBGene00018911</v>
      </c>
      <c r="B287" s="9" t="str">
        <f>HYPERLINK("http://www.ncbi.nlm.nih.gov/gene/186346", "186346")</f>
        <v>186346</v>
      </c>
      <c r="C287" s="9"/>
      <c r="D287" t="str">
        <f>"F56A4.3"</f>
        <v>F56A4.3</v>
      </c>
      <c r="F287" t="s">
        <v>11</v>
      </c>
      <c r="G287" t="s">
        <v>291</v>
      </c>
      <c r="H287" s="12">
        <v>-197.710921483161</v>
      </c>
      <c r="I287" s="20">
        <v>-4.12280591280983</v>
      </c>
      <c r="J287" s="28">
        <v>3.7428505134103201E-5</v>
      </c>
      <c r="K287" s="29">
        <v>3.03714821402823E-3</v>
      </c>
    </row>
    <row r="288" spans="1:11" x14ac:dyDescent="0.35">
      <c r="A288" s="9" t="str">
        <f>HYPERLINK("http://www.ensembl.org/id/WBGene00003514", "WBGene00003514")</f>
        <v>WBGene00003514</v>
      </c>
      <c r="B288" s="9" t="str">
        <f>HYPERLINK("http://www.ncbi.nlm.nih.gov/gene/181404", "181404")</f>
        <v>181404</v>
      </c>
      <c r="C288" s="9" t="str">
        <f>HYPERLINK("http://www.ncbi.nlm.nih.gov/gene/57644", "57644")</f>
        <v>57644</v>
      </c>
      <c r="D288" t="str">
        <f>"myo-2"</f>
        <v>myo-2</v>
      </c>
      <c r="E288" t="s">
        <v>288</v>
      </c>
      <c r="F288" t="s">
        <v>11</v>
      </c>
      <c r="G288" t="s">
        <v>140</v>
      </c>
      <c r="H288" s="12">
        <v>2.7644557791748099</v>
      </c>
      <c r="I288" s="20">
        <v>4.1217958812579498</v>
      </c>
      <c r="J288" s="28">
        <v>3.7593022990222198E-5</v>
      </c>
      <c r="K288" s="29">
        <v>3.03714821402823E-3</v>
      </c>
    </row>
    <row r="289" spans="1:11" x14ac:dyDescent="0.35">
      <c r="A289" s="9" t="str">
        <f>HYPERLINK("http://www.ensembl.org/id/WBGene00013381", "WBGene00013381")</f>
        <v>WBGene00013381</v>
      </c>
      <c r="B289" s="9" t="str">
        <f>HYPERLINK("http://www.ncbi.nlm.nih.gov/gene/13198891", "13198891")</f>
        <v>13198891</v>
      </c>
      <c r="C289" s="9"/>
      <c r="D289" t="str">
        <f>"cyp-31A5"</f>
        <v>cyp-31A5</v>
      </c>
      <c r="E289" t="s">
        <v>176</v>
      </c>
      <c r="F289" t="s">
        <v>11</v>
      </c>
      <c r="G289" t="s">
        <v>292</v>
      </c>
      <c r="H289" s="12">
        <v>-3.3627778522682599</v>
      </c>
      <c r="I289" s="20">
        <v>-4.1141518765066198</v>
      </c>
      <c r="J289" s="28">
        <v>3.8860552820832498E-5</v>
      </c>
      <c r="K289" s="29">
        <v>3.1286130086346899E-3</v>
      </c>
    </row>
    <row r="290" spans="1:11" x14ac:dyDescent="0.35">
      <c r="A290" s="9" t="str">
        <f>HYPERLINK("http://www.ensembl.org/id/WBGene00019608", "WBGene00019608")</f>
        <v>WBGene00019608</v>
      </c>
      <c r="B290" s="9" t="str">
        <f>HYPERLINK("http://www.ncbi.nlm.nih.gov/gene/174055", "174055")</f>
        <v>174055</v>
      </c>
      <c r="C290" s="9"/>
      <c r="D290" t="str">
        <f>"ani-2"</f>
        <v>ani-2</v>
      </c>
      <c r="E290" t="s">
        <v>293</v>
      </c>
      <c r="F290" t="s">
        <v>11</v>
      </c>
      <c r="H290" s="12">
        <v>-2.2740785520871798</v>
      </c>
      <c r="I290" s="20">
        <v>-4.1057283885594797</v>
      </c>
      <c r="J290" s="28">
        <v>4.0304284131451398E-5</v>
      </c>
      <c r="K290" s="29">
        <v>3.2233902495144399E-3</v>
      </c>
    </row>
    <row r="291" spans="1:11" x14ac:dyDescent="0.35">
      <c r="A291" s="9" t="str">
        <f>HYPERLINK("http://www.ensembl.org/id/WBGene00011505", "WBGene00011505")</f>
        <v>WBGene00011505</v>
      </c>
      <c r="B291" s="9" t="str">
        <f>HYPERLINK("http://www.ncbi.nlm.nih.gov/gene/188142", "188142")</f>
        <v>188142</v>
      </c>
      <c r="C291" s="9"/>
      <c r="D291" t="str">
        <f>"pzf-1"</f>
        <v>pzf-1</v>
      </c>
      <c r="E291" t="s">
        <v>294</v>
      </c>
      <c r="F291" t="s">
        <v>11</v>
      </c>
      <c r="G291" t="s">
        <v>295</v>
      </c>
      <c r="H291" s="12">
        <v>-3.64109564590871</v>
      </c>
      <c r="I291" s="20">
        <v>-4.10565667343384</v>
      </c>
      <c r="J291" s="28">
        <v>4.0316791400920598E-5</v>
      </c>
      <c r="K291" s="29">
        <v>3.2233902495144399E-3</v>
      </c>
    </row>
    <row r="292" spans="1:11" x14ac:dyDescent="0.35">
      <c r="A292" s="9" t="str">
        <f>HYPERLINK("http://www.ensembl.org/id/WBGene00015710", "WBGene00015710")</f>
        <v>WBGene00015710</v>
      </c>
      <c r="B292" s="9" t="str">
        <f>HYPERLINK("http://www.ncbi.nlm.nih.gov/gene/182538", "182538")</f>
        <v>182538</v>
      </c>
      <c r="C292" s="9"/>
      <c r="D292" t="str">
        <f>"C12D5.9"</f>
        <v>C12D5.9</v>
      </c>
      <c r="F292" t="s">
        <v>11</v>
      </c>
      <c r="H292" s="12">
        <v>3.04450717156974</v>
      </c>
      <c r="I292" s="20">
        <v>4.0938135012153403</v>
      </c>
      <c r="J292" s="28">
        <v>4.2433566884187797E-5</v>
      </c>
      <c r="K292" s="29">
        <v>3.3728690419992202E-3</v>
      </c>
    </row>
    <row r="293" spans="1:11" x14ac:dyDescent="0.35">
      <c r="A293" s="9" t="str">
        <f>HYPERLINK("http://www.ensembl.org/id/WBGene00022452", "WBGene00022452")</f>
        <v>WBGene00022452</v>
      </c>
      <c r="B293" s="9" t="str">
        <f>HYPERLINK("http://www.ncbi.nlm.nih.gov/gene/173639", "173639")</f>
        <v>173639</v>
      </c>
      <c r="C293" s="9"/>
      <c r="D293" t="str">
        <f>"Y110A2AR.1"</f>
        <v>Y110A2AR.1</v>
      </c>
      <c r="E293" t="s">
        <v>296</v>
      </c>
      <c r="F293" t="s">
        <v>11</v>
      </c>
      <c r="G293" t="s">
        <v>25</v>
      </c>
      <c r="H293" s="12">
        <v>-2.3183304766036099</v>
      </c>
      <c r="I293" s="20">
        <v>-4.0935690164920198</v>
      </c>
      <c r="J293" s="28">
        <v>4.2478355891187203E-5</v>
      </c>
      <c r="K293" s="29">
        <v>3.3728690419992202E-3</v>
      </c>
    </row>
    <row r="294" spans="1:11" x14ac:dyDescent="0.35">
      <c r="A294" s="9" t="str">
        <f>HYPERLINK("http://www.ensembl.org/id/WBGene00003784", "WBGene00003784")</f>
        <v>WBGene00003784</v>
      </c>
      <c r="B294" s="9" t="str">
        <f>HYPERLINK("http://www.ncbi.nlm.nih.gov/gene/174158", "174158")</f>
        <v>174158</v>
      </c>
      <c r="C294" s="9"/>
      <c r="D294" t="str">
        <f>"nos-2"</f>
        <v>nos-2</v>
      </c>
      <c r="E294" t="s">
        <v>297</v>
      </c>
      <c r="F294" t="s">
        <v>11</v>
      </c>
      <c r="G294" t="s">
        <v>298</v>
      </c>
      <c r="H294" s="12">
        <v>-2.30421137341368</v>
      </c>
      <c r="I294" s="20">
        <v>-4.0904165611183396</v>
      </c>
      <c r="J294" s="28">
        <v>4.3059910493062498E-5</v>
      </c>
      <c r="K294" s="29">
        <v>3.3957074807259499E-3</v>
      </c>
    </row>
    <row r="295" spans="1:11" x14ac:dyDescent="0.35">
      <c r="A295" s="9" t="str">
        <f>HYPERLINK("http://www.ensembl.org/id/WBGene00044350", "WBGene00044350")</f>
        <v>WBGene00044350</v>
      </c>
      <c r="B295" s="9" t="str">
        <f>HYPERLINK("http://www.ncbi.nlm.nih.gov/gene/3565715", "3565715")</f>
        <v>3565715</v>
      </c>
      <c r="C295" s="9"/>
      <c r="D295" t="str">
        <f>"Y73B6BL.44"</f>
        <v>Y73B6BL.44</v>
      </c>
      <c r="F295" t="s">
        <v>11</v>
      </c>
      <c r="H295" s="12">
        <v>2.3424828528698698</v>
      </c>
      <c r="I295" s="20">
        <v>4.0905932085506604</v>
      </c>
      <c r="J295" s="28">
        <v>4.3027124391962598E-5</v>
      </c>
      <c r="K295" s="29">
        <v>3.3957074807259499E-3</v>
      </c>
    </row>
    <row r="296" spans="1:11" x14ac:dyDescent="0.35">
      <c r="A296" s="9" t="str">
        <f>HYPERLINK("http://www.ensembl.org/id/WBGene00014183", "WBGene00014183")</f>
        <v>WBGene00014183</v>
      </c>
      <c r="B296" s="9" t="str">
        <f>HYPERLINK("http://www.ncbi.nlm.nih.gov/gene/191492", "191492")</f>
        <v>191492</v>
      </c>
      <c r="C296" s="9"/>
      <c r="D296" t="str">
        <f>"ZK1025.3"</f>
        <v>ZK1025.3</v>
      </c>
      <c r="F296" t="s">
        <v>11</v>
      </c>
      <c r="G296" t="s">
        <v>25</v>
      </c>
      <c r="H296" s="12">
        <v>39.321722352809999</v>
      </c>
      <c r="I296" s="20">
        <v>4.0802931092663304</v>
      </c>
      <c r="J296" s="28">
        <v>4.4978947608355799E-5</v>
      </c>
      <c r="K296" s="29">
        <v>3.5349781069342499E-3</v>
      </c>
    </row>
    <row r="297" spans="1:11" x14ac:dyDescent="0.35">
      <c r="A297" s="9" t="str">
        <f>HYPERLINK("http://www.ensembl.org/id/WBGene00001789", "WBGene00001789")</f>
        <v>WBGene00001789</v>
      </c>
      <c r="B297" s="9" t="str">
        <f>HYPERLINK("http://www.ncbi.nlm.nih.gov/gene/179127", "179127")</f>
        <v>179127</v>
      </c>
      <c r="C297" s="9"/>
      <c r="D297" t="str">
        <f>"gst-41"</f>
        <v>gst-41</v>
      </c>
      <c r="E297" t="s">
        <v>272</v>
      </c>
      <c r="F297" t="s">
        <v>11</v>
      </c>
      <c r="G297" t="s">
        <v>299</v>
      </c>
      <c r="H297" s="12">
        <v>3.1839372889576598</v>
      </c>
      <c r="I297" s="20">
        <v>4.0766779541624301</v>
      </c>
      <c r="J297" s="28">
        <v>4.5683695658350501E-5</v>
      </c>
      <c r="K297" s="29">
        <v>3.5781948199384598E-3</v>
      </c>
    </row>
    <row r="298" spans="1:11" x14ac:dyDescent="0.35">
      <c r="A298" s="9" t="str">
        <f>HYPERLINK("http://www.ensembl.org/id/WBGene00007171", "WBGene00007171")</f>
        <v>WBGene00007171</v>
      </c>
      <c r="B298" s="9" t="str">
        <f>HYPERLINK("http://www.ncbi.nlm.nih.gov/gene/181957", "181957")</f>
        <v>181957</v>
      </c>
      <c r="C298" s="9"/>
      <c r="D298" t="str">
        <f>"B0393.6"</f>
        <v>B0393.6</v>
      </c>
      <c r="F298" t="s">
        <v>11</v>
      </c>
      <c r="G298" t="s">
        <v>51</v>
      </c>
      <c r="H298" s="12">
        <v>-2.6257528795396099</v>
      </c>
      <c r="I298" s="20">
        <v>-4.0717222109610196</v>
      </c>
      <c r="J298" s="28">
        <v>4.6666813662930899E-5</v>
      </c>
      <c r="K298" s="29">
        <v>3.64284931248541E-3</v>
      </c>
    </row>
    <row r="299" spans="1:11" x14ac:dyDescent="0.35">
      <c r="A299" s="9" t="str">
        <f>HYPERLINK("http://www.ensembl.org/id/WBGene00018384", "WBGene00018384")</f>
        <v>WBGene00018384</v>
      </c>
      <c r="B299" s="9" t="str">
        <f>HYPERLINK("http://www.ncbi.nlm.nih.gov/gene/173591", "173591")</f>
        <v>173591</v>
      </c>
      <c r="C299" s="9"/>
      <c r="D299" t="str">
        <f>"F43C11.7"</f>
        <v>F43C11.7</v>
      </c>
      <c r="F299" t="s">
        <v>11</v>
      </c>
      <c r="G299" t="s">
        <v>300</v>
      </c>
      <c r="H299" s="12">
        <v>-2.3864948681877398</v>
      </c>
      <c r="I299" s="20">
        <v>-4.06996760737744</v>
      </c>
      <c r="J299" s="28">
        <v>4.7019674947681497E-5</v>
      </c>
      <c r="K299" s="29">
        <v>3.6544559524294201E-3</v>
      </c>
    </row>
    <row r="300" spans="1:11" x14ac:dyDescent="0.35">
      <c r="A300" s="9" t="str">
        <f>HYPERLINK("http://www.ensembl.org/id/WBGene00009805", "WBGene00009805")</f>
        <v>WBGene00009805</v>
      </c>
      <c r="B300" s="9" t="str">
        <f>HYPERLINK("http://www.ncbi.nlm.nih.gov/gene/179930", "179930")</f>
        <v>179930</v>
      </c>
      <c r="C300" s="9"/>
      <c r="D300" t="str">
        <f>"F47B8.4"</f>
        <v>F47B8.4</v>
      </c>
      <c r="F300" t="s">
        <v>11</v>
      </c>
      <c r="G300" t="s">
        <v>303</v>
      </c>
      <c r="H300" s="12">
        <v>-3.8929911006051601</v>
      </c>
      <c r="I300" s="20">
        <v>-4.0680090753849596</v>
      </c>
      <c r="J300" s="28">
        <v>4.7416535053274698E-5</v>
      </c>
      <c r="K300" s="29">
        <v>3.6544559524294201E-3</v>
      </c>
    </row>
    <row r="301" spans="1:11" x14ac:dyDescent="0.35">
      <c r="A301" s="9" t="str">
        <f>HYPERLINK("http://www.ensembl.org/id/WBGene00020550", "WBGene00020550")</f>
        <v>WBGene00020550</v>
      </c>
      <c r="B301" s="9" t="str">
        <f>HYPERLINK("http://www.ncbi.nlm.nih.gov/gene/175228", "175228")</f>
        <v>175228</v>
      </c>
      <c r="C301" s="9"/>
      <c r="D301" t="str">
        <f>"T17H7.1"</f>
        <v>T17H7.1</v>
      </c>
      <c r="F301" t="s">
        <v>11</v>
      </c>
      <c r="H301" s="12">
        <v>2.5490217624275102</v>
      </c>
      <c r="I301" s="20">
        <v>4.0681444010021499</v>
      </c>
      <c r="J301" s="28">
        <v>4.7389012009266997E-5</v>
      </c>
      <c r="K301" s="29">
        <v>3.6544559524294201E-3</v>
      </c>
    </row>
    <row r="302" spans="1:11" x14ac:dyDescent="0.35">
      <c r="A302" s="9" t="str">
        <f>HYPERLINK("http://www.ensembl.org/id/WBGene00018698", "WBGene00018698")</f>
        <v>WBGene00018698</v>
      </c>
      <c r="B302" s="9" t="str">
        <f>HYPERLINK("http://www.ncbi.nlm.nih.gov/gene/179223", "179223")</f>
        <v>179223</v>
      </c>
      <c r="C302" s="9"/>
      <c r="D302" t="str">
        <f>"vha-18"</f>
        <v>vha-18</v>
      </c>
      <c r="E302" t="s">
        <v>301</v>
      </c>
      <c r="F302" t="s">
        <v>11</v>
      </c>
      <c r="G302" t="s">
        <v>302</v>
      </c>
      <c r="H302" s="12">
        <v>-2.6191814632233599</v>
      </c>
      <c r="I302" s="20">
        <v>-4.0678537582857404</v>
      </c>
      <c r="J302" s="28">
        <v>4.7448142721752999E-5</v>
      </c>
      <c r="K302" s="29">
        <v>3.6544559524294201E-3</v>
      </c>
    </row>
    <row r="303" spans="1:11" x14ac:dyDescent="0.35">
      <c r="A303" s="9" t="str">
        <f>HYPERLINK("http://www.ensembl.org/id/WBGene00018600", "WBGene00018600")</f>
        <v>WBGene00018600</v>
      </c>
      <c r="B303" s="9" t="str">
        <f>HYPERLINK("http://www.ncbi.nlm.nih.gov/gene/185976", "185976")</f>
        <v>185976</v>
      </c>
      <c r="C303" s="9"/>
      <c r="D303" t="str">
        <f>"F48C1.8"</f>
        <v>F48C1.8</v>
      </c>
      <c r="F303" t="s">
        <v>11</v>
      </c>
      <c r="H303" s="12">
        <v>2.9024884818391299</v>
      </c>
      <c r="I303" s="20">
        <v>4.0550785370606999</v>
      </c>
      <c r="J303" s="28">
        <v>5.0117461005446201E-5</v>
      </c>
      <c r="K303" s="29">
        <v>3.84386120058843E-3</v>
      </c>
    </row>
    <row r="304" spans="1:11" x14ac:dyDescent="0.35">
      <c r="A304" s="9" t="str">
        <f>HYPERLINK("http://www.ensembl.org/id/WBGene00018602", "WBGene00018602")</f>
        <v>WBGene00018602</v>
      </c>
      <c r="B304" s="9" t="str">
        <f>HYPERLINK("http://www.ncbi.nlm.nih.gov/gene/180697", "180697")</f>
        <v>180697</v>
      </c>
      <c r="C304" s="9"/>
      <c r="D304" t="str">
        <f>"F48D6.4"</f>
        <v>F48D6.4</v>
      </c>
      <c r="F304" t="s">
        <v>11</v>
      </c>
      <c r="H304" s="12">
        <v>-2.4972537496038698</v>
      </c>
      <c r="I304" s="20">
        <v>-4.05375539016182</v>
      </c>
      <c r="J304" s="28">
        <v>5.0401918770051197E-5</v>
      </c>
      <c r="K304" s="29">
        <v>3.84386120058843E-3</v>
      </c>
    </row>
    <row r="305" spans="1:11" x14ac:dyDescent="0.35">
      <c r="A305" s="9" t="str">
        <f>HYPERLINK("http://www.ensembl.org/id/WBGene00021625", "WBGene00021625")</f>
        <v>WBGene00021625</v>
      </c>
      <c r="B305" s="9" t="str">
        <f>HYPERLINK("http://www.ncbi.nlm.nih.gov/gene/178841", "178841")</f>
        <v>178841</v>
      </c>
      <c r="C305" s="9"/>
      <c r="D305" t="str">
        <f>"Y47D7A.13"</f>
        <v>Y47D7A.13</v>
      </c>
      <c r="F305" t="s">
        <v>11</v>
      </c>
      <c r="H305" s="12">
        <v>-3.7623886169162</v>
      </c>
      <c r="I305" s="20">
        <v>-4.0529642026895099</v>
      </c>
      <c r="J305" s="28">
        <v>5.0572743225953501E-5</v>
      </c>
      <c r="K305" s="29">
        <v>3.84386120058843E-3</v>
      </c>
    </row>
    <row r="306" spans="1:11" x14ac:dyDescent="0.35">
      <c r="A306" s="9" t="str">
        <f>HYPERLINK("http://www.ensembl.org/id/WBGene00013419", "WBGene00013419")</f>
        <v>WBGene00013419</v>
      </c>
      <c r="B306" s="9" t="str">
        <f>HYPERLINK("http://www.ncbi.nlm.nih.gov/gene/190478", "190478")</f>
        <v>190478</v>
      </c>
      <c r="C306" s="9"/>
      <c r="D306" t="str">
        <f>"Y65A5A.2"</f>
        <v>Y65A5A.2</v>
      </c>
      <c r="F306" t="s">
        <v>11</v>
      </c>
      <c r="G306" t="s">
        <v>25</v>
      </c>
      <c r="H306" s="12">
        <v>-2.5743275322724899</v>
      </c>
      <c r="I306" s="20">
        <v>-4.0530965341271301</v>
      </c>
      <c r="J306" s="28">
        <v>5.0544133520245901E-5</v>
      </c>
      <c r="K306" s="29">
        <v>3.84386120058843E-3</v>
      </c>
    </row>
    <row r="307" spans="1:11" x14ac:dyDescent="0.35">
      <c r="A307" s="9" t="str">
        <f>HYPERLINK("http://www.ensembl.org/id/WBGene00020290", "WBGene00020290")</f>
        <v>WBGene00020290</v>
      </c>
      <c r="B307" s="9" t="str">
        <f>HYPERLINK("http://www.ncbi.nlm.nih.gov/gene/173682", "173682")</f>
        <v>173682</v>
      </c>
      <c r="C307" s="9"/>
      <c r="D307" t="str">
        <f>"T06D4.1"</f>
        <v>T06D4.1</v>
      </c>
      <c r="F307" t="s">
        <v>11</v>
      </c>
      <c r="H307" s="12">
        <v>-2.4726634231410101</v>
      </c>
      <c r="I307" s="20">
        <v>-4.0509463104768102</v>
      </c>
      <c r="J307" s="28">
        <v>5.1010912202910703E-5</v>
      </c>
      <c r="K307" s="29">
        <v>3.8644529093785399E-3</v>
      </c>
    </row>
    <row r="308" spans="1:11" x14ac:dyDescent="0.35">
      <c r="A308" s="9" t="str">
        <f>HYPERLINK("http://www.ensembl.org/id/WBGene00017184", "WBGene00017184")</f>
        <v>WBGene00017184</v>
      </c>
      <c r="B308" s="9" t="str">
        <f>HYPERLINK("http://www.ncbi.nlm.nih.gov/gene/180418", "180418")</f>
        <v>180418</v>
      </c>
      <c r="C308" s="9" t="str">
        <f>HYPERLINK("http://www.ncbi.nlm.nih.gov/gene/4684", "4684")</f>
        <v>4684</v>
      </c>
      <c r="D308" t="str">
        <f>"ncam-1"</f>
        <v>ncam-1</v>
      </c>
      <c r="E308" t="s">
        <v>304</v>
      </c>
      <c r="F308" t="s">
        <v>11</v>
      </c>
      <c r="G308" t="s">
        <v>305</v>
      </c>
      <c r="H308" s="12">
        <v>2.4747505327625499</v>
      </c>
      <c r="I308" s="20">
        <v>4.0385477606587097</v>
      </c>
      <c r="J308" s="28">
        <v>5.3783143536771902E-5</v>
      </c>
      <c r="K308" s="29">
        <v>4.0611546227472296E-3</v>
      </c>
    </row>
    <row r="309" spans="1:11" x14ac:dyDescent="0.35">
      <c r="A309" s="9" t="str">
        <f>HYPERLINK("http://www.ensembl.org/id/WBGene00001601", "WBGene00001601")</f>
        <v>WBGene00001601</v>
      </c>
      <c r="B309" s="9" t="str">
        <f>HYPERLINK("http://www.ncbi.nlm.nih.gov/gene/171941", "171941")</f>
        <v>171941</v>
      </c>
      <c r="C309" s="9"/>
      <c r="D309" t="str">
        <f>"glh-4"</f>
        <v>glh-4</v>
      </c>
      <c r="E309" t="s">
        <v>306</v>
      </c>
      <c r="F309" t="s">
        <v>11</v>
      </c>
      <c r="G309" t="s">
        <v>133</v>
      </c>
      <c r="H309" s="12">
        <v>-2.4093825893537599</v>
      </c>
      <c r="I309" s="20">
        <v>-4.0376520653275696</v>
      </c>
      <c r="J309" s="28">
        <v>5.3988847755848701E-5</v>
      </c>
      <c r="K309" s="29">
        <v>4.0634081962431304E-3</v>
      </c>
    </row>
    <row r="310" spans="1:11" x14ac:dyDescent="0.35">
      <c r="A310" s="9" t="str">
        <f>HYPERLINK("http://www.ensembl.org/id/WBGene00018948", "WBGene00018948")</f>
        <v>WBGene00018948</v>
      </c>
      <c r="B310" s="9" t="str">
        <f>HYPERLINK("http://www.ncbi.nlm.nih.gov/gene/176036", "176036")</f>
        <v>176036</v>
      </c>
      <c r="C310" s="9"/>
      <c r="D310" t="str">
        <f>"F56C9.3"</f>
        <v>F56C9.3</v>
      </c>
      <c r="F310" t="s">
        <v>11</v>
      </c>
      <c r="G310" t="s">
        <v>307</v>
      </c>
      <c r="H310" s="12">
        <v>-2.2637783230147202</v>
      </c>
      <c r="I310" s="20">
        <v>-4.0297056920276404</v>
      </c>
      <c r="J310" s="28">
        <v>5.58467296848831E-5</v>
      </c>
      <c r="K310" s="29">
        <v>4.1895926496717797E-3</v>
      </c>
    </row>
    <row r="311" spans="1:11" x14ac:dyDescent="0.35">
      <c r="A311" s="9" t="str">
        <f>HYPERLINK("http://www.ensembl.org/id/WBGene00001683", "WBGene00001683")</f>
        <v>WBGene00001683</v>
      </c>
      <c r="B311" s="9" t="str">
        <f>HYPERLINK("http://www.ncbi.nlm.nih.gov/gene/174603", "174603")</f>
        <v>174603</v>
      </c>
      <c r="C311" s="9" t="str">
        <f>HYPERLINK("http://www.ncbi.nlm.nih.gov/gene/2597", "2597")</f>
        <v>2597</v>
      </c>
      <c r="D311" t="str">
        <f>"gpd-1"</f>
        <v>gpd-1</v>
      </c>
      <c r="E311" t="s">
        <v>308</v>
      </c>
      <c r="F311" t="s">
        <v>11</v>
      </c>
      <c r="G311" t="s">
        <v>286</v>
      </c>
      <c r="H311" s="12">
        <v>-2.1295355044855402</v>
      </c>
      <c r="I311" s="20">
        <v>-4.0288306030087204</v>
      </c>
      <c r="J311" s="28">
        <v>5.6054990065612098E-5</v>
      </c>
      <c r="K311" s="29">
        <v>4.1916071212169297E-3</v>
      </c>
    </row>
    <row r="312" spans="1:11" x14ac:dyDescent="0.35">
      <c r="A312" s="9" t="str">
        <f>HYPERLINK("http://www.ensembl.org/id/WBGene00008978", "WBGene00008978")</f>
        <v>WBGene00008978</v>
      </c>
      <c r="B312" s="9" t="str">
        <f>HYPERLINK("http://www.ncbi.nlm.nih.gov/gene/184721", "184721")</f>
        <v>184721</v>
      </c>
      <c r="C312" s="9"/>
      <c r="D312" t="str">
        <f>"cutl-3"</f>
        <v>cutl-3</v>
      </c>
      <c r="E312" t="s">
        <v>166</v>
      </c>
      <c r="F312" t="s">
        <v>11</v>
      </c>
      <c r="G312" t="s">
        <v>25</v>
      </c>
      <c r="H312" s="12">
        <v>2.5867660608533698</v>
      </c>
      <c r="I312" s="20">
        <v>4.0271224733592801</v>
      </c>
      <c r="J312" s="28">
        <v>5.64636251566152E-5</v>
      </c>
      <c r="K312" s="29">
        <v>4.1950113275522503E-3</v>
      </c>
    </row>
    <row r="313" spans="1:11" x14ac:dyDescent="0.35">
      <c r="A313" s="9" t="str">
        <f>HYPERLINK("http://www.ensembl.org/id/WBGene00010263", "WBGene00010263")</f>
        <v>WBGene00010263</v>
      </c>
      <c r="B313" s="9" t="str">
        <f>HYPERLINK("http://www.ncbi.nlm.nih.gov/gene/174932", "174932")</f>
        <v>174932</v>
      </c>
      <c r="C313" s="9"/>
      <c r="D313" t="str">
        <f>"wago-4"</f>
        <v>wago-4</v>
      </c>
      <c r="E313" t="s">
        <v>309</v>
      </c>
      <c r="F313" t="s">
        <v>11</v>
      </c>
      <c r="G313" t="s">
        <v>310</v>
      </c>
      <c r="H313" s="12">
        <v>-2.2955810204501201</v>
      </c>
      <c r="I313" s="20">
        <v>-4.0272422522036404</v>
      </c>
      <c r="J313" s="28">
        <v>5.6434878768669203E-5</v>
      </c>
      <c r="K313" s="29">
        <v>4.1950113275522503E-3</v>
      </c>
    </row>
    <row r="314" spans="1:11" x14ac:dyDescent="0.35">
      <c r="A314" s="9" t="str">
        <f>HYPERLINK("http://www.ensembl.org/id/WBGene00016263", "WBGene00016263")</f>
        <v>WBGene00016263</v>
      </c>
      <c r="B314" s="9" t="str">
        <f>HYPERLINK("http://www.ncbi.nlm.nih.gov/gene/172429", "172429")</f>
        <v>172429</v>
      </c>
      <c r="C314" s="9"/>
      <c r="D314" t="str">
        <f>"C30F12.4"</f>
        <v>C30F12.4</v>
      </c>
      <c r="F314" t="s">
        <v>11</v>
      </c>
      <c r="H314" s="12">
        <v>-2.48536706242745</v>
      </c>
      <c r="I314" s="20">
        <v>-4.01953319138648</v>
      </c>
      <c r="J314" s="28">
        <v>5.8313566505370001E-5</v>
      </c>
      <c r="K314" s="29">
        <v>4.3185681656188399E-3</v>
      </c>
    </row>
    <row r="315" spans="1:11" x14ac:dyDescent="0.35">
      <c r="A315" s="9" t="str">
        <f>HYPERLINK("http://www.ensembl.org/id/WBGene00015912", "WBGene00015912")</f>
        <v>WBGene00015912</v>
      </c>
      <c r="B315" s="9" t="str">
        <f>HYPERLINK("http://www.ncbi.nlm.nih.gov/gene/173669", "173669")</f>
        <v>173669</v>
      </c>
      <c r="C315" s="9"/>
      <c r="D315" t="str">
        <f>"fbxc-50"</f>
        <v>fbxc-50</v>
      </c>
      <c r="E315" t="s">
        <v>311</v>
      </c>
      <c r="F315" t="s">
        <v>11</v>
      </c>
      <c r="H315" s="12">
        <v>-2.4088451244756102</v>
      </c>
      <c r="I315" s="20">
        <v>-4.0183213228936099</v>
      </c>
      <c r="J315" s="28">
        <v>5.86142311063254E-5</v>
      </c>
      <c r="K315" s="29">
        <v>4.3269662106797304E-3</v>
      </c>
    </row>
    <row r="316" spans="1:11" x14ac:dyDescent="0.35">
      <c r="A316" s="9" t="str">
        <f>HYPERLINK("http://www.ensembl.org/id/WBGene00010865", "WBGene00010865")</f>
        <v>WBGene00010865</v>
      </c>
      <c r="B316" s="9" t="str">
        <f>HYPERLINK("http://www.ncbi.nlm.nih.gov/gene/187446", "187446")</f>
        <v>187446</v>
      </c>
      <c r="C316" s="9"/>
      <c r="D316" t="str">
        <f>"M04D8.7"</f>
        <v>M04D8.7</v>
      </c>
      <c r="F316" t="s">
        <v>11</v>
      </c>
      <c r="G316" t="s">
        <v>25</v>
      </c>
      <c r="H316" s="12">
        <v>3.8698814831794599</v>
      </c>
      <c r="I316" s="20">
        <v>4.01681456213805</v>
      </c>
      <c r="J316" s="28">
        <v>5.8990106129454803E-5</v>
      </c>
      <c r="K316" s="29">
        <v>4.34084519817574E-3</v>
      </c>
    </row>
    <row r="317" spans="1:11" x14ac:dyDescent="0.35">
      <c r="A317" s="9" t="str">
        <f>HYPERLINK("http://www.ensembl.org/id/WBGene00000287", "WBGene00000287")</f>
        <v>WBGene00000287</v>
      </c>
      <c r="B317" s="9" t="str">
        <f>HYPERLINK("http://www.ncbi.nlm.nih.gov/gene/177143", "177143")</f>
        <v>177143</v>
      </c>
      <c r="C317" s="9"/>
      <c r="D317" t="str">
        <f>"cal-3"</f>
        <v>cal-3</v>
      </c>
      <c r="E317" t="s">
        <v>312</v>
      </c>
      <c r="F317" t="s">
        <v>11</v>
      </c>
      <c r="G317" t="s">
        <v>313</v>
      </c>
      <c r="H317" s="12">
        <v>2.5164894443450501</v>
      </c>
      <c r="I317" s="20">
        <v>4.0086117045577501</v>
      </c>
      <c r="J317" s="28">
        <v>6.1076746927818203E-5</v>
      </c>
      <c r="K317" s="29">
        <v>4.4659471978296403E-3</v>
      </c>
    </row>
    <row r="318" spans="1:11" x14ac:dyDescent="0.35">
      <c r="A318" s="9" t="str">
        <f>HYPERLINK("http://www.ensembl.org/id/WBGene00011019", "WBGene00011019")</f>
        <v>WBGene00011019</v>
      </c>
      <c r="B318" s="9" t="str">
        <f>HYPERLINK("http://www.ncbi.nlm.nih.gov/gene/187594", "187594")</f>
        <v>187594</v>
      </c>
      <c r="C318" s="9"/>
      <c r="D318" t="str">
        <f>"R05A10.2"</f>
        <v>R05A10.2</v>
      </c>
      <c r="F318" t="s">
        <v>11</v>
      </c>
      <c r="H318" s="12">
        <v>2.9371704310050699</v>
      </c>
      <c r="I318" s="20">
        <v>4.00863587408646</v>
      </c>
      <c r="J318" s="28">
        <v>6.1070497285204399E-5</v>
      </c>
      <c r="K318" s="29">
        <v>4.4659471978296403E-3</v>
      </c>
    </row>
    <row r="319" spans="1:11" x14ac:dyDescent="0.35">
      <c r="A319" s="9" t="str">
        <f>HYPERLINK("http://www.ensembl.org/id/WBGene00044174", "WBGene00044174")</f>
        <v>WBGene00044174</v>
      </c>
      <c r="B319" s="9" t="str">
        <f>HYPERLINK("http://www.ncbi.nlm.nih.gov/gene/3565026", "3565026")</f>
        <v>3565026</v>
      </c>
      <c r="C319" s="9"/>
      <c r="D319" t="str">
        <f>"fipr-5"</f>
        <v>fipr-5</v>
      </c>
      <c r="E319" t="s">
        <v>28</v>
      </c>
      <c r="F319" t="s">
        <v>11</v>
      </c>
      <c r="H319" s="12">
        <v>2.24472344573261</v>
      </c>
      <c r="I319" s="20">
        <v>4.0051664449812501</v>
      </c>
      <c r="J319" s="28">
        <v>6.1973827671139305E-5</v>
      </c>
      <c r="K319" s="29">
        <v>4.5172468838149699E-3</v>
      </c>
    </row>
    <row r="320" spans="1:11" x14ac:dyDescent="0.35">
      <c r="A320" s="9" t="str">
        <f>HYPERLINK("http://www.ensembl.org/id/WBGene00021797", "WBGene00021797")</f>
        <v>WBGene00021797</v>
      </c>
      <c r="B320" s="9" t="str">
        <f>HYPERLINK("http://www.ncbi.nlm.nih.gov/gene/190188", "190188")</f>
        <v>190188</v>
      </c>
      <c r="C320" s="9"/>
      <c r="D320" t="str">
        <f>"plep-1"</f>
        <v>plep-1</v>
      </c>
      <c r="E320" t="s">
        <v>314</v>
      </c>
      <c r="F320" t="s">
        <v>11</v>
      </c>
      <c r="G320" t="s">
        <v>25</v>
      </c>
      <c r="H320" s="12">
        <v>3.6853940659164799</v>
      </c>
      <c r="I320" s="20">
        <v>4.0033664202938901</v>
      </c>
      <c r="J320" s="28">
        <v>6.2447467312951905E-5</v>
      </c>
      <c r="K320" s="29">
        <v>4.5374565400410896E-3</v>
      </c>
    </row>
    <row r="321" spans="1:11" x14ac:dyDescent="0.35">
      <c r="A321" s="9" t="str">
        <f>HYPERLINK("http://www.ensembl.org/id/WBGene00009400", "WBGene00009400")</f>
        <v>WBGene00009400</v>
      </c>
      <c r="B321" s="9" t="str">
        <f>HYPERLINK("http://www.ncbi.nlm.nih.gov/gene/174930", "174930")</f>
        <v>174930</v>
      </c>
      <c r="C321" s="9"/>
      <c r="D321" t="str">
        <f>"F35C5.12"</f>
        <v>F35C5.12</v>
      </c>
      <c r="F321" t="s">
        <v>11</v>
      </c>
      <c r="G321" t="s">
        <v>315</v>
      </c>
      <c r="H321" s="12">
        <v>2.2489139401396199</v>
      </c>
      <c r="I321" s="20">
        <v>3.9995506852277098</v>
      </c>
      <c r="J321" s="28">
        <v>6.3462855594391299E-5</v>
      </c>
      <c r="K321" s="29">
        <v>4.5967797534921797E-3</v>
      </c>
    </row>
    <row r="322" spans="1:11" x14ac:dyDescent="0.35">
      <c r="A322" s="9" t="str">
        <f>HYPERLINK("http://www.ensembl.org/id/WBGene00001608", "WBGene00001608")</f>
        <v>WBGene00001608</v>
      </c>
      <c r="B322" s="9" t="str">
        <f>HYPERLINK("http://www.ncbi.nlm.nih.gov/gene/187649", "187649")</f>
        <v>187649</v>
      </c>
      <c r="C322" s="9"/>
      <c r="D322" t="str">
        <f>"R07B1.8"</f>
        <v>R07B1.8</v>
      </c>
      <c r="F322" t="s">
        <v>11</v>
      </c>
      <c r="H322" s="12">
        <v>5.3455313966838904</v>
      </c>
      <c r="I322" s="20">
        <v>3.9902472273016198</v>
      </c>
      <c r="J322" s="28">
        <v>6.60044591185668E-5</v>
      </c>
      <c r="K322" s="29">
        <v>4.7659344762300097E-3</v>
      </c>
    </row>
    <row r="323" spans="1:11" x14ac:dyDescent="0.35">
      <c r="A323" s="9" t="str">
        <f>HYPERLINK("http://www.ensembl.org/id/WBGene00009626", "WBGene00009626")</f>
        <v>WBGene00009626</v>
      </c>
      <c r="B323" s="9" t="str">
        <f>HYPERLINK("http://www.ncbi.nlm.nih.gov/gene/174481", "174481")</f>
        <v>174481</v>
      </c>
      <c r="C323" s="9"/>
      <c r="D323" t="str">
        <f>"F42A8.1"</f>
        <v>F42A8.1</v>
      </c>
      <c r="F323" t="s">
        <v>11</v>
      </c>
      <c r="H323" s="12">
        <v>2.1336993852586299</v>
      </c>
      <c r="I323" s="20">
        <v>3.9847834578869499</v>
      </c>
      <c r="J323" s="28">
        <v>6.7541689090129002E-5</v>
      </c>
      <c r="K323" s="29">
        <v>4.8393323811773796E-3</v>
      </c>
    </row>
    <row r="324" spans="1:11" x14ac:dyDescent="0.35">
      <c r="A324" s="9" t="str">
        <f>HYPERLINK("http://www.ensembl.org/id/WBGene00045338", "WBGene00045338")</f>
        <v>WBGene00045338</v>
      </c>
      <c r="B324" s="9" t="str">
        <f>HYPERLINK("http://www.ncbi.nlm.nih.gov/gene/13216887", "13216887")</f>
        <v>13216887</v>
      </c>
      <c r="C324" s="9" t="str">
        <f>HYPERLINK("http://www.ncbi.nlm.nih.gov/gene/84457", "84457")</f>
        <v>84457</v>
      </c>
      <c r="D324" t="str">
        <f>"M01B2.13"</f>
        <v>M01B2.13</v>
      </c>
      <c r="F324" t="s">
        <v>11</v>
      </c>
      <c r="G324" t="s">
        <v>318</v>
      </c>
      <c r="H324" s="12">
        <v>-4.6349628998166796</v>
      </c>
      <c r="I324" s="20">
        <v>-3.9844054530369699</v>
      </c>
      <c r="J324" s="28">
        <v>6.7649284130541607E-5</v>
      </c>
      <c r="K324" s="29">
        <v>4.8393323811773796E-3</v>
      </c>
    </row>
    <row r="325" spans="1:11" x14ac:dyDescent="0.35">
      <c r="A325" s="9" t="str">
        <f>HYPERLINK("http://www.ensembl.org/id/WBGene00019247", "WBGene00019247")</f>
        <v>WBGene00019247</v>
      </c>
      <c r="B325" s="9" t="str">
        <f>HYPERLINK("http://www.ncbi.nlm.nih.gov/gene/172411", "172411")</f>
        <v>172411</v>
      </c>
      <c r="C325" s="9"/>
      <c r="D325" t="str">
        <f>"syp-4"</f>
        <v>syp-4</v>
      </c>
      <c r="E325" t="s">
        <v>316</v>
      </c>
      <c r="F325" t="s">
        <v>11</v>
      </c>
      <c r="G325" t="s">
        <v>317</v>
      </c>
      <c r="H325" s="12">
        <v>-2.3777709632971402</v>
      </c>
      <c r="I325" s="20">
        <v>-3.98527846649763</v>
      </c>
      <c r="J325" s="28">
        <v>6.7401035037068394E-5</v>
      </c>
      <c r="K325" s="29">
        <v>4.8393323811773796E-3</v>
      </c>
    </row>
    <row r="326" spans="1:11" x14ac:dyDescent="0.35">
      <c r="A326" s="9" t="str">
        <f>HYPERLINK("http://www.ensembl.org/id/WBGene00001977", "WBGene00001977")</f>
        <v>WBGene00001977</v>
      </c>
      <c r="B326" s="9" t="str">
        <f>HYPERLINK("http://www.ncbi.nlm.nih.gov/gene/174829", "174829")</f>
        <v>174829</v>
      </c>
      <c r="C326" s="9"/>
      <c r="D326" t="str">
        <f>"hmg-12"</f>
        <v>hmg-12</v>
      </c>
      <c r="E326" t="s">
        <v>319</v>
      </c>
      <c r="F326" t="s">
        <v>11</v>
      </c>
      <c r="G326" t="s">
        <v>320</v>
      </c>
      <c r="H326" s="12">
        <v>-2.09987073380137</v>
      </c>
      <c r="I326" s="20">
        <v>-3.9790695402883798</v>
      </c>
      <c r="J326" s="28">
        <v>6.9185503985392003E-5</v>
      </c>
      <c r="K326" s="29">
        <v>4.9339514045878604E-3</v>
      </c>
    </row>
    <row r="327" spans="1:11" x14ac:dyDescent="0.35">
      <c r="A327" s="9" t="str">
        <f>HYPERLINK("http://www.ensembl.org/id/WBGene00000599", "WBGene00000599")</f>
        <v>WBGene00000599</v>
      </c>
      <c r="B327" s="9" t="str">
        <f>HYPERLINK("http://www.ncbi.nlm.nih.gov/gene/179298", "179298")</f>
        <v>179298</v>
      </c>
      <c r="C327" s="9"/>
      <c r="D327" t="str">
        <f>"col-10"</f>
        <v>col-10</v>
      </c>
      <c r="E327" t="s">
        <v>321</v>
      </c>
      <c r="F327" t="s">
        <v>11</v>
      </c>
      <c r="G327" t="s">
        <v>152</v>
      </c>
      <c r="H327" s="12">
        <v>2.5719810369612701</v>
      </c>
      <c r="I327" s="20">
        <v>3.97572951647106</v>
      </c>
      <c r="J327" s="28">
        <v>7.0163837400882901E-5</v>
      </c>
      <c r="K327" s="29">
        <v>4.9883250061070802E-3</v>
      </c>
    </row>
    <row r="328" spans="1:11" x14ac:dyDescent="0.35">
      <c r="A328" s="9" t="str">
        <f>HYPERLINK("http://www.ensembl.org/id/WBGene00018340", "WBGene00018340")</f>
        <v>WBGene00018340</v>
      </c>
      <c r="B328" s="9" t="str">
        <f>HYPERLINK("http://www.ncbi.nlm.nih.gov/gene/175868", "175868")</f>
        <v>175868</v>
      </c>
      <c r="C328" s="9"/>
      <c r="D328" t="str">
        <f>"anmt-2"</f>
        <v>anmt-2</v>
      </c>
      <c r="E328" t="s">
        <v>322</v>
      </c>
      <c r="F328" t="s">
        <v>11</v>
      </c>
      <c r="G328" t="s">
        <v>323</v>
      </c>
      <c r="H328" s="12">
        <v>2.22388505615453</v>
      </c>
      <c r="I328" s="20">
        <v>3.9733509254579702</v>
      </c>
      <c r="J328" s="28">
        <v>7.0868518959279494E-5</v>
      </c>
      <c r="K328" s="29">
        <v>5.0076085598566101E-3</v>
      </c>
    </row>
    <row r="329" spans="1:11" x14ac:dyDescent="0.35">
      <c r="A329" s="9" t="str">
        <f>HYPERLINK("http://www.ensembl.org/id/WBGene00003497", "WBGene00003497")</f>
        <v>WBGene00003497</v>
      </c>
      <c r="B329" s="9" t="str">
        <f>HYPERLINK("http://www.ncbi.nlm.nih.gov/gene/176060", "176060")</f>
        <v>176060</v>
      </c>
      <c r="C329" s="9"/>
      <c r="D329" t="str">
        <f>"mup-4"</f>
        <v>mup-4</v>
      </c>
      <c r="E329" t="s">
        <v>324</v>
      </c>
      <c r="F329" t="s">
        <v>11</v>
      </c>
      <c r="G329" t="s">
        <v>325</v>
      </c>
      <c r="H329" s="12">
        <v>2.09611648907716</v>
      </c>
      <c r="I329" s="20">
        <v>3.9738692525383499</v>
      </c>
      <c r="J329" s="28">
        <v>7.0714391179916002E-5</v>
      </c>
      <c r="K329" s="29">
        <v>5.0076085598566101E-3</v>
      </c>
    </row>
    <row r="330" spans="1:11" x14ac:dyDescent="0.35">
      <c r="A330" s="9" t="str">
        <f>HYPERLINK("http://www.ensembl.org/id/WBGene00012301", "WBGene00012301")</f>
        <v>WBGene00012301</v>
      </c>
      <c r="B330" s="9" t="str">
        <f>HYPERLINK("http://www.ncbi.nlm.nih.gov/gene/189243", "189243")</f>
        <v>189243</v>
      </c>
      <c r="C330" s="9"/>
      <c r="D330" t="str">
        <f>"W06D11.3"</f>
        <v>W06D11.3</v>
      </c>
      <c r="F330" t="s">
        <v>11</v>
      </c>
      <c r="H330" s="12">
        <v>-2.9880439801927601</v>
      </c>
      <c r="I330" s="20">
        <v>-3.96272652942138</v>
      </c>
      <c r="J330" s="28">
        <v>7.4098642789957594E-5</v>
      </c>
      <c r="K330" s="29">
        <v>5.2198879277584103E-3</v>
      </c>
    </row>
    <row r="331" spans="1:11" x14ac:dyDescent="0.35">
      <c r="A331" s="9" t="str">
        <f>HYPERLINK("http://www.ensembl.org/id/WBGene00016501", "WBGene00016501")</f>
        <v>WBGene00016501</v>
      </c>
      <c r="B331" s="9" t="str">
        <f>HYPERLINK("http://www.ncbi.nlm.nih.gov/gene/179164", "179164")</f>
        <v>179164</v>
      </c>
      <c r="C331" s="9"/>
      <c r="D331" t="str">
        <f>"C37C3.9"</f>
        <v>C37C3.9</v>
      </c>
      <c r="F331" t="s">
        <v>11</v>
      </c>
      <c r="G331" t="s">
        <v>54</v>
      </c>
      <c r="H331" s="12">
        <v>-2.1813010579756802</v>
      </c>
      <c r="I331" s="20">
        <v>-3.9582581744472298</v>
      </c>
      <c r="J331" s="28">
        <v>7.54983269830645E-5</v>
      </c>
      <c r="K331" s="29">
        <v>5.3023232318258002E-3</v>
      </c>
    </row>
    <row r="332" spans="1:11" x14ac:dyDescent="0.35">
      <c r="A332" s="9" t="str">
        <f>HYPERLINK("http://www.ensembl.org/id/WBGene00010513", "WBGene00010513")</f>
        <v>WBGene00010513</v>
      </c>
      <c r="B332" s="9" t="str">
        <f>HYPERLINK("http://www.ncbi.nlm.nih.gov/gene/186895", "186895")</f>
        <v>186895</v>
      </c>
      <c r="C332" s="9"/>
      <c r="D332" t="str">
        <f>"K02E11.4"</f>
        <v>K02E11.4</v>
      </c>
      <c r="F332" t="s">
        <v>11</v>
      </c>
      <c r="H332" s="12">
        <v>2.5659781547982301</v>
      </c>
      <c r="I332" s="20">
        <v>3.9493331902423798</v>
      </c>
      <c r="J332" s="28">
        <v>7.8369202092770505E-5</v>
      </c>
      <c r="K332" s="29">
        <v>5.4872690410774404E-3</v>
      </c>
    </row>
    <row r="333" spans="1:11" x14ac:dyDescent="0.35">
      <c r="A333" s="9" t="str">
        <f>HYPERLINK("http://www.ensembl.org/id/WBGene00011597", "WBGene00011597")</f>
        <v>WBGene00011597</v>
      </c>
      <c r="B333" s="9" t="str">
        <f>HYPERLINK("http://www.ncbi.nlm.nih.gov/gene/3565259", "3565259")</f>
        <v>3565259</v>
      </c>
      <c r="C333" s="9"/>
      <c r="D333" t="str">
        <f>"zim-1"</f>
        <v>zim-1</v>
      </c>
      <c r="E333" t="s">
        <v>326</v>
      </c>
      <c r="F333" t="s">
        <v>11</v>
      </c>
      <c r="G333" t="s">
        <v>327</v>
      </c>
      <c r="H333" s="12">
        <v>-2.6815352413531701</v>
      </c>
      <c r="I333" s="20">
        <v>-3.9474902373202698</v>
      </c>
      <c r="J333" s="28">
        <v>7.8974737400828096E-5</v>
      </c>
      <c r="K333" s="29">
        <v>5.5129615781979897E-3</v>
      </c>
    </row>
    <row r="334" spans="1:11" x14ac:dyDescent="0.35">
      <c r="A334" s="9" t="str">
        <f>HYPERLINK("http://www.ensembl.org/id/WBGene00009651", "WBGene00009651")</f>
        <v>WBGene00009651</v>
      </c>
      <c r="B334" s="9"/>
      <c r="C334" s="9"/>
      <c r="D334" t="str">
        <f>"F43D2.2"</f>
        <v>F43D2.2</v>
      </c>
      <c r="F334" t="s">
        <v>80</v>
      </c>
      <c r="H334" s="12">
        <v>-3.5297308628864998</v>
      </c>
      <c r="I334" s="20">
        <v>-3.9448166224311398</v>
      </c>
      <c r="J334" s="28">
        <v>7.9861069355615706E-5</v>
      </c>
      <c r="K334" s="29">
        <v>5.5580417726832998E-3</v>
      </c>
    </row>
    <row r="335" spans="1:11" x14ac:dyDescent="0.35">
      <c r="A335" s="9" t="str">
        <f>HYPERLINK("http://www.ensembl.org/id/WBGene00015591", "WBGene00015591")</f>
        <v>WBGene00015591</v>
      </c>
      <c r="B335" s="9" t="str">
        <f>HYPERLINK("http://www.ncbi.nlm.nih.gov/gene/176092", "176092")</f>
        <v>176092</v>
      </c>
      <c r="C335" s="9"/>
      <c r="D335" t="str">
        <f>"cyk-7"</f>
        <v>cyk-7</v>
      </c>
      <c r="E335" t="s">
        <v>328</v>
      </c>
      <c r="F335" t="s">
        <v>11</v>
      </c>
      <c r="G335" t="s">
        <v>54</v>
      </c>
      <c r="H335" s="12">
        <v>-2.3650633032639301</v>
      </c>
      <c r="I335" s="20">
        <v>-3.94152493848661</v>
      </c>
      <c r="J335" s="28">
        <v>8.0965215000277206E-5</v>
      </c>
      <c r="K335" s="29">
        <v>5.6179647381273401E-3</v>
      </c>
    </row>
    <row r="336" spans="1:11" x14ac:dyDescent="0.35">
      <c r="A336" s="9" t="str">
        <f>HYPERLINK("http://www.ensembl.org/id/WBGene00008210", "WBGene00008210")</f>
        <v>WBGene00008210</v>
      </c>
      <c r="B336" s="9" t="str">
        <f>HYPERLINK("http://www.ncbi.nlm.nih.gov/gene/181372", "181372")</f>
        <v>181372</v>
      </c>
      <c r="C336" s="9"/>
      <c r="D336" t="str">
        <f>"C49F5.6"</f>
        <v>C49F5.6</v>
      </c>
      <c r="F336" t="s">
        <v>11</v>
      </c>
      <c r="H336" s="12">
        <v>-2.5190425057683501</v>
      </c>
      <c r="I336" s="20">
        <v>-3.9333658214323601</v>
      </c>
      <c r="J336" s="28">
        <v>8.3764606450950404E-5</v>
      </c>
      <c r="K336" s="29">
        <v>5.7775074527034601E-3</v>
      </c>
    </row>
    <row r="337" spans="1:11" x14ac:dyDescent="0.35">
      <c r="A337" s="9" t="str">
        <f>HYPERLINK("http://www.ensembl.org/id/WBGene00001188", "WBGene00001188")</f>
        <v>WBGene00001188</v>
      </c>
      <c r="B337" s="9" t="str">
        <f>HYPERLINK("http://www.ncbi.nlm.nih.gov/gene/177821", "177821")</f>
        <v>177821</v>
      </c>
      <c r="C337" s="9" t="str">
        <f>HYPERLINK("http://www.ncbi.nlm.nih.gov/gene/51384", "51384")</f>
        <v>51384</v>
      </c>
      <c r="D337" t="str">
        <f>"egl-20"</f>
        <v>egl-20</v>
      </c>
      <c r="E337" t="s">
        <v>329</v>
      </c>
      <c r="F337" t="s">
        <v>11</v>
      </c>
      <c r="G337" t="s">
        <v>330</v>
      </c>
      <c r="H337" s="12">
        <v>2.0975203275266798</v>
      </c>
      <c r="I337" s="20">
        <v>3.9334436680501002</v>
      </c>
      <c r="J337" s="28">
        <v>8.3737470269712604E-5</v>
      </c>
      <c r="K337" s="29">
        <v>5.7775074527034601E-3</v>
      </c>
    </row>
    <row r="338" spans="1:11" x14ac:dyDescent="0.35">
      <c r="A338" s="9" t="str">
        <f>HYPERLINK("http://www.ensembl.org/id/WBGene00002050", "WBGene00002050")</f>
        <v>WBGene00002050</v>
      </c>
      <c r="B338" s="9" t="str">
        <f>HYPERLINK("http://www.ncbi.nlm.nih.gov/gene/181316", "181316")</f>
        <v>181316</v>
      </c>
      <c r="C338" s="9" t="str">
        <f>HYPERLINK("http://www.ncbi.nlm.nih.gov/gene/84823", "84823")</f>
        <v>84823</v>
      </c>
      <c r="D338" t="str">
        <f>"ifa-1"</f>
        <v>ifa-1</v>
      </c>
      <c r="E338" t="s">
        <v>331</v>
      </c>
      <c r="F338" t="s">
        <v>11</v>
      </c>
      <c r="H338" s="12">
        <v>2.0832646695994699</v>
      </c>
      <c r="I338" s="20">
        <v>3.9306727812983602</v>
      </c>
      <c r="J338" s="28">
        <v>8.4708493397351E-5</v>
      </c>
      <c r="K338" s="29">
        <v>5.8252215727356898E-3</v>
      </c>
    </row>
    <row r="339" spans="1:11" x14ac:dyDescent="0.35">
      <c r="A339" s="9" t="str">
        <f>HYPERLINK("http://www.ensembl.org/id/WBGene00013585", "WBGene00013585")</f>
        <v>WBGene00013585</v>
      </c>
      <c r="B339" s="9" t="str">
        <f>HYPERLINK("http://www.ncbi.nlm.nih.gov/gene/180236", "180236")</f>
        <v>180236</v>
      </c>
      <c r="C339" s="9"/>
      <c r="D339" t="str">
        <f>"cyp-42A1"</f>
        <v>cyp-42A1</v>
      </c>
      <c r="E339" t="s">
        <v>176</v>
      </c>
      <c r="F339" t="s">
        <v>11</v>
      </c>
      <c r="G339" t="s">
        <v>332</v>
      </c>
      <c r="H339" s="12">
        <v>2.2027798094803299</v>
      </c>
      <c r="I339" s="20">
        <v>3.9291548765120798</v>
      </c>
      <c r="J339" s="28">
        <v>8.5244925605457202E-5</v>
      </c>
      <c r="K339" s="29">
        <v>5.84471587845606E-3</v>
      </c>
    </row>
    <row r="340" spans="1:11" x14ac:dyDescent="0.35">
      <c r="A340" s="9" t="str">
        <f>HYPERLINK("http://www.ensembl.org/id/WBGene00017263", "WBGene00017263")</f>
        <v>WBGene00017263</v>
      </c>
      <c r="B340" s="9" t="str">
        <f>HYPERLINK("http://www.ncbi.nlm.nih.gov/gene/178925", "178925")</f>
        <v>178925</v>
      </c>
      <c r="C340" s="9"/>
      <c r="D340" t="str">
        <f>"F08F3.6"</f>
        <v>F08F3.6</v>
      </c>
      <c r="F340" t="s">
        <v>11</v>
      </c>
      <c r="G340" t="s">
        <v>54</v>
      </c>
      <c r="H340" s="12">
        <v>-2.2828641211071199</v>
      </c>
      <c r="I340" s="20">
        <v>-3.9266850424844999</v>
      </c>
      <c r="J340" s="28">
        <v>8.6124639048539296E-5</v>
      </c>
      <c r="K340" s="29">
        <v>5.8875618634779596E-3</v>
      </c>
    </row>
    <row r="341" spans="1:11" x14ac:dyDescent="0.35">
      <c r="A341" s="9" t="str">
        <f>HYPERLINK("http://www.ensembl.org/id/WBGene00004972", "WBGene00004972")</f>
        <v>WBGene00004972</v>
      </c>
      <c r="B341" s="9" t="str">
        <f>HYPERLINK("http://www.ncbi.nlm.nih.gov/gene/177929", "177929")</f>
        <v>177929</v>
      </c>
      <c r="C341" s="9"/>
      <c r="D341" t="str">
        <f>"spe-26"</f>
        <v>spe-26</v>
      </c>
      <c r="E341" t="s">
        <v>333</v>
      </c>
      <c r="F341" t="s">
        <v>11</v>
      </c>
      <c r="G341" t="s">
        <v>334</v>
      </c>
      <c r="H341" s="12">
        <v>-2.4266613723420098</v>
      </c>
      <c r="I341" s="20">
        <v>-3.9201274656130201</v>
      </c>
      <c r="J341" s="28">
        <v>8.8502146270638899E-5</v>
      </c>
      <c r="K341" s="29">
        <v>6.0322436334200097E-3</v>
      </c>
    </row>
    <row r="342" spans="1:11" x14ac:dyDescent="0.35">
      <c r="A342" s="9" t="str">
        <f>HYPERLINK("http://www.ensembl.org/id/WBGene00021675", "WBGene00021675")</f>
        <v>WBGene00021675</v>
      </c>
      <c r="B342" s="9" t="str">
        <f>HYPERLINK("http://www.ncbi.nlm.nih.gov/gene/24105124", "24105124")</f>
        <v>24105124</v>
      </c>
      <c r="C342" s="9"/>
      <c r="D342" t="str">
        <f>"Y48G1BR.1"</f>
        <v>Y48G1BR.1</v>
      </c>
      <c r="F342" t="s">
        <v>11</v>
      </c>
      <c r="G342" t="s">
        <v>25</v>
      </c>
      <c r="H342" s="12">
        <v>2.30143165388575</v>
      </c>
      <c r="I342" s="20">
        <v>3.9188461928757001</v>
      </c>
      <c r="J342" s="28">
        <v>8.8973866273542594E-5</v>
      </c>
      <c r="K342" s="29">
        <v>6.04655927681316E-3</v>
      </c>
    </row>
    <row r="343" spans="1:11" x14ac:dyDescent="0.35">
      <c r="A343" s="9" t="str">
        <f>HYPERLINK("http://www.ensembl.org/id/WBGene00019563", "WBGene00019563")</f>
        <v>WBGene00019563</v>
      </c>
      <c r="B343" s="9" t="str">
        <f>HYPERLINK("http://www.ncbi.nlm.nih.gov/gene/187204", "187204")</f>
        <v>187204</v>
      </c>
      <c r="C343" s="9"/>
      <c r="D343" t="str">
        <f>"K09C6.9"</f>
        <v>K09C6.9</v>
      </c>
      <c r="F343" t="s">
        <v>11</v>
      </c>
      <c r="H343" s="12">
        <v>3.6712598424824701</v>
      </c>
      <c r="I343" s="20">
        <v>3.9132351085869499</v>
      </c>
      <c r="J343" s="28">
        <v>9.1067789653788498E-5</v>
      </c>
      <c r="K343" s="29">
        <v>6.1707106971860297E-3</v>
      </c>
    </row>
    <row r="344" spans="1:11" x14ac:dyDescent="0.35">
      <c r="A344" s="9" t="str">
        <f>HYPERLINK("http://www.ensembl.org/id/WBGene00219375", "WBGene00219375")</f>
        <v>WBGene00219375</v>
      </c>
      <c r="B344" s="9" t="str">
        <f>HYPERLINK("http://www.ncbi.nlm.nih.gov/gene/13221698", "13221698")</f>
        <v>13221698</v>
      </c>
      <c r="C344" s="9"/>
      <c r="D344" t="str">
        <f>"C02B8.12"</f>
        <v>C02B8.12</v>
      </c>
      <c r="F344" t="s">
        <v>11</v>
      </c>
      <c r="H344" s="12">
        <v>2.6473841857476401</v>
      </c>
      <c r="I344" s="20">
        <v>3.9121585171187201</v>
      </c>
      <c r="J344" s="28">
        <v>9.1474833831414301E-5</v>
      </c>
      <c r="K344" s="29">
        <v>6.1801681593820499E-3</v>
      </c>
    </row>
    <row r="345" spans="1:11" x14ac:dyDescent="0.35">
      <c r="A345" s="9" t="str">
        <f>HYPERLINK("http://www.ensembl.org/id/WBGene00008005", "WBGene00008005")</f>
        <v>WBGene00008005</v>
      </c>
      <c r="B345" s="9" t="str">
        <f>HYPERLINK("http://www.ncbi.nlm.nih.gov/gene/175635", "175635")</f>
        <v>175635</v>
      </c>
      <c r="C345" s="9"/>
      <c r="D345" t="str">
        <f>"C38D4.4"</f>
        <v>C38D4.4</v>
      </c>
      <c r="F345" t="s">
        <v>11</v>
      </c>
      <c r="H345" s="12">
        <v>-2.4765267554357</v>
      </c>
      <c r="I345" s="20">
        <v>-3.9037143625361499</v>
      </c>
      <c r="J345" s="28">
        <v>9.4727572001286102E-5</v>
      </c>
      <c r="K345" s="29">
        <v>6.3812690339991804E-3</v>
      </c>
    </row>
    <row r="346" spans="1:11" x14ac:dyDescent="0.35">
      <c r="A346" s="9" t="str">
        <f>HYPERLINK("http://www.ensembl.org/id/WBGene00015794", "WBGene00015794")</f>
        <v>WBGene00015794</v>
      </c>
      <c r="B346" s="9" t="str">
        <f>HYPERLINK("http://www.ncbi.nlm.nih.gov/gene/182638", "182638")</f>
        <v>182638</v>
      </c>
      <c r="C346" s="9"/>
      <c r="D346" t="str">
        <f>"C15F1.1"</f>
        <v>C15F1.1</v>
      </c>
      <c r="F346" t="s">
        <v>11</v>
      </c>
      <c r="H346" s="12">
        <v>2.7561669634689498</v>
      </c>
      <c r="I346" s="20">
        <v>3.9006918255397598</v>
      </c>
      <c r="J346" s="28">
        <v>9.5918188682240905E-5</v>
      </c>
      <c r="K346" s="29">
        <v>6.4426908944530802E-3</v>
      </c>
    </row>
    <row r="347" spans="1:11" x14ac:dyDescent="0.35">
      <c r="A347" s="9" t="str">
        <f>HYPERLINK("http://www.ensembl.org/id/WBGene00007820", "WBGene00007820")</f>
        <v>WBGene00007820</v>
      </c>
      <c r="B347" s="9" t="str">
        <f>HYPERLINK("http://www.ncbi.nlm.nih.gov/gene/183064", "183064")</f>
        <v>183064</v>
      </c>
      <c r="C347" s="9"/>
      <c r="D347" t="str">
        <f>"clec-199"</f>
        <v>clec-199</v>
      </c>
      <c r="E347" t="s">
        <v>46</v>
      </c>
      <c r="F347" t="s">
        <v>11</v>
      </c>
      <c r="G347" t="s">
        <v>47</v>
      </c>
      <c r="H347" s="12">
        <v>2.5209591042497101</v>
      </c>
      <c r="I347" s="20">
        <v>3.8946537193283501</v>
      </c>
      <c r="J347" s="28">
        <v>9.8339112926517605E-5</v>
      </c>
      <c r="K347" s="29">
        <v>6.5506434286429797E-3</v>
      </c>
    </row>
    <row r="348" spans="1:11" x14ac:dyDescent="0.35">
      <c r="A348" s="9" t="str">
        <f>HYPERLINK("http://www.ensembl.org/id/WBGene00000969", "WBGene00000969")</f>
        <v>WBGene00000969</v>
      </c>
      <c r="B348" s="9" t="str">
        <f>HYPERLINK("http://www.ncbi.nlm.nih.gov/gene/173930", "173930")</f>
        <v>173930</v>
      </c>
      <c r="C348" s="9"/>
      <c r="D348" t="str">
        <f>"dhs-5"</f>
        <v>dhs-5</v>
      </c>
      <c r="E348" t="s">
        <v>335</v>
      </c>
      <c r="F348" t="s">
        <v>11</v>
      </c>
      <c r="G348" t="s">
        <v>336</v>
      </c>
      <c r="H348" s="12">
        <v>2.1827355351169899</v>
      </c>
      <c r="I348" s="20">
        <v>3.8938654360820601</v>
      </c>
      <c r="J348" s="28">
        <v>9.8659392069928097E-5</v>
      </c>
      <c r="K348" s="29">
        <v>6.5506434286429797E-3</v>
      </c>
    </row>
    <row r="349" spans="1:11" x14ac:dyDescent="0.35">
      <c r="A349" s="9" t="str">
        <f>HYPERLINK("http://www.ensembl.org/id/WBGene00044175", "WBGene00044175")</f>
        <v>WBGene00044175</v>
      </c>
      <c r="B349" s="9" t="str">
        <f>HYPERLINK("http://www.ncbi.nlm.nih.gov/gene/3565930", "3565930")</f>
        <v>3565930</v>
      </c>
      <c r="C349" s="9"/>
      <c r="D349" t="str">
        <f>"fipr-9"</f>
        <v>fipr-9</v>
      </c>
      <c r="E349" t="s">
        <v>28</v>
      </c>
      <c r="F349" t="s">
        <v>11</v>
      </c>
      <c r="H349" s="12">
        <v>2.5134098478904798</v>
      </c>
      <c r="I349" s="20">
        <v>3.8942825750410099</v>
      </c>
      <c r="J349" s="28">
        <v>9.8489786214139797E-5</v>
      </c>
      <c r="K349" s="29">
        <v>6.5506434286429797E-3</v>
      </c>
    </row>
    <row r="350" spans="1:11" x14ac:dyDescent="0.35">
      <c r="A350" s="9" t="str">
        <f>HYPERLINK("http://www.ensembl.org/id/WBGene00001647", "WBGene00001647")</f>
        <v>WBGene00001647</v>
      </c>
      <c r="B350" s="9" t="str">
        <f>HYPERLINK("http://www.ncbi.nlm.nih.gov/gene/172533", "172533")</f>
        <v>172533</v>
      </c>
      <c r="C350" s="9" t="str">
        <f>HYPERLINK("http://www.ncbi.nlm.nih.gov/gene/64841", "64841")</f>
        <v>64841</v>
      </c>
      <c r="D350" t="str">
        <f>"gna-2"</f>
        <v>gna-2</v>
      </c>
      <c r="E350" t="s">
        <v>337</v>
      </c>
      <c r="F350" t="s">
        <v>11</v>
      </c>
      <c r="G350" t="s">
        <v>338</v>
      </c>
      <c r="H350" s="12">
        <v>-2.2014094396875099</v>
      </c>
      <c r="I350" s="20">
        <v>-3.8952914561099199</v>
      </c>
      <c r="J350" s="28">
        <v>9.8080719310168106E-5</v>
      </c>
      <c r="K350" s="29">
        <v>6.5506434286429797E-3</v>
      </c>
    </row>
    <row r="351" spans="1:11" x14ac:dyDescent="0.35">
      <c r="A351" s="9" t="str">
        <f>HYPERLINK("http://www.ensembl.org/id/WBGene00017843", "WBGene00017843")</f>
        <v>WBGene00017843</v>
      </c>
      <c r="B351" s="9" t="str">
        <f>HYPERLINK("http://www.ncbi.nlm.nih.gov/gene/178888", "178888")</f>
        <v>178888</v>
      </c>
      <c r="C351" s="9"/>
      <c r="D351" t="str">
        <f>"F26G5.1"</f>
        <v>F26G5.1</v>
      </c>
      <c r="F351" t="s">
        <v>11</v>
      </c>
      <c r="H351" s="12">
        <v>-2.6079923671212502</v>
      </c>
      <c r="I351" s="20">
        <v>-3.8897008767824599</v>
      </c>
      <c r="J351" s="28">
        <v>1.00367859177437E-4</v>
      </c>
      <c r="K351" s="29">
        <v>6.6449849689222198E-3</v>
      </c>
    </row>
    <row r="352" spans="1:11" x14ac:dyDescent="0.35">
      <c r="A352" s="9" t="str">
        <f>HYPERLINK("http://www.ensembl.org/id/WBGene00013489", "WBGene00013489")</f>
        <v>WBGene00013489</v>
      </c>
      <c r="B352" s="9" t="str">
        <f>HYPERLINK("http://www.ncbi.nlm.nih.gov/gene/180218", "180218")</f>
        <v>180218</v>
      </c>
      <c r="C352" s="9"/>
      <c r="D352" t="str">
        <f>"col-42"</f>
        <v>col-42</v>
      </c>
      <c r="E352" t="s">
        <v>40</v>
      </c>
      <c r="F352" t="s">
        <v>11</v>
      </c>
      <c r="G352" t="s">
        <v>41</v>
      </c>
      <c r="H352" s="12">
        <v>2.13726476082577</v>
      </c>
      <c r="I352" s="20">
        <v>3.8807072894378898</v>
      </c>
      <c r="J352" s="28">
        <v>1.04153131568771E-4</v>
      </c>
      <c r="K352" s="29">
        <v>6.8758921657943199E-3</v>
      </c>
    </row>
    <row r="353" spans="1:11" x14ac:dyDescent="0.35">
      <c r="A353" s="9" t="str">
        <f>HYPERLINK("http://www.ensembl.org/id/WBGene00007969", "WBGene00007969")</f>
        <v>WBGene00007969</v>
      </c>
      <c r="B353" s="9" t="str">
        <f>HYPERLINK("http://www.ncbi.nlm.nih.gov/gene/175500", "175500")</f>
        <v>175500</v>
      </c>
      <c r="C353" s="9" t="str">
        <f>HYPERLINK("http://www.ncbi.nlm.nih.gov/gene/55902", "55902")</f>
        <v>55902</v>
      </c>
      <c r="D353" t="str">
        <f>"acs-19"</f>
        <v>acs-19</v>
      </c>
      <c r="E353" t="s">
        <v>339</v>
      </c>
      <c r="F353" t="s">
        <v>11</v>
      </c>
      <c r="G353" t="s">
        <v>340</v>
      </c>
      <c r="H353" s="12">
        <v>-2.0471915129284901</v>
      </c>
      <c r="I353" s="20">
        <v>-3.8799073208013199</v>
      </c>
      <c r="J353" s="28">
        <v>1.04496273595201E-4</v>
      </c>
      <c r="K353" s="29">
        <v>6.8788914464123097E-3</v>
      </c>
    </row>
    <row r="354" spans="1:11" x14ac:dyDescent="0.35">
      <c r="A354" s="9" t="str">
        <f>HYPERLINK("http://www.ensembl.org/id/WBGene00044132", "WBGene00044132")</f>
        <v>WBGene00044132</v>
      </c>
      <c r="B354" s="9" t="str">
        <f>HYPERLINK("http://www.ncbi.nlm.nih.gov/gene/3565519", "3565519")</f>
        <v>3565519</v>
      </c>
      <c r="C354" s="9"/>
      <c r="D354" t="str">
        <f>"C23H4.8"</f>
        <v>C23H4.8</v>
      </c>
      <c r="F354" t="s">
        <v>11</v>
      </c>
      <c r="H354" s="12">
        <v>3.4606658103934298</v>
      </c>
      <c r="I354" s="20">
        <v>3.8785687908226198</v>
      </c>
      <c r="J354" s="28">
        <v>1.05072815651545E-4</v>
      </c>
      <c r="K354" s="29">
        <v>6.8971945410357697E-3</v>
      </c>
    </row>
    <row r="355" spans="1:11" x14ac:dyDescent="0.35">
      <c r="A355" s="9" t="str">
        <f>HYPERLINK("http://www.ensembl.org/id/WBGene00011834", "WBGene00011834")</f>
        <v>WBGene00011834</v>
      </c>
      <c r="B355" s="9" t="str">
        <f>HYPERLINK("http://www.ncbi.nlm.nih.gov/gene/179554", "179554")</f>
        <v>179554</v>
      </c>
      <c r="C355" s="9"/>
      <c r="D355" t="str">
        <f>"dvc-1"</f>
        <v>dvc-1</v>
      </c>
      <c r="E355" t="s">
        <v>341</v>
      </c>
      <c r="F355" t="s">
        <v>11</v>
      </c>
      <c r="G355" t="s">
        <v>342</v>
      </c>
      <c r="H355" s="12">
        <v>-2.15804521390961</v>
      </c>
      <c r="I355" s="20">
        <v>-3.8751961605929601</v>
      </c>
      <c r="J355" s="28">
        <v>1.0653884061874E-4</v>
      </c>
      <c r="K355" s="29">
        <v>6.9736160094521398E-3</v>
      </c>
    </row>
    <row r="356" spans="1:11" x14ac:dyDescent="0.35">
      <c r="A356" s="9" t="str">
        <f>HYPERLINK("http://www.ensembl.org/id/WBGene00001609", "WBGene00001609")</f>
        <v>WBGene00001609</v>
      </c>
      <c r="B356" s="9" t="str">
        <f>HYPERLINK("http://www.ncbi.nlm.nih.gov/gene/176286", "176286")</f>
        <v>176286</v>
      </c>
      <c r="C356" s="9"/>
      <c r="D356" t="str">
        <f>"glp-1"</f>
        <v>glp-1</v>
      </c>
      <c r="F356" t="s">
        <v>11</v>
      </c>
      <c r="G356" t="s">
        <v>343</v>
      </c>
      <c r="H356" s="12">
        <v>-2.1247267746504801</v>
      </c>
      <c r="I356" s="20">
        <v>-3.8743929040107301</v>
      </c>
      <c r="J356" s="28">
        <v>1.06890837445889E-4</v>
      </c>
      <c r="K356" s="29">
        <v>6.9768917797308396E-3</v>
      </c>
    </row>
    <row r="357" spans="1:11" x14ac:dyDescent="0.35">
      <c r="A357" s="9" t="str">
        <f>HYPERLINK("http://www.ensembl.org/id/WBGene00010057", "WBGene00010057")</f>
        <v>WBGene00010057</v>
      </c>
      <c r="B357" s="9" t="str">
        <f>HYPERLINK("http://www.ncbi.nlm.nih.gov/gene/174770", "174770")</f>
        <v>174770</v>
      </c>
      <c r="C357" s="9"/>
      <c r="D357" t="str">
        <f>"F54D5.15"</f>
        <v>F54D5.15</v>
      </c>
      <c r="F357" t="s">
        <v>11</v>
      </c>
      <c r="H357" s="12">
        <v>2.788278361828</v>
      </c>
      <c r="I357" s="20">
        <v>3.8716598327643301</v>
      </c>
      <c r="J357" s="28">
        <v>1.08096739204151E-4</v>
      </c>
      <c r="K357" s="29">
        <v>7.0159642023907799E-3</v>
      </c>
    </row>
    <row r="358" spans="1:11" x14ac:dyDescent="0.35">
      <c r="A358" s="9" t="str">
        <f>HYPERLINK("http://www.ensembl.org/id/WBGene00022093", "WBGene00022093")</f>
        <v>WBGene00022093</v>
      </c>
      <c r="B358" s="9" t="str">
        <f>HYPERLINK("http://www.ncbi.nlm.nih.gov/gene/190543", "190543")</f>
        <v>190543</v>
      </c>
      <c r="C358" s="9"/>
      <c r="D358" t="str">
        <f>"Y69A2AR.22"</f>
        <v>Y69A2AR.22</v>
      </c>
      <c r="F358" t="s">
        <v>11</v>
      </c>
      <c r="H358" s="12">
        <v>2.4786110901737501</v>
      </c>
      <c r="I358" s="20">
        <v>3.8717914237482498</v>
      </c>
      <c r="J358" s="28">
        <v>1.08038384920359E-4</v>
      </c>
      <c r="K358" s="29">
        <v>7.0159642023907799E-3</v>
      </c>
    </row>
    <row r="359" spans="1:11" x14ac:dyDescent="0.35">
      <c r="A359" s="9" t="str">
        <f>HYPERLINK("http://www.ensembl.org/id/WBGene00001456", "WBGene00001456")</f>
        <v>WBGene00001456</v>
      </c>
      <c r="B359" s="9" t="str">
        <f>HYPERLINK("http://www.ncbi.nlm.nih.gov/gene/177547", "177547")</f>
        <v>177547</v>
      </c>
      <c r="C359" s="9"/>
      <c r="D359" t="str">
        <f>"flp-13"</f>
        <v>flp-13</v>
      </c>
      <c r="E359" t="s">
        <v>344</v>
      </c>
      <c r="F359" t="s">
        <v>11</v>
      </c>
      <c r="G359" t="s">
        <v>77</v>
      </c>
      <c r="H359" s="12">
        <v>2.4001151435769201</v>
      </c>
      <c r="I359" s="20">
        <v>3.8684073288384102</v>
      </c>
      <c r="J359" s="28">
        <v>1.09548555321445E-4</v>
      </c>
      <c r="K359" s="29">
        <v>7.0902770847543796E-3</v>
      </c>
    </row>
    <row r="360" spans="1:11" x14ac:dyDescent="0.35">
      <c r="A360" s="9" t="str">
        <f>HYPERLINK("http://www.ensembl.org/id/WBGene00013431", "WBGene00013431")</f>
        <v>WBGene00013431</v>
      </c>
      <c r="B360" s="9" t="str">
        <f>HYPERLINK("http://www.ncbi.nlm.nih.gov/gene/176591", "176591")</f>
        <v>176591</v>
      </c>
      <c r="C360" s="9"/>
      <c r="D360" t="str">
        <f>"ceh-92"</f>
        <v>ceh-92</v>
      </c>
      <c r="E360" t="s">
        <v>349</v>
      </c>
      <c r="F360" t="s">
        <v>11</v>
      </c>
      <c r="G360" t="s">
        <v>350</v>
      </c>
      <c r="H360" s="12">
        <v>-2.76388977272727</v>
      </c>
      <c r="I360" s="20">
        <v>-3.8659713310667398</v>
      </c>
      <c r="J360" s="28">
        <v>1.1064793616852301E-4</v>
      </c>
      <c r="K360" s="29">
        <v>7.1017533697497002E-3</v>
      </c>
    </row>
    <row r="361" spans="1:11" x14ac:dyDescent="0.35">
      <c r="A361" s="9" t="str">
        <f>HYPERLINK("http://www.ensembl.org/id/WBGene00006562", "WBGene00006562")</f>
        <v>WBGene00006562</v>
      </c>
      <c r="B361" s="9" t="str">
        <f>HYPERLINK("http://www.ncbi.nlm.nih.gov/gene/174327", "174327")</f>
        <v>174327</v>
      </c>
      <c r="C361" s="9"/>
      <c r="D361" t="str">
        <f>"tdc-1"</f>
        <v>tdc-1</v>
      </c>
      <c r="E361" t="s">
        <v>345</v>
      </c>
      <c r="F361" t="s">
        <v>11</v>
      </c>
      <c r="G361" t="s">
        <v>346</v>
      </c>
      <c r="H361" s="12">
        <v>-2.0847075670276598</v>
      </c>
      <c r="I361" s="20">
        <v>-3.86600841759391</v>
      </c>
      <c r="J361" s="28">
        <v>1.10631121042707E-4</v>
      </c>
      <c r="K361" s="29">
        <v>7.1017533697497002E-3</v>
      </c>
    </row>
    <row r="362" spans="1:11" x14ac:dyDescent="0.35">
      <c r="A362" s="9" t="str">
        <f>HYPERLINK("http://www.ensembl.org/id/WBGene00013862", "WBGene00013862")</f>
        <v>WBGene00013862</v>
      </c>
      <c r="B362" s="9" t="str">
        <f>HYPERLINK("http://www.ncbi.nlm.nih.gov/gene/179489", "179489")</f>
        <v>179489</v>
      </c>
      <c r="C362" s="9"/>
      <c r="D362" t="str">
        <f>"wdr-5.3"</f>
        <v>wdr-5.3</v>
      </c>
      <c r="E362" t="s">
        <v>347</v>
      </c>
      <c r="F362" t="s">
        <v>11</v>
      </c>
      <c r="G362" t="s">
        <v>348</v>
      </c>
      <c r="H362" s="12">
        <v>-2.3091478890672201</v>
      </c>
      <c r="I362" s="20">
        <v>-3.8660956655084902</v>
      </c>
      <c r="J362" s="28">
        <v>1.1059157212233999E-4</v>
      </c>
      <c r="K362" s="29">
        <v>7.1017533697497002E-3</v>
      </c>
    </row>
    <row r="363" spans="1:11" x14ac:dyDescent="0.35">
      <c r="A363" s="9" t="str">
        <f>HYPERLINK("http://www.ensembl.org/id/WBGene00010367", "WBGene00010367")</f>
        <v>WBGene00010367</v>
      </c>
      <c r="B363" s="9" t="str">
        <f>HYPERLINK("http://www.ncbi.nlm.nih.gov/gene/172577", "172577")</f>
        <v>172577</v>
      </c>
      <c r="C363" s="9"/>
      <c r="D363" t="str">
        <f>"H05L14.2"</f>
        <v>H05L14.2</v>
      </c>
      <c r="F363" t="s">
        <v>11</v>
      </c>
      <c r="G363" t="s">
        <v>51</v>
      </c>
      <c r="H363" s="12">
        <v>-2.4493705345915999</v>
      </c>
      <c r="I363" s="20">
        <v>-3.8628517251605601</v>
      </c>
      <c r="J363" s="28">
        <v>1.1207103679199099E-4</v>
      </c>
      <c r="K363" s="29">
        <v>7.1659212215827899E-3</v>
      </c>
    </row>
    <row r="364" spans="1:11" x14ac:dyDescent="0.35">
      <c r="A364" s="9" t="str">
        <f>HYPERLINK("http://www.ensembl.org/id/WBGene00006586", "WBGene00006586")</f>
        <v>WBGene00006586</v>
      </c>
      <c r="B364" s="9" t="str">
        <f>HYPERLINK("http://www.ncbi.nlm.nih.gov/gene/177295", "177295")</f>
        <v>177295</v>
      </c>
      <c r="C364" s="9"/>
      <c r="D364" t="str">
        <f>"tni-4"</f>
        <v>tni-4</v>
      </c>
      <c r="E364" t="s">
        <v>351</v>
      </c>
      <c r="F364" t="s">
        <v>11</v>
      </c>
      <c r="G364" t="s">
        <v>352</v>
      </c>
      <c r="H364" s="12">
        <v>2.22965556337767</v>
      </c>
      <c r="I364" s="20">
        <v>3.8624229926714202</v>
      </c>
      <c r="J364" s="28">
        <v>1.12267959933046E-4</v>
      </c>
      <c r="K364" s="29">
        <v>7.1659212215827899E-3</v>
      </c>
    </row>
    <row r="365" spans="1:11" x14ac:dyDescent="0.35">
      <c r="A365" s="9" t="str">
        <f>HYPERLINK("http://www.ensembl.org/id/WBGene00009547", "WBGene00009547")</f>
        <v>WBGene00009547</v>
      </c>
      <c r="B365" s="9" t="str">
        <f>HYPERLINK("http://www.ncbi.nlm.nih.gov/gene/185479", "185479")</f>
        <v>185479</v>
      </c>
      <c r="C365" s="9"/>
      <c r="D365" t="str">
        <f>"F38H4.3"</f>
        <v>F38H4.3</v>
      </c>
      <c r="F365" t="s">
        <v>11</v>
      </c>
      <c r="H365" s="12">
        <v>2.5231294207966899</v>
      </c>
      <c r="I365" s="20">
        <v>3.8543859623999199</v>
      </c>
      <c r="J365" s="28">
        <v>1.16020445326099E-4</v>
      </c>
      <c r="K365" s="29">
        <v>7.3850369413356797E-3</v>
      </c>
    </row>
    <row r="366" spans="1:11" x14ac:dyDescent="0.35">
      <c r="A366" s="9" t="str">
        <f>HYPERLINK("http://www.ensembl.org/id/WBGene00014252", "WBGene00014252")</f>
        <v>WBGene00014252</v>
      </c>
      <c r="B366" s="9" t="str">
        <f>HYPERLINK("http://www.ncbi.nlm.nih.gov/gene/174520", "174520")</f>
        <v>174520</v>
      </c>
      <c r="C366" s="9"/>
      <c r="D366" t="str">
        <f>"ZK1320.2"</f>
        <v>ZK1320.2</v>
      </c>
      <c r="F366" t="s">
        <v>11</v>
      </c>
      <c r="G366" t="s">
        <v>264</v>
      </c>
      <c r="H366" s="12">
        <v>-2.20090874473056</v>
      </c>
      <c r="I366" s="20">
        <v>-3.8443929100896601</v>
      </c>
      <c r="J366" s="28">
        <v>1.20851244846732E-4</v>
      </c>
      <c r="K366" s="29">
        <v>7.6713979764521803E-3</v>
      </c>
    </row>
    <row r="367" spans="1:11" x14ac:dyDescent="0.35">
      <c r="A367" s="9" t="str">
        <f>HYPERLINK("http://www.ensembl.org/id/WBGene00001730", "WBGene00001730")</f>
        <v>WBGene00001730</v>
      </c>
      <c r="B367" s="9" t="str">
        <f>HYPERLINK("http://www.ncbi.nlm.nih.gov/gene/177967", "177967")</f>
        <v>177967</v>
      </c>
      <c r="C367" s="9"/>
      <c r="D367" t="str">
        <f>"grl-21"</f>
        <v>grl-21</v>
      </c>
      <c r="E367" t="s">
        <v>353</v>
      </c>
      <c r="F367" t="s">
        <v>11</v>
      </c>
      <c r="H367" s="12">
        <v>-71.174117733297805</v>
      </c>
      <c r="I367" s="20">
        <v>-3.8426559394071198</v>
      </c>
      <c r="J367" s="28">
        <v>1.21710034092715E-4</v>
      </c>
      <c r="K367" s="29">
        <v>7.7047453362911397E-3</v>
      </c>
    </row>
    <row r="368" spans="1:11" x14ac:dyDescent="0.35">
      <c r="A368" s="9" t="str">
        <f>HYPERLINK("http://www.ensembl.org/id/WBGene00004027", "WBGene00004027")</f>
        <v>WBGene00004027</v>
      </c>
      <c r="B368" s="9" t="str">
        <f>HYPERLINK("http://www.ncbi.nlm.nih.gov/gene/176667", "176667")</f>
        <v>176667</v>
      </c>
      <c r="C368" s="9"/>
      <c r="D368" t="str">
        <f>"pie-1"</f>
        <v>pie-1</v>
      </c>
      <c r="E368" t="s">
        <v>354</v>
      </c>
      <c r="F368" t="s">
        <v>11</v>
      </c>
      <c r="G368" t="s">
        <v>51</v>
      </c>
      <c r="H368" s="12">
        <v>-2.2468348099487501</v>
      </c>
      <c r="I368" s="20">
        <v>-3.83915579216097</v>
      </c>
      <c r="J368" s="28">
        <v>1.2345807739513699E-4</v>
      </c>
      <c r="K368" s="29">
        <v>7.7728129054279197E-3</v>
      </c>
    </row>
    <row r="369" spans="1:11" x14ac:dyDescent="0.35">
      <c r="A369" s="9" t="str">
        <f>HYPERLINK("http://www.ensembl.org/id/WBGene00021763", "WBGene00021763")</f>
        <v>WBGene00021763</v>
      </c>
      <c r="B369" s="9" t="str">
        <f>HYPERLINK("http://www.ncbi.nlm.nih.gov/gene/245998", "245998")</f>
        <v>245998</v>
      </c>
      <c r="C369" s="9"/>
      <c r="D369" t="str">
        <f>"Y51F10.2"</f>
        <v>Y51F10.2</v>
      </c>
      <c r="F369" t="s">
        <v>11</v>
      </c>
      <c r="G369" t="s">
        <v>51</v>
      </c>
      <c r="H369" s="12">
        <v>-2.1123726999776502</v>
      </c>
      <c r="I369" s="20">
        <v>-3.8397199081385098</v>
      </c>
      <c r="J369" s="28">
        <v>1.2317475584555101E-4</v>
      </c>
      <c r="K369" s="29">
        <v>7.7728129054279197E-3</v>
      </c>
    </row>
    <row r="370" spans="1:11" x14ac:dyDescent="0.35">
      <c r="A370" s="9" t="str">
        <f>HYPERLINK("http://www.ensembl.org/id/WBGene00000677", "WBGene00000677")</f>
        <v>WBGene00000677</v>
      </c>
      <c r="B370" s="9" t="str">
        <f>HYPERLINK("http://www.ncbi.nlm.nih.gov/gene/176901", "176901")</f>
        <v>176901</v>
      </c>
      <c r="C370" s="9"/>
      <c r="D370" t="str">
        <f>"col-103"</f>
        <v>col-103</v>
      </c>
      <c r="E370" t="s">
        <v>40</v>
      </c>
      <c r="F370" t="s">
        <v>11</v>
      </c>
      <c r="G370" t="s">
        <v>152</v>
      </c>
      <c r="H370" s="12">
        <v>2.1707912255552002</v>
      </c>
      <c r="I370" s="20">
        <v>3.8374346561031998</v>
      </c>
      <c r="J370" s="28">
        <v>1.24326301926607E-4</v>
      </c>
      <c r="K370" s="29">
        <v>7.8062052508591903E-3</v>
      </c>
    </row>
    <row r="371" spans="1:11" x14ac:dyDescent="0.35">
      <c r="A371" s="9" t="str">
        <f>HYPERLINK("http://www.ensembl.org/id/WBGene00021160", "WBGene00021160")</f>
        <v>WBGene00021160</v>
      </c>
      <c r="B371" s="9" t="str">
        <f>HYPERLINK("http://www.ncbi.nlm.nih.gov/gene/177314", "177314")</f>
        <v>177314</v>
      </c>
      <c r="C371" s="9" t="str">
        <f>HYPERLINK("http://www.ncbi.nlm.nih.gov/gene/2629", "2629")</f>
        <v>2629</v>
      </c>
      <c r="D371" t="str">
        <f>"gba-4"</f>
        <v>gba-4</v>
      </c>
      <c r="E371" t="s">
        <v>355</v>
      </c>
      <c r="F371" t="s">
        <v>11</v>
      </c>
      <c r="G371" t="s">
        <v>356</v>
      </c>
      <c r="H371" s="12">
        <v>-4.4884683442253497</v>
      </c>
      <c r="I371" s="20">
        <v>-3.8344314733016298</v>
      </c>
      <c r="J371" s="28">
        <v>1.2585505207002499E-4</v>
      </c>
      <c r="K371" s="29">
        <v>7.8807773255555307E-3</v>
      </c>
    </row>
    <row r="372" spans="1:11" x14ac:dyDescent="0.35">
      <c r="A372" s="9" t="str">
        <f>HYPERLINK("http://www.ensembl.org/id/WBGene00009995", "WBGene00009995")</f>
        <v>WBGene00009995</v>
      </c>
      <c r="B372" s="9" t="str">
        <f>HYPERLINK("http://www.ncbi.nlm.nih.gov/gene/179846", "179846")</f>
        <v>179846</v>
      </c>
      <c r="C372" s="9"/>
      <c r="D372" t="str">
        <f>"F53F4.13"</f>
        <v>F53F4.13</v>
      </c>
      <c r="F372" t="s">
        <v>11</v>
      </c>
      <c r="H372" s="12">
        <v>2.1206504008202902</v>
      </c>
      <c r="I372" s="20">
        <v>3.8308842712316098</v>
      </c>
      <c r="J372" s="28">
        <v>1.2768355409088501E-4</v>
      </c>
      <c r="K372" s="29">
        <v>7.9382676754421993E-3</v>
      </c>
    </row>
    <row r="373" spans="1:11" x14ac:dyDescent="0.35">
      <c r="A373" s="9" t="str">
        <f>HYPERLINK("http://www.ensembl.org/id/WBGene00003090", "WBGene00003090")</f>
        <v>WBGene00003090</v>
      </c>
      <c r="B373" s="9" t="str">
        <f>HYPERLINK("http://www.ncbi.nlm.nih.gov/gene/179428", "179428")</f>
        <v>179428</v>
      </c>
      <c r="C373" s="9"/>
      <c r="D373" t="str">
        <f>"lys-1"</f>
        <v>lys-1</v>
      </c>
      <c r="E373" t="s">
        <v>359</v>
      </c>
      <c r="F373" t="s">
        <v>11</v>
      </c>
      <c r="G373" t="s">
        <v>202</v>
      </c>
      <c r="H373" s="12">
        <v>-2.2615732408231302</v>
      </c>
      <c r="I373" s="20">
        <v>-3.8306526002266699</v>
      </c>
      <c r="J373" s="28">
        <v>1.2780384208709901E-4</v>
      </c>
      <c r="K373" s="29">
        <v>7.9382676754421993E-3</v>
      </c>
    </row>
    <row r="374" spans="1:11" x14ac:dyDescent="0.35">
      <c r="A374" s="9" t="str">
        <f>HYPERLINK("http://www.ensembl.org/id/WBGene00006619", "WBGene00006619")</f>
        <v>WBGene00006619</v>
      </c>
      <c r="B374" s="9" t="str">
        <f>HYPERLINK("http://www.ncbi.nlm.nih.gov/gene/173856", "173856")</f>
        <v>173856</v>
      </c>
      <c r="C374" s="9" t="str">
        <f>HYPERLINK("http://www.ncbi.nlm.nih.gov/gene/5340", "5340")</f>
        <v>5340</v>
      </c>
      <c r="D374" t="str">
        <f>"try-1"</f>
        <v>try-1</v>
      </c>
      <c r="E374" t="s">
        <v>357</v>
      </c>
      <c r="F374" t="s">
        <v>11</v>
      </c>
      <c r="G374" t="s">
        <v>358</v>
      </c>
      <c r="H374" s="12">
        <v>-2.2373432837494298</v>
      </c>
      <c r="I374" s="20">
        <v>-3.8318011192602301</v>
      </c>
      <c r="J374" s="28">
        <v>1.2720855508409199E-4</v>
      </c>
      <c r="K374" s="29">
        <v>7.9382676754421993E-3</v>
      </c>
    </row>
    <row r="375" spans="1:11" x14ac:dyDescent="0.35">
      <c r="A375" s="9" t="str">
        <f>HYPERLINK("http://www.ensembl.org/id/WBGene00009577", "WBGene00009577")</f>
        <v>WBGene00009577</v>
      </c>
      <c r="B375" s="9" t="str">
        <f>HYPERLINK("http://www.ncbi.nlm.nih.gov/gene/174704", "174704")</f>
        <v>174704</v>
      </c>
      <c r="C375" s="9"/>
      <c r="D375" t="str">
        <f>"F40F8.4"</f>
        <v>F40F8.4</v>
      </c>
      <c r="F375" t="s">
        <v>11</v>
      </c>
      <c r="H375" s="12">
        <v>2.1782042305785301</v>
      </c>
      <c r="I375" s="20">
        <v>3.82540642535665</v>
      </c>
      <c r="J375" s="28">
        <v>1.3055651889636201E-4</v>
      </c>
      <c r="K375" s="29">
        <v>8.0749732414307999E-3</v>
      </c>
    </row>
    <row r="376" spans="1:11" x14ac:dyDescent="0.35">
      <c r="A376" s="9" t="str">
        <f>HYPERLINK("http://www.ensembl.org/id/WBGene00001862", "WBGene00001862")</f>
        <v>WBGene00001862</v>
      </c>
      <c r="B376" s="9" t="str">
        <f>HYPERLINK("http://www.ncbi.nlm.nih.gov/gene/177462", "177462")</f>
        <v>177462</v>
      </c>
      <c r="C376" s="9"/>
      <c r="D376" t="str">
        <f>"him-3"</f>
        <v>him-3</v>
      </c>
      <c r="E376" t="s">
        <v>360</v>
      </c>
      <c r="F376" t="s">
        <v>11</v>
      </c>
      <c r="G376" t="s">
        <v>361</v>
      </c>
      <c r="H376" s="12">
        <v>-2.3140184154843801</v>
      </c>
      <c r="I376" s="20">
        <v>-3.8251288411517002</v>
      </c>
      <c r="J376" s="28">
        <v>1.30703712987757E-4</v>
      </c>
      <c r="K376" s="29">
        <v>8.0749732414307999E-3</v>
      </c>
    </row>
    <row r="377" spans="1:11" x14ac:dyDescent="0.35">
      <c r="A377" s="9" t="str">
        <f>HYPERLINK("http://www.ensembl.org/id/WBGene00015899", "WBGene00015899")</f>
        <v>WBGene00015899</v>
      </c>
      <c r="B377" s="9" t="str">
        <f>HYPERLINK("http://www.ncbi.nlm.nih.gov/gene/178801", "178801")</f>
        <v>178801</v>
      </c>
      <c r="C377" s="9"/>
      <c r="D377" t="str">
        <f>"C17E7.4"</f>
        <v>C17E7.4</v>
      </c>
      <c r="F377" t="s">
        <v>11</v>
      </c>
      <c r="G377" t="s">
        <v>54</v>
      </c>
      <c r="H377" s="12">
        <v>-2.2785263811704102</v>
      </c>
      <c r="I377" s="20">
        <v>-3.8231623985201399</v>
      </c>
      <c r="J377" s="28">
        <v>1.31750941749068E-4</v>
      </c>
      <c r="K377" s="29">
        <v>8.1179660268105892E-3</v>
      </c>
    </row>
    <row r="378" spans="1:11" x14ac:dyDescent="0.35">
      <c r="A378" s="9" t="str">
        <f>HYPERLINK("http://www.ensembl.org/id/WBGene00022854", "WBGene00022854")</f>
        <v>WBGene00022854</v>
      </c>
      <c r="B378" s="9" t="str">
        <f>HYPERLINK("http://www.ncbi.nlm.nih.gov/gene/191525", "191525")</f>
        <v>191525</v>
      </c>
      <c r="C378" s="9"/>
      <c r="D378" t="str">
        <f>"cin-4"</f>
        <v>cin-4</v>
      </c>
      <c r="E378" t="s">
        <v>362</v>
      </c>
      <c r="F378" t="s">
        <v>11</v>
      </c>
      <c r="G378" t="s">
        <v>363</v>
      </c>
      <c r="H378" s="12">
        <v>-3.1265319988238698</v>
      </c>
      <c r="I378" s="20">
        <v>-3.82172617437331</v>
      </c>
      <c r="J378" s="28">
        <v>1.3252079334461601E-4</v>
      </c>
      <c r="K378" s="29">
        <v>8.1436847101614002E-3</v>
      </c>
    </row>
    <row r="379" spans="1:11" x14ac:dyDescent="0.35">
      <c r="A379" s="9" t="str">
        <f>HYPERLINK("http://www.ensembl.org/id/WBGene00021038", "WBGene00021038")</f>
        <v>WBGene00021038</v>
      </c>
      <c r="B379" s="9" t="str">
        <f>HYPERLINK("http://www.ncbi.nlm.nih.gov/gene/171909", "171909")</f>
        <v>171909</v>
      </c>
      <c r="C379" s="9"/>
      <c r="D379" t="str">
        <f>"W05F2.6"</f>
        <v>W05F2.6</v>
      </c>
      <c r="F379" t="s">
        <v>11</v>
      </c>
      <c r="H379" s="12">
        <v>-2.2446351697561799</v>
      </c>
      <c r="I379" s="20">
        <v>-3.8152344225597998</v>
      </c>
      <c r="J379" s="28">
        <v>1.3605371183731399E-4</v>
      </c>
      <c r="K379" s="29">
        <v>8.3386129064004395E-3</v>
      </c>
    </row>
    <row r="380" spans="1:11" x14ac:dyDescent="0.35">
      <c r="A380" s="9" t="str">
        <f>HYPERLINK("http://www.ensembl.org/id/WBGene00008739", "WBGene00008739")</f>
        <v>WBGene00008739</v>
      </c>
      <c r="B380" s="9" t="str">
        <f>HYPERLINK("http://www.ncbi.nlm.nih.gov/gene/174797", "174797")</f>
        <v>174797</v>
      </c>
      <c r="C380" s="9"/>
      <c r="D380" t="str">
        <f>"F13D12.3"</f>
        <v>F13D12.3</v>
      </c>
      <c r="F380" t="s">
        <v>11</v>
      </c>
      <c r="H380" s="12">
        <v>2.0553016067025398</v>
      </c>
      <c r="I380" s="20">
        <v>3.81234850756179</v>
      </c>
      <c r="J380" s="28">
        <v>1.3765259915990801E-4</v>
      </c>
      <c r="K380" s="29">
        <v>8.4142882438858098E-3</v>
      </c>
    </row>
    <row r="381" spans="1:11" x14ac:dyDescent="0.35">
      <c r="A381" s="9" t="str">
        <f>HYPERLINK("http://www.ensembl.org/id/WBGene00022490", "WBGene00022490")</f>
        <v>WBGene00022490</v>
      </c>
      <c r="B381" s="9" t="str">
        <f>HYPERLINK("http://www.ncbi.nlm.nih.gov/gene/175283", "175283")</f>
        <v>175283</v>
      </c>
      <c r="C381" s="9"/>
      <c r="D381" t="str">
        <f>"Y119D3B.13"</f>
        <v>Y119D3B.13</v>
      </c>
      <c r="F381" t="s">
        <v>11</v>
      </c>
      <c r="H381" s="12">
        <v>-3.3436305734632601</v>
      </c>
      <c r="I381" s="20">
        <v>-3.8032372128679302</v>
      </c>
      <c r="J381" s="28">
        <v>1.4281748089766701E-4</v>
      </c>
      <c r="K381" s="29">
        <v>8.6840545095302497E-3</v>
      </c>
    </row>
    <row r="382" spans="1:11" x14ac:dyDescent="0.35">
      <c r="A382" s="9" t="str">
        <f>HYPERLINK("http://www.ensembl.org/id/WBGene00017755", "WBGene00017755")</f>
        <v>WBGene00017755</v>
      </c>
      <c r="B382" s="9" t="str">
        <f>HYPERLINK("http://www.ncbi.nlm.nih.gov/gene/175924", "175924")</f>
        <v>175924</v>
      </c>
      <c r="C382" s="9"/>
      <c r="D382" t="str">
        <f>"zip-8"</f>
        <v>zip-8</v>
      </c>
      <c r="E382" t="s">
        <v>364</v>
      </c>
      <c r="F382" t="s">
        <v>11</v>
      </c>
      <c r="G382" t="s">
        <v>365</v>
      </c>
      <c r="H382" s="12">
        <v>2.2562604139220599</v>
      </c>
      <c r="I382" s="20">
        <v>3.8035281086207098</v>
      </c>
      <c r="J382" s="28">
        <v>1.4264979893483301E-4</v>
      </c>
      <c r="K382" s="29">
        <v>8.6840545095302497E-3</v>
      </c>
    </row>
    <row r="383" spans="1:11" x14ac:dyDescent="0.35">
      <c r="A383" s="9" t="str">
        <f>HYPERLINK("http://www.ensembl.org/id/WBGene00021624", "WBGene00021624")</f>
        <v>WBGene00021624</v>
      </c>
      <c r="B383" s="9" t="str">
        <f>HYPERLINK("http://www.ncbi.nlm.nih.gov/gene/189988", "189988")</f>
        <v>189988</v>
      </c>
      <c r="C383" s="9"/>
      <c r="D383" t="str">
        <f>"Y47D7A.12"</f>
        <v>Y47D7A.12</v>
      </c>
      <c r="F383" t="s">
        <v>11</v>
      </c>
      <c r="H383" s="12">
        <v>3.4410276215734599</v>
      </c>
      <c r="I383" s="20">
        <v>3.8004781177098699</v>
      </c>
      <c r="J383" s="28">
        <v>1.4441717132083801E-4</v>
      </c>
      <c r="K383" s="29">
        <v>8.7582760119141092E-3</v>
      </c>
    </row>
    <row r="384" spans="1:11" x14ac:dyDescent="0.35">
      <c r="A384" s="9" t="str">
        <f>HYPERLINK("http://www.ensembl.org/id/WBGene00000772", "WBGene00000772")</f>
        <v>WBGene00000772</v>
      </c>
      <c r="B384" s="9" t="str">
        <f>HYPERLINK("http://www.ncbi.nlm.nih.gov/gene/172244", "172244")</f>
        <v>172244</v>
      </c>
      <c r="C384" s="9"/>
      <c r="D384" t="str">
        <f>"cpb-3"</f>
        <v>cpb-3</v>
      </c>
      <c r="E384" t="s">
        <v>366</v>
      </c>
      <c r="F384" t="s">
        <v>11</v>
      </c>
      <c r="G384" t="s">
        <v>367</v>
      </c>
      <c r="H384" s="12">
        <v>-2.1060164517960098</v>
      </c>
      <c r="I384" s="20">
        <v>-3.7981445712903499</v>
      </c>
      <c r="J384" s="28">
        <v>1.45783288864858E-4</v>
      </c>
      <c r="K384" s="29">
        <v>8.8179808180926696E-3</v>
      </c>
    </row>
    <row r="385" spans="1:11" x14ac:dyDescent="0.35">
      <c r="A385" s="9" t="str">
        <f>HYPERLINK("http://www.ensembl.org/id/WBGene00002034", "WBGene00002034")</f>
        <v>WBGene00002034</v>
      </c>
      <c r="B385" s="9" t="str">
        <f>HYPERLINK("http://www.ncbi.nlm.nih.gov/gene/172099", "172099")</f>
        <v>172099</v>
      </c>
      <c r="C385" s="9"/>
      <c r="D385" t="str">
        <f>"htp-3"</f>
        <v>htp-3</v>
      </c>
      <c r="E385" t="s">
        <v>368</v>
      </c>
      <c r="F385" t="s">
        <v>11</v>
      </c>
      <c r="G385" t="s">
        <v>369</v>
      </c>
      <c r="H385" s="12">
        <v>-2.2795824079923501</v>
      </c>
      <c r="I385" s="20">
        <v>-3.7958402451728501</v>
      </c>
      <c r="J385" s="28">
        <v>1.47144234118305E-4</v>
      </c>
      <c r="K385" s="29">
        <v>8.8770618108030292E-3</v>
      </c>
    </row>
    <row r="386" spans="1:11" x14ac:dyDescent="0.35">
      <c r="A386" s="9" t="str">
        <f>HYPERLINK("http://www.ensembl.org/id/WBGene00014091", "WBGene00014091")</f>
        <v>WBGene00014091</v>
      </c>
      <c r="B386" s="9" t="str">
        <f>HYPERLINK("http://www.ncbi.nlm.nih.gov/gene/178125", "178125")</f>
        <v>178125</v>
      </c>
      <c r="C386" s="9"/>
      <c r="D386" t="str">
        <f>"ZK822.4"</f>
        <v>ZK822.4</v>
      </c>
      <c r="F386" t="s">
        <v>11</v>
      </c>
      <c r="H386" s="12">
        <v>2.0050049257056601</v>
      </c>
      <c r="I386" s="20">
        <v>3.7929966632325498</v>
      </c>
      <c r="J386" s="28">
        <v>1.4884015729815699E-4</v>
      </c>
      <c r="K386" s="29">
        <v>8.9559913399250603E-3</v>
      </c>
    </row>
    <row r="387" spans="1:11" x14ac:dyDescent="0.35">
      <c r="A387" s="9" t="str">
        <f>HYPERLINK("http://www.ensembl.org/id/WBGene00206388", "WBGene00206388")</f>
        <v>WBGene00206388</v>
      </c>
      <c r="B387" s="9" t="str">
        <f>HYPERLINK("http://www.ncbi.nlm.nih.gov/gene/13221059", "13221059")</f>
        <v>13221059</v>
      </c>
      <c r="C387" s="9"/>
      <c r="D387" t="str">
        <f>"K10C2.14"</f>
        <v>K10C2.14</v>
      </c>
      <c r="F387" t="s">
        <v>11</v>
      </c>
      <c r="H387" s="12">
        <v>2.44071704613458</v>
      </c>
      <c r="I387" s="20">
        <v>3.7902426726285499</v>
      </c>
      <c r="J387" s="28">
        <v>1.5050017669798301E-4</v>
      </c>
      <c r="K387" s="29">
        <v>9.0323560591781694E-3</v>
      </c>
    </row>
    <row r="388" spans="1:11" x14ac:dyDescent="0.35">
      <c r="A388" s="9" t="str">
        <f>HYPERLINK("http://www.ensembl.org/id/WBGene00019198", "WBGene00019198")</f>
        <v>WBGene00019198</v>
      </c>
      <c r="B388" s="9" t="str">
        <f>HYPERLINK("http://www.ncbi.nlm.nih.gov/gene/175358", "175358")</f>
        <v>175358</v>
      </c>
      <c r="C388" s="9"/>
      <c r="D388" t="str">
        <f>"strm-1"</f>
        <v>strm-1</v>
      </c>
      <c r="E388" t="s">
        <v>370</v>
      </c>
      <c r="F388" t="s">
        <v>11</v>
      </c>
      <c r="G388" t="s">
        <v>371</v>
      </c>
      <c r="H388" s="12">
        <v>3.0038070167874098</v>
      </c>
      <c r="I388" s="20">
        <v>3.7871590339937802</v>
      </c>
      <c r="J388" s="28">
        <v>1.52379576391696E-4</v>
      </c>
      <c r="K388" s="29">
        <v>9.0568594573573E-3</v>
      </c>
    </row>
    <row r="389" spans="1:11" x14ac:dyDescent="0.35">
      <c r="A389" s="9" t="str">
        <f>HYPERLINK("http://www.ensembl.org/id/WBGene00020593", "WBGene00020593")</f>
        <v>WBGene00020593</v>
      </c>
      <c r="B389" s="9" t="str">
        <f>HYPERLINK("http://www.ncbi.nlm.nih.gov/gene/178882", "178882")</f>
        <v>178882</v>
      </c>
      <c r="C389" s="9"/>
      <c r="D389" t="str">
        <f>"ugt-11"</f>
        <v>ugt-11</v>
      </c>
      <c r="E389" t="s">
        <v>103</v>
      </c>
      <c r="F389" t="s">
        <v>11</v>
      </c>
      <c r="G389" t="s">
        <v>104</v>
      </c>
      <c r="H389" s="12">
        <v>3.0933138214332998</v>
      </c>
      <c r="I389" s="20">
        <v>3.7872017456431899</v>
      </c>
      <c r="J389" s="28">
        <v>1.5235339450098199E-4</v>
      </c>
      <c r="K389" s="29">
        <v>9.0568594573573E-3</v>
      </c>
    </row>
    <row r="390" spans="1:11" x14ac:dyDescent="0.35">
      <c r="A390" s="9" t="str">
        <f>HYPERLINK("http://www.ensembl.org/id/WBGene00013103", "WBGene00013103")</f>
        <v>WBGene00013103</v>
      </c>
      <c r="B390" s="9" t="str">
        <f>HYPERLINK("http://www.ncbi.nlm.nih.gov/gene/178460", "178460")</f>
        <v>178460</v>
      </c>
      <c r="C390" s="9" t="str">
        <f>HYPERLINK("http://www.ncbi.nlm.nih.gov/gene/131669", "131669")</f>
        <v>131669</v>
      </c>
      <c r="D390" t="str">
        <f>"Y51H4A.7"</f>
        <v>Y51H4A.7</v>
      </c>
      <c r="E390" t="s">
        <v>373</v>
      </c>
      <c r="F390" t="s">
        <v>11</v>
      </c>
      <c r="G390" t="s">
        <v>374</v>
      </c>
      <c r="H390" s="12">
        <v>2.0127752142257398</v>
      </c>
      <c r="I390" s="20">
        <v>3.7870012380725</v>
      </c>
      <c r="J390" s="28">
        <v>1.5247634073019899E-4</v>
      </c>
      <c r="K390" s="29">
        <v>9.0568594573573E-3</v>
      </c>
    </row>
    <row r="391" spans="1:11" x14ac:dyDescent="0.35">
      <c r="A391" s="9" t="str">
        <f>HYPERLINK("http://www.ensembl.org/id/WBGene00012421", "WBGene00012421")</f>
        <v>WBGene00012421</v>
      </c>
      <c r="B391" s="9" t="str">
        <f>HYPERLINK("http://www.ncbi.nlm.nih.gov/gene/189405", "189405")</f>
        <v>189405</v>
      </c>
      <c r="C391" s="9"/>
      <c r="D391" t="str">
        <f>"Y9C2UA.1"</f>
        <v>Y9C2UA.1</v>
      </c>
      <c r="F391" t="s">
        <v>11</v>
      </c>
      <c r="G391" t="s">
        <v>372</v>
      </c>
      <c r="H391" s="12">
        <v>2.43933300928154</v>
      </c>
      <c r="I391" s="20">
        <v>3.7889123441990198</v>
      </c>
      <c r="J391" s="28">
        <v>1.5130828589617599E-4</v>
      </c>
      <c r="K391" s="29">
        <v>9.0568594573573E-3</v>
      </c>
    </row>
    <row r="392" spans="1:11" x14ac:dyDescent="0.35">
      <c r="A392" s="9" t="str">
        <f>HYPERLINK("http://www.ensembl.org/id/WBGene00003795", "WBGene00003795")</f>
        <v>WBGene00003795</v>
      </c>
      <c r="B392" s="9" t="str">
        <f>HYPERLINK("http://www.ncbi.nlm.nih.gov/gene/175443", "175443")</f>
        <v>175443</v>
      </c>
      <c r="C392" s="9"/>
      <c r="D392" t="str">
        <f>"npp-9"</f>
        <v>npp-9</v>
      </c>
      <c r="E392" t="s">
        <v>375</v>
      </c>
      <c r="F392" t="s">
        <v>11</v>
      </c>
      <c r="G392" t="s">
        <v>376</v>
      </c>
      <c r="H392" s="12">
        <v>-1.97984574159655</v>
      </c>
      <c r="I392" s="20">
        <v>-3.7845033030667601</v>
      </c>
      <c r="J392" s="28">
        <v>1.5401586223694501E-4</v>
      </c>
      <c r="K392" s="29">
        <v>9.12484746883809E-3</v>
      </c>
    </row>
    <row r="393" spans="1:11" x14ac:dyDescent="0.35">
      <c r="A393" s="9" t="str">
        <f>HYPERLINK("http://www.ensembl.org/id/WBGene00009606", "WBGene00009606")</f>
        <v>WBGene00009606</v>
      </c>
      <c r="B393" s="9" t="str">
        <f>HYPERLINK("http://www.ncbi.nlm.nih.gov/gene/179928", "179928")</f>
        <v>179928</v>
      </c>
      <c r="C393" s="9"/>
      <c r="D393" t="str">
        <f>"F40G12.11"</f>
        <v>F40G12.11</v>
      </c>
      <c r="F393" t="s">
        <v>11</v>
      </c>
      <c r="H393" s="12">
        <v>-2.38225579005988</v>
      </c>
      <c r="I393" s="20">
        <v>-3.7831080114554498</v>
      </c>
      <c r="J393" s="28">
        <v>1.5488216208492899E-4</v>
      </c>
      <c r="K393" s="29">
        <v>9.1527039312899391E-3</v>
      </c>
    </row>
    <row r="394" spans="1:11" x14ac:dyDescent="0.35">
      <c r="A394" s="9" t="str">
        <f>HYPERLINK("http://www.ensembl.org/id/WBGene00016627", "WBGene00016627")</f>
        <v>WBGene00016627</v>
      </c>
      <c r="B394" s="9" t="str">
        <f>HYPERLINK("http://www.ncbi.nlm.nih.gov/gene/174124", "174124")</f>
        <v>174124</v>
      </c>
      <c r="C394" s="9"/>
      <c r="D394" t="str">
        <f>"C44B7.5"</f>
        <v>C44B7.5</v>
      </c>
      <c r="F394" t="s">
        <v>11</v>
      </c>
      <c r="G394" t="s">
        <v>27</v>
      </c>
      <c r="H394" s="12">
        <v>-2.6062882020716498</v>
      </c>
      <c r="I394" s="20">
        <v>-3.7818856739167601</v>
      </c>
      <c r="J394" s="28">
        <v>1.55644846162185E-4</v>
      </c>
      <c r="K394" s="29">
        <v>9.1743107536312596E-3</v>
      </c>
    </row>
    <row r="395" spans="1:11" x14ac:dyDescent="0.35">
      <c r="A395" s="9" t="str">
        <f>HYPERLINK("http://www.ensembl.org/id/WBGene00000169", "WBGene00000169")</f>
        <v>WBGene00000169</v>
      </c>
      <c r="B395" s="9" t="str">
        <f>HYPERLINK("http://www.ncbi.nlm.nih.gov/gene/174190", "174190")</f>
        <v>174190</v>
      </c>
      <c r="C395" s="9" t="str">
        <f>HYPERLINK("http://www.ncbi.nlm.nih.gov/gene/89872", "89872")</f>
        <v>89872</v>
      </c>
      <c r="D395" t="str">
        <f>"aqp-1"</f>
        <v>aqp-1</v>
      </c>
      <c r="E395" t="s">
        <v>379</v>
      </c>
      <c r="F395" t="s">
        <v>11</v>
      </c>
      <c r="G395" t="s">
        <v>380</v>
      </c>
      <c r="H395" s="12">
        <v>-2.3768769253264601</v>
      </c>
      <c r="I395" s="20">
        <v>-3.7798917762473501</v>
      </c>
      <c r="J395" s="28">
        <v>1.5689653999955601E-4</v>
      </c>
      <c r="K395" s="29">
        <v>9.2011458203800304E-3</v>
      </c>
    </row>
    <row r="396" spans="1:11" x14ac:dyDescent="0.35">
      <c r="A396" s="9" t="str">
        <f>HYPERLINK("http://www.ensembl.org/id/WBGene00020323", "WBGene00020323")</f>
        <v>WBGene00020323</v>
      </c>
      <c r="B396" s="9" t="str">
        <f>HYPERLINK("http://www.ncbi.nlm.nih.gov/gene/188239", "188239")</f>
        <v>188239</v>
      </c>
      <c r="C396" s="9"/>
      <c r="D396" t="str">
        <f>"arrd-23"</f>
        <v>arrd-23</v>
      </c>
      <c r="E396" t="s">
        <v>377</v>
      </c>
      <c r="F396" t="s">
        <v>11</v>
      </c>
      <c r="G396" t="s">
        <v>378</v>
      </c>
      <c r="H396" s="12">
        <v>2.3865124294790201</v>
      </c>
      <c r="I396" s="20">
        <v>3.7801574593937399</v>
      </c>
      <c r="J396" s="28">
        <v>1.56729208758124E-4</v>
      </c>
      <c r="K396" s="29">
        <v>9.2011458203800304E-3</v>
      </c>
    </row>
    <row r="397" spans="1:11" x14ac:dyDescent="0.35">
      <c r="A397" s="9" t="str">
        <f>HYPERLINK("http://www.ensembl.org/id/WBGene00017532", "WBGene00017532")</f>
        <v>WBGene00017532</v>
      </c>
      <c r="B397" s="9" t="str">
        <f>HYPERLINK("http://www.ncbi.nlm.nih.gov/gene/184599", "184599")</f>
        <v>184599</v>
      </c>
      <c r="C397" s="9"/>
      <c r="D397" t="str">
        <f>"ent-5"</f>
        <v>ent-5</v>
      </c>
      <c r="E397" t="s">
        <v>381</v>
      </c>
      <c r="F397" t="s">
        <v>11</v>
      </c>
      <c r="G397" t="s">
        <v>382</v>
      </c>
      <c r="H397" s="12">
        <v>-2.8661913448301899</v>
      </c>
      <c r="I397" s="20">
        <v>-3.7759706964059601</v>
      </c>
      <c r="J397" s="28">
        <v>1.5938572986304899E-4</v>
      </c>
      <c r="K397" s="29">
        <v>9.3234599347230499E-3</v>
      </c>
    </row>
    <row r="398" spans="1:11" x14ac:dyDescent="0.35">
      <c r="A398" s="9" t="str">
        <f>HYPERLINK("http://www.ensembl.org/id/WBGene00020891", "WBGene00020891")</f>
        <v>WBGene00020891</v>
      </c>
      <c r="B398" s="9" t="str">
        <f>HYPERLINK("http://www.ncbi.nlm.nih.gov/gene/179017", "179017")</f>
        <v>179017</v>
      </c>
      <c r="C398" s="9"/>
      <c r="D398" t="str">
        <f>"T28C12.4"</f>
        <v>T28C12.4</v>
      </c>
      <c r="E398" t="s">
        <v>383</v>
      </c>
      <c r="F398" t="s">
        <v>11</v>
      </c>
      <c r="G398" t="s">
        <v>384</v>
      </c>
      <c r="H398" s="12">
        <v>2.1018468894831002</v>
      </c>
      <c r="I398" s="20">
        <v>3.7692836092908601</v>
      </c>
      <c r="J398" s="28">
        <v>1.6371677608641101E-4</v>
      </c>
      <c r="K398" s="29">
        <v>9.5526258289207206E-3</v>
      </c>
    </row>
    <row r="399" spans="1:11" x14ac:dyDescent="0.35">
      <c r="A399" s="9" t="str">
        <f>HYPERLINK("http://www.ensembl.org/id/WBGene00013931", "WBGene00013931")</f>
        <v>WBGene00013931</v>
      </c>
      <c r="B399" s="9" t="str">
        <f>HYPERLINK("http://www.ncbi.nlm.nih.gov/gene/191214", "191214")</f>
        <v>191214</v>
      </c>
      <c r="C399" s="9"/>
      <c r="D399" t="str">
        <f>"clec-97"</f>
        <v>clec-97</v>
      </c>
      <c r="E399" t="s">
        <v>46</v>
      </c>
      <c r="F399" t="s">
        <v>11</v>
      </c>
      <c r="G399" t="s">
        <v>47</v>
      </c>
      <c r="H399" s="12">
        <v>2.7045100905883901</v>
      </c>
      <c r="I399" s="20">
        <v>3.7605168614311602</v>
      </c>
      <c r="J399" s="28">
        <v>1.69562644371865E-4</v>
      </c>
      <c r="K399" s="29">
        <v>9.8688021684037903E-3</v>
      </c>
    </row>
    <row r="400" spans="1:11" x14ac:dyDescent="0.35">
      <c r="A400" s="9" t="str">
        <f>HYPERLINK("http://www.ensembl.org/id/WBGene00016319", "WBGene00016319")</f>
        <v>WBGene00016319</v>
      </c>
      <c r="B400" s="9" t="str">
        <f>HYPERLINK("http://www.ncbi.nlm.nih.gov/gene/174053", "174053")</f>
        <v>174053</v>
      </c>
      <c r="C400" s="9"/>
      <c r="D400" t="str">
        <f>"C32D5.12"</f>
        <v>C32D5.12</v>
      </c>
      <c r="F400" t="s">
        <v>11</v>
      </c>
      <c r="G400" t="s">
        <v>385</v>
      </c>
      <c r="H400" s="12">
        <v>2.2567216036456799</v>
      </c>
      <c r="I400" s="20">
        <v>3.74149288432241</v>
      </c>
      <c r="J400" s="28">
        <v>1.8293035794835199E-4</v>
      </c>
      <c r="K400" s="29">
        <v>1.06200724893332E-2</v>
      </c>
    </row>
    <row r="401" spans="1:11" x14ac:dyDescent="0.35">
      <c r="A401" s="9" t="str">
        <f>HYPERLINK("http://www.ensembl.org/id/WBGene00010887", "WBGene00010887")</f>
        <v>WBGene00010887</v>
      </c>
      <c r="B401" s="9" t="str">
        <f>HYPERLINK("http://www.ncbi.nlm.nih.gov/gene/187458", "187458")</f>
        <v>187458</v>
      </c>
      <c r="C401" s="9"/>
      <c r="D401" t="str">
        <f>"M7.12"</f>
        <v>M7.12</v>
      </c>
      <c r="F401" t="s">
        <v>11</v>
      </c>
      <c r="G401" t="s">
        <v>386</v>
      </c>
      <c r="H401" s="12">
        <v>2.1399445994249202</v>
      </c>
      <c r="I401" s="20">
        <v>3.7382675174311202</v>
      </c>
      <c r="J401" s="28">
        <v>1.85292725475339E-4</v>
      </c>
      <c r="K401" s="29">
        <v>1.0703434287082999E-2</v>
      </c>
    </row>
    <row r="402" spans="1:11" x14ac:dyDescent="0.35">
      <c r="A402" s="9" t="str">
        <f>HYPERLINK("http://www.ensembl.org/id/WBGene00006977", "WBGene00006977")</f>
        <v>WBGene00006977</v>
      </c>
      <c r="B402" s="9" t="str">
        <f>HYPERLINK("http://www.ncbi.nlm.nih.gov/gene/176274", "176274")</f>
        <v>176274</v>
      </c>
      <c r="C402" s="9"/>
      <c r="D402" t="str">
        <f>"zif-1"</f>
        <v>zif-1</v>
      </c>
      <c r="E402" t="s">
        <v>387</v>
      </c>
      <c r="F402" t="s">
        <v>11</v>
      </c>
      <c r="G402" t="s">
        <v>388</v>
      </c>
      <c r="H402" s="12">
        <v>-2.0984262552986799</v>
      </c>
      <c r="I402" s="20">
        <v>-3.7386565173816799</v>
      </c>
      <c r="J402" s="28">
        <v>1.8500629549863301E-4</v>
      </c>
      <c r="K402" s="29">
        <v>1.0703434287082999E-2</v>
      </c>
    </row>
    <row r="403" spans="1:11" x14ac:dyDescent="0.35">
      <c r="A403" s="9" t="str">
        <f>HYPERLINK("http://www.ensembl.org/id/WBGene00001481", "WBGene00001481")</f>
        <v>WBGene00001481</v>
      </c>
      <c r="B403" s="9" t="str">
        <f>HYPERLINK("http://www.ncbi.nlm.nih.gov/gene/171895", "171895")</f>
        <v>171895</v>
      </c>
      <c r="C403" s="9"/>
      <c r="D403" t="str">
        <f>"fog-1"</f>
        <v>fog-1</v>
      </c>
      <c r="E403" t="s">
        <v>389</v>
      </c>
      <c r="F403" t="s">
        <v>11</v>
      </c>
      <c r="G403" t="s">
        <v>390</v>
      </c>
      <c r="H403" s="12">
        <v>-2.91940864166759</v>
      </c>
      <c r="I403" s="20">
        <v>-3.7367459999529302</v>
      </c>
      <c r="J403" s="28">
        <v>1.86417064095328E-4</v>
      </c>
      <c r="K403" s="29">
        <v>1.07415278877473E-2</v>
      </c>
    </row>
    <row r="404" spans="1:11" x14ac:dyDescent="0.35">
      <c r="A404" s="9" t="str">
        <f>HYPERLINK("http://www.ensembl.org/id/WBGene00007807", "WBGene00007807")</f>
        <v>WBGene00007807</v>
      </c>
      <c r="B404" s="9" t="str">
        <f>HYPERLINK("http://www.ncbi.nlm.nih.gov/gene/180036", "180036")</f>
        <v>180036</v>
      </c>
      <c r="C404" s="9"/>
      <c r="D404" t="str">
        <f>"C29F3.7"</f>
        <v>C29F3.7</v>
      </c>
      <c r="F404" t="s">
        <v>11</v>
      </c>
      <c r="G404" t="s">
        <v>105</v>
      </c>
      <c r="H404" s="12">
        <v>3.05522439317566</v>
      </c>
      <c r="I404" s="20">
        <v>3.7267313080506201</v>
      </c>
      <c r="J404" s="28">
        <v>1.9397905464522199E-4</v>
      </c>
      <c r="K404" s="29">
        <v>1.11425380291671E-2</v>
      </c>
    </row>
    <row r="405" spans="1:11" x14ac:dyDescent="0.35">
      <c r="A405" s="9" t="str">
        <f>HYPERLINK("http://www.ensembl.org/id/WBGene00003422", "WBGene00003422")</f>
        <v>WBGene00003422</v>
      </c>
      <c r="B405" s="9" t="str">
        <f>HYPERLINK("http://www.ncbi.nlm.nih.gov/gene/171914", "171914")</f>
        <v>171914</v>
      </c>
      <c r="C405" s="9" t="str">
        <f>HYPERLINK("http://www.ncbi.nlm.nih.gov/gene/2956", "2956")</f>
        <v>2956</v>
      </c>
      <c r="D405" t="str">
        <f>"msh-6"</f>
        <v>msh-6</v>
      </c>
      <c r="E405" t="s">
        <v>391</v>
      </c>
      <c r="F405" t="s">
        <v>11</v>
      </c>
      <c r="G405" t="s">
        <v>392</v>
      </c>
      <c r="H405" s="12">
        <v>-2.07732265242793</v>
      </c>
      <c r="I405" s="20">
        <v>-3.7262612396826098</v>
      </c>
      <c r="J405" s="28">
        <v>1.94340986140152E-4</v>
      </c>
      <c r="K405" s="29">
        <v>1.11425380291671E-2</v>
      </c>
    </row>
    <row r="406" spans="1:11" x14ac:dyDescent="0.35">
      <c r="A406" s="9" t="str">
        <f>HYPERLINK("http://www.ensembl.org/id/WBGene00015278", "WBGene00015278")</f>
        <v>WBGene00015278</v>
      </c>
      <c r="B406" s="9" t="str">
        <f>HYPERLINK("http://www.ncbi.nlm.nih.gov/gene/177427", "177427")</f>
        <v>177427</v>
      </c>
      <c r="C406" s="9"/>
      <c r="D406" t="str">
        <f>"C01B10.3"</f>
        <v>C01B10.3</v>
      </c>
      <c r="F406" t="s">
        <v>11</v>
      </c>
      <c r="G406" t="s">
        <v>393</v>
      </c>
      <c r="H406" s="12">
        <v>2.1290778180166199</v>
      </c>
      <c r="I406" s="20">
        <v>3.72239284059527</v>
      </c>
      <c r="J406" s="28">
        <v>1.9734367072278899E-4</v>
      </c>
      <c r="K406" s="29">
        <v>1.1286690236932601E-2</v>
      </c>
    </row>
    <row r="407" spans="1:11" x14ac:dyDescent="0.35">
      <c r="A407" s="9" t="str">
        <f>HYPERLINK("http://www.ensembl.org/id/WBGene00044998", "WBGene00044998")</f>
        <v>WBGene00044998</v>
      </c>
      <c r="B407" s="9" t="str">
        <f>HYPERLINK("http://www.ncbi.nlm.nih.gov/gene/4927032", "4927032")</f>
        <v>4927032</v>
      </c>
      <c r="C407" s="9"/>
      <c r="D407" t="str">
        <f>"M199.9"</f>
        <v>M199.9</v>
      </c>
      <c r="F407" t="s">
        <v>11</v>
      </c>
      <c r="H407" s="12">
        <v>2.47866016844586</v>
      </c>
      <c r="I407" s="20">
        <v>3.7166075661006901</v>
      </c>
      <c r="J407" s="28">
        <v>2.0191569818484199E-4</v>
      </c>
      <c r="K407" s="29">
        <v>1.1500328847586699E-2</v>
      </c>
    </row>
    <row r="408" spans="1:11" x14ac:dyDescent="0.35">
      <c r="A408" s="9" t="str">
        <f>HYPERLINK("http://www.ensembl.org/id/WBGene00021832", "WBGene00021832")</f>
        <v>WBGene00021832</v>
      </c>
      <c r="B408" s="9" t="str">
        <f>HYPERLINK("http://www.ncbi.nlm.nih.gov/gene/171894", "171894")</f>
        <v>171894</v>
      </c>
      <c r="C408" s="9"/>
      <c r="D408" t="str">
        <f>"Y54E10A.12"</f>
        <v>Y54E10A.12</v>
      </c>
      <c r="F408" t="s">
        <v>11</v>
      </c>
      <c r="H408" s="12">
        <v>-2.5691141648467601</v>
      </c>
      <c r="I408" s="20">
        <v>-3.71640883731442</v>
      </c>
      <c r="J408" s="28">
        <v>2.0207450498226399E-4</v>
      </c>
      <c r="K408" s="29">
        <v>1.1500328847586699E-2</v>
      </c>
    </row>
    <row r="409" spans="1:11" x14ac:dyDescent="0.35">
      <c r="A409" s="9" t="str">
        <f>HYPERLINK("http://www.ensembl.org/id/WBGene00020760", "WBGene00020760")</f>
        <v>WBGene00020760</v>
      </c>
      <c r="B409" s="9" t="str">
        <f>HYPERLINK("http://www.ncbi.nlm.nih.gov/gene/188845", "188845")</f>
        <v>188845</v>
      </c>
      <c r="C409" s="9"/>
      <c r="D409" t="str">
        <f>"T24C4.4"</f>
        <v>T24C4.4</v>
      </c>
      <c r="F409" t="s">
        <v>11</v>
      </c>
      <c r="G409" t="s">
        <v>394</v>
      </c>
      <c r="H409" s="12">
        <v>-3.3636255569078299</v>
      </c>
      <c r="I409" s="20">
        <v>-3.7124432689293001</v>
      </c>
      <c r="J409" s="28">
        <v>2.05268080224305E-4</v>
      </c>
      <c r="K409" s="29">
        <v>1.16533765642821E-2</v>
      </c>
    </row>
    <row r="410" spans="1:11" x14ac:dyDescent="0.35">
      <c r="A410" s="9" t="str">
        <f>HYPERLINK("http://www.ensembl.org/id/WBGene00001387", "WBGene00001387")</f>
        <v>WBGene00001387</v>
      </c>
      <c r="B410" s="9" t="str">
        <f>HYPERLINK("http://www.ncbi.nlm.nih.gov/gene/179785", "179785")</f>
        <v>179785</v>
      </c>
      <c r="C410" s="9"/>
      <c r="D410" t="str">
        <f>"far-3"</f>
        <v>far-3</v>
      </c>
      <c r="E410" t="s">
        <v>128</v>
      </c>
      <c r="F410" t="s">
        <v>11</v>
      </c>
      <c r="G410" t="s">
        <v>129</v>
      </c>
      <c r="H410" s="12">
        <v>1.9996893368683</v>
      </c>
      <c r="I410" s="20">
        <v>3.7102161428087901</v>
      </c>
      <c r="J410" s="28">
        <v>2.0708237074325701E-4</v>
      </c>
      <c r="K410" s="29">
        <v>1.1727561907827699E-2</v>
      </c>
    </row>
    <row r="411" spans="1:11" x14ac:dyDescent="0.35">
      <c r="A411" s="9" t="str">
        <f>HYPERLINK("http://www.ensembl.org/id/WBGene00020155", "WBGene00020155")</f>
        <v>WBGene00020155</v>
      </c>
      <c r="B411" s="9" t="str">
        <f>HYPERLINK("http://www.ncbi.nlm.nih.gov/gene/178592", "178592")</f>
        <v>178592</v>
      </c>
      <c r="C411" s="9"/>
      <c r="D411" t="str">
        <f>"T02B11.3"</f>
        <v>T02B11.3</v>
      </c>
      <c r="F411" t="s">
        <v>11</v>
      </c>
      <c r="H411" s="12">
        <v>2.0116904059759499</v>
      </c>
      <c r="I411" s="20">
        <v>3.7074843010225602</v>
      </c>
      <c r="J411" s="28">
        <v>2.09328388892899E-4</v>
      </c>
      <c r="K411" s="29">
        <v>1.18257744590692E-2</v>
      </c>
    </row>
    <row r="412" spans="1:11" x14ac:dyDescent="0.35">
      <c r="A412" s="9" t="str">
        <f>HYPERLINK("http://www.ensembl.org/id/WBGene00018258", "WBGene00018258")</f>
        <v>WBGene00018258</v>
      </c>
      <c r="B412" s="9" t="str">
        <f>HYPERLINK("http://www.ncbi.nlm.nih.gov/gene/180953", "180953")</f>
        <v>180953</v>
      </c>
      <c r="C412" s="9"/>
      <c r="D412" t="str">
        <f>"F41B4.2"</f>
        <v>F41B4.2</v>
      </c>
      <c r="F412" t="s">
        <v>11</v>
      </c>
      <c r="H412" s="12">
        <v>2.2226407457575998</v>
      </c>
      <c r="I412" s="20">
        <v>3.70630539529445</v>
      </c>
      <c r="J412" s="28">
        <v>2.10304690824432E-4</v>
      </c>
      <c r="K412" s="29">
        <v>1.18519516736325E-2</v>
      </c>
    </row>
    <row r="413" spans="1:11" x14ac:dyDescent="0.35">
      <c r="A413" s="9" t="str">
        <f>HYPERLINK("http://www.ensembl.org/id/WBGene00011741", "WBGene00011741")</f>
        <v>WBGene00011741</v>
      </c>
      <c r="B413" s="9" t="str">
        <f>HYPERLINK("http://www.ncbi.nlm.nih.gov/gene/178138", "178138")</f>
        <v>178138</v>
      </c>
      <c r="C413" s="9"/>
      <c r="D413" t="str">
        <f>"T12G3.6"</f>
        <v>T12G3.6</v>
      </c>
      <c r="F413" t="s">
        <v>11</v>
      </c>
      <c r="H413" s="12">
        <v>-2.0478942968751999</v>
      </c>
      <c r="I413" s="20">
        <v>-3.70552679855588</v>
      </c>
      <c r="J413" s="28">
        <v>2.1095182291719299E-4</v>
      </c>
      <c r="K413" s="29">
        <v>1.18594959131987E-2</v>
      </c>
    </row>
    <row r="414" spans="1:11" x14ac:dyDescent="0.35">
      <c r="A414" s="9" t="str">
        <f>HYPERLINK("http://www.ensembl.org/id/WBGene00002011", "WBGene00002011")</f>
        <v>WBGene00002011</v>
      </c>
      <c r="B414" s="9" t="str">
        <f>HYPERLINK("http://www.ncbi.nlm.nih.gov/gene/176148", "176148")</f>
        <v>176148</v>
      </c>
      <c r="C414" s="9"/>
      <c r="D414" t="str">
        <f>"hsp-12.2"</f>
        <v>hsp-12.2</v>
      </c>
      <c r="E414" t="s">
        <v>395</v>
      </c>
      <c r="F414" t="s">
        <v>11</v>
      </c>
      <c r="H414" s="12">
        <v>2.1634018539439301</v>
      </c>
      <c r="I414" s="20">
        <v>3.7013722804854701</v>
      </c>
      <c r="J414" s="28">
        <v>2.1443658669283199E-4</v>
      </c>
      <c r="K414" s="29">
        <v>1.2026145077972301E-2</v>
      </c>
    </row>
    <row r="415" spans="1:11" x14ac:dyDescent="0.35">
      <c r="A415" s="9" t="str">
        <f>HYPERLINK("http://www.ensembl.org/id/WBGene00010781", "WBGene00010781")</f>
        <v>WBGene00010781</v>
      </c>
      <c r="B415" s="9" t="str">
        <f>HYPERLINK("http://www.ncbi.nlm.nih.gov/gene/187307", "187307")</f>
        <v>187307</v>
      </c>
      <c r="C415" s="9"/>
      <c r="D415" t="str">
        <f>"K11H3.4"</f>
        <v>K11H3.4</v>
      </c>
      <c r="F415" t="s">
        <v>11</v>
      </c>
      <c r="G415" t="s">
        <v>396</v>
      </c>
      <c r="H415" s="12">
        <v>-2.8214372858307399</v>
      </c>
      <c r="I415" s="20">
        <v>-3.70069175649961</v>
      </c>
      <c r="J415" s="28">
        <v>2.1501252942894E-4</v>
      </c>
      <c r="K415" s="29">
        <v>1.20292481960898E-2</v>
      </c>
    </row>
    <row r="416" spans="1:11" x14ac:dyDescent="0.35">
      <c r="A416" s="9" t="str">
        <f>HYPERLINK("http://www.ensembl.org/id/WBGene00017471", "WBGene00017471")</f>
        <v>WBGene00017471</v>
      </c>
      <c r="B416" s="9" t="str">
        <f>HYPERLINK("http://www.ncbi.nlm.nih.gov/gene/180709", "180709")</f>
        <v>180709</v>
      </c>
      <c r="C416" s="9"/>
      <c r="D416" t="str">
        <f>"F14H12.3"</f>
        <v>F14H12.3</v>
      </c>
      <c r="F416" t="s">
        <v>11</v>
      </c>
      <c r="H416" s="12">
        <v>2.3070222636985802</v>
      </c>
      <c r="I416" s="20">
        <v>3.6997599312095599</v>
      </c>
      <c r="J416" s="28">
        <v>2.15803510532222E-4</v>
      </c>
      <c r="K416" s="29">
        <v>1.20443379573853E-2</v>
      </c>
    </row>
    <row r="417" spans="1:11" x14ac:dyDescent="0.35">
      <c r="A417" s="9" t="str">
        <f>HYPERLINK("http://www.ensembl.org/id/WBGene00019113", "WBGene00019113")</f>
        <v>WBGene00019113</v>
      </c>
      <c r="B417" s="9" t="str">
        <f>HYPERLINK("http://www.ncbi.nlm.nih.gov/gene/179277", "179277")</f>
        <v>179277</v>
      </c>
      <c r="C417" s="9"/>
      <c r="D417" t="str">
        <f>"F59E11.7"</f>
        <v>F59E11.7</v>
      </c>
      <c r="F417" t="s">
        <v>11</v>
      </c>
      <c r="G417" t="s">
        <v>25</v>
      </c>
      <c r="H417" s="12">
        <v>2.2342128002645301</v>
      </c>
      <c r="I417" s="20">
        <v>3.6963755252088499</v>
      </c>
      <c r="J417" s="28">
        <v>2.1869941048090701E-4</v>
      </c>
      <c r="K417" s="29">
        <v>1.2164408488046801E-2</v>
      </c>
    </row>
    <row r="418" spans="1:11" x14ac:dyDescent="0.35">
      <c r="A418" s="9" t="str">
        <f>HYPERLINK("http://www.ensembl.org/id/WBGene00017968", "WBGene00017968")</f>
        <v>WBGene00017968</v>
      </c>
      <c r="B418" s="9" t="str">
        <f>HYPERLINK("http://www.ncbi.nlm.nih.gov/gene/174191", "174191")</f>
        <v>174191</v>
      </c>
      <c r="C418" s="9"/>
      <c r="D418" t="str">
        <f>"skpo-3"</f>
        <v>skpo-3</v>
      </c>
      <c r="E418" t="s">
        <v>397</v>
      </c>
      <c r="F418" t="s">
        <v>11</v>
      </c>
      <c r="G418" t="s">
        <v>398</v>
      </c>
      <c r="H418" s="12">
        <v>2.1189486770067001</v>
      </c>
      <c r="I418" s="20">
        <v>3.6960176112250398</v>
      </c>
      <c r="J418" s="28">
        <v>2.1900778719931901E-4</v>
      </c>
      <c r="K418" s="29">
        <v>1.2164408488046801E-2</v>
      </c>
    </row>
    <row r="419" spans="1:11" x14ac:dyDescent="0.35">
      <c r="A419" s="9" t="str">
        <f>HYPERLINK("http://www.ensembl.org/id/WBGene00007340", "WBGene00007340")</f>
        <v>WBGene00007340</v>
      </c>
      <c r="B419" s="9" t="str">
        <f>HYPERLINK("http://www.ncbi.nlm.nih.gov/gene/174741", "174741")</f>
        <v>174741</v>
      </c>
      <c r="C419" s="9"/>
      <c r="D419" t="str">
        <f>"C05D12.2"</f>
        <v>C05D12.2</v>
      </c>
      <c r="F419" t="s">
        <v>11</v>
      </c>
      <c r="H419" s="12">
        <v>2.1444098381183401</v>
      </c>
      <c r="I419" s="20">
        <v>3.6944384349195301</v>
      </c>
      <c r="J419" s="28">
        <v>2.2037327749551501E-4</v>
      </c>
      <c r="K419" s="29">
        <v>1.2210899160219099E-2</v>
      </c>
    </row>
    <row r="420" spans="1:11" x14ac:dyDescent="0.35">
      <c r="A420" s="9" t="str">
        <f>HYPERLINK("http://www.ensembl.org/id/WBGene00017613", "WBGene00017613")</f>
        <v>WBGene00017613</v>
      </c>
      <c r="B420" s="9" t="str">
        <f>HYPERLINK("http://www.ncbi.nlm.nih.gov/gene/179090", "179090")</f>
        <v>179090</v>
      </c>
      <c r="C420" s="9"/>
      <c r="D420" t="str">
        <f>"F20A1.1"</f>
        <v>F20A1.1</v>
      </c>
      <c r="F420" t="s">
        <v>11</v>
      </c>
      <c r="H420" s="12">
        <v>2.08609171811504</v>
      </c>
      <c r="I420" s="20">
        <v>3.69098361763076</v>
      </c>
      <c r="J420" s="28">
        <v>2.23388526518507E-4</v>
      </c>
      <c r="K420" s="29">
        <v>1.2348361946738299E-2</v>
      </c>
    </row>
    <row r="421" spans="1:11" x14ac:dyDescent="0.35">
      <c r="A421" s="9" t="str">
        <f>HYPERLINK("http://www.ensembl.org/id/WBGene00001500", "WBGene00001500")</f>
        <v>WBGene00001500</v>
      </c>
      <c r="B421" s="9" t="str">
        <f>HYPERLINK("http://www.ncbi.nlm.nih.gov/gene/179138", "179138")</f>
        <v>179138</v>
      </c>
      <c r="C421" s="9"/>
      <c r="D421" t="str">
        <f>"ftn-1"</f>
        <v>ftn-1</v>
      </c>
      <c r="E421" t="s">
        <v>399</v>
      </c>
      <c r="F421" t="s">
        <v>11</v>
      </c>
      <c r="G421" t="s">
        <v>400</v>
      </c>
      <c r="H421" s="12">
        <v>-2.4814873295740498</v>
      </c>
      <c r="I421" s="20">
        <v>-3.6895865226794098</v>
      </c>
      <c r="J421" s="28">
        <v>2.2461882652708199E-4</v>
      </c>
      <c r="K421" s="29">
        <v>1.23867365291999E-2</v>
      </c>
    </row>
    <row r="422" spans="1:11" x14ac:dyDescent="0.35">
      <c r="A422" s="9" t="str">
        <f>HYPERLINK("http://www.ensembl.org/id/WBGene00001460", "WBGene00001460")</f>
        <v>WBGene00001460</v>
      </c>
      <c r="B422" s="9" t="str">
        <f>HYPERLINK("http://www.ncbi.nlm.nih.gov/gene/178498", "178498")</f>
        <v>178498</v>
      </c>
      <c r="C422" s="9"/>
      <c r="D422" t="str">
        <f>"flp-17"</f>
        <v>flp-17</v>
      </c>
      <c r="E422" t="s">
        <v>401</v>
      </c>
      <c r="F422" t="s">
        <v>11</v>
      </c>
      <c r="G422" t="s">
        <v>402</v>
      </c>
      <c r="H422" s="12">
        <v>2.0716018320864298</v>
      </c>
      <c r="I422" s="20">
        <v>3.6850626971423899</v>
      </c>
      <c r="J422" s="28">
        <v>2.2864634841846101E-4</v>
      </c>
      <c r="K422" s="29">
        <v>1.25788155394214E-2</v>
      </c>
    </row>
    <row r="423" spans="1:11" x14ac:dyDescent="0.35">
      <c r="A423" s="9" t="str">
        <f>HYPERLINK("http://www.ensembl.org/id/WBGene00009173", "WBGene00009173")</f>
        <v>WBGene00009173</v>
      </c>
      <c r="B423" s="9" t="str">
        <f>HYPERLINK("http://www.ncbi.nlm.nih.gov/gene/185001", "185001")</f>
        <v>185001</v>
      </c>
      <c r="C423" s="9"/>
      <c r="D423" t="str">
        <f>"prom-1"</f>
        <v>prom-1</v>
      </c>
      <c r="E423" t="s">
        <v>403</v>
      </c>
      <c r="F423" t="s">
        <v>11</v>
      </c>
      <c r="H423" s="12">
        <v>-2.3855968545903399</v>
      </c>
      <c r="I423" s="20">
        <v>-3.6813969833096798</v>
      </c>
      <c r="J423" s="28">
        <v>2.3195951041926101E-4</v>
      </c>
      <c r="K423" s="29">
        <v>1.27307754103265E-2</v>
      </c>
    </row>
    <row r="424" spans="1:11" x14ac:dyDescent="0.35">
      <c r="A424" s="9" t="str">
        <f>HYPERLINK("http://www.ensembl.org/id/WBGene00009086", "WBGene00009086")</f>
        <v>WBGene00009086</v>
      </c>
      <c r="B424" s="9" t="str">
        <f>HYPERLINK("http://www.ncbi.nlm.nih.gov/gene/181542", "181542")</f>
        <v>181542</v>
      </c>
      <c r="C424" s="9"/>
      <c r="D424" t="str">
        <f>"F23D12.2"</f>
        <v>F23D12.2</v>
      </c>
      <c r="F424" t="s">
        <v>11</v>
      </c>
      <c r="H424" s="12">
        <v>-3.7834718028251499</v>
      </c>
      <c r="I424" s="20">
        <v>-3.67607275623353</v>
      </c>
      <c r="J424" s="28">
        <v>2.36851999358995E-4</v>
      </c>
      <c r="K424" s="29">
        <v>1.29145735723109E-2</v>
      </c>
    </row>
    <row r="425" spans="1:11" x14ac:dyDescent="0.35">
      <c r="A425" s="9" t="str">
        <f>HYPERLINK("http://www.ensembl.org/id/WBGene00004225", "WBGene00004225")</f>
        <v>WBGene00004225</v>
      </c>
      <c r="B425" s="9" t="str">
        <f>HYPERLINK("http://www.ncbi.nlm.nih.gov/gene/171609", "171609")</f>
        <v>171609</v>
      </c>
      <c r="C425" s="9"/>
      <c r="D425" t="str">
        <f>"ptr-11"</f>
        <v>ptr-11</v>
      </c>
      <c r="E425" t="s">
        <v>134</v>
      </c>
      <c r="F425" t="s">
        <v>11</v>
      </c>
      <c r="G425" t="s">
        <v>404</v>
      </c>
      <c r="H425" s="12">
        <v>2.0517509586033098</v>
      </c>
      <c r="I425" s="20">
        <v>3.6759292881565901</v>
      </c>
      <c r="J425" s="28">
        <v>2.3698516379554299E-4</v>
      </c>
      <c r="K425" s="29">
        <v>1.29145735723109E-2</v>
      </c>
    </row>
    <row r="426" spans="1:11" x14ac:dyDescent="0.35">
      <c r="A426" s="9" t="str">
        <f>HYPERLINK("http://www.ensembl.org/id/WBGene00013853", "WBGene00013853")</f>
        <v>WBGene00013853</v>
      </c>
      <c r="B426" s="9" t="str">
        <f>HYPERLINK("http://www.ncbi.nlm.nih.gov/gene/259343", "259343")</f>
        <v>259343</v>
      </c>
      <c r="C426" s="9"/>
      <c r="D426" t="str">
        <f>"ZC116.1"</f>
        <v>ZC116.1</v>
      </c>
      <c r="F426" t="s">
        <v>11</v>
      </c>
      <c r="H426" s="12">
        <v>1.98636554516435</v>
      </c>
      <c r="I426" s="20">
        <v>3.67606497978226</v>
      </c>
      <c r="J426" s="28">
        <v>2.3685921551833299E-4</v>
      </c>
      <c r="K426" s="29">
        <v>1.29145735723109E-2</v>
      </c>
    </row>
    <row r="427" spans="1:11" x14ac:dyDescent="0.35">
      <c r="A427" s="9" t="str">
        <f>HYPERLINK("http://www.ensembl.org/id/WBGene00019682", "WBGene00019682")</f>
        <v>WBGene00019682</v>
      </c>
      <c r="B427" s="9" t="str">
        <f>HYPERLINK("http://www.ncbi.nlm.nih.gov/gene/176136", "176136")</f>
        <v>176136</v>
      </c>
      <c r="C427" s="9"/>
      <c r="D427" t="str">
        <f>"K12H4.7"</f>
        <v>K12H4.7</v>
      </c>
      <c r="E427" t="s">
        <v>405</v>
      </c>
      <c r="F427" t="s">
        <v>11</v>
      </c>
      <c r="G427" t="s">
        <v>406</v>
      </c>
      <c r="H427" s="12">
        <v>-2.2611329187464202</v>
      </c>
      <c r="I427" s="20">
        <v>-3.6715111495396102</v>
      </c>
      <c r="J427" s="28">
        <v>2.41120557128093E-4</v>
      </c>
      <c r="K427" s="29">
        <v>1.31090155129452E-2</v>
      </c>
    </row>
    <row r="428" spans="1:11" x14ac:dyDescent="0.35">
      <c r="A428" s="9" t="str">
        <f>HYPERLINK("http://www.ensembl.org/id/WBGene00003405", "WBGene00003405")</f>
        <v>WBGene00003405</v>
      </c>
      <c r="B428" s="9" t="str">
        <f>HYPERLINK("http://www.ncbi.nlm.nih.gov/gene/179488", "179488")</f>
        <v>179488</v>
      </c>
      <c r="C428" s="9" t="str">
        <f>HYPERLINK("http://www.ncbi.nlm.nih.gov/gene/4361", "4361")</f>
        <v>4361</v>
      </c>
      <c r="D428" t="str">
        <f>"mre-11"</f>
        <v>mre-11</v>
      </c>
      <c r="E428" t="s">
        <v>407</v>
      </c>
      <c r="F428" t="s">
        <v>11</v>
      </c>
      <c r="G428" t="s">
        <v>408</v>
      </c>
      <c r="H428" s="12">
        <v>-2.1432154780011698</v>
      </c>
      <c r="I428" s="20">
        <v>-3.6707930218190401</v>
      </c>
      <c r="J428" s="28">
        <v>2.41799089923575E-4</v>
      </c>
      <c r="K428" s="29">
        <v>1.3109753022966899E-2</v>
      </c>
    </row>
    <row r="429" spans="1:11" x14ac:dyDescent="0.35">
      <c r="A429" s="9" t="str">
        <f>HYPERLINK("http://www.ensembl.org/id/WBGene00020589", "WBGene00020589")</f>
        <v>WBGene00020589</v>
      </c>
      <c r="B429" s="9" t="str">
        <f>HYPERLINK("http://www.ncbi.nlm.nih.gov/gene/178879", "178879")</f>
        <v>178879</v>
      </c>
      <c r="C429" s="9"/>
      <c r="D429" t="str">
        <f>"T19H12.3"</f>
        <v>T19H12.3</v>
      </c>
      <c r="F429" t="s">
        <v>11</v>
      </c>
      <c r="H429" s="12">
        <v>2.1824310440379899</v>
      </c>
      <c r="I429" s="20">
        <v>3.6702969336638902</v>
      </c>
      <c r="J429" s="28">
        <v>2.42268871323763E-4</v>
      </c>
      <c r="K429" s="29">
        <v>1.3109753022966899E-2</v>
      </c>
    </row>
    <row r="430" spans="1:11" x14ac:dyDescent="0.35">
      <c r="A430" s="9" t="str">
        <f>HYPERLINK("http://www.ensembl.org/id/WBGene00021395", "WBGene00021395")</f>
        <v>WBGene00021395</v>
      </c>
      <c r="B430" s="9" t="str">
        <f>HYPERLINK("http://www.ncbi.nlm.nih.gov/gene/176833", "176833")</f>
        <v>176833</v>
      </c>
      <c r="C430" s="9"/>
      <c r="D430" t="str">
        <f>"pnc-1"</f>
        <v>pnc-1</v>
      </c>
      <c r="E430" t="s">
        <v>409</v>
      </c>
      <c r="F430" t="s">
        <v>11</v>
      </c>
      <c r="G430" t="s">
        <v>410</v>
      </c>
      <c r="H430" s="12">
        <v>2.0253867221538702</v>
      </c>
      <c r="I430" s="20">
        <v>3.6690723047410798</v>
      </c>
      <c r="J430" s="28">
        <v>2.4343222854470299E-4</v>
      </c>
      <c r="K430" s="29">
        <v>1.31419277400792E-2</v>
      </c>
    </row>
    <row r="431" spans="1:11" x14ac:dyDescent="0.35">
      <c r="A431" s="9" t="str">
        <f>HYPERLINK("http://www.ensembl.org/id/WBGene00001446", "WBGene00001446")</f>
        <v>WBGene00001446</v>
      </c>
      <c r="B431" s="9" t="str">
        <f>HYPERLINK("http://www.ncbi.nlm.nih.gov/gene/181221", "181221")</f>
        <v>181221</v>
      </c>
      <c r="C431" s="9"/>
      <c r="D431" t="str">
        <f>"flp-3"</f>
        <v>flp-3</v>
      </c>
      <c r="E431" t="s">
        <v>411</v>
      </c>
      <c r="F431" t="s">
        <v>11</v>
      </c>
      <c r="G431" t="s">
        <v>77</v>
      </c>
      <c r="H431" s="12">
        <v>2.28212455476105</v>
      </c>
      <c r="I431" s="20">
        <v>3.6664215498798902</v>
      </c>
      <c r="J431" s="28">
        <v>2.4596833056183198E-4</v>
      </c>
      <c r="K431" s="29">
        <v>1.3221743580484399E-2</v>
      </c>
    </row>
    <row r="432" spans="1:11" x14ac:dyDescent="0.35">
      <c r="A432" s="9" t="str">
        <f>HYPERLINK("http://www.ensembl.org/id/WBGene00011708", "WBGene00011708")</f>
        <v>WBGene00011708</v>
      </c>
      <c r="B432" s="9" t="str">
        <f>HYPERLINK("http://www.ncbi.nlm.nih.gov/gene/177700", "177700")</f>
        <v>177700</v>
      </c>
      <c r="C432" s="9"/>
      <c r="D432" t="str">
        <f>"T11B7.5"</f>
        <v>T11B7.5</v>
      </c>
      <c r="F432" t="s">
        <v>11</v>
      </c>
      <c r="H432" s="12">
        <v>2.3639844670983301</v>
      </c>
      <c r="I432" s="20">
        <v>3.6663312851063101</v>
      </c>
      <c r="J432" s="28">
        <v>2.4605512592436101E-4</v>
      </c>
      <c r="K432" s="29">
        <v>1.3221743580484399E-2</v>
      </c>
    </row>
    <row r="433" spans="1:11" x14ac:dyDescent="0.35">
      <c r="A433" s="9" t="str">
        <f>HYPERLINK("http://www.ensembl.org/id/WBGene00013647", "WBGene00013647")</f>
        <v>WBGene00013647</v>
      </c>
      <c r="B433" s="9" t="str">
        <f>HYPERLINK("http://www.ncbi.nlm.nih.gov/gene/190888", "190888")</f>
        <v>190888</v>
      </c>
      <c r="C433" s="9"/>
      <c r="D433" t="str">
        <f>"Y105C5B.5"</f>
        <v>Y105C5B.5</v>
      </c>
      <c r="F433" t="s">
        <v>11</v>
      </c>
      <c r="H433" s="12">
        <v>1.94209773831335</v>
      </c>
      <c r="I433" s="20">
        <v>3.6652426393545099</v>
      </c>
      <c r="J433" s="28">
        <v>2.4710419377497902E-4</v>
      </c>
      <c r="K433" s="29">
        <v>1.3247307427760299E-2</v>
      </c>
    </row>
    <row r="434" spans="1:11" x14ac:dyDescent="0.35">
      <c r="A434" s="9" t="str">
        <f>HYPERLINK("http://www.ensembl.org/id/WBGene00019361", "WBGene00019361")</f>
        <v>WBGene00019361</v>
      </c>
      <c r="B434" s="9" t="str">
        <f>HYPERLINK("http://www.ncbi.nlm.nih.gov/gene/186951", "186951")</f>
        <v>186951</v>
      </c>
      <c r="C434" s="9"/>
      <c r="D434" t="str">
        <f>"clik-3"</f>
        <v>clik-3</v>
      </c>
      <c r="E434" t="s">
        <v>172</v>
      </c>
      <c r="F434" t="s">
        <v>11</v>
      </c>
      <c r="H434" s="12">
        <v>2.1224061290436</v>
      </c>
      <c r="I434" s="20">
        <v>3.6601517401890198</v>
      </c>
      <c r="J434" s="28">
        <v>2.5206593359680299E-4</v>
      </c>
      <c r="K434" s="29">
        <v>1.34820265316846E-2</v>
      </c>
    </row>
    <row r="435" spans="1:11" x14ac:dyDescent="0.35">
      <c r="A435" s="9" t="str">
        <f>HYPERLINK("http://www.ensembl.org/id/WBGene00020192", "WBGene00020192")</f>
        <v>WBGene00020192</v>
      </c>
      <c r="B435" s="9" t="str">
        <f>HYPERLINK("http://www.ncbi.nlm.nih.gov/gene/171962", "171962")</f>
        <v>171962</v>
      </c>
      <c r="C435" s="9"/>
      <c r="D435" t="str">
        <f>"T03F1.11"</f>
        <v>T03F1.11</v>
      </c>
      <c r="F435" t="s">
        <v>11</v>
      </c>
      <c r="G435" t="s">
        <v>325</v>
      </c>
      <c r="H435" s="12">
        <v>2.0506663064036199</v>
      </c>
      <c r="I435" s="20">
        <v>3.6588128575816099</v>
      </c>
      <c r="J435" s="28">
        <v>2.53386281011608E-4</v>
      </c>
      <c r="K435" s="29">
        <v>1.3521347365021299E-2</v>
      </c>
    </row>
    <row r="436" spans="1:11" x14ac:dyDescent="0.35">
      <c r="A436" s="9" t="str">
        <f>HYPERLINK("http://www.ensembl.org/id/WBGene00008061", "WBGene00008061")</f>
        <v>WBGene00008061</v>
      </c>
      <c r="B436" s="9" t="str">
        <f>HYPERLINK("http://www.ncbi.nlm.nih.gov/gene/172786", "172786")</f>
        <v>172786</v>
      </c>
      <c r="C436" s="9"/>
      <c r="D436" t="str">
        <f>"C41G7.3"</f>
        <v>C41G7.3</v>
      </c>
      <c r="F436" t="s">
        <v>11</v>
      </c>
      <c r="G436" t="s">
        <v>413</v>
      </c>
      <c r="H436" s="12">
        <v>-2.3730790160448501</v>
      </c>
      <c r="I436" s="20">
        <v>-3.6536317530465401</v>
      </c>
      <c r="J436" s="28">
        <v>2.58557018112566E-4</v>
      </c>
      <c r="K436" s="29">
        <v>1.3710484944683301E-2</v>
      </c>
    </row>
    <row r="437" spans="1:11" x14ac:dyDescent="0.35">
      <c r="A437" s="9" t="str">
        <f>HYPERLINK("http://www.ensembl.org/id/WBGene00009300", "WBGene00009300")</f>
        <v>WBGene00009300</v>
      </c>
      <c r="B437" s="9" t="str">
        <f>HYPERLINK("http://www.ncbi.nlm.nih.gov/gene/185175", "185175")</f>
        <v>185175</v>
      </c>
      <c r="C437" s="9"/>
      <c r="D437" t="str">
        <f>"F31F6.1"</f>
        <v>F31F6.1</v>
      </c>
      <c r="F437" t="s">
        <v>11</v>
      </c>
      <c r="H437" s="12">
        <v>-4.7623885416235998</v>
      </c>
      <c r="I437" s="20">
        <v>-3.6535690714207898</v>
      </c>
      <c r="J437" s="28">
        <v>2.5862017578245699E-4</v>
      </c>
      <c r="K437" s="29">
        <v>1.3710484944683301E-2</v>
      </c>
    </row>
    <row r="438" spans="1:11" x14ac:dyDescent="0.35">
      <c r="A438" s="9" t="str">
        <f>HYPERLINK("http://www.ensembl.org/id/WBGene00019204", "WBGene00019204")</f>
        <v>WBGene00019204</v>
      </c>
      <c r="B438" s="9" t="str">
        <f>HYPERLINK("http://www.ncbi.nlm.nih.gov/gene/179271", "179271")</f>
        <v>179271</v>
      </c>
      <c r="C438" s="9" t="str">
        <f>HYPERLINK("http://www.ncbi.nlm.nih.gov/gene/2678", "2678")</f>
        <v>2678</v>
      </c>
      <c r="D438" t="str">
        <f>"H14N18.4"</f>
        <v>H14N18.4</v>
      </c>
      <c r="F438" t="s">
        <v>11</v>
      </c>
      <c r="G438" t="s">
        <v>412</v>
      </c>
      <c r="H438" s="12">
        <v>1.9904724766561199</v>
      </c>
      <c r="I438" s="20">
        <v>3.65347916860543</v>
      </c>
      <c r="J438" s="28">
        <v>2.5871078663039499E-4</v>
      </c>
      <c r="K438" s="29">
        <v>1.3710484944683301E-2</v>
      </c>
    </row>
    <row r="439" spans="1:11" x14ac:dyDescent="0.35">
      <c r="A439" s="9" t="str">
        <f>HYPERLINK("http://www.ensembl.org/id/WBGene00007071", "WBGene00007071")</f>
        <v>WBGene00007071</v>
      </c>
      <c r="B439" s="9" t="str">
        <f>HYPERLINK("http://www.ncbi.nlm.nih.gov/gene/179447", "179447")</f>
        <v>179447</v>
      </c>
      <c r="C439" s="9"/>
      <c r="D439" t="str">
        <f>"AC3.5"</f>
        <v>AC3.5</v>
      </c>
      <c r="E439" t="s">
        <v>414</v>
      </c>
      <c r="F439" t="s">
        <v>11</v>
      </c>
      <c r="G439" t="s">
        <v>415</v>
      </c>
      <c r="H439" s="12">
        <v>2.2538655927722702</v>
      </c>
      <c r="I439" s="20">
        <v>3.6476286667057498</v>
      </c>
      <c r="J439" s="28">
        <v>2.6467177919959299E-4</v>
      </c>
      <c r="K439" s="29">
        <v>1.3994293204086501E-2</v>
      </c>
    </row>
    <row r="440" spans="1:11" x14ac:dyDescent="0.35">
      <c r="A440" s="9" t="str">
        <f>HYPERLINK("http://www.ensembl.org/id/WBGene00044554", "WBGene00044554")</f>
        <v>WBGene00044554</v>
      </c>
      <c r="B440" s="9" t="str">
        <f>HYPERLINK("http://www.ncbi.nlm.nih.gov/gene/3896827", "3896827")</f>
        <v>3896827</v>
      </c>
      <c r="C440" s="9"/>
      <c r="D440" t="str">
        <f>"F41E6.15"</f>
        <v>F41E6.15</v>
      </c>
      <c r="F440" t="s">
        <v>11</v>
      </c>
      <c r="H440" s="12">
        <v>2.2449196046663902</v>
      </c>
      <c r="I440" s="20">
        <v>3.6409028177432701</v>
      </c>
      <c r="J440" s="28">
        <v>2.71683680078606E-4</v>
      </c>
      <c r="K440" s="29">
        <v>1.43322445477084E-2</v>
      </c>
    </row>
    <row r="441" spans="1:11" x14ac:dyDescent="0.35">
      <c r="A441" s="9" t="str">
        <f>HYPERLINK("http://www.ensembl.org/id/WBGene00021532", "WBGene00021532")</f>
        <v>WBGene00021532</v>
      </c>
      <c r="B441" s="9" t="str">
        <f>HYPERLINK("http://www.ncbi.nlm.nih.gov/gene/175866", "175866")</f>
        <v>175866</v>
      </c>
      <c r="C441" s="9"/>
      <c r="D441" t="str">
        <f>"Y42G9A.2"</f>
        <v>Y42G9A.2</v>
      </c>
      <c r="F441" t="s">
        <v>11</v>
      </c>
      <c r="H441" s="12">
        <v>2.4038523934953702</v>
      </c>
      <c r="I441" s="20">
        <v>3.6375222169351402</v>
      </c>
      <c r="J441" s="28">
        <v>2.7527345437732502E-4</v>
      </c>
      <c r="K441" s="29">
        <v>1.4488538580506799E-2</v>
      </c>
    </row>
    <row r="442" spans="1:11" x14ac:dyDescent="0.35">
      <c r="A442" s="9" t="str">
        <f>HYPERLINK("http://www.ensembl.org/id/WBGene00010281", "WBGene00010281")</f>
        <v>WBGene00010281</v>
      </c>
      <c r="B442" s="9" t="str">
        <f>HYPERLINK("http://www.ncbi.nlm.nih.gov/gene/179856", "179856")</f>
        <v>179856</v>
      </c>
      <c r="C442" s="9"/>
      <c r="D442" t="str">
        <f>"F58G11.3"</f>
        <v>F58G11.3</v>
      </c>
      <c r="F442" t="s">
        <v>11</v>
      </c>
      <c r="H442" s="12">
        <v>-2.14772960609463</v>
      </c>
      <c r="I442" s="20">
        <v>-3.63346696842149</v>
      </c>
      <c r="J442" s="28">
        <v>2.7963826063167501E-4</v>
      </c>
      <c r="K442" s="29">
        <v>1.46848219321715E-2</v>
      </c>
    </row>
    <row r="443" spans="1:11" x14ac:dyDescent="0.35">
      <c r="A443" s="9" t="str">
        <f>HYPERLINK("http://www.ensembl.org/id/WBGene00000273", "WBGene00000273")</f>
        <v>WBGene00000273</v>
      </c>
      <c r="B443" s="9" t="str">
        <f>HYPERLINK("http://www.ncbi.nlm.nih.gov/gene/176637", "176637")</f>
        <v>176637</v>
      </c>
      <c r="C443" s="9"/>
      <c r="D443" t="str">
        <f>"brp-1"</f>
        <v>brp-1</v>
      </c>
      <c r="E443" t="s">
        <v>416</v>
      </c>
      <c r="F443" t="s">
        <v>11</v>
      </c>
      <c r="G443" t="s">
        <v>417</v>
      </c>
      <c r="H443" s="12">
        <v>1.9048337787819101</v>
      </c>
      <c r="I443" s="20">
        <v>3.62624182208851</v>
      </c>
      <c r="J443" s="28">
        <v>2.87576062801153E-4</v>
      </c>
      <c r="K443" s="29">
        <v>1.5067420650982899E-2</v>
      </c>
    </row>
    <row r="444" spans="1:11" x14ac:dyDescent="0.35">
      <c r="A444" s="9" t="str">
        <f>HYPERLINK("http://www.ensembl.org/id/WBGene00007324", "WBGene00007324")</f>
        <v>WBGene00007324</v>
      </c>
      <c r="B444" s="9" t="str">
        <f>HYPERLINK("http://www.ncbi.nlm.nih.gov/gene/259334", "259334")</f>
        <v>259334</v>
      </c>
      <c r="C444" s="9"/>
      <c r="D444" t="str">
        <f>"C05B5.8"</f>
        <v>C05B5.8</v>
      </c>
      <c r="F444" t="s">
        <v>11</v>
      </c>
      <c r="G444" t="s">
        <v>25</v>
      </c>
      <c r="H444" s="12">
        <v>2.3693643031469001</v>
      </c>
      <c r="I444" s="20">
        <v>3.62412145359434</v>
      </c>
      <c r="J444" s="28">
        <v>2.8994534049655299E-4</v>
      </c>
      <c r="K444" s="29">
        <v>1.5157187867677301E-2</v>
      </c>
    </row>
    <row r="445" spans="1:11" x14ac:dyDescent="0.35">
      <c r="A445" s="9" t="str">
        <f>HYPERLINK("http://www.ensembl.org/id/WBGene00015766", "WBGene00015766")</f>
        <v>WBGene00015766</v>
      </c>
      <c r="B445" s="9" t="str">
        <f>HYPERLINK("http://www.ncbi.nlm.nih.gov/gene/178953", "178953")</f>
        <v>178953</v>
      </c>
      <c r="C445" s="9"/>
      <c r="D445" t="str">
        <f>"C14C11.2"</f>
        <v>C14C11.2</v>
      </c>
      <c r="F445" t="s">
        <v>11</v>
      </c>
      <c r="H445" s="12">
        <v>-2.7782640521447699</v>
      </c>
      <c r="I445" s="20">
        <v>-3.6199754285867001</v>
      </c>
      <c r="J445" s="28">
        <v>2.9463099307689702E-4</v>
      </c>
      <c r="K445" s="29">
        <v>1.53657975766838E-2</v>
      </c>
    </row>
    <row r="446" spans="1:11" x14ac:dyDescent="0.35">
      <c r="A446" s="9" t="str">
        <f>HYPERLINK("http://www.ensembl.org/id/WBGene00007395", "WBGene00007395")</f>
        <v>WBGene00007395</v>
      </c>
      <c r="B446" s="9" t="str">
        <f>HYPERLINK("http://www.ncbi.nlm.nih.gov/gene/259679", "259679")</f>
        <v>259679</v>
      </c>
      <c r="C446" s="9"/>
      <c r="D446" t="str">
        <f>"dcar-1"</f>
        <v>dcar-1</v>
      </c>
      <c r="E446" t="s">
        <v>418</v>
      </c>
      <c r="F446" t="s">
        <v>11</v>
      </c>
      <c r="G446" t="s">
        <v>419</v>
      </c>
      <c r="H446" s="12">
        <v>2.0287490650984101</v>
      </c>
      <c r="I446" s="20">
        <v>3.6194183905903801</v>
      </c>
      <c r="J446" s="28">
        <v>2.9526591032838202E-4</v>
      </c>
      <c r="K446" s="29">
        <v>1.53657975766838E-2</v>
      </c>
    </row>
    <row r="447" spans="1:11" x14ac:dyDescent="0.35">
      <c r="A447" s="9" t="str">
        <f>HYPERLINK("http://www.ensembl.org/id/WBGene00010049", "WBGene00010049")</f>
        <v>WBGene00010049</v>
      </c>
      <c r="B447" s="9" t="str">
        <f>HYPERLINK("http://www.ncbi.nlm.nih.gov/gene/174773", "174773")</f>
        <v>174773</v>
      </c>
      <c r="C447" s="9"/>
      <c r="D447" t="str">
        <f>"F54D5.3"</f>
        <v>F54D5.3</v>
      </c>
      <c r="F447" t="s">
        <v>11</v>
      </c>
      <c r="H447" s="12">
        <v>-1.97264694939287</v>
      </c>
      <c r="I447" s="20">
        <v>-3.6185839891241298</v>
      </c>
      <c r="J447" s="28">
        <v>2.9621936714254701E-4</v>
      </c>
      <c r="K447" s="29">
        <v>1.53807746004398E-2</v>
      </c>
    </row>
    <row r="448" spans="1:11" x14ac:dyDescent="0.35">
      <c r="A448" s="9" t="str">
        <f>HYPERLINK("http://www.ensembl.org/id/WBGene00008294", "WBGene00008294")</f>
        <v>WBGene00008294</v>
      </c>
      <c r="B448" s="9" t="str">
        <f>HYPERLINK("http://www.ncbi.nlm.nih.gov/gene/183773", "183773")</f>
        <v>183773</v>
      </c>
      <c r="C448" s="9"/>
      <c r="D448" t="str">
        <f>"clec-11"</f>
        <v>clec-11</v>
      </c>
      <c r="E448" t="s">
        <v>46</v>
      </c>
      <c r="F448" t="s">
        <v>11</v>
      </c>
      <c r="G448" t="s">
        <v>47</v>
      </c>
      <c r="H448" s="12">
        <v>-3.40914878724656</v>
      </c>
      <c r="I448" s="20">
        <v>-3.6149517005652201</v>
      </c>
      <c r="J448" s="28">
        <v>3.00403622063548E-4</v>
      </c>
      <c r="K448" s="29">
        <v>1.5563062985202601E-2</v>
      </c>
    </row>
    <row r="449" spans="1:11" x14ac:dyDescent="0.35">
      <c r="A449" s="9" t="str">
        <f>HYPERLINK("http://www.ensembl.org/id/WBGene00009813", "WBGene00009813")</f>
        <v>WBGene00009813</v>
      </c>
      <c r="B449" s="9" t="str">
        <f>HYPERLINK("http://www.ncbi.nlm.nih.gov/gene/181279", "181279")</f>
        <v>181279</v>
      </c>
      <c r="C449" s="9" t="str">
        <f>HYPERLINK("http://www.ncbi.nlm.nih.gov/gene/3034", "3034")</f>
        <v>3034</v>
      </c>
      <c r="D449" t="str">
        <f>"haly-1"</f>
        <v>haly-1</v>
      </c>
      <c r="E449" t="s">
        <v>420</v>
      </c>
      <c r="F449" t="s">
        <v>11</v>
      </c>
      <c r="G449" t="s">
        <v>421</v>
      </c>
      <c r="H449" s="12">
        <v>1.9289339103038501</v>
      </c>
      <c r="I449" s="20">
        <v>3.6116215293865799</v>
      </c>
      <c r="J449" s="28">
        <v>3.0428842836234901E-4</v>
      </c>
      <c r="K449" s="29">
        <v>1.5729056880851099E-2</v>
      </c>
    </row>
    <row r="450" spans="1:11" x14ac:dyDescent="0.35">
      <c r="A450" s="9" t="str">
        <f>HYPERLINK("http://www.ensembl.org/id/WBGene00016101", "WBGene00016101")</f>
        <v>WBGene00016101</v>
      </c>
      <c r="B450" s="9" t="str">
        <f>HYPERLINK("http://www.ncbi.nlm.nih.gov/gene/182896", "182896")</f>
        <v>182896</v>
      </c>
      <c r="C450" s="9"/>
      <c r="D450" t="str">
        <f>"C25E10.12"</f>
        <v>C25E10.12</v>
      </c>
      <c r="E450" t="s">
        <v>422</v>
      </c>
      <c r="F450" t="s">
        <v>11</v>
      </c>
      <c r="G450" t="s">
        <v>423</v>
      </c>
      <c r="H450" s="12">
        <v>1.9661643141265599</v>
      </c>
      <c r="I450" s="20">
        <v>3.6060889371867102</v>
      </c>
      <c r="J450" s="28">
        <v>3.1084663817949502E-4</v>
      </c>
      <c r="K450" s="29">
        <v>1.6032192905748699E-2</v>
      </c>
    </row>
    <row r="451" spans="1:11" x14ac:dyDescent="0.35">
      <c r="A451" s="9" t="str">
        <f>HYPERLINK("http://www.ensembl.org/id/WBGene00020242", "WBGene00020242")</f>
        <v>WBGene00020242</v>
      </c>
      <c r="B451" s="9" t="str">
        <f>HYPERLINK("http://www.ncbi.nlm.nih.gov/gene/178811", "178811")</f>
        <v>178811</v>
      </c>
      <c r="C451" s="9"/>
      <c r="D451" t="str">
        <f>"phat-5"</f>
        <v>phat-5</v>
      </c>
      <c r="E451" t="s">
        <v>424</v>
      </c>
      <c r="F451" t="s">
        <v>11</v>
      </c>
      <c r="G451" t="s">
        <v>425</v>
      </c>
      <c r="H451" s="12">
        <v>-14.7066838424493</v>
      </c>
      <c r="I451" s="20">
        <v>-3.5945798469084198</v>
      </c>
      <c r="J451" s="28">
        <v>3.2491548998503502E-4</v>
      </c>
      <c r="K451" s="29">
        <v>1.67204839901876E-2</v>
      </c>
    </row>
    <row r="452" spans="1:11" x14ac:dyDescent="0.35">
      <c r="A452" s="9" t="str">
        <f>HYPERLINK("http://www.ensembl.org/id/WBGene00018819", "WBGene00018819")</f>
        <v>WBGene00018819</v>
      </c>
      <c r="B452" s="9" t="str">
        <f>HYPERLINK("http://www.ncbi.nlm.nih.gov/gene/186242", "186242")</f>
        <v>186242</v>
      </c>
      <c r="C452" s="9"/>
      <c r="D452" t="str">
        <f>"rog-1"</f>
        <v>rog-1</v>
      </c>
      <c r="E452" t="s">
        <v>426</v>
      </c>
      <c r="F452" t="s">
        <v>11</v>
      </c>
      <c r="G452" t="s">
        <v>427</v>
      </c>
      <c r="H452" s="12">
        <v>-2.0887505534009101</v>
      </c>
      <c r="I452" s="20">
        <v>-3.59009276136883</v>
      </c>
      <c r="J452" s="28">
        <v>3.30560303960188E-4</v>
      </c>
      <c r="K452" s="29">
        <v>1.6973169740675802E-2</v>
      </c>
    </row>
    <row r="453" spans="1:11" x14ac:dyDescent="0.35">
      <c r="A453" s="9" t="str">
        <f>HYPERLINK("http://www.ensembl.org/id/WBGene00000107", "WBGene00000107")</f>
        <v>WBGene00000107</v>
      </c>
      <c r="B453" s="9" t="str">
        <f>HYPERLINK("http://www.ncbi.nlm.nih.gov/gene/175691", "175691")</f>
        <v>175691</v>
      </c>
      <c r="C453" s="9" t="str">
        <f>HYPERLINK("http://www.ncbi.nlm.nih.gov/gene/217", "217")</f>
        <v>217</v>
      </c>
      <c r="D453" t="str">
        <f>"alh-1"</f>
        <v>alh-1</v>
      </c>
      <c r="E453" t="s">
        <v>428</v>
      </c>
      <c r="F453" t="s">
        <v>11</v>
      </c>
      <c r="G453" t="s">
        <v>429</v>
      </c>
      <c r="H453" s="12">
        <v>-1.9226158026500699</v>
      </c>
      <c r="I453" s="20">
        <v>-3.5887955544994301</v>
      </c>
      <c r="J453" s="28">
        <v>3.3220922880961397E-4</v>
      </c>
      <c r="K453" s="29">
        <v>1.7020014281319201E-2</v>
      </c>
    </row>
    <row r="454" spans="1:11" x14ac:dyDescent="0.35">
      <c r="A454" s="9" t="str">
        <f>HYPERLINK("http://www.ensembl.org/id/WBGene00270318", "WBGene00270318")</f>
        <v>WBGene00270318</v>
      </c>
      <c r="B454" s="9" t="str">
        <f>HYPERLINK("http://www.ncbi.nlm.nih.gov/gene/29991189", "29991189")</f>
        <v>29991189</v>
      </c>
      <c r="C454" s="9"/>
      <c r="D454" t="str">
        <f>"F26G1.15"</f>
        <v>F26G1.15</v>
      </c>
      <c r="F454" t="s">
        <v>11</v>
      </c>
      <c r="H454" s="12">
        <v>-2.7148015224128299</v>
      </c>
      <c r="I454" s="20">
        <v>-3.5808442149094302</v>
      </c>
      <c r="J454" s="28">
        <v>3.42485821540996E-4</v>
      </c>
      <c r="K454" s="29">
        <v>1.7469914836261698E-2</v>
      </c>
    </row>
    <row r="455" spans="1:11" x14ac:dyDescent="0.35">
      <c r="A455" s="9" t="str">
        <f>HYPERLINK("http://www.ensembl.org/id/WBGene00013540", "WBGene00013540")</f>
        <v>WBGene00013540</v>
      </c>
      <c r="B455" s="9" t="str">
        <f>HYPERLINK("http://www.ncbi.nlm.nih.gov/gene/176642", "176642")</f>
        <v>176642</v>
      </c>
      <c r="C455" s="9"/>
      <c r="D455" t="str">
        <f>"Y75B8A.3"</f>
        <v>Y75B8A.3</v>
      </c>
      <c r="F455" t="s">
        <v>11</v>
      </c>
      <c r="G455" t="s">
        <v>63</v>
      </c>
      <c r="H455" s="12">
        <v>2.10209814442136</v>
      </c>
      <c r="I455" s="20">
        <v>3.5808312068926802</v>
      </c>
      <c r="J455" s="28">
        <v>3.4250287461380402E-4</v>
      </c>
      <c r="K455" s="29">
        <v>1.7469914836261698E-2</v>
      </c>
    </row>
    <row r="456" spans="1:11" x14ac:dyDescent="0.35">
      <c r="A456" s="9" t="str">
        <f>HYPERLINK("http://www.ensembl.org/id/WBGene00008803", "WBGene00008803")</f>
        <v>WBGene00008803</v>
      </c>
      <c r="B456" s="9" t="str">
        <f>HYPERLINK("http://www.ncbi.nlm.nih.gov/gene/174345", "174345")</f>
        <v>174345</v>
      </c>
      <c r="C456" s="9"/>
      <c r="D456" t="str">
        <f>"lips-10"</f>
        <v>lips-10</v>
      </c>
      <c r="E456" t="s">
        <v>430</v>
      </c>
      <c r="F456" t="s">
        <v>11</v>
      </c>
      <c r="G456" t="s">
        <v>431</v>
      </c>
      <c r="H456" s="12">
        <v>2.0832525973906799</v>
      </c>
      <c r="I456" s="20">
        <v>3.5789290971122898</v>
      </c>
      <c r="J456" s="28">
        <v>3.4500504481815099E-4</v>
      </c>
      <c r="K456" s="29">
        <v>1.7520190253995999E-2</v>
      </c>
    </row>
    <row r="457" spans="1:11" x14ac:dyDescent="0.35">
      <c r="A457" s="9" t="str">
        <f>HYPERLINK("http://www.ensembl.org/id/WBGene00011886", "WBGene00011886")</f>
        <v>WBGene00011886</v>
      </c>
      <c r="B457" s="9" t="str">
        <f>HYPERLINK("http://www.ncbi.nlm.nih.gov/gene/188686", "188686")</f>
        <v>188686</v>
      </c>
      <c r="C457" s="9"/>
      <c r="D457" t="str">
        <f>"T21B10.4"</f>
        <v>T21B10.4</v>
      </c>
      <c r="F457" t="s">
        <v>11</v>
      </c>
      <c r="G457" t="s">
        <v>25</v>
      </c>
      <c r="H457" s="12">
        <v>-2.1893288179611798</v>
      </c>
      <c r="I457" s="20">
        <v>-3.57927425399417</v>
      </c>
      <c r="J457" s="28">
        <v>3.4454973476300601E-4</v>
      </c>
      <c r="K457" s="29">
        <v>1.7520190253995999E-2</v>
      </c>
    </row>
    <row r="458" spans="1:11" x14ac:dyDescent="0.35">
      <c r="A458" s="9" t="str">
        <f>HYPERLINK("http://www.ensembl.org/id/WBGene00004173", "WBGene00004173")</f>
        <v>WBGene00004173</v>
      </c>
      <c r="B458" s="9" t="str">
        <f>HYPERLINK("http://www.ncbi.nlm.nih.gov/gene/180328", "180328")</f>
        <v>180328</v>
      </c>
      <c r="C458" s="9"/>
      <c r="D458" t="str">
        <f>"pqn-94"</f>
        <v>pqn-94</v>
      </c>
      <c r="E458" t="s">
        <v>432</v>
      </c>
      <c r="F458" t="s">
        <v>11</v>
      </c>
      <c r="H458" s="12">
        <v>1.9640985888198601</v>
      </c>
      <c r="I458" s="20">
        <v>3.5766840052949802</v>
      </c>
      <c r="J458" s="28">
        <v>3.4798039864319502E-4</v>
      </c>
      <c r="K458" s="29">
        <v>1.76325330944072E-2</v>
      </c>
    </row>
    <row r="459" spans="1:11" x14ac:dyDescent="0.35">
      <c r="A459" s="9" t="str">
        <f>HYPERLINK("http://www.ensembl.org/id/WBGene00009340", "WBGene00009340")</f>
        <v>WBGene00009340</v>
      </c>
      <c r="B459" s="9" t="str">
        <f>HYPERLINK("http://www.ncbi.nlm.nih.gov/gene/179471", "179471")</f>
        <v>179471</v>
      </c>
      <c r="C459" s="9"/>
      <c r="D459" t="str">
        <f>"best-14"</f>
        <v>best-14</v>
      </c>
      <c r="E459" t="s">
        <v>435</v>
      </c>
      <c r="F459" t="s">
        <v>11</v>
      </c>
      <c r="H459" s="12">
        <v>2.0198600127266002</v>
      </c>
      <c r="I459" s="20">
        <v>3.5690191014527199</v>
      </c>
      <c r="J459" s="28">
        <v>3.58320302623803E-4</v>
      </c>
      <c r="K459" s="29">
        <v>1.8029183449309899E-2</v>
      </c>
    </row>
    <row r="460" spans="1:11" x14ac:dyDescent="0.35">
      <c r="A460" s="9" t="str">
        <f>HYPERLINK("http://www.ensembl.org/id/WBGene00018902", "WBGene00018902")</f>
        <v>WBGene00018902</v>
      </c>
      <c r="B460" s="9" t="str">
        <f>HYPERLINK("http://www.ncbi.nlm.nih.gov/gene/259576", "259576")</f>
        <v>259576</v>
      </c>
      <c r="C460" s="9"/>
      <c r="D460" t="str">
        <f>"F55G1.6"</f>
        <v>F55G1.6</v>
      </c>
      <c r="F460" t="s">
        <v>11</v>
      </c>
      <c r="G460" t="s">
        <v>25</v>
      </c>
      <c r="H460" s="12">
        <v>-2.61240406941404</v>
      </c>
      <c r="I460" s="20">
        <v>-3.5702476080540699</v>
      </c>
      <c r="J460" s="28">
        <v>3.56643945923882E-4</v>
      </c>
      <c r="K460" s="29">
        <v>1.8029183449309899E-2</v>
      </c>
    </row>
    <row r="461" spans="1:11" x14ac:dyDescent="0.35">
      <c r="A461" s="9" t="str">
        <f>HYPERLINK("http://www.ensembl.org/id/WBGene00003523", "WBGene00003523")</f>
        <v>WBGene00003523</v>
      </c>
      <c r="B461" s="9" t="str">
        <f>HYPERLINK("http://www.ncbi.nlm.nih.gov/gene/182259", "182259")</f>
        <v>182259</v>
      </c>
      <c r="C461" s="9"/>
      <c r="D461" t="str">
        <f>"nas-4"</f>
        <v>nas-4</v>
      </c>
      <c r="E461" t="s">
        <v>433</v>
      </c>
      <c r="F461" t="s">
        <v>11</v>
      </c>
      <c r="G461" t="s">
        <v>434</v>
      </c>
      <c r="H461" s="12">
        <v>4.3947537405634396</v>
      </c>
      <c r="I461" s="20">
        <v>3.5685740066842602</v>
      </c>
      <c r="J461" s="28">
        <v>3.5892947228782698E-4</v>
      </c>
      <c r="K461" s="29">
        <v>1.8029183449309899E-2</v>
      </c>
    </row>
    <row r="462" spans="1:11" x14ac:dyDescent="0.35">
      <c r="A462" s="9" t="str">
        <f>HYPERLINK("http://www.ensembl.org/id/WBGene00014163", "WBGene00014163")</f>
        <v>WBGene00014163</v>
      </c>
      <c r="B462" s="9" t="str">
        <f>HYPERLINK("http://www.ncbi.nlm.nih.gov/gene/191471", "191471")</f>
        <v>191471</v>
      </c>
      <c r="C462" s="9"/>
      <c r="D462" t="str">
        <f>"rnh-1.2"</f>
        <v>rnh-1.2</v>
      </c>
      <c r="E462" t="s">
        <v>436</v>
      </c>
      <c r="F462" t="s">
        <v>11</v>
      </c>
      <c r="G462" t="s">
        <v>437</v>
      </c>
      <c r="H462" s="12">
        <v>-2.5543866607729</v>
      </c>
      <c r="I462" s="20">
        <v>-3.5686933029548</v>
      </c>
      <c r="J462" s="28">
        <v>3.5876610500750801E-4</v>
      </c>
      <c r="K462" s="29">
        <v>1.8029183449309899E-2</v>
      </c>
    </row>
    <row r="463" spans="1:11" x14ac:dyDescent="0.35">
      <c r="A463" s="9" t="str">
        <f>HYPERLINK("http://www.ensembl.org/id/WBGene00015709", "WBGene00015709")</f>
        <v>WBGene00015709</v>
      </c>
      <c r="B463" s="9" t="str">
        <f>HYPERLINK("http://www.ncbi.nlm.nih.gov/gene/179148", "179148")</f>
        <v>179148</v>
      </c>
      <c r="C463" s="9" t="str">
        <f>HYPERLINK("http://www.ncbi.nlm.nih.gov/gene/1573", "1573")</f>
        <v>1573</v>
      </c>
      <c r="D463" t="str">
        <f>"cyp-33A1"</f>
        <v>cyp-33A1</v>
      </c>
      <c r="E463" t="s">
        <v>176</v>
      </c>
      <c r="F463" t="s">
        <v>11</v>
      </c>
      <c r="G463" t="s">
        <v>438</v>
      </c>
      <c r="H463" s="12">
        <v>-1.96038298315655</v>
      </c>
      <c r="I463" s="20">
        <v>-3.5664997519454902</v>
      </c>
      <c r="J463" s="28">
        <v>3.6178115219919301E-4</v>
      </c>
      <c r="K463" s="29">
        <v>1.81330049950424E-2</v>
      </c>
    </row>
    <row r="464" spans="1:11" x14ac:dyDescent="0.35">
      <c r="A464" s="9" t="str">
        <f>HYPERLINK("http://www.ensembl.org/id/WBGene00017600", "WBGene00017600")</f>
        <v>WBGene00017600</v>
      </c>
      <c r="B464" s="9" t="str">
        <f>HYPERLINK("http://www.ncbi.nlm.nih.gov/gene/184686", "184686")</f>
        <v>184686</v>
      </c>
      <c r="C464" s="9"/>
      <c r="D464" t="str">
        <f>"ttr-10"</f>
        <v>ttr-10</v>
      </c>
      <c r="E464" t="s">
        <v>16</v>
      </c>
      <c r="F464" t="s">
        <v>11</v>
      </c>
      <c r="G464" t="s">
        <v>17</v>
      </c>
      <c r="H464" s="12">
        <v>1.9188239613328499</v>
      </c>
      <c r="I464" s="20">
        <v>3.5658081631318401</v>
      </c>
      <c r="J464" s="28">
        <v>3.6273664641922002E-4</v>
      </c>
      <c r="K464" s="29">
        <v>1.8141543186498899E-2</v>
      </c>
    </row>
    <row r="465" spans="1:11" x14ac:dyDescent="0.35">
      <c r="A465" s="9" t="str">
        <f>HYPERLINK("http://www.ensembl.org/id/WBGene00022292", "WBGene00022292")</f>
        <v>WBGene00022292</v>
      </c>
      <c r="B465" s="9" t="str">
        <f>HYPERLINK("http://www.ncbi.nlm.nih.gov/gene/180499", "180499")</f>
        <v>180499</v>
      </c>
      <c r="C465" s="9"/>
      <c r="D465" t="str">
        <f>"Y75D11A.3"</f>
        <v>Y75D11A.3</v>
      </c>
      <c r="F465" t="s">
        <v>11</v>
      </c>
      <c r="H465" s="12">
        <v>-3.3499257733069299</v>
      </c>
      <c r="I465" s="20">
        <v>-3.5649615263467598</v>
      </c>
      <c r="J465" s="28">
        <v>3.6390956625848898E-4</v>
      </c>
      <c r="K465" s="29">
        <v>1.8160895114403101E-2</v>
      </c>
    </row>
    <row r="466" spans="1:11" x14ac:dyDescent="0.35">
      <c r="A466" s="9" t="str">
        <f>HYPERLINK("http://www.ensembl.org/id/WBGene00000176", "WBGene00000176")</f>
        <v>WBGene00000176</v>
      </c>
      <c r="B466" s="9" t="str">
        <f>HYPERLINK("http://www.ncbi.nlm.nih.gov/gene/180744", "180744")</f>
        <v>180744</v>
      </c>
      <c r="C466" s="9"/>
      <c r="D466" t="str">
        <f>"aqp-8"</f>
        <v>aqp-8</v>
      </c>
      <c r="E466" t="s">
        <v>379</v>
      </c>
      <c r="F466" t="s">
        <v>11</v>
      </c>
      <c r="G466" t="s">
        <v>439</v>
      </c>
      <c r="H466" s="12">
        <v>2.2365334857904</v>
      </c>
      <c r="I466" s="20">
        <v>3.5641990249750601</v>
      </c>
      <c r="J466" s="28">
        <v>3.6496896017482899E-4</v>
      </c>
      <c r="K466" s="29">
        <v>1.81745103314646E-2</v>
      </c>
    </row>
    <row r="467" spans="1:11" x14ac:dyDescent="0.35">
      <c r="A467" s="9" t="str">
        <f>HYPERLINK("http://www.ensembl.org/id/WBGene00012664", "WBGene00012664")</f>
        <v>WBGene00012664</v>
      </c>
      <c r="B467" s="9" t="str">
        <f>HYPERLINK("http://www.ncbi.nlm.nih.gov/gene/180264", "180264")</f>
        <v>180264</v>
      </c>
      <c r="C467" s="9"/>
      <c r="D467" t="str">
        <f>"Y39B6A.1"</f>
        <v>Y39B6A.1</v>
      </c>
      <c r="F467" t="s">
        <v>11</v>
      </c>
      <c r="G467" t="s">
        <v>440</v>
      </c>
      <c r="H467" s="12">
        <v>2.22952564070623</v>
      </c>
      <c r="I467" s="20">
        <v>3.5633997956824399</v>
      </c>
      <c r="J467" s="28">
        <v>3.6608247744714898E-4</v>
      </c>
      <c r="K467" s="29">
        <v>1.81907563954706E-2</v>
      </c>
    </row>
    <row r="468" spans="1:11" x14ac:dyDescent="0.35">
      <c r="A468" s="9" t="str">
        <f>HYPERLINK("http://www.ensembl.org/id/WBGene00022245", "WBGene00022245")</f>
        <v>WBGene00022245</v>
      </c>
      <c r="B468" s="9" t="str">
        <f>HYPERLINK("http://www.ncbi.nlm.nih.gov/gene/177407", "177407")</f>
        <v>177407</v>
      </c>
      <c r="C468" s="9"/>
      <c r="D468" t="str">
        <f>"acp-6"</f>
        <v>acp-6</v>
      </c>
      <c r="E468" t="s">
        <v>36</v>
      </c>
      <c r="F468" t="s">
        <v>11</v>
      </c>
      <c r="G468" t="s">
        <v>37</v>
      </c>
      <c r="H468" s="12">
        <v>1.99464685777283</v>
      </c>
      <c r="I468" s="20">
        <v>3.55484733601179</v>
      </c>
      <c r="J468" s="28">
        <v>3.7819861357305402E-4</v>
      </c>
      <c r="K468" s="29">
        <v>1.87524831871652E-2</v>
      </c>
    </row>
    <row r="469" spans="1:11" x14ac:dyDescent="0.35">
      <c r="A469" s="9" t="str">
        <f>HYPERLINK("http://www.ensembl.org/id/WBGene00007978", "WBGene00007978")</f>
        <v>WBGene00007978</v>
      </c>
      <c r="B469" s="9" t="str">
        <f>HYPERLINK("http://www.ncbi.nlm.nih.gov/gene/172685", "172685")</f>
        <v>172685</v>
      </c>
      <c r="C469" s="9"/>
      <c r="D469" t="str">
        <f>"C36B1.11"</f>
        <v>C36B1.11</v>
      </c>
      <c r="F469" t="s">
        <v>11</v>
      </c>
      <c r="G469" t="s">
        <v>54</v>
      </c>
      <c r="H469" s="12">
        <v>-2.0136444174361201</v>
      </c>
      <c r="I469" s="20">
        <v>-3.5537008764441902</v>
      </c>
      <c r="J469" s="28">
        <v>3.7985098404910299E-4</v>
      </c>
      <c r="K469" s="29">
        <v>1.879408316368E-2</v>
      </c>
    </row>
    <row r="470" spans="1:11" x14ac:dyDescent="0.35">
      <c r="A470" s="9" t="str">
        <f>HYPERLINK("http://www.ensembl.org/id/WBGene00003071", "WBGene00003071")</f>
        <v>WBGene00003071</v>
      </c>
      <c r="B470" s="9" t="str">
        <f>HYPERLINK("http://www.ncbi.nlm.nih.gov/gene/172520", "172520")</f>
        <v>172520</v>
      </c>
      <c r="C470" s="9" t="str">
        <f>HYPERLINK("http://www.ncbi.nlm.nih.gov/gene/4036", "4036")</f>
        <v>4036</v>
      </c>
      <c r="D470" t="str">
        <f>"lrp-1"</f>
        <v>lrp-1</v>
      </c>
      <c r="E470" t="s">
        <v>441</v>
      </c>
      <c r="F470" t="s">
        <v>11</v>
      </c>
      <c r="G470" t="s">
        <v>442</v>
      </c>
      <c r="H470" s="12">
        <v>1.9897530893595301</v>
      </c>
      <c r="I470" s="20">
        <v>3.55105783257078</v>
      </c>
      <c r="J470" s="28">
        <v>3.8368609745075103E-4</v>
      </c>
      <c r="K470" s="29">
        <v>1.8906941150120499E-2</v>
      </c>
    </row>
    <row r="471" spans="1:11" x14ac:dyDescent="0.35">
      <c r="A471" s="9" t="str">
        <f>HYPERLINK("http://www.ensembl.org/id/WBGene00012795", "WBGene00012795")</f>
        <v>WBGene00012795</v>
      </c>
      <c r="B471" s="9" t="str">
        <f>HYPERLINK("http://www.ncbi.nlm.nih.gov/gene/177995", "177995")</f>
        <v>177995</v>
      </c>
      <c r="C471" s="9"/>
      <c r="D471" t="str">
        <f>"Y43E12A.3"</f>
        <v>Y43E12A.3</v>
      </c>
      <c r="F471" t="s">
        <v>11</v>
      </c>
      <c r="G471" t="s">
        <v>54</v>
      </c>
      <c r="H471" s="12">
        <v>-3.2472867078702699</v>
      </c>
      <c r="I471" s="20">
        <v>-3.55100130162681</v>
      </c>
      <c r="J471" s="28">
        <v>3.8376851897370802E-4</v>
      </c>
      <c r="K471" s="29">
        <v>1.8906941150120499E-2</v>
      </c>
    </row>
    <row r="472" spans="1:11" x14ac:dyDescent="0.35">
      <c r="A472" s="9" t="str">
        <f>HYPERLINK("http://www.ensembl.org/id/WBGene00006940", "WBGene00006940")</f>
        <v>WBGene00006940</v>
      </c>
      <c r="B472" s="9" t="str">
        <f>HYPERLINK("http://www.ncbi.nlm.nih.gov/gene/174531", "174531")</f>
        <v>174531</v>
      </c>
      <c r="C472" s="9"/>
      <c r="D472" t="str">
        <f>"wee-1.3"</f>
        <v>wee-1.3</v>
      </c>
      <c r="E472" t="s">
        <v>443</v>
      </c>
      <c r="F472" t="s">
        <v>11</v>
      </c>
      <c r="G472" t="s">
        <v>444</v>
      </c>
      <c r="H472" s="12">
        <v>-2.0212146797305901</v>
      </c>
      <c r="I472" s="20">
        <v>-3.54986939446127</v>
      </c>
      <c r="J472" s="28">
        <v>3.8542231444634701E-4</v>
      </c>
      <c r="K472" s="29">
        <v>1.8948017016164501E-2</v>
      </c>
    </row>
    <row r="473" spans="1:11" x14ac:dyDescent="0.35">
      <c r="A473" s="9" t="str">
        <f>HYPERLINK("http://www.ensembl.org/id/WBGene00002827", "WBGene00002827")</f>
        <v>WBGene00002827</v>
      </c>
      <c r="B473" s="9" t="str">
        <f>HYPERLINK("http://www.ncbi.nlm.nih.gov/gene/178120", "178120")</f>
        <v>178120</v>
      </c>
      <c r="C473" s="9"/>
      <c r="D473" t="str">
        <f>"let-653"</f>
        <v>let-653</v>
      </c>
      <c r="F473" t="s">
        <v>11</v>
      </c>
      <c r="H473" s="12">
        <v>2.1969586867295798</v>
      </c>
      <c r="I473" s="20">
        <v>3.54494733190274</v>
      </c>
      <c r="J473" s="28">
        <v>3.9269154344964902E-4</v>
      </c>
      <c r="K473" s="29">
        <v>1.92643966092306E-2</v>
      </c>
    </row>
    <row r="474" spans="1:11" x14ac:dyDescent="0.35">
      <c r="A474" s="9" t="str">
        <f>HYPERLINK("http://www.ensembl.org/id/WBGene00011945", "WBGene00011945")</f>
        <v>WBGene00011945</v>
      </c>
      <c r="B474" s="9" t="str">
        <f>HYPERLINK("http://www.ncbi.nlm.nih.gov/gene/172861", "172861")</f>
        <v>172861</v>
      </c>
      <c r="C474" s="9"/>
      <c r="D474" t="str">
        <f>"alg-5"</f>
        <v>alg-5</v>
      </c>
      <c r="F474" t="s">
        <v>11</v>
      </c>
      <c r="G474" t="s">
        <v>445</v>
      </c>
      <c r="H474" s="12">
        <v>-2.10165446026142</v>
      </c>
      <c r="I474" s="20">
        <v>-3.5438014663130399</v>
      </c>
      <c r="J474" s="28">
        <v>3.9440211908600898E-4</v>
      </c>
      <c r="K474" s="29">
        <v>1.9307320685595999E-2</v>
      </c>
    </row>
    <row r="475" spans="1:11" x14ac:dyDescent="0.35">
      <c r="A475" s="9" t="str">
        <f>HYPERLINK("http://www.ensembl.org/id/WBGene00016362", "WBGene00016362")</f>
        <v>WBGene00016362</v>
      </c>
      <c r="B475" s="9" t="str">
        <f>HYPERLINK("http://www.ncbi.nlm.nih.gov/gene/183176", "183176")</f>
        <v>183176</v>
      </c>
      <c r="C475" s="9"/>
      <c r="D475" t="str">
        <f>"C33G8.4"</f>
        <v>C33G8.4</v>
      </c>
      <c r="F475" t="s">
        <v>11</v>
      </c>
      <c r="H475" s="12">
        <v>2.0594876240491402</v>
      </c>
      <c r="I475" s="20">
        <v>3.5399801751662099</v>
      </c>
      <c r="J475" s="28">
        <v>4.0015709018151102E-4</v>
      </c>
      <c r="K475" s="29">
        <v>1.9506391826442999E-2</v>
      </c>
    </row>
    <row r="476" spans="1:11" x14ac:dyDescent="0.35">
      <c r="A476" s="9" t="str">
        <f>HYPERLINK("http://www.ensembl.org/id/WBGene00001772", "WBGene00001772")</f>
        <v>WBGene00001772</v>
      </c>
      <c r="B476" s="9" t="str">
        <f>HYPERLINK("http://www.ncbi.nlm.nih.gov/gene/185407", "185407")</f>
        <v>185407</v>
      </c>
      <c r="C476" s="9" t="str">
        <f>HYPERLINK("http://www.ncbi.nlm.nih.gov/gene/27306", "27306")</f>
        <v>27306</v>
      </c>
      <c r="D476" t="str">
        <f>"gst-24"</f>
        <v>gst-24</v>
      </c>
      <c r="E476" t="s">
        <v>272</v>
      </c>
      <c r="F476" t="s">
        <v>11</v>
      </c>
      <c r="G476" t="s">
        <v>446</v>
      </c>
      <c r="H476" s="12">
        <v>2.6736571781820402</v>
      </c>
      <c r="I476" s="20">
        <v>3.54019586235288</v>
      </c>
      <c r="J476" s="28">
        <v>3.9983018129204702E-4</v>
      </c>
      <c r="K476" s="29">
        <v>1.9506391826442999E-2</v>
      </c>
    </row>
    <row r="477" spans="1:11" x14ac:dyDescent="0.35">
      <c r="A477" s="9" t="str">
        <f>HYPERLINK("http://www.ensembl.org/id/WBGene00022623", "WBGene00022623")</f>
        <v>WBGene00022623</v>
      </c>
      <c r="B477" s="9" t="str">
        <f>HYPERLINK("http://www.ncbi.nlm.nih.gov/gene/179065", "179065")</f>
        <v>179065</v>
      </c>
      <c r="C477" s="9"/>
      <c r="D477" t="str">
        <f>"ZC487.1"</f>
        <v>ZC487.1</v>
      </c>
      <c r="F477" t="s">
        <v>11</v>
      </c>
      <c r="G477" t="s">
        <v>447</v>
      </c>
      <c r="H477" s="12">
        <v>2.2097429757708502</v>
      </c>
      <c r="I477" s="20">
        <v>3.5388483805576301</v>
      </c>
      <c r="J477" s="28">
        <v>4.0187660530917302E-4</v>
      </c>
      <c r="K477" s="29">
        <v>1.9548970194260499E-2</v>
      </c>
    </row>
    <row r="478" spans="1:11" x14ac:dyDescent="0.35">
      <c r="A478" s="9" t="str">
        <f>HYPERLINK("http://www.ensembl.org/id/WBGene00020136", "WBGene00020136")</f>
        <v>WBGene00020136</v>
      </c>
      <c r="B478" s="9" t="str">
        <f>HYPERLINK("http://www.ncbi.nlm.nih.gov/gene/187929", "187929")</f>
        <v>187929</v>
      </c>
      <c r="C478" s="9"/>
      <c r="D478" t="str">
        <f>"nlp-45"</f>
        <v>nlp-45</v>
      </c>
      <c r="E478" t="s">
        <v>76</v>
      </c>
      <c r="F478" t="s">
        <v>11</v>
      </c>
      <c r="G478" t="s">
        <v>77</v>
      </c>
      <c r="H478" s="12">
        <v>4.5762416335842699</v>
      </c>
      <c r="I478" s="20">
        <v>3.5354050238460699</v>
      </c>
      <c r="J478" s="28">
        <v>4.0715057712205002E-4</v>
      </c>
      <c r="K478" s="29">
        <v>1.9763910157525402E-2</v>
      </c>
    </row>
    <row r="479" spans="1:11" x14ac:dyDescent="0.35">
      <c r="A479" s="9" t="str">
        <f>HYPERLINK("http://www.ensembl.org/id/WBGene00012276", "WBGene00012276")</f>
        <v>WBGene00012276</v>
      </c>
      <c r="B479" s="9" t="str">
        <f>HYPERLINK("http://www.ncbi.nlm.nih.gov/gene/179734", "179734")</f>
        <v>179734</v>
      </c>
      <c r="C479" s="9"/>
      <c r="D479" t="str">
        <f>"his-74"</f>
        <v>his-74</v>
      </c>
      <c r="E479" t="s">
        <v>448</v>
      </c>
      <c r="F479" t="s">
        <v>11</v>
      </c>
      <c r="G479" t="s">
        <v>232</v>
      </c>
      <c r="H479" s="12">
        <v>-2.0484262373772202</v>
      </c>
      <c r="I479" s="20">
        <v>-3.52910126606508</v>
      </c>
      <c r="J479" s="28">
        <v>4.1697353923174498E-4</v>
      </c>
      <c r="K479" s="29">
        <v>2.0198303139389299E-2</v>
      </c>
    </row>
    <row r="480" spans="1:11" x14ac:dyDescent="0.35">
      <c r="A480" s="9" t="str">
        <f>HYPERLINK("http://www.ensembl.org/id/WBGene00009475", "WBGene00009475")</f>
        <v>WBGene00009475</v>
      </c>
      <c r="B480" s="9" t="str">
        <f>HYPERLINK("http://www.ncbi.nlm.nih.gov/gene/172722", "172722")</f>
        <v>172722</v>
      </c>
      <c r="C480" s="9" t="str">
        <f>HYPERLINK("http://www.ncbi.nlm.nih.gov/gene/137735", "137735")</f>
        <v>137735</v>
      </c>
      <c r="D480" t="str">
        <f>"F36F2.1"</f>
        <v>F36F2.1</v>
      </c>
      <c r="F480" t="s">
        <v>11</v>
      </c>
      <c r="G480" t="s">
        <v>449</v>
      </c>
      <c r="H480" s="12">
        <v>2.10068148055278</v>
      </c>
      <c r="I480" s="20">
        <v>3.5278048062783798</v>
      </c>
      <c r="J480" s="28">
        <v>4.1902102302777202E-4</v>
      </c>
      <c r="K480" s="29">
        <v>2.0198399259457201E-2</v>
      </c>
    </row>
    <row r="481" spans="1:11" x14ac:dyDescent="0.35">
      <c r="A481" s="9" t="str">
        <f>HYPERLINK("http://www.ensembl.org/id/WBGene00001395", "WBGene00001395")</f>
        <v>WBGene00001395</v>
      </c>
      <c r="B481" s="9" t="str">
        <f>HYPERLINK("http://www.ncbi.nlm.nih.gov/gene/177820", "177820")</f>
        <v>177820</v>
      </c>
      <c r="C481" s="9" t="str">
        <f>HYPERLINK("http://www.ncbi.nlm.nih.gov/gene/9415", "9415")</f>
        <v>9415</v>
      </c>
      <c r="D481" t="str">
        <f>"fat-3"</f>
        <v>fat-3</v>
      </c>
      <c r="E481" t="s">
        <v>450</v>
      </c>
      <c r="F481" t="s">
        <v>11</v>
      </c>
      <c r="G481" t="s">
        <v>451</v>
      </c>
      <c r="H481" s="12">
        <v>-1.9447925914575599</v>
      </c>
      <c r="I481" s="20">
        <v>-3.5274405278639902</v>
      </c>
      <c r="J481" s="28">
        <v>4.1959801110272001E-4</v>
      </c>
      <c r="K481" s="29">
        <v>2.0198399259457201E-2</v>
      </c>
    </row>
    <row r="482" spans="1:11" x14ac:dyDescent="0.35">
      <c r="A482" s="9" t="str">
        <f>HYPERLINK("http://www.ensembl.org/id/WBGene00018725", "WBGene00018725")</f>
        <v>WBGene00018725</v>
      </c>
      <c r="B482" s="9" t="str">
        <f>HYPERLINK("http://www.ncbi.nlm.nih.gov/gene/186143", "186143")</f>
        <v>186143</v>
      </c>
      <c r="C482" s="9"/>
      <c r="D482" t="str">
        <f>"kreg-1"</f>
        <v>kreg-1</v>
      </c>
      <c r="F482" t="s">
        <v>11</v>
      </c>
      <c r="G482" t="s">
        <v>452</v>
      </c>
      <c r="H482" s="12">
        <v>-2.9326757154821199</v>
      </c>
      <c r="I482" s="20">
        <v>-3.5284799065411701</v>
      </c>
      <c r="J482" s="28">
        <v>4.17953676339241E-4</v>
      </c>
      <c r="K482" s="29">
        <v>2.0198399259457201E-2</v>
      </c>
    </row>
    <row r="483" spans="1:11" x14ac:dyDescent="0.35">
      <c r="A483" s="9" t="str">
        <f>HYPERLINK("http://www.ensembl.org/id/WBGene00009877", "WBGene00009877")</f>
        <v>WBGene00009877</v>
      </c>
      <c r="B483" s="9" t="str">
        <f>HYPERLINK("http://www.ncbi.nlm.nih.gov/gene/177751", "177751")</f>
        <v>177751</v>
      </c>
      <c r="C483" s="9"/>
      <c r="D483" t="str">
        <f>"F49C12.7"</f>
        <v>F49C12.7</v>
      </c>
      <c r="F483" t="s">
        <v>11</v>
      </c>
      <c r="H483" s="12">
        <v>-2.0348250112125199</v>
      </c>
      <c r="I483" s="20">
        <v>-3.52548487268374</v>
      </c>
      <c r="J483" s="28">
        <v>4.2270831808169802E-4</v>
      </c>
      <c r="K483" s="29">
        <v>2.0263689621567899E-2</v>
      </c>
    </row>
    <row r="484" spans="1:11" x14ac:dyDescent="0.35">
      <c r="A484" s="9" t="str">
        <f>HYPERLINK("http://www.ensembl.org/id/WBGene00002214", "WBGene00002214")</f>
        <v>WBGene00002214</v>
      </c>
      <c r="B484" s="9" t="str">
        <f>HYPERLINK("http://www.ncbi.nlm.nih.gov/gene/178007", "178007")</f>
        <v>178007</v>
      </c>
      <c r="C484" s="9"/>
      <c r="D484" t="str">
        <f>"klc-1"</f>
        <v>klc-1</v>
      </c>
      <c r="E484" t="s">
        <v>453</v>
      </c>
      <c r="F484" t="s">
        <v>11</v>
      </c>
      <c r="G484" t="s">
        <v>454</v>
      </c>
      <c r="H484" s="12">
        <v>-2.00707641879402</v>
      </c>
      <c r="I484" s="20">
        <v>-3.52596409658956</v>
      </c>
      <c r="J484" s="28">
        <v>4.2194416709408E-4</v>
      </c>
      <c r="K484" s="29">
        <v>2.0263689621567899E-2</v>
      </c>
    </row>
    <row r="485" spans="1:11" x14ac:dyDescent="0.35">
      <c r="A485" s="9" t="str">
        <f>HYPERLINK("http://www.ensembl.org/id/WBGene00000770", "WBGene00000770")</f>
        <v>WBGene00000770</v>
      </c>
      <c r="B485" s="9" t="str">
        <f>HYPERLINK("http://www.ncbi.nlm.nih.gov/gene/176310", "176310")</f>
        <v>176310</v>
      </c>
      <c r="C485" s="9"/>
      <c r="D485" t="str">
        <f>"cpb-1"</f>
        <v>cpb-1</v>
      </c>
      <c r="E485" t="s">
        <v>456</v>
      </c>
      <c r="F485" t="s">
        <v>11</v>
      </c>
      <c r="G485" t="s">
        <v>367</v>
      </c>
      <c r="H485" s="12">
        <v>-2.4140470868195201</v>
      </c>
      <c r="I485" s="20">
        <v>-3.5214767958967101</v>
      </c>
      <c r="J485" s="28">
        <v>4.2915022430846199E-4</v>
      </c>
      <c r="K485" s="29">
        <v>2.0434878532545098E-2</v>
      </c>
    </row>
    <row r="486" spans="1:11" x14ac:dyDescent="0.35">
      <c r="A486" s="9" t="str">
        <f>HYPERLINK("http://www.ensembl.org/id/WBGene00018731", "WBGene00018731")</f>
        <v>WBGene00018731</v>
      </c>
      <c r="B486" s="9" t="str">
        <f>HYPERLINK("http://www.ncbi.nlm.nih.gov/gene/181118", "181118")</f>
        <v>181118</v>
      </c>
      <c r="C486" s="9"/>
      <c r="D486" t="str">
        <f>"F53A9.8"</f>
        <v>F53A9.8</v>
      </c>
      <c r="F486" t="s">
        <v>11</v>
      </c>
      <c r="G486" t="s">
        <v>84</v>
      </c>
      <c r="H486" s="12">
        <v>-2.2712743438421001</v>
      </c>
      <c r="I486" s="20">
        <v>-3.5210651666240298</v>
      </c>
      <c r="J486" s="28">
        <v>4.2981697251003698E-4</v>
      </c>
      <c r="K486" s="29">
        <v>2.0434878532545098E-2</v>
      </c>
    </row>
    <row r="487" spans="1:11" x14ac:dyDescent="0.35">
      <c r="A487" s="9" t="str">
        <f>HYPERLINK("http://www.ensembl.org/id/WBGene00010493", "WBGene00010493")</f>
        <v>WBGene00010493</v>
      </c>
      <c r="B487" s="9" t="str">
        <f>HYPERLINK("http://www.ncbi.nlm.nih.gov/gene/181501", "181501")</f>
        <v>181501</v>
      </c>
      <c r="C487" s="9"/>
      <c r="D487" t="str">
        <f>"meg-2"</f>
        <v>meg-2</v>
      </c>
      <c r="F487" t="s">
        <v>11</v>
      </c>
      <c r="G487" t="s">
        <v>455</v>
      </c>
      <c r="H487" s="12">
        <v>-2.3436836974171098</v>
      </c>
      <c r="I487" s="20">
        <v>-3.5214924350218499</v>
      </c>
      <c r="J487" s="28">
        <v>4.2912491144321698E-4</v>
      </c>
      <c r="K487" s="29">
        <v>2.0434878532545098E-2</v>
      </c>
    </row>
    <row r="488" spans="1:11" x14ac:dyDescent="0.35">
      <c r="A488" s="9" t="str">
        <f>HYPERLINK("http://www.ensembl.org/id/WBGene00020245", "WBGene00020245")</f>
        <v>WBGene00020245</v>
      </c>
      <c r="B488" s="9" t="str">
        <f>HYPERLINK("http://www.ncbi.nlm.nih.gov/gene/179151", "179151")</f>
        <v>179151</v>
      </c>
      <c r="C488" s="9"/>
      <c r="D488" t="str">
        <f>"T05B11.1"</f>
        <v>T05B11.1</v>
      </c>
      <c r="F488" t="s">
        <v>11</v>
      </c>
      <c r="G488" t="s">
        <v>54</v>
      </c>
      <c r="H488" s="12">
        <v>2.1157776473115302</v>
      </c>
      <c r="I488" s="20">
        <v>3.5221050088686301</v>
      </c>
      <c r="J488" s="28">
        <v>4.28134519777319E-4</v>
      </c>
      <c r="K488" s="29">
        <v>2.0434878532545098E-2</v>
      </c>
    </row>
    <row r="489" spans="1:11" x14ac:dyDescent="0.35">
      <c r="A489" s="9" t="str">
        <f>HYPERLINK("http://www.ensembl.org/id/WBGene00009090", "WBGene00009090")</f>
        <v>WBGene00009090</v>
      </c>
      <c r="B489" s="9" t="str">
        <f>HYPERLINK("http://www.ncbi.nlm.nih.gov/gene/259352", "259352")</f>
        <v>259352</v>
      </c>
      <c r="C489" s="9"/>
      <c r="D489" t="str">
        <f>"fipr-3"</f>
        <v>fipr-3</v>
      </c>
      <c r="E489" t="s">
        <v>28</v>
      </c>
      <c r="F489" t="s">
        <v>11</v>
      </c>
      <c r="G489" t="s">
        <v>25</v>
      </c>
      <c r="H489" s="12">
        <v>2.68908458934385</v>
      </c>
      <c r="I489" s="20">
        <v>3.5179748934422301</v>
      </c>
      <c r="J489" s="28">
        <v>4.3485350240358902E-4</v>
      </c>
      <c r="K489" s="29">
        <v>2.06318789045941E-2</v>
      </c>
    </row>
    <row r="490" spans="1:11" x14ac:dyDescent="0.35">
      <c r="A490" s="9" t="str">
        <f>HYPERLINK("http://www.ensembl.org/id/WBGene00003783", "WBGene00003783")</f>
        <v>WBGene00003783</v>
      </c>
      <c r="B490" s="9" t="str">
        <f>HYPERLINK("http://www.ncbi.nlm.nih.gov/gene/191735", "191735")</f>
        <v>191735</v>
      </c>
      <c r="C490" s="9"/>
      <c r="D490" t="str">
        <f>"nos-1"</f>
        <v>nos-1</v>
      </c>
      <c r="E490" t="s">
        <v>297</v>
      </c>
      <c r="F490" t="s">
        <v>11</v>
      </c>
      <c r="G490" t="s">
        <v>457</v>
      </c>
      <c r="H490" s="12">
        <v>-2.6769292395073401</v>
      </c>
      <c r="I490" s="20">
        <v>-3.5168170949775601</v>
      </c>
      <c r="J490" s="28">
        <v>4.36754630791104E-4</v>
      </c>
      <c r="K490" s="29">
        <v>2.0679615776760699E-2</v>
      </c>
    </row>
    <row r="491" spans="1:11" x14ac:dyDescent="0.35">
      <c r="A491" s="9" t="str">
        <f>HYPERLINK("http://www.ensembl.org/id/WBGene00013214", "WBGene00013214")</f>
        <v>WBGene00013214</v>
      </c>
      <c r="B491" s="9" t="str">
        <f>HYPERLINK("http://www.ncbi.nlm.nih.gov/gene/175083", "175083")</f>
        <v>175083</v>
      </c>
      <c r="C491" s="9" t="str">
        <f>HYPERLINK("http://www.ncbi.nlm.nih.gov/gene/55510", "55510")</f>
        <v>55510</v>
      </c>
      <c r="D491" t="str">
        <f>"Y54G11A.3"</f>
        <v>Y54G11A.3</v>
      </c>
      <c r="F491" t="s">
        <v>11</v>
      </c>
      <c r="G491" t="s">
        <v>458</v>
      </c>
      <c r="H491" s="12">
        <v>-2.12691784760599</v>
      </c>
      <c r="I491" s="20">
        <v>-3.5147707282800398</v>
      </c>
      <c r="J491" s="28">
        <v>4.4013379489413299E-4</v>
      </c>
      <c r="K491" s="29">
        <v>2.0796996860580501E-2</v>
      </c>
    </row>
    <row r="492" spans="1:11" x14ac:dyDescent="0.35">
      <c r="A492" s="9" t="str">
        <f>HYPERLINK("http://www.ensembl.org/id/WBGene00010643", "WBGene00010643")</f>
        <v>WBGene00010643</v>
      </c>
      <c r="B492" s="9" t="str">
        <f>HYPERLINK("http://www.ncbi.nlm.nih.gov/gene/187122", "187122")</f>
        <v>187122</v>
      </c>
      <c r="C492" s="9"/>
      <c r="D492" t="str">
        <f>"K07G5.4"</f>
        <v>K07G5.4</v>
      </c>
      <c r="F492" t="s">
        <v>11</v>
      </c>
      <c r="H492" s="12">
        <v>2.4915633597218898</v>
      </c>
      <c r="I492" s="20">
        <v>3.5134071999389298</v>
      </c>
      <c r="J492" s="28">
        <v>4.4239891977012599E-4</v>
      </c>
      <c r="K492" s="29">
        <v>2.0861366204507199E-2</v>
      </c>
    </row>
    <row r="493" spans="1:11" x14ac:dyDescent="0.35">
      <c r="A493" s="9" t="str">
        <f>HYPERLINK("http://www.ensembl.org/id/WBGene00020393", "WBGene00020393")</f>
        <v>WBGene00020393</v>
      </c>
      <c r="B493" s="9" t="str">
        <f>HYPERLINK("http://www.ncbi.nlm.nih.gov/gene/178665", "178665")</f>
        <v>178665</v>
      </c>
      <c r="C493" s="9"/>
      <c r="D493" t="str">
        <f>"T10B5.7"</f>
        <v>T10B5.7</v>
      </c>
      <c r="F493" t="s">
        <v>11</v>
      </c>
      <c r="G493" t="s">
        <v>29</v>
      </c>
      <c r="H493" s="12">
        <v>-2.3614412420118698</v>
      </c>
      <c r="I493" s="20">
        <v>-3.5125552727435601</v>
      </c>
      <c r="J493" s="28">
        <v>4.4381967911502802E-4</v>
      </c>
      <c r="K493" s="29">
        <v>2.0885738300675801E-2</v>
      </c>
    </row>
    <row r="494" spans="1:11" x14ac:dyDescent="0.35">
      <c r="A494" s="9" t="str">
        <f>HYPERLINK("http://www.ensembl.org/id/WBGene00008244", "WBGene00008244")</f>
        <v>WBGene00008244</v>
      </c>
      <c r="B494" s="9" t="str">
        <f>HYPERLINK("http://www.ncbi.nlm.nih.gov/gene/260084", "260084")</f>
        <v>260084</v>
      </c>
      <c r="C494" s="9"/>
      <c r="D494" t="str">
        <f>"fipr-11"</f>
        <v>fipr-11</v>
      </c>
      <c r="E494" t="s">
        <v>28</v>
      </c>
      <c r="F494" t="s">
        <v>11</v>
      </c>
      <c r="H494" s="12">
        <v>2.3887935027826201</v>
      </c>
      <c r="I494" s="20">
        <v>3.5101694046605099</v>
      </c>
      <c r="J494" s="28">
        <v>4.4782128963843199E-4</v>
      </c>
      <c r="K494" s="29">
        <v>2.1001939697244901E-2</v>
      </c>
    </row>
    <row r="495" spans="1:11" x14ac:dyDescent="0.35">
      <c r="A495" s="9" t="str">
        <f>HYPERLINK("http://www.ensembl.org/id/WBGene00001633", "WBGene00001633")</f>
        <v>WBGene00001633</v>
      </c>
      <c r="B495" s="9" t="str">
        <f>HYPERLINK("http://www.ncbi.nlm.nih.gov/gene/176595", "176595")</f>
        <v>176595</v>
      </c>
      <c r="C495" s="9"/>
      <c r="D495" t="str">
        <f>"gly-8"</f>
        <v>gly-8</v>
      </c>
      <c r="E495" t="s">
        <v>459</v>
      </c>
      <c r="F495" t="s">
        <v>11</v>
      </c>
      <c r="H495" s="12">
        <v>2.1220300516345598</v>
      </c>
      <c r="I495" s="20">
        <v>3.5099999229677401</v>
      </c>
      <c r="J495" s="28">
        <v>4.4810682380081899E-4</v>
      </c>
      <c r="K495" s="29">
        <v>2.1001939697244901E-2</v>
      </c>
    </row>
    <row r="496" spans="1:11" x14ac:dyDescent="0.35">
      <c r="A496" s="9" t="str">
        <f>HYPERLINK("http://www.ensembl.org/id/WBGene00000665", "WBGene00000665")</f>
        <v>WBGene00000665</v>
      </c>
      <c r="B496" s="9" t="str">
        <f>HYPERLINK("http://www.ncbi.nlm.nih.gov/gene/176117", "176117")</f>
        <v>176117</v>
      </c>
      <c r="C496" s="9"/>
      <c r="D496" t="str">
        <f>"col-90"</f>
        <v>col-90</v>
      </c>
      <c r="E496" t="s">
        <v>460</v>
      </c>
      <c r="F496" t="s">
        <v>11</v>
      </c>
      <c r="G496" t="s">
        <v>152</v>
      </c>
      <c r="H496" s="12">
        <v>27.202880853656399</v>
      </c>
      <c r="I496" s="20">
        <v>3.5088053926743599</v>
      </c>
      <c r="J496" s="28">
        <v>4.5012413218529498E-4</v>
      </c>
      <c r="K496" s="29">
        <v>2.1033651869302401E-2</v>
      </c>
    </row>
    <row r="497" spans="1:11" x14ac:dyDescent="0.35">
      <c r="A497" s="9" t="str">
        <f>HYPERLINK("http://www.ensembl.org/id/WBGene00011586", "WBGene00011586")</f>
        <v>WBGene00011586</v>
      </c>
      <c r="B497" s="9" t="str">
        <f>HYPERLINK("http://www.ncbi.nlm.nih.gov/gene/259401", "259401")</f>
        <v>259401</v>
      </c>
      <c r="C497" s="9"/>
      <c r="D497" t="str">
        <f>"flp-33"</f>
        <v>flp-33</v>
      </c>
      <c r="E497" t="s">
        <v>401</v>
      </c>
      <c r="F497" t="s">
        <v>11</v>
      </c>
      <c r="H497" s="12">
        <v>2.3212249685277202</v>
      </c>
      <c r="I497" s="20">
        <v>3.50837191581858</v>
      </c>
      <c r="J497" s="28">
        <v>4.5085827622455202E-4</v>
      </c>
      <c r="K497" s="29">
        <v>2.1033651869302401E-2</v>
      </c>
    </row>
    <row r="498" spans="1:11" x14ac:dyDescent="0.35">
      <c r="A498" s="9" t="str">
        <f>HYPERLINK("http://www.ensembl.org/id/WBGene00011066", "WBGene00011066")</f>
        <v>WBGene00011066</v>
      </c>
      <c r="B498" s="9" t="str">
        <f>HYPERLINK("http://www.ncbi.nlm.nih.gov/gene/172470", "172470")</f>
        <v>172470</v>
      </c>
      <c r="C498" s="9"/>
      <c r="D498" t="str">
        <f>"ztf-15"</f>
        <v>ztf-15</v>
      </c>
      <c r="E498" t="s">
        <v>461</v>
      </c>
      <c r="F498" t="s">
        <v>11</v>
      </c>
      <c r="G498" t="s">
        <v>462</v>
      </c>
      <c r="H498" s="12">
        <v>-2.2643080788659802</v>
      </c>
      <c r="I498" s="20">
        <v>-3.5079850734484799</v>
      </c>
      <c r="J498" s="28">
        <v>4.5151438272197599E-4</v>
      </c>
      <c r="K498" s="29">
        <v>2.1033651869302401E-2</v>
      </c>
    </row>
    <row r="499" spans="1:11" x14ac:dyDescent="0.35">
      <c r="A499" s="9" t="str">
        <f>HYPERLINK("http://www.ensembl.org/id/WBGene00015505", "WBGene00015505")</f>
        <v>WBGene00015505</v>
      </c>
      <c r="B499" s="9" t="str">
        <f>HYPERLINK("http://www.ncbi.nlm.nih.gov/gene/172276", "172276")</f>
        <v>172276</v>
      </c>
      <c r="C499" s="9"/>
      <c r="D499" t="str">
        <f>"C06A5.8"</f>
        <v>C06A5.8</v>
      </c>
      <c r="F499" t="s">
        <v>11</v>
      </c>
      <c r="G499" t="s">
        <v>463</v>
      </c>
      <c r="H499" s="12">
        <v>-2.6250176191031098</v>
      </c>
      <c r="I499" s="20">
        <v>-3.5072786182145901</v>
      </c>
      <c r="J499" s="28">
        <v>4.52714870716654E-4</v>
      </c>
      <c r="K499" s="29">
        <v>2.1047142460319902E-2</v>
      </c>
    </row>
    <row r="500" spans="1:11" x14ac:dyDescent="0.35">
      <c r="A500" s="9" t="str">
        <f>HYPERLINK("http://www.ensembl.org/id/WBGene00001451", "WBGene00001451")</f>
        <v>WBGene00001451</v>
      </c>
      <c r="B500" s="9" t="str">
        <f>HYPERLINK("http://www.ncbi.nlm.nih.gov/gene/181583", "181583")</f>
        <v>181583</v>
      </c>
      <c r="C500" s="9"/>
      <c r="D500" t="str">
        <f>"flp-8"</f>
        <v>flp-8</v>
      </c>
      <c r="E500" t="s">
        <v>401</v>
      </c>
      <c r="F500" t="s">
        <v>11</v>
      </c>
      <c r="G500" t="s">
        <v>464</v>
      </c>
      <c r="H500" s="12">
        <v>2.1733549566897499</v>
      </c>
      <c r="I500" s="20">
        <v>3.5052608892700299</v>
      </c>
      <c r="J500" s="28">
        <v>4.56160045516136E-4</v>
      </c>
      <c r="K500" s="29">
        <v>2.11647269311162E-2</v>
      </c>
    </row>
    <row r="501" spans="1:11" x14ac:dyDescent="0.35">
      <c r="A501" s="9" t="str">
        <f>HYPERLINK("http://www.ensembl.org/id/WBGene00002113", "WBGene00002113")</f>
        <v>WBGene00002113</v>
      </c>
      <c r="B501" s="9" t="str">
        <f>HYPERLINK("http://www.ncbi.nlm.nih.gov/gene/173267", "173267")</f>
        <v>173267</v>
      </c>
      <c r="C501" s="9"/>
      <c r="D501" t="str">
        <f>"ins-30"</f>
        <v>ins-30</v>
      </c>
      <c r="E501" t="s">
        <v>12</v>
      </c>
      <c r="F501" t="s">
        <v>11</v>
      </c>
      <c r="G501" t="s">
        <v>13</v>
      </c>
      <c r="H501" s="12">
        <v>3.4057420907318399</v>
      </c>
      <c r="I501" s="20">
        <v>3.5000824935901398</v>
      </c>
      <c r="J501" s="28">
        <v>4.6511419739778999E-4</v>
      </c>
      <c r="K501" s="29">
        <v>2.1536931152451599E-2</v>
      </c>
    </row>
    <row r="502" spans="1:11" x14ac:dyDescent="0.35">
      <c r="A502" s="9" t="str">
        <f>HYPERLINK("http://www.ensembl.org/id/WBGene00008417", "WBGene00008417")</f>
        <v>WBGene00008417</v>
      </c>
      <c r="B502" s="9" t="str">
        <f>HYPERLINK("http://www.ncbi.nlm.nih.gov/gene/172516", "172516")</f>
        <v>172516</v>
      </c>
      <c r="C502" s="9"/>
      <c r="D502" t="str">
        <f>"D2030.7"</f>
        <v>D2030.7</v>
      </c>
      <c r="F502" t="s">
        <v>11</v>
      </c>
      <c r="H502" s="12">
        <v>-2.2032454606223002</v>
      </c>
      <c r="I502" s="20">
        <v>-3.49579002440223</v>
      </c>
      <c r="J502" s="28">
        <v>4.7266048437899798E-4</v>
      </c>
      <c r="K502" s="29">
        <v>2.1842586304122301E-2</v>
      </c>
    </row>
    <row r="503" spans="1:11" x14ac:dyDescent="0.35">
      <c r="A503" s="9" t="str">
        <f>HYPERLINK("http://www.ensembl.org/id/WBGene00013349", "WBGene00013349")</f>
        <v>WBGene00013349</v>
      </c>
      <c r="B503" s="9" t="str">
        <f>HYPERLINK("http://www.ncbi.nlm.nih.gov/gene/190395", "190395")</f>
        <v>190395</v>
      </c>
      <c r="C503" s="9"/>
      <c r="D503" t="str">
        <f>"Y59A8B.12"</f>
        <v>Y59A8B.12</v>
      </c>
      <c r="F503" t="s">
        <v>11</v>
      </c>
      <c r="H503" s="12">
        <v>-2.2749594961286799</v>
      </c>
      <c r="I503" s="20">
        <v>-3.49051018553283</v>
      </c>
      <c r="J503" s="28">
        <v>4.82099235642734E-4</v>
      </c>
      <c r="K503" s="29">
        <v>2.2234301274972099E-2</v>
      </c>
    </row>
    <row r="504" spans="1:11" x14ac:dyDescent="0.35">
      <c r="A504" s="9" t="str">
        <f>HYPERLINK("http://www.ensembl.org/id/WBGene00018470", "WBGene00018470")</f>
        <v>WBGene00018470</v>
      </c>
      <c r="B504" s="9" t="str">
        <f>HYPERLINK("http://www.ncbi.nlm.nih.gov/gene/185796", "185796")</f>
        <v>185796</v>
      </c>
      <c r="C504" s="9"/>
      <c r="D504" t="str">
        <f>"F45E4.5"</f>
        <v>F45E4.5</v>
      </c>
      <c r="F504" t="s">
        <v>11</v>
      </c>
      <c r="G504" t="s">
        <v>287</v>
      </c>
      <c r="H504" s="12">
        <v>2.1132128079486101</v>
      </c>
      <c r="I504" s="20">
        <v>3.4868374032363501</v>
      </c>
      <c r="J504" s="28">
        <v>4.8876841806416401E-4</v>
      </c>
      <c r="K504" s="29">
        <v>2.2496978222690402E-2</v>
      </c>
    </row>
    <row r="505" spans="1:11" x14ac:dyDescent="0.35">
      <c r="A505" s="9" t="str">
        <f>HYPERLINK("http://www.ensembl.org/id/WBGene00015504", "WBGene00015504")</f>
        <v>WBGene00015504</v>
      </c>
      <c r="B505" s="9" t="str">
        <f>HYPERLINK("http://www.ncbi.nlm.nih.gov/gene/172273", "172273")</f>
        <v>172273</v>
      </c>
      <c r="C505" s="9"/>
      <c r="D505" t="str">
        <f>"C06A5.6"</f>
        <v>C06A5.6</v>
      </c>
      <c r="F505" t="s">
        <v>11</v>
      </c>
      <c r="G505" t="s">
        <v>465</v>
      </c>
      <c r="H505" s="12">
        <v>-2.2634687339869002</v>
      </c>
      <c r="I505" s="20">
        <v>-3.4845747828831701</v>
      </c>
      <c r="J505" s="28">
        <v>4.9291969678022702E-4</v>
      </c>
      <c r="K505" s="29">
        <v>2.2642947343546601E-2</v>
      </c>
    </row>
    <row r="506" spans="1:11" x14ac:dyDescent="0.35">
      <c r="A506" s="9" t="str">
        <f>HYPERLINK("http://www.ensembl.org/id/WBGene00013048", "WBGene00013048")</f>
        <v>WBGene00013048</v>
      </c>
      <c r="B506" s="9" t="str">
        <f>HYPERLINK("http://www.ncbi.nlm.nih.gov/gene/190106", "190106")</f>
        <v>190106</v>
      </c>
      <c r="C506" s="9"/>
      <c r="D506" t="str">
        <f>"Y50E8A.5"</f>
        <v>Y50E8A.5</v>
      </c>
      <c r="F506" t="s">
        <v>11</v>
      </c>
      <c r="H506" s="12">
        <v>2.1725639001840702</v>
      </c>
      <c r="I506" s="20">
        <v>3.4809205894352102</v>
      </c>
      <c r="J506" s="28">
        <v>4.9969361575984898E-4</v>
      </c>
      <c r="K506" s="29">
        <v>2.2908572789180699E-2</v>
      </c>
    </row>
    <row r="507" spans="1:11" x14ac:dyDescent="0.35">
      <c r="A507" s="9" t="str">
        <f>HYPERLINK("http://www.ensembl.org/id/WBGene00009434", "WBGene00009434")</f>
        <v>WBGene00009434</v>
      </c>
      <c r="B507" s="9" t="str">
        <f>HYPERLINK("http://www.ncbi.nlm.nih.gov/gene/179868", "179868")</f>
        <v>179868</v>
      </c>
      <c r="C507" s="9"/>
      <c r="D507" t="str">
        <f>"F35E12.10"</f>
        <v>F35E12.10</v>
      </c>
      <c r="F507" t="s">
        <v>11</v>
      </c>
      <c r="G507" t="s">
        <v>105</v>
      </c>
      <c r="H507" s="12">
        <v>-2.0214606596365901</v>
      </c>
      <c r="I507" s="20">
        <v>-3.47850897540054</v>
      </c>
      <c r="J507" s="28">
        <v>5.0421155234543996E-4</v>
      </c>
      <c r="K507" s="29">
        <v>2.3024332269750501E-2</v>
      </c>
    </row>
    <row r="508" spans="1:11" x14ac:dyDescent="0.35">
      <c r="A508" s="9" t="str">
        <f>HYPERLINK("http://www.ensembl.org/id/WBGene00011560", "WBGene00011560")</f>
        <v>WBGene00011560</v>
      </c>
      <c r="B508" s="9" t="str">
        <f>HYPERLINK("http://www.ncbi.nlm.nih.gov/gene/176451", "176451")</f>
        <v>176451</v>
      </c>
      <c r="C508" s="9"/>
      <c r="D508" t="str">
        <f>"T07C4.3"</f>
        <v>T07C4.3</v>
      </c>
      <c r="F508" t="s">
        <v>11</v>
      </c>
      <c r="G508" t="s">
        <v>54</v>
      </c>
      <c r="H508" s="12">
        <v>-1.96285596516048</v>
      </c>
      <c r="I508" s="20">
        <v>-3.4787456423914702</v>
      </c>
      <c r="J508" s="28">
        <v>5.0376649905595704E-4</v>
      </c>
      <c r="K508" s="29">
        <v>2.3024332269750501E-2</v>
      </c>
    </row>
    <row r="509" spans="1:11" x14ac:dyDescent="0.35">
      <c r="A509" s="9" t="str">
        <f>HYPERLINK("http://www.ensembl.org/id/WBGene00016625", "WBGene00016625")</f>
        <v>WBGene00016625</v>
      </c>
      <c r="B509" s="9" t="str">
        <f>HYPERLINK("http://www.ncbi.nlm.nih.gov/gene/174123", "174123")</f>
        <v>174123</v>
      </c>
      <c r="C509" s="9"/>
      <c r="D509" t="str">
        <f>"aff-1"</f>
        <v>aff-1</v>
      </c>
      <c r="E509" t="s">
        <v>466</v>
      </c>
      <c r="F509" t="s">
        <v>11</v>
      </c>
      <c r="H509" s="12">
        <v>3.16823232797719</v>
      </c>
      <c r="I509" s="20">
        <v>3.4755539541607399</v>
      </c>
      <c r="J509" s="28">
        <v>5.0979943195255295E-4</v>
      </c>
      <c r="K509" s="29">
        <v>2.32144095473849E-2</v>
      </c>
    </row>
    <row r="510" spans="1:11" x14ac:dyDescent="0.35">
      <c r="A510" s="9" t="str">
        <f>HYPERLINK("http://www.ensembl.org/id/WBGene00018343", "WBGene00018343")</f>
        <v>WBGene00018343</v>
      </c>
      <c r="B510" s="9" t="str">
        <f>HYPERLINK("http://www.ncbi.nlm.nih.gov/gene/175875", "175875")</f>
        <v>175875</v>
      </c>
      <c r="C510" s="9"/>
      <c r="D510" t="str">
        <f>"F42A10.7"</f>
        <v>F42A10.7</v>
      </c>
      <c r="F510" t="s">
        <v>11</v>
      </c>
      <c r="H510" s="12">
        <v>2.0912039047025202</v>
      </c>
      <c r="I510" s="20">
        <v>3.4752468533927798</v>
      </c>
      <c r="J510" s="28">
        <v>5.1038345235313498E-4</v>
      </c>
      <c r="K510" s="29">
        <v>2.32144095473849E-2</v>
      </c>
    </row>
    <row r="511" spans="1:11" x14ac:dyDescent="0.35">
      <c r="A511" s="9" t="str">
        <f>HYPERLINK("http://www.ensembl.org/id/WBGene00011324", "WBGene00011324")</f>
        <v>WBGene00011324</v>
      </c>
      <c r="B511" s="9" t="str">
        <f>HYPERLINK("http://www.ncbi.nlm.nih.gov/gene/180001", "180001")</f>
        <v>180001</v>
      </c>
      <c r="C511" s="9"/>
      <c r="D511" t="str">
        <f>"hrde-2"</f>
        <v>hrde-2</v>
      </c>
      <c r="F511" t="s">
        <v>11</v>
      </c>
      <c r="H511" s="12">
        <v>-2.1185939791360999</v>
      </c>
      <c r="I511" s="20">
        <v>-3.4721291430456902</v>
      </c>
      <c r="J511" s="28">
        <v>5.16347880143714E-4</v>
      </c>
      <c r="K511" s="29">
        <v>2.3439556225148699E-2</v>
      </c>
    </row>
    <row r="512" spans="1:11" x14ac:dyDescent="0.35">
      <c r="A512" s="9" t="str">
        <f>HYPERLINK("http://www.ensembl.org/id/WBGene00013352", "WBGene00013352")</f>
        <v>WBGene00013352</v>
      </c>
      <c r="B512" s="9" t="str">
        <f>HYPERLINK("http://www.ncbi.nlm.nih.gov/gene/190397", "190397")</f>
        <v>190397</v>
      </c>
      <c r="C512" s="9"/>
      <c r="D512" t="str">
        <f>"lon-8"</f>
        <v>lon-8</v>
      </c>
      <c r="F512" t="s">
        <v>11</v>
      </c>
      <c r="H512" s="12">
        <v>2.72175719382723</v>
      </c>
      <c r="I512" s="20">
        <v>3.46659713913881</v>
      </c>
      <c r="J512" s="28">
        <v>5.2709123936517898E-4</v>
      </c>
      <c r="K512" s="29">
        <v>2.3880333679944798E-2</v>
      </c>
    </row>
    <row r="513" spans="1:11" x14ac:dyDescent="0.35">
      <c r="A513" s="9" t="str">
        <f>HYPERLINK("http://www.ensembl.org/id/WBGene00012879", "WBGene00012879")</f>
        <v>WBGene00012879</v>
      </c>
      <c r="B513" s="9" t="str">
        <f>HYPERLINK("http://www.ncbi.nlm.nih.gov/gene/178336", "178336")</f>
        <v>178336</v>
      </c>
      <c r="C513" s="9"/>
      <c r="D513" t="str">
        <f>"fbxa-215"</f>
        <v>fbxa-215</v>
      </c>
      <c r="E513" t="s">
        <v>467</v>
      </c>
      <c r="F513" t="s">
        <v>11</v>
      </c>
      <c r="G513" t="s">
        <v>54</v>
      </c>
      <c r="H513" s="12">
        <v>-1.9653861641093799</v>
      </c>
      <c r="I513" s="20">
        <v>-3.4642311674886801</v>
      </c>
      <c r="J513" s="28">
        <v>5.3174933941526497E-4</v>
      </c>
      <c r="K513" s="29">
        <v>2.40442274687458E-2</v>
      </c>
    </row>
    <row r="514" spans="1:11" x14ac:dyDescent="0.35">
      <c r="A514" s="9" t="str">
        <f>HYPERLINK("http://www.ensembl.org/id/WBGene00018195", "WBGene00018195")</f>
        <v>WBGene00018195</v>
      </c>
      <c r="B514" s="9" t="str">
        <f>HYPERLINK("http://www.ncbi.nlm.nih.gov/gene/173674", "173674")</f>
        <v>173674</v>
      </c>
      <c r="C514" s="9"/>
      <c r="D514" t="str">
        <f>"btb-16"</f>
        <v>btb-16</v>
      </c>
      <c r="E514" t="s">
        <v>468</v>
      </c>
      <c r="F514" t="s">
        <v>11</v>
      </c>
      <c r="G514" t="s">
        <v>54</v>
      </c>
      <c r="H514" s="12">
        <v>-2.3369247745510902</v>
      </c>
      <c r="I514" s="20">
        <v>-3.4628755098680801</v>
      </c>
      <c r="J514" s="28">
        <v>5.3443560123457102E-4</v>
      </c>
      <c r="K514" s="29">
        <v>2.4118494144777299E-2</v>
      </c>
    </row>
    <row r="515" spans="1:11" x14ac:dyDescent="0.35">
      <c r="A515" s="9" t="str">
        <f>HYPERLINK("http://www.ensembl.org/id/WBGene00002225", "WBGene00002225")</f>
        <v>WBGene00002225</v>
      </c>
      <c r="B515" s="9" t="str">
        <f>HYPERLINK("http://www.ncbi.nlm.nih.gov/gene/172213", "172213")</f>
        <v>172213</v>
      </c>
      <c r="C515" s="9"/>
      <c r="D515" t="str">
        <f>"klp-15"</f>
        <v>klp-15</v>
      </c>
      <c r="E515" t="s">
        <v>469</v>
      </c>
      <c r="F515" t="s">
        <v>11</v>
      </c>
      <c r="G515" t="s">
        <v>470</v>
      </c>
      <c r="H515" s="12">
        <v>-2.0115799508725298</v>
      </c>
      <c r="I515" s="20">
        <v>-3.4592437712249402</v>
      </c>
      <c r="J515" s="28">
        <v>5.4169440134330604E-4</v>
      </c>
      <c r="K515" s="29">
        <v>2.4350954936650699E-2</v>
      </c>
    </row>
    <row r="516" spans="1:11" x14ac:dyDescent="0.35">
      <c r="A516" s="9" t="str">
        <f>HYPERLINK("http://www.ensembl.org/id/WBGene00044433", "WBGene00044433")</f>
        <v>WBGene00044433</v>
      </c>
      <c r="B516" s="9" t="str">
        <f>HYPERLINK("http://www.ncbi.nlm.nih.gov/gene/3565719", "3565719")</f>
        <v>3565719</v>
      </c>
      <c r="C516" s="9"/>
      <c r="D516" t="str">
        <f>"W10C8.6"</f>
        <v>W10C8.6</v>
      </c>
      <c r="F516" t="s">
        <v>11</v>
      </c>
      <c r="G516" t="s">
        <v>25</v>
      </c>
      <c r="H516" s="12">
        <v>2.1629701356389499</v>
      </c>
      <c r="I516" s="20">
        <v>3.45928689177302</v>
      </c>
      <c r="J516" s="28">
        <v>5.4160767954734097E-4</v>
      </c>
      <c r="K516" s="29">
        <v>2.4350954936650699E-2</v>
      </c>
    </row>
    <row r="517" spans="1:11" x14ac:dyDescent="0.35">
      <c r="A517" s="9" t="str">
        <f>HYPERLINK("http://www.ensembl.org/id/WBGene00003418", "WBGene00003418")</f>
        <v>WBGene00003418</v>
      </c>
      <c r="B517" s="9" t="str">
        <f>HYPERLINK("http://www.ncbi.nlm.nih.gov/gene/171938", "171938")</f>
        <v>171938</v>
      </c>
      <c r="C517" s="9"/>
      <c r="D517" t="str">
        <f>"msh-2"</f>
        <v>msh-2</v>
      </c>
      <c r="E517" t="s">
        <v>391</v>
      </c>
      <c r="F517" t="s">
        <v>11</v>
      </c>
      <c r="G517" t="s">
        <v>471</v>
      </c>
      <c r="H517" s="12">
        <v>-2.0410713135896099</v>
      </c>
      <c r="I517" s="20">
        <v>-3.4564226187474598</v>
      </c>
      <c r="J517" s="28">
        <v>5.4739634916186903E-4</v>
      </c>
      <c r="K517" s="29">
        <v>2.45594952305517E-2</v>
      </c>
    </row>
    <row r="518" spans="1:11" x14ac:dyDescent="0.35">
      <c r="A518" s="9" t="str">
        <f>HYPERLINK("http://www.ensembl.org/id/WBGene00045331", "WBGene00045331")</f>
        <v>WBGene00045331</v>
      </c>
      <c r="B518" s="9" t="str">
        <f>HYPERLINK("http://www.ncbi.nlm.nih.gov/gene/6418724", "6418724")</f>
        <v>6418724</v>
      </c>
      <c r="C518" s="9"/>
      <c r="D518" t="str">
        <f>"F14D7.12"</f>
        <v>F14D7.12</v>
      </c>
      <c r="F518" t="s">
        <v>11</v>
      </c>
      <c r="H518" s="12">
        <v>6.8031086732778796</v>
      </c>
      <c r="I518" s="20">
        <v>3.4537626826521102</v>
      </c>
      <c r="J518" s="28">
        <v>5.5282362128630596E-4</v>
      </c>
      <c r="K518" s="29">
        <v>2.47549275066694E-2</v>
      </c>
    </row>
    <row r="519" spans="1:11" x14ac:dyDescent="0.35">
      <c r="A519" s="9" t="str">
        <f>HYPERLINK("http://www.ensembl.org/id/WBGene00002032", "WBGene00002032")</f>
        <v>WBGene00002032</v>
      </c>
      <c r="B519" s="9" t="str">
        <f>HYPERLINK("http://www.ncbi.nlm.nih.gov/gene/259571", "259571")</f>
        <v>259571</v>
      </c>
      <c r="C519" s="9"/>
      <c r="D519" t="str">
        <f>"htp-1"</f>
        <v>htp-1</v>
      </c>
      <c r="E519" t="s">
        <v>368</v>
      </c>
      <c r="F519" t="s">
        <v>11</v>
      </c>
      <c r="G519" t="s">
        <v>472</v>
      </c>
      <c r="H519" s="12">
        <v>-2.2049628522365201</v>
      </c>
      <c r="I519" s="20">
        <v>-3.45183207942187</v>
      </c>
      <c r="J519" s="28">
        <v>5.5679412614030404E-4</v>
      </c>
      <c r="K519" s="29">
        <v>2.4884497250672901E-2</v>
      </c>
    </row>
    <row r="520" spans="1:11" x14ac:dyDescent="0.35">
      <c r="A520" s="9" t="str">
        <f>HYPERLINK("http://www.ensembl.org/id/WBGene00009192", "WBGene00009192")</f>
        <v>WBGene00009192</v>
      </c>
      <c r="B520" s="9" t="str">
        <f>HYPERLINK("http://www.ncbi.nlm.nih.gov/gene/185021", "185021")</f>
        <v>185021</v>
      </c>
      <c r="C520" s="9"/>
      <c r="D520" t="str">
        <f>"asah-2"</f>
        <v>asah-2</v>
      </c>
      <c r="E520" t="s">
        <v>473</v>
      </c>
      <c r="F520" t="s">
        <v>11</v>
      </c>
      <c r="G520" t="s">
        <v>89</v>
      </c>
      <c r="H520" s="12">
        <v>-2.4419097342073401</v>
      </c>
      <c r="I520" s="20">
        <v>-3.4505230451984401</v>
      </c>
      <c r="J520" s="28">
        <v>5.5950139696948702E-4</v>
      </c>
      <c r="K520" s="29">
        <v>2.4957218684125398E-2</v>
      </c>
    </row>
    <row r="521" spans="1:11" x14ac:dyDescent="0.35">
      <c r="A521" s="9" t="str">
        <f>HYPERLINK("http://www.ensembl.org/id/WBGene00004122", "WBGene00004122")</f>
        <v>WBGene00004122</v>
      </c>
      <c r="B521" s="9" t="str">
        <f>HYPERLINK("http://www.ncbi.nlm.nih.gov/gene/173800", "173800")</f>
        <v>173800</v>
      </c>
      <c r="C521" s="9"/>
      <c r="D521" t="str">
        <f>"pqn-35"</f>
        <v>pqn-35</v>
      </c>
      <c r="E521" t="s">
        <v>432</v>
      </c>
      <c r="F521" t="s">
        <v>11</v>
      </c>
      <c r="G521" t="s">
        <v>25</v>
      </c>
      <c r="H521" s="12">
        <v>1.98598739638793</v>
      </c>
      <c r="I521" s="20">
        <v>3.4477415218911101</v>
      </c>
      <c r="J521" s="28">
        <v>5.6529473947414298E-4</v>
      </c>
      <c r="K521" s="29">
        <v>2.5118654327479902E-2</v>
      </c>
    </row>
    <row r="522" spans="1:11" x14ac:dyDescent="0.35">
      <c r="A522" s="9" t="str">
        <f>HYPERLINK("http://www.ensembl.org/id/WBGene00021555", "WBGene00021555")</f>
        <v>WBGene00021555</v>
      </c>
      <c r="B522" s="9" t="str">
        <f>HYPERLINK("http://www.ncbi.nlm.nih.gov/gene/178819", "178819")</f>
        <v>178819</v>
      </c>
      <c r="C522" s="9" t="str">
        <f>HYPERLINK("http://www.ncbi.nlm.nih.gov/gene/7511", "7511")</f>
        <v>7511</v>
      </c>
      <c r="D522" t="str">
        <f>"Y45G5AM.2"</f>
        <v>Y45G5AM.2</v>
      </c>
      <c r="F522" t="s">
        <v>11</v>
      </c>
      <c r="G522" t="s">
        <v>474</v>
      </c>
      <c r="H522" s="12">
        <v>-2.4638926455262098</v>
      </c>
      <c r="I522" s="20">
        <v>-3.4480541006236001</v>
      </c>
      <c r="J522" s="28">
        <v>5.64640926921495E-4</v>
      </c>
      <c r="K522" s="29">
        <v>2.5118654327479902E-2</v>
      </c>
    </row>
    <row r="523" spans="1:11" x14ac:dyDescent="0.35">
      <c r="A523" s="9" t="str">
        <f>HYPERLINK("http://www.ensembl.org/id/WBGene00020858", "WBGene00020858")</f>
        <v>WBGene00020858</v>
      </c>
      <c r="B523" s="9" t="str">
        <f>HYPERLINK("http://www.ncbi.nlm.nih.gov/gene/188992", "188992")</f>
        <v>188992</v>
      </c>
      <c r="C523" s="9"/>
      <c r="D523" t="str">
        <f>"mop-25.3"</f>
        <v>mop-25.3</v>
      </c>
      <c r="E523" t="s">
        <v>475</v>
      </c>
      <c r="F523" t="s">
        <v>11</v>
      </c>
      <c r="H523" s="12">
        <v>-2.6132438972805399</v>
      </c>
      <c r="I523" s="20">
        <v>-3.4442575639299702</v>
      </c>
      <c r="J523" s="28">
        <v>5.7262991978891003E-4</v>
      </c>
      <c r="K523" s="29">
        <v>2.5395752258430999E-2</v>
      </c>
    </row>
    <row r="524" spans="1:11" x14ac:dyDescent="0.35">
      <c r="A524" s="9" t="str">
        <f>HYPERLINK("http://www.ensembl.org/id/WBGene00008789", "WBGene00008789")</f>
        <v>WBGene00008789</v>
      </c>
      <c r="B524" s="9" t="str">
        <f>HYPERLINK("http://www.ncbi.nlm.nih.gov/gene/179929", "179929")</f>
        <v>179929</v>
      </c>
      <c r="C524" s="9"/>
      <c r="D524" t="str">
        <f>"F14D7.2"</f>
        <v>F14D7.2</v>
      </c>
      <c r="F524" t="s">
        <v>11</v>
      </c>
      <c r="H524" s="12">
        <v>-2.1830030213049101</v>
      </c>
      <c r="I524" s="20">
        <v>-3.44254175162202</v>
      </c>
      <c r="J524" s="28">
        <v>5.7627490123052E-4</v>
      </c>
      <c r="K524" s="29">
        <v>2.5459670875396499E-2</v>
      </c>
    </row>
    <row r="525" spans="1:11" x14ac:dyDescent="0.35">
      <c r="A525" s="9" t="str">
        <f>HYPERLINK("http://www.ensembl.org/id/WBGene00018803", "WBGene00018803")</f>
        <v>WBGene00018803</v>
      </c>
      <c r="B525" s="9" t="str">
        <f>HYPERLINK("http://www.ncbi.nlm.nih.gov/gene/173727", "173727")</f>
        <v>173727</v>
      </c>
      <c r="C525" s="9"/>
      <c r="D525" t="str">
        <f>"fbxa-24"</f>
        <v>fbxa-24</v>
      </c>
      <c r="E525" t="s">
        <v>467</v>
      </c>
      <c r="F525" t="s">
        <v>11</v>
      </c>
      <c r="H525" s="12">
        <v>1.9631953677648999</v>
      </c>
      <c r="I525" s="20">
        <v>3.4430467656942101</v>
      </c>
      <c r="J525" s="28">
        <v>5.7519983861855696E-4</v>
      </c>
      <c r="K525" s="29">
        <v>2.5459670875396499E-2</v>
      </c>
    </row>
    <row r="526" spans="1:11" x14ac:dyDescent="0.35">
      <c r="A526" s="9" t="str">
        <f>HYPERLINK("http://www.ensembl.org/id/WBGene00009801", "WBGene00009801")</f>
        <v>WBGene00009801</v>
      </c>
      <c r="B526" s="9" t="str">
        <f>HYPERLINK("http://www.ncbi.nlm.nih.gov/gene/181196", "181196")</f>
        <v>181196</v>
      </c>
      <c r="C526" s="9" t="str">
        <f>HYPERLINK("http://www.ncbi.nlm.nih.gov/gene/8398", "8398")</f>
        <v>8398</v>
      </c>
      <c r="D526" t="str">
        <f>"ipla-2"</f>
        <v>ipla-2</v>
      </c>
      <c r="E526" t="s">
        <v>476</v>
      </c>
      <c r="F526" t="s">
        <v>11</v>
      </c>
      <c r="G526" t="s">
        <v>477</v>
      </c>
      <c r="H526" s="12">
        <v>-1.8709774136747199</v>
      </c>
      <c r="I526" s="20">
        <v>-3.44022857032417</v>
      </c>
      <c r="J526" s="28">
        <v>5.8122310280874705E-4</v>
      </c>
      <c r="K526" s="29">
        <v>2.5622072548275601E-2</v>
      </c>
    </row>
    <row r="527" spans="1:11" x14ac:dyDescent="0.35">
      <c r="A527" s="9" t="str">
        <f>HYPERLINK("http://www.ensembl.org/id/WBGene00004043", "WBGene00004043")</f>
        <v>WBGene00004043</v>
      </c>
      <c r="B527" s="9" t="str">
        <f>HYPERLINK("http://www.ncbi.nlm.nih.gov/gene/171838", "171838")</f>
        <v>171838</v>
      </c>
      <c r="C527" s="9" t="str">
        <f>HYPERLINK("http://www.ncbi.nlm.nih.gov/gene/5347", "5347")</f>
        <v>5347</v>
      </c>
      <c r="D527" t="str">
        <f>"plk-2"</f>
        <v>plk-2</v>
      </c>
      <c r="E527" t="s">
        <v>478</v>
      </c>
      <c r="F527" t="s">
        <v>11</v>
      </c>
      <c r="G527" t="s">
        <v>86</v>
      </c>
      <c r="H527" s="12">
        <v>-2.05566690236535</v>
      </c>
      <c r="I527" s="20">
        <v>-3.4397886491443401</v>
      </c>
      <c r="J527" s="28">
        <v>5.8216861801457201E-4</v>
      </c>
      <c r="K527" s="29">
        <v>2.5622072548275601E-2</v>
      </c>
    </row>
    <row r="528" spans="1:11" x14ac:dyDescent="0.35">
      <c r="A528" s="9" t="str">
        <f>HYPERLINK("http://www.ensembl.org/id/WBGene00009203", "WBGene00009203")</f>
        <v>WBGene00009203</v>
      </c>
      <c r="B528" s="9" t="str">
        <f>HYPERLINK("http://www.ncbi.nlm.nih.gov/gene/185047", "185047")</f>
        <v>185047</v>
      </c>
      <c r="C528" s="9"/>
      <c r="D528" t="str">
        <f>"aptf-3"</f>
        <v>aptf-3</v>
      </c>
      <c r="E528" t="s">
        <v>479</v>
      </c>
      <c r="F528" t="s">
        <v>11</v>
      </c>
      <c r="G528" t="s">
        <v>480</v>
      </c>
      <c r="H528" s="12">
        <v>-2.5344163912035298</v>
      </c>
      <c r="I528" s="20">
        <v>-3.4381753497072101</v>
      </c>
      <c r="J528" s="28">
        <v>5.8564832442727999E-4</v>
      </c>
      <c r="K528" s="29">
        <v>2.5726217080259999E-2</v>
      </c>
    </row>
    <row r="529" spans="1:11" x14ac:dyDescent="0.35">
      <c r="A529" s="9" t="str">
        <f>HYPERLINK("http://www.ensembl.org/id/WBGene00006650", "WBGene00006650")</f>
        <v>WBGene00006650</v>
      </c>
      <c r="B529" s="9"/>
      <c r="C529" s="9"/>
      <c r="D529" t="str">
        <f>"tts-1"</f>
        <v>tts-1</v>
      </c>
      <c r="F529" t="s">
        <v>481</v>
      </c>
      <c r="H529" s="12">
        <v>-2.1726479728588202</v>
      </c>
      <c r="I529" s="20">
        <v>-3.4373310733720102</v>
      </c>
      <c r="J529" s="28">
        <v>5.8747704256334303E-4</v>
      </c>
      <c r="K529" s="29">
        <v>2.5757579782672901E-2</v>
      </c>
    </row>
    <row r="530" spans="1:11" x14ac:dyDescent="0.35">
      <c r="A530" s="9" t="str">
        <f>HYPERLINK("http://www.ensembl.org/id/WBGene00023432", "WBGene00023432")</f>
        <v>WBGene00023432</v>
      </c>
      <c r="B530" s="9" t="str">
        <f>HYPERLINK("http://www.ncbi.nlm.nih.gov/gene/259624", "259624")</f>
        <v>259624</v>
      </c>
      <c r="C530" s="9"/>
      <c r="D530" t="str">
        <f>"K12B6.9"</f>
        <v>K12B6.9</v>
      </c>
      <c r="F530" t="s">
        <v>11</v>
      </c>
      <c r="H530" s="12">
        <v>-2.55261540938</v>
      </c>
      <c r="I530" s="20">
        <v>-3.4295096071622999</v>
      </c>
      <c r="J530" s="28">
        <v>6.0467302609101305E-4</v>
      </c>
      <c r="K530" s="29">
        <v>2.64613161758692E-2</v>
      </c>
    </row>
    <row r="531" spans="1:11" x14ac:dyDescent="0.35">
      <c r="A531" s="9" t="str">
        <f>HYPERLINK("http://www.ensembl.org/id/WBGene00013633", "WBGene00013633")</f>
        <v>WBGene00013633</v>
      </c>
      <c r="B531" s="9" t="str">
        <f>HYPERLINK("http://www.ncbi.nlm.nih.gov/gene/190873", "190873")</f>
        <v>190873</v>
      </c>
      <c r="C531" s="9"/>
      <c r="D531" t="str">
        <f>"Y105C5A.8"</f>
        <v>Y105C5A.8</v>
      </c>
      <c r="F531" t="s">
        <v>11</v>
      </c>
      <c r="H531" s="12">
        <v>1.91026536673582</v>
      </c>
      <c r="I531" s="20">
        <v>3.42838976799769</v>
      </c>
      <c r="J531" s="28">
        <v>6.0717305321256296E-4</v>
      </c>
      <c r="K531" s="29">
        <v>2.6520492566218301E-2</v>
      </c>
    </row>
    <row r="532" spans="1:11" x14ac:dyDescent="0.35">
      <c r="A532" s="9" t="str">
        <f>HYPERLINK("http://www.ensembl.org/id/WBGene00000751", "WBGene00000751")</f>
        <v>WBGene00000751</v>
      </c>
      <c r="B532" s="9" t="str">
        <f>HYPERLINK("http://www.ncbi.nlm.nih.gov/gene/181307", "181307")</f>
        <v>181307</v>
      </c>
      <c r="C532" s="9"/>
      <c r="D532" t="str">
        <f>"col-178"</f>
        <v>col-178</v>
      </c>
      <c r="E532" t="s">
        <v>40</v>
      </c>
      <c r="F532" t="s">
        <v>11</v>
      </c>
      <c r="G532" t="s">
        <v>94</v>
      </c>
      <c r="H532" s="12">
        <v>1.94460596530172</v>
      </c>
      <c r="I532" s="20">
        <v>3.4267815255019798</v>
      </c>
      <c r="J532" s="28">
        <v>6.1078026590565796E-4</v>
      </c>
      <c r="K532" s="29">
        <v>2.6627714762294599E-2</v>
      </c>
    </row>
    <row r="533" spans="1:11" x14ac:dyDescent="0.35">
      <c r="A533" s="9" t="str">
        <f>HYPERLINK("http://www.ensembl.org/id/WBGene00017322", "WBGene00017322")</f>
        <v>WBGene00017322</v>
      </c>
      <c r="B533" s="9" t="str">
        <f>HYPERLINK("http://www.ncbi.nlm.nih.gov/gene/176167", "176167")</f>
        <v>176167</v>
      </c>
      <c r="C533" s="9"/>
      <c r="D533" t="str">
        <f>"clec-160"</f>
        <v>clec-160</v>
      </c>
      <c r="E533" t="s">
        <v>482</v>
      </c>
      <c r="F533" t="s">
        <v>11</v>
      </c>
      <c r="H533" s="12">
        <v>2.08898307850284</v>
      </c>
      <c r="I533" s="20">
        <v>3.4223081391386301</v>
      </c>
      <c r="J533" s="28">
        <v>6.2091901791025395E-4</v>
      </c>
      <c r="K533" s="29">
        <v>2.7018747321721898E-2</v>
      </c>
    </row>
    <row r="534" spans="1:11" x14ac:dyDescent="0.35">
      <c r="A534" s="9" t="str">
        <f>HYPERLINK("http://www.ensembl.org/id/WBGene00019960", "WBGene00019960")</f>
        <v>WBGene00019960</v>
      </c>
      <c r="B534" s="9" t="str">
        <f>HYPERLINK("http://www.ncbi.nlm.nih.gov/gene/180756", "180756")</f>
        <v>180756</v>
      </c>
      <c r="C534" s="9"/>
      <c r="D534" t="str">
        <f>"ztf-16"</f>
        <v>ztf-16</v>
      </c>
      <c r="E534" t="s">
        <v>461</v>
      </c>
      <c r="F534" t="s">
        <v>11</v>
      </c>
      <c r="G534" t="s">
        <v>483</v>
      </c>
      <c r="H534" s="12">
        <v>2.1567342001375298</v>
      </c>
      <c r="I534" s="20">
        <v>3.4207383334133099</v>
      </c>
      <c r="J534" s="28">
        <v>6.2451388229579495E-4</v>
      </c>
      <c r="K534" s="29">
        <v>2.71240935419674E-2</v>
      </c>
    </row>
    <row r="535" spans="1:11" x14ac:dyDescent="0.35">
      <c r="A535" s="9" t="str">
        <f>HYPERLINK("http://www.ensembl.org/id/WBGene00008861", "WBGene00008861")</f>
        <v>WBGene00008861</v>
      </c>
      <c r="B535" s="9" t="str">
        <f>HYPERLINK("http://www.ncbi.nlm.nih.gov/gene/184530", "184530")</f>
        <v>184530</v>
      </c>
      <c r="C535" s="9"/>
      <c r="D535" t="str">
        <f>"F15D4.4"</f>
        <v>F15D4.4</v>
      </c>
      <c r="F535" t="s">
        <v>11</v>
      </c>
      <c r="G535" t="s">
        <v>180</v>
      </c>
      <c r="H535" s="12">
        <v>3.09046565889683</v>
      </c>
      <c r="I535" s="20">
        <v>3.4200809026988201</v>
      </c>
      <c r="J535" s="28">
        <v>6.2602514759083495E-4</v>
      </c>
      <c r="K535" s="29">
        <v>2.71387186871179E-2</v>
      </c>
    </row>
    <row r="536" spans="1:11" x14ac:dyDescent="0.35">
      <c r="A536" s="9" t="str">
        <f>HYPERLINK("http://www.ensembl.org/id/WBGene00009937", "WBGene00009937")</f>
        <v>WBGene00009937</v>
      </c>
      <c r="B536" s="9" t="str">
        <f>HYPERLINK("http://www.ncbi.nlm.nih.gov/gene/172844", "172844")</f>
        <v>172844</v>
      </c>
      <c r="C536" s="9"/>
      <c r="D536" t="str">
        <f>"lsl-1"</f>
        <v>lsl-1</v>
      </c>
      <c r="E536" t="s">
        <v>484</v>
      </c>
      <c r="F536" t="s">
        <v>11</v>
      </c>
      <c r="G536" t="s">
        <v>485</v>
      </c>
      <c r="H536" s="12">
        <v>-2.22623478703404</v>
      </c>
      <c r="I536" s="20">
        <v>-3.4189975560071901</v>
      </c>
      <c r="J536" s="28">
        <v>6.2852290980589204E-4</v>
      </c>
      <c r="K536" s="29">
        <v>2.7195974445646001E-2</v>
      </c>
    </row>
    <row r="537" spans="1:11" x14ac:dyDescent="0.35">
      <c r="A537" s="9" t="str">
        <f>HYPERLINK("http://www.ensembl.org/id/WBGene00018806", "WBGene00018806")</f>
        <v>WBGene00018806</v>
      </c>
      <c r="B537" s="9" t="str">
        <f>HYPERLINK("http://www.ncbi.nlm.nih.gov/gene/173724", "173724")</f>
        <v>173724</v>
      </c>
      <c r="C537" s="9"/>
      <c r="D537" t="str">
        <f>"F54D10.5"</f>
        <v>F54D10.5</v>
      </c>
      <c r="F537" t="s">
        <v>11</v>
      </c>
      <c r="H537" s="12">
        <v>-2.3573482174531799</v>
      </c>
      <c r="I537" s="20">
        <v>-3.4161350214997199</v>
      </c>
      <c r="J537" s="28">
        <v>6.3516744889323504E-4</v>
      </c>
      <c r="K537" s="29">
        <v>2.7432110418929099E-2</v>
      </c>
    </row>
    <row r="538" spans="1:11" x14ac:dyDescent="0.35">
      <c r="A538" s="9" t="str">
        <f>HYPERLINK("http://www.ensembl.org/id/WBGene00001973", "WBGene00001973")</f>
        <v>WBGene00001973</v>
      </c>
      <c r="B538" s="9" t="str">
        <f>HYPERLINK("http://www.ncbi.nlm.nih.gov/gene/172250", "172250")</f>
        <v>172250</v>
      </c>
      <c r="C538" s="9" t="str">
        <f>HYPERLINK("http://www.ncbi.nlm.nih.gov/gene/6749", "6749")</f>
        <v>6749</v>
      </c>
      <c r="D538" t="str">
        <f>"hmg-3"</f>
        <v>hmg-3</v>
      </c>
      <c r="E538" t="s">
        <v>486</v>
      </c>
      <c r="F538" t="s">
        <v>11</v>
      </c>
      <c r="G538" t="s">
        <v>487</v>
      </c>
      <c r="H538" s="12">
        <v>-1.95470672026903</v>
      </c>
      <c r="I538" s="20">
        <v>-3.41447919846815</v>
      </c>
      <c r="J538" s="28">
        <v>6.3904073008943997E-4</v>
      </c>
      <c r="K538" s="29">
        <v>2.7547901323594401E-2</v>
      </c>
    </row>
    <row r="539" spans="1:11" x14ac:dyDescent="0.35">
      <c r="A539" s="9" t="str">
        <f>HYPERLINK("http://www.ensembl.org/id/WBGene00000993", "WBGene00000993")</f>
        <v>WBGene00000993</v>
      </c>
      <c r="B539" s="9" t="str">
        <f>HYPERLINK("http://www.ncbi.nlm.nih.gov/gene/181761", "181761")</f>
        <v>181761</v>
      </c>
      <c r="C539" s="9" t="str">
        <f>HYPERLINK("http://www.ncbi.nlm.nih.gov/gene/25979", "25979")</f>
        <v>25979</v>
      </c>
      <c r="D539" t="str">
        <f>"dhs-30"</f>
        <v>dhs-30</v>
      </c>
      <c r="E539" t="s">
        <v>488</v>
      </c>
      <c r="F539" t="s">
        <v>11</v>
      </c>
      <c r="G539" t="s">
        <v>489</v>
      </c>
      <c r="H539" s="12">
        <v>-1.8567954663455899</v>
      </c>
      <c r="I539" s="20">
        <v>-3.4129754669843901</v>
      </c>
      <c r="J539" s="28">
        <v>6.4257726515875701E-4</v>
      </c>
      <c r="K539" s="29">
        <v>2.76487714874455E-2</v>
      </c>
    </row>
    <row r="540" spans="1:11" x14ac:dyDescent="0.35">
      <c r="A540" s="9" t="str">
        <f>HYPERLINK("http://www.ensembl.org/id/WBGene00010183", "WBGene00010183")</f>
        <v>WBGene00010183</v>
      </c>
      <c r="B540" s="9" t="str">
        <f>HYPERLINK("http://www.ncbi.nlm.nih.gov/gene/3565474", "3565474")</f>
        <v>3565474</v>
      </c>
      <c r="C540" s="9"/>
      <c r="D540" t="str">
        <f>"fipr-13"</f>
        <v>fipr-13</v>
      </c>
      <c r="E540" t="s">
        <v>28</v>
      </c>
      <c r="F540" t="s">
        <v>11</v>
      </c>
      <c r="H540" s="12">
        <v>1.8865169391441701</v>
      </c>
      <c r="I540" s="20">
        <v>3.4056015301731102</v>
      </c>
      <c r="J540" s="28">
        <v>6.6018460218744603E-4</v>
      </c>
      <c r="K540" s="29">
        <v>2.82676983288143E-2</v>
      </c>
    </row>
    <row r="541" spans="1:11" x14ac:dyDescent="0.35">
      <c r="A541" s="9" t="str">
        <f>HYPERLINK("http://www.ensembl.org/id/WBGene00019341", "WBGene00019341")</f>
        <v>WBGene00019341</v>
      </c>
      <c r="B541" s="9" t="str">
        <f>HYPERLINK("http://www.ncbi.nlm.nih.gov/gene/173604", "173604")</f>
        <v>173604</v>
      </c>
      <c r="C541" s="9"/>
      <c r="D541" t="str">
        <f>"K02F6.7"</f>
        <v>K02F6.7</v>
      </c>
      <c r="F541" t="s">
        <v>11</v>
      </c>
      <c r="H541" s="12">
        <v>-2.3360185686017401</v>
      </c>
      <c r="I541" s="20">
        <v>-3.4056409223944999</v>
      </c>
      <c r="J541" s="28">
        <v>6.6008936177722102E-4</v>
      </c>
      <c r="K541" s="29">
        <v>2.82676983288143E-2</v>
      </c>
    </row>
    <row r="542" spans="1:11" x14ac:dyDescent="0.35">
      <c r="A542" s="9" t="str">
        <f>HYPERLINK("http://www.ensembl.org/id/WBGene00021994", "WBGene00021994")</f>
        <v>WBGene00021994</v>
      </c>
      <c r="B542" s="9" t="str">
        <f>HYPERLINK("http://www.ncbi.nlm.nih.gov/gene/177296", "177296")</f>
        <v>177296</v>
      </c>
      <c r="C542" s="9"/>
      <c r="D542" t="str">
        <f>"Y59E9AL.4"</f>
        <v>Y59E9AL.4</v>
      </c>
      <c r="F542" t="s">
        <v>11</v>
      </c>
      <c r="G542" t="s">
        <v>230</v>
      </c>
      <c r="H542" s="12">
        <v>2.8594667766266801</v>
      </c>
      <c r="I542" s="20">
        <v>3.40541665886402</v>
      </c>
      <c r="J542" s="28">
        <v>6.6063174489568697E-4</v>
      </c>
      <c r="K542" s="29">
        <v>2.82676983288143E-2</v>
      </c>
    </row>
    <row r="543" spans="1:11" x14ac:dyDescent="0.35">
      <c r="A543" s="9" t="str">
        <f>HYPERLINK("http://www.ensembl.org/id/WBGene00018036", "WBGene00018036")</f>
        <v>WBGene00018036</v>
      </c>
      <c r="B543" s="9" t="str">
        <f>HYPERLINK("http://www.ncbi.nlm.nih.gov/gene/185268", "185268")</f>
        <v>185268</v>
      </c>
      <c r="C543" s="9"/>
      <c r="D543" t="str">
        <f>"F35C8.5"</f>
        <v>F35C8.5</v>
      </c>
      <c r="E543" t="s">
        <v>490</v>
      </c>
      <c r="F543" t="s">
        <v>11</v>
      </c>
      <c r="G543" t="s">
        <v>491</v>
      </c>
      <c r="H543" s="12">
        <v>-2.1947781080557198</v>
      </c>
      <c r="I543" s="20">
        <v>-3.4041380115194202</v>
      </c>
      <c r="J543" s="28">
        <v>6.6373208883636903E-4</v>
      </c>
      <c r="K543" s="29">
        <v>2.83478625594328E-2</v>
      </c>
    </row>
    <row r="544" spans="1:11" x14ac:dyDescent="0.35">
      <c r="A544" s="9" t="str">
        <f>HYPERLINK("http://www.ensembl.org/id/WBGene00017068", "WBGene00017068")</f>
        <v>WBGene00017068</v>
      </c>
      <c r="B544" s="9" t="str">
        <f>HYPERLINK("http://www.ncbi.nlm.nih.gov/gene/172380", "172380")</f>
        <v>172380</v>
      </c>
      <c r="C544" s="9"/>
      <c r="D544" t="str">
        <f>"D2092.8"</f>
        <v>D2092.8</v>
      </c>
      <c r="F544" t="s">
        <v>11</v>
      </c>
      <c r="H544" s="12">
        <v>5.0432132939342198</v>
      </c>
      <c r="I544" s="20">
        <v>3.4035332795783702</v>
      </c>
      <c r="J544" s="28">
        <v>6.6520309340130704E-4</v>
      </c>
      <c r="K544" s="29">
        <v>2.83582706201672E-2</v>
      </c>
    </row>
    <row r="545" spans="1:11" x14ac:dyDescent="0.35">
      <c r="A545" s="9" t="str">
        <f>HYPERLINK("http://www.ensembl.org/id/WBGene00016436", "WBGene00016436")</f>
        <v>WBGene00016436</v>
      </c>
      <c r="B545" s="9" t="str">
        <f>HYPERLINK("http://www.ncbi.nlm.nih.gov/gene/177172", "177172")</f>
        <v>177172</v>
      </c>
      <c r="C545" s="9"/>
      <c r="D545" t="str">
        <f>"C35B1.7"</f>
        <v>C35B1.7</v>
      </c>
      <c r="F545" t="s">
        <v>11</v>
      </c>
      <c r="H545" s="12">
        <v>2.5562598418032101</v>
      </c>
      <c r="I545" s="20">
        <v>3.4014492367017</v>
      </c>
      <c r="J545" s="28">
        <v>6.7029576292502698E-4</v>
      </c>
      <c r="K545" s="29">
        <v>2.8522751193638399E-2</v>
      </c>
    </row>
    <row r="546" spans="1:11" x14ac:dyDescent="0.35">
      <c r="A546" s="9" t="str">
        <f>HYPERLINK("http://www.ensembl.org/id/WBGene00011817", "WBGene00011817")</f>
        <v>WBGene00011817</v>
      </c>
      <c r="B546" s="9" t="str">
        <f>HYPERLINK("http://www.ncbi.nlm.nih.gov/gene/188562", "188562")</f>
        <v>188562</v>
      </c>
      <c r="C546" s="9"/>
      <c r="D546" t="str">
        <f>"T16H12.9"</f>
        <v>T16H12.9</v>
      </c>
      <c r="F546" t="s">
        <v>11</v>
      </c>
      <c r="H546" s="12">
        <v>2.6572943959228299</v>
      </c>
      <c r="I546" s="20">
        <v>3.4007540589454699</v>
      </c>
      <c r="J546" s="28">
        <v>6.7200257991736402E-4</v>
      </c>
      <c r="K546" s="29">
        <v>2.8542815462446001E-2</v>
      </c>
    </row>
    <row r="547" spans="1:11" x14ac:dyDescent="0.35">
      <c r="A547" s="9" t="str">
        <f>HYPERLINK("http://www.ensembl.org/id/WBGene00255714", "WBGene00255714")</f>
        <v>WBGene00255714</v>
      </c>
      <c r="B547" s="9" t="str">
        <f>HYPERLINK("http://www.ncbi.nlm.nih.gov/gene/25502967", "25502967")</f>
        <v>25502967</v>
      </c>
      <c r="C547" s="9"/>
      <c r="D547" t="str">
        <f>"B0511.19"</f>
        <v>B0511.19</v>
      </c>
      <c r="F547" t="s">
        <v>11</v>
      </c>
      <c r="G547" t="s">
        <v>25</v>
      </c>
      <c r="H547" s="12">
        <v>-2.3197562546038601</v>
      </c>
      <c r="I547" s="20">
        <v>-3.3897422861616802</v>
      </c>
      <c r="J547" s="28">
        <v>6.9958357614950998E-4</v>
      </c>
      <c r="K547" s="29">
        <v>2.9659776349560699E-2</v>
      </c>
    </row>
    <row r="548" spans="1:11" x14ac:dyDescent="0.35">
      <c r="A548" s="9" t="str">
        <f>HYPERLINK("http://www.ensembl.org/id/WBGene00017506", "WBGene00017506")</f>
        <v>WBGene00017506</v>
      </c>
      <c r="B548" s="9" t="str">
        <f>HYPERLINK("http://www.ncbi.nlm.nih.gov/gene/178648", "178648")</f>
        <v>178648</v>
      </c>
      <c r="C548" s="9"/>
      <c r="D548" t="str">
        <f>"F16B4.4"</f>
        <v>F16B4.4</v>
      </c>
      <c r="F548" t="s">
        <v>11</v>
      </c>
      <c r="H548" s="12">
        <v>2.0859920230531501</v>
      </c>
      <c r="I548" s="20">
        <v>3.3871613680911201</v>
      </c>
      <c r="J548" s="28">
        <v>7.0619837322077699E-4</v>
      </c>
      <c r="K548" s="29">
        <v>2.9851407456247099E-2</v>
      </c>
    </row>
    <row r="549" spans="1:11" x14ac:dyDescent="0.35">
      <c r="A549" s="9" t="str">
        <f>HYPERLINK("http://www.ensembl.org/id/WBGene00001615", "WBGene00001615")</f>
        <v>WBGene00001615</v>
      </c>
      <c r="B549" s="9" t="str">
        <f>HYPERLINK("http://www.ncbi.nlm.nih.gov/gene/174258", "174258")</f>
        <v>174258</v>
      </c>
      <c r="C549" s="9" t="str">
        <f>HYPERLINK("http://www.ncbi.nlm.nih.gov/gene/2898", "2898")</f>
        <v>2898</v>
      </c>
      <c r="D549" t="str">
        <f>"glr-4"</f>
        <v>glr-4</v>
      </c>
      <c r="E549" t="s">
        <v>492</v>
      </c>
      <c r="F549" t="s">
        <v>11</v>
      </c>
      <c r="G549" t="s">
        <v>493</v>
      </c>
      <c r="H549" s="12">
        <v>2.3067816762198601</v>
      </c>
      <c r="I549" s="20">
        <v>3.3868169042905998</v>
      </c>
      <c r="J549" s="28">
        <v>7.07085604135221E-4</v>
      </c>
      <c r="K549" s="29">
        <v>2.9851407456247099E-2</v>
      </c>
    </row>
    <row r="550" spans="1:11" x14ac:dyDescent="0.35">
      <c r="A550" s="9" t="str">
        <f>HYPERLINK("http://www.ensembl.org/id/WBGene00022830", "WBGene00022830")</f>
        <v>WBGene00022830</v>
      </c>
      <c r="B550" s="9" t="str">
        <f>HYPERLINK("http://www.ncbi.nlm.nih.gov/gene/172040", "172040")</f>
        <v>172040</v>
      </c>
      <c r="C550" s="9" t="str">
        <f>HYPERLINK("http://www.ncbi.nlm.nih.gov/gene/55133", "55133")</f>
        <v>55133</v>
      </c>
      <c r="D550" t="str">
        <f>"ZK973.1"</f>
        <v>ZK973.1</v>
      </c>
      <c r="F550" t="s">
        <v>11</v>
      </c>
      <c r="G550" t="s">
        <v>494</v>
      </c>
      <c r="H550" s="12">
        <v>-1.9387816457932201</v>
      </c>
      <c r="I550" s="20">
        <v>-3.3864703097848601</v>
      </c>
      <c r="J550" s="28">
        <v>7.0797936839017705E-4</v>
      </c>
      <c r="K550" s="29">
        <v>2.9851407456247099E-2</v>
      </c>
    </row>
    <row r="551" spans="1:11" x14ac:dyDescent="0.35">
      <c r="A551" s="9" t="str">
        <f>HYPERLINK("http://www.ensembl.org/id/WBGene00021011", "WBGene00021011")</f>
        <v>WBGene00021011</v>
      </c>
      <c r="B551" s="9" t="str">
        <f>HYPERLINK("http://www.ncbi.nlm.nih.gov/gene/189167", "189167")</f>
        <v>189167</v>
      </c>
      <c r="C551" s="9"/>
      <c r="D551" t="str">
        <f>"W03G1.5"</f>
        <v>W03G1.5</v>
      </c>
      <c r="F551" t="s">
        <v>11</v>
      </c>
      <c r="H551" s="12">
        <v>2.2116091460704799</v>
      </c>
      <c r="I551" s="20">
        <v>3.3847852712901401</v>
      </c>
      <c r="J551" s="28">
        <v>7.1233955913474901E-4</v>
      </c>
      <c r="K551" s="29">
        <v>2.998054253801E-2</v>
      </c>
    </row>
    <row r="552" spans="1:11" x14ac:dyDescent="0.35">
      <c r="A552" s="9" t="str">
        <f>HYPERLINK("http://www.ensembl.org/id/WBGene00004178", "WBGene00004178")</f>
        <v>WBGene00004178</v>
      </c>
      <c r="B552" s="9" t="str">
        <f>HYPERLINK("http://www.ncbi.nlm.nih.gov/gene/172515", "172515")</f>
        <v>172515</v>
      </c>
      <c r="C552" s="9" t="str">
        <f>HYPERLINK("http://www.ncbi.nlm.nih.gov/gene/9271", "9271")</f>
        <v>9271</v>
      </c>
      <c r="D552" t="str">
        <f>"prg-1"</f>
        <v>prg-1</v>
      </c>
      <c r="E552" t="s">
        <v>309</v>
      </c>
      <c r="F552" t="s">
        <v>11</v>
      </c>
      <c r="G552" t="s">
        <v>495</v>
      </c>
      <c r="H552" s="12">
        <v>-1.9215492497256601</v>
      </c>
      <c r="I552" s="20">
        <v>-3.3835410043976202</v>
      </c>
      <c r="J552" s="28">
        <v>7.1557521304617497E-4</v>
      </c>
      <c r="K552" s="29">
        <v>3.0061965222990799E-2</v>
      </c>
    </row>
    <row r="553" spans="1:11" x14ac:dyDescent="0.35">
      <c r="A553" s="9" t="str">
        <f>HYPERLINK("http://www.ensembl.org/id/WBGene00001872", "WBGene00001872")</f>
        <v>WBGene00001872</v>
      </c>
      <c r="B553" s="9" t="str">
        <f>HYPERLINK("http://www.ncbi.nlm.nih.gov/gene/174157", "174157")</f>
        <v>174157</v>
      </c>
      <c r="C553" s="9" t="str">
        <f>HYPERLINK("http://www.ncbi.nlm.nih.gov/gene/4438", "4438")</f>
        <v>4438</v>
      </c>
      <c r="D553" t="str">
        <f>"him-14"</f>
        <v>him-14</v>
      </c>
      <c r="E553" t="s">
        <v>496</v>
      </c>
      <c r="F553" t="s">
        <v>11</v>
      </c>
      <c r="G553" t="s">
        <v>497</v>
      </c>
      <c r="H553" s="12">
        <v>-2.6115566494958902</v>
      </c>
      <c r="I553" s="20">
        <v>-3.3799537879515098</v>
      </c>
      <c r="J553" s="28">
        <v>7.2498018362700104E-4</v>
      </c>
      <c r="K553" s="29">
        <v>3.04018005859991E-2</v>
      </c>
    </row>
    <row r="554" spans="1:11" x14ac:dyDescent="0.35">
      <c r="A554" s="9" t="str">
        <f>HYPERLINK("http://www.ensembl.org/id/WBGene00012484", "WBGene00012484")</f>
        <v>WBGene00012484</v>
      </c>
      <c r="B554" s="9" t="str">
        <f>HYPERLINK("http://www.ncbi.nlm.nih.gov/gene/173158", "173158")</f>
        <v>173158</v>
      </c>
      <c r="C554" s="9"/>
      <c r="D554" t="str">
        <f>"car-1"</f>
        <v>car-1</v>
      </c>
      <c r="E554" t="s">
        <v>498</v>
      </c>
      <c r="F554" t="s">
        <v>11</v>
      </c>
      <c r="G554" t="s">
        <v>499</v>
      </c>
      <c r="H554" s="12">
        <v>-1.8298002143169101</v>
      </c>
      <c r="I554" s="20">
        <v>-3.3787982078627201</v>
      </c>
      <c r="J554" s="28">
        <v>7.2803425598010302E-4</v>
      </c>
      <c r="K554" s="29">
        <v>3.0474564345428001E-2</v>
      </c>
    </row>
    <row r="555" spans="1:11" x14ac:dyDescent="0.35">
      <c r="A555" s="9" t="str">
        <f>HYPERLINK("http://www.ensembl.org/id/WBGene00009270", "WBGene00009270")</f>
        <v>WBGene00009270</v>
      </c>
      <c r="B555" s="9" t="str">
        <f>HYPERLINK("http://www.ncbi.nlm.nih.gov/gene/172548", "172548")</f>
        <v>172548</v>
      </c>
      <c r="C555" s="9"/>
      <c r="D555" t="str">
        <f>"F30F8.1"</f>
        <v>F30F8.1</v>
      </c>
      <c r="F555" t="s">
        <v>11</v>
      </c>
      <c r="H555" s="12">
        <v>-2.09327788720103</v>
      </c>
      <c r="I555" s="20">
        <v>-3.3763460177254498</v>
      </c>
      <c r="J555" s="28">
        <v>7.3455475822454999E-4</v>
      </c>
      <c r="K555" s="29">
        <v>3.0691902791205199E-2</v>
      </c>
    </row>
    <row r="556" spans="1:11" x14ac:dyDescent="0.35">
      <c r="A556" s="9" t="str">
        <f>HYPERLINK("http://www.ensembl.org/id/WBGene00013208", "WBGene00013208")</f>
        <v>WBGene00013208</v>
      </c>
      <c r="B556" s="9" t="str">
        <f>HYPERLINK("http://www.ncbi.nlm.nih.gov/gene/175016", "175016")</f>
        <v>175016</v>
      </c>
      <c r="C556" s="9"/>
      <c r="D556" t="str">
        <f>"Y54G9A.5"</f>
        <v>Y54G9A.5</v>
      </c>
      <c r="F556" t="s">
        <v>11</v>
      </c>
      <c r="G556" t="s">
        <v>25</v>
      </c>
      <c r="H556" s="12">
        <v>-2.1377088652082299</v>
      </c>
      <c r="I556" s="20">
        <v>-3.3745024316383199</v>
      </c>
      <c r="J556" s="28">
        <v>7.3949262635347604E-4</v>
      </c>
      <c r="K556" s="29">
        <v>3.0842448780728199E-2</v>
      </c>
    </row>
    <row r="557" spans="1:11" x14ac:dyDescent="0.35">
      <c r="A557" s="9" t="str">
        <f>HYPERLINK("http://www.ensembl.org/id/WBGene00010050", "WBGene00010050")</f>
        <v>WBGene00010050</v>
      </c>
      <c r="B557" s="9" t="str">
        <f>HYPERLINK("http://www.ncbi.nlm.nih.gov/gene/174772", "174772")</f>
        <v>174772</v>
      </c>
      <c r="C557" s="9"/>
      <c r="D557" t="str">
        <f>"F54D5.4"</f>
        <v>F54D5.4</v>
      </c>
      <c r="F557" t="s">
        <v>11</v>
      </c>
      <c r="G557" t="s">
        <v>264</v>
      </c>
      <c r="H557" s="12">
        <v>-2.5855248045951398</v>
      </c>
      <c r="I557" s="20">
        <v>-3.3726929340440401</v>
      </c>
      <c r="J557" s="28">
        <v>7.4436915641661701E-4</v>
      </c>
      <c r="K557" s="29">
        <v>3.09898986093015E-2</v>
      </c>
    </row>
    <row r="558" spans="1:11" x14ac:dyDescent="0.35">
      <c r="A558" s="9" t="str">
        <f>HYPERLINK("http://www.ensembl.org/id/WBGene00006642", "WBGene00006642")</f>
        <v>WBGene00006642</v>
      </c>
      <c r="B558" s="9" t="str">
        <f>HYPERLINK("http://www.ncbi.nlm.nih.gov/gene/192066", "192066")</f>
        <v>192066</v>
      </c>
      <c r="C558" s="9"/>
      <c r="D558" t="str">
        <f>"tsp-16"</f>
        <v>tsp-16</v>
      </c>
      <c r="E558" t="s">
        <v>500</v>
      </c>
      <c r="F558" t="s">
        <v>11</v>
      </c>
      <c r="G558" t="s">
        <v>25</v>
      </c>
      <c r="H558" s="12">
        <v>2.3148278199630701</v>
      </c>
      <c r="I558" s="20">
        <v>3.3714054759588699</v>
      </c>
      <c r="J558" s="28">
        <v>7.4785697509374195E-4</v>
      </c>
      <c r="K558" s="29">
        <v>3.1079106594453301E-2</v>
      </c>
    </row>
    <row r="559" spans="1:11" x14ac:dyDescent="0.35">
      <c r="A559" s="9" t="str">
        <f>HYPERLINK("http://www.ensembl.org/id/WBGene00018696", "WBGene00018696")</f>
        <v>WBGene00018696</v>
      </c>
      <c r="B559" s="9" t="str">
        <f>HYPERLINK("http://www.ncbi.nlm.nih.gov/gene/186114", "186114")</f>
        <v>186114</v>
      </c>
      <c r="C559" s="9" t="str">
        <f>HYPERLINK("http://www.ncbi.nlm.nih.gov/gene/55", "55")</f>
        <v>55</v>
      </c>
      <c r="D559" t="str">
        <f>"pho-6"</f>
        <v>pho-6</v>
      </c>
      <c r="E559" t="s">
        <v>501</v>
      </c>
      <c r="F559" t="s">
        <v>11</v>
      </c>
      <c r="G559" t="s">
        <v>37</v>
      </c>
      <c r="H559" s="12">
        <v>2.5709942878611902</v>
      </c>
      <c r="I559" s="20">
        <v>3.3698580500255302</v>
      </c>
      <c r="J559" s="28">
        <v>7.5206914773565602E-4</v>
      </c>
      <c r="K559" s="29">
        <v>3.1198042598887001E-2</v>
      </c>
    </row>
    <row r="560" spans="1:11" x14ac:dyDescent="0.35">
      <c r="A560" s="9" t="str">
        <f>HYPERLINK("http://www.ensembl.org/id/WBGene00022203", "WBGene00022203")</f>
        <v>WBGene00022203</v>
      </c>
      <c r="B560" s="9" t="str">
        <f>HYPERLINK("http://www.ncbi.nlm.nih.gov/gene/180384", "180384")</f>
        <v>180384</v>
      </c>
      <c r="C560" s="9"/>
      <c r="D560" t="str">
        <f>"Y73B3A.1"</f>
        <v>Y73B3A.1</v>
      </c>
      <c r="F560" t="s">
        <v>11</v>
      </c>
      <c r="G560" t="s">
        <v>228</v>
      </c>
      <c r="H560" s="12">
        <v>-2.0263985157012701</v>
      </c>
      <c r="I560" s="20">
        <v>-3.3665488290611001</v>
      </c>
      <c r="J560" s="28">
        <v>7.6115105521149299E-4</v>
      </c>
      <c r="K560" s="29">
        <v>3.1461818035271497E-2</v>
      </c>
    </row>
    <row r="561" spans="1:11" x14ac:dyDescent="0.35">
      <c r="A561" s="9" t="str">
        <f>HYPERLINK("http://www.ensembl.org/id/WBGene00018867", "WBGene00018867")</f>
        <v>WBGene00018867</v>
      </c>
      <c r="B561" s="9" t="str">
        <f>HYPERLINK("http://www.ncbi.nlm.nih.gov/gene/172186", "172186")</f>
        <v>172186</v>
      </c>
      <c r="C561" s="9"/>
      <c r="D561" t="str">
        <f>"zhp-1"</f>
        <v>zhp-1</v>
      </c>
      <c r="E561" t="s">
        <v>502</v>
      </c>
      <c r="F561" t="s">
        <v>11</v>
      </c>
      <c r="G561" t="s">
        <v>503</v>
      </c>
      <c r="H561" s="12">
        <v>-3.1840271665434599</v>
      </c>
      <c r="I561" s="20">
        <v>-3.3669041600312402</v>
      </c>
      <c r="J561" s="28">
        <v>7.6017101852949502E-4</v>
      </c>
      <c r="K561" s="29">
        <v>3.1461818035271497E-2</v>
      </c>
    </row>
    <row r="562" spans="1:11" x14ac:dyDescent="0.35">
      <c r="A562" s="9" t="str">
        <f>HYPERLINK("http://www.ensembl.org/id/WBGene00005002", "WBGene00005002")</f>
        <v>WBGene00005002</v>
      </c>
      <c r="B562" s="9" t="str">
        <f>HYPERLINK("http://www.ncbi.nlm.nih.gov/gene/171681", "171681")</f>
        <v>171681</v>
      </c>
      <c r="C562" s="9"/>
      <c r="D562" t="str">
        <f>"spp-17"</f>
        <v>spp-17</v>
      </c>
      <c r="E562" t="s">
        <v>62</v>
      </c>
      <c r="F562" t="s">
        <v>11</v>
      </c>
      <c r="H562" s="12">
        <v>-2.2149200076093698</v>
      </c>
      <c r="I562" s="20">
        <v>-3.36592619605163</v>
      </c>
      <c r="J562" s="28">
        <v>7.6287116581670198E-4</v>
      </c>
      <c r="K562" s="29">
        <v>3.1476609209572702E-2</v>
      </c>
    </row>
    <row r="563" spans="1:11" x14ac:dyDescent="0.35">
      <c r="A563" s="9" t="str">
        <f>HYPERLINK("http://www.ensembl.org/id/WBGene00011428", "WBGene00011428")</f>
        <v>WBGene00011428</v>
      </c>
      <c r="B563" s="9" t="str">
        <f>HYPERLINK("http://www.ncbi.nlm.nih.gov/gene/179532", "179532")</f>
        <v>179532</v>
      </c>
      <c r="C563" s="9"/>
      <c r="D563" t="str">
        <f>"nlp-80"</f>
        <v>nlp-80</v>
      </c>
      <c r="E563" t="s">
        <v>76</v>
      </c>
      <c r="F563" t="s">
        <v>11</v>
      </c>
      <c r="G563" t="s">
        <v>77</v>
      </c>
      <c r="H563" s="12">
        <v>1.96920471515791</v>
      </c>
      <c r="I563" s="20">
        <v>3.3641512016610999</v>
      </c>
      <c r="J563" s="28">
        <v>7.6779466661482695E-4</v>
      </c>
      <c r="K563" s="29">
        <v>3.1623286215333703E-2</v>
      </c>
    </row>
    <row r="564" spans="1:11" x14ac:dyDescent="0.35">
      <c r="A564" s="9" t="str">
        <f>HYPERLINK("http://www.ensembl.org/id/WBGene00003741", "WBGene00003741")</f>
        <v>WBGene00003741</v>
      </c>
      <c r="B564" s="9" t="str">
        <f>HYPERLINK("http://www.ncbi.nlm.nih.gov/gene/185978", "185978")</f>
        <v>185978</v>
      </c>
      <c r="C564" s="9"/>
      <c r="D564" t="str">
        <f>"nlp-3"</f>
        <v>nlp-3</v>
      </c>
      <c r="E564" t="s">
        <v>76</v>
      </c>
      <c r="F564" t="s">
        <v>11</v>
      </c>
      <c r="G564" t="s">
        <v>77</v>
      </c>
      <c r="H564" s="12">
        <v>2.2424686045422999</v>
      </c>
      <c r="I564" s="20">
        <v>3.3628532929441901</v>
      </c>
      <c r="J564" s="28">
        <v>7.7141347666461499E-4</v>
      </c>
      <c r="K564" s="29">
        <v>3.1715800341303502E-2</v>
      </c>
    </row>
    <row r="565" spans="1:11" x14ac:dyDescent="0.35">
      <c r="A565" s="9" t="str">
        <f>HYPERLINK("http://www.ensembl.org/id/WBGene00017836", "WBGene00017836")</f>
        <v>WBGene00017836</v>
      </c>
      <c r="B565" s="9" t="str">
        <f>HYPERLINK("http://www.ncbi.nlm.nih.gov/gene/178974", "178974")</f>
        <v>178974</v>
      </c>
      <c r="C565" s="9"/>
      <c r="D565" t="str">
        <f>"F26F12.5"</f>
        <v>F26F12.5</v>
      </c>
      <c r="F565" t="s">
        <v>11</v>
      </c>
      <c r="G565" t="s">
        <v>287</v>
      </c>
      <c r="H565" s="12">
        <v>2.3454031655719301</v>
      </c>
      <c r="I565" s="20">
        <v>3.3573781118588499</v>
      </c>
      <c r="J565" s="28">
        <v>7.8685427676144202E-4</v>
      </c>
      <c r="K565" s="29">
        <v>3.2235912976684197E-2</v>
      </c>
    </row>
    <row r="566" spans="1:11" x14ac:dyDescent="0.35">
      <c r="A566" s="9" t="str">
        <f>HYPERLINK("http://www.ensembl.org/id/WBGene00020855", "WBGene00020855")</f>
        <v>WBGene00020855</v>
      </c>
      <c r="B566" s="9" t="str">
        <f>HYPERLINK("http://www.ncbi.nlm.nih.gov/gene/188979", "188979")</f>
        <v>188979</v>
      </c>
      <c r="C566" s="9"/>
      <c r="D566" t="str">
        <f>"hpo-36"</f>
        <v>hpo-36</v>
      </c>
      <c r="F566" t="s">
        <v>11</v>
      </c>
      <c r="G566" t="s">
        <v>25</v>
      </c>
      <c r="H566" s="12">
        <v>2.4705794174693998</v>
      </c>
      <c r="I566" s="20">
        <v>3.35778457775519</v>
      </c>
      <c r="J566" s="28">
        <v>7.8569819961441998E-4</v>
      </c>
      <c r="K566" s="29">
        <v>3.2235912976684197E-2</v>
      </c>
    </row>
    <row r="567" spans="1:11" x14ac:dyDescent="0.35">
      <c r="A567" s="9" t="str">
        <f>HYPERLINK("http://www.ensembl.org/id/WBGene00014150", "WBGene00014150")</f>
        <v>WBGene00014150</v>
      </c>
      <c r="B567" s="9" t="str">
        <f>HYPERLINK("http://www.ncbi.nlm.nih.gov/gene/3565097", "3565097")</f>
        <v>3565097</v>
      </c>
      <c r="C567" s="9"/>
      <c r="D567" t="str">
        <f>"ZK909.6"</f>
        <v>ZK909.6</v>
      </c>
      <c r="F567" t="s">
        <v>11</v>
      </c>
      <c r="H567" s="12">
        <v>2.09064809193372</v>
      </c>
      <c r="I567" s="20">
        <v>3.35634498389375</v>
      </c>
      <c r="J567" s="28">
        <v>7.8979982723255101E-4</v>
      </c>
      <c r="K567" s="29">
        <v>3.2299318244310302E-2</v>
      </c>
    </row>
    <row r="568" spans="1:11" x14ac:dyDescent="0.35">
      <c r="A568" s="9" t="str">
        <f>HYPERLINK("http://www.ensembl.org/id/WBGene00013327", "WBGene00013327")</f>
        <v>WBGene00013327</v>
      </c>
      <c r="B568" s="9" t="str">
        <f>HYPERLINK("http://www.ncbi.nlm.nih.gov/gene/178410", "178410")</f>
        <v>178410</v>
      </c>
      <c r="C568" s="9"/>
      <c r="D568" t="str">
        <f>"Y57G11C.38"</f>
        <v>Y57G11C.38</v>
      </c>
      <c r="F568" t="s">
        <v>11</v>
      </c>
      <c r="H568" s="12">
        <v>2.5239004631120001</v>
      </c>
      <c r="I568" s="20">
        <v>3.3512785879473999</v>
      </c>
      <c r="J568" s="28">
        <v>8.0439335088968496E-4</v>
      </c>
      <c r="K568" s="29">
        <v>3.2823835482017602E-2</v>
      </c>
    </row>
    <row r="569" spans="1:11" x14ac:dyDescent="0.35">
      <c r="A569" s="9" t="str">
        <f>HYPERLINK("http://www.ensembl.org/id/WBGene00014106", "WBGene00014106")</f>
        <v>WBGene00014106</v>
      </c>
      <c r="B569" s="9" t="str">
        <f>HYPERLINK("http://www.ncbi.nlm.nih.gov/gene/191439", "191439")</f>
        <v>191439</v>
      </c>
      <c r="C569" s="9" t="str">
        <f>HYPERLINK("http://www.ncbi.nlm.nih.gov/gene/27293", "27293")</f>
        <v>27293</v>
      </c>
      <c r="D569" t="str">
        <f>"ZK856.5"</f>
        <v>ZK856.5</v>
      </c>
      <c r="F569" t="s">
        <v>11</v>
      </c>
      <c r="G569" t="s">
        <v>504</v>
      </c>
      <c r="H569" s="12">
        <v>-1.9834878106857099</v>
      </c>
      <c r="I569" s="20">
        <v>-3.3509093147687401</v>
      </c>
      <c r="J569" s="28">
        <v>8.0546674968856396E-4</v>
      </c>
      <c r="K569" s="29">
        <v>3.2823835482017602E-2</v>
      </c>
    </row>
    <row r="570" spans="1:11" x14ac:dyDescent="0.35">
      <c r="A570" s="9" t="str">
        <f>HYPERLINK("http://www.ensembl.org/id/WBGene00016425", "WBGene00016425")</f>
        <v>WBGene00016425</v>
      </c>
      <c r="B570" s="9" t="str">
        <f>HYPERLINK("http://www.ncbi.nlm.nih.gov/gene/183220", "183220")</f>
        <v>183220</v>
      </c>
      <c r="C570" s="9"/>
      <c r="D570" t="str">
        <f>"C34H4.2"</f>
        <v>C34H4.2</v>
      </c>
      <c r="F570" t="s">
        <v>11</v>
      </c>
      <c r="H570" s="12">
        <v>2.7937286213119101</v>
      </c>
      <c r="I570" s="20">
        <v>3.3493627034545299</v>
      </c>
      <c r="J570" s="28">
        <v>8.0997687795790799E-4</v>
      </c>
      <c r="K570" s="29">
        <v>3.2949517151576499E-2</v>
      </c>
    </row>
    <row r="571" spans="1:11" x14ac:dyDescent="0.35">
      <c r="A571" s="9" t="str">
        <f>HYPERLINK("http://www.ensembl.org/id/WBGene00008511", "WBGene00008511")</f>
        <v>WBGene00008511</v>
      </c>
      <c r="B571" s="9" t="str">
        <f>HYPERLINK("http://www.ncbi.nlm.nih.gov/gene/177909", "177909")</f>
        <v>177909</v>
      </c>
      <c r="C571" s="9"/>
      <c r="D571" t="str">
        <f>"F01G10.9"</f>
        <v>F01G10.9</v>
      </c>
      <c r="F571" t="s">
        <v>11</v>
      </c>
      <c r="H571" s="12">
        <v>2.8740563908469201</v>
      </c>
      <c r="I571" s="20">
        <v>3.3480137287525999</v>
      </c>
      <c r="J571" s="28">
        <v>8.1392979239994895E-4</v>
      </c>
      <c r="K571" s="29">
        <v>3.3052129671692798E-2</v>
      </c>
    </row>
    <row r="572" spans="1:11" x14ac:dyDescent="0.35">
      <c r="A572" s="9" t="str">
        <f>HYPERLINK("http://www.ensembl.org/id/WBGene00009790", "WBGene00009790")</f>
        <v>WBGene00009790</v>
      </c>
      <c r="B572" s="9" t="str">
        <f>HYPERLINK("http://www.ncbi.nlm.nih.gov/gene/179600", "179600")</f>
        <v>179600</v>
      </c>
      <c r="C572" s="9"/>
      <c r="D572" t="str">
        <f>"lgc-44"</f>
        <v>lgc-44</v>
      </c>
      <c r="E572" t="s">
        <v>505</v>
      </c>
      <c r="F572" t="s">
        <v>11</v>
      </c>
      <c r="G572" t="s">
        <v>506</v>
      </c>
      <c r="H572" s="12">
        <v>2.45737034996101</v>
      </c>
      <c r="I572" s="20">
        <v>3.3456260308461001</v>
      </c>
      <c r="J572" s="28">
        <v>8.2097039933199799E-4</v>
      </c>
      <c r="K572" s="29">
        <v>3.3279547450816002E-2</v>
      </c>
    </row>
    <row r="573" spans="1:11" x14ac:dyDescent="0.35">
      <c r="A573" s="9" t="str">
        <f>HYPERLINK("http://www.ensembl.org/id/WBGene00022254", "WBGene00022254")</f>
        <v>WBGene00022254</v>
      </c>
      <c r="B573" s="9" t="str">
        <f>HYPERLINK("http://www.ncbi.nlm.nih.gov/gene/177402", "177402")</f>
        <v>177402</v>
      </c>
      <c r="C573" s="9"/>
      <c r="D573" t="str">
        <f>"nlp-71"</f>
        <v>nlp-71</v>
      </c>
      <c r="E573" t="s">
        <v>76</v>
      </c>
      <c r="F573" t="s">
        <v>11</v>
      </c>
      <c r="G573" t="s">
        <v>77</v>
      </c>
      <c r="H573" s="12">
        <v>2.37176606103273</v>
      </c>
      <c r="I573" s="20">
        <v>3.3403247756363599</v>
      </c>
      <c r="J573" s="28">
        <v>8.3680467905707502E-4</v>
      </c>
      <c r="K573" s="29">
        <v>3.3862012109094203E-2</v>
      </c>
    </row>
    <row r="574" spans="1:11" x14ac:dyDescent="0.35">
      <c r="A574" s="9" t="str">
        <f>HYPERLINK("http://www.ensembl.org/id/WBGene00015095", "WBGene00015095")</f>
        <v>WBGene00015095</v>
      </c>
      <c r="B574" s="9" t="str">
        <f>HYPERLINK("http://www.ncbi.nlm.nih.gov/gene/172169", "172169")</f>
        <v>172169</v>
      </c>
      <c r="C574" s="9"/>
      <c r="D574" t="str">
        <f>"B0261.7"</f>
        <v>B0261.7</v>
      </c>
      <c r="F574" t="s">
        <v>11</v>
      </c>
      <c r="G574" t="s">
        <v>54</v>
      </c>
      <c r="H574" s="12">
        <v>-1.9589301699706101</v>
      </c>
      <c r="I574" s="20">
        <v>-3.3382917794292801</v>
      </c>
      <c r="J574" s="28">
        <v>8.4295181613234398E-4</v>
      </c>
      <c r="K574" s="29">
        <v>3.4051127034185197E-2</v>
      </c>
    </row>
    <row r="575" spans="1:11" x14ac:dyDescent="0.35">
      <c r="A575" s="9" t="str">
        <f>HYPERLINK("http://www.ensembl.org/id/WBGene00003485", "WBGene00003485")</f>
        <v>WBGene00003485</v>
      </c>
      <c r="B575" s="9" t="str">
        <f>HYPERLINK("http://www.ncbi.nlm.nih.gov/gene/181698", "181698")</f>
        <v>181698</v>
      </c>
      <c r="C575" s="9" t="str">
        <f>HYPERLINK("http://www.ncbi.nlm.nih.gov/gene/84823", "84823")</f>
        <v>84823</v>
      </c>
      <c r="D575" t="str">
        <f>"mua-6"</f>
        <v>mua-6</v>
      </c>
      <c r="E575" t="s">
        <v>507</v>
      </c>
      <c r="F575" t="s">
        <v>11</v>
      </c>
      <c r="H575" s="12">
        <v>1.99733442386824</v>
      </c>
      <c r="I575" s="20">
        <v>3.3295368821495499</v>
      </c>
      <c r="J575" s="28">
        <v>8.6990542182595397E-4</v>
      </c>
      <c r="K575" s="29">
        <v>3.5078594549232997E-2</v>
      </c>
    </row>
    <row r="576" spans="1:11" x14ac:dyDescent="0.35">
      <c r="A576" s="9" t="str">
        <f>HYPERLINK("http://www.ensembl.org/id/WBGene00010953", "WBGene00010953")</f>
        <v>WBGene00010953</v>
      </c>
      <c r="B576" s="9" t="str">
        <f>HYPERLINK("http://www.ncbi.nlm.nih.gov/gene/178423", "178423")</f>
        <v>178423</v>
      </c>
      <c r="C576" s="9"/>
      <c r="D576" t="str">
        <f>"clec-190"</f>
        <v>clec-190</v>
      </c>
      <c r="E576" t="s">
        <v>46</v>
      </c>
      <c r="F576" t="s">
        <v>11</v>
      </c>
      <c r="G576" t="s">
        <v>47</v>
      </c>
      <c r="H576" s="12">
        <v>1.8881134410087901</v>
      </c>
      <c r="I576" s="20">
        <v>3.3282847097698101</v>
      </c>
      <c r="J576" s="28">
        <v>8.7382514482559504E-4</v>
      </c>
      <c r="K576" s="29">
        <v>3.5175267937874899E-2</v>
      </c>
    </row>
    <row r="577" spans="1:11" x14ac:dyDescent="0.35">
      <c r="A577" s="9" t="str">
        <f>HYPERLINK("http://www.ensembl.org/id/WBGene00010514", "WBGene00010514")</f>
        <v>WBGene00010514</v>
      </c>
      <c r="B577" s="9" t="str">
        <f>HYPERLINK("http://www.ncbi.nlm.nih.gov/gene/186896", "186896")</f>
        <v>186896</v>
      </c>
      <c r="C577" s="9"/>
      <c r="D577" t="str">
        <f>"K02E11.5"</f>
        <v>K02E11.5</v>
      </c>
      <c r="F577" t="s">
        <v>11</v>
      </c>
      <c r="H577" s="12">
        <v>2.2348534286238602</v>
      </c>
      <c r="I577" s="20">
        <v>3.3272768885234498</v>
      </c>
      <c r="J577" s="28">
        <v>8.7699185309659795E-4</v>
      </c>
      <c r="K577" s="29">
        <v>3.5241345665478201E-2</v>
      </c>
    </row>
    <row r="578" spans="1:11" x14ac:dyDescent="0.35">
      <c r="A578" s="9" t="str">
        <f>HYPERLINK("http://www.ensembl.org/id/WBGene00016824", "WBGene00016824")</f>
        <v>WBGene00016824</v>
      </c>
      <c r="B578" s="9" t="str">
        <f>HYPERLINK("http://www.ncbi.nlm.nih.gov/gene/179145", "179145")</f>
        <v>179145</v>
      </c>
      <c r="C578" s="9"/>
      <c r="D578" t="str">
        <f>"C50E3.13"</f>
        <v>C50E3.13</v>
      </c>
      <c r="F578" t="s">
        <v>11</v>
      </c>
      <c r="H578" s="12">
        <v>-2.3671801672897899</v>
      </c>
      <c r="I578" s="20">
        <v>-3.3255878763597999</v>
      </c>
      <c r="J578" s="28">
        <v>8.8232282072102505E-4</v>
      </c>
      <c r="K578" s="29">
        <v>3.53326708762218E-2</v>
      </c>
    </row>
    <row r="579" spans="1:11" x14ac:dyDescent="0.35">
      <c r="A579" s="9" t="str">
        <f>HYPERLINK("http://www.ensembl.org/id/WBGene00010062", "WBGene00010062")</f>
        <v>WBGene00010062</v>
      </c>
      <c r="B579" s="9" t="str">
        <f>HYPERLINK("http://www.ncbi.nlm.nih.gov/gene/179771", "179771")</f>
        <v>179771</v>
      </c>
      <c r="C579" s="9" t="str">
        <f>HYPERLINK("http://www.ncbi.nlm.nih.gov/gene/3988", "3988")</f>
        <v>3988</v>
      </c>
      <c r="D579" t="str">
        <f>"lipl-1"</f>
        <v>lipl-1</v>
      </c>
      <c r="E579" t="s">
        <v>18</v>
      </c>
      <c r="F579" t="s">
        <v>11</v>
      </c>
      <c r="G579" t="s">
        <v>209</v>
      </c>
      <c r="H579" s="12">
        <v>-2.9591251276250299</v>
      </c>
      <c r="I579" s="20">
        <v>-3.3260189180832902</v>
      </c>
      <c r="J579" s="28">
        <v>8.8095949172713E-4</v>
      </c>
      <c r="K579" s="29">
        <v>3.53326708762218E-2</v>
      </c>
    </row>
    <row r="580" spans="1:11" x14ac:dyDescent="0.35">
      <c r="A580" s="9" t="str">
        <f>HYPERLINK("http://www.ensembl.org/id/WBGene00017331", "WBGene00017331")</f>
        <v>WBGene00017331</v>
      </c>
      <c r="B580" s="9" t="str">
        <f>HYPERLINK("http://www.ncbi.nlm.nih.gov/gene/184292", "184292")</f>
        <v>184292</v>
      </c>
      <c r="C580" s="9"/>
      <c r="D580" t="str">
        <f>"ugt-40"</f>
        <v>ugt-40</v>
      </c>
      <c r="E580" t="s">
        <v>103</v>
      </c>
      <c r="F580" t="s">
        <v>11</v>
      </c>
      <c r="G580" t="s">
        <v>104</v>
      </c>
      <c r="H580" s="12">
        <v>6.4373368590806104</v>
      </c>
      <c r="I580" s="20">
        <v>3.3179566369192401</v>
      </c>
      <c r="J580" s="28">
        <v>9.0678560825337303E-4</v>
      </c>
      <c r="K580" s="29">
        <v>3.6249460664883097E-2</v>
      </c>
    </row>
    <row r="581" spans="1:11" x14ac:dyDescent="0.35">
      <c r="A581" s="9" t="str">
        <f>HYPERLINK("http://www.ensembl.org/id/WBGene00022680", "WBGene00022680")</f>
        <v>WBGene00022680</v>
      </c>
      <c r="B581" s="9" t="str">
        <f>HYPERLINK("http://www.ncbi.nlm.nih.gov/gene/177219", "177219")</f>
        <v>177219</v>
      </c>
      <c r="C581" s="9"/>
      <c r="D581" t="str">
        <f>"ZK180.6"</f>
        <v>ZK180.6</v>
      </c>
      <c r="F581" t="s">
        <v>11</v>
      </c>
      <c r="H581" s="12">
        <v>3.7389914268725102</v>
      </c>
      <c r="I581" s="20">
        <v>3.31432744619765</v>
      </c>
      <c r="J581" s="28">
        <v>9.1863859728003895E-4</v>
      </c>
      <c r="K581" s="29">
        <v>3.6659867752595103E-2</v>
      </c>
    </row>
    <row r="582" spans="1:11" x14ac:dyDescent="0.35">
      <c r="A582" s="9" t="str">
        <f>HYPERLINK("http://www.ensembl.org/id/WBGene00008968", "WBGene00008968")</f>
        <v>WBGene00008968</v>
      </c>
      <c r="B582" s="9" t="str">
        <f>HYPERLINK("http://www.ncbi.nlm.nih.gov/gene/184716", "184716")</f>
        <v>184716</v>
      </c>
      <c r="C582" s="9"/>
      <c r="D582" t="str">
        <f>"elli-1"</f>
        <v>elli-1</v>
      </c>
      <c r="E582" t="s">
        <v>508</v>
      </c>
      <c r="F582" t="s">
        <v>11</v>
      </c>
      <c r="G582" t="s">
        <v>509</v>
      </c>
      <c r="H582" s="12">
        <v>-2.0388019361777499</v>
      </c>
      <c r="I582" s="20">
        <v>-3.3118237848201</v>
      </c>
      <c r="J582" s="28">
        <v>9.2689910230281598E-4</v>
      </c>
      <c r="K582" s="29">
        <v>3.6925742513463602E-2</v>
      </c>
    </row>
    <row r="583" spans="1:11" x14ac:dyDescent="0.35">
      <c r="A583" s="9" t="str">
        <f>HYPERLINK("http://www.ensembl.org/id/WBGene00019109", "WBGene00019109")</f>
        <v>WBGene00019109</v>
      </c>
      <c r="B583" s="9" t="str">
        <f>HYPERLINK("http://www.ncbi.nlm.nih.gov/gene/186621", "186621")</f>
        <v>186621</v>
      </c>
      <c r="C583" s="9" t="str">
        <f>HYPERLINK("http://www.ncbi.nlm.nih.gov/gene/115817", "115817")</f>
        <v>115817</v>
      </c>
      <c r="D583" t="str">
        <f>"F59E11.2"</f>
        <v>F59E11.2</v>
      </c>
      <c r="F583" t="s">
        <v>11</v>
      </c>
      <c r="G583" t="s">
        <v>489</v>
      </c>
      <c r="H583" s="12">
        <v>2.6677824224699198</v>
      </c>
      <c r="I583" s="20">
        <v>3.31130704923671</v>
      </c>
      <c r="J583" s="28">
        <v>9.2861254959609703E-4</v>
      </c>
      <c r="K583" s="29">
        <v>3.69303297262778E-2</v>
      </c>
    </row>
    <row r="584" spans="1:11" x14ac:dyDescent="0.35">
      <c r="A584" s="9" t="str">
        <f>HYPERLINK("http://www.ensembl.org/id/WBGene00015044", "WBGene00015044")</f>
        <v>WBGene00015044</v>
      </c>
      <c r="B584" s="9" t="str">
        <f>HYPERLINK("http://www.ncbi.nlm.nih.gov/gene/181851", "181851")</f>
        <v>181851</v>
      </c>
      <c r="C584" s="9"/>
      <c r="D584" t="str">
        <f>"cyp-34A9"</f>
        <v>cyp-34A9</v>
      </c>
      <c r="E584" t="s">
        <v>176</v>
      </c>
      <c r="F584" t="s">
        <v>11</v>
      </c>
      <c r="G584" t="s">
        <v>438</v>
      </c>
      <c r="H584" s="12">
        <v>-2.7814155320015299</v>
      </c>
      <c r="I584" s="20">
        <v>-3.3104218384907398</v>
      </c>
      <c r="J584" s="28">
        <v>9.3155464790554401E-4</v>
      </c>
      <c r="K584" s="29">
        <v>3.6983679887466502E-2</v>
      </c>
    </row>
    <row r="585" spans="1:11" x14ac:dyDescent="0.35">
      <c r="A585" s="9" t="str">
        <f>HYPERLINK("http://www.ensembl.org/id/WBGene00001571", "WBGene00001571")</f>
        <v>WBGene00001571</v>
      </c>
      <c r="B585" s="9" t="str">
        <f>HYPERLINK("http://www.ncbi.nlm.nih.gov/gene/174328", "174328")</f>
        <v>174328</v>
      </c>
      <c r="C585" s="9"/>
      <c r="D585" t="str">
        <f>"gei-14"</f>
        <v>gei-14</v>
      </c>
      <c r="E585" t="s">
        <v>510</v>
      </c>
      <c r="F585" t="s">
        <v>11</v>
      </c>
      <c r="H585" s="12">
        <v>-2.0694045777000398</v>
      </c>
      <c r="I585" s="20">
        <v>-3.30946004731969</v>
      </c>
      <c r="J585" s="28">
        <v>9.3476105766920697E-4</v>
      </c>
      <c r="K585" s="29">
        <v>3.7047322467418001E-2</v>
      </c>
    </row>
    <row r="586" spans="1:11" x14ac:dyDescent="0.35">
      <c r="A586" s="9" t="str">
        <f>HYPERLINK("http://www.ensembl.org/id/WBGene00001413", "WBGene00001413")</f>
        <v>WBGene00001413</v>
      </c>
      <c r="B586" s="9" t="str">
        <f>HYPERLINK("http://www.ncbi.nlm.nih.gov/gene/177734", "177734")</f>
        <v>177734</v>
      </c>
      <c r="C586" s="9"/>
      <c r="D586" t="str">
        <f>"fem-3"</f>
        <v>fem-3</v>
      </c>
      <c r="E586" t="s">
        <v>511</v>
      </c>
      <c r="F586" t="s">
        <v>11</v>
      </c>
      <c r="G586" t="s">
        <v>512</v>
      </c>
      <c r="H586" s="12">
        <v>-2.1028507365397302</v>
      </c>
      <c r="I586" s="20">
        <v>-3.3089066920939199</v>
      </c>
      <c r="J586" s="28">
        <v>9.36610458374781E-4</v>
      </c>
      <c r="K586" s="29">
        <v>3.7057056936999497E-2</v>
      </c>
    </row>
    <row r="587" spans="1:11" x14ac:dyDescent="0.35">
      <c r="A587" s="9" t="str">
        <f>HYPERLINK("http://www.ensembl.org/id/WBGene00008170", "WBGene00008170")</f>
        <v>WBGene00008170</v>
      </c>
      <c r="B587" s="9" t="str">
        <f>HYPERLINK("http://www.ncbi.nlm.nih.gov/gene/176350", "176350")</f>
        <v>176350</v>
      </c>
      <c r="C587" s="9"/>
      <c r="D587" t="str">
        <f>"C48B4.7"</f>
        <v>C48B4.7</v>
      </c>
      <c r="F587" t="s">
        <v>11</v>
      </c>
      <c r="H587" s="12">
        <v>-2.56567822421979</v>
      </c>
      <c r="I587" s="20">
        <v>-3.3038162888213001</v>
      </c>
      <c r="J587" s="28">
        <v>9.5378311783255495E-4</v>
      </c>
      <c r="K587" s="29">
        <v>3.7627203547399402E-2</v>
      </c>
    </row>
    <row r="588" spans="1:11" x14ac:dyDescent="0.35">
      <c r="A588" s="9" t="str">
        <f>HYPERLINK("http://www.ensembl.org/id/WBGene00001985", "WBGene00001985")</f>
        <v>WBGene00001985</v>
      </c>
      <c r="B588" s="9" t="str">
        <f>HYPERLINK("http://www.ncbi.nlm.nih.gov/gene/172017", "172017")</f>
        <v>172017</v>
      </c>
      <c r="C588" s="9"/>
      <c r="D588" t="str">
        <f>"hop-1"</f>
        <v>hop-1</v>
      </c>
      <c r="E588" t="s">
        <v>513</v>
      </c>
      <c r="F588" t="s">
        <v>11</v>
      </c>
      <c r="G588" t="s">
        <v>514</v>
      </c>
      <c r="H588" s="12">
        <v>-2.3897314252827901</v>
      </c>
      <c r="I588" s="20">
        <v>-3.30319286426572</v>
      </c>
      <c r="J588" s="28">
        <v>9.5590619243155199E-4</v>
      </c>
      <c r="K588" s="29">
        <v>3.7627203547399402E-2</v>
      </c>
    </row>
    <row r="589" spans="1:11" x14ac:dyDescent="0.35">
      <c r="A589" s="9" t="str">
        <f>HYPERLINK("http://www.ensembl.org/id/WBGene00018992", "WBGene00018992")</f>
        <v>WBGene00018992</v>
      </c>
      <c r="B589" s="9"/>
      <c r="C589" s="9"/>
      <c r="D589" t="str">
        <f>"trpl-1"</f>
        <v>trpl-1</v>
      </c>
      <c r="F589" t="s">
        <v>80</v>
      </c>
      <c r="H589" s="12">
        <v>2.3661623476084501</v>
      </c>
      <c r="I589" s="20">
        <v>3.3033714919266499</v>
      </c>
      <c r="J589" s="28">
        <v>9.5529742829381103E-4</v>
      </c>
      <c r="K589" s="29">
        <v>3.7627203547399402E-2</v>
      </c>
    </row>
    <row r="590" spans="1:11" x14ac:dyDescent="0.35">
      <c r="A590" s="9" t="str">
        <f>HYPERLINK("http://www.ensembl.org/id/WBGene00000138", "WBGene00000138")</f>
        <v>WBGene00000138</v>
      </c>
      <c r="B590" s="9" t="str">
        <f>HYPERLINK("http://www.ncbi.nlm.nih.gov/gene/173146", "173146")</f>
        <v>173146</v>
      </c>
      <c r="C590" s="9"/>
      <c r="D590" t="str">
        <f>"amx-2"</f>
        <v>amx-2</v>
      </c>
      <c r="E590" t="s">
        <v>515</v>
      </c>
      <c r="F590" t="s">
        <v>11</v>
      </c>
      <c r="G590" t="s">
        <v>516</v>
      </c>
      <c r="H590" s="12">
        <v>1.94084666767279</v>
      </c>
      <c r="I590" s="20">
        <v>3.3009589914406998</v>
      </c>
      <c r="J590" s="28">
        <v>9.6354964983785504E-4</v>
      </c>
      <c r="K590" s="29">
        <v>3.7799283886508397E-2</v>
      </c>
    </row>
    <row r="591" spans="1:11" x14ac:dyDescent="0.35">
      <c r="A591" s="9" t="str">
        <f>HYPERLINK("http://www.ensembl.org/id/WBGene00010064", "WBGene00010064")</f>
        <v>WBGene00010064</v>
      </c>
      <c r="B591" s="9" t="str">
        <f>HYPERLINK("http://www.ncbi.nlm.nih.gov/gene/186253", "186253")</f>
        <v>186253</v>
      </c>
      <c r="C591" s="9"/>
      <c r="D591" t="str">
        <f>"F54F7.2"</f>
        <v>F54F7.2</v>
      </c>
      <c r="F591" t="s">
        <v>11</v>
      </c>
      <c r="H591" s="12">
        <v>-2.3047414426044401</v>
      </c>
      <c r="I591" s="20">
        <v>-3.3010964473206199</v>
      </c>
      <c r="J591" s="28">
        <v>9.6307769895216395E-4</v>
      </c>
      <c r="K591" s="29">
        <v>3.7799283886508397E-2</v>
      </c>
    </row>
    <row r="592" spans="1:11" x14ac:dyDescent="0.35">
      <c r="A592" s="9" t="str">
        <f>HYPERLINK("http://www.ensembl.org/id/WBGene00003031", "WBGene00003031")</f>
        <v>WBGene00003031</v>
      </c>
      <c r="B592" s="9" t="str">
        <f>HYPERLINK("http://www.ncbi.nlm.nih.gov/gene/179782", "179782")</f>
        <v>179782</v>
      </c>
      <c r="C592" s="9"/>
      <c r="D592" t="str">
        <f>"lin-46"</f>
        <v>lin-46</v>
      </c>
      <c r="E592" t="s">
        <v>517</v>
      </c>
      <c r="F592" t="s">
        <v>11</v>
      </c>
      <c r="G592" t="s">
        <v>518</v>
      </c>
      <c r="H592" s="12">
        <v>2.2923971325438801</v>
      </c>
      <c r="I592" s="20">
        <v>3.2998763495057601</v>
      </c>
      <c r="J592" s="28">
        <v>9.6727436469213398E-4</v>
      </c>
      <c r="K592" s="29">
        <v>3.78810872382652E-2</v>
      </c>
    </row>
    <row r="593" spans="1:11" x14ac:dyDescent="0.35">
      <c r="A593" s="9" t="str">
        <f>HYPERLINK("http://www.ensembl.org/id/WBGene00019156", "WBGene00019156")</f>
        <v>WBGene00019156</v>
      </c>
      <c r="B593" s="9" t="str">
        <f>HYPERLINK("http://www.ncbi.nlm.nih.gov/gene/186690", "186690")</f>
        <v>186690</v>
      </c>
      <c r="C593" s="9"/>
      <c r="D593" t="str">
        <f>"H04M03.12"</f>
        <v>H04M03.12</v>
      </c>
      <c r="F593" t="s">
        <v>11</v>
      </c>
      <c r="G593" t="s">
        <v>25</v>
      </c>
      <c r="H593" s="12">
        <v>2.2296751817521598</v>
      </c>
      <c r="I593" s="20">
        <v>3.2986152893982599</v>
      </c>
      <c r="J593" s="28">
        <v>9.7162971835349898E-4</v>
      </c>
      <c r="K593" s="29">
        <v>3.7923101811276901E-2</v>
      </c>
    </row>
    <row r="594" spans="1:11" x14ac:dyDescent="0.35">
      <c r="A594" s="9" t="str">
        <f>HYPERLINK("http://www.ensembl.org/id/WBGene00022586", "WBGene00022586")</f>
        <v>WBGene00022586</v>
      </c>
      <c r="B594" s="9" t="str">
        <f>HYPERLINK("http://www.ncbi.nlm.nih.gov/gene/172336", "172336")</f>
        <v>172336</v>
      </c>
      <c r="C594" s="9"/>
      <c r="D594" t="str">
        <f>"ZC308.4"</f>
        <v>ZC308.4</v>
      </c>
      <c r="F594" t="s">
        <v>11</v>
      </c>
      <c r="H594" s="12">
        <v>-1.9894255024688701</v>
      </c>
      <c r="I594" s="20">
        <v>-3.2989563424575201</v>
      </c>
      <c r="J594" s="28">
        <v>9.7045002701144504E-4</v>
      </c>
      <c r="K594" s="29">
        <v>3.7923101811276901E-2</v>
      </c>
    </row>
    <row r="595" spans="1:11" x14ac:dyDescent="0.35">
      <c r="A595" s="9" t="str">
        <f>HYPERLINK("http://www.ensembl.org/id/WBGene00007818", "WBGene00007818")</f>
        <v>WBGene00007818</v>
      </c>
      <c r="B595" s="9" t="str">
        <f>HYPERLINK("http://www.ncbi.nlm.nih.gov/gene/3565278", "3565278")</f>
        <v>3565278</v>
      </c>
      <c r="C595" s="9"/>
      <c r="D595" t="str">
        <f>"C30F2.4"</f>
        <v>C30F2.4</v>
      </c>
      <c r="F595" t="s">
        <v>11</v>
      </c>
      <c r="H595" s="12">
        <v>4.7488637899627602</v>
      </c>
      <c r="I595" s="20">
        <v>3.2821020230046298</v>
      </c>
      <c r="J595" s="28">
        <v>1.03036317996799E-3</v>
      </c>
      <c r="K595" s="29">
        <v>4.0012725439227501E-2</v>
      </c>
    </row>
    <row r="596" spans="1:11" x14ac:dyDescent="0.35">
      <c r="A596" s="9" t="str">
        <f>HYPERLINK("http://www.ensembl.org/id/WBGene00016417", "WBGene00016417")</f>
        <v>WBGene00016417</v>
      </c>
      <c r="B596" s="9" t="str">
        <f>HYPERLINK("http://www.ncbi.nlm.nih.gov/gene/173892", "173892")</f>
        <v>173892</v>
      </c>
      <c r="C596" s="9"/>
      <c r="D596" t="str">
        <f>"C34F11.8"</f>
        <v>C34F11.8</v>
      </c>
      <c r="F596" t="s">
        <v>11</v>
      </c>
      <c r="H596" s="12">
        <v>2.2260040277851001</v>
      </c>
      <c r="I596" s="20">
        <v>3.2824202285865698</v>
      </c>
      <c r="J596" s="28">
        <v>1.02920101188507E-3</v>
      </c>
      <c r="K596" s="29">
        <v>4.0012725439227501E-2</v>
      </c>
    </row>
    <row r="597" spans="1:11" x14ac:dyDescent="0.35">
      <c r="A597" s="9" t="str">
        <f>HYPERLINK("http://www.ensembl.org/id/WBGene00000713", "WBGene00000713")</f>
        <v>WBGene00000713</v>
      </c>
      <c r="B597" s="9" t="str">
        <f>HYPERLINK("http://www.ncbi.nlm.nih.gov/gene/178971", "178971")</f>
        <v>178971</v>
      </c>
      <c r="C597" s="9"/>
      <c r="D597" t="str">
        <f>"col-140"</f>
        <v>col-140</v>
      </c>
      <c r="E597" t="s">
        <v>40</v>
      </c>
      <c r="F597" t="s">
        <v>11</v>
      </c>
      <c r="G597" t="s">
        <v>152</v>
      </c>
      <c r="H597" s="12">
        <v>1.88935006884496</v>
      </c>
      <c r="I597" s="20">
        <v>3.2825560375435199</v>
      </c>
      <c r="J597" s="28">
        <v>1.02870537234351E-3</v>
      </c>
      <c r="K597" s="29">
        <v>4.0012725439227501E-2</v>
      </c>
    </row>
    <row r="598" spans="1:11" x14ac:dyDescent="0.35">
      <c r="A598" s="9" t="str">
        <f>HYPERLINK("http://www.ensembl.org/id/WBGene00003549", "WBGene00003549")</f>
        <v>WBGene00003549</v>
      </c>
      <c r="B598" s="9" t="str">
        <f>HYPERLINK("http://www.ncbi.nlm.nih.gov/gene/186493", "186493")</f>
        <v>186493</v>
      </c>
      <c r="C598" s="9"/>
      <c r="D598" t="str">
        <f>"nas-31"</f>
        <v>nas-31</v>
      </c>
      <c r="E598" t="s">
        <v>519</v>
      </c>
      <c r="F598" t="s">
        <v>11</v>
      </c>
      <c r="G598" t="s">
        <v>267</v>
      </c>
      <c r="H598" s="12">
        <v>2.7727819170529902</v>
      </c>
      <c r="I598" s="20">
        <v>3.27894926048099</v>
      </c>
      <c r="J598" s="28">
        <v>1.04194368155791E-3</v>
      </c>
      <c r="K598" s="29">
        <v>4.0394548164558897E-2</v>
      </c>
    </row>
    <row r="599" spans="1:11" x14ac:dyDescent="0.35">
      <c r="A599" s="9" t="str">
        <f>HYPERLINK("http://www.ensembl.org/id/WBGene00018334", "WBGene00018334")</f>
        <v>WBGene00018334</v>
      </c>
      <c r="B599" s="9" t="str">
        <f>HYPERLINK("http://www.ncbi.nlm.nih.gov/gene/185653", "185653")</f>
        <v>185653</v>
      </c>
      <c r="C599" s="9" t="str">
        <f>HYPERLINK("http://www.ncbi.nlm.nih.gov/gene/1573", "1573")</f>
        <v>1573</v>
      </c>
      <c r="D599" t="str">
        <f>"cyp-33E2"</f>
        <v>cyp-33E2</v>
      </c>
      <c r="E599" t="s">
        <v>176</v>
      </c>
      <c r="F599" t="s">
        <v>11</v>
      </c>
      <c r="G599" t="s">
        <v>520</v>
      </c>
      <c r="H599" s="12">
        <v>2.1779646607322798</v>
      </c>
      <c r="I599" s="20">
        <v>3.2779207857819199</v>
      </c>
      <c r="J599" s="28">
        <v>1.04574737702495E-3</v>
      </c>
      <c r="K599" s="29">
        <v>4.0474101999226901E-2</v>
      </c>
    </row>
    <row r="600" spans="1:11" x14ac:dyDescent="0.35">
      <c r="A600" s="9" t="str">
        <f>HYPERLINK("http://www.ensembl.org/id/WBGene00007985", "WBGene00007985")</f>
        <v>WBGene00007985</v>
      </c>
      <c r="B600" s="9" t="str">
        <f>HYPERLINK("http://www.ncbi.nlm.nih.gov/gene/172790", "172790")</f>
        <v>172790</v>
      </c>
      <c r="C600" s="9"/>
      <c r="D600" t="str">
        <f>"swah-1"</f>
        <v>swah-1</v>
      </c>
      <c r="E600" t="s">
        <v>521</v>
      </c>
      <c r="F600" t="s">
        <v>11</v>
      </c>
      <c r="G600" t="s">
        <v>522</v>
      </c>
      <c r="H600" s="12">
        <v>-2.2983664846998</v>
      </c>
      <c r="I600" s="20">
        <v>-3.27683196100087</v>
      </c>
      <c r="J600" s="28">
        <v>1.04978826875613E-3</v>
      </c>
      <c r="K600" s="29">
        <v>4.0562554745617201E-2</v>
      </c>
    </row>
    <row r="601" spans="1:11" x14ac:dyDescent="0.35">
      <c r="A601" s="9" t="str">
        <f>HYPERLINK("http://www.ensembl.org/id/WBGene00011108", "WBGene00011108")</f>
        <v>WBGene00011108</v>
      </c>
      <c r="B601" s="9" t="str">
        <f>HYPERLINK("http://www.ncbi.nlm.nih.gov/gene/187679", "187679")</f>
        <v>187679</v>
      </c>
      <c r="C601" s="9"/>
      <c r="D601" t="str">
        <f>"R07E3.7"</f>
        <v>R07E3.7</v>
      </c>
      <c r="F601" t="s">
        <v>11</v>
      </c>
      <c r="G601" t="s">
        <v>25</v>
      </c>
      <c r="H601" s="12">
        <v>2.1338606047095698</v>
      </c>
      <c r="I601" s="20">
        <v>3.2689517575211302</v>
      </c>
      <c r="J601" s="28">
        <v>1.0794670459899E-3</v>
      </c>
      <c r="K601" s="29">
        <v>4.1639675400071199E-2</v>
      </c>
    </row>
    <row r="602" spans="1:11" x14ac:dyDescent="0.35">
      <c r="A602" s="9" t="str">
        <f>HYPERLINK("http://www.ensembl.org/id/WBGene00007965", "WBGene00007965")</f>
        <v>WBGene00007965</v>
      </c>
      <c r="B602" s="9" t="str">
        <f>HYPERLINK("http://www.ncbi.nlm.nih.gov/gene/175497", "175497")</f>
        <v>175497</v>
      </c>
      <c r="C602" s="9"/>
      <c r="D602" t="str">
        <f>"C36A4.4"</f>
        <v>C36A4.4</v>
      </c>
      <c r="E602" t="s">
        <v>523</v>
      </c>
      <c r="F602" t="s">
        <v>11</v>
      </c>
      <c r="G602" t="s">
        <v>524</v>
      </c>
      <c r="H602" s="12">
        <v>-1.8927232805446801</v>
      </c>
      <c r="I602" s="20">
        <v>-3.2664628828581699</v>
      </c>
      <c r="J602" s="28">
        <v>1.0890008283119699E-3</v>
      </c>
      <c r="K602" s="29">
        <v>4.1816411947589498E-2</v>
      </c>
    </row>
    <row r="603" spans="1:11" x14ac:dyDescent="0.35">
      <c r="A603" s="9" t="str">
        <f>HYPERLINK("http://www.ensembl.org/id/WBGene00019153", "WBGene00019153")</f>
        <v>WBGene00019153</v>
      </c>
      <c r="B603" s="9" t="str">
        <f>HYPERLINK("http://www.ncbi.nlm.nih.gov/gene/177359", "177359")</f>
        <v>177359</v>
      </c>
      <c r="C603" s="9"/>
      <c r="D603" t="str">
        <f>"H04M03.3"</f>
        <v>H04M03.3</v>
      </c>
      <c r="F603" t="s">
        <v>11</v>
      </c>
      <c r="G603" t="s">
        <v>489</v>
      </c>
      <c r="H603" s="12">
        <v>-2.3344159965562699</v>
      </c>
      <c r="I603" s="20">
        <v>-3.2663869182524898</v>
      </c>
      <c r="J603" s="28">
        <v>1.0892930362397101E-3</v>
      </c>
      <c r="K603" s="29">
        <v>4.1816411947589498E-2</v>
      </c>
    </row>
    <row r="604" spans="1:11" x14ac:dyDescent="0.35">
      <c r="A604" s="9" t="str">
        <f>HYPERLINK("http://www.ensembl.org/id/WBGene00004227", "WBGene00004227")</f>
        <v>WBGene00004227</v>
      </c>
      <c r="B604" s="9" t="str">
        <f>HYPERLINK("http://www.ncbi.nlm.nih.gov/gene/191748", "191748")</f>
        <v>191748</v>
      </c>
      <c r="C604" s="9"/>
      <c r="D604" t="str">
        <f>"ptr-13"</f>
        <v>ptr-13</v>
      </c>
      <c r="E604" t="s">
        <v>134</v>
      </c>
      <c r="F604" t="s">
        <v>11</v>
      </c>
      <c r="G604" t="s">
        <v>404</v>
      </c>
      <c r="H604" s="12">
        <v>2.12559116596527</v>
      </c>
      <c r="I604" s="20">
        <v>3.2663388285027102</v>
      </c>
      <c r="J604" s="28">
        <v>1.08947805732056E-3</v>
      </c>
      <c r="K604" s="29">
        <v>4.1816411947589498E-2</v>
      </c>
    </row>
    <row r="605" spans="1:11" x14ac:dyDescent="0.35">
      <c r="A605" s="9" t="str">
        <f>HYPERLINK("http://www.ensembl.org/id/WBGene00011321", "WBGene00011321")</f>
        <v>WBGene00011321</v>
      </c>
      <c r="B605" s="9" t="str">
        <f>HYPERLINK("http://www.ncbi.nlm.nih.gov/gene/187940", "187940")</f>
        <v>187940</v>
      </c>
      <c r="C605" s="9"/>
      <c r="D605" t="str">
        <f>"fil-1"</f>
        <v>fil-1</v>
      </c>
      <c r="E605" t="s">
        <v>525</v>
      </c>
      <c r="F605" t="s">
        <v>11</v>
      </c>
      <c r="G605" t="s">
        <v>431</v>
      </c>
      <c r="H605" s="12">
        <v>-4.2825909238583897</v>
      </c>
      <c r="I605" s="20">
        <v>-3.2575051400025701</v>
      </c>
      <c r="J605" s="28">
        <v>1.1239622282645701E-3</v>
      </c>
      <c r="K605" s="29">
        <v>4.3068443194496098E-2</v>
      </c>
    </row>
    <row r="606" spans="1:11" x14ac:dyDescent="0.35">
      <c r="A606" s="9" t="str">
        <f>HYPERLINK("http://www.ensembl.org/id/WBGene00011870", "WBGene00011870")</f>
        <v>WBGene00011870</v>
      </c>
      <c r="B606" s="9" t="str">
        <f>HYPERLINK("http://www.ncbi.nlm.nih.gov/gene/188660", "188660")</f>
        <v>188660</v>
      </c>
      <c r="C606" s="9"/>
      <c r="D606" t="str">
        <f>"T20G5.8"</f>
        <v>T20G5.8</v>
      </c>
      <c r="F606" t="s">
        <v>11</v>
      </c>
      <c r="H606" s="12">
        <v>3.9230033962616799</v>
      </c>
      <c r="I606" s="20">
        <v>3.2568116484512699</v>
      </c>
      <c r="J606" s="28">
        <v>1.12671169641834E-3</v>
      </c>
      <c r="K606" s="29">
        <v>4.3102318638149402E-2</v>
      </c>
    </row>
    <row r="607" spans="1:11" x14ac:dyDescent="0.35">
      <c r="A607" s="9" t="str">
        <f>HYPERLINK("http://www.ensembl.org/id/WBGene00000630", "WBGene00000630")</f>
        <v>WBGene00000630</v>
      </c>
      <c r="B607" s="9" t="str">
        <f>HYPERLINK("http://www.ncbi.nlm.nih.gov/gene/172222", "172222")</f>
        <v>172222</v>
      </c>
      <c r="C607" s="9"/>
      <c r="D607" t="str">
        <f>"col-53"</f>
        <v>col-53</v>
      </c>
      <c r="E607" t="s">
        <v>40</v>
      </c>
      <c r="F607" t="s">
        <v>11</v>
      </c>
      <c r="G607" t="s">
        <v>52</v>
      </c>
      <c r="H607" s="12">
        <v>2.9273065263505198</v>
      </c>
      <c r="I607" s="20">
        <v>3.2555293696571499</v>
      </c>
      <c r="J607" s="28">
        <v>1.13181189866506E-3</v>
      </c>
      <c r="K607" s="29">
        <v>4.3205568376123799E-2</v>
      </c>
    </row>
    <row r="608" spans="1:11" x14ac:dyDescent="0.35">
      <c r="A608" s="9" t="str">
        <f>HYPERLINK("http://www.ensembl.org/id/WBGene00013859", "WBGene00013859")</f>
        <v>WBGene00013859</v>
      </c>
      <c r="B608" s="9" t="str">
        <f>HYPERLINK("http://www.ncbi.nlm.nih.gov/gene/172895", "172895")</f>
        <v>172895</v>
      </c>
      <c r="C608" s="9"/>
      <c r="D608" t="str">
        <f>"ZC247.1"</f>
        <v>ZC247.1</v>
      </c>
      <c r="F608" t="s">
        <v>11</v>
      </c>
      <c r="G608" t="s">
        <v>526</v>
      </c>
      <c r="H608" s="12">
        <v>1.8972562053319</v>
      </c>
      <c r="I608" s="20">
        <v>3.2551937182630799</v>
      </c>
      <c r="J608" s="28">
        <v>1.13315045598247E-3</v>
      </c>
      <c r="K608" s="29">
        <v>4.3205568376123799E-2</v>
      </c>
    </row>
    <row r="609" spans="1:11" x14ac:dyDescent="0.35">
      <c r="A609" s="9" t="str">
        <f>HYPERLINK("http://www.ensembl.org/id/WBGene00017576", "WBGene00017576")</f>
        <v>WBGene00017576</v>
      </c>
      <c r="B609" s="9" t="str">
        <f>HYPERLINK("http://www.ncbi.nlm.nih.gov/gene/184652", "184652")</f>
        <v>184652</v>
      </c>
      <c r="C609" s="9"/>
      <c r="D609" t="str">
        <f>"cdh-8"</f>
        <v>cdh-8</v>
      </c>
      <c r="E609" t="s">
        <v>527</v>
      </c>
      <c r="F609" t="s">
        <v>11</v>
      </c>
      <c r="G609" t="s">
        <v>528</v>
      </c>
      <c r="H609" s="12">
        <v>2.0663609098794899</v>
      </c>
      <c r="I609" s="20">
        <v>3.2543381593459602</v>
      </c>
      <c r="J609" s="28">
        <v>1.1365689948953899E-3</v>
      </c>
      <c r="K609" s="29">
        <v>4.3264519268621099E-2</v>
      </c>
    </row>
    <row r="610" spans="1:11" x14ac:dyDescent="0.35">
      <c r="A610" s="9" t="str">
        <f>HYPERLINK("http://www.ensembl.org/id/WBGene00003876", "WBGene00003876")</f>
        <v>WBGene00003876</v>
      </c>
      <c r="B610" s="9" t="str">
        <f>HYPERLINK("http://www.ncbi.nlm.nih.gov/gene/177973", "177973")</f>
        <v>177973</v>
      </c>
      <c r="C610" s="9" t="str">
        <f>HYPERLINK("http://www.ncbi.nlm.nih.gov/gene/6564", "6564")</f>
        <v>6564</v>
      </c>
      <c r="D610" t="str">
        <f>"pept-2"</f>
        <v>pept-2</v>
      </c>
      <c r="E610" t="s">
        <v>529</v>
      </c>
      <c r="F610" t="s">
        <v>11</v>
      </c>
      <c r="G610" t="s">
        <v>530</v>
      </c>
      <c r="H610" s="12">
        <v>1.80160733343919</v>
      </c>
      <c r="I610" s="20">
        <v>3.2489487425214101</v>
      </c>
      <c r="J610" s="28">
        <v>1.1583234839470399E-3</v>
      </c>
      <c r="K610" s="29">
        <v>4.4020102664606001E-2</v>
      </c>
    </row>
    <row r="611" spans="1:11" x14ac:dyDescent="0.35">
      <c r="A611" s="9" t="str">
        <f>HYPERLINK("http://www.ensembl.org/id/WBGene00050906", "WBGene00050906")</f>
        <v>WBGene00050906</v>
      </c>
      <c r="B611" s="9" t="str">
        <f>HYPERLINK("http://www.ncbi.nlm.nih.gov/gene/6418731", "6418731")</f>
        <v>6418731</v>
      </c>
      <c r="C611" s="9"/>
      <c r="D611" t="str">
        <f>"F20E11.17"</f>
        <v>F20E11.17</v>
      </c>
      <c r="F611" t="s">
        <v>11</v>
      </c>
      <c r="H611" s="12">
        <v>-39.539885738128902</v>
      </c>
      <c r="I611" s="20">
        <v>-3.2483457904219701</v>
      </c>
      <c r="J611" s="28">
        <v>1.1607811005447601E-3</v>
      </c>
      <c r="K611" s="29">
        <v>4.4041064218698203E-2</v>
      </c>
    </row>
    <row r="612" spans="1:11" x14ac:dyDescent="0.35">
      <c r="A612" s="9" t="str">
        <f>HYPERLINK("http://www.ensembl.org/id/WBGene00008580", "WBGene00008580")</f>
        <v>WBGene00008580</v>
      </c>
      <c r="B612" s="9" t="str">
        <f>HYPERLINK("http://www.ncbi.nlm.nih.gov/gene/178192", "178192")</f>
        <v>178192</v>
      </c>
      <c r="C612" s="9"/>
      <c r="D612" t="str">
        <f>"dsb-1"</f>
        <v>dsb-1</v>
      </c>
      <c r="E612" t="s">
        <v>531</v>
      </c>
      <c r="F612" t="s">
        <v>11</v>
      </c>
      <c r="G612" t="s">
        <v>532</v>
      </c>
      <c r="H612" s="12">
        <v>-2.17028244343203</v>
      </c>
      <c r="I612" s="20">
        <v>-3.2469707554257301</v>
      </c>
      <c r="J612" s="28">
        <v>1.1664037429498001E-3</v>
      </c>
      <c r="K612" s="29">
        <v>4.4181844073111501E-2</v>
      </c>
    </row>
    <row r="613" spans="1:11" x14ac:dyDescent="0.35">
      <c r="A613" s="9" t="str">
        <f>HYPERLINK("http://www.ensembl.org/id/WBGene00020386", "WBGene00020386")</f>
        <v>WBGene00020386</v>
      </c>
      <c r="B613" s="9" t="str">
        <f>HYPERLINK("http://www.ncbi.nlm.nih.gov/gene/188350", "188350")</f>
        <v>188350</v>
      </c>
      <c r="C613" s="9"/>
      <c r="D613" t="str">
        <f>"cyp-34A4"</f>
        <v>cyp-34A4</v>
      </c>
      <c r="E613" t="s">
        <v>176</v>
      </c>
      <c r="F613" t="s">
        <v>11</v>
      </c>
      <c r="G613" t="s">
        <v>438</v>
      </c>
      <c r="H613" s="12">
        <v>3.4052609796154298</v>
      </c>
      <c r="I613" s="20">
        <v>3.2464671840657702</v>
      </c>
      <c r="J613" s="28">
        <v>1.16846918060568E-3</v>
      </c>
      <c r="K613" s="29">
        <v>4.4187641386374397E-2</v>
      </c>
    </row>
    <row r="614" spans="1:11" x14ac:dyDescent="0.35">
      <c r="A614" s="9" t="str">
        <f>HYPERLINK("http://www.ensembl.org/id/WBGene00004124", "WBGene00004124")</f>
        <v>WBGene00004124</v>
      </c>
      <c r="B614" s="9" t="str">
        <f>HYPERLINK("http://www.ncbi.nlm.nih.gov/gene/185539", "185539")</f>
        <v>185539</v>
      </c>
      <c r="C614" s="9"/>
      <c r="D614" t="str">
        <f>"pqn-37"</f>
        <v>pqn-37</v>
      </c>
      <c r="E614" t="s">
        <v>432</v>
      </c>
      <c r="F614" t="s">
        <v>11</v>
      </c>
      <c r="H614" s="12">
        <v>2.2041422640011099</v>
      </c>
      <c r="I614" s="20">
        <v>3.2448539413243598</v>
      </c>
      <c r="J614" s="28">
        <v>1.17510880234291E-3</v>
      </c>
      <c r="K614" s="29">
        <v>4.4366117625711202E-2</v>
      </c>
    </row>
    <row r="615" spans="1:11" x14ac:dyDescent="0.35">
      <c r="A615" s="9" t="str">
        <f>HYPERLINK("http://www.ensembl.org/id/WBGene00009221", "WBGene00009221")</f>
        <v>WBGene00009221</v>
      </c>
      <c r="B615" s="9" t="str">
        <f>HYPERLINK("http://www.ncbi.nlm.nih.gov/gene/3565680", "3565680")</f>
        <v>3565680</v>
      </c>
      <c r="C615" s="9" t="str">
        <f>HYPERLINK("http://www.ncbi.nlm.nih.gov/gene/80221", "80221")</f>
        <v>80221</v>
      </c>
      <c r="D615" t="str">
        <f>"acs-2"</f>
        <v>acs-2</v>
      </c>
      <c r="E615" t="s">
        <v>533</v>
      </c>
      <c r="F615" t="s">
        <v>11</v>
      </c>
      <c r="G615" t="s">
        <v>534</v>
      </c>
      <c r="H615" s="12">
        <v>-1.82163635311692</v>
      </c>
      <c r="I615" s="20">
        <v>-3.2437204801342898</v>
      </c>
      <c r="J615" s="28">
        <v>1.17979462097322E-3</v>
      </c>
      <c r="K615" s="29">
        <v>4.4470366251561401E-2</v>
      </c>
    </row>
    <row r="616" spans="1:11" x14ac:dyDescent="0.35">
      <c r="A616" s="9" t="str">
        <f>HYPERLINK("http://www.ensembl.org/id/WBGene00008985", "WBGene00008985")</f>
        <v>WBGene00008985</v>
      </c>
      <c r="B616" s="9" t="str">
        <f>HYPERLINK("http://www.ncbi.nlm.nih.gov/gene/184742", "184742")</f>
        <v>184742</v>
      </c>
      <c r="C616" s="9"/>
      <c r="D616" t="str">
        <f>"F20G2.1"</f>
        <v>F20G2.1</v>
      </c>
      <c r="F616" t="s">
        <v>11</v>
      </c>
      <c r="G616" t="s">
        <v>489</v>
      </c>
      <c r="H616" s="12">
        <v>3.1914043959591898</v>
      </c>
      <c r="I616" s="20">
        <v>3.2418812420457201</v>
      </c>
      <c r="J616" s="28">
        <v>1.18743492929641E-3</v>
      </c>
      <c r="K616" s="29">
        <v>4.4612799148492199E-2</v>
      </c>
    </row>
    <row r="617" spans="1:11" x14ac:dyDescent="0.35">
      <c r="A617" s="9" t="str">
        <f>HYPERLINK("http://www.ensembl.org/id/WBGene00006916", "WBGene00006916")</f>
        <v>WBGene00006916</v>
      </c>
      <c r="B617" s="9" t="str">
        <f>HYPERLINK("http://www.ncbi.nlm.nih.gov/gene/178219", "178219")</f>
        <v>178219</v>
      </c>
      <c r="C617" s="9"/>
      <c r="D617" t="str">
        <f>"vha-7"</f>
        <v>vha-7</v>
      </c>
      <c r="E617" t="s">
        <v>535</v>
      </c>
      <c r="F617" t="s">
        <v>11</v>
      </c>
      <c r="G617" t="s">
        <v>536</v>
      </c>
      <c r="H617" s="12">
        <v>-1.89966096752867</v>
      </c>
      <c r="I617" s="20">
        <v>-3.2419909640562099</v>
      </c>
      <c r="J617" s="28">
        <v>1.1869778581442901E-3</v>
      </c>
      <c r="K617" s="29">
        <v>4.4612799148492199E-2</v>
      </c>
    </row>
    <row r="618" spans="1:11" x14ac:dyDescent="0.35">
      <c r="A618" s="9" t="str">
        <f>HYPERLINK("http://www.ensembl.org/id/WBGene00004911", "WBGene00004911")</f>
        <v>WBGene00004911</v>
      </c>
      <c r="B618" s="9" t="str">
        <f>HYPERLINK("http://www.ncbi.nlm.nih.gov/gene/181143", "181143")</f>
        <v>181143</v>
      </c>
      <c r="C618" s="9"/>
      <c r="D618" t="str">
        <f>"snf-12"</f>
        <v>snf-12</v>
      </c>
      <c r="E618" t="s">
        <v>537</v>
      </c>
      <c r="F618" t="s">
        <v>11</v>
      </c>
      <c r="G618" t="s">
        <v>538</v>
      </c>
      <c r="H618" s="12">
        <v>2.9439534649861301</v>
      </c>
      <c r="I618" s="20">
        <v>3.2387457921579301</v>
      </c>
      <c r="J618" s="28">
        <v>1.20056525693908E-3</v>
      </c>
      <c r="K618" s="29">
        <v>4.4961940885405602E-2</v>
      </c>
    </row>
    <row r="619" spans="1:11" x14ac:dyDescent="0.35">
      <c r="A619" s="9" t="str">
        <f>HYPERLINK("http://www.ensembl.org/id/WBGene00011462", "WBGene00011462")</f>
        <v>WBGene00011462</v>
      </c>
      <c r="B619" s="9" t="str">
        <f>HYPERLINK("http://www.ncbi.nlm.nih.gov/gene/181273", "181273")</f>
        <v>181273</v>
      </c>
      <c r="C619" s="9"/>
      <c r="D619" t="str">
        <f>"vap-2"</f>
        <v>vap-2</v>
      </c>
      <c r="E619" t="s">
        <v>539</v>
      </c>
      <c r="F619" t="s">
        <v>11</v>
      </c>
      <c r="G619" t="s">
        <v>540</v>
      </c>
      <c r="H619" s="12">
        <v>2.4815348797367398</v>
      </c>
      <c r="I619" s="20">
        <v>3.2387328705096499</v>
      </c>
      <c r="J619" s="28">
        <v>1.20061964538628E-3</v>
      </c>
      <c r="K619" s="29">
        <v>4.4961940885405602E-2</v>
      </c>
    </row>
    <row r="620" spans="1:11" x14ac:dyDescent="0.35">
      <c r="A620" s="9" t="str">
        <f>HYPERLINK("http://www.ensembl.org/id/WBGene00044553", "WBGene00044553")</f>
        <v>WBGene00044553</v>
      </c>
      <c r="B620" s="9" t="str">
        <f>HYPERLINK("http://www.ncbi.nlm.nih.gov/gene/3896851", "3896851")</f>
        <v>3896851</v>
      </c>
      <c r="C620" s="9"/>
      <c r="D620" t="str">
        <f>"T23B12.11"</f>
        <v>T23B12.11</v>
      </c>
      <c r="F620" t="s">
        <v>11</v>
      </c>
      <c r="H620" s="12">
        <v>1.89666980031722</v>
      </c>
      <c r="I620" s="20">
        <v>3.23677788518938</v>
      </c>
      <c r="J620" s="28">
        <v>1.20887463795952E-3</v>
      </c>
      <c r="K620" s="29">
        <v>4.5197827483321497E-2</v>
      </c>
    </row>
    <row r="621" spans="1:11" x14ac:dyDescent="0.35">
      <c r="A621" s="9" t="str">
        <f>HYPERLINK("http://www.ensembl.org/id/WBGene00011988", "WBGene00011988")</f>
        <v>WBGene00011988</v>
      </c>
      <c r="B621" s="9" t="str">
        <f>HYPERLINK("http://www.ncbi.nlm.nih.gov/gene/172853", "172853")</f>
        <v>172853</v>
      </c>
      <c r="C621" s="9"/>
      <c r="D621" t="str">
        <f>"har-2"</f>
        <v>har-2</v>
      </c>
      <c r="F621" t="s">
        <v>11</v>
      </c>
      <c r="G621" t="s">
        <v>51</v>
      </c>
      <c r="H621" s="12">
        <v>-2.0588973830899402</v>
      </c>
      <c r="I621" s="20">
        <v>-3.2354940850959002</v>
      </c>
      <c r="J621" s="28">
        <v>1.21432401350002E-3</v>
      </c>
      <c r="K621" s="29">
        <v>4.5328223999889297E-2</v>
      </c>
    </row>
    <row r="622" spans="1:11" x14ac:dyDescent="0.35">
      <c r="A622" s="9" t="str">
        <f>HYPERLINK("http://www.ensembl.org/id/WBGene00010982", "WBGene00010982")</f>
        <v>WBGene00010982</v>
      </c>
      <c r="B622" s="9" t="str">
        <f>HYPERLINK("http://www.ncbi.nlm.nih.gov/gene/187533", "187533")</f>
        <v>187533</v>
      </c>
      <c r="C622" s="9"/>
      <c r="D622" t="str">
        <f>"flp-32"</f>
        <v>flp-32</v>
      </c>
      <c r="E622" t="s">
        <v>401</v>
      </c>
      <c r="F622" t="s">
        <v>11</v>
      </c>
      <c r="H622" s="12">
        <v>2.2076157737270399</v>
      </c>
      <c r="I622" s="20">
        <v>3.2345032137494201</v>
      </c>
      <c r="J622" s="28">
        <v>1.2185454927832601E-3</v>
      </c>
      <c r="K622" s="29">
        <v>4.53393110406601E-2</v>
      </c>
    </row>
    <row r="623" spans="1:11" x14ac:dyDescent="0.35">
      <c r="A623" s="9" t="str">
        <f>HYPERLINK("http://www.ensembl.org/id/WBGene00020581", "WBGene00020581")</f>
        <v>WBGene00020581</v>
      </c>
      <c r="B623" s="9" t="str">
        <f>HYPERLINK("http://www.ncbi.nlm.nih.gov/gene/174097", "174097")</f>
        <v>174097</v>
      </c>
      <c r="C623" s="9" t="str">
        <f>HYPERLINK("http://www.ncbi.nlm.nih.gov/gene/133584", "133584")</f>
        <v>133584</v>
      </c>
      <c r="D623" t="str">
        <f>"T19D12.6"</f>
        <v>T19D12.6</v>
      </c>
      <c r="F623" t="s">
        <v>11</v>
      </c>
      <c r="H623" s="12">
        <v>1.7857200201761101</v>
      </c>
      <c r="I623" s="20">
        <v>3.2348060131646599</v>
      </c>
      <c r="J623" s="28">
        <v>1.21725401899248E-3</v>
      </c>
      <c r="K623" s="29">
        <v>4.53393110406601E-2</v>
      </c>
    </row>
    <row r="624" spans="1:11" x14ac:dyDescent="0.35">
      <c r="A624" s="9" t="str">
        <f>HYPERLINK("http://www.ensembl.org/id/WBGene00008546", "WBGene00008546")</f>
        <v>WBGene00008546</v>
      </c>
      <c r="B624" s="9" t="str">
        <f>HYPERLINK("http://www.ncbi.nlm.nih.gov/gene/174778", "174778")</f>
        <v>174778</v>
      </c>
      <c r="C624" s="9" t="str">
        <f>HYPERLINK("http://www.ncbi.nlm.nih.gov/gene/9945", "9945")</f>
        <v>9945</v>
      </c>
      <c r="D624" t="str">
        <f>"gfat-1"</f>
        <v>gfat-1</v>
      </c>
      <c r="E624" t="s">
        <v>55</v>
      </c>
      <c r="F624" t="s">
        <v>11</v>
      </c>
      <c r="G624" t="s">
        <v>541</v>
      </c>
      <c r="H624" s="12">
        <v>-1.84729456608107</v>
      </c>
      <c r="I624" s="20">
        <v>-3.2250046446136298</v>
      </c>
      <c r="J624" s="28">
        <v>1.2597062508903801E-3</v>
      </c>
      <c r="K624" s="29">
        <v>4.6795454394008403E-2</v>
      </c>
    </row>
    <row r="625" spans="1:11" x14ac:dyDescent="0.35">
      <c r="A625" s="9" t="str">
        <f>HYPERLINK("http://www.ensembl.org/id/WBGene00003567", "WBGene00003567")</f>
        <v>WBGene00003567</v>
      </c>
      <c r="B625" s="9" t="str">
        <f>HYPERLINK("http://www.ncbi.nlm.nih.gov/gene/178918", "178918")</f>
        <v>178918</v>
      </c>
      <c r="C625" s="9" t="str">
        <f>HYPERLINK("http://www.ncbi.nlm.nih.gov/gene/6547", "6547")</f>
        <v>6547</v>
      </c>
      <c r="D625" t="str">
        <f>"ncx-2"</f>
        <v>ncx-2</v>
      </c>
      <c r="E625" t="s">
        <v>542</v>
      </c>
      <c r="F625" t="s">
        <v>11</v>
      </c>
      <c r="G625" t="s">
        <v>543</v>
      </c>
      <c r="H625" s="12">
        <v>1.96274389710772</v>
      </c>
      <c r="I625" s="20">
        <v>3.22345847851552</v>
      </c>
      <c r="J625" s="28">
        <v>1.26652658637997E-3</v>
      </c>
      <c r="K625" s="29">
        <v>4.6973295834503402E-2</v>
      </c>
    </row>
    <row r="626" spans="1:11" x14ac:dyDescent="0.35">
      <c r="A626" s="9" t="str">
        <f>HYPERLINK("http://www.ensembl.org/id/WBGene00019939", "WBGene00019939")</f>
        <v>WBGene00019939</v>
      </c>
      <c r="B626" s="9" t="str">
        <f>HYPERLINK("http://www.ncbi.nlm.nih.gov/gene/187683", "187683")</f>
        <v>187683</v>
      </c>
      <c r="C626" s="9"/>
      <c r="D626" t="str">
        <f>"lips-17"</f>
        <v>lips-17</v>
      </c>
      <c r="E626" t="s">
        <v>430</v>
      </c>
      <c r="F626" t="s">
        <v>11</v>
      </c>
      <c r="G626" t="s">
        <v>431</v>
      </c>
      <c r="H626" s="12">
        <v>2.3721682552457</v>
      </c>
      <c r="I626" s="20">
        <v>3.2224138687301398</v>
      </c>
      <c r="J626" s="28">
        <v>1.2711537726582301E-3</v>
      </c>
      <c r="K626" s="29">
        <v>4.7069357485642602E-2</v>
      </c>
    </row>
    <row r="627" spans="1:11" x14ac:dyDescent="0.35">
      <c r="A627" s="9" t="str">
        <f>HYPERLINK("http://www.ensembl.org/id/WBGene00012763", "WBGene00012763")</f>
        <v>WBGene00012763</v>
      </c>
      <c r="B627" s="9" t="str">
        <f>HYPERLINK("http://www.ncbi.nlm.nih.gov/gene/189829", "189829")</f>
        <v>189829</v>
      </c>
      <c r="C627" s="9"/>
      <c r="D627" t="str">
        <f>"atln-2"</f>
        <v>atln-2</v>
      </c>
      <c r="E627" t="s">
        <v>546</v>
      </c>
      <c r="F627" t="s">
        <v>11</v>
      </c>
      <c r="G627" t="s">
        <v>547</v>
      </c>
      <c r="H627" s="12">
        <v>2.0139861822137801</v>
      </c>
      <c r="I627" s="20">
        <v>3.2168555736478699</v>
      </c>
      <c r="J627" s="28">
        <v>1.2960382332342E-3</v>
      </c>
      <c r="K627" s="29">
        <v>4.7484337275039798E-2</v>
      </c>
    </row>
    <row r="628" spans="1:11" x14ac:dyDescent="0.35">
      <c r="A628" s="9" t="str">
        <f>HYPERLINK("http://www.ensembl.org/id/WBGene00017340", "WBGene00017340")</f>
        <v>WBGene00017340</v>
      </c>
      <c r="B628" s="9" t="str">
        <f>HYPERLINK("http://www.ncbi.nlm.nih.gov/gene/181766", "181766")</f>
        <v>181766</v>
      </c>
      <c r="C628" s="9"/>
      <c r="D628" t="str">
        <f>"F10D7.3"</f>
        <v>F10D7.3</v>
      </c>
      <c r="E628" t="s">
        <v>544</v>
      </c>
      <c r="F628" t="s">
        <v>11</v>
      </c>
      <c r="G628" t="s">
        <v>545</v>
      </c>
      <c r="H628" s="12">
        <v>2.2310474827620399</v>
      </c>
      <c r="I628" s="20">
        <v>3.2181653756864899</v>
      </c>
      <c r="J628" s="28">
        <v>1.2901340933637699E-3</v>
      </c>
      <c r="K628" s="29">
        <v>4.7484337275039798E-2</v>
      </c>
    </row>
    <row r="629" spans="1:11" x14ac:dyDescent="0.35">
      <c r="A629" s="9" t="str">
        <f>HYPERLINK("http://www.ensembl.org/id/WBGene00008825", "WBGene00008825")</f>
        <v>WBGene00008825</v>
      </c>
      <c r="B629" s="9" t="str">
        <f>HYPERLINK("http://www.ncbi.nlm.nih.gov/gene/180077", "180077")</f>
        <v>180077</v>
      </c>
      <c r="C629" s="9"/>
      <c r="D629" t="str">
        <f>"F14H3.6"</f>
        <v>F14H3.6</v>
      </c>
      <c r="F629" t="s">
        <v>11</v>
      </c>
      <c r="H629" s="12">
        <v>-1.9625427904399899</v>
      </c>
      <c r="I629" s="20">
        <v>-3.2191489425979798</v>
      </c>
      <c r="J629" s="28">
        <v>1.2857168415543201E-3</v>
      </c>
      <c r="K629" s="29">
        <v>4.7484337275039798E-2</v>
      </c>
    </row>
    <row r="630" spans="1:11" x14ac:dyDescent="0.35">
      <c r="A630" s="9" t="str">
        <f>HYPERLINK("http://www.ensembl.org/id/WBGene00018965", "WBGene00018965")</f>
        <v>WBGene00018965</v>
      </c>
      <c r="B630" s="9" t="str">
        <f>HYPERLINK("http://www.ncbi.nlm.nih.gov/gene/175769", "175769")</f>
        <v>175769</v>
      </c>
      <c r="C630" s="9"/>
      <c r="D630" t="str">
        <f>"F56D2.3"</f>
        <v>F56D2.3</v>
      </c>
      <c r="F630" t="s">
        <v>11</v>
      </c>
      <c r="H630" s="12">
        <v>3.46923255443672</v>
      </c>
      <c r="I630" s="20">
        <v>3.2171602651945399</v>
      </c>
      <c r="J630" s="28">
        <v>1.29466256631018E-3</v>
      </c>
      <c r="K630" s="29">
        <v>4.7484337275039798E-2</v>
      </c>
    </row>
    <row r="631" spans="1:11" x14ac:dyDescent="0.35">
      <c r="A631" s="9" t="str">
        <f>HYPERLINK("http://www.ensembl.org/id/WBGene00001598", "WBGene00001598")</f>
        <v>WBGene00001598</v>
      </c>
      <c r="B631" s="9" t="str">
        <f>HYPERLINK("http://www.ncbi.nlm.nih.gov/gene/172414", "172414")</f>
        <v>172414</v>
      </c>
      <c r="C631" s="9"/>
      <c r="D631" t="str">
        <f>"glh-1"</f>
        <v>glh-1</v>
      </c>
      <c r="E631" t="s">
        <v>549</v>
      </c>
      <c r="F631" t="s">
        <v>11</v>
      </c>
      <c r="G631" t="s">
        <v>133</v>
      </c>
      <c r="H631" s="12">
        <v>-1.89001932889919</v>
      </c>
      <c r="I631" s="20">
        <v>-3.21669889333453</v>
      </c>
      <c r="J631" s="28">
        <v>1.2967461620596399E-3</v>
      </c>
      <c r="K631" s="29">
        <v>4.7484337275039798E-2</v>
      </c>
    </row>
    <row r="632" spans="1:11" x14ac:dyDescent="0.35">
      <c r="A632" s="9" t="str">
        <f>HYPERLINK("http://www.ensembl.org/id/WBGene00021518", "WBGene00021518")</f>
        <v>WBGene00021518</v>
      </c>
      <c r="B632" s="9" t="str">
        <f>HYPERLINK("http://www.ncbi.nlm.nih.gov/gene/176965", "176965")</f>
        <v>176965</v>
      </c>
      <c r="C632" s="9"/>
      <c r="D632" t="str">
        <f>"hpo-6"</f>
        <v>hpo-6</v>
      </c>
      <c r="F632" t="s">
        <v>11</v>
      </c>
      <c r="G632" t="s">
        <v>548</v>
      </c>
      <c r="H632" s="12">
        <v>1.90949422952072</v>
      </c>
      <c r="I632" s="20">
        <v>3.2175722441191499</v>
      </c>
      <c r="J632" s="28">
        <v>1.2928046453497401E-3</v>
      </c>
      <c r="K632" s="29">
        <v>4.7484337275039798E-2</v>
      </c>
    </row>
    <row r="633" spans="1:11" x14ac:dyDescent="0.35">
      <c r="A633" s="9" t="str">
        <f>HYPERLINK("http://www.ensembl.org/id/WBGene00007732", "WBGene00007732")</f>
        <v>WBGene00007732</v>
      </c>
      <c r="B633" s="9" t="str">
        <f>HYPERLINK("http://www.ncbi.nlm.nih.gov/gene/182915", "182915")</f>
        <v>182915</v>
      </c>
      <c r="C633" s="9"/>
      <c r="D633" t="str">
        <f>"spe-44"</f>
        <v>spe-44</v>
      </c>
      <c r="F633" t="s">
        <v>11</v>
      </c>
      <c r="G633" t="s">
        <v>550</v>
      </c>
      <c r="H633" s="12">
        <v>-3.17440582149943</v>
      </c>
      <c r="I633" s="20">
        <v>-3.2182244187640299</v>
      </c>
      <c r="J633" s="28">
        <v>1.2898685330369299E-3</v>
      </c>
      <c r="K633" s="29">
        <v>4.7484337275039798E-2</v>
      </c>
    </row>
    <row r="634" spans="1:11" x14ac:dyDescent="0.35">
      <c r="A634" s="9" t="str">
        <f>HYPERLINK("http://www.ensembl.org/id/WBGene00000219", "WBGene00000219")</f>
        <v>WBGene00000219</v>
      </c>
      <c r="B634" s="9" t="str">
        <f>HYPERLINK("http://www.ncbi.nlm.nih.gov/gene/179209", "179209")</f>
        <v>179209</v>
      </c>
      <c r="C634" s="9"/>
      <c r="D634" t="str">
        <f>"asp-6"</f>
        <v>asp-6</v>
      </c>
      <c r="E634" t="s">
        <v>551</v>
      </c>
      <c r="F634" t="s">
        <v>11</v>
      </c>
      <c r="G634" t="s">
        <v>552</v>
      </c>
      <c r="H634" s="12">
        <v>-1.7707313005077601</v>
      </c>
      <c r="I634" s="20">
        <v>-3.21378228979827</v>
      </c>
      <c r="J634" s="28">
        <v>1.3099895840016399E-3</v>
      </c>
      <c r="K634" s="29">
        <v>4.7893385012566403E-2</v>
      </c>
    </row>
    <row r="635" spans="1:11" x14ac:dyDescent="0.35">
      <c r="A635" s="9" t="str">
        <f>HYPERLINK("http://www.ensembl.org/id/WBGene00009530", "WBGene00009530")</f>
        <v>WBGene00009530</v>
      </c>
      <c r="B635" s="9" t="str">
        <f>HYPERLINK("http://www.ncbi.nlm.nih.gov/gene/185450", "185450")</f>
        <v>185450</v>
      </c>
      <c r="C635" s="9"/>
      <c r="D635" t="str">
        <f>"F38B2.3"</f>
        <v>F38B2.3</v>
      </c>
      <c r="F635" t="s">
        <v>11</v>
      </c>
      <c r="H635" s="12">
        <v>-2.0932665155236201</v>
      </c>
      <c r="I635" s="20">
        <v>-3.2089812853204598</v>
      </c>
      <c r="J635" s="28">
        <v>1.3320616215922599E-3</v>
      </c>
      <c r="K635" s="29">
        <v>4.86234057322446E-2</v>
      </c>
    </row>
    <row r="636" spans="1:11" x14ac:dyDescent="0.35">
      <c r="A636" s="9" t="str">
        <f>HYPERLINK("http://www.ensembl.org/id/WBGene00001448", "WBGene00001448")</f>
        <v>WBGene00001448</v>
      </c>
      <c r="B636" s="9" t="str">
        <f>HYPERLINK("http://www.ncbi.nlm.nih.gov/gene/181104", "181104")</f>
        <v>181104</v>
      </c>
      <c r="C636" s="9"/>
      <c r="D636" t="str">
        <f>"flp-5"</f>
        <v>flp-5</v>
      </c>
      <c r="E636" t="s">
        <v>553</v>
      </c>
      <c r="F636" t="s">
        <v>11</v>
      </c>
      <c r="G636" t="s">
        <v>77</v>
      </c>
      <c r="H636" s="12">
        <v>1.8903308145609801</v>
      </c>
      <c r="I636" s="20">
        <v>3.2055567999682602</v>
      </c>
      <c r="J636" s="28">
        <v>1.3480143887925199E-3</v>
      </c>
      <c r="K636" s="29">
        <v>4.91281079928075E-2</v>
      </c>
    </row>
    <row r="637" spans="1:11" x14ac:dyDescent="0.35">
      <c r="A637" s="9" t="str">
        <f>HYPERLINK("http://www.ensembl.org/id/WBGene00018403", "WBGene00018403")</f>
        <v>WBGene00018403</v>
      </c>
      <c r="B637" s="9" t="str">
        <f>HYPERLINK("http://www.ncbi.nlm.nih.gov/gene/179311", "179311")</f>
        <v>179311</v>
      </c>
      <c r="C637" s="9"/>
      <c r="D637" t="str">
        <f>"F44A2.3"</f>
        <v>F44A2.3</v>
      </c>
      <c r="F637" t="s">
        <v>11</v>
      </c>
      <c r="G637" t="s">
        <v>554</v>
      </c>
      <c r="H637" s="12">
        <v>2.1815017918297701</v>
      </c>
      <c r="I637" s="20">
        <v>3.2035080041030501</v>
      </c>
      <c r="J637" s="28">
        <v>1.3576426613405501E-3</v>
      </c>
      <c r="K637" s="29">
        <v>4.9401088713283199E-2</v>
      </c>
    </row>
    <row r="638" spans="1:11" x14ac:dyDescent="0.35">
      <c r="A638" s="9" t="str">
        <f>HYPERLINK("http://www.ensembl.org/id/WBGene00007454", "WBGene00007454")</f>
        <v>WBGene00007454</v>
      </c>
      <c r="B638" s="9" t="str">
        <f>HYPERLINK("http://www.ncbi.nlm.nih.gov/gene/182422", "182422")</f>
        <v>182422</v>
      </c>
      <c r="C638" s="9"/>
      <c r="D638" t="str">
        <f>"C08F11.7"</f>
        <v>C08F11.7</v>
      </c>
      <c r="F638" t="s">
        <v>11</v>
      </c>
      <c r="H638" s="12">
        <v>10.2015275187819</v>
      </c>
      <c r="I638" s="20">
        <v>3.2023006431407102</v>
      </c>
      <c r="J638" s="28">
        <v>1.36334629462673E-3</v>
      </c>
      <c r="K638" s="29">
        <v>4.9452872030840297E-2</v>
      </c>
    </row>
    <row r="639" spans="1:11" x14ac:dyDescent="0.35">
      <c r="A639" s="9" t="str">
        <f>HYPERLINK("http://www.ensembl.org/id/WBGene00016017", "WBGene00016017")</f>
        <v>WBGene00016017</v>
      </c>
      <c r="B639" s="9" t="str">
        <f>HYPERLINK("http://www.ncbi.nlm.nih.gov/gene/182816", "182816")</f>
        <v>182816</v>
      </c>
      <c r="C639" s="9"/>
      <c r="D639" t="str">
        <f>"C23G10.11"</f>
        <v>C23G10.11</v>
      </c>
      <c r="F639" t="s">
        <v>11</v>
      </c>
      <c r="H639" s="12">
        <v>-5.9404593832642103</v>
      </c>
      <c r="I639" s="20">
        <v>-3.2023453657190601</v>
      </c>
      <c r="J639" s="28">
        <v>1.3631346293598099E-3</v>
      </c>
      <c r="K639" s="29">
        <v>4.9452872030840297E-2</v>
      </c>
    </row>
    <row r="640" spans="1:11" x14ac:dyDescent="0.35">
      <c r="A640" s="9" t="str">
        <f>HYPERLINK("http://www.ensembl.org/id/WBGene00017071", "WBGene00017071")</f>
        <v>WBGene00017071</v>
      </c>
      <c r="B640" s="9" t="str">
        <f>HYPERLINK("http://www.ncbi.nlm.nih.gov/gene/177632", "177632")</f>
        <v>177632</v>
      </c>
      <c r="C640" s="9" t="str">
        <f>HYPERLINK("http://www.ncbi.nlm.nih.gov/gene/8972", "8972")</f>
        <v>8972</v>
      </c>
      <c r="D640" t="str">
        <f>"aagr-1"</f>
        <v>aagr-1</v>
      </c>
      <c r="E640" t="s">
        <v>555</v>
      </c>
      <c r="F640" t="s">
        <v>11</v>
      </c>
      <c r="G640" t="s">
        <v>556</v>
      </c>
      <c r="H640" s="12">
        <v>-2.2665006283962401</v>
      </c>
      <c r="I640" s="20">
        <v>-3.2006742686136298</v>
      </c>
      <c r="J640" s="28">
        <v>1.37106431036085E-3</v>
      </c>
      <c r="K640" s="29">
        <v>4.96548776727238E-2</v>
      </c>
    </row>
    <row r="641" spans="1:11" x14ac:dyDescent="0.35">
      <c r="A641" s="9" t="str">
        <f>HYPERLINK("http://www.ensembl.org/id/WBGene00012610", "WBGene00012610")</f>
        <v>WBGene00012610</v>
      </c>
      <c r="B641" s="9" t="str">
        <f>HYPERLINK("http://www.ncbi.nlm.nih.gov/gene/189674", "189674")</f>
        <v>189674</v>
      </c>
      <c r="C641" s="9"/>
      <c r="D641" t="str">
        <f>"Y38F1A.8"</f>
        <v>Y38F1A.8</v>
      </c>
      <c r="F641" t="s">
        <v>11</v>
      </c>
      <c r="G641" t="s">
        <v>557</v>
      </c>
      <c r="H641" s="12">
        <v>2.0068011019318002</v>
      </c>
      <c r="I641" s="20">
        <v>3.1997971483045702</v>
      </c>
      <c r="J641" s="28">
        <v>1.3752434224880801E-3</v>
      </c>
      <c r="K641" s="29">
        <v>4.9728285633817697E-2</v>
      </c>
    </row>
    <row r="642" spans="1:11" x14ac:dyDescent="0.35">
      <c r="A642" s="9" t="str">
        <f>HYPERLINK("http://www.ensembl.org/id/WBGene00001067", "WBGene00001067")</f>
        <v>WBGene00001067</v>
      </c>
      <c r="B642" s="9" t="str">
        <f>HYPERLINK("http://www.ncbi.nlm.nih.gov/gene/172197", "172197")</f>
        <v>172197</v>
      </c>
      <c r="C642" s="9"/>
      <c r="D642" t="str">
        <f>"dpy-5"</f>
        <v>dpy-5</v>
      </c>
      <c r="E642" t="s">
        <v>558</v>
      </c>
      <c r="F642" t="s">
        <v>11</v>
      </c>
      <c r="G642" t="s">
        <v>152</v>
      </c>
      <c r="H642" s="12">
        <v>8.6509176876059009</v>
      </c>
      <c r="I642" s="20">
        <v>3.1959810206619799</v>
      </c>
      <c r="J642" s="28">
        <v>1.3935627825741399E-3</v>
      </c>
      <c r="K642" s="29">
        <v>5.01894757269606E-2</v>
      </c>
    </row>
    <row r="643" spans="1:11" x14ac:dyDescent="0.35">
      <c r="A643" s="9" t="str">
        <f>HYPERLINK("http://www.ensembl.org/id/WBGene00011141", "WBGene00011141")</f>
        <v>WBGene00011141</v>
      </c>
      <c r="B643" s="9" t="str">
        <f>HYPERLINK("http://www.ncbi.nlm.nih.gov/gene/3565685", "3565685")</f>
        <v>3565685</v>
      </c>
      <c r="C643" s="9"/>
      <c r="D643" t="str">
        <f>"nlp-66"</f>
        <v>nlp-66</v>
      </c>
      <c r="E643" t="s">
        <v>76</v>
      </c>
      <c r="F643" t="s">
        <v>11</v>
      </c>
      <c r="G643" t="s">
        <v>77</v>
      </c>
      <c r="H643" s="12">
        <v>3.95136232504762</v>
      </c>
      <c r="I643" s="20">
        <v>3.1957841110431802</v>
      </c>
      <c r="J643" s="28">
        <v>1.39451412692412E-3</v>
      </c>
      <c r="K643" s="29">
        <v>5.01894757269606E-2</v>
      </c>
    </row>
    <row r="644" spans="1:11" x14ac:dyDescent="0.35">
      <c r="A644" s="9" t="str">
        <f>HYPERLINK("http://www.ensembl.org/id/WBGene00013101", "WBGene00013101")</f>
        <v>WBGene00013101</v>
      </c>
      <c r="B644" s="9" t="str">
        <f>HYPERLINK("http://www.ncbi.nlm.nih.gov/gene/190146", "190146")</f>
        <v>190146</v>
      </c>
      <c r="C644" s="9"/>
      <c r="D644" t="str">
        <f>"Y51H4A.5"</f>
        <v>Y51H4A.5</v>
      </c>
      <c r="F644" t="s">
        <v>11</v>
      </c>
      <c r="G644" t="s">
        <v>29</v>
      </c>
      <c r="H644" s="12">
        <v>-8.4786906102058204</v>
      </c>
      <c r="I644" s="20">
        <v>-3.1962454809751901</v>
      </c>
      <c r="J644" s="28">
        <v>1.3922860170907699E-3</v>
      </c>
      <c r="K644" s="29">
        <v>5.01894757269606E-2</v>
      </c>
    </row>
    <row r="645" spans="1:11" x14ac:dyDescent="0.35">
      <c r="A645" s="9" t="str">
        <f>HYPERLINK("http://www.ensembl.org/id/WBGene00044301", "WBGene00044301")</f>
        <v>WBGene00044301</v>
      </c>
      <c r="B645" s="9" t="str">
        <f>HYPERLINK("http://www.ncbi.nlm.nih.gov/gene/3565225", "3565225")</f>
        <v>3565225</v>
      </c>
      <c r="C645" s="9"/>
      <c r="D645" t="str">
        <f>"lgc-28"</f>
        <v>lgc-28</v>
      </c>
      <c r="E645" t="s">
        <v>505</v>
      </c>
      <c r="F645" t="s">
        <v>11</v>
      </c>
      <c r="G645" t="s">
        <v>559</v>
      </c>
      <c r="H645" s="12">
        <v>-2.0241372817798502</v>
      </c>
      <c r="I645" s="20">
        <v>-3.18814797841272</v>
      </c>
      <c r="J645" s="28">
        <v>1.4318723821429701E-3</v>
      </c>
      <c r="K645" s="29">
        <v>5.1453877545560599E-2</v>
      </c>
    </row>
    <row r="646" spans="1:11" x14ac:dyDescent="0.35">
      <c r="A646" s="9" t="str">
        <f>HYPERLINK("http://www.ensembl.org/id/WBGene00001398", "WBGene00001398")</f>
        <v>WBGene00001398</v>
      </c>
      <c r="B646" s="9" t="str">
        <f>HYPERLINK("http://www.ncbi.nlm.nih.gov/gene/178122", "178122")</f>
        <v>178122</v>
      </c>
      <c r="C646" s="9"/>
      <c r="D646" t="str">
        <f>"fat-6"</f>
        <v>fat-6</v>
      </c>
      <c r="E646" t="s">
        <v>560</v>
      </c>
      <c r="F646" t="s">
        <v>11</v>
      </c>
      <c r="G646" t="s">
        <v>561</v>
      </c>
      <c r="H646" s="12">
        <v>-1.83348514217418</v>
      </c>
      <c r="I646" s="20">
        <v>-3.1873175236036002</v>
      </c>
      <c r="J646" s="28">
        <v>1.4359903606042501E-3</v>
      </c>
      <c r="K646" s="29">
        <v>5.1521728683418998E-2</v>
      </c>
    </row>
    <row r="647" spans="1:11" x14ac:dyDescent="0.35">
      <c r="A647" s="9" t="str">
        <f>HYPERLINK("http://www.ensembl.org/id/WBGene00004222", "WBGene00004222")</f>
        <v>WBGene00004222</v>
      </c>
      <c r="B647" s="9" t="str">
        <f>HYPERLINK("http://www.ncbi.nlm.nih.gov/gene/174678", "174678")</f>
        <v>174678</v>
      </c>
      <c r="C647" s="9"/>
      <c r="D647" t="str">
        <f>"ptr-8"</f>
        <v>ptr-8</v>
      </c>
      <c r="E647" t="s">
        <v>134</v>
      </c>
      <c r="F647" t="s">
        <v>11</v>
      </c>
      <c r="G647" t="s">
        <v>404</v>
      </c>
      <c r="H647" s="12">
        <v>1.8384338335760899</v>
      </c>
      <c r="I647" s="20">
        <v>3.1847565299648601</v>
      </c>
      <c r="J647" s="28">
        <v>1.4487584083777299E-3</v>
      </c>
      <c r="K647" s="29">
        <v>5.1899243075931599E-2</v>
      </c>
    </row>
    <row r="648" spans="1:11" x14ac:dyDescent="0.35">
      <c r="A648" s="9" t="str">
        <f>HYPERLINK("http://www.ensembl.org/id/WBGene00020149", "WBGene00020149")</f>
        <v>WBGene00020149</v>
      </c>
      <c r="B648" s="9" t="str">
        <f>HYPERLINK("http://www.ncbi.nlm.nih.gov/gene/173403", "173403")</f>
        <v>173403</v>
      </c>
      <c r="C648" s="9"/>
      <c r="D648" t="str">
        <f>"T01D1.4"</f>
        <v>T01D1.4</v>
      </c>
      <c r="E648" t="s">
        <v>562</v>
      </c>
      <c r="F648" t="s">
        <v>11</v>
      </c>
      <c r="G648" t="s">
        <v>563</v>
      </c>
      <c r="H648" s="12">
        <v>1.85102691658722</v>
      </c>
      <c r="I648" s="20">
        <v>3.1812989049068499</v>
      </c>
      <c r="J648" s="28">
        <v>1.4661627153737401E-3</v>
      </c>
      <c r="K648" s="29">
        <v>5.2441417494466999E-2</v>
      </c>
    </row>
    <row r="649" spans="1:11" x14ac:dyDescent="0.35">
      <c r="A649" s="9" t="str">
        <f>HYPERLINK("http://www.ensembl.org/id/WBGene00003878", "WBGene00003878")</f>
        <v>WBGene00003878</v>
      </c>
      <c r="B649" s="9" t="str">
        <f>HYPERLINK("http://www.ncbi.nlm.nih.gov/gene/172298", "172298")</f>
        <v>172298</v>
      </c>
      <c r="C649" s="9" t="str">
        <f>HYPERLINK("http://www.ncbi.nlm.nih.gov/gene/6565", "6565")</f>
        <v>6565</v>
      </c>
      <c r="D649" t="str">
        <f>"pept-3"</f>
        <v>pept-3</v>
      </c>
      <c r="E649" t="s">
        <v>564</v>
      </c>
      <c r="F649" t="s">
        <v>11</v>
      </c>
      <c r="G649" t="s">
        <v>565</v>
      </c>
      <c r="H649" s="12">
        <v>1.8533638298374</v>
      </c>
      <c r="I649" s="20">
        <v>3.1787278013738001</v>
      </c>
      <c r="J649" s="28">
        <v>1.47922931294554E-3</v>
      </c>
      <c r="K649" s="29">
        <v>5.2827005417186497E-2</v>
      </c>
    </row>
    <row r="650" spans="1:11" x14ac:dyDescent="0.35">
      <c r="A650" s="9" t="str">
        <f>HYPERLINK("http://www.ensembl.org/id/WBGene00018567", "WBGene00018567")</f>
        <v>WBGene00018567</v>
      </c>
      <c r="B650" s="9" t="str">
        <f>HYPERLINK("http://www.ncbi.nlm.nih.gov/gene/185936", "185936")</f>
        <v>185936</v>
      </c>
      <c r="C650" s="9"/>
      <c r="D650" t="str">
        <f>"F47E1.3"</f>
        <v>F47E1.3</v>
      </c>
      <c r="F650" t="s">
        <v>11</v>
      </c>
      <c r="G650" t="s">
        <v>566</v>
      </c>
      <c r="H650" s="12">
        <v>3.4190566814183398</v>
      </c>
      <c r="I650" s="20">
        <v>3.17775750276025</v>
      </c>
      <c r="J650" s="28">
        <v>1.48418829108786E-3</v>
      </c>
      <c r="K650" s="29">
        <v>5.2922306564623697E-2</v>
      </c>
    </row>
    <row r="651" spans="1:11" x14ac:dyDescent="0.35">
      <c r="A651" s="9" t="str">
        <f>HYPERLINK("http://www.ensembl.org/id/WBGene00016419", "WBGene00016419")</f>
        <v>WBGene00016419</v>
      </c>
      <c r="B651" s="9" t="str">
        <f>HYPERLINK("http://www.ncbi.nlm.nih.gov/gene/172263", "172263")</f>
        <v>172263</v>
      </c>
      <c r="C651" s="9"/>
      <c r="D651" t="str">
        <f>"tyr-4"</f>
        <v>tyr-4</v>
      </c>
      <c r="E651" t="s">
        <v>567</v>
      </c>
      <c r="F651" t="s">
        <v>11</v>
      </c>
      <c r="G651" t="s">
        <v>568</v>
      </c>
      <c r="H651" s="12">
        <v>2.12191422737614</v>
      </c>
      <c r="I651" s="20">
        <v>3.1772205420259798</v>
      </c>
      <c r="J651" s="28">
        <v>1.4869391562984001E-3</v>
      </c>
      <c r="K651" s="29">
        <v>5.29386997618349E-2</v>
      </c>
    </row>
    <row r="652" spans="1:11" x14ac:dyDescent="0.35">
      <c r="A652" s="9" t="str">
        <f>HYPERLINK("http://www.ensembl.org/id/WBGene00016799", "WBGene00016799")</f>
        <v>WBGene00016799</v>
      </c>
      <c r="B652" s="9" t="str">
        <f>HYPERLINK("http://www.ncbi.nlm.nih.gov/gene/183641", "183641")</f>
        <v>183641</v>
      </c>
      <c r="C652" s="9"/>
      <c r="D652" t="str">
        <f>"C50C3.1"</f>
        <v>C50C3.1</v>
      </c>
      <c r="F652" t="s">
        <v>11</v>
      </c>
      <c r="G652" t="s">
        <v>51</v>
      </c>
      <c r="H652" s="12">
        <v>-2.1816592727996098</v>
      </c>
      <c r="I652" s="20">
        <v>-3.1736313321713499</v>
      </c>
      <c r="J652" s="28">
        <v>1.5054477647033499E-3</v>
      </c>
      <c r="K652" s="29">
        <v>5.2977269150738998E-2</v>
      </c>
    </row>
    <row r="653" spans="1:11" x14ac:dyDescent="0.35">
      <c r="A653" s="9" t="str">
        <f>HYPERLINK("http://www.ensembl.org/id/WBGene00018217", "WBGene00018217")</f>
        <v>WBGene00018217</v>
      </c>
      <c r="B653" s="9" t="str">
        <f>HYPERLINK("http://www.ncbi.nlm.nih.gov/gene/179169", "179169")</f>
        <v>179169</v>
      </c>
      <c r="C653" s="9"/>
      <c r="D653" t="str">
        <f>"F40A3.2"</f>
        <v>F40A3.2</v>
      </c>
      <c r="F653" t="s">
        <v>11</v>
      </c>
      <c r="G653" t="s">
        <v>25</v>
      </c>
      <c r="H653" s="12">
        <v>1.9368430113486901</v>
      </c>
      <c r="I653" s="20">
        <v>3.1746878599528201</v>
      </c>
      <c r="J653" s="28">
        <v>1.49997760598982E-3</v>
      </c>
      <c r="K653" s="29">
        <v>5.2977269150738998E-2</v>
      </c>
    </row>
    <row r="654" spans="1:11" x14ac:dyDescent="0.35">
      <c r="A654" s="9" t="str">
        <f>HYPERLINK("http://www.ensembl.org/id/WBGene00016486", "WBGene00016486")</f>
        <v>WBGene00016486</v>
      </c>
      <c r="B654" s="9" t="str">
        <f>HYPERLINK("http://www.ncbi.nlm.nih.gov/gene/183273", "183273")</f>
        <v>183273</v>
      </c>
      <c r="C654" s="9"/>
      <c r="D654" t="str">
        <f>"fbxa-170"</f>
        <v>fbxa-170</v>
      </c>
      <c r="E654" t="s">
        <v>467</v>
      </c>
      <c r="F654" t="s">
        <v>11</v>
      </c>
      <c r="G654" t="s">
        <v>54</v>
      </c>
      <c r="H654" s="12">
        <v>-2.4972471690970699</v>
      </c>
      <c r="I654" s="20">
        <v>-3.1739549839112602</v>
      </c>
      <c r="J654" s="28">
        <v>1.50377011262611E-3</v>
      </c>
      <c r="K654" s="29">
        <v>5.2977269150738998E-2</v>
      </c>
    </row>
    <row r="655" spans="1:11" x14ac:dyDescent="0.35">
      <c r="A655" s="9" t="str">
        <f>HYPERLINK("http://www.ensembl.org/id/WBGene00010787", "WBGene00010787")</f>
        <v>WBGene00010787</v>
      </c>
      <c r="B655" s="9" t="str">
        <f>HYPERLINK("http://www.ncbi.nlm.nih.gov/gene/174822", "174822")</f>
        <v>174822</v>
      </c>
      <c r="C655" s="9"/>
      <c r="D655" t="str">
        <f>"K12D12.5"</f>
        <v>K12D12.5</v>
      </c>
      <c r="F655" t="s">
        <v>11</v>
      </c>
      <c r="G655" t="s">
        <v>437</v>
      </c>
      <c r="H655" s="12">
        <v>-2.1392390907222198</v>
      </c>
      <c r="I655" s="20">
        <v>-3.17500539255765</v>
      </c>
      <c r="J655" s="28">
        <v>1.49833716739686E-3</v>
      </c>
      <c r="K655" s="29">
        <v>5.2977269150738998E-2</v>
      </c>
    </row>
    <row r="656" spans="1:11" x14ac:dyDescent="0.35">
      <c r="A656" s="9" t="str">
        <f>HYPERLINK("http://www.ensembl.org/id/WBGene00007966", "WBGene00007966")</f>
        <v>WBGene00007966</v>
      </c>
      <c r="B656" s="9" t="str">
        <f>HYPERLINK("http://www.ncbi.nlm.nih.gov/gene/175498", "175498")</f>
        <v>175498</v>
      </c>
      <c r="C656" s="9"/>
      <c r="D656" t="str">
        <f>"maph-1.3"</f>
        <v>maph-1.3</v>
      </c>
      <c r="E656" t="s">
        <v>109</v>
      </c>
      <c r="F656" t="s">
        <v>11</v>
      </c>
      <c r="G656" t="s">
        <v>110</v>
      </c>
      <c r="H656" s="12">
        <v>-1.92510307759998</v>
      </c>
      <c r="I656" s="20">
        <v>-3.17490934054553</v>
      </c>
      <c r="J656" s="28">
        <v>1.49883321734709E-3</v>
      </c>
      <c r="K656" s="29">
        <v>5.2977269150738998E-2</v>
      </c>
    </row>
    <row r="657" spans="1:11" x14ac:dyDescent="0.35">
      <c r="A657" s="9" t="str">
        <f>HYPERLINK("http://www.ensembl.org/id/WBGene00004823", "WBGene00004823")</f>
        <v>WBGene00004823</v>
      </c>
      <c r="B657" s="9" t="str">
        <f>HYPERLINK("http://www.ncbi.nlm.nih.gov/gene/174257", "174257")</f>
        <v>174257</v>
      </c>
      <c r="C657" s="9"/>
      <c r="D657" t="str">
        <f>"skr-17"</f>
        <v>skr-17</v>
      </c>
      <c r="E657" t="s">
        <v>570</v>
      </c>
      <c r="F657" t="s">
        <v>11</v>
      </c>
      <c r="G657" t="s">
        <v>571</v>
      </c>
      <c r="H657" s="12">
        <v>-2.1191770451692098</v>
      </c>
      <c r="I657" s="20">
        <v>-3.1734545522728301</v>
      </c>
      <c r="J657" s="28">
        <v>1.50636483303192E-3</v>
      </c>
      <c r="K657" s="29">
        <v>5.2977269150738998E-2</v>
      </c>
    </row>
    <row r="658" spans="1:11" x14ac:dyDescent="0.35">
      <c r="A658" s="9" t="str">
        <f>HYPERLINK("http://www.ensembl.org/id/WBGene00004990", "WBGene00004990")</f>
        <v>WBGene00004990</v>
      </c>
      <c r="B658" s="9" t="str">
        <f>HYPERLINK("http://www.ncbi.nlm.nih.gov/gene/180994", "180994")</f>
        <v>180994</v>
      </c>
      <c r="C658" s="9"/>
      <c r="D658" t="str">
        <f>"spp-5"</f>
        <v>spp-5</v>
      </c>
      <c r="E658" t="s">
        <v>62</v>
      </c>
      <c r="F658" t="s">
        <v>11</v>
      </c>
      <c r="G658" t="s">
        <v>569</v>
      </c>
      <c r="H658" s="12">
        <v>-1.7641491258201001</v>
      </c>
      <c r="I658" s="20">
        <v>-3.1748342934013101</v>
      </c>
      <c r="J658" s="28">
        <v>1.49922089527296E-3</v>
      </c>
      <c r="K658" s="29">
        <v>5.2977269150738998E-2</v>
      </c>
    </row>
    <row r="659" spans="1:11" x14ac:dyDescent="0.35">
      <c r="A659" s="9" t="str">
        <f>HYPERLINK("http://www.ensembl.org/id/WBGene00021979", "WBGene00021979")</f>
        <v>WBGene00021979</v>
      </c>
      <c r="B659" s="9" t="str">
        <f>HYPERLINK("http://www.ncbi.nlm.nih.gov/gene/190383", "190383")</f>
        <v>190383</v>
      </c>
      <c r="C659" s="9"/>
      <c r="D659" t="str">
        <f>"Y58A7A.5"</f>
        <v>Y58A7A.5</v>
      </c>
      <c r="F659" t="s">
        <v>11</v>
      </c>
      <c r="H659" s="12">
        <v>-2.0099382599089499</v>
      </c>
      <c r="I659" s="20">
        <v>-3.1762656775444</v>
      </c>
      <c r="J659" s="28">
        <v>1.4918425621051701E-3</v>
      </c>
      <c r="K659" s="29">
        <v>5.2977269150738998E-2</v>
      </c>
    </row>
    <row r="660" spans="1:11" x14ac:dyDescent="0.35">
      <c r="A660" s="9" t="str">
        <f>HYPERLINK("http://www.ensembl.org/id/WBGene00008486", "WBGene00008486")</f>
        <v>WBGene00008486</v>
      </c>
      <c r="B660" s="9" t="str">
        <f>HYPERLINK("http://www.ncbi.nlm.nih.gov/gene/177939", "177939")</f>
        <v>177939</v>
      </c>
      <c r="C660" s="9"/>
      <c r="D660" t="str">
        <f>"ugt-44"</f>
        <v>ugt-44</v>
      </c>
      <c r="E660" t="s">
        <v>103</v>
      </c>
      <c r="F660" t="s">
        <v>11</v>
      </c>
      <c r="G660" t="s">
        <v>572</v>
      </c>
      <c r="H660" s="12">
        <v>-3.26788753644637</v>
      </c>
      <c r="I660" s="20">
        <v>-3.1645410379997299</v>
      </c>
      <c r="J660" s="28">
        <v>1.55327755663417E-3</v>
      </c>
      <c r="K660" s="29">
        <v>5.4544120400591201E-2</v>
      </c>
    </row>
    <row r="661" spans="1:11" x14ac:dyDescent="0.35">
      <c r="A661" s="9" t="str">
        <f>HYPERLINK("http://www.ensembl.org/id/WBGene00016424", "WBGene00016424")</f>
        <v>WBGene00016424</v>
      </c>
      <c r="B661" s="9" t="str">
        <f>HYPERLINK("http://www.ncbi.nlm.nih.gov/gene/176963", "176963")</f>
        <v>176963</v>
      </c>
      <c r="C661" s="9"/>
      <c r="D661" t="str">
        <f>"C34H4.1"</f>
        <v>C34H4.1</v>
      </c>
      <c r="F661" t="s">
        <v>11</v>
      </c>
      <c r="G661" t="s">
        <v>573</v>
      </c>
      <c r="H661" s="12">
        <v>1.89217298353649</v>
      </c>
      <c r="I661" s="20">
        <v>3.1633342879264701</v>
      </c>
      <c r="J661" s="28">
        <v>1.55973119824157E-3</v>
      </c>
      <c r="K661" s="29">
        <v>5.46876313605002E-2</v>
      </c>
    </row>
    <row r="662" spans="1:11" x14ac:dyDescent="0.35">
      <c r="A662" s="9" t="str">
        <f>HYPERLINK("http://www.ensembl.org/id/WBGene00004878", "WBGene00004878")</f>
        <v>WBGene00004878</v>
      </c>
      <c r="B662" s="9" t="str">
        <f>HYPERLINK("http://www.ncbi.nlm.nih.gov/gene/177044", "177044")</f>
        <v>177044</v>
      </c>
      <c r="C662" s="9" t="str">
        <f>HYPERLINK("http://www.ncbi.nlm.nih.gov/gene/4891", "4891")</f>
        <v>4891</v>
      </c>
      <c r="D662" t="str">
        <f>"smf-3"</f>
        <v>smf-3</v>
      </c>
      <c r="E662" t="s">
        <v>574</v>
      </c>
      <c r="F662" t="s">
        <v>11</v>
      </c>
      <c r="G662" t="s">
        <v>575</v>
      </c>
      <c r="H662" s="12">
        <v>-3.6378182749801198</v>
      </c>
      <c r="I662" s="20">
        <v>-3.16111763495091</v>
      </c>
      <c r="J662" s="28">
        <v>1.57165012526523E-3</v>
      </c>
      <c r="K662" s="29">
        <v>5.50220421126945E-2</v>
      </c>
    </row>
    <row r="663" spans="1:11" x14ac:dyDescent="0.35">
      <c r="A663" s="9" t="str">
        <f>HYPERLINK("http://www.ensembl.org/id/WBGene00021470", "WBGene00021470")</f>
        <v>WBGene00021470</v>
      </c>
      <c r="B663" s="9" t="str">
        <f>HYPERLINK("http://www.ncbi.nlm.nih.gov/gene/171786", "171786")</f>
        <v>171786</v>
      </c>
      <c r="C663" s="9"/>
      <c r="D663" t="str">
        <f>"tpxl-1"</f>
        <v>tpxl-1</v>
      </c>
      <c r="E663" t="s">
        <v>576</v>
      </c>
      <c r="F663" t="s">
        <v>11</v>
      </c>
      <c r="G663" t="s">
        <v>577</v>
      </c>
      <c r="H663" s="12">
        <v>-1.8587494668139399</v>
      </c>
      <c r="I663" s="20">
        <v>-3.15844281149085</v>
      </c>
      <c r="J663" s="28">
        <v>1.5861442656598199E-3</v>
      </c>
      <c r="K663" s="29">
        <v>5.5445460517905998E-2</v>
      </c>
    </row>
    <row r="664" spans="1:11" x14ac:dyDescent="0.35">
      <c r="A664" s="9" t="str">
        <f>HYPERLINK("http://www.ensembl.org/id/WBGene00001068", "WBGene00001068")</f>
        <v>WBGene00001068</v>
      </c>
      <c r="B664" s="9" t="str">
        <f>HYPERLINK("http://www.ncbi.nlm.nih.gov/gene/181099", "181099")</f>
        <v>181099</v>
      </c>
      <c r="C664" s="9"/>
      <c r="D664" t="str">
        <f>"dpy-6"</f>
        <v>dpy-6</v>
      </c>
      <c r="E664" t="s">
        <v>578</v>
      </c>
      <c r="F664" t="s">
        <v>11</v>
      </c>
      <c r="G664" t="s">
        <v>579</v>
      </c>
      <c r="H664" s="12">
        <v>3.01987302134973</v>
      </c>
      <c r="I664" s="20">
        <v>3.1556299513884198</v>
      </c>
      <c r="J664" s="28">
        <v>1.60151905821677E-3</v>
      </c>
      <c r="K664" s="29">
        <v>5.5898337400538602E-2</v>
      </c>
    </row>
    <row r="665" spans="1:11" x14ac:dyDescent="0.35">
      <c r="A665" s="9" t="str">
        <f>HYPERLINK("http://www.ensembl.org/id/WBGene00015427", "WBGene00015427")</f>
        <v>WBGene00015427</v>
      </c>
      <c r="B665" s="9" t="str">
        <f>HYPERLINK("http://www.ncbi.nlm.nih.gov/gene/353442", "353442")</f>
        <v>353442</v>
      </c>
      <c r="C665" s="9"/>
      <c r="D665" t="str">
        <f>"C04E6.13"</f>
        <v>C04E6.13</v>
      </c>
      <c r="F665" t="s">
        <v>11</v>
      </c>
      <c r="H665" s="12">
        <v>2.1061924927057198</v>
      </c>
      <c r="I665" s="20">
        <v>3.1518923036808499</v>
      </c>
      <c r="J665" s="28">
        <v>1.6221609164523399E-3</v>
      </c>
      <c r="K665" s="29">
        <v>5.6448268276427301E-2</v>
      </c>
    </row>
    <row r="666" spans="1:11" x14ac:dyDescent="0.35">
      <c r="A666" s="9" t="str">
        <f>HYPERLINK("http://www.ensembl.org/id/WBGene00018613", "WBGene00018613")</f>
        <v>WBGene00018613</v>
      </c>
      <c r="B666" s="9" t="str">
        <f>HYPERLINK("http://www.ncbi.nlm.nih.gov/gene/175749", "175749")</f>
        <v>175749</v>
      </c>
      <c r="C666" s="9" t="str">
        <f>HYPERLINK("http://www.ncbi.nlm.nih.gov/gene/6502", "6502")</f>
        <v>6502</v>
      </c>
      <c r="D666" t="str">
        <f>"skpt-1"</f>
        <v>skpt-1</v>
      </c>
      <c r="E666" t="s">
        <v>580</v>
      </c>
      <c r="F666" t="s">
        <v>11</v>
      </c>
      <c r="G666" t="s">
        <v>581</v>
      </c>
      <c r="H666" s="12">
        <v>-1.99120145773743</v>
      </c>
      <c r="I666" s="20">
        <v>-3.1522631586883798</v>
      </c>
      <c r="J666" s="28">
        <v>1.6201019114495301E-3</v>
      </c>
      <c r="K666" s="29">
        <v>5.6448268276427301E-2</v>
      </c>
    </row>
    <row r="667" spans="1:11" x14ac:dyDescent="0.35">
      <c r="A667" s="9" t="str">
        <f>HYPERLINK("http://www.ensembl.org/id/WBGene00001066", "WBGene00001066")</f>
        <v>WBGene00001066</v>
      </c>
      <c r="B667" s="9" t="str">
        <f>HYPERLINK("http://www.ncbi.nlm.nih.gov/gene/178414", "178414")</f>
        <v>178414</v>
      </c>
      <c r="C667" s="9"/>
      <c r="D667" t="str">
        <f>"dpy-4"</f>
        <v>dpy-4</v>
      </c>
      <c r="E667" t="s">
        <v>578</v>
      </c>
      <c r="F667" t="s">
        <v>11</v>
      </c>
      <c r="G667" t="s">
        <v>582</v>
      </c>
      <c r="H667" s="12">
        <v>5.7451517572595696</v>
      </c>
      <c r="I667" s="20">
        <v>3.1499184840334502</v>
      </c>
      <c r="J667" s="28">
        <v>1.6331602375000301E-3</v>
      </c>
      <c r="K667" s="29">
        <v>5.67455645829711E-2</v>
      </c>
    </row>
    <row r="668" spans="1:11" x14ac:dyDescent="0.35">
      <c r="A668" s="9" t="str">
        <f>HYPERLINK("http://www.ensembl.org/id/WBGene00021153", "WBGene00021153")</f>
        <v>WBGene00021153</v>
      </c>
      <c r="B668" s="9" t="str">
        <f>HYPERLINK("http://www.ncbi.nlm.nih.gov/gene/189354", "189354")</f>
        <v>189354</v>
      </c>
      <c r="C668" s="9"/>
      <c r="D668" t="str">
        <f>"Y4C6A.3"</f>
        <v>Y4C6A.3</v>
      </c>
      <c r="F668" t="s">
        <v>11</v>
      </c>
      <c r="G668" t="s">
        <v>583</v>
      </c>
      <c r="H668" s="12">
        <v>-2.0637789775258302</v>
      </c>
      <c r="I668" s="20">
        <v>-3.1483289608399101</v>
      </c>
      <c r="J668" s="28">
        <v>1.64206787316175E-3</v>
      </c>
      <c r="K668" s="29">
        <v>5.6969399815728898E-2</v>
      </c>
    </row>
    <row r="669" spans="1:11" x14ac:dyDescent="0.35">
      <c r="A669" s="9" t="str">
        <f>HYPERLINK("http://www.ensembl.org/id/WBGene00010573", "WBGene00010573")</f>
        <v>WBGene00010573</v>
      </c>
      <c r="B669" s="9" t="str">
        <f>HYPERLINK("http://www.ncbi.nlm.nih.gov/gene/176315", "176315")</f>
        <v>176315</v>
      </c>
      <c r="C669" s="9"/>
      <c r="D669" t="str">
        <f>"K04H4.2"</f>
        <v>K04H4.2</v>
      </c>
      <c r="F669" t="s">
        <v>11</v>
      </c>
      <c r="G669" t="s">
        <v>191</v>
      </c>
      <c r="H669" s="12">
        <v>2.57844565141952</v>
      </c>
      <c r="I669" s="20">
        <v>3.1429985034942001</v>
      </c>
      <c r="J669" s="28">
        <v>1.67226694952467E-3</v>
      </c>
      <c r="K669" s="29">
        <v>5.7843413376821799E-2</v>
      </c>
    </row>
    <row r="670" spans="1:11" x14ac:dyDescent="0.35">
      <c r="A670" s="9" t="str">
        <f>HYPERLINK("http://www.ensembl.org/id/WBGene00010421", "WBGene00010421")</f>
        <v>WBGene00010421</v>
      </c>
      <c r="B670" s="9" t="str">
        <f>HYPERLINK("http://www.ncbi.nlm.nih.gov/gene/186798", "186798")</f>
        <v>186798</v>
      </c>
      <c r="C670" s="9"/>
      <c r="D670" t="str">
        <f>"slc-36.4"</f>
        <v>slc-36.4</v>
      </c>
      <c r="E670" t="s">
        <v>584</v>
      </c>
      <c r="F670" t="s">
        <v>11</v>
      </c>
      <c r="G670" t="s">
        <v>585</v>
      </c>
      <c r="H670" s="12">
        <v>2.0559829861141998</v>
      </c>
      <c r="I670" s="20">
        <v>3.1430539260291299</v>
      </c>
      <c r="J670" s="28">
        <v>1.6719503482058599E-3</v>
      </c>
      <c r="K670" s="29">
        <v>5.7843413376821799E-2</v>
      </c>
    </row>
    <row r="671" spans="1:11" x14ac:dyDescent="0.35">
      <c r="A671" s="9" t="str">
        <f>HYPERLINK("http://www.ensembl.org/id/WBGene00010839", "WBGene00010839")</f>
        <v>WBGene00010839</v>
      </c>
      <c r="B671" s="9" t="str">
        <f>HYPERLINK("http://www.ncbi.nlm.nih.gov/gene/176457", "176457")</f>
        <v>176457</v>
      </c>
      <c r="C671" s="9" t="str">
        <f>HYPERLINK("http://www.ncbi.nlm.nih.gov/gene/1663", "1663")</f>
        <v>1663</v>
      </c>
      <c r="D671" t="str">
        <f>"chl-1"</f>
        <v>chl-1</v>
      </c>
      <c r="E671" t="s">
        <v>586</v>
      </c>
      <c r="F671" t="s">
        <v>11</v>
      </c>
      <c r="G671" t="s">
        <v>587</v>
      </c>
      <c r="H671" s="12">
        <v>-2.1120008241536001</v>
      </c>
      <c r="I671" s="20">
        <v>-3.1418180305552301</v>
      </c>
      <c r="J671" s="28">
        <v>1.67902351528412E-3</v>
      </c>
      <c r="K671" s="29">
        <v>5.7990309931472098E-2</v>
      </c>
    </row>
    <row r="672" spans="1:11" x14ac:dyDescent="0.35">
      <c r="A672" s="9" t="str">
        <f>HYPERLINK("http://www.ensembl.org/id/WBGene00009301", "WBGene00009301")</f>
        <v>WBGene00009301</v>
      </c>
      <c r="B672" s="9" t="str">
        <f>HYPERLINK("http://www.ncbi.nlm.nih.gov/gene/185176", "185176")</f>
        <v>185176</v>
      </c>
      <c r="C672" s="9"/>
      <c r="D672" t="str">
        <f>"F31F6.2"</f>
        <v>F31F6.2</v>
      </c>
      <c r="F672" t="s">
        <v>11</v>
      </c>
      <c r="H672" s="12">
        <v>-3.8227077879707001</v>
      </c>
      <c r="I672" s="20">
        <v>-3.1380350453616299</v>
      </c>
      <c r="J672" s="28">
        <v>1.7008453990504499E-3</v>
      </c>
      <c r="K672" s="29">
        <v>5.8568902817376603E-2</v>
      </c>
    </row>
    <row r="673" spans="1:11" x14ac:dyDescent="0.35">
      <c r="A673" s="9" t="str">
        <f>HYPERLINK("http://www.ensembl.org/id/WBGene00022040", "WBGene00022040")</f>
        <v>WBGene00022040</v>
      </c>
      <c r="B673" s="9" t="str">
        <f>HYPERLINK("http://www.ncbi.nlm.nih.gov/gene/190488", "190488")</f>
        <v>190488</v>
      </c>
      <c r="C673" s="9"/>
      <c r="D673" t="str">
        <f>"Y65B4BR.1"</f>
        <v>Y65B4BR.1</v>
      </c>
      <c r="F673" t="s">
        <v>11</v>
      </c>
      <c r="G673" t="s">
        <v>588</v>
      </c>
      <c r="H673" s="12">
        <v>2.0370663020664601</v>
      </c>
      <c r="I673" s="20">
        <v>3.1381089118438501</v>
      </c>
      <c r="J673" s="28">
        <v>1.7004168199900201E-3</v>
      </c>
      <c r="K673" s="29">
        <v>5.8568902817376603E-2</v>
      </c>
    </row>
    <row r="674" spans="1:11" x14ac:dyDescent="0.35">
      <c r="A674" s="9" t="str">
        <f>HYPERLINK("http://www.ensembl.org/id/WBGene00000601", "WBGene00000601")</f>
        <v>WBGene00000601</v>
      </c>
      <c r="B674" s="9" t="str">
        <f>HYPERLINK("http://www.ncbi.nlm.nih.gov/gene/179453", "179453")</f>
        <v>179453</v>
      </c>
      <c r="C674" s="9"/>
      <c r="D674" t="str">
        <f>"col-12"</f>
        <v>col-12</v>
      </c>
      <c r="E674" t="s">
        <v>589</v>
      </c>
      <c r="F674" t="s">
        <v>11</v>
      </c>
      <c r="G674" t="s">
        <v>152</v>
      </c>
      <c r="H674" s="12">
        <v>2.9834292881488</v>
      </c>
      <c r="I674" s="20">
        <v>3.1368359063335198</v>
      </c>
      <c r="J674" s="28">
        <v>1.70781680972303E-3</v>
      </c>
      <c r="K674" s="29">
        <v>5.8635671675870603E-2</v>
      </c>
    </row>
    <row r="675" spans="1:11" x14ac:dyDescent="0.35">
      <c r="A675" s="9" t="str">
        <f>HYPERLINK("http://www.ensembl.org/id/WBGene00008536", "WBGene00008536")</f>
        <v>WBGene00008536</v>
      </c>
      <c r="B675" s="9" t="str">
        <f>HYPERLINK("http://www.ncbi.nlm.nih.gov/gene/178373", "178373")</f>
        <v>178373</v>
      </c>
      <c r="C675" s="9"/>
      <c r="D675" t="str">
        <f>"F02H6.3"</f>
        <v>F02H6.3</v>
      </c>
      <c r="F675" t="s">
        <v>11</v>
      </c>
      <c r="H675" s="12">
        <v>-2.20099382338435</v>
      </c>
      <c r="I675" s="20">
        <v>-3.1368285367876498</v>
      </c>
      <c r="J675" s="28">
        <v>1.7078597350411501E-3</v>
      </c>
      <c r="K675" s="29">
        <v>5.8635671675870603E-2</v>
      </c>
    </row>
    <row r="676" spans="1:11" x14ac:dyDescent="0.35">
      <c r="A676" s="9" t="str">
        <f>HYPERLINK("http://www.ensembl.org/id/WBGene00006163", "WBGene00006163")</f>
        <v>WBGene00006163</v>
      </c>
      <c r="B676" s="9" t="str">
        <f>HYPERLINK("http://www.ncbi.nlm.nih.gov/gene/191997", "191997")</f>
        <v>191997</v>
      </c>
      <c r="C676" s="9"/>
      <c r="D676" t="str">
        <f>"str-112"</f>
        <v>str-112</v>
      </c>
      <c r="E676" t="s">
        <v>590</v>
      </c>
      <c r="F676" t="s">
        <v>11</v>
      </c>
      <c r="G676" t="s">
        <v>591</v>
      </c>
      <c r="H676" s="12">
        <v>6.2598087072003104</v>
      </c>
      <c r="I676" s="20">
        <v>3.1362200762420498</v>
      </c>
      <c r="J676" s="28">
        <v>1.71140725406467E-3</v>
      </c>
      <c r="K676" s="29">
        <v>5.8670290819611698E-2</v>
      </c>
    </row>
    <row r="677" spans="1:11" x14ac:dyDescent="0.35">
      <c r="A677" s="9" t="str">
        <f>HYPERLINK("http://www.ensembl.org/id/WBGene00019885", "WBGene00019885")</f>
        <v>WBGene00019885</v>
      </c>
      <c r="B677" s="9" t="str">
        <f>HYPERLINK("http://www.ncbi.nlm.nih.gov/gene/187608", "187608")</f>
        <v>187608</v>
      </c>
      <c r="C677" s="9"/>
      <c r="D677" t="str">
        <f>"R05D8.7"</f>
        <v>R05D8.7</v>
      </c>
      <c r="F677" t="s">
        <v>11</v>
      </c>
      <c r="G677" t="s">
        <v>592</v>
      </c>
      <c r="H677" s="12">
        <v>3.4814544758644601</v>
      </c>
      <c r="I677" s="20">
        <v>3.1346117014962198</v>
      </c>
      <c r="J677" s="28">
        <v>1.7208172514391799E-3</v>
      </c>
      <c r="K677" s="29">
        <v>5.8905486535931299E-2</v>
      </c>
    </row>
    <row r="678" spans="1:11" x14ac:dyDescent="0.35">
      <c r="A678" s="9" t="str">
        <f>HYPERLINK("http://www.ensembl.org/id/WBGene00000606", "WBGene00000606")</f>
        <v>WBGene00000606</v>
      </c>
      <c r="B678" s="9" t="str">
        <f>HYPERLINK("http://www.ncbi.nlm.nih.gov/gene/173839", "173839")</f>
        <v>173839</v>
      </c>
      <c r="C678" s="9"/>
      <c r="D678" t="str">
        <f>"col-17"</f>
        <v>col-17</v>
      </c>
      <c r="E678" t="s">
        <v>40</v>
      </c>
      <c r="F678" t="s">
        <v>11</v>
      </c>
      <c r="G678" t="s">
        <v>593</v>
      </c>
      <c r="H678" s="12">
        <v>20.2337107272065</v>
      </c>
      <c r="I678" s="20">
        <v>3.13379099521647</v>
      </c>
      <c r="J678" s="28">
        <v>1.72563720905808E-3</v>
      </c>
      <c r="K678" s="29">
        <v>5.8926624649158002E-2</v>
      </c>
    </row>
    <row r="679" spans="1:11" x14ac:dyDescent="0.35">
      <c r="A679" s="9" t="str">
        <f>HYPERLINK("http://www.ensembl.org/id/WBGene00009865", "WBGene00009865")</f>
        <v>WBGene00009865</v>
      </c>
      <c r="B679" s="9" t="str">
        <f>HYPERLINK("http://www.ncbi.nlm.nih.gov/gene/173297", "173297")</f>
        <v>173297</v>
      </c>
      <c r="C679" s="9" t="str">
        <f>HYPERLINK("http://www.ncbi.nlm.nih.gov/gene/64167", "64167")</f>
        <v>64167</v>
      </c>
      <c r="D679" t="str">
        <f>"F49B2.6"</f>
        <v>F49B2.6</v>
      </c>
      <c r="E679" t="s">
        <v>594</v>
      </c>
      <c r="F679" t="s">
        <v>11</v>
      </c>
      <c r="G679" t="s">
        <v>595</v>
      </c>
      <c r="H679" s="12">
        <v>1.96640045042345</v>
      </c>
      <c r="I679" s="20">
        <v>3.1336383062436202</v>
      </c>
      <c r="J679" s="28">
        <v>1.72653531063273E-3</v>
      </c>
      <c r="K679" s="29">
        <v>5.8926624649158002E-2</v>
      </c>
    </row>
    <row r="680" spans="1:11" x14ac:dyDescent="0.35">
      <c r="A680" s="9" t="str">
        <f>HYPERLINK("http://www.ensembl.org/id/WBGene00019699", "WBGene00019699")</f>
        <v>WBGene00019699</v>
      </c>
      <c r="B680" s="9" t="str">
        <f>HYPERLINK("http://www.ncbi.nlm.nih.gov/gene/173482", "173482")</f>
        <v>173482</v>
      </c>
      <c r="C680" s="9"/>
      <c r="D680" t="str">
        <f>"math-34"</f>
        <v>math-34</v>
      </c>
      <c r="E680" t="s">
        <v>596</v>
      </c>
      <c r="F680" t="s">
        <v>11</v>
      </c>
      <c r="G680" t="s">
        <v>54</v>
      </c>
      <c r="H680" s="12">
        <v>-4.7705864233323201</v>
      </c>
      <c r="I680" s="20">
        <v>-3.1331868010022101</v>
      </c>
      <c r="J680" s="28">
        <v>1.7291935355835701E-3</v>
      </c>
      <c r="K680" s="29">
        <v>5.8930303588781797E-2</v>
      </c>
    </row>
    <row r="681" spans="1:11" x14ac:dyDescent="0.35">
      <c r="A681" s="9" t="str">
        <f>HYPERLINK("http://www.ensembl.org/id/WBGene00021740", "WBGene00021740")</f>
        <v>WBGene00021740</v>
      </c>
      <c r="B681" s="9" t="str">
        <f>HYPERLINK("http://www.ncbi.nlm.nih.gov/gene/190093", "190093")</f>
        <v>190093</v>
      </c>
      <c r="C681" s="9"/>
      <c r="D681" t="str">
        <f>"Y50D4B.1"</f>
        <v>Y50D4B.1</v>
      </c>
      <c r="F681" t="s">
        <v>11</v>
      </c>
      <c r="H681" s="12">
        <v>2.0030260026795901</v>
      </c>
      <c r="I681" s="20">
        <v>3.1326251417697399</v>
      </c>
      <c r="J681" s="28">
        <v>1.7325055419823399E-3</v>
      </c>
      <c r="K681" s="29">
        <v>5.8956219518474198E-2</v>
      </c>
    </row>
    <row r="682" spans="1:11" x14ac:dyDescent="0.35">
      <c r="A682" s="9" t="str">
        <f>HYPERLINK("http://www.ensembl.org/id/WBGene00008740", "WBGene00008740")</f>
        <v>WBGene00008740</v>
      </c>
      <c r="B682" s="9" t="str">
        <f>HYPERLINK("http://www.ncbi.nlm.nih.gov/gene/174799", "174799")</f>
        <v>174799</v>
      </c>
      <c r="C682" s="9"/>
      <c r="D682" t="str">
        <f>"F13D12.5"</f>
        <v>F13D12.5</v>
      </c>
      <c r="F682" t="s">
        <v>11</v>
      </c>
      <c r="G682" t="s">
        <v>25</v>
      </c>
      <c r="H682" s="12">
        <v>-2.0808847944539401</v>
      </c>
      <c r="I682" s="20">
        <v>-3.1320687492363501</v>
      </c>
      <c r="J682" s="28">
        <v>1.73579224226529E-3</v>
      </c>
      <c r="K682" s="29">
        <v>5.89811993379145E-2</v>
      </c>
    </row>
    <row r="683" spans="1:11" x14ac:dyDescent="0.35">
      <c r="A683" s="9" t="str">
        <f>HYPERLINK("http://www.ensembl.org/id/WBGene00019578", "WBGene00019578")</f>
        <v>WBGene00019578</v>
      </c>
      <c r="B683" s="9" t="str">
        <f>HYPERLINK("http://www.ncbi.nlm.nih.gov/gene/187223", "187223")</f>
        <v>187223</v>
      </c>
      <c r="C683" s="9"/>
      <c r="D683" t="str">
        <f>"K09E3.7"</f>
        <v>K09E3.7</v>
      </c>
      <c r="F683" t="s">
        <v>11</v>
      </c>
      <c r="H683" s="12">
        <v>-2.6191263561991298</v>
      </c>
      <c r="I683" s="20">
        <v>-3.1312903021523102</v>
      </c>
      <c r="J683" s="28">
        <v>1.74040027746039E-3</v>
      </c>
      <c r="K683" s="29">
        <v>5.90509380484577E-2</v>
      </c>
    </row>
    <row r="684" spans="1:11" x14ac:dyDescent="0.35">
      <c r="A684" s="9" t="str">
        <f>HYPERLINK("http://www.ensembl.org/id/WBGene00010048", "WBGene00010048")</f>
        <v>WBGene00010048</v>
      </c>
      <c r="B684" s="9" t="str">
        <f>HYPERLINK("http://www.ncbi.nlm.nih.gov/gene/174774", "174774")</f>
        <v>174774</v>
      </c>
      <c r="C684" s="9"/>
      <c r="D684" t="str">
        <f>"F54D5.2"</f>
        <v>F54D5.2</v>
      </c>
      <c r="F684" t="s">
        <v>11</v>
      </c>
      <c r="H684" s="12">
        <v>-2.1895091551351502</v>
      </c>
      <c r="I684" s="20">
        <v>-3.1298133306302498</v>
      </c>
      <c r="J684" s="28">
        <v>1.7491741748785501E-3</v>
      </c>
      <c r="K684" s="29">
        <v>5.9261610681442603E-2</v>
      </c>
    </row>
    <row r="685" spans="1:11" x14ac:dyDescent="0.35">
      <c r="A685" s="9" t="str">
        <f>HYPERLINK("http://www.ensembl.org/id/WBGene00003395", "WBGene00003395")</f>
        <v>WBGene00003395</v>
      </c>
      <c r="B685" s="9" t="str">
        <f>HYPERLINK("http://www.ncbi.nlm.nih.gov/gene/179217", "179217")</f>
        <v>179217</v>
      </c>
      <c r="C685" s="9"/>
      <c r="D685" t="str">
        <f>"mom-2"</f>
        <v>mom-2</v>
      </c>
      <c r="F685" t="s">
        <v>11</v>
      </c>
      <c r="G685" t="s">
        <v>597</v>
      </c>
      <c r="H685" s="12">
        <v>-1.9095401490464601</v>
      </c>
      <c r="I685" s="20">
        <v>-3.1292724267542602</v>
      </c>
      <c r="J685" s="28">
        <v>1.75239755657398E-3</v>
      </c>
      <c r="K685" s="29">
        <v>5.9283891569836503E-2</v>
      </c>
    </row>
    <row r="686" spans="1:11" x14ac:dyDescent="0.35">
      <c r="A686" s="9" t="str">
        <f>HYPERLINK("http://www.ensembl.org/id/WBGene00044389", "WBGene00044389")</f>
        <v>WBGene00044389</v>
      </c>
      <c r="B686" s="9" t="str">
        <f>HYPERLINK("http://www.ncbi.nlm.nih.gov/gene/3565138", "3565138")</f>
        <v>3565138</v>
      </c>
      <c r="C686" s="9"/>
      <c r="D686" t="str">
        <f>"C27D6.12"</f>
        <v>C27D6.12</v>
      </c>
      <c r="F686" t="s">
        <v>11</v>
      </c>
      <c r="H686" s="12">
        <v>1.9625425278341799</v>
      </c>
      <c r="I686" s="20">
        <v>3.1283458228276899</v>
      </c>
      <c r="J686" s="28">
        <v>1.7579321156542501E-3</v>
      </c>
      <c r="K686" s="29">
        <v>5.9384180503372998E-2</v>
      </c>
    </row>
    <row r="687" spans="1:11" x14ac:dyDescent="0.35">
      <c r="A687" s="9" t="str">
        <f>HYPERLINK("http://www.ensembl.org/id/WBGene00022420", "WBGene00022420")</f>
        <v>WBGene00022420</v>
      </c>
      <c r="B687" s="9" t="str">
        <f>HYPERLINK("http://www.ncbi.nlm.nih.gov/gene/190860", "190860")</f>
        <v>190860</v>
      </c>
      <c r="C687" s="9"/>
      <c r="D687" t="str">
        <f>"wdr-4"</f>
        <v>wdr-4</v>
      </c>
      <c r="E687" t="s">
        <v>598</v>
      </c>
      <c r="F687" t="s">
        <v>11</v>
      </c>
      <c r="G687" t="s">
        <v>599</v>
      </c>
      <c r="H687" s="12">
        <v>-1.84649758422636</v>
      </c>
      <c r="I687" s="20">
        <v>-3.1254983594007602</v>
      </c>
      <c r="J687" s="28">
        <v>1.77504060138724E-3</v>
      </c>
      <c r="K687" s="29">
        <v>5.9874581219932103E-2</v>
      </c>
    </row>
    <row r="688" spans="1:11" x14ac:dyDescent="0.35">
      <c r="A688" s="9" t="str">
        <f>HYPERLINK("http://www.ensembl.org/id/WBGene00022816", "WBGene00022816")</f>
        <v>WBGene00022816</v>
      </c>
      <c r="B688" s="9" t="str">
        <f>HYPERLINK("http://www.ncbi.nlm.nih.gov/gene/176076", "176076")</f>
        <v>176076</v>
      </c>
      <c r="C688" s="9"/>
      <c r="D688" t="str">
        <f>"fbn-1"</f>
        <v>fbn-1</v>
      </c>
      <c r="E688" t="s">
        <v>600</v>
      </c>
      <c r="F688" t="s">
        <v>11</v>
      </c>
      <c r="G688" t="s">
        <v>601</v>
      </c>
      <c r="H688" s="12">
        <v>1.8387157053701999</v>
      </c>
      <c r="I688" s="20">
        <v>3.12477171322235</v>
      </c>
      <c r="J688" s="28">
        <v>1.7794309736197801E-3</v>
      </c>
      <c r="K688" s="29">
        <v>5.9935177954021299E-2</v>
      </c>
    </row>
    <row r="689" spans="1:11" x14ac:dyDescent="0.35">
      <c r="A689" s="9" t="str">
        <f>HYPERLINK("http://www.ensembl.org/id/WBGene00016264", "WBGene00016264")</f>
        <v>WBGene00016264</v>
      </c>
      <c r="B689" s="9" t="str">
        <f>HYPERLINK("http://www.ncbi.nlm.nih.gov/gene/183055", "183055")</f>
        <v>183055</v>
      </c>
      <c r="C689" s="9"/>
      <c r="D689" t="str">
        <f>"C30F12.5"</f>
        <v>C30F12.5</v>
      </c>
      <c r="F689" t="s">
        <v>11</v>
      </c>
      <c r="G689" t="s">
        <v>603</v>
      </c>
      <c r="H689" s="12">
        <v>1.90946997583856</v>
      </c>
      <c r="I689" s="20">
        <v>3.1233889512627599</v>
      </c>
      <c r="J689" s="28">
        <v>1.7878131582986299E-3</v>
      </c>
      <c r="K689" s="29">
        <v>6.0037177243609401E-2</v>
      </c>
    </row>
    <row r="690" spans="1:11" x14ac:dyDescent="0.35">
      <c r="A690" s="9" t="str">
        <f>HYPERLINK("http://www.ensembl.org/id/WBGene00009447", "WBGene00009447")</f>
        <v>WBGene00009447</v>
      </c>
      <c r="B690" s="9" t="str">
        <f>HYPERLINK("http://www.ncbi.nlm.nih.gov/gene/185325", "185325")</f>
        <v>185325</v>
      </c>
      <c r="C690" s="9"/>
      <c r="D690" t="str">
        <f>"F35H8.2"</f>
        <v>F35H8.2</v>
      </c>
      <c r="F690" t="s">
        <v>11</v>
      </c>
      <c r="G690" t="s">
        <v>602</v>
      </c>
      <c r="H690" s="12">
        <v>2.5726680722808899</v>
      </c>
      <c r="I690" s="20">
        <v>3.1229873754834898</v>
      </c>
      <c r="J690" s="28">
        <v>1.79025426819211E-3</v>
      </c>
      <c r="K690" s="29">
        <v>6.0037177243609401E-2</v>
      </c>
    </row>
    <row r="691" spans="1:11" x14ac:dyDescent="0.35">
      <c r="A691" s="9" t="str">
        <f>HYPERLINK("http://www.ensembl.org/id/WBGene00018865", "WBGene00018865")</f>
        <v>WBGene00018865</v>
      </c>
      <c r="B691" s="9" t="str">
        <f>HYPERLINK("http://www.ncbi.nlm.nih.gov/gene/186280", "186280")</f>
        <v>186280</v>
      </c>
      <c r="C691" s="9"/>
      <c r="D691" t="str">
        <f>"F55A12.6"</f>
        <v>F55A12.6</v>
      </c>
      <c r="F691" t="s">
        <v>11</v>
      </c>
      <c r="H691" s="12">
        <v>2.1643370186872799</v>
      </c>
      <c r="I691" s="20">
        <v>3.1235545521510302</v>
      </c>
      <c r="J691" s="28">
        <v>1.7868073903563801E-3</v>
      </c>
      <c r="K691" s="29">
        <v>6.0037177243609401E-2</v>
      </c>
    </row>
    <row r="692" spans="1:11" x14ac:dyDescent="0.35">
      <c r="A692" s="9" t="str">
        <f>HYPERLINK("http://www.ensembl.org/id/WBGene00009006", "WBGene00009006")</f>
        <v>WBGene00009006</v>
      </c>
      <c r="B692" s="9" t="str">
        <f>HYPERLINK("http://www.ncbi.nlm.nih.gov/gene/177678", "177678")</f>
        <v>177678</v>
      </c>
      <c r="C692" s="9" t="str">
        <f>HYPERLINK("http://www.ncbi.nlm.nih.gov/gene/5238", "5238")</f>
        <v>5238</v>
      </c>
      <c r="D692" t="str">
        <f>"F21D5.1"</f>
        <v>F21D5.1</v>
      </c>
      <c r="E692" t="s">
        <v>604</v>
      </c>
      <c r="F692" t="s">
        <v>11</v>
      </c>
      <c r="G692" t="s">
        <v>605</v>
      </c>
      <c r="H692" s="12">
        <v>-1.79198555073946</v>
      </c>
      <c r="I692" s="20">
        <v>-3.1220767104001399</v>
      </c>
      <c r="J692" s="28">
        <v>1.79580139978197E-3</v>
      </c>
      <c r="K692" s="29">
        <v>6.0135923396177203E-2</v>
      </c>
    </row>
    <row r="693" spans="1:11" x14ac:dyDescent="0.35">
      <c r="A693" s="9" t="str">
        <f>HYPERLINK("http://www.ensembl.org/id/WBGene00007827", "WBGene00007827")</f>
        <v>WBGene00007827</v>
      </c>
      <c r="B693" s="9" t="str">
        <f>HYPERLINK("http://www.ncbi.nlm.nih.gov/gene/259607", "259607")</f>
        <v>259607</v>
      </c>
      <c r="C693" s="9"/>
      <c r="D693" t="str">
        <f>"trh-1"</f>
        <v>trh-1</v>
      </c>
      <c r="E693" t="s">
        <v>606</v>
      </c>
      <c r="F693" t="s">
        <v>11</v>
      </c>
      <c r="H693" s="12">
        <v>2.32498578225549</v>
      </c>
      <c r="I693" s="20">
        <v>3.1202041714023299</v>
      </c>
      <c r="J693" s="28">
        <v>1.80725726265602E-3</v>
      </c>
      <c r="K693" s="29">
        <v>6.04319628233429E-2</v>
      </c>
    </row>
    <row r="694" spans="1:11" x14ac:dyDescent="0.35">
      <c r="A694" s="9" t="str">
        <f>HYPERLINK("http://www.ensembl.org/id/WBGene00017460", "WBGene00017460")</f>
        <v>WBGene00017460</v>
      </c>
      <c r="B694" s="9" t="str">
        <f>HYPERLINK("http://www.ncbi.nlm.nih.gov/gene/173678", "173678")</f>
        <v>173678</v>
      </c>
      <c r="C694" s="9"/>
      <c r="D694" t="str">
        <f>"bath-30"</f>
        <v>bath-30</v>
      </c>
      <c r="E694" t="s">
        <v>179</v>
      </c>
      <c r="F694" t="s">
        <v>11</v>
      </c>
      <c r="G694" t="s">
        <v>54</v>
      </c>
      <c r="H694" s="12">
        <v>-2.1061169204336698</v>
      </c>
      <c r="I694" s="20">
        <v>-3.11938888327537</v>
      </c>
      <c r="J694" s="28">
        <v>1.8122660071515401E-3</v>
      </c>
      <c r="K694" s="29">
        <v>6.0511876244571501E-2</v>
      </c>
    </row>
    <row r="695" spans="1:11" x14ac:dyDescent="0.35">
      <c r="A695" s="9" t="str">
        <f>HYPERLINK("http://www.ensembl.org/id/WBGene00000670", "WBGene00000670")</f>
        <v>WBGene00000670</v>
      </c>
      <c r="B695" s="9" t="str">
        <f>HYPERLINK("http://www.ncbi.nlm.nih.gov/gene/176602", "176602")</f>
        <v>176602</v>
      </c>
      <c r="C695" s="9"/>
      <c r="D695" t="str">
        <f>"col-95"</f>
        <v>col-95</v>
      </c>
      <c r="E695" t="s">
        <v>40</v>
      </c>
      <c r="F695" t="s">
        <v>11</v>
      </c>
      <c r="G695" t="s">
        <v>41</v>
      </c>
      <c r="H695" s="12">
        <v>1.81415996837561</v>
      </c>
      <c r="I695" s="20">
        <v>3.11781365052062</v>
      </c>
      <c r="J695" s="28">
        <v>1.82197964575633E-3</v>
      </c>
      <c r="K695" s="29">
        <v>6.0748429574092003E-2</v>
      </c>
    </row>
    <row r="696" spans="1:11" x14ac:dyDescent="0.35">
      <c r="A696" s="9" t="str">
        <f>HYPERLINK("http://www.ensembl.org/id/WBGene00007214", "WBGene00007214")</f>
        <v>WBGene00007214</v>
      </c>
      <c r="B696" s="9" t="str">
        <f>HYPERLINK("http://www.ncbi.nlm.nih.gov/gene/173208", "173208")</f>
        <v>173208</v>
      </c>
      <c r="C696" s="9"/>
      <c r="D696" t="str">
        <f>"C01A2.2"</f>
        <v>C01A2.2</v>
      </c>
      <c r="F696" t="s">
        <v>11</v>
      </c>
      <c r="G696" t="s">
        <v>25</v>
      </c>
      <c r="H696" s="12">
        <v>2.12222934086688</v>
      </c>
      <c r="I696" s="20">
        <v>3.11586407331867</v>
      </c>
      <c r="J696" s="28">
        <v>1.8340679161131101E-3</v>
      </c>
      <c r="K696" s="29">
        <v>6.1063362060100199E-2</v>
      </c>
    </row>
    <row r="697" spans="1:11" x14ac:dyDescent="0.35">
      <c r="A697" s="9" t="str">
        <f>HYPERLINK("http://www.ensembl.org/id/WBGene00021772", "WBGene00021772")</f>
        <v>WBGene00021772</v>
      </c>
      <c r="B697" s="9" t="str">
        <f>HYPERLINK("http://www.ncbi.nlm.nih.gov/gene/173526", "173526")</f>
        <v>173526</v>
      </c>
      <c r="C697" s="9"/>
      <c r="D697" t="str">
        <f>"math-45"</f>
        <v>math-45</v>
      </c>
      <c r="E697" t="s">
        <v>596</v>
      </c>
      <c r="F697" t="s">
        <v>11</v>
      </c>
      <c r="G697" t="s">
        <v>54</v>
      </c>
      <c r="H697" s="12">
        <v>-4.8257217006000896</v>
      </c>
      <c r="I697" s="20">
        <v>-3.11492921112049</v>
      </c>
      <c r="J697" s="28">
        <v>1.8398905923001599E-3</v>
      </c>
      <c r="K697" s="29">
        <v>6.1169082051348897E-2</v>
      </c>
    </row>
    <row r="698" spans="1:11" x14ac:dyDescent="0.35">
      <c r="A698" s="9" t="str">
        <f>HYPERLINK("http://www.ensembl.org/id/WBGene00044719", "WBGene00044719")</f>
        <v>WBGene00044719</v>
      </c>
      <c r="B698" s="9" t="str">
        <f>HYPERLINK("http://www.ncbi.nlm.nih.gov/gene/4363071", "4363071")</f>
        <v>4363071</v>
      </c>
      <c r="C698" s="9"/>
      <c r="D698" t="str">
        <f>"clec-172"</f>
        <v>clec-172</v>
      </c>
      <c r="E698" t="s">
        <v>46</v>
      </c>
      <c r="F698" t="s">
        <v>11</v>
      </c>
      <c r="G698" t="s">
        <v>151</v>
      </c>
      <c r="H698" s="12">
        <v>-5.0118789621118296</v>
      </c>
      <c r="I698" s="20">
        <v>-3.1122979148090999</v>
      </c>
      <c r="J698" s="28">
        <v>1.8563706058009699E-3</v>
      </c>
      <c r="K698" s="29">
        <v>6.1317802256037203E-2</v>
      </c>
    </row>
    <row r="699" spans="1:11" x14ac:dyDescent="0.35">
      <c r="A699" s="9" t="str">
        <f>HYPERLINK("http://www.ensembl.org/id/WBGene00003759", "WBGene00003759")</f>
        <v>WBGene00003759</v>
      </c>
      <c r="B699" s="9" t="str">
        <f>HYPERLINK("http://www.ncbi.nlm.nih.gov/gene/176570", "176570")</f>
        <v>176570</v>
      </c>
      <c r="C699" s="9"/>
      <c r="D699" t="str">
        <f>"nlp-21"</f>
        <v>nlp-21</v>
      </c>
      <c r="E699" t="s">
        <v>76</v>
      </c>
      <c r="F699" t="s">
        <v>11</v>
      </c>
      <c r="G699" t="s">
        <v>77</v>
      </c>
      <c r="H699" s="12">
        <v>1.9078566186788199</v>
      </c>
      <c r="I699" s="20">
        <v>3.1132724261586899</v>
      </c>
      <c r="J699" s="28">
        <v>1.8502514178628999E-3</v>
      </c>
      <c r="K699" s="29">
        <v>6.1317802256037203E-2</v>
      </c>
    </row>
    <row r="700" spans="1:11" x14ac:dyDescent="0.35">
      <c r="A700" s="9" t="str">
        <f>HYPERLINK("http://www.ensembl.org/id/WBGene00011152", "WBGene00011152")</f>
        <v>WBGene00011152</v>
      </c>
      <c r="B700" s="9" t="str">
        <f>HYPERLINK("http://www.ncbi.nlm.nih.gov/gene/187722", "187722")</f>
        <v>187722</v>
      </c>
      <c r="C700" s="9"/>
      <c r="D700" t="str">
        <f>"R09A8.1"</f>
        <v>R09A8.1</v>
      </c>
      <c r="F700" t="s">
        <v>11</v>
      </c>
      <c r="H700" s="12">
        <v>-3.1932945457103901</v>
      </c>
      <c r="I700" s="20">
        <v>-3.1120972843198</v>
      </c>
      <c r="J700" s="28">
        <v>1.85763271787527E-3</v>
      </c>
      <c r="K700" s="29">
        <v>6.1317802256037203E-2</v>
      </c>
    </row>
    <row r="701" spans="1:11" x14ac:dyDescent="0.35">
      <c r="A701" s="9" t="str">
        <f>HYPERLINK("http://www.ensembl.org/id/WBGene00010790", "WBGene00010790")</f>
        <v>WBGene00010790</v>
      </c>
      <c r="B701" s="9" t="str">
        <f>HYPERLINK("http://www.ncbi.nlm.nih.gov/gene/179627", "179627")</f>
        <v>179627</v>
      </c>
      <c r="C701" s="9"/>
      <c r="D701" t="str">
        <f>"sodh-1"</f>
        <v>sodh-1</v>
      </c>
      <c r="E701" t="s">
        <v>607</v>
      </c>
      <c r="F701" t="s">
        <v>11</v>
      </c>
      <c r="G701" t="s">
        <v>608</v>
      </c>
      <c r="H701" s="12">
        <v>-2.05555856917946</v>
      </c>
      <c r="I701" s="20">
        <v>-3.1124289576789499</v>
      </c>
      <c r="J701" s="28">
        <v>1.8555466759670001E-3</v>
      </c>
      <c r="K701" s="29">
        <v>6.1317802256037203E-2</v>
      </c>
    </row>
    <row r="702" spans="1:11" x14ac:dyDescent="0.35">
      <c r="A702" s="9" t="str">
        <f>HYPERLINK("http://www.ensembl.org/id/WBGene00012481", "WBGene00012481")</f>
        <v>WBGene00012481</v>
      </c>
      <c r="B702" s="9" t="str">
        <f>HYPERLINK("http://www.ncbi.nlm.nih.gov/gene/173153", "173153")</f>
        <v>173153</v>
      </c>
      <c r="C702" s="9"/>
      <c r="D702" t="str">
        <f>"Y18D10A.11"</f>
        <v>Y18D10A.11</v>
      </c>
      <c r="F702" t="s">
        <v>11</v>
      </c>
      <c r="G702" t="s">
        <v>25</v>
      </c>
      <c r="H702" s="12">
        <v>-1.84648864175276</v>
      </c>
      <c r="I702" s="20">
        <v>-3.1134419263480799</v>
      </c>
      <c r="J702" s="28">
        <v>1.84918897988279E-3</v>
      </c>
      <c r="K702" s="29">
        <v>6.1317802256037203E-2</v>
      </c>
    </row>
    <row r="703" spans="1:11" x14ac:dyDescent="0.35">
      <c r="A703" s="9" t="str">
        <f>HYPERLINK("http://www.ensembl.org/id/WBGene00019957", "WBGene00019957")</f>
        <v>WBGene00019957</v>
      </c>
      <c r="B703" s="9" t="str">
        <f>HYPERLINK("http://www.ncbi.nlm.nih.gov/gene/180758", "180758")</f>
        <v>180758</v>
      </c>
      <c r="C703" s="9"/>
      <c r="D703" t="str">
        <f>"R08E3.1"</f>
        <v>R08E3.1</v>
      </c>
      <c r="F703" t="s">
        <v>11</v>
      </c>
      <c r="G703" t="s">
        <v>609</v>
      </c>
      <c r="H703" s="12">
        <v>1.84513459283395</v>
      </c>
      <c r="I703" s="20">
        <v>3.1114250164815198</v>
      </c>
      <c r="J703" s="28">
        <v>1.8618675213087799E-3</v>
      </c>
      <c r="K703" s="29">
        <v>6.1369915759430398E-2</v>
      </c>
    </row>
    <row r="704" spans="1:11" x14ac:dyDescent="0.35">
      <c r="A704" s="9" t="str">
        <f>HYPERLINK("http://www.ensembl.org/id/WBGene00011994", "WBGene00011994")</f>
        <v>WBGene00011994</v>
      </c>
      <c r="B704" s="9" t="str">
        <f>HYPERLINK("http://www.ncbi.nlm.nih.gov/gene/174727", "174727")</f>
        <v>174727</v>
      </c>
      <c r="C704" s="9"/>
      <c r="D704" t="str">
        <f>"samp-1"</f>
        <v>samp-1</v>
      </c>
      <c r="E704" t="s">
        <v>610</v>
      </c>
      <c r="F704" t="s">
        <v>11</v>
      </c>
      <c r="G704" t="s">
        <v>611</v>
      </c>
      <c r="H704" s="12">
        <v>-1.8557121228500399</v>
      </c>
      <c r="I704" s="20">
        <v>-3.10925130491851</v>
      </c>
      <c r="J704" s="28">
        <v>1.8756211129643101E-3</v>
      </c>
      <c r="K704" s="29">
        <v>6.1735187230987698E-2</v>
      </c>
    </row>
    <row r="705" spans="1:11" x14ac:dyDescent="0.35">
      <c r="A705" s="9" t="str">
        <f>HYPERLINK("http://www.ensembl.org/id/WBGene00011399", "WBGene00011399")</f>
        <v>WBGene00011399</v>
      </c>
      <c r="B705" s="9" t="str">
        <f>HYPERLINK("http://www.ncbi.nlm.nih.gov/gene/176760", "176760")</f>
        <v>176760</v>
      </c>
      <c r="C705" s="9" t="str">
        <f>HYPERLINK("http://www.ncbi.nlm.nih.gov/gene/132789", "132789")</f>
        <v>132789</v>
      </c>
      <c r="D705" t="str">
        <f>"T03F6.3"</f>
        <v>T03F6.3</v>
      </c>
      <c r="E705" t="s">
        <v>612</v>
      </c>
      <c r="F705" t="s">
        <v>11</v>
      </c>
      <c r="G705" t="s">
        <v>613</v>
      </c>
      <c r="H705" s="12">
        <v>-1.77930213089156</v>
      </c>
      <c r="I705" s="20">
        <v>-3.10646914479211</v>
      </c>
      <c r="J705" s="28">
        <v>1.8933606659806001E-3</v>
      </c>
      <c r="K705" s="29">
        <v>6.2230428944733698E-2</v>
      </c>
    </row>
    <row r="706" spans="1:11" x14ac:dyDescent="0.35">
      <c r="A706" s="9" t="str">
        <f>HYPERLINK("http://www.ensembl.org/id/WBGene00008482", "WBGene00008482")</f>
        <v>WBGene00008482</v>
      </c>
      <c r="B706" s="9" t="str">
        <f>HYPERLINK("http://www.ncbi.nlm.nih.gov/gene/184037", "184037")</f>
        <v>184037</v>
      </c>
      <c r="C706" s="9"/>
      <c r="D706" t="str">
        <f>"cut-4"</f>
        <v>cut-4</v>
      </c>
      <c r="E706" t="s">
        <v>614</v>
      </c>
      <c r="F706" t="s">
        <v>11</v>
      </c>
      <c r="G706" t="s">
        <v>615</v>
      </c>
      <c r="H706" s="12">
        <v>1.95153858867209</v>
      </c>
      <c r="I706" s="20">
        <v>3.1041313362670602</v>
      </c>
      <c r="J706" s="28">
        <v>1.90838596024777E-3</v>
      </c>
      <c r="K706" s="29">
        <v>6.2602251853872498E-2</v>
      </c>
    </row>
    <row r="707" spans="1:11" x14ac:dyDescent="0.35">
      <c r="A707" s="9" t="str">
        <f>HYPERLINK("http://www.ensembl.org/id/WBGene00012716", "WBGene00012716")</f>
        <v>WBGene00012716</v>
      </c>
      <c r="B707" s="9" t="str">
        <f>HYPERLINK("http://www.ncbi.nlm.nih.gov/gene/176735", "176735")</f>
        <v>176735</v>
      </c>
      <c r="C707" s="9"/>
      <c r="D707" t="str">
        <f>"Y39E4B.5"</f>
        <v>Y39E4B.5</v>
      </c>
      <c r="F707" t="s">
        <v>11</v>
      </c>
      <c r="G707" t="s">
        <v>230</v>
      </c>
      <c r="H707" s="12">
        <v>-1.9917429206549599</v>
      </c>
      <c r="I707" s="20">
        <v>-3.10386694840401</v>
      </c>
      <c r="J707" s="28">
        <v>1.9100920781173799E-3</v>
      </c>
      <c r="K707" s="29">
        <v>6.2602251853872498E-2</v>
      </c>
    </row>
    <row r="708" spans="1:11" x14ac:dyDescent="0.35">
      <c r="A708" s="9" t="str">
        <f>HYPERLINK("http://www.ensembl.org/id/WBGene00022462", "WBGene00022462")</f>
        <v>WBGene00022462</v>
      </c>
      <c r="B708" s="9" t="str">
        <f>HYPERLINK("http://www.ncbi.nlm.nih.gov/gene/172142", "172142")</f>
        <v>172142</v>
      </c>
      <c r="C708" s="9"/>
      <c r="D708" t="str">
        <f>"Y110A7A.15"</f>
        <v>Y110A7A.15</v>
      </c>
      <c r="F708" t="s">
        <v>11</v>
      </c>
      <c r="H708" s="12">
        <v>-2.0773839536070202</v>
      </c>
      <c r="I708" s="20">
        <v>-3.1023011130327598</v>
      </c>
      <c r="J708" s="28">
        <v>1.9202252969692201E-3</v>
      </c>
      <c r="K708" s="29">
        <v>6.2845220554915995E-2</v>
      </c>
    </row>
    <row r="709" spans="1:11" x14ac:dyDescent="0.35">
      <c r="A709" s="9" t="str">
        <f>HYPERLINK("http://www.ensembl.org/id/WBGene00009213", "WBGene00009213")</f>
        <v>WBGene00009213</v>
      </c>
      <c r="B709" s="9" t="str">
        <f>HYPERLINK("http://www.ncbi.nlm.nih.gov/gene/185060", "185060")</f>
        <v>185060</v>
      </c>
      <c r="C709" s="9"/>
      <c r="D709" t="str">
        <f>"thn-1"</f>
        <v>thn-1</v>
      </c>
      <c r="E709" t="s">
        <v>20</v>
      </c>
      <c r="F709" t="s">
        <v>11</v>
      </c>
      <c r="G709" t="s">
        <v>616</v>
      </c>
      <c r="H709" s="12">
        <v>-4.7011622307836101</v>
      </c>
      <c r="I709" s="20">
        <v>-3.1003076147933202</v>
      </c>
      <c r="J709" s="28">
        <v>1.9331975407256799E-3</v>
      </c>
      <c r="K709" s="29">
        <v>6.3091048553682902E-2</v>
      </c>
    </row>
    <row r="710" spans="1:11" x14ac:dyDescent="0.35">
      <c r="A710" s="9" t="str">
        <f>HYPERLINK("http://www.ensembl.org/id/WBGene00021014", "WBGene00021014")</f>
        <v>WBGene00021014</v>
      </c>
      <c r="B710" s="9" t="str">
        <f>HYPERLINK("http://www.ncbi.nlm.nih.gov/gene/189170", "189170")</f>
        <v>189170</v>
      </c>
      <c r="C710" s="9"/>
      <c r="D710" t="str">
        <f>"W03G9.2"</f>
        <v>W03G9.2</v>
      </c>
      <c r="F710" t="s">
        <v>11</v>
      </c>
      <c r="H710" s="12">
        <v>-2.20036241422449</v>
      </c>
      <c r="I710" s="20">
        <v>-3.1003328547295399</v>
      </c>
      <c r="J710" s="28">
        <v>1.93303279575292E-3</v>
      </c>
      <c r="K710" s="29">
        <v>6.3091048553682902E-2</v>
      </c>
    </row>
    <row r="711" spans="1:11" x14ac:dyDescent="0.35">
      <c r="A711" s="9" t="str">
        <f>HYPERLINK("http://www.ensembl.org/id/WBGene00006944", "WBGene00006944")</f>
        <v>WBGene00006944</v>
      </c>
      <c r="B711" s="9" t="str">
        <f>HYPERLINK("http://www.ncbi.nlm.nih.gov/gene/174081", "174081")</f>
        <v>174081</v>
      </c>
      <c r="C711" s="9" t="str">
        <f>HYPERLINK("http://www.ncbi.nlm.nih.gov/gene/7486", "7486")</f>
        <v>7486</v>
      </c>
      <c r="D711" t="str">
        <f>"wrn-1"</f>
        <v>wrn-1</v>
      </c>
      <c r="E711" t="s">
        <v>617</v>
      </c>
      <c r="F711" t="s">
        <v>11</v>
      </c>
      <c r="G711" t="s">
        <v>618</v>
      </c>
      <c r="H711" s="12">
        <v>-2.0339778451550301</v>
      </c>
      <c r="I711" s="20">
        <v>-3.09949145752012</v>
      </c>
      <c r="J711" s="28">
        <v>1.93853167923315E-3</v>
      </c>
      <c r="K711" s="29">
        <v>6.3175899831257001E-2</v>
      </c>
    </row>
    <row r="712" spans="1:11" x14ac:dyDescent="0.35">
      <c r="A712" s="9" t="str">
        <f>HYPERLINK("http://www.ensembl.org/id/WBGene00015817", "WBGene00015817")</f>
        <v>WBGene00015817</v>
      </c>
      <c r="B712" s="9" t="str">
        <f>HYPERLINK("http://www.ncbi.nlm.nih.gov/gene/173755", "173755")</f>
        <v>173755</v>
      </c>
      <c r="C712" s="9"/>
      <c r="D712" t="str">
        <f>"C16A11.4"</f>
        <v>C16A11.4</v>
      </c>
      <c r="F712" t="s">
        <v>11</v>
      </c>
      <c r="G712" t="s">
        <v>619</v>
      </c>
      <c r="H712" s="12">
        <v>-2.0045697122414401</v>
      </c>
      <c r="I712" s="20">
        <v>-3.0978674266547701</v>
      </c>
      <c r="J712" s="28">
        <v>1.94918603687309E-3</v>
      </c>
      <c r="K712" s="29">
        <v>6.3433651504210806E-2</v>
      </c>
    </row>
    <row r="713" spans="1:11" x14ac:dyDescent="0.35">
      <c r="A713" s="9" t="str">
        <f>HYPERLINK("http://www.ensembl.org/id/WBGene00194921", "WBGene00194921")</f>
        <v>WBGene00194921</v>
      </c>
      <c r="B713" s="9" t="str">
        <f>HYPERLINK("http://www.ncbi.nlm.nih.gov/gene/13213791", "13213791")</f>
        <v>13213791</v>
      </c>
      <c r="C713" s="9"/>
      <c r="D713" t="str">
        <f>"ZK742.7"</f>
        <v>ZK742.7</v>
      </c>
      <c r="F713" t="s">
        <v>11</v>
      </c>
      <c r="H713" s="12">
        <v>3.1824699876149198</v>
      </c>
      <c r="I713" s="20">
        <v>3.0950581335926999</v>
      </c>
      <c r="J713" s="28">
        <v>1.9677432534731401E-3</v>
      </c>
      <c r="K713" s="29">
        <v>6.39475043808021E-2</v>
      </c>
    </row>
    <row r="714" spans="1:11" x14ac:dyDescent="0.35">
      <c r="A714" s="9" t="str">
        <f>HYPERLINK("http://www.ensembl.org/id/WBGene00003778", "WBGene00003778")</f>
        <v>WBGene00003778</v>
      </c>
      <c r="B714" s="9" t="str">
        <f>HYPERLINK("http://www.ncbi.nlm.nih.gov/gene/180884", "180884")</f>
        <v>180884</v>
      </c>
      <c r="C714" s="9" t="str">
        <f>HYPERLINK("http://www.ncbi.nlm.nih.gov/gene/23530", "23530")</f>
        <v>23530</v>
      </c>
      <c r="D714" t="str">
        <f>"nnt-1"</f>
        <v>nnt-1</v>
      </c>
      <c r="E714" t="s">
        <v>620</v>
      </c>
      <c r="F714" t="s">
        <v>11</v>
      </c>
      <c r="G714" t="s">
        <v>621</v>
      </c>
      <c r="H714" s="12">
        <v>-1.84326186124981</v>
      </c>
      <c r="I714" s="20">
        <v>-3.09300252606592</v>
      </c>
      <c r="J714" s="28">
        <v>1.9814244863745902E-3</v>
      </c>
      <c r="K714" s="29">
        <v>6.4301677222150494E-2</v>
      </c>
    </row>
    <row r="715" spans="1:11" x14ac:dyDescent="0.35">
      <c r="A715" s="9" t="str">
        <f>HYPERLINK("http://www.ensembl.org/id/WBGene00004049", "WBGene00004049")</f>
        <v>WBGene00004049</v>
      </c>
      <c r="B715" s="9" t="str">
        <f>HYPERLINK("http://www.ncbi.nlm.nih.gov/gene/266823", "266823")</f>
        <v>266823</v>
      </c>
      <c r="C715" s="9" t="str">
        <f>HYPERLINK("http://www.ncbi.nlm.nih.gov/gene/142", "142")</f>
        <v>142</v>
      </c>
      <c r="D715" t="str">
        <f>"parp-1"</f>
        <v>parp-1</v>
      </c>
      <c r="E715" t="s">
        <v>622</v>
      </c>
      <c r="F715" t="s">
        <v>11</v>
      </c>
      <c r="G715" t="s">
        <v>623</v>
      </c>
      <c r="H715" s="12">
        <v>-1.86142795344196</v>
      </c>
      <c r="I715" s="20">
        <v>-3.0843891146702802</v>
      </c>
      <c r="J715" s="28">
        <v>2.0397062850550699E-3</v>
      </c>
      <c r="K715" s="29">
        <v>6.6100215178797397E-2</v>
      </c>
    </row>
    <row r="716" spans="1:11" x14ac:dyDescent="0.35">
      <c r="A716" s="9" t="str">
        <f>HYPERLINK("http://www.ensembl.org/id/WBGene00010251", "WBGene00010251")</f>
        <v>WBGene00010251</v>
      </c>
      <c r="B716" s="9" t="str">
        <f>HYPERLINK("http://www.ncbi.nlm.nih.gov/gene/3565291", "3565291")</f>
        <v>3565291</v>
      </c>
      <c r="C716" s="9"/>
      <c r="D716" t="str">
        <f>"sta-2"</f>
        <v>sta-2</v>
      </c>
      <c r="E716" t="s">
        <v>624</v>
      </c>
      <c r="F716" t="s">
        <v>11</v>
      </c>
      <c r="G716" t="s">
        <v>625</v>
      </c>
      <c r="H716" s="12">
        <v>2.0065811605435799</v>
      </c>
      <c r="I716" s="20">
        <v>3.0825423922545299</v>
      </c>
      <c r="J716" s="28">
        <v>2.0524049518295001E-3</v>
      </c>
      <c r="K716" s="29">
        <v>6.6418583777272194E-2</v>
      </c>
    </row>
    <row r="717" spans="1:11" x14ac:dyDescent="0.35">
      <c r="A717" s="9" t="str">
        <f>HYPERLINK("http://www.ensembl.org/id/WBGene00007709", "WBGene00007709")</f>
        <v>WBGene00007709</v>
      </c>
      <c r="B717" s="9" t="str">
        <f>HYPERLINK("http://www.ncbi.nlm.nih.gov/gene/172885", "172885")</f>
        <v>172885</v>
      </c>
      <c r="C717" s="9"/>
      <c r="D717" t="str">
        <f>"clec-87"</f>
        <v>clec-87</v>
      </c>
      <c r="E717" t="s">
        <v>626</v>
      </c>
      <c r="F717" t="s">
        <v>11</v>
      </c>
      <c r="H717" s="12">
        <v>-1.84177274107968</v>
      </c>
      <c r="I717" s="20">
        <v>-3.07973132965185</v>
      </c>
      <c r="J717" s="28">
        <v>2.07187402289421E-3</v>
      </c>
      <c r="K717" s="29">
        <v>6.6924823081437296E-2</v>
      </c>
    </row>
    <row r="718" spans="1:11" x14ac:dyDescent="0.35">
      <c r="A718" s="9" t="str">
        <f>HYPERLINK("http://www.ensembl.org/id/WBGene00000675", "WBGene00000675")</f>
        <v>WBGene00000675</v>
      </c>
      <c r="B718" s="9" t="str">
        <f>HYPERLINK("http://www.ncbi.nlm.nih.gov/gene/176854", "176854")</f>
        <v>176854</v>
      </c>
      <c r="C718" s="9"/>
      <c r="D718" t="str">
        <f>"col-101"</f>
        <v>col-101</v>
      </c>
      <c r="E718" t="s">
        <v>40</v>
      </c>
      <c r="F718" t="s">
        <v>11</v>
      </c>
      <c r="G718" t="s">
        <v>41</v>
      </c>
      <c r="H718" s="12">
        <v>1.8640014267825999</v>
      </c>
      <c r="I718" s="20">
        <v>3.0794486550390698</v>
      </c>
      <c r="J718" s="28">
        <v>2.07384113763997E-3</v>
      </c>
      <c r="K718" s="29">
        <v>6.6924823081437296E-2</v>
      </c>
    </row>
    <row r="719" spans="1:11" x14ac:dyDescent="0.35">
      <c r="A719" s="9" t="str">
        <f>HYPERLINK("http://www.ensembl.org/id/WBGene00011733", "WBGene00011733")</f>
        <v>WBGene00011733</v>
      </c>
      <c r="B719" s="9" t="str">
        <f>HYPERLINK("http://www.ncbi.nlm.nih.gov/gene/176797", "176797")</f>
        <v>176797</v>
      </c>
      <c r="C719" s="9"/>
      <c r="D719" t="str">
        <f>"T12D8.5"</f>
        <v>T12D8.5</v>
      </c>
      <c r="F719" t="s">
        <v>11</v>
      </c>
      <c r="H719" s="12">
        <v>-1.8434726027214201</v>
      </c>
      <c r="I719" s="20">
        <v>-3.0784378862893602</v>
      </c>
      <c r="J719" s="28">
        <v>2.0808890371809799E-3</v>
      </c>
      <c r="K719" s="29">
        <v>6.7058608219112401E-2</v>
      </c>
    </row>
    <row r="720" spans="1:11" x14ac:dyDescent="0.35">
      <c r="A720" s="9" t="str">
        <f>HYPERLINK("http://www.ensembl.org/id/WBGene00013643", "WBGene00013643")</f>
        <v>WBGene00013643</v>
      </c>
      <c r="B720" s="9" t="str">
        <f>HYPERLINK("http://www.ncbi.nlm.nih.gov/gene/190882", "190882")</f>
        <v>190882</v>
      </c>
      <c r="C720" s="9"/>
      <c r="D720" t="str">
        <f>"Y105C5A.24"</f>
        <v>Y105C5A.24</v>
      </c>
      <c r="F720" t="s">
        <v>11</v>
      </c>
      <c r="G720" t="s">
        <v>627</v>
      </c>
      <c r="H720" s="12">
        <v>-1.9303035351612301</v>
      </c>
      <c r="I720" s="20">
        <v>-3.0778495554163201</v>
      </c>
      <c r="J720" s="28">
        <v>2.0850014663202502E-3</v>
      </c>
      <c r="K720" s="29">
        <v>6.7097554151525907E-2</v>
      </c>
    </row>
    <row r="721" spans="1:11" x14ac:dyDescent="0.35">
      <c r="A721" s="9" t="str">
        <f>HYPERLINK("http://www.ensembl.org/id/WBGene00015163", "WBGene00015163")</f>
        <v>WBGene00015163</v>
      </c>
      <c r="B721" s="9" t="str">
        <f>HYPERLINK("http://www.ncbi.nlm.nih.gov/gene/176033", "176033")</f>
        <v>176033</v>
      </c>
      <c r="C721" s="9"/>
      <c r="D721" t="str">
        <f>"B0361.9"</f>
        <v>B0361.9</v>
      </c>
      <c r="F721" t="s">
        <v>11</v>
      </c>
      <c r="H721" s="12">
        <v>1.8606504979840399</v>
      </c>
      <c r="I721" s="20">
        <v>3.0759170344474298</v>
      </c>
      <c r="J721" s="28">
        <v>2.0985622922601401E-3</v>
      </c>
      <c r="K721" s="29">
        <v>6.7303677608690396E-2</v>
      </c>
    </row>
    <row r="722" spans="1:11" x14ac:dyDescent="0.35">
      <c r="A722" s="9" t="str">
        <f>HYPERLINK("http://www.ensembl.org/id/WBGene00044530", "WBGene00044530")</f>
        <v>WBGene00044530</v>
      </c>
      <c r="B722" s="9" t="str">
        <f>HYPERLINK("http://www.ncbi.nlm.nih.gov/gene/3896832", "3896832")</f>
        <v>3896832</v>
      </c>
      <c r="C722" s="9"/>
      <c r="D722" t="str">
        <f>"F32D1.11"</f>
        <v>F32D1.11</v>
      </c>
      <c r="F722" t="s">
        <v>11</v>
      </c>
      <c r="H722" s="12">
        <v>2.0450250078726002</v>
      </c>
      <c r="I722" s="20">
        <v>3.0764587581202401</v>
      </c>
      <c r="J722" s="28">
        <v>2.0947527889841199E-3</v>
      </c>
      <c r="K722" s="29">
        <v>6.7303677608690396E-2</v>
      </c>
    </row>
    <row r="723" spans="1:11" x14ac:dyDescent="0.35">
      <c r="A723" s="9" t="str">
        <f>HYPERLINK("http://www.ensembl.org/id/WBGene00007048", "WBGene00007048")</f>
        <v>WBGene00007048</v>
      </c>
      <c r="B723" s="9" t="str">
        <f>HYPERLINK("http://www.ncbi.nlm.nih.gov/gene/175902", "175902")</f>
        <v>175902</v>
      </c>
      <c r="C723" s="9" t="str">
        <f>HYPERLINK("http://www.ncbi.nlm.nih.gov/gene/4799", "4799")</f>
        <v>4799</v>
      </c>
      <c r="D723" t="str">
        <f>"nfx-1"</f>
        <v>nfx-1</v>
      </c>
      <c r="E723" t="s">
        <v>628</v>
      </c>
      <c r="F723" t="s">
        <v>11</v>
      </c>
      <c r="G723" t="s">
        <v>629</v>
      </c>
      <c r="H723" s="12">
        <v>-1.8329087131339601</v>
      </c>
      <c r="I723" s="20">
        <v>-3.0756922261645001</v>
      </c>
      <c r="J723" s="28">
        <v>2.1001450513228499E-3</v>
      </c>
      <c r="K723" s="29">
        <v>6.7303677608690396E-2</v>
      </c>
    </row>
    <row r="724" spans="1:11" x14ac:dyDescent="0.35">
      <c r="A724" s="9" t="str">
        <f>HYPERLINK("http://www.ensembl.org/id/WBGene00012110", "WBGene00012110")</f>
        <v>WBGene00012110</v>
      </c>
      <c r="B724" s="9" t="str">
        <f>HYPERLINK("http://www.ncbi.nlm.nih.gov/gene/176781", "176781")</f>
        <v>176781</v>
      </c>
      <c r="C724" s="9"/>
      <c r="D724" t="str">
        <f>"T28A8.4"</f>
        <v>T28A8.4</v>
      </c>
      <c r="F724" t="s">
        <v>11</v>
      </c>
      <c r="H724" s="12">
        <v>-2.0927642932120598</v>
      </c>
      <c r="I724" s="20">
        <v>-3.0745530806555399</v>
      </c>
      <c r="J724" s="28">
        <v>2.1081820293447702E-3</v>
      </c>
      <c r="K724" s="29">
        <v>6.7467664778449093E-2</v>
      </c>
    </row>
    <row r="725" spans="1:11" x14ac:dyDescent="0.35">
      <c r="A725" s="9" t="str">
        <f>HYPERLINK("http://www.ensembl.org/id/WBGene00001374", "WBGene00001374")</f>
        <v>WBGene00001374</v>
      </c>
      <c r="B725" s="9" t="str">
        <f>HYPERLINK("http://www.ncbi.nlm.nih.gov/gene/179003", "179003")</f>
        <v>179003</v>
      </c>
      <c r="C725" s="9"/>
      <c r="D725" t="str">
        <f>"exp-2"</f>
        <v>exp-2</v>
      </c>
      <c r="F725" t="s">
        <v>11</v>
      </c>
      <c r="G725" t="s">
        <v>630</v>
      </c>
      <c r="H725" s="12">
        <v>2.02274873614423</v>
      </c>
      <c r="I725" s="20">
        <v>3.0723757633180302</v>
      </c>
      <c r="J725" s="28">
        <v>2.1236221191038599E-3</v>
      </c>
      <c r="K725" s="29">
        <v>6.7774050668527305E-2</v>
      </c>
    </row>
    <row r="726" spans="1:11" x14ac:dyDescent="0.35">
      <c r="A726" s="9" t="str">
        <f>HYPERLINK("http://www.ensembl.org/id/WBGene00004228", "WBGene00004228")</f>
        <v>WBGene00004228</v>
      </c>
      <c r="B726" s="9" t="str">
        <f>HYPERLINK("http://www.ncbi.nlm.nih.gov/gene/177951", "177951")</f>
        <v>177951</v>
      </c>
      <c r="C726" s="9"/>
      <c r="D726" t="str">
        <f>"ptr-14"</f>
        <v>ptr-14</v>
      </c>
      <c r="E726" t="s">
        <v>134</v>
      </c>
      <c r="F726" t="s">
        <v>11</v>
      </c>
      <c r="G726" t="s">
        <v>631</v>
      </c>
      <c r="H726" s="12">
        <v>1.95712685353934</v>
      </c>
      <c r="I726" s="20">
        <v>3.0725294818544699</v>
      </c>
      <c r="J726" s="28">
        <v>2.1225286565225501E-3</v>
      </c>
      <c r="K726" s="29">
        <v>6.7774050668527305E-2</v>
      </c>
    </row>
    <row r="727" spans="1:11" x14ac:dyDescent="0.35">
      <c r="A727" s="9" t="str">
        <f>HYPERLINK("http://www.ensembl.org/id/WBGene00011102", "WBGene00011102")</f>
        <v>WBGene00011102</v>
      </c>
      <c r="B727" s="9" t="str">
        <f>HYPERLINK("http://www.ncbi.nlm.nih.gov/gene/181242", "181242")</f>
        <v>181242</v>
      </c>
      <c r="C727" s="9"/>
      <c r="D727" t="str">
        <f>"R07E3.1"</f>
        <v>R07E3.1</v>
      </c>
      <c r="F727" t="s">
        <v>11</v>
      </c>
      <c r="G727" t="s">
        <v>632</v>
      </c>
      <c r="H727" s="12">
        <v>-1.86637605945948</v>
      </c>
      <c r="I727" s="20">
        <v>-3.0701190826156401</v>
      </c>
      <c r="J727" s="28">
        <v>2.1397343773981799E-3</v>
      </c>
      <c r="K727" s="29">
        <v>6.8194072447120599E-2</v>
      </c>
    </row>
    <row r="728" spans="1:11" x14ac:dyDescent="0.35">
      <c r="A728" s="9" t="str">
        <f>HYPERLINK("http://www.ensembl.org/id/WBGene00021980", "WBGene00021980")</f>
        <v>WBGene00021980</v>
      </c>
      <c r="B728" s="9" t="str">
        <f>HYPERLINK("http://www.ncbi.nlm.nih.gov/gene/190384", "190384")</f>
        <v>190384</v>
      </c>
      <c r="C728" s="9"/>
      <c r="D728" t="str">
        <f>"glb-32"</f>
        <v>glb-32</v>
      </c>
      <c r="E728" t="s">
        <v>633</v>
      </c>
      <c r="F728" t="s">
        <v>11</v>
      </c>
      <c r="G728" t="s">
        <v>634</v>
      </c>
      <c r="H728" s="12">
        <v>2.8012328253306298</v>
      </c>
      <c r="I728" s="20">
        <v>3.0694377548949299</v>
      </c>
      <c r="J728" s="28">
        <v>2.1446209075200199E-3</v>
      </c>
      <c r="K728" s="29">
        <v>6.8255662106277704E-2</v>
      </c>
    </row>
    <row r="729" spans="1:11" x14ac:dyDescent="0.35">
      <c r="A729" s="9" t="str">
        <f>HYPERLINK("http://www.ensembl.org/id/WBGene00004086", "WBGene00004086")</f>
        <v>WBGene00004086</v>
      </c>
      <c r="B729" s="9" t="str">
        <f>HYPERLINK("http://www.ncbi.nlm.nih.gov/gene/176663", "176663")</f>
        <v>176663</v>
      </c>
      <c r="C729" s="9"/>
      <c r="D729" t="str">
        <f>"pph-4.2"</f>
        <v>pph-4.2</v>
      </c>
      <c r="E729" t="s">
        <v>635</v>
      </c>
      <c r="F729" t="s">
        <v>11</v>
      </c>
      <c r="G729" t="s">
        <v>636</v>
      </c>
      <c r="H729" s="12">
        <v>-1.87015767699488</v>
      </c>
      <c r="I729" s="20">
        <v>-3.06512399459768</v>
      </c>
      <c r="J729" s="28">
        <v>2.1757977142982899E-3</v>
      </c>
      <c r="K729" s="29">
        <v>6.9152657478096805E-2</v>
      </c>
    </row>
    <row r="730" spans="1:11" x14ac:dyDescent="0.35">
      <c r="A730" s="9" t="str">
        <f>HYPERLINK("http://www.ensembl.org/id/WBGene00009302", "WBGene00009302")</f>
        <v>WBGene00009302</v>
      </c>
      <c r="B730" s="9" t="str">
        <f>HYPERLINK("http://www.ncbi.nlm.nih.gov/gene/185177", "185177")</f>
        <v>185177</v>
      </c>
      <c r="C730" s="9"/>
      <c r="D730" t="str">
        <f>"F31F6.3"</f>
        <v>F31F6.3</v>
      </c>
      <c r="F730" t="s">
        <v>11</v>
      </c>
      <c r="H730" s="12">
        <v>-7.1085025584640604</v>
      </c>
      <c r="I730" s="20">
        <v>-3.0627780220938301</v>
      </c>
      <c r="J730" s="28">
        <v>2.1929266295995101E-3</v>
      </c>
      <c r="K730" s="29">
        <v>6.9392175784287705E-2</v>
      </c>
    </row>
    <row r="731" spans="1:11" x14ac:dyDescent="0.35">
      <c r="A731" s="9" t="str">
        <f>HYPERLINK("http://www.ensembl.org/id/WBGene00021417", "WBGene00021417")</f>
        <v>WBGene00021417</v>
      </c>
      <c r="B731" s="9" t="str">
        <f>HYPERLINK("http://www.ncbi.nlm.nih.gov/gene/189677", "189677")</f>
        <v>189677</v>
      </c>
      <c r="C731" s="9"/>
      <c r="D731" t="str">
        <f>"nhr-236"</f>
        <v>nhr-236</v>
      </c>
      <c r="E731" t="s">
        <v>637</v>
      </c>
      <c r="F731" t="s">
        <v>11</v>
      </c>
      <c r="G731" t="s">
        <v>638</v>
      </c>
      <c r="H731" s="12">
        <v>8.8384141446968307</v>
      </c>
      <c r="I731" s="20">
        <v>3.0631480716750601</v>
      </c>
      <c r="J731" s="28">
        <v>2.1902165598242898E-3</v>
      </c>
      <c r="K731" s="29">
        <v>6.9392175784287705E-2</v>
      </c>
    </row>
    <row r="732" spans="1:11" x14ac:dyDescent="0.35">
      <c r="A732" s="9" t="str">
        <f>HYPERLINK("http://www.ensembl.org/id/WBGene00005003", "WBGene00005003")</f>
        <v>WBGene00005003</v>
      </c>
      <c r="B732" s="9" t="str">
        <f>HYPERLINK("http://www.ncbi.nlm.nih.gov/gene/185015", "185015")</f>
        <v>185015</v>
      </c>
      <c r="C732" s="9"/>
      <c r="D732" t="str">
        <f>"spp-18"</f>
        <v>spp-18</v>
      </c>
      <c r="E732" t="s">
        <v>62</v>
      </c>
      <c r="F732" t="s">
        <v>11</v>
      </c>
      <c r="G732" t="s">
        <v>264</v>
      </c>
      <c r="H732" s="12">
        <v>-2.1874566440310401</v>
      </c>
      <c r="I732" s="20">
        <v>-3.0632021204606898</v>
      </c>
      <c r="J732" s="28">
        <v>2.1898209888723901E-3</v>
      </c>
      <c r="K732" s="29">
        <v>6.9392175784287705E-2</v>
      </c>
    </row>
    <row r="733" spans="1:11" x14ac:dyDescent="0.35">
      <c r="A733" s="9" t="str">
        <f>HYPERLINK("http://www.ensembl.org/id/WBGene00012407", "WBGene00012407")</f>
        <v>WBGene00012407</v>
      </c>
      <c r="B733" s="9" t="str">
        <f>HYPERLINK("http://www.ncbi.nlm.nih.gov/gene/181666", "181666")</f>
        <v>181666</v>
      </c>
      <c r="C733" s="9"/>
      <c r="D733" t="str">
        <f>"Y7A5A.1"</f>
        <v>Y7A5A.1</v>
      </c>
      <c r="F733" t="s">
        <v>11</v>
      </c>
      <c r="G733" t="s">
        <v>639</v>
      </c>
      <c r="H733" s="12">
        <v>-1.91668676910446</v>
      </c>
      <c r="I733" s="20">
        <v>-3.0624479270024998</v>
      </c>
      <c r="J733" s="28">
        <v>2.1953466847708099E-3</v>
      </c>
      <c r="K733" s="29">
        <v>6.9392175784287705E-2</v>
      </c>
    </row>
    <row r="734" spans="1:11" x14ac:dyDescent="0.35">
      <c r="A734" s="9" t="str">
        <f>HYPERLINK("http://www.ensembl.org/id/WBGene00010001", "WBGene00010001")</f>
        <v>WBGene00010001</v>
      </c>
      <c r="B734" s="9" t="str">
        <f>HYPERLINK("http://www.ncbi.nlm.nih.gov/gene/186181", "186181")</f>
        <v>186181</v>
      </c>
      <c r="C734" s="9"/>
      <c r="D734" t="str">
        <f>"F53F8.4"</f>
        <v>F53F8.4</v>
      </c>
      <c r="F734" t="s">
        <v>11</v>
      </c>
      <c r="H734" s="12">
        <v>1.8185128804597599</v>
      </c>
      <c r="I734" s="20">
        <v>3.0614707670251202</v>
      </c>
      <c r="J734" s="28">
        <v>2.2025249794236398E-3</v>
      </c>
      <c r="K734" s="29">
        <v>6.9433446487714295E-2</v>
      </c>
    </row>
    <row r="735" spans="1:11" x14ac:dyDescent="0.35">
      <c r="A735" s="9" t="str">
        <f>HYPERLINK("http://www.ensembl.org/id/WBGene00011822", "WBGene00011822")</f>
        <v>WBGene00011822</v>
      </c>
      <c r="B735" s="9" t="str">
        <f>HYPERLINK("http://www.ncbi.nlm.nih.gov/gene/188575", "188575")</f>
        <v>188575</v>
      </c>
      <c r="C735" s="9"/>
      <c r="D735" t="str">
        <f>"T18D3.5"</f>
        <v>T18D3.5</v>
      </c>
      <c r="F735" t="s">
        <v>11</v>
      </c>
      <c r="G735" t="s">
        <v>25</v>
      </c>
      <c r="H735" s="12">
        <v>2.0663487231729198</v>
      </c>
      <c r="I735" s="20">
        <v>3.0614520955587201</v>
      </c>
      <c r="J735" s="28">
        <v>2.2026623507095402E-3</v>
      </c>
      <c r="K735" s="29">
        <v>6.9433446487714295E-2</v>
      </c>
    </row>
    <row r="736" spans="1:11" x14ac:dyDescent="0.35">
      <c r="A736" s="9" t="str">
        <f>HYPERLINK("http://www.ensembl.org/id/WBGene00000212", "WBGene00000212")</f>
        <v>WBGene00000212</v>
      </c>
      <c r="B736" s="9" t="str">
        <f>HYPERLINK("http://www.ncbi.nlm.nih.gov/gene/181323", "181323")</f>
        <v>181323</v>
      </c>
      <c r="C736" s="9" t="str">
        <f>HYPERLINK("http://www.ncbi.nlm.nih.gov/gene/6609", "6609")</f>
        <v>6609</v>
      </c>
      <c r="D736" t="str">
        <f>"asm-2"</f>
        <v>asm-2</v>
      </c>
      <c r="E736" t="s">
        <v>640</v>
      </c>
      <c r="F736" t="s">
        <v>11</v>
      </c>
      <c r="G736" t="s">
        <v>641</v>
      </c>
      <c r="H736" s="12">
        <v>-2.57675868008468</v>
      </c>
      <c r="I736" s="20">
        <v>-3.0607413247729101</v>
      </c>
      <c r="J736" s="28">
        <v>2.2078975362398302E-3</v>
      </c>
      <c r="K736" s="29">
        <v>6.9487651980712703E-2</v>
      </c>
    </row>
    <row r="737" spans="1:11" x14ac:dyDescent="0.35">
      <c r="A737" s="9" t="str">
        <f>HYPERLINK("http://www.ensembl.org/id/WBGene00018585", "WBGene00018585")</f>
        <v>WBGene00018585</v>
      </c>
      <c r="B737" s="9" t="str">
        <f>HYPERLINK("http://www.ncbi.nlm.nih.gov/gene/185962", "185962")</f>
        <v>185962</v>
      </c>
      <c r="C737" s="9"/>
      <c r="D737" t="str">
        <f>"F48A11.4"</f>
        <v>F48A11.4</v>
      </c>
      <c r="F737" t="s">
        <v>11</v>
      </c>
      <c r="H737" s="12">
        <v>-1.9409346510949901</v>
      </c>
      <c r="I737" s="20">
        <v>-3.0604025741708001</v>
      </c>
      <c r="J737" s="28">
        <v>2.21039661584973E-3</v>
      </c>
      <c r="K737" s="29">
        <v>6.9487651980712703E-2</v>
      </c>
    </row>
    <row r="738" spans="1:11" x14ac:dyDescent="0.35">
      <c r="A738" s="9" t="str">
        <f>HYPERLINK("http://www.ensembl.org/id/WBGene00009056", "WBGene00009056")</f>
        <v>WBGene00009056</v>
      </c>
      <c r="B738" s="9" t="str">
        <f>HYPERLINK("http://www.ncbi.nlm.nih.gov/gene/3565467", "3565467")</f>
        <v>3565467</v>
      </c>
      <c r="C738" s="9"/>
      <c r="D738" t="str">
        <f>"F22D6.15"</f>
        <v>F22D6.15</v>
      </c>
      <c r="F738" t="s">
        <v>11</v>
      </c>
      <c r="H738" s="12">
        <v>2.3607906690175402</v>
      </c>
      <c r="I738" s="20">
        <v>3.05920535964905</v>
      </c>
      <c r="J738" s="28">
        <v>2.2192496646285999E-3</v>
      </c>
      <c r="K738" s="29">
        <v>6.9671172215908295E-2</v>
      </c>
    </row>
    <row r="739" spans="1:11" x14ac:dyDescent="0.35">
      <c r="A739" s="9" t="str">
        <f>HYPERLINK("http://www.ensembl.org/id/WBGene00006555", "WBGene00006555")</f>
        <v>WBGene00006555</v>
      </c>
      <c r="B739" s="9" t="str">
        <f>HYPERLINK("http://www.ncbi.nlm.nih.gov/gene/191435", "191435")</f>
        <v>191435</v>
      </c>
      <c r="C739" s="9"/>
      <c r="D739" t="str">
        <f>"tbx-36"</f>
        <v>tbx-36</v>
      </c>
      <c r="E739" t="s">
        <v>642</v>
      </c>
      <c r="F739" t="s">
        <v>11</v>
      </c>
      <c r="G739" t="s">
        <v>643</v>
      </c>
      <c r="H739" s="12">
        <v>-2.6692902731496901</v>
      </c>
      <c r="I739" s="20">
        <v>-3.0587237911387999</v>
      </c>
      <c r="J739" s="28">
        <v>2.2228198770560502E-3</v>
      </c>
      <c r="K739" s="29">
        <v>6.9688569985423401E-2</v>
      </c>
    </row>
    <row r="740" spans="1:11" x14ac:dyDescent="0.35">
      <c r="A740" s="9" t="str">
        <f>HYPERLINK("http://www.ensembl.org/id/WBGene00016785", "WBGene00016785")</f>
        <v>WBGene00016785</v>
      </c>
      <c r="B740" s="9" t="str">
        <f>HYPERLINK("http://www.ncbi.nlm.nih.gov/gene/28661643", "28661643")</f>
        <v>28661643</v>
      </c>
      <c r="C740" s="9"/>
      <c r="D740" t="str">
        <f>"C49G7.7"</f>
        <v>C49G7.7</v>
      </c>
      <c r="F740" t="s">
        <v>11</v>
      </c>
      <c r="H740" s="12">
        <v>-2.9907610412989798</v>
      </c>
      <c r="I740" s="20">
        <v>-3.0580702349428899</v>
      </c>
      <c r="J740" s="28">
        <v>2.2276735764359002E-3</v>
      </c>
      <c r="K740" s="29">
        <v>6.9746105226460603E-2</v>
      </c>
    </row>
    <row r="741" spans="1:11" x14ac:dyDescent="0.35">
      <c r="A741" s="9" t="str">
        <f>HYPERLINK("http://www.ensembl.org/id/WBGene00008561", "WBGene00008561")</f>
        <v>WBGene00008561</v>
      </c>
      <c r="B741" s="9" t="str">
        <f>HYPERLINK("http://www.ncbi.nlm.nih.gov/gene/174408", "174408")</f>
        <v>174408</v>
      </c>
      <c r="C741" s="9"/>
      <c r="D741" t="str">
        <f>"F07H5.10"</f>
        <v>F07H5.10</v>
      </c>
      <c r="F741" t="s">
        <v>11</v>
      </c>
      <c r="G741" t="s">
        <v>644</v>
      </c>
      <c r="H741" s="12">
        <v>-2.1175386598202799</v>
      </c>
      <c r="I741" s="20">
        <v>-3.0573129642146899</v>
      </c>
      <c r="J741" s="28">
        <v>2.2333096672679498E-3</v>
      </c>
      <c r="K741" s="29">
        <v>6.9760361160855502E-2</v>
      </c>
    </row>
    <row r="742" spans="1:11" x14ac:dyDescent="0.35">
      <c r="A742" s="9" t="str">
        <f>HYPERLINK("http://www.ensembl.org/id/WBGene00021853", "WBGene00021853")</f>
        <v>WBGene00021853</v>
      </c>
      <c r="B742" s="9" t="str">
        <f>HYPERLINK("http://www.ncbi.nlm.nih.gov/gene/175374", "175374")</f>
        <v>175374</v>
      </c>
      <c r="C742" s="9"/>
      <c r="D742" t="str">
        <f>"Y54F10AM.11"</f>
        <v>Y54F10AM.11</v>
      </c>
      <c r="F742" t="s">
        <v>11</v>
      </c>
      <c r="G742" t="s">
        <v>54</v>
      </c>
      <c r="H742" s="12">
        <v>-2.3205353774470301</v>
      </c>
      <c r="I742" s="20">
        <v>-3.05719789917078</v>
      </c>
      <c r="J742" s="28">
        <v>2.2341671972229298E-3</v>
      </c>
      <c r="K742" s="29">
        <v>6.9760361160855502E-2</v>
      </c>
    </row>
    <row r="743" spans="1:11" x14ac:dyDescent="0.35">
      <c r="A743" s="9" t="str">
        <f>HYPERLINK("http://www.ensembl.org/id/WBGene00011262", "WBGene00011262")</f>
        <v>WBGene00011262</v>
      </c>
      <c r="B743" s="9" t="str">
        <f>HYPERLINK("http://www.ncbi.nlm.nih.gov/gene/179621", "179621")</f>
        <v>179621</v>
      </c>
      <c r="C743" s="9" t="str">
        <f>HYPERLINK("http://www.ncbi.nlm.nih.gov/gene/55", "55")</f>
        <v>55</v>
      </c>
      <c r="D743" t="str">
        <f>"pho-8"</f>
        <v>pho-8</v>
      </c>
      <c r="E743" t="s">
        <v>501</v>
      </c>
      <c r="F743" t="s">
        <v>11</v>
      </c>
      <c r="G743" t="s">
        <v>37</v>
      </c>
      <c r="H743" s="12">
        <v>6.0542783404064204</v>
      </c>
      <c r="I743" s="20">
        <v>3.05600494350647</v>
      </c>
      <c r="J743" s="28">
        <v>2.24307557605631E-3</v>
      </c>
      <c r="K743" s="29">
        <v>6.9896161228290496E-2</v>
      </c>
    </row>
    <row r="744" spans="1:11" x14ac:dyDescent="0.35">
      <c r="A744" s="9" t="str">
        <f>HYPERLINK("http://www.ensembl.org/id/WBGene00012783", "WBGene00012783")</f>
        <v>WBGene00012783</v>
      </c>
      <c r="B744" s="9" t="str">
        <f>HYPERLINK("http://www.ncbi.nlm.nih.gov/gene/189848", "189848")</f>
        <v>189848</v>
      </c>
      <c r="C744" s="9"/>
      <c r="D744" t="str">
        <f>"Y43C5A.3"</f>
        <v>Y43C5A.3</v>
      </c>
      <c r="F744" t="s">
        <v>11</v>
      </c>
      <c r="G744" t="s">
        <v>645</v>
      </c>
      <c r="H744" s="12">
        <v>1.8983402361189701</v>
      </c>
      <c r="I744" s="20">
        <v>3.05580572337526</v>
      </c>
      <c r="J744" s="28">
        <v>2.2445664170082E-3</v>
      </c>
      <c r="K744" s="29">
        <v>6.9896161228290496E-2</v>
      </c>
    </row>
    <row r="745" spans="1:11" x14ac:dyDescent="0.35">
      <c r="A745" s="9" t="str">
        <f>HYPERLINK("http://www.ensembl.org/id/WBGene00011559", "WBGene00011559")</f>
        <v>WBGene00011559</v>
      </c>
      <c r="B745" s="9" t="str">
        <f>HYPERLINK("http://www.ncbi.nlm.nih.gov/gene/176453", "176453")</f>
        <v>176453</v>
      </c>
      <c r="C745" s="9"/>
      <c r="D745" t="str">
        <f>"umps-1"</f>
        <v>umps-1</v>
      </c>
      <c r="E745" t="s">
        <v>646</v>
      </c>
      <c r="F745" t="s">
        <v>11</v>
      </c>
      <c r="G745" t="s">
        <v>647</v>
      </c>
      <c r="H745" s="12">
        <v>-1.8257896169159999</v>
      </c>
      <c r="I745" s="20">
        <v>-3.05466731881166</v>
      </c>
      <c r="J745" s="28">
        <v>2.25310296793133E-3</v>
      </c>
      <c r="K745" s="29">
        <v>7.0067560130580506E-2</v>
      </c>
    </row>
    <row r="746" spans="1:11" x14ac:dyDescent="0.35">
      <c r="A746" s="9" t="str">
        <f>HYPERLINK("http://www.ensembl.org/id/WBGene00018375", "WBGene00018375")</f>
        <v>WBGene00018375</v>
      </c>
      <c r="B746" s="9" t="str">
        <f>HYPERLINK("http://www.ncbi.nlm.nih.gov/gene/180754", "180754")</f>
        <v>180754</v>
      </c>
      <c r="C746" s="9"/>
      <c r="D746" t="str">
        <f>"F43C9.1"</f>
        <v>F43C9.1</v>
      </c>
      <c r="F746" t="s">
        <v>11</v>
      </c>
      <c r="G746" t="s">
        <v>54</v>
      </c>
      <c r="H746" s="12">
        <v>-2.34463351730325</v>
      </c>
      <c r="I746" s="20">
        <v>-3.0536154176089401</v>
      </c>
      <c r="J746" s="28">
        <v>2.26101728778172E-3</v>
      </c>
      <c r="K746" s="29">
        <v>7.0219173993930503E-2</v>
      </c>
    </row>
    <row r="747" spans="1:11" x14ac:dyDescent="0.35">
      <c r="A747" s="9" t="str">
        <f>HYPERLINK("http://www.ensembl.org/id/WBGene00019141", "WBGene00019141")</f>
        <v>WBGene00019141</v>
      </c>
      <c r="B747" s="9" t="str">
        <f>HYPERLINK("http://www.ncbi.nlm.nih.gov/gene/186650", "186650")</f>
        <v>186650</v>
      </c>
      <c r="C747" s="9"/>
      <c r="D747" t="str">
        <f>"bath-5"</f>
        <v>bath-5</v>
      </c>
      <c r="E747" t="s">
        <v>179</v>
      </c>
      <c r="F747" t="s">
        <v>11</v>
      </c>
      <c r="G747" t="s">
        <v>54</v>
      </c>
      <c r="H747" s="12">
        <v>-2.4278994198903501</v>
      </c>
      <c r="I747" s="20">
        <v>-3.0525322069603802</v>
      </c>
      <c r="J747" s="28">
        <v>2.2691937857303099E-3</v>
      </c>
      <c r="K747" s="29">
        <v>7.03785122323283E-2</v>
      </c>
    </row>
    <row r="748" spans="1:11" x14ac:dyDescent="0.35">
      <c r="A748" s="9" t="str">
        <f>HYPERLINK("http://www.ensembl.org/id/WBGene00007797", "WBGene00007797")</f>
        <v>WBGene00007797</v>
      </c>
      <c r="B748" s="9" t="str">
        <f>HYPERLINK("http://www.ncbi.nlm.nih.gov/gene/179501", "179501")</f>
        <v>179501</v>
      </c>
      <c r="C748" s="9"/>
      <c r="D748" t="str">
        <f>"C29A12.1"</f>
        <v>C29A12.1</v>
      </c>
      <c r="F748" t="s">
        <v>11</v>
      </c>
      <c r="H748" s="12">
        <v>-2.0957596610210198</v>
      </c>
      <c r="I748" s="20">
        <v>-3.0510356854165201</v>
      </c>
      <c r="J748" s="28">
        <v>2.2805346841328999E-3</v>
      </c>
      <c r="K748" s="29">
        <v>7.0635434868062605E-2</v>
      </c>
    </row>
    <row r="749" spans="1:11" x14ac:dyDescent="0.35">
      <c r="A749" s="9" t="str">
        <f>HYPERLINK("http://www.ensembl.org/id/WBGene00016945", "WBGene00016945")</f>
        <v>WBGene00016945</v>
      </c>
      <c r="B749" s="9" t="str">
        <f>HYPERLINK("http://www.ncbi.nlm.nih.gov/gene/183842", "183842")</f>
        <v>183842</v>
      </c>
      <c r="C749" s="9"/>
      <c r="D749" t="str">
        <f>"sulp-1"</f>
        <v>sulp-1</v>
      </c>
      <c r="E749" t="s">
        <v>648</v>
      </c>
      <c r="F749" t="s">
        <v>11</v>
      </c>
      <c r="G749" t="s">
        <v>649</v>
      </c>
      <c r="H749" s="12">
        <v>2.6654490864045801</v>
      </c>
      <c r="I749" s="20">
        <v>3.04709429000971</v>
      </c>
      <c r="J749" s="28">
        <v>2.3106521562320801E-3</v>
      </c>
      <c r="K749" s="29">
        <v>7.1472461475098406E-2</v>
      </c>
    </row>
    <row r="750" spans="1:11" x14ac:dyDescent="0.35">
      <c r="A750" s="9" t="str">
        <f>HYPERLINK("http://www.ensembl.org/id/WBGene00011835", "WBGene00011835")</f>
        <v>WBGene00011835</v>
      </c>
      <c r="B750" s="9" t="str">
        <f>HYPERLINK("http://www.ncbi.nlm.nih.gov/gene/179556", "179556")</f>
        <v>179556</v>
      </c>
      <c r="C750" s="9"/>
      <c r="D750" t="str">
        <f>"T19B10.8"</f>
        <v>T19B10.8</v>
      </c>
      <c r="E750" t="s">
        <v>650</v>
      </c>
      <c r="F750" t="s">
        <v>11</v>
      </c>
      <c r="G750" t="s">
        <v>651</v>
      </c>
      <c r="H750" s="12">
        <v>-1.79421601172267</v>
      </c>
      <c r="I750" s="20">
        <v>-3.0465531541789499</v>
      </c>
      <c r="J750" s="28">
        <v>2.31481547140094E-3</v>
      </c>
      <c r="K750" s="29">
        <v>7.1505516420040396E-2</v>
      </c>
    </row>
    <row r="751" spans="1:11" x14ac:dyDescent="0.35">
      <c r="A751" s="9" t="str">
        <f>HYPERLINK("http://www.ensembl.org/id/WBGene00003750", "WBGene00003750")</f>
        <v>WBGene00003750</v>
      </c>
      <c r="B751" s="9" t="str">
        <f>HYPERLINK("http://www.ncbi.nlm.nih.gov/gene/171753", "171753")</f>
        <v>171753</v>
      </c>
      <c r="C751" s="9"/>
      <c r="D751" t="str">
        <f>"nlp-12"</f>
        <v>nlp-12</v>
      </c>
      <c r="E751" t="s">
        <v>76</v>
      </c>
      <c r="F751" t="s">
        <v>11</v>
      </c>
      <c r="G751" t="s">
        <v>652</v>
      </c>
      <c r="H751" s="12">
        <v>-1.7618107234339599</v>
      </c>
      <c r="I751" s="20">
        <v>-3.0458972114046201</v>
      </c>
      <c r="J751" s="28">
        <v>2.31987128310731E-3</v>
      </c>
      <c r="K751" s="29">
        <v>7.1566015844429204E-2</v>
      </c>
    </row>
    <row r="752" spans="1:11" x14ac:dyDescent="0.35">
      <c r="A752" s="9" t="str">
        <f>HYPERLINK("http://www.ensembl.org/id/WBGene00194658", "WBGene00194658")</f>
        <v>WBGene00194658</v>
      </c>
      <c r="B752" s="9" t="str">
        <f>HYPERLINK("http://www.ncbi.nlm.nih.gov/gene/13197764", "13197764")</f>
        <v>13197764</v>
      </c>
      <c r="C752" s="9"/>
      <c r="D752" t="str">
        <f>"R09E10.13"</f>
        <v>R09E10.13</v>
      </c>
      <c r="F752" t="s">
        <v>11</v>
      </c>
      <c r="H752" s="12">
        <v>2.1264399720196301</v>
      </c>
      <c r="I752" s="20">
        <v>3.04510379172094</v>
      </c>
      <c r="J752" s="28">
        <v>2.3260002397413899E-3</v>
      </c>
      <c r="K752" s="29">
        <v>7.1659415385952593E-2</v>
      </c>
    </row>
    <row r="753" spans="1:11" x14ac:dyDescent="0.35">
      <c r="A753" s="9" t="str">
        <f>HYPERLINK("http://www.ensembl.org/id/WBGene00000022", "WBGene00000022")</f>
        <v>WBGene00000022</v>
      </c>
      <c r="B753" s="9" t="str">
        <f>HYPERLINK("http://www.ncbi.nlm.nih.gov/gene/178559", "178559")</f>
        <v>178559</v>
      </c>
      <c r="C753" s="9" t="str">
        <f>HYPERLINK("http://www.ncbi.nlm.nih.gov/gene/21", "21")</f>
        <v>21</v>
      </c>
      <c r="D753" t="str">
        <f>"abt-4"</f>
        <v>abt-4</v>
      </c>
      <c r="E753" t="s">
        <v>653</v>
      </c>
      <c r="F753" t="s">
        <v>11</v>
      </c>
      <c r="G753" t="s">
        <v>654</v>
      </c>
      <c r="H753" s="12">
        <v>1.96933494733567</v>
      </c>
      <c r="I753" s="20">
        <v>3.0422947760102002</v>
      </c>
      <c r="J753" s="28">
        <v>2.3478185190569101E-3</v>
      </c>
      <c r="K753" s="29">
        <v>7.1898089085948594E-2</v>
      </c>
    </row>
    <row r="754" spans="1:11" x14ac:dyDescent="0.35">
      <c r="A754" s="9" t="str">
        <f>HYPERLINK("http://www.ensembl.org/id/WBGene00001110", "WBGene00001110")</f>
        <v>WBGene00001110</v>
      </c>
      <c r="B754" s="9" t="str">
        <f>HYPERLINK("http://www.ncbi.nlm.nih.gov/gene/179586", "179586")</f>
        <v>179586</v>
      </c>
      <c r="C754" s="9"/>
      <c r="D754" t="str">
        <f>"duo-1"</f>
        <v>duo-1</v>
      </c>
      <c r="E754" t="s">
        <v>658</v>
      </c>
      <c r="F754" t="s">
        <v>11</v>
      </c>
      <c r="G754" t="s">
        <v>659</v>
      </c>
      <c r="H754" s="12">
        <v>-2.2191059774800199</v>
      </c>
      <c r="I754" s="20">
        <v>-3.0421041801242898</v>
      </c>
      <c r="J754" s="28">
        <v>2.3493056894266099E-3</v>
      </c>
      <c r="K754" s="29">
        <v>7.1898089085948594E-2</v>
      </c>
    </row>
    <row r="755" spans="1:11" x14ac:dyDescent="0.35">
      <c r="A755" s="9" t="str">
        <f>HYPERLINK("http://www.ensembl.org/id/WBGene00010226", "WBGene00010226")</f>
        <v>WBGene00010226</v>
      </c>
      <c r="B755" s="9" t="str">
        <f>HYPERLINK("http://www.ncbi.nlm.nih.gov/gene/176355", "176355")</f>
        <v>176355</v>
      </c>
      <c r="C755" s="9"/>
      <c r="D755" t="str">
        <f>"F58A4.1"</f>
        <v>F58A4.1</v>
      </c>
      <c r="F755" t="s">
        <v>11</v>
      </c>
      <c r="H755" s="12">
        <v>3.1369061733738901</v>
      </c>
      <c r="I755" s="20">
        <v>3.0430280344757601</v>
      </c>
      <c r="J755" s="28">
        <v>2.3421051271762701E-3</v>
      </c>
      <c r="K755" s="29">
        <v>7.1898089085948594E-2</v>
      </c>
    </row>
    <row r="756" spans="1:11" x14ac:dyDescent="0.35">
      <c r="A756" s="9" t="str">
        <f>HYPERLINK("http://www.ensembl.org/id/WBGene00004988", "WBGene00004988")</f>
        <v>WBGene00004988</v>
      </c>
      <c r="B756" s="9" t="str">
        <f>HYPERLINK("http://www.ncbi.nlm.nih.gov/gene/180993", "180993")</f>
        <v>180993</v>
      </c>
      <c r="C756" s="9"/>
      <c r="D756" t="str">
        <f>"spp-3"</f>
        <v>spp-3</v>
      </c>
      <c r="E756" t="s">
        <v>62</v>
      </c>
      <c r="F756" t="s">
        <v>11</v>
      </c>
      <c r="G756" t="s">
        <v>655</v>
      </c>
      <c r="H756" s="12">
        <v>-1.75414730446922</v>
      </c>
      <c r="I756" s="20">
        <v>-3.0425655980617599</v>
      </c>
      <c r="J756" s="28">
        <v>2.34570684733304E-3</v>
      </c>
      <c r="K756" s="29">
        <v>7.1898089085948594E-2</v>
      </c>
    </row>
    <row r="757" spans="1:11" x14ac:dyDescent="0.35">
      <c r="A757" s="9" t="str">
        <f>HYPERLINK("http://www.ensembl.org/id/WBGene00006931", "WBGene00006931")</f>
        <v>WBGene00006931</v>
      </c>
      <c r="B757" s="9" t="str">
        <f>HYPERLINK("http://www.ncbi.nlm.nih.gov/gene/177764", "177764")</f>
        <v>177764</v>
      </c>
      <c r="C757" s="9"/>
      <c r="D757" t="str">
        <f>"vps-26"</f>
        <v>vps-26</v>
      </c>
      <c r="E757" t="s">
        <v>656</v>
      </c>
      <c r="F757" t="s">
        <v>11</v>
      </c>
      <c r="G757" t="s">
        <v>657</v>
      </c>
      <c r="H757" s="12">
        <v>-1.78398031872115</v>
      </c>
      <c r="I757" s="20">
        <v>-3.04215783609123</v>
      </c>
      <c r="J757" s="28">
        <v>2.3488869385927002E-3</v>
      </c>
      <c r="K757" s="29">
        <v>7.1898089085948594E-2</v>
      </c>
    </row>
    <row r="758" spans="1:11" x14ac:dyDescent="0.35">
      <c r="A758" s="9" t="str">
        <f>HYPERLINK("http://www.ensembl.org/id/WBGene00020341", "WBGene00020341")</f>
        <v>WBGene00020341</v>
      </c>
      <c r="B758" s="9" t="str">
        <f>HYPERLINK("http://www.ncbi.nlm.nih.gov/gene/188269", "188269")</f>
        <v>188269</v>
      </c>
      <c r="C758" s="9"/>
      <c r="D758" t="str">
        <f>"T08B1.4"</f>
        <v>T08B1.4</v>
      </c>
      <c r="F758" t="s">
        <v>11</v>
      </c>
      <c r="G758" t="s">
        <v>29</v>
      </c>
      <c r="H758" s="12">
        <v>1.8355038586274499</v>
      </c>
      <c r="I758" s="20">
        <v>3.0403515317501402</v>
      </c>
      <c r="J758" s="28">
        <v>2.3630216415894099E-3</v>
      </c>
      <c r="K758" s="29">
        <v>7.2222193188577893E-2</v>
      </c>
    </row>
    <row r="759" spans="1:11" x14ac:dyDescent="0.35">
      <c r="A759" s="9" t="str">
        <f>HYPERLINK("http://www.ensembl.org/id/WBGene00017416", "WBGene00017416")</f>
        <v>WBGene00017416</v>
      </c>
      <c r="B759" s="9" t="str">
        <f>HYPERLINK("http://www.ncbi.nlm.nih.gov/gene/184407", "184407")</f>
        <v>184407</v>
      </c>
      <c r="C759" s="9"/>
      <c r="D759" t="str">
        <f>"F13B6.1"</f>
        <v>F13B6.1</v>
      </c>
      <c r="F759" t="s">
        <v>11</v>
      </c>
      <c r="H759" s="12">
        <v>2.6993954931732702</v>
      </c>
      <c r="I759" s="20">
        <v>3.0398032729810098</v>
      </c>
      <c r="J759" s="28">
        <v>2.3673272602126498E-3</v>
      </c>
      <c r="K759" s="29">
        <v>7.2258208288604298E-2</v>
      </c>
    </row>
    <row r="760" spans="1:11" x14ac:dyDescent="0.35">
      <c r="A760" s="9" t="str">
        <f>HYPERLINK("http://www.ensembl.org/id/WBGene00006376", "WBGene00006376")</f>
        <v>WBGene00006376</v>
      </c>
      <c r="B760" s="9" t="str">
        <f>HYPERLINK("http://www.ncbi.nlm.nih.gov/gene/178938", "178938")</f>
        <v>178938</v>
      </c>
      <c r="C760" s="9"/>
      <c r="D760" t="str">
        <f>"syp-2"</f>
        <v>syp-2</v>
      </c>
      <c r="F760" t="s">
        <v>11</v>
      </c>
      <c r="G760" t="s">
        <v>662</v>
      </c>
      <c r="H760" s="12">
        <v>-2.1659584576626898</v>
      </c>
      <c r="I760" s="20">
        <v>-3.0392256966927498</v>
      </c>
      <c r="J760" s="28">
        <v>2.3718708851810798E-3</v>
      </c>
      <c r="K760" s="29">
        <v>7.2264409529661802E-2</v>
      </c>
    </row>
    <row r="761" spans="1:11" x14ac:dyDescent="0.35">
      <c r="A761" s="9" t="str">
        <f>HYPERLINK("http://www.ensembl.org/id/WBGene00015332", "WBGene00015332")</f>
        <v>WBGene00015332</v>
      </c>
      <c r="B761" s="9" t="str">
        <f>HYPERLINK("http://www.ncbi.nlm.nih.gov/gene/176105", "176105")</f>
        <v>176105</v>
      </c>
      <c r="C761" s="9"/>
      <c r="D761" t="str">
        <f>"tyr-1"</f>
        <v>tyr-1</v>
      </c>
      <c r="E761" t="s">
        <v>660</v>
      </c>
      <c r="F761" t="s">
        <v>11</v>
      </c>
      <c r="G761" t="s">
        <v>661</v>
      </c>
      <c r="H761" s="12">
        <v>1.8306335455912801</v>
      </c>
      <c r="I761" s="20">
        <v>3.0389826232038</v>
      </c>
      <c r="J761" s="28">
        <v>2.3737854597512902E-3</v>
      </c>
      <c r="K761" s="29">
        <v>7.2264409529661802E-2</v>
      </c>
    </row>
    <row r="762" spans="1:11" x14ac:dyDescent="0.35">
      <c r="A762" s="9" t="str">
        <f>HYPERLINK("http://www.ensembl.org/id/WBGene00019068", "WBGene00019068")</f>
        <v>WBGene00019068</v>
      </c>
      <c r="B762" s="9" t="str">
        <f>HYPERLINK("http://www.ncbi.nlm.nih.gov/gene/176916", "176916")</f>
        <v>176916</v>
      </c>
      <c r="C762" s="9" t="str">
        <f>HYPERLINK("http://www.ncbi.nlm.nih.gov/gene/2166", "2166")</f>
        <v>2166</v>
      </c>
      <c r="D762" t="str">
        <f>"faah-3"</f>
        <v>faah-3</v>
      </c>
      <c r="E762" t="s">
        <v>663</v>
      </c>
      <c r="F762" t="s">
        <v>11</v>
      </c>
      <c r="G762" t="s">
        <v>664</v>
      </c>
      <c r="H762" s="12">
        <v>-1.94467915844309</v>
      </c>
      <c r="I762" s="20">
        <v>-3.03612701286769</v>
      </c>
      <c r="J762" s="28">
        <v>2.39638394056732E-3</v>
      </c>
      <c r="K762" s="29">
        <v>7.2856378066774197E-2</v>
      </c>
    </row>
    <row r="763" spans="1:11" x14ac:dyDescent="0.35">
      <c r="A763" s="9" t="str">
        <f>HYPERLINK("http://www.ensembl.org/id/WBGene00000903", "WBGene00000903")</f>
        <v>WBGene00000903</v>
      </c>
      <c r="B763" s="9" t="str">
        <f>HYPERLINK("http://www.ncbi.nlm.nih.gov/gene/175237", "175237")</f>
        <v>175237</v>
      </c>
      <c r="C763" s="9" t="str">
        <f>HYPERLINK("http://www.ncbi.nlm.nih.gov/gene/10220", "10220")</f>
        <v>10220</v>
      </c>
      <c r="D763" t="str">
        <f>"daf-7"</f>
        <v>daf-7</v>
      </c>
      <c r="E763" t="s">
        <v>665</v>
      </c>
      <c r="F763" t="s">
        <v>11</v>
      </c>
      <c r="G763" t="s">
        <v>666</v>
      </c>
      <c r="H763" s="12">
        <v>2.6502475767635798</v>
      </c>
      <c r="I763" s="20">
        <v>3.0344167485401101</v>
      </c>
      <c r="J763" s="28">
        <v>2.4100126038403701E-3</v>
      </c>
      <c r="K763" s="29">
        <v>7.3174443133161099E-2</v>
      </c>
    </row>
    <row r="764" spans="1:11" x14ac:dyDescent="0.35">
      <c r="A764" s="9" t="str">
        <f>HYPERLINK("http://www.ensembl.org/id/WBGene00018692", "WBGene00018692")</f>
        <v>WBGene00018692</v>
      </c>
      <c r="B764" s="9" t="str">
        <f>HYPERLINK("http://www.ncbi.nlm.nih.gov/gene/186111", "186111")</f>
        <v>186111</v>
      </c>
      <c r="C764" s="9"/>
      <c r="D764" t="str">
        <f>"F52E1.2"</f>
        <v>F52E1.2</v>
      </c>
      <c r="F764" t="s">
        <v>11</v>
      </c>
      <c r="G764" t="s">
        <v>47</v>
      </c>
      <c r="H764" s="12">
        <v>2.3629558823244698</v>
      </c>
      <c r="I764" s="20">
        <v>3.03399327734894</v>
      </c>
      <c r="J764" s="28">
        <v>2.4133980786478198E-3</v>
      </c>
      <c r="K764" s="29">
        <v>7.3181070873013704E-2</v>
      </c>
    </row>
    <row r="765" spans="1:11" x14ac:dyDescent="0.35">
      <c r="A765" s="9" t="str">
        <f>HYPERLINK("http://www.ensembl.org/id/WBGene00001158", "WBGene00001158")</f>
        <v>WBGene00001158</v>
      </c>
      <c r="B765" s="9" t="str">
        <f>HYPERLINK("http://www.ncbi.nlm.nih.gov/gene/184065", "184065")</f>
        <v>184065</v>
      </c>
      <c r="C765" s="9"/>
      <c r="D765" t="str">
        <f>"ech-9"</f>
        <v>ech-9</v>
      </c>
      <c r="E765" t="s">
        <v>667</v>
      </c>
      <c r="F765" t="s">
        <v>11</v>
      </c>
      <c r="G765" t="s">
        <v>668</v>
      </c>
      <c r="H765" s="12">
        <v>5.9208465733346598</v>
      </c>
      <c r="I765" s="20">
        <v>3.0326355958112501</v>
      </c>
      <c r="J765" s="28">
        <v>2.4242815452687502E-3</v>
      </c>
      <c r="K765" s="29">
        <v>7.3318651027460296E-2</v>
      </c>
    </row>
    <row r="766" spans="1:11" x14ac:dyDescent="0.35">
      <c r="A766" s="9" t="str">
        <f>HYPERLINK("http://www.ensembl.org/id/WBGene00007517", "WBGene00007517")</f>
        <v>WBGene00007517</v>
      </c>
      <c r="B766" s="9" t="str">
        <f>HYPERLINK("http://www.ncbi.nlm.nih.gov/gene/182513", "182513")</f>
        <v>182513</v>
      </c>
      <c r="C766" s="9" t="str">
        <f>HYPERLINK("http://www.ncbi.nlm.nih.gov/gene/2880", "2880")</f>
        <v>2880</v>
      </c>
      <c r="D766" t="str">
        <f>"gpx-3"</f>
        <v>gpx-3</v>
      </c>
      <c r="E766" t="s">
        <v>669</v>
      </c>
      <c r="F766" t="s">
        <v>11</v>
      </c>
      <c r="G766" t="s">
        <v>670</v>
      </c>
      <c r="H766" s="12">
        <v>1.87833145118199</v>
      </c>
      <c r="I766" s="20">
        <v>3.0326860308837502</v>
      </c>
      <c r="J766" s="28">
        <v>2.4238764448683199E-3</v>
      </c>
      <c r="K766" s="29">
        <v>7.3318651027460296E-2</v>
      </c>
    </row>
    <row r="767" spans="1:11" x14ac:dyDescent="0.35">
      <c r="A767" s="9" t="str">
        <f>HYPERLINK("http://www.ensembl.org/id/WBGene00001466", "WBGene00001466")</f>
        <v>WBGene00001466</v>
      </c>
      <c r="B767" s="9" t="str">
        <f>HYPERLINK("http://www.ncbi.nlm.nih.gov/gene/186548", "186548")</f>
        <v>186548</v>
      </c>
      <c r="C767" s="9"/>
      <c r="D767" t="str">
        <f>"flr-2"</f>
        <v>flr-2</v>
      </c>
      <c r="F767" t="s">
        <v>11</v>
      </c>
      <c r="G767" t="s">
        <v>671</v>
      </c>
      <c r="H767" s="12">
        <v>1.9799966706387799</v>
      </c>
      <c r="I767" s="20">
        <v>3.0320037024828399</v>
      </c>
      <c r="J767" s="28">
        <v>2.4293622407203399E-3</v>
      </c>
      <c r="K767" s="29">
        <v>7.3376266580502295E-2</v>
      </c>
    </row>
    <row r="768" spans="1:11" x14ac:dyDescent="0.35">
      <c r="A768" s="9" t="str">
        <f>HYPERLINK("http://www.ensembl.org/id/WBGene00008218", "WBGene00008218")</f>
        <v>WBGene00008218</v>
      </c>
      <c r="B768" s="9" t="str">
        <f>HYPERLINK("http://www.ncbi.nlm.nih.gov/gene/179810", "179810")</f>
        <v>179810</v>
      </c>
      <c r="C768" s="9"/>
      <c r="D768" t="str">
        <f>"nasp-2"</f>
        <v>nasp-2</v>
      </c>
      <c r="E768" t="s">
        <v>672</v>
      </c>
      <c r="F768" t="s">
        <v>11</v>
      </c>
      <c r="G768" t="s">
        <v>673</v>
      </c>
      <c r="H768" s="12">
        <v>-1.89995864107416</v>
      </c>
      <c r="I768" s="20">
        <v>-3.0303615082472</v>
      </c>
      <c r="J768" s="28">
        <v>2.44261179813237E-3</v>
      </c>
      <c r="K768" s="29">
        <v>7.3680141263245999E-2</v>
      </c>
    </row>
    <row r="769" spans="1:11" x14ac:dyDescent="0.35">
      <c r="A769" s="9" t="str">
        <f>HYPERLINK("http://www.ensembl.org/id/WBGene00017712", "WBGene00017712")</f>
        <v>WBGene00017712</v>
      </c>
      <c r="B769" s="9" t="str">
        <f>HYPERLINK("http://www.ncbi.nlm.nih.gov/gene/173611", "173611")</f>
        <v>173611</v>
      </c>
      <c r="C769" s="9"/>
      <c r="D769" t="str">
        <f>"F22E5.17"</f>
        <v>F22E5.17</v>
      </c>
      <c r="F769" t="s">
        <v>11</v>
      </c>
      <c r="H769" s="12">
        <v>-2.2643848400985398</v>
      </c>
      <c r="I769" s="20">
        <v>-3.0277862844401402</v>
      </c>
      <c r="J769" s="28">
        <v>2.4635224418121599E-3</v>
      </c>
      <c r="K769" s="29">
        <v>7.41387138201582E-2</v>
      </c>
    </row>
    <row r="770" spans="1:11" x14ac:dyDescent="0.35">
      <c r="A770" s="9" t="str">
        <f>HYPERLINK("http://www.ensembl.org/id/WBGene00011342", "WBGene00011342")</f>
        <v>WBGene00011342</v>
      </c>
      <c r="B770" s="9" t="str">
        <f>HYPERLINK("http://www.ncbi.nlm.nih.gov/gene/187960", "187960")</f>
        <v>187960</v>
      </c>
      <c r="C770" s="9"/>
      <c r="D770" t="str">
        <f>"T01G5.7"</f>
        <v>T01G5.7</v>
      </c>
      <c r="F770" t="s">
        <v>11</v>
      </c>
      <c r="G770" t="s">
        <v>51</v>
      </c>
      <c r="H770" s="12">
        <v>-2.87513907508036</v>
      </c>
      <c r="I770" s="20">
        <v>-3.0276993167620101</v>
      </c>
      <c r="J770" s="28">
        <v>2.4642314642898599E-3</v>
      </c>
      <c r="K770" s="29">
        <v>7.41387138201582E-2</v>
      </c>
    </row>
    <row r="771" spans="1:11" x14ac:dyDescent="0.35">
      <c r="A771" s="9" t="str">
        <f>HYPERLINK("http://www.ensembl.org/id/WBGene00000693", "WBGene00000693")</f>
        <v>WBGene00000693</v>
      </c>
      <c r="B771" s="9" t="str">
        <f>HYPERLINK("http://www.ncbi.nlm.nih.gov/gene/177715", "177715")</f>
        <v>177715</v>
      </c>
      <c r="C771" s="9"/>
      <c r="D771" t="str">
        <f>"col-119"</f>
        <v>col-119</v>
      </c>
      <c r="E771" t="s">
        <v>40</v>
      </c>
      <c r="F771" t="s">
        <v>11</v>
      </c>
      <c r="G771" t="s">
        <v>41</v>
      </c>
      <c r="H771" s="12">
        <v>1.81953463856246</v>
      </c>
      <c r="I771" s="20">
        <v>3.0262936431905998</v>
      </c>
      <c r="J771" s="28">
        <v>2.4757174464773799E-3</v>
      </c>
      <c r="K771" s="29">
        <v>7.4194458259800602E-2</v>
      </c>
    </row>
    <row r="772" spans="1:11" x14ac:dyDescent="0.35">
      <c r="A772" s="9" t="str">
        <f>HYPERLINK("http://www.ensembl.org/id/WBGene00016955", "WBGene00016955")</f>
        <v>WBGene00016955</v>
      </c>
      <c r="B772" s="9" t="str">
        <f>HYPERLINK("http://www.ncbi.nlm.nih.gov/gene/177348", "177348")</f>
        <v>177348</v>
      </c>
      <c r="C772" s="9"/>
      <c r="D772" t="str">
        <f>"perm-5"</f>
        <v>perm-5</v>
      </c>
      <c r="E772" t="s">
        <v>136</v>
      </c>
      <c r="F772" t="s">
        <v>11</v>
      </c>
      <c r="G772" t="s">
        <v>129</v>
      </c>
      <c r="H772" s="12">
        <v>-1.81993909543259</v>
      </c>
      <c r="I772" s="20">
        <v>-3.0265807587902702</v>
      </c>
      <c r="J772" s="28">
        <v>2.4733674060513498E-3</v>
      </c>
      <c r="K772" s="29">
        <v>7.4194458259800602E-2</v>
      </c>
    </row>
    <row r="773" spans="1:11" x14ac:dyDescent="0.35">
      <c r="A773" s="9" t="str">
        <f>HYPERLINK("http://www.ensembl.org/id/WBGene00020674", "WBGene00020674")</f>
        <v>WBGene00020674</v>
      </c>
      <c r="B773" s="9" t="str">
        <f>HYPERLINK("http://www.ncbi.nlm.nih.gov/gene/180832", "180832")</f>
        <v>180832</v>
      </c>
      <c r="C773" s="9"/>
      <c r="D773" t="str">
        <f>"T22B7.7"</f>
        <v>T22B7.7</v>
      </c>
      <c r="F773" t="s">
        <v>11</v>
      </c>
      <c r="G773" t="s">
        <v>674</v>
      </c>
      <c r="H773" s="12">
        <v>1.8565246944526701</v>
      </c>
      <c r="I773" s="20">
        <v>3.0264253577072502</v>
      </c>
      <c r="J773" s="28">
        <v>2.4746391099858401E-3</v>
      </c>
      <c r="K773" s="29">
        <v>7.4194458259800602E-2</v>
      </c>
    </row>
    <row r="774" spans="1:11" x14ac:dyDescent="0.35">
      <c r="A774" s="9" t="str">
        <f>HYPERLINK("http://www.ensembl.org/id/WBGene00001793", "WBGene00001793")</f>
        <v>WBGene00001793</v>
      </c>
      <c r="B774" s="9" t="str">
        <f>HYPERLINK("http://www.ncbi.nlm.nih.gov/gene/174924", "174924")</f>
        <v>174924</v>
      </c>
      <c r="C774" s="9" t="str">
        <f>HYPERLINK("http://www.ncbi.nlm.nih.gov/gene/2997", "2997")</f>
        <v>2997</v>
      </c>
      <c r="D774" t="str">
        <f>"gsy-1"</f>
        <v>gsy-1</v>
      </c>
      <c r="E774" t="s">
        <v>675</v>
      </c>
      <c r="F774" t="s">
        <v>11</v>
      </c>
      <c r="G774" t="s">
        <v>676</v>
      </c>
      <c r="H774" s="12">
        <v>-1.73009942223957</v>
      </c>
      <c r="I774" s="20">
        <v>-3.0236372994668801</v>
      </c>
      <c r="J774" s="28">
        <v>2.4975566986375698E-3</v>
      </c>
      <c r="K774" s="29">
        <v>7.4686045758886696E-2</v>
      </c>
    </row>
    <row r="775" spans="1:11" x14ac:dyDescent="0.35">
      <c r="A775" s="9" t="str">
        <f>HYPERLINK("http://www.ensembl.org/id/WBGene00017696", "WBGene00017696")</f>
        <v>WBGene00017696</v>
      </c>
      <c r="B775" s="9" t="str">
        <f>HYPERLINK("http://www.ncbi.nlm.nih.gov/gene/176209", "176209")</f>
        <v>176209</v>
      </c>
      <c r="C775" s="9" t="str">
        <f>HYPERLINK("http://www.ncbi.nlm.nih.gov/gene/51426", "51426")</f>
        <v>51426</v>
      </c>
      <c r="D775" t="str">
        <f>"polk-1"</f>
        <v>polk-1</v>
      </c>
      <c r="E775" t="s">
        <v>677</v>
      </c>
      <c r="F775" t="s">
        <v>11</v>
      </c>
      <c r="G775" t="s">
        <v>678</v>
      </c>
      <c r="H775" s="12">
        <v>-1.9146925158224799</v>
      </c>
      <c r="I775" s="20">
        <v>-3.0235127062228502</v>
      </c>
      <c r="J775" s="28">
        <v>2.4985853618808701E-3</v>
      </c>
      <c r="K775" s="29">
        <v>7.4686045758886696E-2</v>
      </c>
    </row>
    <row r="776" spans="1:11" x14ac:dyDescent="0.35">
      <c r="A776" s="9" t="str">
        <f>HYPERLINK("http://www.ensembl.org/id/WBGene00011020", "WBGene00011020")</f>
        <v>WBGene00011020</v>
      </c>
      <c r="B776" s="9" t="str">
        <f>HYPERLINK("http://www.ncbi.nlm.nih.gov/gene/178371", "178371")</f>
        <v>178371</v>
      </c>
      <c r="C776" s="9"/>
      <c r="D776" t="str">
        <f>"R05A10.3"</f>
        <v>R05A10.3</v>
      </c>
      <c r="F776" t="s">
        <v>11</v>
      </c>
      <c r="H776" s="12">
        <v>2.44150486191295</v>
      </c>
      <c r="I776" s="20">
        <v>3.0230943958280401</v>
      </c>
      <c r="J776" s="28">
        <v>2.5020418402355001E-3</v>
      </c>
      <c r="K776" s="29">
        <v>7.4692737416642702E-2</v>
      </c>
    </row>
    <row r="777" spans="1:11" x14ac:dyDescent="0.35">
      <c r="A777" s="9" t="str">
        <f>HYPERLINK("http://www.ensembl.org/id/WBGene00011836", "WBGene00011836")</f>
        <v>WBGene00011836</v>
      </c>
      <c r="B777" s="9" t="str">
        <f>HYPERLINK("http://www.ncbi.nlm.nih.gov/gene/179558", "179558")</f>
        <v>179558</v>
      </c>
      <c r="C777" s="9"/>
      <c r="D777" t="str">
        <f>"mam-4"</f>
        <v>mam-4</v>
      </c>
      <c r="E777" t="s">
        <v>679</v>
      </c>
      <c r="F777" t="s">
        <v>11</v>
      </c>
      <c r="H777" s="12">
        <v>2.1082620500929998</v>
      </c>
      <c r="I777" s="20">
        <v>3.0223247374531601</v>
      </c>
      <c r="J777" s="28">
        <v>2.5084129204489599E-3</v>
      </c>
      <c r="K777" s="29">
        <v>7.4786308309540306E-2</v>
      </c>
    </row>
    <row r="778" spans="1:11" x14ac:dyDescent="0.35">
      <c r="A778" s="9" t="str">
        <f>HYPERLINK("http://www.ensembl.org/id/WBGene00002242", "WBGene00002242")</f>
        <v>WBGene00002242</v>
      </c>
      <c r="B778" s="9" t="str">
        <f>HYPERLINK("http://www.ncbi.nlm.nih.gov/gene/183753", "183753")</f>
        <v>183753</v>
      </c>
      <c r="C778" s="9"/>
      <c r="D778" t="str">
        <f>"kvs-1"</f>
        <v>kvs-1</v>
      </c>
      <c r="F778" t="s">
        <v>11</v>
      </c>
      <c r="G778" t="s">
        <v>680</v>
      </c>
      <c r="H778" s="12">
        <v>2.0980234487464702</v>
      </c>
      <c r="I778" s="20">
        <v>3.01971504848466</v>
      </c>
      <c r="J778" s="28">
        <v>2.5301260403293498E-3</v>
      </c>
      <c r="K778" s="29">
        <v>7.5336459133827402E-2</v>
      </c>
    </row>
    <row r="779" spans="1:11" x14ac:dyDescent="0.35">
      <c r="A779" s="9" t="str">
        <f>HYPERLINK("http://www.ensembl.org/id/WBGene00004257", "WBGene00004257")</f>
        <v>WBGene00004257</v>
      </c>
      <c r="B779" s="9" t="str">
        <f>HYPERLINK("http://www.ncbi.nlm.nih.gov/gene/181288", "181288")</f>
        <v>181288</v>
      </c>
      <c r="C779" s="9" t="str">
        <f>HYPERLINK("http://www.ncbi.nlm.nih.gov/gene/7837", "7837")</f>
        <v>7837</v>
      </c>
      <c r="D779" t="str">
        <f>"pxn-2"</f>
        <v>pxn-2</v>
      </c>
      <c r="E779" t="s">
        <v>681</v>
      </c>
      <c r="F779" t="s">
        <v>11</v>
      </c>
      <c r="G779" t="s">
        <v>682</v>
      </c>
      <c r="H779" s="12">
        <v>2.1294756972951099</v>
      </c>
      <c r="I779" s="20">
        <v>3.0174123061671501</v>
      </c>
      <c r="J779" s="28">
        <v>2.5494279320202799E-3</v>
      </c>
      <c r="K779" s="29">
        <v>7.5813490086564503E-2</v>
      </c>
    </row>
    <row r="780" spans="1:11" x14ac:dyDescent="0.35">
      <c r="A780" s="9" t="str">
        <f>HYPERLINK("http://www.ensembl.org/id/WBGene00020788", "WBGene00020788")</f>
        <v>WBGene00020788</v>
      </c>
      <c r="B780" s="9" t="str">
        <f>HYPERLINK("http://www.ncbi.nlm.nih.gov/gene/181144", "181144")</f>
        <v>181144</v>
      </c>
      <c r="C780" s="9"/>
      <c r="D780" t="str">
        <f>"nep-22"</f>
        <v>nep-22</v>
      </c>
      <c r="E780" t="s">
        <v>683</v>
      </c>
      <c r="F780" t="s">
        <v>11</v>
      </c>
      <c r="G780" t="s">
        <v>684</v>
      </c>
      <c r="H780" s="12">
        <v>2.1430036737968599</v>
      </c>
      <c r="I780" s="20">
        <v>3.01583125355415</v>
      </c>
      <c r="J780" s="28">
        <v>2.5627583984507499E-3</v>
      </c>
      <c r="K780" s="29">
        <v>7.6055120304177701E-2</v>
      </c>
    </row>
    <row r="781" spans="1:11" x14ac:dyDescent="0.35">
      <c r="A781" s="9" t="str">
        <f>HYPERLINK("http://www.ensembl.org/id/WBGene00013265", "WBGene00013265")</f>
        <v>WBGene00013265</v>
      </c>
      <c r="B781" s="9" t="str">
        <f>HYPERLINK("http://www.ncbi.nlm.nih.gov/gene/174866", "174866")</f>
        <v>174866</v>
      </c>
      <c r="C781" s="9" t="str">
        <f>HYPERLINK("http://www.ncbi.nlm.nih.gov/gene/114034", "114034")</f>
        <v>114034</v>
      </c>
      <c r="D781" t="str">
        <f>"parn-2"</f>
        <v>parn-2</v>
      </c>
      <c r="E781" t="s">
        <v>685</v>
      </c>
      <c r="F781" t="s">
        <v>11</v>
      </c>
      <c r="G781" t="s">
        <v>686</v>
      </c>
      <c r="H781" s="12">
        <v>-2.1010506454850599</v>
      </c>
      <c r="I781" s="20">
        <v>-3.0156682299586199</v>
      </c>
      <c r="J781" s="28">
        <v>2.5641365323705702E-3</v>
      </c>
      <c r="K781" s="29">
        <v>7.6055120304177701E-2</v>
      </c>
    </row>
    <row r="782" spans="1:11" x14ac:dyDescent="0.35">
      <c r="A782" s="9" t="str">
        <f>HYPERLINK("http://www.ensembl.org/id/WBGene00020567", "WBGene00020567")</f>
        <v>WBGene00020567</v>
      </c>
      <c r="B782" s="9" t="str">
        <f>HYPERLINK("http://www.ncbi.nlm.nih.gov/gene/180675", "180675")</f>
        <v>180675</v>
      </c>
      <c r="C782" s="9"/>
      <c r="D782" t="str">
        <f>"adt-3"</f>
        <v>adt-3</v>
      </c>
      <c r="E782" t="s">
        <v>687</v>
      </c>
      <c r="F782" t="s">
        <v>11</v>
      </c>
      <c r="G782" t="s">
        <v>688</v>
      </c>
      <c r="H782" s="12">
        <v>2.3074493212239702</v>
      </c>
      <c r="I782" s="20">
        <v>3.0134663784809401</v>
      </c>
      <c r="J782" s="28">
        <v>2.58281658278134E-3</v>
      </c>
      <c r="K782" s="29">
        <v>7.6510974309930299E-2</v>
      </c>
    </row>
    <row r="783" spans="1:11" x14ac:dyDescent="0.35">
      <c r="A783" s="9" t="str">
        <f>HYPERLINK("http://www.ensembl.org/id/WBGene00001156", "WBGene00001156")</f>
        <v>WBGene00001156</v>
      </c>
      <c r="B783" s="9" t="str">
        <f>HYPERLINK("http://www.ncbi.nlm.nih.gov/gene/173300", "173300")</f>
        <v>173300</v>
      </c>
      <c r="C783" s="9"/>
      <c r="D783" t="str">
        <f>"ech-7"</f>
        <v>ech-7</v>
      </c>
      <c r="E783" t="s">
        <v>667</v>
      </c>
      <c r="F783" t="s">
        <v>11</v>
      </c>
      <c r="G783" t="s">
        <v>689</v>
      </c>
      <c r="H783" s="12">
        <v>-1.78084521051897</v>
      </c>
      <c r="I783" s="20">
        <v>-3.0115976792092298</v>
      </c>
      <c r="J783" s="28">
        <v>2.59876776746196E-3</v>
      </c>
      <c r="K783" s="29">
        <v>7.6884927061429006E-2</v>
      </c>
    </row>
    <row r="784" spans="1:11" x14ac:dyDescent="0.35">
      <c r="A784" s="9" t="str">
        <f>HYPERLINK("http://www.ensembl.org/id/WBGene00013137", "WBGene00013137")</f>
        <v>WBGene00013137</v>
      </c>
      <c r="B784" s="9" t="str">
        <f>HYPERLINK("http://www.ncbi.nlm.nih.gov/gene/190193", "190193")</f>
        <v>190193</v>
      </c>
      <c r="C784" s="9"/>
      <c r="D784" t="str">
        <f>"Y53C10A.6"</f>
        <v>Y53C10A.6</v>
      </c>
      <c r="F784" t="s">
        <v>11</v>
      </c>
      <c r="H784" s="12">
        <v>-1.9465980464784001</v>
      </c>
      <c r="I784" s="20">
        <v>-3.0070401103736399</v>
      </c>
      <c r="J784" s="28">
        <v>2.63804952100343E-3</v>
      </c>
      <c r="K784" s="29">
        <v>7.7947279069444098E-2</v>
      </c>
    </row>
    <row r="785" spans="1:11" x14ac:dyDescent="0.35">
      <c r="A785" s="9" t="str">
        <f>HYPERLINK("http://www.ensembl.org/id/WBGene00007178", "WBGene00007178")</f>
        <v>WBGene00007178</v>
      </c>
      <c r="B785" s="9" t="str">
        <f>HYPERLINK("http://www.ncbi.nlm.nih.gov/gene/174420", "174420")</f>
        <v>174420</v>
      </c>
      <c r="C785" s="9"/>
      <c r="D785" t="str">
        <f>"B0457.2"</f>
        <v>B0457.2</v>
      </c>
      <c r="F785" t="s">
        <v>11</v>
      </c>
      <c r="H785" s="12">
        <v>2.1605744522114998</v>
      </c>
      <c r="I785" s="20">
        <v>3.0062298970691899</v>
      </c>
      <c r="J785" s="28">
        <v>2.6450893184381701E-3</v>
      </c>
      <c r="K785" s="29">
        <v>7.8055470998508694E-2</v>
      </c>
    </row>
    <row r="786" spans="1:11" x14ac:dyDescent="0.35">
      <c r="A786" s="9" t="str">
        <f>HYPERLINK("http://www.ensembl.org/id/WBGene00022649", "WBGene00022649")</f>
        <v>WBGene00022649</v>
      </c>
      <c r="B786" s="9" t="str">
        <f>HYPERLINK("http://www.ncbi.nlm.nih.gov/gene/174008", "174008")</f>
        <v>174008</v>
      </c>
      <c r="C786" s="9"/>
      <c r="D786" t="str">
        <f>"ZK84.1"</f>
        <v>ZK84.1</v>
      </c>
      <c r="F786" t="s">
        <v>11</v>
      </c>
      <c r="H786" s="12">
        <v>1.95492205328309</v>
      </c>
      <c r="I786" s="20">
        <v>3.0036630112807701</v>
      </c>
      <c r="J786" s="28">
        <v>2.6675060571388098E-3</v>
      </c>
      <c r="K786" s="29">
        <v>7.8616575199297697E-2</v>
      </c>
    </row>
    <row r="787" spans="1:11" x14ac:dyDescent="0.35">
      <c r="A787" s="9" t="str">
        <f>HYPERLINK("http://www.ensembl.org/id/WBGene00017294", "WBGene00017294")</f>
        <v>WBGene00017294</v>
      </c>
      <c r="B787" s="9" t="str">
        <f>HYPERLINK("http://www.ncbi.nlm.nih.gov/gene/180489", "180489")</f>
        <v>180489</v>
      </c>
      <c r="C787" s="9"/>
      <c r="D787" t="str">
        <f>"F09E10.1"</f>
        <v>F09E10.1</v>
      </c>
      <c r="F787" t="s">
        <v>11</v>
      </c>
      <c r="H787" s="12">
        <v>2.3648348169939699</v>
      </c>
      <c r="I787" s="20">
        <v>3.0014662938707701</v>
      </c>
      <c r="J787" s="28">
        <v>2.6868278273657199E-3</v>
      </c>
      <c r="K787" s="29">
        <v>7.9085151310971102E-2</v>
      </c>
    </row>
    <row r="788" spans="1:11" x14ac:dyDescent="0.35">
      <c r="A788" s="9" t="str">
        <f>HYPERLINK("http://www.ensembl.org/id/WBGene00000692", "WBGene00000692")</f>
        <v>WBGene00000692</v>
      </c>
      <c r="B788" s="9" t="str">
        <f>HYPERLINK("http://www.ncbi.nlm.nih.gov/gene/177699", "177699")</f>
        <v>177699</v>
      </c>
      <c r="C788" s="9"/>
      <c r="D788" t="str">
        <f>"col-118"</f>
        <v>col-118</v>
      </c>
      <c r="E788" t="s">
        <v>40</v>
      </c>
      <c r="F788" t="s">
        <v>11</v>
      </c>
      <c r="G788" t="s">
        <v>152</v>
      </c>
      <c r="H788" s="12">
        <v>1.7191726863850101</v>
      </c>
      <c r="I788" s="20">
        <v>2.9980028912803798</v>
      </c>
      <c r="J788" s="28">
        <v>2.7175509522451699E-3</v>
      </c>
      <c r="K788" s="29">
        <v>7.9819508497297506E-2</v>
      </c>
    </row>
    <row r="789" spans="1:11" x14ac:dyDescent="0.35">
      <c r="A789" s="9" t="str">
        <f>HYPERLINK("http://www.ensembl.org/id/WBGene00010239", "WBGene00010239")</f>
        <v>WBGene00010239</v>
      </c>
      <c r="B789" s="9" t="str">
        <f>HYPERLINK("http://www.ncbi.nlm.nih.gov/gene/3565238", "3565238")</f>
        <v>3565238</v>
      </c>
      <c r="C789" s="9"/>
      <c r="D789" t="str">
        <f>"F58B4.6"</f>
        <v>F58B4.6</v>
      </c>
      <c r="F789" t="s">
        <v>11</v>
      </c>
      <c r="H789" s="12">
        <v>-1.8461772179470799</v>
      </c>
      <c r="I789" s="20">
        <v>-2.99787565126559</v>
      </c>
      <c r="J789" s="28">
        <v>2.7186857607276499E-3</v>
      </c>
      <c r="K789" s="29">
        <v>7.9819508497297506E-2</v>
      </c>
    </row>
    <row r="790" spans="1:11" x14ac:dyDescent="0.35">
      <c r="A790" s="9" t="str">
        <f>HYPERLINK("http://www.ensembl.org/id/WBGene00011310", "WBGene00011310")</f>
        <v>WBGene00011310</v>
      </c>
      <c r="B790" s="9" t="str">
        <f>HYPERLINK("http://www.ncbi.nlm.nih.gov/gene/3565727", "3565727")</f>
        <v>3565727</v>
      </c>
      <c r="C790" s="9"/>
      <c r="D790" t="str">
        <f>"T01B4.3"</f>
        <v>T01B4.3</v>
      </c>
      <c r="F790" t="s">
        <v>11</v>
      </c>
      <c r="H790" s="12">
        <v>1.82172681852517</v>
      </c>
      <c r="I790" s="20">
        <v>2.9969538187771398</v>
      </c>
      <c r="J790" s="28">
        <v>2.72692019701023E-3</v>
      </c>
      <c r="K790" s="29">
        <v>7.9959667604211096E-2</v>
      </c>
    </row>
    <row r="791" spans="1:11" x14ac:dyDescent="0.35">
      <c r="A791" s="9" t="str">
        <f>HYPERLINK("http://www.ensembl.org/id/WBGene00007087", "WBGene00007087")</f>
        <v>WBGene00007087</v>
      </c>
      <c r="B791" s="9" t="str">
        <f>HYPERLINK("http://www.ncbi.nlm.nih.gov/gene/178164", "178164")</f>
        <v>178164</v>
      </c>
      <c r="C791" s="9"/>
      <c r="D791" t="str">
        <f>"B0001.2"</f>
        <v>B0001.2</v>
      </c>
      <c r="F791" t="s">
        <v>11</v>
      </c>
      <c r="H791" s="12">
        <v>-1.9188841060280699</v>
      </c>
      <c r="I791" s="20">
        <v>-2.9953431406620301</v>
      </c>
      <c r="J791" s="28">
        <v>2.7413625809434802E-3</v>
      </c>
      <c r="K791" s="29">
        <v>8.0078285455474199E-2</v>
      </c>
    </row>
    <row r="792" spans="1:11" x14ac:dyDescent="0.35">
      <c r="A792" s="9" t="str">
        <f>HYPERLINK("http://www.ensembl.org/id/WBGene00015393", "WBGene00015393")</f>
        <v>WBGene00015393</v>
      </c>
      <c r="B792" s="9" t="str">
        <f>HYPERLINK("http://www.ncbi.nlm.nih.gov/gene/179123", "179123")</f>
        <v>179123</v>
      </c>
      <c r="C792" s="9"/>
      <c r="D792" t="str">
        <f>"C03G6.5"</f>
        <v>C03G6.5</v>
      </c>
      <c r="E792" t="s">
        <v>691</v>
      </c>
      <c r="F792" t="s">
        <v>11</v>
      </c>
      <c r="G792" t="s">
        <v>27</v>
      </c>
      <c r="H792" s="12">
        <v>-2.6801879912666999</v>
      </c>
      <c r="I792" s="20">
        <v>-2.9959383855844401</v>
      </c>
      <c r="J792" s="28">
        <v>2.7360171085052901E-3</v>
      </c>
      <c r="K792" s="29">
        <v>8.0078285455474199E-2</v>
      </c>
    </row>
    <row r="793" spans="1:11" x14ac:dyDescent="0.35">
      <c r="A793" s="9" t="str">
        <f>HYPERLINK("http://www.ensembl.org/id/WBGene00016294", "WBGene00016294")</f>
        <v>WBGene00016294</v>
      </c>
      <c r="B793" s="9" t="str">
        <f>HYPERLINK("http://www.ncbi.nlm.nih.gov/gene/183101", "183101")</f>
        <v>183101</v>
      </c>
      <c r="C793" s="9"/>
      <c r="D793" t="str">
        <f>"C31H2.4"</f>
        <v>C31H2.4</v>
      </c>
      <c r="F793" t="s">
        <v>11</v>
      </c>
      <c r="G793" t="s">
        <v>690</v>
      </c>
      <c r="H793" s="12">
        <v>2.3084839902796999</v>
      </c>
      <c r="I793" s="20">
        <v>2.99537086902928</v>
      </c>
      <c r="J793" s="28">
        <v>2.7411133604275102E-3</v>
      </c>
      <c r="K793" s="29">
        <v>8.0078285455474199E-2</v>
      </c>
    </row>
    <row r="794" spans="1:11" x14ac:dyDescent="0.35">
      <c r="A794" s="9" t="str">
        <f>HYPERLINK("http://www.ensembl.org/id/WBGene00009731", "WBGene00009731")</f>
        <v>WBGene00009731</v>
      </c>
      <c r="B794" s="9" t="str">
        <f>HYPERLINK("http://www.ncbi.nlm.nih.gov/gene/176765", "176765")</f>
        <v>176765</v>
      </c>
      <c r="C794" s="9"/>
      <c r="D794" t="str">
        <f>"exo-1"</f>
        <v>exo-1</v>
      </c>
      <c r="E794" t="s">
        <v>693</v>
      </c>
      <c r="F794" t="s">
        <v>11</v>
      </c>
      <c r="G794" t="s">
        <v>694</v>
      </c>
      <c r="H794" s="12">
        <v>-1.97679510926253</v>
      </c>
      <c r="I794" s="20">
        <v>-2.99312351196494</v>
      </c>
      <c r="J794" s="28">
        <v>2.7613797204847001E-3</v>
      </c>
      <c r="K794" s="29">
        <v>8.0466807336308593E-2</v>
      </c>
    </row>
    <row r="795" spans="1:11" x14ac:dyDescent="0.35">
      <c r="A795" s="9" t="str">
        <f>HYPERLINK("http://www.ensembl.org/id/WBGene00013896", "WBGene00013896")</f>
        <v>WBGene00013896</v>
      </c>
      <c r="B795" s="9" t="str">
        <f>HYPERLINK("http://www.ncbi.nlm.nih.gov/gene/179756", "179756")</f>
        <v>179756</v>
      </c>
      <c r="C795" s="9"/>
      <c r="D795" t="str">
        <f>"ZC443.1"</f>
        <v>ZC443.1</v>
      </c>
      <c r="F795" t="s">
        <v>11</v>
      </c>
      <c r="G795" t="s">
        <v>692</v>
      </c>
      <c r="H795" s="12">
        <v>2.00825288623939</v>
      </c>
      <c r="I795" s="20">
        <v>2.9930960656505898</v>
      </c>
      <c r="J795" s="28">
        <v>2.76162807139672E-3</v>
      </c>
      <c r="K795" s="29">
        <v>8.0466807336308593E-2</v>
      </c>
    </row>
    <row r="796" spans="1:11" x14ac:dyDescent="0.35">
      <c r="A796" s="9" t="str">
        <f>HYPERLINK("http://www.ensembl.org/id/WBGene00008462", "WBGene00008462")</f>
        <v>WBGene00008462</v>
      </c>
      <c r="B796" s="9" t="str">
        <f>HYPERLINK("http://www.ncbi.nlm.nih.gov/gene/183995", "183995")</f>
        <v>183995</v>
      </c>
      <c r="C796" s="9"/>
      <c r="D796" t="str">
        <f>"E02H4.4"</f>
        <v>E02H4.4</v>
      </c>
      <c r="F796" t="s">
        <v>11</v>
      </c>
      <c r="G796" t="s">
        <v>27</v>
      </c>
      <c r="H796" s="12">
        <v>-1.9921273120457399</v>
      </c>
      <c r="I796" s="20">
        <v>-2.98979060076958</v>
      </c>
      <c r="J796" s="28">
        <v>2.79168755064542E-3</v>
      </c>
      <c r="K796" s="29">
        <v>8.1138028358758593E-2</v>
      </c>
    </row>
    <row r="797" spans="1:11" x14ac:dyDescent="0.35">
      <c r="A797" s="9" t="str">
        <f>HYPERLINK("http://www.ensembl.org/id/WBGene00017467", "WBGene00017467")</f>
        <v>WBGene00017467</v>
      </c>
      <c r="B797" s="9" t="str">
        <f>HYPERLINK("http://www.ncbi.nlm.nih.gov/gene/178901", "178901")</f>
        <v>178901</v>
      </c>
      <c r="C797" s="9"/>
      <c r="D797" t="str">
        <f>"F14F9.4"</f>
        <v>F14F9.4</v>
      </c>
      <c r="F797" t="s">
        <v>11</v>
      </c>
      <c r="H797" s="12">
        <v>-1.92339337203783</v>
      </c>
      <c r="I797" s="20">
        <v>-2.99013812453946</v>
      </c>
      <c r="J797" s="28">
        <v>2.78851321518221E-3</v>
      </c>
      <c r="K797" s="29">
        <v>8.1138028358758593E-2</v>
      </c>
    </row>
    <row r="798" spans="1:11" x14ac:dyDescent="0.35">
      <c r="A798" s="9" t="str">
        <f>HYPERLINK("http://www.ensembl.org/id/WBGene00021465", "WBGene00021465")</f>
        <v>WBGene00021465</v>
      </c>
      <c r="B798" s="9" t="str">
        <f>HYPERLINK("http://www.ncbi.nlm.nih.gov/gene/189772", "189772")</f>
        <v>189772</v>
      </c>
      <c r="C798" s="9"/>
      <c r="D798" t="str">
        <f>"ekl-7"</f>
        <v>ekl-7</v>
      </c>
      <c r="F798" t="s">
        <v>11</v>
      </c>
      <c r="H798" s="12">
        <v>-2.3686324668418801</v>
      </c>
      <c r="I798" s="20">
        <v>-2.98939564875166</v>
      </c>
      <c r="J798" s="28">
        <v>2.7952991093636E-3</v>
      </c>
      <c r="K798" s="29">
        <v>8.1140931182104595E-2</v>
      </c>
    </row>
    <row r="799" spans="1:11" x14ac:dyDescent="0.35">
      <c r="A799" s="9" t="str">
        <f>HYPERLINK("http://www.ensembl.org/id/WBGene00012095", "WBGene00012095")</f>
        <v>WBGene00012095</v>
      </c>
      <c r="B799" s="9" t="str">
        <f>HYPERLINK("http://www.ncbi.nlm.nih.gov/gene/176776", "176776")</f>
        <v>176776</v>
      </c>
      <c r="C799" s="9" t="str">
        <f>HYPERLINK("http://www.ncbi.nlm.nih.gov/gene/9791", "9791")</f>
        <v>9791</v>
      </c>
      <c r="D799" t="str">
        <f>"pssy-2"</f>
        <v>pssy-2</v>
      </c>
      <c r="E799" t="s">
        <v>695</v>
      </c>
      <c r="F799" t="s">
        <v>11</v>
      </c>
      <c r="G799" t="s">
        <v>696</v>
      </c>
      <c r="H799" s="12">
        <v>-2.0217872157432302</v>
      </c>
      <c r="I799" s="20">
        <v>-2.9889655590551101</v>
      </c>
      <c r="J799" s="28">
        <v>2.7992368304468598E-3</v>
      </c>
      <c r="K799" s="29">
        <v>8.1153282565000207E-2</v>
      </c>
    </row>
    <row r="800" spans="1:11" x14ac:dyDescent="0.35">
      <c r="A800" s="9" t="str">
        <f>HYPERLINK("http://www.ensembl.org/id/WBGene00008219", "WBGene00008219")</f>
        <v>WBGene00008219</v>
      </c>
      <c r="B800" s="9" t="str">
        <f>HYPERLINK("http://www.ncbi.nlm.nih.gov/gene/179811", "179811")</f>
        <v>179811</v>
      </c>
      <c r="C800" s="9"/>
      <c r="D800" t="str">
        <f>"C50B6.3"</f>
        <v>C50B6.3</v>
      </c>
      <c r="F800" t="s">
        <v>11</v>
      </c>
      <c r="H800" s="12">
        <v>-1.83798320231692</v>
      </c>
      <c r="I800" s="20">
        <v>-2.9871299383113001</v>
      </c>
      <c r="J800" s="28">
        <v>2.8161000192607599E-3</v>
      </c>
      <c r="K800" s="29">
        <v>8.1437806063878695E-2</v>
      </c>
    </row>
    <row r="801" spans="1:11" x14ac:dyDescent="0.35">
      <c r="A801" s="9" t="str">
        <f>HYPERLINK("http://www.ensembl.org/id/WBGene00018117", "WBGene00018117")</f>
        <v>WBGene00018117</v>
      </c>
      <c r="B801" s="9" t="str">
        <f>HYPERLINK("http://www.ncbi.nlm.nih.gov/gene/185393", "185393")</f>
        <v>185393</v>
      </c>
      <c r="C801" s="9"/>
      <c r="D801" t="str">
        <f>"nlp-47"</f>
        <v>nlp-47</v>
      </c>
      <c r="E801" t="s">
        <v>76</v>
      </c>
      <c r="F801" t="s">
        <v>11</v>
      </c>
      <c r="G801" t="s">
        <v>77</v>
      </c>
      <c r="H801" s="12">
        <v>1.74169798225318</v>
      </c>
      <c r="I801" s="20">
        <v>2.9871797044199901</v>
      </c>
      <c r="J801" s="28">
        <v>2.8156416151341301E-3</v>
      </c>
      <c r="K801" s="29">
        <v>8.1437806063878695E-2</v>
      </c>
    </row>
    <row r="802" spans="1:11" x14ac:dyDescent="0.35">
      <c r="A802" s="9" t="str">
        <f>HYPERLINK("http://www.ensembl.org/id/WBGene00006592", "WBGene00006592")</f>
        <v>WBGene00006592</v>
      </c>
      <c r="B802" s="9" t="str">
        <f>HYPERLINK("http://www.ncbi.nlm.nih.gov/gene/176014", "176014")</f>
        <v>176014</v>
      </c>
      <c r="C802" s="9"/>
      <c r="D802" t="str">
        <f>"dpy-31"</f>
        <v>dpy-31</v>
      </c>
      <c r="E802" t="s">
        <v>697</v>
      </c>
      <c r="F802" t="s">
        <v>11</v>
      </c>
      <c r="G802" t="s">
        <v>267</v>
      </c>
      <c r="H802" s="12">
        <v>1.9346084326741699</v>
      </c>
      <c r="I802" s="20">
        <v>2.9848535006630601</v>
      </c>
      <c r="J802" s="28">
        <v>2.83714167642459E-3</v>
      </c>
      <c r="K802" s="29">
        <v>8.1943744469333293E-2</v>
      </c>
    </row>
    <row r="803" spans="1:11" x14ac:dyDescent="0.35">
      <c r="A803" s="9" t="str">
        <f>HYPERLINK("http://www.ensembl.org/id/WBGene00018640", "WBGene00018640")</f>
        <v>WBGene00018640</v>
      </c>
      <c r="B803" s="9" t="str">
        <f>HYPERLINK("http://www.ncbi.nlm.nih.gov/gene/180855", "180855")</f>
        <v>180855</v>
      </c>
      <c r="C803" s="9"/>
      <c r="D803" t="str">
        <f>"F49E10.2"</f>
        <v>F49E10.2</v>
      </c>
      <c r="F803" t="s">
        <v>11</v>
      </c>
      <c r="G803" t="s">
        <v>698</v>
      </c>
      <c r="H803" s="12">
        <v>3.9232564839080299</v>
      </c>
      <c r="I803" s="20">
        <v>2.9840712933973998</v>
      </c>
      <c r="J803" s="28">
        <v>2.8444048778571902E-3</v>
      </c>
      <c r="K803" s="29">
        <v>8.2050960184479604E-2</v>
      </c>
    </row>
    <row r="804" spans="1:11" x14ac:dyDescent="0.35">
      <c r="A804" s="9" t="str">
        <f>HYPERLINK("http://www.ensembl.org/id/WBGene00020813", "WBGene00020813")</f>
        <v>WBGene00020813</v>
      </c>
      <c r="B804" s="9" t="str">
        <f>HYPERLINK("http://www.ncbi.nlm.nih.gov/gene/181760", "181760")</f>
        <v>181760</v>
      </c>
      <c r="C804" s="9"/>
      <c r="D804" t="str">
        <f>"T25G12.6"</f>
        <v>T25G12.6</v>
      </c>
      <c r="F804" t="s">
        <v>11</v>
      </c>
      <c r="G804" t="s">
        <v>25</v>
      </c>
      <c r="H804" s="12">
        <v>-2.30684364889821</v>
      </c>
      <c r="I804" s="20">
        <v>-2.98302456059736</v>
      </c>
      <c r="J804" s="28">
        <v>2.85415089657249E-3</v>
      </c>
      <c r="K804" s="29">
        <v>8.2229439671077195E-2</v>
      </c>
    </row>
    <row r="805" spans="1:11" x14ac:dyDescent="0.35">
      <c r="A805" s="9" t="str">
        <f>HYPERLINK("http://www.ensembl.org/id/WBGene00008554", "WBGene00008554")</f>
        <v>WBGene00008554</v>
      </c>
      <c r="B805" s="9" t="str">
        <f>HYPERLINK("http://www.ncbi.nlm.nih.gov/gene/184138", "184138")</f>
        <v>184138</v>
      </c>
      <c r="C805" s="9"/>
      <c r="D805" t="str">
        <f>"F07C6.3"</f>
        <v>F07C6.3</v>
      </c>
      <c r="F805" t="s">
        <v>11</v>
      </c>
      <c r="H805" s="12">
        <v>2.09324490987016</v>
      </c>
      <c r="I805" s="20">
        <v>2.9797302502042098</v>
      </c>
      <c r="J805" s="28">
        <v>2.8850231778077598E-3</v>
      </c>
      <c r="K805" s="29">
        <v>8.3000006768485401E-2</v>
      </c>
    </row>
    <row r="806" spans="1:11" x14ac:dyDescent="0.35">
      <c r="A806" s="9" t="str">
        <f>HYPERLINK("http://www.ensembl.org/id/WBGene00001476", "WBGene00001476")</f>
        <v>WBGene00001476</v>
      </c>
      <c r="B806" s="9" t="str">
        <f>HYPERLINK("http://www.ncbi.nlm.nih.gov/gene/177954", "177954")</f>
        <v>177954</v>
      </c>
      <c r="C806" s="9" t="str">
        <f>HYPERLINK("http://www.ncbi.nlm.nih.gov/gene/2330", "2330")</f>
        <v>2330</v>
      </c>
      <c r="D806" t="str">
        <f>"fmo-1"</f>
        <v>fmo-1</v>
      </c>
      <c r="E806" t="s">
        <v>99</v>
      </c>
      <c r="F806" t="s">
        <v>11</v>
      </c>
      <c r="G806" t="s">
        <v>699</v>
      </c>
      <c r="H806" s="12">
        <v>-1.7954032974667</v>
      </c>
      <c r="I806" s="20">
        <v>-2.9794056839166498</v>
      </c>
      <c r="J806" s="28">
        <v>2.8880812534347001E-3</v>
      </c>
      <c r="K806" s="29">
        <v>8.3000006768485401E-2</v>
      </c>
    </row>
    <row r="807" spans="1:11" x14ac:dyDescent="0.35">
      <c r="A807" s="9" t="str">
        <f>HYPERLINK("http://www.ensembl.org/id/WBGene00008464", "WBGene00008464")</f>
        <v>WBGene00008464</v>
      </c>
      <c r="B807" s="9" t="str">
        <f>HYPERLINK("http://www.ncbi.nlm.nih.gov/gene/183997", "183997")</f>
        <v>183997</v>
      </c>
      <c r="C807" s="9"/>
      <c r="D807" t="str">
        <f>"E02H4.6"</f>
        <v>E02H4.6</v>
      </c>
      <c r="F807" t="s">
        <v>11</v>
      </c>
      <c r="G807" t="s">
        <v>112</v>
      </c>
      <c r="H807" s="12">
        <v>-2.29547492915649</v>
      </c>
      <c r="I807" s="20">
        <v>-2.9783811923324901</v>
      </c>
      <c r="J807" s="28">
        <v>2.8977534717689601E-3</v>
      </c>
      <c r="K807" s="29">
        <v>8.3174523874153403E-2</v>
      </c>
    </row>
    <row r="808" spans="1:11" x14ac:dyDescent="0.35">
      <c r="A808" s="9" t="str">
        <f>HYPERLINK("http://www.ensembl.org/id/WBGene00012835", "WBGene00012835")</f>
        <v>WBGene00012835</v>
      </c>
      <c r="B808" s="9" t="str">
        <f>HYPERLINK("http://www.ncbi.nlm.nih.gov/gene/180291", "180291")</f>
        <v>180291</v>
      </c>
      <c r="C808" s="9"/>
      <c r="D808" t="str">
        <f>"ani-3"</f>
        <v>ani-3</v>
      </c>
      <c r="E808" t="s">
        <v>704</v>
      </c>
      <c r="F808" t="s">
        <v>11</v>
      </c>
      <c r="H808" s="12">
        <v>-1.94139999618296</v>
      </c>
      <c r="I808" s="20">
        <v>-2.9760687783551898</v>
      </c>
      <c r="J808" s="28">
        <v>2.9196937330234099E-3</v>
      </c>
      <c r="K808" s="29">
        <v>8.3669248619634595E-2</v>
      </c>
    </row>
    <row r="809" spans="1:11" x14ac:dyDescent="0.35">
      <c r="A809" s="9" t="str">
        <f>HYPERLINK("http://www.ensembl.org/id/WBGene00001854", "WBGene00001854")</f>
        <v>WBGene00001854</v>
      </c>
      <c r="B809" s="9" t="str">
        <f>HYPERLINK("http://www.ncbi.nlm.nih.gov/gene/181073", "181073")</f>
        <v>181073</v>
      </c>
      <c r="C809" s="9"/>
      <c r="D809" t="str">
        <f>"hil-3"</f>
        <v>hil-3</v>
      </c>
      <c r="E809" t="s">
        <v>700</v>
      </c>
      <c r="F809" t="s">
        <v>11</v>
      </c>
      <c r="G809" t="s">
        <v>701</v>
      </c>
      <c r="H809" s="12">
        <v>1.7283998963835601</v>
      </c>
      <c r="I809" s="20">
        <v>2.97542249752455</v>
      </c>
      <c r="J809" s="28">
        <v>2.9258527172450798E-3</v>
      </c>
      <c r="K809" s="29">
        <v>8.3669248619634595E-2</v>
      </c>
    </row>
    <row r="810" spans="1:11" x14ac:dyDescent="0.35">
      <c r="A810" s="9" t="str">
        <f>HYPERLINK("http://www.ensembl.org/id/WBGene00021043", "WBGene00021043")</f>
        <v>WBGene00021043</v>
      </c>
      <c r="B810" s="9" t="str">
        <f>HYPERLINK("http://www.ncbi.nlm.nih.gov/gene/175171", "175171")</f>
        <v>175171</v>
      </c>
      <c r="C810" s="9" t="str">
        <f>HYPERLINK("http://www.ncbi.nlm.nih.gov/gene/5106", "5106")</f>
        <v>5106</v>
      </c>
      <c r="D810" t="str">
        <f>"pck-1"</f>
        <v>pck-1</v>
      </c>
      <c r="E810" t="s">
        <v>702</v>
      </c>
      <c r="F810" t="s">
        <v>11</v>
      </c>
      <c r="G810" t="s">
        <v>703</v>
      </c>
      <c r="H810" s="12">
        <v>-1.8566397710107101</v>
      </c>
      <c r="I810" s="20">
        <v>-2.9755453947381798</v>
      </c>
      <c r="J810" s="28">
        <v>2.9246806083040801E-3</v>
      </c>
      <c r="K810" s="29">
        <v>8.3669248619634595E-2</v>
      </c>
    </row>
    <row r="811" spans="1:11" x14ac:dyDescent="0.35">
      <c r="A811" s="9" t="str">
        <f>HYPERLINK("http://www.ensembl.org/id/WBGene00020761", "WBGene00020761")</f>
        <v>WBGene00020761</v>
      </c>
      <c r="B811" s="9" t="str">
        <f>HYPERLINK("http://www.ncbi.nlm.nih.gov/gene/188846", "188846")</f>
        <v>188846</v>
      </c>
      <c r="C811" s="9" t="str">
        <f>HYPERLINK("http://www.ncbi.nlm.nih.gov/gene/5557", "5557")</f>
        <v>5557</v>
      </c>
      <c r="D811" t="str">
        <f>"T24C4.5"</f>
        <v>T24C4.5</v>
      </c>
      <c r="E811" t="s">
        <v>705</v>
      </c>
      <c r="F811" t="s">
        <v>11</v>
      </c>
      <c r="G811" t="s">
        <v>706</v>
      </c>
      <c r="H811" s="12">
        <v>-2.1007680603296799</v>
      </c>
      <c r="I811" s="20">
        <v>-2.9744984204657299</v>
      </c>
      <c r="J811" s="28">
        <v>2.9346796671034102E-3</v>
      </c>
      <c r="K811" s="29">
        <v>8.3817933730644598E-2</v>
      </c>
    </row>
    <row r="812" spans="1:11" x14ac:dyDescent="0.35">
      <c r="A812" s="9" t="str">
        <f>HYPERLINK("http://www.ensembl.org/id/WBGene00010194", "WBGene00010194")</f>
        <v>WBGene00010194</v>
      </c>
      <c r="B812" s="9" t="str">
        <f>HYPERLINK("http://www.ncbi.nlm.nih.gov/gene/186443", "186443")</f>
        <v>186443</v>
      </c>
      <c r="C812" s="9"/>
      <c r="D812" t="str">
        <f>"btb-19"</f>
        <v>btb-19</v>
      </c>
      <c r="E812" t="s">
        <v>468</v>
      </c>
      <c r="F812" t="s">
        <v>11</v>
      </c>
      <c r="G812" t="s">
        <v>54</v>
      </c>
      <c r="H812" s="12">
        <v>-2.2576079470282</v>
      </c>
      <c r="I812" s="20">
        <v>-2.9739813641918502</v>
      </c>
      <c r="J812" s="28">
        <v>2.9396292780743401E-3</v>
      </c>
      <c r="K812" s="29">
        <v>8.3855647036031697E-2</v>
      </c>
    </row>
    <row r="813" spans="1:11" x14ac:dyDescent="0.35">
      <c r="A813" s="9" t="str">
        <f>HYPERLINK("http://www.ensembl.org/id/WBGene00010081", "WBGene00010081")</f>
        <v>WBGene00010081</v>
      </c>
      <c r="B813" s="9" t="str">
        <f>HYPERLINK("http://www.ncbi.nlm.nih.gov/gene/186278", "186278")</f>
        <v>186278</v>
      </c>
      <c r="C813" s="9"/>
      <c r="D813" t="str">
        <f>"F55A11.8"</f>
        <v>F55A11.8</v>
      </c>
      <c r="F813" t="s">
        <v>11</v>
      </c>
      <c r="H813" s="12">
        <v>-2.2167008531649901</v>
      </c>
      <c r="I813" s="20">
        <v>-2.9732045124649402</v>
      </c>
      <c r="J813" s="28">
        <v>2.9470801485476099E-3</v>
      </c>
      <c r="K813" s="29">
        <v>8.38619294663559E-2</v>
      </c>
    </row>
    <row r="814" spans="1:11" x14ac:dyDescent="0.35">
      <c r="A814" s="9" t="str">
        <f>HYPERLINK("http://www.ensembl.org/id/WBGene00004398", "WBGene00004398")</f>
        <v>WBGene00004398</v>
      </c>
      <c r="B814" s="9" t="str">
        <f>HYPERLINK("http://www.ncbi.nlm.nih.gov/gene/174226", "174226")</f>
        <v>174226</v>
      </c>
      <c r="C814" s="9"/>
      <c r="D814" t="str">
        <f>"rol-8"</f>
        <v>rol-8</v>
      </c>
      <c r="E814" t="s">
        <v>707</v>
      </c>
      <c r="F814" t="s">
        <v>11</v>
      </c>
      <c r="G814" t="s">
        <v>152</v>
      </c>
      <c r="H814" s="12">
        <v>6.2568331366517302</v>
      </c>
      <c r="I814" s="20">
        <v>2.9732015701264101</v>
      </c>
      <c r="J814" s="28">
        <v>2.9471084015702002E-3</v>
      </c>
      <c r="K814" s="29">
        <v>8.38619294663559E-2</v>
      </c>
    </row>
    <row r="815" spans="1:11" x14ac:dyDescent="0.35">
      <c r="A815" s="9" t="str">
        <f>HYPERLINK("http://www.ensembl.org/id/WBGene00013405", "WBGene00013405")</f>
        <v>WBGene00013405</v>
      </c>
      <c r="B815" s="9" t="str">
        <f>HYPERLINK("http://www.ncbi.nlm.nih.gov/gene/173276", "173276")</f>
        <v>173276</v>
      </c>
      <c r="C815" s="9" t="str">
        <f>HYPERLINK("http://www.ncbi.nlm.nih.gov/gene/51567", "51567")</f>
        <v>51567</v>
      </c>
      <c r="D815" t="str">
        <f>"tdpt-1"</f>
        <v>tdpt-1</v>
      </c>
      <c r="E815" t="s">
        <v>708</v>
      </c>
      <c r="F815" t="s">
        <v>11</v>
      </c>
      <c r="G815" t="s">
        <v>709</v>
      </c>
      <c r="H815" s="12">
        <v>-2.0283366375987599</v>
      </c>
      <c r="I815" s="20">
        <v>-2.9696359115592301</v>
      </c>
      <c r="J815" s="28">
        <v>2.9815288966891398E-3</v>
      </c>
      <c r="K815" s="29">
        <v>8.4737031595201906E-2</v>
      </c>
    </row>
    <row r="816" spans="1:11" x14ac:dyDescent="0.35">
      <c r="A816" s="9" t="str">
        <f>HYPERLINK("http://www.ensembl.org/id/WBGene00016919", "WBGene00016919")</f>
        <v>WBGene00016919</v>
      </c>
      <c r="B816" s="9" t="str">
        <f>HYPERLINK("http://www.ncbi.nlm.nih.gov/gene/183789", "183789")</f>
        <v>183789</v>
      </c>
      <c r="C816" s="9"/>
      <c r="D816" t="str">
        <f>"C54E4.4"</f>
        <v>C54E4.4</v>
      </c>
      <c r="F816" t="s">
        <v>11</v>
      </c>
      <c r="G816" t="s">
        <v>25</v>
      </c>
      <c r="H816" s="12">
        <v>2.2895120665786202</v>
      </c>
      <c r="I816" s="20">
        <v>2.9692181841433598</v>
      </c>
      <c r="J816" s="28">
        <v>2.9855852700461901E-3</v>
      </c>
      <c r="K816" s="29">
        <v>8.4748075245316204E-2</v>
      </c>
    </row>
    <row r="817" spans="1:11" x14ac:dyDescent="0.35">
      <c r="A817" s="9" t="str">
        <f>HYPERLINK("http://www.ensembl.org/id/WBGene00011974", "WBGene00011974")</f>
        <v>WBGene00011974</v>
      </c>
      <c r="B817" s="9" t="str">
        <f>HYPERLINK("http://www.ncbi.nlm.nih.gov/gene/188837", "188837")</f>
        <v>188837</v>
      </c>
      <c r="C817" s="9"/>
      <c r="D817" t="str">
        <f>"xbx-5"</f>
        <v>xbx-5</v>
      </c>
      <c r="E817" t="s">
        <v>710</v>
      </c>
      <c r="F817" t="s">
        <v>11</v>
      </c>
      <c r="G817" t="s">
        <v>25</v>
      </c>
      <c r="H817" s="12">
        <v>2.2421879083679399</v>
      </c>
      <c r="I817" s="20">
        <v>2.9682496315514002</v>
      </c>
      <c r="J817" s="28">
        <v>2.9950098506004701E-3</v>
      </c>
      <c r="K817" s="29">
        <v>8.4911285408557594E-2</v>
      </c>
    </row>
    <row r="818" spans="1:11" x14ac:dyDescent="0.35">
      <c r="A818" s="9" t="str">
        <f>HYPERLINK("http://www.ensembl.org/id/WBGene00021893", "WBGene00021893")</f>
        <v>WBGene00021893</v>
      </c>
      <c r="B818" s="9" t="str">
        <f>HYPERLINK("http://www.ncbi.nlm.nih.gov/gene/177083", "177083")</f>
        <v>177083</v>
      </c>
      <c r="C818" s="9"/>
      <c r="D818" t="str">
        <f>"ndnf-1"</f>
        <v>ndnf-1</v>
      </c>
      <c r="E818" t="s">
        <v>711</v>
      </c>
      <c r="F818" t="s">
        <v>11</v>
      </c>
      <c r="H818" s="12">
        <v>-1.92387953264889</v>
      </c>
      <c r="I818" s="20">
        <v>-2.9661189038144098</v>
      </c>
      <c r="J818" s="28">
        <v>3.0158386735322801E-3</v>
      </c>
      <c r="K818" s="29">
        <v>8.53135748838868E-2</v>
      </c>
    </row>
    <row r="819" spans="1:11" x14ac:dyDescent="0.35">
      <c r="A819" s="9" t="str">
        <f>HYPERLINK("http://www.ensembl.org/id/WBGene00011330", "WBGene00011330")</f>
        <v>WBGene00011330</v>
      </c>
      <c r="B819" s="9" t="str">
        <f>HYPERLINK("http://www.ncbi.nlm.nih.gov/gene/179863", "179863")</f>
        <v>179863</v>
      </c>
      <c r="C819" s="9"/>
      <c r="D819" t="str">
        <f>"T01D3.6"</f>
        <v>T01D3.6</v>
      </c>
      <c r="F819" t="s">
        <v>11</v>
      </c>
      <c r="G819" t="s">
        <v>712</v>
      </c>
      <c r="H819" s="12">
        <v>-1.9477700199347601</v>
      </c>
      <c r="I819" s="20">
        <v>-2.96604290471898</v>
      </c>
      <c r="J819" s="28">
        <v>3.0165840335902101E-3</v>
      </c>
      <c r="K819" s="29">
        <v>8.53135748838868E-2</v>
      </c>
    </row>
    <row r="820" spans="1:11" x14ac:dyDescent="0.35">
      <c r="A820" s="9" t="str">
        <f>HYPERLINK("http://www.ensembl.org/id/WBGene00003835", "WBGene00003835")</f>
        <v>WBGene00003835</v>
      </c>
      <c r="B820" s="9" t="str">
        <f>HYPERLINK("http://www.ncbi.nlm.nih.gov/gene/179938", "179938")</f>
        <v>179938</v>
      </c>
      <c r="C820" s="9" t="str">
        <f>HYPERLINK("http://www.ncbi.nlm.nih.gov/gene/10482", "10482")</f>
        <v>10482</v>
      </c>
      <c r="D820" t="str">
        <f>"nxf-2"</f>
        <v>nxf-2</v>
      </c>
      <c r="E820" t="s">
        <v>713</v>
      </c>
      <c r="F820" t="s">
        <v>11</v>
      </c>
      <c r="G820" t="s">
        <v>54</v>
      </c>
      <c r="H820" s="12">
        <v>-2.0977564017007899</v>
      </c>
      <c r="I820" s="20">
        <v>-2.9621248590025999</v>
      </c>
      <c r="J820" s="28">
        <v>3.0552386134886401E-3</v>
      </c>
      <c r="K820" s="29">
        <v>8.6195779491170396E-2</v>
      </c>
    </row>
    <row r="821" spans="1:11" x14ac:dyDescent="0.35">
      <c r="A821" s="9" t="str">
        <f>HYPERLINK("http://www.ensembl.org/id/WBGene00004119", "WBGene00004119")</f>
        <v>WBGene00004119</v>
      </c>
      <c r="B821" s="9" t="str">
        <f>HYPERLINK("http://www.ncbi.nlm.nih.gov/gene/179291", "179291")</f>
        <v>179291</v>
      </c>
      <c r="C821" s="9"/>
      <c r="D821" t="str">
        <f>"pqn-31"</f>
        <v>pqn-31</v>
      </c>
      <c r="E821" t="s">
        <v>432</v>
      </c>
      <c r="F821" t="s">
        <v>11</v>
      </c>
      <c r="H821" s="12">
        <v>1.7708306512946099</v>
      </c>
      <c r="I821" s="20">
        <v>2.9622137780347702</v>
      </c>
      <c r="J821" s="28">
        <v>3.05435637130945E-3</v>
      </c>
      <c r="K821" s="29">
        <v>8.6195779491170396E-2</v>
      </c>
    </row>
    <row r="822" spans="1:11" x14ac:dyDescent="0.35">
      <c r="A822" s="9" t="str">
        <f>HYPERLINK("http://www.ensembl.org/id/WBGene00012148", "WBGene00012148")</f>
        <v>WBGene00012148</v>
      </c>
      <c r="B822" s="9" t="str">
        <f>HYPERLINK("http://www.ncbi.nlm.nih.gov/gene/174792", "174792")</f>
        <v>174792</v>
      </c>
      <c r="C822" s="9" t="str">
        <f>HYPERLINK("http://www.ncbi.nlm.nih.gov/gene/51477", "51477")</f>
        <v>51477</v>
      </c>
      <c r="D822" t="str">
        <f>"inos-1"</f>
        <v>inos-1</v>
      </c>
      <c r="E822" t="s">
        <v>714</v>
      </c>
      <c r="F822" t="s">
        <v>11</v>
      </c>
      <c r="G822" t="s">
        <v>715</v>
      </c>
      <c r="H822" s="12">
        <v>-1.8729867818180601</v>
      </c>
      <c r="I822" s="20">
        <v>-2.9610132887075702</v>
      </c>
      <c r="J822" s="28">
        <v>3.0662870876403399E-3</v>
      </c>
      <c r="K822" s="29">
        <v>8.6401987130509297E-2</v>
      </c>
    </row>
    <row r="823" spans="1:11" x14ac:dyDescent="0.35">
      <c r="A823" s="9" t="str">
        <f>HYPERLINK("http://www.ensembl.org/id/WBGene00004346", "WBGene00004346")</f>
        <v>WBGene00004346</v>
      </c>
      <c r="B823" s="9" t="str">
        <f>HYPERLINK("http://www.ncbi.nlm.nih.gov/gene/174020", "174020")</f>
        <v>174020</v>
      </c>
      <c r="C823" s="9"/>
      <c r="D823" t="str">
        <f>"rgs-3"</f>
        <v>rgs-3</v>
      </c>
      <c r="E823" t="s">
        <v>716</v>
      </c>
      <c r="F823" t="s">
        <v>11</v>
      </c>
      <c r="G823" t="s">
        <v>717</v>
      </c>
      <c r="H823" s="12">
        <v>2.23180283249064</v>
      </c>
      <c r="I823" s="20">
        <v>2.9603598824200401</v>
      </c>
      <c r="J823" s="28">
        <v>3.0727986236752298E-3</v>
      </c>
      <c r="K823" s="29">
        <v>8.6480006088477293E-2</v>
      </c>
    </row>
    <row r="824" spans="1:11" x14ac:dyDescent="0.35">
      <c r="A824" s="9" t="str">
        <f>HYPERLINK("http://www.ensembl.org/id/WBGene00010053", "WBGene00010053")</f>
        <v>WBGene00010053</v>
      </c>
      <c r="B824" s="9" t="str">
        <f>HYPERLINK("http://www.ncbi.nlm.nih.gov/gene/174766", "174766")</f>
        <v>174766</v>
      </c>
      <c r="C824" s="9"/>
      <c r="D824" t="str">
        <f>"F54D5.9"</f>
        <v>F54D5.9</v>
      </c>
      <c r="F824" t="s">
        <v>11</v>
      </c>
      <c r="G824" t="s">
        <v>54</v>
      </c>
      <c r="H824" s="12">
        <v>-1.88550840924782</v>
      </c>
      <c r="I824" s="20">
        <v>-2.95981894241037</v>
      </c>
      <c r="J824" s="28">
        <v>3.0781989126289302E-3</v>
      </c>
      <c r="K824" s="29">
        <v>8.6526598631635004E-2</v>
      </c>
    </row>
    <row r="825" spans="1:11" x14ac:dyDescent="0.35">
      <c r="A825" s="9" t="str">
        <f>HYPERLINK("http://www.ensembl.org/id/WBGene00017637", "WBGene00017637")</f>
        <v>WBGene00017637</v>
      </c>
      <c r="B825" s="9" t="str">
        <f>HYPERLINK("http://www.ncbi.nlm.nih.gov/gene/184726", "184726")</f>
        <v>184726</v>
      </c>
      <c r="C825" s="9"/>
      <c r="D825" t="str">
        <f>"F20D6.8"</f>
        <v>F20D6.8</v>
      </c>
      <c r="F825" t="s">
        <v>11</v>
      </c>
      <c r="G825" t="s">
        <v>718</v>
      </c>
      <c r="H825" s="12">
        <v>1.84760333201339</v>
      </c>
      <c r="I825" s="20">
        <v>2.95864971295256</v>
      </c>
      <c r="J825" s="28">
        <v>3.0899010957262801E-3</v>
      </c>
      <c r="K825" s="29">
        <v>8.6750005732504798E-2</v>
      </c>
    </row>
    <row r="826" spans="1:11" x14ac:dyDescent="0.35">
      <c r="A826" s="9" t="str">
        <f>HYPERLINK("http://www.ensembl.org/id/WBGene00002109", "WBGene00002109")</f>
        <v>WBGene00002109</v>
      </c>
      <c r="B826" s="9" t="str">
        <f>HYPERLINK("http://www.ncbi.nlm.nih.gov/gene/173268", "173268")</f>
        <v>173268</v>
      </c>
      <c r="C826" s="9"/>
      <c r="D826" t="str">
        <f>"ins-26"</f>
        <v>ins-26</v>
      </c>
      <c r="E826" t="s">
        <v>12</v>
      </c>
      <c r="F826" t="s">
        <v>11</v>
      </c>
      <c r="G826" t="s">
        <v>13</v>
      </c>
      <c r="H826" s="12">
        <v>3.7052792671713899</v>
      </c>
      <c r="I826" s="20">
        <v>2.95769978284804</v>
      </c>
      <c r="J826" s="28">
        <v>3.0994382812830098E-3</v>
      </c>
      <c r="K826" s="29">
        <v>8.6912161319569498E-2</v>
      </c>
    </row>
    <row r="827" spans="1:11" x14ac:dyDescent="0.35">
      <c r="A827" s="9" t="str">
        <f>HYPERLINK("http://www.ensembl.org/id/WBGene00016632", "WBGene00016632")</f>
        <v>WBGene00016632</v>
      </c>
      <c r="B827" s="9" t="str">
        <f>HYPERLINK("http://www.ncbi.nlm.nih.gov/gene/259441", "259441")</f>
        <v>259441</v>
      </c>
      <c r="C827" s="9" t="str">
        <f>HYPERLINK("http://www.ncbi.nlm.nih.gov/gene/161823", "161823")</f>
        <v>161823</v>
      </c>
      <c r="D827" t="str">
        <f>"C44B7.12"</f>
        <v>C44B7.12</v>
      </c>
      <c r="E827" t="s">
        <v>719</v>
      </c>
      <c r="F827" t="s">
        <v>11</v>
      </c>
      <c r="G827" t="s">
        <v>720</v>
      </c>
      <c r="H827" s="12">
        <v>-1.8626083854064901</v>
      </c>
      <c r="I827" s="20">
        <v>-2.9543774677705898</v>
      </c>
      <c r="J827" s="28">
        <v>3.1330054061162898E-3</v>
      </c>
      <c r="K827" s="29">
        <v>8.7746936865118697E-2</v>
      </c>
    </row>
    <row r="828" spans="1:11" x14ac:dyDescent="0.35">
      <c r="A828" s="9" t="str">
        <f>HYPERLINK("http://www.ensembl.org/id/WBGene00003499", "WBGene00003499")</f>
        <v>WBGene00003499</v>
      </c>
      <c r="B828" s="9" t="str">
        <f>HYPERLINK("http://www.ncbi.nlm.nih.gov/gene/187005", "187005")</f>
        <v>187005</v>
      </c>
      <c r="C828" s="9"/>
      <c r="D828" t="str">
        <f>"mut-2"</f>
        <v>mut-2</v>
      </c>
      <c r="E828" t="s">
        <v>721</v>
      </c>
      <c r="F828" t="s">
        <v>11</v>
      </c>
      <c r="G828" t="s">
        <v>722</v>
      </c>
      <c r="H828" s="12">
        <v>-1.97557876877353</v>
      </c>
      <c r="I828" s="20">
        <v>-2.9516210524454198</v>
      </c>
      <c r="J828" s="28">
        <v>3.1611061232167401E-3</v>
      </c>
      <c r="K828" s="29">
        <v>8.8426777340249493E-2</v>
      </c>
    </row>
    <row r="829" spans="1:11" x14ac:dyDescent="0.35">
      <c r="A829" s="9" t="str">
        <f>HYPERLINK("http://www.ensembl.org/id/WBGene00002087", "WBGene00002087")</f>
        <v>WBGene00002087</v>
      </c>
      <c r="B829" s="9" t="str">
        <f>HYPERLINK("http://www.ncbi.nlm.nih.gov/gene/191685", "191685")</f>
        <v>191685</v>
      </c>
      <c r="C829" s="9"/>
      <c r="D829" t="str">
        <f>"ins-4"</f>
        <v>ins-4</v>
      </c>
      <c r="E829" t="s">
        <v>723</v>
      </c>
      <c r="F829" t="s">
        <v>11</v>
      </c>
      <c r="G829" t="s">
        <v>724</v>
      </c>
      <c r="H829" s="12">
        <v>2.1762515430275</v>
      </c>
      <c r="I829" s="20">
        <v>2.9493408873590399</v>
      </c>
      <c r="J829" s="28">
        <v>3.1845250484310501E-3</v>
      </c>
      <c r="K829" s="29">
        <v>8.8974166588933201E-2</v>
      </c>
    </row>
    <row r="830" spans="1:11" x14ac:dyDescent="0.35">
      <c r="A830" s="9" t="str">
        <f>HYPERLINK("http://www.ensembl.org/id/WBGene00007934", "WBGene00007934")</f>
        <v>WBGene00007934</v>
      </c>
      <c r="B830" s="9" t="str">
        <f>HYPERLINK("http://www.ncbi.nlm.nih.gov/gene/181426", "181426")</f>
        <v>181426</v>
      </c>
      <c r="C830" s="9"/>
      <c r="D830" t="str">
        <f>"C34E7.4"</f>
        <v>C34E7.4</v>
      </c>
      <c r="F830" t="s">
        <v>11</v>
      </c>
      <c r="H830" s="12">
        <v>1.8530604545221601</v>
      </c>
      <c r="I830" s="20">
        <v>2.9466674583308898</v>
      </c>
      <c r="J830" s="28">
        <v>3.21218439891237E-3</v>
      </c>
      <c r="K830" s="29">
        <v>8.9638566088489399E-2</v>
      </c>
    </row>
    <row r="831" spans="1:11" x14ac:dyDescent="0.35">
      <c r="A831" s="9" t="str">
        <f>HYPERLINK("http://www.ensembl.org/id/WBGene00000250", "WBGene00000250")</f>
        <v>WBGene00000250</v>
      </c>
      <c r="B831" s="9" t="str">
        <f>HYPERLINK("http://www.ncbi.nlm.nih.gov/gene/179841", "179841")</f>
        <v>179841</v>
      </c>
      <c r="C831" s="9"/>
      <c r="D831" t="str">
        <f>"bir-2"</f>
        <v>bir-2</v>
      </c>
      <c r="E831" t="s">
        <v>725</v>
      </c>
      <c r="F831" t="s">
        <v>11</v>
      </c>
      <c r="H831" s="12">
        <v>-2.0636000508846601</v>
      </c>
      <c r="I831" s="20">
        <v>-2.9460852292695101</v>
      </c>
      <c r="J831" s="28">
        <v>3.2182371078053299E-3</v>
      </c>
      <c r="K831" s="29">
        <v>8.9699139460735794E-2</v>
      </c>
    </row>
    <row r="832" spans="1:11" x14ac:dyDescent="0.35">
      <c r="A832" s="9" t="str">
        <f>HYPERLINK("http://www.ensembl.org/id/WBGene00003029", "WBGene00003029")</f>
        <v>WBGene00003029</v>
      </c>
      <c r="B832" s="9" t="str">
        <f>HYPERLINK("http://www.ncbi.nlm.nih.gov/gene/171994", "171994")</f>
        <v>171994</v>
      </c>
      <c r="C832" s="9"/>
      <c r="D832" t="str">
        <f>"lin-44"</f>
        <v>lin-44</v>
      </c>
      <c r="E832" t="s">
        <v>726</v>
      </c>
      <c r="F832" t="s">
        <v>11</v>
      </c>
      <c r="G832" t="s">
        <v>597</v>
      </c>
      <c r="H832" s="12">
        <v>1.86827050598248</v>
      </c>
      <c r="I832" s="20">
        <v>2.9453823216203801</v>
      </c>
      <c r="J832" s="28">
        <v>3.22555820776124E-3</v>
      </c>
      <c r="K832" s="29">
        <v>8.9794877046423194E-2</v>
      </c>
    </row>
    <row r="833" spans="1:11" x14ac:dyDescent="0.35">
      <c r="A833" s="9" t="str">
        <f>HYPERLINK("http://www.ensembl.org/id/WBGene00017838", "WBGene00017838")</f>
        <v>WBGene00017838</v>
      </c>
      <c r="B833" s="9" t="str">
        <f>HYPERLINK("http://www.ncbi.nlm.nih.gov/gene/184993", "184993")</f>
        <v>184993</v>
      </c>
      <c r="C833" s="9"/>
      <c r="D833" t="str">
        <f>"F26G1.2"</f>
        <v>F26G1.2</v>
      </c>
      <c r="F833" t="s">
        <v>11</v>
      </c>
      <c r="H833" s="12">
        <v>1.7874703252400099</v>
      </c>
      <c r="I833" s="20">
        <v>2.9406859814387398</v>
      </c>
      <c r="J833" s="28">
        <v>3.2748634041619398E-3</v>
      </c>
      <c r="K833" s="29">
        <v>9.1057754291896401E-2</v>
      </c>
    </row>
    <row r="834" spans="1:11" x14ac:dyDescent="0.35">
      <c r="A834" s="9" t="str">
        <f>HYPERLINK("http://www.ensembl.org/id/WBGene00009272", "WBGene00009272")</f>
        <v>WBGene00009272</v>
      </c>
      <c r="B834" s="9" t="str">
        <f>HYPERLINK("http://www.ncbi.nlm.nih.gov/gene/172549", "172549")</f>
        <v>172549</v>
      </c>
      <c r="C834" s="9"/>
      <c r="D834" t="str">
        <f>"gras-1"</f>
        <v>gras-1</v>
      </c>
      <c r="E834" t="s">
        <v>727</v>
      </c>
      <c r="F834" t="s">
        <v>11</v>
      </c>
      <c r="G834" t="s">
        <v>54</v>
      </c>
      <c r="H834" s="12">
        <v>-1.84846444997337</v>
      </c>
      <c r="I834" s="20">
        <v>-2.9392462320699901</v>
      </c>
      <c r="J834" s="28">
        <v>3.2901157494562602E-3</v>
      </c>
      <c r="K834" s="29">
        <v>9.1371892436221694E-2</v>
      </c>
    </row>
    <row r="835" spans="1:11" x14ac:dyDescent="0.35">
      <c r="A835" s="9" t="str">
        <f>HYPERLINK("http://www.ensembl.org/id/WBGene00020168", "WBGene00020168")</f>
        <v>WBGene00020168</v>
      </c>
      <c r="B835" s="9" t="str">
        <f>HYPERLINK("http://www.ncbi.nlm.nih.gov/gene/187995", "187995")</f>
        <v>187995</v>
      </c>
      <c r="C835" s="9" t="str">
        <f>HYPERLINK("http://www.ncbi.nlm.nih.gov/gene/387700", "387700")</f>
        <v>387700</v>
      </c>
      <c r="D835" t="str">
        <f>"mct-5"</f>
        <v>mct-5</v>
      </c>
      <c r="E835" t="s">
        <v>730</v>
      </c>
      <c r="F835" t="s">
        <v>11</v>
      </c>
      <c r="G835" t="s">
        <v>731</v>
      </c>
      <c r="H835" s="12">
        <v>-1.9301441824899099</v>
      </c>
      <c r="I835" s="20">
        <v>-2.9383508047186999</v>
      </c>
      <c r="J835" s="28">
        <v>3.2996342909098202E-3</v>
      </c>
      <c r="K835" s="29">
        <v>9.1508115209592095E-2</v>
      </c>
    </row>
    <row r="836" spans="1:11" x14ac:dyDescent="0.35">
      <c r="A836" s="9" t="str">
        <f>HYPERLINK("http://www.ensembl.org/id/WBGene00012715", "WBGene00012715")</f>
        <v>WBGene00012715</v>
      </c>
      <c r="B836" s="9" t="str">
        <f>HYPERLINK("http://www.ncbi.nlm.nih.gov/gene/176734", "176734")</f>
        <v>176734</v>
      </c>
      <c r="C836" s="9"/>
      <c r="D836" t="str">
        <f>"snpc-1.2"</f>
        <v>snpc-1.2</v>
      </c>
      <c r="E836" t="s">
        <v>728</v>
      </c>
      <c r="F836" t="s">
        <v>11</v>
      </c>
      <c r="G836" t="s">
        <v>729</v>
      </c>
      <c r="H836" s="12">
        <v>-1.8950083569291201</v>
      </c>
      <c r="I836" s="20">
        <v>-2.9380402327050001</v>
      </c>
      <c r="J836" s="28">
        <v>3.3029415772872698E-3</v>
      </c>
      <c r="K836" s="29">
        <v>9.1508115209592095E-2</v>
      </c>
    </row>
    <row r="837" spans="1:11" x14ac:dyDescent="0.35">
      <c r="A837" s="9" t="str">
        <f>HYPERLINK("http://www.ensembl.org/id/WBGene00011601", "WBGene00011601")</f>
        <v>WBGene00011601</v>
      </c>
      <c r="B837" s="9" t="str">
        <f>HYPERLINK("http://www.ncbi.nlm.nih.gov/gene/188246", "188246")</f>
        <v>188246</v>
      </c>
      <c r="C837" s="9"/>
      <c r="D837" t="str">
        <f>"zim-3"</f>
        <v>zim-3</v>
      </c>
      <c r="E837" t="s">
        <v>326</v>
      </c>
      <c r="F837" t="s">
        <v>11</v>
      </c>
      <c r="G837" t="s">
        <v>327</v>
      </c>
      <c r="H837" s="12">
        <v>-2.1508474844713201</v>
      </c>
      <c r="I837" s="20">
        <v>-2.9374314951955598</v>
      </c>
      <c r="J837" s="28">
        <v>3.3094327935435102E-3</v>
      </c>
      <c r="K837" s="29">
        <v>9.1578148655827904E-2</v>
      </c>
    </row>
    <row r="838" spans="1:11" x14ac:dyDescent="0.35">
      <c r="A838" s="9" t="str">
        <f>HYPERLINK("http://www.ensembl.org/id/WBGene00002072", "WBGene00002072")</f>
        <v>WBGene00002072</v>
      </c>
      <c r="B838" s="9" t="str">
        <f>HYPERLINK("http://www.ncbi.nlm.nih.gov/gene/179555", "179555")</f>
        <v>179555</v>
      </c>
      <c r="C838" s="9"/>
      <c r="D838" t="str">
        <f>"ima-1"</f>
        <v>ima-1</v>
      </c>
      <c r="E838" t="s">
        <v>732</v>
      </c>
      <c r="F838" t="s">
        <v>11</v>
      </c>
      <c r="G838" t="s">
        <v>733</v>
      </c>
      <c r="H838" s="12">
        <v>-1.7735527530087201</v>
      </c>
      <c r="I838" s="20">
        <v>-2.9356756754531599</v>
      </c>
      <c r="J838" s="28">
        <v>3.32822096066793E-3</v>
      </c>
      <c r="K838" s="29">
        <v>9.1987886982288505E-2</v>
      </c>
    </row>
    <row r="839" spans="1:11" x14ac:dyDescent="0.35">
      <c r="A839" s="9" t="str">
        <f>HYPERLINK("http://www.ensembl.org/id/WBGene00017429", "WBGene00017429")</f>
        <v>WBGene00017429</v>
      </c>
      <c r="B839" s="9" t="str">
        <f>HYPERLINK("http://www.ncbi.nlm.nih.gov/gene/184416", "184416")</f>
        <v>184416</v>
      </c>
      <c r="C839" s="9"/>
      <c r="D839" t="str">
        <f>"F13D11.4"</f>
        <v>F13D11.4</v>
      </c>
      <c r="F839" t="s">
        <v>11</v>
      </c>
      <c r="G839" t="s">
        <v>385</v>
      </c>
      <c r="H839" s="12">
        <v>1.80460465665117</v>
      </c>
      <c r="I839" s="20">
        <v>2.9337489558412302</v>
      </c>
      <c r="J839" s="28">
        <v>3.3489495897025502E-3</v>
      </c>
      <c r="K839" s="29">
        <v>9.2450214121466201E-2</v>
      </c>
    </row>
    <row r="840" spans="1:11" x14ac:dyDescent="0.35">
      <c r="A840" s="9" t="str">
        <f>HYPERLINK("http://www.ensembl.org/id/WBGene00009397", "WBGene00009397")</f>
        <v>WBGene00009397</v>
      </c>
      <c r="B840" s="9" t="str">
        <f>HYPERLINK("http://www.ncbi.nlm.nih.gov/gene/174929", "174929")</f>
        <v>174929</v>
      </c>
      <c r="C840" s="9"/>
      <c r="D840" t="str">
        <f>"clec-66"</f>
        <v>clec-66</v>
      </c>
      <c r="E840" t="s">
        <v>46</v>
      </c>
      <c r="F840" t="s">
        <v>11</v>
      </c>
      <c r="G840" t="s">
        <v>734</v>
      </c>
      <c r="H840" s="12">
        <v>-2.8842985949448301</v>
      </c>
      <c r="I840" s="20">
        <v>-2.9333001682053101</v>
      </c>
      <c r="J840" s="28">
        <v>3.3537947258125101E-3</v>
      </c>
      <c r="K840" s="29">
        <v>9.2473485602176303E-2</v>
      </c>
    </row>
    <row r="841" spans="1:11" x14ac:dyDescent="0.35">
      <c r="A841" s="9" t="str">
        <f>HYPERLINK("http://www.ensembl.org/id/WBGene00018808", "WBGene00018808")</f>
        <v>WBGene00018808</v>
      </c>
      <c r="B841" s="9" t="str">
        <f>HYPERLINK("http://www.ncbi.nlm.nih.gov/gene/173728", "173728")</f>
        <v>173728</v>
      </c>
      <c r="C841" s="9"/>
      <c r="D841" t="str">
        <f>"F54D10.7"</f>
        <v>F54D10.7</v>
      </c>
      <c r="F841" t="s">
        <v>11</v>
      </c>
      <c r="G841" t="s">
        <v>735</v>
      </c>
      <c r="H841" s="12">
        <v>-2.1693588260131502</v>
      </c>
      <c r="I841" s="20">
        <v>-2.9319088000004401</v>
      </c>
      <c r="J841" s="28">
        <v>3.3688566140029201E-3</v>
      </c>
      <c r="K841" s="29">
        <v>9.2778070230216295E-2</v>
      </c>
    </row>
    <row r="842" spans="1:11" x14ac:dyDescent="0.35">
      <c r="A842" s="9" t="str">
        <f>HYPERLINK("http://www.ensembl.org/id/WBGene00010185", "WBGene00010185")</f>
        <v>WBGene00010185</v>
      </c>
      <c r="B842" s="9" t="str">
        <f>HYPERLINK("http://www.ncbi.nlm.nih.gov/gene/180058", "180058")</f>
        <v>180058</v>
      </c>
      <c r="C842" s="9"/>
      <c r="D842" t="str">
        <f>"F57A10.4"</f>
        <v>F57A10.4</v>
      </c>
      <c r="F842" t="s">
        <v>11</v>
      </c>
      <c r="G842" t="s">
        <v>25</v>
      </c>
      <c r="H842" s="12">
        <v>-3.5109711949147102</v>
      </c>
      <c r="I842" s="20">
        <v>-2.9283602917929201</v>
      </c>
      <c r="J842" s="28">
        <v>3.4075493146961599E-3</v>
      </c>
      <c r="K842" s="29">
        <v>9.3731945792106502E-2</v>
      </c>
    </row>
    <row r="843" spans="1:11" x14ac:dyDescent="0.35">
      <c r="A843" s="9" t="str">
        <f>HYPERLINK("http://www.ensembl.org/id/WBGene00014117", "WBGene00014117")</f>
        <v>WBGene00014117</v>
      </c>
      <c r="B843" s="9" t="str">
        <f>HYPERLINK("http://www.ncbi.nlm.nih.gov/gene/172736", "172736")</f>
        <v>172736</v>
      </c>
      <c r="C843" s="9"/>
      <c r="D843" t="str">
        <f>"clec-91"</f>
        <v>clec-91</v>
      </c>
      <c r="E843" t="s">
        <v>736</v>
      </c>
      <c r="F843" t="s">
        <v>11</v>
      </c>
      <c r="H843" s="12">
        <v>-1.84919744326612</v>
      </c>
      <c r="I843" s="20">
        <v>-2.92739214760002</v>
      </c>
      <c r="J843" s="28">
        <v>3.41817591584637E-3</v>
      </c>
      <c r="K843" s="29">
        <v>9.3912452689115702E-2</v>
      </c>
    </row>
    <row r="844" spans="1:11" x14ac:dyDescent="0.35">
      <c r="A844" s="9" t="str">
        <f>HYPERLINK("http://www.ensembl.org/id/WBGene00015597", "WBGene00015597")</f>
        <v>WBGene00015597</v>
      </c>
      <c r="B844" s="9"/>
      <c r="C844" s="9"/>
      <c r="D844" t="str">
        <f>"fbxa-162"</f>
        <v>fbxa-162</v>
      </c>
      <c r="F844" t="s">
        <v>80</v>
      </c>
      <c r="H844" s="12">
        <v>-4.0374845574401901</v>
      </c>
      <c r="I844" s="20">
        <v>-2.9270065652171602</v>
      </c>
      <c r="J844" s="28">
        <v>3.4224165614906801E-3</v>
      </c>
      <c r="K844" s="29">
        <v>9.3917288681476904E-2</v>
      </c>
    </row>
    <row r="845" spans="1:11" x14ac:dyDescent="0.35">
      <c r="A845" s="9" t="str">
        <f>HYPERLINK("http://www.ensembl.org/id/WBGene00015790", "WBGene00015790")</f>
        <v>WBGene00015790</v>
      </c>
      <c r="B845" s="9" t="str">
        <f>HYPERLINK("http://www.ncbi.nlm.nih.gov/gene/182633", "182633")</f>
        <v>182633</v>
      </c>
      <c r="C845" s="9"/>
      <c r="D845" t="str">
        <f>"C15C7.4"</f>
        <v>C15C7.4</v>
      </c>
      <c r="F845" t="s">
        <v>11</v>
      </c>
      <c r="H845" s="12">
        <v>2.0550471307924001</v>
      </c>
      <c r="I845" s="20">
        <v>2.9263934508098601</v>
      </c>
      <c r="J845" s="28">
        <v>3.4291694737050198E-3</v>
      </c>
      <c r="K845" s="29">
        <v>9.3990972549736901E-2</v>
      </c>
    </row>
    <row r="846" spans="1:11" x14ac:dyDescent="0.35">
      <c r="A846" s="9" t="str">
        <f>HYPERLINK("http://www.ensembl.org/id/WBGene00010042", "WBGene00010042")</f>
        <v>WBGene00010042</v>
      </c>
      <c r="B846" s="9" t="str">
        <f>HYPERLINK("http://www.ncbi.nlm.nih.gov/gene/174372", "174372")</f>
        <v>174372</v>
      </c>
      <c r="C846" s="9" t="str">
        <f>HYPERLINK("http://www.ncbi.nlm.nih.gov/gene/617", "617")</f>
        <v>617</v>
      </c>
      <c r="D846" t="str">
        <f>"bcs-1"</f>
        <v>bcs-1</v>
      </c>
      <c r="E846" t="s">
        <v>737</v>
      </c>
      <c r="F846" t="s">
        <v>11</v>
      </c>
      <c r="G846" t="s">
        <v>738</v>
      </c>
      <c r="H846" s="12">
        <v>-1.9692612346425999</v>
      </c>
      <c r="I846" s="20">
        <v>-2.92542424910026</v>
      </c>
      <c r="J846" s="28">
        <v>3.43986911692551E-3</v>
      </c>
      <c r="K846" s="29">
        <v>9.4172530587299505E-2</v>
      </c>
    </row>
    <row r="847" spans="1:11" x14ac:dyDescent="0.35">
      <c r="A847" s="9" t="str">
        <f>HYPERLINK("http://www.ensembl.org/id/WBGene00001604", "WBGene00001604")</f>
        <v>WBGene00001604</v>
      </c>
      <c r="B847" s="9" t="str">
        <f>HYPERLINK("http://www.ncbi.nlm.nih.gov/gene/178452", "178452")</f>
        <v>178452</v>
      </c>
      <c r="C847" s="9"/>
      <c r="D847" t="str">
        <f>"gln-3"</f>
        <v>gln-3</v>
      </c>
      <c r="E847" t="s">
        <v>739</v>
      </c>
      <c r="F847" t="s">
        <v>11</v>
      </c>
      <c r="G847" t="s">
        <v>740</v>
      </c>
      <c r="H847" s="12">
        <v>-1.70480708636411</v>
      </c>
      <c r="I847" s="20">
        <v>-2.9242356285775801</v>
      </c>
      <c r="J847" s="28">
        <v>3.4530325491017901E-3</v>
      </c>
      <c r="K847" s="29">
        <v>9.4198075654717703E-2</v>
      </c>
    </row>
    <row r="848" spans="1:11" x14ac:dyDescent="0.35">
      <c r="A848" s="9" t="str">
        <f>HYPERLINK("http://www.ensembl.org/id/WBGene00011072", "WBGene00011072")</f>
        <v>WBGene00011072</v>
      </c>
      <c r="B848" s="9" t="str">
        <f>HYPERLINK("http://www.ncbi.nlm.nih.gov/gene/174660", "174660")</f>
        <v>174660</v>
      </c>
      <c r="C848" s="9"/>
      <c r="D848" t="str">
        <f>"tag-209"</f>
        <v>tag-209</v>
      </c>
      <c r="F848" t="s">
        <v>11</v>
      </c>
      <c r="H848" s="12">
        <v>1.82638347449226</v>
      </c>
      <c r="I848" s="20">
        <v>2.92473471789704</v>
      </c>
      <c r="J848" s="28">
        <v>3.4474997877115099E-3</v>
      </c>
      <c r="K848" s="29">
        <v>9.4198075654717703E-2</v>
      </c>
    </row>
    <row r="849" spans="1:11" x14ac:dyDescent="0.35">
      <c r="A849" s="9" t="str">
        <f>HYPERLINK("http://www.ensembl.org/id/WBGene00013321", "WBGene00013321")</f>
        <v>WBGene00013321</v>
      </c>
      <c r="B849" s="9" t="str">
        <f>HYPERLINK("http://www.ncbi.nlm.nih.gov/gene/178396", "178396")</f>
        <v>178396</v>
      </c>
      <c r="C849" s="9"/>
      <c r="D849" t="str">
        <f>"Y57G11C.31"</f>
        <v>Y57G11C.31</v>
      </c>
      <c r="F849" t="s">
        <v>11</v>
      </c>
      <c r="G849" t="s">
        <v>25</v>
      </c>
      <c r="H849" s="12">
        <v>1.80355879052187</v>
      </c>
      <c r="I849" s="20">
        <v>2.9244100863868101</v>
      </c>
      <c r="J849" s="28">
        <v>3.45109764164173E-3</v>
      </c>
      <c r="K849" s="29">
        <v>9.4198075654717703E-2</v>
      </c>
    </row>
    <row r="850" spans="1:11" x14ac:dyDescent="0.35">
      <c r="A850" s="9" t="str">
        <f>HYPERLINK("http://www.ensembl.org/id/WBGene00000667", "WBGene00000667")</f>
        <v>WBGene00000667</v>
      </c>
      <c r="B850" s="9" t="str">
        <f>HYPERLINK("http://www.ncbi.nlm.nih.gov/gene/176528", "176528")</f>
        <v>176528</v>
      </c>
      <c r="C850" s="9"/>
      <c r="D850" t="str">
        <f>"col-92"</f>
        <v>col-92</v>
      </c>
      <c r="E850" t="s">
        <v>40</v>
      </c>
      <c r="F850" t="s">
        <v>11</v>
      </c>
      <c r="G850" t="s">
        <v>41</v>
      </c>
      <c r="H850" s="12">
        <v>2.1357613466761198</v>
      </c>
      <c r="I850" s="20">
        <v>2.9227456966496401</v>
      </c>
      <c r="J850" s="28">
        <v>3.4695976185822402E-3</v>
      </c>
      <c r="K850" s="29">
        <v>9.4538352093114605E-2</v>
      </c>
    </row>
    <row r="851" spans="1:11" x14ac:dyDescent="0.35">
      <c r="A851" s="9" t="str">
        <f>HYPERLINK("http://www.ensembl.org/id/WBGene00006787", "WBGene00006787")</f>
        <v>WBGene00006787</v>
      </c>
      <c r="B851" s="9" t="str">
        <f>HYPERLINK("http://www.ncbi.nlm.nih.gov/gene/175126", "175126")</f>
        <v>175126</v>
      </c>
      <c r="C851" s="9" t="str">
        <f>HYPERLINK("http://www.ncbi.nlm.nih.gov/gene/3339", "3339")</f>
        <v>3339</v>
      </c>
      <c r="D851" t="str">
        <f>"unc-52"</f>
        <v>unc-52</v>
      </c>
      <c r="E851" t="s">
        <v>741</v>
      </c>
      <c r="F851" t="s">
        <v>11</v>
      </c>
      <c r="G851" t="s">
        <v>742</v>
      </c>
      <c r="H851" s="12">
        <v>1.8237402549828501</v>
      </c>
      <c r="I851" s="20">
        <v>2.9189819221478399</v>
      </c>
      <c r="J851" s="28">
        <v>3.5117658861989602E-3</v>
      </c>
      <c r="K851" s="29">
        <v>9.5574631998248893E-2</v>
      </c>
    </row>
    <row r="852" spans="1:11" x14ac:dyDescent="0.35">
      <c r="A852" s="9" t="str">
        <f>HYPERLINK("http://www.ensembl.org/id/WBGene00008089", "WBGene00008089")</f>
        <v>WBGene00008089</v>
      </c>
      <c r="B852" s="9" t="str">
        <f>HYPERLINK("http://www.ncbi.nlm.nih.gov/gene/3565088", "3565088")</f>
        <v>3565088</v>
      </c>
      <c r="C852" s="9"/>
      <c r="D852" t="str">
        <f>"C44C10.9"</f>
        <v>C44C10.9</v>
      </c>
      <c r="F852" t="s">
        <v>11</v>
      </c>
      <c r="G852" t="s">
        <v>25</v>
      </c>
      <c r="H852" s="12">
        <v>1.8291413587118399</v>
      </c>
      <c r="I852" s="20">
        <v>2.9158301691714499</v>
      </c>
      <c r="J852" s="28">
        <v>3.5474354159543901E-3</v>
      </c>
      <c r="K852" s="29">
        <v>9.6205449203101201E-2</v>
      </c>
    </row>
    <row r="853" spans="1:11" x14ac:dyDescent="0.35">
      <c r="A853" s="9" t="str">
        <f>HYPERLINK("http://www.ensembl.org/id/WBGene00012466", "WBGene00012466")</f>
        <v>WBGene00012466</v>
      </c>
      <c r="B853" s="9" t="str">
        <f>HYPERLINK("http://www.ncbi.nlm.nih.gov/gene/189456", "189456")</f>
        <v>189456</v>
      </c>
      <c r="C853" s="9"/>
      <c r="D853" t="str">
        <f>"ippk-1"</f>
        <v>ippk-1</v>
      </c>
      <c r="E853" t="s">
        <v>743</v>
      </c>
      <c r="F853" t="s">
        <v>11</v>
      </c>
      <c r="G853" t="s">
        <v>744</v>
      </c>
      <c r="H853" s="12">
        <v>-1.6830846042132299</v>
      </c>
      <c r="I853" s="20">
        <v>-2.9159542985685998</v>
      </c>
      <c r="J853" s="28">
        <v>3.5460243866527298E-3</v>
      </c>
      <c r="K853" s="29">
        <v>9.6205449203101201E-2</v>
      </c>
    </row>
    <row r="854" spans="1:11" x14ac:dyDescent="0.35">
      <c r="A854" s="9" t="str">
        <f>HYPERLINK("http://www.ensembl.org/id/WBGene00013432", "WBGene00013432")</f>
        <v>WBGene00013432</v>
      </c>
      <c r="B854" s="9" t="str">
        <f>HYPERLINK("http://www.ncbi.nlm.nih.gov/gene/190496", "190496")</f>
        <v>190496</v>
      </c>
      <c r="C854" s="9"/>
      <c r="D854" t="str">
        <f>"Y66D12A.6"</f>
        <v>Y66D12A.6</v>
      </c>
      <c r="F854" t="s">
        <v>11</v>
      </c>
      <c r="H854" s="12">
        <v>-2.9072943433493399</v>
      </c>
      <c r="I854" s="20">
        <v>-2.9159629269588501</v>
      </c>
      <c r="J854" s="28">
        <v>3.5459263232173201E-3</v>
      </c>
      <c r="K854" s="29">
        <v>9.6205449203101201E-2</v>
      </c>
    </row>
    <row r="855" spans="1:11" x14ac:dyDescent="0.35">
      <c r="A855" s="9" t="str">
        <f>HYPERLINK("http://www.ensembl.org/id/WBGene00044294", "WBGene00044294")</f>
        <v>WBGene00044294</v>
      </c>
      <c r="B855" s="9" t="str">
        <f>HYPERLINK("http://www.ncbi.nlm.nih.gov/gene/3565843", "3565843")</f>
        <v>3565843</v>
      </c>
      <c r="C855" s="9"/>
      <c r="D855" t="str">
        <f>"C01B10.11"</f>
        <v>C01B10.11</v>
      </c>
      <c r="F855" t="s">
        <v>11</v>
      </c>
      <c r="H855" s="12">
        <v>1.8164094799174999</v>
      </c>
      <c r="I855" s="20">
        <v>2.9127182419082498</v>
      </c>
      <c r="J855" s="28">
        <v>3.5829773098446701E-3</v>
      </c>
      <c r="K855" s="29">
        <v>9.7055420540762993E-2</v>
      </c>
    </row>
    <row r="856" spans="1:11" x14ac:dyDescent="0.35">
      <c r="A856" s="9" t="str">
        <f>HYPERLINK("http://www.ensembl.org/id/WBGene00007765", "WBGene00007765")</f>
        <v>WBGene00007765</v>
      </c>
      <c r="B856" s="9" t="str">
        <f>HYPERLINK("http://www.ncbi.nlm.nih.gov/gene/3565797", "3565797")</f>
        <v>3565797</v>
      </c>
      <c r="C856" s="9"/>
      <c r="D856" t="str">
        <f>"C27B7.9"</f>
        <v>C27B7.9</v>
      </c>
      <c r="F856" t="s">
        <v>11</v>
      </c>
      <c r="H856" s="12">
        <v>1.9572675049125701</v>
      </c>
      <c r="I856" s="20">
        <v>2.9120761315799499</v>
      </c>
      <c r="J856" s="28">
        <v>3.5903511618445702E-3</v>
      </c>
      <c r="K856" s="29">
        <v>9.7141280966722199E-2</v>
      </c>
    </row>
    <row r="857" spans="1:11" x14ac:dyDescent="0.35">
      <c r="A857" s="9" t="str">
        <f>HYPERLINK("http://www.ensembl.org/id/WBGene00019355", "WBGene00019355")</f>
        <v>WBGene00019355</v>
      </c>
      <c r="B857" s="9" t="str">
        <f>HYPERLINK("http://www.ncbi.nlm.nih.gov/gene/186919", "186919")</f>
        <v>186919</v>
      </c>
      <c r="C857" s="9"/>
      <c r="D857" t="str">
        <f>"K03B4.4"</f>
        <v>K03B4.4</v>
      </c>
      <c r="F857" t="s">
        <v>11</v>
      </c>
      <c r="H857" s="12">
        <v>2.1762902203692001</v>
      </c>
      <c r="I857" s="20">
        <v>2.9113647924051298</v>
      </c>
      <c r="J857" s="28">
        <v>3.59853613667557E-3</v>
      </c>
      <c r="K857" s="29">
        <v>9.7248860788334099E-2</v>
      </c>
    </row>
    <row r="858" spans="1:11" x14ac:dyDescent="0.35">
      <c r="A858" s="9" t="str">
        <f>HYPERLINK("http://www.ensembl.org/id/WBGene00013079", "WBGene00013079")</f>
        <v>WBGene00013079</v>
      </c>
      <c r="B858" s="9" t="str">
        <f>HYPERLINK("http://www.ncbi.nlm.nih.gov/gene/180211", "180211")</f>
        <v>180211</v>
      </c>
      <c r="C858" s="9"/>
      <c r="D858" t="str">
        <f>"ttr-26"</f>
        <v>ttr-26</v>
      </c>
      <c r="E858" t="s">
        <v>16</v>
      </c>
      <c r="F858" t="s">
        <v>11</v>
      </c>
      <c r="G858" t="s">
        <v>17</v>
      </c>
      <c r="H858" s="12">
        <v>1.75972314099286</v>
      </c>
      <c r="I858" s="20">
        <v>2.9105059180956698</v>
      </c>
      <c r="J858" s="28">
        <v>3.6084413294786601E-3</v>
      </c>
      <c r="K858" s="29">
        <v>9.7402623082866693E-2</v>
      </c>
    </row>
    <row r="859" spans="1:11" x14ac:dyDescent="0.35">
      <c r="A859" s="9" t="str">
        <f>HYPERLINK("http://www.ensembl.org/id/WBGene00010502", "WBGene00010502")</f>
        <v>WBGene00010502</v>
      </c>
      <c r="B859" s="9" t="str">
        <f>HYPERLINK("http://www.ncbi.nlm.nih.gov/gene/174300", "174300")</f>
        <v>174300</v>
      </c>
      <c r="C859" s="9"/>
      <c r="D859" t="str">
        <f>"K02C4.3"</f>
        <v>K02C4.3</v>
      </c>
      <c r="E859" t="s">
        <v>745</v>
      </c>
      <c r="F859" t="s">
        <v>11</v>
      </c>
      <c r="G859" t="s">
        <v>746</v>
      </c>
      <c r="H859" s="12">
        <v>-1.7495981505818201</v>
      </c>
      <c r="I859" s="20">
        <v>-2.9097068213200998</v>
      </c>
      <c r="J859" s="28">
        <v>3.6176793844619999E-3</v>
      </c>
      <c r="K859" s="29">
        <v>9.7538039506859894E-2</v>
      </c>
    </row>
    <row r="860" spans="1:11" x14ac:dyDescent="0.35">
      <c r="A860" s="9" t="str">
        <f>HYPERLINK("http://www.ensembl.org/id/WBGene00007607", "WBGene00007607")</f>
        <v>WBGene00007607</v>
      </c>
      <c r="B860" s="9" t="str">
        <f>HYPERLINK("http://www.ncbi.nlm.nih.gov/gene/182636", "182636")</f>
        <v>182636</v>
      </c>
      <c r="C860" s="9"/>
      <c r="D860" t="str">
        <f>"C15C8.5"</f>
        <v>C15C8.5</v>
      </c>
      <c r="F860" t="s">
        <v>11</v>
      </c>
      <c r="G860" t="s">
        <v>25</v>
      </c>
      <c r="H860" s="12">
        <v>3.2434896557393502</v>
      </c>
      <c r="I860" s="20">
        <v>2.9083235986999298</v>
      </c>
      <c r="J860" s="28">
        <v>3.6337211518710898E-3</v>
      </c>
      <c r="K860" s="29">
        <v>9.7856364726262801E-2</v>
      </c>
    </row>
    <row r="861" spans="1:11" x14ac:dyDescent="0.35">
      <c r="A861" s="9" t="str">
        <f>HYPERLINK("http://www.ensembl.org/id/WBGene00022782", "WBGene00022782")</f>
        <v>WBGene00022782</v>
      </c>
      <c r="B861" s="9" t="str">
        <f>HYPERLINK("http://www.ncbi.nlm.nih.gov/gene/191367", "191367")</f>
        <v>191367</v>
      </c>
      <c r="C861" s="9"/>
      <c r="D861" t="str">
        <f>"ZK622.4"</f>
        <v>ZK622.4</v>
      </c>
      <c r="F861" t="s">
        <v>11</v>
      </c>
      <c r="G861" t="s">
        <v>51</v>
      </c>
      <c r="H861" s="12">
        <v>2.0668411234450099</v>
      </c>
      <c r="I861" s="20">
        <v>2.9046865750575401</v>
      </c>
      <c r="J861" s="28">
        <v>3.6762102610193499E-3</v>
      </c>
      <c r="K861" s="29">
        <v>9.8885348418059502E-2</v>
      </c>
    </row>
    <row r="862" spans="1:11" x14ac:dyDescent="0.35">
      <c r="A862" s="9" t="str">
        <f>HYPERLINK("http://www.ensembl.org/id/WBGene00012018", "WBGene00012018")</f>
        <v>WBGene00012018</v>
      </c>
      <c r="B862" s="9" t="str">
        <f>HYPERLINK("http://www.ncbi.nlm.nih.gov/gene/259727", "259727")</f>
        <v>259727</v>
      </c>
      <c r="C862" s="9"/>
      <c r="D862" t="str">
        <f>"T25C12.3"</f>
        <v>T25C12.3</v>
      </c>
      <c r="F862" t="s">
        <v>11</v>
      </c>
      <c r="H862" s="12">
        <v>1.70795219117084</v>
      </c>
      <c r="I862" s="20">
        <v>2.90202044666984</v>
      </c>
      <c r="J862" s="28">
        <v>3.70764339944454E-3</v>
      </c>
      <c r="K862" s="29">
        <v>9.9540994973296701E-2</v>
      </c>
    </row>
    <row r="863" spans="1:11" x14ac:dyDescent="0.35">
      <c r="A863" s="9" t="str">
        <f>HYPERLINK("http://www.ensembl.org/id/WBGene00006394", "WBGene00006394")</f>
        <v>WBGene00006394</v>
      </c>
      <c r="B863" s="9" t="str">
        <f>HYPERLINK("http://www.ncbi.nlm.nih.gov/gene/172451", "172451")</f>
        <v>172451</v>
      </c>
      <c r="C863" s="9"/>
      <c r="D863" t="str">
        <f>"taf-11.2"</f>
        <v>taf-11.2</v>
      </c>
      <c r="E863" t="s">
        <v>747</v>
      </c>
      <c r="F863" t="s">
        <v>11</v>
      </c>
      <c r="G863" t="s">
        <v>748</v>
      </c>
      <c r="H863" s="12">
        <v>-1.8990418363306401</v>
      </c>
      <c r="I863" s="20">
        <v>-2.9018888735289798</v>
      </c>
      <c r="J863" s="28">
        <v>3.7092009292828002E-3</v>
      </c>
      <c r="K863" s="29">
        <v>9.9540994973296701E-2</v>
      </c>
    </row>
    <row r="864" spans="1:11" x14ac:dyDescent="0.35">
      <c r="A864" s="9" t="str">
        <f>HYPERLINK("http://www.ensembl.org/id/WBGene00008783", "WBGene00008783")</f>
        <v>WBGene00008783</v>
      </c>
      <c r="B864" s="9" t="str">
        <f>HYPERLINK("http://www.ncbi.nlm.nih.gov/gene/173102", "173102")</f>
        <v>173102</v>
      </c>
      <c r="C864" s="9"/>
      <c r="D864" t="str">
        <f>"F14B6.2"</f>
        <v>F14B6.2</v>
      </c>
      <c r="F864" t="s">
        <v>11</v>
      </c>
      <c r="G864" t="s">
        <v>372</v>
      </c>
      <c r="H864" s="12">
        <v>1.99641000729018</v>
      </c>
      <c r="I864" s="20">
        <v>2.90123179122146</v>
      </c>
      <c r="J864" s="28">
        <v>3.71698821126666E-3</v>
      </c>
      <c r="K864" s="29">
        <v>9.9555887476760002E-2</v>
      </c>
    </row>
    <row r="865" spans="1:11" x14ac:dyDescent="0.35">
      <c r="A865" s="9" t="str">
        <f>HYPERLINK("http://www.ensembl.org/id/WBGene00009375", "WBGene00009375")</f>
        <v>WBGene00009375</v>
      </c>
      <c r="B865" s="9" t="str">
        <f>HYPERLINK("http://www.ncbi.nlm.nih.gov/gene/175486", "175486")</f>
        <v>175486</v>
      </c>
      <c r="C865" s="9"/>
      <c r="D865" t="str">
        <f>"F34D10.6"</f>
        <v>F34D10.6</v>
      </c>
      <c r="F865" t="s">
        <v>11</v>
      </c>
      <c r="G865" t="s">
        <v>54</v>
      </c>
      <c r="H865" s="12">
        <v>2.1147278444048898</v>
      </c>
      <c r="I865" s="20">
        <v>2.9011150594630499</v>
      </c>
      <c r="J865" s="28">
        <v>3.7183731884551101E-3</v>
      </c>
      <c r="K865" s="29">
        <v>9.9555887476760002E-2</v>
      </c>
    </row>
    <row r="866" spans="1:11" x14ac:dyDescent="0.35">
      <c r="A866" s="9" t="str">
        <f>HYPERLINK("http://www.ensembl.org/id/WBGene00001692", "WBGene00001692")</f>
        <v>WBGene00001692</v>
      </c>
      <c r="B866" s="9" t="str">
        <f>HYPERLINK("http://www.ncbi.nlm.nih.gov/gene/177109", "177109")</f>
        <v>177109</v>
      </c>
      <c r="C866" s="9"/>
      <c r="D866" t="str">
        <f>"grd-3"</f>
        <v>grd-3</v>
      </c>
      <c r="E866" t="s">
        <v>749</v>
      </c>
      <c r="F866" t="s">
        <v>11</v>
      </c>
      <c r="G866" t="s">
        <v>750</v>
      </c>
      <c r="H866" s="12">
        <v>2.1266669887845402</v>
      </c>
      <c r="I866" s="20">
        <v>2.9004154035348</v>
      </c>
      <c r="J866" s="28">
        <v>3.72668417248975E-3</v>
      </c>
      <c r="K866" s="29">
        <v>9.9662921862902903E-2</v>
      </c>
    </row>
    <row r="867" spans="1:11" x14ac:dyDescent="0.35">
      <c r="A867" s="9" t="str">
        <f>HYPERLINK("http://www.ensembl.org/id/WBGene00011010", "WBGene00011010")</f>
        <v>WBGene00011010</v>
      </c>
      <c r="B867" s="9" t="str">
        <f>HYPERLINK("http://www.ncbi.nlm.nih.gov/gene/181451", "181451")</f>
        <v>181451</v>
      </c>
      <c r="C867" s="9"/>
      <c r="D867" t="str">
        <f>"R04D3.2"</f>
        <v>R04D3.2</v>
      </c>
      <c r="F867" t="s">
        <v>11</v>
      </c>
      <c r="H867" s="12">
        <v>-1.9421852292314901</v>
      </c>
      <c r="I867" s="20">
        <v>-2.8979104644793199</v>
      </c>
      <c r="J867" s="28">
        <v>3.75657816104493E-3</v>
      </c>
      <c r="K867" s="29">
        <v>0.100346236981623</v>
      </c>
    </row>
    <row r="868" spans="1:11" x14ac:dyDescent="0.35">
      <c r="A868" s="9" t="str">
        <f>HYPERLINK("http://www.ensembl.org/id/WBGene00012168", "WBGene00012168")</f>
        <v>WBGene00012168</v>
      </c>
      <c r="B868" s="9" t="str">
        <f>HYPERLINK("http://www.ncbi.nlm.nih.gov/gene/189076", "189076")</f>
        <v>189076</v>
      </c>
      <c r="C868" s="9" t="str">
        <f>HYPERLINK("http://www.ncbi.nlm.nih.gov/gene/1358", "1358")</f>
        <v>1358</v>
      </c>
      <c r="D868" t="str">
        <f>"W01A8.6"</f>
        <v>W01A8.6</v>
      </c>
      <c r="F868" t="s">
        <v>11</v>
      </c>
      <c r="G868" t="s">
        <v>751</v>
      </c>
      <c r="H868" s="12">
        <v>2.3728636262783001</v>
      </c>
      <c r="I868" s="20">
        <v>2.8972373704283099</v>
      </c>
      <c r="J868" s="28">
        <v>3.7646479437221602E-3</v>
      </c>
      <c r="K868" s="29">
        <v>0.10044567596725699</v>
      </c>
    </row>
    <row r="869" spans="1:11" x14ac:dyDescent="0.35">
      <c r="A869" s="9" t="str">
        <f>HYPERLINK("http://www.ensembl.org/id/WBGene00019799", "WBGene00019799")</f>
        <v>WBGene00019799</v>
      </c>
      <c r="B869" s="9" t="str">
        <f>HYPERLINK("http://www.ncbi.nlm.nih.gov/gene/173707", "173707")</f>
        <v>173707</v>
      </c>
      <c r="C869" s="9"/>
      <c r="D869" t="str">
        <f>"M151.7"</f>
        <v>M151.7</v>
      </c>
      <c r="F869" t="s">
        <v>11</v>
      </c>
      <c r="H869" s="12">
        <v>-2.22658136784024</v>
      </c>
      <c r="I869" s="20">
        <v>-2.8951011911932598</v>
      </c>
      <c r="J869" s="28">
        <v>3.7903632376297602E-3</v>
      </c>
      <c r="K869" s="29">
        <v>0.10101514759939199</v>
      </c>
    </row>
    <row r="870" spans="1:11" x14ac:dyDescent="0.35">
      <c r="A870" s="9" t="str">
        <f>HYPERLINK("http://www.ensembl.org/id/WBGene00004985", "WBGene00004985")</f>
        <v>WBGene00004985</v>
      </c>
      <c r="B870" s="9" t="str">
        <f>HYPERLINK("http://www.ncbi.nlm.nih.gov/gene/191771", "191771")</f>
        <v>191771</v>
      </c>
      <c r="C870" s="9"/>
      <c r="D870" t="str">
        <f>"spo-11"</f>
        <v>spo-11</v>
      </c>
      <c r="E870" t="s">
        <v>752</v>
      </c>
      <c r="F870" t="s">
        <v>11</v>
      </c>
      <c r="G870" t="s">
        <v>753</v>
      </c>
      <c r="H870" s="12">
        <v>-2.0597434858283501</v>
      </c>
      <c r="I870" s="20">
        <v>-2.8944039551248699</v>
      </c>
      <c r="J870" s="28">
        <v>3.7987910447697601E-3</v>
      </c>
      <c r="K870" s="29">
        <v>0.10112311737379</v>
      </c>
    </row>
    <row r="871" spans="1:11" x14ac:dyDescent="0.35">
      <c r="A871" s="9" t="str">
        <f>HYPERLINK("http://www.ensembl.org/id/WBGene00022474", "WBGene00022474")</f>
        <v>WBGene00022474</v>
      </c>
      <c r="B871" s="9" t="str">
        <f>HYPERLINK("http://www.ncbi.nlm.nih.gov/gene/191030", "191030")</f>
        <v>191030</v>
      </c>
      <c r="C871" s="9"/>
      <c r="D871" t="str">
        <f>"zig-9"</f>
        <v>zig-9</v>
      </c>
      <c r="E871" t="s">
        <v>754</v>
      </c>
      <c r="F871" t="s">
        <v>11</v>
      </c>
      <c r="H871" s="12">
        <v>-1.8870072620631</v>
      </c>
      <c r="I871" s="20">
        <v>-2.8935688983620098</v>
      </c>
      <c r="J871" s="28">
        <v>3.8089071612638298E-3</v>
      </c>
      <c r="K871" s="29">
        <v>0.10127572942251099</v>
      </c>
    </row>
    <row r="872" spans="1:11" x14ac:dyDescent="0.35">
      <c r="A872" s="9" t="str">
        <f>HYPERLINK("http://www.ensembl.org/id/WBGene00194851", "WBGene00194851")</f>
        <v>WBGene00194851</v>
      </c>
      <c r="B872" s="9"/>
      <c r="C872" s="9"/>
      <c r="D872" t="str">
        <f>"K07C10.3"</f>
        <v>K07C10.3</v>
      </c>
      <c r="F872" t="s">
        <v>481</v>
      </c>
      <c r="H872" s="12">
        <v>2.4813999383085901</v>
      </c>
      <c r="I872" s="20">
        <v>2.8917744246743098</v>
      </c>
      <c r="J872" s="28">
        <v>3.8307287985350101E-3</v>
      </c>
      <c r="K872" s="29">
        <v>0.101398290033669</v>
      </c>
    </row>
    <row r="873" spans="1:11" x14ac:dyDescent="0.35">
      <c r="A873" s="9" t="str">
        <f>HYPERLINK("http://www.ensembl.org/id/WBGene00009946", "WBGene00009946")</f>
        <v>WBGene00009946</v>
      </c>
      <c r="B873" s="9" t="str">
        <f>HYPERLINK("http://www.ncbi.nlm.nih.gov/gene/174566", "174566")</f>
        <v>174566</v>
      </c>
      <c r="C873" s="9"/>
      <c r="D873" t="str">
        <f>"ogr-2"</f>
        <v>ogr-2</v>
      </c>
      <c r="E873" t="s">
        <v>757</v>
      </c>
      <c r="F873" t="s">
        <v>11</v>
      </c>
      <c r="H873" s="12">
        <v>-1.9186758605876499</v>
      </c>
      <c r="I873" s="20">
        <v>-2.8923338026938201</v>
      </c>
      <c r="J873" s="28">
        <v>3.8239143459825298E-3</v>
      </c>
      <c r="K873" s="29">
        <v>0.101398290033669</v>
      </c>
    </row>
    <row r="874" spans="1:11" x14ac:dyDescent="0.35">
      <c r="A874" s="9" t="str">
        <f>HYPERLINK("http://www.ensembl.org/id/WBGene00005655", "WBGene00005655")</f>
        <v>WBGene00005655</v>
      </c>
      <c r="B874" s="9" t="str">
        <f>HYPERLINK("http://www.ncbi.nlm.nih.gov/gene/187292", "187292")</f>
        <v>187292</v>
      </c>
      <c r="C874" s="9"/>
      <c r="D874" t="str">
        <f>"srr-4"</f>
        <v>srr-4</v>
      </c>
      <c r="E874" t="s">
        <v>755</v>
      </c>
      <c r="F874" t="s">
        <v>11</v>
      </c>
      <c r="G874" t="s">
        <v>756</v>
      </c>
      <c r="H874" s="12">
        <v>1.9337813004654101</v>
      </c>
      <c r="I874" s="20">
        <v>2.8917464268267401</v>
      </c>
      <c r="J874" s="28">
        <v>3.8310701635676202E-3</v>
      </c>
      <c r="K874" s="29">
        <v>0.101398290033669</v>
      </c>
    </row>
    <row r="875" spans="1:11" x14ac:dyDescent="0.35">
      <c r="A875" s="9" t="str">
        <f>HYPERLINK("http://www.ensembl.org/id/WBGene00013849", "WBGene00013849")</f>
        <v>WBGene00013849</v>
      </c>
      <c r="B875" s="9" t="str">
        <f>HYPERLINK("http://www.ncbi.nlm.nih.gov/gene/176299", "176299")</f>
        <v>176299</v>
      </c>
      <c r="C875" s="9"/>
      <c r="D875" t="str">
        <f>"ZC84.6"</f>
        <v>ZC84.6</v>
      </c>
      <c r="F875" t="s">
        <v>11</v>
      </c>
      <c r="G875" t="s">
        <v>50</v>
      </c>
      <c r="H875" s="12">
        <v>2.95088076632012</v>
      </c>
      <c r="I875" s="20">
        <v>2.8923256050280099</v>
      </c>
      <c r="J875" s="28">
        <v>3.8240141319756298E-3</v>
      </c>
      <c r="K875" s="29">
        <v>0.101398290033669</v>
      </c>
    </row>
    <row r="876" spans="1:11" x14ac:dyDescent="0.35">
      <c r="A876" s="9" t="str">
        <f>HYPERLINK("http://www.ensembl.org/id/WBGene00003563", "WBGene00003563")</f>
        <v>WBGene00003563</v>
      </c>
      <c r="B876" s="9" t="str">
        <f>HYPERLINK("http://www.ncbi.nlm.nih.gov/gene/180448", "180448")</f>
        <v>180448</v>
      </c>
      <c r="C876" s="9" t="str">
        <f>HYPERLINK("http://www.ncbi.nlm.nih.gov/gene/23413", "23413")</f>
        <v>23413</v>
      </c>
      <c r="D876" t="str">
        <f>"ncs-1"</f>
        <v>ncs-1</v>
      </c>
      <c r="E876" t="s">
        <v>758</v>
      </c>
      <c r="F876" t="s">
        <v>11</v>
      </c>
      <c r="G876" t="s">
        <v>325</v>
      </c>
      <c r="H876" s="12">
        <v>2.2100225900795798</v>
      </c>
      <c r="I876" s="20">
        <v>2.88973810470352</v>
      </c>
      <c r="J876" s="28">
        <v>3.8556289416078098E-3</v>
      </c>
      <c r="K876" s="29">
        <v>0.101931535840721</v>
      </c>
    </row>
    <row r="877" spans="1:11" x14ac:dyDescent="0.35">
      <c r="A877" s="9" t="str">
        <f>HYPERLINK("http://www.ensembl.org/id/WBGene00000871", "WBGene00000871")</f>
        <v>WBGene00000871</v>
      </c>
      <c r="B877" s="9" t="str">
        <f>HYPERLINK("http://www.ncbi.nlm.nih.gov/gene/172399", "172399")</f>
        <v>172399</v>
      </c>
      <c r="C877" s="9"/>
      <c r="D877" t="str">
        <f>"cye-1"</f>
        <v>cye-1</v>
      </c>
      <c r="E877" t="s">
        <v>759</v>
      </c>
      <c r="F877" t="s">
        <v>11</v>
      </c>
      <c r="H877" s="12">
        <v>-1.8116162248952701</v>
      </c>
      <c r="I877" s="20">
        <v>-2.8877816347067902</v>
      </c>
      <c r="J877" s="28">
        <v>3.87969109320222E-3</v>
      </c>
      <c r="K877" s="29">
        <v>0.102450448456606</v>
      </c>
    </row>
    <row r="878" spans="1:11" x14ac:dyDescent="0.35">
      <c r="A878" s="9" t="str">
        <f>HYPERLINK("http://www.ensembl.org/id/WBGene00001600", "WBGene00001600")</f>
        <v>WBGene00001600</v>
      </c>
      <c r="B878" s="9" t="str">
        <f>HYPERLINK("http://www.ncbi.nlm.nih.gov/gene/172245", "172245")</f>
        <v>172245</v>
      </c>
      <c r="C878" s="9"/>
      <c r="D878" t="str">
        <f>"glh-3"</f>
        <v>glh-3</v>
      </c>
      <c r="E878" t="s">
        <v>760</v>
      </c>
      <c r="F878" t="s">
        <v>11</v>
      </c>
      <c r="G878" t="s">
        <v>133</v>
      </c>
      <c r="H878" s="12">
        <v>-1.93211104418637</v>
      </c>
      <c r="I878" s="20">
        <v>-2.8874144602437699</v>
      </c>
      <c r="J878" s="28">
        <v>3.8842220564659202E-3</v>
      </c>
      <c r="K878" s="29">
        <v>0.102453007804454</v>
      </c>
    </row>
    <row r="879" spans="1:11" x14ac:dyDescent="0.35">
      <c r="A879" s="9" t="str">
        <f>HYPERLINK("http://www.ensembl.org/id/WBGene00001464", "WBGene00001464")</f>
        <v>WBGene00001464</v>
      </c>
      <c r="B879" s="9" t="str">
        <f>HYPERLINK("http://www.ncbi.nlm.nih.gov/gene/182944", "182944")</f>
        <v>182944</v>
      </c>
      <c r="C879" s="9"/>
      <c r="D879" t="str">
        <f>"flp-21"</f>
        <v>flp-21</v>
      </c>
      <c r="E879" t="s">
        <v>401</v>
      </c>
      <c r="F879" t="s">
        <v>11</v>
      </c>
      <c r="G879" t="s">
        <v>761</v>
      </c>
      <c r="H879" s="12">
        <v>1.8832938296550901</v>
      </c>
      <c r="I879" s="20">
        <v>2.8851210405399899</v>
      </c>
      <c r="J879" s="28">
        <v>3.9126319882148196E-3</v>
      </c>
      <c r="K879" s="29">
        <v>0.103084691812647</v>
      </c>
    </row>
    <row r="880" spans="1:11" x14ac:dyDescent="0.35">
      <c r="A880" s="9" t="str">
        <f>HYPERLINK("http://www.ensembl.org/id/WBGene00004094", "WBGene00004094")</f>
        <v>WBGene00004094</v>
      </c>
      <c r="B880" s="9" t="str">
        <f>HYPERLINK("http://www.ncbi.nlm.nih.gov/gene/172152", "172152")</f>
        <v>172152</v>
      </c>
      <c r="C880" s="9"/>
      <c r="D880" t="str">
        <f>"ppw-2"</f>
        <v>ppw-2</v>
      </c>
      <c r="E880" t="s">
        <v>309</v>
      </c>
      <c r="F880" t="s">
        <v>11</v>
      </c>
      <c r="G880" t="s">
        <v>445</v>
      </c>
      <c r="H880" s="12">
        <v>-2.03400759194859</v>
      </c>
      <c r="I880" s="20">
        <v>-2.8834195726412499</v>
      </c>
      <c r="J880" s="28">
        <v>3.9338308725963703E-3</v>
      </c>
      <c r="K880" s="29">
        <v>0.103525166448988</v>
      </c>
    </row>
    <row r="881" spans="1:11" x14ac:dyDescent="0.35">
      <c r="A881" s="9" t="str">
        <f>HYPERLINK("http://www.ensembl.org/id/WBGene00000144", "WBGene00000144")</f>
        <v>WBGene00000144</v>
      </c>
      <c r="B881" s="9" t="str">
        <f>HYPERLINK("http://www.ncbi.nlm.nih.gov/gene/179454", "179454")</f>
        <v>179454</v>
      </c>
      <c r="C881" s="9"/>
      <c r="D881" t="str">
        <f>"apc-10"</f>
        <v>apc-10</v>
      </c>
      <c r="E881" t="s">
        <v>762</v>
      </c>
      <c r="F881" t="s">
        <v>11</v>
      </c>
      <c r="G881" t="s">
        <v>763</v>
      </c>
      <c r="H881" s="12">
        <v>-2.3652708743141702</v>
      </c>
      <c r="I881" s="20">
        <v>-2.88069155037021</v>
      </c>
      <c r="J881" s="28">
        <v>3.9680375532563997E-3</v>
      </c>
      <c r="K881" s="29">
        <v>0.104306570768535</v>
      </c>
    </row>
    <row r="882" spans="1:11" x14ac:dyDescent="0.35">
      <c r="A882" s="9" t="str">
        <f>HYPERLINK("http://www.ensembl.org/id/WBGene00020143", "WBGene00020143")</f>
        <v>WBGene00020143</v>
      </c>
      <c r="B882" s="9" t="str">
        <f>HYPERLINK("http://www.ncbi.nlm.nih.gov/gene/181725", "181725")</f>
        <v>181725</v>
      </c>
      <c r="C882" s="9"/>
      <c r="D882" t="str">
        <f>"T01C8.2"</f>
        <v>T01C8.2</v>
      </c>
      <c r="F882" t="s">
        <v>11</v>
      </c>
      <c r="G882" t="s">
        <v>25</v>
      </c>
      <c r="H882" s="12">
        <v>1.8342717717499899</v>
      </c>
      <c r="I882" s="20">
        <v>2.8770890789674302</v>
      </c>
      <c r="J882" s="28">
        <v>4.0136227602574296E-3</v>
      </c>
      <c r="K882" s="29">
        <v>0.10538496306648699</v>
      </c>
    </row>
    <row r="883" spans="1:11" x14ac:dyDescent="0.35">
      <c r="A883" s="9" t="str">
        <f>HYPERLINK("http://www.ensembl.org/id/WBGene00009241", "WBGene00009241")</f>
        <v>WBGene00009241</v>
      </c>
      <c r="B883" s="9" t="str">
        <f>HYPERLINK("http://www.ncbi.nlm.nih.gov/gene/185099", "185099")</f>
        <v>185099</v>
      </c>
      <c r="C883" s="9"/>
      <c r="D883" t="str">
        <f>"F28H7.8"</f>
        <v>F28H7.8</v>
      </c>
      <c r="E883" t="s">
        <v>764</v>
      </c>
      <c r="F883" t="s">
        <v>11</v>
      </c>
      <c r="H883" s="12">
        <v>2.0151832611430698</v>
      </c>
      <c r="I883" s="20">
        <v>2.8761932151389802</v>
      </c>
      <c r="J883" s="28">
        <v>4.0250324750857004E-3</v>
      </c>
      <c r="K883" s="29">
        <v>0.105564586117287</v>
      </c>
    </row>
    <row r="884" spans="1:11" x14ac:dyDescent="0.35">
      <c r="A884" s="9" t="str">
        <f>HYPERLINK("http://www.ensembl.org/id/WBGene00020375", "WBGene00020375")</f>
        <v>WBGene00020375</v>
      </c>
      <c r="B884" s="9" t="str">
        <f>HYPERLINK("http://www.ncbi.nlm.nih.gov/gene/172305", "172305")</f>
        <v>172305</v>
      </c>
      <c r="C884" s="9" t="str">
        <f>HYPERLINK("http://www.ncbi.nlm.nih.gov/gene/55650", "55650")</f>
        <v>55650</v>
      </c>
      <c r="D884" t="str">
        <f>"pigv-1"</f>
        <v>pigv-1</v>
      </c>
      <c r="E884" t="s">
        <v>765</v>
      </c>
      <c r="F884" t="s">
        <v>11</v>
      </c>
      <c r="G884" t="s">
        <v>766</v>
      </c>
      <c r="H884" s="12">
        <v>-1.7986326488078801</v>
      </c>
      <c r="I884" s="20">
        <v>-2.8758116510212299</v>
      </c>
      <c r="J884" s="28">
        <v>4.0299010077855697E-3</v>
      </c>
      <c r="K884" s="29">
        <v>0.105572440686954</v>
      </c>
    </row>
    <row r="885" spans="1:11" x14ac:dyDescent="0.35">
      <c r="A885" s="9" t="str">
        <f>HYPERLINK("http://www.ensembl.org/id/WBGene00007167", "WBGene00007167")</f>
        <v>WBGene00007167</v>
      </c>
      <c r="B885" s="9" t="str">
        <f>HYPERLINK("http://www.ncbi.nlm.nih.gov/gene/175629", "175629")</f>
        <v>175629</v>
      </c>
      <c r="C885" s="9"/>
      <c r="D885" t="str">
        <f>"rbg-3"</f>
        <v>rbg-3</v>
      </c>
      <c r="E885" t="s">
        <v>767</v>
      </c>
      <c r="F885" t="s">
        <v>11</v>
      </c>
      <c r="G885" t="s">
        <v>768</v>
      </c>
      <c r="H885" s="12">
        <v>-1.7383141425581501</v>
      </c>
      <c r="I885" s="20">
        <v>-2.8745888148174799</v>
      </c>
      <c r="J885" s="28">
        <v>4.0455397155391903E-3</v>
      </c>
      <c r="K885" s="29">
        <v>0.10574235369598201</v>
      </c>
    </row>
    <row r="886" spans="1:11" x14ac:dyDescent="0.35">
      <c r="A886" s="9" t="str">
        <f>HYPERLINK("http://www.ensembl.org/id/WBGene00021877", "WBGene00021877")</f>
        <v>WBGene00021877</v>
      </c>
      <c r="B886" s="9" t="str">
        <f>HYPERLINK("http://www.ncbi.nlm.nih.gov/gene/190278", "190278")</f>
        <v>190278</v>
      </c>
      <c r="C886" s="9"/>
      <c r="D886" t="str">
        <f>"Y54G2A.12"</f>
        <v>Y54G2A.12</v>
      </c>
      <c r="F886" t="s">
        <v>11</v>
      </c>
      <c r="G886" t="s">
        <v>769</v>
      </c>
      <c r="H886" s="12">
        <v>-2.2843193232638002</v>
      </c>
      <c r="I886" s="20">
        <v>-2.8747662338440199</v>
      </c>
      <c r="J886" s="28">
        <v>4.0432673132734303E-3</v>
      </c>
      <c r="K886" s="29">
        <v>0.10574235369598201</v>
      </c>
    </row>
    <row r="887" spans="1:11" x14ac:dyDescent="0.35">
      <c r="A887" s="9" t="str">
        <f>HYPERLINK("http://www.ensembl.org/id/WBGene00017754", "WBGene00017754")</f>
        <v>WBGene00017754</v>
      </c>
      <c r="B887" s="9" t="str">
        <f>HYPERLINK("http://www.ncbi.nlm.nih.gov/gene/184907", "184907")</f>
        <v>184907</v>
      </c>
      <c r="C887" s="9"/>
      <c r="D887" t="str">
        <f>"F23F12.8"</f>
        <v>F23F12.8</v>
      </c>
      <c r="F887" t="s">
        <v>11</v>
      </c>
      <c r="G887" t="s">
        <v>770</v>
      </c>
      <c r="H887" s="12">
        <v>3.56813105786207</v>
      </c>
      <c r="I887" s="20">
        <v>2.87163868071455</v>
      </c>
      <c r="J887" s="28">
        <v>4.0834956505286903E-3</v>
      </c>
      <c r="K887" s="29">
        <v>0.106613842374142</v>
      </c>
    </row>
    <row r="888" spans="1:11" x14ac:dyDescent="0.35">
      <c r="A888" s="9" t="str">
        <f>HYPERLINK("http://www.ensembl.org/id/WBGene00000885", "WBGene00000885")</f>
        <v>WBGene00000885</v>
      </c>
      <c r="B888" s="9" t="str">
        <f>HYPERLINK("http://www.ncbi.nlm.nih.gov/gene/175471", "175471")</f>
        <v>175471</v>
      </c>
      <c r="C888" s="9"/>
      <c r="D888" t="str">
        <f>"cyn-9"</f>
        <v>cyn-9</v>
      </c>
      <c r="E888" t="s">
        <v>771</v>
      </c>
      <c r="F888" t="s">
        <v>11</v>
      </c>
      <c r="G888" t="s">
        <v>772</v>
      </c>
      <c r="H888" s="12">
        <v>-2.0545444435356801</v>
      </c>
      <c r="I888" s="20">
        <v>-2.8701413401529399</v>
      </c>
      <c r="J888" s="28">
        <v>4.1028835755848696E-3</v>
      </c>
      <c r="K888" s="29">
        <v>0.10699912855244301</v>
      </c>
    </row>
    <row r="889" spans="1:11" x14ac:dyDescent="0.35">
      <c r="A889" s="9" t="str">
        <f>HYPERLINK("http://www.ensembl.org/id/WBGene00001373", "WBGene00001373")</f>
        <v>WBGene00001373</v>
      </c>
      <c r="B889" s="9" t="str">
        <f>HYPERLINK("http://www.ncbi.nlm.nih.gov/gene/186801", "186801")</f>
        <v>186801</v>
      </c>
      <c r="C889" s="9"/>
      <c r="D889" t="str">
        <f>"exp-1"</f>
        <v>exp-1</v>
      </c>
      <c r="E889" t="s">
        <v>773</v>
      </c>
      <c r="F889" t="s">
        <v>11</v>
      </c>
      <c r="G889" t="s">
        <v>774</v>
      </c>
      <c r="H889" s="12">
        <v>2.10012319339718</v>
      </c>
      <c r="I889" s="20">
        <v>2.8684829168764598</v>
      </c>
      <c r="J889" s="28">
        <v>4.1244547094836399E-3</v>
      </c>
      <c r="K889" s="29">
        <v>0.107440417719649</v>
      </c>
    </row>
    <row r="890" spans="1:11" x14ac:dyDescent="0.35">
      <c r="A890" s="9" t="str">
        <f>HYPERLINK("http://www.ensembl.org/id/WBGene00007938", "WBGene00007938")</f>
        <v>WBGene00007938</v>
      </c>
      <c r="B890" s="9" t="str">
        <f>HYPERLINK("http://www.ncbi.nlm.nih.gov/gene/181306", "181306")</f>
        <v>181306</v>
      </c>
      <c r="C890" s="9"/>
      <c r="D890" t="str">
        <f>"C34F6.1"</f>
        <v>C34F6.1</v>
      </c>
      <c r="F890" t="s">
        <v>11</v>
      </c>
      <c r="G890" t="s">
        <v>50</v>
      </c>
      <c r="H890" s="12">
        <v>4.7216848353373901</v>
      </c>
      <c r="I890" s="20">
        <v>2.8665136638108102</v>
      </c>
      <c r="J890" s="28">
        <v>4.1502024322557802E-3</v>
      </c>
      <c r="K890" s="29">
        <v>0.107972246087417</v>
      </c>
    </row>
    <row r="891" spans="1:11" x14ac:dyDescent="0.35">
      <c r="A891" s="9" t="str">
        <f>HYPERLINK("http://www.ensembl.org/id/WBGene00010678", "WBGene00010678")</f>
        <v>WBGene00010678</v>
      </c>
      <c r="B891" s="9" t="str">
        <f>HYPERLINK("http://www.ncbi.nlm.nih.gov/gene/177881", "177881")</f>
        <v>177881</v>
      </c>
      <c r="C891" s="9"/>
      <c r="D891" t="str">
        <f>"K08F4.3"</f>
        <v>K08F4.3</v>
      </c>
      <c r="E891" t="s">
        <v>775</v>
      </c>
      <c r="F891" t="s">
        <v>11</v>
      </c>
      <c r="G891" t="s">
        <v>776</v>
      </c>
      <c r="H891" s="12">
        <v>-1.89121739235435</v>
      </c>
      <c r="I891" s="20">
        <v>-2.8662076556879201</v>
      </c>
      <c r="J891" s="28">
        <v>4.1542165139666701E-3</v>
      </c>
      <c r="K891" s="29">
        <v>0.107972246087417</v>
      </c>
    </row>
    <row r="892" spans="1:11" x14ac:dyDescent="0.35">
      <c r="A892" s="9" t="str">
        <f>HYPERLINK("http://www.ensembl.org/id/WBGene00007118", "WBGene00007118")</f>
        <v>WBGene00007118</v>
      </c>
      <c r="B892" s="9" t="str">
        <f>HYPERLINK("http://www.ncbi.nlm.nih.gov/gene/179607", "179607")</f>
        <v>179607</v>
      </c>
      <c r="C892" s="9"/>
      <c r="D892" t="str">
        <f>"npp-22"</f>
        <v>npp-22</v>
      </c>
      <c r="E892" t="s">
        <v>779</v>
      </c>
      <c r="F892" t="s">
        <v>11</v>
      </c>
      <c r="H892" s="12">
        <v>-1.7638776463694901</v>
      </c>
      <c r="I892" s="20">
        <v>-2.86543275370793</v>
      </c>
      <c r="J892" s="28">
        <v>4.1643971007363197E-3</v>
      </c>
      <c r="K892" s="29">
        <v>0.10799389383794999</v>
      </c>
    </row>
    <row r="893" spans="1:11" x14ac:dyDescent="0.35">
      <c r="A893" s="9" t="str">
        <f>HYPERLINK("http://www.ensembl.org/id/WBGene00013100", "WBGene00013100")</f>
        <v>WBGene00013100</v>
      </c>
      <c r="B893" s="9" t="str">
        <f>HYPERLINK("http://www.ncbi.nlm.nih.gov/gene/178459", "178459")</f>
        <v>178459</v>
      </c>
      <c r="C893" s="9"/>
      <c r="D893" t="str">
        <f>"zip-7"</f>
        <v>zip-7</v>
      </c>
      <c r="E893" t="s">
        <v>777</v>
      </c>
      <c r="F893" t="s">
        <v>11</v>
      </c>
      <c r="G893" t="s">
        <v>778</v>
      </c>
      <c r="H893" s="12">
        <v>2.3915264283770199</v>
      </c>
      <c r="I893" s="20">
        <v>2.8655090996463</v>
      </c>
      <c r="J893" s="28">
        <v>4.1633930709724801E-3</v>
      </c>
      <c r="K893" s="29">
        <v>0.10799389383794999</v>
      </c>
    </row>
    <row r="894" spans="1:11" x14ac:dyDescent="0.35">
      <c r="A894" s="9" t="str">
        <f>HYPERLINK("http://www.ensembl.org/id/WBGene00019521", "WBGene00019521")</f>
        <v>WBGene00019521</v>
      </c>
      <c r="B894" s="9" t="str">
        <f>HYPERLINK("http://www.ncbi.nlm.nih.gov/gene/179012", "179012")</f>
        <v>179012</v>
      </c>
      <c r="C894" s="9"/>
      <c r="D894" t="str">
        <f>"dmd-7"</f>
        <v>dmd-7</v>
      </c>
      <c r="E894" t="s">
        <v>780</v>
      </c>
      <c r="F894" t="s">
        <v>11</v>
      </c>
      <c r="G894" t="s">
        <v>781</v>
      </c>
      <c r="H894" s="12">
        <v>1.69807982333873</v>
      </c>
      <c r="I894" s="20">
        <v>2.86382538323842</v>
      </c>
      <c r="J894" s="28">
        <v>4.1855867844751799E-3</v>
      </c>
      <c r="K894" s="29">
        <v>0.108421713275878</v>
      </c>
    </row>
    <row r="895" spans="1:11" x14ac:dyDescent="0.35">
      <c r="A895" s="9" t="str">
        <f>HYPERLINK("http://www.ensembl.org/id/WBGene00012220", "WBGene00012220")</f>
        <v>WBGene00012220</v>
      </c>
      <c r="B895" s="9" t="str">
        <f>HYPERLINK("http://www.ncbi.nlm.nih.gov/gene/174833", "174833")</f>
        <v>174833</v>
      </c>
      <c r="C895" s="9"/>
      <c r="D895" t="str">
        <f>"W03C9.2"</f>
        <v>W03C9.2</v>
      </c>
      <c r="F895" t="s">
        <v>11</v>
      </c>
      <c r="G895" t="s">
        <v>784</v>
      </c>
      <c r="H895" s="12">
        <v>-1.9010428201379701</v>
      </c>
      <c r="I895" s="20">
        <v>-2.8624273876399999</v>
      </c>
      <c r="J895" s="28">
        <v>4.2040957948032004E-3</v>
      </c>
      <c r="K895" s="29">
        <v>0.10859516037274899</v>
      </c>
    </row>
    <row r="896" spans="1:11" x14ac:dyDescent="0.35">
      <c r="A896" s="9" t="str">
        <f>HYPERLINK("http://www.ensembl.org/id/WBGene00012859", "WBGene00012859")</f>
        <v>WBGene00012859</v>
      </c>
      <c r="B896" s="9" t="str">
        <f>HYPERLINK("http://www.ncbi.nlm.nih.gov/gene/176475", "176475")</f>
        <v>176475</v>
      </c>
      <c r="C896" s="9"/>
      <c r="D896" t="str">
        <f>"Y45F3A.1"</f>
        <v>Y45F3A.1</v>
      </c>
      <c r="F896" t="s">
        <v>11</v>
      </c>
      <c r="H896" s="12">
        <v>2.2696687554273498</v>
      </c>
      <c r="I896" s="20">
        <v>2.8626926331839102</v>
      </c>
      <c r="J896" s="28">
        <v>4.2005783326879102E-3</v>
      </c>
      <c r="K896" s="29">
        <v>0.10859516037274899</v>
      </c>
    </row>
    <row r="897" spans="1:11" x14ac:dyDescent="0.35">
      <c r="A897" s="9" t="str">
        <f>HYPERLINK("http://www.ensembl.org/id/WBGene00013499", "WBGene00013499")</f>
        <v>WBGene00013499</v>
      </c>
      <c r="B897" s="9" t="str">
        <f>HYPERLINK("http://www.ncbi.nlm.nih.gov/gene/190573", "190573")</f>
        <v>190573</v>
      </c>
      <c r="C897" s="9" t="str">
        <f>HYPERLINK("http://www.ncbi.nlm.nih.gov/gene/28231", "28231")</f>
        <v>28231</v>
      </c>
      <c r="D897" t="str">
        <f>"Y70G10A.3"</f>
        <v>Y70G10A.3</v>
      </c>
      <c r="E897" t="s">
        <v>782</v>
      </c>
      <c r="F897" t="s">
        <v>11</v>
      </c>
      <c r="G897" t="s">
        <v>783</v>
      </c>
      <c r="H897" s="12">
        <v>1.8397633934564701</v>
      </c>
      <c r="I897" s="20">
        <v>2.8622550772064099</v>
      </c>
      <c r="J897" s="28">
        <v>4.2063822614736403E-3</v>
      </c>
      <c r="K897" s="29">
        <v>0.10859516037274899</v>
      </c>
    </row>
    <row r="898" spans="1:11" x14ac:dyDescent="0.35">
      <c r="A898" s="9" t="str">
        <f>HYPERLINK("http://www.ensembl.org/id/WBGene00003798", "WBGene00003798")</f>
        <v>WBGene00003798</v>
      </c>
      <c r="B898" s="9" t="str">
        <f>HYPERLINK("http://www.ncbi.nlm.nih.gov/gene/172348", "172348")</f>
        <v>172348</v>
      </c>
      <c r="C898" s="9" t="str">
        <f>HYPERLINK("http://www.ncbi.nlm.nih.gov/gene/23225", "23225")</f>
        <v>23225</v>
      </c>
      <c r="D898" t="str">
        <f>"npp-12"</f>
        <v>npp-12</v>
      </c>
      <c r="E898" t="s">
        <v>375</v>
      </c>
      <c r="F898" t="s">
        <v>11</v>
      </c>
      <c r="G898" t="s">
        <v>785</v>
      </c>
      <c r="H898" s="12">
        <v>-1.70938995517723</v>
      </c>
      <c r="I898" s="20">
        <v>-2.8617661642536301</v>
      </c>
      <c r="J898" s="28">
        <v>4.2128760154314998E-3</v>
      </c>
      <c r="K898" s="29">
        <v>0.108641420996161</v>
      </c>
    </row>
    <row r="899" spans="1:11" x14ac:dyDescent="0.35">
      <c r="A899" s="9" t="str">
        <f>HYPERLINK("http://www.ensembl.org/id/WBGene00017336", "WBGene00017336")</f>
        <v>WBGene00017336</v>
      </c>
      <c r="B899" s="9" t="str">
        <f>HYPERLINK("http://www.ncbi.nlm.nih.gov/gene/184295", "184295")</f>
        <v>184295</v>
      </c>
      <c r="C899" s="9"/>
      <c r="D899" t="str">
        <f>"ugt-41"</f>
        <v>ugt-41</v>
      </c>
      <c r="E899" t="s">
        <v>103</v>
      </c>
      <c r="F899" t="s">
        <v>11</v>
      </c>
      <c r="G899" t="s">
        <v>104</v>
      </c>
      <c r="H899" s="12">
        <v>2.5734806077757799</v>
      </c>
      <c r="I899" s="20">
        <v>2.8605602410622302</v>
      </c>
      <c r="J899" s="28">
        <v>4.2289320109633504E-3</v>
      </c>
      <c r="K899" s="29">
        <v>0.108835046842439</v>
      </c>
    </row>
    <row r="900" spans="1:11" x14ac:dyDescent="0.35">
      <c r="A900" s="9" t="str">
        <f>HYPERLINK("http://www.ensembl.org/id/WBGene00021852", "WBGene00021852")</f>
        <v>WBGene00021852</v>
      </c>
      <c r="B900" s="9" t="str">
        <f>HYPERLINK("http://www.ncbi.nlm.nih.gov/gene/175369", "175369")</f>
        <v>175369</v>
      </c>
      <c r="C900" s="9"/>
      <c r="D900" t="str">
        <f>"Y54F10AM.8"</f>
        <v>Y54F10AM.8</v>
      </c>
      <c r="E900" t="s">
        <v>786</v>
      </c>
      <c r="F900" t="s">
        <v>11</v>
      </c>
      <c r="G900" t="s">
        <v>787</v>
      </c>
      <c r="H900" s="12">
        <v>-1.8565343746081999</v>
      </c>
      <c r="I900" s="20">
        <v>-2.86049479962869</v>
      </c>
      <c r="J900" s="28">
        <v>4.2298049019523203E-3</v>
      </c>
      <c r="K900" s="29">
        <v>0.108835046842439</v>
      </c>
    </row>
    <row r="901" spans="1:11" x14ac:dyDescent="0.35">
      <c r="A901" s="9" t="str">
        <f>HYPERLINK("http://www.ensembl.org/id/WBGene00016059", "WBGene00016059")</f>
        <v>WBGene00016059</v>
      </c>
      <c r="B901" s="9" t="str">
        <f>HYPERLINK("http://www.ncbi.nlm.nih.gov/gene/178936", "178936")</f>
        <v>178936</v>
      </c>
      <c r="C901" s="9" t="str">
        <f>HYPERLINK("http://www.ncbi.nlm.nih.gov/gene/5156", "5156")</f>
        <v>5156</v>
      </c>
      <c r="D901" t="str">
        <f>"hir-1"</f>
        <v>hir-1</v>
      </c>
      <c r="E901" t="s">
        <v>788</v>
      </c>
      <c r="F901" t="s">
        <v>11</v>
      </c>
      <c r="G901" t="s">
        <v>789</v>
      </c>
      <c r="H901" s="12">
        <v>1.7444841236242199</v>
      </c>
      <c r="I901" s="20">
        <v>2.8600116951347201</v>
      </c>
      <c r="J901" s="28">
        <v>4.2362538522400604E-3</v>
      </c>
      <c r="K901" s="29">
        <v>0.108879734716195</v>
      </c>
    </row>
    <row r="902" spans="1:11" x14ac:dyDescent="0.35">
      <c r="A902" s="9" t="str">
        <f>HYPERLINK("http://www.ensembl.org/id/WBGene00008874", "WBGene00008874")</f>
        <v>WBGene00008874</v>
      </c>
      <c r="B902" s="9" t="str">
        <f>HYPERLINK("http://www.ncbi.nlm.nih.gov/gene/184555", "184555")</f>
        <v>184555</v>
      </c>
      <c r="C902" s="9"/>
      <c r="D902" t="str">
        <f>"F15H10.7"</f>
        <v>F15H10.7</v>
      </c>
      <c r="F902" t="s">
        <v>11</v>
      </c>
      <c r="G902" t="s">
        <v>790</v>
      </c>
      <c r="H902" s="12">
        <v>4.5837814700429096</v>
      </c>
      <c r="I902" s="20">
        <v>2.8575729629372701</v>
      </c>
      <c r="J902" s="28">
        <v>4.26894476776391E-3</v>
      </c>
      <c r="K902" s="29">
        <v>0.10959804200439199</v>
      </c>
    </row>
    <row r="903" spans="1:11" x14ac:dyDescent="0.35">
      <c r="A903" s="9" t="str">
        <f>HYPERLINK("http://www.ensembl.org/id/WBGene00019606", "WBGene00019606")</f>
        <v>WBGene00019606</v>
      </c>
      <c r="B903" s="9" t="str">
        <f>HYPERLINK("http://www.ncbi.nlm.nih.gov/gene/174056", "174056")</f>
        <v>174056</v>
      </c>
      <c r="C903" s="9"/>
      <c r="D903" t="str">
        <f>"clec-88"</f>
        <v>clec-88</v>
      </c>
      <c r="E903" t="s">
        <v>793</v>
      </c>
      <c r="F903" t="s">
        <v>11</v>
      </c>
      <c r="G903" t="s">
        <v>47</v>
      </c>
      <c r="H903" s="12">
        <v>-1.87949233235124</v>
      </c>
      <c r="I903" s="20">
        <v>-2.8559844680049999</v>
      </c>
      <c r="J903" s="28">
        <v>4.2903612184235903E-3</v>
      </c>
      <c r="K903" s="29">
        <v>0.109641298898315</v>
      </c>
    </row>
    <row r="904" spans="1:11" x14ac:dyDescent="0.35">
      <c r="A904" s="9" t="str">
        <f>HYPERLINK("http://www.ensembl.org/id/WBGene00020696", "WBGene00020696")</f>
        <v>WBGene00020696</v>
      </c>
      <c r="B904" s="9" t="str">
        <f>HYPERLINK("http://www.ncbi.nlm.nih.gov/gene/178777", "178777")</f>
        <v>178777</v>
      </c>
      <c r="C904" s="9" t="str">
        <f>HYPERLINK("http://www.ncbi.nlm.nih.gov/gene/5837", "5837")</f>
        <v>5837</v>
      </c>
      <c r="D904" t="str">
        <f>"pygl-1"</f>
        <v>pygl-1</v>
      </c>
      <c r="E904" t="s">
        <v>791</v>
      </c>
      <c r="F904" t="s">
        <v>11</v>
      </c>
      <c r="G904" t="s">
        <v>792</v>
      </c>
      <c r="H904" s="12">
        <v>-1.66303769446396</v>
      </c>
      <c r="I904" s="20">
        <v>-2.8561479267876999</v>
      </c>
      <c r="J904" s="28">
        <v>4.2881529416777097E-3</v>
      </c>
      <c r="K904" s="29">
        <v>0.109641298898315</v>
      </c>
    </row>
    <row r="905" spans="1:11" x14ac:dyDescent="0.35">
      <c r="A905" s="9" t="str">
        <f>HYPERLINK("http://www.ensembl.org/id/WBGene00017681", "WBGene00017681")</f>
        <v>WBGene00017681</v>
      </c>
      <c r="B905" s="9" t="str">
        <f>HYPERLINK("http://www.ncbi.nlm.nih.gov/gene/184790", "184790")</f>
        <v>184790</v>
      </c>
      <c r="C905" s="9"/>
      <c r="D905" t="str">
        <f>"slc-17.5"</f>
        <v>slc-17.5</v>
      </c>
      <c r="E905" t="s">
        <v>584</v>
      </c>
      <c r="F905" t="s">
        <v>11</v>
      </c>
      <c r="G905" t="s">
        <v>230</v>
      </c>
      <c r="H905" s="12">
        <v>1.9905036503329301</v>
      </c>
      <c r="I905" s="20">
        <v>2.8562974183687699</v>
      </c>
      <c r="J905" s="28">
        <v>4.2861342598181197E-3</v>
      </c>
      <c r="K905" s="29">
        <v>0.109641298898315</v>
      </c>
    </row>
    <row r="906" spans="1:11" x14ac:dyDescent="0.35">
      <c r="A906" s="9" t="str">
        <f>HYPERLINK("http://www.ensembl.org/id/WBGene00013292", "WBGene00013292")</f>
        <v>WBGene00013292</v>
      </c>
      <c r="B906" s="9" t="str">
        <f>HYPERLINK("http://www.ncbi.nlm.nih.gov/gene/190363", "190363")</f>
        <v>190363</v>
      </c>
      <c r="C906" s="9"/>
      <c r="D906" t="str">
        <f>"Y57G11A.4"</f>
        <v>Y57G11A.4</v>
      </c>
      <c r="F906" t="s">
        <v>11</v>
      </c>
      <c r="H906" s="12">
        <v>2.2164479051129402</v>
      </c>
      <c r="I906" s="20">
        <v>2.8570133051743598</v>
      </c>
      <c r="J906" s="28">
        <v>4.2764791148170696E-3</v>
      </c>
      <c r="K906" s="29">
        <v>0.109641298898315</v>
      </c>
    </row>
    <row r="907" spans="1:11" x14ac:dyDescent="0.35">
      <c r="A907" s="9" t="str">
        <f>HYPERLINK("http://www.ensembl.org/id/WBGene00021977", "WBGene00021977")</f>
        <v>WBGene00021977</v>
      </c>
      <c r="B907" s="9" t="str">
        <f>HYPERLINK("http://www.ncbi.nlm.nih.gov/gene/178896", "178896")</f>
        <v>178896</v>
      </c>
      <c r="C907" s="9"/>
      <c r="D907" t="str">
        <f>"Y58A7A.3"</f>
        <v>Y58A7A.3</v>
      </c>
      <c r="F907" t="s">
        <v>11</v>
      </c>
      <c r="H907" s="12">
        <v>-1.77146327668954</v>
      </c>
      <c r="I907" s="20">
        <v>-2.8556890096904302</v>
      </c>
      <c r="J907" s="28">
        <v>4.2943553840117197E-3</v>
      </c>
      <c r="K907" s="29">
        <v>0.109641298898315</v>
      </c>
    </row>
    <row r="908" spans="1:11" x14ac:dyDescent="0.35">
      <c r="A908" s="9" t="str">
        <f>HYPERLINK("http://www.ensembl.org/id/WBGene00044696", "WBGene00044696")</f>
        <v>WBGene00044696</v>
      </c>
      <c r="B908" s="9" t="str">
        <f>HYPERLINK("http://www.ncbi.nlm.nih.gov/gene/4363098", "4363098")</f>
        <v>4363098</v>
      </c>
      <c r="C908" s="9"/>
      <c r="D908" t="str">
        <f>"F52E1.14"</f>
        <v>F52E1.14</v>
      </c>
      <c r="F908" t="s">
        <v>11</v>
      </c>
      <c r="H908" s="12">
        <v>-1.7512199877825601</v>
      </c>
      <c r="I908" s="20">
        <v>-2.8511877711916598</v>
      </c>
      <c r="J908" s="28">
        <v>4.3556239678269803E-3</v>
      </c>
      <c r="K908" s="29">
        <v>0.111075288278682</v>
      </c>
    </row>
    <row r="909" spans="1:11" x14ac:dyDescent="0.35">
      <c r="A909" s="9" t="str">
        <f>HYPERLINK("http://www.ensembl.org/id/WBGene00016782", "WBGene00016782")</f>
        <v>WBGene00016782</v>
      </c>
      <c r="B909" s="9" t="str">
        <f>HYPERLINK("http://www.ncbi.nlm.nih.gov/gene/178809", "178809")</f>
        <v>178809</v>
      </c>
      <c r="C909" s="9"/>
      <c r="D909" t="str">
        <f>"phat-3"</f>
        <v>phat-3</v>
      </c>
      <c r="E909" t="s">
        <v>424</v>
      </c>
      <c r="F909" t="s">
        <v>11</v>
      </c>
      <c r="G909" t="s">
        <v>425</v>
      </c>
      <c r="H909" s="12">
        <v>3.3028780345319499</v>
      </c>
      <c r="I909" s="20">
        <v>2.8505081978991802</v>
      </c>
      <c r="J909" s="28">
        <v>4.3649425152359998E-3</v>
      </c>
      <c r="K909" s="29">
        <v>0.111075288278682</v>
      </c>
    </row>
    <row r="910" spans="1:11" x14ac:dyDescent="0.35">
      <c r="A910" s="9" t="str">
        <f>HYPERLINK("http://www.ensembl.org/id/WBGene00013855", "WBGene00013855")</f>
        <v>WBGene00013855</v>
      </c>
      <c r="B910" s="9" t="str">
        <f>HYPERLINK("http://www.ncbi.nlm.nih.gov/gene/179729", "179729")</f>
        <v>179729</v>
      </c>
      <c r="C910" s="9" t="str">
        <f>HYPERLINK("http://www.ncbi.nlm.nih.gov/gene/8029", "8029")</f>
        <v>8029</v>
      </c>
      <c r="D910" t="str">
        <f>"ZC116.3"</f>
        <v>ZC116.3</v>
      </c>
      <c r="E910" t="s">
        <v>794</v>
      </c>
      <c r="F910" t="s">
        <v>11</v>
      </c>
      <c r="G910" t="s">
        <v>795</v>
      </c>
      <c r="H910" s="12">
        <v>-2.0080347878340601</v>
      </c>
      <c r="I910" s="20">
        <v>-2.85080417324061</v>
      </c>
      <c r="J910" s="28">
        <v>4.3608817782772704E-3</v>
      </c>
      <c r="K910" s="29">
        <v>0.111075288278682</v>
      </c>
    </row>
    <row r="911" spans="1:11" x14ac:dyDescent="0.35">
      <c r="A911" s="9" t="str">
        <f>HYPERLINK("http://www.ensembl.org/id/WBGene00007278", "WBGene00007278")</f>
        <v>WBGene00007278</v>
      </c>
      <c r="B911" s="9" t="str">
        <f>HYPERLINK("http://www.ncbi.nlm.nih.gov/gene/182160", "182160")</f>
        <v>182160</v>
      </c>
      <c r="C911" s="9"/>
      <c r="D911" t="str">
        <f>"lab-1"</f>
        <v>lab-1</v>
      </c>
      <c r="E911" t="s">
        <v>796</v>
      </c>
      <c r="F911" t="s">
        <v>11</v>
      </c>
      <c r="G911" t="s">
        <v>797</v>
      </c>
      <c r="H911" s="12">
        <v>-2.1869551778149598</v>
      </c>
      <c r="I911" s="20">
        <v>-2.84938694641346</v>
      </c>
      <c r="J911" s="28">
        <v>4.3803570237444999E-3</v>
      </c>
      <c r="K911" s="29">
        <v>0.111344916821387</v>
      </c>
    </row>
    <row r="912" spans="1:11" x14ac:dyDescent="0.35">
      <c r="A912" s="9" t="str">
        <f>HYPERLINK("http://www.ensembl.org/id/WBGene00020087", "WBGene00020087")</f>
        <v>WBGene00020087</v>
      </c>
      <c r="B912" s="9"/>
      <c r="C912" s="9"/>
      <c r="D912" t="str">
        <f>"R119.1"</f>
        <v>R119.1</v>
      </c>
      <c r="F912" t="s">
        <v>80</v>
      </c>
      <c r="H912" s="12">
        <v>-2.5776008805237902</v>
      </c>
      <c r="I912" s="20">
        <v>-2.8490333758250901</v>
      </c>
      <c r="J912" s="28">
        <v>4.3852279911483702E-3</v>
      </c>
      <c r="K912" s="29">
        <v>0.111346239520301</v>
      </c>
    </row>
    <row r="913" spans="1:11" x14ac:dyDescent="0.35">
      <c r="A913" s="9" t="str">
        <f>HYPERLINK("http://www.ensembl.org/id/WBGene00000478", "WBGene00000478")</f>
        <v>WBGene00000478</v>
      </c>
      <c r="B913" s="9" t="str">
        <f>HYPERLINK("http://www.ncbi.nlm.nih.gov/gene/178768", "178768")</f>
        <v>178768</v>
      </c>
      <c r="C913" s="9" t="str">
        <f>HYPERLINK("http://www.ncbi.nlm.nih.gov/gene/8325", "8325")</f>
        <v>8325</v>
      </c>
      <c r="D913" t="str">
        <f>"cfz-2"</f>
        <v>cfz-2</v>
      </c>
      <c r="E913" t="s">
        <v>798</v>
      </c>
      <c r="F913" t="s">
        <v>11</v>
      </c>
      <c r="G913" t="s">
        <v>799</v>
      </c>
      <c r="H913" s="12">
        <v>1.9095653770876899</v>
      </c>
      <c r="I913" s="20">
        <v>2.8460541319348098</v>
      </c>
      <c r="J913" s="28">
        <v>4.4264669486644903E-3</v>
      </c>
      <c r="K913" s="29">
        <v>0.11215987555552</v>
      </c>
    </row>
    <row r="914" spans="1:11" x14ac:dyDescent="0.35">
      <c r="A914" s="9" t="str">
        <f>HYPERLINK("http://www.ensembl.org/id/WBGene00021661", "WBGene00021661")</f>
        <v>WBGene00021661</v>
      </c>
      <c r="B914" s="9" t="str">
        <f>HYPERLINK("http://www.ncbi.nlm.nih.gov/gene/171624", "171624")</f>
        <v>171624</v>
      </c>
      <c r="C914" s="9" t="str">
        <f>HYPERLINK("http://www.ncbi.nlm.nih.gov/gene/83746", "83746")</f>
        <v>83746</v>
      </c>
      <c r="D914" t="str">
        <f>"mbtr-1"</f>
        <v>mbtr-1</v>
      </c>
      <c r="E914" t="s">
        <v>800</v>
      </c>
      <c r="F914" t="s">
        <v>11</v>
      </c>
      <c r="G914" t="s">
        <v>801</v>
      </c>
      <c r="H914" s="12">
        <v>-1.9828280001228</v>
      </c>
      <c r="I914" s="20">
        <v>-2.84579832029599</v>
      </c>
      <c r="J914" s="28">
        <v>4.4300242493123601E-3</v>
      </c>
      <c r="K914" s="29">
        <v>0.11215987555552</v>
      </c>
    </row>
    <row r="915" spans="1:11" x14ac:dyDescent="0.35">
      <c r="A915" s="9" t="str">
        <f>HYPERLINK("http://www.ensembl.org/id/WBGene00005396", "WBGene00005396")</f>
        <v>WBGene00005396</v>
      </c>
      <c r="B915" s="9" t="str">
        <f>HYPERLINK("http://www.ncbi.nlm.nih.gov/gene/191253", "191253")</f>
        <v>191253</v>
      </c>
      <c r="C915" s="9"/>
      <c r="D915" t="str">
        <f>"srh-181"</f>
        <v>srh-181</v>
      </c>
      <c r="E915" t="s">
        <v>153</v>
      </c>
      <c r="F915" t="s">
        <v>11</v>
      </c>
      <c r="G915" t="s">
        <v>25</v>
      </c>
      <c r="H915" s="12">
        <v>-4.8812077717731697</v>
      </c>
      <c r="I915" s="20">
        <v>-2.8456682184005899</v>
      </c>
      <c r="J915" s="28">
        <v>4.4318344318440899E-3</v>
      </c>
      <c r="K915" s="29">
        <v>0.11215987555552</v>
      </c>
    </row>
    <row r="916" spans="1:11" x14ac:dyDescent="0.35">
      <c r="A916" s="9" t="str">
        <f>HYPERLINK("http://www.ensembl.org/id/WBGene00010999", "WBGene00010999")</f>
        <v>WBGene00010999</v>
      </c>
      <c r="B916" s="9" t="str">
        <f>HYPERLINK("http://www.ncbi.nlm.nih.gov/gene/187546", "187546")</f>
        <v>187546</v>
      </c>
      <c r="C916" s="9"/>
      <c r="D916" t="str">
        <f>"R03G8.4"</f>
        <v>R03G8.4</v>
      </c>
      <c r="E916" t="s">
        <v>594</v>
      </c>
      <c r="F916" t="s">
        <v>11</v>
      </c>
      <c r="G916" t="s">
        <v>802</v>
      </c>
      <c r="H916" s="12">
        <v>3.5141377771122602</v>
      </c>
      <c r="I916" s="20">
        <v>2.84283642147376</v>
      </c>
      <c r="J916" s="28">
        <v>4.4714013010601098E-3</v>
      </c>
      <c r="K916" s="29">
        <v>0.1125474088084</v>
      </c>
    </row>
    <row r="917" spans="1:11" x14ac:dyDescent="0.35">
      <c r="A917" s="9" t="str">
        <f>HYPERLINK("http://www.ensembl.org/id/WBGene00006311", "WBGene00006311")</f>
        <v>WBGene00006311</v>
      </c>
      <c r="B917" s="9" t="str">
        <f>HYPERLINK("http://www.ncbi.nlm.nih.gov/gene/179802", "179802")</f>
        <v>179802</v>
      </c>
      <c r="C917" s="9"/>
      <c r="D917" t="str">
        <f>"sun-1"</f>
        <v>sun-1</v>
      </c>
      <c r="E917" t="s">
        <v>804</v>
      </c>
      <c r="F917" t="s">
        <v>11</v>
      </c>
      <c r="G917" t="s">
        <v>805</v>
      </c>
      <c r="H917" s="12">
        <v>-1.7919011062936201</v>
      </c>
      <c r="I917" s="20">
        <v>-2.8428292555863202</v>
      </c>
      <c r="J917" s="28">
        <v>4.4715018300922399E-3</v>
      </c>
      <c r="K917" s="29">
        <v>0.1125474088084</v>
      </c>
    </row>
    <row r="918" spans="1:11" x14ac:dyDescent="0.35">
      <c r="A918" s="9" t="str">
        <f>HYPERLINK("http://www.ensembl.org/id/WBGene00019232", "WBGene00019232")</f>
        <v>WBGene00019232</v>
      </c>
      <c r="B918" s="9" t="str">
        <f>HYPERLINK("http://www.ncbi.nlm.nih.gov/gene/186766", "186766")</f>
        <v>186766</v>
      </c>
      <c r="C918" s="9"/>
      <c r="D918" t="str">
        <f>"ugt-13"</f>
        <v>ugt-13</v>
      </c>
      <c r="E918" t="s">
        <v>103</v>
      </c>
      <c r="F918" t="s">
        <v>11</v>
      </c>
      <c r="G918" t="s">
        <v>104</v>
      </c>
      <c r="H918" s="12">
        <v>2.90410689453743</v>
      </c>
      <c r="I918" s="20">
        <v>2.84290514977525</v>
      </c>
      <c r="J918" s="28">
        <v>4.4704372272598401E-3</v>
      </c>
      <c r="K918" s="29">
        <v>0.1125474088084</v>
      </c>
    </row>
    <row r="919" spans="1:11" x14ac:dyDescent="0.35">
      <c r="A919" s="9" t="str">
        <f>HYPERLINK("http://www.ensembl.org/id/WBGene00013899", "WBGene00013899")</f>
        <v>WBGene00013899</v>
      </c>
      <c r="B919" s="9" t="str">
        <f>HYPERLINK("http://www.ncbi.nlm.nih.gov/gene/191170", "191170")</f>
        <v>191170</v>
      </c>
      <c r="C919" s="9"/>
      <c r="D919" t="str">
        <f>"ZC443.4"</f>
        <v>ZC443.4</v>
      </c>
      <c r="F919" t="s">
        <v>11</v>
      </c>
      <c r="G919" t="s">
        <v>803</v>
      </c>
      <c r="H919" s="12">
        <v>1.7105120334217201</v>
      </c>
      <c r="I919" s="20">
        <v>2.8437486727724299</v>
      </c>
      <c r="J919" s="28">
        <v>4.4586201931303996E-3</v>
      </c>
      <c r="K919" s="29">
        <v>0.1125474088084</v>
      </c>
    </row>
    <row r="920" spans="1:11" x14ac:dyDescent="0.35">
      <c r="A920" s="9" t="str">
        <f>HYPERLINK("http://www.ensembl.org/id/WBGene00013902", "WBGene00013902")</f>
        <v>WBGene00013902</v>
      </c>
      <c r="B920" s="9" t="str">
        <f>HYPERLINK("http://www.ncbi.nlm.nih.gov/gene/179751", "179751")</f>
        <v>179751</v>
      </c>
      <c r="C920" s="9"/>
      <c r="D920" t="str">
        <f>"ZC455.1"</f>
        <v>ZC455.1</v>
      </c>
      <c r="F920" t="s">
        <v>11</v>
      </c>
      <c r="H920" s="12">
        <v>1.97034843378126</v>
      </c>
      <c r="I920" s="20">
        <v>2.8440267146837299</v>
      </c>
      <c r="J920" s="28">
        <v>4.4547312714146303E-3</v>
      </c>
      <c r="K920" s="29">
        <v>0.1125474088084</v>
      </c>
    </row>
    <row r="921" spans="1:11" x14ac:dyDescent="0.35">
      <c r="A921" s="9" t="str">
        <f>HYPERLINK("http://www.ensembl.org/id/WBGene00015747", "WBGene00015747")</f>
        <v>WBGene00015747</v>
      </c>
      <c r="B921" s="9" t="str">
        <f>HYPERLINK("http://www.ncbi.nlm.nih.gov/gene/176208", "176208")</f>
        <v>176208</v>
      </c>
      <c r="C921" s="9"/>
      <c r="D921" t="str">
        <f>"C13G5.2"</f>
        <v>C13G5.2</v>
      </c>
      <c r="F921" t="s">
        <v>11</v>
      </c>
      <c r="H921" s="12">
        <v>-1.8741412925905601</v>
      </c>
      <c r="I921" s="20">
        <v>-2.8399683424643301</v>
      </c>
      <c r="J921" s="28">
        <v>4.5118011107215597E-3</v>
      </c>
      <c r="K921" s="29">
        <v>0.11331486572210001</v>
      </c>
    </row>
    <row r="922" spans="1:11" x14ac:dyDescent="0.35">
      <c r="A922" s="9" t="str">
        <f>HYPERLINK("http://www.ensembl.org/id/WBGene00009383", "WBGene00009383")</f>
        <v>WBGene00009383</v>
      </c>
      <c r="B922" s="9" t="str">
        <f>HYPERLINK("http://www.ncbi.nlm.nih.gov/gene/185258", "185258")</f>
        <v>185258</v>
      </c>
      <c r="C922" s="9"/>
      <c r="D922" t="str">
        <f>"F35B12.3"</f>
        <v>F35B12.3</v>
      </c>
      <c r="F922" t="s">
        <v>11</v>
      </c>
      <c r="H922" s="12">
        <v>1.6869972217229201</v>
      </c>
      <c r="I922" s="20">
        <v>2.8402818676161301</v>
      </c>
      <c r="J922" s="28">
        <v>4.5073687472534096E-3</v>
      </c>
      <c r="K922" s="29">
        <v>0.11331486572210001</v>
      </c>
    </row>
    <row r="923" spans="1:11" x14ac:dyDescent="0.35">
      <c r="A923" s="9" t="str">
        <f>HYPERLINK("http://www.ensembl.org/id/WBGene00077770", "WBGene00077770")</f>
        <v>WBGene00077770</v>
      </c>
      <c r="B923" s="9" t="str">
        <f>HYPERLINK("http://www.ncbi.nlm.nih.gov/gene/7040162", "7040162")</f>
        <v>7040162</v>
      </c>
      <c r="C923" s="9"/>
      <c r="D923" t="str">
        <f>"M04D5.3"</f>
        <v>M04D5.3</v>
      </c>
      <c r="F923" t="s">
        <v>11</v>
      </c>
      <c r="G923" t="s">
        <v>25</v>
      </c>
      <c r="H923" s="12">
        <v>-3.1698762168725798</v>
      </c>
      <c r="I923" s="20">
        <v>-2.8393804961813802</v>
      </c>
      <c r="J923" s="28">
        <v>4.5201222471490596E-3</v>
      </c>
      <c r="K923" s="29">
        <v>0.113400591360072</v>
      </c>
    </row>
    <row r="924" spans="1:11" x14ac:dyDescent="0.35">
      <c r="A924" s="9" t="str">
        <f>HYPERLINK("http://www.ensembl.org/id/WBGene00010609", "WBGene00010609")</f>
        <v>WBGene00010609</v>
      </c>
      <c r="B924" s="9" t="str">
        <f>HYPERLINK("http://www.ncbi.nlm.nih.gov/gene/172794", "172794")</f>
        <v>172794</v>
      </c>
      <c r="C924" s="9" t="str">
        <f>HYPERLINK("http://www.ncbi.nlm.nih.gov/gene/1854", "1854")</f>
        <v>1854</v>
      </c>
      <c r="D924" t="str">
        <f>"dut-1"</f>
        <v>dut-1</v>
      </c>
      <c r="E924" t="s">
        <v>806</v>
      </c>
      <c r="F924" t="s">
        <v>11</v>
      </c>
      <c r="G924" t="s">
        <v>807</v>
      </c>
      <c r="H924" s="12">
        <v>-1.74692073797914</v>
      </c>
      <c r="I924" s="20">
        <v>-2.8388206370701901</v>
      </c>
      <c r="J924" s="28">
        <v>4.5280601402758998E-3</v>
      </c>
      <c r="K924" s="29">
        <v>0.113476526682446</v>
      </c>
    </row>
    <row r="925" spans="1:11" x14ac:dyDescent="0.35">
      <c r="A925" s="9" t="str">
        <f>HYPERLINK("http://www.ensembl.org/id/WBGene00017671", "WBGene00017671")</f>
        <v>WBGene00017671</v>
      </c>
      <c r="B925" s="9" t="str">
        <f>HYPERLINK("http://www.ncbi.nlm.nih.gov/gene/172108", "172108")</f>
        <v>172108</v>
      </c>
      <c r="C925" s="9"/>
      <c r="D925" t="str">
        <f>"pgal-1"</f>
        <v>pgal-1</v>
      </c>
      <c r="E925" t="s">
        <v>810</v>
      </c>
      <c r="F925" t="s">
        <v>11</v>
      </c>
      <c r="G925" t="s">
        <v>811</v>
      </c>
      <c r="H925" s="12">
        <v>1.6606375467407499</v>
      </c>
      <c r="I925" s="20">
        <v>2.8382774630553</v>
      </c>
      <c r="J925" s="28">
        <v>4.5357735328802901E-3</v>
      </c>
      <c r="K925" s="29">
        <v>0.113525975714138</v>
      </c>
    </row>
    <row r="926" spans="1:11" x14ac:dyDescent="0.35">
      <c r="A926" s="9" t="str">
        <f>HYPERLINK("http://www.ensembl.org/id/WBGene00020947", "WBGene00020947")</f>
        <v>WBGene00020947</v>
      </c>
      <c r="B926" s="9" t="str">
        <f>HYPERLINK("http://www.ncbi.nlm.nih.gov/gene/189124", "189124")</f>
        <v>189124</v>
      </c>
      <c r="C926" s="9" t="str">
        <f>HYPERLINK("http://www.ncbi.nlm.nih.gov/gene/340485", "340485")</f>
        <v>340485</v>
      </c>
      <c r="D926" t="str">
        <f>"W02F12.2"</f>
        <v>W02F12.2</v>
      </c>
      <c r="E926" t="s">
        <v>808</v>
      </c>
      <c r="F926" t="s">
        <v>11</v>
      </c>
      <c r="G926" t="s">
        <v>809</v>
      </c>
      <c r="H926" s="12">
        <v>2.1477883134837898</v>
      </c>
      <c r="I926" s="20">
        <v>2.8379900456264302</v>
      </c>
      <c r="J926" s="28">
        <v>4.5398598441904097E-3</v>
      </c>
      <c r="K926" s="29">
        <v>0.113525975714138</v>
      </c>
    </row>
    <row r="927" spans="1:11" x14ac:dyDescent="0.35">
      <c r="A927" s="9" t="str">
        <f>HYPERLINK("http://www.ensembl.org/id/WBGene00044029", "WBGene00044029")</f>
        <v>WBGene00044029</v>
      </c>
      <c r="B927" s="9" t="str">
        <f>HYPERLINK("http://www.ncbi.nlm.nih.gov/gene/3565966", "3565966")</f>
        <v>3565966</v>
      </c>
      <c r="C927" s="9"/>
      <c r="D927" t="str">
        <f>"C05D12.7"</f>
        <v>C05D12.7</v>
      </c>
      <c r="F927" t="s">
        <v>11</v>
      </c>
      <c r="H927" s="12">
        <v>2.082507968761</v>
      </c>
      <c r="I927" s="20">
        <v>2.8353886076548802</v>
      </c>
      <c r="J927" s="28">
        <v>4.5769973390943899E-3</v>
      </c>
      <c r="K927" s="29">
        <v>0.11385197270396499</v>
      </c>
    </row>
    <row r="928" spans="1:11" x14ac:dyDescent="0.35">
      <c r="A928" s="9" t="str">
        <f>HYPERLINK("http://www.ensembl.org/id/WBGene00016088", "WBGene00016088")</f>
        <v>WBGene00016088</v>
      </c>
      <c r="B928" s="9" t="str">
        <f>HYPERLINK("http://www.ncbi.nlm.nih.gov/gene/180932", "180932")</f>
        <v>180932</v>
      </c>
      <c r="C928" s="9"/>
      <c r="D928" t="str">
        <f>"clec-266"</f>
        <v>clec-266</v>
      </c>
      <c r="E928" t="s">
        <v>46</v>
      </c>
      <c r="F928" t="s">
        <v>11</v>
      </c>
      <c r="G928" t="s">
        <v>813</v>
      </c>
      <c r="H928" s="12">
        <v>1.7980790579270201</v>
      </c>
      <c r="I928" s="20">
        <v>2.8356650520073798</v>
      </c>
      <c r="J928" s="28">
        <v>4.5730378618310001E-3</v>
      </c>
      <c r="K928" s="29">
        <v>0.11385197270396499</v>
      </c>
    </row>
    <row r="929" spans="1:11" x14ac:dyDescent="0.35">
      <c r="A929" s="9" t="str">
        <f>HYPERLINK("http://www.ensembl.org/id/WBGene00018282", "WBGene00018282")</f>
        <v>WBGene00018282</v>
      </c>
      <c r="B929" s="9" t="str">
        <f>HYPERLINK("http://www.ncbi.nlm.nih.gov/gene/185612", "185612")</f>
        <v>185612</v>
      </c>
      <c r="C929" s="9"/>
      <c r="D929" t="str">
        <f>"F41D9.2"</f>
        <v>F41D9.2</v>
      </c>
      <c r="F929" t="s">
        <v>11</v>
      </c>
      <c r="H929" s="12">
        <v>2.2304231156269201</v>
      </c>
      <c r="I929" s="20">
        <v>2.8355158200294799</v>
      </c>
      <c r="J929" s="28">
        <v>4.5751749069457004E-3</v>
      </c>
      <c r="K929" s="29">
        <v>0.11385197270396499</v>
      </c>
    </row>
    <row r="930" spans="1:11" x14ac:dyDescent="0.35">
      <c r="A930" s="9" t="str">
        <f>HYPERLINK("http://www.ensembl.org/id/WBGene00021941", "WBGene00021941")</f>
        <v>WBGene00021941</v>
      </c>
      <c r="B930" s="9" t="str">
        <f>HYPERLINK("http://www.ncbi.nlm.nih.gov/gene/176910", "176910")</f>
        <v>176910</v>
      </c>
      <c r="C930" s="9"/>
      <c r="D930" t="str">
        <f>"lgc-33"</f>
        <v>lgc-33</v>
      </c>
      <c r="E930" t="s">
        <v>505</v>
      </c>
      <c r="F930" t="s">
        <v>11</v>
      </c>
      <c r="G930" t="s">
        <v>812</v>
      </c>
      <c r="H930" s="12">
        <v>2.0776529888227002</v>
      </c>
      <c r="I930" s="20">
        <v>2.8353512097689202</v>
      </c>
      <c r="J930" s="28">
        <v>4.5775332226254397E-3</v>
      </c>
      <c r="K930" s="29">
        <v>0.11385197270396499</v>
      </c>
    </row>
    <row r="931" spans="1:11" x14ac:dyDescent="0.35">
      <c r="A931" s="9" t="str">
        <f>HYPERLINK("http://www.ensembl.org/id/WBGene00011997", "WBGene00011997")</f>
        <v>WBGene00011997</v>
      </c>
      <c r="B931" s="9" t="str">
        <f>HYPERLINK("http://www.ncbi.nlm.nih.gov/gene/174729", "174729")</f>
        <v>174729</v>
      </c>
      <c r="C931" s="9"/>
      <c r="D931" t="str">
        <f>"nlp-51"</f>
        <v>nlp-51</v>
      </c>
      <c r="E931" t="s">
        <v>76</v>
      </c>
      <c r="F931" t="s">
        <v>11</v>
      </c>
      <c r="G931" t="s">
        <v>77</v>
      </c>
      <c r="H931" s="12">
        <v>2.2234541318129502</v>
      </c>
      <c r="I931" s="20">
        <v>2.83539464962832</v>
      </c>
      <c r="J931" s="28">
        <v>4.5769107674984303E-3</v>
      </c>
      <c r="K931" s="29">
        <v>0.11385197270396499</v>
      </c>
    </row>
    <row r="932" spans="1:11" x14ac:dyDescent="0.35">
      <c r="A932" s="9" t="str">
        <f>HYPERLINK("http://www.ensembl.org/id/WBGene00008656", "WBGene00008656")</f>
        <v>WBGene00008656</v>
      </c>
      <c r="B932" s="9" t="str">
        <f>HYPERLINK("http://www.ncbi.nlm.nih.gov/gene/184307", "184307")</f>
        <v>184307</v>
      </c>
      <c r="C932" s="9"/>
      <c r="D932" t="str">
        <f>"lron-5"</f>
        <v>lron-5</v>
      </c>
      <c r="E932" t="s">
        <v>814</v>
      </c>
      <c r="F932" t="s">
        <v>11</v>
      </c>
      <c r="G932" t="s">
        <v>417</v>
      </c>
      <c r="H932" s="12">
        <v>2.0602208253698602</v>
      </c>
      <c r="I932" s="20">
        <v>2.83369088145658</v>
      </c>
      <c r="J932" s="28">
        <v>4.6013818178856402E-3</v>
      </c>
      <c r="K932" s="29">
        <v>0.114322073423726</v>
      </c>
    </row>
    <row r="933" spans="1:11" x14ac:dyDescent="0.35">
      <c r="A933" s="9" t="str">
        <f>HYPERLINK("http://www.ensembl.org/id/WBGene00001394", "WBGene00001394")</f>
        <v>WBGene00001394</v>
      </c>
      <c r="B933" s="9" t="str">
        <f>HYPERLINK("http://www.ncbi.nlm.nih.gov/gene/178293", "178293")</f>
        <v>178293</v>
      </c>
      <c r="C933" s="9"/>
      <c r="D933" t="str">
        <f>"fat-2"</f>
        <v>fat-2</v>
      </c>
      <c r="E933" t="s">
        <v>815</v>
      </c>
      <c r="F933" t="s">
        <v>11</v>
      </c>
      <c r="G933" t="s">
        <v>816</v>
      </c>
      <c r="H933" s="12">
        <v>-1.6773291506641399</v>
      </c>
      <c r="I933" s="20">
        <v>-2.8328331580103301</v>
      </c>
      <c r="J933" s="28">
        <v>4.6137459999602004E-3</v>
      </c>
      <c r="K933" s="29">
        <v>0.11450613864133199</v>
      </c>
    </row>
    <row r="934" spans="1:11" x14ac:dyDescent="0.35">
      <c r="A934" s="9" t="str">
        <f>HYPERLINK("http://www.ensembl.org/id/WBGene00011486", "WBGene00011486")</f>
        <v>WBGene00011486</v>
      </c>
      <c r="B934" s="9" t="str">
        <f>HYPERLINK("http://www.ncbi.nlm.nih.gov/gene/180135", "180135")</f>
        <v>180135</v>
      </c>
      <c r="C934" s="9"/>
      <c r="D934" t="str">
        <f>"T05E12.3"</f>
        <v>T05E12.3</v>
      </c>
      <c r="F934" t="s">
        <v>11</v>
      </c>
      <c r="G934" t="s">
        <v>817</v>
      </c>
      <c r="H934" s="12">
        <v>-2.4953312578562601</v>
      </c>
      <c r="I934" s="20">
        <v>-2.8312730201312202</v>
      </c>
      <c r="J934" s="28">
        <v>4.6363127252741004E-3</v>
      </c>
      <c r="K934" s="29">
        <v>0.114942748744832</v>
      </c>
    </row>
    <row r="935" spans="1:11" x14ac:dyDescent="0.35">
      <c r="A935" s="9" t="str">
        <f>HYPERLINK("http://www.ensembl.org/id/WBGene00019254", "WBGene00019254")</f>
        <v>WBGene00019254</v>
      </c>
      <c r="B935" s="9" t="str">
        <f>HYPERLINK("http://www.ncbi.nlm.nih.gov/gene/186795", "186795")</f>
        <v>186795</v>
      </c>
      <c r="C935" s="9"/>
      <c r="D935" t="str">
        <f>"H31G24.3"</f>
        <v>H31G24.3</v>
      </c>
      <c r="F935" t="s">
        <v>11</v>
      </c>
      <c r="G935" t="s">
        <v>54</v>
      </c>
      <c r="H935" s="12">
        <v>-2.5597646404055499</v>
      </c>
      <c r="I935" s="20">
        <v>-2.8299386831850302</v>
      </c>
      <c r="J935" s="28">
        <v>4.6556925817718697E-3</v>
      </c>
      <c r="K935" s="29">
        <v>0.115299499243752</v>
      </c>
    </row>
    <row r="936" spans="1:11" x14ac:dyDescent="0.35">
      <c r="A936" s="9" t="str">
        <f>HYPERLINK("http://www.ensembl.org/id/WBGene00001552", "WBGene00001552")</f>
        <v>WBGene00001552</v>
      </c>
      <c r="B936" s="9" t="str">
        <f>HYPERLINK("http://www.ncbi.nlm.nih.gov/gene/179887", "179887")</f>
        <v>179887</v>
      </c>
      <c r="C936" s="9" t="str">
        <f>HYPERLINK("http://www.ncbi.nlm.nih.gov/gene/2983", "2983")</f>
        <v>2983</v>
      </c>
      <c r="D936" t="str">
        <f>"gcy-32"</f>
        <v>gcy-32</v>
      </c>
      <c r="E936" t="s">
        <v>818</v>
      </c>
      <c r="F936" t="s">
        <v>11</v>
      </c>
      <c r="G936" t="s">
        <v>819</v>
      </c>
      <c r="H936" s="12">
        <v>2.7577077968662</v>
      </c>
      <c r="I936" s="20">
        <v>2.8272006495357198</v>
      </c>
      <c r="J936" s="28">
        <v>4.6956895217631399E-3</v>
      </c>
      <c r="K936" s="29">
        <v>0.116165526862804</v>
      </c>
    </row>
    <row r="937" spans="1:11" x14ac:dyDescent="0.35">
      <c r="A937" s="9" t="str">
        <f>HYPERLINK("http://www.ensembl.org/id/WBGene00013845", "WBGene00013845")</f>
        <v>WBGene00013845</v>
      </c>
      <c r="B937" s="9" t="str">
        <f>HYPERLINK("http://www.ncbi.nlm.nih.gov/gene/175292", "175292")</f>
        <v>175292</v>
      </c>
      <c r="C937" s="9"/>
      <c r="D937" t="str">
        <f>"fbxa-37"</f>
        <v>fbxa-37</v>
      </c>
      <c r="E937" t="s">
        <v>467</v>
      </c>
      <c r="F937" t="s">
        <v>11</v>
      </c>
      <c r="G937" t="s">
        <v>54</v>
      </c>
      <c r="H937" s="12">
        <v>-1.7756915105753599</v>
      </c>
      <c r="I937" s="20">
        <v>-2.8241517107990401</v>
      </c>
      <c r="J937" s="28">
        <v>4.7405939883769796E-3</v>
      </c>
      <c r="K937" s="29">
        <v>0.117150978283891</v>
      </c>
    </row>
    <row r="938" spans="1:11" x14ac:dyDescent="0.35">
      <c r="A938" s="9" t="str">
        <f>HYPERLINK("http://www.ensembl.org/id/WBGene00016677", "WBGene00016677")</f>
        <v>WBGene00016677</v>
      </c>
      <c r="B938" s="9" t="str">
        <f>HYPERLINK("http://www.ncbi.nlm.nih.gov/gene/175684", "175684")</f>
        <v>175684</v>
      </c>
      <c r="C938" s="9"/>
      <c r="D938" t="str">
        <f>"C45G9.6"</f>
        <v>C45G9.6</v>
      </c>
      <c r="F938" t="s">
        <v>11</v>
      </c>
      <c r="H938" s="12">
        <v>1.73150668618429</v>
      </c>
      <c r="I938" s="20">
        <v>2.8237159943350401</v>
      </c>
      <c r="J938" s="28">
        <v>4.7470428216114403E-3</v>
      </c>
      <c r="K938" s="29">
        <v>0.117185012218113</v>
      </c>
    </row>
    <row r="939" spans="1:11" x14ac:dyDescent="0.35">
      <c r="A939" s="9" t="str">
        <f>HYPERLINK("http://www.ensembl.org/id/WBGene00003762", "WBGene00003762")</f>
        <v>WBGene00003762</v>
      </c>
      <c r="B939" s="9" t="str">
        <f>HYPERLINK("http://www.ncbi.nlm.nih.gov/gene/179594", "179594")</f>
        <v>179594</v>
      </c>
      <c r="C939" s="9"/>
      <c r="D939" t="str">
        <f>"nlp-24"</f>
        <v>nlp-24</v>
      </c>
      <c r="E939" t="s">
        <v>76</v>
      </c>
      <c r="F939" t="s">
        <v>11</v>
      </c>
      <c r="G939" t="s">
        <v>77</v>
      </c>
      <c r="H939" s="12">
        <v>1.9824834348873299</v>
      </c>
      <c r="I939" s="20">
        <v>2.8232022233946701</v>
      </c>
      <c r="J939" s="28">
        <v>4.75465710273449E-3</v>
      </c>
      <c r="K939" s="29">
        <v>0.117247712930398</v>
      </c>
    </row>
    <row r="940" spans="1:11" x14ac:dyDescent="0.35">
      <c r="A940" s="9" t="str">
        <f>HYPERLINK("http://www.ensembl.org/id/WBGene00013418", "WBGene00013418")</f>
        <v>WBGene00013418</v>
      </c>
      <c r="B940" s="9" t="str">
        <f>HYPERLINK("http://www.ncbi.nlm.nih.gov/gene/178456", "178456")</f>
        <v>178456</v>
      </c>
      <c r="C940" s="9"/>
      <c r="D940" t="str">
        <f>"Y65A5A.1"</f>
        <v>Y65A5A.1</v>
      </c>
      <c r="F940" t="s">
        <v>11</v>
      </c>
      <c r="H940" s="12">
        <v>1.87571791700446</v>
      </c>
      <c r="I940" s="20">
        <v>2.8217990877022099</v>
      </c>
      <c r="J940" s="28">
        <v>4.7755084598358E-3</v>
      </c>
      <c r="K940" s="29">
        <v>0.117636352316595</v>
      </c>
    </row>
    <row r="941" spans="1:11" x14ac:dyDescent="0.35">
      <c r="A941" s="9" t="str">
        <f>HYPERLINK("http://www.ensembl.org/id/WBGene00003765", "WBGene00003765")</f>
        <v>WBGene00003765</v>
      </c>
      <c r="B941" s="9" t="str">
        <f>HYPERLINK("http://www.ncbi.nlm.nih.gov/gene/178806", "178806")</f>
        <v>178806</v>
      </c>
      <c r="C941" s="9"/>
      <c r="D941" t="str">
        <f>"nlp-27"</f>
        <v>nlp-27</v>
      </c>
      <c r="E941" t="s">
        <v>76</v>
      </c>
      <c r="F941" t="s">
        <v>11</v>
      </c>
      <c r="G941" t="s">
        <v>820</v>
      </c>
      <c r="H941" s="12">
        <v>1.9252733834273099</v>
      </c>
      <c r="I941" s="20">
        <v>2.8204009365116498</v>
      </c>
      <c r="J941" s="28">
        <v>4.79636802574599E-3</v>
      </c>
      <c r="K941" s="29">
        <v>0.118024365924267</v>
      </c>
    </row>
    <row r="942" spans="1:11" x14ac:dyDescent="0.35">
      <c r="A942" s="9" t="str">
        <f>HYPERLINK("http://www.ensembl.org/id/WBGene00007139", "WBGene00007139")</f>
        <v>WBGene00007139</v>
      </c>
      <c r="B942" s="9" t="str">
        <f>HYPERLINK("http://www.ncbi.nlm.nih.gov/gene/175564", "175564")</f>
        <v>175564</v>
      </c>
      <c r="C942" s="9"/>
      <c r="D942" t="str">
        <f>"mnp-1"</f>
        <v>mnp-1</v>
      </c>
      <c r="E942" t="s">
        <v>821</v>
      </c>
      <c r="F942" t="s">
        <v>11</v>
      </c>
      <c r="H942" s="12">
        <v>1.76867751539809</v>
      </c>
      <c r="I942" s="20">
        <v>2.8199642083250298</v>
      </c>
      <c r="J942" s="28">
        <v>4.8029006244941202E-3</v>
      </c>
      <c r="K942" s="29">
        <v>0.118059384925065</v>
      </c>
    </row>
    <row r="943" spans="1:11" x14ac:dyDescent="0.35">
      <c r="A943" s="9" t="str">
        <f>HYPERLINK("http://www.ensembl.org/id/WBGene00007092", "WBGene00007092")</f>
        <v>WBGene00007092</v>
      </c>
      <c r="B943" s="9" t="str">
        <f>HYPERLINK("http://www.ncbi.nlm.nih.gov/gene/178165", "178165")</f>
        <v>178165</v>
      </c>
      <c r="C943" s="9"/>
      <c r="D943" t="str">
        <f>"B0001.7"</f>
        <v>B0001.7</v>
      </c>
      <c r="F943" t="s">
        <v>11</v>
      </c>
      <c r="H943" s="12">
        <v>-1.88446922009305</v>
      </c>
      <c r="I943" s="20">
        <v>-2.81938021286317</v>
      </c>
      <c r="J943" s="28">
        <v>4.8116486347093597E-3</v>
      </c>
      <c r="K943" s="29">
        <v>0.118148728324755</v>
      </c>
    </row>
    <row r="944" spans="1:11" x14ac:dyDescent="0.35">
      <c r="A944" s="9" t="str">
        <f>HYPERLINK("http://www.ensembl.org/id/WBGene00006618", "WBGene00006618")</f>
        <v>WBGene00006618</v>
      </c>
      <c r="B944" s="9" t="str">
        <f>HYPERLINK("http://www.ncbi.nlm.nih.gov/gene/172688", "172688")</f>
        <v>172688</v>
      </c>
      <c r="C944" s="9"/>
      <c r="D944" t="str">
        <f>"trt-1"</f>
        <v>trt-1</v>
      </c>
      <c r="E944" t="s">
        <v>822</v>
      </c>
      <c r="F944" t="s">
        <v>11</v>
      </c>
      <c r="G944" t="s">
        <v>823</v>
      </c>
      <c r="H944" s="12">
        <v>-1.92463311114989</v>
      </c>
      <c r="I944" s="20">
        <v>-2.8165463479262298</v>
      </c>
      <c r="J944" s="28">
        <v>4.8543038354324696E-3</v>
      </c>
      <c r="K944" s="29">
        <v>0.119069580065289</v>
      </c>
    </row>
    <row r="945" spans="1:11" x14ac:dyDescent="0.35">
      <c r="A945" s="9" t="str">
        <f>HYPERLINK("http://www.ensembl.org/id/WBGene00011423", "WBGene00011423")</f>
        <v>WBGene00011423</v>
      </c>
      <c r="B945" s="9" t="str">
        <f>HYPERLINK("http://www.ncbi.nlm.nih.gov/gene/177869", "177869")</f>
        <v>177869</v>
      </c>
      <c r="C945" s="9"/>
      <c r="D945" t="str">
        <f>"ipla-7"</f>
        <v>ipla-7</v>
      </c>
      <c r="E945" t="s">
        <v>476</v>
      </c>
      <c r="F945" t="s">
        <v>11</v>
      </c>
      <c r="G945" t="s">
        <v>29</v>
      </c>
      <c r="H945" s="12">
        <v>-1.6834654957866699</v>
      </c>
      <c r="I945" s="20">
        <v>-2.8159824707474499</v>
      </c>
      <c r="J945" s="28">
        <v>4.8628319865480097E-3</v>
      </c>
      <c r="K945" s="29">
        <v>0.119152275589797</v>
      </c>
    </row>
    <row r="946" spans="1:11" x14ac:dyDescent="0.35">
      <c r="A946" s="9" t="str">
        <f>HYPERLINK("http://www.ensembl.org/id/WBGene00020433", "WBGene00020433")</f>
        <v>WBGene00020433</v>
      </c>
      <c r="B946" s="9" t="str">
        <f>HYPERLINK("http://www.ncbi.nlm.nih.gov/gene/188416", "188416")</f>
        <v>188416</v>
      </c>
      <c r="C946" s="9"/>
      <c r="D946" t="str">
        <f>"T11F8.1"</f>
        <v>T11F8.1</v>
      </c>
      <c r="F946" t="s">
        <v>11</v>
      </c>
      <c r="G946" t="s">
        <v>25</v>
      </c>
      <c r="H946" s="12">
        <v>-2.4845681216015501</v>
      </c>
      <c r="I946" s="20">
        <v>-2.8154189625055901</v>
      </c>
      <c r="J946" s="28">
        <v>4.8713680968490904E-3</v>
      </c>
      <c r="K946" s="29">
        <v>0.119234990726478</v>
      </c>
    </row>
    <row r="947" spans="1:11" x14ac:dyDescent="0.35">
      <c r="A947" s="9" t="str">
        <f>HYPERLINK("http://www.ensembl.org/id/WBGene00007229", "WBGene00007229")</f>
        <v>WBGene00007229</v>
      </c>
      <c r="B947" s="9" t="str">
        <f>HYPERLINK("http://www.ncbi.nlm.nih.gov/gene/182078", "182078")</f>
        <v>182078</v>
      </c>
      <c r="C947" s="9"/>
      <c r="D947" t="str">
        <f>"C01G6.9"</f>
        <v>C01G6.9</v>
      </c>
      <c r="F947" t="s">
        <v>11</v>
      </c>
      <c r="H947" s="12">
        <v>2.1606043725547499</v>
      </c>
      <c r="I947" s="20">
        <v>2.8138147213194298</v>
      </c>
      <c r="J947" s="28">
        <v>4.8957436704461996E-3</v>
      </c>
      <c r="K947" s="29">
        <v>0.11951229720262201</v>
      </c>
    </row>
    <row r="948" spans="1:11" x14ac:dyDescent="0.35">
      <c r="A948" s="9" t="str">
        <f>HYPERLINK("http://www.ensembl.org/id/WBGene00019564", "WBGene00019564")</f>
        <v>WBGene00019564</v>
      </c>
      <c r="B948" s="9" t="str">
        <f>HYPERLINK("http://www.ncbi.nlm.nih.gov/gene/187208", "187208")</f>
        <v>187208</v>
      </c>
      <c r="C948" s="9"/>
      <c r="D948" t="str">
        <f>"K09D9.1"</f>
        <v>K09D9.1</v>
      </c>
      <c r="F948" t="s">
        <v>11</v>
      </c>
      <c r="G948" t="s">
        <v>264</v>
      </c>
      <c r="H948" s="12">
        <v>-1.78203423250892</v>
      </c>
      <c r="I948" s="20">
        <v>-2.8138776592374599</v>
      </c>
      <c r="J948" s="28">
        <v>4.8947852873893402E-3</v>
      </c>
      <c r="K948" s="29">
        <v>0.11951229720262201</v>
      </c>
    </row>
    <row r="949" spans="1:11" x14ac:dyDescent="0.35">
      <c r="A949" s="9" t="str">
        <f>HYPERLINK("http://www.ensembl.org/id/WBGene00011985", "WBGene00011985")</f>
        <v>WBGene00011985</v>
      </c>
      <c r="B949" s="9" t="str">
        <f>HYPERLINK("http://www.ncbi.nlm.nih.gov/gene/172852", "172852")</f>
        <v>172852</v>
      </c>
      <c r="C949" s="9"/>
      <c r="D949" t="str">
        <f>"T24D1.2"</f>
        <v>T24D1.2</v>
      </c>
      <c r="F949" t="s">
        <v>11</v>
      </c>
      <c r="G949" t="s">
        <v>51</v>
      </c>
      <c r="H949" s="12">
        <v>-1.7510248994778601</v>
      </c>
      <c r="I949" s="20">
        <v>-2.8136525075581398</v>
      </c>
      <c r="J949" s="28">
        <v>4.8982145525353904E-3</v>
      </c>
      <c r="K949" s="29">
        <v>0.11951229720262201</v>
      </c>
    </row>
    <row r="950" spans="1:11" x14ac:dyDescent="0.35">
      <c r="A950" s="9" t="str">
        <f>HYPERLINK("http://www.ensembl.org/id/WBGene00020613", "WBGene00020613")</f>
        <v>WBGene00020613</v>
      </c>
      <c r="B950" s="9" t="str">
        <f>HYPERLINK("http://www.ncbi.nlm.nih.gov/gene/188643", "188643")</f>
        <v>188643</v>
      </c>
      <c r="C950" s="9" t="str">
        <f>HYPERLINK("http://www.ncbi.nlm.nih.gov/gene/158046", "158046")</f>
        <v>158046</v>
      </c>
      <c r="D950" t="str">
        <f>"T20D4.7"</f>
        <v>T20D4.7</v>
      </c>
      <c r="F950" t="s">
        <v>11</v>
      </c>
      <c r="H950" s="12">
        <v>6.3727805426357396</v>
      </c>
      <c r="I950" s="20">
        <v>2.8124578983548498</v>
      </c>
      <c r="J950" s="28">
        <v>4.9164459210516501E-3</v>
      </c>
      <c r="K950" s="29">
        <v>0.11983059013904999</v>
      </c>
    </row>
    <row r="951" spans="1:11" x14ac:dyDescent="0.35">
      <c r="A951" s="9" t="str">
        <f>HYPERLINK("http://www.ensembl.org/id/WBGene00014261", "WBGene00014261")</f>
        <v>WBGene00014261</v>
      </c>
      <c r="B951" s="9" t="str">
        <f>HYPERLINK("http://www.ncbi.nlm.nih.gov/gene/174536", "174536")</f>
        <v>174536</v>
      </c>
      <c r="C951" s="9" t="str">
        <f>HYPERLINK("http://www.ncbi.nlm.nih.gov/gene/3738", "3738")</f>
        <v>3738</v>
      </c>
      <c r="D951" t="str">
        <f>"shk-1"</f>
        <v>shk-1</v>
      </c>
      <c r="E951" t="s">
        <v>824</v>
      </c>
      <c r="F951" t="s">
        <v>11</v>
      </c>
      <c r="G951" t="s">
        <v>825</v>
      </c>
      <c r="H951" s="12">
        <v>1.92529187588354</v>
      </c>
      <c r="I951" s="20">
        <v>2.8112114489666902</v>
      </c>
      <c r="J951" s="28">
        <v>4.93553385256523E-3</v>
      </c>
      <c r="K951" s="29">
        <v>0.12016906764738899</v>
      </c>
    </row>
    <row r="952" spans="1:11" x14ac:dyDescent="0.35">
      <c r="A952" s="9" t="str">
        <f>HYPERLINK("http://www.ensembl.org/id/WBGene00001113", "WBGene00001113")</f>
        <v>WBGene00001113</v>
      </c>
      <c r="B952" s="9" t="str">
        <f>HYPERLINK("http://www.ncbi.nlm.nih.gov/gene/177846", "177846")</f>
        <v>177846</v>
      </c>
      <c r="C952" s="9"/>
      <c r="D952" t="str">
        <f>"dur-1"</f>
        <v>dur-1</v>
      </c>
      <c r="E952" t="s">
        <v>826</v>
      </c>
      <c r="F952" t="s">
        <v>11</v>
      </c>
      <c r="H952" s="12">
        <v>-1.74290422920593</v>
      </c>
      <c r="I952" s="20">
        <v>-2.81077604150394</v>
      </c>
      <c r="J952" s="28">
        <v>4.9422173944723702E-3</v>
      </c>
      <c r="K952" s="29">
        <v>0.120205131701767</v>
      </c>
    </row>
    <row r="953" spans="1:11" x14ac:dyDescent="0.35">
      <c r="A953" s="9" t="str">
        <f>HYPERLINK("http://www.ensembl.org/id/WBGene00014077", "WBGene00014077")</f>
        <v>WBGene00014077</v>
      </c>
      <c r="B953" s="9" t="str">
        <f>HYPERLINK("http://www.ncbi.nlm.nih.gov/gene/178102", "178102")</f>
        <v>178102</v>
      </c>
      <c r="C953" s="9"/>
      <c r="D953" t="str">
        <f>"ZK792.4"</f>
        <v>ZK792.4</v>
      </c>
      <c r="F953" t="s">
        <v>11</v>
      </c>
      <c r="G953" t="s">
        <v>54</v>
      </c>
      <c r="H953" s="12">
        <v>2.1170469654236599</v>
      </c>
      <c r="I953" s="20">
        <v>2.8089016412616798</v>
      </c>
      <c r="J953" s="28">
        <v>4.9710831659691198E-3</v>
      </c>
      <c r="K953" s="29">
        <v>0.12078007111764701</v>
      </c>
    </row>
    <row r="954" spans="1:11" x14ac:dyDescent="0.35">
      <c r="A954" s="9" t="str">
        <f>HYPERLINK("http://www.ensembl.org/id/WBGene00019092", "WBGene00019092")</f>
        <v>WBGene00019092</v>
      </c>
      <c r="B954" s="9" t="str">
        <f>HYPERLINK("http://www.ncbi.nlm.nih.gov/gene/178683", "178683")</f>
        <v>178683</v>
      </c>
      <c r="C954" s="9"/>
      <c r="D954" t="str">
        <f>"F59A7.5"</f>
        <v>F59A7.5</v>
      </c>
      <c r="F954" t="s">
        <v>11</v>
      </c>
      <c r="H954" s="12">
        <v>1.88985494476685</v>
      </c>
      <c r="I954" s="20">
        <v>2.8077899404157498</v>
      </c>
      <c r="J954" s="28">
        <v>4.9882753072427004E-3</v>
      </c>
      <c r="K954" s="29">
        <v>0.121070471900367</v>
      </c>
    </row>
    <row r="955" spans="1:11" x14ac:dyDescent="0.35">
      <c r="A955" s="9" t="str">
        <f>HYPERLINK("http://www.ensembl.org/id/WBGene00013334", "WBGene00013334")</f>
        <v>WBGene00013334</v>
      </c>
      <c r="B955" s="9" t="str">
        <f>HYPERLINK("http://www.ncbi.nlm.nih.gov/gene/3565782", "3565782")</f>
        <v>3565782</v>
      </c>
      <c r="C955" s="9"/>
      <c r="D955" t="str">
        <f>"nlp-56"</f>
        <v>nlp-56</v>
      </c>
      <c r="E955" t="s">
        <v>76</v>
      </c>
      <c r="F955" t="s">
        <v>11</v>
      </c>
      <c r="G955" t="s">
        <v>77</v>
      </c>
      <c r="H955" s="12">
        <v>2.1784355687353201</v>
      </c>
      <c r="I955" s="20">
        <v>2.8071637108500398</v>
      </c>
      <c r="J955" s="28">
        <v>4.9979834279232898E-3</v>
      </c>
      <c r="K955" s="29">
        <v>0.121178809113951</v>
      </c>
    </row>
    <row r="956" spans="1:11" x14ac:dyDescent="0.35">
      <c r="A956" s="9" t="str">
        <f>HYPERLINK("http://www.ensembl.org/id/WBGene00020126", "WBGene00020126")</f>
        <v>WBGene00020126</v>
      </c>
      <c r="B956" s="9" t="str">
        <f>HYPERLINK("http://www.ncbi.nlm.nih.gov/gene/259712", "259712")</f>
        <v>259712</v>
      </c>
      <c r="C956" s="9"/>
      <c r="D956" t="str">
        <f>"flp-26"</f>
        <v>flp-26</v>
      </c>
      <c r="E956" t="s">
        <v>827</v>
      </c>
      <c r="F956" t="s">
        <v>11</v>
      </c>
      <c r="H956" s="12">
        <v>1.94604669975453</v>
      </c>
      <c r="I956" s="20">
        <v>2.8046170684120599</v>
      </c>
      <c r="J956" s="28">
        <v>5.0376389871155097E-3</v>
      </c>
      <c r="K956" s="29">
        <v>0.12201224993321901</v>
      </c>
    </row>
    <row r="957" spans="1:11" x14ac:dyDescent="0.35">
      <c r="A957" s="9" t="str">
        <f>HYPERLINK("http://www.ensembl.org/id/WBGene00044009", "WBGene00044009")</f>
        <v>WBGene00044009</v>
      </c>
      <c r="B957" s="9" t="str">
        <f>HYPERLINK("http://www.ncbi.nlm.nih.gov/gene/3565316", "3565316")</f>
        <v>3565316</v>
      </c>
      <c r="C957" s="9"/>
      <c r="D957" t="str">
        <f>"ZK822.6"</f>
        <v>ZK822.6</v>
      </c>
      <c r="F957" t="s">
        <v>11</v>
      </c>
      <c r="H957" s="12">
        <v>5.6202635066384401</v>
      </c>
      <c r="I957" s="20">
        <v>2.8031099523091099</v>
      </c>
      <c r="J957" s="28">
        <v>5.0612411237307697E-3</v>
      </c>
      <c r="K957" s="29">
        <v>0.122455536549658</v>
      </c>
    </row>
    <row r="958" spans="1:11" x14ac:dyDescent="0.35">
      <c r="A958" s="9" t="str">
        <f>HYPERLINK("http://www.ensembl.org/id/WBGene00013023", "WBGene00013023")</f>
        <v>WBGene00013023</v>
      </c>
      <c r="B958" s="9" t="str">
        <f>HYPERLINK("http://www.ncbi.nlm.nih.gov/gene/3564861", "3564861")</f>
        <v>3564861</v>
      </c>
      <c r="C958" s="9"/>
      <c r="D958" t="str">
        <f>"Y48G10A.6"</f>
        <v>Y48G10A.6</v>
      </c>
      <c r="F958" t="s">
        <v>11</v>
      </c>
      <c r="H958" s="12">
        <v>3.14960536331875</v>
      </c>
      <c r="I958" s="20">
        <v>2.80123710583287</v>
      </c>
      <c r="J958" s="28">
        <v>5.0907100434051398E-3</v>
      </c>
      <c r="K958" s="29">
        <v>0.123039692743639</v>
      </c>
    </row>
    <row r="959" spans="1:11" x14ac:dyDescent="0.35">
      <c r="A959" s="9" t="str">
        <f>HYPERLINK("http://www.ensembl.org/id/WBGene00015389", "WBGene00015389")</f>
        <v>WBGene00015389</v>
      </c>
      <c r="B959" s="9" t="str">
        <f>HYPERLINK("http://www.ncbi.nlm.nih.gov/gene/180812", "180812")</f>
        <v>180812</v>
      </c>
      <c r="C959" s="9" t="str">
        <f>HYPERLINK("http://www.ncbi.nlm.nih.gov/gene/948", "948")</f>
        <v>948</v>
      </c>
      <c r="D959" t="str">
        <f>"scav-1"</f>
        <v>scav-1</v>
      </c>
      <c r="E959" t="s">
        <v>828</v>
      </c>
      <c r="F959" t="s">
        <v>11</v>
      </c>
      <c r="G959" t="s">
        <v>829</v>
      </c>
      <c r="H959" s="12">
        <v>-1.74272185803122</v>
      </c>
      <c r="I959" s="20">
        <v>-2.7998771558816902</v>
      </c>
      <c r="J959" s="28">
        <v>5.1122057286895296E-3</v>
      </c>
      <c r="K959" s="29">
        <v>0.12343012075977</v>
      </c>
    </row>
    <row r="960" spans="1:11" x14ac:dyDescent="0.35">
      <c r="A960" s="9" t="str">
        <f>HYPERLINK("http://www.ensembl.org/id/WBGene00006146", "WBGene00006146")</f>
        <v>WBGene00006146</v>
      </c>
      <c r="B960" s="9" t="str">
        <f>HYPERLINK("http://www.ncbi.nlm.nih.gov/gene/191994", "191994")</f>
        <v>191994</v>
      </c>
      <c r="C960" s="9"/>
      <c r="D960" t="str">
        <f>"str-87"</f>
        <v>str-87</v>
      </c>
      <c r="E960" t="s">
        <v>590</v>
      </c>
      <c r="F960" t="s">
        <v>11</v>
      </c>
      <c r="G960" t="s">
        <v>591</v>
      </c>
      <c r="H960" s="12">
        <v>3.7989451621684398</v>
      </c>
      <c r="I960" s="20">
        <v>2.7987641045934599</v>
      </c>
      <c r="J960" s="28">
        <v>5.1298598884499504E-3</v>
      </c>
      <c r="K960" s="29">
        <v>0.12372707994000499</v>
      </c>
    </row>
    <row r="961" spans="1:11" x14ac:dyDescent="0.35">
      <c r="A961" s="9" t="str">
        <f>HYPERLINK("http://www.ensembl.org/id/WBGene00017303", "WBGene00017303")</f>
        <v>WBGene00017303</v>
      </c>
      <c r="B961" s="9" t="str">
        <f>HYPERLINK("http://www.ncbi.nlm.nih.gov/gene/184260", "184260")</f>
        <v>184260</v>
      </c>
      <c r="C961" s="9"/>
      <c r="D961" t="str">
        <f>"F09F7.6"</f>
        <v>F09F7.6</v>
      </c>
      <c r="F961" t="s">
        <v>11</v>
      </c>
      <c r="H961" s="12">
        <v>-1.73222552024073</v>
      </c>
      <c r="I961" s="20">
        <v>-2.7974272224180301</v>
      </c>
      <c r="J961" s="28">
        <v>5.15113706409028E-3</v>
      </c>
      <c r="K961" s="29">
        <v>0.124110712203201</v>
      </c>
    </row>
    <row r="962" spans="1:11" x14ac:dyDescent="0.35">
      <c r="A962" s="9" t="str">
        <f>HYPERLINK("http://www.ensembl.org/id/WBGene00011832", "WBGene00011832")</f>
        <v>WBGene00011832</v>
      </c>
      <c r="B962" s="9" t="str">
        <f>HYPERLINK("http://www.ncbi.nlm.nih.gov/gene/188583", "188583")</f>
        <v>188583</v>
      </c>
      <c r="C962" s="9" t="str">
        <f>HYPERLINK("http://www.ncbi.nlm.nih.gov/gene/2720", "2720")</f>
        <v>2720</v>
      </c>
      <c r="D962" t="str">
        <f>"bgal-1"</f>
        <v>bgal-1</v>
      </c>
      <c r="E962" t="s">
        <v>830</v>
      </c>
      <c r="F962" t="s">
        <v>11</v>
      </c>
      <c r="G962" t="s">
        <v>831</v>
      </c>
      <c r="H962" s="12">
        <v>1.6912822315687699</v>
      </c>
      <c r="I962" s="20">
        <v>2.7958917749215799</v>
      </c>
      <c r="J962" s="28">
        <v>5.1756728889293798E-3</v>
      </c>
      <c r="K962" s="29">
        <v>0.124442349398129</v>
      </c>
    </row>
    <row r="963" spans="1:11" x14ac:dyDescent="0.35">
      <c r="A963" s="9" t="str">
        <f>HYPERLINK("http://www.ensembl.org/id/WBGene00021872", "WBGene00021872")</f>
        <v>WBGene00021872</v>
      </c>
      <c r="B963" s="9" t="str">
        <f>HYPERLINK("http://www.ncbi.nlm.nih.gov/gene/177068", "177068")</f>
        <v>177068</v>
      </c>
      <c r="C963" s="9"/>
      <c r="D963" t="str">
        <f>"clec-85"</f>
        <v>clec-85</v>
      </c>
      <c r="E963" t="s">
        <v>46</v>
      </c>
      <c r="F963" t="s">
        <v>11</v>
      </c>
      <c r="G963" t="s">
        <v>47</v>
      </c>
      <c r="H963" s="12">
        <v>-2.0834627641435799</v>
      </c>
      <c r="I963" s="20">
        <v>-2.7962216506611099</v>
      </c>
      <c r="J963" s="28">
        <v>5.1703927197203998E-3</v>
      </c>
      <c r="K963" s="29">
        <v>0.124442349398129</v>
      </c>
    </row>
    <row r="964" spans="1:11" x14ac:dyDescent="0.35">
      <c r="A964" s="9" t="str">
        <f>HYPERLINK("http://www.ensembl.org/id/WBGene00020103", "WBGene00020103")</f>
        <v>WBGene00020103</v>
      </c>
      <c r="B964" s="9" t="str">
        <f>HYPERLINK("http://www.ncbi.nlm.nih.gov/gene/187905", "187905")</f>
        <v>187905</v>
      </c>
      <c r="C964" s="9"/>
      <c r="D964" t="str">
        <f>"R148.4"</f>
        <v>R148.4</v>
      </c>
      <c r="F964" t="s">
        <v>11</v>
      </c>
      <c r="G964" t="s">
        <v>25</v>
      </c>
      <c r="H964" s="12">
        <v>-2.3345344123448699</v>
      </c>
      <c r="I964" s="20">
        <v>-2.7949682709197701</v>
      </c>
      <c r="J964" s="28">
        <v>5.1904809176666804E-3</v>
      </c>
      <c r="K964" s="29">
        <v>0.12466866120957</v>
      </c>
    </row>
    <row r="965" spans="1:11" x14ac:dyDescent="0.35">
      <c r="A965" s="9" t="str">
        <f>HYPERLINK("http://www.ensembl.org/id/WBGene00019289", "WBGene00019289")</f>
        <v>WBGene00019289</v>
      </c>
      <c r="B965" s="9" t="str">
        <f>HYPERLINK("http://www.ncbi.nlm.nih.gov/gene/174212", "174212")</f>
        <v>174212</v>
      </c>
      <c r="C965" s="9"/>
      <c r="D965" t="str">
        <f>"kcc-3"</f>
        <v>kcc-3</v>
      </c>
      <c r="E965" t="s">
        <v>832</v>
      </c>
      <c r="F965" t="s">
        <v>11</v>
      </c>
      <c r="G965" t="s">
        <v>833</v>
      </c>
      <c r="H965" s="12">
        <v>2.1090028348877099</v>
      </c>
      <c r="I965" s="20">
        <v>2.79357805230089</v>
      </c>
      <c r="J965" s="28">
        <v>5.2128447323842404E-3</v>
      </c>
      <c r="K965" s="29">
        <v>0.12507579479384201</v>
      </c>
    </row>
    <row r="966" spans="1:11" x14ac:dyDescent="0.35">
      <c r="A966" s="9" t="str">
        <f>HYPERLINK("http://www.ensembl.org/id/WBGene00021146", "WBGene00021146")</f>
        <v>WBGene00021146</v>
      </c>
      <c r="B966" s="9" t="str">
        <f>HYPERLINK("http://www.ncbi.nlm.nih.gov/gene/189345", "189345")</f>
        <v>189345</v>
      </c>
      <c r="C966" s="9"/>
      <c r="D966" t="str">
        <f>"lgc-45"</f>
        <v>lgc-45</v>
      </c>
      <c r="E966" t="s">
        <v>505</v>
      </c>
      <c r="F966" t="s">
        <v>11</v>
      </c>
      <c r="G966" t="s">
        <v>506</v>
      </c>
      <c r="H966" s="12">
        <v>1.99597927590736</v>
      </c>
      <c r="I966" s="20">
        <v>2.7926149529647799</v>
      </c>
      <c r="J966" s="28">
        <v>5.2283886814135502E-3</v>
      </c>
      <c r="K966" s="29">
        <v>0.12518875530854001</v>
      </c>
    </row>
    <row r="967" spans="1:11" x14ac:dyDescent="0.35">
      <c r="A967" s="9" t="str">
        <f>HYPERLINK("http://www.ensembl.org/id/WBGene00022781", "WBGene00022781")</f>
        <v>WBGene00022781</v>
      </c>
      <c r="B967" s="9" t="str">
        <f>HYPERLINK("http://www.ncbi.nlm.nih.gov/gene/173901", "173901")</f>
        <v>173901</v>
      </c>
      <c r="C967" s="9"/>
      <c r="D967" t="str">
        <f>"pmt-1"</f>
        <v>pmt-1</v>
      </c>
      <c r="E967" t="s">
        <v>834</v>
      </c>
      <c r="F967" t="s">
        <v>11</v>
      </c>
      <c r="G967" t="s">
        <v>835</v>
      </c>
      <c r="H967" s="12">
        <v>-1.76934892966806</v>
      </c>
      <c r="I967" s="20">
        <v>-2.7928971983042801</v>
      </c>
      <c r="J967" s="28">
        <v>5.2238290485319304E-3</v>
      </c>
      <c r="K967" s="29">
        <v>0.12518875530854001</v>
      </c>
    </row>
    <row r="968" spans="1:11" x14ac:dyDescent="0.35">
      <c r="A968" s="9" t="str">
        <f>HYPERLINK("http://www.ensembl.org/id/WBGene00016248", "WBGene00016248")</f>
        <v>WBGene00016248</v>
      </c>
      <c r="B968" s="9" t="str">
        <f>HYPERLINK("http://www.ncbi.nlm.nih.gov/gene/183043", "183043")</f>
        <v>183043</v>
      </c>
      <c r="C968" s="9"/>
      <c r="D968" t="str">
        <f>"C30B5.7"</f>
        <v>C30B5.7</v>
      </c>
      <c r="F968" t="s">
        <v>11</v>
      </c>
      <c r="G968" t="s">
        <v>25</v>
      </c>
      <c r="H968" s="12">
        <v>2.4258799100547699</v>
      </c>
      <c r="I968" s="20">
        <v>2.79227910513282</v>
      </c>
      <c r="J968" s="28">
        <v>5.2338189394350596E-3</v>
      </c>
      <c r="K968" s="29">
        <v>0.125189048048226</v>
      </c>
    </row>
    <row r="969" spans="1:11" x14ac:dyDescent="0.35">
      <c r="A969" s="9" t="str">
        <f>HYPERLINK("http://www.ensembl.org/id/WBGene00219803", "WBGene00219803")</f>
        <v>WBGene00219803</v>
      </c>
      <c r="B969" s="9"/>
      <c r="C969" s="9"/>
      <c r="D969" t="str">
        <f>"C06A1.12"</f>
        <v>C06A1.12</v>
      </c>
      <c r="F969" t="s">
        <v>481</v>
      </c>
      <c r="H969" s="12">
        <v>-2.77690464643669</v>
      </c>
      <c r="I969" s="20">
        <v>-2.7890470740846198</v>
      </c>
      <c r="J969" s="28">
        <v>5.2863380643831601E-3</v>
      </c>
      <c r="K969" s="29">
        <v>0.12592384259344</v>
      </c>
    </row>
    <row r="970" spans="1:11" x14ac:dyDescent="0.35">
      <c r="A970" s="9" t="str">
        <f>HYPERLINK("http://www.ensembl.org/id/WBGene00003550", "WBGene00003550")</f>
        <v>WBGene00003550</v>
      </c>
      <c r="B970" s="9" t="str">
        <f>HYPERLINK("http://www.ncbi.nlm.nih.gov/gene/178595", "178595")</f>
        <v>178595</v>
      </c>
      <c r="C970" s="9"/>
      <c r="D970" t="str">
        <f>"nas-32"</f>
        <v>nas-32</v>
      </c>
      <c r="E970" t="s">
        <v>836</v>
      </c>
      <c r="F970" t="s">
        <v>11</v>
      </c>
      <c r="G970" t="s">
        <v>267</v>
      </c>
      <c r="H970" s="12">
        <v>2.06349622414871</v>
      </c>
      <c r="I970" s="20">
        <v>2.7890991760069102</v>
      </c>
      <c r="J970" s="28">
        <v>5.2854876690639103E-3</v>
      </c>
      <c r="K970" s="29">
        <v>0.12592384259344</v>
      </c>
    </row>
    <row r="971" spans="1:11" x14ac:dyDescent="0.35">
      <c r="A971" s="9" t="str">
        <f>HYPERLINK("http://www.ensembl.org/id/WBGene00004775", "WBGene00004775")</f>
        <v>WBGene00004775</v>
      </c>
      <c r="B971" s="9" t="str">
        <f>HYPERLINK("http://www.ncbi.nlm.nih.gov/gene/171912", "171912")</f>
        <v>171912</v>
      </c>
      <c r="C971" s="9"/>
      <c r="D971" t="str">
        <f>"sep-1"</f>
        <v>sep-1</v>
      </c>
      <c r="E971" t="s">
        <v>837</v>
      </c>
      <c r="F971" t="s">
        <v>11</v>
      </c>
      <c r="G971" t="s">
        <v>838</v>
      </c>
      <c r="H971" s="12">
        <v>-1.71512515825303</v>
      </c>
      <c r="I971" s="20">
        <v>-2.78939947439931</v>
      </c>
      <c r="J971" s="28">
        <v>5.2805886774276098E-3</v>
      </c>
      <c r="K971" s="29">
        <v>0.12592384259344</v>
      </c>
    </row>
    <row r="972" spans="1:11" x14ac:dyDescent="0.35">
      <c r="A972" s="9" t="str">
        <f>HYPERLINK("http://www.ensembl.org/id/WBGene00013193", "WBGene00013193")</f>
        <v>WBGene00013193</v>
      </c>
      <c r="B972" s="9" t="str">
        <f>HYPERLINK("http://www.ncbi.nlm.nih.gov/gene/190257", "190257")</f>
        <v>190257</v>
      </c>
      <c r="C972" s="9"/>
      <c r="D972" t="str">
        <f>"Y54E2A.8"</f>
        <v>Y54E2A.8</v>
      </c>
      <c r="F972" t="s">
        <v>11</v>
      </c>
      <c r="G972" t="s">
        <v>839</v>
      </c>
      <c r="H972" s="12">
        <v>-2.0915357706012401</v>
      </c>
      <c r="I972" s="20">
        <v>-2.7896658135707701</v>
      </c>
      <c r="J972" s="28">
        <v>5.2762471203443599E-3</v>
      </c>
      <c r="K972" s="29">
        <v>0.12592384259344</v>
      </c>
    </row>
    <row r="973" spans="1:11" x14ac:dyDescent="0.35">
      <c r="A973" s="9" t="str">
        <f>HYPERLINK("http://www.ensembl.org/id/WBGene00021649", "WBGene00021649")</f>
        <v>WBGene00021649</v>
      </c>
      <c r="B973" s="9" t="str">
        <f>HYPERLINK("http://www.ncbi.nlm.nih.gov/gene/171928", "171928")</f>
        <v>171928</v>
      </c>
      <c r="C973" s="9"/>
      <c r="D973" t="str">
        <f>"Y47G6A.25"</f>
        <v>Y47G6A.25</v>
      </c>
      <c r="F973" t="s">
        <v>11</v>
      </c>
      <c r="H973" s="12">
        <v>-2.0685987843868001</v>
      </c>
      <c r="I973" s="20">
        <v>-2.78777020028306</v>
      </c>
      <c r="J973" s="28">
        <v>5.3072175634287797E-3</v>
      </c>
      <c r="K973" s="29">
        <v>0.12629100826012901</v>
      </c>
    </row>
    <row r="974" spans="1:11" x14ac:dyDescent="0.35">
      <c r="A974" s="9" t="str">
        <f>HYPERLINK("http://www.ensembl.org/id/WBGene00045188", "WBGene00045188")</f>
        <v>WBGene00045188</v>
      </c>
      <c r="B974" s="9"/>
      <c r="C974" s="9"/>
      <c r="D974" t="str">
        <f>"B0284.5"</f>
        <v>B0284.5</v>
      </c>
      <c r="F974" t="s">
        <v>80</v>
      </c>
      <c r="H974" s="12">
        <v>-3.5333288461722101</v>
      </c>
      <c r="I974" s="20">
        <v>-2.7812315635258398</v>
      </c>
      <c r="J974" s="28">
        <v>5.4153094938964403E-3</v>
      </c>
      <c r="K974" s="29">
        <v>0.12873059790737801</v>
      </c>
    </row>
    <row r="975" spans="1:11" x14ac:dyDescent="0.35">
      <c r="A975" s="9" t="str">
        <f>HYPERLINK("http://www.ensembl.org/id/WBGene00000535", "WBGene00000535")</f>
        <v>WBGene00000535</v>
      </c>
      <c r="B975" s="9" t="str">
        <f>HYPERLINK("http://www.ncbi.nlm.nih.gov/gene/177372", "177372")</f>
        <v>177372</v>
      </c>
      <c r="C975" s="9"/>
      <c r="D975" t="str">
        <f>"cpi-1"</f>
        <v>cpi-1</v>
      </c>
      <c r="E975" t="s">
        <v>840</v>
      </c>
      <c r="F975" t="s">
        <v>11</v>
      </c>
      <c r="G975" t="s">
        <v>841</v>
      </c>
      <c r="H975" s="12">
        <v>-1.71042862340883</v>
      </c>
      <c r="I975" s="20">
        <v>-2.77825089633681</v>
      </c>
      <c r="J975" s="28">
        <v>5.4652400383225202E-3</v>
      </c>
      <c r="K975" s="29">
        <v>0.129784004445509</v>
      </c>
    </row>
    <row r="976" spans="1:11" x14ac:dyDescent="0.35">
      <c r="A976" s="9" t="str">
        <f>HYPERLINK("http://www.ensembl.org/id/WBGene00010268", "WBGene00010268")</f>
        <v>WBGene00010268</v>
      </c>
      <c r="B976" s="9" t="str">
        <f>HYPERLINK("http://www.ncbi.nlm.nih.gov/gene/174936", "174936")</f>
        <v>174936</v>
      </c>
      <c r="C976" s="9"/>
      <c r="D976" t="str">
        <f>"arrd-10"</f>
        <v>arrd-10</v>
      </c>
      <c r="E976" t="s">
        <v>377</v>
      </c>
      <c r="F976" t="s">
        <v>11</v>
      </c>
      <c r="G976" t="s">
        <v>378</v>
      </c>
      <c r="H976" s="12">
        <v>2.07462894580841</v>
      </c>
      <c r="I976" s="20">
        <v>2.7764264079996002</v>
      </c>
      <c r="J976" s="28">
        <v>5.4960075540009699E-3</v>
      </c>
      <c r="K976" s="29">
        <v>0.12990302409460699</v>
      </c>
    </row>
    <row r="977" spans="1:11" x14ac:dyDescent="0.35">
      <c r="A977" s="9" t="str">
        <f>HYPERLINK("http://www.ensembl.org/id/WBGene00018050", "WBGene00018050")</f>
        <v>WBGene00018050</v>
      </c>
      <c r="B977" s="9" t="str">
        <f>HYPERLINK("http://www.ncbi.nlm.nih.gov/gene/185283", "185283")</f>
        <v>185283</v>
      </c>
      <c r="C977" s="9"/>
      <c r="D977" t="str">
        <f>"clec-139"</f>
        <v>clec-139</v>
      </c>
      <c r="E977" t="s">
        <v>46</v>
      </c>
      <c r="F977" t="s">
        <v>11</v>
      </c>
      <c r="G977" t="s">
        <v>47</v>
      </c>
      <c r="H977" s="12">
        <v>2.6000650317853702</v>
      </c>
      <c r="I977" s="20">
        <v>2.7762871580191</v>
      </c>
      <c r="J977" s="28">
        <v>5.4983622247262998E-3</v>
      </c>
      <c r="K977" s="29">
        <v>0.12990302409460699</v>
      </c>
    </row>
    <row r="978" spans="1:11" x14ac:dyDescent="0.35">
      <c r="A978" s="9" t="str">
        <f>HYPERLINK("http://www.ensembl.org/id/WBGene00007103", "WBGene00007103")</f>
        <v>WBGene00007103</v>
      </c>
      <c r="B978" s="9" t="str">
        <f>HYPERLINK("http://www.ncbi.nlm.nih.gov/gene/179439", "179439")</f>
        <v>179439</v>
      </c>
      <c r="C978" s="9" t="str">
        <f>HYPERLINK("http://www.ncbi.nlm.nih.gov/gene/51232", "51232")</f>
        <v>51232</v>
      </c>
      <c r="D978" t="str">
        <f>"crm-1"</f>
        <v>crm-1</v>
      </c>
      <c r="E978" t="s">
        <v>843</v>
      </c>
      <c r="F978" t="s">
        <v>11</v>
      </c>
      <c r="G978" t="s">
        <v>844</v>
      </c>
      <c r="H978" s="12">
        <v>1.6695749002518701</v>
      </c>
      <c r="I978" s="20">
        <v>2.7764292992636399</v>
      </c>
      <c r="J978" s="28">
        <v>5.4959586733367601E-3</v>
      </c>
      <c r="K978" s="29">
        <v>0.12990302409460699</v>
      </c>
    </row>
    <row r="979" spans="1:11" x14ac:dyDescent="0.35">
      <c r="A979" s="9" t="str">
        <f>HYPERLINK("http://www.ensembl.org/id/WBGene00018300", "WBGene00018300")</f>
        <v>WBGene00018300</v>
      </c>
      <c r="B979" s="9" t="str">
        <f>HYPERLINK("http://www.ncbi.nlm.nih.gov/gene/3564882", "3564882")</f>
        <v>3564882</v>
      </c>
      <c r="C979" s="9"/>
      <c r="D979" t="str">
        <f>"F41G3.3"</f>
        <v>F41G3.3</v>
      </c>
      <c r="F979" t="s">
        <v>11</v>
      </c>
      <c r="H979" s="12">
        <v>2.5162649604076002</v>
      </c>
      <c r="I979" s="20">
        <v>2.7771412869950298</v>
      </c>
      <c r="J979" s="28">
        <v>5.4839335125481696E-3</v>
      </c>
      <c r="K979" s="29">
        <v>0.12990302409460699</v>
      </c>
    </row>
    <row r="980" spans="1:11" x14ac:dyDescent="0.35">
      <c r="A980" s="9" t="str">
        <f>HYPERLINK("http://www.ensembl.org/id/WBGene00002086", "WBGene00002086")</f>
        <v>WBGene00002086</v>
      </c>
      <c r="B980" s="9" t="str">
        <f>HYPERLINK("http://www.ncbi.nlm.nih.gov/gene/191684", "191684")</f>
        <v>191684</v>
      </c>
      <c r="C980" s="9"/>
      <c r="D980" t="str">
        <f>"ins-3"</f>
        <v>ins-3</v>
      </c>
      <c r="E980" t="s">
        <v>842</v>
      </c>
      <c r="F980" t="s">
        <v>11</v>
      </c>
      <c r="G980" t="s">
        <v>724</v>
      </c>
      <c r="H980" s="12">
        <v>1.80808296457263</v>
      </c>
      <c r="I980" s="20">
        <v>2.7769733591860999</v>
      </c>
      <c r="J980" s="28">
        <v>5.4867675975819701E-3</v>
      </c>
      <c r="K980" s="29">
        <v>0.12990302409460699</v>
      </c>
    </row>
    <row r="981" spans="1:11" x14ac:dyDescent="0.35">
      <c r="A981" s="9" t="str">
        <f>HYPERLINK("http://www.ensembl.org/id/WBGene00019668", "WBGene00019668")</f>
        <v>WBGene00019668</v>
      </c>
      <c r="B981" s="9" t="str">
        <f>HYPERLINK("http://www.ncbi.nlm.nih.gov/gene/187316", "187316")</f>
        <v>187316</v>
      </c>
      <c r="C981" s="9"/>
      <c r="D981" t="str">
        <f>"fil-2"</f>
        <v>fil-2</v>
      </c>
      <c r="E981" t="s">
        <v>525</v>
      </c>
      <c r="F981" t="s">
        <v>11</v>
      </c>
      <c r="G981" t="s">
        <v>431</v>
      </c>
      <c r="H981" s="12">
        <v>-11.686044182469001</v>
      </c>
      <c r="I981" s="20">
        <v>-2.7758104663738501</v>
      </c>
      <c r="J981" s="28">
        <v>5.5064298166793797E-3</v>
      </c>
      <c r="K981" s="29">
        <v>0.129960742946061</v>
      </c>
    </row>
    <row r="982" spans="1:11" x14ac:dyDescent="0.35">
      <c r="A982" s="9" t="str">
        <f>HYPERLINK("http://www.ensembl.org/id/WBGene00010409", "WBGene00010409")</f>
        <v>WBGene00010409</v>
      </c>
      <c r="B982" s="9" t="str">
        <f>HYPERLINK("http://www.ncbi.nlm.nih.gov/gene/186758", "186758")</f>
        <v>186758</v>
      </c>
      <c r="C982" s="9"/>
      <c r="D982" t="str">
        <f>"H21P03.2"</f>
        <v>H21P03.2</v>
      </c>
      <c r="E982" t="s">
        <v>845</v>
      </c>
      <c r="F982" t="s">
        <v>11</v>
      </c>
      <c r="G982" t="s">
        <v>846</v>
      </c>
      <c r="H982" s="12">
        <v>-1.7911783198187801</v>
      </c>
      <c r="I982" s="20">
        <v>-2.7750403628536899</v>
      </c>
      <c r="J982" s="28">
        <v>5.5194857232810498E-3</v>
      </c>
      <c r="K982" s="29">
        <v>0.130135956247073</v>
      </c>
    </row>
    <row r="983" spans="1:11" x14ac:dyDescent="0.35">
      <c r="A983" s="9" t="str">
        <f>HYPERLINK("http://www.ensembl.org/id/WBGene00001046", "WBGene00001046")</f>
        <v>WBGene00001046</v>
      </c>
      <c r="B983" s="9" t="str">
        <f>HYPERLINK("http://www.ncbi.nlm.nih.gov/gene/171870", "171870")</f>
        <v>171870</v>
      </c>
      <c r="C983" s="9" t="str">
        <f>HYPERLINK("http://www.ncbi.nlm.nih.gov/gene/5611", "5611")</f>
        <v>5611</v>
      </c>
      <c r="D983" t="str">
        <f>"dnj-28"</f>
        <v>dnj-28</v>
      </c>
      <c r="E983" t="s">
        <v>847</v>
      </c>
      <c r="F983" t="s">
        <v>11</v>
      </c>
      <c r="G983" t="s">
        <v>848</v>
      </c>
      <c r="H983" s="12">
        <v>-1.88472580212047</v>
      </c>
      <c r="I983" s="20">
        <v>-2.7729666845316601</v>
      </c>
      <c r="J983" s="28">
        <v>5.5547807246166103E-3</v>
      </c>
      <c r="K983" s="29">
        <v>0.1306918526328</v>
      </c>
    </row>
    <row r="984" spans="1:11" x14ac:dyDescent="0.35">
      <c r="A984" s="9" t="str">
        <f>HYPERLINK("http://www.ensembl.org/id/WBGene00018275", "WBGene00018275")</f>
        <v>WBGene00018275</v>
      </c>
      <c r="B984" s="9" t="str">
        <f>HYPERLINK("http://www.ncbi.nlm.nih.gov/gene/173816", "173816")</f>
        <v>173816</v>
      </c>
      <c r="C984" s="9"/>
      <c r="D984" t="str">
        <f>"F41C3.11"</f>
        <v>F41C3.11</v>
      </c>
      <c r="F984" t="s">
        <v>11</v>
      </c>
      <c r="G984" t="s">
        <v>25</v>
      </c>
      <c r="H984" s="12">
        <v>2.10348592179542</v>
      </c>
      <c r="I984" s="20">
        <v>2.7729552134767799</v>
      </c>
      <c r="J984" s="28">
        <v>5.5549765326209002E-3</v>
      </c>
      <c r="K984" s="29">
        <v>0.1306918526328</v>
      </c>
    </row>
    <row r="985" spans="1:11" x14ac:dyDescent="0.35">
      <c r="A985" s="9" t="str">
        <f>HYPERLINK("http://www.ensembl.org/id/WBGene00022200", "WBGene00022200")</f>
        <v>WBGene00022200</v>
      </c>
      <c r="B985" s="9" t="str">
        <f>HYPERLINK("http://www.ncbi.nlm.nih.gov/gene/180582", "180582")</f>
        <v>180582</v>
      </c>
      <c r="C985" s="9" t="str">
        <f>HYPERLINK("http://www.ncbi.nlm.nih.gov/gene/55711", "55711")</f>
        <v>55711</v>
      </c>
      <c r="D985" t="str">
        <f>"fard-1"</f>
        <v>fard-1</v>
      </c>
      <c r="E985" t="s">
        <v>849</v>
      </c>
      <c r="F985" t="s">
        <v>11</v>
      </c>
      <c r="G985" t="s">
        <v>850</v>
      </c>
      <c r="H985" s="12">
        <v>-1.9429515894724001</v>
      </c>
      <c r="I985" s="20">
        <v>-2.7726591952975901</v>
      </c>
      <c r="J985" s="28">
        <v>5.5600316427786099E-3</v>
      </c>
      <c r="K985" s="29">
        <v>0.1306918526328</v>
      </c>
    </row>
    <row r="986" spans="1:11" x14ac:dyDescent="0.35">
      <c r="A986" s="9" t="str">
        <f>HYPERLINK("http://www.ensembl.org/id/WBGene00018137", "WBGene00018137")</f>
        <v>WBGene00018137</v>
      </c>
      <c r="B986" s="9" t="str">
        <f>HYPERLINK("http://www.ncbi.nlm.nih.gov/gene/175946", "175946")</f>
        <v>175946</v>
      </c>
      <c r="C986" s="9"/>
      <c r="D986" t="str">
        <f>"bath-41"</f>
        <v>bath-41</v>
      </c>
      <c r="E986" t="s">
        <v>853</v>
      </c>
      <c r="F986" t="s">
        <v>11</v>
      </c>
      <c r="G986" t="s">
        <v>54</v>
      </c>
      <c r="H986" s="12">
        <v>-1.77544581496486</v>
      </c>
      <c r="I986" s="20">
        <v>-2.7710944409754199</v>
      </c>
      <c r="J986" s="28">
        <v>5.5868220233645698E-3</v>
      </c>
      <c r="K986" s="29">
        <v>0.131176091241022</v>
      </c>
    </row>
    <row r="987" spans="1:11" x14ac:dyDescent="0.35">
      <c r="A987" s="9" t="str">
        <f>HYPERLINK("http://www.ensembl.org/id/WBGene00010848", "WBGene00010848")</f>
        <v>WBGene00010848</v>
      </c>
      <c r="B987" s="9" t="str">
        <f>HYPERLINK("http://www.ncbi.nlm.nih.gov/gene/3565135", "3565135")</f>
        <v>3565135</v>
      </c>
      <c r="C987" s="9"/>
      <c r="D987" t="str">
        <f>"M04B2.6"</f>
        <v>M04B2.6</v>
      </c>
      <c r="F987" t="s">
        <v>11</v>
      </c>
      <c r="H987" s="12">
        <v>1.9485982989125601</v>
      </c>
      <c r="I987" s="20">
        <v>2.7706322950414202</v>
      </c>
      <c r="J987" s="28">
        <v>5.5947567390299E-3</v>
      </c>
      <c r="K987" s="29">
        <v>0.131176091241022</v>
      </c>
    </row>
    <row r="988" spans="1:11" x14ac:dyDescent="0.35">
      <c r="A988" s="9" t="str">
        <f>HYPERLINK("http://www.ensembl.org/id/WBGene00003606", "WBGene00003606")</f>
        <v>WBGene00003606</v>
      </c>
      <c r="B988" s="9" t="str">
        <f>HYPERLINK("http://www.ncbi.nlm.nih.gov/gene/178035", "178035")</f>
        <v>178035</v>
      </c>
      <c r="C988" s="9"/>
      <c r="D988" t="str">
        <f>"nhr-7"</f>
        <v>nhr-7</v>
      </c>
      <c r="E988" t="s">
        <v>851</v>
      </c>
      <c r="F988" t="s">
        <v>11</v>
      </c>
      <c r="G988" t="s">
        <v>852</v>
      </c>
      <c r="H988" s="12">
        <v>2.1072671266169598</v>
      </c>
      <c r="I988" s="20">
        <v>2.7704631099153101</v>
      </c>
      <c r="J988" s="28">
        <v>5.5976640683652601E-3</v>
      </c>
      <c r="K988" s="29">
        <v>0.131176091241022</v>
      </c>
    </row>
    <row r="989" spans="1:11" x14ac:dyDescent="0.35">
      <c r="A989" s="9" t="str">
        <f>HYPERLINK("http://www.ensembl.org/id/WBGene00016458", "WBGene00016458")</f>
        <v>WBGene00016458</v>
      </c>
      <c r="B989" s="9" t="str">
        <f>HYPERLINK("http://www.ncbi.nlm.nih.gov/gene/183243", "183243")</f>
        <v>183243</v>
      </c>
      <c r="C989" s="9"/>
      <c r="D989" t="str">
        <f>"C35E7.6"</f>
        <v>C35E7.6</v>
      </c>
      <c r="F989" t="s">
        <v>11</v>
      </c>
      <c r="G989" t="s">
        <v>854</v>
      </c>
      <c r="H989" s="12">
        <v>1.7492297000333901</v>
      </c>
      <c r="I989" s="20">
        <v>2.7699451808246298</v>
      </c>
      <c r="J989" s="28">
        <v>5.6065727971705897E-3</v>
      </c>
      <c r="K989" s="29">
        <v>0.13125174371978099</v>
      </c>
    </row>
    <row r="990" spans="1:11" x14ac:dyDescent="0.35">
      <c r="A990" s="9" t="str">
        <f>HYPERLINK("http://www.ensembl.org/id/WBGene00019006", "WBGene00019006")</f>
        <v>WBGene00019006</v>
      </c>
      <c r="B990" s="9" t="str">
        <f>HYPERLINK("http://www.ncbi.nlm.nih.gov/gene/172369", "172369")</f>
        <v>172369</v>
      </c>
      <c r="C990" s="9" t="str">
        <f>HYPERLINK("http://www.ncbi.nlm.nih.gov/gene/23111", "23111")</f>
        <v>23111</v>
      </c>
      <c r="D990" t="str">
        <f>"spg-20"</f>
        <v>spg-20</v>
      </c>
      <c r="E990" t="s">
        <v>855</v>
      </c>
      <c r="F990" t="s">
        <v>11</v>
      </c>
      <c r="G990" t="s">
        <v>856</v>
      </c>
      <c r="H990" s="12">
        <v>-1.7164170268246599</v>
      </c>
      <c r="I990" s="20">
        <v>-2.7683872734886998</v>
      </c>
      <c r="J990" s="28">
        <v>5.6334470120776902E-3</v>
      </c>
      <c r="K990" s="29">
        <v>0.13174739540593799</v>
      </c>
    </row>
    <row r="991" spans="1:11" x14ac:dyDescent="0.35">
      <c r="A991" s="9" t="str">
        <f>HYPERLINK("http://www.ensembl.org/id/WBGene00007109", "WBGene00007109")</f>
        <v>WBGene00007109</v>
      </c>
      <c r="B991" s="9" t="str">
        <f>HYPERLINK("http://www.ncbi.nlm.nih.gov/gene/178047", "178047")</f>
        <v>178047</v>
      </c>
      <c r="C991" s="9"/>
      <c r="D991" t="str">
        <f>"edg-1"</f>
        <v>edg-1</v>
      </c>
      <c r="E991" t="s">
        <v>857</v>
      </c>
      <c r="F991" t="s">
        <v>11</v>
      </c>
      <c r="G991" t="s">
        <v>54</v>
      </c>
      <c r="H991" s="12">
        <v>-1.79008401755067</v>
      </c>
      <c r="I991" s="20">
        <v>-2.7649883485375799</v>
      </c>
      <c r="J991" s="28">
        <v>5.6924829041151001E-3</v>
      </c>
      <c r="K991" s="29">
        <v>0.132993437798264</v>
      </c>
    </row>
    <row r="992" spans="1:11" x14ac:dyDescent="0.35">
      <c r="A992" s="9" t="str">
        <f>HYPERLINK("http://www.ensembl.org/id/WBGene00003856", "WBGene00003856")</f>
        <v>WBGene00003856</v>
      </c>
      <c r="B992" s="9" t="str">
        <f>HYPERLINK("http://www.ncbi.nlm.nih.gov/gene/180959", "180959")</f>
        <v>180959</v>
      </c>
      <c r="C992" s="9"/>
      <c r="D992" t="str">
        <f>"odr-10"</f>
        <v>odr-10</v>
      </c>
      <c r="E992" t="s">
        <v>858</v>
      </c>
      <c r="F992" t="s">
        <v>11</v>
      </c>
      <c r="H992" s="12">
        <v>2.5799112414309699</v>
      </c>
      <c r="I992" s="20">
        <v>2.7635165637984098</v>
      </c>
      <c r="J992" s="28">
        <v>5.7182189990224999E-3</v>
      </c>
      <c r="K992" s="29">
        <v>0.13345976584991301</v>
      </c>
    </row>
    <row r="993" spans="1:11" x14ac:dyDescent="0.35">
      <c r="A993" s="9" t="str">
        <f>HYPERLINK("http://www.ensembl.org/id/WBGene00010221", "WBGene00010221")</f>
        <v>WBGene00010221</v>
      </c>
      <c r="B993" s="9" t="str">
        <f>HYPERLINK("http://www.ncbi.nlm.nih.gov/gene/181381", "181381")</f>
        <v>181381</v>
      </c>
      <c r="C993" s="9"/>
      <c r="D993" t="str">
        <f>"F57G12.1"</f>
        <v>F57G12.1</v>
      </c>
      <c r="F993" t="s">
        <v>11</v>
      </c>
      <c r="H993" s="12">
        <v>1.70586538268542</v>
      </c>
      <c r="I993" s="20">
        <v>2.7628488497495201</v>
      </c>
      <c r="J993" s="28">
        <v>5.72992942373848E-3</v>
      </c>
      <c r="K993" s="29">
        <v>0.133548356482137</v>
      </c>
    </row>
    <row r="994" spans="1:11" x14ac:dyDescent="0.35">
      <c r="A994" s="9" t="str">
        <f>HYPERLINK("http://www.ensembl.org/id/WBGene00003219", "WBGene00003219")</f>
        <v>WBGene00003219</v>
      </c>
      <c r="B994" s="9" t="str">
        <f>HYPERLINK("http://www.ncbi.nlm.nih.gov/gene/181362", "181362")</f>
        <v>181362</v>
      </c>
      <c r="C994" s="9"/>
      <c r="D994" t="str">
        <f>"mes-1"</f>
        <v>mes-1</v>
      </c>
      <c r="F994" t="s">
        <v>11</v>
      </c>
      <c r="G994" t="s">
        <v>859</v>
      </c>
      <c r="H994" s="12">
        <v>-1.94456719190817</v>
      </c>
      <c r="I994" s="20">
        <v>-2.7626412699356999</v>
      </c>
      <c r="J994" s="28">
        <v>5.7335743802596597E-3</v>
      </c>
      <c r="K994" s="29">
        <v>0.133548356482137</v>
      </c>
    </row>
    <row r="995" spans="1:11" x14ac:dyDescent="0.35">
      <c r="A995" s="9" t="str">
        <f>HYPERLINK("http://www.ensembl.org/id/WBGene00015496", "WBGene00015496")</f>
        <v>WBGene00015496</v>
      </c>
      <c r="B995" s="9" t="str">
        <f>HYPERLINK("http://www.ncbi.nlm.nih.gov/gene/182274", "182274")</f>
        <v>182274</v>
      </c>
      <c r="C995" s="9"/>
      <c r="D995" t="str">
        <f>"C05E11.7"</f>
        <v>C05E11.7</v>
      </c>
      <c r="F995" t="s">
        <v>11</v>
      </c>
      <c r="H995" s="12">
        <v>5.0680897532040499</v>
      </c>
      <c r="I995" s="20">
        <v>2.7623114535352999</v>
      </c>
      <c r="J995" s="28">
        <v>5.7393700265151101E-3</v>
      </c>
      <c r="K995" s="29">
        <v>0.133548724907007</v>
      </c>
    </row>
    <row r="996" spans="1:11" x14ac:dyDescent="0.35">
      <c r="A996" s="9" t="str">
        <f>HYPERLINK("http://www.ensembl.org/id/WBGene00021535", "WBGene00021535")</f>
        <v>WBGene00021535</v>
      </c>
      <c r="B996" s="9" t="str">
        <f>HYPERLINK("http://www.ncbi.nlm.nih.gov/gene/175864", "175864")</f>
        <v>175864</v>
      </c>
      <c r="C996" s="9" t="str">
        <f>HYPERLINK("http://www.ncbi.nlm.nih.gov/gene/9429", "9429")</f>
        <v>9429</v>
      </c>
      <c r="D996" t="str">
        <f>"wht-7"</f>
        <v>wht-7</v>
      </c>
      <c r="E996" t="s">
        <v>860</v>
      </c>
      <c r="F996" t="s">
        <v>11</v>
      </c>
      <c r="G996" t="s">
        <v>861</v>
      </c>
      <c r="H996" s="12">
        <v>-1.8026541149800199</v>
      </c>
      <c r="I996" s="20">
        <v>-2.7614747949236098</v>
      </c>
      <c r="J996" s="28">
        <v>5.7540957835800202E-3</v>
      </c>
      <c r="K996" s="29">
        <v>0.133756677238833</v>
      </c>
    </row>
    <row r="997" spans="1:11" x14ac:dyDescent="0.35">
      <c r="A997" s="9" t="str">
        <f>HYPERLINK("http://www.ensembl.org/id/WBGene00020582", "WBGene00020582")</f>
        <v>WBGene00020582</v>
      </c>
      <c r="B997" s="9" t="str">
        <f>HYPERLINK("http://www.ncbi.nlm.nih.gov/gene/188609", "188609")</f>
        <v>188609</v>
      </c>
      <c r="C997" s="9"/>
      <c r="D997" t="str">
        <f>"oig-8"</f>
        <v>oig-8</v>
      </c>
      <c r="E997" t="s">
        <v>862</v>
      </c>
      <c r="F997" t="s">
        <v>11</v>
      </c>
      <c r="G997" t="s">
        <v>25</v>
      </c>
      <c r="H997" s="12">
        <v>3.7362313936735498</v>
      </c>
      <c r="I997" s="20">
        <v>2.7608381803161501</v>
      </c>
      <c r="J997" s="28">
        <v>5.76532344659666E-3</v>
      </c>
      <c r="K997" s="29">
        <v>0.13388297844930899</v>
      </c>
    </row>
    <row r="998" spans="1:11" x14ac:dyDescent="0.35">
      <c r="A998" s="9" t="str">
        <f>HYPERLINK("http://www.ensembl.org/id/WBGene00004309", "WBGene00004309")</f>
        <v>WBGene00004309</v>
      </c>
      <c r="B998" s="9" t="str">
        <f>HYPERLINK("http://www.ncbi.nlm.nih.gov/gene/182417", "182417")</f>
        <v>182417</v>
      </c>
      <c r="C998" s="9"/>
      <c r="D998" t="str">
        <f>"rap-3"</f>
        <v>rap-3</v>
      </c>
      <c r="E998" t="s">
        <v>863</v>
      </c>
      <c r="F998" t="s">
        <v>11</v>
      </c>
      <c r="G998" t="s">
        <v>864</v>
      </c>
      <c r="H998" s="12">
        <v>2.7039830998893302</v>
      </c>
      <c r="I998" s="20">
        <v>2.7599280465317402</v>
      </c>
      <c r="J998" s="28">
        <v>5.78140934502115E-3</v>
      </c>
      <c r="K998" s="29">
        <v>0.134121731251063</v>
      </c>
    </row>
    <row r="999" spans="1:11" x14ac:dyDescent="0.35">
      <c r="A999" s="9" t="str">
        <f>HYPERLINK("http://www.ensembl.org/id/WBGene00012261", "WBGene00012261")</f>
        <v>WBGene00012261</v>
      </c>
      <c r="B999" s="9" t="str">
        <f>HYPERLINK("http://www.ncbi.nlm.nih.gov/gene/181295", "181295")</f>
        <v>181295</v>
      </c>
      <c r="C999" s="9"/>
      <c r="D999" t="str">
        <f>"lpr-3"</f>
        <v>lpr-3</v>
      </c>
      <c r="E999" t="s">
        <v>865</v>
      </c>
      <c r="F999" t="s">
        <v>11</v>
      </c>
      <c r="G999" t="s">
        <v>866</v>
      </c>
      <c r="H999" s="12">
        <v>1.90118940338397</v>
      </c>
      <c r="I999" s="20">
        <v>2.7589572305335999</v>
      </c>
      <c r="J999" s="28">
        <v>5.7986123490684797E-3</v>
      </c>
      <c r="K999" s="29">
        <v>0.13438589462144099</v>
      </c>
    </row>
    <row r="1000" spans="1:11" x14ac:dyDescent="0.35">
      <c r="A1000" s="9" t="str">
        <f>HYPERLINK("http://www.ensembl.org/id/WBGene00020224", "WBGene00020224")</f>
        <v>WBGene00020224</v>
      </c>
      <c r="B1000" s="9" t="str">
        <f>HYPERLINK("http://www.ncbi.nlm.nih.gov/gene/188085", "188085")</f>
        <v>188085</v>
      </c>
      <c r="C1000" s="9"/>
      <c r="D1000" t="str">
        <f>"T05A7.7"</f>
        <v>T05A7.7</v>
      </c>
      <c r="F1000" t="s">
        <v>11</v>
      </c>
      <c r="H1000" s="12">
        <v>2.51492311276089</v>
      </c>
      <c r="I1000" s="20">
        <v>2.7576570117457702</v>
      </c>
      <c r="J1000" s="28">
        <v>5.8217247163219604E-3</v>
      </c>
      <c r="K1000" s="29">
        <v>0.134786343983302</v>
      </c>
    </row>
    <row r="1001" spans="1:11" x14ac:dyDescent="0.35">
      <c r="A1001" s="9" t="str">
        <f>HYPERLINK("http://www.ensembl.org/id/WBGene00008879", "WBGene00008879")</f>
        <v>WBGene00008879</v>
      </c>
      <c r="B1001" s="9" t="str">
        <f>HYPERLINK("http://www.ncbi.nlm.nih.gov/gene/181519", "181519")</f>
        <v>181519</v>
      </c>
      <c r="C1001" s="9"/>
      <c r="D1001" t="str">
        <f>"F16B12.1"</f>
        <v>F16B12.1</v>
      </c>
      <c r="F1001" t="s">
        <v>11</v>
      </c>
      <c r="G1001" t="s">
        <v>25</v>
      </c>
      <c r="H1001" s="12">
        <v>-2.00109785548673</v>
      </c>
      <c r="I1001" s="20">
        <v>-2.7565728703544701</v>
      </c>
      <c r="J1001" s="28">
        <v>5.84105960523865E-3</v>
      </c>
      <c r="K1001" s="29">
        <v>0.13482869454409999</v>
      </c>
    </row>
    <row r="1002" spans="1:11" x14ac:dyDescent="0.35">
      <c r="A1002" s="9" t="str">
        <f>HYPERLINK("http://www.ensembl.org/id/WBGene00015536", "WBGene00015536")</f>
        <v>WBGene00015536</v>
      </c>
      <c r="B1002" s="9" t="str">
        <f>HYPERLINK("http://www.ncbi.nlm.nih.gov/gene/182330", "182330")</f>
        <v>182330</v>
      </c>
      <c r="C1002" s="9"/>
      <c r="D1002" t="str">
        <f>"glb-2"</f>
        <v>glb-2</v>
      </c>
      <c r="E1002" t="s">
        <v>633</v>
      </c>
      <c r="F1002" t="s">
        <v>11</v>
      </c>
      <c r="G1002" t="s">
        <v>867</v>
      </c>
      <c r="H1002" s="12">
        <v>2.57892519969166</v>
      </c>
      <c r="I1002" s="20">
        <v>2.75688430009677</v>
      </c>
      <c r="J1002" s="28">
        <v>5.8354995602811401E-3</v>
      </c>
      <c r="K1002" s="29">
        <v>0.13482869454409999</v>
      </c>
    </row>
    <row r="1003" spans="1:11" x14ac:dyDescent="0.35">
      <c r="A1003" s="9" t="str">
        <f>HYPERLINK("http://www.ensembl.org/id/WBGene00006629", "WBGene00006629")</f>
        <v>WBGene00006629</v>
      </c>
      <c r="B1003" s="9" t="str">
        <f>HYPERLINK("http://www.ncbi.nlm.nih.gov/gene/192059", "192059")</f>
        <v>192059</v>
      </c>
      <c r="C1003" s="9"/>
      <c r="D1003" t="str">
        <f>"tsp-3"</f>
        <v>tsp-3</v>
      </c>
      <c r="E1003" t="s">
        <v>500</v>
      </c>
      <c r="F1003" t="s">
        <v>11</v>
      </c>
      <c r="G1003" t="s">
        <v>868</v>
      </c>
      <c r="H1003" s="12">
        <v>1.8550144580214001</v>
      </c>
      <c r="I1003" s="20">
        <v>2.7569116769928801</v>
      </c>
      <c r="J1003" s="28">
        <v>5.8350110208842502E-3</v>
      </c>
      <c r="K1003" s="29">
        <v>0.13482869454409999</v>
      </c>
    </row>
    <row r="1004" spans="1:11" x14ac:dyDescent="0.35">
      <c r="A1004" s="9" t="str">
        <f>HYPERLINK("http://www.ensembl.org/id/WBGene00000055", "WBGene00000055")</f>
        <v>WBGene00000055</v>
      </c>
      <c r="B1004" s="9" t="str">
        <f>HYPERLINK("http://www.ncbi.nlm.nih.gov/gene/179235", "179235")</f>
        <v>179235</v>
      </c>
      <c r="C1004" s="9" t="str">
        <f>HYPERLINK("http://www.ncbi.nlm.nih.gov/gene/1139", "1139")</f>
        <v>1139</v>
      </c>
      <c r="D1004" t="str">
        <f>"acr-16"</f>
        <v>acr-16</v>
      </c>
      <c r="E1004" t="s">
        <v>869</v>
      </c>
      <c r="F1004" t="s">
        <v>11</v>
      </c>
      <c r="G1004" t="s">
        <v>870</v>
      </c>
      <c r="H1004" s="12">
        <v>1.99168421439249</v>
      </c>
      <c r="I1004" s="20">
        <v>2.7555919206824302</v>
      </c>
      <c r="J1004" s="28">
        <v>5.8586040082430398E-3</v>
      </c>
      <c r="K1004" s="29">
        <v>0.134839373287204</v>
      </c>
    </row>
    <row r="1005" spans="1:11" x14ac:dyDescent="0.35">
      <c r="A1005" s="9" t="str">
        <f>HYPERLINK("http://www.ensembl.org/id/WBGene00004226", "WBGene00004226")</f>
        <v>WBGene00004226</v>
      </c>
      <c r="B1005" s="9" t="str">
        <f>HYPERLINK("http://www.ncbi.nlm.nih.gov/gene/171816", "171816")</f>
        <v>171816</v>
      </c>
      <c r="C1005" s="9"/>
      <c r="D1005" t="str">
        <f>"ptr-12"</f>
        <v>ptr-12</v>
      </c>
      <c r="E1005" t="s">
        <v>134</v>
      </c>
      <c r="F1005" t="s">
        <v>11</v>
      </c>
      <c r="G1005" t="s">
        <v>404</v>
      </c>
      <c r="H1005" s="12">
        <v>1.7557964420299901</v>
      </c>
      <c r="I1005" s="20">
        <v>2.7555681750349001</v>
      </c>
      <c r="J1005" s="28">
        <v>5.8590292902429304E-3</v>
      </c>
      <c r="K1005" s="29">
        <v>0.134839373287204</v>
      </c>
    </row>
    <row r="1006" spans="1:11" x14ac:dyDescent="0.35">
      <c r="A1006" s="9" t="str">
        <f>HYPERLINK("http://www.ensembl.org/id/WBGene00011062", "WBGene00011062")</f>
        <v>WBGene00011062</v>
      </c>
      <c r="B1006" s="9" t="str">
        <f>HYPERLINK("http://www.ncbi.nlm.nih.gov/gene/187640", "187640")</f>
        <v>187640</v>
      </c>
      <c r="C1006" s="9"/>
      <c r="D1006" t="str">
        <f>"R06C7.2"</f>
        <v>R06C7.2</v>
      </c>
      <c r="F1006" t="s">
        <v>11</v>
      </c>
      <c r="G1006" t="s">
        <v>871</v>
      </c>
      <c r="H1006" s="12">
        <v>-2.8099615293014399</v>
      </c>
      <c r="I1006" s="20">
        <v>-2.7559771618908302</v>
      </c>
      <c r="J1006" s="28">
        <v>5.8517082662229896E-3</v>
      </c>
      <c r="K1006" s="29">
        <v>0.134839373287204</v>
      </c>
    </row>
    <row r="1007" spans="1:11" x14ac:dyDescent="0.35">
      <c r="A1007" s="9" t="str">
        <f>HYPERLINK("http://www.ensembl.org/id/WBGene00002891", "WBGene00002891")</f>
        <v>WBGene00002891</v>
      </c>
      <c r="B1007" s="9" t="str">
        <f>HYPERLINK("http://www.ncbi.nlm.nih.gov/gene/175895", "175895")</f>
        <v>175895</v>
      </c>
      <c r="C1007" s="9" t="str">
        <f>HYPERLINK("http://www.ncbi.nlm.nih.gov/gene/51144", "51144")</f>
        <v>51144</v>
      </c>
      <c r="D1007" t="str">
        <f>"let-767"</f>
        <v>let-767</v>
      </c>
      <c r="E1007" t="s">
        <v>872</v>
      </c>
      <c r="F1007" t="s">
        <v>11</v>
      </c>
      <c r="G1007" t="s">
        <v>873</v>
      </c>
      <c r="H1007" s="12">
        <v>-1.6381718172625099</v>
      </c>
      <c r="I1007" s="20">
        <v>-2.75390300216245</v>
      </c>
      <c r="J1007" s="28">
        <v>5.8889218481901996E-3</v>
      </c>
      <c r="K1007" s="29">
        <v>0.135123563281314</v>
      </c>
    </row>
    <row r="1008" spans="1:11" x14ac:dyDescent="0.35">
      <c r="A1008" s="9" t="str">
        <f>HYPERLINK("http://www.ensembl.org/id/WBGene00044206", "WBGene00044206")</f>
        <v>WBGene00044206</v>
      </c>
      <c r="B1008" s="9" t="str">
        <f>HYPERLINK("http://www.ncbi.nlm.nih.gov/gene/3564973", "3564973")</f>
        <v>3564973</v>
      </c>
      <c r="C1008" s="9"/>
      <c r="D1008" t="str">
        <f>"T26H5.9"</f>
        <v>T26H5.9</v>
      </c>
      <c r="F1008" t="s">
        <v>11</v>
      </c>
      <c r="H1008" s="12">
        <v>-1.9384537112223501</v>
      </c>
      <c r="I1008" s="20">
        <v>-2.7541280197121498</v>
      </c>
      <c r="J1008" s="28">
        <v>5.8848744010692698E-3</v>
      </c>
      <c r="K1008" s="29">
        <v>0.135123563281314</v>
      </c>
    </row>
    <row r="1009" spans="1:11" x14ac:dyDescent="0.35">
      <c r="A1009" s="9" t="str">
        <f>HYPERLINK("http://www.ensembl.org/id/WBGene00012428", "WBGene00012428")</f>
        <v>WBGene00012428</v>
      </c>
      <c r="B1009" s="9" t="str">
        <f>HYPERLINK("http://www.ncbi.nlm.nih.gov/gene/177745", "177745")</f>
        <v>177745</v>
      </c>
      <c r="C1009" s="9"/>
      <c r="D1009" t="str">
        <f>"Y11D7A.3"</f>
        <v>Y11D7A.3</v>
      </c>
      <c r="F1009" t="s">
        <v>11</v>
      </c>
      <c r="G1009" t="s">
        <v>25</v>
      </c>
      <c r="H1009" s="12">
        <v>1.90687355014336</v>
      </c>
      <c r="I1009" s="20">
        <v>2.7544089305387098</v>
      </c>
      <c r="J1009" s="28">
        <v>5.8798251065809897E-3</v>
      </c>
      <c r="K1009" s="29">
        <v>0.135123563281314</v>
      </c>
    </row>
    <row r="1010" spans="1:11" x14ac:dyDescent="0.35">
      <c r="A1010" s="9" t="str">
        <f>HYPERLINK("http://www.ensembl.org/id/WBGene00001665", "WBGene00001665")</f>
        <v>WBGene00001665</v>
      </c>
      <c r="B1010" s="9" t="str">
        <f>HYPERLINK("http://www.ncbi.nlm.nih.gov/gene/179319", "179319")</f>
        <v>179319</v>
      </c>
      <c r="C1010" s="9"/>
      <c r="D1010" t="str">
        <f>"gpa-3"</f>
        <v>gpa-3</v>
      </c>
      <c r="E1010" t="s">
        <v>874</v>
      </c>
      <c r="F1010" t="s">
        <v>11</v>
      </c>
      <c r="G1010" t="s">
        <v>875</v>
      </c>
      <c r="H1010" s="12">
        <v>2.5021037928978198</v>
      </c>
      <c r="I1010" s="20">
        <v>2.75315447844272</v>
      </c>
      <c r="J1010" s="28">
        <v>5.9024037938549398E-3</v>
      </c>
      <c r="K1010" s="29">
        <v>0.135298553631758</v>
      </c>
    </row>
    <row r="1011" spans="1:11" x14ac:dyDescent="0.35">
      <c r="A1011" s="9" t="str">
        <f>HYPERLINK("http://www.ensembl.org/id/WBGene00001783", "WBGene00001783")</f>
        <v>WBGene00001783</v>
      </c>
      <c r="B1011" s="9" t="str">
        <f>HYPERLINK("http://www.ncbi.nlm.nih.gov/gene/259481", "259481")</f>
        <v>259481</v>
      </c>
      <c r="C1011" s="9" t="str">
        <f>HYPERLINK("http://www.ncbi.nlm.nih.gov/gene/27306", "27306")</f>
        <v>27306</v>
      </c>
      <c r="D1011" t="str">
        <f>"gst-35"</f>
        <v>gst-35</v>
      </c>
      <c r="E1011" t="s">
        <v>272</v>
      </c>
      <c r="F1011" t="s">
        <v>11</v>
      </c>
      <c r="G1011" t="s">
        <v>876</v>
      </c>
      <c r="H1011" s="12">
        <v>2.0888514707713002</v>
      </c>
      <c r="I1011" s="20">
        <v>2.7514674439876501</v>
      </c>
      <c r="J1011" s="28">
        <v>5.9328916705651902E-3</v>
      </c>
      <c r="K1011" s="29">
        <v>0.135764921989071</v>
      </c>
    </row>
    <row r="1012" spans="1:11" x14ac:dyDescent="0.35">
      <c r="A1012" s="9" t="str">
        <f>HYPERLINK("http://www.ensembl.org/id/WBGene00003861", "WBGene00003861")</f>
        <v>WBGene00003861</v>
      </c>
      <c r="B1012" s="9" t="str">
        <f>HYPERLINK("http://www.ncbi.nlm.nih.gov/gene/190105", "190105")</f>
        <v>190105</v>
      </c>
      <c r="C1012" s="9"/>
      <c r="D1012" t="str">
        <f>"oig-3"</f>
        <v>oig-3</v>
      </c>
      <c r="E1012" t="s">
        <v>862</v>
      </c>
      <c r="F1012" t="s">
        <v>11</v>
      </c>
      <c r="H1012" s="12">
        <v>1.84273617401491</v>
      </c>
      <c r="I1012" s="20">
        <v>2.7507306107884899</v>
      </c>
      <c r="J1012" s="28">
        <v>5.9462521013130898E-3</v>
      </c>
      <c r="K1012" s="29">
        <v>0.135764921989071</v>
      </c>
    </row>
    <row r="1013" spans="1:11" x14ac:dyDescent="0.35">
      <c r="A1013" s="9" t="str">
        <f>HYPERLINK("http://www.ensembl.org/id/WBGene00011409", "WBGene00011409")</f>
        <v>WBGene00011409</v>
      </c>
      <c r="B1013" s="9" t="str">
        <f>HYPERLINK("http://www.ncbi.nlm.nih.gov/gene/3565201", "3565201")</f>
        <v>3565201</v>
      </c>
      <c r="C1013" s="9" t="str">
        <f>HYPERLINK("http://www.ncbi.nlm.nih.gov/gene/2632", "2632")</f>
        <v>2632</v>
      </c>
      <c r="D1013" t="str">
        <f>"T04A8.7"</f>
        <v>T04A8.7</v>
      </c>
      <c r="E1013" t="s">
        <v>877</v>
      </c>
      <c r="F1013" t="s">
        <v>11</v>
      </c>
      <c r="G1013" t="s">
        <v>878</v>
      </c>
      <c r="H1013" s="12">
        <v>-1.6775801872209399</v>
      </c>
      <c r="I1013" s="20">
        <v>-2.75089121823591</v>
      </c>
      <c r="J1013" s="28">
        <v>5.9433376211167803E-3</v>
      </c>
      <c r="K1013" s="29">
        <v>0.135764921989071</v>
      </c>
    </row>
    <row r="1014" spans="1:11" x14ac:dyDescent="0.35">
      <c r="A1014" s="9" t="str">
        <f>HYPERLINK("http://www.ensembl.org/id/WBGene00021730", "WBGene00021730")</f>
        <v>WBGene00021730</v>
      </c>
      <c r="B1014" s="9" t="str">
        <f>HYPERLINK("http://www.ncbi.nlm.nih.gov/gene/190089", "190089")</f>
        <v>190089</v>
      </c>
      <c r="C1014" s="9"/>
      <c r="D1014" t="str">
        <f>"Y49F6C.8"</f>
        <v>Y49F6C.8</v>
      </c>
      <c r="F1014" t="s">
        <v>11</v>
      </c>
      <c r="H1014" s="12">
        <v>-2.1101810505228</v>
      </c>
      <c r="I1014" s="20">
        <v>-2.7511310572462202</v>
      </c>
      <c r="J1014" s="28">
        <v>5.93898775341614E-3</v>
      </c>
      <c r="K1014" s="29">
        <v>0.135764921989071</v>
      </c>
    </row>
    <row r="1015" spans="1:11" x14ac:dyDescent="0.35">
      <c r="A1015" s="9" t="str">
        <f>HYPERLINK("http://www.ensembl.org/id/WBGene00006746", "WBGene00006746")</f>
        <v>WBGene00006746</v>
      </c>
      <c r="B1015" s="9" t="str">
        <f>HYPERLINK("http://www.ncbi.nlm.nih.gov/gene/180961", "180961")</f>
        <v>180961</v>
      </c>
      <c r="C1015" s="9" t="str">
        <f>HYPERLINK("http://www.ncbi.nlm.nih.gov/gene/9423", "9423")</f>
        <v>9423</v>
      </c>
      <c r="D1015" t="str">
        <f>"unc-6"</f>
        <v>unc-6</v>
      </c>
      <c r="E1015" t="s">
        <v>879</v>
      </c>
      <c r="F1015" t="s">
        <v>11</v>
      </c>
      <c r="G1015" t="s">
        <v>880</v>
      </c>
      <c r="H1015" s="12">
        <v>1.7018866186569399</v>
      </c>
      <c r="I1015" s="20">
        <v>2.7493213651566899</v>
      </c>
      <c r="J1015" s="28">
        <v>5.97188041004684E-3</v>
      </c>
      <c r="K1015" s="29">
        <v>0.13621546767477</v>
      </c>
    </row>
    <row r="1016" spans="1:11" x14ac:dyDescent="0.35">
      <c r="A1016" s="9" t="str">
        <f>HYPERLINK("http://www.ensembl.org/id/WBGene00007242", "WBGene00007242")</f>
        <v>WBGene00007242</v>
      </c>
      <c r="B1016" s="9" t="str">
        <f>HYPERLINK("http://www.ncbi.nlm.nih.gov/gene/175118", "175118")</f>
        <v>175118</v>
      </c>
      <c r="C1016" s="9"/>
      <c r="D1016" t="str">
        <f>"madf-5"</f>
        <v>madf-5</v>
      </c>
      <c r="E1016" t="s">
        <v>881</v>
      </c>
      <c r="F1016" t="s">
        <v>11</v>
      </c>
      <c r="G1016" t="s">
        <v>882</v>
      </c>
      <c r="H1016" s="12">
        <v>1.8938394651166699</v>
      </c>
      <c r="I1016" s="20">
        <v>2.7484226278314199</v>
      </c>
      <c r="J1016" s="28">
        <v>5.9882766337739203E-3</v>
      </c>
      <c r="K1016" s="29">
        <v>0.136408337142608</v>
      </c>
    </row>
    <row r="1017" spans="1:11" x14ac:dyDescent="0.35">
      <c r="A1017" s="9" t="str">
        <f>HYPERLINK("http://www.ensembl.org/id/WBGene00044512", "WBGene00044512")</f>
        <v>WBGene00044512</v>
      </c>
      <c r="B1017" s="9" t="str">
        <f>HYPERLINK("http://www.ncbi.nlm.nih.gov/gene/3896854", "3896854")</f>
        <v>3896854</v>
      </c>
      <c r="C1017" s="9"/>
      <c r="D1017" t="str">
        <f>"W03F9.11"</f>
        <v>W03F9.11</v>
      </c>
      <c r="F1017" t="s">
        <v>11</v>
      </c>
      <c r="H1017" s="12">
        <v>1.91523779254986</v>
      </c>
      <c r="I1017" s="20">
        <v>2.7482110068739498</v>
      </c>
      <c r="J1017" s="28">
        <v>5.9921432614795803E-3</v>
      </c>
      <c r="K1017" s="29">
        <v>0.136408337142608</v>
      </c>
    </row>
    <row r="1018" spans="1:11" x14ac:dyDescent="0.35">
      <c r="A1018" s="9" t="str">
        <f>HYPERLINK("http://www.ensembl.org/id/WBGene00015560", "WBGene00015560")</f>
        <v>WBGene00015560</v>
      </c>
      <c r="B1018" s="9" t="str">
        <f>HYPERLINK("http://www.ncbi.nlm.nih.gov/gene/180726", "180726")</f>
        <v>180726</v>
      </c>
      <c r="C1018" s="9"/>
      <c r="D1018" t="str">
        <f>"C07A12.2"</f>
        <v>C07A12.2</v>
      </c>
      <c r="F1018" t="s">
        <v>11</v>
      </c>
      <c r="H1018" s="12">
        <v>2.99540172636594</v>
      </c>
      <c r="I1018" s="20">
        <v>2.74713131907667</v>
      </c>
      <c r="J1018" s="28">
        <v>6.0119057922055803E-3</v>
      </c>
      <c r="K1018" s="29">
        <v>0.13650921273695099</v>
      </c>
    </row>
    <row r="1019" spans="1:11" x14ac:dyDescent="0.35">
      <c r="A1019" s="9" t="str">
        <f>HYPERLINK("http://www.ensembl.org/id/WBGene00009724", "WBGene00009724")</f>
        <v>WBGene00009724</v>
      </c>
      <c r="B1019" s="9" t="str">
        <f>HYPERLINK("http://www.ncbi.nlm.nih.gov/gene/179718", "179718")</f>
        <v>179718</v>
      </c>
      <c r="C1019" s="9"/>
      <c r="D1019" t="str">
        <f>"F45D3.4"</f>
        <v>F45D3.4</v>
      </c>
      <c r="F1019" t="s">
        <v>11</v>
      </c>
      <c r="H1019" s="12">
        <v>1.74066032674424</v>
      </c>
      <c r="I1019" s="20">
        <v>2.7466787877693601</v>
      </c>
      <c r="J1019" s="28">
        <v>6.0202063437614804E-3</v>
      </c>
      <c r="K1019" s="29">
        <v>0.13650921273695099</v>
      </c>
    </row>
    <row r="1020" spans="1:11" x14ac:dyDescent="0.35">
      <c r="A1020" s="9" t="str">
        <f>HYPERLINK("http://www.ensembl.org/id/WBGene00018707", "WBGene00018707")</f>
        <v>WBGene00018707</v>
      </c>
      <c r="B1020" s="9" t="str">
        <f>HYPERLINK("http://www.ncbi.nlm.nih.gov/gene/178643", "178643")</f>
        <v>178643</v>
      </c>
      <c r="C1020" s="9"/>
      <c r="D1020" t="str">
        <f>"oac-31"</f>
        <v>oac-31</v>
      </c>
      <c r="E1020" t="s">
        <v>883</v>
      </c>
      <c r="F1020" t="s">
        <v>11</v>
      </c>
      <c r="G1020" t="s">
        <v>884</v>
      </c>
      <c r="H1020" s="12">
        <v>-1.8587458362078999</v>
      </c>
      <c r="I1020" s="20">
        <v>-2.74747364577886</v>
      </c>
      <c r="J1020" s="28">
        <v>6.0056335194808097E-3</v>
      </c>
      <c r="K1020" s="29">
        <v>0.13650921273695099</v>
      </c>
    </row>
    <row r="1021" spans="1:11" x14ac:dyDescent="0.35">
      <c r="A1021" s="9" t="str">
        <f>HYPERLINK("http://www.ensembl.org/id/WBGene00011288", "WBGene00011288")</f>
        <v>WBGene00011288</v>
      </c>
      <c r="B1021" s="9" t="str">
        <f>HYPERLINK("http://www.ncbi.nlm.nih.gov/gene/187891", "187891")</f>
        <v>187891</v>
      </c>
      <c r="C1021" s="9"/>
      <c r="D1021" t="str">
        <f>"R102.1"</f>
        <v>R102.1</v>
      </c>
      <c r="F1021" t="s">
        <v>11</v>
      </c>
      <c r="H1021" s="12">
        <v>3.9477060469751502</v>
      </c>
      <c r="I1021" s="20">
        <v>2.7468624988214501</v>
      </c>
      <c r="J1021" s="28">
        <v>6.0168353812094103E-3</v>
      </c>
      <c r="K1021" s="29">
        <v>0.13650921273695099</v>
      </c>
    </row>
    <row r="1022" spans="1:11" x14ac:dyDescent="0.35">
      <c r="A1022" s="9" t="str">
        <f>HYPERLINK("http://www.ensembl.org/id/WBGene00003996", "WBGene00003996")</f>
        <v>WBGene00003996</v>
      </c>
      <c r="B1022" s="9" t="str">
        <f>HYPERLINK("http://www.ncbi.nlm.nih.gov/gene/172262", "172262")</f>
        <v>172262</v>
      </c>
      <c r="C1022" s="9"/>
      <c r="D1022" t="str">
        <f>"pgp-2"</f>
        <v>pgp-2</v>
      </c>
      <c r="E1022" t="s">
        <v>885</v>
      </c>
      <c r="F1022" t="s">
        <v>11</v>
      </c>
      <c r="G1022" t="s">
        <v>886</v>
      </c>
      <c r="H1022" s="12">
        <v>1.79485937634696</v>
      </c>
      <c r="I1022" s="20">
        <v>2.7452587395279</v>
      </c>
      <c r="J1022" s="28">
        <v>6.0463206447352201E-3</v>
      </c>
      <c r="K1022" s="29">
        <v>0.136966945899267</v>
      </c>
    </row>
    <row r="1023" spans="1:11" x14ac:dyDescent="0.35">
      <c r="A1023" s="9" t="str">
        <f>HYPERLINK("http://www.ensembl.org/id/WBGene00001452", "WBGene00001452")</f>
        <v>WBGene00001452</v>
      </c>
      <c r="B1023" s="9" t="str">
        <f>HYPERLINK("http://www.ncbi.nlm.nih.gov/gene/178232", "178232")</f>
        <v>178232</v>
      </c>
      <c r="C1023" s="9"/>
      <c r="D1023" t="str">
        <f>"flp-9"</f>
        <v>flp-9</v>
      </c>
      <c r="E1023" t="s">
        <v>887</v>
      </c>
      <c r="F1023" t="s">
        <v>11</v>
      </c>
      <c r="H1023" s="12">
        <v>1.65195920754893</v>
      </c>
      <c r="I1023" s="20">
        <v>2.7440719318858</v>
      </c>
      <c r="J1023" s="28">
        <v>6.0682239479223597E-3</v>
      </c>
      <c r="K1023" s="29">
        <v>0.13732848436894601</v>
      </c>
    </row>
    <row r="1024" spans="1:11" x14ac:dyDescent="0.35">
      <c r="A1024" s="9" t="str">
        <f>HYPERLINK("http://www.ensembl.org/id/WBGene00015182", "WBGene00015182")</f>
        <v>WBGene00015182</v>
      </c>
      <c r="B1024" s="9" t="str">
        <f>HYPERLINK("http://www.ncbi.nlm.nih.gov/gene/181986", "181986")</f>
        <v>181986</v>
      </c>
      <c r="C1024" s="9"/>
      <c r="D1024" t="str">
        <f>"B0416.7"</f>
        <v>B0416.7</v>
      </c>
      <c r="F1024" t="s">
        <v>11</v>
      </c>
      <c r="H1024" s="12">
        <v>2.97912332229863</v>
      </c>
      <c r="I1024" s="20">
        <v>2.7429323707191302</v>
      </c>
      <c r="J1024" s="28">
        <v>6.08932252284869E-3</v>
      </c>
      <c r="K1024" s="29">
        <v>0.13740223262982601</v>
      </c>
    </row>
    <row r="1025" spans="1:11" x14ac:dyDescent="0.35">
      <c r="A1025" s="9" t="str">
        <f>HYPERLINK("http://www.ensembl.org/id/WBGene00016003", "WBGene00016003")</f>
        <v>WBGene00016003</v>
      </c>
      <c r="B1025" s="9" t="str">
        <f>HYPERLINK("http://www.ncbi.nlm.nih.gov/gene/174104", "174104")</f>
        <v>174104</v>
      </c>
      <c r="C1025" s="9"/>
      <c r="D1025" t="str">
        <f>"C18H9.5"</f>
        <v>C18H9.5</v>
      </c>
      <c r="F1025" t="s">
        <v>11</v>
      </c>
      <c r="G1025" t="s">
        <v>230</v>
      </c>
      <c r="H1025" s="12">
        <v>3.06809911081467</v>
      </c>
      <c r="I1025" s="20">
        <v>2.7429474137430301</v>
      </c>
      <c r="J1025" s="28">
        <v>6.0890435767256704E-3</v>
      </c>
      <c r="K1025" s="29">
        <v>0.13740223262982601</v>
      </c>
    </row>
    <row r="1026" spans="1:11" x14ac:dyDescent="0.35">
      <c r="A1026" s="9" t="str">
        <f>HYPERLINK("http://www.ensembl.org/id/WBGene00007801", "WBGene00007801")</f>
        <v>WBGene00007801</v>
      </c>
      <c r="B1026" s="9" t="str">
        <f>HYPERLINK("http://www.ncbi.nlm.nih.gov/gene/178118", "178118")</f>
        <v>178118</v>
      </c>
      <c r="C1026" s="9" t="str">
        <f>HYPERLINK("http://www.ncbi.nlm.nih.gov/gene/8989", "8989")</f>
        <v>8989</v>
      </c>
      <c r="D1026" t="str">
        <f>"trpa-1"</f>
        <v>trpa-1</v>
      </c>
      <c r="E1026" t="s">
        <v>888</v>
      </c>
      <c r="F1026" t="s">
        <v>11</v>
      </c>
      <c r="G1026" t="s">
        <v>889</v>
      </c>
      <c r="H1026" s="12">
        <v>1.8465426801307301</v>
      </c>
      <c r="I1026" s="20">
        <v>2.7430299830090998</v>
      </c>
      <c r="J1026" s="28">
        <v>6.0875126814997601E-3</v>
      </c>
      <c r="K1026" s="29">
        <v>0.13740223262982601</v>
      </c>
    </row>
    <row r="1027" spans="1:11" x14ac:dyDescent="0.35">
      <c r="A1027" s="9" t="str">
        <f>HYPERLINK("http://www.ensembl.org/id/WBGene00019617", "WBGene00019617")</f>
        <v>WBGene00019617</v>
      </c>
      <c r="B1027" s="9" t="str">
        <f>HYPERLINK("http://www.ncbi.nlm.nih.gov/gene/180915", "180915")</f>
        <v>180915</v>
      </c>
      <c r="C1027" s="9"/>
      <c r="D1027" t="str">
        <f>"K10C2.1"</f>
        <v>K10C2.1</v>
      </c>
      <c r="E1027" t="s">
        <v>890</v>
      </c>
      <c r="F1027" t="s">
        <v>11</v>
      </c>
      <c r="G1027" t="s">
        <v>891</v>
      </c>
      <c r="H1027" s="12">
        <v>1.69700936401983</v>
      </c>
      <c r="I1027" s="20">
        <v>2.74012390197211</v>
      </c>
      <c r="J1027" s="28">
        <v>6.1416026965635199E-3</v>
      </c>
      <c r="K1027" s="29">
        <v>0.13831176599103001</v>
      </c>
    </row>
    <row r="1028" spans="1:11" x14ac:dyDescent="0.35">
      <c r="A1028" s="9" t="str">
        <f>HYPERLINK("http://www.ensembl.org/id/WBGene00077766", "WBGene00077766")</f>
        <v>WBGene00077766</v>
      </c>
      <c r="B1028" s="9" t="str">
        <f>HYPERLINK("http://www.ncbi.nlm.nih.gov/gene/7040131", "7040131")</f>
        <v>7040131</v>
      </c>
      <c r="C1028" s="9"/>
      <c r="D1028" t="str">
        <f>"rgba-1"</f>
        <v>rgba-1</v>
      </c>
      <c r="E1028" t="s">
        <v>892</v>
      </c>
      <c r="F1028" t="s">
        <v>11</v>
      </c>
      <c r="H1028" s="12">
        <v>-12.225073478580899</v>
      </c>
      <c r="I1028" s="20">
        <v>-2.7401431767671802</v>
      </c>
      <c r="J1028" s="28">
        <v>6.1412425193006796E-3</v>
      </c>
      <c r="K1028" s="29">
        <v>0.13831176599103001</v>
      </c>
    </row>
    <row r="1029" spans="1:11" x14ac:dyDescent="0.35">
      <c r="A1029" s="9" t="str">
        <f>HYPERLINK("http://www.ensembl.org/id/WBGene00020461", "WBGene00020461")</f>
        <v>WBGene00020461</v>
      </c>
      <c r="B1029" s="9" t="str">
        <f>HYPERLINK("http://www.ncbi.nlm.nih.gov/gene/173782", "173782")</f>
        <v>173782</v>
      </c>
      <c r="C1029" s="9"/>
      <c r="D1029" t="str">
        <f>"T12C9.7"</f>
        <v>T12C9.7</v>
      </c>
      <c r="F1029" t="s">
        <v>11</v>
      </c>
      <c r="G1029" t="s">
        <v>893</v>
      </c>
      <c r="H1029" s="12">
        <v>-2.1836303744396801</v>
      </c>
      <c r="I1029" s="20">
        <v>-2.7388808744634598</v>
      </c>
      <c r="J1029" s="28">
        <v>6.1648706638646597E-3</v>
      </c>
      <c r="K1029" s="29">
        <v>0.138700585744164</v>
      </c>
    </row>
    <row r="1030" spans="1:11" x14ac:dyDescent="0.35">
      <c r="A1030" s="9" t="str">
        <f>HYPERLINK("http://www.ensembl.org/id/WBGene00013459", "WBGene00013459")</f>
        <v>WBGene00013459</v>
      </c>
      <c r="B1030" s="9" t="str">
        <f>HYPERLINK("http://www.ncbi.nlm.nih.gov/gene/259603", "259603")</f>
        <v>259603</v>
      </c>
      <c r="C1030" s="9"/>
      <c r="D1030" t="str">
        <f>"Y67A10A.10"</f>
        <v>Y67A10A.10</v>
      </c>
      <c r="F1030" t="s">
        <v>11</v>
      </c>
      <c r="H1030" s="12">
        <v>2.0375740243640399</v>
      </c>
      <c r="I1030" s="20">
        <v>2.7385355239975802</v>
      </c>
      <c r="J1030" s="28">
        <v>6.1713492812681204E-3</v>
      </c>
      <c r="K1030" s="29">
        <v>0.138711280635196</v>
      </c>
    </row>
    <row r="1031" spans="1:11" x14ac:dyDescent="0.35">
      <c r="A1031" s="9" t="str">
        <f>HYPERLINK("http://www.ensembl.org/id/WBGene00006666", "WBGene00006666")</f>
        <v>WBGene00006666</v>
      </c>
      <c r="B1031" s="9" t="str">
        <f>HYPERLINK("http://www.ncbi.nlm.nih.gov/gene/179088", "179088")</f>
        <v>179088</v>
      </c>
      <c r="C1031" s="9"/>
      <c r="D1031" t="str">
        <f>"twk-11"</f>
        <v>twk-11</v>
      </c>
      <c r="E1031" t="s">
        <v>894</v>
      </c>
      <c r="F1031" t="s">
        <v>11</v>
      </c>
      <c r="G1031" t="s">
        <v>895</v>
      </c>
      <c r="H1031" s="12">
        <v>2.6976739774331402</v>
      </c>
      <c r="I1031" s="20">
        <v>2.7372924406524599</v>
      </c>
      <c r="J1031" s="28">
        <v>6.1947197386376099E-3</v>
      </c>
      <c r="K1031" s="29">
        <v>0.13910125780462601</v>
      </c>
    </row>
    <row r="1032" spans="1:11" x14ac:dyDescent="0.35">
      <c r="A1032" s="9" t="str">
        <f>HYPERLINK("http://www.ensembl.org/id/WBGene00013443", "WBGene00013443")</f>
        <v>WBGene00013443</v>
      </c>
      <c r="B1032" s="9" t="str">
        <f>HYPERLINK("http://www.ncbi.nlm.nih.gov/gene/176583", "176583")</f>
        <v>176583</v>
      </c>
      <c r="C1032" s="9"/>
      <c r="D1032" t="str">
        <f>"such-1"</f>
        <v>such-1</v>
      </c>
      <c r="E1032" t="s">
        <v>896</v>
      </c>
      <c r="F1032" t="s">
        <v>11</v>
      </c>
      <c r="G1032" t="s">
        <v>897</v>
      </c>
      <c r="H1032" s="12">
        <v>-1.8843155482576901</v>
      </c>
      <c r="I1032" s="20">
        <v>-2.7358256908946901</v>
      </c>
      <c r="J1032" s="28">
        <v>6.2223976771269302E-3</v>
      </c>
      <c r="K1032" s="29">
        <v>0.13958710750261599</v>
      </c>
    </row>
    <row r="1033" spans="1:11" x14ac:dyDescent="0.35">
      <c r="A1033" s="9" t="str">
        <f>HYPERLINK("http://www.ensembl.org/id/WBGene00017992", "WBGene00017992")</f>
        <v>WBGene00017992</v>
      </c>
      <c r="B1033" s="9" t="str">
        <f>HYPERLINK("http://www.ncbi.nlm.nih.gov/gene/177535", "177535")</f>
        <v>177535</v>
      </c>
      <c r="C1033" s="9"/>
      <c r="D1033" t="str">
        <f>"F32E10.5"</f>
        <v>F32E10.5</v>
      </c>
      <c r="F1033" t="s">
        <v>11</v>
      </c>
      <c r="H1033" s="12">
        <v>-1.86120067455751</v>
      </c>
      <c r="I1033" s="20">
        <v>-2.7337471534747801</v>
      </c>
      <c r="J1033" s="28">
        <v>6.2618108929893401E-3</v>
      </c>
      <c r="K1033" s="29">
        <v>0.14033501696742201</v>
      </c>
    </row>
    <row r="1034" spans="1:11" x14ac:dyDescent="0.35">
      <c r="A1034" s="9" t="str">
        <f>HYPERLINK("http://www.ensembl.org/id/WBGene00020436", "WBGene00020436")</f>
        <v>WBGene00020436</v>
      </c>
      <c r="B1034" s="9" t="str">
        <f>HYPERLINK("http://www.ncbi.nlm.nih.gov/gene/175887", "175887")</f>
        <v>175887</v>
      </c>
      <c r="C1034" s="9" t="str">
        <f>HYPERLINK("http://www.ncbi.nlm.nih.gov/gene/144193", "144193")</f>
        <v>144193</v>
      </c>
      <c r="D1034" t="str">
        <f>"T12A2.1"</f>
        <v>T12A2.1</v>
      </c>
      <c r="F1034" t="s">
        <v>11</v>
      </c>
      <c r="G1034" t="s">
        <v>898</v>
      </c>
      <c r="H1034" s="12">
        <v>1.9263025256330899</v>
      </c>
      <c r="I1034" s="20">
        <v>2.7327517627042401</v>
      </c>
      <c r="J1034" s="28">
        <v>6.2807649501857004E-3</v>
      </c>
      <c r="K1034" s="29">
        <v>0.14062340594863501</v>
      </c>
    </row>
    <row r="1035" spans="1:11" x14ac:dyDescent="0.35">
      <c r="A1035" s="9" t="str">
        <f>HYPERLINK("http://www.ensembl.org/id/WBGene00003890", "WBGene00003890")</f>
        <v>WBGene00003890</v>
      </c>
      <c r="B1035" s="9" t="str">
        <f>HYPERLINK("http://www.ncbi.nlm.nih.gov/gene/191740", "191740")</f>
        <v>191740</v>
      </c>
      <c r="C1035" s="9"/>
      <c r="D1035" t="str">
        <f>"osm-10"</f>
        <v>osm-10</v>
      </c>
      <c r="E1035" t="s">
        <v>899</v>
      </c>
      <c r="F1035" t="s">
        <v>11</v>
      </c>
      <c r="G1035" t="s">
        <v>900</v>
      </c>
      <c r="H1035" s="12">
        <v>2.1128002147606701</v>
      </c>
      <c r="I1035" s="20">
        <v>2.7318973419154702</v>
      </c>
      <c r="J1035" s="28">
        <v>6.2970758553692902E-3</v>
      </c>
      <c r="K1035" s="29">
        <v>0.14085211492174499</v>
      </c>
    </row>
    <row r="1036" spans="1:11" x14ac:dyDescent="0.35">
      <c r="A1036" s="9" t="str">
        <f>HYPERLINK("http://www.ensembl.org/id/WBGene00015134", "WBGene00015134")</f>
        <v>WBGene00015134</v>
      </c>
      <c r="B1036" s="9" t="str">
        <f>HYPERLINK("http://www.ncbi.nlm.nih.gov/gene/173789", "173789")</f>
        <v>173789</v>
      </c>
      <c r="C1036" s="9"/>
      <c r="D1036" t="str">
        <f>"B0304.2"</f>
        <v>B0304.2</v>
      </c>
      <c r="F1036" t="s">
        <v>11</v>
      </c>
      <c r="H1036" s="12">
        <v>-2.0152739068534999</v>
      </c>
      <c r="I1036" s="20">
        <v>-2.7313781781778501</v>
      </c>
      <c r="J1036" s="28">
        <v>6.3070053105844003E-3</v>
      </c>
      <c r="K1036" s="29">
        <v>0.14093778018023501</v>
      </c>
    </row>
    <row r="1037" spans="1:11" x14ac:dyDescent="0.35">
      <c r="A1037" s="9" t="str">
        <f>HYPERLINK("http://www.ensembl.org/id/WBGene00021541", "WBGene00021541")</f>
        <v>WBGene00021541</v>
      </c>
      <c r="B1037" s="9" t="str">
        <f>HYPERLINK("http://www.ncbi.nlm.nih.gov/gene/189844", "189844")</f>
        <v>189844</v>
      </c>
      <c r="C1037" s="9"/>
      <c r="D1037" t="str">
        <f>"Y42H9B.3"</f>
        <v>Y42H9B.3</v>
      </c>
      <c r="F1037" t="s">
        <v>11</v>
      </c>
      <c r="H1037" s="12">
        <v>-1.80606730162968</v>
      </c>
      <c r="I1037" s="20">
        <v>-2.7307861120921402</v>
      </c>
      <c r="J1037" s="28">
        <v>6.3183462842964803E-3</v>
      </c>
      <c r="K1037" s="29">
        <v>0.14105479154101899</v>
      </c>
    </row>
    <row r="1038" spans="1:11" x14ac:dyDescent="0.35">
      <c r="A1038" s="9" t="str">
        <f>HYPERLINK("http://www.ensembl.org/id/WBGene00022037", "WBGene00022037")</f>
        <v>WBGene00022037</v>
      </c>
      <c r="B1038" s="9" t="str">
        <f>HYPERLINK("http://www.ncbi.nlm.nih.gov/gene/171643", "171643")</f>
        <v>171643</v>
      </c>
      <c r="C1038" s="9" t="str">
        <f>HYPERLINK("http://www.ncbi.nlm.nih.gov/gene/51703", "51703")</f>
        <v>51703</v>
      </c>
      <c r="D1038" t="str">
        <f>"acs-13"</f>
        <v>acs-13</v>
      </c>
      <c r="E1038" t="s">
        <v>533</v>
      </c>
      <c r="F1038" t="s">
        <v>11</v>
      </c>
      <c r="G1038" t="s">
        <v>901</v>
      </c>
      <c r="H1038" s="12">
        <v>-1.71499753307063</v>
      </c>
      <c r="I1038" s="20">
        <v>-2.72956789459939</v>
      </c>
      <c r="J1038" s="28">
        <v>6.3417388860838404E-3</v>
      </c>
      <c r="K1038" s="29">
        <v>0.14130397174720699</v>
      </c>
    </row>
    <row r="1039" spans="1:11" x14ac:dyDescent="0.35">
      <c r="A1039" s="9" t="str">
        <f>HYPERLINK("http://www.ensembl.org/id/WBGene00018237", "WBGene00018237")</f>
        <v>WBGene00018237</v>
      </c>
      <c r="B1039" s="9" t="str">
        <f>HYPERLINK("http://www.ncbi.nlm.nih.gov/gene/180613", "180613")</f>
        <v>180613</v>
      </c>
      <c r="C1039" s="9"/>
      <c r="D1039" t="str">
        <f>"irg-7"</f>
        <v>irg-7</v>
      </c>
      <c r="F1039" t="s">
        <v>11</v>
      </c>
      <c r="H1039" s="12">
        <v>1.6312449158558899</v>
      </c>
      <c r="I1039" s="20">
        <v>2.7297397385657298</v>
      </c>
      <c r="J1039" s="28">
        <v>6.3384343682632103E-3</v>
      </c>
      <c r="K1039" s="29">
        <v>0.14130397174720699</v>
      </c>
    </row>
    <row r="1040" spans="1:11" x14ac:dyDescent="0.35">
      <c r="A1040" s="9" t="str">
        <f>HYPERLINK("http://www.ensembl.org/id/WBGene00013390", "WBGene00013390")</f>
        <v>WBGene00013390</v>
      </c>
      <c r="B1040" s="9" t="str">
        <f>HYPERLINK("http://www.ncbi.nlm.nih.gov/gene/190460", "190460")</f>
        <v>190460</v>
      </c>
      <c r="C1040" s="9"/>
      <c r="D1040" t="str">
        <f>"Y62H9A.2"</f>
        <v>Y62H9A.2</v>
      </c>
      <c r="F1040" t="s">
        <v>11</v>
      </c>
      <c r="H1040" s="12">
        <v>-2.2322104709131798</v>
      </c>
      <c r="I1040" s="20">
        <v>-2.7292166768557098</v>
      </c>
      <c r="J1040" s="28">
        <v>6.3484975413104503E-3</v>
      </c>
      <c r="K1040" s="29">
        <v>0.14131828919992201</v>
      </c>
    </row>
    <row r="1041" spans="1:11" x14ac:dyDescent="0.35">
      <c r="A1041" s="9" t="str">
        <f>HYPERLINK("http://www.ensembl.org/id/WBGene00000240", "WBGene00000240")</f>
        <v>WBGene00000240</v>
      </c>
      <c r="B1041" s="9" t="str">
        <f>HYPERLINK("http://www.ncbi.nlm.nih.gov/gene/174401", "174401")</f>
        <v>174401</v>
      </c>
      <c r="C1041" s="9" t="str">
        <f>HYPERLINK("http://www.ncbi.nlm.nih.gov/gene/5053", "5053")</f>
        <v>5053</v>
      </c>
      <c r="D1041" t="str">
        <f>"pah-1"</f>
        <v>pah-1</v>
      </c>
      <c r="E1041" t="s">
        <v>902</v>
      </c>
      <c r="F1041" t="s">
        <v>11</v>
      </c>
      <c r="G1041" t="s">
        <v>903</v>
      </c>
      <c r="H1041" s="12">
        <v>1.6414723705329299</v>
      </c>
      <c r="I1041" s="20">
        <v>2.7287113630301101</v>
      </c>
      <c r="J1041" s="28">
        <v>6.3582329155229302E-3</v>
      </c>
      <c r="K1041" s="29">
        <v>0.141398777426442</v>
      </c>
    </row>
    <row r="1042" spans="1:11" x14ac:dyDescent="0.35">
      <c r="A1042" s="9" t="str">
        <f>HYPERLINK("http://www.ensembl.org/id/WBGene00000727", "WBGene00000727")</f>
        <v>WBGene00000727</v>
      </c>
      <c r="B1042" s="9" t="str">
        <f>HYPERLINK("http://www.ncbi.nlm.nih.gov/gene/186300", "186300")</f>
        <v>186300</v>
      </c>
      <c r="C1042" s="9"/>
      <c r="D1042" t="str">
        <f>"col-154"</f>
        <v>col-154</v>
      </c>
      <c r="E1042" t="s">
        <v>40</v>
      </c>
      <c r="F1042" t="s">
        <v>11</v>
      </c>
      <c r="G1042" t="s">
        <v>41</v>
      </c>
      <c r="H1042" s="12">
        <v>2.4663099931364201</v>
      </c>
      <c r="I1042" s="20">
        <v>2.7281824621499</v>
      </c>
      <c r="J1042" s="28">
        <v>6.3684371062075603E-3</v>
      </c>
      <c r="K1042" s="29">
        <v>0.141489526707723</v>
      </c>
    </row>
    <row r="1043" spans="1:11" x14ac:dyDescent="0.35">
      <c r="A1043" s="9" t="str">
        <f>HYPERLINK("http://www.ensembl.org/id/WBGene00007452", "WBGene00007452")</f>
        <v>WBGene00007452</v>
      </c>
      <c r="B1043" s="9" t="str">
        <f>HYPERLINK("http://www.ncbi.nlm.nih.gov/gene/182419", "182419")</f>
        <v>182419</v>
      </c>
      <c r="C1043" s="9"/>
      <c r="D1043" t="str">
        <f>"C08F11.3"</f>
        <v>C08F11.3</v>
      </c>
      <c r="F1043" t="s">
        <v>11</v>
      </c>
      <c r="G1043" t="s">
        <v>25</v>
      </c>
      <c r="H1043" s="12">
        <v>-4.4919882257844002</v>
      </c>
      <c r="I1043" s="20">
        <v>-2.7272309076252701</v>
      </c>
      <c r="J1043" s="28">
        <v>6.38683275209221E-3</v>
      </c>
      <c r="K1043" s="29">
        <v>0.14162587098833301</v>
      </c>
    </row>
    <row r="1044" spans="1:11" x14ac:dyDescent="0.35">
      <c r="A1044" s="9" t="str">
        <f>HYPERLINK("http://www.ensembl.org/id/WBGene00016504", "WBGene00016504")</f>
        <v>WBGene00016504</v>
      </c>
      <c r="B1044" s="9" t="str">
        <f>HYPERLINK("http://www.ncbi.nlm.nih.gov/gene/259632", "259632")</f>
        <v>259632</v>
      </c>
      <c r="C1044" s="9"/>
      <c r="D1044" t="str">
        <f>"C37C3.12"</f>
        <v>C37C3.12</v>
      </c>
      <c r="F1044" t="s">
        <v>11</v>
      </c>
      <c r="G1044" t="s">
        <v>904</v>
      </c>
      <c r="H1044" s="12">
        <v>2.0873793194496799</v>
      </c>
      <c r="I1044" s="20">
        <v>2.7272488222386699</v>
      </c>
      <c r="J1044" s="28">
        <v>6.3864859819808498E-3</v>
      </c>
      <c r="K1044" s="29">
        <v>0.14162587098833301</v>
      </c>
    </row>
    <row r="1045" spans="1:11" x14ac:dyDescent="0.35">
      <c r="A1045" s="9" t="str">
        <f>HYPERLINK("http://www.ensembl.org/id/WBGene00010041", "WBGene00010041")</f>
        <v>WBGene00010041</v>
      </c>
      <c r="B1045" s="9" t="str">
        <f>HYPERLINK("http://www.ncbi.nlm.nih.gov/gene/174369", "174369")</f>
        <v>174369</v>
      </c>
      <c r="C1045" s="9"/>
      <c r="D1045" t="str">
        <f>"F54C9.3"</f>
        <v>F54C9.3</v>
      </c>
      <c r="F1045" t="s">
        <v>11</v>
      </c>
      <c r="H1045" s="12">
        <v>-1.81425970218914</v>
      </c>
      <c r="I1045" s="20">
        <v>-2.7267523036696502</v>
      </c>
      <c r="J1045" s="28">
        <v>6.3961032819897399E-3</v>
      </c>
      <c r="K1045" s="29">
        <v>0.141695457750388</v>
      </c>
    </row>
    <row r="1046" spans="1:11" x14ac:dyDescent="0.35">
      <c r="A1046" s="9" t="str">
        <f>HYPERLINK("http://www.ensembl.org/id/WBGene00008037", "WBGene00008037")</f>
        <v>WBGene00008037</v>
      </c>
      <c r="B1046" s="9"/>
      <c r="C1046" s="9"/>
      <c r="D1046" t="str">
        <f>"C40C9.4"</f>
        <v>C40C9.4</v>
      </c>
      <c r="F1046" t="s">
        <v>11</v>
      </c>
      <c r="H1046" s="12">
        <v>-2.2824446438591202</v>
      </c>
      <c r="I1046" s="20">
        <v>-2.7263623432335802</v>
      </c>
      <c r="J1046" s="28">
        <v>6.4036657421636502E-3</v>
      </c>
      <c r="K1046" s="29">
        <v>0.14172710789122001</v>
      </c>
    </row>
    <row r="1047" spans="1:11" x14ac:dyDescent="0.35">
      <c r="A1047" s="9" t="str">
        <f>HYPERLINK("http://www.ensembl.org/id/WBGene00012959", "WBGene00012959")</f>
        <v>WBGene00012959</v>
      </c>
      <c r="B1047" s="9" t="str">
        <f>HYPERLINK("http://www.ncbi.nlm.nih.gov/gene/190008", "190008")</f>
        <v>190008</v>
      </c>
      <c r="C1047" s="9"/>
      <c r="D1047" t="str">
        <f>"Y47H10A.3"</f>
        <v>Y47H10A.3</v>
      </c>
      <c r="F1047" t="s">
        <v>11</v>
      </c>
      <c r="G1047" t="s">
        <v>644</v>
      </c>
      <c r="H1047" s="12">
        <v>-3.08270235628411</v>
      </c>
      <c r="I1047" s="20">
        <v>-2.7259963776229599</v>
      </c>
      <c r="J1047" s="28">
        <v>6.41077019039679E-3</v>
      </c>
      <c r="K1047" s="29">
        <v>0.14174857035340499</v>
      </c>
    </row>
    <row r="1048" spans="1:11" x14ac:dyDescent="0.35">
      <c r="A1048" s="9" t="str">
        <f>HYPERLINK("http://www.ensembl.org/id/WBGene00045390", "WBGene00045390")</f>
        <v>WBGene00045390</v>
      </c>
      <c r="B1048" s="9" t="str">
        <f>HYPERLINK("http://www.ncbi.nlm.nih.gov/gene/6418706", "6418706")</f>
        <v>6418706</v>
      </c>
      <c r="C1048" s="9"/>
      <c r="D1048" t="str">
        <f>"C38C3.10"</f>
        <v>C38C3.10</v>
      </c>
      <c r="F1048" t="s">
        <v>11</v>
      </c>
      <c r="H1048" s="12">
        <v>2.3533098433215098</v>
      </c>
      <c r="I1048" s="20">
        <v>2.7249261146494401</v>
      </c>
      <c r="J1048" s="28">
        <v>6.4315877973955002E-3</v>
      </c>
      <c r="K1048" s="29">
        <v>0.141776750059941</v>
      </c>
    </row>
    <row r="1049" spans="1:11" x14ac:dyDescent="0.35">
      <c r="A1049" s="9" t="str">
        <f>HYPERLINK("http://www.ensembl.org/id/WBGene00010468", "WBGene00010468")</f>
        <v>WBGene00010468</v>
      </c>
      <c r="B1049" s="9" t="str">
        <f>HYPERLINK("http://www.ncbi.nlm.nih.gov/gene/186847", "186847")</f>
        <v>186847</v>
      </c>
      <c r="C1049" s="9"/>
      <c r="D1049" t="str">
        <f>"K01D12.9"</f>
        <v>K01D12.9</v>
      </c>
      <c r="F1049" t="s">
        <v>11</v>
      </c>
      <c r="H1049" s="12">
        <v>-15.357066496759799</v>
      </c>
      <c r="I1049" s="20">
        <v>-2.7247541863201801</v>
      </c>
      <c r="J1049" s="28">
        <v>6.4349376268387102E-3</v>
      </c>
      <c r="K1049" s="29">
        <v>0.141776750059941</v>
      </c>
    </row>
    <row r="1050" spans="1:11" x14ac:dyDescent="0.35">
      <c r="A1050" s="9" t="str">
        <f>HYPERLINK("http://www.ensembl.org/id/WBGene00018402", "WBGene00018402")</f>
        <v>WBGene00018402</v>
      </c>
      <c r="B1050" s="9" t="str">
        <f>HYPERLINK("http://www.ncbi.nlm.nih.gov/gene/185719", "185719")</f>
        <v>185719</v>
      </c>
      <c r="C1050" s="9"/>
      <c r="D1050" t="str">
        <f>"kvs-3"</f>
        <v>kvs-3</v>
      </c>
      <c r="F1050" t="s">
        <v>11</v>
      </c>
      <c r="G1050" t="s">
        <v>905</v>
      </c>
      <c r="H1050" s="12">
        <v>2.4420154972860302</v>
      </c>
      <c r="I1050" s="20">
        <v>2.7249654080736598</v>
      </c>
      <c r="J1050" s="28">
        <v>6.4308224296680599E-3</v>
      </c>
      <c r="K1050" s="29">
        <v>0.141776750059941</v>
      </c>
    </row>
    <row r="1051" spans="1:11" x14ac:dyDescent="0.35">
      <c r="A1051" s="9" t="str">
        <f>HYPERLINK("http://www.ensembl.org/id/WBGene00044779", "WBGene00044779")</f>
        <v>WBGene00044779</v>
      </c>
      <c r="B1051" s="9" t="str">
        <f>HYPERLINK("http://www.ncbi.nlm.nih.gov/gene/4363099", "4363099")</f>
        <v>4363099</v>
      </c>
      <c r="C1051" s="9"/>
      <c r="D1051" t="str">
        <f>"T10H9.8"</f>
        <v>T10H9.8</v>
      </c>
      <c r="F1051" t="s">
        <v>11</v>
      </c>
      <c r="G1051" t="s">
        <v>325</v>
      </c>
      <c r="H1051" s="12">
        <v>1.8421148610667999</v>
      </c>
      <c r="I1051" s="20">
        <v>2.7243548503681101</v>
      </c>
      <c r="J1051" s="28">
        <v>6.4427242951154498E-3</v>
      </c>
      <c r="K1051" s="29">
        <v>0.141776750059941</v>
      </c>
    </row>
    <row r="1052" spans="1:11" x14ac:dyDescent="0.35">
      <c r="A1052" s="9" t="str">
        <f>HYPERLINK("http://www.ensembl.org/id/WBGene00021795", "WBGene00021795")</f>
        <v>WBGene00021795</v>
      </c>
      <c r="B1052" s="9" t="str">
        <f>HYPERLINK("http://www.ncbi.nlm.nih.gov/gene/173765", "173765")</f>
        <v>173765</v>
      </c>
      <c r="C1052" s="9"/>
      <c r="D1052" t="str">
        <f>"Y52E8A.2"</f>
        <v>Y52E8A.2</v>
      </c>
      <c r="F1052" t="s">
        <v>11</v>
      </c>
      <c r="G1052" t="s">
        <v>463</v>
      </c>
      <c r="H1052" s="12">
        <v>-2.1221039657673599</v>
      </c>
      <c r="I1052" s="20">
        <v>-2.7246190949154498</v>
      </c>
      <c r="J1052" s="28">
        <v>6.43757083155801E-3</v>
      </c>
      <c r="K1052" s="29">
        <v>0.141776750059941</v>
      </c>
    </row>
    <row r="1053" spans="1:11" x14ac:dyDescent="0.35">
      <c r="A1053" s="9" t="str">
        <f>HYPERLINK("http://www.ensembl.org/id/WBGene00019458", "WBGene00019458")</f>
        <v>WBGene00019458</v>
      </c>
      <c r="B1053" s="9" t="str">
        <f>HYPERLINK("http://www.ncbi.nlm.nih.gov/gene/187078", "187078")</f>
        <v>187078</v>
      </c>
      <c r="C1053" s="9"/>
      <c r="D1053" t="str">
        <f>"K06H7.7"</f>
        <v>K06H7.7</v>
      </c>
      <c r="F1053" t="s">
        <v>11</v>
      </c>
      <c r="H1053" s="12">
        <v>-1.9169989980979101</v>
      </c>
      <c r="I1053" s="20">
        <v>-2.7239089286232701</v>
      </c>
      <c r="J1053" s="28">
        <v>6.45142935890833E-3</v>
      </c>
      <c r="K1053" s="29">
        <v>0.141808312318777</v>
      </c>
    </row>
    <row r="1054" spans="1:11" x14ac:dyDescent="0.35">
      <c r="A1054" s="9" t="str">
        <f>HYPERLINK("http://www.ensembl.org/id/WBGene00010976", "WBGene00010976")</f>
        <v>WBGene00010976</v>
      </c>
      <c r="B1054" s="9" t="str">
        <f>HYPERLINK("http://www.ncbi.nlm.nih.gov/gene/179956", "179956")</f>
        <v>179956</v>
      </c>
      <c r="C1054" s="9"/>
      <c r="D1054" t="str">
        <f>"R02D5.1"</f>
        <v>R02D5.1</v>
      </c>
      <c r="F1054" t="s">
        <v>11</v>
      </c>
      <c r="G1054" t="s">
        <v>54</v>
      </c>
      <c r="H1054" s="12">
        <v>1.81096746646822</v>
      </c>
      <c r="I1054" s="20">
        <v>2.72365285114783</v>
      </c>
      <c r="J1054" s="28">
        <v>6.45643315845897E-3</v>
      </c>
      <c r="K1054" s="29">
        <v>0.141808312318777</v>
      </c>
    </row>
    <row r="1055" spans="1:11" x14ac:dyDescent="0.35">
      <c r="A1055" s="9" t="str">
        <f>HYPERLINK("http://www.ensembl.org/id/WBGene00022283", "WBGene00022283")</f>
        <v>WBGene00022283</v>
      </c>
      <c r="B1055" s="9" t="str">
        <f>HYPERLINK("http://www.ncbi.nlm.nih.gov/gene/173802", "173802")</f>
        <v>173802</v>
      </c>
      <c r="C1055" s="9"/>
      <c r="D1055" t="str">
        <f>"lgc-27"</f>
        <v>lgc-27</v>
      </c>
      <c r="E1055" t="s">
        <v>505</v>
      </c>
      <c r="F1055" t="s">
        <v>11</v>
      </c>
      <c r="G1055" t="s">
        <v>906</v>
      </c>
      <c r="H1055" s="12">
        <v>2.1557709201438899</v>
      </c>
      <c r="I1055" s="20">
        <v>2.72291505278235</v>
      </c>
      <c r="J1055" s="28">
        <v>6.4708693971508103E-3</v>
      </c>
      <c r="K1055" s="29">
        <v>0.14199041623035799</v>
      </c>
    </row>
    <row r="1056" spans="1:11" x14ac:dyDescent="0.35">
      <c r="A1056" s="9" t="str">
        <f>HYPERLINK("http://www.ensembl.org/id/WBGene00018269", "WBGene00018269")</f>
        <v>WBGene00018269</v>
      </c>
      <c r="B1056" s="9" t="str">
        <f>HYPERLINK("http://www.ncbi.nlm.nih.gov/gene/173820", "173820")</f>
        <v>173820</v>
      </c>
      <c r="C1056" s="9"/>
      <c r="D1056" t="str">
        <f>"acs-11"</f>
        <v>acs-11</v>
      </c>
      <c r="E1056" t="s">
        <v>533</v>
      </c>
      <c r="F1056" t="s">
        <v>11</v>
      </c>
      <c r="G1056" t="s">
        <v>909</v>
      </c>
      <c r="H1056" s="12">
        <v>-1.66882632927901</v>
      </c>
      <c r="I1056" s="20">
        <v>-2.72100329964359</v>
      </c>
      <c r="J1056" s="28">
        <v>6.50841118738066E-3</v>
      </c>
      <c r="K1056" s="29">
        <v>0.14230407785108201</v>
      </c>
    </row>
    <row r="1057" spans="1:11" x14ac:dyDescent="0.35">
      <c r="A1057" s="9" t="str">
        <f>HYPERLINK("http://www.ensembl.org/id/WBGene00008824", "WBGene00008824")</f>
        <v>WBGene00008824</v>
      </c>
      <c r="B1057" s="9" t="str">
        <f>HYPERLINK("http://www.ncbi.nlm.nih.gov/gene/184491", "184491")</f>
        <v>184491</v>
      </c>
      <c r="C1057" s="9"/>
      <c r="D1057" t="str">
        <f>"F14H3.5"</f>
        <v>F14H3.5</v>
      </c>
      <c r="F1057" t="s">
        <v>11</v>
      </c>
      <c r="H1057" s="12">
        <v>-2.2698429929688699</v>
      </c>
      <c r="I1057" s="20">
        <v>-2.7214629445819001</v>
      </c>
      <c r="J1057" s="28">
        <v>6.4993671275535899E-3</v>
      </c>
      <c r="K1057" s="29">
        <v>0.14230407785108201</v>
      </c>
    </row>
    <row r="1058" spans="1:11" x14ac:dyDescent="0.35">
      <c r="A1058" s="9" t="str">
        <f>HYPERLINK("http://www.ensembl.org/id/WBGene00001447", "WBGene00001447")</f>
        <v>WBGene00001447</v>
      </c>
      <c r="B1058" s="9" t="str">
        <f>HYPERLINK("http://www.ncbi.nlm.nih.gov/gene/174568", "174568")</f>
        <v>174568</v>
      </c>
      <c r="C1058" s="9"/>
      <c r="D1058" t="str">
        <f>"flp-4"</f>
        <v>flp-4</v>
      </c>
      <c r="E1058" t="s">
        <v>907</v>
      </c>
      <c r="F1058" t="s">
        <v>11</v>
      </c>
      <c r="G1058" t="s">
        <v>908</v>
      </c>
      <c r="H1058" s="12">
        <v>1.8182452597451899</v>
      </c>
      <c r="I1058" s="20">
        <v>2.72093282977468</v>
      </c>
      <c r="J1058" s="28">
        <v>6.50979876606049E-3</v>
      </c>
      <c r="K1058" s="29">
        <v>0.14230407785108201</v>
      </c>
    </row>
    <row r="1059" spans="1:11" x14ac:dyDescent="0.35">
      <c r="A1059" s="9" t="str">
        <f>HYPERLINK("http://www.ensembl.org/id/WBGene00004304", "WBGene00004304")</f>
        <v>WBGene00004304</v>
      </c>
      <c r="B1059" s="9" t="str">
        <f>HYPERLINK("http://www.ncbi.nlm.nih.gov/gene/174332", "174332")</f>
        <v>174332</v>
      </c>
      <c r="C1059" s="9" t="str">
        <f>HYPERLINK("http://www.ncbi.nlm.nih.gov/gene/1104", "1104")</f>
        <v>1104</v>
      </c>
      <c r="D1059" t="str">
        <f>"ran-3"</f>
        <v>ran-3</v>
      </c>
      <c r="E1059" t="s">
        <v>910</v>
      </c>
      <c r="F1059" t="s">
        <v>11</v>
      </c>
      <c r="G1059" t="s">
        <v>911</v>
      </c>
      <c r="H1059" s="12">
        <v>-1.67096132688091</v>
      </c>
      <c r="I1059" s="20">
        <v>-2.7214063814949299</v>
      </c>
      <c r="J1059" s="28">
        <v>6.5004794631375803E-3</v>
      </c>
      <c r="K1059" s="29">
        <v>0.14230407785108201</v>
      </c>
    </row>
    <row r="1060" spans="1:11" x14ac:dyDescent="0.35">
      <c r="A1060" s="9" t="str">
        <f>HYPERLINK("http://www.ensembl.org/id/WBGene00019989", "WBGene00019989")</f>
        <v>WBGene00019989</v>
      </c>
      <c r="B1060" s="9" t="str">
        <f>HYPERLINK("http://www.ncbi.nlm.nih.gov/gene/181088", "181088")</f>
        <v>181088</v>
      </c>
      <c r="C1060" s="9"/>
      <c r="D1060" t="str">
        <f>"R09F10.8"</f>
        <v>R09F10.8</v>
      </c>
      <c r="F1060" t="s">
        <v>11</v>
      </c>
      <c r="H1060" s="12">
        <v>-1.8019231091596299</v>
      </c>
      <c r="I1060" s="20">
        <v>-2.7205326459375598</v>
      </c>
      <c r="J1060" s="28">
        <v>6.51768358619429E-3</v>
      </c>
      <c r="K1060" s="29">
        <v>0.14234177404783099</v>
      </c>
    </row>
    <row r="1061" spans="1:11" x14ac:dyDescent="0.35">
      <c r="A1061" s="9" t="str">
        <f>HYPERLINK("http://www.ensembl.org/id/WBGene00008076", "WBGene00008076")</f>
        <v>WBGene00008076</v>
      </c>
      <c r="B1061" s="9" t="str">
        <f>HYPERLINK("http://www.ncbi.nlm.nih.gov/gene/259591", "259591")</f>
        <v>259591</v>
      </c>
      <c r="C1061" s="9"/>
      <c r="D1061" t="str">
        <f>"lgc-43"</f>
        <v>lgc-43</v>
      </c>
      <c r="E1061" t="s">
        <v>505</v>
      </c>
      <c r="F1061" t="s">
        <v>11</v>
      </c>
      <c r="G1061" t="s">
        <v>912</v>
      </c>
      <c r="H1061" s="12">
        <v>2.2016920095709298</v>
      </c>
      <c r="I1061" s="20">
        <v>2.7201827949020099</v>
      </c>
      <c r="J1061" s="28">
        <v>6.5245837356225703E-3</v>
      </c>
      <c r="K1061" s="29">
        <v>0.14235791482086399</v>
      </c>
    </row>
    <row r="1062" spans="1:11" x14ac:dyDescent="0.35">
      <c r="A1062" s="9" t="str">
        <f>HYPERLINK("http://www.ensembl.org/id/WBGene00004127", "WBGene00004127")</f>
        <v>WBGene00004127</v>
      </c>
      <c r="B1062" s="9" t="str">
        <f>HYPERLINK("http://www.ncbi.nlm.nih.gov/gene/180399", "180399")</f>
        <v>180399</v>
      </c>
      <c r="C1062" s="9"/>
      <c r="D1062" t="str">
        <f>"abu-12"</f>
        <v>abu-12</v>
      </c>
      <c r="E1062" t="s">
        <v>913</v>
      </c>
      <c r="F1062" t="s">
        <v>11</v>
      </c>
      <c r="G1062" t="s">
        <v>914</v>
      </c>
      <c r="H1062" s="12">
        <v>4.9095827813070496</v>
      </c>
      <c r="I1062" s="20">
        <v>2.7192553043507801</v>
      </c>
      <c r="J1062" s="28">
        <v>6.5429085410396003E-3</v>
      </c>
      <c r="K1062" s="29">
        <v>0.14258611538504101</v>
      </c>
    </row>
    <row r="1063" spans="1:11" x14ac:dyDescent="0.35">
      <c r="A1063" s="9" t="str">
        <f>HYPERLINK("http://www.ensembl.org/id/WBGene00021781", "WBGene00021781")</f>
        <v>WBGene00021781</v>
      </c>
      <c r="B1063" s="9" t="str">
        <f>HYPERLINK("http://www.ncbi.nlm.nih.gov/gene/173521", "173521")</f>
        <v>173521</v>
      </c>
      <c r="C1063" s="9"/>
      <c r="D1063" t="str">
        <f>"Y51H7C.3"</f>
        <v>Y51H7C.3</v>
      </c>
      <c r="F1063" t="s">
        <v>11</v>
      </c>
      <c r="H1063" s="12">
        <v>-1.8474912416775</v>
      </c>
      <c r="I1063" s="20">
        <v>-2.7190291087582499</v>
      </c>
      <c r="J1063" s="28">
        <v>6.5473845937647403E-3</v>
      </c>
      <c r="K1063" s="29">
        <v>0.14258611538504101</v>
      </c>
    </row>
    <row r="1064" spans="1:11" x14ac:dyDescent="0.35">
      <c r="A1064" s="9" t="str">
        <f>HYPERLINK("http://www.ensembl.org/id/WBGene00006615", "WBGene00006615")</f>
        <v>WBGene00006615</v>
      </c>
      <c r="B1064" s="9" t="str">
        <f>HYPERLINK("http://www.ncbi.nlm.nih.gov/gene/192056", "192056")</f>
        <v>192056</v>
      </c>
      <c r="C1064" s="9" t="str">
        <f>HYPERLINK("http://www.ncbi.nlm.nih.gov/gene/7223", "7223")</f>
        <v>7223</v>
      </c>
      <c r="D1064" t="str">
        <f>"trp-2"</f>
        <v>trp-2</v>
      </c>
      <c r="E1064" t="s">
        <v>915</v>
      </c>
      <c r="F1064" t="s">
        <v>11</v>
      </c>
      <c r="G1064" t="s">
        <v>916</v>
      </c>
      <c r="H1064" s="12">
        <v>1.9769955835006201</v>
      </c>
      <c r="I1064" s="20">
        <v>2.7185168660664298</v>
      </c>
      <c r="J1064" s="28">
        <v>6.5575312473884302E-3</v>
      </c>
      <c r="K1064" s="29">
        <v>0.14267261487962099</v>
      </c>
    </row>
    <row r="1065" spans="1:11" x14ac:dyDescent="0.35">
      <c r="A1065" s="9" t="str">
        <f>HYPERLINK("http://www.ensembl.org/id/WBGene00021372", "WBGene00021372")</f>
        <v>WBGene00021372</v>
      </c>
      <c r="B1065" s="9" t="str">
        <f>HYPERLINK("http://www.ncbi.nlm.nih.gov/gene/177139", "177139")</f>
        <v>177139</v>
      </c>
      <c r="C1065" s="9"/>
      <c r="D1065" t="str">
        <f>"ugt-45"</f>
        <v>ugt-45</v>
      </c>
      <c r="E1065" t="s">
        <v>103</v>
      </c>
      <c r="F1065" t="s">
        <v>11</v>
      </c>
      <c r="G1065" t="s">
        <v>104</v>
      </c>
      <c r="H1065" s="12">
        <v>1.79307093449059</v>
      </c>
      <c r="I1065" s="20">
        <v>2.71751930675727</v>
      </c>
      <c r="J1065" s="28">
        <v>6.5773317903175003E-3</v>
      </c>
      <c r="K1065" s="29">
        <v>0.14296879430581</v>
      </c>
    </row>
    <row r="1066" spans="1:11" x14ac:dyDescent="0.35">
      <c r="A1066" s="9" t="str">
        <f>HYPERLINK("http://www.ensembl.org/id/WBGene00011487", "WBGene00011487")</f>
        <v>WBGene00011487</v>
      </c>
      <c r="B1066" s="9" t="str">
        <f>HYPERLINK("http://www.ncbi.nlm.nih.gov/gene/180136", "180136")</f>
        <v>180136</v>
      </c>
      <c r="C1066" s="9"/>
      <c r="D1066" t="str">
        <f>"T05E12.6"</f>
        <v>T05E12.6</v>
      </c>
      <c r="F1066" t="s">
        <v>11</v>
      </c>
      <c r="H1066" s="12">
        <v>1.8767269004154401</v>
      </c>
      <c r="I1066" s="20">
        <v>2.71627458177054</v>
      </c>
      <c r="J1066" s="28">
        <v>6.6021137125900804E-3</v>
      </c>
      <c r="K1066" s="29">
        <v>0.143372593461566</v>
      </c>
    </row>
    <row r="1067" spans="1:11" x14ac:dyDescent="0.35">
      <c r="A1067" s="9" t="str">
        <f>HYPERLINK("http://www.ensembl.org/id/WBGene00006440", "WBGene00006440")</f>
        <v>WBGene00006440</v>
      </c>
      <c r="B1067" s="9" t="str">
        <f>HYPERLINK("http://www.ncbi.nlm.nih.gov/gene/171913", "171913")</f>
        <v>171913</v>
      </c>
      <c r="C1067" s="9"/>
      <c r="D1067" t="str">
        <f>"tag-63"</f>
        <v>tag-63</v>
      </c>
      <c r="F1067" t="s">
        <v>11</v>
      </c>
      <c r="H1067" s="12">
        <v>-1.8979247584975201</v>
      </c>
      <c r="I1067" s="20">
        <v>-2.71238983592173</v>
      </c>
      <c r="J1067" s="28">
        <v>6.6799981240638602E-3</v>
      </c>
      <c r="K1067" s="29">
        <v>0.14492773394799999</v>
      </c>
    </row>
    <row r="1068" spans="1:11" x14ac:dyDescent="0.35">
      <c r="A1068" s="9" t="str">
        <f>HYPERLINK("http://www.ensembl.org/id/WBGene00003754", "WBGene00003754")</f>
        <v>WBGene00003754</v>
      </c>
      <c r="B1068" s="9" t="str">
        <f>HYPERLINK("http://www.ncbi.nlm.nih.gov/gene/177387", "177387")</f>
        <v>177387</v>
      </c>
      <c r="C1068" s="9"/>
      <c r="D1068" t="str">
        <f>"nlp-16"</f>
        <v>nlp-16</v>
      </c>
      <c r="E1068" t="s">
        <v>76</v>
      </c>
      <c r="F1068" t="s">
        <v>11</v>
      </c>
      <c r="G1068" t="s">
        <v>77</v>
      </c>
      <c r="H1068" s="12">
        <v>1.86754258189308</v>
      </c>
      <c r="I1068" s="20">
        <v>2.71109289328861</v>
      </c>
      <c r="J1068" s="28">
        <v>6.7061835614501304E-3</v>
      </c>
      <c r="K1068" s="29">
        <v>0.145359359634959</v>
      </c>
    </row>
    <row r="1069" spans="1:11" x14ac:dyDescent="0.35">
      <c r="A1069" s="9" t="str">
        <f>HYPERLINK("http://www.ensembl.org/id/WBGene00010985", "WBGene00010985")</f>
        <v>WBGene00010985</v>
      </c>
      <c r="B1069" s="9" t="str">
        <f>HYPERLINK("http://www.ncbi.nlm.nih.gov/gene/181634", "181634")</f>
        <v>181634</v>
      </c>
      <c r="C1069" s="9"/>
      <c r="D1069" t="str">
        <f>"R03A10.5"</f>
        <v>R03A10.5</v>
      </c>
      <c r="F1069" t="s">
        <v>11</v>
      </c>
      <c r="H1069" s="12">
        <v>1.70731347900326</v>
      </c>
      <c r="I1069" s="20">
        <v>2.7096159916337599</v>
      </c>
      <c r="J1069" s="28">
        <v>6.7361147286316599E-3</v>
      </c>
      <c r="K1069" s="29">
        <v>0.14587129045900901</v>
      </c>
    </row>
    <row r="1070" spans="1:11" x14ac:dyDescent="0.35">
      <c r="A1070" s="9" t="str">
        <f>HYPERLINK("http://www.ensembl.org/id/WBGene00016180", "WBGene00016180")</f>
        <v>WBGene00016180</v>
      </c>
      <c r="B1070" s="9" t="str">
        <f>HYPERLINK("http://www.ncbi.nlm.nih.gov/gene/182978", "182978")</f>
        <v>182978</v>
      </c>
      <c r="C1070" s="9"/>
      <c r="D1070" t="str">
        <f>"C28C12.4"</f>
        <v>C28C12.4</v>
      </c>
      <c r="F1070" t="s">
        <v>11</v>
      </c>
      <c r="H1070" s="12">
        <v>2.2688884424064599</v>
      </c>
      <c r="I1070" s="20">
        <v>2.7091152151213498</v>
      </c>
      <c r="J1070" s="28">
        <v>6.7462907860161804E-3</v>
      </c>
      <c r="K1070" s="29">
        <v>0.14595486414015901</v>
      </c>
    </row>
    <row r="1071" spans="1:11" x14ac:dyDescent="0.35">
      <c r="A1071" s="9" t="str">
        <f>HYPERLINK("http://www.ensembl.org/id/WBGene00009094", "WBGene00009094")</f>
        <v>WBGene00009094</v>
      </c>
      <c r="B1071" s="9" t="str">
        <f>HYPERLINK("http://www.ncbi.nlm.nih.gov/gene/179695", "179695")</f>
        <v>179695</v>
      </c>
      <c r="C1071" s="9"/>
      <c r="D1071" t="str">
        <f>"F23H12.5"</f>
        <v>F23H12.5</v>
      </c>
      <c r="F1071" t="s">
        <v>11</v>
      </c>
      <c r="G1071" t="s">
        <v>917</v>
      </c>
      <c r="H1071" s="12">
        <v>3.0037060861482199</v>
      </c>
      <c r="I1071" s="20">
        <v>2.7076628400946698</v>
      </c>
      <c r="J1071" s="28">
        <v>6.7758820471749501E-3</v>
      </c>
      <c r="K1071" s="29">
        <v>0.14618443565081601</v>
      </c>
    </row>
    <row r="1072" spans="1:11" x14ac:dyDescent="0.35">
      <c r="A1072" s="9" t="str">
        <f>HYPERLINK("http://www.ensembl.org/id/WBGene00002252", "WBGene00002252")</f>
        <v>WBGene00002252</v>
      </c>
      <c r="B1072" s="9" t="str">
        <f>HYPERLINK("http://www.ncbi.nlm.nih.gov/gene/173771", "173771")</f>
        <v>173771</v>
      </c>
      <c r="C1072" s="9"/>
      <c r="D1072" t="str">
        <f>"lat-2"</f>
        <v>lat-2</v>
      </c>
      <c r="E1072" t="s">
        <v>918</v>
      </c>
      <c r="F1072" t="s">
        <v>11</v>
      </c>
      <c r="G1072" t="s">
        <v>919</v>
      </c>
      <c r="H1072" s="12">
        <v>2.3816757720235899</v>
      </c>
      <c r="I1072" s="20">
        <v>2.70799241651358</v>
      </c>
      <c r="J1072" s="28">
        <v>6.7691569142262903E-3</v>
      </c>
      <c r="K1072" s="29">
        <v>0.14618443565081601</v>
      </c>
    </row>
    <row r="1073" spans="1:11" x14ac:dyDescent="0.35">
      <c r="A1073" s="9" t="str">
        <f>HYPERLINK("http://www.ensembl.org/id/WBGene00021192", "WBGene00021192")</f>
        <v>WBGene00021192</v>
      </c>
      <c r="B1073" s="9" t="str">
        <f>HYPERLINK("http://www.ncbi.nlm.nih.gov/gene/173735", "173735")</f>
        <v>173735</v>
      </c>
      <c r="C1073" s="9"/>
      <c r="D1073" t="str">
        <f>"Y14H12B.2"</f>
        <v>Y14H12B.2</v>
      </c>
      <c r="F1073" t="s">
        <v>11</v>
      </c>
      <c r="H1073" s="12">
        <v>-1.8329290434814001</v>
      </c>
      <c r="I1073" s="20">
        <v>-2.7078672565112698</v>
      </c>
      <c r="J1073" s="28">
        <v>6.7717101451574696E-3</v>
      </c>
      <c r="K1073" s="29">
        <v>0.14618443565081601</v>
      </c>
    </row>
    <row r="1074" spans="1:11" x14ac:dyDescent="0.35">
      <c r="A1074" s="9" t="str">
        <f>HYPERLINK("http://www.ensembl.org/id/WBGene00011410", "WBGene00011410")</f>
        <v>WBGene00011410</v>
      </c>
      <c r="B1074" s="9" t="str">
        <f>HYPERLINK("http://www.ncbi.nlm.nih.gov/gene/259502", "259502")</f>
        <v>259502</v>
      </c>
      <c r="C1074" s="9"/>
      <c r="D1074" t="str">
        <f>"T04A8.8"</f>
        <v>T04A8.8</v>
      </c>
      <c r="F1074" t="s">
        <v>11</v>
      </c>
      <c r="H1074" s="12">
        <v>-1.69561418169598</v>
      </c>
      <c r="I1074" s="20">
        <v>-2.70730830163459</v>
      </c>
      <c r="J1074" s="28">
        <v>6.7831232436623198E-3</v>
      </c>
      <c r="K1074" s="29">
        <v>0.146204147078416</v>
      </c>
    </row>
    <row r="1075" spans="1:11" x14ac:dyDescent="0.35">
      <c r="A1075" s="9" t="str">
        <f>HYPERLINK("http://www.ensembl.org/id/WBGene00000625", "WBGene00000625")</f>
        <v>WBGene00000625</v>
      </c>
      <c r="B1075" s="9" t="str">
        <f>HYPERLINK("http://www.ncbi.nlm.nih.gov/gene/171873", "171873")</f>
        <v>171873</v>
      </c>
      <c r="C1075" s="9"/>
      <c r="D1075" t="str">
        <f>"col-48"</f>
        <v>col-48</v>
      </c>
      <c r="E1075" t="s">
        <v>40</v>
      </c>
      <c r="F1075" t="s">
        <v>11</v>
      </c>
      <c r="G1075" t="s">
        <v>41</v>
      </c>
      <c r="H1075" s="12">
        <v>1.90450833762011</v>
      </c>
      <c r="I1075" s="20">
        <v>2.7032040874668399</v>
      </c>
      <c r="J1075" s="28">
        <v>6.8674565696962998E-3</v>
      </c>
      <c r="K1075" s="29">
        <v>0.147883924976144</v>
      </c>
    </row>
    <row r="1076" spans="1:11" x14ac:dyDescent="0.35">
      <c r="A1076" s="9" t="str">
        <f>HYPERLINK("http://www.ensembl.org/id/WBGene00016169", "WBGene00016169")</f>
        <v>WBGene00016169</v>
      </c>
      <c r="B1076" s="9" t="str">
        <f>HYPERLINK("http://www.ncbi.nlm.nih.gov/gene/259768", "259768")</f>
        <v>259768</v>
      </c>
      <c r="C1076" s="9"/>
      <c r="D1076" t="str">
        <f>"C27F2.7"</f>
        <v>C27F2.7</v>
      </c>
      <c r="E1076" t="s">
        <v>920</v>
      </c>
      <c r="F1076" t="s">
        <v>11</v>
      </c>
      <c r="G1076" t="s">
        <v>54</v>
      </c>
      <c r="H1076" s="12">
        <v>-1.96192315875345</v>
      </c>
      <c r="I1076" s="20">
        <v>-2.7006333452734901</v>
      </c>
      <c r="J1076" s="28">
        <v>6.9207587872099404E-3</v>
      </c>
      <c r="K1076" s="29">
        <v>0.148892972567293</v>
      </c>
    </row>
    <row r="1077" spans="1:11" x14ac:dyDescent="0.35">
      <c r="A1077" s="9" t="str">
        <f>HYPERLINK("http://www.ensembl.org/id/WBGene00010008", "WBGene00010008")</f>
        <v>WBGene00010008</v>
      </c>
      <c r="B1077" s="9" t="str">
        <f>HYPERLINK("http://www.ncbi.nlm.nih.gov/gene/186192", "186192")</f>
        <v>186192</v>
      </c>
      <c r="C1077" s="9"/>
      <c r="D1077" t="str">
        <f>"F53H4.3"</f>
        <v>F53H4.3</v>
      </c>
      <c r="F1077" t="s">
        <v>11</v>
      </c>
      <c r="H1077" s="12">
        <v>3.0787635063543699</v>
      </c>
      <c r="I1077" s="20">
        <v>2.6995663394139799</v>
      </c>
      <c r="J1077" s="28">
        <v>6.9429911966576302E-3</v>
      </c>
      <c r="K1077" s="29">
        <v>0.14923232985113599</v>
      </c>
    </row>
    <row r="1078" spans="1:11" x14ac:dyDescent="0.35">
      <c r="A1078" s="9" t="str">
        <f>HYPERLINK("http://www.ensembl.org/id/WBGene00018200", "WBGene00018200")</f>
        <v>WBGene00018200</v>
      </c>
      <c r="B1078" s="9" t="str">
        <f>HYPERLINK("http://www.ncbi.nlm.nih.gov/gene/173673", "173673")</f>
        <v>173673</v>
      </c>
      <c r="C1078" s="9"/>
      <c r="D1078" t="str">
        <f>"btb-17"</f>
        <v>btb-17</v>
      </c>
      <c r="E1078" t="s">
        <v>468</v>
      </c>
      <c r="F1078" t="s">
        <v>11</v>
      </c>
      <c r="G1078" t="s">
        <v>54</v>
      </c>
      <c r="H1078" s="12">
        <v>-2.2573968921923799</v>
      </c>
      <c r="I1078" s="20">
        <v>-2.6992031371587699</v>
      </c>
      <c r="J1078" s="28">
        <v>6.9505735950122901E-3</v>
      </c>
      <c r="K1078" s="29">
        <v>0.14925646234791301</v>
      </c>
    </row>
    <row r="1079" spans="1:11" x14ac:dyDescent="0.35">
      <c r="A1079" s="9" t="str">
        <f>HYPERLINK("http://www.ensembl.org/id/WBGene00016996", "WBGene00016996")</f>
        <v>WBGene00016996</v>
      </c>
      <c r="B1079" s="9" t="str">
        <f>HYPERLINK("http://www.ncbi.nlm.nih.gov/gene/180484", "180484")</f>
        <v>180484</v>
      </c>
      <c r="C1079" s="9"/>
      <c r="D1079" t="str">
        <f>"D1005.2"</f>
        <v>D1005.2</v>
      </c>
      <c r="E1079" t="s">
        <v>921</v>
      </c>
      <c r="F1079" t="s">
        <v>11</v>
      </c>
      <c r="G1079" t="s">
        <v>922</v>
      </c>
      <c r="H1079" s="12">
        <v>-1.73986518214303</v>
      </c>
      <c r="I1079" s="20">
        <v>-2.69613474153235</v>
      </c>
      <c r="J1079" s="28">
        <v>7.0149284490818699E-3</v>
      </c>
      <c r="K1079" s="29">
        <v>0.150498548509272</v>
      </c>
    </row>
    <row r="1080" spans="1:11" x14ac:dyDescent="0.35">
      <c r="A1080" s="9" t="str">
        <f>HYPERLINK("http://www.ensembl.org/id/WBGene00007904", "WBGene00007904")</f>
        <v>WBGene00007904</v>
      </c>
      <c r="B1080" s="9" t="str">
        <f>HYPERLINK("http://www.ncbi.nlm.nih.gov/gene/181517", "181517")</f>
        <v>181517</v>
      </c>
      <c r="C1080" s="9" t="str">
        <f>HYPERLINK("http://www.ncbi.nlm.nih.gov/gene/4126", "4126")</f>
        <v>4126</v>
      </c>
      <c r="D1080" t="str">
        <f>"C33G3.4"</f>
        <v>C33G3.4</v>
      </c>
      <c r="E1080" t="s">
        <v>923</v>
      </c>
      <c r="F1080" t="s">
        <v>11</v>
      </c>
      <c r="G1080" t="s">
        <v>924</v>
      </c>
      <c r="H1080" s="12">
        <v>1.8799598440451999</v>
      </c>
      <c r="I1080" s="20">
        <v>2.6949041156396798</v>
      </c>
      <c r="J1080" s="28">
        <v>7.0408889119719202E-3</v>
      </c>
      <c r="K1080" s="29">
        <v>0.150915379591858</v>
      </c>
    </row>
    <row r="1081" spans="1:11" x14ac:dyDescent="0.35">
      <c r="A1081" s="9" t="str">
        <f>HYPERLINK("http://www.ensembl.org/id/WBGene00018569", "WBGene00018569")</f>
        <v>WBGene00018569</v>
      </c>
      <c r="B1081" s="9" t="str">
        <f>HYPERLINK("http://www.ncbi.nlm.nih.gov/gene/180673", "180673")</f>
        <v>180673</v>
      </c>
      <c r="C1081" s="9" t="str">
        <f>HYPERLINK("http://www.ncbi.nlm.nih.gov/gene/5613", "5613")</f>
        <v>5613</v>
      </c>
      <c r="D1081" t="str">
        <f>"F47F2.1"</f>
        <v>F47F2.1</v>
      </c>
      <c r="E1081" t="s">
        <v>925</v>
      </c>
      <c r="F1081" t="s">
        <v>11</v>
      </c>
      <c r="G1081" t="s">
        <v>926</v>
      </c>
      <c r="H1081" s="12">
        <v>1.7996533123896501</v>
      </c>
      <c r="I1081" s="20">
        <v>2.6894989200672401</v>
      </c>
      <c r="J1081" s="28">
        <v>7.1559378585088597E-3</v>
      </c>
      <c r="K1081" s="29">
        <v>0.15323920311279501</v>
      </c>
    </row>
    <row r="1082" spans="1:11" x14ac:dyDescent="0.35">
      <c r="A1082" s="9" t="str">
        <f>HYPERLINK("http://www.ensembl.org/id/WBGene00020722", "WBGene00020722")</f>
        <v>WBGene00020722</v>
      </c>
      <c r="B1082" s="9" t="str">
        <f>HYPERLINK("http://www.ncbi.nlm.nih.gov/gene/188778", "188778")</f>
        <v>188778</v>
      </c>
      <c r="C1082" s="9"/>
      <c r="D1082" t="str">
        <f>"T23B12.8"</f>
        <v>T23B12.8</v>
      </c>
      <c r="E1082" t="s">
        <v>927</v>
      </c>
      <c r="F1082" t="s">
        <v>11</v>
      </c>
      <c r="G1082" t="s">
        <v>928</v>
      </c>
      <c r="H1082" s="12">
        <v>1.67968573398139</v>
      </c>
      <c r="I1082" s="20">
        <v>2.68734369454753</v>
      </c>
      <c r="J1082" s="28">
        <v>7.2022801949118498E-3</v>
      </c>
      <c r="K1082" s="29">
        <v>0.154088783503364</v>
      </c>
    </row>
    <row r="1083" spans="1:11" x14ac:dyDescent="0.35">
      <c r="A1083" s="9" t="str">
        <f>HYPERLINK("http://www.ensembl.org/id/WBGene00018656", "WBGene00018656")</f>
        <v>WBGene00018656</v>
      </c>
      <c r="B1083" s="9" t="str">
        <f>HYPERLINK("http://www.ncbi.nlm.nih.gov/gene/180520", "180520")</f>
        <v>180520</v>
      </c>
      <c r="C1083" s="9" t="str">
        <f>HYPERLINK("http://www.ncbi.nlm.nih.gov/gene/51060", "51060")</f>
        <v>51060</v>
      </c>
      <c r="D1083" t="str">
        <f>"txdc-12.2"</f>
        <v>txdc-12.2</v>
      </c>
      <c r="E1083" t="s">
        <v>929</v>
      </c>
      <c r="F1083" t="s">
        <v>11</v>
      </c>
      <c r="G1083" t="s">
        <v>930</v>
      </c>
      <c r="H1083" s="12">
        <v>1.7441223366746199</v>
      </c>
      <c r="I1083" s="20">
        <v>2.6841387080358801</v>
      </c>
      <c r="J1083" s="28">
        <v>7.2716930142568397E-3</v>
      </c>
      <c r="K1083" s="29">
        <v>0.15542991562203401</v>
      </c>
    </row>
    <row r="1084" spans="1:11" x14ac:dyDescent="0.35">
      <c r="A1084" s="9" t="str">
        <f>HYPERLINK("http://www.ensembl.org/id/WBGene00000641", "WBGene00000641")</f>
        <v>WBGene00000641</v>
      </c>
      <c r="B1084" s="9" t="str">
        <f>HYPERLINK("http://www.ncbi.nlm.nih.gov/gene/187138", "187138")</f>
        <v>187138</v>
      </c>
      <c r="C1084" s="9"/>
      <c r="D1084" t="str">
        <f>"col-65"</f>
        <v>col-65</v>
      </c>
      <c r="E1084" t="s">
        <v>40</v>
      </c>
      <c r="F1084" t="s">
        <v>11</v>
      </c>
      <c r="G1084" t="s">
        <v>152</v>
      </c>
      <c r="H1084" s="12">
        <v>-4.2095957827332704</v>
      </c>
      <c r="I1084" s="20">
        <v>-2.6824334402414198</v>
      </c>
      <c r="J1084" s="28">
        <v>7.3088694369706896E-3</v>
      </c>
      <c r="K1084" s="29">
        <v>0.15593604543919201</v>
      </c>
    </row>
    <row r="1085" spans="1:11" x14ac:dyDescent="0.35">
      <c r="A1085" s="9" t="str">
        <f>HYPERLINK("http://www.ensembl.org/id/WBGene00008823", "WBGene00008823")</f>
        <v>WBGene00008823</v>
      </c>
      <c r="B1085" s="9" t="str">
        <f>HYPERLINK("http://www.ncbi.nlm.nih.gov/gene/180076", "180076")</f>
        <v>180076</v>
      </c>
      <c r="C1085" s="9"/>
      <c r="D1085" t="str">
        <f>"F14H3.4"</f>
        <v>F14H3.4</v>
      </c>
      <c r="F1085" t="s">
        <v>11</v>
      </c>
      <c r="H1085" s="12">
        <v>-1.90579620551998</v>
      </c>
      <c r="I1085" s="20">
        <v>-2.6824791817445401</v>
      </c>
      <c r="J1085" s="28">
        <v>7.30787000803942E-3</v>
      </c>
      <c r="K1085" s="29">
        <v>0.15593604543919201</v>
      </c>
    </row>
    <row r="1086" spans="1:11" x14ac:dyDescent="0.35">
      <c r="A1086" s="9" t="str">
        <f>HYPERLINK("http://www.ensembl.org/id/WBGene00020741", "WBGene00020741")</f>
        <v>WBGene00020741</v>
      </c>
      <c r="B1086" s="9" t="str">
        <f>HYPERLINK("http://www.ncbi.nlm.nih.gov/gene/188808", "188808")</f>
        <v>188808</v>
      </c>
      <c r="C1086" s="9"/>
      <c r="D1086" t="str">
        <f>"dlhd-1"</f>
        <v>dlhd-1</v>
      </c>
      <c r="E1086" t="s">
        <v>931</v>
      </c>
      <c r="F1086" t="s">
        <v>11</v>
      </c>
      <c r="G1086" t="s">
        <v>423</v>
      </c>
      <c r="H1086" s="12">
        <v>-2.1179371867474499</v>
      </c>
      <c r="I1086" s="20">
        <v>-2.6778808897720001</v>
      </c>
      <c r="J1086" s="28">
        <v>7.4089560228432902E-3</v>
      </c>
      <c r="K1086" s="29">
        <v>0.157925588435256</v>
      </c>
    </row>
    <row r="1087" spans="1:11" x14ac:dyDescent="0.35">
      <c r="A1087" s="9" t="str">
        <f>HYPERLINK("http://www.ensembl.org/id/WBGene00013881", "WBGene00013881")</f>
        <v>WBGene00013881</v>
      </c>
      <c r="B1087" s="9" t="str">
        <f>HYPERLINK("http://www.ncbi.nlm.nih.gov/gene/177726", "177726")</f>
        <v>177726</v>
      </c>
      <c r="C1087" s="9" t="str">
        <f>HYPERLINK("http://www.ncbi.nlm.nih.gov/gene/11253", "11253")</f>
        <v>11253</v>
      </c>
      <c r="D1087" t="str">
        <f>"mans-4"</f>
        <v>mans-4</v>
      </c>
      <c r="E1087" t="s">
        <v>932</v>
      </c>
      <c r="F1087" t="s">
        <v>11</v>
      </c>
      <c r="G1087" t="s">
        <v>933</v>
      </c>
      <c r="H1087" s="12">
        <v>-1.84140414790343</v>
      </c>
      <c r="I1087" s="20">
        <v>-2.6762601917179101</v>
      </c>
      <c r="J1087" s="28">
        <v>7.4448822724531502E-3</v>
      </c>
      <c r="K1087" s="29">
        <v>0.158545115011339</v>
      </c>
    </row>
    <row r="1088" spans="1:11" x14ac:dyDescent="0.35">
      <c r="A1088" s="9" t="str">
        <f>HYPERLINK("http://www.ensembl.org/id/WBGene00007622", "WBGene00007622")</f>
        <v>WBGene00007622</v>
      </c>
      <c r="B1088" s="9" t="str">
        <f>HYPERLINK("http://www.ncbi.nlm.nih.gov/gene/175537", "175537")</f>
        <v>175537</v>
      </c>
      <c r="C1088" s="9" t="str">
        <f>HYPERLINK("http://www.ncbi.nlm.nih.gov/gene/55972", "55972")</f>
        <v>55972</v>
      </c>
      <c r="D1088" t="str">
        <f>"C16C10.1"</f>
        <v>C16C10.1</v>
      </c>
      <c r="E1088" t="s">
        <v>934</v>
      </c>
      <c r="F1088" t="s">
        <v>11</v>
      </c>
      <c r="G1088" t="s">
        <v>935</v>
      </c>
      <c r="H1088" s="12">
        <v>-1.8296773181881001</v>
      </c>
      <c r="I1088" s="20">
        <v>-2.6719217373596802</v>
      </c>
      <c r="J1088" s="28">
        <v>7.5418235736295297E-3</v>
      </c>
      <c r="K1088" s="29">
        <v>0.16046167172401801</v>
      </c>
    </row>
    <row r="1089" spans="1:11" x14ac:dyDescent="0.35">
      <c r="A1089" s="9" t="str">
        <f>HYPERLINK("http://www.ensembl.org/id/WBGene00022181", "WBGene00022181")</f>
        <v>WBGene00022181</v>
      </c>
      <c r="B1089" s="9" t="str">
        <f>HYPERLINK("http://www.ncbi.nlm.nih.gov/gene/190610", "190610")</f>
        <v>190610</v>
      </c>
      <c r="C1089" s="9" t="str">
        <f>HYPERLINK("http://www.ncbi.nlm.nih.gov/gene/55", "55")</f>
        <v>55</v>
      </c>
      <c r="D1089" t="str">
        <f>"pho-9"</f>
        <v>pho-9</v>
      </c>
      <c r="E1089" t="s">
        <v>501</v>
      </c>
      <c r="F1089" t="s">
        <v>11</v>
      </c>
      <c r="G1089" t="s">
        <v>37</v>
      </c>
      <c r="H1089" s="12">
        <v>-2.0554045215176102</v>
      </c>
      <c r="I1089" s="20">
        <v>-2.6705688835011001</v>
      </c>
      <c r="J1089" s="28">
        <v>7.5722832880072803E-3</v>
      </c>
      <c r="K1089" s="29">
        <v>0.16096152497948099</v>
      </c>
    </row>
    <row r="1090" spans="1:11" x14ac:dyDescent="0.35">
      <c r="A1090" s="9" t="str">
        <f>HYPERLINK("http://www.ensembl.org/id/WBGene00007590", "WBGene00007590")</f>
        <v>WBGene00007590</v>
      </c>
      <c r="B1090" s="9" t="str">
        <f>HYPERLINK("http://www.ncbi.nlm.nih.gov/gene/182609", "182609")</f>
        <v>182609</v>
      </c>
      <c r="C1090" s="9"/>
      <c r="D1090" t="str">
        <f>"ttr-43"</f>
        <v>ttr-43</v>
      </c>
      <c r="E1090" t="s">
        <v>16</v>
      </c>
      <c r="F1090" t="s">
        <v>11</v>
      </c>
      <c r="G1090" t="s">
        <v>17</v>
      </c>
      <c r="H1090" s="12">
        <v>2.3007325727526502</v>
      </c>
      <c r="I1090" s="20">
        <v>2.66983582920018</v>
      </c>
      <c r="J1090" s="28">
        <v>7.5888341511186003E-3</v>
      </c>
      <c r="K1090" s="29">
        <v>0.161165075271826</v>
      </c>
    </row>
    <row r="1091" spans="1:11" x14ac:dyDescent="0.35">
      <c r="A1091" s="9" t="str">
        <f>HYPERLINK("http://www.ensembl.org/id/WBGene00008174", "WBGene00008174")</f>
        <v>WBGene00008174</v>
      </c>
      <c r="B1091" s="9" t="str">
        <f>HYPERLINK("http://www.ncbi.nlm.nih.gov/gene/183569", "183569")</f>
        <v>183569</v>
      </c>
      <c r="C1091" s="9"/>
      <c r="D1091" t="str">
        <f>"C48B4.11"</f>
        <v>C48B4.11</v>
      </c>
      <c r="F1091" t="s">
        <v>11</v>
      </c>
      <c r="H1091" s="12">
        <v>-1.89303154664286</v>
      </c>
      <c r="I1091" s="20">
        <v>-2.6681868193684499</v>
      </c>
      <c r="J1091" s="28">
        <v>7.6261840013375397E-3</v>
      </c>
      <c r="K1091" s="29">
        <v>0.161770251797478</v>
      </c>
    </row>
    <row r="1092" spans="1:11" x14ac:dyDescent="0.35">
      <c r="A1092" s="9" t="str">
        <f>HYPERLINK("http://www.ensembl.org/id/WBGene00016844", "WBGene00016844")</f>
        <v>WBGene00016844</v>
      </c>
      <c r="B1092" s="9" t="str">
        <f>HYPERLINK("http://www.ncbi.nlm.nih.gov/gene/177555", "177555")</f>
        <v>177555</v>
      </c>
      <c r="C1092" s="9" t="str">
        <f>HYPERLINK("http://www.ncbi.nlm.nih.gov/gene/8801", "8801")</f>
        <v>8801</v>
      </c>
      <c r="D1092" t="str">
        <f>"sucg-1"</f>
        <v>sucg-1</v>
      </c>
      <c r="E1092" t="s">
        <v>936</v>
      </c>
      <c r="F1092" t="s">
        <v>11</v>
      </c>
      <c r="G1092" t="s">
        <v>937</v>
      </c>
      <c r="H1092" s="12">
        <v>-1.7044519549761601</v>
      </c>
      <c r="I1092" s="20">
        <v>-2.6679600683741</v>
      </c>
      <c r="J1092" s="28">
        <v>7.6313327473059196E-3</v>
      </c>
      <c r="K1092" s="29">
        <v>0.161770251797478</v>
      </c>
    </row>
    <row r="1093" spans="1:11" x14ac:dyDescent="0.35">
      <c r="A1093" s="9" t="str">
        <f>HYPERLINK("http://www.ensembl.org/id/WBGene00013270", "WBGene00013270")</f>
        <v>WBGene00013270</v>
      </c>
      <c r="B1093" s="9" t="str">
        <f>HYPERLINK("http://www.ncbi.nlm.nih.gov/gene/174872", "174872")</f>
        <v>174872</v>
      </c>
      <c r="C1093" s="9"/>
      <c r="D1093" t="str">
        <f>"Y57A10A.31"</f>
        <v>Y57A10A.31</v>
      </c>
      <c r="F1093" t="s">
        <v>11</v>
      </c>
      <c r="G1093" t="s">
        <v>938</v>
      </c>
      <c r="H1093" s="12">
        <v>-1.6971165657211</v>
      </c>
      <c r="I1093" s="20">
        <v>-2.6668131684479999</v>
      </c>
      <c r="J1093" s="28">
        <v>7.6574227228398597E-3</v>
      </c>
      <c r="K1093" s="29">
        <v>0.16217452743715599</v>
      </c>
    </row>
    <row r="1094" spans="1:11" x14ac:dyDescent="0.35">
      <c r="A1094" s="9" t="str">
        <f>HYPERLINK("http://www.ensembl.org/id/WBGene00015605", "WBGene00015605")</f>
        <v>WBGene00015605</v>
      </c>
      <c r="B1094" s="9" t="str">
        <f>HYPERLINK("http://www.ncbi.nlm.nih.gov/gene/182405", "182405")</f>
        <v>182405</v>
      </c>
      <c r="C1094" s="9"/>
      <c r="D1094" t="str">
        <f>"C08E3.13"</f>
        <v>C08E3.13</v>
      </c>
      <c r="F1094" t="s">
        <v>11</v>
      </c>
      <c r="H1094" s="12">
        <v>-5.3408672013403597</v>
      </c>
      <c r="I1094" s="20">
        <v>-2.66478129326264</v>
      </c>
      <c r="J1094" s="28">
        <v>7.7038406916019198E-3</v>
      </c>
      <c r="K1094" s="29">
        <v>0.16276896886275</v>
      </c>
    </row>
    <row r="1095" spans="1:11" x14ac:dyDescent="0.35">
      <c r="A1095" s="9" t="str">
        <f>HYPERLINK("http://www.ensembl.org/id/WBGene00008392", "WBGene00008392")</f>
        <v>WBGene00008392</v>
      </c>
      <c r="B1095" s="9" t="str">
        <f>HYPERLINK("http://www.ncbi.nlm.nih.gov/gene/183933", "183933")</f>
        <v>183933</v>
      </c>
      <c r="C1095" s="9"/>
      <c r="D1095" t="str">
        <f>"D1086.5"</f>
        <v>D1086.5</v>
      </c>
      <c r="F1095" t="s">
        <v>11</v>
      </c>
      <c r="H1095" s="12">
        <v>-1.8236435763066801</v>
      </c>
      <c r="I1095" s="20">
        <v>-2.6644655960919001</v>
      </c>
      <c r="J1095" s="28">
        <v>7.7110753493604698E-3</v>
      </c>
      <c r="K1095" s="29">
        <v>0.16276896886275</v>
      </c>
    </row>
    <row r="1096" spans="1:11" x14ac:dyDescent="0.35">
      <c r="A1096" s="9" t="str">
        <f>HYPERLINK("http://www.ensembl.org/id/WBGene00008677", "WBGene00008677")</f>
        <v>WBGene00008677</v>
      </c>
      <c r="B1096" s="9" t="str">
        <f>HYPERLINK("http://www.ncbi.nlm.nih.gov/gene/180085", "180085")</f>
        <v>180085</v>
      </c>
      <c r="C1096" s="9"/>
      <c r="D1096" t="str">
        <f>"F11A5.9"</f>
        <v>F11A5.9</v>
      </c>
      <c r="F1096" t="s">
        <v>11</v>
      </c>
      <c r="G1096" t="s">
        <v>230</v>
      </c>
      <c r="H1096" s="12">
        <v>-1.7846304255979399</v>
      </c>
      <c r="I1096" s="20">
        <v>-2.6643525104907</v>
      </c>
      <c r="J1096" s="28">
        <v>7.7136683504159496E-3</v>
      </c>
      <c r="K1096" s="29">
        <v>0.16276896886275</v>
      </c>
    </row>
    <row r="1097" spans="1:11" x14ac:dyDescent="0.35">
      <c r="A1097" s="9" t="str">
        <f>HYPERLINK("http://www.ensembl.org/id/WBGene00011352", "WBGene00011352")</f>
        <v>WBGene00011352</v>
      </c>
      <c r="B1097" s="9" t="str">
        <f>HYPERLINK("http://www.ncbi.nlm.nih.gov/gene/172647", "172647")</f>
        <v>172647</v>
      </c>
      <c r="C1097" s="9" t="str">
        <f>HYPERLINK("http://www.ncbi.nlm.nih.gov/gene/6195", "6195")</f>
        <v>6195</v>
      </c>
      <c r="D1097" t="str">
        <f>"rskn-1"</f>
        <v>rskn-1</v>
      </c>
      <c r="E1097" t="s">
        <v>939</v>
      </c>
      <c r="F1097" t="s">
        <v>11</v>
      </c>
      <c r="G1097" t="s">
        <v>940</v>
      </c>
      <c r="H1097" s="12">
        <v>-1.6414221883445099</v>
      </c>
      <c r="I1097" s="20">
        <v>-2.6652506310347599</v>
      </c>
      <c r="J1097" s="28">
        <v>7.6930963809825701E-3</v>
      </c>
      <c r="K1097" s="29">
        <v>0.16276896886275</v>
      </c>
    </row>
    <row r="1098" spans="1:11" x14ac:dyDescent="0.35">
      <c r="A1098" s="9" t="str">
        <f>HYPERLINK("http://www.ensembl.org/id/WBGene00015398", "WBGene00015398")</f>
        <v>WBGene00015398</v>
      </c>
      <c r="B1098" s="9" t="str">
        <f>HYPERLINK("http://www.ncbi.nlm.nih.gov/gene/182175", "182175")</f>
        <v>182175</v>
      </c>
      <c r="C1098" s="9"/>
      <c r="D1098" t="str">
        <f>"tag-293"</f>
        <v>tag-293</v>
      </c>
      <c r="F1098" t="s">
        <v>11</v>
      </c>
      <c r="H1098" s="12">
        <v>65.088279929151895</v>
      </c>
      <c r="I1098" s="20">
        <v>2.6634118578172901</v>
      </c>
      <c r="J1098" s="28">
        <v>7.7352673866376799E-3</v>
      </c>
      <c r="K1098" s="29">
        <v>0.163075810433987</v>
      </c>
    </row>
    <row r="1099" spans="1:11" x14ac:dyDescent="0.35">
      <c r="A1099" s="9" t="str">
        <f>HYPERLINK("http://www.ensembl.org/id/WBGene00018215", "WBGene00018215")</f>
        <v>WBGene00018215</v>
      </c>
      <c r="B1099" s="9" t="str">
        <f>HYPERLINK("http://www.ncbi.nlm.nih.gov/gene/180433", "180433")</f>
        <v>180433</v>
      </c>
      <c r="C1099" s="9"/>
      <c r="D1099" t="str">
        <f>"igcm-1"</f>
        <v>igcm-1</v>
      </c>
      <c r="E1099" t="s">
        <v>941</v>
      </c>
      <c r="F1099" t="s">
        <v>11</v>
      </c>
      <c r="G1099" t="s">
        <v>942</v>
      </c>
      <c r="H1099" s="12">
        <v>1.8990827577057301</v>
      </c>
      <c r="I1099" s="20">
        <v>2.6617940941804301</v>
      </c>
      <c r="J1099" s="28">
        <v>7.7725408639952196E-3</v>
      </c>
      <c r="K1099" s="29">
        <v>0.16371224175339399</v>
      </c>
    </row>
    <row r="1100" spans="1:11" x14ac:dyDescent="0.35">
      <c r="A1100" s="9" t="str">
        <f>HYPERLINK("http://www.ensembl.org/id/WBGene00015313", "WBGene00015313")</f>
        <v>WBGene00015313</v>
      </c>
      <c r="B1100" s="9" t="str">
        <f>HYPERLINK("http://www.ncbi.nlm.nih.gov/gene/172175", "172175")</f>
        <v>172175</v>
      </c>
      <c r="C1100" s="9"/>
      <c r="D1100" t="str">
        <f>"hpo-32"</f>
        <v>hpo-32</v>
      </c>
      <c r="F1100" t="s">
        <v>11</v>
      </c>
      <c r="H1100" s="12">
        <v>-2.1117703561117702</v>
      </c>
      <c r="I1100" s="20">
        <v>-2.6609493355151899</v>
      </c>
      <c r="J1100" s="28">
        <v>7.79206809804661E-3</v>
      </c>
      <c r="K1100" s="29">
        <v>0.163824863943098</v>
      </c>
    </row>
    <row r="1101" spans="1:11" x14ac:dyDescent="0.35">
      <c r="A1101" s="9" t="str">
        <f>HYPERLINK("http://www.ensembl.org/id/WBGene00050899", "WBGene00050899")</f>
        <v>WBGene00050899</v>
      </c>
      <c r="B1101" s="9" t="str">
        <f>HYPERLINK("http://www.ncbi.nlm.nih.gov/gene/13217259", "13217259")</f>
        <v>13217259</v>
      </c>
      <c r="C1101" s="9"/>
      <c r="D1101" t="str">
        <f>"T10C6.15"</f>
        <v>T10C6.15</v>
      </c>
      <c r="F1101" t="s">
        <v>11</v>
      </c>
      <c r="G1101" t="s">
        <v>54</v>
      </c>
      <c r="H1101" s="12">
        <v>-2.48018230140327</v>
      </c>
      <c r="I1101" s="20">
        <v>-2.6612154965059398</v>
      </c>
      <c r="J1101" s="28">
        <v>7.7859108483070098E-3</v>
      </c>
      <c r="K1101" s="29">
        <v>0.163824863943098</v>
      </c>
    </row>
    <row r="1102" spans="1:11" x14ac:dyDescent="0.35">
      <c r="A1102" s="9" t="str">
        <f>HYPERLINK("http://www.ensembl.org/id/WBGene00018954", "WBGene00018954")</f>
        <v>WBGene00018954</v>
      </c>
      <c r="B1102" s="9" t="str">
        <f>HYPERLINK("http://www.ncbi.nlm.nih.gov/gene/176039", "176039")</f>
        <v>176039</v>
      </c>
      <c r="C1102" s="9"/>
      <c r="D1102" t="str">
        <f>"F56C9.11"</f>
        <v>F56C9.11</v>
      </c>
      <c r="F1102" t="s">
        <v>11</v>
      </c>
      <c r="H1102" s="12">
        <v>-1.87276522287223</v>
      </c>
      <c r="I1102" s="20">
        <v>-2.6597091275240201</v>
      </c>
      <c r="J1102" s="28">
        <v>7.8208160809858599E-3</v>
      </c>
      <c r="K1102" s="29">
        <v>0.164279796697508</v>
      </c>
    </row>
    <row r="1103" spans="1:11" x14ac:dyDescent="0.35">
      <c r="A1103" s="9" t="str">
        <f>HYPERLINK("http://www.ensembl.org/id/WBGene00019979", "WBGene00019979")</f>
        <v>WBGene00019979</v>
      </c>
      <c r="B1103" s="9" t="str">
        <f>HYPERLINK("http://www.ncbi.nlm.nih.gov/gene/178634", "178634")</f>
        <v>178634</v>
      </c>
      <c r="C1103" s="9" t="str">
        <f>HYPERLINK("http://www.ncbi.nlm.nih.gov/gene/6515", "6515")</f>
        <v>6515</v>
      </c>
      <c r="D1103" t="str">
        <f>"R09B5.11"</f>
        <v>R09B5.11</v>
      </c>
      <c r="E1103" t="s">
        <v>943</v>
      </c>
      <c r="F1103" t="s">
        <v>11</v>
      </c>
      <c r="G1103" t="s">
        <v>944</v>
      </c>
      <c r="H1103" s="12">
        <v>1.95191234931288</v>
      </c>
      <c r="I1103" s="20">
        <v>2.6573671596780399</v>
      </c>
      <c r="J1103" s="28">
        <v>7.8753620774930696E-3</v>
      </c>
      <c r="K1103" s="29">
        <v>0.16527530986608099</v>
      </c>
    </row>
    <row r="1104" spans="1:11" x14ac:dyDescent="0.35">
      <c r="A1104" s="9" t="str">
        <f>HYPERLINK("http://www.ensembl.org/id/WBGene00019261", "WBGene00019261")</f>
        <v>WBGene00019261</v>
      </c>
      <c r="B1104" s="9" t="str">
        <f>HYPERLINK("http://www.ncbi.nlm.nih.gov/gene/175401", "175401")</f>
        <v>175401</v>
      </c>
      <c r="C1104" s="9"/>
      <c r="D1104" t="str">
        <f>"H34I24.2"</f>
        <v>H34I24.2</v>
      </c>
      <c r="F1104" t="s">
        <v>11</v>
      </c>
      <c r="H1104" s="12">
        <v>-2.14319389335731</v>
      </c>
      <c r="I1104" s="20">
        <v>-2.6539336212717299</v>
      </c>
      <c r="J1104" s="28">
        <v>7.9559475777660794E-3</v>
      </c>
      <c r="K1104" s="29">
        <v>0.16681499521947599</v>
      </c>
    </row>
    <row r="1105" spans="1:11" x14ac:dyDescent="0.35">
      <c r="A1105" s="9" t="str">
        <f>HYPERLINK("http://www.ensembl.org/id/WBGene00021213", "WBGene00021213")</f>
        <v>WBGene00021213</v>
      </c>
      <c r="B1105" s="9" t="str">
        <f>HYPERLINK("http://www.ncbi.nlm.nih.gov/gene/171666", "171666")</f>
        <v>171666</v>
      </c>
      <c r="C1105" s="9" t="str">
        <f>HYPERLINK("http://www.ncbi.nlm.nih.gov/gene/1358", "1358")</f>
        <v>1358</v>
      </c>
      <c r="D1105" t="str">
        <f>"Y18H1A.9"</f>
        <v>Y18H1A.9</v>
      </c>
      <c r="F1105" t="s">
        <v>11</v>
      </c>
      <c r="G1105" t="s">
        <v>945</v>
      </c>
      <c r="H1105" s="12">
        <v>2.91164294305245</v>
      </c>
      <c r="I1105" s="20">
        <v>2.6507194275391699</v>
      </c>
      <c r="J1105" s="28">
        <v>8.03205342295738E-3</v>
      </c>
      <c r="K1105" s="29">
        <v>0.16825804749850701</v>
      </c>
    </row>
    <row r="1106" spans="1:11" x14ac:dyDescent="0.35">
      <c r="A1106" s="9" t="str">
        <f>HYPERLINK("http://www.ensembl.org/id/WBGene00002089", "WBGene00002089")</f>
        <v>WBGene00002089</v>
      </c>
      <c r="B1106" s="9" t="str">
        <f>HYPERLINK("http://www.ncbi.nlm.nih.gov/gene/191687", "191687")</f>
        <v>191687</v>
      </c>
      <c r="C1106" s="9"/>
      <c r="D1106" t="str">
        <f>"ins-6"</f>
        <v>ins-6</v>
      </c>
      <c r="E1106" t="s">
        <v>946</v>
      </c>
      <c r="F1106" t="s">
        <v>11</v>
      </c>
      <c r="G1106" t="s">
        <v>724</v>
      </c>
      <c r="H1106" s="12">
        <v>3.0079358622240702</v>
      </c>
      <c r="I1106" s="20">
        <v>2.6486285866869501</v>
      </c>
      <c r="J1106" s="28">
        <v>8.0819097374248399E-3</v>
      </c>
      <c r="K1106" s="29">
        <v>0.169149099993604</v>
      </c>
    </row>
    <row r="1107" spans="1:11" x14ac:dyDescent="0.35">
      <c r="A1107" s="9" t="str">
        <f>HYPERLINK("http://www.ensembl.org/id/WBGene00018005", "WBGene00018005")</f>
        <v>WBGene00018005</v>
      </c>
      <c r="B1107" s="9" t="str">
        <f>HYPERLINK("http://www.ncbi.nlm.nih.gov/gene/185230", "185230")</f>
        <v>185230</v>
      </c>
      <c r="C1107" s="9"/>
      <c r="D1107" t="str">
        <f>"nlp-62"</f>
        <v>nlp-62</v>
      </c>
      <c r="E1107" t="s">
        <v>76</v>
      </c>
      <c r="F1107" t="s">
        <v>11</v>
      </c>
      <c r="G1107" t="s">
        <v>947</v>
      </c>
      <c r="H1107" s="12">
        <v>2.08891090418529</v>
      </c>
      <c r="I1107" s="20">
        <v>2.64573063588566</v>
      </c>
      <c r="J1107" s="28">
        <v>8.1514697554266307E-3</v>
      </c>
      <c r="K1107" s="29">
        <v>0.17045055218903901</v>
      </c>
    </row>
    <row r="1108" spans="1:11" x14ac:dyDescent="0.35">
      <c r="A1108" s="9" t="str">
        <f>HYPERLINK("http://www.ensembl.org/id/WBGene00015549", "WBGene00015549")</f>
        <v>WBGene00015549</v>
      </c>
      <c r="B1108" s="9" t="str">
        <f>HYPERLINK("http://www.ncbi.nlm.nih.gov/gene/177472", "177472")</f>
        <v>177472</v>
      </c>
      <c r="C1108" s="9"/>
      <c r="D1108" t="str">
        <f>"C06G3.3"</f>
        <v>C06G3.3</v>
      </c>
      <c r="F1108" t="s">
        <v>11</v>
      </c>
      <c r="H1108" s="12">
        <v>-1.6303430868819</v>
      </c>
      <c r="I1108" s="20">
        <v>-2.6436850659544699</v>
      </c>
      <c r="J1108" s="28">
        <v>8.2008920489713404E-3</v>
      </c>
      <c r="K1108" s="29">
        <v>0.17117417496254</v>
      </c>
    </row>
    <row r="1109" spans="1:11" x14ac:dyDescent="0.35">
      <c r="A1109" s="9" t="str">
        <f>HYPERLINK("http://www.ensembl.org/id/WBGene00013901", "WBGene00013901")</f>
        <v>WBGene00013901</v>
      </c>
      <c r="B1109" s="9" t="str">
        <f>HYPERLINK("http://www.ncbi.nlm.nih.gov/gene/191171", "191171")</f>
        <v>191171</v>
      </c>
      <c r="C1109" s="9"/>
      <c r="D1109" t="str">
        <f>"ugt-16"</f>
        <v>ugt-16</v>
      </c>
      <c r="E1109" t="s">
        <v>948</v>
      </c>
      <c r="F1109" t="s">
        <v>11</v>
      </c>
      <c r="G1109" t="s">
        <v>104</v>
      </c>
      <c r="H1109" s="12">
        <v>-6.4100716627066898</v>
      </c>
      <c r="I1109" s="20">
        <v>-2.64391901516594</v>
      </c>
      <c r="J1109" s="28">
        <v>8.1952261357083108E-3</v>
      </c>
      <c r="K1109" s="29">
        <v>0.17117417496254</v>
      </c>
    </row>
    <row r="1110" spans="1:11" x14ac:dyDescent="0.35">
      <c r="A1110" s="9" t="str">
        <f>HYPERLINK("http://www.ensembl.org/id/WBGene00019234", "WBGene00019234")</f>
        <v>WBGene00019234</v>
      </c>
      <c r="B1110" s="9" t="str">
        <f>HYPERLINK("http://www.ncbi.nlm.nih.gov/gene/186768", "186768")</f>
        <v>186768</v>
      </c>
      <c r="C1110" s="9"/>
      <c r="D1110" t="str">
        <f>"ugt-8"</f>
        <v>ugt-8</v>
      </c>
      <c r="E1110" t="s">
        <v>103</v>
      </c>
      <c r="F1110" t="s">
        <v>11</v>
      </c>
      <c r="G1110" t="s">
        <v>104</v>
      </c>
      <c r="H1110" s="12">
        <v>2.4736627003622198</v>
      </c>
      <c r="I1110" s="20">
        <v>2.64252921932838</v>
      </c>
      <c r="J1110" s="28">
        <v>8.2289364683873299E-3</v>
      </c>
      <c r="K1110" s="29">
        <v>0.171604518085341</v>
      </c>
    </row>
    <row r="1111" spans="1:11" x14ac:dyDescent="0.35">
      <c r="A1111" s="9" t="str">
        <f>HYPERLINK("http://www.ensembl.org/id/WBGene00022590", "WBGene00022590")</f>
        <v>WBGene00022590</v>
      </c>
      <c r="B1111" s="9" t="str">
        <f>HYPERLINK("http://www.ncbi.nlm.nih.gov/gene/191143", "191143")</f>
        <v>191143</v>
      </c>
      <c r="C1111" s="9"/>
      <c r="D1111" t="str">
        <f>"ZC317.7"</f>
        <v>ZC317.7</v>
      </c>
      <c r="F1111" t="s">
        <v>11</v>
      </c>
      <c r="H1111" s="12">
        <v>-3.08962241293507</v>
      </c>
      <c r="I1111" s="20">
        <v>-2.6421061227756701</v>
      </c>
      <c r="J1111" s="28">
        <v>8.2392235383641696E-3</v>
      </c>
      <c r="K1111" s="29">
        <v>0.171664110980561</v>
      </c>
    </row>
    <row r="1112" spans="1:11" x14ac:dyDescent="0.35">
      <c r="A1112" s="9" t="str">
        <f>HYPERLINK("http://www.ensembl.org/id/WBGene00020215", "WBGene00020215")</f>
        <v>WBGene00020215</v>
      </c>
      <c r="B1112" s="9" t="str">
        <f>HYPERLINK("http://www.ncbi.nlm.nih.gov/gene/180425", "180425")</f>
        <v>180425</v>
      </c>
      <c r="C1112" s="9" t="str">
        <f>HYPERLINK("http://www.ncbi.nlm.nih.gov/gene/60496", "60496")</f>
        <v>60496</v>
      </c>
      <c r="D1112" t="str">
        <f>"T04G9.4"</f>
        <v>T04G9.4</v>
      </c>
      <c r="F1112" t="s">
        <v>11</v>
      </c>
      <c r="G1112" t="s">
        <v>949</v>
      </c>
      <c r="H1112" s="12">
        <v>1.7949811833645299</v>
      </c>
      <c r="I1112" s="20">
        <v>2.6413261574754898</v>
      </c>
      <c r="J1112" s="28">
        <v>8.2582175955044496E-3</v>
      </c>
      <c r="K1112" s="29">
        <v>0.171904843028582</v>
      </c>
    </row>
    <row r="1113" spans="1:11" x14ac:dyDescent="0.35">
      <c r="A1113" s="9" t="str">
        <f>HYPERLINK("http://www.ensembl.org/id/WBGene00008940", "WBGene00008940")</f>
        <v>WBGene00008940</v>
      </c>
      <c r="B1113" s="9" t="str">
        <f>HYPERLINK("http://www.ncbi.nlm.nih.gov/gene/181474", "181474")</f>
        <v>181474</v>
      </c>
      <c r="C1113" s="9"/>
      <c r="D1113" t="str">
        <f>"F18H3.4"</f>
        <v>F18H3.4</v>
      </c>
      <c r="F1113" t="s">
        <v>11</v>
      </c>
      <c r="G1113" t="s">
        <v>951</v>
      </c>
      <c r="H1113" s="12">
        <v>-1.65686023802822</v>
      </c>
      <c r="I1113" s="20">
        <v>-2.63999884637773</v>
      </c>
      <c r="J1113" s="28">
        <v>8.2906309432374103E-3</v>
      </c>
      <c r="K1113" s="29">
        <v>0.17236091593993699</v>
      </c>
    </row>
    <row r="1114" spans="1:11" x14ac:dyDescent="0.35">
      <c r="A1114" s="9" t="str">
        <f>HYPERLINK("http://www.ensembl.org/id/WBGene00009621", "WBGene00009621")</f>
        <v>WBGene00009621</v>
      </c>
      <c r="B1114" s="9" t="str">
        <f>HYPERLINK("http://www.ncbi.nlm.nih.gov/gene/181238", "181238")</f>
        <v>181238</v>
      </c>
      <c r="C1114" s="9"/>
      <c r="D1114" t="str">
        <f>"fipr-21"</f>
        <v>fipr-21</v>
      </c>
      <c r="E1114" t="s">
        <v>28</v>
      </c>
      <c r="F1114" t="s">
        <v>11</v>
      </c>
      <c r="H1114" s="12">
        <v>1.9327203385420799</v>
      </c>
      <c r="I1114" s="20">
        <v>2.63951373778107</v>
      </c>
      <c r="J1114" s="28">
        <v>8.3025058184519E-3</v>
      </c>
      <c r="K1114" s="29">
        <v>0.17236091593993699</v>
      </c>
    </row>
    <row r="1115" spans="1:11" x14ac:dyDescent="0.35">
      <c r="A1115" s="9" t="str">
        <f>HYPERLINK("http://www.ensembl.org/id/WBGene00007041", "WBGene00007041")</f>
        <v>WBGene00007041</v>
      </c>
      <c r="B1115" s="9" t="str">
        <f>HYPERLINK("http://www.ncbi.nlm.nih.gov/gene/174730", "174730")</f>
        <v>174730</v>
      </c>
      <c r="C1115" s="9"/>
      <c r="D1115" t="str">
        <f>"tag-180"</f>
        <v>tag-180</v>
      </c>
      <c r="F1115" t="s">
        <v>11</v>
      </c>
      <c r="G1115" t="s">
        <v>950</v>
      </c>
      <c r="H1115" s="12">
        <v>1.76398774318961</v>
      </c>
      <c r="I1115" s="20">
        <v>2.6395433854219901</v>
      </c>
      <c r="J1115" s="28">
        <v>8.3017796434966696E-3</v>
      </c>
      <c r="K1115" s="29">
        <v>0.17236091593993699</v>
      </c>
    </row>
    <row r="1116" spans="1:11" x14ac:dyDescent="0.35">
      <c r="A1116" s="9" t="str">
        <f>HYPERLINK("http://www.ensembl.org/id/WBGene00006640", "WBGene00006640")</f>
        <v>WBGene00006640</v>
      </c>
      <c r="B1116" s="9" t="str">
        <f>HYPERLINK("http://www.ncbi.nlm.nih.gov/gene/180761", "180761")</f>
        <v>180761</v>
      </c>
      <c r="C1116" s="9"/>
      <c r="D1116" t="str">
        <f>"tsp-14"</f>
        <v>tsp-14</v>
      </c>
      <c r="E1116" t="s">
        <v>952</v>
      </c>
      <c r="F1116" t="s">
        <v>11</v>
      </c>
      <c r="G1116" t="s">
        <v>953</v>
      </c>
      <c r="H1116" s="12">
        <v>1.79582707486142</v>
      </c>
      <c r="I1116" s="20">
        <v>2.63827137779076</v>
      </c>
      <c r="J1116" s="28">
        <v>8.3329867146401098E-3</v>
      </c>
      <c r="K1116" s="29">
        <v>0.17283841205428599</v>
      </c>
    </row>
    <row r="1117" spans="1:11" x14ac:dyDescent="0.35">
      <c r="A1117" s="9" t="str">
        <f>HYPERLINK("http://www.ensembl.org/id/WBGene00004017", "WBGene00004017")</f>
        <v>WBGene00004017</v>
      </c>
      <c r="B1117" s="9" t="str">
        <f>HYPERLINK("http://www.ncbi.nlm.nih.gov/gene/185024", "185024")</f>
        <v>185024</v>
      </c>
      <c r="C1117" s="9"/>
      <c r="D1117" t="str">
        <f>"phg-1"</f>
        <v>phg-1</v>
      </c>
      <c r="E1117" t="s">
        <v>954</v>
      </c>
      <c r="F1117" t="s">
        <v>11</v>
      </c>
      <c r="H1117" s="12">
        <v>2.76373121538552</v>
      </c>
      <c r="I1117" s="20">
        <v>2.6366481571701801</v>
      </c>
      <c r="J1117" s="28">
        <v>8.3729627348985407E-3</v>
      </c>
      <c r="K1117" s="29">
        <v>0.17351181789467801</v>
      </c>
    </row>
    <row r="1118" spans="1:11" x14ac:dyDescent="0.35">
      <c r="A1118" s="9" t="str">
        <f>HYPERLINK("http://www.ensembl.org/id/WBGene00271827", "WBGene00271827")</f>
        <v>WBGene00271827</v>
      </c>
      <c r="B1118" s="9" t="str">
        <f>HYPERLINK("http://www.ncbi.nlm.nih.gov/gene/34700646", "34700646")</f>
        <v>34700646</v>
      </c>
      <c r="C1118" s="9"/>
      <c r="D1118" t="str">
        <f>"T19H12.15"</f>
        <v>T19H12.15</v>
      </c>
      <c r="F1118" t="s">
        <v>11</v>
      </c>
      <c r="H1118" s="12">
        <v>3.82372350332066</v>
      </c>
      <c r="I1118" s="20">
        <v>2.6344286957774901</v>
      </c>
      <c r="J1118" s="28">
        <v>8.4279003515394992E-3</v>
      </c>
      <c r="K1118" s="29">
        <v>0.17433756985019799</v>
      </c>
    </row>
    <row r="1119" spans="1:11" x14ac:dyDescent="0.35">
      <c r="A1119" s="9" t="str">
        <f>HYPERLINK("http://www.ensembl.org/id/WBGene00006870", "WBGene00006870")</f>
        <v>WBGene00006870</v>
      </c>
      <c r="B1119" s="9" t="str">
        <f>HYPERLINK("http://www.ncbi.nlm.nih.gov/gene/181251", "181251")</f>
        <v>181251</v>
      </c>
      <c r="C1119" s="9" t="str">
        <f>HYPERLINK("http://www.ncbi.nlm.nih.gov/gene/5080", "5080")</f>
        <v>5080</v>
      </c>
      <c r="D1119" t="str">
        <f>"vab-3"</f>
        <v>vab-3</v>
      </c>
      <c r="E1119" t="s">
        <v>955</v>
      </c>
      <c r="F1119" t="s">
        <v>11</v>
      </c>
      <c r="G1119" t="s">
        <v>956</v>
      </c>
      <c r="H1119" s="12">
        <v>1.8903273542988901</v>
      </c>
      <c r="I1119" s="20">
        <v>2.6347142334624398</v>
      </c>
      <c r="J1119" s="28">
        <v>8.4208145054691496E-3</v>
      </c>
      <c r="K1119" s="29">
        <v>0.17433756985019799</v>
      </c>
    </row>
    <row r="1120" spans="1:11" x14ac:dyDescent="0.35">
      <c r="A1120" s="9" t="str">
        <f>HYPERLINK("http://www.ensembl.org/id/WBGene00015425", "WBGene00015425")</f>
        <v>WBGene00015425</v>
      </c>
      <c r="B1120" s="9" t="str">
        <f>HYPERLINK("http://www.ncbi.nlm.nih.gov/gene/178978", "178978")</f>
        <v>178978</v>
      </c>
      <c r="C1120" s="9"/>
      <c r="D1120" t="str">
        <f>"C04E6.11"</f>
        <v>C04E6.11</v>
      </c>
      <c r="F1120" t="s">
        <v>11</v>
      </c>
      <c r="G1120" t="s">
        <v>54</v>
      </c>
      <c r="H1120" s="12">
        <v>-1.81985884318645</v>
      </c>
      <c r="I1120" s="20">
        <v>-2.6339476225884502</v>
      </c>
      <c r="J1120" s="28">
        <v>8.4398506289733895E-3</v>
      </c>
      <c r="K1120" s="29">
        <v>0.17442861237304</v>
      </c>
    </row>
    <row r="1121" spans="1:11" x14ac:dyDescent="0.35">
      <c r="A1121" s="9" t="str">
        <f>HYPERLINK("http://www.ensembl.org/id/WBGene00012753", "WBGene00012753")</f>
        <v>WBGene00012753</v>
      </c>
      <c r="B1121" s="9" t="str">
        <f>HYPERLINK("http://www.ncbi.nlm.nih.gov/gene/176599", "176599")</f>
        <v>176599</v>
      </c>
      <c r="C1121" s="9"/>
      <c r="D1121" t="str">
        <f>"Y41C4A.6"</f>
        <v>Y41C4A.6</v>
      </c>
      <c r="F1121" t="s">
        <v>11</v>
      </c>
      <c r="H1121" s="12">
        <v>3.4246631035727302</v>
      </c>
      <c r="I1121" s="20">
        <v>2.6328377145134199</v>
      </c>
      <c r="J1121" s="28">
        <v>8.4674795463198695E-3</v>
      </c>
      <c r="K1121" s="29">
        <v>0.174843237173608</v>
      </c>
    </row>
    <row r="1122" spans="1:11" x14ac:dyDescent="0.35">
      <c r="A1122" s="9" t="str">
        <f>HYPERLINK("http://www.ensembl.org/id/WBGene00022553", "WBGene00022553")</f>
        <v>WBGene00022553</v>
      </c>
      <c r="B1122" s="9" t="str">
        <f>HYPERLINK("http://www.ncbi.nlm.nih.gov/gene/191108", "191108")</f>
        <v>191108</v>
      </c>
      <c r="C1122" s="9"/>
      <c r="D1122" t="str">
        <f>"ZC204.1"</f>
        <v>ZC204.1</v>
      </c>
      <c r="F1122" t="s">
        <v>11</v>
      </c>
      <c r="H1122" s="12">
        <v>-28.775388432371599</v>
      </c>
      <c r="I1122" s="20">
        <v>-2.6321000830182402</v>
      </c>
      <c r="J1122" s="28">
        <v>8.4858861022401103E-3</v>
      </c>
      <c r="K1122" s="29">
        <v>0.17506686096282101</v>
      </c>
    </row>
    <row r="1123" spans="1:11" x14ac:dyDescent="0.35">
      <c r="A1123" s="9" t="str">
        <f>HYPERLINK("http://www.ensembl.org/id/WBGene00019337", "WBGene00019337")</f>
        <v>WBGene00019337</v>
      </c>
      <c r="B1123" s="9" t="str">
        <f>HYPERLINK("http://www.ncbi.nlm.nih.gov/gene/3565220", "3565220")</f>
        <v>3565220</v>
      </c>
      <c r="C1123" s="9"/>
      <c r="D1123" t="str">
        <f>"K02F6.3"</f>
        <v>K02F6.3</v>
      </c>
      <c r="F1123" t="s">
        <v>11</v>
      </c>
      <c r="G1123" t="s">
        <v>417</v>
      </c>
      <c r="H1123" s="12">
        <v>-1.6266209791448201</v>
      </c>
      <c r="I1123" s="20">
        <v>-2.6299418737907598</v>
      </c>
      <c r="J1123" s="28">
        <v>8.5399468405398908E-3</v>
      </c>
      <c r="K1123" s="29">
        <v>0.176024988133376</v>
      </c>
    </row>
    <row r="1124" spans="1:11" x14ac:dyDescent="0.35">
      <c r="A1124" s="9" t="str">
        <f>HYPERLINK("http://www.ensembl.org/id/WBGene00021866", "WBGene00021866")</f>
        <v>WBGene00021866</v>
      </c>
      <c r="B1124" s="9" t="str">
        <f>HYPERLINK("http://www.ncbi.nlm.nih.gov/gene/190276", "190276")</f>
        <v>190276</v>
      </c>
      <c r="C1124" s="9"/>
      <c r="D1124" t="str">
        <f>"Y54F10BM.12"</f>
        <v>Y54F10BM.12</v>
      </c>
      <c r="F1124" t="s">
        <v>11</v>
      </c>
      <c r="H1124" s="12">
        <v>-1.8184901934924</v>
      </c>
      <c r="I1124" s="20">
        <v>-2.62764002822288</v>
      </c>
      <c r="J1124" s="28">
        <v>8.5979446661955897E-3</v>
      </c>
      <c r="K1124" s="29">
        <v>0.177062486147162</v>
      </c>
    </row>
    <row r="1125" spans="1:11" x14ac:dyDescent="0.35">
      <c r="A1125" s="9" t="str">
        <f>HYPERLINK("http://www.ensembl.org/id/WBGene00012062", "WBGene00012062")</f>
        <v>WBGene00012062</v>
      </c>
      <c r="B1125" s="9" t="str">
        <f>HYPERLINK("http://www.ncbi.nlm.nih.gov/gene/188945", "188945")</f>
        <v>188945</v>
      </c>
      <c r="C1125" s="9"/>
      <c r="D1125" t="str">
        <f>"T26G10.5"</f>
        <v>T26G10.5</v>
      </c>
      <c r="F1125" t="s">
        <v>11</v>
      </c>
      <c r="H1125" s="12">
        <v>3.1676502485153399</v>
      </c>
      <c r="I1125" s="20">
        <v>2.6261198441356601</v>
      </c>
      <c r="J1125" s="28">
        <v>8.6364403771952494E-3</v>
      </c>
      <c r="K1125" s="29">
        <v>0.17769687565046599</v>
      </c>
    </row>
    <row r="1126" spans="1:11" x14ac:dyDescent="0.35">
      <c r="A1126" s="9" t="str">
        <f>HYPERLINK("http://www.ensembl.org/id/WBGene00007333", "WBGene00007333")</f>
        <v>WBGene00007333</v>
      </c>
      <c r="B1126" s="9" t="str">
        <f>HYPERLINK("http://www.ncbi.nlm.nih.gov/gene/3565222", "3565222")</f>
        <v>3565222</v>
      </c>
      <c r="C1126" s="9"/>
      <c r="D1126" t="str">
        <f>"ufd-3"</f>
        <v>ufd-3</v>
      </c>
      <c r="E1126" t="s">
        <v>957</v>
      </c>
      <c r="F1126" t="s">
        <v>11</v>
      </c>
      <c r="G1126" t="s">
        <v>958</v>
      </c>
      <c r="H1126" s="12">
        <v>-1.6192565247536901</v>
      </c>
      <c r="I1126" s="20">
        <v>-2.6237535186746199</v>
      </c>
      <c r="J1126" s="28">
        <v>8.6966695795423002E-3</v>
      </c>
      <c r="K1126" s="29">
        <v>0.17877691041361601</v>
      </c>
    </row>
    <row r="1127" spans="1:11" x14ac:dyDescent="0.35">
      <c r="A1127" s="9" t="str">
        <f>HYPERLINK("http://www.ensembl.org/id/WBGene00000233", "WBGene00000233")</f>
        <v>WBGene00000233</v>
      </c>
      <c r="B1127" s="9" t="str">
        <f>HYPERLINK("http://www.ncbi.nlm.nih.gov/gene/179834", "179834")</f>
        <v>179834</v>
      </c>
      <c r="C1127" s="9" t="str">
        <f>HYPERLINK("http://www.ncbi.nlm.nih.gov/gene/2741", "2741")</f>
        <v>2741</v>
      </c>
      <c r="D1127" t="str">
        <f>"avr-15"</f>
        <v>avr-15</v>
      </c>
      <c r="F1127" t="s">
        <v>11</v>
      </c>
      <c r="G1127" t="s">
        <v>959</v>
      </c>
      <c r="H1127" s="12">
        <v>1.8964513848667599</v>
      </c>
      <c r="I1127" s="20">
        <v>2.62140543336267</v>
      </c>
      <c r="J1127" s="28">
        <v>8.7568052965404392E-3</v>
      </c>
      <c r="K1127" s="29">
        <v>0.17953393361301101</v>
      </c>
    </row>
    <row r="1128" spans="1:11" x14ac:dyDescent="0.35">
      <c r="A1128" s="9" t="str">
        <f>HYPERLINK("http://www.ensembl.org/id/WBGene00007283", "WBGene00007283")</f>
        <v>WBGene00007283</v>
      </c>
      <c r="B1128" s="9" t="str">
        <f>HYPERLINK("http://www.ncbi.nlm.nih.gov/gene/179560", "179560")</f>
        <v>179560</v>
      </c>
      <c r="C1128" s="9"/>
      <c r="D1128" t="str">
        <f>"clec-222"</f>
        <v>clec-222</v>
      </c>
      <c r="E1128" t="s">
        <v>46</v>
      </c>
      <c r="F1128" t="s">
        <v>11</v>
      </c>
      <c r="G1128" t="s">
        <v>47</v>
      </c>
      <c r="H1128" s="12">
        <v>-1.62268588914979</v>
      </c>
      <c r="I1128" s="20">
        <v>-2.6219664641146299</v>
      </c>
      <c r="J1128" s="28">
        <v>8.7424033145142594E-3</v>
      </c>
      <c r="K1128" s="29">
        <v>0.17953393361301101</v>
      </c>
    </row>
    <row r="1129" spans="1:11" x14ac:dyDescent="0.35">
      <c r="A1129" s="9" t="str">
        <f>HYPERLINK("http://www.ensembl.org/id/WBGene00003758", "WBGene00003758")</f>
        <v>WBGene00003758</v>
      </c>
      <c r="B1129" s="9" t="str">
        <f>HYPERLINK("http://www.ncbi.nlm.nih.gov/gene/177542", "177542")</f>
        <v>177542</v>
      </c>
      <c r="C1129" s="9"/>
      <c r="D1129" t="str">
        <f>"nlp-20"</f>
        <v>nlp-20</v>
      </c>
      <c r="E1129" t="s">
        <v>76</v>
      </c>
      <c r="F1129" t="s">
        <v>11</v>
      </c>
      <c r="G1129" t="s">
        <v>77</v>
      </c>
      <c r="H1129" s="12">
        <v>1.59956929292362</v>
      </c>
      <c r="I1129" s="20">
        <v>2.62150481033476</v>
      </c>
      <c r="J1129" s="28">
        <v>8.7542526885202691E-3</v>
      </c>
      <c r="K1129" s="29">
        <v>0.17953393361301101</v>
      </c>
    </row>
    <row r="1130" spans="1:11" x14ac:dyDescent="0.35">
      <c r="A1130" s="9" t="str">
        <f>HYPERLINK("http://www.ensembl.org/id/WBGene00016421", "WBGene00016421")</f>
        <v>WBGene00016421</v>
      </c>
      <c r="B1130" s="9" t="str">
        <f>HYPERLINK("http://www.ncbi.nlm.nih.gov/gene/172260", "172260")</f>
        <v>172260</v>
      </c>
      <c r="C1130" s="9"/>
      <c r="D1130" t="str">
        <f>"cdc-7"</f>
        <v>cdc-7</v>
      </c>
      <c r="E1130" t="s">
        <v>960</v>
      </c>
      <c r="F1130" t="s">
        <v>11</v>
      </c>
      <c r="G1130" t="s">
        <v>961</v>
      </c>
      <c r="H1130" s="12">
        <v>-1.7832549877014301</v>
      </c>
      <c r="I1130" s="20">
        <v>-2.6190632392009401</v>
      </c>
      <c r="J1130" s="28">
        <v>8.8171600340211705E-3</v>
      </c>
      <c r="K1130" s="29">
        <v>0.18045110694959501</v>
      </c>
    </row>
    <row r="1131" spans="1:11" x14ac:dyDescent="0.35">
      <c r="A1131" s="9" t="str">
        <f>HYPERLINK("http://www.ensembl.org/id/WBGene00206525", "WBGene00206525")</f>
        <v>WBGene00206525</v>
      </c>
      <c r="B1131" s="9" t="str">
        <f>HYPERLINK("http://www.ncbi.nlm.nih.gov/gene/13189130", "13189130")</f>
        <v>13189130</v>
      </c>
      <c r="C1131" s="9"/>
      <c r="D1131" t="str">
        <f>"R74.10"</f>
        <v>R74.10</v>
      </c>
      <c r="F1131" t="s">
        <v>11</v>
      </c>
      <c r="H1131" s="12">
        <v>1.9568127713968699</v>
      </c>
      <c r="I1131" s="20">
        <v>2.61911587477976</v>
      </c>
      <c r="J1131" s="28">
        <v>8.8157996243422906E-3</v>
      </c>
      <c r="K1131" s="29">
        <v>0.18045110694959501</v>
      </c>
    </row>
    <row r="1132" spans="1:11" x14ac:dyDescent="0.35">
      <c r="A1132" s="9" t="str">
        <f>HYPERLINK("http://www.ensembl.org/id/WBGene00007430", "WBGene00007430")</f>
        <v>WBGene00007430</v>
      </c>
      <c r="B1132" s="9" t="str">
        <f>HYPERLINK("http://www.ncbi.nlm.nih.gov/gene/179408", "179408")</f>
        <v>179408</v>
      </c>
      <c r="C1132" s="9"/>
      <c r="D1132" t="str">
        <f>"C08B6.10"</f>
        <v>C08B6.10</v>
      </c>
      <c r="F1132" t="s">
        <v>11</v>
      </c>
      <c r="H1132" s="12">
        <v>1.86384865639699</v>
      </c>
      <c r="I1132" s="20">
        <v>2.6183180481388901</v>
      </c>
      <c r="J1132" s="28">
        <v>8.8364402421441893E-3</v>
      </c>
      <c r="K1132" s="29">
        <v>0.18052589587531701</v>
      </c>
    </row>
    <row r="1133" spans="1:11" x14ac:dyDescent="0.35">
      <c r="A1133" s="9" t="str">
        <f>HYPERLINK("http://www.ensembl.org/id/WBGene00010357", "WBGene00010357")</f>
        <v>WBGene00010357</v>
      </c>
      <c r="B1133" s="9" t="str">
        <f>HYPERLINK("http://www.ncbi.nlm.nih.gov/gene/181617", "181617")</f>
        <v>181617</v>
      </c>
      <c r="C1133" s="9"/>
      <c r="D1133" t="str">
        <f>"H03A11.2"</f>
        <v>H03A11.2</v>
      </c>
      <c r="F1133" t="s">
        <v>11</v>
      </c>
      <c r="G1133" t="s">
        <v>962</v>
      </c>
      <c r="H1133" s="12">
        <v>2.1923943911821699</v>
      </c>
      <c r="I1133" s="20">
        <v>2.6186067948085898</v>
      </c>
      <c r="J1133" s="28">
        <v>8.8289650810535296E-3</v>
      </c>
      <c r="K1133" s="29">
        <v>0.18052589587531701</v>
      </c>
    </row>
    <row r="1134" spans="1:11" x14ac:dyDescent="0.35">
      <c r="A1134" s="9" t="str">
        <f>HYPERLINK("http://www.ensembl.org/id/WBGene00001855", "WBGene00001855")</f>
        <v>WBGene00001855</v>
      </c>
      <c r="B1134" s="9" t="str">
        <f>HYPERLINK("http://www.ncbi.nlm.nih.gov/gene/178866", "178866")</f>
        <v>178866</v>
      </c>
      <c r="C1134" s="9"/>
      <c r="D1134" t="str">
        <f>"hil-4"</f>
        <v>hil-4</v>
      </c>
      <c r="E1134" t="s">
        <v>963</v>
      </c>
      <c r="F1134" t="s">
        <v>11</v>
      </c>
      <c r="G1134" t="s">
        <v>701</v>
      </c>
      <c r="H1134" s="12">
        <v>-1.6949017788790699</v>
      </c>
      <c r="I1134" s="20">
        <v>-2.6176814454385799</v>
      </c>
      <c r="J1134" s="28">
        <v>8.8529407831023695E-3</v>
      </c>
      <c r="K1134" s="29">
        <v>0.18067409484821001</v>
      </c>
    </row>
    <row r="1135" spans="1:11" x14ac:dyDescent="0.35">
      <c r="A1135" s="9" t="str">
        <f>HYPERLINK("http://www.ensembl.org/id/WBGene00017154", "WBGene00017154")</f>
        <v>WBGene00017154</v>
      </c>
      <c r="B1135" s="9" t="str">
        <f>HYPERLINK("http://www.ncbi.nlm.nih.gov/gene/180969", "180969")</f>
        <v>180969</v>
      </c>
      <c r="C1135" s="9"/>
      <c r="D1135" t="str">
        <f>"ugt-57"</f>
        <v>ugt-57</v>
      </c>
      <c r="E1135" t="s">
        <v>103</v>
      </c>
      <c r="F1135" t="s">
        <v>11</v>
      </c>
      <c r="G1135" t="s">
        <v>104</v>
      </c>
      <c r="H1135" s="12">
        <v>2.0476684195189701</v>
      </c>
      <c r="I1135" s="20">
        <v>2.61743511200544</v>
      </c>
      <c r="J1135" s="28">
        <v>8.8593330504207497E-3</v>
      </c>
      <c r="K1135" s="29">
        <v>0.18067409484821001</v>
      </c>
    </row>
    <row r="1136" spans="1:11" x14ac:dyDescent="0.35">
      <c r="A1136" s="9" t="str">
        <f>HYPERLINK("http://www.ensembl.org/id/WBGene00017597", "WBGene00017597")</f>
        <v>WBGene00017597</v>
      </c>
      <c r="B1136" s="9" t="str">
        <f>HYPERLINK("http://www.ncbi.nlm.nih.gov/gene/177226", "177226")</f>
        <v>177226</v>
      </c>
      <c r="C1136" s="9"/>
      <c r="D1136" t="str">
        <f>"F19C7.8"</f>
        <v>F19C7.8</v>
      </c>
      <c r="F1136" t="s">
        <v>11</v>
      </c>
      <c r="G1136" t="s">
        <v>964</v>
      </c>
      <c r="H1136" s="12">
        <v>1.86850747693341</v>
      </c>
      <c r="I1136" s="20">
        <v>2.6159625039814798</v>
      </c>
      <c r="J1136" s="28">
        <v>8.8976327910302699E-3</v>
      </c>
      <c r="K1136" s="29">
        <v>0.18129515279501399</v>
      </c>
    </row>
    <row r="1137" spans="1:11" x14ac:dyDescent="0.35">
      <c r="A1137" s="9" t="str">
        <f>HYPERLINK("http://www.ensembl.org/id/WBGene00015819", "WBGene00015819")</f>
        <v>WBGene00015819</v>
      </c>
      <c r="B1137" s="9" t="str">
        <f>HYPERLINK("http://www.ncbi.nlm.nih.gov/gene/173757", "173757")</f>
        <v>173757</v>
      </c>
      <c r="C1137" s="9"/>
      <c r="D1137" t="str">
        <f>"fbxc-44"</f>
        <v>fbxc-44</v>
      </c>
      <c r="E1137" t="s">
        <v>311</v>
      </c>
      <c r="F1137" t="s">
        <v>11</v>
      </c>
      <c r="H1137" s="12">
        <v>-1.9022115758282401</v>
      </c>
      <c r="I1137" s="20">
        <v>-2.6090268412400901</v>
      </c>
      <c r="J1137" s="28">
        <v>9.0800119859795608E-3</v>
      </c>
      <c r="K1137" s="29">
        <v>0.18480758702189501</v>
      </c>
    </row>
    <row r="1138" spans="1:11" x14ac:dyDescent="0.35">
      <c r="A1138" s="9" t="str">
        <f>HYPERLINK("http://www.ensembl.org/id/WBGene00018833", "WBGene00018833")</f>
        <v>WBGene00018833</v>
      </c>
      <c r="B1138" s="9" t="str">
        <f>HYPERLINK("http://www.ncbi.nlm.nih.gov/gene/176236", "176236")</f>
        <v>176236</v>
      </c>
      <c r="C1138" s="9"/>
      <c r="D1138" t="str">
        <f>"ztf-1"</f>
        <v>ztf-1</v>
      </c>
      <c r="E1138" t="s">
        <v>965</v>
      </c>
      <c r="F1138" t="s">
        <v>11</v>
      </c>
      <c r="G1138" t="s">
        <v>966</v>
      </c>
      <c r="H1138" s="12">
        <v>-1.84523991640385</v>
      </c>
      <c r="I1138" s="20">
        <v>-2.6088007466915699</v>
      </c>
      <c r="J1138" s="28">
        <v>9.0860131072826398E-3</v>
      </c>
      <c r="K1138" s="29">
        <v>0.18480758702189501</v>
      </c>
    </row>
    <row r="1139" spans="1:11" x14ac:dyDescent="0.35">
      <c r="A1139" s="9" t="str">
        <f>HYPERLINK("http://www.ensembl.org/id/WBGene00008440", "WBGene00008440")</f>
        <v>WBGene00008440</v>
      </c>
      <c r="B1139" s="9" t="str">
        <f>HYPERLINK("http://www.ncbi.nlm.nih.gov/gene/259387", "259387")</f>
        <v>259387</v>
      </c>
      <c r="C1139" s="9"/>
      <c r="D1139" t="str">
        <f>"DY3.8"</f>
        <v>DY3.8</v>
      </c>
      <c r="F1139" t="s">
        <v>11</v>
      </c>
      <c r="G1139" t="s">
        <v>25</v>
      </c>
      <c r="H1139" s="12">
        <v>-1.81690978129353</v>
      </c>
      <c r="I1139" s="20">
        <v>-2.60798089396412</v>
      </c>
      <c r="J1139" s="28">
        <v>9.1078037838423099E-3</v>
      </c>
      <c r="K1139" s="29">
        <v>0.185087875311751</v>
      </c>
    </row>
    <row r="1140" spans="1:11" x14ac:dyDescent="0.35">
      <c r="A1140" s="9" t="str">
        <f>HYPERLINK("http://www.ensembl.org/id/WBGene00020662", "WBGene00020662")</f>
        <v>WBGene00020662</v>
      </c>
      <c r="B1140" s="9" t="str">
        <f>HYPERLINK("http://www.ncbi.nlm.nih.gov/gene/178615", "178615")</f>
        <v>178615</v>
      </c>
      <c r="C1140" s="9"/>
      <c r="D1140" t="str">
        <f>"T21H3.1"</f>
        <v>T21H3.1</v>
      </c>
      <c r="F1140" t="s">
        <v>11</v>
      </c>
      <c r="G1140" t="s">
        <v>29</v>
      </c>
      <c r="H1140" s="12">
        <v>-1.5916420686616499</v>
      </c>
      <c r="I1140" s="20">
        <v>-2.6072710490287698</v>
      </c>
      <c r="J1140" s="28">
        <v>9.1267082596788902E-3</v>
      </c>
      <c r="K1140" s="29">
        <v>0.18530906946233799</v>
      </c>
    </row>
    <row r="1141" spans="1:11" x14ac:dyDescent="0.35">
      <c r="A1141" s="9" t="str">
        <f>HYPERLINK("http://www.ensembl.org/id/WBGene00010363", "WBGene00010363")</f>
        <v>WBGene00010363</v>
      </c>
      <c r="B1141" s="9" t="str">
        <f>HYPERLINK("http://www.ncbi.nlm.nih.gov/gene/186678", "186678")</f>
        <v>186678</v>
      </c>
      <c r="C1141" s="9"/>
      <c r="D1141" t="str">
        <f>"H04D03.2"</f>
        <v>H04D03.2</v>
      </c>
      <c r="F1141" t="s">
        <v>11</v>
      </c>
      <c r="G1141" t="s">
        <v>967</v>
      </c>
      <c r="H1141" s="12">
        <v>-1.96406676647589</v>
      </c>
      <c r="I1141" s="20">
        <v>-2.60620914825346</v>
      </c>
      <c r="J1141" s="28">
        <v>9.1550540268879304E-3</v>
      </c>
      <c r="K1141" s="29">
        <v>0.18572140328821099</v>
      </c>
    </row>
    <row r="1142" spans="1:11" x14ac:dyDescent="0.35">
      <c r="A1142" s="9" t="str">
        <f>HYPERLINK("http://www.ensembl.org/id/WBGene00015692", "WBGene00015692")</f>
        <v>WBGene00015692</v>
      </c>
      <c r="B1142" s="9" t="str">
        <f>HYPERLINK("http://www.ncbi.nlm.nih.gov/gene/172087", "172087")</f>
        <v>172087</v>
      </c>
      <c r="C1142" s="9"/>
      <c r="D1142" t="str">
        <f>"ugt-25"</f>
        <v>ugt-25</v>
      </c>
      <c r="E1142" t="s">
        <v>948</v>
      </c>
      <c r="F1142" t="s">
        <v>11</v>
      </c>
      <c r="G1142" t="s">
        <v>104</v>
      </c>
      <c r="H1142" s="12">
        <v>2.6544702371719602</v>
      </c>
      <c r="I1142" s="20">
        <v>2.6058278035259099</v>
      </c>
      <c r="J1142" s="28">
        <v>9.1652525844711803E-3</v>
      </c>
      <c r="K1142" s="29">
        <v>0.18576519843578199</v>
      </c>
    </row>
    <row r="1143" spans="1:11" x14ac:dyDescent="0.35">
      <c r="A1143" s="9" t="str">
        <f>HYPERLINK("http://www.ensembl.org/id/WBGene00017364", "WBGene00017364")</f>
        <v>WBGene00017364</v>
      </c>
      <c r="B1143" s="9" t="str">
        <f>HYPERLINK("http://www.ncbi.nlm.nih.gov/gene/184314", "184314")</f>
        <v>184314</v>
      </c>
      <c r="C1143" s="9"/>
      <c r="D1143" t="str">
        <f>"clec-7"</f>
        <v>clec-7</v>
      </c>
      <c r="E1143" t="s">
        <v>46</v>
      </c>
      <c r="F1143" t="s">
        <v>11</v>
      </c>
      <c r="G1143" t="s">
        <v>151</v>
      </c>
      <c r="H1143" s="12">
        <v>-2.06625640387277</v>
      </c>
      <c r="I1143" s="20">
        <v>-2.6052307685921599</v>
      </c>
      <c r="J1143" s="28">
        <v>9.1812398568641897E-3</v>
      </c>
      <c r="K1143" s="29">
        <v>0.18592614209702399</v>
      </c>
    </row>
    <row r="1144" spans="1:11" x14ac:dyDescent="0.35">
      <c r="A1144" s="9" t="str">
        <f>HYPERLINK("http://www.ensembl.org/id/WBGene00007440", "WBGene00007440")</f>
        <v>WBGene00007440</v>
      </c>
      <c r="B1144" s="9" t="str">
        <f>HYPERLINK("http://www.ncbi.nlm.nih.gov/gene/182409", "182409")</f>
        <v>182409</v>
      </c>
      <c r="C1144" s="9"/>
      <c r="D1144" t="str">
        <f>"C08E8.4"</f>
        <v>C08E8.4</v>
      </c>
      <c r="F1144" t="s">
        <v>11</v>
      </c>
      <c r="G1144" t="s">
        <v>264</v>
      </c>
      <c r="H1144" s="12">
        <v>-1.7910963660171999</v>
      </c>
      <c r="I1144" s="20">
        <v>-2.6044902406028698</v>
      </c>
      <c r="J1144" s="28">
        <v>9.2011041357159904E-3</v>
      </c>
      <c r="K1144" s="29">
        <v>0.18616524707517801</v>
      </c>
    </row>
    <row r="1145" spans="1:11" x14ac:dyDescent="0.35">
      <c r="A1145" s="9" t="str">
        <f>HYPERLINK("http://www.ensembl.org/id/WBGene00003757", "WBGene00003757")</f>
        <v>WBGene00003757</v>
      </c>
      <c r="B1145" s="9" t="str">
        <f>HYPERLINK("http://www.ncbi.nlm.nih.gov/gene/266950", "266950")</f>
        <v>266950</v>
      </c>
      <c r="C1145" s="9"/>
      <c r="D1145" t="str">
        <f>"nlp-19"</f>
        <v>nlp-19</v>
      </c>
      <c r="E1145" t="s">
        <v>76</v>
      </c>
      <c r="F1145" t="s">
        <v>11</v>
      </c>
      <c r="G1145" t="s">
        <v>77</v>
      </c>
      <c r="H1145" s="12">
        <v>2.59853763617601</v>
      </c>
      <c r="I1145" s="20">
        <v>2.6034486786459201</v>
      </c>
      <c r="J1145" s="28">
        <v>9.2291084108658307E-3</v>
      </c>
      <c r="K1145" s="29">
        <v>0.18656848551309399</v>
      </c>
    </row>
    <row r="1146" spans="1:11" x14ac:dyDescent="0.35">
      <c r="A1146" s="9" t="str">
        <f>HYPERLINK("http://www.ensembl.org/id/WBGene00016392", "WBGene00016392")</f>
        <v>WBGene00016392</v>
      </c>
      <c r="B1146" s="9" t="str">
        <f>HYPERLINK("http://www.ncbi.nlm.nih.gov/gene/172968", "172968")</f>
        <v>172968</v>
      </c>
      <c r="C1146" s="9" t="str">
        <f>HYPERLINK("http://www.ncbi.nlm.nih.gov/gene/6389", "6389")</f>
        <v>6389</v>
      </c>
      <c r="D1146" t="str">
        <f>"sdha-2"</f>
        <v>sdha-2</v>
      </c>
      <c r="E1146" t="s">
        <v>968</v>
      </c>
      <c r="F1146" t="s">
        <v>11</v>
      </c>
      <c r="G1146" t="s">
        <v>969</v>
      </c>
      <c r="H1146" s="12">
        <v>-1.6768371164626299</v>
      </c>
      <c r="I1146" s="20">
        <v>-2.6030904088711</v>
      </c>
      <c r="J1146" s="28">
        <v>9.2387587087441499E-3</v>
      </c>
      <c r="K1146" s="29">
        <v>0.18660031357014201</v>
      </c>
    </row>
    <row r="1147" spans="1:11" x14ac:dyDescent="0.35">
      <c r="A1147" s="9" t="str">
        <f>HYPERLINK("http://www.ensembl.org/id/WBGene00001856", "WBGene00001856")</f>
        <v>WBGene00001856</v>
      </c>
      <c r="B1147" s="9" t="str">
        <f>HYPERLINK("http://www.ncbi.nlm.nih.gov/gene/172242", "172242")</f>
        <v>172242</v>
      </c>
      <c r="C1147" s="9"/>
      <c r="D1147" t="str">
        <f>"hil-5"</f>
        <v>hil-5</v>
      </c>
      <c r="E1147" t="s">
        <v>970</v>
      </c>
      <c r="F1147" t="s">
        <v>11</v>
      </c>
      <c r="G1147" t="s">
        <v>701</v>
      </c>
      <c r="H1147" s="12">
        <v>-1.6716679549528199</v>
      </c>
      <c r="I1147" s="20">
        <v>-2.6027236143304902</v>
      </c>
      <c r="J1147" s="28">
        <v>9.2486479564899901E-3</v>
      </c>
      <c r="K1147" s="29">
        <v>0.18663690801978799</v>
      </c>
    </row>
    <row r="1148" spans="1:11" x14ac:dyDescent="0.35">
      <c r="A1148" s="9" t="str">
        <f>HYPERLINK("http://www.ensembl.org/id/WBGene00001053", "WBGene00001053")</f>
        <v>WBGene00001053</v>
      </c>
      <c r="B1148" s="9" t="str">
        <f>HYPERLINK("http://www.ncbi.nlm.nih.gov/gene/179347", "179347")</f>
        <v>179347</v>
      </c>
      <c r="C1148" s="9" t="str">
        <f>HYPERLINK("http://www.ncbi.nlm.nih.gov/gene/1814", "1814")</f>
        <v>1814</v>
      </c>
      <c r="D1148" t="str">
        <f>"dop-2"</f>
        <v>dop-2</v>
      </c>
      <c r="E1148" t="s">
        <v>971</v>
      </c>
      <c r="F1148" t="s">
        <v>11</v>
      </c>
      <c r="G1148" t="s">
        <v>972</v>
      </c>
      <c r="H1148" s="12">
        <v>1.9300311823705001</v>
      </c>
      <c r="I1148" s="20">
        <v>2.6007158810935298</v>
      </c>
      <c r="J1148" s="28">
        <v>9.3029465549386899E-3</v>
      </c>
      <c r="K1148" s="29">
        <v>0.18756883341920899</v>
      </c>
    </row>
    <row r="1149" spans="1:11" x14ac:dyDescent="0.35">
      <c r="A1149" s="9" t="str">
        <f>HYPERLINK("http://www.ensembl.org/id/WBGene00020846", "WBGene00020846")</f>
        <v>WBGene00020846</v>
      </c>
      <c r="B1149" s="9" t="str">
        <f>HYPERLINK("http://www.ncbi.nlm.nih.gov/gene/180649", "180649")</f>
        <v>180649</v>
      </c>
      <c r="C1149" s="9"/>
      <c r="D1149" t="str">
        <f>"T27A10.6"</f>
        <v>T27A10.6</v>
      </c>
      <c r="F1149" t="s">
        <v>11</v>
      </c>
      <c r="H1149" s="12">
        <v>1.6334589548037</v>
      </c>
      <c r="I1149" s="20">
        <v>2.59942322219971</v>
      </c>
      <c r="J1149" s="28">
        <v>9.3380565112483101E-3</v>
      </c>
      <c r="K1149" s="29">
        <v>0.188112583913604</v>
      </c>
    </row>
    <row r="1150" spans="1:11" x14ac:dyDescent="0.35">
      <c r="A1150" s="9" t="str">
        <f>HYPERLINK("http://www.ensembl.org/id/WBGene00007277", "WBGene00007277")</f>
        <v>WBGene00007277</v>
      </c>
      <c r="B1150" s="9" t="str">
        <f>HYPERLINK("http://www.ncbi.nlm.nih.gov/gene/172812", "172812")</f>
        <v>172812</v>
      </c>
      <c r="C1150" s="9" t="str">
        <f>HYPERLINK("http://www.ncbi.nlm.nih.gov/gene/25842", "25842")</f>
        <v>25842</v>
      </c>
      <c r="D1150" t="str">
        <f>"asfl-1"</f>
        <v>asfl-1</v>
      </c>
      <c r="E1150" t="s">
        <v>973</v>
      </c>
      <c r="F1150" t="s">
        <v>11</v>
      </c>
      <c r="G1150" t="s">
        <v>974</v>
      </c>
      <c r="H1150" s="12">
        <v>-1.7871942008146899</v>
      </c>
      <c r="I1150" s="20">
        <v>-2.59877864191626</v>
      </c>
      <c r="J1150" s="28">
        <v>9.3556081145352594E-3</v>
      </c>
      <c r="K1150" s="29">
        <v>0.18830198701607301</v>
      </c>
    </row>
    <row r="1151" spans="1:11" x14ac:dyDescent="0.35">
      <c r="A1151" s="9" t="str">
        <f>HYPERLINK("http://www.ensembl.org/id/WBGene00018694", "WBGene00018694")</f>
        <v>WBGene00018694</v>
      </c>
      <c r="B1151" s="9" t="str">
        <f>HYPERLINK("http://www.ncbi.nlm.nih.gov/gene/3565082", "3565082")</f>
        <v>3565082</v>
      </c>
      <c r="C1151" s="9"/>
      <c r="D1151" t="str">
        <f>"F52E1.5"</f>
        <v>F52E1.5</v>
      </c>
      <c r="F1151" t="s">
        <v>11</v>
      </c>
      <c r="G1151" t="s">
        <v>264</v>
      </c>
      <c r="H1151" s="12">
        <v>2.2696953307813899</v>
      </c>
      <c r="I1151" s="20">
        <v>2.5974555131101802</v>
      </c>
      <c r="J1151" s="28">
        <v>9.3917285003889007E-3</v>
      </c>
      <c r="K1151" s="29">
        <v>0.18886447234985701</v>
      </c>
    </row>
    <row r="1152" spans="1:11" x14ac:dyDescent="0.35">
      <c r="A1152" s="9" t="str">
        <f>HYPERLINK("http://www.ensembl.org/id/WBGene00000716", "WBGene00000716")</f>
        <v>WBGene00000716</v>
      </c>
      <c r="B1152" s="9" t="str">
        <f>HYPERLINK("http://www.ncbi.nlm.nih.gov/gene/179073", "179073")</f>
        <v>179073</v>
      </c>
      <c r="C1152" s="9"/>
      <c r="D1152" t="str">
        <f>"col-143"</f>
        <v>col-143</v>
      </c>
      <c r="E1152" t="s">
        <v>40</v>
      </c>
      <c r="F1152" t="s">
        <v>11</v>
      </c>
      <c r="G1152" t="s">
        <v>41</v>
      </c>
      <c r="H1152" s="12">
        <v>1.70875646714964</v>
      </c>
      <c r="I1152" s="20">
        <v>2.5966081005797501</v>
      </c>
      <c r="J1152" s="28">
        <v>9.4149275042645607E-3</v>
      </c>
      <c r="K1152" s="29">
        <v>0.18900201121940599</v>
      </c>
    </row>
    <row r="1153" spans="1:11" x14ac:dyDescent="0.35">
      <c r="A1153" s="9" t="str">
        <f>HYPERLINK("http://www.ensembl.org/id/WBGene00001457", "WBGene00001457")</f>
        <v>WBGene00001457</v>
      </c>
      <c r="B1153" s="9" t="str">
        <f>HYPERLINK("http://www.ncbi.nlm.nih.gov/gene/176708", "176708")</f>
        <v>176708</v>
      </c>
      <c r="C1153" s="9"/>
      <c r="D1153" t="str">
        <f>"flp-14"</f>
        <v>flp-14</v>
      </c>
      <c r="E1153" t="s">
        <v>975</v>
      </c>
      <c r="F1153" t="s">
        <v>11</v>
      </c>
      <c r="G1153" t="s">
        <v>77</v>
      </c>
      <c r="H1153" s="12">
        <v>1.6495277685277401</v>
      </c>
      <c r="I1153" s="20">
        <v>2.5968000182915199</v>
      </c>
      <c r="J1153" s="28">
        <v>9.4096690381781107E-3</v>
      </c>
      <c r="K1153" s="29">
        <v>0.18900201121940599</v>
      </c>
    </row>
    <row r="1154" spans="1:11" x14ac:dyDescent="0.35">
      <c r="A1154" s="9" t="str">
        <f>HYPERLINK("http://www.ensembl.org/id/WBGene00012251", "WBGene00012251")</f>
        <v>WBGene00012251</v>
      </c>
      <c r="B1154" s="9" t="str">
        <f>HYPERLINK("http://www.ncbi.nlm.nih.gov/gene/180298", "180298")</f>
        <v>180298</v>
      </c>
      <c r="C1154" s="9"/>
      <c r="D1154" t="str">
        <f>"clec-49"</f>
        <v>clec-49</v>
      </c>
      <c r="E1154" t="s">
        <v>46</v>
      </c>
      <c r="F1154" t="s">
        <v>11</v>
      </c>
      <c r="G1154" t="s">
        <v>980</v>
      </c>
      <c r="H1154" s="12">
        <v>-1.7194697525726499</v>
      </c>
      <c r="I1154" s="20">
        <v>-2.59553799351117</v>
      </c>
      <c r="J1154" s="28">
        <v>9.4442960807276204E-3</v>
      </c>
      <c r="K1154" s="29">
        <v>0.18916807871574301</v>
      </c>
    </row>
    <row r="1155" spans="1:11" x14ac:dyDescent="0.35">
      <c r="A1155" s="9" t="str">
        <f>HYPERLINK("http://www.ensembl.org/id/WBGene00002061", "WBGene00002061")</f>
        <v>WBGene00002061</v>
      </c>
      <c r="B1155" s="9" t="str">
        <f>HYPERLINK("http://www.ncbi.nlm.nih.gov/gene/178536", "178536")</f>
        <v>178536</v>
      </c>
      <c r="C1155" s="9" t="str">
        <f>HYPERLINK("http://www.ncbi.nlm.nih.gov/gene/1977", "1977")</f>
        <v>1977</v>
      </c>
      <c r="D1155" t="str">
        <f>"ife-3"</f>
        <v>ife-3</v>
      </c>
      <c r="E1155" t="s">
        <v>978</v>
      </c>
      <c r="F1155" t="s">
        <v>11</v>
      </c>
      <c r="G1155" t="s">
        <v>979</v>
      </c>
      <c r="H1155" s="12">
        <v>-1.6315030986249299</v>
      </c>
      <c r="I1155" s="20">
        <v>-2.5951142587035001</v>
      </c>
      <c r="J1155" s="28">
        <v>9.4559478454376601E-3</v>
      </c>
      <c r="K1155" s="29">
        <v>0.18916807871574301</v>
      </c>
    </row>
    <row r="1156" spans="1:11" x14ac:dyDescent="0.35">
      <c r="A1156" s="9" t="str">
        <f>HYPERLINK("http://www.ensembl.org/id/WBGene00004120", "WBGene00004120")</f>
        <v>WBGene00004120</v>
      </c>
      <c r="B1156" s="9" t="str">
        <f>HYPERLINK("http://www.ncbi.nlm.nih.gov/gene/174955", "174955")</f>
        <v>174955</v>
      </c>
      <c r="C1156" s="9"/>
      <c r="D1156" t="str">
        <f>"pqn-32"</f>
        <v>pqn-32</v>
      </c>
      <c r="E1156" t="s">
        <v>432</v>
      </c>
      <c r="F1156" t="s">
        <v>11</v>
      </c>
      <c r="H1156" s="12">
        <v>4.0133388196153197</v>
      </c>
      <c r="I1156" s="20">
        <v>2.59523799775604</v>
      </c>
      <c r="J1156" s="28">
        <v>9.4525439720461006E-3</v>
      </c>
      <c r="K1156" s="29">
        <v>0.18916807871574301</v>
      </c>
    </row>
    <row r="1157" spans="1:11" x14ac:dyDescent="0.35">
      <c r="A1157" s="9" t="str">
        <f>HYPERLINK("http://www.ensembl.org/id/WBGene00005078", "WBGene00005078")</f>
        <v>WBGene00005078</v>
      </c>
      <c r="B1157" s="9" t="str">
        <f>HYPERLINK("http://www.ncbi.nlm.nih.gov/gene/173296", "173296")</f>
        <v>173296</v>
      </c>
      <c r="C1157" s="9" t="str">
        <f>HYPERLINK("http://www.ncbi.nlm.nih.gov/gene/2444", "2444")</f>
        <v>2444</v>
      </c>
      <c r="D1157" t="str">
        <f>"src-2"</f>
        <v>src-2</v>
      </c>
      <c r="E1157" t="s">
        <v>976</v>
      </c>
      <c r="F1157" t="s">
        <v>11</v>
      </c>
      <c r="G1157" t="s">
        <v>977</v>
      </c>
      <c r="H1157" s="12">
        <v>2.00513306452708</v>
      </c>
      <c r="I1157" s="20">
        <v>2.5951648134995602</v>
      </c>
      <c r="J1157" s="28">
        <v>9.4545570277194697E-3</v>
      </c>
      <c r="K1157" s="29">
        <v>0.18916807871574301</v>
      </c>
    </row>
    <row r="1158" spans="1:11" x14ac:dyDescent="0.35">
      <c r="A1158" s="9" t="str">
        <f>HYPERLINK("http://www.ensembl.org/id/WBGene00012794", "WBGene00012794")</f>
        <v>WBGene00012794</v>
      </c>
      <c r="B1158" s="9" t="str">
        <f>HYPERLINK("http://www.ncbi.nlm.nih.gov/gene/177993", "177993")</f>
        <v>177993</v>
      </c>
      <c r="C1158" s="9"/>
      <c r="D1158" t="str">
        <f>"Y43E12A.2"</f>
        <v>Y43E12A.2</v>
      </c>
      <c r="F1158" t="s">
        <v>11</v>
      </c>
      <c r="G1158" t="s">
        <v>981</v>
      </c>
      <c r="H1158" s="12">
        <v>1.6278526060102401</v>
      </c>
      <c r="I1158" s="20">
        <v>2.5945915161720299</v>
      </c>
      <c r="J1158" s="28">
        <v>9.4703397664756706E-3</v>
      </c>
      <c r="K1158" s="29">
        <v>0.18929210263338</v>
      </c>
    </row>
    <row r="1159" spans="1:11" x14ac:dyDescent="0.35">
      <c r="A1159" s="9" t="str">
        <f>HYPERLINK("http://www.ensembl.org/id/WBGene00009643", "WBGene00009643")</f>
        <v>WBGene00009643</v>
      </c>
      <c r="B1159" s="9" t="str">
        <f>HYPERLINK("http://www.ncbi.nlm.nih.gov/gene/174952", "174952")</f>
        <v>174952</v>
      </c>
      <c r="C1159" s="9"/>
      <c r="D1159" t="str">
        <f>"F42G4.6"</f>
        <v>F42G4.6</v>
      </c>
      <c r="F1159" t="s">
        <v>11</v>
      </c>
      <c r="H1159" s="12">
        <v>-3.0230129423739398</v>
      </c>
      <c r="I1159" s="20">
        <v>-2.5903890564775698</v>
      </c>
      <c r="J1159" s="28">
        <v>9.5867517160098392E-3</v>
      </c>
      <c r="K1159" s="29">
        <v>0.19145331473649399</v>
      </c>
    </row>
    <row r="1160" spans="1:11" x14ac:dyDescent="0.35">
      <c r="A1160" s="9" t="str">
        <f>HYPERLINK("http://www.ensembl.org/id/WBGene00011768", "WBGene00011768")</f>
        <v>WBGene00011768</v>
      </c>
      <c r="B1160" s="9" t="str">
        <f>HYPERLINK("http://www.ncbi.nlm.nih.gov/gene/174415", "174415")</f>
        <v>174415</v>
      </c>
      <c r="C1160" s="9"/>
      <c r="D1160" t="str">
        <f>"oac-46"</f>
        <v>oac-46</v>
      </c>
      <c r="E1160" t="s">
        <v>883</v>
      </c>
      <c r="F1160" t="s">
        <v>11</v>
      </c>
      <c r="G1160" t="s">
        <v>884</v>
      </c>
      <c r="H1160" s="12">
        <v>1.7390413507167599</v>
      </c>
      <c r="I1160" s="20">
        <v>2.5897845151543799</v>
      </c>
      <c r="J1160" s="28">
        <v>9.6036026145678906E-3</v>
      </c>
      <c r="K1160" s="29">
        <v>0.191505835837113</v>
      </c>
    </row>
    <row r="1161" spans="1:11" x14ac:dyDescent="0.35">
      <c r="A1161" s="9" t="str">
        <f>HYPERLINK("http://www.ensembl.org/id/WBGene00010663", "WBGene00010663")</f>
        <v>WBGene00010663</v>
      </c>
      <c r="B1161" s="9" t="str">
        <f>HYPERLINK("http://www.ncbi.nlm.nih.gov/gene/176812", "176812")</f>
        <v>176812</v>
      </c>
      <c r="C1161" s="9" t="str">
        <f>HYPERLINK("http://www.ncbi.nlm.nih.gov/gene/23048", "23048")</f>
        <v>23048</v>
      </c>
      <c r="D1161" t="str">
        <f>"toca-2"</f>
        <v>toca-2</v>
      </c>
      <c r="E1161" t="s">
        <v>982</v>
      </c>
      <c r="F1161" t="s">
        <v>11</v>
      </c>
      <c r="G1161" t="s">
        <v>983</v>
      </c>
      <c r="H1161" s="12">
        <v>-1.6562753170579201</v>
      </c>
      <c r="I1161" s="20">
        <v>-2.5897000917201298</v>
      </c>
      <c r="J1161" s="28">
        <v>9.6059579215447902E-3</v>
      </c>
      <c r="K1161" s="29">
        <v>0.191505835837113</v>
      </c>
    </row>
    <row r="1162" spans="1:11" x14ac:dyDescent="0.35">
      <c r="A1162" s="9" t="str">
        <f>HYPERLINK("http://www.ensembl.org/id/WBGene00017962", "WBGene00017962")</f>
        <v>WBGene00017962</v>
      </c>
      <c r="B1162" s="9" t="str">
        <f>HYPERLINK("http://www.ncbi.nlm.nih.gov/gene/185173", "185173")</f>
        <v>185173</v>
      </c>
      <c r="C1162" s="9"/>
      <c r="D1162" t="str">
        <f>"fbxa-72"</f>
        <v>fbxa-72</v>
      </c>
      <c r="E1162" t="s">
        <v>467</v>
      </c>
      <c r="F1162" t="s">
        <v>11</v>
      </c>
      <c r="H1162" s="12">
        <v>1.9695393152910201</v>
      </c>
      <c r="I1162" s="20">
        <v>2.5886506027957998</v>
      </c>
      <c r="J1162" s="28">
        <v>9.6352803589764592E-3</v>
      </c>
      <c r="K1162" s="29">
        <v>0.19159448190577499</v>
      </c>
    </row>
    <row r="1163" spans="1:11" x14ac:dyDescent="0.35">
      <c r="A1163" s="9" t="str">
        <f>HYPERLINK("http://www.ensembl.org/id/WBGene00012650", "WBGene00012650")</f>
        <v>WBGene00012650</v>
      </c>
      <c r="B1163" s="9" t="str">
        <f>HYPERLINK("http://www.ncbi.nlm.nih.gov/gene/176486", "176486")</f>
        <v>176486</v>
      </c>
      <c r="C1163" s="9"/>
      <c r="D1163" t="str">
        <f>"orc-1"</f>
        <v>orc-1</v>
      </c>
      <c r="E1163" t="s">
        <v>984</v>
      </c>
      <c r="F1163" t="s">
        <v>11</v>
      </c>
      <c r="G1163" t="s">
        <v>985</v>
      </c>
      <c r="H1163" s="12">
        <v>-1.69341021955639</v>
      </c>
      <c r="I1163" s="20">
        <v>-2.5890098317770698</v>
      </c>
      <c r="J1163" s="28">
        <v>9.6252346281884994E-3</v>
      </c>
      <c r="K1163" s="29">
        <v>0.19159448190577499</v>
      </c>
    </row>
    <row r="1164" spans="1:11" x14ac:dyDescent="0.35">
      <c r="A1164" s="9" t="str">
        <f>HYPERLINK("http://www.ensembl.org/id/WBGene00021818", "WBGene00021818")</f>
        <v>WBGene00021818</v>
      </c>
      <c r="B1164" s="9" t="str">
        <f>HYPERLINK("http://www.ncbi.nlm.nih.gov/gene/175417", "175417")</f>
        <v>175417</v>
      </c>
      <c r="C1164" s="9" t="str">
        <f>HYPERLINK("http://www.ncbi.nlm.nih.gov/gene/80168", "80168")</f>
        <v>80168</v>
      </c>
      <c r="D1164" t="str">
        <f>"Y53G8B.2"</f>
        <v>Y53G8B.2</v>
      </c>
      <c r="F1164" t="s">
        <v>11</v>
      </c>
      <c r="G1164" t="s">
        <v>986</v>
      </c>
      <c r="H1164" s="12">
        <v>-1.73789294795639</v>
      </c>
      <c r="I1164" s="20">
        <v>-2.5889171230030099</v>
      </c>
      <c r="J1164" s="28">
        <v>9.6278263069180005E-3</v>
      </c>
      <c r="K1164" s="29">
        <v>0.19159448190577499</v>
      </c>
    </row>
    <row r="1165" spans="1:11" x14ac:dyDescent="0.35">
      <c r="A1165" s="9" t="str">
        <f>HYPERLINK("http://www.ensembl.org/id/WBGene00013729", "WBGene00013729")</f>
        <v>WBGene00013729</v>
      </c>
      <c r="B1165" s="9" t="str">
        <f>HYPERLINK("http://www.ncbi.nlm.nih.gov/gene/3565020", "3565020")</f>
        <v>3565020</v>
      </c>
      <c r="C1165" s="9"/>
      <c r="D1165" t="str">
        <f>"Y111B2A.3"</f>
        <v>Y111B2A.3</v>
      </c>
      <c r="F1165" t="s">
        <v>11</v>
      </c>
      <c r="H1165" s="12">
        <v>-1.76519969883167</v>
      </c>
      <c r="I1165" s="20">
        <v>-2.5882264999260198</v>
      </c>
      <c r="J1165" s="28">
        <v>9.6471522993764203E-3</v>
      </c>
      <c r="K1165" s="29">
        <v>0.191665607076003</v>
      </c>
    </row>
    <row r="1166" spans="1:11" x14ac:dyDescent="0.35">
      <c r="A1166" s="9" t="str">
        <f>HYPERLINK("http://www.ensembl.org/id/WBGene00015355", "WBGene00015355")</f>
        <v>WBGene00015355</v>
      </c>
      <c r="B1166" s="9" t="str">
        <f>HYPERLINK("http://www.ncbi.nlm.nih.gov/gene/180656", "180656")</f>
        <v>180656</v>
      </c>
      <c r="C1166" s="9"/>
      <c r="D1166" t="str">
        <f>"C02F12.5"</f>
        <v>C02F12.5</v>
      </c>
      <c r="E1166" t="s">
        <v>991</v>
      </c>
      <c r="F1166" t="s">
        <v>11</v>
      </c>
      <c r="G1166" t="s">
        <v>992</v>
      </c>
      <c r="H1166" s="12">
        <v>-2.0804574583828099</v>
      </c>
      <c r="I1166" s="20">
        <v>-2.5862155100069302</v>
      </c>
      <c r="J1166" s="28">
        <v>9.7036237786662805E-3</v>
      </c>
      <c r="K1166" s="29">
        <v>0.191681987927937</v>
      </c>
    </row>
    <row r="1167" spans="1:11" x14ac:dyDescent="0.35">
      <c r="A1167" s="9" t="str">
        <f>HYPERLINK("http://www.ensembl.org/id/WBGene00008330", "WBGene00008330")</f>
        <v>WBGene00008330</v>
      </c>
      <c r="B1167" s="9" t="str">
        <f>HYPERLINK("http://www.ncbi.nlm.nih.gov/gene/179580", "179580")</f>
        <v>179580</v>
      </c>
      <c r="C1167" s="9"/>
      <c r="D1167" t="str">
        <f>"C55A6.1"</f>
        <v>C55A6.1</v>
      </c>
      <c r="F1167" t="s">
        <v>11</v>
      </c>
      <c r="G1167" t="s">
        <v>988</v>
      </c>
      <c r="H1167" s="12">
        <v>-1.66705688260393</v>
      </c>
      <c r="I1167" s="20">
        <v>-2.5872993854822601</v>
      </c>
      <c r="J1167" s="28">
        <v>9.6731505003306208E-3</v>
      </c>
      <c r="K1167" s="29">
        <v>0.191681987927937</v>
      </c>
    </row>
    <row r="1168" spans="1:11" x14ac:dyDescent="0.35">
      <c r="A1168" s="9" t="str">
        <f>HYPERLINK("http://www.ensembl.org/id/WBGene00008595", "WBGene00008595")</f>
        <v>WBGene00008595</v>
      </c>
      <c r="B1168" s="9" t="str">
        <f>HYPERLINK("http://www.ncbi.nlm.nih.gov/gene/179953", "179953")</f>
        <v>179953</v>
      </c>
      <c r="C1168" s="9"/>
      <c r="D1168" t="str">
        <f>"clec-56"</f>
        <v>clec-56</v>
      </c>
      <c r="E1168" t="s">
        <v>46</v>
      </c>
      <c r="F1168" t="s">
        <v>11</v>
      </c>
      <c r="G1168" t="s">
        <v>47</v>
      </c>
      <c r="H1168" s="12">
        <v>-3.7967170334891001</v>
      </c>
      <c r="I1168" s="20">
        <v>-2.5861729494654799</v>
      </c>
      <c r="J1168" s="28">
        <v>9.7048221170510304E-3</v>
      </c>
      <c r="K1168" s="29">
        <v>0.191681987927937</v>
      </c>
    </row>
    <row r="1169" spans="1:11" x14ac:dyDescent="0.35">
      <c r="A1169" s="9" t="str">
        <f>HYPERLINK("http://www.ensembl.org/id/WBGene00000681", "WBGene00000681")</f>
        <v>WBGene00000681</v>
      </c>
      <c r="B1169" s="9" t="str">
        <f>HYPERLINK("http://www.ncbi.nlm.nih.gov/gene/176961", "176961")</f>
        <v>176961</v>
      </c>
      <c r="C1169" s="9"/>
      <c r="D1169" t="str">
        <f>"col-107"</f>
        <v>col-107</v>
      </c>
      <c r="E1169" t="s">
        <v>40</v>
      </c>
      <c r="F1169" t="s">
        <v>11</v>
      </c>
      <c r="G1169" t="s">
        <v>41</v>
      </c>
      <c r="H1169" s="12">
        <v>-2.9908322603526698</v>
      </c>
      <c r="I1169" s="20">
        <v>-2.5871593368905201</v>
      </c>
      <c r="J1169" s="28">
        <v>9.6770831767409894E-3</v>
      </c>
      <c r="K1169" s="29">
        <v>0.191681987927937</v>
      </c>
    </row>
    <row r="1170" spans="1:11" x14ac:dyDescent="0.35">
      <c r="A1170" s="9" t="str">
        <f>HYPERLINK("http://www.ensembl.org/id/WBGene00044198", "WBGene00044198")</f>
        <v>WBGene00044198</v>
      </c>
      <c r="B1170" s="9" t="str">
        <f>HYPERLINK("http://www.ncbi.nlm.nih.gov/gene/3565248", "3565248")</f>
        <v>3565248</v>
      </c>
      <c r="C1170" s="9"/>
      <c r="D1170" t="str">
        <f>"F56H9.6"</f>
        <v>F56H9.6</v>
      </c>
      <c r="F1170" t="s">
        <v>11</v>
      </c>
      <c r="H1170" s="12">
        <v>5.7311849923518103</v>
      </c>
      <c r="I1170" s="20">
        <v>2.5861294450162702</v>
      </c>
      <c r="J1170" s="28">
        <v>9.7060471685140905E-3</v>
      </c>
      <c r="K1170" s="29">
        <v>0.191681987927937</v>
      </c>
    </row>
    <row r="1171" spans="1:11" x14ac:dyDescent="0.35">
      <c r="A1171" s="9" t="str">
        <f>HYPERLINK("http://www.ensembl.org/id/WBGene00001992", "WBGene00001992")</f>
        <v>WBGene00001992</v>
      </c>
      <c r="B1171" s="9" t="str">
        <f>HYPERLINK("http://www.ncbi.nlm.nih.gov/gene/191682", "191682")</f>
        <v>191682</v>
      </c>
      <c r="C1171" s="9"/>
      <c r="D1171" t="str">
        <f>"hot-7"</f>
        <v>hot-7</v>
      </c>
      <c r="E1171" t="s">
        <v>987</v>
      </c>
      <c r="F1171" t="s">
        <v>11</v>
      </c>
      <c r="H1171" s="12">
        <v>2.79328489089841</v>
      </c>
      <c r="I1171" s="20">
        <v>2.5878969797618998</v>
      </c>
      <c r="J1171" s="28">
        <v>9.6563855801925103E-3</v>
      </c>
      <c r="K1171" s="29">
        <v>0.191681987927937</v>
      </c>
    </row>
    <row r="1172" spans="1:11" x14ac:dyDescent="0.35">
      <c r="A1172" s="9" t="str">
        <f>HYPERLINK("http://www.ensembl.org/id/WBGene00011268", "WBGene00011268")</f>
        <v>WBGene00011268</v>
      </c>
      <c r="B1172" s="9" t="str">
        <f>HYPERLINK("http://www.ncbi.nlm.nih.gov/gene/176514", "176514")</f>
        <v>176514</v>
      </c>
      <c r="C1172" s="9"/>
      <c r="D1172" t="str">
        <f>"pde-12"</f>
        <v>pde-12</v>
      </c>
      <c r="E1172" t="s">
        <v>989</v>
      </c>
      <c r="F1172" t="s">
        <v>11</v>
      </c>
      <c r="G1172" t="s">
        <v>990</v>
      </c>
      <c r="H1172" s="12">
        <v>-1.766197024475</v>
      </c>
      <c r="I1172" s="20">
        <v>-2.5866427828723499</v>
      </c>
      <c r="J1172" s="28">
        <v>9.6916007524310895E-3</v>
      </c>
      <c r="K1172" s="29">
        <v>0.191681987927937</v>
      </c>
    </row>
    <row r="1173" spans="1:11" x14ac:dyDescent="0.35">
      <c r="A1173" s="9" t="str">
        <f>HYPERLINK("http://www.ensembl.org/id/WBGene00008387", "WBGene00008387")</f>
        <v>WBGene00008387</v>
      </c>
      <c r="B1173" s="9" t="str">
        <f>HYPERLINK("http://www.ncbi.nlm.nih.gov/gene/172637", "172637")</f>
        <v>172637</v>
      </c>
      <c r="C1173" s="9"/>
      <c r="D1173" t="str">
        <f>"zhp-2"</f>
        <v>zhp-2</v>
      </c>
      <c r="E1173" t="s">
        <v>502</v>
      </c>
      <c r="F1173" t="s">
        <v>11</v>
      </c>
      <c r="G1173" t="s">
        <v>503</v>
      </c>
      <c r="H1173" s="12">
        <v>-2.0590038034347198</v>
      </c>
      <c r="I1173" s="20">
        <v>-2.58371529010505</v>
      </c>
      <c r="J1173" s="28">
        <v>9.7742443185450008E-3</v>
      </c>
      <c r="K1173" s="29">
        <v>0.19286395322314301</v>
      </c>
    </row>
    <row r="1174" spans="1:11" x14ac:dyDescent="0.35">
      <c r="A1174" s="9" t="str">
        <f>HYPERLINK("http://www.ensembl.org/id/WBGene00044502", "WBGene00044502")</f>
        <v>WBGene00044502</v>
      </c>
      <c r="B1174" s="9" t="str">
        <f>HYPERLINK("http://www.ncbi.nlm.nih.gov/gene/3896769", "3896769")</f>
        <v>3896769</v>
      </c>
      <c r="C1174" s="9"/>
      <c r="D1174" t="str">
        <f>"C46G7.5"</f>
        <v>C46G7.5</v>
      </c>
      <c r="F1174" t="s">
        <v>11</v>
      </c>
      <c r="H1174" s="12">
        <v>-5.01939244888319</v>
      </c>
      <c r="I1174" s="20">
        <v>-2.5833522138532001</v>
      </c>
      <c r="J1174" s="28">
        <v>9.7845376703097706E-3</v>
      </c>
      <c r="K1174" s="29">
        <v>0.19290232714179001</v>
      </c>
    </row>
    <row r="1175" spans="1:11" x14ac:dyDescent="0.35">
      <c r="A1175" s="9" t="str">
        <f>HYPERLINK("http://www.ensembl.org/id/WBGene00003482", "WBGene00003482")</f>
        <v>WBGene00003482</v>
      </c>
      <c r="B1175" s="9" t="str">
        <f>HYPERLINK("http://www.ncbi.nlm.nih.gov/gene/176430", "176430")</f>
        <v>176430</v>
      </c>
      <c r="C1175" s="9"/>
      <c r="D1175" t="str">
        <f>"mua-3"</f>
        <v>mua-3</v>
      </c>
      <c r="E1175" t="s">
        <v>993</v>
      </c>
      <c r="F1175" t="s">
        <v>11</v>
      </c>
      <c r="G1175" t="s">
        <v>442</v>
      </c>
      <c r="H1175" s="12">
        <v>1.71052961951961</v>
      </c>
      <c r="I1175" s="20">
        <v>2.5830206548268499</v>
      </c>
      <c r="J1175" s="28">
        <v>9.7939459342741807E-3</v>
      </c>
      <c r="K1175" s="29">
        <v>0.192923200986649</v>
      </c>
    </row>
    <row r="1176" spans="1:11" x14ac:dyDescent="0.35">
      <c r="A1176" s="9" t="str">
        <f>HYPERLINK("http://www.ensembl.org/id/WBGene00006729", "WBGene00006729")</f>
        <v>WBGene00006729</v>
      </c>
      <c r="B1176" s="9" t="str">
        <f>HYPERLINK("http://www.ncbi.nlm.nih.gov/gene/179315", "179315")</f>
        <v>179315</v>
      </c>
      <c r="C1176" s="9" t="str">
        <f>HYPERLINK("http://www.ncbi.nlm.nih.gov/gene/9481", "9481")</f>
        <v>9481</v>
      </c>
      <c r="D1176" t="str">
        <f>"ucp-4"</f>
        <v>ucp-4</v>
      </c>
      <c r="E1176" t="s">
        <v>994</v>
      </c>
      <c r="F1176" t="s">
        <v>11</v>
      </c>
      <c r="G1176" t="s">
        <v>995</v>
      </c>
      <c r="H1176" s="12">
        <v>-1.7244354467281899</v>
      </c>
      <c r="I1176" s="20">
        <v>-2.5822463728325502</v>
      </c>
      <c r="J1176" s="28">
        <v>9.8159482343451506E-3</v>
      </c>
      <c r="K1176" s="29">
        <v>0.19319190792400301</v>
      </c>
    </row>
    <row r="1177" spans="1:11" x14ac:dyDescent="0.35">
      <c r="A1177" s="9" t="str">
        <f>HYPERLINK("http://www.ensembl.org/id/WBGene00007679", "WBGene00007679")</f>
        <v>WBGene00007679</v>
      </c>
      <c r="B1177" s="9" t="str">
        <f>HYPERLINK("http://www.ncbi.nlm.nih.gov/gene/176611", "176611")</f>
        <v>176611</v>
      </c>
      <c r="C1177" s="9"/>
      <c r="D1177" t="str">
        <f>"C18D11.1"</f>
        <v>C18D11.1</v>
      </c>
      <c r="F1177" t="s">
        <v>11</v>
      </c>
      <c r="G1177" t="s">
        <v>25</v>
      </c>
      <c r="H1177" s="12">
        <v>1.7985382324291901</v>
      </c>
      <c r="I1177" s="20">
        <v>2.58179253507324</v>
      </c>
      <c r="J1177" s="28">
        <v>9.8288651305996101E-3</v>
      </c>
      <c r="K1177" s="29">
        <v>0.19328149592139099</v>
      </c>
    </row>
    <row r="1178" spans="1:11" x14ac:dyDescent="0.35">
      <c r="A1178" s="9" t="str">
        <f>HYPERLINK("http://www.ensembl.org/id/WBGene00010191", "WBGene00010191")</f>
        <v>WBGene00010191</v>
      </c>
      <c r="B1178" s="9" t="str">
        <f>HYPERLINK("http://www.ncbi.nlm.nih.gov/gene/186437", "186437")</f>
        <v>186437</v>
      </c>
      <c r="C1178" s="9"/>
      <c r="D1178" t="str">
        <f>"dmsr-1"</f>
        <v>dmsr-1</v>
      </c>
      <c r="E1178" t="s">
        <v>996</v>
      </c>
      <c r="F1178" t="s">
        <v>11</v>
      </c>
      <c r="G1178" t="s">
        <v>997</v>
      </c>
      <c r="H1178" s="12">
        <v>1.8035190887424399</v>
      </c>
      <c r="I1178" s="20">
        <v>2.5814867614432999</v>
      </c>
      <c r="J1178" s="28">
        <v>9.8375764397985593E-3</v>
      </c>
      <c r="K1178" s="29">
        <v>0.19328830035542999</v>
      </c>
    </row>
    <row r="1179" spans="1:11" x14ac:dyDescent="0.35">
      <c r="A1179" s="9" t="str">
        <f>HYPERLINK("http://www.ensembl.org/id/WBGene00019772", "WBGene00019772")</f>
        <v>WBGene00019772</v>
      </c>
      <c r="B1179" s="9" t="str">
        <f>HYPERLINK("http://www.ncbi.nlm.nih.gov/gene/176875", "176875")</f>
        <v>176875</v>
      </c>
      <c r="C1179" s="9"/>
      <c r="D1179" t="str">
        <f>"M04G7.1"</f>
        <v>M04G7.1</v>
      </c>
      <c r="F1179" t="s">
        <v>11</v>
      </c>
      <c r="H1179" s="12">
        <v>2.58213666121876</v>
      </c>
      <c r="I1179" s="20">
        <v>2.5789386851374299</v>
      </c>
      <c r="J1179" s="28">
        <v>9.9104375692230708E-3</v>
      </c>
      <c r="K1179" s="29">
        <v>0.194554435407365</v>
      </c>
    </row>
    <row r="1180" spans="1:11" x14ac:dyDescent="0.35">
      <c r="A1180" s="9" t="str">
        <f>HYPERLINK("http://www.ensembl.org/id/WBGene00006374", "WBGene00006374")</f>
        <v>WBGene00006374</v>
      </c>
      <c r="B1180" s="9" t="str">
        <f>HYPERLINK("http://www.ncbi.nlm.nih.gov/gene/177647", "177647")</f>
        <v>177647</v>
      </c>
      <c r="C1180" s="9"/>
      <c r="D1180" t="str">
        <f>"syx-4"</f>
        <v>syx-4</v>
      </c>
      <c r="E1180" t="s">
        <v>998</v>
      </c>
      <c r="F1180" t="s">
        <v>11</v>
      </c>
      <c r="G1180" t="s">
        <v>999</v>
      </c>
      <c r="H1180" s="12">
        <v>-1.8814958716974901</v>
      </c>
      <c r="I1180" s="20">
        <v>-2.5782068218361802</v>
      </c>
      <c r="J1180" s="28">
        <v>9.9314535639299095E-3</v>
      </c>
      <c r="K1180" s="29">
        <v>0.19480149919199</v>
      </c>
    </row>
    <row r="1181" spans="1:11" x14ac:dyDescent="0.35">
      <c r="A1181" s="9" t="str">
        <f>HYPERLINK("http://www.ensembl.org/id/WBGene00235291", "WBGene00235291")</f>
        <v>WBGene00235291</v>
      </c>
      <c r="B1181" s="9" t="str">
        <f>HYPERLINK("http://www.ncbi.nlm.nih.gov/gene/24104148", "24104148")</f>
        <v>24104148</v>
      </c>
      <c r="C1181" s="9"/>
      <c r="D1181" t="str">
        <f>"C01G5.25"</f>
        <v>C01G5.25</v>
      </c>
      <c r="F1181" t="s">
        <v>11</v>
      </c>
      <c r="H1181" s="12">
        <v>2.20871297576047</v>
      </c>
      <c r="I1181" s="20">
        <v>2.5768220704756399</v>
      </c>
      <c r="J1181" s="28">
        <v>9.9713263731186306E-3</v>
      </c>
      <c r="K1181" s="29">
        <v>0.19541769904773501</v>
      </c>
    </row>
    <row r="1182" spans="1:11" x14ac:dyDescent="0.35">
      <c r="A1182" s="9" t="str">
        <f>HYPERLINK("http://www.ensembl.org/id/WBGene00015381", "WBGene00015381")</f>
        <v>WBGene00015381</v>
      </c>
      <c r="B1182" s="9" t="str">
        <f>HYPERLINK("http://www.ncbi.nlm.nih.gov/gene/180910", "180910")</f>
        <v>180910</v>
      </c>
      <c r="C1182" s="9"/>
      <c r="D1182" t="str">
        <f>"C03B1.13"</f>
        <v>C03B1.13</v>
      </c>
      <c r="F1182" t="s">
        <v>11</v>
      </c>
      <c r="G1182" t="s">
        <v>230</v>
      </c>
      <c r="H1182" s="12">
        <v>-1.66064080546596</v>
      </c>
      <c r="I1182" s="20">
        <v>-2.5751270946156999</v>
      </c>
      <c r="J1182" s="28">
        <v>1.0020325896678801E-2</v>
      </c>
      <c r="K1182" s="29">
        <v>0.19604542774653799</v>
      </c>
    </row>
    <row r="1183" spans="1:11" x14ac:dyDescent="0.35">
      <c r="A1183" s="9" t="str">
        <f>HYPERLINK("http://www.ensembl.org/id/WBGene00020560", "WBGene00020560")</f>
        <v>WBGene00020560</v>
      </c>
      <c r="B1183" s="9" t="str">
        <f>HYPERLINK("http://www.ncbi.nlm.nih.gov/gene/175215", "175215")</f>
        <v>175215</v>
      </c>
      <c r="C1183" s="9"/>
      <c r="D1183" t="str">
        <f>"T19C3.2"</f>
        <v>T19C3.2</v>
      </c>
      <c r="F1183" t="s">
        <v>11</v>
      </c>
      <c r="H1183" s="12">
        <v>4.0202242699533999</v>
      </c>
      <c r="I1183" s="20">
        <v>2.5753539813212099</v>
      </c>
      <c r="J1183" s="28">
        <v>1.00137544924479E-2</v>
      </c>
      <c r="K1183" s="29">
        <v>0.19604542774653799</v>
      </c>
    </row>
    <row r="1184" spans="1:11" x14ac:dyDescent="0.35">
      <c r="A1184" s="9" t="str">
        <f>HYPERLINK("http://www.ensembl.org/id/WBGene00003767", "WBGene00003767")</f>
        <v>WBGene00003767</v>
      </c>
      <c r="B1184" s="9" t="str">
        <f>HYPERLINK("http://www.ncbi.nlm.nih.gov/gene/178805", "178805")</f>
        <v>178805</v>
      </c>
      <c r="C1184" s="9"/>
      <c r="D1184" t="str">
        <f>"nlp-29"</f>
        <v>nlp-29</v>
      </c>
      <c r="E1184" t="s">
        <v>1000</v>
      </c>
      <c r="F1184" t="s">
        <v>11</v>
      </c>
      <c r="H1184" s="12">
        <v>1.7691142051443201</v>
      </c>
      <c r="I1184" s="20">
        <v>2.5743928136181902</v>
      </c>
      <c r="J1184" s="28">
        <v>1.00416194879662E-2</v>
      </c>
      <c r="K1184" s="29">
        <v>0.196129890016015</v>
      </c>
    </row>
    <row r="1185" spans="1:11" x14ac:dyDescent="0.35">
      <c r="A1185" s="9" t="str">
        <f>HYPERLINK("http://www.ensembl.org/id/WBGene00020933", "WBGene00020933")</f>
        <v>WBGene00020933</v>
      </c>
      <c r="B1185" s="9" t="str">
        <f>HYPERLINK("http://www.ncbi.nlm.nih.gov/gene/189111", "189111")</f>
        <v>189111</v>
      </c>
      <c r="C1185" s="9" t="str">
        <f>HYPERLINK("http://www.ncbi.nlm.nih.gov/gene/55314", "55314")</f>
        <v>55314</v>
      </c>
      <c r="D1185" t="str">
        <f>"W02D3.4"</f>
        <v>W02D3.4</v>
      </c>
      <c r="F1185" t="s">
        <v>11</v>
      </c>
      <c r="G1185" t="s">
        <v>1001</v>
      </c>
      <c r="H1185" s="12">
        <v>-1.6488154890881499</v>
      </c>
      <c r="I1185" s="20">
        <v>-2.5744943460334002</v>
      </c>
      <c r="J1185" s="28">
        <v>1.0038672726126E-2</v>
      </c>
      <c r="K1185" s="29">
        <v>0.196129890016015</v>
      </c>
    </row>
    <row r="1186" spans="1:11" x14ac:dyDescent="0.35">
      <c r="A1186" s="9" t="str">
        <f>HYPERLINK("http://www.ensembl.org/id/WBGene00005657", "WBGene00005657")</f>
        <v>WBGene00005657</v>
      </c>
      <c r="B1186" s="9" t="str">
        <f>HYPERLINK("http://www.ncbi.nlm.nih.gov/gene/182569", "182569")</f>
        <v>182569</v>
      </c>
      <c r="C1186" s="9"/>
      <c r="D1186" t="str">
        <f>"srr-6"</f>
        <v>srr-6</v>
      </c>
      <c r="E1186" t="s">
        <v>755</v>
      </c>
      <c r="F1186" t="s">
        <v>11</v>
      </c>
      <c r="G1186" t="s">
        <v>25</v>
      </c>
      <c r="H1186" s="12">
        <v>-2.0539971950038098</v>
      </c>
      <c r="I1186" s="20">
        <v>-2.5740472283059899</v>
      </c>
      <c r="J1186" s="28">
        <v>1.0051655138973299E-2</v>
      </c>
      <c r="K1186" s="29">
        <v>0.19616008753472799</v>
      </c>
    </row>
    <row r="1187" spans="1:11" x14ac:dyDescent="0.35">
      <c r="A1187" s="9" t="str">
        <f>HYPERLINK("http://www.ensembl.org/id/WBGene00007926", "WBGene00007926")</f>
        <v>WBGene00007926</v>
      </c>
      <c r="B1187" s="9" t="str">
        <f>HYPERLINK("http://www.ncbi.nlm.nih.gov/gene/183201", "183201")</f>
        <v>183201</v>
      </c>
      <c r="C1187" s="9"/>
      <c r="D1187" t="str">
        <f>"C34C12.7"</f>
        <v>C34C12.7</v>
      </c>
      <c r="F1187" t="s">
        <v>11</v>
      </c>
      <c r="G1187" t="s">
        <v>25</v>
      </c>
      <c r="H1187" s="12">
        <v>2.0642515651329001</v>
      </c>
      <c r="I1187" s="20">
        <v>2.5735293569578199</v>
      </c>
      <c r="J1187" s="28">
        <v>1.00667106253997E-2</v>
      </c>
      <c r="K1187" s="29">
        <v>0.196288114523617</v>
      </c>
    </row>
    <row r="1188" spans="1:11" x14ac:dyDescent="0.35">
      <c r="A1188" s="9" t="str">
        <f>HYPERLINK("http://www.ensembl.org/id/WBGene00001044", "WBGene00001044")</f>
        <v>WBGene00001044</v>
      </c>
      <c r="B1188" s="9" t="str">
        <f>HYPERLINK("http://www.ncbi.nlm.nih.gov/gene/178171", "178171")</f>
        <v>178171</v>
      </c>
      <c r="C1188" s="9"/>
      <c r="D1188" t="str">
        <f>"dnj-26"</f>
        <v>dnj-26</v>
      </c>
      <c r="E1188" t="s">
        <v>847</v>
      </c>
      <c r="F1188" t="s">
        <v>11</v>
      </c>
      <c r="G1188" t="s">
        <v>1002</v>
      </c>
      <c r="H1188" s="12">
        <v>-2.0993519758886001</v>
      </c>
      <c r="I1188" s="20">
        <v>-2.5726072022360502</v>
      </c>
      <c r="J1188" s="28">
        <v>1.0093569107589E-2</v>
      </c>
      <c r="K1188" s="29">
        <v>0.196645875042117</v>
      </c>
    </row>
    <row r="1189" spans="1:11" x14ac:dyDescent="0.35">
      <c r="A1189" s="9" t="str">
        <f>HYPERLINK("http://www.ensembl.org/id/WBGene00018636", "WBGene00018636")</f>
        <v>WBGene00018636</v>
      </c>
      <c r="B1189" s="9" t="str">
        <f>HYPERLINK("http://www.ncbi.nlm.nih.gov/gene/177529", "177529")</f>
        <v>177529</v>
      </c>
      <c r="C1189" s="9"/>
      <c r="D1189" t="str">
        <f>"oef-1"</f>
        <v>oef-1</v>
      </c>
      <c r="E1189" t="s">
        <v>1003</v>
      </c>
      <c r="F1189" t="s">
        <v>11</v>
      </c>
      <c r="H1189" s="12">
        <v>-1.75871116946161</v>
      </c>
      <c r="I1189" s="20">
        <v>-2.5720296429844201</v>
      </c>
      <c r="J1189" s="28">
        <v>1.0110423456668899E-2</v>
      </c>
      <c r="K1189" s="29">
        <v>0.196808293504457</v>
      </c>
    </row>
    <row r="1190" spans="1:11" x14ac:dyDescent="0.35">
      <c r="A1190" s="9" t="str">
        <f>HYPERLINK("http://www.ensembl.org/id/WBGene00007176", "WBGene00007176")</f>
        <v>WBGene00007176</v>
      </c>
      <c r="B1190" s="9" t="str">
        <f>HYPERLINK("http://www.ncbi.nlm.nih.gov/gene/180280", "180280")</f>
        <v>180280</v>
      </c>
      <c r="C1190" s="9"/>
      <c r="D1190" t="str">
        <f>"kcnl-1"</f>
        <v>kcnl-1</v>
      </c>
      <c r="E1190" t="s">
        <v>1004</v>
      </c>
      <c r="F1190" t="s">
        <v>11</v>
      </c>
      <c r="G1190" t="s">
        <v>1005</v>
      </c>
      <c r="H1190" s="12">
        <v>1.71324232691481</v>
      </c>
      <c r="I1190" s="20">
        <v>2.5712601906117998</v>
      </c>
      <c r="J1190" s="28">
        <v>1.0132916566986699E-2</v>
      </c>
      <c r="K1190" s="29">
        <v>0.197080109593261</v>
      </c>
    </row>
    <row r="1191" spans="1:11" x14ac:dyDescent="0.35">
      <c r="A1191" s="9" t="str">
        <f>HYPERLINK("http://www.ensembl.org/id/WBGene00001482", "WBGene00001482")</f>
        <v>WBGene00001482</v>
      </c>
      <c r="B1191" s="9" t="str">
        <f>HYPERLINK("http://www.ncbi.nlm.nih.gov/gene/180321", "180321")</f>
        <v>180321</v>
      </c>
      <c r="C1191" s="9"/>
      <c r="D1191" t="str">
        <f>"fog-2"</f>
        <v>fog-2</v>
      </c>
      <c r="E1191" t="s">
        <v>389</v>
      </c>
      <c r="F1191" t="s">
        <v>11</v>
      </c>
      <c r="G1191" t="s">
        <v>1006</v>
      </c>
      <c r="H1191" s="12">
        <v>-1.9370088218449899</v>
      </c>
      <c r="I1191" s="20">
        <v>-2.5707204169876401</v>
      </c>
      <c r="J1191" s="28">
        <v>1.01487221460264E-2</v>
      </c>
      <c r="K1191" s="29">
        <v>0.19722150875196401</v>
      </c>
    </row>
    <row r="1192" spans="1:11" x14ac:dyDescent="0.35">
      <c r="A1192" s="9" t="str">
        <f>HYPERLINK("http://www.ensembl.org/id/WBGene00014230", "WBGene00014230")</f>
        <v>WBGene00014230</v>
      </c>
      <c r="B1192" s="9" t="str">
        <f>HYPERLINK("http://www.ncbi.nlm.nih.gov/gene/176425", "176425")</f>
        <v>176425</v>
      </c>
      <c r="C1192" s="9"/>
      <c r="D1192" t="str">
        <f>"gtf-2H3"</f>
        <v>gtf-2H3</v>
      </c>
      <c r="E1192" t="s">
        <v>1007</v>
      </c>
      <c r="F1192" t="s">
        <v>11</v>
      </c>
      <c r="G1192" t="s">
        <v>1008</v>
      </c>
      <c r="H1192" s="12">
        <v>-1.76468585653902</v>
      </c>
      <c r="I1192" s="20">
        <v>-2.5702573328099501</v>
      </c>
      <c r="J1192" s="28">
        <v>1.01622996053669E-2</v>
      </c>
      <c r="K1192" s="29">
        <v>0.19731940729546901</v>
      </c>
    </row>
    <row r="1193" spans="1:11" x14ac:dyDescent="0.35">
      <c r="A1193" s="9" t="str">
        <f>HYPERLINK("http://www.ensembl.org/id/WBGene00006602", "WBGene00006602")</f>
        <v>WBGene00006602</v>
      </c>
      <c r="B1193" s="9" t="str">
        <f>HYPERLINK("http://www.ncbi.nlm.nih.gov/gene/181778", "181778")</f>
        <v>181778</v>
      </c>
      <c r="C1193" s="9"/>
      <c r="D1193" t="str">
        <f>"tps-1"</f>
        <v>tps-1</v>
      </c>
      <c r="E1193" t="s">
        <v>1009</v>
      </c>
      <c r="F1193" t="s">
        <v>11</v>
      </c>
      <c r="G1193" t="s">
        <v>1010</v>
      </c>
      <c r="H1193" s="12">
        <v>-1.59998886998945</v>
      </c>
      <c r="I1193" s="20">
        <v>-2.5677036116940002</v>
      </c>
      <c r="J1193" s="28">
        <v>1.0237464678583601E-2</v>
      </c>
      <c r="K1193" s="29">
        <v>0.19844535139542999</v>
      </c>
    </row>
    <row r="1194" spans="1:11" x14ac:dyDescent="0.35">
      <c r="A1194" s="9" t="str">
        <f>HYPERLINK("http://www.ensembl.org/id/WBGene00013246", "WBGene00013246")</f>
        <v>WBGene00013246</v>
      </c>
      <c r="B1194" s="9" t="str">
        <f>HYPERLINK("http://www.ncbi.nlm.nih.gov/gene/190331", "190331")</f>
        <v>190331</v>
      </c>
      <c r="C1194" s="9"/>
      <c r="D1194" t="str">
        <f>"Y57A10A.1"</f>
        <v>Y57A10A.1</v>
      </c>
      <c r="F1194" t="s">
        <v>11</v>
      </c>
      <c r="H1194" s="12">
        <v>-2.4044802399821199</v>
      </c>
      <c r="I1194" s="20">
        <v>-2.5677938919498802</v>
      </c>
      <c r="J1194" s="28">
        <v>1.0234798994785599E-2</v>
      </c>
      <c r="K1194" s="29">
        <v>0.19844535139542999</v>
      </c>
    </row>
    <row r="1195" spans="1:11" x14ac:dyDescent="0.35">
      <c r="A1195" s="9" t="str">
        <f>HYPERLINK("http://www.ensembl.org/id/WBGene00016063", "WBGene00016063")</f>
        <v>WBGene00016063</v>
      </c>
      <c r="B1195" s="9" t="str">
        <f>HYPERLINK("http://www.ncbi.nlm.nih.gov/gene/182851", "182851")</f>
        <v>182851</v>
      </c>
      <c r="C1195" s="9"/>
      <c r="D1195" t="str">
        <f>"delm-2"</f>
        <v>delm-2</v>
      </c>
      <c r="E1195" t="s">
        <v>1011</v>
      </c>
      <c r="F1195" t="s">
        <v>11</v>
      </c>
      <c r="G1195" t="s">
        <v>211</v>
      </c>
      <c r="H1195" s="12">
        <v>72.792162723643003</v>
      </c>
      <c r="I1195" s="20">
        <v>2.56534124882057</v>
      </c>
      <c r="J1195" s="28">
        <v>1.0307437637673601E-2</v>
      </c>
      <c r="K1195" s="29">
        <v>0.199634244808119</v>
      </c>
    </row>
    <row r="1196" spans="1:11" x14ac:dyDescent="0.35">
      <c r="A1196" s="9" t="str">
        <f>HYPERLINK("http://www.ensembl.org/id/WBGene00015049", "WBGene00015049")</f>
        <v>WBGene00015049</v>
      </c>
      <c r="B1196" s="9" t="str">
        <f>HYPERLINK("http://www.ncbi.nlm.nih.gov/gene/181853", "181853")</f>
        <v>181853</v>
      </c>
      <c r="C1196" s="9"/>
      <c r="D1196" t="str">
        <f>"B0218.5"</f>
        <v>B0218.5</v>
      </c>
      <c r="F1196" t="s">
        <v>11</v>
      </c>
      <c r="G1196" t="s">
        <v>961</v>
      </c>
      <c r="H1196" s="12">
        <v>9.3915029964188701</v>
      </c>
      <c r="I1196" s="20">
        <v>2.5646470235987602</v>
      </c>
      <c r="J1196" s="28">
        <v>1.03280812870314E-2</v>
      </c>
      <c r="K1196" s="29">
        <v>0.19979465977307201</v>
      </c>
    </row>
    <row r="1197" spans="1:11" x14ac:dyDescent="0.35">
      <c r="A1197" s="9" t="str">
        <f>HYPERLINK("http://www.ensembl.org/id/WBGene00003000", "WBGene00003000")</f>
        <v>WBGene00003000</v>
      </c>
      <c r="B1197" s="9" t="str">
        <f>HYPERLINK("http://www.ncbi.nlm.nih.gov/gene/172893", "172893")</f>
        <v>172893</v>
      </c>
      <c r="C1197" s="9"/>
      <c r="D1197" t="str">
        <f>"lin-11"</f>
        <v>lin-11</v>
      </c>
      <c r="F1197" t="s">
        <v>11</v>
      </c>
      <c r="G1197" t="s">
        <v>1012</v>
      </c>
      <c r="H1197" s="12">
        <v>1.6246995586114401</v>
      </c>
      <c r="I1197" s="20">
        <v>2.56419103321719</v>
      </c>
      <c r="J1197" s="28">
        <v>1.0341660741305001E-2</v>
      </c>
      <c r="K1197" s="29">
        <v>0.19979465977307201</v>
      </c>
    </row>
    <row r="1198" spans="1:11" x14ac:dyDescent="0.35">
      <c r="A1198" s="9" t="str">
        <f>HYPERLINK("http://www.ensembl.org/id/WBGene00022597", "WBGene00022597")</f>
        <v>WBGene00022597</v>
      </c>
      <c r="B1198" s="9" t="str">
        <f>HYPERLINK("http://www.ncbi.nlm.nih.gov/gene/191152", "191152")</f>
        <v>191152</v>
      </c>
      <c r="C1198" s="9"/>
      <c r="D1198" t="str">
        <f>"ZC395.5"</f>
        <v>ZC395.5</v>
      </c>
      <c r="F1198" t="s">
        <v>11</v>
      </c>
      <c r="H1198" s="12">
        <v>-1.76996222921844</v>
      </c>
      <c r="I1198" s="20">
        <v>-2.5644338860362001</v>
      </c>
      <c r="J1198" s="28">
        <v>1.0334426575579401E-2</v>
      </c>
      <c r="K1198" s="29">
        <v>0.19979465977307201</v>
      </c>
    </row>
    <row r="1199" spans="1:11" x14ac:dyDescent="0.35">
      <c r="A1199" s="9" t="str">
        <f>HYPERLINK("http://www.ensembl.org/id/WBGene00001898", "WBGene00001898")</f>
        <v>WBGene00001898</v>
      </c>
      <c r="B1199" s="9" t="str">
        <f>HYPERLINK("http://www.ncbi.nlm.nih.gov/gene/181545", "181545")</f>
        <v>181545</v>
      </c>
      <c r="C1199" s="9"/>
      <c r="D1199" t="str">
        <f>"his-24"</f>
        <v>his-24</v>
      </c>
      <c r="E1199" t="s">
        <v>1013</v>
      </c>
      <c r="F1199" t="s">
        <v>11</v>
      </c>
      <c r="G1199" t="s">
        <v>701</v>
      </c>
      <c r="H1199" s="12">
        <v>1.62388687986929</v>
      </c>
      <c r="I1199" s="20">
        <v>2.5634911532305802</v>
      </c>
      <c r="J1199" s="28">
        <v>1.03625341713001E-2</v>
      </c>
      <c r="K1199" s="29">
        <v>0.200030672148755</v>
      </c>
    </row>
    <row r="1200" spans="1:11" x14ac:dyDescent="0.35">
      <c r="A1200" s="9" t="str">
        <f>HYPERLINK("http://www.ensembl.org/id/WBGene00008537", "WBGene00008537")</f>
        <v>WBGene00008537</v>
      </c>
      <c r="B1200" s="9"/>
      <c r="C1200" s="9"/>
      <c r="D1200" t="str">
        <f>"F02H6.4"</f>
        <v>F02H6.4</v>
      </c>
      <c r="F1200" t="s">
        <v>80</v>
      </c>
      <c r="H1200" s="12">
        <v>-2.1255477889942598</v>
      </c>
      <c r="I1200" s="20">
        <v>-2.5610716596892802</v>
      </c>
      <c r="J1200" s="28">
        <v>1.04349830012341E-2</v>
      </c>
      <c r="K1200" s="29">
        <v>0.20075829910617399</v>
      </c>
    </row>
    <row r="1201" spans="1:11" x14ac:dyDescent="0.35">
      <c r="A1201" s="9" t="str">
        <f>HYPERLINK("http://www.ensembl.org/id/WBGene00044987", "WBGene00044987")</f>
        <v>WBGene00044987</v>
      </c>
      <c r="B1201" s="9" t="str">
        <f>HYPERLINK("http://www.ncbi.nlm.nih.gov/gene/4926914", "4926914")</f>
        <v>4926914</v>
      </c>
      <c r="C1201" s="9"/>
      <c r="D1201" t="str">
        <f>"K07A1.17"</f>
        <v>K07A1.17</v>
      </c>
      <c r="F1201" t="s">
        <v>11</v>
      </c>
      <c r="G1201" t="s">
        <v>25</v>
      </c>
      <c r="H1201" s="12">
        <v>-1.9117579055235201</v>
      </c>
      <c r="I1201" s="20">
        <v>-2.56140037188417</v>
      </c>
      <c r="J1201" s="28">
        <v>1.04251137272939E-2</v>
      </c>
      <c r="K1201" s="29">
        <v>0.20075829910617399</v>
      </c>
    </row>
    <row r="1202" spans="1:11" x14ac:dyDescent="0.35">
      <c r="A1202" s="9" t="str">
        <f>HYPERLINK("http://www.ensembl.org/id/WBGene00005759", "WBGene00005759")</f>
        <v>WBGene00005759</v>
      </c>
      <c r="B1202" s="9" t="str">
        <f>HYPERLINK("http://www.ncbi.nlm.nih.gov/gene/183379", "183379")</f>
        <v>183379</v>
      </c>
      <c r="C1202" s="9"/>
      <c r="D1202" t="str">
        <f>"srw-12"</f>
        <v>srw-12</v>
      </c>
      <c r="E1202" t="s">
        <v>1014</v>
      </c>
      <c r="F1202" t="s">
        <v>11</v>
      </c>
      <c r="G1202" t="s">
        <v>1015</v>
      </c>
      <c r="H1202" s="12">
        <v>-2.2251826577699401</v>
      </c>
      <c r="I1202" s="20">
        <v>-2.5612927562363401</v>
      </c>
      <c r="J1202" s="28">
        <v>1.0428343870919799E-2</v>
      </c>
      <c r="K1202" s="29">
        <v>0.20075829910617399</v>
      </c>
    </row>
    <row r="1203" spans="1:11" x14ac:dyDescent="0.35">
      <c r="A1203" s="9" t="str">
        <f>HYPERLINK("http://www.ensembl.org/id/WBGene00012210", "WBGene00012210")</f>
        <v>WBGene00012210</v>
      </c>
      <c r="B1203" s="9" t="str">
        <f>HYPERLINK("http://www.ncbi.nlm.nih.gov/gene/189120", "189120")</f>
        <v>189120</v>
      </c>
      <c r="C1203" s="9"/>
      <c r="D1203" t="str">
        <f>"W02D9.4"</f>
        <v>W02D9.4</v>
      </c>
      <c r="F1203" t="s">
        <v>11</v>
      </c>
      <c r="H1203" s="12">
        <v>-2.3425216194742502</v>
      </c>
      <c r="I1203" s="20">
        <v>-2.5612321892157599</v>
      </c>
      <c r="J1203" s="28">
        <v>1.0430162215382399E-2</v>
      </c>
      <c r="K1203" s="29">
        <v>0.20075829910617399</v>
      </c>
    </row>
    <row r="1204" spans="1:11" x14ac:dyDescent="0.35">
      <c r="A1204" s="9" t="str">
        <f>HYPERLINK("http://www.ensembl.org/id/WBGene00013235", "WBGene00013235")</f>
        <v>WBGene00013235</v>
      </c>
      <c r="B1204" s="9" t="str">
        <f>HYPERLINK("http://www.ncbi.nlm.nih.gov/gene/190329", "190329")</f>
        <v>190329</v>
      </c>
      <c r="C1204" s="9"/>
      <c r="D1204" t="str">
        <f>"Y56A3A.16"</f>
        <v>Y56A3A.16</v>
      </c>
      <c r="F1204" t="s">
        <v>11</v>
      </c>
      <c r="G1204" t="s">
        <v>1016</v>
      </c>
      <c r="H1204" s="12">
        <v>-1.72176172984401</v>
      </c>
      <c r="I1204" s="20">
        <v>-2.5601195212590002</v>
      </c>
      <c r="J1204" s="28">
        <v>1.0463616989194E-2</v>
      </c>
      <c r="K1204" s="29">
        <v>0.20114170894535399</v>
      </c>
    </row>
    <row r="1205" spans="1:11" x14ac:dyDescent="0.35">
      <c r="A1205" s="9" t="str">
        <f>HYPERLINK("http://www.ensembl.org/id/WBGene00006541", "WBGene00006541")</f>
        <v>WBGene00006541</v>
      </c>
      <c r="B1205" s="9" t="str">
        <f>HYPERLINK("http://www.ncbi.nlm.nih.gov/gene/181639", "181639")</f>
        <v>181639</v>
      </c>
      <c r="C1205" s="9" t="str">
        <f>HYPERLINK("http://www.ncbi.nlm.nih.gov/gene/1621", "1621")</f>
        <v>1621</v>
      </c>
      <c r="D1205" t="str">
        <f>"tbh-1"</f>
        <v>tbh-1</v>
      </c>
      <c r="E1205" t="s">
        <v>1017</v>
      </c>
      <c r="F1205" t="s">
        <v>11</v>
      </c>
      <c r="G1205" t="s">
        <v>1018</v>
      </c>
      <c r="H1205" s="12">
        <v>-1.92450370159472</v>
      </c>
      <c r="I1205" s="20">
        <v>-2.55855948741406</v>
      </c>
      <c r="J1205" s="28">
        <v>1.0510683543843701E-2</v>
      </c>
      <c r="K1205" s="29">
        <v>0.20187851534834</v>
      </c>
    </row>
    <row r="1206" spans="1:11" x14ac:dyDescent="0.35">
      <c r="A1206" s="9" t="str">
        <f>HYPERLINK("http://www.ensembl.org/id/WBGene00016259", "WBGene00016259")</f>
        <v>WBGene00016259</v>
      </c>
      <c r="B1206" s="9" t="str">
        <f>HYPERLINK("http://www.ncbi.nlm.nih.gov/gene/172136", "172136")</f>
        <v>172136</v>
      </c>
      <c r="C1206" s="9"/>
      <c r="D1206" t="str">
        <f>"C30F8.3"</f>
        <v>C30F8.3</v>
      </c>
      <c r="F1206" t="s">
        <v>11</v>
      </c>
      <c r="H1206" s="12">
        <v>2.64678004794983</v>
      </c>
      <c r="I1206" s="20">
        <v>2.5571396864736999</v>
      </c>
      <c r="J1206" s="28">
        <v>1.0553682842966899E-2</v>
      </c>
      <c r="K1206" s="29">
        <v>0.20248140561366099</v>
      </c>
    </row>
    <row r="1207" spans="1:11" x14ac:dyDescent="0.35">
      <c r="A1207" s="9" t="str">
        <f>HYPERLINK("http://www.ensembl.org/id/WBGene00000618", "WBGene00000618")</f>
        <v>WBGene00000618</v>
      </c>
      <c r="B1207" s="9" t="str">
        <f>HYPERLINK("http://www.ncbi.nlm.nih.gov/gene/181610", "181610")</f>
        <v>181610</v>
      </c>
      <c r="C1207" s="9"/>
      <c r="D1207" t="str">
        <f>"col-41"</f>
        <v>col-41</v>
      </c>
      <c r="E1207" t="s">
        <v>40</v>
      </c>
      <c r="F1207" t="s">
        <v>11</v>
      </c>
      <c r="G1207" t="s">
        <v>152</v>
      </c>
      <c r="H1207" s="12">
        <v>13.739041502870601</v>
      </c>
      <c r="I1207" s="20">
        <v>2.55607965123549</v>
      </c>
      <c r="J1207" s="28">
        <v>1.0585888426439099E-2</v>
      </c>
      <c r="K1207" s="29">
        <v>0.20248140561366099</v>
      </c>
    </row>
    <row r="1208" spans="1:11" x14ac:dyDescent="0.35">
      <c r="A1208" s="9" t="str">
        <f>HYPERLINK("http://www.ensembl.org/id/WBGene00020819", "WBGene00020819")</f>
        <v>WBGene00020819</v>
      </c>
      <c r="B1208" s="9" t="str">
        <f>HYPERLINK("http://www.ncbi.nlm.nih.gov/gene/175923", "175923")</f>
        <v>175923</v>
      </c>
      <c r="C1208" s="9"/>
      <c r="D1208" t="str">
        <f>"T26A5.2"</f>
        <v>T26A5.2</v>
      </c>
      <c r="F1208" t="s">
        <v>11</v>
      </c>
      <c r="H1208" s="12">
        <v>-1.8039400556059899</v>
      </c>
      <c r="I1208" s="20">
        <v>-2.55619680370918</v>
      </c>
      <c r="J1208" s="28">
        <v>1.0582324853729E-2</v>
      </c>
      <c r="K1208" s="29">
        <v>0.20248140561366099</v>
      </c>
    </row>
    <row r="1209" spans="1:11" x14ac:dyDescent="0.35">
      <c r="A1209" s="9" t="str">
        <f>HYPERLINK("http://www.ensembl.org/id/WBGene00007513", "WBGene00007513")</f>
        <v>WBGene00007513</v>
      </c>
      <c r="B1209" s="9" t="str">
        <f>HYPERLINK("http://www.ncbi.nlm.nih.gov/gene/178069", "178069")</f>
        <v>178069</v>
      </c>
      <c r="C1209" s="9"/>
      <c r="D1209" t="str">
        <f>"wht-2"</f>
        <v>wht-2</v>
      </c>
      <c r="E1209" t="s">
        <v>860</v>
      </c>
      <c r="F1209" t="s">
        <v>11</v>
      </c>
      <c r="G1209" t="s">
        <v>861</v>
      </c>
      <c r="H1209" s="12">
        <v>-1.77349512341642</v>
      </c>
      <c r="I1209" s="20">
        <v>-2.5560908890556</v>
      </c>
      <c r="J1209" s="28">
        <v>1.0585546545393201E-2</v>
      </c>
      <c r="K1209" s="29">
        <v>0.20248140561366099</v>
      </c>
    </row>
    <row r="1210" spans="1:11" x14ac:dyDescent="0.35">
      <c r="A1210" s="9" t="str">
        <f>HYPERLINK("http://www.ensembl.org/id/WBGene00022709", "WBGene00022709")</f>
        <v>WBGene00022709</v>
      </c>
      <c r="B1210" s="9" t="str">
        <f>HYPERLINK("http://www.ncbi.nlm.nih.gov/gene/191295", "191295")</f>
        <v>191295</v>
      </c>
      <c r="C1210" s="9"/>
      <c r="D1210" t="str">
        <f>"ZK354.8"</f>
        <v>ZK354.8</v>
      </c>
      <c r="E1210" t="s">
        <v>1019</v>
      </c>
      <c r="F1210" t="s">
        <v>11</v>
      </c>
      <c r="G1210" t="s">
        <v>1020</v>
      </c>
      <c r="H1210" s="12">
        <v>-1.8082786713719801</v>
      </c>
      <c r="I1210" s="20">
        <v>-2.5560832285641202</v>
      </c>
      <c r="J1210" s="28">
        <v>1.05857795945825E-2</v>
      </c>
      <c r="K1210" s="29">
        <v>0.20248140561366099</v>
      </c>
    </row>
    <row r="1211" spans="1:11" x14ac:dyDescent="0.35">
      <c r="A1211" s="9" t="str">
        <f>HYPERLINK("http://www.ensembl.org/id/WBGene00020727", "WBGene00020727")</f>
        <v>WBGene00020727</v>
      </c>
      <c r="B1211" s="9" t="str">
        <f>HYPERLINK("http://www.ncbi.nlm.nih.gov/gene/188781", "188781")</f>
        <v>188781</v>
      </c>
      <c r="C1211" s="9"/>
      <c r="D1211" t="str">
        <f>"npr-21"</f>
        <v>npr-21</v>
      </c>
      <c r="E1211" t="s">
        <v>1021</v>
      </c>
      <c r="F1211" t="s">
        <v>11</v>
      </c>
      <c r="G1211" t="s">
        <v>1022</v>
      </c>
      <c r="H1211" s="12">
        <v>2.2007316392635401</v>
      </c>
      <c r="I1211" s="20">
        <v>2.5550669660532201</v>
      </c>
      <c r="J1211" s="28">
        <v>1.0616737048824199E-2</v>
      </c>
      <c r="K1211" s="29">
        <v>0.20290349565767801</v>
      </c>
    </row>
    <row r="1212" spans="1:11" x14ac:dyDescent="0.35">
      <c r="A1212" s="9" t="str">
        <f>HYPERLINK("http://www.ensembl.org/id/WBGene00017698", "WBGene00017698")</f>
        <v>WBGene00017698</v>
      </c>
      <c r="B1212" s="9" t="str">
        <f>HYPERLINK("http://www.ncbi.nlm.nih.gov/gene/176213", "176213")</f>
        <v>176213</v>
      </c>
      <c r="C1212" s="9"/>
      <c r="D1212" t="str">
        <f>"F22B7.9"</f>
        <v>F22B7.9</v>
      </c>
      <c r="F1212" t="s">
        <v>11</v>
      </c>
      <c r="H1212" s="12">
        <v>-1.5860658266024701</v>
      </c>
      <c r="I1212" s="20">
        <v>-2.5537409708711998</v>
      </c>
      <c r="J1212" s="28">
        <v>1.06572506509363E-2</v>
      </c>
      <c r="K1212" s="29">
        <v>0.20350944920705399</v>
      </c>
    </row>
    <row r="1213" spans="1:11" x14ac:dyDescent="0.35">
      <c r="A1213" s="9" t="str">
        <f>HYPERLINK("http://www.ensembl.org/id/WBGene00018959", "WBGene00018959")</f>
        <v>WBGene00018959</v>
      </c>
      <c r="B1213" s="9" t="str">
        <f>HYPERLINK("http://www.ncbi.nlm.nih.gov/gene/186375", "186375")</f>
        <v>186375</v>
      </c>
      <c r="C1213" s="9"/>
      <c r="D1213" t="str">
        <f>"F56D1.1"</f>
        <v>F56D1.1</v>
      </c>
      <c r="E1213" t="s">
        <v>1027</v>
      </c>
      <c r="F1213" t="s">
        <v>11</v>
      </c>
      <c r="G1213" t="s">
        <v>966</v>
      </c>
      <c r="H1213" s="12">
        <v>-1.7419207079294401</v>
      </c>
      <c r="I1213" s="20">
        <v>-2.5512555629103</v>
      </c>
      <c r="J1213" s="28">
        <v>1.0733558702674501E-2</v>
      </c>
      <c r="K1213" s="29">
        <v>0.204193615766779</v>
      </c>
    </row>
    <row r="1214" spans="1:11" x14ac:dyDescent="0.35">
      <c r="A1214" s="9" t="str">
        <f>HYPERLINK("http://www.ensembl.org/id/WBGene00001812", "WBGene00001812")</f>
        <v>WBGene00001812</v>
      </c>
      <c r="B1214" s="9" t="str">
        <f>HYPERLINK("http://www.ncbi.nlm.nih.gov/gene/174204", "174204")</f>
        <v>174204</v>
      </c>
      <c r="C1214" s="9" t="str">
        <f>HYPERLINK("http://www.ncbi.nlm.nih.gov/gene/23457", "23457")</f>
        <v>23457</v>
      </c>
      <c r="D1214" t="str">
        <f>"haf-2"</f>
        <v>haf-2</v>
      </c>
      <c r="E1214" t="s">
        <v>1025</v>
      </c>
      <c r="F1214" t="s">
        <v>11</v>
      </c>
      <c r="G1214" t="s">
        <v>1026</v>
      </c>
      <c r="H1214" s="12">
        <v>-1.58365736713339</v>
      </c>
      <c r="I1214" s="20">
        <v>-2.55136723036372</v>
      </c>
      <c r="J1214" s="28">
        <v>1.0730119846125499E-2</v>
      </c>
      <c r="K1214" s="29">
        <v>0.204193615766779</v>
      </c>
    </row>
    <row r="1215" spans="1:11" x14ac:dyDescent="0.35">
      <c r="A1215" s="9" t="str">
        <f>HYPERLINK("http://www.ensembl.org/id/WBGene00011735", "WBGene00011735")</f>
        <v>WBGene00011735</v>
      </c>
      <c r="B1215" s="9" t="str">
        <f>HYPERLINK("http://www.ncbi.nlm.nih.gov/gene/176794", "176794")</f>
        <v>176794</v>
      </c>
      <c r="C1215" s="9" t="str">
        <f>HYPERLINK("http://www.ncbi.nlm.nih.gov/gene/6767", "6767")</f>
        <v>6767</v>
      </c>
      <c r="D1215" t="str">
        <f>"hip-1"</f>
        <v>hip-1</v>
      </c>
      <c r="E1215" t="s">
        <v>1023</v>
      </c>
      <c r="F1215" t="s">
        <v>11</v>
      </c>
      <c r="G1215" t="s">
        <v>1024</v>
      </c>
      <c r="H1215" s="12">
        <v>-1.5793244539053599</v>
      </c>
      <c r="I1215" s="20">
        <v>-2.55123431582708</v>
      </c>
      <c r="J1215" s="28">
        <v>1.0734213128456E-2</v>
      </c>
      <c r="K1215" s="29">
        <v>0.204193615766779</v>
      </c>
    </row>
    <row r="1216" spans="1:11" x14ac:dyDescent="0.35">
      <c r="A1216" s="9" t="str">
        <f>HYPERLINK("http://www.ensembl.org/id/WBGene00007605", "WBGene00007605")</f>
        <v>WBGene00007605</v>
      </c>
      <c r="B1216" s="9" t="str">
        <f>HYPERLINK("http://www.ncbi.nlm.nih.gov/gene/182635", "182635")</f>
        <v>182635</v>
      </c>
      <c r="C1216" s="9"/>
      <c r="D1216" t="str">
        <f>"hrg-7"</f>
        <v>hrg-7</v>
      </c>
      <c r="E1216" t="s">
        <v>1028</v>
      </c>
      <c r="F1216" t="s">
        <v>11</v>
      </c>
      <c r="G1216" t="s">
        <v>1029</v>
      </c>
      <c r="H1216" s="12">
        <v>-2.2831743777796998</v>
      </c>
      <c r="I1216" s="20">
        <v>-2.5510018682158302</v>
      </c>
      <c r="J1216" s="28">
        <v>1.07413750031231E-2</v>
      </c>
      <c r="K1216" s="29">
        <v>0.204193615766779</v>
      </c>
    </row>
    <row r="1217" spans="1:11" x14ac:dyDescent="0.35">
      <c r="A1217" s="9" t="str">
        <f>HYPERLINK("http://www.ensembl.org/id/WBGene00004144", "WBGene00004144")</f>
        <v>WBGene00004144</v>
      </c>
      <c r="B1217" s="9" t="str">
        <f>HYPERLINK("http://www.ncbi.nlm.nih.gov/gene/187826", "187826")</f>
        <v>187826</v>
      </c>
      <c r="C1217" s="9"/>
      <c r="D1217" t="str">
        <f>"pqn-60"</f>
        <v>pqn-60</v>
      </c>
      <c r="E1217" t="s">
        <v>432</v>
      </c>
      <c r="F1217" t="s">
        <v>11</v>
      </c>
      <c r="G1217" t="s">
        <v>54</v>
      </c>
      <c r="H1217" s="12">
        <v>2.5179420514907398</v>
      </c>
      <c r="I1217" s="20">
        <v>2.5521381891143</v>
      </c>
      <c r="J1217" s="28">
        <v>1.0706404491592301E-2</v>
      </c>
      <c r="K1217" s="29">
        <v>0.204193615766779</v>
      </c>
    </row>
    <row r="1218" spans="1:11" x14ac:dyDescent="0.35">
      <c r="A1218" s="9" t="str">
        <f>HYPERLINK("http://www.ensembl.org/id/WBGene00011691", "WBGene00011691")</f>
        <v>WBGene00011691</v>
      </c>
      <c r="B1218" s="9" t="str">
        <f>HYPERLINK("http://www.ncbi.nlm.nih.gov/gene/180071", "180071")</f>
        <v>180071</v>
      </c>
      <c r="C1218" s="9"/>
      <c r="D1218" t="str">
        <f>"T10C6.10"</f>
        <v>T10C6.10</v>
      </c>
      <c r="F1218" t="s">
        <v>11</v>
      </c>
      <c r="G1218" t="s">
        <v>54</v>
      </c>
      <c r="H1218" s="12">
        <v>-2.3895063779088899</v>
      </c>
      <c r="I1218" s="20">
        <v>-2.5508485175292699</v>
      </c>
      <c r="J1218" s="28">
        <v>1.0746102171401499E-2</v>
      </c>
      <c r="K1218" s="29">
        <v>0.204193615766779</v>
      </c>
    </row>
    <row r="1219" spans="1:11" x14ac:dyDescent="0.35">
      <c r="A1219" s="9" t="str">
        <f>HYPERLINK("http://www.ensembl.org/id/WBGene00007343", "WBGene00007343")</f>
        <v>WBGene00007343</v>
      </c>
      <c r="B1219" s="9" t="str">
        <f>HYPERLINK("http://www.ncbi.nlm.nih.gov/gene/181427", "181427")</f>
        <v>181427</v>
      </c>
      <c r="C1219" s="9"/>
      <c r="D1219" t="str">
        <f>"C05E7.1"</f>
        <v>C05E7.1</v>
      </c>
      <c r="F1219" t="s">
        <v>11</v>
      </c>
      <c r="H1219" s="12">
        <v>2.17077372223312</v>
      </c>
      <c r="I1219" s="20">
        <v>2.55004820242964</v>
      </c>
      <c r="J1219" s="28">
        <v>1.0770802607528799E-2</v>
      </c>
      <c r="K1219" s="29">
        <v>0.20449479461755199</v>
      </c>
    </row>
    <row r="1220" spans="1:11" x14ac:dyDescent="0.35">
      <c r="A1220" s="9" t="str">
        <f>HYPERLINK("http://www.ensembl.org/id/WBGene00002079", "WBGene00002079")</f>
        <v>WBGene00002079</v>
      </c>
      <c r="B1220" s="9" t="str">
        <f>HYPERLINK("http://www.ncbi.nlm.nih.gov/gene/171621", "171621")</f>
        <v>171621</v>
      </c>
      <c r="C1220" s="9"/>
      <c r="D1220" t="str">
        <f>"xpo-2"</f>
        <v>xpo-2</v>
      </c>
      <c r="E1220" t="s">
        <v>1030</v>
      </c>
      <c r="F1220" t="s">
        <v>11</v>
      </c>
      <c r="G1220" t="s">
        <v>1031</v>
      </c>
      <c r="H1220" s="12">
        <v>-1.65189589075313</v>
      </c>
      <c r="I1220" s="20">
        <v>-2.5497158438004202</v>
      </c>
      <c r="J1220" s="28">
        <v>1.07810751453259E-2</v>
      </c>
      <c r="K1220" s="29">
        <v>0.204521775293842</v>
      </c>
    </row>
    <row r="1221" spans="1:11" x14ac:dyDescent="0.35">
      <c r="A1221" s="9" t="str">
        <f>HYPERLINK("http://www.ensembl.org/id/WBGene00002229", "WBGene00002229")</f>
        <v>WBGene00002229</v>
      </c>
      <c r="B1221" s="9" t="str">
        <f>HYPERLINK("http://www.ncbi.nlm.nih.gov/gene/176750", "176750")</f>
        <v>176750</v>
      </c>
      <c r="C1221" s="9" t="str">
        <f>HYPERLINK("http://www.ncbi.nlm.nih.gov/gene/24137", "24137")</f>
        <v>24137</v>
      </c>
      <c r="D1221" t="str">
        <f>"klp-19"</f>
        <v>klp-19</v>
      </c>
      <c r="E1221" t="s">
        <v>469</v>
      </c>
      <c r="F1221" t="s">
        <v>11</v>
      </c>
      <c r="G1221" t="s">
        <v>1032</v>
      </c>
      <c r="H1221" s="12">
        <v>-1.6567589263959399</v>
      </c>
      <c r="I1221" s="20">
        <v>-2.5489687476017302</v>
      </c>
      <c r="J1221" s="28">
        <v>1.0804198188534E-2</v>
      </c>
      <c r="K1221" s="29">
        <v>0.20479229150473</v>
      </c>
    </row>
    <row r="1222" spans="1:11" x14ac:dyDescent="0.35">
      <c r="A1222" s="9" t="str">
        <f>HYPERLINK("http://www.ensembl.org/id/WBGene00022345", "WBGene00022345")</f>
        <v>WBGene00022345</v>
      </c>
      <c r="B1222" s="9" t="str">
        <f>HYPERLINK("http://www.ncbi.nlm.nih.gov/gene/190774", "190774")</f>
        <v>190774</v>
      </c>
      <c r="C1222" s="9"/>
      <c r="D1222" t="str">
        <f>"fbxa-138"</f>
        <v>fbxa-138</v>
      </c>
      <c r="E1222" t="s">
        <v>467</v>
      </c>
      <c r="F1222" t="s">
        <v>11</v>
      </c>
      <c r="G1222" t="s">
        <v>417</v>
      </c>
      <c r="H1222" s="12">
        <v>-3.0997992953161599</v>
      </c>
      <c r="I1222" s="20">
        <v>-2.5485193162184401</v>
      </c>
      <c r="J1222" s="28">
        <v>1.0818129568045599E-2</v>
      </c>
      <c r="K1222" s="29">
        <v>0.20488828016332999</v>
      </c>
    </row>
    <row r="1223" spans="1:11" x14ac:dyDescent="0.35">
      <c r="A1223" s="9" t="str">
        <f>HYPERLINK("http://www.ensembl.org/id/WBGene00009921", "WBGene00009921")</f>
        <v>WBGene00009921</v>
      </c>
      <c r="B1223" s="9" t="str">
        <f>HYPERLINK("http://www.ncbi.nlm.nih.gov/gene/172614", "172614")</f>
        <v>172614</v>
      </c>
      <c r="C1223" s="9"/>
      <c r="D1223" t="str">
        <f>"F52B5.2"</f>
        <v>F52B5.2</v>
      </c>
      <c r="F1223" t="s">
        <v>11</v>
      </c>
      <c r="G1223" t="s">
        <v>1035</v>
      </c>
      <c r="H1223" s="12">
        <v>-1.69410244506606</v>
      </c>
      <c r="I1223" s="20">
        <v>-2.5474076138056798</v>
      </c>
      <c r="J1223" s="28">
        <v>1.08526585091586E-2</v>
      </c>
      <c r="K1223" s="29">
        <v>0.20530157994123299</v>
      </c>
    </row>
    <row r="1224" spans="1:11" x14ac:dyDescent="0.35">
      <c r="A1224" s="9" t="str">
        <f>HYPERLINK("http://www.ensembl.org/id/WBGene00001864", "WBGene00001864")</f>
        <v>WBGene00001864</v>
      </c>
      <c r="B1224" s="9" t="str">
        <f>HYPERLINK("http://www.ncbi.nlm.nih.gov/gene/183932", "183932")</f>
        <v>183932</v>
      </c>
      <c r="C1224" s="9"/>
      <c r="D1224" t="str">
        <f>"him-5"</f>
        <v>him-5</v>
      </c>
      <c r="E1224" t="s">
        <v>1036</v>
      </c>
      <c r="F1224" t="s">
        <v>11</v>
      </c>
      <c r="G1224" t="s">
        <v>1037</v>
      </c>
      <c r="H1224" s="12">
        <v>-2.1883729373195702</v>
      </c>
      <c r="I1224" s="20">
        <v>-2.5469594008637602</v>
      </c>
      <c r="J1224" s="28">
        <v>1.08666074728697E-2</v>
      </c>
      <c r="K1224" s="29">
        <v>0.20530157994123299</v>
      </c>
    </row>
    <row r="1225" spans="1:11" x14ac:dyDescent="0.35">
      <c r="A1225" s="9" t="str">
        <f>HYPERLINK("http://www.ensembl.org/id/WBGene00012796", "WBGene00012796")</f>
        <v>WBGene00012796</v>
      </c>
      <c r="B1225" s="9" t="str">
        <f>HYPERLINK("http://www.ncbi.nlm.nih.gov/gene/176737", "176737")</f>
        <v>176737</v>
      </c>
      <c r="C1225" s="9" t="str">
        <f>HYPERLINK("http://www.ncbi.nlm.nih.gov/gene/89782", "89782")</f>
        <v>89782</v>
      </c>
      <c r="D1225" t="str">
        <f>"Y43F4A.1"</f>
        <v>Y43F4A.1</v>
      </c>
      <c r="E1225" t="s">
        <v>1033</v>
      </c>
      <c r="F1225" t="s">
        <v>11</v>
      </c>
      <c r="G1225" t="s">
        <v>1034</v>
      </c>
      <c r="H1225" s="12">
        <v>1.77458407416404</v>
      </c>
      <c r="I1225" s="20">
        <v>2.5472256150837298</v>
      </c>
      <c r="J1225" s="28">
        <v>1.08583206233394E-2</v>
      </c>
      <c r="K1225" s="29">
        <v>0.20530157994123299</v>
      </c>
    </row>
    <row r="1226" spans="1:11" x14ac:dyDescent="0.35">
      <c r="A1226" s="9" t="str">
        <f>HYPERLINK("http://www.ensembl.org/id/WBGene00016947", "WBGene00016947")</f>
        <v>WBGene00016947</v>
      </c>
      <c r="B1226" s="9" t="str">
        <f>HYPERLINK("http://www.ncbi.nlm.nih.gov/gene/183846", "183846")</f>
        <v>183846</v>
      </c>
      <c r="C1226" s="9"/>
      <c r="D1226" t="str">
        <f>"C55B7.11"</f>
        <v>C55B7.11</v>
      </c>
      <c r="F1226" t="s">
        <v>11</v>
      </c>
      <c r="H1226" s="12">
        <v>-2.0399821693674598</v>
      </c>
      <c r="I1226" s="20">
        <v>-2.5440229124981801</v>
      </c>
      <c r="J1226" s="28">
        <v>1.09583896118924E-2</v>
      </c>
      <c r="K1226" s="29">
        <v>0.20652899704109801</v>
      </c>
    </row>
    <row r="1227" spans="1:11" x14ac:dyDescent="0.35">
      <c r="A1227" s="9" t="str">
        <f>HYPERLINK("http://www.ensembl.org/id/WBGene00019712", "WBGene00019712")</f>
        <v>WBGene00019712</v>
      </c>
      <c r="B1227" s="9" t="str">
        <f>HYPERLINK("http://www.ncbi.nlm.nih.gov/gene/172212", "172212")</f>
        <v>172212</v>
      </c>
      <c r="C1227" s="9"/>
      <c r="D1227" t="str">
        <f>"rmh-1"</f>
        <v>rmh-1</v>
      </c>
      <c r="E1227" t="s">
        <v>1038</v>
      </c>
      <c r="F1227" t="s">
        <v>11</v>
      </c>
      <c r="G1227" t="s">
        <v>1039</v>
      </c>
      <c r="H1227" s="12">
        <v>-2.01665616782571</v>
      </c>
      <c r="I1227" s="20">
        <v>-2.5442301587648899</v>
      </c>
      <c r="J1227" s="28">
        <v>1.09518894536417E-2</v>
      </c>
      <c r="K1227" s="29">
        <v>0.20652899704109801</v>
      </c>
    </row>
    <row r="1228" spans="1:11" x14ac:dyDescent="0.35">
      <c r="A1228" s="9" t="str">
        <f>HYPERLINK("http://www.ensembl.org/id/WBGene00007073", "WBGene00007073")</f>
        <v>WBGene00007073</v>
      </c>
      <c r="B1228" s="9" t="str">
        <f>HYPERLINK("http://www.ncbi.nlm.nih.gov/gene/179450", "179450")</f>
        <v>179450</v>
      </c>
      <c r="C1228" s="9"/>
      <c r="D1228" t="str">
        <f>"ugt-2"</f>
        <v>ugt-2</v>
      </c>
      <c r="E1228" t="s">
        <v>103</v>
      </c>
      <c r="F1228" t="s">
        <v>11</v>
      </c>
      <c r="G1228" t="s">
        <v>104</v>
      </c>
      <c r="H1228" s="12">
        <v>2.0824309550032201</v>
      </c>
      <c r="I1228" s="20">
        <v>2.5441512725430302</v>
      </c>
      <c r="J1228" s="28">
        <v>1.09543632699805E-2</v>
      </c>
      <c r="K1228" s="29">
        <v>0.20652899704109801</v>
      </c>
    </row>
    <row r="1229" spans="1:11" x14ac:dyDescent="0.35">
      <c r="A1229" s="9" t="str">
        <f>HYPERLINK("http://www.ensembl.org/id/WBGene00016530", "WBGene00016530")</f>
        <v>WBGene00016530</v>
      </c>
      <c r="B1229" s="9" t="str">
        <f>HYPERLINK("http://www.ncbi.nlm.nih.gov/gene/183336", "183336")</f>
        <v>183336</v>
      </c>
      <c r="C1229" s="9"/>
      <c r="D1229" t="str">
        <f>"C39D10.2"</f>
        <v>C39D10.2</v>
      </c>
      <c r="F1229" t="s">
        <v>11</v>
      </c>
      <c r="H1229" s="12">
        <v>1.9821857788463899</v>
      </c>
      <c r="I1229" s="20">
        <v>2.54296491979221</v>
      </c>
      <c r="J1229" s="28">
        <v>1.0991626387767E-2</v>
      </c>
      <c r="K1229" s="29">
        <v>0.206649730932258</v>
      </c>
    </row>
    <row r="1230" spans="1:11" x14ac:dyDescent="0.35">
      <c r="A1230" s="9" t="str">
        <f>HYPERLINK("http://www.ensembl.org/id/WBGene00000597", "WBGene00000597")</f>
        <v>WBGene00000597</v>
      </c>
      <c r="B1230" s="9" t="str">
        <f>HYPERLINK("http://www.ncbi.nlm.nih.gov/gene/175981", "175981")</f>
        <v>175981</v>
      </c>
      <c r="C1230" s="9"/>
      <c r="D1230" t="str">
        <f>"col-8"</f>
        <v>col-8</v>
      </c>
      <c r="E1230" t="s">
        <v>1040</v>
      </c>
      <c r="F1230" t="s">
        <v>11</v>
      </c>
      <c r="G1230" t="s">
        <v>152</v>
      </c>
      <c r="H1230" s="12">
        <v>1.83075025233065</v>
      </c>
      <c r="I1230" s="20">
        <v>2.5430065300753601</v>
      </c>
      <c r="J1230" s="28">
        <v>1.0990317513045401E-2</v>
      </c>
      <c r="K1230" s="29">
        <v>0.206649730932258</v>
      </c>
    </row>
    <row r="1231" spans="1:11" x14ac:dyDescent="0.35">
      <c r="A1231" s="9" t="str">
        <f>HYPERLINK("http://www.ensembl.org/id/WBGene00013784", "WBGene00013784")</f>
        <v>WBGene00013784</v>
      </c>
      <c r="B1231" s="9" t="str">
        <f>HYPERLINK("http://www.ncbi.nlm.nih.gov/gene/190992", "190992")</f>
        <v>190992</v>
      </c>
      <c r="C1231" s="9"/>
      <c r="D1231" t="str">
        <f>"Y116A8C.3"</f>
        <v>Y116A8C.3</v>
      </c>
      <c r="F1231" t="s">
        <v>11</v>
      </c>
      <c r="H1231" s="12">
        <v>-1.8025316416152199</v>
      </c>
      <c r="I1231" s="20">
        <v>-2.54314709397618</v>
      </c>
      <c r="J1231" s="28">
        <v>1.09858970210045E-2</v>
      </c>
      <c r="K1231" s="29">
        <v>0.206649730932258</v>
      </c>
    </row>
    <row r="1232" spans="1:11" x14ac:dyDescent="0.35">
      <c r="A1232" s="9" t="str">
        <f>HYPERLINK("http://www.ensembl.org/id/WBGene00004810", "WBGene00004810")</f>
        <v>WBGene00004810</v>
      </c>
      <c r="B1232" s="9" t="str">
        <f>HYPERLINK("http://www.ncbi.nlm.nih.gov/gene/191762", "191762")</f>
        <v>191762</v>
      </c>
      <c r="C1232" s="9"/>
      <c r="D1232" t="str">
        <f>"skr-4"</f>
        <v>skr-4</v>
      </c>
      <c r="E1232" t="s">
        <v>1041</v>
      </c>
      <c r="F1232" t="s">
        <v>11</v>
      </c>
      <c r="G1232" t="s">
        <v>571</v>
      </c>
      <c r="H1232" s="12">
        <v>-1.6964047663956701</v>
      </c>
      <c r="I1232" s="20">
        <v>-2.5408659934769902</v>
      </c>
      <c r="J1232" s="28">
        <v>1.10578292547567E-2</v>
      </c>
      <c r="K1232" s="29">
        <v>0.20772536809789299</v>
      </c>
    </row>
    <row r="1233" spans="1:11" x14ac:dyDescent="0.35">
      <c r="A1233" s="9" t="str">
        <f>HYPERLINK("http://www.ensembl.org/id/WBGene00001577", "WBGene00001577")</f>
        <v>WBGene00001577</v>
      </c>
      <c r="B1233" s="9" t="str">
        <f>HYPERLINK("http://www.ncbi.nlm.nih.gov/gene/178108", "178108")</f>
        <v>178108</v>
      </c>
      <c r="C1233" s="9" t="str">
        <f>HYPERLINK("http://www.ncbi.nlm.nih.gov/gene/57699", "57699")</f>
        <v>57699</v>
      </c>
      <c r="D1233" t="str">
        <f>"gem-4"</f>
        <v>gem-4</v>
      </c>
      <c r="E1233" t="s">
        <v>1042</v>
      </c>
      <c r="F1233" t="s">
        <v>11</v>
      </c>
      <c r="G1233" t="s">
        <v>1043</v>
      </c>
      <c r="H1233" s="12">
        <v>-1.5992524923767799</v>
      </c>
      <c r="I1233" s="20">
        <v>-2.5397042384408102</v>
      </c>
      <c r="J1233" s="28">
        <v>1.10946246173884E-2</v>
      </c>
      <c r="K1233" s="29">
        <v>0.20807824383878001</v>
      </c>
    </row>
    <row r="1234" spans="1:11" x14ac:dyDescent="0.35">
      <c r="A1234" s="9" t="str">
        <f>HYPERLINK("http://www.ensembl.org/id/WBGene00010907", "WBGene00010907")</f>
        <v>WBGene00010907</v>
      </c>
      <c r="B1234" s="9" t="str">
        <f>HYPERLINK("http://www.ncbi.nlm.nih.gov/gene/175594", "175594")</f>
        <v>175594</v>
      </c>
      <c r="C1234" s="9"/>
      <c r="D1234" t="str">
        <f>"M88.4"</f>
        <v>M88.4</v>
      </c>
      <c r="F1234" t="s">
        <v>11</v>
      </c>
      <c r="H1234" s="12">
        <v>1.90134772827825</v>
      </c>
      <c r="I1234" s="20">
        <v>2.5398539389307202</v>
      </c>
      <c r="J1234" s="28">
        <v>1.10898771736787E-2</v>
      </c>
      <c r="K1234" s="29">
        <v>0.20807824383878001</v>
      </c>
    </row>
    <row r="1235" spans="1:11" x14ac:dyDescent="0.35">
      <c r="A1235" s="9" t="str">
        <f>HYPERLINK("http://www.ensembl.org/id/WBGene00007302", "WBGene00007302")</f>
        <v>WBGene00007302</v>
      </c>
      <c r="B1235" s="9" t="str">
        <f>HYPERLINK("http://www.ncbi.nlm.nih.gov/gene/182228", "182228")</f>
        <v>182228</v>
      </c>
      <c r="C1235" s="9" t="str">
        <f>HYPERLINK("http://www.ncbi.nlm.nih.gov/gene/11072", "11072")</f>
        <v>11072</v>
      </c>
      <c r="D1235" t="str">
        <f>"C04F12.8"</f>
        <v>C04F12.8</v>
      </c>
      <c r="F1235" t="s">
        <v>11</v>
      </c>
      <c r="G1235" t="s">
        <v>1044</v>
      </c>
      <c r="H1235" s="12">
        <v>1.6587504587212301</v>
      </c>
      <c r="I1235" s="20">
        <v>2.5380347230143698</v>
      </c>
      <c r="J1235" s="28">
        <v>1.1147692338738399E-2</v>
      </c>
      <c r="K1235" s="29">
        <v>0.208612684583106</v>
      </c>
    </row>
    <row r="1236" spans="1:11" x14ac:dyDescent="0.35">
      <c r="A1236" s="9" t="str">
        <f>HYPERLINK("http://www.ensembl.org/id/WBGene00015915", "WBGene00015915")</f>
        <v>WBGene00015915</v>
      </c>
      <c r="B1236" s="9" t="str">
        <f>HYPERLINK("http://www.ncbi.nlm.nih.gov/gene/173947", "173947")</f>
        <v>173947</v>
      </c>
      <c r="C1236" s="9" t="str">
        <f>HYPERLINK("http://www.ncbi.nlm.nih.gov/gene/55239", "55239")</f>
        <v>55239</v>
      </c>
      <c r="D1236" t="str">
        <f>"C17G10.1"</f>
        <v>C17G10.1</v>
      </c>
      <c r="F1236" t="s">
        <v>11</v>
      </c>
      <c r="G1236" t="s">
        <v>1045</v>
      </c>
      <c r="H1236" s="12">
        <v>-1.73323174485144</v>
      </c>
      <c r="I1236" s="20">
        <v>-2.5379558106024702</v>
      </c>
      <c r="J1236" s="28">
        <v>1.1150206243405901E-2</v>
      </c>
      <c r="K1236" s="29">
        <v>0.208612684583106</v>
      </c>
    </row>
    <row r="1237" spans="1:11" x14ac:dyDescent="0.35">
      <c r="A1237" s="9" t="str">
        <f>HYPERLINK("http://www.ensembl.org/id/WBGene00010944", "WBGene00010944")</f>
        <v>WBGene00010944</v>
      </c>
      <c r="B1237" s="9" t="str">
        <f>HYPERLINK("http://www.ncbi.nlm.nih.gov/gene/174497", "174497")</f>
        <v>174497</v>
      </c>
      <c r="C1237" s="9"/>
      <c r="D1237" t="str">
        <f>"M176.5"</f>
        <v>M176.5</v>
      </c>
      <c r="F1237" t="s">
        <v>11</v>
      </c>
      <c r="H1237" s="12">
        <v>1.6617212812106501</v>
      </c>
      <c r="I1237" s="20">
        <v>2.5379733063560002</v>
      </c>
      <c r="J1237" s="28">
        <v>1.1149648839528001E-2</v>
      </c>
      <c r="K1237" s="29">
        <v>0.208612684583106</v>
      </c>
    </row>
    <row r="1238" spans="1:11" x14ac:dyDescent="0.35">
      <c r="A1238" s="9" t="str">
        <f>HYPERLINK("http://www.ensembl.org/id/WBGene00017269", "WBGene00017269")</f>
        <v>WBGene00017269</v>
      </c>
      <c r="B1238" s="9" t="str">
        <f>HYPERLINK("http://www.ncbi.nlm.nih.gov/gene/176046", "176046")</f>
        <v>176046</v>
      </c>
      <c r="C1238" s="9"/>
      <c r="D1238" t="str">
        <f>"F08F8.4"</f>
        <v>F08F8.4</v>
      </c>
      <c r="F1238" t="s">
        <v>11</v>
      </c>
      <c r="G1238" t="s">
        <v>1046</v>
      </c>
      <c r="H1238" s="12">
        <v>-1.6809019399931799</v>
      </c>
      <c r="I1238" s="20">
        <v>-2.5371144793303499</v>
      </c>
      <c r="J1238" s="28">
        <v>1.1177039767017701E-2</v>
      </c>
      <c r="K1238" s="29">
        <v>0.20877662154948401</v>
      </c>
    </row>
    <row r="1239" spans="1:11" x14ac:dyDescent="0.35">
      <c r="A1239" s="9" t="str">
        <f>HYPERLINK("http://www.ensembl.org/id/WBGene00008538", "WBGene00008538")</f>
        <v>WBGene00008538</v>
      </c>
      <c r="B1239" s="9" t="str">
        <f>HYPERLINK("http://www.ncbi.nlm.nih.gov/gene/178374", "178374")</f>
        <v>178374</v>
      </c>
      <c r="C1239" s="9" t="str">
        <f>HYPERLINK("http://www.ncbi.nlm.nih.gov/gene/58472", "58472")</f>
        <v>58472</v>
      </c>
      <c r="D1239" t="str">
        <f>"sqrd-1"</f>
        <v>sqrd-1</v>
      </c>
      <c r="E1239" t="s">
        <v>1047</v>
      </c>
      <c r="F1239" t="s">
        <v>11</v>
      </c>
      <c r="G1239" t="s">
        <v>1048</v>
      </c>
      <c r="H1239" s="12">
        <v>-1.8071309658941499</v>
      </c>
      <c r="I1239" s="20">
        <v>-2.5372889716176799</v>
      </c>
      <c r="J1239" s="28">
        <v>1.11714697790243E-2</v>
      </c>
      <c r="K1239" s="29">
        <v>0.20877662154948401</v>
      </c>
    </row>
    <row r="1240" spans="1:11" x14ac:dyDescent="0.35">
      <c r="A1240" s="9" t="str">
        <f>HYPERLINK("http://www.ensembl.org/id/WBGene00000603", "WBGene00000603")</f>
        <v>WBGene00000603</v>
      </c>
      <c r="B1240" s="9" t="str">
        <f>HYPERLINK("http://www.ncbi.nlm.nih.gov/gene/177559", "177559")</f>
        <v>177559</v>
      </c>
      <c r="C1240" s="9"/>
      <c r="D1240" t="str">
        <f>"col-14"</f>
        <v>col-14</v>
      </c>
      <c r="E1240" t="s">
        <v>1049</v>
      </c>
      <c r="F1240" t="s">
        <v>11</v>
      </c>
      <c r="G1240" t="s">
        <v>1050</v>
      </c>
      <c r="H1240" s="12">
        <v>1.85576764711613</v>
      </c>
      <c r="I1240" s="20">
        <v>2.5340197230219901</v>
      </c>
      <c r="J1240" s="28">
        <v>1.1276238475655599E-2</v>
      </c>
      <c r="K1240" s="29">
        <v>0.209962718767709</v>
      </c>
    </row>
    <row r="1241" spans="1:11" x14ac:dyDescent="0.35">
      <c r="A1241" s="9" t="str">
        <f>HYPERLINK("http://www.ensembl.org/id/WBGene00008841", "WBGene00008841")</f>
        <v>WBGene00008841</v>
      </c>
      <c r="B1241" s="9" t="str">
        <f>HYPERLINK("http://www.ncbi.nlm.nih.gov/gene/174887", "174887")</f>
        <v>174887</v>
      </c>
      <c r="C1241" s="9"/>
      <c r="D1241" t="str">
        <f>"F15A4.6"</f>
        <v>F15A4.6</v>
      </c>
      <c r="F1241" t="s">
        <v>11</v>
      </c>
      <c r="H1241" s="12">
        <v>2.3808871259136399</v>
      </c>
      <c r="I1241" s="20">
        <v>2.5343828739705798</v>
      </c>
      <c r="J1241" s="28">
        <v>1.12645577611298E-2</v>
      </c>
      <c r="K1241" s="29">
        <v>0.209962718767709</v>
      </c>
    </row>
    <row r="1242" spans="1:11" x14ac:dyDescent="0.35">
      <c r="A1242" s="9" t="str">
        <f>HYPERLINK("http://www.ensembl.org/id/WBGene00018418", "WBGene00018418")</f>
        <v>WBGene00018418</v>
      </c>
      <c r="B1242" s="9" t="str">
        <f>HYPERLINK("http://www.ncbi.nlm.nih.gov/gene/176243", "176243")</f>
        <v>176243</v>
      </c>
      <c r="C1242" s="9"/>
      <c r="D1242" t="str">
        <f>"F44E2.4"</f>
        <v>F44E2.4</v>
      </c>
      <c r="F1242" t="s">
        <v>11</v>
      </c>
      <c r="G1242" t="s">
        <v>417</v>
      </c>
      <c r="H1242" s="12">
        <v>1.8774586385086101</v>
      </c>
      <c r="I1242" s="20">
        <v>2.53399959323065</v>
      </c>
      <c r="J1242" s="28">
        <v>1.1276886262906899E-2</v>
      </c>
      <c r="K1242" s="29">
        <v>0.209962718767709</v>
      </c>
    </row>
    <row r="1243" spans="1:11" x14ac:dyDescent="0.35">
      <c r="A1243" s="9" t="str">
        <f>HYPERLINK("http://www.ensembl.org/id/WBGene00001865", "WBGene00001865")</f>
        <v>WBGene00001865</v>
      </c>
      <c r="B1243" s="9" t="str">
        <f>HYPERLINK("http://www.ncbi.nlm.nih.gov/gene/178201", "178201")</f>
        <v>178201</v>
      </c>
      <c r="C1243" s="9"/>
      <c r="D1243" t="str">
        <f>"him-6"</f>
        <v>him-6</v>
      </c>
      <c r="E1243" t="s">
        <v>1051</v>
      </c>
      <c r="F1243" t="s">
        <v>11</v>
      </c>
      <c r="G1243" t="s">
        <v>1052</v>
      </c>
      <c r="H1243" s="12">
        <v>-1.7442506912325699</v>
      </c>
      <c r="I1243" s="20">
        <v>-2.5347282017056498</v>
      </c>
      <c r="J1243" s="28">
        <v>1.12534602960624E-2</v>
      </c>
      <c r="K1243" s="29">
        <v>0.209962718767709</v>
      </c>
    </row>
    <row r="1244" spans="1:11" x14ac:dyDescent="0.35">
      <c r="A1244" s="9" t="str">
        <f>HYPERLINK("http://www.ensembl.org/id/WBGene00010558", "WBGene00010558")</f>
        <v>WBGene00010558</v>
      </c>
      <c r="B1244" s="9" t="str">
        <f>HYPERLINK("http://www.ncbi.nlm.nih.gov/gene/177898", "177898")</f>
        <v>177898</v>
      </c>
      <c r="C1244" s="9"/>
      <c r="D1244" t="str">
        <f>"ptp-4"</f>
        <v>ptp-4</v>
      </c>
      <c r="E1244" t="s">
        <v>1053</v>
      </c>
      <c r="F1244" t="s">
        <v>11</v>
      </c>
      <c r="G1244" t="s">
        <v>1054</v>
      </c>
      <c r="H1244" s="12">
        <v>1.74657669723014</v>
      </c>
      <c r="I1244" s="20">
        <v>2.53212841939721</v>
      </c>
      <c r="J1244" s="28">
        <v>1.13372461062689E-2</v>
      </c>
      <c r="K1244" s="29">
        <v>0.21091659302049001</v>
      </c>
    </row>
    <row r="1245" spans="1:11" x14ac:dyDescent="0.35">
      <c r="A1245" s="9" t="str">
        <f>HYPERLINK("http://www.ensembl.org/id/WBGene00019792", "WBGene00019792")</f>
        <v>WBGene00019792</v>
      </c>
      <c r="B1245" s="9" t="str">
        <f>HYPERLINK("http://www.ncbi.nlm.nih.gov/gene/177642", "177642")</f>
        <v>177642</v>
      </c>
      <c r="C1245" s="9"/>
      <c r="D1245" t="str">
        <f>"M116.5"</f>
        <v>M116.5</v>
      </c>
      <c r="F1245" t="s">
        <v>11</v>
      </c>
      <c r="G1245" t="s">
        <v>1055</v>
      </c>
      <c r="H1245" s="12">
        <v>-2.1018057240696701</v>
      </c>
      <c r="I1245" s="20">
        <v>-2.5313705890326998</v>
      </c>
      <c r="J1245" s="28">
        <v>1.13617734991029E-2</v>
      </c>
      <c r="K1245" s="29">
        <v>0.21120284671783801</v>
      </c>
    </row>
    <row r="1246" spans="1:11" x14ac:dyDescent="0.35">
      <c r="A1246" s="9" t="str">
        <f>HYPERLINK("http://www.ensembl.org/id/WBGene00016658", "WBGene00016658")</f>
        <v>WBGene00016658</v>
      </c>
      <c r="B1246" s="9" t="str">
        <f>HYPERLINK("http://www.ncbi.nlm.nih.gov/gene/180878", "180878")</f>
        <v>180878</v>
      </c>
      <c r="C1246" s="9"/>
      <c r="D1246" t="str">
        <f>"C45B2.1"</f>
        <v>C45B2.1</v>
      </c>
      <c r="F1246" t="s">
        <v>11</v>
      </c>
      <c r="H1246" s="12">
        <v>2.0657197688732598</v>
      </c>
      <c r="I1246" s="20">
        <v>2.5289069342285702</v>
      </c>
      <c r="J1246" s="28">
        <v>1.14418362053699E-2</v>
      </c>
      <c r="K1246" s="29">
        <v>0.21243939725781399</v>
      </c>
    </row>
    <row r="1247" spans="1:11" x14ac:dyDescent="0.35">
      <c r="A1247" s="9" t="str">
        <f>HYPERLINK("http://www.ensembl.org/id/WBGene00009529", "WBGene00009529")</f>
        <v>WBGene00009529</v>
      </c>
      <c r="B1247" s="9" t="str">
        <f>HYPERLINK("http://www.ncbi.nlm.nih.gov/gene/185449", "185449")</f>
        <v>185449</v>
      </c>
      <c r="C1247" s="9"/>
      <c r="D1247" t="str">
        <f>"F38B2.2"</f>
        <v>F38B2.2</v>
      </c>
      <c r="F1247" t="s">
        <v>11</v>
      </c>
      <c r="H1247" s="12">
        <v>2.7348769699428899</v>
      </c>
      <c r="I1247" s="20">
        <v>2.5287582928769901</v>
      </c>
      <c r="J1247" s="28">
        <v>1.14466826619051E-2</v>
      </c>
      <c r="K1247" s="29">
        <v>0.21243939725781399</v>
      </c>
    </row>
    <row r="1248" spans="1:11" x14ac:dyDescent="0.35">
      <c r="A1248" s="9" t="str">
        <f>HYPERLINK("http://www.ensembl.org/id/WBGene00020160", "WBGene00020160")</f>
        <v>WBGene00020160</v>
      </c>
      <c r="B1248" s="9" t="str">
        <f>HYPERLINK("http://www.ncbi.nlm.nih.gov/gene/180569", "180569")</f>
        <v>180569</v>
      </c>
      <c r="C1248" s="9"/>
      <c r="D1248" t="str">
        <f>"igcm-3"</f>
        <v>igcm-3</v>
      </c>
      <c r="E1248" t="s">
        <v>941</v>
      </c>
      <c r="F1248" t="s">
        <v>11</v>
      </c>
      <c r="G1248" t="s">
        <v>1056</v>
      </c>
      <c r="H1248" s="12">
        <v>1.6135302977085899</v>
      </c>
      <c r="I1248" s="20">
        <v>2.52832287913311</v>
      </c>
      <c r="J1248" s="28">
        <v>1.14608898303436E-2</v>
      </c>
      <c r="K1248" s="29">
        <v>0.21253235988757499</v>
      </c>
    </row>
    <row r="1249" spans="1:11" x14ac:dyDescent="0.35">
      <c r="A1249" s="9" t="str">
        <f>HYPERLINK("http://www.ensembl.org/id/WBGene00004773", "WBGene00004773")</f>
        <v>WBGene00004773</v>
      </c>
      <c r="B1249" s="9" t="str">
        <f>HYPERLINK("http://www.ncbi.nlm.nih.gov/gene/172435", "172435")</f>
        <v>172435</v>
      </c>
      <c r="C1249" s="9"/>
      <c r="D1249" t="str">
        <f>"sem-4"</f>
        <v>sem-4</v>
      </c>
      <c r="E1249" t="s">
        <v>1057</v>
      </c>
      <c r="F1249" t="s">
        <v>11</v>
      </c>
      <c r="G1249" t="s">
        <v>1058</v>
      </c>
      <c r="H1249" s="12">
        <v>1.6835892563038599</v>
      </c>
      <c r="I1249" s="20">
        <v>2.5274137434415498</v>
      </c>
      <c r="J1249" s="28">
        <v>1.1490604596286501E-2</v>
      </c>
      <c r="K1249" s="29">
        <v>0.212912517884359</v>
      </c>
    </row>
    <row r="1250" spans="1:11" x14ac:dyDescent="0.35">
      <c r="A1250" s="9" t="str">
        <f>HYPERLINK("http://www.ensembl.org/id/WBGene00008579", "WBGene00008579")</f>
        <v>WBGene00008579</v>
      </c>
      <c r="B1250" s="9" t="str">
        <f>HYPERLINK("http://www.ncbi.nlm.nih.gov/gene/184202", "184202")</f>
        <v>184202</v>
      </c>
      <c r="C1250" s="9"/>
      <c r="D1250" t="str">
        <f>"F08G2.8"</f>
        <v>F08G2.8</v>
      </c>
      <c r="F1250" t="s">
        <v>11</v>
      </c>
      <c r="H1250" s="12">
        <v>2.25340932820315</v>
      </c>
      <c r="I1250" s="20">
        <v>2.5268310046681899</v>
      </c>
      <c r="J1250" s="28">
        <v>1.1509687140270701E-2</v>
      </c>
      <c r="K1250" s="29">
        <v>0.21309521719799299</v>
      </c>
    </row>
    <row r="1251" spans="1:11" x14ac:dyDescent="0.35">
      <c r="A1251" s="9" t="str">
        <f>HYPERLINK("http://www.ensembl.org/id/WBGene00020887", "WBGene00020887")</f>
        <v>WBGene00020887</v>
      </c>
      <c r="B1251" s="9" t="str">
        <f>HYPERLINK("http://www.ncbi.nlm.nih.gov/gene/189029", "189029")</f>
        <v>189029</v>
      </c>
      <c r="C1251" s="9"/>
      <c r="D1251" t="str">
        <f>"hic-1"</f>
        <v>hic-1</v>
      </c>
      <c r="F1251" t="s">
        <v>11</v>
      </c>
      <c r="G1251" t="s">
        <v>25</v>
      </c>
      <c r="H1251" s="12">
        <v>1.8413305955125401</v>
      </c>
      <c r="I1251" s="20">
        <v>2.5258016711535398</v>
      </c>
      <c r="J1251" s="28">
        <v>1.1543462737423E-2</v>
      </c>
      <c r="K1251" s="29">
        <v>0.21354943956036601</v>
      </c>
    </row>
    <row r="1252" spans="1:11" x14ac:dyDescent="0.35">
      <c r="A1252" s="9" t="str">
        <f>HYPERLINK("http://www.ensembl.org/id/WBGene00017643", "WBGene00017643")</f>
        <v>WBGene00017643</v>
      </c>
      <c r="B1252" s="9" t="str">
        <f>HYPERLINK("http://www.ncbi.nlm.nih.gov/gene/177587", "177587")</f>
        <v>177587</v>
      </c>
      <c r="C1252" s="9" t="str">
        <f>HYPERLINK("http://www.ncbi.nlm.nih.gov/gene/9183", "9183")</f>
        <v>9183</v>
      </c>
      <c r="D1252" t="str">
        <f>"czw-1"</f>
        <v>czw-1</v>
      </c>
      <c r="E1252" t="s">
        <v>1060</v>
      </c>
      <c r="F1252" t="s">
        <v>11</v>
      </c>
      <c r="G1252" t="s">
        <v>1061</v>
      </c>
      <c r="H1252" s="12">
        <v>-1.63035823334018</v>
      </c>
      <c r="I1252" s="20">
        <v>-2.5248849678384699</v>
      </c>
      <c r="J1252" s="28">
        <v>1.1573616607516501E-2</v>
      </c>
      <c r="K1252" s="29">
        <v>0.21376497628559199</v>
      </c>
    </row>
    <row r="1253" spans="1:11" x14ac:dyDescent="0.35">
      <c r="A1253" s="9" t="str">
        <f>HYPERLINK("http://www.ensembl.org/id/WBGene00003769", "WBGene00003769")</f>
        <v>WBGene00003769</v>
      </c>
      <c r="B1253" s="9" t="str">
        <f>HYPERLINK("http://www.ncbi.nlm.nih.gov/gene/178804", "178804")</f>
        <v>178804</v>
      </c>
      <c r="C1253" s="9"/>
      <c r="D1253" t="str">
        <f>"nlp-31"</f>
        <v>nlp-31</v>
      </c>
      <c r="E1253" t="s">
        <v>1059</v>
      </c>
      <c r="F1253" t="s">
        <v>11</v>
      </c>
      <c r="H1253" s="12">
        <v>1.87818430409296</v>
      </c>
      <c r="I1253" s="20">
        <v>2.5249445938803499</v>
      </c>
      <c r="J1253" s="28">
        <v>1.1571653156307401E-2</v>
      </c>
      <c r="K1253" s="29">
        <v>0.21376497628559199</v>
      </c>
    </row>
    <row r="1254" spans="1:11" x14ac:dyDescent="0.35">
      <c r="A1254" s="9" t="str">
        <f>HYPERLINK("http://www.ensembl.org/id/WBGene00008840", "WBGene00008840")</f>
        <v>WBGene00008840</v>
      </c>
      <c r="B1254" s="9" t="str">
        <f>HYPERLINK("http://www.ncbi.nlm.nih.gov/gene/174886", "174886")</f>
        <v>174886</v>
      </c>
      <c r="C1254" s="9"/>
      <c r="D1254" t="str">
        <f>"F15A4.5"</f>
        <v>F15A4.5</v>
      </c>
      <c r="F1254" t="s">
        <v>11</v>
      </c>
      <c r="G1254" t="s">
        <v>25</v>
      </c>
      <c r="H1254" s="12">
        <v>2.4809482234312301</v>
      </c>
      <c r="I1254" s="20">
        <v>2.5236881044061699</v>
      </c>
      <c r="J1254" s="28">
        <v>1.16130912031776E-2</v>
      </c>
      <c r="K1254" s="29">
        <v>0.21398092929874199</v>
      </c>
    </row>
    <row r="1255" spans="1:11" x14ac:dyDescent="0.35">
      <c r="A1255" s="9" t="str">
        <f>HYPERLINK("http://www.ensembl.org/id/WBGene00020326", "WBGene00020326")</f>
        <v>WBGene00020326</v>
      </c>
      <c r="B1255" s="9" t="str">
        <f>HYPERLINK("http://www.ncbi.nlm.nih.gov/gene/188249", "188249")</f>
        <v>188249</v>
      </c>
      <c r="C1255" s="9"/>
      <c r="D1255" t="str">
        <f>"math-38"</f>
        <v>math-38</v>
      </c>
      <c r="E1255" t="s">
        <v>596</v>
      </c>
      <c r="F1255" t="s">
        <v>11</v>
      </c>
      <c r="G1255" t="s">
        <v>1063</v>
      </c>
      <c r="H1255" s="12">
        <v>-1.89976811871415</v>
      </c>
      <c r="I1255" s="20">
        <v>-2.52409633137367</v>
      </c>
      <c r="J1255" s="28">
        <v>1.1599613778581701E-2</v>
      </c>
      <c r="K1255" s="29">
        <v>0.21398092929874199</v>
      </c>
    </row>
    <row r="1256" spans="1:11" x14ac:dyDescent="0.35">
      <c r="A1256" s="9" t="str">
        <f>HYPERLINK("http://www.ensembl.org/id/WBGene00044489", "WBGene00044489")</f>
        <v>WBGene00044489</v>
      </c>
      <c r="B1256" s="9" t="str">
        <f>HYPERLINK("http://www.ncbi.nlm.nih.gov/gene/3896803", "3896803")</f>
        <v>3896803</v>
      </c>
      <c r="C1256" s="9"/>
      <c r="D1256" t="str">
        <f>"pudl-1"</f>
        <v>pudl-1</v>
      </c>
      <c r="E1256" t="s">
        <v>1062</v>
      </c>
      <c r="F1256" t="s">
        <v>11</v>
      </c>
      <c r="H1256" s="12">
        <v>2.7099044225328899</v>
      </c>
      <c r="I1256" s="20">
        <v>2.5238822845845599</v>
      </c>
      <c r="J1256" s="28">
        <v>1.16066787027035E-2</v>
      </c>
      <c r="K1256" s="29">
        <v>0.21398092929874199</v>
      </c>
    </row>
    <row r="1257" spans="1:11" x14ac:dyDescent="0.35">
      <c r="A1257" s="9" t="str">
        <f>HYPERLINK("http://www.ensembl.org/id/WBGene00007138", "WBGene00007138")</f>
        <v>WBGene00007138</v>
      </c>
      <c r="B1257" s="9" t="str">
        <f>HYPERLINK("http://www.ncbi.nlm.nih.gov/gene/175563", "175563")</f>
        <v>175563</v>
      </c>
      <c r="C1257" s="9" t="str">
        <f>HYPERLINK("http://www.ncbi.nlm.nih.gov/gene/64849", "64849")</f>
        <v>64849</v>
      </c>
      <c r="D1257" t="str">
        <f>"B0285.6"</f>
        <v>B0285.6</v>
      </c>
      <c r="E1257" t="s">
        <v>1064</v>
      </c>
      <c r="F1257" t="s">
        <v>11</v>
      </c>
      <c r="G1257" t="s">
        <v>1065</v>
      </c>
      <c r="H1257" s="12">
        <v>4.1134266180384103</v>
      </c>
      <c r="I1257" s="20">
        <v>2.52311134233006</v>
      </c>
      <c r="J1257" s="28">
        <v>1.1632156418261199E-2</v>
      </c>
      <c r="K1257" s="29">
        <v>0.2139972170127</v>
      </c>
    </row>
    <row r="1258" spans="1:11" x14ac:dyDescent="0.35">
      <c r="A1258" s="9" t="str">
        <f>HYPERLINK("http://www.ensembl.org/id/WBGene00021039", "WBGene00021039")</f>
        <v>WBGene00021039</v>
      </c>
      <c r="B1258" s="9" t="str">
        <f>HYPERLINK("http://www.ncbi.nlm.nih.gov/gene/189218", "189218")</f>
        <v>189218</v>
      </c>
      <c r="C1258" s="9"/>
      <c r="D1258" t="str">
        <f>"W05F2.7"</f>
        <v>W05F2.7</v>
      </c>
      <c r="F1258" t="s">
        <v>11</v>
      </c>
      <c r="H1258" s="12">
        <v>1.9020654440270499</v>
      </c>
      <c r="I1258" s="20">
        <v>2.5231010088664698</v>
      </c>
      <c r="J1258" s="28">
        <v>1.1632498250149399E-2</v>
      </c>
      <c r="K1258" s="29">
        <v>0.2139972170127</v>
      </c>
    </row>
    <row r="1259" spans="1:11" x14ac:dyDescent="0.35">
      <c r="A1259" s="9" t="str">
        <f>HYPERLINK("http://www.ensembl.org/id/WBGene00017964", "WBGene00017964")</f>
        <v>WBGene00017964</v>
      </c>
      <c r="B1259" s="9" t="str">
        <f>HYPERLINK("http://www.ncbi.nlm.nih.gov/gene/185179", "185179")</f>
        <v>185179</v>
      </c>
      <c r="C1259" s="9"/>
      <c r="D1259" t="str">
        <f>"F31F7.1"</f>
        <v>F31F7.1</v>
      </c>
      <c r="F1259" t="s">
        <v>11</v>
      </c>
      <c r="G1259" t="s">
        <v>1066</v>
      </c>
      <c r="H1259" s="12">
        <v>-1.59016698705132</v>
      </c>
      <c r="I1259" s="20">
        <v>-2.5223206450106601</v>
      </c>
      <c r="J1259" s="28">
        <v>1.1658338519896901E-2</v>
      </c>
      <c r="K1259" s="29">
        <v>0.21430196486932199</v>
      </c>
    </row>
    <row r="1260" spans="1:11" x14ac:dyDescent="0.35">
      <c r="A1260" s="9" t="str">
        <f>HYPERLINK("http://www.ensembl.org/id/WBGene00195176", "WBGene00195176")</f>
        <v>WBGene00195176</v>
      </c>
      <c r="B1260" s="9" t="str">
        <f>HYPERLINK("http://www.ncbi.nlm.nih.gov/gene/13218536", "13218536")</f>
        <v>13218536</v>
      </c>
      <c r="C1260" s="9"/>
      <c r="D1260" t="str">
        <f>"Y43F8B.24"</f>
        <v>Y43F8B.24</v>
      </c>
      <c r="F1260" t="s">
        <v>11</v>
      </c>
      <c r="H1260" s="12">
        <v>-2.1569404324168602</v>
      </c>
      <c r="I1260" s="20">
        <v>-2.5209111169871501</v>
      </c>
      <c r="J1260" s="28">
        <v>1.17051414569047E-2</v>
      </c>
      <c r="K1260" s="29">
        <v>0.214991254772051</v>
      </c>
    </row>
    <row r="1261" spans="1:11" x14ac:dyDescent="0.35">
      <c r="A1261" s="9" t="str">
        <f>HYPERLINK("http://www.ensembl.org/id/WBGene00000722", "WBGene00000722")</f>
        <v>WBGene00000722</v>
      </c>
      <c r="B1261" s="9" t="str">
        <f>HYPERLINK("http://www.ncbi.nlm.nih.gov/gene/179431", "179431")</f>
        <v>179431</v>
      </c>
      <c r="C1261" s="9"/>
      <c r="D1261" t="str">
        <f>"col-149"</f>
        <v>col-149</v>
      </c>
      <c r="E1261" t="s">
        <v>40</v>
      </c>
      <c r="F1261" t="s">
        <v>11</v>
      </c>
      <c r="G1261" t="s">
        <v>41</v>
      </c>
      <c r="H1261" s="12">
        <v>3.1295692433002502</v>
      </c>
      <c r="I1261" s="20">
        <v>2.5196340232718102</v>
      </c>
      <c r="J1261" s="28">
        <v>1.17476907966445E-2</v>
      </c>
      <c r="K1261" s="29">
        <v>0.21551778718817899</v>
      </c>
    </row>
    <row r="1262" spans="1:11" x14ac:dyDescent="0.35">
      <c r="A1262" s="9" t="str">
        <f>HYPERLINK("http://www.ensembl.org/id/WBGene00012114", "WBGene00012114")</f>
        <v>WBGene00012114</v>
      </c>
      <c r="B1262" s="9" t="str">
        <f>HYPERLINK("http://www.ncbi.nlm.nih.gov/gene/189032", "189032")</f>
        <v>189032</v>
      </c>
      <c r="C1262" s="9"/>
      <c r="D1262" t="str">
        <f>"T28B8.3"</f>
        <v>T28B8.3</v>
      </c>
      <c r="F1262" t="s">
        <v>11</v>
      </c>
      <c r="G1262" t="s">
        <v>1067</v>
      </c>
      <c r="H1262" s="12">
        <v>3.8927318027089401</v>
      </c>
      <c r="I1262" s="20">
        <v>2.5194910420539198</v>
      </c>
      <c r="J1262" s="28">
        <v>1.17524630769976E-2</v>
      </c>
      <c r="K1262" s="29">
        <v>0.21551778718817899</v>
      </c>
    </row>
    <row r="1263" spans="1:11" x14ac:dyDescent="0.35">
      <c r="A1263" s="9" t="str">
        <f>HYPERLINK("http://www.ensembl.org/id/WBGene00000425", "WBGene00000425")</f>
        <v>WBGene00000425</v>
      </c>
      <c r="B1263" s="9" t="str">
        <f>HYPERLINK("http://www.ncbi.nlm.nih.gov/gene/176288", "176288")</f>
        <v>176288</v>
      </c>
      <c r="C1263" s="9"/>
      <c r="D1263" t="str">
        <f>"ced-11"</f>
        <v>ced-11</v>
      </c>
      <c r="F1263" t="s">
        <v>11</v>
      </c>
      <c r="H1263" s="12">
        <v>1.8615656710119399</v>
      </c>
      <c r="I1263" s="20">
        <v>2.5156871442517899</v>
      </c>
      <c r="J1263" s="28">
        <v>1.1880058691628099E-2</v>
      </c>
      <c r="K1263" s="29">
        <v>0.21751238995939701</v>
      </c>
    </row>
    <row r="1264" spans="1:11" x14ac:dyDescent="0.35">
      <c r="A1264" s="9" t="str">
        <f>HYPERLINK("http://www.ensembl.org/id/WBGene00006064", "WBGene00006064")</f>
        <v>WBGene00006064</v>
      </c>
      <c r="B1264" s="9" t="str">
        <f>HYPERLINK("http://www.ncbi.nlm.nih.gov/gene/180802", "180802")</f>
        <v>180802</v>
      </c>
      <c r="C1264" s="9" t="str">
        <f>HYPERLINK("http://www.ncbi.nlm.nih.gov/gene/2040", "2040")</f>
        <v>2040</v>
      </c>
      <c r="D1264" t="str">
        <f>"sto-2"</f>
        <v>sto-2</v>
      </c>
      <c r="E1264" t="s">
        <v>1068</v>
      </c>
      <c r="F1264" t="s">
        <v>11</v>
      </c>
      <c r="G1264" t="s">
        <v>372</v>
      </c>
      <c r="H1264" s="12">
        <v>2.16566102163865</v>
      </c>
      <c r="I1264" s="20">
        <v>2.5157374759998898</v>
      </c>
      <c r="J1264" s="28">
        <v>1.18783624067611E-2</v>
      </c>
      <c r="K1264" s="29">
        <v>0.21751238995939701</v>
      </c>
    </row>
    <row r="1265" spans="1:11" x14ac:dyDescent="0.35">
      <c r="A1265" s="9" t="str">
        <f>HYPERLINK("http://www.ensembl.org/id/WBGene00008415", "WBGene00008415")</f>
        <v>WBGene00008415</v>
      </c>
      <c r="B1265" s="9" t="str">
        <f>HYPERLINK("http://www.ncbi.nlm.nih.gov/gene/172514", "172514")</f>
        <v>172514</v>
      </c>
      <c r="C1265" s="9" t="str">
        <f>HYPERLINK("http://www.ncbi.nlm.nih.gov/gene/84693", "84693")</f>
        <v>84693</v>
      </c>
      <c r="D1265" t="str">
        <f>"mce-1"</f>
        <v>mce-1</v>
      </c>
      <c r="E1265" t="s">
        <v>1069</v>
      </c>
      <c r="F1265" t="s">
        <v>11</v>
      </c>
      <c r="G1265" t="s">
        <v>1070</v>
      </c>
      <c r="H1265" s="12">
        <v>-1.6151573341488099</v>
      </c>
      <c r="I1265" s="20">
        <v>-2.5147435950611801</v>
      </c>
      <c r="J1265" s="28">
        <v>1.1911898048652499E-2</v>
      </c>
      <c r="K1265" s="29">
        <v>0.21782649007532201</v>
      </c>
    </row>
    <row r="1266" spans="1:11" x14ac:dyDescent="0.35">
      <c r="A1266" s="9" t="str">
        <f>HYPERLINK("http://www.ensembl.org/id/WBGene00003815", "WBGene00003815")</f>
        <v>WBGene00003815</v>
      </c>
      <c r="B1266" s="9" t="str">
        <f>HYPERLINK("http://www.ncbi.nlm.nih.gov/gene/172442", "172442")</f>
        <v>172442</v>
      </c>
      <c r="C1266" s="9" t="str">
        <f>HYPERLINK("http://www.ncbi.nlm.nih.gov/gene/4677", "4677")</f>
        <v>4677</v>
      </c>
      <c r="D1266" t="str">
        <f>"nars-1"</f>
        <v>nars-1</v>
      </c>
      <c r="E1266" t="s">
        <v>1071</v>
      </c>
      <c r="F1266" t="s">
        <v>11</v>
      </c>
      <c r="G1266" t="s">
        <v>1072</v>
      </c>
      <c r="H1266" s="12">
        <v>-1.62219520415866</v>
      </c>
      <c r="I1266" s="20">
        <v>-2.5146201647385702</v>
      </c>
      <c r="J1266" s="28">
        <v>1.1916068703159701E-2</v>
      </c>
      <c r="K1266" s="29">
        <v>0.21782649007532201</v>
      </c>
    </row>
    <row r="1267" spans="1:11" x14ac:dyDescent="0.35">
      <c r="A1267" s="9" t="str">
        <f>HYPERLINK("http://www.ensembl.org/id/WBGene00003664", "WBGene00003664")</f>
        <v>WBGene00003664</v>
      </c>
      <c r="B1267" s="9" t="str">
        <f>HYPERLINK("http://www.ncbi.nlm.nih.gov/gene/191723", "191723")</f>
        <v>191723</v>
      </c>
      <c r="C1267" s="9"/>
      <c r="D1267" t="str">
        <f>"nhr-74"</f>
        <v>nhr-74</v>
      </c>
      <c r="E1267" t="s">
        <v>637</v>
      </c>
      <c r="F1267" t="s">
        <v>11</v>
      </c>
      <c r="G1267" t="s">
        <v>1073</v>
      </c>
      <c r="H1267" s="12">
        <v>4.5721134841306004</v>
      </c>
      <c r="I1267" s="20">
        <v>2.51367591552791</v>
      </c>
      <c r="J1267" s="28">
        <v>1.19480173167517E-2</v>
      </c>
      <c r="K1267" s="29">
        <v>0.21823785622202699</v>
      </c>
    </row>
    <row r="1268" spans="1:11" x14ac:dyDescent="0.35">
      <c r="A1268" s="9" t="str">
        <f>HYPERLINK("http://www.ensembl.org/id/WBGene00012672", "WBGene00012672")</f>
        <v>WBGene00012672</v>
      </c>
      <c r="B1268" s="9" t="str">
        <f>HYPERLINK("http://www.ncbi.nlm.nih.gov/gene/180258", "180258")</f>
        <v>180258</v>
      </c>
      <c r="C1268" s="9"/>
      <c r="D1268" t="str">
        <f>"Y39B6A.10"</f>
        <v>Y39B6A.10</v>
      </c>
      <c r="F1268" t="s">
        <v>11</v>
      </c>
      <c r="G1268" t="s">
        <v>25</v>
      </c>
      <c r="H1268" s="12">
        <v>-1.8161162421017101</v>
      </c>
      <c r="I1268" s="20">
        <v>-2.51144958580121</v>
      </c>
      <c r="J1268" s="28">
        <v>1.2023645847485999E-2</v>
      </c>
      <c r="K1268" s="29">
        <v>0.21944578274250501</v>
      </c>
    </row>
    <row r="1269" spans="1:11" x14ac:dyDescent="0.35">
      <c r="A1269" s="9" t="str">
        <f>HYPERLINK("http://www.ensembl.org/id/WBGene00000528", "WBGene00000528")</f>
        <v>WBGene00000528</v>
      </c>
      <c r="B1269" s="9" t="str">
        <f>HYPERLINK("http://www.ncbi.nlm.nih.gov/gene/174821", "174821")</f>
        <v>174821</v>
      </c>
      <c r="C1269" s="9"/>
      <c r="D1269" t="str">
        <f>"clh-1"</f>
        <v>clh-1</v>
      </c>
      <c r="E1269" t="s">
        <v>1074</v>
      </c>
      <c r="F1269" t="s">
        <v>11</v>
      </c>
      <c r="G1269" t="s">
        <v>1075</v>
      </c>
      <c r="H1269" s="12">
        <v>1.6502272769323201</v>
      </c>
      <c r="I1269" s="20">
        <v>2.51010681944731</v>
      </c>
      <c r="J1269" s="28">
        <v>1.20694645638811E-2</v>
      </c>
      <c r="K1269" s="29">
        <v>0.21969228540246799</v>
      </c>
    </row>
    <row r="1270" spans="1:11" x14ac:dyDescent="0.35">
      <c r="A1270" s="9" t="str">
        <f>HYPERLINK("http://www.ensembl.org/id/WBGene00001449", "WBGene00001449")</f>
        <v>WBGene00001449</v>
      </c>
      <c r="B1270" s="9" t="str">
        <f>HYPERLINK("http://www.ncbi.nlm.nih.gov/gene/179327", "179327")</f>
        <v>179327</v>
      </c>
      <c r="C1270" s="9"/>
      <c r="D1270" t="str">
        <f>"flp-6"</f>
        <v>flp-6</v>
      </c>
      <c r="E1270" t="s">
        <v>1076</v>
      </c>
      <c r="F1270" t="s">
        <v>11</v>
      </c>
      <c r="G1270" t="s">
        <v>77</v>
      </c>
      <c r="H1270" s="12">
        <v>1.5914880397334401</v>
      </c>
      <c r="I1270" s="20">
        <v>2.5099395213948399</v>
      </c>
      <c r="J1270" s="28">
        <v>1.20751840414236E-2</v>
      </c>
      <c r="K1270" s="29">
        <v>0.21969228540246799</v>
      </c>
    </row>
    <row r="1271" spans="1:11" x14ac:dyDescent="0.35">
      <c r="A1271" s="9" t="str">
        <f>HYPERLINK("http://www.ensembl.org/id/WBGene00020700", "WBGene00020700")</f>
        <v>WBGene00020700</v>
      </c>
      <c r="B1271" s="9" t="str">
        <f>HYPERLINK("http://www.ncbi.nlm.nih.gov/gene/178782", "178782")</f>
        <v>178782</v>
      </c>
      <c r="C1271" s="9"/>
      <c r="D1271" t="str">
        <f>"T22F3.11"</f>
        <v>T22F3.11</v>
      </c>
      <c r="F1271" t="s">
        <v>11</v>
      </c>
      <c r="G1271" t="s">
        <v>230</v>
      </c>
      <c r="H1271" s="12">
        <v>-2.0067778137509502</v>
      </c>
      <c r="I1271" s="20">
        <v>-2.5099500440928302</v>
      </c>
      <c r="J1271" s="28">
        <v>1.2074824227449999E-2</v>
      </c>
      <c r="K1271" s="29">
        <v>0.21969228540246799</v>
      </c>
    </row>
    <row r="1272" spans="1:11" x14ac:dyDescent="0.35">
      <c r="A1272" s="9" t="str">
        <f>HYPERLINK("http://www.ensembl.org/id/WBGene00021274", "WBGene00021274")</f>
        <v>WBGene00021274</v>
      </c>
      <c r="B1272" s="9" t="str">
        <f>HYPERLINK("http://www.ncbi.nlm.nih.gov/gene/189526", "189526")</f>
        <v>189526</v>
      </c>
      <c r="C1272" s="9"/>
      <c r="D1272" t="str">
        <f>"Y23H5B.3"</f>
        <v>Y23H5B.3</v>
      </c>
      <c r="F1272" t="s">
        <v>11</v>
      </c>
      <c r="H1272" s="12">
        <v>2.8200257453565198</v>
      </c>
      <c r="I1272" s="20">
        <v>2.5105722248042102</v>
      </c>
      <c r="J1272" s="28">
        <v>1.20535662159813E-2</v>
      </c>
      <c r="K1272" s="29">
        <v>0.21969228540246799</v>
      </c>
    </row>
    <row r="1273" spans="1:11" x14ac:dyDescent="0.35">
      <c r="A1273" s="9" t="str">
        <f>HYPERLINK("http://www.ensembl.org/id/WBGene00022076", "WBGene00022076")</f>
        <v>WBGene00022076</v>
      </c>
      <c r="B1273" s="9" t="str">
        <f>HYPERLINK("http://www.ncbi.nlm.nih.gov/gene/3565775", "3565775")</f>
        <v>3565775</v>
      </c>
      <c r="C1273" s="9" t="str">
        <f>HYPERLINK("http://www.ncbi.nlm.nih.gov/gene/8528", "8528")</f>
        <v>8528</v>
      </c>
      <c r="D1273" t="str">
        <f>"daao-1"</f>
        <v>daao-1</v>
      </c>
      <c r="E1273" t="s">
        <v>1077</v>
      </c>
      <c r="F1273" t="s">
        <v>11</v>
      </c>
      <c r="G1273" t="s">
        <v>1078</v>
      </c>
      <c r="H1273" s="12">
        <v>-1.8763001520081799</v>
      </c>
      <c r="I1273" s="20">
        <v>-2.50965029751766</v>
      </c>
      <c r="J1273" s="28">
        <v>1.2085077506756201E-2</v>
      </c>
      <c r="K1273" s="29">
        <v>0.21969929258151799</v>
      </c>
    </row>
    <row r="1274" spans="1:11" x14ac:dyDescent="0.35">
      <c r="A1274" s="9" t="str">
        <f>HYPERLINK("http://www.ensembl.org/id/WBGene00008603", "WBGene00008603")</f>
        <v>WBGene00008603</v>
      </c>
      <c r="B1274" s="9" t="str">
        <f>HYPERLINK("http://www.ncbi.nlm.nih.gov/gene/184221", "184221")</f>
        <v>184221</v>
      </c>
      <c r="C1274" s="9"/>
      <c r="D1274" t="str">
        <f>"F09B9.4"</f>
        <v>F09B9.4</v>
      </c>
      <c r="F1274" t="s">
        <v>11</v>
      </c>
      <c r="H1274" s="12">
        <v>-1.7151002467101899</v>
      </c>
      <c r="I1274" s="20">
        <v>-2.5091335045333101</v>
      </c>
      <c r="J1274" s="28">
        <v>1.21027733050528E-2</v>
      </c>
      <c r="K1274" s="29">
        <v>0.219823926959791</v>
      </c>
    </row>
    <row r="1275" spans="1:11" x14ac:dyDescent="0.35">
      <c r="A1275" s="9" t="str">
        <f>HYPERLINK("http://www.ensembl.org/id/WBGene00002053", "WBGene00002053")</f>
        <v>WBGene00002053</v>
      </c>
      <c r="B1275" s="9" t="str">
        <f>HYPERLINK("http://www.ncbi.nlm.nih.gov/gene/173976", "173976")</f>
        <v>173976</v>
      </c>
      <c r="C1275" s="9" t="str">
        <f>HYPERLINK("http://www.ncbi.nlm.nih.gov/gene/84823", "84823")</f>
        <v>84823</v>
      </c>
      <c r="D1275" t="str">
        <f>"ifb-1"</f>
        <v>ifb-1</v>
      </c>
      <c r="E1275" t="s">
        <v>1079</v>
      </c>
      <c r="F1275" t="s">
        <v>11</v>
      </c>
      <c r="H1275" s="12">
        <v>1.61279009715357</v>
      </c>
      <c r="I1275" s="20">
        <v>2.5088946227893301</v>
      </c>
      <c r="J1275" s="28">
        <v>1.21109607469841E-2</v>
      </c>
      <c r="K1275" s="29">
        <v>0.219823926959791</v>
      </c>
    </row>
    <row r="1276" spans="1:11" x14ac:dyDescent="0.35">
      <c r="A1276" s="9" t="str">
        <f>HYPERLINK("http://www.ensembl.org/id/WBGene00021873", "WBGene00021873")</f>
        <v>WBGene00021873</v>
      </c>
      <c r="B1276" s="9" t="str">
        <f>HYPERLINK("http://www.ncbi.nlm.nih.gov/gene/177064", "177064")</f>
        <v>177064</v>
      </c>
      <c r="C1276" s="9"/>
      <c r="D1276" t="str">
        <f>"clec-82"</f>
        <v>clec-82</v>
      </c>
      <c r="E1276" t="s">
        <v>46</v>
      </c>
      <c r="F1276" t="s">
        <v>11</v>
      </c>
      <c r="G1276" t="s">
        <v>151</v>
      </c>
      <c r="H1276" s="12">
        <v>-1.98844673076476</v>
      </c>
      <c r="I1276" s="20">
        <v>-2.5083920524685999</v>
      </c>
      <c r="J1276" s="28">
        <v>1.2128201890240701E-2</v>
      </c>
      <c r="K1276" s="29">
        <v>0.219876434809158</v>
      </c>
    </row>
    <row r="1277" spans="1:11" x14ac:dyDescent="0.35">
      <c r="A1277" s="9" t="str">
        <f>HYPERLINK("http://www.ensembl.org/id/WBGene00022113", "WBGene00022113")</f>
        <v>WBGene00022113</v>
      </c>
      <c r="B1277" s="9" t="str">
        <f>HYPERLINK("http://www.ncbi.nlm.nih.gov/gene/171855", "171855")</f>
        <v>171855</v>
      </c>
      <c r="C1277" s="9"/>
      <c r="D1277" t="str">
        <f>"Y71F9AL.8"</f>
        <v>Y71F9AL.8</v>
      </c>
      <c r="F1277" t="s">
        <v>11</v>
      </c>
      <c r="H1277" s="12">
        <v>-2.2629138407749898</v>
      </c>
      <c r="I1277" s="20">
        <v>-2.5082556345121199</v>
      </c>
      <c r="J1277" s="28">
        <v>1.21328855873659E-2</v>
      </c>
      <c r="K1277" s="29">
        <v>0.219876434809158</v>
      </c>
    </row>
    <row r="1278" spans="1:11" x14ac:dyDescent="0.35">
      <c r="A1278" s="9" t="str">
        <f>HYPERLINK("http://www.ensembl.org/id/WBGene00000906", "WBGene00000906")</f>
        <v>WBGene00000906</v>
      </c>
      <c r="B1278" s="9" t="str">
        <f>HYPERLINK("http://www.ncbi.nlm.nih.gov/gene/184883", "184883")</f>
        <v>184883</v>
      </c>
      <c r="C1278" s="9" t="str">
        <f>HYPERLINK("http://www.ncbi.nlm.nih.gov/gene/55764", "55764")</f>
        <v>55764</v>
      </c>
      <c r="D1278" t="str">
        <f>"daf-10"</f>
        <v>daf-10</v>
      </c>
      <c r="E1278" t="s">
        <v>1080</v>
      </c>
      <c r="F1278" t="s">
        <v>11</v>
      </c>
      <c r="G1278" t="s">
        <v>1081</v>
      </c>
      <c r="H1278" s="12">
        <v>2.29319275720355</v>
      </c>
      <c r="I1278" s="20">
        <v>2.5070049716076301</v>
      </c>
      <c r="J1278" s="28">
        <v>1.2175899909663E-2</v>
      </c>
      <c r="K1278" s="29">
        <v>0.220483027674508</v>
      </c>
    </row>
    <row r="1279" spans="1:11" x14ac:dyDescent="0.35">
      <c r="A1279" s="9" t="str">
        <f>HYPERLINK("http://www.ensembl.org/id/WBGene00017616", "WBGene00017616")</f>
        <v>WBGene00017616</v>
      </c>
      <c r="B1279" s="9" t="str">
        <f>HYPERLINK("http://www.ncbi.nlm.nih.gov/gene/179086", "179086")</f>
        <v>179086</v>
      </c>
      <c r="C1279" s="9"/>
      <c r="D1279" t="str">
        <f>"F20A1.4"</f>
        <v>F20A1.4</v>
      </c>
      <c r="F1279" t="s">
        <v>11</v>
      </c>
      <c r="G1279" t="s">
        <v>25</v>
      </c>
      <c r="H1279" s="12">
        <v>3.9770446243261199</v>
      </c>
      <c r="I1279" s="20">
        <v>2.50671645236373</v>
      </c>
      <c r="J1279" s="28">
        <v>1.21858421774083E-2</v>
      </c>
      <c r="K1279" s="29">
        <v>0.22049026574095301</v>
      </c>
    </row>
    <row r="1280" spans="1:11" x14ac:dyDescent="0.35">
      <c r="A1280" s="9" t="str">
        <f>HYPERLINK("http://www.ensembl.org/id/WBGene00001401", "WBGene00001401")</f>
        <v>WBGene00001401</v>
      </c>
      <c r="B1280" s="9" t="str">
        <f>HYPERLINK("http://www.ncbi.nlm.nih.gov/gene/174016", "174016")</f>
        <v>174016</v>
      </c>
      <c r="C1280" s="9"/>
      <c r="D1280" t="str">
        <f>"fbf-1"</f>
        <v>fbf-1</v>
      </c>
      <c r="E1280" t="s">
        <v>1084</v>
      </c>
      <c r="F1280" t="s">
        <v>11</v>
      </c>
      <c r="G1280" t="s">
        <v>35</v>
      </c>
      <c r="H1280" s="12">
        <v>-2.5235671084799201</v>
      </c>
      <c r="I1280" s="20">
        <v>-2.5047310961322702</v>
      </c>
      <c r="J1280" s="28">
        <v>1.22544521115349E-2</v>
      </c>
      <c r="K1280" s="29">
        <v>0.22121200819462999</v>
      </c>
    </row>
    <row r="1281" spans="1:11" x14ac:dyDescent="0.35">
      <c r="A1281" s="9" t="str">
        <f>HYPERLINK("http://www.ensembl.org/id/WBGene00004218", "WBGene00004218")</f>
        <v>WBGene00004218</v>
      </c>
      <c r="B1281" s="9" t="str">
        <f>HYPERLINK("http://www.ncbi.nlm.nih.gov/gene/173426", "173426")</f>
        <v>173426</v>
      </c>
      <c r="C1281" s="9"/>
      <c r="D1281" t="str">
        <f>"ptr-3"</f>
        <v>ptr-3</v>
      </c>
      <c r="E1281" t="s">
        <v>134</v>
      </c>
      <c r="F1281" t="s">
        <v>11</v>
      </c>
      <c r="G1281" t="s">
        <v>404</v>
      </c>
      <c r="H1281" s="12">
        <v>1.92911811545651</v>
      </c>
      <c r="I1281" s="20">
        <v>2.50509732042608</v>
      </c>
      <c r="J1281" s="28">
        <v>1.22417704490436E-2</v>
      </c>
      <c r="K1281" s="29">
        <v>0.22121200819462999</v>
      </c>
    </row>
    <row r="1282" spans="1:11" x14ac:dyDescent="0.35">
      <c r="A1282" s="9" t="str">
        <f>HYPERLINK("http://www.ensembl.org/id/WBGene00020094", "WBGene00020094")</f>
        <v>WBGene00020094</v>
      </c>
      <c r="B1282" s="9" t="str">
        <f>HYPERLINK("http://www.ncbi.nlm.nih.gov/gene/175681", "175681")</f>
        <v>175681</v>
      </c>
      <c r="C1282" s="9"/>
      <c r="D1282" t="str">
        <f>"wip-1"</f>
        <v>wip-1</v>
      </c>
      <c r="E1282" t="s">
        <v>1082</v>
      </c>
      <c r="F1282" t="s">
        <v>11</v>
      </c>
      <c r="G1282" t="s">
        <v>1083</v>
      </c>
      <c r="H1282" s="12">
        <v>-1.6204777208649199</v>
      </c>
      <c r="I1282" s="20">
        <v>-2.5047370778446099</v>
      </c>
      <c r="J1282" s="28">
        <v>1.22542448825532E-2</v>
      </c>
      <c r="K1282" s="29">
        <v>0.22121200819462999</v>
      </c>
    </row>
    <row r="1283" spans="1:11" x14ac:dyDescent="0.35">
      <c r="A1283" s="9" t="str">
        <f>HYPERLINK("http://www.ensembl.org/id/WBGene00013610", "WBGene00013610")</f>
        <v>WBGene00013610</v>
      </c>
      <c r="B1283" s="9" t="str">
        <f>HYPERLINK("http://www.ncbi.nlm.nih.gov/gene/180130", "180130")</f>
        <v>180130</v>
      </c>
      <c r="C1283" s="9"/>
      <c r="D1283" t="str">
        <f>"fbxa-206"</f>
        <v>fbxa-206</v>
      </c>
      <c r="E1283" t="s">
        <v>467</v>
      </c>
      <c r="F1283" t="s">
        <v>11</v>
      </c>
      <c r="G1283" t="s">
        <v>54</v>
      </c>
      <c r="H1283" s="12">
        <v>-1.99124541030378</v>
      </c>
      <c r="I1283" s="20">
        <v>-2.5043524728721298</v>
      </c>
      <c r="J1283" s="28">
        <v>1.2267575362999199E-2</v>
      </c>
      <c r="K1283" s="29">
        <v>0.22123443539432799</v>
      </c>
    </row>
    <row r="1284" spans="1:11" x14ac:dyDescent="0.35">
      <c r="A1284" s="9" t="str">
        <f>HYPERLINK("http://www.ensembl.org/id/WBGene00007358", "WBGene00007358")</f>
        <v>WBGene00007358</v>
      </c>
      <c r="B1284" s="9" t="str">
        <f>HYPERLINK("http://www.ncbi.nlm.nih.gov/gene/182288", "182288")</f>
        <v>182288</v>
      </c>
      <c r="C1284" s="9"/>
      <c r="D1284" t="str">
        <f>"lact-6"</f>
        <v>lact-6</v>
      </c>
      <c r="E1284" t="s">
        <v>1085</v>
      </c>
      <c r="F1284" t="s">
        <v>11</v>
      </c>
      <c r="H1284" s="12">
        <v>3.9821101327608299</v>
      </c>
      <c r="I1284" s="20">
        <v>2.5041429165321598</v>
      </c>
      <c r="J1284" s="28">
        <v>1.22748440307941E-2</v>
      </c>
      <c r="K1284" s="29">
        <v>0.22123443539432799</v>
      </c>
    </row>
    <row r="1285" spans="1:11" x14ac:dyDescent="0.35">
      <c r="A1285" s="9" t="str">
        <f>HYPERLINK("http://www.ensembl.org/id/WBGene00002247", "WBGene00002247")</f>
        <v>WBGene00002247</v>
      </c>
      <c r="B1285" s="9" t="str">
        <f>HYPERLINK("http://www.ncbi.nlm.nih.gov/gene/177292", "177292")</f>
        <v>177292</v>
      </c>
      <c r="C1285" s="9" t="str">
        <f>HYPERLINK("http://www.ncbi.nlm.nih.gov/gene/3913", "3913")</f>
        <v>3913</v>
      </c>
      <c r="D1285" t="str">
        <f>"lam-1"</f>
        <v>lam-1</v>
      </c>
      <c r="E1285" t="s">
        <v>1086</v>
      </c>
      <c r="F1285" t="s">
        <v>11</v>
      </c>
      <c r="G1285" t="s">
        <v>1087</v>
      </c>
      <c r="H1285" s="12">
        <v>1.5758845219423701</v>
      </c>
      <c r="I1285" s="20">
        <v>2.5011164603717901</v>
      </c>
      <c r="J1285" s="28">
        <v>1.2380245924965399E-2</v>
      </c>
      <c r="K1285" s="29">
        <v>0.22296022006410801</v>
      </c>
    </row>
    <row r="1286" spans="1:11" x14ac:dyDescent="0.35">
      <c r="A1286" s="9" t="str">
        <f>HYPERLINK("http://www.ensembl.org/id/WBGene00003185", "WBGene00003185")</f>
        <v>WBGene00003185</v>
      </c>
      <c r="B1286" s="9" t="str">
        <f>HYPERLINK("http://www.ncbi.nlm.nih.gov/gene/181004", "181004")</f>
        <v>181004</v>
      </c>
      <c r="C1286" s="9" t="str">
        <f>HYPERLINK("http://www.ncbi.nlm.nih.gov/gene/5609", "5609")</f>
        <v>5609</v>
      </c>
      <c r="D1286" t="str">
        <f>"mek-1"</f>
        <v>mek-1</v>
      </c>
      <c r="E1286" t="s">
        <v>1088</v>
      </c>
      <c r="F1286" t="s">
        <v>11</v>
      </c>
      <c r="G1286" t="s">
        <v>444</v>
      </c>
      <c r="H1286" s="12">
        <v>-1.5926678003796899</v>
      </c>
      <c r="I1286" s="20">
        <v>-2.4985083027192698</v>
      </c>
      <c r="J1286" s="28">
        <v>1.24717220980091E-2</v>
      </c>
      <c r="K1286" s="29">
        <v>0.22443271868893999</v>
      </c>
    </row>
    <row r="1287" spans="1:11" x14ac:dyDescent="0.35">
      <c r="A1287" s="9" t="str">
        <f>HYPERLINK("http://www.ensembl.org/id/WBGene00235316", "WBGene00235316")</f>
        <v>WBGene00235316</v>
      </c>
      <c r="B1287" s="9" t="str">
        <f>HYPERLINK("http://www.ncbi.nlm.nih.gov/gene/24104107", "24104107")</f>
        <v>24104107</v>
      </c>
      <c r="C1287" s="9"/>
      <c r="D1287" t="str">
        <f>"B0222.15"</f>
        <v>B0222.15</v>
      </c>
      <c r="F1287" t="s">
        <v>11</v>
      </c>
      <c r="G1287" t="s">
        <v>25</v>
      </c>
      <c r="H1287" s="12">
        <v>3.1663249684279902</v>
      </c>
      <c r="I1287" s="20">
        <v>2.4957612549431598</v>
      </c>
      <c r="J1287" s="28">
        <v>1.25687163112895E-2</v>
      </c>
      <c r="K1287" s="29">
        <v>0.224820867209891</v>
      </c>
    </row>
    <row r="1288" spans="1:11" x14ac:dyDescent="0.35">
      <c r="A1288" s="9" t="str">
        <f>HYPERLINK("http://www.ensembl.org/id/WBGene00015948", "WBGene00015948")</f>
        <v>WBGene00015948</v>
      </c>
      <c r="B1288" s="9" t="str">
        <f>HYPERLINK("http://www.ncbi.nlm.nih.gov/gene/182760", "182760")</f>
        <v>182760</v>
      </c>
      <c r="C1288" s="9"/>
      <c r="D1288" t="str">
        <f>"C18A11.2"</f>
        <v>C18A11.2</v>
      </c>
      <c r="F1288" t="s">
        <v>11</v>
      </c>
      <c r="H1288" s="12">
        <v>2.14451950074025</v>
      </c>
      <c r="I1288" s="20">
        <v>2.4965083993698198</v>
      </c>
      <c r="J1288" s="28">
        <v>1.2542269839967301E-2</v>
      </c>
      <c r="K1288" s="29">
        <v>0.224820867209891</v>
      </c>
    </row>
    <row r="1289" spans="1:11" x14ac:dyDescent="0.35">
      <c r="A1289" s="9" t="str">
        <f>HYPERLINK("http://www.ensembl.org/id/WBGene00016182", "WBGene00016182")</f>
        <v>WBGene00016182</v>
      </c>
      <c r="B1289" s="9" t="str">
        <f>HYPERLINK("http://www.ncbi.nlm.nih.gov/gene/177653", "177653")</f>
        <v>177653</v>
      </c>
      <c r="C1289" s="9"/>
      <c r="D1289" t="str">
        <f>"C28C12.12"</f>
        <v>C28C12.12</v>
      </c>
      <c r="F1289" t="s">
        <v>11</v>
      </c>
      <c r="H1289" s="12">
        <v>-1.71645704635772</v>
      </c>
      <c r="I1289" s="20">
        <v>-2.4956930972459701</v>
      </c>
      <c r="J1289" s="28">
        <v>1.25711313267195E-2</v>
      </c>
      <c r="K1289" s="29">
        <v>0.224820867209891</v>
      </c>
    </row>
    <row r="1290" spans="1:11" x14ac:dyDescent="0.35">
      <c r="A1290" s="9" t="str">
        <f>HYPERLINK("http://www.ensembl.org/id/WBGene00010179", "WBGene00010179")</f>
        <v>WBGene00010179</v>
      </c>
      <c r="B1290" s="9" t="str">
        <f>HYPERLINK("http://www.ncbi.nlm.nih.gov/gene/186430", "186430")</f>
        <v>186430</v>
      </c>
      <c r="C1290" s="9"/>
      <c r="D1290" t="str">
        <f>"F57A8.4"</f>
        <v>F57A8.4</v>
      </c>
      <c r="F1290" t="s">
        <v>11</v>
      </c>
      <c r="G1290" t="s">
        <v>1089</v>
      </c>
      <c r="H1290" s="12">
        <v>1.9733785072643999</v>
      </c>
      <c r="I1290" s="20">
        <v>2.49640567102167</v>
      </c>
      <c r="J1290" s="28">
        <v>1.25459031638263E-2</v>
      </c>
      <c r="K1290" s="29">
        <v>0.224820867209891</v>
      </c>
    </row>
    <row r="1291" spans="1:11" x14ac:dyDescent="0.35">
      <c r="A1291" s="9" t="str">
        <f>HYPERLINK("http://www.ensembl.org/id/WBGene00014164", "WBGene00014164")</f>
        <v>WBGene00014164</v>
      </c>
      <c r="B1291" s="9" t="str">
        <f>HYPERLINK("http://www.ncbi.nlm.nih.gov/gene/174570", "174570")</f>
        <v>174570</v>
      </c>
      <c r="C1291" s="9"/>
      <c r="D1291" t="str">
        <f>"lact-2"</f>
        <v>lact-2</v>
      </c>
      <c r="E1291" t="s">
        <v>1093</v>
      </c>
      <c r="F1291" t="s">
        <v>11</v>
      </c>
      <c r="H1291" s="12">
        <v>-1.75399385344407</v>
      </c>
      <c r="I1291" s="20">
        <v>-2.4959012859702701</v>
      </c>
      <c r="J1291" s="28">
        <v>1.25637559141469E-2</v>
      </c>
      <c r="K1291" s="29">
        <v>0.224820867209891</v>
      </c>
    </row>
    <row r="1292" spans="1:11" x14ac:dyDescent="0.35">
      <c r="A1292" s="9" t="str">
        <f>HYPERLINK("http://www.ensembl.org/id/WBGene00004422", "WBGene00004422")</f>
        <v>WBGene00004422</v>
      </c>
      <c r="B1292" s="9" t="str">
        <f>HYPERLINK("http://www.ncbi.nlm.nih.gov/gene/178778", "178778")</f>
        <v>178778</v>
      </c>
      <c r="C1292" s="9" t="str">
        <f>HYPERLINK("http://www.ncbi.nlm.nih.gov/gene/6135", "6135")</f>
        <v>6135</v>
      </c>
      <c r="D1292" t="str">
        <f>"rpl-11.1"</f>
        <v>rpl-11.1</v>
      </c>
      <c r="E1292" t="s">
        <v>1091</v>
      </c>
      <c r="F1292" t="s">
        <v>11</v>
      </c>
      <c r="G1292" t="s">
        <v>1092</v>
      </c>
      <c r="H1292" s="12">
        <v>-1.67458607331301</v>
      </c>
      <c r="I1292" s="20">
        <v>-2.49667436463035</v>
      </c>
      <c r="J1292" s="28">
        <v>1.25364019043901E-2</v>
      </c>
      <c r="K1292" s="29">
        <v>0.224820867209891</v>
      </c>
    </row>
    <row r="1293" spans="1:11" x14ac:dyDescent="0.35">
      <c r="A1293" s="9" t="str">
        <f>HYPERLINK("http://www.ensembl.org/id/WBGene00006444", "WBGene00006444")</f>
        <v>WBGene00006444</v>
      </c>
      <c r="B1293" s="9" t="str">
        <f>HYPERLINK("http://www.ncbi.nlm.nih.gov/gene/174739", "174739")</f>
        <v>174739</v>
      </c>
      <c r="C1293" s="9"/>
      <c r="D1293" t="str">
        <f>"shn-1"</f>
        <v>shn-1</v>
      </c>
      <c r="F1293" t="s">
        <v>11</v>
      </c>
      <c r="G1293" t="s">
        <v>1090</v>
      </c>
      <c r="H1293" s="12">
        <v>1.63533510979602</v>
      </c>
      <c r="I1293" s="20">
        <v>2.49615966786725</v>
      </c>
      <c r="J1293" s="28">
        <v>1.2554607657759599E-2</v>
      </c>
      <c r="K1293" s="29">
        <v>0.224820867209891</v>
      </c>
    </row>
    <row r="1294" spans="1:11" x14ac:dyDescent="0.35">
      <c r="A1294" s="9" t="str">
        <f>HYPERLINK("http://www.ensembl.org/id/WBGene00020218", "WBGene00020218")</f>
        <v>WBGene00020218</v>
      </c>
      <c r="B1294" s="9" t="str">
        <f>HYPERLINK("http://www.ncbi.nlm.nih.gov/gene/180424", "180424")</f>
        <v>180424</v>
      </c>
      <c r="C1294" s="9"/>
      <c r="D1294" t="str">
        <f>"T04G9.7"</f>
        <v>T04G9.7</v>
      </c>
      <c r="F1294" t="s">
        <v>11</v>
      </c>
      <c r="H1294" s="12">
        <v>-1.8533388501935499</v>
      </c>
      <c r="I1294" s="20">
        <v>-2.4961643678452399</v>
      </c>
      <c r="J1294" s="28">
        <v>1.25544413052079E-2</v>
      </c>
      <c r="K1294" s="29">
        <v>0.224820867209891</v>
      </c>
    </row>
    <row r="1295" spans="1:11" x14ac:dyDescent="0.35">
      <c r="A1295" s="9" t="str">
        <f>HYPERLINK("http://www.ensembl.org/id/WBGene00019803", "WBGene00019803")</f>
        <v>WBGene00019803</v>
      </c>
      <c r="B1295" s="9" t="str">
        <f>HYPERLINK("http://www.ncbi.nlm.nih.gov/gene/181016", "181016")</f>
        <v>181016</v>
      </c>
      <c r="C1295" s="9"/>
      <c r="D1295" t="str">
        <f>"PDB1.1"</f>
        <v>PDB1.1</v>
      </c>
      <c r="F1295" t="s">
        <v>11</v>
      </c>
      <c r="G1295" t="s">
        <v>1096</v>
      </c>
      <c r="H1295" s="12">
        <v>-1.67252994255417</v>
      </c>
      <c r="I1295" s="20">
        <v>-2.4932290883723698</v>
      </c>
      <c r="J1295" s="28">
        <v>1.2658714318613999E-2</v>
      </c>
      <c r="K1295" s="29">
        <v>0.225947576122625</v>
      </c>
    </row>
    <row r="1296" spans="1:11" x14ac:dyDescent="0.35">
      <c r="A1296" s="9" t="str">
        <f>HYPERLINK("http://www.ensembl.org/id/WBGene00011433", "WBGene00011433")</f>
        <v>WBGene00011433</v>
      </c>
      <c r="B1296" s="9" t="str">
        <f>HYPERLINK("http://www.ncbi.nlm.nih.gov/gene/173200", "173200")</f>
        <v>173200</v>
      </c>
      <c r="C1296" s="9" t="str">
        <f>HYPERLINK("http://www.ncbi.nlm.nih.gov/gene/5137", "5137")</f>
        <v>5137</v>
      </c>
      <c r="D1296" t="str">
        <f>"pde-1"</f>
        <v>pde-1</v>
      </c>
      <c r="E1296" t="s">
        <v>1094</v>
      </c>
      <c r="F1296" t="s">
        <v>11</v>
      </c>
      <c r="G1296" t="s">
        <v>1095</v>
      </c>
      <c r="H1296" s="12">
        <v>1.8251947186692701</v>
      </c>
      <c r="I1296" s="20">
        <v>2.4934423905118099</v>
      </c>
      <c r="J1296" s="28">
        <v>1.2651111213297799E-2</v>
      </c>
      <c r="K1296" s="29">
        <v>0.225947576122625</v>
      </c>
    </row>
    <row r="1297" spans="1:11" x14ac:dyDescent="0.35">
      <c r="A1297" s="9" t="str">
        <f>HYPERLINK("http://www.ensembl.org/id/WBGene00014213", "WBGene00014213")</f>
        <v>WBGene00014213</v>
      </c>
      <c r="B1297" s="9" t="str">
        <f>HYPERLINK("http://www.ncbi.nlm.nih.gov/gene/181689", "181689")</f>
        <v>181689</v>
      </c>
      <c r="C1297" s="9"/>
      <c r="D1297" t="str">
        <f>"ZK1073.1"</f>
        <v>ZK1073.1</v>
      </c>
      <c r="F1297" t="s">
        <v>11</v>
      </c>
      <c r="H1297" s="12">
        <v>-1.56086843636207</v>
      </c>
      <c r="I1297" s="20">
        <v>-2.49309575968898</v>
      </c>
      <c r="J1297" s="28">
        <v>1.2663468842672901E-2</v>
      </c>
      <c r="K1297" s="29">
        <v>0.225947576122625</v>
      </c>
    </row>
    <row r="1298" spans="1:11" x14ac:dyDescent="0.35">
      <c r="A1298" s="9" t="str">
        <f>HYPERLINK("http://www.ensembl.org/id/WBGene00001694", "WBGene00001694")</f>
        <v>WBGene00001694</v>
      </c>
      <c r="B1298" s="9" t="str">
        <f>HYPERLINK("http://www.ncbi.nlm.nih.gov/gene/179244", "179244")</f>
        <v>179244</v>
      </c>
      <c r="C1298" s="9"/>
      <c r="D1298" t="str">
        <f>"grd-5"</f>
        <v>grd-5</v>
      </c>
      <c r="E1298" t="s">
        <v>749</v>
      </c>
      <c r="F1298" t="s">
        <v>11</v>
      </c>
      <c r="G1298" t="s">
        <v>1097</v>
      </c>
      <c r="H1298" s="12">
        <v>2.0374330667132901</v>
      </c>
      <c r="I1298" s="20">
        <v>2.4919468716558</v>
      </c>
      <c r="J1298" s="28">
        <v>1.27045039306654E-2</v>
      </c>
      <c r="K1298" s="29">
        <v>0.226504836282373</v>
      </c>
    </row>
    <row r="1299" spans="1:11" x14ac:dyDescent="0.35">
      <c r="A1299" s="9" t="str">
        <f>HYPERLINK("http://www.ensembl.org/id/WBGene00008591", "WBGene00008591")</f>
        <v>WBGene00008591</v>
      </c>
      <c r="B1299" s="9" t="str">
        <f>HYPERLINK("http://www.ncbi.nlm.nih.gov/gene/184214", "184214")</f>
        <v>184214</v>
      </c>
      <c r="C1299" s="9"/>
      <c r="D1299" t="str">
        <f>"F08H9.3"</f>
        <v>F08H9.3</v>
      </c>
      <c r="F1299" t="s">
        <v>11</v>
      </c>
      <c r="H1299" s="12">
        <v>2.49154018480086</v>
      </c>
      <c r="I1299" s="20">
        <v>2.4914671448330501</v>
      </c>
      <c r="J1299" s="28">
        <v>1.2721673242806601E-2</v>
      </c>
      <c r="K1299" s="29">
        <v>0.226636069351033</v>
      </c>
    </row>
    <row r="1300" spans="1:11" x14ac:dyDescent="0.35">
      <c r="A1300" s="9" t="str">
        <f>HYPERLINK("http://www.ensembl.org/id/WBGene00013782", "WBGene00013782")</f>
        <v>WBGene00013782</v>
      </c>
      <c r="B1300" s="9" t="str">
        <f>HYPERLINK("http://www.ncbi.nlm.nih.gov/gene/190990", "190990")</f>
        <v>190990</v>
      </c>
      <c r="C1300" s="9"/>
      <c r="D1300" t="str">
        <f>"npr-32"</f>
        <v>npr-32</v>
      </c>
      <c r="E1300" t="s">
        <v>1021</v>
      </c>
      <c r="F1300" t="s">
        <v>11</v>
      </c>
      <c r="G1300" t="s">
        <v>271</v>
      </c>
      <c r="H1300" s="12">
        <v>3.09125789093431</v>
      </c>
      <c r="I1300" s="20">
        <v>2.4891198794850302</v>
      </c>
      <c r="J1300" s="28">
        <v>1.28059777391478E-2</v>
      </c>
      <c r="K1300" s="29">
        <v>0.22778669872267099</v>
      </c>
    </row>
    <row r="1301" spans="1:11" x14ac:dyDescent="0.35">
      <c r="A1301" s="9" t="str">
        <f>HYPERLINK("http://www.ensembl.org/id/WBGene00006614", "WBGene00006614")</f>
        <v>WBGene00006614</v>
      </c>
      <c r="B1301" s="9" t="str">
        <f>HYPERLINK("http://www.ncbi.nlm.nih.gov/gene/176202", "176202")</f>
        <v>176202</v>
      </c>
      <c r="C1301" s="9" t="str">
        <f>HYPERLINK("http://www.ncbi.nlm.nih.gov/gene/7225", "7225")</f>
        <v>7225</v>
      </c>
      <c r="D1301" t="str">
        <f>"trp-1"</f>
        <v>trp-1</v>
      </c>
      <c r="E1301" t="s">
        <v>1098</v>
      </c>
      <c r="F1301" t="s">
        <v>11</v>
      </c>
      <c r="G1301" t="s">
        <v>1099</v>
      </c>
      <c r="H1301" s="12">
        <v>1.8329394955827301</v>
      </c>
      <c r="I1301" s="20">
        <v>2.4893700875125102</v>
      </c>
      <c r="J1301" s="28">
        <v>1.27969677753937E-2</v>
      </c>
      <c r="K1301" s="29">
        <v>0.22778669872267099</v>
      </c>
    </row>
    <row r="1302" spans="1:11" x14ac:dyDescent="0.35">
      <c r="A1302" s="9" t="str">
        <f>HYPERLINK("http://www.ensembl.org/id/WBGene00021093", "WBGene00021093")</f>
        <v>WBGene00021093</v>
      </c>
      <c r="B1302" s="9" t="str">
        <f>HYPERLINK("http://www.ncbi.nlm.nih.gov/gene/173450", "173450")</f>
        <v>173450</v>
      </c>
      <c r="C1302" s="9"/>
      <c r="D1302" t="str">
        <f>"W08F4.3"</f>
        <v>W08F4.3</v>
      </c>
      <c r="F1302" t="s">
        <v>11</v>
      </c>
      <c r="G1302" t="s">
        <v>1100</v>
      </c>
      <c r="H1302" s="12">
        <v>-1.6182601216997199</v>
      </c>
      <c r="I1302" s="20">
        <v>-2.4876800471893699</v>
      </c>
      <c r="J1302" s="28">
        <v>1.2857935122493501E-2</v>
      </c>
      <c r="K1302" s="29">
        <v>0.22853496072333401</v>
      </c>
    </row>
    <row r="1303" spans="1:11" x14ac:dyDescent="0.35">
      <c r="A1303" s="9" t="str">
        <f>HYPERLINK("http://www.ensembl.org/id/WBGene00015613", "WBGene00015613")</f>
        <v>WBGene00015613</v>
      </c>
      <c r="B1303" s="9" t="str">
        <f>HYPERLINK("http://www.ncbi.nlm.nih.gov/gene/173549", "173549")</f>
        <v>173549</v>
      </c>
      <c r="C1303" s="9"/>
      <c r="D1303" t="str">
        <f>"C08F1.10"</f>
        <v>C08F1.10</v>
      </c>
      <c r="F1303" t="s">
        <v>11</v>
      </c>
      <c r="G1303" t="s">
        <v>25</v>
      </c>
      <c r="H1303" s="12">
        <v>1.7673730052046499</v>
      </c>
      <c r="I1303" s="20">
        <v>2.4866841344591899</v>
      </c>
      <c r="J1303" s="28">
        <v>1.2893982391987399E-2</v>
      </c>
      <c r="K1303" s="29">
        <v>0.22881483730108501</v>
      </c>
    </row>
    <row r="1304" spans="1:11" x14ac:dyDescent="0.35">
      <c r="A1304" s="9" t="str">
        <f>HYPERLINK("http://www.ensembl.org/id/WBGene00015887", "WBGene00015887")</f>
        <v>WBGene00015887</v>
      </c>
      <c r="B1304" s="9" t="str">
        <f>HYPERLINK("http://www.ncbi.nlm.nih.gov/gene/173942", "173942")</f>
        <v>173942</v>
      </c>
      <c r="C1304" s="9" t="str">
        <f>HYPERLINK("http://www.ncbi.nlm.nih.gov/gene/10005", "10005")</f>
        <v>10005</v>
      </c>
      <c r="D1304" t="str">
        <f>"C17C3.1"</f>
        <v>C17C3.1</v>
      </c>
      <c r="F1304" t="s">
        <v>11</v>
      </c>
      <c r="G1304" t="s">
        <v>1102</v>
      </c>
      <c r="H1304" s="12">
        <v>1.7236972793054</v>
      </c>
      <c r="I1304" s="20">
        <v>2.4861516347584698</v>
      </c>
      <c r="J1304" s="28">
        <v>1.2913292990591799E-2</v>
      </c>
      <c r="K1304" s="29">
        <v>0.22881483730108501</v>
      </c>
    </row>
    <row r="1305" spans="1:11" x14ac:dyDescent="0.35">
      <c r="A1305" s="9" t="str">
        <f>HYPERLINK("http://www.ensembl.org/id/WBGene00000883", "WBGene00000883")</f>
        <v>WBGene00000883</v>
      </c>
      <c r="B1305" s="9" t="str">
        <f>HYPERLINK("http://www.ncbi.nlm.nih.gov/gene/180027", "180027")</f>
        <v>180027</v>
      </c>
      <c r="C1305" s="9"/>
      <c r="D1305" t="str">
        <f>"cyn-7"</f>
        <v>cyn-7</v>
      </c>
      <c r="E1305" t="s">
        <v>1103</v>
      </c>
      <c r="F1305" t="s">
        <v>11</v>
      </c>
      <c r="G1305" t="s">
        <v>772</v>
      </c>
      <c r="H1305" s="12">
        <v>-1.57422293770323</v>
      </c>
      <c r="I1305" s="20">
        <v>-2.48641577189695</v>
      </c>
      <c r="J1305" s="28">
        <v>1.2903711111042E-2</v>
      </c>
      <c r="K1305" s="29">
        <v>0.22881483730108501</v>
      </c>
    </row>
    <row r="1306" spans="1:11" x14ac:dyDescent="0.35">
      <c r="A1306" s="9" t="str">
        <f>HYPERLINK("http://www.ensembl.org/id/WBGene00021553", "WBGene00021553")</f>
        <v>WBGene00021553</v>
      </c>
      <c r="B1306" s="9" t="str">
        <f>HYPERLINK("http://www.ncbi.nlm.nih.gov/gene/189907", "189907")</f>
        <v>189907</v>
      </c>
      <c r="C1306" s="9"/>
      <c r="D1306" t="str">
        <f>"tyr-5"</f>
        <v>tyr-5</v>
      </c>
      <c r="E1306" t="s">
        <v>567</v>
      </c>
      <c r="F1306" t="s">
        <v>11</v>
      </c>
      <c r="G1306" t="s">
        <v>1101</v>
      </c>
      <c r="H1306" s="12">
        <v>1.85263911596466</v>
      </c>
      <c r="I1306" s="20">
        <v>2.48661764051114</v>
      </c>
      <c r="J1306" s="28">
        <v>1.28963923353999E-2</v>
      </c>
      <c r="K1306" s="29">
        <v>0.22881483730108501</v>
      </c>
    </row>
    <row r="1307" spans="1:11" x14ac:dyDescent="0.35">
      <c r="A1307" s="9" t="str">
        <f>HYPERLINK("http://www.ensembl.org/id/WBGene00018732", "WBGene00018732")</f>
        <v>WBGene00018732</v>
      </c>
      <c r="B1307" s="9" t="str">
        <f>HYPERLINK("http://www.ncbi.nlm.nih.gov/gene/186147", "186147")</f>
        <v>186147</v>
      </c>
      <c r="C1307" s="9"/>
      <c r="D1307" t="str">
        <f>"F53A9.9"</f>
        <v>F53A9.9</v>
      </c>
      <c r="F1307" t="s">
        <v>11</v>
      </c>
      <c r="H1307" s="12">
        <v>1.7377800562202299</v>
      </c>
      <c r="I1307" s="20">
        <v>2.4854895953341498</v>
      </c>
      <c r="J1307" s="28">
        <v>1.29373369016098E-2</v>
      </c>
      <c r="K1307" s="29">
        <v>0.22906521566942301</v>
      </c>
    </row>
    <row r="1308" spans="1:11" x14ac:dyDescent="0.35">
      <c r="A1308" s="9" t="str">
        <f>HYPERLINK("http://www.ensembl.org/id/WBGene00006582", "WBGene00006582")</f>
        <v>WBGene00006582</v>
      </c>
      <c r="B1308" s="9" t="str">
        <f>HYPERLINK("http://www.ncbi.nlm.nih.gov/gene/179216", "179216")</f>
        <v>179216</v>
      </c>
      <c r="C1308" s="9"/>
      <c r="D1308" t="str">
        <f>"tmd-2"</f>
        <v>tmd-2</v>
      </c>
      <c r="E1308" t="s">
        <v>1104</v>
      </c>
      <c r="F1308" t="s">
        <v>11</v>
      </c>
      <c r="G1308" t="s">
        <v>1105</v>
      </c>
      <c r="H1308" s="12">
        <v>1.66966804954392</v>
      </c>
      <c r="I1308" s="20">
        <v>2.4842318487149599</v>
      </c>
      <c r="J1308" s="28">
        <v>1.2983124788871999E-2</v>
      </c>
      <c r="K1308" s="29">
        <v>0.22969990916667499</v>
      </c>
    </row>
    <row r="1309" spans="1:11" x14ac:dyDescent="0.35">
      <c r="A1309" s="9" t="str">
        <f>HYPERLINK("http://www.ensembl.org/id/WBGene00000216", "WBGene00000216")</f>
        <v>WBGene00000216</v>
      </c>
      <c r="B1309" s="9" t="str">
        <f>HYPERLINK("http://www.ncbi.nlm.nih.gov/gene/180947", "180947")</f>
        <v>180947</v>
      </c>
      <c r="C1309" s="9"/>
      <c r="D1309" t="str">
        <f>"asp-3"</f>
        <v>asp-3</v>
      </c>
      <c r="E1309" t="s">
        <v>1106</v>
      </c>
      <c r="F1309" t="s">
        <v>11</v>
      </c>
      <c r="G1309" t="s">
        <v>552</v>
      </c>
      <c r="H1309" s="12">
        <v>-1.5556552720654899</v>
      </c>
      <c r="I1309" s="20">
        <v>-2.48361182254214</v>
      </c>
      <c r="J1309" s="28">
        <v>1.3005749361019101E-2</v>
      </c>
      <c r="K1309" s="29">
        <v>0.229924135222424</v>
      </c>
    </row>
    <row r="1310" spans="1:11" x14ac:dyDescent="0.35">
      <c r="A1310" s="9" t="str">
        <f>HYPERLINK("http://www.ensembl.org/id/WBGene00008558", "WBGene00008558")</f>
        <v>WBGene00008558</v>
      </c>
      <c r="B1310" s="9" t="str">
        <f>HYPERLINK("http://www.ncbi.nlm.nih.gov/gene/184164", "184164")</f>
        <v>184164</v>
      </c>
      <c r="C1310" s="9"/>
      <c r="D1310" t="str">
        <f>"F07H5.7"</f>
        <v>F07H5.7</v>
      </c>
      <c r="F1310" t="s">
        <v>11</v>
      </c>
      <c r="G1310" t="s">
        <v>25</v>
      </c>
      <c r="H1310" s="12">
        <v>2.17749045145908</v>
      </c>
      <c r="I1310" s="20">
        <v>2.4784388007005602</v>
      </c>
      <c r="J1310" s="28">
        <v>1.3195874672621E-2</v>
      </c>
      <c r="K1310" s="29">
        <v>0.23278120876366801</v>
      </c>
    </row>
    <row r="1311" spans="1:11" x14ac:dyDescent="0.35">
      <c r="A1311" s="9" t="str">
        <f>HYPERLINK("http://www.ensembl.org/id/WBGene00019188", "WBGene00019188")</f>
        <v>WBGene00019188</v>
      </c>
      <c r="B1311" s="9" t="str">
        <f>HYPERLINK("http://www.ncbi.nlm.nih.gov/gene/180495", "180495")</f>
        <v>180495</v>
      </c>
      <c r="C1311" s="9"/>
      <c r="D1311" t="str">
        <f>"H11E01.3"</f>
        <v>H11E01.3</v>
      </c>
      <c r="F1311" t="s">
        <v>11</v>
      </c>
      <c r="H1311" s="12">
        <v>1.63193622268058</v>
      </c>
      <c r="I1311" s="20">
        <v>2.47812034565621</v>
      </c>
      <c r="J1311" s="28">
        <v>1.3207658819751099E-2</v>
      </c>
      <c r="K1311" s="29">
        <v>0.23278120876366801</v>
      </c>
    </row>
    <row r="1312" spans="1:11" x14ac:dyDescent="0.35">
      <c r="A1312" s="9" t="str">
        <f>HYPERLINK("http://www.ensembl.org/id/WBGene00021467", "WBGene00021467")</f>
        <v>WBGene00021467</v>
      </c>
      <c r="B1312" s="9" t="str">
        <f>HYPERLINK("http://www.ncbi.nlm.nih.gov/gene/171789", "171789")</f>
        <v>171789</v>
      </c>
      <c r="C1312" s="9" t="str">
        <f>HYPERLINK("http://www.ncbi.nlm.nih.gov/gene/80227", "80227")</f>
        <v>80227</v>
      </c>
      <c r="D1312" t="str">
        <f>"Y39G10AR.9"</f>
        <v>Y39G10AR.9</v>
      </c>
      <c r="F1312" t="s">
        <v>11</v>
      </c>
      <c r="G1312" t="s">
        <v>54</v>
      </c>
      <c r="H1312" s="12">
        <v>-1.64879634101156</v>
      </c>
      <c r="I1312" s="20">
        <v>-2.4783049803942201</v>
      </c>
      <c r="J1312" s="28">
        <v>1.3200825441728599E-2</v>
      </c>
      <c r="K1312" s="29">
        <v>0.23278120876366801</v>
      </c>
    </row>
    <row r="1313" spans="1:11" x14ac:dyDescent="0.35">
      <c r="A1313" s="9" t="str">
        <f>HYPERLINK("http://www.ensembl.org/id/WBGene00013173", "WBGene00013173")</f>
        <v>WBGene00013173</v>
      </c>
      <c r="B1313" s="9" t="str">
        <f>HYPERLINK("http://www.ncbi.nlm.nih.gov/gene/175164", "175164")</f>
        <v>175164</v>
      </c>
      <c r="C1313" s="9"/>
      <c r="D1313" t="str">
        <f>"Y53F4B.27"</f>
        <v>Y53F4B.27</v>
      </c>
      <c r="F1313" t="s">
        <v>11</v>
      </c>
      <c r="H1313" s="12">
        <v>5.5491215677612296</v>
      </c>
      <c r="I1313" s="20">
        <v>2.4789005803215698</v>
      </c>
      <c r="J1313" s="28">
        <v>1.31788034400303E-2</v>
      </c>
      <c r="K1313" s="29">
        <v>0.23278120876366801</v>
      </c>
    </row>
    <row r="1314" spans="1:11" x14ac:dyDescent="0.35">
      <c r="A1314" s="9" t="str">
        <f>HYPERLINK("http://www.ensembl.org/id/WBGene00003591", "WBGene00003591")</f>
        <v>WBGene00003591</v>
      </c>
      <c r="B1314" s="9" t="str">
        <f>HYPERLINK("http://www.ncbi.nlm.nih.gov/gene/183294", "183294")</f>
        <v>183294</v>
      </c>
      <c r="C1314" s="9"/>
      <c r="D1314" t="str">
        <f>"nex-4"</f>
        <v>nex-4</v>
      </c>
      <c r="E1314" t="s">
        <v>1107</v>
      </c>
      <c r="F1314" t="s">
        <v>11</v>
      </c>
      <c r="G1314" t="s">
        <v>1108</v>
      </c>
      <c r="H1314" s="12">
        <v>2.9261093712594302</v>
      </c>
      <c r="I1314" s="20">
        <v>2.4760410762043499</v>
      </c>
      <c r="J1314" s="28">
        <v>1.3284829302356501E-2</v>
      </c>
      <c r="K1314" s="29">
        <v>0.23360644495480801</v>
      </c>
    </row>
    <row r="1315" spans="1:11" x14ac:dyDescent="0.35">
      <c r="A1315" s="9" t="str">
        <f>HYPERLINK("http://www.ensembl.org/id/WBGene00018479", "WBGene00018479")</f>
        <v>WBGene00018479</v>
      </c>
      <c r="B1315" s="9" t="str">
        <f>HYPERLINK("http://www.ncbi.nlm.nih.gov/gene/185807", "185807")</f>
        <v>185807</v>
      </c>
      <c r="C1315" s="9"/>
      <c r="D1315" t="str">
        <f>"otpl-6"</f>
        <v>otpl-6</v>
      </c>
      <c r="E1315" t="s">
        <v>233</v>
      </c>
      <c r="F1315" t="s">
        <v>11</v>
      </c>
      <c r="G1315" t="s">
        <v>234</v>
      </c>
      <c r="H1315" s="12">
        <v>4.5171829616652799</v>
      </c>
      <c r="I1315" s="20">
        <v>2.4757699215943898</v>
      </c>
      <c r="J1315" s="28">
        <v>1.32949223195522E-2</v>
      </c>
      <c r="K1315" s="29">
        <v>0.23360644495480801</v>
      </c>
    </row>
    <row r="1316" spans="1:11" x14ac:dyDescent="0.35">
      <c r="A1316" s="9" t="str">
        <f>HYPERLINK("http://www.ensembl.org/id/WBGene00005019", "WBGene00005019")</f>
        <v>WBGene00005019</v>
      </c>
      <c r="B1316" s="9" t="str">
        <f>HYPERLINK("http://www.ncbi.nlm.nih.gov/gene/177631", "177631")</f>
        <v>177631</v>
      </c>
      <c r="C1316" s="9" t="str">
        <f>HYPERLINK("http://www.ncbi.nlm.nih.gov/gene/80146", "80146")</f>
        <v>80146</v>
      </c>
      <c r="D1316" t="str">
        <f>"sqv-1"</f>
        <v>sqv-1</v>
      </c>
      <c r="E1316" t="s">
        <v>1111</v>
      </c>
      <c r="F1316" t="s">
        <v>11</v>
      </c>
      <c r="G1316" t="s">
        <v>1112</v>
      </c>
      <c r="H1316" s="12">
        <v>-1.6018236518070801</v>
      </c>
      <c r="I1316" s="20">
        <v>-2.4760593442462802</v>
      </c>
      <c r="J1316" s="28">
        <v>1.32841495661474E-2</v>
      </c>
      <c r="K1316" s="29">
        <v>0.23360644495480801</v>
      </c>
    </row>
    <row r="1317" spans="1:11" x14ac:dyDescent="0.35">
      <c r="A1317" s="9" t="str">
        <f>HYPERLINK("http://www.ensembl.org/id/WBGene00006924", "WBGene00006924")</f>
        <v>WBGene00006924</v>
      </c>
      <c r="B1317" s="9" t="str">
        <f>HYPERLINK("http://www.ncbi.nlm.nih.gov/gene/173512", "173512")</f>
        <v>173512</v>
      </c>
      <c r="C1317" s="9"/>
      <c r="D1317" t="str">
        <f>"vig-1"</f>
        <v>vig-1</v>
      </c>
      <c r="E1317" t="s">
        <v>1109</v>
      </c>
      <c r="F1317" t="s">
        <v>11</v>
      </c>
      <c r="G1317" t="s">
        <v>1110</v>
      </c>
      <c r="H1317" s="12">
        <v>-1.55398088229648</v>
      </c>
      <c r="I1317" s="20">
        <v>-2.47622009601112</v>
      </c>
      <c r="J1317" s="28">
        <v>1.32781694736361E-2</v>
      </c>
      <c r="K1317" s="29">
        <v>0.23360644495480801</v>
      </c>
    </row>
    <row r="1318" spans="1:11" x14ac:dyDescent="0.35">
      <c r="A1318" s="9" t="str">
        <f>HYPERLINK("http://www.ensembl.org/id/WBGene00003912", "WBGene00003912")</f>
        <v>WBGene00003912</v>
      </c>
      <c r="B1318" s="9" t="str">
        <f>HYPERLINK("http://www.ncbi.nlm.nih.gov/gene/175638", "175638")</f>
        <v>175638</v>
      </c>
      <c r="C1318" s="9"/>
      <c r="D1318" t="str">
        <f>"pal-1"</f>
        <v>pal-1</v>
      </c>
      <c r="E1318" t="s">
        <v>1113</v>
      </c>
      <c r="F1318" t="s">
        <v>11</v>
      </c>
      <c r="G1318" t="s">
        <v>1012</v>
      </c>
      <c r="H1318" s="12">
        <v>-1.67832184085693</v>
      </c>
      <c r="I1318" s="20">
        <v>-2.4752570012925501</v>
      </c>
      <c r="J1318" s="28">
        <v>1.33140329687777E-2</v>
      </c>
      <c r="K1318" s="29">
        <v>0.233764472474603</v>
      </c>
    </row>
    <row r="1319" spans="1:11" x14ac:dyDescent="0.35">
      <c r="A1319" s="9" t="str">
        <f>HYPERLINK("http://www.ensembl.org/id/WBGene00018641", "WBGene00018641")</f>
        <v>WBGene00018641</v>
      </c>
      <c r="B1319" s="9" t="str">
        <f>HYPERLINK("http://www.ncbi.nlm.nih.gov/gene/186045", "186045")</f>
        <v>186045</v>
      </c>
      <c r="C1319" s="9"/>
      <c r="D1319" t="str">
        <f>"F49E10.4"</f>
        <v>F49E10.4</v>
      </c>
      <c r="F1319" t="s">
        <v>11</v>
      </c>
      <c r="G1319" t="s">
        <v>1114</v>
      </c>
      <c r="H1319" s="12">
        <v>1.98463777393065</v>
      </c>
      <c r="I1319" s="20">
        <v>2.4747775988193501</v>
      </c>
      <c r="J1319" s="28">
        <v>1.33319167434624E-2</v>
      </c>
      <c r="K1319" s="29">
        <v>0.23390073521218099</v>
      </c>
    </row>
    <row r="1320" spans="1:11" x14ac:dyDescent="0.35">
      <c r="A1320" s="9" t="str">
        <f>HYPERLINK("http://www.ensembl.org/id/WBGene00015786", "WBGene00015786")</f>
        <v>WBGene00015786</v>
      </c>
      <c r="B1320" s="9" t="str">
        <f>HYPERLINK("http://www.ncbi.nlm.nih.gov/gene/180920", "180920")</f>
        <v>180920</v>
      </c>
      <c r="C1320" s="9"/>
      <c r="D1320" t="str">
        <f>"C15B12.4"</f>
        <v>C15B12.4</v>
      </c>
      <c r="F1320" t="s">
        <v>11</v>
      </c>
      <c r="H1320" s="12">
        <v>1.9017185000348</v>
      </c>
      <c r="I1320" s="20">
        <v>2.4712629568651501</v>
      </c>
      <c r="J1320" s="28">
        <v>1.3463677729568401E-2</v>
      </c>
      <c r="K1320" s="29">
        <v>0.23585423625429</v>
      </c>
    </row>
    <row r="1321" spans="1:11" x14ac:dyDescent="0.35">
      <c r="A1321" s="9" t="str">
        <f>HYPERLINK("http://www.ensembl.org/id/WBGene00003879", "WBGene00003879")</f>
        <v>WBGene00003879</v>
      </c>
      <c r="B1321" s="9" t="str">
        <f>HYPERLINK("http://www.ncbi.nlm.nih.gov/gene/191739", "191739")</f>
        <v>191739</v>
      </c>
      <c r="C1321" s="9"/>
      <c r="D1321" t="str">
        <f>"ora-1"</f>
        <v>ora-1</v>
      </c>
      <c r="E1321" t="s">
        <v>1115</v>
      </c>
      <c r="F1321" t="s">
        <v>11</v>
      </c>
      <c r="H1321" s="12">
        <v>4.2805782460703403</v>
      </c>
      <c r="I1321" s="20">
        <v>2.4713766179282901</v>
      </c>
      <c r="J1321" s="28">
        <v>1.34593987318944E-2</v>
      </c>
      <c r="K1321" s="29">
        <v>0.23585423625429</v>
      </c>
    </row>
    <row r="1322" spans="1:11" x14ac:dyDescent="0.35">
      <c r="A1322" s="9" t="str">
        <f>HYPERLINK("http://www.ensembl.org/id/WBGene00014124", "WBGene00014124")</f>
        <v>WBGene00014124</v>
      </c>
      <c r="B1322" s="9" t="str">
        <f>HYPERLINK("http://www.ncbi.nlm.nih.gov/gene/179670", "179670")</f>
        <v>179670</v>
      </c>
      <c r="C1322" s="9"/>
      <c r="D1322" t="str">
        <f>"usip-1"</f>
        <v>usip-1</v>
      </c>
      <c r="E1322" t="s">
        <v>1116</v>
      </c>
      <c r="F1322" t="s">
        <v>11</v>
      </c>
      <c r="G1322" t="s">
        <v>1117</v>
      </c>
      <c r="H1322" s="12">
        <v>-1.60177918998783</v>
      </c>
      <c r="I1322" s="20">
        <v>-2.4703832822982399</v>
      </c>
      <c r="J1322" s="28">
        <v>1.3496835510121199E-2</v>
      </c>
      <c r="K1322" s="29">
        <v>0.23625597067944001</v>
      </c>
    </row>
    <row r="1323" spans="1:11" x14ac:dyDescent="0.35">
      <c r="A1323" s="9" t="str">
        <f>HYPERLINK("http://www.ensembl.org/id/WBGene00000206", "WBGene00000206")</f>
        <v>WBGene00000206</v>
      </c>
      <c r="B1323" s="9" t="str">
        <f>HYPERLINK("http://www.ncbi.nlm.nih.gov/gene/175605", "175605")</f>
        <v>175605</v>
      </c>
      <c r="C1323" s="9"/>
      <c r="D1323" t="str">
        <f>"asb-1"</f>
        <v>asb-1</v>
      </c>
      <c r="E1323" t="s">
        <v>1121</v>
      </c>
      <c r="F1323" t="s">
        <v>11</v>
      </c>
      <c r="G1323" t="s">
        <v>1122</v>
      </c>
      <c r="H1323" s="12">
        <v>-1.5998744801248499</v>
      </c>
      <c r="I1323" s="20">
        <v>-2.4680350062197198</v>
      </c>
      <c r="J1323" s="28">
        <v>1.35857032924871E-2</v>
      </c>
      <c r="K1323" s="29">
        <v>0.23665887391035201</v>
      </c>
    </row>
    <row r="1324" spans="1:11" x14ac:dyDescent="0.35">
      <c r="A1324" s="9" t="str">
        <f>HYPERLINK("http://www.ensembl.org/id/WBGene00018483", "WBGene00018483")</f>
        <v>WBGene00018483</v>
      </c>
      <c r="B1324" s="9" t="str">
        <f>HYPERLINK("http://www.ncbi.nlm.nih.gov/gene/185810", "185810")</f>
        <v>185810</v>
      </c>
      <c r="C1324" s="9"/>
      <c r="D1324" t="str">
        <f>"F45F2.11"</f>
        <v>F45F2.11</v>
      </c>
      <c r="F1324" t="s">
        <v>11</v>
      </c>
      <c r="H1324" s="12">
        <v>-1.7271633656148799</v>
      </c>
      <c r="I1324" s="20">
        <v>-2.4679219592118802</v>
      </c>
      <c r="J1324" s="28">
        <v>1.3589994437007201E-2</v>
      </c>
      <c r="K1324" s="29">
        <v>0.23665887391035201</v>
      </c>
    </row>
    <row r="1325" spans="1:11" x14ac:dyDescent="0.35">
      <c r="A1325" s="9" t="str">
        <f>HYPERLINK("http://www.ensembl.org/id/WBGene00019300", "WBGene00019300")</f>
        <v>WBGene00019300</v>
      </c>
      <c r="B1325" s="9" t="str">
        <f>HYPERLINK("http://www.ncbi.nlm.nih.gov/gene/186875", "186875")</f>
        <v>186875</v>
      </c>
      <c r="C1325" s="9" t="str">
        <f>HYPERLINK("http://www.ncbi.nlm.nih.gov/gene/55974", "55974")</f>
        <v>55974</v>
      </c>
      <c r="D1325" t="str">
        <f>"swt-1"</f>
        <v>swt-1</v>
      </c>
      <c r="E1325" t="s">
        <v>1123</v>
      </c>
      <c r="F1325" t="s">
        <v>11</v>
      </c>
      <c r="G1325" t="s">
        <v>1124</v>
      </c>
      <c r="H1325" s="12">
        <v>-1.6383640391354699</v>
      </c>
      <c r="I1325" s="20">
        <v>-2.4682201694338501</v>
      </c>
      <c r="J1325" s="28">
        <v>1.35786772792742E-2</v>
      </c>
      <c r="K1325" s="29">
        <v>0.23665887391035201</v>
      </c>
    </row>
    <row r="1326" spans="1:11" x14ac:dyDescent="0.35">
      <c r="A1326" s="9" t="str">
        <f>HYPERLINK("http://www.ensembl.org/id/WBGene00011371", "WBGene00011371")</f>
        <v>WBGene00011371</v>
      </c>
      <c r="B1326" s="9" t="str">
        <f>HYPERLINK("http://www.ncbi.nlm.nih.gov/gene/187984", "187984")</f>
        <v>187984</v>
      </c>
      <c r="C1326" s="9"/>
      <c r="D1326" t="str">
        <f>"T02D1.4"</f>
        <v>T02D1.4</v>
      </c>
      <c r="F1326" t="s">
        <v>11</v>
      </c>
      <c r="G1326" t="s">
        <v>25</v>
      </c>
      <c r="H1326" s="12">
        <v>2.8764432590645601</v>
      </c>
      <c r="I1326" s="20">
        <v>2.4686633759050398</v>
      </c>
      <c r="J1326" s="28">
        <v>1.3561872857831701E-2</v>
      </c>
      <c r="K1326" s="29">
        <v>0.23665887391035201</v>
      </c>
    </row>
    <row r="1327" spans="1:11" x14ac:dyDescent="0.35">
      <c r="A1327" s="9" t="str">
        <f>HYPERLINK("http://www.ensembl.org/id/WBGene00013340", "WBGene00013340")</f>
        <v>WBGene00013340</v>
      </c>
      <c r="B1327" s="9" t="str">
        <f>HYPERLINK("http://www.ncbi.nlm.nih.gov/gene/180167", "180167")</f>
        <v>180167</v>
      </c>
      <c r="C1327" s="9"/>
      <c r="D1327" t="str">
        <f>"tcc-1"</f>
        <v>tcc-1</v>
      </c>
      <c r="E1327" t="s">
        <v>1119</v>
      </c>
      <c r="F1327" t="s">
        <v>11</v>
      </c>
      <c r="G1327" t="s">
        <v>1120</v>
      </c>
      <c r="H1327" s="12">
        <v>-1.56426992807562</v>
      </c>
      <c r="I1327" s="20">
        <v>-2.4685544852950101</v>
      </c>
      <c r="J1327" s="28">
        <v>1.3565999802833999E-2</v>
      </c>
      <c r="K1327" s="29">
        <v>0.23665887391035201</v>
      </c>
    </row>
    <row r="1328" spans="1:11" x14ac:dyDescent="0.35">
      <c r="A1328" s="9" t="str">
        <f>HYPERLINK("http://www.ensembl.org/id/WBGene00011452", "WBGene00011452")</f>
        <v>WBGene00011452</v>
      </c>
      <c r="B1328" s="9" t="str">
        <f>HYPERLINK("http://www.ncbi.nlm.nih.gov/gene/188072", "188072")</f>
        <v>188072</v>
      </c>
      <c r="C1328" s="9"/>
      <c r="D1328" t="str">
        <f>"ugt-55"</f>
        <v>ugt-55</v>
      </c>
      <c r="E1328" t="s">
        <v>1118</v>
      </c>
      <c r="F1328" t="s">
        <v>11</v>
      </c>
      <c r="G1328" t="s">
        <v>104</v>
      </c>
      <c r="H1328" s="12">
        <v>2.12703441137998</v>
      </c>
      <c r="I1328" s="20">
        <v>2.4690123472959402</v>
      </c>
      <c r="J1328" s="28">
        <v>1.3548654343812401E-2</v>
      </c>
      <c r="K1328" s="29">
        <v>0.23665887391035201</v>
      </c>
    </row>
    <row r="1329" spans="1:11" x14ac:dyDescent="0.35">
      <c r="A1329" s="9" t="str">
        <f>HYPERLINK("http://www.ensembl.org/id/WBGene00013941", "WBGene00013941")</f>
        <v>WBGene00013941</v>
      </c>
      <c r="B1329" s="9" t="str">
        <f>HYPERLINK("http://www.ncbi.nlm.nih.gov/gene/191247", "191247")</f>
        <v>191247</v>
      </c>
      <c r="C1329" s="9"/>
      <c r="D1329" t="str">
        <f>"ZK218.7"</f>
        <v>ZK218.7</v>
      </c>
      <c r="F1329" t="s">
        <v>11</v>
      </c>
      <c r="H1329" s="12">
        <v>67.499921533486798</v>
      </c>
      <c r="I1329" s="20">
        <v>2.4678810194748202</v>
      </c>
      <c r="J1329" s="28">
        <v>1.3591548761318999E-2</v>
      </c>
      <c r="K1329" s="29">
        <v>0.23665887391035201</v>
      </c>
    </row>
    <row r="1330" spans="1:11" x14ac:dyDescent="0.35">
      <c r="A1330" s="9" t="str">
        <f>HYPERLINK("http://www.ensembl.org/id/WBGene00018286", "WBGene00018286")</f>
        <v>WBGene00018286</v>
      </c>
      <c r="B1330" s="9" t="str">
        <f>HYPERLINK("http://www.ncbi.nlm.nih.gov/gene/179241", "179241")</f>
        <v>179241</v>
      </c>
      <c r="C1330" s="9" t="str">
        <f>HYPERLINK("http://www.ncbi.nlm.nih.gov/gene/54363", "54363")</f>
        <v>54363</v>
      </c>
      <c r="D1330" t="str">
        <f>"F41E6.5"</f>
        <v>F41E6.5</v>
      </c>
      <c r="F1330" t="s">
        <v>11</v>
      </c>
      <c r="G1330" t="s">
        <v>260</v>
      </c>
      <c r="H1330" s="12">
        <v>-1.63228310623697</v>
      </c>
      <c r="I1330" s="20">
        <v>-2.4626334492699602</v>
      </c>
      <c r="J1330" s="28">
        <v>1.37920836595557E-2</v>
      </c>
      <c r="K1330" s="29">
        <v>0.23985321809350499</v>
      </c>
    </row>
    <row r="1331" spans="1:11" x14ac:dyDescent="0.35">
      <c r="A1331" s="9" t="str">
        <f>HYPERLINK("http://www.ensembl.org/id/WBGene00013996", "WBGene00013996")</f>
        <v>WBGene00013996</v>
      </c>
      <c r="B1331" s="9" t="str">
        <f>HYPERLINK("http://www.ncbi.nlm.nih.gov/gene/191349", "191349")</f>
        <v>191349</v>
      </c>
      <c r="C1331" s="9" t="str">
        <f>HYPERLINK("http://www.ncbi.nlm.nih.gov/gene/256471", "256471")</f>
        <v>256471</v>
      </c>
      <c r="D1331" t="str">
        <f>"ZK550.2"</f>
        <v>ZK550.2</v>
      </c>
      <c r="F1331" t="s">
        <v>11</v>
      </c>
      <c r="G1331" t="s">
        <v>230</v>
      </c>
      <c r="H1331" s="12">
        <v>-2.2597283548451701</v>
      </c>
      <c r="I1331" s="20">
        <v>-2.4625377695876698</v>
      </c>
      <c r="J1331" s="28">
        <v>1.3795764167154299E-2</v>
      </c>
      <c r="K1331" s="29">
        <v>0.23985321809350499</v>
      </c>
    </row>
    <row r="1332" spans="1:11" x14ac:dyDescent="0.35">
      <c r="A1332" s="9" t="str">
        <f>HYPERLINK("http://www.ensembl.org/id/WBGene00015843", "WBGene00015843")</f>
        <v>WBGene00015843</v>
      </c>
      <c r="B1332" s="9" t="str">
        <f>HYPERLINK("http://www.ncbi.nlm.nih.gov/gene/182672", "182672")</f>
        <v>182672</v>
      </c>
      <c r="C1332" s="9"/>
      <c r="D1332" t="str">
        <f>"C16C8.5"</f>
        <v>C16C8.5</v>
      </c>
      <c r="F1332" t="s">
        <v>11</v>
      </c>
      <c r="G1332" t="s">
        <v>54</v>
      </c>
      <c r="H1332" s="12">
        <v>-2.6198798659157001</v>
      </c>
      <c r="I1332" s="20">
        <v>-2.4616281277824998</v>
      </c>
      <c r="J1332" s="28">
        <v>1.38307986745052E-2</v>
      </c>
      <c r="K1332" s="29">
        <v>0.240060667186208</v>
      </c>
    </row>
    <row r="1333" spans="1:11" x14ac:dyDescent="0.35">
      <c r="A1333" s="9" t="str">
        <f>HYPERLINK("http://www.ensembl.org/id/WBGene00000417", "WBGene00000417")</f>
        <v>WBGene00000417</v>
      </c>
      <c r="B1333" s="9" t="str">
        <f>HYPERLINK("http://www.ncbi.nlm.nih.gov/gene/178272", "178272")</f>
        <v>178272</v>
      </c>
      <c r="C1333" s="9"/>
      <c r="D1333" t="str">
        <f>"ced-3"</f>
        <v>ced-3</v>
      </c>
      <c r="E1333" t="s">
        <v>1127</v>
      </c>
      <c r="F1333" t="s">
        <v>11</v>
      </c>
      <c r="G1333" t="s">
        <v>1128</v>
      </c>
      <c r="H1333" s="12">
        <v>-1.6704765373523101</v>
      </c>
      <c r="I1333" s="20">
        <v>-2.46141898727238</v>
      </c>
      <c r="J1333" s="28">
        <v>1.3838864740414999E-2</v>
      </c>
      <c r="K1333" s="29">
        <v>0.240060667186208</v>
      </c>
    </row>
    <row r="1334" spans="1:11" x14ac:dyDescent="0.35">
      <c r="A1334" s="9" t="str">
        <f>HYPERLINK("http://www.ensembl.org/id/WBGene00010308", "WBGene00010308")</f>
        <v>WBGene00010308</v>
      </c>
      <c r="B1334" s="9" t="str">
        <f>HYPERLINK("http://www.ncbi.nlm.nih.gov/gene/176272", "176272")</f>
        <v>176272</v>
      </c>
      <c r="C1334" s="9" t="str">
        <f>HYPERLINK("http://www.ncbi.nlm.nih.gov/gene/51005", "51005")</f>
        <v>51005</v>
      </c>
      <c r="D1334" t="str">
        <f>"F59B2.3"</f>
        <v>F59B2.3</v>
      </c>
      <c r="E1334" t="s">
        <v>1125</v>
      </c>
      <c r="F1334" t="s">
        <v>11</v>
      </c>
      <c r="G1334" t="s">
        <v>1126</v>
      </c>
      <c r="H1334" s="12">
        <v>-1.6325977808857399</v>
      </c>
      <c r="I1334" s="20">
        <v>-2.46162539826584</v>
      </c>
      <c r="J1334" s="28">
        <v>1.3830903918910301E-2</v>
      </c>
      <c r="K1334" s="29">
        <v>0.240060667186208</v>
      </c>
    </row>
    <row r="1335" spans="1:11" x14ac:dyDescent="0.35">
      <c r="A1335" s="9" t="str">
        <f>HYPERLINK("http://www.ensembl.org/id/WBGene00077775", "WBGene00077775")</f>
        <v>WBGene00077775</v>
      </c>
      <c r="B1335" s="9" t="str">
        <f>HYPERLINK("http://www.ncbi.nlm.nih.gov/gene/7040141", "7040141")</f>
        <v>7040141</v>
      </c>
      <c r="C1335" s="9"/>
      <c r="D1335" t="str">
        <f>"nlp-58"</f>
        <v>nlp-58</v>
      </c>
      <c r="E1335" t="s">
        <v>76</v>
      </c>
      <c r="F1335" t="s">
        <v>11</v>
      </c>
      <c r="G1335" t="s">
        <v>77</v>
      </c>
      <c r="H1335" s="12">
        <v>1.7893953164888301</v>
      </c>
      <c r="I1335" s="20">
        <v>2.4593703746237798</v>
      </c>
      <c r="J1335" s="28">
        <v>1.39180948679205E-2</v>
      </c>
      <c r="K1335" s="29">
        <v>0.241253938498253</v>
      </c>
    </row>
    <row r="1336" spans="1:11" x14ac:dyDescent="0.35">
      <c r="A1336" s="9" t="str">
        <f>HYPERLINK("http://www.ensembl.org/id/WBGene00000453", "WBGene00000453")</f>
        <v>WBGene00000453</v>
      </c>
      <c r="B1336" s="9" t="str">
        <f>HYPERLINK("http://www.ncbi.nlm.nih.gov/gene/179603", "179603")</f>
        <v>179603</v>
      </c>
      <c r="C1336" s="9"/>
      <c r="D1336" t="str">
        <f>"ceh-32"</f>
        <v>ceh-32</v>
      </c>
      <c r="E1336" t="s">
        <v>1129</v>
      </c>
      <c r="F1336" t="s">
        <v>11</v>
      </c>
      <c r="G1336" t="s">
        <v>350</v>
      </c>
      <c r="H1336" s="12">
        <v>1.6733786246401601</v>
      </c>
      <c r="I1336" s="20">
        <v>2.458763536248</v>
      </c>
      <c r="J1336" s="28">
        <v>1.3941641106038599E-2</v>
      </c>
      <c r="K1336" s="29">
        <v>0.241480929082555</v>
      </c>
    </row>
    <row r="1337" spans="1:11" x14ac:dyDescent="0.35">
      <c r="A1337" s="9" t="str">
        <f>HYPERLINK("http://www.ensembl.org/id/WBGene00001616", "WBGene00001616")</f>
        <v>WBGene00001616</v>
      </c>
      <c r="B1337" s="9" t="str">
        <f>HYPERLINK("http://www.ncbi.nlm.nih.gov/gene/179251", "179251")</f>
        <v>179251</v>
      </c>
      <c r="C1337" s="9" t="str">
        <f>HYPERLINK("http://www.ncbi.nlm.nih.gov/gene/2897", "2897")</f>
        <v>2897</v>
      </c>
      <c r="D1337" t="str">
        <f>"glr-5"</f>
        <v>glr-5</v>
      </c>
      <c r="E1337" t="s">
        <v>492</v>
      </c>
      <c r="F1337" t="s">
        <v>11</v>
      </c>
      <c r="G1337" t="s">
        <v>1130</v>
      </c>
      <c r="H1337" s="12">
        <v>1.73066759264215</v>
      </c>
      <c r="I1337" s="20">
        <v>2.4566487825899999</v>
      </c>
      <c r="J1337" s="28">
        <v>1.4023971752593499E-2</v>
      </c>
      <c r="K1337" s="29">
        <v>0.242582916102247</v>
      </c>
    </row>
    <row r="1338" spans="1:11" x14ac:dyDescent="0.35">
      <c r="A1338" s="9" t="str">
        <f>HYPERLINK("http://www.ensembl.org/id/WBGene00019489", "WBGene00019489")</f>
        <v>WBGene00019489</v>
      </c>
      <c r="B1338" s="9" t="str">
        <f>HYPERLINK("http://www.ncbi.nlm.nih.gov/gene/24104726", "24104726")</f>
        <v>24104726</v>
      </c>
      <c r="C1338" s="9"/>
      <c r="D1338" t="str">
        <f>"K07E1.1"</f>
        <v>K07E1.1</v>
      </c>
      <c r="E1338" t="s">
        <v>1131</v>
      </c>
      <c r="F1338" t="s">
        <v>11</v>
      </c>
      <c r="G1338" t="s">
        <v>563</v>
      </c>
      <c r="H1338" s="12">
        <v>1.6573943119141199</v>
      </c>
      <c r="I1338" s="20">
        <v>2.4565901494095201</v>
      </c>
      <c r="J1338" s="28">
        <v>1.4026260534605799E-2</v>
      </c>
      <c r="K1338" s="29">
        <v>0.242582916102247</v>
      </c>
    </row>
    <row r="1339" spans="1:11" x14ac:dyDescent="0.35">
      <c r="A1339" s="9" t="str">
        <f>HYPERLINK("http://www.ensembl.org/id/WBGene00013008", "WBGene00013008")</f>
        <v>WBGene00013008</v>
      </c>
      <c r="B1339" s="9" t="str">
        <f>HYPERLINK("http://www.ncbi.nlm.nih.gov/gene/175004", "175004")</f>
        <v>175004</v>
      </c>
      <c r="C1339" s="9"/>
      <c r="D1339" t="str">
        <f>"clec-146"</f>
        <v>clec-146</v>
      </c>
      <c r="E1339" t="s">
        <v>46</v>
      </c>
      <c r="F1339" t="s">
        <v>11</v>
      </c>
      <c r="G1339" t="s">
        <v>47</v>
      </c>
      <c r="H1339" s="12">
        <v>1.73656176005625</v>
      </c>
      <c r="I1339" s="20">
        <v>2.4554845038405801</v>
      </c>
      <c r="J1339" s="28">
        <v>1.4069481854839E-2</v>
      </c>
      <c r="K1339" s="29">
        <v>0.243148427627457</v>
      </c>
    </row>
    <row r="1340" spans="1:11" x14ac:dyDescent="0.35">
      <c r="A1340" s="9" t="str">
        <f>HYPERLINK("http://www.ensembl.org/id/WBGene00009925", "WBGene00009925")</f>
        <v>WBGene00009925</v>
      </c>
      <c r="B1340" s="9" t="str">
        <f>HYPERLINK("http://www.ncbi.nlm.nih.gov/gene/178364", "178364")</f>
        <v>178364</v>
      </c>
      <c r="C1340" s="9" t="str">
        <f>HYPERLINK("http://www.ncbi.nlm.nih.gov/gene/5373", "5373")</f>
        <v>5373</v>
      </c>
      <c r="D1340" t="str">
        <f>"F52B11.2"</f>
        <v>F52B11.2</v>
      </c>
      <c r="E1340" t="s">
        <v>1132</v>
      </c>
      <c r="F1340" t="s">
        <v>11</v>
      </c>
      <c r="G1340" t="s">
        <v>1133</v>
      </c>
      <c r="H1340" s="12">
        <v>-1.69140422389722</v>
      </c>
      <c r="I1340" s="20">
        <v>-2.45510020075589</v>
      </c>
      <c r="J1340" s="28">
        <v>1.4084532335601E-2</v>
      </c>
      <c r="K1340" s="29">
        <v>0.24322660997488499</v>
      </c>
    </row>
    <row r="1341" spans="1:11" x14ac:dyDescent="0.35">
      <c r="A1341" s="9" t="str">
        <f>HYPERLINK("http://www.ensembl.org/id/WBGene00003623", "WBGene00003623")</f>
        <v>WBGene00003623</v>
      </c>
      <c r="B1341" s="9" t="str">
        <f>HYPERLINK("http://www.ncbi.nlm.nih.gov/gene/181432", "181432")</f>
        <v>181432</v>
      </c>
      <c r="C1341" s="9"/>
      <c r="D1341" t="str">
        <f>"nhr-25"</f>
        <v>nhr-25</v>
      </c>
      <c r="E1341" t="s">
        <v>1134</v>
      </c>
      <c r="F1341" t="s">
        <v>11</v>
      </c>
      <c r="G1341" t="s">
        <v>1135</v>
      </c>
      <c r="H1341" s="12">
        <v>1.7931436703486501</v>
      </c>
      <c r="I1341" s="20">
        <v>2.4530502477901099</v>
      </c>
      <c r="J1341" s="28">
        <v>1.41650550291328E-2</v>
      </c>
      <c r="K1341" s="29">
        <v>0.24443447461026299</v>
      </c>
    </row>
    <row r="1342" spans="1:11" x14ac:dyDescent="0.35">
      <c r="A1342" s="9" t="str">
        <f>HYPERLINK("http://www.ensembl.org/id/WBGene00045208", "WBGene00045208")</f>
        <v>WBGene00045208</v>
      </c>
      <c r="B1342" s="9" t="str">
        <f>HYPERLINK("http://www.ncbi.nlm.nih.gov/gene/4927023", "4927023")</f>
        <v>4927023</v>
      </c>
      <c r="C1342" s="9"/>
      <c r="D1342" t="str">
        <f>"F13E9.15"</f>
        <v>F13E9.15</v>
      </c>
      <c r="F1342" t="s">
        <v>11</v>
      </c>
      <c r="H1342" s="12">
        <v>1.9517026970389699</v>
      </c>
      <c r="I1342" s="20">
        <v>2.4513177279195801</v>
      </c>
      <c r="J1342" s="28">
        <v>1.42334253154364E-2</v>
      </c>
      <c r="K1342" s="29">
        <v>0.245065220073378</v>
      </c>
    </row>
    <row r="1343" spans="1:11" x14ac:dyDescent="0.35">
      <c r="A1343" s="9" t="str">
        <f>HYPERLINK("http://www.ensembl.org/id/WBGene00045385", "WBGene00045385")</f>
        <v>WBGene00045385</v>
      </c>
      <c r="B1343" s="9" t="str">
        <f>HYPERLINK("http://www.ncbi.nlm.nih.gov/gene/6418837", "6418837")</f>
        <v>6418837</v>
      </c>
      <c r="C1343" s="9"/>
      <c r="D1343" t="str">
        <f>"lgc-24"</f>
        <v>lgc-24</v>
      </c>
      <c r="E1343" t="s">
        <v>505</v>
      </c>
      <c r="F1343" t="s">
        <v>11</v>
      </c>
      <c r="G1343" t="s">
        <v>559</v>
      </c>
      <c r="H1343" s="12">
        <v>-1.8567579837414201</v>
      </c>
      <c r="I1343" s="20">
        <v>-2.4518274542076499</v>
      </c>
      <c r="J1343" s="28">
        <v>1.42132798643867E-2</v>
      </c>
      <c r="K1343" s="29">
        <v>0.245065220073378</v>
      </c>
    </row>
    <row r="1344" spans="1:11" x14ac:dyDescent="0.35">
      <c r="A1344" s="9" t="str">
        <f>HYPERLINK("http://www.ensembl.org/id/WBGene00013394", "WBGene00013394")</f>
        <v>WBGene00013394</v>
      </c>
      <c r="B1344" s="9" t="str">
        <f>HYPERLINK("http://www.ncbi.nlm.nih.gov/gene/181365", "181365")</f>
        <v>181365</v>
      </c>
      <c r="C1344" s="9"/>
      <c r="D1344" t="str">
        <f>"ule-5"</f>
        <v>ule-5</v>
      </c>
      <c r="E1344" t="s">
        <v>1136</v>
      </c>
      <c r="F1344" t="s">
        <v>11</v>
      </c>
      <c r="H1344" s="12">
        <v>-1.6469061667070799</v>
      </c>
      <c r="I1344" s="20">
        <v>-2.4513466987900001</v>
      </c>
      <c r="J1344" s="28">
        <v>1.42322796510779E-2</v>
      </c>
      <c r="K1344" s="29">
        <v>0.245065220073378</v>
      </c>
    </row>
    <row r="1345" spans="1:11" x14ac:dyDescent="0.35">
      <c r="A1345" s="9" t="str">
        <f>HYPERLINK("http://www.ensembl.org/id/WBGene00007067", "WBGene00007067")</f>
        <v>WBGene00007067</v>
      </c>
      <c r="B1345" s="9" t="str">
        <f>HYPERLINK("http://www.ncbi.nlm.nih.gov/gene/181797", "181797")</f>
        <v>181797</v>
      </c>
      <c r="C1345" s="9" t="str">
        <f>HYPERLINK("http://www.ncbi.nlm.nih.gov/gene/84766", "84766")</f>
        <v>84766</v>
      </c>
      <c r="D1345" t="str">
        <f>"4R79.2"</f>
        <v>4R79.2</v>
      </c>
      <c r="F1345" t="s">
        <v>11</v>
      </c>
      <c r="G1345" t="s">
        <v>1137</v>
      </c>
      <c r="H1345" s="12">
        <v>1.88845040128345</v>
      </c>
      <c r="I1345" s="20">
        <v>2.4510460243446599</v>
      </c>
      <c r="J1345" s="28">
        <v>1.4244173899616901E-2</v>
      </c>
      <c r="K1345" s="29">
        <v>0.24506767097881499</v>
      </c>
    </row>
    <row r="1346" spans="1:11" x14ac:dyDescent="0.35">
      <c r="A1346" s="9" t="str">
        <f>HYPERLINK("http://www.ensembl.org/id/WBGene00003887", "WBGene00003887")</f>
        <v>WBGene00003887</v>
      </c>
      <c r="B1346" s="9" t="str">
        <f>HYPERLINK("http://www.ncbi.nlm.nih.gov/gene/176790", "176790")</f>
        <v>176790</v>
      </c>
      <c r="C1346" s="9"/>
      <c r="D1346" t="str">
        <f>"osm-7"</f>
        <v>osm-7</v>
      </c>
      <c r="F1346" t="s">
        <v>11</v>
      </c>
      <c r="G1346" t="s">
        <v>1138</v>
      </c>
      <c r="H1346" s="12">
        <v>1.8219299558116699</v>
      </c>
      <c r="I1346" s="20">
        <v>2.4505289452383701</v>
      </c>
      <c r="J1346" s="28">
        <v>1.4264649315235601E-2</v>
      </c>
      <c r="K1346" s="29">
        <v>0.24523734157576799</v>
      </c>
    </row>
    <row r="1347" spans="1:11" x14ac:dyDescent="0.35">
      <c r="A1347" s="9" t="str">
        <f>HYPERLINK("http://www.ensembl.org/id/WBGene00006641", "WBGene00006641")</f>
        <v>WBGene00006641</v>
      </c>
      <c r="B1347" s="9" t="str">
        <f>HYPERLINK("http://www.ncbi.nlm.nih.gov/gene/192065", "192065")</f>
        <v>192065</v>
      </c>
      <c r="C1347" s="9"/>
      <c r="D1347" t="str">
        <f>"tsp-15"</f>
        <v>tsp-15</v>
      </c>
      <c r="E1347" t="s">
        <v>1139</v>
      </c>
      <c r="F1347" t="s">
        <v>11</v>
      </c>
      <c r="G1347" t="s">
        <v>1140</v>
      </c>
      <c r="H1347" s="12">
        <v>1.67091430438905</v>
      </c>
      <c r="I1347" s="20">
        <v>2.44826834179056</v>
      </c>
      <c r="J1347" s="28">
        <v>1.4354470416054199E-2</v>
      </c>
      <c r="K1347" s="29">
        <v>0.246598062032229</v>
      </c>
    </row>
    <row r="1348" spans="1:11" x14ac:dyDescent="0.35">
      <c r="A1348" s="9" t="str">
        <f>HYPERLINK("http://www.ensembl.org/id/WBGene00003939", "WBGene00003939")</f>
        <v>WBGene00003939</v>
      </c>
      <c r="B1348" s="9" t="str">
        <f>HYPERLINK("http://www.ncbi.nlm.nih.gov/gene/185022", "185022")</f>
        <v>185022</v>
      </c>
      <c r="C1348" s="9"/>
      <c r="D1348" t="str">
        <f>"pax-3"</f>
        <v>pax-3</v>
      </c>
      <c r="E1348" t="s">
        <v>1141</v>
      </c>
      <c r="F1348" t="s">
        <v>11</v>
      </c>
      <c r="G1348" t="s">
        <v>1142</v>
      </c>
      <c r="H1348" s="12">
        <v>1.9947196077307501</v>
      </c>
      <c r="I1348" s="20">
        <v>2.4473996303927299</v>
      </c>
      <c r="J1348" s="28">
        <v>1.4389119599318E-2</v>
      </c>
      <c r="K1348" s="29">
        <v>0.24693800569967</v>
      </c>
    </row>
    <row r="1349" spans="1:11" x14ac:dyDescent="0.35">
      <c r="A1349" s="9" t="str">
        <f>HYPERLINK("http://www.ensembl.org/id/WBGene00021721", "WBGene00021721")</f>
        <v>WBGene00021721</v>
      </c>
      <c r="B1349" s="9" t="str">
        <f>HYPERLINK("http://www.ncbi.nlm.nih.gov/gene/173694", "173694")</f>
        <v>173694</v>
      </c>
      <c r="C1349" s="9"/>
      <c r="D1349" t="str">
        <f>"Y49F6B.9"</f>
        <v>Y49F6B.9</v>
      </c>
      <c r="E1349" t="s">
        <v>1143</v>
      </c>
      <c r="F1349" t="s">
        <v>11</v>
      </c>
      <c r="G1349" t="s">
        <v>1144</v>
      </c>
      <c r="H1349" s="12">
        <v>-1.8689159896602301</v>
      </c>
      <c r="I1349" s="20">
        <v>-2.4472365375112601</v>
      </c>
      <c r="J1349" s="28">
        <v>1.43956328952417E-2</v>
      </c>
      <c r="K1349" s="29">
        <v>0.24693800569967</v>
      </c>
    </row>
    <row r="1350" spans="1:11" x14ac:dyDescent="0.35">
      <c r="A1350" s="9" t="str">
        <f>HYPERLINK("http://www.ensembl.org/id/WBGene00015975", "WBGene00015975")</f>
        <v>WBGene00015975</v>
      </c>
      <c r="B1350" s="9" t="str">
        <f>HYPERLINK("http://www.ncbi.nlm.nih.gov/gene/266829", "266829")</f>
        <v>266829</v>
      </c>
      <c r="C1350" s="9" t="str">
        <f>HYPERLINK("http://www.ncbi.nlm.nih.gov/gene/10487", "10487")</f>
        <v>10487</v>
      </c>
      <c r="D1350" t="str">
        <f>"cas-2"</f>
        <v>cas-2</v>
      </c>
      <c r="E1350" t="s">
        <v>1145</v>
      </c>
      <c r="F1350" t="s">
        <v>11</v>
      </c>
      <c r="G1350" t="s">
        <v>1146</v>
      </c>
      <c r="H1350" s="12">
        <v>-1.6865563904818299</v>
      </c>
      <c r="I1350" s="20">
        <v>-2.4455114971377898</v>
      </c>
      <c r="J1350" s="28">
        <v>1.44646836688367E-2</v>
      </c>
      <c r="K1350" s="29">
        <v>0.24793841309506001</v>
      </c>
    </row>
    <row r="1351" spans="1:11" x14ac:dyDescent="0.35">
      <c r="A1351" s="9" t="str">
        <f>HYPERLINK("http://www.ensembl.org/id/WBGene00008301", "WBGene00008301")</f>
        <v>WBGene00008301</v>
      </c>
      <c r="B1351" s="9" t="str">
        <f>HYPERLINK("http://www.ncbi.nlm.nih.gov/gene/183784", "183784")</f>
        <v>183784</v>
      </c>
      <c r="C1351" s="9"/>
      <c r="D1351" t="str">
        <f>"pals-39"</f>
        <v>pals-39</v>
      </c>
      <c r="E1351" t="s">
        <v>1147</v>
      </c>
      <c r="F1351" t="s">
        <v>11</v>
      </c>
      <c r="H1351" s="12">
        <v>-3.4201231316366201</v>
      </c>
      <c r="I1351" s="20">
        <v>-2.4451501783893401</v>
      </c>
      <c r="J1351" s="28">
        <v>1.4479183655792399E-2</v>
      </c>
      <c r="K1351" s="29">
        <v>0.24800297816956099</v>
      </c>
    </row>
    <row r="1352" spans="1:11" x14ac:dyDescent="0.35">
      <c r="A1352" s="9" t="str">
        <f>HYPERLINK("http://www.ensembl.org/id/WBGene00012536", "WBGene00012536")</f>
        <v>WBGene00012536</v>
      </c>
      <c r="B1352" s="9" t="str">
        <f>HYPERLINK("http://www.ncbi.nlm.nih.gov/gene/189599", "189599")</f>
        <v>189599</v>
      </c>
      <c r="C1352" s="9"/>
      <c r="D1352" t="str">
        <f>"Y37A1A.3"</f>
        <v>Y37A1A.3</v>
      </c>
      <c r="F1352" t="s">
        <v>11</v>
      </c>
      <c r="G1352" t="s">
        <v>230</v>
      </c>
      <c r="H1352" s="12">
        <v>1.6723360940968901</v>
      </c>
      <c r="I1352" s="20">
        <v>2.44316356158838</v>
      </c>
      <c r="J1352" s="28">
        <v>1.4559137253170399E-2</v>
      </c>
      <c r="K1352" s="29">
        <v>0.24918772249759599</v>
      </c>
    </row>
    <row r="1353" spans="1:11" x14ac:dyDescent="0.35">
      <c r="A1353" s="9" t="str">
        <f>HYPERLINK("http://www.ensembl.org/id/WBGene00007445", "WBGene00007445")</f>
        <v>WBGene00007445</v>
      </c>
      <c r="B1353" s="9" t="str">
        <f>HYPERLINK("http://www.ncbi.nlm.nih.gov/gene/178023", "178023")</f>
        <v>178023</v>
      </c>
      <c r="C1353" s="9"/>
      <c r="D1353" t="str">
        <f>"C08F8.3"</f>
        <v>C08F8.3</v>
      </c>
      <c r="F1353" t="s">
        <v>11</v>
      </c>
      <c r="H1353" s="12">
        <v>-1.7063779580327401</v>
      </c>
      <c r="I1353" s="20">
        <v>-2.4416182488241902</v>
      </c>
      <c r="J1353" s="28">
        <v>1.46215989850753E-2</v>
      </c>
      <c r="K1353" s="29">
        <v>0.25007155155377397</v>
      </c>
    </row>
    <row r="1354" spans="1:11" x14ac:dyDescent="0.35">
      <c r="A1354" s="9" t="str">
        <f>HYPERLINK("http://www.ensembl.org/id/WBGene00002263", "WBGene00002263")</f>
        <v>WBGene00002263</v>
      </c>
      <c r="B1354" s="9" t="str">
        <f>HYPERLINK("http://www.ncbi.nlm.nih.gov/gene/3564838", "3564838")</f>
        <v>3564838</v>
      </c>
      <c r="C1354" s="9"/>
      <c r="D1354" t="str">
        <f>"lea-1"</f>
        <v>lea-1</v>
      </c>
      <c r="E1354" t="s">
        <v>1148</v>
      </c>
      <c r="F1354" t="s">
        <v>11</v>
      </c>
      <c r="G1354" t="s">
        <v>1149</v>
      </c>
      <c r="H1354" s="12">
        <v>-1.5512100253327601</v>
      </c>
      <c r="I1354" s="20">
        <v>-2.4412555027654501</v>
      </c>
      <c r="J1354" s="28">
        <v>1.4636295416322999E-2</v>
      </c>
      <c r="K1354" s="29">
        <v>0.25013775287689299</v>
      </c>
    </row>
    <row r="1355" spans="1:11" x14ac:dyDescent="0.35">
      <c r="A1355" s="9" t="str">
        <f>HYPERLINK("http://www.ensembl.org/id/WBGene00016368", "WBGene00016368")</f>
        <v>WBGene00016368</v>
      </c>
      <c r="B1355" s="9" t="str">
        <f>HYPERLINK("http://www.ncbi.nlm.nih.gov/gene/183182", "183182")</f>
        <v>183182</v>
      </c>
      <c r="C1355" s="9"/>
      <c r="D1355" t="str">
        <f>"nhr-163"</f>
        <v>nhr-163</v>
      </c>
      <c r="E1355" t="s">
        <v>637</v>
      </c>
      <c r="F1355" t="s">
        <v>11</v>
      </c>
      <c r="G1355" t="s">
        <v>1073</v>
      </c>
      <c r="H1355" s="12">
        <v>2.5969523523360101</v>
      </c>
      <c r="I1355" s="20">
        <v>2.4405478205479598</v>
      </c>
      <c r="J1355" s="28">
        <v>1.4665004208901201E-2</v>
      </c>
      <c r="K1355" s="29">
        <v>0.25031660576892401</v>
      </c>
    </row>
    <row r="1356" spans="1:11" x14ac:dyDescent="0.35">
      <c r="A1356" s="9" t="str">
        <f>HYPERLINK("http://www.ensembl.org/id/WBGene00013748", "WBGene00013748")</f>
        <v>WBGene00013748</v>
      </c>
      <c r="B1356" s="9" t="str">
        <f>HYPERLINK("http://www.ncbi.nlm.nih.gov/gene/190959", "190959")</f>
        <v>190959</v>
      </c>
      <c r="C1356" s="9" t="str">
        <f>HYPERLINK("http://www.ncbi.nlm.nih.gov/gene/27284", "27284")</f>
        <v>27284</v>
      </c>
      <c r="D1356" t="str">
        <f>"ssu-1"</f>
        <v>ssu-1</v>
      </c>
      <c r="E1356" t="s">
        <v>1150</v>
      </c>
      <c r="F1356" t="s">
        <v>11</v>
      </c>
      <c r="G1356" t="s">
        <v>1151</v>
      </c>
      <c r="H1356" s="12">
        <v>3.02978702589993</v>
      </c>
      <c r="I1356" s="20">
        <v>2.4401968432429699</v>
      </c>
      <c r="J1356" s="28">
        <v>1.4679260833415199E-2</v>
      </c>
      <c r="K1356" s="29">
        <v>0.25031660576892401</v>
      </c>
    </row>
    <row r="1357" spans="1:11" x14ac:dyDescent="0.35">
      <c r="A1357" s="9" t="str">
        <f>HYPERLINK("http://www.ensembl.org/id/WBGene00006948", "WBGene00006948")</f>
        <v>WBGene00006948</v>
      </c>
      <c r="B1357" s="9" t="str">
        <f>HYPERLINK("http://www.ncbi.nlm.nih.gov/gene/180597", "180597")</f>
        <v>180597</v>
      </c>
      <c r="C1357" s="9"/>
      <c r="D1357" t="str">
        <f>"wrt-2"</f>
        <v>wrt-2</v>
      </c>
      <c r="E1357" t="s">
        <v>1152</v>
      </c>
      <c r="F1357" t="s">
        <v>11</v>
      </c>
      <c r="H1357" s="12">
        <v>2.7100148061331901</v>
      </c>
      <c r="I1357" s="20">
        <v>2.4402281101565602</v>
      </c>
      <c r="J1357" s="28">
        <v>1.4677990282438399E-2</v>
      </c>
      <c r="K1357" s="29">
        <v>0.25031660576892401</v>
      </c>
    </row>
    <row r="1358" spans="1:11" x14ac:dyDescent="0.35">
      <c r="A1358" s="9" t="str">
        <f>HYPERLINK("http://www.ensembl.org/id/WBGene00000749", "WBGene00000749")</f>
        <v>WBGene00000749</v>
      </c>
      <c r="B1358" s="9" t="str">
        <f>HYPERLINK("http://www.ncbi.nlm.nih.gov/gene/181219", "181219")</f>
        <v>181219</v>
      </c>
      <c r="C1358" s="9"/>
      <c r="D1358" t="str">
        <f>"col-176"</f>
        <v>col-176</v>
      </c>
      <c r="E1358" t="s">
        <v>40</v>
      </c>
      <c r="F1358" t="s">
        <v>11</v>
      </c>
      <c r="G1358" t="s">
        <v>152</v>
      </c>
      <c r="H1358" s="12">
        <v>1.96359253110777</v>
      </c>
      <c r="I1358" s="20">
        <v>2.43945975629057</v>
      </c>
      <c r="J1358" s="28">
        <v>1.47092409253763E-2</v>
      </c>
      <c r="K1358" s="29">
        <v>0.25053460796759502</v>
      </c>
    </row>
    <row r="1359" spans="1:11" x14ac:dyDescent="0.35">
      <c r="A1359" s="9" t="str">
        <f>HYPERLINK("http://www.ensembl.org/id/WBGene00004123", "WBGene00004123")</f>
        <v>WBGene00004123</v>
      </c>
      <c r="B1359" s="9" t="str">
        <f>HYPERLINK("http://www.ncbi.nlm.nih.gov/gene/181630", "181630")</f>
        <v>181630</v>
      </c>
      <c r="C1359" s="9"/>
      <c r="D1359" t="str">
        <f>"pqn-36"</f>
        <v>pqn-36</v>
      </c>
      <c r="E1359" t="s">
        <v>432</v>
      </c>
      <c r="F1359" t="s">
        <v>11</v>
      </c>
      <c r="H1359" s="12">
        <v>1.8138212511095899</v>
      </c>
      <c r="I1359" s="20">
        <v>2.4386285431961401</v>
      </c>
      <c r="J1359" s="28">
        <v>1.47431142154684E-2</v>
      </c>
      <c r="K1359" s="29">
        <v>0.25053460796759502</v>
      </c>
    </row>
    <row r="1360" spans="1:11" x14ac:dyDescent="0.35">
      <c r="A1360" s="9" t="str">
        <f>HYPERLINK("http://www.ensembl.org/id/WBGene00021088", "WBGene00021088")</f>
        <v>WBGene00021088</v>
      </c>
      <c r="B1360" s="9" t="str">
        <f>HYPERLINK("http://www.ncbi.nlm.nih.gov/gene/177097", "177097")</f>
        <v>177097</v>
      </c>
      <c r="C1360" s="9" t="str">
        <f>HYPERLINK("http://www.ncbi.nlm.nih.gov/gene/5036", "5036")</f>
        <v>5036</v>
      </c>
      <c r="D1360" t="str">
        <f>"W08E12.7"</f>
        <v>W08E12.7</v>
      </c>
      <c r="F1360" t="s">
        <v>11</v>
      </c>
      <c r="H1360" s="12">
        <v>-1.5701719470066</v>
      </c>
      <c r="I1360" s="20">
        <v>-2.4389341227693602</v>
      </c>
      <c r="J1360" s="28">
        <v>1.4730653366020001E-2</v>
      </c>
      <c r="K1360" s="29">
        <v>0.25053460796759502</v>
      </c>
    </row>
    <row r="1361" spans="1:11" x14ac:dyDescent="0.35">
      <c r="A1361" s="9" t="str">
        <f>HYPERLINK("http://www.ensembl.org/id/WBGene00022508", "WBGene00022508")</f>
        <v>WBGene00022508</v>
      </c>
      <c r="B1361" s="9" t="str">
        <f>HYPERLINK("http://www.ncbi.nlm.nih.gov/gene/191066", "191066")</f>
        <v>191066</v>
      </c>
      <c r="C1361" s="9"/>
      <c r="D1361" t="str">
        <f>"ZC53.1"</f>
        <v>ZC53.1</v>
      </c>
      <c r="F1361" t="s">
        <v>11</v>
      </c>
      <c r="H1361" s="12">
        <v>-2.0876823102881499</v>
      </c>
      <c r="I1361" s="20">
        <v>-2.4391058443457698</v>
      </c>
      <c r="J1361" s="28">
        <v>1.4723655020010501E-2</v>
      </c>
      <c r="K1361" s="29">
        <v>0.25053460796759502</v>
      </c>
    </row>
    <row r="1362" spans="1:11" x14ac:dyDescent="0.35">
      <c r="A1362" s="9" t="str">
        <f>HYPERLINK("http://www.ensembl.org/id/WBGene00011600", "WBGene00011600")</f>
        <v>WBGene00011600</v>
      </c>
      <c r="B1362" s="9" t="str">
        <f>HYPERLINK("http://www.ncbi.nlm.nih.gov/gene/177948", "177948")</f>
        <v>177948</v>
      </c>
      <c r="C1362" s="9"/>
      <c r="D1362" t="str">
        <f>"zim-2"</f>
        <v>zim-2</v>
      </c>
      <c r="E1362" t="s">
        <v>326</v>
      </c>
      <c r="F1362" t="s">
        <v>11</v>
      </c>
      <c r="G1362" t="s">
        <v>327</v>
      </c>
      <c r="H1362" s="12">
        <v>-1.89058943142534</v>
      </c>
      <c r="I1362" s="20">
        <v>-2.4385514523041398</v>
      </c>
      <c r="J1362" s="28">
        <v>1.47462592762023E-2</v>
      </c>
      <c r="K1362" s="29">
        <v>0.25053460796759502</v>
      </c>
    </row>
    <row r="1363" spans="1:11" x14ac:dyDescent="0.35">
      <c r="A1363" s="9" t="str">
        <f>HYPERLINK("http://www.ensembl.org/id/WBGene00009156", "WBGene00009156")</f>
        <v>WBGene00009156</v>
      </c>
      <c r="B1363" s="9" t="str">
        <f>HYPERLINK("http://www.ncbi.nlm.nih.gov/gene/178506", "178506")</f>
        <v>178506</v>
      </c>
      <c r="C1363" s="9"/>
      <c r="D1363" t="str">
        <f>"clec-196"</f>
        <v>clec-196</v>
      </c>
      <c r="E1363" t="s">
        <v>46</v>
      </c>
      <c r="F1363" t="s">
        <v>11</v>
      </c>
      <c r="G1363" t="s">
        <v>47</v>
      </c>
      <c r="H1363" s="12">
        <v>1.82331085557388</v>
      </c>
      <c r="I1363" s="20">
        <v>2.4364589865401598</v>
      </c>
      <c r="J1363" s="28">
        <v>1.4831851303727E-2</v>
      </c>
      <c r="K1363" s="29">
        <v>0.25161876374736802</v>
      </c>
    </row>
    <row r="1364" spans="1:11" x14ac:dyDescent="0.35">
      <c r="A1364" s="9" t="str">
        <f>HYPERLINK("http://www.ensembl.org/id/WBGene00003993", "WBGene00003993")</f>
        <v>WBGene00003993</v>
      </c>
      <c r="B1364" s="9" t="str">
        <f>HYPERLINK("http://www.ncbi.nlm.nih.gov/gene/182022", "182022")</f>
        <v>182022</v>
      </c>
      <c r="C1364" s="9"/>
      <c r="D1364" t="str">
        <f>"pgl-2"</f>
        <v>pgl-2</v>
      </c>
      <c r="E1364" t="s">
        <v>1153</v>
      </c>
      <c r="F1364" t="s">
        <v>11</v>
      </c>
      <c r="H1364" s="12">
        <v>-1.8207211751174801</v>
      </c>
      <c r="I1364" s="20">
        <v>-2.4366649848578299</v>
      </c>
      <c r="J1364" s="28">
        <v>1.4823405586269701E-2</v>
      </c>
      <c r="K1364" s="29">
        <v>0.25161876374736802</v>
      </c>
    </row>
    <row r="1365" spans="1:11" x14ac:dyDescent="0.35">
      <c r="A1365" s="9" t="str">
        <f>HYPERLINK("http://www.ensembl.org/id/WBGene00005007", "WBGene00005007")</f>
        <v>WBGene00005007</v>
      </c>
      <c r="B1365" s="9" t="str">
        <f>HYPERLINK("http://www.ncbi.nlm.nih.gov/gene/177704", "177704")</f>
        <v>177704</v>
      </c>
      <c r="C1365" s="9" t="str">
        <f>HYPERLINK("http://www.ncbi.nlm.nih.gov/gene/6418", "6418")</f>
        <v>6418</v>
      </c>
      <c r="D1365" t="str">
        <f>"spr-2"</f>
        <v>spr-2</v>
      </c>
      <c r="E1365" t="s">
        <v>1154</v>
      </c>
      <c r="F1365" t="s">
        <v>11</v>
      </c>
      <c r="G1365" t="s">
        <v>1155</v>
      </c>
      <c r="H1365" s="12">
        <v>-1.5849183890327201</v>
      </c>
      <c r="I1365" s="20">
        <v>-2.43587226019591</v>
      </c>
      <c r="J1365" s="28">
        <v>1.48559297179378E-2</v>
      </c>
      <c r="K1365" s="29">
        <v>0.25184234193886301</v>
      </c>
    </row>
    <row r="1366" spans="1:11" x14ac:dyDescent="0.35">
      <c r="A1366" s="9" t="str">
        <f>HYPERLINK("http://www.ensembl.org/id/WBGene00015056", "WBGene00015056")</f>
        <v>WBGene00015056</v>
      </c>
      <c r="B1366" s="9" t="str">
        <f>HYPERLINK("http://www.ncbi.nlm.nih.gov/gene/181860", "181860")</f>
        <v>181860</v>
      </c>
      <c r="C1366" s="9"/>
      <c r="D1366" t="str">
        <f>"B0222.5"</f>
        <v>B0222.5</v>
      </c>
      <c r="F1366" t="s">
        <v>11</v>
      </c>
      <c r="G1366" t="s">
        <v>50</v>
      </c>
      <c r="H1366" s="12">
        <v>1.75939159549677</v>
      </c>
      <c r="I1366" s="20">
        <v>2.4341850132485199</v>
      </c>
      <c r="J1366" s="28">
        <v>1.49253639814085E-2</v>
      </c>
      <c r="K1366" s="29">
        <v>0.252777729202523</v>
      </c>
    </row>
    <row r="1367" spans="1:11" x14ac:dyDescent="0.35">
      <c r="A1367" s="9" t="str">
        <f>HYPERLINK("http://www.ensembl.org/id/WBGene00003936", "WBGene00003936")</f>
        <v>WBGene00003936</v>
      </c>
      <c r="B1367" s="9" t="str">
        <f>HYPERLINK("http://www.ncbi.nlm.nih.gov/gene/175227", "175227")</f>
        <v>175227</v>
      </c>
      <c r="C1367" s="9"/>
      <c r="D1367" t="str">
        <f>"pat-12"</f>
        <v>pat-12</v>
      </c>
      <c r="F1367" t="s">
        <v>11</v>
      </c>
      <c r="H1367" s="12">
        <v>1.59987211984238</v>
      </c>
      <c r="I1367" s="20">
        <v>2.4340001931834099</v>
      </c>
      <c r="J1367" s="28">
        <v>1.49329871185599E-2</v>
      </c>
      <c r="K1367" s="29">
        <v>0.252777729202523</v>
      </c>
    </row>
    <row r="1368" spans="1:11" x14ac:dyDescent="0.35">
      <c r="A1368" s="9" t="str">
        <f>HYPERLINK("http://www.ensembl.org/id/WBGene00018302", "WBGene00018302")</f>
        <v>WBGene00018302</v>
      </c>
      <c r="B1368" s="9" t="str">
        <f>HYPERLINK("http://www.ncbi.nlm.nih.gov/gene/174112", "174112")</f>
        <v>174112</v>
      </c>
      <c r="C1368" s="9"/>
      <c r="D1368" t="str">
        <f>"F41G3.6"</f>
        <v>F41G3.6</v>
      </c>
      <c r="F1368" t="s">
        <v>11</v>
      </c>
      <c r="H1368" s="12">
        <v>-1.65480902881629</v>
      </c>
      <c r="I1368" s="20">
        <v>-2.4317944722270299</v>
      </c>
      <c r="J1368" s="28">
        <v>1.5024229968042299E-2</v>
      </c>
      <c r="K1368" s="29">
        <v>0.25411757259636902</v>
      </c>
    </row>
    <row r="1369" spans="1:11" x14ac:dyDescent="0.35">
      <c r="A1369" s="9" t="str">
        <f>HYPERLINK("http://www.ensembl.org/id/WBGene00022390", "WBGene00022390")</f>
        <v>WBGene00022390</v>
      </c>
      <c r="B1369" s="9" t="str">
        <f>HYPERLINK("http://www.ncbi.nlm.nih.gov/gene/190809", "190809")</f>
        <v>190809</v>
      </c>
      <c r="C1369" s="9"/>
      <c r="D1369" t="str">
        <f>"him-19"</f>
        <v>him-19</v>
      </c>
      <c r="E1369" t="s">
        <v>1036</v>
      </c>
      <c r="F1369" t="s">
        <v>11</v>
      </c>
      <c r="G1369" t="s">
        <v>1157</v>
      </c>
      <c r="H1369" s="12">
        <v>-2.3364416102465899</v>
      </c>
      <c r="I1369" s="20">
        <v>-2.4312908242806399</v>
      </c>
      <c r="J1369" s="28">
        <v>1.5045132836139201E-2</v>
      </c>
      <c r="K1369" s="29">
        <v>0.25411757259636902</v>
      </c>
    </row>
    <row r="1370" spans="1:11" x14ac:dyDescent="0.35">
      <c r="A1370" s="9" t="str">
        <f>HYPERLINK("http://www.ensembl.org/id/WBGene00003891", "WBGene00003891")</f>
        <v>WBGene00003891</v>
      </c>
      <c r="B1370" s="9" t="str">
        <f>HYPERLINK("http://www.ncbi.nlm.nih.gov/gene/181772", "181772")</f>
        <v>181772</v>
      </c>
      <c r="C1370" s="9"/>
      <c r="D1370" t="str">
        <f>"osm-11"</f>
        <v>osm-11</v>
      </c>
      <c r="F1370" t="s">
        <v>11</v>
      </c>
      <c r="G1370" t="s">
        <v>1156</v>
      </c>
      <c r="H1370" s="12">
        <v>1.5992896019156999</v>
      </c>
      <c r="I1370" s="20">
        <v>2.43131199243548</v>
      </c>
      <c r="J1370" s="28">
        <v>1.50442537801609E-2</v>
      </c>
      <c r="K1370" s="29">
        <v>0.25411757259636902</v>
      </c>
    </row>
    <row r="1371" spans="1:11" x14ac:dyDescent="0.35">
      <c r="A1371" s="9" t="str">
        <f>HYPERLINK("http://www.ensembl.org/id/WBGene00007221", "WBGene00007221")</f>
        <v>WBGene00007221</v>
      </c>
      <c r="B1371" s="9" t="str">
        <f>HYPERLINK("http://www.ncbi.nlm.nih.gov/gene/3565393", "3565393")</f>
        <v>3565393</v>
      </c>
      <c r="C1371" s="9"/>
      <c r="D1371" t="str">
        <f>"cpna-3"</f>
        <v>cpna-3</v>
      </c>
      <c r="E1371" t="s">
        <v>1158</v>
      </c>
      <c r="F1371" t="s">
        <v>11</v>
      </c>
      <c r="G1371" t="s">
        <v>1043</v>
      </c>
      <c r="H1371" s="12">
        <v>-1.6242331042945</v>
      </c>
      <c r="I1371" s="20">
        <v>-2.43003012444944</v>
      </c>
      <c r="J1371" s="28">
        <v>1.5097567928510001E-2</v>
      </c>
      <c r="K1371" s="29">
        <v>0.25468965924110498</v>
      </c>
    </row>
    <row r="1372" spans="1:11" x14ac:dyDescent="0.35">
      <c r="A1372" s="9" t="str">
        <f>HYPERLINK("http://www.ensembl.org/id/WBGene00007131", "WBGene00007131")</f>
        <v>WBGene00007131</v>
      </c>
      <c r="B1372" s="9" t="str">
        <f>HYPERLINK("http://www.ncbi.nlm.nih.gov/gene/181902", "181902")</f>
        <v>181902</v>
      </c>
      <c r="C1372" s="9"/>
      <c r="D1372" t="str">
        <f>"pals-26"</f>
        <v>pals-26</v>
      </c>
      <c r="E1372" t="s">
        <v>1147</v>
      </c>
      <c r="F1372" t="s">
        <v>11</v>
      </c>
      <c r="H1372" s="12">
        <v>-2.11251114910019</v>
      </c>
      <c r="I1372" s="20">
        <v>-2.42994657066096</v>
      </c>
      <c r="J1372" s="28">
        <v>1.51010487821481E-2</v>
      </c>
      <c r="K1372" s="29">
        <v>0.25468965924110498</v>
      </c>
    </row>
    <row r="1373" spans="1:11" x14ac:dyDescent="0.35">
      <c r="A1373" s="9" t="str">
        <f>HYPERLINK("http://www.ensembl.org/id/WBGene00019396", "WBGene00019396")</f>
        <v>WBGene00019396</v>
      </c>
      <c r="B1373" s="9" t="str">
        <f>HYPERLINK("http://www.ncbi.nlm.nih.gov/gene/172334", "172334")</f>
        <v>172334</v>
      </c>
      <c r="C1373" s="9"/>
      <c r="D1373" t="str">
        <f>"K04F10.3"</f>
        <v>K04F10.3</v>
      </c>
      <c r="E1373" t="s">
        <v>1161</v>
      </c>
      <c r="F1373" t="s">
        <v>11</v>
      </c>
      <c r="H1373" s="12">
        <v>-1.68526627866065</v>
      </c>
      <c r="I1373" s="20">
        <v>-2.4295311395474202</v>
      </c>
      <c r="J1373" s="28">
        <v>1.51183661520688E-2</v>
      </c>
      <c r="K1373" s="29">
        <v>0.254770625574821</v>
      </c>
    </row>
    <row r="1374" spans="1:11" x14ac:dyDescent="0.35">
      <c r="A1374" s="9" t="str">
        <f>HYPERLINK("http://www.ensembl.org/id/WBGene00004345", "WBGene00004345")</f>
        <v>WBGene00004345</v>
      </c>
      <c r="B1374" s="9" t="str">
        <f>HYPERLINK("http://www.ncbi.nlm.nih.gov/gene/181414", "181414")</f>
        <v>181414</v>
      </c>
      <c r="C1374" s="9" t="str">
        <f>HYPERLINK("http://www.ncbi.nlm.nih.gov/gene/8601", "8601")</f>
        <v>8601</v>
      </c>
      <c r="D1374" t="str">
        <f>"rgs-2"</f>
        <v>rgs-2</v>
      </c>
      <c r="E1374" t="s">
        <v>1159</v>
      </c>
      <c r="F1374" t="s">
        <v>11</v>
      </c>
      <c r="G1374" t="s">
        <v>1160</v>
      </c>
      <c r="H1374" s="12">
        <v>1.72396478504469</v>
      </c>
      <c r="I1374" s="20">
        <v>2.4293025658999001</v>
      </c>
      <c r="J1374" s="28">
        <v>1.5127901769612E-2</v>
      </c>
      <c r="K1374" s="29">
        <v>0.254770625574821</v>
      </c>
    </row>
    <row r="1375" spans="1:11" x14ac:dyDescent="0.35">
      <c r="A1375" s="9" t="str">
        <f>HYPERLINK("http://www.ensembl.org/id/WBGene00015464", "WBGene00015464")</f>
        <v>WBGene00015464</v>
      </c>
      <c r="B1375" s="9" t="str">
        <f>HYPERLINK("http://www.ncbi.nlm.nih.gov/gene/179120", "179120")</f>
        <v>179120</v>
      </c>
      <c r="C1375" s="9"/>
      <c r="D1375" t="str">
        <f>"C05C8.7"</f>
        <v>C05C8.7</v>
      </c>
      <c r="F1375" t="s">
        <v>11</v>
      </c>
      <c r="G1375" t="s">
        <v>1162</v>
      </c>
      <c r="H1375" s="12">
        <v>1.64387089621237</v>
      </c>
      <c r="I1375" s="20">
        <v>2.4271067665077499</v>
      </c>
      <c r="J1375" s="28">
        <v>1.52197761421024E-2</v>
      </c>
      <c r="K1375" s="29">
        <v>0.25613120723919702</v>
      </c>
    </row>
    <row r="1376" spans="1:11" x14ac:dyDescent="0.35">
      <c r="A1376" s="9" t="str">
        <f>HYPERLINK("http://www.ensembl.org/id/WBGene00001998", "WBGene00001998")</f>
        <v>WBGene00001998</v>
      </c>
      <c r="B1376" s="9" t="str">
        <f>HYPERLINK("http://www.ncbi.nlm.nih.gov/gene/174958", "174958")</f>
        <v>174958</v>
      </c>
      <c r="C1376" s="9"/>
      <c r="D1376" t="str">
        <f>"hpr-17"</f>
        <v>hpr-17</v>
      </c>
      <c r="E1376" t="s">
        <v>1163</v>
      </c>
      <c r="F1376" t="s">
        <v>11</v>
      </c>
      <c r="G1376" t="s">
        <v>1164</v>
      </c>
      <c r="H1376" s="12">
        <v>-1.8087999829418799</v>
      </c>
      <c r="I1376" s="20">
        <v>-2.4260100167952201</v>
      </c>
      <c r="J1376" s="28">
        <v>1.5265848923768E-2</v>
      </c>
      <c r="K1376" s="29">
        <v>0.25671958168310399</v>
      </c>
    </row>
    <row r="1377" spans="1:11" x14ac:dyDescent="0.35">
      <c r="A1377" s="9" t="str">
        <f>HYPERLINK("http://www.ensembl.org/id/WBGene00220198", "WBGene00220198")</f>
        <v>WBGene00220198</v>
      </c>
      <c r="B1377" s="9"/>
      <c r="C1377" s="9"/>
      <c r="D1377" t="str">
        <f>"Y71G12B.42"</f>
        <v>Y71G12B.42</v>
      </c>
      <c r="F1377" t="s">
        <v>481</v>
      </c>
      <c r="H1377" s="12">
        <v>-2.0763715540978702</v>
      </c>
      <c r="I1377" s="20">
        <v>-2.4256482039698799</v>
      </c>
      <c r="J1377" s="28">
        <v>1.5281075042010201E-2</v>
      </c>
      <c r="K1377" s="29">
        <v>0.25678874176050098</v>
      </c>
    </row>
    <row r="1378" spans="1:11" x14ac:dyDescent="0.35">
      <c r="A1378" s="9" t="str">
        <f>HYPERLINK("http://www.ensembl.org/id/WBGene00219908", "WBGene00219908")</f>
        <v>WBGene00219908</v>
      </c>
      <c r="B1378" s="9"/>
      <c r="C1378" s="9"/>
      <c r="D1378" t="str">
        <f>"F20C5.10"</f>
        <v>F20C5.10</v>
      </c>
      <c r="F1378" t="s">
        <v>481</v>
      </c>
      <c r="H1378" s="12">
        <v>-2.5876340225283001</v>
      </c>
      <c r="I1378" s="20">
        <v>-2.4248167744507501</v>
      </c>
      <c r="J1378" s="28">
        <v>1.5316114647463601E-2</v>
      </c>
      <c r="K1378" s="29">
        <v>0.25705200813228901</v>
      </c>
    </row>
    <row r="1379" spans="1:11" x14ac:dyDescent="0.35">
      <c r="A1379" s="9" t="str">
        <f>HYPERLINK("http://www.ensembl.org/id/WBGene00001777", "WBGene00001777")</f>
        <v>WBGene00001777</v>
      </c>
      <c r="B1379" s="9" t="str">
        <f>HYPERLINK("http://www.ncbi.nlm.nih.gov/gene/190225", "190225")</f>
        <v>190225</v>
      </c>
      <c r="C1379" s="9" t="str">
        <f>HYPERLINK("http://www.ncbi.nlm.nih.gov/gene/27306", "27306")</f>
        <v>27306</v>
      </c>
      <c r="D1379" t="str">
        <f>"gst-29"</f>
        <v>gst-29</v>
      </c>
      <c r="E1379" t="s">
        <v>272</v>
      </c>
      <c r="F1379" t="s">
        <v>11</v>
      </c>
      <c r="G1379" t="s">
        <v>876</v>
      </c>
      <c r="H1379" s="12">
        <v>-2.2806361124758299</v>
      </c>
      <c r="I1379" s="20">
        <v>-2.4244936854147401</v>
      </c>
      <c r="J1379" s="28">
        <v>1.53297499215133E-2</v>
      </c>
      <c r="K1379" s="29">
        <v>0.25705200813228901</v>
      </c>
    </row>
    <row r="1380" spans="1:11" x14ac:dyDescent="0.35">
      <c r="A1380" s="9" t="str">
        <f>HYPERLINK("http://www.ensembl.org/id/WBGene00005652", "WBGene00005652")</f>
        <v>WBGene00005652</v>
      </c>
      <c r="B1380" s="9" t="str">
        <f>HYPERLINK("http://www.ncbi.nlm.nih.gov/gene/189285", "189285")</f>
        <v>189285</v>
      </c>
      <c r="C1380" s="9"/>
      <c r="D1380" t="str">
        <f>"srr-1"</f>
        <v>srr-1</v>
      </c>
      <c r="E1380" t="s">
        <v>755</v>
      </c>
      <c r="F1380" t="s">
        <v>11</v>
      </c>
      <c r="G1380" t="s">
        <v>25</v>
      </c>
      <c r="H1380" s="12">
        <v>2.1889982928480198</v>
      </c>
      <c r="I1380" s="20">
        <v>2.42448500755656</v>
      </c>
      <c r="J1380" s="28">
        <v>1.5330116299069199E-2</v>
      </c>
      <c r="K1380" s="29">
        <v>0.25705200813228901</v>
      </c>
    </row>
    <row r="1381" spans="1:11" x14ac:dyDescent="0.35">
      <c r="A1381" s="9" t="str">
        <f>HYPERLINK("http://www.ensembl.org/id/WBGene00009059", "WBGene00009059")</f>
        <v>WBGene00009059</v>
      </c>
      <c r="B1381" s="9" t="str">
        <f>HYPERLINK("http://www.ncbi.nlm.nih.gov/gene/184848", "184848")</f>
        <v>184848</v>
      </c>
      <c r="C1381" s="9"/>
      <c r="D1381" t="str">
        <f>"chw-1"</f>
        <v>chw-1</v>
      </c>
      <c r="E1381" t="s">
        <v>1165</v>
      </c>
      <c r="F1381" t="s">
        <v>11</v>
      </c>
      <c r="G1381" t="s">
        <v>1166</v>
      </c>
      <c r="H1381" s="12">
        <v>1.8483904275907601</v>
      </c>
      <c r="I1381" s="20">
        <v>2.42298351943553</v>
      </c>
      <c r="J1381" s="28">
        <v>1.53936250172851E-2</v>
      </c>
      <c r="K1381" s="29">
        <v>0.25792973143538001</v>
      </c>
    </row>
    <row r="1382" spans="1:11" x14ac:dyDescent="0.35">
      <c r="A1382" s="9" t="str">
        <f>HYPERLINK("http://www.ensembl.org/id/WBGene00006538", "WBGene00006538")</f>
        <v>WBGene00006538</v>
      </c>
      <c r="B1382" s="9" t="str">
        <f>HYPERLINK("http://www.ncbi.nlm.nih.gov/gene/181170", "181170")</f>
        <v>181170</v>
      </c>
      <c r="C1382" s="9" t="str">
        <f>HYPERLINK("http://www.ncbi.nlm.nih.gov/gene/10383", "10383")</f>
        <v>10383</v>
      </c>
      <c r="D1382" t="str">
        <f>"tbb-4"</f>
        <v>tbb-4</v>
      </c>
      <c r="E1382" t="s">
        <v>1167</v>
      </c>
      <c r="F1382" t="s">
        <v>11</v>
      </c>
      <c r="G1382" t="s">
        <v>1168</v>
      </c>
      <c r="H1382" s="12">
        <v>1.90637847423457</v>
      </c>
      <c r="I1382" s="20">
        <v>2.4221009694763298</v>
      </c>
      <c r="J1382" s="28">
        <v>1.54310623624664E-2</v>
      </c>
      <c r="K1382" s="29">
        <v>0.25836965720807897</v>
      </c>
    </row>
    <row r="1383" spans="1:11" x14ac:dyDescent="0.35">
      <c r="A1383" s="9" t="str">
        <f>HYPERLINK("http://www.ensembl.org/id/WBGene00002226", "WBGene00002226")</f>
        <v>WBGene00002226</v>
      </c>
      <c r="B1383" s="9" t="str">
        <f>HYPERLINK("http://www.ncbi.nlm.nih.gov/gene/172784", "172784")</f>
        <v>172784</v>
      </c>
      <c r="C1383" s="9"/>
      <c r="D1383" t="str">
        <f>"klp-16"</f>
        <v>klp-16</v>
      </c>
      <c r="E1383" t="s">
        <v>469</v>
      </c>
      <c r="F1383" t="s">
        <v>11</v>
      </c>
      <c r="G1383" t="s">
        <v>1169</v>
      </c>
      <c r="H1383" s="12">
        <v>-1.6164871453765099</v>
      </c>
      <c r="I1383" s="20">
        <v>-2.4217732742550102</v>
      </c>
      <c r="J1383" s="28">
        <v>1.5444983424271801E-2</v>
      </c>
      <c r="K1383" s="29">
        <v>0.25841548660479602</v>
      </c>
    </row>
    <row r="1384" spans="1:11" x14ac:dyDescent="0.35">
      <c r="A1384" s="9" t="str">
        <f>HYPERLINK("http://www.ensembl.org/id/WBGene00011318", "WBGene00011318")</f>
        <v>WBGene00011318</v>
      </c>
      <c r="B1384" s="9" t="str">
        <f>HYPERLINK("http://www.ncbi.nlm.nih.gov/gene/179995", "179995")</f>
        <v>179995</v>
      </c>
      <c r="C1384" s="9"/>
      <c r="D1384" t="str">
        <f>"cdt-2"</f>
        <v>cdt-2</v>
      </c>
      <c r="E1384" t="s">
        <v>1170</v>
      </c>
      <c r="F1384" t="s">
        <v>11</v>
      </c>
      <c r="G1384" t="s">
        <v>1171</v>
      </c>
      <c r="H1384" s="12">
        <v>-1.69802928247949</v>
      </c>
      <c r="I1384" s="20">
        <v>-2.4213246891067501</v>
      </c>
      <c r="J1384" s="28">
        <v>1.5464058021608299E-2</v>
      </c>
      <c r="K1384" s="29">
        <v>0.258547412914096</v>
      </c>
    </row>
    <row r="1385" spans="1:11" x14ac:dyDescent="0.35">
      <c r="A1385" s="9" t="str">
        <f>HYPERLINK("http://www.ensembl.org/id/WBGene00000649", "WBGene00000649")</f>
        <v>WBGene00000649</v>
      </c>
      <c r="B1385" s="9" t="str">
        <f>HYPERLINK("http://www.ncbi.nlm.nih.gov/gene/184366", "184366")</f>
        <v>184366</v>
      </c>
      <c r="C1385" s="9"/>
      <c r="D1385" t="str">
        <f>"col-73"</f>
        <v>col-73</v>
      </c>
      <c r="E1385" t="s">
        <v>40</v>
      </c>
      <c r="F1385" t="s">
        <v>11</v>
      </c>
      <c r="G1385" t="s">
        <v>41</v>
      </c>
      <c r="H1385" s="12">
        <v>10.4971559573058</v>
      </c>
      <c r="I1385" s="20">
        <v>2.4209420003612099</v>
      </c>
      <c r="J1385" s="28">
        <v>1.54803469774833E-2</v>
      </c>
      <c r="K1385" s="29">
        <v>0.258632608287584</v>
      </c>
    </row>
    <row r="1386" spans="1:11" x14ac:dyDescent="0.35">
      <c r="A1386" s="9" t="str">
        <f>HYPERLINK("http://www.ensembl.org/id/WBGene00011044", "WBGene00011044")</f>
        <v>WBGene00011044</v>
      </c>
      <c r="B1386" s="9" t="str">
        <f>HYPERLINK("http://www.ncbi.nlm.nih.gov/gene/175148", "175148")</f>
        <v>175148</v>
      </c>
      <c r="C1386" s="9"/>
      <c r="D1386" t="str">
        <f>"R05H10.3"</f>
        <v>R05H10.3</v>
      </c>
      <c r="F1386" t="s">
        <v>11</v>
      </c>
      <c r="H1386" s="12">
        <v>-1.74155466164488</v>
      </c>
      <c r="I1386" s="20">
        <v>-2.42014054104536</v>
      </c>
      <c r="J1386" s="28">
        <v>1.55145096283215E-2</v>
      </c>
      <c r="K1386" s="29">
        <v>0.259016083433523</v>
      </c>
    </row>
    <row r="1387" spans="1:11" x14ac:dyDescent="0.35">
      <c r="A1387" s="9" t="str">
        <f>HYPERLINK("http://www.ensembl.org/id/WBGene00008027", "WBGene00008027")</f>
        <v>WBGene00008027</v>
      </c>
      <c r="B1387" s="9" t="str">
        <f>HYPERLINK("http://www.ncbi.nlm.nih.gov/gene/178253", "178253")</f>
        <v>178253</v>
      </c>
      <c r="C1387" s="9"/>
      <c r="D1387" t="str">
        <f>"scl-5"</f>
        <v>scl-5</v>
      </c>
      <c r="E1387" t="s">
        <v>162</v>
      </c>
      <c r="F1387" t="s">
        <v>11</v>
      </c>
      <c r="G1387" t="s">
        <v>1172</v>
      </c>
      <c r="H1387" s="12">
        <v>2.4124392139309698</v>
      </c>
      <c r="I1387" s="20">
        <v>2.4193010157835402</v>
      </c>
      <c r="J1387" s="28">
        <v>1.5550365991103701E-2</v>
      </c>
      <c r="K1387" s="29">
        <v>0.25942726107613101</v>
      </c>
    </row>
    <row r="1388" spans="1:11" x14ac:dyDescent="0.35">
      <c r="A1388" s="9" t="str">
        <f>HYPERLINK("http://www.ensembl.org/id/WBGene00008033", "WBGene00008033")</f>
        <v>WBGene00008033</v>
      </c>
      <c r="B1388" s="9" t="str">
        <f>HYPERLINK("http://www.ncbi.nlm.nih.gov/gene/178256", "178256")</f>
        <v>178256</v>
      </c>
      <c r="C1388" s="9" t="str">
        <f>HYPERLINK("http://www.ncbi.nlm.nih.gov/gene/83985", "83985")</f>
        <v>83985</v>
      </c>
      <c r="D1388" t="str">
        <f>"spin-2"</f>
        <v>spin-2</v>
      </c>
      <c r="E1388" t="s">
        <v>1173</v>
      </c>
      <c r="F1388" t="s">
        <v>11</v>
      </c>
      <c r="G1388" t="s">
        <v>230</v>
      </c>
      <c r="H1388" s="12">
        <v>1.72319135519558</v>
      </c>
      <c r="I1388" s="20">
        <v>2.4189617220395099</v>
      </c>
      <c r="J1388" s="28">
        <v>1.5564878001566499E-2</v>
      </c>
      <c r="K1388" s="29">
        <v>0.25948201378369001</v>
      </c>
    </row>
    <row r="1389" spans="1:11" x14ac:dyDescent="0.35">
      <c r="A1389" s="9" t="str">
        <f>HYPERLINK("http://www.ensembl.org/id/WBGene00019429", "WBGene00019429")</f>
        <v>WBGene00019429</v>
      </c>
      <c r="B1389" s="9" t="str">
        <f>HYPERLINK("http://www.ncbi.nlm.nih.gov/gene/172354", "172354")</f>
        <v>172354</v>
      </c>
      <c r="C1389" s="9"/>
      <c r="D1389" t="str">
        <f>"K06A5.1"</f>
        <v>K06A5.1</v>
      </c>
      <c r="F1389" t="s">
        <v>11</v>
      </c>
      <c r="H1389" s="12">
        <v>-1.68823590743917</v>
      </c>
      <c r="I1389" s="20">
        <v>-2.4183054346964199</v>
      </c>
      <c r="J1389" s="28">
        <v>1.5592982039289801E-2</v>
      </c>
      <c r="K1389" s="29">
        <v>0.25971107002301602</v>
      </c>
    </row>
    <row r="1390" spans="1:11" x14ac:dyDescent="0.35">
      <c r="A1390" s="9" t="str">
        <f>HYPERLINK("http://www.ensembl.org/id/WBGene00012878", "WBGene00012878")</f>
        <v>WBGene00012878</v>
      </c>
      <c r="B1390" s="9" t="str">
        <f>HYPERLINK("http://www.ncbi.nlm.nih.gov/gene/178334", "178334")</f>
        <v>178334</v>
      </c>
      <c r="C1390" s="9"/>
      <c r="D1390" t="str">
        <f>"Y45F10C.2"</f>
        <v>Y45F10C.2</v>
      </c>
      <c r="E1390" t="s">
        <v>1174</v>
      </c>
      <c r="F1390" t="s">
        <v>11</v>
      </c>
      <c r="G1390" t="s">
        <v>27</v>
      </c>
      <c r="H1390" s="12">
        <v>-2.00927214146646</v>
      </c>
      <c r="I1390" s="20">
        <v>-2.4181161091717098</v>
      </c>
      <c r="J1390" s="28">
        <v>1.5601097775121E-2</v>
      </c>
      <c r="K1390" s="29">
        <v>0.25971107002301602</v>
      </c>
    </row>
    <row r="1391" spans="1:11" x14ac:dyDescent="0.35">
      <c r="A1391" s="9" t="str">
        <f>HYPERLINK("http://www.ensembl.org/id/WBGene00022129", "WBGene00022129")</f>
        <v>WBGene00022129</v>
      </c>
      <c r="B1391" s="9" t="str">
        <f>HYPERLINK("http://www.ncbi.nlm.nih.gov/gene/171837", "171837")</f>
        <v>171837</v>
      </c>
      <c r="C1391" s="9"/>
      <c r="D1391" t="str">
        <f>"lron-11"</f>
        <v>lron-11</v>
      </c>
      <c r="E1391" t="s">
        <v>814</v>
      </c>
      <c r="F1391" t="s">
        <v>11</v>
      </c>
      <c r="G1391" t="s">
        <v>417</v>
      </c>
      <c r="H1391" s="12">
        <v>1.7259658606978401</v>
      </c>
      <c r="I1391" s="20">
        <v>2.41783018322525</v>
      </c>
      <c r="J1391" s="28">
        <v>1.56133614845076E-2</v>
      </c>
      <c r="K1391" s="29">
        <v>0.25972809968396898</v>
      </c>
    </row>
    <row r="1392" spans="1:11" x14ac:dyDescent="0.35">
      <c r="A1392" s="9" t="str">
        <f>HYPERLINK("http://www.ensembl.org/id/WBGene00009898", "WBGene00009898")</f>
        <v>WBGene00009898</v>
      </c>
      <c r="B1392" s="9" t="str">
        <f>HYPERLINK("http://www.ncbi.nlm.nih.gov/gene/186056", "186056")</f>
        <v>186056</v>
      </c>
      <c r="C1392" s="9"/>
      <c r="D1392" t="str">
        <f>"dod-23"</f>
        <v>dod-23</v>
      </c>
      <c r="E1392" t="s">
        <v>24</v>
      </c>
      <c r="F1392" t="s">
        <v>11</v>
      </c>
      <c r="H1392" s="12">
        <v>-1.7388661548877899</v>
      </c>
      <c r="I1392" s="20">
        <v>-2.4159056859411301</v>
      </c>
      <c r="J1392" s="28">
        <v>1.5696126392030101E-2</v>
      </c>
      <c r="K1392" s="29">
        <v>0.26055131496648898</v>
      </c>
    </row>
    <row r="1393" spans="1:11" x14ac:dyDescent="0.35">
      <c r="A1393" s="9" t="str">
        <f>HYPERLINK("http://www.ensembl.org/id/WBGene00019185", "WBGene00019185")</f>
        <v>WBGene00019185</v>
      </c>
      <c r="B1393" s="9" t="str">
        <f>HYPERLINK("http://www.ncbi.nlm.nih.gov/gene/175169", "175169")</f>
        <v>175169</v>
      </c>
      <c r="C1393" s="9"/>
      <c r="D1393" t="str">
        <f>"H10E21.5"</f>
        <v>H10E21.5</v>
      </c>
      <c r="F1393" t="s">
        <v>11</v>
      </c>
      <c r="G1393" t="s">
        <v>1175</v>
      </c>
      <c r="H1393" s="12">
        <v>1.67718013798476</v>
      </c>
      <c r="I1393" s="20">
        <v>2.4159869296729499</v>
      </c>
      <c r="J1393" s="28">
        <v>1.56926246378436E-2</v>
      </c>
      <c r="K1393" s="29">
        <v>0.26055131496648898</v>
      </c>
    </row>
    <row r="1394" spans="1:11" x14ac:dyDescent="0.35">
      <c r="A1394" s="9" t="str">
        <f>HYPERLINK("http://www.ensembl.org/id/WBGene00012052", "WBGene00012052")</f>
        <v>WBGene00012052</v>
      </c>
      <c r="B1394" s="9" t="str">
        <f>HYPERLINK("http://www.ncbi.nlm.nih.gov/gene/188936", "188936")</f>
        <v>188936</v>
      </c>
      <c r="C1394" s="9"/>
      <c r="D1394" t="str">
        <f>"T26E4.10"</f>
        <v>T26E4.10</v>
      </c>
      <c r="F1394" t="s">
        <v>11</v>
      </c>
      <c r="H1394" s="12">
        <v>62.017059816491198</v>
      </c>
      <c r="I1394" s="20">
        <v>2.4158929010919898</v>
      </c>
      <c r="J1394" s="28">
        <v>1.56966775051222E-2</v>
      </c>
      <c r="K1394" s="29">
        <v>0.26055131496648898</v>
      </c>
    </row>
    <row r="1395" spans="1:11" x14ac:dyDescent="0.35">
      <c r="A1395" s="9" t="str">
        <f>HYPERLINK("http://www.ensembl.org/id/WBGene00007533", "WBGene00007533")</f>
        <v>WBGene00007533</v>
      </c>
      <c r="B1395" s="9" t="str">
        <f>HYPERLINK("http://www.ncbi.nlm.nih.gov/gene/172759", "172759")</f>
        <v>172759</v>
      </c>
      <c r="C1395" s="9"/>
      <c r="D1395" t="str">
        <f>"cbl-1"</f>
        <v>cbl-1</v>
      </c>
      <c r="E1395" t="s">
        <v>1176</v>
      </c>
      <c r="F1395" t="s">
        <v>11</v>
      </c>
      <c r="G1395" t="s">
        <v>1177</v>
      </c>
      <c r="H1395" s="12">
        <v>-1.80631021320583</v>
      </c>
      <c r="I1395" s="20">
        <v>-2.4155429235861798</v>
      </c>
      <c r="J1395" s="28">
        <v>1.57117705048078E-2</v>
      </c>
      <c r="K1395" s="29">
        <v>0.26061462260164298</v>
      </c>
    </row>
    <row r="1396" spans="1:11" x14ac:dyDescent="0.35">
      <c r="A1396" s="9" t="str">
        <f>HYPERLINK("http://www.ensembl.org/id/WBGene00017850", "WBGene00017850")</f>
        <v>WBGene00017850</v>
      </c>
      <c r="B1396" s="9" t="str">
        <f>HYPERLINK("http://www.ncbi.nlm.nih.gov/gene/259627", "259627")</f>
        <v>259627</v>
      </c>
      <c r="C1396" s="9"/>
      <c r="D1396" t="str">
        <f>"F27B10.1"</f>
        <v>F27B10.1</v>
      </c>
      <c r="F1396" t="s">
        <v>11</v>
      </c>
      <c r="G1396" t="s">
        <v>25</v>
      </c>
      <c r="H1396" s="12">
        <v>1.8218584827795801</v>
      </c>
      <c r="I1396" s="20">
        <v>2.4143844972808499</v>
      </c>
      <c r="J1396" s="28">
        <v>1.5761819467788599E-2</v>
      </c>
      <c r="K1396" s="29">
        <v>0.26125724578387499</v>
      </c>
    </row>
    <row r="1397" spans="1:11" x14ac:dyDescent="0.35">
      <c r="A1397" s="9" t="str">
        <f>HYPERLINK("http://www.ensembl.org/id/WBGene00020385", "WBGene00020385")</f>
        <v>WBGene00020385</v>
      </c>
      <c r="B1397" s="9" t="str">
        <f>HYPERLINK("http://www.ncbi.nlm.nih.gov/gene/188325", "188325")</f>
        <v>188325</v>
      </c>
      <c r="C1397" s="9"/>
      <c r="D1397" t="str">
        <f>"nhr-216"</f>
        <v>nhr-216</v>
      </c>
      <c r="E1397" t="s">
        <v>637</v>
      </c>
      <c r="F1397" t="s">
        <v>11</v>
      </c>
      <c r="G1397" t="s">
        <v>1073</v>
      </c>
      <c r="H1397" s="12">
        <v>4.9833917004883501</v>
      </c>
      <c r="I1397" s="20">
        <v>2.41374398414017</v>
      </c>
      <c r="J1397" s="28">
        <v>1.5789552530140801E-2</v>
      </c>
      <c r="K1397" s="29">
        <v>0.26145280990081599</v>
      </c>
    </row>
    <row r="1398" spans="1:11" x14ac:dyDescent="0.35">
      <c r="A1398" s="9" t="str">
        <f>HYPERLINK("http://www.ensembl.org/id/WBGene00011524", "WBGene00011524")</f>
        <v>WBGene00011524</v>
      </c>
      <c r="B1398" s="9" t="str">
        <f>HYPERLINK("http://www.ncbi.nlm.nih.gov/gene/174710", "174710")</f>
        <v>174710</v>
      </c>
      <c r="C1398" s="9" t="str">
        <f>HYPERLINK("http://www.ncbi.nlm.nih.gov/gene/163404", "163404")</f>
        <v>163404</v>
      </c>
      <c r="D1398" t="str">
        <f>"plpr-1"</f>
        <v>plpr-1</v>
      </c>
      <c r="E1398" t="s">
        <v>1178</v>
      </c>
      <c r="F1398" t="s">
        <v>11</v>
      </c>
      <c r="G1398" t="s">
        <v>1179</v>
      </c>
      <c r="H1398" s="12">
        <v>2.5595388404262902</v>
      </c>
      <c r="I1398" s="20">
        <v>2.4135894798870199</v>
      </c>
      <c r="J1398" s="28">
        <v>1.5796248706895999E-2</v>
      </c>
      <c r="K1398" s="29">
        <v>0.26145280990081599</v>
      </c>
    </row>
    <row r="1399" spans="1:11" x14ac:dyDescent="0.35">
      <c r="A1399" s="9" t="str">
        <f>HYPERLINK("http://www.ensembl.org/id/WBGene00011979", "WBGene00011979")</f>
        <v>WBGene00011979</v>
      </c>
      <c r="B1399" s="9" t="str">
        <f>HYPERLINK("http://www.ncbi.nlm.nih.gov/gene/188838", "188838")</f>
        <v>188838</v>
      </c>
      <c r="C1399" s="9"/>
      <c r="D1399" t="str">
        <f>"T24B8.5"</f>
        <v>T24B8.5</v>
      </c>
      <c r="F1399" t="s">
        <v>11</v>
      </c>
      <c r="G1399" t="s">
        <v>264</v>
      </c>
      <c r="H1399" s="12">
        <v>10.449927711171799</v>
      </c>
      <c r="I1399" s="20">
        <v>2.4133029100971202</v>
      </c>
      <c r="J1399" s="28">
        <v>1.5808675184628002E-2</v>
      </c>
      <c r="K1399" s="29">
        <v>0.26147118741303799</v>
      </c>
    </row>
    <row r="1400" spans="1:11" x14ac:dyDescent="0.35">
      <c r="A1400" s="9" t="str">
        <f>HYPERLINK("http://www.ensembl.org/id/WBGene00019280", "WBGene00019280")</f>
        <v>WBGene00019280</v>
      </c>
      <c r="B1400" s="9" t="str">
        <f>HYPERLINK("http://www.ncbi.nlm.nih.gov/gene/173418", "173418")</f>
        <v>173418</v>
      </c>
      <c r="C1400" s="9" t="str">
        <f>HYPERLINK("http://www.ncbi.nlm.nih.gov/gene/670", "670")</f>
        <v>670</v>
      </c>
      <c r="D1400" t="str">
        <f>"K01A2.5"</f>
        <v>K01A2.5</v>
      </c>
      <c r="F1400" t="s">
        <v>11</v>
      </c>
      <c r="G1400" t="s">
        <v>423</v>
      </c>
      <c r="H1400" s="12">
        <v>1.63983175476117</v>
      </c>
      <c r="I1400" s="20">
        <v>2.4127652274696998</v>
      </c>
      <c r="J1400" s="28">
        <v>1.5832013827312801E-2</v>
      </c>
      <c r="K1400" s="29">
        <v>0.26166989377245298</v>
      </c>
    </row>
    <row r="1401" spans="1:11" x14ac:dyDescent="0.35">
      <c r="A1401" s="9" t="str">
        <f>HYPERLINK("http://www.ensembl.org/id/WBGene00009338", "WBGene00009338")</f>
        <v>WBGene00009338</v>
      </c>
      <c r="B1401" s="9" t="str">
        <f>HYPERLINK("http://www.ncbi.nlm.nih.gov/gene/185211", "185211")</f>
        <v>185211</v>
      </c>
      <c r="C1401" s="9"/>
      <c r="D1401" t="str">
        <f>"F32G8.2"</f>
        <v>F32G8.2</v>
      </c>
      <c r="F1401" t="s">
        <v>11</v>
      </c>
      <c r="G1401" t="s">
        <v>1180</v>
      </c>
      <c r="H1401" s="12">
        <v>3.5389200791028501</v>
      </c>
      <c r="I1401" s="20">
        <v>2.4123323666331098</v>
      </c>
      <c r="J1401" s="28">
        <v>1.5850824588670199E-2</v>
      </c>
      <c r="K1401" s="29">
        <v>0.26179353319929499</v>
      </c>
    </row>
    <row r="1402" spans="1:11" x14ac:dyDescent="0.35">
      <c r="A1402" s="9" t="str">
        <f>HYPERLINK("http://www.ensembl.org/id/WBGene00017082", "WBGene00017082")</f>
        <v>WBGene00017082</v>
      </c>
      <c r="B1402" s="9" t="str">
        <f>HYPERLINK("http://www.ncbi.nlm.nih.gov/gene/183970", "183970")</f>
        <v>183970</v>
      </c>
      <c r="C1402" s="9" t="str">
        <f>HYPERLINK("http://www.ncbi.nlm.nih.gov/gene/51741", "51741")</f>
        <v>51741</v>
      </c>
      <c r="D1402" t="str">
        <f>"DC2.5"</f>
        <v>DC2.5</v>
      </c>
      <c r="F1402" t="s">
        <v>11</v>
      </c>
      <c r="G1402" t="s">
        <v>489</v>
      </c>
      <c r="H1402" s="12">
        <v>2.0160409818903302</v>
      </c>
      <c r="I1402" s="20">
        <v>2.4118533347995599</v>
      </c>
      <c r="J1402" s="28">
        <v>1.58716647047463E-2</v>
      </c>
      <c r="K1402" s="29">
        <v>0.26195048904847701</v>
      </c>
    </row>
    <row r="1403" spans="1:11" x14ac:dyDescent="0.35">
      <c r="A1403" s="9" t="str">
        <f>HYPERLINK("http://www.ensembl.org/id/WBGene00001171", "WBGene00001171")</f>
        <v>WBGene00001171</v>
      </c>
      <c r="B1403" s="9" t="str">
        <f>HYPERLINK("http://www.ncbi.nlm.nih.gov/gene/178624", "178624")</f>
        <v>178624</v>
      </c>
      <c r="C1403" s="9"/>
      <c r="D1403" t="str">
        <f>"egl-2"</f>
        <v>egl-2</v>
      </c>
      <c r="F1403" t="s">
        <v>11</v>
      </c>
      <c r="G1403" t="s">
        <v>1181</v>
      </c>
      <c r="H1403" s="12">
        <v>1.74684148044406</v>
      </c>
      <c r="I1403" s="20">
        <v>2.4095973207699402</v>
      </c>
      <c r="J1403" s="28">
        <v>1.5970136109220601E-2</v>
      </c>
      <c r="K1403" s="29">
        <v>0.26302478959646303</v>
      </c>
    </row>
    <row r="1404" spans="1:11" x14ac:dyDescent="0.35">
      <c r="A1404" s="9" t="str">
        <f>HYPERLINK("http://www.ensembl.org/id/WBGene00019479", "WBGene00019479")</f>
        <v>WBGene00019479</v>
      </c>
      <c r="B1404" s="9" t="str">
        <f>HYPERLINK("http://www.ncbi.nlm.nih.gov/gene/179200", "179200")</f>
        <v>179200</v>
      </c>
      <c r="C1404" s="9"/>
      <c r="D1404" t="str">
        <f>"K07C11.7"</f>
        <v>K07C11.7</v>
      </c>
      <c r="E1404" t="s">
        <v>1182</v>
      </c>
      <c r="F1404" t="s">
        <v>11</v>
      </c>
      <c r="G1404" t="s">
        <v>423</v>
      </c>
      <c r="H1404" s="12">
        <v>1.5369078198339601</v>
      </c>
      <c r="I1404" s="20">
        <v>2.4095797050689698</v>
      </c>
      <c r="J1404" s="28">
        <v>1.5970907115201102E-2</v>
      </c>
      <c r="K1404" s="29">
        <v>0.26302478959646303</v>
      </c>
    </row>
    <row r="1405" spans="1:11" x14ac:dyDescent="0.35">
      <c r="A1405" s="9" t="str">
        <f>HYPERLINK("http://www.ensembl.org/id/WBGene00010773", "WBGene00010773")</f>
        <v>WBGene00010773</v>
      </c>
      <c r="B1405" s="9" t="str">
        <f>HYPERLINK("http://www.ncbi.nlm.nih.gov/gene/187295", "187295")</f>
        <v>187295</v>
      </c>
      <c r="C1405" s="9"/>
      <c r="D1405" t="str">
        <f>"K11E4.1"</f>
        <v>K11E4.1</v>
      </c>
      <c r="F1405" t="s">
        <v>11</v>
      </c>
      <c r="G1405" t="s">
        <v>29</v>
      </c>
      <c r="H1405" s="12">
        <v>2.1333631157315298</v>
      </c>
      <c r="I1405" s="20">
        <v>2.4096574596732401</v>
      </c>
      <c r="J1405" s="28">
        <v>1.59675041895046E-2</v>
      </c>
      <c r="K1405" s="29">
        <v>0.26302478959646303</v>
      </c>
    </row>
    <row r="1406" spans="1:11" x14ac:dyDescent="0.35">
      <c r="A1406" s="9" t="str">
        <f>HYPERLINK("http://www.ensembl.org/id/WBGene00015158", "WBGene00015158")</f>
        <v>WBGene00015158</v>
      </c>
      <c r="B1406" s="9" t="str">
        <f>HYPERLINK("http://www.ncbi.nlm.nih.gov/gene/181940", "181940")</f>
        <v>181940</v>
      </c>
      <c r="C1406" s="9"/>
      <c r="D1406" t="str">
        <f>"B0361.4"</f>
        <v>B0361.4</v>
      </c>
      <c r="F1406" t="s">
        <v>11</v>
      </c>
      <c r="G1406" t="s">
        <v>1183</v>
      </c>
      <c r="H1406" s="12">
        <v>2.0175276597863698</v>
      </c>
      <c r="I1406" s="20">
        <v>2.4089906210935501</v>
      </c>
      <c r="J1406" s="28">
        <v>1.59967090624712E-2</v>
      </c>
      <c r="K1406" s="29">
        <v>0.263262079485371</v>
      </c>
    </row>
    <row r="1407" spans="1:11" x14ac:dyDescent="0.35">
      <c r="A1407" s="9" t="str">
        <f>HYPERLINK("http://www.ensembl.org/id/WBGene00016801", "WBGene00016801")</f>
        <v>WBGene00016801</v>
      </c>
      <c r="B1407" s="9" t="str">
        <f>HYPERLINK("http://www.ncbi.nlm.nih.gov/gene/183642", "183642")</f>
        <v>183642</v>
      </c>
      <c r="C1407" s="9"/>
      <c r="D1407" t="str">
        <f>"C50C3.5"</f>
        <v>C50C3.5</v>
      </c>
      <c r="E1407" t="s">
        <v>1184</v>
      </c>
      <c r="F1407" t="s">
        <v>11</v>
      </c>
      <c r="G1407" t="s">
        <v>1185</v>
      </c>
      <c r="H1407" s="12">
        <v>1.7367216152149101</v>
      </c>
      <c r="I1407" s="20">
        <v>2.4086442619081301</v>
      </c>
      <c r="J1407" s="28">
        <v>1.6011896738066699E-2</v>
      </c>
      <c r="K1407" s="29">
        <v>0.26332447404254</v>
      </c>
    </row>
    <row r="1408" spans="1:11" x14ac:dyDescent="0.35">
      <c r="A1408" s="9" t="str">
        <f>HYPERLINK("http://www.ensembl.org/id/WBGene00006611", "WBGene00006611")</f>
        <v>WBGene00006611</v>
      </c>
      <c r="B1408" s="9" t="str">
        <f>HYPERLINK("http://www.ncbi.nlm.nih.gov/gene/173388", "173388")</f>
        <v>173388</v>
      </c>
      <c r="C1408" s="9" t="str">
        <f>HYPERLINK("http://www.ncbi.nlm.nih.gov/gene/11181", "11181")</f>
        <v>11181</v>
      </c>
      <c r="D1408" t="str">
        <f>"tre-5"</f>
        <v>tre-5</v>
      </c>
      <c r="E1408" t="s">
        <v>1186</v>
      </c>
      <c r="F1408" t="s">
        <v>11</v>
      </c>
      <c r="G1408" t="s">
        <v>1187</v>
      </c>
      <c r="H1408" s="12">
        <v>2.4918009102855199</v>
      </c>
      <c r="I1408" s="20">
        <v>2.4072695692221902</v>
      </c>
      <c r="J1408" s="28">
        <v>1.6072301398143099E-2</v>
      </c>
      <c r="K1408" s="29">
        <v>0.26412986920732201</v>
      </c>
    </row>
    <row r="1409" spans="1:11" x14ac:dyDescent="0.35">
      <c r="A1409" s="9" t="str">
        <f>HYPERLINK("http://www.ensembl.org/id/WBGene00006938", "WBGene00006938")</f>
        <v>WBGene00006938</v>
      </c>
      <c r="B1409" s="9" t="str">
        <f>HYPERLINK("http://www.ncbi.nlm.nih.gov/gene/192085", "192085")</f>
        <v>192085</v>
      </c>
      <c r="C1409" s="9"/>
      <c r="D1409" t="str">
        <f>"wee-1.1"</f>
        <v>wee-1.1</v>
      </c>
      <c r="E1409" t="s">
        <v>1188</v>
      </c>
      <c r="F1409" t="s">
        <v>11</v>
      </c>
      <c r="G1409" t="s">
        <v>444</v>
      </c>
      <c r="H1409" s="12">
        <v>3.8046535655899398</v>
      </c>
      <c r="I1409" s="20">
        <v>2.40592241455506</v>
      </c>
      <c r="J1409" s="28">
        <v>1.6131690270148099E-2</v>
      </c>
      <c r="K1409" s="29">
        <v>0.26491743808247498</v>
      </c>
    </row>
    <row r="1410" spans="1:11" x14ac:dyDescent="0.35">
      <c r="A1410" s="9" t="str">
        <f>HYPERLINK("http://www.ensembl.org/id/WBGene00001518", "WBGene00001518")</f>
        <v>WBGene00001518</v>
      </c>
      <c r="B1410" s="9" t="str">
        <f>HYPERLINK("http://www.ncbi.nlm.nih.gov/gene/175893", "175893")</f>
        <v>175893</v>
      </c>
      <c r="C1410" s="9"/>
      <c r="D1410" t="str">
        <f>"gar-2"</f>
        <v>gar-2</v>
      </c>
      <c r="E1410" t="s">
        <v>1189</v>
      </c>
      <c r="F1410" t="s">
        <v>11</v>
      </c>
      <c r="G1410" t="s">
        <v>1190</v>
      </c>
      <c r="H1410" s="12">
        <v>1.6551395079610201</v>
      </c>
      <c r="I1410" s="20">
        <v>2.40428813808149</v>
      </c>
      <c r="J1410" s="28">
        <v>1.6203995679629199E-2</v>
      </c>
      <c r="K1410" s="29">
        <v>0.26591585523687</v>
      </c>
    </row>
    <row r="1411" spans="1:11" x14ac:dyDescent="0.35">
      <c r="A1411" s="9" t="str">
        <f>HYPERLINK("http://www.ensembl.org/id/WBGene00007106", "WBGene00007106")</f>
        <v>WBGene00007106</v>
      </c>
      <c r="B1411" s="9" t="str">
        <f>HYPERLINK("http://www.ncbi.nlm.nih.gov/gene/178044", "178044")</f>
        <v>178044</v>
      </c>
      <c r="C1411" s="9" t="str">
        <f>HYPERLINK("http://www.ncbi.nlm.nih.gov/gene/140733", "140733")</f>
        <v>140733</v>
      </c>
      <c r="D1411" t="str">
        <f>"B0035.3"</f>
        <v>B0035.3</v>
      </c>
      <c r="F1411" t="s">
        <v>11</v>
      </c>
      <c r="G1411" t="s">
        <v>1191</v>
      </c>
      <c r="H1411" s="12">
        <v>-1.70007578388753</v>
      </c>
      <c r="I1411" s="20">
        <v>-2.4026026136989098</v>
      </c>
      <c r="J1411" s="28">
        <v>1.6278866660413199E-2</v>
      </c>
      <c r="K1411" s="29">
        <v>0.26695492764762802</v>
      </c>
    </row>
    <row r="1412" spans="1:11" x14ac:dyDescent="0.35">
      <c r="A1412" s="9" t="str">
        <f>HYPERLINK("http://www.ensembl.org/id/WBGene00017485", "WBGene00017485")</f>
        <v>WBGene00017485</v>
      </c>
      <c r="B1412" s="9" t="str">
        <f>HYPERLINK("http://www.ncbi.nlm.nih.gov/gene/177193", "177193")</f>
        <v>177193</v>
      </c>
      <c r="C1412" s="9"/>
      <c r="D1412" t="str">
        <f>"F15E6.4"</f>
        <v>F15E6.4</v>
      </c>
      <c r="F1412" t="s">
        <v>11</v>
      </c>
      <c r="H1412" s="12">
        <v>2.3002263036789201</v>
      </c>
      <c r="I1412" s="20">
        <v>2.4010400171479098</v>
      </c>
      <c r="J1412" s="28">
        <v>1.6348548552717699E-2</v>
      </c>
      <c r="K1412" s="29">
        <v>0.26771762073642502</v>
      </c>
    </row>
    <row r="1413" spans="1:11" x14ac:dyDescent="0.35">
      <c r="A1413" s="9" t="str">
        <f>HYPERLINK("http://www.ensembl.org/id/WBGene00011107", "WBGene00011107")</f>
        <v>WBGene00011107</v>
      </c>
      <c r="B1413" s="9" t="str">
        <f>HYPERLINK("http://www.ncbi.nlm.nih.gov/gene/181240", "181240")</f>
        <v>181240</v>
      </c>
      <c r="C1413" s="9"/>
      <c r="D1413" t="str">
        <f>"R07E3.6"</f>
        <v>R07E3.6</v>
      </c>
      <c r="F1413" t="s">
        <v>11</v>
      </c>
      <c r="H1413" s="12">
        <v>2.8911125863475902</v>
      </c>
      <c r="I1413" s="20">
        <v>2.4012939885606102</v>
      </c>
      <c r="J1413" s="28">
        <v>1.63372052343034E-2</v>
      </c>
      <c r="K1413" s="29">
        <v>0.26771762073642502</v>
      </c>
    </row>
    <row r="1414" spans="1:11" x14ac:dyDescent="0.35">
      <c r="A1414" s="9" t="str">
        <f>HYPERLINK("http://www.ensembl.org/id/WBGene00009635", "WBGene00009635")</f>
        <v>WBGene00009635</v>
      </c>
      <c r="B1414" s="9" t="str">
        <f>HYPERLINK("http://www.ncbi.nlm.nih.gov/gene/185670", "185670")</f>
        <v>185670</v>
      </c>
      <c r="C1414" s="9" t="str">
        <f>HYPERLINK("http://www.ncbi.nlm.nih.gov/gene/6716", "6716")</f>
        <v>6716</v>
      </c>
      <c r="D1414" t="str">
        <f>"F42F12.3"</f>
        <v>F42F12.3</v>
      </c>
      <c r="F1414" t="s">
        <v>11</v>
      </c>
      <c r="G1414" t="s">
        <v>1193</v>
      </c>
      <c r="H1414" s="12">
        <v>-1.65289998288659</v>
      </c>
      <c r="I1414" s="20">
        <v>-2.4000219849733599</v>
      </c>
      <c r="J1414" s="28">
        <v>1.63940871888659E-2</v>
      </c>
      <c r="K1414" s="29">
        <v>0.26774306595043901</v>
      </c>
    </row>
    <row r="1415" spans="1:11" x14ac:dyDescent="0.35">
      <c r="A1415" s="9" t="str">
        <f>HYPERLINK("http://www.ensembl.org/id/WBGene00016670", "WBGene00016670")</f>
        <v>WBGene00016670</v>
      </c>
      <c r="B1415" s="9" t="str">
        <f>HYPERLINK("http://www.ncbi.nlm.nih.gov/gene/177033", "177033")</f>
        <v>177033</v>
      </c>
      <c r="C1415" s="9"/>
      <c r="D1415" t="str">
        <f>"ilys-3"</f>
        <v>ilys-3</v>
      </c>
      <c r="E1415" t="s">
        <v>1194</v>
      </c>
      <c r="F1415" t="s">
        <v>11</v>
      </c>
      <c r="G1415" t="s">
        <v>1195</v>
      </c>
      <c r="H1415" s="12">
        <v>-3.4783883465389298</v>
      </c>
      <c r="I1415" s="20">
        <v>-2.40012130293825</v>
      </c>
      <c r="J1415" s="28">
        <v>1.6389639595331101E-2</v>
      </c>
      <c r="K1415" s="29">
        <v>0.26774306595043901</v>
      </c>
    </row>
    <row r="1416" spans="1:11" x14ac:dyDescent="0.35">
      <c r="A1416" s="9" t="str">
        <f>HYPERLINK("http://www.ensembl.org/id/WBGene00021936", "WBGene00021936")</f>
        <v>WBGene00021936</v>
      </c>
      <c r="B1416" s="9" t="str">
        <f>HYPERLINK("http://www.ncbi.nlm.nih.gov/gene/190312", "190312")</f>
        <v>190312</v>
      </c>
      <c r="C1416" s="9" t="str">
        <f>HYPERLINK("http://www.ncbi.nlm.nih.gov/gene/23516", "23516")</f>
        <v>23516</v>
      </c>
      <c r="D1416" t="str">
        <f>"zipt-15"</f>
        <v>zipt-15</v>
      </c>
      <c r="E1416" t="s">
        <v>106</v>
      </c>
      <c r="F1416" t="s">
        <v>11</v>
      </c>
      <c r="G1416" t="s">
        <v>1192</v>
      </c>
      <c r="H1416" s="12">
        <v>-1.5786931149274499</v>
      </c>
      <c r="I1416" s="20">
        <v>-2.4001375132320502</v>
      </c>
      <c r="J1416" s="28">
        <v>1.6388913776965001E-2</v>
      </c>
      <c r="K1416" s="29">
        <v>0.26774306595043901</v>
      </c>
    </row>
    <row r="1417" spans="1:11" x14ac:dyDescent="0.35">
      <c r="A1417" s="9" t="str">
        <f>HYPERLINK("http://www.ensembl.org/id/WBGene00013959", "WBGene00013959")</f>
        <v>WBGene00013959</v>
      </c>
      <c r="B1417" s="9" t="str">
        <f>HYPERLINK("http://www.ncbi.nlm.nih.gov/gene/191278", "191278")</f>
        <v>191278</v>
      </c>
      <c r="C1417" s="9"/>
      <c r="D1417" t="str">
        <f>"ZK265.7"</f>
        <v>ZK265.7</v>
      </c>
      <c r="F1417" t="s">
        <v>11</v>
      </c>
      <c r="H1417" s="12">
        <v>1.67176082969082</v>
      </c>
      <c r="I1417" s="20">
        <v>2.3999691688914702</v>
      </c>
      <c r="J1417" s="28">
        <v>1.63964527966706E-2</v>
      </c>
      <c r="K1417" s="29">
        <v>0.26774306595043901</v>
      </c>
    </row>
    <row r="1418" spans="1:11" x14ac:dyDescent="0.35">
      <c r="A1418" s="9" t="str">
        <f>HYPERLINK("http://www.ensembl.org/id/WBGene00044303", "WBGene00044303")</f>
        <v>WBGene00044303</v>
      </c>
      <c r="B1418" s="9" t="str">
        <f>HYPERLINK("http://www.ncbi.nlm.nih.gov/gene/3564879", "3564879")</f>
        <v>3564879</v>
      </c>
      <c r="C1418" s="9"/>
      <c r="D1418" t="str">
        <f>"hst-3.2"</f>
        <v>hst-3.2</v>
      </c>
      <c r="E1418" t="s">
        <v>1196</v>
      </c>
      <c r="F1418" t="s">
        <v>11</v>
      </c>
      <c r="G1418" t="s">
        <v>1197</v>
      </c>
      <c r="H1418" s="12">
        <v>1.9389635251970301</v>
      </c>
      <c r="I1418" s="20">
        <v>2.3996299149163098</v>
      </c>
      <c r="J1418" s="28">
        <v>1.6411654975561699E-2</v>
      </c>
      <c r="K1418" s="29">
        <v>0.26780204792749202</v>
      </c>
    </row>
    <row r="1419" spans="1:11" x14ac:dyDescent="0.35">
      <c r="A1419" s="9" t="str">
        <f>HYPERLINK("http://www.ensembl.org/id/WBGene00015783", "WBGene00015783")</f>
        <v>WBGene00015783</v>
      </c>
      <c r="B1419" s="9" t="str">
        <f>HYPERLINK("http://www.ncbi.nlm.nih.gov/gene/180921", "180921")</f>
        <v>180921</v>
      </c>
      <c r="C1419" s="9" t="str">
        <f>HYPERLINK("http://www.ncbi.nlm.nih.gov/gene/51268", "51268")</f>
        <v>51268</v>
      </c>
      <c r="D1419" t="str">
        <f>"C15B12.1"</f>
        <v>C15B12.1</v>
      </c>
      <c r="E1419" t="s">
        <v>1198</v>
      </c>
      <c r="F1419" t="s">
        <v>11</v>
      </c>
      <c r="G1419" t="s">
        <v>1199</v>
      </c>
      <c r="H1419" s="12">
        <v>-1.8555314001760601</v>
      </c>
      <c r="I1419" s="20">
        <v>-2.3985776625844002</v>
      </c>
      <c r="J1419" s="28">
        <v>1.6458885840446299E-2</v>
      </c>
      <c r="K1419" s="29">
        <v>0.26819394656512902</v>
      </c>
    </row>
    <row r="1420" spans="1:11" x14ac:dyDescent="0.35">
      <c r="A1420" s="9" t="str">
        <f>HYPERLINK("http://www.ensembl.org/id/WBGene00008152", "WBGene00008152")</f>
        <v>WBGene00008152</v>
      </c>
      <c r="B1420" s="9" t="str">
        <f>HYPERLINK("http://www.ncbi.nlm.nih.gov/gene/183555", "183555")</f>
        <v>183555</v>
      </c>
      <c r="C1420" s="9"/>
      <c r="D1420" t="str">
        <f>"C47E12.9"</f>
        <v>C47E12.9</v>
      </c>
      <c r="F1420" t="s">
        <v>11</v>
      </c>
      <c r="H1420" s="12">
        <v>1.95189882649348</v>
      </c>
      <c r="I1420" s="20">
        <v>2.3985891940147401</v>
      </c>
      <c r="J1420" s="28">
        <v>1.6458367600124701E-2</v>
      </c>
      <c r="K1420" s="29">
        <v>0.26819394656512902</v>
      </c>
    </row>
    <row r="1421" spans="1:11" x14ac:dyDescent="0.35">
      <c r="A1421" s="9" t="str">
        <f>HYPERLINK("http://www.ensembl.org/id/WBGene00010512", "WBGene00010512")</f>
        <v>WBGene00010512</v>
      </c>
      <c r="B1421" s="9" t="str">
        <f>HYPERLINK("http://www.ncbi.nlm.nih.gov/gene/186894", "186894")</f>
        <v>186894</v>
      </c>
      <c r="C1421" s="9"/>
      <c r="D1421" t="str">
        <f>"K02E11.3"</f>
        <v>K02E11.3</v>
      </c>
      <c r="F1421" t="s">
        <v>11</v>
      </c>
      <c r="H1421" s="12">
        <v>2.1556463424178398</v>
      </c>
      <c r="I1421" s="20">
        <v>2.39807391870835</v>
      </c>
      <c r="J1421" s="28">
        <v>1.6481538864492901E-2</v>
      </c>
      <c r="K1421" s="29">
        <v>0.268373810431975</v>
      </c>
    </row>
    <row r="1422" spans="1:11" x14ac:dyDescent="0.35">
      <c r="A1422" s="9" t="str">
        <f>HYPERLINK("http://www.ensembl.org/id/WBGene00013646", "WBGene00013646")</f>
        <v>WBGene00013646</v>
      </c>
      <c r="B1422" s="9" t="str">
        <f>HYPERLINK("http://www.ncbi.nlm.nih.gov/gene/190886", "190886")</f>
        <v>190886</v>
      </c>
      <c r="C1422" s="9"/>
      <c r="D1422" t="str">
        <f>"Y105C5B.3"</f>
        <v>Y105C5B.3</v>
      </c>
      <c r="E1422" t="s">
        <v>1200</v>
      </c>
      <c r="F1422" t="s">
        <v>11</v>
      </c>
      <c r="G1422" t="s">
        <v>1201</v>
      </c>
      <c r="H1422" s="12">
        <v>3.5773690862740501</v>
      </c>
      <c r="I1422" s="20">
        <v>2.3970008916632501</v>
      </c>
      <c r="J1422" s="28">
        <v>1.6529883488081099E-2</v>
      </c>
      <c r="K1422" s="29">
        <v>0.26897147033493102</v>
      </c>
    </row>
    <row r="1423" spans="1:11" x14ac:dyDescent="0.35">
      <c r="A1423" s="9" t="str">
        <f>HYPERLINK("http://www.ensembl.org/id/WBGene00002107", "WBGene00002107")</f>
        <v>WBGene00002107</v>
      </c>
      <c r="B1423" s="9" t="str">
        <f>HYPERLINK("http://www.ncbi.nlm.nih.gov/gene/173266", "173266")</f>
        <v>173266</v>
      </c>
      <c r="C1423" s="9"/>
      <c r="D1423" t="str">
        <f>"ins-24"</f>
        <v>ins-24</v>
      </c>
      <c r="E1423" t="s">
        <v>12</v>
      </c>
      <c r="F1423" t="s">
        <v>11</v>
      </c>
      <c r="G1423" t="s">
        <v>13</v>
      </c>
      <c r="H1423" s="12">
        <v>2.3030497798376599</v>
      </c>
      <c r="I1423" s="20">
        <v>2.3966936267754702</v>
      </c>
      <c r="J1423" s="28">
        <v>1.6543750052101801E-2</v>
      </c>
      <c r="K1423" s="29">
        <v>0.26900766270504201</v>
      </c>
    </row>
    <row r="1424" spans="1:11" x14ac:dyDescent="0.35">
      <c r="A1424" s="9" t="str">
        <f>HYPERLINK("http://www.ensembl.org/id/WBGene00004096", "WBGene00004096")</f>
        <v>WBGene00004096</v>
      </c>
      <c r="B1424" s="9" t="str">
        <f>HYPERLINK("http://www.ncbi.nlm.nih.gov/gene/174705", "174705")</f>
        <v>174705</v>
      </c>
      <c r="C1424" s="9"/>
      <c r="D1424" t="str">
        <f>"pqm-1"</f>
        <v>pqm-1</v>
      </c>
      <c r="E1424" t="s">
        <v>1202</v>
      </c>
      <c r="F1424" t="s">
        <v>11</v>
      </c>
      <c r="G1424" t="s">
        <v>1203</v>
      </c>
      <c r="H1424" s="12">
        <v>-1.5854580793556801</v>
      </c>
      <c r="I1424" s="20">
        <v>-2.3956555414595599</v>
      </c>
      <c r="J1424" s="28">
        <v>1.65906734197005E-2</v>
      </c>
      <c r="K1424" s="29">
        <v>0.26958094235977498</v>
      </c>
    </row>
    <row r="1425" spans="1:11" x14ac:dyDescent="0.35">
      <c r="A1425" s="9" t="str">
        <f>HYPERLINK("http://www.ensembl.org/id/WBGene00010497", "WBGene00010497")</f>
        <v>WBGene00010497</v>
      </c>
      <c r="B1425" s="9" t="str">
        <f>HYPERLINK("http://www.ncbi.nlm.nih.gov/gene/186869", "186869")</f>
        <v>186869</v>
      </c>
      <c r="C1425" s="9"/>
      <c r="D1425" t="str">
        <f>"axl-1"</f>
        <v>axl-1</v>
      </c>
      <c r="E1425" t="s">
        <v>1204</v>
      </c>
      <c r="F1425" t="s">
        <v>11</v>
      </c>
      <c r="G1425" t="s">
        <v>1205</v>
      </c>
      <c r="H1425" s="12">
        <v>2.7680425806724802</v>
      </c>
      <c r="I1425" s="20">
        <v>2.3945546324261699</v>
      </c>
      <c r="J1425" s="28">
        <v>1.66405641993593E-2</v>
      </c>
      <c r="K1425" s="29">
        <v>0.27001185139775002</v>
      </c>
    </row>
    <row r="1426" spans="1:11" x14ac:dyDescent="0.35">
      <c r="A1426" s="9" t="str">
        <f>HYPERLINK("http://www.ensembl.org/id/WBGene00018903", "WBGene00018903")</f>
        <v>WBGene00018903</v>
      </c>
      <c r="B1426" s="9" t="str">
        <f>HYPERLINK("http://www.ncbi.nlm.nih.gov/gene/186328", "186328")</f>
        <v>186328</v>
      </c>
      <c r="C1426" s="9"/>
      <c r="D1426" t="str">
        <f>"F55G1.7"</f>
        <v>F55G1.7</v>
      </c>
      <c r="F1426" t="s">
        <v>11</v>
      </c>
      <c r="H1426" s="12">
        <v>-2.6774463266247199</v>
      </c>
      <c r="I1426" s="20">
        <v>-2.3945652604312699</v>
      </c>
      <c r="J1426" s="28">
        <v>1.6640081932425201E-2</v>
      </c>
      <c r="K1426" s="29">
        <v>0.27001185139775002</v>
      </c>
    </row>
    <row r="1427" spans="1:11" x14ac:dyDescent="0.35">
      <c r="A1427" s="9" t="str">
        <f>HYPERLINK("http://www.ensembl.org/id/WBGene00000395", "WBGene00000395")</f>
        <v>WBGene00000395</v>
      </c>
      <c r="B1427" s="9" t="str">
        <f>HYPERLINK("http://www.ncbi.nlm.nih.gov/gene/176085", "176085")</f>
        <v>176085</v>
      </c>
      <c r="C1427" s="9"/>
      <c r="D1427" t="str">
        <f>"cdh-3"</f>
        <v>cdh-3</v>
      </c>
      <c r="E1427" t="s">
        <v>1206</v>
      </c>
      <c r="F1427" t="s">
        <v>11</v>
      </c>
      <c r="G1427" t="s">
        <v>1207</v>
      </c>
      <c r="H1427" s="12">
        <v>1.68940112980666</v>
      </c>
      <c r="I1427" s="20">
        <v>2.3936421914915398</v>
      </c>
      <c r="J1427" s="28">
        <v>1.6682013813089799E-2</v>
      </c>
      <c r="K1427" s="29">
        <v>0.27030477641322098</v>
      </c>
    </row>
    <row r="1428" spans="1:11" x14ac:dyDescent="0.35">
      <c r="A1428" s="9" t="str">
        <f>HYPERLINK("http://www.ensembl.org/id/WBGene00016944", "WBGene00016944")</f>
        <v>WBGene00016944</v>
      </c>
      <c r="B1428" s="9" t="str">
        <f>HYPERLINK("http://www.ncbi.nlm.nih.gov/gene/183841", "183841")</f>
        <v>183841</v>
      </c>
      <c r="C1428" s="9"/>
      <c r="D1428" t="str">
        <f>"uri-1"</f>
        <v>uri-1</v>
      </c>
      <c r="E1428" t="s">
        <v>1208</v>
      </c>
      <c r="F1428" t="s">
        <v>11</v>
      </c>
      <c r="G1428" t="s">
        <v>1209</v>
      </c>
      <c r="H1428" s="12">
        <v>-1.6267290609076701</v>
      </c>
      <c r="I1428" s="20">
        <v>-2.3936739570671199</v>
      </c>
      <c r="J1428" s="28">
        <v>1.6680569271064299E-2</v>
      </c>
      <c r="K1428" s="29">
        <v>0.27030477641322098</v>
      </c>
    </row>
    <row r="1429" spans="1:11" x14ac:dyDescent="0.35">
      <c r="A1429" s="9" t="str">
        <f>HYPERLINK("http://www.ensembl.org/id/WBGene00008172", "WBGene00008172")</f>
        <v>WBGene00008172</v>
      </c>
      <c r="B1429" s="9" t="str">
        <f>HYPERLINK("http://www.ncbi.nlm.nih.gov/gene/183567", "183567")</f>
        <v>183567</v>
      </c>
      <c r="C1429" s="9"/>
      <c r="D1429" t="str">
        <f>"C48B4.9"</f>
        <v>C48B4.9</v>
      </c>
      <c r="F1429" t="s">
        <v>11</v>
      </c>
      <c r="H1429" s="12">
        <v>-1.9563450129187201</v>
      </c>
      <c r="I1429" s="20">
        <v>-2.39312735353159</v>
      </c>
      <c r="J1429" s="28">
        <v>1.6705441430911398E-2</v>
      </c>
      <c r="K1429" s="29">
        <v>0.27049469495629902</v>
      </c>
    </row>
    <row r="1430" spans="1:11" x14ac:dyDescent="0.35">
      <c r="A1430" s="9" t="str">
        <f>HYPERLINK("http://www.ensembl.org/id/WBGene00017142", "WBGene00017142")</f>
        <v>WBGene00017142</v>
      </c>
      <c r="B1430" s="9" t="str">
        <f>HYPERLINK("http://www.ncbi.nlm.nih.gov/gene/184046", "184046")</f>
        <v>184046</v>
      </c>
      <c r="C1430" s="9"/>
      <c r="D1430" t="str">
        <f>"EEED8.14"</f>
        <v>EEED8.14</v>
      </c>
      <c r="F1430" t="s">
        <v>11</v>
      </c>
      <c r="H1430" s="12">
        <v>-1.9222695398374201</v>
      </c>
      <c r="I1430" s="20">
        <v>-2.39221296188351</v>
      </c>
      <c r="J1430" s="28">
        <v>1.6747121895704101E-2</v>
      </c>
      <c r="K1430" s="29">
        <v>0.27097969084183499</v>
      </c>
    </row>
    <row r="1431" spans="1:11" x14ac:dyDescent="0.35">
      <c r="A1431" s="9" t="str">
        <f>HYPERLINK("http://www.ensembl.org/id/WBGene00013486", "WBGene00013486")</f>
        <v>WBGene00013486</v>
      </c>
      <c r="B1431" s="9" t="str">
        <f>HYPERLINK("http://www.ncbi.nlm.nih.gov/gene/180219", "180219")</f>
        <v>180219</v>
      </c>
      <c r="C1431" s="9"/>
      <c r="D1431" t="str">
        <f>"egas-1"</f>
        <v>egas-1</v>
      </c>
      <c r="E1431" t="s">
        <v>1210</v>
      </c>
      <c r="F1431" t="s">
        <v>11</v>
      </c>
      <c r="G1431" t="s">
        <v>1211</v>
      </c>
      <c r="H1431" s="12">
        <v>5.0590988969241604</v>
      </c>
      <c r="I1431" s="20">
        <v>2.3909929810033099</v>
      </c>
      <c r="J1431" s="28">
        <v>1.6802874103940602E-2</v>
      </c>
      <c r="K1431" s="29">
        <v>0.27167535891182498</v>
      </c>
    </row>
    <row r="1432" spans="1:11" x14ac:dyDescent="0.35">
      <c r="A1432" s="9" t="str">
        <f>HYPERLINK("http://www.ensembl.org/id/WBGene00011023", "WBGene00011023")</f>
        <v>WBGene00011023</v>
      </c>
      <c r="B1432" s="9" t="str">
        <f>HYPERLINK("http://www.ncbi.nlm.nih.gov/gene/178370", "178370")</f>
        <v>178370</v>
      </c>
      <c r="C1432" s="9"/>
      <c r="D1432" t="str">
        <f>"R05A10.6"</f>
        <v>R05A10.6</v>
      </c>
      <c r="F1432" t="s">
        <v>11</v>
      </c>
      <c r="G1432" t="s">
        <v>1212</v>
      </c>
      <c r="H1432" s="12">
        <v>4.0833229996042597</v>
      </c>
      <c r="I1432" s="20">
        <v>2.3907580004527298</v>
      </c>
      <c r="J1432" s="28">
        <v>1.68136312318839E-2</v>
      </c>
      <c r="K1432" s="29">
        <v>0.27167535891182498</v>
      </c>
    </row>
    <row r="1433" spans="1:11" x14ac:dyDescent="0.35">
      <c r="A1433" s="9" t="str">
        <f>HYPERLINK("http://www.ensembl.org/id/WBGene00020054", "WBGene00020054")</f>
        <v>WBGene00020054</v>
      </c>
      <c r="B1433" s="9" t="str">
        <f>HYPERLINK("http://www.ncbi.nlm.nih.gov/gene/179128", "179128")</f>
        <v>179128</v>
      </c>
      <c r="C1433" s="9"/>
      <c r="D1433" t="str">
        <f>"R13D7.2"</f>
        <v>R13D7.2</v>
      </c>
      <c r="F1433" t="s">
        <v>11</v>
      </c>
      <c r="H1433" s="12">
        <v>2.2064969313494198</v>
      </c>
      <c r="I1433" s="20">
        <v>2.39020425565201</v>
      </c>
      <c r="J1433" s="28">
        <v>1.68390049172529E-2</v>
      </c>
      <c r="K1433" s="29">
        <v>0.27189521147312801</v>
      </c>
    </row>
    <row r="1434" spans="1:11" x14ac:dyDescent="0.35">
      <c r="A1434" s="9" t="str">
        <f>HYPERLINK("http://www.ensembl.org/id/WBGene00044329", "WBGene00044329")</f>
        <v>WBGene00044329</v>
      </c>
      <c r="B1434" s="9" t="str">
        <f>HYPERLINK("http://www.ncbi.nlm.nih.gov/gene/178151", "178151")</f>
        <v>178151</v>
      </c>
      <c r="C1434" s="9" t="str">
        <f>HYPERLINK("http://www.ncbi.nlm.nih.gov/gene/10898", "10898")</f>
        <v>10898</v>
      </c>
      <c r="D1434" t="str">
        <f>"cpsf-4"</f>
        <v>cpsf-4</v>
      </c>
      <c r="E1434" t="s">
        <v>1213</v>
      </c>
      <c r="F1434" t="s">
        <v>11</v>
      </c>
      <c r="G1434" t="s">
        <v>1214</v>
      </c>
      <c r="H1434" s="12">
        <v>-1.6434853934847899</v>
      </c>
      <c r="I1434" s="20">
        <v>-2.3895659990793301</v>
      </c>
      <c r="J1434" s="28">
        <v>1.68682927926193E-2</v>
      </c>
      <c r="K1434" s="29">
        <v>0.27217791429208299</v>
      </c>
    </row>
    <row r="1435" spans="1:11" x14ac:dyDescent="0.35">
      <c r="A1435" s="9" t="str">
        <f>HYPERLINK("http://www.ensembl.org/id/WBGene00017418", "WBGene00017418")</f>
        <v>WBGene00017418</v>
      </c>
      <c r="B1435" s="9" t="str">
        <f>HYPERLINK("http://www.ncbi.nlm.nih.gov/gene/177516", "177516")</f>
        <v>177516</v>
      </c>
      <c r="C1435" s="9"/>
      <c r="D1435" t="str">
        <f>"F13B6.3"</f>
        <v>F13B6.3</v>
      </c>
      <c r="F1435" t="s">
        <v>11</v>
      </c>
      <c r="H1435" s="12">
        <v>1.62820262743824</v>
      </c>
      <c r="I1435" s="20">
        <v>2.3891440036995402</v>
      </c>
      <c r="J1435" s="28">
        <v>1.6887681569484801E-2</v>
      </c>
      <c r="K1435" s="29">
        <v>0.27230060735834999</v>
      </c>
    </row>
    <row r="1436" spans="1:11" x14ac:dyDescent="0.35">
      <c r="A1436" s="9" t="str">
        <f>HYPERLINK("http://www.ensembl.org/id/WBGene00001557", "WBGene00001557")</f>
        <v>WBGene00001557</v>
      </c>
      <c r="B1436" s="9" t="str">
        <f>HYPERLINK("http://www.ncbi.nlm.nih.gov/gene/191658", "191658")</f>
        <v>191658</v>
      </c>
      <c r="C1436" s="9" t="str">
        <f>HYPERLINK("http://www.ncbi.nlm.nih.gov/gene/2983", "2983")</f>
        <v>2983</v>
      </c>
      <c r="D1436" t="str">
        <f>"gcy-37"</f>
        <v>gcy-37</v>
      </c>
      <c r="E1436" t="s">
        <v>1215</v>
      </c>
      <c r="F1436" t="s">
        <v>11</v>
      </c>
      <c r="G1436" t="s">
        <v>819</v>
      </c>
      <c r="H1436" s="12">
        <v>2.3934408942268002</v>
      </c>
      <c r="I1436" s="20">
        <v>2.3888173975798299</v>
      </c>
      <c r="J1436" s="28">
        <v>1.6902701067012998E-2</v>
      </c>
      <c r="K1436" s="29">
        <v>0.27235272723458998</v>
      </c>
    </row>
    <row r="1437" spans="1:11" x14ac:dyDescent="0.35">
      <c r="A1437" s="9" t="str">
        <f>HYPERLINK("http://www.ensembl.org/id/WBGene00044445", "WBGene00044445")</f>
        <v>WBGene00044445</v>
      </c>
      <c r="B1437" s="9" t="str">
        <f>HYPERLINK("http://www.ncbi.nlm.nih.gov/gene/3896734", "3896734")</f>
        <v>3896734</v>
      </c>
      <c r="C1437" s="9"/>
      <c r="D1437" t="str">
        <f>"C02F5.14"</f>
        <v>C02F5.14</v>
      </c>
      <c r="F1437" t="s">
        <v>11</v>
      </c>
      <c r="H1437" s="12">
        <v>1.70629041558004</v>
      </c>
      <c r="I1437" s="20">
        <v>2.38803456247435</v>
      </c>
      <c r="J1437" s="28">
        <v>1.6938748711340601E-2</v>
      </c>
      <c r="K1437" s="29">
        <v>0.27262951741886898</v>
      </c>
    </row>
    <row r="1438" spans="1:11" x14ac:dyDescent="0.35">
      <c r="A1438" s="9" t="str">
        <f>HYPERLINK("http://www.ensembl.org/id/WBGene00019650", "WBGene00019650")</f>
        <v>WBGene00019650</v>
      </c>
      <c r="B1438" s="9" t="str">
        <f>HYPERLINK("http://www.ncbi.nlm.nih.gov/gene/260212", "260212")</f>
        <v>260212</v>
      </c>
      <c r="C1438" s="9"/>
      <c r="D1438" t="str">
        <f>"K11D12.11"</f>
        <v>K11D12.11</v>
      </c>
      <c r="F1438" t="s">
        <v>11</v>
      </c>
      <c r="G1438" t="s">
        <v>50</v>
      </c>
      <c r="H1438" s="12">
        <v>1.64562034626067</v>
      </c>
      <c r="I1438" s="20">
        <v>2.3877103336065999</v>
      </c>
      <c r="J1438" s="28">
        <v>1.6953698406399799E-2</v>
      </c>
      <c r="K1438" s="29">
        <v>0.27262951741886898</v>
      </c>
    </row>
    <row r="1439" spans="1:11" x14ac:dyDescent="0.35">
      <c r="A1439" s="9" t="str">
        <f>HYPERLINK("http://www.ensembl.org/id/WBGene00003574", "WBGene00003574")</f>
        <v>WBGene00003574</v>
      </c>
      <c r="B1439" s="9" t="str">
        <f>HYPERLINK("http://www.ncbi.nlm.nih.gov/gene/182576", "182576")</f>
        <v>182576</v>
      </c>
      <c r="C1439" s="9" t="str">
        <f>HYPERLINK("http://www.ncbi.nlm.nih.gov/gene/80024", "80024")</f>
        <v>80024</v>
      </c>
      <c r="D1439" t="str">
        <f>"ncx-9"</f>
        <v>ncx-9</v>
      </c>
      <c r="E1439" t="s">
        <v>1216</v>
      </c>
      <c r="F1439" t="s">
        <v>11</v>
      </c>
      <c r="G1439" t="s">
        <v>1217</v>
      </c>
      <c r="H1439" s="12">
        <v>6.7462477057673702</v>
      </c>
      <c r="I1439" s="20">
        <v>2.38767612470506</v>
      </c>
      <c r="J1439" s="28">
        <v>1.6955276401407201E-2</v>
      </c>
      <c r="K1439" s="29">
        <v>0.27262951741886898</v>
      </c>
    </row>
    <row r="1440" spans="1:11" x14ac:dyDescent="0.35">
      <c r="A1440" s="9" t="str">
        <f>HYPERLINK("http://www.ensembl.org/id/WBGene00011328", "WBGene00011328")</f>
        <v>WBGene00011328</v>
      </c>
      <c r="B1440" s="9" t="str">
        <f>HYPERLINK("http://www.ncbi.nlm.nih.gov/gene/179861", "179861")</f>
        <v>179861</v>
      </c>
      <c r="C1440" s="9"/>
      <c r="D1440" t="str">
        <f>"T01D3.3"</f>
        <v>T01D3.3</v>
      </c>
      <c r="F1440" t="s">
        <v>11</v>
      </c>
      <c r="G1440" t="s">
        <v>1218</v>
      </c>
      <c r="H1440" s="12">
        <v>1.67861236691742</v>
      </c>
      <c r="I1440" s="20">
        <v>2.3865541915600001</v>
      </c>
      <c r="J1440" s="28">
        <v>1.7007100641925399E-2</v>
      </c>
      <c r="K1440" s="29">
        <v>0.27327264772762799</v>
      </c>
    </row>
    <row r="1441" spans="1:11" x14ac:dyDescent="0.35">
      <c r="A1441" s="9" t="str">
        <f>HYPERLINK("http://www.ensembl.org/id/WBGene00008147", "WBGene00008147")</f>
        <v>WBGene00008147</v>
      </c>
      <c r="B1441" s="9" t="str">
        <f>HYPERLINK("http://www.ncbi.nlm.nih.gov/gene/177858", "177858")</f>
        <v>177858</v>
      </c>
      <c r="C1441" s="9"/>
      <c r="D1441" t="str">
        <f>"C47E12.2"</f>
        <v>C47E12.2</v>
      </c>
      <c r="F1441" t="s">
        <v>11</v>
      </c>
      <c r="G1441" t="s">
        <v>1219</v>
      </c>
      <c r="H1441" s="12">
        <v>-1.66791221547688</v>
      </c>
      <c r="I1441" s="20">
        <v>-2.3861417885421701</v>
      </c>
      <c r="J1441" s="28">
        <v>1.7026185235408602E-2</v>
      </c>
      <c r="K1441" s="29">
        <v>0.27338918418996</v>
      </c>
    </row>
    <row r="1442" spans="1:11" x14ac:dyDescent="0.35">
      <c r="A1442" s="9" t="str">
        <f>HYPERLINK("http://www.ensembl.org/id/WBGene00019968", "WBGene00019968")</f>
        <v>WBGene00019968</v>
      </c>
      <c r="B1442" s="9" t="str">
        <f>HYPERLINK("http://www.ncbi.nlm.nih.gov/gene/178797", "178797")</f>
        <v>178797</v>
      </c>
      <c r="C1442" s="9"/>
      <c r="D1442" t="str">
        <f>"R08F11.4"</f>
        <v>R08F11.4</v>
      </c>
      <c r="F1442" t="s">
        <v>11</v>
      </c>
      <c r="H1442" s="12">
        <v>-1.5745412945003301</v>
      </c>
      <c r="I1442" s="20">
        <v>-2.3856969866524702</v>
      </c>
      <c r="J1442" s="28">
        <v>1.7046790199361301E-2</v>
      </c>
      <c r="K1442" s="29">
        <v>0.27352995440725197</v>
      </c>
    </row>
    <row r="1443" spans="1:11" x14ac:dyDescent="0.35">
      <c r="A1443" s="9" t="str">
        <f>HYPERLINK("http://www.ensembl.org/id/WBGene00008567", "WBGene00008567")</f>
        <v>WBGene00008567</v>
      </c>
      <c r="B1443" s="9" t="str">
        <f>HYPERLINK("http://www.ncbi.nlm.nih.gov/gene/173164", "173164")</f>
        <v>173164</v>
      </c>
      <c r="C1443" s="9" t="str">
        <f>HYPERLINK("http://www.ncbi.nlm.nih.gov/gene/51", "51")</f>
        <v>51</v>
      </c>
      <c r="D1443" t="str">
        <f>"acox-1.4"</f>
        <v>acox-1.4</v>
      </c>
      <c r="E1443" t="s">
        <v>1220</v>
      </c>
      <c r="F1443" t="s">
        <v>11</v>
      </c>
      <c r="G1443" t="s">
        <v>1221</v>
      </c>
      <c r="H1443" s="12">
        <v>-1.7811840158146499</v>
      </c>
      <c r="I1443" s="20">
        <v>-2.3851856398128199</v>
      </c>
      <c r="J1443" s="28">
        <v>1.7070504817944698E-2</v>
      </c>
      <c r="K1443" s="29">
        <v>0.27353057165286498</v>
      </c>
    </row>
    <row r="1444" spans="1:11" x14ac:dyDescent="0.35">
      <c r="A1444" s="9" t="str">
        <f>HYPERLINK("http://www.ensembl.org/id/WBGene00219236", "WBGene00219236")</f>
        <v>WBGene00219236</v>
      </c>
      <c r="B1444" s="9" t="str">
        <f>HYPERLINK("http://www.ncbi.nlm.nih.gov/gene/13212643", "13212643")</f>
        <v>13212643</v>
      </c>
      <c r="C1444" s="9"/>
      <c r="D1444" t="str">
        <f>"K03B4.9"</f>
        <v>K03B4.9</v>
      </c>
      <c r="F1444" t="s">
        <v>11</v>
      </c>
      <c r="H1444" s="12">
        <v>3.4378055400726102</v>
      </c>
      <c r="I1444" s="20">
        <v>2.38530351043606</v>
      </c>
      <c r="J1444" s="28">
        <v>1.7065035792602001E-2</v>
      </c>
      <c r="K1444" s="29">
        <v>0.27353057165286498</v>
      </c>
    </row>
    <row r="1445" spans="1:11" x14ac:dyDescent="0.35">
      <c r="A1445" s="9" t="str">
        <f>HYPERLINK("http://www.ensembl.org/id/WBGene00010315", "WBGene00010315")</f>
        <v>WBGene00010315</v>
      </c>
      <c r="B1445" s="9" t="str">
        <f>HYPERLINK("http://www.ncbi.nlm.nih.gov/gene/186597", "186597")</f>
        <v>186597</v>
      </c>
      <c r="C1445" s="9"/>
      <c r="D1445" t="str">
        <f>"F59B2.13"</f>
        <v>F59B2.13</v>
      </c>
      <c r="E1445" t="s">
        <v>1222</v>
      </c>
      <c r="F1445" t="s">
        <v>11</v>
      </c>
      <c r="G1445" t="s">
        <v>1223</v>
      </c>
      <c r="H1445" s="12">
        <v>1.79752937822022</v>
      </c>
      <c r="I1445" s="20">
        <v>2.3848924356685099</v>
      </c>
      <c r="J1445" s="28">
        <v>1.7084115734559702E-2</v>
      </c>
      <c r="K1445" s="29">
        <v>0.27355895922573498</v>
      </c>
    </row>
    <row r="1446" spans="1:11" x14ac:dyDescent="0.35">
      <c r="A1446" s="9" t="str">
        <f>HYPERLINK("http://www.ensembl.org/id/WBGene00007391", "WBGene00007391")</f>
        <v>WBGene00007391</v>
      </c>
      <c r="B1446" s="9" t="str">
        <f>HYPERLINK("http://www.ncbi.nlm.nih.gov/gene/3565909", "3565909")</f>
        <v>3565909</v>
      </c>
      <c r="C1446" s="9"/>
      <c r="D1446" t="str">
        <f>"C06H2.7"</f>
        <v>C06H2.7</v>
      </c>
      <c r="F1446" t="s">
        <v>11</v>
      </c>
      <c r="H1446" s="12">
        <v>-1.9306741610204501</v>
      </c>
      <c r="I1446" s="20">
        <v>-2.38442264999812</v>
      </c>
      <c r="J1446" s="28">
        <v>1.7105943645350601E-2</v>
      </c>
      <c r="K1446" s="29">
        <v>0.27364505575456499</v>
      </c>
    </row>
    <row r="1447" spans="1:11" x14ac:dyDescent="0.35">
      <c r="A1447" s="9" t="str">
        <f>HYPERLINK("http://www.ensembl.org/id/WBGene00016534", "WBGene00016534")</f>
        <v>WBGene00016534</v>
      </c>
      <c r="B1447" s="9" t="str">
        <f>HYPERLINK("http://www.ncbi.nlm.nih.gov/gene/181050", "181050")</f>
        <v>181050</v>
      </c>
      <c r="C1447" s="9"/>
      <c r="D1447" t="str">
        <f>"C39D10.7"</f>
        <v>C39D10.7</v>
      </c>
      <c r="F1447" t="s">
        <v>11</v>
      </c>
      <c r="G1447" t="s">
        <v>1224</v>
      </c>
      <c r="H1447" s="12">
        <v>-1.85290525021564</v>
      </c>
      <c r="I1447" s="20">
        <v>-2.3841205983430598</v>
      </c>
      <c r="J1447" s="28">
        <v>1.71199909582146E-2</v>
      </c>
      <c r="K1447" s="29">
        <v>0.27364505575456499</v>
      </c>
    </row>
    <row r="1448" spans="1:11" x14ac:dyDescent="0.35">
      <c r="A1448" s="9" t="str">
        <f>HYPERLINK("http://www.ensembl.org/id/WBGene00017374", "WBGene00017374")</f>
        <v>WBGene00017374</v>
      </c>
      <c r="B1448" s="9" t="str">
        <f>HYPERLINK("http://www.ncbi.nlm.nih.gov/gene/24104420", "24104420")</f>
        <v>24104420</v>
      </c>
      <c r="C1448" s="9"/>
      <c r="D1448" t="str">
        <f>"ttr-41"</f>
        <v>ttr-41</v>
      </c>
      <c r="E1448" t="s">
        <v>16</v>
      </c>
      <c r="F1448" t="s">
        <v>11</v>
      </c>
      <c r="G1448" t="s">
        <v>17</v>
      </c>
      <c r="H1448" s="12">
        <v>-1.57488183254276</v>
      </c>
      <c r="I1448" s="20">
        <v>-2.3840124786672101</v>
      </c>
      <c r="J1448" s="28">
        <v>1.7125021666281499E-2</v>
      </c>
      <c r="K1448" s="29">
        <v>0.27364505575456499</v>
      </c>
    </row>
    <row r="1449" spans="1:11" x14ac:dyDescent="0.35">
      <c r="A1449" s="9" t="str">
        <f>HYPERLINK("http://www.ensembl.org/id/WBGene00007444", "WBGene00007444")</f>
        <v>WBGene00007444</v>
      </c>
      <c r="B1449" s="9" t="str">
        <f>HYPERLINK("http://www.ncbi.nlm.nih.gov/gene/178022", "178022")</f>
        <v>178022</v>
      </c>
      <c r="C1449" s="9" t="str">
        <f>HYPERLINK("http://www.ncbi.nlm.nih.gov/gene/6832", "6832")</f>
        <v>6832</v>
      </c>
      <c r="D1449" t="str">
        <f>"C08F8.2"</f>
        <v>C08F8.2</v>
      </c>
      <c r="E1449" t="s">
        <v>1225</v>
      </c>
      <c r="F1449" t="s">
        <v>11</v>
      </c>
      <c r="G1449" t="s">
        <v>1226</v>
      </c>
      <c r="H1449" s="12">
        <v>-1.7154277518699499</v>
      </c>
      <c r="I1449" s="20">
        <v>-2.38300648527773</v>
      </c>
      <c r="J1449" s="28">
        <v>1.7171891810970501E-2</v>
      </c>
      <c r="K1449" s="29">
        <v>0.273790496325447</v>
      </c>
    </row>
    <row r="1450" spans="1:11" x14ac:dyDescent="0.35">
      <c r="A1450" s="9" t="str">
        <f>HYPERLINK("http://www.ensembl.org/id/WBGene00008287", "WBGene00008287")</f>
        <v>WBGene00008287</v>
      </c>
      <c r="B1450" s="9" t="str">
        <f>HYPERLINK("http://www.ncbi.nlm.nih.gov/gene/183767", "183767")</f>
        <v>183767</v>
      </c>
      <c r="C1450" s="9"/>
      <c r="D1450" t="str">
        <f>"C54C6.5"</f>
        <v>C54C6.5</v>
      </c>
      <c r="F1450" t="s">
        <v>11</v>
      </c>
      <c r="H1450" s="12">
        <v>2.8618955677780602</v>
      </c>
      <c r="I1450" s="20">
        <v>2.3833251145185401</v>
      </c>
      <c r="J1450" s="28">
        <v>1.7157034423347501E-2</v>
      </c>
      <c r="K1450" s="29">
        <v>0.273790496325447</v>
      </c>
    </row>
    <row r="1451" spans="1:11" x14ac:dyDescent="0.35">
      <c r="A1451" s="9" t="str">
        <f>HYPERLINK("http://www.ensembl.org/id/WBGene00001760", "WBGene00001760")</f>
        <v>WBGene00001760</v>
      </c>
      <c r="B1451" s="9" t="str">
        <f>HYPERLINK("http://www.ncbi.nlm.nih.gov/gene/185408", "185408")</f>
        <v>185408</v>
      </c>
      <c r="C1451" s="9" t="str">
        <f>HYPERLINK("http://www.ncbi.nlm.nih.gov/gene/27306", "27306")</f>
        <v>27306</v>
      </c>
      <c r="D1451" t="str">
        <f>"gst-12"</f>
        <v>gst-12</v>
      </c>
      <c r="E1451" t="s">
        <v>272</v>
      </c>
      <c r="F1451" t="s">
        <v>11</v>
      </c>
      <c r="G1451" t="s">
        <v>876</v>
      </c>
      <c r="H1451" s="12">
        <v>2.2658052423047699</v>
      </c>
      <c r="I1451" s="20">
        <v>2.38280011253782</v>
      </c>
      <c r="J1451" s="28">
        <v>1.7181520802903898E-2</v>
      </c>
      <c r="K1451" s="29">
        <v>0.273790496325447</v>
      </c>
    </row>
    <row r="1452" spans="1:11" x14ac:dyDescent="0.35">
      <c r="A1452" s="9" t="str">
        <f>HYPERLINK("http://www.ensembl.org/id/WBGene00010449", "WBGene00010449")</f>
        <v>WBGene00010449</v>
      </c>
      <c r="B1452" s="9" t="str">
        <f>HYPERLINK("http://www.ncbi.nlm.nih.gov/gene/186827", "186827")</f>
        <v>186827</v>
      </c>
      <c r="C1452" s="9"/>
      <c r="D1452" t="str">
        <f>"K01A11.1"</f>
        <v>K01A11.1</v>
      </c>
      <c r="F1452" t="s">
        <v>11</v>
      </c>
      <c r="H1452" s="12">
        <v>1.6972899506883801</v>
      </c>
      <c r="I1452" s="20">
        <v>2.3831683307767002</v>
      </c>
      <c r="J1452" s="28">
        <v>1.7164343694746401E-2</v>
      </c>
      <c r="K1452" s="29">
        <v>0.273790496325447</v>
      </c>
    </row>
    <row r="1453" spans="1:11" x14ac:dyDescent="0.35">
      <c r="A1453" s="9" t="str">
        <f>HYPERLINK("http://www.ensembl.org/id/WBGene00000862", "WBGene00000862")</f>
        <v>WBGene00000862</v>
      </c>
      <c r="B1453" s="9" t="str">
        <f>HYPERLINK("http://www.ncbi.nlm.nih.gov/gene/178894", "178894")</f>
        <v>178894</v>
      </c>
      <c r="C1453" s="9"/>
      <c r="D1453" t="str">
        <f>"cwp-4"</f>
        <v>cwp-4</v>
      </c>
      <c r="E1453" t="s">
        <v>1227</v>
      </c>
      <c r="F1453" t="s">
        <v>11</v>
      </c>
      <c r="H1453" s="12">
        <v>3.80581945499857</v>
      </c>
      <c r="I1453" s="20">
        <v>2.3820501304196</v>
      </c>
      <c r="J1453" s="28">
        <v>1.7216553554754301E-2</v>
      </c>
      <c r="K1453" s="29">
        <v>0.27394453366176602</v>
      </c>
    </row>
    <row r="1454" spans="1:11" x14ac:dyDescent="0.35">
      <c r="A1454" s="9" t="str">
        <f>HYPERLINK("http://www.ensembl.org/id/WBGene00009374", "WBGene00009374")</f>
        <v>WBGene00009374</v>
      </c>
      <c r="B1454" s="9" t="str">
        <f>HYPERLINK("http://www.ncbi.nlm.nih.gov/gene/175484", "175484")</f>
        <v>175484</v>
      </c>
      <c r="C1454" s="9"/>
      <c r="D1454" t="str">
        <f>"F34D10.4"</f>
        <v>F34D10.4</v>
      </c>
      <c r="F1454" t="s">
        <v>11</v>
      </c>
      <c r="H1454" s="12">
        <v>-1.5574835096833699</v>
      </c>
      <c r="I1454" s="20">
        <v>-2.3818319833618502</v>
      </c>
      <c r="J1454" s="28">
        <v>1.72267552761424E-2</v>
      </c>
      <c r="K1454" s="29">
        <v>0.27394453366176602</v>
      </c>
    </row>
    <row r="1455" spans="1:11" x14ac:dyDescent="0.35">
      <c r="A1455" s="9" t="str">
        <f>HYPERLINK("http://www.ensembl.org/id/WBGene00020703", "WBGene00020703")</f>
        <v>WBGene00020703</v>
      </c>
      <c r="B1455" s="9" t="str">
        <f>HYPERLINK("http://www.ncbi.nlm.nih.gov/gene/188758", "188758")</f>
        <v>188758</v>
      </c>
      <c r="C1455" s="9"/>
      <c r="D1455" t="str">
        <f>"T22F7.4"</f>
        <v>T22F7.4</v>
      </c>
      <c r="F1455" t="s">
        <v>11</v>
      </c>
      <c r="H1455" s="12">
        <v>-1.7267234899046</v>
      </c>
      <c r="I1455" s="20">
        <v>-2.3818485276840899</v>
      </c>
      <c r="J1455" s="28">
        <v>1.7225981389503701E-2</v>
      </c>
      <c r="K1455" s="29">
        <v>0.27394453366176602</v>
      </c>
    </row>
    <row r="1456" spans="1:11" x14ac:dyDescent="0.35">
      <c r="A1456" s="9" t="str">
        <f>HYPERLINK("http://www.ensembl.org/id/WBGene00023500", "WBGene00023500")</f>
        <v>WBGene00023500</v>
      </c>
      <c r="B1456" s="9" t="str">
        <f>HYPERLINK("http://www.ncbi.nlm.nih.gov/gene/3564775", "3564775")</f>
        <v>3564775</v>
      </c>
      <c r="C1456" s="9"/>
      <c r="D1456" t="str">
        <f>"C11H1.9"</f>
        <v>C11H1.9</v>
      </c>
      <c r="F1456" t="s">
        <v>11</v>
      </c>
      <c r="H1456" s="12">
        <v>1.7788821558533801</v>
      </c>
      <c r="I1456" s="20">
        <v>2.38053596357009</v>
      </c>
      <c r="J1456" s="28">
        <v>1.72874734807738E-2</v>
      </c>
      <c r="K1456" s="29">
        <v>0.274721019426932</v>
      </c>
    </row>
    <row r="1457" spans="1:11" x14ac:dyDescent="0.35">
      <c r="A1457" s="9" t="str">
        <f>HYPERLINK("http://www.ensembl.org/id/WBGene00018787", "WBGene00018787")</f>
        <v>WBGene00018787</v>
      </c>
      <c r="B1457" s="9" t="str">
        <f>HYPERLINK("http://www.ncbi.nlm.nih.gov/gene/171678", "171678")</f>
        <v>171678</v>
      </c>
      <c r="C1457" s="9"/>
      <c r="D1457" t="str">
        <f>"cutl-20"</f>
        <v>cutl-20</v>
      </c>
      <c r="E1457" t="s">
        <v>166</v>
      </c>
      <c r="F1457" t="s">
        <v>11</v>
      </c>
      <c r="H1457" s="12">
        <v>1.7752826254280301</v>
      </c>
      <c r="I1457" s="20">
        <v>2.3797264541811098</v>
      </c>
      <c r="J1457" s="28">
        <v>1.73254939569196E-2</v>
      </c>
      <c r="K1457" s="29">
        <v>0.27513598856947302</v>
      </c>
    </row>
    <row r="1458" spans="1:11" x14ac:dyDescent="0.35">
      <c r="A1458" s="9" t="str">
        <f>HYPERLINK("http://www.ensembl.org/id/WBGene00000592", "WBGene00000592")</f>
        <v>WBGene00000592</v>
      </c>
      <c r="B1458" s="9" t="str">
        <f>HYPERLINK("http://www.ncbi.nlm.nih.gov/gene/179949", "179949")</f>
        <v>179949</v>
      </c>
      <c r="C1458" s="9"/>
      <c r="D1458" t="str">
        <f>"coh-3"</f>
        <v>coh-3</v>
      </c>
      <c r="E1458" t="s">
        <v>1228</v>
      </c>
      <c r="F1458" t="s">
        <v>11</v>
      </c>
      <c r="G1458" t="s">
        <v>1229</v>
      </c>
      <c r="H1458" s="12">
        <v>-1.8344765689676701</v>
      </c>
      <c r="I1458" s="20">
        <v>-2.3793034533910098</v>
      </c>
      <c r="J1458" s="28">
        <v>1.73453903213154E-2</v>
      </c>
      <c r="K1458" s="29">
        <v>0.27520258413165</v>
      </c>
    </row>
    <row r="1459" spans="1:11" x14ac:dyDescent="0.35">
      <c r="A1459" s="9" t="str">
        <f>HYPERLINK("http://www.ensembl.org/id/WBGene00010321", "WBGene00010321")</f>
        <v>WBGene00010321</v>
      </c>
      <c r="B1459" s="9" t="str">
        <f>HYPERLINK("http://www.ncbi.nlm.nih.gov/gene/186599", "186599")</f>
        <v>186599</v>
      </c>
      <c r="C1459" s="9"/>
      <c r="D1459" t="str">
        <f>"F59B10.5"</f>
        <v>F59B10.5</v>
      </c>
      <c r="F1459" t="s">
        <v>11</v>
      </c>
      <c r="H1459" s="12">
        <v>1.9833564453460999</v>
      </c>
      <c r="I1459" s="20">
        <v>2.37913098360151</v>
      </c>
      <c r="J1459" s="28">
        <v>1.7353508399541799E-2</v>
      </c>
      <c r="K1459" s="29">
        <v>0.27520258413165</v>
      </c>
    </row>
    <row r="1460" spans="1:11" x14ac:dyDescent="0.35">
      <c r="A1460" s="9" t="str">
        <f>HYPERLINK("http://www.ensembl.org/id/WBGene00009908", "WBGene00009908")</f>
        <v>WBGene00009908</v>
      </c>
      <c r="B1460" s="9" t="str">
        <f>HYPERLINK("http://www.ncbi.nlm.nih.gov/gene/186073", "186073")</f>
        <v>186073</v>
      </c>
      <c r="C1460" s="9"/>
      <c r="D1460" t="str">
        <f>"F49H6.5"</f>
        <v>F49H6.5</v>
      </c>
      <c r="F1460" t="s">
        <v>11</v>
      </c>
      <c r="G1460" t="s">
        <v>1230</v>
      </c>
      <c r="H1460" s="12">
        <v>-2.7670618278386798</v>
      </c>
      <c r="I1460" s="20">
        <v>-2.3782896893610799</v>
      </c>
      <c r="J1460" s="28">
        <v>1.73931555397977E-2</v>
      </c>
      <c r="K1460" s="29">
        <v>0.27564214808131998</v>
      </c>
    </row>
    <row r="1461" spans="1:11" x14ac:dyDescent="0.35">
      <c r="A1461" s="9" t="str">
        <f>HYPERLINK("http://www.ensembl.org/id/WBGene00008169", "WBGene00008169")</f>
        <v>WBGene00008169</v>
      </c>
      <c r="B1461" s="9" t="str">
        <f>HYPERLINK("http://www.ncbi.nlm.nih.gov/gene/183566", "183566")</f>
        <v>183566</v>
      </c>
      <c r="C1461" s="9"/>
      <c r="D1461" t="str">
        <f>"C48B4.6"</f>
        <v>C48B4.6</v>
      </c>
      <c r="F1461" t="s">
        <v>11</v>
      </c>
      <c r="H1461" s="12">
        <v>-2.1502625365445098</v>
      </c>
      <c r="I1461" s="20">
        <v>-2.3778325609595701</v>
      </c>
      <c r="J1461" s="28">
        <v>1.7414731627441601E-2</v>
      </c>
      <c r="K1461" s="29">
        <v>0.27579492048229298</v>
      </c>
    </row>
    <row r="1462" spans="1:11" x14ac:dyDescent="0.35">
      <c r="A1462" s="9" t="str">
        <f>HYPERLINK("http://www.ensembl.org/id/WBGene00012759", "WBGene00012759")</f>
        <v>WBGene00012759</v>
      </c>
      <c r="B1462" s="9" t="str">
        <f>HYPERLINK("http://www.ncbi.nlm.nih.gov/gene/189815", "189815")</f>
        <v>189815</v>
      </c>
      <c r="C1462" s="9"/>
      <c r="D1462" t="str">
        <f>"sup-1"</f>
        <v>sup-1</v>
      </c>
      <c r="F1462" t="s">
        <v>11</v>
      </c>
      <c r="G1462" t="s">
        <v>1231</v>
      </c>
      <c r="H1462" s="12">
        <v>1.5714323422555001</v>
      </c>
      <c r="I1462" s="20">
        <v>2.3772408916640502</v>
      </c>
      <c r="J1462" s="28">
        <v>1.7442692779745399E-2</v>
      </c>
      <c r="K1462" s="29">
        <v>0.27604853381424499</v>
      </c>
    </row>
    <row r="1463" spans="1:11" x14ac:dyDescent="0.35">
      <c r="A1463" s="9" t="str">
        <f>HYPERLINK("http://www.ensembl.org/id/WBGene00000920", "WBGene00000920")</f>
        <v>WBGene00000920</v>
      </c>
      <c r="B1463" s="9" t="str">
        <f>HYPERLINK("http://www.ncbi.nlm.nih.gov/gene/191014", "191014")</f>
        <v>191014</v>
      </c>
      <c r="C1463" s="9"/>
      <c r="D1463" t="str">
        <f>"daf-28"</f>
        <v>daf-28</v>
      </c>
      <c r="F1463" t="s">
        <v>11</v>
      </c>
      <c r="G1463" t="s">
        <v>1232</v>
      </c>
      <c r="H1463" s="12">
        <v>2.3904654837792099</v>
      </c>
      <c r="I1463" s="20">
        <v>2.3764647099699898</v>
      </c>
      <c r="J1463" s="28">
        <v>1.7479433319846499E-2</v>
      </c>
      <c r="K1463" s="29">
        <v>0.27644064769909199</v>
      </c>
    </row>
    <row r="1464" spans="1:11" x14ac:dyDescent="0.35">
      <c r="A1464" s="9" t="str">
        <f>HYPERLINK("http://www.ensembl.org/id/WBGene00012316", "WBGene00012316")</f>
        <v>WBGene00012316</v>
      </c>
      <c r="B1464" s="9" t="str">
        <f>HYPERLINK("http://www.ncbi.nlm.nih.gov/gene/189267", "189267")</f>
        <v>189267</v>
      </c>
      <c r="C1464" s="9" t="str">
        <f>HYPERLINK("http://www.ncbi.nlm.nih.gov/gene/1503", "1503")</f>
        <v>1503</v>
      </c>
      <c r="D1464" t="str">
        <f>"ctps-1"</f>
        <v>ctps-1</v>
      </c>
      <c r="E1464" t="s">
        <v>1233</v>
      </c>
      <c r="F1464" t="s">
        <v>11</v>
      </c>
      <c r="G1464" t="s">
        <v>1234</v>
      </c>
      <c r="H1464" s="12">
        <v>-1.6240568163478899</v>
      </c>
      <c r="I1464" s="20">
        <v>-2.3758600334708402</v>
      </c>
      <c r="J1464" s="28">
        <v>1.7508102667115898E-2</v>
      </c>
      <c r="K1464" s="29">
        <v>0.276704664997524</v>
      </c>
    </row>
    <row r="1465" spans="1:11" x14ac:dyDescent="0.35">
      <c r="A1465" s="9" t="str">
        <f>HYPERLINK("http://www.ensembl.org/id/WBGene00006463", "WBGene00006463")</f>
        <v>WBGene00006463</v>
      </c>
      <c r="B1465" s="9" t="str">
        <f>HYPERLINK("http://www.ncbi.nlm.nih.gov/gene/188912", "188912")</f>
        <v>188912</v>
      </c>
      <c r="C1465" s="9" t="str">
        <f>HYPERLINK("http://www.ncbi.nlm.nih.gov/gene/4720", "4720")</f>
        <v>4720</v>
      </c>
      <c r="D1465" t="str">
        <f>"nduf-2.2"</f>
        <v>nduf-2.2</v>
      </c>
      <c r="E1465" t="s">
        <v>1235</v>
      </c>
      <c r="F1465" t="s">
        <v>11</v>
      </c>
      <c r="G1465" t="s">
        <v>1236</v>
      </c>
      <c r="H1465" s="12">
        <v>-1.6238136340167</v>
      </c>
      <c r="I1465" s="20">
        <v>-2.3745647073531999</v>
      </c>
      <c r="J1465" s="28">
        <v>1.7569656359468E-2</v>
      </c>
      <c r="K1465" s="29">
        <v>0.27748768273538399</v>
      </c>
    </row>
    <row r="1466" spans="1:11" x14ac:dyDescent="0.35">
      <c r="A1466" s="9" t="str">
        <f>HYPERLINK("http://www.ensembl.org/id/WBGene00016939", "WBGene00016939")</f>
        <v>WBGene00016939</v>
      </c>
      <c r="B1466" s="9" t="str">
        <f>HYPERLINK("http://www.ncbi.nlm.nih.gov/gene/180984", "180984")</f>
        <v>180984</v>
      </c>
      <c r="C1466" s="9" t="str">
        <f>HYPERLINK("http://www.ncbi.nlm.nih.gov/gene/256356", "256356")</f>
        <v>256356</v>
      </c>
      <c r="D1466" t="str">
        <f>"C55B6.1"</f>
        <v>C55B6.1</v>
      </c>
      <c r="F1466" t="s">
        <v>11</v>
      </c>
      <c r="G1466" t="s">
        <v>1237</v>
      </c>
      <c r="H1466" s="12">
        <v>-1.9270405520190801</v>
      </c>
      <c r="I1466" s="20">
        <v>-2.3720654158740002</v>
      </c>
      <c r="J1466" s="28">
        <v>1.76889586137234E-2</v>
      </c>
      <c r="K1466" s="29">
        <v>0.279181064022331</v>
      </c>
    </row>
    <row r="1467" spans="1:11" x14ac:dyDescent="0.35">
      <c r="A1467" s="9" t="str">
        <f>HYPERLINK("http://www.ensembl.org/id/WBGene00000746", "WBGene00000746")</f>
        <v>WBGene00000746</v>
      </c>
      <c r="B1467" s="9" t="str">
        <f>HYPERLINK("http://www.ncbi.nlm.nih.gov/gene/180960", "180960")</f>
        <v>180960</v>
      </c>
      <c r="C1467" s="9"/>
      <c r="D1467" t="str">
        <f>"col-173"</f>
        <v>col-173</v>
      </c>
      <c r="E1467" t="s">
        <v>40</v>
      </c>
      <c r="F1467" t="s">
        <v>11</v>
      </c>
      <c r="G1467" t="s">
        <v>41</v>
      </c>
      <c r="H1467" s="12">
        <v>4.0288976690582903</v>
      </c>
      <c r="I1467" s="20">
        <v>2.3713471447656298</v>
      </c>
      <c r="J1467" s="28">
        <v>1.7723375953227899E-2</v>
      </c>
      <c r="K1467" s="29">
        <v>0.27920821023961501</v>
      </c>
    </row>
    <row r="1468" spans="1:11" x14ac:dyDescent="0.35">
      <c r="A1468" s="9" t="str">
        <f>HYPERLINK("http://www.ensembl.org/id/WBGene00017028", "WBGene00017028")</f>
        <v>WBGene00017028</v>
      </c>
      <c r="B1468" s="9" t="str">
        <f>HYPERLINK("http://www.ncbi.nlm.nih.gov/gene/175761", "175761")</f>
        <v>175761</v>
      </c>
      <c r="C1468" s="9"/>
      <c r="D1468" t="str">
        <f>"dex-1"</f>
        <v>dex-1</v>
      </c>
      <c r="E1468" t="s">
        <v>1238</v>
      </c>
      <c r="F1468" t="s">
        <v>11</v>
      </c>
      <c r="G1468" t="s">
        <v>1239</v>
      </c>
      <c r="H1468" s="12">
        <v>1.61203038241714</v>
      </c>
      <c r="I1468" s="20">
        <v>2.37155075997424</v>
      </c>
      <c r="J1468" s="28">
        <v>1.7713613384366E-2</v>
      </c>
      <c r="K1468" s="29">
        <v>0.27920821023961501</v>
      </c>
    </row>
    <row r="1469" spans="1:11" x14ac:dyDescent="0.35">
      <c r="A1469" s="9" t="str">
        <f>HYPERLINK("http://www.ensembl.org/id/WBGene00195086", "WBGene00195086")</f>
        <v>WBGene00195086</v>
      </c>
      <c r="B1469" s="9" t="str">
        <f>HYPERLINK("http://www.ncbi.nlm.nih.gov/gene/13214280", "13214280")</f>
        <v>13214280</v>
      </c>
      <c r="C1469" s="9"/>
      <c r="D1469" t="str">
        <f>"F21C10.13"</f>
        <v>F21C10.13</v>
      </c>
      <c r="F1469" t="s">
        <v>11</v>
      </c>
      <c r="G1469" t="s">
        <v>25</v>
      </c>
      <c r="H1469" s="12">
        <v>2.9089751304360001</v>
      </c>
      <c r="I1469" s="20">
        <v>2.3710211954394098</v>
      </c>
      <c r="J1469" s="28">
        <v>1.7739013790000702E-2</v>
      </c>
      <c r="K1469" s="29">
        <v>0.27920821023961501</v>
      </c>
    </row>
    <row r="1470" spans="1:11" x14ac:dyDescent="0.35">
      <c r="A1470" s="9" t="str">
        <f>HYPERLINK("http://www.ensembl.org/id/WBGene00004924", "WBGene00004924")</f>
        <v>WBGene00004924</v>
      </c>
      <c r="B1470" s="9" t="str">
        <f>HYPERLINK("http://www.ncbi.nlm.nih.gov/gene/172346", "172346")</f>
        <v>172346</v>
      </c>
      <c r="C1470" s="9"/>
      <c r="D1470" t="str">
        <f>"snt-4"</f>
        <v>snt-4</v>
      </c>
      <c r="E1470" t="s">
        <v>1240</v>
      </c>
      <c r="F1470" t="s">
        <v>11</v>
      </c>
      <c r="G1470" t="s">
        <v>1241</v>
      </c>
      <c r="H1470" s="12">
        <v>1.5466302086163299</v>
      </c>
      <c r="I1470" s="20">
        <v>2.3711761461488599</v>
      </c>
      <c r="J1470" s="28">
        <v>1.7731578323949001E-2</v>
      </c>
      <c r="K1470" s="29">
        <v>0.27920821023961501</v>
      </c>
    </row>
    <row r="1471" spans="1:11" x14ac:dyDescent="0.35">
      <c r="A1471" s="9" t="str">
        <f>HYPERLINK("http://www.ensembl.org/id/WBGene00013588", "WBGene00013588")</f>
        <v>WBGene00013588</v>
      </c>
      <c r="B1471" s="9" t="str">
        <f>HYPERLINK("http://www.ncbi.nlm.nih.gov/gene/180235", "180235")</f>
        <v>180235</v>
      </c>
      <c r="C1471" s="9"/>
      <c r="D1471" t="str">
        <f>"nlp-42"</f>
        <v>nlp-42</v>
      </c>
      <c r="E1471" t="s">
        <v>76</v>
      </c>
      <c r="F1471" t="s">
        <v>11</v>
      </c>
      <c r="G1471" t="s">
        <v>77</v>
      </c>
      <c r="H1471" s="12">
        <v>1.80229526923175</v>
      </c>
      <c r="I1471" s="20">
        <v>2.3703505978975201</v>
      </c>
      <c r="J1471" s="28">
        <v>1.7771224599407599E-2</v>
      </c>
      <c r="K1471" s="29">
        <v>0.27952478937638697</v>
      </c>
    </row>
    <row r="1472" spans="1:11" x14ac:dyDescent="0.35">
      <c r="A1472" s="9" t="str">
        <f>HYPERLINK("http://www.ensembl.org/id/WBGene00009816", "WBGene00009816")</f>
        <v>WBGene00009816</v>
      </c>
      <c r="B1472" s="9" t="str">
        <f>HYPERLINK("http://www.ncbi.nlm.nih.gov/gene/185904", "185904")</f>
        <v>185904</v>
      </c>
      <c r="C1472" s="9"/>
      <c r="D1472" t="str">
        <f>"F47B10.5"</f>
        <v>F47B10.5</v>
      </c>
      <c r="F1472" t="s">
        <v>11</v>
      </c>
      <c r="G1472" t="s">
        <v>25</v>
      </c>
      <c r="H1472" s="12">
        <v>1.9126971432911499</v>
      </c>
      <c r="I1472" s="20">
        <v>2.3689826112579202</v>
      </c>
      <c r="J1472" s="28">
        <v>1.78370920521265E-2</v>
      </c>
      <c r="K1472" s="29">
        <v>0.280369965276486</v>
      </c>
    </row>
    <row r="1473" spans="1:11" x14ac:dyDescent="0.35">
      <c r="A1473" s="9" t="str">
        <f>HYPERLINK("http://www.ensembl.org/id/WBGene00004013", "WBGene00004013")</f>
        <v>WBGene00004013</v>
      </c>
      <c r="B1473" s="9" t="str">
        <f>HYPERLINK("http://www.ncbi.nlm.nih.gov/gene/180357", "180357")</f>
        <v>180357</v>
      </c>
      <c r="C1473" s="9"/>
      <c r="D1473" t="str">
        <f>"pha-4"</f>
        <v>pha-4</v>
      </c>
      <c r="E1473" t="s">
        <v>1242</v>
      </c>
      <c r="F1473" t="s">
        <v>11</v>
      </c>
      <c r="G1473" t="s">
        <v>1243</v>
      </c>
      <c r="H1473" s="12">
        <v>1.6138233201805601</v>
      </c>
      <c r="I1473" s="20">
        <v>2.3686391932458499</v>
      </c>
      <c r="J1473" s="28">
        <v>1.7853660903741402E-2</v>
      </c>
      <c r="K1473" s="29">
        <v>0.28043962531736799</v>
      </c>
    </row>
    <row r="1474" spans="1:11" x14ac:dyDescent="0.35">
      <c r="A1474" s="9" t="str">
        <f>HYPERLINK("http://www.ensembl.org/id/WBGene00003839", "WBGene00003839")</f>
        <v>WBGene00003839</v>
      </c>
      <c r="B1474" s="9" t="str">
        <f>HYPERLINK("http://www.ncbi.nlm.nih.gov/gene/188314", "188314")</f>
        <v>188314</v>
      </c>
      <c r="C1474" s="9"/>
      <c r="D1474" t="str">
        <f>"ocr-2"</f>
        <v>ocr-2</v>
      </c>
      <c r="E1474" t="s">
        <v>1244</v>
      </c>
      <c r="F1474" t="s">
        <v>11</v>
      </c>
      <c r="G1474" t="s">
        <v>1245</v>
      </c>
      <c r="H1474" s="12">
        <v>1.9017174161363</v>
      </c>
      <c r="I1474" s="20">
        <v>2.3683425453687899</v>
      </c>
      <c r="J1474" s="28">
        <v>1.7867984095165799E-2</v>
      </c>
      <c r="K1474" s="29">
        <v>0.28047394055903602</v>
      </c>
    </row>
    <row r="1475" spans="1:11" x14ac:dyDescent="0.35">
      <c r="A1475" s="9" t="str">
        <f>HYPERLINK("http://www.ensembl.org/id/WBGene00015282", "WBGene00015282")</f>
        <v>WBGene00015282</v>
      </c>
      <c r="B1475" s="9" t="str">
        <f>HYPERLINK("http://www.ncbi.nlm.nih.gov/gene/177431", "177431")</f>
        <v>177431</v>
      </c>
      <c r="C1475" s="9" t="str">
        <f>HYPERLINK("http://www.ncbi.nlm.nih.gov/gene/51603", "51603")</f>
        <v>51603</v>
      </c>
      <c r="D1475" t="str">
        <f>"C01B10.8"</f>
        <v>C01B10.8</v>
      </c>
      <c r="F1475" t="s">
        <v>11</v>
      </c>
      <c r="G1475" t="s">
        <v>54</v>
      </c>
      <c r="H1475" s="12">
        <v>-1.6685061317363801</v>
      </c>
      <c r="I1475" s="20">
        <v>-2.3676685568499298</v>
      </c>
      <c r="J1475" s="28">
        <v>1.7900564032051501E-2</v>
      </c>
      <c r="K1475" s="29">
        <v>0.28079459098749598</v>
      </c>
    </row>
    <row r="1476" spans="1:11" x14ac:dyDescent="0.35">
      <c r="A1476" s="9" t="str">
        <f>HYPERLINK("http://www.ensembl.org/id/WBGene00011105", "WBGene00011105")</f>
        <v>WBGene00011105</v>
      </c>
      <c r="B1476" s="9" t="str">
        <f>HYPERLINK("http://www.ncbi.nlm.nih.gov/gene/187678", "187678")</f>
        <v>187678</v>
      </c>
      <c r="C1476" s="9"/>
      <c r="D1476" t="str">
        <f>"R07E3.4"</f>
        <v>R07E3.4</v>
      </c>
      <c r="F1476" t="s">
        <v>11</v>
      </c>
      <c r="G1476" t="s">
        <v>1219</v>
      </c>
      <c r="H1476" s="12">
        <v>-1.68660844448006</v>
      </c>
      <c r="I1476" s="20">
        <v>-2.36649046819791</v>
      </c>
      <c r="J1476" s="28">
        <v>1.79576366708839E-2</v>
      </c>
      <c r="K1476" s="29">
        <v>0.28106562923829898</v>
      </c>
    </row>
    <row r="1477" spans="1:11" x14ac:dyDescent="0.35">
      <c r="A1477" s="9" t="str">
        <f>HYPERLINK("http://www.ensembl.org/id/WBGene00019013", "WBGene00019013")</f>
        <v>WBGene00019013</v>
      </c>
      <c r="B1477" s="9" t="str">
        <f>HYPERLINK("http://www.ncbi.nlm.nih.gov/gene/172098", "172098")</f>
        <v>172098</v>
      </c>
      <c r="C1477" s="9"/>
      <c r="D1477" t="str">
        <f>"tofu-4"</f>
        <v>tofu-4</v>
      </c>
      <c r="E1477" t="s">
        <v>1247</v>
      </c>
      <c r="F1477" t="s">
        <v>11</v>
      </c>
      <c r="H1477" s="12">
        <v>-2.0122657925048801</v>
      </c>
      <c r="I1477" s="20">
        <v>-2.3668447482646</v>
      </c>
      <c r="J1477" s="28">
        <v>1.79404567959521E-2</v>
      </c>
      <c r="K1477" s="29">
        <v>0.28106562923829898</v>
      </c>
    </row>
    <row r="1478" spans="1:11" x14ac:dyDescent="0.35">
      <c r="A1478" s="9" t="str">
        <f>HYPERLINK("http://www.ensembl.org/id/WBGene00006609", "WBGene00006609")</f>
        <v>WBGene00006609</v>
      </c>
      <c r="B1478" s="9" t="str">
        <f>HYPERLINK("http://www.ncbi.nlm.nih.gov/gene/179604", "179604")</f>
        <v>179604</v>
      </c>
      <c r="C1478" s="9" t="str">
        <f>HYPERLINK("http://www.ncbi.nlm.nih.gov/gene/11181", "11181")</f>
        <v>11181</v>
      </c>
      <c r="D1478" t="str">
        <f>"tre-3"</f>
        <v>tre-3</v>
      </c>
      <c r="E1478" t="s">
        <v>1186</v>
      </c>
      <c r="F1478" t="s">
        <v>11</v>
      </c>
      <c r="G1478" t="s">
        <v>1246</v>
      </c>
      <c r="H1478" s="12">
        <v>-1.67168677859698</v>
      </c>
      <c r="I1478" s="20">
        <v>-2.3663078194542901</v>
      </c>
      <c r="J1478" s="28">
        <v>1.7966499367478898E-2</v>
      </c>
      <c r="K1478" s="29">
        <v>0.28106562923829898</v>
      </c>
    </row>
    <row r="1479" spans="1:11" x14ac:dyDescent="0.35">
      <c r="A1479" s="9" t="str">
        <f>HYPERLINK("http://www.ensembl.org/id/WBGene00022497", "WBGene00022497")</f>
        <v>WBGene00022497</v>
      </c>
      <c r="B1479" s="9" t="str">
        <f>HYPERLINK("http://www.ncbi.nlm.nih.gov/gene/246006", "246006")</f>
        <v>246006</v>
      </c>
      <c r="C1479" s="9"/>
      <c r="D1479" t="str">
        <f>"Y119D3B.21"</f>
        <v>Y119D3B.21</v>
      </c>
      <c r="F1479" t="s">
        <v>11</v>
      </c>
      <c r="H1479" s="12">
        <v>1.55043225813399</v>
      </c>
      <c r="I1479" s="20">
        <v>2.3664608692525899</v>
      </c>
      <c r="J1479" s="28">
        <v>1.7959072645554901E-2</v>
      </c>
      <c r="K1479" s="29">
        <v>0.28106562923829898</v>
      </c>
    </row>
    <row r="1480" spans="1:11" x14ac:dyDescent="0.35">
      <c r="A1480" s="9" t="str">
        <f>HYPERLINK("http://www.ensembl.org/id/WBGene00002043", "WBGene00002043")</f>
        <v>WBGene00002043</v>
      </c>
      <c r="B1480" s="9" t="str">
        <f>HYPERLINK("http://www.ncbi.nlm.nih.gov/gene/177660", "177660")</f>
        <v>177660</v>
      </c>
      <c r="C1480" s="9" t="str">
        <f>HYPERLINK("http://www.ncbi.nlm.nih.gov/gene/91012", "91012")</f>
        <v>91012</v>
      </c>
      <c r="D1480" t="str">
        <f>"hyl-1"</f>
        <v>hyl-1</v>
      </c>
      <c r="E1480" t="s">
        <v>1248</v>
      </c>
      <c r="F1480" t="s">
        <v>11</v>
      </c>
      <c r="G1480" t="s">
        <v>1249</v>
      </c>
      <c r="H1480" s="12">
        <v>-1.5971269280378599</v>
      </c>
      <c r="I1480" s="20">
        <v>-2.3653296141450499</v>
      </c>
      <c r="J1480" s="28">
        <v>1.8014030233259402E-2</v>
      </c>
      <c r="K1480" s="29">
        <v>0.28128139519329098</v>
      </c>
    </row>
    <row r="1481" spans="1:11" x14ac:dyDescent="0.35">
      <c r="A1481" s="9" t="str">
        <f>HYPERLINK("http://www.ensembl.org/id/WBGene00005021", "WBGene00005021")</f>
        <v>WBGene00005021</v>
      </c>
      <c r="B1481" s="9" t="str">
        <f>HYPERLINK("http://www.ncbi.nlm.nih.gov/gene/176382", "176382")</f>
        <v>176382</v>
      </c>
      <c r="C1481" s="9" t="str">
        <f>HYPERLINK("http://www.ncbi.nlm.nih.gov/gene/11285", "11285")</f>
        <v>11285</v>
      </c>
      <c r="D1481" t="str">
        <f>"sqv-3"</f>
        <v>sqv-3</v>
      </c>
      <c r="E1481" t="s">
        <v>1250</v>
      </c>
      <c r="F1481" t="s">
        <v>11</v>
      </c>
      <c r="G1481" t="s">
        <v>1251</v>
      </c>
      <c r="H1481" s="12">
        <v>-1.7712388539581601</v>
      </c>
      <c r="I1481" s="20">
        <v>-2.3657344056000298</v>
      </c>
      <c r="J1481" s="28">
        <v>1.79943481283561E-2</v>
      </c>
      <c r="K1481" s="29">
        <v>0.28128139519329098</v>
      </c>
    </row>
    <row r="1482" spans="1:11" x14ac:dyDescent="0.35">
      <c r="A1482" s="9" t="str">
        <f>HYPERLINK("http://www.ensembl.org/id/WBGene00007604", "WBGene00007604")</f>
        <v>WBGene00007604</v>
      </c>
      <c r="B1482" s="9" t="str">
        <f>HYPERLINK("http://www.ncbi.nlm.nih.gov/gene/179742", "179742")</f>
        <v>179742</v>
      </c>
      <c r="C1482" s="9"/>
      <c r="D1482" t="str">
        <f>"xbx-9"</f>
        <v>xbx-9</v>
      </c>
      <c r="E1482" t="s">
        <v>710</v>
      </c>
      <c r="F1482" t="s">
        <v>11</v>
      </c>
      <c r="G1482" t="s">
        <v>25</v>
      </c>
      <c r="H1482" s="12">
        <v>1.9632351763011799</v>
      </c>
      <c r="I1482" s="20">
        <v>2.36502228949458</v>
      </c>
      <c r="J1482" s="28">
        <v>1.8028985816725698E-2</v>
      </c>
      <c r="K1482" s="29">
        <v>0.28128139519329098</v>
      </c>
    </row>
    <row r="1483" spans="1:11" x14ac:dyDescent="0.35">
      <c r="A1483" s="9" t="str">
        <f>HYPERLINK("http://www.ensembl.org/id/WBGene00022112", "WBGene00022112")</f>
        <v>WBGene00022112</v>
      </c>
      <c r="B1483" s="9" t="str">
        <f>HYPERLINK("http://www.ncbi.nlm.nih.gov/gene/171858", "171858")</f>
        <v>171858</v>
      </c>
      <c r="C1483" s="9"/>
      <c r="D1483" t="str">
        <f>"Y71F9AL.7"</f>
        <v>Y71F9AL.7</v>
      </c>
      <c r="F1483" t="s">
        <v>11</v>
      </c>
      <c r="H1483" s="12">
        <v>1.89801389794179</v>
      </c>
      <c r="I1483" s="20">
        <v>2.3651320151937298</v>
      </c>
      <c r="J1483" s="28">
        <v>1.8023644900111799E-2</v>
      </c>
      <c r="K1483" s="29">
        <v>0.28128139519329098</v>
      </c>
    </row>
    <row r="1484" spans="1:11" x14ac:dyDescent="0.35">
      <c r="A1484" s="9" t="str">
        <f>HYPERLINK("http://www.ensembl.org/id/WBGene00007649", "WBGene00007649")</f>
        <v>WBGene00007649</v>
      </c>
      <c r="B1484" s="9" t="str">
        <f>HYPERLINK("http://www.ncbi.nlm.nih.gov/gene/182741", "182741")</f>
        <v>182741</v>
      </c>
      <c r="C1484" s="9"/>
      <c r="D1484" t="str">
        <f>"C17G1.2"</f>
        <v>C17G1.2</v>
      </c>
      <c r="F1484" t="s">
        <v>11</v>
      </c>
      <c r="G1484" t="s">
        <v>25</v>
      </c>
      <c r="H1484" s="12">
        <v>-1.8181276868052001</v>
      </c>
      <c r="I1484" s="20">
        <v>-2.3645827451492898</v>
      </c>
      <c r="J1484" s="28">
        <v>1.8050394611809299E-2</v>
      </c>
      <c r="K1484" s="29">
        <v>0.28142538319869398</v>
      </c>
    </row>
    <row r="1485" spans="1:11" x14ac:dyDescent="0.35">
      <c r="A1485" s="9" t="str">
        <f>HYPERLINK("http://www.ensembl.org/id/WBGene00018682", "WBGene00018682")</f>
        <v>WBGene00018682</v>
      </c>
      <c r="B1485" s="9" t="str">
        <f>HYPERLINK("http://www.ncbi.nlm.nih.gov/gene/180400", "180400")</f>
        <v>180400</v>
      </c>
      <c r="C1485" s="9" t="str">
        <f>HYPERLINK("http://www.ncbi.nlm.nih.gov/gene/23193", "23193")</f>
        <v>23193</v>
      </c>
      <c r="D1485" t="str">
        <f>"aagr-4"</f>
        <v>aagr-4</v>
      </c>
      <c r="E1485" t="s">
        <v>555</v>
      </c>
      <c r="F1485" t="s">
        <v>11</v>
      </c>
      <c r="G1485" t="s">
        <v>1254</v>
      </c>
      <c r="H1485" s="12">
        <v>1.64320842482921</v>
      </c>
      <c r="I1485" s="20">
        <v>2.3639564514406102</v>
      </c>
      <c r="J1485" s="28">
        <v>1.8080937833953099E-2</v>
      </c>
      <c r="K1485" s="29">
        <v>0.28161486726867502</v>
      </c>
    </row>
    <row r="1486" spans="1:11" x14ac:dyDescent="0.35">
      <c r="A1486" s="9" t="str">
        <f>HYPERLINK("http://www.ensembl.org/id/WBGene00022743", "WBGene00022743")</f>
        <v>WBGene00022743</v>
      </c>
      <c r="B1486" s="9" t="str">
        <f>HYPERLINK("http://www.ncbi.nlm.nih.gov/gene/173775", "173775")</f>
        <v>173775</v>
      </c>
      <c r="C1486" s="9"/>
      <c r="D1486" t="str">
        <f>"mlt-7"</f>
        <v>mlt-7</v>
      </c>
      <c r="E1486" t="s">
        <v>1252</v>
      </c>
      <c r="F1486" t="s">
        <v>11</v>
      </c>
      <c r="G1486" t="s">
        <v>1253</v>
      </c>
      <c r="H1486" s="12">
        <v>1.9072453345996201</v>
      </c>
      <c r="I1486" s="20">
        <v>2.3638338153315899</v>
      </c>
      <c r="J1486" s="28">
        <v>1.8086923873743301E-2</v>
      </c>
      <c r="K1486" s="29">
        <v>0.28161486726867502</v>
      </c>
    </row>
    <row r="1487" spans="1:11" x14ac:dyDescent="0.35">
      <c r="A1487" s="9" t="str">
        <f>HYPERLINK("http://www.ensembl.org/id/WBGene00012808", "WBGene00012808")</f>
        <v>WBGene00012808</v>
      </c>
      <c r="B1487" s="9" t="str">
        <f>HYPERLINK("http://www.ncbi.nlm.nih.gov/gene/189865", "189865")</f>
        <v>189865</v>
      </c>
      <c r="C1487" s="9"/>
      <c r="D1487" t="str">
        <f>"Y43F8A.1"</f>
        <v>Y43F8A.1</v>
      </c>
      <c r="F1487" t="s">
        <v>11</v>
      </c>
      <c r="H1487" s="12">
        <v>3.0806785208229099</v>
      </c>
      <c r="I1487" s="20">
        <v>2.3634117193667801</v>
      </c>
      <c r="J1487" s="28">
        <v>1.8107540236749899E-2</v>
      </c>
      <c r="K1487" s="29">
        <v>0.281746009905955</v>
      </c>
    </row>
    <row r="1488" spans="1:11" x14ac:dyDescent="0.35">
      <c r="A1488" s="9" t="str">
        <f>HYPERLINK("http://www.ensembl.org/id/WBGene00022515", "WBGene00022515")</f>
        <v>WBGene00022515</v>
      </c>
      <c r="B1488" s="9" t="str">
        <f>HYPERLINK("http://www.ncbi.nlm.nih.gov/gene/191072", "191072")</f>
        <v>191072</v>
      </c>
      <c r="C1488" s="9"/>
      <c r="D1488" t="str">
        <f>"ttr-48"</f>
        <v>ttr-48</v>
      </c>
      <c r="E1488" t="s">
        <v>16</v>
      </c>
      <c r="F1488" t="s">
        <v>11</v>
      </c>
      <c r="G1488" t="s">
        <v>17</v>
      </c>
      <c r="H1488" s="12">
        <v>-1.63908790801899</v>
      </c>
      <c r="I1488" s="20">
        <v>-2.3625184988109198</v>
      </c>
      <c r="J1488" s="28">
        <v>1.8151235525168001E-2</v>
      </c>
      <c r="K1488" s="29">
        <v>0.28204603096471498</v>
      </c>
    </row>
    <row r="1489" spans="1:11" x14ac:dyDescent="0.35">
      <c r="A1489" s="9" t="str">
        <f>HYPERLINK("http://www.ensembl.org/id/WBGene00012538", "WBGene00012538")</f>
        <v>WBGene00012538</v>
      </c>
      <c r="B1489" s="9" t="str">
        <f>HYPERLINK("http://www.ncbi.nlm.nih.gov/gene/178360", "178360")</f>
        <v>178360</v>
      </c>
      <c r="C1489" s="9" t="str">
        <f>HYPERLINK("http://www.ncbi.nlm.nih.gov/gene/8991", "8991")</f>
        <v>8991</v>
      </c>
      <c r="D1489" t="str">
        <f>"Y37A1B.5"</f>
        <v>Y37A1B.5</v>
      </c>
      <c r="F1489" t="s">
        <v>11</v>
      </c>
      <c r="G1489" t="s">
        <v>1255</v>
      </c>
      <c r="H1489" s="12">
        <v>1.71309345521489</v>
      </c>
      <c r="I1489" s="20">
        <v>2.3627577519811802</v>
      </c>
      <c r="J1489" s="28">
        <v>1.8139522500014601E-2</v>
      </c>
      <c r="K1489" s="29">
        <v>0.28204603096471498</v>
      </c>
    </row>
    <row r="1490" spans="1:11" x14ac:dyDescent="0.35">
      <c r="A1490" s="9" t="str">
        <f>HYPERLINK("http://www.ensembl.org/id/WBGene00008914", "WBGene00008914")</f>
        <v>WBGene00008914</v>
      </c>
      <c r="B1490" s="9" t="str">
        <f>HYPERLINK("http://www.ncbi.nlm.nih.gov/gene/184614", "184614")</f>
        <v>184614</v>
      </c>
      <c r="C1490" s="9"/>
      <c r="D1490" t="str">
        <f>"F17C11.2"</f>
        <v>F17C11.2</v>
      </c>
      <c r="F1490" t="s">
        <v>11</v>
      </c>
      <c r="H1490" s="12">
        <v>-1.5568560458148399</v>
      </c>
      <c r="I1490" s="20">
        <v>-2.3620866993213401</v>
      </c>
      <c r="J1490" s="28">
        <v>1.8172391729979701E-2</v>
      </c>
      <c r="K1490" s="29">
        <v>0.28218500222641801</v>
      </c>
    </row>
    <row r="1491" spans="1:11" x14ac:dyDescent="0.35">
      <c r="A1491" s="9" t="str">
        <f>HYPERLINK("http://www.ensembl.org/id/WBGene00001092", "WBGene00001092")</f>
        <v>WBGene00001092</v>
      </c>
      <c r="B1491" s="9" t="str">
        <f>HYPERLINK("http://www.ncbi.nlm.nih.gov/gene/191629", "191629")</f>
        <v>191629</v>
      </c>
      <c r="C1491" s="9" t="str">
        <f>HYPERLINK("http://www.ncbi.nlm.nih.gov/gene/1810", "1810")</f>
        <v>1810</v>
      </c>
      <c r="D1491" t="str">
        <f>"dro-1"</f>
        <v>dro-1</v>
      </c>
      <c r="E1491" t="s">
        <v>1256</v>
      </c>
      <c r="F1491" t="s">
        <v>11</v>
      </c>
      <c r="G1491" t="s">
        <v>1257</v>
      </c>
      <c r="H1491" s="12">
        <v>-1.6847615820552999</v>
      </c>
      <c r="I1491" s="20">
        <v>-2.3616348841750399</v>
      </c>
      <c r="J1491" s="28">
        <v>1.8194551724493399E-2</v>
      </c>
      <c r="K1491" s="29">
        <v>0.28233936342924498</v>
      </c>
    </row>
    <row r="1492" spans="1:11" x14ac:dyDescent="0.35">
      <c r="A1492" s="9" t="str">
        <f>HYPERLINK("http://www.ensembl.org/id/WBGene00020104", "WBGene00020104")</f>
        <v>WBGene00020104</v>
      </c>
      <c r="B1492" s="9" t="str">
        <f>HYPERLINK("http://www.ncbi.nlm.nih.gov/gene/175422", "175422")</f>
        <v>175422</v>
      </c>
      <c r="C1492" s="9"/>
      <c r="D1492" t="str">
        <f>"R148.5"</f>
        <v>R148.5</v>
      </c>
      <c r="F1492" t="s">
        <v>11</v>
      </c>
      <c r="H1492" s="12">
        <v>1.55588880239546</v>
      </c>
      <c r="I1492" s="20">
        <v>2.3598368633589999</v>
      </c>
      <c r="J1492" s="28">
        <v>1.8282973133425699E-2</v>
      </c>
      <c r="K1492" s="29">
        <v>0.28352105853753901</v>
      </c>
    </row>
    <row r="1493" spans="1:11" x14ac:dyDescent="0.35">
      <c r="A1493" s="9" t="str">
        <f>HYPERLINK("http://www.ensembl.org/id/WBGene00012123", "WBGene00012123")</f>
        <v>WBGene00012123</v>
      </c>
      <c r="B1493" s="9" t="str">
        <f>HYPERLINK("http://www.ncbi.nlm.nih.gov/gene/176567", "176567")</f>
        <v>176567</v>
      </c>
      <c r="C1493" s="9"/>
      <c r="D1493" t="str">
        <f>"T28D6.3"</f>
        <v>T28D6.3</v>
      </c>
      <c r="F1493" t="s">
        <v>11</v>
      </c>
      <c r="H1493" s="12">
        <v>2.20737993645049</v>
      </c>
      <c r="I1493" s="20">
        <v>2.3593247490068801</v>
      </c>
      <c r="J1493" s="28">
        <v>1.8308226155910101E-2</v>
      </c>
      <c r="K1493" s="29">
        <v>0.28372224920084399</v>
      </c>
    </row>
    <row r="1494" spans="1:11" x14ac:dyDescent="0.35">
      <c r="A1494" s="9" t="str">
        <f>HYPERLINK("http://www.ensembl.org/id/WBGene00001569", "WBGene00001569")</f>
        <v>WBGene00001569</v>
      </c>
      <c r="B1494" s="9" t="str">
        <f>HYPERLINK("http://www.ncbi.nlm.nih.gov/gene/180510", "180510")</f>
        <v>180510</v>
      </c>
      <c r="C1494" s="9"/>
      <c r="D1494" t="str">
        <f>"meg-3"</f>
        <v>meg-3</v>
      </c>
      <c r="F1494" t="s">
        <v>11</v>
      </c>
      <c r="G1494" t="s">
        <v>1260</v>
      </c>
      <c r="H1494" s="12">
        <v>-1.64728063023397</v>
      </c>
      <c r="I1494" s="20">
        <v>-2.3581389720252699</v>
      </c>
      <c r="J1494" s="28">
        <v>1.8366815593779E-2</v>
      </c>
      <c r="K1494" s="29">
        <v>0.28416865341252601</v>
      </c>
    </row>
    <row r="1495" spans="1:11" x14ac:dyDescent="0.35">
      <c r="A1495" s="9" t="str">
        <f>HYPERLINK("http://www.ensembl.org/id/WBGene00013187", "WBGene00013187")</f>
        <v>WBGene00013187</v>
      </c>
      <c r="B1495" s="9" t="str">
        <f>HYPERLINK("http://www.ncbi.nlm.nih.gov/gene/175131", "175131")</f>
        <v>175131</v>
      </c>
      <c r="C1495" s="9" t="str">
        <f>HYPERLINK("http://www.ncbi.nlm.nih.gov/gene/2587", "2587")</f>
        <v>2587</v>
      </c>
      <c r="D1495" t="str">
        <f>"npr-34"</f>
        <v>npr-34</v>
      </c>
      <c r="E1495" t="s">
        <v>1021</v>
      </c>
      <c r="F1495" t="s">
        <v>11</v>
      </c>
      <c r="G1495" t="s">
        <v>1259</v>
      </c>
      <c r="H1495" s="12">
        <v>2.7774238040651502</v>
      </c>
      <c r="I1495" s="20">
        <v>2.3580119221320501</v>
      </c>
      <c r="J1495" s="28">
        <v>1.8373102874206199E-2</v>
      </c>
      <c r="K1495" s="29">
        <v>0.28416865341252601</v>
      </c>
    </row>
    <row r="1496" spans="1:11" x14ac:dyDescent="0.35">
      <c r="A1496" s="9" t="str">
        <f>HYPERLINK("http://www.ensembl.org/id/WBGene00013492", "WBGene00013492")</f>
        <v>WBGene00013492</v>
      </c>
      <c r="B1496" s="9" t="str">
        <f>HYPERLINK("http://www.ncbi.nlm.nih.gov/gene/190566", "190566")</f>
        <v>190566</v>
      </c>
      <c r="C1496" s="9" t="str">
        <f>HYPERLINK("http://www.ncbi.nlm.nih.gov/gene/3416", "3416")</f>
        <v>3416</v>
      </c>
      <c r="D1496" t="str">
        <f>"Y70C5C.1"</f>
        <v>Y70C5C.1</v>
      </c>
      <c r="F1496" t="s">
        <v>11</v>
      </c>
      <c r="G1496" t="s">
        <v>1258</v>
      </c>
      <c r="H1496" s="12">
        <v>3.03224796702386</v>
      </c>
      <c r="I1496" s="20">
        <v>2.3579952619114599</v>
      </c>
      <c r="J1496" s="28">
        <v>1.8373927473310601E-2</v>
      </c>
      <c r="K1496" s="29">
        <v>0.28416865341252601</v>
      </c>
    </row>
    <row r="1497" spans="1:11" x14ac:dyDescent="0.35">
      <c r="A1497" s="9" t="str">
        <f>HYPERLINK("http://www.ensembl.org/id/WBGene00015857", "WBGene00015857")</f>
        <v>WBGene00015857</v>
      </c>
      <c r="B1497" s="9" t="str">
        <f>HYPERLINK("http://www.ncbi.nlm.nih.gov/gene/179207", "179207")</f>
        <v>179207</v>
      </c>
      <c r="C1497" s="9"/>
      <c r="D1497" t="str">
        <f>"C16D9.1"</f>
        <v>C16D9.1</v>
      </c>
      <c r="F1497" t="s">
        <v>11</v>
      </c>
      <c r="H1497" s="12">
        <v>2.3080739052317201</v>
      </c>
      <c r="I1497" s="20">
        <v>2.35720008484203</v>
      </c>
      <c r="J1497" s="28">
        <v>1.8413322523999701E-2</v>
      </c>
      <c r="K1497" s="29">
        <v>0.284397212726963</v>
      </c>
    </row>
    <row r="1498" spans="1:11" x14ac:dyDescent="0.35">
      <c r="A1498" s="9" t="str">
        <f>HYPERLINK("http://www.ensembl.org/id/WBGene00001819", "WBGene00001819")</f>
        <v>WBGene00001819</v>
      </c>
      <c r="B1498" s="9" t="str">
        <f>HYPERLINK("http://www.ncbi.nlm.nih.gov/gene/172288", "172288")</f>
        <v>172288</v>
      </c>
      <c r="C1498" s="9" t="str">
        <f>HYPERLINK("http://www.ncbi.nlm.nih.gov/gene/23457", "23457")</f>
        <v>23457</v>
      </c>
      <c r="D1498" t="str">
        <f>"haf-9"</f>
        <v>haf-9</v>
      </c>
      <c r="E1498" t="s">
        <v>1025</v>
      </c>
      <c r="F1498" t="s">
        <v>11</v>
      </c>
      <c r="G1498" t="s">
        <v>1261</v>
      </c>
      <c r="H1498" s="12">
        <v>-1.7144445526156</v>
      </c>
      <c r="I1498" s="20">
        <v>-2.35732500612131</v>
      </c>
      <c r="J1498" s="28">
        <v>1.84071287222803E-2</v>
      </c>
      <c r="K1498" s="29">
        <v>0.284397212726963</v>
      </c>
    </row>
    <row r="1499" spans="1:11" x14ac:dyDescent="0.35">
      <c r="A1499" s="9" t="str">
        <f>HYPERLINK("http://www.ensembl.org/id/WBGene00018894", "WBGene00018894")</f>
        <v>WBGene00018894</v>
      </c>
      <c r="B1499" s="9" t="str">
        <f>HYPERLINK("http://www.ncbi.nlm.nih.gov/gene/3565409", "3565409")</f>
        <v>3565409</v>
      </c>
      <c r="C1499" s="9"/>
      <c r="D1499" t="str">
        <f>"mff-2"</f>
        <v>mff-2</v>
      </c>
      <c r="E1499" t="s">
        <v>1262</v>
      </c>
      <c r="F1499" t="s">
        <v>11</v>
      </c>
      <c r="G1499" t="s">
        <v>1263</v>
      </c>
      <c r="H1499" s="12">
        <v>-1.6706421675996299</v>
      </c>
      <c r="I1499" s="20">
        <v>-2.3565818713276099</v>
      </c>
      <c r="J1499" s="28">
        <v>1.8444001422376701E-2</v>
      </c>
      <c r="K1499" s="29">
        <v>0.28449071886878202</v>
      </c>
    </row>
    <row r="1500" spans="1:11" x14ac:dyDescent="0.35">
      <c r="A1500" s="9" t="str">
        <f>HYPERLINK("http://www.ensembl.org/id/WBGene00021984", "WBGene00021984")</f>
        <v>WBGene00021984</v>
      </c>
      <c r="B1500" s="9" t="str">
        <f>HYPERLINK("http://www.ncbi.nlm.nih.gov/gene/173577", "173577")</f>
        <v>173577</v>
      </c>
      <c r="C1500" s="9"/>
      <c r="D1500" t="str">
        <f>"Y59C2A.1"</f>
        <v>Y59C2A.1</v>
      </c>
      <c r="F1500" t="s">
        <v>11</v>
      </c>
      <c r="G1500" t="s">
        <v>945</v>
      </c>
      <c r="H1500" s="12">
        <v>1.5283508953274301</v>
      </c>
      <c r="I1500" s="20">
        <v>2.3566932961570002</v>
      </c>
      <c r="J1500" s="28">
        <v>1.8438468652971399E-2</v>
      </c>
      <c r="K1500" s="29">
        <v>0.28449071886878202</v>
      </c>
    </row>
    <row r="1501" spans="1:11" x14ac:dyDescent="0.35">
      <c r="A1501" s="9" t="str">
        <f>HYPERLINK("http://www.ensembl.org/id/WBGene00001328", "WBGene00001328")</f>
        <v>WBGene00001328</v>
      </c>
      <c r="B1501" s="9" t="str">
        <f>HYPERLINK("http://www.ncbi.nlm.nih.gov/gene/177956", "177956")</f>
        <v>177956</v>
      </c>
      <c r="C1501" s="9" t="str">
        <f>HYPERLINK("http://www.ncbi.nlm.nih.gov/gene/3911", "3911")</f>
        <v>3911</v>
      </c>
      <c r="D1501" t="str">
        <f>"epi-1"</f>
        <v>epi-1</v>
      </c>
      <c r="E1501" t="s">
        <v>1264</v>
      </c>
      <c r="F1501" t="s">
        <v>11</v>
      </c>
      <c r="G1501" t="s">
        <v>1265</v>
      </c>
      <c r="H1501" s="12">
        <v>1.5281511114356401</v>
      </c>
      <c r="I1501" s="20">
        <v>2.3560672088283798</v>
      </c>
      <c r="J1501" s="28">
        <v>1.8469575707852199E-2</v>
      </c>
      <c r="K1501" s="29">
        <v>0.28469514096439802</v>
      </c>
    </row>
    <row r="1502" spans="1:11" x14ac:dyDescent="0.35">
      <c r="A1502" s="9" t="str">
        <f>HYPERLINK("http://www.ensembl.org/id/WBGene00008484", "WBGene00008484")</f>
        <v>WBGene00008484</v>
      </c>
      <c r="B1502" s="9" t="str">
        <f>HYPERLINK("http://www.ncbi.nlm.nih.gov/gene/259462", "259462")</f>
        <v>259462</v>
      </c>
      <c r="C1502" s="9"/>
      <c r="D1502" t="str">
        <f>"E04D5.5"</f>
        <v>E04D5.5</v>
      </c>
      <c r="F1502" t="s">
        <v>11</v>
      </c>
      <c r="H1502" s="12">
        <v>1.6398555347029</v>
      </c>
      <c r="I1502" s="20">
        <v>2.3552059999070698</v>
      </c>
      <c r="J1502" s="28">
        <v>1.8512439780455699E-2</v>
      </c>
      <c r="K1502" s="29">
        <v>0.28497563861906</v>
      </c>
    </row>
    <row r="1503" spans="1:11" x14ac:dyDescent="0.35">
      <c r="A1503" s="9" t="str">
        <f>HYPERLINK("http://www.ensembl.org/id/WBGene00020404", "WBGene00020404")</f>
        <v>WBGene00020404</v>
      </c>
      <c r="B1503" s="9" t="str">
        <f>HYPERLINK("http://www.ncbi.nlm.nih.gov/gene/172425", "172425")</f>
        <v>172425</v>
      </c>
      <c r="C1503" s="9"/>
      <c r="D1503" t="str">
        <f>"T10B11.8"</f>
        <v>T10B11.8</v>
      </c>
      <c r="F1503" t="s">
        <v>11</v>
      </c>
      <c r="H1503" s="12">
        <v>-1.8493946401200501</v>
      </c>
      <c r="I1503" s="20">
        <v>-2.3554018610463698</v>
      </c>
      <c r="J1503" s="28">
        <v>1.8502683743314201E-2</v>
      </c>
      <c r="K1503" s="29">
        <v>0.28497563861906</v>
      </c>
    </row>
    <row r="1504" spans="1:11" x14ac:dyDescent="0.35">
      <c r="A1504" s="9" t="str">
        <f>HYPERLINK("http://www.ensembl.org/id/WBGene00003421", "WBGene00003421")</f>
        <v>WBGene00003421</v>
      </c>
      <c r="B1504" s="9" t="str">
        <f>HYPERLINK("http://www.ncbi.nlm.nih.gov/gene/178268", "178268")</f>
        <v>178268</v>
      </c>
      <c r="C1504" s="9" t="str">
        <f>HYPERLINK("http://www.ncbi.nlm.nih.gov/gene/4439", "4439")</f>
        <v>4439</v>
      </c>
      <c r="D1504" t="str">
        <f>"msh-5"</f>
        <v>msh-5</v>
      </c>
      <c r="E1504" t="s">
        <v>1266</v>
      </c>
      <c r="F1504" t="s">
        <v>11</v>
      </c>
      <c r="G1504" t="s">
        <v>497</v>
      </c>
      <c r="H1504" s="12">
        <v>-1.7930740961443701</v>
      </c>
      <c r="I1504" s="20">
        <v>-2.3532552431075602</v>
      </c>
      <c r="J1504" s="28">
        <v>1.8609854871408101E-2</v>
      </c>
      <c r="K1504" s="29">
        <v>0.28628449178345899</v>
      </c>
    </row>
    <row r="1505" spans="1:11" x14ac:dyDescent="0.35">
      <c r="A1505" s="9" t="str">
        <f>HYPERLINK("http://www.ensembl.org/id/WBGene00006505", "WBGene00006505")</f>
        <v>WBGene00006505</v>
      </c>
      <c r="B1505" s="9" t="str">
        <f>HYPERLINK("http://www.ncbi.nlm.nih.gov/gene/189370", "189370")</f>
        <v>189370</v>
      </c>
      <c r="C1505" s="9" t="str">
        <f>HYPERLINK("http://www.ncbi.nlm.nih.gov/gene/10715", "10715")</f>
        <v>10715</v>
      </c>
      <c r="D1505" t="str">
        <f>"lagr-1"</f>
        <v>lagr-1</v>
      </c>
      <c r="E1505" t="s">
        <v>1267</v>
      </c>
      <c r="F1505" t="s">
        <v>11</v>
      </c>
      <c r="G1505" t="s">
        <v>1268</v>
      </c>
      <c r="H1505" s="12">
        <v>2.1246965145730798</v>
      </c>
      <c r="I1505" s="20">
        <v>2.3520922252019698</v>
      </c>
      <c r="J1505" s="28">
        <v>1.8668145748658001E-2</v>
      </c>
      <c r="K1505" s="29">
        <v>0.28660875459700502</v>
      </c>
    </row>
    <row r="1506" spans="1:11" x14ac:dyDescent="0.35">
      <c r="A1506" s="9" t="str">
        <f>HYPERLINK("http://www.ensembl.org/id/WBGene00020051", "WBGene00020051")</f>
        <v>WBGene00020051</v>
      </c>
      <c r="B1506" s="9" t="str">
        <f>HYPERLINK("http://www.ncbi.nlm.nih.gov/gene/176073", "176073")</f>
        <v>176073</v>
      </c>
      <c r="C1506" s="9" t="str">
        <f>HYPERLINK("http://www.ncbi.nlm.nih.gov/gene/54842", "54842")</f>
        <v>54842</v>
      </c>
      <c r="D1506" t="str">
        <f>"mfsd-6"</f>
        <v>mfsd-6</v>
      </c>
      <c r="E1506" t="s">
        <v>1269</v>
      </c>
      <c r="F1506" t="s">
        <v>11</v>
      </c>
      <c r="G1506" t="s">
        <v>25</v>
      </c>
      <c r="H1506" s="12">
        <v>1.65110425227374</v>
      </c>
      <c r="I1506" s="20">
        <v>2.3522702279259202</v>
      </c>
      <c r="J1506" s="28">
        <v>1.8659213847701299E-2</v>
      </c>
      <c r="K1506" s="29">
        <v>0.28660875459700502</v>
      </c>
    </row>
    <row r="1507" spans="1:11" x14ac:dyDescent="0.35">
      <c r="A1507" s="9" t="str">
        <f>HYPERLINK("http://www.ensembl.org/id/WBGene00018225", "WBGene00018225")</f>
        <v>WBGene00018225</v>
      </c>
      <c r="B1507" s="9"/>
      <c r="C1507" s="9"/>
      <c r="D1507" t="str">
        <f>"nep-14"</f>
        <v>nep-14</v>
      </c>
      <c r="F1507" t="s">
        <v>80</v>
      </c>
      <c r="H1507" s="12">
        <v>1.6846169757304299</v>
      </c>
      <c r="I1507" s="20">
        <v>2.35211815128469</v>
      </c>
      <c r="J1507" s="28">
        <v>1.86668445852986E-2</v>
      </c>
      <c r="K1507" s="29">
        <v>0.28660875459700502</v>
      </c>
    </row>
    <row r="1508" spans="1:11" x14ac:dyDescent="0.35">
      <c r="A1508" s="9" t="str">
        <f>HYPERLINK("http://www.ensembl.org/id/WBGene00006712", "WBGene00006712")</f>
        <v>WBGene00006712</v>
      </c>
      <c r="B1508" s="9" t="str">
        <f>HYPERLINK("http://www.ncbi.nlm.nih.gov/gene/181979", "181979")</f>
        <v>181979</v>
      </c>
      <c r="C1508" s="9"/>
      <c r="D1508" t="str">
        <f>"ubc-17"</f>
        <v>ubc-17</v>
      </c>
      <c r="E1508" t="s">
        <v>1270</v>
      </c>
      <c r="F1508" t="s">
        <v>11</v>
      </c>
      <c r="G1508" t="s">
        <v>1271</v>
      </c>
      <c r="H1508" s="12">
        <v>1.7953988962824099</v>
      </c>
      <c r="I1508" s="20">
        <v>2.3504423997930601</v>
      </c>
      <c r="J1508" s="28">
        <v>1.8751109594617399E-2</v>
      </c>
      <c r="K1508" s="29">
        <v>0.28769132688793397</v>
      </c>
    </row>
    <row r="1509" spans="1:11" x14ac:dyDescent="0.35">
      <c r="A1509" s="9" t="str">
        <f>HYPERLINK("http://www.ensembl.org/id/WBGene00006942", "WBGene00006942")</f>
        <v>WBGene00006942</v>
      </c>
      <c r="B1509" s="9" t="str">
        <f>HYPERLINK("http://www.ncbi.nlm.nih.gov/gene/181093", "181093")</f>
        <v>181093</v>
      </c>
      <c r="C1509" s="9"/>
      <c r="D1509" t="str">
        <f>"wrk-1"</f>
        <v>wrk-1</v>
      </c>
      <c r="E1509" t="s">
        <v>1272</v>
      </c>
      <c r="F1509" t="s">
        <v>11</v>
      </c>
      <c r="G1509" t="s">
        <v>1273</v>
      </c>
      <c r="H1509" s="12">
        <v>-1.6837136761445599</v>
      </c>
      <c r="I1509" s="20">
        <v>-2.3496639400755699</v>
      </c>
      <c r="J1509" s="28">
        <v>1.8790367430199802E-2</v>
      </c>
      <c r="K1509" s="29">
        <v>0.288102342297409</v>
      </c>
    </row>
    <row r="1510" spans="1:11" x14ac:dyDescent="0.35">
      <c r="A1510" s="9" t="str">
        <f>HYPERLINK("http://www.ensembl.org/id/WBGene00008194", "WBGene00008194")</f>
        <v>WBGene00008194</v>
      </c>
      <c r="B1510" s="9" t="str">
        <f>HYPERLINK("http://www.ncbi.nlm.nih.gov/gene/178513", "178513")</f>
        <v>178513</v>
      </c>
      <c r="C1510" s="9"/>
      <c r="D1510" t="str">
        <f>"C49C3.4"</f>
        <v>C49C3.4</v>
      </c>
      <c r="F1510" t="s">
        <v>11</v>
      </c>
      <c r="H1510" s="12">
        <v>1.60632958588356</v>
      </c>
      <c r="I1510" s="20">
        <v>2.3472543019956</v>
      </c>
      <c r="J1510" s="28">
        <v>1.89123418634283E-2</v>
      </c>
      <c r="K1510" s="29">
        <v>0.28958818495452299</v>
      </c>
    </row>
    <row r="1511" spans="1:11" x14ac:dyDescent="0.35">
      <c r="A1511" s="9" t="str">
        <f>HYPERLINK("http://www.ensembl.org/id/WBGene00235391", "WBGene00235391")</f>
        <v>WBGene00235391</v>
      </c>
      <c r="B1511" s="9" t="str">
        <f>HYPERLINK("http://www.ncbi.nlm.nih.gov/gene/24104553", "24104553")</f>
        <v>24104553</v>
      </c>
      <c r="C1511" s="9"/>
      <c r="D1511" t="str">
        <f>"F38A5.22"</f>
        <v>F38A5.22</v>
      </c>
      <c r="F1511" t="s">
        <v>11</v>
      </c>
      <c r="G1511" t="s">
        <v>1274</v>
      </c>
      <c r="H1511" s="12">
        <v>-1.78506276518266</v>
      </c>
      <c r="I1511" s="20">
        <v>-2.3474847633809399</v>
      </c>
      <c r="J1511" s="28">
        <v>1.8900646176694399E-2</v>
      </c>
      <c r="K1511" s="29">
        <v>0.28958818495452299</v>
      </c>
    </row>
    <row r="1512" spans="1:11" x14ac:dyDescent="0.35">
      <c r="A1512" s="9" t="str">
        <f>HYPERLINK("http://www.ensembl.org/id/WBGene00012535", "WBGene00012535")</f>
        <v>WBGene00012535</v>
      </c>
      <c r="B1512" s="9" t="str">
        <f>HYPERLINK("http://www.ncbi.nlm.nih.gov/gene/178355", "178355")</f>
        <v>178355</v>
      </c>
      <c r="C1512" s="9"/>
      <c r="D1512" t="str">
        <f>"Y37A1A.2"</f>
        <v>Y37A1A.2</v>
      </c>
      <c r="F1512" t="s">
        <v>11</v>
      </c>
      <c r="G1512" t="s">
        <v>25</v>
      </c>
      <c r="H1512" s="12">
        <v>2.0420543036638001</v>
      </c>
      <c r="I1512" s="20">
        <v>2.3455164993009099</v>
      </c>
      <c r="J1512" s="28">
        <v>1.9000737602253199E-2</v>
      </c>
      <c r="K1512" s="29">
        <v>0.29074903512428002</v>
      </c>
    </row>
    <row r="1513" spans="1:11" x14ac:dyDescent="0.35">
      <c r="A1513" s="9" t="str">
        <f>HYPERLINK("http://www.ensembl.org/id/WBGene00206466", "WBGene00206466")</f>
        <v>WBGene00206466</v>
      </c>
      <c r="B1513" s="9" t="str">
        <f>HYPERLINK("http://www.ncbi.nlm.nih.gov/gene/13223017", "13223017")</f>
        <v>13223017</v>
      </c>
      <c r="C1513" s="9"/>
      <c r="D1513" t="str">
        <f>"T08D10.5"</f>
        <v>T08D10.5</v>
      </c>
      <c r="F1513" t="s">
        <v>11</v>
      </c>
      <c r="G1513" t="s">
        <v>25</v>
      </c>
      <c r="H1513" s="12">
        <v>-1.8691811094688999</v>
      </c>
      <c r="I1513" s="20">
        <v>-2.34468074766693</v>
      </c>
      <c r="J1513" s="28">
        <v>1.9043377760103099E-2</v>
      </c>
      <c r="K1513" s="29">
        <v>0.29120866083715602</v>
      </c>
    </row>
    <row r="1514" spans="1:11" x14ac:dyDescent="0.35">
      <c r="A1514" s="9" t="str">
        <f>HYPERLINK("http://www.ensembl.org/id/WBGene00008570", "WBGene00008570")</f>
        <v>WBGene00008570</v>
      </c>
      <c r="B1514" s="9" t="str">
        <f>HYPERLINK("http://www.ncbi.nlm.nih.gov/gene/172602", "172602")</f>
        <v>172602</v>
      </c>
      <c r="C1514" s="9"/>
      <c r="D1514" t="str">
        <f>"kcnl-2"</f>
        <v>kcnl-2</v>
      </c>
      <c r="E1514" t="s">
        <v>1004</v>
      </c>
      <c r="F1514" t="s">
        <v>11</v>
      </c>
      <c r="G1514" t="s">
        <v>1275</v>
      </c>
      <c r="H1514" s="12">
        <v>1.7334393287040899</v>
      </c>
      <c r="I1514" s="20">
        <v>2.34384220139528</v>
      </c>
      <c r="J1514" s="28">
        <v>1.90862445591863E-2</v>
      </c>
      <c r="K1514" s="29">
        <v>0.29167114205327999</v>
      </c>
    </row>
    <row r="1515" spans="1:11" x14ac:dyDescent="0.35">
      <c r="A1515" s="9" t="str">
        <f>HYPERLINK("http://www.ensembl.org/id/WBGene00019148", "WBGene00019148")</f>
        <v>WBGene00019148</v>
      </c>
      <c r="B1515" s="9" t="str">
        <f>HYPERLINK("http://www.ncbi.nlm.nih.gov/gene/181103", "181103")</f>
        <v>181103</v>
      </c>
      <c r="C1515" s="9"/>
      <c r="D1515" t="str">
        <f>"H03E18.1"</f>
        <v>H03E18.1</v>
      </c>
      <c r="F1515" t="s">
        <v>11</v>
      </c>
      <c r="H1515" s="12">
        <v>2.5937109762983099</v>
      </c>
      <c r="I1515" s="20">
        <v>2.34265743278204</v>
      </c>
      <c r="J1515" s="28">
        <v>1.91469541584794E-2</v>
      </c>
      <c r="K1515" s="29">
        <v>0.292356347993871</v>
      </c>
    </row>
    <row r="1516" spans="1:11" x14ac:dyDescent="0.35">
      <c r="A1516" s="9" t="str">
        <f>HYPERLINK("http://www.ensembl.org/id/WBGene00021400", "WBGene00021400")</f>
        <v>WBGene00021400</v>
      </c>
      <c r="B1516" s="9" t="str">
        <f>HYPERLINK("http://www.ncbi.nlm.nih.gov/gene/189642", "189642")</f>
        <v>189642</v>
      </c>
      <c r="C1516" s="9"/>
      <c r="D1516" t="str">
        <f>"Y38C1AA.9"</f>
        <v>Y38C1AA.9</v>
      </c>
      <c r="F1516" t="s">
        <v>11</v>
      </c>
      <c r="G1516" t="s">
        <v>609</v>
      </c>
      <c r="H1516" s="12">
        <v>2.1363344455348199</v>
      </c>
      <c r="I1516" s="20">
        <v>2.3424736148060501</v>
      </c>
      <c r="J1516" s="28">
        <v>1.91563884213071E-2</v>
      </c>
      <c r="K1516" s="29">
        <v>0.292356347993871</v>
      </c>
    </row>
    <row r="1517" spans="1:11" x14ac:dyDescent="0.35">
      <c r="A1517" s="9" t="str">
        <f>HYPERLINK("http://www.ensembl.org/id/WBGene00009787", "WBGene00009787")</f>
        <v>WBGene00009787</v>
      </c>
      <c r="B1517" s="9" t="str">
        <f>HYPERLINK("http://www.ncbi.nlm.nih.gov/gene/181619", "181619")</f>
        <v>181619</v>
      </c>
      <c r="C1517" s="9"/>
      <c r="D1517" t="str">
        <f>"F46F2.3"</f>
        <v>F46F2.3</v>
      </c>
      <c r="F1517" t="s">
        <v>11</v>
      </c>
      <c r="H1517" s="12">
        <v>2.1341832175991899</v>
      </c>
      <c r="I1517" s="20">
        <v>2.34119515149421</v>
      </c>
      <c r="J1517" s="28">
        <v>1.9222116677479001E-2</v>
      </c>
      <c r="K1517" s="29">
        <v>0.29316582702959099</v>
      </c>
    </row>
    <row r="1518" spans="1:11" x14ac:dyDescent="0.35">
      <c r="A1518" s="9" t="str">
        <f>HYPERLINK("http://www.ensembl.org/id/WBGene00022635", "WBGene00022635")</f>
        <v>WBGene00022635</v>
      </c>
      <c r="B1518" s="9" t="str">
        <f>HYPERLINK("http://www.ncbi.nlm.nih.gov/gene/172385", "172385")</f>
        <v>172385</v>
      </c>
      <c r="C1518" s="9"/>
      <c r="D1518" t="str">
        <f>"ZC581.9"</f>
        <v>ZC581.9</v>
      </c>
      <c r="F1518" t="s">
        <v>11</v>
      </c>
      <c r="G1518" t="s">
        <v>1276</v>
      </c>
      <c r="H1518" s="12">
        <v>1.71370434593673</v>
      </c>
      <c r="I1518" s="20">
        <v>2.3399049078114902</v>
      </c>
      <c r="J1518" s="28">
        <v>1.92886503463384E-2</v>
      </c>
      <c r="K1518" s="29">
        <v>0.29398651378792601</v>
      </c>
    </row>
    <row r="1519" spans="1:11" x14ac:dyDescent="0.35">
      <c r="A1519" s="9" t="str">
        <f>HYPERLINK("http://www.ensembl.org/id/WBGene00008593", "WBGene00008593")</f>
        <v>WBGene00008593</v>
      </c>
      <c r="B1519" s="9" t="str">
        <f>HYPERLINK("http://www.ncbi.nlm.nih.gov/gene/184216", "184216")</f>
        <v>184216</v>
      </c>
      <c r="C1519" s="9"/>
      <c r="D1519" t="str">
        <f>"clec-227"</f>
        <v>clec-227</v>
      </c>
      <c r="E1519" t="s">
        <v>46</v>
      </c>
      <c r="F1519" t="s">
        <v>11</v>
      </c>
      <c r="G1519" t="s">
        <v>47</v>
      </c>
      <c r="H1519" s="12">
        <v>-4.70629854467371</v>
      </c>
      <c r="I1519" s="20">
        <v>-2.3389602248665402</v>
      </c>
      <c r="J1519" s="28">
        <v>1.9337492112494501E-2</v>
      </c>
      <c r="K1519" s="29">
        <v>0.29446340977104501</v>
      </c>
    </row>
    <row r="1520" spans="1:11" x14ac:dyDescent="0.35">
      <c r="A1520" s="9" t="str">
        <f>HYPERLINK("http://www.ensembl.org/id/WBGene00020413", "WBGene00020413")</f>
        <v>WBGene00020413</v>
      </c>
      <c r="B1520" s="9" t="str">
        <f>HYPERLINK("http://www.ncbi.nlm.nih.gov/gene/172364", "172364")</f>
        <v>172364</v>
      </c>
      <c r="C1520" s="9"/>
      <c r="D1520" t="str">
        <f>"T10E9.3"</f>
        <v>T10E9.3</v>
      </c>
      <c r="F1520" t="s">
        <v>11</v>
      </c>
      <c r="H1520" s="12">
        <v>2.0319827305800899</v>
      </c>
      <c r="I1520" s="20">
        <v>2.3388069310349202</v>
      </c>
      <c r="J1520" s="28">
        <v>1.9345427855641199E-2</v>
      </c>
      <c r="K1520" s="29">
        <v>0.29446340977104501</v>
      </c>
    </row>
    <row r="1521" spans="1:11" x14ac:dyDescent="0.35">
      <c r="A1521" s="9" t="str">
        <f>HYPERLINK("http://www.ensembl.org/id/WBGene00009349", "WBGene00009349")</f>
        <v>WBGene00009349</v>
      </c>
      <c r="B1521" s="9" t="str">
        <f>HYPERLINK("http://www.ncbi.nlm.nih.gov/gene/179816", "179816")</f>
        <v>179816</v>
      </c>
      <c r="C1521" s="9"/>
      <c r="D1521" t="str">
        <f>"F32H5.3"</f>
        <v>F32H5.3</v>
      </c>
      <c r="F1521" t="s">
        <v>11</v>
      </c>
      <c r="H1521" s="12">
        <v>2.3379107925882501</v>
      </c>
      <c r="I1521" s="20">
        <v>2.3372630925696898</v>
      </c>
      <c r="J1521" s="28">
        <v>1.94255083522865E-2</v>
      </c>
      <c r="K1521" s="29">
        <v>0.29452449280903498</v>
      </c>
    </row>
    <row r="1522" spans="1:11" x14ac:dyDescent="0.35">
      <c r="A1522" s="9" t="str">
        <f>HYPERLINK("http://www.ensembl.org/id/WBGene00018969", "WBGene00018969")</f>
        <v>WBGene00018969</v>
      </c>
      <c r="B1522" s="9" t="str">
        <f>HYPERLINK("http://www.ncbi.nlm.nih.gov/gene/173750", "173750")</f>
        <v>173750</v>
      </c>
      <c r="C1522" s="9"/>
      <c r="D1522" t="str">
        <f>"F56D3.1"</f>
        <v>F56D3.1</v>
      </c>
      <c r="F1522" t="s">
        <v>11</v>
      </c>
      <c r="H1522" s="12">
        <v>2.1310438267010299</v>
      </c>
      <c r="I1522" s="20">
        <v>2.33774436512729</v>
      </c>
      <c r="J1522" s="28">
        <v>1.9400513232264702E-2</v>
      </c>
      <c r="K1522" s="29">
        <v>0.29452449280903498</v>
      </c>
    </row>
    <row r="1523" spans="1:11" x14ac:dyDescent="0.35">
      <c r="A1523" s="9" t="str">
        <f>HYPERLINK("http://www.ensembl.org/id/WBGene00004234", "WBGene00004234")</f>
        <v>WBGene00004234</v>
      </c>
      <c r="B1523" s="9" t="str">
        <f>HYPERLINK("http://www.ncbi.nlm.nih.gov/gene/175165", "175165")</f>
        <v>175165</v>
      </c>
      <c r="C1523" s="9"/>
      <c r="D1523" t="str">
        <f>"ptr-20"</f>
        <v>ptr-20</v>
      </c>
      <c r="E1523" t="s">
        <v>134</v>
      </c>
      <c r="F1523" t="s">
        <v>11</v>
      </c>
      <c r="G1523" t="s">
        <v>193</v>
      </c>
      <c r="H1523" s="12">
        <v>1.8888493823053401</v>
      </c>
      <c r="I1523" s="20">
        <v>2.33682637294344</v>
      </c>
      <c r="J1523" s="28">
        <v>1.9448213939864699E-2</v>
      </c>
      <c r="K1523" s="29">
        <v>0.29452449280903498</v>
      </c>
    </row>
    <row r="1524" spans="1:11" x14ac:dyDescent="0.35">
      <c r="A1524" s="9" t="str">
        <f>HYPERLINK("http://www.ensembl.org/id/WBGene00011274", "WBGene00011274")</f>
        <v>WBGene00011274</v>
      </c>
      <c r="B1524" s="9" t="str">
        <f>HYPERLINK("http://www.ncbi.nlm.nih.gov/gene/174555", "174555")</f>
        <v>174555</v>
      </c>
      <c r="C1524" s="9" t="str">
        <f>HYPERLINK("http://www.ncbi.nlm.nih.gov/gene/84293", "84293")</f>
        <v>84293</v>
      </c>
      <c r="D1524" t="str">
        <f>"R53.5"</f>
        <v>R53.5</v>
      </c>
      <c r="F1524" t="s">
        <v>11</v>
      </c>
      <c r="G1524" t="s">
        <v>1279</v>
      </c>
      <c r="H1524" s="12">
        <v>-1.57119350041602</v>
      </c>
      <c r="I1524" s="20">
        <v>-2.33821595793319</v>
      </c>
      <c r="J1524" s="28">
        <v>1.9376048098685199E-2</v>
      </c>
      <c r="K1524" s="29">
        <v>0.29452449280903498</v>
      </c>
    </row>
    <row r="1525" spans="1:11" x14ac:dyDescent="0.35">
      <c r="A1525" s="9" t="str">
        <f>HYPERLINK("http://www.ensembl.org/id/WBGene00004950", "WBGene00004950")</f>
        <v>WBGene00004950</v>
      </c>
      <c r="B1525" s="9" t="str">
        <f>HYPERLINK("http://www.ncbi.nlm.nih.gov/gene/185534", "185534")</f>
        <v>185534</v>
      </c>
      <c r="C1525" s="9"/>
      <c r="D1525" t="str">
        <f>"sox-3"</f>
        <v>sox-3</v>
      </c>
      <c r="E1525" t="s">
        <v>1277</v>
      </c>
      <c r="F1525" t="s">
        <v>11</v>
      </c>
      <c r="G1525" t="s">
        <v>1278</v>
      </c>
      <c r="H1525" s="12">
        <v>1.77454721247106</v>
      </c>
      <c r="I1525" s="20">
        <v>2.3369048280692599</v>
      </c>
      <c r="J1525" s="28">
        <v>1.9444133254129199E-2</v>
      </c>
      <c r="K1525" s="29">
        <v>0.29452449280903498</v>
      </c>
    </row>
    <row r="1526" spans="1:11" x14ac:dyDescent="0.35">
      <c r="A1526" s="9" t="str">
        <f>HYPERLINK("http://www.ensembl.org/id/WBGene00020817", "WBGene00020817")</f>
        <v>WBGene00020817</v>
      </c>
      <c r="B1526" s="9" t="str">
        <f>HYPERLINK("http://www.ncbi.nlm.nih.gov/gene/259737", "259737")</f>
        <v>259737</v>
      </c>
      <c r="C1526" s="9"/>
      <c r="D1526" t="str">
        <f>"T25G12.11"</f>
        <v>T25G12.11</v>
      </c>
      <c r="F1526" t="s">
        <v>11</v>
      </c>
      <c r="G1526" t="s">
        <v>25</v>
      </c>
      <c r="H1526" s="12">
        <v>1.81297083914351</v>
      </c>
      <c r="I1526" s="20">
        <v>2.33627511701645</v>
      </c>
      <c r="J1526" s="28">
        <v>1.9476907513728301E-2</v>
      </c>
      <c r="K1526" s="29">
        <v>0.29452449280903498</v>
      </c>
    </row>
    <row r="1527" spans="1:11" x14ac:dyDescent="0.35">
      <c r="A1527" s="9" t="str">
        <f>HYPERLINK("http://www.ensembl.org/id/WBGene00020896", "WBGene00020896")</f>
        <v>WBGene00020896</v>
      </c>
      <c r="B1527" s="9" t="str">
        <f>HYPERLINK("http://www.ncbi.nlm.nih.gov/gene/28661658", "28661658")</f>
        <v>28661658</v>
      </c>
      <c r="C1527" s="9"/>
      <c r="D1527" t="str">
        <f>"T28D9.4"</f>
        <v>T28D9.4</v>
      </c>
      <c r="F1527" t="s">
        <v>11</v>
      </c>
      <c r="G1527" t="s">
        <v>25</v>
      </c>
      <c r="H1527" s="12">
        <v>-1.69784984229567</v>
      </c>
      <c r="I1527" s="20">
        <v>-2.3375845506197002</v>
      </c>
      <c r="J1527" s="28">
        <v>1.9408810156802202E-2</v>
      </c>
      <c r="K1527" s="29">
        <v>0.29452449280903498</v>
      </c>
    </row>
    <row r="1528" spans="1:11" x14ac:dyDescent="0.35">
      <c r="A1528" s="9" t="str">
        <f>HYPERLINK("http://www.ensembl.org/id/WBGene00012226", "WBGene00012226")</f>
        <v>WBGene00012226</v>
      </c>
      <c r="B1528" s="9" t="str">
        <f>HYPERLINK("http://www.ncbi.nlm.nih.gov/gene/181377", "181377")</f>
        <v>181377</v>
      </c>
      <c r="C1528" s="9"/>
      <c r="D1528" t="str">
        <f>"W03G11.4"</f>
        <v>W03G11.4</v>
      </c>
      <c r="F1528" t="s">
        <v>11</v>
      </c>
      <c r="H1528" s="12">
        <v>1.57367330227222</v>
      </c>
      <c r="I1528" s="20">
        <v>2.3364600498693</v>
      </c>
      <c r="J1528" s="28">
        <v>1.9467277403107799E-2</v>
      </c>
      <c r="K1528" s="29">
        <v>0.29452449280903498</v>
      </c>
    </row>
    <row r="1529" spans="1:11" x14ac:dyDescent="0.35">
      <c r="A1529" s="9" t="str">
        <f>HYPERLINK("http://www.ensembl.org/id/WBGene00022285", "WBGene00022285")</f>
        <v>WBGene00022285</v>
      </c>
      <c r="B1529" s="9" t="str">
        <f>HYPERLINK("http://www.ncbi.nlm.nih.gov/gene/190697", "190697")</f>
        <v>190697</v>
      </c>
      <c r="C1529" s="9"/>
      <c r="D1529" t="str">
        <f>"Y75B7AL.2"</f>
        <v>Y75B7AL.2</v>
      </c>
      <c r="F1529" t="s">
        <v>11</v>
      </c>
      <c r="G1529" t="s">
        <v>1280</v>
      </c>
      <c r="H1529" s="12">
        <v>-1.6675580970911601</v>
      </c>
      <c r="I1529" s="20">
        <v>-2.3364226966675901</v>
      </c>
      <c r="J1529" s="28">
        <v>1.9469222181691202E-2</v>
      </c>
      <c r="K1529" s="29">
        <v>0.29452449280903498</v>
      </c>
    </row>
    <row r="1530" spans="1:11" x14ac:dyDescent="0.35">
      <c r="A1530" s="9" t="str">
        <f>HYPERLINK("http://www.ensembl.org/id/WBGene00045305", "WBGene00045305")</f>
        <v>WBGene00045305</v>
      </c>
      <c r="B1530" s="9" t="str">
        <f>HYPERLINK("http://www.ncbi.nlm.nih.gov/gene/6418818", "6418818")</f>
        <v>6418818</v>
      </c>
      <c r="C1530" s="9"/>
      <c r="D1530" t="str">
        <f>"ZC250.4"</f>
        <v>ZC250.4</v>
      </c>
      <c r="F1530" t="s">
        <v>11</v>
      </c>
      <c r="H1530" s="12">
        <v>-1.97471925897692</v>
      </c>
      <c r="I1530" s="20">
        <v>-2.3384544671981802</v>
      </c>
      <c r="J1530" s="28">
        <v>1.9363685062952801E-2</v>
      </c>
      <c r="K1530" s="29">
        <v>0.29452449280903498</v>
      </c>
    </row>
    <row r="1531" spans="1:11" x14ac:dyDescent="0.35">
      <c r="A1531" s="9" t="str">
        <f>HYPERLINK("http://www.ensembl.org/id/WBGene00003739", "WBGene00003739")</f>
        <v>WBGene00003739</v>
      </c>
      <c r="B1531" s="9" t="str">
        <f>HYPERLINK("http://www.ncbi.nlm.nih.gov/gene/180661", "180661")</f>
        <v>180661</v>
      </c>
      <c r="C1531" s="9"/>
      <c r="D1531" t="str">
        <f>"nlp-1"</f>
        <v>nlp-1</v>
      </c>
      <c r="E1531" t="s">
        <v>1281</v>
      </c>
      <c r="F1531" t="s">
        <v>11</v>
      </c>
      <c r="H1531" s="12">
        <v>1.59955334398117</v>
      </c>
      <c r="I1531" s="20">
        <v>2.3356842064957299</v>
      </c>
      <c r="J1531" s="28">
        <v>1.9507706224310601E-2</v>
      </c>
      <c r="K1531" s="29">
        <v>0.29479729236031499</v>
      </c>
    </row>
    <row r="1532" spans="1:11" x14ac:dyDescent="0.35">
      <c r="A1532" s="9" t="str">
        <f>HYPERLINK("http://www.ensembl.org/id/WBGene00019285", "WBGene00019285")</f>
        <v>WBGene00019285</v>
      </c>
      <c r="B1532" s="9" t="str">
        <f>HYPERLINK("http://www.ncbi.nlm.nih.gov/gene/173423", "173423")</f>
        <v>173423</v>
      </c>
      <c r="C1532" s="9"/>
      <c r="D1532" t="str">
        <f>"cbn-1"</f>
        <v>cbn-1</v>
      </c>
      <c r="E1532" t="s">
        <v>1282</v>
      </c>
      <c r="F1532" t="s">
        <v>11</v>
      </c>
      <c r="G1532" t="s">
        <v>325</v>
      </c>
      <c r="H1532" s="12">
        <v>2.0847676586085</v>
      </c>
      <c r="I1532" s="20">
        <v>2.3345960858246402</v>
      </c>
      <c r="J1532" s="28">
        <v>1.9564531228764701E-2</v>
      </c>
      <c r="K1532" s="29">
        <v>0.29526979658513203</v>
      </c>
    </row>
    <row r="1533" spans="1:11" x14ac:dyDescent="0.35">
      <c r="A1533" s="9" t="str">
        <f>HYPERLINK("http://www.ensembl.org/id/WBGene00010901", "WBGene00010901")</f>
        <v>WBGene00010901</v>
      </c>
      <c r="B1533" s="9" t="str">
        <f>HYPERLINK("http://www.ncbi.nlm.nih.gov/gene/187463", "187463")</f>
        <v>187463</v>
      </c>
      <c r="C1533" s="9"/>
      <c r="D1533" t="str">
        <f>"M28.10"</f>
        <v>M28.10</v>
      </c>
      <c r="F1533" t="s">
        <v>11</v>
      </c>
      <c r="H1533" s="12">
        <v>-2.28950278617963</v>
      </c>
      <c r="I1533" s="20">
        <v>-2.3346227570687499</v>
      </c>
      <c r="J1533" s="28">
        <v>1.95631366477007E-2</v>
      </c>
      <c r="K1533" s="29">
        <v>0.29526979658513203</v>
      </c>
    </row>
    <row r="1534" spans="1:11" x14ac:dyDescent="0.35">
      <c r="A1534" s="9" t="str">
        <f>HYPERLINK("http://www.ensembl.org/id/WBGene00003957", "WBGene00003957")</f>
        <v>WBGene00003957</v>
      </c>
      <c r="B1534" s="9" t="str">
        <f>HYPERLINK("http://www.ncbi.nlm.nih.gov/gene/177741", "177741")</f>
        <v>177741</v>
      </c>
      <c r="C1534" s="9"/>
      <c r="D1534" t="str">
        <f>"pcp-2"</f>
        <v>pcp-2</v>
      </c>
      <c r="E1534" t="s">
        <v>1283</v>
      </c>
      <c r="F1534" t="s">
        <v>11</v>
      </c>
      <c r="G1534" t="s">
        <v>1284</v>
      </c>
      <c r="H1534" s="12">
        <v>2.2463955455632898</v>
      </c>
      <c r="I1534" s="20">
        <v>2.3299707921244099</v>
      </c>
      <c r="J1534" s="28">
        <v>1.98076948938593E-2</v>
      </c>
      <c r="K1534" s="29">
        <v>0.298744515807776</v>
      </c>
    </row>
    <row r="1535" spans="1:11" x14ac:dyDescent="0.35">
      <c r="A1535" s="9" t="str">
        <f>HYPERLINK("http://www.ensembl.org/id/WBGene00007788", "WBGene00007788")</f>
        <v>WBGene00007788</v>
      </c>
      <c r="B1535" s="9" t="str">
        <f>HYPERLINK("http://www.ncbi.nlm.nih.gov/gene/175580", "175580")</f>
        <v>175580</v>
      </c>
      <c r="C1535" s="9"/>
      <c r="D1535" t="str">
        <f>"C28A5.1"</f>
        <v>C28A5.1</v>
      </c>
      <c r="F1535" t="s">
        <v>11</v>
      </c>
      <c r="H1535" s="12">
        <v>-1.99483576514575</v>
      </c>
      <c r="I1535" s="20">
        <v>-2.3296793243612002</v>
      </c>
      <c r="J1535" s="28">
        <v>1.9823106111652201E-2</v>
      </c>
      <c r="K1535" s="29">
        <v>0.298781924211243</v>
      </c>
    </row>
    <row r="1536" spans="1:11" x14ac:dyDescent="0.35">
      <c r="A1536" s="9" t="str">
        <f>HYPERLINK("http://www.ensembl.org/id/WBGene00012431", "WBGene00012431")</f>
        <v>WBGene00012431</v>
      </c>
      <c r="B1536" s="9" t="str">
        <f>HYPERLINK("http://www.ncbi.nlm.nih.gov/gene/189432", "189432")</f>
        <v>189432</v>
      </c>
      <c r="C1536" s="9"/>
      <c r="D1536" t="str">
        <f>"Y11D7A.7"</f>
        <v>Y11D7A.7</v>
      </c>
      <c r="F1536" t="s">
        <v>11</v>
      </c>
      <c r="H1536" s="12">
        <v>-1.8775291960404601</v>
      </c>
      <c r="I1536" s="20">
        <v>-2.3292325203526998</v>
      </c>
      <c r="J1536" s="28">
        <v>1.9846750983963001E-2</v>
      </c>
      <c r="K1536" s="29">
        <v>0.29894330393445201</v>
      </c>
    </row>
    <row r="1537" spans="1:11" x14ac:dyDescent="0.35">
      <c r="A1537" s="9" t="str">
        <f>HYPERLINK("http://www.ensembl.org/id/WBGene00000135", "WBGene00000135")</f>
        <v>WBGene00000135</v>
      </c>
      <c r="B1537" s="9" t="str">
        <f>HYPERLINK("http://www.ncbi.nlm.nih.gov/gene/174338", "174338")</f>
        <v>174338</v>
      </c>
      <c r="C1537" s="9"/>
      <c r="D1537" t="str">
        <f>"amt-3"</f>
        <v>amt-3</v>
      </c>
      <c r="E1537" t="s">
        <v>1285</v>
      </c>
      <c r="F1537" t="s">
        <v>11</v>
      </c>
      <c r="G1537" t="s">
        <v>1286</v>
      </c>
      <c r="H1537" s="12">
        <v>1.9742885749240999</v>
      </c>
      <c r="I1537" s="20">
        <v>2.32647720049785</v>
      </c>
      <c r="J1537" s="28">
        <v>1.99931073826763E-2</v>
      </c>
      <c r="K1537" s="29">
        <v>0.30095162161831901</v>
      </c>
    </row>
    <row r="1538" spans="1:11" x14ac:dyDescent="0.35">
      <c r="A1538" s="9" t="str">
        <f>HYPERLINK("http://www.ensembl.org/id/WBGene00007753", "WBGene00007753")</f>
        <v>WBGene00007753</v>
      </c>
      <c r="B1538" s="9" t="str">
        <f>HYPERLINK("http://www.ncbi.nlm.nih.gov/gene/179663", "179663")</f>
        <v>179663</v>
      </c>
      <c r="C1538" s="9" t="str">
        <f>HYPERLINK("http://www.ncbi.nlm.nih.gov/gene/5167", "5167")</f>
        <v>5167</v>
      </c>
      <c r="D1538" t="str">
        <f>"C27A7.1"</f>
        <v>C27A7.1</v>
      </c>
      <c r="E1538" t="s">
        <v>1287</v>
      </c>
      <c r="F1538" t="s">
        <v>11</v>
      </c>
      <c r="G1538" t="s">
        <v>1288</v>
      </c>
      <c r="H1538" s="12">
        <v>1.7432514556344401</v>
      </c>
      <c r="I1538" s="20">
        <v>2.32547624744269</v>
      </c>
      <c r="J1538" s="28">
        <v>2.00465085631252E-2</v>
      </c>
      <c r="K1538" s="29">
        <v>0.30155900186169998</v>
      </c>
    </row>
    <row r="1539" spans="1:11" x14ac:dyDescent="0.35">
      <c r="A1539" s="9" t="str">
        <f>HYPERLINK("http://www.ensembl.org/id/WBGene00005444", "WBGene00005444")</f>
        <v>WBGene00005444</v>
      </c>
      <c r="B1539" s="9" t="str">
        <f>HYPERLINK("http://www.ncbi.nlm.nih.gov/gene/13217708", "13217708")</f>
        <v>13217708</v>
      </c>
      <c r="C1539" s="9"/>
      <c r="D1539" t="str">
        <f>"srh-237"</f>
        <v>srh-237</v>
      </c>
      <c r="E1539" t="s">
        <v>153</v>
      </c>
      <c r="F1539" t="s">
        <v>11</v>
      </c>
      <c r="G1539" t="s">
        <v>25</v>
      </c>
      <c r="H1539" s="12">
        <v>1.9497249265772001</v>
      </c>
      <c r="I1539" s="20">
        <v>2.3248330611672801</v>
      </c>
      <c r="J1539" s="28">
        <v>2.00808884262858E-2</v>
      </c>
      <c r="K1539" s="29">
        <v>0.30187964084434599</v>
      </c>
    </row>
    <row r="1540" spans="1:11" x14ac:dyDescent="0.35">
      <c r="A1540" s="9" t="str">
        <f>HYPERLINK("http://www.ensembl.org/id/WBGene00015647", "WBGene00015647")</f>
        <v>WBGene00015647</v>
      </c>
      <c r="B1540" s="9" t="str">
        <f>HYPERLINK("http://www.ncbi.nlm.nih.gov/gene/175222", "175222")</f>
        <v>175222</v>
      </c>
      <c r="C1540" s="9"/>
      <c r="D1540" t="str">
        <f>"C09F5.1"</f>
        <v>C09F5.1</v>
      </c>
      <c r="E1540" t="s">
        <v>1289</v>
      </c>
      <c r="F1540" t="s">
        <v>11</v>
      </c>
      <c r="G1540" t="s">
        <v>25</v>
      </c>
      <c r="H1540" s="12">
        <v>1.65127447438366</v>
      </c>
      <c r="I1540" s="20">
        <v>2.32307645450945</v>
      </c>
      <c r="J1540" s="28">
        <v>2.01750456094019E-2</v>
      </c>
      <c r="K1540" s="29">
        <v>0.30309792187960999</v>
      </c>
    </row>
    <row r="1541" spans="1:11" x14ac:dyDescent="0.35">
      <c r="A1541" s="9" t="str">
        <f>HYPERLINK("http://www.ensembl.org/id/WBGene00000797", "WBGene00000797")</f>
        <v>WBGene00000797</v>
      </c>
      <c r="B1541" s="9" t="str">
        <f>HYPERLINK("http://www.ncbi.nlm.nih.gov/gene/180536", "180536")</f>
        <v>180536</v>
      </c>
      <c r="C1541" s="9"/>
      <c r="D1541" t="str">
        <f>"crn-4"</f>
        <v>crn-4</v>
      </c>
      <c r="E1541" t="s">
        <v>1290</v>
      </c>
      <c r="F1541" t="s">
        <v>11</v>
      </c>
      <c r="G1541" t="s">
        <v>91</v>
      </c>
      <c r="H1541" s="12">
        <v>-1.73246546064486</v>
      </c>
      <c r="I1541" s="20">
        <v>-2.3195532871666198</v>
      </c>
      <c r="J1541" s="28">
        <v>2.03650553295621E-2</v>
      </c>
      <c r="K1541" s="29">
        <v>0.30575371568866799</v>
      </c>
    </row>
    <row r="1542" spans="1:11" x14ac:dyDescent="0.35">
      <c r="A1542" s="9" t="str">
        <f>HYPERLINK("http://www.ensembl.org/id/WBGene00015969", "WBGene00015969")</f>
        <v>WBGene00015969</v>
      </c>
      <c r="B1542" s="9" t="str">
        <f>HYPERLINK("http://www.ncbi.nlm.nih.gov/gene/182780", "182780")</f>
        <v>182780</v>
      </c>
      <c r="C1542" s="9"/>
      <c r="D1542" t="str">
        <f>"glb-6"</f>
        <v>glb-6</v>
      </c>
      <c r="E1542" t="s">
        <v>1291</v>
      </c>
      <c r="F1542" t="s">
        <v>11</v>
      </c>
      <c r="G1542" t="s">
        <v>867</v>
      </c>
      <c r="H1542" s="12">
        <v>2.2003452401362802</v>
      </c>
      <c r="I1542" s="20">
        <v>2.3184962675271699</v>
      </c>
      <c r="J1542" s="28">
        <v>2.0422365577697301E-2</v>
      </c>
      <c r="K1542" s="29">
        <v>0.30598300222326902</v>
      </c>
    </row>
    <row r="1543" spans="1:11" x14ac:dyDescent="0.35">
      <c r="A1543" s="9" t="str">
        <f>HYPERLINK("http://www.ensembl.org/id/WBGene00001821", "WBGene00001821")</f>
        <v>WBGene00001821</v>
      </c>
      <c r="B1543" s="9" t="str">
        <f>HYPERLINK("http://www.ncbi.nlm.nih.gov/gene/180727", "180727")</f>
        <v>180727</v>
      </c>
      <c r="C1543" s="9"/>
      <c r="D1543" t="str">
        <f>"ham-2"</f>
        <v>ham-2</v>
      </c>
      <c r="F1543" t="s">
        <v>11</v>
      </c>
      <c r="G1543" t="s">
        <v>1292</v>
      </c>
      <c r="H1543" s="12">
        <v>1.6066196198221301</v>
      </c>
      <c r="I1543" s="20">
        <v>2.3186025494309299</v>
      </c>
      <c r="J1543" s="28">
        <v>2.0416596755103801E-2</v>
      </c>
      <c r="K1543" s="29">
        <v>0.30598300222326902</v>
      </c>
    </row>
    <row r="1544" spans="1:11" x14ac:dyDescent="0.35">
      <c r="A1544" s="9" t="str">
        <f>HYPERLINK("http://www.ensembl.org/id/WBGene00019603", "WBGene00019603")</f>
        <v>WBGene00019603</v>
      </c>
      <c r="B1544" s="9" t="str">
        <f>HYPERLINK("http://www.ncbi.nlm.nih.gov/gene/187246", "187246")</f>
        <v>187246</v>
      </c>
      <c r="C1544" s="9"/>
      <c r="D1544" t="str">
        <f>"K09H11.6"</f>
        <v>K09H11.6</v>
      </c>
      <c r="F1544" t="s">
        <v>11</v>
      </c>
      <c r="G1544" t="s">
        <v>25</v>
      </c>
      <c r="H1544" s="12">
        <v>2.74870563366159</v>
      </c>
      <c r="I1544" s="20">
        <v>2.31875200798682</v>
      </c>
      <c r="J1544" s="28">
        <v>2.0408486773285401E-2</v>
      </c>
      <c r="K1544" s="29">
        <v>0.30598300222326902</v>
      </c>
    </row>
    <row r="1545" spans="1:11" x14ac:dyDescent="0.35">
      <c r="A1545" s="9" t="str">
        <f>HYPERLINK("http://www.ensembl.org/id/WBGene00045386", "WBGene00045386")</f>
        <v>WBGene00045386</v>
      </c>
      <c r="B1545" s="9" t="str">
        <f>HYPERLINK("http://www.ncbi.nlm.nih.gov/gene/6418829", "6418829")</f>
        <v>6418829</v>
      </c>
      <c r="C1545" s="9"/>
      <c r="D1545" t="str">
        <f>"nlp-76"</f>
        <v>nlp-76</v>
      </c>
      <c r="E1545" t="s">
        <v>76</v>
      </c>
      <c r="F1545" t="s">
        <v>11</v>
      </c>
      <c r="G1545" t="s">
        <v>77</v>
      </c>
      <c r="H1545" s="12">
        <v>1.85161002433081</v>
      </c>
      <c r="I1545" s="20">
        <v>2.3181546619543898</v>
      </c>
      <c r="J1545" s="28">
        <v>2.0440917046449299E-2</v>
      </c>
      <c r="K1545" s="29">
        <v>0.30598300222326902</v>
      </c>
    </row>
    <row r="1546" spans="1:11" x14ac:dyDescent="0.35">
      <c r="A1546" s="9" t="str">
        <f>HYPERLINK("http://www.ensembl.org/id/WBGene00021875", "WBGene00021875")</f>
        <v>WBGene00021875</v>
      </c>
      <c r="B1546" s="9" t="str">
        <f>HYPERLINK("http://www.ncbi.nlm.nih.gov/gene/177060", "177060")</f>
        <v>177060</v>
      </c>
      <c r="C1546" s="9"/>
      <c r="D1546" t="str">
        <f>"Y54G2A.10"</f>
        <v>Y54G2A.10</v>
      </c>
      <c r="F1546" t="s">
        <v>11</v>
      </c>
      <c r="H1546" s="12">
        <v>1.87833579099924</v>
      </c>
      <c r="I1546" s="20">
        <v>2.31805117289879</v>
      </c>
      <c r="J1546" s="28">
        <v>2.0446540094898599E-2</v>
      </c>
      <c r="K1546" s="29">
        <v>0.30598300222326902</v>
      </c>
    </row>
    <row r="1547" spans="1:11" x14ac:dyDescent="0.35">
      <c r="A1547" s="9" t="str">
        <f>HYPERLINK("http://www.ensembl.org/id/WBGene00002143", "WBGene00002143")</f>
        <v>WBGene00002143</v>
      </c>
      <c r="B1547" s="9" t="str">
        <f>HYPERLINK("http://www.ncbi.nlm.nih.gov/gene/171930", "171930")</f>
        <v>171930</v>
      </c>
      <c r="C1547" s="9"/>
      <c r="D1547" t="str">
        <f>"inx-21"</f>
        <v>inx-21</v>
      </c>
      <c r="E1547" t="s">
        <v>275</v>
      </c>
      <c r="F1547" t="s">
        <v>11</v>
      </c>
      <c r="G1547" t="s">
        <v>1293</v>
      </c>
      <c r="H1547" s="12">
        <v>-1.8589573913086801</v>
      </c>
      <c r="I1547" s="20">
        <v>-2.3175719195461801</v>
      </c>
      <c r="J1547" s="28">
        <v>2.0472597783818599E-2</v>
      </c>
      <c r="K1547" s="29">
        <v>0.30617465656499199</v>
      </c>
    </row>
    <row r="1548" spans="1:11" x14ac:dyDescent="0.35">
      <c r="A1548" s="9" t="str">
        <f>HYPERLINK("http://www.ensembl.org/id/WBGene00001450", "WBGene00001450")</f>
        <v>WBGene00001450</v>
      </c>
      <c r="B1548" s="9" t="str">
        <f>HYPERLINK("http://www.ncbi.nlm.nih.gov/gene/180854", "180854")</f>
        <v>180854</v>
      </c>
      <c r="C1548" s="9"/>
      <c r="D1548" t="str">
        <f>"flp-7"</f>
        <v>flp-7</v>
      </c>
      <c r="E1548" t="s">
        <v>1294</v>
      </c>
      <c r="F1548" t="s">
        <v>11</v>
      </c>
      <c r="G1548" t="s">
        <v>77</v>
      </c>
      <c r="H1548" s="12">
        <v>1.62751439555115</v>
      </c>
      <c r="I1548" s="20">
        <v>2.3164864288533198</v>
      </c>
      <c r="J1548" s="28">
        <v>2.05317245772965E-2</v>
      </c>
      <c r="K1548" s="29">
        <v>0.30666194446219402</v>
      </c>
    </row>
    <row r="1549" spans="1:11" x14ac:dyDescent="0.35">
      <c r="A1549" s="9" t="str">
        <f>HYPERLINK("http://www.ensembl.org/id/WBGene00007070", "WBGene00007070")</f>
        <v>WBGene00007070</v>
      </c>
      <c r="B1549" s="9" t="str">
        <f>HYPERLINK("http://www.ncbi.nlm.nih.gov/gene/179446", "179446")</f>
        <v>179446</v>
      </c>
      <c r="C1549" s="9"/>
      <c r="D1549" t="str">
        <f>"ugt-49"</f>
        <v>ugt-49</v>
      </c>
      <c r="E1549" t="s">
        <v>948</v>
      </c>
      <c r="F1549" t="s">
        <v>11</v>
      </c>
      <c r="G1549" t="s">
        <v>104</v>
      </c>
      <c r="H1549" s="12">
        <v>1.6137345845447999</v>
      </c>
      <c r="I1549" s="20">
        <v>2.31657656487315</v>
      </c>
      <c r="J1549" s="28">
        <v>2.0526809195543099E-2</v>
      </c>
      <c r="K1549" s="29">
        <v>0.30666194446219402</v>
      </c>
    </row>
    <row r="1550" spans="1:11" x14ac:dyDescent="0.35">
      <c r="A1550" s="9" t="str">
        <f>HYPERLINK("http://www.ensembl.org/id/WBGene00003749", "WBGene00003749")</f>
        <v>WBGene00003749</v>
      </c>
      <c r="B1550" s="9" t="str">
        <f>HYPERLINK("http://www.ncbi.nlm.nih.gov/gene/191566", "191566")</f>
        <v>191566</v>
      </c>
      <c r="C1550" s="9"/>
      <c r="D1550" t="str">
        <f>"nlp-11"</f>
        <v>nlp-11</v>
      </c>
      <c r="E1550" t="s">
        <v>1295</v>
      </c>
      <c r="F1550" t="s">
        <v>11</v>
      </c>
      <c r="H1550" s="12">
        <v>1.5782650177472399</v>
      </c>
      <c r="I1550" s="20">
        <v>2.31559430792626</v>
      </c>
      <c r="J1550" s="28">
        <v>2.0580429932634401E-2</v>
      </c>
      <c r="K1550" s="29">
        <v>0.30719083593246199</v>
      </c>
    </row>
    <row r="1551" spans="1:11" x14ac:dyDescent="0.35">
      <c r="A1551" s="9" t="str">
        <f>HYPERLINK("http://www.ensembl.org/id/WBGene00010204", "WBGene00010204")</f>
        <v>WBGene00010204</v>
      </c>
      <c r="B1551" s="9" t="str">
        <f>HYPERLINK("http://www.ncbi.nlm.nih.gov/gene/179645", "179645")</f>
        <v>179645</v>
      </c>
      <c r="C1551" s="9"/>
      <c r="D1551" t="str">
        <f>"F57F5.1"</f>
        <v>F57F5.1</v>
      </c>
      <c r="F1551" t="s">
        <v>11</v>
      </c>
      <c r="G1551" t="s">
        <v>1296</v>
      </c>
      <c r="H1551" s="12">
        <v>-1.7627117866833399</v>
      </c>
      <c r="I1551" s="20">
        <v>-2.3151627657953799</v>
      </c>
      <c r="J1551" s="28">
        <v>2.0604026115139101E-2</v>
      </c>
      <c r="K1551" s="29">
        <v>0.30734449800929903</v>
      </c>
    </row>
    <row r="1552" spans="1:11" x14ac:dyDescent="0.35">
      <c r="A1552" s="9" t="str">
        <f>HYPERLINK("http://www.ensembl.org/id/WBGene00002130", "WBGene00002130")</f>
        <v>WBGene00002130</v>
      </c>
      <c r="B1552" s="9" t="str">
        <f>HYPERLINK("http://www.ncbi.nlm.nih.gov/gene/178101", "178101")</f>
        <v>178101</v>
      </c>
      <c r="C1552" s="9"/>
      <c r="D1552" t="str">
        <f>"inx-8"</f>
        <v>inx-8</v>
      </c>
      <c r="E1552" t="s">
        <v>1297</v>
      </c>
      <c r="F1552" t="s">
        <v>11</v>
      </c>
      <c r="H1552" s="12">
        <v>-1.82556152188545</v>
      </c>
      <c r="I1552" s="20">
        <v>-2.31416176588364</v>
      </c>
      <c r="J1552" s="28">
        <v>2.06588503763044E-2</v>
      </c>
      <c r="K1552" s="29">
        <v>0.30792274164059102</v>
      </c>
    </row>
    <row r="1553" spans="1:11" x14ac:dyDescent="0.35">
      <c r="A1553" s="9" t="str">
        <f>HYPERLINK("http://www.ensembl.org/id/WBGene00021645", "WBGene00021645")</f>
        <v>WBGene00021645</v>
      </c>
      <c r="B1553" s="9" t="str">
        <f>HYPERLINK("http://www.ncbi.nlm.nih.gov/gene/171921", "171921")</f>
        <v>171921</v>
      </c>
      <c r="C1553" s="9" t="str">
        <f>HYPERLINK("http://www.ncbi.nlm.nih.gov/gene/1358", "1358")</f>
        <v>1358</v>
      </c>
      <c r="D1553" t="str">
        <f>"Y47G6A.19"</f>
        <v>Y47G6A.19</v>
      </c>
      <c r="F1553" t="s">
        <v>11</v>
      </c>
      <c r="G1553" t="s">
        <v>945</v>
      </c>
      <c r="H1553" s="12">
        <v>2.1878518063396601</v>
      </c>
      <c r="I1553" s="20">
        <v>2.3139686115950302</v>
      </c>
      <c r="J1553" s="28">
        <v>2.0669443966266601E-2</v>
      </c>
      <c r="K1553" s="29">
        <v>0.30792274164059102</v>
      </c>
    </row>
    <row r="1554" spans="1:11" x14ac:dyDescent="0.35">
      <c r="A1554" s="9" t="str">
        <f>HYPERLINK("http://www.ensembl.org/id/WBGene00016360", "WBGene00016360")</f>
        <v>WBGene00016360</v>
      </c>
      <c r="B1554" s="9" t="str">
        <f>HYPERLINK("http://www.ncbi.nlm.nih.gov/gene/183174", "183174")</f>
        <v>183174</v>
      </c>
      <c r="C1554" s="9"/>
      <c r="D1554" t="str">
        <f>"C33G8.2"</f>
        <v>C33G8.2</v>
      </c>
      <c r="F1554" t="s">
        <v>11</v>
      </c>
      <c r="H1554" s="12">
        <v>1.65377123058567</v>
      </c>
      <c r="I1554" s="20">
        <v>2.3131635355233899</v>
      </c>
      <c r="J1554" s="28">
        <v>2.0713649569384499E-2</v>
      </c>
      <c r="K1554" s="29">
        <v>0.308122475493459</v>
      </c>
    </row>
    <row r="1555" spans="1:11" x14ac:dyDescent="0.35">
      <c r="A1555" s="9" t="str">
        <f>HYPERLINK("http://www.ensembl.org/id/WBGene00009073", "WBGene00009073")</f>
        <v>WBGene00009073</v>
      </c>
      <c r="B1555" s="9" t="str">
        <f>HYPERLINK("http://www.ncbi.nlm.nih.gov/gene/184882", "184882")</f>
        <v>184882</v>
      </c>
      <c r="C1555" s="9"/>
      <c r="D1555" t="str">
        <f>"delm-1"</f>
        <v>delm-1</v>
      </c>
      <c r="E1555" t="s">
        <v>1011</v>
      </c>
      <c r="F1555" t="s">
        <v>11</v>
      </c>
      <c r="G1555" t="s">
        <v>211</v>
      </c>
      <c r="H1555" s="12">
        <v>3.7654619429735798</v>
      </c>
      <c r="I1555" s="20">
        <v>2.3133541471319301</v>
      </c>
      <c r="J1555" s="28">
        <v>2.0703175911677502E-2</v>
      </c>
      <c r="K1555" s="29">
        <v>0.308122475493459</v>
      </c>
    </row>
    <row r="1556" spans="1:11" x14ac:dyDescent="0.35">
      <c r="A1556" s="9" t="str">
        <f>HYPERLINK("http://www.ensembl.org/id/WBGene00006845", "WBGene00006845")</f>
        <v>WBGene00006845</v>
      </c>
      <c r="B1556" s="9" t="str">
        <f>HYPERLINK("http://www.ncbi.nlm.nih.gov/gene/173359", "173359")</f>
        <v>173359</v>
      </c>
      <c r="C1556" s="9"/>
      <c r="D1556" t="str">
        <f>"unc-122"</f>
        <v>unc-122</v>
      </c>
      <c r="F1556" t="s">
        <v>11</v>
      </c>
      <c r="G1556" t="s">
        <v>1298</v>
      </c>
      <c r="H1556" s="12">
        <v>-1.74492759302982</v>
      </c>
      <c r="I1556" s="20">
        <v>-2.3129960430047798</v>
      </c>
      <c r="J1556" s="28">
        <v>2.07228567002871E-2</v>
      </c>
      <c r="K1556" s="29">
        <v>0.308122475493459</v>
      </c>
    </row>
    <row r="1557" spans="1:11" x14ac:dyDescent="0.35">
      <c r="A1557" s="9" t="str">
        <f>HYPERLINK("http://www.ensembl.org/id/WBGene00007925", "WBGene00007925")</f>
        <v>WBGene00007925</v>
      </c>
      <c r="B1557" s="9" t="str">
        <f>HYPERLINK("http://www.ncbi.nlm.nih.gov/gene/175452", "175452")</f>
        <v>175452</v>
      </c>
      <c r="C1557" s="9"/>
      <c r="D1557" t="str">
        <f>"C34C12.6"</f>
        <v>C34C12.6</v>
      </c>
      <c r="E1557" t="s">
        <v>1299</v>
      </c>
      <c r="F1557" t="s">
        <v>11</v>
      </c>
      <c r="H1557" s="12">
        <v>1.8528275152185401</v>
      </c>
      <c r="I1557" s="20">
        <v>2.3119300997397101</v>
      </c>
      <c r="J1557" s="28">
        <v>2.078153567649E-2</v>
      </c>
      <c r="K1557" s="29">
        <v>0.30877587798867201</v>
      </c>
    </row>
    <row r="1558" spans="1:11" x14ac:dyDescent="0.35">
      <c r="A1558" s="9" t="str">
        <f>HYPERLINK("http://www.ensembl.org/id/WBGene00000401", "WBGene00000401")</f>
        <v>WBGene00000401</v>
      </c>
      <c r="B1558" s="9" t="str">
        <f>HYPERLINK("http://www.ncbi.nlm.nih.gov/gene/186608", "186608")</f>
        <v>186608</v>
      </c>
      <c r="C1558" s="9"/>
      <c r="D1558" t="str">
        <f>"cdh-9"</f>
        <v>cdh-9</v>
      </c>
      <c r="E1558" t="s">
        <v>527</v>
      </c>
      <c r="F1558" t="s">
        <v>11</v>
      </c>
      <c r="G1558" t="s">
        <v>528</v>
      </c>
      <c r="H1558" s="12">
        <v>1.74385753687858</v>
      </c>
      <c r="I1558" s="20">
        <v>2.3114703001832901</v>
      </c>
      <c r="J1558" s="28">
        <v>2.0806891804222401E-2</v>
      </c>
      <c r="K1558" s="29">
        <v>0.30877587798867201</v>
      </c>
    </row>
    <row r="1559" spans="1:11" x14ac:dyDescent="0.35">
      <c r="A1559" s="9" t="str">
        <f>HYPERLINK("http://www.ensembl.org/id/WBGene00006649", "WBGene00006649")</f>
        <v>WBGene00006649</v>
      </c>
      <c r="B1559" s="9" t="str">
        <f>HYPERLINK("http://www.ncbi.nlm.nih.gov/gene/181097", "181097")</f>
        <v>181097</v>
      </c>
      <c r="C1559" s="9"/>
      <c r="D1559" t="str">
        <f>"tth-1"</f>
        <v>tth-1</v>
      </c>
      <c r="E1559" t="s">
        <v>1300</v>
      </c>
      <c r="F1559" t="s">
        <v>11</v>
      </c>
      <c r="G1559" t="s">
        <v>1301</v>
      </c>
      <c r="H1559" s="12">
        <v>-1.5141210318479601</v>
      </c>
      <c r="I1559" s="20">
        <v>-2.3116570853317899</v>
      </c>
      <c r="J1559" s="28">
        <v>2.0796588091192E-2</v>
      </c>
      <c r="K1559" s="29">
        <v>0.30877587798867201</v>
      </c>
    </row>
    <row r="1560" spans="1:11" x14ac:dyDescent="0.35">
      <c r="A1560" s="9" t="str">
        <f>HYPERLINK("http://www.ensembl.org/id/WBGene00045379", "WBGene00045379")</f>
        <v>WBGene00045379</v>
      </c>
      <c r="B1560" s="9" t="str">
        <f>HYPERLINK("http://www.ncbi.nlm.nih.gov/gene/6418708", "6418708")</f>
        <v>6418708</v>
      </c>
      <c r="C1560" s="9"/>
      <c r="D1560" t="str">
        <f>"C45B11.6"</f>
        <v>C45B11.6</v>
      </c>
      <c r="E1560" t="s">
        <v>1302</v>
      </c>
      <c r="F1560" t="s">
        <v>11</v>
      </c>
      <c r="G1560" t="s">
        <v>1303</v>
      </c>
      <c r="H1560" s="12">
        <v>2.2558614201037699</v>
      </c>
      <c r="I1560" s="20">
        <v>2.3090316795755901</v>
      </c>
      <c r="J1560" s="28">
        <v>2.0941823371068698E-2</v>
      </c>
      <c r="K1560" s="29">
        <v>0.310578800264385</v>
      </c>
    </row>
    <row r="1561" spans="1:11" x14ac:dyDescent="0.35">
      <c r="A1561" s="9" t="str">
        <f>HYPERLINK("http://www.ensembl.org/id/WBGene00000977", "WBGene00000977")</f>
        <v>WBGene00000977</v>
      </c>
      <c r="B1561" s="9" t="str">
        <f>HYPERLINK("http://www.ncbi.nlm.nih.gov/gene/178738", "178738")</f>
        <v>178738</v>
      </c>
      <c r="C1561" s="9"/>
      <c r="D1561" t="str">
        <f>"dhs-14"</f>
        <v>dhs-14</v>
      </c>
      <c r="E1561" t="s">
        <v>488</v>
      </c>
      <c r="F1561" t="s">
        <v>11</v>
      </c>
      <c r="G1561" t="s">
        <v>489</v>
      </c>
      <c r="H1561" s="12">
        <v>-1.7943311046919399</v>
      </c>
      <c r="I1561" s="20">
        <v>-2.30808104078619</v>
      </c>
      <c r="J1561" s="28">
        <v>2.0994629472679199E-2</v>
      </c>
      <c r="K1561" s="29">
        <v>0.31096276192033701</v>
      </c>
    </row>
    <row r="1562" spans="1:11" x14ac:dyDescent="0.35">
      <c r="A1562" s="9" t="str">
        <f>HYPERLINK("http://www.ensembl.org/id/WBGene00004298", "WBGene00004298")</f>
        <v>WBGene00004298</v>
      </c>
      <c r="B1562" s="9" t="str">
        <f>HYPERLINK("http://www.ncbi.nlm.nih.gov/gene/172728", "172728")</f>
        <v>172728</v>
      </c>
      <c r="C1562" s="9" t="str">
        <f>HYPERLINK("http://www.ncbi.nlm.nih.gov/gene/8438", "8438")</f>
        <v>8438</v>
      </c>
      <c r="D1562" t="str">
        <f>"rad-54"</f>
        <v>rad-54</v>
      </c>
      <c r="F1562" t="s">
        <v>11</v>
      </c>
      <c r="G1562" t="s">
        <v>1304</v>
      </c>
      <c r="H1562" s="12">
        <v>-1.7546047243185201</v>
      </c>
      <c r="I1562" s="20">
        <v>-2.3082971156149501</v>
      </c>
      <c r="J1562" s="28">
        <v>2.09826167654826E-2</v>
      </c>
      <c r="K1562" s="29">
        <v>0.31096276192033701</v>
      </c>
    </row>
    <row r="1563" spans="1:11" x14ac:dyDescent="0.35">
      <c r="A1563" s="9" t="str">
        <f>HYPERLINK("http://www.ensembl.org/id/WBGene00271636", "WBGene00271636")</f>
        <v>WBGene00271636</v>
      </c>
      <c r="B1563" s="9"/>
      <c r="C1563" s="9"/>
      <c r="D1563" t="str">
        <f>"W05G11.8"</f>
        <v>W05G11.8</v>
      </c>
      <c r="F1563" t="s">
        <v>481</v>
      </c>
      <c r="H1563" s="12">
        <v>1.8308195300430601</v>
      </c>
      <c r="I1563" s="20">
        <v>2.3075443367667798</v>
      </c>
      <c r="J1563" s="28">
        <v>2.1024493533084901E-2</v>
      </c>
      <c r="K1563" s="29">
        <v>0.31120560382797002</v>
      </c>
    </row>
    <row r="1564" spans="1:11" x14ac:dyDescent="0.35">
      <c r="A1564" s="9" t="str">
        <f>HYPERLINK("http://www.ensembl.org/id/WBGene00009442", "WBGene00009442")</f>
        <v>WBGene00009442</v>
      </c>
      <c r="B1564" s="9" t="str">
        <f>HYPERLINK("http://www.ncbi.nlm.nih.gov/gene/175602", "175602")</f>
        <v>175602</v>
      </c>
      <c r="C1564" s="9"/>
      <c r="D1564" t="str">
        <f>"F35G12.5"</f>
        <v>F35G12.5</v>
      </c>
      <c r="F1564" t="s">
        <v>11</v>
      </c>
      <c r="H1564" s="12">
        <v>-1.9346608498154001</v>
      </c>
      <c r="I1564" s="20">
        <v>-2.3058971945112998</v>
      </c>
      <c r="J1564" s="28">
        <v>2.1116377439134901E-2</v>
      </c>
      <c r="K1564" s="29">
        <v>0.31236556793127501</v>
      </c>
    </row>
    <row r="1565" spans="1:11" x14ac:dyDescent="0.35">
      <c r="A1565" s="9" t="str">
        <f>HYPERLINK("http://www.ensembl.org/id/WBGene00003083", "WBGene00003083")</f>
        <v>WBGene00003083</v>
      </c>
      <c r="B1565" s="9" t="str">
        <f>HYPERLINK("http://www.ncbi.nlm.nih.gov/gene/172948", "172948")</f>
        <v>172948</v>
      </c>
      <c r="C1565" s="9"/>
      <c r="D1565" t="str">
        <f>"lst-1"</f>
        <v>lst-1</v>
      </c>
      <c r="E1565" t="s">
        <v>1305</v>
      </c>
      <c r="F1565" t="s">
        <v>11</v>
      </c>
      <c r="G1565" t="s">
        <v>1306</v>
      </c>
      <c r="H1565" s="12">
        <v>-1.6093848305526199</v>
      </c>
      <c r="I1565" s="20">
        <v>-2.30488657355682</v>
      </c>
      <c r="J1565" s="28">
        <v>2.1172926759762699E-2</v>
      </c>
      <c r="K1565" s="29">
        <v>0.31300169271342199</v>
      </c>
    </row>
    <row r="1566" spans="1:11" x14ac:dyDescent="0.35">
      <c r="A1566" s="9" t="str">
        <f>HYPERLINK("http://www.ensembl.org/id/WBGene00020726", "WBGene00020726")</f>
        <v>WBGene00020726</v>
      </c>
      <c r="B1566" s="9" t="str">
        <f>HYPERLINK("http://www.ncbi.nlm.nih.gov/gene/181754", "181754")</f>
        <v>181754</v>
      </c>
      <c r="C1566" s="9"/>
      <c r="D1566" t="str">
        <f>"T23C6.4"</f>
        <v>T23C6.4</v>
      </c>
      <c r="F1566" t="s">
        <v>11</v>
      </c>
      <c r="H1566" s="12">
        <v>1.60057636130463</v>
      </c>
      <c r="I1566" s="20">
        <v>2.3041225957222999</v>
      </c>
      <c r="J1566" s="28">
        <v>2.1215762672706098E-2</v>
      </c>
      <c r="K1566" s="29">
        <v>0.31343440685137303</v>
      </c>
    </row>
    <row r="1567" spans="1:11" x14ac:dyDescent="0.35">
      <c r="A1567" s="9" t="str">
        <f>HYPERLINK("http://www.ensembl.org/id/WBGene00021463", "WBGene00021463")</f>
        <v>WBGene00021463</v>
      </c>
      <c r="B1567" s="9" t="str">
        <f>HYPERLINK("http://www.ncbi.nlm.nih.gov/gene/189770", "189770")</f>
        <v>189770</v>
      </c>
      <c r="C1567" s="9"/>
      <c r="D1567" t="str">
        <f>"zeel-1"</f>
        <v>zeel-1</v>
      </c>
      <c r="F1567" t="s">
        <v>11</v>
      </c>
      <c r="G1567" t="s">
        <v>1307</v>
      </c>
      <c r="H1567" s="12">
        <v>1.9917407383152499</v>
      </c>
      <c r="I1567" s="20">
        <v>2.3036804232219499</v>
      </c>
      <c r="J1567" s="28">
        <v>2.1240589571098499E-2</v>
      </c>
      <c r="K1567" s="29">
        <v>0.31360067899667898</v>
      </c>
    </row>
    <row r="1568" spans="1:11" x14ac:dyDescent="0.35">
      <c r="A1568" s="9" t="str">
        <f>HYPERLINK("http://www.ensembl.org/id/WBGene00002233", "WBGene00002233")</f>
        <v>WBGene00002233</v>
      </c>
      <c r="B1568" s="9" t="str">
        <f>HYPERLINK("http://www.ncbi.nlm.nih.gov/gene/180933", "180933")</f>
        <v>180933</v>
      </c>
      <c r="C1568" s="9" t="str">
        <f>HYPERLINK("http://www.ncbi.nlm.nih.gov/gene/56479", "56479")</f>
        <v>56479</v>
      </c>
      <c r="D1568" t="str">
        <f>"kqt-1"</f>
        <v>kqt-1</v>
      </c>
      <c r="E1568" t="s">
        <v>1308</v>
      </c>
      <c r="F1568" t="s">
        <v>11</v>
      </c>
      <c r="G1568" t="s">
        <v>1309</v>
      </c>
      <c r="H1568" s="12">
        <v>1.8964469013496801</v>
      </c>
      <c r="I1568" s="20">
        <v>2.30269762488749</v>
      </c>
      <c r="J1568" s="28">
        <v>2.1295861928991602E-2</v>
      </c>
      <c r="K1568" s="29">
        <v>0.31421595512853101</v>
      </c>
    </row>
    <row r="1569" spans="1:11" x14ac:dyDescent="0.35">
      <c r="A1569" s="9" t="str">
        <f>HYPERLINK("http://www.ensembl.org/id/WBGene00016702", "WBGene00016702")</f>
        <v>WBGene00016702</v>
      </c>
      <c r="B1569" s="9" t="str">
        <f>HYPERLINK("http://www.ncbi.nlm.nih.gov/gene/183500", "183500")</f>
        <v>183500</v>
      </c>
      <c r="C1569" s="9"/>
      <c r="D1569" t="str">
        <f>"C46A5.6"</f>
        <v>C46A5.6</v>
      </c>
      <c r="F1569" t="s">
        <v>11</v>
      </c>
      <c r="H1569" s="12">
        <v>-1.72899465315968</v>
      </c>
      <c r="I1569" s="20">
        <v>-2.3009623674994399</v>
      </c>
      <c r="J1569" s="28">
        <v>2.1393758307078101E-2</v>
      </c>
      <c r="K1569" s="29">
        <v>0.31489946973023503</v>
      </c>
    </row>
    <row r="1570" spans="1:11" x14ac:dyDescent="0.35">
      <c r="A1570" s="9" t="str">
        <f>HYPERLINK("http://www.ensembl.org/id/WBGene00000894", "WBGene00000894")</f>
        <v>WBGene00000894</v>
      </c>
      <c r="B1570" s="9" t="str">
        <f>HYPERLINK("http://www.ncbi.nlm.nih.gov/gene/174323", "174323")</f>
        <v>174323</v>
      </c>
      <c r="C1570" s="9"/>
      <c r="D1570" t="str">
        <f>"dab-1"</f>
        <v>dab-1</v>
      </c>
      <c r="E1570" t="s">
        <v>1311</v>
      </c>
      <c r="F1570" t="s">
        <v>11</v>
      </c>
      <c r="G1570" t="s">
        <v>1312</v>
      </c>
      <c r="H1570" s="12">
        <v>-1.53644758784716</v>
      </c>
      <c r="I1570" s="20">
        <v>-2.3012430407487301</v>
      </c>
      <c r="J1570" s="28">
        <v>2.1377897311092599E-2</v>
      </c>
      <c r="K1570" s="29">
        <v>0.31489946973023503</v>
      </c>
    </row>
    <row r="1571" spans="1:11" x14ac:dyDescent="0.35">
      <c r="A1571" s="9" t="str">
        <f>HYPERLINK("http://www.ensembl.org/id/WBGene00009843", "WBGene00009843")</f>
        <v>WBGene00009843</v>
      </c>
      <c r="B1571" s="9" t="str">
        <f>HYPERLINK("http://www.ncbi.nlm.nih.gov/gene/259349", "259349")</f>
        <v>259349</v>
      </c>
      <c r="C1571" s="9"/>
      <c r="D1571" t="str">
        <f>"F48C5.2"</f>
        <v>F48C5.2</v>
      </c>
      <c r="F1571" t="s">
        <v>11</v>
      </c>
      <c r="G1571" t="s">
        <v>1310</v>
      </c>
      <c r="H1571" s="12">
        <v>1.97331706289618</v>
      </c>
      <c r="I1571" s="20">
        <v>2.3013940943098499</v>
      </c>
      <c r="J1571" s="28">
        <v>2.13693654325917E-2</v>
      </c>
      <c r="K1571" s="29">
        <v>0.31489946973023503</v>
      </c>
    </row>
    <row r="1572" spans="1:11" x14ac:dyDescent="0.35">
      <c r="A1572" s="9" t="str">
        <f>HYPERLINK("http://www.ensembl.org/id/WBGene00022399", "WBGene00022399")</f>
        <v>WBGene00022399</v>
      </c>
      <c r="B1572" s="9" t="str">
        <f>HYPERLINK("http://www.ncbi.nlm.nih.gov/gene/179176", "179176")</f>
        <v>179176</v>
      </c>
      <c r="C1572" s="9"/>
      <c r="D1572" t="str">
        <f>"Y97E10AR.4"</f>
        <v>Y97E10AR.4</v>
      </c>
      <c r="F1572" t="s">
        <v>11</v>
      </c>
      <c r="H1572" s="12">
        <v>-1.72129740344712</v>
      </c>
      <c r="I1572" s="20">
        <v>-2.30091031854217</v>
      </c>
      <c r="J1572" s="28">
        <v>2.1396700747704899E-2</v>
      </c>
      <c r="K1572" s="29">
        <v>0.31489946973023503</v>
      </c>
    </row>
    <row r="1573" spans="1:11" x14ac:dyDescent="0.35">
      <c r="A1573" s="9" t="str">
        <f>HYPERLINK("http://www.ensembl.org/id/WBGene00000282", "WBGene00000282")</f>
        <v>WBGene00000282</v>
      </c>
      <c r="B1573" s="9" t="str">
        <f>HYPERLINK("http://www.ncbi.nlm.nih.gov/gene/181478", "181478")</f>
        <v>181478</v>
      </c>
      <c r="C1573" s="9" t="str">
        <f>HYPERLINK("http://www.ncbi.nlm.nih.gov/gene/763", "763")</f>
        <v>763</v>
      </c>
      <c r="D1573" t="str">
        <f>"cah-4"</f>
        <v>cah-4</v>
      </c>
      <c r="E1573" t="s">
        <v>1313</v>
      </c>
      <c r="F1573" t="s">
        <v>11</v>
      </c>
      <c r="G1573" t="s">
        <v>1314</v>
      </c>
      <c r="H1573" s="12">
        <v>1.74728214418439</v>
      </c>
      <c r="I1573" s="20">
        <v>2.3006111102940898</v>
      </c>
      <c r="J1573" s="28">
        <v>2.1413622476840199E-2</v>
      </c>
      <c r="K1573" s="29">
        <v>0.31494790639711601</v>
      </c>
    </row>
    <row r="1574" spans="1:11" x14ac:dyDescent="0.35">
      <c r="A1574" s="9" t="str">
        <f>HYPERLINK("http://www.ensembl.org/id/WBGene00003800", "WBGene00003800")</f>
        <v>WBGene00003800</v>
      </c>
      <c r="B1574" s="9" t="str">
        <f>HYPERLINK("http://www.ncbi.nlm.nih.gov/gene/172813", "172813")</f>
        <v>172813</v>
      </c>
      <c r="C1574" s="9"/>
      <c r="D1574" t="str">
        <f>"npp-14"</f>
        <v>npp-14</v>
      </c>
      <c r="E1574" t="s">
        <v>1315</v>
      </c>
      <c r="F1574" t="s">
        <v>11</v>
      </c>
      <c r="G1574" t="s">
        <v>54</v>
      </c>
      <c r="H1574" s="12">
        <v>-1.5368425354698201</v>
      </c>
      <c r="I1574" s="20">
        <v>-2.3003687876609402</v>
      </c>
      <c r="J1574" s="28">
        <v>2.1427335578319801E-2</v>
      </c>
      <c r="K1574" s="29">
        <v>0.31494911951186799</v>
      </c>
    </row>
    <row r="1575" spans="1:11" x14ac:dyDescent="0.35">
      <c r="A1575" s="9" t="str">
        <f>HYPERLINK("http://www.ensembl.org/id/WBGene00019628", "WBGene00019628")</f>
        <v>WBGene00019628</v>
      </c>
      <c r="B1575" s="9" t="str">
        <f>HYPERLINK("http://www.ncbi.nlm.nih.gov/gene/175708", "175708")</f>
        <v>175708</v>
      </c>
      <c r="C1575" s="9"/>
      <c r="D1575" t="str">
        <f>"pup-2"</f>
        <v>pup-2</v>
      </c>
      <c r="E1575" t="s">
        <v>1316</v>
      </c>
      <c r="F1575" t="s">
        <v>11</v>
      </c>
      <c r="G1575" t="s">
        <v>1317</v>
      </c>
      <c r="H1575" s="12">
        <v>-1.5606848169863601</v>
      </c>
      <c r="I1575" s="20">
        <v>-2.2996898695271</v>
      </c>
      <c r="J1575" s="28">
        <v>2.1465796466178199E-2</v>
      </c>
      <c r="K1575" s="29">
        <v>0.31511352804797599</v>
      </c>
    </row>
    <row r="1576" spans="1:11" x14ac:dyDescent="0.35">
      <c r="A1576" s="9" t="str">
        <f>HYPERLINK("http://www.ensembl.org/id/WBGene00021600", "WBGene00021600")</f>
        <v>WBGene00021600</v>
      </c>
      <c r="B1576" s="9" t="str">
        <f>HYPERLINK("http://www.ncbi.nlm.nih.gov/gene/189962", "189962")</f>
        <v>189962</v>
      </c>
      <c r="C1576" s="9"/>
      <c r="D1576" t="str">
        <f>"Y46H3A.4"</f>
        <v>Y46H3A.4</v>
      </c>
      <c r="F1576" t="s">
        <v>11</v>
      </c>
      <c r="H1576" s="12">
        <v>1.91920388258795</v>
      </c>
      <c r="I1576" s="20">
        <v>2.2997347533750898</v>
      </c>
      <c r="J1576" s="28">
        <v>2.14632519302493E-2</v>
      </c>
      <c r="K1576" s="29">
        <v>0.31511352804797599</v>
      </c>
    </row>
    <row r="1577" spans="1:11" x14ac:dyDescent="0.35">
      <c r="A1577" s="9" t="str">
        <f>HYPERLINK("http://www.ensembl.org/id/WBGene00003473", "WBGene00003473")</f>
        <v>WBGene00003473</v>
      </c>
      <c r="B1577" s="9" t="str">
        <f>HYPERLINK("http://www.ncbi.nlm.nih.gov/gene/179060", "179060")</f>
        <v>179060</v>
      </c>
      <c r="C1577" s="9"/>
      <c r="D1577" t="str">
        <f>"mtl-1"</f>
        <v>mtl-1</v>
      </c>
      <c r="E1577" t="s">
        <v>1318</v>
      </c>
      <c r="F1577" t="s">
        <v>11</v>
      </c>
      <c r="H1577" s="12">
        <v>-6.3774005569811196</v>
      </c>
      <c r="I1577" s="20">
        <v>-2.2985973665084201</v>
      </c>
      <c r="J1577" s="28">
        <v>2.15278132380439E-2</v>
      </c>
      <c r="K1577" s="29">
        <v>0.315823271541741</v>
      </c>
    </row>
    <row r="1578" spans="1:11" x14ac:dyDescent="0.35">
      <c r="A1578" s="9" t="str">
        <f>HYPERLINK("http://www.ensembl.org/id/WBGene00045062", "WBGene00045062")</f>
        <v>WBGene00045062</v>
      </c>
      <c r="B1578" s="9"/>
      <c r="C1578" s="9"/>
      <c r="D1578" t="str">
        <f>"Y38H8A.8"</f>
        <v>Y38H8A.8</v>
      </c>
      <c r="F1578" t="s">
        <v>80</v>
      </c>
      <c r="H1578" s="12">
        <v>-4.6154064141783504</v>
      </c>
      <c r="I1578" s="20">
        <v>-2.2983100991054499</v>
      </c>
      <c r="J1578" s="28">
        <v>2.1544146071117501E-2</v>
      </c>
      <c r="K1578" s="29">
        <v>0.31586233446652301</v>
      </c>
    </row>
    <row r="1579" spans="1:11" x14ac:dyDescent="0.35">
      <c r="A1579" s="9" t="str">
        <f>HYPERLINK("http://www.ensembl.org/id/WBGene00022893", "WBGene00022893")</f>
        <v>WBGene00022893</v>
      </c>
      <c r="B1579" s="9" t="str">
        <f>HYPERLINK("http://www.ncbi.nlm.nih.gov/gene/259447", "259447")</f>
        <v>259447</v>
      </c>
      <c r="C1579" s="9"/>
      <c r="D1579" t="str">
        <f>"ZK1290.13"</f>
        <v>ZK1290.13</v>
      </c>
      <c r="F1579" t="s">
        <v>11</v>
      </c>
      <c r="G1579" t="s">
        <v>25</v>
      </c>
      <c r="H1579" s="12">
        <v>-1.7280030862836899</v>
      </c>
      <c r="I1579" s="20">
        <v>-2.2972670001265398</v>
      </c>
      <c r="J1579" s="28">
        <v>2.1603543092544801E-2</v>
      </c>
      <c r="K1579" s="29">
        <v>0.31653231876749499</v>
      </c>
    </row>
    <row r="1580" spans="1:11" x14ac:dyDescent="0.35">
      <c r="A1580" s="9" t="str">
        <f>HYPERLINK("http://www.ensembl.org/id/WBGene00044544", "WBGene00044544")</f>
        <v>WBGene00044544</v>
      </c>
      <c r="B1580" s="9" t="str">
        <f>HYPERLINK("http://www.ncbi.nlm.nih.gov/gene/3896849", "3896849")</f>
        <v>3896849</v>
      </c>
      <c r="C1580" s="9"/>
      <c r="D1580" t="str">
        <f>"F26F12.8"</f>
        <v>F26F12.8</v>
      </c>
      <c r="F1580" t="s">
        <v>11</v>
      </c>
      <c r="G1580" t="s">
        <v>25</v>
      </c>
      <c r="H1580" s="12">
        <v>1.75076259979289</v>
      </c>
      <c r="I1580" s="20">
        <v>2.2968751986667799</v>
      </c>
      <c r="J1580" s="28">
        <v>2.16258901820288E-2</v>
      </c>
      <c r="K1580" s="29">
        <v>0.31665894711404102</v>
      </c>
    </row>
    <row r="1581" spans="1:11" x14ac:dyDescent="0.35">
      <c r="A1581" s="9" t="str">
        <f>HYPERLINK("http://www.ensembl.org/id/WBGene00010813", "WBGene00010813")</f>
        <v>WBGene00010813</v>
      </c>
      <c r="B1581" s="9" t="str">
        <f>HYPERLINK("http://www.ncbi.nlm.nih.gov/gene/175459", "175459")</f>
        <v>175459</v>
      </c>
      <c r="C1581" s="9" t="str">
        <f>HYPERLINK("http://www.ncbi.nlm.nih.gov/gene/57605", "57605")</f>
        <v>57605</v>
      </c>
      <c r="D1581" t="str">
        <f>"pitp-1"</f>
        <v>pitp-1</v>
      </c>
      <c r="E1581" t="s">
        <v>1319</v>
      </c>
      <c r="F1581" t="s">
        <v>11</v>
      </c>
      <c r="G1581" t="s">
        <v>1320</v>
      </c>
      <c r="H1581" s="12">
        <v>1.5797524809489201</v>
      </c>
      <c r="I1581" s="20">
        <v>2.2952290206527302</v>
      </c>
      <c r="J1581" s="28">
        <v>2.1720002882889399E-2</v>
      </c>
      <c r="K1581" s="29">
        <v>0.31783558366817199</v>
      </c>
    </row>
    <row r="1582" spans="1:11" x14ac:dyDescent="0.35">
      <c r="A1582" s="9" t="str">
        <f>HYPERLINK("http://www.ensembl.org/id/WBGene00001160", "WBGene00001160")</f>
        <v>WBGene00001160</v>
      </c>
      <c r="B1582" s="9" t="str">
        <f>HYPERLINK("http://www.ncbi.nlm.nih.gov/gene/175871", "175871")</f>
        <v>175871</v>
      </c>
      <c r="C1582" s="9" t="str">
        <f>HYPERLINK("http://www.ncbi.nlm.nih.gov/gene/29904", "29904")</f>
        <v>29904</v>
      </c>
      <c r="D1582" t="str">
        <f>"efk-1"</f>
        <v>efk-1</v>
      </c>
      <c r="E1582" t="s">
        <v>1321</v>
      </c>
      <c r="F1582" t="s">
        <v>11</v>
      </c>
      <c r="G1582" t="s">
        <v>1322</v>
      </c>
      <c r="H1582" s="12">
        <v>-1.5236090189579901</v>
      </c>
      <c r="I1582" s="20">
        <v>-2.2945488793169901</v>
      </c>
      <c r="J1582" s="28">
        <v>2.1758990797115602E-2</v>
      </c>
      <c r="K1582" s="29">
        <v>0.31820458313807198</v>
      </c>
    </row>
    <row r="1583" spans="1:11" x14ac:dyDescent="0.35">
      <c r="A1583" s="9" t="str">
        <f>HYPERLINK("http://www.ensembl.org/id/WBGene00007345", "WBGene00007345")</f>
        <v>WBGene00007345</v>
      </c>
      <c r="B1583" s="9" t="str">
        <f>HYPERLINK("http://www.ncbi.nlm.nih.gov/gene/182267", "182267")</f>
        <v>182267</v>
      </c>
      <c r="C1583" s="9"/>
      <c r="D1583" t="str">
        <f>"C05E7.3"</f>
        <v>C05E7.3</v>
      </c>
      <c r="F1583" t="s">
        <v>11</v>
      </c>
      <c r="H1583" s="12">
        <v>2.1783084027805701</v>
      </c>
      <c r="I1583" s="20">
        <v>2.2943041011242098</v>
      </c>
      <c r="J1583" s="28">
        <v>2.17730371764417E-2</v>
      </c>
      <c r="K1583" s="29">
        <v>0.31820860025228498</v>
      </c>
    </row>
    <row r="1584" spans="1:11" x14ac:dyDescent="0.35">
      <c r="A1584" s="9" t="str">
        <f>HYPERLINK("http://www.ensembl.org/id/WBGene00000449", "WBGene00000449")</f>
        <v>WBGene00000449</v>
      </c>
      <c r="B1584" s="9" t="str">
        <f>HYPERLINK("http://www.ncbi.nlm.nih.gov/gene/185853", "185853")</f>
        <v>185853</v>
      </c>
      <c r="C1584" s="9"/>
      <c r="D1584" t="str">
        <f>"ceh-27"</f>
        <v>ceh-27</v>
      </c>
      <c r="E1584" t="s">
        <v>349</v>
      </c>
      <c r="F1584" t="s">
        <v>11</v>
      </c>
      <c r="G1584" t="s">
        <v>1323</v>
      </c>
      <c r="H1584" s="12">
        <v>1.73679718002713</v>
      </c>
      <c r="I1584" s="20">
        <v>2.29134215598814</v>
      </c>
      <c r="J1584" s="28">
        <v>2.1943632244651699E-2</v>
      </c>
      <c r="K1584" s="29">
        <v>0.319690773420506</v>
      </c>
    </row>
    <row r="1585" spans="1:11" x14ac:dyDescent="0.35">
      <c r="A1585" s="9" t="str">
        <f>HYPERLINK("http://www.ensembl.org/id/WBGene00000759", "WBGene00000759")</f>
        <v>WBGene00000759</v>
      </c>
      <c r="B1585" s="9" t="str">
        <f>HYPERLINK("http://www.ncbi.nlm.nih.gov/gene/184015", "184015")</f>
        <v>184015</v>
      </c>
      <c r="C1585" s="9"/>
      <c r="D1585" t="str">
        <f>"col-186"</f>
        <v>col-186</v>
      </c>
      <c r="E1585" t="s">
        <v>40</v>
      </c>
      <c r="F1585" t="s">
        <v>11</v>
      </c>
      <c r="G1585" t="s">
        <v>152</v>
      </c>
      <c r="H1585" s="12">
        <v>2.4188861264716301</v>
      </c>
      <c r="I1585" s="20">
        <v>2.2919560039383899</v>
      </c>
      <c r="J1585" s="28">
        <v>2.19081820685453E-2</v>
      </c>
      <c r="K1585" s="29">
        <v>0.319690773420506</v>
      </c>
    </row>
    <row r="1586" spans="1:11" x14ac:dyDescent="0.35">
      <c r="A1586" s="9" t="str">
        <f>HYPERLINK("http://www.ensembl.org/id/WBGene00013882", "WBGene00013882")</f>
        <v>WBGene00013882</v>
      </c>
      <c r="B1586" s="9" t="str">
        <f>HYPERLINK("http://www.ncbi.nlm.nih.gov/gene/177728", "177728")</f>
        <v>177728</v>
      </c>
      <c r="C1586" s="9"/>
      <c r="D1586" t="str">
        <f>"msa-1"</f>
        <v>msa-1</v>
      </c>
      <c r="E1586" t="s">
        <v>1324</v>
      </c>
      <c r="F1586" t="s">
        <v>11</v>
      </c>
      <c r="G1586" t="s">
        <v>25</v>
      </c>
      <c r="H1586" s="12">
        <v>1.5302081833816199</v>
      </c>
      <c r="I1586" s="20">
        <v>2.2913452970861701</v>
      </c>
      <c r="J1586" s="28">
        <v>2.19434507169406E-2</v>
      </c>
      <c r="K1586" s="29">
        <v>0.319690773420506</v>
      </c>
    </row>
    <row r="1587" spans="1:11" x14ac:dyDescent="0.35">
      <c r="A1587" s="9" t="str">
        <f>HYPERLINK("http://www.ensembl.org/id/WBGene00004811", "WBGene00004811")</f>
        <v>WBGene00004811</v>
      </c>
      <c r="B1587" s="9" t="str">
        <f>HYPERLINK("http://www.ncbi.nlm.nih.gov/gene/180148", "180148")</f>
        <v>180148</v>
      </c>
      <c r="C1587" s="9"/>
      <c r="D1587" t="str">
        <f>"skr-5"</f>
        <v>skr-5</v>
      </c>
      <c r="E1587" t="s">
        <v>1041</v>
      </c>
      <c r="F1587" t="s">
        <v>11</v>
      </c>
      <c r="G1587" t="s">
        <v>1325</v>
      </c>
      <c r="H1587" s="12">
        <v>-2.7443726171131502</v>
      </c>
      <c r="I1587" s="20">
        <v>-2.2916514602292199</v>
      </c>
      <c r="J1587" s="28">
        <v>2.19257634612747E-2</v>
      </c>
      <c r="K1587" s="29">
        <v>0.319690773420506</v>
      </c>
    </row>
    <row r="1588" spans="1:11" x14ac:dyDescent="0.35">
      <c r="A1588" s="9" t="str">
        <f>HYPERLINK("http://www.ensembl.org/id/WBGene00021909", "WBGene00021909")</f>
        <v>WBGene00021909</v>
      </c>
      <c r="B1588" s="9" t="str">
        <f>HYPERLINK("http://www.ncbi.nlm.nih.gov/gene/175199", "175199")</f>
        <v>175199</v>
      </c>
      <c r="C1588" s="9"/>
      <c r="D1588" t="str">
        <f>"Y55B1BL.1"</f>
        <v>Y55B1BL.1</v>
      </c>
      <c r="F1588" t="s">
        <v>11</v>
      </c>
      <c r="H1588" s="12">
        <v>1.66696292687267</v>
      </c>
      <c r="I1588" s="20">
        <v>2.2919688432222198</v>
      </c>
      <c r="J1588" s="28">
        <v>2.1907441122676299E-2</v>
      </c>
      <c r="K1588" s="29">
        <v>0.319690773420506</v>
      </c>
    </row>
    <row r="1589" spans="1:11" x14ac:dyDescent="0.35">
      <c r="A1589" s="9" t="str">
        <f>HYPERLINK("http://www.ensembl.org/id/WBGene00016738", "WBGene00016738")</f>
        <v>WBGene00016738</v>
      </c>
      <c r="B1589" s="9" t="str">
        <f>HYPERLINK("http://www.ncbi.nlm.nih.gov/gene/183545", "183545")</f>
        <v>183545</v>
      </c>
      <c r="C1589" s="9"/>
      <c r="D1589" t="str">
        <f>"C47D2.1"</f>
        <v>C47D2.1</v>
      </c>
      <c r="F1589" t="s">
        <v>11</v>
      </c>
      <c r="H1589" s="12">
        <v>2.1278272396105198</v>
      </c>
      <c r="I1589" s="20">
        <v>2.29099585467422</v>
      </c>
      <c r="J1589" s="28">
        <v>2.19636534145498E-2</v>
      </c>
      <c r="K1589" s="29">
        <v>0.31978082910938099</v>
      </c>
    </row>
    <row r="1590" spans="1:11" x14ac:dyDescent="0.35">
      <c r="A1590" s="9" t="str">
        <f>HYPERLINK("http://www.ensembl.org/id/WBGene00007809", "WBGene00007809")</f>
        <v>WBGene00007809</v>
      </c>
      <c r="B1590" s="9" t="str">
        <f>HYPERLINK("http://www.ncbi.nlm.nih.gov/gene/183008", "183008")</f>
        <v>183008</v>
      </c>
      <c r="C1590" s="9"/>
      <c r="D1590" t="str">
        <f>"C29F4.3"</f>
        <v>C29F4.3</v>
      </c>
      <c r="F1590" t="s">
        <v>11</v>
      </c>
      <c r="G1590" t="s">
        <v>25</v>
      </c>
      <c r="H1590" s="12">
        <v>6.66445902137965</v>
      </c>
      <c r="I1590" s="20">
        <v>2.2888065598018601</v>
      </c>
      <c r="J1590" s="28">
        <v>2.2090594174464701E-2</v>
      </c>
      <c r="K1590" s="29">
        <v>0.320838192558837</v>
      </c>
    </row>
    <row r="1591" spans="1:11" x14ac:dyDescent="0.35">
      <c r="A1591" s="9" t="str">
        <f>HYPERLINK("http://www.ensembl.org/id/WBGene00008987", "WBGene00008987")</f>
        <v>WBGene00008987</v>
      </c>
      <c r="B1591" s="9" t="str">
        <f>HYPERLINK("http://www.ncbi.nlm.nih.gov/gene/179870", "179870")</f>
        <v>179870</v>
      </c>
      <c r="C1591" s="9"/>
      <c r="D1591" t="str">
        <f>"F20G2.3"</f>
        <v>F20G2.3</v>
      </c>
      <c r="F1591" t="s">
        <v>11</v>
      </c>
      <c r="H1591" s="12">
        <v>1.89067260424303</v>
      </c>
      <c r="I1591" s="20">
        <v>2.2887854931629001</v>
      </c>
      <c r="J1591" s="28">
        <v>2.20918187640054E-2</v>
      </c>
      <c r="K1591" s="29">
        <v>0.320838192558837</v>
      </c>
    </row>
    <row r="1592" spans="1:11" x14ac:dyDescent="0.35">
      <c r="A1592" s="9" t="str">
        <f>HYPERLINK("http://www.ensembl.org/id/WBGene00302995", "WBGene00302995")</f>
        <v>WBGene00302995</v>
      </c>
      <c r="B1592" s="9" t="str">
        <f>HYPERLINK("http://www.ncbi.nlm.nih.gov/gene/36805022", "36805022")</f>
        <v>36805022</v>
      </c>
      <c r="C1592" s="9"/>
      <c r="D1592" t="str">
        <f>"H06H21.37"</f>
        <v>H06H21.37</v>
      </c>
      <c r="F1592" t="s">
        <v>11</v>
      </c>
      <c r="G1592" t="s">
        <v>25</v>
      </c>
      <c r="H1592" s="12">
        <v>-1.72925039391432</v>
      </c>
      <c r="I1592" s="20">
        <v>-2.2891361242168999</v>
      </c>
      <c r="J1592" s="28">
        <v>2.20714445023713E-2</v>
      </c>
      <c r="K1592" s="29">
        <v>0.320838192558837</v>
      </c>
    </row>
    <row r="1593" spans="1:11" x14ac:dyDescent="0.35">
      <c r="A1593" s="9" t="str">
        <f>HYPERLINK("http://www.ensembl.org/id/WBGene00001820", "WBGene00001820")</f>
        <v>WBGene00001820</v>
      </c>
      <c r="B1593" s="9" t="str">
        <f>HYPERLINK("http://www.ncbi.nlm.nih.gov/gene/178205", "178205")</f>
        <v>178205</v>
      </c>
      <c r="C1593" s="9"/>
      <c r="D1593" t="str">
        <f>"ham-1"</f>
        <v>ham-1</v>
      </c>
      <c r="F1593" t="s">
        <v>11</v>
      </c>
      <c r="G1593" t="s">
        <v>1326</v>
      </c>
      <c r="H1593" s="12">
        <v>1.63669161816103</v>
      </c>
      <c r="I1593" s="20">
        <v>2.28924530973373</v>
      </c>
      <c r="J1593" s="28">
        <v>2.2065103353228602E-2</v>
      </c>
      <c r="K1593" s="29">
        <v>0.320838192558837</v>
      </c>
    </row>
    <row r="1594" spans="1:11" x14ac:dyDescent="0.35">
      <c r="A1594" s="9" t="str">
        <f>HYPERLINK("http://www.ensembl.org/id/WBGene00007001", "WBGene00007001")</f>
        <v>WBGene00007001</v>
      </c>
      <c r="B1594" s="9" t="str">
        <f>HYPERLINK("http://www.ncbi.nlm.nih.gov/gene/172024", "172024")</f>
        <v>172024</v>
      </c>
      <c r="C1594" s="9"/>
      <c r="D1594" t="str">
        <f>"tufm-2"</f>
        <v>tufm-2</v>
      </c>
      <c r="E1594" t="s">
        <v>1327</v>
      </c>
      <c r="F1594" t="s">
        <v>11</v>
      </c>
      <c r="G1594" t="s">
        <v>1328</v>
      </c>
      <c r="H1594" s="12">
        <v>-1.6363193109568801</v>
      </c>
      <c r="I1594" s="20">
        <v>-2.2884854783614901</v>
      </c>
      <c r="J1594" s="28">
        <v>2.21092648317898E-2</v>
      </c>
      <c r="K1594" s="29">
        <v>0.32088987010259701</v>
      </c>
    </row>
    <row r="1595" spans="1:11" x14ac:dyDescent="0.35">
      <c r="A1595" s="9" t="str">
        <f>HYPERLINK("http://www.ensembl.org/id/WBGene00013124", "WBGene00013124")</f>
        <v>WBGene00013124</v>
      </c>
      <c r="B1595" s="9" t="str">
        <f>HYPERLINK("http://www.ncbi.nlm.nih.gov/gene/173003", "173003")</f>
        <v>173003</v>
      </c>
      <c r="C1595" s="9"/>
      <c r="D1595" t="str">
        <f>"Y52B11A.4"</f>
        <v>Y52B11A.4</v>
      </c>
      <c r="F1595" t="s">
        <v>11</v>
      </c>
      <c r="G1595" t="s">
        <v>1329</v>
      </c>
      <c r="H1595" s="12">
        <v>1.7569768991297301</v>
      </c>
      <c r="I1595" s="20">
        <v>2.2879580772408699</v>
      </c>
      <c r="J1595" s="28">
        <v>2.2139962621112199E-2</v>
      </c>
      <c r="K1595" s="29">
        <v>0.32093223106864399</v>
      </c>
    </row>
    <row r="1596" spans="1:11" x14ac:dyDescent="0.35">
      <c r="A1596" s="9" t="str">
        <f>HYPERLINK("http://www.ensembl.org/id/WBGene00022035", "WBGene00022035")</f>
        <v>WBGene00022035</v>
      </c>
      <c r="B1596" s="9" t="str">
        <f>HYPERLINK("http://www.ncbi.nlm.nih.gov/gene/171640", "171640")</f>
        <v>171640</v>
      </c>
      <c r="C1596" s="9"/>
      <c r="D1596" t="str">
        <f>"Y65B4BL.3"</f>
        <v>Y65B4BL.3</v>
      </c>
      <c r="F1596" t="s">
        <v>11</v>
      </c>
      <c r="G1596" t="s">
        <v>25</v>
      </c>
      <c r="H1596" s="12">
        <v>-2.07450964708835</v>
      </c>
      <c r="I1596" s="20">
        <v>-2.2880447782209101</v>
      </c>
      <c r="J1596" s="28">
        <v>2.2134913578873601E-2</v>
      </c>
      <c r="K1596" s="29">
        <v>0.32093223106864399</v>
      </c>
    </row>
    <row r="1597" spans="1:11" x14ac:dyDescent="0.35">
      <c r="A1597" s="9" t="str">
        <f>HYPERLINK("http://www.ensembl.org/id/WBGene00023501", "WBGene00023501")</f>
        <v>WBGene00023501</v>
      </c>
      <c r="B1597" s="9" t="str">
        <f>HYPERLINK("http://www.ncbi.nlm.nih.gov/gene/259609", "259609")</f>
        <v>259609</v>
      </c>
      <c r="C1597" s="9"/>
      <c r="D1597" t="str">
        <f>"F11E6.11"</f>
        <v>F11E6.11</v>
      </c>
      <c r="F1597" t="s">
        <v>11</v>
      </c>
      <c r="G1597" t="s">
        <v>25</v>
      </c>
      <c r="H1597" s="12">
        <v>2.2059039117435799</v>
      </c>
      <c r="I1597" s="20">
        <v>2.2871526973461198</v>
      </c>
      <c r="J1597" s="28">
        <v>2.2186911908237499E-2</v>
      </c>
      <c r="K1597" s="29">
        <v>0.32116135672013002</v>
      </c>
    </row>
    <row r="1598" spans="1:11" x14ac:dyDescent="0.35">
      <c r="A1598" s="9" t="str">
        <f>HYPERLINK("http://www.ensembl.org/id/WBGene00004246", "WBGene00004246")</f>
        <v>WBGene00004246</v>
      </c>
      <c r="B1598" s="9"/>
      <c r="C1598" s="9"/>
      <c r="D1598" t="str">
        <f>"puf-10"</f>
        <v>puf-10</v>
      </c>
      <c r="F1598" t="s">
        <v>80</v>
      </c>
      <c r="H1598" s="12">
        <v>-1.8801278078088799</v>
      </c>
      <c r="I1598" s="20">
        <v>-2.2869718262218601</v>
      </c>
      <c r="J1598" s="28">
        <v>2.2197467613695399E-2</v>
      </c>
      <c r="K1598" s="29">
        <v>0.32116135672013002</v>
      </c>
    </row>
    <row r="1599" spans="1:11" x14ac:dyDescent="0.35">
      <c r="A1599" s="9" t="str">
        <f>HYPERLINK("http://www.ensembl.org/id/WBGene00011831", "WBGene00011831")</f>
        <v>WBGene00011831</v>
      </c>
      <c r="B1599" s="9" t="str">
        <f>HYPERLINK("http://www.ncbi.nlm.nih.gov/gene/179551", "179551")</f>
        <v>179551</v>
      </c>
      <c r="C1599" s="9"/>
      <c r="D1599" t="str">
        <f>"T19B10.2"</f>
        <v>T19B10.2</v>
      </c>
      <c r="F1599" t="s">
        <v>11</v>
      </c>
      <c r="H1599" s="12">
        <v>1.5733476480572199</v>
      </c>
      <c r="I1599" s="20">
        <v>2.2873749030185202</v>
      </c>
      <c r="J1599" s="28">
        <v>2.2173949879520202E-2</v>
      </c>
      <c r="K1599" s="29">
        <v>0.32116135672013002</v>
      </c>
    </row>
    <row r="1600" spans="1:11" x14ac:dyDescent="0.35">
      <c r="A1600" s="9" t="str">
        <f>HYPERLINK("http://www.ensembl.org/id/WBGene00014052", "WBGene00014052")</f>
        <v>WBGene00014052</v>
      </c>
      <c r="B1600" s="9" t="str">
        <f>HYPERLINK("http://www.ncbi.nlm.nih.gov/gene/191387", "191387")</f>
        <v>191387</v>
      </c>
      <c r="C1600" s="9"/>
      <c r="D1600" t="str">
        <f>"ZK669.2"</f>
        <v>ZK669.2</v>
      </c>
      <c r="F1600" t="s">
        <v>11</v>
      </c>
      <c r="G1600" t="s">
        <v>1101</v>
      </c>
      <c r="H1600" s="12">
        <v>1.93591893846693</v>
      </c>
      <c r="I1600" s="20">
        <v>2.2856659744266099</v>
      </c>
      <c r="J1600" s="28">
        <v>2.22738072829077E-2</v>
      </c>
      <c r="K1600" s="29">
        <v>0.322064199673884</v>
      </c>
    </row>
    <row r="1601" spans="1:11" x14ac:dyDescent="0.35">
      <c r="A1601" s="9" t="str">
        <f>HYPERLINK("http://www.ensembl.org/id/WBGene00011453", "WBGene00011453")</f>
        <v>WBGene00011453</v>
      </c>
      <c r="B1601" s="9" t="str">
        <f>HYPERLINK("http://www.ncbi.nlm.nih.gov/gene/188073", "188073")</f>
        <v>188073</v>
      </c>
      <c r="C1601" s="9"/>
      <c r="D1601" t="str">
        <f>"ugt-56"</f>
        <v>ugt-56</v>
      </c>
      <c r="E1601" t="s">
        <v>1330</v>
      </c>
      <c r="F1601" t="s">
        <v>11</v>
      </c>
      <c r="G1601" t="s">
        <v>104</v>
      </c>
      <c r="H1601" s="12">
        <v>3.8826497743599799</v>
      </c>
      <c r="I1601" s="20">
        <v>2.2843999490199201</v>
      </c>
      <c r="J1601" s="28">
        <v>2.2348036570380401E-2</v>
      </c>
      <c r="K1601" s="29">
        <v>0.32293541775810503</v>
      </c>
    </row>
    <row r="1602" spans="1:11" x14ac:dyDescent="0.35">
      <c r="A1602" s="9" t="str">
        <f>HYPERLINK("http://www.ensembl.org/id/WBGene00008804", "WBGene00008804")</f>
        <v>WBGene00008804</v>
      </c>
      <c r="B1602" s="9" t="str">
        <f>HYPERLINK("http://www.ncbi.nlm.nih.gov/gene/174344", "174344")</f>
        <v>174344</v>
      </c>
      <c r="C1602" s="9"/>
      <c r="D1602" t="str">
        <f>"acp-4"</f>
        <v>acp-4</v>
      </c>
      <c r="E1602" t="s">
        <v>36</v>
      </c>
      <c r="F1602" t="s">
        <v>11</v>
      </c>
      <c r="G1602" t="s">
        <v>1331</v>
      </c>
      <c r="H1602" s="12">
        <v>-22.519855132163901</v>
      </c>
      <c r="I1602" s="20">
        <v>-2.2838419351920498</v>
      </c>
      <c r="J1602" s="28">
        <v>2.23808221314175E-2</v>
      </c>
      <c r="K1602" s="29">
        <v>0.32300516937447399</v>
      </c>
    </row>
    <row r="1603" spans="1:11" x14ac:dyDescent="0.35">
      <c r="A1603" s="9" t="str">
        <f>HYPERLINK("http://www.ensembl.org/id/WBGene00018971", "WBGene00018971")</f>
        <v>WBGene00018971</v>
      </c>
      <c r="B1603" s="9" t="str">
        <f>HYPERLINK("http://www.ncbi.nlm.nih.gov/gene/177151", "177151")</f>
        <v>177151</v>
      </c>
      <c r="C1603" s="9"/>
      <c r="D1603" t="str">
        <f>"clec-67"</f>
        <v>clec-67</v>
      </c>
      <c r="E1603" t="s">
        <v>46</v>
      </c>
      <c r="F1603" t="s">
        <v>11</v>
      </c>
      <c r="G1603" t="s">
        <v>47</v>
      </c>
      <c r="H1603" s="12">
        <v>-2.44296561409003</v>
      </c>
      <c r="I1603" s="20">
        <v>-2.2839071143055101</v>
      </c>
      <c r="J1603" s="28">
        <v>2.2376990440121002E-2</v>
      </c>
      <c r="K1603" s="29">
        <v>0.32300516937447399</v>
      </c>
    </row>
    <row r="1604" spans="1:11" x14ac:dyDescent="0.35">
      <c r="A1604" s="9" t="str">
        <f>HYPERLINK("http://www.ensembl.org/id/WBGene00018393", "WBGene00018393")</f>
        <v>WBGene00018393</v>
      </c>
      <c r="B1604" s="9" t="str">
        <f>HYPERLINK("http://www.ncbi.nlm.nih.gov/gene/185709", "185709")</f>
        <v>185709</v>
      </c>
      <c r="C1604" s="9"/>
      <c r="D1604" t="str">
        <f>"msra-1"</f>
        <v>msra-1</v>
      </c>
      <c r="E1604" t="s">
        <v>1332</v>
      </c>
      <c r="F1604" t="s">
        <v>11</v>
      </c>
      <c r="G1604" t="s">
        <v>1333</v>
      </c>
      <c r="H1604" s="12">
        <v>1.74520057588612</v>
      </c>
      <c r="I1604" s="20">
        <v>2.2829645584195801</v>
      </c>
      <c r="J1604" s="28">
        <v>2.2432456117671098E-2</v>
      </c>
      <c r="K1604" s="29">
        <v>0.32354827156985499</v>
      </c>
    </row>
    <row r="1605" spans="1:11" x14ac:dyDescent="0.35">
      <c r="A1605" s="9" t="str">
        <f>HYPERLINK("http://www.ensembl.org/id/WBGene00015828", "WBGene00015828")</f>
        <v>WBGene00015828</v>
      </c>
      <c r="B1605" s="9" t="str">
        <f>HYPERLINK("http://www.ncbi.nlm.nih.gov/gene/182658", "182658")</f>
        <v>182658</v>
      </c>
      <c r="C1605" s="9"/>
      <c r="D1605" t="str">
        <f>"math-14"</f>
        <v>math-14</v>
      </c>
      <c r="E1605" t="s">
        <v>596</v>
      </c>
      <c r="F1605" t="s">
        <v>11</v>
      </c>
      <c r="G1605" t="s">
        <v>54</v>
      </c>
      <c r="H1605" s="12">
        <v>-3.0544100734700801</v>
      </c>
      <c r="I1605" s="20">
        <v>-2.28263923663929</v>
      </c>
      <c r="J1605" s="28">
        <v>2.2451627740344302E-2</v>
      </c>
      <c r="K1605" s="29">
        <v>0.32362277639949799</v>
      </c>
    </row>
    <row r="1606" spans="1:11" x14ac:dyDescent="0.35">
      <c r="A1606" s="9" t="str">
        <f>HYPERLINK("http://www.ensembl.org/id/WBGene00086551", "WBGene00086551")</f>
        <v>WBGene00086551</v>
      </c>
      <c r="B1606" s="9" t="str">
        <f>HYPERLINK("http://www.ncbi.nlm.nih.gov/gene/7040189", "7040189")</f>
        <v>7040189</v>
      </c>
      <c r="C1606" s="9"/>
      <c r="D1606" t="str">
        <f>"D2005.7"</f>
        <v>D2005.7</v>
      </c>
      <c r="F1606" t="s">
        <v>11</v>
      </c>
      <c r="H1606" s="12">
        <v>-1.7896375326512499</v>
      </c>
      <c r="I1606" s="20">
        <v>-2.2817490707917201</v>
      </c>
      <c r="J1606" s="28">
        <v>2.2504159162069999E-2</v>
      </c>
      <c r="K1606" s="29">
        <v>0.324177744138896</v>
      </c>
    </row>
    <row r="1607" spans="1:11" x14ac:dyDescent="0.35">
      <c r="A1607" s="9" t="str">
        <f>HYPERLINK("http://www.ensembl.org/id/WBGene00011713", "WBGene00011713")</f>
        <v>WBGene00011713</v>
      </c>
      <c r="B1607" s="9" t="str">
        <f>HYPERLINK("http://www.ncbi.nlm.nih.gov/gene/179579", "179579")</f>
        <v>179579</v>
      </c>
      <c r="C1607" s="9"/>
      <c r="D1607" t="str">
        <f>"T11F9.12"</f>
        <v>T11F9.12</v>
      </c>
      <c r="F1607" t="s">
        <v>11</v>
      </c>
      <c r="H1607" s="12">
        <v>1.59848964433475</v>
      </c>
      <c r="I1607" s="20">
        <v>2.28101581258547</v>
      </c>
      <c r="J1607" s="28">
        <v>2.2547511200223001E-2</v>
      </c>
      <c r="K1607" s="29">
        <v>0.32439775454069297</v>
      </c>
    </row>
    <row r="1608" spans="1:11" x14ac:dyDescent="0.35">
      <c r="A1608" s="9" t="str">
        <f>HYPERLINK("http://www.ensembl.org/id/WBGene00044210", "WBGene00044210")</f>
        <v>WBGene00044210</v>
      </c>
      <c r="B1608" s="9" t="str">
        <f>HYPERLINK("http://www.ncbi.nlm.nih.gov/gene/3565933", "3565933")</f>
        <v>3565933</v>
      </c>
      <c r="C1608" s="9"/>
      <c r="D1608" t="str">
        <f>"Y51A2D.21"</f>
        <v>Y51A2D.21</v>
      </c>
      <c r="F1608" t="s">
        <v>11</v>
      </c>
      <c r="G1608" t="s">
        <v>25</v>
      </c>
      <c r="H1608" s="12">
        <v>1.9869314477445399</v>
      </c>
      <c r="I1608" s="20">
        <v>2.2812434479398802</v>
      </c>
      <c r="J1608" s="28">
        <v>2.2534045072333499E-2</v>
      </c>
      <c r="K1608" s="29">
        <v>0.32439775454069297</v>
      </c>
    </row>
    <row r="1609" spans="1:11" x14ac:dyDescent="0.35">
      <c r="A1609" s="9" t="str">
        <f>HYPERLINK("http://www.ensembl.org/id/WBGene00009384", "WBGene00009384")</f>
        <v>WBGene00009384</v>
      </c>
      <c r="B1609" s="9" t="str">
        <f>HYPERLINK("http://www.ncbi.nlm.nih.gov/gene/185259", "185259")</f>
        <v>185259</v>
      </c>
      <c r="C1609" s="9"/>
      <c r="D1609" t="str">
        <f>"piit-1"</f>
        <v>piit-1</v>
      </c>
      <c r="E1609" t="s">
        <v>1334</v>
      </c>
      <c r="F1609" t="s">
        <v>11</v>
      </c>
      <c r="G1609" t="s">
        <v>50</v>
      </c>
      <c r="H1609" s="12">
        <v>1.96193091664093</v>
      </c>
      <c r="I1609" s="20">
        <v>2.2807100040453201</v>
      </c>
      <c r="J1609" s="28">
        <v>2.2565612795673599E-2</v>
      </c>
      <c r="K1609" s="29">
        <v>0.32445616008514899</v>
      </c>
    </row>
    <row r="1610" spans="1:11" x14ac:dyDescent="0.35">
      <c r="A1610" s="9" t="str">
        <f>HYPERLINK("http://www.ensembl.org/id/WBGene00019719", "WBGene00019719")</f>
        <v>WBGene00019719</v>
      </c>
      <c r="B1610" s="9" t="str">
        <f>HYPERLINK("http://www.ncbi.nlm.nih.gov/gene/177215", "177215")</f>
        <v>177215</v>
      </c>
      <c r="C1610" s="9"/>
      <c r="D1610" t="str">
        <f>"M01H9.3"</f>
        <v>M01H9.3</v>
      </c>
      <c r="F1610" t="s">
        <v>11</v>
      </c>
      <c r="H1610" s="12">
        <v>-1.5023067160938499</v>
      </c>
      <c r="I1610" s="20">
        <v>-2.2787092254240502</v>
      </c>
      <c r="J1610" s="28">
        <v>2.2684355983793699E-2</v>
      </c>
      <c r="K1610" s="29">
        <v>0.32596065258802098</v>
      </c>
    </row>
    <row r="1611" spans="1:11" x14ac:dyDescent="0.35">
      <c r="A1611" s="9" t="str">
        <f>HYPERLINK("http://www.ensembl.org/id/WBGene00219369", "WBGene00219369")</f>
        <v>WBGene00219369</v>
      </c>
      <c r="B1611" s="9" t="str">
        <f>HYPERLINK("http://www.ncbi.nlm.nih.gov/gene/13220270", "13220270")</f>
        <v>13220270</v>
      </c>
      <c r="C1611" s="9"/>
      <c r="D1611" t="str">
        <f>"R160.10"</f>
        <v>R160.10</v>
      </c>
      <c r="F1611" t="s">
        <v>11</v>
      </c>
      <c r="G1611" t="s">
        <v>25</v>
      </c>
      <c r="H1611" s="12">
        <v>-4.0735804569601797</v>
      </c>
      <c r="I1611" s="20">
        <v>-2.2770129635985801</v>
      </c>
      <c r="J1611" s="28">
        <v>2.2785451497399901E-2</v>
      </c>
      <c r="K1611" s="29">
        <v>0.32720984605277897</v>
      </c>
    </row>
    <row r="1612" spans="1:11" x14ac:dyDescent="0.35">
      <c r="A1612" s="9" t="str">
        <f>HYPERLINK("http://www.ensembl.org/id/WBGene00010796", "WBGene00010796")</f>
        <v>WBGene00010796</v>
      </c>
      <c r="B1612" s="9" t="str">
        <f>HYPERLINK("http://www.ncbi.nlm.nih.gov/gene/176307", "176307")</f>
        <v>176307</v>
      </c>
      <c r="C1612" s="9"/>
      <c r="D1612" t="str">
        <f>"clip-1"</f>
        <v>clip-1</v>
      </c>
      <c r="E1612" t="s">
        <v>1335</v>
      </c>
      <c r="F1612" t="s">
        <v>11</v>
      </c>
      <c r="H1612" s="12">
        <v>1.5476075501607001</v>
      </c>
      <c r="I1612" s="20">
        <v>2.2758652606060901</v>
      </c>
      <c r="J1612" s="28">
        <v>2.2854075281894998E-2</v>
      </c>
      <c r="K1612" s="29">
        <v>0.32799146798973</v>
      </c>
    </row>
    <row r="1613" spans="1:11" x14ac:dyDescent="0.35">
      <c r="A1613" s="9" t="str">
        <f>HYPERLINK("http://www.ensembl.org/id/WBGene00003751", "WBGene00003751")</f>
        <v>WBGene00003751</v>
      </c>
      <c r="B1613" s="9" t="str">
        <f>HYPERLINK("http://www.ncbi.nlm.nih.gov/gene/178826", "178826")</f>
        <v>178826</v>
      </c>
      <c r="C1613" s="9"/>
      <c r="D1613" t="str">
        <f>"nlp-13"</f>
        <v>nlp-13</v>
      </c>
      <c r="E1613" t="s">
        <v>76</v>
      </c>
      <c r="F1613" t="s">
        <v>11</v>
      </c>
      <c r="G1613" t="s">
        <v>77</v>
      </c>
      <c r="H1613" s="12">
        <v>1.53789276000123</v>
      </c>
      <c r="I1613" s="20">
        <v>2.2742103496101</v>
      </c>
      <c r="J1613" s="28">
        <v>2.29533422753939E-2</v>
      </c>
      <c r="K1613" s="29">
        <v>0.32921162421803402</v>
      </c>
    </row>
    <row r="1614" spans="1:11" x14ac:dyDescent="0.35">
      <c r="A1614" s="9" t="str">
        <f>HYPERLINK("http://www.ensembl.org/id/WBGene00016845", "WBGene00016845")</f>
        <v>WBGene00016845</v>
      </c>
      <c r="B1614" s="9" t="str">
        <f>HYPERLINK("http://www.ncbi.nlm.nih.gov/gene/177554", "177554")</f>
        <v>177554</v>
      </c>
      <c r="C1614" s="9"/>
      <c r="D1614" t="str">
        <f>"C50F7.5"</f>
        <v>C50F7.5</v>
      </c>
      <c r="F1614" t="s">
        <v>11</v>
      </c>
      <c r="H1614" s="12">
        <v>1.8119902262462899</v>
      </c>
      <c r="I1614" s="20">
        <v>2.27385171905396</v>
      </c>
      <c r="J1614" s="28">
        <v>2.29749034206524E-2</v>
      </c>
      <c r="K1614" s="29">
        <v>0.32931645064366899</v>
      </c>
    </row>
    <row r="1615" spans="1:11" x14ac:dyDescent="0.35">
      <c r="A1615" s="9" t="str">
        <f>HYPERLINK("http://www.ensembl.org/id/WBGene00008052", "WBGene00008052")</f>
        <v>WBGene00008052</v>
      </c>
      <c r="B1615" s="9" t="str">
        <f>HYPERLINK("http://www.ncbi.nlm.nih.gov/gene/174308", "174308")</f>
        <v>174308</v>
      </c>
      <c r="C1615" s="9" t="str">
        <f>HYPERLINK("http://www.ncbi.nlm.nih.gov/gene/1497", "1497")</f>
        <v>1497</v>
      </c>
      <c r="D1615" t="str">
        <f>"ctns-1"</f>
        <v>ctns-1</v>
      </c>
      <c r="E1615" t="s">
        <v>1336</v>
      </c>
      <c r="F1615" t="s">
        <v>11</v>
      </c>
      <c r="H1615" s="12">
        <v>-1.51900943112024</v>
      </c>
      <c r="I1615" s="20">
        <v>-2.2732348012015602</v>
      </c>
      <c r="J1615" s="28">
        <v>2.3012034157397901E-2</v>
      </c>
      <c r="K1615" s="29">
        <v>0.32946739742064002</v>
      </c>
    </row>
    <row r="1616" spans="1:11" x14ac:dyDescent="0.35">
      <c r="A1616" s="9" t="str">
        <f>HYPERLINK("http://www.ensembl.org/id/WBGene00013035", "WBGene00013035")</f>
        <v>WBGene00013035</v>
      </c>
      <c r="B1616" s="9" t="str">
        <f>HYPERLINK("http://www.ncbi.nlm.nih.gov/gene/176669", "176669")</f>
        <v>176669</v>
      </c>
      <c r="C1616" s="9"/>
      <c r="D1616" t="str">
        <f>"Y49E10.16"</f>
        <v>Y49E10.16</v>
      </c>
      <c r="F1616" t="s">
        <v>11</v>
      </c>
      <c r="G1616" t="s">
        <v>29</v>
      </c>
      <c r="H1616" s="12">
        <v>-1.5697363883361</v>
      </c>
      <c r="I1616" s="20">
        <v>-2.2732029569651999</v>
      </c>
      <c r="J1616" s="28">
        <v>2.3013952195832799E-2</v>
      </c>
      <c r="K1616" s="29">
        <v>0.32946739742064002</v>
      </c>
    </row>
    <row r="1617" spans="1:11" x14ac:dyDescent="0.35">
      <c r="A1617" s="9" t="str">
        <f>HYPERLINK("http://www.ensembl.org/id/WBGene00008607", "WBGene00008607")</f>
        <v>WBGene00008607</v>
      </c>
      <c r="B1617" s="9" t="str">
        <f>HYPERLINK("http://www.ncbi.nlm.nih.gov/gene/181605", "181605")</f>
        <v>181605</v>
      </c>
      <c r="C1617" s="9"/>
      <c r="D1617" t="str">
        <f>"F09B12.3"</f>
        <v>F09B12.3</v>
      </c>
      <c r="E1617" t="s">
        <v>1337</v>
      </c>
      <c r="F1617" t="s">
        <v>11</v>
      </c>
      <c r="G1617" t="s">
        <v>787</v>
      </c>
      <c r="H1617" s="12">
        <v>-1.70392169051535</v>
      </c>
      <c r="I1617" s="20">
        <v>-2.2727933968816498</v>
      </c>
      <c r="J1617" s="28">
        <v>2.3038633151904901E-2</v>
      </c>
      <c r="K1617" s="29">
        <v>0.32961650625877098</v>
      </c>
    </row>
    <row r="1618" spans="1:11" x14ac:dyDescent="0.35">
      <c r="A1618" s="9" t="str">
        <f>HYPERLINK("http://www.ensembl.org/id/WBGene00004264", "WBGene00004264")</f>
        <v>WBGene00004264</v>
      </c>
      <c r="B1618" s="9" t="str">
        <f>HYPERLINK("http://www.ncbi.nlm.nih.gov/gene/174319", "174319")</f>
        <v>174319</v>
      </c>
      <c r="C1618" s="9"/>
      <c r="D1618" t="str">
        <f>"qua-1"</f>
        <v>qua-1</v>
      </c>
      <c r="F1618" t="s">
        <v>11</v>
      </c>
      <c r="G1618" t="s">
        <v>1338</v>
      </c>
      <c r="H1618" s="12">
        <v>2.0995237851620199</v>
      </c>
      <c r="I1618" s="20">
        <v>2.27206760004049</v>
      </c>
      <c r="J1618" s="28">
        <v>2.3082427671937199E-2</v>
      </c>
      <c r="K1618" s="29">
        <v>0.33003872140332902</v>
      </c>
    </row>
    <row r="1619" spans="1:11" x14ac:dyDescent="0.35">
      <c r="A1619" s="9" t="str">
        <f>HYPERLINK("http://www.ensembl.org/id/WBGene00022599", "WBGene00022599")</f>
        <v>WBGene00022599</v>
      </c>
      <c r="B1619" s="9" t="str">
        <f>HYPERLINK("http://www.ncbi.nlm.nih.gov/gene/175727", "175727")</f>
        <v>175727</v>
      </c>
      <c r="C1619" s="9"/>
      <c r="D1619" t="str">
        <f>"daf-41"</f>
        <v>daf-41</v>
      </c>
      <c r="E1619" t="s">
        <v>1340</v>
      </c>
      <c r="F1619" t="s">
        <v>11</v>
      </c>
      <c r="H1619" s="12">
        <v>-1.5149281668400501</v>
      </c>
      <c r="I1619" s="20">
        <v>-2.2710167719764698</v>
      </c>
      <c r="J1619" s="28">
        <v>2.3145962653952301E-2</v>
      </c>
      <c r="K1619" s="29">
        <v>0.33054728025185198</v>
      </c>
    </row>
    <row r="1620" spans="1:11" x14ac:dyDescent="0.35">
      <c r="A1620" s="9" t="str">
        <f>HYPERLINK("http://www.ensembl.org/id/WBGene00018538", "WBGene00018538")</f>
        <v>WBGene00018538</v>
      </c>
      <c r="B1620" s="9" t="str">
        <f>HYPERLINK("http://www.ncbi.nlm.nih.gov/gene/180665", "180665")</f>
        <v>180665</v>
      </c>
      <c r="C1620" s="9"/>
      <c r="D1620" t="str">
        <f>"marg-1"</f>
        <v>marg-1</v>
      </c>
      <c r="E1620" t="s">
        <v>1339</v>
      </c>
      <c r="F1620" t="s">
        <v>11</v>
      </c>
      <c r="H1620" s="12">
        <v>1.9976372821822299</v>
      </c>
      <c r="I1620" s="20">
        <v>2.27100612909519</v>
      </c>
      <c r="J1620" s="28">
        <v>2.3146606918008201E-2</v>
      </c>
      <c r="K1620" s="29">
        <v>0.33054728025185198</v>
      </c>
    </row>
    <row r="1621" spans="1:11" x14ac:dyDescent="0.35">
      <c r="A1621" s="9" t="str">
        <f>HYPERLINK("http://www.ensembl.org/id/WBGene00007455", "WBGene00007455")</f>
        <v>WBGene00007455</v>
      </c>
      <c r="B1621" s="9" t="str">
        <f>HYPERLINK("http://www.ncbi.nlm.nih.gov/gene/178330", "178330")</f>
        <v>178330</v>
      </c>
      <c r="C1621" s="9"/>
      <c r="D1621" t="str">
        <f>"ugt-22"</f>
        <v>ugt-22</v>
      </c>
      <c r="E1621" t="s">
        <v>948</v>
      </c>
      <c r="F1621" t="s">
        <v>11</v>
      </c>
      <c r="G1621" t="s">
        <v>104</v>
      </c>
      <c r="H1621" s="12">
        <v>1.7791788593662701</v>
      </c>
      <c r="I1621" s="20">
        <v>2.26970854633299</v>
      </c>
      <c r="J1621" s="28">
        <v>2.3225272530619401E-2</v>
      </c>
      <c r="K1621" s="29">
        <v>0.331465810433904</v>
      </c>
    </row>
    <row r="1622" spans="1:11" x14ac:dyDescent="0.35">
      <c r="A1622" s="9" t="str">
        <f>HYPERLINK("http://www.ensembl.org/id/WBGene00015146", "WBGene00015146")</f>
        <v>WBGene00015146</v>
      </c>
      <c r="B1622" s="9" t="str">
        <f>HYPERLINK("http://www.ncbi.nlm.nih.gov/gene/175789", "175789")</f>
        <v>175789</v>
      </c>
      <c r="C1622" s="9"/>
      <c r="D1622" t="str">
        <f>"abi-1"</f>
        <v>abi-1</v>
      </c>
      <c r="E1622" t="s">
        <v>1341</v>
      </c>
      <c r="F1622" t="s">
        <v>11</v>
      </c>
      <c r="G1622" t="s">
        <v>1342</v>
      </c>
      <c r="H1622" s="12">
        <v>-1.55293529027086</v>
      </c>
      <c r="I1622" s="20">
        <v>-2.2691514628918701</v>
      </c>
      <c r="J1622" s="28">
        <v>2.32591167245552E-2</v>
      </c>
      <c r="K1622" s="29">
        <v>0.33174392039356299</v>
      </c>
    </row>
    <row r="1623" spans="1:11" x14ac:dyDescent="0.35">
      <c r="A1623" s="9" t="str">
        <f>HYPERLINK("http://www.ensembl.org/id/WBGene00009796", "WBGene00009796")</f>
        <v>WBGene00009796</v>
      </c>
      <c r="B1623" s="9" t="str">
        <f>HYPERLINK("http://www.ncbi.nlm.nih.gov/gene/185875", "185875")</f>
        <v>185875</v>
      </c>
      <c r="C1623" s="9"/>
      <c r="D1623" t="str">
        <f>"F46G10.1"</f>
        <v>F46G10.1</v>
      </c>
      <c r="F1623" t="s">
        <v>11</v>
      </c>
      <c r="G1623" t="s">
        <v>1343</v>
      </c>
      <c r="H1623" s="12">
        <v>-1.5524744140787201</v>
      </c>
      <c r="I1623" s="20">
        <v>-2.2679992153875799</v>
      </c>
      <c r="J1623" s="28">
        <v>2.3329254498557501E-2</v>
      </c>
      <c r="K1623" s="29">
        <v>0.33212923872068401</v>
      </c>
    </row>
    <row r="1624" spans="1:11" x14ac:dyDescent="0.35">
      <c r="A1624" s="9" t="str">
        <f>HYPERLINK("http://www.ensembl.org/id/WBGene00019075", "WBGene00019075")</f>
        <v>WBGene00019075</v>
      </c>
      <c r="B1624" s="9" t="str">
        <f>HYPERLINK("http://www.ncbi.nlm.nih.gov/gene/186575", "186575")</f>
        <v>186575</v>
      </c>
      <c r="C1624" s="9"/>
      <c r="D1624" t="str">
        <f>"F59A3.2"</f>
        <v>F59A3.2</v>
      </c>
      <c r="F1624" t="s">
        <v>11</v>
      </c>
      <c r="H1624" s="12">
        <v>-1.74814430131243</v>
      </c>
      <c r="I1624" s="20">
        <v>-2.2682964036998801</v>
      </c>
      <c r="J1624" s="28">
        <v>2.33111469770351E-2</v>
      </c>
      <c r="K1624" s="29">
        <v>0.33212923872068401</v>
      </c>
    </row>
    <row r="1625" spans="1:11" x14ac:dyDescent="0.35">
      <c r="A1625" s="9" t="str">
        <f>HYPERLINK("http://www.ensembl.org/id/WBGene00003647", "WBGene00003647")</f>
        <v>WBGene00003647</v>
      </c>
      <c r="B1625" s="9" t="str">
        <f>HYPERLINK("http://www.ncbi.nlm.nih.gov/gene/178813", "178813")</f>
        <v>178813</v>
      </c>
      <c r="C1625" s="9"/>
      <c r="D1625" t="str">
        <f>"nhr-57"</f>
        <v>nhr-57</v>
      </c>
      <c r="E1625" t="s">
        <v>1344</v>
      </c>
      <c r="F1625" t="s">
        <v>11</v>
      </c>
      <c r="G1625" t="s">
        <v>852</v>
      </c>
      <c r="H1625" s="12">
        <v>-1.70175085077426</v>
      </c>
      <c r="I1625" s="20">
        <v>-2.2680201083865601</v>
      </c>
      <c r="J1625" s="28">
        <v>2.33279811006313E-2</v>
      </c>
      <c r="K1625" s="29">
        <v>0.33212923872068401</v>
      </c>
    </row>
    <row r="1626" spans="1:11" x14ac:dyDescent="0.35">
      <c r="A1626" s="9" t="str">
        <f>HYPERLINK("http://www.ensembl.org/id/WBGene00011054", "WBGene00011054")</f>
        <v>WBGene00011054</v>
      </c>
      <c r="B1626" s="9" t="str">
        <f>HYPERLINK("http://www.ncbi.nlm.nih.gov/gene/175022", "175022")</f>
        <v>175022</v>
      </c>
      <c r="C1626" s="9"/>
      <c r="D1626" t="str">
        <f>"arrd-13"</f>
        <v>arrd-13</v>
      </c>
      <c r="E1626" t="s">
        <v>377</v>
      </c>
      <c r="F1626" t="s">
        <v>11</v>
      </c>
      <c r="G1626" t="s">
        <v>378</v>
      </c>
      <c r="H1626" s="12">
        <v>-1.64718266079992</v>
      </c>
      <c r="I1626" s="20">
        <v>-2.2670181021996698</v>
      </c>
      <c r="J1626" s="28">
        <v>2.33891199092622E-2</v>
      </c>
      <c r="K1626" s="29">
        <v>0.332367161515014</v>
      </c>
    </row>
    <row r="1627" spans="1:11" x14ac:dyDescent="0.35">
      <c r="A1627" s="9" t="str">
        <f>HYPERLINK("http://www.ensembl.org/id/WBGene00002915", "WBGene00002915")</f>
        <v>WBGene00002915</v>
      </c>
      <c r="B1627" s="9" t="str">
        <f>HYPERLINK("http://www.ncbi.nlm.nih.gov/gene/175384", "175384")</f>
        <v>175384</v>
      </c>
      <c r="C1627" s="9"/>
      <c r="D1627" t="str">
        <f>"let-805"</f>
        <v>let-805</v>
      </c>
      <c r="E1627" t="s">
        <v>1347</v>
      </c>
      <c r="F1627" t="s">
        <v>11</v>
      </c>
      <c r="G1627" t="s">
        <v>1348</v>
      </c>
      <c r="H1627" s="12">
        <v>1.58176296554314</v>
      </c>
      <c r="I1627" s="20">
        <v>2.2670346943372701</v>
      </c>
      <c r="J1627" s="28">
        <v>2.3388106385383502E-2</v>
      </c>
      <c r="K1627" s="29">
        <v>0.332367161515014</v>
      </c>
    </row>
    <row r="1628" spans="1:11" x14ac:dyDescent="0.35">
      <c r="A1628" s="9" t="str">
        <f>HYPERLINK("http://www.ensembl.org/id/WBGene00003730", "WBGene00003730")</f>
        <v>WBGene00003730</v>
      </c>
      <c r="B1628" s="9" t="str">
        <f>HYPERLINK("http://www.ncbi.nlm.nih.gov/gene/174242", "174242")</f>
        <v>174242</v>
      </c>
      <c r="C1628" s="9"/>
      <c r="D1628" t="str">
        <f>"nhx-2"</f>
        <v>nhx-2</v>
      </c>
      <c r="E1628" t="s">
        <v>1345</v>
      </c>
      <c r="F1628" t="s">
        <v>11</v>
      </c>
      <c r="G1628" t="s">
        <v>1346</v>
      </c>
      <c r="H1628" s="12">
        <v>1.60554180801597</v>
      </c>
      <c r="I1628" s="20">
        <v>2.2674248384044402</v>
      </c>
      <c r="J1628" s="28">
        <v>2.3364285580805999E-2</v>
      </c>
      <c r="K1628" s="29">
        <v>0.332367161515014</v>
      </c>
    </row>
    <row r="1629" spans="1:11" x14ac:dyDescent="0.35">
      <c r="A1629" s="9" t="str">
        <f>HYPERLINK("http://www.ensembl.org/id/WBGene00009830", "WBGene00009830")</f>
        <v>WBGene00009830</v>
      </c>
      <c r="B1629" s="9" t="str">
        <f>HYPERLINK("http://www.ncbi.nlm.nih.gov/gene/179565", "179565")</f>
        <v>179565</v>
      </c>
      <c r="C1629" s="9"/>
      <c r="D1629" t="str">
        <f>"cutl-18"</f>
        <v>cutl-18</v>
      </c>
      <c r="E1629" t="s">
        <v>166</v>
      </c>
      <c r="F1629" t="s">
        <v>11</v>
      </c>
      <c r="G1629" t="s">
        <v>25</v>
      </c>
      <c r="H1629" s="12">
        <v>2.1441832039868598</v>
      </c>
      <c r="I1629" s="20">
        <v>2.2663955771408202</v>
      </c>
      <c r="J1629" s="28">
        <v>2.3427174154511801E-2</v>
      </c>
      <c r="K1629" s="29">
        <v>0.33249894718313899</v>
      </c>
    </row>
    <row r="1630" spans="1:11" x14ac:dyDescent="0.35">
      <c r="A1630" s="9" t="str">
        <f>HYPERLINK("http://www.ensembl.org/id/WBGene00001714", "WBGene00001714")</f>
        <v>WBGene00001714</v>
      </c>
      <c r="B1630" s="9" t="str">
        <f>HYPERLINK("http://www.ncbi.nlm.nih.gov/gene/178837", "178837")</f>
        <v>178837</v>
      </c>
      <c r="C1630" s="9"/>
      <c r="D1630" t="str">
        <f>"grl-5"</f>
        <v>grl-5</v>
      </c>
      <c r="E1630" t="s">
        <v>353</v>
      </c>
      <c r="F1630" t="s">
        <v>11</v>
      </c>
      <c r="H1630" s="12">
        <v>14.669050472237799</v>
      </c>
      <c r="I1630" s="20">
        <v>2.2664942980597802</v>
      </c>
      <c r="J1630" s="28">
        <v>2.3421135874589299E-2</v>
      </c>
      <c r="K1630" s="29">
        <v>0.33249894718313899</v>
      </c>
    </row>
    <row r="1631" spans="1:11" x14ac:dyDescent="0.35">
      <c r="A1631" s="9" t="str">
        <f>HYPERLINK("http://www.ensembl.org/id/WBGene00010732", "WBGene00010732")</f>
        <v>WBGene00010732</v>
      </c>
      <c r="B1631" s="9" t="str">
        <f>HYPERLINK("http://www.ncbi.nlm.nih.gov/gene/172838", "172838")</f>
        <v>172838</v>
      </c>
      <c r="C1631" s="9"/>
      <c r="D1631" t="str">
        <f>"K10C3.5"</f>
        <v>K10C3.5</v>
      </c>
      <c r="F1631" t="s">
        <v>11</v>
      </c>
      <c r="G1631" t="s">
        <v>1349</v>
      </c>
      <c r="H1631" s="12">
        <v>-1.5980602403780599</v>
      </c>
      <c r="I1631" s="20">
        <v>-2.2660014887872002</v>
      </c>
      <c r="J1631" s="28">
        <v>2.3451292093275001E-2</v>
      </c>
      <c r="K1631" s="29">
        <v>0.33263692762873698</v>
      </c>
    </row>
    <row r="1632" spans="1:11" x14ac:dyDescent="0.35">
      <c r="A1632" s="9" t="str">
        <f>HYPERLINK("http://www.ensembl.org/id/WBGene00006656", "WBGene00006656")</f>
        <v>WBGene00006656</v>
      </c>
      <c r="B1632" s="9" t="str">
        <f>HYPERLINK("http://www.ncbi.nlm.nih.gov/gene/192072", "192072")</f>
        <v>192072</v>
      </c>
      <c r="C1632" s="9"/>
      <c r="D1632" t="str">
        <f>"twk-1"</f>
        <v>twk-1</v>
      </c>
      <c r="E1632" t="s">
        <v>894</v>
      </c>
      <c r="F1632" t="s">
        <v>11</v>
      </c>
      <c r="G1632" t="s">
        <v>1350</v>
      </c>
      <c r="H1632" s="12">
        <v>1.5767680263778301</v>
      </c>
      <c r="I1632" s="20">
        <v>2.26574880090494</v>
      </c>
      <c r="J1632" s="28">
        <v>2.3466767755835199E-2</v>
      </c>
      <c r="K1632" s="29">
        <v>0.33265223053149001</v>
      </c>
    </row>
    <row r="1633" spans="1:11" x14ac:dyDescent="0.35">
      <c r="A1633" s="9" t="str">
        <f>HYPERLINK("http://www.ensembl.org/id/WBGene00020563", "WBGene00020563")</f>
        <v>WBGene00020563</v>
      </c>
      <c r="B1633" s="9" t="str">
        <f>HYPERLINK("http://www.ncbi.nlm.nih.gov/gene/188587", "188587")</f>
        <v>188587</v>
      </c>
      <c r="C1633" s="9"/>
      <c r="D1633" t="str">
        <f>"T19C3.5"</f>
        <v>T19C3.5</v>
      </c>
      <c r="F1633" t="s">
        <v>11</v>
      </c>
      <c r="G1633" t="s">
        <v>554</v>
      </c>
      <c r="H1633" s="12">
        <v>-1.6878449293975899</v>
      </c>
      <c r="I1633" s="20">
        <v>-2.2644140281845102</v>
      </c>
      <c r="J1633" s="28">
        <v>2.35486619710608E-2</v>
      </c>
      <c r="K1633" s="29">
        <v>0.33360845095237901</v>
      </c>
    </row>
    <row r="1634" spans="1:11" x14ac:dyDescent="0.35">
      <c r="A1634" s="9" t="str">
        <f>HYPERLINK("http://www.ensembl.org/id/WBGene00012185", "WBGene00012185")</f>
        <v>WBGene00012185</v>
      </c>
      <c r="B1634" s="9" t="str">
        <f>HYPERLINK("http://www.ncbi.nlm.nih.gov/gene/180351", "180351")</f>
        <v>180351</v>
      </c>
      <c r="C1634" s="9"/>
      <c r="D1634" t="str">
        <f>"W01F3.2"</f>
        <v>W01F3.2</v>
      </c>
      <c r="F1634" t="s">
        <v>11</v>
      </c>
      <c r="G1634" t="s">
        <v>1351</v>
      </c>
      <c r="H1634" s="12">
        <v>1.7568385750280699</v>
      </c>
      <c r="I1634" s="20">
        <v>2.2641009340769802</v>
      </c>
      <c r="J1634" s="28">
        <v>2.3567907552565399E-2</v>
      </c>
      <c r="K1634" s="29">
        <v>0.33367651465047499</v>
      </c>
    </row>
    <row r="1635" spans="1:11" x14ac:dyDescent="0.35">
      <c r="A1635" s="9" t="str">
        <f>HYPERLINK("http://www.ensembl.org/id/WBGene00018288", "WBGene00018288")</f>
        <v>WBGene00018288</v>
      </c>
      <c r="B1635" s="9" t="str">
        <f>HYPERLINK("http://www.ncbi.nlm.nih.gov/gene/185618", "185618")</f>
        <v>185618</v>
      </c>
      <c r="C1635" s="9"/>
      <c r="D1635" t="str">
        <f>"F41E6.7"</f>
        <v>F41E6.7</v>
      </c>
      <c r="F1635" t="s">
        <v>11</v>
      </c>
      <c r="H1635" s="12">
        <v>2.0291970134253701</v>
      </c>
      <c r="I1635" s="20">
        <v>2.2635547013564099</v>
      </c>
      <c r="J1635" s="28">
        <v>2.3601516610687399E-2</v>
      </c>
      <c r="K1635" s="29">
        <v>0.33394772982642001</v>
      </c>
    </row>
    <row r="1636" spans="1:11" x14ac:dyDescent="0.35">
      <c r="A1636" s="9" t="str">
        <f>HYPERLINK("http://www.ensembl.org/id/WBGene00022349", "WBGene00022349")</f>
        <v>WBGene00022349</v>
      </c>
      <c r="B1636" s="9" t="str">
        <f>HYPERLINK("http://www.ncbi.nlm.nih.gov/gene/259490", "259490")</f>
        <v>259490</v>
      </c>
      <c r="C1636" s="9"/>
      <c r="D1636" t="str">
        <f>"Y82E9BR.17"</f>
        <v>Y82E9BR.17</v>
      </c>
      <c r="F1636" t="s">
        <v>11</v>
      </c>
      <c r="H1636" s="12">
        <v>1.73068693998582</v>
      </c>
      <c r="I1636" s="20">
        <v>2.2627230847904198</v>
      </c>
      <c r="J1636" s="28">
        <v>2.36527648579592E-2</v>
      </c>
      <c r="K1636" s="29">
        <v>0.334468044558143</v>
      </c>
    </row>
    <row r="1637" spans="1:11" x14ac:dyDescent="0.35">
      <c r="A1637" s="9" t="str">
        <f>HYPERLINK("http://www.ensembl.org/id/WBGene00017450", "WBGene00017450")</f>
        <v>WBGene00017450</v>
      </c>
      <c r="B1637" s="9" t="str">
        <f>HYPERLINK("http://www.ncbi.nlm.nih.gov/gene/173679", "173679")</f>
        <v>173679</v>
      </c>
      <c r="C1637" s="9"/>
      <c r="D1637" t="str">
        <f>"bath-27"</f>
        <v>bath-27</v>
      </c>
      <c r="E1637" t="s">
        <v>179</v>
      </c>
      <c r="F1637" t="s">
        <v>11</v>
      </c>
      <c r="G1637" t="s">
        <v>54</v>
      </c>
      <c r="H1637" s="12">
        <v>-2.0594560074946</v>
      </c>
      <c r="I1637" s="20">
        <v>-2.26241547192922</v>
      </c>
      <c r="J1637" s="28">
        <v>2.3671745902816701E-2</v>
      </c>
      <c r="K1637" s="29">
        <v>0.33452410635344598</v>
      </c>
    </row>
    <row r="1638" spans="1:11" x14ac:dyDescent="0.35">
      <c r="A1638" s="9" t="str">
        <f>HYPERLINK("http://www.ensembl.org/id/WBGene00008410", "WBGene00008410")</f>
        <v>WBGene00008410</v>
      </c>
      <c r="B1638" s="9" t="str">
        <f>HYPERLINK("http://www.ncbi.nlm.nih.gov/gene/179618", "179618")</f>
        <v>179618</v>
      </c>
      <c r="C1638" s="9" t="str">
        <f>HYPERLINK("http://www.ncbi.nlm.nih.gov/gene/57143", "57143")</f>
        <v>57143</v>
      </c>
      <c r="D1638" t="str">
        <f>"D2023.6"</f>
        <v>D2023.6</v>
      </c>
      <c r="F1638" t="s">
        <v>11</v>
      </c>
      <c r="G1638" t="s">
        <v>1354</v>
      </c>
      <c r="H1638" s="12">
        <v>-1.5908194701802501</v>
      </c>
      <c r="I1638" s="20">
        <v>-2.2620416317044199</v>
      </c>
      <c r="J1638" s="28">
        <v>2.36948312515129E-2</v>
      </c>
      <c r="K1638" s="29">
        <v>0.33452410635344598</v>
      </c>
    </row>
    <row r="1639" spans="1:11" x14ac:dyDescent="0.35">
      <c r="A1639" s="9" t="str">
        <f>HYPERLINK("http://www.ensembl.org/id/WBGene00001184", "WBGene00001184")</f>
        <v>WBGene00001184</v>
      </c>
      <c r="B1639" s="9" t="str">
        <f>HYPERLINK("http://www.ncbi.nlm.nih.gov/gene/181291", "181291")</f>
        <v>181291</v>
      </c>
      <c r="C1639" s="9" t="str">
        <f>HYPERLINK("http://www.ncbi.nlm.nih.gov/gene/2261", "2261")</f>
        <v>2261</v>
      </c>
      <c r="D1639" t="str">
        <f>"egl-15"</f>
        <v>egl-15</v>
      </c>
      <c r="E1639" t="s">
        <v>1352</v>
      </c>
      <c r="F1639" t="s">
        <v>11</v>
      </c>
      <c r="G1639" t="s">
        <v>1353</v>
      </c>
      <c r="H1639" s="12">
        <v>1.58706495375845</v>
      </c>
      <c r="I1639" s="20">
        <v>2.2619553381208002</v>
      </c>
      <c r="J1639" s="28">
        <v>2.3700162819206699E-2</v>
      </c>
      <c r="K1639" s="29">
        <v>0.33452410635344598</v>
      </c>
    </row>
    <row r="1640" spans="1:11" x14ac:dyDescent="0.35">
      <c r="A1640" s="9" t="str">
        <f>HYPERLINK("http://www.ensembl.org/id/WBGene00009089", "WBGene00009089")</f>
        <v>WBGene00009089</v>
      </c>
      <c r="B1640" s="9" t="str">
        <f>HYPERLINK("http://www.ncbi.nlm.nih.gov/gene/181543", "181543")</f>
        <v>181543</v>
      </c>
      <c r="C1640" s="9"/>
      <c r="D1640" t="str">
        <f>"jmjd-3.2"</f>
        <v>jmjd-3.2</v>
      </c>
      <c r="E1640" t="s">
        <v>1355</v>
      </c>
      <c r="F1640" t="s">
        <v>11</v>
      </c>
      <c r="G1640" t="s">
        <v>1356</v>
      </c>
      <c r="H1640" s="12">
        <v>1.9523296428332599</v>
      </c>
      <c r="I1640" s="20">
        <v>2.2609164374849802</v>
      </c>
      <c r="J1640" s="28">
        <v>2.3764432053611499E-2</v>
      </c>
      <c r="K1640" s="29">
        <v>0.33515224441275299</v>
      </c>
    </row>
    <row r="1641" spans="1:11" x14ac:dyDescent="0.35">
      <c r="A1641" s="9" t="str">
        <f>HYPERLINK("http://www.ensembl.org/id/WBGene00004296", "WBGene00004296")</f>
        <v>WBGene00004296</v>
      </c>
      <c r="B1641" s="9" t="str">
        <f>HYPERLINK("http://www.ncbi.nlm.nih.gov/gene/179678", "179678")</f>
        <v>179678</v>
      </c>
      <c r="C1641" s="9"/>
      <c r="D1641" t="str">
        <f>"rad-50"</f>
        <v>rad-50</v>
      </c>
      <c r="E1641" t="s">
        <v>1357</v>
      </c>
      <c r="F1641" t="s">
        <v>11</v>
      </c>
      <c r="G1641" t="s">
        <v>1358</v>
      </c>
      <c r="H1641" s="12">
        <v>-1.5253139931551301</v>
      </c>
      <c r="I1641" s="20">
        <v>-2.26076723161027</v>
      </c>
      <c r="J1641" s="28">
        <v>2.3773674742166601E-2</v>
      </c>
      <c r="K1641" s="29">
        <v>0.33515224441275299</v>
      </c>
    </row>
    <row r="1642" spans="1:11" x14ac:dyDescent="0.35">
      <c r="A1642" s="9" t="str">
        <f>HYPERLINK("http://www.ensembl.org/id/WBGene00185086", "WBGene00185086")</f>
        <v>WBGene00185086</v>
      </c>
      <c r="B1642" s="9" t="str">
        <f>HYPERLINK("http://www.ncbi.nlm.nih.gov/gene/13180284", "13180284")</f>
        <v>13180284</v>
      </c>
      <c r="C1642" s="9"/>
      <c r="D1642" t="str">
        <f>"F59A3.12"</f>
        <v>F59A3.12</v>
      </c>
      <c r="F1642" t="s">
        <v>11</v>
      </c>
      <c r="H1642" s="12">
        <v>-1.72722862732106</v>
      </c>
      <c r="I1642" s="20">
        <v>-2.2597933960080301</v>
      </c>
      <c r="J1642" s="28">
        <v>2.3834076473223501E-2</v>
      </c>
      <c r="K1642" s="29">
        <v>0.33553675158870799</v>
      </c>
    </row>
    <row r="1643" spans="1:11" x14ac:dyDescent="0.35">
      <c r="A1643" s="9" t="str">
        <f>HYPERLINK("http://www.ensembl.org/id/WBGene00017813", "WBGene00017813")</f>
        <v>WBGene00017813</v>
      </c>
      <c r="B1643" s="9" t="str">
        <f>HYPERLINK("http://www.ncbi.nlm.nih.gov/gene/184956", "184956")</f>
        <v>184956</v>
      </c>
      <c r="C1643" s="9"/>
      <c r="D1643" t="str">
        <f>"nlp-61"</f>
        <v>nlp-61</v>
      </c>
      <c r="E1643" t="s">
        <v>76</v>
      </c>
      <c r="F1643" t="s">
        <v>11</v>
      </c>
      <c r="G1643" t="s">
        <v>77</v>
      </c>
      <c r="H1643" s="12">
        <v>1.58280751361161</v>
      </c>
      <c r="I1643" s="20">
        <v>2.2596958808028198</v>
      </c>
      <c r="J1643" s="28">
        <v>2.38401321373315E-2</v>
      </c>
      <c r="K1643" s="29">
        <v>0.33553675158870799</v>
      </c>
    </row>
    <row r="1644" spans="1:11" x14ac:dyDescent="0.35">
      <c r="A1644" s="9" t="str">
        <f>HYPERLINK("http://www.ensembl.org/id/WBGene00021883", "WBGene00021883")</f>
        <v>WBGene00021883</v>
      </c>
      <c r="B1644" s="9" t="str">
        <f>HYPERLINK("http://www.ncbi.nlm.nih.gov/gene/177072", "177072")</f>
        <v>177072</v>
      </c>
      <c r="C1644" s="9" t="str">
        <f>HYPERLINK("http://www.ncbi.nlm.nih.gov/gene/10134", "10134")</f>
        <v>10134</v>
      </c>
      <c r="D1644" t="str">
        <f>"Y54G2A.18"</f>
        <v>Y54G2A.18</v>
      </c>
      <c r="E1644" t="s">
        <v>1359</v>
      </c>
      <c r="F1644" t="s">
        <v>11</v>
      </c>
      <c r="G1644" t="s">
        <v>1360</v>
      </c>
      <c r="H1644" s="12">
        <v>-1.5330171458949899</v>
      </c>
      <c r="I1644" s="20">
        <v>-2.2593916094798501</v>
      </c>
      <c r="J1644" s="28">
        <v>2.3859035872078601E-2</v>
      </c>
      <c r="K1644" s="29">
        <v>0.33553675158870799</v>
      </c>
    </row>
    <row r="1645" spans="1:11" x14ac:dyDescent="0.35">
      <c r="A1645" s="9" t="str">
        <f>HYPERLINK("http://www.ensembl.org/id/WBGene00022562", "WBGene00022562")</f>
        <v>WBGene00022562</v>
      </c>
      <c r="B1645" s="9" t="str">
        <f>HYPERLINK("http://www.ncbi.nlm.nih.gov/gene/173536", "173536")</f>
        <v>173536</v>
      </c>
      <c r="C1645" s="9"/>
      <c r="D1645" t="str">
        <f>"ZC204.12"</f>
        <v>ZC204.12</v>
      </c>
      <c r="F1645" t="s">
        <v>11</v>
      </c>
      <c r="H1645" s="12">
        <v>-1.7055072449998201</v>
      </c>
      <c r="I1645" s="20">
        <v>-2.25950395352432</v>
      </c>
      <c r="J1645" s="28">
        <v>2.3852054660367002E-2</v>
      </c>
      <c r="K1645" s="29">
        <v>0.33553675158870799</v>
      </c>
    </row>
    <row r="1646" spans="1:11" x14ac:dyDescent="0.35">
      <c r="A1646" s="9" t="str">
        <f>HYPERLINK("http://www.ensembl.org/id/WBGene00007984", "WBGene00007984")</f>
        <v>WBGene00007984</v>
      </c>
      <c r="B1646" s="9" t="str">
        <f>HYPERLINK("http://www.ncbi.nlm.nih.gov/gene/172789", "172789")</f>
        <v>172789</v>
      </c>
      <c r="C1646" s="9"/>
      <c r="D1646" t="str">
        <f>"irx-1"</f>
        <v>irx-1</v>
      </c>
      <c r="E1646" t="s">
        <v>1361</v>
      </c>
      <c r="F1646" t="s">
        <v>11</v>
      </c>
      <c r="G1646" t="s">
        <v>1362</v>
      </c>
      <c r="H1646" s="12">
        <v>1.5626329162683501</v>
      </c>
      <c r="I1646" s="20">
        <v>2.2580844419335402</v>
      </c>
      <c r="J1646" s="28">
        <v>2.39403954124114E-2</v>
      </c>
      <c r="K1646" s="29">
        <v>0.33647614136203002</v>
      </c>
    </row>
    <row r="1647" spans="1:11" x14ac:dyDescent="0.35">
      <c r="A1647" s="9" t="str">
        <f>HYPERLINK("http://www.ensembl.org/id/WBGene00189950", "WBGene00189950")</f>
        <v>WBGene00189950</v>
      </c>
      <c r="B1647" s="9" t="str">
        <f>HYPERLINK("http://www.ncbi.nlm.nih.gov/gene/13188680", "13188680")</f>
        <v>13188680</v>
      </c>
      <c r="C1647" s="9"/>
      <c r="D1647" t="str">
        <f>"C39B5.14"</f>
        <v>C39B5.14</v>
      </c>
      <c r="F1647" t="s">
        <v>11</v>
      </c>
      <c r="G1647" t="s">
        <v>29</v>
      </c>
      <c r="H1647" s="12">
        <v>-4.69803599656814</v>
      </c>
      <c r="I1647" s="20">
        <v>-2.2565231970272501</v>
      </c>
      <c r="J1647" s="28">
        <v>2.40378842217518E-2</v>
      </c>
      <c r="K1647" s="29">
        <v>0.337230936750332</v>
      </c>
    </row>
    <row r="1648" spans="1:11" x14ac:dyDescent="0.35">
      <c r="A1648" s="9" t="str">
        <f>HYPERLINK("http://www.ensembl.org/id/WBGene00019840", "WBGene00019840")</f>
        <v>WBGene00019840</v>
      </c>
      <c r="B1648" s="9" t="str">
        <f>HYPERLINK("http://www.ncbi.nlm.nih.gov/gene/187531", "187531")</f>
        <v>187531</v>
      </c>
      <c r="C1648" s="9"/>
      <c r="D1648" t="str">
        <f>"R02F11.2"</f>
        <v>R02F11.2</v>
      </c>
      <c r="F1648" t="s">
        <v>11</v>
      </c>
      <c r="G1648" t="s">
        <v>25</v>
      </c>
      <c r="H1648" s="12">
        <v>2.1234289705854099</v>
      </c>
      <c r="I1648" s="20">
        <v>2.2568693513263001</v>
      </c>
      <c r="J1648" s="28">
        <v>2.4016239659482901E-2</v>
      </c>
      <c r="K1648" s="29">
        <v>0.337230936750332</v>
      </c>
    </row>
    <row r="1649" spans="1:11" x14ac:dyDescent="0.35">
      <c r="A1649" s="9" t="str">
        <f>HYPERLINK("http://www.ensembl.org/id/WBGene00018830", "WBGene00018830")</f>
        <v>WBGene00018830</v>
      </c>
      <c r="B1649" s="9" t="str">
        <f>HYPERLINK("http://www.ncbi.nlm.nih.gov/gene/175785", "175785")</f>
        <v>175785</v>
      </c>
      <c r="C1649" s="9"/>
      <c r="D1649" t="str">
        <f>"ska-3"</f>
        <v>ska-3</v>
      </c>
      <c r="E1649" t="s">
        <v>1363</v>
      </c>
      <c r="F1649" t="s">
        <v>11</v>
      </c>
      <c r="H1649" s="12">
        <v>-1.6704114795132701</v>
      </c>
      <c r="I1649" s="20">
        <v>-2.25670451633985</v>
      </c>
      <c r="J1649" s="28">
        <v>2.4026544460563699E-2</v>
      </c>
      <c r="K1649" s="29">
        <v>0.337230936750332</v>
      </c>
    </row>
    <row r="1650" spans="1:11" x14ac:dyDescent="0.35">
      <c r="A1650" s="9" t="str">
        <f>HYPERLINK("http://www.ensembl.org/id/WBGene00022038", "WBGene00022038")</f>
        <v>WBGene00022038</v>
      </c>
      <c r="B1650" s="9" t="str">
        <f>HYPERLINK("http://www.ncbi.nlm.nih.gov/gene/190487", "190487")</f>
        <v>190487</v>
      </c>
      <c r="C1650" s="9"/>
      <c r="D1650" t="str">
        <f>"Y65B4BL.6"</f>
        <v>Y65B4BL.6</v>
      </c>
      <c r="F1650" t="s">
        <v>11</v>
      </c>
      <c r="H1650" s="12">
        <v>3.3964989190332999</v>
      </c>
      <c r="I1650" s="20">
        <v>2.2562246839110598</v>
      </c>
      <c r="J1650" s="28">
        <v>2.4056563426418098E-2</v>
      </c>
      <c r="K1650" s="29">
        <v>0.33728820056481701</v>
      </c>
    </row>
    <row r="1651" spans="1:11" x14ac:dyDescent="0.35">
      <c r="A1651" s="9" t="str">
        <f>HYPERLINK("http://www.ensembl.org/id/WBGene00000501", "WBGene00000501")</f>
        <v>WBGene00000501</v>
      </c>
      <c r="B1651" s="9" t="str">
        <f>HYPERLINK("http://www.ncbi.nlm.nih.gov/gene/178274", "178274")</f>
        <v>178274</v>
      </c>
      <c r="C1651" s="9" t="str">
        <f>HYPERLINK("http://www.ncbi.nlm.nih.gov/gene/60482", "60482")</f>
        <v>60482</v>
      </c>
      <c r="D1651" t="str">
        <f>"cho-1"</f>
        <v>cho-1</v>
      </c>
      <c r="E1651" t="s">
        <v>1364</v>
      </c>
      <c r="F1651" t="s">
        <v>11</v>
      </c>
      <c r="G1651" t="s">
        <v>1365</v>
      </c>
      <c r="H1651" s="12">
        <v>1.67299311397946</v>
      </c>
      <c r="I1651" s="20">
        <v>2.2556498436824399</v>
      </c>
      <c r="J1651" s="28">
        <v>2.4092569022513801E-2</v>
      </c>
      <c r="K1651" s="29">
        <v>0.33755348631813398</v>
      </c>
    </row>
    <row r="1652" spans="1:11" x14ac:dyDescent="0.35">
      <c r="A1652" s="9" t="str">
        <f>HYPERLINK("http://www.ensembl.org/id/WBGene00011495", "WBGene00011495")</f>
        <v>WBGene00011495</v>
      </c>
      <c r="B1652" s="9" t="str">
        <f>HYPERLINK("http://www.ncbi.nlm.nih.gov/gene/172811", "172811")</f>
        <v>172811</v>
      </c>
      <c r="C1652" s="9" t="str">
        <f>HYPERLINK("http://www.ncbi.nlm.nih.gov/gene/158046", "158046")</f>
        <v>158046</v>
      </c>
      <c r="D1652" t="str">
        <f>"T05F1.11"</f>
        <v>T05F1.11</v>
      </c>
      <c r="F1652" t="s">
        <v>11</v>
      </c>
      <c r="H1652" s="12">
        <v>-1.9282018252383999</v>
      </c>
      <c r="I1652" s="20">
        <v>-2.2554562992879799</v>
      </c>
      <c r="J1652" s="28">
        <v>2.4104702346789599E-2</v>
      </c>
      <c r="K1652" s="29">
        <v>0.33755348631813398</v>
      </c>
    </row>
    <row r="1653" spans="1:11" x14ac:dyDescent="0.35">
      <c r="A1653" s="9" t="str">
        <f>HYPERLINK("http://www.ensembl.org/id/WBGene00000098", "WBGene00000098")</f>
        <v>WBGene00000098</v>
      </c>
      <c r="B1653" s="9" t="str">
        <f>HYPERLINK("http://www.ncbi.nlm.nih.gov/gene/179202", "179202")</f>
        <v>179202</v>
      </c>
      <c r="C1653" s="9"/>
      <c r="D1653" t="str">
        <f>"air-1"</f>
        <v>air-1</v>
      </c>
      <c r="E1653" t="s">
        <v>1366</v>
      </c>
      <c r="F1653" t="s">
        <v>11</v>
      </c>
      <c r="G1653" t="s">
        <v>1367</v>
      </c>
      <c r="H1653" s="12">
        <v>-1.60409014210282</v>
      </c>
      <c r="I1653" s="20">
        <v>-2.25401126683145</v>
      </c>
      <c r="J1653" s="28">
        <v>2.4195459187314802E-2</v>
      </c>
      <c r="K1653" s="29">
        <v>0.33861918835984001</v>
      </c>
    </row>
    <row r="1654" spans="1:11" x14ac:dyDescent="0.35">
      <c r="A1654" s="9" t="str">
        <f>HYPERLINK("http://www.ensembl.org/id/WBGene00010755", "WBGene00010755")</f>
        <v>WBGene00010755</v>
      </c>
      <c r="B1654" s="9" t="str">
        <f>HYPERLINK("http://www.ncbi.nlm.nih.gov/gene/176441", "176441")</f>
        <v>176441</v>
      </c>
      <c r="C1654" s="9"/>
      <c r="D1654" t="str">
        <f>"vglu-2"</f>
        <v>vglu-2</v>
      </c>
      <c r="E1654" t="s">
        <v>1368</v>
      </c>
      <c r="F1654" t="s">
        <v>11</v>
      </c>
      <c r="G1654" t="s">
        <v>1369</v>
      </c>
      <c r="H1654" s="12">
        <v>1.69358888127861</v>
      </c>
      <c r="I1654" s="20">
        <v>2.2530496346136299</v>
      </c>
      <c r="J1654" s="28">
        <v>2.4256019581974399E-2</v>
      </c>
      <c r="K1654" s="29">
        <v>0.339261252095097</v>
      </c>
    </row>
    <row r="1655" spans="1:11" x14ac:dyDescent="0.35">
      <c r="A1655" s="9" t="str">
        <f>HYPERLINK("http://www.ensembl.org/id/WBGene00000372", "WBGene00000372")</f>
        <v>WBGene00000372</v>
      </c>
      <c r="B1655" s="9" t="str">
        <f>HYPERLINK("http://www.ncbi.nlm.nih.gov/gene/188362", "188362")</f>
        <v>188362</v>
      </c>
      <c r="C1655" s="9" t="str">
        <f>HYPERLINK("http://www.ncbi.nlm.nih.gov/gene/100861540", "100861540")</f>
        <v>100861540</v>
      </c>
      <c r="D1655" t="str">
        <f>"cyp-13A7"</f>
        <v>cyp-13A7</v>
      </c>
      <c r="E1655" t="s">
        <v>1370</v>
      </c>
      <c r="F1655" t="s">
        <v>11</v>
      </c>
      <c r="G1655" t="s">
        <v>185</v>
      </c>
      <c r="H1655" s="12">
        <v>-6.4045001315235801</v>
      </c>
      <c r="I1655" s="20">
        <v>-2.2509006121153101</v>
      </c>
      <c r="J1655" s="28">
        <v>2.4391832972969499E-2</v>
      </c>
      <c r="K1655" s="29">
        <v>0.34095444202869502</v>
      </c>
    </row>
    <row r="1656" spans="1:11" x14ac:dyDescent="0.35">
      <c r="A1656" s="9" t="str">
        <f>HYPERLINK("http://www.ensembl.org/id/WBGene00022713", "WBGene00022713")</f>
        <v>WBGene00022713</v>
      </c>
      <c r="B1656" s="9" t="str">
        <f>HYPERLINK("http://www.ncbi.nlm.nih.gov/gene/191298", "191298")</f>
        <v>191298</v>
      </c>
      <c r="C1656" s="9"/>
      <c r="D1656" t="str">
        <f>"ZK355.3"</f>
        <v>ZK355.3</v>
      </c>
      <c r="F1656" t="s">
        <v>11</v>
      </c>
      <c r="H1656" s="12">
        <v>-9.2908371442140805</v>
      </c>
      <c r="I1656" s="20">
        <v>-2.2496224013428501</v>
      </c>
      <c r="J1656" s="28">
        <v>2.4472925194519199E-2</v>
      </c>
      <c r="K1656" s="29">
        <v>0.34188114240904499</v>
      </c>
    </row>
    <row r="1657" spans="1:11" x14ac:dyDescent="0.35">
      <c r="A1657" s="9" t="str">
        <f>HYPERLINK("http://www.ensembl.org/id/WBGene00011908", "WBGene00011908")</f>
        <v>WBGene00011908</v>
      </c>
      <c r="B1657" s="9" t="str">
        <f>HYPERLINK("http://www.ncbi.nlm.nih.gov/gene/172950", "172950")</f>
        <v>172950</v>
      </c>
      <c r="C1657" s="9"/>
      <c r="D1657" t="str">
        <f>"pash-1"</f>
        <v>pash-1</v>
      </c>
      <c r="E1657" t="s">
        <v>1371</v>
      </c>
      <c r="F1657" t="s">
        <v>11</v>
      </c>
      <c r="G1657" t="s">
        <v>1372</v>
      </c>
      <c r="H1657" s="12">
        <v>-1.6621568618458999</v>
      </c>
      <c r="I1657" s="20">
        <v>-2.2489712960353501</v>
      </c>
      <c r="J1657" s="28">
        <v>2.4514322341050599E-2</v>
      </c>
      <c r="K1657" s="29">
        <v>0.34225252689565899</v>
      </c>
    </row>
    <row r="1658" spans="1:11" x14ac:dyDescent="0.35">
      <c r="A1658" s="9" t="str">
        <f>HYPERLINK("http://www.ensembl.org/id/WBGene00016592", "WBGene00016592")</f>
        <v>WBGene00016592</v>
      </c>
      <c r="B1658" s="9" t="str">
        <f>HYPERLINK("http://www.ncbi.nlm.nih.gov/gene/178178", "178178")</f>
        <v>178178</v>
      </c>
      <c r="C1658" s="9" t="str">
        <f>HYPERLINK("http://www.ncbi.nlm.nih.gov/gene/11160", "11160")</f>
        <v>11160</v>
      </c>
      <c r="D1658" t="str">
        <f>"erl-1"</f>
        <v>erl-1</v>
      </c>
      <c r="E1658" t="s">
        <v>1373</v>
      </c>
      <c r="F1658" t="s">
        <v>11</v>
      </c>
      <c r="G1658" t="s">
        <v>1374</v>
      </c>
      <c r="H1658" s="12">
        <v>-1.72437513943446</v>
      </c>
      <c r="I1658" s="20">
        <v>-2.2484324393112498</v>
      </c>
      <c r="J1658" s="28">
        <v>2.4548628619039701E-2</v>
      </c>
      <c r="K1658" s="29">
        <v>0.34252452468087702</v>
      </c>
    </row>
    <row r="1659" spans="1:11" x14ac:dyDescent="0.35">
      <c r="A1659" s="9" t="str">
        <f>HYPERLINK("http://www.ensembl.org/id/WBGene00008693", "WBGene00008693")</f>
        <v>WBGene00008693</v>
      </c>
      <c r="B1659" s="9" t="str">
        <f>HYPERLINK("http://www.ncbi.nlm.nih.gov/gene/184342", "184342")</f>
        <v>184342</v>
      </c>
      <c r="C1659" s="9" t="str">
        <f>HYPERLINK("http://www.ncbi.nlm.nih.gov/gene/60526", "60526")</f>
        <v>60526</v>
      </c>
      <c r="D1659" t="str">
        <f>"F11C1.4"</f>
        <v>F11C1.4</v>
      </c>
      <c r="F1659" t="s">
        <v>11</v>
      </c>
      <c r="G1659" t="s">
        <v>1375</v>
      </c>
      <c r="H1659" s="12">
        <v>2.7336788475751099</v>
      </c>
      <c r="I1659" s="20">
        <v>2.24805584687642</v>
      </c>
      <c r="J1659" s="28">
        <v>2.4572629039173899E-2</v>
      </c>
      <c r="K1659" s="29">
        <v>0.34265248435675999</v>
      </c>
    </row>
    <row r="1660" spans="1:11" x14ac:dyDescent="0.35">
      <c r="A1660" s="9" t="str">
        <f>HYPERLINK("http://www.ensembl.org/id/WBGene00013353", "WBGene00013353")</f>
        <v>WBGene00013353</v>
      </c>
      <c r="B1660" s="9" t="str">
        <f>HYPERLINK("http://www.ncbi.nlm.nih.gov/gene/190398", "190398")</f>
        <v>190398</v>
      </c>
      <c r="C1660" s="9"/>
      <c r="D1660" t="str">
        <f>"Y59A8B.21"</f>
        <v>Y59A8B.21</v>
      </c>
      <c r="F1660" t="s">
        <v>11</v>
      </c>
      <c r="G1660" t="s">
        <v>230</v>
      </c>
      <c r="H1660" s="12">
        <v>-1.77816296296689</v>
      </c>
      <c r="I1660" s="20">
        <v>-2.2472793239280802</v>
      </c>
      <c r="J1660" s="28">
        <v>2.46221814125204E-2</v>
      </c>
      <c r="K1660" s="29">
        <v>0.34313638342442399</v>
      </c>
    </row>
    <row r="1661" spans="1:11" x14ac:dyDescent="0.35">
      <c r="A1661" s="9" t="str">
        <f>HYPERLINK("http://www.ensembl.org/id/WBGene00004130", "WBGene00004130")</f>
        <v>WBGene00004130</v>
      </c>
      <c r="B1661" s="9" t="str">
        <f>HYPERLINK("http://www.ncbi.nlm.nih.gov/gene/178740", "178740")</f>
        <v>178740</v>
      </c>
      <c r="C1661" s="9"/>
      <c r="D1661" t="str">
        <f>"ketn-1"</f>
        <v>ketn-1</v>
      </c>
      <c r="E1661" t="s">
        <v>1376</v>
      </c>
      <c r="F1661" t="s">
        <v>11</v>
      </c>
      <c r="G1661" t="s">
        <v>1377</v>
      </c>
      <c r="H1661" s="12">
        <v>1.6212855925878999</v>
      </c>
      <c r="I1661" s="20">
        <v>2.2445373564625202</v>
      </c>
      <c r="J1661" s="28">
        <v>2.4797848169288102E-2</v>
      </c>
      <c r="K1661" s="29">
        <v>0.34516812036118699</v>
      </c>
    </row>
    <row r="1662" spans="1:11" x14ac:dyDescent="0.35">
      <c r="A1662" s="9" t="str">
        <f>HYPERLINK("http://www.ensembl.org/id/WBGene00022720", "WBGene00022720")</f>
        <v>WBGene00022720</v>
      </c>
      <c r="B1662" s="9" t="str">
        <f>HYPERLINK("http://www.ncbi.nlm.nih.gov/gene/191302", "191302")</f>
        <v>191302</v>
      </c>
      <c r="C1662" s="9"/>
      <c r="D1662" t="str">
        <f>"ZK370.6"</f>
        <v>ZK370.6</v>
      </c>
      <c r="F1662" t="s">
        <v>11</v>
      </c>
      <c r="H1662" s="12">
        <v>1.95419350766214</v>
      </c>
      <c r="I1662" s="20">
        <v>2.24465554993002</v>
      </c>
      <c r="J1662" s="28">
        <v>2.4790253664984298E-2</v>
      </c>
      <c r="K1662" s="29">
        <v>0.34516812036118699</v>
      </c>
    </row>
    <row r="1663" spans="1:11" x14ac:dyDescent="0.35">
      <c r="A1663" s="9" t="str">
        <f>HYPERLINK("http://www.ensembl.org/id/WBGene00017907", "WBGene00017907")</f>
        <v>WBGene00017907</v>
      </c>
      <c r="B1663" s="9" t="str">
        <f>HYPERLINK("http://www.ncbi.nlm.nih.gov/gene/185078", "185078")</f>
        <v>185078</v>
      </c>
      <c r="C1663" s="9"/>
      <c r="D1663" t="str">
        <f>"F28F9.3"</f>
        <v>F28F9.3</v>
      </c>
      <c r="F1663" t="s">
        <v>11</v>
      </c>
      <c r="H1663" s="12">
        <v>2.0944567116852402</v>
      </c>
      <c r="I1663" s="20">
        <v>2.2439163946351401</v>
      </c>
      <c r="J1663" s="28">
        <v>2.4837781094951002E-2</v>
      </c>
      <c r="K1663" s="29">
        <v>0.345458066111894</v>
      </c>
    </row>
    <row r="1664" spans="1:11" x14ac:dyDescent="0.35">
      <c r="A1664" s="9" t="str">
        <f>HYPERLINK("http://www.ensembl.org/id/WBGene00003633", "WBGene00003633")</f>
        <v>WBGene00003633</v>
      </c>
      <c r="B1664" s="9" t="str">
        <f>HYPERLINK("http://www.ncbi.nlm.nih.gov/gene/178121", "178121")</f>
        <v>178121</v>
      </c>
      <c r="C1664" s="9"/>
      <c r="D1664" t="str">
        <f>"nhr-43"</f>
        <v>nhr-43</v>
      </c>
      <c r="E1664" t="s">
        <v>637</v>
      </c>
      <c r="F1664" t="s">
        <v>11</v>
      </c>
      <c r="G1664" t="s">
        <v>1378</v>
      </c>
      <c r="H1664" s="12">
        <v>1.8537030863039801</v>
      </c>
      <c r="I1664" s="20">
        <v>2.2437486078637399</v>
      </c>
      <c r="J1664" s="28">
        <v>2.48485807096844E-2</v>
      </c>
      <c r="K1664" s="29">
        <v>0.345458066111894</v>
      </c>
    </row>
    <row r="1665" spans="1:11" x14ac:dyDescent="0.35">
      <c r="A1665" s="9" t="str">
        <f>HYPERLINK("http://www.ensembl.org/id/WBGene00010608", "WBGene00010608")</f>
        <v>WBGene00010608</v>
      </c>
      <c r="B1665" s="9" t="str">
        <f>HYPERLINK("http://www.ncbi.nlm.nih.gov/gene/187080", "187080")</f>
        <v>187080</v>
      </c>
      <c r="C1665" s="9"/>
      <c r="D1665" t="str">
        <f>"K07A1.1"</f>
        <v>K07A1.1</v>
      </c>
      <c r="F1665" t="s">
        <v>11</v>
      </c>
      <c r="G1665" t="s">
        <v>25</v>
      </c>
      <c r="H1665" s="12">
        <v>-1.6934392029755001</v>
      </c>
      <c r="I1665" s="20">
        <v>-2.24320446925773</v>
      </c>
      <c r="J1665" s="28">
        <v>2.4883632237861698E-2</v>
      </c>
      <c r="K1665" s="29">
        <v>0.34552957120674999</v>
      </c>
    </row>
    <row r="1666" spans="1:11" x14ac:dyDescent="0.35">
      <c r="A1666" s="9" t="str">
        <f>HYPERLINK("http://www.ensembl.org/id/WBGene00004002", "WBGene00004002")</f>
        <v>WBGene00004002</v>
      </c>
      <c r="B1666" s="9" t="str">
        <f>HYPERLINK("http://www.ncbi.nlm.nih.gov/gene/181277", "181277")</f>
        <v>181277</v>
      </c>
      <c r="C1666" s="9"/>
      <c r="D1666" t="str">
        <f>"pgp-8"</f>
        <v>pgp-8</v>
      </c>
      <c r="E1666" t="s">
        <v>1379</v>
      </c>
      <c r="F1666" t="s">
        <v>11</v>
      </c>
      <c r="G1666" t="s">
        <v>1380</v>
      </c>
      <c r="H1666" s="12">
        <v>4.6726355519926202</v>
      </c>
      <c r="I1666" s="20">
        <v>2.2433030593585901</v>
      </c>
      <c r="J1666" s="28">
        <v>2.4877278229936801E-2</v>
      </c>
      <c r="K1666" s="29">
        <v>0.34552957120674999</v>
      </c>
    </row>
    <row r="1667" spans="1:11" x14ac:dyDescent="0.35">
      <c r="A1667" s="9" t="str">
        <f>HYPERLINK("http://www.ensembl.org/id/WBGene00000155", "WBGene00000155")</f>
        <v>WBGene00000155</v>
      </c>
      <c r="B1667" s="9" t="str">
        <f>HYPERLINK("http://www.ncbi.nlm.nih.gov/gene/172118", "172118")</f>
        <v>172118</v>
      </c>
      <c r="C1667" s="9" t="str">
        <f>HYPERLINK("http://www.ncbi.nlm.nih.gov/gene/7511", "7511")</f>
        <v>7511</v>
      </c>
      <c r="D1667" t="str">
        <f>"app-1"</f>
        <v>app-1</v>
      </c>
      <c r="E1667" t="s">
        <v>1381</v>
      </c>
      <c r="F1667" t="s">
        <v>11</v>
      </c>
      <c r="G1667" t="s">
        <v>1382</v>
      </c>
      <c r="H1667" s="12">
        <v>-1.5231594074550601</v>
      </c>
      <c r="I1667" s="20">
        <v>-2.2423093785202299</v>
      </c>
      <c r="J1667" s="28">
        <v>2.4941384040756898E-2</v>
      </c>
      <c r="K1667" s="29">
        <v>0.34612349528272002</v>
      </c>
    </row>
    <row r="1668" spans="1:11" x14ac:dyDescent="0.35">
      <c r="A1668" s="9" t="str">
        <f>HYPERLINK("http://www.ensembl.org/id/WBGene00001491", "WBGene00001491")</f>
        <v>WBGene00001491</v>
      </c>
      <c r="B1668" s="9" t="str">
        <f>HYPERLINK("http://www.ncbi.nlm.nih.gov/gene/172189", "172189")</f>
        <v>172189</v>
      </c>
      <c r="C1668" s="9"/>
      <c r="D1668" t="str">
        <f>"frm-4"</f>
        <v>frm-4</v>
      </c>
      <c r="E1668" t="s">
        <v>1383</v>
      </c>
      <c r="F1668" t="s">
        <v>11</v>
      </c>
      <c r="G1668" t="s">
        <v>1384</v>
      </c>
      <c r="H1668" s="12">
        <v>-1.4971764287392999</v>
      </c>
      <c r="I1668" s="20">
        <v>-2.2414602583519598</v>
      </c>
      <c r="J1668" s="28">
        <v>2.4996277034177901E-2</v>
      </c>
      <c r="K1668" s="29">
        <v>0.34667705711387398</v>
      </c>
    </row>
    <row r="1669" spans="1:11" x14ac:dyDescent="0.35">
      <c r="A1669" s="9" t="str">
        <f>HYPERLINK("http://www.ensembl.org/id/WBGene00015519", "WBGene00015519")</f>
        <v>WBGene00015519</v>
      </c>
      <c r="B1669" s="9" t="str">
        <f>HYPERLINK("http://www.ncbi.nlm.nih.gov/gene/182313", "182313")</f>
        <v>182313</v>
      </c>
      <c r="C1669" s="9" t="str">
        <f>HYPERLINK("http://www.ncbi.nlm.nih.gov/gene/90527", "90527")</f>
        <v>90527</v>
      </c>
      <c r="D1669" t="str">
        <f>"doxa-1"</f>
        <v>doxa-1</v>
      </c>
      <c r="E1669" t="s">
        <v>1385</v>
      </c>
      <c r="F1669" t="s">
        <v>11</v>
      </c>
      <c r="G1669" t="s">
        <v>1386</v>
      </c>
      <c r="H1669" s="12">
        <v>2.04923711130043</v>
      </c>
      <c r="I1669" s="20">
        <v>2.24041561899825</v>
      </c>
      <c r="J1669" s="28">
        <v>2.5063953222628499E-2</v>
      </c>
      <c r="K1669" s="29">
        <v>0.34740714046913901</v>
      </c>
    </row>
    <row r="1670" spans="1:11" x14ac:dyDescent="0.35">
      <c r="A1670" s="9" t="str">
        <f>HYPERLINK("http://www.ensembl.org/id/WBGene00020833", "WBGene00020833")</f>
        <v>WBGene00020833</v>
      </c>
      <c r="B1670" s="9" t="str">
        <f>HYPERLINK("http://www.ncbi.nlm.nih.gov/gene/177096", "177096")</f>
        <v>177096</v>
      </c>
      <c r="C1670" s="9"/>
      <c r="D1670" t="str">
        <f>"T26C12.3"</f>
        <v>T26C12.3</v>
      </c>
      <c r="F1670" t="s">
        <v>11</v>
      </c>
      <c r="G1670" t="s">
        <v>1387</v>
      </c>
      <c r="H1670" s="12">
        <v>1.7978964415951899</v>
      </c>
      <c r="I1670" s="20">
        <v>2.2388652179905901</v>
      </c>
      <c r="J1670" s="28">
        <v>2.5164687218528301E-2</v>
      </c>
      <c r="K1670" s="29">
        <v>0.348594282296951</v>
      </c>
    </row>
    <row r="1671" spans="1:11" x14ac:dyDescent="0.35">
      <c r="A1671" s="9" t="str">
        <f>HYPERLINK("http://www.ensembl.org/id/WBGene00021114", "WBGene00021114")</f>
        <v>WBGene00021114</v>
      </c>
      <c r="B1671" s="9" t="str">
        <f>HYPERLINK("http://www.ncbi.nlm.nih.gov/gene/172083", "172083")</f>
        <v>172083</v>
      </c>
      <c r="C1671" s="9"/>
      <c r="D1671" t="str">
        <f>"W09C3.7"</f>
        <v>W09C3.7</v>
      </c>
      <c r="F1671" t="s">
        <v>11</v>
      </c>
      <c r="H1671" s="12">
        <v>-1.8962807513573801</v>
      </c>
      <c r="I1671" s="20">
        <v>-2.2386194653809102</v>
      </c>
      <c r="J1671" s="28">
        <v>2.5180686605375199E-2</v>
      </c>
      <c r="K1671" s="29">
        <v>0.34860691713828501</v>
      </c>
    </row>
    <row r="1672" spans="1:11" x14ac:dyDescent="0.35">
      <c r="A1672" s="9" t="str">
        <f>HYPERLINK("http://www.ensembl.org/id/WBGene00019127", "WBGene00019127")</f>
        <v>WBGene00019127</v>
      </c>
      <c r="B1672" s="9" t="str">
        <f>HYPERLINK("http://www.ncbi.nlm.nih.gov/gene/174001", "174001")</f>
        <v>174001</v>
      </c>
      <c r="C1672" s="9" t="str">
        <f>HYPERLINK("http://www.ncbi.nlm.nih.gov/gene/7357", "7357")</f>
        <v>7357</v>
      </c>
      <c r="D1672" t="str">
        <f>"cgt-3"</f>
        <v>cgt-3</v>
      </c>
      <c r="E1672" t="s">
        <v>1388</v>
      </c>
      <c r="F1672" t="s">
        <v>11</v>
      </c>
      <c r="G1672" t="s">
        <v>1389</v>
      </c>
      <c r="H1672" s="12">
        <v>-1.5346071944255899</v>
      </c>
      <c r="I1672" s="20">
        <v>-2.23723495511712</v>
      </c>
      <c r="J1672" s="28">
        <v>2.5270987884377399E-2</v>
      </c>
      <c r="K1672" s="29">
        <v>0.34964757248887701</v>
      </c>
    </row>
    <row r="1673" spans="1:11" x14ac:dyDescent="0.35">
      <c r="A1673" s="9" t="str">
        <f>HYPERLINK("http://www.ensembl.org/id/WBGene00016568", "WBGene00016568")</f>
        <v>WBGene00016568</v>
      </c>
      <c r="B1673" s="9" t="str">
        <f>HYPERLINK("http://www.ncbi.nlm.nih.gov/gene/180839", "180839")</f>
        <v>180839</v>
      </c>
      <c r="C1673" s="9"/>
      <c r="D1673" t="str">
        <f>"C41G11.1"</f>
        <v>C41G11.1</v>
      </c>
      <c r="F1673" t="s">
        <v>11</v>
      </c>
      <c r="G1673" t="s">
        <v>423</v>
      </c>
      <c r="H1673" s="12">
        <v>-1.5824734067983799</v>
      </c>
      <c r="I1673" s="20">
        <v>-2.2364146523149802</v>
      </c>
      <c r="J1673" s="28">
        <v>2.5324622233321499E-2</v>
      </c>
      <c r="K1673" s="29">
        <v>0.349970527107133</v>
      </c>
    </row>
    <row r="1674" spans="1:11" x14ac:dyDescent="0.35">
      <c r="A1674" s="9" t="str">
        <f>HYPERLINK("http://www.ensembl.org/id/WBGene00008741", "WBGene00008741")</f>
        <v>WBGene00008741</v>
      </c>
      <c r="B1674" s="9" t="str">
        <f>HYPERLINK("http://www.ncbi.nlm.nih.gov/gene/174802", "174802")</f>
        <v>174802</v>
      </c>
      <c r="C1674" s="9" t="str">
        <f>HYPERLINK("http://www.ncbi.nlm.nih.gov/gene/5476", "5476")</f>
        <v>5476</v>
      </c>
      <c r="D1674" t="str">
        <f>"F13D12.6"</f>
        <v>F13D12.6</v>
      </c>
      <c r="E1674" t="s">
        <v>1390</v>
      </c>
      <c r="F1674" t="s">
        <v>11</v>
      </c>
      <c r="G1674" t="s">
        <v>1391</v>
      </c>
      <c r="H1674" s="12">
        <v>-1.5850175800858599</v>
      </c>
      <c r="I1674" s="20">
        <v>-2.2365177725589498</v>
      </c>
      <c r="J1674" s="28">
        <v>2.53178744516207E-2</v>
      </c>
      <c r="K1674" s="29">
        <v>0.349970527107133</v>
      </c>
    </row>
    <row r="1675" spans="1:11" x14ac:dyDescent="0.35">
      <c r="A1675" s="9" t="str">
        <f>HYPERLINK("http://www.ensembl.org/id/WBGene00009543", "WBGene00009543")</f>
        <v>WBGene00009543</v>
      </c>
      <c r="B1675" s="9" t="str">
        <f>HYPERLINK("http://www.ncbi.nlm.nih.gov/gene/259587", "259587")</f>
        <v>259587</v>
      </c>
      <c r="C1675" s="9"/>
      <c r="D1675" t="str">
        <f>"F38E11.6"</f>
        <v>F38E11.6</v>
      </c>
      <c r="F1675" t="s">
        <v>11</v>
      </c>
      <c r="G1675" t="s">
        <v>1392</v>
      </c>
      <c r="H1675" s="12">
        <v>1.8325483146620101</v>
      </c>
      <c r="I1675" s="20">
        <v>2.2346404665866699</v>
      </c>
      <c r="J1675" s="28">
        <v>2.5440961925100699E-2</v>
      </c>
      <c r="K1675" s="29">
        <v>0.35136812088546099</v>
      </c>
    </row>
    <row r="1676" spans="1:11" x14ac:dyDescent="0.35">
      <c r="A1676" s="9" t="str">
        <f>HYPERLINK("http://www.ensembl.org/id/WBGene00012341", "WBGene00012341")</f>
        <v>WBGene00012341</v>
      </c>
      <c r="B1676" s="9" t="str">
        <f>HYPERLINK("http://www.ncbi.nlm.nih.gov/gene/177822", "177822")</f>
        <v>177822</v>
      </c>
      <c r="C1676" s="9" t="str">
        <f>HYPERLINK("http://www.ncbi.nlm.nih.gov/gene/79572", "79572")</f>
        <v>79572</v>
      </c>
      <c r="D1676" t="str">
        <f>"catp-6"</f>
        <v>catp-6</v>
      </c>
      <c r="E1676" t="s">
        <v>1393</v>
      </c>
      <c r="F1676" t="s">
        <v>11</v>
      </c>
      <c r="G1676" t="s">
        <v>1394</v>
      </c>
      <c r="H1676" s="12">
        <v>-1.5301232881257101</v>
      </c>
      <c r="I1676" s="20">
        <v>-2.23342212958458</v>
      </c>
      <c r="J1676" s="28">
        <v>2.5521120196167799E-2</v>
      </c>
      <c r="K1676" s="29">
        <v>0.35163446824845102</v>
      </c>
    </row>
    <row r="1677" spans="1:11" x14ac:dyDescent="0.35">
      <c r="A1677" s="9" t="str">
        <f>HYPERLINK("http://www.ensembl.org/id/WBGene00002068", "WBGene00002068")</f>
        <v>WBGene00002068</v>
      </c>
      <c r="B1677" s="9" t="str">
        <f>HYPERLINK("http://www.ncbi.nlm.nih.gov/gene/173872", "173872")</f>
        <v>173872</v>
      </c>
      <c r="C1677" s="9"/>
      <c r="D1677" t="str">
        <f>"ify-1"</f>
        <v>ify-1</v>
      </c>
      <c r="E1677" t="s">
        <v>1397</v>
      </c>
      <c r="F1677" t="s">
        <v>11</v>
      </c>
      <c r="H1677" s="12">
        <v>-1.6149232978915999</v>
      </c>
      <c r="I1677" s="20">
        <v>-2.2334951042262201</v>
      </c>
      <c r="J1677" s="28">
        <v>2.5516312817511998E-2</v>
      </c>
      <c r="K1677" s="29">
        <v>0.35163446824845102</v>
      </c>
    </row>
    <row r="1678" spans="1:11" x14ac:dyDescent="0.35">
      <c r="A1678" s="9" t="str">
        <f>HYPERLINK("http://www.ensembl.org/id/WBGene00017328", "WBGene00017328")</f>
        <v>WBGene00017328</v>
      </c>
      <c r="B1678" s="9" t="str">
        <f>HYPERLINK("http://www.ncbi.nlm.nih.gov/gene/175204", "175204")</f>
        <v>175204</v>
      </c>
      <c r="C1678" s="9"/>
      <c r="D1678" t="str">
        <f>"nemp-1"</f>
        <v>nemp-1</v>
      </c>
      <c r="E1678" t="s">
        <v>1395</v>
      </c>
      <c r="F1678" t="s">
        <v>11</v>
      </c>
      <c r="G1678" t="s">
        <v>1396</v>
      </c>
      <c r="H1678" s="12">
        <v>-1.5577171492071</v>
      </c>
      <c r="I1678" s="20">
        <v>-2.2336626074538399</v>
      </c>
      <c r="J1678" s="28">
        <v>2.55052811056714E-2</v>
      </c>
      <c r="K1678" s="29">
        <v>0.35163446824845102</v>
      </c>
    </row>
    <row r="1679" spans="1:11" x14ac:dyDescent="0.35">
      <c r="A1679" s="9" t="str">
        <f>HYPERLINK("http://www.ensembl.org/id/WBGene00011464", "WBGene00011464")</f>
        <v>WBGene00011464</v>
      </c>
      <c r="B1679" s="9" t="str">
        <f>HYPERLINK("http://www.ncbi.nlm.nih.gov/gene/174718", "174718")</f>
        <v>174718</v>
      </c>
      <c r="C1679" s="9"/>
      <c r="D1679" t="str">
        <f>"T05B9.1"</f>
        <v>T05B9.1</v>
      </c>
      <c r="F1679" t="s">
        <v>11</v>
      </c>
      <c r="H1679" s="12">
        <v>-1.5637636949623599</v>
      </c>
      <c r="I1679" s="20">
        <v>-2.23377284234402</v>
      </c>
      <c r="J1679" s="28">
        <v>2.5498023320811199E-2</v>
      </c>
      <c r="K1679" s="29">
        <v>0.35163446824845102</v>
      </c>
    </row>
    <row r="1680" spans="1:11" x14ac:dyDescent="0.35">
      <c r="A1680" s="9" t="str">
        <f>HYPERLINK("http://www.ensembl.org/id/WBGene00010545", "WBGene00010545")</f>
        <v>WBGene00010545</v>
      </c>
      <c r="B1680" s="9" t="str">
        <f>HYPERLINK("http://www.ncbi.nlm.nih.gov/gene/186960", "186960")</f>
        <v>186960</v>
      </c>
      <c r="C1680" s="9"/>
      <c r="D1680" t="str">
        <f>"cbp-2"</f>
        <v>cbp-2</v>
      </c>
      <c r="E1680" t="s">
        <v>1398</v>
      </c>
      <c r="F1680" t="s">
        <v>11</v>
      </c>
      <c r="G1680" t="s">
        <v>1399</v>
      </c>
      <c r="H1680" s="12">
        <v>-1.7121732596299899</v>
      </c>
      <c r="I1680" s="20">
        <v>-2.2315315919721801</v>
      </c>
      <c r="J1680" s="28">
        <v>2.5645937274515099E-2</v>
      </c>
      <c r="K1680" s="29">
        <v>0.353143639252053</v>
      </c>
    </row>
    <row r="1681" spans="1:11" x14ac:dyDescent="0.35">
      <c r="A1681" s="9" t="str">
        <f>HYPERLINK("http://www.ensembl.org/id/WBGene00011287", "WBGene00011287")</f>
        <v>WBGene00011287</v>
      </c>
      <c r="B1681" s="9" t="str">
        <f>HYPERLINK("http://www.ncbi.nlm.nih.gov/gene/179767", "179767")</f>
        <v>179767</v>
      </c>
      <c r="C1681" s="9"/>
      <c r="D1681" t="str">
        <f>"glb-24"</f>
        <v>glb-24</v>
      </c>
      <c r="E1681" t="s">
        <v>633</v>
      </c>
      <c r="F1681" t="s">
        <v>11</v>
      </c>
      <c r="G1681" t="s">
        <v>867</v>
      </c>
      <c r="H1681" s="12">
        <v>1.7800809011659799</v>
      </c>
      <c r="I1681" s="20">
        <v>2.2305198956639201</v>
      </c>
      <c r="J1681" s="28">
        <v>2.5712948127850702E-2</v>
      </c>
      <c r="K1681" s="29">
        <v>0.35374738629389102</v>
      </c>
    </row>
    <row r="1682" spans="1:11" x14ac:dyDescent="0.35">
      <c r="A1682" s="9" t="str">
        <f>HYPERLINK("http://www.ensembl.org/id/WBGene00011554", "WBGene00011554")</f>
        <v>WBGene00011554</v>
      </c>
      <c r="B1682" s="9" t="str">
        <f>HYPERLINK("http://www.ncbi.nlm.nih.gov/gene/188207", "188207")</f>
        <v>188207</v>
      </c>
      <c r="C1682" s="9"/>
      <c r="D1682" t="str">
        <f>"T07A5.1"</f>
        <v>T07A5.1</v>
      </c>
      <c r="F1682" t="s">
        <v>11</v>
      </c>
      <c r="G1682" t="s">
        <v>25</v>
      </c>
      <c r="H1682" s="12">
        <v>2.8753103722641198</v>
      </c>
      <c r="I1682" s="20">
        <v>2.23040750158524</v>
      </c>
      <c r="J1682" s="28">
        <v>2.5720402015655602E-2</v>
      </c>
      <c r="K1682" s="29">
        <v>0.35374738629389102</v>
      </c>
    </row>
    <row r="1683" spans="1:11" x14ac:dyDescent="0.35">
      <c r="A1683" s="9" t="str">
        <f>HYPERLINK("http://www.ensembl.org/id/WBGene00019064", "WBGene00019064")</f>
        <v>WBGene00019064</v>
      </c>
      <c r="B1683" s="9" t="str">
        <f>HYPERLINK("http://www.ncbi.nlm.nih.gov/gene/179190", "179190")</f>
        <v>179190</v>
      </c>
      <c r="C1683" s="9" t="str">
        <f>HYPERLINK("http://www.ncbi.nlm.nih.gov/gene/57644", "57644")</f>
        <v>57644</v>
      </c>
      <c r="D1683" t="str">
        <f>"myo-5"</f>
        <v>myo-5</v>
      </c>
      <c r="E1683" t="s">
        <v>1400</v>
      </c>
      <c r="F1683" t="s">
        <v>11</v>
      </c>
      <c r="G1683" t="s">
        <v>1401</v>
      </c>
      <c r="H1683" s="12">
        <v>1.77564654736784</v>
      </c>
      <c r="I1683" s="20">
        <v>2.2292584466885099</v>
      </c>
      <c r="J1683" s="28">
        <v>2.57967137237094E-2</v>
      </c>
      <c r="K1683" s="29">
        <v>0.35458588179656703</v>
      </c>
    </row>
    <row r="1684" spans="1:11" x14ac:dyDescent="0.35">
      <c r="A1684" s="9" t="str">
        <f>HYPERLINK("http://www.ensembl.org/id/WBGene00022240", "WBGene00022240")</f>
        <v>WBGene00022240</v>
      </c>
      <c r="B1684" s="9" t="str">
        <f>HYPERLINK("http://www.ncbi.nlm.nih.gov/gene/177400", "177400")</f>
        <v>177400</v>
      </c>
      <c r="C1684" s="9" t="str">
        <f>HYPERLINK("http://www.ncbi.nlm.nih.gov/gene/3751", "3751")</f>
        <v>3751</v>
      </c>
      <c r="D1684" t="str">
        <f>"shl-1"</f>
        <v>shl-1</v>
      </c>
      <c r="E1684" t="s">
        <v>1402</v>
      </c>
      <c r="F1684" t="s">
        <v>11</v>
      </c>
      <c r="G1684" t="s">
        <v>1403</v>
      </c>
      <c r="H1684" s="12">
        <v>1.7924528007768501</v>
      </c>
      <c r="I1684" s="20">
        <v>2.2289632491562701</v>
      </c>
      <c r="J1684" s="28">
        <v>2.5816350139849401E-2</v>
      </c>
      <c r="K1684" s="29">
        <v>0.35464481945978599</v>
      </c>
    </row>
    <row r="1685" spans="1:11" x14ac:dyDescent="0.35">
      <c r="A1685" s="9" t="str">
        <f>HYPERLINK("http://www.ensembl.org/id/WBGene00011424", "WBGene00011424")</f>
        <v>WBGene00011424</v>
      </c>
      <c r="B1685" s="9" t="str">
        <f>HYPERLINK("http://www.ncbi.nlm.nih.gov/gene/188051", "188051")</f>
        <v>188051</v>
      </c>
      <c r="C1685" s="9"/>
      <c r="D1685" t="str">
        <f>"dhs-31"</f>
        <v>dhs-31</v>
      </c>
      <c r="E1685" t="s">
        <v>488</v>
      </c>
      <c r="F1685" t="s">
        <v>11</v>
      </c>
      <c r="G1685" t="s">
        <v>489</v>
      </c>
      <c r="H1685" s="12">
        <v>1.8403843938612801</v>
      </c>
      <c r="I1685" s="20">
        <v>2.22569742532994</v>
      </c>
      <c r="J1685" s="28">
        <v>2.6034455341414499E-2</v>
      </c>
      <c r="K1685" s="29">
        <v>0.35700422855710601</v>
      </c>
    </row>
    <row r="1686" spans="1:11" x14ac:dyDescent="0.35">
      <c r="A1686" s="9" t="str">
        <f>HYPERLINK("http://www.ensembl.org/id/WBGene00004208", "WBGene00004208")</f>
        <v>WBGene00004208</v>
      </c>
      <c r="B1686" s="9" t="str">
        <f>HYPERLINK("http://www.ncbi.nlm.nih.gov/gene/174274", "174274")</f>
        <v>174274</v>
      </c>
      <c r="C1686" s="9" t="str">
        <f>HYPERLINK("http://www.ncbi.nlm.nih.gov/gene/5727", "5727")</f>
        <v>5727</v>
      </c>
      <c r="D1686" t="str">
        <f>"ptc-1"</f>
        <v>ptc-1</v>
      </c>
      <c r="F1686" t="s">
        <v>11</v>
      </c>
      <c r="G1686" t="s">
        <v>1268</v>
      </c>
      <c r="H1686" s="12">
        <v>-1.4903704902933299</v>
      </c>
      <c r="I1686" s="20">
        <v>-2.2258277691177599</v>
      </c>
      <c r="J1686" s="28">
        <v>2.6025720021546201E-2</v>
      </c>
      <c r="K1686" s="29">
        <v>0.35700422855710601</v>
      </c>
    </row>
    <row r="1687" spans="1:11" x14ac:dyDescent="0.35">
      <c r="A1687" s="9" t="str">
        <f>HYPERLINK("http://www.ensembl.org/id/WBGene00018283", "WBGene00018283")</f>
        <v>WBGene00018283</v>
      </c>
      <c r="B1687" s="9" t="str">
        <f>HYPERLINK("http://www.ncbi.nlm.nih.gov/gene/181094", "181094")</f>
        <v>181094</v>
      </c>
      <c r="C1687" s="9" t="str">
        <f>HYPERLINK("http://www.ncbi.nlm.nih.gov/gene/375611", "375611")</f>
        <v>375611</v>
      </c>
      <c r="D1687" t="str">
        <f>"sulp-3"</f>
        <v>sulp-3</v>
      </c>
      <c r="E1687" t="s">
        <v>1404</v>
      </c>
      <c r="F1687" t="s">
        <v>11</v>
      </c>
      <c r="G1687" t="s">
        <v>649</v>
      </c>
      <c r="H1687" s="12">
        <v>3.4392108933990202</v>
      </c>
      <c r="I1687" s="20">
        <v>2.2259872483841399</v>
      </c>
      <c r="J1687" s="28">
        <v>2.60150355604148E-2</v>
      </c>
      <c r="K1687" s="29">
        <v>0.35700422855710601</v>
      </c>
    </row>
    <row r="1688" spans="1:11" x14ac:dyDescent="0.35">
      <c r="A1688" s="9" t="str">
        <f>HYPERLINK("http://www.ensembl.org/id/WBGene00015842", "WBGene00015842")</f>
        <v>WBGene00015842</v>
      </c>
      <c r="B1688" s="9" t="str">
        <f>HYPERLINK("http://www.ncbi.nlm.nih.gov/gene/182671", "182671")</f>
        <v>182671</v>
      </c>
      <c r="C1688" s="9"/>
      <c r="D1688" t="str">
        <f>"C16C8.4"</f>
        <v>C16C8.4</v>
      </c>
      <c r="F1688" t="s">
        <v>11</v>
      </c>
      <c r="G1688" t="s">
        <v>1405</v>
      </c>
      <c r="H1688" s="12">
        <v>-1.8966001110569299</v>
      </c>
      <c r="I1688" s="20">
        <v>-2.2249823871794301</v>
      </c>
      <c r="J1688" s="28">
        <v>2.6082420542998402E-2</v>
      </c>
      <c r="K1688" s="29">
        <v>0.35744982744158998</v>
      </c>
    </row>
    <row r="1689" spans="1:11" x14ac:dyDescent="0.35">
      <c r="A1689" s="9" t="str">
        <f>HYPERLINK("http://www.ensembl.org/id/WBGene00011408", "WBGene00011408")</f>
        <v>WBGene00011408</v>
      </c>
      <c r="B1689" s="9" t="str">
        <f>HYPERLINK("http://www.ncbi.nlm.nih.gov/gene/175614", "175614")</f>
        <v>175614</v>
      </c>
      <c r="C1689" s="9"/>
      <c r="D1689" t="str">
        <f>"nifk-1"</f>
        <v>nifk-1</v>
      </c>
      <c r="E1689" t="s">
        <v>1406</v>
      </c>
      <c r="F1689" t="s">
        <v>11</v>
      </c>
      <c r="G1689" t="s">
        <v>1407</v>
      </c>
      <c r="H1689" s="12">
        <v>-1.5749234310915301</v>
      </c>
      <c r="I1689" s="20">
        <v>-2.2246315490508501</v>
      </c>
      <c r="J1689" s="28">
        <v>2.61059829045618E-2</v>
      </c>
      <c r="K1689" s="29">
        <v>0.35756066448891799</v>
      </c>
    </row>
    <row r="1690" spans="1:11" x14ac:dyDescent="0.35">
      <c r="A1690" s="9" t="str">
        <f>HYPERLINK("http://www.ensembl.org/id/WBGene00007958", "WBGene00007958")</f>
        <v>WBGene00007958</v>
      </c>
      <c r="B1690" s="9" t="str">
        <f>HYPERLINK("http://www.ncbi.nlm.nih.gov/gene/183231", "183231")</f>
        <v>183231</v>
      </c>
      <c r="C1690" s="9"/>
      <c r="D1690" t="str">
        <f>"C35C5.9"</f>
        <v>C35C5.9</v>
      </c>
      <c r="F1690" t="s">
        <v>11</v>
      </c>
      <c r="H1690" s="12">
        <v>1.58589932719797</v>
      </c>
      <c r="I1690" s="20">
        <v>2.2237929445939502</v>
      </c>
      <c r="J1690" s="28">
        <v>2.6162378319116001E-2</v>
      </c>
      <c r="K1690" s="29">
        <v>0.35769699020206802</v>
      </c>
    </row>
    <row r="1691" spans="1:11" x14ac:dyDescent="0.35">
      <c r="A1691" s="9" t="str">
        <f>HYPERLINK("http://www.ensembl.org/id/WBGene00003607", "WBGene00003607")</f>
        <v>WBGene00003607</v>
      </c>
      <c r="B1691" s="9" t="str">
        <f>HYPERLINK("http://www.ncbi.nlm.nih.gov/gene/177551", "177551")</f>
        <v>177551</v>
      </c>
      <c r="C1691" s="9"/>
      <c r="D1691" t="str">
        <f>"nhr-8"</f>
        <v>nhr-8</v>
      </c>
      <c r="E1691" t="s">
        <v>1409</v>
      </c>
      <c r="F1691" t="s">
        <v>11</v>
      </c>
      <c r="G1691" t="s">
        <v>852</v>
      </c>
      <c r="H1691" s="12">
        <v>-1.6486716331507201</v>
      </c>
      <c r="I1691" s="20">
        <v>-2.2239455731490199</v>
      </c>
      <c r="J1691" s="28">
        <v>2.6152106351072801E-2</v>
      </c>
      <c r="K1691" s="29">
        <v>0.35769699020206802</v>
      </c>
    </row>
    <row r="1692" spans="1:11" x14ac:dyDescent="0.35">
      <c r="A1692" s="9" t="str">
        <f>HYPERLINK("http://www.ensembl.org/id/WBGene00009245", "WBGene00009245")</f>
        <v>WBGene00009245</v>
      </c>
      <c r="B1692" s="9" t="str">
        <f>HYPERLINK("http://www.ncbi.nlm.nih.gov/gene/3565035", "3565035")</f>
        <v>3565035</v>
      </c>
      <c r="C1692" s="9"/>
      <c r="D1692" t="str">
        <f>"rict-1"</f>
        <v>rict-1</v>
      </c>
      <c r="F1692" t="s">
        <v>11</v>
      </c>
      <c r="G1692" t="s">
        <v>1408</v>
      </c>
      <c r="H1692" s="12">
        <v>-1.5348621825673601</v>
      </c>
      <c r="I1692" s="20">
        <v>-2.2240065116052001</v>
      </c>
      <c r="J1692" s="28">
        <v>2.6148006140345501E-2</v>
      </c>
      <c r="K1692" s="29">
        <v>0.35769699020206802</v>
      </c>
    </row>
    <row r="1693" spans="1:11" x14ac:dyDescent="0.35">
      <c r="A1693" s="9" t="str">
        <f>HYPERLINK("http://www.ensembl.org/id/WBGene00001016", "WBGene00001016")</f>
        <v>WBGene00001016</v>
      </c>
      <c r="B1693" s="9" t="str">
        <f>HYPERLINK("http://www.ncbi.nlm.nih.gov/gene/174809", "174809")</f>
        <v>174809</v>
      </c>
      <c r="C1693" s="9" t="str">
        <f>HYPERLINK("http://www.ncbi.nlm.nih.gov/gene/1763", "1763")</f>
        <v>1763</v>
      </c>
      <c r="D1693" t="str">
        <f>"dna-2"</f>
        <v>dna-2</v>
      </c>
      <c r="E1693" t="s">
        <v>1410</v>
      </c>
      <c r="F1693" t="s">
        <v>11</v>
      </c>
      <c r="G1693" t="s">
        <v>1411</v>
      </c>
      <c r="H1693" s="12">
        <v>-1.66206972333791</v>
      </c>
      <c r="I1693" s="20">
        <v>-2.2234473362084799</v>
      </c>
      <c r="J1693" s="28">
        <v>2.6185650802748799E-2</v>
      </c>
      <c r="K1693" s="29">
        <v>0.35780345798244401</v>
      </c>
    </row>
    <row r="1694" spans="1:11" x14ac:dyDescent="0.35">
      <c r="A1694" s="9" t="str">
        <f>HYPERLINK("http://www.ensembl.org/id/WBGene00012968", "WBGene00012968")</f>
        <v>WBGene00012968</v>
      </c>
      <c r="B1694" s="9" t="str">
        <f>HYPERLINK("http://www.ncbi.nlm.nih.gov/gene/176533", "176533")</f>
        <v>176533</v>
      </c>
      <c r="C1694" s="9"/>
      <c r="D1694" t="str">
        <f>"Y48A6B.7"</f>
        <v>Y48A6B.7</v>
      </c>
      <c r="F1694" t="s">
        <v>11</v>
      </c>
      <c r="G1694" t="s">
        <v>1412</v>
      </c>
      <c r="H1694" s="12">
        <v>-1.6579050173691601</v>
      </c>
      <c r="I1694" s="20">
        <v>-2.22309401597854</v>
      </c>
      <c r="J1694" s="28">
        <v>2.6209461078242902E-2</v>
      </c>
      <c r="K1694" s="29">
        <v>0.35791714401529601</v>
      </c>
    </row>
    <row r="1695" spans="1:11" x14ac:dyDescent="0.35">
      <c r="A1695" s="9" t="str">
        <f>HYPERLINK("http://www.ensembl.org/id/WBGene00018304", "WBGene00018304")</f>
        <v>WBGene00018304</v>
      </c>
      <c r="B1695" s="9" t="str">
        <f>HYPERLINK("http://www.ncbi.nlm.nih.gov/gene/3565243", "3565243")</f>
        <v>3565243</v>
      </c>
      <c r="C1695" s="9" t="str">
        <f>HYPERLINK("http://www.ncbi.nlm.nih.gov/gene/375790", "375790")</f>
        <v>375790</v>
      </c>
      <c r="D1695" t="str">
        <f>"agr-1"</f>
        <v>agr-1</v>
      </c>
      <c r="E1695" t="s">
        <v>1413</v>
      </c>
      <c r="F1695" t="s">
        <v>11</v>
      </c>
      <c r="G1695" t="s">
        <v>1414</v>
      </c>
      <c r="H1695" s="12">
        <v>1.67188075736152</v>
      </c>
      <c r="I1695" s="20">
        <v>2.2221642302620599</v>
      </c>
      <c r="J1695" s="28">
        <v>2.6272208834908502E-2</v>
      </c>
      <c r="K1695" s="29">
        <v>0.35856211301795399</v>
      </c>
    </row>
    <row r="1696" spans="1:11" x14ac:dyDescent="0.35">
      <c r="A1696" s="9" t="str">
        <f>HYPERLINK("http://www.ensembl.org/id/WBGene00020194", "WBGene00020194")</f>
        <v>WBGene00020194</v>
      </c>
      <c r="B1696" s="9" t="str">
        <f>HYPERLINK("http://www.ncbi.nlm.nih.gov/gene/188029", "188029")</f>
        <v>188029</v>
      </c>
      <c r="C1696" s="9"/>
      <c r="D1696" t="str">
        <f>"T03G6.1"</f>
        <v>T03G6.1</v>
      </c>
      <c r="F1696" t="s">
        <v>11</v>
      </c>
      <c r="H1696" s="12">
        <v>1.9449342192152601</v>
      </c>
      <c r="I1696" s="20">
        <v>2.2216917820281799</v>
      </c>
      <c r="J1696" s="28">
        <v>2.6304142309975499E-2</v>
      </c>
      <c r="K1696" s="29">
        <v>0.35857434348925898</v>
      </c>
    </row>
    <row r="1697" spans="1:11" x14ac:dyDescent="0.35">
      <c r="A1697" s="9" t="str">
        <f>HYPERLINK("http://www.ensembl.org/id/WBGene00012981", "WBGene00012981")</f>
        <v>WBGene00012981</v>
      </c>
      <c r="B1697" s="9" t="str">
        <f>HYPERLINK("http://www.ncbi.nlm.nih.gov/gene/175077", "175077")</f>
        <v>175077</v>
      </c>
      <c r="C1697" s="9"/>
      <c r="D1697" t="str">
        <f>"Y48B6A.10"</f>
        <v>Y48B6A.10</v>
      </c>
      <c r="F1697" t="s">
        <v>11</v>
      </c>
      <c r="G1697" t="s">
        <v>1415</v>
      </c>
      <c r="H1697" s="12">
        <v>-2.5263605278155499</v>
      </c>
      <c r="I1697" s="20">
        <v>-2.2219041307979599</v>
      </c>
      <c r="J1697" s="28">
        <v>2.62897851949698E-2</v>
      </c>
      <c r="K1697" s="29">
        <v>0.35857434348925898</v>
      </c>
    </row>
    <row r="1698" spans="1:11" x14ac:dyDescent="0.35">
      <c r="A1698" s="9" t="str">
        <f>HYPERLINK("http://www.ensembl.org/id/WBGene00006812", "WBGene00006812")</f>
        <v>WBGene00006812</v>
      </c>
      <c r="B1698" s="9" t="str">
        <f>HYPERLINK("http://www.ncbi.nlm.nih.gov/gene/180374", "180374")</f>
        <v>180374</v>
      </c>
      <c r="C1698" s="9"/>
      <c r="D1698" t="str">
        <f>"unc-80"</f>
        <v>unc-80</v>
      </c>
      <c r="F1698" t="s">
        <v>11</v>
      </c>
      <c r="G1698" t="s">
        <v>1416</v>
      </c>
      <c r="H1698" s="12">
        <v>1.55889045576123</v>
      </c>
      <c r="I1698" s="20">
        <v>2.2201139611480998</v>
      </c>
      <c r="J1698" s="28">
        <v>2.6411032736329099E-2</v>
      </c>
      <c r="K1698" s="29">
        <v>0.35981917594670898</v>
      </c>
    </row>
    <row r="1699" spans="1:11" x14ac:dyDescent="0.35">
      <c r="A1699" s="9" t="str">
        <f>HYPERLINK("http://www.ensembl.org/id/WBGene00008438", "WBGene00008438")</f>
        <v>WBGene00008438</v>
      </c>
      <c r="B1699" s="9" t="str">
        <f>HYPERLINK("http://www.ncbi.nlm.nih.gov/gene/3565199", "3565199")</f>
        <v>3565199</v>
      </c>
      <c r="C1699" s="9"/>
      <c r="D1699" t="str">
        <f>"DH11.5"</f>
        <v>DH11.5</v>
      </c>
      <c r="F1699" t="s">
        <v>11</v>
      </c>
      <c r="G1699" t="s">
        <v>1417</v>
      </c>
      <c r="H1699" s="12">
        <v>1.5133736951139101</v>
      </c>
      <c r="I1699" s="20">
        <v>2.2194061534021698</v>
      </c>
      <c r="J1699" s="28">
        <v>2.64591054092406E-2</v>
      </c>
      <c r="K1699" s="29">
        <v>0.36026169097578897</v>
      </c>
    </row>
    <row r="1700" spans="1:11" x14ac:dyDescent="0.35">
      <c r="A1700" s="9" t="str">
        <f>HYPERLINK("http://www.ensembl.org/id/WBGene00011756", "WBGene00011756")</f>
        <v>WBGene00011756</v>
      </c>
      <c r="B1700" s="9" t="str">
        <f>HYPERLINK("http://www.ncbi.nlm.nih.gov/gene/174360", "174360")</f>
        <v>174360</v>
      </c>
      <c r="C1700" s="9"/>
      <c r="D1700" t="str">
        <f>"ctg-2"</f>
        <v>ctg-2</v>
      </c>
      <c r="E1700" t="s">
        <v>1418</v>
      </c>
      <c r="F1700" t="s">
        <v>11</v>
      </c>
      <c r="H1700" s="12">
        <v>1.6260994765297501</v>
      </c>
      <c r="I1700" s="20">
        <v>2.2191448951456301</v>
      </c>
      <c r="J1700" s="28">
        <v>2.6476868560168398E-2</v>
      </c>
      <c r="K1700" s="29">
        <v>0.360291239665047</v>
      </c>
    </row>
    <row r="1701" spans="1:11" x14ac:dyDescent="0.35">
      <c r="A1701" s="9" t="str">
        <f>HYPERLINK("http://www.ensembl.org/id/WBGene00003183", "WBGene00003183")</f>
        <v>WBGene00003183</v>
      </c>
      <c r="B1701" s="9" t="str">
        <f>HYPERLINK("http://www.ncbi.nlm.nih.gov/gene/172612", "172612")</f>
        <v>172612</v>
      </c>
      <c r="C1701" s="9"/>
      <c r="D1701" t="str">
        <f>"mei-1"</f>
        <v>mei-1</v>
      </c>
      <c r="E1701" t="s">
        <v>1419</v>
      </c>
      <c r="F1701" t="s">
        <v>11</v>
      </c>
      <c r="G1701" t="s">
        <v>1420</v>
      </c>
      <c r="H1701" s="12">
        <v>-1.59115314719811</v>
      </c>
      <c r="I1701" s="20">
        <v>-2.2188401821474799</v>
      </c>
      <c r="J1701" s="28">
        <v>2.6497599247104799E-2</v>
      </c>
      <c r="K1701" s="29">
        <v>0.36036111136174398</v>
      </c>
    </row>
    <row r="1702" spans="1:11" x14ac:dyDescent="0.35">
      <c r="A1702" s="9" t="str">
        <f>HYPERLINK("http://www.ensembl.org/id/WBGene00021948", "WBGene00021948")</f>
        <v>WBGene00021948</v>
      </c>
      <c r="B1702" s="9" t="str">
        <f>HYPERLINK("http://www.ncbi.nlm.nih.gov/gene/176899", "176899")</f>
        <v>176899</v>
      </c>
      <c r="C1702" s="9"/>
      <c r="D1702" t="str">
        <f>"kvs-5"</f>
        <v>kvs-5</v>
      </c>
      <c r="F1702" t="s">
        <v>11</v>
      </c>
      <c r="G1702" t="s">
        <v>1421</v>
      </c>
      <c r="H1702" s="12">
        <v>1.8500966835997801</v>
      </c>
      <c r="I1702" s="20">
        <v>2.21846958067455</v>
      </c>
      <c r="J1702" s="28">
        <v>2.65228314536665E-2</v>
      </c>
      <c r="K1702" s="29">
        <v>0.36049208445200998</v>
      </c>
    </row>
    <row r="1703" spans="1:11" x14ac:dyDescent="0.35">
      <c r="A1703" s="9" t="str">
        <f>HYPERLINK("http://www.ensembl.org/id/WBGene00013289", "WBGene00013289")</f>
        <v>WBGene00013289</v>
      </c>
      <c r="B1703" s="9" t="str">
        <f>HYPERLINK("http://www.ncbi.nlm.nih.gov/gene/178388", "178388")</f>
        <v>178388</v>
      </c>
      <c r="C1703" s="9"/>
      <c r="D1703" t="str">
        <f>"tag-273"</f>
        <v>tag-273</v>
      </c>
      <c r="F1703" t="s">
        <v>11</v>
      </c>
      <c r="G1703" t="s">
        <v>1422</v>
      </c>
      <c r="H1703" s="12">
        <v>1.57073019547941</v>
      </c>
      <c r="I1703" s="20">
        <v>2.2179963473989601</v>
      </c>
      <c r="J1703" s="28">
        <v>2.65550814649314E-2</v>
      </c>
      <c r="K1703" s="29">
        <v>0.36071823182169499</v>
      </c>
    </row>
    <row r="1704" spans="1:11" x14ac:dyDescent="0.35">
      <c r="A1704" s="9" t="str">
        <f>HYPERLINK("http://www.ensembl.org/id/WBGene00006503", "WBGene00006503")</f>
        <v>WBGene00006503</v>
      </c>
      <c r="B1704" s="9" t="str">
        <f>HYPERLINK("http://www.ncbi.nlm.nih.gov/gene/189240", "189240")</f>
        <v>189240</v>
      </c>
      <c r="C1704" s="9" t="str">
        <f>HYPERLINK("http://www.ncbi.nlm.nih.gov/gene/29934", "29934")</f>
        <v>29934</v>
      </c>
      <c r="D1704" t="str">
        <f>"snx-3"</f>
        <v>snx-3</v>
      </c>
      <c r="E1704" t="s">
        <v>1423</v>
      </c>
      <c r="F1704" t="s">
        <v>11</v>
      </c>
      <c r="G1704" t="s">
        <v>1424</v>
      </c>
      <c r="H1704" s="12">
        <v>-1.5666766987882701</v>
      </c>
      <c r="I1704" s="20">
        <v>-2.2171367008926701</v>
      </c>
      <c r="J1704" s="28">
        <v>2.6613751515744698E-2</v>
      </c>
      <c r="K1704" s="29">
        <v>0.36130278644112701</v>
      </c>
    </row>
    <row r="1705" spans="1:11" x14ac:dyDescent="0.35">
      <c r="A1705" s="9" t="str">
        <f>HYPERLINK("http://www.ensembl.org/id/WBGene00011382", "WBGene00011382")</f>
        <v>WBGene00011382</v>
      </c>
      <c r="B1705" s="9" t="str">
        <f>HYPERLINK("http://www.ncbi.nlm.nih.gov/gene/179571", "179571")</f>
        <v>179571</v>
      </c>
      <c r="C1705" s="9"/>
      <c r="D1705" t="str">
        <f>"dop-5"</f>
        <v>dop-5</v>
      </c>
      <c r="E1705" t="s">
        <v>1425</v>
      </c>
      <c r="F1705" t="s">
        <v>11</v>
      </c>
      <c r="G1705" t="s">
        <v>1426</v>
      </c>
      <c r="H1705" s="12">
        <v>1.7130402877003801</v>
      </c>
      <c r="I1705" s="20">
        <v>2.2148592648002601</v>
      </c>
      <c r="J1705" s="28">
        <v>2.67697258595344E-2</v>
      </c>
      <c r="K1705" s="29">
        <v>0.36299371227136301</v>
      </c>
    </row>
    <row r="1706" spans="1:11" x14ac:dyDescent="0.35">
      <c r="A1706" s="9" t="str">
        <f>HYPERLINK("http://www.ensembl.org/id/WBGene00011326", "WBGene00011326")</f>
        <v>WBGene00011326</v>
      </c>
      <c r="B1706" s="9" t="str">
        <f>HYPERLINK("http://www.ncbi.nlm.nih.gov/gene/179859", "179859")</f>
        <v>179859</v>
      </c>
      <c r="C1706" s="9"/>
      <c r="D1706" t="str">
        <f>"T01D3.1"</f>
        <v>T01D3.1</v>
      </c>
      <c r="F1706" t="s">
        <v>11</v>
      </c>
      <c r="G1706" t="s">
        <v>1427</v>
      </c>
      <c r="H1706" s="12">
        <v>1.65536287335951</v>
      </c>
      <c r="I1706" s="20">
        <v>2.21499088666351</v>
      </c>
      <c r="J1706" s="28">
        <v>2.6760690052493898E-2</v>
      </c>
      <c r="K1706" s="29">
        <v>0.36299371227136301</v>
      </c>
    </row>
    <row r="1707" spans="1:11" x14ac:dyDescent="0.35">
      <c r="A1707" s="9" t="str">
        <f>HYPERLINK("http://www.ensembl.org/id/WBGene00017379", "WBGene00017379")</f>
        <v>WBGene00017379</v>
      </c>
      <c r="B1707" s="9" t="str">
        <f>HYPERLINK("http://www.ncbi.nlm.nih.gov/gene/259353", "259353")</f>
        <v>259353</v>
      </c>
      <c r="C1707" s="9"/>
      <c r="D1707" t="str">
        <f>"F11C7.7"</f>
        <v>F11C7.7</v>
      </c>
      <c r="F1707" t="s">
        <v>11</v>
      </c>
      <c r="H1707" s="12">
        <v>5.6624554443630704</v>
      </c>
      <c r="I1707" s="20">
        <v>2.2140769337832098</v>
      </c>
      <c r="J1707" s="28">
        <v>2.68234870699945E-2</v>
      </c>
      <c r="K1707" s="29">
        <v>0.36350937961248903</v>
      </c>
    </row>
    <row r="1708" spans="1:11" x14ac:dyDescent="0.35">
      <c r="A1708" s="9" t="str">
        <f>HYPERLINK("http://www.ensembl.org/id/WBGene00007115", "WBGene00007115")</f>
        <v>WBGene00007115</v>
      </c>
      <c r="B1708" s="9" t="str">
        <f>HYPERLINK("http://www.ncbi.nlm.nih.gov/gene/181375", "181375")</f>
        <v>181375</v>
      </c>
      <c r="C1708" s="9"/>
      <c r="D1708" t="str">
        <f>"B0198.2"</f>
        <v>B0198.2</v>
      </c>
      <c r="F1708" t="s">
        <v>11</v>
      </c>
      <c r="G1708" t="s">
        <v>25</v>
      </c>
      <c r="H1708" s="12">
        <v>-1.7276222067265301</v>
      </c>
      <c r="I1708" s="20">
        <v>-2.2132166338238299</v>
      </c>
      <c r="J1708" s="28">
        <v>2.68827138523548E-2</v>
      </c>
      <c r="K1708" s="29">
        <v>0.36409846792058098</v>
      </c>
    </row>
    <row r="1709" spans="1:11" x14ac:dyDescent="0.35">
      <c r="A1709" s="9" t="str">
        <f>HYPERLINK("http://www.ensembl.org/id/WBGene00013642", "WBGene00013642")</f>
        <v>WBGene00013642</v>
      </c>
      <c r="B1709" s="9" t="str">
        <f>HYPERLINK("http://www.ncbi.nlm.nih.gov/gene/178443", "178443")</f>
        <v>178443</v>
      </c>
      <c r="C1709" s="9"/>
      <c r="D1709" t="str">
        <f>"daf-38"</f>
        <v>daf-38</v>
      </c>
      <c r="E1709" t="s">
        <v>1428</v>
      </c>
      <c r="F1709" t="s">
        <v>11</v>
      </c>
      <c r="G1709" t="s">
        <v>1429</v>
      </c>
      <c r="H1709" s="12">
        <v>2.0782643222729398</v>
      </c>
      <c r="I1709" s="20">
        <v>2.2129287848281298</v>
      </c>
      <c r="J1709" s="28">
        <v>2.6902555820039399E-2</v>
      </c>
      <c r="K1709" s="29">
        <v>0.36415375206668399</v>
      </c>
    </row>
    <row r="1710" spans="1:11" x14ac:dyDescent="0.35">
      <c r="A1710" s="9" t="str">
        <f>HYPERLINK("http://www.ensembl.org/id/WBGene00008503", "WBGene00008503")</f>
        <v>WBGene00008503</v>
      </c>
      <c r="B1710" s="9" t="str">
        <f>HYPERLINK("http://www.ncbi.nlm.nih.gov/gene/178018", "178018")</f>
        <v>178018</v>
      </c>
      <c r="C1710" s="9"/>
      <c r="D1710" t="str">
        <f>"F01G4.4"</f>
        <v>F01G4.4</v>
      </c>
      <c r="F1710" t="s">
        <v>11</v>
      </c>
      <c r="H1710" s="12">
        <v>-1.68142313794468</v>
      </c>
      <c r="I1710" s="20">
        <v>-2.2114461262922198</v>
      </c>
      <c r="J1710" s="28">
        <v>2.7004958655074199E-2</v>
      </c>
      <c r="K1710" s="29">
        <v>0.36489858168663503</v>
      </c>
    </row>
    <row r="1711" spans="1:11" x14ac:dyDescent="0.35">
      <c r="A1711" s="9" t="str">
        <f>HYPERLINK("http://www.ensembl.org/id/WBGene00019661", "WBGene00019661")</f>
        <v>WBGene00019661</v>
      </c>
      <c r="B1711" s="9" t="str">
        <f>HYPERLINK("http://www.ncbi.nlm.nih.gov/gene/187312", "187312")</f>
        <v>187312</v>
      </c>
      <c r="C1711" s="9"/>
      <c r="D1711" t="str">
        <f>"K11H12.5"</f>
        <v>K11H12.5</v>
      </c>
      <c r="F1711" t="s">
        <v>11</v>
      </c>
      <c r="H1711" s="12">
        <v>2.0264058650782499</v>
      </c>
      <c r="I1711" s="20">
        <v>2.2118313998184398</v>
      </c>
      <c r="J1711" s="28">
        <v>2.6978316647504701E-2</v>
      </c>
      <c r="K1711" s="29">
        <v>0.36489858168663503</v>
      </c>
    </row>
    <row r="1712" spans="1:11" x14ac:dyDescent="0.35">
      <c r="A1712" s="9" t="str">
        <f>HYPERLINK("http://www.ensembl.org/id/WBGene00020721", "WBGene00020721")</f>
        <v>WBGene00020721</v>
      </c>
      <c r="B1712" s="9" t="str">
        <f>HYPERLINK("http://www.ncbi.nlm.nih.gov/gene/179226", "179226")</f>
        <v>179226</v>
      </c>
      <c r="C1712" s="9" t="str">
        <f>HYPERLINK("http://www.ncbi.nlm.nih.gov/gene/51133", "51133")</f>
        <v>51133</v>
      </c>
      <c r="D1712" t="str">
        <f>"T23B12.6"</f>
        <v>T23B12.6</v>
      </c>
      <c r="F1712" t="s">
        <v>11</v>
      </c>
      <c r="G1712" t="s">
        <v>817</v>
      </c>
      <c r="H1712" s="12">
        <v>-1.5529866169122399</v>
      </c>
      <c r="I1712" s="20">
        <v>-2.2115037811235698</v>
      </c>
      <c r="J1712" s="28">
        <v>2.70009703276122E-2</v>
      </c>
      <c r="K1712" s="29">
        <v>0.36489858168663503</v>
      </c>
    </row>
    <row r="1713" spans="1:11" x14ac:dyDescent="0.35">
      <c r="A1713" s="9" t="str">
        <f>HYPERLINK("http://www.ensembl.org/id/WBGene00007963", "WBGene00007963")</f>
        <v>WBGene00007963</v>
      </c>
      <c r="B1713" s="9" t="str">
        <f>HYPERLINK("http://www.ncbi.nlm.nih.gov/gene/183247", "183247")</f>
        <v>183247</v>
      </c>
      <c r="C1713" s="9" t="str">
        <f>HYPERLINK("http://www.ncbi.nlm.nih.gov/gene/1576", "1576")</f>
        <v>1576</v>
      </c>
      <c r="D1713" t="str">
        <f>"cyp-25A1"</f>
        <v>cyp-25A1</v>
      </c>
      <c r="E1713" t="s">
        <v>176</v>
      </c>
      <c r="F1713" t="s">
        <v>11</v>
      </c>
      <c r="G1713" t="s">
        <v>332</v>
      </c>
      <c r="H1713" s="12">
        <v>-1.92221834854056</v>
      </c>
      <c r="I1713" s="20">
        <v>-2.2102611952783899</v>
      </c>
      <c r="J1713" s="28">
        <v>2.7087040081175E-2</v>
      </c>
      <c r="K1713" s="29">
        <v>0.365580109880625</v>
      </c>
    </row>
    <row r="1714" spans="1:11" x14ac:dyDescent="0.35">
      <c r="A1714" s="9" t="str">
        <f>HYPERLINK("http://www.ensembl.org/id/WBGene00006377", "WBGene00006377")</f>
        <v>WBGene00006377</v>
      </c>
      <c r="B1714" s="9" t="str">
        <f>HYPERLINK("http://www.ncbi.nlm.nih.gov/gene/172667", "172667")</f>
        <v>172667</v>
      </c>
      <c r="C1714" s="9"/>
      <c r="D1714" t="str">
        <f>"syp-3"</f>
        <v>syp-3</v>
      </c>
      <c r="F1714" t="s">
        <v>11</v>
      </c>
      <c r="G1714" t="s">
        <v>1430</v>
      </c>
      <c r="H1714" s="12">
        <v>-1.8036675214703399</v>
      </c>
      <c r="I1714" s="20">
        <v>-2.2103138123822998</v>
      </c>
      <c r="J1714" s="28">
        <v>2.7083390675012298E-2</v>
      </c>
      <c r="K1714" s="29">
        <v>0.365580109880625</v>
      </c>
    </row>
    <row r="1715" spans="1:11" x14ac:dyDescent="0.35">
      <c r="A1715" s="9" t="str">
        <f>HYPERLINK("http://www.ensembl.org/id/WBGene00044016", "WBGene00044016")</f>
        <v>WBGene00044016</v>
      </c>
      <c r="B1715" s="9" t="str">
        <f>HYPERLINK("http://www.ncbi.nlm.nih.gov/gene/3565313", "3565313")</f>
        <v>3565313</v>
      </c>
      <c r="C1715" s="9"/>
      <c r="D1715" t="str">
        <f>"C35A5.10"</f>
        <v>C35A5.10</v>
      </c>
      <c r="F1715" t="s">
        <v>11</v>
      </c>
      <c r="H1715" s="12">
        <v>2.6103900288618398</v>
      </c>
      <c r="I1715" s="20">
        <v>2.20978673088785</v>
      </c>
      <c r="J1715" s="28">
        <v>2.7119967058262699E-2</v>
      </c>
      <c r="K1715" s="29">
        <v>0.36579855127253302</v>
      </c>
    </row>
    <row r="1716" spans="1:11" x14ac:dyDescent="0.35">
      <c r="A1716" s="9" t="str">
        <f>HYPERLINK("http://www.ensembl.org/id/WBGene00019284", "WBGene00019284")</f>
        <v>WBGene00019284</v>
      </c>
      <c r="B1716" s="9" t="str">
        <f>HYPERLINK("http://www.ncbi.nlm.nih.gov/gene/173422", "173422")</f>
        <v>173422</v>
      </c>
      <c r="C1716" s="9"/>
      <c r="D1716" t="str">
        <f>"K01A2.10"</f>
        <v>K01A2.10</v>
      </c>
      <c r="F1716" t="s">
        <v>11</v>
      </c>
      <c r="H1716" s="12">
        <v>1.6213348694004699</v>
      </c>
      <c r="I1716" s="20">
        <v>2.2095196561689399</v>
      </c>
      <c r="J1716" s="28">
        <v>2.7138516756222E-2</v>
      </c>
      <c r="K1716" s="29">
        <v>0.36579855127253302</v>
      </c>
    </row>
    <row r="1717" spans="1:11" x14ac:dyDescent="0.35">
      <c r="A1717" s="9" t="str">
        <f>HYPERLINK("http://www.ensembl.org/id/WBGene00007881", "WBGene00007881")</f>
        <v>WBGene00007881</v>
      </c>
      <c r="B1717" s="9" t="str">
        <f>HYPERLINK("http://www.ncbi.nlm.nih.gov/gene/183138", "183138")</f>
        <v>183138</v>
      </c>
      <c r="C1717" s="9"/>
      <c r="D1717" t="str">
        <f>"nlp-35"</f>
        <v>nlp-35</v>
      </c>
      <c r="E1717" t="s">
        <v>76</v>
      </c>
      <c r="F1717" t="s">
        <v>11</v>
      </c>
      <c r="G1717" t="s">
        <v>77</v>
      </c>
      <c r="H1717" s="12">
        <v>-1.6106505212317701</v>
      </c>
      <c r="I1717" s="20">
        <v>-2.2093440553000301</v>
      </c>
      <c r="J1717" s="28">
        <v>2.7150719096009399E-2</v>
      </c>
      <c r="K1717" s="29">
        <v>0.36579855127253302</v>
      </c>
    </row>
    <row r="1718" spans="1:11" x14ac:dyDescent="0.35">
      <c r="A1718" s="9" t="str">
        <f>HYPERLINK("http://www.ensembl.org/id/WBGene00019921", "WBGene00019921")</f>
        <v>WBGene00019921</v>
      </c>
      <c r="B1718" s="9" t="str">
        <f>HYPERLINK("http://www.ncbi.nlm.nih.gov/gene/187667", "187667")</f>
        <v>187667</v>
      </c>
      <c r="C1718" s="9"/>
      <c r="D1718" t="str">
        <f>"fbxc-34"</f>
        <v>fbxc-34</v>
      </c>
      <c r="E1718" t="s">
        <v>311</v>
      </c>
      <c r="F1718" t="s">
        <v>11</v>
      </c>
      <c r="H1718" s="12">
        <v>2.2200708525430501</v>
      </c>
      <c r="I1718" s="20">
        <v>2.2086610570876299</v>
      </c>
      <c r="J1718" s="28">
        <v>2.71982250389818E-2</v>
      </c>
      <c r="K1718" s="29">
        <v>0.36622505113678</v>
      </c>
    </row>
    <row r="1719" spans="1:11" x14ac:dyDescent="0.35">
      <c r="A1719" s="9" t="str">
        <f>HYPERLINK("http://www.ensembl.org/id/WBGene00001396", "WBGene00001396")</f>
        <v>WBGene00001396</v>
      </c>
      <c r="B1719" s="9" t="str">
        <f>HYPERLINK("http://www.ncbi.nlm.nih.gov/gene/177819", "177819")</f>
        <v>177819</v>
      </c>
      <c r="C1719" s="9" t="str">
        <f>HYPERLINK("http://www.ncbi.nlm.nih.gov/gene/9415", "9415")</f>
        <v>9415</v>
      </c>
      <c r="D1719" t="str">
        <f>"fat-4"</f>
        <v>fat-4</v>
      </c>
      <c r="E1719" t="s">
        <v>1431</v>
      </c>
      <c r="F1719" t="s">
        <v>11</v>
      </c>
      <c r="G1719" t="s">
        <v>1432</v>
      </c>
      <c r="H1719" s="12">
        <v>-1.49378647177144</v>
      </c>
      <c r="I1719" s="20">
        <v>-2.2077529811137002</v>
      </c>
      <c r="J1719" s="28">
        <v>2.7261497343608599E-2</v>
      </c>
      <c r="K1719" s="29">
        <v>0.36686322517263797</v>
      </c>
    </row>
    <row r="1720" spans="1:11" x14ac:dyDescent="0.35">
      <c r="A1720" s="9" t="str">
        <f>HYPERLINK("http://www.ensembl.org/id/WBGene00008205", "WBGene00008205")</f>
        <v>WBGene00008205</v>
      </c>
      <c r="B1720" s="9" t="str">
        <f>HYPERLINK("http://www.ncbi.nlm.nih.gov/gene/181370", "181370")</f>
        <v>181370</v>
      </c>
      <c r="C1720" s="9" t="str">
        <f>HYPERLINK("http://www.ncbi.nlm.nih.gov/gene/4144", "4144")</f>
        <v>4144</v>
      </c>
      <c r="D1720" t="str">
        <f>"sams-1"</f>
        <v>sams-1</v>
      </c>
      <c r="E1720" t="s">
        <v>1433</v>
      </c>
      <c r="F1720" t="s">
        <v>11</v>
      </c>
      <c r="G1720" t="s">
        <v>1434</v>
      </c>
      <c r="H1720" s="12">
        <v>1.5441738908839699</v>
      </c>
      <c r="I1720" s="20">
        <v>2.20719881390169</v>
      </c>
      <c r="J1720" s="28">
        <v>2.7300172608508502E-2</v>
      </c>
      <c r="K1720" s="29">
        <v>0.36716984184644702</v>
      </c>
    </row>
    <row r="1721" spans="1:11" x14ac:dyDescent="0.35">
      <c r="A1721" s="9" t="str">
        <f>HYPERLINK("http://www.ensembl.org/id/WBGene00010073", "WBGene00010073")</f>
        <v>WBGene00010073</v>
      </c>
      <c r="B1721" s="9" t="str">
        <f>HYPERLINK("http://www.ncbi.nlm.nih.gov/gene/186259", "186259")</f>
        <v>186259</v>
      </c>
      <c r="C1721" s="9"/>
      <c r="D1721" t="str">
        <f>"F54F12.2"</f>
        <v>F54F12.2</v>
      </c>
      <c r="F1721" t="s">
        <v>11</v>
      </c>
      <c r="G1721" t="s">
        <v>25</v>
      </c>
      <c r="H1721" s="12">
        <v>1.82945474603127</v>
      </c>
      <c r="I1721" s="20">
        <v>2.2050512136714202</v>
      </c>
      <c r="J1721" s="28">
        <v>2.7450500962463001E-2</v>
      </c>
      <c r="K1721" s="29">
        <v>0.36873957999238</v>
      </c>
    </row>
    <row r="1722" spans="1:11" x14ac:dyDescent="0.35">
      <c r="A1722" s="9" t="str">
        <f>HYPERLINK("http://www.ensembl.org/id/WBGene00009730", "WBGene00009730")</f>
        <v>WBGene00009730</v>
      </c>
      <c r="B1722" s="9" t="str">
        <f>HYPERLINK("http://www.ncbi.nlm.nih.gov/gene/176764", "176764")</f>
        <v>176764</v>
      </c>
      <c r="C1722" s="9"/>
      <c r="D1722" t="str">
        <f>"myo-6"</f>
        <v>myo-6</v>
      </c>
      <c r="E1722" t="s">
        <v>1400</v>
      </c>
      <c r="F1722" t="s">
        <v>11</v>
      </c>
      <c r="G1722" t="s">
        <v>1435</v>
      </c>
      <c r="H1722" s="12">
        <v>1.91755844292907</v>
      </c>
      <c r="I1722" s="20">
        <v>2.2049850230644199</v>
      </c>
      <c r="J1722" s="28">
        <v>2.7455145513728199E-2</v>
      </c>
      <c r="K1722" s="29">
        <v>0.36873957999238</v>
      </c>
    </row>
    <row r="1723" spans="1:11" x14ac:dyDescent="0.35">
      <c r="A1723" s="9" t="str">
        <f>HYPERLINK("http://www.ensembl.org/id/WBGene00021779", "WBGene00021779")</f>
        <v>WBGene00021779</v>
      </c>
      <c r="B1723" s="9" t="str">
        <f>HYPERLINK("http://www.ncbi.nlm.nih.gov/gene/190173", "190173")</f>
        <v>190173</v>
      </c>
      <c r="C1723" s="9"/>
      <c r="D1723" t="str">
        <f>"Y51H7C.1"</f>
        <v>Y51H7C.1</v>
      </c>
      <c r="F1723" t="s">
        <v>11</v>
      </c>
      <c r="H1723" s="12">
        <v>-1.84677544994139</v>
      </c>
      <c r="I1723" s="20">
        <v>-2.20484799065281</v>
      </c>
      <c r="J1723" s="28">
        <v>2.7464763142339099E-2</v>
      </c>
      <c r="K1723" s="29">
        <v>0.36873957999238</v>
      </c>
    </row>
    <row r="1724" spans="1:11" x14ac:dyDescent="0.35">
      <c r="A1724" s="9" t="str">
        <f>HYPERLINK("http://www.ensembl.org/id/WBGene00017507", "WBGene00017507")</f>
        <v>WBGene00017507</v>
      </c>
      <c r="B1724" s="9" t="str">
        <f>HYPERLINK("http://www.ncbi.nlm.nih.gov/gene/178647", "178647")</f>
        <v>178647</v>
      </c>
      <c r="C1724" s="9"/>
      <c r="D1724" t="str">
        <f>"F16B4.5"</f>
        <v>F16B4.5</v>
      </c>
      <c r="F1724" t="s">
        <v>11</v>
      </c>
      <c r="H1724" s="12">
        <v>2.2197018814167699</v>
      </c>
      <c r="I1724" s="20">
        <v>2.2029472070315599</v>
      </c>
      <c r="J1724" s="28">
        <v>2.7598469819909401E-2</v>
      </c>
      <c r="K1724" s="29">
        <v>0.37031953754868002</v>
      </c>
    </row>
    <row r="1725" spans="1:11" x14ac:dyDescent="0.35">
      <c r="A1725" s="9" t="str">
        <f>HYPERLINK("http://www.ensembl.org/id/WBGene00007389", "WBGene00007389")</f>
        <v>WBGene00007389</v>
      </c>
      <c r="B1725" s="9" t="str">
        <f>HYPERLINK("http://www.ncbi.nlm.nih.gov/gene/182348", "182348")</f>
        <v>182348</v>
      </c>
      <c r="C1725" s="9"/>
      <c r="D1725" t="str">
        <f>"glb-3"</f>
        <v>glb-3</v>
      </c>
      <c r="E1725" t="s">
        <v>633</v>
      </c>
      <c r="F1725" t="s">
        <v>11</v>
      </c>
      <c r="G1725" t="s">
        <v>867</v>
      </c>
      <c r="H1725" s="12">
        <v>1.88793315994671</v>
      </c>
      <c r="I1725" s="20">
        <v>2.2004671021225901</v>
      </c>
      <c r="J1725" s="28">
        <v>2.77737715351426E-2</v>
      </c>
      <c r="K1725" s="29">
        <v>0.37245546435926002</v>
      </c>
    </row>
    <row r="1726" spans="1:11" x14ac:dyDescent="0.35">
      <c r="A1726" s="9" t="str">
        <f>HYPERLINK("http://www.ensembl.org/id/WBGene00008609", "WBGene00008609")</f>
        <v>WBGene00008609</v>
      </c>
      <c r="B1726" s="9" t="str">
        <f>HYPERLINK("http://www.ncbi.nlm.nih.gov/gene/184225", "184225")</f>
        <v>184225</v>
      </c>
      <c r="C1726" s="9"/>
      <c r="D1726" t="str">
        <f>"F09B12.5"</f>
        <v>F09B12.5</v>
      </c>
      <c r="F1726" t="s">
        <v>11</v>
      </c>
      <c r="G1726" t="s">
        <v>54</v>
      </c>
      <c r="H1726" s="12">
        <v>13.924346224986801</v>
      </c>
      <c r="I1726" s="20">
        <v>2.1988654290810401</v>
      </c>
      <c r="J1726" s="28">
        <v>2.7887492438508899E-2</v>
      </c>
      <c r="K1726" s="29">
        <v>0.37258671819880401</v>
      </c>
    </row>
    <row r="1727" spans="1:11" x14ac:dyDescent="0.35">
      <c r="A1727" s="9" t="str">
        <f>HYPERLINK("http://www.ensembl.org/id/WBGene00018103", "WBGene00018103")</f>
        <v>WBGene00018103</v>
      </c>
      <c r="B1727" s="9" t="str">
        <f>HYPERLINK("http://www.ncbi.nlm.nih.gov/gene/173544", "173544")</f>
        <v>173544</v>
      </c>
      <c r="C1727" s="9"/>
      <c r="D1727" t="str">
        <f>"F36H5.4"</f>
        <v>F36H5.4</v>
      </c>
      <c r="F1727" t="s">
        <v>11</v>
      </c>
      <c r="G1727" t="s">
        <v>25</v>
      </c>
      <c r="H1727" s="12">
        <v>2.0436848288182601</v>
      </c>
      <c r="I1727" s="20">
        <v>2.1992868324772901</v>
      </c>
      <c r="J1727" s="28">
        <v>2.7857533392318501E-2</v>
      </c>
      <c r="K1727" s="29">
        <v>0.37258671819880401</v>
      </c>
    </row>
    <row r="1728" spans="1:11" x14ac:dyDescent="0.35">
      <c r="A1728" s="9" t="str">
        <f>HYPERLINK("http://www.ensembl.org/id/WBGene00044066", "WBGene00044066")</f>
        <v>WBGene00044066</v>
      </c>
      <c r="B1728" s="9" t="str">
        <f>HYPERLINK("http://www.ncbi.nlm.nih.gov/gene/189784", "189784")</f>
        <v>189784</v>
      </c>
      <c r="C1728" s="9"/>
      <c r="D1728" t="str">
        <f>"fbxb-66"</f>
        <v>fbxb-66</v>
      </c>
      <c r="E1728" t="s">
        <v>1436</v>
      </c>
      <c r="F1728" t="s">
        <v>11</v>
      </c>
      <c r="G1728" t="s">
        <v>54</v>
      </c>
      <c r="H1728" s="12">
        <v>1.8956966433403799</v>
      </c>
      <c r="I1728" s="20">
        <v>2.1998901392677901</v>
      </c>
      <c r="J1728" s="28">
        <v>2.7814690498491199E-2</v>
      </c>
      <c r="K1728" s="29">
        <v>0.37258671819880401</v>
      </c>
    </row>
    <row r="1729" spans="1:11" x14ac:dyDescent="0.35">
      <c r="A1729" s="9" t="str">
        <f>HYPERLINK("http://www.ensembl.org/id/WBGene00007543", "WBGene00007543")</f>
        <v>WBGene00007543</v>
      </c>
      <c r="B1729" s="9" t="str">
        <f>HYPERLINK("http://www.ncbi.nlm.nih.gov/gene/259643", "259643")</f>
        <v>259643</v>
      </c>
      <c r="C1729" s="9"/>
      <c r="D1729" t="str">
        <f>"fipr-7"</f>
        <v>fipr-7</v>
      </c>
      <c r="E1729" t="s">
        <v>28</v>
      </c>
      <c r="F1729" t="s">
        <v>11</v>
      </c>
      <c r="H1729" s="12">
        <v>6.8793301777986198</v>
      </c>
      <c r="I1729" s="20">
        <v>2.1991668001303601</v>
      </c>
      <c r="J1729" s="28">
        <v>2.7866064085473499E-2</v>
      </c>
      <c r="K1729" s="29">
        <v>0.37258671819880401</v>
      </c>
    </row>
    <row r="1730" spans="1:11" x14ac:dyDescent="0.35">
      <c r="A1730" s="9" t="str">
        <f>HYPERLINK("http://www.ensembl.org/id/WBGene00018478", "WBGene00018478")</f>
        <v>WBGene00018478</v>
      </c>
      <c r="B1730" s="9" t="str">
        <f>HYPERLINK("http://www.ncbi.nlm.nih.gov/gene/185806", "185806")</f>
        <v>185806</v>
      </c>
      <c r="C1730" s="9"/>
      <c r="D1730" t="str">
        <f>"otpl-5"</f>
        <v>otpl-5</v>
      </c>
      <c r="E1730" t="s">
        <v>233</v>
      </c>
      <c r="F1730" t="s">
        <v>11</v>
      </c>
      <c r="G1730" t="s">
        <v>234</v>
      </c>
      <c r="H1730" s="12">
        <v>18.264679796780801</v>
      </c>
      <c r="I1730" s="20">
        <v>2.1987397216272</v>
      </c>
      <c r="J1730" s="28">
        <v>2.7896434799789298E-2</v>
      </c>
      <c r="K1730" s="29">
        <v>0.37258671819880401</v>
      </c>
    </row>
    <row r="1731" spans="1:11" x14ac:dyDescent="0.35">
      <c r="A1731" s="9" t="str">
        <f>HYPERLINK("http://www.ensembl.org/id/WBGene00020834", "WBGene00020834")</f>
        <v>WBGene00020834</v>
      </c>
      <c r="B1731" s="9" t="str">
        <f>HYPERLINK("http://www.ncbi.nlm.nih.gov/gene/188963", "188963")</f>
        <v>188963</v>
      </c>
      <c r="C1731" s="9"/>
      <c r="D1731" t="str">
        <f>"T27A1.2"</f>
        <v>T27A1.2</v>
      </c>
      <c r="F1731" t="s">
        <v>11</v>
      </c>
      <c r="H1731" s="12">
        <v>-2.3590713288501899</v>
      </c>
      <c r="I1731" s="20">
        <v>-2.19939340481764</v>
      </c>
      <c r="J1731" s="28">
        <v>2.7849961188297401E-2</v>
      </c>
      <c r="K1731" s="29">
        <v>0.37258671819880401</v>
      </c>
    </row>
    <row r="1732" spans="1:11" x14ac:dyDescent="0.35">
      <c r="A1732" s="9" t="str">
        <f>HYPERLINK("http://www.ensembl.org/id/WBGene00020940", "WBGene00020940")</f>
        <v>WBGene00020940</v>
      </c>
      <c r="B1732" s="9" t="str">
        <f>HYPERLINK("http://www.ncbi.nlm.nih.gov/gene/189116", "189116")</f>
        <v>189116</v>
      </c>
      <c r="C1732" s="9"/>
      <c r="D1732" t="str">
        <f>"W02D7.4"</f>
        <v>W02D7.4</v>
      </c>
      <c r="F1732" t="s">
        <v>11</v>
      </c>
      <c r="G1732" t="s">
        <v>386</v>
      </c>
      <c r="H1732" s="12">
        <v>-1.69405092793885</v>
      </c>
      <c r="I1732" s="20">
        <v>-2.1988592772034501</v>
      </c>
      <c r="J1732" s="28">
        <v>2.78879300027082E-2</v>
      </c>
      <c r="K1732" s="29">
        <v>0.37258671819880401</v>
      </c>
    </row>
    <row r="1733" spans="1:11" x14ac:dyDescent="0.35">
      <c r="A1733" s="9" t="str">
        <f>HYPERLINK("http://www.ensembl.org/id/WBGene00000584", "WBGene00000584")</f>
        <v>WBGene00000584</v>
      </c>
      <c r="B1733" s="9" t="str">
        <f>HYPERLINK("http://www.ncbi.nlm.nih.gov/gene/175149", "175149")</f>
        <v>175149</v>
      </c>
      <c r="C1733" s="9"/>
      <c r="D1733" t="str">
        <f>"cog-1"</f>
        <v>cog-1</v>
      </c>
      <c r="E1733" t="s">
        <v>1438</v>
      </c>
      <c r="F1733" t="s">
        <v>11</v>
      </c>
      <c r="G1733" t="s">
        <v>1439</v>
      </c>
      <c r="H1733" s="12">
        <v>1.6493852414174801</v>
      </c>
      <c r="I1733" s="20">
        <v>2.19798465172045</v>
      </c>
      <c r="J1733" s="28">
        <v>2.7950199704375699E-2</v>
      </c>
      <c r="K1733" s="29">
        <v>0.37287373808851298</v>
      </c>
    </row>
    <row r="1734" spans="1:11" x14ac:dyDescent="0.35">
      <c r="A1734" s="9" t="str">
        <f>HYPERLINK("http://www.ensembl.org/id/WBGene00012118", "WBGene00012118")</f>
        <v>WBGene00012118</v>
      </c>
      <c r="B1734" s="9" t="str">
        <f>HYPERLINK("http://www.ncbi.nlm.nih.gov/gene/177693", "177693")</f>
        <v>177693</v>
      </c>
      <c r="C1734" s="9"/>
      <c r="D1734" t="str">
        <f>"grsp-2"</f>
        <v>grsp-2</v>
      </c>
      <c r="E1734" t="s">
        <v>1437</v>
      </c>
      <c r="F1734" t="s">
        <v>11</v>
      </c>
      <c r="H1734" s="12">
        <v>1.66177698459043</v>
      </c>
      <c r="I1734" s="20">
        <v>2.1981756278168301</v>
      </c>
      <c r="J1734" s="28">
        <v>2.793659278048E-2</v>
      </c>
      <c r="K1734" s="29">
        <v>0.37287373808851298</v>
      </c>
    </row>
    <row r="1735" spans="1:11" x14ac:dyDescent="0.35">
      <c r="A1735" s="9" t="str">
        <f>HYPERLINK("http://www.ensembl.org/id/WBGene00010370", "WBGene00010370")</f>
        <v>WBGene00010370</v>
      </c>
      <c r="B1735" s="9" t="str">
        <f>HYPERLINK("http://www.ncbi.nlm.nih.gov/gene/172431", "172431")</f>
        <v>172431</v>
      </c>
      <c r="C1735" s="9" t="str">
        <f>HYPERLINK("http://www.ncbi.nlm.nih.gov/gene/23541", "23541")</f>
        <v>23541</v>
      </c>
      <c r="D1735" t="str">
        <f>"ctg-1"</f>
        <v>ctg-1</v>
      </c>
      <c r="E1735" t="s">
        <v>1418</v>
      </c>
      <c r="F1735" t="s">
        <v>11</v>
      </c>
      <c r="G1735" t="s">
        <v>1440</v>
      </c>
      <c r="H1735" s="12">
        <v>1.52042137394007</v>
      </c>
      <c r="I1735" s="20">
        <v>2.1970138584425101</v>
      </c>
      <c r="J1735" s="28">
        <v>2.8019456471413101E-2</v>
      </c>
      <c r="K1735" s="29">
        <v>0.37358197416530398</v>
      </c>
    </row>
    <row r="1736" spans="1:11" x14ac:dyDescent="0.35">
      <c r="A1736" s="9" t="str">
        <f>HYPERLINK("http://www.ensembl.org/id/WBGene00011699", "WBGene00011699")</f>
        <v>WBGene00011699</v>
      </c>
      <c r="B1736" s="9" t="str">
        <f>HYPERLINK("http://www.ncbi.nlm.nih.gov/gene/188400", "188400")</f>
        <v>188400</v>
      </c>
      <c r="C1736" s="9"/>
      <c r="D1736" t="str">
        <f>"cyp-34A2"</f>
        <v>cyp-34A2</v>
      </c>
      <c r="E1736" t="s">
        <v>176</v>
      </c>
      <c r="F1736" t="s">
        <v>11</v>
      </c>
      <c r="G1736" t="s">
        <v>438</v>
      </c>
      <c r="H1736" s="12">
        <v>2.8082123897722902</v>
      </c>
      <c r="I1736" s="20">
        <v>2.19537309256437</v>
      </c>
      <c r="J1736" s="28">
        <v>2.8136845634551901E-2</v>
      </c>
      <c r="K1736" s="29">
        <v>0.374930770029963</v>
      </c>
    </row>
    <row r="1737" spans="1:11" x14ac:dyDescent="0.35">
      <c r="A1737" s="9" t="str">
        <f>HYPERLINK("http://www.ensembl.org/id/WBGene00006740", "WBGene00006740")</f>
        <v>WBGene00006740</v>
      </c>
      <c r="B1737" s="9" t="str">
        <f>HYPERLINK("http://www.ncbi.nlm.nih.gov/gene/186900", "186900")</f>
        <v>186900</v>
      </c>
      <c r="C1737" s="9"/>
      <c r="D1737" t="str">
        <f>"ulp-5"</f>
        <v>ulp-5</v>
      </c>
      <c r="E1737" t="s">
        <v>1441</v>
      </c>
      <c r="F1737" t="s">
        <v>11</v>
      </c>
      <c r="G1737" t="s">
        <v>1442</v>
      </c>
      <c r="H1737" s="12">
        <v>-2.21262428019971</v>
      </c>
      <c r="I1737" s="20">
        <v>-2.1941419402312698</v>
      </c>
      <c r="J1737" s="28">
        <v>2.8225206968616499E-2</v>
      </c>
      <c r="K1737" s="29">
        <v>0.375891430672538</v>
      </c>
    </row>
    <row r="1738" spans="1:11" x14ac:dyDescent="0.35">
      <c r="A1738" s="9" t="str">
        <f>HYPERLINK("http://www.ensembl.org/id/WBGene00016594", "WBGene00016594")</f>
        <v>WBGene00016594</v>
      </c>
      <c r="B1738" s="9" t="str">
        <f>HYPERLINK("http://www.ncbi.nlm.nih.gov/gene/183403", "183403")</f>
        <v>183403</v>
      </c>
      <c r="C1738" s="9"/>
      <c r="D1738" t="str">
        <f>"C42D4.1"</f>
        <v>C42D4.1</v>
      </c>
      <c r="F1738" t="s">
        <v>11</v>
      </c>
      <c r="H1738" s="12">
        <v>-1.524299355266</v>
      </c>
      <c r="I1738" s="20">
        <v>-2.1929237881266399</v>
      </c>
      <c r="J1738" s="28">
        <v>2.8312870501038201E-2</v>
      </c>
      <c r="K1738" s="29">
        <v>0.37650196185268198</v>
      </c>
    </row>
    <row r="1739" spans="1:11" x14ac:dyDescent="0.35">
      <c r="A1739" s="9" t="str">
        <f>HYPERLINK("http://www.ensembl.org/id/WBGene00008260", "WBGene00008260")</f>
        <v>WBGene00008260</v>
      </c>
      <c r="B1739" s="9" t="str">
        <f>HYPERLINK("http://www.ncbi.nlm.nih.gov/gene/181420", "181420")</f>
        <v>181420</v>
      </c>
      <c r="C1739" s="9"/>
      <c r="D1739" t="str">
        <f>"C52G5.2"</f>
        <v>C52G5.2</v>
      </c>
      <c r="F1739" t="s">
        <v>11</v>
      </c>
      <c r="H1739" s="12">
        <v>1.90329787574345</v>
      </c>
      <c r="I1739" s="20">
        <v>2.19173341636917</v>
      </c>
      <c r="J1739" s="28">
        <v>2.8398761364472901E-2</v>
      </c>
      <c r="K1739" s="29">
        <v>0.37650196185268198</v>
      </c>
    </row>
    <row r="1740" spans="1:11" x14ac:dyDescent="0.35">
      <c r="A1740" s="9" t="str">
        <f>HYPERLINK("http://www.ensembl.org/id/WBGene00021603", "WBGene00021603")</f>
        <v>WBGene00021603</v>
      </c>
      <c r="B1740" s="9" t="str">
        <f>HYPERLINK("http://www.ncbi.nlm.nih.gov/gene/178656", "178656")</f>
        <v>178656</v>
      </c>
      <c r="C1740" s="9"/>
      <c r="D1740" t="str">
        <f>"clec-204"</f>
        <v>clec-204</v>
      </c>
      <c r="E1740" t="s">
        <v>46</v>
      </c>
      <c r="F1740" t="s">
        <v>11</v>
      </c>
      <c r="G1740" t="s">
        <v>47</v>
      </c>
      <c r="H1740" s="12">
        <v>-7.4610556749803303</v>
      </c>
      <c r="I1740" s="20">
        <v>-2.1916967938460301</v>
      </c>
      <c r="J1740" s="28">
        <v>2.8401407405402299E-2</v>
      </c>
      <c r="K1740" s="29">
        <v>0.37650196185268198</v>
      </c>
    </row>
    <row r="1741" spans="1:11" x14ac:dyDescent="0.35">
      <c r="A1741" s="9" t="str">
        <f>HYPERLINK("http://www.ensembl.org/id/WBGene00018069", "WBGene00018069")</f>
        <v>WBGene00018069</v>
      </c>
      <c r="B1741" s="9" t="str">
        <f>HYPERLINK("http://www.ncbi.nlm.nih.gov/gene/185329", "185329")</f>
        <v>185329</v>
      </c>
      <c r="C1741" s="9"/>
      <c r="D1741" t="str">
        <f>"F35H10.3"</f>
        <v>F35H10.3</v>
      </c>
      <c r="F1741" t="s">
        <v>11</v>
      </c>
      <c r="H1741" s="12">
        <v>2.0355858105545601</v>
      </c>
      <c r="I1741" s="20">
        <v>2.1925027765394498</v>
      </c>
      <c r="J1741" s="28">
        <v>2.8343222830339201E-2</v>
      </c>
      <c r="K1741" s="29">
        <v>0.37650196185268198</v>
      </c>
    </row>
    <row r="1742" spans="1:11" x14ac:dyDescent="0.35">
      <c r="A1742" s="9" t="str">
        <f>HYPERLINK("http://www.ensembl.org/id/WBGene00001707", "WBGene00001707")</f>
        <v>WBGene00001707</v>
      </c>
      <c r="B1742" s="9" t="str">
        <f>HYPERLINK("http://www.ncbi.nlm.nih.gov/gene/190048", "190048")</f>
        <v>190048</v>
      </c>
      <c r="C1742" s="9"/>
      <c r="D1742" t="str">
        <f>"grh-1"</f>
        <v>grh-1</v>
      </c>
      <c r="E1742" t="s">
        <v>1443</v>
      </c>
      <c r="F1742" t="s">
        <v>11</v>
      </c>
      <c r="G1742" t="s">
        <v>1444</v>
      </c>
      <c r="H1742" s="12">
        <v>1.70021637447117</v>
      </c>
      <c r="I1742" s="20">
        <v>2.1928831047583701</v>
      </c>
      <c r="J1742" s="28">
        <v>2.83158022971766E-2</v>
      </c>
      <c r="K1742" s="29">
        <v>0.37650196185268198</v>
      </c>
    </row>
    <row r="1743" spans="1:11" x14ac:dyDescent="0.35">
      <c r="A1743" s="9" t="str">
        <f>HYPERLINK("http://www.ensembl.org/id/WBGene00011571", "WBGene00011571")</f>
        <v>WBGene00011571</v>
      </c>
      <c r="B1743" s="9" t="str">
        <f>HYPERLINK("http://www.ncbi.nlm.nih.gov/gene/179384", "179384")</f>
        <v>179384</v>
      </c>
      <c r="C1743" s="9"/>
      <c r="D1743" t="str">
        <f>"ttr-46"</f>
        <v>ttr-46</v>
      </c>
      <c r="E1743" t="s">
        <v>1445</v>
      </c>
      <c r="F1743" t="s">
        <v>11</v>
      </c>
      <c r="G1743" t="s">
        <v>17</v>
      </c>
      <c r="H1743" s="12">
        <v>-1.4844072829517601</v>
      </c>
      <c r="I1743" s="20">
        <v>-2.1921796694673201</v>
      </c>
      <c r="J1743" s="28">
        <v>2.8366535859735399E-2</v>
      </c>
      <c r="K1743" s="29">
        <v>0.37650196185268198</v>
      </c>
    </row>
    <row r="1744" spans="1:11" x14ac:dyDescent="0.35">
      <c r="A1744" s="9" t="str">
        <f>HYPERLINK("http://www.ensembl.org/id/WBGene00012339", "WBGene00012339")</f>
        <v>WBGene00012339</v>
      </c>
      <c r="B1744" s="9" t="str">
        <f>HYPERLINK("http://www.ncbi.nlm.nih.gov/gene/179791", "179791")</f>
        <v>179791</v>
      </c>
      <c r="C1744" s="9"/>
      <c r="D1744" t="str">
        <f>"W07G4.5"</f>
        <v>W07G4.5</v>
      </c>
      <c r="F1744" t="s">
        <v>11</v>
      </c>
      <c r="H1744" s="12">
        <v>-1.54397302713179</v>
      </c>
      <c r="I1744" s="20">
        <v>-2.1922077505327602</v>
      </c>
      <c r="J1744" s="28">
        <v>2.8364509081334501E-2</v>
      </c>
      <c r="K1744" s="29">
        <v>0.37650196185268198</v>
      </c>
    </row>
    <row r="1745" spans="1:11" x14ac:dyDescent="0.35">
      <c r="A1745" s="9" t="str">
        <f>HYPERLINK("http://www.ensembl.org/id/WBGene00022296", "WBGene00022296")</f>
        <v>WBGene00022296</v>
      </c>
      <c r="B1745" s="9" t="str">
        <f>HYPERLINK("http://www.ncbi.nlm.nih.gov/gene/177002", "177002")</f>
        <v>177002</v>
      </c>
      <c r="C1745" s="9"/>
      <c r="D1745" t="str">
        <f>"xpc-1"</f>
        <v>xpc-1</v>
      </c>
      <c r="E1745" t="s">
        <v>1446</v>
      </c>
      <c r="F1745" t="s">
        <v>11</v>
      </c>
      <c r="G1745" t="s">
        <v>1447</v>
      </c>
      <c r="H1745" s="12">
        <v>-1.5404489663565699</v>
      </c>
      <c r="I1745" s="20">
        <v>-2.1918035844526802</v>
      </c>
      <c r="J1745" s="28">
        <v>2.8393692191790301E-2</v>
      </c>
      <c r="K1745" s="29">
        <v>0.37650196185268198</v>
      </c>
    </row>
    <row r="1746" spans="1:11" x14ac:dyDescent="0.35">
      <c r="A1746" s="9" t="str">
        <f>HYPERLINK("http://www.ensembl.org/id/WBGene00001135", "WBGene00001135")</f>
        <v>WBGene00001135</v>
      </c>
      <c r="B1746" s="9" t="str">
        <f>HYPERLINK("http://www.ncbi.nlm.nih.gov/gene/176291", "176291")</f>
        <v>176291</v>
      </c>
      <c r="C1746" s="9" t="str">
        <f>HYPERLINK("http://www.ncbi.nlm.nih.gov/gene/57030", "57030")</f>
        <v>57030</v>
      </c>
      <c r="D1746" t="str">
        <f>"eat-4"</f>
        <v>eat-4</v>
      </c>
      <c r="E1746" t="s">
        <v>1448</v>
      </c>
      <c r="F1746" t="s">
        <v>11</v>
      </c>
      <c r="G1746" t="s">
        <v>1449</v>
      </c>
      <c r="H1746" s="12">
        <v>1.89190564060429</v>
      </c>
      <c r="I1746" s="20">
        <v>2.19103583447006</v>
      </c>
      <c r="J1746" s="28">
        <v>2.8449199389783901E-2</v>
      </c>
      <c r="K1746" s="29">
        <v>0.37691926668597903</v>
      </c>
    </row>
    <row r="1747" spans="1:11" x14ac:dyDescent="0.35">
      <c r="A1747" s="9" t="str">
        <f>HYPERLINK("http://www.ensembl.org/id/WBGene00016234", "WBGene00016234")</f>
        <v>WBGene00016234</v>
      </c>
      <c r="B1747" s="9" t="str">
        <f>HYPERLINK("http://www.ncbi.nlm.nih.gov/gene/183035", "183035")</f>
        <v>183035</v>
      </c>
      <c r="C1747" s="9"/>
      <c r="D1747" t="str">
        <f>"C29G2.6"</f>
        <v>C29G2.6</v>
      </c>
      <c r="F1747" t="s">
        <v>11</v>
      </c>
      <c r="G1747" t="s">
        <v>25</v>
      </c>
      <c r="H1747" s="12">
        <v>1.8963638453859599</v>
      </c>
      <c r="I1747" s="20">
        <v>2.1899996670170498</v>
      </c>
      <c r="J1747" s="28">
        <v>2.85242609705149E-2</v>
      </c>
      <c r="K1747" s="29">
        <v>0.37759901921564198</v>
      </c>
    </row>
    <row r="1748" spans="1:11" x14ac:dyDescent="0.35">
      <c r="A1748" s="9" t="str">
        <f>HYPERLINK("http://www.ensembl.org/id/WBGene00010059", "WBGene00010059")</f>
        <v>WBGene00010059</v>
      </c>
      <c r="B1748" s="9" t="str">
        <f>HYPERLINK("http://www.ncbi.nlm.nih.gov/gene/181559", "181559")</f>
        <v>181559</v>
      </c>
      <c r="C1748" s="9"/>
      <c r="D1748" t="str">
        <f>"F54E4.3"</f>
        <v>F54E4.3</v>
      </c>
      <c r="F1748" t="s">
        <v>11</v>
      </c>
      <c r="H1748" s="12">
        <v>1.5769968493914399</v>
      </c>
      <c r="I1748" s="20">
        <v>2.1898765653373502</v>
      </c>
      <c r="J1748" s="28">
        <v>2.8533189974487599E-2</v>
      </c>
      <c r="K1748" s="29">
        <v>0.37759901921564198</v>
      </c>
    </row>
    <row r="1749" spans="1:11" x14ac:dyDescent="0.35">
      <c r="A1749" s="9" t="str">
        <f>HYPERLINK("http://www.ensembl.org/id/WBGene00001564", "WBGene00001564")</f>
        <v>WBGene00001564</v>
      </c>
      <c r="B1749" s="9" t="str">
        <f>HYPERLINK("http://www.ncbi.nlm.nih.gov/gene/178583", "178583")</f>
        <v>178583</v>
      </c>
      <c r="C1749" s="9"/>
      <c r="D1749" t="str">
        <f>"icl-1"</f>
        <v>icl-1</v>
      </c>
      <c r="E1749" t="s">
        <v>1450</v>
      </c>
      <c r="F1749" t="s">
        <v>11</v>
      </c>
      <c r="G1749" t="s">
        <v>1451</v>
      </c>
      <c r="H1749" s="12">
        <v>-1.5471531373521501</v>
      </c>
      <c r="I1749" s="20">
        <v>-2.1895688933173298</v>
      </c>
      <c r="J1749" s="28">
        <v>2.8555517052270399E-2</v>
      </c>
      <c r="K1749" s="29">
        <v>0.37767817802504899</v>
      </c>
    </row>
    <row r="1750" spans="1:11" x14ac:dyDescent="0.35">
      <c r="A1750" s="9" t="str">
        <f>HYPERLINK("http://www.ensembl.org/id/WBGene00016236", "WBGene00016236")</f>
        <v>WBGene00016236</v>
      </c>
      <c r="B1750" s="9" t="str">
        <f>HYPERLINK("http://www.ncbi.nlm.nih.gov/gene/183036", "183036")</f>
        <v>183036</v>
      </c>
      <c r="C1750" s="9"/>
      <c r="D1750" t="str">
        <f>"heri-1"</f>
        <v>heri-1</v>
      </c>
      <c r="E1750" t="s">
        <v>1452</v>
      </c>
      <c r="F1750" t="s">
        <v>11</v>
      </c>
      <c r="G1750" t="s">
        <v>1453</v>
      </c>
      <c r="H1750" s="12">
        <v>-2.1050087205107899</v>
      </c>
      <c r="I1750" s="20">
        <v>-2.18925346608194</v>
      </c>
      <c r="J1750" s="28">
        <v>2.85784225287345E-2</v>
      </c>
      <c r="K1750" s="29">
        <v>0.37776489184721901</v>
      </c>
    </row>
    <row r="1751" spans="1:11" x14ac:dyDescent="0.35">
      <c r="A1751" s="9" t="str">
        <f>HYPERLINK("http://www.ensembl.org/id/WBGene00022832", "WBGene00022832")</f>
        <v>WBGene00022832</v>
      </c>
      <c r="B1751" s="9" t="str">
        <f>HYPERLINK("http://www.ncbi.nlm.nih.gov/gene/172035", "172035")</f>
        <v>172035</v>
      </c>
      <c r="C1751" s="9" t="str">
        <f>HYPERLINK("http://www.ncbi.nlm.nih.gov/gene/54704", "54704")</f>
        <v>54704</v>
      </c>
      <c r="D1751" t="str">
        <f>"pdp-1"</f>
        <v>pdp-1</v>
      </c>
      <c r="E1751" t="s">
        <v>1454</v>
      </c>
      <c r="F1751" t="s">
        <v>11</v>
      </c>
      <c r="G1751" t="s">
        <v>1455</v>
      </c>
      <c r="H1751" s="12">
        <v>-1.5262164740319399</v>
      </c>
      <c r="I1751" s="20">
        <v>-2.1886004835986301</v>
      </c>
      <c r="J1751" s="28">
        <v>2.8625890650646701E-2</v>
      </c>
      <c r="K1751" s="29">
        <v>0.37795990249933897</v>
      </c>
    </row>
    <row r="1752" spans="1:11" x14ac:dyDescent="0.35">
      <c r="A1752" s="9" t="str">
        <f>HYPERLINK("http://www.ensembl.org/id/WBGene00011225", "WBGene00011225")</f>
        <v>WBGene00011225</v>
      </c>
      <c r="B1752" s="9" t="str">
        <f>HYPERLINK("http://www.ncbi.nlm.nih.gov/gene/177932", "177932")</f>
        <v>177932</v>
      </c>
      <c r="C1752" s="9"/>
      <c r="D1752" t="str">
        <f>"R10H10.7"</f>
        <v>R10H10.7</v>
      </c>
      <c r="F1752" t="s">
        <v>11</v>
      </c>
      <c r="G1752" t="s">
        <v>1456</v>
      </c>
      <c r="H1752" s="12">
        <v>-1.6348062727285999</v>
      </c>
      <c r="I1752" s="20">
        <v>-2.1887707949484301</v>
      </c>
      <c r="J1752" s="28">
        <v>2.8613503440884099E-2</v>
      </c>
      <c r="K1752" s="29">
        <v>0.37795990249933897</v>
      </c>
    </row>
    <row r="1753" spans="1:11" x14ac:dyDescent="0.35">
      <c r="A1753" s="9" t="str">
        <f>HYPERLINK("http://www.ensembl.org/id/WBGene00010557", "WBGene00010557")</f>
        <v>WBGene00010557</v>
      </c>
      <c r="B1753" s="9" t="str">
        <f>HYPERLINK("http://www.ncbi.nlm.nih.gov/gene/177896", "177896")</f>
        <v>177896</v>
      </c>
      <c r="C1753" s="9"/>
      <c r="D1753" t="str">
        <f>"mspn-1"</f>
        <v>mspn-1</v>
      </c>
      <c r="E1753" t="s">
        <v>1459</v>
      </c>
      <c r="F1753" t="s">
        <v>11</v>
      </c>
      <c r="G1753" t="s">
        <v>1460</v>
      </c>
      <c r="H1753" s="12">
        <v>-1.5893517092684999</v>
      </c>
      <c r="I1753" s="20">
        <v>-2.18811454643811</v>
      </c>
      <c r="J1753" s="28">
        <v>2.8661259578628102E-2</v>
      </c>
      <c r="K1753" s="29">
        <v>0.37799489944279702</v>
      </c>
    </row>
    <row r="1754" spans="1:11" x14ac:dyDescent="0.35">
      <c r="A1754" s="9" t="str">
        <f>HYPERLINK("http://www.ensembl.org/id/WBGene00004758", "WBGene00004758")</f>
        <v>WBGene00004758</v>
      </c>
      <c r="B1754" s="9" t="str">
        <f>HYPERLINK("http://www.ncbi.nlm.nih.gov/gene/181043", "181043")</f>
        <v>181043</v>
      </c>
      <c r="C1754" s="9" t="str">
        <f>HYPERLINK("http://www.ncbi.nlm.nih.gov/gene/5608", "5608")</f>
        <v>5608</v>
      </c>
      <c r="D1754" t="str">
        <f>"sek-1"</f>
        <v>sek-1</v>
      </c>
      <c r="E1754" t="s">
        <v>1457</v>
      </c>
      <c r="F1754" t="s">
        <v>11</v>
      </c>
      <c r="G1754" t="s">
        <v>1458</v>
      </c>
      <c r="H1754" s="12">
        <v>-1.4839452632005301</v>
      </c>
      <c r="I1754" s="20">
        <v>-2.1882546115823498</v>
      </c>
      <c r="J1754" s="28">
        <v>2.8651061081134101E-2</v>
      </c>
      <c r="K1754" s="29">
        <v>0.37799489944279702</v>
      </c>
    </row>
    <row r="1755" spans="1:11" x14ac:dyDescent="0.35">
      <c r="A1755" s="9" t="str">
        <f>HYPERLINK("http://www.ensembl.org/id/WBGene00008642", "WBGene00008642")</f>
        <v>WBGene00008642</v>
      </c>
      <c r="B1755" s="9" t="str">
        <f>HYPERLINK("http://www.ncbi.nlm.nih.gov/gene/174310", "174310")</f>
        <v>174310</v>
      </c>
      <c r="C1755" s="9" t="str">
        <f>HYPERLINK("http://www.ncbi.nlm.nih.gov/gene/54973", "54973")</f>
        <v>54973</v>
      </c>
      <c r="D1755" t="str">
        <f>"F10B5.8"</f>
        <v>F10B5.8</v>
      </c>
      <c r="F1755" t="s">
        <v>11</v>
      </c>
      <c r="G1755" t="s">
        <v>1461</v>
      </c>
      <c r="H1755" s="12">
        <v>-1.58418538516231</v>
      </c>
      <c r="I1755" s="20">
        <v>-2.18764491124811</v>
      </c>
      <c r="J1755" s="28">
        <v>2.86954777226393E-2</v>
      </c>
      <c r="K1755" s="29">
        <v>0.37823029564136001</v>
      </c>
    </row>
    <row r="1756" spans="1:11" x14ac:dyDescent="0.35">
      <c r="A1756" s="9" t="str">
        <f>HYPERLINK("http://www.ensembl.org/id/WBGene00013312", "WBGene00013312")</f>
        <v>WBGene00013312</v>
      </c>
      <c r="B1756" s="9" t="str">
        <f>HYPERLINK("http://www.ncbi.nlm.nih.gov/gene/190374", "190374")</f>
        <v>190374</v>
      </c>
      <c r="C1756" s="9" t="str">
        <f>HYPERLINK("http://www.ncbi.nlm.nih.gov/gene/55733", "55733")</f>
        <v>55733</v>
      </c>
      <c r="D1756" t="str">
        <f>"hhat-2"</f>
        <v>hhat-2</v>
      </c>
      <c r="E1756" t="s">
        <v>1462</v>
      </c>
      <c r="F1756" t="s">
        <v>11</v>
      </c>
      <c r="G1756" t="s">
        <v>1463</v>
      </c>
      <c r="H1756" s="12">
        <v>1.9123094279269099</v>
      </c>
      <c r="I1756" s="20">
        <v>2.1874162094516998</v>
      </c>
      <c r="J1756" s="28">
        <v>2.8712153924007201E-2</v>
      </c>
      <c r="K1756" s="29">
        <v>0.37823433783814803</v>
      </c>
    </row>
    <row r="1757" spans="1:11" x14ac:dyDescent="0.35">
      <c r="A1757" s="9" t="str">
        <f>HYPERLINK("http://www.ensembl.org/id/WBGene00007992", "WBGene00007992")</f>
        <v>WBGene00007992</v>
      </c>
      <c r="B1757" s="9" t="str">
        <f>HYPERLINK("http://www.ncbi.nlm.nih.gov/gene/183286", "183286")</f>
        <v>183286</v>
      </c>
      <c r="C1757" s="9"/>
      <c r="D1757" t="str">
        <f>"fipr-24"</f>
        <v>fipr-24</v>
      </c>
      <c r="E1757" t="s">
        <v>28</v>
      </c>
      <c r="F1757" t="s">
        <v>11</v>
      </c>
      <c r="G1757" t="s">
        <v>264</v>
      </c>
      <c r="H1757" s="12">
        <v>-1.68859669243499</v>
      </c>
      <c r="I1757" s="20">
        <v>-2.1870187482593901</v>
      </c>
      <c r="J1757" s="28">
        <v>2.87411553738194E-2</v>
      </c>
      <c r="K1757" s="29">
        <v>0.37840064733189199</v>
      </c>
    </row>
    <row r="1758" spans="1:11" x14ac:dyDescent="0.35">
      <c r="A1758" s="9" t="str">
        <f>HYPERLINK("http://www.ensembl.org/id/WBGene00016354", "WBGene00016354")</f>
        <v>WBGene00016354</v>
      </c>
      <c r="B1758" s="9" t="str">
        <f>HYPERLINK("http://www.ncbi.nlm.nih.gov/gene/173828", "173828")</f>
        <v>173828</v>
      </c>
      <c r="C1758" s="9" t="str">
        <f>HYPERLINK("http://www.ncbi.nlm.nih.gov/gene/152330", "152330")</f>
        <v>152330</v>
      </c>
      <c r="D1758" t="str">
        <f>"rig-6"</f>
        <v>rig-6</v>
      </c>
      <c r="E1758" t="s">
        <v>1464</v>
      </c>
      <c r="F1758" t="s">
        <v>11</v>
      </c>
      <c r="G1758" t="s">
        <v>1465</v>
      </c>
      <c r="H1758" s="12">
        <v>1.5359094968307001</v>
      </c>
      <c r="I1758" s="20">
        <v>2.18665255709328</v>
      </c>
      <c r="J1758" s="28">
        <v>2.87678974735198E-2</v>
      </c>
      <c r="K1758" s="29">
        <v>0.37853703816807999</v>
      </c>
    </row>
    <row r="1759" spans="1:11" x14ac:dyDescent="0.35">
      <c r="A1759" s="9" t="str">
        <f>HYPERLINK("http://www.ensembl.org/id/WBGene00011513", "WBGene00011513")</f>
        <v>WBGene00011513</v>
      </c>
      <c r="B1759" s="9" t="str">
        <f>HYPERLINK("http://www.ncbi.nlm.nih.gov/gene/188165", "188165")</f>
        <v>188165</v>
      </c>
      <c r="C1759" s="9"/>
      <c r="D1759" t="str">
        <f>"fbxa-197"</f>
        <v>fbxa-197</v>
      </c>
      <c r="E1759" t="s">
        <v>467</v>
      </c>
      <c r="F1759" t="s">
        <v>11</v>
      </c>
      <c r="H1759" s="12">
        <v>-2.5907366920041102</v>
      </c>
      <c r="I1759" s="20">
        <v>-2.1863076952873102</v>
      </c>
      <c r="J1759" s="28">
        <v>2.8793101525371199E-2</v>
      </c>
      <c r="K1759" s="29">
        <v>0.37865304715152298</v>
      </c>
    </row>
    <row r="1760" spans="1:11" x14ac:dyDescent="0.35">
      <c r="A1760" s="9" t="str">
        <f>HYPERLINK("http://www.ensembl.org/id/WBGene00002135", "WBGene00002135")</f>
        <v>WBGene00002135</v>
      </c>
      <c r="B1760" s="9" t="str">
        <f>HYPERLINK("http://www.ncbi.nlm.nih.gov/gene/171943", "171943")</f>
        <v>171943</v>
      </c>
      <c r="C1760" s="9"/>
      <c r="D1760" t="str">
        <f>"inx-13"</f>
        <v>inx-13</v>
      </c>
      <c r="E1760" t="s">
        <v>275</v>
      </c>
      <c r="F1760" t="s">
        <v>11</v>
      </c>
      <c r="G1760" t="s">
        <v>1466</v>
      </c>
      <c r="H1760" s="12">
        <v>1.5022833647084199</v>
      </c>
      <c r="I1760" s="20">
        <v>2.1859676407826898</v>
      </c>
      <c r="J1760" s="28">
        <v>2.88179728526789E-2</v>
      </c>
      <c r="K1760" s="29">
        <v>0.37876455104322998</v>
      </c>
    </row>
    <row r="1761" spans="1:11" x14ac:dyDescent="0.35">
      <c r="A1761" s="9" t="str">
        <f>HYPERLINK("http://www.ensembl.org/id/WBGene00022036", "WBGene00022036")</f>
        <v>WBGene00022036</v>
      </c>
      <c r="B1761" s="9" t="str">
        <f>HYPERLINK("http://www.ncbi.nlm.nih.gov/gene/171641", "171641")</f>
        <v>171641</v>
      </c>
      <c r="C1761" s="9"/>
      <c r="D1761" t="str">
        <f>"Y65B4BL.4"</f>
        <v>Y65B4BL.4</v>
      </c>
      <c r="F1761" t="s">
        <v>11</v>
      </c>
      <c r="G1761" t="s">
        <v>25</v>
      </c>
      <c r="H1761" s="12">
        <v>-1.7157106300996701</v>
      </c>
      <c r="I1761" s="20">
        <v>-2.1856539415917502</v>
      </c>
      <c r="J1761" s="28">
        <v>2.8840932972532402E-2</v>
      </c>
      <c r="K1761" s="29">
        <v>0.37885082277619903</v>
      </c>
    </row>
    <row r="1762" spans="1:11" x14ac:dyDescent="0.35">
      <c r="A1762" s="9" t="str">
        <f>HYPERLINK("http://www.ensembl.org/id/WBGene00008343", "WBGene00008343")</f>
        <v>WBGene00008343</v>
      </c>
      <c r="B1762" s="9" t="str">
        <f>HYPERLINK("http://www.ncbi.nlm.nih.gov/gene/179836", "179836")</f>
        <v>179836</v>
      </c>
      <c r="C1762" s="9"/>
      <c r="D1762" t="str">
        <f>"C56A3.4"</f>
        <v>C56A3.4</v>
      </c>
      <c r="F1762" t="s">
        <v>11</v>
      </c>
      <c r="G1762" t="s">
        <v>583</v>
      </c>
      <c r="H1762" s="12">
        <v>-1.6022898683189799</v>
      </c>
      <c r="I1762" s="20">
        <v>-2.1849357928511699</v>
      </c>
      <c r="J1762" s="28">
        <v>2.8893554673853499E-2</v>
      </c>
      <c r="K1762" s="29">
        <v>0.379127495359115</v>
      </c>
    </row>
    <row r="1763" spans="1:11" x14ac:dyDescent="0.35">
      <c r="A1763" s="9" t="str">
        <f>HYPERLINK("http://www.ensembl.org/id/WBGene00009158", "WBGene00009158")</f>
        <v>WBGene00009158</v>
      </c>
      <c r="B1763" s="9" t="str">
        <f>HYPERLINK("http://www.ncbi.nlm.nih.gov/gene/172827", "172827")</f>
        <v>172827</v>
      </c>
      <c r="C1763" s="9" t="str">
        <f>HYPERLINK("http://www.ncbi.nlm.nih.gov/gene/64129", "64129")</f>
        <v>64129</v>
      </c>
      <c r="D1763" t="str">
        <f>"F26E4.3"</f>
        <v>F26E4.3</v>
      </c>
      <c r="E1763" t="s">
        <v>1472</v>
      </c>
      <c r="F1763" t="s">
        <v>11</v>
      </c>
      <c r="G1763" t="s">
        <v>1473</v>
      </c>
      <c r="H1763" s="12">
        <v>1.5779938174642301</v>
      </c>
      <c r="I1763" s="20">
        <v>2.1847064084679402</v>
      </c>
      <c r="J1763" s="28">
        <v>2.8910380015150901E-2</v>
      </c>
      <c r="K1763" s="29">
        <v>0.379127495359115</v>
      </c>
    </row>
    <row r="1764" spans="1:11" x14ac:dyDescent="0.35">
      <c r="A1764" s="9" t="str">
        <f>HYPERLINK("http://www.ensembl.org/id/WBGene00007502", "WBGene00007502")</f>
        <v>WBGene00007502</v>
      </c>
      <c r="B1764" s="9" t="str">
        <f>HYPERLINK("http://www.ncbi.nlm.nih.gov/gene/182480", "182480")</f>
        <v>182480</v>
      </c>
      <c r="C1764" s="9"/>
      <c r="D1764" t="str">
        <f>"glb-4"</f>
        <v>glb-4</v>
      </c>
      <c r="E1764" t="s">
        <v>633</v>
      </c>
      <c r="F1764" t="s">
        <v>11</v>
      </c>
      <c r="G1764" t="s">
        <v>867</v>
      </c>
      <c r="H1764" s="12">
        <v>2.1693808034596</v>
      </c>
      <c r="I1764" s="20">
        <v>2.1842677494371601</v>
      </c>
      <c r="J1764" s="28">
        <v>2.8942579137456299E-2</v>
      </c>
      <c r="K1764" s="29">
        <v>0.379127495359115</v>
      </c>
    </row>
    <row r="1765" spans="1:11" x14ac:dyDescent="0.35">
      <c r="A1765" s="9" t="str">
        <f>HYPERLINK("http://www.ensembl.org/id/WBGene00012915", "WBGene00012915")</f>
        <v>WBGene00012915</v>
      </c>
      <c r="B1765" s="9" t="str">
        <f>HYPERLINK("http://www.ncbi.nlm.nih.gov/gene/189960", "189960")</f>
        <v>189960</v>
      </c>
      <c r="C1765" s="9"/>
      <c r="D1765" t="str">
        <f>"lgc-35"</f>
        <v>lgc-35</v>
      </c>
      <c r="E1765" t="s">
        <v>505</v>
      </c>
      <c r="F1765" t="s">
        <v>11</v>
      </c>
      <c r="G1765" t="s">
        <v>1471</v>
      </c>
      <c r="H1765" s="12">
        <v>1.81265851252875</v>
      </c>
      <c r="I1765" s="20">
        <v>2.1842262892489201</v>
      </c>
      <c r="J1765" s="28">
        <v>2.8945624057900601E-2</v>
      </c>
      <c r="K1765" s="29">
        <v>0.379127495359115</v>
      </c>
    </row>
    <row r="1766" spans="1:11" x14ac:dyDescent="0.35">
      <c r="A1766" s="9" t="str">
        <f>HYPERLINK("http://www.ensembl.org/id/WBGene00016984", "WBGene00016984")</f>
        <v>WBGene00016984</v>
      </c>
      <c r="B1766" s="9" t="str">
        <f>HYPERLINK("http://www.ncbi.nlm.nih.gov/gene/183869", "183869")</f>
        <v>183869</v>
      </c>
      <c r="C1766" s="9"/>
      <c r="D1766" t="str">
        <f>"npr-8"</f>
        <v>npr-8</v>
      </c>
      <c r="E1766" t="s">
        <v>1469</v>
      </c>
      <c r="F1766" t="s">
        <v>11</v>
      </c>
      <c r="G1766" t="s">
        <v>1470</v>
      </c>
      <c r="H1766" s="12">
        <v>2.0467247348164701</v>
      </c>
      <c r="I1766" s="20">
        <v>2.1843339509151298</v>
      </c>
      <c r="J1766" s="28">
        <v>2.8937717738077001E-2</v>
      </c>
      <c r="K1766" s="29">
        <v>0.379127495359115</v>
      </c>
    </row>
    <row r="1767" spans="1:11" x14ac:dyDescent="0.35">
      <c r="A1767" s="9" t="str">
        <f>HYPERLINK("http://www.ensembl.org/id/WBGene00005036", "WBGene00005036")</f>
        <v>WBGene00005036</v>
      </c>
      <c r="B1767" s="9" t="str">
        <f>HYPERLINK("http://www.ncbi.nlm.nih.gov/gene/191781", "191781")</f>
        <v>191781</v>
      </c>
      <c r="C1767" s="9"/>
      <c r="D1767" t="str">
        <f>"sra-10"</f>
        <v>sra-10</v>
      </c>
      <c r="E1767" t="s">
        <v>1467</v>
      </c>
      <c r="F1767" t="s">
        <v>11</v>
      </c>
      <c r="G1767" t="s">
        <v>1468</v>
      </c>
      <c r="H1767" s="12">
        <v>2.3212875468710199</v>
      </c>
      <c r="I1767" s="20">
        <v>2.1840245457876502</v>
      </c>
      <c r="J1767" s="28">
        <v>2.89604444433843E-2</v>
      </c>
      <c r="K1767" s="29">
        <v>0.379127495359115</v>
      </c>
    </row>
    <row r="1768" spans="1:11" x14ac:dyDescent="0.35">
      <c r="A1768" s="9" t="str">
        <f>HYPERLINK("http://www.ensembl.org/id/WBGene00013082", "WBGene00013082")</f>
        <v>WBGene00013082</v>
      </c>
      <c r="B1768" s="9" t="str">
        <f>HYPERLINK("http://www.ncbi.nlm.nih.gov/gene/190137", "190137")</f>
        <v>190137</v>
      </c>
      <c r="C1768" s="9"/>
      <c r="D1768" t="str">
        <f>"grdn-1"</f>
        <v>grdn-1</v>
      </c>
      <c r="E1768" t="s">
        <v>1474</v>
      </c>
      <c r="F1768" t="s">
        <v>11</v>
      </c>
      <c r="G1768" t="s">
        <v>1475</v>
      </c>
      <c r="H1768" s="12">
        <v>1.54126721553504</v>
      </c>
      <c r="I1768" s="20">
        <v>2.18319799727968</v>
      </c>
      <c r="J1768" s="28">
        <v>2.9021232192168098E-2</v>
      </c>
      <c r="K1768" s="29">
        <v>0.37970814894237698</v>
      </c>
    </row>
    <row r="1769" spans="1:11" x14ac:dyDescent="0.35">
      <c r="A1769" s="9" t="str">
        <f>HYPERLINK("http://www.ensembl.org/id/WBGene00018011", "WBGene00018011")</f>
        <v>WBGene00018011</v>
      </c>
      <c r="B1769" s="9" t="str">
        <f>HYPERLINK("http://www.ncbi.nlm.nih.gov/gene/178556", "178556")</f>
        <v>178556</v>
      </c>
      <c r="C1769" s="9"/>
      <c r="D1769" t="str">
        <f>"F33E11.3"</f>
        <v>F33E11.3</v>
      </c>
      <c r="F1769" t="s">
        <v>11</v>
      </c>
      <c r="H1769" s="12">
        <v>-1.5259064033043901</v>
      </c>
      <c r="I1769" s="20">
        <v>-2.18246744606305</v>
      </c>
      <c r="J1769" s="28">
        <v>2.9075051308497201E-2</v>
      </c>
      <c r="K1769" s="29">
        <v>0.37994765479566001</v>
      </c>
    </row>
    <row r="1770" spans="1:11" x14ac:dyDescent="0.35">
      <c r="A1770" s="9" t="str">
        <f>HYPERLINK("http://www.ensembl.org/id/WBGene00010299", "WBGene00010299")</f>
        <v>WBGene00010299</v>
      </c>
      <c r="B1770" s="9" t="str">
        <f>HYPERLINK("http://www.ncbi.nlm.nih.gov/gene/186565", "186565")</f>
        <v>186565</v>
      </c>
      <c r="C1770" s="9"/>
      <c r="D1770" t="str">
        <f>"F59A1.13"</f>
        <v>F59A1.13</v>
      </c>
      <c r="F1770" t="s">
        <v>11</v>
      </c>
      <c r="G1770" t="s">
        <v>230</v>
      </c>
      <c r="H1770" s="12">
        <v>-2.3052350263008998</v>
      </c>
      <c r="I1770" s="20">
        <v>-2.1824006151672202</v>
      </c>
      <c r="J1770" s="28">
        <v>2.9079978972216002E-2</v>
      </c>
      <c r="K1770" s="29">
        <v>0.37994765479566001</v>
      </c>
    </row>
    <row r="1771" spans="1:11" x14ac:dyDescent="0.35">
      <c r="A1771" s="9" t="str">
        <f>HYPERLINK("http://www.ensembl.org/id/WBGene00012444", "WBGene00012444")</f>
        <v>WBGene00012444</v>
      </c>
      <c r="B1771" s="9" t="str">
        <f>HYPERLINK("http://www.ncbi.nlm.nih.gov/gene/181624", "181624")</f>
        <v>181624</v>
      </c>
      <c r="C1771" s="9"/>
      <c r="D1771" t="str">
        <f>"Y15E3A.5"</f>
        <v>Y15E3A.5</v>
      </c>
      <c r="F1771" t="s">
        <v>11</v>
      </c>
      <c r="H1771" s="12">
        <v>-1.47489575343945</v>
      </c>
      <c r="I1771" s="20">
        <v>-2.18228007318735</v>
      </c>
      <c r="J1771" s="28">
        <v>2.9088868749827801E-2</v>
      </c>
      <c r="K1771" s="29">
        <v>0.37994765479566001</v>
      </c>
    </row>
    <row r="1772" spans="1:11" x14ac:dyDescent="0.35">
      <c r="A1772" s="9" t="str">
        <f>HYPERLINK("http://www.ensembl.org/id/WBGene00017180", "WBGene00017180")</f>
        <v>WBGene00017180</v>
      </c>
      <c r="B1772" s="9" t="str">
        <f>HYPERLINK("http://www.ncbi.nlm.nih.gov/gene/184096", "184096")</f>
        <v>184096</v>
      </c>
      <c r="C1772" s="9"/>
      <c r="D1772" t="str">
        <f>"F02E11.2"</f>
        <v>F02E11.2</v>
      </c>
      <c r="F1772" t="s">
        <v>11</v>
      </c>
      <c r="H1772" s="12">
        <v>2.8753843306758999</v>
      </c>
      <c r="I1772" s="20">
        <v>2.1813952393926899</v>
      </c>
      <c r="J1772" s="28">
        <v>2.91541954485704E-2</v>
      </c>
      <c r="K1772" s="29">
        <v>0.380585785330321</v>
      </c>
    </row>
    <row r="1773" spans="1:11" x14ac:dyDescent="0.35">
      <c r="A1773" s="9" t="str">
        <f>HYPERLINK("http://www.ensembl.org/id/WBGene00016332", "WBGene00016332")</f>
        <v>WBGene00016332</v>
      </c>
      <c r="B1773" s="9" t="str">
        <f>HYPERLINK("http://www.ncbi.nlm.nih.gov/gene/172248", "172248")</f>
        <v>172248</v>
      </c>
      <c r="C1773" s="9"/>
      <c r="D1773" t="str">
        <f>"C32F10.4"</f>
        <v>C32F10.4</v>
      </c>
      <c r="F1773" t="s">
        <v>11</v>
      </c>
      <c r="G1773" t="s">
        <v>25</v>
      </c>
      <c r="H1773" s="12">
        <v>-1.5114464615819601</v>
      </c>
      <c r="I1773" s="20">
        <v>-2.1809142158222099</v>
      </c>
      <c r="J1773" s="28">
        <v>2.91897620481248E-2</v>
      </c>
      <c r="K1773" s="29">
        <v>0.38083491918914297</v>
      </c>
    </row>
    <row r="1774" spans="1:11" x14ac:dyDescent="0.35">
      <c r="A1774" s="9" t="str">
        <f>HYPERLINK("http://www.ensembl.org/id/WBGene00019825", "WBGene00019825")</f>
        <v>WBGene00019825</v>
      </c>
      <c r="B1774" s="9" t="str">
        <f>HYPERLINK("http://www.ncbi.nlm.nih.gov/gene/176845", "176845")</f>
        <v>176845</v>
      </c>
      <c r="C1774" s="9" t="str">
        <f>HYPERLINK("http://www.ncbi.nlm.nih.gov/gene/79033", "79033")</f>
        <v>79033</v>
      </c>
      <c r="D1774" t="str">
        <f>"R02D3.8"</f>
        <v>R02D3.8</v>
      </c>
      <c r="F1774" t="s">
        <v>11</v>
      </c>
      <c r="G1774" t="s">
        <v>1476</v>
      </c>
      <c r="H1774" s="12">
        <v>-1.6976698649944799</v>
      </c>
      <c r="I1774" s="20">
        <v>-2.17998652842742</v>
      </c>
      <c r="J1774" s="28">
        <v>2.9258460158012801E-2</v>
      </c>
      <c r="K1774" s="29">
        <v>0.38151579029968602</v>
      </c>
    </row>
    <row r="1775" spans="1:11" x14ac:dyDescent="0.35">
      <c r="A1775" s="9" t="str">
        <f>HYPERLINK("http://www.ensembl.org/id/WBGene00006008", "WBGene00006008")</f>
        <v>WBGene00006008</v>
      </c>
      <c r="B1775" s="9" t="str">
        <f>HYPERLINK("http://www.ncbi.nlm.nih.gov/gene/182611", "182611")</f>
        <v>182611</v>
      </c>
      <c r="C1775" s="9"/>
      <c r="D1775" t="str">
        <f>"srx-117"</f>
        <v>srx-117</v>
      </c>
      <c r="E1775" t="s">
        <v>1477</v>
      </c>
      <c r="F1775" t="s">
        <v>11</v>
      </c>
      <c r="G1775" t="s">
        <v>25</v>
      </c>
      <c r="H1775" s="12">
        <v>3.4026116408710099</v>
      </c>
      <c r="I1775" s="20">
        <v>2.1797273302056501</v>
      </c>
      <c r="J1775" s="28">
        <v>2.92776794323211E-2</v>
      </c>
      <c r="K1775" s="29">
        <v>0.38155107781343001</v>
      </c>
    </row>
    <row r="1776" spans="1:11" x14ac:dyDescent="0.35">
      <c r="A1776" s="9" t="str">
        <f>HYPERLINK("http://www.ensembl.org/id/WBGene00000277", "WBGene00000277")</f>
        <v>WBGene00000277</v>
      </c>
      <c r="B1776" s="9" t="str">
        <f>HYPERLINK("http://www.ncbi.nlm.nih.gov/gene/181382", "181382")</f>
        <v>181382</v>
      </c>
      <c r="C1776" s="9"/>
      <c r="D1776" t="str">
        <f>"cab-1"</f>
        <v>cab-1</v>
      </c>
      <c r="F1776" t="s">
        <v>11</v>
      </c>
      <c r="G1776" t="s">
        <v>1268</v>
      </c>
      <c r="H1776" s="12">
        <v>1.4741577611224499</v>
      </c>
      <c r="I1776" s="20">
        <v>2.1787781377381701</v>
      </c>
      <c r="J1776" s="28">
        <v>2.93481538051471E-2</v>
      </c>
      <c r="K1776" s="29">
        <v>0.38225391309003898</v>
      </c>
    </row>
    <row r="1777" spans="1:11" x14ac:dyDescent="0.35">
      <c r="A1777" s="9" t="str">
        <f>HYPERLINK("http://www.ensembl.org/id/WBGene00006324", "WBGene00006324")</f>
        <v>WBGene00006324</v>
      </c>
      <c r="B1777" s="9" t="str">
        <f>HYPERLINK("http://www.ncbi.nlm.nih.gov/gene/172689", "172689")</f>
        <v>172689</v>
      </c>
      <c r="C1777" s="9"/>
      <c r="D1777" t="str">
        <f>"sup-17"</f>
        <v>sup-17</v>
      </c>
      <c r="E1777" t="s">
        <v>1478</v>
      </c>
      <c r="F1777" t="s">
        <v>11</v>
      </c>
      <c r="G1777" t="s">
        <v>1479</v>
      </c>
      <c r="H1777" s="12">
        <v>-1.4879490809121501</v>
      </c>
      <c r="I1777" s="20">
        <v>-2.1776201241778499</v>
      </c>
      <c r="J1777" s="28">
        <v>2.9434330044809599E-2</v>
      </c>
      <c r="K1777" s="29">
        <v>0.38316035493823702</v>
      </c>
    </row>
    <row r="1778" spans="1:11" x14ac:dyDescent="0.35">
      <c r="A1778" s="9" t="str">
        <f>HYPERLINK("http://www.ensembl.org/id/WBGene00012398", "WBGene00012398")</f>
        <v>WBGene00012398</v>
      </c>
      <c r="B1778" s="9" t="str">
        <f>HYPERLINK("http://www.ncbi.nlm.nih.gov/gene/189374", "189374")</f>
        <v>189374</v>
      </c>
      <c r="C1778" s="9"/>
      <c r="D1778" t="str">
        <f>"Y6E2A.4"</f>
        <v>Y6E2A.4</v>
      </c>
      <c r="F1778" t="s">
        <v>11</v>
      </c>
      <c r="H1778" s="12">
        <v>-1.6021365473784801</v>
      </c>
      <c r="I1778" s="20">
        <v>-2.1773744449591099</v>
      </c>
      <c r="J1778" s="28">
        <v>2.9452640791544901E-2</v>
      </c>
      <c r="K1778" s="29">
        <v>0.38318283678459197</v>
      </c>
    </row>
    <row r="1779" spans="1:11" x14ac:dyDescent="0.35">
      <c r="A1779" s="9" t="str">
        <f>HYPERLINK("http://www.ensembl.org/id/WBGene00013970", "WBGene00013970")</f>
        <v>WBGene00013970</v>
      </c>
      <c r="B1779" s="9" t="str">
        <f>HYPERLINK("http://www.ncbi.nlm.nih.gov/gene/173366", "173366")</f>
        <v>173366</v>
      </c>
      <c r="C1779" s="9"/>
      <c r="D1779" t="str">
        <f>"klu-1"</f>
        <v>klu-1</v>
      </c>
      <c r="E1779" t="s">
        <v>1480</v>
      </c>
      <c r="F1779" t="s">
        <v>11</v>
      </c>
      <c r="G1779" t="s">
        <v>485</v>
      </c>
      <c r="H1779" s="12">
        <v>1.6732404787121999</v>
      </c>
      <c r="I1779" s="20">
        <v>2.1762767722635998</v>
      </c>
      <c r="J1779" s="28">
        <v>2.95345713021215E-2</v>
      </c>
      <c r="K1779" s="29">
        <v>0.38403252926664</v>
      </c>
    </row>
    <row r="1780" spans="1:11" x14ac:dyDescent="0.35">
      <c r="A1780" s="9" t="str">
        <f>HYPERLINK("http://www.ensembl.org/id/WBGene00018430", "WBGene00018430")</f>
        <v>WBGene00018430</v>
      </c>
      <c r="B1780" s="9" t="str">
        <f>HYPERLINK("http://www.ncbi.nlm.nih.gov/gene/185740", "185740")</f>
        <v>185740</v>
      </c>
      <c r="C1780" s="9"/>
      <c r="D1780" t="str">
        <f>"nhr-142"</f>
        <v>nhr-142</v>
      </c>
      <c r="E1780" t="s">
        <v>637</v>
      </c>
      <c r="F1780" t="s">
        <v>11</v>
      </c>
      <c r="G1780" t="s">
        <v>1073</v>
      </c>
      <c r="H1780" s="12">
        <v>1.97106442155796</v>
      </c>
      <c r="I1780" s="20">
        <v>2.1757278910834201</v>
      </c>
      <c r="J1780" s="28">
        <v>2.95756133709262E-2</v>
      </c>
      <c r="K1780" s="29">
        <v>0.38434990019607501</v>
      </c>
    </row>
    <row r="1781" spans="1:11" x14ac:dyDescent="0.35">
      <c r="A1781" s="9" t="str">
        <f>HYPERLINK("http://www.ensembl.org/id/WBGene00001523", "WBGene00001523")</f>
        <v>WBGene00001523</v>
      </c>
      <c r="B1781" s="9" t="str">
        <f>HYPERLINK("http://www.ncbi.nlm.nih.gov/gene/174358", "174358")</f>
        <v>174358</v>
      </c>
      <c r="C1781" s="9" t="str">
        <f>HYPERLINK("http://www.ncbi.nlm.nih.gov/gene/55217", "55217")</f>
        <v>55217</v>
      </c>
      <c r="D1781" t="str">
        <f>"gbh-2"</f>
        <v>gbh-2</v>
      </c>
      <c r="E1781" t="s">
        <v>1481</v>
      </c>
      <c r="F1781" t="s">
        <v>11</v>
      </c>
      <c r="G1781" t="s">
        <v>1482</v>
      </c>
      <c r="H1781" s="12">
        <v>-1.54977772475022</v>
      </c>
      <c r="I1781" s="20">
        <v>-2.1748439784979698</v>
      </c>
      <c r="J1781" s="28">
        <v>2.96418101953458E-2</v>
      </c>
      <c r="K1781" s="29">
        <v>0.38477734065935898</v>
      </c>
    </row>
    <row r="1782" spans="1:11" x14ac:dyDescent="0.35">
      <c r="A1782" s="9" t="str">
        <f>HYPERLINK("http://www.ensembl.org/id/WBGene00019818", "WBGene00019818")</f>
        <v>WBGene00019818</v>
      </c>
      <c r="B1782" s="9" t="str">
        <f>HYPERLINK("http://www.ncbi.nlm.nih.gov/gene/259611", "259611")</f>
        <v>259611</v>
      </c>
      <c r="C1782" s="9"/>
      <c r="D1782" t="str">
        <f>"R02C2.7"</f>
        <v>R02C2.7</v>
      </c>
      <c r="F1782" t="s">
        <v>11</v>
      </c>
      <c r="H1782" s="12">
        <v>1.78071688395895</v>
      </c>
      <c r="I1782" s="20">
        <v>2.1750627045775199</v>
      </c>
      <c r="J1782" s="28">
        <v>2.96254177954818E-2</v>
      </c>
      <c r="K1782" s="29">
        <v>0.38477734065935898</v>
      </c>
    </row>
    <row r="1783" spans="1:11" x14ac:dyDescent="0.35">
      <c r="A1783" s="9" t="str">
        <f>HYPERLINK("http://www.ensembl.org/id/WBGene00009836", "WBGene00009836")</f>
        <v>WBGene00009836</v>
      </c>
      <c r="B1783" s="9" t="str">
        <f>HYPERLINK("http://www.ncbi.nlm.nih.gov/gene/185951", "185951")</f>
        <v>185951</v>
      </c>
      <c r="C1783" s="9"/>
      <c r="D1783" t="str">
        <f>"fbxa-185"</f>
        <v>fbxa-185</v>
      </c>
      <c r="E1783" t="s">
        <v>467</v>
      </c>
      <c r="F1783" t="s">
        <v>11</v>
      </c>
      <c r="G1783" t="s">
        <v>54</v>
      </c>
      <c r="H1783" s="12">
        <v>-4.2784672026459996</v>
      </c>
      <c r="I1783" s="20">
        <v>-2.1741604761134501</v>
      </c>
      <c r="J1783" s="28">
        <v>2.9693085482104298E-2</v>
      </c>
      <c r="K1783" s="29">
        <v>0.38522652057804702</v>
      </c>
    </row>
    <row r="1784" spans="1:11" x14ac:dyDescent="0.35">
      <c r="A1784" s="9" t="str">
        <f>HYPERLINK("http://www.ensembl.org/id/WBGene00016095", "WBGene00016095")</f>
        <v>WBGene00016095</v>
      </c>
      <c r="B1784" s="9" t="str">
        <f>HYPERLINK("http://www.ncbi.nlm.nih.gov/gene/179280", "179280")</f>
        <v>179280</v>
      </c>
      <c r="C1784" s="9" t="str">
        <f>HYPERLINK("http://www.ncbi.nlm.nih.gov/gene/256471", "256471")</f>
        <v>256471</v>
      </c>
      <c r="D1784" t="str">
        <f>"C25E10.5"</f>
        <v>C25E10.5</v>
      </c>
      <c r="F1784" t="s">
        <v>11</v>
      </c>
      <c r="G1784" t="s">
        <v>25</v>
      </c>
      <c r="H1784" s="12">
        <v>1.7881461120066</v>
      </c>
      <c r="I1784" s="20">
        <v>2.1733825201997701</v>
      </c>
      <c r="J1784" s="28">
        <v>2.9751539319275998E-2</v>
      </c>
      <c r="K1784" s="29">
        <v>0.385435329965648</v>
      </c>
    </row>
    <row r="1785" spans="1:11" x14ac:dyDescent="0.35">
      <c r="A1785" s="9" t="str">
        <f>HYPERLINK("http://www.ensembl.org/id/WBGene00000288", "WBGene00000288")</f>
        <v>WBGene00000288</v>
      </c>
      <c r="B1785" s="9" t="str">
        <f>HYPERLINK("http://www.ncbi.nlm.nih.gov/gene/177945", "177945")</f>
        <v>177945</v>
      </c>
      <c r="C1785" s="9"/>
      <c r="D1785" t="str">
        <f>"cal-4"</f>
        <v>cal-4</v>
      </c>
      <c r="E1785" t="s">
        <v>312</v>
      </c>
      <c r="F1785" t="s">
        <v>11</v>
      </c>
      <c r="G1785" t="s">
        <v>313</v>
      </c>
      <c r="H1785" s="12">
        <v>1.64828825171379</v>
      </c>
      <c r="I1785" s="20">
        <v>2.1732803439944002</v>
      </c>
      <c r="J1785" s="28">
        <v>2.9759223953030201E-2</v>
      </c>
      <c r="K1785" s="29">
        <v>0.385435329965648</v>
      </c>
    </row>
    <row r="1786" spans="1:11" x14ac:dyDescent="0.35">
      <c r="A1786" s="9" t="str">
        <f>HYPERLINK("http://www.ensembl.org/id/WBGene00009563", "WBGene00009563")</f>
        <v>WBGene00009563</v>
      </c>
      <c r="B1786" s="9" t="str">
        <f>HYPERLINK("http://www.ncbi.nlm.nih.gov/gene/172668", "172668")</f>
        <v>172668</v>
      </c>
      <c r="C1786" s="9" t="str">
        <f>HYPERLINK("http://www.ncbi.nlm.nih.gov/gene/200205", "200205")</f>
        <v>200205</v>
      </c>
      <c r="D1786" t="str">
        <f>"F39H2.3"</f>
        <v>F39H2.3</v>
      </c>
      <c r="F1786" t="s">
        <v>11</v>
      </c>
      <c r="G1786" t="s">
        <v>1483</v>
      </c>
      <c r="H1786" s="12">
        <v>-1.5654508025329901</v>
      </c>
      <c r="I1786" s="20">
        <v>-2.1735349542092099</v>
      </c>
      <c r="J1786" s="28">
        <v>2.9740077986676199E-2</v>
      </c>
      <c r="K1786" s="29">
        <v>0.385435329965648</v>
      </c>
    </row>
    <row r="1787" spans="1:11" x14ac:dyDescent="0.35">
      <c r="A1787" s="9" t="str">
        <f>HYPERLINK("http://www.ensembl.org/id/WBGene00003089", "WBGene00003089")</f>
        <v>WBGene00003089</v>
      </c>
      <c r="B1787" s="9" t="str">
        <f>HYPERLINK("http://www.ncbi.nlm.nih.gov/gene/174301", "174301")</f>
        <v>174301</v>
      </c>
      <c r="C1787" s="9"/>
      <c r="D1787" t="str">
        <f>"ltd-1"</f>
        <v>ltd-1</v>
      </c>
      <c r="E1787" t="s">
        <v>1484</v>
      </c>
      <c r="F1787" t="s">
        <v>11</v>
      </c>
      <c r="G1787" t="s">
        <v>1485</v>
      </c>
      <c r="H1787" s="12">
        <v>1.5966896739323</v>
      </c>
      <c r="I1787" s="20">
        <v>2.1722313335149499</v>
      </c>
      <c r="J1787" s="28">
        <v>2.98382183913381E-2</v>
      </c>
      <c r="K1787" s="29">
        <v>0.38624194630266501</v>
      </c>
    </row>
    <row r="1788" spans="1:11" x14ac:dyDescent="0.35">
      <c r="A1788" s="9" t="str">
        <f>HYPERLINK("http://www.ensembl.org/id/WBGene00001091", "WBGene00001091")</f>
        <v>WBGene00001091</v>
      </c>
      <c r="B1788" s="9"/>
      <c r="C1788" s="9"/>
      <c r="D1788" t="str">
        <f>"drh-2"</f>
        <v>drh-2</v>
      </c>
      <c r="F1788" t="s">
        <v>80</v>
      </c>
      <c r="H1788" s="12">
        <v>1.5593509753650501</v>
      </c>
      <c r="I1788" s="20">
        <v>2.1714475701949598</v>
      </c>
      <c r="J1788" s="28">
        <v>2.9897356322228699E-2</v>
      </c>
      <c r="K1788" s="29">
        <v>0.38640406529424798</v>
      </c>
    </row>
    <row r="1789" spans="1:11" x14ac:dyDescent="0.35">
      <c r="A1789" s="9" t="str">
        <f>HYPERLINK("http://www.ensembl.org/id/WBGene00003349", "WBGene00003349")</f>
        <v>WBGene00003349</v>
      </c>
      <c r="B1789" s="9"/>
      <c r="C1789" s="9"/>
      <c r="D1789" t="str">
        <f>"mir-255"</f>
        <v>mir-255</v>
      </c>
      <c r="F1789" t="s">
        <v>1486</v>
      </c>
      <c r="H1789" s="12">
        <v>1.9798844516815599</v>
      </c>
      <c r="I1789" s="20">
        <v>2.1714004910356901</v>
      </c>
      <c r="J1789" s="28">
        <v>2.99009118300924E-2</v>
      </c>
      <c r="K1789" s="29">
        <v>0.38640406529424798</v>
      </c>
    </row>
    <row r="1790" spans="1:11" x14ac:dyDescent="0.35">
      <c r="A1790" s="9" t="str">
        <f>HYPERLINK("http://www.ensembl.org/id/WBGene00004232", "WBGene00004232")</f>
        <v>WBGene00004232</v>
      </c>
      <c r="B1790" s="9" t="str">
        <f>HYPERLINK("http://www.ncbi.nlm.nih.gov/gene/174940", "174940")</f>
        <v>174940</v>
      </c>
      <c r="C1790" s="9"/>
      <c r="D1790" t="str">
        <f>"ptr-18"</f>
        <v>ptr-18</v>
      </c>
      <c r="E1790" t="s">
        <v>134</v>
      </c>
      <c r="F1790" t="s">
        <v>11</v>
      </c>
      <c r="G1790" t="s">
        <v>193</v>
      </c>
      <c r="H1790" s="12">
        <v>2.03773651246859</v>
      </c>
      <c r="I1790" s="20">
        <v>2.1715535203373499</v>
      </c>
      <c r="J1790" s="28">
        <v>2.9889356094809399E-2</v>
      </c>
      <c r="K1790" s="29">
        <v>0.38640406529424798</v>
      </c>
    </row>
    <row r="1791" spans="1:11" x14ac:dyDescent="0.35">
      <c r="A1791" s="9" t="str">
        <f>HYPERLINK("http://www.ensembl.org/id/WBGene00003057", "WBGene00003057")</f>
        <v>WBGene00003057</v>
      </c>
      <c r="B1791" s="9" t="str">
        <f>HYPERLINK("http://www.ncbi.nlm.nih.gov/gene/179673", "179673")</f>
        <v>179673</v>
      </c>
      <c r="C1791" s="9"/>
      <c r="D1791" t="str">
        <f>"lon-3"</f>
        <v>lon-3</v>
      </c>
      <c r="E1791" t="s">
        <v>1487</v>
      </c>
      <c r="F1791" t="s">
        <v>11</v>
      </c>
      <c r="G1791" t="s">
        <v>152</v>
      </c>
      <c r="H1791" s="12">
        <v>4.6829612078584804</v>
      </c>
      <c r="I1791" s="20">
        <v>2.1711735622772399</v>
      </c>
      <c r="J1791" s="28">
        <v>2.99180550217698E-2</v>
      </c>
      <c r="K1791" s="29">
        <v>0.386409490963115</v>
      </c>
    </row>
    <row r="1792" spans="1:11" x14ac:dyDescent="0.35">
      <c r="A1792" s="9" t="str">
        <f>HYPERLINK("http://www.ensembl.org/id/WBGene00018572", "WBGene00018572")</f>
        <v>WBGene00018572</v>
      </c>
      <c r="B1792" s="9" t="str">
        <f>HYPERLINK("http://www.ncbi.nlm.nih.gov/gene/173503", "173503")</f>
        <v>173503</v>
      </c>
      <c r="C1792" s="9"/>
      <c r="D1792" t="str">
        <f>"lin-42"</f>
        <v>lin-42</v>
      </c>
      <c r="E1792" t="s">
        <v>1488</v>
      </c>
      <c r="F1792" t="s">
        <v>11</v>
      </c>
      <c r="H1792" s="12">
        <v>1.7818012489100301</v>
      </c>
      <c r="I1792" s="20">
        <v>2.1701803689566401</v>
      </c>
      <c r="J1792" s="28">
        <v>2.9993184641424801E-2</v>
      </c>
      <c r="K1792" s="29">
        <v>0.38673131937765598</v>
      </c>
    </row>
    <row r="1793" spans="1:11" x14ac:dyDescent="0.35">
      <c r="A1793" s="9" t="str">
        <f>HYPERLINK("http://www.ensembl.org/id/WBGene00003748", "WBGene00003748")</f>
        <v>WBGene00003748</v>
      </c>
      <c r="B1793" s="9" t="str">
        <f>HYPERLINK("http://www.ncbi.nlm.nih.gov/gene/191733", "191733")</f>
        <v>191733</v>
      </c>
      <c r="C1793" s="9"/>
      <c r="D1793" t="str">
        <f>"nlp-10"</f>
        <v>nlp-10</v>
      </c>
      <c r="E1793" t="s">
        <v>76</v>
      </c>
      <c r="F1793" t="s">
        <v>11</v>
      </c>
      <c r="G1793" t="s">
        <v>77</v>
      </c>
      <c r="H1793" s="12">
        <v>1.5750681148838099</v>
      </c>
      <c r="I1793" s="20">
        <v>2.1706030661733</v>
      </c>
      <c r="J1793" s="28">
        <v>2.99611901196363E-2</v>
      </c>
      <c r="K1793" s="29">
        <v>0.38673131937765598</v>
      </c>
    </row>
    <row r="1794" spans="1:11" x14ac:dyDescent="0.35">
      <c r="A1794" s="9" t="str">
        <f>HYPERLINK("http://www.ensembl.org/id/WBGene00004205", "WBGene00004205")</f>
        <v>WBGene00004205</v>
      </c>
      <c r="B1794" s="9" t="str">
        <f>HYPERLINK("http://www.ncbi.nlm.nih.gov/gene/177229", "177229")</f>
        <v>177229</v>
      </c>
      <c r="C1794" s="9" t="str">
        <f>HYPERLINK("http://www.ncbi.nlm.nih.gov/gene/23210", "23210")</f>
        <v>23210</v>
      </c>
      <c r="D1794" t="str">
        <f>"psr-1"</f>
        <v>psr-1</v>
      </c>
      <c r="E1794" t="s">
        <v>1489</v>
      </c>
      <c r="F1794" t="s">
        <v>11</v>
      </c>
      <c r="G1794" t="s">
        <v>1490</v>
      </c>
      <c r="H1794" s="12">
        <v>-1.58036823608393</v>
      </c>
      <c r="I1794" s="20">
        <v>-2.1703981538037</v>
      </c>
      <c r="J1794" s="28">
        <v>2.9976696547320599E-2</v>
      </c>
      <c r="K1794" s="29">
        <v>0.38673131937765598</v>
      </c>
    </row>
    <row r="1795" spans="1:11" x14ac:dyDescent="0.35">
      <c r="A1795" s="9" t="str">
        <f>HYPERLINK("http://www.ensembl.org/id/WBGene00010632", "WBGene00010632")</f>
        <v>WBGene00010632</v>
      </c>
      <c r="B1795" s="9" t="str">
        <f>HYPERLINK("http://www.ncbi.nlm.nih.gov/gene/259644", "259644")</f>
        <v>259644</v>
      </c>
      <c r="C1795" s="9"/>
      <c r="D1795" t="str">
        <f>"K07C5.9"</f>
        <v>K07C5.9</v>
      </c>
      <c r="F1795" t="s">
        <v>11</v>
      </c>
      <c r="H1795" s="12">
        <v>1.9514023846201101</v>
      </c>
      <c r="I1795" s="20">
        <v>2.16834207789499</v>
      </c>
      <c r="J1795" s="28">
        <v>3.01326691701044E-2</v>
      </c>
      <c r="K1795" s="29">
        <v>0.38831313655573502</v>
      </c>
    </row>
    <row r="1796" spans="1:11" x14ac:dyDescent="0.35">
      <c r="A1796" s="9" t="str">
        <f>HYPERLINK("http://www.ensembl.org/id/WBGene00008634", "WBGene00008634")</f>
        <v>WBGene00008634</v>
      </c>
      <c r="B1796" s="9" t="str">
        <f>HYPERLINK("http://www.ncbi.nlm.nih.gov/gene/180084", "180084")</f>
        <v>180084</v>
      </c>
      <c r="C1796" s="9"/>
      <c r="D1796" t="str">
        <f>"F10A3.4"</f>
        <v>F10A3.4</v>
      </c>
      <c r="F1796" t="s">
        <v>11</v>
      </c>
      <c r="G1796" t="s">
        <v>264</v>
      </c>
      <c r="H1796" s="12">
        <v>1.7760044172626599</v>
      </c>
      <c r="I1796" s="20">
        <v>2.1680566771150001</v>
      </c>
      <c r="J1796" s="28">
        <v>3.0154374521269501E-2</v>
      </c>
      <c r="K1796" s="29">
        <v>0.388376241743842</v>
      </c>
    </row>
    <row r="1797" spans="1:11" x14ac:dyDescent="0.35">
      <c r="A1797" s="9" t="str">
        <f>HYPERLINK("http://www.ensembl.org/id/WBGene00015903", "WBGene00015903")</f>
        <v>WBGene00015903</v>
      </c>
      <c r="B1797" s="9" t="str">
        <f>HYPERLINK("http://www.ncbi.nlm.nih.gov/gene/178799", "178799")</f>
        <v>178799</v>
      </c>
      <c r="C1797" s="9"/>
      <c r="D1797" t="str">
        <f>"C17E7.9"</f>
        <v>C17E7.9</v>
      </c>
      <c r="F1797" t="s">
        <v>11</v>
      </c>
      <c r="G1797" t="s">
        <v>25</v>
      </c>
      <c r="H1797" s="12">
        <v>-1.742611516615</v>
      </c>
      <c r="I1797" s="20">
        <v>-2.1678330831694899</v>
      </c>
      <c r="J1797" s="28">
        <v>3.017138871323E-2</v>
      </c>
      <c r="K1797" s="29">
        <v>0.38837889003225201</v>
      </c>
    </row>
    <row r="1798" spans="1:11" x14ac:dyDescent="0.35">
      <c r="A1798" s="9" t="str">
        <f>HYPERLINK("http://www.ensembl.org/id/WBGene00022172", "WBGene00022172")</f>
        <v>WBGene00022172</v>
      </c>
      <c r="B1798" s="9" t="str">
        <f>HYPERLINK("http://www.ncbi.nlm.nih.gov/gene/175388", "175388")</f>
        <v>175388</v>
      </c>
      <c r="C1798" s="9"/>
      <c r="D1798" t="str">
        <f>"cosa-1"</f>
        <v>cosa-1</v>
      </c>
      <c r="E1798" t="s">
        <v>1491</v>
      </c>
      <c r="F1798" t="s">
        <v>11</v>
      </c>
      <c r="G1798" t="s">
        <v>1492</v>
      </c>
      <c r="H1798" s="12">
        <v>-1.7861246907109301</v>
      </c>
      <c r="I1798" s="20">
        <v>-2.16537879868681</v>
      </c>
      <c r="J1798" s="28">
        <v>3.0358688312052601E-2</v>
      </c>
      <c r="K1798" s="29">
        <v>0.39057230074514898</v>
      </c>
    </row>
    <row r="1799" spans="1:11" x14ac:dyDescent="0.35">
      <c r="A1799" s="9" t="str">
        <f>HYPERLINK("http://www.ensembl.org/id/WBGene00016823", "WBGene00016823")</f>
        <v>WBGene00016823</v>
      </c>
      <c r="B1799" s="9" t="str">
        <f>HYPERLINK("http://www.ncbi.nlm.nih.gov/gene/183663", "183663")</f>
        <v>183663</v>
      </c>
      <c r="C1799" s="9"/>
      <c r="D1799" t="str">
        <f>"C50E3.12"</f>
        <v>C50E3.12</v>
      </c>
      <c r="F1799" t="s">
        <v>11</v>
      </c>
      <c r="H1799" s="12">
        <v>-1.83317950593617</v>
      </c>
      <c r="I1799" s="20">
        <v>-2.1645580794796202</v>
      </c>
      <c r="J1799" s="28">
        <v>3.0421544263128E-2</v>
      </c>
      <c r="K1799" s="29">
        <v>0.39116316179401001</v>
      </c>
    </row>
    <row r="1800" spans="1:11" x14ac:dyDescent="0.35">
      <c r="A1800" s="9" t="str">
        <f>HYPERLINK("http://www.ensembl.org/id/WBGene00004997", "WBGene00004997")</f>
        <v>WBGene00004997</v>
      </c>
      <c r="B1800" s="9" t="str">
        <f>HYPERLINK("http://www.ncbi.nlm.nih.gov/gene/188762", "188762")</f>
        <v>188762</v>
      </c>
      <c r="C1800" s="9"/>
      <c r="D1800" t="str">
        <f>"spp-12"</f>
        <v>spp-12</v>
      </c>
      <c r="E1800" t="s">
        <v>62</v>
      </c>
      <c r="F1800" t="s">
        <v>11</v>
      </c>
      <c r="G1800" t="s">
        <v>1493</v>
      </c>
      <c r="H1800" s="12">
        <v>-1.7030452107576299</v>
      </c>
      <c r="I1800" s="20">
        <v>-2.1641964649140299</v>
      </c>
      <c r="J1800" s="28">
        <v>3.0449274491298601E-2</v>
      </c>
      <c r="K1800" s="29">
        <v>0.39130196684980301</v>
      </c>
    </row>
    <row r="1801" spans="1:11" x14ac:dyDescent="0.35">
      <c r="A1801" s="9" t="str">
        <f>HYPERLINK("http://www.ensembl.org/id/WBGene00006685", "WBGene00006685")</f>
        <v>WBGene00006685</v>
      </c>
      <c r="B1801" s="9" t="str">
        <f>HYPERLINK("http://www.ncbi.nlm.nih.gov/gene/180161", "180161")</f>
        <v>180161</v>
      </c>
      <c r="C1801" s="9"/>
      <c r="D1801" t="str">
        <f>"twk-33"</f>
        <v>twk-33</v>
      </c>
      <c r="E1801" t="s">
        <v>894</v>
      </c>
      <c r="F1801" t="s">
        <v>11</v>
      </c>
      <c r="G1801" t="s">
        <v>895</v>
      </c>
      <c r="H1801" s="12">
        <v>2.0902624779124599</v>
      </c>
      <c r="I1801" s="20">
        <v>2.16393496581972</v>
      </c>
      <c r="J1801" s="28">
        <v>3.0469340941326899E-2</v>
      </c>
      <c r="K1801" s="29">
        <v>0.39134218554213401</v>
      </c>
    </row>
    <row r="1802" spans="1:11" x14ac:dyDescent="0.35">
      <c r="A1802" s="9" t="str">
        <f>HYPERLINK("http://www.ensembl.org/id/WBGene00011055", "WBGene00011055")</f>
        <v>WBGene00011055</v>
      </c>
      <c r="B1802" s="9" t="str">
        <f>HYPERLINK("http://www.ncbi.nlm.nih.gov/gene/175021", "175021")</f>
        <v>175021</v>
      </c>
      <c r="C1802" s="9"/>
      <c r="D1802" t="str">
        <f>"arrd-14"</f>
        <v>arrd-14</v>
      </c>
      <c r="E1802" t="s">
        <v>377</v>
      </c>
      <c r="F1802" t="s">
        <v>11</v>
      </c>
      <c r="G1802" t="s">
        <v>378</v>
      </c>
      <c r="H1802" s="12">
        <v>1.6094312927502501</v>
      </c>
      <c r="I1802" s="20">
        <v>2.1632788622868899</v>
      </c>
      <c r="J1802" s="28">
        <v>3.05197378519005E-2</v>
      </c>
      <c r="K1802" s="29">
        <v>0.39155593755634699</v>
      </c>
    </row>
    <row r="1803" spans="1:11" x14ac:dyDescent="0.35">
      <c r="A1803" s="9" t="str">
        <f>HYPERLINK("http://www.ensembl.org/id/WBGene00019890", "WBGene00019890")</f>
        <v>WBGene00019890</v>
      </c>
      <c r="B1803" s="9" t="str">
        <f>HYPERLINK("http://www.ncbi.nlm.nih.gov/gene/173843", "173843")</f>
        <v>173843</v>
      </c>
      <c r="C1803" s="9" t="str">
        <f>HYPERLINK("http://www.ncbi.nlm.nih.gov/gene/5236", "5236")</f>
        <v>5236</v>
      </c>
      <c r="D1803" t="str">
        <f>"R05F9.6"</f>
        <v>R05F9.6</v>
      </c>
      <c r="F1803" t="s">
        <v>11</v>
      </c>
      <c r="G1803" t="s">
        <v>1494</v>
      </c>
      <c r="H1803" s="12">
        <v>-1.51276566108615</v>
      </c>
      <c r="I1803" s="20">
        <v>-2.1632770714259499</v>
      </c>
      <c r="J1803" s="28">
        <v>3.0519875510212902E-2</v>
      </c>
      <c r="K1803" s="29">
        <v>0.39155593755634699</v>
      </c>
    </row>
    <row r="1804" spans="1:11" x14ac:dyDescent="0.35">
      <c r="A1804" s="9" t="str">
        <f>HYPERLINK("http://www.ensembl.org/id/WBGene00022247", "WBGene00022247")</f>
        <v>WBGene00022247</v>
      </c>
      <c r="B1804" s="9" t="str">
        <f>HYPERLINK("http://www.ncbi.nlm.nih.gov/gene/177409", "177409")</f>
        <v>177409</v>
      </c>
      <c r="C1804" s="9"/>
      <c r="D1804" t="str">
        <f>"lgc-10"</f>
        <v>lgc-10</v>
      </c>
      <c r="E1804" t="s">
        <v>505</v>
      </c>
      <c r="F1804" t="s">
        <v>11</v>
      </c>
      <c r="G1804" t="s">
        <v>906</v>
      </c>
      <c r="H1804" s="12">
        <v>2.3295547177023601</v>
      </c>
      <c r="I1804" s="20">
        <v>2.16291804066522</v>
      </c>
      <c r="J1804" s="28">
        <v>3.05474839417882E-2</v>
      </c>
      <c r="K1804" s="29">
        <v>0.391692654805193</v>
      </c>
    </row>
    <row r="1805" spans="1:11" x14ac:dyDescent="0.35">
      <c r="A1805" s="9" t="str">
        <f>HYPERLINK("http://www.ensembl.org/id/WBGene00011642", "WBGene00011642")</f>
        <v>WBGene00011642</v>
      </c>
      <c r="B1805" s="9" t="str">
        <f>HYPERLINK("http://www.ncbi.nlm.nih.gov/gene/181188", "181188")</f>
        <v>181188</v>
      </c>
      <c r="C1805" s="9" t="str">
        <f>HYPERLINK("http://www.ncbi.nlm.nih.gov/gene/57552", "57552")</f>
        <v>57552</v>
      </c>
      <c r="D1805" t="str">
        <f>"T09B9.1"</f>
        <v>T09B9.1</v>
      </c>
      <c r="F1805" t="s">
        <v>11</v>
      </c>
      <c r="G1805" t="s">
        <v>146</v>
      </c>
      <c r="H1805" s="12">
        <v>-1.7293319240637499</v>
      </c>
      <c r="I1805" s="20">
        <v>-2.1622214530808499</v>
      </c>
      <c r="J1805" s="28">
        <v>3.0601110707366101E-2</v>
      </c>
      <c r="K1805" s="29">
        <v>0.39216265335796002</v>
      </c>
    </row>
    <row r="1806" spans="1:11" x14ac:dyDescent="0.35">
      <c r="A1806" s="9" t="str">
        <f>HYPERLINK("http://www.ensembl.org/id/WBGene00012231", "WBGene00012231")</f>
        <v>WBGene00012231</v>
      </c>
      <c r="B1806" s="9" t="str">
        <f>HYPERLINK("http://www.ncbi.nlm.nih.gov/gene/189178", "189178")</f>
        <v>189178</v>
      </c>
      <c r="C1806" s="9"/>
      <c r="D1806" t="str">
        <f>"W04A4.2"</f>
        <v>W04A4.2</v>
      </c>
      <c r="F1806" t="s">
        <v>11</v>
      </c>
      <c r="H1806" s="12">
        <v>-1.76341428184447</v>
      </c>
      <c r="I1806" s="20">
        <v>-2.1615941761583199</v>
      </c>
      <c r="J1806" s="28">
        <v>3.0649470759993601E-2</v>
      </c>
      <c r="K1806" s="29">
        <v>0.39256467371419701</v>
      </c>
    </row>
    <row r="1807" spans="1:11" x14ac:dyDescent="0.35">
      <c r="A1807" s="9" t="str">
        <f>HYPERLINK("http://www.ensembl.org/id/WBGene00010664", "WBGene00010664")</f>
        <v>WBGene00010664</v>
      </c>
      <c r="B1807" s="9" t="str">
        <f>HYPERLINK("http://www.ncbi.nlm.nih.gov/gene/176813", "176813")</f>
        <v>176813</v>
      </c>
      <c r="C1807" s="9" t="str">
        <f>HYPERLINK("http://www.ncbi.nlm.nih.gov/gene/28988", "28988")</f>
        <v>28988</v>
      </c>
      <c r="D1807" t="str">
        <f>"dbn-1"</f>
        <v>dbn-1</v>
      </c>
      <c r="E1807" t="s">
        <v>1495</v>
      </c>
      <c r="F1807" t="s">
        <v>11</v>
      </c>
      <c r="G1807" t="s">
        <v>1496</v>
      </c>
      <c r="H1807" s="12">
        <v>-1.48812976004035</v>
      </c>
      <c r="I1807" s="20">
        <v>-2.16051171568364</v>
      </c>
      <c r="J1807" s="28">
        <v>3.0733077643492999E-2</v>
      </c>
      <c r="K1807" s="29">
        <v>0.39316909132811201</v>
      </c>
    </row>
    <row r="1808" spans="1:11" x14ac:dyDescent="0.35">
      <c r="A1808" s="9" t="str">
        <f>HYPERLINK("http://www.ensembl.org/id/WBGene00010258", "WBGene00010258")</f>
        <v>WBGene00010258</v>
      </c>
      <c r="B1808" s="9" t="str">
        <f>HYPERLINK("http://www.ncbi.nlm.nih.gov/gene/259640", "259640")</f>
        <v>259640</v>
      </c>
      <c r="C1808" s="9"/>
      <c r="D1808" t="str">
        <f>"F58E6.11"</f>
        <v>F58E6.11</v>
      </c>
      <c r="F1808" t="s">
        <v>11</v>
      </c>
      <c r="G1808" t="s">
        <v>25</v>
      </c>
      <c r="H1808" s="12">
        <v>2.1972864582860199</v>
      </c>
      <c r="I1808" s="20">
        <v>2.16048988972224</v>
      </c>
      <c r="J1808" s="28">
        <v>3.0734765445238201E-2</v>
      </c>
      <c r="K1808" s="29">
        <v>0.39316909132811201</v>
      </c>
    </row>
    <row r="1809" spans="1:11" x14ac:dyDescent="0.35">
      <c r="A1809" s="9" t="str">
        <f>HYPERLINK("http://www.ensembl.org/id/WBGene00012545", "WBGene00012545")</f>
        <v>WBGene00012545</v>
      </c>
      <c r="B1809" s="9" t="str">
        <f>HYPERLINK("http://www.ncbi.nlm.nih.gov/gene/189612", "189612")</f>
        <v>189612</v>
      </c>
      <c r="C1809" s="9"/>
      <c r="D1809" t="str">
        <f>"Y37D8A.3"</f>
        <v>Y37D8A.3</v>
      </c>
      <c r="F1809" t="s">
        <v>11</v>
      </c>
      <c r="H1809" s="12">
        <v>1.7627867693616699</v>
      </c>
      <c r="I1809" s="20">
        <v>2.1603225521913498</v>
      </c>
      <c r="J1809" s="28">
        <v>3.0747708302168199E-2</v>
      </c>
      <c r="K1809" s="29">
        <v>0.39316909132811201</v>
      </c>
    </row>
    <row r="1810" spans="1:11" x14ac:dyDescent="0.35">
      <c r="A1810" s="9" t="str">
        <f>HYPERLINK("http://www.ensembl.org/id/WBGene00009627", "WBGene00009627")</f>
        <v>WBGene00009627</v>
      </c>
      <c r="B1810" s="9" t="str">
        <f>HYPERLINK("http://www.ncbi.nlm.nih.gov/gene/174483", "174483")</f>
        <v>174483</v>
      </c>
      <c r="C1810" s="9"/>
      <c r="D1810" t="str">
        <f>"cup-15"</f>
        <v>cup-15</v>
      </c>
      <c r="E1810" t="s">
        <v>1497</v>
      </c>
      <c r="F1810" t="s">
        <v>11</v>
      </c>
      <c r="H1810" s="12">
        <v>-1.6097626529972699</v>
      </c>
      <c r="I1810" s="20">
        <v>-2.1591591646826198</v>
      </c>
      <c r="J1810" s="28">
        <v>3.08378208896707E-2</v>
      </c>
      <c r="K1810" s="29">
        <v>0.39403631374418502</v>
      </c>
    </row>
    <row r="1811" spans="1:11" x14ac:dyDescent="0.35">
      <c r="A1811" s="9" t="str">
        <f>HYPERLINK("http://www.ensembl.org/id/WBGene00175030", "WBGene00175030")</f>
        <v>WBGene00175030</v>
      </c>
      <c r="B1811" s="9" t="str">
        <f>HYPERLINK("http://www.ncbi.nlm.nih.gov/gene/13186571", "13186571")</f>
        <v>13186571</v>
      </c>
      <c r="C1811" s="9" t="str">
        <f>HYPERLINK("http://www.ncbi.nlm.nih.gov/gene/56986", "56986")</f>
        <v>56986</v>
      </c>
      <c r="D1811" t="str">
        <f>"Y53C12A.10"</f>
        <v>Y53C12A.10</v>
      </c>
      <c r="F1811" t="s">
        <v>11</v>
      </c>
      <c r="G1811" t="s">
        <v>1498</v>
      </c>
      <c r="H1811" s="12">
        <v>-1.68792472304288</v>
      </c>
      <c r="I1811" s="20">
        <v>-2.1590068424586999</v>
      </c>
      <c r="J1811" s="28">
        <v>3.0849636092929601E-2</v>
      </c>
      <c r="K1811" s="29">
        <v>0.39403631374418502</v>
      </c>
    </row>
    <row r="1812" spans="1:11" x14ac:dyDescent="0.35">
      <c r="A1812" s="9" t="str">
        <f>HYPERLINK("http://www.ensembl.org/id/WBGene00271812", "WBGene00271812")</f>
        <v>WBGene00271812</v>
      </c>
      <c r="B1812" s="9" t="str">
        <f>HYPERLINK("http://www.ncbi.nlm.nih.gov/gene/34700632", "34700632")</f>
        <v>34700632</v>
      </c>
      <c r="C1812" s="9"/>
      <c r="D1812" t="str">
        <f>"F58F12.12"</f>
        <v>F58F12.12</v>
      </c>
      <c r="F1812" t="s">
        <v>11</v>
      </c>
      <c r="G1812" t="s">
        <v>25</v>
      </c>
      <c r="H1812" s="12">
        <v>2.8284756769425501</v>
      </c>
      <c r="I1812" s="20">
        <v>2.1582277504710499</v>
      </c>
      <c r="J1812" s="28">
        <v>3.0910128844360101E-2</v>
      </c>
      <c r="K1812" s="29">
        <v>0.39459084921424598</v>
      </c>
    </row>
    <row r="1813" spans="1:11" x14ac:dyDescent="0.35">
      <c r="A1813" s="9" t="str">
        <f>HYPERLINK("http://www.ensembl.org/id/WBGene00001776", "WBGene00001776")</f>
        <v>WBGene00001776</v>
      </c>
      <c r="B1813" s="9" t="str">
        <f>HYPERLINK("http://www.ncbi.nlm.nih.gov/gene/190224", "190224")</f>
        <v>190224</v>
      </c>
      <c r="C1813" s="9" t="str">
        <f>HYPERLINK("http://www.ncbi.nlm.nih.gov/gene/27306", "27306")</f>
        <v>27306</v>
      </c>
      <c r="D1813" t="str">
        <f>"gst-28"</f>
        <v>gst-28</v>
      </c>
      <c r="E1813" t="s">
        <v>272</v>
      </c>
      <c r="F1813" t="s">
        <v>11</v>
      </c>
      <c r="G1813" t="s">
        <v>876</v>
      </c>
      <c r="H1813" s="12">
        <v>1.6288388760592301</v>
      </c>
      <c r="I1813" s="20">
        <v>2.1570758134985901</v>
      </c>
      <c r="J1813" s="28">
        <v>3.09997577944667E-2</v>
      </c>
      <c r="K1813" s="29">
        <v>0.39529823598175901</v>
      </c>
    </row>
    <row r="1814" spans="1:11" x14ac:dyDescent="0.35">
      <c r="A1814" s="9" t="str">
        <f>HYPERLINK("http://www.ensembl.org/id/WBGene00018701", "WBGene00018701")</f>
        <v>WBGene00018701</v>
      </c>
      <c r="B1814" s="9" t="str">
        <f>HYPERLINK("http://www.ncbi.nlm.nih.gov/gene/180596", "180596")</f>
        <v>180596</v>
      </c>
      <c r="C1814" s="9" t="str">
        <f>HYPERLINK("http://www.ncbi.nlm.nih.gov/gene/5096", "5096")</f>
        <v>5096</v>
      </c>
      <c r="D1814" t="str">
        <f>"pccb-1"</f>
        <v>pccb-1</v>
      </c>
      <c r="E1814" t="s">
        <v>1499</v>
      </c>
      <c r="F1814" t="s">
        <v>11</v>
      </c>
      <c r="G1814" t="s">
        <v>1500</v>
      </c>
      <c r="H1814" s="12">
        <v>-1.4714199244728901</v>
      </c>
      <c r="I1814" s="20">
        <v>-2.15727774201198</v>
      </c>
      <c r="J1814" s="28">
        <v>3.0984030203301701E-2</v>
      </c>
      <c r="K1814" s="29">
        <v>0.39529823598175901</v>
      </c>
    </row>
    <row r="1815" spans="1:11" x14ac:dyDescent="0.35">
      <c r="A1815" s="9" t="str">
        <f>HYPERLINK("http://www.ensembl.org/id/WBGene00194869", "WBGene00194869")</f>
        <v>WBGene00194869</v>
      </c>
      <c r="B1815" s="9" t="str">
        <f>HYPERLINK("http://www.ncbi.nlm.nih.gov/gene/13198300", "13198300")</f>
        <v>13198300</v>
      </c>
      <c r="C1815" s="9"/>
      <c r="D1815" t="str">
        <f>"K01A6.8"</f>
        <v>K01A6.8</v>
      </c>
      <c r="F1815" t="s">
        <v>11</v>
      </c>
      <c r="H1815" s="12">
        <v>3.6739302763842598</v>
      </c>
      <c r="I1815" s="20">
        <v>2.1568160350635299</v>
      </c>
      <c r="J1815" s="28">
        <v>3.10200012162864E-2</v>
      </c>
      <c r="K1815" s="29">
        <v>0.395338195313577</v>
      </c>
    </row>
    <row r="1816" spans="1:11" x14ac:dyDescent="0.35">
      <c r="A1816" s="9" t="str">
        <f>HYPERLINK("http://www.ensembl.org/id/WBGene00021576", "WBGene00021576")</f>
        <v>WBGene00021576</v>
      </c>
      <c r="B1816" s="9" t="str">
        <f>HYPERLINK("http://www.ncbi.nlm.nih.gov/gene/173467", "173467")</f>
        <v>173467</v>
      </c>
      <c r="C1816" s="9"/>
      <c r="D1816" t="str">
        <f>"fbxc-51"</f>
        <v>fbxc-51</v>
      </c>
      <c r="E1816" t="s">
        <v>311</v>
      </c>
      <c r="F1816" t="s">
        <v>11</v>
      </c>
      <c r="H1816" s="12">
        <v>1.5685784260337201</v>
      </c>
      <c r="I1816" s="20">
        <v>2.1557302987246998</v>
      </c>
      <c r="J1816" s="28">
        <v>3.1104730860451599E-2</v>
      </c>
      <c r="K1816" s="29">
        <v>0.39619951006703102</v>
      </c>
    </row>
    <row r="1817" spans="1:11" x14ac:dyDescent="0.35">
      <c r="A1817" s="9" t="str">
        <f>HYPERLINK("http://www.ensembl.org/id/WBGene00077712", "WBGene00077712")</f>
        <v>WBGene00077712</v>
      </c>
      <c r="B1817" s="9" t="str">
        <f>HYPERLINK("http://www.ncbi.nlm.nih.gov/gene/179167", "179167")</f>
        <v>179167</v>
      </c>
      <c r="C1817" s="9"/>
      <c r="D1817" t="str">
        <f>"nipi-4"</f>
        <v>nipi-4</v>
      </c>
      <c r="F1817" t="s">
        <v>11</v>
      </c>
      <c r="G1817" t="s">
        <v>444</v>
      </c>
      <c r="H1817" s="12">
        <v>1.99913263136995</v>
      </c>
      <c r="I1817" s="20">
        <v>2.1542162493214301</v>
      </c>
      <c r="J1817" s="28">
        <v>3.1223217138160599E-2</v>
      </c>
      <c r="K1817" s="29">
        <v>0.39748961718696302</v>
      </c>
    </row>
    <row r="1818" spans="1:11" x14ac:dyDescent="0.35">
      <c r="A1818" s="9" t="str">
        <f>HYPERLINK("http://www.ensembl.org/id/WBGene00000637", "WBGene00000637")</f>
        <v>WBGene00000637</v>
      </c>
      <c r="B1818" s="9" t="str">
        <f>HYPERLINK("http://www.ncbi.nlm.nih.gov/gene/182090", "182090")</f>
        <v>182090</v>
      </c>
      <c r="C1818" s="9"/>
      <c r="D1818" t="str">
        <f>"col-61"</f>
        <v>col-61</v>
      </c>
      <c r="E1818" t="s">
        <v>40</v>
      </c>
      <c r="F1818" t="s">
        <v>11</v>
      </c>
      <c r="G1818" t="s">
        <v>41</v>
      </c>
      <c r="H1818" s="12">
        <v>3.5166728088562</v>
      </c>
      <c r="I1818" s="20">
        <v>2.1525448509665401</v>
      </c>
      <c r="J1818" s="28">
        <v>3.1354466766153603E-2</v>
      </c>
      <c r="K1818" s="29">
        <v>0.398721138744493</v>
      </c>
    </row>
    <row r="1819" spans="1:11" x14ac:dyDescent="0.35">
      <c r="A1819" s="9" t="str">
        <f>HYPERLINK("http://www.ensembl.org/id/WBGene00017353", "WBGene00017353")</f>
        <v>WBGene00017353</v>
      </c>
      <c r="B1819" s="9" t="str">
        <f>HYPERLINK("http://www.ncbi.nlm.nih.gov/gene/184303", "184303")</f>
        <v>184303</v>
      </c>
      <c r="C1819" s="9"/>
      <c r="D1819" t="str">
        <f>"F10E9.1"</f>
        <v>F10E9.1</v>
      </c>
      <c r="F1819" t="s">
        <v>11</v>
      </c>
      <c r="H1819" s="12">
        <v>2.8707585193640299</v>
      </c>
      <c r="I1819" s="20">
        <v>2.1525544147692601</v>
      </c>
      <c r="J1819" s="28">
        <v>3.1353714406564398E-2</v>
      </c>
      <c r="K1819" s="29">
        <v>0.398721138744493</v>
      </c>
    </row>
    <row r="1820" spans="1:11" x14ac:dyDescent="0.35">
      <c r="A1820" s="9" t="str">
        <f>HYPERLINK("http://www.ensembl.org/id/WBGene00020595", "WBGene00020595")</f>
        <v>WBGene00020595</v>
      </c>
      <c r="B1820" s="9" t="str">
        <f>HYPERLINK("http://www.ncbi.nlm.nih.gov/gene/181162", "181162")</f>
        <v>181162</v>
      </c>
      <c r="C1820" s="9"/>
      <c r="D1820" t="str">
        <f>"T20B5.2"</f>
        <v>T20B5.2</v>
      </c>
      <c r="F1820" t="s">
        <v>11</v>
      </c>
      <c r="H1820" s="12">
        <v>1.8284084652458701</v>
      </c>
      <c r="I1820" s="20">
        <v>2.1523176387162102</v>
      </c>
      <c r="J1820" s="28">
        <v>3.1372345520991898E-2</v>
      </c>
      <c r="K1820" s="29">
        <v>0.39872905148957</v>
      </c>
    </row>
    <row r="1821" spans="1:11" x14ac:dyDescent="0.35">
      <c r="A1821" s="9" t="str">
        <f>HYPERLINK("http://www.ensembl.org/id/WBGene00018730", "WBGene00018730")</f>
        <v>WBGene00018730</v>
      </c>
      <c r="B1821" s="9" t="str">
        <f>HYPERLINK("http://www.ncbi.nlm.nih.gov/gene/186146", "186146")</f>
        <v>186146</v>
      </c>
      <c r="C1821" s="9"/>
      <c r="D1821" t="str">
        <f>"F53A9.7"</f>
        <v>F53A9.7</v>
      </c>
      <c r="F1821" t="s">
        <v>11</v>
      </c>
      <c r="G1821" t="s">
        <v>452</v>
      </c>
      <c r="H1821" s="12">
        <v>1.5677678764110301</v>
      </c>
      <c r="I1821" s="20">
        <v>2.1520636672286702</v>
      </c>
      <c r="J1821" s="28">
        <v>3.1392340243431099E-2</v>
      </c>
      <c r="K1821" s="29">
        <v>0.39876383379038999</v>
      </c>
    </row>
    <row r="1822" spans="1:11" x14ac:dyDescent="0.35">
      <c r="A1822" s="9" t="str">
        <f>HYPERLINK("http://www.ensembl.org/id/WBGene00023485", "WBGene00023485")</f>
        <v>WBGene00023485</v>
      </c>
      <c r="B1822" s="9" t="str">
        <f>HYPERLINK("http://www.ncbi.nlm.nih.gov/gene/3564895", "3564895")</f>
        <v>3564895</v>
      </c>
      <c r="C1822" s="9"/>
      <c r="D1822" t="str">
        <f>"ttr-49"</f>
        <v>ttr-49</v>
      </c>
      <c r="E1822" t="s">
        <v>16</v>
      </c>
      <c r="F1822" t="s">
        <v>11</v>
      </c>
      <c r="G1822" t="s">
        <v>17</v>
      </c>
      <c r="H1822" s="12">
        <v>-1.8102875485137</v>
      </c>
      <c r="I1822" s="20">
        <v>-2.15128529630831</v>
      </c>
      <c r="J1822" s="28">
        <v>3.1453688108613001E-2</v>
      </c>
      <c r="K1822" s="29">
        <v>0.39932358100967702</v>
      </c>
    </row>
    <row r="1823" spans="1:11" x14ac:dyDescent="0.35">
      <c r="A1823" s="9" t="str">
        <f>HYPERLINK("http://www.ensembl.org/id/WBGene00003504", "WBGene00003504")</f>
        <v>WBGene00003504</v>
      </c>
      <c r="B1823" s="9" t="str">
        <f>HYPERLINK("http://www.ncbi.nlm.nih.gov/gene/176347", "176347")</f>
        <v>176347</v>
      </c>
      <c r="C1823" s="9" t="str">
        <f>HYPERLINK("http://www.ncbi.nlm.nih.gov/gene/54932", "54932")</f>
        <v>54932</v>
      </c>
      <c r="D1823" t="str">
        <f>"mut-7"</f>
        <v>mut-7</v>
      </c>
      <c r="E1823" t="s">
        <v>1501</v>
      </c>
      <c r="F1823" t="s">
        <v>11</v>
      </c>
      <c r="G1823" t="s">
        <v>1502</v>
      </c>
      <c r="H1823" s="12">
        <v>-1.5760508134895601</v>
      </c>
      <c r="I1823" s="20">
        <v>-2.1501825922553199</v>
      </c>
      <c r="J1823" s="28">
        <v>3.1540774554287401E-2</v>
      </c>
      <c r="K1823" s="29">
        <v>0.40020930085193102</v>
      </c>
    </row>
    <row r="1824" spans="1:11" x14ac:dyDescent="0.35">
      <c r="A1824" s="9" t="str">
        <f>HYPERLINK("http://www.ensembl.org/id/WBGene00005516", "WBGene00005516")</f>
        <v>WBGene00005516</v>
      </c>
      <c r="B1824" s="9" t="str">
        <f>HYPERLINK("http://www.ncbi.nlm.nih.gov/gene/191900", "191900")</f>
        <v>191900</v>
      </c>
      <c r="C1824" s="9"/>
      <c r="D1824" t="str">
        <f>"sri-4"</f>
        <v>sri-4</v>
      </c>
      <c r="E1824" t="s">
        <v>1503</v>
      </c>
      <c r="F1824" t="s">
        <v>11</v>
      </c>
      <c r="G1824" t="s">
        <v>25</v>
      </c>
      <c r="H1824" s="12">
        <v>53.653033421256303</v>
      </c>
      <c r="I1824" s="20">
        <v>2.14992679529061</v>
      </c>
      <c r="J1824" s="28">
        <v>3.1561005736485202E-2</v>
      </c>
      <c r="K1824" s="29">
        <v>0.40024621215544898</v>
      </c>
    </row>
    <row r="1825" spans="1:11" x14ac:dyDescent="0.35">
      <c r="A1825" s="9" t="str">
        <f>HYPERLINK("http://www.ensembl.org/id/WBGene00000707", "WBGene00000707")</f>
        <v>WBGene00000707</v>
      </c>
      <c r="B1825" s="9" t="str">
        <f>HYPERLINK("http://www.ncbi.nlm.nih.gov/gene/186083", "186083")</f>
        <v>186083</v>
      </c>
      <c r="C1825" s="9"/>
      <c r="D1825" t="str">
        <f>"col-133"</f>
        <v>col-133</v>
      </c>
      <c r="E1825" t="s">
        <v>40</v>
      </c>
      <c r="F1825" t="s">
        <v>11</v>
      </c>
      <c r="G1825" t="s">
        <v>41</v>
      </c>
      <c r="H1825" s="12">
        <v>2.84217891482617</v>
      </c>
      <c r="I1825" s="20">
        <v>2.1492709120111799</v>
      </c>
      <c r="J1825" s="28">
        <v>3.1612930921967E-2</v>
      </c>
      <c r="K1825" s="29">
        <v>0.40055063895292098</v>
      </c>
    </row>
    <row r="1826" spans="1:11" x14ac:dyDescent="0.35">
      <c r="A1826" s="9" t="str">
        <f>HYPERLINK("http://www.ensembl.org/id/WBGene00001253", "WBGene00001253")</f>
        <v>WBGene00001253</v>
      </c>
      <c r="B1826" s="9" t="str">
        <f>HYPERLINK("http://www.ncbi.nlm.nih.gov/gene/176993", "176993")</f>
        <v>176993</v>
      </c>
      <c r="C1826" s="9"/>
      <c r="D1826" t="str">
        <f>"elt-6"</f>
        <v>elt-6</v>
      </c>
      <c r="E1826" t="s">
        <v>1504</v>
      </c>
      <c r="F1826" t="s">
        <v>11</v>
      </c>
      <c r="G1826" t="s">
        <v>1505</v>
      </c>
      <c r="H1826" s="12">
        <v>1.7043918886220399</v>
      </c>
      <c r="I1826" s="20">
        <v>2.1491857086523898</v>
      </c>
      <c r="J1826" s="28">
        <v>3.1619681703891997E-2</v>
      </c>
      <c r="K1826" s="29">
        <v>0.40055063895292098</v>
      </c>
    </row>
    <row r="1827" spans="1:11" x14ac:dyDescent="0.35">
      <c r="A1827" s="9" t="str">
        <f>HYPERLINK("http://www.ensembl.org/id/WBGene00022063", "WBGene00022063")</f>
        <v>WBGene00022063</v>
      </c>
      <c r="B1827" s="9" t="str">
        <f>HYPERLINK("http://www.ncbi.nlm.nih.gov/gene/190516", "190516")</f>
        <v>190516</v>
      </c>
      <c r="C1827" s="9"/>
      <c r="D1827" t="str">
        <f>"nlp-81"</f>
        <v>nlp-81</v>
      </c>
      <c r="E1827" t="s">
        <v>76</v>
      </c>
      <c r="F1827" t="s">
        <v>11</v>
      </c>
      <c r="G1827" t="s">
        <v>77</v>
      </c>
      <c r="H1827" s="12">
        <v>-1.7513298299907001</v>
      </c>
      <c r="I1827" s="20">
        <v>-2.1488334581536002</v>
      </c>
      <c r="J1827" s="28">
        <v>3.16476041291337E-2</v>
      </c>
      <c r="K1827" s="29">
        <v>0.400684680004254</v>
      </c>
    </row>
    <row r="1828" spans="1:11" x14ac:dyDescent="0.35">
      <c r="A1828" s="9" t="str">
        <f>HYPERLINK("http://www.ensembl.org/id/WBGene00020843", "WBGene00020843")</f>
        <v>WBGene00020843</v>
      </c>
      <c r="B1828" s="9" t="str">
        <f>HYPERLINK("http://www.ncbi.nlm.nih.gov/gene/172295", "172295")</f>
        <v>172295</v>
      </c>
      <c r="C1828" s="9"/>
      <c r="D1828" t="str">
        <f>"T27A3.7"</f>
        <v>T27A3.7</v>
      </c>
      <c r="F1828" t="s">
        <v>11</v>
      </c>
      <c r="G1828" t="s">
        <v>1506</v>
      </c>
      <c r="H1828" s="12">
        <v>-1.6564652294966</v>
      </c>
      <c r="I1828" s="20">
        <v>-2.1475298164032002</v>
      </c>
      <c r="J1828" s="28">
        <v>3.1751126082848503E-2</v>
      </c>
      <c r="K1828" s="29">
        <v>0.40177520222907898</v>
      </c>
    </row>
    <row r="1829" spans="1:11" x14ac:dyDescent="0.35">
      <c r="A1829" s="9" t="str">
        <f>HYPERLINK("http://www.ensembl.org/id/WBGene00017033", "WBGene00017033")</f>
        <v>WBGene00017033</v>
      </c>
      <c r="B1829" s="9" t="str">
        <f>HYPERLINK("http://www.ncbi.nlm.nih.gov/gene/175760", "175760")</f>
        <v>175760</v>
      </c>
      <c r="C1829" s="9"/>
      <c r="D1829" t="str">
        <f>"nekl-4"</f>
        <v>nekl-4</v>
      </c>
      <c r="E1829" t="s">
        <v>1507</v>
      </c>
      <c r="F1829" t="s">
        <v>11</v>
      </c>
      <c r="G1829" t="s">
        <v>86</v>
      </c>
      <c r="H1829" s="12">
        <v>2.2837490745961802</v>
      </c>
      <c r="I1829" s="20">
        <v>2.14545057546606</v>
      </c>
      <c r="J1829" s="28">
        <v>3.1916839084868101E-2</v>
      </c>
      <c r="K1829" s="29">
        <v>0.403651058508463</v>
      </c>
    </row>
    <row r="1830" spans="1:11" x14ac:dyDescent="0.35">
      <c r="A1830" s="9" t="str">
        <f>HYPERLINK("http://www.ensembl.org/id/WBGene00018659", "WBGene00018659")</f>
        <v>WBGene00018659</v>
      </c>
      <c r="B1830" s="9" t="str">
        <f>HYPERLINK("http://www.ncbi.nlm.nih.gov/gene/173558", "173558")</f>
        <v>173558</v>
      </c>
      <c r="C1830" s="9"/>
      <c r="D1830" t="str">
        <f>"F52C6.2"</f>
        <v>F52C6.2</v>
      </c>
      <c r="F1830" t="s">
        <v>11</v>
      </c>
      <c r="G1830" t="s">
        <v>54</v>
      </c>
      <c r="H1830" s="12">
        <v>-1.9198536148584999</v>
      </c>
      <c r="I1830" s="20">
        <v>-2.1436533913339</v>
      </c>
      <c r="J1830" s="28">
        <v>3.2060669347832797E-2</v>
      </c>
      <c r="K1830" s="29">
        <v>0.40502669543522402</v>
      </c>
    </row>
    <row r="1831" spans="1:11" x14ac:dyDescent="0.35">
      <c r="A1831" s="9" t="str">
        <f>HYPERLINK("http://www.ensembl.org/id/WBGene00009896", "WBGene00009896")</f>
        <v>WBGene00009896</v>
      </c>
      <c r="B1831" s="9" t="str">
        <f>HYPERLINK("http://www.ncbi.nlm.nih.gov/gene/178252", "178252")</f>
        <v>178252</v>
      </c>
      <c r="C1831" s="9"/>
      <c r="D1831" t="str">
        <f>"scl-3"</f>
        <v>scl-3</v>
      </c>
      <c r="E1831" t="s">
        <v>162</v>
      </c>
      <c r="F1831" t="s">
        <v>11</v>
      </c>
      <c r="G1831" t="s">
        <v>1508</v>
      </c>
      <c r="H1831" s="12">
        <v>2.0226141240498401</v>
      </c>
      <c r="I1831" s="20">
        <v>2.1437891709022101</v>
      </c>
      <c r="J1831" s="28">
        <v>3.2049783419962501E-2</v>
      </c>
      <c r="K1831" s="29">
        <v>0.40502669543522402</v>
      </c>
    </row>
    <row r="1832" spans="1:11" x14ac:dyDescent="0.35">
      <c r="A1832" s="9" t="str">
        <f>HYPERLINK("http://www.ensembl.org/id/WBGene00010264", "WBGene00010264")</f>
        <v>WBGene00010264</v>
      </c>
      <c r="B1832" s="9" t="str">
        <f>HYPERLINK("http://www.ncbi.nlm.nih.gov/gene/174931", "174931")</f>
        <v>174931</v>
      </c>
      <c r="C1832" s="9"/>
      <c r="D1832" t="str">
        <f>"F58G1.2"</f>
        <v>F58G1.2</v>
      </c>
      <c r="F1832" t="s">
        <v>11</v>
      </c>
      <c r="G1832" t="s">
        <v>485</v>
      </c>
      <c r="H1832" s="12">
        <v>-1.5757256768183601</v>
      </c>
      <c r="I1832" s="20">
        <v>-2.14307960015348</v>
      </c>
      <c r="J1832" s="28">
        <v>3.2106707215227799E-2</v>
      </c>
      <c r="K1832" s="29">
        <v>0.40538665405194202</v>
      </c>
    </row>
    <row r="1833" spans="1:11" x14ac:dyDescent="0.35">
      <c r="A1833" s="9" t="str">
        <f>HYPERLINK("http://www.ensembl.org/id/WBGene00044807", "WBGene00044807")</f>
        <v>WBGene00044807</v>
      </c>
      <c r="B1833" s="9" t="str">
        <f>HYPERLINK("http://www.ncbi.nlm.nih.gov/gene/13186491", "13186491")</f>
        <v>13186491</v>
      </c>
      <c r="C1833" s="9"/>
      <c r="D1833" t="str">
        <f>"T19H5.6"</f>
        <v>T19H5.6</v>
      </c>
      <c r="F1833" t="s">
        <v>11</v>
      </c>
      <c r="G1833" t="s">
        <v>1509</v>
      </c>
      <c r="H1833" s="12">
        <v>-2.8019783191260998</v>
      </c>
      <c r="I1833" s="20">
        <v>-2.14217424905917</v>
      </c>
      <c r="J1833" s="28">
        <v>3.21794628617844E-2</v>
      </c>
      <c r="K1833" s="29">
        <v>0.406083380057013</v>
      </c>
    </row>
    <row r="1834" spans="1:11" x14ac:dyDescent="0.35">
      <c r="A1834" s="9" t="str">
        <f>HYPERLINK("http://www.ensembl.org/id/WBGene00017329", "WBGene00017329")</f>
        <v>WBGene00017329</v>
      </c>
      <c r="B1834" s="9" t="str">
        <f>HYPERLINK("http://www.ncbi.nlm.nih.gov/gene/3564933", "3564933")</f>
        <v>3564933</v>
      </c>
      <c r="C1834" s="9"/>
      <c r="D1834" t="str">
        <f>"ugt-39"</f>
        <v>ugt-39</v>
      </c>
      <c r="E1834" t="s">
        <v>103</v>
      </c>
      <c r="F1834" t="s">
        <v>11</v>
      </c>
      <c r="G1834" t="s">
        <v>104</v>
      </c>
      <c r="H1834" s="12">
        <v>2.1422285357177002</v>
      </c>
      <c r="I1834" s="20">
        <v>2.1419505988832199</v>
      </c>
      <c r="J1834" s="28">
        <v>3.2197457539961803E-2</v>
      </c>
      <c r="K1834" s="29">
        <v>0.40608867571962798</v>
      </c>
    </row>
    <row r="1835" spans="1:11" x14ac:dyDescent="0.35">
      <c r="A1835" s="9" t="str">
        <f>HYPERLINK("http://www.ensembl.org/id/WBGene00219571", "WBGene00219571")</f>
        <v>WBGene00219571</v>
      </c>
      <c r="B1835" s="9"/>
      <c r="C1835" s="9"/>
      <c r="D1835" t="str">
        <f>"linc-15"</f>
        <v>linc-15</v>
      </c>
      <c r="F1835" t="s">
        <v>1510</v>
      </c>
      <c r="H1835" s="12">
        <v>-1.66741148623415</v>
      </c>
      <c r="I1835" s="20">
        <v>-2.1416843337935401</v>
      </c>
      <c r="J1835" s="28">
        <v>3.2218892216695001E-2</v>
      </c>
      <c r="K1835" s="29">
        <v>0.40613732872829</v>
      </c>
    </row>
    <row r="1836" spans="1:11" x14ac:dyDescent="0.35">
      <c r="A1836" s="9" t="str">
        <f>HYPERLINK("http://www.ensembl.org/id/WBGene00018089", "WBGene00018089")</f>
        <v>WBGene00018089</v>
      </c>
      <c r="B1836" s="9" t="str">
        <f>HYPERLINK("http://www.ncbi.nlm.nih.gov/gene/179322", "179322")</f>
        <v>179322</v>
      </c>
      <c r="C1836" s="9"/>
      <c r="D1836" t="str">
        <f>"F36D4.4"</f>
        <v>F36D4.4</v>
      </c>
      <c r="F1836" t="s">
        <v>11</v>
      </c>
      <c r="G1836" t="s">
        <v>1511</v>
      </c>
      <c r="H1836" s="12">
        <v>2.1490140608041601</v>
      </c>
      <c r="I1836" s="20">
        <v>2.1406857885913402</v>
      </c>
      <c r="J1836" s="28">
        <v>3.2299385318193499E-2</v>
      </c>
      <c r="K1836" s="29">
        <v>0.40692998754753501</v>
      </c>
    </row>
    <row r="1837" spans="1:11" x14ac:dyDescent="0.35">
      <c r="A1837" s="9" t="str">
        <f>HYPERLINK("http://www.ensembl.org/id/WBGene00003368", "WBGene00003368")</f>
        <v>WBGene00003368</v>
      </c>
      <c r="B1837" s="9" t="str">
        <f>HYPERLINK("http://www.ncbi.nlm.nih.gov/gene/185682", "185682")</f>
        <v>185682</v>
      </c>
      <c r="C1837" s="9"/>
      <c r="D1837" t="str">
        <f>"mkk-4"</f>
        <v>mkk-4</v>
      </c>
      <c r="E1837" t="s">
        <v>1512</v>
      </c>
      <c r="F1837" t="s">
        <v>11</v>
      </c>
      <c r="G1837" t="s">
        <v>444</v>
      </c>
      <c r="H1837" s="12">
        <v>-1.4802371921254001</v>
      </c>
      <c r="I1837" s="20">
        <v>-2.1404608215204801</v>
      </c>
      <c r="J1837" s="28">
        <v>3.2317543761663098E-2</v>
      </c>
      <c r="K1837" s="29">
        <v>0.40693687528991102</v>
      </c>
    </row>
    <row r="1838" spans="1:11" x14ac:dyDescent="0.35">
      <c r="A1838" s="9" t="str">
        <f>HYPERLINK("http://www.ensembl.org/id/WBGene00005105", "WBGene00005105")</f>
        <v>WBGene00005105</v>
      </c>
      <c r="B1838" s="9" t="str">
        <f>HYPERLINK("http://www.ncbi.nlm.nih.gov/gene/188938", "188938")</f>
        <v>188938</v>
      </c>
      <c r="C1838" s="9"/>
      <c r="D1838" t="str">
        <f>"srd-27"</f>
        <v>srd-27</v>
      </c>
      <c r="E1838" t="s">
        <v>1513</v>
      </c>
      <c r="F1838" t="s">
        <v>11</v>
      </c>
      <c r="G1838" t="s">
        <v>25</v>
      </c>
      <c r="H1838" s="12">
        <v>5.3495495504307904</v>
      </c>
      <c r="I1838" s="20">
        <v>2.1398837030240898</v>
      </c>
      <c r="J1838" s="28">
        <v>3.23641664665935E-2</v>
      </c>
      <c r="K1838" s="29">
        <v>0.40730197732958101</v>
      </c>
    </row>
    <row r="1839" spans="1:11" x14ac:dyDescent="0.35">
      <c r="A1839" s="9" t="str">
        <f>HYPERLINK("http://www.ensembl.org/id/WBGene00021981", "WBGene00021981")</f>
        <v>WBGene00021981</v>
      </c>
      <c r="B1839" s="9" t="str">
        <f>HYPERLINK("http://www.ncbi.nlm.nih.gov/gene/178554", "178554")</f>
        <v>178554</v>
      </c>
      <c r="C1839" s="9"/>
      <c r="D1839" t="str">
        <f>"lgc-26"</f>
        <v>lgc-26</v>
      </c>
      <c r="E1839" t="s">
        <v>505</v>
      </c>
      <c r="F1839" t="s">
        <v>11</v>
      </c>
      <c r="G1839" t="s">
        <v>1515</v>
      </c>
      <c r="H1839" s="12">
        <v>-1.6452082166614901</v>
      </c>
      <c r="I1839" s="20">
        <v>-2.13842198706898</v>
      </c>
      <c r="J1839" s="28">
        <v>3.2482509545544998E-2</v>
      </c>
      <c r="K1839" s="29">
        <v>0.40847663561769898</v>
      </c>
    </row>
    <row r="1840" spans="1:11" x14ac:dyDescent="0.35">
      <c r="A1840" s="9" t="str">
        <f>HYPERLINK("http://www.ensembl.org/id/WBGene00008762", "WBGene00008762")</f>
        <v>WBGene00008762</v>
      </c>
      <c r="B1840" s="9" t="str">
        <f>HYPERLINK("http://www.ncbi.nlm.nih.gov/gene/184429", "184429")</f>
        <v>184429</v>
      </c>
      <c r="C1840" s="9"/>
      <c r="D1840" t="str">
        <f>"ztf-2"</f>
        <v>ztf-2</v>
      </c>
      <c r="E1840" t="s">
        <v>461</v>
      </c>
      <c r="F1840" t="s">
        <v>11</v>
      </c>
      <c r="G1840" t="s">
        <v>1514</v>
      </c>
      <c r="H1840" s="12">
        <v>1.96689408834932</v>
      </c>
      <c r="I1840" s="20">
        <v>2.1382943427020802</v>
      </c>
      <c r="J1840" s="28">
        <v>3.2492861432759E-2</v>
      </c>
      <c r="K1840" s="29">
        <v>0.40847663561769898</v>
      </c>
    </row>
    <row r="1841" spans="1:11" x14ac:dyDescent="0.35">
      <c r="A1841" s="9" t="str">
        <f>HYPERLINK("http://www.ensembl.org/id/WBGene00017983", "WBGene00017983")</f>
        <v>WBGene00017983</v>
      </c>
      <c r="B1841" s="9" t="str">
        <f>HYPERLINK("http://www.ncbi.nlm.nih.gov/gene/178832", "178832")</f>
        <v>178832</v>
      </c>
      <c r="C1841" s="9" t="str">
        <f>HYPERLINK("http://www.ncbi.nlm.nih.gov/gene/160335", "160335")</f>
        <v>160335</v>
      </c>
      <c r="D1841" t="str">
        <f>"F32D1.3"</f>
        <v>F32D1.3</v>
      </c>
      <c r="F1841" t="s">
        <v>11</v>
      </c>
      <c r="G1841" t="s">
        <v>1516</v>
      </c>
      <c r="H1841" s="12">
        <v>1.7473154125684101</v>
      </c>
      <c r="I1841" s="20">
        <v>2.1367592274392901</v>
      </c>
      <c r="J1841" s="28">
        <v>3.2617579953784601E-2</v>
      </c>
      <c r="K1841" s="29">
        <v>0.40982153475375099</v>
      </c>
    </row>
    <row r="1842" spans="1:11" x14ac:dyDescent="0.35">
      <c r="A1842" s="9" t="str">
        <f>HYPERLINK("http://www.ensembl.org/id/WBGene00009778", "WBGene00009778")</f>
        <v>WBGene00009778</v>
      </c>
      <c r="B1842" s="9" t="str">
        <f>HYPERLINK("http://www.ncbi.nlm.nih.gov/gene/174411", "174411")</f>
        <v>174411</v>
      </c>
      <c r="C1842" s="9"/>
      <c r="D1842" t="str">
        <f>"F46C5.1"</f>
        <v>F46C5.1</v>
      </c>
      <c r="F1842" t="s">
        <v>11</v>
      </c>
      <c r="G1842" t="s">
        <v>25</v>
      </c>
      <c r="H1842" s="12">
        <v>-2.9931721606695501</v>
      </c>
      <c r="I1842" s="20">
        <v>-2.13646618448989</v>
      </c>
      <c r="J1842" s="28">
        <v>3.2641434406956202E-2</v>
      </c>
      <c r="K1842" s="29">
        <v>0.40989836054735301</v>
      </c>
    </row>
    <row r="1843" spans="1:11" x14ac:dyDescent="0.35">
      <c r="A1843" s="9" t="str">
        <f>HYPERLINK("http://www.ensembl.org/id/WBGene00016057", "WBGene00016057")</f>
        <v>WBGene00016057</v>
      </c>
      <c r="B1843" s="9" t="str">
        <f>HYPERLINK("http://www.ncbi.nlm.nih.gov/gene/177287", "177287")</f>
        <v>177287</v>
      </c>
      <c r="C1843" s="9"/>
      <c r="D1843" t="str">
        <f>"C24D10.6"</f>
        <v>C24D10.6</v>
      </c>
      <c r="F1843" t="s">
        <v>11</v>
      </c>
      <c r="G1843" t="s">
        <v>1517</v>
      </c>
      <c r="H1843" s="12">
        <v>-1.5738174069456601</v>
      </c>
      <c r="I1843" s="20">
        <v>-2.1361934603584101</v>
      </c>
      <c r="J1843" s="28">
        <v>3.2663648277214803E-2</v>
      </c>
      <c r="K1843" s="29">
        <v>0.409954512272311</v>
      </c>
    </row>
    <row r="1844" spans="1:11" x14ac:dyDescent="0.35">
      <c r="A1844" s="9" t="str">
        <f>HYPERLINK("http://www.ensembl.org/id/WBGene00017599", "WBGene00017599")</f>
        <v>WBGene00017599</v>
      </c>
      <c r="B1844" s="9" t="str">
        <f>HYPERLINK("http://www.ncbi.nlm.nih.gov/gene/184685", "184685")</f>
        <v>184685</v>
      </c>
      <c r="C1844" s="9"/>
      <c r="D1844" t="str">
        <f>"F19F10.3"</f>
        <v>F19F10.3</v>
      </c>
      <c r="F1844" t="s">
        <v>11</v>
      </c>
      <c r="H1844" s="12">
        <v>1.7066522221401399</v>
      </c>
      <c r="I1844" s="20">
        <v>2.1357815644699101</v>
      </c>
      <c r="J1844" s="28">
        <v>3.2697222478915697E-2</v>
      </c>
      <c r="K1844" s="29">
        <v>0.41015310673063299</v>
      </c>
    </row>
    <row r="1845" spans="1:11" x14ac:dyDescent="0.35">
      <c r="A1845" s="9" t="str">
        <f>HYPERLINK("http://www.ensembl.org/id/WBGene00010613", "WBGene00010613")</f>
        <v>WBGene00010613</v>
      </c>
      <c r="B1845" s="9" t="str">
        <f>HYPERLINK("http://www.ncbi.nlm.nih.gov/gene/172797", "172797")</f>
        <v>172797</v>
      </c>
      <c r="C1845" s="9"/>
      <c r="D1845" t="str">
        <f>"K07A1.6"</f>
        <v>K07A1.6</v>
      </c>
      <c r="F1845" t="s">
        <v>11</v>
      </c>
      <c r="G1845" t="s">
        <v>101</v>
      </c>
      <c r="H1845" s="12">
        <v>-1.50515664653014</v>
      </c>
      <c r="I1845" s="20">
        <v>-2.1341597795058198</v>
      </c>
      <c r="J1845" s="28">
        <v>3.2829703818675997E-2</v>
      </c>
      <c r="K1845" s="29">
        <v>0.411591501049553</v>
      </c>
    </row>
    <row r="1846" spans="1:11" x14ac:dyDescent="0.35">
      <c r="A1846" s="9" t="str">
        <f>HYPERLINK("http://www.ensembl.org/id/WBGene00016045", "WBGene00016045")</f>
        <v>WBGene00016045</v>
      </c>
      <c r="B1846" s="9" t="str">
        <f>HYPERLINK("http://www.ncbi.nlm.nih.gov/gene/179300", "179300")</f>
        <v>179300</v>
      </c>
      <c r="C1846" s="9" t="str">
        <f>HYPERLINK("http://www.ncbi.nlm.nih.gov/gene/6683", "6683")</f>
        <v>6683</v>
      </c>
      <c r="D1846" t="str">
        <f>"spas-1"</f>
        <v>spas-1</v>
      </c>
      <c r="E1846" t="s">
        <v>1518</v>
      </c>
      <c r="F1846" t="s">
        <v>11</v>
      </c>
      <c r="G1846" t="s">
        <v>1519</v>
      </c>
      <c r="H1846" s="12">
        <v>-1.5288690693148099</v>
      </c>
      <c r="I1846" s="20">
        <v>-2.1336342165264899</v>
      </c>
      <c r="J1846" s="28">
        <v>3.2872734807170803E-2</v>
      </c>
      <c r="K1846" s="29">
        <v>0.411907489400482</v>
      </c>
    </row>
    <row r="1847" spans="1:11" x14ac:dyDescent="0.35">
      <c r="A1847" s="9" t="str">
        <f>HYPERLINK("http://www.ensembl.org/id/WBGene00011021", "WBGene00011021")</f>
        <v>WBGene00011021</v>
      </c>
      <c r="B1847" s="9" t="str">
        <f>HYPERLINK("http://www.ncbi.nlm.nih.gov/gene/187595", "187595")</f>
        <v>187595</v>
      </c>
      <c r="C1847" s="9"/>
      <c r="D1847" t="str">
        <f>"R05A10.4"</f>
        <v>R05A10.4</v>
      </c>
      <c r="E1847" t="s">
        <v>1520</v>
      </c>
      <c r="F1847" t="s">
        <v>11</v>
      </c>
      <c r="G1847" t="s">
        <v>27</v>
      </c>
      <c r="H1847" s="12">
        <v>2.0108998743387598</v>
      </c>
      <c r="I1847" s="20">
        <v>2.1333271235157198</v>
      </c>
      <c r="J1847" s="28">
        <v>3.28979006956314E-2</v>
      </c>
      <c r="K1847" s="29">
        <v>0.411999400256509</v>
      </c>
    </row>
    <row r="1848" spans="1:11" x14ac:dyDescent="0.35">
      <c r="A1848" s="9" t="str">
        <f>HYPERLINK("http://www.ensembl.org/id/WBGene00008335", "WBGene00008335")</f>
        <v>WBGene00008335</v>
      </c>
      <c r="B1848" s="9" t="str">
        <f>HYPERLINK("http://www.ncbi.nlm.nih.gov/gene/183835", "183835")</f>
        <v>183835</v>
      </c>
      <c r="C1848" s="9"/>
      <c r="D1848" t="str">
        <f>"C55A6.6"</f>
        <v>C55A6.6</v>
      </c>
      <c r="F1848" t="s">
        <v>11</v>
      </c>
      <c r="G1848" t="s">
        <v>489</v>
      </c>
      <c r="H1848" s="12">
        <v>1.7036462361135201</v>
      </c>
      <c r="I1848" s="20">
        <v>2.1329226440579698</v>
      </c>
      <c r="J1848" s="28">
        <v>3.29310724498596E-2</v>
      </c>
      <c r="K1848" s="29">
        <v>0.412191419299272</v>
      </c>
    </row>
    <row r="1849" spans="1:11" x14ac:dyDescent="0.35">
      <c r="A1849" s="9" t="str">
        <f>HYPERLINK("http://www.ensembl.org/id/WBGene00000218", "WBGene00000218")</f>
        <v>WBGene00000218</v>
      </c>
      <c r="B1849" s="9" t="str">
        <f>HYPERLINK("http://www.ncbi.nlm.nih.gov/gene/179211", "179211")</f>
        <v>179211</v>
      </c>
      <c r="C1849" s="9"/>
      <c r="D1849" t="str">
        <f>"asp-5"</f>
        <v>asp-5</v>
      </c>
      <c r="E1849" t="s">
        <v>1521</v>
      </c>
      <c r="F1849" t="s">
        <v>11</v>
      </c>
      <c r="G1849" t="s">
        <v>1522</v>
      </c>
      <c r="H1849" s="12">
        <v>-1.4684661763350599</v>
      </c>
      <c r="I1849" s="20">
        <v>-2.1312355776211001</v>
      </c>
      <c r="J1849" s="28">
        <v>3.3069739378919202E-2</v>
      </c>
      <c r="K1849" s="29">
        <v>0.41280896709308901</v>
      </c>
    </row>
    <row r="1850" spans="1:11" x14ac:dyDescent="0.35">
      <c r="A1850" s="9" t="str">
        <f>HYPERLINK("http://www.ensembl.org/id/WBGene00008270", "WBGene00008270")</f>
        <v>WBGene00008270</v>
      </c>
      <c r="B1850" s="9" t="str">
        <f>HYPERLINK("http://www.ncbi.nlm.nih.gov/gene/179961", "179961")</f>
        <v>179961</v>
      </c>
      <c r="C1850" s="9"/>
      <c r="D1850" t="str">
        <f>"C53A5.13"</f>
        <v>C53A5.13</v>
      </c>
      <c r="F1850" t="s">
        <v>11</v>
      </c>
      <c r="G1850" t="s">
        <v>417</v>
      </c>
      <c r="H1850" s="12">
        <v>2.0321676271772899</v>
      </c>
      <c r="I1850" s="20">
        <v>2.1312871490040202</v>
      </c>
      <c r="J1850" s="28">
        <v>3.3065493121140203E-2</v>
      </c>
      <c r="K1850" s="29">
        <v>0.41280896709308901</v>
      </c>
    </row>
    <row r="1851" spans="1:11" x14ac:dyDescent="0.35">
      <c r="A1851" s="9" t="str">
        <f>HYPERLINK("http://www.ensembl.org/id/WBGene00010080", "WBGene00010080")</f>
        <v>WBGene00010080</v>
      </c>
      <c r="B1851" s="9" t="str">
        <f>HYPERLINK("http://www.ncbi.nlm.nih.gov/gene/179614", "179614")</f>
        <v>179614</v>
      </c>
      <c r="C1851" s="9"/>
      <c r="D1851" t="str">
        <f>"F55A11.7"</f>
        <v>F55A11.7</v>
      </c>
      <c r="F1851" t="s">
        <v>11</v>
      </c>
      <c r="G1851" t="s">
        <v>25</v>
      </c>
      <c r="H1851" s="12">
        <v>-1.5450723851934001</v>
      </c>
      <c r="I1851" s="20">
        <v>-2.1315896298522801</v>
      </c>
      <c r="J1851" s="28">
        <v>3.3040597004805002E-2</v>
      </c>
      <c r="K1851" s="29">
        <v>0.41280896709308901</v>
      </c>
    </row>
    <row r="1852" spans="1:11" x14ac:dyDescent="0.35">
      <c r="A1852" s="9" t="str">
        <f>HYPERLINK("http://www.ensembl.org/id/WBGene00019180", "WBGene00019180")</f>
        <v>WBGene00019180</v>
      </c>
      <c r="B1852" s="9" t="str">
        <f>HYPERLINK("http://www.ncbi.nlm.nih.gov/gene/186716", "186716")</f>
        <v>186716</v>
      </c>
      <c r="C1852" s="9"/>
      <c r="D1852" t="str">
        <f>"H10D18.5"</f>
        <v>H10D18.5</v>
      </c>
      <c r="F1852" t="s">
        <v>11</v>
      </c>
      <c r="H1852" s="12">
        <v>1.5691038739382599</v>
      </c>
      <c r="I1852" s="20">
        <v>2.1320299811858101</v>
      </c>
      <c r="J1852" s="28">
        <v>3.30043819451055E-2</v>
      </c>
      <c r="K1852" s="29">
        <v>0.41280896709308901</v>
      </c>
    </row>
    <row r="1853" spans="1:11" x14ac:dyDescent="0.35">
      <c r="A1853" s="9" t="str">
        <f>HYPERLINK("http://www.ensembl.org/id/WBGene00020376", "WBGene00020376")</f>
        <v>WBGene00020376</v>
      </c>
      <c r="B1853" s="9" t="str">
        <f>HYPERLINK("http://www.ncbi.nlm.nih.gov/gene/172304", "172304")</f>
        <v>172304</v>
      </c>
      <c r="C1853" s="9"/>
      <c r="D1853" t="str">
        <f>"T09B4.2"</f>
        <v>T09B4.2</v>
      </c>
      <c r="F1853" t="s">
        <v>11</v>
      </c>
      <c r="G1853" t="s">
        <v>1523</v>
      </c>
      <c r="H1853" s="12">
        <v>-1.6105047260254901</v>
      </c>
      <c r="I1853" s="20">
        <v>-2.1316807273241398</v>
      </c>
      <c r="J1853" s="28">
        <v>3.3033102242375503E-2</v>
      </c>
      <c r="K1853" s="29">
        <v>0.41280896709308901</v>
      </c>
    </row>
    <row r="1854" spans="1:11" x14ac:dyDescent="0.35">
      <c r="A1854" s="9" t="str">
        <f>HYPERLINK("http://www.ensembl.org/id/WBGene00000553", "WBGene00000553")</f>
        <v>WBGene00000553</v>
      </c>
      <c r="B1854" s="9" t="str">
        <f>HYPERLINK("http://www.ncbi.nlm.nih.gov/gene/176989", "176989")</f>
        <v>176989</v>
      </c>
      <c r="C1854" s="9"/>
      <c r="D1854" t="str">
        <f>"cmk-1"</f>
        <v>cmk-1</v>
      </c>
      <c r="E1854" t="s">
        <v>1524</v>
      </c>
      <c r="F1854" t="s">
        <v>11</v>
      </c>
      <c r="G1854" t="s">
        <v>444</v>
      </c>
      <c r="H1854" s="12">
        <v>1.6077221242261299</v>
      </c>
      <c r="I1854" s="20">
        <v>2.13088684675443</v>
      </c>
      <c r="J1854" s="28">
        <v>3.3098465251183103E-2</v>
      </c>
      <c r="K1854" s="29">
        <v>0.41294445901394999</v>
      </c>
    </row>
    <row r="1855" spans="1:11" x14ac:dyDescent="0.35">
      <c r="A1855" s="9" t="str">
        <f>HYPERLINK("http://www.ensembl.org/id/WBGene00022883", "WBGene00022883")</f>
        <v>WBGene00022883</v>
      </c>
      <c r="B1855" s="9" t="str">
        <f>HYPERLINK("http://www.ncbi.nlm.nih.gov/gene/173991", "173991")</f>
        <v>173991</v>
      </c>
      <c r="C1855" s="9"/>
      <c r="D1855" t="str">
        <f>"ZK1248.15"</f>
        <v>ZK1248.15</v>
      </c>
      <c r="F1855" t="s">
        <v>11</v>
      </c>
      <c r="G1855" t="s">
        <v>1525</v>
      </c>
      <c r="H1855" s="12">
        <v>-1.6176783169918001</v>
      </c>
      <c r="I1855" s="20">
        <v>-2.1303042684954798</v>
      </c>
      <c r="J1855" s="28">
        <v>3.3146501384678902E-2</v>
      </c>
      <c r="K1855" s="29">
        <v>0.41332059416858702</v>
      </c>
    </row>
    <row r="1856" spans="1:11" x14ac:dyDescent="0.35">
      <c r="A1856" s="9" t="str">
        <f>HYPERLINK("http://www.ensembl.org/id/WBGene00017452", "WBGene00017452")</f>
        <v>WBGene00017452</v>
      </c>
      <c r="B1856" s="9" t="str">
        <f>HYPERLINK("http://www.ncbi.nlm.nih.gov/gene/184454", "184454")</f>
        <v>184454</v>
      </c>
      <c r="C1856" s="9"/>
      <c r="D1856" t="str">
        <f>"bath-29"</f>
        <v>bath-29</v>
      </c>
      <c r="E1856" t="s">
        <v>179</v>
      </c>
      <c r="F1856" t="s">
        <v>11</v>
      </c>
      <c r="G1856" t="s">
        <v>54</v>
      </c>
      <c r="H1856" s="12">
        <v>-1.93375143423156</v>
      </c>
      <c r="I1856" s="20">
        <v>-2.1291322666710002</v>
      </c>
      <c r="J1856" s="28">
        <v>3.3243318852135398E-2</v>
      </c>
      <c r="K1856" s="29">
        <v>0.41430427475590098</v>
      </c>
    </row>
    <row r="1857" spans="1:11" x14ac:dyDescent="0.35">
      <c r="A1857" s="9" t="str">
        <f>HYPERLINK("http://www.ensembl.org/id/WBGene00008991", "WBGene00008991")</f>
        <v>WBGene00008991</v>
      </c>
      <c r="B1857" s="9" t="str">
        <f>HYPERLINK("http://www.ncbi.nlm.nih.gov/gene/172560", "172560")</f>
        <v>172560</v>
      </c>
      <c r="C1857" s="9"/>
      <c r="D1857" t="str">
        <f>"F20G4.2"</f>
        <v>F20G4.2</v>
      </c>
      <c r="F1857" t="s">
        <v>11</v>
      </c>
      <c r="H1857" s="12">
        <v>-2.3378387907942701</v>
      </c>
      <c r="I1857" s="20">
        <v>-2.12800240044105</v>
      </c>
      <c r="J1857" s="28">
        <v>3.3336884556739901E-2</v>
      </c>
      <c r="K1857" s="29">
        <v>0.41524639060271201</v>
      </c>
    </row>
    <row r="1858" spans="1:11" x14ac:dyDescent="0.35">
      <c r="A1858" s="9" t="str">
        <f>HYPERLINK("http://www.ensembl.org/id/WBGene00007808", "WBGene00007808")</f>
        <v>WBGene00007808</v>
      </c>
      <c r="B1858" s="9" t="str">
        <f>HYPERLINK("http://www.ncbi.nlm.nih.gov/gene/178030", "178030")</f>
        <v>178030</v>
      </c>
      <c r="C1858" s="9"/>
      <c r="D1858" t="str">
        <f>"best-7"</f>
        <v>best-7</v>
      </c>
      <c r="E1858" t="s">
        <v>1526</v>
      </c>
      <c r="F1858" t="s">
        <v>11</v>
      </c>
      <c r="G1858" t="s">
        <v>1527</v>
      </c>
      <c r="H1858" s="12">
        <v>-2.3573211024662601</v>
      </c>
      <c r="I1858" s="20">
        <v>-2.1275015625820002</v>
      </c>
      <c r="J1858" s="28">
        <v>3.3378431620487897E-2</v>
      </c>
      <c r="K1858" s="29">
        <v>0.41536460405044801</v>
      </c>
    </row>
    <row r="1859" spans="1:11" x14ac:dyDescent="0.35">
      <c r="A1859" s="9" t="str">
        <f>HYPERLINK("http://www.ensembl.org/id/WBGene00021835", "WBGene00021835")</f>
        <v>WBGene00021835</v>
      </c>
      <c r="B1859" s="9" t="str">
        <f>HYPERLINK("http://www.ncbi.nlm.nih.gov/gene/190261", "190261")</f>
        <v>190261</v>
      </c>
      <c r="C1859" s="9"/>
      <c r="D1859" t="str">
        <f>"Y54E10A.17"</f>
        <v>Y54E10A.17</v>
      </c>
      <c r="F1859" t="s">
        <v>11</v>
      </c>
      <c r="H1859" s="12">
        <v>1.7323335031464699</v>
      </c>
      <c r="I1859" s="20">
        <v>2.1274546207584901</v>
      </c>
      <c r="J1859" s="28">
        <v>3.3382327954716601E-2</v>
      </c>
      <c r="K1859" s="29">
        <v>0.41536460405044801</v>
      </c>
    </row>
    <row r="1860" spans="1:11" x14ac:dyDescent="0.35">
      <c r="A1860" s="9" t="str">
        <f>HYPERLINK("http://www.ensembl.org/id/WBGene00000680", "WBGene00000680")</f>
        <v>WBGene00000680</v>
      </c>
      <c r="B1860" s="9" t="str">
        <f>HYPERLINK("http://www.ncbi.nlm.nih.gov/gene/176955", "176955")</f>
        <v>176955</v>
      </c>
      <c r="C1860" s="9"/>
      <c r="D1860" t="str">
        <f>"col-106"</f>
        <v>col-106</v>
      </c>
      <c r="E1860" t="s">
        <v>40</v>
      </c>
      <c r="F1860" t="s">
        <v>11</v>
      </c>
      <c r="G1860" t="s">
        <v>152</v>
      </c>
      <c r="H1860" s="12">
        <v>1.7080110464926599</v>
      </c>
      <c r="I1860" s="20">
        <v>2.1256748265875598</v>
      </c>
      <c r="J1860" s="28">
        <v>3.35303443952907E-2</v>
      </c>
      <c r="K1860" s="29">
        <v>0.41675747046669498</v>
      </c>
    </row>
    <row r="1861" spans="1:11" x14ac:dyDescent="0.35">
      <c r="A1861" s="9" t="str">
        <f>HYPERLINK("http://www.ensembl.org/id/WBGene00010541", "WBGene00010541")</f>
        <v>WBGene00010541</v>
      </c>
      <c r="B1861" s="9" t="str">
        <f>HYPERLINK("http://www.ncbi.nlm.nih.gov/gene/186958", "186958")</f>
        <v>186958</v>
      </c>
      <c r="C1861" s="9"/>
      <c r="D1861" t="str">
        <f>"ttr-1"</f>
        <v>ttr-1</v>
      </c>
      <c r="E1861" t="s">
        <v>1528</v>
      </c>
      <c r="F1861" t="s">
        <v>11</v>
      </c>
      <c r="G1861" t="s">
        <v>17</v>
      </c>
      <c r="H1861" s="12">
        <v>-1.6266352081615501</v>
      </c>
      <c r="I1861" s="20">
        <v>-2.12572212656542</v>
      </c>
      <c r="J1861" s="28">
        <v>3.3526403446640402E-2</v>
      </c>
      <c r="K1861" s="29">
        <v>0.41675747046669498</v>
      </c>
    </row>
    <row r="1862" spans="1:11" x14ac:dyDescent="0.35">
      <c r="A1862" s="9" t="str">
        <f>HYPERLINK("http://www.ensembl.org/id/WBGene00006446", "WBGene00006446")</f>
        <v>WBGene00006446</v>
      </c>
      <c r="B1862" s="9" t="str">
        <f>HYPERLINK("http://www.ncbi.nlm.nih.gov/gene/180049", "180049")</f>
        <v>180049</v>
      </c>
      <c r="C1862" s="9" t="str">
        <f>HYPERLINK("http://www.ncbi.nlm.nih.gov/gene/4287", "4287")</f>
        <v>4287</v>
      </c>
      <c r="D1862" t="str">
        <f>"atx-3"</f>
        <v>atx-3</v>
      </c>
      <c r="E1862" t="s">
        <v>1529</v>
      </c>
      <c r="F1862" t="s">
        <v>11</v>
      </c>
      <c r="G1862" t="s">
        <v>1530</v>
      </c>
      <c r="H1862" s="12">
        <v>-1.56423851406151</v>
      </c>
      <c r="I1862" s="20">
        <v>-2.1250884444026101</v>
      </c>
      <c r="J1862" s="28">
        <v>3.3579233615141299E-2</v>
      </c>
      <c r="K1862" s="29">
        <v>0.41714073758680298</v>
      </c>
    </row>
    <row r="1863" spans="1:11" x14ac:dyDescent="0.35">
      <c r="A1863" s="9" t="str">
        <f>HYPERLINK("http://www.ensembl.org/id/WBGene00020966", "WBGene00020966")</f>
        <v>WBGene00020966</v>
      </c>
      <c r="B1863" s="9" t="str">
        <f>HYPERLINK("http://www.ncbi.nlm.nih.gov/gene/175744", "175744")</f>
        <v>175744</v>
      </c>
      <c r="C1863" s="9"/>
      <c r="D1863" t="str">
        <f>"W03A5.1"</f>
        <v>W03A5.1</v>
      </c>
      <c r="F1863" t="s">
        <v>11</v>
      </c>
      <c r="G1863" t="s">
        <v>1531</v>
      </c>
      <c r="H1863" s="12">
        <v>2.2353804181304899</v>
      </c>
      <c r="I1863" s="20">
        <v>2.1247824556838499</v>
      </c>
      <c r="J1863" s="28">
        <v>3.3604769419557902E-2</v>
      </c>
      <c r="K1863" s="29">
        <v>0.417233639015747</v>
      </c>
    </row>
    <row r="1864" spans="1:11" x14ac:dyDescent="0.35">
      <c r="A1864" s="9" t="str">
        <f>HYPERLINK("http://www.ensembl.org/id/WBGene00022629", "WBGene00022629")</f>
        <v>WBGene00022629</v>
      </c>
      <c r="B1864" s="9" t="str">
        <f>HYPERLINK("http://www.ncbi.nlm.nih.gov/gene/179185", "179185")</f>
        <v>179185</v>
      </c>
      <c r="C1864" s="9" t="str">
        <f>HYPERLINK("http://www.ncbi.nlm.nih.gov/gene/79087", "79087")</f>
        <v>79087</v>
      </c>
      <c r="D1864" t="str">
        <f>"algn-12"</f>
        <v>algn-12</v>
      </c>
      <c r="E1864" t="s">
        <v>1532</v>
      </c>
      <c r="F1864" t="s">
        <v>11</v>
      </c>
      <c r="G1864" t="s">
        <v>1533</v>
      </c>
      <c r="H1864" s="12">
        <v>-1.54717682768918</v>
      </c>
      <c r="I1864" s="20">
        <v>-2.12379832565319</v>
      </c>
      <c r="J1864" s="28">
        <v>3.3687011079898799E-2</v>
      </c>
      <c r="K1864" s="29">
        <v>0.41780573162219098</v>
      </c>
    </row>
    <row r="1865" spans="1:11" x14ac:dyDescent="0.35">
      <c r="A1865" s="9" t="str">
        <f>HYPERLINK("http://www.ensembl.org/id/WBGene00023414", "WBGene00023414")</f>
        <v>WBGene00023414</v>
      </c>
      <c r="B1865" s="9" t="str">
        <f>HYPERLINK("http://www.ncbi.nlm.nih.gov/gene/3565286", "3565286")</f>
        <v>3565286</v>
      </c>
      <c r="C1865" s="9"/>
      <c r="D1865" t="str">
        <f>"R01H2.7"</f>
        <v>R01H2.7</v>
      </c>
      <c r="F1865" t="s">
        <v>11</v>
      </c>
      <c r="G1865" t="s">
        <v>25</v>
      </c>
      <c r="H1865" s="12">
        <v>1.82890820843596</v>
      </c>
      <c r="I1865" s="20">
        <v>2.1238126018693699</v>
      </c>
      <c r="J1865" s="28">
        <v>3.3685816817479501E-2</v>
      </c>
      <c r="K1865" s="29">
        <v>0.41780573162219098</v>
      </c>
    </row>
    <row r="1866" spans="1:11" x14ac:dyDescent="0.35">
      <c r="A1866" s="9" t="str">
        <f>HYPERLINK("http://www.ensembl.org/id/WBGene00008711", "WBGene00008711")</f>
        <v>WBGene00008711</v>
      </c>
      <c r="B1866" s="9" t="str">
        <f>HYPERLINK("http://www.ncbi.nlm.nih.gov/gene/178530", "178530")</f>
        <v>178530</v>
      </c>
      <c r="C1866" s="9"/>
      <c r="D1866" t="str">
        <f>"F11E6.8"</f>
        <v>F11E6.8</v>
      </c>
      <c r="F1866" t="s">
        <v>11</v>
      </c>
      <c r="G1866" t="s">
        <v>1535</v>
      </c>
      <c r="H1866" s="12">
        <v>1.6332686415281901</v>
      </c>
      <c r="I1866" s="20">
        <v>2.1216101295930301</v>
      </c>
      <c r="J1866" s="28">
        <v>3.3870491047723203E-2</v>
      </c>
      <c r="K1866" s="29">
        <v>0.41983346244860298</v>
      </c>
    </row>
    <row r="1867" spans="1:11" x14ac:dyDescent="0.35">
      <c r="A1867" s="9" t="str">
        <f>HYPERLINK("http://www.ensembl.org/id/WBGene00019311", "WBGene00019311")</f>
        <v>WBGene00019311</v>
      </c>
      <c r="B1867" s="9"/>
      <c r="C1867" s="9"/>
      <c r="D1867" t="str">
        <f>"K02E7.6"</f>
        <v>K02E7.6</v>
      </c>
      <c r="F1867" t="s">
        <v>80</v>
      </c>
      <c r="H1867" s="12">
        <v>1.9111564410686099</v>
      </c>
      <c r="I1867" s="20">
        <v>2.1212243474249299</v>
      </c>
      <c r="J1867" s="28">
        <v>3.3902927277399603E-2</v>
      </c>
      <c r="K1867" s="29">
        <v>0.41983346244860298</v>
      </c>
    </row>
    <row r="1868" spans="1:11" x14ac:dyDescent="0.35">
      <c r="A1868" s="9" t="str">
        <f>HYPERLINK("http://www.ensembl.org/id/WBGene00009287", "WBGene00009287")</f>
        <v>WBGene00009287</v>
      </c>
      <c r="B1868" s="9" t="str">
        <f>HYPERLINK("http://www.ncbi.nlm.nih.gov/gene/185146", "185146")</f>
        <v>185146</v>
      </c>
      <c r="C1868" s="9" t="str">
        <f>HYPERLINK("http://www.ncbi.nlm.nih.gov/gene/51659", "51659")</f>
        <v>51659</v>
      </c>
      <c r="D1868" t="str">
        <f>"psf-2"</f>
        <v>psf-2</v>
      </c>
      <c r="E1868" t="s">
        <v>1536</v>
      </c>
      <c r="F1868" t="s">
        <v>11</v>
      </c>
      <c r="G1868" t="s">
        <v>1537</v>
      </c>
      <c r="H1868" s="12">
        <v>-1.70081787340216</v>
      </c>
      <c r="I1868" s="20">
        <v>-2.1209835907446202</v>
      </c>
      <c r="J1868" s="28">
        <v>3.3923183345950902E-2</v>
      </c>
      <c r="K1868" s="29">
        <v>0.41983346244860298</v>
      </c>
    </row>
    <row r="1869" spans="1:11" x14ac:dyDescent="0.35">
      <c r="A1869" s="9" t="str">
        <f>HYPERLINK("http://www.ensembl.org/id/WBGene00011437", "WBGene00011437")</f>
        <v>WBGene00011437</v>
      </c>
      <c r="B1869" s="9" t="str">
        <f>HYPERLINK("http://www.ncbi.nlm.nih.gov/gene/179609", "179609")</f>
        <v>179609</v>
      </c>
      <c r="C1869" s="9"/>
      <c r="D1869" t="str">
        <f>"T04F3.2"</f>
        <v>T04F3.2</v>
      </c>
      <c r="F1869" t="s">
        <v>11</v>
      </c>
      <c r="G1869" t="s">
        <v>1534</v>
      </c>
      <c r="H1869" s="12">
        <v>2.0080562278330398</v>
      </c>
      <c r="I1869" s="20">
        <v>2.1211808118027302</v>
      </c>
      <c r="J1869" s="28">
        <v>3.3906589381818203E-2</v>
      </c>
      <c r="K1869" s="29">
        <v>0.41983346244860298</v>
      </c>
    </row>
    <row r="1870" spans="1:11" x14ac:dyDescent="0.35">
      <c r="A1870" s="9" t="str">
        <f>HYPERLINK("http://www.ensembl.org/id/WBGene00008735", "WBGene00008735")</f>
        <v>WBGene00008735</v>
      </c>
      <c r="B1870" s="9" t="str">
        <f>HYPERLINK("http://www.ncbi.nlm.nih.gov/gene/181305", "181305")</f>
        <v>181305</v>
      </c>
      <c r="C1870" s="9"/>
      <c r="D1870" t="str">
        <f>"F13D2.1"</f>
        <v>F13D2.1</v>
      </c>
      <c r="F1870" t="s">
        <v>11</v>
      </c>
      <c r="G1870" t="s">
        <v>1538</v>
      </c>
      <c r="H1870" s="12">
        <v>-1.5871082534497001</v>
      </c>
      <c r="I1870" s="20">
        <v>-2.1205538433142799</v>
      </c>
      <c r="J1870" s="28">
        <v>3.39593658744256E-2</v>
      </c>
      <c r="K1870" s="29">
        <v>0.42005626760946302</v>
      </c>
    </row>
    <row r="1871" spans="1:11" x14ac:dyDescent="0.35">
      <c r="A1871" s="9" t="str">
        <f>HYPERLINK("http://www.ensembl.org/id/WBGene00015189", "WBGene00015189")</f>
        <v>WBGene00015189</v>
      </c>
      <c r="B1871" s="9" t="str">
        <f>HYPERLINK("http://www.ncbi.nlm.nih.gov/gene/181990", "181990")</f>
        <v>181990</v>
      </c>
      <c r="C1871" s="9" t="str">
        <f>HYPERLINK("http://www.ncbi.nlm.nih.gov/gene/128387", "128387")</f>
        <v>128387</v>
      </c>
      <c r="D1871" t="str">
        <f>"B0432.8"</f>
        <v>B0432.8</v>
      </c>
      <c r="F1871" t="s">
        <v>11</v>
      </c>
      <c r="G1871" t="s">
        <v>1539</v>
      </c>
      <c r="H1871" s="12">
        <v>-1.7475340024639801</v>
      </c>
      <c r="I1871" s="20">
        <v>-2.1200781950104499</v>
      </c>
      <c r="J1871" s="28">
        <v>3.3999451483477897E-2</v>
      </c>
      <c r="K1871" s="29">
        <v>0.42032708720023598</v>
      </c>
    </row>
    <row r="1872" spans="1:11" x14ac:dyDescent="0.35">
      <c r="A1872" s="9" t="str">
        <f>HYPERLINK("http://www.ensembl.org/id/WBGene00000673", "WBGene00000673")</f>
        <v>WBGene00000673</v>
      </c>
      <c r="B1872" s="9" t="str">
        <f>HYPERLINK("http://www.ncbi.nlm.nih.gov/gene/176724", "176724")</f>
        <v>176724</v>
      </c>
      <c r="C1872" s="9"/>
      <c r="D1872" t="str">
        <f>"col-98"</f>
        <v>col-98</v>
      </c>
      <c r="E1872" t="s">
        <v>40</v>
      </c>
      <c r="F1872" t="s">
        <v>11</v>
      </c>
      <c r="G1872" t="s">
        <v>41</v>
      </c>
      <c r="H1872" s="12">
        <v>1.7049188080561299</v>
      </c>
      <c r="I1872" s="20">
        <v>2.11936916585119</v>
      </c>
      <c r="J1872" s="28">
        <v>3.4059280521744E-2</v>
      </c>
      <c r="K1872" s="29">
        <v>0.42064874423950699</v>
      </c>
    </row>
    <row r="1873" spans="1:11" x14ac:dyDescent="0.35">
      <c r="A1873" s="9" t="str">
        <f>HYPERLINK("http://www.ensembl.org/id/WBGene00018216", "WBGene00018216")</f>
        <v>WBGene00018216</v>
      </c>
      <c r="B1873" s="9" t="str">
        <f>HYPERLINK("http://www.ncbi.nlm.nih.gov/gene/185506", "185506")</f>
        <v>185506</v>
      </c>
      <c r="C1873" s="9"/>
      <c r="D1873" t="str">
        <f>"F40A3.1"</f>
        <v>F40A3.1</v>
      </c>
      <c r="F1873" t="s">
        <v>11</v>
      </c>
      <c r="G1873" t="s">
        <v>264</v>
      </c>
      <c r="H1873" s="12">
        <v>1.5096502989946501</v>
      </c>
      <c r="I1873" s="20">
        <v>2.1192064106358299</v>
      </c>
      <c r="J1873" s="28">
        <v>3.4073026765594802E-2</v>
      </c>
      <c r="K1873" s="29">
        <v>0.42064874423950699</v>
      </c>
    </row>
    <row r="1874" spans="1:11" x14ac:dyDescent="0.35">
      <c r="A1874" s="9" t="str">
        <f>HYPERLINK("http://www.ensembl.org/id/WBGene00010760", "WBGene00010760")</f>
        <v>WBGene00010760</v>
      </c>
      <c r="B1874" s="9" t="str">
        <f>HYPERLINK("http://www.ncbi.nlm.nih.gov/gene/175109", "175109")</f>
        <v>175109</v>
      </c>
      <c r="C1874" s="9"/>
      <c r="D1874" t="str">
        <f>"K10H10.4"</f>
        <v>K10H10.4</v>
      </c>
      <c r="F1874" t="s">
        <v>11</v>
      </c>
      <c r="G1874" t="s">
        <v>54</v>
      </c>
      <c r="H1874" s="12">
        <v>-15.7168902467129</v>
      </c>
      <c r="I1874" s="20">
        <v>-2.11912286044099</v>
      </c>
      <c r="J1874" s="28">
        <v>3.4080085225324901E-2</v>
      </c>
      <c r="K1874" s="29">
        <v>0.42064874423950699</v>
      </c>
    </row>
    <row r="1875" spans="1:11" x14ac:dyDescent="0.35">
      <c r="A1875" s="9" t="str">
        <f>HYPERLINK("http://www.ensembl.org/id/WBGene00010722", "WBGene00010722")</f>
        <v>WBGene00010722</v>
      </c>
      <c r="B1875" s="9" t="str">
        <f>HYPERLINK("http://www.ncbi.nlm.nih.gov/gene/175063", "175063")</f>
        <v>175063</v>
      </c>
      <c r="C1875" s="9"/>
      <c r="D1875" t="str">
        <f>"K09E4.4"</f>
        <v>K09E4.4</v>
      </c>
      <c r="F1875" t="s">
        <v>11</v>
      </c>
      <c r="H1875" s="12">
        <v>-1.5637845219612201</v>
      </c>
      <c r="I1875" s="20">
        <v>-2.1188724117004298</v>
      </c>
      <c r="J1875" s="28">
        <v>3.4101251041521202E-2</v>
      </c>
      <c r="K1875" s="29">
        <v>0.42068526778718002</v>
      </c>
    </row>
    <row r="1876" spans="1:11" x14ac:dyDescent="0.35">
      <c r="A1876" s="9" t="str">
        <f>HYPERLINK("http://www.ensembl.org/id/WBGene00011913", "WBGene00011913")</f>
        <v>WBGene00011913</v>
      </c>
      <c r="B1876" s="9" t="str">
        <f>HYPERLINK("http://www.ncbi.nlm.nih.gov/gene/172564", "172564")</f>
        <v>172564</v>
      </c>
      <c r="C1876" s="9"/>
      <c r="D1876" t="str">
        <f>"glb-26"</f>
        <v>glb-26</v>
      </c>
      <c r="E1876" t="s">
        <v>1540</v>
      </c>
      <c r="F1876" t="s">
        <v>11</v>
      </c>
      <c r="G1876" t="s">
        <v>867</v>
      </c>
      <c r="H1876" s="12">
        <v>1.62744787494398</v>
      </c>
      <c r="I1876" s="20">
        <v>2.1181087919911801</v>
      </c>
      <c r="J1876" s="28">
        <v>3.4165855112013803E-2</v>
      </c>
      <c r="K1876" s="29">
        <v>0.42103266571636799</v>
      </c>
    </row>
    <row r="1877" spans="1:11" x14ac:dyDescent="0.35">
      <c r="A1877" s="9" t="str">
        <f>HYPERLINK("http://www.ensembl.org/id/WBGene00016638", "WBGene00016638")</f>
        <v>WBGene00016638</v>
      </c>
      <c r="B1877" s="9" t="str">
        <f>HYPERLINK("http://www.ncbi.nlm.nih.gov/gene/176932", "176932")</f>
        <v>176932</v>
      </c>
      <c r="C1877" s="9"/>
      <c r="D1877" t="str">
        <f>"perm-4"</f>
        <v>perm-4</v>
      </c>
      <c r="E1877" t="s">
        <v>136</v>
      </c>
      <c r="F1877" t="s">
        <v>11</v>
      </c>
      <c r="H1877" s="12">
        <v>-1.6464233503239201</v>
      </c>
      <c r="I1877" s="20">
        <v>-2.1181340525348999</v>
      </c>
      <c r="J1877" s="28">
        <v>3.4163716337283399E-2</v>
      </c>
      <c r="K1877" s="29">
        <v>0.42103266571636799</v>
      </c>
    </row>
    <row r="1878" spans="1:11" x14ac:dyDescent="0.35">
      <c r="A1878" s="9" t="str">
        <f>HYPERLINK("http://www.ensembl.org/id/WBGene00007550", "WBGene00007550")</f>
        <v>WBGene00007550</v>
      </c>
      <c r="B1878" s="9" t="str">
        <f>HYPERLINK("http://www.ncbi.nlm.nih.gov/gene/182567", "182567")</f>
        <v>182567</v>
      </c>
      <c r="C1878" s="9"/>
      <c r="D1878" t="str">
        <f>"C13C4.6"</f>
        <v>C13C4.6</v>
      </c>
      <c r="F1878" t="s">
        <v>11</v>
      </c>
      <c r="G1878" t="s">
        <v>230</v>
      </c>
      <c r="H1878" s="12">
        <v>-1.5991864280191499</v>
      </c>
      <c r="I1878" s="20">
        <v>-2.11699059026179</v>
      </c>
      <c r="J1878" s="28">
        <v>3.42606464048055E-2</v>
      </c>
      <c r="K1878" s="29">
        <v>0.42130202013274898</v>
      </c>
    </row>
    <row r="1879" spans="1:11" x14ac:dyDescent="0.35">
      <c r="A1879" s="9" t="str">
        <f>HYPERLINK("http://www.ensembl.org/id/WBGene00021934", "WBGene00021934")</f>
        <v>WBGene00021934</v>
      </c>
      <c r="B1879" s="9" t="str">
        <f>HYPERLINK("http://www.ncbi.nlm.nih.gov/gene/176928", "176928")</f>
        <v>176928</v>
      </c>
      <c r="C1879" s="9" t="str">
        <f>HYPERLINK("http://www.ncbi.nlm.nih.gov/gene/10694", "10694")</f>
        <v>10694</v>
      </c>
      <c r="D1879" t="str">
        <f>"cct-8"</f>
        <v>cct-8</v>
      </c>
      <c r="E1879" t="s">
        <v>1543</v>
      </c>
      <c r="F1879" t="s">
        <v>11</v>
      </c>
      <c r="G1879" t="s">
        <v>1544</v>
      </c>
      <c r="H1879" s="12">
        <v>-1.47745937289921</v>
      </c>
      <c r="I1879" s="20">
        <v>-2.1170424005939399</v>
      </c>
      <c r="J1879" s="28">
        <v>3.4256249420949202E-2</v>
      </c>
      <c r="K1879" s="29">
        <v>0.42130202013274898</v>
      </c>
    </row>
    <row r="1880" spans="1:11" x14ac:dyDescent="0.35">
      <c r="A1880" s="9" t="str">
        <f>HYPERLINK("http://www.ensembl.org/id/WBGene00003528", "WBGene00003528")</f>
        <v>WBGene00003528</v>
      </c>
      <c r="B1880" s="9" t="str">
        <f>HYPERLINK("http://www.ncbi.nlm.nih.gov/gene/178875", "178875")</f>
        <v>178875</v>
      </c>
      <c r="C1880" s="9"/>
      <c r="D1880" t="str">
        <f>"nas-9"</f>
        <v>nas-9</v>
      </c>
      <c r="E1880" t="s">
        <v>1541</v>
      </c>
      <c r="F1880" t="s">
        <v>11</v>
      </c>
      <c r="G1880" t="s">
        <v>1542</v>
      </c>
      <c r="H1880" s="12">
        <v>1.84266092438397</v>
      </c>
      <c r="I1880" s="20">
        <v>2.1170563138923502</v>
      </c>
      <c r="J1880" s="28">
        <v>3.42550687241647E-2</v>
      </c>
      <c r="K1880" s="29">
        <v>0.42130202013274898</v>
      </c>
    </row>
    <row r="1881" spans="1:11" x14ac:dyDescent="0.35">
      <c r="A1881" s="9" t="str">
        <f>HYPERLINK("http://www.ensembl.org/id/WBGene00005090", "WBGene00005090")</f>
        <v>WBGene00005090</v>
      </c>
      <c r="B1881" s="9" t="str">
        <f>HYPERLINK("http://www.ncbi.nlm.nih.gov/gene/191802", "191802")</f>
        <v>191802</v>
      </c>
      <c r="C1881" s="9"/>
      <c r="D1881" t="str">
        <f>"srd-12"</f>
        <v>srd-12</v>
      </c>
      <c r="E1881" t="s">
        <v>1513</v>
      </c>
      <c r="F1881" t="s">
        <v>11</v>
      </c>
      <c r="G1881" t="s">
        <v>25</v>
      </c>
      <c r="H1881" s="12">
        <v>14.006699122375</v>
      </c>
      <c r="I1881" s="20">
        <v>2.1172894198287699</v>
      </c>
      <c r="J1881" s="28">
        <v>3.4235292286855498E-2</v>
      </c>
      <c r="K1881" s="29">
        <v>0.42130202013274898</v>
      </c>
    </row>
    <row r="1882" spans="1:11" x14ac:dyDescent="0.35">
      <c r="A1882" s="9" t="str">
        <f>HYPERLINK("http://www.ensembl.org/id/WBGene00003551", "WBGene00003551")</f>
        <v>WBGene00003551</v>
      </c>
      <c r="B1882" s="9" t="str">
        <f>HYPERLINK("http://www.ncbi.nlm.nih.gov/gene/186987", "186987")</f>
        <v>186987</v>
      </c>
      <c r="C1882" s="9"/>
      <c r="D1882" t="str">
        <f>"nas-33"</f>
        <v>nas-33</v>
      </c>
      <c r="E1882" t="s">
        <v>1545</v>
      </c>
      <c r="F1882" t="s">
        <v>11</v>
      </c>
      <c r="G1882" t="s">
        <v>267</v>
      </c>
      <c r="H1882" s="12">
        <v>3.2093800991177499</v>
      </c>
      <c r="I1882" s="20">
        <v>2.1156636287977402</v>
      </c>
      <c r="J1882" s="28">
        <v>3.4373426028228099E-2</v>
      </c>
      <c r="K1882" s="29">
        <v>0.42232469093512898</v>
      </c>
    </row>
    <row r="1883" spans="1:11" x14ac:dyDescent="0.35">
      <c r="A1883" s="9" t="str">
        <f>HYPERLINK("http://www.ensembl.org/id/WBGene00012051", "WBGene00012051")</f>
        <v>WBGene00012051</v>
      </c>
      <c r="B1883" s="9" t="str">
        <f>HYPERLINK("http://www.ncbi.nlm.nih.gov/gene/188935", "188935")</f>
        <v>188935</v>
      </c>
      <c r="C1883" s="9"/>
      <c r="D1883" t="str">
        <f>"T26E4.9"</f>
        <v>T26E4.9</v>
      </c>
      <c r="F1883" t="s">
        <v>11</v>
      </c>
      <c r="H1883" s="12">
        <v>12.6234626764629</v>
      </c>
      <c r="I1883" s="20">
        <v>2.1155820913955798</v>
      </c>
      <c r="J1883" s="28">
        <v>3.4380366296588603E-2</v>
      </c>
      <c r="K1883" s="29">
        <v>0.42232469093512898</v>
      </c>
    </row>
    <row r="1884" spans="1:11" x14ac:dyDescent="0.35">
      <c r="A1884" s="9" t="str">
        <f>HYPERLINK("http://www.ensembl.org/id/WBGene00000447", "WBGene00000447")</f>
        <v>WBGene00000447</v>
      </c>
      <c r="B1884" s="9" t="str">
        <f>HYPERLINK("http://www.ncbi.nlm.nih.gov/gene/179877", "179877")</f>
        <v>179877</v>
      </c>
      <c r="C1884" s="9"/>
      <c r="D1884" t="str">
        <f>"ceh-24"</f>
        <v>ceh-24</v>
      </c>
      <c r="E1884" t="s">
        <v>1546</v>
      </c>
      <c r="F1884" t="s">
        <v>11</v>
      </c>
      <c r="G1884" t="s">
        <v>1012</v>
      </c>
      <c r="H1884" s="12">
        <v>2.0640850841654199</v>
      </c>
      <c r="I1884" s="20">
        <v>2.1143087675996499</v>
      </c>
      <c r="J1884" s="28">
        <v>3.44889040119832E-2</v>
      </c>
      <c r="K1884" s="29">
        <v>0.42343284596221198</v>
      </c>
    </row>
    <row r="1885" spans="1:11" x14ac:dyDescent="0.35">
      <c r="A1885" s="9" t="str">
        <f>HYPERLINK("http://www.ensembl.org/id/WBGene00000674", "WBGene00000674")</f>
        <v>WBGene00000674</v>
      </c>
      <c r="B1885" s="9" t="str">
        <f>HYPERLINK("http://www.ncbi.nlm.nih.gov/gene/185112", "185112")</f>
        <v>185112</v>
      </c>
      <c r="C1885" s="9"/>
      <c r="D1885" t="str">
        <f>"col-99"</f>
        <v>col-99</v>
      </c>
      <c r="E1885" t="s">
        <v>1547</v>
      </c>
      <c r="F1885" t="s">
        <v>11</v>
      </c>
      <c r="G1885" t="s">
        <v>593</v>
      </c>
      <c r="H1885" s="12">
        <v>1.59220919148236</v>
      </c>
      <c r="I1885" s="20">
        <v>2.1137693837593998</v>
      </c>
      <c r="J1885" s="28">
        <v>3.45349691083323E-2</v>
      </c>
      <c r="K1885" s="29">
        <v>0.423481329644674</v>
      </c>
    </row>
    <row r="1886" spans="1:11" x14ac:dyDescent="0.35">
      <c r="A1886" s="9" t="str">
        <f>HYPERLINK("http://www.ensembl.org/id/WBGene00195179", "WBGene00195179")</f>
        <v>WBGene00195179</v>
      </c>
      <c r="B1886" s="9" t="str">
        <f>HYPERLINK("http://www.ncbi.nlm.nih.gov/gene/13180223", "13180223")</f>
        <v>13180223</v>
      </c>
      <c r="C1886" s="9"/>
      <c r="D1886" t="str">
        <f>"F48C1.11"</f>
        <v>F48C1.11</v>
      </c>
      <c r="F1886" t="s">
        <v>11</v>
      </c>
      <c r="H1886" s="12">
        <v>4.1364862084811902</v>
      </c>
      <c r="I1886" s="20">
        <v>2.1136639247598201</v>
      </c>
      <c r="J1886" s="28">
        <v>3.4543981782698102E-2</v>
      </c>
      <c r="K1886" s="29">
        <v>0.423481329644674</v>
      </c>
    </row>
    <row r="1887" spans="1:11" x14ac:dyDescent="0.35">
      <c r="A1887" s="9" t="str">
        <f>HYPERLINK("http://www.ensembl.org/id/WBGene00021448", "WBGene00021448")</f>
        <v>WBGene00021448</v>
      </c>
      <c r="B1887" s="9" t="str">
        <f>HYPERLINK("http://www.ncbi.nlm.nih.gov/gene/178565", "178565")</f>
        <v>178565</v>
      </c>
      <c r="C1887" s="9"/>
      <c r="D1887" t="str">
        <f>"Y39D8A.1"</f>
        <v>Y39D8A.1</v>
      </c>
      <c r="F1887" t="s">
        <v>11</v>
      </c>
      <c r="G1887" t="s">
        <v>25</v>
      </c>
      <c r="H1887" s="12">
        <v>2.6078415363631202</v>
      </c>
      <c r="I1887" s="20">
        <v>2.1136188290814202</v>
      </c>
      <c r="J1887" s="28">
        <v>3.4547836336025699E-2</v>
      </c>
      <c r="K1887" s="29">
        <v>0.423481329644674</v>
      </c>
    </row>
    <row r="1888" spans="1:11" x14ac:dyDescent="0.35">
      <c r="A1888" s="9" t="str">
        <f>HYPERLINK("http://www.ensembl.org/id/WBGene00002035", "WBGene00002035")</f>
        <v>WBGene00002035</v>
      </c>
      <c r="B1888" s="9" t="str">
        <f>HYPERLINK("http://www.ncbi.nlm.nih.gov/gene/172698", "172698")</f>
        <v>172698</v>
      </c>
      <c r="C1888" s="9" t="str">
        <f>HYPERLINK("http://www.ncbi.nlm.nih.gov/gene/4643", "4643")</f>
        <v>4643</v>
      </c>
      <c r="D1888" t="str">
        <f>"hum-1"</f>
        <v>hum-1</v>
      </c>
      <c r="E1888" t="s">
        <v>1548</v>
      </c>
      <c r="F1888" t="s">
        <v>11</v>
      </c>
      <c r="G1888" t="s">
        <v>1549</v>
      </c>
      <c r="H1888" s="12">
        <v>-1.47058701053645</v>
      </c>
      <c r="I1888" s="20">
        <v>-2.1124668490619198</v>
      </c>
      <c r="J1888" s="28">
        <v>3.4646426481879697E-2</v>
      </c>
      <c r="K1888" s="29">
        <v>0.42356631232291703</v>
      </c>
    </row>
    <row r="1889" spans="1:11" x14ac:dyDescent="0.35">
      <c r="A1889" s="9" t="str">
        <f>HYPERLINK("http://www.ensembl.org/id/WBGene00002276", "WBGene00002276")</f>
        <v>WBGene00002276</v>
      </c>
      <c r="B1889" s="9" t="str">
        <f>HYPERLINK("http://www.ncbi.nlm.nih.gov/gene/172792", "172792")</f>
        <v>172792</v>
      </c>
      <c r="C1889" s="9"/>
      <c r="D1889" t="str">
        <f>"lem-3"</f>
        <v>lem-3</v>
      </c>
      <c r="E1889" t="s">
        <v>1550</v>
      </c>
      <c r="F1889" t="s">
        <v>11</v>
      </c>
      <c r="G1889" t="s">
        <v>1551</v>
      </c>
      <c r="H1889" s="12">
        <v>-1.49983639844759</v>
      </c>
      <c r="I1889" s="20">
        <v>-2.1126454823456098</v>
      </c>
      <c r="J1889" s="28">
        <v>3.4631122747354803E-2</v>
      </c>
      <c r="K1889" s="29">
        <v>0.42356631232291703</v>
      </c>
    </row>
    <row r="1890" spans="1:11" x14ac:dyDescent="0.35">
      <c r="A1890" s="9" t="str">
        <f>HYPERLINK("http://www.ensembl.org/id/WBGene00004953", "WBGene00004953")</f>
        <v>WBGene00004953</v>
      </c>
      <c r="B1890" s="9" t="str">
        <f>HYPERLINK("http://www.ncbi.nlm.nih.gov/gene/172712", "172712")</f>
        <v>172712</v>
      </c>
      <c r="C1890" s="9"/>
      <c r="D1890" t="str">
        <f>"spd-2"</f>
        <v>spd-2</v>
      </c>
      <c r="E1890" t="s">
        <v>1553</v>
      </c>
      <c r="F1890" t="s">
        <v>11</v>
      </c>
      <c r="G1890" t="s">
        <v>1554</v>
      </c>
      <c r="H1890" s="12">
        <v>-1.53136375783815</v>
      </c>
      <c r="I1890" s="20">
        <v>-2.1125478081614002</v>
      </c>
      <c r="J1890" s="28">
        <v>3.4639489900032801E-2</v>
      </c>
      <c r="K1890" s="29">
        <v>0.42356631232291703</v>
      </c>
    </row>
    <row r="1891" spans="1:11" x14ac:dyDescent="0.35">
      <c r="A1891" s="9" t="str">
        <f>HYPERLINK("http://www.ensembl.org/id/WBGene00012326", "WBGene00012326")</f>
        <v>WBGene00012326</v>
      </c>
      <c r="B1891" s="9" t="str">
        <f>HYPERLINK("http://www.ncbi.nlm.nih.gov/gene/181223", "181223")</f>
        <v>181223</v>
      </c>
      <c r="C1891" s="9"/>
      <c r="D1891" t="str">
        <f>"W07E11.1"</f>
        <v>W07E11.1</v>
      </c>
      <c r="F1891" t="s">
        <v>11</v>
      </c>
      <c r="G1891" t="s">
        <v>1552</v>
      </c>
      <c r="H1891" s="12">
        <v>-1.5001963326024499</v>
      </c>
      <c r="I1891" s="20">
        <v>-2.1127751695785002</v>
      </c>
      <c r="J1891" s="28">
        <v>3.4620015899523002E-2</v>
      </c>
      <c r="K1891" s="29">
        <v>0.42356631232291703</v>
      </c>
    </row>
    <row r="1892" spans="1:11" x14ac:dyDescent="0.35">
      <c r="A1892" s="9" t="str">
        <f>HYPERLINK("http://www.ensembl.org/id/WBGene00010864", "WBGene00010864")</f>
        <v>WBGene00010864</v>
      </c>
      <c r="B1892" s="9" t="str">
        <f>HYPERLINK("http://www.ncbi.nlm.nih.gov/gene/187445", "187445")</f>
        <v>187445</v>
      </c>
      <c r="C1892" s="9"/>
      <c r="D1892" t="str">
        <f>"xbx-3"</f>
        <v>xbx-3</v>
      </c>
      <c r="E1892" t="s">
        <v>710</v>
      </c>
      <c r="F1892" t="s">
        <v>11</v>
      </c>
      <c r="G1892" t="s">
        <v>25</v>
      </c>
      <c r="H1892" s="12">
        <v>2.8624790833603599</v>
      </c>
      <c r="I1892" s="20">
        <v>2.1125971242431798</v>
      </c>
      <c r="J1892" s="28">
        <v>3.4635265075768598E-2</v>
      </c>
      <c r="K1892" s="29">
        <v>0.42356631232291703</v>
      </c>
    </row>
    <row r="1893" spans="1:11" x14ac:dyDescent="0.35">
      <c r="A1893" s="9" t="str">
        <f>HYPERLINK("http://www.ensembl.org/id/WBGene00015538", "WBGene00015538")</f>
        <v>WBGene00015538</v>
      </c>
      <c r="B1893" s="9" t="str">
        <f>HYPERLINK("http://www.ncbi.nlm.nih.gov/gene/177355", "177355")</f>
        <v>177355</v>
      </c>
      <c r="C1893" s="9" t="str">
        <f>HYPERLINK("http://www.ncbi.nlm.nih.gov/gene/4144", "4144")</f>
        <v>4144</v>
      </c>
      <c r="D1893" t="str">
        <f>"sams-3"</f>
        <v>sams-3</v>
      </c>
      <c r="E1893" t="s">
        <v>1555</v>
      </c>
      <c r="F1893" t="s">
        <v>11</v>
      </c>
      <c r="G1893" t="s">
        <v>1434</v>
      </c>
      <c r="H1893" s="12">
        <v>-1.56942422467563</v>
      </c>
      <c r="I1893" s="20">
        <v>-2.1117659848844701</v>
      </c>
      <c r="J1893" s="28">
        <v>3.4706526187996203E-2</v>
      </c>
      <c r="K1893" s="29">
        <v>0.42407667588568998</v>
      </c>
    </row>
    <row r="1894" spans="1:11" x14ac:dyDescent="0.35">
      <c r="A1894" s="9" t="str">
        <f>HYPERLINK("http://www.ensembl.org/id/WBGene00206529", "WBGene00206529")</f>
        <v>WBGene00206529</v>
      </c>
      <c r="B1894" s="9" t="str">
        <f>HYPERLINK("http://www.ncbi.nlm.nih.gov/gene/13185579", "13185579")</f>
        <v>13185579</v>
      </c>
      <c r="C1894" s="9"/>
      <c r="D1894" t="str">
        <f>"C04A2.15"</f>
        <v>C04A2.15</v>
      </c>
      <c r="F1894" t="s">
        <v>11</v>
      </c>
      <c r="H1894" s="12">
        <v>4.0714564632205503</v>
      </c>
      <c r="I1894" s="20">
        <v>2.1115494846444798</v>
      </c>
      <c r="J1894" s="28">
        <v>3.4725109261052503E-2</v>
      </c>
      <c r="K1894" s="29">
        <v>0.42407947916801197</v>
      </c>
    </row>
    <row r="1895" spans="1:11" x14ac:dyDescent="0.35">
      <c r="A1895" s="9" t="str">
        <f>HYPERLINK("http://www.ensembl.org/id/WBGene00012112", "WBGene00012112")</f>
        <v>WBGene00012112</v>
      </c>
      <c r="B1895" s="9" t="str">
        <f>HYPERLINK("http://www.ncbi.nlm.nih.gov/gene/176780", "176780")</f>
        <v>176780</v>
      </c>
      <c r="C1895" s="9"/>
      <c r="D1895" t="str">
        <f>"T28A8.6"</f>
        <v>T28A8.6</v>
      </c>
      <c r="F1895" t="s">
        <v>11</v>
      </c>
      <c r="H1895" s="12">
        <v>-1.7131275284619301</v>
      </c>
      <c r="I1895" s="20">
        <v>-2.1112095154039201</v>
      </c>
      <c r="J1895" s="28">
        <v>3.4754307316477898E-2</v>
      </c>
      <c r="K1895" s="29">
        <v>0.424211846198911</v>
      </c>
    </row>
    <row r="1896" spans="1:11" x14ac:dyDescent="0.35">
      <c r="A1896" s="9" t="str">
        <f>HYPERLINK("http://www.ensembl.org/id/WBGene00003156", "WBGene00003156")</f>
        <v>WBGene00003156</v>
      </c>
      <c r="B1896" s="9" t="str">
        <f>HYPERLINK("http://www.ncbi.nlm.nih.gov/gene/171793", "171793")</f>
        <v>171793</v>
      </c>
      <c r="C1896" s="9" t="str">
        <f>HYPERLINK("http://www.ncbi.nlm.nih.gov/gene/4173", "4173")</f>
        <v>4173</v>
      </c>
      <c r="D1896" t="str">
        <f>"mcm-4"</f>
        <v>mcm-4</v>
      </c>
      <c r="E1896" t="s">
        <v>1556</v>
      </c>
      <c r="F1896" t="s">
        <v>11</v>
      </c>
      <c r="G1896" t="s">
        <v>1557</v>
      </c>
      <c r="H1896" s="12">
        <v>-1.61799407398643</v>
      </c>
      <c r="I1896" s="20">
        <v>-2.1109474188371999</v>
      </c>
      <c r="J1896" s="28">
        <v>3.47768316343793E-2</v>
      </c>
      <c r="K1896" s="29">
        <v>0.42426265667580099</v>
      </c>
    </row>
    <row r="1897" spans="1:11" x14ac:dyDescent="0.35">
      <c r="A1897" s="9" t="str">
        <f>HYPERLINK("http://www.ensembl.org/id/WBGene00012420", "WBGene00012420")</f>
        <v>WBGene00012420</v>
      </c>
      <c r="B1897" s="9" t="str">
        <f>HYPERLINK("http://www.ncbi.nlm.nih.gov/gene/178455", "178455")</f>
        <v>178455</v>
      </c>
      <c r="C1897" s="9"/>
      <c r="D1897" t="str">
        <f>"Y7A9D.1"</f>
        <v>Y7A9D.1</v>
      </c>
      <c r="F1897" t="s">
        <v>11</v>
      </c>
      <c r="H1897" s="12">
        <v>1.64268236528725</v>
      </c>
      <c r="I1897" s="20">
        <v>2.1099483489795698</v>
      </c>
      <c r="J1897" s="28">
        <v>3.4862805069915001E-2</v>
      </c>
      <c r="K1897" s="29">
        <v>0.425087057491006</v>
      </c>
    </row>
    <row r="1898" spans="1:11" x14ac:dyDescent="0.35">
      <c r="A1898" s="9" t="str">
        <f>HYPERLINK("http://www.ensembl.org/id/WBGene00013127", "WBGene00013127")</f>
        <v>WBGene00013127</v>
      </c>
      <c r="B1898" s="9" t="str">
        <f>HYPERLINK("http://www.ncbi.nlm.nih.gov/gene/173004", "173004")</f>
        <v>173004</v>
      </c>
      <c r="C1898" s="9"/>
      <c r="D1898" t="str">
        <f>"Y52B11A.8"</f>
        <v>Y52B11A.8</v>
      </c>
      <c r="E1898" t="s">
        <v>1558</v>
      </c>
      <c r="F1898" t="s">
        <v>11</v>
      </c>
      <c r="G1898" t="s">
        <v>1559</v>
      </c>
      <c r="H1898" s="12">
        <v>-1.6140878831557699</v>
      </c>
      <c r="I1898" s="20">
        <v>-2.10966539941285</v>
      </c>
      <c r="J1898" s="28">
        <v>3.4887186817631102E-2</v>
      </c>
      <c r="K1898" s="29">
        <v>0.42515998871739702</v>
      </c>
    </row>
    <row r="1899" spans="1:11" x14ac:dyDescent="0.35">
      <c r="A1899" s="9" t="str">
        <f>HYPERLINK("http://www.ensembl.org/id/WBGene00017397", "WBGene00017397")</f>
        <v>WBGene00017397</v>
      </c>
      <c r="B1899" s="9" t="str">
        <f>HYPERLINK("http://www.ncbi.nlm.nih.gov/gene/184376", "184376")</f>
        <v>184376</v>
      </c>
      <c r="C1899" s="9"/>
      <c r="D1899" t="str">
        <f>"F12A10.8"</f>
        <v>F12A10.8</v>
      </c>
      <c r="F1899" t="s">
        <v>11</v>
      </c>
      <c r="H1899" s="12">
        <v>-1.82208710111714</v>
      </c>
      <c r="I1899" s="20">
        <v>-2.1086489084524702</v>
      </c>
      <c r="J1899" s="28">
        <v>3.49748979287497E-2</v>
      </c>
      <c r="K1899" s="29">
        <v>0.426004212726248</v>
      </c>
    </row>
    <row r="1900" spans="1:11" x14ac:dyDescent="0.35">
      <c r="A1900" s="9" t="str">
        <f>HYPERLINK("http://www.ensembl.org/id/WBGene00011529", "WBGene00011529")</f>
        <v>WBGene00011529</v>
      </c>
      <c r="B1900" s="9" t="str">
        <f>HYPERLINK("http://www.ncbi.nlm.nih.gov/gene/174716", "174716")</f>
        <v>174716</v>
      </c>
      <c r="C1900" s="9" t="str">
        <f>HYPERLINK("http://www.ncbi.nlm.nih.gov/gene/51669", "51669")</f>
        <v>51669</v>
      </c>
      <c r="D1900" t="str">
        <f>"T06D8.9"</f>
        <v>T06D8.9</v>
      </c>
      <c r="F1900" t="s">
        <v>11</v>
      </c>
      <c r="G1900" t="s">
        <v>1560</v>
      </c>
      <c r="H1900" s="12">
        <v>-1.48283048153353</v>
      </c>
      <c r="I1900" s="20">
        <v>-2.1083314485194098</v>
      </c>
      <c r="J1900" s="28">
        <v>3.5002329507549203E-2</v>
      </c>
      <c r="K1900" s="29">
        <v>0.42611371211877402</v>
      </c>
    </row>
    <row r="1901" spans="1:11" x14ac:dyDescent="0.35">
      <c r="A1901" s="9" t="str">
        <f>HYPERLINK("http://www.ensembl.org/id/WBGene00010742", "WBGene00010742")</f>
        <v>WBGene00010742</v>
      </c>
      <c r="B1901" s="9" t="str">
        <f>HYPERLINK("http://www.ncbi.nlm.nih.gov/gene/179548", "179548")</f>
        <v>179548</v>
      </c>
      <c r="C1901" s="9"/>
      <c r="D1901" t="str">
        <f>"K10D6.2"</f>
        <v>K10D6.2</v>
      </c>
      <c r="F1901" t="s">
        <v>11</v>
      </c>
      <c r="G1901" t="s">
        <v>372</v>
      </c>
      <c r="H1901" s="12">
        <v>1.5704880616865999</v>
      </c>
      <c r="I1901" s="20">
        <v>2.10649999883969</v>
      </c>
      <c r="J1901" s="28">
        <v>3.5160943212739902E-2</v>
      </c>
      <c r="K1901" s="29">
        <v>0.42781924901188501</v>
      </c>
    </row>
    <row r="1902" spans="1:11" x14ac:dyDescent="0.35">
      <c r="A1902" s="9" t="str">
        <f>HYPERLINK("http://www.ensembl.org/id/WBGene00008480", "WBGene00008480")</f>
        <v>WBGene00008480</v>
      </c>
      <c r="B1902" s="9" t="str">
        <f>HYPERLINK("http://www.ncbi.nlm.nih.gov/gene/174606", "174606")</f>
        <v>174606</v>
      </c>
      <c r="C1902" s="9" t="str">
        <f>HYPERLINK("http://www.ncbi.nlm.nih.gov/gene/83939", "83939")</f>
        <v>83939</v>
      </c>
      <c r="D1902" t="str">
        <f>"eif-2A"</f>
        <v>eif-2A</v>
      </c>
      <c r="E1902" t="s">
        <v>1561</v>
      </c>
      <c r="F1902" t="s">
        <v>11</v>
      </c>
      <c r="G1902" t="s">
        <v>1562</v>
      </c>
      <c r="H1902" s="12">
        <v>-1.4673624599728401</v>
      </c>
      <c r="I1902" s="20">
        <v>-2.10534453435594</v>
      </c>
      <c r="J1902" s="28">
        <v>3.5261328156604897E-2</v>
      </c>
      <c r="K1902" s="29">
        <v>0.428814867571848</v>
      </c>
    </row>
    <row r="1903" spans="1:11" x14ac:dyDescent="0.35">
      <c r="A1903" s="9" t="str">
        <f>HYPERLINK("http://www.ensembl.org/id/WBGene00000518", "WBGene00000518")</f>
        <v>WBGene00000518</v>
      </c>
      <c r="B1903" s="9" t="str">
        <f>HYPERLINK("http://www.ncbi.nlm.nih.gov/gene/182278", "182278")</f>
        <v>182278</v>
      </c>
      <c r="C1903" s="9" t="str">
        <f>HYPERLINK("http://www.ncbi.nlm.nih.gov/gene/10645", "10645")</f>
        <v>10645</v>
      </c>
      <c r="D1903" t="str">
        <f>"ckk-1"</f>
        <v>ckk-1</v>
      </c>
      <c r="E1903" t="s">
        <v>1565</v>
      </c>
      <c r="F1903" t="s">
        <v>11</v>
      </c>
      <c r="G1903" t="s">
        <v>444</v>
      </c>
      <c r="H1903" s="12">
        <v>1.5851647179013999</v>
      </c>
      <c r="I1903" s="20">
        <v>2.10409964231419</v>
      </c>
      <c r="J1903" s="28">
        <v>3.5369756055520202E-2</v>
      </c>
      <c r="K1903" s="29">
        <v>0.429158143312241</v>
      </c>
    </row>
    <row r="1904" spans="1:11" x14ac:dyDescent="0.35">
      <c r="A1904" s="9" t="str">
        <f>HYPERLINK("http://www.ensembl.org/id/WBGene00001542", "WBGene00001542")</f>
        <v>WBGene00001542</v>
      </c>
      <c r="B1904" s="9" t="str">
        <f>HYPERLINK("http://www.ncbi.nlm.nih.gov/gene/191649", "191649")</f>
        <v>191649</v>
      </c>
      <c r="C1904" s="9"/>
      <c r="D1904" t="str">
        <f>"gcy-17"</f>
        <v>gcy-17</v>
      </c>
      <c r="E1904" t="s">
        <v>1563</v>
      </c>
      <c r="F1904" t="s">
        <v>11</v>
      </c>
      <c r="G1904" t="s">
        <v>1564</v>
      </c>
      <c r="H1904" s="12">
        <v>7.8120685699732499</v>
      </c>
      <c r="I1904" s="20">
        <v>2.10433504148636</v>
      </c>
      <c r="J1904" s="28">
        <v>3.5349231417433E-2</v>
      </c>
      <c r="K1904" s="29">
        <v>0.429158143312241</v>
      </c>
    </row>
    <row r="1905" spans="1:11" x14ac:dyDescent="0.35">
      <c r="A1905" s="9" t="str">
        <f>HYPERLINK("http://www.ensembl.org/id/WBGene00008775", "WBGene00008775")</f>
        <v>WBGene00008775</v>
      </c>
      <c r="B1905" s="9" t="str">
        <f>HYPERLINK("http://www.ncbi.nlm.nih.gov/gene/177998", "177998")</f>
        <v>177998</v>
      </c>
      <c r="C1905" s="9" t="str">
        <f>HYPERLINK("http://www.ncbi.nlm.nih.gov/gene/7841", "7841")</f>
        <v>7841</v>
      </c>
      <c r="D1905" t="str">
        <f>"mogs-1"</f>
        <v>mogs-1</v>
      </c>
      <c r="E1905" t="s">
        <v>1569</v>
      </c>
      <c r="F1905" t="s">
        <v>11</v>
      </c>
      <c r="G1905" t="s">
        <v>1570</v>
      </c>
      <c r="H1905" s="12">
        <v>-1.49603857406128</v>
      </c>
      <c r="I1905" s="20">
        <v>-2.1042087476907301</v>
      </c>
      <c r="J1905" s="28">
        <v>3.5360241808292198E-2</v>
      </c>
      <c r="K1905" s="29">
        <v>0.429158143312241</v>
      </c>
    </row>
    <row r="1906" spans="1:11" x14ac:dyDescent="0.35">
      <c r="A1906" s="9" t="str">
        <f>HYPERLINK("http://www.ensembl.org/id/WBGene00011232", "WBGene00011232")</f>
        <v>WBGene00011232</v>
      </c>
      <c r="B1906" s="9" t="str">
        <f>HYPERLINK("http://www.ncbi.nlm.nih.gov/gene/172556", "172556")</f>
        <v>172556</v>
      </c>
      <c r="C1906" s="9" t="str">
        <f>HYPERLINK("http://www.ncbi.nlm.nih.gov/gene/5106", "5106")</f>
        <v>5106</v>
      </c>
      <c r="D1906" t="str">
        <f>"pck-2"</f>
        <v>pck-2</v>
      </c>
      <c r="E1906" t="s">
        <v>702</v>
      </c>
      <c r="F1906" t="s">
        <v>11</v>
      </c>
      <c r="G1906" t="s">
        <v>1568</v>
      </c>
      <c r="H1906" s="12">
        <v>-1.4514626050697299</v>
      </c>
      <c r="I1906" s="20">
        <v>-2.1039544233984602</v>
      </c>
      <c r="J1906" s="28">
        <v>3.5382422877599698E-2</v>
      </c>
      <c r="K1906" s="29">
        <v>0.429158143312241</v>
      </c>
    </row>
    <row r="1907" spans="1:11" x14ac:dyDescent="0.35">
      <c r="A1907" s="9" t="str">
        <f>HYPERLINK("http://www.ensembl.org/id/WBGene00006436", "WBGene00006436")</f>
        <v>WBGene00006436</v>
      </c>
      <c r="B1907" s="9" t="str">
        <f>HYPERLINK("http://www.ncbi.nlm.nih.gov/gene/266969", "266969")</f>
        <v>266969</v>
      </c>
      <c r="C1907" s="9"/>
      <c r="D1907" t="str">
        <f>"ttn-1"</f>
        <v>ttn-1</v>
      </c>
      <c r="E1907" t="s">
        <v>1566</v>
      </c>
      <c r="F1907" t="s">
        <v>11</v>
      </c>
      <c r="G1907" t="s">
        <v>1567</v>
      </c>
      <c r="H1907" s="12">
        <v>1.5739733349940399</v>
      </c>
      <c r="I1907" s="20">
        <v>2.10438985440631</v>
      </c>
      <c r="J1907" s="28">
        <v>3.53444536951487E-2</v>
      </c>
      <c r="K1907" s="29">
        <v>0.429158143312241</v>
      </c>
    </row>
    <row r="1908" spans="1:11" x14ac:dyDescent="0.35">
      <c r="A1908" s="9" t="str">
        <f>HYPERLINK("http://www.ensembl.org/id/WBGene00003015", "WBGene00003015")</f>
        <v>WBGene00003015</v>
      </c>
      <c r="B1908" s="9" t="str">
        <f>HYPERLINK("http://www.ncbi.nlm.nih.gov/gene/174830", "174830")</f>
        <v>174830</v>
      </c>
      <c r="C1908" s="9"/>
      <c r="D1908" t="str">
        <f>"lin-29"</f>
        <v>lin-29</v>
      </c>
      <c r="E1908" t="s">
        <v>1571</v>
      </c>
      <c r="F1908" t="s">
        <v>11</v>
      </c>
      <c r="G1908" t="s">
        <v>1572</v>
      </c>
      <c r="H1908" s="12">
        <v>1.6475489581307701</v>
      </c>
      <c r="I1908" s="20">
        <v>2.1034437902753398</v>
      </c>
      <c r="J1908" s="28">
        <v>3.5426993951982899E-2</v>
      </c>
      <c r="K1908" s="29">
        <v>0.42947330653437399</v>
      </c>
    </row>
    <row r="1909" spans="1:11" x14ac:dyDescent="0.35">
      <c r="A1909" s="9" t="str">
        <f>HYPERLINK("http://www.ensembl.org/id/WBGene00001214", "WBGene00001214")</f>
        <v>WBGene00001214</v>
      </c>
      <c r="B1909" s="9" t="str">
        <f>HYPERLINK("http://www.ncbi.nlm.nih.gov/gene/172524", "172524")</f>
        <v>172524</v>
      </c>
      <c r="C1909" s="9"/>
      <c r="D1909" t="str">
        <f>"ego-1"</f>
        <v>ego-1</v>
      </c>
      <c r="E1909" t="s">
        <v>1573</v>
      </c>
      <c r="F1909" t="s">
        <v>11</v>
      </c>
      <c r="G1909" t="s">
        <v>1574</v>
      </c>
      <c r="H1909" s="12">
        <v>-1.60296751734225</v>
      </c>
      <c r="I1909" s="20">
        <v>-2.10288823992579</v>
      </c>
      <c r="J1909" s="28">
        <v>3.5475540072814303E-2</v>
      </c>
      <c r="K1909" s="29">
        <v>0.429836302528813</v>
      </c>
    </row>
    <row r="1910" spans="1:11" x14ac:dyDescent="0.35">
      <c r="A1910" s="9" t="str">
        <f>HYPERLINK("http://www.ensembl.org/id/WBGene00009087", "WBGene00009087")</f>
        <v>WBGene00009087</v>
      </c>
      <c r="B1910" s="9" t="str">
        <f>HYPERLINK("http://www.ncbi.nlm.nih.gov/gene/184896", "184896")</f>
        <v>184896</v>
      </c>
      <c r="C1910" s="9"/>
      <c r="D1910" t="str">
        <f>"F23D12.3"</f>
        <v>F23D12.3</v>
      </c>
      <c r="F1910" t="s">
        <v>11</v>
      </c>
      <c r="H1910" s="12">
        <v>2.50723450462025</v>
      </c>
      <c r="I1910" s="20">
        <v>2.1015898382638998</v>
      </c>
      <c r="J1910" s="28">
        <v>3.5589220778901497E-2</v>
      </c>
      <c r="K1910" s="29">
        <v>0.43098770194827002</v>
      </c>
    </row>
    <row r="1911" spans="1:11" x14ac:dyDescent="0.35">
      <c r="A1911" s="9" t="str">
        <f>HYPERLINK("http://www.ensembl.org/id/WBGene00020897", "WBGene00020897")</f>
        <v>WBGene00020897</v>
      </c>
      <c r="B1911" s="9" t="str">
        <f>HYPERLINK("http://www.ncbi.nlm.nih.gov/gene/174069", "174069")</f>
        <v>174069</v>
      </c>
      <c r="C1911" s="9" t="str">
        <f>HYPERLINK("http://www.ncbi.nlm.nih.gov/gene/41", "41")</f>
        <v>41</v>
      </c>
      <c r="D1911" t="str">
        <f>"del-10"</f>
        <v>del-10</v>
      </c>
      <c r="E1911" t="s">
        <v>1575</v>
      </c>
      <c r="F1911" t="s">
        <v>11</v>
      </c>
      <c r="G1911" t="s">
        <v>1576</v>
      </c>
      <c r="H1911" s="12">
        <v>-1.7138794160534001</v>
      </c>
      <c r="I1911" s="20">
        <v>-2.1012636927497299</v>
      </c>
      <c r="J1911" s="28">
        <v>3.56178250224135E-2</v>
      </c>
      <c r="K1911" s="29">
        <v>0.43110815346667603</v>
      </c>
    </row>
    <row r="1912" spans="1:11" x14ac:dyDescent="0.35">
      <c r="A1912" s="9" t="str">
        <f>HYPERLINK("http://www.ensembl.org/id/WBGene00016509", "WBGene00016509")</f>
        <v>WBGene00016509</v>
      </c>
      <c r="B1912" s="9" t="str">
        <f>HYPERLINK("http://www.ncbi.nlm.nih.gov/gene/178872", "178872")</f>
        <v>178872</v>
      </c>
      <c r="C1912" s="9" t="str">
        <f>HYPERLINK("http://www.ncbi.nlm.nih.gov/gene/122622", "122622")</f>
        <v>122622</v>
      </c>
      <c r="D1912" t="str">
        <f>"adss-1"</f>
        <v>adss-1</v>
      </c>
      <c r="E1912" t="s">
        <v>1577</v>
      </c>
      <c r="F1912" t="s">
        <v>11</v>
      </c>
      <c r="G1912" t="s">
        <v>1578</v>
      </c>
      <c r="H1912" s="12">
        <v>-1.45115074993171</v>
      </c>
      <c r="I1912" s="20">
        <v>-2.1001806833600698</v>
      </c>
      <c r="J1912" s="28">
        <v>3.5712949932928999E-2</v>
      </c>
      <c r="K1912" s="29">
        <v>0.432033204790711</v>
      </c>
    </row>
    <row r="1913" spans="1:11" x14ac:dyDescent="0.35">
      <c r="A1913" s="9" t="str">
        <f>HYPERLINK("http://www.ensembl.org/id/WBGene00017166", "WBGene00017166")</f>
        <v>WBGene00017166</v>
      </c>
      <c r="B1913" s="9" t="str">
        <f>HYPERLINK("http://www.ncbi.nlm.nih.gov/gene/175827", "175827")</f>
        <v>175827</v>
      </c>
      <c r="C1913" s="9" t="str">
        <f>HYPERLINK("http://www.ncbi.nlm.nih.gov/gene/226", "226")</f>
        <v>226</v>
      </c>
      <c r="D1913" t="str">
        <f>"aldo-2"</f>
        <v>aldo-2</v>
      </c>
      <c r="E1913" t="s">
        <v>1581</v>
      </c>
      <c r="F1913" t="s">
        <v>11</v>
      </c>
      <c r="G1913" t="s">
        <v>1582</v>
      </c>
      <c r="H1913" s="12">
        <v>-1.4492801408616001</v>
      </c>
      <c r="I1913" s="20">
        <v>-2.0977348166788299</v>
      </c>
      <c r="J1913" s="28">
        <v>3.5928577455804897E-2</v>
      </c>
      <c r="K1913" s="29">
        <v>0.433280642324544</v>
      </c>
    </row>
    <row r="1914" spans="1:11" x14ac:dyDescent="0.35">
      <c r="A1914" s="9" t="str">
        <f>HYPERLINK("http://www.ensembl.org/id/WBGene00043705", "WBGene00043705")</f>
        <v>WBGene00043705</v>
      </c>
      <c r="B1914" s="9" t="str">
        <f>HYPERLINK("http://www.ncbi.nlm.nih.gov/gene/190308", "190308")</f>
        <v>190308</v>
      </c>
      <c r="C1914" s="9" t="str">
        <f>HYPERLINK("http://www.ncbi.nlm.nih.gov/gene/339327", "339327")</f>
        <v>339327</v>
      </c>
      <c r="D1914" t="str">
        <f>"egrh-2"</f>
        <v>egrh-2</v>
      </c>
      <c r="E1914" t="s">
        <v>1583</v>
      </c>
      <c r="F1914" t="s">
        <v>11</v>
      </c>
      <c r="G1914" t="s">
        <v>155</v>
      </c>
      <c r="H1914" s="12">
        <v>-2.6534926745134499</v>
      </c>
      <c r="I1914" s="20">
        <v>-2.0977592270829599</v>
      </c>
      <c r="J1914" s="28">
        <v>3.5926419963011699E-2</v>
      </c>
      <c r="K1914" s="29">
        <v>0.433280642324544</v>
      </c>
    </row>
    <row r="1915" spans="1:11" x14ac:dyDescent="0.35">
      <c r="A1915" s="9" t="str">
        <f>HYPERLINK("http://www.ensembl.org/id/WBGene00008123", "WBGene00008123")</f>
        <v>WBGene00008123</v>
      </c>
      <c r="B1915" s="9" t="str">
        <f>HYPERLINK("http://www.ncbi.nlm.nih.gov/gene/178339", "178339")</f>
        <v>178339</v>
      </c>
      <c r="C1915" s="9"/>
      <c r="D1915" t="str">
        <f>"ent-4"</f>
        <v>ent-4</v>
      </c>
      <c r="E1915" t="s">
        <v>381</v>
      </c>
      <c r="F1915" t="s">
        <v>11</v>
      </c>
      <c r="G1915" t="s">
        <v>382</v>
      </c>
      <c r="H1915" s="12">
        <v>1.8653190569864699</v>
      </c>
      <c r="I1915" s="20">
        <v>2.0978455248298902</v>
      </c>
      <c r="J1915" s="28">
        <v>3.5918793495729802E-2</v>
      </c>
      <c r="K1915" s="29">
        <v>0.433280642324544</v>
      </c>
    </row>
    <row r="1916" spans="1:11" x14ac:dyDescent="0.35">
      <c r="A1916" s="9" t="str">
        <f>HYPERLINK("http://www.ensembl.org/id/WBGene00045253", "WBGene00045253")</f>
        <v>WBGene00045253</v>
      </c>
      <c r="B1916" s="9" t="str">
        <f>HYPERLINK("http://www.ncbi.nlm.nih.gov/gene/6418851", "6418851")</f>
        <v>6418851</v>
      </c>
      <c r="C1916" s="9"/>
      <c r="D1916" t="str">
        <f>"F46C3.6"</f>
        <v>F46C3.6</v>
      </c>
      <c r="F1916" t="s">
        <v>11</v>
      </c>
      <c r="H1916" s="12">
        <v>1.7478419140224299</v>
      </c>
      <c r="I1916" s="20">
        <v>2.0979621627715201</v>
      </c>
      <c r="J1916" s="28">
        <v>3.5908487941440297E-2</v>
      </c>
      <c r="K1916" s="29">
        <v>0.433280642324544</v>
      </c>
    </row>
    <row r="1917" spans="1:11" x14ac:dyDescent="0.35">
      <c r="A1917" s="9" t="str">
        <f>HYPERLINK("http://www.ensembl.org/id/WBGene00018298", "WBGene00018298")</f>
        <v>WBGene00018298</v>
      </c>
      <c r="B1917" s="9" t="str">
        <f>HYPERLINK("http://www.ncbi.nlm.nih.gov/gene/174115", "174115")</f>
        <v>174115</v>
      </c>
      <c r="C1917" s="9"/>
      <c r="D1917" t="str">
        <f>"nlp-50"</f>
        <v>nlp-50</v>
      </c>
      <c r="E1917" t="s">
        <v>76</v>
      </c>
      <c r="F1917" t="s">
        <v>11</v>
      </c>
      <c r="G1917" t="s">
        <v>77</v>
      </c>
      <c r="H1917" s="12">
        <v>1.6125121421987501</v>
      </c>
      <c r="I1917" s="20">
        <v>2.0977748104568201</v>
      </c>
      <c r="J1917" s="28">
        <v>3.5925042697551597E-2</v>
      </c>
      <c r="K1917" s="29">
        <v>0.433280642324544</v>
      </c>
    </row>
    <row r="1918" spans="1:11" x14ac:dyDescent="0.35">
      <c r="A1918" s="9" t="str">
        <f>HYPERLINK("http://www.ensembl.org/id/WBGene00011392", "WBGene00011392")</f>
        <v>WBGene00011392</v>
      </c>
      <c r="B1918" s="9" t="str">
        <f>HYPERLINK("http://www.ncbi.nlm.nih.gov/gene/180366", "180366")</f>
        <v>180366</v>
      </c>
      <c r="C1918" s="9"/>
      <c r="D1918" t="str">
        <f>"sbt-1"</f>
        <v>sbt-1</v>
      </c>
      <c r="E1918" t="s">
        <v>1579</v>
      </c>
      <c r="F1918" t="s">
        <v>11</v>
      </c>
      <c r="G1918" t="s">
        <v>1580</v>
      </c>
      <c r="H1918" s="12">
        <v>1.4596887576956501</v>
      </c>
      <c r="I1918" s="20">
        <v>2.0978805019172699</v>
      </c>
      <c r="J1918" s="28">
        <v>3.5915702827766002E-2</v>
      </c>
      <c r="K1918" s="29">
        <v>0.433280642324544</v>
      </c>
    </row>
    <row r="1919" spans="1:11" x14ac:dyDescent="0.35">
      <c r="A1919" s="9" t="str">
        <f>HYPERLINK("http://www.ensembl.org/id/WBGene00017146", "WBGene00017146")</f>
        <v>WBGene00017146</v>
      </c>
      <c r="B1919" s="9" t="str">
        <f>HYPERLINK("http://www.ncbi.nlm.nih.gov/gene/184047", "184047")</f>
        <v>184047</v>
      </c>
      <c r="C1919" s="9"/>
      <c r="D1919" t="str">
        <f>"EGAP1.1"</f>
        <v>EGAP1.1</v>
      </c>
      <c r="F1919" t="s">
        <v>11</v>
      </c>
      <c r="H1919" s="12">
        <v>2.0354709716103998</v>
      </c>
      <c r="I1919" s="20">
        <v>2.09724860397636</v>
      </c>
      <c r="J1919" s="28">
        <v>3.59715739736024E-2</v>
      </c>
      <c r="K1919" s="29">
        <v>0.43355701903585497</v>
      </c>
    </row>
    <row r="1920" spans="1:11" x14ac:dyDescent="0.35">
      <c r="A1920" s="9" t="str">
        <f>HYPERLINK("http://www.ensembl.org/id/WBGene00017747", "WBGene00017747")</f>
        <v>WBGene00017747</v>
      </c>
      <c r="B1920" s="9" t="str">
        <f>HYPERLINK("http://www.ncbi.nlm.nih.gov/gene/184903", "184903")</f>
        <v>184903</v>
      </c>
      <c r="C1920" s="9" t="str">
        <f>HYPERLINK("http://www.ncbi.nlm.nih.gov/gene/6542", "6542")</f>
        <v>6542</v>
      </c>
      <c r="D1920" t="str">
        <f>"F23F1.6"</f>
        <v>F23F1.6</v>
      </c>
      <c r="F1920" t="s">
        <v>11</v>
      </c>
      <c r="G1920" t="s">
        <v>1584</v>
      </c>
      <c r="H1920" s="12">
        <v>1.4733538248840501</v>
      </c>
      <c r="I1920" s="20">
        <v>2.0970514298878098</v>
      </c>
      <c r="J1920" s="28">
        <v>3.5989022873313001E-2</v>
      </c>
      <c r="K1920" s="29">
        <v>0.43355701903585497</v>
      </c>
    </row>
    <row r="1921" spans="1:11" x14ac:dyDescent="0.35">
      <c r="A1921" s="9" t="str">
        <f>HYPERLINK("http://www.ensembl.org/id/WBGene00008863", "WBGene00008863")</f>
        <v>WBGene00008863</v>
      </c>
      <c r="B1921" s="9" t="str">
        <f>HYPERLINK("http://www.ncbi.nlm.nih.gov/gene/184531", "184531")</f>
        <v>184531</v>
      </c>
      <c r="C1921" s="9"/>
      <c r="D1921" t="str">
        <f>"F15D4.6"</f>
        <v>F15D4.6</v>
      </c>
      <c r="F1921" t="s">
        <v>11</v>
      </c>
      <c r="H1921" s="12">
        <v>3.5230844782502202</v>
      </c>
      <c r="I1921" s="20">
        <v>2.0958863450044398</v>
      </c>
      <c r="J1921" s="28">
        <v>3.6092274312022901E-2</v>
      </c>
      <c r="K1921" s="29">
        <v>0.434347963673751</v>
      </c>
    </row>
    <row r="1922" spans="1:11" x14ac:dyDescent="0.35">
      <c r="A1922" s="9" t="str">
        <f>HYPERLINK("http://www.ensembl.org/id/WBGene00020784", "WBGene00020784")</f>
        <v>WBGene00020784</v>
      </c>
      <c r="B1922" s="9" t="str">
        <f>HYPERLINK("http://www.ncbi.nlm.nih.gov/gene/174031", "174031")</f>
        <v>174031</v>
      </c>
      <c r="C1922" s="9"/>
      <c r="D1922" t="str">
        <f>"tat-4"</f>
        <v>tat-4</v>
      </c>
      <c r="E1922" t="s">
        <v>1585</v>
      </c>
      <c r="F1922" t="s">
        <v>11</v>
      </c>
      <c r="G1922" t="s">
        <v>1586</v>
      </c>
      <c r="H1922" s="12">
        <v>-1.45115362234067</v>
      </c>
      <c r="I1922" s="20">
        <v>-2.0958947573379598</v>
      </c>
      <c r="J1922" s="28">
        <v>3.6091527895168202E-2</v>
      </c>
      <c r="K1922" s="29">
        <v>0.434347963673751</v>
      </c>
    </row>
    <row r="1923" spans="1:11" x14ac:dyDescent="0.35">
      <c r="A1923" s="9" t="str">
        <f>HYPERLINK("http://www.ensembl.org/id/WBGene00045060", "WBGene00045060")</f>
        <v>WBGene00045060</v>
      </c>
      <c r="B1923" s="9" t="str">
        <f>HYPERLINK("http://www.ncbi.nlm.nih.gov/gene/4927011", "4927011")</f>
        <v>4927011</v>
      </c>
      <c r="C1923" s="9"/>
      <c r="D1923" t="str">
        <f>"F55B11.7"</f>
        <v>F55B11.7</v>
      </c>
      <c r="F1923" t="s">
        <v>11</v>
      </c>
      <c r="G1923" t="s">
        <v>54</v>
      </c>
      <c r="H1923" s="12">
        <v>-1.5304209886192699</v>
      </c>
      <c r="I1923" s="20">
        <v>-2.0955017340474602</v>
      </c>
      <c r="J1923" s="28">
        <v>3.6126414466310999E-2</v>
      </c>
      <c r="K1923" s="29">
        <v>0.43448289275846302</v>
      </c>
    </row>
    <row r="1924" spans="1:11" x14ac:dyDescent="0.35">
      <c r="A1924" s="9" t="str">
        <f>HYPERLINK("http://www.ensembl.org/id/WBGene00003980", "WBGene00003980")</f>
        <v>WBGene00003980</v>
      </c>
      <c r="B1924" s="9" t="str">
        <f>HYPERLINK("http://www.ncbi.nlm.nih.gov/gene/173294", "173294")</f>
        <v>173294</v>
      </c>
      <c r="C1924" s="9" t="str">
        <f>HYPERLINK("http://www.ncbi.nlm.nih.gov/gene/128239", "128239")</f>
        <v>128239</v>
      </c>
      <c r="D1924" t="str">
        <f>"pes-7"</f>
        <v>pes-7</v>
      </c>
      <c r="E1924" t="s">
        <v>1587</v>
      </c>
      <c r="F1924" t="s">
        <v>11</v>
      </c>
      <c r="G1924" t="s">
        <v>1588</v>
      </c>
      <c r="H1924" s="12">
        <v>1.50682497580955</v>
      </c>
      <c r="I1924" s="20">
        <v>2.0953364539078398</v>
      </c>
      <c r="J1924" s="28">
        <v>3.61410940829986E-2</v>
      </c>
      <c r="K1924" s="29">
        <v>0.43448289275846302</v>
      </c>
    </row>
    <row r="1925" spans="1:11" x14ac:dyDescent="0.35">
      <c r="A1925" s="9" t="str">
        <f>HYPERLINK("http://www.ensembl.org/id/WBGene00022803", "WBGene00022803")</f>
        <v>WBGene00022803</v>
      </c>
      <c r="B1925" s="9" t="str">
        <f>HYPERLINK("http://www.ncbi.nlm.nih.gov/gene/176106", "176106")</f>
        <v>176106</v>
      </c>
      <c r="C1925" s="9" t="str">
        <f>HYPERLINK("http://www.ncbi.nlm.nih.gov/gene/261726", "261726")</f>
        <v>261726</v>
      </c>
      <c r="D1925" t="str">
        <f>"ZK688.9"</f>
        <v>ZK688.9</v>
      </c>
      <c r="E1925" t="s">
        <v>1589</v>
      </c>
      <c r="F1925" t="s">
        <v>11</v>
      </c>
      <c r="G1925" t="s">
        <v>1590</v>
      </c>
      <c r="H1925" s="12">
        <v>-1.6311744969637101</v>
      </c>
      <c r="I1925" s="20">
        <v>-2.0949465746438101</v>
      </c>
      <c r="J1925" s="28">
        <v>3.6175741971926502E-2</v>
      </c>
      <c r="K1925" s="29">
        <v>0.43467326781244597</v>
      </c>
    </row>
    <row r="1926" spans="1:11" x14ac:dyDescent="0.35">
      <c r="A1926" s="9" t="str">
        <f>HYPERLINK("http://www.ensembl.org/id/WBGene00016564", "WBGene00016564")</f>
        <v>WBGene00016564</v>
      </c>
      <c r="B1926" s="9" t="str">
        <f>HYPERLINK("http://www.ncbi.nlm.nih.gov/gene/172046", "172046")</f>
        <v>172046</v>
      </c>
      <c r="C1926" s="9"/>
      <c r="D1926" t="str">
        <f>"cmt-1"</f>
        <v>cmt-1</v>
      </c>
      <c r="F1926" t="s">
        <v>11</v>
      </c>
      <c r="H1926" s="12">
        <v>-1.5799609703633299</v>
      </c>
      <c r="I1926" s="20">
        <v>-2.0944274345948299</v>
      </c>
      <c r="J1926" s="28">
        <v>3.6221920990541702E-2</v>
      </c>
      <c r="K1926" s="29">
        <v>0.43489703966773002</v>
      </c>
    </row>
    <row r="1927" spans="1:11" x14ac:dyDescent="0.35">
      <c r="A1927" s="9" t="str">
        <f>HYPERLINK("http://www.ensembl.org/id/WBGene00001070", "WBGene00001070")</f>
        <v>WBGene00001070</v>
      </c>
      <c r="B1927" s="9" t="str">
        <f>HYPERLINK("http://www.ncbi.nlm.nih.gov/gene/180785", "180785")</f>
        <v>180785</v>
      </c>
      <c r="C1927" s="9"/>
      <c r="D1927" t="str">
        <f>"dpy-8"</f>
        <v>dpy-8</v>
      </c>
      <c r="E1927" t="s">
        <v>578</v>
      </c>
      <c r="F1927" t="s">
        <v>11</v>
      </c>
      <c r="G1927" t="s">
        <v>1591</v>
      </c>
      <c r="H1927" s="12">
        <v>5.4723036098463202</v>
      </c>
      <c r="I1927" s="20">
        <v>2.0937005212506001</v>
      </c>
      <c r="J1927" s="28">
        <v>3.6286666479147398E-2</v>
      </c>
      <c r="K1927" s="29">
        <v>0.43489703966773002</v>
      </c>
    </row>
    <row r="1928" spans="1:11" x14ac:dyDescent="0.35">
      <c r="A1928" s="9" t="str">
        <f>HYPERLINK("http://www.ensembl.org/id/WBGene00009347", "WBGene00009347")</f>
        <v>WBGene00009347</v>
      </c>
      <c r="B1928" s="9" t="str">
        <f>HYPERLINK("http://www.ncbi.nlm.nih.gov/gene/179815", "179815")</f>
        <v>179815</v>
      </c>
      <c r="C1928" s="9"/>
      <c r="D1928" t="str">
        <f>"F32H5.1"</f>
        <v>F32H5.1</v>
      </c>
      <c r="F1928" t="s">
        <v>11</v>
      </c>
      <c r="G1928" t="s">
        <v>180</v>
      </c>
      <c r="H1928" s="12">
        <v>-1.93394090905327</v>
      </c>
      <c r="I1928" s="20">
        <v>-2.0936802377011698</v>
      </c>
      <c r="J1928" s="28">
        <v>3.6288474529532697E-2</v>
      </c>
      <c r="K1928" s="29">
        <v>0.43489703966773002</v>
      </c>
    </row>
    <row r="1929" spans="1:11" x14ac:dyDescent="0.35">
      <c r="A1929" s="9" t="str">
        <f>HYPERLINK("http://www.ensembl.org/id/WBGene00011202", "WBGene00011202")</f>
        <v>WBGene00011202</v>
      </c>
      <c r="B1929" s="9" t="str">
        <f>HYPERLINK("http://www.ncbi.nlm.nih.gov/gene/187771", "187771")</f>
        <v>187771</v>
      </c>
      <c r="C1929" s="9"/>
      <c r="D1929" t="str">
        <f>"R10E4.6"</f>
        <v>R10E4.6</v>
      </c>
      <c r="F1929" t="s">
        <v>11</v>
      </c>
      <c r="G1929" t="s">
        <v>25</v>
      </c>
      <c r="H1929" s="12">
        <v>-2.2671055726331</v>
      </c>
      <c r="I1929" s="20">
        <v>-2.0939060161812302</v>
      </c>
      <c r="J1929" s="28">
        <v>3.6268353245394201E-2</v>
      </c>
      <c r="K1929" s="29">
        <v>0.43489703966773002</v>
      </c>
    </row>
    <row r="1930" spans="1:11" x14ac:dyDescent="0.35">
      <c r="A1930" s="9" t="str">
        <f>HYPERLINK("http://www.ensembl.org/id/WBGene00022351", "WBGene00022351")</f>
        <v>WBGene00022351</v>
      </c>
      <c r="B1930" s="9" t="str">
        <f>HYPERLINK("http://www.ncbi.nlm.nih.gov/gene/190776", "190776")</f>
        <v>190776</v>
      </c>
      <c r="C1930" s="9"/>
      <c r="D1930" t="str">
        <f>"Y82E9BR.19"</f>
        <v>Y82E9BR.19</v>
      </c>
      <c r="F1930" t="s">
        <v>11</v>
      </c>
      <c r="G1930" t="s">
        <v>54</v>
      </c>
      <c r="H1930" s="12">
        <v>-1.6635164966787801</v>
      </c>
      <c r="I1930" s="20">
        <v>-2.09407389780944</v>
      </c>
      <c r="J1930" s="28">
        <v>3.6253397869625198E-2</v>
      </c>
      <c r="K1930" s="29">
        <v>0.43489703966773002</v>
      </c>
    </row>
    <row r="1931" spans="1:11" x14ac:dyDescent="0.35">
      <c r="A1931" s="9" t="str">
        <f>HYPERLINK("http://www.ensembl.org/id/WBGene00016735", "WBGene00016735")</f>
        <v>WBGene00016735</v>
      </c>
      <c r="B1931" s="9" t="str">
        <f>HYPERLINK("http://www.ncbi.nlm.nih.gov/gene/172133", "172133")</f>
        <v>172133</v>
      </c>
      <c r="C1931" s="9" t="str">
        <f>HYPERLINK("http://www.ncbi.nlm.nih.gov/gene/29109", "29109")</f>
        <v>29109</v>
      </c>
      <c r="D1931" t="str">
        <f>"fhod-1"</f>
        <v>fhod-1</v>
      </c>
      <c r="E1931" t="s">
        <v>1592</v>
      </c>
      <c r="F1931" t="s">
        <v>11</v>
      </c>
      <c r="H1931" s="12">
        <v>1.51173710023557</v>
      </c>
      <c r="I1931" s="20">
        <v>2.0931780613961402</v>
      </c>
      <c r="J1931" s="28">
        <v>3.6333262390585902E-2</v>
      </c>
      <c r="K1931" s="29">
        <v>0.43498257036107602</v>
      </c>
    </row>
    <row r="1932" spans="1:11" x14ac:dyDescent="0.35">
      <c r="A1932" s="9" t="str">
        <f>HYPERLINK("http://www.ensembl.org/id/WBGene00015463", "WBGene00015463")</f>
        <v>WBGene00015463</v>
      </c>
      <c r="B1932" s="9" t="str">
        <f>HYPERLINK("http://www.ncbi.nlm.nih.gov/gene/179117", "179117")</f>
        <v>179117</v>
      </c>
      <c r="C1932" s="9" t="str">
        <f>HYPERLINK("http://www.ncbi.nlm.nih.gov/gene/114781", "114781")</f>
        <v>114781</v>
      </c>
      <c r="D1932" t="str">
        <f>"hpo-9"</f>
        <v>hpo-9</v>
      </c>
      <c r="F1932" t="s">
        <v>11</v>
      </c>
      <c r="G1932" t="s">
        <v>1593</v>
      </c>
      <c r="H1932" s="12">
        <v>-1.5606294195233801</v>
      </c>
      <c r="I1932" s="20">
        <v>-2.0933052214741399</v>
      </c>
      <c r="J1932" s="28">
        <v>3.6321916846057102E-2</v>
      </c>
      <c r="K1932" s="29">
        <v>0.43498257036107602</v>
      </c>
    </row>
    <row r="1933" spans="1:11" x14ac:dyDescent="0.35">
      <c r="A1933" s="9" t="str">
        <f>HYPERLINK("http://www.ensembl.org/id/WBGene00009656", "WBGene00009656")</f>
        <v>WBGene00009656</v>
      </c>
      <c r="B1933" s="9"/>
      <c r="C1933" s="9"/>
      <c r="D1933" t="str">
        <f>"F43G6.3"</f>
        <v>F43G6.3</v>
      </c>
      <c r="F1933" t="s">
        <v>80</v>
      </c>
      <c r="H1933" s="12">
        <v>-2.09879650791351</v>
      </c>
      <c r="I1933" s="20">
        <v>-2.09268969498644</v>
      </c>
      <c r="J1933" s="28">
        <v>3.63768637589943E-2</v>
      </c>
      <c r="K1933" s="29">
        <v>0.43510284136024002</v>
      </c>
    </row>
    <row r="1934" spans="1:11" x14ac:dyDescent="0.35">
      <c r="A1934" s="9" t="str">
        <f>HYPERLINK("http://www.ensembl.org/id/WBGene00013792", "WBGene00013792")</f>
        <v>WBGene00013792</v>
      </c>
      <c r="B1934" s="9" t="str">
        <f>HYPERLINK("http://www.ncbi.nlm.nih.gov/gene/190999", "190999")</f>
        <v>190999</v>
      </c>
      <c r="C1934" s="9"/>
      <c r="D1934" t="str">
        <f>"Y116A8C.13"</f>
        <v>Y116A8C.13</v>
      </c>
      <c r="F1934" t="s">
        <v>11</v>
      </c>
      <c r="G1934" t="s">
        <v>1594</v>
      </c>
      <c r="H1934" s="12">
        <v>-1.6317803030484801</v>
      </c>
      <c r="I1934" s="20">
        <v>-2.0926437294714599</v>
      </c>
      <c r="J1934" s="28">
        <v>3.6380969856659902E-2</v>
      </c>
      <c r="K1934" s="29">
        <v>0.43510284136024002</v>
      </c>
    </row>
    <row r="1935" spans="1:11" x14ac:dyDescent="0.35">
      <c r="A1935" s="9" t="str">
        <f>HYPERLINK("http://www.ensembl.org/id/WBGene00015713", "WBGene00015713")</f>
        <v>WBGene00015713</v>
      </c>
      <c r="B1935" s="9" t="str">
        <f>HYPERLINK("http://www.ncbi.nlm.nih.gov/gene/180642", "180642")</f>
        <v>180642</v>
      </c>
      <c r="C1935" s="9"/>
      <c r="D1935" t="str">
        <f>"C12D12.1"</f>
        <v>C12D12.1</v>
      </c>
      <c r="F1935" t="s">
        <v>11</v>
      </c>
      <c r="H1935" s="12">
        <v>1.4991412925879699</v>
      </c>
      <c r="I1935" s="20">
        <v>2.0923751622022402</v>
      </c>
      <c r="J1935" s="28">
        <v>3.6404968857234099E-2</v>
      </c>
      <c r="K1935" s="29">
        <v>0.43516461997685002</v>
      </c>
    </row>
    <row r="1936" spans="1:11" x14ac:dyDescent="0.35">
      <c r="A1936" s="9" t="str">
        <f>HYPERLINK("http://www.ensembl.org/id/WBGene00002131", "WBGene00002131")</f>
        <v>WBGene00002131</v>
      </c>
      <c r="B1936" s="9" t="str">
        <f>HYPERLINK("http://www.ncbi.nlm.nih.gov/gene/191694", "191694")</f>
        <v>191694</v>
      </c>
      <c r="C1936" s="9"/>
      <c r="D1936" t="str">
        <f>"inx-9"</f>
        <v>inx-9</v>
      </c>
      <c r="E1936" t="s">
        <v>275</v>
      </c>
      <c r="F1936" t="s">
        <v>11</v>
      </c>
      <c r="G1936" t="s">
        <v>1293</v>
      </c>
      <c r="H1936" s="12">
        <v>-1.7809712829108</v>
      </c>
      <c r="I1936" s="20">
        <v>-2.0917316713867802</v>
      </c>
      <c r="J1936" s="28">
        <v>3.64625256816438E-2</v>
      </c>
      <c r="K1936" s="29">
        <v>0.43562725873839803</v>
      </c>
    </row>
    <row r="1937" spans="1:11" x14ac:dyDescent="0.35">
      <c r="A1937" s="9" t="str">
        <f>HYPERLINK("http://www.ensembl.org/id/WBGene00044677", "WBGene00044677")</f>
        <v>WBGene00044677</v>
      </c>
      <c r="B1937" s="9" t="str">
        <f>HYPERLINK("http://www.ncbi.nlm.nih.gov/gene/4363052", "4363052")</f>
        <v>4363052</v>
      </c>
      <c r="C1937" s="9"/>
      <c r="D1937" t="str">
        <f>"ZK353.10"</f>
        <v>ZK353.10</v>
      </c>
      <c r="F1937" t="s">
        <v>11</v>
      </c>
      <c r="G1937" t="s">
        <v>25</v>
      </c>
      <c r="H1937" s="12">
        <v>1.95844948951578</v>
      </c>
      <c r="I1937" s="20">
        <v>2.0905726515288698</v>
      </c>
      <c r="J1937" s="28">
        <v>3.6566389451143801E-2</v>
      </c>
      <c r="K1937" s="29">
        <v>0.436642374500326</v>
      </c>
    </row>
    <row r="1938" spans="1:11" x14ac:dyDescent="0.35">
      <c r="A1938" s="9" t="str">
        <f>HYPERLINK("http://www.ensembl.org/id/WBGene00016106", "WBGene00016106")</f>
        <v>WBGene00016106</v>
      </c>
      <c r="B1938" s="9" t="str">
        <f>HYPERLINK("http://www.ncbi.nlm.nih.gov/gene/180816", "180816")</f>
        <v>180816</v>
      </c>
      <c r="C1938" s="9"/>
      <c r="D1938" t="str">
        <f>"C25F6.7"</f>
        <v>C25F6.7</v>
      </c>
      <c r="F1938" t="s">
        <v>11</v>
      </c>
      <c r="G1938" t="s">
        <v>1595</v>
      </c>
      <c r="H1938" s="12">
        <v>1.8215710797020299</v>
      </c>
      <c r="I1938" s="20">
        <v>2.0895745193199602</v>
      </c>
      <c r="J1938" s="28">
        <v>3.6656037436935802E-2</v>
      </c>
      <c r="K1938" s="29">
        <v>0.43748677738524799</v>
      </c>
    </row>
    <row r="1939" spans="1:11" x14ac:dyDescent="0.35">
      <c r="A1939" s="9" t="str">
        <f>HYPERLINK("http://www.ensembl.org/id/WBGene00009042", "WBGene00009042")</f>
        <v>WBGene00009042</v>
      </c>
      <c r="B1939" s="9" t="str">
        <f>HYPERLINK("http://www.ncbi.nlm.nih.gov/gene/174348", "174348")</f>
        <v>174348</v>
      </c>
      <c r="C1939" s="9"/>
      <c r="D1939" t="str">
        <f>"F22B5.4"</f>
        <v>F22B5.4</v>
      </c>
      <c r="F1939" t="s">
        <v>11</v>
      </c>
      <c r="G1939" t="s">
        <v>25</v>
      </c>
      <c r="H1939" s="12">
        <v>-1.7877691066588399</v>
      </c>
      <c r="I1939" s="20">
        <v>-2.08864426298052</v>
      </c>
      <c r="J1939" s="28">
        <v>3.6739757606801197E-2</v>
      </c>
      <c r="K1939" s="29">
        <v>0.43825959693482203</v>
      </c>
    </row>
    <row r="1940" spans="1:11" x14ac:dyDescent="0.35">
      <c r="A1940" s="9" t="str">
        <f>HYPERLINK("http://www.ensembl.org/id/WBGene00004011", "WBGene00004011")</f>
        <v>WBGene00004011</v>
      </c>
      <c r="B1940" s="9" t="str">
        <f>HYPERLINK("http://www.ncbi.nlm.nih.gov/gene/187454", "187454")</f>
        <v>187454</v>
      </c>
      <c r="C1940" s="9"/>
      <c r="D1940" t="str">
        <f>"pha-2"</f>
        <v>pha-2</v>
      </c>
      <c r="F1940" t="s">
        <v>11</v>
      </c>
      <c r="G1940" t="s">
        <v>1596</v>
      </c>
      <c r="H1940" s="12">
        <v>3.3745083617867202</v>
      </c>
      <c r="I1940" s="20">
        <v>2.0882496740972201</v>
      </c>
      <c r="J1940" s="28">
        <v>3.6775318542376603E-2</v>
      </c>
      <c r="K1940" s="29">
        <v>0.43845743562443401</v>
      </c>
    </row>
    <row r="1941" spans="1:11" x14ac:dyDescent="0.35">
      <c r="A1941" s="9" t="str">
        <f>HYPERLINK("http://www.ensembl.org/id/WBGene00012317", "WBGene00012317")</f>
        <v>WBGene00012317</v>
      </c>
      <c r="B1941" s="9" t="str">
        <f>HYPERLINK("http://www.ncbi.nlm.nih.gov/gene/173014", "173014")</f>
        <v>173014</v>
      </c>
      <c r="C1941" s="9"/>
      <c r="D1941" t="str">
        <f>"ztf-6"</f>
        <v>ztf-6</v>
      </c>
      <c r="E1941" t="s">
        <v>461</v>
      </c>
      <c r="F1941" t="s">
        <v>11</v>
      </c>
      <c r="G1941" t="s">
        <v>1597</v>
      </c>
      <c r="H1941" s="12">
        <v>1.51333540606578</v>
      </c>
      <c r="I1941" s="20">
        <v>2.0863164541243</v>
      </c>
      <c r="J1941" s="28">
        <v>3.6949967175818201E-2</v>
      </c>
      <c r="K1941" s="29">
        <v>0.44031250209616102</v>
      </c>
    </row>
    <row r="1942" spans="1:11" x14ac:dyDescent="0.35">
      <c r="A1942" s="9" t="str">
        <f>HYPERLINK("http://www.ensembl.org/id/WBGene00020394", "WBGene00020394")</f>
        <v>WBGene00020394</v>
      </c>
      <c r="B1942" s="9" t="str">
        <f>HYPERLINK("http://www.ncbi.nlm.nih.gov/gene/188353", "188353")</f>
        <v>188353</v>
      </c>
      <c r="C1942" s="9"/>
      <c r="D1942" t="str">
        <f>"T10B5.8"</f>
        <v>T10B5.8</v>
      </c>
      <c r="F1942" t="s">
        <v>11</v>
      </c>
      <c r="G1942" t="s">
        <v>260</v>
      </c>
      <c r="H1942" s="12">
        <v>2.3206481456755998</v>
      </c>
      <c r="I1942" s="20">
        <v>2.0858776508030998</v>
      </c>
      <c r="J1942" s="28">
        <v>3.6989707226612198E-2</v>
      </c>
      <c r="K1942" s="29">
        <v>0.44055885318458798</v>
      </c>
    </row>
    <row r="1943" spans="1:11" x14ac:dyDescent="0.35">
      <c r="A1943" s="9" t="str">
        <f>HYPERLINK("http://www.ensembl.org/id/WBGene00007686", "WBGene00007686")</f>
        <v>WBGene00007686</v>
      </c>
      <c r="B1943" s="9" t="str">
        <f>HYPERLINK("http://www.ncbi.nlm.nih.gov/gene/174431", "174431")</f>
        <v>174431</v>
      </c>
      <c r="C1943" s="9" t="str">
        <f>HYPERLINK("http://www.ncbi.nlm.nih.gov/gene/10452", "10452")</f>
        <v>10452</v>
      </c>
      <c r="D1943" t="str">
        <f>"tomm-40"</f>
        <v>tomm-40</v>
      </c>
      <c r="E1943" t="s">
        <v>1598</v>
      </c>
      <c r="F1943" t="s">
        <v>11</v>
      </c>
      <c r="G1943" t="s">
        <v>1599</v>
      </c>
      <c r="H1943" s="12">
        <v>-1.5161824539020401</v>
      </c>
      <c r="I1943" s="20">
        <v>-2.0852355948782</v>
      </c>
      <c r="J1943" s="28">
        <v>3.7047920354925497E-2</v>
      </c>
      <c r="K1943" s="29">
        <v>0.44102485714626999</v>
      </c>
    </row>
    <row r="1944" spans="1:11" x14ac:dyDescent="0.35">
      <c r="A1944" s="9" t="str">
        <f>HYPERLINK("http://www.ensembl.org/id/WBGene00001243", "WBGene00001243")</f>
        <v>WBGene00001243</v>
      </c>
      <c r="B1944" s="9" t="str">
        <f>HYPERLINK("http://www.ncbi.nlm.nih.gov/gene/177320", "177320")</f>
        <v>177320</v>
      </c>
      <c r="C1944" s="9"/>
      <c r="D1944" t="str">
        <f>"elo-5"</f>
        <v>elo-5</v>
      </c>
      <c r="E1944" t="s">
        <v>1600</v>
      </c>
      <c r="F1944" t="s">
        <v>11</v>
      </c>
      <c r="G1944" t="s">
        <v>1268</v>
      </c>
      <c r="H1944" s="12">
        <v>-1.48967472086763</v>
      </c>
      <c r="I1944" s="20">
        <v>-2.0840408975414699</v>
      </c>
      <c r="J1944" s="28">
        <v>3.7156447322929401E-2</v>
      </c>
      <c r="K1944" s="29">
        <v>0.44208901742719098</v>
      </c>
    </row>
    <row r="1945" spans="1:11" x14ac:dyDescent="0.35">
      <c r="A1945" s="9" t="str">
        <f>HYPERLINK("http://www.ensembl.org/id/WBGene00017079", "WBGene00017079")</f>
        <v>WBGene00017079</v>
      </c>
      <c r="B1945" s="9" t="str">
        <f>HYPERLINK("http://www.ncbi.nlm.nih.gov/gene/3565193", "3565193")</f>
        <v>3565193</v>
      </c>
      <c r="C1945" s="9"/>
      <c r="D1945" t="str">
        <f>"D2096.12"</f>
        <v>D2096.12</v>
      </c>
      <c r="F1945" t="s">
        <v>11</v>
      </c>
      <c r="H1945" s="12">
        <v>-1.59383153903362</v>
      </c>
      <c r="I1945" s="20">
        <v>-2.0830159573140201</v>
      </c>
      <c r="J1945" s="28">
        <v>3.7249769055681302E-2</v>
      </c>
      <c r="K1945" s="29">
        <v>0.44297126289272898</v>
      </c>
    </row>
    <row r="1946" spans="1:11" x14ac:dyDescent="0.35">
      <c r="A1946" s="9" t="str">
        <f>HYPERLINK("http://www.ensembl.org/id/WBGene00015869", "WBGene00015869")</f>
        <v>WBGene00015869</v>
      </c>
      <c r="B1946" s="9" t="str">
        <f>HYPERLINK("http://www.ncbi.nlm.nih.gov/gene/182697", "182697")</f>
        <v>182697</v>
      </c>
      <c r="C1946" s="9"/>
      <c r="D1946" t="str">
        <f>"nhr-257"</f>
        <v>nhr-257</v>
      </c>
      <c r="E1946" t="s">
        <v>637</v>
      </c>
      <c r="F1946" t="s">
        <v>11</v>
      </c>
      <c r="G1946" t="s">
        <v>1073</v>
      </c>
      <c r="H1946" s="12">
        <v>20.7629382176242</v>
      </c>
      <c r="I1946" s="20">
        <v>2.08253019743902</v>
      </c>
      <c r="J1946" s="28">
        <v>3.7294067574962703E-2</v>
      </c>
      <c r="K1946" s="29">
        <v>0.44326992046661001</v>
      </c>
    </row>
    <row r="1947" spans="1:11" x14ac:dyDescent="0.35">
      <c r="A1947" s="9" t="str">
        <f>HYPERLINK("http://www.ensembl.org/id/WBGene00013514", "WBGene00013514")</f>
        <v>WBGene00013514</v>
      </c>
      <c r="B1947" s="9" t="str">
        <f>HYPERLINK("http://www.ncbi.nlm.nih.gov/gene/177723", "177723")</f>
        <v>177723</v>
      </c>
      <c r="C1947" s="9"/>
      <c r="D1947" t="str">
        <f>"Y73F4A.1"</f>
        <v>Y73F4A.1</v>
      </c>
      <c r="E1947" t="s">
        <v>1601</v>
      </c>
      <c r="F1947" t="s">
        <v>11</v>
      </c>
      <c r="G1947" t="s">
        <v>27</v>
      </c>
      <c r="H1947" s="12">
        <v>-1.6585727785948301</v>
      </c>
      <c r="I1947" s="20">
        <v>-2.0815609559897998</v>
      </c>
      <c r="J1947" s="28">
        <v>3.7382590861364799E-2</v>
      </c>
      <c r="K1947" s="29">
        <v>0.44409364752837699</v>
      </c>
    </row>
    <row r="1948" spans="1:11" x14ac:dyDescent="0.35">
      <c r="A1948" s="9" t="str">
        <f>HYPERLINK("http://www.ensembl.org/id/WBGene00077764", "WBGene00077764")</f>
        <v>WBGene00077764</v>
      </c>
      <c r="B1948" s="9" t="str">
        <f>HYPERLINK("http://www.ncbi.nlm.nih.gov/gene/7040139", "7040139")</f>
        <v>7040139</v>
      </c>
      <c r="C1948" s="9"/>
      <c r="D1948" t="str">
        <f>"F59C6.16"</f>
        <v>F59C6.16</v>
      </c>
      <c r="F1948" t="s">
        <v>11</v>
      </c>
      <c r="H1948" s="12">
        <v>1.5742998455061801</v>
      </c>
      <c r="I1948" s="20">
        <v>2.0808001906779499</v>
      </c>
      <c r="J1948" s="28">
        <v>3.7452198711770503E-2</v>
      </c>
      <c r="K1948" s="29">
        <v>0.44446353540532602</v>
      </c>
    </row>
    <row r="1949" spans="1:11" x14ac:dyDescent="0.35">
      <c r="A1949" s="9" t="str">
        <f>HYPERLINK("http://www.ensembl.org/id/WBGene00011850", "WBGene00011850")</f>
        <v>WBGene00011850</v>
      </c>
      <c r="B1949" s="9" t="str">
        <f>HYPERLINK("http://www.ncbi.nlm.nih.gov/gene/180126", "180126")</f>
        <v>180126</v>
      </c>
      <c r="C1949" s="9" t="str">
        <f>HYPERLINK("http://www.ncbi.nlm.nih.gov/gene/54677", "54677")</f>
        <v>54677</v>
      </c>
      <c r="D1949" t="str">
        <f>"T20B3.1"</f>
        <v>T20B3.1</v>
      </c>
      <c r="F1949" t="s">
        <v>11</v>
      </c>
      <c r="G1949" t="s">
        <v>1602</v>
      </c>
      <c r="H1949" s="12">
        <v>-1.5648545772382201</v>
      </c>
      <c r="I1949" s="20">
        <v>-2.0808674494200101</v>
      </c>
      <c r="J1949" s="28">
        <v>3.7446040287416403E-2</v>
      </c>
      <c r="K1949" s="29">
        <v>0.44446353540532602</v>
      </c>
    </row>
    <row r="1950" spans="1:11" x14ac:dyDescent="0.35">
      <c r="A1950" s="9" t="str">
        <f>HYPERLINK("http://www.ensembl.org/id/WBGene00019273", "WBGene00019273")</f>
        <v>WBGene00019273</v>
      </c>
      <c r="B1950" s="9" t="str">
        <f>HYPERLINK("http://www.ncbi.nlm.nih.gov/gene/174101", "174101")</f>
        <v>174101</v>
      </c>
      <c r="C1950" s="9"/>
      <c r="D1950" t="str">
        <f>"H43E16.1"</f>
        <v>H43E16.1</v>
      </c>
      <c r="F1950" t="s">
        <v>11</v>
      </c>
      <c r="G1950" t="s">
        <v>25</v>
      </c>
      <c r="H1950" s="12">
        <v>1.96313725218017</v>
      </c>
      <c r="I1950" s="20">
        <v>2.0792884211562099</v>
      </c>
      <c r="J1950" s="28">
        <v>3.75908487321788E-2</v>
      </c>
      <c r="K1950" s="29">
        <v>0.44587995421238302</v>
      </c>
    </row>
    <row r="1951" spans="1:11" x14ac:dyDescent="0.35">
      <c r="A1951" s="9" t="str">
        <f>HYPERLINK("http://www.ensembl.org/id/WBGene00014262", "WBGene00014262")</f>
        <v>WBGene00014262</v>
      </c>
      <c r="B1951" s="9" t="str">
        <f>HYPERLINK("http://www.ncbi.nlm.nih.gov/gene/174538", "174538")</f>
        <v>174538</v>
      </c>
      <c r="C1951" s="9"/>
      <c r="D1951" t="str">
        <f>"ZK1321.4"</f>
        <v>ZK1321.4</v>
      </c>
      <c r="F1951" t="s">
        <v>11</v>
      </c>
      <c r="G1951" t="s">
        <v>1603</v>
      </c>
      <c r="H1951" s="12">
        <v>-1.5028817404777901</v>
      </c>
      <c r="I1951" s="20">
        <v>-2.0788986807653198</v>
      </c>
      <c r="J1951" s="28">
        <v>3.7626664008835499E-2</v>
      </c>
      <c r="K1951" s="29">
        <v>0.44607578172814399</v>
      </c>
    </row>
    <row r="1952" spans="1:11" x14ac:dyDescent="0.35">
      <c r="A1952" s="9" t="str">
        <f>HYPERLINK("http://www.ensembl.org/id/WBGene00020783", "WBGene00020783")</f>
        <v>WBGene00020783</v>
      </c>
      <c r="B1952" s="9" t="str">
        <f>HYPERLINK("http://www.ncbi.nlm.nih.gov/gene/188869", "188869")</f>
        <v>188869</v>
      </c>
      <c r="C1952" s="9"/>
      <c r="D1952" t="str">
        <f>"blos-4"</f>
        <v>blos-4</v>
      </c>
      <c r="E1952" t="s">
        <v>1604</v>
      </c>
      <c r="F1952" t="s">
        <v>11</v>
      </c>
      <c r="H1952" s="12">
        <v>-1.6663685068278999</v>
      </c>
      <c r="I1952" s="20">
        <v>-2.0784593643583098</v>
      </c>
      <c r="J1952" s="28">
        <v>3.7667069889404603E-2</v>
      </c>
      <c r="K1952" s="29">
        <v>0.44632580352029799</v>
      </c>
    </row>
    <row r="1953" spans="1:11" x14ac:dyDescent="0.35">
      <c r="A1953" s="9" t="str">
        <f>HYPERLINK("http://www.ensembl.org/id/WBGene00013250", "WBGene00013250")</f>
        <v>WBGene00013250</v>
      </c>
      <c r="B1953" s="9" t="str">
        <f>HYPERLINK("http://www.ncbi.nlm.nih.gov/gene/174856", "174856")</f>
        <v>174856</v>
      </c>
      <c r="C1953" s="9"/>
      <c r="D1953" t="str">
        <f>"Y57A10A.5"</f>
        <v>Y57A10A.5</v>
      </c>
      <c r="F1953" t="s">
        <v>11</v>
      </c>
      <c r="H1953" s="12">
        <v>-1.98033225559976</v>
      </c>
      <c r="I1953" s="20">
        <v>-2.0781471033486998</v>
      </c>
      <c r="J1953" s="28">
        <v>3.7695812361771802E-2</v>
      </c>
      <c r="K1953" s="29">
        <v>0.44643743743264902</v>
      </c>
    </row>
    <row r="1954" spans="1:11" x14ac:dyDescent="0.35">
      <c r="A1954" s="9" t="str">
        <f>HYPERLINK("http://www.ensembl.org/id/WBGene00011101", "WBGene00011101")</f>
        <v>WBGene00011101</v>
      </c>
      <c r="B1954" s="9" t="str">
        <f>HYPERLINK("http://www.ncbi.nlm.nih.gov/gene/184224", "184224")</f>
        <v>184224</v>
      </c>
      <c r="C1954" s="9"/>
      <c r="D1954" t="str">
        <f>"R07D5.2"</f>
        <v>R07D5.2</v>
      </c>
      <c r="F1954" t="s">
        <v>11</v>
      </c>
      <c r="G1954" t="s">
        <v>25</v>
      </c>
      <c r="H1954" s="12">
        <v>1.76203256662817</v>
      </c>
      <c r="I1954" s="20">
        <v>2.0768917411707899</v>
      </c>
      <c r="J1954" s="28">
        <v>3.7811552187228203E-2</v>
      </c>
      <c r="K1954" s="29">
        <v>0.44757875247853202</v>
      </c>
    </row>
    <row r="1955" spans="1:11" x14ac:dyDescent="0.35">
      <c r="A1955" s="9" t="str">
        <f>HYPERLINK("http://www.ensembl.org/id/WBGene00006589", "WBGene00006589")</f>
        <v>WBGene00006589</v>
      </c>
      <c r="B1955" s="9" t="str">
        <f>HYPERLINK("http://www.ncbi.nlm.nih.gov/gene/178679", "178679")</f>
        <v>178679</v>
      </c>
      <c r="C1955" s="9"/>
      <c r="D1955" t="str">
        <f>"tnt-4"</f>
        <v>tnt-4</v>
      </c>
      <c r="E1955" t="s">
        <v>240</v>
      </c>
      <c r="F1955" t="s">
        <v>11</v>
      </c>
      <c r="G1955" t="s">
        <v>1605</v>
      </c>
      <c r="H1955" s="12">
        <v>1.9829974276358</v>
      </c>
      <c r="I1955" s="20">
        <v>2.07586966807555</v>
      </c>
      <c r="J1955" s="28">
        <v>3.7906006727760101E-2</v>
      </c>
      <c r="K1955" s="29">
        <v>0.44846707191583401</v>
      </c>
    </row>
    <row r="1956" spans="1:11" x14ac:dyDescent="0.35">
      <c r="A1956" s="9" t="str">
        <f>HYPERLINK("http://www.ensembl.org/id/WBGene00003868", "WBGene00003868")</f>
        <v>WBGene00003868</v>
      </c>
      <c r="B1956" s="9" t="str">
        <f>HYPERLINK("http://www.ncbi.nlm.nih.gov/gene/174759", "174759")</f>
        <v>174759</v>
      </c>
      <c r="C1956" s="9"/>
      <c r="D1956" t="str">
        <f>"ooc-3"</f>
        <v>ooc-3</v>
      </c>
      <c r="F1956" t="s">
        <v>11</v>
      </c>
      <c r="G1956" t="s">
        <v>1606</v>
      </c>
      <c r="H1956" s="12">
        <v>-1.50978501395304</v>
      </c>
      <c r="I1956" s="20">
        <v>-2.0754733419298899</v>
      </c>
      <c r="J1956" s="28">
        <v>3.7942687035716197E-2</v>
      </c>
      <c r="K1956" s="29">
        <v>0.44867130329951799</v>
      </c>
    </row>
    <row r="1957" spans="1:11" x14ac:dyDescent="0.35">
      <c r="A1957" s="9" t="str">
        <f>HYPERLINK("http://www.ensembl.org/id/WBGene00006636", "WBGene00006636")</f>
        <v>WBGene00006636</v>
      </c>
      <c r="B1957" s="9" t="str">
        <f>HYPERLINK("http://www.ncbi.nlm.nih.gov/gene/192063", "192063")</f>
        <v>192063</v>
      </c>
      <c r="C1957" s="9"/>
      <c r="D1957" t="str">
        <f>"tsp-10"</f>
        <v>tsp-10</v>
      </c>
      <c r="E1957" t="s">
        <v>500</v>
      </c>
      <c r="F1957" t="s">
        <v>11</v>
      </c>
      <c r="G1957" t="s">
        <v>868</v>
      </c>
      <c r="H1957" s="12">
        <v>-1.6587077323910699</v>
      </c>
      <c r="I1957" s="20">
        <v>-2.0745364948413498</v>
      </c>
      <c r="J1957" s="28">
        <v>3.8029513037706499E-2</v>
      </c>
      <c r="K1957" s="29">
        <v>0.44946799398938497</v>
      </c>
    </row>
    <row r="1958" spans="1:11" x14ac:dyDescent="0.35">
      <c r="A1958" s="9" t="str">
        <f>HYPERLINK("http://www.ensembl.org/id/WBGene00001402", "WBGene00001402")</f>
        <v>WBGene00001402</v>
      </c>
      <c r="B1958" s="9" t="str">
        <f>HYPERLINK("http://www.ncbi.nlm.nih.gov/gene/174017", "174017")</f>
        <v>174017</v>
      </c>
      <c r="C1958" s="9"/>
      <c r="D1958" t="str">
        <f>"fbf-2"</f>
        <v>fbf-2</v>
      </c>
      <c r="E1958" t="s">
        <v>1609</v>
      </c>
      <c r="F1958" t="s">
        <v>11</v>
      </c>
      <c r="G1958" t="s">
        <v>35</v>
      </c>
      <c r="H1958" s="12">
        <v>-2.4996514416824298</v>
      </c>
      <c r="I1958" s="20">
        <v>-2.0742374659821201</v>
      </c>
      <c r="J1958" s="28">
        <v>3.8057262267242202E-2</v>
      </c>
      <c r="K1958" s="29">
        <v>0.44948110098079702</v>
      </c>
    </row>
    <row r="1959" spans="1:11" x14ac:dyDescent="0.35">
      <c r="A1959" s="9" t="str">
        <f>HYPERLINK("http://www.ensembl.org/id/WBGene00006402", "WBGene00006402")</f>
        <v>WBGene00006402</v>
      </c>
      <c r="B1959" s="9" t="str">
        <f>HYPERLINK("http://www.ncbi.nlm.nih.gov/gene/173958", "173958")</f>
        <v>173958</v>
      </c>
      <c r="C1959" s="9" t="str">
        <f>HYPERLINK("http://www.ncbi.nlm.nih.gov/gene/2525", "2525")</f>
        <v>2525</v>
      </c>
      <c r="D1959" t="str">
        <f>"fut-3"</f>
        <v>fut-3</v>
      </c>
      <c r="E1959" t="s">
        <v>1607</v>
      </c>
      <c r="F1959" t="s">
        <v>11</v>
      </c>
      <c r="G1959" t="s">
        <v>1608</v>
      </c>
      <c r="H1959" s="12">
        <v>-1.5039920057003999</v>
      </c>
      <c r="I1959" s="20">
        <v>-2.0741053478343501</v>
      </c>
      <c r="J1959" s="28">
        <v>3.8069528028192703E-2</v>
      </c>
      <c r="K1959" s="29">
        <v>0.44948110098079702</v>
      </c>
    </row>
    <row r="1960" spans="1:11" x14ac:dyDescent="0.35">
      <c r="A1960" s="9" t="str">
        <f>HYPERLINK("http://www.ensembl.org/id/WBGene00015424", "WBGene00015424")</f>
        <v>WBGene00015424</v>
      </c>
      <c r="B1960" s="9" t="str">
        <f>HYPERLINK("http://www.ncbi.nlm.nih.gov/gene/182203", "182203")</f>
        <v>182203</v>
      </c>
      <c r="C1960" s="9"/>
      <c r="D1960" t="str">
        <f>"C04E6.8"</f>
        <v>C04E6.8</v>
      </c>
      <c r="F1960" t="s">
        <v>11</v>
      </c>
      <c r="H1960" s="12">
        <v>3.7469335684213601</v>
      </c>
      <c r="I1960" s="20">
        <v>2.0729278070039698</v>
      </c>
      <c r="J1960" s="28">
        <v>3.817899871799E-2</v>
      </c>
      <c r="K1960" s="29">
        <v>0.45012298090998798</v>
      </c>
    </row>
    <row r="1961" spans="1:11" x14ac:dyDescent="0.35">
      <c r="A1961" s="9" t="str">
        <f>HYPERLINK("http://www.ensembl.org/id/WBGene00010515", "WBGene00010515")</f>
        <v>WBGene00010515</v>
      </c>
      <c r="B1961" s="9" t="str">
        <f>HYPERLINK("http://www.ncbi.nlm.nih.gov/gene/186897", "186897")</f>
        <v>186897</v>
      </c>
      <c r="C1961" s="9"/>
      <c r="D1961" t="str">
        <f>"K02E11.6"</f>
        <v>K02E11.6</v>
      </c>
      <c r="F1961" t="s">
        <v>11</v>
      </c>
      <c r="H1961" s="12">
        <v>2.0229659847240402</v>
      </c>
      <c r="I1961" s="20">
        <v>2.07289196011698</v>
      </c>
      <c r="J1961" s="28">
        <v>3.8182335435972298E-2</v>
      </c>
      <c r="K1961" s="29">
        <v>0.45012298090998798</v>
      </c>
    </row>
    <row r="1962" spans="1:11" x14ac:dyDescent="0.35">
      <c r="A1962" s="9" t="str">
        <f>HYPERLINK("http://www.ensembl.org/id/WBGene00195166", "WBGene00195166")</f>
        <v>WBGene00195166</v>
      </c>
      <c r="B1962" s="9" t="str">
        <f>HYPERLINK("http://www.ncbi.nlm.nih.gov/gene/13215870", "13215870")</f>
        <v>13215870</v>
      </c>
      <c r="C1962" s="9"/>
      <c r="D1962" t="str">
        <f>"W05B10.6"</f>
        <v>W05B10.6</v>
      </c>
      <c r="F1962" t="s">
        <v>11</v>
      </c>
      <c r="G1962" t="s">
        <v>25</v>
      </c>
      <c r="H1962" s="12">
        <v>-1.63502914733668</v>
      </c>
      <c r="I1962" s="20">
        <v>-2.0731368088716602</v>
      </c>
      <c r="J1962" s="28">
        <v>3.8159549237362603E-2</v>
      </c>
      <c r="K1962" s="29">
        <v>0.45012298090998798</v>
      </c>
    </row>
    <row r="1963" spans="1:11" x14ac:dyDescent="0.35">
      <c r="A1963" s="9" t="str">
        <f>HYPERLINK("http://www.ensembl.org/id/WBGene00005023", "WBGene00005023")</f>
        <v>WBGene00005023</v>
      </c>
      <c r="B1963" s="9" t="str">
        <f>HYPERLINK("http://www.ncbi.nlm.nih.gov/gene/172851", "172851")</f>
        <v>172851</v>
      </c>
      <c r="C1963" s="9" t="str">
        <f>HYPERLINK("http://www.ncbi.nlm.nih.gov/gene/337876", "337876")</f>
        <v>337876</v>
      </c>
      <c r="D1963" t="str">
        <f>"sqv-5"</f>
        <v>sqv-5</v>
      </c>
      <c r="E1963" t="s">
        <v>1610</v>
      </c>
      <c r="F1963" t="s">
        <v>11</v>
      </c>
      <c r="G1963" t="s">
        <v>1611</v>
      </c>
      <c r="H1963" s="12">
        <v>-1.4559727824711199</v>
      </c>
      <c r="I1963" s="20">
        <v>-2.07245646246152</v>
      </c>
      <c r="J1963" s="28">
        <v>3.8222892456290798E-2</v>
      </c>
      <c r="K1963" s="29">
        <v>0.45037131723358298</v>
      </c>
    </row>
    <row r="1964" spans="1:11" x14ac:dyDescent="0.35">
      <c r="A1964" s="9" t="str">
        <f>HYPERLINK("http://www.ensembl.org/id/WBGene00017105", "WBGene00017105")</f>
        <v>WBGene00017105</v>
      </c>
      <c r="B1964" s="9" t="str">
        <f>HYPERLINK("http://www.ncbi.nlm.nih.gov/gene/184002", "184002")</f>
        <v>184002</v>
      </c>
      <c r="C1964" s="9"/>
      <c r="D1964" t="str">
        <f>"E02H9.7"</f>
        <v>E02H9.7</v>
      </c>
      <c r="F1964" t="s">
        <v>11</v>
      </c>
      <c r="H1964" s="12">
        <v>-1.54933988252805</v>
      </c>
      <c r="I1964" s="20">
        <v>-2.0720927448031001</v>
      </c>
      <c r="J1964" s="28">
        <v>3.8256792813520298E-2</v>
      </c>
      <c r="K1964" s="29">
        <v>0.450541006498063</v>
      </c>
    </row>
    <row r="1965" spans="1:11" x14ac:dyDescent="0.35">
      <c r="A1965" s="9" t="str">
        <f>HYPERLINK("http://www.ensembl.org/id/WBGene00001687", "WBGene00001687")</f>
        <v>WBGene00001687</v>
      </c>
      <c r="B1965" s="9" t="str">
        <f>HYPERLINK("http://www.ncbi.nlm.nih.gov/gene/181658", "181658")</f>
        <v>181658</v>
      </c>
      <c r="C1965" s="9" t="str">
        <f>HYPERLINK("http://www.ncbi.nlm.nih.gov/gene/2239", "2239")</f>
        <v>2239</v>
      </c>
      <c r="D1965" t="str">
        <f>"gpn-1"</f>
        <v>gpn-1</v>
      </c>
      <c r="E1965" t="s">
        <v>1612</v>
      </c>
      <c r="F1965" t="s">
        <v>11</v>
      </c>
      <c r="G1965" t="s">
        <v>1613</v>
      </c>
      <c r="H1965" s="12">
        <v>1.8018110517859001</v>
      </c>
      <c r="I1965" s="20">
        <v>2.0715285863860999</v>
      </c>
      <c r="J1965" s="28">
        <v>3.83094258539316E-2</v>
      </c>
      <c r="K1965" s="29">
        <v>0.45093102077480601</v>
      </c>
    </row>
    <row r="1966" spans="1:11" x14ac:dyDescent="0.35">
      <c r="A1966" s="9" t="str">
        <f>HYPERLINK("http://www.ensembl.org/id/WBGene00007574", "WBGene00007574")</f>
        <v>WBGene00007574</v>
      </c>
      <c r="B1966" s="9" t="str">
        <f>HYPERLINK("http://www.ncbi.nlm.nih.gov/gene/259498", "259498")</f>
        <v>259498</v>
      </c>
      <c r="C1966" s="9"/>
      <c r="D1966" t="str">
        <f>"C14B1.3"</f>
        <v>C14B1.3</v>
      </c>
      <c r="F1966" t="s">
        <v>11</v>
      </c>
      <c r="G1966" t="s">
        <v>1615</v>
      </c>
      <c r="H1966" s="12">
        <v>-1.4700518298938701</v>
      </c>
      <c r="I1966" s="20">
        <v>-2.0699621983481098</v>
      </c>
      <c r="J1966" s="28">
        <v>3.8455884539455698E-2</v>
      </c>
      <c r="K1966" s="29">
        <v>0.45190216675387901</v>
      </c>
    </row>
    <row r="1967" spans="1:11" x14ac:dyDescent="0.35">
      <c r="A1967" s="9" t="str">
        <f>HYPERLINK("http://www.ensembl.org/id/WBGene00044019", "WBGene00044019")</f>
        <v>WBGene00044019</v>
      </c>
      <c r="B1967" s="9" t="str">
        <f>HYPERLINK("http://www.ncbi.nlm.nih.gov/gene/3565529", "3565529")</f>
        <v>3565529</v>
      </c>
      <c r="C1967" s="9"/>
      <c r="D1967" t="str">
        <f>"C55A6.12"</f>
        <v>C55A6.12</v>
      </c>
      <c r="F1967" t="s">
        <v>11</v>
      </c>
      <c r="H1967" s="12">
        <v>1.6480429516585799</v>
      </c>
      <c r="I1967" s="20">
        <v>2.0700262178703599</v>
      </c>
      <c r="J1967" s="28">
        <v>3.8449889342093403E-2</v>
      </c>
      <c r="K1967" s="29">
        <v>0.45190216675387901</v>
      </c>
    </row>
    <row r="1968" spans="1:11" x14ac:dyDescent="0.35">
      <c r="A1968" s="9" t="str">
        <f>HYPERLINK("http://www.ensembl.org/id/WBGene00008389", "WBGene00008389")</f>
        <v>WBGene00008389</v>
      </c>
      <c r="B1968" s="9" t="str">
        <f>HYPERLINK("http://www.ncbi.nlm.nih.gov/gene/183931", "183931")</f>
        <v>183931</v>
      </c>
      <c r="C1968" s="9"/>
      <c r="D1968" t="str">
        <f>"D1086.2"</f>
        <v>D1086.2</v>
      </c>
      <c r="F1968" t="s">
        <v>11</v>
      </c>
      <c r="H1968" s="12">
        <v>-1.7278519867862701</v>
      </c>
      <c r="I1968" s="20">
        <v>-2.0696120455189901</v>
      </c>
      <c r="J1968" s="28">
        <v>3.8488689148096798E-2</v>
      </c>
      <c r="K1968" s="29">
        <v>0.45190216675387901</v>
      </c>
    </row>
    <row r="1969" spans="1:11" x14ac:dyDescent="0.35">
      <c r="A1969" s="9" t="str">
        <f>HYPERLINK("http://www.ensembl.org/id/WBGene00019591", "WBGene00019591")</f>
        <v>WBGene00019591</v>
      </c>
      <c r="B1969" s="9" t="str">
        <f>HYPERLINK("http://www.ncbi.nlm.nih.gov/gene/187235", "187235")</f>
        <v>187235</v>
      </c>
      <c r="C1969" s="9"/>
      <c r="D1969" t="str">
        <f>"fbxc-25"</f>
        <v>fbxc-25</v>
      </c>
      <c r="E1969" t="s">
        <v>311</v>
      </c>
      <c r="F1969" t="s">
        <v>11</v>
      </c>
      <c r="H1969" s="12">
        <v>1.8884080490645401</v>
      </c>
      <c r="I1969" s="20">
        <v>2.0696010492682699</v>
      </c>
      <c r="J1969" s="28">
        <v>3.8489719733906101E-2</v>
      </c>
      <c r="K1969" s="29">
        <v>0.45190216675387901</v>
      </c>
    </row>
    <row r="1970" spans="1:11" x14ac:dyDescent="0.35">
      <c r="A1970" s="9" t="str">
        <f>HYPERLINK("http://www.ensembl.org/id/WBGene00020611", "WBGene00020611")</f>
        <v>WBGene00020611</v>
      </c>
      <c r="B1970" s="9" t="str">
        <f>HYPERLINK("http://www.ncbi.nlm.nih.gov/gene/188641", "188641")</f>
        <v>188641</v>
      </c>
      <c r="C1970" s="9"/>
      <c r="D1970" t="str">
        <f>"T20D4.5"</f>
        <v>T20D4.5</v>
      </c>
      <c r="F1970" t="s">
        <v>11</v>
      </c>
      <c r="G1970" t="s">
        <v>1614</v>
      </c>
      <c r="H1970" s="12">
        <v>2.9828704513262698</v>
      </c>
      <c r="I1970" s="20">
        <v>2.07036570542023</v>
      </c>
      <c r="J1970" s="28">
        <v>3.8418110832012603E-2</v>
      </c>
      <c r="K1970" s="29">
        <v>0.45190216675387901</v>
      </c>
    </row>
    <row r="1971" spans="1:11" x14ac:dyDescent="0.35">
      <c r="A1971" s="9" t="str">
        <f>HYPERLINK("http://www.ensembl.org/id/WBGene00000974", "WBGene00000974")</f>
        <v>WBGene00000974</v>
      </c>
      <c r="B1971" s="9" t="str">
        <f>HYPERLINK("http://www.ncbi.nlm.nih.gov/gene/176485", "176485")</f>
        <v>176485</v>
      </c>
      <c r="C1971" s="9" t="str">
        <f>HYPERLINK("http://www.ncbi.nlm.nih.gov/gene/7923", "7923")</f>
        <v>7923</v>
      </c>
      <c r="D1971" t="str">
        <f>"dhs-11"</f>
        <v>dhs-11</v>
      </c>
      <c r="E1971" t="s">
        <v>488</v>
      </c>
      <c r="F1971" t="s">
        <v>11</v>
      </c>
      <c r="G1971" t="s">
        <v>489</v>
      </c>
      <c r="H1971" s="12">
        <v>-1.7921823965416599</v>
      </c>
      <c r="I1971" s="20">
        <v>-2.06925923453</v>
      </c>
      <c r="J1971" s="28">
        <v>3.8521766843550097E-2</v>
      </c>
      <c r="K1971" s="29">
        <v>0.45204872762166998</v>
      </c>
    </row>
    <row r="1972" spans="1:11" x14ac:dyDescent="0.35">
      <c r="A1972" s="9" t="str">
        <f>HYPERLINK("http://www.ensembl.org/id/WBGene00007204", "WBGene00007204")</f>
        <v>WBGene00007204</v>
      </c>
      <c r="B1972" s="9" t="str">
        <f>HYPERLINK("http://www.ncbi.nlm.nih.gov/gene/182044", "182044")</f>
        <v>182044</v>
      </c>
      <c r="C1972" s="9"/>
      <c r="D1972" t="str">
        <f>"best-2"</f>
        <v>best-2</v>
      </c>
      <c r="E1972" t="s">
        <v>1616</v>
      </c>
      <c r="F1972" t="s">
        <v>11</v>
      </c>
      <c r="H1972" s="12">
        <v>15.1083085317997</v>
      </c>
      <c r="I1972" s="20">
        <v>2.0672723961723198</v>
      </c>
      <c r="J1972" s="28">
        <v>3.8708493783271E-2</v>
      </c>
      <c r="K1972" s="29">
        <v>0.45308939075798299</v>
      </c>
    </row>
    <row r="1973" spans="1:11" x14ac:dyDescent="0.35">
      <c r="A1973" s="9" t="str">
        <f>HYPERLINK("http://www.ensembl.org/id/WBGene00015934", "WBGene00015934")</f>
        <v>WBGene00015934</v>
      </c>
      <c r="B1973" s="9" t="str">
        <f>HYPERLINK("http://www.ncbi.nlm.nih.gov/gene/182756", "182756")</f>
        <v>182756</v>
      </c>
      <c r="C1973" s="9"/>
      <c r="D1973" t="str">
        <f>"ceh-48"</f>
        <v>ceh-48</v>
      </c>
      <c r="E1973" t="s">
        <v>1619</v>
      </c>
      <c r="F1973" t="s">
        <v>11</v>
      </c>
      <c r="G1973" t="s">
        <v>1620</v>
      </c>
      <c r="H1973" s="12">
        <v>1.66318865045807</v>
      </c>
      <c r="I1973" s="20">
        <v>2.0674558213704599</v>
      </c>
      <c r="J1973" s="28">
        <v>3.8691222962486699E-2</v>
      </c>
      <c r="K1973" s="29">
        <v>0.45308939075798299</v>
      </c>
    </row>
    <row r="1974" spans="1:11" x14ac:dyDescent="0.35">
      <c r="A1974" s="9" t="str">
        <f>HYPERLINK("http://www.ensembl.org/id/WBGene00002218", "WBGene00002218")</f>
        <v>WBGene00002218</v>
      </c>
      <c r="B1974" s="9" t="str">
        <f>HYPERLINK("http://www.ncbi.nlm.nih.gov/gene/175683", "175683")</f>
        <v>175683</v>
      </c>
      <c r="C1974" s="9" t="str">
        <f>HYPERLINK("http://www.ncbi.nlm.nih.gov/gene/100130097", "100130097")</f>
        <v>100130097</v>
      </c>
      <c r="D1974" t="str">
        <f>"klp-6"</f>
        <v>klp-6</v>
      </c>
      <c r="E1974" t="s">
        <v>469</v>
      </c>
      <c r="F1974" t="s">
        <v>11</v>
      </c>
      <c r="G1974" t="s">
        <v>1618</v>
      </c>
      <c r="H1974" s="12">
        <v>3.1531033837316702</v>
      </c>
      <c r="I1974" s="20">
        <v>2.0674333692564799</v>
      </c>
      <c r="J1974" s="28">
        <v>3.8693336641090301E-2</v>
      </c>
      <c r="K1974" s="29">
        <v>0.45308939075798299</v>
      </c>
    </row>
    <row r="1975" spans="1:11" x14ac:dyDescent="0.35">
      <c r="A1975" s="9" t="str">
        <f>HYPERLINK("http://www.ensembl.org/id/WBGene00020590", "WBGene00020590")</f>
        <v>WBGene00020590</v>
      </c>
      <c r="B1975" s="9" t="str">
        <f>HYPERLINK("http://www.ncbi.nlm.nih.gov/gene/188617", "188617")</f>
        <v>188617</v>
      </c>
      <c r="C1975" s="9"/>
      <c r="D1975" t="str">
        <f>"T19H12.6"</f>
        <v>T19H12.6</v>
      </c>
      <c r="F1975" t="s">
        <v>11</v>
      </c>
      <c r="G1975" t="s">
        <v>1617</v>
      </c>
      <c r="H1975" s="12">
        <v>4.1873030469517101</v>
      </c>
      <c r="I1975" s="20">
        <v>2.0675043158105701</v>
      </c>
      <c r="J1975" s="28">
        <v>3.8686657951662498E-2</v>
      </c>
      <c r="K1975" s="29">
        <v>0.45308939075798299</v>
      </c>
    </row>
    <row r="1976" spans="1:11" x14ac:dyDescent="0.35">
      <c r="A1976" s="9" t="str">
        <f>HYPERLINK("http://www.ensembl.org/id/WBGene00012167", "WBGene00012167")</f>
        <v>WBGene00012167</v>
      </c>
      <c r="B1976" s="9" t="str">
        <f>HYPERLINK("http://www.ncbi.nlm.nih.gov/gene/172439", "172439")</f>
        <v>172439</v>
      </c>
      <c r="C1976" s="9"/>
      <c r="D1976" t="str">
        <f>"tofu-5"</f>
        <v>tofu-5</v>
      </c>
      <c r="E1976" t="s">
        <v>1247</v>
      </c>
      <c r="F1976" t="s">
        <v>11</v>
      </c>
      <c r="H1976" s="12">
        <v>-1.55471506840082</v>
      </c>
      <c r="I1976" s="20">
        <v>-2.0673223286819402</v>
      </c>
      <c r="J1976" s="28">
        <v>3.8703791624381902E-2</v>
      </c>
      <c r="K1976" s="29">
        <v>0.45308939075798299</v>
      </c>
    </row>
    <row r="1977" spans="1:11" x14ac:dyDescent="0.35">
      <c r="A1977" s="9" t="str">
        <f>HYPERLINK("http://www.ensembl.org/id/WBGene00005281", "WBGene00005281")</f>
        <v>WBGene00005281</v>
      </c>
      <c r="B1977" s="9" t="str">
        <f>HYPERLINK("http://www.ncbi.nlm.nih.gov/gene/191865", "191865")</f>
        <v>191865</v>
      </c>
      <c r="C1977" s="9"/>
      <c r="D1977" t="str">
        <f>"srh-59"</f>
        <v>srh-59</v>
      </c>
      <c r="E1977" t="s">
        <v>153</v>
      </c>
      <c r="F1977" t="s">
        <v>11</v>
      </c>
      <c r="G1977" t="s">
        <v>25</v>
      </c>
      <c r="H1977" s="12">
        <v>43.982337652614703</v>
      </c>
      <c r="I1977" s="20">
        <v>2.0652258629267002</v>
      </c>
      <c r="J1977" s="28">
        <v>3.8901634500130101E-2</v>
      </c>
      <c r="K1977" s="29">
        <v>0.45511957810633202</v>
      </c>
    </row>
    <row r="1978" spans="1:11" x14ac:dyDescent="0.35">
      <c r="A1978" s="9" t="str">
        <f>HYPERLINK("http://www.ensembl.org/id/WBGene00011678", "WBGene00011678")</f>
        <v>WBGene00011678</v>
      </c>
      <c r="B1978" s="9" t="str">
        <f>HYPERLINK("http://www.ncbi.nlm.nih.gov/gene/174539", "174539")</f>
        <v>174539</v>
      </c>
      <c r="C1978" s="9"/>
      <c r="D1978" t="str">
        <f>"T10B9.9"</f>
        <v>T10B9.9</v>
      </c>
      <c r="F1978" t="s">
        <v>11</v>
      </c>
      <c r="H1978" s="12">
        <v>2.3211548462408298</v>
      </c>
      <c r="I1978" s="20">
        <v>2.0644354294496599</v>
      </c>
      <c r="J1978" s="28">
        <v>3.8976450176015698E-2</v>
      </c>
      <c r="K1978" s="29">
        <v>0.45553356487962499</v>
      </c>
    </row>
    <row r="1979" spans="1:11" x14ac:dyDescent="0.35">
      <c r="A1979" s="9" t="str">
        <f>HYPERLINK("http://www.ensembl.org/id/WBGene00020881", "WBGene00020881")</f>
        <v>WBGene00020881</v>
      </c>
      <c r="B1979" s="9" t="str">
        <f>HYPERLINK("http://www.ncbi.nlm.nih.gov/gene/189024", "189024")</f>
        <v>189024</v>
      </c>
      <c r="C1979" s="9"/>
      <c r="D1979" t="str">
        <f>"T28A11.19"</f>
        <v>T28A11.19</v>
      </c>
      <c r="F1979" t="s">
        <v>11</v>
      </c>
      <c r="H1979" s="12">
        <v>-2.5193035719886998</v>
      </c>
      <c r="I1979" s="20">
        <v>-2.0645490850065098</v>
      </c>
      <c r="J1979" s="28">
        <v>3.8965684994928501E-2</v>
      </c>
      <c r="K1979" s="29">
        <v>0.45553356487962499</v>
      </c>
    </row>
    <row r="1980" spans="1:11" x14ac:dyDescent="0.35">
      <c r="A1980" s="9" t="str">
        <f>HYPERLINK("http://www.ensembl.org/id/WBGene00015974", "WBGene00015974")</f>
        <v>WBGene00015974</v>
      </c>
      <c r="B1980" s="9" t="str">
        <f>HYPERLINK("http://www.ncbi.nlm.nih.gov/gene/172015", "172015")</f>
        <v>172015</v>
      </c>
      <c r="C1980" s="9" t="str">
        <f>HYPERLINK("http://www.ncbi.nlm.nih.gov/gene/9410", "9410")</f>
        <v>9410</v>
      </c>
      <c r="D1980" t="str">
        <f>"snrp-40.2"</f>
        <v>snrp-40.2</v>
      </c>
      <c r="E1980" t="s">
        <v>1621</v>
      </c>
      <c r="F1980" t="s">
        <v>11</v>
      </c>
      <c r="G1980" t="s">
        <v>54</v>
      </c>
      <c r="H1980" s="12">
        <v>-1.6847648310496399</v>
      </c>
      <c r="I1980" s="20">
        <v>-2.0641785309390799</v>
      </c>
      <c r="J1980" s="28">
        <v>3.90007922941977E-2</v>
      </c>
      <c r="K1980" s="29">
        <v>0.45558761716366603</v>
      </c>
    </row>
    <row r="1981" spans="1:11" x14ac:dyDescent="0.35">
      <c r="A1981" s="9" t="str">
        <f>HYPERLINK("http://www.ensembl.org/id/WBGene00019738", "WBGene00019738")</f>
        <v>WBGene00019738</v>
      </c>
      <c r="B1981" s="9" t="str">
        <f>HYPERLINK("http://www.ncbi.nlm.nih.gov/gene/180590", "180590")</f>
        <v>180590</v>
      </c>
      <c r="C1981" s="9"/>
      <c r="D1981" t="str">
        <f>"clec-265"</f>
        <v>clec-265</v>
      </c>
      <c r="E1981" t="s">
        <v>46</v>
      </c>
      <c r="F1981" t="s">
        <v>11</v>
      </c>
      <c r="G1981" t="s">
        <v>47</v>
      </c>
      <c r="H1981" s="12">
        <v>-4.0195396523433002</v>
      </c>
      <c r="I1981" s="20">
        <v>-2.0635473618155999</v>
      </c>
      <c r="J1981" s="28">
        <v>3.9060652828120199E-2</v>
      </c>
      <c r="K1981" s="29">
        <v>0.45582598194270002</v>
      </c>
    </row>
    <row r="1982" spans="1:11" x14ac:dyDescent="0.35">
      <c r="A1982" s="9" t="str">
        <f>HYPERLINK("http://www.ensembl.org/id/WBGene00014200", "WBGene00014200")</f>
        <v>WBGene00014200</v>
      </c>
      <c r="B1982" s="9" t="str">
        <f>HYPERLINK("http://www.ncbi.nlm.nih.gov/gene/191509", "191509")</f>
        <v>191509</v>
      </c>
      <c r="C1982" s="9" t="str">
        <f>HYPERLINK("http://www.ncbi.nlm.nih.gov/gene/5359", "5359")</f>
        <v>5359</v>
      </c>
      <c r="D1982" t="str">
        <f>"scrm-2"</f>
        <v>scrm-2</v>
      </c>
      <c r="E1982" t="s">
        <v>1622</v>
      </c>
      <c r="F1982" t="s">
        <v>11</v>
      </c>
      <c r="G1982" t="s">
        <v>1623</v>
      </c>
      <c r="H1982" s="12">
        <v>1.7040901549491501</v>
      </c>
      <c r="I1982" s="20">
        <v>2.0636583221270901</v>
      </c>
      <c r="J1982" s="28">
        <v>3.9050123622458799E-2</v>
      </c>
      <c r="K1982" s="29">
        <v>0.45582598194270002</v>
      </c>
    </row>
    <row r="1983" spans="1:11" x14ac:dyDescent="0.35">
      <c r="A1983" s="9" t="str">
        <f>HYPERLINK("http://www.ensembl.org/id/WBGene00022831", "WBGene00022831")</f>
        <v>WBGene00022831</v>
      </c>
      <c r="B1983" s="9" t="str">
        <f>HYPERLINK("http://www.ncbi.nlm.nih.gov/gene/172038", "172038")</f>
        <v>172038</v>
      </c>
      <c r="C1983" s="9"/>
      <c r="D1983" t="str">
        <f>"cec-10"</f>
        <v>cec-10</v>
      </c>
      <c r="E1983" t="s">
        <v>1624</v>
      </c>
      <c r="F1983" t="s">
        <v>11</v>
      </c>
      <c r="G1983" t="s">
        <v>1625</v>
      </c>
      <c r="H1983" s="12">
        <v>-1.4905358452895301</v>
      </c>
      <c r="I1983" s="20">
        <v>-2.06328323670725</v>
      </c>
      <c r="J1983" s="28">
        <v>3.90857257936311E-2</v>
      </c>
      <c r="K1983" s="29">
        <v>0.45588832922142303</v>
      </c>
    </row>
    <row r="1984" spans="1:11" x14ac:dyDescent="0.35">
      <c r="A1984" s="9" t="str">
        <f>HYPERLINK("http://www.ensembl.org/id/WBGene00019722", "WBGene00019722")</f>
        <v>WBGene00019722</v>
      </c>
      <c r="B1984" s="9" t="str">
        <f>HYPERLINK("http://www.ncbi.nlm.nih.gov/gene/187392", "187392")</f>
        <v>187392</v>
      </c>
      <c r="C1984" s="9"/>
      <c r="D1984" t="str">
        <f>"M02A10.1"</f>
        <v>M02A10.1</v>
      </c>
      <c r="F1984" t="s">
        <v>11</v>
      </c>
      <c r="G1984" t="s">
        <v>25</v>
      </c>
      <c r="H1984" s="12">
        <v>-1.89251073803266</v>
      </c>
      <c r="I1984" s="20">
        <v>-2.06210196099138</v>
      </c>
      <c r="J1984" s="28">
        <v>3.9198029706769402E-2</v>
      </c>
      <c r="K1984" s="29">
        <v>0.45696754510828103</v>
      </c>
    </row>
    <row r="1985" spans="1:11" x14ac:dyDescent="0.35">
      <c r="A1985" s="9" t="str">
        <f>HYPERLINK("http://www.ensembl.org/id/WBGene00021167", "WBGene00021167")</f>
        <v>WBGene00021167</v>
      </c>
      <c r="B1985" s="9" t="str">
        <f>HYPERLINK("http://www.ncbi.nlm.nih.gov/gene/178697", "178697")</f>
        <v>178697</v>
      </c>
      <c r="C1985" s="9" t="str">
        <f>HYPERLINK("http://www.ncbi.nlm.nih.gov/gene/285440", "285440")</f>
        <v>285440</v>
      </c>
      <c r="D1985" t="str">
        <f>"cyp-32B1"</f>
        <v>cyp-32B1</v>
      </c>
      <c r="E1985" t="s">
        <v>176</v>
      </c>
      <c r="F1985" t="s">
        <v>11</v>
      </c>
      <c r="G1985" t="s">
        <v>1626</v>
      </c>
      <c r="H1985" s="12">
        <v>-1.70336209098007</v>
      </c>
      <c r="I1985" s="20">
        <v>-2.0614029194158801</v>
      </c>
      <c r="J1985" s="28">
        <v>3.9264616574055201E-2</v>
      </c>
      <c r="K1985" s="29">
        <v>0.45726146526</v>
      </c>
    </row>
    <row r="1986" spans="1:11" x14ac:dyDescent="0.35">
      <c r="A1986" s="9" t="str">
        <f>HYPERLINK("http://www.ensembl.org/id/WBGene00022324", "WBGene00022324")</f>
        <v>WBGene00022324</v>
      </c>
      <c r="B1986" s="9" t="str">
        <f>HYPERLINK("http://www.ncbi.nlm.nih.gov/gene/190756", "190756")</f>
        <v>190756</v>
      </c>
      <c r="C1986" s="9"/>
      <c r="D1986" t="str">
        <f>"fbxa-26"</f>
        <v>fbxa-26</v>
      </c>
      <c r="E1986" t="s">
        <v>467</v>
      </c>
      <c r="F1986" t="s">
        <v>11</v>
      </c>
      <c r="G1986" t="s">
        <v>54</v>
      </c>
      <c r="H1986" s="12">
        <v>-2.1703405556890698</v>
      </c>
      <c r="I1986" s="20">
        <v>-2.0613616055589601</v>
      </c>
      <c r="J1986" s="28">
        <v>3.92685549096412E-2</v>
      </c>
      <c r="K1986" s="29">
        <v>0.45726146526</v>
      </c>
    </row>
    <row r="1987" spans="1:11" x14ac:dyDescent="0.35">
      <c r="A1987" s="9" t="str">
        <f>HYPERLINK("http://www.ensembl.org/id/WBGene00044030", "WBGene00044030")</f>
        <v>WBGene00044030</v>
      </c>
      <c r="B1987" s="9" t="str">
        <f>HYPERLINK("http://www.ncbi.nlm.nih.gov/gene/3565812", "3565812")</f>
        <v>3565812</v>
      </c>
      <c r="C1987" s="9"/>
      <c r="D1987" t="str">
        <f>"Y17G7B.23"</f>
        <v>Y17G7B.23</v>
      </c>
      <c r="F1987" t="s">
        <v>11</v>
      </c>
      <c r="H1987" s="12">
        <v>4.19949746545685</v>
      </c>
      <c r="I1987" s="20">
        <v>2.06121418384972</v>
      </c>
      <c r="J1987" s="28">
        <v>3.9282610946987803E-2</v>
      </c>
      <c r="K1987" s="29">
        <v>0.45726146526</v>
      </c>
    </row>
    <row r="1988" spans="1:11" x14ac:dyDescent="0.35">
      <c r="A1988" s="9" t="str">
        <f>HYPERLINK("http://www.ensembl.org/id/WBGene00077783", "WBGene00077783")</f>
        <v>WBGene00077783</v>
      </c>
      <c r="B1988" s="9" t="str">
        <f>HYPERLINK("http://www.ncbi.nlm.nih.gov/gene/7040149", "7040149")</f>
        <v>7040149</v>
      </c>
      <c r="C1988" s="9"/>
      <c r="D1988" t="str">
        <f>"D1054.18"</f>
        <v>D1054.18</v>
      </c>
      <c r="F1988" t="s">
        <v>11</v>
      </c>
      <c r="H1988" s="12">
        <v>-4.1516288559937102</v>
      </c>
      <c r="I1988" s="20">
        <v>-2.0606315104383901</v>
      </c>
      <c r="J1988" s="28">
        <v>3.9338208213986502E-2</v>
      </c>
      <c r="K1988" s="29">
        <v>0.45744772973949199</v>
      </c>
    </row>
    <row r="1989" spans="1:11" x14ac:dyDescent="0.35">
      <c r="A1989" s="9" t="str">
        <f>HYPERLINK("http://www.ensembl.org/id/WBGene00009239", "WBGene00009239")</f>
        <v>WBGene00009239</v>
      </c>
      <c r="B1989" s="9" t="str">
        <f>HYPERLINK("http://www.ncbi.nlm.nih.gov/gene/179491", "179491")</f>
        <v>179491</v>
      </c>
      <c r="C1989" s="9"/>
      <c r="D1989" t="str">
        <f>"irld-6"</f>
        <v>irld-6</v>
      </c>
      <c r="E1989" t="s">
        <v>1627</v>
      </c>
      <c r="F1989" t="s">
        <v>11</v>
      </c>
      <c r="G1989" t="s">
        <v>25</v>
      </c>
      <c r="H1989" s="12">
        <v>2.5959780436609101</v>
      </c>
      <c r="I1989" s="20">
        <v>2.0608305668329798</v>
      </c>
      <c r="J1989" s="28">
        <v>3.9319207232778298E-2</v>
      </c>
      <c r="K1989" s="29">
        <v>0.45744772973949199</v>
      </c>
    </row>
    <row r="1990" spans="1:11" x14ac:dyDescent="0.35">
      <c r="A1990" s="9" t="str">
        <f>HYPERLINK("http://www.ensembl.org/id/WBGene00011082", "WBGene00011082")</f>
        <v>WBGene00011082</v>
      </c>
      <c r="B1990" s="9" t="str">
        <f>HYPERLINK("http://www.ncbi.nlm.nih.gov/gene/3565952", "3565952")</f>
        <v>3565952</v>
      </c>
      <c r="C1990" s="9"/>
      <c r="D1990" t="str">
        <f>"R07B1.11"</f>
        <v>R07B1.11</v>
      </c>
      <c r="F1990" t="s">
        <v>11</v>
      </c>
      <c r="G1990" t="s">
        <v>25</v>
      </c>
      <c r="H1990" s="12">
        <v>2.4065806147899198</v>
      </c>
      <c r="I1990" s="20">
        <v>2.0600176480044499</v>
      </c>
      <c r="J1990" s="28">
        <v>3.9396853715200797E-2</v>
      </c>
      <c r="K1990" s="29">
        <v>0.45789924645041702</v>
      </c>
    </row>
    <row r="1991" spans="1:11" x14ac:dyDescent="0.35">
      <c r="A1991" s="9" t="str">
        <f>HYPERLINK("http://www.ensembl.org/id/WBGene00000142", "WBGene00000142")</f>
        <v>WBGene00000142</v>
      </c>
      <c r="B1991" s="9" t="str">
        <f>HYPERLINK("http://www.ncbi.nlm.nih.gov/gene/179409", "179409")</f>
        <v>179409</v>
      </c>
      <c r="C1991" s="9" t="str">
        <f>HYPERLINK("http://www.ncbi.nlm.nih.gov/gene/10055", "10055")</f>
        <v>10055</v>
      </c>
      <c r="D1991" t="str">
        <f>"aos-1"</f>
        <v>aos-1</v>
      </c>
      <c r="E1991" t="s">
        <v>1630</v>
      </c>
      <c r="F1991" t="s">
        <v>11</v>
      </c>
      <c r="G1991" t="s">
        <v>1631</v>
      </c>
      <c r="H1991" s="12">
        <v>-1.4971758767138099</v>
      </c>
      <c r="I1991" s="20">
        <v>-2.0593486651780402</v>
      </c>
      <c r="J1991" s="28">
        <v>3.946084966163E-2</v>
      </c>
      <c r="K1991" s="29">
        <v>0.45803278669276698</v>
      </c>
    </row>
    <row r="1992" spans="1:11" x14ac:dyDescent="0.35">
      <c r="A1992" s="9" t="str">
        <f>HYPERLINK("http://www.ensembl.org/id/WBGene00011527", "WBGene00011527")</f>
        <v>WBGene00011527</v>
      </c>
      <c r="B1992" s="9" t="str">
        <f>HYPERLINK("http://www.ncbi.nlm.nih.gov/gene/174713", "174713")</f>
        <v>174713</v>
      </c>
      <c r="C1992" s="9"/>
      <c r="D1992" t="str">
        <f>"cchl-1"</f>
        <v>cchl-1</v>
      </c>
      <c r="E1992" t="s">
        <v>1628</v>
      </c>
      <c r="F1992" t="s">
        <v>11</v>
      </c>
      <c r="G1992" t="s">
        <v>1629</v>
      </c>
      <c r="H1992" s="12">
        <v>-1.48621464416573</v>
      </c>
      <c r="I1992" s="20">
        <v>-2.0592794418218201</v>
      </c>
      <c r="J1992" s="28">
        <v>3.9467476711814102E-2</v>
      </c>
      <c r="K1992" s="29">
        <v>0.45803278669276698</v>
      </c>
    </row>
    <row r="1993" spans="1:11" x14ac:dyDescent="0.35">
      <c r="A1993" s="9" t="str">
        <f>HYPERLINK("http://www.ensembl.org/id/WBGene00008421", "WBGene00008421")</f>
        <v>WBGene00008421</v>
      </c>
      <c r="B1993" s="9" t="str">
        <f>HYPERLINK("http://www.ncbi.nlm.nih.gov/gene/3565410", "3565410")</f>
        <v>3565410</v>
      </c>
      <c r="C1993" s="9"/>
      <c r="D1993" t="str">
        <f>"D2030.12"</f>
        <v>D2030.12</v>
      </c>
      <c r="F1993" t="s">
        <v>11</v>
      </c>
      <c r="G1993" t="s">
        <v>25</v>
      </c>
      <c r="H1993" s="12">
        <v>1.7396525872806501</v>
      </c>
      <c r="I1993" s="20">
        <v>2.05927593337187</v>
      </c>
      <c r="J1993" s="28">
        <v>3.94678126160002E-2</v>
      </c>
      <c r="K1993" s="29">
        <v>0.45803278669276698</v>
      </c>
    </row>
    <row r="1994" spans="1:11" x14ac:dyDescent="0.35">
      <c r="A1994" s="9" t="str">
        <f>HYPERLINK("http://www.ensembl.org/id/WBGene00012919", "WBGene00012919")</f>
        <v>WBGene00012919</v>
      </c>
      <c r="B1994" s="9" t="str">
        <f>HYPERLINK("http://www.ncbi.nlm.nih.gov/gene/3565689", "3565689")</f>
        <v>3565689</v>
      </c>
      <c r="C1994" s="9"/>
      <c r="D1994" t="str">
        <f>"Y46G5A.34"</f>
        <v>Y46G5A.34</v>
      </c>
      <c r="F1994" t="s">
        <v>11</v>
      </c>
      <c r="H1994" s="12">
        <v>-3.73547263484364</v>
      </c>
      <c r="I1994" s="20">
        <v>-2.0587681624915302</v>
      </c>
      <c r="J1994" s="28">
        <v>3.9516452950180497E-2</v>
      </c>
      <c r="K1994" s="29">
        <v>0.45836704912995602</v>
      </c>
    </row>
    <row r="1995" spans="1:11" x14ac:dyDescent="0.35">
      <c r="A1995" s="9" t="str">
        <f>HYPERLINK("http://www.ensembl.org/id/WBGene00003573", "WBGene00003573")</f>
        <v>WBGene00003573</v>
      </c>
      <c r="B1995" s="9" t="str">
        <f>HYPERLINK("http://www.ncbi.nlm.nih.gov/gene/182575", "182575")</f>
        <v>182575</v>
      </c>
      <c r="C1995" s="9" t="str">
        <f>HYPERLINK("http://www.ncbi.nlm.nih.gov/gene/80024", "80024")</f>
        <v>80024</v>
      </c>
      <c r="D1995" t="str">
        <f>"ncx-8"</f>
        <v>ncx-8</v>
      </c>
      <c r="E1995" t="s">
        <v>542</v>
      </c>
      <c r="F1995" t="s">
        <v>11</v>
      </c>
      <c r="G1995" t="s">
        <v>1632</v>
      </c>
      <c r="H1995" s="12">
        <v>3.3027884884885501</v>
      </c>
      <c r="I1995" s="20">
        <v>2.0583154490344202</v>
      </c>
      <c r="J1995" s="28">
        <v>3.9559862127264298E-2</v>
      </c>
      <c r="K1995" s="29">
        <v>0.45864032830535301</v>
      </c>
    </row>
    <row r="1996" spans="1:11" x14ac:dyDescent="0.35">
      <c r="A1996" s="9" t="str">
        <f>HYPERLINK("http://www.ensembl.org/id/WBGene00010456", "WBGene00010456")</f>
        <v>WBGene00010456</v>
      </c>
      <c r="B1996" s="9" t="str">
        <f>HYPERLINK("http://www.ncbi.nlm.nih.gov/gene/174326", "174326")</f>
        <v>174326</v>
      </c>
      <c r="C1996" s="9"/>
      <c r="D1996" t="str">
        <f>"K01C8.1"</f>
        <v>K01C8.1</v>
      </c>
      <c r="F1996" t="s">
        <v>11</v>
      </c>
      <c r="G1996" t="s">
        <v>1633</v>
      </c>
      <c r="H1996" s="12">
        <v>1.48668017497419</v>
      </c>
      <c r="I1996" s="20">
        <v>2.057912909034</v>
      </c>
      <c r="J1996" s="28">
        <v>3.9598494328364299E-2</v>
      </c>
      <c r="K1996" s="29">
        <v>0.45885797891232999</v>
      </c>
    </row>
    <row r="1997" spans="1:11" x14ac:dyDescent="0.35">
      <c r="A1997" s="9" t="str">
        <f>HYPERLINK("http://www.ensembl.org/id/WBGene00011275", "WBGene00011275")</f>
        <v>WBGene00011275</v>
      </c>
      <c r="B1997" s="9" t="str">
        <f>HYPERLINK("http://www.ncbi.nlm.nih.gov/gene/187885", "187885")</f>
        <v>187885</v>
      </c>
      <c r="C1997" s="9" t="str">
        <f>HYPERLINK("http://www.ncbi.nlm.nih.gov/gene/9837", "9837")</f>
        <v>9837</v>
      </c>
      <c r="D1997" t="str">
        <f>"psf-1"</f>
        <v>psf-1</v>
      </c>
      <c r="E1997" t="s">
        <v>1634</v>
      </c>
      <c r="F1997" t="s">
        <v>11</v>
      </c>
      <c r="G1997" t="s">
        <v>1635</v>
      </c>
      <c r="H1997" s="12">
        <v>-1.5972434735402199</v>
      </c>
      <c r="I1997" s="20">
        <v>-2.0576974725435599</v>
      </c>
      <c r="J1997" s="28">
        <v>3.9619183153585702E-2</v>
      </c>
      <c r="K1997" s="29">
        <v>0.45886759195325899</v>
      </c>
    </row>
    <row r="1998" spans="1:11" x14ac:dyDescent="0.35">
      <c r="A1998" s="9" t="str">
        <f>HYPERLINK("http://www.ensembl.org/id/WBGene00017641", "WBGene00017641")</f>
        <v>WBGene00017641</v>
      </c>
      <c r="B1998" s="9" t="str">
        <f>HYPERLINK("http://www.ncbi.nlm.nih.gov/gene/177591", "177591")</f>
        <v>177591</v>
      </c>
      <c r="C1998" s="9"/>
      <c r="D1998" t="str">
        <f>"csr-1"</f>
        <v>csr-1</v>
      </c>
      <c r="E1998" t="s">
        <v>1636</v>
      </c>
      <c r="F1998" t="s">
        <v>11</v>
      </c>
      <c r="G1998" t="s">
        <v>1637</v>
      </c>
      <c r="H1998" s="12">
        <v>-1.4545995447434099</v>
      </c>
      <c r="I1998" s="20">
        <v>-2.0572691624497401</v>
      </c>
      <c r="J1998" s="28">
        <v>3.9660341935750798E-2</v>
      </c>
      <c r="K1998" s="29">
        <v>0.45911415870113198</v>
      </c>
    </row>
    <row r="1999" spans="1:11" x14ac:dyDescent="0.35">
      <c r="A1999" s="9" t="str">
        <f>HYPERLINK("http://www.ensembl.org/id/WBGene00004380", "WBGene00004380")</f>
        <v>WBGene00004380</v>
      </c>
      <c r="B1999" s="9" t="str">
        <f>HYPERLINK("http://www.ncbi.nlm.nih.gov/gene/172277", "172277")</f>
        <v>172277</v>
      </c>
      <c r="C1999" s="9"/>
      <c r="D1999" t="str">
        <f>"rnf-1"</f>
        <v>rnf-1</v>
      </c>
      <c r="E1999" t="s">
        <v>1638</v>
      </c>
      <c r="F1999" t="s">
        <v>11</v>
      </c>
      <c r="G1999" t="s">
        <v>463</v>
      </c>
      <c r="H1999" s="12">
        <v>-1.65252672520967</v>
      </c>
      <c r="I1999" s="20">
        <v>-2.0568847195880302</v>
      </c>
      <c r="J1999" s="28">
        <v>3.9697316161569199E-2</v>
      </c>
      <c r="K1999" s="29">
        <v>0.45931206170716898</v>
      </c>
    </row>
    <row r="2000" spans="1:11" x14ac:dyDescent="0.35">
      <c r="A2000" s="9" t="str">
        <f>HYPERLINK("http://www.ensembl.org/id/WBGene00008249", "WBGene00008249")</f>
        <v>WBGene00008249</v>
      </c>
      <c r="B2000" s="9" t="str">
        <f>HYPERLINK("http://www.ncbi.nlm.nih.gov/gene/183705", "183705")</f>
        <v>183705</v>
      </c>
      <c r="C2000" s="9"/>
      <c r="D2000" t="str">
        <f>"srsx-28"</f>
        <v>srsx-28</v>
      </c>
      <c r="E2000" t="s">
        <v>1639</v>
      </c>
      <c r="F2000" t="s">
        <v>11</v>
      </c>
      <c r="G2000" t="s">
        <v>1089</v>
      </c>
      <c r="H2000" s="12">
        <v>43.954636704267301</v>
      </c>
      <c r="I2000" s="20">
        <v>2.0558985917019701</v>
      </c>
      <c r="J2000" s="28">
        <v>3.9792291902992501E-2</v>
      </c>
      <c r="K2000" s="29">
        <v>0.460180528884156</v>
      </c>
    </row>
    <row r="2001" spans="1:11" x14ac:dyDescent="0.35">
      <c r="A2001" s="9" t="str">
        <f>HYPERLINK("http://www.ensembl.org/id/WBGene00015327", "WBGene00015327")</f>
        <v>WBGene00015327</v>
      </c>
      <c r="B2001" s="9" t="str">
        <f>HYPERLINK("http://www.ncbi.nlm.nih.gov/gene/177282", "177282")</f>
        <v>177282</v>
      </c>
      <c r="C2001" s="9"/>
      <c r="D2001" t="str">
        <f>"snpn-1"</f>
        <v>snpn-1</v>
      </c>
      <c r="E2001" t="s">
        <v>1640</v>
      </c>
      <c r="F2001" t="s">
        <v>11</v>
      </c>
      <c r="G2001" t="s">
        <v>1641</v>
      </c>
      <c r="H2001" s="12">
        <v>-1.56842338104398</v>
      </c>
      <c r="I2001" s="20">
        <v>-2.0556702017784398</v>
      </c>
      <c r="J2001" s="28">
        <v>3.98143160241856E-2</v>
      </c>
      <c r="K2001" s="29">
        <v>0.46020489547515397</v>
      </c>
    </row>
    <row r="2002" spans="1:11" x14ac:dyDescent="0.35">
      <c r="A2002" s="9" t="str">
        <f>HYPERLINK("http://www.ensembl.org/id/WBGene00001399", "WBGene00001399")</f>
        <v>WBGene00001399</v>
      </c>
      <c r="B2002" s="9" t="str">
        <f>HYPERLINK("http://www.ncbi.nlm.nih.gov/gene/179100", "179100")</f>
        <v>179100</v>
      </c>
      <c r="C2002" s="9"/>
      <c r="D2002" t="str">
        <f>"fat-7"</f>
        <v>fat-7</v>
      </c>
      <c r="E2002" t="s">
        <v>1642</v>
      </c>
      <c r="F2002" t="s">
        <v>11</v>
      </c>
      <c r="G2002" t="s">
        <v>1643</v>
      </c>
      <c r="H2002" s="12">
        <v>-1.4988821107525701</v>
      </c>
      <c r="I2002" s="20">
        <v>-2.0547976016040201</v>
      </c>
      <c r="J2002" s="28">
        <v>3.98985579741164E-2</v>
      </c>
      <c r="K2002" s="29">
        <v>0.460948040274966</v>
      </c>
    </row>
    <row r="2003" spans="1:11" x14ac:dyDescent="0.35">
      <c r="A2003" s="9" t="str">
        <f>HYPERLINK("http://www.ensembl.org/id/WBGene00012289", "WBGene00012289")</f>
        <v>WBGene00012289</v>
      </c>
      <c r="B2003" s="9" t="str">
        <f>HYPERLINK("http://www.ncbi.nlm.nih.gov/gene/173210", "173210")</f>
        <v>173210</v>
      </c>
      <c r="C2003" s="9"/>
      <c r="D2003" t="str">
        <f>"W05H12.1"</f>
        <v>W05H12.1</v>
      </c>
      <c r="F2003" t="s">
        <v>11</v>
      </c>
      <c r="G2003" t="s">
        <v>25</v>
      </c>
      <c r="H2003" s="12">
        <v>1.52490135305723</v>
      </c>
      <c r="I2003" s="20">
        <v>2.0542853421667502</v>
      </c>
      <c r="J2003" s="28">
        <v>3.9948082576444499E-2</v>
      </c>
      <c r="K2003" s="29">
        <v>0.46128955322904802</v>
      </c>
    </row>
    <row r="2004" spans="1:11" x14ac:dyDescent="0.35">
      <c r="A2004" s="9" t="str">
        <f>HYPERLINK("http://www.ensembl.org/id/WBGene00016596", "WBGene00016596")</f>
        <v>WBGene00016596</v>
      </c>
      <c r="B2004" s="9" t="str">
        <f>HYPERLINK("http://www.ncbi.nlm.nih.gov/gene/177492", "177492")</f>
        <v>177492</v>
      </c>
      <c r="C2004" s="9"/>
      <c r="D2004" t="str">
        <f>"C42D4.3"</f>
        <v>C42D4.3</v>
      </c>
      <c r="F2004" t="s">
        <v>11</v>
      </c>
      <c r="H2004" s="12">
        <v>-2.3675154356079999</v>
      </c>
      <c r="I2004" s="20">
        <v>-2.0535731317536601</v>
      </c>
      <c r="J2004" s="28">
        <v>4.0017024843976297E-2</v>
      </c>
      <c r="K2004" s="29">
        <v>0.46139390022201399</v>
      </c>
    </row>
    <row r="2005" spans="1:11" x14ac:dyDescent="0.35">
      <c r="A2005" s="9" t="str">
        <f>HYPERLINK("http://www.ensembl.org/id/WBGene00018605", "WBGene00018605")</f>
        <v>WBGene00018605</v>
      </c>
      <c r="B2005" s="9" t="str">
        <f>HYPERLINK("http://www.ncbi.nlm.nih.gov/gene/181006", "181006")</f>
        <v>181006</v>
      </c>
      <c r="C2005" s="9"/>
      <c r="D2005" t="str">
        <f>"F48E3.4"</f>
        <v>F48E3.4</v>
      </c>
      <c r="F2005" t="s">
        <v>11</v>
      </c>
      <c r="G2005" t="s">
        <v>1646</v>
      </c>
      <c r="H2005" s="12">
        <v>-1.6945979794611301</v>
      </c>
      <c r="I2005" s="20">
        <v>-2.0537110055625698</v>
      </c>
      <c r="J2005" s="28">
        <v>4.0003670728462899E-2</v>
      </c>
      <c r="K2005" s="29">
        <v>0.46139390022201399</v>
      </c>
    </row>
    <row r="2006" spans="1:11" x14ac:dyDescent="0.35">
      <c r="A2006" s="9" t="str">
        <f>HYPERLINK("http://www.ensembl.org/id/WBGene00008780", "WBGene00008780")</f>
        <v>WBGene00008780</v>
      </c>
      <c r="B2006" s="9" t="str">
        <f>HYPERLINK("http://www.ncbi.nlm.nih.gov/gene/172751", "172751")</f>
        <v>172751</v>
      </c>
      <c r="C2006" s="9" t="str">
        <f>HYPERLINK("http://www.ncbi.nlm.nih.gov/gene/3099", "3099")</f>
        <v>3099</v>
      </c>
      <c r="D2006" t="str">
        <f>"hxk-1"</f>
        <v>hxk-1</v>
      </c>
      <c r="E2006" t="s">
        <v>1644</v>
      </c>
      <c r="F2006" t="s">
        <v>11</v>
      </c>
      <c r="G2006" t="s">
        <v>1645</v>
      </c>
      <c r="H2006" s="12">
        <v>-1.48960187201932</v>
      </c>
      <c r="I2006" s="20">
        <v>-2.05360007838327</v>
      </c>
      <c r="J2006" s="28">
        <v>4.0014414562909099E-2</v>
      </c>
      <c r="K2006" s="29">
        <v>0.46139390022201399</v>
      </c>
    </row>
    <row r="2007" spans="1:11" x14ac:dyDescent="0.35">
      <c r="A2007" s="9" t="str">
        <f>HYPERLINK("http://www.ensembl.org/id/WBGene00018118", "WBGene00018118")</f>
        <v>WBGene00018118</v>
      </c>
      <c r="B2007" s="9" t="str">
        <f>HYPERLINK("http://www.ncbi.nlm.nih.gov/gene/185394", "185394")</f>
        <v>185394</v>
      </c>
      <c r="C2007" s="9"/>
      <c r="D2007" t="str">
        <f>"F36H12.2"</f>
        <v>F36H12.2</v>
      </c>
      <c r="F2007" t="s">
        <v>11</v>
      </c>
      <c r="H2007" s="12">
        <v>-2.6589452844924</v>
      </c>
      <c r="I2007" s="20">
        <v>-2.05312642527675</v>
      </c>
      <c r="J2007" s="28">
        <v>4.0060317704841898E-2</v>
      </c>
      <c r="K2007" s="29">
        <v>0.46166269370976498</v>
      </c>
    </row>
    <row r="2008" spans="1:11" x14ac:dyDescent="0.35">
      <c r="A2008" s="9" t="str">
        <f>HYPERLINK("http://www.ensembl.org/id/WBGene00015160", "WBGene00015160")</f>
        <v>WBGene00015160</v>
      </c>
      <c r="B2008" s="9" t="str">
        <f>HYPERLINK("http://www.ncbi.nlm.nih.gov/gene/176028", "176028")</f>
        <v>176028</v>
      </c>
      <c r="C2008" s="9" t="str">
        <f>HYPERLINK("http://www.ncbi.nlm.nih.gov/gene/51490", "51490")</f>
        <v>51490</v>
      </c>
      <c r="D2008" t="str">
        <f>"B0361.6"</f>
        <v>B0361.6</v>
      </c>
      <c r="E2008" t="s">
        <v>1647</v>
      </c>
      <c r="F2008" t="s">
        <v>11</v>
      </c>
      <c r="G2008" t="s">
        <v>1648</v>
      </c>
      <c r="H2008" s="12">
        <v>-1.5742840353788901</v>
      </c>
      <c r="I2008" s="20">
        <v>-2.0521252041067299</v>
      </c>
      <c r="J2008" s="28">
        <v>4.0157496071163201E-2</v>
      </c>
      <c r="K2008" s="29">
        <v>0.46242776969376997</v>
      </c>
    </row>
    <row r="2009" spans="1:11" x14ac:dyDescent="0.35">
      <c r="A2009" s="9" t="str">
        <f>HYPERLINK("http://www.ensembl.org/id/WBGene00001778", "WBGene00001778")</f>
        <v>WBGene00001778</v>
      </c>
      <c r="B2009" s="9" t="str">
        <f>HYPERLINK("http://www.ncbi.nlm.nih.gov/gene/191347", "191347")</f>
        <v>191347</v>
      </c>
      <c r="C2009" s="9" t="str">
        <f>HYPERLINK("http://www.ncbi.nlm.nih.gov/gene/27306", "27306")</f>
        <v>27306</v>
      </c>
      <c r="D2009" t="str">
        <f>"gst-30"</f>
        <v>gst-30</v>
      </c>
      <c r="E2009" t="s">
        <v>272</v>
      </c>
      <c r="F2009" t="s">
        <v>11</v>
      </c>
      <c r="G2009" t="s">
        <v>876</v>
      </c>
      <c r="H2009" s="12">
        <v>2.0810613120286501</v>
      </c>
      <c r="I2009" s="20">
        <v>2.0520301432539299</v>
      </c>
      <c r="J2009" s="28">
        <v>4.0166733046628399E-2</v>
      </c>
      <c r="K2009" s="29">
        <v>0.46242776969376997</v>
      </c>
    </row>
    <row r="2010" spans="1:11" x14ac:dyDescent="0.35">
      <c r="A2010" s="9" t="str">
        <f>HYPERLINK("http://www.ensembl.org/id/WBGene00022880", "WBGene00022880")</f>
        <v>WBGene00022880</v>
      </c>
      <c r="B2010" s="9" t="str">
        <f>HYPERLINK("http://www.ncbi.nlm.nih.gov/gene/173986", "173986")</f>
        <v>173986</v>
      </c>
      <c r="C2010" s="9" t="str">
        <f>HYPERLINK("http://www.ncbi.nlm.nih.gov/gene/23102", "23102")</f>
        <v>23102</v>
      </c>
      <c r="D2010" t="str">
        <f>"tbc-2"</f>
        <v>tbc-2</v>
      </c>
      <c r="E2010" t="s">
        <v>1649</v>
      </c>
      <c r="F2010" t="s">
        <v>11</v>
      </c>
      <c r="G2010" t="s">
        <v>1650</v>
      </c>
      <c r="H2010" s="12">
        <v>-1.47883286579869</v>
      </c>
      <c r="I2010" s="20">
        <v>-2.0515899924976502</v>
      </c>
      <c r="J2010" s="28">
        <v>4.0209525582509897E-2</v>
      </c>
      <c r="K2010" s="29">
        <v>0.46245958094050499</v>
      </c>
    </row>
    <row r="2011" spans="1:11" x14ac:dyDescent="0.35">
      <c r="A2011" s="9" t="str">
        <f>HYPERLINK("http://www.ensembl.org/id/WBGene00006662", "WBGene00006662")</f>
        <v>WBGene00006662</v>
      </c>
      <c r="B2011" s="9" t="str">
        <f>HYPERLINK("http://www.ncbi.nlm.nih.gov/gene/192073", "192073")</f>
        <v>192073</v>
      </c>
      <c r="C2011" s="9"/>
      <c r="D2011" t="str">
        <f>"twk-7"</f>
        <v>twk-7</v>
      </c>
      <c r="E2011" t="s">
        <v>1651</v>
      </c>
      <c r="F2011" t="s">
        <v>11</v>
      </c>
      <c r="G2011" t="s">
        <v>1652</v>
      </c>
      <c r="H2011" s="12">
        <v>-1.56006003350038</v>
      </c>
      <c r="I2011" s="20">
        <v>-2.0515901587813201</v>
      </c>
      <c r="J2011" s="28">
        <v>4.0209509408705699E-2</v>
      </c>
      <c r="K2011" s="29">
        <v>0.46245958094050499</v>
      </c>
    </row>
    <row r="2012" spans="1:11" x14ac:dyDescent="0.35">
      <c r="A2012" s="9" t="str">
        <f>HYPERLINK("http://www.ensembl.org/id/WBGene00007957", "WBGene00007957")</f>
        <v>WBGene00007957</v>
      </c>
      <c r="B2012" s="9" t="str">
        <f>HYPERLINK("http://www.ncbi.nlm.nih.gov/gene/181342", "181342")</f>
        <v>181342</v>
      </c>
      <c r="C2012" s="9"/>
      <c r="D2012" t="str">
        <f>"C35C5.8"</f>
        <v>C35C5.8</v>
      </c>
      <c r="F2012" t="s">
        <v>11</v>
      </c>
      <c r="H2012" s="12">
        <v>-1.66078925048663</v>
      </c>
      <c r="I2012" s="20">
        <v>-2.0510147769818601</v>
      </c>
      <c r="J2012" s="28">
        <v>4.0265507723859201E-2</v>
      </c>
      <c r="K2012" s="29">
        <v>0.462642874921676</v>
      </c>
    </row>
    <row r="2013" spans="1:11" x14ac:dyDescent="0.35">
      <c r="A2013" s="9" t="str">
        <f>HYPERLINK("http://www.ensembl.org/id/WBGene00009280", "WBGene00009280")</f>
        <v>WBGene00009280</v>
      </c>
      <c r="B2013" s="9" t="str">
        <f>HYPERLINK("http://www.ncbi.nlm.nih.gov/gene/185143", "185143")</f>
        <v>185143</v>
      </c>
      <c r="C2013" s="9"/>
      <c r="D2013" t="str">
        <f>"F31B9.3"</f>
        <v>F31B9.3</v>
      </c>
      <c r="F2013" t="s">
        <v>11</v>
      </c>
      <c r="H2013" s="12">
        <v>-1.6597447252152799</v>
      </c>
      <c r="I2013" s="20">
        <v>-2.05119072681248</v>
      </c>
      <c r="J2013" s="28">
        <v>4.0248376610530198E-2</v>
      </c>
      <c r="K2013" s="29">
        <v>0.462642874921676</v>
      </c>
    </row>
    <row r="2014" spans="1:11" x14ac:dyDescent="0.35">
      <c r="A2014" s="9" t="str">
        <f>HYPERLINK("http://www.ensembl.org/id/WBGene00008336", "WBGene00008336")</f>
        <v>WBGene00008336</v>
      </c>
      <c r="B2014" s="9" t="str">
        <f>HYPERLINK("http://www.ncbi.nlm.nih.gov/gene/183836", "183836")</f>
        <v>183836</v>
      </c>
      <c r="C2014" s="9"/>
      <c r="D2014" t="str">
        <f>"C55A6.7"</f>
        <v>C55A6.7</v>
      </c>
      <c r="F2014" t="s">
        <v>11</v>
      </c>
      <c r="G2014" t="s">
        <v>1653</v>
      </c>
      <c r="H2014" s="12">
        <v>-1.74632528338002</v>
      </c>
      <c r="I2014" s="20">
        <v>-2.0507624053796598</v>
      </c>
      <c r="J2014" s="28">
        <v>4.0290090333367598E-2</v>
      </c>
      <c r="K2014" s="29">
        <v>0.46269524216838498</v>
      </c>
    </row>
    <row r="2015" spans="1:11" x14ac:dyDescent="0.35">
      <c r="A2015" s="9" t="str">
        <f>HYPERLINK("http://www.ensembl.org/id/WBGene00011137", "WBGene00011137")</f>
        <v>WBGene00011137</v>
      </c>
      <c r="B2015" s="9" t="str">
        <f>HYPERLINK("http://www.ncbi.nlm.nih.gov/gene/3565485", "3565485")</f>
        <v>3565485</v>
      </c>
      <c r="C2015" s="9"/>
      <c r="D2015" t="str">
        <f>"R08A2.7"</f>
        <v>R08A2.7</v>
      </c>
      <c r="F2015" t="s">
        <v>11</v>
      </c>
      <c r="H2015" s="12">
        <v>4.1133230934683596</v>
      </c>
      <c r="I2015" s="20">
        <v>2.04950470361416</v>
      </c>
      <c r="J2015" s="28">
        <v>4.0412788376307802E-2</v>
      </c>
      <c r="K2015" s="29">
        <v>0.46387376464131502</v>
      </c>
    </row>
    <row r="2016" spans="1:11" x14ac:dyDescent="0.35">
      <c r="A2016" s="9" t="str">
        <f>HYPERLINK("http://www.ensembl.org/id/WBGene00006873", "WBGene00006873")</f>
        <v>WBGene00006873</v>
      </c>
      <c r="B2016" s="9" t="str">
        <f>HYPERLINK("http://www.ncbi.nlm.nih.gov/gene/176521", "176521")</f>
        <v>176521</v>
      </c>
      <c r="C2016" s="9"/>
      <c r="D2016" t="str">
        <f>"vab-7"</f>
        <v>vab-7</v>
      </c>
      <c r="E2016" t="s">
        <v>1654</v>
      </c>
      <c r="F2016" t="s">
        <v>11</v>
      </c>
      <c r="G2016" t="s">
        <v>1655</v>
      </c>
      <c r="H2016" s="12">
        <v>1.98740808173051</v>
      </c>
      <c r="I2016" s="20">
        <v>2.0485370647714398</v>
      </c>
      <c r="J2016" s="28">
        <v>4.0507404168773797E-2</v>
      </c>
      <c r="K2016" s="29">
        <v>0.46472893779726299</v>
      </c>
    </row>
    <row r="2017" spans="1:11" x14ac:dyDescent="0.35">
      <c r="A2017" s="9" t="str">
        <f>HYPERLINK("http://www.ensembl.org/id/WBGene00016634", "WBGene00016634")</f>
        <v>WBGene00016634</v>
      </c>
      <c r="B2017" s="9" t="str">
        <f>HYPERLINK("http://www.ncbi.nlm.nih.gov/gene/259494", "259494")</f>
        <v>259494</v>
      </c>
      <c r="C2017" s="9"/>
      <c r="D2017" t="str">
        <f>"C44B11.4"</f>
        <v>C44B11.4</v>
      </c>
      <c r="F2017" t="s">
        <v>11</v>
      </c>
      <c r="H2017" s="12">
        <v>1.6383136009060899</v>
      </c>
      <c r="I2017" s="20">
        <v>2.0477413867358201</v>
      </c>
      <c r="J2017" s="28">
        <v>4.05853462664671E-2</v>
      </c>
      <c r="K2017" s="29">
        <v>0.46516121569096702</v>
      </c>
    </row>
    <row r="2018" spans="1:11" x14ac:dyDescent="0.35">
      <c r="A2018" s="9" t="str">
        <f>HYPERLINK("http://www.ensembl.org/id/WBGene00194747", "WBGene00194747")</f>
        <v>WBGene00194747</v>
      </c>
      <c r="B2018" s="9" t="str">
        <f>HYPERLINK("http://www.ncbi.nlm.nih.gov/gene/13188831", "13188831")</f>
        <v>13188831</v>
      </c>
      <c r="C2018" s="9"/>
      <c r="D2018" t="str">
        <f>"H05C05.4"</f>
        <v>H05C05.4</v>
      </c>
      <c r="F2018" t="s">
        <v>11</v>
      </c>
      <c r="G2018" t="s">
        <v>25</v>
      </c>
      <c r="H2018" s="12">
        <v>2.5030944385875098</v>
      </c>
      <c r="I2018" s="20">
        <v>2.0479031487386399</v>
      </c>
      <c r="J2018" s="28">
        <v>4.0569490285656103E-2</v>
      </c>
      <c r="K2018" s="29">
        <v>0.46516121569096702</v>
      </c>
    </row>
    <row r="2019" spans="1:11" x14ac:dyDescent="0.35">
      <c r="A2019" s="9" t="str">
        <f>HYPERLINK("http://www.ensembl.org/id/WBGene00013548", "WBGene00013548")</f>
        <v>WBGene00013548</v>
      </c>
      <c r="B2019" s="9" t="str">
        <f>HYPERLINK("http://www.ncbi.nlm.nih.gov/gene/190703", "190703")</f>
        <v>190703</v>
      </c>
      <c r="C2019" s="9"/>
      <c r="D2019" t="str">
        <f>"lury-1"</f>
        <v>lury-1</v>
      </c>
      <c r="E2019" t="s">
        <v>1656</v>
      </c>
      <c r="F2019" t="s">
        <v>11</v>
      </c>
      <c r="H2019" s="12">
        <v>2.0263878895266898</v>
      </c>
      <c r="I2019" s="20">
        <v>2.0474387616000098</v>
      </c>
      <c r="J2019" s="28">
        <v>4.0615023819432397E-2</v>
      </c>
      <c r="K2019" s="29">
        <v>0.46527057033802899</v>
      </c>
    </row>
    <row r="2020" spans="1:11" x14ac:dyDescent="0.35">
      <c r="A2020" s="9" t="str">
        <f>HYPERLINK("http://www.ensembl.org/id/WBGene00010540", "WBGene00010540")</f>
        <v>WBGene00010540</v>
      </c>
      <c r="B2020" s="9" t="str">
        <f>HYPERLINK("http://www.ncbi.nlm.nih.gov/gene/176404", "176404")</f>
        <v>176404</v>
      </c>
      <c r="C2020" s="9" t="str">
        <f>HYPERLINK("http://www.ncbi.nlm.nih.gov/gene/56241", "56241")</f>
        <v>56241</v>
      </c>
      <c r="D2020" t="str">
        <f>"K03H1.5"</f>
        <v>K03H1.5</v>
      </c>
      <c r="F2020" t="s">
        <v>11</v>
      </c>
      <c r="G2020" t="s">
        <v>1657</v>
      </c>
      <c r="H2020" s="12">
        <v>-1.5310266708959099</v>
      </c>
      <c r="I2020" s="20">
        <v>-2.0468389602164199</v>
      </c>
      <c r="J2020" s="28">
        <v>4.0673898934709601E-2</v>
      </c>
      <c r="K2020" s="29">
        <v>0.46571412724747202</v>
      </c>
    </row>
    <row r="2021" spans="1:11" x14ac:dyDescent="0.35">
      <c r="A2021" s="9" t="str">
        <f>HYPERLINK("http://www.ensembl.org/id/WBGene00018015", "WBGene00018015")</f>
        <v>WBGene00018015</v>
      </c>
      <c r="B2021" s="9" t="str">
        <f>HYPERLINK("http://www.ncbi.nlm.nih.gov/gene/173868", "173868")</f>
        <v>173868</v>
      </c>
      <c r="C2021" s="9" t="str">
        <f>HYPERLINK("http://www.ncbi.nlm.nih.gov/gene/79020", "79020")</f>
        <v>79020</v>
      </c>
      <c r="D2021" t="str">
        <f>"F33G12.3"</f>
        <v>F33G12.3</v>
      </c>
      <c r="F2021" t="s">
        <v>11</v>
      </c>
      <c r="H2021" s="12">
        <v>-1.59773136553926</v>
      </c>
      <c r="I2021" s="20">
        <v>-2.0462327844427199</v>
      </c>
      <c r="J2021" s="28">
        <v>4.07334732278226E-2</v>
      </c>
      <c r="K2021" s="29">
        <v>0.46616524636060802</v>
      </c>
    </row>
    <row r="2022" spans="1:11" x14ac:dyDescent="0.35">
      <c r="A2022" s="9" t="str">
        <f>HYPERLINK("http://www.ensembl.org/id/WBGene00018455", "WBGene00018455")</f>
        <v>WBGene00018455</v>
      </c>
      <c r="B2022" s="9" t="str">
        <f>HYPERLINK("http://www.ncbi.nlm.nih.gov/gene/185785", "185785")</f>
        <v>185785</v>
      </c>
      <c r="C2022" s="9"/>
      <c r="D2022" t="str">
        <f>"fbxc-42"</f>
        <v>fbxc-42</v>
      </c>
      <c r="E2022" t="s">
        <v>311</v>
      </c>
      <c r="F2022" t="s">
        <v>11</v>
      </c>
      <c r="H2022" s="12">
        <v>-2.7850658274357301</v>
      </c>
      <c r="I2022" s="20">
        <v>-2.0460091236602</v>
      </c>
      <c r="J2022" s="28">
        <v>4.0755473035579803E-2</v>
      </c>
      <c r="K2022" s="29">
        <v>0.46618611879213301</v>
      </c>
    </row>
    <row r="2023" spans="1:11" x14ac:dyDescent="0.35">
      <c r="A2023" s="9" t="str">
        <f>HYPERLINK("http://www.ensembl.org/id/WBGene00000388", "WBGene00000388")</f>
        <v>WBGene00000388</v>
      </c>
      <c r="B2023" s="9" t="str">
        <f>HYPERLINK("http://www.ncbi.nlm.nih.gov/gene/176260", "176260")</f>
        <v>176260</v>
      </c>
      <c r="C2023" s="9"/>
      <c r="D2023" t="str">
        <f>"cdc-25.3"</f>
        <v>cdc-25.3</v>
      </c>
      <c r="E2023" t="s">
        <v>1660</v>
      </c>
      <c r="F2023" t="s">
        <v>11</v>
      </c>
      <c r="G2023" t="s">
        <v>284</v>
      </c>
      <c r="H2023" s="12">
        <v>-1.6419898130394801</v>
      </c>
      <c r="I2023" s="20">
        <v>-2.0444884862471899</v>
      </c>
      <c r="J2023" s="28">
        <v>4.0905313700184298E-2</v>
      </c>
      <c r="K2023" s="29">
        <v>0.46765949701409698</v>
      </c>
    </row>
    <row r="2024" spans="1:11" x14ac:dyDescent="0.35">
      <c r="A2024" s="9" t="str">
        <f>HYPERLINK("http://www.ensembl.org/id/WBGene00021446", "WBGene00021446")</f>
        <v>WBGene00021446</v>
      </c>
      <c r="B2024" s="9" t="str">
        <f>HYPERLINK("http://www.ncbi.nlm.nih.gov/gene/189728", "189728")</f>
        <v>189728</v>
      </c>
      <c r="C2024" s="9"/>
      <c r="D2024" t="str">
        <f>"hlh-33"</f>
        <v>hlh-33</v>
      </c>
      <c r="E2024" t="s">
        <v>1658</v>
      </c>
      <c r="F2024" t="s">
        <v>11</v>
      </c>
      <c r="G2024" t="s">
        <v>1659</v>
      </c>
      <c r="H2024" s="12">
        <v>1.70603253971499</v>
      </c>
      <c r="I2024" s="20">
        <v>2.04429148504917</v>
      </c>
      <c r="J2024" s="28">
        <v>4.0924759930862302E-2</v>
      </c>
      <c r="K2024" s="29">
        <v>0.46765949701409698</v>
      </c>
    </row>
    <row r="2025" spans="1:11" x14ac:dyDescent="0.35">
      <c r="A2025" s="9" t="str">
        <f>HYPERLINK("http://www.ensembl.org/id/WBGene00021894", "WBGene00021894")</f>
        <v>WBGene00021894</v>
      </c>
      <c r="B2025" s="9" t="str">
        <f>HYPERLINK("http://www.ncbi.nlm.nih.gov/gene/177061", "177061")</f>
        <v>177061</v>
      </c>
      <c r="C2025" s="9"/>
      <c r="D2025" t="str">
        <f>"Y54G2A.32"</f>
        <v>Y54G2A.32</v>
      </c>
      <c r="F2025" t="s">
        <v>11</v>
      </c>
      <c r="H2025" s="12">
        <v>1.6340439815033201</v>
      </c>
      <c r="I2025" s="20">
        <v>2.0440795625750798</v>
      </c>
      <c r="J2025" s="28">
        <v>4.0945687804660798E-2</v>
      </c>
      <c r="K2025" s="29">
        <v>0.46766735660627501</v>
      </c>
    </row>
    <row r="2026" spans="1:11" x14ac:dyDescent="0.35">
      <c r="A2026" s="9" t="str">
        <f>HYPERLINK("http://www.ensembl.org/id/WBGene00018424", "WBGene00018424")</f>
        <v>WBGene00018424</v>
      </c>
      <c r="B2026" s="9" t="str">
        <f>HYPERLINK("http://www.ncbi.nlm.nih.gov/gene/178965", "178965")</f>
        <v>178965</v>
      </c>
      <c r="C2026" s="9" t="str">
        <f>HYPERLINK("http://www.ncbi.nlm.nih.gov/gene/283871", "283871")</f>
        <v>283871</v>
      </c>
      <c r="D2026" t="str">
        <f>"pgph-2"</f>
        <v>pgph-2</v>
      </c>
      <c r="E2026" t="s">
        <v>1661</v>
      </c>
      <c r="F2026" t="s">
        <v>11</v>
      </c>
      <c r="G2026" t="s">
        <v>1662</v>
      </c>
      <c r="H2026" s="12">
        <v>-1.6208298287998699</v>
      </c>
      <c r="I2026" s="20">
        <v>-2.0436553973548599</v>
      </c>
      <c r="J2026" s="28">
        <v>4.0987602420088101E-2</v>
      </c>
      <c r="K2026" s="29">
        <v>0.46791479324039298</v>
      </c>
    </row>
    <row r="2027" spans="1:11" x14ac:dyDescent="0.35">
      <c r="A2027" s="9" t="str">
        <f>HYPERLINK("http://www.ensembl.org/id/WBGene00015919", "WBGene00015919")</f>
        <v>WBGene00015919</v>
      </c>
      <c r="B2027" s="9" t="str">
        <f>HYPERLINK("http://www.ncbi.nlm.nih.gov/gene/173949", "173949")</f>
        <v>173949</v>
      </c>
      <c r="C2027" s="9"/>
      <c r="D2027" t="str">
        <f>"C17G10.7"</f>
        <v>C17G10.7</v>
      </c>
      <c r="F2027" t="s">
        <v>11</v>
      </c>
      <c r="G2027" t="s">
        <v>25</v>
      </c>
      <c r="H2027" s="12">
        <v>1.9456392281944701</v>
      </c>
      <c r="I2027" s="20">
        <v>2.04330053611926</v>
      </c>
      <c r="J2027" s="28">
        <v>4.1022696568026699E-2</v>
      </c>
      <c r="K2027" s="29">
        <v>0.46808416143250597</v>
      </c>
    </row>
    <row r="2028" spans="1:11" x14ac:dyDescent="0.35">
      <c r="A2028" s="9" t="str">
        <f>HYPERLINK("http://www.ensembl.org/id/WBGene00009799", "WBGene00009799")</f>
        <v>WBGene00009799</v>
      </c>
      <c r="B2028" s="9" t="str">
        <f>HYPERLINK("http://www.ncbi.nlm.nih.gov/gene/181193", "181193")</f>
        <v>181193</v>
      </c>
      <c r="C2028" s="9"/>
      <c r="D2028" t="str">
        <f>"lgc-47"</f>
        <v>lgc-47</v>
      </c>
      <c r="E2028" t="s">
        <v>505</v>
      </c>
      <c r="F2028" t="s">
        <v>11</v>
      </c>
      <c r="G2028" t="s">
        <v>506</v>
      </c>
      <c r="H2028" s="12">
        <v>1.7120710827247201</v>
      </c>
      <c r="I2028" s="20">
        <v>2.0429959920890699</v>
      </c>
      <c r="J2028" s="28">
        <v>4.1052834872003702E-2</v>
      </c>
      <c r="K2028" s="29">
        <v>0.46819684232602099</v>
      </c>
    </row>
    <row r="2029" spans="1:11" x14ac:dyDescent="0.35">
      <c r="A2029" s="9" t="str">
        <f>HYPERLINK("http://www.ensembl.org/id/WBGene00007100", "WBGene00007100")</f>
        <v>WBGene00007100</v>
      </c>
      <c r="B2029" s="9" t="str">
        <f>HYPERLINK("http://www.ncbi.nlm.nih.gov/gene/179435", "179435")</f>
        <v>179435</v>
      </c>
      <c r="C2029" s="9"/>
      <c r="D2029" t="str">
        <f>"asps-1"</f>
        <v>asps-1</v>
      </c>
      <c r="E2029" t="s">
        <v>1663</v>
      </c>
      <c r="F2029" t="s">
        <v>11</v>
      </c>
      <c r="H2029" s="12">
        <v>-1.51099192057249</v>
      </c>
      <c r="I2029" s="20">
        <v>-2.0421270348137499</v>
      </c>
      <c r="J2029" s="28">
        <v>4.1138931817773297E-2</v>
      </c>
      <c r="K2029" s="29">
        <v>0.46882350206762602</v>
      </c>
    </row>
    <row r="2030" spans="1:11" x14ac:dyDescent="0.35">
      <c r="A2030" s="9" t="str">
        <f>HYPERLINK("http://www.ensembl.org/id/WBGene00019464", "WBGene00019464")</f>
        <v>WBGene00019464</v>
      </c>
      <c r="B2030" s="9" t="str">
        <f>HYPERLINK("http://www.ncbi.nlm.nih.gov/gene/179314", "179314")</f>
        <v>179314</v>
      </c>
      <c r="C2030" s="9" t="str">
        <f>HYPERLINK("http://www.ncbi.nlm.nih.gov/gene/80168", "80168")</f>
        <v>80168</v>
      </c>
      <c r="D2030" t="str">
        <f>"K07B1.4"</f>
        <v>K07B1.4</v>
      </c>
      <c r="F2030" t="s">
        <v>11</v>
      </c>
      <c r="G2030" t="s">
        <v>986</v>
      </c>
      <c r="H2030" s="12">
        <v>-1.68612950098661</v>
      </c>
      <c r="I2030" s="20">
        <v>-2.0420319474423301</v>
      </c>
      <c r="J2030" s="28">
        <v>4.1148362425047401E-2</v>
      </c>
      <c r="K2030" s="29">
        <v>0.46882350206762602</v>
      </c>
    </row>
    <row r="2031" spans="1:11" x14ac:dyDescent="0.35">
      <c r="A2031" s="9" t="str">
        <f>HYPERLINK("http://www.ensembl.org/id/WBGene00010446", "WBGene00010446")</f>
        <v>WBGene00010446</v>
      </c>
      <c r="B2031" s="9" t="str">
        <f>HYPERLINK("http://www.ncbi.nlm.nih.gov/gene/186823", "186823")</f>
        <v>186823</v>
      </c>
      <c r="C2031" s="9"/>
      <c r="D2031" t="str">
        <f>"K01A6.4"</f>
        <v>K01A6.4</v>
      </c>
      <c r="F2031" t="s">
        <v>11</v>
      </c>
      <c r="G2031" t="s">
        <v>54</v>
      </c>
      <c r="H2031" s="12">
        <v>4.5860631513518699</v>
      </c>
      <c r="I2031" s="20">
        <v>2.0413752811902399</v>
      </c>
      <c r="J2031" s="28">
        <v>4.1213539499068398E-2</v>
      </c>
      <c r="K2031" s="29">
        <v>0.46933466913034699</v>
      </c>
    </row>
    <row r="2032" spans="1:11" x14ac:dyDescent="0.35">
      <c r="A2032" s="9" t="str">
        <f>HYPERLINK("http://www.ensembl.org/id/WBGene00008066", "WBGene00008066")</f>
        <v>WBGene00008066</v>
      </c>
      <c r="B2032" s="9" t="str">
        <f>HYPERLINK("http://www.ncbi.nlm.nih.gov/gene/180268", "180268")</f>
        <v>180268</v>
      </c>
      <c r="C2032" s="9"/>
      <c r="D2032" t="str">
        <f>"fbxb-65"</f>
        <v>fbxb-65</v>
      </c>
      <c r="E2032" t="s">
        <v>1436</v>
      </c>
      <c r="F2032" t="s">
        <v>11</v>
      </c>
      <c r="G2032" t="s">
        <v>54</v>
      </c>
      <c r="H2032" s="12">
        <v>3.0529872109234302</v>
      </c>
      <c r="I2032" s="20">
        <v>2.0405413085981601</v>
      </c>
      <c r="J2032" s="28">
        <v>4.1296441060488298E-2</v>
      </c>
      <c r="K2032" s="29">
        <v>0.46935345162009001</v>
      </c>
    </row>
    <row r="2033" spans="1:11" x14ac:dyDescent="0.35">
      <c r="A2033" s="9" t="str">
        <f>HYPERLINK("http://www.ensembl.org/id/WBGene00001664", "WBGene00001664")</f>
        <v>WBGene00001664</v>
      </c>
      <c r="B2033" s="9" t="str">
        <f>HYPERLINK("http://www.ncbi.nlm.nih.gov/gene/179219", "179219")</f>
        <v>179219</v>
      </c>
      <c r="C2033" s="9"/>
      <c r="D2033" t="str">
        <f>"gpa-2"</f>
        <v>gpa-2</v>
      </c>
      <c r="E2033" t="s">
        <v>1664</v>
      </c>
      <c r="F2033" t="s">
        <v>11</v>
      </c>
      <c r="G2033" t="s">
        <v>875</v>
      </c>
      <c r="H2033" s="12">
        <v>1.8939776501002601</v>
      </c>
      <c r="I2033" s="20">
        <v>2.04061058501925</v>
      </c>
      <c r="J2033" s="28">
        <v>4.1289549220130999E-2</v>
      </c>
      <c r="K2033" s="29">
        <v>0.46935345162009001</v>
      </c>
    </row>
    <row r="2034" spans="1:11" x14ac:dyDescent="0.35">
      <c r="A2034" s="9" t="str">
        <f>HYPERLINK("http://www.ensembl.org/id/WBGene00007013", "WBGene00007013")</f>
        <v>WBGene00007013</v>
      </c>
      <c r="B2034" s="9" t="str">
        <f>HYPERLINK("http://www.ncbi.nlm.nih.gov/gene/174763", "174763")</f>
        <v>174763</v>
      </c>
      <c r="C2034" s="9"/>
      <c r="D2034" t="str">
        <f>"mdt-8"</f>
        <v>mdt-8</v>
      </c>
      <c r="E2034" t="s">
        <v>1665</v>
      </c>
      <c r="F2034" t="s">
        <v>11</v>
      </c>
      <c r="G2034" t="s">
        <v>1666</v>
      </c>
      <c r="H2034" s="12">
        <v>-1.5615716524693799</v>
      </c>
      <c r="I2034" s="20">
        <v>-2.0409545350391598</v>
      </c>
      <c r="J2034" s="28">
        <v>4.1255346393518702E-2</v>
      </c>
      <c r="K2034" s="29">
        <v>0.46935345162009001</v>
      </c>
    </row>
    <row r="2035" spans="1:11" x14ac:dyDescent="0.35">
      <c r="A2035" s="9" t="str">
        <f>HYPERLINK("http://www.ensembl.org/id/WBGene00018909", "WBGene00018909")</f>
        <v>WBGene00018909</v>
      </c>
      <c r="B2035" s="9" t="str">
        <f>HYPERLINK("http://www.ncbi.nlm.nih.gov/gene/172157", "172157")</f>
        <v>172157</v>
      </c>
      <c r="C2035" s="9" t="str">
        <f>HYPERLINK("http://www.ncbi.nlm.nih.gov/gene/548593,79008", "548593,79008")</f>
        <v>548593,79008</v>
      </c>
      <c r="D2035" t="str">
        <f>"slx-1"</f>
        <v>slx-1</v>
      </c>
      <c r="E2035" t="s">
        <v>1667</v>
      </c>
      <c r="F2035" t="s">
        <v>11</v>
      </c>
      <c r="G2035" t="s">
        <v>1668</v>
      </c>
      <c r="H2035" s="12">
        <v>-1.58388824331381</v>
      </c>
      <c r="I2035" s="20">
        <v>-2.0407515846817899</v>
      </c>
      <c r="J2035" s="28">
        <v>4.12755251310171E-2</v>
      </c>
      <c r="K2035" s="29">
        <v>0.46935345162009001</v>
      </c>
    </row>
    <row r="2036" spans="1:11" x14ac:dyDescent="0.35">
      <c r="A2036" s="9" t="str">
        <f>HYPERLINK("http://www.ensembl.org/id/WBGene00001519", "WBGene00001519")</f>
        <v>WBGene00001519</v>
      </c>
      <c r="B2036" s="9" t="str">
        <f>HYPERLINK("http://www.ncbi.nlm.nih.gov/gene/179962", "179962")</f>
        <v>179962</v>
      </c>
      <c r="C2036" s="9" t="str">
        <f>HYPERLINK("http://www.ncbi.nlm.nih.gov/gene/1128", "1128")</f>
        <v>1128</v>
      </c>
      <c r="D2036" t="str">
        <f>"gar-3"</f>
        <v>gar-3</v>
      </c>
      <c r="E2036" t="s">
        <v>1671</v>
      </c>
      <c r="F2036" t="s">
        <v>11</v>
      </c>
      <c r="G2036" t="s">
        <v>1672</v>
      </c>
      <c r="H2036" s="12">
        <v>1.6507523318313899</v>
      </c>
      <c r="I2036" s="20">
        <v>2.0394527618730298</v>
      </c>
      <c r="J2036" s="28">
        <v>4.1404861177977502E-2</v>
      </c>
      <c r="K2036" s="29">
        <v>0.470123205099926</v>
      </c>
    </row>
    <row r="2037" spans="1:11" x14ac:dyDescent="0.35">
      <c r="A2037" s="9" t="str">
        <f>HYPERLINK("http://www.ensembl.org/id/WBGene00002101", "WBGene00002101")</f>
        <v>WBGene00002101</v>
      </c>
      <c r="B2037" s="9" t="str">
        <f>HYPERLINK("http://www.ncbi.nlm.nih.gov/gene/172600", "172600")</f>
        <v>172600</v>
      </c>
      <c r="C2037" s="9"/>
      <c r="D2037" t="str">
        <f>"ins-18"</f>
        <v>ins-18</v>
      </c>
      <c r="E2037" t="s">
        <v>1669</v>
      </c>
      <c r="F2037" t="s">
        <v>11</v>
      </c>
      <c r="G2037" t="s">
        <v>1670</v>
      </c>
      <c r="H2037" s="12">
        <v>1.68318439070568</v>
      </c>
      <c r="I2037" s="20">
        <v>2.03965198281904</v>
      </c>
      <c r="J2037" s="28">
        <v>4.1385000611076299E-2</v>
      </c>
      <c r="K2037" s="29">
        <v>0.470123205099926</v>
      </c>
    </row>
    <row r="2038" spans="1:11" x14ac:dyDescent="0.35">
      <c r="A2038" s="9" t="str">
        <f>HYPERLINK("http://www.ensembl.org/id/WBGene00010840", "WBGene00010840")</f>
        <v>WBGene00010840</v>
      </c>
      <c r="B2038" s="9" t="str">
        <f>HYPERLINK("http://www.ncbi.nlm.nih.gov/gene/187419", "187419")</f>
        <v>187419</v>
      </c>
      <c r="C2038" s="9"/>
      <c r="D2038" t="str">
        <f>"M03C11.3"</f>
        <v>M03C11.3</v>
      </c>
      <c r="F2038" t="s">
        <v>11</v>
      </c>
      <c r="H2038" s="12">
        <v>-1.4936658668306799</v>
      </c>
      <c r="I2038" s="20">
        <v>-2.0385722786091902</v>
      </c>
      <c r="J2038" s="28">
        <v>4.1492734270281502E-2</v>
      </c>
      <c r="K2038" s="29">
        <v>0.47088954717540499</v>
      </c>
    </row>
    <row r="2039" spans="1:11" x14ac:dyDescent="0.35">
      <c r="A2039" s="9" t="str">
        <f>HYPERLINK("http://www.ensembl.org/id/WBGene00021263", "WBGene00021263")</f>
        <v>WBGene00021263</v>
      </c>
      <c r="B2039" s="9" t="str">
        <f>HYPERLINK("http://www.ncbi.nlm.nih.gov/gene/175321", "175321")</f>
        <v>175321</v>
      </c>
      <c r="C2039" s="9"/>
      <c r="D2039" t="str">
        <f>"Y22D7AR.10"</f>
        <v>Y22D7AR.10</v>
      </c>
      <c r="F2039" t="s">
        <v>11</v>
      </c>
      <c r="H2039" s="12">
        <v>-1.5674859567850901</v>
      </c>
      <c r="I2039" s="20">
        <v>-2.0375453361923501</v>
      </c>
      <c r="J2039" s="28">
        <v>4.15954235856065E-2</v>
      </c>
      <c r="K2039" s="29">
        <v>0.47182319949387502</v>
      </c>
    </row>
    <row r="2040" spans="1:11" x14ac:dyDescent="0.35">
      <c r="A2040" s="9" t="str">
        <f>HYPERLINK("http://www.ensembl.org/id/WBGene00016261", "WBGene00016261")</f>
        <v>WBGene00016261</v>
      </c>
      <c r="B2040" s="9" t="str">
        <f>HYPERLINK("http://www.ncbi.nlm.nih.gov/gene/172427", "172427")</f>
        <v>172427</v>
      </c>
      <c r="C2040" s="9" t="str">
        <f>HYPERLINK("http://www.ncbi.nlm.nih.gov/gene/246269", "246269")</f>
        <v>246269</v>
      </c>
      <c r="D2040" t="str">
        <f>"C30F12.2"</f>
        <v>C30F12.2</v>
      </c>
      <c r="F2040" t="s">
        <v>11</v>
      </c>
      <c r="G2040" t="s">
        <v>1675</v>
      </c>
      <c r="H2040" s="12">
        <v>-1.5930029422176599</v>
      </c>
      <c r="I2040" s="20">
        <v>-2.0369768192722102</v>
      </c>
      <c r="J2040" s="28">
        <v>4.1652365028144803E-2</v>
      </c>
      <c r="K2040" s="29">
        <v>0.472005662746598</v>
      </c>
    </row>
    <row r="2041" spans="1:11" x14ac:dyDescent="0.35">
      <c r="A2041" s="9" t="str">
        <f>HYPERLINK("http://www.ensembl.org/id/WBGene00044138", "WBGene00044138")</f>
        <v>WBGene00044138</v>
      </c>
      <c r="B2041" s="9" t="str">
        <f>HYPERLINK("http://www.ncbi.nlm.nih.gov/gene/3565973", "3565973")</f>
        <v>3565973</v>
      </c>
      <c r="C2041" s="9"/>
      <c r="D2041" t="str">
        <f>"sssh-1"</f>
        <v>sssh-1</v>
      </c>
      <c r="E2041" t="s">
        <v>1673</v>
      </c>
      <c r="F2041" t="s">
        <v>11</v>
      </c>
      <c r="G2041" t="s">
        <v>1674</v>
      </c>
      <c r="H2041" s="12">
        <v>2.3065748772110202</v>
      </c>
      <c r="I2041" s="20">
        <v>2.0370240372169199</v>
      </c>
      <c r="J2041" s="28">
        <v>4.1647633267890297E-2</v>
      </c>
      <c r="K2041" s="29">
        <v>0.472005662746598</v>
      </c>
    </row>
    <row r="2042" spans="1:11" x14ac:dyDescent="0.35">
      <c r="A2042" s="9" t="str">
        <f>HYPERLINK("http://www.ensembl.org/id/WBGene00011269", "WBGene00011269")</f>
        <v>WBGene00011269</v>
      </c>
      <c r="B2042" s="9" t="str">
        <f>HYPERLINK("http://www.ncbi.nlm.nih.gov/gene/176513", "176513")</f>
        <v>176513</v>
      </c>
      <c r="C2042" s="9" t="str">
        <f>HYPERLINK("http://www.ncbi.nlm.nih.gov/gene/157869", "157869")</f>
        <v>157869</v>
      </c>
      <c r="D2042" t="str">
        <f>"R17.3"</f>
        <v>R17.3</v>
      </c>
      <c r="F2042" t="s">
        <v>11</v>
      </c>
      <c r="H2042" s="12">
        <v>-1.5902644372201</v>
      </c>
      <c r="I2042" s="20">
        <v>-2.0354642403448402</v>
      </c>
      <c r="J2042" s="28">
        <v>4.1804183158889799E-2</v>
      </c>
      <c r="K2042" s="29">
        <v>0.47349385101436597</v>
      </c>
    </row>
    <row r="2043" spans="1:11" x14ac:dyDescent="0.35">
      <c r="A2043" s="9" t="str">
        <f>HYPERLINK("http://www.ensembl.org/id/WBGene00007710", "WBGene00007710")</f>
        <v>WBGene00007710</v>
      </c>
      <c r="B2043" s="9" t="str">
        <f>HYPERLINK("http://www.ncbi.nlm.nih.gov/gene/172886", "172886")</f>
        <v>172886</v>
      </c>
      <c r="C2043" s="9"/>
      <c r="D2043" t="str">
        <f>"rsa-1"</f>
        <v>rsa-1</v>
      </c>
      <c r="E2043" t="s">
        <v>1676</v>
      </c>
      <c r="F2043" t="s">
        <v>11</v>
      </c>
      <c r="G2043" t="s">
        <v>325</v>
      </c>
      <c r="H2043" s="12">
        <v>-1.57417230556818</v>
      </c>
      <c r="I2043" s="20">
        <v>-2.0339331784775001</v>
      </c>
      <c r="J2043" s="28">
        <v>4.1958333187450098E-2</v>
      </c>
      <c r="K2043" s="29">
        <v>0.47500698022009902</v>
      </c>
    </row>
    <row r="2044" spans="1:11" x14ac:dyDescent="0.35">
      <c r="A2044" s="9" t="str">
        <f>HYPERLINK("http://www.ensembl.org/id/WBGene00011435", "WBGene00011435")</f>
        <v>WBGene00011435</v>
      </c>
      <c r="B2044" s="9" t="str">
        <f>HYPERLINK("http://www.ncbi.nlm.nih.gov/gene/173199", "173199")</f>
        <v>173199</v>
      </c>
      <c r="C2044" s="9"/>
      <c r="D2044" t="str">
        <f>"T04D3.8"</f>
        <v>T04D3.8</v>
      </c>
      <c r="F2044" t="s">
        <v>11</v>
      </c>
      <c r="H2044" s="12">
        <v>-2.7727536643401498</v>
      </c>
      <c r="I2044" s="20">
        <v>-2.0337274588922898</v>
      </c>
      <c r="J2044" s="28">
        <v>4.1979082015693697E-2</v>
      </c>
      <c r="K2044" s="29">
        <v>0.47500914253409399</v>
      </c>
    </row>
    <row r="2045" spans="1:11" x14ac:dyDescent="0.35">
      <c r="A2045" s="9" t="str">
        <f>HYPERLINK("http://www.ensembl.org/id/WBGene00018532", "WBGene00018532")</f>
        <v>WBGene00018532</v>
      </c>
      <c r="B2045" s="9" t="str">
        <f>HYPERLINK("http://www.ncbi.nlm.nih.gov/gene/180666", "180666")</f>
        <v>180666</v>
      </c>
      <c r="C2045" s="9"/>
      <c r="D2045" t="str">
        <f>"F47B7.1"</f>
        <v>F47B7.1</v>
      </c>
      <c r="E2045" t="s">
        <v>1677</v>
      </c>
      <c r="F2045" t="s">
        <v>11</v>
      </c>
      <c r="G2045" t="s">
        <v>25</v>
      </c>
      <c r="H2045" s="12">
        <v>1.4657153038506201</v>
      </c>
      <c r="I2045" s="20">
        <v>2.0326948001377301</v>
      </c>
      <c r="J2045" s="28">
        <v>4.2083366971135502E-2</v>
      </c>
      <c r="K2045" s="29">
        <v>0.475956082836543</v>
      </c>
    </row>
    <row r="2046" spans="1:11" x14ac:dyDescent="0.35">
      <c r="A2046" s="9" t="str">
        <f>HYPERLINK("http://www.ensembl.org/id/WBGene00010593", "WBGene00010593")</f>
        <v>WBGene00010593</v>
      </c>
      <c r="B2046" s="9" t="str">
        <f>HYPERLINK("http://www.ncbi.nlm.nih.gov/gene/179328", "179328")</f>
        <v>179328</v>
      </c>
      <c r="C2046" s="9"/>
      <c r="D2046" t="str">
        <f>"gsnl-1"</f>
        <v>gsnl-1</v>
      </c>
      <c r="E2046" t="s">
        <v>1678</v>
      </c>
      <c r="F2046" t="s">
        <v>11</v>
      </c>
      <c r="G2046" t="s">
        <v>1679</v>
      </c>
      <c r="H2046" s="12">
        <v>-1.4686130219236799</v>
      </c>
      <c r="I2046" s="20">
        <v>-2.0323723770617299</v>
      </c>
      <c r="J2046" s="28">
        <v>4.2115972336295403E-2</v>
      </c>
      <c r="K2046" s="29">
        <v>0.47609180861176198</v>
      </c>
    </row>
    <row r="2047" spans="1:11" x14ac:dyDescent="0.35">
      <c r="A2047" s="9" t="str">
        <f>HYPERLINK("http://www.ensembl.org/id/WBGene00001055", "WBGene00001055")</f>
        <v>WBGene00001055</v>
      </c>
      <c r="B2047" s="9" t="str">
        <f>HYPERLINK("http://www.ncbi.nlm.nih.gov/gene/181579", "181579")</f>
        <v>181579</v>
      </c>
      <c r="C2047" s="9" t="str">
        <f>HYPERLINK("http://www.ncbi.nlm.nih.gov/gene/1803", "1803")</f>
        <v>1803</v>
      </c>
      <c r="D2047" t="str">
        <f>"dpf-2"</f>
        <v>dpf-2</v>
      </c>
      <c r="E2047" t="s">
        <v>1680</v>
      </c>
      <c r="F2047" t="s">
        <v>11</v>
      </c>
      <c r="G2047" t="s">
        <v>1681</v>
      </c>
      <c r="H2047" s="12">
        <v>1.4567236913211701</v>
      </c>
      <c r="I2047" s="20">
        <v>2.0320432968304201</v>
      </c>
      <c r="J2047" s="28">
        <v>4.2149272952464199E-2</v>
      </c>
      <c r="K2047" s="29">
        <v>0.47623525713429699</v>
      </c>
    </row>
    <row r="2048" spans="1:11" x14ac:dyDescent="0.35">
      <c r="A2048" s="9" t="str">
        <f>HYPERLINK("http://www.ensembl.org/id/WBGene00006801", "WBGene00006801")</f>
        <v>WBGene00006801</v>
      </c>
      <c r="B2048" s="9" t="str">
        <f>HYPERLINK("http://www.ncbi.nlm.nih.gov/gene/179080", "179080")</f>
        <v>179080</v>
      </c>
      <c r="C2048" s="9" t="str">
        <f>HYPERLINK("http://www.ncbi.nlm.nih.gov/gene/6262", "6262")</f>
        <v>6262</v>
      </c>
      <c r="D2048" t="str">
        <f>"unc-68"</f>
        <v>unc-68</v>
      </c>
      <c r="F2048" t="s">
        <v>11</v>
      </c>
      <c r="G2048" t="s">
        <v>1682</v>
      </c>
      <c r="H2048" s="12">
        <v>1.6089437027092299</v>
      </c>
      <c r="I2048" s="20">
        <v>2.03137705491147</v>
      </c>
      <c r="J2048" s="28">
        <v>4.22167601849813E-2</v>
      </c>
      <c r="K2048" s="29">
        <v>0.47676464361396798</v>
      </c>
    </row>
    <row r="2049" spans="1:11" x14ac:dyDescent="0.35">
      <c r="A2049" s="9" t="str">
        <f>HYPERLINK("http://www.ensembl.org/id/WBGene00017073", "WBGene00017073")</f>
        <v>WBGene00017073</v>
      </c>
      <c r="B2049" s="9" t="str">
        <f>HYPERLINK("http://www.ncbi.nlm.nih.gov/gene/177633", "177633")</f>
        <v>177633</v>
      </c>
      <c r="C2049" s="9"/>
      <c r="D2049" t="str">
        <f>"D2096.6"</f>
        <v>D2096.6</v>
      </c>
      <c r="F2049" t="s">
        <v>11</v>
      </c>
      <c r="G2049" t="s">
        <v>1683</v>
      </c>
      <c r="H2049" s="12">
        <v>3.5813570651843398</v>
      </c>
      <c r="I2049" s="20">
        <v>2.03015628449783</v>
      </c>
      <c r="J2049" s="28">
        <v>4.2340655829270199E-2</v>
      </c>
      <c r="K2049" s="29">
        <v>0.47793023624382802</v>
      </c>
    </row>
    <row r="2050" spans="1:11" x14ac:dyDescent="0.35">
      <c r="A2050" s="9" t="str">
        <f>HYPERLINK("http://www.ensembl.org/id/WBGene00007196", "WBGene00007196")</f>
        <v>WBGene00007196</v>
      </c>
      <c r="B2050" s="9" t="str">
        <f>HYPERLINK("http://www.ncbi.nlm.nih.gov/gene/178351", "178351")</f>
        <v>178351</v>
      </c>
      <c r="C2050" s="9"/>
      <c r="D2050" t="str">
        <f>"B0513.4"</f>
        <v>B0513.4</v>
      </c>
      <c r="F2050" t="s">
        <v>11</v>
      </c>
      <c r="H2050" s="12">
        <v>-1.6533287619182899</v>
      </c>
      <c r="I2050" s="20">
        <v>-2.0296519240832098</v>
      </c>
      <c r="J2050" s="28">
        <v>4.2391932939846E-2</v>
      </c>
      <c r="K2050" s="29">
        <v>0.47827539184965001</v>
      </c>
    </row>
    <row r="2051" spans="1:11" x14ac:dyDescent="0.35">
      <c r="A2051" s="9" t="str">
        <f>HYPERLINK("http://www.ensembl.org/id/WBGene00007594", "WBGene00007594")</f>
        <v>WBGene00007594</v>
      </c>
      <c r="B2051" s="9" t="str">
        <f>HYPERLINK("http://www.ncbi.nlm.nih.gov/gene/182622", "182622")</f>
        <v>182622</v>
      </c>
      <c r="C2051" s="9"/>
      <c r="D2051" t="str">
        <f>"lgc-23"</f>
        <v>lgc-23</v>
      </c>
      <c r="E2051" t="s">
        <v>505</v>
      </c>
      <c r="F2051" t="s">
        <v>11</v>
      </c>
      <c r="G2051" t="s">
        <v>559</v>
      </c>
      <c r="H2051" s="12">
        <v>-1.6266827742057299</v>
      </c>
      <c r="I2051" s="20">
        <v>-2.0284002648372801</v>
      </c>
      <c r="J2051" s="28">
        <v>4.2519413100738798E-2</v>
      </c>
      <c r="K2051" s="29">
        <v>0.47947953104229901</v>
      </c>
    </row>
    <row r="2052" spans="1:11" x14ac:dyDescent="0.35">
      <c r="A2052" s="9" t="str">
        <f>HYPERLINK("http://www.ensembl.org/id/WBGene00009159", "WBGene00009159")</f>
        <v>WBGene00009159</v>
      </c>
      <c r="B2052" s="9" t="str">
        <f>HYPERLINK("http://www.ncbi.nlm.nih.gov/gene/259393", "259393")</f>
        <v>259393</v>
      </c>
      <c r="C2052" s="9"/>
      <c r="D2052" t="str">
        <f>"F26E4.4"</f>
        <v>F26E4.4</v>
      </c>
      <c r="F2052" t="s">
        <v>11</v>
      </c>
      <c r="G2052" t="s">
        <v>1684</v>
      </c>
      <c r="H2052" s="12">
        <v>-1.5690488663065001</v>
      </c>
      <c r="I2052" s="20">
        <v>-2.02785115006226</v>
      </c>
      <c r="J2052" s="28">
        <v>4.2575442090185101E-2</v>
      </c>
      <c r="K2052" s="29">
        <v>0.479721946162319</v>
      </c>
    </row>
    <row r="2053" spans="1:11" x14ac:dyDescent="0.35">
      <c r="A2053" s="9" t="str">
        <f>HYPERLINK("http://www.ensembl.org/id/WBGene00020497", "WBGene00020497")</f>
        <v>WBGene00020497</v>
      </c>
      <c r="B2053" s="9" t="str">
        <f>HYPERLINK("http://www.ncbi.nlm.nih.gov/gene/188490", "188490")</f>
        <v>188490</v>
      </c>
      <c r="C2053" s="9"/>
      <c r="D2053" t="str">
        <f>"T14A8.2"</f>
        <v>T14A8.2</v>
      </c>
      <c r="F2053" t="s">
        <v>11</v>
      </c>
      <c r="H2053" s="12">
        <v>-1.54088088566341</v>
      </c>
      <c r="I2053" s="20">
        <v>-2.02778267198507</v>
      </c>
      <c r="J2053" s="28">
        <v>4.2582433635372501E-2</v>
      </c>
      <c r="K2053" s="29">
        <v>0.479721946162319</v>
      </c>
    </row>
    <row r="2054" spans="1:11" x14ac:dyDescent="0.35">
      <c r="A2054" s="9" t="str">
        <f>HYPERLINK("http://www.ensembl.org/id/WBGene00013539", "WBGene00013539")</f>
        <v>WBGene00013539</v>
      </c>
      <c r="B2054" s="9" t="str">
        <f>HYPERLINK("http://www.ncbi.nlm.nih.gov/gene/178438", "178438")</f>
        <v>178438</v>
      </c>
      <c r="C2054" s="9"/>
      <c r="D2054" t="str">
        <f>"Y73F8A.35"</f>
        <v>Y73F8A.35</v>
      </c>
      <c r="F2054" t="s">
        <v>11</v>
      </c>
      <c r="G2054" t="s">
        <v>790</v>
      </c>
      <c r="H2054" s="12">
        <v>2.8490031049380802</v>
      </c>
      <c r="I2054" s="20">
        <v>2.0266666343710198</v>
      </c>
      <c r="J2054" s="28">
        <v>4.2696516921102302E-2</v>
      </c>
      <c r="K2054" s="29">
        <v>0.48077276802094998</v>
      </c>
    </row>
    <row r="2055" spans="1:11" x14ac:dyDescent="0.35">
      <c r="A2055" s="9" t="str">
        <f>HYPERLINK("http://www.ensembl.org/id/WBGene00001207", "WBGene00001207")</f>
        <v>WBGene00001207</v>
      </c>
      <c r="B2055" s="9" t="str">
        <f>HYPERLINK("http://www.ncbi.nlm.nih.gov/gene/174552", "174552")</f>
        <v>174552</v>
      </c>
      <c r="C2055" s="9"/>
      <c r="D2055" t="str">
        <f>"egl-43"</f>
        <v>egl-43</v>
      </c>
      <c r="F2055" t="s">
        <v>11</v>
      </c>
      <c r="G2055" t="s">
        <v>1685</v>
      </c>
      <c r="H2055" s="12">
        <v>1.6032753165248901</v>
      </c>
      <c r="I2055" s="20">
        <v>2.0263188896045601</v>
      </c>
      <c r="J2055" s="28">
        <v>4.2732116755525101E-2</v>
      </c>
      <c r="K2055" s="29">
        <v>0.48093925462891501</v>
      </c>
    </row>
    <row r="2056" spans="1:11" x14ac:dyDescent="0.35">
      <c r="A2056" s="9" t="str">
        <f>HYPERLINK("http://www.ensembl.org/id/WBGene00017018", "WBGene00017018")</f>
        <v>WBGene00017018</v>
      </c>
      <c r="B2056" s="9" t="str">
        <f>HYPERLINK("http://www.ncbi.nlm.nih.gov/gene/179191", "179191")</f>
        <v>179191</v>
      </c>
      <c r="C2056" s="9"/>
      <c r="D2056" t="str">
        <f>"D1014.5"</f>
        <v>D1014.5</v>
      </c>
      <c r="F2056" t="s">
        <v>11</v>
      </c>
      <c r="G2056" t="s">
        <v>1686</v>
      </c>
      <c r="H2056" s="12">
        <v>2.7363443247471402</v>
      </c>
      <c r="I2056" s="20">
        <v>2.0248664463922199</v>
      </c>
      <c r="J2056" s="28">
        <v>4.2881079834518297E-2</v>
      </c>
      <c r="K2056" s="29">
        <v>0.48191159078617701</v>
      </c>
    </row>
    <row r="2057" spans="1:11" x14ac:dyDescent="0.35">
      <c r="A2057" s="9" t="str">
        <f>HYPERLINK("http://www.ensembl.org/id/WBGene00010110", "WBGene00010110")</f>
        <v>WBGene00010110</v>
      </c>
      <c r="B2057" s="9" t="str">
        <f>HYPERLINK("http://www.ncbi.nlm.nih.gov/gene/186308", "186308")</f>
        <v>186308</v>
      </c>
      <c r="C2057" s="9"/>
      <c r="D2057" t="str">
        <f>"F55D12.1"</f>
        <v>F55D12.1</v>
      </c>
      <c r="F2057" t="s">
        <v>11</v>
      </c>
      <c r="G2057" t="s">
        <v>25</v>
      </c>
      <c r="H2057" s="12">
        <v>1.72830149738052</v>
      </c>
      <c r="I2057" s="20">
        <v>2.0249666945742502</v>
      </c>
      <c r="J2057" s="28">
        <v>4.2870784261264797E-2</v>
      </c>
      <c r="K2057" s="29">
        <v>0.48191159078617701</v>
      </c>
    </row>
    <row r="2058" spans="1:11" x14ac:dyDescent="0.35">
      <c r="A2058" s="9" t="str">
        <f>HYPERLINK("http://www.ensembl.org/id/WBGene00004075", "WBGene00004075")</f>
        <v>WBGene00004075</v>
      </c>
      <c r="B2058" s="9" t="str">
        <f>HYPERLINK("http://www.ncbi.nlm.nih.gov/gene/176784", "176784")</f>
        <v>176784</v>
      </c>
      <c r="C2058" s="9" t="str">
        <f>HYPERLINK("http://www.ncbi.nlm.nih.gov/gene/79585,100529144", "79585,100529144")</f>
        <v>79585,100529144</v>
      </c>
      <c r="D2058" t="str">
        <f>"pod-1"</f>
        <v>pod-1</v>
      </c>
      <c r="E2058" t="s">
        <v>1687</v>
      </c>
      <c r="F2058" t="s">
        <v>11</v>
      </c>
      <c r="G2058" t="s">
        <v>1688</v>
      </c>
      <c r="H2058" s="12">
        <v>-1.4322679384061601</v>
      </c>
      <c r="I2058" s="20">
        <v>-2.0250553508834401</v>
      </c>
      <c r="J2058" s="28">
        <v>4.2861680924472199E-2</v>
      </c>
      <c r="K2058" s="29">
        <v>0.48191159078617701</v>
      </c>
    </row>
    <row r="2059" spans="1:11" x14ac:dyDescent="0.35">
      <c r="A2059" s="9" t="str">
        <f>HYPERLINK("http://www.ensembl.org/id/WBGene00011959", "WBGene00011959")</f>
        <v>WBGene00011959</v>
      </c>
      <c r="B2059" s="9" t="str">
        <f>HYPERLINK("http://www.ncbi.nlm.nih.gov/gene/178337", "178337")</f>
        <v>178337</v>
      </c>
      <c r="C2059" s="9"/>
      <c r="D2059" t="str">
        <f>"nyn-1"</f>
        <v>nyn-1</v>
      </c>
      <c r="E2059" t="s">
        <v>1689</v>
      </c>
      <c r="F2059" t="s">
        <v>11</v>
      </c>
      <c r="G2059" t="s">
        <v>1690</v>
      </c>
      <c r="H2059" s="12">
        <v>-1.7994275775420701</v>
      </c>
      <c r="I2059" s="20">
        <v>-2.0245760095699898</v>
      </c>
      <c r="J2059" s="28">
        <v>4.2910919742927899E-2</v>
      </c>
      <c r="K2059" s="29">
        <v>0.48201249955279102</v>
      </c>
    </row>
    <row r="2060" spans="1:11" x14ac:dyDescent="0.35">
      <c r="A2060" s="9" t="str">
        <f>HYPERLINK("http://www.ensembl.org/id/WBGene00015930", "WBGene00015930")</f>
        <v>WBGene00015930</v>
      </c>
      <c r="B2060" s="9" t="str">
        <f>HYPERLINK("http://www.ncbi.nlm.nih.gov/gene/177445", "177445")</f>
        <v>177445</v>
      </c>
      <c r="C2060" s="9"/>
      <c r="D2060" t="str">
        <f>"C17H12.4"</f>
        <v>C17H12.4</v>
      </c>
      <c r="F2060" t="s">
        <v>11</v>
      </c>
      <c r="G2060" t="s">
        <v>25</v>
      </c>
      <c r="H2060" s="12">
        <v>1.64398856065688</v>
      </c>
      <c r="I2060" s="20">
        <v>2.0235925564430799</v>
      </c>
      <c r="J2060" s="28">
        <v>4.30120915525527E-2</v>
      </c>
      <c r="K2060" s="29">
        <v>0.48214036125160498</v>
      </c>
    </row>
    <row r="2061" spans="1:11" x14ac:dyDescent="0.35">
      <c r="A2061" s="9" t="str">
        <f>HYPERLINK("http://www.ensembl.org/id/WBGene00008346", "WBGene00008346")</f>
        <v>WBGene00008346</v>
      </c>
      <c r="B2061" s="9" t="str">
        <f>HYPERLINK("http://www.ncbi.nlm.nih.gov/gene/179839", "179839")</f>
        <v>179839</v>
      </c>
      <c r="C2061" s="9"/>
      <c r="D2061" t="str">
        <f>"C56A3.8"</f>
        <v>C56A3.8</v>
      </c>
      <c r="F2061" t="s">
        <v>11</v>
      </c>
      <c r="G2061" t="s">
        <v>1697</v>
      </c>
      <c r="H2061" s="12">
        <v>-1.8850237596994801</v>
      </c>
      <c r="I2061" s="20">
        <v>-2.0234513472690798</v>
      </c>
      <c r="J2061" s="28">
        <v>4.3026634852454303E-2</v>
      </c>
      <c r="K2061" s="29">
        <v>0.48214036125160498</v>
      </c>
    </row>
    <row r="2062" spans="1:11" x14ac:dyDescent="0.35">
      <c r="A2062" s="9" t="str">
        <f>HYPERLINK("http://www.ensembl.org/id/WBGene00009007", "WBGene00009007")</f>
        <v>WBGene00009007</v>
      </c>
      <c r="B2062" s="9" t="str">
        <f>HYPERLINK("http://www.ncbi.nlm.nih.gov/gene/177679", "177679")</f>
        <v>177679</v>
      </c>
      <c r="C2062" s="9" t="str">
        <f>HYPERLINK("http://www.ncbi.nlm.nih.gov/gene/51633", "51633")</f>
        <v>51633</v>
      </c>
      <c r="D2062" t="str">
        <f>"otub-3"</f>
        <v>otub-3</v>
      </c>
      <c r="E2062" t="s">
        <v>1693</v>
      </c>
      <c r="F2062" t="s">
        <v>11</v>
      </c>
      <c r="G2062" t="s">
        <v>1694</v>
      </c>
      <c r="H2062" s="12">
        <v>-1.5257304356852801</v>
      </c>
      <c r="I2062" s="20">
        <v>-2.0235842766920902</v>
      </c>
      <c r="J2062" s="28">
        <v>4.3012944179219303E-2</v>
      </c>
      <c r="K2062" s="29">
        <v>0.48214036125160498</v>
      </c>
    </row>
    <row r="2063" spans="1:11" x14ac:dyDescent="0.35">
      <c r="A2063" s="9" t="str">
        <f>HYPERLINK("http://www.ensembl.org/id/WBGene00004795", "WBGene00004795")</f>
        <v>WBGene00004795</v>
      </c>
      <c r="B2063" s="9" t="str">
        <f>HYPERLINK("http://www.ncbi.nlm.nih.gov/gene/178900", "178900")</f>
        <v>178900</v>
      </c>
      <c r="C2063" s="9"/>
      <c r="D2063" t="str">
        <f>"sid-1"</f>
        <v>sid-1</v>
      </c>
      <c r="E2063" t="s">
        <v>1695</v>
      </c>
      <c r="F2063" t="s">
        <v>11</v>
      </c>
      <c r="G2063" t="s">
        <v>1696</v>
      </c>
      <c r="H2063" s="12">
        <v>-1.58090569368127</v>
      </c>
      <c r="I2063" s="20">
        <v>-2.0236865138026201</v>
      </c>
      <c r="J2063" s="28">
        <v>4.30024170751531E-2</v>
      </c>
      <c r="K2063" s="29">
        <v>0.48214036125160498</v>
      </c>
    </row>
    <row r="2064" spans="1:11" x14ac:dyDescent="0.35">
      <c r="A2064" s="9" t="str">
        <f>HYPERLINK("http://www.ensembl.org/id/WBGene00006539", "WBGene00006539")</f>
        <v>WBGene00006539</v>
      </c>
      <c r="B2064" s="9" t="str">
        <f>HYPERLINK("http://www.ncbi.nlm.nih.gov/gene/179680", "179680")</f>
        <v>179680</v>
      </c>
      <c r="C2064" s="9"/>
      <c r="D2064" t="str">
        <f>"tbb-6"</f>
        <v>tbb-6</v>
      </c>
      <c r="E2064" t="s">
        <v>1691</v>
      </c>
      <c r="F2064" t="s">
        <v>11</v>
      </c>
      <c r="G2064" t="s">
        <v>1692</v>
      </c>
      <c r="H2064" s="12">
        <v>1.9481538246555199</v>
      </c>
      <c r="I2064" s="20">
        <v>2.02381604570588</v>
      </c>
      <c r="J2064" s="28">
        <v>4.2989082620827103E-2</v>
      </c>
      <c r="K2064" s="29">
        <v>0.48214036125160498</v>
      </c>
    </row>
    <row r="2065" spans="1:11" x14ac:dyDescent="0.35">
      <c r="A2065" s="9" t="str">
        <f>HYPERLINK("http://www.ensembl.org/id/WBGene00044901", "WBGene00044901")</f>
        <v>WBGene00044901</v>
      </c>
      <c r="B2065" s="9" t="str">
        <f>HYPERLINK("http://www.ncbi.nlm.nih.gov/gene/4926893", "4926893")</f>
        <v>4926893</v>
      </c>
      <c r="C2065" s="9"/>
      <c r="D2065" t="str">
        <f>"Y41G9A.10"</f>
        <v>Y41G9A.10</v>
      </c>
      <c r="F2065" t="s">
        <v>11</v>
      </c>
      <c r="H2065" s="12">
        <v>2.0353089833187301</v>
      </c>
      <c r="I2065" s="20">
        <v>2.0225768249568099</v>
      </c>
      <c r="J2065" s="28">
        <v>4.3116795545635897E-2</v>
      </c>
      <c r="K2065" s="29">
        <v>0.48268249897163901</v>
      </c>
    </row>
    <row r="2066" spans="1:11" x14ac:dyDescent="0.35">
      <c r="A2066" s="9" t="str">
        <f>HYPERLINK("http://www.ensembl.org/id/WBGene00077453", "WBGene00077453")</f>
        <v>WBGene00077453</v>
      </c>
      <c r="B2066" s="9" t="str">
        <f>HYPERLINK("http://www.ncbi.nlm.nih.gov/gene/6418641", "6418641")</f>
        <v>6418641</v>
      </c>
      <c r="C2066" s="9"/>
      <c r="D2066" t="str">
        <f>"Y62F5A.12"</f>
        <v>Y62F5A.12</v>
      </c>
      <c r="F2066" t="s">
        <v>11</v>
      </c>
      <c r="H2066" s="12">
        <v>-1.6740099054534801</v>
      </c>
      <c r="I2066" s="20">
        <v>-2.0227641577065398</v>
      </c>
      <c r="J2066" s="28">
        <v>4.30974686604855E-2</v>
      </c>
      <c r="K2066" s="29">
        <v>0.48268249897163901</v>
      </c>
    </row>
    <row r="2067" spans="1:11" x14ac:dyDescent="0.35">
      <c r="A2067" s="9" t="str">
        <f>HYPERLINK("http://www.ensembl.org/id/WBGene00016613", "WBGene00016613")</f>
        <v>WBGene00016613</v>
      </c>
      <c r="B2067" s="9" t="str">
        <f>HYPERLINK("http://www.ncbi.nlm.nih.gov/gene/183419", "183419")</f>
        <v>183419</v>
      </c>
      <c r="C2067" s="9"/>
      <c r="D2067" t="str">
        <f>"best-9"</f>
        <v>best-9</v>
      </c>
      <c r="E2067" t="s">
        <v>1698</v>
      </c>
      <c r="F2067" t="s">
        <v>11</v>
      </c>
      <c r="H2067" s="12">
        <v>1.7274613240652099</v>
      </c>
      <c r="I2067" s="20">
        <v>2.0222835381058299</v>
      </c>
      <c r="J2067" s="28">
        <v>4.3147068293050803E-2</v>
      </c>
      <c r="K2067" s="29">
        <v>0.48278748667275201</v>
      </c>
    </row>
    <row r="2068" spans="1:11" x14ac:dyDescent="0.35">
      <c r="A2068" s="9" t="str">
        <f>HYPERLINK("http://www.ensembl.org/id/WBGene00013719", "WBGene00013719")</f>
        <v>WBGene00013719</v>
      </c>
      <c r="B2068" s="9" t="str">
        <f>HYPERLINK("http://www.ncbi.nlm.nih.gov/gene/172923", "172923")</f>
        <v>172923</v>
      </c>
      <c r="C2068" s="9"/>
      <c r="D2068" t="str">
        <f>"Y106G6H.6"</f>
        <v>Y106G6H.6</v>
      </c>
      <c r="F2068" t="s">
        <v>11</v>
      </c>
      <c r="G2068" t="s">
        <v>54</v>
      </c>
      <c r="H2068" s="12">
        <v>-1.5622071886376301</v>
      </c>
      <c r="I2068" s="20">
        <v>-2.02203056564329</v>
      </c>
      <c r="J2068" s="28">
        <v>4.3173194260037698E-2</v>
      </c>
      <c r="K2068" s="29">
        <v>0.48284599543680101</v>
      </c>
    </row>
    <row r="2069" spans="1:11" x14ac:dyDescent="0.35">
      <c r="A2069" s="9" t="str">
        <f>HYPERLINK("http://www.ensembl.org/id/WBGene00018341", "WBGene00018341")</f>
        <v>WBGene00018341</v>
      </c>
      <c r="B2069" s="9" t="str">
        <f>HYPERLINK("http://www.ncbi.nlm.nih.gov/gene/175872", "175872")</f>
        <v>175872</v>
      </c>
      <c r="C2069" s="9"/>
      <c r="D2069" t="str">
        <f>"F42A10.5"</f>
        <v>F42A10.5</v>
      </c>
      <c r="F2069" t="s">
        <v>11</v>
      </c>
      <c r="G2069" t="s">
        <v>318</v>
      </c>
      <c r="H2069" s="12">
        <v>-1.4605362384385301</v>
      </c>
      <c r="I2069" s="20">
        <v>-2.0214558136292</v>
      </c>
      <c r="J2069" s="28">
        <v>4.3232602004460399E-2</v>
      </c>
      <c r="K2069" s="29">
        <v>0.48327648858977401</v>
      </c>
    </row>
    <row r="2070" spans="1:11" x14ac:dyDescent="0.35">
      <c r="A2070" s="9" t="str">
        <f>HYPERLINK("http://www.ensembl.org/id/WBGene00043983", "WBGene00043983")</f>
        <v>WBGene00043983</v>
      </c>
      <c r="B2070" s="9" t="str">
        <f>HYPERLINK("http://www.ncbi.nlm.nih.gov/gene/3565451", "3565451")</f>
        <v>3565451</v>
      </c>
      <c r="C2070" s="9"/>
      <c r="D2070" t="str">
        <f>"C39D10.11"</f>
        <v>C39D10.11</v>
      </c>
      <c r="F2070" t="s">
        <v>11</v>
      </c>
      <c r="H2070" s="12">
        <v>-1.59463934512365</v>
      </c>
      <c r="I2070" s="20">
        <v>-2.0206620325326998</v>
      </c>
      <c r="J2070" s="28">
        <v>4.3314762686684501E-2</v>
      </c>
      <c r="K2070" s="29">
        <v>0.48330968697120902</v>
      </c>
    </row>
    <row r="2071" spans="1:11" x14ac:dyDescent="0.35">
      <c r="A2071" s="9" t="str">
        <f>HYPERLINK("http://www.ensembl.org/id/WBGene00017833", "WBGene00017833")</f>
        <v>WBGene00017833</v>
      </c>
      <c r="B2071" s="9" t="str">
        <f>HYPERLINK("http://www.ncbi.nlm.nih.gov/gene/184992", "184992")</f>
        <v>184992</v>
      </c>
      <c r="C2071" s="9"/>
      <c r="D2071" t="str">
        <f>"F26F12.2"</f>
        <v>F26F12.2</v>
      </c>
      <c r="F2071" t="s">
        <v>11</v>
      </c>
      <c r="H2071" s="12">
        <v>1.8577827208437501</v>
      </c>
      <c r="I2071" s="20">
        <v>2.0205601802590598</v>
      </c>
      <c r="J2071" s="28">
        <v>4.3325314497567297E-2</v>
      </c>
      <c r="K2071" s="29">
        <v>0.48330968697120902</v>
      </c>
    </row>
    <row r="2072" spans="1:11" x14ac:dyDescent="0.35">
      <c r="A2072" s="9" t="str">
        <f>HYPERLINK("http://www.ensembl.org/id/WBGene00010585", "WBGene00010585")</f>
        <v>WBGene00010585</v>
      </c>
      <c r="B2072" s="9" t="str">
        <f>HYPERLINK("http://www.ncbi.nlm.nih.gov/gene/187021", "187021")</f>
        <v>187021</v>
      </c>
      <c r="C2072" s="9"/>
      <c r="D2072" t="str">
        <f>"K05C4.9"</f>
        <v>K05C4.9</v>
      </c>
      <c r="F2072" t="s">
        <v>11</v>
      </c>
      <c r="G2072" t="s">
        <v>54</v>
      </c>
      <c r="H2072" s="12">
        <v>1.6963207077365301</v>
      </c>
      <c r="I2072" s="20">
        <v>2.0211571611750201</v>
      </c>
      <c r="J2072" s="28">
        <v>4.3263498699994199E-2</v>
      </c>
      <c r="K2072" s="29">
        <v>0.48330968697120902</v>
      </c>
    </row>
    <row r="2073" spans="1:11" x14ac:dyDescent="0.35">
      <c r="A2073" s="9" t="str">
        <f>HYPERLINK("http://www.ensembl.org/id/WBGene00021382", "WBGene00021382")</f>
        <v>WBGene00021382</v>
      </c>
      <c r="B2073" s="9" t="str">
        <f>HYPERLINK("http://www.ncbi.nlm.nih.gov/gene/260017", "260017")</f>
        <v>260017</v>
      </c>
      <c r="C2073" s="9"/>
      <c r="D2073" t="str">
        <f>"Y37F4.1"</f>
        <v>Y37F4.1</v>
      </c>
      <c r="F2073" t="s">
        <v>11</v>
      </c>
      <c r="H2073" s="12">
        <v>2.4006931347884199</v>
      </c>
      <c r="I2073" s="20">
        <v>2.0208927186501602</v>
      </c>
      <c r="J2073" s="28">
        <v>4.3290871824725803E-2</v>
      </c>
      <c r="K2073" s="29">
        <v>0.48330968697120902</v>
      </c>
    </row>
    <row r="2074" spans="1:11" x14ac:dyDescent="0.35">
      <c r="A2074" s="9" t="str">
        <f>HYPERLINK("http://www.ensembl.org/id/WBGene00021841", "WBGene00021841")</f>
        <v>WBGene00021841</v>
      </c>
      <c r="B2074" s="9" t="str">
        <f>HYPERLINK("http://www.ncbi.nlm.nih.gov/gene/171878", "171878")</f>
        <v>171878</v>
      </c>
      <c r="C2074" s="9" t="str">
        <f>HYPERLINK("http://www.ncbi.nlm.nih.gov/gene/10139", "10139")</f>
        <v>10139</v>
      </c>
      <c r="D2074" t="str">
        <f>"Y54E10BR.2"</f>
        <v>Y54E10BR.2</v>
      </c>
      <c r="F2074" t="s">
        <v>11</v>
      </c>
      <c r="G2074" t="s">
        <v>1699</v>
      </c>
      <c r="H2074" s="12">
        <v>-1.55755499715613</v>
      </c>
      <c r="I2074" s="20">
        <v>-2.0204169456100001</v>
      </c>
      <c r="J2074" s="28">
        <v>4.3340157162829802E-2</v>
      </c>
      <c r="K2074" s="29">
        <v>0.48330968697120902</v>
      </c>
    </row>
    <row r="2075" spans="1:11" x14ac:dyDescent="0.35">
      <c r="A2075" s="9" t="str">
        <f>HYPERLINK("http://www.ensembl.org/id/WBGene00022698", "WBGene00022698")</f>
        <v>WBGene00022698</v>
      </c>
      <c r="B2075" s="9" t="str">
        <f>HYPERLINK("http://www.ncbi.nlm.nih.gov/gene/191286", "191286")</f>
        <v>191286</v>
      </c>
      <c r="C2075" s="9"/>
      <c r="D2075" t="str">
        <f>"ZK353.2"</f>
        <v>ZK353.2</v>
      </c>
      <c r="F2075" t="s">
        <v>11</v>
      </c>
      <c r="H2075" s="12">
        <v>1.5904809630743799</v>
      </c>
      <c r="I2075" s="20">
        <v>2.0201698658207201</v>
      </c>
      <c r="J2075" s="28">
        <v>4.3365770859909503E-2</v>
      </c>
      <c r="K2075" s="29">
        <v>0.48336203641537401</v>
      </c>
    </row>
    <row r="2076" spans="1:11" x14ac:dyDescent="0.35">
      <c r="A2076" s="9" t="str">
        <f>HYPERLINK("http://www.ensembl.org/id/WBGene00015590", "WBGene00015590")</f>
        <v>WBGene00015590</v>
      </c>
      <c r="B2076" s="9" t="str">
        <f>HYPERLINK("http://www.ncbi.nlm.nih.gov/gene/182393", "182393")</f>
        <v>182393</v>
      </c>
      <c r="C2076" s="9"/>
      <c r="D2076" t="str">
        <f>"bath-15"</f>
        <v>bath-15</v>
      </c>
      <c r="E2076" t="s">
        <v>1700</v>
      </c>
      <c r="F2076" t="s">
        <v>11</v>
      </c>
      <c r="G2076" t="s">
        <v>54</v>
      </c>
      <c r="H2076" s="12">
        <v>-1.7888233783042899</v>
      </c>
      <c r="I2076" s="20">
        <v>-2.01959423360623</v>
      </c>
      <c r="J2076" s="28">
        <v>4.3425493780891201E-2</v>
      </c>
      <c r="K2076" s="29">
        <v>0.48379433910379499</v>
      </c>
    </row>
    <row r="2077" spans="1:11" x14ac:dyDescent="0.35">
      <c r="A2077" s="9" t="str">
        <f>HYPERLINK("http://www.ensembl.org/id/WBGene00020381", "WBGene00020381")</f>
        <v>WBGene00020381</v>
      </c>
      <c r="B2077" s="9" t="str">
        <f>HYPERLINK("http://www.ncbi.nlm.nih.gov/gene/188318", "188318")</f>
        <v>188318</v>
      </c>
      <c r="C2077" s="9"/>
      <c r="D2077" t="str">
        <f>"T09B4.7"</f>
        <v>T09B4.7</v>
      </c>
      <c r="F2077" t="s">
        <v>11</v>
      </c>
      <c r="G2077" t="s">
        <v>444</v>
      </c>
      <c r="H2077" s="12">
        <v>8.5378144641287292</v>
      </c>
      <c r="I2077" s="20">
        <v>2.0190543816994002</v>
      </c>
      <c r="J2077" s="28">
        <v>4.34815675545396E-2</v>
      </c>
      <c r="K2077" s="29">
        <v>0.48418559032057501</v>
      </c>
    </row>
    <row r="2078" spans="1:11" x14ac:dyDescent="0.35">
      <c r="A2078" s="9" t="str">
        <f>HYPERLINK("http://www.ensembl.org/id/WBGene00020157", "WBGene00020157")</f>
        <v>WBGene00020157</v>
      </c>
      <c r="B2078" s="9" t="str">
        <f>HYPERLINK("http://www.ncbi.nlm.nih.gov/gene/178594", "178594")</f>
        <v>178594</v>
      </c>
      <c r="C2078" s="9"/>
      <c r="D2078" t="str">
        <f>"T02B11.6"</f>
        <v>T02B11.6</v>
      </c>
      <c r="F2078" t="s">
        <v>11</v>
      </c>
      <c r="G2078" t="s">
        <v>230</v>
      </c>
      <c r="H2078" s="12">
        <v>1.66606107243614</v>
      </c>
      <c r="I2078" s="20">
        <v>2.01817013737225</v>
      </c>
      <c r="J2078" s="28">
        <v>4.3573545096027198E-2</v>
      </c>
      <c r="K2078" s="29">
        <v>0.48497607562081102</v>
      </c>
    </row>
    <row r="2079" spans="1:11" x14ac:dyDescent="0.35">
      <c r="A2079" s="9" t="str">
        <f>HYPERLINK("http://www.ensembl.org/id/WBGene00011398", "WBGene00011398")</f>
        <v>WBGene00011398</v>
      </c>
      <c r="B2079" s="9" t="str">
        <f>HYPERLINK("http://www.ncbi.nlm.nih.gov/gene/176762", "176762")</f>
        <v>176762</v>
      </c>
      <c r="C2079" s="9" t="str">
        <f>HYPERLINK("http://www.ncbi.nlm.nih.gov/gene/5860", "5860")</f>
        <v>5860</v>
      </c>
      <c r="D2079" t="str">
        <f>"qdpr-1"</f>
        <v>qdpr-1</v>
      </c>
      <c r="E2079" t="s">
        <v>1701</v>
      </c>
      <c r="F2079" t="s">
        <v>11</v>
      </c>
      <c r="G2079" t="s">
        <v>1702</v>
      </c>
      <c r="H2079" s="12">
        <v>1.4839541734003101</v>
      </c>
      <c r="I2079" s="20">
        <v>2.0179085188881598</v>
      </c>
      <c r="J2079" s="28">
        <v>4.3600789675042502E-2</v>
      </c>
      <c r="K2079" s="29">
        <v>0.48504566501277502</v>
      </c>
    </row>
    <row r="2080" spans="1:11" x14ac:dyDescent="0.35">
      <c r="A2080" s="9" t="str">
        <f>HYPERLINK("http://www.ensembl.org/id/WBGene00007488", "WBGene00007488")</f>
        <v>WBGene00007488</v>
      </c>
      <c r="B2080" s="9" t="str">
        <f>HYPERLINK("http://www.ncbi.nlm.nih.gov/gene/174649", "174649")</f>
        <v>174649</v>
      </c>
      <c r="C2080" s="9"/>
      <c r="D2080" t="str">
        <f>"dph-2"</f>
        <v>dph-2</v>
      </c>
      <c r="E2080" t="s">
        <v>1705</v>
      </c>
      <c r="F2080" t="s">
        <v>11</v>
      </c>
      <c r="G2080" t="s">
        <v>1706</v>
      </c>
      <c r="H2080" s="12">
        <v>-1.6721542199557899</v>
      </c>
      <c r="I2080" s="20">
        <v>-2.0172535229704001</v>
      </c>
      <c r="J2080" s="28">
        <v>4.36690631354631E-2</v>
      </c>
      <c r="K2080" s="29">
        <v>0.48514980619737602</v>
      </c>
    </row>
    <row r="2081" spans="1:11" x14ac:dyDescent="0.35">
      <c r="A2081" s="9" t="str">
        <f>HYPERLINK("http://www.ensembl.org/id/WBGene00018743", "WBGene00018743")</f>
        <v>WBGene00018743</v>
      </c>
      <c r="B2081" s="9" t="str">
        <f>HYPERLINK("http://www.ncbi.nlm.nih.gov/gene/180578", "180578")</f>
        <v>180578</v>
      </c>
      <c r="C2081" s="9"/>
      <c r="D2081" t="str">
        <f>"F53B3.5"</f>
        <v>F53B3.5</v>
      </c>
      <c r="F2081" t="s">
        <v>11</v>
      </c>
      <c r="G2081" t="s">
        <v>25</v>
      </c>
      <c r="H2081" s="12">
        <v>1.4840899750094101</v>
      </c>
      <c r="I2081" s="20">
        <v>2.0170574966834902</v>
      </c>
      <c r="J2081" s="28">
        <v>4.3689513470057603E-2</v>
      </c>
      <c r="K2081" s="29">
        <v>0.48514980619737602</v>
      </c>
    </row>
    <row r="2082" spans="1:11" x14ac:dyDescent="0.35">
      <c r="A2082" s="9" t="str">
        <f>HYPERLINK("http://www.ensembl.org/id/WBGene00006306", "WBGene00006306")</f>
        <v>WBGene00006306</v>
      </c>
      <c r="B2082" s="9" t="str">
        <f>HYPERLINK("http://www.ncbi.nlm.nih.gov/gene/184108", "184108")</f>
        <v>184108</v>
      </c>
      <c r="C2082" s="9"/>
      <c r="D2082" t="str">
        <f>"sue-1"</f>
        <v>sue-1</v>
      </c>
      <c r="E2082" t="s">
        <v>1703</v>
      </c>
      <c r="F2082" t="s">
        <v>11</v>
      </c>
      <c r="G2082" t="s">
        <v>1704</v>
      </c>
      <c r="H2082" s="12">
        <v>1.5089800288695501</v>
      </c>
      <c r="I2082" s="20">
        <v>2.01701318154461</v>
      </c>
      <c r="J2082" s="28">
        <v>4.3694137743302101E-2</v>
      </c>
      <c r="K2082" s="29">
        <v>0.48514980619737602</v>
      </c>
    </row>
    <row r="2083" spans="1:11" x14ac:dyDescent="0.35">
      <c r="A2083" s="9" t="str">
        <f>HYPERLINK("http://www.ensembl.org/id/WBGene00044212", "WBGene00044212")</f>
        <v>WBGene00044212</v>
      </c>
      <c r="B2083" s="9" t="str">
        <f>HYPERLINK("http://www.ncbi.nlm.nih.gov/gene/3564815", "3564815")</f>
        <v>3564815</v>
      </c>
      <c r="C2083" s="9"/>
      <c r="D2083" t="str">
        <f>"Y68A4A.13"</f>
        <v>Y68A4A.13</v>
      </c>
      <c r="F2083" t="s">
        <v>11</v>
      </c>
      <c r="H2083" s="12">
        <v>-1.94701534958804</v>
      </c>
      <c r="I2083" s="20">
        <v>-2.0175039715949201</v>
      </c>
      <c r="J2083" s="28">
        <v>4.3642946983863902E-2</v>
      </c>
      <c r="K2083" s="29">
        <v>0.48514980619737602</v>
      </c>
    </row>
    <row r="2084" spans="1:11" x14ac:dyDescent="0.35">
      <c r="A2084" s="9" t="str">
        <f>HYPERLINK("http://www.ensembl.org/id/WBGene00017261", "WBGene00017261")</f>
        <v>WBGene00017261</v>
      </c>
      <c r="B2084" s="9" t="str">
        <f>HYPERLINK("http://www.ncbi.nlm.nih.gov/gene/178928", "178928")</f>
        <v>178928</v>
      </c>
      <c r="C2084" s="9" t="str">
        <f>HYPERLINK("http://www.ncbi.nlm.nih.gov/gene/57678", "57678")</f>
        <v>57678</v>
      </c>
      <c r="D2084" t="str">
        <f>"acl-6"</f>
        <v>acl-6</v>
      </c>
      <c r="E2084" t="s">
        <v>1707</v>
      </c>
      <c r="F2084" t="s">
        <v>11</v>
      </c>
      <c r="G2084" t="s">
        <v>1708</v>
      </c>
      <c r="H2084" s="12">
        <v>-1.5069061695046599</v>
      </c>
      <c r="I2084" s="20">
        <v>-2.016201160759</v>
      </c>
      <c r="J2084" s="28">
        <v>4.37789451114967E-2</v>
      </c>
      <c r="K2084" s="29">
        <v>0.48539170141374399</v>
      </c>
    </row>
    <row r="2085" spans="1:11" x14ac:dyDescent="0.35">
      <c r="A2085" s="9" t="str">
        <f>HYPERLINK("http://www.ensembl.org/id/WBGene00016130", "WBGene00016130")</f>
        <v>WBGene00016130</v>
      </c>
      <c r="B2085" s="9" t="str">
        <f>HYPERLINK("http://www.ncbi.nlm.nih.gov/gene/182930", "182930")</f>
        <v>182930</v>
      </c>
      <c r="C2085" s="9"/>
      <c r="D2085" t="str">
        <f>"C26B2.8"</f>
        <v>C26B2.8</v>
      </c>
      <c r="F2085" t="s">
        <v>11</v>
      </c>
      <c r="H2085" s="12">
        <v>3.98126357376661</v>
      </c>
      <c r="I2085" s="20">
        <v>2.0162872295954499</v>
      </c>
      <c r="J2085" s="28">
        <v>4.3769949510129497E-2</v>
      </c>
      <c r="K2085" s="29">
        <v>0.48539170141374399</v>
      </c>
    </row>
    <row r="2086" spans="1:11" x14ac:dyDescent="0.35">
      <c r="A2086" s="9" t="str">
        <f>HYPERLINK("http://www.ensembl.org/id/WBGene00013442", "WBGene00013442")</f>
        <v>WBGene00013442</v>
      </c>
      <c r="B2086" s="9" t="str">
        <f>HYPERLINK("http://www.ncbi.nlm.nih.gov/gene/190499", "190499")</f>
        <v>190499</v>
      </c>
      <c r="C2086" s="9"/>
      <c r="D2086" t="str">
        <f>"Y66D12A.16"</f>
        <v>Y66D12A.16</v>
      </c>
      <c r="F2086" t="s">
        <v>11</v>
      </c>
      <c r="H2086" s="12">
        <v>-1.94615604767381</v>
      </c>
      <c r="I2086" s="20">
        <v>-2.0165253375533299</v>
      </c>
      <c r="J2086" s="28">
        <v>4.37450714653249E-2</v>
      </c>
      <c r="K2086" s="29">
        <v>0.48539170141374399</v>
      </c>
    </row>
    <row r="2087" spans="1:11" x14ac:dyDescent="0.35">
      <c r="A2087" s="9" t="str">
        <f>HYPERLINK("http://www.ensembl.org/id/WBGene00016061", "WBGene00016061")</f>
        <v>WBGene00016061</v>
      </c>
      <c r="B2087" s="9" t="str">
        <f>HYPERLINK("http://www.ncbi.nlm.nih.gov/gene/178934", "178934")</f>
        <v>178934</v>
      </c>
      <c r="C2087" s="9"/>
      <c r="D2087" t="str">
        <f>"hpo-15"</f>
        <v>hpo-15</v>
      </c>
      <c r="F2087" t="s">
        <v>11</v>
      </c>
      <c r="G2087" t="s">
        <v>1711</v>
      </c>
      <c r="H2087" s="12">
        <v>-1.6698484824036599</v>
      </c>
      <c r="I2087" s="20">
        <v>-2.0151317490987402</v>
      </c>
      <c r="J2087" s="28">
        <v>4.38908463955828E-2</v>
      </c>
      <c r="K2087" s="29">
        <v>0.48546763849513502</v>
      </c>
    </row>
    <row r="2088" spans="1:11" x14ac:dyDescent="0.35">
      <c r="A2088" s="9" t="str">
        <f>HYPERLINK("http://www.ensembl.org/id/WBGene00011221", "WBGene00011221")</f>
        <v>WBGene00011221</v>
      </c>
      <c r="B2088" s="9" t="str">
        <f>HYPERLINK("http://www.ncbi.nlm.nih.gov/gene/187782", "187782")</f>
        <v>187782</v>
      </c>
      <c r="C2088" s="9"/>
      <c r="D2088" t="str">
        <f>"R10E12.2"</f>
        <v>R10E12.2</v>
      </c>
      <c r="F2088" t="s">
        <v>11</v>
      </c>
      <c r="H2088" s="12">
        <v>1.51211986681781</v>
      </c>
      <c r="I2088" s="20">
        <v>2.0152865570554499</v>
      </c>
      <c r="J2088" s="28">
        <v>4.3874632639143402E-2</v>
      </c>
      <c r="K2088" s="29">
        <v>0.48546763849513502</v>
      </c>
    </row>
    <row r="2089" spans="1:11" x14ac:dyDescent="0.35">
      <c r="A2089" s="9" t="str">
        <f>HYPERLINK("http://www.ensembl.org/id/WBGene00020156", "WBGene00020156")</f>
        <v>WBGene00020156</v>
      </c>
      <c r="B2089" s="9" t="str">
        <f>HYPERLINK("http://www.ncbi.nlm.nih.gov/gene/187981", "187981")</f>
        <v>187981</v>
      </c>
      <c r="C2089" s="9"/>
      <c r="D2089" t="str">
        <f>"T02B11.4"</f>
        <v>T02B11.4</v>
      </c>
      <c r="F2089" t="s">
        <v>11</v>
      </c>
      <c r="H2089" s="12">
        <v>1.6016843788331601</v>
      </c>
      <c r="I2089" s="20">
        <v>2.0156088038559501</v>
      </c>
      <c r="J2089" s="28">
        <v>4.3840898454733199E-2</v>
      </c>
      <c r="K2089" s="29">
        <v>0.48546763849513502</v>
      </c>
    </row>
    <row r="2090" spans="1:11" x14ac:dyDescent="0.35">
      <c r="A2090" s="9" t="str">
        <f>HYPERLINK("http://www.ensembl.org/id/WBGene00006749", "WBGene00006749")</f>
        <v>WBGene00006749</v>
      </c>
      <c r="B2090" s="9" t="str">
        <f>HYPERLINK("http://www.ncbi.nlm.nih.gov/gene/181443", "181443")</f>
        <v>181443</v>
      </c>
      <c r="C2090" s="9"/>
      <c r="D2090" t="str">
        <f>"unc-9"</f>
        <v>unc-9</v>
      </c>
      <c r="E2090" t="s">
        <v>1709</v>
      </c>
      <c r="F2090" t="s">
        <v>11</v>
      </c>
      <c r="G2090" t="s">
        <v>1710</v>
      </c>
      <c r="H2090" s="12">
        <v>1.51283650689726</v>
      </c>
      <c r="I2090" s="20">
        <v>2.01535347202541</v>
      </c>
      <c r="J2090" s="28">
        <v>4.3867625889103597E-2</v>
      </c>
      <c r="K2090" s="29">
        <v>0.48546763849513502</v>
      </c>
    </row>
    <row r="2091" spans="1:11" x14ac:dyDescent="0.35">
      <c r="A2091" s="9" t="str">
        <f>HYPERLINK("http://www.ensembl.org/id/WBGene00235114", "WBGene00235114")</f>
        <v>WBGene00235114</v>
      </c>
      <c r="B2091" s="9" t="str">
        <f>HYPERLINK("http://www.ncbi.nlm.nih.gov/gene/24105275", "24105275")</f>
        <v>24105275</v>
      </c>
      <c r="C2091" s="9"/>
      <c r="D2091" t="str">
        <f>"ZK105.13"</f>
        <v>ZK105.13</v>
      </c>
      <c r="F2091" t="s">
        <v>11</v>
      </c>
      <c r="H2091" s="12">
        <v>2.3389730425741302</v>
      </c>
      <c r="I2091" s="20">
        <v>2.0153383438430401</v>
      </c>
      <c r="J2091" s="28">
        <v>4.38692098973026E-2</v>
      </c>
      <c r="K2091" s="29">
        <v>0.48546763849513502</v>
      </c>
    </row>
    <row r="2092" spans="1:11" x14ac:dyDescent="0.35">
      <c r="A2092" s="9" t="str">
        <f>HYPERLINK("http://www.ensembl.org/id/WBGene00020258", "WBGene00020258")</f>
        <v>WBGene00020258</v>
      </c>
      <c r="B2092" s="9" t="str">
        <f>HYPERLINK("http://www.ncbi.nlm.nih.gov/gene/172309", "172309")</f>
        <v>172309</v>
      </c>
      <c r="C2092" s="9"/>
      <c r="D2092" t="str">
        <f>"T05E7.1"</f>
        <v>T05E7.1</v>
      </c>
      <c r="F2092" t="s">
        <v>11</v>
      </c>
      <c r="G2092" t="s">
        <v>1712</v>
      </c>
      <c r="H2092" s="12">
        <v>-1.7104134492559899</v>
      </c>
      <c r="I2092" s="20">
        <v>-2.0149244919058602</v>
      </c>
      <c r="J2092" s="28">
        <v>4.3912561324430499E-2</v>
      </c>
      <c r="K2092" s="29">
        <v>0.48547542677621602</v>
      </c>
    </row>
    <row r="2093" spans="1:11" x14ac:dyDescent="0.35">
      <c r="A2093" s="9" t="str">
        <f>HYPERLINK("http://www.ensembl.org/id/WBGene00010815", "WBGene00010815")</f>
        <v>WBGene00010815</v>
      </c>
      <c r="B2093" s="9" t="str">
        <f>HYPERLINK("http://www.ncbi.nlm.nih.gov/gene/3565369", "3565369")</f>
        <v>3565369</v>
      </c>
      <c r="C2093" s="9" t="str">
        <f>HYPERLINK("http://www.ncbi.nlm.nih.gov/gene/9827", "9827")</f>
        <v>9827</v>
      </c>
      <c r="D2093" t="str">
        <f>"M01F1.9"</f>
        <v>M01F1.9</v>
      </c>
      <c r="F2093" t="s">
        <v>11</v>
      </c>
      <c r="G2093" t="s">
        <v>1713</v>
      </c>
      <c r="H2093" s="12">
        <v>-1.5406305736319399</v>
      </c>
      <c r="I2093" s="20">
        <v>-2.0140590227768</v>
      </c>
      <c r="J2093" s="28">
        <v>4.4003337051627803E-2</v>
      </c>
      <c r="K2093" s="29">
        <v>0.48624634429216201</v>
      </c>
    </row>
    <row r="2094" spans="1:11" x14ac:dyDescent="0.35">
      <c r="A2094" s="9" t="str">
        <f>HYPERLINK("http://www.ensembl.org/id/WBGene00016816", "WBGene00016816")</f>
        <v>WBGene00016816</v>
      </c>
      <c r="B2094" s="9" t="str">
        <f>HYPERLINK("http://www.ncbi.nlm.nih.gov/gene/183656", "183656")</f>
        <v>183656</v>
      </c>
      <c r="C2094" s="9"/>
      <c r="D2094" t="str">
        <f>"C50E3.5"</f>
        <v>C50E3.5</v>
      </c>
      <c r="F2094" t="s">
        <v>11</v>
      </c>
      <c r="H2094" s="12">
        <v>-1.5638737423393501</v>
      </c>
      <c r="I2094" s="20">
        <v>-2.0133733207434701</v>
      </c>
      <c r="J2094" s="28">
        <v>4.4075370132972802E-2</v>
      </c>
      <c r="K2094" s="29">
        <v>0.48642436438422698</v>
      </c>
    </row>
    <row r="2095" spans="1:11" x14ac:dyDescent="0.35">
      <c r="A2095" s="9" t="str">
        <f>HYPERLINK("http://www.ensembl.org/id/WBGene00020442", "WBGene00020442")</f>
        <v>WBGene00020442</v>
      </c>
      <c r="B2095" s="9" t="str">
        <f>HYPERLINK("http://www.ncbi.nlm.nih.gov/gene/175885", "175885")</f>
        <v>175885</v>
      </c>
      <c r="C2095" s="9"/>
      <c r="D2095" t="str">
        <f>"gen-1"</f>
        <v>gen-1</v>
      </c>
      <c r="E2095" t="s">
        <v>1714</v>
      </c>
      <c r="F2095" t="s">
        <v>11</v>
      </c>
      <c r="G2095" t="s">
        <v>1715</v>
      </c>
      <c r="H2095" s="12">
        <v>-1.4810535537098</v>
      </c>
      <c r="I2095" s="20">
        <v>-2.0136871319269298</v>
      </c>
      <c r="J2095" s="28">
        <v>4.4042391886306202E-2</v>
      </c>
      <c r="K2095" s="29">
        <v>0.48642436438422698</v>
      </c>
    </row>
    <row r="2096" spans="1:11" x14ac:dyDescent="0.35">
      <c r="A2096" s="9" t="str">
        <f>HYPERLINK("http://www.ensembl.org/id/WBGene00014008", "WBGene00014008")</f>
        <v>WBGene00014008</v>
      </c>
      <c r="B2096" s="9" t="str">
        <f>HYPERLINK("http://www.ncbi.nlm.nih.gov/gene/191357", "191357")</f>
        <v>191357</v>
      </c>
      <c r="C2096" s="9"/>
      <c r="D2096" t="str">
        <f>"ZK596.3"</f>
        <v>ZK596.3</v>
      </c>
      <c r="F2096" t="s">
        <v>11</v>
      </c>
      <c r="G2096" t="s">
        <v>25</v>
      </c>
      <c r="H2096" s="12">
        <v>2.6607052188674301</v>
      </c>
      <c r="I2096" s="20">
        <v>2.0133045238648601</v>
      </c>
      <c r="J2096" s="28">
        <v>4.40826027447664E-2</v>
      </c>
      <c r="K2096" s="29">
        <v>0.48642436438422698</v>
      </c>
    </row>
    <row r="2097" spans="1:11" x14ac:dyDescent="0.35">
      <c r="A2097" s="9" t="str">
        <f>HYPERLINK("http://www.ensembl.org/id/WBGene00004808", "WBGene00004808")</f>
        <v>WBGene00004808</v>
      </c>
      <c r="B2097" s="9" t="str">
        <f>HYPERLINK("http://www.ncbi.nlm.nih.gov/gene/172773", "172773")</f>
        <v>172773</v>
      </c>
      <c r="C2097" s="9" t="str">
        <f>HYPERLINK("http://www.ncbi.nlm.nih.gov/gene/6500", "6500")</f>
        <v>6500</v>
      </c>
      <c r="D2097" t="str">
        <f>"skr-2"</f>
        <v>skr-2</v>
      </c>
      <c r="E2097" t="s">
        <v>1716</v>
      </c>
      <c r="F2097" t="s">
        <v>11</v>
      </c>
      <c r="G2097" t="s">
        <v>1717</v>
      </c>
      <c r="H2097" s="12">
        <v>-1.56847625774914</v>
      </c>
      <c r="I2097" s="20">
        <v>-2.01298221842158</v>
      </c>
      <c r="J2097" s="28">
        <v>4.4116500039902598E-2</v>
      </c>
      <c r="K2097" s="29">
        <v>0.48656603814892102</v>
      </c>
    </row>
    <row r="2098" spans="1:11" x14ac:dyDescent="0.35">
      <c r="A2098" s="9" t="str">
        <f>HYPERLINK("http://www.ensembl.org/id/WBGene00013611", "WBGene00013611")</f>
        <v>WBGene00013611</v>
      </c>
      <c r="B2098" s="9" t="str">
        <f>HYPERLINK("http://www.ncbi.nlm.nih.gov/gene/190829", "190829")</f>
        <v>190829</v>
      </c>
      <c r="C2098" s="9"/>
      <c r="D2098" t="str">
        <f>"Y102A5C.2"</f>
        <v>Y102A5C.2</v>
      </c>
      <c r="F2098" t="s">
        <v>11</v>
      </c>
      <c r="H2098" s="12">
        <v>-2.5161873829367201</v>
      </c>
      <c r="I2098" s="20">
        <v>-2.0125551989750199</v>
      </c>
      <c r="J2098" s="28">
        <v>4.4161444130567898E-2</v>
      </c>
      <c r="K2098" s="29">
        <v>0.48682935500043101</v>
      </c>
    </row>
    <row r="2099" spans="1:11" x14ac:dyDescent="0.35">
      <c r="A2099" s="9" t="str">
        <f>HYPERLINK("http://www.ensembl.org/id/WBGene00000650", "WBGene00000650")</f>
        <v>WBGene00000650</v>
      </c>
      <c r="B2099" s="9" t="str">
        <f>HYPERLINK("http://www.ncbi.nlm.nih.gov/gene/173989", "173989")</f>
        <v>173989</v>
      </c>
      <c r="C2099" s="9"/>
      <c r="D2099" t="str">
        <f>"col-74"</f>
        <v>col-74</v>
      </c>
      <c r="E2099" t="s">
        <v>40</v>
      </c>
      <c r="F2099" t="s">
        <v>11</v>
      </c>
      <c r="G2099" t="s">
        <v>41</v>
      </c>
      <c r="H2099" s="12">
        <v>-2.4084009442284602</v>
      </c>
      <c r="I2099" s="20">
        <v>-2.0121851625134499</v>
      </c>
      <c r="J2099" s="28">
        <v>4.4200421972854197E-2</v>
      </c>
      <c r="K2099" s="29">
        <v>0.48702668102278002</v>
      </c>
    </row>
    <row r="2100" spans="1:11" x14ac:dyDescent="0.35">
      <c r="A2100" s="9" t="str">
        <f>HYPERLINK("http://www.ensembl.org/id/WBGene00015328", "WBGene00015328")</f>
        <v>WBGene00015328</v>
      </c>
      <c r="B2100" s="9" t="str">
        <f>HYPERLINK("http://www.ncbi.nlm.nih.gov/gene/177284", "177284")</f>
        <v>177284</v>
      </c>
      <c r="C2100" s="9"/>
      <c r="D2100" t="str">
        <f>"C02B10.3"</f>
        <v>C02B10.3</v>
      </c>
      <c r="E2100" t="s">
        <v>1718</v>
      </c>
      <c r="F2100" t="s">
        <v>11</v>
      </c>
      <c r="G2100" t="s">
        <v>25</v>
      </c>
      <c r="H2100" s="12">
        <v>1.4857975634646301</v>
      </c>
      <c r="I2100" s="20">
        <v>2.0118424529557299</v>
      </c>
      <c r="J2100" s="28">
        <v>4.4236547227627397E-2</v>
      </c>
      <c r="K2100" s="29">
        <v>0.48719240240303102</v>
      </c>
    </row>
    <row r="2101" spans="1:11" x14ac:dyDescent="0.35">
      <c r="A2101" s="9" t="str">
        <f>HYPERLINK("http://www.ensembl.org/id/WBGene00008042", "WBGene00008042")</f>
        <v>WBGene00008042</v>
      </c>
      <c r="B2101" s="9" t="str">
        <f>HYPERLINK("http://www.ncbi.nlm.nih.gov/gene/176311", "176311")</f>
        <v>176311</v>
      </c>
      <c r="C2101" s="9"/>
      <c r="D2101" t="str">
        <f>"C40H1.7"</f>
        <v>C40H1.7</v>
      </c>
      <c r="F2101" t="s">
        <v>11</v>
      </c>
      <c r="G2101" t="s">
        <v>29</v>
      </c>
      <c r="H2101" s="12">
        <v>-1.9108505256280801</v>
      </c>
      <c r="I2101" s="20">
        <v>-2.01064747168558</v>
      </c>
      <c r="J2101" s="28">
        <v>4.4362706032568103E-2</v>
      </c>
      <c r="K2101" s="29">
        <v>0.48770653983808399</v>
      </c>
    </row>
    <row r="2102" spans="1:11" x14ac:dyDescent="0.35">
      <c r="A2102" s="9" t="str">
        <f>HYPERLINK("http://www.ensembl.org/id/WBGene00001163", "WBGene00001163")</f>
        <v>WBGene00001163</v>
      </c>
      <c r="B2102" s="9" t="str">
        <f>HYPERLINK("http://www.ncbi.nlm.nih.gov/gene/177949", "177949")</f>
        <v>177949</v>
      </c>
      <c r="C2102" s="9"/>
      <c r="D2102" t="str">
        <f>"efn-2"</f>
        <v>efn-2</v>
      </c>
      <c r="E2102" t="s">
        <v>1719</v>
      </c>
      <c r="F2102" t="s">
        <v>11</v>
      </c>
      <c r="G2102" t="s">
        <v>1720</v>
      </c>
      <c r="H2102" s="12">
        <v>1.6019170722229901</v>
      </c>
      <c r="I2102" s="20">
        <v>2.0106006081904302</v>
      </c>
      <c r="J2102" s="28">
        <v>4.4367659774069597E-2</v>
      </c>
      <c r="K2102" s="29">
        <v>0.48770653983808399</v>
      </c>
    </row>
    <row r="2103" spans="1:11" x14ac:dyDescent="0.35">
      <c r="A2103" s="9" t="str">
        <f>HYPERLINK("http://www.ensembl.org/id/WBGene00012222", "WBGene00012222")</f>
        <v>WBGene00012222</v>
      </c>
      <c r="B2103" s="9" t="str">
        <f>HYPERLINK("http://www.ncbi.nlm.nih.gov/gene/189149", "189149")</f>
        <v>189149</v>
      </c>
      <c r="C2103" s="9" t="str">
        <f>HYPERLINK("http://www.ncbi.nlm.nih.gov/gene/256471", "256471")</f>
        <v>256471</v>
      </c>
      <c r="D2103" t="str">
        <f>"W03C9.6"</f>
        <v>W03C9.6</v>
      </c>
      <c r="F2103" t="s">
        <v>11</v>
      </c>
      <c r="G2103" t="s">
        <v>230</v>
      </c>
      <c r="H2103" s="12">
        <v>1.62528686058997</v>
      </c>
      <c r="I2103" s="20">
        <v>2.0107440159261798</v>
      </c>
      <c r="J2103" s="28">
        <v>4.4352502221173901E-2</v>
      </c>
      <c r="K2103" s="29">
        <v>0.48770653983808399</v>
      </c>
    </row>
    <row r="2104" spans="1:11" x14ac:dyDescent="0.35">
      <c r="A2104" s="9" t="str">
        <f>HYPERLINK("http://www.ensembl.org/id/WBGene00044922", "WBGene00044922")</f>
        <v>WBGene00044922</v>
      </c>
      <c r="B2104" s="9" t="str">
        <f>HYPERLINK("http://www.ncbi.nlm.nih.gov/gene/4927022", "4927022")</f>
        <v>4927022</v>
      </c>
      <c r="C2104" s="9"/>
      <c r="D2104" t="str">
        <f>"Y43C5A.7"</f>
        <v>Y43C5A.7</v>
      </c>
      <c r="F2104" t="s">
        <v>11</v>
      </c>
      <c r="G2104" t="s">
        <v>25</v>
      </c>
      <c r="H2104" s="12">
        <v>2.02291371763783</v>
      </c>
      <c r="I2104" s="20">
        <v>2.0110873142829702</v>
      </c>
      <c r="J2104" s="28">
        <v>4.4316234879056199E-2</v>
      </c>
      <c r="K2104" s="29">
        <v>0.48770653983808399</v>
      </c>
    </row>
    <row r="2105" spans="1:11" x14ac:dyDescent="0.35">
      <c r="A2105" s="9" t="str">
        <f>HYPERLINK("http://www.ensembl.org/id/WBGene00010977", "WBGene00010977")</f>
        <v>WBGene00010977</v>
      </c>
      <c r="B2105" s="9" t="str">
        <f>HYPERLINK("http://www.ncbi.nlm.nih.gov/gene/187521", "187521")</f>
        <v>187521</v>
      </c>
      <c r="C2105" s="9"/>
      <c r="D2105" t="str">
        <f>"R02D5.3"</f>
        <v>R02D5.3</v>
      </c>
      <c r="F2105" t="s">
        <v>11</v>
      </c>
      <c r="G2105" t="s">
        <v>603</v>
      </c>
      <c r="H2105" s="12">
        <v>-1.6019469893948199</v>
      </c>
      <c r="I2105" s="20">
        <v>-2.0100945059485502</v>
      </c>
      <c r="J2105" s="28">
        <v>4.44211874452023E-2</v>
      </c>
      <c r="K2105" s="29">
        <v>0.48783077809355702</v>
      </c>
    </row>
    <row r="2106" spans="1:11" x14ac:dyDescent="0.35">
      <c r="A2106" s="9" t="str">
        <f>HYPERLINK("http://www.ensembl.org/id/WBGene00021442", "WBGene00021442")</f>
        <v>WBGene00021442</v>
      </c>
      <c r="B2106" s="9" t="str">
        <f>HYPERLINK("http://www.ncbi.nlm.nih.gov/gene/175325", "175325")</f>
        <v>175325</v>
      </c>
      <c r="C2106" s="9"/>
      <c r="D2106" t="str">
        <f>"Y39A3CL.4"</f>
        <v>Y39A3CL.4</v>
      </c>
      <c r="F2106" t="s">
        <v>11</v>
      </c>
      <c r="H2106" s="12">
        <v>-1.5083553211812899</v>
      </c>
      <c r="I2106" s="20">
        <v>-2.0102531587516799</v>
      </c>
      <c r="J2106" s="28">
        <v>4.44044017437678E-2</v>
      </c>
      <c r="K2106" s="29">
        <v>0.48783077809355702</v>
      </c>
    </row>
    <row r="2107" spans="1:11" x14ac:dyDescent="0.35">
      <c r="A2107" s="9" t="str">
        <f>HYPERLINK("http://www.ensembl.org/id/WBGene00018678", "WBGene00018678")</f>
        <v>WBGene00018678</v>
      </c>
      <c r="B2107" s="9" t="str">
        <f>HYPERLINK("http://www.ncbi.nlm.nih.gov/gene/176996", "176996")</f>
        <v>176996</v>
      </c>
      <c r="C2107" s="9" t="str">
        <f>HYPERLINK("http://www.ncbi.nlm.nih.gov/gene/55775", "55775")</f>
        <v>55775</v>
      </c>
      <c r="D2107" t="str">
        <f>"F52C12.1"</f>
        <v>F52C12.1</v>
      </c>
      <c r="E2107" t="s">
        <v>1721</v>
      </c>
      <c r="F2107" t="s">
        <v>11</v>
      </c>
      <c r="G2107" t="s">
        <v>1722</v>
      </c>
      <c r="H2107" s="12">
        <v>-1.5527130214351199</v>
      </c>
      <c r="I2107" s="20">
        <v>-2.00949040656262</v>
      </c>
      <c r="J2107" s="28">
        <v>4.4485151070407201E-2</v>
      </c>
      <c r="K2107" s="29">
        <v>0.48830114044314898</v>
      </c>
    </row>
    <row r="2108" spans="1:11" x14ac:dyDescent="0.35">
      <c r="A2108" s="9" t="str">
        <f>HYPERLINK("http://www.ensembl.org/id/WBGene00044204", "WBGene00044204")</f>
        <v>WBGene00044204</v>
      </c>
      <c r="B2108" s="9" t="str">
        <f>HYPERLINK("http://www.ncbi.nlm.nih.gov/gene/3565884", "3565884")</f>
        <v>3565884</v>
      </c>
      <c r="C2108" s="9"/>
      <c r="D2108" t="str">
        <f>"suds-3"</f>
        <v>suds-3</v>
      </c>
      <c r="F2108" t="s">
        <v>11</v>
      </c>
      <c r="H2108" s="12">
        <v>-1.5644692505342599</v>
      </c>
      <c r="I2108" s="20">
        <v>-2.0092668899011499</v>
      </c>
      <c r="J2108" s="28">
        <v>4.4508837287860398E-2</v>
      </c>
      <c r="K2108" s="29">
        <v>0.48832915212407502</v>
      </c>
    </row>
    <row r="2109" spans="1:11" x14ac:dyDescent="0.35">
      <c r="A2109" s="9" t="str">
        <f>HYPERLINK("http://www.ensembl.org/id/WBGene00015705", "WBGene00015705")</f>
        <v>WBGene00015705</v>
      </c>
      <c r="B2109" s="9" t="str">
        <f>HYPERLINK("http://www.ncbi.nlm.nih.gov/gene/182533", "182533")</f>
        <v>182533</v>
      </c>
      <c r="C2109" s="9"/>
      <c r="D2109" t="str">
        <f>"nhr-152"</f>
        <v>nhr-152</v>
      </c>
      <c r="E2109" t="s">
        <v>637</v>
      </c>
      <c r="F2109" t="s">
        <v>11</v>
      </c>
      <c r="G2109" t="s">
        <v>638</v>
      </c>
      <c r="H2109" s="12">
        <v>1.86384059079751</v>
      </c>
      <c r="I2109" s="20">
        <v>2.0086768647350999</v>
      </c>
      <c r="J2109" s="28">
        <v>4.4571413792335E-2</v>
      </c>
      <c r="K2109" s="29">
        <v>0.48876263022868699</v>
      </c>
    </row>
    <row r="2110" spans="1:11" x14ac:dyDescent="0.35">
      <c r="A2110" s="9" t="str">
        <f>HYPERLINK("http://www.ensembl.org/id/WBGene00005020", "WBGene00005020")</f>
        <v>WBGene00005020</v>
      </c>
      <c r="B2110" s="9" t="str">
        <f>HYPERLINK("http://www.ncbi.nlm.nih.gov/gene/173635", "173635")</f>
        <v>173635</v>
      </c>
      <c r="C2110" s="9" t="str">
        <f>HYPERLINK("http://www.ncbi.nlm.nih.gov/gene/126792", "126792")</f>
        <v>126792</v>
      </c>
      <c r="D2110" t="str">
        <f>"sqv-2"</f>
        <v>sqv-2</v>
      </c>
      <c r="E2110" t="s">
        <v>1723</v>
      </c>
      <c r="F2110" t="s">
        <v>11</v>
      </c>
      <c r="G2110" t="s">
        <v>1724</v>
      </c>
      <c r="H2110" s="12">
        <v>-1.58038393486436</v>
      </c>
      <c r="I2110" s="20">
        <v>-2.00849560289315</v>
      </c>
      <c r="J2110" s="28">
        <v>4.4590652840044598E-2</v>
      </c>
      <c r="K2110" s="29">
        <v>0.48876263022868699</v>
      </c>
    </row>
    <row r="2111" spans="1:11" x14ac:dyDescent="0.35">
      <c r="A2111" s="9" t="str">
        <f>HYPERLINK("http://www.ensembl.org/id/WBGene00044011", "WBGene00044011")</f>
        <v>WBGene00044011</v>
      </c>
      <c r="B2111" s="9" t="str">
        <f>HYPERLINK("http://www.ncbi.nlm.nih.gov/gene/179350", "179350")</f>
        <v>179350</v>
      </c>
      <c r="C2111" s="9"/>
      <c r="D2111" t="str">
        <f>"T06E4.12"</f>
        <v>T06E4.12</v>
      </c>
      <c r="F2111" t="s">
        <v>11</v>
      </c>
      <c r="H2111" s="12">
        <v>15.8206173445739</v>
      </c>
      <c r="I2111" s="20">
        <v>2.00778267256679</v>
      </c>
      <c r="J2111" s="28">
        <v>4.4666390915328098E-2</v>
      </c>
      <c r="K2111" s="29">
        <v>0.48936065836394999</v>
      </c>
    </row>
    <row r="2112" spans="1:11" x14ac:dyDescent="0.35">
      <c r="A2112" s="9" t="str">
        <f>HYPERLINK("http://www.ensembl.org/id/WBGene00008139", "WBGene00008139")</f>
        <v>WBGene00008139</v>
      </c>
      <c r="B2112" s="9" t="str">
        <f>HYPERLINK("http://www.ncbi.nlm.nih.gov/gene/183549", "183549")</f>
        <v>183549</v>
      </c>
      <c r="C2112" s="9"/>
      <c r="D2112" t="str">
        <f>"C47D12.5"</f>
        <v>C47D12.5</v>
      </c>
      <c r="F2112" t="s">
        <v>11</v>
      </c>
      <c r="G2112" t="s">
        <v>25</v>
      </c>
      <c r="H2112" s="12">
        <v>-1.5353676727008101</v>
      </c>
      <c r="I2112" s="20">
        <v>-2.0074025622274201</v>
      </c>
      <c r="J2112" s="28">
        <v>4.4706816229784903E-2</v>
      </c>
      <c r="K2112" s="29">
        <v>0.48957141981299102</v>
      </c>
    </row>
    <row r="2113" spans="1:11" x14ac:dyDescent="0.35">
      <c r="A2113" s="9" t="str">
        <f>HYPERLINK("http://www.ensembl.org/id/WBGene00007758", "WBGene00007758")</f>
        <v>WBGene00007758</v>
      </c>
      <c r="B2113" s="9" t="str">
        <f>HYPERLINK("http://www.ncbi.nlm.nih.gov/gene/3565832", "3565832")</f>
        <v>3565832</v>
      </c>
      <c r="C2113" s="9"/>
      <c r="D2113" t="str">
        <f>"C27A7.8"</f>
        <v>C27A7.8</v>
      </c>
      <c r="F2113" t="s">
        <v>11</v>
      </c>
      <c r="H2113" s="12">
        <v>-1.67256199302018</v>
      </c>
      <c r="I2113" s="20">
        <v>-2.0068434190494902</v>
      </c>
      <c r="J2113" s="28">
        <v>4.4766338046311201E-2</v>
      </c>
      <c r="K2113" s="29">
        <v>0.48999100279396801</v>
      </c>
    </row>
    <row r="2114" spans="1:11" x14ac:dyDescent="0.35">
      <c r="A2114" s="9" t="str">
        <f>HYPERLINK("http://www.ensembl.org/id/WBGene00012340", "WBGene00012340")</f>
        <v>WBGene00012340</v>
      </c>
      <c r="B2114" s="9" t="str">
        <f>HYPERLINK("http://www.ncbi.nlm.nih.gov/gene/189289", "189289")</f>
        <v>189289</v>
      </c>
      <c r="C2114" s="9"/>
      <c r="D2114" t="str">
        <f>"dct-15"</f>
        <v>dct-15</v>
      </c>
      <c r="E2114" t="s">
        <v>1725</v>
      </c>
      <c r="F2114" t="s">
        <v>11</v>
      </c>
      <c r="G2114" t="s">
        <v>1726</v>
      </c>
      <c r="H2114" s="12">
        <v>2.1248052553314398</v>
      </c>
      <c r="I2114" s="20">
        <v>2.00649439312508</v>
      </c>
      <c r="J2114" s="28">
        <v>4.4803526369334899E-2</v>
      </c>
      <c r="K2114" s="29">
        <v>0.49016585240996802</v>
      </c>
    </row>
    <row r="2115" spans="1:11" x14ac:dyDescent="0.35">
      <c r="A2115" s="9" t="str">
        <f>HYPERLINK("http://www.ensembl.org/id/WBGene00013030", "WBGene00013030")</f>
        <v>WBGene00013030</v>
      </c>
      <c r="B2115" s="9" t="str">
        <f>HYPERLINK("http://www.ncbi.nlm.nih.gov/gene/176664", "176664")</f>
        <v>176664</v>
      </c>
      <c r="C2115" s="9"/>
      <c r="D2115" t="str">
        <f>"Y49E10.4"</f>
        <v>Y49E10.4</v>
      </c>
      <c r="F2115" t="s">
        <v>11</v>
      </c>
      <c r="G2115" t="s">
        <v>1727</v>
      </c>
      <c r="H2115" s="12">
        <v>-1.6008803739641599</v>
      </c>
      <c r="I2115" s="20">
        <v>-2.0056437369153701</v>
      </c>
      <c r="J2115" s="28">
        <v>4.4894271993624502E-2</v>
      </c>
      <c r="K2115" s="29">
        <v>0.49092619436094997</v>
      </c>
    </row>
    <row r="2116" spans="1:11" x14ac:dyDescent="0.35">
      <c r="A2116" s="9" t="str">
        <f>HYPERLINK("http://www.ensembl.org/id/WBGene00003989", "WBGene00003989")</f>
        <v>WBGene00003989</v>
      </c>
      <c r="B2116" s="9" t="str">
        <f>HYPERLINK("http://www.ncbi.nlm.nih.gov/gene/173161", "173161")</f>
        <v>173161</v>
      </c>
      <c r="C2116" s="9"/>
      <c r="D2116" t="str">
        <f>"pfn-1"</f>
        <v>pfn-1</v>
      </c>
      <c r="E2116" t="s">
        <v>1728</v>
      </c>
      <c r="F2116" t="s">
        <v>11</v>
      </c>
      <c r="G2116" t="s">
        <v>1729</v>
      </c>
      <c r="H2116" s="12">
        <v>-1.43846296821348</v>
      </c>
      <c r="I2116" s="20">
        <v>-2.0043456141133298</v>
      </c>
      <c r="J2116" s="28">
        <v>4.5033050826622401E-2</v>
      </c>
      <c r="K2116" s="29">
        <v>0.49221081948909001</v>
      </c>
    </row>
    <row r="2117" spans="1:11" x14ac:dyDescent="0.35">
      <c r="A2117" s="9" t="str">
        <f>HYPERLINK("http://www.ensembl.org/id/WBGene00004210", "WBGene00004210")</f>
        <v>WBGene00004210</v>
      </c>
      <c r="B2117" s="9" t="str">
        <f>HYPERLINK("http://www.ncbi.nlm.nih.gov/gene/173631", "173631")</f>
        <v>173631</v>
      </c>
      <c r="C2117" s="9" t="str">
        <f>HYPERLINK("http://www.ncbi.nlm.nih.gov/gene/5727", "5727")</f>
        <v>5727</v>
      </c>
      <c r="D2117" t="str">
        <f>"ptc-3"</f>
        <v>ptc-3</v>
      </c>
      <c r="F2117" t="s">
        <v>11</v>
      </c>
      <c r="G2117" t="s">
        <v>1268</v>
      </c>
      <c r="H2117" s="12">
        <v>1.45829302683347</v>
      </c>
      <c r="I2117" s="20">
        <v>2.0038737028735198</v>
      </c>
      <c r="J2117" s="28">
        <v>4.5083591166677602E-2</v>
      </c>
      <c r="K2117" s="29">
        <v>0.49253023995141998</v>
      </c>
    </row>
    <row r="2118" spans="1:11" x14ac:dyDescent="0.35">
      <c r="A2118" s="9" t="str">
        <f>HYPERLINK("http://www.ensembl.org/id/WBGene00017031", "WBGene00017031")</f>
        <v>WBGene00017031</v>
      </c>
      <c r="B2118" s="9" t="str">
        <f>HYPERLINK("http://www.ncbi.nlm.nih.gov/gene/175762", "175762")</f>
        <v>175762</v>
      </c>
      <c r="C2118" s="9"/>
      <c r="D2118" t="str">
        <f>"D1044.6"</f>
        <v>D1044.6</v>
      </c>
      <c r="F2118" t="s">
        <v>11</v>
      </c>
      <c r="G2118" t="s">
        <v>1731</v>
      </c>
      <c r="H2118" s="12">
        <v>-1.4951784858127699</v>
      </c>
      <c r="I2118" s="20">
        <v>-2.0031499134275799</v>
      </c>
      <c r="J2118" s="28">
        <v>4.5161199860911501E-2</v>
      </c>
      <c r="K2118" s="29">
        <v>0.49291199054615997</v>
      </c>
    </row>
    <row r="2119" spans="1:11" x14ac:dyDescent="0.35">
      <c r="A2119" s="9" t="str">
        <f>HYPERLINK("http://www.ensembl.org/id/WBGene00019163", "WBGene00019163")</f>
        <v>WBGene00019163</v>
      </c>
      <c r="B2119" s="9" t="str">
        <f>HYPERLINK("http://www.ncbi.nlm.nih.gov/gene/177253", "177253")</f>
        <v>177253</v>
      </c>
      <c r="C2119" s="9" t="str">
        <f>HYPERLINK("http://www.ncbi.nlm.nih.gov/gene/80700", "80700")</f>
        <v>80700</v>
      </c>
      <c r="D2119" t="str">
        <f>"ubxn-6"</f>
        <v>ubxn-6</v>
      </c>
      <c r="E2119" t="s">
        <v>1730</v>
      </c>
      <c r="F2119" t="s">
        <v>11</v>
      </c>
      <c r="G2119" t="s">
        <v>54</v>
      </c>
      <c r="H2119" s="12">
        <v>-1.46589442757877</v>
      </c>
      <c r="I2119" s="20">
        <v>-2.0032546190557099</v>
      </c>
      <c r="J2119" s="28">
        <v>4.5149965782653803E-2</v>
      </c>
      <c r="K2119" s="29">
        <v>0.49291199054615997</v>
      </c>
    </row>
    <row r="2120" spans="1:11" x14ac:dyDescent="0.35">
      <c r="A2120" s="9" t="str">
        <f>HYPERLINK("http://www.ensembl.org/id/WBGene00007644", "WBGene00007644")</f>
        <v>WBGene00007644</v>
      </c>
      <c r="B2120" s="9" t="str">
        <f>HYPERLINK("http://www.ncbi.nlm.nih.gov/gene/182725", "182725")</f>
        <v>182725</v>
      </c>
      <c r="C2120" s="9"/>
      <c r="D2120" t="str">
        <f>"C17E4.4"</f>
        <v>C17E4.4</v>
      </c>
      <c r="F2120" t="s">
        <v>11</v>
      </c>
      <c r="G2120" t="s">
        <v>25</v>
      </c>
      <c r="H2120" s="12">
        <v>-2.5549106002570401</v>
      </c>
      <c r="I2120" s="20">
        <v>-2.0020510479348799</v>
      </c>
      <c r="J2120" s="28">
        <v>4.5279241568067598E-2</v>
      </c>
      <c r="K2120" s="29">
        <v>0.493967023452205</v>
      </c>
    </row>
    <row r="2121" spans="1:11" x14ac:dyDescent="0.35">
      <c r="A2121" s="9" t="str">
        <f>HYPERLINK("http://www.ensembl.org/id/WBGene00000283", "WBGene00000283")</f>
        <v>WBGene00000283</v>
      </c>
      <c r="B2121" s="9" t="str">
        <f>HYPERLINK("http://www.ncbi.nlm.nih.gov/gene/180972", "180972")</f>
        <v>180972</v>
      </c>
      <c r="C2121" s="9" t="str">
        <f>HYPERLINK("http://www.ncbi.nlm.nih.gov/gene/766", "766")</f>
        <v>766</v>
      </c>
      <c r="D2121" t="str">
        <f>"cah-5"</f>
        <v>cah-5</v>
      </c>
      <c r="E2121" t="s">
        <v>1732</v>
      </c>
      <c r="F2121" t="s">
        <v>11</v>
      </c>
      <c r="G2121" t="s">
        <v>1733</v>
      </c>
      <c r="H2121" s="12">
        <v>1.54962346051818</v>
      </c>
      <c r="I2121" s="20">
        <v>1.9996088343504299</v>
      </c>
      <c r="J2121" s="28">
        <v>4.5542519244941203E-2</v>
      </c>
      <c r="K2121" s="29">
        <v>0.49598900537210899</v>
      </c>
    </row>
    <row r="2122" spans="1:11" x14ac:dyDescent="0.35">
      <c r="A2122" s="9" t="str">
        <f>HYPERLINK("http://www.ensembl.org/id/WBGene00018409", "WBGene00018409")</f>
        <v>WBGene00018409</v>
      </c>
      <c r="B2122" s="9" t="str">
        <f>HYPERLINK("http://www.ncbi.nlm.nih.gov/gene/176131", "176131")</f>
        <v>176131</v>
      </c>
      <c r="C2122" s="9" t="str">
        <f>HYPERLINK("http://www.ncbi.nlm.nih.gov/gene/5985", "5985")</f>
        <v>5985</v>
      </c>
      <c r="D2122" t="str">
        <f>"F44B9.8"</f>
        <v>F44B9.8</v>
      </c>
      <c r="E2122" t="s">
        <v>1735</v>
      </c>
      <c r="F2122" t="s">
        <v>11</v>
      </c>
      <c r="G2122" t="s">
        <v>1736</v>
      </c>
      <c r="H2122" s="12">
        <v>-1.5147219845184401</v>
      </c>
      <c r="I2122" s="20">
        <v>-1.99933689654613</v>
      </c>
      <c r="J2122" s="28">
        <v>4.55719145851722E-2</v>
      </c>
      <c r="K2122" s="29">
        <v>0.49598900537210899</v>
      </c>
    </row>
    <row r="2123" spans="1:11" x14ac:dyDescent="0.35">
      <c r="A2123" s="9" t="str">
        <f>HYPERLINK("http://www.ensembl.org/id/WBGene00011431", "WBGene00011431")</f>
        <v>WBGene00011431</v>
      </c>
      <c r="B2123" s="9" t="str">
        <f>HYPERLINK("http://www.ncbi.nlm.nih.gov/gene/173197", "173197")</f>
        <v>173197</v>
      </c>
      <c r="C2123" s="9"/>
      <c r="D2123" t="str">
        <f>"T04D3.1"</f>
        <v>T04D3.1</v>
      </c>
      <c r="F2123" t="s">
        <v>11</v>
      </c>
      <c r="G2123" t="s">
        <v>854</v>
      </c>
      <c r="H2123" s="12">
        <v>-1.7131726295328999</v>
      </c>
      <c r="I2123" s="20">
        <v>-1.9999259324945799</v>
      </c>
      <c r="J2123" s="28">
        <v>4.5508262441178102E-2</v>
      </c>
      <c r="K2123" s="29">
        <v>0.49598900537210899</v>
      </c>
    </row>
    <row r="2124" spans="1:11" x14ac:dyDescent="0.35">
      <c r="A2124" s="9" t="str">
        <f>HYPERLINK("http://www.ensembl.org/id/WBGene00021002", "WBGene00021002")</f>
        <v>WBGene00021002</v>
      </c>
      <c r="B2124" s="9" t="str">
        <f>HYPERLINK("http://www.ncbi.nlm.nih.gov/gene/178543", "178543")</f>
        <v>178543</v>
      </c>
      <c r="C2124" s="9"/>
      <c r="D2124" t="str">
        <f>"W03F9.4"</f>
        <v>W03F9.4</v>
      </c>
      <c r="F2124" t="s">
        <v>11</v>
      </c>
      <c r="G2124" t="s">
        <v>1734</v>
      </c>
      <c r="H2124" s="12">
        <v>1.54953659489489</v>
      </c>
      <c r="I2124" s="20">
        <v>1.9996992148041399</v>
      </c>
      <c r="J2124" s="28">
        <v>4.5532753034014703E-2</v>
      </c>
      <c r="K2124" s="29">
        <v>0.49598900537210899</v>
      </c>
    </row>
    <row r="2125" spans="1:11" x14ac:dyDescent="0.35">
      <c r="A2125" s="9" t="str">
        <f>HYPERLINK("http://www.ensembl.org/id/WBGene00021080", "WBGene00021080")</f>
        <v>WBGene00021080</v>
      </c>
      <c r="B2125" s="9" t="str">
        <f>HYPERLINK("http://www.ncbi.nlm.nih.gov/gene/178785", "178785")</f>
        <v>178785</v>
      </c>
      <c r="C2125" s="9"/>
      <c r="D2125" t="str">
        <f>"W08A12.3"</f>
        <v>W08A12.3</v>
      </c>
      <c r="F2125" t="s">
        <v>11</v>
      </c>
      <c r="G2125" t="s">
        <v>25</v>
      </c>
      <c r="H2125" s="12">
        <v>1.8224283814170701</v>
      </c>
      <c r="I2125" s="20">
        <v>1.9994396678491599</v>
      </c>
      <c r="J2125" s="28">
        <v>4.55608035579586E-2</v>
      </c>
      <c r="K2125" s="29">
        <v>0.49598900537210899</v>
      </c>
    </row>
    <row r="2126" spans="1:11" x14ac:dyDescent="0.35">
      <c r="A2126" s="9" t="str">
        <f>HYPERLINK("http://www.ensembl.org/id/WBGene00018609", "WBGene00018609")</f>
        <v>WBGene00018609</v>
      </c>
      <c r="B2126" s="9" t="str">
        <f>HYPERLINK("http://www.ncbi.nlm.nih.gov/gene/175752", "175752")</f>
        <v>175752</v>
      </c>
      <c r="C2126" s="9"/>
      <c r="D2126" t="str">
        <f>"F48E8.2"</f>
        <v>F48E8.2</v>
      </c>
      <c r="F2126" t="s">
        <v>11</v>
      </c>
      <c r="G2126" t="s">
        <v>1737</v>
      </c>
      <c r="H2126" s="12">
        <v>-1.4893059174297101</v>
      </c>
      <c r="I2126" s="20">
        <v>-1.9987240146062699</v>
      </c>
      <c r="J2126" s="28">
        <v>4.5638223187442199E-2</v>
      </c>
      <c r="K2126" s="29">
        <v>0.49647682908146901</v>
      </c>
    </row>
    <row r="2127" spans="1:11" x14ac:dyDescent="0.35">
      <c r="A2127" s="9" t="str">
        <f>HYPERLINK("http://www.ensembl.org/id/WBGene00011935", "WBGene00011935")</f>
        <v>WBGene00011935</v>
      </c>
      <c r="B2127" s="9" t="str">
        <f>HYPERLINK("http://www.ncbi.nlm.nih.gov/gene/173053", "173053")</f>
        <v>173053</v>
      </c>
      <c r="C2127" s="9" t="str">
        <f>HYPERLINK("http://www.ncbi.nlm.nih.gov/gene/5359", "5359")</f>
        <v>5359</v>
      </c>
      <c r="D2127" t="str">
        <f>"scrm-1"</f>
        <v>scrm-1</v>
      </c>
      <c r="E2127" t="s">
        <v>1622</v>
      </c>
      <c r="F2127" t="s">
        <v>11</v>
      </c>
      <c r="G2127" t="s">
        <v>1738</v>
      </c>
      <c r="H2127" s="12">
        <v>-1.4356434955452</v>
      </c>
      <c r="I2127" s="20">
        <v>-1.9984535593297901</v>
      </c>
      <c r="J2127" s="28">
        <v>4.5667509985460902E-2</v>
      </c>
      <c r="K2127" s="29">
        <v>0.49656164034073402</v>
      </c>
    </row>
    <row r="2128" spans="1:11" x14ac:dyDescent="0.35">
      <c r="A2128" s="9" t="str">
        <f>HYPERLINK("http://www.ensembl.org/id/WBGene00018025", "WBGene00018025")</f>
        <v>WBGene00018025</v>
      </c>
      <c r="B2128" s="9" t="str">
        <f>HYPERLINK("http://www.ncbi.nlm.nih.gov/gene/185247", "185247")</f>
        <v>185247</v>
      </c>
      <c r="C2128" s="9"/>
      <c r="D2128" t="str">
        <f>"F35A5.2"</f>
        <v>F35A5.2</v>
      </c>
      <c r="F2128" t="s">
        <v>11</v>
      </c>
      <c r="H2128" s="12">
        <v>2.1030773196534902</v>
      </c>
      <c r="I2128" s="20">
        <v>1.9974766322602</v>
      </c>
      <c r="J2128" s="28">
        <v>4.57734304530025E-2</v>
      </c>
      <c r="K2128" s="29">
        <v>0.49724536156421101</v>
      </c>
    </row>
    <row r="2129" spans="1:11" x14ac:dyDescent="0.35">
      <c r="A2129" s="9" t="str">
        <f>HYPERLINK("http://www.ensembl.org/id/WBGene00012346", "WBGene00012346")</f>
        <v>WBGene00012346</v>
      </c>
      <c r="B2129" s="9" t="str">
        <f>HYPERLINK("http://www.ncbi.nlm.nih.gov/gene/180099", "180099")</f>
        <v>180099</v>
      </c>
      <c r="C2129" s="9"/>
      <c r="D2129" t="str">
        <f>"W08G11.1"</f>
        <v>W08G11.1</v>
      </c>
      <c r="F2129" t="s">
        <v>11</v>
      </c>
      <c r="G2129" t="s">
        <v>25</v>
      </c>
      <c r="H2129" s="12">
        <v>5.9855784515252397</v>
      </c>
      <c r="I2129" s="20">
        <v>1.9976077188772501</v>
      </c>
      <c r="J2129" s="28">
        <v>4.5759205757393701E-2</v>
      </c>
      <c r="K2129" s="29">
        <v>0.49724536156421101</v>
      </c>
    </row>
    <row r="2130" spans="1:11" x14ac:dyDescent="0.35">
      <c r="A2130" s="9" t="str">
        <f>HYPERLINK("http://www.ensembl.org/id/WBGene00009166", "WBGene00009166")</f>
        <v>WBGene00009166</v>
      </c>
      <c r="B2130" s="9" t="str">
        <f>HYPERLINK("http://www.ncbi.nlm.nih.gov/gene/184982", "184982")</f>
        <v>184982</v>
      </c>
      <c r="C2130" s="9"/>
      <c r="D2130" t="str">
        <f>"F26F2.1"</f>
        <v>F26F2.1</v>
      </c>
      <c r="F2130" t="s">
        <v>11</v>
      </c>
      <c r="G2130" t="s">
        <v>1739</v>
      </c>
      <c r="H2130" s="12">
        <v>3.0515385066465601</v>
      </c>
      <c r="I2130" s="20">
        <v>1.9965357044312999</v>
      </c>
      <c r="J2130" s="28">
        <v>4.5875643402775897E-2</v>
      </c>
      <c r="K2130" s="29">
        <v>0.49812153029348599</v>
      </c>
    </row>
    <row r="2131" spans="1:11" x14ac:dyDescent="0.35">
      <c r="A2131" s="9" t="str">
        <f>HYPERLINK("http://www.ensembl.org/id/WBGene00010056", "WBGene00010056")</f>
        <v>WBGene00010056</v>
      </c>
      <c r="B2131" s="9" t="str">
        <f>HYPERLINK("http://www.ncbi.nlm.nih.gov/gene/174776", "174776")</f>
        <v>174776</v>
      </c>
      <c r="C2131" s="9"/>
      <c r="D2131" t="str">
        <f>"smc-6"</f>
        <v>smc-6</v>
      </c>
      <c r="E2131" t="s">
        <v>1740</v>
      </c>
      <c r="F2131" t="s">
        <v>11</v>
      </c>
      <c r="G2131" t="s">
        <v>1741</v>
      </c>
      <c r="H2131" s="12">
        <v>-1.48510463932388</v>
      </c>
      <c r="I2131" s="20">
        <v>-1.99568503939285</v>
      </c>
      <c r="J2131" s="28">
        <v>4.5968216527582602E-2</v>
      </c>
      <c r="K2131" s="29">
        <v>0.49865803337386</v>
      </c>
    </row>
    <row r="2132" spans="1:11" x14ac:dyDescent="0.35">
      <c r="A2132" s="9" t="str">
        <f>HYPERLINK("http://www.ensembl.org/id/WBGene00020201", "WBGene00020201")</f>
        <v>WBGene00020201</v>
      </c>
      <c r="B2132" s="9" t="str">
        <f>HYPERLINK("http://www.ncbi.nlm.nih.gov/gene/188036", "188036")</f>
        <v>188036</v>
      </c>
      <c r="C2132" s="9"/>
      <c r="D2132" t="str">
        <f>"T04A6.2"</f>
        <v>T04A6.2</v>
      </c>
      <c r="F2132" t="s">
        <v>11</v>
      </c>
      <c r="G2132" t="s">
        <v>25</v>
      </c>
      <c r="H2132" s="12">
        <v>-1.66818523024801</v>
      </c>
      <c r="I2132" s="20">
        <v>-1.9957092384789299</v>
      </c>
      <c r="J2132" s="28">
        <v>4.59655809035475E-2</v>
      </c>
      <c r="K2132" s="29">
        <v>0.49865803337386</v>
      </c>
    </row>
    <row r="2133" spans="1:11" x14ac:dyDescent="0.35">
      <c r="A2133" s="9" t="str">
        <f>HYPERLINK("http://www.ensembl.org/id/WBGene00044488", "WBGene00044488")</f>
        <v>WBGene00044488</v>
      </c>
      <c r="B2133" s="9" t="str">
        <f>HYPERLINK("http://www.ncbi.nlm.nih.gov/gene/3896802", "3896802")</f>
        <v>3896802</v>
      </c>
      <c r="C2133" s="9"/>
      <c r="D2133" t="str">
        <f>"Y54G2A.45"</f>
        <v>Y54G2A.45</v>
      </c>
      <c r="F2133" t="s">
        <v>11</v>
      </c>
      <c r="G2133" t="s">
        <v>29</v>
      </c>
      <c r="H2133" s="12">
        <v>-1.7887862440529101</v>
      </c>
      <c r="I2133" s="20">
        <v>-1.9947582920033</v>
      </c>
      <c r="J2133" s="28">
        <v>4.6069248298573298E-2</v>
      </c>
      <c r="K2133" s="29">
        <v>0.49951949844525301</v>
      </c>
    </row>
    <row r="2134" spans="1:11" x14ac:dyDescent="0.35">
      <c r="A2134" s="9" t="str">
        <f>HYPERLINK("http://www.ensembl.org/id/WBGene00000058", "WBGene00000058")</f>
        <v>WBGene00000058</v>
      </c>
      <c r="B2134" s="9" t="str">
        <f>HYPERLINK("http://www.ncbi.nlm.nih.gov/gene/191605", "191605")</f>
        <v>191605</v>
      </c>
      <c r="C2134" s="9"/>
      <c r="D2134" t="str">
        <f>"acr-19"</f>
        <v>acr-19</v>
      </c>
      <c r="E2134" t="s">
        <v>1742</v>
      </c>
      <c r="F2134" t="s">
        <v>11</v>
      </c>
      <c r="G2134" t="s">
        <v>1743</v>
      </c>
      <c r="H2134" s="12">
        <v>1.89701239562749</v>
      </c>
      <c r="I2134" s="20">
        <v>1.9907639206173899</v>
      </c>
      <c r="J2134" s="28">
        <v>4.65068476218711E-2</v>
      </c>
      <c r="K2134" s="29">
        <v>0.50076496843711304</v>
      </c>
    </row>
    <row r="2135" spans="1:11" x14ac:dyDescent="0.35">
      <c r="A2135" s="9" t="str">
        <f>HYPERLINK("http://www.ensembl.org/id/WBGene00013538", "WBGene00013538")</f>
        <v>WBGene00013538</v>
      </c>
      <c r="B2135" s="9" t="str">
        <f>HYPERLINK("http://www.ncbi.nlm.nih.gov/gene/178437", "178437")</f>
        <v>178437</v>
      </c>
      <c r="C2135" s="9"/>
      <c r="D2135" t="str">
        <f>"ari-1.4"</f>
        <v>ari-1.4</v>
      </c>
      <c r="E2135" t="s">
        <v>1143</v>
      </c>
      <c r="F2135" t="s">
        <v>11</v>
      </c>
      <c r="G2135" t="s">
        <v>1748</v>
      </c>
      <c r="H2135" s="12">
        <v>-1.48438247140336</v>
      </c>
      <c r="I2135" s="20">
        <v>-1.99219738444148</v>
      </c>
      <c r="J2135" s="28">
        <v>4.6349405115055198E-2</v>
      </c>
      <c r="K2135" s="29">
        <v>0.50076496843711304</v>
      </c>
    </row>
    <row r="2136" spans="1:11" x14ac:dyDescent="0.35">
      <c r="A2136" s="9" t="str">
        <f>HYPERLINK("http://www.ensembl.org/id/WBGene00015145", "WBGene00015145")</f>
        <v>WBGene00015145</v>
      </c>
      <c r="B2136" s="9" t="str">
        <f>HYPERLINK("http://www.ncbi.nlm.nih.gov/gene/175790", "175790")</f>
        <v>175790</v>
      </c>
      <c r="C2136" s="9"/>
      <c r="D2136" t="str">
        <f>"arle-14"</f>
        <v>arle-14</v>
      </c>
      <c r="E2136" t="s">
        <v>1753</v>
      </c>
      <c r="F2136" t="s">
        <v>11</v>
      </c>
      <c r="G2136" t="s">
        <v>1754</v>
      </c>
      <c r="H2136" s="12">
        <v>-1.5636149042798899</v>
      </c>
      <c r="I2136" s="20">
        <v>-1.99307303115303</v>
      </c>
      <c r="J2136" s="28">
        <v>4.6253450634431301E-2</v>
      </c>
      <c r="K2136" s="29">
        <v>0.50076496843711304</v>
      </c>
    </row>
    <row r="2137" spans="1:11" x14ac:dyDescent="0.35">
      <c r="A2137" s="9" t="str">
        <f>HYPERLINK("http://www.ensembl.org/id/WBGene00015635", "WBGene00015635")</f>
        <v>WBGene00015635</v>
      </c>
      <c r="B2137" s="9" t="str">
        <f>HYPERLINK("http://www.ncbi.nlm.nih.gov/gene/172200", "172200")</f>
        <v>172200</v>
      </c>
      <c r="C2137" s="9" t="str">
        <f>HYPERLINK("http://www.ncbi.nlm.nih.gov/gene/57579", "57579")</f>
        <v>57579</v>
      </c>
      <c r="D2137" t="str">
        <f>"C09D4.4"</f>
        <v>C09D4.4</v>
      </c>
      <c r="F2137" t="s">
        <v>11</v>
      </c>
      <c r="G2137" t="s">
        <v>1749</v>
      </c>
      <c r="H2137" s="12">
        <v>-1.49871181454536</v>
      </c>
      <c r="I2137" s="20">
        <v>-1.99194795124167</v>
      </c>
      <c r="J2137" s="28">
        <v>4.6376768971676197E-2</v>
      </c>
      <c r="K2137" s="29">
        <v>0.50076496843711304</v>
      </c>
    </row>
    <row r="2138" spans="1:11" x14ac:dyDescent="0.35">
      <c r="A2138" s="9" t="str">
        <f>HYPERLINK("http://www.ensembl.org/id/WBGene00022103", "WBGene00022103")</f>
        <v>WBGene00022103</v>
      </c>
      <c r="B2138" s="9" t="str">
        <f>HYPERLINK("http://www.ncbi.nlm.nih.gov/gene/190583", "190583")</f>
        <v>190583</v>
      </c>
      <c r="C2138" s="9"/>
      <c r="D2138" t="str">
        <f>"cdh-12"</f>
        <v>cdh-12</v>
      </c>
      <c r="E2138" t="s">
        <v>527</v>
      </c>
      <c r="F2138" t="s">
        <v>11</v>
      </c>
      <c r="G2138" t="s">
        <v>1207</v>
      </c>
      <c r="H2138" s="12">
        <v>1.8368979543448301</v>
      </c>
      <c r="I2138" s="20">
        <v>1.9928489599744099</v>
      </c>
      <c r="J2138" s="28">
        <v>4.6277988701060403E-2</v>
      </c>
      <c r="K2138" s="29">
        <v>0.50076496843711304</v>
      </c>
    </row>
    <row r="2139" spans="1:11" x14ac:dyDescent="0.35">
      <c r="A2139" s="9" t="str">
        <f>HYPERLINK("http://www.ensembl.org/id/WBGene00000789", "WBGene00000789")</f>
        <v>WBGene00000789</v>
      </c>
      <c r="B2139" s="9" t="str">
        <f>HYPERLINK("http://www.ncbi.nlm.nih.gov/gene/179818", "179818")</f>
        <v>179818</v>
      </c>
      <c r="C2139" s="9"/>
      <c r="D2139" t="str">
        <f>"cpz-2"</f>
        <v>cpz-2</v>
      </c>
      <c r="E2139" t="s">
        <v>1752</v>
      </c>
      <c r="F2139" t="s">
        <v>11</v>
      </c>
      <c r="G2139" t="s">
        <v>180</v>
      </c>
      <c r="H2139" s="12">
        <v>-1.52918420867925</v>
      </c>
      <c r="I2139" s="20">
        <v>-1.9907425154391201</v>
      </c>
      <c r="J2139" s="28">
        <v>4.6509202036962002E-2</v>
      </c>
      <c r="K2139" s="29">
        <v>0.50076496843711304</v>
      </c>
    </row>
    <row r="2140" spans="1:11" x14ac:dyDescent="0.35">
      <c r="A2140" s="9" t="str">
        <f>HYPERLINK("http://www.ensembl.org/id/WBGene00018284", "WBGene00018284")</f>
        <v>WBGene00018284</v>
      </c>
      <c r="B2140" s="9" t="str">
        <f>HYPERLINK("http://www.ncbi.nlm.nih.gov/gene/185617", "185617")</f>
        <v>185617</v>
      </c>
      <c r="C2140" s="9"/>
      <c r="D2140" t="str">
        <f>"F41E6.1"</f>
        <v>F41E6.1</v>
      </c>
      <c r="F2140" t="s">
        <v>11</v>
      </c>
      <c r="G2140" t="s">
        <v>25</v>
      </c>
      <c r="H2140" s="12">
        <v>9.8332411564541005</v>
      </c>
      <c r="I2140" s="20">
        <v>1.9920220785112199</v>
      </c>
      <c r="J2140" s="28">
        <v>4.6368635482755903E-2</v>
      </c>
      <c r="K2140" s="29">
        <v>0.50076496843711304</v>
      </c>
    </row>
    <row r="2141" spans="1:11" x14ac:dyDescent="0.35">
      <c r="A2141" s="9" t="str">
        <f>HYPERLINK("http://www.ensembl.org/id/WBGene00010665", "WBGene00010665")</f>
        <v>WBGene00010665</v>
      </c>
      <c r="B2141" s="9" t="str">
        <f>HYPERLINK("http://www.ncbi.nlm.nih.gov/gene/176814", "176814")</f>
        <v>176814</v>
      </c>
      <c r="C2141" s="9" t="str">
        <f>HYPERLINK("http://www.ncbi.nlm.nih.gov/gene/7360", "7360")</f>
        <v>7360</v>
      </c>
      <c r="D2141" t="str">
        <f>"K08E3.5"</f>
        <v>K08E3.5</v>
      </c>
      <c r="E2141" t="s">
        <v>921</v>
      </c>
      <c r="F2141" t="s">
        <v>11</v>
      </c>
      <c r="G2141" t="s">
        <v>1747</v>
      </c>
      <c r="H2141" s="12">
        <v>-1.4411718441686301</v>
      </c>
      <c r="I2141" s="20">
        <v>-1.9921783818622301</v>
      </c>
      <c r="J2141" s="28">
        <v>4.6351489298377603E-2</v>
      </c>
      <c r="K2141" s="29">
        <v>0.50076496843711304</v>
      </c>
    </row>
    <row r="2142" spans="1:11" x14ac:dyDescent="0.35">
      <c r="A2142" s="9" t="str">
        <f>HYPERLINK("http://www.ensembl.org/id/WBGene00003933", "WBGene00003933")</f>
        <v>WBGene00003933</v>
      </c>
      <c r="B2142" s="9" t="str">
        <f>HYPERLINK("http://www.ncbi.nlm.nih.gov/gene/181714", "181714")</f>
        <v>181714</v>
      </c>
      <c r="C2142" s="9"/>
      <c r="D2142" t="str">
        <f>"pat-9"</f>
        <v>pat-9</v>
      </c>
      <c r="E2142" t="s">
        <v>1745</v>
      </c>
      <c r="F2142" t="s">
        <v>11</v>
      </c>
      <c r="G2142" t="s">
        <v>1746</v>
      </c>
      <c r="H2142" s="12">
        <v>1.5540342069808499</v>
      </c>
      <c r="I2142" s="20">
        <v>1.99129315255242</v>
      </c>
      <c r="J2142" s="28">
        <v>4.6448667826174697E-2</v>
      </c>
      <c r="K2142" s="29">
        <v>0.50076496843711304</v>
      </c>
    </row>
    <row r="2143" spans="1:11" x14ac:dyDescent="0.35">
      <c r="A2143" s="9" t="str">
        <f>HYPERLINK("http://www.ensembl.org/id/WBGene00011743", "WBGene00011743")</f>
        <v>WBGene00011743</v>
      </c>
      <c r="B2143" s="9" t="str">
        <f>HYPERLINK("http://www.ncbi.nlm.nih.gov/gene/188475", "188475")</f>
        <v>188475</v>
      </c>
      <c r="C2143" s="9"/>
      <c r="D2143" t="str">
        <f>"T13F2.2"</f>
        <v>T13F2.2</v>
      </c>
      <c r="E2143" t="s">
        <v>1750</v>
      </c>
      <c r="F2143" t="s">
        <v>11</v>
      </c>
      <c r="G2143" t="s">
        <v>1751</v>
      </c>
      <c r="H2143" s="12">
        <v>-1.51367627770903</v>
      </c>
      <c r="I2143" s="20">
        <v>-1.9907567356390099</v>
      </c>
      <c r="J2143" s="28">
        <v>4.6507637906440302E-2</v>
      </c>
      <c r="K2143" s="29">
        <v>0.50076496843711304</v>
      </c>
    </row>
    <row r="2144" spans="1:11" x14ac:dyDescent="0.35">
      <c r="A2144" s="9" t="str">
        <f>HYPERLINK("http://www.ensembl.org/id/WBGene00020335", "WBGene00020335")</f>
        <v>WBGene00020335</v>
      </c>
      <c r="B2144" s="9" t="str">
        <f>HYPERLINK("http://www.ncbi.nlm.nih.gov/gene/259716", "259716")</f>
        <v>259716</v>
      </c>
      <c r="C2144" s="9"/>
      <c r="D2144" t="str">
        <f>"ttr-30"</f>
        <v>ttr-30</v>
      </c>
      <c r="E2144" t="s">
        <v>16</v>
      </c>
      <c r="F2144" t="s">
        <v>11</v>
      </c>
      <c r="G2144" t="s">
        <v>17</v>
      </c>
      <c r="H2144" s="12">
        <v>2.00750570492474</v>
      </c>
      <c r="I2144" s="20">
        <v>1.9910950358350901</v>
      </c>
      <c r="J2144" s="28">
        <v>4.6470440115519901E-2</v>
      </c>
      <c r="K2144" s="29">
        <v>0.50076496843711304</v>
      </c>
    </row>
    <row r="2145" spans="1:11" x14ac:dyDescent="0.35">
      <c r="A2145" s="9" t="str">
        <f>HYPERLINK("http://www.ensembl.org/id/WBGene00012524", "WBGene00012524")</f>
        <v>WBGene00012524</v>
      </c>
      <c r="B2145" s="9" t="str">
        <f>HYPERLINK("http://www.ncbi.nlm.nih.gov/gene/180110", "180110")</f>
        <v>180110</v>
      </c>
      <c r="C2145" s="9"/>
      <c r="D2145" t="str">
        <f>"Y32B12B.4"</f>
        <v>Y32B12B.4</v>
      </c>
      <c r="F2145" t="s">
        <v>11</v>
      </c>
      <c r="G2145" t="s">
        <v>1755</v>
      </c>
      <c r="H2145" s="12">
        <v>-1.59702593636905</v>
      </c>
      <c r="I2145" s="20">
        <v>-1.9918888860842301</v>
      </c>
      <c r="J2145" s="28">
        <v>4.6383250655671497E-2</v>
      </c>
      <c r="K2145" s="29">
        <v>0.50076496843711304</v>
      </c>
    </row>
    <row r="2146" spans="1:11" x14ac:dyDescent="0.35">
      <c r="A2146" s="9" t="str">
        <f>HYPERLINK("http://www.ensembl.org/id/WBGene00012961", "WBGene00012961")</f>
        <v>WBGene00012961</v>
      </c>
      <c r="B2146" s="9" t="str">
        <f>HYPERLINK("http://www.ncbi.nlm.nih.gov/gene/173091", "173091")</f>
        <v>173091</v>
      </c>
      <c r="C2146" s="9"/>
      <c r="D2146" t="str">
        <f>"Y47H10A.5"</f>
        <v>Y47H10A.5</v>
      </c>
      <c r="F2146" t="s">
        <v>11</v>
      </c>
      <c r="G2146" t="s">
        <v>644</v>
      </c>
      <c r="H2146" s="12">
        <v>-2.1180879937947998</v>
      </c>
      <c r="I2146" s="20">
        <v>-1.99288687809975</v>
      </c>
      <c r="J2146" s="28">
        <v>4.6273835511470497E-2</v>
      </c>
      <c r="K2146" s="29">
        <v>0.50076496843711304</v>
      </c>
    </row>
    <row r="2147" spans="1:11" x14ac:dyDescent="0.35">
      <c r="A2147" s="9" t="str">
        <f>HYPERLINK("http://www.ensembl.org/id/WBGene00021171", "WBGene00021171")</f>
        <v>WBGene00021171</v>
      </c>
      <c r="B2147" s="9" t="str">
        <f>HYPERLINK("http://www.ncbi.nlm.nih.gov/gene/173723", "173723")</f>
        <v>173723</v>
      </c>
      <c r="C2147" s="9"/>
      <c r="D2147" t="str">
        <f>"Y8A9A.2"</f>
        <v>Y8A9A.2</v>
      </c>
      <c r="F2147" t="s">
        <v>11</v>
      </c>
      <c r="G2147" t="s">
        <v>1744</v>
      </c>
      <c r="H2147" s="12">
        <v>1.8493039881525399</v>
      </c>
      <c r="I2147" s="20">
        <v>1.9911443385621199</v>
      </c>
      <c r="J2147" s="28">
        <v>4.6465021126677102E-2</v>
      </c>
      <c r="K2147" s="29">
        <v>0.50076496843711304</v>
      </c>
    </row>
    <row r="2148" spans="1:11" x14ac:dyDescent="0.35">
      <c r="A2148" s="9" t="str">
        <f>HYPERLINK("http://www.ensembl.org/id/WBGene00014057", "WBGene00014057")</f>
        <v>WBGene00014057</v>
      </c>
      <c r="B2148" s="9" t="str">
        <f>HYPERLINK("http://www.ncbi.nlm.nih.gov/gene/174607", "174607")</f>
        <v>174607</v>
      </c>
      <c r="C2148" s="9"/>
      <c r="D2148" t="str">
        <f>"ZK673.1"</f>
        <v>ZK673.1</v>
      </c>
      <c r="F2148" t="s">
        <v>11</v>
      </c>
      <c r="G2148" t="s">
        <v>25</v>
      </c>
      <c r="H2148" s="12">
        <v>-1.81388544072224</v>
      </c>
      <c r="I2148" s="20">
        <v>-1.9933979116506599</v>
      </c>
      <c r="J2148" s="28">
        <v>4.6217892382422202E-2</v>
      </c>
      <c r="K2148" s="29">
        <v>0.50076496843711304</v>
      </c>
    </row>
    <row r="2149" spans="1:11" x14ac:dyDescent="0.35">
      <c r="A2149" s="9" t="str">
        <f>HYPERLINK("http://www.ensembl.org/id/WBGene00008399", "WBGene00008399")</f>
        <v>WBGene00008399</v>
      </c>
      <c r="B2149" s="9" t="str">
        <f>HYPERLINK("http://www.ncbi.nlm.nih.gov/gene/172545", "172545")</f>
        <v>172545</v>
      </c>
      <c r="C2149" s="9"/>
      <c r="D2149" t="str">
        <f>"D2005.4"</f>
        <v>D2005.4</v>
      </c>
      <c r="F2149" t="s">
        <v>11</v>
      </c>
      <c r="H2149" s="12">
        <v>-1.61917853082109</v>
      </c>
      <c r="I2149" s="20">
        <v>-1.9897993820984801</v>
      </c>
      <c r="J2149" s="28">
        <v>4.66130395398998E-2</v>
      </c>
      <c r="K2149" s="29">
        <v>0.50164922757751496</v>
      </c>
    </row>
    <row r="2150" spans="1:11" x14ac:dyDescent="0.35">
      <c r="A2150" s="9" t="str">
        <f>HYPERLINK("http://www.ensembl.org/id/WBGene00011166", "WBGene00011166")</f>
        <v>WBGene00011166</v>
      </c>
      <c r="B2150" s="9" t="str">
        <f>HYPERLINK("http://www.ncbi.nlm.nih.gov/gene/187738", "187738")</f>
        <v>187738</v>
      </c>
      <c r="C2150" s="9"/>
      <c r="D2150" t="str">
        <f>"chil-22"</f>
        <v>chil-22</v>
      </c>
      <c r="E2150" t="s">
        <v>1756</v>
      </c>
      <c r="F2150" t="s">
        <v>11</v>
      </c>
      <c r="G2150" t="s">
        <v>1509</v>
      </c>
      <c r="H2150" s="12">
        <v>-5.1811322826438104</v>
      </c>
      <c r="I2150" s="20">
        <v>-1.9893123683937199</v>
      </c>
      <c r="J2150" s="28">
        <v>4.6666735332593898E-2</v>
      </c>
      <c r="K2150" s="29">
        <v>0.50199328984865699</v>
      </c>
    </row>
    <row r="2151" spans="1:11" x14ac:dyDescent="0.35">
      <c r="A2151" s="9" t="str">
        <f>HYPERLINK("http://www.ensembl.org/id/WBGene00019819", "WBGene00019819")</f>
        <v>WBGene00019819</v>
      </c>
      <c r="B2151" s="9" t="str">
        <f>HYPERLINK("http://www.ncbi.nlm.nih.gov/gene/176842", "176842")</f>
        <v>176842</v>
      </c>
      <c r="C2151" s="9" t="str">
        <f>HYPERLINK("http://www.ncbi.nlm.nih.gov/gene/10157", "10157")</f>
        <v>10157</v>
      </c>
      <c r="D2151" t="str">
        <f>"aass-1"</f>
        <v>aass-1</v>
      </c>
      <c r="E2151" t="s">
        <v>1757</v>
      </c>
      <c r="F2151" t="s">
        <v>11</v>
      </c>
      <c r="G2151" t="s">
        <v>1758</v>
      </c>
      <c r="H2151" s="12">
        <v>1.49995051227374</v>
      </c>
      <c r="I2151" s="20">
        <v>1.98830743707561</v>
      </c>
      <c r="J2151" s="28">
        <v>4.6777698778961402E-2</v>
      </c>
      <c r="K2151" s="29">
        <v>0.50295277244610603</v>
      </c>
    </row>
    <row r="2152" spans="1:11" x14ac:dyDescent="0.35">
      <c r="A2152" s="9" t="str">
        <f>HYPERLINK("http://www.ensembl.org/id/WBGene00009431", "WBGene00009431")</f>
        <v>WBGene00009431</v>
      </c>
      <c r="B2152" s="9" t="str">
        <f>HYPERLINK("http://www.ncbi.nlm.nih.gov/gene/179865", "179865")</f>
        <v>179865</v>
      </c>
      <c r="C2152" s="9"/>
      <c r="D2152" t="str">
        <f>"dct-17"</f>
        <v>dct-17</v>
      </c>
      <c r="E2152" t="s">
        <v>1725</v>
      </c>
      <c r="F2152" t="s">
        <v>11</v>
      </c>
      <c r="G2152" t="s">
        <v>1759</v>
      </c>
      <c r="H2152" s="12">
        <v>2.2876340315872299</v>
      </c>
      <c r="I2152" s="20">
        <v>1.98806646154788</v>
      </c>
      <c r="J2152" s="28">
        <v>4.6804340018276901E-2</v>
      </c>
      <c r="K2152" s="29">
        <v>0.50300515370339804</v>
      </c>
    </row>
    <row r="2153" spans="1:11" x14ac:dyDescent="0.35">
      <c r="A2153" s="9" t="str">
        <f>HYPERLINK("http://www.ensembl.org/id/WBGene00017016", "WBGene00017016")</f>
        <v>WBGene00017016</v>
      </c>
      <c r="B2153" s="9" t="str">
        <f>HYPERLINK("http://www.ncbi.nlm.nih.gov/gene/179193", "179193")</f>
        <v>179193</v>
      </c>
      <c r="C2153" s="9" t="str">
        <f>HYPERLINK("http://www.ncbi.nlm.nih.gov/gene/8775", "8775")</f>
        <v>8775</v>
      </c>
      <c r="D2153" t="str">
        <f>"snap-1"</f>
        <v>snap-1</v>
      </c>
      <c r="E2153" t="s">
        <v>1760</v>
      </c>
      <c r="F2153" t="s">
        <v>11</v>
      </c>
      <c r="G2153" t="s">
        <v>1761</v>
      </c>
      <c r="H2153" s="12">
        <v>-1.43417299657653</v>
      </c>
      <c r="I2153" s="20">
        <v>-1.9876238019554699</v>
      </c>
      <c r="J2153" s="28">
        <v>4.6853311866050899E-2</v>
      </c>
      <c r="K2153" s="29">
        <v>0.50329736121663005</v>
      </c>
    </row>
    <row r="2154" spans="1:11" x14ac:dyDescent="0.35">
      <c r="A2154" s="9" t="str">
        <f>HYPERLINK("http://www.ensembl.org/id/WBGene00016513", "WBGene00016513")</f>
        <v>WBGene00016513</v>
      </c>
      <c r="B2154" s="9" t="str">
        <f>HYPERLINK("http://www.ncbi.nlm.nih.gov/gene/178641", "178641")</f>
        <v>178641</v>
      </c>
      <c r="C2154" s="9"/>
      <c r="D2154" t="str">
        <f>"C38C3.4"</f>
        <v>C38C3.4</v>
      </c>
      <c r="F2154" t="s">
        <v>11</v>
      </c>
      <c r="G2154" t="s">
        <v>1763</v>
      </c>
      <c r="H2154" s="12">
        <v>1.4731749026938601</v>
      </c>
      <c r="I2154" s="20">
        <v>1.9870658789406099</v>
      </c>
      <c r="J2154" s="28">
        <v>4.69150968226952E-2</v>
      </c>
      <c r="K2154" s="29">
        <v>0.50354256192820301</v>
      </c>
    </row>
    <row r="2155" spans="1:11" x14ac:dyDescent="0.35">
      <c r="A2155" s="9" t="str">
        <f>HYPERLINK("http://www.ensembl.org/id/WBGene00001368", "WBGene00001368")</f>
        <v>WBGene00001368</v>
      </c>
      <c r="B2155" s="9" t="str">
        <f>HYPERLINK("http://www.ncbi.nlm.nih.gov/gene/174506", "174506")</f>
        <v>174506</v>
      </c>
      <c r="C2155" s="9" t="str">
        <f>HYPERLINK("http://www.ncbi.nlm.nih.gov/gene/1996", "1996")</f>
        <v>1996</v>
      </c>
      <c r="D2155" t="str">
        <f>"exc-7"</f>
        <v>exc-7</v>
      </c>
      <c r="F2155" t="s">
        <v>11</v>
      </c>
      <c r="G2155" t="s">
        <v>1762</v>
      </c>
      <c r="H2155" s="12">
        <v>1.47926371490451</v>
      </c>
      <c r="I2155" s="20">
        <v>1.9869485016372499</v>
      </c>
      <c r="J2155" s="28">
        <v>4.6928104027545901E-2</v>
      </c>
      <c r="K2155" s="29">
        <v>0.50354256192820301</v>
      </c>
    </row>
    <row r="2156" spans="1:11" x14ac:dyDescent="0.35">
      <c r="A2156" s="9" t="str">
        <f>HYPERLINK("http://www.ensembl.org/id/WBGene00018859", "WBGene00018859")</f>
        <v>WBGene00018859</v>
      </c>
      <c r="B2156" s="9" t="str">
        <f>HYPERLINK("http://www.ncbi.nlm.nih.gov/gene/186275", "186275")</f>
        <v>186275</v>
      </c>
      <c r="C2156" s="9"/>
      <c r="D2156" t="str">
        <f>"F55A4.7"</f>
        <v>F55A4.7</v>
      </c>
      <c r="F2156" t="s">
        <v>11</v>
      </c>
      <c r="H2156" s="12">
        <v>1.9807665967496599</v>
      </c>
      <c r="I2156" s="20">
        <v>1.9866309471821499</v>
      </c>
      <c r="J2156" s="28">
        <v>4.6963309138547397E-2</v>
      </c>
      <c r="K2156" s="29">
        <v>0.50354256192820301</v>
      </c>
    </row>
    <row r="2157" spans="1:11" x14ac:dyDescent="0.35">
      <c r="A2157" s="9" t="str">
        <f>HYPERLINK("http://www.ensembl.org/id/WBGene00009838", "WBGene00009838")</f>
        <v>WBGene00009838</v>
      </c>
      <c r="B2157" s="9"/>
      <c r="C2157" s="9"/>
      <c r="D2157" t="str">
        <f>"fbxa-187"</f>
        <v>fbxa-187</v>
      </c>
      <c r="F2157" t="s">
        <v>80</v>
      </c>
      <c r="H2157" s="12">
        <v>-6.9438780801679902</v>
      </c>
      <c r="I2157" s="20">
        <v>-1.9867538854671101</v>
      </c>
      <c r="J2157" s="28">
        <v>4.6949677168786903E-2</v>
      </c>
      <c r="K2157" s="29">
        <v>0.50354256192820301</v>
      </c>
    </row>
    <row r="2158" spans="1:11" x14ac:dyDescent="0.35">
      <c r="A2158" s="9" t="str">
        <f>HYPERLINK("http://www.ensembl.org/id/WBGene00013534", "WBGene00013534")</f>
        <v>WBGene00013534</v>
      </c>
      <c r="B2158" s="9" t="str">
        <f>HYPERLINK("http://www.ncbi.nlm.nih.gov/gene/190686", "190686")</f>
        <v>190686</v>
      </c>
      <c r="C2158" s="9"/>
      <c r="D2158" t="str">
        <f>"acr-24"</f>
        <v>acr-24</v>
      </c>
      <c r="E2158" t="s">
        <v>1742</v>
      </c>
      <c r="F2158" t="s">
        <v>11</v>
      </c>
      <c r="G2158" t="s">
        <v>906</v>
      </c>
      <c r="H2158" s="12">
        <v>1.87100988527989</v>
      </c>
      <c r="I2158" s="20">
        <v>1.98587801138321</v>
      </c>
      <c r="J2158" s="28">
        <v>4.7046870836152797E-2</v>
      </c>
      <c r="K2158" s="29">
        <v>0.50397079162732805</v>
      </c>
    </row>
    <row r="2159" spans="1:11" x14ac:dyDescent="0.35">
      <c r="A2159" s="9" t="str">
        <f>HYPERLINK("http://www.ensembl.org/id/WBGene00016653", "WBGene00016653")</f>
        <v>WBGene00016653</v>
      </c>
      <c r="B2159" s="9" t="str">
        <f>HYPERLINK("http://www.ncbi.nlm.nih.gov/gene/172070", "172070")</f>
        <v>172070</v>
      </c>
      <c r="C2159" s="9" t="str">
        <f>HYPERLINK("http://www.ncbi.nlm.nih.gov/gene/6741", "6741")</f>
        <v>6741</v>
      </c>
      <c r="D2159" t="str">
        <f>"ssb-1"</f>
        <v>ssb-1</v>
      </c>
      <c r="E2159" t="s">
        <v>1764</v>
      </c>
      <c r="F2159" t="s">
        <v>11</v>
      </c>
      <c r="G2159" t="s">
        <v>1765</v>
      </c>
      <c r="H2159" s="12">
        <v>-1.43753388297916</v>
      </c>
      <c r="I2159" s="20">
        <v>-1.98590203813736</v>
      </c>
      <c r="J2159" s="28">
        <v>4.7044202388184901E-2</v>
      </c>
      <c r="K2159" s="29">
        <v>0.50397079162732805</v>
      </c>
    </row>
    <row r="2160" spans="1:11" x14ac:dyDescent="0.35">
      <c r="A2160" s="9" t="str">
        <f>HYPERLINK("http://www.ensembl.org/id/WBGene00013435", "WBGene00013435")</f>
        <v>WBGene00013435</v>
      </c>
      <c r="B2160" s="9" t="str">
        <f>HYPERLINK("http://www.ncbi.nlm.nih.gov/gene/176588", "176588")</f>
        <v>176588</v>
      </c>
      <c r="C2160" s="9" t="str">
        <f>HYPERLINK("http://www.ncbi.nlm.nih.gov/gene/10197", "10197")</f>
        <v>10197</v>
      </c>
      <c r="D2160" t="str">
        <f>"Y66D12A.9"</f>
        <v>Y66D12A.9</v>
      </c>
      <c r="F2160" t="s">
        <v>11</v>
      </c>
      <c r="G2160" t="s">
        <v>1766</v>
      </c>
      <c r="H2160" s="12">
        <v>-1.54949143677238</v>
      </c>
      <c r="I2160" s="20">
        <v>-1.9846095004437201</v>
      </c>
      <c r="J2160" s="28">
        <v>4.7187934522174298E-2</v>
      </c>
      <c r="K2160" s="29">
        <v>0.50524764368367003</v>
      </c>
    </row>
    <row r="2161" spans="1:11" x14ac:dyDescent="0.35">
      <c r="A2161" s="9" t="str">
        <f>HYPERLINK("http://www.ensembl.org/id/WBGene00012315", "WBGene00012315")</f>
        <v>WBGene00012315</v>
      </c>
      <c r="B2161" s="9" t="str">
        <f>HYPERLINK("http://www.ncbi.nlm.nih.gov/gene/180122", "180122")</f>
        <v>180122</v>
      </c>
      <c r="C2161" s="9" t="str">
        <f>HYPERLINK("http://www.ncbi.nlm.nih.gov/gene/10989", "10989")</f>
        <v>10989</v>
      </c>
      <c r="D2161" t="str">
        <f>"immt-2"</f>
        <v>immt-2</v>
      </c>
      <c r="E2161" t="s">
        <v>1767</v>
      </c>
      <c r="F2161" t="s">
        <v>11</v>
      </c>
      <c r="H2161" s="12">
        <v>-1.52262865654172</v>
      </c>
      <c r="I2161" s="20">
        <v>-1.9840644566821799</v>
      </c>
      <c r="J2161" s="28">
        <v>4.7248654826760703E-2</v>
      </c>
      <c r="K2161" s="29">
        <v>0.50566346383841199</v>
      </c>
    </row>
    <row r="2162" spans="1:11" x14ac:dyDescent="0.35">
      <c r="A2162" s="9" t="str">
        <f>HYPERLINK("http://www.ensembl.org/id/WBGene00012128", "WBGene00012128")</f>
        <v>WBGene00012128</v>
      </c>
      <c r="B2162" s="9" t="str">
        <f>HYPERLINK("http://www.ncbi.nlm.nih.gov/gene/178508", "178508")</f>
        <v>178508</v>
      </c>
      <c r="C2162" s="9" t="str">
        <f>HYPERLINK("http://www.ncbi.nlm.nih.gov/gene/57699", "57699")</f>
        <v>57699</v>
      </c>
      <c r="D2162" t="str">
        <f>"nra-1"</f>
        <v>nra-1</v>
      </c>
      <c r="E2162" t="s">
        <v>1768</v>
      </c>
      <c r="F2162" t="s">
        <v>11</v>
      </c>
      <c r="H2162" s="12">
        <v>-1.4256510971341101</v>
      </c>
      <c r="I2162" s="20">
        <v>-1.98331052111416</v>
      </c>
      <c r="J2162" s="28">
        <v>4.7332754913709502E-2</v>
      </c>
      <c r="K2162" s="29">
        <v>0.50632899770193096</v>
      </c>
    </row>
    <row r="2163" spans="1:11" x14ac:dyDescent="0.35">
      <c r="A2163" s="9" t="str">
        <f>HYPERLINK("http://www.ensembl.org/id/WBGene00018623", "WBGene00018623")</f>
        <v>WBGene00018623</v>
      </c>
      <c r="B2163" s="9" t="str">
        <f>HYPERLINK("http://www.ncbi.nlm.nih.gov/gene/186000", "186000")</f>
        <v>186000</v>
      </c>
      <c r="C2163" s="9"/>
      <c r="D2163" t="str">
        <f>"F48G7.12"</f>
        <v>F48G7.12</v>
      </c>
      <c r="F2163" t="s">
        <v>11</v>
      </c>
      <c r="H2163" s="12">
        <v>4.7898247534834502</v>
      </c>
      <c r="I2163" s="20">
        <v>1.9826274254345899</v>
      </c>
      <c r="J2163" s="28">
        <v>4.7409061607693301E-2</v>
      </c>
      <c r="K2163" s="29">
        <v>0.50671890274937703</v>
      </c>
    </row>
    <row r="2164" spans="1:11" x14ac:dyDescent="0.35">
      <c r="A2164" s="9" t="str">
        <f>HYPERLINK("http://www.ensembl.org/id/WBGene00009286", "WBGene00009286")</f>
        <v>WBGene00009286</v>
      </c>
      <c r="B2164" s="9" t="str">
        <f>HYPERLINK("http://www.ncbi.nlm.nih.gov/gene/173376", "173376")</f>
        <v>173376</v>
      </c>
      <c r="C2164" s="9"/>
      <c r="D2164" t="str">
        <f>"zipt-1"</f>
        <v>zipt-1</v>
      </c>
      <c r="E2164" t="s">
        <v>106</v>
      </c>
      <c r="F2164" t="s">
        <v>11</v>
      </c>
      <c r="G2164" t="s">
        <v>107</v>
      </c>
      <c r="H2164" s="12">
        <v>-1.5063931336185501</v>
      </c>
      <c r="I2164" s="20">
        <v>-1.9825916173972</v>
      </c>
      <c r="J2164" s="28">
        <v>4.7413064474342299E-2</v>
      </c>
      <c r="K2164" s="29">
        <v>0.50671890274937703</v>
      </c>
    </row>
    <row r="2165" spans="1:11" x14ac:dyDescent="0.35">
      <c r="A2165" s="9" t="str">
        <f>HYPERLINK("http://www.ensembl.org/id/WBGene00020205", "WBGene00020205")</f>
        <v>WBGene00020205</v>
      </c>
      <c r="B2165" s="9" t="str">
        <f>HYPERLINK("http://www.ncbi.nlm.nih.gov/gene/173454", "173454")</f>
        <v>173454</v>
      </c>
      <c r="C2165" s="9"/>
      <c r="D2165" t="str">
        <f>"arrd-1"</f>
        <v>arrd-1</v>
      </c>
      <c r="E2165" t="s">
        <v>377</v>
      </c>
      <c r="F2165" t="s">
        <v>11</v>
      </c>
      <c r="G2165" t="s">
        <v>378</v>
      </c>
      <c r="H2165" s="12">
        <v>1.6542127876125701</v>
      </c>
      <c r="I2165" s="20">
        <v>1.98233024489195</v>
      </c>
      <c r="J2165" s="28">
        <v>4.7442291084379098E-2</v>
      </c>
      <c r="K2165" s="29">
        <v>0.50679684595268804</v>
      </c>
    </row>
    <row r="2166" spans="1:11" x14ac:dyDescent="0.35">
      <c r="A2166" s="9" t="str">
        <f>HYPERLINK("http://www.ensembl.org/id/WBGene00001239", "WBGene00001239")</f>
        <v>WBGene00001239</v>
      </c>
      <c r="B2166" s="9" t="str">
        <f>HYPERLINK("http://www.ncbi.nlm.nih.gov/gene/177787", "177787")</f>
        <v>177787</v>
      </c>
      <c r="C2166" s="9"/>
      <c r="D2166" t="str">
        <f>"elo-1"</f>
        <v>elo-1</v>
      </c>
      <c r="E2166" t="s">
        <v>1769</v>
      </c>
      <c r="F2166" t="s">
        <v>11</v>
      </c>
      <c r="G2166" t="s">
        <v>1770</v>
      </c>
      <c r="H2166" s="12">
        <v>-1.46064562847471</v>
      </c>
      <c r="I2166" s="20">
        <v>-1.98201800631937</v>
      </c>
      <c r="J2166" s="28">
        <v>4.74772253817188E-2</v>
      </c>
      <c r="K2166" s="29">
        <v>0.50693566066081097</v>
      </c>
    </row>
    <row r="2167" spans="1:11" x14ac:dyDescent="0.35">
      <c r="A2167" s="9" t="str">
        <f>HYPERLINK("http://www.ensembl.org/id/WBGene00010275", "WBGene00010275")</f>
        <v>WBGene00010275</v>
      </c>
      <c r="B2167" s="9" t="str">
        <f>HYPERLINK("http://www.ncbi.nlm.nih.gov/gene/177799", "177799")</f>
        <v>177799</v>
      </c>
      <c r="C2167" s="9"/>
      <c r="D2167" t="str">
        <f>"acc-1"</f>
        <v>acc-1</v>
      </c>
      <c r="E2167" t="s">
        <v>1771</v>
      </c>
      <c r="F2167" t="s">
        <v>11</v>
      </c>
      <c r="G2167" t="s">
        <v>1772</v>
      </c>
      <c r="H2167" s="12">
        <v>1.9101744997874901</v>
      </c>
      <c r="I2167" s="20">
        <v>1.9816914738709901</v>
      </c>
      <c r="J2167" s="28">
        <v>4.75137820598312E-2</v>
      </c>
      <c r="K2167" s="29">
        <v>0.50704918892138096</v>
      </c>
    </row>
    <row r="2168" spans="1:11" x14ac:dyDescent="0.35">
      <c r="A2168" s="9" t="str">
        <f>HYPERLINK("http://www.ensembl.org/id/WBGene00018421", "WBGene00018421")</f>
        <v>WBGene00018421</v>
      </c>
      <c r="B2168" s="9" t="str">
        <f>HYPERLINK("http://www.ncbi.nlm.nih.gov/gene/176246", "176246")</f>
        <v>176246</v>
      </c>
      <c r="C2168" s="9"/>
      <c r="D2168" t="str">
        <f>"F44E2.8"</f>
        <v>F44E2.8</v>
      </c>
      <c r="F2168" t="s">
        <v>11</v>
      </c>
      <c r="H2168" s="12">
        <v>-1.4770931384970201</v>
      </c>
      <c r="I2168" s="20">
        <v>-1.9815310855474999</v>
      </c>
      <c r="J2168" s="28">
        <v>4.7531746871103203E-2</v>
      </c>
      <c r="K2168" s="29">
        <v>0.50704918892138096</v>
      </c>
    </row>
    <row r="2169" spans="1:11" x14ac:dyDescent="0.35">
      <c r="A2169" s="9" t="str">
        <f>HYPERLINK("http://www.ensembl.org/id/WBGene00011252", "WBGene00011252")</f>
        <v>WBGene00011252</v>
      </c>
      <c r="B2169" s="9" t="str">
        <f>HYPERLINK("http://www.ncbi.nlm.nih.gov/gene/187833", "187833")</f>
        <v>187833</v>
      </c>
      <c r="C2169" s="9"/>
      <c r="D2169" t="str">
        <f>"R11H6.4"</f>
        <v>R11H6.4</v>
      </c>
      <c r="F2169" t="s">
        <v>11</v>
      </c>
      <c r="H2169" s="12">
        <v>-1.4257432993555299</v>
      </c>
      <c r="I2169" s="20">
        <v>-1.9809582144784199</v>
      </c>
      <c r="J2169" s="28">
        <v>4.7595959775066497E-2</v>
      </c>
      <c r="K2169" s="29">
        <v>0.50749988304692595</v>
      </c>
    </row>
    <row r="2170" spans="1:11" x14ac:dyDescent="0.35">
      <c r="A2170" s="9" t="str">
        <f>HYPERLINK("http://www.ensembl.org/id/WBGene00015245", "WBGene00015245")</f>
        <v>WBGene00015245</v>
      </c>
      <c r="B2170" s="9" t="str">
        <f>HYPERLINK("http://www.ncbi.nlm.nih.gov/gene/182027", "182027")</f>
        <v>182027</v>
      </c>
      <c r="C2170" s="9"/>
      <c r="D2170" t="str">
        <f>"B0524.6"</f>
        <v>B0524.6</v>
      </c>
      <c r="F2170" t="s">
        <v>11</v>
      </c>
      <c r="H2170" s="12">
        <v>-1.6208007268645499</v>
      </c>
      <c r="I2170" s="20">
        <v>-1.9796891451244101</v>
      </c>
      <c r="J2170" s="28">
        <v>4.77384690412921E-2</v>
      </c>
      <c r="K2170" s="29">
        <v>0.50867116198256401</v>
      </c>
    </row>
    <row r="2171" spans="1:11" x14ac:dyDescent="0.35">
      <c r="A2171" s="9" t="str">
        <f>HYPERLINK("http://www.ensembl.org/id/WBGene00000762", "WBGene00000762")</f>
        <v>WBGene00000762</v>
      </c>
      <c r="B2171" s="9" t="str">
        <f>HYPERLINK("http://www.ncbi.nlm.nih.gov/gene/175969", "175969")</f>
        <v>175969</v>
      </c>
      <c r="C2171" s="9" t="str">
        <f>HYPERLINK("http://www.ncbi.nlm.nih.gov/gene/27235", "27235")</f>
        <v>27235</v>
      </c>
      <c r="D2171" t="str">
        <f>"coq-2"</f>
        <v>coq-2</v>
      </c>
      <c r="E2171" t="s">
        <v>1774</v>
      </c>
      <c r="F2171" t="s">
        <v>11</v>
      </c>
      <c r="G2171" t="s">
        <v>1775</v>
      </c>
      <c r="H2171" s="12">
        <v>-1.5107049793987399</v>
      </c>
      <c r="I2171" s="20">
        <v>-1.9790556339212799</v>
      </c>
      <c r="J2171" s="28">
        <v>4.7809742845111899E-2</v>
      </c>
      <c r="K2171" s="29">
        <v>0.50867116198256401</v>
      </c>
    </row>
    <row r="2172" spans="1:11" x14ac:dyDescent="0.35">
      <c r="A2172" s="9" t="str">
        <f>HYPERLINK("http://www.ensembl.org/id/WBGene00009785", "WBGene00009785")</f>
        <v>WBGene00009785</v>
      </c>
      <c r="B2172" s="9" t="str">
        <f>HYPERLINK("http://www.ncbi.nlm.nih.gov/gene/259451", "259451")</f>
        <v>259451</v>
      </c>
      <c r="C2172" s="9"/>
      <c r="D2172" t="str">
        <f>"F46C5.10"</f>
        <v>F46C5.10</v>
      </c>
      <c r="F2172" t="s">
        <v>11</v>
      </c>
      <c r="H2172" s="12">
        <v>1.75888141355606</v>
      </c>
      <c r="I2172" s="20">
        <v>1.97900110587685</v>
      </c>
      <c r="J2172" s="28">
        <v>4.7815881754787903E-2</v>
      </c>
      <c r="K2172" s="29">
        <v>0.50867116198256401</v>
      </c>
    </row>
    <row r="2173" spans="1:11" x14ac:dyDescent="0.35">
      <c r="A2173" s="9" t="str">
        <f>HYPERLINK("http://www.ensembl.org/id/WBGene00003802", "WBGene00003802")</f>
        <v>WBGene00003802</v>
      </c>
      <c r="B2173" s="9" t="str">
        <f>HYPERLINK("http://www.ncbi.nlm.nih.gov/gene/176623", "176623")</f>
        <v>176623</v>
      </c>
      <c r="C2173" s="9"/>
      <c r="D2173" t="str">
        <f>"npp-16"</f>
        <v>npp-16</v>
      </c>
      <c r="E2173" t="s">
        <v>375</v>
      </c>
      <c r="F2173" t="s">
        <v>11</v>
      </c>
      <c r="G2173" t="s">
        <v>1773</v>
      </c>
      <c r="H2173" s="12">
        <v>-1.48980241908542</v>
      </c>
      <c r="I2173" s="20">
        <v>-1.97901424449126</v>
      </c>
      <c r="J2173" s="28">
        <v>4.7814402514677501E-2</v>
      </c>
      <c r="K2173" s="29">
        <v>0.50867116198256401</v>
      </c>
    </row>
    <row r="2174" spans="1:11" x14ac:dyDescent="0.35">
      <c r="A2174" s="9" t="str">
        <f>HYPERLINK("http://www.ensembl.org/id/WBGene00013669", "WBGene00013669")</f>
        <v>WBGene00013669</v>
      </c>
      <c r="B2174" s="9" t="str">
        <f>HYPERLINK("http://www.ncbi.nlm.nih.gov/gene/173303", "173303")</f>
        <v>173303</v>
      </c>
      <c r="C2174" s="9"/>
      <c r="D2174" t="str">
        <f>"tcab-1"</f>
        <v>tcab-1</v>
      </c>
      <c r="E2174" t="s">
        <v>1776</v>
      </c>
      <c r="F2174" t="s">
        <v>11</v>
      </c>
      <c r="G2174" t="s">
        <v>1777</v>
      </c>
      <c r="H2174" s="12">
        <v>-1.6099974123206799</v>
      </c>
      <c r="I2174" s="20">
        <v>-1.9793662188428001</v>
      </c>
      <c r="J2174" s="28">
        <v>4.77747890140994E-2</v>
      </c>
      <c r="K2174" s="29">
        <v>0.50867116198256401</v>
      </c>
    </row>
    <row r="2175" spans="1:11" x14ac:dyDescent="0.35">
      <c r="A2175" s="9" t="str">
        <f>HYPERLINK("http://www.ensembl.org/id/WBGene00002211", "WBGene00002211")</f>
        <v>WBGene00002211</v>
      </c>
      <c r="B2175" s="9" t="str">
        <f>HYPERLINK("http://www.ncbi.nlm.nih.gov/gene/180032", "180032")</f>
        <v>180032</v>
      </c>
      <c r="C2175" s="9"/>
      <c r="D2175" t="str">
        <f>"kin-30"</f>
        <v>kin-30</v>
      </c>
      <c r="F2175" t="s">
        <v>11</v>
      </c>
      <c r="G2175" t="s">
        <v>1778</v>
      </c>
      <c r="H2175" s="12">
        <v>7.0495207252079704</v>
      </c>
      <c r="I2175" s="20">
        <v>1.9783662162150299</v>
      </c>
      <c r="J2175" s="28">
        <v>4.7887408068358499E-2</v>
      </c>
      <c r="K2175" s="29">
        <v>0.509197630385407</v>
      </c>
    </row>
    <row r="2176" spans="1:11" x14ac:dyDescent="0.35">
      <c r="A2176" s="9" t="str">
        <f>HYPERLINK("http://www.ensembl.org/id/WBGene00000984", "WBGene00000984")</f>
        <v>WBGene00000984</v>
      </c>
      <c r="B2176" s="9" t="str">
        <f>HYPERLINK("http://www.ncbi.nlm.nih.gov/gene/179741", "179741")</f>
        <v>179741</v>
      </c>
      <c r="C2176" s="9" t="str">
        <f>HYPERLINK("http://www.ncbi.nlm.nih.gov/gene/51181", "51181")</f>
        <v>51181</v>
      </c>
      <c r="D2176" t="str">
        <f>"dhs-21"</f>
        <v>dhs-21</v>
      </c>
      <c r="E2176" t="s">
        <v>1779</v>
      </c>
      <c r="F2176" t="s">
        <v>11</v>
      </c>
      <c r="G2176" t="s">
        <v>489</v>
      </c>
      <c r="H2176" s="12">
        <v>-1.4790037829173699</v>
      </c>
      <c r="I2176" s="20">
        <v>-1.97765310468067</v>
      </c>
      <c r="J2176" s="28">
        <v>4.7967854010970097E-2</v>
      </c>
      <c r="K2176" s="29">
        <v>0.50958401598964398</v>
      </c>
    </row>
    <row r="2177" spans="1:11" x14ac:dyDescent="0.35">
      <c r="A2177" s="9" t="str">
        <f>HYPERLINK("http://www.ensembl.org/id/WBGene00012565", "WBGene00012565")</f>
        <v>WBGene00012565</v>
      </c>
      <c r="B2177" s="9" t="str">
        <f>HYPERLINK("http://www.ncbi.nlm.nih.gov/gene/180187", "180187")</f>
        <v>180187</v>
      </c>
      <c r="C2177" s="9"/>
      <c r="D2177" t="str">
        <f>"fbxa-210"</f>
        <v>fbxa-210</v>
      </c>
      <c r="E2177" t="s">
        <v>467</v>
      </c>
      <c r="F2177" t="s">
        <v>11</v>
      </c>
      <c r="G2177" t="s">
        <v>54</v>
      </c>
      <c r="H2177" s="12">
        <v>-1.6606075885139699</v>
      </c>
      <c r="I2177" s="20">
        <v>-1.9778060250190099</v>
      </c>
      <c r="J2177" s="28">
        <v>4.7950593545460898E-2</v>
      </c>
      <c r="K2177" s="29">
        <v>0.50958401598964398</v>
      </c>
    </row>
    <row r="2178" spans="1:11" x14ac:dyDescent="0.35">
      <c r="A2178" s="9" t="str">
        <f>HYPERLINK("http://www.ensembl.org/id/WBGene00000678", "WBGene00000678")</f>
        <v>WBGene00000678</v>
      </c>
      <c r="B2178" s="9" t="str">
        <f>HYPERLINK("http://www.ncbi.nlm.nih.gov/gene/176947", "176947")</f>
        <v>176947</v>
      </c>
      <c r="C2178" s="9"/>
      <c r="D2178" t="str">
        <f>"col-104"</f>
        <v>col-104</v>
      </c>
      <c r="E2178" t="s">
        <v>40</v>
      </c>
      <c r="F2178" t="s">
        <v>11</v>
      </c>
      <c r="G2178" t="s">
        <v>41</v>
      </c>
      <c r="H2178" s="12">
        <v>2.3010478005122801</v>
      </c>
      <c r="I2178" s="20">
        <v>1.9772688864429</v>
      </c>
      <c r="J2178" s="28">
        <v>4.8011244635341302E-2</v>
      </c>
      <c r="K2178" s="29">
        <v>0.509787677637354</v>
      </c>
    </row>
    <row r="2179" spans="1:11" x14ac:dyDescent="0.35">
      <c r="A2179" s="9" t="str">
        <f>HYPERLINK("http://www.ensembl.org/id/WBGene00001112", "WBGene00001112")</f>
        <v>WBGene00001112</v>
      </c>
      <c r="B2179" s="9" t="str">
        <f>HYPERLINK("http://www.ncbi.nlm.nih.gov/gene/172925", "172925")</f>
        <v>172925</v>
      </c>
      <c r="C2179" s="9"/>
      <c r="D2179" t="str">
        <f>"duo-3"</f>
        <v>duo-3</v>
      </c>
      <c r="E2179" t="s">
        <v>658</v>
      </c>
      <c r="F2179" t="s">
        <v>11</v>
      </c>
      <c r="G2179" t="s">
        <v>1530</v>
      </c>
      <c r="H2179" s="12">
        <v>-1.5176032620892099</v>
      </c>
      <c r="I2179" s="20">
        <v>-1.9770927161491001</v>
      </c>
      <c r="J2179" s="28">
        <v>4.8031150965832201E-2</v>
      </c>
      <c r="K2179" s="29">
        <v>0.509787677637354</v>
      </c>
    </row>
    <row r="2180" spans="1:11" x14ac:dyDescent="0.35">
      <c r="A2180" s="9" t="str">
        <f>HYPERLINK("http://www.ensembl.org/id/WBGene00007951", "WBGene00007951")</f>
        <v>WBGene00007951</v>
      </c>
      <c r="B2180" s="9" t="str">
        <f>HYPERLINK("http://www.ncbi.nlm.nih.gov/gene/183225", "183225")</f>
        <v>183225</v>
      </c>
      <c r="C2180" s="9"/>
      <c r="D2180" t="str">
        <f>"dmsr-8"</f>
        <v>dmsr-8</v>
      </c>
      <c r="E2180" t="s">
        <v>996</v>
      </c>
      <c r="F2180" t="s">
        <v>11</v>
      </c>
      <c r="G2180" t="s">
        <v>1780</v>
      </c>
      <c r="H2180" s="12">
        <v>1.9070766858058901</v>
      </c>
      <c r="I2180" s="20">
        <v>1.9761756357596501</v>
      </c>
      <c r="J2180" s="28">
        <v>4.8134888349713599E-2</v>
      </c>
      <c r="K2180" s="29">
        <v>0.51065414610123205</v>
      </c>
    </row>
    <row r="2181" spans="1:11" x14ac:dyDescent="0.35">
      <c r="A2181" s="9" t="str">
        <f>HYPERLINK("http://www.ensembl.org/id/WBGene00020842", "WBGene00020842")</f>
        <v>WBGene00020842</v>
      </c>
      <c r="B2181" s="9" t="str">
        <f>HYPERLINK("http://www.ncbi.nlm.nih.gov/gene/188966", "188966")</f>
        <v>188966</v>
      </c>
      <c r="C2181" s="9" t="str">
        <f>HYPERLINK("http://www.ncbi.nlm.nih.gov/gene/4338", "4338")</f>
        <v>4338</v>
      </c>
      <c r="D2181" t="str">
        <f>"nmrk-1"</f>
        <v>nmrk-1</v>
      </c>
      <c r="E2181" t="s">
        <v>1782</v>
      </c>
      <c r="F2181" t="s">
        <v>11</v>
      </c>
      <c r="G2181" t="s">
        <v>1783</v>
      </c>
      <c r="H2181" s="12">
        <v>-1.55358258583617</v>
      </c>
      <c r="I2181" s="20">
        <v>-1.97569108626544</v>
      </c>
      <c r="J2181" s="28">
        <v>4.81897750976302E-2</v>
      </c>
      <c r="K2181" s="29">
        <v>0.51087129848601698</v>
      </c>
    </row>
    <row r="2182" spans="1:11" x14ac:dyDescent="0.35">
      <c r="A2182" s="9" t="str">
        <f>HYPERLINK("http://www.ensembl.org/id/WBGene00008571", "WBGene00008571")</f>
        <v>WBGene00008571</v>
      </c>
      <c r="B2182" s="9" t="str">
        <f>HYPERLINK("http://www.ncbi.nlm.nih.gov/gene/181330", "181330")</f>
        <v>181330</v>
      </c>
      <c r="C2182" s="9" t="str">
        <f>HYPERLINK("http://www.ncbi.nlm.nih.gov/gene/8842", "8842")</f>
        <v>8842</v>
      </c>
      <c r="D2182" t="str">
        <f>"prmn-1"</f>
        <v>prmn-1</v>
      </c>
      <c r="E2182" t="s">
        <v>1781</v>
      </c>
      <c r="F2182" t="s">
        <v>11</v>
      </c>
      <c r="G2182" t="s">
        <v>25</v>
      </c>
      <c r="H2182" s="12">
        <v>1.4728974334790199</v>
      </c>
      <c r="I2182" s="20">
        <v>1.97560460047977</v>
      </c>
      <c r="J2182" s="28">
        <v>4.8199577196378303E-2</v>
      </c>
      <c r="K2182" s="29">
        <v>0.51087129848601698</v>
      </c>
    </row>
    <row r="2183" spans="1:11" x14ac:dyDescent="0.35">
      <c r="A2183" s="9" t="str">
        <f>HYPERLINK("http://www.ensembl.org/id/WBGene00045316", "WBGene00045316")</f>
        <v>WBGene00045316</v>
      </c>
      <c r="B2183" s="9"/>
      <c r="C2183" s="9"/>
      <c r="D2183" t="str">
        <f>"C49F5.9"</f>
        <v>C49F5.9</v>
      </c>
      <c r="F2183" t="s">
        <v>80</v>
      </c>
      <c r="H2183" s="12">
        <v>2.1650996817658901</v>
      </c>
      <c r="I2183" s="20">
        <v>1.97458332174433</v>
      </c>
      <c r="J2183" s="28">
        <v>4.8315453292007503E-2</v>
      </c>
      <c r="K2183" s="29">
        <v>0.51186467848011197</v>
      </c>
    </row>
    <row r="2184" spans="1:11" x14ac:dyDescent="0.35">
      <c r="A2184" s="9" t="str">
        <f>HYPERLINK("http://www.ensembl.org/id/WBGene00006522", "WBGene00006522")</f>
        <v>WBGene00006522</v>
      </c>
      <c r="B2184" s="9" t="str">
        <f>HYPERLINK("http://www.ncbi.nlm.nih.gov/gene/183860", "183860")</f>
        <v>183860</v>
      </c>
      <c r="C2184" s="9"/>
      <c r="D2184" t="str">
        <f>"abcx-1"</f>
        <v>abcx-1</v>
      </c>
      <c r="E2184" t="s">
        <v>1784</v>
      </c>
      <c r="F2184" t="s">
        <v>11</v>
      </c>
      <c r="G2184" t="s">
        <v>1785</v>
      </c>
      <c r="H2184" s="12">
        <v>1.8440350183621099</v>
      </c>
      <c r="I2184" s="20">
        <v>1.97368357575691</v>
      </c>
      <c r="J2184" s="28">
        <v>4.8417733869401097E-2</v>
      </c>
      <c r="K2184" s="29">
        <v>0.51271318001208999</v>
      </c>
    </row>
    <row r="2185" spans="1:11" x14ac:dyDescent="0.35">
      <c r="A2185" s="9" t="str">
        <f>HYPERLINK("http://www.ensembl.org/id/WBGene00015310", "WBGene00015310")</f>
        <v>WBGene00015310</v>
      </c>
      <c r="B2185" s="9" t="str">
        <f>HYPERLINK("http://www.ncbi.nlm.nih.gov/gene/177415", "177415")</f>
        <v>177415</v>
      </c>
      <c r="C2185" s="9" t="str">
        <f>HYPERLINK("http://www.ncbi.nlm.nih.gov/gene/22909", "22909")</f>
        <v>22909</v>
      </c>
      <c r="D2185" t="str">
        <f>"fan-1"</f>
        <v>fan-1</v>
      </c>
      <c r="E2185" t="s">
        <v>1786</v>
      </c>
      <c r="F2185" t="s">
        <v>11</v>
      </c>
      <c r="G2185" t="s">
        <v>1787</v>
      </c>
      <c r="H2185" s="12">
        <v>-1.5789785407910799</v>
      </c>
      <c r="I2185" s="20">
        <v>-1.9728496758413001</v>
      </c>
      <c r="J2185" s="28">
        <v>4.8512691569740203E-2</v>
      </c>
      <c r="K2185" s="29">
        <v>0.513483395057452</v>
      </c>
    </row>
    <row r="2186" spans="1:11" x14ac:dyDescent="0.35">
      <c r="A2186" s="9" t="str">
        <f>HYPERLINK("http://www.ensembl.org/id/WBGene00010345", "WBGene00010345")</f>
        <v>WBGene00010345</v>
      </c>
      <c r="B2186" s="9" t="str">
        <f>HYPERLINK("http://www.ncbi.nlm.nih.gov/gene/181256", "181256")</f>
        <v>181256</v>
      </c>
      <c r="C2186" s="9"/>
      <c r="D2186" t="str">
        <f>"F59F5.7"</f>
        <v>F59F5.7</v>
      </c>
      <c r="F2186" t="s">
        <v>11</v>
      </c>
      <c r="G2186" t="s">
        <v>1788</v>
      </c>
      <c r="H2186" s="12">
        <v>2.0864021673238402</v>
      </c>
      <c r="I2186" s="20">
        <v>1.9722251574519001</v>
      </c>
      <c r="J2186" s="28">
        <v>4.8583908996050501E-2</v>
      </c>
      <c r="K2186" s="29">
        <v>0.51373115780301903</v>
      </c>
    </row>
    <row r="2187" spans="1:11" x14ac:dyDescent="0.35">
      <c r="A2187" s="9" t="str">
        <f>HYPERLINK("http://www.ensembl.org/id/WBGene00006492", "WBGene00006492")</f>
        <v>WBGene00006492</v>
      </c>
      <c r="B2187" s="9" t="str">
        <f>HYPERLINK("http://www.ncbi.nlm.nih.gov/gene/182953", "182953")</f>
        <v>182953</v>
      </c>
      <c r="C2187" s="9"/>
      <c r="D2187" t="str">
        <f>"let-391"</f>
        <v>let-391</v>
      </c>
      <c r="F2187" t="s">
        <v>11</v>
      </c>
      <c r="G2187" t="s">
        <v>462</v>
      </c>
      <c r="H2187" s="12">
        <v>-1.53997194535483</v>
      </c>
      <c r="I2187" s="20">
        <v>-1.9721268564369201</v>
      </c>
      <c r="J2187" s="28">
        <v>4.8595126819578401E-2</v>
      </c>
      <c r="K2187" s="29">
        <v>0.51373115780301903</v>
      </c>
    </row>
    <row r="2188" spans="1:11" x14ac:dyDescent="0.35">
      <c r="A2188" s="9" t="str">
        <f>HYPERLINK("http://www.ensembl.org/id/WBGene00009124", "WBGene00009124")</f>
        <v>WBGene00009124</v>
      </c>
      <c r="B2188" s="9" t="str">
        <f>HYPERLINK("http://www.ncbi.nlm.nih.gov/gene/172946", "172946")</f>
        <v>172946</v>
      </c>
      <c r="C2188" s="9" t="str">
        <f>HYPERLINK("http://www.ncbi.nlm.nih.gov/gene/51750", "51750")</f>
        <v>51750</v>
      </c>
      <c r="D2188" t="str">
        <f>"rtel-1"</f>
        <v>rtel-1</v>
      </c>
      <c r="E2188" t="s">
        <v>1789</v>
      </c>
      <c r="F2188" t="s">
        <v>11</v>
      </c>
      <c r="G2188" t="s">
        <v>1790</v>
      </c>
      <c r="H2188" s="12">
        <v>-1.58451634275945</v>
      </c>
      <c r="I2188" s="20">
        <v>-1.9720596224915301</v>
      </c>
      <c r="J2188" s="28">
        <v>4.8602800612715297E-2</v>
      </c>
      <c r="K2188" s="29">
        <v>0.51373115780301903</v>
      </c>
    </row>
    <row r="2189" spans="1:11" x14ac:dyDescent="0.35">
      <c r="A2189" s="9" t="str">
        <f>HYPERLINK("http://www.ensembl.org/id/WBGene00018099", "WBGene00018099")</f>
        <v>WBGene00018099</v>
      </c>
      <c r="B2189" s="9" t="str">
        <f>HYPERLINK("http://www.ncbi.nlm.nih.gov/gene/185364", "185364")</f>
        <v>185364</v>
      </c>
      <c r="C2189" s="9"/>
      <c r="D2189" t="str">
        <f>"ztf-28"</f>
        <v>ztf-28</v>
      </c>
      <c r="E2189" t="s">
        <v>461</v>
      </c>
      <c r="F2189" t="s">
        <v>11</v>
      </c>
      <c r="G2189" t="s">
        <v>1791</v>
      </c>
      <c r="H2189" s="12">
        <v>-1.8815143944089401</v>
      </c>
      <c r="I2189" s="20">
        <v>-1.9707931282103699</v>
      </c>
      <c r="J2189" s="28">
        <v>4.87475430426422E-2</v>
      </c>
      <c r="K2189" s="29">
        <v>0.51502548218714705</v>
      </c>
    </row>
    <row r="2190" spans="1:11" x14ac:dyDescent="0.35">
      <c r="A2190" s="9" t="str">
        <f>HYPERLINK("http://www.ensembl.org/id/WBGene00000998", "WBGene00000998")</f>
        <v>WBGene00000998</v>
      </c>
      <c r="B2190" s="9" t="str">
        <f>HYPERLINK("http://www.ncbi.nlm.nih.gov/gene/175951", "175951")</f>
        <v>175951</v>
      </c>
      <c r="C2190" s="9"/>
      <c r="D2190" t="str">
        <f>"dig-1"</f>
        <v>dig-1</v>
      </c>
      <c r="E2190" t="s">
        <v>1794</v>
      </c>
      <c r="F2190" t="s">
        <v>11</v>
      </c>
      <c r="G2190" t="s">
        <v>1795</v>
      </c>
      <c r="H2190" s="12">
        <v>-1.573267860751</v>
      </c>
      <c r="I2190" s="20">
        <v>-1.96942127686928</v>
      </c>
      <c r="J2190" s="28">
        <v>4.8904734436019802E-2</v>
      </c>
      <c r="K2190" s="29">
        <v>0.51597844469345799</v>
      </c>
    </row>
    <row r="2191" spans="1:11" x14ac:dyDescent="0.35">
      <c r="A2191" s="9" t="str">
        <f>HYPERLINK("http://www.ensembl.org/id/WBGene00009410", "WBGene00009410")</f>
        <v>WBGene00009410</v>
      </c>
      <c r="B2191" s="9" t="str">
        <f>HYPERLINK("http://www.ncbi.nlm.nih.gov/gene/185285", "185285")</f>
        <v>185285</v>
      </c>
      <c r="C2191" s="9"/>
      <c r="D2191" t="str">
        <f>"F35E2.2"</f>
        <v>F35E2.2</v>
      </c>
      <c r="F2191" t="s">
        <v>11</v>
      </c>
      <c r="G2191" t="s">
        <v>54</v>
      </c>
      <c r="H2191" s="12">
        <v>4.5013475162765797</v>
      </c>
      <c r="I2191" s="20">
        <v>1.96954388880784</v>
      </c>
      <c r="J2191" s="28">
        <v>4.88906678496503E-2</v>
      </c>
      <c r="K2191" s="29">
        <v>0.51597844469345799</v>
      </c>
    </row>
    <row r="2192" spans="1:11" x14ac:dyDescent="0.35">
      <c r="A2192" s="9" t="str">
        <f>HYPERLINK("http://www.ensembl.org/id/WBGene00005936", "WBGene00005936")</f>
        <v>WBGene00005936</v>
      </c>
      <c r="B2192" s="9" t="str">
        <f>HYPERLINK("http://www.ncbi.nlm.nih.gov/gene/186838", "186838")</f>
        <v>186838</v>
      </c>
      <c r="C2192" s="9"/>
      <c r="D2192" t="str">
        <f>"srx-45"</f>
        <v>srx-45</v>
      </c>
      <c r="E2192" t="s">
        <v>1792</v>
      </c>
      <c r="F2192" t="s">
        <v>11</v>
      </c>
      <c r="G2192" t="s">
        <v>1793</v>
      </c>
      <c r="H2192" s="12">
        <v>1.76997313001379</v>
      </c>
      <c r="I2192" s="20">
        <v>1.9696797270691699</v>
      </c>
      <c r="J2192" s="28">
        <v>4.8875087846608101E-2</v>
      </c>
      <c r="K2192" s="29">
        <v>0.51597844469345799</v>
      </c>
    </row>
    <row r="2193" spans="1:11" x14ac:dyDescent="0.35">
      <c r="A2193" s="9" t="str">
        <f>HYPERLINK("http://www.ensembl.org/id/WBGene00007168", "WBGene00007168")</f>
        <v>WBGene00007168</v>
      </c>
      <c r="B2193" s="9" t="str">
        <f>HYPERLINK("http://www.ncbi.nlm.nih.gov/gene/175630", "175630")</f>
        <v>175630</v>
      </c>
      <c r="C2193" s="9"/>
      <c r="D2193" t="str">
        <f>"B0393.3"</f>
        <v>B0393.3</v>
      </c>
      <c r="F2193" t="s">
        <v>11</v>
      </c>
      <c r="G2193" t="s">
        <v>1800</v>
      </c>
      <c r="H2193" s="12">
        <v>-1.5544121598359</v>
      </c>
      <c r="I2193" s="20">
        <v>-1.96778103820927</v>
      </c>
      <c r="J2193" s="28">
        <v>4.9093236837278301E-2</v>
      </c>
      <c r="K2193" s="29">
        <v>0.51743967831273996</v>
      </c>
    </row>
    <row r="2194" spans="1:11" x14ac:dyDescent="0.35">
      <c r="A2194" s="9" t="str">
        <f>HYPERLINK("http://www.ensembl.org/id/WBGene00018487", "WBGene00018487")</f>
        <v>WBGene00018487</v>
      </c>
      <c r="B2194" s="9" t="str">
        <f>HYPERLINK("http://www.ncbi.nlm.nih.gov/gene/181015", "181015")</f>
        <v>181015</v>
      </c>
      <c r="C2194" s="9"/>
      <c r="D2194" t="str">
        <f>"F46C8.8"</f>
        <v>F46C8.8</v>
      </c>
      <c r="F2194" t="s">
        <v>11</v>
      </c>
      <c r="H2194" s="12">
        <v>3.1199022154014702</v>
      </c>
      <c r="I2194" s="20">
        <v>1.9674373871230899</v>
      </c>
      <c r="J2194" s="28">
        <v>4.9132807678445099E-2</v>
      </c>
      <c r="K2194" s="29">
        <v>0.51743967831273996</v>
      </c>
    </row>
    <row r="2195" spans="1:11" x14ac:dyDescent="0.35">
      <c r="A2195" s="9" t="str">
        <f>HYPERLINK("http://www.ensembl.org/id/WBGene00001676", "WBGene00001676")</f>
        <v>WBGene00001676</v>
      </c>
      <c r="B2195" s="9" t="str">
        <f>HYPERLINK("http://www.ncbi.nlm.nih.gov/gene/172269", "172269")</f>
        <v>172269</v>
      </c>
      <c r="C2195" s="9"/>
      <c r="D2195" t="str">
        <f>"gpa-14"</f>
        <v>gpa-14</v>
      </c>
      <c r="E2195" t="s">
        <v>1796</v>
      </c>
      <c r="F2195" t="s">
        <v>11</v>
      </c>
      <c r="G2195" t="s">
        <v>1797</v>
      </c>
      <c r="H2195" s="12">
        <v>1.9947411464888101</v>
      </c>
      <c r="I2195" s="20">
        <v>1.9675931559077999</v>
      </c>
      <c r="J2195" s="28">
        <v>4.9114867851022002E-2</v>
      </c>
      <c r="K2195" s="29">
        <v>0.51743967831273996</v>
      </c>
    </row>
    <row r="2196" spans="1:11" x14ac:dyDescent="0.35">
      <c r="A2196" s="9" t="str">
        <f>HYPERLINK("http://www.ensembl.org/id/WBGene00003590", "WBGene00003590")</f>
        <v>WBGene00003590</v>
      </c>
      <c r="B2196" s="9" t="str">
        <f>HYPERLINK("http://www.ncbi.nlm.nih.gov/gene/191716", "191716")</f>
        <v>191716</v>
      </c>
      <c r="C2196" s="9"/>
      <c r="D2196" t="str">
        <f>"nex-3"</f>
        <v>nex-3</v>
      </c>
      <c r="E2196" t="s">
        <v>1798</v>
      </c>
      <c r="F2196" t="s">
        <v>11</v>
      </c>
      <c r="G2196" t="s">
        <v>1799</v>
      </c>
      <c r="H2196" s="12">
        <v>1.49154337746081</v>
      </c>
      <c r="I2196" s="20">
        <v>1.9676980132431501</v>
      </c>
      <c r="J2196" s="28">
        <v>4.91027945704854E-2</v>
      </c>
      <c r="K2196" s="29">
        <v>0.51743967831273996</v>
      </c>
    </row>
    <row r="2197" spans="1:11" x14ac:dyDescent="0.35">
      <c r="A2197" s="9" t="str">
        <f>HYPERLINK("http://www.ensembl.org/id/WBGene00002297", "WBGene00002297")</f>
        <v>WBGene00002297</v>
      </c>
      <c r="B2197" s="9" t="str">
        <f>HYPERLINK("http://www.ncbi.nlm.nih.gov/gene/174658", "174658")</f>
        <v>174658</v>
      </c>
      <c r="C2197" s="9"/>
      <c r="D2197" t="str">
        <f>"ect-2"</f>
        <v>ect-2</v>
      </c>
      <c r="E2197" t="s">
        <v>1801</v>
      </c>
      <c r="F2197" t="s">
        <v>11</v>
      </c>
      <c r="G2197" t="s">
        <v>1802</v>
      </c>
      <c r="H2197" s="12">
        <v>-1.5513580368778099</v>
      </c>
      <c r="I2197" s="20">
        <v>-1.96676622763331</v>
      </c>
      <c r="J2197" s="28">
        <v>4.9210167747155302E-2</v>
      </c>
      <c r="K2197" s="29">
        <v>0.51801828517802695</v>
      </c>
    </row>
    <row r="2198" spans="1:11" x14ac:dyDescent="0.35">
      <c r="A2198" s="9" t="str">
        <f>HYPERLINK("http://www.ensembl.org/id/WBGene00022766", "WBGene00022766")</f>
        <v>WBGene00022766</v>
      </c>
      <c r="B2198" s="9" t="str">
        <f>HYPERLINK("http://www.ncbi.nlm.nih.gov/gene/3565644", "3565644")</f>
        <v>3565644</v>
      </c>
      <c r="C2198" s="9" t="str">
        <f>HYPERLINK("http://www.ncbi.nlm.nih.gov/gene/25974", "25974")</f>
        <v>25974</v>
      </c>
      <c r="D2198" t="str">
        <f>"cblc-1"</f>
        <v>cblc-1</v>
      </c>
      <c r="E2198" t="s">
        <v>1803</v>
      </c>
      <c r="F2198" t="s">
        <v>11</v>
      </c>
      <c r="H2198" s="12">
        <v>-1.5721227798388899</v>
      </c>
      <c r="I2198" s="20">
        <v>-1.9664994669990701</v>
      </c>
      <c r="J2198" s="28">
        <v>4.9240943835410597E-2</v>
      </c>
      <c r="K2198" s="29">
        <v>0.51810621505509902</v>
      </c>
    </row>
    <row r="2199" spans="1:11" x14ac:dyDescent="0.35">
      <c r="A2199" s="9" t="str">
        <f>HYPERLINK("http://www.ensembl.org/id/WBGene00000301", "WBGene00000301")</f>
        <v>WBGene00000301</v>
      </c>
      <c r="B2199" s="9" t="str">
        <f>HYPERLINK("http://www.ncbi.nlm.nih.gov/gene/177815", "177815")</f>
        <v>177815</v>
      </c>
      <c r="C2199" s="9"/>
      <c r="D2199" t="str">
        <f>"cav-1"</f>
        <v>cav-1</v>
      </c>
      <c r="E2199" t="s">
        <v>1804</v>
      </c>
      <c r="F2199" t="s">
        <v>11</v>
      </c>
      <c r="G2199" t="s">
        <v>1805</v>
      </c>
      <c r="H2199" s="12">
        <v>1.48566445239999</v>
      </c>
      <c r="I2199" s="20">
        <v>1.965985189475</v>
      </c>
      <c r="J2199" s="28">
        <v>4.93003214491416E-2</v>
      </c>
      <c r="K2199" s="29">
        <v>0.51849486909597897</v>
      </c>
    </row>
    <row r="2200" spans="1:11" x14ac:dyDescent="0.35">
      <c r="A2200" s="9" t="str">
        <f>HYPERLINK("http://www.ensembl.org/id/WBGene00023069", "WBGene00023069")</f>
        <v>WBGene00023069</v>
      </c>
      <c r="B2200" s="9"/>
      <c r="C2200" s="9"/>
      <c r="D2200" t="str">
        <f>"rncs-1"</f>
        <v>rncs-1</v>
      </c>
      <c r="F2200" t="s">
        <v>481</v>
      </c>
      <c r="H2200" s="12">
        <v>-1.51078778051731</v>
      </c>
      <c r="I2200" s="20">
        <v>-1.96552761738782</v>
      </c>
      <c r="J2200" s="28">
        <v>4.9353202443182899E-2</v>
      </c>
      <c r="K2200" s="29">
        <v>0.51881487518297698</v>
      </c>
    </row>
    <row r="2201" spans="1:11" x14ac:dyDescent="0.35">
      <c r="A2201" s="9" t="str">
        <f>HYPERLINK("http://www.ensembl.org/id/WBGene00016683", "WBGene00016683")</f>
        <v>WBGene00016683</v>
      </c>
      <c r="B2201" s="9" t="str">
        <f>HYPERLINK("http://www.ncbi.nlm.nih.gov/gene/183482", "183482")</f>
        <v>183482</v>
      </c>
      <c r="C2201" s="9"/>
      <c r="D2201" t="str">
        <f>"C45G9.12"</f>
        <v>C45G9.12</v>
      </c>
      <c r="F2201" t="s">
        <v>11</v>
      </c>
      <c r="H2201" s="12">
        <v>2.1461797881947202</v>
      </c>
      <c r="I2201" s="20">
        <v>1.96472839124355</v>
      </c>
      <c r="J2201" s="28">
        <v>4.9445682093773598E-2</v>
      </c>
      <c r="K2201" s="29">
        <v>0.51955067324180704</v>
      </c>
    </row>
    <row r="2202" spans="1:11" x14ac:dyDescent="0.35">
      <c r="A2202" s="9" t="str">
        <f>HYPERLINK("http://www.ensembl.org/id/WBGene00012151", "WBGene00012151")</f>
        <v>WBGene00012151</v>
      </c>
      <c r="B2202" s="9" t="str">
        <f>HYPERLINK("http://www.ncbi.nlm.nih.gov/gene/24104962", "24104962")</f>
        <v>24104962</v>
      </c>
      <c r="C2202" s="9"/>
      <c r="D2202" t="str">
        <f>"VH15N14R.1"</f>
        <v>VH15N14R.1</v>
      </c>
      <c r="F2202" t="s">
        <v>11</v>
      </c>
      <c r="H2202" s="12">
        <v>2.3467950725092002</v>
      </c>
      <c r="I2202" s="20">
        <v>1.96387474032644</v>
      </c>
      <c r="J2202" s="28">
        <v>4.95446198335876E-2</v>
      </c>
      <c r="K2202" s="29">
        <v>0.52035362994312495</v>
      </c>
    </row>
    <row r="2203" spans="1:11" x14ac:dyDescent="0.35">
      <c r="A2203" s="9" t="str">
        <f>HYPERLINK("http://www.ensembl.org/id/WBGene00013146", "WBGene00013146")</f>
        <v>WBGene00013146</v>
      </c>
      <c r="B2203" s="9" t="str">
        <f>HYPERLINK("http://www.ncbi.nlm.nih.gov/gene/3565122", "3565122")</f>
        <v>3565122</v>
      </c>
      <c r="C2203" s="9"/>
      <c r="D2203" t="str">
        <f>"Y53C12B.7"</f>
        <v>Y53C12B.7</v>
      </c>
      <c r="F2203" t="s">
        <v>11</v>
      </c>
      <c r="G2203" t="s">
        <v>25</v>
      </c>
      <c r="H2203" s="12">
        <v>-1.89235354956851</v>
      </c>
      <c r="I2203" s="20">
        <v>-1.96246918017338</v>
      </c>
      <c r="J2203" s="28">
        <v>4.97078853804859E-2</v>
      </c>
      <c r="K2203" s="29">
        <v>0.52183116747001701</v>
      </c>
    </row>
    <row r="2204" spans="1:11" x14ac:dyDescent="0.35">
      <c r="A2204" s="9" t="str">
        <f>HYPERLINK("http://www.ensembl.org/id/WBGene00021253", "WBGene00021253")</f>
        <v>WBGene00021253</v>
      </c>
      <c r="B2204" s="9" t="str">
        <f>HYPERLINK("http://www.ncbi.nlm.nih.gov/gene/189508", "189508")</f>
        <v>189508</v>
      </c>
      <c r="C2204" s="9"/>
      <c r="D2204" t="str">
        <f>"Y22D7AL.15"</f>
        <v>Y22D7AL.15</v>
      </c>
      <c r="F2204" t="s">
        <v>11</v>
      </c>
      <c r="G2204" t="s">
        <v>208</v>
      </c>
      <c r="H2204" s="12">
        <v>-1.4945669598240601</v>
      </c>
      <c r="I2204" s="20">
        <v>-1.96113622216711</v>
      </c>
      <c r="J2204" s="28">
        <v>4.9863134299140202E-2</v>
      </c>
      <c r="K2204" s="29">
        <v>0.52322324301359402</v>
      </c>
    </row>
    <row r="2205" spans="1:11" x14ac:dyDescent="0.35">
      <c r="A2205" s="9" t="str">
        <f>HYPERLINK("http://www.ensembl.org/id/WBGene00015476", "WBGene00015476")</f>
        <v>WBGene00015476</v>
      </c>
      <c r="B2205" s="9" t="str">
        <f>HYPERLINK("http://www.ncbi.nlm.nih.gov/gene/180466", "180466")</f>
        <v>180466</v>
      </c>
      <c r="C2205" s="9"/>
      <c r="D2205" t="str">
        <f>"C05D9.9"</f>
        <v>C05D9.9</v>
      </c>
      <c r="F2205" t="s">
        <v>11</v>
      </c>
      <c r="H2205" s="12">
        <v>1.56465442032373</v>
      </c>
      <c r="I2205" s="20">
        <v>1.96086545582393</v>
      </c>
      <c r="J2205" s="28">
        <v>4.9894719944526197E-2</v>
      </c>
      <c r="K2205" s="29">
        <v>0.52324035482854203</v>
      </c>
    </row>
    <row r="2206" spans="1:11" x14ac:dyDescent="0.35">
      <c r="A2206" s="9" t="str">
        <f>HYPERLINK("http://www.ensembl.org/id/WBGene00185089", "WBGene00185089")</f>
        <v>WBGene00185089</v>
      </c>
      <c r="B2206" s="9" t="str">
        <f>HYPERLINK("http://www.ncbi.nlm.nih.gov/gene/13184588", "13184588")</f>
        <v>13184588</v>
      </c>
      <c r="C2206" s="9"/>
      <c r="D2206" t="str">
        <f>"C16A11.10"</f>
        <v>C16A11.10</v>
      </c>
      <c r="F2206" t="s">
        <v>11</v>
      </c>
      <c r="G2206" t="s">
        <v>1808</v>
      </c>
      <c r="H2206" s="12">
        <v>-2.2929077972141698</v>
      </c>
      <c r="I2206" s="20">
        <v>-1.9603461451741999</v>
      </c>
      <c r="J2206" s="28">
        <v>4.9955345916721398E-2</v>
      </c>
      <c r="K2206" s="29">
        <v>0.52324035482854203</v>
      </c>
    </row>
    <row r="2207" spans="1:11" x14ac:dyDescent="0.35">
      <c r="A2207" s="9" t="str">
        <f>HYPERLINK("http://www.ensembl.org/id/WBGene00016789", "WBGene00016789")</f>
        <v>WBGene00016789</v>
      </c>
      <c r="B2207" s="9" t="str">
        <f>HYPERLINK("http://www.ncbi.nlm.nih.gov/gene/183625", "183625")</f>
        <v>183625</v>
      </c>
      <c r="C2207" s="9" t="str">
        <f>HYPERLINK("http://www.ncbi.nlm.nih.gov/gene/11315", "11315")</f>
        <v>11315</v>
      </c>
      <c r="D2207" t="str">
        <f>"djr-1.2"</f>
        <v>djr-1.2</v>
      </c>
      <c r="E2207" t="s">
        <v>1807</v>
      </c>
      <c r="F2207" t="s">
        <v>11</v>
      </c>
      <c r="H2207" s="12">
        <v>-1.6803478852712499</v>
      </c>
      <c r="I2207" s="20">
        <v>-1.96038339824172</v>
      </c>
      <c r="J2207" s="28">
        <v>4.9950994820059699E-2</v>
      </c>
      <c r="K2207" s="29">
        <v>0.52324035482854203</v>
      </c>
    </row>
    <row r="2208" spans="1:11" x14ac:dyDescent="0.35">
      <c r="A2208" s="9" t="str">
        <f>HYPERLINK("http://www.ensembl.org/id/WBGene00019012", "WBGene00019012")</f>
        <v>WBGene00019012</v>
      </c>
      <c r="B2208" s="9" t="str">
        <f>HYPERLINK("http://www.ncbi.nlm.nih.gov/gene/186448", "186448")</f>
        <v>186448</v>
      </c>
      <c r="C2208" s="9"/>
      <c r="D2208" t="str">
        <f>"F57C9.6"</f>
        <v>F57C9.6</v>
      </c>
      <c r="F2208" t="s">
        <v>11</v>
      </c>
      <c r="G2208" t="s">
        <v>1806</v>
      </c>
      <c r="H2208" s="12">
        <v>1.8234525570829201</v>
      </c>
      <c r="I2208" s="20">
        <v>1.9606353197125601</v>
      </c>
      <c r="J2208" s="28">
        <v>4.9921579147962601E-2</v>
      </c>
      <c r="K2208" s="29">
        <v>0.52324035482854203</v>
      </c>
    </row>
    <row r="2209" spans="1:11" x14ac:dyDescent="0.35">
      <c r="A2209" s="9" t="str">
        <f>HYPERLINK("http://www.ensembl.org/id/WBGene00016373", "WBGene00016373")</f>
        <v>WBGene00016373</v>
      </c>
      <c r="B2209" s="9" t="str">
        <f>HYPERLINK("http://www.ncbi.nlm.nih.gov/gene/183186", "183186")</f>
        <v>183186</v>
      </c>
      <c r="C2209" s="9"/>
      <c r="D2209" t="str">
        <f>"swd-2.1"</f>
        <v>swd-2.1</v>
      </c>
      <c r="E2209" t="s">
        <v>1809</v>
      </c>
      <c r="F2209" t="s">
        <v>11</v>
      </c>
      <c r="G2209" t="s">
        <v>1810</v>
      </c>
      <c r="H2209" s="12">
        <v>-1.5944363087840701</v>
      </c>
      <c r="I2209" s="20">
        <v>-1.95927361709757</v>
      </c>
      <c r="J2209" s="28">
        <v>5.0080751760415598E-2</v>
      </c>
      <c r="K2209" s="29">
        <v>0.52431619853926703</v>
      </c>
    </row>
    <row r="2210" spans="1:11" x14ac:dyDescent="0.35">
      <c r="A2210" s="9" t="str">
        <f>HYPERLINK("http://www.ensembl.org/id/WBGene00007479", "WBGene00007479")</f>
        <v>WBGene00007479</v>
      </c>
      <c r="B2210" s="9" t="str">
        <f>HYPERLINK("http://www.ncbi.nlm.nih.gov/gene/182456", "182456")</f>
        <v>182456</v>
      </c>
      <c r="C2210" s="9"/>
      <c r="D2210" t="str">
        <f>"C09F9.2"</f>
        <v>C09F9.2</v>
      </c>
      <c r="F2210" t="s">
        <v>11</v>
      </c>
      <c r="G2210" t="s">
        <v>1811</v>
      </c>
      <c r="H2210" s="12">
        <v>1.4964028432836001</v>
      </c>
      <c r="I2210" s="20">
        <v>1.95849486197331</v>
      </c>
      <c r="J2210" s="28">
        <v>5.01719733536794E-2</v>
      </c>
      <c r="K2210" s="29">
        <v>0.52503334072016095</v>
      </c>
    </row>
    <row r="2211" spans="1:11" x14ac:dyDescent="0.35">
      <c r="A2211" s="9" t="str">
        <f>HYPERLINK("http://www.ensembl.org/id/WBGene00014115", "WBGene00014115")</f>
        <v>WBGene00014115</v>
      </c>
      <c r="B2211" s="9" t="str">
        <f>HYPERLINK("http://www.ncbi.nlm.nih.gov/gene/172735", "172735")</f>
        <v>172735</v>
      </c>
      <c r="C2211" s="9"/>
      <c r="D2211" t="str">
        <f>"gld-4"</f>
        <v>gld-4</v>
      </c>
      <c r="E2211" t="s">
        <v>1812</v>
      </c>
      <c r="F2211" t="s">
        <v>11</v>
      </c>
      <c r="G2211" t="s">
        <v>1813</v>
      </c>
      <c r="H2211" s="12">
        <v>-1.44812704168975</v>
      </c>
      <c r="I2211" s="20">
        <v>-1.9580235095074101</v>
      </c>
      <c r="J2211" s="28">
        <v>5.0227254134474299E-2</v>
      </c>
      <c r="K2211" s="29">
        <v>0.52537389498920894</v>
      </c>
    </row>
    <row r="2212" spans="1:11" x14ac:dyDescent="0.35">
      <c r="A2212" s="9" t="str">
        <f>HYPERLINK("http://www.ensembl.org/id/WBGene00022394", "WBGene00022394")</f>
        <v>WBGene00022394</v>
      </c>
      <c r="B2212" s="9" t="str">
        <f>HYPERLINK("http://www.ncbi.nlm.nih.gov/gene/190814", "190814")</f>
        <v>190814</v>
      </c>
      <c r="C2212" s="9" t="str">
        <f>HYPERLINK("http://www.ncbi.nlm.nih.gov/gene/51126", "51126")</f>
        <v>51126</v>
      </c>
      <c r="D2212" t="str">
        <f>"natb-1"</f>
        <v>natb-1</v>
      </c>
      <c r="E2212" t="s">
        <v>1814</v>
      </c>
      <c r="F2212" t="s">
        <v>11</v>
      </c>
      <c r="G2212" t="s">
        <v>1815</v>
      </c>
      <c r="H2212" s="12">
        <v>-1.61214221119624</v>
      </c>
      <c r="I2212" s="20">
        <v>-1.9577599095788001</v>
      </c>
      <c r="J2212" s="28">
        <v>5.0258191701728301E-2</v>
      </c>
      <c r="K2212" s="29">
        <v>0.52545962781001598</v>
      </c>
    </row>
    <row r="2213" spans="1:11" x14ac:dyDescent="0.35">
      <c r="A2213" s="9" t="str">
        <f>HYPERLINK("http://www.ensembl.org/id/WBGene00003738", "WBGene00003738")</f>
        <v>WBGene00003738</v>
      </c>
      <c r="B2213" s="9" t="str">
        <f>HYPERLINK("http://www.ncbi.nlm.nih.gov/gene/179770", "179770")</f>
        <v>179770</v>
      </c>
      <c r="C2213" s="9"/>
      <c r="D2213" t="str">
        <f>"nid-1"</f>
        <v>nid-1</v>
      </c>
      <c r="E2213" t="s">
        <v>1816</v>
      </c>
      <c r="F2213" t="s">
        <v>11</v>
      </c>
      <c r="G2213" t="s">
        <v>1817</v>
      </c>
      <c r="H2213" s="12">
        <v>1.44847948675913</v>
      </c>
      <c r="I2213" s="20">
        <v>1.9569458113560001</v>
      </c>
      <c r="J2213" s="28">
        <v>5.03538396878409E-2</v>
      </c>
      <c r="K2213" s="29">
        <v>0.52605738580145101</v>
      </c>
    </row>
    <row r="2214" spans="1:11" x14ac:dyDescent="0.35">
      <c r="A2214" s="9" t="str">
        <f>HYPERLINK("http://www.ensembl.org/id/WBGene00003793", "WBGene00003793")</f>
        <v>WBGene00003793</v>
      </c>
      <c r="B2214" s="9" t="str">
        <f>HYPERLINK("http://www.ncbi.nlm.nih.gov/gene/172234", "172234")</f>
        <v>172234</v>
      </c>
      <c r="C2214" s="9"/>
      <c r="D2214" t="str">
        <f>"npp-7"</f>
        <v>npp-7</v>
      </c>
      <c r="E2214" t="s">
        <v>375</v>
      </c>
      <c r="F2214" t="s">
        <v>11</v>
      </c>
      <c r="G2214" t="s">
        <v>1818</v>
      </c>
      <c r="H2214" s="12">
        <v>-1.4571618769477599</v>
      </c>
      <c r="I2214" s="20">
        <v>-1.9568857762229199</v>
      </c>
      <c r="J2214" s="28">
        <v>5.0360899220670399E-2</v>
      </c>
      <c r="K2214" s="29">
        <v>0.52605738580145101</v>
      </c>
    </row>
    <row r="2215" spans="1:11" x14ac:dyDescent="0.35">
      <c r="A2215" s="9" t="str">
        <f>HYPERLINK("http://www.ensembl.org/id/WBGene00018864", "WBGene00018864")</f>
        <v>WBGene00018864</v>
      </c>
      <c r="B2215" s="9" t="str">
        <f>HYPERLINK("http://www.ncbi.nlm.nih.gov/gene/172181", "172181")</f>
        <v>172181</v>
      </c>
      <c r="C2215" s="9"/>
      <c r="D2215" t="str">
        <f>"F55A12.5"</f>
        <v>F55A12.5</v>
      </c>
      <c r="F2215" t="s">
        <v>11</v>
      </c>
      <c r="H2215" s="12">
        <v>-1.4727637470553701</v>
      </c>
      <c r="I2215" s="20">
        <v>-1.9565083430102399</v>
      </c>
      <c r="J2215" s="28">
        <v>5.0405300603136902E-2</v>
      </c>
      <c r="K2215" s="29">
        <v>0.52616632319138901</v>
      </c>
    </row>
    <row r="2216" spans="1:11" x14ac:dyDescent="0.35">
      <c r="A2216" s="9" t="str">
        <f>HYPERLINK("http://www.ensembl.org/id/WBGene00011788", "WBGene00011788")</f>
        <v>WBGene00011788</v>
      </c>
      <c r="B2216" s="9" t="str">
        <f>HYPERLINK("http://www.ncbi.nlm.nih.gov/gene/188538", "188538")</f>
        <v>188538</v>
      </c>
      <c r="C2216" s="9"/>
      <c r="D2216" t="str">
        <f>"hal-3"</f>
        <v>hal-3</v>
      </c>
      <c r="F2216" t="s">
        <v>11</v>
      </c>
      <c r="H2216" s="12">
        <v>-1.5892612633071801</v>
      </c>
      <c r="I2216" s="20">
        <v>-1.9563277973027899</v>
      </c>
      <c r="J2216" s="28">
        <v>5.0426551663448997E-2</v>
      </c>
      <c r="K2216" s="29">
        <v>0.52616632319138901</v>
      </c>
    </row>
    <row r="2217" spans="1:11" x14ac:dyDescent="0.35">
      <c r="A2217" s="9" t="str">
        <f>HYPERLINK("http://www.ensembl.org/id/WBGene00197516", "WBGene00197516")</f>
        <v>WBGene00197516</v>
      </c>
      <c r="B2217" s="9"/>
      <c r="C2217" s="9"/>
      <c r="D2217" t="str">
        <f>"T04C12.21"</f>
        <v>T04C12.21</v>
      </c>
      <c r="F2217" t="s">
        <v>481</v>
      </c>
      <c r="H2217" s="12">
        <v>2.6024348408856102</v>
      </c>
      <c r="I2217" s="20">
        <v>1.9562166016684299</v>
      </c>
      <c r="J2217" s="28">
        <v>5.0439643636671298E-2</v>
      </c>
      <c r="K2217" s="29">
        <v>0.52616632319138901</v>
      </c>
    </row>
    <row r="2218" spans="1:11" x14ac:dyDescent="0.35">
      <c r="A2218" s="9" t="str">
        <f>HYPERLINK("http://www.ensembl.org/id/WBGene00015338", "WBGene00015338")</f>
        <v>WBGene00015338</v>
      </c>
      <c r="B2218" s="9" t="str">
        <f>HYPERLINK("http://www.ncbi.nlm.nih.gov/gene/182114", "182114")</f>
        <v>182114</v>
      </c>
      <c r="C2218" s="9"/>
      <c r="D2218" t="str">
        <f>"catp-2"</f>
        <v>catp-2</v>
      </c>
      <c r="E2218" t="s">
        <v>1824</v>
      </c>
      <c r="F2218" t="s">
        <v>11</v>
      </c>
      <c r="G2218" t="s">
        <v>1825</v>
      </c>
      <c r="H2218" s="12">
        <v>-45.2977986222811</v>
      </c>
      <c r="I2218" s="20">
        <v>-1.9549377731658899</v>
      </c>
      <c r="J2218" s="28">
        <v>5.05904154429795E-2</v>
      </c>
      <c r="K2218" s="29">
        <v>0.52631343504074002</v>
      </c>
    </row>
    <row r="2219" spans="1:11" x14ac:dyDescent="0.35">
      <c r="A2219" s="9" t="str">
        <f>HYPERLINK("http://www.ensembl.org/id/WBGene00000467", "WBGene00000467")</f>
        <v>WBGene00000467</v>
      </c>
      <c r="B2219" s="9" t="str">
        <f>HYPERLINK("http://www.ncbi.nlm.nih.gov/gene/172616", "172616")</f>
        <v>172616</v>
      </c>
      <c r="C2219" s="9"/>
      <c r="D2219" t="str">
        <f>"cep-1"</f>
        <v>cep-1</v>
      </c>
      <c r="E2219" t="s">
        <v>1822</v>
      </c>
      <c r="F2219" t="s">
        <v>11</v>
      </c>
      <c r="G2219" t="s">
        <v>1823</v>
      </c>
      <c r="H2219" s="12">
        <v>-1.5875362290705199</v>
      </c>
      <c r="I2219" s="20">
        <v>-1.95503701348961</v>
      </c>
      <c r="J2219" s="28">
        <v>5.0578701671310497E-2</v>
      </c>
      <c r="K2219" s="29">
        <v>0.52631343504074002</v>
      </c>
    </row>
    <row r="2220" spans="1:11" x14ac:dyDescent="0.35">
      <c r="A2220" s="9" t="str">
        <f>HYPERLINK("http://www.ensembl.org/id/WBGene00010232", "WBGene00010232")</f>
        <v>WBGene00010232</v>
      </c>
      <c r="B2220" s="9" t="str">
        <f>HYPERLINK("http://www.ncbi.nlm.nih.gov/gene/178090", "178090")</f>
        <v>178090</v>
      </c>
      <c r="C2220" s="9" t="str">
        <f>HYPERLINK("http://www.ncbi.nlm.nih.gov/gene/3475", "3475")</f>
        <v>3475</v>
      </c>
      <c r="D2220" t="str">
        <f>"F58B3.6"</f>
        <v>F58B3.6</v>
      </c>
      <c r="F2220" t="s">
        <v>11</v>
      </c>
      <c r="H2220" s="12">
        <v>-1.45384917121765</v>
      </c>
      <c r="I2220" s="20">
        <v>-1.9550029684621599</v>
      </c>
      <c r="J2220" s="28">
        <v>5.0582719899474798E-2</v>
      </c>
      <c r="K2220" s="29">
        <v>0.52631343504074002</v>
      </c>
    </row>
    <row r="2221" spans="1:11" x14ac:dyDescent="0.35">
      <c r="A2221" s="9" t="str">
        <f>HYPERLINK("http://www.ensembl.org/id/WBGene00010741", "WBGene00010741")</f>
        <v>WBGene00010741</v>
      </c>
      <c r="B2221" s="9" t="str">
        <f>HYPERLINK("http://www.ncbi.nlm.nih.gov/gene/179547", "179547")</f>
        <v>179547</v>
      </c>
      <c r="C2221" s="9"/>
      <c r="D2221" t="str">
        <f>"lgc-49"</f>
        <v>lgc-49</v>
      </c>
      <c r="E2221" t="s">
        <v>505</v>
      </c>
      <c r="F2221" t="s">
        <v>11</v>
      </c>
      <c r="G2221" t="s">
        <v>506</v>
      </c>
      <c r="H2221" s="12">
        <v>2.06265088511929</v>
      </c>
      <c r="I2221" s="20">
        <v>1.95551534581764</v>
      </c>
      <c r="J2221" s="28">
        <v>5.0522273871429803E-2</v>
      </c>
      <c r="K2221" s="29">
        <v>0.52631343504074002</v>
      </c>
    </row>
    <row r="2222" spans="1:11" x14ac:dyDescent="0.35">
      <c r="A2222" s="9" t="str">
        <f>HYPERLINK("http://www.ensembl.org/id/WBGene00003801", "WBGene00003801")</f>
        <v>WBGene00003801</v>
      </c>
      <c r="B2222" s="9" t="str">
        <f>HYPERLINK("http://www.ncbi.nlm.nih.gov/gene/176114", "176114")</f>
        <v>176114</v>
      </c>
      <c r="C2222" s="9"/>
      <c r="D2222" t="str">
        <f>"npp-15"</f>
        <v>npp-15</v>
      </c>
      <c r="E2222" t="s">
        <v>1819</v>
      </c>
      <c r="F2222" t="s">
        <v>11</v>
      </c>
      <c r="G2222" t="s">
        <v>1820</v>
      </c>
      <c r="H2222" s="12">
        <v>-1.4986023406003</v>
      </c>
      <c r="I2222" s="20">
        <v>-1.9554378989132699</v>
      </c>
      <c r="J2222" s="28">
        <v>5.0531406529924001E-2</v>
      </c>
      <c r="K2222" s="29">
        <v>0.52631343504074002</v>
      </c>
    </row>
    <row r="2223" spans="1:11" x14ac:dyDescent="0.35">
      <c r="A2223" s="9" t="str">
        <f>HYPERLINK("http://www.ensembl.org/id/WBGene00012385", "WBGene00012385")</f>
        <v>WBGene00012385</v>
      </c>
      <c r="B2223" s="9" t="str">
        <f>HYPERLINK("http://www.ncbi.nlm.nih.gov/gene/178004", "178004")</f>
        <v>178004</v>
      </c>
      <c r="C2223" s="9"/>
      <c r="D2223" t="str">
        <f>"Y5F2A.4"</f>
        <v>Y5F2A.4</v>
      </c>
      <c r="F2223" t="s">
        <v>11</v>
      </c>
      <c r="G2223" t="s">
        <v>1821</v>
      </c>
      <c r="H2223" s="12">
        <v>-1.50879280875442</v>
      </c>
      <c r="I2223" s="20">
        <v>-1.9558696646459099</v>
      </c>
      <c r="J2223" s="28">
        <v>5.0480509683373698E-2</v>
      </c>
      <c r="K2223" s="29">
        <v>0.52631343504074002</v>
      </c>
    </row>
    <row r="2224" spans="1:11" x14ac:dyDescent="0.35">
      <c r="A2224" s="9" t="str">
        <f>HYPERLINK("http://www.ensembl.org/id/WBGene00008456", "WBGene00008456")</f>
        <v>WBGene00008456</v>
      </c>
      <c r="B2224" s="9" t="str">
        <f>HYPERLINK("http://www.ncbi.nlm.nih.gov/gene/174508", "174508")</f>
        <v>174508</v>
      </c>
      <c r="C2224" s="9" t="str">
        <f>HYPERLINK("http://www.ncbi.nlm.nih.gov/gene/26284", "26284")</f>
        <v>26284</v>
      </c>
      <c r="D2224" t="str">
        <f>"eral-1"</f>
        <v>eral-1</v>
      </c>
      <c r="E2224" t="s">
        <v>1826</v>
      </c>
      <c r="F2224" t="s">
        <v>11</v>
      </c>
      <c r="G2224" t="s">
        <v>1827</v>
      </c>
      <c r="H2224" s="12">
        <v>-1.6304506908073899</v>
      </c>
      <c r="I2224" s="20">
        <v>-1.95421591894216</v>
      </c>
      <c r="J2224" s="28">
        <v>5.0675687481348201E-2</v>
      </c>
      <c r="K2224" s="29">
        <v>0.52696329205402004</v>
      </c>
    </row>
    <row r="2225" spans="1:11" x14ac:dyDescent="0.35">
      <c r="A2225" s="9" t="str">
        <f>HYPERLINK("http://www.ensembl.org/id/WBGene00003165", "WBGene00003165")</f>
        <v>WBGene00003165</v>
      </c>
      <c r="B2225" s="9" t="str">
        <f>HYPERLINK("http://www.ncbi.nlm.nih.gov/gene/188259", "188259")</f>
        <v>188259</v>
      </c>
      <c r="C2225" s="9"/>
      <c r="D2225" t="str">
        <f>"mec-1"</f>
        <v>mec-1</v>
      </c>
      <c r="F2225" t="s">
        <v>11</v>
      </c>
      <c r="G2225" t="s">
        <v>1830</v>
      </c>
      <c r="H2225" s="12">
        <v>1.5049521999094599</v>
      </c>
      <c r="I2225" s="20">
        <v>1.9536514833779099</v>
      </c>
      <c r="J2225" s="28">
        <v>5.0742447639047401E-2</v>
      </c>
      <c r="K2225" s="29">
        <v>0.52725373544160603</v>
      </c>
    </row>
    <row r="2226" spans="1:11" x14ac:dyDescent="0.35">
      <c r="A2226" s="9" t="str">
        <f>HYPERLINK("http://www.ensembl.org/id/WBGene00005191", "WBGene00005191")</f>
        <v>WBGene00005191</v>
      </c>
      <c r="B2226" s="9" t="str">
        <f>HYPERLINK("http://www.ncbi.nlm.nih.gov/gene/190136", "190136")</f>
        <v>190136</v>
      </c>
      <c r="C2226" s="9"/>
      <c r="D2226" t="str">
        <f>"srg-34"</f>
        <v>srg-34</v>
      </c>
      <c r="E2226" t="s">
        <v>1828</v>
      </c>
      <c r="F2226" t="s">
        <v>11</v>
      </c>
      <c r="G2226" t="s">
        <v>1829</v>
      </c>
      <c r="H2226" s="12">
        <v>3.0393172280891898</v>
      </c>
      <c r="I2226" s="20">
        <v>1.95359395640088</v>
      </c>
      <c r="J2226" s="28">
        <v>5.0749255934481603E-2</v>
      </c>
      <c r="K2226" s="29">
        <v>0.52725373544160603</v>
      </c>
    </row>
    <row r="2227" spans="1:11" x14ac:dyDescent="0.35">
      <c r="A2227" s="9" t="str">
        <f>HYPERLINK("http://www.ensembl.org/id/WBGene00045207", "WBGene00045207")</f>
        <v>WBGene00045207</v>
      </c>
      <c r="B2227" s="9" t="str">
        <f>HYPERLINK("http://www.ncbi.nlm.nih.gov/gene/4927050", "4927050")</f>
        <v>4927050</v>
      </c>
      <c r="C2227" s="9"/>
      <c r="D2227" t="str">
        <f>"F13E9.14"</f>
        <v>F13E9.14</v>
      </c>
      <c r="F2227" t="s">
        <v>11</v>
      </c>
      <c r="H2227" s="12">
        <v>45.779256608078597</v>
      </c>
      <c r="I2227" s="20">
        <v>1.9528362381017501</v>
      </c>
      <c r="J2227" s="28">
        <v>5.0839003040880799E-2</v>
      </c>
      <c r="K2227" s="29">
        <v>0.52771159221140695</v>
      </c>
    </row>
    <row r="2228" spans="1:11" x14ac:dyDescent="0.35">
      <c r="A2228" s="9" t="str">
        <f>HYPERLINK("http://www.ensembl.org/id/WBGene00015779", "WBGene00015779")</f>
        <v>WBGene00015779</v>
      </c>
      <c r="B2228" s="9" t="str">
        <f>HYPERLINK("http://www.ncbi.nlm.nih.gov/gene/180893", "180893")</f>
        <v>180893</v>
      </c>
      <c r="C2228" s="9"/>
      <c r="D2228" t="str">
        <f>"lrch-1"</f>
        <v>lrch-1</v>
      </c>
      <c r="E2228" t="s">
        <v>1831</v>
      </c>
      <c r="F2228" t="s">
        <v>11</v>
      </c>
      <c r="G2228" t="s">
        <v>54</v>
      </c>
      <c r="H2228" s="12">
        <v>1.48793262919293</v>
      </c>
      <c r="I2228" s="20">
        <v>1.9529363777920701</v>
      </c>
      <c r="J2228" s="28">
        <v>5.08271344878818E-2</v>
      </c>
      <c r="K2228" s="29">
        <v>0.52771159221140695</v>
      </c>
    </row>
    <row r="2229" spans="1:11" x14ac:dyDescent="0.35">
      <c r="A2229" s="9" t="str">
        <f>HYPERLINK("http://www.ensembl.org/id/WBGene00001674", "WBGene00001674")</f>
        <v>WBGene00001674</v>
      </c>
      <c r="B2229" s="9" t="str">
        <f>HYPERLINK("http://www.ncbi.nlm.nih.gov/gene/181157", "181157")</f>
        <v>181157</v>
      </c>
      <c r="C2229" s="9" t="str">
        <f>HYPERLINK("http://www.ncbi.nlm.nih.gov/gene/2768", "2768")</f>
        <v>2768</v>
      </c>
      <c r="D2229" t="str">
        <f>"gpa-12"</f>
        <v>gpa-12</v>
      </c>
      <c r="E2229" t="s">
        <v>1834</v>
      </c>
      <c r="F2229" t="s">
        <v>11</v>
      </c>
      <c r="G2229" t="s">
        <v>1835</v>
      </c>
      <c r="H2229" s="12">
        <v>1.7451298768121699</v>
      </c>
      <c r="I2229" s="20">
        <v>1.9517589807683</v>
      </c>
      <c r="J2229" s="28">
        <v>5.0966826410926203E-2</v>
      </c>
      <c r="K2229" s="29">
        <v>0.52830293115766802</v>
      </c>
    </row>
    <row r="2230" spans="1:11" x14ac:dyDescent="0.35">
      <c r="A2230" s="9" t="str">
        <f>HYPERLINK("http://www.ensembl.org/id/WBGene00043056", "WBGene00043056")</f>
        <v>WBGene00043056</v>
      </c>
      <c r="B2230" s="9" t="str">
        <f>HYPERLINK("http://www.ncbi.nlm.nih.gov/gene/3565955", "3565955")</f>
        <v>3565955</v>
      </c>
      <c r="C2230" s="9"/>
      <c r="D2230" t="str">
        <f>"nfya-2"</f>
        <v>nfya-2</v>
      </c>
      <c r="E2230" t="s">
        <v>1836</v>
      </c>
      <c r="F2230" t="s">
        <v>11</v>
      </c>
      <c r="G2230" t="s">
        <v>1837</v>
      </c>
      <c r="H2230" s="12">
        <v>-1.60621341415638</v>
      </c>
      <c r="I2230" s="20">
        <v>-1.95158555933856</v>
      </c>
      <c r="J2230" s="28">
        <v>5.0987429086886499E-2</v>
      </c>
      <c r="K2230" s="29">
        <v>0.52830293115766802</v>
      </c>
    </row>
    <row r="2231" spans="1:11" x14ac:dyDescent="0.35">
      <c r="A2231" s="9" t="str">
        <f>HYPERLINK("http://www.ensembl.org/id/WBGene00003731", "WBGene00003731")</f>
        <v>WBGene00003731</v>
      </c>
      <c r="B2231" s="9" t="str">
        <f>HYPERLINK("http://www.ncbi.nlm.nih.gov/gene/183811", "183811")</f>
        <v>183811</v>
      </c>
      <c r="C2231" s="9"/>
      <c r="D2231" t="str">
        <f>"nhx-3"</f>
        <v>nhx-3</v>
      </c>
      <c r="E2231" t="s">
        <v>1833</v>
      </c>
      <c r="F2231" t="s">
        <v>11</v>
      </c>
      <c r="G2231" t="s">
        <v>1346</v>
      </c>
      <c r="H2231" s="12">
        <v>1.7529859226592599</v>
      </c>
      <c r="I2231" s="20">
        <v>1.9517423062008401</v>
      </c>
      <c r="J2231" s="28">
        <v>5.09688070667473E-2</v>
      </c>
      <c r="K2231" s="29">
        <v>0.52830293115766802</v>
      </c>
    </row>
    <row r="2232" spans="1:11" x14ac:dyDescent="0.35">
      <c r="A2232" s="9" t="str">
        <f>HYPERLINK("http://www.ensembl.org/id/WBGene00011339", "WBGene00011339")</f>
        <v>WBGene00011339</v>
      </c>
      <c r="B2232" s="9" t="str">
        <f>HYPERLINK("http://www.ncbi.nlm.nih.gov/gene/180021", "180021")</f>
        <v>180021</v>
      </c>
      <c r="C2232" s="9"/>
      <c r="D2232" t="str">
        <f>"T01G5.1"</f>
        <v>T01G5.1</v>
      </c>
      <c r="F2232" t="s">
        <v>11</v>
      </c>
      <c r="G2232" t="s">
        <v>1832</v>
      </c>
      <c r="H2232" s="12">
        <v>1.9294788027359899</v>
      </c>
      <c r="I2232" s="20">
        <v>1.9518390826841701</v>
      </c>
      <c r="J2232" s="28">
        <v>5.0957312560368603E-2</v>
      </c>
      <c r="K2232" s="29">
        <v>0.52830293115766802</v>
      </c>
    </row>
    <row r="2233" spans="1:11" x14ac:dyDescent="0.35">
      <c r="A2233" s="9" t="str">
        <f>HYPERLINK("http://www.ensembl.org/id/WBGene00017587", "WBGene00017587")</f>
        <v>WBGene00017587</v>
      </c>
      <c r="B2233" s="9" t="str">
        <f>HYPERLINK("http://www.ncbi.nlm.nih.gov/gene/184670", "184670")</f>
        <v>184670</v>
      </c>
      <c r="C2233" s="9"/>
      <c r="D2233" t="str">
        <f>"F19B10.5"</f>
        <v>F19B10.5</v>
      </c>
      <c r="F2233" t="s">
        <v>11</v>
      </c>
      <c r="H2233" s="12">
        <v>-2.5089529068904501</v>
      </c>
      <c r="I2233" s="20">
        <v>-1.95109177827625</v>
      </c>
      <c r="J2233" s="28">
        <v>5.1046129079495198E-2</v>
      </c>
      <c r="K2233" s="29">
        <v>0.52867407373859998</v>
      </c>
    </row>
    <row r="2234" spans="1:11" x14ac:dyDescent="0.35">
      <c r="A2234" s="9" t="str">
        <f>HYPERLINK("http://www.ensembl.org/id/WBGene00000060", "WBGene00000060")</f>
        <v>WBGene00000060</v>
      </c>
      <c r="B2234" s="9"/>
      <c r="C2234" s="9"/>
      <c r="D2234" t="str">
        <f>"acr-21"</f>
        <v>acr-21</v>
      </c>
      <c r="F2234" t="s">
        <v>11</v>
      </c>
      <c r="G2234" t="s">
        <v>870</v>
      </c>
      <c r="H2234" s="12">
        <v>1.9018605793345</v>
      </c>
      <c r="I2234" s="20">
        <v>1.9506719935029</v>
      </c>
      <c r="J2234" s="28">
        <v>5.1096076993230002E-2</v>
      </c>
      <c r="K2234" s="29">
        <v>0.52895428091647501</v>
      </c>
    </row>
    <row r="2235" spans="1:11" x14ac:dyDescent="0.35">
      <c r="A2235" s="9" t="str">
        <f>HYPERLINK("http://www.ensembl.org/id/WBGene00010132", "WBGene00010132")</f>
        <v>WBGene00010132</v>
      </c>
      <c r="B2235" s="9" t="str">
        <f>HYPERLINK("http://www.ncbi.nlm.nih.gov/gene/176340", "176340")</f>
        <v>176340</v>
      </c>
      <c r="C2235" s="9"/>
      <c r="D2235" t="str">
        <f>"F55H2.7"</f>
        <v>F55H2.7</v>
      </c>
      <c r="F2235" t="s">
        <v>11</v>
      </c>
      <c r="H2235" s="12">
        <v>-1.5397489324192</v>
      </c>
      <c r="I2235" s="20">
        <v>-1.95005524332948</v>
      </c>
      <c r="J2235" s="28">
        <v>5.1169534977954498E-2</v>
      </c>
      <c r="K2235" s="29">
        <v>0.52934157108500701</v>
      </c>
    </row>
    <row r="2236" spans="1:11" x14ac:dyDescent="0.35">
      <c r="A2236" s="9" t="str">
        <f>HYPERLINK("http://www.ensembl.org/id/WBGene00006772", "WBGene00006772")</f>
        <v>WBGene00006772</v>
      </c>
      <c r="B2236" s="9" t="str">
        <f>HYPERLINK("http://www.ncbi.nlm.nih.gov/gene/176155", "176155")</f>
        <v>176155</v>
      </c>
      <c r="C2236" s="9"/>
      <c r="D2236" t="str">
        <f>"unc-36"</f>
        <v>unc-36</v>
      </c>
      <c r="E2236" t="s">
        <v>1838</v>
      </c>
      <c r="F2236" t="s">
        <v>11</v>
      </c>
      <c r="G2236" t="s">
        <v>1839</v>
      </c>
      <c r="H2236" s="12">
        <v>1.5050308391373901</v>
      </c>
      <c r="I2236" s="20">
        <v>1.9499732528970499</v>
      </c>
      <c r="J2236" s="28">
        <v>5.1179307097892597E-2</v>
      </c>
      <c r="K2236" s="29">
        <v>0.52934157108500701</v>
      </c>
    </row>
    <row r="2237" spans="1:11" x14ac:dyDescent="0.35">
      <c r="A2237" s="9" t="str">
        <f>HYPERLINK("http://www.ensembl.org/id/WBGene00016958", "WBGene00016958")</f>
        <v>WBGene00016958</v>
      </c>
      <c r="B2237" s="9" t="str">
        <f>HYPERLINK("http://www.ncbi.nlm.nih.gov/gene/183853", "183853")</f>
        <v>183853</v>
      </c>
      <c r="C2237" s="9"/>
      <c r="D2237" t="str">
        <f>"ilys-4"</f>
        <v>ilys-4</v>
      </c>
      <c r="E2237" t="s">
        <v>1840</v>
      </c>
      <c r="F2237" t="s">
        <v>11</v>
      </c>
      <c r="G2237" t="s">
        <v>1841</v>
      </c>
      <c r="H2237" s="12">
        <v>-1.60666947420287</v>
      </c>
      <c r="I2237" s="20">
        <v>-1.94945479464724</v>
      </c>
      <c r="J2237" s="28">
        <v>5.1241136300986298E-2</v>
      </c>
      <c r="K2237" s="29">
        <v>0.52974393528885499</v>
      </c>
    </row>
    <row r="2238" spans="1:11" x14ac:dyDescent="0.35">
      <c r="A2238" s="9" t="str">
        <f>HYPERLINK("http://www.ensembl.org/id/WBGene00006499", "WBGene00006499")</f>
        <v>WBGene00006499</v>
      </c>
      <c r="B2238" s="9" t="str">
        <f>HYPERLINK("http://www.ncbi.nlm.nih.gov/gene/179312", "179312")</f>
        <v>179312</v>
      </c>
      <c r="C2238" s="9"/>
      <c r="D2238" t="str">
        <f>"tag-153"</f>
        <v>tag-153</v>
      </c>
      <c r="F2238" t="s">
        <v>11</v>
      </c>
      <c r="G2238" t="s">
        <v>1842</v>
      </c>
      <c r="H2238" s="12">
        <v>-1.4367424095663801</v>
      </c>
      <c r="I2238" s="20">
        <v>-1.9491074803891899</v>
      </c>
      <c r="J2238" s="28">
        <v>5.1282590542209003E-2</v>
      </c>
      <c r="K2238" s="29">
        <v>0.52993539224878505</v>
      </c>
    </row>
    <row r="2239" spans="1:11" x14ac:dyDescent="0.35">
      <c r="A2239" s="9" t="str">
        <f>HYPERLINK("http://www.ensembl.org/id/WBGene00013596", "WBGene00013596")</f>
        <v>WBGene00013596</v>
      </c>
      <c r="B2239" s="9" t="str">
        <f>HYPERLINK("http://www.ncbi.nlm.nih.gov/gene/173226", "173226")</f>
        <v>173226</v>
      </c>
      <c r="C2239" s="9"/>
      <c r="D2239" t="str">
        <f>"nyn-2"</f>
        <v>nyn-2</v>
      </c>
      <c r="E2239" t="s">
        <v>1689</v>
      </c>
      <c r="F2239" t="s">
        <v>11</v>
      </c>
      <c r="G2239" t="s">
        <v>1690</v>
      </c>
      <c r="H2239" s="12">
        <v>-1.5082691975762501</v>
      </c>
      <c r="I2239" s="20">
        <v>-1.9485458800644999</v>
      </c>
      <c r="J2239" s="28">
        <v>5.1349680636042901E-2</v>
      </c>
      <c r="K2239" s="29">
        <v>0.53039147106678897</v>
      </c>
    </row>
    <row r="2240" spans="1:11" x14ac:dyDescent="0.35">
      <c r="A2240" s="9" t="str">
        <f>HYPERLINK("http://www.ensembl.org/id/WBGene00000034", "WBGene00000034")</f>
        <v>WBGene00000034</v>
      </c>
      <c r="B2240" s="9" t="str">
        <f>HYPERLINK("http://www.ncbi.nlm.nih.gov/gene/173404", "173404")</f>
        <v>173404</v>
      </c>
      <c r="C2240" s="9"/>
      <c r="D2240" t="str">
        <f>"abu-11"</f>
        <v>abu-11</v>
      </c>
      <c r="E2240" t="s">
        <v>913</v>
      </c>
      <c r="F2240" t="s">
        <v>11</v>
      </c>
      <c r="G2240" t="s">
        <v>1843</v>
      </c>
      <c r="H2240" s="12">
        <v>-2.8580256038261802</v>
      </c>
      <c r="I2240" s="20">
        <v>-1.94748490613409</v>
      </c>
      <c r="J2240" s="28">
        <v>5.14766275958752E-2</v>
      </c>
      <c r="K2240" s="29">
        <v>0.53146512834240001</v>
      </c>
    </row>
    <row r="2241" spans="1:11" x14ac:dyDescent="0.35">
      <c r="A2241" s="9" t="str">
        <f>HYPERLINK("http://www.ensembl.org/id/WBGene00019795", "WBGene00019795")</f>
        <v>WBGene00019795</v>
      </c>
      <c r="B2241" s="9" t="str">
        <f>HYPERLINK("http://www.ncbi.nlm.nih.gov/gene/187480", "187480")</f>
        <v>187480</v>
      </c>
      <c r="C2241" s="9"/>
      <c r="D2241" t="str">
        <f>"M151.3"</f>
        <v>M151.3</v>
      </c>
      <c r="F2241" t="s">
        <v>11</v>
      </c>
      <c r="H2241" s="12">
        <v>-2.0907075043790901</v>
      </c>
      <c r="I2241" s="20">
        <v>-1.9467164425900101</v>
      </c>
      <c r="J2241" s="28">
        <v>5.1568739236098803E-2</v>
      </c>
      <c r="K2241" s="29">
        <v>0.53217833353697996</v>
      </c>
    </row>
    <row r="2242" spans="1:11" x14ac:dyDescent="0.35">
      <c r="A2242" s="9" t="str">
        <f>HYPERLINK("http://www.ensembl.org/id/WBGene00007712", "WBGene00007712")</f>
        <v>WBGene00007712</v>
      </c>
      <c r="B2242" s="9" t="str">
        <f>HYPERLINK("http://www.ncbi.nlm.nih.gov/gene/182876", "182876")</f>
        <v>182876</v>
      </c>
      <c r="C2242" s="9" t="str">
        <f>HYPERLINK("http://www.ncbi.nlm.nih.gov/gene/84545", "84545")</f>
        <v>84545</v>
      </c>
      <c r="D2242" t="str">
        <f>"mrpl-34"</f>
        <v>mrpl-34</v>
      </c>
      <c r="E2242" t="s">
        <v>1844</v>
      </c>
      <c r="F2242" t="s">
        <v>11</v>
      </c>
      <c r="G2242" t="s">
        <v>1845</v>
      </c>
      <c r="H2242" s="12">
        <v>-1.5617754004762301</v>
      </c>
      <c r="I2242" s="20">
        <v>-1.94636508775007</v>
      </c>
      <c r="J2242" s="28">
        <v>5.1610900203051098E-2</v>
      </c>
      <c r="K2242" s="29">
        <v>0.53237565182665103</v>
      </c>
    </row>
    <row r="2243" spans="1:11" x14ac:dyDescent="0.35">
      <c r="A2243" s="9" t="str">
        <f>HYPERLINK("http://www.ensembl.org/id/WBGene00011237", "WBGene00011237")</f>
        <v>WBGene00011237</v>
      </c>
      <c r="B2243" s="9" t="str">
        <f>HYPERLINK("http://www.ncbi.nlm.nih.gov/gene/177923", "177923")</f>
        <v>177923</v>
      </c>
      <c r="C2243" s="9" t="str">
        <f>HYPERLINK("http://www.ncbi.nlm.nih.gov/gene/27238", "27238")</f>
        <v>27238</v>
      </c>
      <c r="D2243" t="str">
        <f>"gkow-1"</f>
        <v>gkow-1</v>
      </c>
      <c r="E2243" t="s">
        <v>1846</v>
      </c>
      <c r="F2243" t="s">
        <v>11</v>
      </c>
      <c r="G2243" t="s">
        <v>91</v>
      </c>
      <c r="H2243" s="12">
        <v>-1.4719945175243201</v>
      </c>
      <c r="I2243" s="20">
        <v>-1.9448492331507199</v>
      </c>
      <c r="J2243" s="28">
        <v>5.1793126618262901E-2</v>
      </c>
      <c r="K2243" s="29">
        <v>0.53401694941614597</v>
      </c>
    </row>
    <row r="2244" spans="1:11" x14ac:dyDescent="0.35">
      <c r="A2244" s="9" t="str">
        <f>HYPERLINK("http://www.ensembl.org/id/WBGene00011302", "WBGene00011302")</f>
        <v>WBGene00011302</v>
      </c>
      <c r="B2244" s="9" t="str">
        <f>HYPERLINK("http://www.ncbi.nlm.nih.gov/gene/174620", "174620")</f>
        <v>174620</v>
      </c>
      <c r="C2244" s="9" t="str">
        <f>HYPERLINK("http://www.ncbi.nlm.nih.gov/gene/1209", "1209")</f>
        <v>1209</v>
      </c>
      <c r="D2244" t="str">
        <f>"R166.2"</f>
        <v>R166.2</v>
      </c>
      <c r="F2244" t="s">
        <v>11</v>
      </c>
      <c r="G2244" t="s">
        <v>1847</v>
      </c>
      <c r="H2244" s="12">
        <v>-1.4361926740620601</v>
      </c>
      <c r="I2244" s="20">
        <v>-1.9438758500937099</v>
      </c>
      <c r="J2244" s="28">
        <v>5.1910424136935501E-2</v>
      </c>
      <c r="K2244" s="29">
        <v>0.53498762716682902</v>
      </c>
    </row>
    <row r="2245" spans="1:11" x14ac:dyDescent="0.35">
      <c r="A2245" s="9" t="str">
        <f>HYPERLINK("http://www.ensembl.org/id/WBGene00001957", "WBGene00001957")</f>
        <v>WBGene00001957</v>
      </c>
      <c r="B2245" s="9" t="str">
        <f>HYPERLINK("http://www.ncbi.nlm.nih.gov/gene/185980", "185980")</f>
        <v>185980</v>
      </c>
      <c r="C2245" s="9"/>
      <c r="D2245" t="str">
        <f>"hlh-13"</f>
        <v>hlh-13</v>
      </c>
      <c r="E2245" t="s">
        <v>1848</v>
      </c>
      <c r="F2245" t="s">
        <v>11</v>
      </c>
      <c r="G2245" t="s">
        <v>1659</v>
      </c>
      <c r="H2245" s="12">
        <v>-2.8439792668176</v>
      </c>
      <c r="I2245" s="20">
        <v>-1.9434741758604701</v>
      </c>
      <c r="J2245" s="28">
        <v>5.1958892621454998E-2</v>
      </c>
      <c r="K2245" s="29">
        <v>0.53524840522128403</v>
      </c>
    </row>
    <row r="2246" spans="1:11" x14ac:dyDescent="0.35">
      <c r="A2246" s="9" t="str">
        <f>HYPERLINK("http://www.ensembl.org/id/WBGene00009271", "WBGene00009271")</f>
        <v>WBGene00009271</v>
      </c>
      <c r="B2246" s="9" t="str">
        <f>HYPERLINK("http://www.ncbi.nlm.nih.gov/gene/172547", "172547")</f>
        <v>172547</v>
      </c>
      <c r="C2246" s="9" t="str">
        <f>HYPERLINK("http://www.ncbi.nlm.nih.gov/gene/2744", "2744")</f>
        <v>2744</v>
      </c>
      <c r="D2246" t="str">
        <f>"glna-3"</f>
        <v>glna-3</v>
      </c>
      <c r="E2246" t="s">
        <v>1849</v>
      </c>
      <c r="F2246" t="s">
        <v>11</v>
      </c>
      <c r="G2246" t="s">
        <v>1850</v>
      </c>
      <c r="H2246" s="12">
        <v>1.63319595720516</v>
      </c>
      <c r="I2246" s="20">
        <v>1.94309269519395</v>
      </c>
      <c r="J2246" s="28">
        <v>5.2004959470456101E-2</v>
      </c>
      <c r="K2246" s="29">
        <v>0.535484221713172</v>
      </c>
    </row>
    <row r="2247" spans="1:11" x14ac:dyDescent="0.35">
      <c r="A2247" s="9" t="str">
        <f>HYPERLINK("http://www.ensembl.org/id/WBGene00007250", "WBGene00007250")</f>
        <v>WBGene00007250</v>
      </c>
      <c r="B2247" s="9" t="str">
        <f>HYPERLINK("http://www.ncbi.nlm.nih.gov/gene/3564896", "3564896")</f>
        <v>3564896</v>
      </c>
      <c r="C2247" s="9"/>
      <c r="D2247" t="str">
        <f>"nspb-8"</f>
        <v>nspb-8</v>
      </c>
      <c r="E2247" t="s">
        <v>1851</v>
      </c>
      <c r="F2247" t="s">
        <v>11</v>
      </c>
      <c r="H2247" s="12">
        <v>10.8146173493751</v>
      </c>
      <c r="I2247" s="20">
        <v>1.94285948214973</v>
      </c>
      <c r="J2247" s="28">
        <v>5.20331386390245E-2</v>
      </c>
      <c r="K2247" s="29">
        <v>0.535535724451359</v>
      </c>
    </row>
    <row r="2248" spans="1:11" x14ac:dyDescent="0.35">
      <c r="A2248" s="9" t="str">
        <f>HYPERLINK("http://www.ensembl.org/id/WBGene00013248", "WBGene00013248")</f>
        <v>WBGene00013248</v>
      </c>
      <c r="B2248" s="9" t="str">
        <f>HYPERLINK("http://www.ncbi.nlm.nih.gov/gene/174855", "174855")</f>
        <v>174855</v>
      </c>
      <c r="C2248" s="9"/>
      <c r="D2248" t="str">
        <f>"Y57A10A.3"</f>
        <v>Y57A10A.3</v>
      </c>
      <c r="F2248" t="s">
        <v>11</v>
      </c>
      <c r="H2248" s="12">
        <v>-3.3908801671768001</v>
      </c>
      <c r="I2248" s="20">
        <v>-1.9426376675082</v>
      </c>
      <c r="J2248" s="28">
        <v>5.2059952386609501E-2</v>
      </c>
      <c r="K2248" s="29">
        <v>0.53557313439225296</v>
      </c>
    </row>
    <row r="2249" spans="1:11" x14ac:dyDescent="0.35">
      <c r="A2249" s="9" t="str">
        <f>HYPERLINK("http://www.ensembl.org/id/WBGene00010118", "WBGene00010118")</f>
        <v>WBGene00010118</v>
      </c>
      <c r="B2249" s="9"/>
      <c r="C2249" s="9"/>
      <c r="D2249" t="str">
        <f>"F55F3.4"</f>
        <v>F55F3.4</v>
      </c>
      <c r="F2249" t="s">
        <v>11</v>
      </c>
      <c r="H2249" s="12">
        <v>4.9272395410334902</v>
      </c>
      <c r="I2249" s="20">
        <v>1.94209702836537</v>
      </c>
      <c r="J2249" s="28">
        <v>5.2125355199066303E-2</v>
      </c>
      <c r="K2249" s="29">
        <v>0.53576951027992203</v>
      </c>
    </row>
    <row r="2250" spans="1:11" x14ac:dyDescent="0.35">
      <c r="A2250" s="9" t="str">
        <f>HYPERLINK("http://www.ensembl.org/id/WBGene00016750", "WBGene00016750")</f>
        <v>WBGene00016750</v>
      </c>
      <c r="B2250" s="9" t="str">
        <f>HYPERLINK("http://www.ncbi.nlm.nih.gov/gene/172321", "172321")</f>
        <v>172321</v>
      </c>
      <c r="C2250" s="9" t="str">
        <f>HYPERLINK("http://www.ncbi.nlm.nih.gov/gene/10623", "10623")</f>
        <v>10623</v>
      </c>
      <c r="D2250" t="str">
        <f>"let-611"</f>
        <v>let-611</v>
      </c>
      <c r="F2250" t="s">
        <v>11</v>
      </c>
      <c r="G2250" t="s">
        <v>1854</v>
      </c>
      <c r="H2250" s="12">
        <v>-1.52813613254582</v>
      </c>
      <c r="I2250" s="20">
        <v>-1.94174790048785</v>
      </c>
      <c r="J2250" s="28">
        <v>5.2167626800463197E-2</v>
      </c>
      <c r="K2250" s="29">
        <v>0.53576951027992203</v>
      </c>
    </row>
    <row r="2251" spans="1:11" x14ac:dyDescent="0.35">
      <c r="A2251" s="9" t="str">
        <f>HYPERLINK("http://www.ensembl.org/id/WBGene00017075", "WBGene00017075")</f>
        <v>WBGene00017075</v>
      </c>
      <c r="B2251" s="9" t="str">
        <f>HYPERLINK("http://www.ncbi.nlm.nih.gov/gene/177636", "177636")</f>
        <v>177636</v>
      </c>
      <c r="C2251" s="9" t="str">
        <f>HYPERLINK("http://www.ncbi.nlm.nih.gov/gene/4676", "4676")</f>
        <v>4676</v>
      </c>
      <c r="D2251" t="str">
        <f>"nap-1"</f>
        <v>nap-1</v>
      </c>
      <c r="E2251" t="s">
        <v>1852</v>
      </c>
      <c r="F2251" t="s">
        <v>11</v>
      </c>
      <c r="G2251" t="s">
        <v>1853</v>
      </c>
      <c r="H2251" s="12">
        <v>-1.41981075039152</v>
      </c>
      <c r="I2251" s="20">
        <v>-1.94171352219022</v>
      </c>
      <c r="J2251" s="28">
        <v>5.21717907958896E-2</v>
      </c>
      <c r="K2251" s="29">
        <v>0.53576951027992203</v>
      </c>
    </row>
    <row r="2252" spans="1:11" x14ac:dyDescent="0.35">
      <c r="A2252" s="9" t="str">
        <f>HYPERLINK("http://www.ensembl.org/id/WBGene00004157", "WBGene00004157")</f>
        <v>WBGene00004157</v>
      </c>
      <c r="B2252" s="9" t="str">
        <f>HYPERLINK("http://www.ncbi.nlm.nih.gov/gene/177165", "177165")</f>
        <v>177165</v>
      </c>
      <c r="C2252" s="9"/>
      <c r="D2252" t="str">
        <f>"pqn-75"</f>
        <v>pqn-75</v>
      </c>
      <c r="E2252" t="s">
        <v>432</v>
      </c>
      <c r="F2252" t="s">
        <v>11</v>
      </c>
      <c r="H2252" s="12">
        <v>1.69296830015418</v>
      </c>
      <c r="I2252" s="20">
        <v>1.9419077095402899</v>
      </c>
      <c r="J2252" s="28">
        <v>5.2148273930665297E-2</v>
      </c>
      <c r="K2252" s="29">
        <v>0.53576951027992203</v>
      </c>
    </row>
    <row r="2253" spans="1:11" x14ac:dyDescent="0.35">
      <c r="A2253" s="9" t="str">
        <f>HYPERLINK("http://www.ensembl.org/id/WBGene00007460", "WBGene00007460")</f>
        <v>WBGene00007460</v>
      </c>
      <c r="B2253" s="9" t="str">
        <f>HYPERLINK("http://www.ncbi.nlm.nih.gov/gene/178327", "178327")</f>
        <v>178327</v>
      </c>
      <c r="C2253" s="9"/>
      <c r="D2253" t="str">
        <f>"C08F11.13"</f>
        <v>C08F11.13</v>
      </c>
      <c r="F2253" t="s">
        <v>11</v>
      </c>
      <c r="G2253" t="s">
        <v>25</v>
      </c>
      <c r="H2253" s="12">
        <v>-1.50602056348828</v>
      </c>
      <c r="I2253" s="20">
        <v>-1.9405595286881601</v>
      </c>
      <c r="J2253" s="28">
        <v>5.2311727066913803E-2</v>
      </c>
      <c r="K2253" s="29">
        <v>0.53696791008801004</v>
      </c>
    </row>
    <row r="2254" spans="1:11" x14ac:dyDescent="0.35">
      <c r="A2254" s="9" t="str">
        <f>HYPERLINK("http://www.ensembl.org/id/WBGene00050943", "WBGene00050943")</f>
        <v>WBGene00050943</v>
      </c>
      <c r="B2254" s="9" t="str">
        <f>HYPERLINK("http://www.ncbi.nlm.nih.gov/gene/6418819", "6418819")</f>
        <v>6418819</v>
      </c>
      <c r="C2254" s="9"/>
      <c r="D2254" t="str">
        <f>"ZC412.10"</f>
        <v>ZC412.10</v>
      </c>
      <c r="F2254" t="s">
        <v>11</v>
      </c>
      <c r="H2254" s="12">
        <v>1.7803031308069199</v>
      </c>
      <c r="I2254" s="20">
        <v>1.9398866235629</v>
      </c>
      <c r="J2254" s="28">
        <v>5.2393470073010699E-2</v>
      </c>
      <c r="K2254" s="29">
        <v>0.53756817029617499</v>
      </c>
    </row>
    <row r="2255" spans="1:11" x14ac:dyDescent="0.35">
      <c r="A2255" s="9" t="str">
        <f>HYPERLINK("http://www.ensembl.org/id/WBGene00014101", "WBGene00014101")</f>
        <v>WBGene00014101</v>
      </c>
      <c r="B2255" s="9" t="str">
        <f>HYPERLINK("http://www.ncbi.nlm.nih.gov/gene/3565651", "3565651")</f>
        <v>3565651</v>
      </c>
      <c r="C2255" s="9" t="str">
        <f>HYPERLINK("http://www.ncbi.nlm.nih.gov/gene/57120", "57120")</f>
        <v>57120</v>
      </c>
      <c r="D2255" t="str">
        <f>"gopc-1"</f>
        <v>gopc-1</v>
      </c>
      <c r="E2255" t="s">
        <v>1855</v>
      </c>
      <c r="F2255" t="s">
        <v>11</v>
      </c>
      <c r="G2255" t="s">
        <v>1856</v>
      </c>
      <c r="H2255" s="12">
        <v>1.6141110620236501</v>
      </c>
      <c r="I2255" s="20">
        <v>1.93864602688064</v>
      </c>
      <c r="J2255" s="28">
        <v>5.2544454941416102E-2</v>
      </c>
      <c r="K2255" s="29">
        <v>0.53887801858693396</v>
      </c>
    </row>
    <row r="2256" spans="1:11" x14ac:dyDescent="0.35">
      <c r="A2256" s="9" t="str">
        <f>HYPERLINK("http://www.ensembl.org/id/WBGene00005716", "WBGene00005716")</f>
        <v>WBGene00005716</v>
      </c>
      <c r="B2256" s="9" t="str">
        <f>HYPERLINK("http://www.ncbi.nlm.nih.gov/gene/185979", "185979")</f>
        <v>185979</v>
      </c>
      <c r="C2256" s="9"/>
      <c r="D2256" t="str">
        <f>"srv-5"</f>
        <v>srv-5</v>
      </c>
      <c r="E2256" t="s">
        <v>1828</v>
      </c>
      <c r="F2256" t="s">
        <v>11</v>
      </c>
      <c r="G2256" t="s">
        <v>1829</v>
      </c>
      <c r="H2256" s="12">
        <v>14.5723247182911</v>
      </c>
      <c r="I2256" s="20">
        <v>1.9382318241605301</v>
      </c>
      <c r="J2256" s="28">
        <v>5.2594945756952199E-2</v>
      </c>
      <c r="K2256" s="29">
        <v>0.53915652913049605</v>
      </c>
    </row>
    <row r="2257" spans="1:11" x14ac:dyDescent="0.35">
      <c r="A2257" s="9" t="str">
        <f>HYPERLINK("http://www.ensembl.org/id/WBGene00016920", "WBGene00016920")</f>
        <v>WBGene00016920</v>
      </c>
      <c r="B2257" s="9" t="str">
        <f>HYPERLINK("http://www.ncbi.nlm.nih.gov/gene/183790", "183790")</f>
        <v>183790</v>
      </c>
      <c r="C2257" s="9" t="str">
        <f>HYPERLINK("http://www.ncbi.nlm.nih.gov/gene/55586", "55586")</f>
        <v>55586</v>
      </c>
      <c r="D2257" t="str">
        <f>"C54E4.5"</f>
        <v>C54E4.5</v>
      </c>
      <c r="F2257" t="s">
        <v>11</v>
      </c>
      <c r="G2257" t="s">
        <v>1857</v>
      </c>
      <c r="H2257" s="12">
        <v>1.6818272365417599</v>
      </c>
      <c r="I2257" s="20">
        <v>1.93764599223589</v>
      </c>
      <c r="J2257" s="28">
        <v>5.2666427209507503E-2</v>
      </c>
      <c r="K2257" s="29">
        <v>0.53964987454673197</v>
      </c>
    </row>
    <row r="2258" spans="1:11" x14ac:dyDescent="0.35">
      <c r="A2258" s="9" t="str">
        <f>HYPERLINK("http://www.ensembl.org/id/WBGene00008842", "WBGene00008842")</f>
        <v>WBGene00008842</v>
      </c>
      <c r="B2258" s="9"/>
      <c r="C2258" s="9"/>
      <c r="D2258" t="str">
        <f>"chil-28"</f>
        <v>chil-28</v>
      </c>
      <c r="F2258" t="s">
        <v>80</v>
      </c>
      <c r="H2258" s="12">
        <v>-6.6787631197592399</v>
      </c>
      <c r="I2258" s="20">
        <v>-1.9369366271311199</v>
      </c>
      <c r="J2258" s="28">
        <v>5.2753090487989297E-2</v>
      </c>
      <c r="K2258" s="29">
        <v>0.53994694270179799</v>
      </c>
    </row>
    <row r="2259" spans="1:11" x14ac:dyDescent="0.35">
      <c r="A2259" s="9" t="str">
        <f>HYPERLINK("http://www.ensembl.org/id/WBGene00009533", "WBGene00009533")</f>
        <v>WBGene00009533</v>
      </c>
      <c r="B2259" s="9" t="str">
        <f>HYPERLINK("http://www.ncbi.nlm.nih.gov/gene/185456", "185456")</f>
        <v>185456</v>
      </c>
      <c r="C2259" s="9"/>
      <c r="D2259" t="str">
        <f>"F38B7.2"</f>
        <v>F38B7.2</v>
      </c>
      <c r="F2259" t="s">
        <v>11</v>
      </c>
      <c r="G2259" t="s">
        <v>25</v>
      </c>
      <c r="H2259" s="12">
        <v>2.06548890297287</v>
      </c>
      <c r="I2259" s="20">
        <v>1.9368349353168299</v>
      </c>
      <c r="J2259" s="28">
        <v>5.2765523960038897E-2</v>
      </c>
      <c r="K2259" s="29">
        <v>0.53994694270179799</v>
      </c>
    </row>
    <row r="2260" spans="1:11" x14ac:dyDescent="0.35">
      <c r="A2260" s="9" t="str">
        <f>HYPERLINK("http://www.ensembl.org/id/WBGene00044612", "WBGene00044612")</f>
        <v>WBGene00044612</v>
      </c>
      <c r="B2260" s="9" t="str">
        <f>HYPERLINK("http://www.ncbi.nlm.nih.gov/gene/3896861", "3896861")</f>
        <v>3896861</v>
      </c>
      <c r="C2260" s="9"/>
      <c r="D2260" t="str">
        <f>"Y57E12AR.1"</f>
        <v>Y57E12AR.1</v>
      </c>
      <c r="F2260" t="s">
        <v>11</v>
      </c>
      <c r="G2260" t="s">
        <v>50</v>
      </c>
      <c r="H2260" s="12">
        <v>1.6750045286002599</v>
      </c>
      <c r="I2260" s="20">
        <v>1.9369890385005499</v>
      </c>
      <c r="J2260" s="28">
        <v>5.2746683305138403E-2</v>
      </c>
      <c r="K2260" s="29">
        <v>0.53994694270179799</v>
      </c>
    </row>
    <row r="2261" spans="1:11" x14ac:dyDescent="0.35">
      <c r="A2261" s="9" t="str">
        <f>HYPERLINK("http://www.ensembl.org/id/WBGene00000170", "WBGene00000170")</f>
        <v>WBGene00000170</v>
      </c>
      <c r="B2261" s="9" t="str">
        <f>HYPERLINK("http://www.ncbi.nlm.nih.gov/gene/174467", "174467")</f>
        <v>174467</v>
      </c>
      <c r="C2261" s="9" t="str">
        <f>HYPERLINK("http://www.ncbi.nlm.nih.gov/gene/89872", "89872")</f>
        <v>89872</v>
      </c>
      <c r="D2261" t="str">
        <f>"aqp-2"</f>
        <v>aqp-2</v>
      </c>
      <c r="E2261" t="s">
        <v>379</v>
      </c>
      <c r="F2261" t="s">
        <v>11</v>
      </c>
      <c r="G2261" t="s">
        <v>1860</v>
      </c>
      <c r="H2261" s="12">
        <v>1.41478220334459</v>
      </c>
      <c r="I2261" s="20">
        <v>1.9362470942727701</v>
      </c>
      <c r="J2261" s="28">
        <v>5.2837445062144502E-2</v>
      </c>
      <c r="K2261" s="29">
        <v>0.54015142009119999</v>
      </c>
    </row>
    <row r="2262" spans="1:11" x14ac:dyDescent="0.35">
      <c r="A2262" s="9" t="str">
        <f>HYPERLINK("http://www.ensembl.org/id/WBGene00015735", "WBGene00015735")</f>
        <v>WBGene00015735</v>
      </c>
      <c r="B2262" s="9" t="str">
        <f>HYPERLINK("http://www.ncbi.nlm.nih.gov/gene/175942", "175942")</f>
        <v>175942</v>
      </c>
      <c r="C2262" s="9"/>
      <c r="D2262" t="str">
        <f>"pdfr-1"</f>
        <v>pdfr-1</v>
      </c>
      <c r="E2262" t="s">
        <v>1858</v>
      </c>
      <c r="F2262" t="s">
        <v>11</v>
      </c>
      <c r="G2262" t="s">
        <v>1859</v>
      </c>
      <c r="H2262" s="12">
        <v>1.48909400395693</v>
      </c>
      <c r="I2262" s="20">
        <v>1.93643808529038</v>
      </c>
      <c r="J2262" s="28">
        <v>5.2814068737618403E-2</v>
      </c>
      <c r="K2262" s="29">
        <v>0.54015142009119999</v>
      </c>
    </row>
    <row r="2263" spans="1:11" x14ac:dyDescent="0.35">
      <c r="A2263" s="9" t="str">
        <f>HYPERLINK("http://www.ensembl.org/id/WBGene00012782", "WBGene00012782")</f>
        <v>WBGene00012782</v>
      </c>
      <c r="B2263" s="9" t="str">
        <f>HYPERLINK("http://www.ncbi.nlm.nih.gov/gene/177911", "177911")</f>
        <v>177911</v>
      </c>
      <c r="C2263" s="9"/>
      <c r="D2263" t="str">
        <f>"Y43C5A.2"</f>
        <v>Y43C5A.2</v>
      </c>
      <c r="F2263" t="s">
        <v>11</v>
      </c>
      <c r="G2263" t="s">
        <v>1861</v>
      </c>
      <c r="H2263" s="12">
        <v>-1.4795790459592699</v>
      </c>
      <c r="I2263" s="20">
        <v>-1.9360985056304501</v>
      </c>
      <c r="J2263" s="28">
        <v>5.2855637532511199E-2</v>
      </c>
      <c r="K2263" s="29">
        <v>0.54015142009119999</v>
      </c>
    </row>
    <row r="2264" spans="1:11" x14ac:dyDescent="0.35">
      <c r="A2264" s="9" t="str">
        <f>HYPERLINK("http://www.ensembl.org/id/WBGene00019130", "WBGene00019130")</f>
        <v>WBGene00019130</v>
      </c>
      <c r="B2264" s="9" t="str">
        <f>HYPERLINK("http://www.ncbi.nlm.nih.gov/gene/173603", "173603")</f>
        <v>173603</v>
      </c>
      <c r="C2264" s="9"/>
      <c r="D2264" t="str">
        <f>"gbas-1"</f>
        <v>gbas-1</v>
      </c>
      <c r="E2264" t="s">
        <v>1863</v>
      </c>
      <c r="F2264" t="s">
        <v>11</v>
      </c>
      <c r="G2264" t="s">
        <v>1864</v>
      </c>
      <c r="H2264" s="12">
        <v>-1.60946293465284</v>
      </c>
      <c r="I2264" s="20">
        <v>-1.93565045960961</v>
      </c>
      <c r="J2264" s="28">
        <v>5.2910525799868602E-2</v>
      </c>
      <c r="K2264" s="29">
        <v>0.54037233514563099</v>
      </c>
    </row>
    <row r="2265" spans="1:11" x14ac:dyDescent="0.35">
      <c r="A2265" s="9" t="str">
        <f>HYPERLINK("http://www.ensembl.org/id/WBGene00016367", "WBGene00016367")</f>
        <v>WBGene00016367</v>
      </c>
      <c r="B2265" s="9" t="str">
        <f>HYPERLINK("http://www.ncbi.nlm.nih.gov/gene/183181", "183181")</f>
        <v>183181</v>
      </c>
      <c r="C2265" s="9"/>
      <c r="D2265" t="str">
        <f>"nhr-162"</f>
        <v>nhr-162</v>
      </c>
      <c r="E2265" t="s">
        <v>637</v>
      </c>
      <c r="F2265" t="s">
        <v>11</v>
      </c>
      <c r="G2265" t="s">
        <v>1073</v>
      </c>
      <c r="H2265" s="12">
        <v>2.01076697602914</v>
      </c>
      <c r="I2265" s="20">
        <v>1.9354170735580201</v>
      </c>
      <c r="J2265" s="28">
        <v>5.2939135823385802E-2</v>
      </c>
      <c r="K2265" s="29">
        <v>0.54037233514563099</v>
      </c>
    </row>
    <row r="2266" spans="1:11" x14ac:dyDescent="0.35">
      <c r="A2266" s="9" t="str">
        <f>HYPERLINK("http://www.ensembl.org/id/WBGene00012084", "WBGene00012084")</f>
        <v>WBGene00012084</v>
      </c>
      <c r="B2266" s="9" t="str">
        <f>HYPERLINK("http://www.ncbi.nlm.nih.gov/gene/175470", "175470")</f>
        <v>175470</v>
      </c>
      <c r="C2266" s="9"/>
      <c r="D2266" t="str">
        <f>"npr-15"</f>
        <v>npr-15</v>
      </c>
      <c r="E2266" t="s">
        <v>1862</v>
      </c>
      <c r="F2266" t="s">
        <v>11</v>
      </c>
      <c r="G2266" t="s">
        <v>1429</v>
      </c>
      <c r="H2266" s="12">
        <v>2.0874635714751402</v>
      </c>
      <c r="I2266" s="20">
        <v>1.93534955738967</v>
      </c>
      <c r="J2266" s="28">
        <v>5.2947414817350803E-2</v>
      </c>
      <c r="K2266" s="29">
        <v>0.54037233514563099</v>
      </c>
    </row>
    <row r="2267" spans="1:11" x14ac:dyDescent="0.35">
      <c r="A2267" s="9" t="str">
        <f>HYPERLINK("http://www.ensembl.org/id/WBGene00016109", "WBGene00016109")</f>
        <v>WBGene00016109</v>
      </c>
      <c r="B2267" s="9" t="str">
        <f>HYPERLINK("http://www.ncbi.nlm.nih.gov/gene/182920", "182920")</f>
        <v>182920</v>
      </c>
      <c r="C2267" s="9"/>
      <c r="D2267" t="str">
        <f>"C25G6.4"</f>
        <v>C25G6.4</v>
      </c>
      <c r="F2267" t="s">
        <v>11</v>
      </c>
      <c r="H2267" s="12">
        <v>2.1386936437830699</v>
      </c>
      <c r="I2267" s="20">
        <v>1.93499323918301</v>
      </c>
      <c r="J2267" s="28">
        <v>5.2991125331085798E-2</v>
      </c>
      <c r="K2267" s="29">
        <v>0.54042724026225697</v>
      </c>
    </row>
    <row r="2268" spans="1:11" x14ac:dyDescent="0.35">
      <c r="A2268" s="9" t="str">
        <f>HYPERLINK("http://www.ensembl.org/id/WBGene00017659", "WBGene00017659")</f>
        <v>WBGene00017659</v>
      </c>
      <c r="B2268" s="9" t="str">
        <f>HYPERLINK("http://www.ncbi.nlm.nih.gov/gene/179290", "179290")</f>
        <v>179290</v>
      </c>
      <c r="C2268" s="9"/>
      <c r="D2268" t="str">
        <f>"F21C10.10"</f>
        <v>F21C10.10</v>
      </c>
      <c r="F2268" t="s">
        <v>11</v>
      </c>
      <c r="G2268" t="s">
        <v>1865</v>
      </c>
      <c r="H2268" s="12">
        <v>-1.41505217769669</v>
      </c>
      <c r="I2268" s="20">
        <v>-1.93492440659529</v>
      </c>
      <c r="J2268" s="28">
        <v>5.2999572683903498E-2</v>
      </c>
      <c r="K2268" s="29">
        <v>0.54042724026225697</v>
      </c>
    </row>
    <row r="2269" spans="1:11" x14ac:dyDescent="0.35">
      <c r="A2269" s="9" t="str">
        <f>HYPERLINK("http://www.ensembl.org/id/WBGene00001555", "WBGene00001555")</f>
        <v>WBGene00001555</v>
      </c>
      <c r="B2269" s="9" t="str">
        <f>HYPERLINK("http://www.ncbi.nlm.nih.gov/gene/173202", "173202")</f>
        <v>173202</v>
      </c>
      <c r="C2269" s="9" t="str">
        <f>HYPERLINK("http://www.ncbi.nlm.nih.gov/gene/2983", "2983")</f>
        <v>2983</v>
      </c>
      <c r="D2269" t="str">
        <f>"gcy-35"</f>
        <v>gcy-35</v>
      </c>
      <c r="E2269" t="s">
        <v>1866</v>
      </c>
      <c r="F2269" t="s">
        <v>11</v>
      </c>
      <c r="G2269" t="s">
        <v>1867</v>
      </c>
      <c r="H2269" s="12">
        <v>1.7678003311249399</v>
      </c>
      <c r="I2269" s="20">
        <v>1.93437157724957</v>
      </c>
      <c r="J2269" s="28">
        <v>5.3067458465640698E-2</v>
      </c>
      <c r="K2269" s="29">
        <v>0.54088076546409103</v>
      </c>
    </row>
    <row r="2270" spans="1:11" x14ac:dyDescent="0.35">
      <c r="A2270" s="9" t="str">
        <f>HYPERLINK("http://www.ensembl.org/id/WBGene00022532", "WBGene00022532")</f>
        <v>WBGene00022532</v>
      </c>
      <c r="B2270" s="9" t="str">
        <f>HYPERLINK("http://www.ncbi.nlm.nih.gov/gene/175713", "175713")</f>
        <v>175713</v>
      </c>
      <c r="C2270" s="9" t="str">
        <f>HYPERLINK("http://www.ncbi.nlm.nih.gov/gene/51573", "51573")</f>
        <v>51573</v>
      </c>
      <c r="D2270" t="str">
        <f>"ZC155.4"</f>
        <v>ZC155.4</v>
      </c>
      <c r="F2270" t="s">
        <v>11</v>
      </c>
      <c r="G2270" t="s">
        <v>1868</v>
      </c>
      <c r="H2270" s="12">
        <v>-1.49130650688448</v>
      </c>
      <c r="I2270" s="20">
        <v>-1.9339624173361301</v>
      </c>
      <c r="J2270" s="28">
        <v>5.3117748842595999E-2</v>
      </c>
      <c r="K2270" s="29">
        <v>0.541154631727083</v>
      </c>
    </row>
    <row r="2271" spans="1:11" x14ac:dyDescent="0.35">
      <c r="A2271" s="9" t="str">
        <f>HYPERLINK("http://www.ensembl.org/id/WBGene00019272", "WBGene00019272")</f>
        <v>WBGene00019272</v>
      </c>
      <c r="B2271" s="9" t="str">
        <f>HYPERLINK("http://www.ncbi.nlm.nih.gov/gene/180474", "180474")</f>
        <v>180474</v>
      </c>
      <c r="C2271" s="9"/>
      <c r="D2271" t="str">
        <f>"H42K12.3"</f>
        <v>H42K12.3</v>
      </c>
      <c r="F2271" t="s">
        <v>11</v>
      </c>
      <c r="H2271" s="12">
        <v>1.6042762558419901</v>
      </c>
      <c r="I2271" s="20">
        <v>1.9335025460423401</v>
      </c>
      <c r="J2271" s="28">
        <v>5.3174319739859602E-2</v>
      </c>
      <c r="K2271" s="29">
        <v>0.54149221326980801</v>
      </c>
    </row>
    <row r="2272" spans="1:11" x14ac:dyDescent="0.35">
      <c r="A2272" s="9" t="str">
        <f>HYPERLINK("http://www.ensembl.org/id/WBGene00014205", "WBGene00014205")</f>
        <v>WBGene00014205</v>
      </c>
      <c r="B2272" s="9" t="str">
        <f>HYPERLINK("http://www.ncbi.nlm.nih.gov/gene/175507", "175507")</f>
        <v>175507</v>
      </c>
      <c r="C2272" s="9" t="str">
        <f>HYPERLINK("http://www.ncbi.nlm.nih.gov/gene/131965", "131965")</f>
        <v>131965</v>
      </c>
      <c r="D2272" t="str">
        <f>"ZK1058.5"</f>
        <v>ZK1058.5</v>
      </c>
      <c r="E2272" t="s">
        <v>1869</v>
      </c>
      <c r="F2272" t="s">
        <v>11</v>
      </c>
      <c r="G2272" t="s">
        <v>1648</v>
      </c>
      <c r="H2272" s="12">
        <v>-1.73785745620558</v>
      </c>
      <c r="I2272" s="20">
        <v>-1.9332626567623401</v>
      </c>
      <c r="J2272" s="28">
        <v>5.3203849601069601E-2</v>
      </c>
      <c r="K2272" s="29">
        <v>0.54155425060894902</v>
      </c>
    </row>
    <row r="2273" spans="1:11" x14ac:dyDescent="0.35">
      <c r="A2273" s="9" t="str">
        <f>HYPERLINK("http://www.ensembl.org/id/WBGene00011963", "WBGene00011963")</f>
        <v>WBGene00011963</v>
      </c>
      <c r="B2273" s="9" t="str">
        <f>HYPERLINK("http://www.ncbi.nlm.nih.gov/gene/188816", "188816")</f>
        <v>188816</v>
      </c>
      <c r="C2273" s="9"/>
      <c r="D2273" t="str">
        <f>"T23G5.3"</f>
        <v>T23G5.3</v>
      </c>
      <c r="F2273" t="s">
        <v>11</v>
      </c>
      <c r="G2273" t="s">
        <v>817</v>
      </c>
      <c r="H2273" s="12">
        <v>1.95624209078002</v>
      </c>
      <c r="I2273" s="20">
        <v>1.93236212858742</v>
      </c>
      <c r="J2273" s="28">
        <v>5.3314824974906999E-2</v>
      </c>
      <c r="K2273" s="29">
        <v>0.54244489029951604</v>
      </c>
    </row>
    <row r="2274" spans="1:11" x14ac:dyDescent="0.35">
      <c r="A2274" s="9" t="str">
        <f>HYPERLINK("http://www.ensembl.org/id/WBGene00015150", "WBGene00015150")</f>
        <v>WBGene00015150</v>
      </c>
      <c r="B2274" s="9" t="str">
        <f>HYPERLINK("http://www.ncbi.nlm.nih.gov/gene/175791", "175791")</f>
        <v>175791</v>
      </c>
      <c r="C2274" s="9"/>
      <c r="D2274" t="str">
        <f>"B0336.13"</f>
        <v>B0336.13</v>
      </c>
      <c r="E2274" t="s">
        <v>1878</v>
      </c>
      <c r="F2274" t="s">
        <v>11</v>
      </c>
      <c r="G2274" t="s">
        <v>1879</v>
      </c>
      <c r="H2274" s="12">
        <v>-1.6173288281312299</v>
      </c>
      <c r="I2274" s="20">
        <v>-1.93025447853859</v>
      </c>
      <c r="J2274" s="28">
        <v>5.3575314371374201E-2</v>
      </c>
      <c r="K2274" s="29">
        <v>0.543069717949761</v>
      </c>
    </row>
    <row r="2275" spans="1:11" x14ac:dyDescent="0.35">
      <c r="A2275" s="9" t="str">
        <f>HYPERLINK("http://www.ensembl.org/id/WBGene00017159", "WBGene00017159")</f>
        <v>WBGene00017159</v>
      </c>
      <c r="B2275" s="9" t="str">
        <f>HYPERLINK("http://www.ncbi.nlm.nih.gov/gene/175828", "175828")</f>
        <v>175828</v>
      </c>
      <c r="C2275" s="9"/>
      <c r="D2275" t="str">
        <f>"F01F1.2"</f>
        <v>F01F1.2</v>
      </c>
      <c r="E2275" t="s">
        <v>1874</v>
      </c>
      <c r="F2275" t="s">
        <v>11</v>
      </c>
      <c r="G2275" t="s">
        <v>1865</v>
      </c>
      <c r="H2275" s="12">
        <v>-1.49882883093777</v>
      </c>
      <c r="I2275" s="20">
        <v>-1.9308598461411799</v>
      </c>
      <c r="J2275" s="28">
        <v>5.3500387012821601E-2</v>
      </c>
      <c r="K2275" s="29">
        <v>0.543069717949761</v>
      </c>
    </row>
    <row r="2276" spans="1:11" x14ac:dyDescent="0.35">
      <c r="A2276" s="9" t="str">
        <f>HYPERLINK("http://www.ensembl.org/id/WBGene00009887", "WBGene00009887")</f>
        <v>WBGene00009887</v>
      </c>
      <c r="B2276" s="9" t="str">
        <f>HYPERLINK("http://www.ncbi.nlm.nih.gov/gene/186039", "186039")</f>
        <v>186039</v>
      </c>
      <c r="C2276" s="9"/>
      <c r="D2276" t="str">
        <f>"glb-17"</f>
        <v>glb-17</v>
      </c>
      <c r="E2276" t="s">
        <v>633</v>
      </c>
      <c r="F2276" t="s">
        <v>11</v>
      </c>
      <c r="G2276" t="s">
        <v>1871</v>
      </c>
      <c r="H2276" s="12">
        <v>1.60935550856381</v>
      </c>
      <c r="I2276" s="20">
        <v>1.93002234448393</v>
      </c>
      <c r="J2276" s="28">
        <v>5.36040692238944E-2</v>
      </c>
      <c r="K2276" s="29">
        <v>0.543069717949761</v>
      </c>
    </row>
    <row r="2277" spans="1:11" x14ac:dyDescent="0.35">
      <c r="A2277" s="9" t="str">
        <f>HYPERLINK("http://www.ensembl.org/id/WBGene00008584", "WBGene00008584")</f>
        <v>WBGene00008584</v>
      </c>
      <c r="B2277" s="9" t="str">
        <f>HYPERLINK("http://www.ncbi.nlm.nih.gov/gene/184206", "184206")</f>
        <v>184206</v>
      </c>
      <c r="C2277" s="9"/>
      <c r="D2277" t="str">
        <f>"irg-4"</f>
        <v>irg-4</v>
      </c>
      <c r="E2277" t="s">
        <v>1875</v>
      </c>
      <c r="F2277" t="s">
        <v>11</v>
      </c>
      <c r="G2277" t="s">
        <v>1876</v>
      </c>
      <c r="H2277" s="12">
        <v>-1.5368705868189201</v>
      </c>
      <c r="I2277" s="20">
        <v>-1.9300298302639001</v>
      </c>
      <c r="J2277" s="28">
        <v>5.3603141746154E-2</v>
      </c>
      <c r="K2277" s="29">
        <v>0.543069717949761</v>
      </c>
    </row>
    <row r="2278" spans="1:11" x14ac:dyDescent="0.35">
      <c r="A2278" s="9" t="str">
        <f>HYPERLINK("http://www.ensembl.org/id/WBGene00019547", "WBGene00019547")</f>
        <v>WBGene00019547</v>
      </c>
      <c r="B2278" s="9" t="str">
        <f>HYPERLINK("http://www.ncbi.nlm.nih.gov/gene/180621", "180621")</f>
        <v>180621</v>
      </c>
      <c r="C2278" s="9"/>
      <c r="D2278" t="str">
        <f>"K09C4.1"</f>
        <v>K09C4.1</v>
      </c>
      <c r="F2278" t="s">
        <v>11</v>
      </c>
      <c r="G2278" t="s">
        <v>230</v>
      </c>
      <c r="H2278" s="12">
        <v>-1.89114967916918</v>
      </c>
      <c r="I2278" s="20">
        <v>-1.9316509182386801</v>
      </c>
      <c r="J2278" s="28">
        <v>5.3402606612248701E-2</v>
      </c>
      <c r="K2278" s="29">
        <v>0.543069717949761</v>
      </c>
    </row>
    <row r="2279" spans="1:11" x14ac:dyDescent="0.35">
      <c r="A2279" s="9" t="str">
        <f>HYPERLINK("http://www.ensembl.org/id/WBGene00021963", "WBGene00021963")</f>
        <v>WBGene00021963</v>
      </c>
      <c r="B2279" s="9" t="str">
        <f>HYPERLINK("http://www.ncbi.nlm.nih.gov/gene/179081", "179081")</f>
        <v>179081</v>
      </c>
      <c r="C2279" s="9" t="str">
        <f>HYPERLINK("http://www.ncbi.nlm.nih.gov/gene/3988", "3988")</f>
        <v>3988</v>
      </c>
      <c r="D2279" t="str">
        <f>"lipl-6"</f>
        <v>lipl-6</v>
      </c>
      <c r="E2279" t="s">
        <v>1870</v>
      </c>
      <c r="F2279" t="s">
        <v>11</v>
      </c>
      <c r="G2279" t="s">
        <v>29</v>
      </c>
      <c r="H2279" s="12">
        <v>3.3467015491805698</v>
      </c>
      <c r="I2279" s="20">
        <v>1.9304305025253199</v>
      </c>
      <c r="J2279" s="28">
        <v>5.35535185589774E-2</v>
      </c>
      <c r="K2279" s="29">
        <v>0.543069717949761</v>
      </c>
    </row>
    <row r="2280" spans="1:11" x14ac:dyDescent="0.35">
      <c r="A2280" s="9" t="str">
        <f>HYPERLINK("http://www.ensembl.org/id/WBGene00012256", "WBGene00012256")</f>
        <v>WBGene00012256</v>
      </c>
      <c r="B2280" s="9" t="str">
        <f>HYPERLINK("http://www.ncbi.nlm.nih.gov/gene/181297", "181297")</f>
        <v>181297</v>
      </c>
      <c r="C2280" s="9"/>
      <c r="D2280" t="str">
        <f>"lpr-5"</f>
        <v>lpr-5</v>
      </c>
      <c r="E2280" t="s">
        <v>865</v>
      </c>
      <c r="F2280" t="s">
        <v>11</v>
      </c>
      <c r="G2280" t="s">
        <v>866</v>
      </c>
      <c r="H2280" s="12">
        <v>1.69434319032215</v>
      </c>
      <c r="I2280" s="20">
        <v>1.9306154849105599</v>
      </c>
      <c r="J2280" s="28">
        <v>5.3530621470946498E-2</v>
      </c>
      <c r="K2280" s="29">
        <v>0.543069717949761</v>
      </c>
    </row>
    <row r="2281" spans="1:11" x14ac:dyDescent="0.35">
      <c r="A2281" s="9" t="str">
        <f>HYPERLINK("http://www.ensembl.org/id/WBGene00014202", "WBGene00014202")</f>
        <v>WBGene00014202</v>
      </c>
      <c r="B2281" s="9" t="str">
        <f>HYPERLINK("http://www.ncbi.nlm.nih.gov/gene/175503", "175503")</f>
        <v>175503</v>
      </c>
      <c r="C2281" s="9" t="str">
        <f>HYPERLINK("http://www.ncbi.nlm.nih.gov/gene/4594", "4594")</f>
        <v>4594</v>
      </c>
      <c r="D2281" t="str">
        <f>"mmcm-1"</f>
        <v>mmcm-1</v>
      </c>
      <c r="E2281" t="s">
        <v>1872</v>
      </c>
      <c r="F2281" t="s">
        <v>11</v>
      </c>
      <c r="G2281" t="s">
        <v>1873</v>
      </c>
      <c r="H2281" s="12">
        <v>-1.4280816282395601</v>
      </c>
      <c r="I2281" s="20">
        <v>-1.93120331384086</v>
      </c>
      <c r="J2281" s="28">
        <v>5.3457914366464E-2</v>
      </c>
      <c r="K2281" s="29">
        <v>0.543069717949761</v>
      </c>
    </row>
    <row r="2282" spans="1:11" x14ac:dyDescent="0.35">
      <c r="A2282" s="9" t="str">
        <f>HYPERLINK("http://www.ensembl.org/id/WBGene00016747", "WBGene00016747")</f>
        <v>WBGene00016747</v>
      </c>
      <c r="B2282" s="9" t="str">
        <f>HYPERLINK("http://www.ncbi.nlm.nih.gov/gene/183574", "183574")</f>
        <v>183574</v>
      </c>
      <c r="C2282" s="9" t="str">
        <f>HYPERLINK("http://www.ncbi.nlm.nih.gov/gene/56923", "56923")</f>
        <v>56923</v>
      </c>
      <c r="D2282" t="str">
        <f>"nmur-1"</f>
        <v>nmur-1</v>
      </c>
      <c r="E2282" t="s">
        <v>1877</v>
      </c>
      <c r="F2282" t="s">
        <v>11</v>
      </c>
      <c r="G2282" t="s">
        <v>271</v>
      </c>
      <c r="H2282" s="12">
        <v>-1.5709403980355401</v>
      </c>
      <c r="I2282" s="20">
        <v>-1.93070130347719</v>
      </c>
      <c r="J2282" s="28">
        <v>5.3520001639885802E-2</v>
      </c>
      <c r="K2282" s="29">
        <v>0.543069717949761</v>
      </c>
    </row>
    <row r="2283" spans="1:11" x14ac:dyDescent="0.35">
      <c r="A2283" s="9" t="str">
        <f>HYPERLINK("http://www.ensembl.org/id/WBGene00012322", "WBGene00012322")</f>
        <v>WBGene00012322</v>
      </c>
      <c r="B2283" s="9" t="str">
        <f>HYPERLINK("http://www.ncbi.nlm.nih.gov/gene/174454", "174454")</f>
        <v>174454</v>
      </c>
      <c r="C2283" s="9"/>
      <c r="D2283" t="str">
        <f>"W07A12.4"</f>
        <v>W07A12.4</v>
      </c>
      <c r="F2283" t="s">
        <v>11</v>
      </c>
      <c r="G2283" t="s">
        <v>54</v>
      </c>
      <c r="H2283" s="12">
        <v>1.99962169656611</v>
      </c>
      <c r="I2283" s="20">
        <v>1.92996422217526</v>
      </c>
      <c r="J2283" s="28">
        <v>5.3611270953146599E-2</v>
      </c>
      <c r="K2283" s="29">
        <v>0.543069717949761</v>
      </c>
    </row>
    <row r="2284" spans="1:11" x14ac:dyDescent="0.35">
      <c r="A2284" s="9" t="str">
        <f>HYPERLINK("http://www.ensembl.org/id/WBGene00000958", "WBGene00000958")</f>
        <v>WBGene00000958</v>
      </c>
      <c r="B2284" s="9" t="str">
        <f>HYPERLINK("http://www.ncbi.nlm.nih.gov/gene/180452", "180452")</f>
        <v>180452</v>
      </c>
      <c r="C2284" s="9" t="str">
        <f>HYPERLINK("http://www.ncbi.nlm.nih.gov/gene/1609", "1609")</f>
        <v>1609</v>
      </c>
      <c r="D2284" t="str">
        <f>"dgk-1"</f>
        <v>dgk-1</v>
      </c>
      <c r="E2284" t="s">
        <v>1880</v>
      </c>
      <c r="F2284" t="s">
        <v>11</v>
      </c>
      <c r="G2284" t="s">
        <v>1881</v>
      </c>
      <c r="H2284" s="12">
        <v>1.48035980182241</v>
      </c>
      <c r="I2284" s="20">
        <v>1.9296313327382799</v>
      </c>
      <c r="J2284" s="28">
        <v>5.3652533669593598E-2</v>
      </c>
      <c r="K2284" s="29">
        <v>0.543249536796507</v>
      </c>
    </row>
    <row r="2285" spans="1:11" x14ac:dyDescent="0.35">
      <c r="A2285" s="9" t="str">
        <f>HYPERLINK("http://www.ensembl.org/id/WBGene00016888", "WBGene00016888")</f>
        <v>WBGene00016888</v>
      </c>
      <c r="B2285" s="9" t="str">
        <f>HYPERLINK("http://www.ncbi.nlm.nih.gov/gene/174148", "174148")</f>
        <v>174148</v>
      </c>
      <c r="C2285" s="9"/>
      <c r="D2285" t="str">
        <f>"C52E12.1"</f>
        <v>C52E12.1</v>
      </c>
      <c r="F2285" t="s">
        <v>11</v>
      </c>
      <c r="G2285" t="s">
        <v>1882</v>
      </c>
      <c r="H2285" s="12">
        <v>-1.4613496348375701</v>
      </c>
      <c r="I2285" s="20">
        <v>-1.9292284669257</v>
      </c>
      <c r="J2285" s="28">
        <v>5.3702505643771097E-2</v>
      </c>
      <c r="K2285" s="29">
        <v>0.543517343585184</v>
      </c>
    </row>
    <row r="2286" spans="1:11" x14ac:dyDescent="0.35">
      <c r="A2286" s="9" t="str">
        <f>HYPERLINK("http://www.ensembl.org/id/WBGene00020422", "WBGene00020422")</f>
        <v>WBGene00020422</v>
      </c>
      <c r="B2286" s="9" t="str">
        <f>HYPERLINK("http://www.ncbi.nlm.nih.gov/gene/188387", "188387")</f>
        <v>188387</v>
      </c>
      <c r="C2286" s="9" t="str">
        <f>HYPERLINK("http://www.ncbi.nlm.nih.gov/gene/10166", "10166")</f>
        <v>10166</v>
      </c>
      <c r="D2286" t="str">
        <f>"T10F2.2"</f>
        <v>T10F2.2</v>
      </c>
      <c r="F2286" t="s">
        <v>11</v>
      </c>
      <c r="G2286" t="s">
        <v>1883</v>
      </c>
      <c r="H2286" s="12">
        <v>-1.48838654710834</v>
      </c>
      <c r="I2286" s="20">
        <v>-1.9284734179184699</v>
      </c>
      <c r="J2286" s="28">
        <v>5.37962675250356E-2</v>
      </c>
      <c r="K2286" s="29">
        <v>0.54422791481325405</v>
      </c>
    </row>
    <row r="2287" spans="1:11" x14ac:dyDescent="0.35">
      <c r="A2287" s="9" t="str">
        <f>HYPERLINK("http://www.ensembl.org/id/WBGene00010116", "WBGene00010116")</f>
        <v>WBGene00010116</v>
      </c>
      <c r="B2287" s="9" t="str">
        <f>HYPERLINK("http://www.ncbi.nlm.nih.gov/gene/181493", "181493")</f>
        <v>181493</v>
      </c>
      <c r="C2287" s="9"/>
      <c r="D2287" t="str">
        <f>"F55F3.2"</f>
        <v>F55F3.2</v>
      </c>
      <c r="E2287" t="s">
        <v>383</v>
      </c>
      <c r="F2287" t="s">
        <v>11</v>
      </c>
      <c r="G2287" t="s">
        <v>1888</v>
      </c>
      <c r="H2287" s="12">
        <v>-1.6596860685027299</v>
      </c>
      <c r="I2287" s="20">
        <v>-1.9277557391928499</v>
      </c>
      <c r="J2287" s="28">
        <v>5.3885515417204197E-2</v>
      </c>
      <c r="K2287" s="29">
        <v>0.54441570582856202</v>
      </c>
    </row>
    <row r="2288" spans="1:11" x14ac:dyDescent="0.35">
      <c r="A2288" s="9" t="str">
        <f>HYPERLINK("http://www.ensembl.org/id/WBGene00010195", "WBGene00010195")</f>
        <v>WBGene00010195</v>
      </c>
      <c r="B2288" s="9" t="str">
        <f>HYPERLINK("http://www.ncbi.nlm.nih.gov/gene/175110", "175110")</f>
        <v>175110</v>
      </c>
      <c r="C2288" s="9"/>
      <c r="D2288" t="str">
        <f>"pot-2"</f>
        <v>pot-2</v>
      </c>
      <c r="E2288" t="s">
        <v>1886</v>
      </c>
      <c r="F2288" t="s">
        <v>11</v>
      </c>
      <c r="G2288" t="s">
        <v>1887</v>
      </c>
      <c r="H2288" s="12">
        <v>-1.62769924420747</v>
      </c>
      <c r="I2288" s="20">
        <v>-1.9279769034083201</v>
      </c>
      <c r="J2288" s="28">
        <v>5.3857999081373301E-2</v>
      </c>
      <c r="K2288" s="29">
        <v>0.54441570582856202</v>
      </c>
    </row>
    <row r="2289" spans="1:11" x14ac:dyDescent="0.35">
      <c r="A2289" s="9" t="str">
        <f>HYPERLINK("http://www.ensembl.org/id/WBGene00004297", "WBGene00004297")</f>
        <v>WBGene00004297</v>
      </c>
      <c r="B2289" s="9" t="str">
        <f>HYPERLINK("http://www.ncbi.nlm.nih.gov/gene/177914", "177914")</f>
        <v>177914</v>
      </c>
      <c r="C2289" s="9" t="str">
        <f>HYPERLINK("http://www.ncbi.nlm.nih.gov/gene/5888", "5888")</f>
        <v>5888</v>
      </c>
      <c r="D2289" t="str">
        <f>"rad-51"</f>
        <v>rad-51</v>
      </c>
      <c r="E2289" t="s">
        <v>1884</v>
      </c>
      <c r="F2289" t="s">
        <v>11</v>
      </c>
      <c r="G2289" t="s">
        <v>1885</v>
      </c>
      <c r="H2289" s="12">
        <v>-1.49547600773056</v>
      </c>
      <c r="I2289" s="20">
        <v>-1.9277956587931999</v>
      </c>
      <c r="J2289" s="28">
        <v>5.38805479181012E-2</v>
      </c>
      <c r="K2289" s="29">
        <v>0.54441570582856202</v>
      </c>
    </row>
    <row r="2290" spans="1:11" x14ac:dyDescent="0.35">
      <c r="A2290" s="9" t="str">
        <f>HYPERLINK("http://www.ensembl.org/id/WBGene00008993", "WBGene00008993")</f>
        <v>WBGene00008993</v>
      </c>
      <c r="B2290" s="9" t="str">
        <f>HYPERLINK("http://www.ncbi.nlm.nih.gov/gene/184748", "184748")</f>
        <v>184748</v>
      </c>
      <c r="C2290" s="9"/>
      <c r="D2290" t="str">
        <f>"F21A3.3"</f>
        <v>F21A3.3</v>
      </c>
      <c r="F2290" t="s">
        <v>11</v>
      </c>
      <c r="H2290" s="12">
        <v>1.9151286523467499</v>
      </c>
      <c r="I2290" s="20">
        <v>1.92636725098427</v>
      </c>
      <c r="J2290" s="28">
        <v>5.4058533597417503E-2</v>
      </c>
      <c r="K2290" s="29">
        <v>0.54560571948495995</v>
      </c>
    </row>
    <row r="2291" spans="1:11" x14ac:dyDescent="0.35">
      <c r="A2291" s="9" t="str">
        <f>HYPERLINK("http://www.ensembl.org/id/WBGene00013848", "WBGene00013848")</f>
        <v>WBGene00013848</v>
      </c>
      <c r="B2291" s="9" t="str">
        <f>HYPERLINK("http://www.ncbi.nlm.nih.gov/gene/176300", "176300")</f>
        <v>176300</v>
      </c>
      <c r="C2291" s="9"/>
      <c r="D2291" t="str">
        <f>"npr-29"</f>
        <v>npr-29</v>
      </c>
      <c r="E2291" t="s">
        <v>1889</v>
      </c>
      <c r="F2291" t="s">
        <v>11</v>
      </c>
      <c r="G2291" t="s">
        <v>1429</v>
      </c>
      <c r="H2291" s="12">
        <v>1.6486492328794</v>
      </c>
      <c r="I2291" s="20">
        <v>1.92631593436612</v>
      </c>
      <c r="J2291" s="28">
        <v>5.4064936986036802E-2</v>
      </c>
      <c r="K2291" s="29">
        <v>0.54560571948495995</v>
      </c>
    </row>
    <row r="2292" spans="1:11" x14ac:dyDescent="0.35">
      <c r="A2292" s="9" t="str">
        <f>HYPERLINK("http://www.ensembl.org/id/WBGene00007024", "WBGene00007024")</f>
        <v>WBGene00007024</v>
      </c>
      <c r="B2292" s="9" t="str">
        <f>HYPERLINK("http://www.ncbi.nlm.nih.gov/gene/172437", "172437")</f>
        <v>172437</v>
      </c>
      <c r="C2292" s="9"/>
      <c r="D2292" t="str">
        <f>"plin-1"</f>
        <v>plin-1</v>
      </c>
      <c r="E2292" t="s">
        <v>1890</v>
      </c>
      <c r="F2292" t="s">
        <v>11</v>
      </c>
      <c r="H2292" s="12">
        <v>-1.4159573802419401</v>
      </c>
      <c r="I2292" s="20">
        <v>-1.9260571065994001</v>
      </c>
      <c r="J2292" s="28">
        <v>5.4097243673346299E-2</v>
      </c>
      <c r="K2292" s="29">
        <v>0.54560571948495995</v>
      </c>
    </row>
    <row r="2293" spans="1:11" x14ac:dyDescent="0.35">
      <c r="A2293" s="9" t="str">
        <f>HYPERLINK("http://www.ensembl.org/id/WBGene00013578", "WBGene00013578")</f>
        <v>WBGene00013578</v>
      </c>
      <c r="B2293" s="9" t="str">
        <f>HYPERLINK("http://www.ncbi.nlm.nih.gov/gene/176787", "176787")</f>
        <v>176787</v>
      </c>
      <c r="C2293" s="9" t="str">
        <f>HYPERLINK("http://www.ncbi.nlm.nih.gov/gene/948", "948")</f>
        <v>948</v>
      </c>
      <c r="D2293" t="str">
        <f>"scav-2"</f>
        <v>scav-2</v>
      </c>
      <c r="E2293" t="s">
        <v>828</v>
      </c>
      <c r="F2293" t="s">
        <v>11</v>
      </c>
      <c r="G2293" t="s">
        <v>829</v>
      </c>
      <c r="H2293" s="12">
        <v>1.42831739415591</v>
      </c>
      <c r="I2293" s="20">
        <v>1.9260530193115999</v>
      </c>
      <c r="J2293" s="28">
        <v>5.4097753974726999E-2</v>
      </c>
      <c r="K2293" s="29">
        <v>0.54560571948495995</v>
      </c>
    </row>
    <row r="2294" spans="1:11" x14ac:dyDescent="0.35">
      <c r="A2294" s="9" t="str">
        <f>HYPERLINK("http://www.ensembl.org/id/WBGene00011689", "WBGene00011689")</f>
        <v>WBGene00011689</v>
      </c>
      <c r="B2294" s="9" t="str">
        <f>HYPERLINK("http://www.ncbi.nlm.nih.gov/gene/188376", "188376")</f>
        <v>188376</v>
      </c>
      <c r="C2294" s="9"/>
      <c r="D2294" t="str">
        <f>"T10C6.7"</f>
        <v>T10C6.7</v>
      </c>
      <c r="F2294" t="s">
        <v>11</v>
      </c>
      <c r="G2294" t="s">
        <v>54</v>
      </c>
      <c r="H2294" s="12">
        <v>-1.9398589239844299</v>
      </c>
      <c r="I2294" s="20">
        <v>-1.92454919429441</v>
      </c>
      <c r="J2294" s="28">
        <v>5.4285780656911399E-2</v>
      </c>
      <c r="K2294" s="29">
        <v>0.54726319714598404</v>
      </c>
    </row>
    <row r="2295" spans="1:11" x14ac:dyDescent="0.35">
      <c r="A2295" s="9" t="str">
        <f>HYPERLINK("http://www.ensembl.org/id/WBGene00004221", "WBGene00004221")</f>
        <v>WBGene00004221</v>
      </c>
      <c r="B2295" s="9" t="str">
        <f>HYPERLINK("http://www.ncbi.nlm.nih.gov/gene/173898", "173898")</f>
        <v>173898</v>
      </c>
      <c r="C2295" s="9"/>
      <c r="D2295" t="str">
        <f>"ptr-6"</f>
        <v>ptr-6</v>
      </c>
      <c r="E2295" t="s">
        <v>134</v>
      </c>
      <c r="F2295" t="s">
        <v>11</v>
      </c>
      <c r="G2295" t="s">
        <v>404</v>
      </c>
      <c r="H2295" s="12">
        <v>1.6702925377590701</v>
      </c>
      <c r="I2295" s="20">
        <v>1.9237641186547301</v>
      </c>
      <c r="J2295" s="28">
        <v>5.4384156902357199E-2</v>
      </c>
      <c r="K2295" s="29">
        <v>0.54801584360482603</v>
      </c>
    </row>
    <row r="2296" spans="1:11" x14ac:dyDescent="0.35">
      <c r="A2296" s="9" t="str">
        <f>HYPERLINK("http://www.ensembl.org/id/WBGene00006596", "WBGene00006596")</f>
        <v>WBGene00006596</v>
      </c>
      <c r="B2296" s="9" t="str">
        <f>HYPERLINK("http://www.ncbi.nlm.nih.gov/gene/176631", "176631")</f>
        <v>176631</v>
      </c>
      <c r="C2296" s="9" t="str">
        <f>HYPERLINK("http://www.ncbi.nlm.nih.gov/gene/7156", "7156")</f>
        <v>7156</v>
      </c>
      <c r="D2296" t="str">
        <f>"top-3"</f>
        <v>top-3</v>
      </c>
      <c r="E2296" t="s">
        <v>1891</v>
      </c>
      <c r="F2296" t="s">
        <v>11</v>
      </c>
      <c r="G2296" t="s">
        <v>1892</v>
      </c>
      <c r="H2296" s="12">
        <v>-1.58903932084828</v>
      </c>
      <c r="I2296" s="20">
        <v>-1.92350234985121</v>
      </c>
      <c r="J2296" s="28">
        <v>5.4416991669568801E-2</v>
      </c>
      <c r="K2296" s="29">
        <v>0.54810767633699098</v>
      </c>
    </row>
    <row r="2297" spans="1:11" x14ac:dyDescent="0.35">
      <c r="A2297" s="9" t="str">
        <f>HYPERLINK("http://www.ensembl.org/id/WBGene00000754", "WBGene00000754")</f>
        <v>WBGene00000754</v>
      </c>
      <c r="B2297" s="9" t="str">
        <f>HYPERLINK("http://www.ncbi.nlm.nih.gov/gene/181378", "181378")</f>
        <v>181378</v>
      </c>
      <c r="C2297" s="9"/>
      <c r="D2297" t="str">
        <f>"col-181"</f>
        <v>col-181</v>
      </c>
      <c r="E2297" t="s">
        <v>40</v>
      </c>
      <c r="F2297" t="s">
        <v>11</v>
      </c>
      <c r="G2297" t="s">
        <v>41</v>
      </c>
      <c r="H2297" s="12">
        <v>1.58192011492239</v>
      </c>
      <c r="I2297" s="20">
        <v>1.92293256406677</v>
      </c>
      <c r="J2297" s="28">
        <v>5.44885194894957E-2</v>
      </c>
      <c r="K2297" s="29">
        <v>0.548588989683786</v>
      </c>
    </row>
    <row r="2298" spans="1:11" x14ac:dyDescent="0.35">
      <c r="A2298" s="9" t="str">
        <f>HYPERLINK("http://www.ensembl.org/id/WBGene00021704", "WBGene00021704")</f>
        <v>WBGene00021704</v>
      </c>
      <c r="B2298" s="9" t="str">
        <f>HYPERLINK("http://www.ncbi.nlm.nih.gov/gene/190056", "190056")</f>
        <v>190056</v>
      </c>
      <c r="C2298" s="9"/>
      <c r="D2298" t="str">
        <f>"Y48G9A.11"</f>
        <v>Y48G9A.11</v>
      </c>
      <c r="F2298" t="s">
        <v>11</v>
      </c>
      <c r="H2298" s="12">
        <v>-2.2547129697834101</v>
      </c>
      <c r="I2298" s="20">
        <v>-1.9218666557014801</v>
      </c>
      <c r="J2298" s="28">
        <v>5.4622538449791598E-2</v>
      </c>
      <c r="K2298" s="29">
        <v>0.54969876891153602</v>
      </c>
    </row>
    <row r="2299" spans="1:11" x14ac:dyDescent="0.35">
      <c r="A2299" s="9" t="str">
        <f>HYPERLINK("http://www.ensembl.org/id/WBGene00000757", "WBGene00000757")</f>
        <v>WBGene00000757</v>
      </c>
      <c r="B2299" s="9" t="str">
        <f>HYPERLINK("http://www.ncbi.nlm.nih.gov/gene/181470", "181470")</f>
        <v>181470</v>
      </c>
      <c r="C2299" s="9"/>
      <c r="D2299" t="str">
        <f>"col-184"</f>
        <v>col-184</v>
      </c>
      <c r="E2299" t="s">
        <v>40</v>
      </c>
      <c r="F2299" t="s">
        <v>11</v>
      </c>
      <c r="G2299" t="s">
        <v>41</v>
      </c>
      <c r="H2299" s="12">
        <v>1.5842237353169899</v>
      </c>
      <c r="I2299" s="20">
        <v>1.9205241767127299</v>
      </c>
      <c r="J2299" s="28">
        <v>5.47917223197186E-2</v>
      </c>
      <c r="K2299" s="29">
        <v>0.55020318814403202</v>
      </c>
    </row>
    <row r="2300" spans="1:11" x14ac:dyDescent="0.35">
      <c r="A2300" s="9" t="str">
        <f>HYPERLINK("http://www.ensembl.org/id/WBGene00020449", "WBGene00020449")</f>
        <v>WBGene00020449</v>
      </c>
      <c r="B2300" s="9" t="str">
        <f>HYPERLINK("http://www.ncbi.nlm.nih.gov/gene/188441", "188441")</f>
        <v>188441</v>
      </c>
      <c r="C2300" s="9"/>
      <c r="D2300" t="str">
        <f>"fbxa-54"</f>
        <v>fbxa-54</v>
      </c>
      <c r="E2300" t="s">
        <v>467</v>
      </c>
      <c r="F2300" t="s">
        <v>11</v>
      </c>
      <c r="G2300" t="s">
        <v>54</v>
      </c>
      <c r="H2300" s="12">
        <v>-1.9030857928549001</v>
      </c>
      <c r="I2300" s="20">
        <v>-1.92103841950926</v>
      </c>
      <c r="J2300" s="28">
        <v>5.4726864090421698E-2</v>
      </c>
      <c r="K2300" s="29">
        <v>0.55020318814403202</v>
      </c>
    </row>
    <row r="2301" spans="1:11" x14ac:dyDescent="0.35">
      <c r="A2301" s="9" t="str">
        <f>HYPERLINK("http://www.ensembl.org/id/WBGene00010684", "WBGene00010684")</f>
        <v>WBGene00010684</v>
      </c>
      <c r="B2301" s="9" t="str">
        <f>HYPERLINK("http://www.ncbi.nlm.nih.gov/gene/187167", "187167")</f>
        <v>187167</v>
      </c>
      <c r="C2301" s="9"/>
      <c r="D2301" t="str">
        <f>"K08F9.1"</f>
        <v>K08F9.1</v>
      </c>
      <c r="F2301" t="s">
        <v>11</v>
      </c>
      <c r="G2301" t="s">
        <v>230</v>
      </c>
      <c r="H2301" s="12">
        <v>-3.2809830984803598</v>
      </c>
      <c r="I2301" s="20">
        <v>-1.9210899544140201</v>
      </c>
      <c r="J2301" s="28">
        <v>5.4720367846297899E-2</v>
      </c>
      <c r="K2301" s="29">
        <v>0.55020318814403202</v>
      </c>
    </row>
    <row r="2302" spans="1:11" x14ac:dyDescent="0.35">
      <c r="A2302" s="9" t="str">
        <f>HYPERLINK("http://www.ensembl.org/id/WBGene00003849", "WBGene00003849")</f>
        <v>WBGene00003849</v>
      </c>
      <c r="B2302" s="9" t="str">
        <f>HYPERLINK("http://www.ncbi.nlm.nih.gov/gene/179098", "179098")</f>
        <v>179098</v>
      </c>
      <c r="C2302" s="9"/>
      <c r="D2302" t="str">
        <f>"odr-2"</f>
        <v>odr-2</v>
      </c>
      <c r="E2302" t="s">
        <v>1893</v>
      </c>
      <c r="F2302" t="s">
        <v>11</v>
      </c>
      <c r="G2302" t="s">
        <v>1894</v>
      </c>
      <c r="H2302" s="12">
        <v>1.75151461240228</v>
      </c>
      <c r="I2302" s="20">
        <v>1.9208277182782501</v>
      </c>
      <c r="J2302" s="28">
        <v>5.4753430772786001E-2</v>
      </c>
      <c r="K2302" s="29">
        <v>0.55020318814403202</v>
      </c>
    </row>
    <row r="2303" spans="1:11" x14ac:dyDescent="0.35">
      <c r="A2303" s="9" t="str">
        <f>HYPERLINK("http://www.ensembl.org/id/WBGene00013445", "WBGene00013445")</f>
        <v>WBGene00013445</v>
      </c>
      <c r="B2303" s="9" t="str">
        <f>HYPERLINK("http://www.ncbi.nlm.nih.gov/gene/190501", "190501")</f>
        <v>190501</v>
      </c>
      <c r="C2303" s="9"/>
      <c r="D2303" t="str">
        <f>"Y66D12A.19"</f>
        <v>Y66D12A.19</v>
      </c>
      <c r="F2303" t="s">
        <v>11</v>
      </c>
      <c r="H2303" s="12">
        <v>-1.65880877788092</v>
      </c>
      <c r="I2303" s="20">
        <v>-1.92062355345108</v>
      </c>
      <c r="J2303" s="28">
        <v>5.4779183558694197E-2</v>
      </c>
      <c r="K2303" s="29">
        <v>0.55020318814403202</v>
      </c>
    </row>
    <row r="2304" spans="1:11" x14ac:dyDescent="0.35">
      <c r="A2304" s="9" t="str">
        <f>HYPERLINK("http://www.ensembl.org/id/WBGene00003922", "WBGene00003922")</f>
        <v>WBGene00003922</v>
      </c>
      <c r="B2304" s="9" t="str">
        <f>HYPERLINK("http://www.ncbi.nlm.nih.gov/gene/179941", "179941")</f>
        <v>179941</v>
      </c>
      <c r="C2304" s="9" t="str">
        <f>HYPERLINK("http://www.ncbi.nlm.nih.gov/gene/5687", "5687")</f>
        <v>5687</v>
      </c>
      <c r="D2304" t="str">
        <f>"pas-1"</f>
        <v>pas-1</v>
      </c>
      <c r="E2304" t="s">
        <v>1895</v>
      </c>
      <c r="F2304" t="s">
        <v>11</v>
      </c>
      <c r="G2304" t="s">
        <v>1896</v>
      </c>
      <c r="H2304" s="12">
        <v>-1.4298347702782801</v>
      </c>
      <c r="I2304" s="20">
        <v>-1.92016859028562</v>
      </c>
      <c r="J2304" s="28">
        <v>5.4836607688492502E-2</v>
      </c>
      <c r="K2304" s="29">
        <v>0.55041470775426105</v>
      </c>
    </row>
    <row r="2305" spans="1:11" x14ac:dyDescent="0.35">
      <c r="A2305" s="9" t="str">
        <f>HYPERLINK("http://www.ensembl.org/id/WBGene00012445", "WBGene00012445")</f>
        <v>WBGene00012445</v>
      </c>
      <c r="B2305" s="9" t="str">
        <f>HYPERLINK("http://www.ncbi.nlm.nih.gov/gene/181572", "181572")</f>
        <v>181572</v>
      </c>
      <c r="C2305" s="9"/>
      <c r="D2305" t="str">
        <f>"Y16B4A.2"</f>
        <v>Y16B4A.2</v>
      </c>
      <c r="E2305" t="s">
        <v>890</v>
      </c>
      <c r="F2305" t="s">
        <v>11</v>
      </c>
      <c r="G2305" t="s">
        <v>891</v>
      </c>
      <c r="H2305" s="12">
        <v>1.59405110783097</v>
      </c>
      <c r="I2305" s="20">
        <v>1.91971048895149</v>
      </c>
      <c r="J2305" s="28">
        <v>5.48944786173459E-2</v>
      </c>
      <c r="K2305" s="29">
        <v>0.55075632780390504</v>
      </c>
    </row>
    <row r="2306" spans="1:11" x14ac:dyDescent="0.35">
      <c r="A2306" s="9" t="str">
        <f>HYPERLINK("http://www.ensembl.org/id/WBGene00007450", "WBGene00007450")</f>
        <v>WBGene00007450</v>
      </c>
      <c r="B2306" s="9" t="str">
        <f>HYPERLINK("http://www.ncbi.nlm.nih.gov/gene/178329", "178329")</f>
        <v>178329</v>
      </c>
      <c r="C2306" s="9"/>
      <c r="D2306" t="str">
        <f>"C08F11.1"</f>
        <v>C08F11.1</v>
      </c>
      <c r="F2306" t="s">
        <v>11</v>
      </c>
      <c r="H2306" s="12">
        <v>2.3449408521325599</v>
      </c>
      <c r="I2306" s="20">
        <v>1.9190073961899301</v>
      </c>
      <c r="J2306" s="28">
        <v>5.4983397823511103E-2</v>
      </c>
      <c r="K2306" s="29">
        <v>0.55140902348526399</v>
      </c>
    </row>
    <row r="2307" spans="1:11" x14ac:dyDescent="0.35">
      <c r="A2307" s="9" t="str">
        <f>HYPERLINK("http://www.ensembl.org/id/WBGene00000211", "WBGene00000211")</f>
        <v>WBGene00000211</v>
      </c>
      <c r="B2307" s="9" t="str">
        <f>HYPERLINK("http://www.ncbi.nlm.nih.gov/gene/174131", "174131")</f>
        <v>174131</v>
      </c>
      <c r="C2307" s="9"/>
      <c r="D2307" t="str">
        <f>"asm-1"</f>
        <v>asm-1</v>
      </c>
      <c r="E2307" t="s">
        <v>1898</v>
      </c>
      <c r="F2307" t="s">
        <v>11</v>
      </c>
      <c r="G2307" t="s">
        <v>1899</v>
      </c>
      <c r="H2307" s="12">
        <v>1.5040861602543401</v>
      </c>
      <c r="I2307" s="20">
        <v>1.9181423855048501</v>
      </c>
      <c r="J2307" s="28">
        <v>5.5092959296028803E-2</v>
      </c>
      <c r="K2307" s="29">
        <v>0.55221355016500295</v>
      </c>
    </row>
    <row r="2308" spans="1:11" x14ac:dyDescent="0.35">
      <c r="A2308" s="9" t="str">
        <f>HYPERLINK("http://www.ensembl.org/id/WBGene00020559", "WBGene00020559")</f>
        <v>WBGene00020559</v>
      </c>
      <c r="B2308" s="9" t="str">
        <f>HYPERLINK("http://www.ncbi.nlm.nih.gov/gene/188585", "188585")</f>
        <v>188585</v>
      </c>
      <c r="C2308" s="9"/>
      <c r="D2308" t="str">
        <f>"best-17"</f>
        <v>best-17</v>
      </c>
      <c r="E2308" t="s">
        <v>1897</v>
      </c>
      <c r="F2308" t="s">
        <v>11</v>
      </c>
      <c r="H2308" s="12">
        <v>1.81254976876865</v>
      </c>
      <c r="I2308" s="20">
        <v>1.9166554447731801</v>
      </c>
      <c r="J2308" s="28">
        <v>5.52817191667632E-2</v>
      </c>
      <c r="K2308" s="29">
        <v>0.55221355016500295</v>
      </c>
    </row>
    <row r="2309" spans="1:11" x14ac:dyDescent="0.35">
      <c r="A2309" s="9" t="str">
        <f>HYPERLINK("http://www.ensembl.org/id/WBGene00007317", "WBGene00007317")</f>
        <v>WBGene00007317</v>
      </c>
      <c r="B2309" s="9" t="str">
        <f>HYPERLINK("http://www.ncbi.nlm.nih.gov/gene/182243", "182243")</f>
        <v>182243</v>
      </c>
      <c r="C2309" s="9"/>
      <c r="D2309" t="str">
        <f>"C05A9.2"</f>
        <v>C05A9.2</v>
      </c>
      <c r="F2309" t="s">
        <v>11</v>
      </c>
      <c r="G2309" t="s">
        <v>25</v>
      </c>
      <c r="H2309" s="12">
        <v>1.5664246087261</v>
      </c>
      <c r="I2309" s="20">
        <v>1.9164911226452599</v>
      </c>
      <c r="J2309" s="28">
        <v>5.5302612095638297E-2</v>
      </c>
      <c r="K2309" s="29">
        <v>0.55221355016500295</v>
      </c>
    </row>
    <row r="2310" spans="1:11" x14ac:dyDescent="0.35">
      <c r="A2310" s="9" t="str">
        <f>HYPERLINK("http://www.ensembl.org/id/WBGene00001189", "WBGene00001189")</f>
        <v>WBGene00001189</v>
      </c>
      <c r="B2310" s="9" t="str">
        <f>HYPERLINK("http://www.ncbi.nlm.nih.gov/gene/177940", "177940")</f>
        <v>177940</v>
      </c>
      <c r="C2310" s="9" t="str">
        <f>HYPERLINK("http://www.ncbi.nlm.nih.gov/gene/1363", "1363")</f>
        <v>1363</v>
      </c>
      <c r="D2310" t="str">
        <f>"egl-21"</f>
        <v>egl-21</v>
      </c>
      <c r="E2310" t="s">
        <v>1902</v>
      </c>
      <c r="F2310" t="s">
        <v>11</v>
      </c>
      <c r="G2310" t="s">
        <v>1903</v>
      </c>
      <c r="H2310" s="12">
        <v>1.4072297418300901</v>
      </c>
      <c r="I2310" s="20">
        <v>1.9175085297599801</v>
      </c>
      <c r="J2310" s="28">
        <v>5.5173358385088002E-2</v>
      </c>
      <c r="K2310" s="29">
        <v>0.55221355016500295</v>
      </c>
    </row>
    <row r="2311" spans="1:11" x14ac:dyDescent="0.35">
      <c r="A2311" s="9" t="str">
        <f>HYPERLINK("http://www.ensembl.org/id/WBGene00001651", "WBGene00001651")</f>
        <v>WBGene00001651</v>
      </c>
      <c r="B2311" s="9" t="str">
        <f>HYPERLINK("http://www.ncbi.nlm.nih.gov/gene/172646", "172646")</f>
        <v>172646</v>
      </c>
      <c r="C2311" s="9" t="str">
        <f>HYPERLINK("http://www.ncbi.nlm.nih.gov/gene/4308", "4308")</f>
        <v>4308</v>
      </c>
      <c r="D2311" t="str">
        <f>"gon-2"</f>
        <v>gon-2</v>
      </c>
      <c r="E2311" t="s">
        <v>1900</v>
      </c>
      <c r="F2311" t="s">
        <v>11</v>
      </c>
      <c r="G2311" t="s">
        <v>1901</v>
      </c>
      <c r="H2311" s="12">
        <v>1.43396708339115</v>
      </c>
      <c r="I2311" s="20">
        <v>1.9165022760722601</v>
      </c>
      <c r="J2311" s="28">
        <v>5.5301193771979201E-2</v>
      </c>
      <c r="K2311" s="29">
        <v>0.55221355016500295</v>
      </c>
    </row>
    <row r="2312" spans="1:11" x14ac:dyDescent="0.35">
      <c r="A2312" s="9" t="str">
        <f>HYPERLINK("http://www.ensembl.org/id/WBGene00044069", "WBGene00044069")</f>
        <v>WBGene00044069</v>
      </c>
      <c r="B2312" s="9" t="str">
        <f>HYPERLINK("http://www.ncbi.nlm.nih.gov/gene/176458", "176458")</f>
        <v>176458</v>
      </c>
      <c r="C2312" s="9" t="str">
        <f>HYPERLINK("http://www.ncbi.nlm.nih.gov/gene/8520", "8520")</f>
        <v>8520</v>
      </c>
      <c r="D2312" t="str">
        <f>"hat-1"</f>
        <v>hat-1</v>
      </c>
      <c r="E2312" t="s">
        <v>1904</v>
      </c>
      <c r="F2312" t="s">
        <v>11</v>
      </c>
      <c r="G2312" t="s">
        <v>1905</v>
      </c>
      <c r="H2312" s="12">
        <v>-1.48688002880487</v>
      </c>
      <c r="I2312" s="20">
        <v>-1.91690330291445</v>
      </c>
      <c r="J2312" s="28">
        <v>5.5250217399693699E-2</v>
      </c>
      <c r="K2312" s="29">
        <v>0.55221355016500295</v>
      </c>
    </row>
    <row r="2313" spans="1:11" x14ac:dyDescent="0.35">
      <c r="A2313" s="9" t="str">
        <f>HYPERLINK("http://www.ensembl.org/id/WBGene00018523", "WBGene00018523")</f>
        <v>WBGene00018523</v>
      </c>
      <c r="B2313" s="9" t="str">
        <f>HYPERLINK("http://www.ncbi.nlm.nih.gov/gene/185882", "185882")</f>
        <v>185882</v>
      </c>
      <c r="C2313" s="9"/>
      <c r="D2313" t="str">
        <f>"lact-1"</f>
        <v>lact-1</v>
      </c>
      <c r="E2313" t="s">
        <v>1085</v>
      </c>
      <c r="F2313" t="s">
        <v>11</v>
      </c>
      <c r="H2313" s="12">
        <v>1.7850047098009201</v>
      </c>
      <c r="I2313" s="20">
        <v>1.91740797025327</v>
      </c>
      <c r="J2313" s="28">
        <v>5.5186122468420702E-2</v>
      </c>
      <c r="K2313" s="29">
        <v>0.55221355016500295</v>
      </c>
    </row>
    <row r="2314" spans="1:11" x14ac:dyDescent="0.35">
      <c r="A2314" s="9" t="str">
        <f>HYPERLINK("http://www.ensembl.org/id/WBGene00019715", "WBGene00019715")</f>
        <v>WBGene00019715</v>
      </c>
      <c r="B2314" s="9" t="str">
        <f>HYPERLINK("http://www.ncbi.nlm.nih.gov/gene/187377", "187377")</f>
        <v>187377</v>
      </c>
      <c r="C2314" s="9"/>
      <c r="D2314" t="str">
        <f>"M01G5.1"</f>
        <v>M01G5.1</v>
      </c>
      <c r="F2314" t="s">
        <v>11</v>
      </c>
      <c r="H2314" s="12">
        <v>-1.50351412487853</v>
      </c>
      <c r="I2314" s="20">
        <v>-1.9166794529614199</v>
      </c>
      <c r="J2314" s="28">
        <v>5.5278667168509397E-2</v>
      </c>
      <c r="K2314" s="29">
        <v>0.55221355016500295</v>
      </c>
    </row>
    <row r="2315" spans="1:11" x14ac:dyDescent="0.35">
      <c r="A2315" s="9" t="str">
        <f>HYPERLINK("http://www.ensembl.org/id/WBGene00012740", "WBGene00012740")</f>
        <v>WBGene00012740</v>
      </c>
      <c r="B2315" s="9" t="str">
        <f>HYPERLINK("http://www.ncbi.nlm.nih.gov/gene/173212", "173212")</f>
        <v>173212</v>
      </c>
      <c r="C2315" s="9" t="str">
        <f>HYPERLINK("http://www.ncbi.nlm.nih.gov/gene/91137", "91137")</f>
        <v>91137</v>
      </c>
      <c r="D2315" t="str">
        <f>"slc-25A46"</f>
        <v>slc-25A46</v>
      </c>
      <c r="E2315" t="s">
        <v>584</v>
      </c>
      <c r="F2315" t="s">
        <v>11</v>
      </c>
      <c r="G2315" t="s">
        <v>1906</v>
      </c>
      <c r="H2315" s="12">
        <v>-1.4990157775982</v>
      </c>
      <c r="I2315" s="20">
        <v>-1.9169313576599201</v>
      </c>
      <c r="J2315" s="28">
        <v>5.5246652697841299E-2</v>
      </c>
      <c r="K2315" s="29">
        <v>0.55221355016500295</v>
      </c>
    </row>
    <row r="2316" spans="1:11" x14ac:dyDescent="0.35">
      <c r="A2316" s="9" t="str">
        <f>HYPERLINK("http://www.ensembl.org/id/WBGene00020445", "WBGene00020445")</f>
        <v>WBGene00020445</v>
      </c>
      <c r="B2316" s="9" t="str">
        <f>HYPERLINK("http://www.ncbi.nlm.nih.gov/gene/188439", "188439")</f>
        <v>188439</v>
      </c>
      <c r="C2316" s="9"/>
      <c r="D2316" t="str">
        <f>"T12B3.2"</f>
        <v>T12B3.2</v>
      </c>
      <c r="F2316" t="s">
        <v>11</v>
      </c>
      <c r="G2316" t="s">
        <v>230</v>
      </c>
      <c r="H2316" s="12">
        <v>1.87374489046701</v>
      </c>
      <c r="I2316" s="20">
        <v>1.9166558398393601</v>
      </c>
      <c r="J2316" s="28">
        <v>5.5281668943541001E-2</v>
      </c>
      <c r="K2316" s="29">
        <v>0.55221355016500295</v>
      </c>
    </row>
    <row r="2317" spans="1:11" x14ac:dyDescent="0.35">
      <c r="A2317" s="9" t="str">
        <f>HYPERLINK("http://www.ensembl.org/id/WBGene00008654", "WBGene00008654")</f>
        <v>WBGene00008654</v>
      </c>
      <c r="B2317" s="9" t="str">
        <f>HYPERLINK("http://www.ncbi.nlm.nih.gov/gene/175608", "175608")</f>
        <v>175608</v>
      </c>
      <c r="C2317" s="9" t="str">
        <f>HYPERLINK("http://www.ncbi.nlm.nih.gov/gene/5198", "5198")</f>
        <v>5198</v>
      </c>
      <c r="D2317" t="str">
        <f>"pfas-1"</f>
        <v>pfas-1</v>
      </c>
      <c r="E2317" t="s">
        <v>1907</v>
      </c>
      <c r="F2317" t="s">
        <v>11</v>
      </c>
      <c r="G2317" t="s">
        <v>1908</v>
      </c>
      <c r="H2317" s="12">
        <v>-1.4421498707987901</v>
      </c>
      <c r="I2317" s="20">
        <v>-1.91441830200451</v>
      </c>
      <c r="J2317" s="28">
        <v>5.55667288706111E-2</v>
      </c>
      <c r="K2317" s="29">
        <v>0.55461116081396999</v>
      </c>
    </row>
    <row r="2318" spans="1:11" x14ac:dyDescent="0.35">
      <c r="A2318" s="9" t="str">
        <f>HYPERLINK("http://www.ensembl.org/id/WBGene00004352", "WBGene00004352")</f>
        <v>WBGene00004352</v>
      </c>
      <c r="B2318" s="9" t="str">
        <f>HYPERLINK("http://www.ncbi.nlm.nih.gov/gene/180506", "180506")</f>
        <v>180506</v>
      </c>
      <c r="C2318" s="9"/>
      <c r="D2318" t="str">
        <f>"rgs-9"</f>
        <v>rgs-9</v>
      </c>
      <c r="E2318" t="s">
        <v>1909</v>
      </c>
      <c r="F2318" t="s">
        <v>11</v>
      </c>
      <c r="G2318" t="s">
        <v>1910</v>
      </c>
      <c r="H2318" s="12">
        <v>-1.72789302387591</v>
      </c>
      <c r="I2318" s="20">
        <v>-1.91201389873582</v>
      </c>
      <c r="J2318" s="28">
        <v>5.5874411367020198E-2</v>
      </c>
      <c r="K2318" s="29">
        <v>0.55720075487542897</v>
      </c>
    </row>
    <row r="2319" spans="1:11" x14ac:dyDescent="0.35">
      <c r="A2319" s="9" t="str">
        <f>HYPERLINK("http://www.ensembl.org/id/WBGene00077756", "WBGene00077756")</f>
        <v>WBGene00077756</v>
      </c>
      <c r="B2319" s="9" t="str">
        <f>HYPERLINK("http://www.ncbi.nlm.nih.gov/gene/7040130", "7040130")</f>
        <v>7040130</v>
      </c>
      <c r="C2319" s="9"/>
      <c r="D2319" t="str">
        <f>"Y11D7A.19"</f>
        <v>Y11D7A.19</v>
      </c>
      <c r="F2319" t="s">
        <v>11</v>
      </c>
      <c r="H2319" s="12">
        <v>3.3948131005517101</v>
      </c>
      <c r="I2319" s="20">
        <v>1.91209906355766</v>
      </c>
      <c r="J2319" s="28">
        <v>5.5863488951864403E-2</v>
      </c>
      <c r="K2319" s="29">
        <v>0.55720075487542897</v>
      </c>
    </row>
    <row r="2320" spans="1:11" x14ac:dyDescent="0.35">
      <c r="A2320" s="9" t="str">
        <f>HYPERLINK("http://www.ensembl.org/id/WBGene00021359", "WBGene00021359")</f>
        <v>WBGene00021359</v>
      </c>
      <c r="B2320" s="9" t="str">
        <f>HYPERLINK("http://www.ncbi.nlm.nih.gov/gene/177130", "177130")</f>
        <v>177130</v>
      </c>
      <c r="C2320" s="9"/>
      <c r="D2320" t="str">
        <f>"Y37E11AL.3"</f>
        <v>Y37E11AL.3</v>
      </c>
      <c r="F2320" t="s">
        <v>11</v>
      </c>
      <c r="H2320" s="12">
        <v>-1.5031063081624201</v>
      </c>
      <c r="I2320" s="20">
        <v>-1.9117318096531699</v>
      </c>
      <c r="J2320" s="28">
        <v>5.59106020846847E-2</v>
      </c>
      <c r="K2320" s="29">
        <v>0.55727244796455</v>
      </c>
    </row>
    <row r="2321" spans="1:11" x14ac:dyDescent="0.35">
      <c r="A2321" s="9" t="str">
        <f>HYPERLINK("http://www.ensembl.org/id/WBGene00012813", "WBGene00012813")</f>
        <v>WBGene00012813</v>
      </c>
      <c r="B2321" s="9" t="str">
        <f>HYPERLINK("http://www.ncbi.nlm.nih.gov/gene/180278", "180278")</f>
        <v>180278</v>
      </c>
      <c r="C2321" s="9"/>
      <c r="D2321" t="str">
        <f>"Y43F8B.2"</f>
        <v>Y43F8B.2</v>
      </c>
      <c r="F2321" t="s">
        <v>11</v>
      </c>
      <c r="G2321" t="s">
        <v>1911</v>
      </c>
      <c r="H2321" s="12">
        <v>1.4208826302422699</v>
      </c>
      <c r="I2321" s="20">
        <v>1.91158194703638</v>
      </c>
      <c r="J2321" s="28">
        <v>5.5929836701713503E-2</v>
      </c>
      <c r="K2321" s="29">
        <v>0.55727244796455</v>
      </c>
    </row>
    <row r="2322" spans="1:11" x14ac:dyDescent="0.35">
      <c r="A2322" s="9" t="str">
        <f>HYPERLINK("http://www.ensembl.org/id/WBGene00001877", "WBGene00001877")</f>
        <v>WBGene00001877</v>
      </c>
      <c r="B2322" s="9" t="str">
        <f>HYPERLINK("http://www.ncbi.nlm.nih.gov/gene/180073", "180073")</f>
        <v>180073</v>
      </c>
      <c r="C2322" s="9" t="str">
        <f>HYPERLINK("http://www.ncbi.nlm.nih.gov/gene/8338", "8338")</f>
        <v>8338</v>
      </c>
      <c r="D2322" t="str">
        <f>"his-3"</f>
        <v>his-3</v>
      </c>
      <c r="E2322" t="s">
        <v>1912</v>
      </c>
      <c r="F2322" t="s">
        <v>11</v>
      </c>
      <c r="G2322" t="s">
        <v>232</v>
      </c>
      <c r="H2322" s="12">
        <v>2.2846807400172899</v>
      </c>
      <c r="I2322" s="20">
        <v>1.9112457465814701</v>
      </c>
      <c r="J2322" s="28">
        <v>5.5973007520978502E-2</v>
      </c>
      <c r="K2322" s="29">
        <v>0.55746220335333097</v>
      </c>
    </row>
    <row r="2323" spans="1:11" x14ac:dyDescent="0.35">
      <c r="A2323" s="9" t="str">
        <f>HYPERLINK("http://www.ensembl.org/id/WBGene00009323", "WBGene00009323")</f>
        <v>WBGene00009323</v>
      </c>
      <c r="B2323" s="9" t="str">
        <f>HYPERLINK("http://www.ncbi.nlm.nih.gov/gene/185198", "185198")</f>
        <v>185198</v>
      </c>
      <c r="C2323" s="9"/>
      <c r="D2323" t="str">
        <f>"best-13"</f>
        <v>best-13</v>
      </c>
      <c r="E2323" t="s">
        <v>1913</v>
      </c>
      <c r="F2323" t="s">
        <v>11</v>
      </c>
      <c r="H2323" s="12">
        <v>1.5556959757966</v>
      </c>
      <c r="I2323" s="20">
        <v>1.9100080421855801</v>
      </c>
      <c r="J2323" s="28">
        <v>5.6132177853249601E-2</v>
      </c>
      <c r="K2323" s="29">
        <v>0.55805313075681795</v>
      </c>
    </row>
    <row r="2324" spans="1:11" x14ac:dyDescent="0.35">
      <c r="A2324" s="9" t="str">
        <f>HYPERLINK("http://www.ensembl.org/id/WBGene00007565", "WBGene00007565")</f>
        <v>WBGene00007565</v>
      </c>
      <c r="B2324" s="9" t="str">
        <f>HYPERLINK("http://www.ncbi.nlm.nih.gov/gene/180188", "180188")</f>
        <v>180188</v>
      </c>
      <c r="C2324" s="9"/>
      <c r="D2324" t="str">
        <f>"clec-48"</f>
        <v>clec-48</v>
      </c>
      <c r="E2324" t="s">
        <v>46</v>
      </c>
      <c r="F2324" t="s">
        <v>11</v>
      </c>
      <c r="G2324" t="s">
        <v>274</v>
      </c>
      <c r="H2324" s="12">
        <v>-1.41175608164684</v>
      </c>
      <c r="I2324" s="20">
        <v>-1.9099484072992801</v>
      </c>
      <c r="J2324" s="28">
        <v>5.61398564819897E-2</v>
      </c>
      <c r="K2324" s="29">
        <v>0.55805313075681795</v>
      </c>
    </row>
    <row r="2325" spans="1:11" x14ac:dyDescent="0.35">
      <c r="A2325" s="9" t="str">
        <f>HYPERLINK("http://www.ensembl.org/id/WBGene00008428", "WBGene00008428")</f>
        <v>WBGene00008428</v>
      </c>
      <c r="B2325" s="9" t="str">
        <f>HYPERLINK("http://www.ncbi.nlm.nih.gov/gene/174387", "174387")</f>
        <v>174387</v>
      </c>
      <c r="C2325" s="9"/>
      <c r="D2325" t="str">
        <f>"eif-2Bepsilon"</f>
        <v>eif-2Bepsilon</v>
      </c>
      <c r="E2325" t="s">
        <v>1914</v>
      </c>
      <c r="F2325" t="s">
        <v>11</v>
      </c>
      <c r="G2325" t="s">
        <v>1915</v>
      </c>
      <c r="H2325" s="12">
        <v>-1.4755529282117801</v>
      </c>
      <c r="I2325" s="20">
        <v>-1.91030717799807</v>
      </c>
      <c r="J2325" s="28">
        <v>5.6093674116225602E-2</v>
      </c>
      <c r="K2325" s="29">
        <v>0.55805313075681795</v>
      </c>
    </row>
    <row r="2326" spans="1:11" x14ac:dyDescent="0.35">
      <c r="A2326" s="9" t="str">
        <f>HYPERLINK("http://www.ensembl.org/id/WBGene00009698", "WBGene00009698")</f>
        <v>WBGene00009698</v>
      </c>
      <c r="B2326" s="9" t="str">
        <f>HYPERLINK("http://www.ncbi.nlm.nih.gov/gene/173189", "173189")</f>
        <v>173189</v>
      </c>
      <c r="C2326" s="9"/>
      <c r="D2326" t="str">
        <f>"F44F1.6"</f>
        <v>F44F1.6</v>
      </c>
      <c r="F2326" t="s">
        <v>11</v>
      </c>
      <c r="G2326" t="s">
        <v>854</v>
      </c>
      <c r="H2326" s="12">
        <v>1.7620870034270399</v>
      </c>
      <c r="I2326" s="20">
        <v>1.9094775701336599</v>
      </c>
      <c r="J2326" s="28">
        <v>5.6200512516993199E-2</v>
      </c>
      <c r="K2326" s="29">
        <v>0.55805313075681795</v>
      </c>
    </row>
    <row r="2327" spans="1:11" x14ac:dyDescent="0.35">
      <c r="A2327" s="9" t="str">
        <f>HYPERLINK("http://www.ensembl.org/id/WBGene00018991", "WBGene00018991")</f>
        <v>WBGene00018991</v>
      </c>
      <c r="B2327" s="9" t="str">
        <f>HYPERLINK("http://www.ncbi.nlm.nih.gov/gene/175403", "175403")</f>
        <v>175403</v>
      </c>
      <c r="C2327" s="9" t="str">
        <f>HYPERLINK("http://www.ncbi.nlm.nih.gov/gene/5705", "5705")</f>
        <v>5705</v>
      </c>
      <c r="D2327" t="str">
        <f>"F56F11.4"</f>
        <v>F56F11.4</v>
      </c>
      <c r="F2327" t="s">
        <v>11</v>
      </c>
      <c r="G2327" t="s">
        <v>1916</v>
      </c>
      <c r="H2327" s="12">
        <v>-1.5611680319126799</v>
      </c>
      <c r="I2327" s="20">
        <v>-1.9095842938069101</v>
      </c>
      <c r="J2327" s="28">
        <v>5.6186758960295402E-2</v>
      </c>
      <c r="K2327" s="29">
        <v>0.55805313075681795</v>
      </c>
    </row>
    <row r="2328" spans="1:11" x14ac:dyDescent="0.35">
      <c r="A2328" s="9" t="str">
        <f>HYPERLINK("http://www.ensembl.org/id/WBGene00007500", "WBGene00007500")</f>
        <v>WBGene00007500</v>
      </c>
      <c r="B2328" s="9" t="str">
        <f>HYPERLINK("http://www.ncbi.nlm.nih.gov/gene/174697", "174697")</f>
        <v>174697</v>
      </c>
      <c r="C2328" s="9"/>
      <c r="D2328" t="str">
        <f>"nasp-1"</f>
        <v>nasp-1</v>
      </c>
      <c r="E2328" t="s">
        <v>672</v>
      </c>
      <c r="F2328" t="s">
        <v>11</v>
      </c>
      <c r="G2328" t="s">
        <v>673</v>
      </c>
      <c r="H2328" s="12">
        <v>-1.5285539605766001</v>
      </c>
      <c r="I2328" s="20">
        <v>-1.9094706550951801</v>
      </c>
      <c r="J2328" s="28">
        <v>5.6201403759677797E-2</v>
      </c>
      <c r="K2328" s="29">
        <v>0.55805313075681795</v>
      </c>
    </row>
    <row r="2329" spans="1:11" x14ac:dyDescent="0.35">
      <c r="A2329" s="9" t="str">
        <f>HYPERLINK("http://www.ensembl.org/id/WBGene00020043", "WBGene00020043")</f>
        <v>WBGene00020043</v>
      </c>
      <c r="B2329" s="9" t="str">
        <f>HYPERLINK("http://www.ncbi.nlm.nih.gov/gene/187851", "187851")</f>
        <v>187851</v>
      </c>
      <c r="C2329" s="9"/>
      <c r="D2329" t="str">
        <f>"R13A1.5"</f>
        <v>R13A1.5</v>
      </c>
      <c r="F2329" t="s">
        <v>11</v>
      </c>
      <c r="H2329" s="12">
        <v>1.82416081291392</v>
      </c>
      <c r="I2329" s="20">
        <v>1.9096965412678899</v>
      </c>
      <c r="J2329" s="28">
        <v>5.6172296573086603E-2</v>
      </c>
      <c r="K2329" s="29">
        <v>0.55805313075681795</v>
      </c>
    </row>
    <row r="2330" spans="1:11" x14ac:dyDescent="0.35">
      <c r="A2330" s="9" t="str">
        <f>HYPERLINK("http://www.ensembl.org/id/WBGene00015882", "WBGene00015882")</f>
        <v>WBGene00015882</v>
      </c>
      <c r="B2330" s="9" t="str">
        <f>HYPERLINK("http://www.ncbi.nlm.nih.gov/gene/182708", "182708")</f>
        <v>182708</v>
      </c>
      <c r="C2330" s="9"/>
      <c r="D2330" t="str">
        <f>"C17B7.8"</f>
        <v>C17B7.8</v>
      </c>
      <c r="F2330" t="s">
        <v>11</v>
      </c>
      <c r="H2330" s="12">
        <v>24.1648152546917</v>
      </c>
      <c r="I2330" s="20">
        <v>1.9088399971610499</v>
      </c>
      <c r="J2330" s="28">
        <v>5.6282735412620001E-2</v>
      </c>
      <c r="K2330" s="29">
        <v>0.55862065482989598</v>
      </c>
    </row>
    <row r="2331" spans="1:11" x14ac:dyDescent="0.35">
      <c r="A2331" s="9" t="str">
        <f>HYPERLINK("http://www.ensembl.org/id/WBGene00000140", "WBGene00000140")</f>
        <v>WBGene00000140</v>
      </c>
      <c r="B2331" s="9" t="str">
        <f>HYPERLINK("http://www.ncbi.nlm.nih.gov/gene/172034", "172034")</f>
        <v>172034</v>
      </c>
      <c r="C2331" s="9"/>
      <c r="D2331" t="str">
        <f>"anc-1"</f>
        <v>anc-1</v>
      </c>
      <c r="E2331" t="s">
        <v>1917</v>
      </c>
      <c r="F2331" t="s">
        <v>11</v>
      </c>
      <c r="G2331" t="s">
        <v>1918</v>
      </c>
      <c r="H2331" s="12">
        <v>1.4340723726378199</v>
      </c>
      <c r="I2331" s="20">
        <v>1.9076672513370601</v>
      </c>
      <c r="J2331" s="28">
        <v>5.64342369826039E-2</v>
      </c>
      <c r="K2331" s="29">
        <v>0.55903878234555804</v>
      </c>
    </row>
    <row r="2332" spans="1:11" x14ac:dyDescent="0.35">
      <c r="A2332" s="9" t="str">
        <f>HYPERLINK("http://www.ensembl.org/id/WBGene00011867", "WBGene00011867")</f>
        <v>WBGene00011867</v>
      </c>
      <c r="B2332" s="9" t="str">
        <f>HYPERLINK("http://www.ncbi.nlm.nih.gov/gene/176434", "176434")</f>
        <v>176434</v>
      </c>
      <c r="C2332" s="9" t="str">
        <f>HYPERLINK("http://www.ncbi.nlm.nih.gov/gene/1213", "1213")</f>
        <v>1213</v>
      </c>
      <c r="D2332" t="str">
        <f>"chc-1"</f>
        <v>chc-1</v>
      </c>
      <c r="E2332" t="s">
        <v>1919</v>
      </c>
      <c r="F2332" t="s">
        <v>11</v>
      </c>
      <c r="G2332" t="s">
        <v>1920</v>
      </c>
      <c r="H2332" s="12">
        <v>-1.4466543625811901</v>
      </c>
      <c r="I2332" s="20">
        <v>-1.90771142533418</v>
      </c>
      <c r="J2332" s="28">
        <v>5.6428524203250202E-2</v>
      </c>
      <c r="K2332" s="29">
        <v>0.55903878234555804</v>
      </c>
    </row>
    <row r="2333" spans="1:11" x14ac:dyDescent="0.35">
      <c r="A2333" s="9" t="str">
        <f>HYPERLINK("http://www.ensembl.org/id/WBGene00000685", "WBGene00000685")</f>
        <v>WBGene00000685</v>
      </c>
      <c r="B2333" s="9" t="str">
        <f>HYPERLINK("http://www.ncbi.nlm.nih.gov/gene/177230", "177230")</f>
        <v>177230</v>
      </c>
      <c r="C2333" s="9"/>
      <c r="D2333" t="str">
        <f>"col-111"</f>
        <v>col-111</v>
      </c>
      <c r="E2333" t="s">
        <v>40</v>
      </c>
      <c r="F2333" t="s">
        <v>11</v>
      </c>
      <c r="G2333" t="s">
        <v>41</v>
      </c>
      <c r="H2333" s="12">
        <v>2.0955791486520599</v>
      </c>
      <c r="I2333" s="20">
        <v>1.9079982028459399</v>
      </c>
      <c r="J2333" s="28">
        <v>5.6391448555642897E-2</v>
      </c>
      <c r="K2333" s="29">
        <v>0.55903878234555804</v>
      </c>
    </row>
    <row r="2334" spans="1:11" x14ac:dyDescent="0.35">
      <c r="A2334" s="9" t="str">
        <f>HYPERLINK("http://www.ensembl.org/id/WBGene00020476", "WBGene00020476")</f>
        <v>WBGene00020476</v>
      </c>
      <c r="B2334" s="9" t="str">
        <f>HYPERLINK("http://www.ncbi.nlm.nih.gov/gene/173494", "173494")</f>
        <v>173494</v>
      </c>
      <c r="C2334" s="9"/>
      <c r="D2334" t="str">
        <f>"T13B5.9"</f>
        <v>T13B5.9</v>
      </c>
      <c r="F2334" t="s">
        <v>11</v>
      </c>
      <c r="G2334" t="s">
        <v>1923</v>
      </c>
      <c r="H2334" s="12">
        <v>-1.66394096282712</v>
      </c>
      <c r="I2334" s="20">
        <v>-1.90739056534422</v>
      </c>
      <c r="J2334" s="28">
        <v>5.6470030208367203E-2</v>
      </c>
      <c r="K2334" s="29">
        <v>0.55903878234555804</v>
      </c>
    </row>
    <row r="2335" spans="1:11" x14ac:dyDescent="0.35">
      <c r="A2335" s="9" t="str">
        <f>HYPERLINK("http://www.ensembl.org/id/WBGene00021052", "WBGene00021052")</f>
        <v>WBGene00021052</v>
      </c>
      <c r="B2335" s="9" t="str">
        <f>HYPERLINK("http://www.ncbi.nlm.nih.gov/gene/3565945", "3565945")</f>
        <v>3565945</v>
      </c>
      <c r="C2335" s="9"/>
      <c r="D2335" t="str">
        <f>"W06A11.1"</f>
        <v>W06A11.1</v>
      </c>
      <c r="F2335" t="s">
        <v>11</v>
      </c>
      <c r="H2335" s="12">
        <v>2.0862464463527699</v>
      </c>
      <c r="I2335" s="20">
        <v>1.9074667526625699</v>
      </c>
      <c r="J2335" s="28">
        <v>5.6460172422105201E-2</v>
      </c>
      <c r="K2335" s="29">
        <v>0.55903878234555804</v>
      </c>
    </row>
    <row r="2336" spans="1:11" x14ac:dyDescent="0.35">
      <c r="A2336" s="9" t="str">
        <f>HYPERLINK("http://www.ensembl.org/id/WBGene00012984", "WBGene00012984")</f>
        <v>WBGene00012984</v>
      </c>
      <c r="B2336" s="9" t="str">
        <f>HYPERLINK("http://www.ncbi.nlm.nih.gov/gene/175078", "175078")</f>
        <v>175078</v>
      </c>
      <c r="C2336" s="9"/>
      <c r="D2336" t="str">
        <f>"Y48B6A.13"</f>
        <v>Y48B6A.13</v>
      </c>
      <c r="E2336" t="s">
        <v>1921</v>
      </c>
      <c r="F2336" t="s">
        <v>11</v>
      </c>
      <c r="G2336" t="s">
        <v>1922</v>
      </c>
      <c r="H2336" s="12">
        <v>-1.6267634426730999</v>
      </c>
      <c r="I2336" s="20">
        <v>-1.90787652840933</v>
      </c>
      <c r="J2336" s="28">
        <v>5.6407176595206103E-2</v>
      </c>
      <c r="K2336" s="29">
        <v>0.55903878234555804</v>
      </c>
    </row>
    <row r="2337" spans="1:11" x14ac:dyDescent="0.35">
      <c r="A2337" s="9" t="str">
        <f>HYPERLINK("http://www.ensembl.org/id/WBGene00017013", "WBGene00017013")</f>
        <v>WBGene00017013</v>
      </c>
      <c r="B2337" s="9" t="str">
        <f>HYPERLINK("http://www.ncbi.nlm.nih.gov/gene/181135", "181135")</f>
        <v>181135</v>
      </c>
      <c r="C2337" s="9"/>
      <c r="D2337" t="str">
        <f>"ensh-1"</f>
        <v>ensh-1</v>
      </c>
      <c r="F2337" t="s">
        <v>11</v>
      </c>
      <c r="G2337" t="s">
        <v>1924</v>
      </c>
      <c r="H2337" s="12">
        <v>1.7740678169352899</v>
      </c>
      <c r="I2337" s="20">
        <v>1.9069026294843601</v>
      </c>
      <c r="J2337" s="28">
        <v>5.6533197622183902E-2</v>
      </c>
      <c r="K2337" s="29">
        <v>0.559424438654467</v>
      </c>
    </row>
    <row r="2338" spans="1:11" x14ac:dyDescent="0.35">
      <c r="A2338" s="9" t="str">
        <f>HYPERLINK("http://www.ensembl.org/id/WBGene00021419", "WBGene00021419")</f>
        <v>WBGene00021419</v>
      </c>
      <c r="B2338" s="9" t="str">
        <f>HYPERLINK("http://www.ncbi.nlm.nih.gov/gene/177029", "177029")</f>
        <v>177029</v>
      </c>
      <c r="C2338" s="9"/>
      <c r="D2338" t="str">
        <f>"eri-5"</f>
        <v>eri-5</v>
      </c>
      <c r="E2338" t="s">
        <v>1926</v>
      </c>
      <c r="F2338" t="s">
        <v>11</v>
      </c>
      <c r="G2338" t="s">
        <v>1927</v>
      </c>
      <c r="H2338" s="12">
        <v>-1.6561553950004899</v>
      </c>
      <c r="I2338" s="20">
        <v>-1.9063163279499999</v>
      </c>
      <c r="J2338" s="28">
        <v>5.6609177083195503E-2</v>
      </c>
      <c r="K2338" s="29">
        <v>0.55984524742433495</v>
      </c>
    </row>
    <row r="2339" spans="1:11" x14ac:dyDescent="0.35">
      <c r="A2339" s="9" t="str">
        <f>HYPERLINK("http://www.ensembl.org/id/WBGene00019317", "WBGene00019317")</f>
        <v>WBGene00019317</v>
      </c>
      <c r="B2339" s="9" t="str">
        <f>HYPERLINK("http://www.ncbi.nlm.nih.gov/gene/180554", "180554")</f>
        <v>180554</v>
      </c>
      <c r="C2339" s="9"/>
      <c r="D2339" t="str">
        <f>"K02E10.1"</f>
        <v>K02E10.1</v>
      </c>
      <c r="F2339" t="s">
        <v>11</v>
      </c>
      <c r="G2339" t="s">
        <v>1925</v>
      </c>
      <c r="H2339" s="12">
        <v>1.6075116257629201</v>
      </c>
      <c r="I2339" s="20">
        <v>1.90620062079327</v>
      </c>
      <c r="J2339" s="28">
        <v>5.6624181737672898E-2</v>
      </c>
      <c r="K2339" s="29">
        <v>0.55984524742433495</v>
      </c>
    </row>
    <row r="2340" spans="1:11" x14ac:dyDescent="0.35">
      <c r="A2340" s="9" t="str">
        <f>HYPERLINK("http://www.ensembl.org/id/WBGene00011362", "WBGene00011362")</f>
        <v>WBGene00011362</v>
      </c>
      <c r="B2340" s="9" t="str">
        <f>HYPERLINK("http://www.ncbi.nlm.nih.gov/gene/179915", "179915")</f>
        <v>179915</v>
      </c>
      <c r="C2340" s="9"/>
      <c r="D2340" t="str">
        <f>"cest-1"</f>
        <v>cest-1</v>
      </c>
      <c r="E2340" t="s">
        <v>383</v>
      </c>
      <c r="F2340" t="s">
        <v>11</v>
      </c>
      <c r="G2340" t="s">
        <v>1928</v>
      </c>
      <c r="H2340" s="12">
        <v>-2.9986442728328799</v>
      </c>
      <c r="I2340" s="20">
        <v>-1.90480053369724</v>
      </c>
      <c r="J2340" s="28">
        <v>5.6806004496944701E-2</v>
      </c>
      <c r="K2340" s="29">
        <v>0.56140271167938605</v>
      </c>
    </row>
    <row r="2341" spans="1:11" x14ac:dyDescent="0.35">
      <c r="A2341" s="9" t="str">
        <f>HYPERLINK("http://www.ensembl.org/id/WBGene00003772", "WBGene00003772")</f>
        <v>WBGene00003772</v>
      </c>
      <c r="B2341" s="9" t="str">
        <f>HYPERLINK("http://www.ncbi.nlm.nih.gov/gene/178167", "178167")</f>
        <v>178167</v>
      </c>
      <c r="C2341" s="9" t="str">
        <f>HYPERLINK("http://www.ncbi.nlm.nih.gov/gene/129684", "129684")</f>
        <v>129684</v>
      </c>
      <c r="D2341" t="str">
        <f>"nlr-1"</f>
        <v>nlr-1</v>
      </c>
      <c r="E2341" t="s">
        <v>1929</v>
      </c>
      <c r="F2341" t="s">
        <v>11</v>
      </c>
      <c r="G2341" t="s">
        <v>1930</v>
      </c>
      <c r="H2341" s="12">
        <v>1.5076850170133</v>
      </c>
      <c r="I2341" s="20">
        <v>1.9028960147857901</v>
      </c>
      <c r="J2341" s="28">
        <v>5.7054115101810597E-2</v>
      </c>
      <c r="K2341" s="29">
        <v>0.56361367402412899</v>
      </c>
    </row>
    <row r="2342" spans="1:11" x14ac:dyDescent="0.35">
      <c r="A2342" s="9" t="str">
        <f>HYPERLINK("http://www.ensembl.org/id/WBGene00015029", "WBGene00015029")</f>
        <v>WBGene00015029</v>
      </c>
      <c r="B2342" s="9" t="str">
        <f>HYPERLINK("http://www.ncbi.nlm.nih.gov/gene/172267", "172267")</f>
        <v>172267</v>
      </c>
      <c r="C2342" s="9"/>
      <c r="D2342" t="str">
        <f>"B0207.6"</f>
        <v>B0207.6</v>
      </c>
      <c r="E2342" t="s">
        <v>1931</v>
      </c>
      <c r="F2342" t="s">
        <v>11</v>
      </c>
      <c r="G2342" t="s">
        <v>1932</v>
      </c>
      <c r="H2342" s="12">
        <v>-1.6219805848098601</v>
      </c>
      <c r="I2342" s="20">
        <v>-1.9023354389768601</v>
      </c>
      <c r="J2342" s="28">
        <v>5.7127315427133903E-2</v>
      </c>
      <c r="K2342" s="29">
        <v>0.56409561976895495</v>
      </c>
    </row>
    <row r="2343" spans="1:11" x14ac:dyDescent="0.35">
      <c r="A2343" s="9" t="str">
        <f>HYPERLINK("http://www.ensembl.org/id/WBGene00020903", "WBGene00020903")</f>
        <v>WBGene00020903</v>
      </c>
      <c r="B2343" s="9" t="str">
        <f>HYPERLINK("http://www.ncbi.nlm.nih.gov/gene/189051", "189051")</f>
        <v>189051</v>
      </c>
      <c r="C2343" s="9"/>
      <c r="D2343" t="str">
        <f>"acd-5"</f>
        <v>acd-5</v>
      </c>
      <c r="F2343" t="s">
        <v>11</v>
      </c>
      <c r="G2343" t="s">
        <v>211</v>
      </c>
      <c r="H2343" s="12">
        <v>1.7778006852247401</v>
      </c>
      <c r="I2343" s="20">
        <v>1.90139042293393</v>
      </c>
      <c r="J2343" s="28">
        <v>5.7250893032798102E-2</v>
      </c>
      <c r="K2343" s="29">
        <v>0.56481480758588198</v>
      </c>
    </row>
    <row r="2344" spans="1:11" x14ac:dyDescent="0.35">
      <c r="A2344" s="9" t="str">
        <f>HYPERLINK("http://www.ensembl.org/id/WBGene00007556", "WBGene00007556")</f>
        <v>WBGene00007556</v>
      </c>
      <c r="B2344" s="9" t="str">
        <f>HYPERLINK("http://www.ncbi.nlm.nih.gov/gene/174633", "174633")</f>
        <v>174633</v>
      </c>
      <c r="C2344" s="9" t="str">
        <f>HYPERLINK("http://www.ncbi.nlm.nih.gov/gene/79796", "79796")</f>
        <v>79796</v>
      </c>
      <c r="D2344" t="str">
        <f>"algn-9"</f>
        <v>algn-9</v>
      </c>
      <c r="E2344" t="s">
        <v>1937</v>
      </c>
      <c r="F2344" t="s">
        <v>11</v>
      </c>
      <c r="G2344" t="s">
        <v>1938</v>
      </c>
      <c r="H2344" s="12">
        <v>-1.4754749555025399</v>
      </c>
      <c r="I2344" s="20">
        <v>-1.9011420050160399</v>
      </c>
      <c r="J2344" s="28">
        <v>5.7283414959400702E-2</v>
      </c>
      <c r="K2344" s="29">
        <v>0.56481480758588198</v>
      </c>
    </row>
    <row r="2345" spans="1:11" x14ac:dyDescent="0.35">
      <c r="A2345" s="9" t="str">
        <f>HYPERLINK("http://www.ensembl.org/id/WBGene00001612", "WBGene00001612")</f>
        <v>WBGene00001612</v>
      </c>
      <c r="B2345" s="9" t="str">
        <f>HYPERLINK("http://www.ncbi.nlm.nih.gov/gene/176204", "176204")</f>
        <v>176204</v>
      </c>
      <c r="C2345" s="9" t="str">
        <f>HYPERLINK("http://www.ncbi.nlm.nih.gov/gene/2892", "2892")</f>
        <v>2892</v>
      </c>
      <c r="D2345" t="str">
        <f>"glr-1"</f>
        <v>glr-1</v>
      </c>
      <c r="E2345" t="s">
        <v>1933</v>
      </c>
      <c r="F2345" t="s">
        <v>11</v>
      </c>
      <c r="G2345" t="s">
        <v>1934</v>
      </c>
      <c r="H2345" s="12">
        <v>1.8327324330083701</v>
      </c>
      <c r="I2345" s="20">
        <v>1.9015168997485501</v>
      </c>
      <c r="J2345" s="28">
        <v>5.7234341070812801E-2</v>
      </c>
      <c r="K2345" s="29">
        <v>0.56481480758588198</v>
      </c>
    </row>
    <row r="2346" spans="1:11" x14ac:dyDescent="0.35">
      <c r="A2346" s="9" t="str">
        <f>HYPERLINK("http://www.ensembl.org/id/WBGene00010912", "WBGene00010912")</f>
        <v>WBGene00010912</v>
      </c>
      <c r="B2346" s="9" t="str">
        <f>HYPERLINK("http://www.ncbi.nlm.nih.gov/gene/174672", "174672")</f>
        <v>174672</v>
      </c>
      <c r="C2346" s="9" t="str">
        <f>HYPERLINK("http://www.ncbi.nlm.nih.gov/gene/8833", "8833")</f>
        <v>8833</v>
      </c>
      <c r="D2346" t="str">
        <f>"gmps-1"</f>
        <v>gmps-1</v>
      </c>
      <c r="E2346" t="s">
        <v>1935</v>
      </c>
      <c r="F2346" t="s">
        <v>11</v>
      </c>
      <c r="G2346" t="s">
        <v>1936</v>
      </c>
      <c r="H2346" s="12">
        <v>-1.4322665474552101</v>
      </c>
      <c r="I2346" s="20">
        <v>-1.90103119045432</v>
      </c>
      <c r="J2346" s="28">
        <v>5.7297927334082399E-2</v>
      </c>
      <c r="K2346" s="29">
        <v>0.56481480758588198</v>
      </c>
    </row>
    <row r="2347" spans="1:11" x14ac:dyDescent="0.35">
      <c r="A2347" s="9" t="str">
        <f>HYPERLINK("http://www.ensembl.org/id/WBGene00008018", "WBGene00008018")</f>
        <v>WBGene00008018</v>
      </c>
      <c r="B2347" s="9" t="str">
        <f>HYPERLINK("http://www.ncbi.nlm.nih.gov/gene/176454", "176454")</f>
        <v>176454</v>
      </c>
      <c r="C2347" s="9" t="str">
        <f>HYPERLINK("http://www.ncbi.nlm.nih.gov/gene/129049", "129049")</f>
        <v>129049</v>
      </c>
      <c r="D2347" t="str">
        <f>"tbc-8"</f>
        <v>tbc-8</v>
      </c>
      <c r="E2347" t="s">
        <v>1649</v>
      </c>
      <c r="F2347" t="s">
        <v>11</v>
      </c>
      <c r="G2347" t="s">
        <v>1939</v>
      </c>
      <c r="H2347" s="12">
        <v>1.49706071823613</v>
      </c>
      <c r="I2347" s="20">
        <v>1.90065488045206</v>
      </c>
      <c r="J2347" s="28">
        <v>5.7347232054132703E-2</v>
      </c>
      <c r="K2347" s="29">
        <v>0.56505976283274595</v>
      </c>
    </row>
    <row r="2348" spans="1:11" x14ac:dyDescent="0.35">
      <c r="A2348" s="9" t="str">
        <f>HYPERLINK("http://www.ensembl.org/id/WBGene00010675", "WBGene00010675")</f>
        <v>WBGene00010675</v>
      </c>
      <c r="B2348" s="9" t="str">
        <f>HYPERLINK("http://www.ncbi.nlm.nih.gov/gene/178213", "178213")</f>
        <v>178213</v>
      </c>
      <c r="C2348" s="9"/>
      <c r="D2348" t="str">
        <f>"K08E7.8"</f>
        <v>K08E7.8</v>
      </c>
      <c r="F2348" t="s">
        <v>11</v>
      </c>
      <c r="G2348" t="s">
        <v>54</v>
      </c>
      <c r="H2348" s="12">
        <v>2.1186877974851401</v>
      </c>
      <c r="I2348" s="20">
        <v>1.9000986058490299</v>
      </c>
      <c r="J2348" s="28">
        <v>5.7420180637878002E-2</v>
      </c>
      <c r="K2348" s="29">
        <v>0.56553738014442001</v>
      </c>
    </row>
    <row r="2349" spans="1:11" x14ac:dyDescent="0.35">
      <c r="A2349" s="9" t="str">
        <f>HYPERLINK("http://www.ensembl.org/id/WBGene00003928", "WBGene00003928")</f>
        <v>WBGene00003928</v>
      </c>
      <c r="B2349" s="9" t="str">
        <f>HYPERLINK("http://www.ncbi.nlm.nih.gov/gene/174571", "174571")</f>
        <v>174571</v>
      </c>
      <c r="C2349" s="9" t="str">
        <f>HYPERLINK("http://www.ncbi.nlm.nih.gov/gene/5684", "5684")</f>
        <v>5684</v>
      </c>
      <c r="D2349" t="str">
        <f>"pas-7"</f>
        <v>pas-7</v>
      </c>
      <c r="E2349" t="s">
        <v>1940</v>
      </c>
      <c r="F2349" t="s">
        <v>11</v>
      </c>
      <c r="G2349" t="s">
        <v>1896</v>
      </c>
      <c r="H2349" s="12">
        <v>-1.4240772074688699</v>
      </c>
      <c r="I2349" s="20">
        <v>-1.8993447060172599</v>
      </c>
      <c r="J2349" s="28">
        <v>5.7519168479847303E-2</v>
      </c>
      <c r="K2349" s="29">
        <v>0.56607740620936298</v>
      </c>
    </row>
    <row r="2350" spans="1:11" x14ac:dyDescent="0.35">
      <c r="A2350" s="9" t="str">
        <f>HYPERLINK("http://www.ensembl.org/id/WBGene00012450", "WBGene00012450")</f>
        <v>WBGene00012450</v>
      </c>
      <c r="B2350" s="9" t="str">
        <f>HYPERLINK("http://www.ncbi.nlm.nih.gov/gene/189446", "189446")</f>
        <v>189446</v>
      </c>
      <c r="C2350" s="9"/>
      <c r="D2350" t="str">
        <f>"Y17D7B.2"</f>
        <v>Y17D7B.2</v>
      </c>
      <c r="F2350" t="s">
        <v>11</v>
      </c>
      <c r="H2350" s="12">
        <v>-2.4061604927629499</v>
      </c>
      <c r="I2350" s="20">
        <v>-1.89930786859388</v>
      </c>
      <c r="J2350" s="28">
        <v>5.7524008905893903E-2</v>
      </c>
      <c r="K2350" s="29">
        <v>0.56607740620936298</v>
      </c>
    </row>
    <row r="2351" spans="1:11" x14ac:dyDescent="0.35">
      <c r="A2351" s="9" t="str">
        <f>HYPERLINK("http://www.ensembl.org/id/WBGene00009406", "WBGene00009406")</f>
        <v>WBGene00009406</v>
      </c>
      <c r="B2351" s="9" t="str">
        <f>HYPERLINK("http://www.ncbi.nlm.nih.gov/gene/353401", "353401")</f>
        <v>353401</v>
      </c>
      <c r="C2351" s="9"/>
      <c r="D2351" t="str">
        <f>"F35C11.7"</f>
        <v>F35C11.7</v>
      </c>
      <c r="F2351" t="s">
        <v>11</v>
      </c>
      <c r="H2351" s="12">
        <v>1.98478756839055</v>
      </c>
      <c r="I2351" s="20">
        <v>1.89778009547825</v>
      </c>
      <c r="J2351" s="28">
        <v>5.77250563155031E-2</v>
      </c>
      <c r="K2351" s="29">
        <v>0.56619276849770495</v>
      </c>
    </row>
    <row r="2352" spans="1:11" x14ac:dyDescent="0.35">
      <c r="A2352" s="9" t="str">
        <f>HYPERLINK("http://www.ensembl.org/id/WBGene00010150", "WBGene00010150")</f>
        <v>WBGene00010150</v>
      </c>
      <c r="B2352" s="9" t="str">
        <f>HYPERLINK("http://www.ncbi.nlm.nih.gov/gene/177773", "177773")</f>
        <v>177773</v>
      </c>
      <c r="C2352" s="9"/>
      <c r="D2352" t="str">
        <f>"F56D5.6"</f>
        <v>F56D5.6</v>
      </c>
      <c r="F2352" t="s">
        <v>11</v>
      </c>
      <c r="H2352" s="12">
        <v>-1.5115748927889301</v>
      </c>
      <c r="I2352" s="20">
        <v>-1.89844264353156</v>
      </c>
      <c r="J2352" s="28">
        <v>5.7637796644449603E-2</v>
      </c>
      <c r="K2352" s="29">
        <v>0.56619276849770495</v>
      </c>
    </row>
    <row r="2353" spans="1:11" x14ac:dyDescent="0.35">
      <c r="A2353" s="9" t="str">
        <f>HYPERLINK("http://www.ensembl.org/id/WBGene00001412", "WBGene00001412")</f>
        <v>WBGene00001412</v>
      </c>
      <c r="B2353" s="9" t="str">
        <f>HYPERLINK("http://www.ncbi.nlm.nih.gov/gene/175217", "175217")</f>
        <v>175217</v>
      </c>
      <c r="C2353" s="9"/>
      <c r="D2353" t="str">
        <f>"fem-2"</f>
        <v>fem-2</v>
      </c>
      <c r="E2353" t="s">
        <v>1943</v>
      </c>
      <c r="F2353" t="s">
        <v>11</v>
      </c>
      <c r="G2353" t="s">
        <v>1944</v>
      </c>
      <c r="H2353" s="12">
        <v>-1.4323214494302099</v>
      </c>
      <c r="I2353" s="20">
        <v>-1.8978142543379299</v>
      </c>
      <c r="J2353" s="28">
        <v>5.7720554802444098E-2</v>
      </c>
      <c r="K2353" s="29">
        <v>0.56619276849770495</v>
      </c>
    </row>
    <row r="2354" spans="1:11" x14ac:dyDescent="0.35">
      <c r="A2354" s="9" t="str">
        <f>HYPERLINK("http://www.ensembl.org/id/WBGene00012441", "WBGene00012441")</f>
        <v>WBGene00012441</v>
      </c>
      <c r="B2354" s="9" t="str">
        <f>HYPERLINK("http://www.ncbi.nlm.nih.gov/gene/189438", "189438")</f>
        <v>189438</v>
      </c>
      <c r="C2354" s="9"/>
      <c r="D2354" t="str">
        <f>"glb-28"</f>
        <v>glb-28</v>
      </c>
      <c r="E2354" t="s">
        <v>633</v>
      </c>
      <c r="F2354" t="s">
        <v>11</v>
      </c>
      <c r="G2354" t="s">
        <v>634</v>
      </c>
      <c r="H2354" s="12">
        <v>3.05528116265446</v>
      </c>
      <c r="I2354" s="20">
        <v>1.8983140912288701</v>
      </c>
      <c r="J2354" s="28">
        <v>5.7654718809137397E-2</v>
      </c>
      <c r="K2354" s="29">
        <v>0.56619276849770495</v>
      </c>
    </row>
    <row r="2355" spans="1:11" x14ac:dyDescent="0.35">
      <c r="A2355" s="9" t="str">
        <f>HYPERLINK("http://www.ensembl.org/id/WBGene00015778", "WBGene00015778")</f>
        <v>WBGene00015778</v>
      </c>
      <c r="B2355" s="9" t="str">
        <f>HYPERLINK("http://www.ncbi.nlm.nih.gov/gene/180897", "180897")</f>
        <v>180897</v>
      </c>
      <c r="C2355" s="9" t="str">
        <f>HYPERLINK("http://www.ncbi.nlm.nih.gov/gene/2806", "2806")</f>
        <v>2806</v>
      </c>
      <c r="D2355" t="str">
        <f>"got-2.2"</f>
        <v>got-2.2</v>
      </c>
      <c r="E2355" t="s">
        <v>1945</v>
      </c>
      <c r="F2355" t="s">
        <v>11</v>
      </c>
      <c r="G2355" t="s">
        <v>1946</v>
      </c>
      <c r="H2355" s="12">
        <v>-1.43940358705744</v>
      </c>
      <c r="I2355" s="20">
        <v>-1.89772919187348</v>
      </c>
      <c r="J2355" s="28">
        <v>5.7731765021232298E-2</v>
      </c>
      <c r="K2355" s="29">
        <v>0.56619276849770495</v>
      </c>
    </row>
    <row r="2356" spans="1:11" x14ac:dyDescent="0.35">
      <c r="A2356" s="9" t="str">
        <f>HYPERLINK("http://www.ensembl.org/id/WBGene00016408", "WBGene00016408")</f>
        <v>WBGene00016408</v>
      </c>
      <c r="B2356" s="9" t="str">
        <f>HYPERLINK("http://www.ncbi.nlm.nih.gov/gene/175717", "175717")</f>
        <v>175717</v>
      </c>
      <c r="C2356" s="9"/>
      <c r="D2356" t="str">
        <f>"prmt-5"</f>
        <v>prmt-5</v>
      </c>
      <c r="E2356" t="s">
        <v>1947</v>
      </c>
      <c r="F2356" t="s">
        <v>11</v>
      </c>
      <c r="G2356" t="s">
        <v>1948</v>
      </c>
      <c r="H2356" s="12">
        <v>-1.4678518940146199</v>
      </c>
      <c r="I2356" s="20">
        <v>-1.8980760171131199</v>
      </c>
      <c r="J2356" s="28">
        <v>5.7686068940509802E-2</v>
      </c>
      <c r="K2356" s="29">
        <v>0.56619276849770495</v>
      </c>
    </row>
    <row r="2357" spans="1:11" x14ac:dyDescent="0.35">
      <c r="A2357" s="9" t="str">
        <f>HYPERLINK("http://www.ensembl.org/id/WBGene00011508", "WBGene00011508")</f>
        <v>WBGene00011508</v>
      </c>
      <c r="B2357" s="9" t="str">
        <f>HYPERLINK("http://www.ncbi.nlm.nih.gov/gene/174292", "174292")</f>
        <v>174292</v>
      </c>
      <c r="C2357" s="9"/>
      <c r="D2357" t="str">
        <f>"T05H10.3"</f>
        <v>T05H10.3</v>
      </c>
      <c r="F2357" t="s">
        <v>11</v>
      </c>
      <c r="H2357" s="12">
        <v>-2.4960840716868198</v>
      </c>
      <c r="I2357" s="20">
        <v>-1.8990265452556001</v>
      </c>
      <c r="J2357" s="28">
        <v>5.75609858761695E-2</v>
      </c>
      <c r="K2357" s="29">
        <v>0.56619276849770495</v>
      </c>
    </row>
    <row r="2358" spans="1:11" x14ac:dyDescent="0.35">
      <c r="A2358" s="9" t="str">
        <f>HYPERLINK("http://www.ensembl.org/id/WBGene00007428", "WBGene00007428")</f>
        <v>WBGene00007428</v>
      </c>
      <c r="B2358" s="9" t="str">
        <f>HYPERLINK("http://www.ncbi.nlm.nih.gov/gene/179410", "179410")</f>
        <v>179410</v>
      </c>
      <c r="C2358" s="9" t="str">
        <f>HYPERLINK("http://www.ncbi.nlm.nih.gov/gene/91833", "91833")</f>
        <v>91833</v>
      </c>
      <c r="D2358" t="str">
        <f>"wdr-20"</f>
        <v>wdr-20</v>
      </c>
      <c r="E2358" t="s">
        <v>1941</v>
      </c>
      <c r="F2358" t="s">
        <v>11</v>
      </c>
      <c r="G2358" t="s">
        <v>1942</v>
      </c>
      <c r="H2358" s="12">
        <v>-1.4312236755860099</v>
      </c>
      <c r="I2358" s="20">
        <v>-1.89883777902741</v>
      </c>
      <c r="J2358" s="28">
        <v>5.7585808272775998E-2</v>
      </c>
      <c r="K2358" s="29">
        <v>0.56619276849770495</v>
      </c>
    </row>
    <row r="2359" spans="1:11" x14ac:dyDescent="0.35">
      <c r="A2359" s="9" t="str">
        <f>HYPERLINK("http://www.ensembl.org/id/WBGene00001393", "WBGene00001393")</f>
        <v>WBGene00001393</v>
      </c>
      <c r="B2359" s="9" t="str">
        <f>HYPERLINK("http://www.ncbi.nlm.nih.gov/gene/178291", "178291")</f>
        <v>178291</v>
      </c>
      <c r="C2359" s="9"/>
      <c r="D2359" t="str">
        <f>"fat-1"</f>
        <v>fat-1</v>
      </c>
      <c r="E2359" t="s">
        <v>1949</v>
      </c>
      <c r="F2359" t="s">
        <v>11</v>
      </c>
      <c r="G2359" t="s">
        <v>29</v>
      </c>
      <c r="H2359" s="12">
        <v>-1.40266386501367</v>
      </c>
      <c r="I2359" s="20">
        <v>-1.8973561267594501</v>
      </c>
      <c r="J2359" s="28">
        <v>5.7780951932813997E-2</v>
      </c>
      <c r="K2359" s="29">
        <v>0.56619451881238303</v>
      </c>
    </row>
    <row r="2360" spans="1:11" x14ac:dyDescent="0.35">
      <c r="A2360" s="9" t="str">
        <f>HYPERLINK("http://www.ensembl.org/id/WBGene00002228", "WBGene00002228")</f>
        <v>WBGene00002228</v>
      </c>
      <c r="B2360" s="9" t="str">
        <f>HYPERLINK("http://www.ncbi.nlm.nih.gov/gene/177474", "177474")</f>
        <v>177474</v>
      </c>
      <c r="C2360" s="9"/>
      <c r="D2360" t="str">
        <f>"klp-18"</f>
        <v>klp-18</v>
      </c>
      <c r="E2360" t="s">
        <v>1950</v>
      </c>
      <c r="F2360" t="s">
        <v>11</v>
      </c>
      <c r="G2360" t="s">
        <v>1951</v>
      </c>
      <c r="H2360" s="12">
        <v>-1.4916671037714899</v>
      </c>
      <c r="I2360" s="20">
        <v>-1.8974709286015301</v>
      </c>
      <c r="J2360" s="28">
        <v>5.7765812131402902E-2</v>
      </c>
      <c r="K2360" s="29">
        <v>0.56619451881238303</v>
      </c>
    </row>
    <row r="2361" spans="1:11" x14ac:dyDescent="0.35">
      <c r="A2361" s="9" t="str">
        <f>HYPERLINK("http://www.ensembl.org/id/WBGene00008953", "WBGene00008953")</f>
        <v>WBGene00008953</v>
      </c>
      <c r="B2361" s="9" t="str">
        <f>HYPERLINK("http://www.ncbi.nlm.nih.gov/gene/184676", "184676")</f>
        <v>184676</v>
      </c>
      <c r="C2361" s="9"/>
      <c r="D2361" t="str">
        <f>"F19C6.4"</f>
        <v>F19C6.4</v>
      </c>
      <c r="F2361" t="s">
        <v>11</v>
      </c>
      <c r="H2361" s="12">
        <v>-1.54818480481356</v>
      </c>
      <c r="I2361" s="20">
        <v>-1.8968081225454501</v>
      </c>
      <c r="J2361" s="28">
        <v>5.7853266917352597E-2</v>
      </c>
      <c r="K2361" s="29">
        <v>0.56666281703787602</v>
      </c>
    </row>
    <row r="2362" spans="1:11" x14ac:dyDescent="0.35">
      <c r="A2362" s="9" t="str">
        <f>HYPERLINK("http://www.ensembl.org/id/WBGene00206460", "WBGene00206460")</f>
        <v>WBGene00206460</v>
      </c>
      <c r="B2362" s="9" t="str">
        <f>HYPERLINK("http://www.ncbi.nlm.nih.gov/gene/13215861", "13215861")</f>
        <v>13215861</v>
      </c>
      <c r="C2362" s="9"/>
      <c r="D2362" t="str">
        <f>"F56H9.9"</f>
        <v>F56H9.9</v>
      </c>
      <c r="F2362" t="s">
        <v>11</v>
      </c>
      <c r="G2362" t="s">
        <v>25</v>
      </c>
      <c r="H2362" s="12">
        <v>2.9940275021316101</v>
      </c>
      <c r="I2362" s="20">
        <v>1.89631716563526</v>
      </c>
      <c r="J2362" s="28">
        <v>5.7918117773110303E-2</v>
      </c>
      <c r="K2362" s="29">
        <v>0.56705763951927401</v>
      </c>
    </row>
    <row r="2363" spans="1:11" x14ac:dyDescent="0.35">
      <c r="A2363" s="9" t="str">
        <f>HYPERLINK("http://www.ensembl.org/id/WBGene00044643", "WBGene00044643")</f>
        <v>WBGene00044643</v>
      </c>
      <c r="B2363" s="9" t="str">
        <f>HYPERLINK("http://www.ncbi.nlm.nih.gov/gene/3896727", "3896727")</f>
        <v>3896727</v>
      </c>
      <c r="C2363" s="9"/>
      <c r="D2363" t="str">
        <f>"H17B01.5"</f>
        <v>H17B01.5</v>
      </c>
      <c r="F2363" t="s">
        <v>11</v>
      </c>
      <c r="H2363" s="12">
        <v>1.70266647651742</v>
      </c>
      <c r="I2363" s="20">
        <v>1.89580273889229</v>
      </c>
      <c r="J2363" s="28">
        <v>5.7986133582209297E-2</v>
      </c>
      <c r="K2363" s="29">
        <v>0.56715924997565703</v>
      </c>
    </row>
    <row r="2364" spans="1:11" x14ac:dyDescent="0.35">
      <c r="A2364" s="9" t="str">
        <f>HYPERLINK("http://www.ensembl.org/id/WBGene00015767", "WBGene00015767")</f>
        <v>WBGene00015767</v>
      </c>
      <c r="B2364" s="9" t="str">
        <f>HYPERLINK("http://www.ncbi.nlm.nih.gov/gene/178951", "178951")</f>
        <v>178951</v>
      </c>
      <c r="C2364" s="9" t="str">
        <f>HYPERLINK("http://www.ncbi.nlm.nih.gov/gene/284004", "284004")</f>
        <v>284004</v>
      </c>
      <c r="D2364" t="str">
        <f>"hex-2"</f>
        <v>hex-2</v>
      </c>
      <c r="E2364" t="s">
        <v>1952</v>
      </c>
      <c r="F2364" t="s">
        <v>11</v>
      </c>
      <c r="G2364" t="s">
        <v>1953</v>
      </c>
      <c r="H2364" s="12">
        <v>1.43948452949005</v>
      </c>
      <c r="I2364" s="20">
        <v>1.8958063051821701</v>
      </c>
      <c r="J2364" s="28">
        <v>5.7985661830721201E-2</v>
      </c>
      <c r="K2364" s="29">
        <v>0.56715924997565703</v>
      </c>
    </row>
    <row r="2365" spans="1:11" x14ac:dyDescent="0.35">
      <c r="A2365" s="9" t="str">
        <f>HYPERLINK("http://www.ensembl.org/id/WBGene00003209", "WBGene00003209")</f>
        <v>WBGene00003209</v>
      </c>
      <c r="B2365" s="9" t="str">
        <f>HYPERLINK("http://www.ncbi.nlm.nih.gov/gene/172737", "172737")</f>
        <v>172737</v>
      </c>
      <c r="C2365" s="9"/>
      <c r="D2365" t="str">
        <f>"mel-26"</f>
        <v>mel-26</v>
      </c>
      <c r="E2365" t="s">
        <v>1954</v>
      </c>
      <c r="F2365" t="s">
        <v>11</v>
      </c>
      <c r="G2365" t="s">
        <v>54</v>
      </c>
      <c r="H2365" s="12">
        <v>-1.4229241404464299</v>
      </c>
      <c r="I2365" s="20">
        <v>-1.8956817953102301</v>
      </c>
      <c r="J2365" s="28">
        <v>5.80021339778619E-2</v>
      </c>
      <c r="K2365" s="29">
        <v>0.56715924997565703</v>
      </c>
    </row>
    <row r="2366" spans="1:11" x14ac:dyDescent="0.35">
      <c r="A2366" s="9" t="str">
        <f>HYPERLINK("http://www.ensembl.org/id/WBGene00018472", "WBGene00018472")</f>
        <v>WBGene00018472</v>
      </c>
      <c r="B2366" s="9" t="str">
        <f>HYPERLINK("http://www.ncbi.nlm.nih.gov/gene/177541", "177541")</f>
        <v>177541</v>
      </c>
      <c r="C2366" s="9"/>
      <c r="D2366" t="str">
        <f>"nep-16"</f>
        <v>nep-16</v>
      </c>
      <c r="E2366" t="s">
        <v>683</v>
      </c>
      <c r="F2366" t="s">
        <v>11</v>
      </c>
      <c r="G2366" t="s">
        <v>1955</v>
      </c>
      <c r="H2366" s="12">
        <v>2.50025326525137</v>
      </c>
      <c r="I2366" s="20">
        <v>1.89511594885505</v>
      </c>
      <c r="J2366" s="28">
        <v>5.8077042150651598E-2</v>
      </c>
      <c r="K2366" s="29">
        <v>0.56759672477726297</v>
      </c>
    </row>
    <row r="2367" spans="1:11" x14ac:dyDescent="0.35">
      <c r="A2367" s="9" t="str">
        <f>HYPERLINK("http://www.ensembl.org/id/WBGene00011068", "WBGene00011068")</f>
        <v>WBGene00011068</v>
      </c>
      <c r="B2367" s="9" t="str">
        <f>HYPERLINK("http://www.ncbi.nlm.nih.gov/gene/174662", "174662")</f>
        <v>174662</v>
      </c>
      <c r="C2367" s="9"/>
      <c r="D2367" t="str">
        <f>"set-14"</f>
        <v>set-14</v>
      </c>
      <c r="E2367" t="s">
        <v>1956</v>
      </c>
      <c r="F2367" t="s">
        <v>11</v>
      </c>
      <c r="G2367" t="s">
        <v>1957</v>
      </c>
      <c r="H2367" s="12">
        <v>-1.51060656721807</v>
      </c>
      <c r="I2367" s="20">
        <v>-1.89497281442081</v>
      </c>
      <c r="J2367" s="28">
        <v>5.80960033799977E-2</v>
      </c>
      <c r="K2367" s="29">
        <v>0.56759672477726297</v>
      </c>
    </row>
    <row r="2368" spans="1:11" x14ac:dyDescent="0.35">
      <c r="A2368" s="9" t="str">
        <f>HYPERLINK("http://www.ensembl.org/id/WBGene00010434", "WBGene00010434")</f>
        <v>WBGene00010434</v>
      </c>
      <c r="B2368" s="9" t="str">
        <f>HYPERLINK("http://www.ncbi.nlm.nih.gov/gene/186810", "186810")</f>
        <v>186810</v>
      </c>
      <c r="C2368" s="9"/>
      <c r="D2368" t="str">
        <f>"H40L08.3"</f>
        <v>H40L08.3</v>
      </c>
      <c r="F2368" t="s">
        <v>11</v>
      </c>
      <c r="H2368" s="12">
        <v>2.9079741711072602</v>
      </c>
      <c r="I2368" s="20">
        <v>1.89431113352175</v>
      </c>
      <c r="J2368" s="28">
        <v>5.8183724088814101E-2</v>
      </c>
      <c r="K2368" s="29">
        <v>0.56821349484198602</v>
      </c>
    </row>
    <row r="2369" spans="1:11" x14ac:dyDescent="0.35">
      <c r="A2369" s="9" t="str">
        <f>HYPERLINK("http://www.ensembl.org/id/WBGene00015578", "WBGene00015578")</f>
        <v>WBGene00015578</v>
      </c>
      <c r="B2369" s="9" t="str">
        <f>HYPERLINK("http://www.ncbi.nlm.nih.gov/gene/178773", "178773")</f>
        <v>178773</v>
      </c>
      <c r="C2369" s="9"/>
      <c r="D2369" t="str">
        <f>"C07G3.10"</f>
        <v>C07G3.10</v>
      </c>
      <c r="F2369" t="s">
        <v>11</v>
      </c>
      <c r="G2369" t="s">
        <v>129</v>
      </c>
      <c r="H2369" s="12">
        <v>-43.794152237042802</v>
      </c>
      <c r="I2369" s="20">
        <v>-1.89394175382404</v>
      </c>
      <c r="J2369" s="28">
        <v>5.8232741534827201E-2</v>
      </c>
      <c r="K2369" s="29">
        <v>0.56845193320816101</v>
      </c>
    </row>
    <row r="2370" spans="1:11" x14ac:dyDescent="0.35">
      <c r="A2370" s="9" t="str">
        <f>HYPERLINK("http://www.ensembl.org/id/WBGene00007919", "WBGene00007919")</f>
        <v>WBGene00007919</v>
      </c>
      <c r="B2370" s="9" t="str">
        <f>HYPERLINK("http://www.ncbi.nlm.nih.gov/gene/174393", "174393")</f>
        <v>174393</v>
      </c>
      <c r="C2370" s="9"/>
      <c r="D2370" t="str">
        <f>"cup-16"</f>
        <v>cup-16</v>
      </c>
      <c r="F2370" t="s">
        <v>11</v>
      </c>
      <c r="G2370" t="s">
        <v>1958</v>
      </c>
      <c r="H2370" s="12">
        <v>-1.4857296647425999</v>
      </c>
      <c r="I2370" s="20">
        <v>-1.89260361789461</v>
      </c>
      <c r="J2370" s="28">
        <v>5.84106022839277E-2</v>
      </c>
      <c r="K2370" s="29">
        <v>0.56970678614285897</v>
      </c>
    </row>
    <row r="2371" spans="1:11" x14ac:dyDescent="0.35">
      <c r="A2371" s="9" t="str">
        <f>HYPERLINK("http://www.ensembl.org/id/WBGene00010077", "WBGene00010077")</f>
        <v>WBGene00010077</v>
      </c>
      <c r="B2371" s="9" t="str">
        <f>HYPERLINK("http://www.ncbi.nlm.nih.gov/gene/186276", "186276")</f>
        <v>186276</v>
      </c>
      <c r="C2371" s="9" t="str">
        <f>HYPERLINK("http://www.ncbi.nlm.nih.gov/gene/114789", "114789")</f>
        <v>114789</v>
      </c>
      <c r="D2371" t="str">
        <f>"F55A11.4"</f>
        <v>F55A11.4</v>
      </c>
      <c r="F2371" t="s">
        <v>11</v>
      </c>
      <c r="G2371" t="s">
        <v>1959</v>
      </c>
      <c r="H2371" s="12">
        <v>-1.5928373956258699</v>
      </c>
      <c r="I2371" s="20">
        <v>-1.8926221723155401</v>
      </c>
      <c r="J2371" s="28">
        <v>5.84081330080327E-2</v>
      </c>
      <c r="K2371" s="29">
        <v>0.56970678614285897</v>
      </c>
    </row>
    <row r="2372" spans="1:11" x14ac:dyDescent="0.35">
      <c r="A2372" s="9" t="str">
        <f>HYPERLINK("http://www.ensembl.org/id/WBGene00005647", "WBGene00005647")</f>
        <v>WBGene00005647</v>
      </c>
      <c r="B2372" s="9" t="str">
        <f>HYPERLINK("http://www.ncbi.nlm.nih.gov/gene/179125", "179125")</f>
        <v>179125</v>
      </c>
      <c r="C2372" s="9" t="str">
        <f>HYPERLINK("http://www.ncbi.nlm.nih.gov/gene/6318", "6318")</f>
        <v>6318</v>
      </c>
      <c r="D2372" t="str">
        <f>"srp-6"</f>
        <v>srp-6</v>
      </c>
      <c r="E2372" t="s">
        <v>1960</v>
      </c>
      <c r="F2372" t="s">
        <v>11</v>
      </c>
      <c r="G2372" t="s">
        <v>1961</v>
      </c>
      <c r="H2372" s="12">
        <v>1.438874490653</v>
      </c>
      <c r="I2372" s="20">
        <v>1.8920785329087</v>
      </c>
      <c r="J2372" s="28">
        <v>5.8480518067895303E-2</v>
      </c>
      <c r="K2372" s="29">
        <v>0.57014803817586002</v>
      </c>
    </row>
    <row r="2373" spans="1:11" x14ac:dyDescent="0.35">
      <c r="A2373" s="9" t="str">
        <f>HYPERLINK("http://www.ensembl.org/id/WBGene00021440", "WBGene00021440")</f>
        <v>WBGene00021440</v>
      </c>
      <c r="B2373" s="9" t="str">
        <f>HYPERLINK("http://www.ncbi.nlm.nih.gov/gene/175329", "175329")</f>
        <v>175329</v>
      </c>
      <c r="C2373" s="9"/>
      <c r="D2373" t="str">
        <f>"Y39A3CL.1"</f>
        <v>Y39A3CL.1</v>
      </c>
      <c r="F2373" t="s">
        <v>11</v>
      </c>
      <c r="H2373" s="12">
        <v>-1.48344951809173</v>
      </c>
      <c r="I2373" s="20">
        <v>-1.8917500991721199</v>
      </c>
      <c r="J2373" s="28">
        <v>5.8524284794922499E-2</v>
      </c>
      <c r="K2373" s="29">
        <v>0.57033408876907599</v>
      </c>
    </row>
    <row r="2374" spans="1:11" x14ac:dyDescent="0.35">
      <c r="A2374" s="9" t="str">
        <f>HYPERLINK("http://www.ensembl.org/id/WBGene00184990", "WBGene00184990")</f>
        <v>WBGene00184990</v>
      </c>
      <c r="B2374" s="9" t="str">
        <f>HYPERLINK("http://www.ncbi.nlm.nih.gov/gene/13189011", "13189011")</f>
        <v>13189011</v>
      </c>
      <c r="C2374" s="9"/>
      <c r="D2374" t="str">
        <f>"C14B1.12"</f>
        <v>C14B1.12</v>
      </c>
      <c r="F2374" t="s">
        <v>11</v>
      </c>
      <c r="H2374" s="12">
        <v>-1.7255827005182101</v>
      </c>
      <c r="I2374" s="20">
        <v>-1.8911947416655399</v>
      </c>
      <c r="J2374" s="28">
        <v>5.8598353031501502E-2</v>
      </c>
      <c r="K2374" s="29">
        <v>0.57035181324639395</v>
      </c>
    </row>
    <row r="2375" spans="1:11" x14ac:dyDescent="0.35">
      <c r="A2375" s="9" t="str">
        <f>HYPERLINK("http://www.ensembl.org/id/WBGene00021709", "WBGene00021709")</f>
        <v>WBGene00021709</v>
      </c>
      <c r="B2375" s="9" t="str">
        <f>HYPERLINK("http://www.ncbi.nlm.nih.gov/gene/178581", "178581")</f>
        <v>178581</v>
      </c>
      <c r="C2375" s="9"/>
      <c r="D2375" t="str">
        <f>"ugt-29"</f>
        <v>ugt-29</v>
      </c>
      <c r="E2375" t="s">
        <v>103</v>
      </c>
      <c r="F2375" t="s">
        <v>11</v>
      </c>
      <c r="G2375" t="s">
        <v>104</v>
      </c>
      <c r="H2375" s="12">
        <v>1.6132895887273599</v>
      </c>
      <c r="I2375" s="20">
        <v>1.89118123039101</v>
      </c>
      <c r="J2375" s="28">
        <v>5.8600156004801299E-2</v>
      </c>
      <c r="K2375" s="29">
        <v>0.57035181324639395</v>
      </c>
    </row>
    <row r="2376" spans="1:11" x14ac:dyDescent="0.35">
      <c r="A2376" s="9" t="str">
        <f>HYPERLINK("http://www.ensembl.org/id/WBGene00013701", "WBGene00013701")</f>
        <v>WBGene00013701</v>
      </c>
      <c r="B2376" s="9" t="str">
        <f>HYPERLINK("http://www.ncbi.nlm.nih.gov/gene/172876", "172876")</f>
        <v>172876</v>
      </c>
      <c r="C2376" s="9"/>
      <c r="D2376" t="str">
        <f>"Y106G6D.4"</f>
        <v>Y106G6D.4</v>
      </c>
      <c r="F2376" t="s">
        <v>11</v>
      </c>
      <c r="G2376" t="s">
        <v>1962</v>
      </c>
      <c r="H2376" s="12">
        <v>3.2799844343835001</v>
      </c>
      <c r="I2376" s="20">
        <v>1.8913364805949999</v>
      </c>
      <c r="J2376" s="28">
        <v>5.8579441862799897E-2</v>
      </c>
      <c r="K2376" s="29">
        <v>0.57035181324639395</v>
      </c>
    </row>
    <row r="2377" spans="1:11" x14ac:dyDescent="0.35">
      <c r="A2377" s="9" t="str">
        <f>HYPERLINK("http://www.ensembl.org/id/WBGene00012391", "WBGene00012391")</f>
        <v>WBGene00012391</v>
      </c>
      <c r="B2377" s="9" t="str">
        <f>HYPERLINK("http://www.ncbi.nlm.nih.gov/gene/189369", "189369")</f>
        <v>189369</v>
      </c>
      <c r="C2377" s="9"/>
      <c r="D2377" t="str">
        <f>"Y6B3B.7"</f>
        <v>Y6B3B.7</v>
      </c>
      <c r="F2377" t="s">
        <v>11</v>
      </c>
      <c r="G2377" t="s">
        <v>25</v>
      </c>
      <c r="H2377" s="12">
        <v>1.86246719145633</v>
      </c>
      <c r="I2377" s="20">
        <v>1.8905945602637</v>
      </c>
      <c r="J2377" s="28">
        <v>5.8678486960020801E-2</v>
      </c>
      <c r="K2377" s="29">
        <v>0.57087373460978497</v>
      </c>
    </row>
    <row r="2378" spans="1:11" x14ac:dyDescent="0.35">
      <c r="A2378" s="9" t="str">
        <f>HYPERLINK("http://www.ensembl.org/id/WBGene00008361", "WBGene00008361")</f>
        <v>WBGene00008361</v>
      </c>
      <c r="B2378" s="9" t="str">
        <f>HYPERLINK("http://www.ncbi.nlm.nih.gov/gene/174777", "174777")</f>
        <v>174777</v>
      </c>
      <c r="C2378" s="9"/>
      <c r="D2378" t="str">
        <f>"D1043.1"</f>
        <v>D1043.1</v>
      </c>
      <c r="F2378" t="s">
        <v>11</v>
      </c>
      <c r="G2378" t="s">
        <v>1963</v>
      </c>
      <c r="H2378" s="12">
        <v>-1.4949400037741201</v>
      </c>
      <c r="I2378" s="20">
        <v>-1.89033900266611</v>
      </c>
      <c r="J2378" s="28">
        <v>5.87126356472365E-2</v>
      </c>
      <c r="K2378" s="29">
        <v>0.57093403793233399</v>
      </c>
    </row>
    <row r="2379" spans="1:11" x14ac:dyDescent="0.35">
      <c r="A2379" s="9" t="str">
        <f>HYPERLINK("http://www.ensembl.org/id/WBGene00021512", "WBGene00021512")</f>
        <v>WBGene00021512</v>
      </c>
      <c r="B2379" s="9" t="str">
        <f>HYPERLINK("http://www.ncbi.nlm.nih.gov/gene/176976", "176976")</f>
        <v>176976</v>
      </c>
      <c r="C2379" s="9"/>
      <c r="D2379" t="str">
        <f>"Y41D4B.4"</f>
        <v>Y41D4B.4</v>
      </c>
      <c r="F2379" t="s">
        <v>11</v>
      </c>
      <c r="G2379" t="s">
        <v>54</v>
      </c>
      <c r="H2379" s="12">
        <v>-1.5538965892766201</v>
      </c>
      <c r="I2379" s="20">
        <v>-1.89017840335391</v>
      </c>
      <c r="J2379" s="28">
        <v>5.8734104049388003E-2</v>
      </c>
      <c r="K2379" s="29">
        <v>0.57093403793233399</v>
      </c>
    </row>
    <row r="2380" spans="1:11" x14ac:dyDescent="0.35">
      <c r="A2380" s="9" t="str">
        <f>HYPERLINK("http://www.ensembl.org/id/WBGene00015495", "WBGene00015495")</f>
        <v>WBGene00015495</v>
      </c>
      <c r="B2380" s="9" t="str">
        <f>HYPERLINK("http://www.ncbi.nlm.nih.gov/gene/182273", "182273")</f>
        <v>182273</v>
      </c>
      <c r="C2380" s="9"/>
      <c r="D2380" t="str">
        <f>"C05E11.6"</f>
        <v>C05E11.6</v>
      </c>
      <c r="F2380" t="s">
        <v>11</v>
      </c>
      <c r="G2380" t="s">
        <v>1964</v>
      </c>
      <c r="H2380" s="12">
        <v>1.9183871317915799</v>
      </c>
      <c r="I2380" s="20">
        <v>1.8890768979139501</v>
      </c>
      <c r="J2380" s="28">
        <v>5.8881525508477202E-2</v>
      </c>
      <c r="K2380" s="29">
        <v>0.57210744045857698</v>
      </c>
    </row>
    <row r="2381" spans="1:11" x14ac:dyDescent="0.35">
      <c r="A2381" s="9" t="str">
        <f>HYPERLINK("http://www.ensembl.org/id/WBGene00007971", "WBGene00007971")</f>
        <v>WBGene00007971</v>
      </c>
      <c r="B2381" s="9" t="str">
        <f>HYPERLINK("http://www.ncbi.nlm.nih.gov/gene/172680", "172680")</f>
        <v>172680</v>
      </c>
      <c r="C2381" s="9" t="str">
        <f>HYPERLINK("http://www.ncbi.nlm.nih.gov/gene/5432", "5432")</f>
        <v>5432</v>
      </c>
      <c r="D2381" t="str">
        <f>"rpb-3"</f>
        <v>rpb-3</v>
      </c>
      <c r="E2381" t="s">
        <v>1965</v>
      </c>
      <c r="F2381" t="s">
        <v>11</v>
      </c>
      <c r="G2381" t="s">
        <v>1966</v>
      </c>
      <c r="H2381" s="12">
        <v>-1.49835645711351</v>
      </c>
      <c r="I2381" s="20">
        <v>-1.88890666254245</v>
      </c>
      <c r="J2381" s="28">
        <v>5.8904336572793002E-2</v>
      </c>
      <c r="K2381" s="29">
        <v>0.57210744045857698</v>
      </c>
    </row>
    <row r="2382" spans="1:11" x14ac:dyDescent="0.35">
      <c r="A2382" s="9" t="str">
        <f>HYPERLINK("http://www.ensembl.org/id/WBGene00012512", "WBGene00012512")</f>
        <v>WBGene00012512</v>
      </c>
      <c r="B2382" s="9" t="str">
        <f>HYPERLINK("http://www.ncbi.nlm.nih.gov/gene/181500", "181500")</f>
        <v>181500</v>
      </c>
      <c r="C2382" s="9"/>
      <c r="D2382" t="str">
        <f>"ekl-5"</f>
        <v>ekl-5</v>
      </c>
      <c r="F2382" t="s">
        <v>11</v>
      </c>
      <c r="H2382" s="12">
        <v>-1.46058155020044</v>
      </c>
      <c r="I2382" s="20">
        <v>-1.88818707818341</v>
      </c>
      <c r="J2382" s="28">
        <v>5.9000839932963497E-2</v>
      </c>
      <c r="K2382" s="29">
        <v>0.57280395272733398</v>
      </c>
    </row>
    <row r="2383" spans="1:11" x14ac:dyDescent="0.35">
      <c r="A2383" s="9" t="str">
        <f>HYPERLINK("http://www.ensembl.org/id/WBGene00006491", "WBGene00006491")</f>
        <v>WBGene00006491</v>
      </c>
      <c r="B2383" s="9" t="str">
        <f>HYPERLINK("http://www.ncbi.nlm.nih.gov/gene/178095", "178095")</f>
        <v>178095</v>
      </c>
      <c r="C2383" s="9" t="str">
        <f>HYPERLINK("http://www.ncbi.nlm.nih.gov/gene/6901", "6901")</f>
        <v>6901</v>
      </c>
      <c r="D2383" t="str">
        <f>"acl-3"</f>
        <v>acl-3</v>
      </c>
      <c r="E2383" t="s">
        <v>1967</v>
      </c>
      <c r="F2383" t="s">
        <v>11</v>
      </c>
      <c r="G2383" t="s">
        <v>1968</v>
      </c>
      <c r="H2383" s="12">
        <v>-1.56017175000765</v>
      </c>
      <c r="I2383" s="20">
        <v>-1.88775929435652</v>
      </c>
      <c r="J2383" s="28">
        <v>5.9058272142145402E-2</v>
      </c>
      <c r="K2383" s="29">
        <v>0.572856500519899</v>
      </c>
    </row>
    <row r="2384" spans="1:11" x14ac:dyDescent="0.35">
      <c r="A2384" s="9" t="str">
        <f>HYPERLINK("http://www.ensembl.org/id/WBGene00009000", "WBGene00009000")</f>
        <v>WBGene00009000</v>
      </c>
      <c r="B2384" s="9" t="str">
        <f>HYPERLINK("http://www.ncbi.nlm.nih.gov/gene/184759", "184759")</f>
        <v>184759</v>
      </c>
      <c r="C2384" s="9"/>
      <c r="D2384" t="str">
        <f>"arrd-28"</f>
        <v>arrd-28</v>
      </c>
      <c r="E2384" t="s">
        <v>377</v>
      </c>
      <c r="F2384" t="s">
        <v>11</v>
      </c>
      <c r="G2384" t="s">
        <v>378</v>
      </c>
      <c r="H2384" s="12">
        <v>4.3047423058239103</v>
      </c>
      <c r="I2384" s="20">
        <v>1.88759285394865</v>
      </c>
      <c r="J2384" s="28">
        <v>5.9080630171337301E-2</v>
      </c>
      <c r="K2384" s="29">
        <v>0.572856500519899</v>
      </c>
    </row>
    <row r="2385" spans="1:11" x14ac:dyDescent="0.35">
      <c r="A2385" s="9" t="str">
        <f>HYPERLINK("http://www.ensembl.org/id/WBGene00011103", "WBGene00011103")</f>
        <v>WBGene00011103</v>
      </c>
      <c r="B2385" s="9" t="str">
        <f>HYPERLINK("http://www.ncbi.nlm.nih.gov/gene/187676", "187676")</f>
        <v>187676</v>
      </c>
      <c r="C2385" s="9"/>
      <c r="D2385" t="str">
        <f>"R07E3.2"</f>
        <v>R07E3.2</v>
      </c>
      <c r="F2385" t="s">
        <v>11</v>
      </c>
      <c r="H2385" s="12">
        <v>2.0792912254046101</v>
      </c>
      <c r="I2385" s="20">
        <v>1.8878861711211099</v>
      </c>
      <c r="J2385" s="28">
        <v>5.90412334362782E-2</v>
      </c>
      <c r="K2385" s="29">
        <v>0.572856500519899</v>
      </c>
    </row>
    <row r="2386" spans="1:11" x14ac:dyDescent="0.35">
      <c r="A2386" s="9" t="str">
        <f>HYPERLINK("http://www.ensembl.org/id/WBGene00002008", "WBGene00002008")</f>
        <v>WBGene00002008</v>
      </c>
      <c r="B2386" s="9" t="str">
        <f>HYPERLINK("http://www.ncbi.nlm.nih.gov/gene/174203", "174203")</f>
        <v>174203</v>
      </c>
      <c r="C2386" s="9" t="str">
        <f>HYPERLINK("http://www.ncbi.nlm.nih.gov/gene/3309", "3309")</f>
        <v>3309</v>
      </c>
      <c r="D2386" t="str">
        <f>"hsp-4"</f>
        <v>hsp-4</v>
      </c>
      <c r="E2386" t="s">
        <v>1969</v>
      </c>
      <c r="F2386" t="s">
        <v>11</v>
      </c>
      <c r="G2386" t="s">
        <v>1970</v>
      </c>
      <c r="H2386" s="12">
        <v>-1.45441154319077</v>
      </c>
      <c r="I2386" s="20">
        <v>-1.8870480865194299</v>
      </c>
      <c r="J2386" s="28">
        <v>5.91538582084691E-2</v>
      </c>
      <c r="K2386" s="29">
        <v>0.57332594285439897</v>
      </c>
    </row>
    <row r="2387" spans="1:11" x14ac:dyDescent="0.35">
      <c r="A2387" s="9" t="str">
        <f>HYPERLINK("http://www.ensembl.org/id/WBGene00044469", "WBGene00044469")</f>
        <v>WBGene00044469</v>
      </c>
      <c r="B2387" s="9" t="str">
        <f>HYPERLINK("http://www.ncbi.nlm.nih.gov/gene/3896782", "3896782")</f>
        <v>3896782</v>
      </c>
      <c r="C2387" s="9"/>
      <c r="D2387" t="str">
        <f>"clec-173"</f>
        <v>clec-173</v>
      </c>
      <c r="E2387" t="s">
        <v>46</v>
      </c>
      <c r="F2387" t="s">
        <v>11</v>
      </c>
      <c r="G2387" t="s">
        <v>47</v>
      </c>
      <c r="H2387" s="12">
        <v>1.66793870098077</v>
      </c>
      <c r="I2387" s="20">
        <v>1.88645704574452</v>
      </c>
      <c r="J2387" s="28">
        <v>5.9233391529778599E-2</v>
      </c>
      <c r="K2387" s="29">
        <v>0.57385607743692402</v>
      </c>
    </row>
    <row r="2388" spans="1:11" x14ac:dyDescent="0.35">
      <c r="A2388" s="9" t="str">
        <f>HYPERLINK("http://www.ensembl.org/id/WBGene00000529", "WBGene00000529")</f>
        <v>WBGene00000529</v>
      </c>
      <c r="B2388" s="9" t="str">
        <f>HYPERLINK("http://www.ncbi.nlm.nih.gov/gene/174738", "174738")</f>
        <v>174738</v>
      </c>
      <c r="C2388" s="9"/>
      <c r="D2388" t="str">
        <f>"clh-2"</f>
        <v>clh-2</v>
      </c>
      <c r="E2388" t="s">
        <v>1074</v>
      </c>
      <c r="F2388" t="s">
        <v>11</v>
      </c>
      <c r="G2388" t="s">
        <v>1975</v>
      </c>
      <c r="H2388" s="12">
        <v>1.5310643383745299</v>
      </c>
      <c r="I2388" s="20">
        <v>1.8858604909783101</v>
      </c>
      <c r="J2388" s="28">
        <v>5.9313756813261197E-2</v>
      </c>
      <c r="K2388" s="29">
        <v>0.57390870427232499</v>
      </c>
    </row>
    <row r="2389" spans="1:11" x14ac:dyDescent="0.35">
      <c r="A2389" s="9" t="str">
        <f>HYPERLINK("http://www.ensembl.org/id/WBGene00003670", "WBGene00003670")</f>
        <v>WBGene00003670</v>
      </c>
      <c r="B2389" s="9" t="str">
        <f>HYPERLINK("http://www.ncbi.nlm.nih.gov/gene/175167", "175167")</f>
        <v>175167</v>
      </c>
      <c r="C2389" s="9"/>
      <c r="D2389" t="str">
        <f>"nhr-80"</f>
        <v>nhr-80</v>
      </c>
      <c r="E2389" t="s">
        <v>637</v>
      </c>
      <c r="F2389" t="s">
        <v>11</v>
      </c>
      <c r="G2389" t="s">
        <v>1976</v>
      </c>
      <c r="H2389" s="12">
        <v>-1.5246144549432701</v>
      </c>
      <c r="I2389" s="20">
        <v>-1.88548158502606</v>
      </c>
      <c r="J2389" s="28">
        <v>5.9364848360019797E-2</v>
      </c>
      <c r="K2389" s="29">
        <v>0.57390870427232499</v>
      </c>
    </row>
    <row r="2390" spans="1:11" x14ac:dyDescent="0.35">
      <c r="A2390" s="9" t="str">
        <f>HYPERLINK("http://www.ensembl.org/id/WBGene00005017", "WBGene00005017")</f>
        <v>WBGene00005017</v>
      </c>
      <c r="B2390" s="9" t="str">
        <f>HYPERLINK("http://www.ncbi.nlm.nih.gov/gene/173382", "173382")</f>
        <v>173382</v>
      </c>
      <c r="C2390" s="9"/>
      <c r="D2390" t="str">
        <f>"sqt-2"</f>
        <v>sqt-2</v>
      </c>
      <c r="E2390" t="s">
        <v>1971</v>
      </c>
      <c r="F2390" t="s">
        <v>11</v>
      </c>
      <c r="G2390" t="s">
        <v>1591</v>
      </c>
      <c r="H2390" s="12">
        <v>3.0126337830445902</v>
      </c>
      <c r="I2390" s="20">
        <v>1.88531107224608</v>
      </c>
      <c r="J2390" s="28">
        <v>5.9387852155939197E-2</v>
      </c>
      <c r="K2390" s="29">
        <v>0.57390870427232499</v>
      </c>
    </row>
    <row r="2391" spans="1:11" x14ac:dyDescent="0.35">
      <c r="A2391" s="9" t="str">
        <f>HYPERLINK("http://www.ensembl.org/id/WBGene00011990", "WBGene00011990")</f>
        <v>WBGene00011990</v>
      </c>
      <c r="B2391" s="9" t="str">
        <f>HYPERLINK("http://www.ncbi.nlm.nih.gov/gene/188850", "188850")</f>
        <v>188850</v>
      </c>
      <c r="C2391" s="9"/>
      <c r="D2391" t="str">
        <f>"T24D5.2"</f>
        <v>T24D5.2</v>
      </c>
      <c r="F2391" t="s">
        <v>11</v>
      </c>
      <c r="H2391" s="12">
        <v>1.66172415544603</v>
      </c>
      <c r="I2391" s="20">
        <v>1.8853875987954101</v>
      </c>
      <c r="J2391" s="28">
        <v>5.9377527081791198E-2</v>
      </c>
      <c r="K2391" s="29">
        <v>0.57390870427232499</v>
      </c>
    </row>
    <row r="2392" spans="1:11" x14ac:dyDescent="0.35">
      <c r="A2392" s="9" t="str">
        <f>HYPERLINK("http://www.ensembl.org/id/WBGene00016265", "WBGene00016265")</f>
        <v>WBGene00016265</v>
      </c>
      <c r="B2392" s="9" t="str">
        <f>HYPERLINK("http://www.ncbi.nlm.nih.gov/gene/183056", "183056")</f>
        <v>183056</v>
      </c>
      <c r="C2392" s="9"/>
      <c r="D2392" t="str">
        <f>"trhr-1"</f>
        <v>trhr-1</v>
      </c>
      <c r="E2392" t="s">
        <v>1973</v>
      </c>
      <c r="F2392" t="s">
        <v>11</v>
      </c>
      <c r="G2392" t="s">
        <v>1974</v>
      </c>
      <c r="H2392" s="12">
        <v>1.8558066867565299</v>
      </c>
      <c r="I2392" s="20">
        <v>1.88601181706115</v>
      </c>
      <c r="J2392" s="28">
        <v>5.92933622561145E-2</v>
      </c>
      <c r="K2392" s="29">
        <v>0.57390870427232499</v>
      </c>
    </row>
    <row r="2393" spans="1:11" x14ac:dyDescent="0.35">
      <c r="A2393" s="9" t="str">
        <f>HYPERLINK("http://www.ensembl.org/id/WBGene00022416", "WBGene00022416")</f>
        <v>WBGene00022416</v>
      </c>
      <c r="B2393" s="9" t="str">
        <f>HYPERLINK("http://www.ncbi.nlm.nih.gov/gene/180517", "180517")</f>
        <v>180517</v>
      </c>
      <c r="C2393" s="9" t="str">
        <f>HYPERLINK("http://www.ncbi.nlm.nih.gov/gene/57222", "57222")</f>
        <v>57222</v>
      </c>
      <c r="D2393" t="str">
        <f>"Y102A11A.6"</f>
        <v>Y102A11A.6</v>
      </c>
      <c r="F2393" t="s">
        <v>11</v>
      </c>
      <c r="G2393" t="s">
        <v>1972</v>
      </c>
      <c r="H2393" s="12">
        <v>1.86428845900916</v>
      </c>
      <c r="I2393" s="20">
        <v>1.8853201190408</v>
      </c>
      <c r="J2393" s="28">
        <v>5.9386631471495602E-2</v>
      </c>
      <c r="K2393" s="29">
        <v>0.57390870427232499</v>
      </c>
    </row>
    <row r="2394" spans="1:11" x14ac:dyDescent="0.35">
      <c r="A2394" s="9" t="str">
        <f>HYPERLINK("http://www.ensembl.org/id/WBGene00010461", "WBGene00010461")</f>
        <v>WBGene00010461</v>
      </c>
      <c r="B2394" s="9" t="str">
        <f>HYPERLINK("http://www.ncbi.nlm.nih.gov/gene/186843", "186843")</f>
        <v>186843</v>
      </c>
      <c r="C2394" s="9"/>
      <c r="D2394" t="str">
        <f>"K01D12.1"</f>
        <v>K01D12.1</v>
      </c>
      <c r="F2394" t="s">
        <v>11</v>
      </c>
      <c r="G2394" t="s">
        <v>25</v>
      </c>
      <c r="H2394" s="12">
        <v>-4.4460081732179297</v>
      </c>
      <c r="I2394" s="20">
        <v>-1.8849539058253899</v>
      </c>
      <c r="J2394" s="28">
        <v>5.9436061277534799E-2</v>
      </c>
      <c r="K2394" s="29">
        <v>0.57413446148775904</v>
      </c>
    </row>
    <row r="2395" spans="1:11" x14ac:dyDescent="0.35">
      <c r="A2395" s="9" t="str">
        <f>HYPERLINK("http://www.ensembl.org/id/WBGene00022160", "WBGene00022160")</f>
        <v>WBGene00022160</v>
      </c>
      <c r="B2395" s="9" t="str">
        <f>HYPERLINK("http://www.ncbi.nlm.nih.gov/gene/171740", "171740")</f>
        <v>171740</v>
      </c>
      <c r="C2395" s="9"/>
      <c r="D2395" t="str">
        <f>"Y71G12B.25"</f>
        <v>Y71G12B.25</v>
      </c>
      <c r="F2395" t="s">
        <v>11</v>
      </c>
      <c r="G2395" t="s">
        <v>1977</v>
      </c>
      <c r="H2395" s="12">
        <v>1.70751166393147</v>
      </c>
      <c r="I2395" s="20">
        <v>1.88467647998667</v>
      </c>
      <c r="J2395" s="28">
        <v>5.94735296864655E-2</v>
      </c>
      <c r="K2395" s="29">
        <v>0.57425632132698301</v>
      </c>
    </row>
    <row r="2396" spans="1:11" x14ac:dyDescent="0.35">
      <c r="A2396" s="9" t="str">
        <f>HYPERLINK("http://www.ensembl.org/id/WBGene00015404", "WBGene00015404")</f>
        <v>WBGene00015404</v>
      </c>
      <c r="B2396" s="9" t="str">
        <f>HYPERLINK("http://www.ncbi.nlm.nih.gov/gene/173428", "173428")</f>
        <v>173428</v>
      </c>
      <c r="C2396" s="9" t="str">
        <f>HYPERLINK("http://www.ncbi.nlm.nih.gov/gene/23443", "23443")</f>
        <v>23443</v>
      </c>
      <c r="D2396" t="str">
        <f>"nstp-4"</f>
        <v>nstp-4</v>
      </c>
      <c r="E2396" t="s">
        <v>1978</v>
      </c>
      <c r="F2396" t="s">
        <v>11</v>
      </c>
      <c r="G2396" t="s">
        <v>1979</v>
      </c>
      <c r="H2396" s="12">
        <v>-1.43197907825159</v>
      </c>
      <c r="I2396" s="20">
        <v>-1.8830420158633101</v>
      </c>
      <c r="J2396" s="28">
        <v>5.96946741953975E-2</v>
      </c>
      <c r="K2396" s="29">
        <v>0.57615085294856105</v>
      </c>
    </row>
    <row r="2397" spans="1:11" x14ac:dyDescent="0.35">
      <c r="A2397" s="9" t="str">
        <f>HYPERLINK("http://www.ensembl.org/id/WBGene00015202", "WBGene00015202")</f>
        <v>WBGene00015202</v>
      </c>
      <c r="B2397" s="9" t="str">
        <f>HYPERLINK("http://www.ncbi.nlm.nih.gov/gene/182001", "182001")</f>
        <v>182001</v>
      </c>
      <c r="C2397" s="9"/>
      <c r="D2397" t="str">
        <f>"B0478.3"</f>
        <v>B0478.3</v>
      </c>
      <c r="F2397" t="s">
        <v>11</v>
      </c>
      <c r="G2397" t="s">
        <v>1980</v>
      </c>
      <c r="H2397" s="12">
        <v>3.2306501363698898</v>
      </c>
      <c r="I2397" s="20">
        <v>1.8823432385875101</v>
      </c>
      <c r="J2397" s="28">
        <v>5.9789427336384197E-2</v>
      </c>
      <c r="K2397" s="29">
        <v>0.57682442924195898</v>
      </c>
    </row>
    <row r="2398" spans="1:11" x14ac:dyDescent="0.35">
      <c r="A2398" s="9" t="str">
        <f>HYPERLINK("http://www.ensembl.org/id/WBGene00022287", "WBGene00022287")</f>
        <v>WBGene00022287</v>
      </c>
      <c r="B2398" s="9" t="str">
        <f>HYPERLINK("http://www.ncbi.nlm.nih.gov/gene/178630", "178630")</f>
        <v>178630</v>
      </c>
      <c r="C2398" s="9"/>
      <c r="D2398" t="str">
        <f>"Y75B7AR.1"</f>
        <v>Y75B7AR.1</v>
      </c>
      <c r="F2398" t="s">
        <v>11</v>
      </c>
      <c r="H2398" s="12">
        <v>3.2811715524195302</v>
      </c>
      <c r="I2398" s="20">
        <v>1.8819702959250699</v>
      </c>
      <c r="J2398" s="28">
        <v>5.9840048832051199E-2</v>
      </c>
      <c r="K2398" s="29">
        <v>0.57707185655816995</v>
      </c>
    </row>
    <row r="2399" spans="1:11" x14ac:dyDescent="0.35">
      <c r="A2399" s="9" t="str">
        <f>HYPERLINK("http://www.ensembl.org/id/WBGene00018261", "WBGene00018261")</f>
        <v>WBGene00018261</v>
      </c>
      <c r="B2399" s="9" t="str">
        <f>HYPERLINK("http://www.ncbi.nlm.nih.gov/gene/178706", "178706")</f>
        <v>178706</v>
      </c>
      <c r="C2399" s="9" t="str">
        <f>HYPERLINK("http://www.ncbi.nlm.nih.gov/gene/1573", "1573")</f>
        <v>1573</v>
      </c>
      <c r="D2399" t="str">
        <f>"cyp-33C5"</f>
        <v>cyp-33C5</v>
      </c>
      <c r="E2399" t="s">
        <v>176</v>
      </c>
      <c r="F2399" t="s">
        <v>11</v>
      </c>
      <c r="G2399" t="s">
        <v>438</v>
      </c>
      <c r="H2399" s="12">
        <v>2.1066969331019001</v>
      </c>
      <c r="I2399" s="20">
        <v>1.88135389364782</v>
      </c>
      <c r="J2399" s="28">
        <v>5.9923794326026E-2</v>
      </c>
      <c r="K2399" s="29">
        <v>0.57763837784612304</v>
      </c>
    </row>
    <row r="2400" spans="1:11" x14ac:dyDescent="0.35">
      <c r="A2400" s="9" t="str">
        <f>HYPERLINK("http://www.ensembl.org/id/WBGene00010339", "WBGene00010339")</f>
        <v>WBGene00010339</v>
      </c>
      <c r="B2400" s="9" t="str">
        <f>HYPERLINK("http://www.ncbi.nlm.nih.gov/gene/181671", "181671")</f>
        <v>181671</v>
      </c>
      <c r="C2400" s="9"/>
      <c r="D2400" t="str">
        <f>"acl-1"</f>
        <v>acl-1</v>
      </c>
      <c r="E2400" t="s">
        <v>1983</v>
      </c>
      <c r="F2400" t="s">
        <v>11</v>
      </c>
      <c r="G2400" t="s">
        <v>1984</v>
      </c>
      <c r="H2400" s="12">
        <v>-1.5248388892784599</v>
      </c>
      <c r="I2400" s="20">
        <v>-1.8808808649441799</v>
      </c>
      <c r="J2400" s="28">
        <v>5.99881267293845E-2</v>
      </c>
      <c r="K2400" s="29">
        <v>0.577776430266427</v>
      </c>
    </row>
    <row r="2401" spans="1:11" x14ac:dyDescent="0.35">
      <c r="A2401" s="9" t="str">
        <f>HYPERLINK("http://www.ensembl.org/id/WBGene00007927", "WBGene00007927")</f>
        <v>WBGene00007927</v>
      </c>
      <c r="B2401" s="9" t="str">
        <f>HYPERLINK("http://www.ncbi.nlm.nih.gov/gene/175449", "175449")</f>
        <v>175449</v>
      </c>
      <c r="C2401" s="9" t="str">
        <f>HYPERLINK("http://www.ncbi.nlm.nih.gov/gene/80273", "80273")</f>
        <v>80273</v>
      </c>
      <c r="D2401" t="str">
        <f>"C34C12.8"</f>
        <v>C34C12.8</v>
      </c>
      <c r="E2401" t="s">
        <v>1981</v>
      </c>
      <c r="F2401" t="s">
        <v>11</v>
      </c>
      <c r="G2401" t="s">
        <v>1982</v>
      </c>
      <c r="H2401" s="12">
        <v>-1.5125769024192299</v>
      </c>
      <c r="I2401" s="20">
        <v>-1.8809734064316499</v>
      </c>
      <c r="J2401" s="28">
        <v>5.9975536484979101E-2</v>
      </c>
      <c r="K2401" s="29">
        <v>0.577776430266427</v>
      </c>
    </row>
    <row r="2402" spans="1:11" x14ac:dyDescent="0.35">
      <c r="A2402" s="9" t="str">
        <f>HYPERLINK("http://www.ensembl.org/id/WBGene00007562", "WBGene00007562")</f>
        <v>WBGene00007562</v>
      </c>
      <c r="B2402" s="9" t="str">
        <f>HYPERLINK("http://www.ncbi.nlm.nih.gov/gene/174639", "174639")</f>
        <v>174639</v>
      </c>
      <c r="C2402" s="9"/>
      <c r="D2402" t="str">
        <f>"C14A4.12"</f>
        <v>C14A4.12</v>
      </c>
      <c r="F2402" t="s">
        <v>11</v>
      </c>
      <c r="G2402" t="s">
        <v>25</v>
      </c>
      <c r="H2402" s="12">
        <v>1.5735115546839</v>
      </c>
      <c r="I2402" s="20">
        <v>1.8805809965293001</v>
      </c>
      <c r="J2402" s="28">
        <v>6.0028938804702801E-2</v>
      </c>
      <c r="K2402" s="29">
        <v>0.577928608342276</v>
      </c>
    </row>
    <row r="2403" spans="1:11" x14ac:dyDescent="0.35">
      <c r="A2403" s="9" t="str">
        <f>HYPERLINK("http://www.ensembl.org/id/WBGene00018413", "WBGene00018413")</f>
        <v>WBGene00018413</v>
      </c>
      <c r="B2403" s="9" t="str">
        <f>HYPERLINK("http://www.ncbi.nlm.nih.gov/gene/178704", "178704")</f>
        <v>178704</v>
      </c>
      <c r="C2403" s="9" t="str">
        <f>HYPERLINK("http://www.ncbi.nlm.nih.gov/gene/1573", "1573")</f>
        <v>1573</v>
      </c>
      <c r="D2403" t="str">
        <f>"cyp-33C4"</f>
        <v>cyp-33C4</v>
      </c>
      <c r="E2403" t="s">
        <v>176</v>
      </c>
      <c r="F2403" t="s">
        <v>11</v>
      </c>
      <c r="G2403" t="s">
        <v>438</v>
      </c>
      <c r="H2403" s="12">
        <v>1.70625785792091</v>
      </c>
      <c r="I2403" s="20">
        <v>1.8798114768051399</v>
      </c>
      <c r="J2403" s="28">
        <v>6.0133775761520201E-2</v>
      </c>
      <c r="K2403" s="29">
        <v>0.57869680247633704</v>
      </c>
    </row>
    <row r="2404" spans="1:11" x14ac:dyDescent="0.35">
      <c r="A2404" s="9" t="str">
        <f>HYPERLINK("http://www.ensembl.org/id/WBGene00020663", "WBGene00020663")</f>
        <v>WBGene00020663</v>
      </c>
      <c r="B2404" s="9" t="str">
        <f>HYPERLINK("http://www.ncbi.nlm.nih.gov/gene/188704", "188704")</f>
        <v>188704</v>
      </c>
      <c r="C2404" s="9"/>
      <c r="D2404" t="str">
        <f>"cutl-22"</f>
        <v>cutl-22</v>
      </c>
      <c r="E2404" t="s">
        <v>166</v>
      </c>
      <c r="F2404" t="s">
        <v>11</v>
      </c>
      <c r="G2404" t="s">
        <v>25</v>
      </c>
      <c r="H2404" s="12">
        <v>2.0424154256022899</v>
      </c>
      <c r="I2404" s="20">
        <v>1.8793393384983199</v>
      </c>
      <c r="J2404" s="28">
        <v>6.01981735170148E-2</v>
      </c>
      <c r="K2404" s="29">
        <v>0.579075352741109</v>
      </c>
    </row>
    <row r="2405" spans="1:11" x14ac:dyDescent="0.35">
      <c r="A2405" s="9" t="str">
        <f>HYPERLINK("http://www.ensembl.org/id/WBGene00043994", "WBGene00043994")</f>
        <v>WBGene00043994</v>
      </c>
      <c r="B2405" s="9" t="str">
        <f>HYPERLINK("http://www.ncbi.nlm.nih.gov/gene/3565951", "3565951")</f>
        <v>3565951</v>
      </c>
      <c r="C2405" s="9"/>
      <c r="D2405" t="str">
        <f>"C07A9.12"</f>
        <v>C07A9.12</v>
      </c>
      <c r="F2405" t="s">
        <v>11</v>
      </c>
      <c r="G2405" t="s">
        <v>25</v>
      </c>
      <c r="H2405" s="12">
        <v>1.63868088078911</v>
      </c>
      <c r="I2405" s="20">
        <v>1.8785440949855701</v>
      </c>
      <c r="J2405" s="28">
        <v>6.0306770768619997E-2</v>
      </c>
      <c r="K2405" s="29">
        <v>0.57963737328607901</v>
      </c>
    </row>
    <row r="2406" spans="1:11" x14ac:dyDescent="0.35">
      <c r="A2406" s="9" t="str">
        <f>HYPERLINK("http://www.ensembl.org/id/WBGene00020498", "WBGene00020498")</f>
        <v>WBGene00020498</v>
      </c>
      <c r="B2406" s="9" t="str">
        <f>HYPERLINK("http://www.ncbi.nlm.nih.gov/gene/174110", "174110")</f>
        <v>174110</v>
      </c>
      <c r="C2406" s="9"/>
      <c r="D2406" t="str">
        <f>"T14B4.1"</f>
        <v>T14B4.1</v>
      </c>
      <c r="F2406" t="s">
        <v>11</v>
      </c>
      <c r="G2406" t="s">
        <v>1985</v>
      </c>
      <c r="H2406" s="12">
        <v>-1.4736978526923299</v>
      </c>
      <c r="I2406" s="20">
        <v>-1.8786855597385901</v>
      </c>
      <c r="J2406" s="28">
        <v>6.0287440689129501E-2</v>
      </c>
      <c r="K2406" s="29">
        <v>0.57963737328607901</v>
      </c>
    </row>
    <row r="2407" spans="1:11" x14ac:dyDescent="0.35">
      <c r="A2407" s="9" t="str">
        <f>HYPERLINK("http://www.ensembl.org/id/WBGene00010784", "WBGene00010784")</f>
        <v>WBGene00010784</v>
      </c>
      <c r="B2407" s="9" t="str">
        <f>HYPERLINK("http://www.ncbi.nlm.nih.gov/gene/3565640", "3565640")</f>
        <v>3565640</v>
      </c>
      <c r="C2407" s="9"/>
      <c r="D2407" t="str">
        <f>"twk-48"</f>
        <v>twk-48</v>
      </c>
      <c r="E2407" t="s">
        <v>894</v>
      </c>
      <c r="F2407" t="s">
        <v>11</v>
      </c>
      <c r="G2407" t="s">
        <v>1652</v>
      </c>
      <c r="H2407" s="12">
        <v>1.80354688150909</v>
      </c>
      <c r="I2407" s="20">
        <v>1.8782701201163601</v>
      </c>
      <c r="J2407" s="28">
        <v>6.0344221955745098E-2</v>
      </c>
      <c r="K2407" s="29">
        <v>0.57975617152159897</v>
      </c>
    </row>
    <row r="2408" spans="1:11" x14ac:dyDescent="0.35">
      <c r="A2408" s="9" t="str">
        <f>HYPERLINK("http://www.ensembl.org/id/WBGene00023418", "WBGene00023418")</f>
        <v>WBGene00023418</v>
      </c>
      <c r="B2408" s="9" t="str">
        <f>HYPERLINK("http://www.ncbi.nlm.nih.gov/gene/174666", "174666")</f>
        <v>174666</v>
      </c>
      <c r="C2408" s="9"/>
      <c r="D2408" t="str">
        <f>"R06F6.12"</f>
        <v>R06F6.12</v>
      </c>
      <c r="F2408" t="s">
        <v>11</v>
      </c>
      <c r="G2408" t="s">
        <v>54</v>
      </c>
      <c r="H2408" s="12">
        <v>-1.48132606214518</v>
      </c>
      <c r="I2408" s="20">
        <v>-1.87763271161723</v>
      </c>
      <c r="J2408" s="28">
        <v>6.04314275659356E-2</v>
      </c>
      <c r="K2408" s="29">
        <v>0.58035268717311195</v>
      </c>
    </row>
    <row r="2409" spans="1:11" x14ac:dyDescent="0.35">
      <c r="A2409" s="9" t="str">
        <f>HYPERLINK("http://www.ensembl.org/id/WBGene00012551", "WBGene00012551")</f>
        <v>WBGene00012551</v>
      </c>
      <c r="B2409" s="9" t="str">
        <f>HYPERLINK("http://www.ncbi.nlm.nih.gov/gene/176704", "176704")</f>
        <v>176704</v>
      </c>
      <c r="C2409" s="9"/>
      <c r="D2409" t="str">
        <f>"cec-7"</f>
        <v>cec-7</v>
      </c>
      <c r="E2409" t="s">
        <v>1624</v>
      </c>
      <c r="F2409" t="s">
        <v>11</v>
      </c>
      <c r="G2409" t="s">
        <v>1988</v>
      </c>
      <c r="H2409" s="12">
        <v>-1.5103270568705001</v>
      </c>
      <c r="I2409" s="20">
        <v>-1.87692783027371</v>
      </c>
      <c r="J2409" s="28">
        <v>6.05279859240987E-2</v>
      </c>
      <c r="K2409" s="29">
        <v>0.58073085532512903</v>
      </c>
    </row>
    <row r="2410" spans="1:11" x14ac:dyDescent="0.35">
      <c r="A2410" s="9" t="str">
        <f>HYPERLINK("http://www.ensembl.org/id/WBGene00013415", "WBGene00013415")</f>
        <v>WBGene00013415</v>
      </c>
      <c r="B2410" s="9" t="str">
        <f>HYPERLINK("http://www.ncbi.nlm.nih.gov/gene/178376", "178376")</f>
        <v>178376</v>
      </c>
      <c r="C2410" s="9"/>
      <c r="D2410" t="str">
        <f>"ilcr-1"</f>
        <v>ilcr-1</v>
      </c>
      <c r="E2410" t="s">
        <v>1986</v>
      </c>
      <c r="F2410" t="s">
        <v>11</v>
      </c>
      <c r="G2410" t="s">
        <v>1987</v>
      </c>
      <c r="H2410" s="12">
        <v>1.43246173268445</v>
      </c>
      <c r="I2410" s="20">
        <v>1.8768377321057601</v>
      </c>
      <c r="J2410" s="28">
        <v>6.0540337257092201E-2</v>
      </c>
      <c r="K2410" s="29">
        <v>0.58073085532512903</v>
      </c>
    </row>
    <row r="2411" spans="1:11" x14ac:dyDescent="0.35">
      <c r="A2411" s="9" t="str">
        <f>HYPERLINK("http://www.ensembl.org/id/WBGene00014196", "WBGene00014196")</f>
        <v>WBGene00014196</v>
      </c>
      <c r="B2411" s="9" t="str">
        <f>HYPERLINK("http://www.ncbi.nlm.nih.gov/gene/191506", "191506")</f>
        <v>191506</v>
      </c>
      <c r="C2411" s="9"/>
      <c r="D2411" t="str">
        <f>"ZK1053.1"</f>
        <v>ZK1053.1</v>
      </c>
      <c r="F2411" t="s">
        <v>11</v>
      </c>
      <c r="G2411" t="s">
        <v>25</v>
      </c>
      <c r="H2411" s="12">
        <v>4.9880715269570199</v>
      </c>
      <c r="I2411" s="20">
        <v>1.8767949289400101</v>
      </c>
      <c r="J2411" s="28">
        <v>6.0546205768122398E-2</v>
      </c>
      <c r="K2411" s="29">
        <v>0.58073085532512903</v>
      </c>
    </row>
    <row r="2412" spans="1:11" x14ac:dyDescent="0.35">
      <c r="A2412" s="9" t="str">
        <f>HYPERLINK("http://www.ensembl.org/id/WBGene00016682", "WBGene00016682")</f>
        <v>WBGene00016682</v>
      </c>
      <c r="B2412" s="9" t="str">
        <f>HYPERLINK("http://www.ncbi.nlm.nih.gov/gene/175690", "175690")</f>
        <v>175690</v>
      </c>
      <c r="C2412" s="9"/>
      <c r="D2412" t="str">
        <f>"C45G9.11"</f>
        <v>C45G9.11</v>
      </c>
      <c r="F2412" t="s">
        <v>11</v>
      </c>
      <c r="H2412" s="12">
        <v>4.2771805981657502</v>
      </c>
      <c r="I2412" s="20">
        <v>1.87648956984236</v>
      </c>
      <c r="J2412" s="28">
        <v>6.05880855862986E-2</v>
      </c>
      <c r="K2412" s="29">
        <v>0.58089141309419701</v>
      </c>
    </row>
    <row r="2413" spans="1:11" x14ac:dyDescent="0.35">
      <c r="A2413" s="9" t="str">
        <f>HYPERLINK("http://www.ensembl.org/id/WBGene00011573", "WBGene00011573")</f>
        <v>WBGene00011573</v>
      </c>
      <c r="B2413" s="9" t="str">
        <f>HYPERLINK("http://www.ncbi.nlm.nih.gov/gene/179385", "179385")</f>
        <v>179385</v>
      </c>
      <c r="C2413" s="9"/>
      <c r="D2413" t="str">
        <f>"anmt-3"</f>
        <v>anmt-3</v>
      </c>
      <c r="E2413" t="s">
        <v>322</v>
      </c>
      <c r="F2413" t="s">
        <v>11</v>
      </c>
      <c r="G2413" t="s">
        <v>323</v>
      </c>
      <c r="H2413" s="12">
        <v>1.4959314655484599</v>
      </c>
      <c r="I2413" s="20">
        <v>1.8755174207549901</v>
      </c>
      <c r="J2413" s="28">
        <v>6.0721575158528003E-2</v>
      </c>
      <c r="K2413" s="29">
        <v>0.58192978664991601</v>
      </c>
    </row>
    <row r="2414" spans="1:11" x14ac:dyDescent="0.35">
      <c r="A2414" s="9" t="str">
        <f>HYPERLINK("http://www.ensembl.org/id/WBGene00044080", "WBGene00044080")</f>
        <v>WBGene00044080</v>
      </c>
      <c r="B2414" s="9" t="str">
        <f>HYPERLINK("http://www.ncbi.nlm.nih.gov/gene/179905", "179905")</f>
        <v>179905</v>
      </c>
      <c r="C2414" s="9"/>
      <c r="D2414" t="str">
        <f>"D1086.10"</f>
        <v>D1086.10</v>
      </c>
      <c r="F2414" t="s">
        <v>11</v>
      </c>
      <c r="H2414" s="12">
        <v>1.450483290367</v>
      </c>
      <c r="I2414" s="20">
        <v>1.8748439252392599</v>
      </c>
      <c r="J2414" s="28">
        <v>6.0814198275553302E-2</v>
      </c>
      <c r="K2414" s="29">
        <v>0.58235676775026701</v>
      </c>
    </row>
    <row r="2415" spans="1:11" x14ac:dyDescent="0.35">
      <c r="A2415" s="9" t="str">
        <f>HYPERLINK("http://www.ensembl.org/id/WBGene00009716", "WBGene00009716")</f>
        <v>WBGene00009716</v>
      </c>
      <c r="B2415" s="9" t="str">
        <f>HYPERLINK("http://www.ncbi.nlm.nih.gov/gene/185763", "185763")</f>
        <v>185763</v>
      </c>
      <c r="C2415" s="9"/>
      <c r="D2415" t="str">
        <f>"F44G4.7"</f>
        <v>F44G4.7</v>
      </c>
      <c r="F2415" t="s">
        <v>11</v>
      </c>
      <c r="H2415" s="12">
        <v>2.4815732748900001</v>
      </c>
      <c r="I2415" s="20">
        <v>1.87482693788917</v>
      </c>
      <c r="J2415" s="28">
        <v>6.0816535989846598E-2</v>
      </c>
      <c r="K2415" s="29">
        <v>0.58235676775026701</v>
      </c>
    </row>
    <row r="2416" spans="1:11" x14ac:dyDescent="0.35">
      <c r="A2416" s="9" t="str">
        <f>HYPERLINK("http://www.ensembl.org/id/WBGene00016474", "WBGene00016474")</f>
        <v>WBGene00016474</v>
      </c>
      <c r="B2416" s="9" t="str">
        <f>HYPERLINK("http://www.ncbi.nlm.nih.gov/gene/183261", "183261")</f>
        <v>183261</v>
      </c>
      <c r="C2416" s="9"/>
      <c r="D2416" t="str">
        <f>"C36C5.5"</f>
        <v>C36C5.5</v>
      </c>
      <c r="F2416" t="s">
        <v>11</v>
      </c>
      <c r="H2416" s="12">
        <v>1.72886123182096</v>
      </c>
      <c r="I2416" s="20">
        <v>1.8733583662031901</v>
      </c>
      <c r="J2416" s="28">
        <v>6.1018915116742803E-2</v>
      </c>
      <c r="K2416" s="29">
        <v>0.58308645685999105</v>
      </c>
    </row>
    <row r="2417" spans="1:11" x14ac:dyDescent="0.35">
      <c r="A2417" s="9" t="str">
        <f>HYPERLINK("http://www.ensembl.org/id/WBGene00000611", "WBGene00000611")</f>
        <v>WBGene00000611</v>
      </c>
      <c r="B2417" s="9" t="str">
        <f>HYPERLINK("http://www.ncbi.nlm.nih.gov/gene/177188", "177188")</f>
        <v>177188</v>
      </c>
      <c r="C2417" s="9"/>
      <c r="D2417" t="str">
        <f>"col-34"</f>
        <v>col-34</v>
      </c>
      <c r="E2417" t="s">
        <v>1990</v>
      </c>
      <c r="F2417" t="s">
        <v>11</v>
      </c>
      <c r="G2417" t="s">
        <v>152</v>
      </c>
      <c r="H2417" s="12">
        <v>1.4548300309798701</v>
      </c>
      <c r="I2417" s="20">
        <v>1.8734890775158699</v>
      </c>
      <c r="J2417" s="28">
        <v>6.10008796246439E-2</v>
      </c>
      <c r="K2417" s="29">
        <v>0.58308645685999105</v>
      </c>
    </row>
    <row r="2418" spans="1:11" x14ac:dyDescent="0.35">
      <c r="A2418" s="9" t="str">
        <f>HYPERLINK("http://www.ensembl.org/id/WBGene00000858", "WBGene00000858")</f>
        <v>WBGene00000858</v>
      </c>
      <c r="B2418" s="9" t="str">
        <f>HYPERLINK("http://www.ncbi.nlm.nih.gov/gene/177870", "177870")</f>
        <v>177870</v>
      </c>
      <c r="C2418" s="9" t="str">
        <f>HYPERLINK("http://www.ncbi.nlm.nih.gov/gene/81029", "81029")</f>
        <v>81029</v>
      </c>
      <c r="D2418" t="str">
        <f>"cwn-2"</f>
        <v>cwn-2</v>
      </c>
      <c r="F2418" t="s">
        <v>11</v>
      </c>
      <c r="G2418" t="s">
        <v>1989</v>
      </c>
      <c r="H2418" s="12">
        <v>1.59740686787057</v>
      </c>
      <c r="I2418" s="20">
        <v>1.87388815166927</v>
      </c>
      <c r="J2418" s="28">
        <v>6.0945842860575798E-2</v>
      </c>
      <c r="K2418" s="29">
        <v>0.58308645685999105</v>
      </c>
    </row>
    <row r="2419" spans="1:11" x14ac:dyDescent="0.35">
      <c r="A2419" s="9" t="str">
        <f>HYPERLINK("http://www.ensembl.org/id/WBGene00008436", "WBGene00008436")</f>
        <v>WBGene00008436</v>
      </c>
      <c r="B2419" s="9" t="str">
        <f>HYPERLINK("http://www.ncbi.nlm.nih.gov/gene/174283", "174283")</f>
        <v>174283</v>
      </c>
      <c r="C2419" s="9"/>
      <c r="D2419" t="str">
        <f>"DH11.2"</f>
        <v>DH11.2</v>
      </c>
      <c r="F2419" t="s">
        <v>11</v>
      </c>
      <c r="H2419" s="12">
        <v>1.4836776454376901</v>
      </c>
      <c r="I2419" s="20">
        <v>1.87366689149317</v>
      </c>
      <c r="J2419" s="28">
        <v>6.0976352016377598E-2</v>
      </c>
      <c r="K2419" s="29">
        <v>0.58308645685999105</v>
      </c>
    </row>
    <row r="2420" spans="1:11" x14ac:dyDescent="0.35">
      <c r="A2420" s="9" t="str">
        <f>HYPERLINK("http://www.ensembl.org/id/WBGene00009132", "WBGene00009132")</f>
        <v>WBGene00009132</v>
      </c>
      <c r="B2420" s="9" t="str">
        <f>HYPERLINK("http://www.ncbi.nlm.nih.gov/gene/177848", "177848")</f>
        <v>177848</v>
      </c>
      <c r="C2420" s="9"/>
      <c r="D2420" t="str">
        <f>"F25H8.2"</f>
        <v>F25H8.2</v>
      </c>
      <c r="F2420" t="s">
        <v>11</v>
      </c>
      <c r="G2420" t="s">
        <v>1991</v>
      </c>
      <c r="H2420" s="12">
        <v>-1.54058673152272</v>
      </c>
      <c r="I2420" s="20">
        <v>-1.87356491624431</v>
      </c>
      <c r="J2420" s="28">
        <v>6.09904174531661E-2</v>
      </c>
      <c r="K2420" s="29">
        <v>0.58308645685999105</v>
      </c>
    </row>
    <row r="2421" spans="1:11" x14ac:dyDescent="0.35">
      <c r="A2421" s="9" t="str">
        <f>HYPERLINK("http://www.ensembl.org/id/WBGene00017363", "WBGene00017363")</f>
        <v>WBGene00017363</v>
      </c>
      <c r="B2421" s="9" t="str">
        <f>HYPERLINK("http://www.ncbi.nlm.nih.gov/gene/184313", "184313")</f>
        <v>184313</v>
      </c>
      <c r="C2421" s="9"/>
      <c r="D2421" t="str">
        <f>"F10G2.2"</f>
        <v>F10G2.2</v>
      </c>
      <c r="F2421" t="s">
        <v>11</v>
      </c>
      <c r="H2421" s="12">
        <v>-9.0485282104083495</v>
      </c>
      <c r="I2421" s="20">
        <v>-1.8730390309887099</v>
      </c>
      <c r="J2421" s="28">
        <v>6.1062995433728E-2</v>
      </c>
      <c r="K2421" s="29">
        <v>0.58308898290709299</v>
      </c>
    </row>
    <row r="2422" spans="1:11" x14ac:dyDescent="0.35">
      <c r="A2422" s="9" t="str">
        <f>HYPERLINK("http://www.ensembl.org/id/WBGene00018295", "WBGene00018295")</f>
        <v>WBGene00018295</v>
      </c>
      <c r="B2422" s="9" t="str">
        <f>HYPERLINK("http://www.ncbi.nlm.nih.gov/gene/185622", "185622")</f>
        <v>185622</v>
      </c>
      <c r="C2422" s="9"/>
      <c r="D2422" t="str">
        <f>"oac-29"</f>
        <v>oac-29</v>
      </c>
      <c r="E2422" t="s">
        <v>883</v>
      </c>
      <c r="F2422" t="s">
        <v>11</v>
      </c>
      <c r="G2422" t="s">
        <v>1992</v>
      </c>
      <c r="H2422" s="12">
        <v>2.3563291291869199</v>
      </c>
      <c r="I2422" s="20">
        <v>1.8729908374770301</v>
      </c>
      <c r="J2422" s="28">
        <v>6.1069650248211003E-2</v>
      </c>
      <c r="K2422" s="29">
        <v>0.58308898290709299</v>
      </c>
    </row>
    <row r="2423" spans="1:11" x14ac:dyDescent="0.35">
      <c r="A2423" s="9" t="str">
        <f>HYPERLINK("http://www.ensembl.org/id/WBGene00005026", "WBGene00005026")</f>
        <v>WBGene00005026</v>
      </c>
      <c r="B2423" s="9" t="str">
        <f>HYPERLINK("http://www.ncbi.nlm.nih.gov/gene/174517", "174517")</f>
        <v>174517</v>
      </c>
      <c r="C2423" s="9" t="str">
        <f>HYPERLINK("http://www.ncbi.nlm.nih.gov/gene/26229", "26229")</f>
        <v>26229</v>
      </c>
      <c r="D2423" t="str">
        <f>"sqv-8"</f>
        <v>sqv-8</v>
      </c>
      <c r="E2423" t="s">
        <v>1993</v>
      </c>
      <c r="F2423" t="s">
        <v>11</v>
      </c>
      <c r="G2423" t="s">
        <v>1994</v>
      </c>
      <c r="H2423" s="12">
        <v>-1.44691347857048</v>
      </c>
      <c r="I2423" s="20">
        <v>-1.87269344823216</v>
      </c>
      <c r="J2423" s="28">
        <v>6.1110728617163303E-2</v>
      </c>
      <c r="K2423" s="29">
        <v>0.58324018811572698</v>
      </c>
    </row>
    <row r="2424" spans="1:11" x14ac:dyDescent="0.35">
      <c r="A2424" s="9" t="str">
        <f>HYPERLINK("http://www.ensembl.org/id/WBGene00007504", "WBGene00007504")</f>
        <v>WBGene00007504</v>
      </c>
      <c r="B2424" s="9" t="str">
        <f>HYPERLINK("http://www.ncbi.nlm.nih.gov/gene/174694", "174694")</f>
        <v>174694</v>
      </c>
      <c r="C2424" s="9"/>
      <c r="D2424" t="str">
        <f>"nbs-1"</f>
        <v>nbs-1</v>
      </c>
      <c r="E2424" t="s">
        <v>1995</v>
      </c>
      <c r="F2424" t="s">
        <v>11</v>
      </c>
      <c r="G2424" t="s">
        <v>54</v>
      </c>
      <c r="H2424" s="12">
        <v>-1.6924381040284799</v>
      </c>
      <c r="I2424" s="20">
        <v>-1.87250028775407</v>
      </c>
      <c r="J2424" s="28">
        <v>6.1137422127367599E-2</v>
      </c>
      <c r="K2424" s="29">
        <v>0.58325403619940397</v>
      </c>
    </row>
    <row r="2425" spans="1:11" x14ac:dyDescent="0.35">
      <c r="A2425" s="9" t="str">
        <f>HYPERLINK("http://www.ensembl.org/id/WBGene00017718", "WBGene00017718")</f>
        <v>WBGene00017718</v>
      </c>
      <c r="B2425" s="9" t="str">
        <f>HYPERLINK("http://www.ncbi.nlm.nih.gov/gene/3565477", "3565477")</f>
        <v>3565477</v>
      </c>
      <c r="C2425" s="9"/>
      <c r="D2425" t="str">
        <f>"F22F4.5"</f>
        <v>F22F4.5</v>
      </c>
      <c r="F2425" t="s">
        <v>11</v>
      </c>
      <c r="H2425" s="12">
        <v>1.50215895476567</v>
      </c>
      <c r="I2425" s="20">
        <v>1.87177655154332</v>
      </c>
      <c r="J2425" s="28">
        <v>6.1237523614939199E-2</v>
      </c>
      <c r="K2425" s="29">
        <v>0.58396789956532602</v>
      </c>
    </row>
    <row r="2426" spans="1:11" x14ac:dyDescent="0.35">
      <c r="A2426" s="9" t="str">
        <f>HYPERLINK("http://www.ensembl.org/id/WBGene00015197", "WBGene00015197")</f>
        <v>WBGene00015197</v>
      </c>
      <c r="B2426" s="9" t="str">
        <f>HYPERLINK("http://www.ncbi.nlm.nih.gov/gene/173650", "173650")</f>
        <v>173650</v>
      </c>
      <c r="C2426" s="9" t="str">
        <f>HYPERLINK("http://www.ncbi.nlm.nih.gov/gene/6542", "6542")</f>
        <v>6542</v>
      </c>
      <c r="D2426" t="str">
        <f>"B0454.6"</f>
        <v>B0454.6</v>
      </c>
      <c r="F2426" t="s">
        <v>11</v>
      </c>
      <c r="G2426" t="s">
        <v>1584</v>
      </c>
      <c r="H2426" s="12">
        <v>1.53998684361079</v>
      </c>
      <c r="I2426" s="20">
        <v>1.87104151795741</v>
      </c>
      <c r="J2426" s="28">
        <v>6.1339326557529203E-2</v>
      </c>
      <c r="K2426" s="29">
        <v>0.58397465160208895</v>
      </c>
    </row>
    <row r="2427" spans="1:11" x14ac:dyDescent="0.35">
      <c r="A2427" s="9" t="str">
        <f>HYPERLINK("http://www.ensembl.org/id/WBGene00000537", "WBGene00000537")</f>
        <v>WBGene00000537</v>
      </c>
      <c r="B2427" s="9" t="str">
        <f>HYPERLINK("http://www.ncbi.nlm.nih.gov/gene/176065", "176065")</f>
        <v>176065</v>
      </c>
      <c r="C2427" s="9"/>
      <c r="D2427" t="str">
        <f>"clk-2"</f>
        <v>clk-2</v>
      </c>
      <c r="E2427" t="s">
        <v>1997</v>
      </c>
      <c r="F2427" t="s">
        <v>11</v>
      </c>
      <c r="H2427" s="12">
        <v>-1.5394098334045501</v>
      </c>
      <c r="I2427" s="20">
        <v>-1.87131276173061</v>
      </c>
      <c r="J2427" s="28">
        <v>6.1301742699167397E-2</v>
      </c>
      <c r="K2427" s="29">
        <v>0.58397465160208895</v>
      </c>
    </row>
    <row r="2428" spans="1:11" x14ac:dyDescent="0.35">
      <c r="A2428" s="9" t="str">
        <f>HYPERLINK("http://www.ensembl.org/id/WBGene00021270", "WBGene00021270")</f>
        <v>WBGene00021270</v>
      </c>
      <c r="B2428" s="9" t="str">
        <f>HYPERLINK("http://www.ncbi.nlm.nih.gov/gene/171819", "171819")</f>
        <v>171819</v>
      </c>
      <c r="C2428" s="9"/>
      <c r="D2428" t="str">
        <f>"pid-3"</f>
        <v>pid-3</v>
      </c>
      <c r="F2428" t="s">
        <v>11</v>
      </c>
      <c r="G2428" t="s">
        <v>1996</v>
      </c>
      <c r="H2428" s="12">
        <v>-1.51168739042685</v>
      </c>
      <c r="I2428" s="20">
        <v>-1.87107227674456</v>
      </c>
      <c r="J2428" s="28">
        <v>6.1335063624595697E-2</v>
      </c>
      <c r="K2428" s="29">
        <v>0.58397465160208895</v>
      </c>
    </row>
    <row r="2429" spans="1:11" x14ac:dyDescent="0.35">
      <c r="A2429" s="9" t="str">
        <f>HYPERLINK("http://www.ensembl.org/id/WBGene00021366", "WBGene00021366")</f>
        <v>WBGene00021366</v>
      </c>
      <c r="B2429" s="9" t="str">
        <f>HYPERLINK("http://www.ncbi.nlm.nih.gov/gene/177134", "177134")</f>
        <v>177134</v>
      </c>
      <c r="C2429" s="9"/>
      <c r="D2429" t="str">
        <f>"Y37E11AM.2"</f>
        <v>Y37E11AM.2</v>
      </c>
      <c r="F2429" t="s">
        <v>11</v>
      </c>
      <c r="H2429" s="12">
        <v>-1.4318978787695</v>
      </c>
      <c r="I2429" s="20">
        <v>-1.87153452936289</v>
      </c>
      <c r="J2429" s="28">
        <v>6.1271028484860199E-2</v>
      </c>
      <c r="K2429" s="29">
        <v>0.58397465160208895</v>
      </c>
    </row>
    <row r="2430" spans="1:11" x14ac:dyDescent="0.35">
      <c r="A2430" s="9" t="str">
        <f>HYPERLINK("http://www.ensembl.org/id/WBGene00012277", "WBGene00012277")</f>
        <v>WBGene00012277</v>
      </c>
      <c r="B2430" s="9" t="str">
        <f>HYPERLINK("http://www.ncbi.nlm.nih.gov/gene/179733", "179733")</f>
        <v>179733</v>
      </c>
      <c r="C2430" s="9"/>
      <c r="D2430" t="str">
        <f>"ccch-3"</f>
        <v>ccch-3</v>
      </c>
      <c r="E2430" t="s">
        <v>2000</v>
      </c>
      <c r="F2430" t="s">
        <v>11</v>
      </c>
      <c r="G2430" t="s">
        <v>51</v>
      </c>
      <c r="H2430" s="12">
        <v>-1.6141134231479199</v>
      </c>
      <c r="I2430" s="20">
        <v>-1.86932516945106</v>
      </c>
      <c r="J2430" s="28">
        <v>6.1577588444964401E-2</v>
      </c>
      <c r="K2430" s="29">
        <v>0.58595620691167505</v>
      </c>
    </row>
    <row r="2431" spans="1:11" x14ac:dyDescent="0.35">
      <c r="A2431" s="9" t="str">
        <f>HYPERLINK("http://www.ensembl.org/id/WBGene00004339", "WBGene00004339")</f>
        <v>WBGene00004339</v>
      </c>
      <c r="B2431" s="9" t="str">
        <f>HYPERLINK("http://www.ncbi.nlm.nih.gov/gene/178259", "178259")</f>
        <v>178259</v>
      </c>
      <c r="C2431" s="9" t="str">
        <f>HYPERLINK("http://www.ncbi.nlm.nih.gov/gene/5983", "5983")</f>
        <v>5983</v>
      </c>
      <c r="D2431" t="str">
        <f>"rfc-3"</f>
        <v>rfc-3</v>
      </c>
      <c r="E2431" t="s">
        <v>1998</v>
      </c>
      <c r="F2431" t="s">
        <v>11</v>
      </c>
      <c r="G2431" t="s">
        <v>1999</v>
      </c>
      <c r="H2431" s="12">
        <v>-1.51976070995293</v>
      </c>
      <c r="I2431" s="20">
        <v>-1.8691770692082501</v>
      </c>
      <c r="J2431" s="28">
        <v>6.1598183441030803E-2</v>
      </c>
      <c r="K2431" s="29">
        <v>0.58595620691167505</v>
      </c>
    </row>
    <row r="2432" spans="1:11" x14ac:dyDescent="0.35">
      <c r="A2432" s="9" t="str">
        <f>HYPERLINK("http://www.ensembl.org/id/WBGene00007682", "WBGene00007682")</f>
        <v>WBGene00007682</v>
      </c>
      <c r="B2432" s="9" t="str">
        <f>HYPERLINK("http://www.ncbi.nlm.nih.gov/gene/259533", "259533")</f>
        <v>259533</v>
      </c>
      <c r="C2432" s="9"/>
      <c r="D2432" t="str">
        <f>"C18D11.6"</f>
        <v>C18D11.6</v>
      </c>
      <c r="F2432" t="s">
        <v>11</v>
      </c>
      <c r="G2432" t="s">
        <v>264</v>
      </c>
      <c r="H2432" s="12">
        <v>2.10444866842353</v>
      </c>
      <c r="I2432" s="20">
        <v>1.86875539039345</v>
      </c>
      <c r="J2432" s="28">
        <v>6.1656853832988801E-2</v>
      </c>
      <c r="K2432" s="29">
        <v>0.58603178307899595</v>
      </c>
    </row>
    <row r="2433" spans="1:11" x14ac:dyDescent="0.35">
      <c r="A2433" s="9" t="str">
        <f>HYPERLINK("http://www.ensembl.org/id/WBGene00011664", "WBGene00011664")</f>
        <v>WBGene00011664</v>
      </c>
      <c r="B2433" s="9" t="str">
        <f>HYPERLINK("http://www.ncbi.nlm.nih.gov/gene/3565885", "3565885")</f>
        <v>3565885</v>
      </c>
      <c r="C2433" s="9"/>
      <c r="D2433" t="str">
        <f>"T09F3.5"</f>
        <v>T09F3.5</v>
      </c>
      <c r="F2433" t="s">
        <v>11</v>
      </c>
      <c r="G2433" t="s">
        <v>437</v>
      </c>
      <c r="H2433" s="12">
        <v>-1.5378358049001899</v>
      </c>
      <c r="I2433" s="20">
        <v>-1.86880995773044</v>
      </c>
      <c r="J2433" s="28">
        <v>6.1649258987543698E-2</v>
      </c>
      <c r="K2433" s="29">
        <v>0.58603178307899595</v>
      </c>
    </row>
    <row r="2434" spans="1:11" x14ac:dyDescent="0.35">
      <c r="A2434" s="9" t="str">
        <f>HYPERLINK("http://www.ensembl.org/id/WBGene00007338", "WBGene00007338")</f>
        <v>WBGene00007338</v>
      </c>
      <c r="B2434" s="9" t="str">
        <f>HYPERLINK("http://www.ncbi.nlm.nih.gov/gene/182253", "182253")</f>
        <v>182253</v>
      </c>
      <c r="C2434" s="9"/>
      <c r="D2434" t="str">
        <f>"C05C12.6"</f>
        <v>C05C12.6</v>
      </c>
      <c r="F2434" t="s">
        <v>11</v>
      </c>
      <c r="G2434" t="s">
        <v>25</v>
      </c>
      <c r="H2434" s="12">
        <v>1.7853695183037801</v>
      </c>
      <c r="I2434" s="20">
        <v>1.8679843595316401</v>
      </c>
      <c r="J2434" s="28">
        <v>6.1764251033450297E-2</v>
      </c>
      <c r="K2434" s="29">
        <v>0.58681117778737701</v>
      </c>
    </row>
    <row r="2435" spans="1:11" x14ac:dyDescent="0.35">
      <c r="A2435" s="9" t="str">
        <f>HYPERLINK("http://www.ensembl.org/id/WBGene00003877", "WBGene00003877")</f>
        <v>WBGene00003877</v>
      </c>
      <c r="B2435" s="9" t="str">
        <f>HYPERLINK("http://www.ncbi.nlm.nih.gov/gene/180919", "180919")</f>
        <v>180919</v>
      </c>
      <c r="C2435" s="9" t="str">
        <f>HYPERLINK("http://www.ncbi.nlm.nih.gov/gene/6564", "6564")</f>
        <v>6564</v>
      </c>
      <c r="D2435" t="str">
        <f>"pept-1"</f>
        <v>pept-1</v>
      </c>
      <c r="E2435" t="s">
        <v>2001</v>
      </c>
      <c r="F2435" t="s">
        <v>11</v>
      </c>
      <c r="G2435" t="s">
        <v>530</v>
      </c>
      <c r="H2435" s="12">
        <v>1.5499867200792901</v>
      </c>
      <c r="I2435" s="20">
        <v>1.8669919419616401</v>
      </c>
      <c r="J2435" s="28">
        <v>6.1902713142740498E-2</v>
      </c>
      <c r="K2435" s="29">
        <v>0.58788495268235197</v>
      </c>
    </row>
    <row r="2436" spans="1:11" x14ac:dyDescent="0.35">
      <c r="A2436" s="9" t="str">
        <f>HYPERLINK("http://www.ensembl.org/id/WBGene00000088", "WBGene00000088")</f>
        <v>WBGene00000088</v>
      </c>
      <c r="B2436" s="9" t="str">
        <f>HYPERLINK("http://www.ncbi.nlm.nih.gov/gene/173358", "173358")</f>
        <v>173358</v>
      </c>
      <c r="C2436" s="9"/>
      <c r="D2436" t="str">
        <f>"aex-5"</f>
        <v>aex-5</v>
      </c>
      <c r="E2436" t="s">
        <v>2002</v>
      </c>
      <c r="F2436" t="s">
        <v>11</v>
      </c>
      <c r="G2436" t="s">
        <v>2003</v>
      </c>
      <c r="H2436" s="12">
        <v>1.4306116270643201</v>
      </c>
      <c r="I2436" s="20">
        <v>1.8667491905449001</v>
      </c>
      <c r="J2436" s="28">
        <v>6.1936620897467501E-2</v>
      </c>
      <c r="K2436" s="29">
        <v>0.58796530914416001</v>
      </c>
    </row>
    <row r="2437" spans="1:11" x14ac:dyDescent="0.35">
      <c r="A2437" s="9" t="str">
        <f>HYPERLINK("http://www.ensembl.org/id/WBGene00011365", "WBGene00011365")</f>
        <v>WBGene00011365</v>
      </c>
      <c r="B2437" s="9" t="str">
        <f>HYPERLINK("http://www.ncbi.nlm.nih.gov/gene/176305", "176305")</f>
        <v>176305</v>
      </c>
      <c r="C2437" s="9"/>
      <c r="D2437" t="str">
        <f>"T02C1.1"</f>
        <v>T02C1.1</v>
      </c>
      <c r="E2437" t="s">
        <v>2004</v>
      </c>
      <c r="F2437" t="s">
        <v>11</v>
      </c>
      <c r="G2437" t="s">
        <v>51</v>
      </c>
      <c r="H2437" s="12">
        <v>1.8196350535789501</v>
      </c>
      <c r="I2437" s="20">
        <v>1.86601640396579</v>
      </c>
      <c r="J2437" s="28">
        <v>6.2039070482949897E-2</v>
      </c>
      <c r="K2437" s="29">
        <v>0.58869600105915398</v>
      </c>
    </row>
    <row r="2438" spans="1:11" x14ac:dyDescent="0.35">
      <c r="A2438" s="9" t="str">
        <f>HYPERLINK("http://www.ensembl.org/id/WBGene00008274", "WBGene00008274")</f>
        <v>WBGene00008274</v>
      </c>
      <c r="B2438" s="9" t="str">
        <f>HYPERLINK("http://www.ncbi.nlm.nih.gov/gene/177716", "177716")</f>
        <v>177716</v>
      </c>
      <c r="C2438" s="9"/>
      <c r="D2438" t="str">
        <f>"C53B4.4"</f>
        <v>C53B4.4</v>
      </c>
      <c r="F2438" t="s">
        <v>11</v>
      </c>
      <c r="G2438" t="s">
        <v>2005</v>
      </c>
      <c r="H2438" s="12">
        <v>-1.40710006986979</v>
      </c>
      <c r="I2438" s="20">
        <v>-1.8655825047975301</v>
      </c>
      <c r="J2438" s="28">
        <v>6.2099799221652201E-2</v>
      </c>
      <c r="K2438" s="29">
        <v>0.58903036158271604</v>
      </c>
    </row>
    <row r="2439" spans="1:11" x14ac:dyDescent="0.35">
      <c r="A2439" s="9" t="str">
        <f>HYPERLINK("http://www.ensembl.org/id/WBGene00000298", "WBGene00000298")</f>
        <v>WBGene00000298</v>
      </c>
      <c r="B2439" s="9" t="str">
        <f>HYPERLINK("http://www.ncbi.nlm.nih.gov/gene/179472", "179472")</f>
        <v>179472</v>
      </c>
      <c r="C2439" s="9" t="str">
        <f>HYPERLINK("http://www.ncbi.nlm.nih.gov/gene/2643", "2643")</f>
        <v>2643</v>
      </c>
      <c r="D2439" t="str">
        <f>"cat-4"</f>
        <v>cat-4</v>
      </c>
      <c r="E2439" t="s">
        <v>2006</v>
      </c>
      <c r="F2439" t="s">
        <v>11</v>
      </c>
      <c r="G2439" t="s">
        <v>2007</v>
      </c>
      <c r="H2439" s="12">
        <v>-1.4576856760823</v>
      </c>
      <c r="I2439" s="20">
        <v>-1.8648033199729099</v>
      </c>
      <c r="J2439" s="28">
        <v>6.2208977779399703E-2</v>
      </c>
      <c r="K2439" s="29">
        <v>0.58982381640164505</v>
      </c>
    </row>
    <row r="2440" spans="1:11" x14ac:dyDescent="0.35">
      <c r="A2440" s="9" t="str">
        <f>HYPERLINK("http://www.ensembl.org/id/WBGene00015263", "WBGene00015263")</f>
        <v>WBGene00015263</v>
      </c>
      <c r="B2440" s="9" t="str">
        <f>HYPERLINK("http://www.ncbi.nlm.nih.gov/gene/182040", "182040")</f>
        <v>182040</v>
      </c>
      <c r="C2440" s="9"/>
      <c r="D2440" t="str">
        <f>"B0563.6"</f>
        <v>B0563.6</v>
      </c>
      <c r="E2440" t="s">
        <v>2008</v>
      </c>
      <c r="F2440" t="s">
        <v>11</v>
      </c>
      <c r="G2440" t="s">
        <v>1793</v>
      </c>
      <c r="H2440" s="12">
        <v>1.56621049788418</v>
      </c>
      <c r="I2440" s="20">
        <v>1.86411795477474</v>
      </c>
      <c r="J2440" s="28">
        <v>6.2305141656945603E-2</v>
      </c>
      <c r="K2440" s="29">
        <v>0.59049327445667998</v>
      </c>
    </row>
    <row r="2441" spans="1:11" x14ac:dyDescent="0.35">
      <c r="A2441" s="9" t="str">
        <f>HYPERLINK("http://www.ensembl.org/id/WBGene00202227", "WBGene00202227")</f>
        <v>WBGene00202227</v>
      </c>
      <c r="B2441" s="9"/>
      <c r="C2441" s="9"/>
      <c r="D2441" t="str">
        <f>"C03H12.3"</f>
        <v>C03H12.3</v>
      </c>
      <c r="F2441" t="s">
        <v>481</v>
      </c>
      <c r="H2441" s="12">
        <v>-2.9759182627835798</v>
      </c>
      <c r="I2441" s="20">
        <v>-1.8628119800377301</v>
      </c>
      <c r="J2441" s="28">
        <v>6.24887239345914E-2</v>
      </c>
      <c r="K2441" s="29">
        <v>0.59107352035373295</v>
      </c>
    </row>
    <row r="2442" spans="1:11" x14ac:dyDescent="0.35">
      <c r="A2442" s="9" t="str">
        <f>HYPERLINK("http://www.ensembl.org/id/WBGene00009405", "WBGene00009405")</f>
        <v>WBGene00009405</v>
      </c>
      <c r="B2442" s="9" t="str">
        <f>HYPERLINK("http://www.ncbi.nlm.nih.gov/gene/185273", "185273")</f>
        <v>185273</v>
      </c>
      <c r="C2442" s="9"/>
      <c r="D2442" t="str">
        <f>"F35C11.6"</f>
        <v>F35C11.6</v>
      </c>
      <c r="F2442" t="s">
        <v>11</v>
      </c>
      <c r="H2442" s="12">
        <v>1.51744881046795</v>
      </c>
      <c r="I2442" s="20">
        <v>1.8626036109056201</v>
      </c>
      <c r="J2442" s="28">
        <v>6.2518055952084206E-2</v>
      </c>
      <c r="K2442" s="29">
        <v>0.59107352035373295</v>
      </c>
    </row>
    <row r="2443" spans="1:11" x14ac:dyDescent="0.35">
      <c r="A2443" s="9" t="str">
        <f>HYPERLINK("http://www.ensembl.org/id/WBGene00009662", "WBGene00009662")</f>
        <v>WBGene00009662</v>
      </c>
      <c r="B2443" s="9" t="str">
        <f>HYPERLINK("http://www.ncbi.nlm.nih.gov/gene/174813", "174813")</f>
        <v>174813</v>
      </c>
      <c r="C2443" s="9"/>
      <c r="D2443" t="str">
        <f>"F43G6.10"</f>
        <v>F43G6.10</v>
      </c>
      <c r="F2443" t="s">
        <v>11</v>
      </c>
      <c r="H2443" s="12">
        <v>-1.78747430227328</v>
      </c>
      <c r="I2443" s="20">
        <v>-1.8626048373355899</v>
      </c>
      <c r="J2443" s="28">
        <v>6.2517883274849195E-2</v>
      </c>
      <c r="K2443" s="29">
        <v>0.59107352035373295</v>
      </c>
    </row>
    <row r="2444" spans="1:11" x14ac:dyDescent="0.35">
      <c r="A2444" s="9" t="str">
        <f>HYPERLINK("http://www.ensembl.org/id/WBGene00001867", "WBGene00001867")</f>
        <v>WBGene00001867</v>
      </c>
      <c r="B2444" s="9" t="str">
        <f>HYPERLINK("http://www.ncbi.nlm.nih.gov/gene/188247", "188247")</f>
        <v>188247</v>
      </c>
      <c r="C2444" s="9"/>
      <c r="D2444" t="str">
        <f>"him-8"</f>
        <v>him-8</v>
      </c>
      <c r="E2444" t="s">
        <v>1036</v>
      </c>
      <c r="F2444" t="s">
        <v>11</v>
      </c>
      <c r="G2444" t="s">
        <v>2010</v>
      </c>
      <c r="H2444" s="12">
        <v>-1.5548582428216</v>
      </c>
      <c r="I2444" s="20">
        <v>-1.86270996435664</v>
      </c>
      <c r="J2444" s="28">
        <v>6.2503083208032204E-2</v>
      </c>
      <c r="K2444" s="29">
        <v>0.59107352035373295</v>
      </c>
    </row>
    <row r="2445" spans="1:11" x14ac:dyDescent="0.35">
      <c r="A2445" s="9" t="str">
        <f>HYPERLINK("http://www.ensembl.org/id/WBGene00008118", "WBGene00008118")</f>
        <v>WBGene00008118</v>
      </c>
      <c r="B2445" s="9" t="str">
        <f>HYPERLINK("http://www.ncbi.nlm.nih.gov/gene/183517", "183517")</f>
        <v>183517</v>
      </c>
      <c r="C2445" s="9"/>
      <c r="D2445" t="str">
        <f>"madf-8"</f>
        <v>madf-8</v>
      </c>
      <c r="E2445" t="s">
        <v>881</v>
      </c>
      <c r="F2445" t="s">
        <v>11</v>
      </c>
      <c r="G2445" t="s">
        <v>2011</v>
      </c>
      <c r="H2445" s="12">
        <v>-1.6712579681678299</v>
      </c>
      <c r="I2445" s="20">
        <v>-1.8628035256106901</v>
      </c>
      <c r="J2445" s="28">
        <v>6.2489913838434399E-2</v>
      </c>
      <c r="K2445" s="29">
        <v>0.59107352035373295</v>
      </c>
    </row>
    <row r="2446" spans="1:11" x14ac:dyDescent="0.35">
      <c r="A2446" s="9" t="str">
        <f>HYPERLINK("http://www.ensembl.org/id/WBGene00006669", "WBGene00006669")</f>
        <v>WBGene00006669</v>
      </c>
      <c r="B2446" s="9" t="str">
        <f>HYPERLINK("http://www.ncbi.nlm.nih.gov/gene/179699", "179699")</f>
        <v>179699</v>
      </c>
      <c r="C2446" s="9" t="str">
        <f>HYPERLINK("http://www.ncbi.nlm.nih.gov/gene/56660", "56660")</f>
        <v>56660</v>
      </c>
      <c r="D2446" t="str">
        <f>"twk-14"</f>
        <v>twk-14</v>
      </c>
      <c r="E2446" t="s">
        <v>894</v>
      </c>
      <c r="F2446" t="s">
        <v>11</v>
      </c>
      <c r="G2446" t="s">
        <v>2009</v>
      </c>
      <c r="H2446" s="12">
        <v>2.36588674611543</v>
      </c>
      <c r="I2446" s="20">
        <v>1.86259085983892</v>
      </c>
      <c r="J2446" s="28">
        <v>6.2519851282979502E-2</v>
      </c>
      <c r="K2446" s="29">
        <v>0.59107352035373295</v>
      </c>
    </row>
    <row r="2447" spans="1:11" x14ac:dyDescent="0.35">
      <c r="A2447" s="9" t="str">
        <f>HYPERLINK("http://www.ensembl.org/id/WBGene00008944", "WBGene00008944")</f>
        <v>WBGene00008944</v>
      </c>
      <c r="B2447" s="9" t="str">
        <f>HYPERLINK("http://www.ncbi.nlm.nih.gov/gene/180319", "180319")</f>
        <v>180319</v>
      </c>
      <c r="C2447" s="9"/>
      <c r="D2447" t="str">
        <f>"F19B2.5"</f>
        <v>F19B2.5</v>
      </c>
      <c r="F2447" t="s">
        <v>11</v>
      </c>
      <c r="G2447" t="s">
        <v>2012</v>
      </c>
      <c r="H2447" s="12">
        <v>-1.6429603525505001</v>
      </c>
      <c r="I2447" s="20">
        <v>-1.86212391848421</v>
      </c>
      <c r="J2447" s="28">
        <v>6.25856252957952E-2</v>
      </c>
      <c r="K2447" s="29">
        <v>0.59145335708983404</v>
      </c>
    </row>
    <row r="2448" spans="1:11" x14ac:dyDescent="0.35">
      <c r="A2448" s="9" t="str">
        <f>HYPERLINK("http://www.ensembl.org/id/WBGene00009985", "WBGene00009985")</f>
        <v>WBGene00009985</v>
      </c>
      <c r="B2448" s="9" t="str">
        <f>HYPERLINK("http://www.ncbi.nlm.nih.gov/gene/186174", "186174")</f>
        <v>186174</v>
      </c>
      <c r="C2448" s="9"/>
      <c r="D2448" t="str">
        <f>"F53F4.1"</f>
        <v>F53F4.1</v>
      </c>
      <c r="F2448" t="s">
        <v>11</v>
      </c>
      <c r="H2448" s="12">
        <v>2.2516991148929102</v>
      </c>
      <c r="I2448" s="20">
        <v>1.8615944819851</v>
      </c>
      <c r="J2448" s="28">
        <v>6.2660271678577406E-2</v>
      </c>
      <c r="K2448" s="29">
        <v>0.59191669558675797</v>
      </c>
    </row>
    <row r="2449" spans="1:11" x14ac:dyDescent="0.35">
      <c r="A2449" s="9" t="str">
        <f>HYPERLINK("http://www.ensembl.org/id/WBGene00008602", "WBGene00008602")</f>
        <v>WBGene00008602</v>
      </c>
      <c r="B2449" s="9" t="str">
        <f>HYPERLINK("http://www.ncbi.nlm.nih.gov/gene/181226", "181226")</f>
        <v>181226</v>
      </c>
      <c r="C2449" s="9"/>
      <c r="D2449" t="str">
        <f>"oac-14"</f>
        <v>oac-14</v>
      </c>
      <c r="E2449" t="s">
        <v>883</v>
      </c>
      <c r="F2449" t="s">
        <v>11</v>
      </c>
      <c r="G2449" t="s">
        <v>884</v>
      </c>
      <c r="H2449" s="12">
        <v>-2.0076408016504299</v>
      </c>
      <c r="I2449" s="20">
        <v>-1.86116544017659</v>
      </c>
      <c r="J2449" s="28">
        <v>6.27208171911664E-2</v>
      </c>
      <c r="K2449" s="29">
        <v>0.59224650675075197</v>
      </c>
    </row>
    <row r="2450" spans="1:11" x14ac:dyDescent="0.35">
      <c r="A2450" s="9" t="str">
        <f>HYPERLINK("http://www.ensembl.org/id/WBGene00007578", "WBGene00007578")</f>
        <v>WBGene00007578</v>
      </c>
      <c r="B2450" s="9"/>
      <c r="C2450" s="9"/>
      <c r="D2450" t="str">
        <f>"C14B1.7"</f>
        <v>C14B1.7</v>
      </c>
      <c r="F2450" t="s">
        <v>80</v>
      </c>
      <c r="H2450" s="12">
        <v>-1.73340260366094</v>
      </c>
      <c r="I2450" s="20">
        <v>-1.8606358167305901</v>
      </c>
      <c r="J2450" s="28">
        <v>6.2795623286976701E-2</v>
      </c>
      <c r="K2450" s="29">
        <v>0.59271065019153801</v>
      </c>
    </row>
    <row r="2451" spans="1:11" x14ac:dyDescent="0.35">
      <c r="A2451" s="9" t="str">
        <f>HYPERLINK("http://www.ensembl.org/id/WBGene00018006", "WBGene00018006")</f>
        <v>WBGene00018006</v>
      </c>
      <c r="B2451" s="9" t="str">
        <f>HYPERLINK("http://www.ncbi.nlm.nih.gov/gene/172256", "172256")</f>
        <v>172256</v>
      </c>
      <c r="C2451" s="9"/>
      <c r="D2451" t="str">
        <f>"hpo-3"</f>
        <v>hpo-3</v>
      </c>
      <c r="F2451" t="s">
        <v>11</v>
      </c>
      <c r="G2451" t="s">
        <v>2014</v>
      </c>
      <c r="H2451" s="12">
        <v>-1.4596863563878799</v>
      </c>
      <c r="I2451" s="20">
        <v>-1.8597620455578601</v>
      </c>
      <c r="J2451" s="28">
        <v>6.2919199394212394E-2</v>
      </c>
      <c r="K2451" s="29">
        <v>0.59311941467527396</v>
      </c>
    </row>
    <row r="2452" spans="1:11" x14ac:dyDescent="0.35">
      <c r="A2452" s="9" t="str">
        <f>HYPERLINK("http://www.ensembl.org/id/WBGene00003725", "WBGene00003725")</f>
        <v>WBGene00003725</v>
      </c>
      <c r="B2452" s="9" t="str">
        <f>HYPERLINK("http://www.ncbi.nlm.nih.gov/gene/189066", "189066")</f>
        <v>189066</v>
      </c>
      <c r="C2452" s="9"/>
      <c r="D2452" t="str">
        <f>"nhr-135"</f>
        <v>nhr-135</v>
      </c>
      <c r="E2452" t="s">
        <v>637</v>
      </c>
      <c r="F2452" t="s">
        <v>11</v>
      </c>
      <c r="G2452" t="s">
        <v>2013</v>
      </c>
      <c r="H2452" s="12">
        <v>-1.45732735727347</v>
      </c>
      <c r="I2452" s="20">
        <v>-1.8596620175245999</v>
      </c>
      <c r="J2452" s="28">
        <v>6.2933359020667004E-2</v>
      </c>
      <c r="K2452" s="29">
        <v>0.59311941467527396</v>
      </c>
    </row>
    <row r="2453" spans="1:11" x14ac:dyDescent="0.35">
      <c r="A2453" s="9" t="str">
        <f>HYPERLINK("http://www.ensembl.org/id/WBGene00013753", "WBGene00013753")</f>
        <v>WBGene00013753</v>
      </c>
      <c r="B2453" s="9" t="str">
        <f>HYPERLINK("http://www.ncbi.nlm.nih.gov/gene/259683", "259683")</f>
        <v>259683</v>
      </c>
      <c r="C2453" s="9"/>
      <c r="D2453" t="str">
        <f>"Y113G7A.16"</f>
        <v>Y113G7A.16</v>
      </c>
      <c r="F2453" t="s">
        <v>11</v>
      </c>
      <c r="H2453" s="12">
        <v>4.1483947449502203</v>
      </c>
      <c r="I2453" s="20">
        <v>1.8597774494777499</v>
      </c>
      <c r="J2453" s="28">
        <v>6.2917019102009294E-2</v>
      </c>
      <c r="K2453" s="29">
        <v>0.59311941467527396</v>
      </c>
    </row>
    <row r="2454" spans="1:11" x14ac:dyDescent="0.35">
      <c r="A2454" s="9" t="str">
        <f>HYPERLINK("http://www.ensembl.org/id/WBGene00021191", "WBGene00021191")</f>
        <v>WBGene00021191</v>
      </c>
      <c r="B2454" s="9" t="str">
        <f>HYPERLINK("http://www.ncbi.nlm.nih.gov/gene/173736", "173736")</f>
        <v>173736</v>
      </c>
      <c r="C2454" s="9"/>
      <c r="D2454" t="str">
        <f>"Y14H12B.1"</f>
        <v>Y14H12B.1</v>
      </c>
      <c r="F2454" t="s">
        <v>11</v>
      </c>
      <c r="H2454" s="12">
        <v>-1.4608033342705</v>
      </c>
      <c r="I2454" s="20">
        <v>-1.85960374956965</v>
      </c>
      <c r="J2454" s="28">
        <v>6.2941608447319802E-2</v>
      </c>
      <c r="K2454" s="29">
        <v>0.59311941467527396</v>
      </c>
    </row>
    <row r="2455" spans="1:11" x14ac:dyDescent="0.35">
      <c r="A2455" s="9" t="str">
        <f>HYPERLINK("http://www.ensembl.org/id/WBGene00001588", "WBGene00001588")</f>
        <v>WBGene00001588</v>
      </c>
      <c r="B2455" s="9" t="str">
        <f>HYPERLINK("http://www.ncbi.nlm.nih.gov/gene/191638", "191638")</f>
        <v>191638</v>
      </c>
      <c r="C2455" s="9"/>
      <c r="D2455" t="str">
        <f>"ggr-3"</f>
        <v>ggr-3</v>
      </c>
      <c r="E2455" t="s">
        <v>2015</v>
      </c>
      <c r="F2455" t="s">
        <v>11</v>
      </c>
      <c r="G2455" t="s">
        <v>506</v>
      </c>
      <c r="H2455" s="12">
        <v>1.60363328303743</v>
      </c>
      <c r="I2455" s="20">
        <v>1.85927732631725</v>
      </c>
      <c r="J2455" s="28">
        <v>6.2987839141825694E-2</v>
      </c>
      <c r="K2455" s="29">
        <v>0.59331309058745396</v>
      </c>
    </row>
    <row r="2456" spans="1:11" x14ac:dyDescent="0.35">
      <c r="A2456" s="9" t="str">
        <f>HYPERLINK("http://www.ensembl.org/id/WBGene00016788", "WBGene00016788")</f>
        <v>WBGene00016788</v>
      </c>
      <c r="B2456" s="9" t="str">
        <f>HYPERLINK("http://www.ncbi.nlm.nih.gov/gene/183624", "183624")</f>
        <v>183624</v>
      </c>
      <c r="C2456" s="9"/>
      <c r="D2456" t="str">
        <f>"C49G7.10"</f>
        <v>C49G7.10</v>
      </c>
      <c r="F2456" t="s">
        <v>11</v>
      </c>
      <c r="G2456" t="s">
        <v>264</v>
      </c>
      <c r="H2456" s="12">
        <v>-1.4670084451800001</v>
      </c>
      <c r="I2456" s="20">
        <v>-1.85805411309793</v>
      </c>
      <c r="J2456" s="28">
        <v>6.3161330212688105E-2</v>
      </c>
      <c r="K2456" s="29">
        <v>0.59341892568313603</v>
      </c>
    </row>
    <row r="2457" spans="1:11" x14ac:dyDescent="0.35">
      <c r="A2457" s="9" t="str">
        <f>HYPERLINK("http://www.ensembl.org/id/WBGene00009372", "WBGene00009372")</f>
        <v>WBGene00009372</v>
      </c>
      <c r="B2457" s="9" t="str">
        <f>HYPERLINK("http://www.ncbi.nlm.nih.gov/gene/175481", "175481")</f>
        <v>175481</v>
      </c>
      <c r="C2457" s="9" t="str">
        <f>HYPERLINK("http://www.ncbi.nlm.nih.gov/gene/8318", "8318")</f>
        <v>8318</v>
      </c>
      <c r="D2457" t="str">
        <f>"evl-18"</f>
        <v>evl-18</v>
      </c>
      <c r="F2457" t="s">
        <v>11</v>
      </c>
      <c r="G2457" t="s">
        <v>2017</v>
      </c>
      <c r="H2457" s="12">
        <v>-1.5027562929832901</v>
      </c>
      <c r="I2457" s="20">
        <v>-1.8579727795369501</v>
      </c>
      <c r="J2457" s="28">
        <v>6.31728799235175E-2</v>
      </c>
      <c r="K2457" s="29">
        <v>0.59341892568313603</v>
      </c>
    </row>
    <row r="2458" spans="1:11" x14ac:dyDescent="0.35">
      <c r="A2458" s="9" t="str">
        <f>HYPERLINK("http://www.ensembl.org/id/WBGene00010002", "WBGene00010002")</f>
        <v>WBGene00010002</v>
      </c>
      <c r="B2458" s="9" t="str">
        <f>HYPERLINK("http://www.ncbi.nlm.nih.gov/gene/186182", "186182")</f>
        <v>186182</v>
      </c>
      <c r="C2458" s="9"/>
      <c r="D2458" t="str">
        <f>"F53F8.5"</f>
        <v>F53F8.5</v>
      </c>
      <c r="F2458" t="s">
        <v>11</v>
      </c>
      <c r="G2458" t="s">
        <v>1525</v>
      </c>
      <c r="H2458" s="12">
        <v>-1.4871187878165499</v>
      </c>
      <c r="I2458" s="20">
        <v>-1.85815871049635</v>
      </c>
      <c r="J2458" s="28">
        <v>6.3146479503672304E-2</v>
      </c>
      <c r="K2458" s="29">
        <v>0.59341892568313603</v>
      </c>
    </row>
    <row r="2459" spans="1:11" x14ac:dyDescent="0.35">
      <c r="A2459" s="9" t="str">
        <f>HYPERLINK("http://www.ensembl.org/id/WBGene00018908", "WBGene00018908")</f>
        <v>WBGene00018908</v>
      </c>
      <c r="B2459" s="9" t="str">
        <f>HYPERLINK("http://www.ncbi.nlm.nih.gov/gene/172159", "172159")</f>
        <v>172159</v>
      </c>
      <c r="C2459" s="9"/>
      <c r="D2459" t="str">
        <f>"fncm-1"</f>
        <v>fncm-1</v>
      </c>
      <c r="E2459" t="s">
        <v>2020</v>
      </c>
      <c r="F2459" t="s">
        <v>11</v>
      </c>
      <c r="H2459" s="12">
        <v>-1.69474517857477</v>
      </c>
      <c r="I2459" s="20">
        <v>-1.8584668268632101</v>
      </c>
      <c r="J2459" s="28">
        <v>6.3102750000240404E-2</v>
      </c>
      <c r="K2459" s="29">
        <v>0.59341892568313603</v>
      </c>
    </row>
    <row r="2460" spans="1:11" x14ac:dyDescent="0.35">
      <c r="A2460" s="9" t="str">
        <f>HYPERLINK("http://www.ensembl.org/id/WBGene00013122", "WBGene00013122")</f>
        <v>WBGene00013122</v>
      </c>
      <c r="B2460" s="9" t="str">
        <f>HYPERLINK("http://www.ncbi.nlm.nih.gov/gene/173001", "173001")</f>
        <v>173001</v>
      </c>
      <c r="C2460" s="9" t="str">
        <f>HYPERLINK("http://www.ncbi.nlm.nih.gov/gene/55364", "55364")</f>
        <v>55364</v>
      </c>
      <c r="D2460" t="str">
        <f>"impt-1"</f>
        <v>impt-1</v>
      </c>
      <c r="F2460" t="s">
        <v>11</v>
      </c>
      <c r="G2460" t="s">
        <v>54</v>
      </c>
      <c r="H2460" s="12">
        <v>-1.5575794539988299</v>
      </c>
      <c r="I2460" s="20">
        <v>-1.85802461822448</v>
      </c>
      <c r="J2460" s="28">
        <v>6.3165518408185795E-2</v>
      </c>
      <c r="K2460" s="29">
        <v>0.59341892568313603</v>
      </c>
    </row>
    <row r="2461" spans="1:11" x14ac:dyDescent="0.35">
      <c r="A2461" s="9" t="str">
        <f>HYPERLINK("http://www.ensembl.org/id/WBGene00003155", "WBGene00003155")</f>
        <v>WBGene00003155</v>
      </c>
      <c r="B2461" s="9" t="str">
        <f>HYPERLINK("http://www.ncbi.nlm.nih.gov/gene/180010", "180010")</f>
        <v>180010</v>
      </c>
      <c r="C2461" s="9"/>
      <c r="D2461" t="str">
        <f>"mcm-3"</f>
        <v>mcm-3</v>
      </c>
      <c r="E2461" t="s">
        <v>2018</v>
      </c>
      <c r="F2461" t="s">
        <v>11</v>
      </c>
      <c r="G2461" t="s">
        <v>2019</v>
      </c>
      <c r="H2461" s="12">
        <v>-1.53315581664013</v>
      </c>
      <c r="I2461" s="20">
        <v>-1.8579307278633499</v>
      </c>
      <c r="J2461" s="28">
        <v>6.3178852124145896E-2</v>
      </c>
      <c r="K2461" s="29">
        <v>0.59341892568313603</v>
      </c>
    </row>
    <row r="2462" spans="1:11" x14ac:dyDescent="0.35">
      <c r="A2462" s="9" t="str">
        <f>HYPERLINK("http://www.ensembl.org/id/WBGene00006793", "WBGene00006793")</f>
        <v>WBGene00006793</v>
      </c>
      <c r="B2462" s="9" t="str">
        <f>HYPERLINK("http://www.ncbi.nlm.nih.gov/gene/173233", "173233")</f>
        <v>173233</v>
      </c>
      <c r="C2462" s="9" t="str">
        <f>HYPERLINK("http://www.ncbi.nlm.nih.gov/gene/989", "989")</f>
        <v>989</v>
      </c>
      <c r="D2462" t="str">
        <f>"unc-59"</f>
        <v>unc-59</v>
      </c>
      <c r="F2462" t="s">
        <v>11</v>
      </c>
      <c r="G2462" t="s">
        <v>2016</v>
      </c>
      <c r="H2462" s="12">
        <v>-1.4965196170113599</v>
      </c>
      <c r="I2462" s="20">
        <v>-1.85897749722377</v>
      </c>
      <c r="J2462" s="28">
        <v>6.3030328086376597E-2</v>
      </c>
      <c r="K2462" s="29">
        <v>0.59341892568313603</v>
      </c>
    </row>
    <row r="2463" spans="1:11" x14ac:dyDescent="0.35">
      <c r="A2463" s="9" t="str">
        <f>HYPERLINK("http://www.ensembl.org/id/WBGene00000403", "WBGene00000403")</f>
        <v>WBGene00000403</v>
      </c>
      <c r="B2463" s="9" t="str">
        <f>HYPERLINK("http://www.ncbi.nlm.nih.gov/gene/174006", "174006")</f>
        <v>174006</v>
      </c>
      <c r="C2463" s="9" t="str">
        <f>HYPERLINK("http://www.ncbi.nlm.nih.gov/gene/22883", "22883")</f>
        <v>22883</v>
      </c>
      <c r="D2463" t="str">
        <f>"casy-1"</f>
        <v>casy-1</v>
      </c>
      <c r="E2463" t="s">
        <v>2021</v>
      </c>
      <c r="F2463" t="s">
        <v>11</v>
      </c>
      <c r="G2463" t="s">
        <v>2022</v>
      </c>
      <c r="H2463" s="12">
        <v>1.39559192069838</v>
      </c>
      <c r="I2463" s="20">
        <v>1.8562418333091</v>
      </c>
      <c r="J2463" s="28">
        <v>6.3419095793100497E-2</v>
      </c>
      <c r="K2463" s="29">
        <v>0.59543341218829005</v>
      </c>
    </row>
    <row r="2464" spans="1:11" x14ac:dyDescent="0.35">
      <c r="A2464" s="9" t="str">
        <f>HYPERLINK("http://www.ensembl.org/id/WBGene00008031", "WBGene00008031")</f>
        <v>WBGene00008031</v>
      </c>
      <c r="B2464" s="9" t="str">
        <f>HYPERLINK("http://www.ncbi.nlm.nih.gov/gene/183346", "183346")</f>
        <v>183346</v>
      </c>
      <c r="C2464" s="9"/>
      <c r="D2464" t="str">
        <f>"C39E9.7"</f>
        <v>C39E9.7</v>
      </c>
      <c r="F2464" t="s">
        <v>11</v>
      </c>
      <c r="G2464" t="s">
        <v>230</v>
      </c>
      <c r="H2464" s="12">
        <v>2.1067528687353101</v>
      </c>
      <c r="I2464" s="20">
        <v>1.85539444814883</v>
      </c>
      <c r="J2464" s="28">
        <v>6.3539919626297903E-2</v>
      </c>
      <c r="K2464" s="29">
        <v>0.59584147032680201</v>
      </c>
    </row>
    <row r="2465" spans="1:11" x14ac:dyDescent="0.35">
      <c r="A2465" s="9" t="str">
        <f>HYPERLINK("http://www.ensembl.org/id/WBGene00017005", "WBGene00017005")</f>
        <v>WBGene00017005</v>
      </c>
      <c r="B2465" s="9" t="str">
        <f>HYPERLINK("http://www.ncbi.nlm.nih.gov/gene/172066", "172066")</f>
        <v>172066</v>
      </c>
      <c r="C2465" s="9"/>
      <c r="D2465" t="str">
        <f>"D1007.8"</f>
        <v>D1007.8</v>
      </c>
      <c r="F2465" t="s">
        <v>11</v>
      </c>
      <c r="H2465" s="12">
        <v>-1.63308273014075</v>
      </c>
      <c r="I2465" s="20">
        <v>-1.8554599254042701</v>
      </c>
      <c r="J2465" s="28">
        <v>6.3530576821915694E-2</v>
      </c>
      <c r="K2465" s="29">
        <v>0.59584147032680201</v>
      </c>
    </row>
    <row r="2466" spans="1:11" x14ac:dyDescent="0.35">
      <c r="A2466" s="9" t="str">
        <f>HYPERLINK("http://www.ensembl.org/id/WBGene00008133", "WBGene00008133")</f>
        <v>WBGene00008133</v>
      </c>
      <c r="B2466" s="9" t="str">
        <f>HYPERLINK("http://www.ncbi.nlm.nih.gov/gene/173172", "173172")</f>
        <v>173172</v>
      </c>
      <c r="C2466" s="9" t="str">
        <f>HYPERLINK("http://www.ncbi.nlm.nih.gov/gene/60678", "60678")</f>
        <v>60678</v>
      </c>
      <c r="D2466" t="str">
        <f>"efsc-1"</f>
        <v>efsc-1</v>
      </c>
      <c r="E2466" t="s">
        <v>2023</v>
      </c>
      <c r="F2466" t="s">
        <v>11</v>
      </c>
      <c r="G2466" t="s">
        <v>2024</v>
      </c>
      <c r="H2466" s="12">
        <v>-1.61615387266921</v>
      </c>
      <c r="I2466" s="20">
        <v>-1.8557383116389301</v>
      </c>
      <c r="J2466" s="28">
        <v>6.3490867177376897E-2</v>
      </c>
      <c r="K2466" s="29">
        <v>0.59584147032680201</v>
      </c>
    </row>
    <row r="2467" spans="1:11" x14ac:dyDescent="0.35">
      <c r="A2467" s="9" t="str">
        <f>HYPERLINK("http://www.ensembl.org/id/WBGene00017717", "WBGene00017717")</f>
        <v>WBGene00017717</v>
      </c>
      <c r="B2467" s="9" t="str">
        <f>HYPERLINK("http://www.ncbi.nlm.nih.gov/gene/180867", "180867")</f>
        <v>180867</v>
      </c>
      <c r="C2467" s="9"/>
      <c r="D2467" t="str">
        <f>"F22F4.4"</f>
        <v>F22F4.4</v>
      </c>
      <c r="F2467" t="s">
        <v>11</v>
      </c>
      <c r="H2467" s="12">
        <v>1.4430547915256899</v>
      </c>
      <c r="I2467" s="20">
        <v>1.85516043714594</v>
      </c>
      <c r="J2467" s="28">
        <v>6.3573319415661703E-2</v>
      </c>
      <c r="K2467" s="29">
        <v>0.59591282694453596</v>
      </c>
    </row>
    <row r="2468" spans="1:11" x14ac:dyDescent="0.35">
      <c r="A2468" s="9" t="str">
        <f>HYPERLINK("http://www.ensembl.org/id/WBGene00008040", "WBGene00008040")</f>
        <v>WBGene00008040</v>
      </c>
      <c r="B2468" s="9" t="str">
        <f>HYPERLINK("http://www.ncbi.nlm.nih.gov/gene/176312", "176312")</f>
        <v>176312</v>
      </c>
      <c r="C2468" s="9"/>
      <c r="D2468" t="str">
        <f>"ttr-5"</f>
        <v>ttr-5</v>
      </c>
      <c r="E2468" t="s">
        <v>2025</v>
      </c>
      <c r="F2468" t="s">
        <v>11</v>
      </c>
      <c r="G2468" t="s">
        <v>2026</v>
      </c>
      <c r="H2468" s="12">
        <v>-1.4488005462459499</v>
      </c>
      <c r="I2468" s="20">
        <v>-1.8548914556495799</v>
      </c>
      <c r="J2468" s="28">
        <v>6.3611728369845397E-2</v>
      </c>
      <c r="K2468" s="29">
        <v>0.59603106071113099</v>
      </c>
    </row>
    <row r="2469" spans="1:11" x14ac:dyDescent="0.35">
      <c r="A2469" s="9" t="str">
        <f>HYPERLINK("http://www.ensembl.org/id/WBGene00017644", "WBGene00017644")</f>
        <v>WBGene00017644</v>
      </c>
      <c r="B2469" s="9" t="str">
        <f>HYPERLINK("http://www.ncbi.nlm.nih.gov/gene/177586", "177586")</f>
        <v>177586</v>
      </c>
      <c r="C2469" s="9" t="str">
        <f>HYPERLINK("http://www.ncbi.nlm.nih.gov/gene/1396", "1396")</f>
        <v>1396</v>
      </c>
      <c r="D2469" t="str">
        <f>"exc-9"</f>
        <v>exc-9</v>
      </c>
      <c r="F2469" t="s">
        <v>11</v>
      </c>
      <c r="G2469" t="s">
        <v>2027</v>
      </c>
      <c r="H2469" s="12">
        <v>1.5248224389448</v>
      </c>
      <c r="I2469" s="20">
        <v>1.85455246386627</v>
      </c>
      <c r="J2469" s="28">
        <v>6.3660161677614693E-2</v>
      </c>
      <c r="K2469" s="29">
        <v>0.59624308703808904</v>
      </c>
    </row>
    <row r="2470" spans="1:11" x14ac:dyDescent="0.35">
      <c r="A2470" s="9" t="str">
        <f>HYPERLINK("http://www.ensembl.org/id/WBGene00017565", "WBGene00017565")</f>
        <v>WBGene00017565</v>
      </c>
      <c r="B2470" s="9" t="str">
        <f>HYPERLINK("http://www.ncbi.nlm.nih.gov/gene/179130", "179130")</f>
        <v>179130</v>
      </c>
      <c r="C2470" s="9"/>
      <c r="D2470" t="str">
        <f>"ddo-2"</f>
        <v>ddo-2</v>
      </c>
      <c r="E2470" t="s">
        <v>2028</v>
      </c>
      <c r="F2470" t="s">
        <v>11</v>
      </c>
      <c r="G2470" t="s">
        <v>1078</v>
      </c>
      <c r="H2470" s="12">
        <v>1.58698314927961</v>
      </c>
      <c r="I2470" s="20">
        <v>1.8542101496950201</v>
      </c>
      <c r="J2470" s="28">
        <v>6.3709100577971606E-2</v>
      </c>
      <c r="K2470" s="29">
        <v>0.596326952853522</v>
      </c>
    </row>
    <row r="2471" spans="1:11" x14ac:dyDescent="0.35">
      <c r="A2471" s="9" t="str">
        <f>HYPERLINK("http://www.ensembl.org/id/WBGene00003086", "WBGene00003086")</f>
        <v>WBGene00003086</v>
      </c>
      <c r="B2471" s="9" t="str">
        <f>HYPERLINK("http://www.ncbi.nlm.nih.gov/gene/178361", "178361")</f>
        <v>178361</v>
      </c>
      <c r="C2471" s="9" t="str">
        <f>HYPERLINK("http://www.ncbi.nlm.nih.gov/gene/257364", "257364")</f>
        <v>257364</v>
      </c>
      <c r="D2471" t="str">
        <f>"lst-4"</f>
        <v>lst-4</v>
      </c>
      <c r="E2471" t="s">
        <v>2029</v>
      </c>
      <c r="F2471" t="s">
        <v>11</v>
      </c>
      <c r="G2471" t="s">
        <v>2030</v>
      </c>
      <c r="H2471" s="12">
        <v>-1.4282645722423399</v>
      </c>
      <c r="I2471" s="20">
        <v>-1.8539672232820099</v>
      </c>
      <c r="J2471" s="28">
        <v>6.3743849369491998E-2</v>
      </c>
      <c r="K2471" s="29">
        <v>0.596326952853522</v>
      </c>
    </row>
    <row r="2472" spans="1:11" x14ac:dyDescent="0.35">
      <c r="A2472" s="9" t="str">
        <f>HYPERLINK("http://www.ensembl.org/id/WBGene00006976", "WBGene00006976")</f>
        <v>WBGene00006976</v>
      </c>
      <c r="B2472" s="9" t="str">
        <f>HYPERLINK("http://www.ncbi.nlm.nih.gov/gene/172644", "172644")</f>
        <v>172644</v>
      </c>
      <c r="C2472" s="9"/>
      <c r="D2472" t="str">
        <f>"zhp-3"</f>
        <v>zhp-3</v>
      </c>
      <c r="E2472" t="s">
        <v>502</v>
      </c>
      <c r="F2472" t="s">
        <v>11</v>
      </c>
      <c r="G2472" t="s">
        <v>2031</v>
      </c>
      <c r="H2472" s="12">
        <v>-1.6353431133285301</v>
      </c>
      <c r="I2472" s="20">
        <v>-1.85394841168942</v>
      </c>
      <c r="J2472" s="28">
        <v>6.3746540878914501E-2</v>
      </c>
      <c r="K2472" s="29">
        <v>0.596326952853522</v>
      </c>
    </row>
    <row r="2473" spans="1:11" x14ac:dyDescent="0.35">
      <c r="A2473" s="9" t="str">
        <f>HYPERLINK("http://www.ensembl.org/id/WBGene00016037", "WBGene00016037")</f>
        <v>WBGene00016037</v>
      </c>
      <c r="B2473" s="9" t="str">
        <f>HYPERLINK("http://www.ncbi.nlm.nih.gov/gene/180706", "180706")</f>
        <v>180706</v>
      </c>
      <c r="C2473" s="9"/>
      <c r="D2473" t="str">
        <f>"dop-6"</f>
        <v>dop-6</v>
      </c>
      <c r="E2473" t="s">
        <v>1425</v>
      </c>
      <c r="F2473" t="s">
        <v>11</v>
      </c>
      <c r="G2473" t="s">
        <v>2032</v>
      </c>
      <c r="H2473" s="12">
        <v>2.14839633562503</v>
      </c>
      <c r="I2473" s="20">
        <v>1.8531038225360601</v>
      </c>
      <c r="J2473" s="28">
        <v>6.3867479056552295E-2</v>
      </c>
      <c r="K2473" s="29">
        <v>0.59649230844005596</v>
      </c>
    </row>
    <row r="2474" spans="1:11" x14ac:dyDescent="0.35">
      <c r="A2474" s="9" t="str">
        <f>HYPERLINK("http://www.ensembl.org/id/WBGene00018189", "WBGene00018189")</f>
        <v>WBGene00018189</v>
      </c>
      <c r="B2474" s="9" t="str">
        <f>HYPERLINK("http://www.ncbi.nlm.nih.gov/gene/185483", "185483")</f>
        <v>185483</v>
      </c>
      <c r="C2474" s="9"/>
      <c r="D2474" t="str">
        <f>"nhr-181"</f>
        <v>nhr-181</v>
      </c>
      <c r="E2474" t="s">
        <v>637</v>
      </c>
      <c r="F2474" t="s">
        <v>11</v>
      </c>
      <c r="G2474" t="s">
        <v>2033</v>
      </c>
      <c r="H2474" s="12">
        <v>-2.2439673222552998</v>
      </c>
      <c r="I2474" s="20">
        <v>-1.8533069157658</v>
      </c>
      <c r="J2474" s="28">
        <v>6.3838380495784594E-2</v>
      </c>
      <c r="K2474" s="29">
        <v>0.59649230844005596</v>
      </c>
    </row>
    <row r="2475" spans="1:11" x14ac:dyDescent="0.35">
      <c r="A2475" s="9" t="str">
        <f>HYPERLINK("http://www.ensembl.org/id/WBGene00010969", "WBGene00010969")</f>
        <v>WBGene00010969</v>
      </c>
      <c r="B2475" s="9" t="str">
        <f>HYPERLINK("http://www.ncbi.nlm.nih.gov/gene/181476", "181476")</f>
        <v>181476</v>
      </c>
      <c r="C2475" s="9"/>
      <c r="D2475" t="str">
        <f>"R01E6.5"</f>
        <v>R01E6.5</v>
      </c>
      <c r="F2475" t="s">
        <v>11</v>
      </c>
      <c r="H2475" s="12">
        <v>2.4910535177058502</v>
      </c>
      <c r="I2475" s="20">
        <v>1.8536183962058801</v>
      </c>
      <c r="J2475" s="28">
        <v>6.3793773830566003E-2</v>
      </c>
      <c r="K2475" s="29">
        <v>0.59649230844005596</v>
      </c>
    </row>
    <row r="2476" spans="1:11" x14ac:dyDescent="0.35">
      <c r="A2476" s="9" t="str">
        <f>HYPERLINK("http://www.ensembl.org/id/WBGene00012861", "WBGene00012861")</f>
        <v>WBGene00012861</v>
      </c>
      <c r="B2476" s="9" t="str">
        <f>HYPERLINK("http://www.ncbi.nlm.nih.gov/gene/189908", "189908")</f>
        <v>189908</v>
      </c>
      <c r="C2476" s="9"/>
      <c r="D2476" t="str">
        <f>"Y45F3A.4"</f>
        <v>Y45F3A.4</v>
      </c>
      <c r="F2476" t="s">
        <v>11</v>
      </c>
      <c r="H2476" s="12">
        <v>1.5687198588289599</v>
      </c>
      <c r="I2476" s="20">
        <v>1.85317764911927</v>
      </c>
      <c r="J2476" s="28">
        <v>6.3856900148342999E-2</v>
      </c>
      <c r="K2476" s="29">
        <v>0.59649230844005596</v>
      </c>
    </row>
    <row r="2477" spans="1:11" x14ac:dyDescent="0.35">
      <c r="A2477" s="9" t="str">
        <f>HYPERLINK("http://www.ensembl.org/id/WBGene00001461", "WBGene00001461")</f>
        <v>WBGene00001461</v>
      </c>
      <c r="B2477" s="9" t="str">
        <f>HYPERLINK("http://www.ncbi.nlm.nih.gov/gene/180587", "180587")</f>
        <v>180587</v>
      </c>
      <c r="C2477" s="9"/>
      <c r="D2477" t="str">
        <f>"flp-18"</f>
        <v>flp-18</v>
      </c>
      <c r="E2477" t="s">
        <v>2034</v>
      </c>
      <c r="F2477" t="s">
        <v>11</v>
      </c>
      <c r="G2477" t="s">
        <v>77</v>
      </c>
      <c r="H2477" s="12">
        <v>1.44045658620199</v>
      </c>
      <c r="I2477" s="20">
        <v>1.85285424192055</v>
      </c>
      <c r="J2477" s="28">
        <v>6.3903253185532999E-2</v>
      </c>
      <c r="K2477" s="29">
        <v>0.59658528004239397</v>
      </c>
    </row>
    <row r="2478" spans="1:11" x14ac:dyDescent="0.35">
      <c r="A2478" s="9" t="str">
        <f>HYPERLINK("http://www.ensembl.org/id/WBGene00002256", "WBGene00002256")</f>
        <v>WBGene00002256</v>
      </c>
      <c r="B2478" s="9" t="str">
        <f>HYPERLINK("http://www.ncbi.nlm.nih.gov/gene/179161", "179161")</f>
        <v>179161</v>
      </c>
      <c r="C2478" s="9"/>
      <c r="D2478" t="str">
        <f>"lbp-4"</f>
        <v>lbp-4</v>
      </c>
      <c r="E2478" t="s">
        <v>2038</v>
      </c>
      <c r="F2478" t="s">
        <v>11</v>
      </c>
      <c r="G2478" t="s">
        <v>2037</v>
      </c>
      <c r="H2478" s="12">
        <v>-1.54447118960226</v>
      </c>
      <c r="I2478" s="20">
        <v>-1.85183231641516</v>
      </c>
      <c r="J2478" s="28">
        <v>6.4049905535307899E-2</v>
      </c>
      <c r="K2478" s="29">
        <v>0.59723047510041305</v>
      </c>
    </row>
    <row r="2479" spans="1:11" x14ac:dyDescent="0.35">
      <c r="A2479" s="9" t="str">
        <f>HYPERLINK("http://www.ensembl.org/id/WBGene00002258", "WBGene00002258")</f>
        <v>WBGene00002258</v>
      </c>
      <c r="B2479" s="9" t="str">
        <f>HYPERLINK("http://www.ncbi.nlm.nih.gov/gene/172390", "172390")</f>
        <v>172390</v>
      </c>
      <c r="C2479" s="9" t="str">
        <f>HYPERLINK("http://www.ncbi.nlm.nih.gov/gene/2167", "2167")</f>
        <v>2167</v>
      </c>
      <c r="D2479" t="str">
        <f>"lbp-6"</f>
        <v>lbp-6</v>
      </c>
      <c r="E2479" t="s">
        <v>2036</v>
      </c>
      <c r="F2479" t="s">
        <v>11</v>
      </c>
      <c r="G2479" t="s">
        <v>2037</v>
      </c>
      <c r="H2479" s="12">
        <v>-1.3927016250644999</v>
      </c>
      <c r="I2479" s="20">
        <v>-1.85190712999735</v>
      </c>
      <c r="J2479" s="28">
        <v>6.4039159924646302E-2</v>
      </c>
      <c r="K2479" s="29">
        <v>0.59723047510041305</v>
      </c>
    </row>
    <row r="2480" spans="1:11" x14ac:dyDescent="0.35">
      <c r="A2480" s="9" t="str">
        <f>HYPERLINK("http://www.ensembl.org/id/WBGene00004876", "WBGene00004876")</f>
        <v>WBGene00004876</v>
      </c>
      <c r="B2480" s="9" t="str">
        <f>HYPERLINK("http://www.ncbi.nlm.nih.gov/gene/180939", "180939")</f>
        <v>180939</v>
      </c>
      <c r="C2480" s="9" t="str">
        <f>HYPERLINK("http://www.ncbi.nlm.nih.gov/gene/4891", "4891")</f>
        <v>4891</v>
      </c>
      <c r="D2480" t="str">
        <f>"smf-1"</f>
        <v>smf-1</v>
      </c>
      <c r="E2480" t="s">
        <v>2035</v>
      </c>
      <c r="F2480" t="s">
        <v>11</v>
      </c>
      <c r="G2480" t="s">
        <v>575</v>
      </c>
      <c r="H2480" s="12">
        <v>1.4768088294876001</v>
      </c>
      <c r="I2480" s="20">
        <v>1.8518982636121299</v>
      </c>
      <c r="J2480" s="28">
        <v>6.4040433341892605E-2</v>
      </c>
      <c r="K2480" s="29">
        <v>0.59723047510041305</v>
      </c>
    </row>
    <row r="2481" spans="1:11" x14ac:dyDescent="0.35">
      <c r="A2481" s="9" t="str">
        <f>HYPERLINK("http://www.ensembl.org/id/WBGene00011036", "WBGene00011036")</f>
        <v>WBGene00011036</v>
      </c>
      <c r="B2481" s="9" t="str">
        <f>HYPERLINK("http://www.ncbi.nlm.nih.gov/gene/172653", "172653")</f>
        <v>172653</v>
      </c>
      <c r="C2481" s="9"/>
      <c r="D2481" t="str">
        <f>"edc-3"</f>
        <v>edc-3</v>
      </c>
      <c r="E2481" t="s">
        <v>2041</v>
      </c>
      <c r="F2481" t="s">
        <v>11</v>
      </c>
      <c r="G2481" t="s">
        <v>2042</v>
      </c>
      <c r="H2481" s="12">
        <v>-1.4212405536471</v>
      </c>
      <c r="I2481" s="20">
        <v>-1.8506313870070501</v>
      </c>
      <c r="J2481" s="28">
        <v>6.4222601073904706E-2</v>
      </c>
      <c r="K2481" s="29">
        <v>0.59835783081195204</v>
      </c>
    </row>
    <row r="2482" spans="1:11" x14ac:dyDescent="0.35">
      <c r="A2482" s="9" t="str">
        <f>HYPERLINK("http://www.ensembl.org/id/WBGene00006435", "WBGene00006435")</f>
        <v>WBGene00006435</v>
      </c>
      <c r="B2482" s="9" t="str">
        <f>HYPERLINK("http://www.ncbi.nlm.nih.gov/gene/184934", "184934")</f>
        <v>184934</v>
      </c>
      <c r="C2482" s="9" t="str">
        <f>HYPERLINK("http://www.ncbi.nlm.nih.gov/gene/51144", "51144")</f>
        <v>51144</v>
      </c>
      <c r="D2482" t="str">
        <f>"stdh-4"</f>
        <v>stdh-4</v>
      </c>
      <c r="E2482" t="s">
        <v>2039</v>
      </c>
      <c r="F2482" t="s">
        <v>11</v>
      </c>
      <c r="G2482" t="s">
        <v>2040</v>
      </c>
      <c r="H2482" s="12">
        <v>17.388304111154302</v>
      </c>
      <c r="I2482" s="20">
        <v>1.8506957942467801</v>
      </c>
      <c r="J2482" s="28">
        <v>6.4213329465881805E-2</v>
      </c>
      <c r="K2482" s="29">
        <v>0.59835783081195204</v>
      </c>
    </row>
    <row r="2483" spans="1:11" x14ac:dyDescent="0.35">
      <c r="A2483" s="9" t="str">
        <f>HYPERLINK("http://www.ensembl.org/id/WBGene00001769", "WBGene00001769")</f>
        <v>WBGene00001769</v>
      </c>
      <c r="B2483" s="9" t="str">
        <f>HYPERLINK("http://www.ncbi.nlm.nih.gov/gene/191412", "191412")</f>
        <v>191412</v>
      </c>
      <c r="C2483" s="9" t="str">
        <f>HYPERLINK("http://www.ncbi.nlm.nih.gov/gene/27306", "27306")</f>
        <v>27306</v>
      </c>
      <c r="D2483" t="str">
        <f>"gst-21"</f>
        <v>gst-21</v>
      </c>
      <c r="E2483" t="s">
        <v>272</v>
      </c>
      <c r="F2483" t="s">
        <v>11</v>
      </c>
      <c r="G2483" t="s">
        <v>876</v>
      </c>
      <c r="H2483" s="12">
        <v>1.6075365666096</v>
      </c>
      <c r="I2483" s="20">
        <v>1.8490864087102099</v>
      </c>
      <c r="J2483" s="28">
        <v>6.4445336594015995E-2</v>
      </c>
      <c r="K2483" s="29">
        <v>0.59952031852963295</v>
      </c>
    </row>
    <row r="2484" spans="1:11" x14ac:dyDescent="0.35">
      <c r="A2484" s="9" t="str">
        <f>HYPERLINK("http://www.ensembl.org/id/WBGene00001881", "WBGene00001881")</f>
        <v>WBGene00001881</v>
      </c>
      <c r="B2484" s="9" t="str">
        <f>HYPERLINK("http://www.ncbi.nlm.nih.gov/gene/191669", "191669")</f>
        <v>191669</v>
      </c>
      <c r="C2484" s="9" t="str">
        <f>HYPERLINK("http://www.ncbi.nlm.nih.gov/gene/8338", "8338")</f>
        <v>8338</v>
      </c>
      <c r="D2484" t="str">
        <f>"his-7"</f>
        <v>his-7</v>
      </c>
      <c r="E2484" t="s">
        <v>1912</v>
      </c>
      <c r="F2484" t="s">
        <v>11</v>
      </c>
      <c r="G2484" t="s">
        <v>232</v>
      </c>
      <c r="H2484" s="12">
        <v>6.1783769505696897</v>
      </c>
      <c r="I2484" s="20">
        <v>1.84941053891408</v>
      </c>
      <c r="J2484" s="28">
        <v>6.4398554805269403E-2</v>
      </c>
      <c r="K2484" s="29">
        <v>0.59952031852963295</v>
      </c>
    </row>
    <row r="2485" spans="1:11" x14ac:dyDescent="0.35">
      <c r="A2485" s="9" t="str">
        <f>HYPERLINK("http://www.ensembl.org/id/WBGene00002267", "WBGene00002267")</f>
        <v>WBGene00002267</v>
      </c>
      <c r="B2485" s="9" t="str">
        <f>HYPERLINK("http://www.ncbi.nlm.nih.gov/gene/175488", "175488")</f>
        <v>175488</v>
      </c>
      <c r="C2485" s="9"/>
      <c r="D2485" t="str">
        <f>"lec-4"</f>
        <v>lec-4</v>
      </c>
      <c r="E2485" t="s">
        <v>2043</v>
      </c>
      <c r="F2485" t="s">
        <v>11</v>
      </c>
      <c r="G2485" t="s">
        <v>2044</v>
      </c>
      <c r="H2485" s="12">
        <v>1.3932330585467501</v>
      </c>
      <c r="I2485" s="20">
        <v>1.8489705904871701</v>
      </c>
      <c r="J2485" s="28">
        <v>6.44620594661586E-2</v>
      </c>
      <c r="K2485" s="29">
        <v>0.59952031852963295</v>
      </c>
    </row>
    <row r="2486" spans="1:11" x14ac:dyDescent="0.35">
      <c r="A2486" s="9" t="str">
        <f>HYPERLINK("http://www.ensembl.org/id/WBGene00002889", "WBGene00002889")</f>
        <v>WBGene00002889</v>
      </c>
      <c r="B2486" s="9" t="str">
        <f>HYPERLINK("http://www.ncbi.nlm.nih.gov/gene/175934", "175934")</f>
        <v>175934</v>
      </c>
      <c r="C2486" s="9" t="str">
        <f>HYPERLINK("http://www.ncbi.nlm.nih.gov/gene/55206", "55206")</f>
        <v>55206</v>
      </c>
      <c r="D2486" t="str">
        <f>"let-765"</f>
        <v>let-765</v>
      </c>
      <c r="E2486" t="s">
        <v>2045</v>
      </c>
      <c r="F2486" t="s">
        <v>11</v>
      </c>
      <c r="G2486" t="s">
        <v>2046</v>
      </c>
      <c r="H2486" s="12">
        <v>-1.3919645425806</v>
      </c>
      <c r="I2486" s="20">
        <v>-1.84877555209195</v>
      </c>
      <c r="J2486" s="28">
        <v>6.4490228950375997E-2</v>
      </c>
      <c r="K2486" s="29">
        <v>0.59952031852963295</v>
      </c>
    </row>
    <row r="2487" spans="1:11" x14ac:dyDescent="0.35">
      <c r="A2487" s="9" t="str">
        <f>HYPERLINK("http://www.ensembl.org/id/WBGene00010309", "WBGene00010309")</f>
        <v>WBGene00010309</v>
      </c>
      <c r="B2487" s="9" t="str">
        <f>HYPERLINK("http://www.ncbi.nlm.nih.gov/gene/176273", "176273")</f>
        <v>176273</v>
      </c>
      <c r="C2487" s="9"/>
      <c r="D2487" t="str">
        <f>"rpn-6.2"</f>
        <v>rpn-6.2</v>
      </c>
      <c r="E2487" t="s">
        <v>2048</v>
      </c>
      <c r="F2487" t="s">
        <v>11</v>
      </c>
      <c r="H2487" s="12">
        <v>-1.73281099044114</v>
      </c>
      <c r="I2487" s="20">
        <v>-1.84869243158834</v>
      </c>
      <c r="J2487" s="28">
        <v>6.4502237169799997E-2</v>
      </c>
      <c r="K2487" s="29">
        <v>0.59952031852963295</v>
      </c>
    </row>
    <row r="2488" spans="1:11" x14ac:dyDescent="0.35">
      <c r="A2488" s="9" t="str">
        <f>HYPERLINK("http://www.ensembl.org/id/WBGene00011688", "WBGene00011688")</f>
        <v>WBGene00011688</v>
      </c>
      <c r="B2488" s="9" t="str">
        <f>HYPERLINK("http://www.ncbi.nlm.nih.gov/gene/180070", "180070")</f>
        <v>180070</v>
      </c>
      <c r="C2488" s="9"/>
      <c r="D2488" t="str">
        <f>"T10C6.6"</f>
        <v>T10C6.6</v>
      </c>
      <c r="F2488" t="s">
        <v>11</v>
      </c>
      <c r="G2488" t="s">
        <v>2047</v>
      </c>
      <c r="H2488" s="12">
        <v>-1.4563402679317601</v>
      </c>
      <c r="I2488" s="20">
        <v>-1.8486867941137299</v>
      </c>
      <c r="J2488" s="28">
        <v>6.4503051669032696E-2</v>
      </c>
      <c r="K2488" s="29">
        <v>0.59952031852963295</v>
      </c>
    </row>
    <row r="2489" spans="1:11" x14ac:dyDescent="0.35">
      <c r="A2489" s="9" t="str">
        <f>HYPERLINK("http://www.ensembl.org/id/WBGene00008485", "WBGene00008485")</f>
        <v>WBGene00008485</v>
      </c>
      <c r="B2489" s="9" t="str">
        <f>HYPERLINK("http://www.ncbi.nlm.nih.gov/gene/184052", "184052")</f>
        <v>184052</v>
      </c>
      <c r="C2489" s="9"/>
      <c r="D2489" t="str">
        <f>"ugt-43"</f>
        <v>ugt-43</v>
      </c>
      <c r="E2489" t="s">
        <v>103</v>
      </c>
      <c r="F2489" t="s">
        <v>11</v>
      </c>
      <c r="G2489" t="s">
        <v>104</v>
      </c>
      <c r="H2489" s="12">
        <v>-8.88837155241308</v>
      </c>
      <c r="I2489" s="20">
        <v>-1.84663041466287</v>
      </c>
      <c r="J2489" s="28">
        <v>6.4800723035484398E-2</v>
      </c>
      <c r="K2489" s="29">
        <v>0.60204483572895195</v>
      </c>
    </row>
    <row r="2490" spans="1:11" x14ac:dyDescent="0.35">
      <c r="A2490" s="9" t="str">
        <f>HYPERLINK("http://www.ensembl.org/id/WBGene00014120", "WBGene00014120")</f>
        <v>WBGene00014120</v>
      </c>
      <c r="B2490" s="9" t="str">
        <f>HYPERLINK("http://www.ncbi.nlm.nih.gov/gene/259389", "259389")</f>
        <v>259389</v>
      </c>
      <c r="C2490" s="9" t="str">
        <f>HYPERLINK("http://www.ncbi.nlm.nih.gov/gene/51605", "51605")</f>
        <v>51605</v>
      </c>
      <c r="D2490" t="str">
        <f>"ZK858.7"</f>
        <v>ZK858.7</v>
      </c>
      <c r="F2490" t="s">
        <v>11</v>
      </c>
      <c r="G2490" t="s">
        <v>2049</v>
      </c>
      <c r="H2490" s="12">
        <v>-1.5062771234335099</v>
      </c>
      <c r="I2490" s="20">
        <v>-1.84636482506829</v>
      </c>
      <c r="J2490" s="28">
        <v>6.4839250993661099E-2</v>
      </c>
      <c r="K2490" s="29">
        <v>0.60216066457376805</v>
      </c>
    </row>
    <row r="2491" spans="1:11" x14ac:dyDescent="0.35">
      <c r="A2491" s="9" t="str">
        <f>HYPERLINK("http://www.ensembl.org/id/WBGene00010262", "WBGene00010262")</f>
        <v>WBGene00010262</v>
      </c>
      <c r="B2491" s="9" t="str">
        <f>HYPERLINK("http://www.ncbi.nlm.nih.gov/gene/179895", "179895")</f>
        <v>179895</v>
      </c>
      <c r="C2491" s="9"/>
      <c r="D2491" t="str">
        <f>"droe-4"</f>
        <v>droe-4</v>
      </c>
      <c r="E2491" t="s">
        <v>2050</v>
      </c>
      <c r="F2491" t="s">
        <v>11</v>
      </c>
      <c r="H2491" s="12">
        <v>1.5925303816946701</v>
      </c>
      <c r="I2491" s="20">
        <v>1.8457936150618599</v>
      </c>
      <c r="J2491" s="28">
        <v>6.4922178048652204E-2</v>
      </c>
      <c r="K2491" s="29">
        <v>0.60250843057155601</v>
      </c>
    </row>
    <row r="2492" spans="1:11" x14ac:dyDescent="0.35">
      <c r="A2492" s="9" t="str">
        <f>HYPERLINK("http://www.ensembl.org/id/WBGene00017687", "WBGene00017687")</f>
        <v>WBGene00017687</v>
      </c>
      <c r="B2492" s="9" t="str">
        <f>HYPERLINK("http://www.ncbi.nlm.nih.gov/gene/180927", "180927")</f>
        <v>180927</v>
      </c>
      <c r="C2492" s="9"/>
      <c r="D2492" t="str">
        <f>"ets-4"</f>
        <v>ets-4</v>
      </c>
      <c r="E2492" t="s">
        <v>2051</v>
      </c>
      <c r="F2492" t="s">
        <v>11</v>
      </c>
      <c r="G2492" t="s">
        <v>1243</v>
      </c>
      <c r="H2492" s="12">
        <v>-1.64652511864486</v>
      </c>
      <c r="I2492" s="20">
        <v>-1.8457476889090201</v>
      </c>
      <c r="J2492" s="28">
        <v>6.4928849308542202E-2</v>
      </c>
      <c r="K2492" s="29">
        <v>0.60250843057155601</v>
      </c>
    </row>
    <row r="2493" spans="1:11" x14ac:dyDescent="0.35">
      <c r="A2493" s="9" t="str">
        <f>HYPERLINK("http://www.ensembl.org/id/WBGene00009163", "WBGene00009163")</f>
        <v>WBGene00009163</v>
      </c>
      <c r="B2493" s="9" t="str">
        <f>HYPERLINK("http://www.ncbi.nlm.nih.gov/gene/172830", "172830")</f>
        <v>172830</v>
      </c>
      <c r="C2493" s="9" t="str">
        <f>HYPERLINK("http://www.ncbi.nlm.nih.gov/gene/29102", "29102")</f>
        <v>29102</v>
      </c>
      <c r="D2493" t="str">
        <f>"drsh-1"</f>
        <v>drsh-1</v>
      </c>
      <c r="E2493" t="s">
        <v>2052</v>
      </c>
      <c r="F2493" t="s">
        <v>11</v>
      </c>
      <c r="G2493" t="s">
        <v>2053</v>
      </c>
      <c r="H2493" s="12">
        <v>-1.48726422804848</v>
      </c>
      <c r="I2493" s="20">
        <v>-1.8442788742284499</v>
      </c>
      <c r="J2493" s="28">
        <v>6.5142508647718006E-2</v>
      </c>
      <c r="K2493" s="29">
        <v>0.60400594093666704</v>
      </c>
    </row>
    <row r="2494" spans="1:11" x14ac:dyDescent="0.35">
      <c r="A2494" s="9" t="str">
        <f>HYPERLINK("http://www.ensembl.org/id/WBGene00012853", "WBGene00012853")</f>
        <v>WBGene00012853</v>
      </c>
      <c r="B2494" s="9" t="str">
        <f>HYPERLINK("http://www.ncbi.nlm.nih.gov/gene/180360", "180360")</f>
        <v>180360</v>
      </c>
      <c r="C2494" s="9"/>
      <c r="D2494" t="str">
        <f>"Y44A6D.2"</f>
        <v>Y44A6D.2</v>
      </c>
      <c r="F2494" t="s">
        <v>11</v>
      </c>
      <c r="H2494" s="12">
        <v>1.4973943511421299</v>
      </c>
      <c r="I2494" s="20">
        <v>1.8443665009391099</v>
      </c>
      <c r="J2494" s="28">
        <v>6.5129745889348195E-2</v>
      </c>
      <c r="K2494" s="29">
        <v>0.60400594093666704</v>
      </c>
    </row>
    <row r="2495" spans="1:11" x14ac:dyDescent="0.35">
      <c r="A2495" s="9" t="str">
        <f>HYPERLINK("http://www.ensembl.org/id/WBGene00019549", "WBGene00019549")</f>
        <v>WBGene00019549</v>
      </c>
      <c r="B2495" s="9" t="str">
        <f>HYPERLINK("http://www.ncbi.nlm.nih.gov/gene/187194", "187194")</f>
        <v>187194</v>
      </c>
      <c r="C2495" s="9"/>
      <c r="D2495" t="str">
        <f>"K09C4.4"</f>
        <v>K09C4.4</v>
      </c>
      <c r="F2495" t="s">
        <v>11</v>
      </c>
      <c r="G2495" t="s">
        <v>230</v>
      </c>
      <c r="H2495" s="12">
        <v>-4.1581314884168403</v>
      </c>
      <c r="I2495" s="20">
        <v>-1.84409841447516</v>
      </c>
      <c r="J2495" s="28">
        <v>6.5168798960922494E-2</v>
      </c>
      <c r="K2495" s="29">
        <v>0.60400732803492796</v>
      </c>
    </row>
    <row r="2496" spans="1:11" x14ac:dyDescent="0.35">
      <c r="A2496" s="9" t="str">
        <f>HYPERLINK("http://www.ensembl.org/id/WBGene00008145", "WBGene00008145")</f>
        <v>WBGene00008145</v>
      </c>
      <c r="B2496" s="9" t="str">
        <f>HYPERLINK("http://www.ncbi.nlm.nih.gov/gene/179973", "179973")</f>
        <v>179973</v>
      </c>
      <c r="C2496" s="9"/>
      <c r="D2496" t="str">
        <f>"set-5"</f>
        <v>set-5</v>
      </c>
      <c r="E2496" t="s">
        <v>2055</v>
      </c>
      <c r="F2496" t="s">
        <v>11</v>
      </c>
      <c r="G2496" t="s">
        <v>54</v>
      </c>
      <c r="H2496" s="12">
        <v>-1.5935969517239601</v>
      </c>
      <c r="I2496" s="20">
        <v>-1.84351600788745</v>
      </c>
      <c r="J2496" s="28">
        <v>6.5253706676991902E-2</v>
      </c>
      <c r="K2496" s="29">
        <v>0.60430947754652298</v>
      </c>
    </row>
    <row r="2497" spans="1:11" x14ac:dyDescent="0.35">
      <c r="A2497" s="9" t="str">
        <f>HYPERLINK("http://www.ensembl.org/id/WBGene00022767", "WBGene00022767")</f>
        <v>WBGene00022767</v>
      </c>
      <c r="B2497" s="9" t="str">
        <f>HYPERLINK("http://www.ncbi.nlm.nih.gov/gene/191351", "191351")</f>
        <v>191351</v>
      </c>
      <c r="C2497" s="9" t="str">
        <f>HYPERLINK("http://www.ncbi.nlm.nih.gov/gene/6569", "6569")</f>
        <v>6569</v>
      </c>
      <c r="D2497" t="str">
        <f>"ZK563.2"</f>
        <v>ZK563.2</v>
      </c>
      <c r="F2497" t="s">
        <v>11</v>
      </c>
      <c r="G2497" t="s">
        <v>2054</v>
      </c>
      <c r="H2497" s="12">
        <v>2.6049504648599302</v>
      </c>
      <c r="I2497" s="20">
        <v>1.8436268740780499</v>
      </c>
      <c r="J2497" s="28">
        <v>6.5237536723399298E-2</v>
      </c>
      <c r="K2497" s="29">
        <v>0.60430947754652298</v>
      </c>
    </row>
    <row r="2498" spans="1:11" x14ac:dyDescent="0.35">
      <c r="A2498" s="9" t="str">
        <f>HYPERLINK("http://www.ensembl.org/id/WBGene00219800", "WBGene00219800")</f>
        <v>WBGene00219800</v>
      </c>
      <c r="B2498" s="9"/>
      <c r="C2498" s="9"/>
      <c r="D2498" t="str">
        <f>"C05D9.12"</f>
        <v>C05D9.12</v>
      </c>
      <c r="F2498" t="s">
        <v>481</v>
      </c>
      <c r="H2498" s="12">
        <v>-2.8641326646163199</v>
      </c>
      <c r="I2498" s="20">
        <v>-1.8429096435612</v>
      </c>
      <c r="J2498" s="28">
        <v>6.53422040552602E-2</v>
      </c>
      <c r="K2498" s="29">
        <v>0.60488660532886296</v>
      </c>
    </row>
    <row r="2499" spans="1:11" x14ac:dyDescent="0.35">
      <c r="A2499" s="9" t="str">
        <f>HYPERLINK("http://www.ensembl.org/id/WBGene00017648", "WBGene00017648")</f>
        <v>WBGene00017648</v>
      </c>
      <c r="B2499" s="9" t="str">
        <f>HYPERLINK("http://www.ncbi.nlm.nih.gov/gene/184746", "184746")</f>
        <v>184746</v>
      </c>
      <c r="C2499" s="9"/>
      <c r="D2499" t="str">
        <f>"ddo-3"</f>
        <v>ddo-3</v>
      </c>
      <c r="E2499" t="s">
        <v>2056</v>
      </c>
      <c r="F2499" t="s">
        <v>11</v>
      </c>
      <c r="G2499" t="s">
        <v>1078</v>
      </c>
      <c r="H2499" s="12">
        <v>-1.55234086934674</v>
      </c>
      <c r="I2499" s="20">
        <v>-1.8416796280693799</v>
      </c>
      <c r="J2499" s="28">
        <v>6.5522025804629402E-2</v>
      </c>
      <c r="K2499" s="29">
        <v>0.60630834130627398</v>
      </c>
    </row>
    <row r="2500" spans="1:11" x14ac:dyDescent="0.35">
      <c r="A2500" s="9" t="str">
        <f>HYPERLINK("http://www.ensembl.org/id/WBGene00017514", "WBGene00017514")</f>
        <v>WBGene00017514</v>
      </c>
      <c r="B2500" s="9" t="str">
        <f>HYPERLINK("http://www.ncbi.nlm.nih.gov/gene/184574", "184574")</f>
        <v>184574</v>
      </c>
      <c r="C2500" s="9"/>
      <c r="D2500" t="str">
        <f>"F16F9.3"</f>
        <v>F16F9.3</v>
      </c>
      <c r="F2500" t="s">
        <v>11</v>
      </c>
      <c r="G2500" t="s">
        <v>325</v>
      </c>
      <c r="H2500" s="12">
        <v>2.8252794873254801</v>
      </c>
      <c r="I2500" s="20">
        <v>1.8412957595819199</v>
      </c>
      <c r="J2500" s="28">
        <v>6.5578228808894204E-2</v>
      </c>
      <c r="K2500" s="29">
        <v>0.60658549033559295</v>
      </c>
    </row>
    <row r="2501" spans="1:11" x14ac:dyDescent="0.35">
      <c r="A2501" s="9" t="str">
        <f>HYPERLINK("http://www.ensembl.org/id/WBGene00021828", "WBGene00021828")</f>
        <v>WBGene00021828</v>
      </c>
      <c r="B2501" s="9" t="str">
        <f>HYPERLINK("http://www.ncbi.nlm.nih.gov/gene/171890", "171890")</f>
        <v>171890</v>
      </c>
      <c r="C2501" s="9" t="str">
        <f>HYPERLINK("http://www.ncbi.nlm.nih.gov/gene/57470", "57470")</f>
        <v>57470</v>
      </c>
      <c r="D2501" t="str">
        <f>"Y54E10A.6"</f>
        <v>Y54E10A.6</v>
      </c>
      <c r="F2501" t="s">
        <v>11</v>
      </c>
      <c r="G2501" t="s">
        <v>2057</v>
      </c>
      <c r="H2501" s="12">
        <v>-1.5179652796882499</v>
      </c>
      <c r="I2501" s="20">
        <v>-1.8406947263259901</v>
      </c>
      <c r="J2501" s="28">
        <v>6.5666307198448598E-2</v>
      </c>
      <c r="K2501" s="29">
        <v>0.60715714050714398</v>
      </c>
    </row>
    <row r="2502" spans="1:11" x14ac:dyDescent="0.35">
      <c r="A2502" s="9" t="str">
        <f>HYPERLINK("http://www.ensembl.org/id/WBGene00007911", "WBGene00007911")</f>
        <v>WBGene00007911</v>
      </c>
      <c r="B2502" s="9" t="str">
        <f>HYPERLINK("http://www.ncbi.nlm.nih.gov/gene/172618", "172618")</f>
        <v>172618</v>
      </c>
      <c r="C2502" s="9"/>
      <c r="D2502" t="str">
        <f>"C34B7.1"</f>
        <v>C34B7.1</v>
      </c>
      <c r="F2502" t="s">
        <v>11</v>
      </c>
      <c r="H2502" s="12">
        <v>1.6276329633400199</v>
      </c>
      <c r="I2502" s="20">
        <v>1.8400612889930099</v>
      </c>
      <c r="J2502" s="28">
        <v>6.5759239766431804E-2</v>
      </c>
      <c r="K2502" s="29">
        <v>0.607773197617269</v>
      </c>
    </row>
    <row r="2503" spans="1:11" x14ac:dyDescent="0.35">
      <c r="A2503" s="9" t="str">
        <f>HYPERLINK("http://www.ensembl.org/id/WBGene00016119", "WBGene00016119")</f>
        <v>WBGene00016119</v>
      </c>
      <c r="B2503" s="9" t="str">
        <f>HYPERLINK("http://www.ncbi.nlm.nih.gov/gene/173965", "173965")</f>
        <v>173965</v>
      </c>
      <c r="C2503" s="9"/>
      <c r="D2503" t="str">
        <f>"C25H3.10"</f>
        <v>C25H3.10</v>
      </c>
      <c r="F2503" t="s">
        <v>11</v>
      </c>
      <c r="G2503" t="s">
        <v>54</v>
      </c>
      <c r="H2503" s="12">
        <v>-1.43605837180687</v>
      </c>
      <c r="I2503" s="20">
        <v>-1.8396712609261801</v>
      </c>
      <c r="J2503" s="28">
        <v>6.5816515292334898E-2</v>
      </c>
      <c r="K2503" s="29">
        <v>0.60805933720299399</v>
      </c>
    </row>
    <row r="2504" spans="1:11" x14ac:dyDescent="0.35">
      <c r="A2504" s="9" t="str">
        <f>HYPERLINK("http://www.ensembl.org/id/WBGene00016378", "WBGene00016378")</f>
        <v>WBGene00016378</v>
      </c>
      <c r="B2504" s="9" t="str">
        <f>HYPERLINK("http://www.ncbi.nlm.nih.gov/gene/177565", "177565")</f>
        <v>177565</v>
      </c>
      <c r="C2504" s="9"/>
      <c r="D2504" t="str">
        <f>"imp-3"</f>
        <v>imp-3</v>
      </c>
      <c r="E2504" t="s">
        <v>2058</v>
      </c>
      <c r="F2504" t="s">
        <v>11</v>
      </c>
      <c r="G2504" t="s">
        <v>2059</v>
      </c>
      <c r="H2504" s="12">
        <v>-1.4031571963969001</v>
      </c>
      <c r="I2504" s="20">
        <v>-1.83897468809361</v>
      </c>
      <c r="J2504" s="28">
        <v>6.5918909131908898E-2</v>
      </c>
      <c r="K2504" s="29">
        <v>0.60876191622777298</v>
      </c>
    </row>
    <row r="2505" spans="1:11" x14ac:dyDescent="0.35">
      <c r="A2505" s="9" t="str">
        <f>HYPERLINK("http://www.ensembl.org/id/WBGene00010685", "WBGene00010685")</f>
        <v>WBGene00010685</v>
      </c>
      <c r="B2505" s="9" t="str">
        <f>HYPERLINK("http://www.ncbi.nlm.nih.gov/gene/180022", "180022")</f>
        <v>180022</v>
      </c>
      <c r="C2505" s="9" t="str">
        <f>HYPERLINK("http://www.ncbi.nlm.nih.gov/gene/9948", "9948")</f>
        <v>9948</v>
      </c>
      <c r="D2505" t="str">
        <f>"aipl-1"</f>
        <v>aipl-1</v>
      </c>
      <c r="E2505" t="s">
        <v>2066</v>
      </c>
      <c r="F2505" t="s">
        <v>11</v>
      </c>
      <c r="G2505" t="s">
        <v>2067</v>
      </c>
      <c r="H2505" s="12">
        <v>-1.4353699832802</v>
      </c>
      <c r="I2505" s="20">
        <v>-1.8379807906343599</v>
      </c>
      <c r="J2505" s="28">
        <v>6.6065235948207901E-2</v>
      </c>
      <c r="K2505" s="29">
        <v>0.60910626828818104</v>
      </c>
    </row>
    <row r="2506" spans="1:11" x14ac:dyDescent="0.35">
      <c r="A2506" s="9" t="str">
        <f>HYPERLINK("http://www.ensembl.org/id/WBGene00017262", "WBGene00017262")</f>
        <v>WBGene00017262</v>
      </c>
      <c r="B2506" s="9" t="str">
        <f>HYPERLINK("http://www.ncbi.nlm.nih.gov/gene/178924", "178924")</f>
        <v>178924</v>
      </c>
      <c r="C2506" s="9"/>
      <c r="D2506" t="str">
        <f>"F08F3.4"</f>
        <v>F08F3.4</v>
      </c>
      <c r="F2506" t="s">
        <v>11</v>
      </c>
      <c r="G2506" t="s">
        <v>2060</v>
      </c>
      <c r="H2506" s="12">
        <v>1.55822306738849</v>
      </c>
      <c r="I2506" s="20">
        <v>1.8382774344799699</v>
      </c>
      <c r="J2506" s="28">
        <v>6.6021534484978106E-2</v>
      </c>
      <c r="K2506" s="29">
        <v>0.60910626828818104</v>
      </c>
    </row>
    <row r="2507" spans="1:11" x14ac:dyDescent="0.35">
      <c r="A2507" s="9" t="str">
        <f>HYPERLINK("http://www.ensembl.org/id/WBGene00017710", "WBGene00017710")</f>
        <v>WBGene00017710</v>
      </c>
      <c r="B2507" s="9" t="str">
        <f>HYPERLINK("http://www.ncbi.nlm.nih.gov/gene/184840", "184840")</f>
        <v>184840</v>
      </c>
      <c r="C2507" s="9"/>
      <c r="D2507" t="str">
        <f>"F22E5.12"</f>
        <v>F22E5.12</v>
      </c>
      <c r="F2507" t="s">
        <v>11</v>
      </c>
      <c r="G2507" t="s">
        <v>2068</v>
      </c>
      <c r="H2507" s="12">
        <v>-2.16205614224971</v>
      </c>
      <c r="I2507" s="20">
        <v>-1.83837463882277</v>
      </c>
      <c r="J2507" s="28">
        <v>6.6007219559548705E-2</v>
      </c>
      <c r="K2507" s="29">
        <v>0.60910626828818104</v>
      </c>
    </row>
    <row r="2508" spans="1:11" x14ac:dyDescent="0.35">
      <c r="A2508" s="9" t="str">
        <f>HYPERLINK("http://www.ensembl.org/id/WBGene00009162", "WBGene00009162")</f>
        <v>WBGene00009162</v>
      </c>
      <c r="B2508" s="9" t="str">
        <f>HYPERLINK("http://www.ncbi.nlm.nih.gov/gene/172829", "172829")</f>
        <v>172829</v>
      </c>
      <c r="C2508" s="9"/>
      <c r="D2508" t="str">
        <f>"F26E4.7"</f>
        <v>F26E4.7</v>
      </c>
      <c r="F2508" t="s">
        <v>11</v>
      </c>
      <c r="G2508" t="s">
        <v>2061</v>
      </c>
      <c r="H2508" s="12">
        <v>1.5284337071066001</v>
      </c>
      <c r="I2508" s="20">
        <v>1.8379940514062301</v>
      </c>
      <c r="J2508" s="28">
        <v>6.6063281867295598E-2</v>
      </c>
      <c r="K2508" s="29">
        <v>0.60910626828818104</v>
      </c>
    </row>
    <row r="2509" spans="1:11" x14ac:dyDescent="0.35">
      <c r="A2509" s="9" t="str">
        <f>HYPERLINK("http://www.ensembl.org/id/WBGene00002064", "WBGene00002064")</f>
        <v>WBGene00002064</v>
      </c>
      <c r="B2509" s="9" t="str">
        <f>HYPERLINK("http://www.ncbi.nlm.nih.gov/gene/176373", "176373")</f>
        <v>176373</v>
      </c>
      <c r="C2509" s="9" t="str">
        <f>HYPERLINK("http://www.ncbi.nlm.nih.gov/gene/143244", "143244")</f>
        <v>143244</v>
      </c>
      <c r="D2509" t="str">
        <f>"iff-1"</f>
        <v>iff-1</v>
      </c>
      <c r="E2509" t="s">
        <v>2062</v>
      </c>
      <c r="F2509" t="s">
        <v>11</v>
      </c>
      <c r="G2509" t="s">
        <v>2063</v>
      </c>
      <c r="H2509" s="12">
        <v>-1.40402697018544</v>
      </c>
      <c r="I2509" s="20">
        <v>-1.8376474965956899</v>
      </c>
      <c r="J2509" s="28">
        <v>6.6114365137486295E-2</v>
      </c>
      <c r="K2509" s="29">
        <v>0.60910626828818104</v>
      </c>
    </row>
    <row r="2510" spans="1:11" x14ac:dyDescent="0.35">
      <c r="A2510" s="9" t="str">
        <f>HYPERLINK("http://www.ensembl.org/id/WBGene00016739", "WBGene00016739")</f>
        <v>WBGene00016739</v>
      </c>
      <c r="B2510" s="9" t="str">
        <f>HYPERLINK("http://www.ncbi.nlm.nih.gov/gene/177512", "177512")</f>
        <v>177512</v>
      </c>
      <c r="C2510" s="9" t="str">
        <f>HYPERLINK("http://www.ncbi.nlm.nih.gov/gene/6574", "6574")</f>
        <v>6574</v>
      </c>
      <c r="D2510" t="str">
        <f>"pitr-1"</f>
        <v>pitr-1</v>
      </c>
      <c r="E2510" t="s">
        <v>2064</v>
      </c>
      <c r="F2510" t="s">
        <v>11</v>
      </c>
      <c r="G2510" t="s">
        <v>2065</v>
      </c>
      <c r="H2510" s="12">
        <v>-1.40776732179747</v>
      </c>
      <c r="I2510" s="20">
        <v>-1.8377629961001201</v>
      </c>
      <c r="J2510" s="28">
        <v>6.6097336532065898E-2</v>
      </c>
      <c r="K2510" s="29">
        <v>0.60910626828818104</v>
      </c>
    </row>
    <row r="2511" spans="1:11" x14ac:dyDescent="0.35">
      <c r="A2511" s="9" t="str">
        <f>HYPERLINK("http://www.ensembl.org/id/WBGene00086546", "WBGene00086546")</f>
        <v>WBGene00086546</v>
      </c>
      <c r="B2511" s="9" t="str">
        <f>HYPERLINK("http://www.ncbi.nlm.nih.gov/gene/183643", "183643")</f>
        <v>183643</v>
      </c>
      <c r="C2511" s="9"/>
      <c r="D2511" t="str">
        <f>"cil-1"</f>
        <v>cil-1</v>
      </c>
      <c r="E2511" t="s">
        <v>2070</v>
      </c>
      <c r="F2511" t="s">
        <v>11</v>
      </c>
      <c r="G2511" t="s">
        <v>2071</v>
      </c>
      <c r="H2511" s="12">
        <v>-1.45012892772252</v>
      </c>
      <c r="I2511" s="20">
        <v>-1.8361939031654899</v>
      </c>
      <c r="J2511" s="28">
        <v>6.6328984064916996E-2</v>
      </c>
      <c r="K2511" s="29">
        <v>0.610110472055721</v>
      </c>
    </row>
    <row r="2512" spans="1:11" x14ac:dyDescent="0.35">
      <c r="A2512" s="9" t="str">
        <f>HYPERLINK("http://www.ensembl.org/id/WBGene00017541", "WBGene00017541")</f>
        <v>WBGene00017541</v>
      </c>
      <c r="B2512" s="9" t="str">
        <f>HYPERLINK("http://www.ncbi.nlm.nih.gov/gene/177630", "177630")</f>
        <v>177630</v>
      </c>
      <c r="C2512" s="9"/>
      <c r="D2512" t="str">
        <f>"F17E9.4"</f>
        <v>F17E9.4</v>
      </c>
      <c r="F2512" t="s">
        <v>11</v>
      </c>
      <c r="H2512" s="12">
        <v>-1.3891106227941099</v>
      </c>
      <c r="I2512" s="20">
        <v>-1.8363263498701801</v>
      </c>
      <c r="J2512" s="28">
        <v>6.6309404951447298E-2</v>
      </c>
      <c r="K2512" s="29">
        <v>0.610110472055721</v>
      </c>
    </row>
    <row r="2513" spans="1:11" x14ac:dyDescent="0.35">
      <c r="A2513" s="9" t="str">
        <f>HYPERLINK("http://www.ensembl.org/id/WBGene00009978", "WBGene00009978")</f>
        <v>WBGene00009978</v>
      </c>
      <c r="B2513" s="9" t="str">
        <f>HYPERLINK("http://www.ncbi.nlm.nih.gov/gene/180050", "180050")</f>
        <v>180050</v>
      </c>
      <c r="C2513" s="9" t="str">
        <f>HYPERLINK("http://www.ncbi.nlm.nih.gov/gene/116138", "116138")</f>
        <v>116138</v>
      </c>
      <c r="D2513" t="str">
        <f>"F53E4.1"</f>
        <v>F53E4.1</v>
      </c>
      <c r="F2513" t="s">
        <v>11</v>
      </c>
      <c r="G2513" t="s">
        <v>2069</v>
      </c>
      <c r="H2513" s="12">
        <v>-1.4200816412622499</v>
      </c>
      <c r="I2513" s="20">
        <v>-1.8365131811006099</v>
      </c>
      <c r="J2513" s="28">
        <v>6.6281794467008895E-2</v>
      </c>
      <c r="K2513" s="29">
        <v>0.610110472055721</v>
      </c>
    </row>
    <row r="2514" spans="1:11" x14ac:dyDescent="0.35">
      <c r="A2514" s="9" t="str">
        <f>HYPERLINK("http://www.ensembl.org/id/WBGene00019224", "WBGene00019224")</f>
        <v>WBGene00019224</v>
      </c>
      <c r="B2514" s="9" t="str">
        <f>HYPERLINK("http://www.ncbi.nlm.nih.gov/gene/186759", "186759")</f>
        <v>186759</v>
      </c>
      <c r="C2514" s="9"/>
      <c r="D2514" t="str">
        <f>"gnrr-5"</f>
        <v>gnrr-5</v>
      </c>
      <c r="E2514" t="s">
        <v>270</v>
      </c>
      <c r="F2514" t="s">
        <v>11</v>
      </c>
      <c r="G2514" t="s">
        <v>1022</v>
      </c>
      <c r="H2514" s="12">
        <v>1.8366671839399999</v>
      </c>
      <c r="I2514" s="20">
        <v>1.8366786953362899</v>
      </c>
      <c r="J2514" s="28">
        <v>6.6257342185196202E-2</v>
      </c>
      <c r="K2514" s="29">
        <v>0.610110472055721</v>
      </c>
    </row>
    <row r="2515" spans="1:11" x14ac:dyDescent="0.35">
      <c r="A2515" s="9" t="str">
        <f>HYPERLINK("http://www.ensembl.org/id/WBGene00015824", "WBGene00015824")</f>
        <v>WBGene00015824</v>
      </c>
      <c r="B2515" s="9" t="str">
        <f>HYPERLINK("http://www.ncbi.nlm.nih.gov/gene/180682", "180682")</f>
        <v>180682</v>
      </c>
      <c r="C2515" s="9"/>
      <c r="D2515" t="str">
        <f>"C16B8.4"</f>
        <v>C16B8.4</v>
      </c>
      <c r="F2515" t="s">
        <v>11</v>
      </c>
      <c r="G2515" t="s">
        <v>417</v>
      </c>
      <c r="H2515" s="12">
        <v>1.67593640193142</v>
      </c>
      <c r="I2515" s="20">
        <v>1.8357513787022299</v>
      </c>
      <c r="J2515" s="28">
        <v>6.6394435383900594E-2</v>
      </c>
      <c r="K2515" s="29">
        <v>0.61013851404898101</v>
      </c>
    </row>
    <row r="2516" spans="1:11" x14ac:dyDescent="0.35">
      <c r="A2516" s="9" t="str">
        <f>HYPERLINK("http://www.ensembl.org/id/WBGene00018541", "WBGene00018541")</f>
        <v>WBGene00018541</v>
      </c>
      <c r="B2516" s="9" t="str">
        <f>HYPERLINK("http://www.ncbi.nlm.nih.gov/gene/185909", "185909")</f>
        <v>185909</v>
      </c>
      <c r="C2516" s="9"/>
      <c r="D2516" t="str">
        <f>"nhr-186"</f>
        <v>nhr-186</v>
      </c>
      <c r="E2516" t="s">
        <v>637</v>
      </c>
      <c r="F2516" t="s">
        <v>11</v>
      </c>
      <c r="G2516" t="s">
        <v>1073</v>
      </c>
      <c r="H2516" s="12">
        <v>8.7410806472399205</v>
      </c>
      <c r="I2516" s="20">
        <v>1.8357866268929799</v>
      </c>
      <c r="J2516" s="28">
        <v>6.6389220071799301E-2</v>
      </c>
      <c r="K2516" s="29">
        <v>0.61013851404898101</v>
      </c>
    </row>
    <row r="2517" spans="1:11" x14ac:dyDescent="0.35">
      <c r="A2517" s="9" t="str">
        <f>HYPERLINK("http://www.ensembl.org/id/WBGene00019861", "WBGene00019861")</f>
        <v>WBGene00019861</v>
      </c>
      <c r="B2517" s="9" t="str">
        <f>HYPERLINK("http://www.ncbi.nlm.nih.gov/gene/187562", "187562")</f>
        <v>187562</v>
      </c>
      <c r="C2517" s="9"/>
      <c r="D2517" t="str">
        <f>"R04A9.1"</f>
        <v>R04A9.1</v>
      </c>
      <c r="F2517" t="s">
        <v>11</v>
      </c>
      <c r="G2517" t="s">
        <v>25</v>
      </c>
      <c r="H2517" s="12">
        <v>5.0341727795074496</v>
      </c>
      <c r="I2517" s="20">
        <v>1.83545934935053</v>
      </c>
      <c r="J2517" s="28">
        <v>6.6437656943964196E-2</v>
      </c>
      <c r="K2517" s="29">
        <v>0.61013851404898101</v>
      </c>
    </row>
    <row r="2518" spans="1:11" x14ac:dyDescent="0.35">
      <c r="A2518" s="9" t="str">
        <f>HYPERLINK("http://www.ensembl.org/id/WBGene00021355", "WBGene00021355")</f>
        <v>WBGene00021355</v>
      </c>
      <c r="B2518" s="9" t="str">
        <f>HYPERLINK("http://www.ncbi.nlm.nih.gov/gene/171775", "171775")</f>
        <v>171775</v>
      </c>
      <c r="C2518" s="9" t="str">
        <f>HYPERLINK("http://www.ncbi.nlm.nih.gov/gene/29958", "29958")</f>
        <v>29958</v>
      </c>
      <c r="D2518" t="str">
        <f>"Y37E3.17"</f>
        <v>Y37E3.17</v>
      </c>
      <c r="F2518" t="s">
        <v>11</v>
      </c>
      <c r="G2518" t="s">
        <v>2072</v>
      </c>
      <c r="H2518" s="12">
        <v>-1.3967899262547601</v>
      </c>
      <c r="I2518" s="20">
        <v>-1.83561764824521</v>
      </c>
      <c r="J2518" s="28">
        <v>6.6414225172788499E-2</v>
      </c>
      <c r="K2518" s="29">
        <v>0.61013851404898101</v>
      </c>
    </row>
    <row r="2519" spans="1:11" x14ac:dyDescent="0.35">
      <c r="A2519" s="9" t="str">
        <f>HYPERLINK("http://www.ensembl.org/id/WBGene00004306", "WBGene00004306")</f>
        <v>WBGene00004306</v>
      </c>
      <c r="B2519" s="9" t="str">
        <f>HYPERLINK("http://www.ncbi.nlm.nih.gov/gene/174011", "174011")</f>
        <v>174011</v>
      </c>
      <c r="C2519" s="9"/>
      <c r="D2519" t="str">
        <f>"ran-5"</f>
        <v>ran-5</v>
      </c>
      <c r="E2519" t="s">
        <v>2073</v>
      </c>
      <c r="F2519" t="s">
        <v>11</v>
      </c>
      <c r="G2519" t="s">
        <v>2074</v>
      </c>
      <c r="H2519" s="12">
        <v>-1.4291093615619099</v>
      </c>
      <c r="I2519" s="20">
        <v>-1.83461410338671</v>
      </c>
      <c r="J2519" s="28">
        <v>6.6562887500503806E-2</v>
      </c>
      <c r="K2519" s="29">
        <v>0.61104572053501804</v>
      </c>
    </row>
    <row r="2520" spans="1:11" x14ac:dyDescent="0.35">
      <c r="A2520" s="9" t="str">
        <f>HYPERLINK("http://www.ensembl.org/id/WBGene00017625", "WBGene00017625")</f>
        <v>WBGene00017625</v>
      </c>
      <c r="B2520" s="9" t="str">
        <f>HYPERLINK("http://www.ncbi.nlm.nih.gov/gene/181790", "181790")</f>
        <v>181790</v>
      </c>
      <c r="C2520" s="9" t="str">
        <f>HYPERLINK("http://www.ncbi.nlm.nih.gov/gene/7357", "7357")</f>
        <v>7357</v>
      </c>
      <c r="D2520" t="str">
        <f>"cgt-2"</f>
        <v>cgt-2</v>
      </c>
      <c r="E2520" t="s">
        <v>2075</v>
      </c>
      <c r="F2520" t="s">
        <v>11</v>
      </c>
      <c r="G2520" t="s">
        <v>1389</v>
      </c>
      <c r="H2520" s="12">
        <v>-1.56800093354535</v>
      </c>
      <c r="I2520" s="20">
        <v>-1.83416026058838</v>
      </c>
      <c r="J2520" s="28">
        <v>6.6630208443697894E-2</v>
      </c>
      <c r="K2520" s="29">
        <v>0.611420808697412</v>
      </c>
    </row>
    <row r="2521" spans="1:11" x14ac:dyDescent="0.35">
      <c r="A2521" s="9" t="str">
        <f>HYPERLINK("http://www.ensembl.org/id/WBGene00007257", "WBGene00007257")</f>
        <v>WBGene00007257</v>
      </c>
      <c r="B2521" s="9" t="str">
        <f>HYPERLINK("http://www.ncbi.nlm.nih.gov/gene/182094", "182094")</f>
        <v>182094</v>
      </c>
      <c r="C2521" s="9"/>
      <c r="D2521" t="str">
        <f>"C01H6.8"</f>
        <v>C01H6.8</v>
      </c>
      <c r="F2521" t="s">
        <v>11</v>
      </c>
      <c r="G2521" t="s">
        <v>25</v>
      </c>
      <c r="H2521" s="12">
        <v>2.0688789785028301</v>
      </c>
      <c r="I2521" s="20">
        <v>1.83363478383533</v>
      </c>
      <c r="J2521" s="28">
        <v>6.6708225273110405E-2</v>
      </c>
      <c r="K2521" s="29">
        <v>0.61167657726783997</v>
      </c>
    </row>
    <row r="2522" spans="1:11" x14ac:dyDescent="0.35">
      <c r="A2522" s="9" t="str">
        <f>HYPERLINK("http://www.ensembl.org/id/WBGene00011038", "WBGene00011038")</f>
        <v>WBGene00011038</v>
      </c>
      <c r="B2522" s="9" t="str">
        <f>HYPERLINK("http://www.ncbi.nlm.nih.gov/gene/174582", "174582")</f>
        <v>174582</v>
      </c>
      <c r="C2522" s="9" t="str">
        <f>HYPERLINK("http://www.ncbi.nlm.nih.gov/gene/158046", "158046")</f>
        <v>158046</v>
      </c>
      <c r="D2522" t="str">
        <f>"R05H5.3"</f>
        <v>R05H5.3</v>
      </c>
      <c r="F2522" t="s">
        <v>11</v>
      </c>
      <c r="H2522" s="12">
        <v>-1.50255607916381</v>
      </c>
      <c r="I2522" s="20">
        <v>-1.8335334413516799</v>
      </c>
      <c r="J2522" s="28">
        <v>6.6723280105177404E-2</v>
      </c>
      <c r="K2522" s="29">
        <v>0.61167657726783997</v>
      </c>
    </row>
    <row r="2523" spans="1:11" x14ac:dyDescent="0.35">
      <c r="A2523" s="9" t="str">
        <f>HYPERLINK("http://www.ensembl.org/id/WBGene00011858", "WBGene00011858")</f>
        <v>WBGene00011858</v>
      </c>
      <c r="B2523" s="9" t="str">
        <f>HYPERLINK("http://www.ncbi.nlm.nih.gov/gene/177763", "177763")</f>
        <v>177763</v>
      </c>
      <c r="C2523" s="9" t="str">
        <f>HYPERLINK("http://www.ncbi.nlm.nih.gov/gene/92014", "92014")</f>
        <v>92014</v>
      </c>
      <c r="D2523" t="str">
        <f>"T20D3.5"</f>
        <v>T20D3.5</v>
      </c>
      <c r="F2523" t="s">
        <v>11</v>
      </c>
      <c r="G2523" t="s">
        <v>25</v>
      </c>
      <c r="H2523" s="12">
        <v>-1.4725294730701499</v>
      </c>
      <c r="I2523" s="20">
        <v>-1.8332596183423699</v>
      </c>
      <c r="J2523" s="28">
        <v>6.6763971603457595E-2</v>
      </c>
      <c r="K2523" s="29">
        <v>0.61167657726783997</v>
      </c>
    </row>
    <row r="2524" spans="1:11" x14ac:dyDescent="0.35">
      <c r="A2524" s="9" t="str">
        <f>HYPERLINK("http://www.ensembl.org/id/WBGene00013498", "WBGene00013498")</f>
        <v>WBGene00013498</v>
      </c>
      <c r="B2524" s="9" t="str">
        <f>HYPERLINK("http://www.ncbi.nlm.nih.gov/gene/190572", "190572")</f>
        <v>190572</v>
      </c>
      <c r="C2524" s="9"/>
      <c r="D2524" t="str">
        <f>"Y70G10A.2"</f>
        <v>Y70G10A.2</v>
      </c>
      <c r="F2524" t="s">
        <v>11</v>
      </c>
      <c r="G2524" t="s">
        <v>25</v>
      </c>
      <c r="H2524" s="12">
        <v>2.8608361552921999</v>
      </c>
      <c r="I2524" s="20">
        <v>1.83330742546428</v>
      </c>
      <c r="J2524" s="28">
        <v>6.6756865748870395E-2</v>
      </c>
      <c r="K2524" s="29">
        <v>0.61167657726783997</v>
      </c>
    </row>
    <row r="2525" spans="1:11" x14ac:dyDescent="0.35">
      <c r="A2525" s="9" t="str">
        <f>HYPERLINK("http://www.ensembl.org/id/WBGene00008641", "WBGene00008641")</f>
        <v>WBGene00008641</v>
      </c>
      <c r="B2525" s="9" t="str">
        <f>HYPERLINK("http://www.ncbi.nlm.nih.gov/gene/174313", "174313")</f>
        <v>174313</v>
      </c>
      <c r="C2525" s="9"/>
      <c r="D2525" t="str">
        <f>"pch-2"</f>
        <v>pch-2</v>
      </c>
      <c r="E2525" t="s">
        <v>2076</v>
      </c>
      <c r="F2525" t="s">
        <v>11</v>
      </c>
      <c r="G2525" t="s">
        <v>1460</v>
      </c>
      <c r="H2525" s="12">
        <v>-1.58556833600379</v>
      </c>
      <c r="I2525" s="20">
        <v>-1.8329167927988801</v>
      </c>
      <c r="J2525" s="28">
        <v>6.6814946035392994E-2</v>
      </c>
      <c r="K2525" s="29">
        <v>0.61190096832888996</v>
      </c>
    </row>
    <row r="2526" spans="1:11" x14ac:dyDescent="0.35">
      <c r="A2526" s="9" t="str">
        <f>HYPERLINK("http://www.ensembl.org/id/WBGene00007882", "WBGene00007882")</f>
        <v>WBGene00007882</v>
      </c>
      <c r="B2526" s="9" t="str">
        <f>HYPERLINK("http://www.ncbi.nlm.nih.gov/gene/183139", "183139")</f>
        <v>183139</v>
      </c>
      <c r="C2526" s="9" t="str">
        <f>HYPERLINK("http://www.ncbi.nlm.nih.gov/gene/132321", "132321")</f>
        <v>132321</v>
      </c>
      <c r="D2526" t="str">
        <f>"C33A12.3"</f>
        <v>C33A12.3</v>
      </c>
      <c r="F2526" t="s">
        <v>11</v>
      </c>
      <c r="H2526" s="12">
        <v>-1.4249765867253801</v>
      </c>
      <c r="I2526" s="20">
        <v>-1.83064561984622</v>
      </c>
      <c r="J2526" s="28">
        <v>6.7153454688775996E-2</v>
      </c>
      <c r="K2526" s="29">
        <v>0.61451395011439902</v>
      </c>
    </row>
    <row r="2527" spans="1:11" x14ac:dyDescent="0.35">
      <c r="A2527" s="9" t="str">
        <f>HYPERLINK("http://www.ensembl.org/id/WBGene00001117", "WBGene00001117")</f>
        <v>WBGene00001117</v>
      </c>
      <c r="B2527" s="9" t="str">
        <f>HYPERLINK("http://www.ncbi.nlm.nih.gov/gene/172122", "172122")</f>
        <v>172122</v>
      </c>
      <c r="C2527" s="9" t="str">
        <f>HYPERLINK("http://www.ncbi.nlm.nih.gov/gene/150737", "150737")</f>
        <v>150737</v>
      </c>
      <c r="D2527" t="str">
        <f>"dyf-1"</f>
        <v>dyf-1</v>
      </c>
      <c r="E2527" t="s">
        <v>2077</v>
      </c>
      <c r="F2527" t="s">
        <v>11</v>
      </c>
      <c r="G2527" t="s">
        <v>2078</v>
      </c>
      <c r="H2527" s="12">
        <v>1.7139055136780501</v>
      </c>
      <c r="I2527" s="20">
        <v>1.83073858869842</v>
      </c>
      <c r="J2527" s="28">
        <v>6.7139570421168304E-2</v>
      </c>
      <c r="K2527" s="29">
        <v>0.61451395011439902</v>
      </c>
    </row>
    <row r="2528" spans="1:11" x14ac:dyDescent="0.35">
      <c r="A2528" s="9" t="str">
        <f>HYPERLINK("http://www.ensembl.org/id/WBGene00017134", "WBGene00017134")</f>
        <v>WBGene00017134</v>
      </c>
      <c r="B2528" s="9" t="str">
        <f>HYPERLINK("http://www.ncbi.nlm.nih.gov/gene/184042", "184042")</f>
        <v>184042</v>
      </c>
      <c r="C2528" s="9"/>
      <c r="D2528" t="str">
        <f>"EEED8.3"</f>
        <v>EEED8.3</v>
      </c>
      <c r="F2528" t="s">
        <v>11</v>
      </c>
      <c r="H2528" s="12">
        <v>-1.51004547259796</v>
      </c>
      <c r="I2528" s="20">
        <v>-1.83022919742563</v>
      </c>
      <c r="J2528" s="28">
        <v>6.7215673556293695E-2</v>
      </c>
      <c r="K2528" s="29">
        <v>0.614596499086554</v>
      </c>
    </row>
    <row r="2529" spans="1:11" x14ac:dyDescent="0.35">
      <c r="A2529" s="9" t="str">
        <f>HYPERLINK("http://www.ensembl.org/id/WBGene00019905", "WBGene00019905")</f>
        <v>WBGene00019905</v>
      </c>
      <c r="B2529" s="9" t="str">
        <f>HYPERLINK("http://www.ncbi.nlm.nih.gov/gene/187627", "187627")</f>
        <v>187627</v>
      </c>
      <c r="C2529" s="9"/>
      <c r="D2529" t="str">
        <f>"R05G9.3"</f>
        <v>R05G9.3</v>
      </c>
      <c r="F2529" t="s">
        <v>11</v>
      </c>
      <c r="G2529" t="s">
        <v>25</v>
      </c>
      <c r="H2529" s="12">
        <v>-1.6569128861026201</v>
      </c>
      <c r="I2529" s="20">
        <v>-1.83034984672121</v>
      </c>
      <c r="J2529" s="28">
        <v>6.7197642119285694E-2</v>
      </c>
      <c r="K2529" s="29">
        <v>0.614596499086554</v>
      </c>
    </row>
    <row r="2530" spans="1:11" x14ac:dyDescent="0.35">
      <c r="A2530" s="9" t="str">
        <f>HYPERLINK("http://www.ensembl.org/id/WBGene00004679", "WBGene00004679")</f>
        <v>WBGene00004679</v>
      </c>
      <c r="B2530" s="9" t="str">
        <f>HYPERLINK("http://www.ncbi.nlm.nih.gov/gene/175659", "175659")</f>
        <v>175659</v>
      </c>
      <c r="C2530" s="9" t="str">
        <f>HYPERLINK("http://www.ncbi.nlm.nih.gov/gene/5917", "5917")</f>
        <v>5917</v>
      </c>
      <c r="D2530" t="str">
        <f>"rars-1"</f>
        <v>rars-1</v>
      </c>
      <c r="E2530" t="s">
        <v>2079</v>
      </c>
      <c r="F2530" t="s">
        <v>11</v>
      </c>
      <c r="G2530" t="s">
        <v>2080</v>
      </c>
      <c r="H2530" s="12">
        <v>-1.39754245138317</v>
      </c>
      <c r="I2530" s="20">
        <v>-1.8295495340633401</v>
      </c>
      <c r="J2530" s="28">
        <v>6.7317325917364501E-2</v>
      </c>
      <c r="K2530" s="29">
        <v>0.61498784697477904</v>
      </c>
    </row>
    <row r="2531" spans="1:11" x14ac:dyDescent="0.35">
      <c r="A2531" s="9" t="str">
        <f>HYPERLINK("http://www.ensembl.org/id/WBGene00194692", "WBGene00194692")</f>
        <v>WBGene00194692</v>
      </c>
      <c r="B2531" s="9" t="str">
        <f>HYPERLINK("http://www.ncbi.nlm.nih.gov/gene/13189083", "13189083")</f>
        <v>13189083</v>
      </c>
      <c r="C2531" s="9"/>
      <c r="D2531" t="str">
        <f>"T02C12.5"</f>
        <v>T02C12.5</v>
      </c>
      <c r="F2531" t="s">
        <v>11</v>
      </c>
      <c r="H2531" s="12">
        <v>1.5807860807301</v>
      </c>
      <c r="I2531" s="20">
        <v>1.8294092606944301</v>
      </c>
      <c r="J2531" s="28">
        <v>6.7338321338448498E-2</v>
      </c>
      <c r="K2531" s="29">
        <v>0.61498784697477904</v>
      </c>
    </row>
    <row r="2532" spans="1:11" x14ac:dyDescent="0.35">
      <c r="A2532" s="9" t="str">
        <f>HYPERLINK("http://www.ensembl.org/id/WBGene00021018", "WBGene00021018")</f>
        <v>WBGene00021018</v>
      </c>
      <c r="B2532" s="9"/>
      <c r="C2532" s="9"/>
      <c r="D2532" t="str">
        <f>"W04B5.1"</f>
        <v>W04B5.1</v>
      </c>
      <c r="F2532" t="s">
        <v>80</v>
      </c>
      <c r="H2532" s="12">
        <v>1.50850405344451</v>
      </c>
      <c r="I2532" s="20">
        <v>1.82953372430976</v>
      </c>
      <c r="J2532" s="28">
        <v>6.73196919733451E-2</v>
      </c>
      <c r="K2532" s="29">
        <v>0.61498784697477904</v>
      </c>
    </row>
    <row r="2533" spans="1:11" x14ac:dyDescent="0.35">
      <c r="A2533" s="9" t="str">
        <f>HYPERLINK("http://www.ensembl.org/id/WBGene00003927", "WBGene00003927")</f>
        <v>WBGene00003927</v>
      </c>
      <c r="B2533" s="9" t="str">
        <f>HYPERLINK("http://www.ncbi.nlm.nih.gov/gene/178943", "178943")</f>
        <v>178943</v>
      </c>
      <c r="C2533" s="9" t="str">
        <f>HYPERLINK("http://www.ncbi.nlm.nih.gov/gene/5682", "5682")</f>
        <v>5682</v>
      </c>
      <c r="D2533" t="str">
        <f>"pas-6"</f>
        <v>pas-6</v>
      </c>
      <c r="E2533" t="s">
        <v>2081</v>
      </c>
      <c r="F2533" t="s">
        <v>11</v>
      </c>
      <c r="G2533" t="s">
        <v>1896</v>
      </c>
      <c r="H2533" s="12">
        <v>-1.40255459885539</v>
      </c>
      <c r="I2533" s="20">
        <v>-1.8291929520812999</v>
      </c>
      <c r="J2533" s="28">
        <v>6.7370707898887897E-2</v>
      </c>
      <c r="K2533" s="29">
        <v>0.61504052813579801</v>
      </c>
    </row>
    <row r="2534" spans="1:11" x14ac:dyDescent="0.35">
      <c r="A2534" s="9" t="str">
        <f>HYPERLINK("http://www.ensembl.org/id/WBGene00001560", "WBGene00001560")</f>
        <v>WBGene00001560</v>
      </c>
      <c r="B2534" s="9" t="str">
        <f>HYPERLINK("http://www.ncbi.nlm.nih.gov/gene/184597", "184597")</f>
        <v>184597</v>
      </c>
      <c r="C2534" s="9"/>
      <c r="D2534" t="str">
        <f>"gei-3"</f>
        <v>gei-3</v>
      </c>
      <c r="E2534" t="s">
        <v>510</v>
      </c>
      <c r="F2534" t="s">
        <v>11</v>
      </c>
      <c r="G2534" t="s">
        <v>462</v>
      </c>
      <c r="H2534" s="12">
        <v>1.42049293540608</v>
      </c>
      <c r="I2534" s="20">
        <v>1.8290081096806401</v>
      </c>
      <c r="J2534" s="28">
        <v>6.73983933722513E-2</v>
      </c>
      <c r="K2534" s="29">
        <v>0.61505026747995195</v>
      </c>
    </row>
    <row r="2535" spans="1:11" x14ac:dyDescent="0.35">
      <c r="A2535" s="9" t="str">
        <f>HYPERLINK("http://www.ensembl.org/id/WBGene00000253", "WBGene00000253")</f>
        <v>WBGene00000253</v>
      </c>
      <c r="B2535" s="9" t="str">
        <f>HYPERLINK("http://www.ncbi.nlm.nih.gov/gene/171608", "171608")</f>
        <v>171608</v>
      </c>
      <c r="C2535" s="9" t="str">
        <f>HYPERLINK("http://www.ncbi.nlm.nih.gov/gene/50506", "50506")</f>
        <v>50506</v>
      </c>
      <c r="D2535" t="str">
        <f>"bli-3"</f>
        <v>bli-3</v>
      </c>
      <c r="E2535" t="s">
        <v>2082</v>
      </c>
      <c r="F2535" t="s">
        <v>11</v>
      </c>
      <c r="G2535" t="s">
        <v>2083</v>
      </c>
      <c r="H2535" s="12">
        <v>1.4237915282045299</v>
      </c>
      <c r="I2535" s="20">
        <v>1.8285037192054201</v>
      </c>
      <c r="J2535" s="28">
        <v>6.7473988005767593E-2</v>
      </c>
      <c r="K2535" s="29">
        <v>0.61535058429182599</v>
      </c>
    </row>
    <row r="2536" spans="1:11" x14ac:dyDescent="0.35">
      <c r="A2536" s="9" t="str">
        <f>HYPERLINK("http://www.ensembl.org/id/WBGene00018260", "WBGene00018260")</f>
        <v>WBGene00018260</v>
      </c>
      <c r="B2536" s="9" t="str">
        <f>HYPERLINK("http://www.ncbi.nlm.nih.gov/gene/185589", "185589")</f>
        <v>185589</v>
      </c>
      <c r="C2536" s="9" t="str">
        <f>HYPERLINK("http://www.ncbi.nlm.nih.gov/gene/1573", "1573")</f>
        <v>1573</v>
      </c>
      <c r="D2536" t="str">
        <f>"cyp-33C7"</f>
        <v>cyp-33C7</v>
      </c>
      <c r="E2536" t="s">
        <v>176</v>
      </c>
      <c r="F2536" t="s">
        <v>11</v>
      </c>
      <c r="G2536" t="s">
        <v>438</v>
      </c>
      <c r="H2536" s="12">
        <v>1.5418838932761101</v>
      </c>
      <c r="I2536" s="20">
        <v>1.82843317709218</v>
      </c>
      <c r="J2536" s="28">
        <v>6.7484565939387495E-2</v>
      </c>
      <c r="K2536" s="29">
        <v>0.61535058429182599</v>
      </c>
    </row>
    <row r="2537" spans="1:11" x14ac:dyDescent="0.35">
      <c r="A2537" s="9" t="str">
        <f>HYPERLINK("http://www.ensembl.org/id/WBGene00077701", "WBGene00077701")</f>
        <v>WBGene00077701</v>
      </c>
      <c r="B2537" s="9" t="str">
        <f>HYPERLINK("http://www.ncbi.nlm.nih.gov/gene/6418581", "6418581")</f>
        <v>6418581</v>
      </c>
      <c r="C2537" s="9" t="str">
        <f>HYPERLINK("http://www.ncbi.nlm.nih.gov/gene/5446", "5446")</f>
        <v>5446</v>
      </c>
      <c r="D2537" t="str">
        <f>"poml-3"</f>
        <v>poml-3</v>
      </c>
      <c r="E2537" t="s">
        <v>2084</v>
      </c>
      <c r="F2537" t="s">
        <v>11</v>
      </c>
      <c r="H2537" s="12">
        <v>1.6890316732249799</v>
      </c>
      <c r="I2537" s="20">
        <v>1.82694352218154</v>
      </c>
      <c r="J2537" s="28">
        <v>6.7708261557612295E-2</v>
      </c>
      <c r="K2537" s="29">
        <v>0.61714678167660397</v>
      </c>
    </row>
    <row r="2538" spans="1:11" x14ac:dyDescent="0.35">
      <c r="A2538" s="9" t="str">
        <f>HYPERLINK("http://www.ensembl.org/id/WBGene00009696", "WBGene00009696")</f>
        <v>WBGene00009696</v>
      </c>
      <c r="B2538" s="9" t="str">
        <f>HYPERLINK("http://www.ncbi.nlm.nih.gov/gene/173190", "173190")</f>
        <v>173190</v>
      </c>
      <c r="C2538" s="9"/>
      <c r="D2538" t="str">
        <f>"F44F1.4"</f>
        <v>F44F1.4</v>
      </c>
      <c r="F2538" t="s">
        <v>11</v>
      </c>
      <c r="G2538" t="s">
        <v>2085</v>
      </c>
      <c r="H2538" s="12">
        <v>1.81385319922501</v>
      </c>
      <c r="I2538" s="20">
        <v>1.8260148150245501</v>
      </c>
      <c r="J2538" s="28">
        <v>6.7848030286459096E-2</v>
      </c>
      <c r="K2538" s="29">
        <v>0.61817688793332903</v>
      </c>
    </row>
    <row r="2539" spans="1:11" x14ac:dyDescent="0.35">
      <c r="A2539" s="9" t="str">
        <f>HYPERLINK("http://www.ensembl.org/id/WBGene00010940", "WBGene00010940")</f>
        <v>WBGene00010940</v>
      </c>
      <c r="B2539" s="9" t="str">
        <f>HYPERLINK("http://www.ncbi.nlm.nih.gov/gene/3565205", "3565205")</f>
        <v>3565205</v>
      </c>
      <c r="C2539" s="9"/>
      <c r="D2539" t="str">
        <f>"M163.8"</f>
        <v>M163.8</v>
      </c>
      <c r="F2539" t="s">
        <v>11</v>
      </c>
      <c r="H2539" s="12">
        <v>2.6561599030428602</v>
      </c>
      <c r="I2539" s="20">
        <v>1.8257576933547199</v>
      </c>
      <c r="J2539" s="28">
        <v>6.7886768546510198E-2</v>
      </c>
      <c r="K2539" s="29">
        <v>0.61828603627736101</v>
      </c>
    </row>
    <row r="2540" spans="1:11" x14ac:dyDescent="0.35">
      <c r="A2540" s="9" t="str">
        <f>HYPERLINK("http://www.ensembl.org/id/WBGene00011604", "WBGene00011604")</f>
        <v>WBGene00011604</v>
      </c>
      <c r="B2540" s="9" t="str">
        <f>HYPERLINK("http://www.ncbi.nlm.nih.gov/gene/175548", "175548")</f>
        <v>175548</v>
      </c>
      <c r="C2540" s="9"/>
      <c r="D2540" t="str">
        <f>"T08A11.1"</f>
        <v>T08A11.1</v>
      </c>
      <c r="F2540" t="s">
        <v>11</v>
      </c>
      <c r="G2540" t="s">
        <v>2086</v>
      </c>
      <c r="H2540" s="12">
        <v>-1.4274055783302899</v>
      </c>
      <c r="I2540" s="20">
        <v>-1.82554357062586</v>
      </c>
      <c r="J2540" s="28">
        <v>6.7919042415292494E-2</v>
      </c>
      <c r="K2540" s="29">
        <v>0.61833624666971998</v>
      </c>
    </row>
    <row r="2541" spans="1:11" x14ac:dyDescent="0.35">
      <c r="A2541" s="9" t="str">
        <f>HYPERLINK("http://www.ensembl.org/id/WBGene00015976", "WBGene00015976")</f>
        <v>WBGene00015976</v>
      </c>
      <c r="B2541" s="9" t="str">
        <f>HYPERLINK("http://www.ncbi.nlm.nih.gov/gene/172020", "172020")</f>
        <v>172020</v>
      </c>
      <c r="C2541" s="9"/>
      <c r="D2541" t="str">
        <f>"C18E3.9"</f>
        <v>C18E3.9</v>
      </c>
      <c r="F2541" t="s">
        <v>11</v>
      </c>
      <c r="H2541" s="12">
        <v>-1.51468944168986</v>
      </c>
      <c r="I2541" s="20">
        <v>-1.82522458951044</v>
      </c>
      <c r="J2541" s="28">
        <v>6.7967144573201202E-2</v>
      </c>
      <c r="K2541" s="29">
        <v>0.61853046179928595</v>
      </c>
    </row>
    <row r="2542" spans="1:11" x14ac:dyDescent="0.35">
      <c r="A2542" s="9" t="str">
        <f>HYPERLINK("http://www.ensembl.org/id/WBGene00015672", "WBGene00015672")</f>
        <v>WBGene00015672</v>
      </c>
      <c r="B2542" s="9" t="str">
        <f>HYPERLINK("http://www.ncbi.nlm.nih.gov/gene/182496", "182496")</f>
        <v>182496</v>
      </c>
      <c r="C2542" s="9"/>
      <c r="D2542" t="str">
        <f>"C10E2.1"</f>
        <v>C10E2.1</v>
      </c>
      <c r="F2542" t="s">
        <v>11</v>
      </c>
      <c r="H2542" s="12">
        <v>3.96328883831751</v>
      </c>
      <c r="I2542" s="20">
        <v>1.8250395541342599</v>
      </c>
      <c r="J2542" s="28">
        <v>6.7995060632917201E-2</v>
      </c>
      <c r="K2542" s="29">
        <v>0.61854089408826096</v>
      </c>
    </row>
    <row r="2543" spans="1:11" x14ac:dyDescent="0.35">
      <c r="A2543" s="9" t="str">
        <f>HYPERLINK("http://www.ensembl.org/id/WBGene00219298", "WBGene00219298")</f>
        <v>WBGene00219298</v>
      </c>
      <c r="B2543" s="9" t="str">
        <f>HYPERLINK("http://www.ncbi.nlm.nih.gov/gene/13190818", "13190818")</f>
        <v>13190818</v>
      </c>
      <c r="C2543" s="9"/>
      <c r="D2543" t="str">
        <f>"F55H2.8"</f>
        <v>F55H2.8</v>
      </c>
      <c r="F2543" t="s">
        <v>11</v>
      </c>
      <c r="H2543" s="12">
        <v>2.21124443039847</v>
      </c>
      <c r="I2543" s="20">
        <v>1.8238264548855301</v>
      </c>
      <c r="J2543" s="28">
        <v>6.8178313066837498E-2</v>
      </c>
      <c r="K2543" s="29">
        <v>0.61974572351538304</v>
      </c>
    </row>
    <row r="2544" spans="1:11" x14ac:dyDescent="0.35">
      <c r="A2544" s="9" t="str">
        <f>HYPERLINK("http://www.ensembl.org/id/WBGene00044977", "WBGene00044977")</f>
        <v>WBGene00044977</v>
      </c>
      <c r="B2544" s="9" t="str">
        <f>HYPERLINK("http://www.ncbi.nlm.nih.gov/gene/4926961", "4926961")</f>
        <v>4926961</v>
      </c>
      <c r="C2544" s="9"/>
      <c r="D2544" t="str">
        <f>"F56C4.4"</f>
        <v>F56C4.4</v>
      </c>
      <c r="F2544" t="s">
        <v>11</v>
      </c>
      <c r="H2544" s="12">
        <v>-1.5457103155938201</v>
      </c>
      <c r="I2544" s="20">
        <v>-1.82380770246961</v>
      </c>
      <c r="J2544" s="28">
        <v>6.8181149016537004E-2</v>
      </c>
      <c r="K2544" s="29">
        <v>0.61974572351538304</v>
      </c>
    </row>
    <row r="2545" spans="1:11" x14ac:dyDescent="0.35">
      <c r="A2545" s="9" t="str">
        <f>HYPERLINK("http://www.ensembl.org/id/WBGene00008229", "WBGene00008229")</f>
        <v>WBGene00008229</v>
      </c>
      <c r="B2545" s="9" t="str">
        <f>HYPERLINK("http://www.ncbi.nlm.nih.gov/gene/179333", "179333")</f>
        <v>179333</v>
      </c>
      <c r="C2545" s="9"/>
      <c r="D2545" t="str">
        <f>"C50F4.1"</f>
        <v>C50F4.1</v>
      </c>
      <c r="F2545" t="s">
        <v>11</v>
      </c>
      <c r="H2545" s="12">
        <v>-1.4337040627108399</v>
      </c>
      <c r="I2545" s="20">
        <v>-1.8234146765522401</v>
      </c>
      <c r="J2545" s="28">
        <v>6.8240609106719793E-2</v>
      </c>
      <c r="K2545" s="29">
        <v>0.61979855110843896</v>
      </c>
    </row>
    <row r="2546" spans="1:11" x14ac:dyDescent="0.35">
      <c r="A2546" s="9" t="str">
        <f>HYPERLINK("http://www.ensembl.org/id/WBGene00018900", "WBGene00018900")</f>
        <v>WBGene00018900</v>
      </c>
      <c r="B2546" s="9" t="str">
        <f>HYPERLINK("http://www.ncbi.nlm.nih.gov/gene/177520", "177520")</f>
        <v>177520</v>
      </c>
      <c r="C2546" s="9"/>
      <c r="D2546" t="str">
        <f>"rod-1"</f>
        <v>rod-1</v>
      </c>
      <c r="E2546" t="s">
        <v>2087</v>
      </c>
      <c r="F2546" t="s">
        <v>11</v>
      </c>
      <c r="H2546" s="12">
        <v>-1.47669358967864</v>
      </c>
      <c r="I2546" s="20">
        <v>-1.8235129065268401</v>
      </c>
      <c r="J2546" s="28">
        <v>6.82257440992666E-2</v>
      </c>
      <c r="K2546" s="29">
        <v>0.61979855110843896</v>
      </c>
    </row>
    <row r="2547" spans="1:11" x14ac:dyDescent="0.35">
      <c r="A2547" s="9" t="str">
        <f>HYPERLINK("http://www.ensembl.org/id/WBGene00009642", "WBGene00009642")</f>
        <v>WBGene00009642</v>
      </c>
      <c r="B2547" s="9" t="str">
        <f>HYPERLINK("http://www.ncbi.nlm.nih.gov/gene/185674", "185674")</f>
        <v>185674</v>
      </c>
      <c r="C2547" s="9"/>
      <c r="D2547" t="str">
        <f>"F42G4.5"</f>
        <v>F42G4.5</v>
      </c>
      <c r="F2547" t="s">
        <v>11</v>
      </c>
      <c r="H2547" s="12">
        <v>-1.49506315421043</v>
      </c>
      <c r="I2547" s="20">
        <v>-1.8230839368228999</v>
      </c>
      <c r="J2547" s="28">
        <v>6.8290679074891503E-2</v>
      </c>
      <c r="K2547" s="29">
        <v>0.62000959949094103</v>
      </c>
    </row>
    <row r="2548" spans="1:11" x14ac:dyDescent="0.35">
      <c r="A2548" s="9" t="str">
        <f>HYPERLINK("http://www.ensembl.org/id/WBGene00019540", "WBGene00019540")</f>
        <v>WBGene00019540</v>
      </c>
      <c r="B2548" s="9" t="str">
        <f>HYPERLINK("http://www.ncbi.nlm.nih.gov/gene/176980", "176980")</f>
        <v>176980</v>
      </c>
      <c r="C2548" s="9"/>
      <c r="D2548" t="str">
        <f>"K08D12.6"</f>
        <v>K08D12.6</v>
      </c>
      <c r="F2548" t="s">
        <v>11</v>
      </c>
      <c r="H2548" s="12">
        <v>1.51887142513884</v>
      </c>
      <c r="I2548" s="20">
        <v>1.82272265868707</v>
      </c>
      <c r="J2548" s="28">
        <v>6.8345406697438799E-2</v>
      </c>
      <c r="K2548" s="29">
        <v>0.62026275221956795</v>
      </c>
    </row>
    <row r="2549" spans="1:11" x14ac:dyDescent="0.35">
      <c r="A2549" s="9" t="str">
        <f>HYPERLINK("http://www.ensembl.org/id/WBGene00011916", "WBGene00011916")</f>
        <v>WBGene00011916</v>
      </c>
      <c r="B2549" s="9" t="str">
        <f>HYPERLINK("http://www.ncbi.nlm.nih.gov/gene/172566", "172566")</f>
        <v>172566</v>
      </c>
      <c r="C2549" s="9"/>
      <c r="D2549" t="str">
        <f>"T22C1.5"</f>
        <v>T22C1.5</v>
      </c>
      <c r="F2549" t="s">
        <v>11</v>
      </c>
      <c r="H2549" s="12">
        <v>-1.5316851150612201</v>
      </c>
      <c r="I2549" s="20">
        <v>-1.8223166403231701</v>
      </c>
      <c r="J2549" s="28">
        <v>6.8406954744126003E-2</v>
      </c>
      <c r="K2549" s="29">
        <v>0.62057758002268304</v>
      </c>
    </row>
    <row r="2550" spans="1:11" x14ac:dyDescent="0.35">
      <c r="A2550" s="9" t="str">
        <f>HYPERLINK("http://www.ensembl.org/id/WBGene00003850", "WBGene00003850")</f>
        <v>WBGene00003850</v>
      </c>
      <c r="B2550" s="9" t="str">
        <f>HYPERLINK("http://www.ncbi.nlm.nih.gov/gene/179806", "179806")</f>
        <v>179806</v>
      </c>
      <c r="C2550" s="9"/>
      <c r="D2550" t="str">
        <f>"odr-3"</f>
        <v>odr-3</v>
      </c>
      <c r="E2550" t="s">
        <v>2088</v>
      </c>
      <c r="F2550" t="s">
        <v>11</v>
      </c>
      <c r="G2550" t="s">
        <v>875</v>
      </c>
      <c r="H2550" s="12">
        <v>1.70338462988523</v>
      </c>
      <c r="I2550" s="20">
        <v>1.82192822495915</v>
      </c>
      <c r="J2550" s="28">
        <v>6.8465876999828396E-2</v>
      </c>
      <c r="K2550" s="29">
        <v>0.62070678136911706</v>
      </c>
    </row>
    <row r="2551" spans="1:11" x14ac:dyDescent="0.35">
      <c r="A2551" s="9" t="str">
        <f>HYPERLINK("http://www.ensembl.org/id/WBGene00008378", "WBGene00008378")</f>
        <v>WBGene00008378</v>
      </c>
      <c r="B2551" s="9" t="str">
        <f>HYPERLINK("http://www.ncbi.nlm.nih.gov/gene/179497", "179497")</f>
        <v>179497</v>
      </c>
      <c r="C2551" s="9"/>
      <c r="D2551" t="str">
        <f>"ule-3"</f>
        <v>ule-3</v>
      </c>
      <c r="E2551" t="s">
        <v>1136</v>
      </c>
      <c r="F2551" t="s">
        <v>11</v>
      </c>
      <c r="G2551" t="s">
        <v>54</v>
      </c>
      <c r="H2551" s="12">
        <v>-1.40991747198953</v>
      </c>
      <c r="I2551" s="20">
        <v>-1.8218686138401701</v>
      </c>
      <c r="J2551" s="28">
        <v>6.8474923643637206E-2</v>
      </c>
      <c r="K2551" s="29">
        <v>0.62070678136911706</v>
      </c>
    </row>
    <row r="2552" spans="1:11" x14ac:dyDescent="0.35">
      <c r="A2552" s="9" t="str">
        <f>HYPERLINK("http://www.ensembl.org/id/WBGene00015599", "WBGene00015599")</f>
        <v>WBGene00015599</v>
      </c>
      <c r="B2552" s="9" t="str">
        <f>HYPERLINK("http://www.ncbi.nlm.nih.gov/gene/182399", "182399")</f>
        <v>182399</v>
      </c>
      <c r="C2552" s="9"/>
      <c r="D2552" t="str">
        <f>"fbxa-164"</f>
        <v>fbxa-164</v>
      </c>
      <c r="E2552" t="s">
        <v>467</v>
      </c>
      <c r="F2552" t="s">
        <v>11</v>
      </c>
      <c r="G2552" t="s">
        <v>54</v>
      </c>
      <c r="H2552" s="12">
        <v>-7.3302156121255999</v>
      </c>
      <c r="I2552" s="20">
        <v>-1.82094368804374</v>
      </c>
      <c r="J2552" s="28">
        <v>6.8615417261157996E-2</v>
      </c>
      <c r="K2552" s="29">
        <v>0.62173640440639799</v>
      </c>
    </row>
    <row r="2553" spans="1:11" x14ac:dyDescent="0.35">
      <c r="A2553" s="9" t="str">
        <f>HYPERLINK("http://www.ensembl.org/id/WBGene00018264", "WBGene00018264")</f>
        <v>WBGene00018264</v>
      </c>
      <c r="B2553" s="9" t="str">
        <f>HYPERLINK("http://www.ncbi.nlm.nih.gov/gene/185591", "185591")</f>
        <v>185591</v>
      </c>
      <c r="C2553" s="9" t="str">
        <f>HYPERLINK("http://www.ncbi.nlm.nih.gov/gene/1573", "1573")</f>
        <v>1573</v>
      </c>
      <c r="D2553" t="str">
        <f>"cyp-33C6"</f>
        <v>cyp-33C6</v>
      </c>
      <c r="E2553" t="s">
        <v>176</v>
      </c>
      <c r="F2553" t="s">
        <v>11</v>
      </c>
      <c r="G2553" t="s">
        <v>438</v>
      </c>
      <c r="H2553" s="12">
        <v>3.5271364473096698</v>
      </c>
      <c r="I2553" s="20">
        <v>1.82050479679791</v>
      </c>
      <c r="J2553" s="28">
        <v>6.8682166435863598E-2</v>
      </c>
      <c r="K2553" s="29">
        <v>0.62209727074365495</v>
      </c>
    </row>
    <row r="2554" spans="1:11" x14ac:dyDescent="0.35">
      <c r="A2554" s="9" t="str">
        <f>HYPERLINK("http://www.ensembl.org/id/WBGene00018199", "WBGene00018199")</f>
        <v>WBGene00018199</v>
      </c>
      <c r="B2554" s="9"/>
      <c r="C2554" s="9"/>
      <c r="D2554" t="str">
        <f>"F39E9.7"</f>
        <v>F39E9.7</v>
      </c>
      <c r="F2554" t="s">
        <v>80</v>
      </c>
      <c r="H2554" s="12">
        <v>1.4998657281244001</v>
      </c>
      <c r="I2554" s="20">
        <v>1.82025181244662</v>
      </c>
      <c r="J2554" s="28">
        <v>6.8720666030093802E-2</v>
      </c>
      <c r="K2554" s="29">
        <v>0.62220208044331804</v>
      </c>
    </row>
    <row r="2555" spans="1:11" x14ac:dyDescent="0.35">
      <c r="A2555" s="9" t="str">
        <f>HYPERLINK("http://www.ensembl.org/id/WBGene00017254", "WBGene00017254")</f>
        <v>WBGene00017254</v>
      </c>
      <c r="B2555" s="9" t="str">
        <f>HYPERLINK("http://www.ncbi.nlm.nih.gov/gene/173623", "173623")</f>
        <v>173623</v>
      </c>
      <c r="C2555" s="9"/>
      <c r="D2555" t="str">
        <f>"fbxb-111"</f>
        <v>fbxb-111</v>
      </c>
      <c r="E2555" t="s">
        <v>1436</v>
      </c>
      <c r="F2555" t="s">
        <v>11</v>
      </c>
      <c r="G2555" t="s">
        <v>54</v>
      </c>
      <c r="H2555" s="12">
        <v>2.1813489344415999</v>
      </c>
      <c r="I2555" s="20">
        <v>1.8199497106229301</v>
      </c>
      <c r="J2555" s="28">
        <v>6.8766663637865502E-2</v>
      </c>
      <c r="K2555" s="29">
        <v>0.62222457016468202</v>
      </c>
    </row>
    <row r="2556" spans="1:11" x14ac:dyDescent="0.35">
      <c r="A2556" s="9" t="str">
        <f>HYPERLINK("http://www.ensembl.org/id/WBGene00001690", "WBGene00001690")</f>
        <v>WBGene00001690</v>
      </c>
      <c r="B2556" s="9" t="str">
        <f>HYPERLINK("http://www.ncbi.nlm.nih.gov/gene/181300", "181300")</f>
        <v>181300</v>
      </c>
      <c r="C2556" s="9"/>
      <c r="D2556" t="str">
        <f>"grd-1"</f>
        <v>grd-1</v>
      </c>
      <c r="E2556" t="s">
        <v>749</v>
      </c>
      <c r="F2556" t="s">
        <v>11</v>
      </c>
      <c r="G2556" t="s">
        <v>2089</v>
      </c>
      <c r="H2556" s="12">
        <v>2.4227181147827102</v>
      </c>
      <c r="I2556" s="20">
        <v>1.8198036164278499</v>
      </c>
      <c r="J2556" s="28">
        <v>6.8788916812967602E-2</v>
      </c>
      <c r="K2556" s="29">
        <v>0.62222457016468202</v>
      </c>
    </row>
    <row r="2557" spans="1:11" x14ac:dyDescent="0.35">
      <c r="A2557" s="9" t="str">
        <f>HYPERLINK("http://www.ensembl.org/id/WBGene00007142", "WBGene00007142")</f>
        <v>WBGene00007142</v>
      </c>
      <c r="B2557" s="9" t="str">
        <f>HYPERLINK("http://www.ncbi.nlm.nih.gov/gene/174757", "174757")</f>
        <v>174757</v>
      </c>
      <c r="C2557" s="9"/>
      <c r="D2557" t="str">
        <f>"ttr-18"</f>
        <v>ttr-18</v>
      </c>
      <c r="E2557" t="s">
        <v>16</v>
      </c>
      <c r="F2557" t="s">
        <v>11</v>
      </c>
      <c r="G2557" t="s">
        <v>17</v>
      </c>
      <c r="H2557" s="12">
        <v>-1.48909724822027</v>
      </c>
      <c r="I2557" s="20">
        <v>-1.8197050270338699</v>
      </c>
      <c r="J2557" s="28">
        <v>6.8803937365652296E-2</v>
      </c>
      <c r="K2557" s="29">
        <v>0.62222457016468202</v>
      </c>
    </row>
    <row r="2558" spans="1:11" x14ac:dyDescent="0.35">
      <c r="A2558" s="9" t="str">
        <f>HYPERLINK("http://www.ensembl.org/id/WBGene00015853", "WBGene00015853")</f>
        <v>WBGene00015853</v>
      </c>
      <c r="B2558" s="9" t="str">
        <f>HYPERLINK("http://www.ncbi.nlm.nih.gov/gene/173688", "173688")</f>
        <v>173688</v>
      </c>
      <c r="C2558" s="9"/>
      <c r="D2558" t="str">
        <f>"C16C8.16"</f>
        <v>C16C8.16</v>
      </c>
      <c r="F2558" t="s">
        <v>11</v>
      </c>
      <c r="G2558" t="s">
        <v>54</v>
      </c>
      <c r="H2558" s="12">
        <v>-1.6381048172385799</v>
      </c>
      <c r="I2558" s="20">
        <v>-1.8190687608601199</v>
      </c>
      <c r="J2558" s="28">
        <v>6.8900940310701E-2</v>
      </c>
      <c r="K2558" s="29">
        <v>0.62257768130198698</v>
      </c>
    </row>
    <row r="2559" spans="1:11" x14ac:dyDescent="0.35">
      <c r="A2559" s="9" t="str">
        <f>HYPERLINK("http://www.ensembl.org/id/WBGene00044107", "WBGene00044107")</f>
        <v>WBGene00044107</v>
      </c>
      <c r="B2559" s="9" t="str">
        <f>HYPERLINK("http://www.ncbi.nlm.nih.gov/gene/3565521", "3565521")</f>
        <v>3565521</v>
      </c>
      <c r="C2559" s="9"/>
      <c r="D2559" t="str">
        <f>"F58G6.9"</f>
        <v>F58G6.9</v>
      </c>
      <c r="F2559" t="s">
        <v>11</v>
      </c>
      <c r="G2559" t="s">
        <v>2090</v>
      </c>
      <c r="H2559" s="12">
        <v>1.94584603148438</v>
      </c>
      <c r="I2559" s="20">
        <v>1.8182158449883601</v>
      </c>
      <c r="J2559" s="28">
        <v>6.9031149163410493E-2</v>
      </c>
      <c r="K2559" s="29">
        <v>0.62257768130198698</v>
      </c>
    </row>
    <row r="2560" spans="1:11" x14ac:dyDescent="0.35">
      <c r="A2560" s="9" t="str">
        <f>HYPERLINK("http://www.ensembl.org/id/WBGene00001593", "WBGene00001593")</f>
        <v>WBGene00001593</v>
      </c>
      <c r="B2560" s="9" t="str">
        <f>HYPERLINK("http://www.ncbi.nlm.nih.gov/gene/178930", "178930")</f>
        <v>178930</v>
      </c>
      <c r="C2560" s="9" t="str">
        <f>HYPERLINK("http://www.ncbi.nlm.nih.gov/gene/2741", "2741")</f>
        <v>2741</v>
      </c>
      <c r="D2560" t="str">
        <f>"glc-3"</f>
        <v>glc-3</v>
      </c>
      <c r="E2560" t="s">
        <v>2091</v>
      </c>
      <c r="F2560" t="s">
        <v>11</v>
      </c>
      <c r="G2560" t="s">
        <v>2092</v>
      </c>
      <c r="H2560" s="12">
        <v>1.9387059354954499</v>
      </c>
      <c r="I2560" s="20">
        <v>1.81820495075524</v>
      </c>
      <c r="J2560" s="28">
        <v>6.9032813618339101E-2</v>
      </c>
      <c r="K2560" s="29">
        <v>0.62257768130198698</v>
      </c>
    </row>
    <row r="2561" spans="1:11" x14ac:dyDescent="0.35">
      <c r="A2561" s="9" t="str">
        <f>HYPERLINK("http://www.ensembl.org/id/WBGene00001853", "WBGene00001853")</f>
        <v>WBGene00001853</v>
      </c>
      <c r="B2561" s="9" t="str">
        <f>HYPERLINK("http://www.ncbi.nlm.nih.gov/gene/177390", "177390")</f>
        <v>177390</v>
      </c>
      <c r="C2561" s="9"/>
      <c r="D2561" t="str">
        <f>"hil-2"</f>
        <v>hil-2</v>
      </c>
      <c r="E2561" t="s">
        <v>2095</v>
      </c>
      <c r="F2561" t="s">
        <v>11</v>
      </c>
      <c r="G2561" t="s">
        <v>701</v>
      </c>
      <c r="H2561" s="12">
        <v>1.45395489000848</v>
      </c>
      <c r="I2561" s="20">
        <v>1.8180366011658899</v>
      </c>
      <c r="J2561" s="28">
        <v>6.9058538785466597E-2</v>
      </c>
      <c r="K2561" s="29">
        <v>0.62257768130198698</v>
      </c>
    </row>
    <row r="2562" spans="1:11" x14ac:dyDescent="0.35">
      <c r="A2562" s="9" t="str">
        <f>HYPERLINK("http://www.ensembl.org/id/WBGene00004285", "WBGene00004285")</f>
        <v>WBGene00004285</v>
      </c>
      <c r="B2562" s="9" t="str">
        <f>HYPERLINK("http://www.ncbi.nlm.nih.gov/gene/180696", "180696")</f>
        <v>180696</v>
      </c>
      <c r="C2562" s="9" t="str">
        <f>HYPERLINK("http://www.ncbi.nlm.nih.gov/gene/326624", "326624")</f>
        <v>326624</v>
      </c>
      <c r="D2562" t="str">
        <f>"rab-37"</f>
        <v>rab-37</v>
      </c>
      <c r="E2562" t="s">
        <v>2093</v>
      </c>
      <c r="F2562" t="s">
        <v>11</v>
      </c>
      <c r="G2562" t="s">
        <v>2094</v>
      </c>
      <c r="H2562" s="12">
        <v>1.83311749394878</v>
      </c>
      <c r="I2562" s="20">
        <v>1.8185640024527201</v>
      </c>
      <c r="J2562" s="28">
        <v>6.89779739399798E-2</v>
      </c>
      <c r="K2562" s="29">
        <v>0.62257768130198698</v>
      </c>
    </row>
    <row r="2563" spans="1:11" x14ac:dyDescent="0.35">
      <c r="A2563" s="9" t="str">
        <f>HYPERLINK("http://www.ensembl.org/id/WBGene00004269", "WBGene00004269")</f>
        <v>WBGene00004269</v>
      </c>
      <c r="B2563" s="9" t="str">
        <f>HYPERLINK("http://www.ncbi.nlm.nih.gov/gene/176275", "176275")</f>
        <v>176275</v>
      </c>
      <c r="C2563" s="9" t="str">
        <f>HYPERLINK("http://www.ncbi.nlm.nih.gov/gene/5870", "5870")</f>
        <v>5870</v>
      </c>
      <c r="D2563" t="str">
        <f>"rab-6.1"</f>
        <v>rab-6.1</v>
      </c>
      <c r="E2563" t="s">
        <v>2096</v>
      </c>
      <c r="F2563" t="s">
        <v>11</v>
      </c>
      <c r="G2563" t="s">
        <v>2097</v>
      </c>
      <c r="H2563" s="12">
        <v>-1.43737268287551</v>
      </c>
      <c r="I2563" s="20">
        <v>-1.8180428262230199</v>
      </c>
      <c r="J2563" s="28">
        <v>6.9057587406623905E-2</v>
      </c>
      <c r="K2563" s="29">
        <v>0.62257768130198698</v>
      </c>
    </row>
    <row r="2564" spans="1:11" x14ac:dyDescent="0.35">
      <c r="A2564" s="9" t="str">
        <f>HYPERLINK("http://www.ensembl.org/id/WBGene00004927", "WBGene00004927")</f>
        <v>WBGene00004927</v>
      </c>
      <c r="B2564" s="9" t="str">
        <f>HYPERLINK("http://www.ncbi.nlm.nih.gov/gene/180468", "180468")</f>
        <v>180468</v>
      </c>
      <c r="C2564" s="9" t="str">
        <f>HYPERLINK("http://www.ncbi.nlm.nih.gov/gene/6643", "6643")</f>
        <v>6643</v>
      </c>
      <c r="D2564" t="str">
        <f>"snx-1"</f>
        <v>snx-1</v>
      </c>
      <c r="E2564" t="s">
        <v>1423</v>
      </c>
      <c r="F2564" t="s">
        <v>11</v>
      </c>
      <c r="G2564" t="s">
        <v>2098</v>
      </c>
      <c r="H2564" s="12">
        <v>-1.44750469457565</v>
      </c>
      <c r="I2564" s="20">
        <v>-1.8184143092945899</v>
      </c>
      <c r="J2564" s="28">
        <v>6.9000832938108103E-2</v>
      </c>
      <c r="K2564" s="29">
        <v>0.62257768130198698</v>
      </c>
    </row>
    <row r="2565" spans="1:11" x14ac:dyDescent="0.35">
      <c r="A2565" s="9" t="str">
        <f>HYPERLINK("http://www.ensembl.org/id/WBGene00006542", "WBGene00006542")</f>
        <v>WBGene00006542</v>
      </c>
      <c r="B2565" s="9" t="str">
        <f>HYPERLINK("http://www.ncbi.nlm.nih.gov/gene/176054", "176054")</f>
        <v>176054</v>
      </c>
      <c r="C2565" s="9"/>
      <c r="D2565" t="str">
        <f>"tbp-1"</f>
        <v>tbp-1</v>
      </c>
      <c r="E2565" t="s">
        <v>2099</v>
      </c>
      <c r="F2565" t="s">
        <v>11</v>
      </c>
      <c r="G2565" t="s">
        <v>2100</v>
      </c>
      <c r="H2565" s="12">
        <v>-1.46339810607375</v>
      </c>
      <c r="I2565" s="20">
        <v>-1.8181222136489401</v>
      </c>
      <c r="J2565" s="28">
        <v>6.9045455527635399E-2</v>
      </c>
      <c r="K2565" s="29">
        <v>0.62257768130198698</v>
      </c>
    </row>
    <row r="2566" spans="1:11" x14ac:dyDescent="0.35">
      <c r="A2566" s="9" t="str">
        <f>HYPERLINK("http://www.ensembl.org/id/WBGene00019796", "WBGene00019796")</f>
        <v>WBGene00019796</v>
      </c>
      <c r="B2566" s="9" t="str">
        <f>HYPERLINK("http://www.ncbi.nlm.nih.gov/gene/187481", "187481")</f>
        <v>187481</v>
      </c>
      <c r="C2566" s="9"/>
      <c r="D2566" t="str">
        <f>"M151.4"</f>
        <v>M151.4</v>
      </c>
      <c r="F2566" t="s">
        <v>11</v>
      </c>
      <c r="H2566" s="12">
        <v>-13.4716030140158</v>
      </c>
      <c r="I2566" s="20">
        <v>-1.8172706169647499</v>
      </c>
      <c r="J2566" s="28">
        <v>6.9175686766033195E-2</v>
      </c>
      <c r="K2566" s="29">
        <v>0.62290468371627505</v>
      </c>
    </row>
    <row r="2567" spans="1:11" x14ac:dyDescent="0.35">
      <c r="A2567" s="9" t="str">
        <f>HYPERLINK("http://www.ensembl.org/id/WBGene00021135", "WBGene00021135")</f>
        <v>WBGene00021135</v>
      </c>
      <c r="B2567" s="9" t="str">
        <f>HYPERLINK("http://www.ncbi.nlm.nih.gov/gene/189336", "189336")</f>
        <v>189336</v>
      </c>
      <c r="C2567" s="9"/>
      <c r="D2567" t="str">
        <f>"W10G11.2"</f>
        <v>W10G11.2</v>
      </c>
      <c r="F2567" t="s">
        <v>11</v>
      </c>
      <c r="H2567" s="12">
        <v>2.24846891416477</v>
      </c>
      <c r="I2567" s="20">
        <v>1.8172943024633501</v>
      </c>
      <c r="J2567" s="28">
        <v>6.9172061912563101E-2</v>
      </c>
      <c r="K2567" s="29">
        <v>0.62290468371627505</v>
      </c>
    </row>
    <row r="2568" spans="1:11" x14ac:dyDescent="0.35">
      <c r="A2568" s="9" t="str">
        <f>HYPERLINK("http://www.ensembl.org/id/WBGene00008140", "WBGene00008140")</f>
        <v>WBGene00008140</v>
      </c>
      <c r="B2568" s="9" t="str">
        <f>HYPERLINK("http://www.ncbi.nlm.nih.gov/gene/174793", "174793")</f>
        <v>174793</v>
      </c>
      <c r="C2568" s="9"/>
      <c r="D2568" t="str">
        <f>"xpf-1"</f>
        <v>xpf-1</v>
      </c>
      <c r="E2568" t="s">
        <v>2101</v>
      </c>
      <c r="F2568" t="s">
        <v>11</v>
      </c>
      <c r="G2568" t="s">
        <v>2102</v>
      </c>
      <c r="H2568" s="12">
        <v>-1.4510114560092999</v>
      </c>
      <c r="I2568" s="20">
        <v>-1.81753661248511</v>
      </c>
      <c r="J2568" s="28">
        <v>6.9134987495363495E-2</v>
      </c>
      <c r="K2568" s="29">
        <v>0.62290468371627505</v>
      </c>
    </row>
    <row r="2569" spans="1:11" x14ac:dyDescent="0.35">
      <c r="A2569" s="9" t="str">
        <f>HYPERLINK("http://www.ensembl.org/id/WBGene00010386", "WBGene00010386")</f>
        <v>WBGene00010386</v>
      </c>
      <c r="B2569" s="9" t="str">
        <f>HYPERLINK("http://www.ncbi.nlm.nih.gov/gene/179990", "179990")</f>
        <v>179990</v>
      </c>
      <c r="C2569" s="9" t="str">
        <f>HYPERLINK("http://www.ncbi.nlm.nih.gov/gene/285203", "285203")</f>
        <v>285203</v>
      </c>
      <c r="D2569" t="str">
        <f>"H12D21.10"</f>
        <v>H12D21.10</v>
      </c>
      <c r="F2569" t="s">
        <v>11</v>
      </c>
      <c r="G2569" t="s">
        <v>2103</v>
      </c>
      <c r="H2569" s="12">
        <v>1.80354348110217</v>
      </c>
      <c r="I2569" s="20">
        <v>1.8170639179803001</v>
      </c>
      <c r="J2569" s="28">
        <v>6.9207326817388198E-2</v>
      </c>
      <c r="K2569" s="29">
        <v>0.62294682253314004</v>
      </c>
    </row>
    <row r="2570" spans="1:11" x14ac:dyDescent="0.35">
      <c r="A2570" s="9" t="str">
        <f>HYPERLINK("http://www.ensembl.org/id/WBGene00001526", "WBGene00001526")</f>
        <v>WBGene00001526</v>
      </c>
      <c r="B2570" s="9" t="str">
        <f>HYPERLINK("http://www.ncbi.nlm.nih.gov/gene/179274", "179274")</f>
        <v>179274</v>
      </c>
      <c r="C2570" s="9" t="str">
        <f>HYPERLINK("http://www.ncbi.nlm.nih.gov/gene/10494", "10494")</f>
        <v>10494</v>
      </c>
      <c r="D2570" t="str">
        <f>"gck-1"</f>
        <v>gck-1</v>
      </c>
      <c r="E2570" t="s">
        <v>2104</v>
      </c>
      <c r="F2570" t="s">
        <v>11</v>
      </c>
      <c r="G2570" t="s">
        <v>2105</v>
      </c>
      <c r="H2570" s="12">
        <v>-1.3940459813772701</v>
      </c>
      <c r="I2570" s="20">
        <v>-1.8165446021698901</v>
      </c>
      <c r="J2570" s="28">
        <v>6.9286872542065697E-2</v>
      </c>
      <c r="K2570" s="29">
        <v>0.62341996766237096</v>
      </c>
    </row>
    <row r="2571" spans="1:11" x14ac:dyDescent="0.35">
      <c r="A2571" s="9" t="str">
        <f>HYPERLINK("http://www.ensembl.org/id/WBGene00019518", "WBGene00019518")</f>
        <v>WBGene00019518</v>
      </c>
      <c r="B2571" s="9" t="str">
        <f>HYPERLINK("http://www.ncbi.nlm.nih.gov/gene/187132", "187132")</f>
        <v>187132</v>
      </c>
      <c r="C2571" s="9"/>
      <c r="D2571" t="str">
        <f>"K08B5.1"</f>
        <v>K08B5.1</v>
      </c>
      <c r="F2571" t="s">
        <v>11</v>
      </c>
      <c r="G2571" t="s">
        <v>25</v>
      </c>
      <c r="H2571" s="12">
        <v>2.72893539346979</v>
      </c>
      <c r="I2571" s="20">
        <v>1.8162406218575899</v>
      </c>
      <c r="J2571" s="28">
        <v>6.9333469279793697E-2</v>
      </c>
      <c r="K2571" s="29">
        <v>0.62359639594352401</v>
      </c>
    </row>
    <row r="2572" spans="1:11" x14ac:dyDescent="0.35">
      <c r="A2572" s="9" t="str">
        <f>HYPERLINK("http://www.ensembl.org/id/WBGene00020586", "WBGene00020586")</f>
        <v>WBGene00020586</v>
      </c>
      <c r="B2572" s="9" t="str">
        <f>HYPERLINK("http://www.ncbi.nlm.nih.gov/gene/179076", "179076")</f>
        <v>179076</v>
      </c>
      <c r="C2572" s="9"/>
      <c r="D2572" t="str">
        <f>"frpr-18"</f>
        <v>frpr-18</v>
      </c>
      <c r="E2572" t="s">
        <v>2106</v>
      </c>
      <c r="F2572" t="s">
        <v>11</v>
      </c>
      <c r="G2572" t="s">
        <v>1223</v>
      </c>
      <c r="H2572" s="12">
        <v>1.6389643252122801</v>
      </c>
      <c r="I2572" s="20">
        <v>1.81585726044475</v>
      </c>
      <c r="J2572" s="28">
        <v>6.9392270932632699E-2</v>
      </c>
      <c r="K2572" s="29">
        <v>0.62388241718654103</v>
      </c>
    </row>
    <row r="2573" spans="1:11" x14ac:dyDescent="0.35">
      <c r="A2573" s="9" t="str">
        <f>HYPERLINK("http://www.ensembl.org/id/WBGene00021773", "WBGene00021773")</f>
        <v>WBGene00021773</v>
      </c>
      <c r="B2573" s="9" t="str">
        <f>HYPERLINK("http://www.ncbi.nlm.nih.gov/gene/190167", "190167")</f>
        <v>190167</v>
      </c>
      <c r="C2573" s="9"/>
      <c r="D2573" t="str">
        <f>"fbxb-42"</f>
        <v>fbxb-42</v>
      </c>
      <c r="E2573" t="s">
        <v>1436</v>
      </c>
      <c r="F2573" t="s">
        <v>11</v>
      </c>
      <c r="G2573" t="s">
        <v>54</v>
      </c>
      <c r="H2573" s="12">
        <v>2.2589859012396398</v>
      </c>
      <c r="I2573" s="20">
        <v>1.8156173739381301</v>
      </c>
      <c r="J2573" s="28">
        <v>6.9429086602742898E-2</v>
      </c>
      <c r="K2573" s="29">
        <v>0.623970624287428</v>
      </c>
    </row>
    <row r="2574" spans="1:11" x14ac:dyDescent="0.35">
      <c r="A2574" s="9" t="str">
        <f>HYPERLINK("http://www.ensembl.org/id/WBGene00015050", "WBGene00015050")</f>
        <v>WBGene00015050</v>
      </c>
      <c r="B2574" s="9" t="str">
        <f>HYPERLINK("http://www.ncbi.nlm.nih.gov/gene/181854", "181854")</f>
        <v>181854</v>
      </c>
      <c r="C2574" s="9"/>
      <c r="D2574" t="str">
        <f>"clec-51"</f>
        <v>clec-51</v>
      </c>
      <c r="E2574" t="s">
        <v>46</v>
      </c>
      <c r="F2574" t="s">
        <v>11</v>
      </c>
      <c r="G2574" t="s">
        <v>274</v>
      </c>
      <c r="H2574" s="12">
        <v>-1.7669768611099801</v>
      </c>
      <c r="I2574" s="20">
        <v>-1.81522458062558</v>
      </c>
      <c r="J2574" s="28">
        <v>6.9489403697035101E-2</v>
      </c>
      <c r="K2574" s="29">
        <v>0.62426989184435899</v>
      </c>
    </row>
    <row r="2575" spans="1:11" x14ac:dyDescent="0.35">
      <c r="A2575" s="9" t="str">
        <f>HYPERLINK("http://www.ensembl.org/id/WBGene00018299", "WBGene00018299")</f>
        <v>WBGene00018299</v>
      </c>
      <c r="B2575" s="9" t="str">
        <f>HYPERLINK("http://www.ncbi.nlm.nih.gov/gene/174113", "174113")</f>
        <v>174113</v>
      </c>
      <c r="C2575" s="9"/>
      <c r="D2575" t="str">
        <f>"F41G3.2"</f>
        <v>F41G3.2</v>
      </c>
      <c r="F2575" t="s">
        <v>11</v>
      </c>
      <c r="H2575" s="12">
        <v>2.10964199804754</v>
      </c>
      <c r="I2575" s="20">
        <v>1.81475332218115</v>
      </c>
      <c r="J2575" s="28">
        <v>6.9561826621065401E-2</v>
      </c>
      <c r="K2575" s="29">
        <v>0.62451947152506804</v>
      </c>
    </row>
    <row r="2576" spans="1:11" x14ac:dyDescent="0.35">
      <c r="A2576" s="9" t="str">
        <f>HYPERLINK("http://www.ensembl.org/id/WBGene00001830", "WBGene00001830")</f>
        <v>WBGene00001830</v>
      </c>
      <c r="B2576" s="9" t="str">
        <f>HYPERLINK("http://www.ncbi.nlm.nih.gov/gene/179353", "179353")</f>
        <v>179353</v>
      </c>
      <c r="C2576" s="9"/>
      <c r="D2576" t="str">
        <f>"hcp-2"</f>
        <v>hcp-2</v>
      </c>
      <c r="E2576" t="s">
        <v>2109</v>
      </c>
      <c r="F2576" t="s">
        <v>11</v>
      </c>
      <c r="G2576" t="s">
        <v>2110</v>
      </c>
      <c r="H2576" s="12">
        <v>-1.4904297375107001</v>
      </c>
      <c r="I2576" s="20">
        <v>-1.81451633268219</v>
      </c>
      <c r="J2576" s="28">
        <v>6.9598270543454105E-2</v>
      </c>
      <c r="K2576" s="29">
        <v>0.62451947152506804</v>
      </c>
    </row>
    <row r="2577" spans="1:11" x14ac:dyDescent="0.35">
      <c r="A2577" s="9" t="str">
        <f>HYPERLINK("http://www.ensembl.org/id/WBGene00004680", "WBGene00004680")</f>
        <v>WBGene00004680</v>
      </c>
      <c r="B2577" s="9" t="str">
        <f>HYPERLINK("http://www.ncbi.nlm.nih.gov/gene/174023", "174023")</f>
        <v>174023</v>
      </c>
      <c r="C2577" s="9"/>
      <c r="D2577" t="str">
        <f>"rars-2"</f>
        <v>rars-2</v>
      </c>
      <c r="E2577" t="s">
        <v>2107</v>
      </c>
      <c r="F2577" t="s">
        <v>11</v>
      </c>
      <c r="G2577" t="s">
        <v>2108</v>
      </c>
      <c r="H2577" s="12">
        <v>-1.4452515793984499</v>
      </c>
      <c r="I2577" s="20">
        <v>-1.8145794686843799</v>
      </c>
      <c r="J2577" s="28">
        <v>6.9588560043493203E-2</v>
      </c>
      <c r="K2577" s="29">
        <v>0.62451947152506804</v>
      </c>
    </row>
    <row r="2578" spans="1:11" x14ac:dyDescent="0.35">
      <c r="A2578" s="9" t="str">
        <f>HYPERLINK("http://www.ensembl.org/id/WBGene00016014", "WBGene00016014")</f>
        <v>WBGene00016014</v>
      </c>
      <c r="B2578" s="9" t="str">
        <f>HYPERLINK("http://www.ncbi.nlm.nih.gov/gene/175876", "175876")</f>
        <v>175876</v>
      </c>
      <c r="C2578" s="9"/>
      <c r="D2578" t="str">
        <f>"C23G10.7"</f>
        <v>C23G10.7</v>
      </c>
      <c r="E2578" t="s">
        <v>2111</v>
      </c>
      <c r="F2578" t="s">
        <v>11</v>
      </c>
      <c r="G2578" t="s">
        <v>2112</v>
      </c>
      <c r="H2578" s="12">
        <v>-1.4466057903852401</v>
      </c>
      <c r="I2578" s="20">
        <v>-1.8142481489453699</v>
      </c>
      <c r="J2578" s="28">
        <v>6.9639530379216094E-2</v>
      </c>
      <c r="K2578" s="29">
        <v>0.62464712303655501</v>
      </c>
    </row>
    <row r="2579" spans="1:11" x14ac:dyDescent="0.35">
      <c r="A2579" s="9" t="str">
        <f>HYPERLINK("http://www.ensembl.org/id/WBGene00015589", "WBGene00015589")</f>
        <v>WBGene00015589</v>
      </c>
      <c r="B2579" s="9" t="str">
        <f>HYPERLINK("http://www.ncbi.nlm.nih.gov/gene/182387", "182387")</f>
        <v>182387</v>
      </c>
      <c r="C2579" s="9"/>
      <c r="D2579" t="str">
        <f>"lido-4"</f>
        <v>lido-4</v>
      </c>
      <c r="F2579" t="s">
        <v>11</v>
      </c>
      <c r="G2579" t="s">
        <v>228</v>
      </c>
      <c r="H2579" s="12">
        <v>-5.0691105500680296</v>
      </c>
      <c r="I2579" s="20">
        <v>-1.8139274757185699</v>
      </c>
      <c r="J2579" s="28">
        <v>6.9688892037825995E-2</v>
      </c>
      <c r="K2579" s="29">
        <v>0.62478962504554902</v>
      </c>
    </row>
    <row r="2580" spans="1:11" x14ac:dyDescent="0.35">
      <c r="A2580" s="9" t="str">
        <f>HYPERLINK("http://www.ensembl.org/id/WBGene00020993", "WBGene00020993")</f>
        <v>WBGene00020993</v>
      </c>
      <c r="B2580" s="9" t="str">
        <f>HYPERLINK("http://www.ncbi.nlm.nih.gov/gene/177294", "177294")</f>
        <v>177294</v>
      </c>
      <c r="C2580" s="9" t="str">
        <f>HYPERLINK("http://www.ncbi.nlm.nih.gov/gene/54516", "54516")</f>
        <v>54516</v>
      </c>
      <c r="D2580" t="str">
        <f>"W03F8.3"</f>
        <v>W03F8.3</v>
      </c>
      <c r="E2580" t="s">
        <v>2113</v>
      </c>
      <c r="F2580" t="s">
        <v>11</v>
      </c>
      <c r="G2580" t="s">
        <v>2114</v>
      </c>
      <c r="H2580" s="12">
        <v>-1.5676919772053</v>
      </c>
      <c r="I2580" s="20">
        <v>-1.8137936683373099</v>
      </c>
      <c r="J2580" s="28">
        <v>6.9709497678846502E-2</v>
      </c>
      <c r="K2580" s="29">
        <v>0.62478962504554902</v>
      </c>
    </row>
    <row r="2581" spans="1:11" x14ac:dyDescent="0.35">
      <c r="A2581" s="9" t="str">
        <f>HYPERLINK("http://www.ensembl.org/id/WBGene00012527", "WBGene00012527")</f>
        <v>WBGene00012527</v>
      </c>
      <c r="B2581" s="9" t="str">
        <f>HYPERLINK("http://www.ncbi.nlm.nih.gov/gene/179457", "179457")</f>
        <v>179457</v>
      </c>
      <c r="C2581" s="9"/>
      <c r="D2581" t="str">
        <f>"set-22"</f>
        <v>set-22</v>
      </c>
      <c r="E2581" t="s">
        <v>2055</v>
      </c>
      <c r="F2581" t="s">
        <v>11</v>
      </c>
      <c r="G2581" t="s">
        <v>54</v>
      </c>
      <c r="H2581" s="12">
        <v>-1.6480989640436601</v>
      </c>
      <c r="I2581" s="20">
        <v>-1.8126254057151501</v>
      </c>
      <c r="J2581" s="28">
        <v>6.9889616608088304E-2</v>
      </c>
      <c r="K2581" s="29">
        <v>0.62612781660846195</v>
      </c>
    </row>
    <row r="2582" spans="1:11" x14ac:dyDescent="0.35">
      <c r="A2582" s="9" t="str">
        <f>HYPERLINK("http://www.ensembl.org/id/WBGene00006699", "WBGene00006699")</f>
        <v>WBGene00006699</v>
      </c>
      <c r="B2582" s="9" t="str">
        <f>HYPERLINK("http://www.ncbi.nlm.nih.gov/gene/177855", "177855")</f>
        <v>177855</v>
      </c>
      <c r="C2582" s="9" t="str">
        <f>HYPERLINK("http://www.ncbi.nlm.nih.gov/gene/7317", "7317")</f>
        <v>7317</v>
      </c>
      <c r="D2582" t="str">
        <f>"uba-1"</f>
        <v>uba-1</v>
      </c>
      <c r="E2582" t="s">
        <v>2115</v>
      </c>
      <c r="F2582" t="s">
        <v>11</v>
      </c>
      <c r="G2582" t="s">
        <v>2116</v>
      </c>
      <c r="H2582" s="12">
        <v>-1.3859506903271099</v>
      </c>
      <c r="I2582" s="20">
        <v>-1.8124739240069201</v>
      </c>
      <c r="J2582" s="28">
        <v>6.9912999517434099E-2</v>
      </c>
      <c r="K2582" s="29">
        <v>0.62612781660846195</v>
      </c>
    </row>
    <row r="2583" spans="1:11" x14ac:dyDescent="0.35">
      <c r="A2583" s="9" t="str">
        <f>HYPERLINK("http://www.ensembl.org/id/WBGene00050875", "WBGene00050875")</f>
        <v>WBGene00050875</v>
      </c>
      <c r="B2583" s="9" t="str">
        <f>HYPERLINK("http://www.ncbi.nlm.nih.gov/gene/173031", "173031")</f>
        <v>173031</v>
      </c>
      <c r="C2583" s="9"/>
      <c r="D2583" t="str">
        <f>"bah-1"</f>
        <v>bah-1</v>
      </c>
      <c r="E2583" t="s">
        <v>2117</v>
      </c>
      <c r="F2583" t="s">
        <v>11</v>
      </c>
      <c r="G2583" t="s">
        <v>1686</v>
      </c>
      <c r="H2583" s="12">
        <v>7.0672743738825101</v>
      </c>
      <c r="I2583" s="20">
        <v>1.81197714223296</v>
      </c>
      <c r="J2583" s="28">
        <v>6.9989728447539007E-2</v>
      </c>
      <c r="K2583" s="29">
        <v>0.62657212921690697</v>
      </c>
    </row>
    <row r="2584" spans="1:11" x14ac:dyDescent="0.35">
      <c r="A2584" s="9" t="str">
        <f>HYPERLINK("http://www.ensembl.org/id/WBGene00044623", "WBGene00044623")</f>
        <v>WBGene00044623</v>
      </c>
      <c r="B2584" s="9" t="str">
        <f>HYPERLINK("http://www.ncbi.nlm.nih.gov/gene/180821", "180821")</f>
        <v>180821</v>
      </c>
      <c r="C2584" s="9"/>
      <c r="D2584" t="str">
        <f>"bus-8"</f>
        <v>bus-8</v>
      </c>
      <c r="E2584" t="s">
        <v>2118</v>
      </c>
      <c r="F2584" t="s">
        <v>11</v>
      </c>
      <c r="G2584" t="s">
        <v>2119</v>
      </c>
      <c r="H2584" s="12">
        <v>1.9827984278163799</v>
      </c>
      <c r="I2584" s="20">
        <v>1.8116804053108799</v>
      </c>
      <c r="J2584" s="28">
        <v>7.0035593014853001E-2</v>
      </c>
      <c r="K2584" s="29">
        <v>0.626739896282414</v>
      </c>
    </row>
    <row r="2585" spans="1:11" x14ac:dyDescent="0.35">
      <c r="A2585" s="9" t="str">
        <f>HYPERLINK("http://www.ensembl.org/id/WBGene00018184", "WBGene00018184")</f>
        <v>WBGene00018184</v>
      </c>
      <c r="B2585" s="9" t="str">
        <f>HYPERLINK("http://www.ncbi.nlm.nih.gov/gene/181712", "181712")</f>
        <v>181712</v>
      </c>
      <c r="C2585" s="9" t="str">
        <f>HYPERLINK("http://www.ncbi.nlm.nih.gov/gene/257068", "257068")</f>
        <v>257068</v>
      </c>
      <c r="D2585" t="str">
        <f>"F38E9.1"</f>
        <v>F38E9.1</v>
      </c>
      <c r="F2585" t="s">
        <v>11</v>
      </c>
      <c r="G2585" t="s">
        <v>2120</v>
      </c>
      <c r="H2585" s="12">
        <v>-1.37770250821669</v>
      </c>
      <c r="I2585" s="20">
        <v>-1.81135471963747</v>
      </c>
      <c r="J2585" s="28">
        <v>7.0085960379682302E-2</v>
      </c>
      <c r="K2585" s="29">
        <v>0.62694781282730905</v>
      </c>
    </row>
    <row r="2586" spans="1:11" x14ac:dyDescent="0.35">
      <c r="A2586" s="9" t="str">
        <f>HYPERLINK("http://www.ensembl.org/id/WBGene00009663", "WBGene00009663")</f>
        <v>WBGene00009663</v>
      </c>
      <c r="B2586" s="9" t="str">
        <f>HYPERLINK("http://www.ncbi.nlm.nih.gov/gene/174811", "174811")</f>
        <v>174811</v>
      </c>
      <c r="C2586" s="9"/>
      <c r="D2586" t="str">
        <f>"hda-5"</f>
        <v>hda-5</v>
      </c>
      <c r="E2586" t="s">
        <v>2121</v>
      </c>
      <c r="F2586" t="s">
        <v>11</v>
      </c>
      <c r="H2586" s="12">
        <v>-1.5162599853562999</v>
      </c>
      <c r="I2586" s="20">
        <v>-1.81103782847268</v>
      </c>
      <c r="J2586" s="28">
        <v>7.0134996200665198E-2</v>
      </c>
      <c r="K2586" s="29">
        <v>0.62714366184696901</v>
      </c>
    </row>
    <row r="2587" spans="1:11" x14ac:dyDescent="0.35">
      <c r="A2587" s="9" t="str">
        <f>HYPERLINK("http://www.ensembl.org/id/WBGene00015660", "WBGene00015660")</f>
        <v>WBGene00015660</v>
      </c>
      <c r="B2587" s="9" t="str">
        <f>HYPERLINK("http://www.ncbi.nlm.nih.gov/gene/179189", "179189")</f>
        <v>179189</v>
      </c>
      <c r="C2587" s="9"/>
      <c r="D2587" t="str">
        <f>"catp-3"</f>
        <v>catp-3</v>
      </c>
      <c r="E2587" t="s">
        <v>1824</v>
      </c>
      <c r="F2587" t="s">
        <v>11</v>
      </c>
      <c r="G2587" t="s">
        <v>1825</v>
      </c>
      <c r="H2587" s="12">
        <v>1.6453974782740199</v>
      </c>
      <c r="I2587" s="20">
        <v>1.81041996132669</v>
      </c>
      <c r="J2587" s="28">
        <v>7.0230686083791502E-2</v>
      </c>
      <c r="K2587" s="29">
        <v>0.62751362438209102</v>
      </c>
    </row>
    <row r="2588" spans="1:11" x14ac:dyDescent="0.35">
      <c r="A2588" s="9" t="str">
        <f>HYPERLINK("http://www.ensembl.org/id/WBGene00010177", "WBGene00010177")</f>
        <v>WBGene00010177</v>
      </c>
      <c r="B2588" s="9" t="str">
        <f>HYPERLINK("http://www.ncbi.nlm.nih.gov/gene/179399", "179399")</f>
        <v>179399</v>
      </c>
      <c r="C2588" s="9"/>
      <c r="D2588" t="str">
        <f>"F57A8.1"</f>
        <v>F57A8.1</v>
      </c>
      <c r="F2588" t="s">
        <v>11</v>
      </c>
      <c r="H2588" s="12">
        <v>1.3968660873561201</v>
      </c>
      <c r="I2588" s="20">
        <v>1.81052105597978</v>
      </c>
      <c r="J2588" s="28">
        <v>7.0215022098384205E-2</v>
      </c>
      <c r="K2588" s="29">
        <v>0.62751362438209102</v>
      </c>
    </row>
    <row r="2589" spans="1:11" x14ac:dyDescent="0.35">
      <c r="A2589" s="9" t="str">
        <f>HYPERLINK("http://www.ensembl.org/id/WBGene00007853", "WBGene00007853")</f>
        <v>WBGene00007853</v>
      </c>
      <c r="B2589" s="9" t="str">
        <f>HYPERLINK("http://www.ncbi.nlm.nih.gov/gene/183093", "183093")</f>
        <v>183093</v>
      </c>
      <c r="C2589" s="9"/>
      <c r="D2589" t="str">
        <f>"C31G12.4"</f>
        <v>C31G12.4</v>
      </c>
      <c r="F2589" t="s">
        <v>11</v>
      </c>
      <c r="H2589" s="12">
        <v>3.2311278473488199</v>
      </c>
      <c r="I2589" s="20">
        <v>1.80990817341134</v>
      </c>
      <c r="J2589" s="28">
        <v>7.0310028431743804E-2</v>
      </c>
      <c r="K2589" s="29">
        <v>0.62753479804610801</v>
      </c>
    </row>
    <row r="2590" spans="1:11" x14ac:dyDescent="0.35">
      <c r="A2590" s="9" t="str">
        <f>HYPERLINK("http://www.ensembl.org/id/WBGene00015916", "WBGene00015916")</f>
        <v>WBGene00015916</v>
      </c>
      <c r="B2590" s="9" t="str">
        <f>HYPERLINK("http://www.ncbi.nlm.nih.gov/gene/173946", "173946")</f>
        <v>173946</v>
      </c>
      <c r="C2590" s="9" t="str">
        <f>HYPERLINK("http://www.ncbi.nlm.nih.gov/gene/7268", "7268")</f>
        <v>7268</v>
      </c>
      <c r="D2590" t="str">
        <f>"ttc-4"</f>
        <v>ttc-4</v>
      </c>
      <c r="E2590" t="s">
        <v>2124</v>
      </c>
      <c r="F2590" t="s">
        <v>11</v>
      </c>
      <c r="G2590" t="s">
        <v>2125</v>
      </c>
      <c r="H2590" s="12">
        <v>-1.52055572681896</v>
      </c>
      <c r="I2590" s="20">
        <v>-1.80987913352612</v>
      </c>
      <c r="J2590" s="28">
        <v>7.0314532681614E-2</v>
      </c>
      <c r="K2590" s="29">
        <v>0.62753479804610801</v>
      </c>
    </row>
    <row r="2591" spans="1:11" x14ac:dyDescent="0.35">
      <c r="A2591" s="9" t="str">
        <f>HYPERLINK("http://www.ensembl.org/id/WBGene00022695", "WBGene00022695")</f>
        <v>WBGene00022695</v>
      </c>
      <c r="B2591" s="9" t="str">
        <f>HYPERLINK("http://www.ncbi.nlm.nih.gov/gene/175854", "175854")</f>
        <v>175854</v>
      </c>
      <c r="C2591" s="9"/>
      <c r="D2591" t="str">
        <f>"ZK328.6"</f>
        <v>ZK328.6</v>
      </c>
      <c r="E2591" t="s">
        <v>2122</v>
      </c>
      <c r="F2591" t="s">
        <v>11</v>
      </c>
      <c r="G2591" t="s">
        <v>2123</v>
      </c>
      <c r="H2591" s="12">
        <v>1.67562237772458</v>
      </c>
      <c r="I2591" s="20">
        <v>1.8101680923740799</v>
      </c>
      <c r="J2591" s="28">
        <v>7.0269724076521406E-2</v>
      </c>
      <c r="K2591" s="29">
        <v>0.62753479804610801</v>
      </c>
    </row>
    <row r="2592" spans="1:11" x14ac:dyDescent="0.35">
      <c r="A2592" s="9" t="str">
        <f>HYPERLINK("http://www.ensembl.org/id/WBGene00007729", "WBGene00007729")</f>
        <v>WBGene00007729</v>
      </c>
      <c r="B2592" s="9" t="str">
        <f>HYPERLINK("http://www.ncbi.nlm.nih.gov/gene/182914", "182914")</f>
        <v>182914</v>
      </c>
      <c r="C2592" s="9"/>
      <c r="D2592" t="str">
        <f>"clec-185"</f>
        <v>clec-185</v>
      </c>
      <c r="E2592" t="s">
        <v>46</v>
      </c>
      <c r="F2592" t="s">
        <v>11</v>
      </c>
      <c r="G2592" t="s">
        <v>47</v>
      </c>
      <c r="H2592" s="12">
        <v>21.118614808062699</v>
      </c>
      <c r="I2592" s="20">
        <v>1.8085961193793301</v>
      </c>
      <c r="J2592" s="28">
        <v>7.0513771819201806E-2</v>
      </c>
      <c r="K2592" s="29">
        <v>0.62837364807353702</v>
      </c>
    </row>
    <row r="2593" spans="1:11" x14ac:dyDescent="0.35">
      <c r="A2593" s="9" t="str">
        <f>HYPERLINK("http://www.ensembl.org/id/WBGene00045357", "WBGene00045357")</f>
        <v>WBGene00045357</v>
      </c>
      <c r="B2593" s="9" t="str">
        <f>HYPERLINK("http://www.ncbi.nlm.nih.gov/gene/6418722", "6418722")</f>
        <v>6418722</v>
      </c>
      <c r="C2593" s="9"/>
      <c r="D2593" t="str">
        <f>"F13A7.14"</f>
        <v>F13A7.14</v>
      </c>
      <c r="F2593" t="s">
        <v>11</v>
      </c>
      <c r="H2593" s="12">
        <v>-1.5395429537973799</v>
      </c>
      <c r="I2593" s="20">
        <v>-1.80850572433607</v>
      </c>
      <c r="J2593" s="28">
        <v>7.0527826701982196E-2</v>
      </c>
      <c r="K2593" s="29">
        <v>0.62837364807353702</v>
      </c>
    </row>
    <row r="2594" spans="1:11" x14ac:dyDescent="0.35">
      <c r="A2594" s="9" t="str">
        <f>HYPERLINK("http://www.ensembl.org/id/WBGene00020831", "WBGene00020831")</f>
        <v>WBGene00020831</v>
      </c>
      <c r="B2594" s="9" t="str">
        <f>HYPERLINK("http://www.ncbi.nlm.nih.gov/gene/177095", "177095")</f>
        <v>177095</v>
      </c>
      <c r="C2594" s="9" t="str">
        <f>HYPERLINK("http://www.ncbi.nlm.nih.gov/gene/10994", "10994")</f>
        <v>10994</v>
      </c>
      <c r="D2594" t="str">
        <f>"T26C12.1"</f>
        <v>T26C12.1</v>
      </c>
      <c r="E2594" t="s">
        <v>2126</v>
      </c>
      <c r="F2594" t="s">
        <v>11</v>
      </c>
      <c r="G2594" t="s">
        <v>2127</v>
      </c>
      <c r="H2594" s="12">
        <v>-1.40898450751224</v>
      </c>
      <c r="I2594" s="20">
        <v>-1.80862822955025</v>
      </c>
      <c r="J2594" s="28">
        <v>7.0508779790004306E-2</v>
      </c>
      <c r="K2594" s="29">
        <v>0.62837364807353702</v>
      </c>
    </row>
    <row r="2595" spans="1:11" x14ac:dyDescent="0.35">
      <c r="A2595" s="9" t="str">
        <f>HYPERLINK("http://www.ensembl.org/id/WBGene00023425", "WBGene00023425")</f>
        <v>WBGene00023425</v>
      </c>
      <c r="B2595" s="9" t="str">
        <f>HYPERLINK("http://www.ncbi.nlm.nih.gov/gene/3565941", "3565941")</f>
        <v>3565941</v>
      </c>
      <c r="C2595" s="9"/>
      <c r="D2595" t="str">
        <f>"try-9"</f>
        <v>try-9</v>
      </c>
      <c r="E2595" t="s">
        <v>357</v>
      </c>
      <c r="F2595" t="s">
        <v>11</v>
      </c>
      <c r="G2595" t="s">
        <v>1646</v>
      </c>
      <c r="H2595" s="12">
        <v>-1.9306838073210899</v>
      </c>
      <c r="I2595" s="20">
        <v>-1.80839850065344</v>
      </c>
      <c r="J2595" s="28">
        <v>7.0544501129696E-2</v>
      </c>
      <c r="K2595" s="29">
        <v>0.62837364807353702</v>
      </c>
    </row>
    <row r="2596" spans="1:11" x14ac:dyDescent="0.35">
      <c r="A2596" s="9" t="str">
        <f>HYPERLINK("http://www.ensembl.org/id/WBGene00235113", "WBGene00235113")</f>
        <v>WBGene00235113</v>
      </c>
      <c r="B2596" s="9" t="str">
        <f>HYPERLINK("http://www.ncbi.nlm.nih.gov/gene/24105274", "24105274")</f>
        <v>24105274</v>
      </c>
      <c r="C2596" s="9"/>
      <c r="D2596" t="str">
        <f>"ZK105.12"</f>
        <v>ZK105.12</v>
      </c>
      <c r="F2596" t="s">
        <v>11</v>
      </c>
      <c r="H2596" s="12">
        <v>2.60176022619653</v>
      </c>
      <c r="I2596" s="20">
        <v>1.80900728465174</v>
      </c>
      <c r="J2596" s="28">
        <v>7.0449871642856196E-2</v>
      </c>
      <c r="K2596" s="29">
        <v>0.62837364807353702</v>
      </c>
    </row>
    <row r="2597" spans="1:11" x14ac:dyDescent="0.35">
      <c r="A2597" s="9" t="str">
        <f>HYPERLINK("http://www.ensembl.org/id/WBGene00018668", "WBGene00018668")</f>
        <v>WBGene00018668</v>
      </c>
      <c r="B2597" s="9" t="str">
        <f>HYPERLINK("http://www.ncbi.nlm.nih.gov/gene/186093", "186093")</f>
        <v>186093</v>
      </c>
      <c r="C2597" s="9"/>
      <c r="D2597" t="str">
        <f>"bath-2"</f>
        <v>bath-2</v>
      </c>
      <c r="E2597" t="s">
        <v>179</v>
      </c>
      <c r="F2597" t="s">
        <v>11</v>
      </c>
      <c r="G2597" t="s">
        <v>54</v>
      </c>
      <c r="H2597" s="12">
        <v>-1.71432034041232</v>
      </c>
      <c r="I2597" s="20">
        <v>-1.80707936279985</v>
      </c>
      <c r="J2597" s="28">
        <v>7.0749905885300599E-2</v>
      </c>
      <c r="K2597" s="29">
        <v>0.62854175683060398</v>
      </c>
    </row>
    <row r="2598" spans="1:11" x14ac:dyDescent="0.35">
      <c r="A2598" s="9" t="str">
        <f>HYPERLINK("http://www.ensembl.org/id/WBGene00077500", "WBGene00077500")</f>
        <v>WBGene00077500</v>
      </c>
      <c r="B2598" s="9" t="str">
        <f>HYPERLINK("http://www.ncbi.nlm.nih.gov/gene/6418702", "6418702")</f>
        <v>6418702</v>
      </c>
      <c r="C2598" s="9"/>
      <c r="D2598" t="str">
        <f>"C27H6.9"</f>
        <v>C27H6.9</v>
      </c>
      <c r="E2598" t="s">
        <v>2140</v>
      </c>
      <c r="F2598" t="s">
        <v>11</v>
      </c>
      <c r="G2598" t="s">
        <v>2141</v>
      </c>
      <c r="H2598" s="12">
        <v>-1.6039286433426201</v>
      </c>
      <c r="I2598" s="20">
        <v>-1.80744079607319</v>
      </c>
      <c r="J2598" s="28">
        <v>7.0693577893358395E-2</v>
      </c>
      <c r="K2598" s="29">
        <v>0.62854175683060398</v>
      </c>
    </row>
    <row r="2599" spans="1:11" x14ac:dyDescent="0.35">
      <c r="A2599" s="9" t="str">
        <f>HYPERLINK("http://www.ensembl.org/id/WBGene00020847", "WBGene00020847")</f>
        <v>WBGene00020847</v>
      </c>
      <c r="B2599" s="9" t="str">
        <f>HYPERLINK("http://www.ncbi.nlm.nih.gov/gene/180650", "180650")</f>
        <v>180650</v>
      </c>
      <c r="C2599" s="9"/>
      <c r="D2599" t="str">
        <f>"cgr-1"</f>
        <v>cgr-1</v>
      </c>
      <c r="E2599" t="s">
        <v>2139</v>
      </c>
      <c r="F2599" t="s">
        <v>11</v>
      </c>
      <c r="G2599" t="s">
        <v>318</v>
      </c>
      <c r="H2599" s="12">
        <v>-1.4868990885676301</v>
      </c>
      <c r="I2599" s="20">
        <v>-1.8065280065768099</v>
      </c>
      <c r="J2599" s="28">
        <v>7.0835903537991601E-2</v>
      </c>
      <c r="K2599" s="29">
        <v>0.62854175683060398</v>
      </c>
    </row>
    <row r="2600" spans="1:11" x14ac:dyDescent="0.35">
      <c r="A2600" s="9" t="str">
        <f>HYPERLINK("http://www.ensembl.org/id/WBGene00001540", "WBGene00001540")</f>
        <v>WBGene00001540</v>
      </c>
      <c r="B2600" s="9" t="str">
        <f>HYPERLINK("http://www.ncbi.nlm.nih.gov/gene/191647", "191647")</f>
        <v>191647</v>
      </c>
      <c r="C2600" s="9"/>
      <c r="D2600" t="str">
        <f>"gcy-14"</f>
        <v>gcy-14</v>
      </c>
      <c r="E2600" t="s">
        <v>2128</v>
      </c>
      <c r="F2600" t="s">
        <v>11</v>
      </c>
      <c r="G2600" t="s">
        <v>1564</v>
      </c>
      <c r="H2600" s="12">
        <v>5.8572451250431099</v>
      </c>
      <c r="I2600" s="20">
        <v>1.8061887076507599</v>
      </c>
      <c r="J2600" s="28">
        <v>7.0888868198465099E-2</v>
      </c>
      <c r="K2600" s="29">
        <v>0.62854175683060398</v>
      </c>
    </row>
    <row r="2601" spans="1:11" x14ac:dyDescent="0.35">
      <c r="A2601" s="9" t="str">
        <f>HYPERLINK("http://www.ensembl.org/id/WBGene00020279", "WBGene00020279")</f>
        <v>WBGene00020279</v>
      </c>
      <c r="B2601" s="9" t="str">
        <f>HYPERLINK("http://www.ncbi.nlm.nih.gov/gene/188156", "188156")</f>
        <v>188156</v>
      </c>
      <c r="C2601" s="9"/>
      <c r="D2601" t="str">
        <f>"glb-25"</f>
        <v>glb-25</v>
      </c>
      <c r="E2601" t="s">
        <v>2130</v>
      </c>
      <c r="F2601" t="s">
        <v>11</v>
      </c>
      <c r="G2601" t="s">
        <v>634</v>
      </c>
      <c r="H2601" s="12">
        <v>1.5627340273325301</v>
      </c>
      <c r="I2601" s="20">
        <v>1.8079784916255599</v>
      </c>
      <c r="J2601" s="28">
        <v>7.0609848163603606E-2</v>
      </c>
      <c r="K2601" s="29">
        <v>0.62854175683060398</v>
      </c>
    </row>
    <row r="2602" spans="1:11" x14ac:dyDescent="0.35">
      <c r="A2602" s="9" t="str">
        <f>HYPERLINK("http://www.ensembl.org/id/WBGene00001613", "WBGene00001613")</f>
        <v>WBGene00001613</v>
      </c>
      <c r="B2602" s="9" t="str">
        <f>HYPERLINK("http://www.ncbi.nlm.nih.gov/gene/175999", "175999")</f>
        <v>175999</v>
      </c>
      <c r="C2602" s="9" t="str">
        <f>HYPERLINK("http://www.ncbi.nlm.nih.gov/gene/2892", "2892")</f>
        <v>2892</v>
      </c>
      <c r="D2602" t="str">
        <f>"glr-2"</f>
        <v>glr-2</v>
      </c>
      <c r="E2602" t="s">
        <v>2129</v>
      </c>
      <c r="F2602" t="s">
        <v>11</v>
      </c>
      <c r="G2602" t="s">
        <v>1934</v>
      </c>
      <c r="H2602" s="12">
        <v>1.7141104547741901</v>
      </c>
      <c r="I2602" s="20">
        <v>1.8057306641825901</v>
      </c>
      <c r="J2602" s="28">
        <v>7.0960420420544401E-2</v>
      </c>
      <c r="K2602" s="29">
        <v>0.62854175683060398</v>
      </c>
    </row>
    <row r="2603" spans="1:11" x14ac:dyDescent="0.35">
      <c r="A2603" s="9" t="str">
        <f>HYPERLINK("http://www.ensembl.org/id/WBGene00016652", "WBGene00016652")</f>
        <v>WBGene00016652</v>
      </c>
      <c r="B2603" s="9" t="str">
        <f>HYPERLINK("http://www.ncbi.nlm.nih.gov/gene/172072", "172072")</f>
        <v>172072</v>
      </c>
      <c r="C2603" s="9" t="str">
        <f>HYPERLINK("http://www.ncbi.nlm.nih.gov/gene/2806", "2806")</f>
        <v>2806</v>
      </c>
      <c r="D2603" t="str">
        <f>"got-2.1"</f>
        <v>got-2.1</v>
      </c>
      <c r="E2603" t="s">
        <v>1945</v>
      </c>
      <c r="F2603" t="s">
        <v>11</v>
      </c>
      <c r="G2603" t="s">
        <v>1946</v>
      </c>
      <c r="H2603" s="12">
        <v>-1.4729259429730901</v>
      </c>
      <c r="I2603" s="20">
        <v>-1.8062736926510199</v>
      </c>
      <c r="J2603" s="28">
        <v>7.0875598968117501E-2</v>
      </c>
      <c r="K2603" s="29">
        <v>0.62854175683060398</v>
      </c>
    </row>
    <row r="2604" spans="1:11" x14ac:dyDescent="0.35">
      <c r="A2604" s="9" t="str">
        <f>HYPERLINK("http://www.ensembl.org/id/WBGene00002134", "WBGene00002134")</f>
        <v>WBGene00002134</v>
      </c>
      <c r="B2604" s="9" t="str">
        <f>HYPERLINK("http://www.ncbi.nlm.nih.gov/gene/171944", "171944")</f>
        <v>171944</v>
      </c>
      <c r="C2604" s="9"/>
      <c r="D2604" t="str">
        <f>"inx-12"</f>
        <v>inx-12</v>
      </c>
      <c r="E2604" t="s">
        <v>2136</v>
      </c>
      <c r="F2604" t="s">
        <v>11</v>
      </c>
      <c r="H2604" s="12">
        <v>1.3946797376721101</v>
      </c>
      <c r="I2604" s="20">
        <v>1.8066821578289001</v>
      </c>
      <c r="J2604" s="28">
        <v>7.0811851205789297E-2</v>
      </c>
      <c r="K2604" s="29">
        <v>0.62854175683060398</v>
      </c>
    </row>
    <row r="2605" spans="1:11" x14ac:dyDescent="0.35">
      <c r="A2605" s="9" t="str">
        <f>HYPERLINK("http://www.ensembl.org/id/WBGene00010637", "WBGene00010637")</f>
        <v>WBGene00010637</v>
      </c>
      <c r="B2605" s="9" t="str">
        <f>HYPERLINK("http://www.ncbi.nlm.nih.gov/gene/187119", "187119")</f>
        <v>187119</v>
      </c>
      <c r="C2605" s="9"/>
      <c r="D2605" t="str">
        <f>"K07F5.12"</f>
        <v>K07F5.12</v>
      </c>
      <c r="F2605" t="s">
        <v>11</v>
      </c>
      <c r="G2605" t="s">
        <v>1001</v>
      </c>
      <c r="H2605" s="12">
        <v>-1.5515041532981899</v>
      </c>
      <c r="I2605" s="20">
        <v>-1.80654928403763</v>
      </c>
      <c r="J2605" s="28">
        <v>7.0832583201787494E-2</v>
      </c>
      <c r="K2605" s="29">
        <v>0.62854175683060398</v>
      </c>
    </row>
    <row r="2606" spans="1:11" x14ac:dyDescent="0.35">
      <c r="A2606" s="9" t="str">
        <f>HYPERLINK("http://www.ensembl.org/id/WBGene00003158", "WBGene00003158")</f>
        <v>WBGene00003158</v>
      </c>
      <c r="B2606" s="9" t="str">
        <f>HYPERLINK("http://www.ncbi.nlm.nih.gov/gene/176385", "176385")</f>
        <v>176385</v>
      </c>
      <c r="C2606" s="9"/>
      <c r="D2606" t="str">
        <f>"mcm-6"</f>
        <v>mcm-6</v>
      </c>
      <c r="E2606" t="s">
        <v>2137</v>
      </c>
      <c r="F2606" t="s">
        <v>11</v>
      </c>
      <c r="G2606" t="s">
        <v>2138</v>
      </c>
      <c r="H2606" s="12">
        <v>-1.4827564948581899</v>
      </c>
      <c r="I2606" s="20">
        <v>-1.80601072480844</v>
      </c>
      <c r="J2606" s="28">
        <v>7.0916664353751394E-2</v>
      </c>
      <c r="K2606" s="29">
        <v>0.62854175683060398</v>
      </c>
    </row>
    <row r="2607" spans="1:11" x14ac:dyDescent="0.35">
      <c r="A2607" s="9" t="str">
        <f>HYPERLINK("http://www.ensembl.org/id/WBGene00015497", "WBGene00015497")</f>
        <v>WBGene00015497</v>
      </c>
      <c r="B2607" s="9" t="str">
        <f>HYPERLINK("http://www.ncbi.nlm.nih.gov/gene/182276", "182276")</f>
        <v>182276</v>
      </c>
      <c r="C2607" s="9"/>
      <c r="D2607" t="str">
        <f>"nhr-76"</f>
        <v>nhr-76</v>
      </c>
      <c r="E2607" t="s">
        <v>637</v>
      </c>
      <c r="F2607" t="s">
        <v>11</v>
      </c>
      <c r="G2607" t="s">
        <v>2132</v>
      </c>
      <c r="H2607" s="12">
        <v>1.44280925356683</v>
      </c>
      <c r="I2607" s="20">
        <v>1.8057460772818501</v>
      </c>
      <c r="J2607" s="28">
        <v>7.0958011735761897E-2</v>
      </c>
      <c r="K2607" s="29">
        <v>0.62854175683060398</v>
      </c>
    </row>
    <row r="2608" spans="1:11" x14ac:dyDescent="0.35">
      <c r="A2608" s="9" t="str">
        <f>HYPERLINK("http://www.ensembl.org/id/WBGene00019965", "WBGene00019965")</f>
        <v>WBGene00019965</v>
      </c>
      <c r="B2608" s="9" t="str">
        <f>HYPERLINK("http://www.ncbi.nlm.nih.gov/gene/187703", "187703")</f>
        <v>187703</v>
      </c>
      <c r="C2608" s="9" t="str">
        <f>HYPERLINK("http://www.ncbi.nlm.nih.gov/gene/57704", "57704")</f>
        <v>57704</v>
      </c>
      <c r="D2608" t="str">
        <f>"R08F11.1"</f>
        <v>R08F11.1</v>
      </c>
      <c r="E2608" t="s">
        <v>2133</v>
      </c>
      <c r="F2608" t="s">
        <v>11</v>
      </c>
      <c r="G2608" t="s">
        <v>2134</v>
      </c>
      <c r="H2608" s="12">
        <v>1.4356467975937</v>
      </c>
      <c r="I2608" s="20">
        <v>1.8076210234385801</v>
      </c>
      <c r="J2608" s="28">
        <v>7.0665503894220105E-2</v>
      </c>
      <c r="K2608" s="29">
        <v>0.62854175683060398</v>
      </c>
    </row>
    <row r="2609" spans="1:11" x14ac:dyDescent="0.35">
      <c r="A2609" s="9" t="str">
        <f>HYPERLINK("http://www.ensembl.org/id/WBGene00015303", "WBGene00015303")</f>
        <v>WBGene00015303</v>
      </c>
      <c r="B2609" s="9" t="str">
        <f>HYPERLINK("http://www.ncbi.nlm.nih.gov/gene/172102", "172102")</f>
        <v>172102</v>
      </c>
      <c r="C2609" s="9"/>
      <c r="D2609" t="str">
        <f>"rga-6"</f>
        <v>rga-6</v>
      </c>
      <c r="E2609" t="s">
        <v>256</v>
      </c>
      <c r="F2609" t="s">
        <v>11</v>
      </c>
      <c r="G2609" t="s">
        <v>2131</v>
      </c>
      <c r="H2609" s="12">
        <v>1.46106842565298</v>
      </c>
      <c r="I2609" s="20">
        <v>1.8055669100331799</v>
      </c>
      <c r="J2609" s="28">
        <v>7.0986015268839298E-2</v>
      </c>
      <c r="K2609" s="29">
        <v>0.62854175683060398</v>
      </c>
    </row>
    <row r="2610" spans="1:11" x14ac:dyDescent="0.35">
      <c r="A2610" s="9" t="str">
        <f>HYPERLINK("http://www.ensembl.org/id/WBGene00195159", "WBGene00195159")</f>
        <v>WBGene00195159</v>
      </c>
      <c r="B2610" s="9"/>
      <c r="C2610" s="9"/>
      <c r="D2610" t="str">
        <f>"T04C12.14"</f>
        <v>T04C12.14</v>
      </c>
      <c r="F2610" t="s">
        <v>481</v>
      </c>
      <c r="H2610" s="12">
        <v>9.7594903283461303</v>
      </c>
      <c r="I2610" s="20">
        <v>1.8076472659800999</v>
      </c>
      <c r="J2610" s="28">
        <v>7.0661416858834203E-2</v>
      </c>
      <c r="K2610" s="29">
        <v>0.62854175683060398</v>
      </c>
    </row>
    <row r="2611" spans="1:11" x14ac:dyDescent="0.35">
      <c r="A2611" s="9" t="str">
        <f>HYPERLINK("http://www.ensembl.org/id/WBGene00020879", "WBGene00020879")</f>
        <v>WBGene00020879</v>
      </c>
      <c r="B2611" s="9" t="str">
        <f>HYPERLINK("http://www.ncbi.nlm.nih.gov/gene/189022", "189022")</f>
        <v>189022</v>
      </c>
      <c r="C2611" s="9"/>
      <c r="D2611" t="str">
        <f>"T28A11.17"</f>
        <v>T28A11.17</v>
      </c>
      <c r="F2611" t="s">
        <v>11</v>
      </c>
      <c r="H2611" s="12">
        <v>2.2076754203298501</v>
      </c>
      <c r="I2611" s="20">
        <v>1.80704545409286</v>
      </c>
      <c r="J2611" s="28">
        <v>7.0755192315503299E-2</v>
      </c>
      <c r="K2611" s="29">
        <v>0.62854175683060398</v>
      </c>
    </row>
    <row r="2612" spans="1:11" x14ac:dyDescent="0.35">
      <c r="A2612" s="9" t="str">
        <f>HYPERLINK("http://www.ensembl.org/id/WBGene00022307", "WBGene00022307")</f>
        <v>WBGene00022307</v>
      </c>
      <c r="B2612" s="9" t="str">
        <f>HYPERLINK("http://www.ncbi.nlm.nih.gov/gene/176954", "176954")</f>
        <v>176954</v>
      </c>
      <c r="C2612" s="9"/>
      <c r="D2612" t="str">
        <f>"Y77E11A.2"</f>
        <v>Y77E11A.2</v>
      </c>
      <c r="F2612" t="s">
        <v>11</v>
      </c>
      <c r="G2612" t="s">
        <v>2135</v>
      </c>
      <c r="H2612" s="12">
        <v>1.4079170308939299</v>
      </c>
      <c r="I2612" s="20">
        <v>1.80548631912623</v>
      </c>
      <c r="J2612" s="28">
        <v>7.0998614443342697E-2</v>
      </c>
      <c r="K2612" s="29">
        <v>0.62854175683060398</v>
      </c>
    </row>
    <row r="2613" spans="1:11" x14ac:dyDescent="0.35">
      <c r="A2613" s="9" t="str">
        <f>HYPERLINK("http://www.ensembl.org/id/WBGene00007186", "WBGene00007186")</f>
        <v>WBGene00007186</v>
      </c>
      <c r="B2613" s="9" t="str">
        <f>HYPERLINK("http://www.ncbi.nlm.nih.gov/gene/176329", "176329")</f>
        <v>176329</v>
      </c>
      <c r="C2613" s="9"/>
      <c r="D2613" t="str">
        <f>"B0464.6"</f>
        <v>B0464.6</v>
      </c>
      <c r="F2613" t="s">
        <v>11</v>
      </c>
      <c r="H2613" s="12">
        <v>-1.45758422315919</v>
      </c>
      <c r="I2613" s="20">
        <v>-1.8048502521315899</v>
      </c>
      <c r="J2613" s="28">
        <v>7.1098118290766399E-2</v>
      </c>
      <c r="K2613" s="29">
        <v>0.62854341044999495</v>
      </c>
    </row>
    <row r="2614" spans="1:11" x14ac:dyDescent="0.35">
      <c r="A2614" s="9" t="str">
        <f>HYPERLINK("http://www.ensembl.org/id/WBGene00007598", "WBGene00007598")</f>
        <v>WBGene00007598</v>
      </c>
      <c r="B2614" s="9" t="str">
        <f>HYPERLINK("http://www.ncbi.nlm.nih.gov/gene/182626", "182626")</f>
        <v>182626</v>
      </c>
      <c r="C2614" s="9"/>
      <c r="D2614" t="str">
        <f>"C15A11.4"</f>
        <v>C15A11.4</v>
      </c>
      <c r="F2614" t="s">
        <v>11</v>
      </c>
      <c r="G2614" t="s">
        <v>25</v>
      </c>
      <c r="H2614" s="12">
        <v>-1.54172262992027</v>
      </c>
      <c r="I2614" s="20">
        <v>-1.8042613726788399</v>
      </c>
      <c r="J2614" s="28">
        <v>7.1190342192822595E-2</v>
      </c>
      <c r="K2614" s="29">
        <v>0.62854341044999495</v>
      </c>
    </row>
    <row r="2615" spans="1:11" x14ac:dyDescent="0.35">
      <c r="A2615" s="9" t="str">
        <f>HYPERLINK("http://www.ensembl.org/id/WBGene00000526", "WBGene00000526")</f>
        <v>WBGene00000526</v>
      </c>
      <c r="B2615" s="9" t="str">
        <f>HYPERLINK("http://www.ncbi.nlm.nih.gov/gene/181000", "181000")</f>
        <v>181000</v>
      </c>
      <c r="C2615" s="9"/>
      <c r="D2615" t="str">
        <f>"clc-5"</f>
        <v>clc-5</v>
      </c>
      <c r="E2615" t="s">
        <v>2144</v>
      </c>
      <c r="F2615" t="s">
        <v>11</v>
      </c>
      <c r="G2615" t="s">
        <v>1268</v>
      </c>
      <c r="H2615" s="12">
        <v>1.61371044551801</v>
      </c>
      <c r="I2615" s="20">
        <v>1.8041118318859899</v>
      </c>
      <c r="J2615" s="28">
        <v>7.1213777253464006E-2</v>
      </c>
      <c r="K2615" s="29">
        <v>0.62854341044999495</v>
      </c>
    </row>
    <row r="2616" spans="1:11" x14ac:dyDescent="0.35">
      <c r="A2616" s="9" t="str">
        <f>HYPERLINK("http://www.ensembl.org/id/WBGene00017378", "WBGene00017378")</f>
        <v>WBGene00017378</v>
      </c>
      <c r="B2616" s="9" t="str">
        <f>HYPERLINK("http://www.ncbi.nlm.nih.gov/gene/259354", "259354")</f>
        <v>259354</v>
      </c>
      <c r="C2616" s="9"/>
      <c r="D2616" t="str">
        <f>"F11C7.6"</f>
        <v>F11C7.6</v>
      </c>
      <c r="F2616" t="s">
        <v>11</v>
      </c>
      <c r="H2616" s="12">
        <v>-1.5767226256964699</v>
      </c>
      <c r="I2616" s="20">
        <v>-1.8035594570390501</v>
      </c>
      <c r="J2616" s="28">
        <v>7.1300396674017899E-2</v>
      </c>
      <c r="K2616" s="29">
        <v>0.62854341044999495</v>
      </c>
    </row>
    <row r="2617" spans="1:11" x14ac:dyDescent="0.35">
      <c r="A2617" s="9" t="str">
        <f>HYPERLINK("http://www.ensembl.org/id/WBGene00019002", "WBGene00019002")</f>
        <v>WBGene00019002</v>
      </c>
      <c r="B2617" s="9" t="str">
        <f>HYPERLINK("http://www.ncbi.nlm.nih.gov/gene/172375", "172375")</f>
        <v>172375</v>
      </c>
      <c r="C2617" s="9"/>
      <c r="D2617" t="str">
        <f>"F57B10.4"</f>
        <v>F57B10.4</v>
      </c>
      <c r="F2617" t="s">
        <v>11</v>
      </c>
      <c r="H2617" s="12">
        <v>-1.4956385150432501</v>
      </c>
      <c r="I2617" s="20">
        <v>-1.8030988154194401</v>
      </c>
      <c r="J2617" s="28">
        <v>7.1372697172467706E-2</v>
      </c>
      <c r="K2617" s="29">
        <v>0.62854341044999495</v>
      </c>
    </row>
    <row r="2618" spans="1:11" x14ac:dyDescent="0.35">
      <c r="A2618" s="9" t="str">
        <f>HYPERLINK("http://www.ensembl.org/id/WBGene00003037", "WBGene00003037")</f>
        <v>WBGene00003037</v>
      </c>
      <c r="B2618" s="9" t="str">
        <f>HYPERLINK("http://www.ncbi.nlm.nih.gov/gene/178280", "178280")</f>
        <v>178280</v>
      </c>
      <c r="C2618" s="9"/>
      <c r="D2618" t="str">
        <f>"lin-54"</f>
        <v>lin-54</v>
      </c>
      <c r="F2618" t="s">
        <v>11</v>
      </c>
      <c r="H2618" s="12">
        <v>-1.5543713765379401</v>
      </c>
      <c r="I2618" s="20">
        <v>-1.80357645399873</v>
      </c>
      <c r="J2618" s="28">
        <v>7.1297730046831001E-2</v>
      </c>
      <c r="K2618" s="29">
        <v>0.62854341044999495</v>
      </c>
    </row>
    <row r="2619" spans="1:11" x14ac:dyDescent="0.35">
      <c r="A2619" s="9" t="str">
        <f>HYPERLINK("http://www.ensembl.org/id/WBGene00003995", "WBGene00003995")</f>
        <v>WBGene00003995</v>
      </c>
      <c r="B2619" s="9" t="str">
        <f>HYPERLINK("http://www.ncbi.nlm.nih.gov/gene/178215", "178215")</f>
        <v>178215</v>
      </c>
      <c r="C2619" s="9" t="str">
        <f>HYPERLINK("http://www.ncbi.nlm.nih.gov/gene/5243", "5243")</f>
        <v>5243</v>
      </c>
      <c r="D2619" t="str">
        <f>"pgp-1"</f>
        <v>pgp-1</v>
      </c>
      <c r="E2619" t="s">
        <v>2142</v>
      </c>
      <c r="F2619" t="s">
        <v>11</v>
      </c>
      <c r="G2619" t="s">
        <v>2143</v>
      </c>
      <c r="H2619" s="12">
        <v>1.8688545841170501</v>
      </c>
      <c r="I2619" s="20">
        <v>1.8049446202394099</v>
      </c>
      <c r="J2619" s="28">
        <v>7.1083348492385803E-2</v>
      </c>
      <c r="K2619" s="29">
        <v>0.62854341044999495</v>
      </c>
    </row>
    <row r="2620" spans="1:11" x14ac:dyDescent="0.35">
      <c r="A2620" s="9" t="str">
        <f>HYPERLINK("http://www.ensembl.org/id/WBGene00004925", "WBGene00004925")</f>
        <v>WBGene00004925</v>
      </c>
      <c r="B2620" s="9" t="str">
        <f>HYPERLINK("http://www.ncbi.nlm.nih.gov/gene/178631", "178631")</f>
        <v>178631</v>
      </c>
      <c r="C2620" s="9"/>
      <c r="D2620" t="str">
        <f>"snt-5"</f>
        <v>snt-5</v>
      </c>
      <c r="E2620" t="s">
        <v>1240</v>
      </c>
      <c r="F2620" t="s">
        <v>11</v>
      </c>
      <c r="G2620" t="s">
        <v>2145</v>
      </c>
      <c r="H2620" s="12">
        <v>1.4673788455062799</v>
      </c>
      <c r="I2620" s="20">
        <v>1.8028814152115999</v>
      </c>
      <c r="J2620" s="28">
        <v>7.1406840319883896E-2</v>
      </c>
      <c r="K2620" s="29">
        <v>0.62854341044999495</v>
      </c>
    </row>
    <row r="2621" spans="1:11" x14ac:dyDescent="0.35">
      <c r="A2621" s="9" t="str">
        <f>HYPERLINK("http://www.ensembl.org/id/WBGene00020379", "WBGene00020379")</f>
        <v>WBGene00020379</v>
      </c>
      <c r="B2621" s="9" t="str">
        <f>HYPERLINK("http://www.ncbi.nlm.nih.gov/gene/172300", "172300")</f>
        <v>172300</v>
      </c>
      <c r="C2621" s="9"/>
      <c r="D2621" t="str">
        <f>"T09B4.5"</f>
        <v>T09B4.5</v>
      </c>
      <c r="F2621" t="s">
        <v>11</v>
      </c>
      <c r="G2621" t="s">
        <v>25</v>
      </c>
      <c r="H2621" s="12">
        <v>1.44285207069622</v>
      </c>
      <c r="I2621" s="20">
        <v>1.8041874275546199</v>
      </c>
      <c r="J2621" s="28">
        <v>7.1201929601600406E-2</v>
      </c>
      <c r="K2621" s="29">
        <v>0.62854341044999495</v>
      </c>
    </row>
    <row r="2622" spans="1:11" x14ac:dyDescent="0.35">
      <c r="A2622" s="9" t="str">
        <f>HYPERLINK("http://www.ensembl.org/id/WBGene00021254", "WBGene00021254")</f>
        <v>WBGene00021254</v>
      </c>
      <c r="B2622" s="9" t="str">
        <f>HYPERLINK("http://www.ncbi.nlm.nih.gov/gene/175319", "175319")</f>
        <v>175319</v>
      </c>
      <c r="C2622" s="9"/>
      <c r="D2622" t="str">
        <f>"Y22D7AL.16"</f>
        <v>Y22D7AL.16</v>
      </c>
      <c r="F2622" t="s">
        <v>11</v>
      </c>
      <c r="H2622" s="12">
        <v>2.8184884849488299</v>
      </c>
      <c r="I2622" s="20">
        <v>1.80303825601616</v>
      </c>
      <c r="J2622" s="28">
        <v>7.1382206805907802E-2</v>
      </c>
      <c r="K2622" s="29">
        <v>0.62854341044999495</v>
      </c>
    </row>
    <row r="2623" spans="1:11" x14ac:dyDescent="0.35">
      <c r="A2623" s="9" t="str">
        <f>HYPERLINK("http://www.ensembl.org/id/WBGene00021336", "WBGene00021336")</f>
        <v>WBGene00021336</v>
      </c>
      <c r="B2623" s="9" t="str">
        <f>HYPERLINK("http://www.ncbi.nlm.nih.gov/gene/189591", "189591")</f>
        <v>189591</v>
      </c>
      <c r="C2623" s="9"/>
      <c r="D2623" t="str">
        <f>"Y34F4.1"</f>
        <v>Y34F4.1</v>
      </c>
      <c r="F2623" t="s">
        <v>11</v>
      </c>
      <c r="G2623" t="s">
        <v>25</v>
      </c>
      <c r="H2623" s="12">
        <v>-1.5977836917211401</v>
      </c>
      <c r="I2623" s="20">
        <v>-1.8040120036998899</v>
      </c>
      <c r="J2623" s="28">
        <v>7.1229425197172402E-2</v>
      </c>
      <c r="K2623" s="29">
        <v>0.62854341044999495</v>
      </c>
    </row>
    <row r="2624" spans="1:11" x14ac:dyDescent="0.35">
      <c r="A2624" s="9" t="str">
        <f>HYPERLINK("http://www.ensembl.org/id/WBGene00012668", "WBGene00012668")</f>
        <v>WBGene00012668</v>
      </c>
      <c r="B2624" s="9" t="str">
        <f>HYPERLINK("http://www.ncbi.nlm.nih.gov/gene/180260", "180260")</f>
        <v>180260</v>
      </c>
      <c r="C2624" s="9"/>
      <c r="D2624" t="str">
        <f>"Y39B6A.5"</f>
        <v>Y39B6A.5</v>
      </c>
      <c r="F2624" t="s">
        <v>11</v>
      </c>
      <c r="H2624" s="12">
        <v>-1.49219735059571</v>
      </c>
      <c r="I2624" s="20">
        <v>-1.8034035839043501</v>
      </c>
      <c r="J2624" s="28">
        <v>7.1324855185900801E-2</v>
      </c>
      <c r="K2624" s="29">
        <v>0.62854341044999495</v>
      </c>
    </row>
    <row r="2625" spans="1:11" x14ac:dyDescent="0.35">
      <c r="A2625" s="9" t="str">
        <f>HYPERLINK("http://www.ensembl.org/id/WBGene00021607", "WBGene00021607")</f>
        <v>WBGene00021607</v>
      </c>
      <c r="B2625" s="9" t="str">
        <f>HYPERLINK("http://www.ncbi.nlm.nih.gov/gene/3565070", "3565070")</f>
        <v>3565070</v>
      </c>
      <c r="C2625" s="9"/>
      <c r="D2625" t="str">
        <f>"Y46H3C.7"</f>
        <v>Y46H3C.7</v>
      </c>
      <c r="F2625" t="s">
        <v>11</v>
      </c>
      <c r="H2625" s="12">
        <v>1.76223676309387</v>
      </c>
      <c r="I2625" s="20">
        <v>1.8042463191034901</v>
      </c>
      <c r="J2625" s="28">
        <v>7.1192701005063697E-2</v>
      </c>
      <c r="K2625" s="29">
        <v>0.62854341044999495</v>
      </c>
    </row>
    <row r="2626" spans="1:11" x14ac:dyDescent="0.35">
      <c r="A2626" s="9" t="str">
        <f>HYPERLINK("http://www.ensembl.org/id/WBGene00021749", "WBGene00021749")</f>
        <v>WBGene00021749</v>
      </c>
      <c r="B2626" s="9" t="str">
        <f>HYPERLINK("http://www.ncbi.nlm.nih.gov/gene/190100", "190100")</f>
        <v>190100</v>
      </c>
      <c r="C2626" s="9"/>
      <c r="D2626" t="str">
        <f>"Y50D4C.5"</f>
        <v>Y50D4C.5</v>
      </c>
      <c r="F2626" t="s">
        <v>11</v>
      </c>
      <c r="H2626" s="12">
        <v>-1.55864531167596</v>
      </c>
      <c r="I2626" s="20">
        <v>-1.80383637145286</v>
      </c>
      <c r="J2626" s="28">
        <v>7.1256962174084004E-2</v>
      </c>
      <c r="K2626" s="29">
        <v>0.62854341044999495</v>
      </c>
    </row>
    <row r="2627" spans="1:11" x14ac:dyDescent="0.35">
      <c r="A2627" s="9" t="str">
        <f>HYPERLINK("http://www.ensembl.org/id/WBGene00014987", "WBGene00014987")</f>
        <v>WBGene00014987</v>
      </c>
      <c r="B2627" s="9"/>
      <c r="C2627" s="9"/>
      <c r="D2627" t="str">
        <f>"ZK637.6"</f>
        <v>ZK637.6</v>
      </c>
      <c r="F2627" t="s">
        <v>80</v>
      </c>
      <c r="H2627" s="12">
        <v>-1.8485786715246999</v>
      </c>
      <c r="I2627" s="20">
        <v>-1.80338728577082</v>
      </c>
      <c r="J2627" s="28">
        <v>7.1327412971014303E-2</v>
      </c>
      <c r="K2627" s="29">
        <v>0.62854341044999495</v>
      </c>
    </row>
    <row r="2628" spans="1:11" x14ac:dyDescent="0.35">
      <c r="A2628" s="9" t="str">
        <f>HYPERLINK("http://www.ensembl.org/id/WBGene00013439", "WBGene00013439")</f>
        <v>WBGene00013439</v>
      </c>
      <c r="B2628" s="9" t="str">
        <f>HYPERLINK("http://www.ncbi.nlm.nih.gov/gene/190497", "190497")</f>
        <v>190497</v>
      </c>
      <c r="C2628" s="9"/>
      <c r="D2628" t="str">
        <f>"Y66D12A.13"</f>
        <v>Y66D12A.13</v>
      </c>
      <c r="F2628" t="s">
        <v>11</v>
      </c>
      <c r="G2628" t="s">
        <v>230</v>
      </c>
      <c r="H2628" s="12">
        <v>1.53655537309653</v>
      </c>
      <c r="I2628" s="20">
        <v>1.8026317672748999</v>
      </c>
      <c r="J2628" s="28">
        <v>7.1446064549632204E-2</v>
      </c>
      <c r="K2628" s="29">
        <v>0.62864918792224</v>
      </c>
    </row>
    <row r="2629" spans="1:11" x14ac:dyDescent="0.35">
      <c r="A2629" s="9" t="str">
        <f>HYPERLINK("http://www.ensembl.org/id/WBGene00009222", "WBGene00009222")</f>
        <v>WBGene00009222</v>
      </c>
      <c r="B2629" s="9" t="str">
        <f>HYPERLINK("http://www.ncbi.nlm.nih.gov/gene/185071", "185071")</f>
        <v>185071</v>
      </c>
      <c r="C2629" s="9"/>
      <c r="D2629" t="str">
        <f>"fbxa-95"</f>
        <v>fbxa-95</v>
      </c>
      <c r="E2629" t="s">
        <v>467</v>
      </c>
      <c r="F2629" t="s">
        <v>11</v>
      </c>
      <c r="G2629" t="s">
        <v>54</v>
      </c>
      <c r="H2629" s="12">
        <v>-2.1594108206036902</v>
      </c>
      <c r="I2629" s="20">
        <v>-1.80200267557202</v>
      </c>
      <c r="J2629" s="28">
        <v>7.1544984608596304E-2</v>
      </c>
      <c r="K2629" s="29">
        <v>0.62927994456270497</v>
      </c>
    </row>
    <row r="2630" spans="1:11" x14ac:dyDescent="0.35">
      <c r="A2630" s="9" t="str">
        <f>HYPERLINK("http://www.ensembl.org/id/WBGene00019750", "WBGene00019750")</f>
        <v>WBGene00019750</v>
      </c>
      <c r="B2630" s="9" t="str">
        <f>HYPERLINK("http://www.ncbi.nlm.nih.gov/gene/187421", "187421")</f>
        <v>187421</v>
      </c>
      <c r="C2630" s="9"/>
      <c r="D2630" t="str">
        <f>"M03D4.3"</f>
        <v>M03D4.3</v>
      </c>
      <c r="F2630" t="s">
        <v>11</v>
      </c>
      <c r="H2630" s="12">
        <v>1.76534149053831</v>
      </c>
      <c r="I2630" s="20">
        <v>1.8016603202733099</v>
      </c>
      <c r="J2630" s="28">
        <v>7.1598864609471805E-2</v>
      </c>
      <c r="K2630" s="29">
        <v>0.62951421829012799</v>
      </c>
    </row>
    <row r="2631" spans="1:11" x14ac:dyDescent="0.35">
      <c r="A2631" s="9" t="str">
        <f>HYPERLINK("http://www.ensembl.org/id/WBGene00008890", "WBGene00008890")</f>
        <v>WBGene00008890</v>
      </c>
      <c r="B2631" s="9" t="str">
        <f>HYPERLINK("http://www.ncbi.nlm.nih.gov/gene/184572", "184572")</f>
        <v>184572</v>
      </c>
      <c r="C2631" s="9"/>
      <c r="D2631" t="str">
        <f>"ser-5"</f>
        <v>ser-5</v>
      </c>
      <c r="E2631" t="s">
        <v>2146</v>
      </c>
      <c r="F2631" t="s">
        <v>11</v>
      </c>
      <c r="G2631" t="s">
        <v>2147</v>
      </c>
      <c r="H2631" s="12">
        <v>2.0021796647932399</v>
      </c>
      <c r="I2631" s="20">
        <v>1.80125629098728</v>
      </c>
      <c r="J2631" s="28">
        <v>7.1662493652319303E-2</v>
      </c>
      <c r="K2631" s="29">
        <v>0.62983399708272703</v>
      </c>
    </row>
    <row r="2632" spans="1:11" x14ac:dyDescent="0.35">
      <c r="A2632" s="9" t="str">
        <f>HYPERLINK("http://www.ensembl.org/id/WBGene00015933", "WBGene00015933")</f>
        <v>WBGene00015933</v>
      </c>
      <c r="B2632" s="9" t="str">
        <f>HYPERLINK("http://www.ncbi.nlm.nih.gov/gene/177447", "177447")</f>
        <v>177447</v>
      </c>
      <c r="C2632" s="9"/>
      <c r="D2632" t="str">
        <f>"C17H12.8"</f>
        <v>C17H12.8</v>
      </c>
      <c r="F2632" t="s">
        <v>11</v>
      </c>
      <c r="G2632" t="s">
        <v>264</v>
      </c>
      <c r="H2632" s="12">
        <v>-1.49484216187321</v>
      </c>
      <c r="I2632" s="20">
        <v>-1.8005581949604399</v>
      </c>
      <c r="J2632" s="28">
        <v>7.1772543333572802E-2</v>
      </c>
      <c r="K2632" s="29">
        <v>0.62984291160863404</v>
      </c>
    </row>
    <row r="2633" spans="1:11" x14ac:dyDescent="0.35">
      <c r="A2633" s="9" t="str">
        <f>HYPERLINK("http://www.ensembl.org/id/WBGene00017792", "WBGene00017792")</f>
        <v>WBGene00017792</v>
      </c>
      <c r="B2633" s="9" t="str">
        <f>HYPERLINK("http://www.ncbi.nlm.nih.gov/gene/179131", "179131")</f>
        <v>179131</v>
      </c>
      <c r="C2633" s="9"/>
      <c r="D2633" t="str">
        <f>"F25E5.16"</f>
        <v>F25E5.16</v>
      </c>
      <c r="F2633" t="s">
        <v>11</v>
      </c>
      <c r="G2633" t="s">
        <v>54</v>
      </c>
      <c r="H2633" s="12">
        <v>1.81628290083765</v>
      </c>
      <c r="I2633" s="20">
        <v>1.80091708727999</v>
      </c>
      <c r="J2633" s="28">
        <v>7.1715949330247705E-2</v>
      </c>
      <c r="K2633" s="29">
        <v>0.62984291160863404</v>
      </c>
    </row>
    <row r="2634" spans="1:11" x14ac:dyDescent="0.35">
      <c r="A2634" s="9" t="str">
        <f>HYPERLINK("http://www.ensembl.org/id/WBGene00019407", "WBGene00019407")</f>
        <v>WBGene00019407</v>
      </c>
      <c r="B2634" s="9" t="str">
        <f>HYPERLINK("http://www.ncbi.nlm.nih.gov/gene/173978", "173978")</f>
        <v>173978</v>
      </c>
      <c r="C2634" s="9"/>
      <c r="D2634" t="str">
        <f>"lect-2"</f>
        <v>lect-2</v>
      </c>
      <c r="E2634" t="s">
        <v>2148</v>
      </c>
      <c r="F2634" t="s">
        <v>11</v>
      </c>
      <c r="G2634" t="s">
        <v>2149</v>
      </c>
      <c r="H2634" s="12">
        <v>1.5053993626927999</v>
      </c>
      <c r="I2634" s="20">
        <v>1.80088206079971</v>
      </c>
      <c r="J2634" s="28">
        <v>7.1721471072105594E-2</v>
      </c>
      <c r="K2634" s="29">
        <v>0.62984291160863404</v>
      </c>
    </row>
    <row r="2635" spans="1:11" x14ac:dyDescent="0.35">
      <c r="A2635" s="9" t="str">
        <f>HYPERLINK("http://www.ensembl.org/id/WBGene00045237", "WBGene00045237")</f>
        <v>WBGene00045237</v>
      </c>
      <c r="B2635" s="9" t="str">
        <f>HYPERLINK("http://www.ncbi.nlm.nih.gov/gene/172666", "172666")</f>
        <v>172666</v>
      </c>
      <c r="C2635" s="9"/>
      <c r="D2635" t="str">
        <f>"mrt-1"</f>
        <v>mrt-1</v>
      </c>
      <c r="E2635" t="s">
        <v>2150</v>
      </c>
      <c r="F2635" t="s">
        <v>11</v>
      </c>
      <c r="G2635" t="s">
        <v>2151</v>
      </c>
      <c r="H2635" s="12">
        <v>-1.5691730926296199</v>
      </c>
      <c r="I2635" s="20">
        <v>-1.80072384549255</v>
      </c>
      <c r="J2635" s="28">
        <v>7.1746417230061699E-2</v>
      </c>
      <c r="K2635" s="29">
        <v>0.62984291160863404</v>
      </c>
    </row>
    <row r="2636" spans="1:11" x14ac:dyDescent="0.35">
      <c r="A2636" s="9" t="str">
        <f>HYPERLINK("http://www.ensembl.org/id/WBGene00022648", "WBGene00022648")</f>
        <v>WBGene00022648</v>
      </c>
      <c r="B2636" s="9" t="str">
        <f>HYPERLINK("http://www.ncbi.nlm.nih.gov/gene/266895", "266895")</f>
        <v>266895</v>
      </c>
      <c r="C2636" s="9"/>
      <c r="D2636" t="str">
        <f>"ZK54.3"</f>
        <v>ZK54.3</v>
      </c>
      <c r="F2636" t="s">
        <v>11</v>
      </c>
      <c r="G2636" t="s">
        <v>25</v>
      </c>
      <c r="H2636" s="12">
        <v>2.08131142546805</v>
      </c>
      <c r="I2636" s="20">
        <v>1.80017213924841</v>
      </c>
      <c r="J2636" s="28">
        <v>7.1833461594728407E-2</v>
      </c>
      <c r="K2636" s="29">
        <v>0.63013817904623903</v>
      </c>
    </row>
    <row r="2637" spans="1:11" x14ac:dyDescent="0.35">
      <c r="A2637" s="9" t="str">
        <f>HYPERLINK("http://www.ensembl.org/id/WBGene00017708", "WBGene00017708")</f>
        <v>WBGene00017708</v>
      </c>
      <c r="B2637" s="9" t="str">
        <f>HYPERLINK("http://www.ncbi.nlm.nih.gov/gene/184837", "184837")</f>
        <v>184837</v>
      </c>
      <c r="C2637" s="9"/>
      <c r="D2637" t="str">
        <f>"F22E5.9"</f>
        <v>F22E5.9</v>
      </c>
      <c r="F2637" t="s">
        <v>11</v>
      </c>
      <c r="G2637" t="s">
        <v>25</v>
      </c>
      <c r="H2637" s="12">
        <v>-1.5934892268687399</v>
      </c>
      <c r="I2637" s="20">
        <v>-1.7997517643374901</v>
      </c>
      <c r="J2637" s="28">
        <v>7.1899843473426206E-2</v>
      </c>
      <c r="K2637" s="29">
        <v>0.63048113218101898</v>
      </c>
    </row>
    <row r="2638" spans="1:11" x14ac:dyDescent="0.35">
      <c r="A2638" s="9" t="str">
        <f>HYPERLINK("http://www.ensembl.org/id/WBGene00000252", "WBGene00000252")</f>
        <v>WBGene00000252</v>
      </c>
      <c r="B2638" s="9" t="str">
        <f>HYPERLINK("http://www.ncbi.nlm.nih.gov/gene/191611", "191611")</f>
        <v>191611</v>
      </c>
      <c r="C2638" s="9"/>
      <c r="D2638" t="str">
        <f>"bli-2"</f>
        <v>bli-2</v>
      </c>
      <c r="E2638" t="s">
        <v>2152</v>
      </c>
      <c r="F2638" t="s">
        <v>11</v>
      </c>
      <c r="G2638" t="s">
        <v>2153</v>
      </c>
      <c r="H2638" s="12">
        <v>22.085568297872101</v>
      </c>
      <c r="I2638" s="20">
        <v>1.7992647760043901</v>
      </c>
      <c r="J2638" s="28">
        <v>7.19768071692896E-2</v>
      </c>
      <c r="K2638" s="29">
        <v>0.63050203132042004</v>
      </c>
    </row>
    <row r="2639" spans="1:11" x14ac:dyDescent="0.35">
      <c r="A2639" s="9" t="str">
        <f>HYPERLINK("http://www.ensembl.org/id/WBGene00011852", "WBGene00011852")</f>
        <v>WBGene00011852</v>
      </c>
      <c r="B2639" s="9" t="str">
        <f>HYPERLINK("http://www.ncbi.nlm.nih.gov/gene/188626", "188626")</f>
        <v>188626</v>
      </c>
      <c r="C2639" s="9"/>
      <c r="D2639" t="str">
        <f>"clec-26"</f>
        <v>clec-26</v>
      </c>
      <c r="E2639" t="s">
        <v>46</v>
      </c>
      <c r="F2639" t="s">
        <v>11</v>
      </c>
      <c r="G2639" t="s">
        <v>47</v>
      </c>
      <c r="H2639" s="12">
        <v>-7.0515172397586099</v>
      </c>
      <c r="I2639" s="20">
        <v>-1.79904617842447</v>
      </c>
      <c r="J2639" s="28">
        <v>7.2011376294234694E-2</v>
      </c>
      <c r="K2639" s="29">
        <v>0.63050203132042004</v>
      </c>
    </row>
    <row r="2640" spans="1:11" x14ac:dyDescent="0.35">
      <c r="A2640" s="9" t="str">
        <f>HYPERLINK("http://www.ensembl.org/id/WBGene00015055", "WBGene00015055")</f>
        <v>WBGene00015055</v>
      </c>
      <c r="B2640" s="9" t="str">
        <f>HYPERLINK("http://www.ncbi.nlm.nih.gov/gene/181858", "181858")</f>
        <v>181858</v>
      </c>
      <c r="C2640" s="9" t="str">
        <f>HYPERLINK("http://www.ncbi.nlm.nih.gov/gene/6575", "6575")</f>
        <v>6575</v>
      </c>
      <c r="D2640" t="str">
        <f>"pitr-3"</f>
        <v>pitr-3</v>
      </c>
      <c r="E2640" t="s">
        <v>2064</v>
      </c>
      <c r="F2640" t="s">
        <v>11</v>
      </c>
      <c r="G2640" t="s">
        <v>2065</v>
      </c>
      <c r="H2640" s="12">
        <v>-1.40249001106277</v>
      </c>
      <c r="I2640" s="20">
        <v>-1.7995146843085501</v>
      </c>
      <c r="J2640" s="28">
        <v>7.1937303205344305E-2</v>
      </c>
      <c r="K2640" s="29">
        <v>0.63050203132042004</v>
      </c>
    </row>
    <row r="2641" spans="1:11" x14ac:dyDescent="0.35">
      <c r="A2641" s="9" t="str">
        <f>HYPERLINK("http://www.ensembl.org/id/WBGene00004777", "WBGene00004777")</f>
        <v>WBGene00004777</v>
      </c>
      <c r="B2641" s="9" t="str">
        <f>HYPERLINK("http://www.ncbi.nlm.nih.gov/gene/182110", "182110")</f>
        <v>182110</v>
      </c>
      <c r="C2641" s="9"/>
      <c r="D2641" t="str">
        <f>"ser-2"</f>
        <v>ser-2</v>
      </c>
      <c r="E2641" t="s">
        <v>2154</v>
      </c>
      <c r="F2641" t="s">
        <v>11</v>
      </c>
      <c r="G2641" t="s">
        <v>2155</v>
      </c>
      <c r="H2641" s="12">
        <v>1.7566612057081901</v>
      </c>
      <c r="I2641" s="20">
        <v>1.7991637975338599</v>
      </c>
      <c r="J2641" s="28">
        <v>7.1992774262890802E-2</v>
      </c>
      <c r="K2641" s="29">
        <v>0.63050203132042004</v>
      </c>
    </row>
    <row r="2642" spans="1:11" x14ac:dyDescent="0.35">
      <c r="A2642" s="9" t="str">
        <f>HYPERLINK("http://www.ensembl.org/id/WBGene00017800", "WBGene00017800")</f>
        <v>WBGene00017800</v>
      </c>
      <c r="B2642" s="9" t="str">
        <f>HYPERLINK("http://www.ncbi.nlm.nih.gov/gene/179237", "179237")</f>
        <v>179237</v>
      </c>
      <c r="C2642" s="9"/>
      <c r="D2642" t="str">
        <f>"F25G6.9"</f>
        <v>F25G6.9</v>
      </c>
      <c r="F2642" t="s">
        <v>11</v>
      </c>
      <c r="G2642" t="s">
        <v>2156</v>
      </c>
      <c r="H2642" s="12">
        <v>-1.4265097716314299</v>
      </c>
      <c r="I2642" s="20">
        <v>-1.79846716113641</v>
      </c>
      <c r="J2642" s="28">
        <v>7.21030080816496E-2</v>
      </c>
      <c r="K2642" s="29">
        <v>0.63106519118734705</v>
      </c>
    </row>
    <row r="2643" spans="1:11" x14ac:dyDescent="0.35">
      <c r="A2643" s="9" t="str">
        <f>HYPERLINK("http://www.ensembl.org/id/WBGene00006584", "WBGene00006584")</f>
        <v>WBGene00006584</v>
      </c>
      <c r="B2643" s="9" t="str">
        <f>HYPERLINK("http://www.ncbi.nlm.nih.gov/gene/181329", "181329")</f>
        <v>181329</v>
      </c>
      <c r="C2643" s="9"/>
      <c r="D2643" t="str">
        <f>"tni-1"</f>
        <v>tni-1</v>
      </c>
      <c r="E2643" t="s">
        <v>2157</v>
      </c>
      <c r="F2643" t="s">
        <v>11</v>
      </c>
      <c r="G2643" t="s">
        <v>2158</v>
      </c>
      <c r="H2643" s="12">
        <v>1.4901023595876199</v>
      </c>
      <c r="I2643" s="20">
        <v>1.7980107958548801</v>
      </c>
      <c r="J2643" s="28">
        <v>7.2175296975090994E-2</v>
      </c>
      <c r="K2643" s="29">
        <v>0.63145869439850599</v>
      </c>
    </row>
    <row r="2644" spans="1:11" x14ac:dyDescent="0.35">
      <c r="A2644" s="9" t="str">
        <f>HYPERLINK("http://www.ensembl.org/id/WBGene00020989", "WBGene00020989")</f>
        <v>WBGene00020989</v>
      </c>
      <c r="B2644" s="9" t="str">
        <f>HYPERLINK("http://www.ncbi.nlm.nih.gov/gene/189157", "189157")</f>
        <v>189157</v>
      </c>
      <c r="C2644" s="9"/>
      <c r="D2644" t="str">
        <f>"W03D8.8"</f>
        <v>W03D8.8</v>
      </c>
      <c r="F2644" t="s">
        <v>11</v>
      </c>
      <c r="G2644" t="s">
        <v>1712</v>
      </c>
      <c r="H2644" s="12">
        <v>-3.8108242313387599</v>
      </c>
      <c r="I2644" s="20">
        <v>-1.7970793996462999</v>
      </c>
      <c r="J2644" s="28">
        <v>7.2323015602581003E-2</v>
      </c>
      <c r="K2644" s="29">
        <v>0.63251158157200504</v>
      </c>
    </row>
    <row r="2645" spans="1:11" x14ac:dyDescent="0.35">
      <c r="A2645" s="9" t="str">
        <f>HYPERLINK("http://www.ensembl.org/id/WBGene00000498", "WBGene00000498")</f>
        <v>WBGene00000498</v>
      </c>
      <c r="B2645" s="9" t="str">
        <f>HYPERLINK("http://www.ncbi.nlm.nih.gov/gene/3565921", "3565921")</f>
        <v>3565921</v>
      </c>
      <c r="C2645" s="9" t="str">
        <f>HYPERLINK("http://www.ncbi.nlm.nih.gov/gene/1111", "1111")</f>
        <v>1111</v>
      </c>
      <c r="D2645" t="str">
        <f>"chk-1"</f>
        <v>chk-1</v>
      </c>
      <c r="E2645" t="s">
        <v>2159</v>
      </c>
      <c r="F2645" t="s">
        <v>11</v>
      </c>
      <c r="G2645" t="s">
        <v>2160</v>
      </c>
      <c r="H2645" s="12">
        <v>-1.51701722173109</v>
      </c>
      <c r="I2645" s="20">
        <v>-1.796075276551</v>
      </c>
      <c r="J2645" s="28">
        <v>7.2482545854695699E-2</v>
      </c>
      <c r="K2645" s="29">
        <v>0.63366693322686296</v>
      </c>
    </row>
    <row r="2646" spans="1:11" x14ac:dyDescent="0.35">
      <c r="A2646" s="9" t="str">
        <f>HYPERLINK("http://www.ensembl.org/id/WBGene00020955", "WBGene00020955")</f>
        <v>WBGene00020955</v>
      </c>
      <c r="B2646" s="9" t="str">
        <f>HYPERLINK("http://www.ncbi.nlm.nih.gov/gene/189127", "189127")</f>
        <v>189127</v>
      </c>
      <c r="C2646" s="9" t="str">
        <f>HYPERLINK("http://www.ncbi.nlm.nih.gov/gene/90806", "90806")</f>
        <v>90806</v>
      </c>
      <c r="D2646" t="str">
        <f>"angl-1"</f>
        <v>angl-1</v>
      </c>
      <c r="E2646" t="s">
        <v>2161</v>
      </c>
      <c r="F2646" t="s">
        <v>11</v>
      </c>
      <c r="G2646" t="s">
        <v>2162</v>
      </c>
      <c r="H2646" s="12">
        <v>-1.5047017467105599</v>
      </c>
      <c r="I2646" s="20">
        <v>-1.7954932054606101</v>
      </c>
      <c r="J2646" s="28">
        <v>7.2575154337772604E-2</v>
      </c>
      <c r="K2646" s="29">
        <v>0.63403529884224297</v>
      </c>
    </row>
    <row r="2647" spans="1:11" x14ac:dyDescent="0.35">
      <c r="A2647" s="9" t="str">
        <f>HYPERLINK("http://www.ensembl.org/id/WBGene00007785", "WBGene00007785")</f>
        <v>WBGene00007785</v>
      </c>
      <c r="B2647" s="9" t="str">
        <f>HYPERLINK("http://www.ncbi.nlm.nih.gov/gene/179389", "179389")</f>
        <v>179389</v>
      </c>
      <c r="C2647" s="9"/>
      <c r="D2647" t="str">
        <f>"tofu-1"</f>
        <v>tofu-1</v>
      </c>
      <c r="E2647" t="s">
        <v>1247</v>
      </c>
      <c r="F2647" t="s">
        <v>11</v>
      </c>
      <c r="G2647" t="s">
        <v>318</v>
      </c>
      <c r="H2647" s="12">
        <v>-1.5065555727628299</v>
      </c>
      <c r="I2647" s="20">
        <v>-1.7954655155957899</v>
      </c>
      <c r="J2647" s="28">
        <v>7.2579562253861904E-2</v>
      </c>
      <c r="K2647" s="29">
        <v>0.63403529884224297</v>
      </c>
    </row>
    <row r="2648" spans="1:11" x14ac:dyDescent="0.35">
      <c r="A2648" s="9" t="str">
        <f>HYPERLINK("http://www.ensembl.org/id/WBGene00018252", "WBGene00018252")</f>
        <v>WBGene00018252</v>
      </c>
      <c r="B2648" s="9" t="str">
        <f>HYPERLINK("http://www.ncbi.nlm.nih.gov/gene/174025", "174025")</f>
        <v>174025</v>
      </c>
      <c r="C2648" s="9"/>
      <c r="D2648" t="str">
        <f>"F40H3.6"</f>
        <v>F40H3.6</v>
      </c>
      <c r="F2648" t="s">
        <v>11</v>
      </c>
      <c r="H2648" s="12">
        <v>2.0238753372957601</v>
      </c>
      <c r="I2648" s="20">
        <v>1.79515981823187</v>
      </c>
      <c r="J2648" s="28">
        <v>7.2628240414165796E-2</v>
      </c>
      <c r="K2648" s="29">
        <v>0.63422075699535696</v>
      </c>
    </row>
    <row r="2649" spans="1:11" x14ac:dyDescent="0.35">
      <c r="A2649" s="9" t="str">
        <f>HYPERLINK("http://www.ensembl.org/id/WBGene00194695", "WBGene00194695")</f>
        <v>WBGene00194695</v>
      </c>
      <c r="B2649" s="9" t="str">
        <f>HYPERLINK("http://www.ncbi.nlm.nih.gov/gene/13218162", "13218162")</f>
        <v>13218162</v>
      </c>
      <c r="C2649" s="9"/>
      <c r="D2649" t="str">
        <f>"B0462.5"</f>
        <v>B0462.5</v>
      </c>
      <c r="F2649" t="s">
        <v>11</v>
      </c>
      <c r="H2649" s="12">
        <v>-2.52431894506406</v>
      </c>
      <c r="I2649" s="20">
        <v>-1.7942698325941699</v>
      </c>
      <c r="J2649" s="28">
        <v>7.2770110733123602E-2</v>
      </c>
      <c r="K2649" s="29">
        <v>0.63441640450745596</v>
      </c>
    </row>
    <row r="2650" spans="1:11" x14ac:dyDescent="0.35">
      <c r="A2650" s="9" t="str">
        <f>HYPERLINK("http://www.ensembl.org/id/WBGene00018482", "WBGene00018482")</f>
        <v>WBGene00018482</v>
      </c>
      <c r="B2650" s="9" t="str">
        <f>HYPERLINK("http://www.ncbi.nlm.nih.gov/gene/179231", "179231")</f>
        <v>179231</v>
      </c>
      <c r="C2650" s="9"/>
      <c r="D2650" t="str">
        <f>"F45F2.10"</f>
        <v>F45F2.10</v>
      </c>
      <c r="F2650" t="s">
        <v>11</v>
      </c>
      <c r="G2650" t="s">
        <v>54</v>
      </c>
      <c r="H2650" s="12">
        <v>-1.40779937493167</v>
      </c>
      <c r="I2650" s="20">
        <v>-1.79408368150626</v>
      </c>
      <c r="J2650" s="28">
        <v>7.2799813261637397E-2</v>
      </c>
      <c r="K2650" s="29">
        <v>0.63441640450745596</v>
      </c>
    </row>
    <row r="2651" spans="1:11" x14ac:dyDescent="0.35">
      <c r="A2651" s="9" t="str">
        <f>HYPERLINK("http://www.ensembl.org/id/WBGene00011195", "WBGene00011195")</f>
        <v>WBGene00011195</v>
      </c>
      <c r="B2651" s="9" t="str">
        <f>HYPERLINK("http://www.ncbi.nlm.nih.gov/gene/3565237", "3565237")</f>
        <v>3565237</v>
      </c>
      <c r="C2651" s="9"/>
      <c r="D2651" t="str">
        <f>"sao-1"</f>
        <v>sao-1</v>
      </c>
      <c r="E2651" t="s">
        <v>2164</v>
      </c>
      <c r="F2651" t="s">
        <v>11</v>
      </c>
      <c r="G2651" t="s">
        <v>2165</v>
      </c>
      <c r="H2651" s="12">
        <v>-1.40558242823672</v>
      </c>
      <c r="I2651" s="20">
        <v>-1.7939861103194401</v>
      </c>
      <c r="J2651" s="28">
        <v>7.2815385819863798E-2</v>
      </c>
      <c r="K2651" s="29">
        <v>0.63441640450745596</v>
      </c>
    </row>
    <row r="2652" spans="1:11" x14ac:dyDescent="0.35">
      <c r="A2652" s="9" t="str">
        <f>HYPERLINK("http://www.ensembl.org/id/WBGene00020709", "WBGene00020709")</f>
        <v>WBGene00020709</v>
      </c>
      <c r="B2652" s="9" t="str">
        <f>HYPERLINK("http://www.ncbi.nlm.nih.gov/gene/172388", "172388")</f>
        <v>172388</v>
      </c>
      <c r="C2652" s="9"/>
      <c r="D2652" t="str">
        <f>"T23B3.1"</f>
        <v>T23B3.1</v>
      </c>
      <c r="F2652" t="s">
        <v>11</v>
      </c>
      <c r="H2652" s="12">
        <v>-1.4098480161684399</v>
      </c>
      <c r="I2652" s="20">
        <v>-1.7941596348350799</v>
      </c>
      <c r="J2652" s="28">
        <v>7.2787692843947802E-2</v>
      </c>
      <c r="K2652" s="29">
        <v>0.63441640450745596</v>
      </c>
    </row>
    <row r="2653" spans="1:11" x14ac:dyDescent="0.35">
      <c r="A2653" s="9" t="str">
        <f>HYPERLINK("http://www.ensembl.org/id/WBGene00012224", "WBGene00012224")</f>
        <v>WBGene00012224</v>
      </c>
      <c r="B2653" s="9" t="str">
        <f>HYPERLINK("http://www.ncbi.nlm.nih.gov/gene/189172", "189172")</f>
        <v>189172</v>
      </c>
      <c r="C2653" s="9"/>
      <c r="D2653" t="str">
        <f>"W03G11.2"</f>
        <v>W03G11.2</v>
      </c>
      <c r="F2653" t="s">
        <v>11</v>
      </c>
      <c r="G2653" t="s">
        <v>2166</v>
      </c>
      <c r="H2653" s="12">
        <v>-1.4816746565841901</v>
      </c>
      <c r="I2653" s="20">
        <v>-1.7944051005330699</v>
      </c>
      <c r="J2653" s="28">
        <v>7.2748533414027303E-2</v>
      </c>
      <c r="K2653" s="29">
        <v>0.63441640450745596</v>
      </c>
    </row>
    <row r="2654" spans="1:11" x14ac:dyDescent="0.35">
      <c r="A2654" s="9" t="str">
        <f>HYPERLINK("http://www.ensembl.org/id/WBGene00022127", "WBGene00022127")</f>
        <v>WBGene00022127</v>
      </c>
      <c r="B2654" s="9" t="str">
        <f>HYPERLINK("http://www.ncbi.nlm.nih.gov/gene/171835", "171835")</f>
        <v>171835</v>
      </c>
      <c r="C2654" s="9" t="str">
        <f>HYPERLINK("http://www.ncbi.nlm.nih.gov/gene/7905", "7905")</f>
        <v>7905</v>
      </c>
      <c r="D2654" t="str">
        <f>"yop-1"</f>
        <v>yop-1</v>
      </c>
      <c r="E2654" t="s">
        <v>296</v>
      </c>
      <c r="F2654" t="s">
        <v>11</v>
      </c>
      <c r="G2654" t="s">
        <v>2163</v>
      </c>
      <c r="H2654" s="12">
        <v>-1.3904297867625199</v>
      </c>
      <c r="I2654" s="20">
        <v>-1.7942938101108199</v>
      </c>
      <c r="J2654" s="28">
        <v>7.2766285568116804E-2</v>
      </c>
      <c r="K2654" s="29">
        <v>0.63441640450745596</v>
      </c>
    </row>
    <row r="2655" spans="1:11" x14ac:dyDescent="0.35">
      <c r="A2655" s="9" t="str">
        <f>HYPERLINK("http://www.ensembl.org/id/WBGene00018152", "WBGene00018152")</f>
        <v>WBGene00018152</v>
      </c>
      <c r="B2655" s="9" t="str">
        <f>HYPERLINK("http://www.ncbi.nlm.nih.gov/gene/176005", "176005")</f>
        <v>176005</v>
      </c>
      <c r="C2655" s="9" t="str">
        <f>HYPERLINK("http://www.ncbi.nlm.nih.gov/gene/2182", "2182")</f>
        <v>2182</v>
      </c>
      <c r="D2655" t="str">
        <f>"acs-4"</f>
        <v>acs-4</v>
      </c>
      <c r="E2655" t="s">
        <v>533</v>
      </c>
      <c r="F2655" t="s">
        <v>11</v>
      </c>
      <c r="G2655" t="s">
        <v>2167</v>
      </c>
      <c r="H2655" s="12">
        <v>-1.3861372321158301</v>
      </c>
      <c r="I2655" s="20">
        <v>-1.7926962201383501</v>
      </c>
      <c r="J2655" s="28">
        <v>7.3021511255911706E-2</v>
      </c>
      <c r="K2655" s="29">
        <v>0.63597249871055295</v>
      </c>
    </row>
    <row r="2656" spans="1:11" x14ac:dyDescent="0.35">
      <c r="A2656" s="9" t="str">
        <f>HYPERLINK("http://www.ensembl.org/id/WBGene00001060", "WBGene00001060")</f>
        <v>WBGene00001060</v>
      </c>
      <c r="B2656" s="9" t="str">
        <f>HYPERLINK("http://www.ncbi.nlm.nih.gov/gene/177250", "177250")</f>
        <v>177250</v>
      </c>
      <c r="C2656" s="9"/>
      <c r="D2656" t="str">
        <f>"dpf-7"</f>
        <v>dpf-7</v>
      </c>
      <c r="E2656" t="s">
        <v>2168</v>
      </c>
      <c r="F2656" t="s">
        <v>11</v>
      </c>
      <c r="G2656" t="s">
        <v>1646</v>
      </c>
      <c r="H2656" s="12">
        <v>-1.4464375161310301</v>
      </c>
      <c r="I2656" s="20">
        <v>-1.7919080102945899</v>
      </c>
      <c r="J2656" s="28">
        <v>7.3147702633213005E-2</v>
      </c>
      <c r="K2656" s="29">
        <v>0.636629778005247</v>
      </c>
    </row>
    <row r="2657" spans="1:11" x14ac:dyDescent="0.35">
      <c r="A2657" s="9" t="str">
        <f>HYPERLINK("http://www.ensembl.org/id/WBGene00194742", "WBGene00194742")</f>
        <v>WBGene00194742</v>
      </c>
      <c r="B2657" s="9" t="str">
        <f>HYPERLINK("http://www.ncbi.nlm.nih.gov/gene/13190077", "13190077")</f>
        <v>13190077</v>
      </c>
      <c r="C2657" s="9"/>
      <c r="D2657" t="str">
        <f>"F37C12.21"</f>
        <v>F37C12.21</v>
      </c>
      <c r="F2657" t="s">
        <v>11</v>
      </c>
      <c r="H2657" s="12">
        <v>-2.1514565496893301</v>
      </c>
      <c r="I2657" s="20">
        <v>-1.7918806615454601</v>
      </c>
      <c r="J2657" s="28">
        <v>7.3152084333243703E-2</v>
      </c>
      <c r="K2657" s="29">
        <v>0.636629778005247</v>
      </c>
    </row>
    <row r="2658" spans="1:11" x14ac:dyDescent="0.35">
      <c r="A2658" s="9" t="str">
        <f>HYPERLINK("http://www.ensembl.org/id/WBGene00044477", "WBGene00044477")</f>
        <v>WBGene00044477</v>
      </c>
      <c r="B2658" s="9" t="str">
        <f>HYPERLINK("http://www.ncbi.nlm.nih.gov/gene/3896761", "3896761")</f>
        <v>3896761</v>
      </c>
      <c r="C2658" s="9"/>
      <c r="D2658" t="str">
        <f>"F49F1.14"</f>
        <v>F49F1.14</v>
      </c>
      <c r="F2658" t="s">
        <v>11</v>
      </c>
      <c r="G2658" t="s">
        <v>25</v>
      </c>
      <c r="H2658" s="12">
        <v>1.9790293995174699</v>
      </c>
      <c r="I2658" s="20">
        <v>1.7911627346474801</v>
      </c>
      <c r="J2658" s="28">
        <v>7.3267184348457595E-2</v>
      </c>
      <c r="K2658" s="29">
        <v>0.63739140118805004</v>
      </c>
    </row>
    <row r="2659" spans="1:11" x14ac:dyDescent="0.35">
      <c r="A2659" s="9" t="str">
        <f>HYPERLINK("http://www.ensembl.org/id/WBGene00002282", "WBGene00002282")</f>
        <v>WBGene00002282</v>
      </c>
      <c r="B2659" s="9" t="str">
        <f>HYPERLINK("http://www.ncbi.nlm.nih.gov/gene/181554", "181554")</f>
        <v>181554</v>
      </c>
      <c r="C2659" s="9"/>
      <c r="D2659" t="str">
        <f>"let-4"</f>
        <v>let-4</v>
      </c>
      <c r="E2659" t="s">
        <v>2169</v>
      </c>
      <c r="F2659" t="s">
        <v>11</v>
      </c>
      <c r="G2659" t="s">
        <v>54</v>
      </c>
      <c r="H2659" s="12">
        <v>1.55933328721512</v>
      </c>
      <c r="I2659" s="20">
        <v>1.7906245865131301</v>
      </c>
      <c r="J2659" s="28">
        <v>7.3353558847921302E-2</v>
      </c>
      <c r="K2659" s="29">
        <v>0.63790264611971004</v>
      </c>
    </row>
    <row r="2660" spans="1:11" x14ac:dyDescent="0.35">
      <c r="A2660" s="9" t="str">
        <f>HYPERLINK("http://www.ensembl.org/id/WBGene00019669", "WBGene00019669")</f>
        <v>WBGene00019669</v>
      </c>
      <c r="B2660" s="9" t="str">
        <f>HYPERLINK("http://www.ncbi.nlm.nih.gov/gene/187317", "187317")</f>
        <v>187317</v>
      </c>
      <c r="C2660" s="9"/>
      <c r="D2660" t="str">
        <f>"K12B6.4"</f>
        <v>K12B6.4</v>
      </c>
      <c r="F2660" t="s">
        <v>11</v>
      </c>
      <c r="G2660" t="s">
        <v>25</v>
      </c>
      <c r="H2660" s="12">
        <v>5.2038376576844199</v>
      </c>
      <c r="I2660" s="20">
        <v>1.78842878389825</v>
      </c>
      <c r="J2660" s="28">
        <v>7.3706855870170396E-2</v>
      </c>
      <c r="K2660" s="29">
        <v>0.64073386446055602</v>
      </c>
    </row>
    <row r="2661" spans="1:11" x14ac:dyDescent="0.35">
      <c r="A2661" s="9" t="str">
        <f>HYPERLINK("http://www.ensembl.org/id/WBGene00009212", "WBGene00009212")</f>
        <v>WBGene00009212</v>
      </c>
      <c r="B2661" s="9" t="str">
        <f>HYPERLINK("http://www.ncbi.nlm.nih.gov/gene/178186", "178186")</f>
        <v>178186</v>
      </c>
      <c r="C2661" s="9"/>
      <c r="D2661" t="str">
        <f>"atz-1"</f>
        <v>atz-1</v>
      </c>
      <c r="F2661" t="s">
        <v>11</v>
      </c>
      <c r="G2661" t="s">
        <v>54</v>
      </c>
      <c r="H2661" s="12">
        <v>1.51300863532753</v>
      </c>
      <c r="I2661" s="20">
        <v>1.7874906421541401</v>
      </c>
      <c r="J2661" s="28">
        <v>7.3858223242432394E-2</v>
      </c>
      <c r="K2661" s="29">
        <v>0.64110995679273197</v>
      </c>
    </row>
    <row r="2662" spans="1:11" x14ac:dyDescent="0.35">
      <c r="A2662" s="9" t="str">
        <f>HYPERLINK("http://www.ensembl.org/id/WBGene00016865", "WBGene00016865")</f>
        <v>WBGene00016865</v>
      </c>
      <c r="B2662" s="9" t="str">
        <f>HYPERLINK("http://www.ncbi.nlm.nih.gov/gene/180702", "180702")</f>
        <v>180702</v>
      </c>
      <c r="C2662" s="9"/>
      <c r="D2662" t="str">
        <f>"ets-9"</f>
        <v>ets-9</v>
      </c>
      <c r="E2662" t="s">
        <v>2173</v>
      </c>
      <c r="F2662" t="s">
        <v>11</v>
      </c>
      <c r="G2662" t="s">
        <v>1243</v>
      </c>
      <c r="H2662" s="12">
        <v>-1.5107644028474601</v>
      </c>
      <c r="I2662" s="20">
        <v>-1.7873010029187699</v>
      </c>
      <c r="J2662" s="28">
        <v>7.3888852027137797E-2</v>
      </c>
      <c r="K2662" s="29">
        <v>0.64110995679273197</v>
      </c>
    </row>
    <row r="2663" spans="1:11" x14ac:dyDescent="0.35">
      <c r="A2663" s="9" t="str">
        <f>HYPERLINK("http://www.ensembl.org/id/WBGene00018655", "WBGene00018655")</f>
        <v>WBGene00018655</v>
      </c>
      <c r="B2663" s="9" t="str">
        <f>HYPERLINK("http://www.ncbi.nlm.nih.gov/gene/186082", "186082")</f>
        <v>186082</v>
      </c>
      <c r="C2663" s="9"/>
      <c r="D2663" t="str">
        <f>"F49H12.4"</f>
        <v>F49H12.4</v>
      </c>
      <c r="F2663" t="s">
        <v>11</v>
      </c>
      <c r="G2663" t="s">
        <v>25</v>
      </c>
      <c r="H2663" s="12">
        <v>2.3629314687328602</v>
      </c>
      <c r="I2663" s="20">
        <v>1.78738216447594</v>
      </c>
      <c r="J2663" s="28">
        <v>7.3875742288248003E-2</v>
      </c>
      <c r="K2663" s="29">
        <v>0.64110995679273197</v>
      </c>
    </row>
    <row r="2664" spans="1:11" x14ac:dyDescent="0.35">
      <c r="A2664" s="9" t="str">
        <f>HYPERLINK("http://www.ensembl.org/id/WBGene00018591", "WBGene00018591")</f>
        <v>WBGene00018591</v>
      </c>
      <c r="B2664" s="9" t="str">
        <f>HYPERLINK("http://www.ncbi.nlm.nih.gov/gene/185967", "185967")</f>
        <v>185967</v>
      </c>
      <c r="C2664" s="9"/>
      <c r="D2664" t="str">
        <f>"npax-2"</f>
        <v>npax-2</v>
      </c>
      <c r="E2664" t="s">
        <v>2170</v>
      </c>
      <c r="F2664" t="s">
        <v>11</v>
      </c>
      <c r="G2664" t="s">
        <v>2171</v>
      </c>
      <c r="H2664" s="12">
        <v>2.1221661316291298</v>
      </c>
      <c r="I2664" s="20">
        <v>1.7876807101083301</v>
      </c>
      <c r="J2664" s="28">
        <v>7.3827535630969096E-2</v>
      </c>
      <c r="K2664" s="29">
        <v>0.64110995679273197</v>
      </c>
    </row>
    <row r="2665" spans="1:11" x14ac:dyDescent="0.35">
      <c r="A2665" s="9" t="str">
        <f>HYPERLINK("http://www.ensembl.org/id/WBGene00013962", "WBGene00013962")</f>
        <v>WBGene00013962</v>
      </c>
      <c r="B2665" s="9" t="str">
        <f>HYPERLINK("http://www.ncbi.nlm.nih.gov/gene/179356", "179356")</f>
        <v>179356</v>
      </c>
      <c r="C2665" s="9"/>
      <c r="D2665" t="str">
        <f>"ZK287.1"</f>
        <v>ZK287.1</v>
      </c>
      <c r="F2665" t="s">
        <v>11</v>
      </c>
      <c r="G2665" t="s">
        <v>2172</v>
      </c>
      <c r="H2665" s="12">
        <v>1.4681284979265401</v>
      </c>
      <c r="I2665" s="20">
        <v>1.7878467137916201</v>
      </c>
      <c r="J2665" s="28">
        <v>7.3800741869442493E-2</v>
      </c>
      <c r="K2665" s="29">
        <v>0.64110995679273197</v>
      </c>
    </row>
    <row r="2666" spans="1:11" x14ac:dyDescent="0.35">
      <c r="A2666" s="9" t="str">
        <f>HYPERLINK("http://www.ensembl.org/id/WBGene00015046", "WBGene00015046")</f>
        <v>WBGene00015046</v>
      </c>
      <c r="B2666" s="9" t="str">
        <f>HYPERLINK("http://www.ncbi.nlm.nih.gov/gene/259618", "259618")</f>
        <v>259618</v>
      </c>
      <c r="C2666" s="9"/>
      <c r="D2666" t="str">
        <f>"nlp-34"</f>
        <v>nlp-34</v>
      </c>
      <c r="E2666" t="s">
        <v>76</v>
      </c>
      <c r="F2666" t="s">
        <v>11</v>
      </c>
      <c r="G2666" t="s">
        <v>77</v>
      </c>
      <c r="H2666" s="12">
        <v>2.2011989535797301</v>
      </c>
      <c r="I2666" s="20">
        <v>1.7870543045053899</v>
      </c>
      <c r="J2666" s="28">
        <v>7.3928712025038507E-2</v>
      </c>
      <c r="K2666" s="29">
        <v>0.64121502254149398</v>
      </c>
    </row>
    <row r="2667" spans="1:11" x14ac:dyDescent="0.35">
      <c r="A2667" s="9" t="str">
        <f>HYPERLINK("http://www.ensembl.org/id/WBGene00012116", "WBGene00012116")</f>
        <v>WBGene00012116</v>
      </c>
      <c r="B2667" s="9" t="str">
        <f>HYPERLINK("http://www.ncbi.nlm.nih.gov/gene/189033", "189033")</f>
        <v>189033</v>
      </c>
      <c r="C2667" s="9" t="str">
        <f>HYPERLINK("http://www.ncbi.nlm.nih.gov/gene/6340", "6340")</f>
        <v>6340</v>
      </c>
      <c r="D2667" t="str">
        <f>"del-4"</f>
        <v>del-4</v>
      </c>
      <c r="E2667" t="s">
        <v>210</v>
      </c>
      <c r="F2667" t="s">
        <v>11</v>
      </c>
      <c r="G2667" t="s">
        <v>211</v>
      </c>
      <c r="H2667" s="12">
        <v>3.3089932936891802</v>
      </c>
      <c r="I2667" s="20">
        <v>1.78595836836864</v>
      </c>
      <c r="J2667" s="28">
        <v>7.4105999134965295E-2</v>
      </c>
      <c r="K2667" s="29">
        <v>0.64167496121180401</v>
      </c>
    </row>
    <row r="2668" spans="1:11" x14ac:dyDescent="0.35">
      <c r="A2668" s="9" t="str">
        <f>HYPERLINK("http://www.ensembl.org/id/WBGene00009773", "WBGene00009773")</f>
        <v>WBGene00009773</v>
      </c>
      <c r="B2668" s="9" t="str">
        <f>HYPERLINK("http://www.ncbi.nlm.nih.gov/gene/185840", "185840")</f>
        <v>185840</v>
      </c>
      <c r="C2668" s="9" t="str">
        <f>HYPERLINK("http://www.ncbi.nlm.nih.gov/gene/3988", "3988")</f>
        <v>3988</v>
      </c>
      <c r="D2668" t="str">
        <f>"lipl-2"</f>
        <v>lipl-2</v>
      </c>
      <c r="E2668" t="s">
        <v>18</v>
      </c>
      <c r="F2668" t="s">
        <v>11</v>
      </c>
      <c r="G2668" t="s">
        <v>2177</v>
      </c>
      <c r="H2668" s="12">
        <v>-4.9246310160881297</v>
      </c>
      <c r="I2668" s="20">
        <v>-1.7862904541504601</v>
      </c>
      <c r="J2668" s="28">
        <v>7.4052241711647898E-2</v>
      </c>
      <c r="K2668" s="29">
        <v>0.64167496121180401</v>
      </c>
    </row>
    <row r="2669" spans="1:11" x14ac:dyDescent="0.35">
      <c r="A2669" s="9" t="str">
        <f>HYPERLINK("http://www.ensembl.org/id/WBGene00003373", "WBGene00003373")</f>
        <v>WBGene00003373</v>
      </c>
      <c r="B2669" s="9" t="str">
        <f>HYPERLINK("http://www.ncbi.nlm.nih.gov/gene/176783", "176783")</f>
        <v>176783</v>
      </c>
      <c r="C2669" s="9"/>
      <c r="D2669" t="str">
        <f>"mlh-1"</f>
        <v>mlh-1</v>
      </c>
      <c r="E2669" t="s">
        <v>2174</v>
      </c>
      <c r="F2669" t="s">
        <v>11</v>
      </c>
      <c r="G2669" t="s">
        <v>2175</v>
      </c>
      <c r="H2669" s="12">
        <v>-1.43363931906372</v>
      </c>
      <c r="I2669" s="20">
        <v>-1.7858772453296099</v>
      </c>
      <c r="J2669" s="28">
        <v>7.4119136026816704E-2</v>
      </c>
      <c r="K2669" s="29">
        <v>0.64167496121180401</v>
      </c>
    </row>
    <row r="2670" spans="1:11" x14ac:dyDescent="0.35">
      <c r="A2670" s="9" t="str">
        <f>HYPERLINK("http://www.ensembl.org/id/WBGene00003652", "WBGene00003652")</f>
        <v>WBGene00003652</v>
      </c>
      <c r="B2670" s="9" t="str">
        <f>HYPERLINK("http://www.ncbi.nlm.nih.gov/gene/172836", "172836")</f>
        <v>172836</v>
      </c>
      <c r="C2670" s="9"/>
      <c r="D2670" t="str">
        <f>"nhr-62"</f>
        <v>nhr-62</v>
      </c>
      <c r="E2670" t="s">
        <v>2176</v>
      </c>
      <c r="F2670" t="s">
        <v>11</v>
      </c>
      <c r="G2670" t="s">
        <v>852</v>
      </c>
      <c r="H2670" s="12">
        <v>-1.4453081202431599</v>
      </c>
      <c r="I2670" s="20">
        <v>-1.7859656962208701</v>
      </c>
      <c r="J2670" s="28">
        <v>7.4104812571933396E-2</v>
      </c>
      <c r="K2670" s="29">
        <v>0.64167496121180401</v>
      </c>
    </row>
    <row r="2671" spans="1:11" x14ac:dyDescent="0.35">
      <c r="A2671" s="9" t="str">
        <f>HYPERLINK("http://www.ensembl.org/id/WBGene00020121", "WBGene00020121")</f>
        <v>WBGene00020121</v>
      </c>
      <c r="B2671" s="9" t="str">
        <f>HYPERLINK("http://www.ncbi.nlm.nih.gov/gene/187913", "187913")</f>
        <v>187913</v>
      </c>
      <c r="C2671" s="9"/>
      <c r="D2671" t="str">
        <f>"R160.4"</f>
        <v>R160.4</v>
      </c>
      <c r="F2671" t="s">
        <v>11</v>
      </c>
      <c r="G2671" t="s">
        <v>25</v>
      </c>
      <c r="H2671" s="12">
        <v>-3.96746849569629</v>
      </c>
      <c r="I2671" s="20">
        <v>-1.78586823568214</v>
      </c>
      <c r="J2671" s="28">
        <v>7.4120595147334295E-2</v>
      </c>
      <c r="K2671" s="29">
        <v>0.64167496121180401</v>
      </c>
    </row>
    <row r="2672" spans="1:11" x14ac:dyDescent="0.35">
      <c r="A2672" s="9" t="str">
        <f>HYPERLINK("http://www.ensembl.org/id/WBGene00010567", "WBGene00010567")</f>
        <v>WBGene00010567</v>
      </c>
      <c r="B2672" s="9" t="str">
        <f>HYPERLINK("http://www.ncbi.nlm.nih.gov/gene/187008", "187008")</f>
        <v>187008</v>
      </c>
      <c r="C2672" s="9"/>
      <c r="D2672" t="str">
        <f>"K04G2.9"</f>
        <v>K04G2.9</v>
      </c>
      <c r="F2672" t="s">
        <v>11</v>
      </c>
      <c r="G2672" t="s">
        <v>372</v>
      </c>
      <c r="H2672" s="12">
        <v>1.4520689146888499</v>
      </c>
      <c r="I2672" s="20">
        <v>1.7854326055646901</v>
      </c>
      <c r="J2672" s="28">
        <v>7.4191173853113093E-2</v>
      </c>
      <c r="K2672" s="29">
        <v>0.64204541687267003</v>
      </c>
    </row>
    <row r="2673" spans="1:11" x14ac:dyDescent="0.35">
      <c r="A2673" s="9" t="str">
        <f>HYPERLINK("http://www.ensembl.org/id/WBGene00002069", "WBGene00002069")</f>
        <v>WBGene00002069</v>
      </c>
      <c r="B2673" s="9" t="str">
        <f>HYPERLINK("http://www.ncbi.nlm.nih.gov/gene/172817", "172817")</f>
        <v>172817</v>
      </c>
      <c r="C2673" s="9"/>
      <c r="D2673" t="str">
        <f>"ikb-1"</f>
        <v>ikb-1</v>
      </c>
      <c r="E2673" t="s">
        <v>2178</v>
      </c>
      <c r="F2673" t="s">
        <v>11</v>
      </c>
      <c r="G2673" t="s">
        <v>2179</v>
      </c>
      <c r="H2673" s="12">
        <v>1.48670203074482</v>
      </c>
      <c r="I2673" s="20">
        <v>1.7848367835762999</v>
      </c>
      <c r="J2673" s="28">
        <v>7.4287795005501298E-2</v>
      </c>
      <c r="K2673" s="29">
        <v>0.64264088034335898</v>
      </c>
    </row>
    <row r="2674" spans="1:11" x14ac:dyDescent="0.35">
      <c r="A2674" s="9" t="str">
        <f>HYPERLINK("http://www.ensembl.org/id/WBGene00020585", "WBGene00020585")</f>
        <v>WBGene00020585</v>
      </c>
      <c r="B2674" s="9" t="str">
        <f>HYPERLINK("http://www.ncbi.nlm.nih.gov/gene/177344", "177344")</f>
        <v>177344</v>
      </c>
      <c r="C2674" s="9"/>
      <c r="D2674" t="str">
        <f>"clec-178"</f>
        <v>clec-178</v>
      </c>
      <c r="E2674" t="s">
        <v>46</v>
      </c>
      <c r="F2674" t="s">
        <v>11</v>
      </c>
      <c r="G2674" t="s">
        <v>274</v>
      </c>
      <c r="H2674" s="12">
        <v>-1.5660607656104</v>
      </c>
      <c r="I2674" s="20">
        <v>-1.78438383204151</v>
      </c>
      <c r="J2674" s="28">
        <v>7.4361316427772106E-2</v>
      </c>
      <c r="K2674" s="29">
        <v>0.64274809226760499</v>
      </c>
    </row>
    <row r="2675" spans="1:11" x14ac:dyDescent="0.35">
      <c r="A2675" s="9" t="str">
        <f>HYPERLINK("http://www.ensembl.org/id/WBGene00185002", "WBGene00185002")</f>
        <v>WBGene00185002</v>
      </c>
      <c r="B2675" s="9" t="str">
        <f>HYPERLINK("http://www.ncbi.nlm.nih.gov/gene/13190936", "13190936")</f>
        <v>13190936</v>
      </c>
      <c r="C2675" s="9"/>
      <c r="D2675" t="str">
        <f>"K11H3.8"</f>
        <v>K11H3.8</v>
      </c>
      <c r="F2675" t="s">
        <v>11</v>
      </c>
      <c r="G2675" t="s">
        <v>54</v>
      </c>
      <c r="H2675" s="12">
        <v>-1.8459366649928499</v>
      </c>
      <c r="I2675" s="20">
        <v>-1.78451738811505</v>
      </c>
      <c r="J2675" s="28">
        <v>7.4339631920060295E-2</v>
      </c>
      <c r="K2675" s="29">
        <v>0.64274809226760499</v>
      </c>
    </row>
    <row r="2676" spans="1:11" x14ac:dyDescent="0.35">
      <c r="A2676" s="9" t="str">
        <f>HYPERLINK("http://www.ensembl.org/id/WBGene00006856", "WBGene00006856")</f>
        <v>WBGene00006856</v>
      </c>
      <c r="B2676" s="9" t="str">
        <f>HYPERLINK("http://www.ncbi.nlm.nih.gov/gene/175105", "175105")</f>
        <v>175105</v>
      </c>
      <c r="C2676" s="9" t="str">
        <f>HYPERLINK("http://www.ncbi.nlm.nih.gov/gene/9097", "9097")</f>
        <v>9097</v>
      </c>
      <c r="D2676" t="str">
        <f>"usp-14"</f>
        <v>usp-14</v>
      </c>
      <c r="E2676" t="s">
        <v>2180</v>
      </c>
      <c r="F2676" t="s">
        <v>11</v>
      </c>
      <c r="G2676" t="s">
        <v>2181</v>
      </c>
      <c r="H2676" s="12">
        <v>-1.3825352721476301</v>
      </c>
      <c r="I2676" s="20">
        <v>-1.7842463697427799</v>
      </c>
      <c r="J2676" s="28">
        <v>7.4383640557585701E-2</v>
      </c>
      <c r="K2676" s="29">
        <v>0.64274809226760499</v>
      </c>
    </row>
    <row r="2677" spans="1:11" x14ac:dyDescent="0.35">
      <c r="A2677" s="9" t="str">
        <f>HYPERLINK("http://www.ensembl.org/id/WBGene00016018", "WBGene00016018")</f>
        <v>WBGene00016018</v>
      </c>
      <c r="B2677" s="9" t="str">
        <f>HYPERLINK("http://www.ncbi.nlm.nih.gov/gene/173390", "173390")</f>
        <v>173390</v>
      </c>
      <c r="C2677" s="9"/>
      <c r="D2677" t="str">
        <f>"C23H3.2"</f>
        <v>C23H3.2</v>
      </c>
      <c r="F2677" t="s">
        <v>11</v>
      </c>
      <c r="G2677" t="s">
        <v>25</v>
      </c>
      <c r="H2677" s="12">
        <v>1.4578419778564</v>
      </c>
      <c r="I2677" s="20">
        <v>1.78298036513665</v>
      </c>
      <c r="J2677" s="28">
        <v>7.4589499607688597E-2</v>
      </c>
      <c r="K2677" s="29">
        <v>0.64380462380846204</v>
      </c>
    </row>
    <row r="2678" spans="1:11" x14ac:dyDescent="0.35">
      <c r="A2678" s="9" t="str">
        <f>HYPERLINK("http://www.ensembl.org/id/WBGene00008407", "WBGene00008407")</f>
        <v>WBGene00008407</v>
      </c>
      <c r="B2678" s="9" t="str">
        <f>HYPERLINK("http://www.ncbi.nlm.nih.gov/gene/183945", "183945")</f>
        <v>183945</v>
      </c>
      <c r="C2678" s="9"/>
      <c r="D2678" t="str">
        <f>"D2023.3"</f>
        <v>D2023.3</v>
      </c>
      <c r="F2678" t="s">
        <v>11</v>
      </c>
      <c r="H2678" s="12">
        <v>1.73956946140986</v>
      </c>
      <c r="I2678" s="20">
        <v>1.78319065519427</v>
      </c>
      <c r="J2678" s="28">
        <v>7.4555273131999E-2</v>
      </c>
      <c r="K2678" s="29">
        <v>0.64380462380846204</v>
      </c>
    </row>
    <row r="2679" spans="1:11" x14ac:dyDescent="0.35">
      <c r="A2679" s="9" t="str">
        <f>HYPERLINK("http://www.ensembl.org/id/WBGene00021999", "WBGene00021999")</f>
        <v>WBGene00021999</v>
      </c>
      <c r="B2679" s="9" t="str">
        <f>HYPERLINK("http://www.ncbi.nlm.nih.gov/gene/190420", "190420")</f>
        <v>190420</v>
      </c>
      <c r="C2679" s="9"/>
      <c r="D2679" t="str">
        <f>"thn-5"</f>
        <v>thn-5</v>
      </c>
      <c r="E2679" t="s">
        <v>20</v>
      </c>
      <c r="F2679" t="s">
        <v>11</v>
      </c>
      <c r="G2679" t="s">
        <v>2182</v>
      </c>
      <c r="H2679" s="12">
        <v>2.95494216093548</v>
      </c>
      <c r="I2679" s="20">
        <v>1.78308995251568</v>
      </c>
      <c r="J2679" s="28">
        <v>7.4571661738628295E-2</v>
      </c>
      <c r="K2679" s="29">
        <v>0.64380462380846204</v>
      </c>
    </row>
    <row r="2680" spans="1:11" x14ac:dyDescent="0.35">
      <c r="A2680" s="9" t="str">
        <f>HYPERLINK("http://www.ensembl.org/id/WBGene00022043", "WBGene00022043")</f>
        <v>WBGene00022043</v>
      </c>
      <c r="B2680" s="9" t="str">
        <f>HYPERLINK("http://www.ncbi.nlm.nih.gov/gene/171645", "171645")</f>
        <v>171645</v>
      </c>
      <c r="C2680" s="9"/>
      <c r="D2680" t="str">
        <f>"psf-3"</f>
        <v>psf-3</v>
      </c>
      <c r="E2680" t="s">
        <v>2183</v>
      </c>
      <c r="F2680" t="s">
        <v>11</v>
      </c>
      <c r="G2680" t="s">
        <v>2184</v>
      </c>
      <c r="H2680" s="12">
        <v>-1.5467401964101</v>
      </c>
      <c r="I2680" s="20">
        <v>-1.7824845260668201</v>
      </c>
      <c r="J2680" s="28">
        <v>7.4670252404863899E-2</v>
      </c>
      <c r="K2680" s="29">
        <v>0.64426096044316095</v>
      </c>
    </row>
    <row r="2681" spans="1:11" x14ac:dyDescent="0.35">
      <c r="A2681" s="9" t="str">
        <f>HYPERLINK("http://www.ensembl.org/id/WBGene00000524", "WBGene00000524")</f>
        <v>WBGene00000524</v>
      </c>
      <c r="B2681" s="9" t="str">
        <f>HYPERLINK("http://www.ncbi.nlm.nih.gov/gene/180625", "180625")</f>
        <v>180625</v>
      </c>
      <c r="C2681" s="9"/>
      <c r="D2681" t="str">
        <f>"clc-3"</f>
        <v>clc-3</v>
      </c>
      <c r="E2681" t="s">
        <v>2187</v>
      </c>
      <c r="F2681" t="s">
        <v>11</v>
      </c>
      <c r="G2681" t="s">
        <v>2188</v>
      </c>
      <c r="H2681" s="12">
        <v>1.4578828806124</v>
      </c>
      <c r="I2681" s="20">
        <v>1.7807697710847099</v>
      </c>
      <c r="J2681" s="28">
        <v>7.4950069664873498E-2</v>
      </c>
      <c r="K2681" s="29">
        <v>0.64426946044515199</v>
      </c>
    </row>
    <row r="2682" spans="1:11" x14ac:dyDescent="0.35">
      <c r="A2682" s="9" t="str">
        <f>HYPERLINK("http://www.ensembl.org/id/WBGene00018837", "WBGene00018837")</f>
        <v>WBGene00018837</v>
      </c>
      <c r="B2682" s="9" t="str">
        <f>HYPERLINK("http://www.ncbi.nlm.nih.gov/gene/180562", "180562")</f>
        <v>180562</v>
      </c>
      <c r="C2682" s="9" t="str">
        <f>HYPERLINK("http://www.ncbi.nlm.nih.gov/gene/8938", "8938")</f>
        <v>8938</v>
      </c>
      <c r="D2682" t="str">
        <f>"F54G2.1"</f>
        <v>F54G2.1</v>
      </c>
      <c r="F2682" t="s">
        <v>11</v>
      </c>
      <c r="H2682" s="12">
        <v>1.4036190316569199</v>
      </c>
      <c r="I2682" s="20">
        <v>1.781488543826</v>
      </c>
      <c r="J2682" s="28">
        <v>7.4832674773936195E-2</v>
      </c>
      <c r="K2682" s="29">
        <v>0.64426946044515199</v>
      </c>
    </row>
    <row r="2683" spans="1:11" x14ac:dyDescent="0.35">
      <c r="A2683" s="9" t="str">
        <f>HYPERLINK("http://www.ensembl.org/id/WBGene00018988", "WBGene00018988")</f>
        <v>WBGene00018988</v>
      </c>
      <c r="B2683" s="9" t="str">
        <f>HYPERLINK("http://www.ncbi.nlm.nih.gov/gene/186406", "186406")</f>
        <v>186406</v>
      </c>
      <c r="C2683" s="9"/>
      <c r="D2683" t="str">
        <f>"F56F11.1"</f>
        <v>F56F11.1</v>
      </c>
      <c r="F2683" t="s">
        <v>11</v>
      </c>
      <c r="H2683" s="12">
        <v>2.2503045454396999</v>
      </c>
      <c r="I2683" s="20">
        <v>1.7819550853514701</v>
      </c>
      <c r="J2683" s="28">
        <v>7.4756556422402004E-2</v>
      </c>
      <c r="K2683" s="29">
        <v>0.64426946044515199</v>
      </c>
    </row>
    <row r="2684" spans="1:11" x14ac:dyDescent="0.35">
      <c r="A2684" s="9" t="str">
        <f>HYPERLINK("http://www.ensembl.org/id/WBGene00010291", "WBGene00010291")</f>
        <v>WBGene00010291</v>
      </c>
      <c r="B2684" s="9" t="str">
        <f>HYPERLINK("http://www.ncbi.nlm.nih.gov/gene/186556", "186556")</f>
        <v>186556</v>
      </c>
      <c r="C2684" s="9"/>
      <c r="D2684" t="str">
        <f>"F58H10.1"</f>
        <v>F58H10.1</v>
      </c>
      <c r="F2684" t="s">
        <v>11</v>
      </c>
      <c r="H2684" s="12">
        <v>1.53148101165103</v>
      </c>
      <c r="I2684" s="20">
        <v>1.7811278290446799</v>
      </c>
      <c r="J2684" s="28">
        <v>7.4891570398273696E-2</v>
      </c>
      <c r="K2684" s="29">
        <v>0.64426946044515199</v>
      </c>
    </row>
    <row r="2685" spans="1:11" x14ac:dyDescent="0.35">
      <c r="A2685" s="9" t="str">
        <f>HYPERLINK("http://www.ensembl.org/id/WBGene00010396", "WBGene00010396")</f>
        <v>WBGene00010396</v>
      </c>
      <c r="B2685" s="9" t="str">
        <f>HYPERLINK("http://www.ncbi.nlm.nih.gov/gene/181636", "181636")</f>
        <v>181636</v>
      </c>
      <c r="C2685" s="9"/>
      <c r="D2685" t="str">
        <f>"H13N06.2"</f>
        <v>H13N06.2</v>
      </c>
      <c r="F2685" t="s">
        <v>11</v>
      </c>
      <c r="H2685" s="12">
        <v>1.64097942293623</v>
      </c>
      <c r="I2685" s="20">
        <v>1.7808363988145399</v>
      </c>
      <c r="J2685" s="28">
        <v>7.4939181246510403E-2</v>
      </c>
      <c r="K2685" s="29">
        <v>0.64426946044515199</v>
      </c>
    </row>
    <row r="2686" spans="1:11" x14ac:dyDescent="0.35">
      <c r="A2686" s="9" t="str">
        <f>HYPERLINK("http://www.ensembl.org/id/WBGene00019652", "WBGene00019652")</f>
        <v>WBGene00019652</v>
      </c>
      <c r="B2686" s="9" t="str">
        <f>HYPERLINK("http://www.ncbi.nlm.nih.gov/gene/179057", "179057")</f>
        <v>179057</v>
      </c>
      <c r="C2686" s="9"/>
      <c r="D2686" t="str">
        <f>"K11G9.1"</f>
        <v>K11G9.1</v>
      </c>
      <c r="E2686" t="s">
        <v>383</v>
      </c>
      <c r="F2686" t="s">
        <v>11</v>
      </c>
      <c r="G2686" t="s">
        <v>2185</v>
      </c>
      <c r="H2686" s="12">
        <v>2.0919758942845701</v>
      </c>
      <c r="I2686" s="20">
        <v>1.78169450374422</v>
      </c>
      <c r="J2686" s="28">
        <v>7.4799063684660896E-2</v>
      </c>
      <c r="K2686" s="29">
        <v>0.64426946044515199</v>
      </c>
    </row>
    <row r="2687" spans="1:11" x14ac:dyDescent="0.35">
      <c r="A2687" s="9" t="str">
        <f>HYPERLINK("http://www.ensembl.org/id/WBGene00020009", "WBGene00020009")</f>
        <v>WBGene00020009</v>
      </c>
      <c r="B2687" s="9" t="str">
        <f>HYPERLINK("http://www.ncbi.nlm.nih.gov/gene/187814", "187814")</f>
        <v>187814</v>
      </c>
      <c r="C2687" s="9"/>
      <c r="D2687" t="str">
        <f>"R11F4.3"</f>
        <v>R11F4.3</v>
      </c>
      <c r="F2687" t="s">
        <v>11</v>
      </c>
      <c r="H2687" s="12">
        <v>1.55341973689617</v>
      </c>
      <c r="I2687" s="20">
        <v>1.7819100401162999</v>
      </c>
      <c r="J2687" s="28">
        <v>7.4763902996014597E-2</v>
      </c>
      <c r="K2687" s="29">
        <v>0.64426946044515199</v>
      </c>
    </row>
    <row r="2688" spans="1:11" x14ac:dyDescent="0.35">
      <c r="A2688" s="9" t="str">
        <f>HYPERLINK("http://www.ensembl.org/id/WBGene00017157", "WBGene00017157")</f>
        <v>WBGene00017157</v>
      </c>
      <c r="B2688" s="9" t="str">
        <f>HYPERLINK("http://www.ncbi.nlm.nih.gov/gene/180970", "180970")</f>
        <v>180970</v>
      </c>
      <c r="C2688" s="9" t="str">
        <f>HYPERLINK("http://www.ncbi.nlm.nih.gov/gene/3351", "3351")</f>
        <v>3351</v>
      </c>
      <c r="D2688" t="str">
        <f>"tyra-2"</f>
        <v>tyra-2</v>
      </c>
      <c r="E2688" t="s">
        <v>2186</v>
      </c>
      <c r="F2688" t="s">
        <v>11</v>
      </c>
      <c r="G2688" t="s">
        <v>1429</v>
      </c>
      <c r="H2688" s="12">
        <v>1.79879816325978</v>
      </c>
      <c r="I2688" s="20">
        <v>1.7822319935005499</v>
      </c>
      <c r="J2688" s="28">
        <v>7.4711407526656601E-2</v>
      </c>
      <c r="K2688" s="29">
        <v>0.64426946044515199</v>
      </c>
    </row>
    <row r="2689" spans="1:11" x14ac:dyDescent="0.35">
      <c r="A2689" s="9" t="str">
        <f>HYPERLINK("http://www.ensembl.org/id/WBGene00012205", "WBGene00012205")</f>
        <v>WBGene00012205</v>
      </c>
      <c r="B2689" s="9" t="str">
        <f>HYPERLINK("http://www.ncbi.nlm.nih.gov/gene/174753", "174753")</f>
        <v>174753</v>
      </c>
      <c r="C2689" s="9" t="str">
        <f>HYPERLINK("http://www.ncbi.nlm.nih.gov/gene/4234", "4234")</f>
        <v>4234</v>
      </c>
      <c r="D2689" t="str">
        <f>"W02B12.10"</f>
        <v>W02B12.10</v>
      </c>
      <c r="E2689" t="s">
        <v>2189</v>
      </c>
      <c r="F2689" t="s">
        <v>11</v>
      </c>
      <c r="G2689" t="s">
        <v>2190</v>
      </c>
      <c r="H2689" s="12">
        <v>-1.4996828651165901</v>
      </c>
      <c r="I2689" s="20">
        <v>-1.7814386092787799</v>
      </c>
      <c r="J2689" s="28">
        <v>7.4840825569213704E-2</v>
      </c>
      <c r="K2689" s="29">
        <v>0.64426946044515199</v>
      </c>
    </row>
    <row r="2690" spans="1:11" x14ac:dyDescent="0.35">
      <c r="A2690" s="9" t="str">
        <f>HYPERLINK("http://www.ensembl.org/id/WBGene00012212", "WBGene00012212")</f>
        <v>WBGene00012212</v>
      </c>
      <c r="B2690" s="9" t="str">
        <f>HYPERLINK("http://www.ncbi.nlm.nih.gov/gene/189121", "189121")</f>
        <v>189121</v>
      </c>
      <c r="C2690" s="9"/>
      <c r="D2690" t="str">
        <f>"W02D9.6"</f>
        <v>W02D9.6</v>
      </c>
      <c r="F2690" t="s">
        <v>11</v>
      </c>
      <c r="H2690" s="12">
        <v>-1.3726211208660299</v>
      </c>
      <c r="I2690" s="20">
        <v>-1.7808162674675301</v>
      </c>
      <c r="J2690" s="28">
        <v>7.49424710097088E-2</v>
      </c>
      <c r="K2690" s="29">
        <v>0.64426946044515199</v>
      </c>
    </row>
    <row r="2691" spans="1:11" x14ac:dyDescent="0.35">
      <c r="A2691" s="9" t="str">
        <f>HYPERLINK("http://www.ensembl.org/id/WBGene00012726", "WBGene00012726")</f>
        <v>WBGene00012726</v>
      </c>
      <c r="B2691" s="9" t="str">
        <f>HYPERLINK("http://www.ncbi.nlm.nih.gov/gene/189764", "189764")</f>
        <v>189764</v>
      </c>
      <c r="C2691" s="9"/>
      <c r="D2691" t="str">
        <f>"Y39G8B.5"</f>
        <v>Y39G8B.5</v>
      </c>
      <c r="F2691" t="s">
        <v>11</v>
      </c>
      <c r="G2691" t="s">
        <v>2191</v>
      </c>
      <c r="H2691" s="12">
        <v>4.7060596127852801</v>
      </c>
      <c r="I2691" s="20">
        <v>1.78023596732369</v>
      </c>
      <c r="J2691" s="28">
        <v>7.5037351443715705E-2</v>
      </c>
      <c r="K2691" s="29">
        <v>0.64477985959780404</v>
      </c>
    </row>
    <row r="2692" spans="1:11" x14ac:dyDescent="0.35">
      <c r="A2692" s="9" t="str">
        <f>HYPERLINK("http://www.ensembl.org/id/WBGene00004174", "WBGene00004174")</f>
        <v>WBGene00004174</v>
      </c>
      <c r="B2692" s="9" t="str">
        <f>HYPERLINK("http://www.ncbi.nlm.nih.gov/gene/174464", "174464")</f>
        <v>174464</v>
      </c>
      <c r="C2692" s="9"/>
      <c r="D2692" t="str">
        <f>"abu-14"</f>
        <v>abu-14</v>
      </c>
      <c r="E2692" t="s">
        <v>913</v>
      </c>
      <c r="F2692" t="s">
        <v>11</v>
      </c>
      <c r="G2692" t="s">
        <v>2192</v>
      </c>
      <c r="H2692" s="12">
        <v>1.93703373742212</v>
      </c>
      <c r="I2692" s="20">
        <v>1.7791970079320301</v>
      </c>
      <c r="J2692" s="28">
        <v>7.5207468754575096E-2</v>
      </c>
      <c r="K2692" s="29">
        <v>0.644802884246089</v>
      </c>
    </row>
    <row r="2693" spans="1:11" x14ac:dyDescent="0.35">
      <c r="A2693" s="9" t="str">
        <f>HYPERLINK("http://www.ensembl.org/id/WBGene00008211", "WBGene00008211")</f>
        <v>WBGene00008211</v>
      </c>
      <c r="B2693" s="9" t="str">
        <f>HYPERLINK("http://www.ncbi.nlm.nih.gov/gene/183615", "183615")</f>
        <v>183615</v>
      </c>
      <c r="C2693" s="9"/>
      <c r="D2693" t="str">
        <f>"C49F5.7"</f>
        <v>C49F5.7</v>
      </c>
      <c r="F2693" t="s">
        <v>11</v>
      </c>
      <c r="H2693" s="12">
        <v>1.3945698868271099</v>
      </c>
      <c r="I2693" s="20">
        <v>1.7793077840189</v>
      </c>
      <c r="J2693" s="28">
        <v>7.5189315496865999E-2</v>
      </c>
      <c r="K2693" s="29">
        <v>0.644802884246089</v>
      </c>
    </row>
    <row r="2694" spans="1:11" x14ac:dyDescent="0.35">
      <c r="A2694" s="9" t="str">
        <f>HYPERLINK("http://www.ensembl.org/id/WBGene00009630", "WBGene00009630")</f>
        <v>WBGene00009630</v>
      </c>
      <c r="B2694" s="9" t="str">
        <f>HYPERLINK("http://www.ncbi.nlm.nih.gov/gene/185667", "185667")</f>
        <v>185667</v>
      </c>
      <c r="C2694" s="9"/>
      <c r="D2694" t="str">
        <f>"F42E8.1"</f>
        <v>F42E8.1</v>
      </c>
      <c r="F2694" t="s">
        <v>11</v>
      </c>
      <c r="H2694" s="12">
        <v>21.132193054183301</v>
      </c>
      <c r="I2694" s="20">
        <v>1.77932694788469</v>
      </c>
      <c r="J2694" s="28">
        <v>7.5186175411396994E-2</v>
      </c>
      <c r="K2694" s="29">
        <v>0.644802884246089</v>
      </c>
    </row>
    <row r="2695" spans="1:11" x14ac:dyDescent="0.35">
      <c r="A2695" s="9" t="str">
        <f>HYPERLINK("http://www.ensembl.org/id/WBGene00012109", "WBGene00012109")</f>
        <v>WBGene00012109</v>
      </c>
      <c r="B2695" s="9" t="str">
        <f>HYPERLINK("http://www.ncbi.nlm.nih.gov/gene/176782", "176782")</f>
        <v>176782</v>
      </c>
      <c r="C2695" s="9"/>
      <c r="D2695" t="str">
        <f>"T28A8.3"</f>
        <v>T28A8.3</v>
      </c>
      <c r="F2695" t="s">
        <v>11</v>
      </c>
      <c r="H2695" s="12">
        <v>-1.60137568568896</v>
      </c>
      <c r="I2695" s="20">
        <v>-1.7799083228485</v>
      </c>
      <c r="J2695" s="28">
        <v>7.5090965396085799E-2</v>
      </c>
      <c r="K2695" s="29">
        <v>0.644802884246089</v>
      </c>
    </row>
    <row r="2696" spans="1:11" x14ac:dyDescent="0.35">
      <c r="A2696" s="9" t="str">
        <f>HYPERLINK("http://www.ensembl.org/id/WBGene00017132", "WBGene00017132")</f>
        <v>WBGene00017132</v>
      </c>
      <c r="B2696" s="9" t="str">
        <f>HYPERLINK("http://www.ncbi.nlm.nih.gov/gene/24104386", "24104386")</f>
        <v>24104386</v>
      </c>
      <c r="C2696" s="9"/>
      <c r="D2696" t="str">
        <f>"tofu-6"</f>
        <v>tofu-6</v>
      </c>
      <c r="E2696" t="s">
        <v>2195</v>
      </c>
      <c r="F2696" t="s">
        <v>11</v>
      </c>
      <c r="G2696" t="s">
        <v>2196</v>
      </c>
      <c r="H2696" s="12">
        <v>-1.4862657003192701</v>
      </c>
      <c r="I2696" s="20">
        <v>-1.7792212366645599</v>
      </c>
      <c r="J2696" s="28">
        <v>7.5203498003277802E-2</v>
      </c>
      <c r="K2696" s="29">
        <v>0.644802884246089</v>
      </c>
    </row>
    <row r="2697" spans="1:11" x14ac:dyDescent="0.35">
      <c r="A2697" s="9" t="str">
        <f>HYPERLINK("http://www.ensembl.org/id/WBGene00006959", "WBGene00006959")</f>
        <v>WBGene00006959</v>
      </c>
      <c r="B2697" s="9" t="str">
        <f>HYPERLINK("http://www.ncbi.nlm.nih.gov/gene/175541", "175541")</f>
        <v>175541</v>
      </c>
      <c r="C2697" s="9"/>
      <c r="D2697" t="str">
        <f>"xbp-1"</f>
        <v>xbp-1</v>
      </c>
      <c r="E2697" t="s">
        <v>2193</v>
      </c>
      <c r="F2697" t="s">
        <v>11</v>
      </c>
      <c r="G2697" t="s">
        <v>2194</v>
      </c>
      <c r="H2697" s="12">
        <v>-1.3869323203658901</v>
      </c>
      <c r="I2697" s="20">
        <v>-1.7794958464169901</v>
      </c>
      <c r="J2697" s="28">
        <v>7.5158505258381303E-2</v>
      </c>
      <c r="K2697" s="29">
        <v>0.644802884246089</v>
      </c>
    </row>
    <row r="2698" spans="1:11" x14ac:dyDescent="0.35">
      <c r="A2698" s="9" t="str">
        <f>HYPERLINK("http://www.ensembl.org/id/WBGene00018144", "WBGene00018144")</f>
        <v>WBGene00018144</v>
      </c>
      <c r="B2698" s="9" t="str">
        <f>HYPERLINK("http://www.ncbi.nlm.nih.gov/gene/177145", "177145")</f>
        <v>177145</v>
      </c>
      <c r="C2698" s="9"/>
      <c r="D2698" t="str">
        <f>"F37C4.4"</f>
        <v>F37C4.4</v>
      </c>
      <c r="F2698" t="s">
        <v>11</v>
      </c>
      <c r="G2698" t="s">
        <v>25</v>
      </c>
      <c r="H2698" s="12">
        <v>1.5905175561350799</v>
      </c>
      <c r="I2698" s="20">
        <v>1.7788348347515699</v>
      </c>
      <c r="J2698" s="28">
        <v>7.5266844293057106E-2</v>
      </c>
      <c r="K2698" s="29">
        <v>0.64507259059175703</v>
      </c>
    </row>
    <row r="2699" spans="1:11" x14ac:dyDescent="0.35">
      <c r="A2699" s="9" t="str">
        <f>HYPERLINK("http://www.ensembl.org/id/WBGene00012149", "WBGene00012149")</f>
        <v>WBGene00012149</v>
      </c>
      <c r="B2699" s="9" t="str">
        <f>HYPERLINK("http://www.ncbi.nlm.nih.gov/gene/174795", "174795")</f>
        <v>174795</v>
      </c>
      <c r="C2699" s="9"/>
      <c r="D2699" t="str">
        <f>"VF13D12L.3"</f>
        <v>VF13D12L.3</v>
      </c>
      <c r="F2699" t="s">
        <v>11</v>
      </c>
      <c r="G2699" t="s">
        <v>489</v>
      </c>
      <c r="H2699" s="12">
        <v>-1.4172294208476599</v>
      </c>
      <c r="I2699" s="20">
        <v>-1.7774023880287899</v>
      </c>
      <c r="J2699" s="28">
        <v>7.55020581641936E-2</v>
      </c>
      <c r="K2699" s="29">
        <v>0.64684855615196801</v>
      </c>
    </row>
    <row r="2700" spans="1:11" x14ac:dyDescent="0.35">
      <c r="A2700" s="9" t="str">
        <f>HYPERLINK("http://www.ensembl.org/id/WBGene00017326", "WBGene00017326")</f>
        <v>WBGene00017326</v>
      </c>
      <c r="B2700" s="9" t="str">
        <f>HYPERLINK("http://www.ncbi.nlm.nih.gov/gene/184287", "184287")</f>
        <v>184287</v>
      </c>
      <c r="C2700" s="9"/>
      <c r="D2700" t="str">
        <f>"dmd-5"</f>
        <v>dmd-5</v>
      </c>
      <c r="E2700" t="s">
        <v>780</v>
      </c>
      <c r="F2700" t="s">
        <v>11</v>
      </c>
      <c r="G2700" t="s">
        <v>781</v>
      </c>
      <c r="H2700" s="12">
        <v>1.97224951112611</v>
      </c>
      <c r="I2700" s="20">
        <v>1.7762451119439899</v>
      </c>
      <c r="J2700" s="28">
        <v>7.5692525700786897E-2</v>
      </c>
      <c r="K2700" s="29">
        <v>0.647759814386067</v>
      </c>
    </row>
    <row r="2701" spans="1:11" x14ac:dyDescent="0.35">
      <c r="A2701" s="9" t="str">
        <f>HYPERLINK("http://www.ensembl.org/id/WBGene00009935", "WBGene00009935")</f>
        <v>WBGene00009935</v>
      </c>
      <c r="B2701" s="9" t="str">
        <f>HYPERLINK("http://www.ncbi.nlm.nih.gov/gene/181702", "181702")</f>
        <v>181702</v>
      </c>
      <c r="C2701" s="9"/>
      <c r="D2701" t="str">
        <f>"F52E10.4"</f>
        <v>F52E10.4</v>
      </c>
      <c r="F2701" t="s">
        <v>11</v>
      </c>
      <c r="G2701" t="s">
        <v>54</v>
      </c>
      <c r="H2701" s="12">
        <v>1.50293015136351</v>
      </c>
      <c r="I2701" s="20">
        <v>1.7765322160150001</v>
      </c>
      <c r="J2701" s="28">
        <v>7.5645236825229403E-2</v>
      </c>
      <c r="K2701" s="29">
        <v>0.647759814386067</v>
      </c>
    </row>
    <row r="2702" spans="1:11" x14ac:dyDescent="0.35">
      <c r="A2702" s="9" t="str">
        <f>HYPERLINK("http://www.ensembl.org/id/WBGene00006664", "WBGene00006664")</f>
        <v>WBGene00006664</v>
      </c>
      <c r="B2702" s="9" t="str">
        <f>HYPERLINK("http://www.ncbi.nlm.nih.gov/gene/177803", "177803")</f>
        <v>177803</v>
      </c>
      <c r="C2702" s="9"/>
      <c r="D2702" t="str">
        <f>"twk-9"</f>
        <v>twk-9</v>
      </c>
      <c r="E2702" t="s">
        <v>2197</v>
      </c>
      <c r="F2702" t="s">
        <v>11</v>
      </c>
      <c r="G2702" t="s">
        <v>1652</v>
      </c>
      <c r="H2702" s="12">
        <v>-1.5259283020840799</v>
      </c>
      <c r="I2702" s="20">
        <v>-1.77634084767475</v>
      </c>
      <c r="J2702" s="28">
        <v>7.5676754400290994E-2</v>
      </c>
      <c r="K2702" s="29">
        <v>0.647759814386067</v>
      </c>
    </row>
    <row r="2703" spans="1:11" x14ac:dyDescent="0.35">
      <c r="A2703" s="9" t="str">
        <f>HYPERLINK("http://www.ensembl.org/id/WBGene00002195", "WBGene00002195")</f>
        <v>WBGene00002195</v>
      </c>
      <c r="B2703" s="9" t="str">
        <f>HYPERLINK("http://www.ncbi.nlm.nih.gov/gene/181098", "181098")</f>
        <v>181098</v>
      </c>
      <c r="C2703" s="9" t="str">
        <f>HYPERLINK("http://www.ncbi.nlm.nih.gov/gene/5156", "5156")</f>
        <v>5156</v>
      </c>
      <c r="D2703" t="str">
        <f>"kin-9"</f>
        <v>kin-9</v>
      </c>
      <c r="F2703" t="s">
        <v>11</v>
      </c>
      <c r="G2703" t="s">
        <v>1778</v>
      </c>
      <c r="H2703" s="12">
        <v>1.5612852222010301</v>
      </c>
      <c r="I2703" s="20">
        <v>1.77596691328833</v>
      </c>
      <c r="J2703" s="28">
        <v>7.5738370777621397E-2</v>
      </c>
      <c r="K2703" s="29">
        <v>0.64791217889215902</v>
      </c>
    </row>
    <row r="2704" spans="1:11" x14ac:dyDescent="0.35">
      <c r="A2704" s="9" t="str">
        <f>HYPERLINK("http://www.ensembl.org/id/WBGene00012443", "WBGene00012443")</f>
        <v>WBGene00012443</v>
      </c>
      <c r="B2704" s="9" t="str">
        <f>HYPERLINK("http://www.ncbi.nlm.nih.gov/gene/181623", "181623")</f>
        <v>181623</v>
      </c>
      <c r="C2704" s="9"/>
      <c r="D2704" t="str">
        <f>"Y15E3A.4"</f>
        <v>Y15E3A.4</v>
      </c>
      <c r="F2704" t="s">
        <v>11</v>
      </c>
      <c r="G2704" t="s">
        <v>2198</v>
      </c>
      <c r="H2704" s="12">
        <v>1.4590629873496099</v>
      </c>
      <c r="I2704" s="20">
        <v>1.77560617992836</v>
      </c>
      <c r="J2704" s="28">
        <v>7.5797850699005798E-2</v>
      </c>
      <c r="K2704" s="29">
        <v>0.648181028220292</v>
      </c>
    </row>
    <row r="2705" spans="1:11" x14ac:dyDescent="0.35">
      <c r="A2705" s="9" t="str">
        <f>HYPERLINK("http://www.ensembl.org/id/WBGene00018194", "WBGene00018194")</f>
        <v>WBGene00018194</v>
      </c>
      <c r="B2705" s="9"/>
      <c r="C2705" s="9"/>
      <c r="D2705" t="str">
        <f>"F39E9.1"</f>
        <v>F39E9.1</v>
      </c>
      <c r="F2705" t="s">
        <v>80</v>
      </c>
      <c r="H2705" s="12">
        <v>1.9543693019972399</v>
      </c>
      <c r="I2705" s="20">
        <v>1.77543278345074</v>
      </c>
      <c r="J2705" s="28">
        <v>7.5826454931198106E-2</v>
      </c>
      <c r="K2705" s="29">
        <v>0.64818574459499201</v>
      </c>
    </row>
    <row r="2706" spans="1:11" x14ac:dyDescent="0.35">
      <c r="A2706" s="9" t="str">
        <f>HYPERLINK("http://www.ensembl.org/id/WBGene00010745", "WBGene00010745")</f>
        <v>WBGene00010745</v>
      </c>
      <c r="B2706" s="9" t="str">
        <f>HYPERLINK("http://www.ncbi.nlm.nih.gov/gene/187266", "187266")</f>
        <v>187266</v>
      </c>
      <c r="C2706" s="9"/>
      <c r="D2706" t="str">
        <f>"dod-17"</f>
        <v>dod-17</v>
      </c>
      <c r="E2706" t="s">
        <v>24</v>
      </c>
      <c r="F2706" t="s">
        <v>11</v>
      </c>
      <c r="G2706" t="s">
        <v>264</v>
      </c>
      <c r="H2706" s="12">
        <v>2.0695201461609201</v>
      </c>
      <c r="I2706" s="20">
        <v>1.7748867491851099</v>
      </c>
      <c r="J2706" s="28">
        <v>7.5916588647773398E-2</v>
      </c>
      <c r="K2706" s="29">
        <v>0.64847641304822601</v>
      </c>
    </row>
    <row r="2707" spans="1:11" x14ac:dyDescent="0.35">
      <c r="A2707" s="9" t="str">
        <f>HYPERLINK("http://www.ensembl.org/id/WBGene00020446", "WBGene00020446")</f>
        <v>WBGene00020446</v>
      </c>
      <c r="B2707" s="9" t="str">
        <f>HYPERLINK("http://www.ncbi.nlm.nih.gov/gene/177509", "177509")</f>
        <v>177509</v>
      </c>
      <c r="C2707" s="9" t="str">
        <f>HYPERLINK("http://www.ncbi.nlm.nih.gov/gene/51573", "51573")</f>
        <v>51573</v>
      </c>
      <c r="D2707" t="str">
        <f>"T12B3.3"</f>
        <v>T12B3.3</v>
      </c>
      <c r="F2707" t="s">
        <v>11</v>
      </c>
      <c r="G2707" t="s">
        <v>1868</v>
      </c>
      <c r="H2707" s="12">
        <v>-1.44042772989651</v>
      </c>
      <c r="I2707" s="20">
        <v>-1.77489348998573</v>
      </c>
      <c r="J2707" s="28">
        <v>7.5915475413117106E-2</v>
      </c>
      <c r="K2707" s="29">
        <v>0.64847641304822601</v>
      </c>
    </row>
    <row r="2708" spans="1:11" x14ac:dyDescent="0.35">
      <c r="A2708" s="9" t="str">
        <f>HYPERLINK("http://www.ensembl.org/id/WBGene00007072", "WBGene00007072")</f>
        <v>WBGene00007072</v>
      </c>
      <c r="B2708" s="9" t="str">
        <f>HYPERLINK("http://www.ncbi.nlm.nih.gov/gene/179449", "179449")</f>
        <v>179449</v>
      </c>
      <c r="C2708" s="9"/>
      <c r="D2708" t="str">
        <f>"ugt-1"</f>
        <v>ugt-1</v>
      </c>
      <c r="E2708" t="s">
        <v>103</v>
      </c>
      <c r="F2708" t="s">
        <v>11</v>
      </c>
      <c r="G2708" t="s">
        <v>104</v>
      </c>
      <c r="H2708" s="12">
        <v>1.8446300000756499</v>
      </c>
      <c r="I2708" s="20">
        <v>1.77459089037375</v>
      </c>
      <c r="J2708" s="28">
        <v>7.5965462477209394E-2</v>
      </c>
      <c r="K2708" s="29">
        <v>0.64865409312579403</v>
      </c>
    </row>
    <row r="2709" spans="1:11" x14ac:dyDescent="0.35">
      <c r="A2709" s="9" t="str">
        <f>HYPERLINK("http://www.ensembl.org/id/WBGene00003092", "WBGene00003092")</f>
        <v>WBGene00003092</v>
      </c>
      <c r="B2709" s="9" t="str">
        <f>HYPERLINK("http://www.ncbi.nlm.nih.gov/gene/179430", "179430")</f>
        <v>179430</v>
      </c>
      <c r="C2709" s="9"/>
      <c r="D2709" t="str">
        <f>"lys-3"</f>
        <v>lys-3</v>
      </c>
      <c r="E2709" t="s">
        <v>2201</v>
      </c>
      <c r="F2709" t="s">
        <v>11</v>
      </c>
      <c r="G2709" t="s">
        <v>202</v>
      </c>
      <c r="H2709" s="12">
        <v>-2.2347177370589799</v>
      </c>
      <c r="I2709" s="20">
        <v>-1.7741222337626501</v>
      </c>
      <c r="J2709" s="28">
        <v>7.6042933842667901E-2</v>
      </c>
      <c r="K2709" s="29">
        <v>0.64902423793132102</v>
      </c>
    </row>
    <row r="2710" spans="1:11" x14ac:dyDescent="0.35">
      <c r="A2710" s="9" t="str">
        <f>HYPERLINK("http://www.ensembl.org/id/WBGene00009398", "WBGene00009398")</f>
        <v>WBGene00009398</v>
      </c>
      <c r="B2710" s="9" t="str">
        <f>HYPERLINK("http://www.ncbi.nlm.nih.gov/gene/185265", "185265")</f>
        <v>185265</v>
      </c>
      <c r="C2710" s="9"/>
      <c r="D2710" t="str">
        <f>"nspb-11"</f>
        <v>nspb-11</v>
      </c>
      <c r="E2710" t="s">
        <v>1851</v>
      </c>
      <c r="F2710" t="s">
        <v>11</v>
      </c>
      <c r="H2710" s="12">
        <v>6.8215513439976103</v>
      </c>
      <c r="I2710" s="20">
        <v>1.7739027523014801</v>
      </c>
      <c r="J2710" s="28">
        <v>7.6079237419020798E-2</v>
      </c>
      <c r="K2710" s="29">
        <v>0.64902423793132102</v>
      </c>
    </row>
    <row r="2711" spans="1:11" x14ac:dyDescent="0.35">
      <c r="A2711" s="9" t="str">
        <f>HYPERLINK("http://www.ensembl.org/id/WBGene00008149", "WBGene00008149")</f>
        <v>WBGene00008149</v>
      </c>
      <c r="B2711" s="9" t="str">
        <f>HYPERLINK("http://www.ncbi.nlm.nih.gov/gene/177856", "177856")</f>
        <v>177856</v>
      </c>
      <c r="C2711" s="9" t="str">
        <f>HYPERLINK("http://www.ncbi.nlm.nih.gov/gene/5464", "5464")</f>
        <v>5464</v>
      </c>
      <c r="D2711" t="str">
        <f>"pyp-1"</f>
        <v>pyp-1</v>
      </c>
      <c r="E2711" t="s">
        <v>2199</v>
      </c>
      <c r="F2711" t="s">
        <v>11</v>
      </c>
      <c r="G2711" t="s">
        <v>2200</v>
      </c>
      <c r="H2711" s="12">
        <v>-1.3766200718159201</v>
      </c>
      <c r="I2711" s="20">
        <v>-1.7738190983661699</v>
      </c>
      <c r="J2711" s="28">
        <v>7.6093078012462095E-2</v>
      </c>
      <c r="K2711" s="29">
        <v>0.64902423793132102</v>
      </c>
    </row>
    <row r="2712" spans="1:11" x14ac:dyDescent="0.35">
      <c r="A2712" s="9" t="str">
        <f>HYPERLINK("http://www.ensembl.org/id/WBGene00015816", "WBGene00015816")</f>
        <v>WBGene00015816</v>
      </c>
      <c r="B2712" s="9" t="str">
        <f>HYPERLINK("http://www.ncbi.nlm.nih.gov/gene/173756", "173756")</f>
        <v>173756</v>
      </c>
      <c r="C2712" s="9"/>
      <c r="D2712" t="str">
        <f>"C16A11.3"</f>
        <v>C16A11.3</v>
      </c>
      <c r="F2712" t="s">
        <v>11</v>
      </c>
      <c r="G2712" t="s">
        <v>619</v>
      </c>
      <c r="H2712" s="12">
        <v>-2.0707837982142698</v>
      </c>
      <c r="I2712" s="20">
        <v>-1.7727955497336501</v>
      </c>
      <c r="J2712" s="28">
        <v>7.6262591115531297E-2</v>
      </c>
      <c r="K2712" s="29">
        <v>0.64999019930485702</v>
      </c>
    </row>
    <row r="2713" spans="1:11" x14ac:dyDescent="0.35">
      <c r="A2713" s="9" t="str">
        <f>HYPERLINK("http://www.ensembl.org/id/WBGene00002042", "WBGene00002042")</f>
        <v>WBGene00002042</v>
      </c>
      <c r="B2713" s="9" t="str">
        <f>HYPERLINK("http://www.ncbi.nlm.nih.gov/gene/171939", "171939")</f>
        <v>171939</v>
      </c>
      <c r="C2713" s="9" t="str">
        <f>HYPERLINK("http://www.ncbi.nlm.nih.gov/gene/3364", "3364")</f>
        <v>3364</v>
      </c>
      <c r="D2713" t="str">
        <f>"hus-1"</f>
        <v>hus-1</v>
      </c>
      <c r="E2713" t="s">
        <v>2202</v>
      </c>
      <c r="F2713" t="s">
        <v>11</v>
      </c>
      <c r="G2713" t="s">
        <v>2203</v>
      </c>
      <c r="H2713" s="12">
        <v>-1.63274453856409</v>
      </c>
      <c r="I2713" s="20">
        <v>-1.7728272084166601</v>
      </c>
      <c r="J2713" s="28">
        <v>7.6257343409628406E-2</v>
      </c>
      <c r="K2713" s="29">
        <v>0.64999019930485702</v>
      </c>
    </row>
    <row r="2714" spans="1:11" x14ac:dyDescent="0.35">
      <c r="A2714" s="9" t="str">
        <f>HYPERLINK("http://www.ensembl.org/id/WBGene00015262", "WBGene00015262")</f>
        <v>WBGene00015262</v>
      </c>
      <c r="B2714" s="9" t="str">
        <f>HYPERLINK("http://www.ncbi.nlm.nih.gov/gene/182039", "182039")</f>
        <v>182039</v>
      </c>
      <c r="C2714" s="9"/>
      <c r="D2714" t="str">
        <f>"B0563.5"</f>
        <v>B0563.5</v>
      </c>
      <c r="F2714" t="s">
        <v>11</v>
      </c>
      <c r="H2714" s="12">
        <v>-1.59131257555184</v>
      </c>
      <c r="I2714" s="20">
        <v>-1.77128322479678</v>
      </c>
      <c r="J2714" s="28">
        <v>7.6513615603320095E-2</v>
      </c>
      <c r="K2714" s="29">
        <v>0.65126519611650002</v>
      </c>
    </row>
    <row r="2715" spans="1:11" x14ac:dyDescent="0.35">
      <c r="A2715" s="9" t="str">
        <f>HYPERLINK("http://www.ensembl.org/id/WBGene00018660", "WBGene00018660")</f>
        <v>WBGene00018660</v>
      </c>
      <c r="B2715" s="9" t="str">
        <f>HYPERLINK("http://www.ncbi.nlm.nih.gov/gene/186085", "186085")</f>
        <v>186085</v>
      </c>
      <c r="C2715" s="9"/>
      <c r="D2715" t="str">
        <f>"F52C6.3"</f>
        <v>F52C6.3</v>
      </c>
      <c r="F2715" t="s">
        <v>11</v>
      </c>
      <c r="G2715" t="s">
        <v>2205</v>
      </c>
      <c r="H2715" s="12">
        <v>-2.9893400696053201</v>
      </c>
      <c r="I2715" s="20">
        <v>-1.7713504058832701</v>
      </c>
      <c r="J2715" s="28">
        <v>7.6502450213774997E-2</v>
      </c>
      <c r="K2715" s="29">
        <v>0.65126519611650002</v>
      </c>
    </row>
    <row r="2716" spans="1:11" x14ac:dyDescent="0.35">
      <c r="A2716" s="9" t="str">
        <f>HYPERLINK("http://www.ensembl.org/id/WBGene00003727", "WBGene00003727")</f>
        <v>WBGene00003727</v>
      </c>
      <c r="B2716" s="9" t="str">
        <f>HYPERLINK("http://www.ncbi.nlm.nih.gov/gene/183865", "183865")</f>
        <v>183865</v>
      </c>
      <c r="C2716" s="9"/>
      <c r="D2716" t="str">
        <f>"nhr-137"</f>
        <v>nhr-137</v>
      </c>
      <c r="E2716" t="s">
        <v>637</v>
      </c>
      <c r="F2716" t="s">
        <v>11</v>
      </c>
      <c r="G2716" t="s">
        <v>2204</v>
      </c>
      <c r="H2716" s="12">
        <v>1.6527286646400301</v>
      </c>
      <c r="I2716" s="20">
        <v>1.7712616436309601</v>
      </c>
      <c r="J2716" s="28">
        <v>7.6517202640669094E-2</v>
      </c>
      <c r="K2716" s="29">
        <v>0.65126519611650002</v>
      </c>
    </row>
    <row r="2717" spans="1:11" x14ac:dyDescent="0.35">
      <c r="A2717" s="9" t="str">
        <f>HYPERLINK("http://www.ensembl.org/id/WBGene00020199", "WBGene00020199")</f>
        <v>WBGene00020199</v>
      </c>
      <c r="B2717" s="9" t="str">
        <f>HYPERLINK("http://www.ncbi.nlm.nih.gov/gene/188034", "188034")</f>
        <v>188034</v>
      </c>
      <c r="C2717" s="9" t="str">
        <f>HYPERLINK("http://www.ncbi.nlm.nih.gov/gene/51108", "51108")</f>
        <v>51108</v>
      </c>
      <c r="D2717" t="str">
        <f>"T03G11.6"</f>
        <v>T03G11.6</v>
      </c>
      <c r="F2717" t="s">
        <v>11</v>
      </c>
      <c r="G2717" t="s">
        <v>1648</v>
      </c>
      <c r="H2717" s="12">
        <v>-1.4890476771014201</v>
      </c>
      <c r="I2717" s="20">
        <v>-1.7712151618437699</v>
      </c>
      <c r="J2717" s="28">
        <v>7.6524928912676204E-2</v>
      </c>
      <c r="K2717" s="29">
        <v>0.65126519611650002</v>
      </c>
    </row>
    <row r="2718" spans="1:11" x14ac:dyDescent="0.35">
      <c r="A2718" s="9" t="str">
        <f>HYPERLINK("http://www.ensembl.org/id/WBGene00004719", "WBGene00004719")</f>
        <v>WBGene00004719</v>
      </c>
      <c r="B2718" s="9" t="str">
        <f>HYPERLINK("http://www.ncbi.nlm.nih.gov/gene/181471", "181471")</f>
        <v>181471</v>
      </c>
      <c r="C2718" s="9" t="str">
        <f>HYPERLINK("http://www.ncbi.nlm.nih.gov/gene/9024", "9024")</f>
        <v>9024</v>
      </c>
      <c r="D2718" t="str">
        <f>"sad-1"</f>
        <v>sad-1</v>
      </c>
      <c r="E2718" t="s">
        <v>2206</v>
      </c>
      <c r="F2718" t="s">
        <v>11</v>
      </c>
      <c r="G2718" t="s">
        <v>2207</v>
      </c>
      <c r="H2718" s="12">
        <v>1.46334142081416</v>
      </c>
      <c r="I2718" s="20">
        <v>1.77100857112648</v>
      </c>
      <c r="J2718" s="28">
        <v>7.6559276427046102E-2</v>
      </c>
      <c r="K2718" s="29">
        <v>0.65131761455203496</v>
      </c>
    </row>
    <row r="2719" spans="1:11" x14ac:dyDescent="0.35">
      <c r="A2719" s="9" t="str">
        <f>HYPERLINK("http://www.ensembl.org/id/WBGene00002093", "WBGene00002093")</f>
        <v>WBGene00002093</v>
      </c>
      <c r="B2719" s="9" t="str">
        <f>HYPERLINK("http://www.ncbi.nlm.nih.gov/gene/3565431", "3565431")</f>
        <v>3565431</v>
      </c>
      <c r="C2719" s="9"/>
      <c r="D2719" t="str">
        <f>"ins-10"</f>
        <v>ins-10</v>
      </c>
      <c r="E2719" t="s">
        <v>12</v>
      </c>
      <c r="F2719" t="s">
        <v>11</v>
      </c>
      <c r="H2719" s="12">
        <v>1.8280150559499999</v>
      </c>
      <c r="I2719" s="20">
        <v>1.7701059718115499</v>
      </c>
      <c r="J2719" s="28">
        <v>7.6709488921670801E-2</v>
      </c>
      <c r="K2719" s="29">
        <v>0.65211532414426998</v>
      </c>
    </row>
    <row r="2720" spans="1:11" x14ac:dyDescent="0.35">
      <c r="A2720" s="9" t="str">
        <f>HYPERLINK("http://www.ensembl.org/id/WBGene00002248", "WBGene00002248")</f>
        <v>WBGene00002248</v>
      </c>
      <c r="B2720" s="9" t="str">
        <f>HYPERLINK("http://www.ncbi.nlm.nih.gov/gene/172952", "172952")</f>
        <v>172952</v>
      </c>
      <c r="C2720" s="9" t="str">
        <f>HYPERLINK("http://www.ncbi.nlm.nih.gov/gene/3908", "3908")</f>
        <v>3908</v>
      </c>
      <c r="D2720" t="str">
        <f>"lam-3"</f>
        <v>lam-3</v>
      </c>
      <c r="E2720" t="s">
        <v>2208</v>
      </c>
      <c r="F2720" t="s">
        <v>11</v>
      </c>
      <c r="G2720" t="s">
        <v>2209</v>
      </c>
      <c r="H2720" s="12">
        <v>1.41190788806812</v>
      </c>
      <c r="I2720" s="20">
        <v>1.7701574102175199</v>
      </c>
      <c r="J2720" s="28">
        <v>7.6700921981432496E-2</v>
      </c>
      <c r="K2720" s="29">
        <v>0.65211532414426998</v>
      </c>
    </row>
    <row r="2721" spans="1:11" x14ac:dyDescent="0.35">
      <c r="A2721" s="9" t="str">
        <f>HYPERLINK("http://www.ensembl.org/id/WBGene00008215", "WBGene00008215")</f>
        <v>WBGene00008215</v>
      </c>
      <c r="B2721" s="9" t="str">
        <f>HYPERLINK("http://www.ncbi.nlm.nih.gov/gene/181459", "181459")</f>
        <v>181459</v>
      </c>
      <c r="C2721" s="9"/>
      <c r="D2721" t="str">
        <f>"C49F8.3"</f>
        <v>C49F8.3</v>
      </c>
      <c r="F2721" t="s">
        <v>11</v>
      </c>
      <c r="H2721" s="12">
        <v>1.82222435624301</v>
      </c>
      <c r="I2721" s="20">
        <v>1.76975020320405</v>
      </c>
      <c r="J2721" s="28">
        <v>7.6768762668003296E-2</v>
      </c>
      <c r="K2721" s="29">
        <v>0.65237919463291105</v>
      </c>
    </row>
    <row r="2722" spans="1:11" x14ac:dyDescent="0.35">
      <c r="A2722" s="9" t="str">
        <f>HYPERLINK("http://www.ensembl.org/id/WBGene00000118", "WBGene00000118")</f>
        <v>WBGene00000118</v>
      </c>
      <c r="B2722" s="9" t="str">
        <f>HYPERLINK("http://www.ncbi.nlm.nih.gov/gene/176056", "176056")</f>
        <v>176056</v>
      </c>
      <c r="C2722" s="9" t="str">
        <f>HYPERLINK("http://www.ncbi.nlm.nih.gov/gene/223", "223")</f>
        <v>223</v>
      </c>
      <c r="D2722" t="str">
        <f>"alh-12"</f>
        <v>alh-12</v>
      </c>
      <c r="E2722" t="s">
        <v>428</v>
      </c>
      <c r="F2722" t="s">
        <v>11</v>
      </c>
      <c r="G2722" t="s">
        <v>2213</v>
      </c>
      <c r="H2722" s="12">
        <v>-1.4012734022464299</v>
      </c>
      <c r="I2722" s="20">
        <v>-1.76902590262099</v>
      </c>
      <c r="J2722" s="28">
        <v>7.6889552019196505E-2</v>
      </c>
      <c r="K2722" s="29">
        <v>0.65262014553280301</v>
      </c>
    </row>
    <row r="2723" spans="1:11" x14ac:dyDescent="0.35">
      <c r="A2723" s="9" t="str">
        <f>HYPERLINK("http://www.ensembl.org/id/WBGene00019492", "WBGene00019492")</f>
        <v>WBGene00019492</v>
      </c>
      <c r="B2723" s="9" t="str">
        <f>HYPERLINK("http://www.ncbi.nlm.nih.gov/gene/181064", "181064")</f>
        <v>181064</v>
      </c>
      <c r="C2723" s="9" t="str">
        <f>HYPERLINK("http://www.ncbi.nlm.nih.gov/gene/4522", "4522")</f>
        <v>4522</v>
      </c>
      <c r="D2723" t="str">
        <f>"K07E3.4"</f>
        <v>K07E3.4</v>
      </c>
      <c r="F2723" t="s">
        <v>11</v>
      </c>
      <c r="G2723" t="s">
        <v>2212</v>
      </c>
      <c r="H2723" s="12">
        <v>-1.3727483723609299</v>
      </c>
      <c r="I2723" s="20">
        <v>-1.76873361556607</v>
      </c>
      <c r="J2723" s="28">
        <v>7.6938339670706998E-2</v>
      </c>
      <c r="K2723" s="29">
        <v>0.65262014553280301</v>
      </c>
    </row>
    <row r="2724" spans="1:11" x14ac:dyDescent="0.35">
      <c r="A2724" s="9" t="str">
        <f>HYPERLINK("http://www.ensembl.org/id/WBGene00022144", "WBGene00022144")</f>
        <v>WBGene00022144</v>
      </c>
      <c r="B2724" s="9" t="str">
        <f>HYPERLINK("http://www.ncbi.nlm.nih.gov/gene/171746", "171746")</f>
        <v>171746</v>
      </c>
      <c r="C2724" s="9"/>
      <c r="D2724" t="str">
        <f>"pghm-1"</f>
        <v>pghm-1</v>
      </c>
      <c r="E2724" t="s">
        <v>2210</v>
      </c>
      <c r="F2724" t="s">
        <v>11</v>
      </c>
      <c r="G2724" t="s">
        <v>2211</v>
      </c>
      <c r="H2724" s="12">
        <v>1.3769146118983699</v>
      </c>
      <c r="I2724" s="20">
        <v>1.7690586478102901</v>
      </c>
      <c r="J2724" s="28">
        <v>7.68840878645667E-2</v>
      </c>
      <c r="K2724" s="29">
        <v>0.65262014553280301</v>
      </c>
    </row>
    <row r="2725" spans="1:11" x14ac:dyDescent="0.35">
      <c r="A2725" s="9" t="str">
        <f>HYPERLINK("http://www.ensembl.org/id/WBGene00011793", "WBGene00011793")</f>
        <v>WBGene00011793</v>
      </c>
      <c r="B2725" s="9" t="str">
        <f>HYPERLINK("http://www.ncbi.nlm.nih.gov/gene/188549", "188549")</f>
        <v>188549</v>
      </c>
      <c r="C2725" s="9"/>
      <c r="D2725" t="str">
        <f>"T16A9.3"</f>
        <v>T16A9.3</v>
      </c>
      <c r="F2725" t="s">
        <v>11</v>
      </c>
      <c r="G2725" t="s">
        <v>54</v>
      </c>
      <c r="H2725" s="12">
        <v>2.0853414950602902</v>
      </c>
      <c r="I2725" s="20">
        <v>1.7692825446409299</v>
      </c>
      <c r="J2725" s="28">
        <v>7.6846734920928195E-2</v>
      </c>
      <c r="K2725" s="29">
        <v>0.65262014553280301</v>
      </c>
    </row>
    <row r="2726" spans="1:11" x14ac:dyDescent="0.35">
      <c r="A2726" s="9" t="str">
        <f>HYPERLINK("http://www.ensembl.org/id/WBGene00019953", "WBGene00019953")</f>
        <v>WBGene00019953</v>
      </c>
      <c r="B2726" s="9" t="str">
        <f>HYPERLINK("http://www.ncbi.nlm.nih.gov/gene/177211", "177211")</f>
        <v>177211</v>
      </c>
      <c r="C2726" s="9" t="str">
        <f>HYPERLINK("http://www.ncbi.nlm.nih.gov/gene/23063", "23063")</f>
        <v>23063</v>
      </c>
      <c r="D2726" t="str">
        <f>"wapl-1"</f>
        <v>wapl-1</v>
      </c>
      <c r="E2726" t="s">
        <v>2214</v>
      </c>
      <c r="F2726" t="s">
        <v>11</v>
      </c>
      <c r="G2726" t="s">
        <v>2215</v>
      </c>
      <c r="H2726" s="12">
        <v>-1.43073483332564</v>
      </c>
      <c r="I2726" s="20">
        <v>-1.76882350868803</v>
      </c>
      <c r="J2726" s="28">
        <v>7.6923332302745506E-2</v>
      </c>
      <c r="K2726" s="29">
        <v>0.65262014553280301</v>
      </c>
    </row>
    <row r="2727" spans="1:11" x14ac:dyDescent="0.35">
      <c r="A2727" s="9" t="str">
        <f>HYPERLINK("http://www.ensembl.org/id/WBGene00008096", "WBGene00008096")</f>
        <v>WBGene00008096</v>
      </c>
      <c r="B2727" s="9" t="str">
        <f>HYPERLINK("http://www.ncbi.nlm.nih.gov/gene/259735", "259735")</f>
        <v>259735</v>
      </c>
      <c r="C2727" s="9"/>
      <c r="D2727" t="str">
        <f>"C44H4.8"</f>
        <v>C44H4.8</v>
      </c>
      <c r="F2727" t="s">
        <v>11</v>
      </c>
      <c r="G2727" t="s">
        <v>25</v>
      </c>
      <c r="H2727" s="12">
        <v>1.96144722599111</v>
      </c>
      <c r="I2727" s="20">
        <v>1.7679203071007601</v>
      </c>
      <c r="J2727" s="28">
        <v>7.7074227401862302E-2</v>
      </c>
      <c r="K2727" s="29">
        <v>0.65316245851037102</v>
      </c>
    </row>
    <row r="2728" spans="1:11" x14ac:dyDescent="0.35">
      <c r="A2728" s="9" t="str">
        <f>HYPERLINK("http://www.ensembl.org/id/WBGene00001071", "WBGene00001071")</f>
        <v>WBGene00001071</v>
      </c>
      <c r="B2728" s="9" t="str">
        <f>HYPERLINK("http://www.ncbi.nlm.nih.gov/gene/176846", "176846")</f>
        <v>176846</v>
      </c>
      <c r="C2728" s="9"/>
      <c r="D2728" t="str">
        <f>"dpy-9"</f>
        <v>dpy-9</v>
      </c>
      <c r="E2728" t="s">
        <v>578</v>
      </c>
      <c r="F2728" t="s">
        <v>11</v>
      </c>
      <c r="G2728" t="s">
        <v>41</v>
      </c>
      <c r="H2728" s="12">
        <v>2.6795239108219202</v>
      </c>
      <c r="I2728" s="20">
        <v>1.7676744358809999</v>
      </c>
      <c r="J2728" s="28">
        <v>7.7115346092629197E-2</v>
      </c>
      <c r="K2728" s="29">
        <v>0.65316245851037102</v>
      </c>
    </row>
    <row r="2729" spans="1:11" x14ac:dyDescent="0.35">
      <c r="A2729" s="9" t="str">
        <f>HYPERLINK("http://www.ensembl.org/id/WBGene00017250", "WBGene00017250")</f>
        <v>WBGene00017250</v>
      </c>
      <c r="B2729" s="9" t="str">
        <f>HYPERLINK("http://www.ncbi.nlm.nih.gov/gene/173621", "173621")</f>
        <v>173621</v>
      </c>
      <c r="C2729" s="9"/>
      <c r="D2729" t="str">
        <f>"F08D12.7"</f>
        <v>F08D12.7</v>
      </c>
      <c r="F2729" t="s">
        <v>11</v>
      </c>
      <c r="H2729" s="12">
        <v>1.56711441544726</v>
      </c>
      <c r="I2729" s="20">
        <v>1.76780451834406</v>
      </c>
      <c r="J2729" s="28">
        <v>7.7093589304647894E-2</v>
      </c>
      <c r="K2729" s="29">
        <v>0.65316245851037102</v>
      </c>
    </row>
    <row r="2730" spans="1:11" x14ac:dyDescent="0.35">
      <c r="A2730" s="9" t="str">
        <f>HYPERLINK("http://www.ensembl.org/id/WBGene00018016", "WBGene00018016")</f>
        <v>WBGene00018016</v>
      </c>
      <c r="B2730" s="9" t="str">
        <f>HYPERLINK("http://www.ncbi.nlm.nih.gov/gene/173869", "173869")</f>
        <v>173869</v>
      </c>
      <c r="C2730" s="9"/>
      <c r="D2730" t="str">
        <f>"lrr-1"</f>
        <v>lrr-1</v>
      </c>
      <c r="E2730" t="s">
        <v>2216</v>
      </c>
      <c r="F2730" t="s">
        <v>11</v>
      </c>
      <c r="G2730" t="s">
        <v>2217</v>
      </c>
      <c r="H2730" s="12">
        <v>-1.4919302396497101</v>
      </c>
      <c r="I2730" s="20">
        <v>-1.76809077896605</v>
      </c>
      <c r="J2730" s="28">
        <v>7.7045728740399305E-2</v>
      </c>
      <c r="K2730" s="29">
        <v>0.65316245851037102</v>
      </c>
    </row>
    <row r="2731" spans="1:11" x14ac:dyDescent="0.35">
      <c r="A2731" s="9" t="str">
        <f>HYPERLINK("http://www.ensembl.org/id/WBGene00010038", "WBGene00010038")</f>
        <v>WBGene00010038</v>
      </c>
      <c r="B2731" s="9" t="str">
        <f>HYPERLINK("http://www.ncbi.nlm.nih.gov/gene/176327", "176327")</f>
        <v>176327</v>
      </c>
      <c r="C2731" s="9" t="str">
        <f>HYPERLINK("http://www.ncbi.nlm.nih.gov/gene/6009", "6009")</f>
        <v>6009</v>
      </c>
      <c r="D2731" t="str">
        <f>"rheb-1"</f>
        <v>rheb-1</v>
      </c>
      <c r="E2731" t="s">
        <v>2218</v>
      </c>
      <c r="F2731" t="s">
        <v>11</v>
      </c>
      <c r="G2731" t="s">
        <v>2219</v>
      </c>
      <c r="H2731" s="12">
        <v>-1.41830871827726</v>
      </c>
      <c r="I2731" s="20">
        <v>-1.7673682417066101</v>
      </c>
      <c r="J2731" s="28">
        <v>7.7166577986827301E-2</v>
      </c>
      <c r="K2731" s="29">
        <v>0.65335688932342695</v>
      </c>
    </row>
    <row r="2732" spans="1:11" x14ac:dyDescent="0.35">
      <c r="A2732" s="9" t="str">
        <f>HYPERLINK("http://www.ensembl.org/id/WBGene00021745", "WBGene00021745")</f>
        <v>WBGene00021745</v>
      </c>
      <c r="B2732" s="9" t="str">
        <f>HYPERLINK("http://www.ncbi.nlm.nih.gov/gene/3565593", "3565593")</f>
        <v>3565593</v>
      </c>
      <c r="C2732" s="9"/>
      <c r="D2732" t="str">
        <f>"Y50D4B.6"</f>
        <v>Y50D4B.6</v>
      </c>
      <c r="F2732" t="s">
        <v>11</v>
      </c>
      <c r="G2732" t="s">
        <v>1778</v>
      </c>
      <c r="H2732" s="12">
        <v>2.6412246332056202</v>
      </c>
      <c r="I2732" s="20">
        <v>1.76682766912977</v>
      </c>
      <c r="J2732" s="28">
        <v>7.7257093385424205E-2</v>
      </c>
      <c r="K2732" s="29">
        <v>0.653883662917074</v>
      </c>
    </row>
    <row r="2733" spans="1:11" x14ac:dyDescent="0.35">
      <c r="A2733" s="9" t="str">
        <f>HYPERLINK("http://www.ensembl.org/id/WBGene00022455", "WBGene00022455")</f>
        <v>WBGene00022455</v>
      </c>
      <c r="B2733" s="9" t="str">
        <f>HYPERLINK("http://www.ncbi.nlm.nih.gov/gene/172149", "172149")</f>
        <v>172149</v>
      </c>
      <c r="C2733" s="9" t="str">
        <f>HYPERLINK("http://www.ncbi.nlm.nih.gov/gene/7298", "7298")</f>
        <v>7298</v>
      </c>
      <c r="D2733" t="str">
        <f>"tyms-1"</f>
        <v>tyms-1</v>
      </c>
      <c r="E2733" t="s">
        <v>2220</v>
      </c>
      <c r="F2733" t="s">
        <v>11</v>
      </c>
      <c r="G2733" t="s">
        <v>2221</v>
      </c>
      <c r="H2733" s="12">
        <v>-1.5376460628464299</v>
      </c>
      <c r="I2733" s="20">
        <v>-1.7662918326075101</v>
      </c>
      <c r="J2733" s="28">
        <v>7.7346901121082307E-2</v>
      </c>
      <c r="K2733" s="29">
        <v>0.65440406345797397</v>
      </c>
    </row>
    <row r="2734" spans="1:11" x14ac:dyDescent="0.35">
      <c r="A2734" s="9" t="str">
        <f>HYPERLINK("http://www.ensembl.org/id/WBGene00007725", "WBGene00007725")</f>
        <v>WBGene00007725</v>
      </c>
      <c r="B2734" s="9" t="str">
        <f>HYPERLINK("http://www.ncbi.nlm.nih.gov/gene/180272", "180272")</f>
        <v>180272</v>
      </c>
      <c r="C2734" s="9"/>
      <c r="D2734" t="str">
        <f>"C25F9.5"</f>
        <v>C25F9.5</v>
      </c>
      <c r="F2734" t="s">
        <v>11</v>
      </c>
      <c r="G2734" t="s">
        <v>2012</v>
      </c>
      <c r="H2734" s="12">
        <v>-1.7932478524740001</v>
      </c>
      <c r="I2734" s="20">
        <v>-1.76596628326873</v>
      </c>
      <c r="J2734" s="28">
        <v>7.7401505646403496E-2</v>
      </c>
      <c r="K2734" s="29">
        <v>0.65450670739968597</v>
      </c>
    </row>
    <row r="2735" spans="1:11" x14ac:dyDescent="0.35">
      <c r="A2735" s="9" t="str">
        <f>HYPERLINK("http://www.ensembl.org/id/WBGene00000443", "WBGene00000443")</f>
        <v>WBGene00000443</v>
      </c>
      <c r="B2735" s="9" t="str">
        <f>HYPERLINK("http://www.ncbi.nlm.nih.gov/gene/3565545", "3565545")</f>
        <v>3565545</v>
      </c>
      <c r="C2735" s="9" t="str">
        <f>HYPERLINK("http://www.ncbi.nlm.nih.gov/gene/5087", "5087")</f>
        <v>5087</v>
      </c>
      <c r="D2735" t="str">
        <f>"ceh-20"</f>
        <v>ceh-20</v>
      </c>
      <c r="E2735" t="s">
        <v>2222</v>
      </c>
      <c r="F2735" t="s">
        <v>11</v>
      </c>
      <c r="G2735" t="s">
        <v>2223</v>
      </c>
      <c r="H2735" s="12">
        <v>1.41174657971856</v>
      </c>
      <c r="I2735" s="20">
        <v>1.7658663067546601</v>
      </c>
      <c r="J2735" s="28">
        <v>7.7418281050417204E-2</v>
      </c>
      <c r="K2735" s="29">
        <v>0.65450670739968597</v>
      </c>
    </row>
    <row r="2736" spans="1:11" x14ac:dyDescent="0.35">
      <c r="A2736" s="9" t="str">
        <f>HYPERLINK("http://www.ensembl.org/id/WBGene00007516", "WBGene00007516")</f>
        <v>WBGene00007516</v>
      </c>
      <c r="B2736" s="9" t="str">
        <f>HYPERLINK("http://www.ncbi.nlm.nih.gov/gene/181178", "181178")</f>
        <v>181178</v>
      </c>
      <c r="C2736" s="9" t="str">
        <f>HYPERLINK("http://www.ncbi.nlm.nih.gov/gene/2880", "2880")</f>
        <v>2880</v>
      </c>
      <c r="D2736" t="str">
        <f>"gpx-5"</f>
        <v>gpx-5</v>
      </c>
      <c r="E2736" t="s">
        <v>2224</v>
      </c>
      <c r="F2736" t="s">
        <v>11</v>
      </c>
      <c r="G2736" t="s">
        <v>2225</v>
      </c>
      <c r="H2736" s="12">
        <v>1.3964494239332199</v>
      </c>
      <c r="I2736" s="20">
        <v>1.76571299292822</v>
      </c>
      <c r="J2736" s="28">
        <v>7.7444011859722203E-2</v>
      </c>
      <c r="K2736" s="29">
        <v>0.65450670739968597</v>
      </c>
    </row>
    <row r="2737" spans="1:11" x14ac:dyDescent="0.35">
      <c r="A2737" s="9" t="str">
        <f>HYPERLINK("http://www.ensembl.org/id/WBGene00016817", "WBGene00016817")</f>
        <v>WBGene00016817</v>
      </c>
      <c r="B2737" s="9" t="str">
        <f>HYPERLINK("http://www.ncbi.nlm.nih.gov/gene/183658", "183658")</f>
        <v>183658</v>
      </c>
      <c r="C2737" s="9"/>
      <c r="D2737" t="str">
        <f>"C50E3.6"</f>
        <v>C50E3.6</v>
      </c>
      <c r="F2737" t="s">
        <v>11</v>
      </c>
      <c r="H2737" s="12">
        <v>1.5423797631742899</v>
      </c>
      <c r="I2737" s="20">
        <v>1.7649057647584501</v>
      </c>
      <c r="J2737" s="28">
        <v>7.7579604685906606E-2</v>
      </c>
      <c r="K2737" s="29">
        <v>0.655403909908432</v>
      </c>
    </row>
    <row r="2738" spans="1:11" x14ac:dyDescent="0.35">
      <c r="A2738" s="9" t="str">
        <f>HYPERLINK("http://www.ensembl.org/id/WBGene00012839", "WBGene00012839")</f>
        <v>WBGene00012839</v>
      </c>
      <c r="B2738" s="9"/>
      <c r="C2738" s="9"/>
      <c r="D2738" t="str">
        <f>"Y43F8C.18"</f>
        <v>Y43F8C.18</v>
      </c>
      <c r="F2738" t="s">
        <v>481</v>
      </c>
      <c r="H2738" s="12">
        <v>1.7593647946969599</v>
      </c>
      <c r="I2738" s="20">
        <v>1.7647433888446999</v>
      </c>
      <c r="J2738" s="28">
        <v>7.7606902861138596E-2</v>
      </c>
      <c r="K2738" s="29">
        <v>0.655403909908432</v>
      </c>
    </row>
    <row r="2739" spans="1:11" x14ac:dyDescent="0.35">
      <c r="A2739" s="9" t="str">
        <f>HYPERLINK("http://www.ensembl.org/id/WBGene00013921", "WBGene00013921")</f>
        <v>WBGene00013921</v>
      </c>
      <c r="B2739" s="9" t="str">
        <f>HYPERLINK("http://www.ncbi.nlm.nih.gov/gene/191197", "191197")</f>
        <v>191197</v>
      </c>
      <c r="C2739" s="9"/>
      <c r="D2739" t="str">
        <f>"best-22"</f>
        <v>best-22</v>
      </c>
      <c r="E2739" t="s">
        <v>2227</v>
      </c>
      <c r="F2739" t="s">
        <v>11</v>
      </c>
      <c r="G2739" t="s">
        <v>1527</v>
      </c>
      <c r="H2739" s="12">
        <v>1.39536623227227</v>
      </c>
      <c r="I2739" s="20">
        <v>1.7643398241876</v>
      </c>
      <c r="J2739" s="28">
        <v>7.7674782888038099E-2</v>
      </c>
      <c r="K2739" s="29">
        <v>0.65566983333873896</v>
      </c>
    </row>
    <row r="2740" spans="1:11" x14ac:dyDescent="0.35">
      <c r="A2740" s="9" t="str">
        <f>HYPERLINK("http://www.ensembl.org/id/WBGene00006778", "WBGene00006778")</f>
        <v>WBGene00006778</v>
      </c>
      <c r="B2740" s="9" t="str">
        <f>HYPERLINK("http://www.ncbi.nlm.nih.gov/gene/192081", "192081")</f>
        <v>192081</v>
      </c>
      <c r="C2740" s="9"/>
      <c r="D2740" t="str">
        <f>"unc-42"</f>
        <v>unc-42</v>
      </c>
      <c r="F2740" t="s">
        <v>11</v>
      </c>
      <c r="G2740" t="s">
        <v>2226</v>
      </c>
      <c r="H2740" s="12">
        <v>1.70736587992448</v>
      </c>
      <c r="I2740" s="20">
        <v>1.76421882636311</v>
      </c>
      <c r="J2740" s="28">
        <v>7.7695144277740297E-2</v>
      </c>
      <c r="K2740" s="29">
        <v>0.65566983333873896</v>
      </c>
    </row>
    <row r="2741" spans="1:11" x14ac:dyDescent="0.35">
      <c r="A2741" s="9" t="str">
        <f>HYPERLINK("http://www.ensembl.org/id/WBGene00000197", "WBGene00000197")</f>
        <v>WBGene00000197</v>
      </c>
      <c r="B2741" s="9" t="str">
        <f>HYPERLINK("http://www.ncbi.nlm.nih.gov/gene/171985", "171985")</f>
        <v>171985</v>
      </c>
      <c r="C2741" s="9" t="str">
        <f>HYPERLINK("http://www.ncbi.nlm.nih.gov/gene/16", "16")</f>
        <v>16</v>
      </c>
      <c r="D2741" t="str">
        <f>"aars-2"</f>
        <v>aars-2</v>
      </c>
      <c r="E2741" t="s">
        <v>2228</v>
      </c>
      <c r="F2741" t="s">
        <v>11</v>
      </c>
      <c r="G2741" t="s">
        <v>2229</v>
      </c>
      <c r="H2741" s="12">
        <v>-1.3765112701262601</v>
      </c>
      <c r="I2741" s="20">
        <v>-1.76307461976365</v>
      </c>
      <c r="J2741" s="28">
        <v>7.7887905191115395E-2</v>
      </c>
      <c r="K2741" s="29">
        <v>0.65600708416537101</v>
      </c>
    </row>
    <row r="2742" spans="1:11" x14ac:dyDescent="0.35">
      <c r="A2742" s="9" t="str">
        <f>HYPERLINK("http://www.ensembl.org/id/WBGene00007255", "WBGene00007255")</f>
        <v>WBGene00007255</v>
      </c>
      <c r="B2742" s="9" t="str">
        <f>HYPERLINK("http://www.ncbi.nlm.nih.gov/gene/182093", "182093")</f>
        <v>182093</v>
      </c>
      <c r="C2742" s="9"/>
      <c r="D2742" t="str">
        <f>"cnnm-4"</f>
        <v>cnnm-4</v>
      </c>
      <c r="E2742" t="s">
        <v>2234</v>
      </c>
      <c r="F2742" t="s">
        <v>11</v>
      </c>
      <c r="H2742" s="12">
        <v>-1.9468764448462901</v>
      </c>
      <c r="I2742" s="20">
        <v>-1.7629705617898399</v>
      </c>
      <c r="J2742" s="28">
        <v>7.7905454814757205E-2</v>
      </c>
      <c r="K2742" s="29">
        <v>0.65600708416537101</v>
      </c>
    </row>
    <row r="2743" spans="1:11" x14ac:dyDescent="0.35">
      <c r="A2743" s="9" t="str">
        <f>HYPERLINK("http://www.ensembl.org/id/WBGene00000583", "WBGene00000583")</f>
        <v>WBGene00000583</v>
      </c>
      <c r="B2743" s="9" t="str">
        <f>HYPERLINK("http://www.ncbi.nlm.nih.gov/gene/183582", "183582")</f>
        <v>183582</v>
      </c>
      <c r="C2743" s="9"/>
      <c r="D2743" t="str">
        <f>"cof-2"</f>
        <v>cof-2</v>
      </c>
      <c r="E2743" t="s">
        <v>2233</v>
      </c>
      <c r="F2743" t="s">
        <v>11</v>
      </c>
      <c r="G2743" t="s">
        <v>25</v>
      </c>
      <c r="H2743" s="12">
        <v>-1.53116778323458</v>
      </c>
      <c r="I2743" s="20">
        <v>-1.76374586133908</v>
      </c>
      <c r="J2743" s="28">
        <v>7.7774776057240605E-2</v>
      </c>
      <c r="K2743" s="29">
        <v>0.65600708416537101</v>
      </c>
    </row>
    <row r="2744" spans="1:11" x14ac:dyDescent="0.35">
      <c r="A2744" s="9" t="str">
        <f>HYPERLINK("http://www.ensembl.org/id/WBGene00018363", "WBGene00018363")</f>
        <v>WBGene00018363</v>
      </c>
      <c r="B2744" s="9" t="str">
        <f>HYPERLINK("http://www.ncbi.nlm.nih.gov/gene/185678", "185678")</f>
        <v>185678</v>
      </c>
      <c r="C2744" s="9"/>
      <c r="D2744" t="str">
        <f>"nlp-52"</f>
        <v>nlp-52</v>
      </c>
      <c r="E2744" t="s">
        <v>76</v>
      </c>
      <c r="F2744" t="s">
        <v>11</v>
      </c>
      <c r="G2744" t="s">
        <v>77</v>
      </c>
      <c r="H2744" s="12">
        <v>1.92479463141471</v>
      </c>
      <c r="I2744" s="20">
        <v>1.76326380094626</v>
      </c>
      <c r="J2744" s="28">
        <v>7.7856007583444797E-2</v>
      </c>
      <c r="K2744" s="29">
        <v>0.65600708416537101</v>
      </c>
    </row>
    <row r="2745" spans="1:11" x14ac:dyDescent="0.35">
      <c r="A2745" s="9" t="str">
        <f>HYPERLINK("http://www.ensembl.org/id/WBGene00014018", "WBGene00014018")</f>
        <v>WBGene00014018</v>
      </c>
      <c r="B2745" s="9" t="str">
        <f>HYPERLINK("http://www.ncbi.nlm.nih.gov/gene/176396", "176396")</f>
        <v>176396</v>
      </c>
      <c r="C2745" s="9"/>
      <c r="D2745" t="str">
        <f>"ZK632.11"</f>
        <v>ZK632.11</v>
      </c>
      <c r="F2745" t="s">
        <v>11</v>
      </c>
      <c r="G2745" t="s">
        <v>2232</v>
      </c>
      <c r="H2745" s="12">
        <v>-1.4266633286506301</v>
      </c>
      <c r="I2745" s="20">
        <v>-1.7632804736066501</v>
      </c>
      <c r="J2745" s="28">
        <v>7.7853196936719896E-2</v>
      </c>
      <c r="K2745" s="29">
        <v>0.65600708416537101</v>
      </c>
    </row>
    <row r="2746" spans="1:11" x14ac:dyDescent="0.35">
      <c r="A2746" s="9" t="str">
        <f>HYPERLINK("http://www.ensembl.org/id/WBGene00011639", "WBGene00011639")</f>
        <v>WBGene00011639</v>
      </c>
      <c r="B2746" s="9" t="str">
        <f>HYPERLINK("http://www.ncbi.nlm.nih.gov/gene/174269", "174269")</f>
        <v>174269</v>
      </c>
      <c r="C2746" s="9"/>
      <c r="D2746" t="str">
        <f>"ztf-17"</f>
        <v>ztf-17</v>
      </c>
      <c r="E2746" t="s">
        <v>2230</v>
      </c>
      <c r="F2746" t="s">
        <v>11</v>
      </c>
      <c r="G2746" t="s">
        <v>2231</v>
      </c>
      <c r="H2746" s="12">
        <v>-1.41834535670573</v>
      </c>
      <c r="I2746" s="20">
        <v>-1.7633041201364099</v>
      </c>
      <c r="J2746" s="28">
        <v>7.7849210789495499E-2</v>
      </c>
      <c r="K2746" s="29">
        <v>0.65600708416537101</v>
      </c>
    </row>
    <row r="2747" spans="1:11" x14ac:dyDescent="0.35">
      <c r="A2747" s="9" t="str">
        <f>HYPERLINK("http://www.ensembl.org/id/WBGene00000973", "WBGene00000973")</f>
        <v>WBGene00000973</v>
      </c>
      <c r="B2747" s="9" t="str">
        <f>HYPERLINK("http://www.ncbi.nlm.nih.gov/gene/175737", "175737")</f>
        <v>175737</v>
      </c>
      <c r="C2747" s="9" t="str">
        <f>HYPERLINK("http://www.ncbi.nlm.nih.gov/gene/115817", "115817")</f>
        <v>115817</v>
      </c>
      <c r="D2747" t="str">
        <f>"dhs-9"</f>
        <v>dhs-9</v>
      </c>
      <c r="E2747" t="s">
        <v>488</v>
      </c>
      <c r="F2747" t="s">
        <v>11</v>
      </c>
      <c r="G2747" t="s">
        <v>489</v>
      </c>
      <c r="H2747" s="12">
        <v>-1.39768180132958</v>
      </c>
      <c r="I2747" s="20">
        <v>-1.76273935267403</v>
      </c>
      <c r="J2747" s="28">
        <v>7.7944460305177196E-2</v>
      </c>
      <c r="K2747" s="29">
        <v>0.65609642980379801</v>
      </c>
    </row>
    <row r="2748" spans="1:11" x14ac:dyDescent="0.35">
      <c r="A2748" s="9" t="str">
        <f>HYPERLINK("http://www.ensembl.org/id/WBGene00008148", "WBGene00008148")</f>
        <v>WBGene00008148</v>
      </c>
      <c r="B2748" s="9" t="str">
        <f>HYPERLINK("http://www.ncbi.nlm.nih.gov/gene/177857", "177857")</f>
        <v>177857</v>
      </c>
      <c r="C2748" s="9" t="str">
        <f>HYPERLINK("http://www.ncbi.nlm.nih.gov/gene/9695", "9695")</f>
        <v>9695</v>
      </c>
      <c r="D2748" t="str">
        <f>"C47E12.3"</f>
        <v>C47E12.3</v>
      </c>
      <c r="E2748" t="s">
        <v>932</v>
      </c>
      <c r="F2748" t="s">
        <v>11</v>
      </c>
      <c r="G2748" t="s">
        <v>2235</v>
      </c>
      <c r="H2748" s="12">
        <v>-1.4366941648087601</v>
      </c>
      <c r="I2748" s="20">
        <v>-1.7618959259577001</v>
      </c>
      <c r="J2748" s="28">
        <v>7.80868830906606E-2</v>
      </c>
      <c r="K2748" s="29">
        <v>0.65705590702578398</v>
      </c>
    </row>
    <row r="2749" spans="1:11" x14ac:dyDescent="0.35">
      <c r="A2749" s="9" t="str">
        <f>HYPERLINK("http://www.ensembl.org/id/WBGene00018043", "WBGene00018043")</f>
        <v>WBGene00018043</v>
      </c>
      <c r="B2749" s="9" t="str">
        <f>HYPERLINK("http://www.ncbi.nlm.nih.gov/gene/185279", "185279")</f>
        <v>185279</v>
      </c>
      <c r="C2749" s="9"/>
      <c r="D2749" t="str">
        <f>"F35D11.1"</f>
        <v>F35D11.1</v>
      </c>
      <c r="F2749" t="s">
        <v>11</v>
      </c>
      <c r="H2749" s="12">
        <v>1.75899147485219</v>
      </c>
      <c r="I2749" s="20">
        <v>1.7607400855163899</v>
      </c>
      <c r="J2749" s="28">
        <v>7.8282404760972299E-2</v>
      </c>
      <c r="K2749" s="29">
        <v>0.65831389749550895</v>
      </c>
    </row>
    <row r="2750" spans="1:11" x14ac:dyDescent="0.35">
      <c r="A2750" s="9" t="str">
        <f>HYPERLINK("http://www.ensembl.org/id/WBGene00016380", "WBGene00016380")</f>
        <v>WBGene00016380</v>
      </c>
      <c r="B2750" s="9" t="str">
        <f>HYPERLINK("http://www.ncbi.nlm.nih.gov/gene/177567", "177567")</f>
        <v>177567</v>
      </c>
      <c r="C2750" s="9" t="str">
        <f>HYPERLINK("http://www.ncbi.nlm.nih.gov/gene/57089", "57089")</f>
        <v>57089</v>
      </c>
      <c r="D2750" t="str">
        <f>"ntp-1"</f>
        <v>ntp-1</v>
      </c>
      <c r="E2750" t="s">
        <v>2236</v>
      </c>
      <c r="F2750" t="s">
        <v>11</v>
      </c>
      <c r="G2750" t="s">
        <v>423</v>
      </c>
      <c r="H2750" s="12">
        <v>-1.5667896957798699</v>
      </c>
      <c r="I2750" s="20">
        <v>-1.7606128046132099</v>
      </c>
      <c r="J2750" s="28">
        <v>7.8303959902126005E-2</v>
      </c>
      <c r="K2750" s="29">
        <v>0.65831389749550895</v>
      </c>
    </row>
    <row r="2751" spans="1:11" x14ac:dyDescent="0.35">
      <c r="A2751" s="9" t="str">
        <f>HYPERLINK("http://www.ensembl.org/id/WBGene00011471", "WBGene00011471")</f>
        <v>WBGene00011471</v>
      </c>
      <c r="B2751" s="9" t="str">
        <f>HYPERLINK("http://www.ncbi.nlm.nih.gov/gene/188124", "188124")</f>
        <v>188124</v>
      </c>
      <c r="C2751" s="9"/>
      <c r="D2751" t="str">
        <f>"T05C12.8"</f>
        <v>T05C12.8</v>
      </c>
      <c r="F2751" t="s">
        <v>11</v>
      </c>
      <c r="H2751" s="12">
        <v>2.13181150651734</v>
      </c>
      <c r="I2751" s="20">
        <v>1.7603389646179</v>
      </c>
      <c r="J2751" s="28">
        <v>7.8350351342190303E-2</v>
      </c>
      <c r="K2751" s="29">
        <v>0.65831389749550895</v>
      </c>
    </row>
    <row r="2752" spans="1:11" x14ac:dyDescent="0.35">
      <c r="A2752" s="9" t="str">
        <f>HYPERLINK("http://www.ensembl.org/id/WBGene00021855", "WBGene00021855")</f>
        <v>WBGene00021855</v>
      </c>
      <c r="B2752" s="9" t="str">
        <f>HYPERLINK("http://www.ncbi.nlm.nih.gov/gene/175375", "175375")</f>
        <v>175375</v>
      </c>
      <c r="C2752" s="9"/>
      <c r="D2752" t="str">
        <f>"Y54F10AR.2"</f>
        <v>Y54F10AR.2</v>
      </c>
      <c r="F2752" t="s">
        <v>11</v>
      </c>
      <c r="H2752" s="12">
        <v>-1.4233635360104</v>
      </c>
      <c r="I2752" s="20">
        <v>-1.7604194665768</v>
      </c>
      <c r="J2752" s="28">
        <v>7.8336711123641906E-2</v>
      </c>
      <c r="K2752" s="29">
        <v>0.65831389749550895</v>
      </c>
    </row>
    <row r="2753" spans="1:11" x14ac:dyDescent="0.35">
      <c r="A2753" s="9" t="str">
        <f>HYPERLINK("http://www.ensembl.org/id/WBGene00023502", "WBGene00023502")</f>
        <v>WBGene00023502</v>
      </c>
      <c r="B2753" s="9" t="str">
        <f>HYPERLINK("http://www.ncbi.nlm.nih.gov/gene/3564777", "3564777")</f>
        <v>3564777</v>
      </c>
      <c r="C2753" s="9"/>
      <c r="D2753" t="str">
        <f>"clec-184"</f>
        <v>clec-184</v>
      </c>
      <c r="E2753" t="s">
        <v>46</v>
      </c>
      <c r="F2753" t="s">
        <v>11</v>
      </c>
      <c r="G2753" t="s">
        <v>47</v>
      </c>
      <c r="H2753" s="12">
        <v>2.5286300183517101</v>
      </c>
      <c r="I2753" s="20">
        <v>1.75993942540504</v>
      </c>
      <c r="J2753" s="28">
        <v>7.84180777099555E-2</v>
      </c>
      <c r="K2753" s="29">
        <v>0.65864344004588504</v>
      </c>
    </row>
    <row r="2754" spans="1:11" x14ac:dyDescent="0.35">
      <c r="A2754" s="9" t="str">
        <f>HYPERLINK("http://www.ensembl.org/id/WBGene00019226", "WBGene00019226")</f>
        <v>WBGene00019226</v>
      </c>
      <c r="B2754" s="9" t="str">
        <f>HYPERLINK("http://www.ncbi.nlm.nih.gov/gene/186761", "186761")</f>
        <v>186761</v>
      </c>
      <c r="C2754" s="9"/>
      <c r="D2754" t="str">
        <f>"H22K11.3"</f>
        <v>H22K11.3</v>
      </c>
      <c r="F2754" t="s">
        <v>11</v>
      </c>
      <c r="H2754" s="12">
        <v>1.88313004643947</v>
      </c>
      <c r="I2754" s="20">
        <v>1.75964434641221</v>
      </c>
      <c r="J2754" s="28">
        <v>7.8468127484788194E-2</v>
      </c>
      <c r="K2754" s="29">
        <v>0.65865757499052902</v>
      </c>
    </row>
    <row r="2755" spans="1:11" x14ac:dyDescent="0.35">
      <c r="A2755" s="9" t="str">
        <f>HYPERLINK("http://www.ensembl.org/id/WBGene00021321", "WBGene00021321")</f>
        <v>WBGene00021321</v>
      </c>
      <c r="B2755" s="9" t="str">
        <f>HYPERLINK("http://www.ncbi.nlm.nih.gov/gene/180797", "180797")</f>
        <v>180797</v>
      </c>
      <c r="C2755" s="9"/>
      <c r="D2755" t="str">
        <f>"Y34B4A.5"</f>
        <v>Y34B4A.5</v>
      </c>
      <c r="F2755" t="s">
        <v>11</v>
      </c>
      <c r="H2755" s="12">
        <v>-2.9364153422614798</v>
      </c>
      <c r="I2755" s="20">
        <v>-1.75959339378485</v>
      </c>
      <c r="J2755" s="28">
        <v>7.8476772437848397E-2</v>
      </c>
      <c r="K2755" s="29">
        <v>0.65865757499052902</v>
      </c>
    </row>
    <row r="2756" spans="1:11" x14ac:dyDescent="0.35">
      <c r="A2756" s="9" t="str">
        <f>HYPERLINK("http://www.ensembl.org/id/WBGene00005024", "WBGene00005024")</f>
        <v>WBGene00005024</v>
      </c>
      <c r="B2756" s="9" t="str">
        <f>HYPERLINK("http://www.ncbi.nlm.nih.gov/gene/190099", "190099")</f>
        <v>190099</v>
      </c>
      <c r="C2756" s="9"/>
      <c r="D2756" t="str">
        <f>"sqv-6"</f>
        <v>sqv-6</v>
      </c>
      <c r="E2756" t="s">
        <v>2237</v>
      </c>
      <c r="F2756" t="s">
        <v>11</v>
      </c>
      <c r="G2756" t="s">
        <v>2238</v>
      </c>
      <c r="H2756" s="12">
        <v>-1.45479785692907</v>
      </c>
      <c r="I2756" s="20">
        <v>-1.7587345752594199</v>
      </c>
      <c r="J2756" s="28">
        <v>7.8622601829279798E-2</v>
      </c>
      <c r="K2756" s="29">
        <v>0.65964191643694203</v>
      </c>
    </row>
    <row r="2757" spans="1:11" x14ac:dyDescent="0.35">
      <c r="A2757" s="9" t="str">
        <f>HYPERLINK("http://www.ensembl.org/id/WBGene00017785", "WBGene00017785")</f>
        <v>WBGene00017785</v>
      </c>
      <c r="B2757" s="9" t="str">
        <f>HYPERLINK("http://www.ncbi.nlm.nih.gov/gene/179133", "179133")</f>
        <v>179133</v>
      </c>
      <c r="C2757" s="9"/>
      <c r="D2757" t="str">
        <f>"F25E5.4"</f>
        <v>F25E5.4</v>
      </c>
      <c r="F2757" t="s">
        <v>11</v>
      </c>
      <c r="G2757" t="s">
        <v>1646</v>
      </c>
      <c r="H2757" s="12">
        <v>1.6919081080371901</v>
      </c>
      <c r="I2757" s="20">
        <v>1.7577367859188</v>
      </c>
      <c r="J2757" s="28">
        <v>7.8792305627226306E-2</v>
      </c>
      <c r="K2757" s="29">
        <v>0.66055368919498103</v>
      </c>
    </row>
    <row r="2758" spans="1:11" x14ac:dyDescent="0.35">
      <c r="A2758" s="9" t="str">
        <f>HYPERLINK("http://www.ensembl.org/id/WBGene00007111", "WBGene00007111")</f>
        <v>WBGene00007111</v>
      </c>
      <c r="B2758" s="9" t="str">
        <f>HYPERLINK("http://www.ncbi.nlm.nih.gov/gene/178053", "178053")</f>
        <v>178053</v>
      </c>
      <c r="C2758" s="9" t="str">
        <f>HYPERLINK("http://www.ncbi.nlm.nih.gov/gene/9733", "9733")</f>
        <v>9733</v>
      </c>
      <c r="D2758" t="str">
        <f>"sart-3"</f>
        <v>sart-3</v>
      </c>
      <c r="E2758" t="s">
        <v>2239</v>
      </c>
      <c r="F2758" t="s">
        <v>11</v>
      </c>
      <c r="G2758" t="s">
        <v>2240</v>
      </c>
      <c r="H2758" s="12">
        <v>-1.40862342918608</v>
      </c>
      <c r="I2758" s="20">
        <v>-1.7575915051965401</v>
      </c>
      <c r="J2758" s="28">
        <v>7.8817039778004097E-2</v>
      </c>
      <c r="K2758" s="29">
        <v>0.66055368919498103</v>
      </c>
    </row>
    <row r="2759" spans="1:11" x14ac:dyDescent="0.35">
      <c r="A2759" s="9" t="str">
        <f>HYPERLINK("http://www.ensembl.org/id/WBGene00006956", "WBGene00006956")</f>
        <v>WBGene00006956</v>
      </c>
      <c r="B2759" s="9" t="str">
        <f>HYPERLINK("http://www.ncbi.nlm.nih.gov/gene/174224", "174224")</f>
        <v>174224</v>
      </c>
      <c r="C2759" s="9"/>
      <c r="D2759" t="str">
        <f>"wrt-10"</f>
        <v>wrt-10</v>
      </c>
      <c r="E2759" t="s">
        <v>1152</v>
      </c>
      <c r="F2759" t="s">
        <v>11</v>
      </c>
      <c r="H2759" s="12">
        <v>1.4507911069064301</v>
      </c>
      <c r="I2759" s="20">
        <v>1.75767245499869</v>
      </c>
      <c r="J2759" s="28">
        <v>7.8803257234950103E-2</v>
      </c>
      <c r="K2759" s="29">
        <v>0.66055368919498103</v>
      </c>
    </row>
    <row r="2760" spans="1:11" x14ac:dyDescent="0.35">
      <c r="A2760" s="9" t="str">
        <f>HYPERLINK("http://www.ensembl.org/id/WBGene00010205", "WBGene00010205")</f>
        <v>WBGene00010205</v>
      </c>
      <c r="B2760" s="9" t="str">
        <f>HYPERLINK("http://www.ncbi.nlm.nih.gov/gene/179646", "179646")</f>
        <v>179646</v>
      </c>
      <c r="C2760" s="9"/>
      <c r="D2760" t="str">
        <f>"F57F5.3"</f>
        <v>F57F5.3</v>
      </c>
      <c r="F2760" t="s">
        <v>11</v>
      </c>
      <c r="G2760" t="s">
        <v>25</v>
      </c>
      <c r="H2760" s="12">
        <v>2.8325983262899599</v>
      </c>
      <c r="I2760" s="20">
        <v>1.7568009245662599</v>
      </c>
      <c r="J2760" s="28">
        <v>7.8951747456128304E-2</v>
      </c>
      <c r="K2760" s="29">
        <v>0.66144273992795499</v>
      </c>
    </row>
    <row r="2761" spans="1:11" x14ac:dyDescent="0.35">
      <c r="A2761" s="9" t="str">
        <f>HYPERLINK("http://www.ensembl.org/id/WBGene00008509", "WBGene00008509")</f>
        <v>WBGene00008509</v>
      </c>
      <c r="B2761" s="9" t="str">
        <f>HYPERLINK("http://www.ncbi.nlm.nih.gov/gene/184067", "184067")</f>
        <v>184067</v>
      </c>
      <c r="C2761" s="9"/>
      <c r="D2761" t="str">
        <f>"F01G10.6"</f>
        <v>F01G10.6</v>
      </c>
      <c r="F2761" t="s">
        <v>11</v>
      </c>
      <c r="H2761" s="12">
        <v>1.8224859882772799</v>
      </c>
      <c r="I2761" s="20">
        <v>1.7557357976152499</v>
      </c>
      <c r="J2761" s="28">
        <v>7.9133531378434804E-2</v>
      </c>
      <c r="K2761" s="29">
        <v>0.66261637953590602</v>
      </c>
    </row>
    <row r="2762" spans="1:11" x14ac:dyDescent="0.35">
      <c r="A2762" s="9" t="str">
        <f>HYPERLINK("http://www.ensembl.org/id/WBGene00019408", "WBGene00019408")</f>
        <v>WBGene00019408</v>
      </c>
      <c r="B2762" s="9" t="str">
        <f>HYPERLINK("http://www.ncbi.nlm.nih.gov/gene/173977", "173977")</f>
        <v>173977</v>
      </c>
      <c r="C2762" s="9"/>
      <c r="D2762" t="str">
        <f>"K05F1.6"</f>
        <v>K05F1.6</v>
      </c>
      <c r="F2762" t="s">
        <v>11</v>
      </c>
      <c r="G2762" t="s">
        <v>230</v>
      </c>
      <c r="H2762" s="12">
        <v>1.46154018804449</v>
      </c>
      <c r="I2762" s="20">
        <v>1.7556441362236399</v>
      </c>
      <c r="J2762" s="28">
        <v>7.9149191011819497E-2</v>
      </c>
      <c r="K2762" s="29">
        <v>0.66261637953590602</v>
      </c>
    </row>
    <row r="2763" spans="1:11" x14ac:dyDescent="0.35">
      <c r="A2763" s="9" t="str">
        <f>HYPERLINK("http://www.ensembl.org/id/WBGene00011977", "WBGene00011977")</f>
        <v>WBGene00011977</v>
      </c>
      <c r="B2763" s="9" t="str">
        <f>HYPERLINK("http://www.ncbi.nlm.nih.gov/gene/174444", "174444")</f>
        <v>174444</v>
      </c>
      <c r="C2763" s="9"/>
      <c r="D2763" t="str">
        <f>"T24B8.3"</f>
        <v>T24B8.3</v>
      </c>
      <c r="F2763" t="s">
        <v>11</v>
      </c>
      <c r="H2763" s="12">
        <v>1.4090497340422199</v>
      </c>
      <c r="I2763" s="20">
        <v>1.7551310959289199</v>
      </c>
      <c r="J2763" s="28">
        <v>7.9236886479492299E-2</v>
      </c>
      <c r="K2763" s="29">
        <v>0.66311028576427</v>
      </c>
    </row>
    <row r="2764" spans="1:11" x14ac:dyDescent="0.35">
      <c r="A2764" s="9" t="str">
        <f>HYPERLINK("http://www.ensembl.org/id/WBGene00008746", "WBGene00008746")</f>
        <v>WBGene00008746</v>
      </c>
      <c r="B2764" s="9" t="str">
        <f>HYPERLINK("http://www.ncbi.nlm.nih.gov/gene/181264", "181264")</f>
        <v>181264</v>
      </c>
      <c r="C2764" s="9" t="str">
        <f>HYPERLINK("http://www.ncbi.nlm.nih.gov/gene/26289", "26289")</f>
        <v>26289</v>
      </c>
      <c r="D2764" t="str">
        <f>"F13E6.2"</f>
        <v>F13E6.2</v>
      </c>
      <c r="F2764" t="s">
        <v>11</v>
      </c>
      <c r="G2764" t="s">
        <v>1392</v>
      </c>
      <c r="H2764" s="12">
        <v>2.3354877758153001</v>
      </c>
      <c r="I2764" s="20">
        <v>1.7542950945088001</v>
      </c>
      <c r="J2764" s="28">
        <v>7.9379955903700297E-2</v>
      </c>
      <c r="K2764" s="29">
        <v>0.66334656821370697</v>
      </c>
    </row>
    <row r="2765" spans="1:11" x14ac:dyDescent="0.35">
      <c r="A2765" s="9" t="str">
        <f>HYPERLINK("http://www.ensembl.org/id/WBGene00009873", "WBGene00009873")</f>
        <v>WBGene00009873</v>
      </c>
      <c r="B2765" s="9" t="str">
        <f>HYPERLINK("http://www.ncbi.nlm.nih.gov/gene/186026", "186026")</f>
        <v>186026</v>
      </c>
      <c r="C2765" s="9"/>
      <c r="D2765" t="str">
        <f>"F49C12.3"</f>
        <v>F49C12.3</v>
      </c>
      <c r="F2765" t="s">
        <v>11</v>
      </c>
      <c r="H2765" s="12">
        <v>2.1725122378615098</v>
      </c>
      <c r="I2765" s="20">
        <v>1.7543106088571101</v>
      </c>
      <c r="J2765" s="28">
        <v>7.9377298938172899E-2</v>
      </c>
      <c r="K2765" s="29">
        <v>0.66334656821370697</v>
      </c>
    </row>
    <row r="2766" spans="1:11" x14ac:dyDescent="0.35">
      <c r="A2766" s="9" t="str">
        <f>HYPERLINK("http://www.ensembl.org/id/WBGene00012353", "WBGene00012353")</f>
        <v>WBGene00012353</v>
      </c>
      <c r="B2766" s="9" t="str">
        <f>HYPERLINK("http://www.ncbi.nlm.nih.gov/gene/173236", "173236")</f>
        <v>173236</v>
      </c>
      <c r="C2766" s="9" t="str">
        <f>HYPERLINK("http://www.ncbi.nlm.nih.gov/gene/22876", "22876")</f>
        <v>22876</v>
      </c>
      <c r="D2766" t="str">
        <f>"W09C5.7"</f>
        <v>W09C5.7</v>
      </c>
      <c r="F2766" t="s">
        <v>11</v>
      </c>
      <c r="G2766" t="s">
        <v>2241</v>
      </c>
      <c r="H2766" s="12">
        <v>-1.39435751366904</v>
      </c>
      <c r="I2766" s="20">
        <v>-1.75479305857027</v>
      </c>
      <c r="J2766" s="28">
        <v>7.9294711359261499E-2</v>
      </c>
      <c r="K2766" s="29">
        <v>0.66334656821370697</v>
      </c>
    </row>
    <row r="2767" spans="1:11" x14ac:dyDescent="0.35">
      <c r="A2767" s="9" t="str">
        <f>HYPERLINK("http://www.ensembl.org/id/WBGene00194985", "WBGene00194985")</f>
        <v>WBGene00194985</v>
      </c>
      <c r="B2767" s="9" t="str">
        <f>HYPERLINK("http://www.ncbi.nlm.nih.gov/gene/13184191", "13184191")</f>
        <v>13184191</v>
      </c>
      <c r="C2767" s="9"/>
      <c r="D2767" t="str">
        <f>"Y25C1A.14"</f>
        <v>Y25C1A.14</v>
      </c>
      <c r="F2767" t="s">
        <v>11</v>
      </c>
      <c r="H2767" s="12">
        <v>-1.4223678965032001</v>
      </c>
      <c r="I2767" s="20">
        <v>-1.7545921761500001</v>
      </c>
      <c r="J2767" s="28">
        <v>7.9329090682783696E-2</v>
      </c>
      <c r="K2767" s="29">
        <v>0.66334656821370697</v>
      </c>
    </row>
    <row r="2768" spans="1:11" x14ac:dyDescent="0.35">
      <c r="A2768" s="9" t="str">
        <f>HYPERLINK("http://www.ensembl.org/id/WBGene00012274", "WBGene00012274")</f>
        <v>WBGene00012274</v>
      </c>
      <c r="B2768" s="9" t="str">
        <f>HYPERLINK("http://www.ncbi.nlm.nih.gov/gene/173177", "173177")</f>
        <v>173177</v>
      </c>
      <c r="C2768" s="9"/>
      <c r="D2768" t="str">
        <f>"W05B5.1"</f>
        <v>W05B5.1</v>
      </c>
      <c r="F2768" t="s">
        <v>11</v>
      </c>
      <c r="H2768" s="12">
        <v>1.3892052946743401</v>
      </c>
      <c r="I2768" s="20">
        <v>1.7537696402873399</v>
      </c>
      <c r="J2768" s="28">
        <v>7.9469987166150904E-2</v>
      </c>
      <c r="K2768" s="29">
        <v>0.66385882988470102</v>
      </c>
    </row>
    <row r="2769" spans="1:11" x14ac:dyDescent="0.35">
      <c r="A2769" s="9" t="str">
        <f>HYPERLINK("http://www.ensembl.org/id/WBGene00016331", "WBGene00016331")</f>
        <v>WBGene00016331</v>
      </c>
      <c r="B2769" s="9" t="str">
        <f>HYPERLINK("http://www.ncbi.nlm.nih.gov/gene/172253", "172253")</f>
        <v>172253</v>
      </c>
      <c r="C2769" s="9" t="str">
        <f>HYPERLINK("http://www.ncbi.nlm.nih.gov/gene/114883", "114883")</f>
        <v>114883</v>
      </c>
      <c r="D2769" t="str">
        <f>"obr-4"</f>
        <v>obr-4</v>
      </c>
      <c r="E2769" t="s">
        <v>2242</v>
      </c>
      <c r="F2769" t="s">
        <v>11</v>
      </c>
      <c r="G2769" t="s">
        <v>2243</v>
      </c>
      <c r="H2769" s="12">
        <v>-1.3717340927727899</v>
      </c>
      <c r="I2769" s="20">
        <v>-1.7534735053668999</v>
      </c>
      <c r="J2769" s="28">
        <v>7.9520763455848506E-2</v>
      </c>
      <c r="K2769" s="29">
        <v>0.66404292027858203</v>
      </c>
    </row>
    <row r="2770" spans="1:11" x14ac:dyDescent="0.35">
      <c r="A2770" s="9" t="str">
        <f>HYPERLINK("http://www.ensembl.org/id/WBGene00017332", "WBGene00017332")</f>
        <v>WBGene00017332</v>
      </c>
      <c r="B2770" s="9" t="str">
        <f>HYPERLINK("http://www.ncbi.nlm.nih.gov/gene/184293", "184293")</f>
        <v>184293</v>
      </c>
      <c r="C2770" s="9"/>
      <c r="D2770" t="str">
        <f>"ugt-37"</f>
        <v>ugt-37</v>
      </c>
      <c r="E2770" t="s">
        <v>103</v>
      </c>
      <c r="F2770" t="s">
        <v>11</v>
      </c>
      <c r="G2770" t="s">
        <v>104</v>
      </c>
      <c r="H2770" s="12">
        <v>-2.0677652696506499</v>
      </c>
      <c r="I2770" s="20">
        <v>-1.7530989116831299</v>
      </c>
      <c r="J2770" s="28">
        <v>7.9585030330100601E-2</v>
      </c>
      <c r="K2770" s="29">
        <v>0.66433949089859201</v>
      </c>
    </row>
    <row r="2771" spans="1:11" x14ac:dyDescent="0.35">
      <c r="A2771" s="9" t="str">
        <f>HYPERLINK("http://www.ensembl.org/id/WBGene00012840", "WBGene00012840")</f>
        <v>WBGene00012840</v>
      </c>
      <c r="B2771" s="9" t="str">
        <f>HYPERLINK("http://www.ncbi.nlm.nih.gov/gene/259344", "259344")</f>
        <v>259344</v>
      </c>
      <c r="C2771" s="9"/>
      <c r="D2771" t="str">
        <f>"grsp-1"</f>
        <v>grsp-1</v>
      </c>
      <c r="E2771" t="s">
        <v>1437</v>
      </c>
      <c r="F2771" t="s">
        <v>11</v>
      </c>
      <c r="H2771" s="12">
        <v>2.5560981785708901</v>
      </c>
      <c r="I2771" s="20">
        <v>1.7528956136149401</v>
      </c>
      <c r="J2771" s="28">
        <v>7.9619926677608699E-2</v>
      </c>
      <c r="K2771" s="29">
        <v>0.664390764107196</v>
      </c>
    </row>
    <row r="2772" spans="1:11" x14ac:dyDescent="0.35">
      <c r="A2772" s="9" t="str">
        <f>HYPERLINK("http://www.ensembl.org/id/WBGene00009505", "WBGene00009505")</f>
        <v>WBGene00009505</v>
      </c>
      <c r="B2772" s="9" t="str">
        <f>HYPERLINK("http://www.ncbi.nlm.nih.gov/gene/174439", "174439")</f>
        <v>174439</v>
      </c>
      <c r="C2772" s="9"/>
      <c r="D2772" t="str">
        <f>"F37B12.3"</f>
        <v>F37B12.3</v>
      </c>
      <c r="F2772" t="s">
        <v>11</v>
      </c>
      <c r="G2772" t="s">
        <v>2244</v>
      </c>
      <c r="H2772" s="12">
        <v>-1.4150514549229301</v>
      </c>
      <c r="I2772" s="20">
        <v>-1.75263722854861</v>
      </c>
      <c r="J2772" s="28">
        <v>7.9664296722053898E-2</v>
      </c>
      <c r="K2772" s="29">
        <v>0.66452102529233803</v>
      </c>
    </row>
    <row r="2773" spans="1:11" x14ac:dyDescent="0.35">
      <c r="A2773" s="9" t="str">
        <f>HYPERLINK("http://www.ensembl.org/id/WBGene00021357", "WBGene00021357")</f>
        <v>WBGene00021357</v>
      </c>
      <c r="B2773" s="9" t="str">
        <f>HYPERLINK("http://www.ncbi.nlm.nih.gov/gene/177132", "177132")</f>
        <v>177132</v>
      </c>
      <c r="C2773" s="9"/>
      <c r="D2773" t="str">
        <f>"Y37E11AL.1"</f>
        <v>Y37E11AL.1</v>
      </c>
      <c r="F2773" t="s">
        <v>11</v>
      </c>
      <c r="G2773" t="s">
        <v>25</v>
      </c>
      <c r="H2773" s="12">
        <v>2.0522591873277198</v>
      </c>
      <c r="I2773" s="20">
        <v>1.752199849653</v>
      </c>
      <c r="J2773" s="28">
        <v>7.9739449505438001E-2</v>
      </c>
      <c r="K2773" s="29">
        <v>0.66490787451196298</v>
      </c>
    </row>
    <row r="2774" spans="1:11" x14ac:dyDescent="0.35">
      <c r="A2774" s="9" t="str">
        <f>HYPERLINK("http://www.ensembl.org/id/WBGene00044258", "WBGene00044258")</f>
        <v>WBGene00044258</v>
      </c>
      <c r="B2774" s="9" t="str">
        <f>HYPERLINK("http://www.ncbi.nlm.nih.gov/gene/3565693", "3565693")</f>
        <v>3565693</v>
      </c>
      <c r="C2774" s="9"/>
      <c r="D2774" t="str">
        <f>"Y57G11C.51"</f>
        <v>Y57G11C.51</v>
      </c>
      <c r="F2774" t="s">
        <v>11</v>
      </c>
      <c r="H2774" s="12">
        <v>-1.93358698814286</v>
      </c>
      <c r="I2774" s="20">
        <v>-1.7518630797166399</v>
      </c>
      <c r="J2774" s="28">
        <v>7.9797354378606702E-2</v>
      </c>
      <c r="K2774" s="29">
        <v>0.66515067470133005</v>
      </c>
    </row>
    <row r="2775" spans="1:11" x14ac:dyDescent="0.35">
      <c r="A2775" s="9" t="str">
        <f>HYPERLINK("http://www.ensembl.org/id/WBGene00015850", "WBGene00015850")</f>
        <v>WBGene00015850</v>
      </c>
      <c r="B2775" s="9" t="str">
        <f>HYPERLINK("http://www.ncbi.nlm.nih.gov/gene/182678", "182678")</f>
        <v>182678</v>
      </c>
      <c r="C2775" s="9"/>
      <c r="D2775" t="str">
        <f>"C16C8.12"</f>
        <v>C16C8.12</v>
      </c>
      <c r="F2775" t="s">
        <v>11</v>
      </c>
      <c r="H2775" s="12">
        <v>-2.1023763769314798</v>
      </c>
      <c r="I2775" s="20">
        <v>-1.7515546616982201</v>
      </c>
      <c r="J2775" s="28">
        <v>7.9850414346158902E-2</v>
      </c>
      <c r="K2775" s="29">
        <v>0.66533888364349003</v>
      </c>
    </row>
    <row r="2776" spans="1:11" x14ac:dyDescent="0.35">
      <c r="A2776" s="9" t="str">
        <f>HYPERLINK("http://www.ensembl.org/id/WBGene00016628", "WBGene00016628")</f>
        <v>WBGene00016628</v>
      </c>
      <c r="B2776" s="9" t="str">
        <f>HYPERLINK("http://www.ncbi.nlm.nih.gov/gene/174125", "174125")</f>
        <v>174125</v>
      </c>
      <c r="C2776" s="9"/>
      <c r="D2776" t="str">
        <f>"slc-36.5"</f>
        <v>slc-36.5</v>
      </c>
      <c r="E2776" t="s">
        <v>584</v>
      </c>
      <c r="F2776" t="s">
        <v>11</v>
      </c>
      <c r="G2776" t="s">
        <v>2245</v>
      </c>
      <c r="H2776" s="12">
        <v>1.63901730352415</v>
      </c>
      <c r="I2776" s="20">
        <v>1.75122988989752</v>
      </c>
      <c r="J2776" s="28">
        <v>7.9906318796446205E-2</v>
      </c>
      <c r="K2776" s="29">
        <v>0.66533888364349003</v>
      </c>
    </row>
    <row r="2777" spans="1:11" x14ac:dyDescent="0.35">
      <c r="A2777" s="9" t="str">
        <f>HYPERLINK("http://www.ensembl.org/id/WBGene00012140", "WBGene00012140")</f>
        <v>WBGene00012140</v>
      </c>
      <c r="B2777" s="9" t="str">
        <f>HYPERLINK("http://www.ncbi.nlm.nih.gov/gene/172503", "172503")</f>
        <v>172503</v>
      </c>
      <c r="C2777" s="9"/>
      <c r="D2777" t="str">
        <f>"T28F4.5"</f>
        <v>T28F4.5</v>
      </c>
      <c r="F2777" t="s">
        <v>11</v>
      </c>
      <c r="G2777" t="s">
        <v>2246</v>
      </c>
      <c r="H2777" s="12">
        <v>-1.3642358945511199</v>
      </c>
      <c r="I2777" s="20">
        <v>-1.75135931011559</v>
      </c>
      <c r="J2777" s="28">
        <v>7.98840372933797E-2</v>
      </c>
      <c r="K2777" s="29">
        <v>0.66533888364349003</v>
      </c>
    </row>
    <row r="2778" spans="1:11" x14ac:dyDescent="0.35">
      <c r="A2778" s="9" t="str">
        <f>HYPERLINK("http://www.ensembl.org/id/WBGene00021965", "WBGene00021965")</f>
        <v>WBGene00021965</v>
      </c>
      <c r="B2778" s="9" t="str">
        <f>HYPERLINK("http://www.ncbi.nlm.nih.gov/gene/190358", "190358")</f>
        <v>190358</v>
      </c>
      <c r="C2778" s="9"/>
      <c r="D2778" t="str">
        <f>"Y57G7A.1"</f>
        <v>Y57G7A.1</v>
      </c>
      <c r="F2778" t="s">
        <v>11</v>
      </c>
      <c r="H2778" s="12">
        <v>1.5249572973565599</v>
      </c>
      <c r="I2778" s="20">
        <v>1.75094183428399</v>
      </c>
      <c r="J2778" s="28">
        <v>7.9955929736267597E-2</v>
      </c>
      <c r="K2778" s="29">
        <v>0.66551214426736205</v>
      </c>
    </row>
    <row r="2779" spans="1:11" x14ac:dyDescent="0.35">
      <c r="A2779" s="9" t="str">
        <f>HYPERLINK("http://www.ensembl.org/id/WBGene00016768", "WBGene00016768")</f>
        <v>WBGene00016768</v>
      </c>
      <c r="B2779" s="9" t="str">
        <f>HYPERLINK("http://www.ncbi.nlm.nih.gov/gene/183602", "183602")</f>
        <v>183602</v>
      </c>
      <c r="C2779" s="9" t="str">
        <f>HYPERLINK("http://www.ncbi.nlm.nih.gov/gene/1573", "1573")</f>
        <v>1573</v>
      </c>
      <c r="D2779" t="str">
        <f>"cyp-33E1"</f>
        <v>cyp-33E1</v>
      </c>
      <c r="E2779" t="s">
        <v>176</v>
      </c>
      <c r="F2779" t="s">
        <v>11</v>
      </c>
      <c r="G2779" t="s">
        <v>438</v>
      </c>
      <c r="H2779" s="12">
        <v>1.5476368464444401</v>
      </c>
      <c r="I2779" s="20">
        <v>1.75052457058095</v>
      </c>
      <c r="J2779" s="28">
        <v>8.0027838179828795E-2</v>
      </c>
      <c r="K2779" s="29">
        <v>0.66587080625967798</v>
      </c>
    </row>
    <row r="2780" spans="1:11" x14ac:dyDescent="0.35">
      <c r="A2780" s="9" t="str">
        <f>HYPERLINK("http://www.ensembl.org/id/WBGene00019867", "WBGene00019867")</f>
        <v>WBGene00019867</v>
      </c>
      <c r="B2780" s="9" t="str">
        <f>HYPERLINK("http://www.ncbi.nlm.nih.gov/gene/180550", "180550")</f>
        <v>180550</v>
      </c>
      <c r="C2780" s="9" t="str">
        <f>HYPERLINK("http://www.ncbi.nlm.nih.gov/gene/175", "175")</f>
        <v>175</v>
      </c>
      <c r="D2780" t="str">
        <f>"R04B3.2"</f>
        <v>R04B3.2</v>
      </c>
      <c r="E2780" t="s">
        <v>2247</v>
      </c>
      <c r="F2780" t="s">
        <v>11</v>
      </c>
      <c r="G2780" t="s">
        <v>2248</v>
      </c>
      <c r="H2780" s="12">
        <v>1.43213331723545</v>
      </c>
      <c r="I2780" s="20">
        <v>1.7500849944086501</v>
      </c>
      <c r="J2780" s="28">
        <v>8.01036486389365E-2</v>
      </c>
      <c r="K2780" s="29">
        <v>0.66626166502925399</v>
      </c>
    </row>
    <row r="2781" spans="1:11" x14ac:dyDescent="0.35">
      <c r="A2781" s="9" t="str">
        <f>HYPERLINK("http://www.ensembl.org/id/WBGene00007398", "WBGene00007398")</f>
        <v>WBGene00007398</v>
      </c>
      <c r="B2781" s="9" t="str">
        <f>HYPERLINK("http://www.ncbi.nlm.nih.gov/gene/182352", "182352")</f>
        <v>182352</v>
      </c>
      <c r="C2781" s="9"/>
      <c r="D2781" t="str">
        <f>"C07A4.3"</f>
        <v>C07A4.3</v>
      </c>
      <c r="F2781" t="s">
        <v>11</v>
      </c>
      <c r="G2781" t="s">
        <v>1508</v>
      </c>
      <c r="H2781" s="12">
        <v>-1.3994270418770001</v>
      </c>
      <c r="I2781" s="20">
        <v>-1.7499170159939099</v>
      </c>
      <c r="J2781" s="28">
        <v>8.0132634042507297E-2</v>
      </c>
      <c r="K2781" s="29">
        <v>0.66626291550420103</v>
      </c>
    </row>
    <row r="2782" spans="1:11" x14ac:dyDescent="0.35">
      <c r="A2782" s="9" t="str">
        <f>HYPERLINK("http://www.ensembl.org/id/WBGene00018742", "WBGene00018742")</f>
        <v>WBGene00018742</v>
      </c>
      <c r="B2782" s="9" t="str">
        <f>HYPERLINK("http://www.ncbi.nlm.nih.gov/gene/180577", "180577")</f>
        <v>180577</v>
      </c>
      <c r="C2782" s="9"/>
      <c r="D2782" t="str">
        <f>"F53B3.3"</f>
        <v>F53B3.3</v>
      </c>
      <c r="F2782" t="s">
        <v>11</v>
      </c>
      <c r="G2782" t="s">
        <v>54</v>
      </c>
      <c r="H2782" s="12">
        <v>2.05713032197401</v>
      </c>
      <c r="I2782" s="20">
        <v>1.74847550451943</v>
      </c>
      <c r="J2782" s="28">
        <v>8.03817236059617E-2</v>
      </c>
      <c r="K2782" s="29">
        <v>0.66809356317962298</v>
      </c>
    </row>
    <row r="2783" spans="1:11" x14ac:dyDescent="0.35">
      <c r="A2783" s="9" t="str">
        <f>HYPERLINK("http://www.ensembl.org/id/WBGene00044567", "WBGene00044567")</f>
        <v>WBGene00044567</v>
      </c>
      <c r="B2783" s="9" t="str">
        <f>HYPERLINK("http://www.ncbi.nlm.nih.gov/gene/3896883", "3896883")</f>
        <v>3896883</v>
      </c>
      <c r="C2783" s="9"/>
      <c r="D2783" t="str">
        <f>"C46C11.4"</f>
        <v>C46C11.4</v>
      </c>
      <c r="F2783" t="s">
        <v>11</v>
      </c>
      <c r="G2783" t="s">
        <v>417</v>
      </c>
      <c r="H2783" s="12">
        <v>2.1317199785729599</v>
      </c>
      <c r="I2783" s="20">
        <v>1.74797522403322</v>
      </c>
      <c r="J2783" s="28">
        <v>8.0468317700445505E-2</v>
      </c>
      <c r="K2783" s="29">
        <v>0.66857279711848105</v>
      </c>
    </row>
    <row r="2784" spans="1:11" x14ac:dyDescent="0.35">
      <c r="A2784" s="9" t="str">
        <f>HYPERLINK("http://www.ensembl.org/id/WBGene00017394", "WBGene00017394")</f>
        <v>WBGene00017394</v>
      </c>
      <c r="B2784" s="9" t="str">
        <f>HYPERLINK("http://www.ncbi.nlm.nih.gov/gene/184373", "184373")</f>
        <v>184373</v>
      </c>
      <c r="C2784" s="9"/>
      <c r="D2784" t="str">
        <f>"cal-8"</f>
        <v>cal-8</v>
      </c>
      <c r="E2784" t="s">
        <v>312</v>
      </c>
      <c r="F2784" t="s">
        <v>11</v>
      </c>
      <c r="G2784" t="s">
        <v>325</v>
      </c>
      <c r="H2784" s="12">
        <v>1.6552975615958401</v>
      </c>
      <c r="I2784" s="20">
        <v>1.7473598910467101</v>
      </c>
      <c r="J2784" s="28">
        <v>8.0574930257060598E-2</v>
      </c>
      <c r="K2784" s="29">
        <v>0.66921795058218703</v>
      </c>
    </row>
    <row r="2785" spans="1:11" x14ac:dyDescent="0.35">
      <c r="A2785" s="9" t="str">
        <f>HYPERLINK("http://www.ensembl.org/id/WBGene00013046", "WBGene00013046")</f>
        <v>WBGene00013046</v>
      </c>
      <c r="B2785" s="9" t="str">
        <f>HYPERLINK("http://www.ncbi.nlm.nih.gov/gene/190103", "190103")</f>
        <v>190103</v>
      </c>
      <c r="C2785" s="9"/>
      <c r="D2785" t="str">
        <f>"Y50E8A.1"</f>
        <v>Y50E8A.1</v>
      </c>
      <c r="F2785" t="s">
        <v>11</v>
      </c>
      <c r="H2785" s="12">
        <v>1.71660205598328</v>
      </c>
      <c r="I2785" s="20">
        <v>1.7471698569016101</v>
      </c>
      <c r="J2785" s="28">
        <v>8.0607878737660704E-2</v>
      </c>
      <c r="K2785" s="29">
        <v>0.66925104064404894</v>
      </c>
    </row>
    <row r="2786" spans="1:11" x14ac:dyDescent="0.35">
      <c r="A2786" s="9" t="str">
        <f>HYPERLINK("http://www.ensembl.org/id/WBGene00017461", "WBGene00017461")</f>
        <v>WBGene00017461</v>
      </c>
      <c r="B2786" s="9" t="str">
        <f>HYPERLINK("http://www.ncbi.nlm.nih.gov/gene/259426", "259426")</f>
        <v>259426</v>
      </c>
      <c r="C2786" s="9"/>
      <c r="D2786" t="str">
        <f>"bath-28"</f>
        <v>bath-28</v>
      </c>
      <c r="E2786" t="s">
        <v>179</v>
      </c>
      <c r="F2786" t="s">
        <v>11</v>
      </c>
      <c r="G2786" t="s">
        <v>54</v>
      </c>
      <c r="H2786" s="12">
        <v>-1.7921332810322099</v>
      </c>
      <c r="I2786" s="20">
        <v>-1.7456782138003</v>
      </c>
      <c r="J2786" s="28">
        <v>8.08668828464673E-2</v>
      </c>
      <c r="K2786" s="29">
        <v>0.66950682335351297</v>
      </c>
    </row>
    <row r="2787" spans="1:11" x14ac:dyDescent="0.35">
      <c r="A2787" s="9" t="str">
        <f>HYPERLINK("http://www.ensembl.org/id/WBGene00018443", "WBGene00018443")</f>
        <v>WBGene00018443</v>
      </c>
      <c r="B2787" s="9" t="str">
        <f>HYPERLINK("http://www.ncbi.nlm.nih.gov/gene/185774", "185774")</f>
        <v>185774</v>
      </c>
      <c r="C2787" s="9"/>
      <c r="D2787" t="str">
        <f>"btb-7"</f>
        <v>btb-7</v>
      </c>
      <c r="E2787" t="s">
        <v>468</v>
      </c>
      <c r="F2787" t="s">
        <v>11</v>
      </c>
      <c r="G2787" t="s">
        <v>54</v>
      </c>
      <c r="H2787" s="12">
        <v>-2.2038203132923999</v>
      </c>
      <c r="I2787" s="20">
        <v>-1.7454095615526199</v>
      </c>
      <c r="J2787" s="28">
        <v>8.0913602489845596E-2</v>
      </c>
      <c r="K2787" s="29">
        <v>0.66950682335351297</v>
      </c>
    </row>
    <row r="2788" spans="1:11" x14ac:dyDescent="0.35">
      <c r="A2788" s="9" t="str">
        <f>HYPERLINK("http://www.ensembl.org/id/WBGene00015462", "WBGene00015462")</f>
        <v>WBGene00015462</v>
      </c>
      <c r="B2788" s="9" t="str">
        <f>HYPERLINK("http://www.ncbi.nlm.nih.gov/gene/179116", "179116")</f>
        <v>179116</v>
      </c>
      <c r="C2788" s="9"/>
      <c r="D2788" t="str">
        <f>"C05C8.5"</f>
        <v>C05C8.5</v>
      </c>
      <c r="F2788" t="s">
        <v>11</v>
      </c>
      <c r="G2788" t="s">
        <v>2252</v>
      </c>
      <c r="H2788" s="12">
        <v>-1.4565381738680701</v>
      </c>
      <c r="I2788" s="20">
        <v>-1.7455235830187299</v>
      </c>
      <c r="J2788" s="28">
        <v>8.0893771048978894E-2</v>
      </c>
      <c r="K2788" s="29">
        <v>0.66950682335351297</v>
      </c>
    </row>
    <row r="2789" spans="1:11" x14ac:dyDescent="0.35">
      <c r="A2789" s="9" t="str">
        <f>HYPERLINK("http://www.ensembl.org/id/WBGene00045048", "WBGene00045048")</f>
        <v>WBGene00045048</v>
      </c>
      <c r="B2789" s="9" t="str">
        <f>HYPERLINK("http://www.ncbi.nlm.nih.gov/gene/4926976", "4926976")</f>
        <v>4926976</v>
      </c>
      <c r="C2789" s="9"/>
      <c r="D2789" t="str">
        <f>"D1007.19"</f>
        <v>D1007.19</v>
      </c>
      <c r="F2789" t="s">
        <v>11</v>
      </c>
      <c r="H2789" s="12">
        <v>1.9768970775283199</v>
      </c>
      <c r="I2789" s="20">
        <v>1.7462506962366999</v>
      </c>
      <c r="J2789" s="28">
        <v>8.0767399048897306E-2</v>
      </c>
      <c r="K2789" s="29">
        <v>0.66950682335351297</v>
      </c>
    </row>
    <row r="2790" spans="1:11" x14ac:dyDescent="0.35">
      <c r="A2790" s="9" t="str">
        <f>HYPERLINK("http://www.ensembl.org/id/WBGene00017568", "WBGene00017568")</f>
        <v>WBGene00017568</v>
      </c>
      <c r="B2790" s="9" t="str">
        <f>HYPERLINK("http://www.ncbi.nlm.nih.gov/gene/184646", "184646")</f>
        <v>184646</v>
      </c>
      <c r="C2790" s="9"/>
      <c r="D2790" t="str">
        <f>"F18E9.1"</f>
        <v>F18E9.1</v>
      </c>
      <c r="F2790" t="s">
        <v>11</v>
      </c>
      <c r="H2790" s="12">
        <v>2.6518468620835201</v>
      </c>
      <c r="I2790" s="20">
        <v>1.74585998135608</v>
      </c>
      <c r="J2790" s="28">
        <v>8.0835285204898799E-2</v>
      </c>
      <c r="K2790" s="29">
        <v>0.66950682335351297</v>
      </c>
    </row>
    <row r="2791" spans="1:11" x14ac:dyDescent="0.35">
      <c r="A2791" s="9" t="str">
        <f>HYPERLINK("http://www.ensembl.org/id/WBGene00017801", "WBGene00017801")</f>
        <v>WBGene00017801</v>
      </c>
      <c r="B2791" s="9" t="str">
        <f>HYPERLINK("http://www.ncbi.nlm.nih.gov/gene/175642", "175642")</f>
        <v>175642</v>
      </c>
      <c r="C2791" s="9"/>
      <c r="D2791" t="str">
        <f>"F26A1.1"</f>
        <v>F26A1.1</v>
      </c>
      <c r="F2791" t="s">
        <v>11</v>
      </c>
      <c r="H2791" s="12">
        <v>-1.45000201081414</v>
      </c>
      <c r="I2791" s="20">
        <v>-1.7453602290682899</v>
      </c>
      <c r="J2791" s="28">
        <v>8.0922183976829404E-2</v>
      </c>
      <c r="K2791" s="29">
        <v>0.66950682335351297</v>
      </c>
    </row>
    <row r="2792" spans="1:11" x14ac:dyDescent="0.35">
      <c r="A2792" s="9" t="str">
        <f>HYPERLINK("http://www.ensembl.org/id/WBGene00002269", "WBGene00002269")</f>
        <v>WBGene00002269</v>
      </c>
      <c r="B2792" s="9" t="str">
        <f>HYPERLINK("http://www.ncbi.nlm.nih.gov/gene/175212", "175212")</f>
        <v>175212</v>
      </c>
      <c r="C2792" s="9"/>
      <c r="D2792" t="str">
        <f>"lec-6"</f>
        <v>lec-6</v>
      </c>
      <c r="E2792" t="s">
        <v>2043</v>
      </c>
      <c r="F2792" t="s">
        <v>11</v>
      </c>
      <c r="G2792" t="s">
        <v>2251</v>
      </c>
      <c r="H2792" s="12">
        <v>-1.38361067380226</v>
      </c>
      <c r="I2792" s="20">
        <v>-1.74596460302422</v>
      </c>
      <c r="J2792" s="28">
        <v>8.0817102798141693E-2</v>
      </c>
      <c r="K2792" s="29">
        <v>0.66950682335351297</v>
      </c>
    </row>
    <row r="2793" spans="1:11" x14ac:dyDescent="0.35">
      <c r="A2793" s="9" t="str">
        <f>HYPERLINK("http://www.ensembl.org/id/WBGene00003166", "WBGene00003166")</f>
        <v>WBGene00003166</v>
      </c>
      <c r="B2793" s="9" t="str">
        <f>HYPERLINK("http://www.ncbi.nlm.nih.gov/gene/180826", "180826")</f>
        <v>180826</v>
      </c>
      <c r="C2793" s="9"/>
      <c r="D2793" t="str">
        <f>"mec-2"</f>
        <v>mec-2</v>
      </c>
      <c r="E2793" t="s">
        <v>2249</v>
      </c>
      <c r="F2793" t="s">
        <v>11</v>
      </c>
      <c r="G2793" t="s">
        <v>2250</v>
      </c>
      <c r="H2793" s="12">
        <v>1.46815208185225</v>
      </c>
      <c r="I2793" s="20">
        <v>1.74602764715896</v>
      </c>
      <c r="J2793" s="28">
        <v>8.0806147836783193E-2</v>
      </c>
      <c r="K2793" s="29">
        <v>0.66950682335351297</v>
      </c>
    </row>
    <row r="2794" spans="1:11" x14ac:dyDescent="0.35">
      <c r="A2794" s="9" t="str">
        <f>HYPERLINK("http://www.ensembl.org/id/WBGene00045336", "WBGene00045336")</f>
        <v>WBGene00045336</v>
      </c>
      <c r="B2794" s="9" t="str">
        <f>HYPERLINK("http://www.ncbi.nlm.nih.gov/gene/6418759", "6418759")</f>
        <v>6418759</v>
      </c>
      <c r="C2794" s="9"/>
      <c r="D2794" t="str">
        <f>"R11D1.12"</f>
        <v>R11D1.12</v>
      </c>
      <c r="F2794" t="s">
        <v>11</v>
      </c>
      <c r="H2794" s="12">
        <v>2.01178760570517</v>
      </c>
      <c r="I2794" s="20">
        <v>1.7466310067335999</v>
      </c>
      <c r="J2794" s="28">
        <v>8.0701365108913903E-2</v>
      </c>
      <c r="K2794" s="29">
        <v>0.66950682335351297</v>
      </c>
    </row>
    <row r="2795" spans="1:11" x14ac:dyDescent="0.35">
      <c r="A2795" s="9" t="str">
        <f>HYPERLINK("http://www.ensembl.org/id/WBGene00013967", "WBGene00013967")</f>
        <v>WBGene00013967</v>
      </c>
      <c r="B2795" s="9" t="str">
        <f>HYPERLINK("http://www.ncbi.nlm.nih.gov/gene/179359", "179359")</f>
        <v>179359</v>
      </c>
      <c r="C2795" s="9"/>
      <c r="D2795" t="str">
        <f>"ZK287.7"</f>
        <v>ZK287.7</v>
      </c>
      <c r="F2795" t="s">
        <v>11</v>
      </c>
      <c r="G2795" t="s">
        <v>2253</v>
      </c>
      <c r="H2795" s="12">
        <v>-1.55657620067042</v>
      </c>
      <c r="I2795" s="20">
        <v>-1.7453242619607201</v>
      </c>
      <c r="J2795" s="28">
        <v>8.0928440994822201E-2</v>
      </c>
      <c r="K2795" s="29">
        <v>0.66950682335351297</v>
      </c>
    </row>
    <row r="2796" spans="1:11" x14ac:dyDescent="0.35">
      <c r="A2796" s="9" t="str">
        <f>HYPERLINK("http://www.ensembl.org/id/WBGene00012606", "WBGene00012606")</f>
        <v>WBGene00012606</v>
      </c>
      <c r="B2796" s="9" t="str">
        <f>HYPERLINK("http://www.ncbi.nlm.nih.gov/gene/174939", "174939")</f>
        <v>174939</v>
      </c>
      <c r="C2796" s="9" t="str">
        <f>HYPERLINK("http://www.ncbi.nlm.nih.gov/gene/81790", "81790")</f>
        <v>81790</v>
      </c>
      <c r="D2796" t="str">
        <f>"Y38F1A.2"</f>
        <v>Y38F1A.2</v>
      </c>
      <c r="F2796" t="s">
        <v>11</v>
      </c>
      <c r="G2796" t="s">
        <v>2254</v>
      </c>
      <c r="H2796" s="12">
        <v>-1.45394354832363</v>
      </c>
      <c r="I2796" s="20">
        <v>-1.7450771728294501</v>
      </c>
      <c r="J2796" s="28">
        <v>8.0971436475405195E-2</v>
      </c>
      <c r="K2796" s="29">
        <v>0.66962276707255297</v>
      </c>
    </row>
    <row r="2797" spans="1:11" x14ac:dyDescent="0.35">
      <c r="A2797" s="9" t="str">
        <f>HYPERLINK("http://www.ensembl.org/id/WBGene00001237", "WBGene00001237")</f>
        <v>WBGene00001237</v>
      </c>
      <c r="B2797" s="9" t="str">
        <f>HYPERLINK("http://www.ncbi.nlm.nih.gov/gene/24104987", "24104987")</f>
        <v>24104987</v>
      </c>
      <c r="C2797" s="9"/>
      <c r="D2797" t="str">
        <f>"elc-2"</f>
        <v>elc-2</v>
      </c>
      <c r="E2797" t="s">
        <v>2255</v>
      </c>
      <c r="F2797" t="s">
        <v>11</v>
      </c>
      <c r="G2797" t="s">
        <v>2256</v>
      </c>
      <c r="H2797" s="12">
        <v>7.7126189292473004</v>
      </c>
      <c r="I2797" s="20">
        <v>1.7444720710889801</v>
      </c>
      <c r="J2797" s="28">
        <v>8.1076807327026906E-2</v>
      </c>
      <c r="K2797" s="29">
        <v>0.67025427910493196</v>
      </c>
    </row>
    <row r="2798" spans="1:11" x14ac:dyDescent="0.35">
      <c r="A2798" s="9" t="str">
        <f>HYPERLINK("http://www.ensembl.org/id/WBGene00007351", "WBGene00007351")</f>
        <v>WBGene00007351</v>
      </c>
      <c r="B2798" s="9" t="str">
        <f>HYPERLINK("http://www.ncbi.nlm.nih.gov/gene/181571", "181571")</f>
        <v>181571</v>
      </c>
      <c r="C2798" s="9" t="str">
        <f>HYPERLINK("http://www.ncbi.nlm.nih.gov/gene/388630", "388630")</f>
        <v>388630</v>
      </c>
      <c r="D2798" t="str">
        <f>"C05G5.5"</f>
        <v>C05G5.5</v>
      </c>
      <c r="E2798" t="s">
        <v>2257</v>
      </c>
      <c r="F2798" t="s">
        <v>11</v>
      </c>
      <c r="G2798" t="s">
        <v>2258</v>
      </c>
      <c r="H2798" s="12">
        <v>1.96702371967922</v>
      </c>
      <c r="I2798" s="20">
        <v>1.7441193915220901</v>
      </c>
      <c r="J2798" s="28">
        <v>8.1138273362958896E-2</v>
      </c>
      <c r="K2798" s="29">
        <v>0.670522512276298</v>
      </c>
    </row>
    <row r="2799" spans="1:11" x14ac:dyDescent="0.35">
      <c r="A2799" s="9" t="str">
        <f>HYPERLINK("http://www.ensembl.org/id/WBGene00015557", "WBGene00015557")</f>
        <v>WBGene00015557</v>
      </c>
      <c r="B2799" s="9" t="str">
        <f>HYPERLINK("http://www.ncbi.nlm.nih.gov/gene/176123", "176123")</f>
        <v>176123</v>
      </c>
      <c r="C2799" s="9"/>
      <c r="D2799" t="str">
        <f>"C06G4.1"</f>
        <v>C06G4.1</v>
      </c>
      <c r="E2799" t="s">
        <v>2259</v>
      </c>
      <c r="F2799" t="s">
        <v>11</v>
      </c>
      <c r="G2799" t="s">
        <v>2260</v>
      </c>
      <c r="H2799" s="12">
        <v>-1.49565228881681</v>
      </c>
      <c r="I2799" s="20">
        <v>-1.7436103286003899</v>
      </c>
      <c r="J2799" s="28">
        <v>8.12270610491619E-2</v>
      </c>
      <c r="K2799" s="29">
        <v>0.67091209587589895</v>
      </c>
    </row>
    <row r="2800" spans="1:11" x14ac:dyDescent="0.35">
      <c r="A2800" s="9" t="str">
        <f>HYPERLINK("http://www.ensembl.org/id/WBGene00016712", "WBGene00016712")</f>
        <v>WBGene00016712</v>
      </c>
      <c r="B2800" s="9" t="str">
        <f>HYPERLINK("http://www.ncbi.nlm.nih.gov/gene/173716", "173716")</f>
        <v>173716</v>
      </c>
      <c r="C2800" s="9"/>
      <c r="D2800" t="str">
        <f>"C46E10.8"</f>
        <v>C46E10.8</v>
      </c>
      <c r="F2800" t="s">
        <v>11</v>
      </c>
      <c r="H2800" s="12">
        <v>-8.9282925090562806</v>
      </c>
      <c r="I2800" s="20">
        <v>-1.7435161918183799</v>
      </c>
      <c r="J2800" s="28">
        <v>8.1243488455845503E-2</v>
      </c>
      <c r="K2800" s="29">
        <v>0.67091209587589895</v>
      </c>
    </row>
    <row r="2801" spans="1:11" x14ac:dyDescent="0.35">
      <c r="A2801" s="9" t="str">
        <f>HYPERLINK("http://www.ensembl.org/id/WBGene00019627", "WBGene00019627")</f>
        <v>WBGene00019627</v>
      </c>
      <c r="B2801" s="9" t="str">
        <f>HYPERLINK("http://www.ncbi.nlm.nih.gov/gene/175709", "175709")</f>
        <v>175709</v>
      </c>
      <c r="C2801" s="9" t="str">
        <f>HYPERLINK("http://www.ncbi.nlm.nih.gov/gene/7290", "7290")</f>
        <v>7290</v>
      </c>
      <c r="D2801" t="str">
        <f>"hira-1"</f>
        <v>hira-1</v>
      </c>
      <c r="F2801" t="s">
        <v>11</v>
      </c>
      <c r="G2801" t="s">
        <v>2261</v>
      </c>
      <c r="H2801" s="12">
        <v>-1.4665322039539901</v>
      </c>
      <c r="I2801" s="20">
        <v>-1.74333170816276</v>
      </c>
      <c r="J2801" s="28">
        <v>8.1275689728902395E-2</v>
      </c>
      <c r="K2801" s="29">
        <v>0.67093822324973895</v>
      </c>
    </row>
    <row r="2802" spans="1:11" x14ac:dyDescent="0.35">
      <c r="A2802" s="9" t="str">
        <f>HYPERLINK("http://www.ensembl.org/id/WBGene00010175", "WBGene00010175")</f>
        <v>WBGene00010175</v>
      </c>
      <c r="B2802" s="9" t="str">
        <f>HYPERLINK("http://www.ncbi.nlm.nih.gov/gene/186425", "186425")</f>
        <v>186425</v>
      </c>
      <c r="C2802" s="9"/>
      <c r="D2802" t="str">
        <f>"F56H11.2"</f>
        <v>F56H11.2</v>
      </c>
      <c r="F2802" t="s">
        <v>11</v>
      </c>
      <c r="G2802" t="s">
        <v>25</v>
      </c>
      <c r="H2802" s="12">
        <v>1.7606125004509701</v>
      </c>
      <c r="I2802" s="20">
        <v>1.74311808293901</v>
      </c>
      <c r="J2802" s="28">
        <v>8.1312990549331707E-2</v>
      </c>
      <c r="K2802" s="29">
        <v>0.67100641415459195</v>
      </c>
    </row>
    <row r="2803" spans="1:11" x14ac:dyDescent="0.35">
      <c r="A2803" s="9" t="str">
        <f>HYPERLINK("http://www.ensembl.org/id/WBGene00009109", "WBGene00009109")</f>
        <v>WBGene00009109</v>
      </c>
      <c r="B2803" s="9" t="str">
        <f>HYPERLINK("http://www.ncbi.nlm.nih.gov/gene/184921", "184921")</f>
        <v>184921</v>
      </c>
      <c r="C2803" s="9"/>
      <c r="D2803" t="str">
        <f>"degt-1"</f>
        <v>degt-1</v>
      </c>
      <c r="E2803" t="s">
        <v>2262</v>
      </c>
      <c r="F2803" t="s">
        <v>11</v>
      </c>
      <c r="G2803" t="s">
        <v>211</v>
      </c>
      <c r="H2803" s="12">
        <v>1.8070315507483601</v>
      </c>
      <c r="I2803" s="20">
        <v>1.7414194633165201</v>
      </c>
      <c r="J2803" s="28">
        <v>8.1610078987648701E-2</v>
      </c>
      <c r="K2803" s="29">
        <v>0.672737240488266</v>
      </c>
    </row>
    <row r="2804" spans="1:11" x14ac:dyDescent="0.35">
      <c r="A2804" s="9" t="str">
        <f>HYPERLINK("http://www.ensembl.org/id/WBGene00009305", "WBGene00009305")</f>
        <v>WBGene00009305</v>
      </c>
      <c r="B2804" s="9" t="str">
        <f>HYPERLINK("http://www.ncbi.nlm.nih.gov/gene/173356", "173356")</f>
        <v>173356</v>
      </c>
      <c r="C2804" s="9" t="str">
        <f>HYPERLINK("http://www.ncbi.nlm.nih.gov/gene/64745", "64745")</f>
        <v>64745</v>
      </c>
      <c r="D2804" t="str">
        <f>"F32A7.4"</f>
        <v>F32A7.4</v>
      </c>
      <c r="F2804" t="s">
        <v>11</v>
      </c>
      <c r="G2804" t="s">
        <v>2263</v>
      </c>
      <c r="H2804" s="12">
        <v>-1.46951984265807</v>
      </c>
      <c r="I2804" s="20">
        <v>-1.74174390102805</v>
      </c>
      <c r="J2804" s="28">
        <v>8.1553266915327993E-2</v>
      </c>
      <c r="K2804" s="29">
        <v>0.672737240488266</v>
      </c>
    </row>
    <row r="2805" spans="1:11" x14ac:dyDescent="0.35">
      <c r="A2805" s="9" t="str">
        <f>HYPERLINK("http://www.ensembl.org/id/WBGene00086560", "WBGene00086560")</f>
        <v>WBGene00086560</v>
      </c>
      <c r="B2805" s="9" t="str">
        <f>HYPERLINK("http://www.ncbi.nlm.nih.gov/gene/7040126", "7040126")</f>
        <v>7040126</v>
      </c>
      <c r="C2805" s="9"/>
      <c r="D2805" t="str">
        <f>"ZK355.8"</f>
        <v>ZK355.8</v>
      </c>
      <c r="F2805" t="s">
        <v>11</v>
      </c>
      <c r="H2805" s="12">
        <v>-2.4246665896390098</v>
      </c>
      <c r="I2805" s="20">
        <v>-1.7415247237178899</v>
      </c>
      <c r="J2805" s="28">
        <v>8.1591643390651405E-2</v>
      </c>
      <c r="K2805" s="29">
        <v>0.672737240488266</v>
      </c>
    </row>
    <row r="2806" spans="1:11" x14ac:dyDescent="0.35">
      <c r="A2806" s="9" t="str">
        <f>HYPERLINK("http://www.ensembl.org/id/WBGene00016619", "WBGene00016619")</f>
        <v>WBGene00016619</v>
      </c>
      <c r="B2806" s="9" t="str">
        <f>HYPERLINK("http://www.ncbi.nlm.nih.gov/gene/183425", "183425")</f>
        <v>183425</v>
      </c>
      <c r="C2806" s="9"/>
      <c r="D2806" t="str">
        <f>"C43H6.6"</f>
        <v>C43H6.6</v>
      </c>
      <c r="F2806" t="s">
        <v>11</v>
      </c>
      <c r="G2806" t="s">
        <v>2264</v>
      </c>
      <c r="H2806" s="12">
        <v>3.3992665043617101</v>
      </c>
      <c r="I2806" s="20">
        <v>1.74068727104483</v>
      </c>
      <c r="J2806" s="28">
        <v>8.1738410701315503E-2</v>
      </c>
      <c r="K2806" s="29">
        <v>0.67355482085042695</v>
      </c>
    </row>
    <row r="2807" spans="1:11" x14ac:dyDescent="0.35">
      <c r="A2807" s="9" t="str">
        <f>HYPERLINK("http://www.ensembl.org/id/WBGene00001755", "WBGene00001755")</f>
        <v>WBGene00001755</v>
      </c>
      <c r="B2807" s="9" t="str">
        <f>HYPERLINK("http://www.ncbi.nlm.nih.gov/gene/173842", "173842")</f>
        <v>173842</v>
      </c>
      <c r="C2807" s="9" t="str">
        <f>HYPERLINK("http://www.ncbi.nlm.nih.gov/gene/27306", "27306")</f>
        <v>27306</v>
      </c>
      <c r="D2807" t="str">
        <f>"gst-7"</f>
        <v>gst-7</v>
      </c>
      <c r="E2807" t="s">
        <v>2265</v>
      </c>
      <c r="F2807" t="s">
        <v>11</v>
      </c>
      <c r="G2807" t="s">
        <v>2266</v>
      </c>
      <c r="H2807" s="12">
        <v>-1.3678743845683301</v>
      </c>
      <c r="I2807" s="20">
        <v>-1.74045235190356</v>
      </c>
      <c r="J2807" s="28">
        <v>8.1779619771940704E-2</v>
      </c>
      <c r="K2807" s="29">
        <v>0.673654151319237</v>
      </c>
    </row>
    <row r="2808" spans="1:11" x14ac:dyDescent="0.35">
      <c r="A2808" s="9" t="str">
        <f>HYPERLINK("http://www.ensembl.org/id/WBGene00018321", "WBGene00018321")</f>
        <v>WBGene00018321</v>
      </c>
      <c r="B2808" s="9" t="str">
        <f>HYPERLINK("http://www.ncbi.nlm.nih.gov/gene/177318", "177318")</f>
        <v>177318</v>
      </c>
      <c r="C2808" s="9" t="str">
        <f>HYPERLINK("http://www.ncbi.nlm.nih.gov/gene/84315", "84315")</f>
        <v>84315</v>
      </c>
      <c r="D2808" t="str">
        <f>"sand-1"</f>
        <v>sand-1</v>
      </c>
      <c r="E2808" t="s">
        <v>2269</v>
      </c>
      <c r="F2808" t="s">
        <v>11</v>
      </c>
      <c r="G2808" t="s">
        <v>2270</v>
      </c>
      <c r="H2808" s="12">
        <v>-1.4144997951902101</v>
      </c>
      <c r="I2808" s="20">
        <v>-1.7401895415966999</v>
      </c>
      <c r="J2808" s="28">
        <v>8.1825741430639296E-2</v>
      </c>
      <c r="K2808" s="29">
        <v>0.67375905115497603</v>
      </c>
    </row>
    <row r="2809" spans="1:11" x14ac:dyDescent="0.35">
      <c r="A2809" s="9" t="str">
        <f>HYPERLINK("http://www.ensembl.org/id/WBGene00006366", "WBGene00006366")</f>
        <v>WBGene00006366</v>
      </c>
      <c r="B2809" s="9" t="str">
        <f>HYPERLINK("http://www.ncbi.nlm.nih.gov/gene/181555", "181555")</f>
        <v>181555</v>
      </c>
      <c r="C2809" s="9"/>
      <c r="D2809" t="str">
        <f>"sym-1"</f>
        <v>sym-1</v>
      </c>
      <c r="E2809" t="s">
        <v>2267</v>
      </c>
      <c r="F2809" t="s">
        <v>11</v>
      </c>
      <c r="G2809" t="s">
        <v>2268</v>
      </c>
      <c r="H2809" s="12">
        <v>1.42717950850655</v>
      </c>
      <c r="I2809" s="20">
        <v>1.74004752508811</v>
      </c>
      <c r="J2809" s="28">
        <v>8.1850673270666294E-2</v>
      </c>
      <c r="K2809" s="29">
        <v>0.67375905115497603</v>
      </c>
    </row>
    <row r="2810" spans="1:11" x14ac:dyDescent="0.35">
      <c r="A2810" s="9" t="str">
        <f>HYPERLINK("http://www.ensembl.org/id/WBGene00011522", "WBGene00011522")</f>
        <v>WBGene00011522</v>
      </c>
      <c r="B2810" s="9" t="str">
        <f>HYPERLINK("http://www.ncbi.nlm.nih.gov/gene/174709", "174709")</f>
        <v>174709</v>
      </c>
      <c r="C2810" s="9"/>
      <c r="D2810" t="str">
        <f>"srap-1"</f>
        <v>srap-1</v>
      </c>
      <c r="E2810" t="s">
        <v>2271</v>
      </c>
      <c r="F2810" t="s">
        <v>11</v>
      </c>
      <c r="H2810" s="12">
        <v>1.3743135751300299</v>
      </c>
      <c r="I2810" s="20">
        <v>1.7392539472420101</v>
      </c>
      <c r="J2810" s="28">
        <v>8.1990104011776893E-2</v>
      </c>
      <c r="K2810" s="29">
        <v>0.67458474583009098</v>
      </c>
    </row>
    <row r="2811" spans="1:11" x14ac:dyDescent="0.35">
      <c r="A2811" s="9" t="str">
        <f>HYPERLINK("http://www.ensembl.org/id/WBGene00022540", "WBGene00022540")</f>
        <v>WBGene00022540</v>
      </c>
      <c r="B2811" s="9" t="str">
        <f>HYPERLINK("http://www.ncbi.nlm.nih.gov/gene/191096", "191096")</f>
        <v>191096</v>
      </c>
      <c r="C2811" s="9"/>
      <c r="D2811" t="str">
        <f>"ZC190.6"</f>
        <v>ZC190.6</v>
      </c>
      <c r="F2811" t="s">
        <v>11</v>
      </c>
      <c r="G2811" t="s">
        <v>25</v>
      </c>
      <c r="H2811" s="12">
        <v>6.9297452939886899</v>
      </c>
      <c r="I2811" s="20">
        <v>1.73914436811727</v>
      </c>
      <c r="J2811" s="28">
        <v>8.2009372069450595E-2</v>
      </c>
      <c r="K2811" s="29">
        <v>0.67458474583009098</v>
      </c>
    </row>
    <row r="2812" spans="1:11" x14ac:dyDescent="0.35">
      <c r="A2812" s="9" t="str">
        <f>HYPERLINK("http://www.ensembl.org/id/WBGene00002174", "WBGene00002174")</f>
        <v>WBGene00002174</v>
      </c>
      <c r="B2812" s="9" t="str">
        <f>HYPERLINK("http://www.ncbi.nlm.nih.gov/gene/171846", "171846")</f>
        <v>171846</v>
      </c>
      <c r="C2812" s="9"/>
      <c r="D2812" t="str">
        <f>"itx-1"</f>
        <v>itx-1</v>
      </c>
      <c r="E2812" t="s">
        <v>2272</v>
      </c>
      <c r="F2812" t="s">
        <v>11</v>
      </c>
      <c r="G2812" t="s">
        <v>2273</v>
      </c>
      <c r="H2812" s="12">
        <v>1.39690101658327</v>
      </c>
      <c r="I2812" s="20">
        <v>1.7387571373155799</v>
      </c>
      <c r="J2812" s="28">
        <v>8.2077490969054701E-2</v>
      </c>
      <c r="K2812" s="29">
        <v>0.67490480652347995</v>
      </c>
    </row>
    <row r="2813" spans="1:11" x14ac:dyDescent="0.35">
      <c r="A2813" s="9" t="str">
        <f>HYPERLINK("http://www.ensembl.org/id/WBGene00012522", "WBGene00012522")</f>
        <v>WBGene00012522</v>
      </c>
      <c r="B2813" s="9" t="str">
        <f>HYPERLINK("http://www.ncbi.nlm.nih.gov/gene/180109", "180109")</f>
        <v>180109</v>
      </c>
      <c r="C2813" s="9"/>
      <c r="D2813" t="str">
        <f>"Y32B12B.2"</f>
        <v>Y32B12B.2</v>
      </c>
      <c r="F2813" t="s">
        <v>11</v>
      </c>
      <c r="H2813" s="12">
        <v>-1.44391138085962</v>
      </c>
      <c r="I2813" s="20">
        <v>-1.73855047874095</v>
      </c>
      <c r="J2813" s="28">
        <v>8.2113863656659805E-2</v>
      </c>
      <c r="K2813" s="29">
        <v>0.67496369037736803</v>
      </c>
    </row>
    <row r="2814" spans="1:11" x14ac:dyDescent="0.35">
      <c r="A2814" s="9" t="str">
        <f>HYPERLINK("http://www.ensembl.org/id/WBGene00006818", "WBGene00006818")</f>
        <v>WBGene00006818</v>
      </c>
      <c r="B2814" s="9" t="str">
        <f>HYPERLINK("http://www.ncbi.nlm.nih.gov/gene/176157", "176157")</f>
        <v>176157</v>
      </c>
      <c r="C2814" s="9"/>
      <c r="D2814" t="str">
        <f>"unc-86"</f>
        <v>unc-86</v>
      </c>
      <c r="E2814" t="s">
        <v>2274</v>
      </c>
      <c r="F2814" t="s">
        <v>11</v>
      </c>
      <c r="G2814" t="s">
        <v>2275</v>
      </c>
      <c r="H2814" s="12">
        <v>1.5577500652799201</v>
      </c>
      <c r="I2814" s="20">
        <v>1.73825279285835</v>
      </c>
      <c r="J2814" s="28">
        <v>8.2166280468497305E-2</v>
      </c>
      <c r="K2814" s="29">
        <v>0.67515436575572496</v>
      </c>
    </row>
    <row r="2815" spans="1:11" x14ac:dyDescent="0.35">
      <c r="A2815" s="9" t="str">
        <f>HYPERLINK("http://www.ensembl.org/id/WBGene00015451", "WBGene00015451")</f>
        <v>WBGene00015451</v>
      </c>
      <c r="B2815" s="9" t="str">
        <f>HYPERLINK("http://www.ncbi.nlm.nih.gov/gene/178899", "178899")</f>
        <v>178899</v>
      </c>
      <c r="C2815" s="9"/>
      <c r="D2815" t="str">
        <f>"C04F5.9"</f>
        <v>C04F5.9</v>
      </c>
      <c r="F2815" t="s">
        <v>11</v>
      </c>
      <c r="G2815" t="s">
        <v>1791</v>
      </c>
      <c r="H2815" s="12">
        <v>-1.49593686401077</v>
      </c>
      <c r="I2815" s="20">
        <v>-1.73781851370684</v>
      </c>
      <c r="J2815" s="28">
        <v>8.2242797414355306E-2</v>
      </c>
      <c r="K2815" s="29">
        <v>0.67554286422186105</v>
      </c>
    </row>
    <row r="2816" spans="1:11" x14ac:dyDescent="0.35">
      <c r="A2816" s="9" t="str">
        <f>HYPERLINK("http://www.ensembl.org/id/WBGene00010200", "WBGene00010200")</f>
        <v>WBGene00010200</v>
      </c>
      <c r="B2816" s="9" t="str">
        <f>HYPERLINK("http://www.ncbi.nlm.nih.gov/gene/186444", "186444")</f>
        <v>186444</v>
      </c>
      <c r="C2816" s="9"/>
      <c r="D2816" t="str">
        <f>"F57C7.4"</f>
        <v>F57C7.4</v>
      </c>
      <c r="F2816" t="s">
        <v>11</v>
      </c>
      <c r="G2816" t="s">
        <v>25</v>
      </c>
      <c r="H2816" s="12">
        <v>1.8695079463922799</v>
      </c>
      <c r="I2816" s="20">
        <v>1.73726048867623</v>
      </c>
      <c r="J2816" s="28">
        <v>8.2341202327539303E-2</v>
      </c>
      <c r="K2816" s="29">
        <v>0.67611081058284395</v>
      </c>
    </row>
    <row r="2817" spans="1:11" x14ac:dyDescent="0.35">
      <c r="A2817" s="9" t="str">
        <f>HYPERLINK("http://www.ensembl.org/id/WBGene00194641", "WBGene00194641")</f>
        <v>WBGene00194641</v>
      </c>
      <c r="B2817" s="9" t="str">
        <f>HYPERLINK("http://www.ncbi.nlm.nih.gov/gene/13219566", "13219566")</f>
        <v>13219566</v>
      </c>
      <c r="C2817" s="9"/>
      <c r="D2817" t="str">
        <f>"F47G3.4"</f>
        <v>F47G3.4</v>
      </c>
      <c r="F2817" t="s">
        <v>11</v>
      </c>
      <c r="G2817" t="s">
        <v>101</v>
      </c>
      <c r="H2817" s="12">
        <v>1.4373408756088699</v>
      </c>
      <c r="I2817" s="20">
        <v>1.73679788738568</v>
      </c>
      <c r="J2817" s="28">
        <v>8.2422852097732494E-2</v>
      </c>
      <c r="K2817" s="29">
        <v>0.67612485890459195</v>
      </c>
    </row>
    <row r="2818" spans="1:11" x14ac:dyDescent="0.35">
      <c r="A2818" s="9" t="str">
        <f>HYPERLINK("http://www.ensembl.org/id/WBGene00003542", "WBGene00003542")</f>
        <v>WBGene00003542</v>
      </c>
      <c r="B2818" s="9" t="str">
        <f>HYPERLINK("http://www.ncbi.nlm.nih.gov/gene/3565992", "3565992")</f>
        <v>3565992</v>
      </c>
      <c r="C2818" s="9"/>
      <c r="D2818" t="str">
        <f>"nas-23"</f>
        <v>nas-23</v>
      </c>
      <c r="E2818" t="s">
        <v>2276</v>
      </c>
      <c r="F2818" t="s">
        <v>11</v>
      </c>
      <c r="G2818" t="s">
        <v>1542</v>
      </c>
      <c r="H2818" s="12">
        <v>4.0971618835821797</v>
      </c>
      <c r="I2818" s="20">
        <v>1.7366266875292899</v>
      </c>
      <c r="J2818" s="28">
        <v>8.2453085746145002E-2</v>
      </c>
      <c r="K2818" s="29">
        <v>0.67612485890459195</v>
      </c>
    </row>
    <row r="2819" spans="1:11" x14ac:dyDescent="0.35">
      <c r="A2819" s="9" t="str">
        <f>HYPERLINK("http://www.ensembl.org/id/WBGene00020092", "WBGene00020092")</f>
        <v>WBGene00020092</v>
      </c>
      <c r="B2819" s="9" t="str">
        <f>HYPERLINK("http://www.ncbi.nlm.nih.gov/gene/246008", "246008")</f>
        <v>246008</v>
      </c>
      <c r="C2819" s="9"/>
      <c r="D2819" t="str">
        <f>"pcf-11"</f>
        <v>pcf-11</v>
      </c>
      <c r="E2819" t="s">
        <v>2277</v>
      </c>
      <c r="F2819" t="s">
        <v>11</v>
      </c>
      <c r="G2819" t="s">
        <v>25</v>
      </c>
      <c r="H2819" s="12">
        <v>-1.3743735855924</v>
      </c>
      <c r="I2819" s="20">
        <v>-1.7369537807163</v>
      </c>
      <c r="J2819" s="28">
        <v>8.2395329378617405E-2</v>
      </c>
      <c r="K2819" s="29">
        <v>0.67612485890459195</v>
      </c>
    </row>
    <row r="2820" spans="1:11" x14ac:dyDescent="0.35">
      <c r="A2820" s="9" t="str">
        <f>HYPERLINK("http://www.ensembl.org/id/WBGene00011548", "WBGene00011548")</f>
        <v>WBGene00011548</v>
      </c>
      <c r="B2820" s="9" t="str">
        <f>HYPERLINK("http://www.ncbi.nlm.nih.gov/gene/188198", "188198")</f>
        <v>188198</v>
      </c>
      <c r="C2820" s="9"/>
      <c r="D2820" t="str">
        <f>"T06G6.6"</f>
        <v>T06G6.6</v>
      </c>
      <c r="F2820" t="s">
        <v>11</v>
      </c>
      <c r="H2820" s="12">
        <v>9.0518599451313708</v>
      </c>
      <c r="I2820" s="20">
        <v>1.7365877646785</v>
      </c>
      <c r="J2820" s="28">
        <v>8.2459960719862294E-2</v>
      </c>
      <c r="K2820" s="29">
        <v>0.67612485890459195</v>
      </c>
    </row>
    <row r="2821" spans="1:11" x14ac:dyDescent="0.35">
      <c r="A2821" s="9" t="str">
        <f>HYPERLINK("http://www.ensembl.org/id/WBGene00020639", "WBGene00020639")</f>
        <v>WBGene00020639</v>
      </c>
      <c r="B2821" s="9" t="str">
        <f>HYPERLINK("http://www.ncbi.nlm.nih.gov/gene/188666", "188666")</f>
        <v>188666</v>
      </c>
      <c r="C2821" s="9"/>
      <c r="D2821" t="str">
        <f>"fbxa-71"</f>
        <v>fbxa-71</v>
      </c>
      <c r="E2821" t="s">
        <v>467</v>
      </c>
      <c r="F2821" t="s">
        <v>11</v>
      </c>
      <c r="H2821" s="12">
        <v>1.62440049648952</v>
      </c>
      <c r="I2821" s="20">
        <v>1.7361895297572201</v>
      </c>
      <c r="J2821" s="28">
        <v>8.2530327971490902E-2</v>
      </c>
      <c r="K2821" s="29">
        <v>0.67646178010261404</v>
      </c>
    </row>
    <row r="2822" spans="1:11" x14ac:dyDescent="0.35">
      <c r="A2822" s="9" t="str">
        <f>HYPERLINK("http://www.ensembl.org/id/WBGene00017837", "WBGene00017837")</f>
        <v>WBGene00017837</v>
      </c>
      <c r="B2822" s="9" t="str">
        <f>HYPERLINK("http://www.ncbi.nlm.nih.gov/gene/173826", "173826")</f>
        <v>173826</v>
      </c>
      <c r="C2822" s="9"/>
      <c r="D2822" t="str">
        <f>"F26G1.1"</f>
        <v>F26G1.1</v>
      </c>
      <c r="F2822" t="s">
        <v>11</v>
      </c>
      <c r="G2822" t="s">
        <v>2278</v>
      </c>
      <c r="H2822" s="12">
        <v>-1.40802716932246</v>
      </c>
      <c r="I2822" s="20">
        <v>-1.73598198045866</v>
      </c>
      <c r="J2822" s="28">
        <v>8.2567020775921596E-2</v>
      </c>
      <c r="K2822" s="29">
        <v>0.67652254682569002</v>
      </c>
    </row>
    <row r="2823" spans="1:11" x14ac:dyDescent="0.35">
      <c r="A2823" s="9" t="str">
        <f>HYPERLINK("http://www.ensembl.org/id/WBGene00008645", "WBGene00008645")</f>
        <v>WBGene00008645</v>
      </c>
      <c r="B2823" s="9" t="str">
        <f>HYPERLINK("http://www.ncbi.nlm.nih.gov/gene/179652", "179652")</f>
        <v>179652</v>
      </c>
      <c r="C2823" s="9" t="str">
        <f>HYPERLINK("http://www.ncbi.nlm.nih.gov/gene/5424", "5424")</f>
        <v>5424</v>
      </c>
      <c r="D2823" t="str">
        <f>"F10C2.4"</f>
        <v>F10C2.4</v>
      </c>
      <c r="E2823" t="s">
        <v>2279</v>
      </c>
      <c r="F2823" t="s">
        <v>11</v>
      </c>
      <c r="G2823" t="s">
        <v>2280</v>
      </c>
      <c r="H2823" s="12">
        <v>-1.41494748838217</v>
      </c>
      <c r="I2823" s="20">
        <v>-1.73569386801641</v>
      </c>
      <c r="J2823" s="28">
        <v>8.2617978320824195E-2</v>
      </c>
      <c r="K2823" s="29">
        <v>0.67656727793177796</v>
      </c>
    </row>
    <row r="2824" spans="1:11" x14ac:dyDescent="0.35">
      <c r="A2824" s="9" t="str">
        <f>HYPERLINK("http://www.ensembl.org/id/WBGene00010122", "WBGene00010122")</f>
        <v>WBGene00010122</v>
      </c>
      <c r="B2824" s="9" t="str">
        <f>HYPERLINK("http://www.ncbi.nlm.nih.gov/gene/186336", "186336")</f>
        <v>186336</v>
      </c>
      <c r="C2824" s="9"/>
      <c r="D2824" t="str">
        <f>"F55G11.1"</f>
        <v>F55G11.1</v>
      </c>
      <c r="F2824" t="s">
        <v>11</v>
      </c>
      <c r="G2824" t="s">
        <v>25</v>
      </c>
      <c r="H2824" s="12">
        <v>2.3950510071597702</v>
      </c>
      <c r="I2824" s="20">
        <v>1.7355163555262101</v>
      </c>
      <c r="J2824" s="28">
        <v>8.2649387088263804E-2</v>
      </c>
      <c r="K2824" s="29">
        <v>0.67656727793177796</v>
      </c>
    </row>
    <row r="2825" spans="1:11" x14ac:dyDescent="0.35">
      <c r="A2825" s="9" t="str">
        <f>HYPERLINK("http://www.ensembl.org/id/WBGene00044806", "WBGene00044806")</f>
        <v>WBGene00044806</v>
      </c>
      <c r="B2825" s="9"/>
      <c r="C2825" s="9"/>
      <c r="D2825" t="str">
        <f>"T19H5.5"</f>
        <v>T19H5.5</v>
      </c>
      <c r="F2825" t="s">
        <v>80</v>
      </c>
      <c r="H2825" s="12">
        <v>-1.42009045727079</v>
      </c>
      <c r="I2825" s="20">
        <v>-1.7354545614427901</v>
      </c>
      <c r="J2825" s="28">
        <v>8.2660323102285493E-2</v>
      </c>
      <c r="K2825" s="29">
        <v>0.67656727793177796</v>
      </c>
    </row>
    <row r="2826" spans="1:11" x14ac:dyDescent="0.35">
      <c r="A2826" s="9" t="str">
        <f>HYPERLINK("http://www.ensembl.org/id/WBGene00004135", "WBGene00004135")</f>
        <v>WBGene00004135</v>
      </c>
      <c r="B2826" s="9" t="str">
        <f>HYPERLINK("http://www.ncbi.nlm.nih.gov/gene/173743", "173743")</f>
        <v>173743</v>
      </c>
      <c r="C2826" s="9"/>
      <c r="D2826" t="str">
        <f>"pqn-48"</f>
        <v>pqn-48</v>
      </c>
      <c r="E2826" t="s">
        <v>432</v>
      </c>
      <c r="F2826" t="s">
        <v>11</v>
      </c>
      <c r="G2826" t="s">
        <v>1101</v>
      </c>
      <c r="H2826" s="12">
        <v>-1.60859998872525</v>
      </c>
      <c r="I2826" s="20">
        <v>-1.7349736809618299</v>
      </c>
      <c r="J2826" s="28">
        <v>8.2745467056451499E-2</v>
      </c>
      <c r="K2826" s="29">
        <v>0.67702434908157505</v>
      </c>
    </row>
    <row r="2827" spans="1:11" x14ac:dyDescent="0.35">
      <c r="A2827" s="9" t="str">
        <f>HYPERLINK("http://www.ensembl.org/id/WBGene00007982", "WBGene00007982")</f>
        <v>WBGene00007982</v>
      </c>
      <c r="B2827" s="9" t="str">
        <f>HYPERLINK("http://www.ncbi.nlm.nih.gov/gene/175518", "175518")</f>
        <v>175518</v>
      </c>
      <c r="C2827" s="9" t="str">
        <f>HYPERLINK("http://www.ncbi.nlm.nih.gov/gene/84898", "84898")</f>
        <v>84898</v>
      </c>
      <c r="D2827" t="str">
        <f>"pxd-1"</f>
        <v>pxd-1</v>
      </c>
      <c r="E2827" t="s">
        <v>2282</v>
      </c>
      <c r="F2827" t="s">
        <v>11</v>
      </c>
      <c r="G2827" t="s">
        <v>25</v>
      </c>
      <c r="H2827" s="12">
        <v>1.4213062506457399</v>
      </c>
      <c r="I2827" s="20">
        <v>1.73451617787801</v>
      </c>
      <c r="J2827" s="28">
        <v>8.2826537812520903E-2</v>
      </c>
      <c r="K2827" s="29">
        <v>0.67725525165775702</v>
      </c>
    </row>
    <row r="2828" spans="1:11" x14ac:dyDescent="0.35">
      <c r="A2828" s="9" t="str">
        <f>HYPERLINK("http://www.ensembl.org/id/WBGene00006825", "WBGene00006825")</f>
        <v>WBGene00006825</v>
      </c>
      <c r="B2828" s="9" t="str">
        <f>HYPERLINK("http://www.ncbi.nlm.nih.gov/gene/180413", "180413")</f>
        <v>180413</v>
      </c>
      <c r="C2828" s="9"/>
      <c r="D2828" t="str">
        <f>"unc-96"</f>
        <v>unc-96</v>
      </c>
      <c r="F2828" t="s">
        <v>11</v>
      </c>
      <c r="G2828" t="s">
        <v>2281</v>
      </c>
      <c r="H2828" s="12">
        <v>1.45686766110356</v>
      </c>
      <c r="I2828" s="20">
        <v>1.73448362112265</v>
      </c>
      <c r="J2828" s="28">
        <v>8.2832309408154697E-2</v>
      </c>
      <c r="K2828" s="29">
        <v>0.67725525165775702</v>
      </c>
    </row>
    <row r="2829" spans="1:11" x14ac:dyDescent="0.35">
      <c r="A2829" s="9" t="str">
        <f>HYPERLINK("http://www.ensembl.org/id/WBGene00016087", "WBGene00016087")</f>
        <v>WBGene00016087</v>
      </c>
      <c r="B2829" s="9" t="str">
        <f>HYPERLINK("http://www.ncbi.nlm.nih.gov/gene/181149", "181149")</f>
        <v>181149</v>
      </c>
      <c r="C2829" s="9"/>
      <c r="D2829" t="str">
        <f>"C25A11.2"</f>
        <v>C25A11.2</v>
      </c>
      <c r="F2829" t="s">
        <v>11</v>
      </c>
      <c r="G2829" t="s">
        <v>54</v>
      </c>
      <c r="H2829" s="12">
        <v>-1.47837171726633</v>
      </c>
      <c r="I2829" s="20">
        <v>-1.7342268366326099</v>
      </c>
      <c r="J2829" s="28">
        <v>8.2877843066476803E-2</v>
      </c>
      <c r="K2829" s="29">
        <v>0.67738784644287697</v>
      </c>
    </row>
    <row r="2830" spans="1:11" x14ac:dyDescent="0.35">
      <c r="A2830" s="9" t="str">
        <f>HYPERLINK("http://www.ensembl.org/id/WBGene00000696", "WBGene00000696")</f>
        <v>WBGene00000696</v>
      </c>
      <c r="B2830" s="9" t="str">
        <f>HYPERLINK("http://www.ncbi.nlm.nih.gov/gene/177789", "177789")</f>
        <v>177789</v>
      </c>
      <c r="C2830" s="9"/>
      <c r="D2830" t="str">
        <f>"col-122"</f>
        <v>col-122</v>
      </c>
      <c r="E2830" t="s">
        <v>40</v>
      </c>
      <c r="F2830" t="s">
        <v>11</v>
      </c>
      <c r="G2830" t="s">
        <v>41</v>
      </c>
      <c r="H2830" s="12">
        <v>1.5431267115098399</v>
      </c>
      <c r="I2830" s="20">
        <v>1.73399142410118</v>
      </c>
      <c r="J2830" s="28">
        <v>8.2919604816192594E-2</v>
      </c>
      <c r="K2830" s="29">
        <v>0.67748952930797302</v>
      </c>
    </row>
    <row r="2831" spans="1:11" x14ac:dyDescent="0.35">
      <c r="A2831" s="9" t="str">
        <f>HYPERLINK("http://www.ensembl.org/id/WBGene00003924", "WBGene00003924")</f>
        <v>WBGene00003924</v>
      </c>
      <c r="B2831" s="9" t="str">
        <f>HYPERLINK("http://www.ncbi.nlm.nih.gov/gene/172139", "172139")</f>
        <v>172139</v>
      </c>
      <c r="C2831" s="9" t="str">
        <f>HYPERLINK("http://www.ncbi.nlm.nih.gov/gene/5685", "5685")</f>
        <v>5685</v>
      </c>
      <c r="D2831" t="str">
        <f>"pas-3"</f>
        <v>pas-3</v>
      </c>
      <c r="E2831" t="s">
        <v>2283</v>
      </c>
      <c r="F2831" t="s">
        <v>11</v>
      </c>
      <c r="G2831" t="s">
        <v>1896</v>
      </c>
      <c r="H2831" s="12">
        <v>-1.3688415141917201</v>
      </c>
      <c r="I2831" s="20">
        <v>-1.7334115145580899</v>
      </c>
      <c r="J2831" s="28">
        <v>8.3022552446393699E-2</v>
      </c>
      <c r="K2831" s="29">
        <v>0.67809087904785204</v>
      </c>
    </row>
    <row r="2832" spans="1:11" x14ac:dyDescent="0.35">
      <c r="A2832" s="9" t="str">
        <f>HYPERLINK("http://www.ensembl.org/id/WBGene00012239", "WBGene00012239")</f>
        <v>WBGene00012239</v>
      </c>
      <c r="B2832" s="9" t="str">
        <f>HYPERLINK("http://www.ncbi.nlm.nih.gov/gene/173253", "173253")</f>
        <v>173253</v>
      </c>
      <c r="C2832" s="9"/>
      <c r="D2832" t="str">
        <f>"W04A8.4"</f>
        <v>W04A8.4</v>
      </c>
      <c r="F2832" t="s">
        <v>11</v>
      </c>
      <c r="G2832" t="s">
        <v>2284</v>
      </c>
      <c r="H2832" s="12">
        <v>1.4055088143513701</v>
      </c>
      <c r="I2832" s="20">
        <v>1.7329529008870299</v>
      </c>
      <c r="J2832" s="28">
        <v>8.3104040510979693E-2</v>
      </c>
      <c r="K2832" s="29">
        <v>0.67851659365607697</v>
      </c>
    </row>
    <row r="2833" spans="1:11" x14ac:dyDescent="0.35">
      <c r="A2833" s="9" t="str">
        <f>HYPERLINK("http://www.ensembl.org/id/WBGene00271414", "WBGene00271414")</f>
        <v>WBGene00271414</v>
      </c>
      <c r="B2833" s="9" t="str">
        <f>HYPERLINK("http://www.ncbi.nlm.nih.gov/gene/30314034", "30314034")</f>
        <v>30314034</v>
      </c>
      <c r="C2833" s="9"/>
      <c r="D2833" t="str">
        <f>"T05A7.12"</f>
        <v>T05A7.12</v>
      </c>
      <c r="F2833" t="s">
        <v>11</v>
      </c>
      <c r="H2833" s="12">
        <v>37.8174619965191</v>
      </c>
      <c r="I2833" s="20">
        <v>1.73231335455503</v>
      </c>
      <c r="J2833" s="28">
        <v>8.3217785496392999E-2</v>
      </c>
      <c r="K2833" s="29">
        <v>0.679205281412807</v>
      </c>
    </row>
    <row r="2834" spans="1:11" x14ac:dyDescent="0.35">
      <c r="A2834" s="9" t="str">
        <f>HYPERLINK("http://www.ensembl.org/id/WBGene00014760", "WBGene00014760")</f>
        <v>WBGene00014760</v>
      </c>
      <c r="B2834" s="9"/>
      <c r="C2834" s="9"/>
      <c r="D2834" t="str">
        <f>"F46A8.2"</f>
        <v>F46A8.2</v>
      </c>
      <c r="F2834" t="s">
        <v>80</v>
      </c>
      <c r="H2834" s="12">
        <v>-2.0549202736026602</v>
      </c>
      <c r="I2834" s="20">
        <v>-1.7316493703250899</v>
      </c>
      <c r="J2834" s="28">
        <v>8.3336010233312996E-2</v>
      </c>
      <c r="K2834" s="29">
        <v>0.67921072350912004</v>
      </c>
    </row>
    <row r="2835" spans="1:11" x14ac:dyDescent="0.35">
      <c r="A2835" s="9" t="str">
        <f>HYPERLINK("http://www.ensembl.org/id/WBGene00013852", "WBGene00013852")</f>
        <v>WBGene00013852</v>
      </c>
      <c r="B2835" s="9" t="str">
        <f>HYPERLINK("http://www.ncbi.nlm.nih.gov/gene/259478", "259478")</f>
        <v>259478</v>
      </c>
      <c r="C2835" s="9" t="str">
        <f>HYPERLINK("http://www.ncbi.nlm.nih.gov/gene/55733", "55733")</f>
        <v>55733</v>
      </c>
      <c r="D2835" t="str">
        <f>"hhat-1"</f>
        <v>hhat-1</v>
      </c>
      <c r="E2835" t="s">
        <v>1462</v>
      </c>
      <c r="F2835" t="s">
        <v>11</v>
      </c>
      <c r="G2835" t="s">
        <v>1463</v>
      </c>
      <c r="H2835" s="12">
        <v>1.7872225362676799</v>
      </c>
      <c r="I2835" s="20">
        <v>1.7316492370319401</v>
      </c>
      <c r="J2835" s="28">
        <v>8.3336033980280194E-2</v>
      </c>
      <c r="K2835" s="29">
        <v>0.67921072350912004</v>
      </c>
    </row>
    <row r="2836" spans="1:11" x14ac:dyDescent="0.35">
      <c r="A2836" s="9" t="str">
        <f>HYPERLINK("http://www.ensembl.org/id/WBGene00020964", "WBGene00020964")</f>
        <v>WBGene00020964</v>
      </c>
      <c r="B2836" s="9" t="str">
        <f>HYPERLINK("http://www.ncbi.nlm.nih.gov/gene/175810", "175810")</f>
        <v>175810</v>
      </c>
      <c r="C2836" s="9"/>
      <c r="D2836" t="str">
        <f>"polq-1"</f>
        <v>polq-1</v>
      </c>
      <c r="E2836" t="s">
        <v>2285</v>
      </c>
      <c r="F2836" t="s">
        <v>11</v>
      </c>
      <c r="G2836" t="s">
        <v>2286</v>
      </c>
      <c r="H2836" s="12">
        <v>-1.45305921486706</v>
      </c>
      <c r="I2836" s="20">
        <v>-1.73181874398771</v>
      </c>
      <c r="J2836" s="28">
        <v>8.3305839736413007E-2</v>
      </c>
      <c r="K2836" s="29">
        <v>0.67921072350912004</v>
      </c>
    </row>
    <row r="2837" spans="1:11" x14ac:dyDescent="0.35">
      <c r="A2837" s="9" t="str">
        <f>HYPERLINK("http://www.ensembl.org/id/WBGene00011012", "WBGene00011012")</f>
        <v>WBGene00011012</v>
      </c>
      <c r="B2837" s="9" t="str">
        <f>HYPERLINK("http://www.ncbi.nlm.nih.gov/gene/181452", "181452")</f>
        <v>181452</v>
      </c>
      <c r="C2837" s="9"/>
      <c r="D2837" t="str">
        <f>"R04D3.4"</f>
        <v>R04D3.4</v>
      </c>
      <c r="F2837" t="s">
        <v>11</v>
      </c>
      <c r="H2837" s="12">
        <v>-1.66564405186498</v>
      </c>
      <c r="I2837" s="20">
        <v>-1.7316936023968199</v>
      </c>
      <c r="J2837" s="28">
        <v>8.3328130329400202E-2</v>
      </c>
      <c r="K2837" s="29">
        <v>0.67921072350912004</v>
      </c>
    </row>
    <row r="2838" spans="1:11" x14ac:dyDescent="0.35">
      <c r="A2838" s="9" t="str">
        <f>HYPERLINK("http://www.ensembl.org/id/WBGene00010890", "WBGene00010890")</f>
        <v>WBGene00010890</v>
      </c>
      <c r="B2838" s="9" t="str">
        <f>HYPERLINK("http://www.ncbi.nlm.nih.gov/gene/178156", "178156")</f>
        <v>178156</v>
      </c>
      <c r="C2838" s="9"/>
      <c r="D2838" t="str">
        <f>"ddb-1"</f>
        <v>ddb-1</v>
      </c>
      <c r="E2838" t="s">
        <v>2287</v>
      </c>
      <c r="F2838" t="s">
        <v>11</v>
      </c>
      <c r="G2838" t="s">
        <v>2288</v>
      </c>
      <c r="H2838" s="12">
        <v>-1.3898362103059001</v>
      </c>
      <c r="I2838" s="20">
        <v>-1.73088290565879</v>
      </c>
      <c r="J2838" s="28">
        <v>8.3472651100395395E-2</v>
      </c>
      <c r="K2838" s="29">
        <v>0.67988849742345203</v>
      </c>
    </row>
    <row r="2839" spans="1:11" x14ac:dyDescent="0.35">
      <c r="A2839" s="9" t="str">
        <f>HYPERLINK("http://www.ensembl.org/id/WBGene00022842", "WBGene00022842")</f>
        <v>WBGene00022842</v>
      </c>
      <c r="B2839" s="9" t="str">
        <f>HYPERLINK("http://www.ncbi.nlm.nih.gov/gene/191486", "191486")</f>
        <v>191486</v>
      </c>
      <c r="C2839" s="9"/>
      <c r="D2839" t="str">
        <f>"ZK994.6"</f>
        <v>ZK994.6</v>
      </c>
      <c r="F2839" t="s">
        <v>11</v>
      </c>
      <c r="H2839" s="12">
        <v>2.7231308140713502</v>
      </c>
      <c r="I2839" s="20">
        <v>1.7308526801577699</v>
      </c>
      <c r="J2839" s="28">
        <v>8.3478043243760694E-2</v>
      </c>
      <c r="K2839" s="29">
        <v>0.67988849742345203</v>
      </c>
    </row>
    <row r="2840" spans="1:11" x14ac:dyDescent="0.35">
      <c r="A2840" s="9" t="str">
        <f>HYPERLINK("http://www.ensembl.org/id/WBGene00014886", "WBGene00014886")</f>
        <v>WBGene00014886</v>
      </c>
      <c r="B2840" s="9"/>
      <c r="C2840" s="9"/>
      <c r="D2840" t="str">
        <f>"Y41E3.5"</f>
        <v>Y41E3.5</v>
      </c>
      <c r="F2840" t="s">
        <v>80</v>
      </c>
      <c r="H2840" s="12">
        <v>10.582189908598201</v>
      </c>
      <c r="I2840" s="20">
        <v>1.7300902611800999</v>
      </c>
      <c r="J2840" s="28">
        <v>8.3614149950206093E-2</v>
      </c>
      <c r="K2840" s="29">
        <v>0.68075706439375006</v>
      </c>
    </row>
    <row r="2841" spans="1:11" x14ac:dyDescent="0.35">
      <c r="A2841" s="9" t="str">
        <f>HYPERLINK("http://www.ensembl.org/id/WBGene00018250", "WBGene00018250")</f>
        <v>WBGene00018250</v>
      </c>
      <c r="B2841" s="9" t="str">
        <f>HYPERLINK("http://www.ncbi.nlm.nih.gov/gene/185571", "185571")</f>
        <v>185571</v>
      </c>
      <c r="C2841" s="9"/>
      <c r="D2841" t="str">
        <f>"F40H3.2"</f>
        <v>F40H3.2</v>
      </c>
      <c r="F2841" t="s">
        <v>11</v>
      </c>
      <c r="H2841" s="12">
        <v>1.56010113169693</v>
      </c>
      <c r="I2841" s="20">
        <v>1.72961979420689</v>
      </c>
      <c r="J2841" s="28">
        <v>8.3698227132917705E-2</v>
      </c>
      <c r="K2841" s="29">
        <v>0.68119851442773804</v>
      </c>
    </row>
    <row r="2842" spans="1:11" x14ac:dyDescent="0.35">
      <c r="A2842" s="9" t="str">
        <f>HYPERLINK("http://www.ensembl.org/id/WBGene00017661", "WBGene00017661")</f>
        <v>WBGene00017661</v>
      </c>
      <c r="B2842" s="9" t="str">
        <f>HYPERLINK("http://www.ncbi.nlm.nih.gov/gene/353447", "353447")</f>
        <v>353447</v>
      </c>
      <c r="C2842" s="9"/>
      <c r="D2842" t="str">
        <f>"frpr-6"</f>
        <v>frpr-6</v>
      </c>
      <c r="E2842" t="s">
        <v>2289</v>
      </c>
      <c r="F2842" t="s">
        <v>11</v>
      </c>
      <c r="G2842" t="s">
        <v>271</v>
      </c>
      <c r="H2842" s="12">
        <v>2.2401559912204001</v>
      </c>
      <c r="I2842" s="20">
        <v>1.72941539566111</v>
      </c>
      <c r="J2842" s="28">
        <v>8.3734776535431807E-2</v>
      </c>
      <c r="K2842" s="29">
        <v>0.68119851442773804</v>
      </c>
    </row>
    <row r="2843" spans="1:11" x14ac:dyDescent="0.35">
      <c r="A2843" s="9" t="str">
        <f>HYPERLINK("http://www.ensembl.org/id/WBGene00007303", "WBGene00007303")</f>
        <v>WBGene00007303</v>
      </c>
      <c r="B2843" s="9" t="str">
        <f>HYPERLINK("http://www.ncbi.nlm.nih.gov/gene/182229", "182229")</f>
        <v>182229</v>
      </c>
      <c r="C2843" s="9"/>
      <c r="D2843" t="str">
        <f>"rnh-1.3"</f>
        <v>rnh-1.3</v>
      </c>
      <c r="E2843" t="s">
        <v>436</v>
      </c>
      <c r="F2843" t="s">
        <v>11</v>
      </c>
      <c r="G2843" t="s">
        <v>437</v>
      </c>
      <c r="H2843" s="12">
        <v>-1.84136949696261</v>
      </c>
      <c r="I2843" s="20">
        <v>-1.72929217993509</v>
      </c>
      <c r="J2843" s="28">
        <v>8.3756815523639103E-2</v>
      </c>
      <c r="K2843" s="29">
        <v>0.68119851442773804</v>
      </c>
    </row>
    <row r="2844" spans="1:11" x14ac:dyDescent="0.35">
      <c r="A2844" s="9" t="str">
        <f>HYPERLINK("http://www.ensembl.org/id/WBGene00001121", "WBGene00001121")</f>
        <v>WBGene00001121</v>
      </c>
      <c r="B2844" s="9" t="str">
        <f>HYPERLINK("http://www.ncbi.nlm.nih.gov/gene/187442", "187442")</f>
        <v>187442</v>
      </c>
      <c r="C2844" s="9"/>
      <c r="D2844" t="str">
        <f>"dyf-5"</f>
        <v>dyf-5</v>
      </c>
      <c r="E2844" t="s">
        <v>2290</v>
      </c>
      <c r="F2844" t="s">
        <v>11</v>
      </c>
      <c r="G2844" t="s">
        <v>444</v>
      </c>
      <c r="H2844" s="12">
        <v>1.9041727433670901</v>
      </c>
      <c r="I2844" s="20">
        <v>1.72854570909447</v>
      </c>
      <c r="J2844" s="28">
        <v>8.3890433511262699E-2</v>
      </c>
      <c r="K2844" s="29">
        <v>0.68204516421929495</v>
      </c>
    </row>
    <row r="2845" spans="1:11" x14ac:dyDescent="0.35">
      <c r="A2845" s="9" t="str">
        <f>HYPERLINK("http://www.ensembl.org/id/WBGene00009579", "WBGene00009579")</f>
        <v>WBGene00009579</v>
      </c>
      <c r="B2845" s="9" t="str">
        <f>HYPERLINK("http://www.ncbi.nlm.nih.gov/gene/185541", "185541")</f>
        <v>185541</v>
      </c>
      <c r="C2845" s="9"/>
      <c r="D2845" t="str">
        <f>"arrd-6"</f>
        <v>arrd-6</v>
      </c>
      <c r="E2845" t="s">
        <v>377</v>
      </c>
      <c r="F2845" t="s">
        <v>11</v>
      </c>
      <c r="G2845" t="s">
        <v>378</v>
      </c>
      <c r="H2845" s="12">
        <v>1.6063374606891201</v>
      </c>
      <c r="I2845" s="20">
        <v>1.72578494144938</v>
      </c>
      <c r="J2845" s="28">
        <v>8.4386109913541493E-2</v>
      </c>
      <c r="K2845" s="29">
        <v>0.68318940529949201</v>
      </c>
    </row>
    <row r="2846" spans="1:11" x14ac:dyDescent="0.35">
      <c r="A2846" s="9" t="str">
        <f>HYPERLINK("http://www.ensembl.org/id/WBGene00015740", "WBGene00015740")</f>
        <v>WBGene00015740</v>
      </c>
      <c r="B2846" s="9" t="str">
        <f>HYPERLINK("http://www.ncbi.nlm.nih.gov/gene/181134", "181134")</f>
        <v>181134</v>
      </c>
      <c r="C2846" s="9"/>
      <c r="D2846" t="str">
        <f>"C13E3.1"</f>
        <v>C13E3.1</v>
      </c>
      <c r="F2846" t="s">
        <v>11</v>
      </c>
      <c r="H2846" s="12">
        <v>1.4601266601918601</v>
      </c>
      <c r="I2846" s="20">
        <v>1.7272603431229301</v>
      </c>
      <c r="J2846" s="28">
        <v>8.4120917894800806E-2</v>
      </c>
      <c r="K2846" s="29">
        <v>0.68318940529949201</v>
      </c>
    </row>
    <row r="2847" spans="1:11" x14ac:dyDescent="0.35">
      <c r="A2847" s="9" t="str">
        <f>HYPERLINK("http://www.ensembl.org/id/WBGene00016695", "WBGene00016695")</f>
        <v>WBGene00016695</v>
      </c>
      <c r="B2847" s="9" t="str">
        <f>HYPERLINK("http://www.ncbi.nlm.nih.gov/gene/178694", "178694")</f>
        <v>178694</v>
      </c>
      <c r="C2847" s="9"/>
      <c r="D2847" t="str">
        <f>"C45H4.14"</f>
        <v>C45H4.14</v>
      </c>
      <c r="F2847" t="s">
        <v>11</v>
      </c>
      <c r="H2847" s="12">
        <v>-1.8267533047595399</v>
      </c>
      <c r="I2847" s="20">
        <v>-1.7258445713720001</v>
      </c>
      <c r="J2847" s="28">
        <v>8.4375378794240494E-2</v>
      </c>
      <c r="K2847" s="29">
        <v>0.68318940529949201</v>
      </c>
    </row>
    <row r="2848" spans="1:11" x14ac:dyDescent="0.35">
      <c r="A2848" s="9" t="str">
        <f>HYPERLINK("http://www.ensembl.org/id/WBGene00001240", "WBGene00001240")</f>
        <v>WBGene00001240</v>
      </c>
      <c r="B2848" s="9" t="str">
        <f>HYPERLINK("http://www.ncbi.nlm.nih.gov/gene/178532", "178532")</f>
        <v>178532</v>
      </c>
      <c r="C2848" s="9"/>
      <c r="D2848" t="str">
        <f>"elo-2"</f>
        <v>elo-2</v>
      </c>
      <c r="E2848" t="s">
        <v>1769</v>
      </c>
      <c r="F2848" t="s">
        <v>11</v>
      </c>
      <c r="G2848" t="s">
        <v>2296</v>
      </c>
      <c r="H2848" s="12">
        <v>-1.4133538878262799</v>
      </c>
      <c r="I2848" s="20">
        <v>-1.7258893400752999</v>
      </c>
      <c r="J2848" s="28">
        <v>8.4367322855256596E-2</v>
      </c>
      <c r="K2848" s="29">
        <v>0.68318940529949201</v>
      </c>
    </row>
    <row r="2849" spans="1:11" x14ac:dyDescent="0.35">
      <c r="A2849" s="9" t="str">
        <f>HYPERLINK("http://www.ensembl.org/id/WBGene00000202", "WBGene00000202")</f>
        <v>WBGene00000202</v>
      </c>
      <c r="B2849" s="9" t="str">
        <f>HYPERLINK("http://www.ncbi.nlm.nih.gov/gene/259488", "259488")</f>
        <v>259488</v>
      </c>
      <c r="C2849" s="9"/>
      <c r="D2849" t="str">
        <f>"exos-4.2"</f>
        <v>exos-4.2</v>
      </c>
      <c r="E2849" t="s">
        <v>2299</v>
      </c>
      <c r="F2849" t="s">
        <v>11</v>
      </c>
      <c r="G2849" t="s">
        <v>2300</v>
      </c>
      <c r="H2849" s="12">
        <v>-1.4918157788556301</v>
      </c>
      <c r="I2849" s="20">
        <v>-1.7275547785525101</v>
      </c>
      <c r="J2849" s="28">
        <v>8.4068076232487299E-2</v>
      </c>
      <c r="K2849" s="29">
        <v>0.68318940529949201</v>
      </c>
    </row>
    <row r="2850" spans="1:11" x14ac:dyDescent="0.35">
      <c r="A2850" s="9" t="str">
        <f>HYPERLINK("http://www.ensembl.org/id/WBGene00009131", "WBGene00009131")</f>
        <v>WBGene00009131</v>
      </c>
      <c r="B2850" s="9" t="str">
        <f>HYPERLINK("http://www.ncbi.nlm.nih.gov/gene/177847", "177847")</f>
        <v>177847</v>
      </c>
      <c r="C2850" s="9" t="str">
        <f>HYPERLINK("http://www.ncbi.nlm.nih.gov/gene/93587", "93587")</f>
        <v>93587</v>
      </c>
      <c r="D2850" t="str">
        <f>"F25H8.1"</f>
        <v>F25H8.1</v>
      </c>
      <c r="F2850" t="s">
        <v>11</v>
      </c>
      <c r="G2850" t="s">
        <v>2301</v>
      </c>
      <c r="H2850" s="12">
        <v>-1.51203855005381</v>
      </c>
      <c r="I2850" s="20">
        <v>-1.7272638972479299</v>
      </c>
      <c r="J2850" s="28">
        <v>8.41202798837455E-2</v>
      </c>
      <c r="K2850" s="29">
        <v>0.68318940529949201</v>
      </c>
    </row>
    <row r="2851" spans="1:11" x14ac:dyDescent="0.35">
      <c r="A2851" s="9" t="str">
        <f>HYPERLINK("http://www.ensembl.org/id/WBGene00009330", "WBGene00009330")</f>
        <v>WBGene00009330</v>
      </c>
      <c r="B2851" s="9" t="str">
        <f>HYPERLINK("http://www.ncbi.nlm.nih.gov/gene/179509", "179509")</f>
        <v>179509</v>
      </c>
      <c r="C2851" s="9"/>
      <c r="D2851" t="str">
        <f>"F32D8.5"</f>
        <v>F32D8.5</v>
      </c>
      <c r="F2851" t="s">
        <v>11</v>
      </c>
      <c r="G2851" t="s">
        <v>2302</v>
      </c>
      <c r="H2851" s="12">
        <v>-1.5567246568780599</v>
      </c>
      <c r="I2851" s="20">
        <v>-1.7264337856174901</v>
      </c>
      <c r="J2851" s="28">
        <v>8.4269401983222303E-2</v>
      </c>
      <c r="K2851" s="29">
        <v>0.68318940529949201</v>
      </c>
    </row>
    <row r="2852" spans="1:11" x14ac:dyDescent="0.35">
      <c r="A2852" s="9" t="str">
        <f>HYPERLINK("http://www.ensembl.org/id/WBGene00010202", "WBGene00010202")</f>
        <v>WBGene00010202</v>
      </c>
      <c r="B2852" s="9" t="str">
        <f>HYPERLINK("http://www.ncbi.nlm.nih.gov/gene/186450", "186450")</f>
        <v>186450</v>
      </c>
      <c r="C2852" s="9"/>
      <c r="D2852" t="str">
        <f>"F57E7.1"</f>
        <v>F57E7.1</v>
      </c>
      <c r="F2852" t="s">
        <v>11</v>
      </c>
      <c r="H2852" s="12">
        <v>2.4745801912115502</v>
      </c>
      <c r="I2852" s="20">
        <v>1.7252879806289101</v>
      </c>
      <c r="J2852" s="28">
        <v>8.4475586932370506E-2</v>
      </c>
      <c r="K2852" s="29">
        <v>0.68318940529949201</v>
      </c>
    </row>
    <row r="2853" spans="1:11" x14ac:dyDescent="0.35">
      <c r="A2853" s="9" t="str">
        <f>HYPERLINK("http://www.ensembl.org/id/WBGene00044088", "WBGene00044088")</f>
        <v>WBGene00044088</v>
      </c>
      <c r="B2853" s="9" t="str">
        <f>HYPERLINK("http://www.ncbi.nlm.nih.gov/gene/3565938", "3565938")</f>
        <v>3565938</v>
      </c>
      <c r="C2853" s="9"/>
      <c r="D2853" t="str">
        <f>"oac-2"</f>
        <v>oac-2</v>
      </c>
      <c r="E2853" t="s">
        <v>883</v>
      </c>
      <c r="F2853" t="s">
        <v>11</v>
      </c>
      <c r="G2853" t="s">
        <v>2293</v>
      </c>
      <c r="H2853" s="12">
        <v>2.6518412405657501</v>
      </c>
      <c r="I2853" s="20">
        <v>1.72687669941633</v>
      </c>
      <c r="J2853" s="28">
        <v>8.4189809897173298E-2</v>
      </c>
      <c r="K2853" s="29">
        <v>0.68318940529949201</v>
      </c>
    </row>
    <row r="2854" spans="1:11" x14ac:dyDescent="0.35">
      <c r="A2854" s="9" t="str">
        <f>HYPERLINK("http://www.ensembl.org/id/WBGene00018721", "WBGene00018721")</f>
        <v>WBGene00018721</v>
      </c>
      <c r="B2854" s="9" t="str">
        <f>HYPERLINK("http://www.ncbi.nlm.nih.gov/gene/175337", "175337")</f>
        <v>175337</v>
      </c>
      <c r="C2854" s="9" t="str">
        <f>HYPERLINK("http://www.ncbi.nlm.nih.gov/gene/5429", "5429")</f>
        <v>5429</v>
      </c>
      <c r="D2854" t="str">
        <f>"polh-1"</f>
        <v>polh-1</v>
      </c>
      <c r="E2854" t="s">
        <v>2297</v>
      </c>
      <c r="F2854" t="s">
        <v>11</v>
      </c>
      <c r="G2854" t="s">
        <v>2298</v>
      </c>
      <c r="H2854" s="12">
        <v>-1.47937004575817</v>
      </c>
      <c r="I2854" s="20">
        <v>-1.72607540395022</v>
      </c>
      <c r="J2854" s="28">
        <v>8.4333848115935403E-2</v>
      </c>
      <c r="K2854" s="29">
        <v>0.68318940529949201</v>
      </c>
    </row>
    <row r="2855" spans="1:11" x14ac:dyDescent="0.35">
      <c r="A2855" s="9" t="str">
        <f>HYPERLINK("http://www.ensembl.org/id/WBGene00005032", "WBGene00005032")</f>
        <v>WBGene00005032</v>
      </c>
      <c r="B2855" s="9" t="str">
        <f>HYPERLINK("http://www.ncbi.nlm.nih.gov/gene/191777", "191777")</f>
        <v>191777</v>
      </c>
      <c r="C2855" s="9"/>
      <c r="D2855" t="str">
        <f>"sra-6"</f>
        <v>sra-6</v>
      </c>
      <c r="E2855" t="s">
        <v>2291</v>
      </c>
      <c r="F2855" t="s">
        <v>11</v>
      </c>
      <c r="G2855" t="s">
        <v>2292</v>
      </c>
      <c r="H2855" s="12">
        <v>2.9804495389308601</v>
      </c>
      <c r="I2855" s="20">
        <v>1.7258828544293601</v>
      </c>
      <c r="J2855" s="28">
        <v>8.4368489881282496E-2</v>
      </c>
      <c r="K2855" s="29">
        <v>0.68318940529949201</v>
      </c>
    </row>
    <row r="2856" spans="1:11" x14ac:dyDescent="0.35">
      <c r="A2856" s="9" t="str">
        <f>HYPERLINK("http://www.ensembl.org/id/WBGene00009940", "WBGene00009940")</f>
        <v>WBGene00009940</v>
      </c>
      <c r="B2856" s="9" t="str">
        <f>HYPERLINK("http://www.ncbi.nlm.nih.gov/gene/172846", "172846")</f>
        <v>172846</v>
      </c>
      <c r="C2856" s="9"/>
      <c r="D2856" t="str">
        <f>"strl-1"</f>
        <v>strl-1</v>
      </c>
      <c r="E2856" t="s">
        <v>2295</v>
      </c>
      <c r="F2856" t="s">
        <v>11</v>
      </c>
      <c r="G2856" t="s">
        <v>2037</v>
      </c>
      <c r="H2856" s="12">
        <v>-1.3947889865827301</v>
      </c>
      <c r="I2856" s="20">
        <v>-1.72644559051559</v>
      </c>
      <c r="J2856" s="28">
        <v>8.4267279840730194E-2</v>
      </c>
      <c r="K2856" s="29">
        <v>0.68318940529949201</v>
      </c>
    </row>
    <row r="2857" spans="1:11" x14ac:dyDescent="0.35">
      <c r="A2857" s="9" t="str">
        <f>HYPERLINK("http://www.ensembl.org/id/WBGene00303081", "WBGene00303081")</f>
        <v>WBGene00303081</v>
      </c>
      <c r="B2857" s="9" t="str">
        <f>HYPERLINK("http://www.ncbi.nlm.nih.gov/gene/36805045", "36805045")</f>
        <v>36805045</v>
      </c>
      <c r="C2857" s="9"/>
      <c r="D2857" t="str">
        <f>"T23F2.13"</f>
        <v>T23F2.13</v>
      </c>
      <c r="F2857" t="s">
        <v>11</v>
      </c>
      <c r="G2857" t="s">
        <v>25</v>
      </c>
      <c r="H2857" s="12">
        <v>3.8724676597165302</v>
      </c>
      <c r="I2857" s="20">
        <v>1.7257491848756401</v>
      </c>
      <c r="J2857" s="28">
        <v>8.4392545267227601E-2</v>
      </c>
      <c r="K2857" s="29">
        <v>0.68318940529949201</v>
      </c>
    </row>
    <row r="2858" spans="1:11" x14ac:dyDescent="0.35">
      <c r="A2858" s="9" t="str">
        <f>HYPERLINK("http://www.ensembl.org/id/WBGene00011962", "WBGene00011962")</f>
        <v>WBGene00011962</v>
      </c>
      <c r="B2858" s="9" t="str">
        <f>HYPERLINK("http://www.ncbi.nlm.nih.gov/gene/176302", "176302")</f>
        <v>176302</v>
      </c>
      <c r="C2858" s="9" t="str">
        <f>HYPERLINK("http://www.ncbi.nlm.nih.gov/gene/6397", "6397")</f>
        <v>6397</v>
      </c>
      <c r="D2858" t="str">
        <f>"T23G5.2"</f>
        <v>T23G5.2</v>
      </c>
      <c r="E2858" t="s">
        <v>2294</v>
      </c>
      <c r="F2858" t="s">
        <v>11</v>
      </c>
      <c r="H2858" s="12">
        <v>-1.37496178818924</v>
      </c>
      <c r="I2858" s="20">
        <v>-1.7251288454890401</v>
      </c>
      <c r="J2858" s="28">
        <v>8.4504255186789098E-2</v>
      </c>
      <c r="K2858" s="29">
        <v>0.68318940529949201</v>
      </c>
    </row>
    <row r="2859" spans="1:11" x14ac:dyDescent="0.35">
      <c r="A2859" s="9" t="str">
        <f>HYPERLINK("http://www.ensembl.org/id/WBGene00021269", "WBGene00021269")</f>
        <v>WBGene00021269</v>
      </c>
      <c r="B2859" s="9" t="str">
        <f>HYPERLINK("http://www.ncbi.nlm.nih.gov/gene/171820", "171820")</f>
        <v>171820</v>
      </c>
      <c r="C2859" s="9"/>
      <c r="D2859" t="str">
        <f>"Y23H5A.2"</f>
        <v>Y23H5A.2</v>
      </c>
      <c r="F2859" t="s">
        <v>11</v>
      </c>
      <c r="H2859" s="12">
        <v>-1.5923645012091401</v>
      </c>
      <c r="I2859" s="20">
        <v>-1.7255697348280401</v>
      </c>
      <c r="J2859" s="28">
        <v>8.4424848110300293E-2</v>
      </c>
      <c r="K2859" s="29">
        <v>0.68318940529949201</v>
      </c>
    </row>
    <row r="2860" spans="1:11" x14ac:dyDescent="0.35">
      <c r="A2860" s="9" t="str">
        <f>HYPERLINK("http://www.ensembl.org/id/WBGene00013965", "WBGene00013965")</f>
        <v>WBGene00013965</v>
      </c>
      <c r="B2860" s="9" t="str">
        <f>HYPERLINK("http://www.ncbi.nlm.nih.gov/gene/191282", "191282")</f>
        <v>191282</v>
      </c>
      <c r="C2860" s="9"/>
      <c r="D2860" t="str">
        <f>"ZK287.4"</f>
        <v>ZK287.4</v>
      </c>
      <c r="F2860" t="s">
        <v>11</v>
      </c>
      <c r="G2860" t="s">
        <v>50</v>
      </c>
      <c r="H2860" s="12">
        <v>2.3301747937278301</v>
      </c>
      <c r="I2860" s="20">
        <v>1.7253267401043699</v>
      </c>
      <c r="J2860" s="28">
        <v>8.4468605590402507E-2</v>
      </c>
      <c r="K2860" s="29">
        <v>0.68318940529949201</v>
      </c>
    </row>
    <row r="2861" spans="1:11" x14ac:dyDescent="0.35">
      <c r="A2861" s="9" t="str">
        <f>HYPERLINK("http://www.ensembl.org/id/WBGene00008921", "WBGene00008921")</f>
        <v>WBGene00008921</v>
      </c>
      <c r="B2861" s="9" t="str">
        <f>HYPERLINK("http://www.ncbi.nlm.nih.gov/gene/179521", "179521")</f>
        <v>179521</v>
      </c>
      <c r="C2861" s="9"/>
      <c r="D2861" t="str">
        <f>"ctf-4"</f>
        <v>ctf-4</v>
      </c>
      <c r="E2861" t="s">
        <v>2303</v>
      </c>
      <c r="F2861" t="s">
        <v>11</v>
      </c>
      <c r="G2861" t="s">
        <v>2304</v>
      </c>
      <c r="H2861" s="12">
        <v>-1.4940073788535</v>
      </c>
      <c r="I2861" s="20">
        <v>-1.7248549484000899</v>
      </c>
      <c r="J2861" s="28">
        <v>8.4553616282580193E-2</v>
      </c>
      <c r="K2861" s="29">
        <v>0.68334937314630995</v>
      </c>
    </row>
    <row r="2862" spans="1:11" x14ac:dyDescent="0.35">
      <c r="A2862" s="9" t="str">
        <f>HYPERLINK("http://www.ensembl.org/id/WBGene00003172", "WBGene00003172")</f>
        <v>WBGene00003172</v>
      </c>
      <c r="B2862" s="9" t="str">
        <f>HYPERLINK("http://www.ncbi.nlm.nih.gov/gene/172771", "172771")</f>
        <v>172771</v>
      </c>
      <c r="C2862" s="9"/>
      <c r="D2862" t="str">
        <f>"mec-8"</f>
        <v>mec-8</v>
      </c>
      <c r="E2862" t="s">
        <v>2305</v>
      </c>
      <c r="F2862" t="s">
        <v>11</v>
      </c>
      <c r="G2862" t="s">
        <v>2306</v>
      </c>
      <c r="H2862" s="12">
        <v>1.3849776536672</v>
      </c>
      <c r="I2862" s="20">
        <v>1.72444942738856</v>
      </c>
      <c r="J2862" s="28">
        <v>8.4626741169915198E-2</v>
      </c>
      <c r="K2862" s="29">
        <v>0.68370121729792299</v>
      </c>
    </row>
    <row r="2863" spans="1:11" x14ac:dyDescent="0.35">
      <c r="A2863" s="9" t="str">
        <f>HYPERLINK("http://www.ensembl.org/id/WBGene00020047", "WBGene00020047")</f>
        <v>WBGene00020047</v>
      </c>
      <c r="B2863" s="9" t="str">
        <f>HYPERLINK("http://www.ncbi.nlm.nih.gov/gene/187854", "187854")</f>
        <v>187854</v>
      </c>
      <c r="C2863" s="9"/>
      <c r="D2863" t="str">
        <f>"ttr-32"</f>
        <v>ttr-32</v>
      </c>
      <c r="E2863" t="s">
        <v>16</v>
      </c>
      <c r="F2863" t="s">
        <v>11</v>
      </c>
      <c r="G2863" t="s">
        <v>17</v>
      </c>
      <c r="H2863" s="12">
        <v>1.4932985069112401</v>
      </c>
      <c r="I2863" s="20">
        <v>1.7240640462732599</v>
      </c>
      <c r="J2863" s="28">
        <v>8.4696281770760801E-2</v>
      </c>
      <c r="K2863" s="29">
        <v>0.68402386808640303</v>
      </c>
    </row>
    <row r="2864" spans="1:11" x14ac:dyDescent="0.35">
      <c r="A2864" s="9" t="str">
        <f>HYPERLINK("http://www.ensembl.org/id/WBGene00007116", "WBGene00007116")</f>
        <v>WBGene00007116</v>
      </c>
      <c r="B2864" s="9" t="str">
        <f>HYPERLINK("http://www.ncbi.nlm.nih.gov/gene/181830", "181830")</f>
        <v>181830</v>
      </c>
      <c r="C2864" s="9"/>
      <c r="D2864" t="str">
        <f>"B0198.3"</f>
        <v>B0198.3</v>
      </c>
      <c r="F2864" t="s">
        <v>11</v>
      </c>
      <c r="G2864" t="s">
        <v>2307</v>
      </c>
      <c r="H2864" s="12">
        <v>1.4945006725095</v>
      </c>
      <c r="I2864" s="20">
        <v>1.72200469768794</v>
      </c>
      <c r="J2864" s="28">
        <v>8.5068667514593396E-2</v>
      </c>
      <c r="K2864" s="29">
        <v>0.68511559135315303</v>
      </c>
    </row>
    <row r="2865" spans="1:11" x14ac:dyDescent="0.35">
      <c r="A2865" s="9" t="str">
        <f>HYPERLINK("http://www.ensembl.org/id/WBGene00008303", "WBGene00008303")</f>
        <v>WBGene00008303</v>
      </c>
      <c r="B2865" s="9" t="str">
        <f>HYPERLINK("http://www.ncbi.nlm.nih.gov/gene/183786", "183786")</f>
        <v>183786</v>
      </c>
      <c r="C2865" s="9"/>
      <c r="D2865" t="str">
        <f>"C54D10.9"</f>
        <v>C54D10.9</v>
      </c>
      <c r="F2865" t="s">
        <v>11</v>
      </c>
      <c r="H2865" s="12">
        <v>3.1280751900159198</v>
      </c>
      <c r="I2865" s="20">
        <v>1.7221551673498099</v>
      </c>
      <c r="J2865" s="28">
        <v>8.5041413782103795E-2</v>
      </c>
      <c r="K2865" s="29">
        <v>0.68511559135315303</v>
      </c>
    </row>
    <row r="2866" spans="1:11" x14ac:dyDescent="0.35">
      <c r="A2866" s="9" t="str">
        <f>HYPERLINK("http://www.ensembl.org/id/WBGene00014741", "WBGene00014741")</f>
        <v>WBGene00014741</v>
      </c>
      <c r="B2866" s="9"/>
      <c r="C2866" s="9"/>
      <c r="D2866" t="str">
        <f>"F22B8.2"</f>
        <v>F22B8.2</v>
      </c>
      <c r="F2866" t="s">
        <v>80</v>
      </c>
      <c r="H2866" s="12">
        <v>5.0080500434873896</v>
      </c>
      <c r="I2866" s="20">
        <v>1.72258817052625</v>
      </c>
      <c r="J2866" s="28">
        <v>8.4963025720241198E-2</v>
      </c>
      <c r="K2866" s="29">
        <v>0.68511559135315303</v>
      </c>
    </row>
    <row r="2867" spans="1:11" x14ac:dyDescent="0.35">
      <c r="A2867" s="9" t="str">
        <f>HYPERLINK("http://www.ensembl.org/id/WBGene00008848", "WBGene00008848")</f>
        <v>WBGene00008848</v>
      </c>
      <c r="B2867" s="9" t="str">
        <f>HYPERLINK("http://www.ncbi.nlm.nih.gov/gene/179786", "179786")</f>
        <v>179786</v>
      </c>
      <c r="C2867" s="9"/>
      <c r="D2867" t="str">
        <f>"inft-2"</f>
        <v>inft-2</v>
      </c>
      <c r="E2867" t="s">
        <v>2311</v>
      </c>
      <c r="F2867" t="s">
        <v>11</v>
      </c>
      <c r="H2867" s="12">
        <v>-1.41647634177607</v>
      </c>
      <c r="I2867" s="20">
        <v>-1.72261514965162</v>
      </c>
      <c r="J2867" s="28">
        <v>8.4958143530483796E-2</v>
      </c>
      <c r="K2867" s="29">
        <v>0.68511559135315303</v>
      </c>
    </row>
    <row r="2868" spans="1:11" x14ac:dyDescent="0.35">
      <c r="A2868" s="9" t="str">
        <f>HYPERLINK("http://www.ensembl.org/id/WBGene00003224", "WBGene00003224")</f>
        <v>WBGene00003224</v>
      </c>
      <c r="B2868" s="9" t="str">
        <f>HYPERLINK("http://www.ncbi.nlm.nih.gov/gene/177657", "177657")</f>
        <v>177657</v>
      </c>
      <c r="C2868" s="9"/>
      <c r="D2868" t="str">
        <f>"mes-6"</f>
        <v>mes-6</v>
      </c>
      <c r="E2868" t="s">
        <v>2312</v>
      </c>
      <c r="F2868" t="s">
        <v>11</v>
      </c>
      <c r="G2868" t="s">
        <v>2313</v>
      </c>
      <c r="H2868" s="12">
        <v>-1.48762096529149</v>
      </c>
      <c r="I2868" s="20">
        <v>-1.7226341014750799</v>
      </c>
      <c r="J2868" s="28">
        <v>8.4954714111003499E-2</v>
      </c>
      <c r="K2868" s="29">
        <v>0.68511559135315303</v>
      </c>
    </row>
    <row r="2869" spans="1:11" x14ac:dyDescent="0.35">
      <c r="A2869" s="9" t="str">
        <f>HYPERLINK("http://www.ensembl.org/id/WBGene00003830", "WBGene00003830")</f>
        <v>WBGene00003830</v>
      </c>
      <c r="B2869" s="9" t="str">
        <f>HYPERLINK("http://www.ncbi.nlm.nih.gov/gene/180367", "180367")</f>
        <v>180367</v>
      </c>
      <c r="C2869" s="9"/>
      <c r="D2869" t="str">
        <f>"num-1"</f>
        <v>num-1</v>
      </c>
      <c r="E2869" t="s">
        <v>2309</v>
      </c>
      <c r="F2869" t="s">
        <v>11</v>
      </c>
      <c r="G2869" t="s">
        <v>2310</v>
      </c>
      <c r="H2869" s="12">
        <v>-1.3921262017515701</v>
      </c>
      <c r="I2869" s="20">
        <v>-1.7221535621832</v>
      </c>
      <c r="J2869" s="28">
        <v>8.5041704479735206E-2</v>
      </c>
      <c r="K2869" s="29">
        <v>0.68511559135315303</v>
      </c>
    </row>
    <row r="2870" spans="1:11" x14ac:dyDescent="0.35">
      <c r="A2870" s="9" t="str">
        <f>HYPERLINK("http://www.ensembl.org/id/WBGene00018756", "WBGene00018756")</f>
        <v>WBGene00018756</v>
      </c>
      <c r="B2870" s="9" t="str">
        <f>HYPERLINK("http://www.ncbi.nlm.nih.gov/gene/173734", "173734")</f>
        <v>173734</v>
      </c>
      <c r="C2870" s="9" t="str">
        <f>HYPERLINK("http://www.ncbi.nlm.nih.gov/gene/8611", "8611")</f>
        <v>8611</v>
      </c>
      <c r="D2870" t="str">
        <f>"plpp-1.1"</f>
        <v>plpp-1.1</v>
      </c>
      <c r="E2870" t="s">
        <v>2308</v>
      </c>
      <c r="F2870" t="s">
        <v>11</v>
      </c>
      <c r="G2870" t="s">
        <v>1179</v>
      </c>
      <c r="H2870" s="12">
        <v>-1.3609745952186301</v>
      </c>
      <c r="I2870" s="20">
        <v>-1.7224371187217</v>
      </c>
      <c r="J2870" s="28">
        <v>8.4990364510936403E-2</v>
      </c>
      <c r="K2870" s="29">
        <v>0.68511559135315303</v>
      </c>
    </row>
    <row r="2871" spans="1:11" x14ac:dyDescent="0.35">
      <c r="A2871" s="9" t="str">
        <f>HYPERLINK("http://www.ensembl.org/id/WBGene00012271", "WBGene00012271")</f>
        <v>WBGene00012271</v>
      </c>
      <c r="B2871" s="9" t="str">
        <f>HYPERLINK("http://www.ncbi.nlm.nih.gov/gene/189208", "189208")</f>
        <v>189208</v>
      </c>
      <c r="C2871" s="9"/>
      <c r="D2871" t="str">
        <f>"W05B2.2"</f>
        <v>W05B2.2</v>
      </c>
      <c r="F2871" t="s">
        <v>11</v>
      </c>
      <c r="G2871" t="s">
        <v>50</v>
      </c>
      <c r="H2871" s="12">
        <v>2.7865356372125301</v>
      </c>
      <c r="I2871" s="20">
        <v>1.7231016409142299</v>
      </c>
      <c r="J2871" s="28">
        <v>8.4870146146775696E-2</v>
      </c>
      <c r="K2871" s="29">
        <v>0.68511559135315303</v>
      </c>
    </row>
    <row r="2872" spans="1:11" x14ac:dyDescent="0.35">
      <c r="A2872" s="9" t="str">
        <f>HYPERLINK("http://www.ensembl.org/id/WBGene00007857", "WBGene00007857")</f>
        <v>WBGene00007857</v>
      </c>
      <c r="B2872" s="9" t="str">
        <f>HYPERLINK("http://www.ncbi.nlm.nih.gov/gene/172725", "172725")</f>
        <v>172725</v>
      </c>
      <c r="C2872" s="9"/>
      <c r="D2872" t="str">
        <f>"C31H5.6"</f>
        <v>C31H5.6</v>
      </c>
      <c r="F2872" t="s">
        <v>11</v>
      </c>
      <c r="G2872" t="s">
        <v>1712</v>
      </c>
      <c r="H2872" s="12">
        <v>-1.59852576775745</v>
      </c>
      <c r="I2872" s="20">
        <v>-1.7200551328664799</v>
      </c>
      <c r="J2872" s="28">
        <v>8.5422420338462604E-2</v>
      </c>
      <c r="K2872" s="29">
        <v>0.68585389443765299</v>
      </c>
    </row>
    <row r="2873" spans="1:11" x14ac:dyDescent="0.35">
      <c r="A2873" s="9" t="str">
        <f>HYPERLINK("http://www.ensembl.org/id/WBGene00001034", "WBGene00001034")</f>
        <v>WBGene00001034</v>
      </c>
      <c r="B2873" s="9" t="str">
        <f>HYPERLINK("http://www.ncbi.nlm.nih.gov/gene/175540", "175540")</f>
        <v>175540</v>
      </c>
      <c r="C2873" s="9"/>
      <c r="D2873" t="str">
        <f>"dnj-16"</f>
        <v>dnj-16</v>
      </c>
      <c r="E2873" t="s">
        <v>847</v>
      </c>
      <c r="F2873" t="s">
        <v>11</v>
      </c>
      <c r="H2873" s="12">
        <v>-1.3653702621279999</v>
      </c>
      <c r="I2873" s="20">
        <v>-1.7206542245877601</v>
      </c>
      <c r="J2873" s="28">
        <v>8.5313587482176406E-2</v>
      </c>
      <c r="K2873" s="29">
        <v>0.68585389443765299</v>
      </c>
    </row>
    <row r="2874" spans="1:11" x14ac:dyDescent="0.35">
      <c r="A2874" s="9" t="str">
        <f>HYPERLINK("http://www.ensembl.org/id/WBGene00011272", "WBGene00011272")</f>
        <v>WBGene00011272</v>
      </c>
      <c r="B2874" s="9" t="str">
        <f>HYPERLINK("http://www.ncbi.nlm.nih.gov/gene/174553", "174553")</f>
        <v>174553</v>
      </c>
      <c r="C2874" s="9" t="str">
        <f>HYPERLINK("http://www.ncbi.nlm.nih.gov/gene/1841", "1841")</f>
        <v>1841</v>
      </c>
      <c r="D2874" t="str">
        <f>"dtmk-1"</f>
        <v>dtmk-1</v>
      </c>
      <c r="E2874" t="s">
        <v>2317</v>
      </c>
      <c r="F2874" t="s">
        <v>11</v>
      </c>
      <c r="G2874" t="s">
        <v>2318</v>
      </c>
      <c r="H2874" s="12">
        <v>-1.5330015964006301</v>
      </c>
      <c r="I2874" s="20">
        <v>-1.72091478175021</v>
      </c>
      <c r="J2874" s="28">
        <v>8.5266288855042296E-2</v>
      </c>
      <c r="K2874" s="29">
        <v>0.68585389443765299</v>
      </c>
    </row>
    <row r="2875" spans="1:11" x14ac:dyDescent="0.35">
      <c r="A2875" s="9" t="str">
        <f>HYPERLINK("http://www.ensembl.org/id/WBGene00017358", "WBGene00017358")</f>
        <v>WBGene00017358</v>
      </c>
      <c r="B2875" s="9" t="str">
        <f>HYPERLINK("http://www.ncbi.nlm.nih.gov/gene/176169", "176169")</f>
        <v>176169</v>
      </c>
      <c r="C2875" s="9"/>
      <c r="D2875" t="str">
        <f>"F10E9.7"</f>
        <v>F10E9.7</v>
      </c>
      <c r="F2875" t="s">
        <v>11</v>
      </c>
      <c r="G2875" t="s">
        <v>2319</v>
      </c>
      <c r="H2875" s="12">
        <v>-1.5485297602933501</v>
      </c>
      <c r="I2875" s="20">
        <v>-1.7205927054877299</v>
      </c>
      <c r="J2875" s="28">
        <v>8.5324758065004697E-2</v>
      </c>
      <c r="K2875" s="29">
        <v>0.68585389443765299</v>
      </c>
    </row>
    <row r="2876" spans="1:11" x14ac:dyDescent="0.35">
      <c r="A2876" s="9" t="str">
        <f>HYPERLINK("http://www.ensembl.org/id/WBGene00009702", "WBGene00009702")</f>
        <v>WBGene00009702</v>
      </c>
      <c r="B2876" s="9" t="str">
        <f>HYPERLINK("http://www.ncbi.nlm.nih.gov/gene/185749", "185749")</f>
        <v>185749</v>
      </c>
      <c r="C2876" s="9"/>
      <c r="D2876" t="str">
        <f>"F44F4.3"</f>
        <v>F44F4.3</v>
      </c>
      <c r="F2876" t="s">
        <v>11</v>
      </c>
      <c r="G2876" t="s">
        <v>25</v>
      </c>
      <c r="H2876" s="12">
        <v>1.7819015153345299</v>
      </c>
      <c r="I2876" s="20">
        <v>1.71948760552911</v>
      </c>
      <c r="J2876" s="28">
        <v>8.5525622604676804E-2</v>
      </c>
      <c r="K2876" s="29">
        <v>0.68585389443765299</v>
      </c>
    </row>
    <row r="2877" spans="1:11" x14ac:dyDescent="0.35">
      <c r="A2877" s="9" t="str">
        <f>HYPERLINK("http://www.ensembl.org/id/WBGene00019189", "WBGene00019189")</f>
        <v>WBGene00019189</v>
      </c>
      <c r="B2877" s="9" t="str">
        <f>HYPERLINK("http://www.ncbi.nlm.nih.gov/gene/186723", "186723")</f>
        <v>186723</v>
      </c>
      <c r="C2877" s="9"/>
      <c r="D2877" t="str">
        <f>"H11L12.1"</f>
        <v>H11L12.1</v>
      </c>
      <c r="F2877" t="s">
        <v>11</v>
      </c>
      <c r="H2877" s="12">
        <v>-2.2212635119109798</v>
      </c>
      <c r="I2877" s="20">
        <v>-1.7201592130353101</v>
      </c>
      <c r="J2877" s="28">
        <v>8.5403504761484506E-2</v>
      </c>
      <c r="K2877" s="29">
        <v>0.68585389443765299</v>
      </c>
    </row>
    <row r="2878" spans="1:11" x14ac:dyDescent="0.35">
      <c r="A2878" s="9" t="str">
        <f>HYPERLINK("http://www.ensembl.org/id/WBGene00010559", "WBGene00010559")</f>
        <v>WBGene00010559</v>
      </c>
      <c r="B2878" s="9" t="str">
        <f>HYPERLINK("http://www.ncbi.nlm.nih.gov/gene/3565655", "3565655")</f>
        <v>3565655</v>
      </c>
      <c r="C2878" s="9"/>
      <c r="D2878" t="str">
        <f>"K04D7.6"</f>
        <v>K04D7.6</v>
      </c>
      <c r="F2878" t="s">
        <v>11</v>
      </c>
      <c r="G2878" t="s">
        <v>25</v>
      </c>
      <c r="H2878" s="12">
        <v>2.4923861885705398</v>
      </c>
      <c r="I2878" s="20">
        <v>1.71960079963365</v>
      </c>
      <c r="J2878" s="28">
        <v>8.5505030729265297E-2</v>
      </c>
      <c r="K2878" s="29">
        <v>0.68585389443765299</v>
      </c>
    </row>
    <row r="2879" spans="1:11" x14ac:dyDescent="0.35">
      <c r="A2879" s="9" t="str">
        <f>HYPERLINK("http://www.ensembl.org/id/WBGene00003744", "WBGene00003744")</f>
        <v>WBGene00003744</v>
      </c>
      <c r="B2879" s="9" t="str">
        <f>HYPERLINK("http://www.ncbi.nlm.nih.gov/gene/188798", "188798")</f>
        <v>188798</v>
      </c>
      <c r="C2879" s="9"/>
      <c r="D2879" t="str">
        <f>"nlp-6"</f>
        <v>nlp-6</v>
      </c>
      <c r="E2879" t="s">
        <v>76</v>
      </c>
      <c r="F2879" t="s">
        <v>11</v>
      </c>
      <c r="G2879" t="s">
        <v>77</v>
      </c>
      <c r="H2879" s="12">
        <v>1.4227316950689499</v>
      </c>
      <c r="I2879" s="20">
        <v>1.71981524692296</v>
      </c>
      <c r="J2879" s="28">
        <v>8.5466030217075606E-2</v>
      </c>
      <c r="K2879" s="29">
        <v>0.68585389443765299</v>
      </c>
    </row>
    <row r="2880" spans="1:11" x14ac:dyDescent="0.35">
      <c r="A2880" s="9" t="str">
        <f>HYPERLINK("http://www.ensembl.org/id/WBGene00003925", "WBGene00003925")</f>
        <v>WBGene00003925</v>
      </c>
      <c r="B2880" s="9" t="str">
        <f>HYPERLINK("http://www.ncbi.nlm.nih.gov/gene/172679", "172679")</f>
        <v>172679</v>
      </c>
      <c r="C2880" s="9" t="str">
        <f>HYPERLINK("http://www.ncbi.nlm.nih.gov/gene/5688", "5688")</f>
        <v>5688</v>
      </c>
      <c r="D2880" t="str">
        <f>"pas-4"</f>
        <v>pas-4</v>
      </c>
      <c r="E2880" t="s">
        <v>2314</v>
      </c>
      <c r="F2880" t="s">
        <v>11</v>
      </c>
      <c r="G2880" t="s">
        <v>1896</v>
      </c>
      <c r="H2880" s="12">
        <v>-1.3753492839225401</v>
      </c>
      <c r="I2880" s="20">
        <v>-1.71937441157287</v>
      </c>
      <c r="J2880" s="28">
        <v>8.5546218461408904E-2</v>
      </c>
      <c r="K2880" s="29">
        <v>0.68585389443765299</v>
      </c>
    </row>
    <row r="2881" spans="1:11" x14ac:dyDescent="0.35">
      <c r="A2881" s="9" t="str">
        <f>HYPERLINK("http://www.ensembl.org/id/WBGene00022278", "WBGene00022278")</f>
        <v>WBGene00022278</v>
      </c>
      <c r="B2881" s="9" t="str">
        <f>HYPERLINK("http://www.ncbi.nlm.nih.gov/gene/171592", "171592")</f>
        <v>171592</v>
      </c>
      <c r="C2881" s="9"/>
      <c r="D2881" t="str">
        <f>"rcor-1"</f>
        <v>rcor-1</v>
      </c>
      <c r="E2881" t="s">
        <v>2315</v>
      </c>
      <c r="F2881" t="s">
        <v>11</v>
      </c>
      <c r="G2881" t="s">
        <v>2316</v>
      </c>
      <c r="H2881" s="12">
        <v>-1.42495427384597</v>
      </c>
      <c r="I2881" s="20">
        <v>-1.72050919942683</v>
      </c>
      <c r="J2881" s="28">
        <v>8.5339922912318705E-2</v>
      </c>
      <c r="K2881" s="29">
        <v>0.68585389443765299</v>
      </c>
    </row>
    <row r="2882" spans="1:11" x14ac:dyDescent="0.35">
      <c r="A2882" s="9" t="str">
        <f>HYPERLINK("http://www.ensembl.org/id/WBGene00008062", "WBGene00008062")</f>
        <v>WBGene00008062</v>
      </c>
      <c r="B2882" s="9" t="str">
        <f>HYPERLINK("http://www.ncbi.nlm.nih.gov/gene/183391", "183391")</f>
        <v>183391</v>
      </c>
      <c r="C2882" s="9"/>
      <c r="D2882" t="str">
        <f>"set-32"</f>
        <v>set-32</v>
      </c>
      <c r="E2882" t="s">
        <v>2055</v>
      </c>
      <c r="F2882" t="s">
        <v>11</v>
      </c>
      <c r="G2882" t="s">
        <v>54</v>
      </c>
      <c r="H2882" s="12">
        <v>-1.80381211999649</v>
      </c>
      <c r="I2882" s="20">
        <v>-1.7201668740196401</v>
      </c>
      <c r="J2882" s="28">
        <v>8.5402112584529705E-2</v>
      </c>
      <c r="K2882" s="29">
        <v>0.68585389443765299</v>
      </c>
    </row>
    <row r="2883" spans="1:11" x14ac:dyDescent="0.35">
      <c r="A2883" s="9" t="str">
        <f>HYPERLINK("http://www.ensembl.org/id/WBGene00011484", "WBGene00011484")</f>
        <v>WBGene00011484</v>
      </c>
      <c r="B2883" s="9" t="str">
        <f>HYPERLINK("http://www.ncbi.nlm.nih.gov/gene/188133", "188133")</f>
        <v>188133</v>
      </c>
      <c r="C2883" s="9"/>
      <c r="D2883" t="str">
        <f>"T05E11.8"</f>
        <v>T05E11.8</v>
      </c>
      <c r="F2883" t="s">
        <v>11</v>
      </c>
      <c r="H2883" s="12">
        <v>1.82679228679412</v>
      </c>
      <c r="I2883" s="20">
        <v>1.7197055193727699</v>
      </c>
      <c r="J2883" s="28">
        <v>8.5485984049723199E-2</v>
      </c>
      <c r="K2883" s="29">
        <v>0.68585389443765299</v>
      </c>
    </row>
    <row r="2884" spans="1:11" x14ac:dyDescent="0.35">
      <c r="A2884" s="9" t="str">
        <f>HYPERLINK("http://www.ensembl.org/id/WBGene00010440", "WBGene00010440")</f>
        <v>WBGene00010440</v>
      </c>
      <c r="B2884" s="9" t="str">
        <f>HYPERLINK("http://www.ncbi.nlm.nih.gov/gene/178282", "178282")</f>
        <v>178282</v>
      </c>
      <c r="C2884" s="9"/>
      <c r="D2884" t="str">
        <f>"ttr-51"</f>
        <v>ttr-51</v>
      </c>
      <c r="E2884" t="s">
        <v>16</v>
      </c>
      <c r="F2884" t="s">
        <v>11</v>
      </c>
      <c r="G2884" t="s">
        <v>17</v>
      </c>
      <c r="H2884" s="12">
        <v>-1.3557165319123701</v>
      </c>
      <c r="I2884" s="20">
        <v>-1.7197009527057201</v>
      </c>
      <c r="J2884" s="28">
        <v>8.5486814574651501E-2</v>
      </c>
      <c r="K2884" s="29">
        <v>0.68585389443765299</v>
      </c>
    </row>
    <row r="2885" spans="1:11" x14ac:dyDescent="0.35">
      <c r="A2885" s="9" t="str">
        <f>HYPERLINK("http://www.ensembl.org/id/WBGene00003527", "WBGene00003527")</f>
        <v>WBGene00003527</v>
      </c>
      <c r="B2885" s="9" t="str">
        <f>HYPERLINK("http://www.ncbi.nlm.nih.gov/gene/183207", "183207")</f>
        <v>183207</v>
      </c>
      <c r="C2885" s="9"/>
      <c r="D2885" t="str">
        <f>"nas-8"</f>
        <v>nas-8</v>
      </c>
      <c r="E2885" t="s">
        <v>2320</v>
      </c>
      <c r="F2885" t="s">
        <v>11</v>
      </c>
      <c r="G2885" t="s">
        <v>1542</v>
      </c>
      <c r="H2885" s="12">
        <v>1.8132305480508999</v>
      </c>
      <c r="I2885" s="20">
        <v>1.71879366753158</v>
      </c>
      <c r="J2885" s="28">
        <v>8.5651949005262407E-2</v>
      </c>
      <c r="K2885" s="29">
        <v>0.68646338318265399</v>
      </c>
    </row>
    <row r="2886" spans="1:11" x14ac:dyDescent="0.35">
      <c r="A2886" s="9" t="str">
        <f>HYPERLINK("http://www.ensembl.org/id/WBGene00022232", "WBGene00022232")</f>
        <v>WBGene00022232</v>
      </c>
      <c r="B2886" s="9" t="str">
        <f>HYPERLINK("http://www.ncbi.nlm.nih.gov/gene/177403", "177403")</f>
        <v>177403</v>
      </c>
      <c r="C2886" s="9" t="str">
        <f>HYPERLINK("http://www.ncbi.nlm.nih.gov/gene/23404", "23404")</f>
        <v>23404</v>
      </c>
      <c r="D2886" t="str">
        <f>"exos-2"</f>
        <v>exos-2</v>
      </c>
      <c r="E2886" t="s">
        <v>2299</v>
      </c>
      <c r="F2886" t="s">
        <v>11</v>
      </c>
      <c r="G2886" t="s">
        <v>2321</v>
      </c>
      <c r="H2886" s="12">
        <v>-1.4974581395262101</v>
      </c>
      <c r="I2886" s="20">
        <v>-1.71835433697457</v>
      </c>
      <c r="J2886" s="28">
        <v>8.5732003890861899E-2</v>
      </c>
      <c r="K2886" s="29">
        <v>0.68662865923821603</v>
      </c>
    </row>
    <row r="2887" spans="1:11" x14ac:dyDescent="0.35">
      <c r="A2887" s="9" t="str">
        <f>HYPERLINK("http://www.ensembl.org/id/WBGene00018670", "WBGene00018670")</f>
        <v>WBGene00018670</v>
      </c>
      <c r="B2887" s="9" t="str">
        <f>HYPERLINK("http://www.ncbi.nlm.nih.gov/gene/186095", "186095")</f>
        <v>186095</v>
      </c>
      <c r="C2887" s="9"/>
      <c r="D2887" t="str">
        <f>"F52C6.13"</f>
        <v>F52C6.13</v>
      </c>
      <c r="F2887" t="s">
        <v>11</v>
      </c>
      <c r="H2887" s="12">
        <v>20.578158262103699</v>
      </c>
      <c r="I2887" s="20">
        <v>1.7183860783262199</v>
      </c>
      <c r="J2887" s="28">
        <v>8.5726217950718803E-2</v>
      </c>
      <c r="K2887" s="29">
        <v>0.68662865923821603</v>
      </c>
    </row>
    <row r="2888" spans="1:11" x14ac:dyDescent="0.35">
      <c r="A2888" s="9" t="str">
        <f>HYPERLINK("http://www.ensembl.org/id/WBGene00003885", "WBGene00003885")</f>
        <v>WBGene00003885</v>
      </c>
      <c r="B2888" s="9" t="str">
        <f>HYPERLINK("http://www.ncbi.nlm.nih.gov/gene/180585", "180585")</f>
        <v>180585</v>
      </c>
      <c r="C2888" s="9" t="str">
        <f>HYPERLINK("http://www.ncbi.nlm.nih.gov/gene/8100", "8100")</f>
        <v>8100</v>
      </c>
      <c r="D2888" t="str">
        <f>"osm-5"</f>
        <v>osm-5</v>
      </c>
      <c r="E2888" t="s">
        <v>2322</v>
      </c>
      <c r="F2888" t="s">
        <v>11</v>
      </c>
      <c r="G2888" t="s">
        <v>2323</v>
      </c>
      <c r="H2888" s="12">
        <v>1.76319077599672</v>
      </c>
      <c r="I2888" s="20">
        <v>1.7179862211514101</v>
      </c>
      <c r="J2888" s="28">
        <v>8.5799128567126806E-2</v>
      </c>
      <c r="K2888" s="29">
        <v>0.68692815823701703</v>
      </c>
    </row>
    <row r="2889" spans="1:11" x14ac:dyDescent="0.35">
      <c r="A2889" s="9" t="str">
        <f>HYPERLINK("http://www.ensembl.org/id/WBGene00007762", "WBGene00007762")</f>
        <v>WBGene00007762</v>
      </c>
      <c r="B2889" s="9" t="str">
        <f>HYPERLINK("http://www.ncbi.nlm.nih.gov/gene/177707", "177707")</f>
        <v>177707</v>
      </c>
      <c r="C2889" s="9"/>
      <c r="D2889" t="str">
        <f>"C27B7.5"</f>
        <v>C27B7.5</v>
      </c>
      <c r="F2889" t="s">
        <v>11</v>
      </c>
      <c r="G2889" t="s">
        <v>2324</v>
      </c>
      <c r="H2889" s="12">
        <v>-1.43542022188588</v>
      </c>
      <c r="I2889" s="20">
        <v>-1.7175045363938799</v>
      </c>
      <c r="J2889" s="28">
        <v>8.5887026293925903E-2</v>
      </c>
      <c r="K2889" s="29">
        <v>0.68739370611272999</v>
      </c>
    </row>
    <row r="2890" spans="1:11" x14ac:dyDescent="0.35">
      <c r="A2890" s="9" t="str">
        <f>HYPERLINK("http://www.ensembl.org/id/WBGene00001320", "WBGene00001320")</f>
        <v>WBGene00001320</v>
      </c>
      <c r="B2890" s="9" t="str">
        <f>HYPERLINK("http://www.ncbi.nlm.nih.gov/gene/178097", "178097")</f>
        <v>178097</v>
      </c>
      <c r="C2890" s="9"/>
      <c r="D2890" t="str">
        <f>"ent-1"</f>
        <v>ent-1</v>
      </c>
      <c r="E2890" t="s">
        <v>2325</v>
      </c>
      <c r="F2890" t="s">
        <v>11</v>
      </c>
      <c r="G2890" t="s">
        <v>382</v>
      </c>
      <c r="H2890" s="12">
        <v>-1.4416033651492</v>
      </c>
      <c r="I2890" s="20">
        <v>-1.71718988511288</v>
      </c>
      <c r="J2890" s="28">
        <v>8.59444830683182E-2</v>
      </c>
      <c r="K2890" s="29">
        <v>0.68742653395031095</v>
      </c>
    </row>
    <row r="2891" spans="1:11" x14ac:dyDescent="0.35">
      <c r="A2891" s="9" t="str">
        <f>HYPERLINK("http://www.ensembl.org/id/WBGene00020767", "WBGene00020767")</f>
        <v>WBGene00020767</v>
      </c>
      <c r="B2891" s="9" t="str">
        <f>HYPERLINK("http://www.ncbi.nlm.nih.gov/gene/188854", "188854")</f>
        <v>188854</v>
      </c>
      <c r="C2891" s="9"/>
      <c r="D2891" t="str">
        <f>"lgc-40"</f>
        <v>lgc-40</v>
      </c>
      <c r="E2891" t="s">
        <v>505</v>
      </c>
      <c r="F2891" t="s">
        <v>11</v>
      </c>
      <c r="G2891" t="s">
        <v>506</v>
      </c>
      <c r="H2891" s="12">
        <v>1.54480967638849</v>
      </c>
      <c r="I2891" s="20">
        <v>1.7171562327032399</v>
      </c>
      <c r="J2891" s="28">
        <v>8.59506299914502E-2</v>
      </c>
      <c r="K2891" s="29">
        <v>0.68742653395031095</v>
      </c>
    </row>
    <row r="2892" spans="1:11" x14ac:dyDescent="0.35">
      <c r="A2892" s="9" t="str">
        <f>HYPERLINK("http://www.ensembl.org/id/WBGene00017020", "WBGene00017020")</f>
        <v>WBGene00017020</v>
      </c>
      <c r="B2892" s="9" t="str">
        <f>HYPERLINK("http://www.ncbi.nlm.nih.gov/gene/183898", "183898")</f>
        <v>183898</v>
      </c>
      <c r="C2892" s="9"/>
      <c r="D2892" t="str">
        <f>"D1014.7"</f>
        <v>D1014.7</v>
      </c>
      <c r="F2892" t="s">
        <v>11</v>
      </c>
      <c r="G2892" t="s">
        <v>1686</v>
      </c>
      <c r="H2892" s="12">
        <v>3.0366158604021898</v>
      </c>
      <c r="I2892" s="20">
        <v>1.71695797600361</v>
      </c>
      <c r="J2892" s="28">
        <v>8.5986850618136795E-2</v>
      </c>
      <c r="K2892" s="29">
        <v>0.68747825964798204</v>
      </c>
    </row>
    <row r="2893" spans="1:11" x14ac:dyDescent="0.35">
      <c r="A2893" s="9" t="str">
        <f>HYPERLINK("http://www.ensembl.org/id/WBGene00009650", "WBGene00009650")</f>
        <v>WBGene00009650</v>
      </c>
      <c r="B2893" s="9" t="str">
        <f>HYPERLINK("http://www.ncbi.nlm.nih.gov/gene/185704", "185704")</f>
        <v>185704</v>
      </c>
      <c r="C2893" s="9"/>
      <c r="D2893" t="str">
        <f>"ccnk-1"</f>
        <v>ccnk-1</v>
      </c>
      <c r="E2893" t="s">
        <v>2329</v>
      </c>
      <c r="F2893" t="s">
        <v>11</v>
      </c>
      <c r="G2893" t="s">
        <v>2330</v>
      </c>
      <c r="H2893" s="12">
        <v>-1.4251191667604199</v>
      </c>
      <c r="I2893" s="20">
        <v>-1.71524846212938</v>
      </c>
      <c r="J2893" s="28">
        <v>8.6299683173327105E-2</v>
      </c>
      <c r="K2893" s="29">
        <v>0.68778371884369405</v>
      </c>
    </row>
    <row r="2894" spans="1:11" x14ac:dyDescent="0.35">
      <c r="A2894" s="9" t="str">
        <f>HYPERLINK("http://www.ensembl.org/id/WBGene00000845", "WBGene00000845")</f>
        <v>WBGene00000845</v>
      </c>
      <c r="B2894" s="9" t="str">
        <f>HYPERLINK("http://www.ncbi.nlm.nih.gov/gene/176104", "176104")</f>
        <v>176104</v>
      </c>
      <c r="C2894" s="9"/>
      <c r="D2894" t="str">
        <f>"cup-4"</f>
        <v>cup-4</v>
      </c>
      <c r="E2894" t="s">
        <v>2331</v>
      </c>
      <c r="F2894" t="s">
        <v>11</v>
      </c>
      <c r="G2894" t="s">
        <v>774</v>
      </c>
      <c r="H2894" s="12">
        <v>-1.4832510459873001</v>
      </c>
      <c r="I2894" s="20">
        <v>-1.71597728397091</v>
      </c>
      <c r="J2894" s="28">
        <v>8.6166200158506706E-2</v>
      </c>
      <c r="K2894" s="29">
        <v>0.68778371884369405</v>
      </c>
    </row>
    <row r="2895" spans="1:11" x14ac:dyDescent="0.35">
      <c r="A2895" s="9" t="str">
        <f>HYPERLINK("http://www.ensembl.org/id/WBGene00018213", "WBGene00018213")</f>
        <v>WBGene00018213</v>
      </c>
      <c r="B2895" s="9" t="str">
        <f>HYPERLINK("http://www.ncbi.nlm.nih.gov/gene/185504", "185504")</f>
        <v>185504</v>
      </c>
      <c r="C2895" s="9"/>
      <c r="D2895" t="str">
        <f>"F39H12.2"</f>
        <v>F39H12.2</v>
      </c>
      <c r="F2895" t="s">
        <v>11</v>
      </c>
      <c r="G2895" t="s">
        <v>54</v>
      </c>
      <c r="H2895" s="12">
        <v>2.0769097908243701</v>
      </c>
      <c r="I2895" s="20">
        <v>1.71532358684624</v>
      </c>
      <c r="J2895" s="28">
        <v>8.6285916437998406E-2</v>
      </c>
      <c r="K2895" s="29">
        <v>0.68778371884369405</v>
      </c>
    </row>
    <row r="2896" spans="1:11" x14ac:dyDescent="0.35">
      <c r="A2896" s="9" t="str">
        <f>HYPERLINK("http://www.ensembl.org/id/WBGene00015047", "WBGene00015047")</f>
        <v>WBGene00015047</v>
      </c>
      <c r="B2896" s="9" t="str">
        <f>HYPERLINK("http://www.ncbi.nlm.nih.gov/gene/177613", "177613")</f>
        <v>177613</v>
      </c>
      <c r="C2896" s="9" t="str">
        <f>HYPERLINK("http://www.ncbi.nlm.nih.gov/gene/2166", "2166")</f>
        <v>2166</v>
      </c>
      <c r="D2896" t="str">
        <f>"faah-1"</f>
        <v>faah-1</v>
      </c>
      <c r="E2896" t="s">
        <v>2327</v>
      </c>
      <c r="F2896" t="s">
        <v>11</v>
      </c>
      <c r="H2896" s="12">
        <v>1.3607795051537599</v>
      </c>
      <c r="I2896" s="20">
        <v>1.71631532259848</v>
      </c>
      <c r="J2896" s="28">
        <v>8.6104345354903494E-2</v>
      </c>
      <c r="K2896" s="29">
        <v>0.68778371884369405</v>
      </c>
    </row>
    <row r="2897" spans="1:11" x14ac:dyDescent="0.35">
      <c r="A2897" s="9" t="str">
        <f>HYPERLINK("http://www.ensembl.org/id/WBGene00020517", "WBGene00020517")</f>
        <v>WBGene00020517</v>
      </c>
      <c r="B2897" s="9" t="str">
        <f>HYPERLINK("http://www.ncbi.nlm.nih.gov/gene/188513", "188513")</f>
        <v>188513</v>
      </c>
      <c r="C2897" s="9" t="str">
        <f>HYPERLINK("http://www.ncbi.nlm.nih.gov/gene/201562", "201562")</f>
        <v>201562</v>
      </c>
      <c r="D2897" t="str">
        <f>"hpo-8"</f>
        <v>hpo-8</v>
      </c>
      <c r="E2897" t="s">
        <v>2328</v>
      </c>
      <c r="F2897" t="s">
        <v>11</v>
      </c>
      <c r="H2897" s="12">
        <v>-1.3653728162348699</v>
      </c>
      <c r="I2897" s="20">
        <v>-1.71535368290449</v>
      </c>
      <c r="J2897" s="28">
        <v>8.6280401780544094E-2</v>
      </c>
      <c r="K2897" s="29">
        <v>0.68778371884369405</v>
      </c>
    </row>
    <row r="2898" spans="1:11" x14ac:dyDescent="0.35">
      <c r="A2898" s="9" t="str">
        <f>HYPERLINK("http://www.ensembl.org/id/WBGene00004104", "WBGene00004104")</f>
        <v>WBGene00004104</v>
      </c>
      <c r="B2898" s="9" t="str">
        <f>HYPERLINK("http://www.ncbi.nlm.nih.gov/gene/178954", "178954")</f>
        <v>178954</v>
      </c>
      <c r="C2898" s="9"/>
      <c r="D2898" t="str">
        <f>"pqn-13"</f>
        <v>pqn-13</v>
      </c>
      <c r="E2898" t="s">
        <v>432</v>
      </c>
      <c r="F2898" t="s">
        <v>11</v>
      </c>
      <c r="H2898" s="12">
        <v>1.8076287012827399</v>
      </c>
      <c r="I2898" s="20">
        <v>1.71563299248275</v>
      </c>
      <c r="J2898" s="28">
        <v>8.6229236012067695E-2</v>
      </c>
      <c r="K2898" s="29">
        <v>0.68778371884369405</v>
      </c>
    </row>
    <row r="2899" spans="1:11" x14ac:dyDescent="0.35">
      <c r="A2899" s="9" t="str">
        <f>HYPERLINK("http://www.ensembl.org/id/WBGene00011996", "WBGene00011996")</f>
        <v>WBGene00011996</v>
      </c>
      <c r="B2899" s="9" t="str">
        <f>HYPERLINK("http://www.ncbi.nlm.nih.gov/gene/188867", "188867")</f>
        <v>188867</v>
      </c>
      <c r="C2899" s="9"/>
      <c r="D2899" t="str">
        <f>"T24F1.4"</f>
        <v>T24F1.4</v>
      </c>
      <c r="F2899" t="s">
        <v>11</v>
      </c>
      <c r="G2899" t="s">
        <v>25</v>
      </c>
      <c r="H2899" s="12">
        <v>1.92213880620447</v>
      </c>
      <c r="I2899" s="20">
        <v>1.7151227685587001</v>
      </c>
      <c r="J2899" s="28">
        <v>8.6322720706600506E-2</v>
      </c>
      <c r="K2899" s="29">
        <v>0.68778371884369405</v>
      </c>
    </row>
    <row r="2900" spans="1:11" x14ac:dyDescent="0.35">
      <c r="A2900" s="9" t="str">
        <f>HYPERLINK("http://www.ensembl.org/id/WBGene00012139", "WBGene00012139")</f>
        <v>WBGene00012139</v>
      </c>
      <c r="B2900" s="9" t="str">
        <f>HYPERLINK("http://www.ncbi.nlm.nih.gov/gene/172502", "172502")</f>
        <v>172502</v>
      </c>
      <c r="C2900" s="9"/>
      <c r="D2900" t="str">
        <f>"T28F4.4"</f>
        <v>T28F4.4</v>
      </c>
      <c r="F2900" t="s">
        <v>11</v>
      </c>
      <c r="H2900" s="12">
        <v>-1.38202437825991</v>
      </c>
      <c r="I2900" s="20">
        <v>-1.7159085638741101</v>
      </c>
      <c r="J2900" s="28">
        <v>8.6178779051812995E-2</v>
      </c>
      <c r="K2900" s="29">
        <v>0.68778371884369405</v>
      </c>
    </row>
    <row r="2901" spans="1:11" x14ac:dyDescent="0.35">
      <c r="A2901" s="9" t="str">
        <f>HYPERLINK("http://www.ensembl.org/id/WBGene00006914", "WBGene00006914")</f>
        <v>WBGene00006914</v>
      </c>
      <c r="B2901" s="9" t="str">
        <f>HYPERLINK("http://www.ncbi.nlm.nih.gov/gene/177626", "177626")</f>
        <v>177626</v>
      </c>
      <c r="C2901" s="9"/>
      <c r="D2901" t="str">
        <f>"vha-5"</f>
        <v>vha-5</v>
      </c>
      <c r="E2901" t="s">
        <v>535</v>
      </c>
      <c r="F2901" t="s">
        <v>11</v>
      </c>
      <c r="G2901" t="s">
        <v>2326</v>
      </c>
      <c r="H2901" s="12">
        <v>1.3773593730240901</v>
      </c>
      <c r="I2901" s="20">
        <v>1.7160589726970701</v>
      </c>
      <c r="J2901" s="28">
        <v>8.6151249347576203E-2</v>
      </c>
      <c r="K2901" s="29">
        <v>0.68778371884369405</v>
      </c>
    </row>
    <row r="2902" spans="1:11" x14ac:dyDescent="0.35">
      <c r="A2902" s="9" t="str">
        <f>HYPERLINK("http://www.ensembl.org/id/WBGene00013037", "WBGene00013037")</f>
        <v>WBGene00013037</v>
      </c>
      <c r="B2902" s="9" t="str">
        <f>HYPERLINK("http://www.ncbi.nlm.nih.gov/gene/176671", "176671")</f>
        <v>176671</v>
      </c>
      <c r="C2902" s="9"/>
      <c r="D2902" t="str">
        <f>"Y49E10.18"</f>
        <v>Y49E10.18</v>
      </c>
      <c r="F2902" t="s">
        <v>11</v>
      </c>
      <c r="G2902" t="s">
        <v>29</v>
      </c>
      <c r="H2902" s="12">
        <v>-1.5220177363979299</v>
      </c>
      <c r="I2902" s="20">
        <v>-1.7155620783582699</v>
      </c>
      <c r="J2902" s="28">
        <v>8.6242224206529106E-2</v>
      </c>
      <c r="K2902" s="29">
        <v>0.68778371884369405</v>
      </c>
    </row>
    <row r="2903" spans="1:11" x14ac:dyDescent="0.35">
      <c r="A2903" s="9" t="str">
        <f>HYPERLINK("http://www.ensembl.org/id/WBGene00008722", "WBGene00008722")</f>
        <v>WBGene00008722</v>
      </c>
      <c r="B2903" s="9" t="str">
        <f>HYPERLINK("http://www.ncbi.nlm.nih.gov/gene/178077", "178077")</f>
        <v>178077</v>
      </c>
      <c r="C2903" s="9"/>
      <c r="D2903" t="str">
        <f>"F12F6.7"</f>
        <v>F12F6.7</v>
      </c>
      <c r="E2903" t="s">
        <v>2332</v>
      </c>
      <c r="F2903" t="s">
        <v>11</v>
      </c>
      <c r="G2903" t="s">
        <v>2333</v>
      </c>
      <c r="H2903" s="12">
        <v>-1.49664057408388</v>
      </c>
      <c r="I2903" s="20">
        <v>-1.7149032540112299</v>
      </c>
      <c r="J2903" s="28">
        <v>8.6362965971013006E-2</v>
      </c>
      <c r="K2903" s="29">
        <v>0.68786718087770604</v>
      </c>
    </row>
    <row r="2904" spans="1:11" x14ac:dyDescent="0.35">
      <c r="A2904" s="9" t="str">
        <f>HYPERLINK("http://www.ensembl.org/id/WBGene00022800", "WBGene00022800")</f>
        <v>WBGene00022800</v>
      </c>
      <c r="B2904" s="9" t="str">
        <f>HYPERLINK("http://www.ncbi.nlm.nih.gov/gene/176108", "176108")</f>
        <v>176108</v>
      </c>
      <c r="C2904" s="9"/>
      <c r="D2904" t="str">
        <f>"ZK688.5"</f>
        <v>ZK688.5</v>
      </c>
      <c r="F2904" t="s">
        <v>11</v>
      </c>
      <c r="G2904" t="s">
        <v>2334</v>
      </c>
      <c r="H2904" s="12">
        <v>-1.37991070102561</v>
      </c>
      <c r="I2904" s="20">
        <v>-1.71457376685623</v>
      </c>
      <c r="J2904" s="28">
        <v>8.6423401789254506E-2</v>
      </c>
      <c r="K2904" s="29">
        <v>0.68811134450121103</v>
      </c>
    </row>
    <row r="2905" spans="1:11" x14ac:dyDescent="0.35">
      <c r="A2905" s="9" t="str">
        <f>HYPERLINK("http://www.ensembl.org/id/WBGene00016246", "WBGene00016246")</f>
        <v>WBGene00016246</v>
      </c>
      <c r="B2905" s="9" t="str">
        <f>HYPERLINK("http://www.ncbi.nlm.nih.gov/gene/183041", "183041")</f>
        <v>183041</v>
      </c>
      <c r="C2905" s="9"/>
      <c r="D2905" t="str">
        <f>"daf-37"</f>
        <v>daf-37</v>
      </c>
      <c r="E2905" t="s">
        <v>2335</v>
      </c>
      <c r="F2905" t="s">
        <v>11</v>
      </c>
      <c r="G2905" t="s">
        <v>2336</v>
      </c>
      <c r="H2905" s="12">
        <v>1.5533679507648499</v>
      </c>
      <c r="I2905" s="20">
        <v>1.7141805456711701</v>
      </c>
      <c r="J2905" s="28">
        <v>8.6495572652500394E-2</v>
      </c>
      <c r="K2905" s="29">
        <v>0.68823095903980602</v>
      </c>
    </row>
    <row r="2906" spans="1:11" x14ac:dyDescent="0.35">
      <c r="A2906" s="9" t="str">
        <f>HYPERLINK("http://www.ensembl.org/id/WBGene00013551", "WBGene00013551")</f>
        <v>WBGene00013551</v>
      </c>
      <c r="B2906" s="9" t="str">
        <f>HYPERLINK("http://www.ncbi.nlm.nih.gov/gene/176650", "176650")</f>
        <v>176650</v>
      </c>
      <c r="C2906" s="9" t="str">
        <f>HYPERLINK("http://www.ncbi.nlm.nih.gov/gene/51463,653519", "51463,653519")</f>
        <v>51463,653519</v>
      </c>
      <c r="D2906" t="str">
        <f>"Y75B8A.16"</f>
        <v>Y75B8A.16</v>
      </c>
      <c r="F2906" t="s">
        <v>11</v>
      </c>
      <c r="G2906" t="s">
        <v>2337</v>
      </c>
      <c r="H2906" s="12">
        <v>-1.53400275487544</v>
      </c>
      <c r="I2906" s="20">
        <v>-1.7141673444865499</v>
      </c>
      <c r="J2906" s="28">
        <v>8.6497996410092495E-2</v>
      </c>
      <c r="K2906" s="29">
        <v>0.68823095903980602</v>
      </c>
    </row>
    <row r="2907" spans="1:11" x14ac:dyDescent="0.35">
      <c r="A2907" s="9" t="str">
        <f>HYPERLINK("http://www.ensembl.org/id/WBGene00016022", "WBGene00016022")</f>
        <v>WBGene00016022</v>
      </c>
      <c r="B2907" s="9" t="str">
        <f>HYPERLINK("http://www.ncbi.nlm.nih.gov/gene/173391", "173391")</f>
        <v>173391</v>
      </c>
      <c r="C2907" s="9"/>
      <c r="D2907" t="str">
        <f>"C23H3.9"</f>
        <v>C23H3.9</v>
      </c>
      <c r="F2907" t="s">
        <v>11</v>
      </c>
      <c r="H2907" s="12">
        <v>1.5162179957138899</v>
      </c>
      <c r="I2907" s="20">
        <v>1.7137515442848299</v>
      </c>
      <c r="J2907" s="28">
        <v>8.6574366034695205E-2</v>
      </c>
      <c r="K2907" s="29">
        <v>0.68823185918828</v>
      </c>
    </row>
    <row r="2908" spans="1:11" x14ac:dyDescent="0.35">
      <c r="A2908" s="9" t="str">
        <f>HYPERLINK("http://www.ensembl.org/id/WBGene00001385", "WBGene00001385")</f>
        <v>WBGene00001385</v>
      </c>
      <c r="B2908" s="9" t="str">
        <f>HYPERLINK("http://www.ncbi.nlm.nih.gov/gene/176283", "176283")</f>
        <v>176283</v>
      </c>
      <c r="C2908" s="9"/>
      <c r="D2908" t="str">
        <f>"far-1"</f>
        <v>far-1</v>
      </c>
      <c r="E2908" t="s">
        <v>2339</v>
      </c>
      <c r="F2908" t="s">
        <v>11</v>
      </c>
      <c r="G2908" t="s">
        <v>2037</v>
      </c>
      <c r="H2908" s="12">
        <v>-1.46591520213439</v>
      </c>
      <c r="I2908" s="20">
        <v>-1.7135933480240999</v>
      </c>
      <c r="J2908" s="28">
        <v>8.6603436084903299E-2</v>
      </c>
      <c r="K2908" s="29">
        <v>0.68823185918828</v>
      </c>
    </row>
    <row r="2909" spans="1:11" x14ac:dyDescent="0.35">
      <c r="A2909" s="9" t="str">
        <f>HYPERLINK("http://www.ensembl.org/id/WBGene00010267", "WBGene00010267")</f>
        <v>WBGene00010267</v>
      </c>
      <c r="B2909" s="9" t="str">
        <f>HYPERLINK("http://www.ncbi.nlm.nih.gov/gene/174935", "174935")</f>
        <v>174935</v>
      </c>
      <c r="C2909" s="9"/>
      <c r="D2909" t="str">
        <f>"lips-9"</f>
        <v>lips-9</v>
      </c>
      <c r="E2909" t="s">
        <v>430</v>
      </c>
      <c r="F2909" t="s">
        <v>11</v>
      </c>
      <c r="G2909" t="s">
        <v>431</v>
      </c>
      <c r="H2909" s="12">
        <v>3.2129960561459598</v>
      </c>
      <c r="I2909" s="20">
        <v>1.71367217978266</v>
      </c>
      <c r="J2909" s="28">
        <v>8.6588949023035405E-2</v>
      </c>
      <c r="K2909" s="29">
        <v>0.68823185918828</v>
      </c>
    </row>
    <row r="2910" spans="1:11" x14ac:dyDescent="0.35">
      <c r="A2910" s="9" t="str">
        <f>HYPERLINK("http://www.ensembl.org/id/WBGene00019343", "WBGene00019343")</f>
        <v>WBGene00019343</v>
      </c>
      <c r="B2910" s="9" t="str">
        <f>HYPERLINK("http://www.ncbi.nlm.nih.gov/gene/186911", "186911")</f>
        <v>186911</v>
      </c>
      <c r="C2910" s="9"/>
      <c r="D2910" t="str">
        <f>"nep-18"</f>
        <v>nep-18</v>
      </c>
      <c r="E2910" t="s">
        <v>683</v>
      </c>
      <c r="F2910" t="s">
        <v>11</v>
      </c>
      <c r="G2910" t="s">
        <v>2338</v>
      </c>
      <c r="H2910" s="12">
        <v>1.5828873634594101</v>
      </c>
      <c r="I2910" s="20">
        <v>1.71351817311419</v>
      </c>
      <c r="J2910" s="28">
        <v>8.6617252943803305E-2</v>
      </c>
      <c r="K2910" s="29">
        <v>0.68823185918828</v>
      </c>
    </row>
    <row r="2911" spans="1:11" x14ac:dyDescent="0.35">
      <c r="A2911" s="9" t="str">
        <f>HYPERLINK("http://www.ensembl.org/id/WBGene00010868", "WBGene00010868")</f>
        <v>WBGene00010868</v>
      </c>
      <c r="B2911" s="9" t="str">
        <f>HYPERLINK("http://www.ncbi.nlm.nih.gov/gene/179819", "179819")</f>
        <v>179819</v>
      </c>
      <c r="C2911" s="9"/>
      <c r="D2911" t="str">
        <f>"somi-1"</f>
        <v>somi-1</v>
      </c>
      <c r="E2911" t="s">
        <v>2340</v>
      </c>
      <c r="F2911" t="s">
        <v>11</v>
      </c>
      <c r="H2911" s="12">
        <v>1.3916673078249899</v>
      </c>
      <c r="I2911" s="20">
        <v>1.71333154651037</v>
      </c>
      <c r="J2911" s="28">
        <v>8.6651561889399306E-2</v>
      </c>
      <c r="K2911" s="29">
        <v>0.68826778584271597</v>
      </c>
    </row>
    <row r="2912" spans="1:11" x14ac:dyDescent="0.35">
      <c r="A2912" s="9" t="str">
        <f>HYPERLINK("http://www.ensembl.org/id/WBGene00015143", "WBGene00015143")</f>
        <v>WBGene00015143</v>
      </c>
      <c r="B2912" s="9" t="str">
        <f>HYPERLINK("http://www.ncbi.nlm.nih.gov/gene/175800", "175800")</f>
        <v>175800</v>
      </c>
      <c r="C2912" s="9"/>
      <c r="D2912" t="str">
        <f>"rbm-26"</f>
        <v>rbm-26</v>
      </c>
      <c r="E2912" t="s">
        <v>2341</v>
      </c>
      <c r="F2912" t="s">
        <v>11</v>
      </c>
      <c r="G2912" t="s">
        <v>2342</v>
      </c>
      <c r="H2912" s="12">
        <v>-1.3898554284640099</v>
      </c>
      <c r="I2912" s="20">
        <v>-1.7131097167984599</v>
      </c>
      <c r="J2912" s="28">
        <v>8.6692356754127994E-2</v>
      </c>
      <c r="K2912" s="29">
        <v>0.68835518734050904</v>
      </c>
    </row>
    <row r="2913" spans="1:11" x14ac:dyDescent="0.35">
      <c r="A2913" s="9" t="str">
        <f>HYPERLINK("http://www.ensembl.org/id/WBGene00022047", "WBGene00022047")</f>
        <v>WBGene00022047</v>
      </c>
      <c r="B2913" s="9" t="str">
        <f>HYPERLINK("http://www.ncbi.nlm.nih.gov/gene/176871", "176871")</f>
        <v>176871</v>
      </c>
      <c r="C2913" s="9"/>
      <c r="D2913" t="str">
        <f>"Y66H1A.5"</f>
        <v>Y66H1A.5</v>
      </c>
      <c r="F2913" t="s">
        <v>11</v>
      </c>
      <c r="H2913" s="12">
        <v>-1.4496755199018001</v>
      </c>
      <c r="I2913" s="20">
        <v>-1.7126214198779599</v>
      </c>
      <c r="J2913" s="28">
        <v>8.6782210032833401E-2</v>
      </c>
      <c r="K2913" s="29">
        <v>0.68861400929390104</v>
      </c>
    </row>
    <row r="2914" spans="1:11" x14ac:dyDescent="0.35">
      <c r="A2914" s="9" t="str">
        <f>HYPERLINK("http://www.ensembl.org/id/WBGene00022771", "WBGene00022771")</f>
        <v>WBGene00022771</v>
      </c>
      <c r="B2914" s="9" t="str">
        <f>HYPERLINK("http://www.ncbi.nlm.nih.gov/gene/191358", "191358")</f>
        <v>191358</v>
      </c>
      <c r="C2914" s="9"/>
      <c r="D2914" t="str">
        <f>"ZK616.1"</f>
        <v>ZK616.1</v>
      </c>
      <c r="F2914" t="s">
        <v>11</v>
      </c>
      <c r="G2914" t="s">
        <v>2343</v>
      </c>
      <c r="H2914" s="12">
        <v>2.44818306253844</v>
      </c>
      <c r="I2914" s="20">
        <v>1.71260866609416</v>
      </c>
      <c r="J2914" s="28">
        <v>8.6784557909799998E-2</v>
      </c>
      <c r="K2914" s="29">
        <v>0.68861400929390104</v>
      </c>
    </row>
    <row r="2915" spans="1:11" x14ac:dyDescent="0.35">
      <c r="A2915" s="9" t="str">
        <f>HYPERLINK("http://www.ensembl.org/id/WBGene00001190", "WBGene00001190")</f>
        <v>WBGene00001190</v>
      </c>
      <c r="B2915" s="9" t="str">
        <f>HYPERLINK("http://www.ncbi.nlm.nih.gov/gene/178358", "178358")</f>
        <v>178358</v>
      </c>
      <c r="C2915" s="9"/>
      <c r="D2915" t="str">
        <f>"egl-23"</f>
        <v>egl-23</v>
      </c>
      <c r="F2915" t="s">
        <v>11</v>
      </c>
      <c r="G2915" t="s">
        <v>895</v>
      </c>
      <c r="H2915" s="12">
        <v>1.3928588108434401</v>
      </c>
      <c r="I2915" s="20">
        <v>1.71212177938265</v>
      </c>
      <c r="J2915" s="28">
        <v>8.6874228496624295E-2</v>
      </c>
      <c r="K2915" s="29">
        <v>0.68885241030988398</v>
      </c>
    </row>
    <row r="2916" spans="1:11" x14ac:dyDescent="0.35">
      <c r="A2916" s="9" t="str">
        <f>HYPERLINK("http://www.ensembl.org/id/WBGene00001678", "WBGene00001678")</f>
        <v>WBGene00001678</v>
      </c>
      <c r="B2916" s="9" t="str">
        <f>HYPERLINK("http://www.ncbi.nlm.nih.gov/gene/171675", "171675")</f>
        <v>171675</v>
      </c>
      <c r="C2916" s="9" t="str">
        <f>HYPERLINK("http://www.ncbi.nlm.nih.gov/gene/2770", "2770")</f>
        <v>2770</v>
      </c>
      <c r="D2916" t="str">
        <f>"gpa-16"</f>
        <v>gpa-16</v>
      </c>
      <c r="E2916" t="s">
        <v>2344</v>
      </c>
      <c r="F2916" t="s">
        <v>11</v>
      </c>
      <c r="G2916" t="s">
        <v>875</v>
      </c>
      <c r="H2916" s="12">
        <v>-1.47669795657276</v>
      </c>
      <c r="I2916" s="20">
        <v>-1.71225620061555</v>
      </c>
      <c r="J2916" s="28">
        <v>8.6849464484417604E-2</v>
      </c>
      <c r="K2916" s="29">
        <v>0.68885241030988398</v>
      </c>
    </row>
    <row r="2917" spans="1:11" x14ac:dyDescent="0.35">
      <c r="A2917" s="9" t="str">
        <f>HYPERLINK("http://www.ensembl.org/id/WBGene00016911", "WBGene00016911")</f>
        <v>WBGene00016911</v>
      </c>
      <c r="B2917" s="9" t="str">
        <f>HYPERLINK("http://www.ncbi.nlm.nih.gov/gene/183765", "183765")</f>
        <v>183765</v>
      </c>
      <c r="C2917" s="9" t="str">
        <f>HYPERLINK("http://www.ncbi.nlm.nih.gov/gene/148252", "148252")</f>
        <v>148252</v>
      </c>
      <c r="D2917" t="str">
        <f>"drn-1"</f>
        <v>drn-1</v>
      </c>
      <c r="E2917" t="s">
        <v>2345</v>
      </c>
      <c r="F2917" t="s">
        <v>11</v>
      </c>
      <c r="G2917" t="s">
        <v>2346</v>
      </c>
      <c r="H2917" s="12">
        <v>1.4667192564829199</v>
      </c>
      <c r="I2917" s="20">
        <v>1.7110845206058201</v>
      </c>
      <c r="J2917" s="28">
        <v>8.7065511262549897E-2</v>
      </c>
      <c r="K2917" s="29">
        <v>0.69013231671783104</v>
      </c>
    </row>
    <row r="2918" spans="1:11" x14ac:dyDescent="0.35">
      <c r="A2918" s="9" t="str">
        <f>HYPERLINK("http://www.ensembl.org/id/WBGene00001989", "WBGene00001989")</f>
        <v>WBGene00001989</v>
      </c>
      <c r="B2918" s="9" t="str">
        <f>HYPERLINK("http://www.ncbi.nlm.nih.gov/gene/175881", "175881")</f>
        <v>175881</v>
      </c>
      <c r="C2918" s="9"/>
      <c r="D2918" t="str">
        <f>"hot-4"</f>
        <v>hot-4</v>
      </c>
      <c r="E2918" t="s">
        <v>2347</v>
      </c>
      <c r="F2918" t="s">
        <v>11</v>
      </c>
      <c r="G2918" t="s">
        <v>2348</v>
      </c>
      <c r="H2918" s="12">
        <v>1.8306320777154601</v>
      </c>
      <c r="I2918" s="20">
        <v>1.71061814210027</v>
      </c>
      <c r="J2918" s="28">
        <v>8.7151627680154206E-2</v>
      </c>
      <c r="K2918" s="29">
        <v>0.69034127842908499</v>
      </c>
    </row>
    <row r="2919" spans="1:11" x14ac:dyDescent="0.35">
      <c r="A2919" s="9" t="str">
        <f>HYPERLINK("http://www.ensembl.org/id/WBGene00004391", "WBGene00004391")</f>
        <v>WBGene00004391</v>
      </c>
      <c r="B2919" s="9" t="str">
        <f>HYPERLINK("http://www.ncbi.nlm.nih.gov/gene/176301", "176301")</f>
        <v>176301</v>
      </c>
      <c r="C2919" s="9" t="str">
        <f>HYPERLINK("http://www.ncbi.nlm.nih.gov/gene/6240", "6240")</f>
        <v>6240</v>
      </c>
      <c r="D2919" t="str">
        <f>"rnr-1"</f>
        <v>rnr-1</v>
      </c>
      <c r="E2919" t="s">
        <v>2349</v>
      </c>
      <c r="F2919" t="s">
        <v>11</v>
      </c>
      <c r="G2919" t="s">
        <v>2350</v>
      </c>
      <c r="H2919" s="12">
        <v>-1.4696554428088999</v>
      </c>
      <c r="I2919" s="20">
        <v>-1.7107036425509301</v>
      </c>
      <c r="J2919" s="28">
        <v>8.7135834946318699E-2</v>
      </c>
      <c r="K2919" s="29">
        <v>0.69034127842908499</v>
      </c>
    </row>
    <row r="2920" spans="1:11" x14ac:dyDescent="0.35">
      <c r="A2920" s="9" t="str">
        <f>HYPERLINK("http://www.ensembl.org/id/WBGene00219316", "WBGene00219316")</f>
        <v>WBGene00219316</v>
      </c>
      <c r="B2920" s="9" t="str">
        <f>HYPERLINK("http://www.ncbi.nlm.nih.gov/gene/13217012", "13217012")</f>
        <v>13217012</v>
      </c>
      <c r="C2920" s="9" t="str">
        <f>HYPERLINK("http://www.ncbi.nlm.nih.gov/gene/390928", "390928")</f>
        <v>390928</v>
      </c>
      <c r="D2920" t="str">
        <f>"F21A3.11"</f>
        <v>F21A3.11</v>
      </c>
      <c r="E2920" t="s">
        <v>1200</v>
      </c>
      <c r="F2920" t="s">
        <v>11</v>
      </c>
      <c r="G2920" t="s">
        <v>1201</v>
      </c>
      <c r="H2920" s="12">
        <v>-1.61687759109909</v>
      </c>
      <c r="I2920" s="20">
        <v>-1.7104519186607401</v>
      </c>
      <c r="J2920" s="28">
        <v>8.7182337316997802E-2</v>
      </c>
      <c r="K2920" s="29">
        <v>0.69034787047517199</v>
      </c>
    </row>
    <row r="2921" spans="1:11" x14ac:dyDescent="0.35">
      <c r="A2921" s="9" t="str">
        <f>HYPERLINK("http://www.ensembl.org/id/WBGene00018735", "WBGene00018735")</f>
        <v>WBGene00018735</v>
      </c>
      <c r="B2921" s="9" t="str">
        <f>HYPERLINK("http://www.ncbi.nlm.nih.gov/gene/180524", "180524")</f>
        <v>180524</v>
      </c>
      <c r="C2921" s="9" t="str">
        <f>HYPERLINK("http://www.ncbi.nlm.nih.gov/gene/142891", "142891")</f>
        <v>142891</v>
      </c>
      <c r="D2921" t="str">
        <f>"F53B1.2"</f>
        <v>F53B1.2</v>
      </c>
      <c r="E2921" t="s">
        <v>2351</v>
      </c>
      <c r="F2921" t="s">
        <v>11</v>
      </c>
      <c r="G2921" t="s">
        <v>2352</v>
      </c>
      <c r="H2921" s="12">
        <v>-1.4125369750188499</v>
      </c>
      <c r="I2921" s="20">
        <v>-1.71017559017551</v>
      </c>
      <c r="J2921" s="28">
        <v>8.7233408091504899E-2</v>
      </c>
      <c r="K2921" s="29">
        <v>0.69051563116214898</v>
      </c>
    </row>
    <row r="2922" spans="1:11" x14ac:dyDescent="0.35">
      <c r="A2922" s="9" t="str">
        <f>HYPERLINK("http://www.ensembl.org/id/WBGene00020785", "WBGene00020785")</f>
        <v>WBGene00020785</v>
      </c>
      <c r="B2922" s="9" t="str">
        <f>HYPERLINK("http://www.ncbi.nlm.nih.gov/gene/188873", "188873")</f>
        <v>188873</v>
      </c>
      <c r="C2922" s="9"/>
      <c r="D2922" t="str">
        <f>"T25B2.1"</f>
        <v>T25B2.1</v>
      </c>
      <c r="F2922" t="s">
        <v>11</v>
      </c>
      <c r="H2922" s="12">
        <v>-2.8637519716397302</v>
      </c>
      <c r="I2922" s="20">
        <v>-1.70995215192789</v>
      </c>
      <c r="J2922" s="28">
        <v>8.7274721392605503E-2</v>
      </c>
      <c r="K2922" s="29">
        <v>0.69060606592381601</v>
      </c>
    </row>
    <row r="2923" spans="1:11" x14ac:dyDescent="0.35">
      <c r="A2923" s="9" t="str">
        <f>HYPERLINK("http://www.ensembl.org/id/WBGene00010336", "WBGene00010336")</f>
        <v>WBGene00010336</v>
      </c>
      <c r="B2923" s="9" t="str">
        <f>HYPERLINK("http://www.ncbi.nlm.nih.gov/gene/181668", "181668")</f>
        <v>181668</v>
      </c>
      <c r="C2923" s="9" t="str">
        <f>HYPERLINK("http://www.ncbi.nlm.nih.gov/gene/51", "51")</f>
        <v>51</v>
      </c>
      <c r="D2923" t="str">
        <f>"acox-1.6"</f>
        <v>acox-1.6</v>
      </c>
      <c r="E2923" t="s">
        <v>1220</v>
      </c>
      <c r="F2923" t="s">
        <v>11</v>
      </c>
      <c r="G2923" t="s">
        <v>2358</v>
      </c>
      <c r="H2923" s="12">
        <v>-1.4179991623831301</v>
      </c>
      <c r="I2923" s="20">
        <v>-1.70674834736003</v>
      </c>
      <c r="J2923" s="28">
        <v>8.7868836741249998E-2</v>
      </c>
      <c r="K2923" s="29">
        <v>0.69064774952796104</v>
      </c>
    </row>
    <row r="2924" spans="1:11" x14ac:dyDescent="0.35">
      <c r="A2924" s="9" t="str">
        <f>HYPERLINK("http://www.ensembl.org/id/WBGene00000075", "WBGene00000075")</f>
        <v>WBGene00000075</v>
      </c>
      <c r="B2924" s="9" t="str">
        <f>HYPERLINK("http://www.ncbi.nlm.nih.gov/gene/181041", "181041")</f>
        <v>181041</v>
      </c>
      <c r="C2924" s="9" t="str">
        <f>HYPERLINK("http://www.ncbi.nlm.nih.gov/gene/6868", "6868")</f>
        <v>6868</v>
      </c>
      <c r="D2924" t="str">
        <f>"adm-4"</f>
        <v>adm-4</v>
      </c>
      <c r="E2924" t="s">
        <v>2366</v>
      </c>
      <c r="F2924" t="s">
        <v>11</v>
      </c>
      <c r="G2924" t="s">
        <v>1479</v>
      </c>
      <c r="H2924" s="12">
        <v>-1.48710933223523</v>
      </c>
      <c r="I2924" s="20">
        <v>-1.70751847184676</v>
      </c>
      <c r="J2924" s="28">
        <v>8.7725727447766494E-2</v>
      </c>
      <c r="K2924" s="29">
        <v>0.69064774952796104</v>
      </c>
    </row>
    <row r="2925" spans="1:11" x14ac:dyDescent="0.35">
      <c r="A2925" s="9" t="str">
        <f>HYPERLINK("http://www.ensembl.org/id/WBGene00044701", "WBGene00044701")</f>
        <v>WBGene00044701</v>
      </c>
      <c r="B2925" s="9" t="str">
        <f>HYPERLINK("http://www.ncbi.nlm.nih.gov/gene/4363123", "4363123")</f>
        <v>4363123</v>
      </c>
      <c r="C2925" s="9"/>
      <c r="D2925" t="str">
        <f>"AH9.6"</f>
        <v>AH9.6</v>
      </c>
      <c r="F2925" t="s">
        <v>11</v>
      </c>
      <c r="G2925" t="s">
        <v>25</v>
      </c>
      <c r="H2925" s="12">
        <v>1.64109991049153</v>
      </c>
      <c r="I2925" s="20">
        <v>1.70967917502695</v>
      </c>
      <c r="J2925" s="28">
        <v>8.7325215721530403E-2</v>
      </c>
      <c r="K2925" s="29">
        <v>0.69064774952796104</v>
      </c>
    </row>
    <row r="2926" spans="1:11" x14ac:dyDescent="0.35">
      <c r="A2926" s="9" t="str">
        <f>HYPERLINK("http://www.ensembl.org/id/WBGene00018877", "WBGene00018877")</f>
        <v>WBGene00018877</v>
      </c>
      <c r="B2926" s="9" t="str">
        <f>HYPERLINK("http://www.ncbi.nlm.nih.gov/gene/180749", "180749")</f>
        <v>180749</v>
      </c>
      <c r="C2926" s="9" t="str">
        <f>HYPERLINK("http://www.ncbi.nlm.nih.gov/gene/4125", "4125")</f>
        <v>4125</v>
      </c>
      <c r="D2926" t="str">
        <f>"aman-1"</f>
        <v>aman-1</v>
      </c>
      <c r="E2926" t="s">
        <v>2367</v>
      </c>
      <c r="F2926" t="s">
        <v>11</v>
      </c>
      <c r="G2926" t="s">
        <v>2368</v>
      </c>
      <c r="H2926" s="12">
        <v>-1.5377131344455499</v>
      </c>
      <c r="I2926" s="20">
        <v>-1.7077619503521599</v>
      </c>
      <c r="J2926" s="28">
        <v>8.7680521902059994E-2</v>
      </c>
      <c r="K2926" s="29">
        <v>0.69064774952796104</v>
      </c>
    </row>
    <row r="2927" spans="1:11" x14ac:dyDescent="0.35">
      <c r="A2927" s="9" t="str">
        <f>HYPERLINK("http://www.ensembl.org/id/WBGene00007297", "WBGene00007297")</f>
        <v>WBGene00007297</v>
      </c>
      <c r="B2927" s="9" t="str">
        <f>HYPERLINK("http://www.ncbi.nlm.nih.gov/gene/172816", "172816")</f>
        <v>172816</v>
      </c>
      <c r="C2927" s="9"/>
      <c r="D2927" t="str">
        <f>"C04F12.1"</f>
        <v>C04F12.1</v>
      </c>
      <c r="F2927" t="s">
        <v>11</v>
      </c>
      <c r="G2927" t="s">
        <v>91</v>
      </c>
      <c r="H2927" s="12">
        <v>-1.4373436406292299</v>
      </c>
      <c r="I2927" s="20">
        <v>-1.70856551238731</v>
      </c>
      <c r="J2927" s="28">
        <v>8.7531461527729601E-2</v>
      </c>
      <c r="K2927" s="29">
        <v>0.69064774952796104</v>
      </c>
    </row>
    <row r="2928" spans="1:11" x14ac:dyDescent="0.35">
      <c r="A2928" s="9" t="str">
        <f>HYPERLINK("http://www.ensembl.org/id/WBGene00016965", "WBGene00016965")</f>
        <v>WBGene00016965</v>
      </c>
      <c r="B2928" s="9" t="str">
        <f>HYPERLINK("http://www.ncbi.nlm.nih.gov/gene/183859", "183859")</f>
        <v>183859</v>
      </c>
      <c r="C2928" s="9" t="str">
        <f>HYPERLINK("http://www.ncbi.nlm.nih.gov/gene/51150", "51150")</f>
        <v>51150</v>
      </c>
      <c r="D2928" t="str">
        <f>"C56C10.9"</f>
        <v>C56C10.9</v>
      </c>
      <c r="F2928" t="s">
        <v>11</v>
      </c>
      <c r="G2928" t="s">
        <v>2365</v>
      </c>
      <c r="H2928" s="12">
        <v>-1.47209900998274</v>
      </c>
      <c r="I2928" s="20">
        <v>-1.7083431501322499</v>
      </c>
      <c r="J2928" s="28">
        <v>8.75726891461516E-2</v>
      </c>
      <c r="K2928" s="29">
        <v>0.69064774952796104</v>
      </c>
    </row>
    <row r="2929" spans="1:11" x14ac:dyDescent="0.35">
      <c r="A2929" s="9" t="str">
        <f>HYPERLINK("http://www.ensembl.org/id/WBGene00019329", "WBGene00019329")</f>
        <v>WBGene00019329</v>
      </c>
      <c r="B2929" s="9" t="str">
        <f>HYPERLINK("http://www.ncbi.nlm.nih.gov/gene/175239", "175239")</f>
        <v>175239</v>
      </c>
      <c r="C2929" s="9" t="str">
        <f>HYPERLINK("http://www.ncbi.nlm.nih.gov/gene/253152", "253152")</f>
        <v>253152</v>
      </c>
      <c r="D2929" t="str">
        <f>"ceeh-1"</f>
        <v>ceeh-1</v>
      </c>
      <c r="E2929" t="s">
        <v>2355</v>
      </c>
      <c r="F2929" t="s">
        <v>11</v>
      </c>
      <c r="G2929" t="s">
        <v>2319</v>
      </c>
      <c r="H2929" s="12">
        <v>1.46802838847482</v>
      </c>
      <c r="I2929" s="20">
        <v>1.7086660229036099</v>
      </c>
      <c r="J2929" s="28">
        <v>8.7512831268684907E-2</v>
      </c>
      <c r="K2929" s="29">
        <v>0.69064774952796104</v>
      </c>
    </row>
    <row r="2930" spans="1:11" x14ac:dyDescent="0.35">
      <c r="A2930" s="9" t="str">
        <f>HYPERLINK("http://www.ensembl.org/id/WBGene00019779", "WBGene00019779")</f>
        <v>WBGene00019779</v>
      </c>
      <c r="B2930" s="9" t="str">
        <f>HYPERLINK("http://www.ncbi.nlm.nih.gov/gene/181079", "181079")</f>
        <v>181079</v>
      </c>
      <c r="C2930" s="9"/>
      <c r="D2930" t="str">
        <f>"endu-2"</f>
        <v>endu-2</v>
      </c>
      <c r="E2930" t="s">
        <v>2363</v>
      </c>
      <c r="F2930" t="s">
        <v>11</v>
      </c>
      <c r="G2930" t="s">
        <v>2364</v>
      </c>
      <c r="H2930" s="12">
        <v>-1.4553712689212399</v>
      </c>
      <c r="I2930" s="20">
        <v>-1.70737388341735</v>
      </c>
      <c r="J2930" s="28">
        <v>8.7752581418959197E-2</v>
      </c>
      <c r="K2930" s="29">
        <v>0.69064774952796104</v>
      </c>
    </row>
    <row r="2931" spans="1:11" x14ac:dyDescent="0.35">
      <c r="A2931" s="9" t="str">
        <f>HYPERLINK("http://www.ensembl.org/id/WBGene00008816", "WBGene00008816")</f>
        <v>WBGene00008816</v>
      </c>
      <c r="B2931" s="9" t="str">
        <f>HYPERLINK("http://www.ncbi.nlm.nih.gov/gene/184482", "184482")</f>
        <v>184482</v>
      </c>
      <c r="C2931" s="9"/>
      <c r="D2931" t="str">
        <f>"F14F8.8"</f>
        <v>F14F8.8</v>
      </c>
      <c r="F2931" t="s">
        <v>11</v>
      </c>
      <c r="H2931" s="12">
        <v>19.343573021201799</v>
      </c>
      <c r="I2931" s="20">
        <v>1.70682432935364</v>
      </c>
      <c r="J2931" s="28">
        <v>8.7854708930739406E-2</v>
      </c>
      <c r="K2931" s="29">
        <v>0.69064774952796104</v>
      </c>
    </row>
    <row r="2932" spans="1:11" x14ac:dyDescent="0.35">
      <c r="A2932" s="9" t="str">
        <f>HYPERLINK("http://www.ensembl.org/id/WBGene00018134", "WBGene00018134")</f>
        <v>WBGene00018134</v>
      </c>
      <c r="B2932" s="9" t="str">
        <f>HYPERLINK("http://www.ncbi.nlm.nih.gov/gene/175945", "175945")</f>
        <v>175945</v>
      </c>
      <c r="C2932" s="9"/>
      <c r="D2932" t="str">
        <f>"F37A4.4"</f>
        <v>F37A4.4</v>
      </c>
      <c r="E2932" t="s">
        <v>2353</v>
      </c>
      <c r="F2932" t="s">
        <v>11</v>
      </c>
      <c r="G2932" t="s">
        <v>54</v>
      </c>
      <c r="H2932" s="12">
        <v>2.8095849359697098</v>
      </c>
      <c r="I2932" s="20">
        <v>1.7095547211083399</v>
      </c>
      <c r="J2932" s="28">
        <v>8.7348244602206401E-2</v>
      </c>
      <c r="K2932" s="29">
        <v>0.69064774952796104</v>
      </c>
    </row>
    <row r="2933" spans="1:11" x14ac:dyDescent="0.35">
      <c r="A2933" s="9" t="str">
        <f>HYPERLINK("http://www.ensembl.org/id/WBGene00009872", "WBGene00009872")</f>
        <v>WBGene00009872</v>
      </c>
      <c r="B2933" s="9" t="str">
        <f>HYPERLINK("http://www.ncbi.nlm.nih.gov/gene/186025", "186025")</f>
        <v>186025</v>
      </c>
      <c r="C2933" s="9"/>
      <c r="D2933" t="str">
        <f>"F49C12.2"</f>
        <v>F49C12.2</v>
      </c>
      <c r="F2933" t="s">
        <v>11</v>
      </c>
      <c r="H2933" s="12">
        <v>1.82259829508549</v>
      </c>
      <c r="I2933" s="20">
        <v>1.7073919999196301</v>
      </c>
      <c r="J2933" s="28">
        <v>8.7749216332542193E-2</v>
      </c>
      <c r="K2933" s="29">
        <v>0.69064774952796104</v>
      </c>
    </row>
    <row r="2934" spans="1:11" x14ac:dyDescent="0.35">
      <c r="A2934" s="9" t="str">
        <f>HYPERLINK("http://www.ensembl.org/id/WBGene00010716", "WBGene00010716")</f>
        <v>WBGene00010716</v>
      </c>
      <c r="B2934" s="9" t="str">
        <f>HYPERLINK("http://www.ncbi.nlm.nih.gov/gene/187206", "187206")</f>
        <v>187206</v>
      </c>
      <c r="C2934" s="9"/>
      <c r="D2934" t="str">
        <f>"lge-1"</f>
        <v>lge-1</v>
      </c>
      <c r="E2934" t="s">
        <v>2354</v>
      </c>
      <c r="F2934" t="s">
        <v>11</v>
      </c>
      <c r="G2934" t="s">
        <v>1389</v>
      </c>
      <c r="H2934" s="12">
        <v>1.9878853272516299</v>
      </c>
      <c r="I2934" s="20">
        <v>1.7069114275911199</v>
      </c>
      <c r="J2934" s="28">
        <v>8.7838516460749194E-2</v>
      </c>
      <c r="K2934" s="29">
        <v>0.69064774952796104</v>
      </c>
    </row>
    <row r="2935" spans="1:11" x14ac:dyDescent="0.35">
      <c r="A2935" s="9" t="str">
        <f>HYPERLINK("http://www.ensembl.org/id/WBGene00019776", "WBGene00019776")</f>
        <v>WBGene00019776</v>
      </c>
      <c r="B2935" s="9" t="str">
        <f>HYPERLINK("http://www.ncbi.nlm.nih.gov/gene/187455", "187455")</f>
        <v>187455</v>
      </c>
      <c r="C2935" s="9"/>
      <c r="D2935" t="str">
        <f>"M6.4"</f>
        <v>M6.4</v>
      </c>
      <c r="F2935" t="s">
        <v>11</v>
      </c>
      <c r="H2935" s="12">
        <v>2.3432756298614601</v>
      </c>
      <c r="I2935" s="20">
        <v>1.7082211408891299</v>
      </c>
      <c r="J2935" s="28">
        <v>8.7595317223809296E-2</v>
      </c>
      <c r="K2935" s="29">
        <v>0.69064774952796104</v>
      </c>
    </row>
    <row r="2936" spans="1:11" x14ac:dyDescent="0.35">
      <c r="A2936" s="9" t="str">
        <f>HYPERLINK("http://www.ensembl.org/id/WBGene00011217", "WBGene00011217")</f>
        <v>WBGene00011217</v>
      </c>
      <c r="B2936" s="9" t="str">
        <f>HYPERLINK("http://www.ncbi.nlm.nih.gov/gene/187778", "187778")</f>
        <v>187778</v>
      </c>
      <c r="C2936" s="9"/>
      <c r="D2936" t="str">
        <f>"R10E11.5"</f>
        <v>R10E11.5</v>
      </c>
      <c r="F2936" t="s">
        <v>11</v>
      </c>
      <c r="H2936" s="12">
        <v>1.46973770370595</v>
      </c>
      <c r="I2936" s="20">
        <v>1.70754882839778</v>
      </c>
      <c r="J2936" s="28">
        <v>8.7720090259497105E-2</v>
      </c>
      <c r="K2936" s="29">
        <v>0.69064774952796104</v>
      </c>
    </row>
    <row r="2937" spans="1:11" x14ac:dyDescent="0.35">
      <c r="A2937" s="9" t="str">
        <f>HYPERLINK("http://www.ensembl.org/id/WBGene00004740", "WBGene00004740")</f>
        <v>WBGene00004740</v>
      </c>
      <c r="B2937" s="9" t="str">
        <f>HYPERLINK("http://www.ncbi.nlm.nih.gov/gene/179054", "179054")</f>
        <v>179054</v>
      </c>
      <c r="C2937" s="9"/>
      <c r="D2937" t="str">
        <f>"scd-2"</f>
        <v>scd-2</v>
      </c>
      <c r="E2937" t="s">
        <v>2356</v>
      </c>
      <c r="F2937" t="s">
        <v>11</v>
      </c>
      <c r="G2937" t="s">
        <v>2357</v>
      </c>
      <c r="H2937" s="12">
        <v>1.43290104468824</v>
      </c>
      <c r="I2937" s="20">
        <v>1.7076835731462301</v>
      </c>
      <c r="J2937" s="28">
        <v>8.7695071789781004E-2</v>
      </c>
      <c r="K2937" s="29">
        <v>0.69064774952796104</v>
      </c>
    </row>
    <row r="2938" spans="1:11" x14ac:dyDescent="0.35">
      <c r="A2938" s="9" t="str">
        <f>HYPERLINK("http://www.ensembl.org/id/WBGene00016151", "WBGene00016151")</f>
        <v>WBGene00016151</v>
      </c>
      <c r="B2938" s="9" t="str">
        <f>HYPERLINK("http://www.ncbi.nlm.nih.gov/gene/173874", "173874")</f>
        <v>173874</v>
      </c>
      <c r="C2938" s="9"/>
      <c r="D2938" t="str">
        <f>"smc-5"</f>
        <v>smc-5</v>
      </c>
      <c r="E2938" t="s">
        <v>2361</v>
      </c>
      <c r="F2938" t="s">
        <v>11</v>
      </c>
      <c r="G2938" t="s">
        <v>2362</v>
      </c>
      <c r="H2938" s="12">
        <v>-1.4356512243359401</v>
      </c>
      <c r="I2938" s="20">
        <v>-1.70829850177569</v>
      </c>
      <c r="J2938" s="28">
        <v>8.7580969172286194E-2</v>
      </c>
      <c r="K2938" s="29">
        <v>0.69064774952796104</v>
      </c>
    </row>
    <row r="2939" spans="1:11" x14ac:dyDescent="0.35">
      <c r="A2939" s="9" t="str">
        <f>HYPERLINK("http://www.ensembl.org/id/WBGene00006638", "WBGene00006638")</f>
        <v>WBGene00006638</v>
      </c>
      <c r="B2939" s="9" t="str">
        <f>HYPERLINK("http://www.ncbi.nlm.nih.gov/gene/177890", "177890")</f>
        <v>177890</v>
      </c>
      <c r="C2939" s="9" t="str">
        <f>HYPERLINK("http://www.ncbi.nlm.nih.gov/gene/10098", "10098")</f>
        <v>10098</v>
      </c>
      <c r="D2939" t="str">
        <f>"tsp-12"</f>
        <v>tsp-12</v>
      </c>
      <c r="E2939" t="s">
        <v>2359</v>
      </c>
      <c r="F2939" t="s">
        <v>11</v>
      </c>
      <c r="G2939" t="s">
        <v>2360</v>
      </c>
      <c r="H2939" s="12">
        <v>-1.43235689288483</v>
      </c>
      <c r="I2939" s="20">
        <v>-1.7070024137461699</v>
      </c>
      <c r="J2939" s="28">
        <v>8.7821603757076094E-2</v>
      </c>
      <c r="K2939" s="29">
        <v>0.69064774952796104</v>
      </c>
    </row>
    <row r="2940" spans="1:11" x14ac:dyDescent="0.35">
      <c r="A2940" s="9" t="str">
        <f>HYPERLINK("http://www.ensembl.org/id/WBGene00012268", "WBGene00012268")</f>
        <v>WBGene00012268</v>
      </c>
      <c r="B2940" s="9" t="str">
        <f>HYPERLINK("http://www.ncbi.nlm.nih.gov/gene/189203", "189203")</f>
        <v>189203</v>
      </c>
      <c r="C2940" s="9"/>
      <c r="D2940" t="str">
        <f>"W04G5.8"</f>
        <v>W04G5.8</v>
      </c>
      <c r="F2940" t="s">
        <v>11</v>
      </c>
      <c r="H2940" s="12">
        <v>7.5125011213480501</v>
      </c>
      <c r="I2940" s="20">
        <v>1.7087597014912299</v>
      </c>
      <c r="J2940" s="28">
        <v>8.7495470231242795E-2</v>
      </c>
      <c r="K2940" s="29">
        <v>0.69064774952796104</v>
      </c>
    </row>
    <row r="2941" spans="1:11" x14ac:dyDescent="0.35">
      <c r="A2941" s="9" t="str">
        <f>HYPERLINK("http://www.ensembl.org/id/WBGene00022094", "WBGene00022094")</f>
        <v>WBGene00022094</v>
      </c>
      <c r="B2941" s="9" t="str">
        <f>HYPERLINK("http://www.ncbi.nlm.nih.gov/gene/190544", "190544")</f>
        <v>190544</v>
      </c>
      <c r="C2941" s="9"/>
      <c r="D2941" t="str">
        <f>"Y69A2AR.23"</f>
        <v>Y69A2AR.23</v>
      </c>
      <c r="F2941" t="s">
        <v>11</v>
      </c>
      <c r="G2941" t="s">
        <v>25</v>
      </c>
      <c r="H2941" s="12">
        <v>36.1572993590474</v>
      </c>
      <c r="I2941" s="20">
        <v>1.7070301153994001</v>
      </c>
      <c r="J2941" s="28">
        <v>8.7816455035334903E-2</v>
      </c>
      <c r="K2941" s="29">
        <v>0.69064774952796104</v>
      </c>
    </row>
    <row r="2942" spans="1:11" x14ac:dyDescent="0.35">
      <c r="A2942" s="9" t="str">
        <f>HYPERLINK("http://www.ensembl.org/id/WBGene00022527", "WBGene00022527")</f>
        <v>WBGene00022527</v>
      </c>
      <c r="B2942" s="9" t="str">
        <f>HYPERLINK("http://www.ncbi.nlm.nih.gov/gene/191085", "191085")</f>
        <v>191085</v>
      </c>
      <c r="C2942" s="9"/>
      <c r="D2942" t="str">
        <f>"ZC132.9"</f>
        <v>ZC132.9</v>
      </c>
      <c r="F2942" t="s">
        <v>11</v>
      </c>
      <c r="G2942" t="s">
        <v>25</v>
      </c>
      <c r="H2942" s="12">
        <v>4.4839963752828904</v>
      </c>
      <c r="I2942" s="20">
        <v>1.7067001611006001</v>
      </c>
      <c r="J2942" s="28">
        <v>8.7877797265308005E-2</v>
      </c>
      <c r="K2942" s="29">
        <v>0.69064774952796104</v>
      </c>
    </row>
    <row r="2943" spans="1:11" x14ac:dyDescent="0.35">
      <c r="A2943" s="9" t="str">
        <f>HYPERLINK("http://www.ensembl.org/id/WBGene00015280", "WBGene00015280")</f>
        <v>WBGene00015280</v>
      </c>
      <c r="B2943" s="9" t="str">
        <f>HYPERLINK("http://www.ncbi.nlm.nih.gov/gene/177432", "177432")</f>
        <v>177432</v>
      </c>
      <c r="C2943" s="9"/>
      <c r="D2943" t="str">
        <f>"C01B10.6"</f>
        <v>C01B10.6</v>
      </c>
      <c r="F2943" t="s">
        <v>11</v>
      </c>
      <c r="H2943" s="12">
        <v>-1.83231516966526</v>
      </c>
      <c r="I2943" s="20">
        <v>-1.70606639989933</v>
      </c>
      <c r="J2943" s="28">
        <v>8.7995717563675996E-2</v>
      </c>
      <c r="K2943" s="29">
        <v>0.69071223900299095</v>
      </c>
    </row>
    <row r="2944" spans="1:11" x14ac:dyDescent="0.35">
      <c r="A2944" s="9" t="str">
        <f>HYPERLINK("http://www.ensembl.org/id/WBGene00008451", "WBGene00008451")</f>
        <v>WBGene00008451</v>
      </c>
      <c r="B2944" s="9" t="str">
        <f>HYPERLINK("http://www.ncbi.nlm.nih.gov/gene/181385", "181385")</f>
        <v>181385</v>
      </c>
      <c r="C2944" s="9"/>
      <c r="D2944" t="str">
        <f>"E01G6.3"</f>
        <v>E01G6.3</v>
      </c>
      <c r="E2944" t="s">
        <v>383</v>
      </c>
      <c r="F2944" t="s">
        <v>11</v>
      </c>
      <c r="G2944" t="s">
        <v>2371</v>
      </c>
      <c r="H2944" s="12">
        <v>-2.1107263600240902</v>
      </c>
      <c r="I2944" s="20">
        <v>-1.7062746162460001</v>
      </c>
      <c r="J2944" s="28">
        <v>8.7956961880143805E-2</v>
      </c>
      <c r="K2944" s="29">
        <v>0.69071223900299095</v>
      </c>
    </row>
    <row r="2945" spans="1:11" x14ac:dyDescent="0.35">
      <c r="A2945" s="9" t="str">
        <f>HYPERLINK("http://www.ensembl.org/id/WBGene00009445", "WBGene00009445")</f>
        <v>WBGene00009445</v>
      </c>
      <c r="B2945" s="9" t="str">
        <f>HYPERLINK("http://www.ncbi.nlm.nih.gov/gene/175601", "175601")</f>
        <v>175601</v>
      </c>
      <c r="C2945" s="9"/>
      <c r="D2945" t="str">
        <f>"F35G12.12"</f>
        <v>F35G12.12</v>
      </c>
      <c r="F2945" t="s">
        <v>11</v>
      </c>
      <c r="G2945" t="s">
        <v>2370</v>
      </c>
      <c r="H2945" s="12">
        <v>-1.39328693067966</v>
      </c>
      <c r="I2945" s="20">
        <v>-1.7060134486106999</v>
      </c>
      <c r="J2945" s="28">
        <v>8.8005575678386794E-2</v>
      </c>
      <c r="K2945" s="29">
        <v>0.69071223900299095</v>
      </c>
    </row>
    <row r="2946" spans="1:11" x14ac:dyDescent="0.35">
      <c r="A2946" s="9" t="str">
        <f>HYPERLINK("http://www.ensembl.org/id/WBGene00011449", "WBGene00011449")</f>
        <v>WBGene00011449</v>
      </c>
      <c r="B2946" s="9" t="str">
        <f>HYPERLINK("http://www.ncbi.nlm.nih.gov/gene/179677", "179677")</f>
        <v>179677</v>
      </c>
      <c r="C2946" s="9" t="str">
        <f>HYPERLINK("http://www.ncbi.nlm.nih.gov/gene/54676", "54676")</f>
        <v>54676</v>
      </c>
      <c r="D2946" t="str">
        <f>"T04H1.2"</f>
        <v>T04H1.2</v>
      </c>
      <c r="F2946" t="s">
        <v>11</v>
      </c>
      <c r="G2946" t="s">
        <v>2369</v>
      </c>
      <c r="H2946" s="12">
        <v>-1.3627320309639801</v>
      </c>
      <c r="I2946" s="20">
        <v>-1.70611994685873</v>
      </c>
      <c r="J2946" s="28">
        <v>8.7985749456599094E-2</v>
      </c>
      <c r="K2946" s="29">
        <v>0.69071223900299095</v>
      </c>
    </row>
    <row r="2947" spans="1:11" x14ac:dyDescent="0.35">
      <c r="A2947" s="9" t="str">
        <f>HYPERLINK("http://www.ensembl.org/id/WBGene00010227", "WBGene00010227")</f>
        <v>WBGene00010227</v>
      </c>
      <c r="B2947" s="9" t="str">
        <f>HYPERLINK("http://www.ncbi.nlm.nih.gov/gene/176356", "176356")</f>
        <v>176356</v>
      </c>
      <c r="C2947" s="9"/>
      <c r="D2947" t="str">
        <f>"F58A4.2"</f>
        <v>F58A4.2</v>
      </c>
      <c r="F2947" t="s">
        <v>11</v>
      </c>
      <c r="H2947" s="12">
        <v>-1.5581574079959299</v>
      </c>
      <c r="I2947" s="20">
        <v>-1.70582366171302</v>
      </c>
      <c r="J2947" s="28">
        <v>8.8040916242998299E-2</v>
      </c>
      <c r="K2947" s="29">
        <v>0.69075497817002296</v>
      </c>
    </row>
    <row r="2948" spans="1:11" x14ac:dyDescent="0.35">
      <c r="A2948" s="9" t="str">
        <f>HYPERLINK("http://www.ensembl.org/id/WBGene00015753", "WBGene00015753")</f>
        <v>WBGene00015753</v>
      </c>
      <c r="B2948" s="9" t="str">
        <f>HYPERLINK("http://www.ncbi.nlm.nih.gov/gene/176144", "176144")</f>
        <v>176144</v>
      </c>
      <c r="C2948" s="9"/>
      <c r="D2948" t="str">
        <f>"C14B9.3"</f>
        <v>C14B9.3</v>
      </c>
      <c r="F2948" t="s">
        <v>11</v>
      </c>
      <c r="G2948" t="s">
        <v>2372</v>
      </c>
      <c r="H2948" s="12">
        <v>1.5645841162975</v>
      </c>
      <c r="I2948" s="20">
        <v>1.7054577159450599</v>
      </c>
      <c r="J2948" s="28">
        <v>8.8109091979090198E-2</v>
      </c>
      <c r="K2948" s="29">
        <v>0.69082072591410204</v>
      </c>
    </row>
    <row r="2949" spans="1:11" x14ac:dyDescent="0.35">
      <c r="A2949" s="9" t="str">
        <f>HYPERLINK("http://www.ensembl.org/id/WBGene00001863", "WBGene00001863")</f>
        <v>WBGene00001863</v>
      </c>
      <c r="B2949" s="9" t="str">
        <f>HYPERLINK("http://www.ncbi.nlm.nih.gov/gene/181187", "181187")</f>
        <v>181187</v>
      </c>
      <c r="C2949" s="9" t="str">
        <f>HYPERLINK("http://www.ncbi.nlm.nih.gov/gene/83872", "83872")</f>
        <v>83872</v>
      </c>
      <c r="D2949" t="str">
        <f>"him-4"</f>
        <v>him-4</v>
      </c>
      <c r="E2949" t="s">
        <v>1036</v>
      </c>
      <c r="F2949" t="s">
        <v>11</v>
      </c>
      <c r="G2949" t="s">
        <v>2373</v>
      </c>
      <c r="H2949" s="12">
        <v>1.36920165006297</v>
      </c>
      <c r="I2949" s="20">
        <v>1.7055880319668599</v>
      </c>
      <c r="J2949" s="28">
        <v>8.8084809211422505E-2</v>
      </c>
      <c r="K2949" s="29">
        <v>0.69082072591410204</v>
      </c>
    </row>
    <row r="2950" spans="1:11" x14ac:dyDescent="0.35">
      <c r="A2950" s="9" t="str">
        <f>HYPERLINK("http://www.ensembl.org/id/WBGene00007119", "WBGene00007119")</f>
        <v>WBGene00007119</v>
      </c>
      <c r="B2950" s="9" t="str">
        <f>HYPERLINK("http://www.ncbi.nlm.nih.gov/gene/180342", "180342")</f>
        <v>180342</v>
      </c>
      <c r="C2950" s="9"/>
      <c r="D2950" t="str">
        <f>"calf-1"</f>
        <v>calf-1</v>
      </c>
      <c r="E2950" t="s">
        <v>2374</v>
      </c>
      <c r="F2950" t="s">
        <v>11</v>
      </c>
      <c r="G2950" t="s">
        <v>2375</v>
      </c>
      <c r="H2950" s="12">
        <v>1.65224963581704</v>
      </c>
      <c r="I2950" s="20">
        <v>1.7052558691709301</v>
      </c>
      <c r="J2950" s="28">
        <v>8.8146714266358298E-2</v>
      </c>
      <c r="K2950" s="29">
        <v>0.690881268601925</v>
      </c>
    </row>
    <row r="2951" spans="1:11" x14ac:dyDescent="0.35">
      <c r="A2951" s="9" t="str">
        <f>HYPERLINK("http://www.ensembl.org/id/WBGene00009148", "WBGene00009148")</f>
        <v>WBGene00009148</v>
      </c>
      <c r="B2951" s="9" t="str">
        <f>HYPERLINK("http://www.ncbi.nlm.nih.gov/gene/180103", "180103")</f>
        <v>180103</v>
      </c>
      <c r="C2951" s="9"/>
      <c r="D2951" t="str">
        <f>"F26D2.3"</f>
        <v>F26D2.3</v>
      </c>
      <c r="F2951" t="s">
        <v>11</v>
      </c>
      <c r="G2951" t="s">
        <v>602</v>
      </c>
      <c r="H2951" s="12">
        <v>2.3298045891891301</v>
      </c>
      <c r="I2951" s="20">
        <v>1.7049610622828499</v>
      </c>
      <c r="J2951" s="28">
        <v>8.8201686693764297E-2</v>
      </c>
      <c r="K2951" s="29">
        <v>0.69107771201970702</v>
      </c>
    </row>
    <row r="2952" spans="1:11" x14ac:dyDescent="0.35">
      <c r="A2952" s="9" t="str">
        <f>HYPERLINK("http://www.ensembl.org/id/WBGene00015458", "WBGene00015458")</f>
        <v>WBGene00015458</v>
      </c>
      <c r="B2952" s="9" t="str">
        <f>HYPERLINK("http://www.ncbi.nlm.nih.gov/gene/173879", "173879")</f>
        <v>173879</v>
      </c>
      <c r="C2952" s="9"/>
      <c r="D2952" t="str">
        <f>"C04G6.10"</f>
        <v>C04G6.10</v>
      </c>
      <c r="F2952" t="s">
        <v>11</v>
      </c>
      <c r="H2952" s="12">
        <v>10.7425156698291</v>
      </c>
      <c r="I2952" s="20">
        <v>1.7043633172734101</v>
      </c>
      <c r="J2952" s="28">
        <v>8.8313232613519504E-2</v>
      </c>
      <c r="K2952" s="29">
        <v>0.69127487683231303</v>
      </c>
    </row>
    <row r="2953" spans="1:11" x14ac:dyDescent="0.35">
      <c r="A2953" s="9" t="str">
        <f>HYPERLINK("http://www.ensembl.org/id/WBGene00006388", "WBGene00006388")</f>
        <v>WBGene00006388</v>
      </c>
      <c r="B2953" s="9" t="str">
        <f>HYPERLINK("http://www.ncbi.nlm.nih.gov/gene/192053", "192053")</f>
        <v>192053</v>
      </c>
      <c r="C2953" s="9"/>
      <c r="D2953" t="str">
        <f>"taf-7.1"</f>
        <v>taf-7.1</v>
      </c>
      <c r="E2953" t="s">
        <v>747</v>
      </c>
      <c r="F2953" t="s">
        <v>11</v>
      </c>
      <c r="G2953" t="s">
        <v>2376</v>
      </c>
      <c r="H2953" s="12">
        <v>1.5048199199826</v>
      </c>
      <c r="I2953" s="20">
        <v>1.7044761420269701</v>
      </c>
      <c r="J2953" s="28">
        <v>8.8292169547051394E-2</v>
      </c>
      <c r="K2953" s="29">
        <v>0.69127487683231303</v>
      </c>
    </row>
    <row r="2954" spans="1:11" x14ac:dyDescent="0.35">
      <c r="A2954" s="9" t="str">
        <f>HYPERLINK("http://www.ensembl.org/id/WBGene00021812", "WBGene00021812")</f>
        <v>WBGene00021812</v>
      </c>
      <c r="B2954" s="9" t="str">
        <f>HYPERLINK("http://www.ncbi.nlm.nih.gov/gene/190241", "190241")</f>
        <v>190241</v>
      </c>
      <c r="C2954" s="9"/>
      <c r="D2954" t="str">
        <f>"Y53G8AR.5"</f>
        <v>Y53G8AR.5</v>
      </c>
      <c r="F2954" t="s">
        <v>11</v>
      </c>
      <c r="G2954" t="s">
        <v>2377</v>
      </c>
      <c r="H2954" s="12">
        <v>-1.62103002567259</v>
      </c>
      <c r="I2954" s="20">
        <v>-1.7043452640051899</v>
      </c>
      <c r="J2954" s="28">
        <v>8.8316603324201007E-2</v>
      </c>
      <c r="K2954" s="29">
        <v>0.69127487683231303</v>
      </c>
    </row>
    <row r="2955" spans="1:11" x14ac:dyDescent="0.35">
      <c r="A2955" s="9" t="str">
        <f>HYPERLINK("http://www.ensembl.org/id/WBGene00020646", "WBGene00020646")</f>
        <v>WBGene00020646</v>
      </c>
      <c r="B2955" s="9" t="str">
        <f>HYPERLINK("http://www.ncbi.nlm.nih.gov/gene/176025", "176025")</f>
        <v>176025</v>
      </c>
      <c r="C2955" s="9"/>
      <c r="D2955" t="str">
        <f>"zmp-6"</f>
        <v>zmp-6</v>
      </c>
      <c r="E2955" t="s">
        <v>2378</v>
      </c>
      <c r="F2955" t="s">
        <v>11</v>
      </c>
      <c r="G2955" t="s">
        <v>2379</v>
      </c>
      <c r="H2955" s="12">
        <v>3.31790642479708</v>
      </c>
      <c r="I2955" s="20">
        <v>1.7040220041596901</v>
      </c>
      <c r="J2955" s="28">
        <v>8.8376976457999704E-2</v>
      </c>
      <c r="K2955" s="29">
        <v>0.691513179152909</v>
      </c>
    </row>
    <row r="2956" spans="1:11" x14ac:dyDescent="0.35">
      <c r="A2956" s="9" t="str">
        <f>HYPERLINK("http://www.ensembl.org/id/WBGene00012002", "WBGene00012002")</f>
        <v>WBGene00012002</v>
      </c>
      <c r="B2956" s="9" t="str">
        <f>HYPERLINK("http://www.ncbi.nlm.nih.gov/gene/188870", "188870")</f>
        <v>188870</v>
      </c>
      <c r="C2956" s="9" t="str">
        <f>HYPERLINK("http://www.ncbi.nlm.nih.gov/gene/79639", "79639")</f>
        <v>79639</v>
      </c>
      <c r="D2956" t="str">
        <f>"T24H10.4"</f>
        <v>T24H10.4</v>
      </c>
      <c r="F2956" t="s">
        <v>11</v>
      </c>
      <c r="G2956" t="s">
        <v>25</v>
      </c>
      <c r="H2956" s="12">
        <v>-1.3933878051672299</v>
      </c>
      <c r="I2956" s="20">
        <v>-1.7036108551017599</v>
      </c>
      <c r="J2956" s="28">
        <v>8.8453812149704297E-2</v>
      </c>
      <c r="K2956" s="29">
        <v>0.69188008921160005</v>
      </c>
    </row>
    <row r="2957" spans="1:11" x14ac:dyDescent="0.35">
      <c r="A2957" s="9" t="str">
        <f>HYPERLINK("http://www.ensembl.org/id/WBGene00004859", "WBGene00004859")</f>
        <v>WBGene00004859</v>
      </c>
      <c r="B2957" s="9" t="str">
        <f>HYPERLINK("http://www.ncbi.nlm.nih.gov/gene/181373", "181373")</f>
        <v>181373</v>
      </c>
      <c r="C2957" s="9"/>
      <c r="D2957" t="str">
        <f>"sma-5"</f>
        <v>sma-5</v>
      </c>
      <c r="E2957" t="s">
        <v>2380</v>
      </c>
      <c r="F2957" t="s">
        <v>11</v>
      </c>
      <c r="G2957" t="s">
        <v>2381</v>
      </c>
      <c r="H2957" s="12">
        <v>1.43779182421763</v>
      </c>
      <c r="I2957" s="20">
        <v>1.7032819663113501</v>
      </c>
      <c r="J2957" s="28">
        <v>8.85153137680737E-2</v>
      </c>
      <c r="K2957" s="29">
        <v>0.69212684938243996</v>
      </c>
    </row>
    <row r="2958" spans="1:11" x14ac:dyDescent="0.35">
      <c r="A2958" s="9" t="str">
        <f>HYPERLINK("http://www.ensembl.org/id/WBGene00195084", "WBGene00195084")</f>
        <v>WBGene00195084</v>
      </c>
      <c r="B2958" s="9" t="str">
        <f>HYPERLINK("http://www.ncbi.nlm.nih.gov/gene/13222257", "13222257")</f>
        <v>13222257</v>
      </c>
      <c r="C2958" s="9"/>
      <c r="D2958" t="str">
        <f>"C43C3.4"</f>
        <v>C43C3.4</v>
      </c>
      <c r="F2958" t="s">
        <v>11</v>
      </c>
      <c r="H2958" s="12">
        <v>-1.7281937662817</v>
      </c>
      <c r="I2958" s="20">
        <v>-1.7029331485097301</v>
      </c>
      <c r="J2958" s="28">
        <v>8.8580579734235096E-2</v>
      </c>
      <c r="K2958" s="29">
        <v>0.69240286716483002</v>
      </c>
    </row>
    <row r="2959" spans="1:11" x14ac:dyDescent="0.35">
      <c r="A2959" s="9" t="str">
        <f>HYPERLINK("http://www.ensembl.org/id/WBGene00001596", "WBGene00001596")</f>
        <v>WBGene00001596</v>
      </c>
      <c r="B2959" s="9" t="str">
        <f>HYPERLINK("http://www.ncbi.nlm.nih.gov/gene/172338", "172338")</f>
        <v>172338</v>
      </c>
      <c r="C2959" s="9"/>
      <c r="D2959" t="str">
        <f>"gld-2"</f>
        <v>gld-2</v>
      </c>
      <c r="E2959" t="s">
        <v>2382</v>
      </c>
      <c r="F2959" t="s">
        <v>11</v>
      </c>
      <c r="H2959" s="12">
        <v>-1.3588032538427099</v>
      </c>
      <c r="I2959" s="20">
        <v>-1.70251312920241</v>
      </c>
      <c r="J2959" s="28">
        <v>8.8659219405655396E-2</v>
      </c>
      <c r="K2959" s="29">
        <v>0.69254899377521095</v>
      </c>
    </row>
    <row r="2960" spans="1:11" x14ac:dyDescent="0.35">
      <c r="A2960" s="9" t="str">
        <f>HYPERLINK("http://www.ensembl.org/id/WBGene00014250", "WBGene00014250")</f>
        <v>WBGene00014250</v>
      </c>
      <c r="B2960" s="9" t="str">
        <f>HYPERLINK("http://www.ncbi.nlm.nih.gov/gene/174518", "174518")</f>
        <v>174518</v>
      </c>
      <c r="C2960" s="9" t="str">
        <f>HYPERLINK("http://www.ncbi.nlm.nih.gov/gene/81576", "81576")</f>
        <v>81576</v>
      </c>
      <c r="D2960" t="str">
        <f>"ZK1307.9"</f>
        <v>ZK1307.9</v>
      </c>
      <c r="E2960" t="s">
        <v>2383</v>
      </c>
      <c r="F2960" t="s">
        <v>11</v>
      </c>
      <c r="G2960" t="s">
        <v>2384</v>
      </c>
      <c r="H2960" s="12">
        <v>-1.407706635531</v>
      </c>
      <c r="I2960" s="20">
        <v>-1.70267204321304</v>
      </c>
      <c r="J2960" s="28">
        <v>8.8629459526946897E-2</v>
      </c>
      <c r="K2960" s="29">
        <v>0.69254899377521095</v>
      </c>
    </row>
    <row r="2961" spans="1:11" x14ac:dyDescent="0.35">
      <c r="A2961" s="9" t="str">
        <f>HYPERLINK("http://www.ensembl.org/id/WBGene00077669", "WBGene00077669")</f>
        <v>WBGene00077669</v>
      </c>
      <c r="B2961" s="9" t="str">
        <f>HYPERLINK("http://www.ncbi.nlm.nih.gov/gene/6418796", "6418796")</f>
        <v>6418796</v>
      </c>
      <c r="C2961" s="9"/>
      <c r="D2961" t="str">
        <f>"Y38H6A.5"</f>
        <v>Y38H6A.5</v>
      </c>
      <c r="F2961" t="s">
        <v>11</v>
      </c>
      <c r="H2961" s="12">
        <v>2.41294406342683</v>
      </c>
      <c r="I2961" s="20">
        <v>1.7021379948492501</v>
      </c>
      <c r="J2961" s="28">
        <v>8.8729502882669703E-2</v>
      </c>
      <c r="K2961" s="29">
        <v>0.69286376938390204</v>
      </c>
    </row>
    <row r="2962" spans="1:11" x14ac:dyDescent="0.35">
      <c r="A2962" s="9" t="str">
        <f>HYPERLINK("http://www.ensembl.org/id/WBGene00018037", "WBGene00018037")</f>
        <v>WBGene00018037</v>
      </c>
      <c r="B2962" s="9" t="str">
        <f>HYPERLINK("http://www.ncbi.nlm.nih.gov/gene/180809", "180809")</f>
        <v>180809</v>
      </c>
      <c r="C2962" s="9"/>
      <c r="D2962" t="str">
        <f>"chtl-1"</f>
        <v>chtl-1</v>
      </c>
      <c r="E2962" t="s">
        <v>2385</v>
      </c>
      <c r="F2962" t="s">
        <v>11</v>
      </c>
      <c r="G2962" t="s">
        <v>2386</v>
      </c>
      <c r="H2962" s="12">
        <v>-1.4408393892733999</v>
      </c>
      <c r="I2962" s="20">
        <v>-1.70137887323632</v>
      </c>
      <c r="J2962" s="28">
        <v>8.8871865835348299E-2</v>
      </c>
      <c r="K2962" s="29">
        <v>0.69331844517595898</v>
      </c>
    </row>
    <row r="2963" spans="1:11" x14ac:dyDescent="0.35">
      <c r="A2963" s="9" t="str">
        <f>HYPERLINK("http://www.ensembl.org/id/WBGene00045291", "WBGene00045291")</f>
        <v>WBGene00045291</v>
      </c>
      <c r="B2963" s="9" t="str">
        <f>HYPERLINK("http://www.ncbi.nlm.nih.gov/gene/6418867", "6418867")</f>
        <v>6418867</v>
      </c>
      <c r="C2963" s="9"/>
      <c r="D2963" t="str">
        <f>"F23D12.10"</f>
        <v>F23D12.10</v>
      </c>
      <c r="F2963" t="s">
        <v>11</v>
      </c>
      <c r="H2963" s="12">
        <v>-2.6557729464684701</v>
      </c>
      <c r="I2963" s="20">
        <v>-1.7014824464735501</v>
      </c>
      <c r="J2963" s="28">
        <v>8.8852431245280999E-2</v>
      </c>
      <c r="K2963" s="29">
        <v>0.69331844517595898</v>
      </c>
    </row>
    <row r="2964" spans="1:11" x14ac:dyDescent="0.35">
      <c r="A2964" s="9" t="str">
        <f>HYPERLINK("http://www.ensembl.org/id/WBGene00010936", "WBGene00010936")</f>
        <v>WBGene00010936</v>
      </c>
      <c r="B2964" s="9" t="str">
        <f>HYPERLINK("http://www.ncbi.nlm.nih.gov/gene/187492", "187492")</f>
        <v>187492</v>
      </c>
      <c r="C2964" s="9"/>
      <c r="D2964" t="str">
        <f>"ztf-14"</f>
        <v>ztf-14</v>
      </c>
      <c r="E2964" t="s">
        <v>461</v>
      </c>
      <c r="F2964" t="s">
        <v>11</v>
      </c>
      <c r="H2964" s="12">
        <v>1.81381720866973</v>
      </c>
      <c r="I2964" s="20">
        <v>1.7013475313319899</v>
      </c>
      <c r="J2964" s="28">
        <v>8.8877747537920507E-2</v>
      </c>
      <c r="K2964" s="29">
        <v>0.69331844517595898</v>
      </c>
    </row>
    <row r="2965" spans="1:11" x14ac:dyDescent="0.35">
      <c r="A2965" s="9" t="str">
        <f>HYPERLINK("http://www.ensembl.org/id/WBGene00043156", "WBGene00043156")</f>
        <v>WBGene00043156</v>
      </c>
      <c r="B2965" s="9" t="str">
        <f>HYPERLINK("http://www.ncbi.nlm.nih.gov/gene/175673", "175673")</f>
        <v>175673</v>
      </c>
      <c r="C2965" s="9" t="str">
        <f>HYPERLINK("http://www.ncbi.nlm.nih.gov/gene/339123", "339123")</f>
        <v>339123</v>
      </c>
      <c r="D2965" t="str">
        <f>"C27F2.9"</f>
        <v>C27F2.9</v>
      </c>
      <c r="F2965" t="s">
        <v>11</v>
      </c>
      <c r="G2965" t="s">
        <v>228</v>
      </c>
      <c r="H2965" s="12">
        <v>-1.4583320255958201</v>
      </c>
      <c r="I2965" s="20">
        <v>-1.7011699800800399</v>
      </c>
      <c r="J2965" s="28">
        <v>8.8911073185013206E-2</v>
      </c>
      <c r="K2965" s="29">
        <v>0.69334433243770399</v>
      </c>
    </row>
    <row r="2966" spans="1:11" x14ac:dyDescent="0.35">
      <c r="A2966" s="9" t="str">
        <f>HYPERLINK("http://www.ensembl.org/id/WBGene00000986", "WBGene00000986")</f>
        <v>WBGene00000986</v>
      </c>
      <c r="B2966" s="9" t="str">
        <f>HYPERLINK("http://www.ncbi.nlm.nih.gov/gene/180038", "180038")</f>
        <v>180038</v>
      </c>
      <c r="C2966" s="9"/>
      <c r="D2966" t="str">
        <f>"dhs-23"</f>
        <v>dhs-23</v>
      </c>
      <c r="E2966" t="s">
        <v>488</v>
      </c>
      <c r="F2966" t="s">
        <v>11</v>
      </c>
      <c r="G2966" t="s">
        <v>489</v>
      </c>
      <c r="H2966" s="12">
        <v>1.8238545859438999</v>
      </c>
      <c r="I2966" s="20">
        <v>1.70043434770735</v>
      </c>
      <c r="J2966" s="28">
        <v>8.9049255673235003E-2</v>
      </c>
      <c r="K2966" s="29">
        <v>0.69418761861867995</v>
      </c>
    </row>
    <row r="2967" spans="1:11" x14ac:dyDescent="0.35">
      <c r="A2967" s="9" t="str">
        <f>HYPERLINK("http://www.ensembl.org/id/WBGene00017774", "WBGene00017774")</f>
        <v>WBGene00017774</v>
      </c>
      <c r="B2967" s="9" t="str">
        <f>HYPERLINK("http://www.ncbi.nlm.nih.gov/gene/175845", "175845")</f>
        <v>175845</v>
      </c>
      <c r="C2967" s="9"/>
      <c r="D2967" t="str">
        <f>"nop-1"</f>
        <v>nop-1</v>
      </c>
      <c r="E2967" t="s">
        <v>2387</v>
      </c>
      <c r="F2967" t="s">
        <v>11</v>
      </c>
      <c r="H2967" s="12">
        <v>-1.4455733537893301</v>
      </c>
      <c r="I2967" s="20">
        <v>-1.69948112219068</v>
      </c>
      <c r="J2967" s="28">
        <v>8.9228568529923197E-2</v>
      </c>
      <c r="K2967" s="29">
        <v>0.69535086153538095</v>
      </c>
    </row>
    <row r="2968" spans="1:11" x14ac:dyDescent="0.35">
      <c r="A2968" s="9" t="str">
        <f>HYPERLINK("http://www.ensembl.org/id/WBGene00019662", "WBGene00019662")</f>
        <v>WBGene00019662</v>
      </c>
      <c r="B2968" s="9" t="str">
        <f>HYPERLINK("http://www.ncbi.nlm.nih.gov/gene/187313", "187313")</f>
        <v>187313</v>
      </c>
      <c r="C2968" s="9"/>
      <c r="D2968" t="str">
        <f>"K11H12.6"</f>
        <v>K11H12.6</v>
      </c>
      <c r="F2968" t="s">
        <v>11</v>
      </c>
      <c r="H2968" s="12">
        <v>-1.52116712563848</v>
      </c>
      <c r="I2968" s="20">
        <v>-1.69926024235033</v>
      </c>
      <c r="J2968" s="28">
        <v>8.9270160084768804E-2</v>
      </c>
      <c r="K2968" s="29">
        <v>0.69544043119307697</v>
      </c>
    </row>
    <row r="2969" spans="1:11" x14ac:dyDescent="0.35">
      <c r="A2969" s="9" t="str">
        <f>HYPERLINK("http://www.ensembl.org/id/WBGene00008021", "WBGene00008021")</f>
        <v>WBGene00008021</v>
      </c>
      <c r="B2969" s="9" t="str">
        <f>HYPERLINK("http://www.ncbi.nlm.nih.gov/gene/183330", "183330")</f>
        <v>183330</v>
      </c>
      <c r="C2969" s="9"/>
      <c r="D2969" t="str">
        <f>"C39B10.1"</f>
        <v>C39B10.1</v>
      </c>
      <c r="F2969" t="s">
        <v>11</v>
      </c>
      <c r="G2969" t="s">
        <v>25</v>
      </c>
      <c r="H2969" s="12">
        <v>2.11116276756356</v>
      </c>
      <c r="I2969" s="20">
        <v>1.6990892557941</v>
      </c>
      <c r="J2969" s="28">
        <v>8.9302367482539793E-2</v>
      </c>
      <c r="K2969" s="29">
        <v>0.69545685980841399</v>
      </c>
    </row>
    <row r="2970" spans="1:11" x14ac:dyDescent="0.35">
      <c r="A2970" s="9" t="str">
        <f>HYPERLINK("http://www.ensembl.org/id/WBGene00021368", "WBGene00021368")</f>
        <v>WBGene00021368</v>
      </c>
      <c r="B2970" s="9" t="str">
        <f>HYPERLINK("http://www.ncbi.nlm.nih.gov/gene/189623", "189623")</f>
        <v>189623</v>
      </c>
      <c r="C2970" s="9"/>
      <c r="D2970" t="str">
        <f>"best-20"</f>
        <v>best-20</v>
      </c>
      <c r="E2970" t="s">
        <v>1526</v>
      </c>
      <c r="F2970" t="s">
        <v>11</v>
      </c>
      <c r="G2970" t="s">
        <v>1527</v>
      </c>
      <c r="H2970" s="12">
        <v>-1.5250439485801399</v>
      </c>
      <c r="I2970" s="20">
        <v>-1.6968272630804999</v>
      </c>
      <c r="J2970" s="28">
        <v>8.9729322797465497E-2</v>
      </c>
      <c r="K2970" s="29">
        <v>0.69596701327903199</v>
      </c>
    </row>
    <row r="2971" spans="1:11" x14ac:dyDescent="0.35">
      <c r="A2971" s="9" t="str">
        <f>HYPERLINK("http://www.ensembl.org/id/WBGene00015416", "WBGene00015416")</f>
        <v>WBGene00015416</v>
      </c>
      <c r="B2971" s="9" t="str">
        <f>HYPERLINK("http://www.ncbi.nlm.nih.gov/gene/182197", "182197")</f>
        <v>182197</v>
      </c>
      <c r="C2971" s="9"/>
      <c r="D2971" t="str">
        <f>"C04C3.6"</f>
        <v>C04C3.6</v>
      </c>
      <c r="F2971" t="s">
        <v>11</v>
      </c>
      <c r="G2971" t="s">
        <v>25</v>
      </c>
      <c r="H2971" s="12">
        <v>-1.5547212497614999</v>
      </c>
      <c r="I2971" s="20">
        <v>-1.69776111184553</v>
      </c>
      <c r="J2971" s="28">
        <v>8.9552858347473605E-2</v>
      </c>
      <c r="K2971" s="29">
        <v>0.69596701327903199</v>
      </c>
    </row>
    <row r="2972" spans="1:11" x14ac:dyDescent="0.35">
      <c r="A2972" s="9" t="str">
        <f>HYPERLINK("http://www.ensembl.org/id/WBGene00007907", "WBGene00007907")</f>
        <v>WBGene00007907</v>
      </c>
      <c r="B2972" s="9" t="str">
        <f>HYPERLINK("http://www.ncbi.nlm.nih.gov/gene/179793", "179793")</f>
        <v>179793</v>
      </c>
      <c r="C2972" s="9"/>
      <c r="D2972" t="str">
        <f>"C34B4.2"</f>
        <v>C34B4.2</v>
      </c>
      <c r="F2972" t="s">
        <v>11</v>
      </c>
      <c r="G2972" t="s">
        <v>2393</v>
      </c>
      <c r="H2972" s="12">
        <v>-1.41016954656966</v>
      </c>
      <c r="I2972" s="20">
        <v>-1.69784485374042</v>
      </c>
      <c r="J2972" s="28">
        <v>8.9537047748244905E-2</v>
      </c>
      <c r="K2972" s="29">
        <v>0.69596701327903199</v>
      </c>
    </row>
    <row r="2973" spans="1:11" x14ac:dyDescent="0.35">
      <c r="A2973" s="9" t="str">
        <f>HYPERLINK("http://www.ensembl.org/id/WBGene00010892", "WBGene00010892")</f>
        <v>WBGene00010892</v>
      </c>
      <c r="B2973" s="9" t="str">
        <f>HYPERLINK("http://www.ncbi.nlm.nih.gov/gene/178158", "178158")</f>
        <v>178158</v>
      </c>
      <c r="C2973" s="9" t="str">
        <f>HYPERLINK("http://www.ncbi.nlm.nih.gov/gene/64429", "64429")</f>
        <v>64429</v>
      </c>
      <c r="D2973" t="str">
        <f>"dhhc-6"</f>
        <v>dhhc-6</v>
      </c>
      <c r="E2973" t="s">
        <v>2394</v>
      </c>
      <c r="F2973" t="s">
        <v>11</v>
      </c>
      <c r="G2973" t="s">
        <v>2395</v>
      </c>
      <c r="H2973" s="12">
        <v>-1.41814890715558</v>
      </c>
      <c r="I2973" s="20">
        <v>-1.69806006798665</v>
      </c>
      <c r="J2973" s="28">
        <v>8.9496425276799602E-2</v>
      </c>
      <c r="K2973" s="29">
        <v>0.69596701327903199</v>
      </c>
    </row>
    <row r="2974" spans="1:11" x14ac:dyDescent="0.35">
      <c r="A2974" s="9" t="str">
        <f>HYPERLINK("http://www.ensembl.org/id/WBGene00008875", "WBGene00008875")</f>
        <v>WBGene00008875</v>
      </c>
      <c r="B2974" s="9" t="str">
        <f>HYPERLINK("http://www.ncbi.nlm.nih.gov/gene/179451", "179451")</f>
        <v>179451</v>
      </c>
      <c r="C2974" s="9"/>
      <c r="D2974" t="str">
        <f>"F15H10.8"</f>
        <v>F15H10.8</v>
      </c>
      <c r="F2974" t="s">
        <v>11</v>
      </c>
      <c r="G2974" t="s">
        <v>25</v>
      </c>
      <c r="H2974" s="12">
        <v>4.5120406252539702</v>
      </c>
      <c r="I2974" s="20">
        <v>1.6969282153329099</v>
      </c>
      <c r="J2974" s="28">
        <v>8.97102328998612E-2</v>
      </c>
      <c r="K2974" s="29">
        <v>0.69596701327903199</v>
      </c>
    </row>
    <row r="2975" spans="1:11" x14ac:dyDescent="0.35">
      <c r="A2975" s="9" t="str">
        <f>HYPERLINK("http://www.ensembl.org/id/WBGene00017886", "WBGene00017886")</f>
        <v>WBGene00017886</v>
      </c>
      <c r="B2975" s="9" t="str">
        <f>HYPERLINK("http://www.ncbi.nlm.nih.gov/gene/172111", "172111")</f>
        <v>172111</v>
      </c>
      <c r="C2975" s="9"/>
      <c r="D2975" t="str">
        <f>"F28B3.5"</f>
        <v>F28B3.5</v>
      </c>
      <c r="F2975" t="s">
        <v>11</v>
      </c>
      <c r="G2975" t="s">
        <v>25</v>
      </c>
      <c r="H2975" s="12">
        <v>-1.4410238791760299</v>
      </c>
      <c r="I2975" s="20">
        <v>-1.6969515945197999</v>
      </c>
      <c r="J2975" s="28">
        <v>8.9705812402103305E-2</v>
      </c>
      <c r="K2975" s="29">
        <v>0.69596701327903199</v>
      </c>
    </row>
    <row r="2976" spans="1:11" x14ac:dyDescent="0.35">
      <c r="A2976" s="9" t="str">
        <f>HYPERLINK("http://www.ensembl.org/id/WBGene00044385", "WBGene00044385")</f>
        <v>WBGene00044385</v>
      </c>
      <c r="B2976" s="9" t="str">
        <f>HYPERLINK("http://www.ncbi.nlm.nih.gov/gene/3565790", "3565790")</f>
        <v>3565790</v>
      </c>
      <c r="C2976" s="9"/>
      <c r="D2976" t="str">
        <f>"F59A6.10"</f>
        <v>F59A6.10</v>
      </c>
      <c r="F2976" t="s">
        <v>11</v>
      </c>
      <c r="H2976" s="12">
        <v>-11.0372970890764</v>
      </c>
      <c r="I2976" s="20">
        <v>-1.69712448256398</v>
      </c>
      <c r="J2976" s="28">
        <v>8.9673128461667501E-2</v>
      </c>
      <c r="K2976" s="29">
        <v>0.69596701327903199</v>
      </c>
    </row>
    <row r="2977" spans="1:11" x14ac:dyDescent="0.35">
      <c r="A2977" s="9" t="str">
        <f>HYPERLINK("http://www.ensembl.org/id/WBGene00002238", "WBGene00002238")</f>
        <v>WBGene00002238</v>
      </c>
      <c r="B2977" s="9" t="str">
        <f>HYPERLINK("http://www.ncbi.nlm.nih.gov/gene/174159", "174159")</f>
        <v>174159</v>
      </c>
      <c r="C2977" s="9" t="str">
        <f>HYPERLINK("http://www.ncbi.nlm.nih.gov/gene/3735", "3735")</f>
        <v>3735</v>
      </c>
      <c r="D2977" t="str">
        <f>"kars-1"</f>
        <v>kars-1</v>
      </c>
      <c r="E2977" t="s">
        <v>2391</v>
      </c>
      <c r="F2977" t="s">
        <v>11</v>
      </c>
      <c r="G2977" t="s">
        <v>2392</v>
      </c>
      <c r="H2977" s="12">
        <v>-1.36659993968521</v>
      </c>
      <c r="I2977" s="20">
        <v>-1.69713774151556</v>
      </c>
      <c r="J2977" s="28">
        <v>8.9670622294511504E-2</v>
      </c>
      <c r="K2977" s="29">
        <v>0.69596701327903199</v>
      </c>
    </row>
    <row r="2978" spans="1:11" x14ac:dyDescent="0.35">
      <c r="A2978" s="9" t="str">
        <f>HYPERLINK("http://www.ensembl.org/id/WBGene00189951", "WBGene00189951")</f>
        <v>WBGene00189951</v>
      </c>
      <c r="B2978" s="9"/>
      <c r="C2978" s="9"/>
      <c r="D2978" t="str">
        <f>"linc-29"</f>
        <v>linc-29</v>
      </c>
      <c r="F2978" t="s">
        <v>1510</v>
      </c>
      <c r="H2978" s="12">
        <v>2.64965909231922</v>
      </c>
      <c r="I2978" s="20">
        <v>1.69857657721153</v>
      </c>
      <c r="J2978" s="28">
        <v>8.9398992832914206E-2</v>
      </c>
      <c r="K2978" s="29">
        <v>0.69596701327903199</v>
      </c>
    </row>
    <row r="2979" spans="1:11" x14ac:dyDescent="0.35">
      <c r="A2979" s="9" t="str">
        <f>HYPERLINK("http://www.ensembl.org/id/WBGene00004005", "WBGene00004005")</f>
        <v>WBGene00004005</v>
      </c>
      <c r="B2979" s="9" t="str">
        <f>HYPERLINK("http://www.ncbi.nlm.nih.gov/gene/183971", "183971")</f>
        <v>183971</v>
      </c>
      <c r="C2979" s="9"/>
      <c r="D2979" t="str">
        <f>"pgp-11"</f>
        <v>pgp-11</v>
      </c>
      <c r="E2979" t="s">
        <v>1379</v>
      </c>
      <c r="F2979" t="s">
        <v>11</v>
      </c>
      <c r="G2979" t="s">
        <v>2390</v>
      </c>
      <c r="H2979" s="12">
        <v>1.4036424012906299</v>
      </c>
      <c r="I2979" s="20">
        <v>1.69684336768063</v>
      </c>
      <c r="J2979" s="28">
        <v>8.9726277225998297E-2</v>
      </c>
      <c r="K2979" s="29">
        <v>0.69596701327903199</v>
      </c>
    </row>
    <row r="2980" spans="1:11" x14ac:dyDescent="0.35">
      <c r="A2980" s="9" t="str">
        <f>HYPERLINK("http://www.ensembl.org/id/WBGene00045517", "WBGene00045517")</f>
        <v>WBGene00045517</v>
      </c>
      <c r="B2980" s="9" t="str">
        <f>HYPERLINK("http://www.ncbi.nlm.nih.gov/gene/6418758", "6418758")</f>
        <v>6418758</v>
      </c>
      <c r="C2980" s="9"/>
      <c r="D2980" t="str">
        <f>"R11D1.13"</f>
        <v>R11D1.13</v>
      </c>
      <c r="F2980" t="s">
        <v>11</v>
      </c>
      <c r="H2980" s="12">
        <v>1.7291481446082499</v>
      </c>
      <c r="I2980" s="20">
        <v>1.6971556598638</v>
      </c>
      <c r="J2980" s="28">
        <v>8.9667235511810203E-2</v>
      </c>
      <c r="K2980" s="29">
        <v>0.69596701327903199</v>
      </c>
    </row>
    <row r="2981" spans="1:11" x14ac:dyDescent="0.35">
      <c r="A2981" s="9" t="str">
        <f>HYPERLINK("http://www.ensembl.org/id/WBGene00004944", "WBGene00004944")</f>
        <v>WBGene00004944</v>
      </c>
      <c r="B2981" s="9" t="str">
        <f>HYPERLINK("http://www.ncbi.nlm.nih.gov/gene/172493", "172493")</f>
        <v>172493</v>
      </c>
      <c r="C2981" s="9"/>
      <c r="D2981" t="str">
        <f>"sol-1"</f>
        <v>sol-1</v>
      </c>
      <c r="E2981" t="s">
        <v>2388</v>
      </c>
      <c r="F2981" t="s">
        <v>11</v>
      </c>
      <c r="G2981" t="s">
        <v>2389</v>
      </c>
      <c r="H2981" s="12">
        <v>1.6283233891457101</v>
      </c>
      <c r="I2981" s="20">
        <v>1.6979094119915601</v>
      </c>
      <c r="J2981" s="28">
        <v>8.95248605850201E-2</v>
      </c>
      <c r="K2981" s="29">
        <v>0.69596701327903199</v>
      </c>
    </row>
    <row r="2982" spans="1:11" x14ac:dyDescent="0.35">
      <c r="A2982" s="9" t="str">
        <f>HYPERLINK("http://www.ensembl.org/id/WBGene00015291", "WBGene00015291")</f>
        <v>WBGene00015291</v>
      </c>
      <c r="B2982" s="9" t="str">
        <f>HYPERLINK("http://www.ncbi.nlm.nih.gov/gene/3565099", "3565099")</f>
        <v>3565099</v>
      </c>
      <c r="C2982" s="9"/>
      <c r="D2982" t="str">
        <f>"C01B12.8"</f>
        <v>C01B12.8</v>
      </c>
      <c r="F2982" t="s">
        <v>11</v>
      </c>
      <c r="H2982" s="12">
        <v>-1.5842525978905599</v>
      </c>
      <c r="I2982" s="20">
        <v>-1.6961841064690399</v>
      </c>
      <c r="J2982" s="28">
        <v>8.9851019410452801E-2</v>
      </c>
      <c r="K2982" s="29">
        <v>0.69610926915859095</v>
      </c>
    </row>
    <row r="2983" spans="1:11" x14ac:dyDescent="0.35">
      <c r="A2983" s="9" t="str">
        <f>HYPERLINK("http://www.ensembl.org/id/WBGene00001587", "WBGene00001587")</f>
        <v>WBGene00001587</v>
      </c>
      <c r="B2983" s="9" t="str">
        <f>HYPERLINK("http://www.ncbi.nlm.nih.gov/gene/191637", "191637")</f>
        <v>191637</v>
      </c>
      <c r="C2983" s="9"/>
      <c r="D2983" t="str">
        <f>"ggr-2"</f>
        <v>ggr-2</v>
      </c>
      <c r="E2983" t="s">
        <v>2015</v>
      </c>
      <c r="F2983" t="s">
        <v>11</v>
      </c>
      <c r="G2983" t="s">
        <v>506</v>
      </c>
      <c r="H2983" s="12">
        <v>1.86242760550967</v>
      </c>
      <c r="I2983" s="20">
        <v>1.6962661107555099</v>
      </c>
      <c r="J2983" s="28">
        <v>8.9835495361633502E-2</v>
      </c>
      <c r="K2983" s="29">
        <v>0.69610926915859095</v>
      </c>
    </row>
    <row r="2984" spans="1:11" x14ac:dyDescent="0.35">
      <c r="A2984" s="9" t="str">
        <f>HYPERLINK("http://www.ensembl.org/id/WBGene00022124", "WBGene00022124")</f>
        <v>WBGene00022124</v>
      </c>
      <c r="B2984" s="9" t="str">
        <f>HYPERLINK("http://www.ncbi.nlm.nih.gov/gene/171869", "171869")</f>
        <v>171869</v>
      </c>
      <c r="C2984" s="9"/>
      <c r="D2984" t="str">
        <f>"supr-1"</f>
        <v>supr-1</v>
      </c>
      <c r="E2984" t="s">
        <v>2397</v>
      </c>
      <c r="F2984" t="s">
        <v>11</v>
      </c>
      <c r="G2984" t="s">
        <v>2398</v>
      </c>
      <c r="H2984" s="12">
        <v>-1.4457863543471801</v>
      </c>
      <c r="I2984" s="20">
        <v>-1.6960464717894499</v>
      </c>
      <c r="J2984" s="28">
        <v>8.9877079578950497E-2</v>
      </c>
      <c r="K2984" s="29">
        <v>0.69610926915859095</v>
      </c>
    </row>
    <row r="2985" spans="1:11" x14ac:dyDescent="0.35">
      <c r="A2985" s="9" t="str">
        <f>HYPERLINK("http://www.ensembl.org/id/WBGene00012125", "WBGene00012125")</f>
        <v>WBGene00012125</v>
      </c>
      <c r="B2985" s="9" t="str">
        <f>HYPERLINK("http://www.ncbi.nlm.nih.gov/gene/176564", "176564")</f>
        <v>176564</v>
      </c>
      <c r="C2985" s="9"/>
      <c r="D2985" t="str">
        <f>"T28D6.5"</f>
        <v>T28D6.5</v>
      </c>
      <c r="F2985" t="s">
        <v>11</v>
      </c>
      <c r="G2985" t="s">
        <v>25</v>
      </c>
      <c r="H2985" s="12">
        <v>1.4089437966649401</v>
      </c>
      <c r="I2985" s="20">
        <v>1.69593443542819</v>
      </c>
      <c r="J2985" s="28">
        <v>8.9898297375973102E-2</v>
      </c>
      <c r="K2985" s="29">
        <v>0.69610926915859095</v>
      </c>
    </row>
    <row r="2986" spans="1:11" x14ac:dyDescent="0.35">
      <c r="A2986" s="9" t="str">
        <f>HYPERLINK("http://www.ensembl.org/id/WBGene00002080", "WBGene00002080")</f>
        <v>WBGene00002080</v>
      </c>
      <c r="B2986" s="9" t="str">
        <f>HYPERLINK("http://www.ncbi.nlm.nih.gov/gene/177581", "177581")</f>
        <v>177581</v>
      </c>
      <c r="C2986" s="9" t="str">
        <f>HYPERLINK("http://www.ncbi.nlm.nih.gov/gene/11260", "11260")</f>
        <v>11260</v>
      </c>
      <c r="D2986" t="str">
        <f>"xpo-3"</f>
        <v>xpo-3</v>
      </c>
      <c r="E2986" t="s">
        <v>1030</v>
      </c>
      <c r="F2986" t="s">
        <v>11</v>
      </c>
      <c r="G2986" t="s">
        <v>2396</v>
      </c>
      <c r="H2986" s="12">
        <v>-1.4117636787062899</v>
      </c>
      <c r="I2986" s="20">
        <v>-1.69632095743607</v>
      </c>
      <c r="J2986" s="28">
        <v>8.9825113663747902E-2</v>
      </c>
      <c r="K2986" s="29">
        <v>0.69610926915859095</v>
      </c>
    </row>
    <row r="2987" spans="1:11" x14ac:dyDescent="0.35">
      <c r="A2987" s="9" t="str">
        <f>HYPERLINK("http://www.ensembl.org/id/WBGene00009562", "WBGene00009562")</f>
        <v>WBGene00009562</v>
      </c>
      <c r="B2987" s="9" t="str">
        <f>HYPERLINK("http://www.ncbi.nlm.nih.gov/gene/172665", "172665")</f>
        <v>172665</v>
      </c>
      <c r="C2987" s="9"/>
      <c r="D2987" t="str">
        <f>"flp-22"</f>
        <v>flp-22</v>
      </c>
      <c r="E2987" t="s">
        <v>2399</v>
      </c>
      <c r="F2987" t="s">
        <v>11</v>
      </c>
      <c r="G2987" t="s">
        <v>77</v>
      </c>
      <c r="H2987" s="12">
        <v>1.38658247699941</v>
      </c>
      <c r="I2987" s="20">
        <v>1.6952155831196101</v>
      </c>
      <c r="J2987" s="28">
        <v>9.0034531826987896E-2</v>
      </c>
      <c r="K2987" s="29">
        <v>0.696610259023423</v>
      </c>
    </row>
    <row r="2988" spans="1:11" x14ac:dyDescent="0.35">
      <c r="A2988" s="9" t="str">
        <f>HYPERLINK("http://www.ensembl.org/id/WBGene00001761", "WBGene00001761")</f>
        <v>WBGene00001761</v>
      </c>
      <c r="B2988" s="9" t="str">
        <f>HYPERLINK("http://www.ncbi.nlm.nih.gov/gene/188915", "188915")</f>
        <v>188915</v>
      </c>
      <c r="C2988" s="9" t="str">
        <f>HYPERLINK("http://www.ncbi.nlm.nih.gov/gene/27306", "27306")</f>
        <v>27306</v>
      </c>
      <c r="D2988" t="str">
        <f>"gst-13"</f>
        <v>gst-13</v>
      </c>
      <c r="E2988" t="s">
        <v>272</v>
      </c>
      <c r="F2988" t="s">
        <v>11</v>
      </c>
      <c r="G2988" t="s">
        <v>446</v>
      </c>
      <c r="H2988" s="12">
        <v>-1.3950283794318299</v>
      </c>
      <c r="I2988" s="20">
        <v>-1.69520370155764</v>
      </c>
      <c r="J2988" s="28">
        <v>9.0036784975476097E-2</v>
      </c>
      <c r="K2988" s="29">
        <v>0.696610259023423</v>
      </c>
    </row>
    <row r="2989" spans="1:11" x14ac:dyDescent="0.35">
      <c r="A2989" s="9" t="str">
        <f>HYPERLINK("http://www.ensembl.org/id/WBGene00009897", "WBGene00009897")</f>
        <v>WBGene00009897</v>
      </c>
      <c r="B2989" s="9" t="str">
        <f>HYPERLINK("http://www.ncbi.nlm.nih.gov/gene/174340", "174340")</f>
        <v>174340</v>
      </c>
      <c r="C2989" s="9"/>
      <c r="D2989" t="str">
        <f>"skpo-1"</f>
        <v>skpo-1</v>
      </c>
      <c r="E2989" t="s">
        <v>2400</v>
      </c>
      <c r="F2989" t="s">
        <v>11</v>
      </c>
      <c r="G2989" t="s">
        <v>2401</v>
      </c>
      <c r="H2989" s="12">
        <v>-1.5329075017732201</v>
      </c>
      <c r="I2989" s="20">
        <v>-1.6951158683094201</v>
      </c>
      <c r="J2989" s="28">
        <v>9.0053442556174298E-2</v>
      </c>
      <c r="K2989" s="29">
        <v>0.696610259023423</v>
      </c>
    </row>
    <row r="2990" spans="1:11" x14ac:dyDescent="0.35">
      <c r="A2990" s="9" t="str">
        <f>HYPERLINK("http://www.ensembl.org/id/WBGene00009814", "WBGene00009814")</f>
        <v>WBGene00009814</v>
      </c>
      <c r="B2990" s="9" t="str">
        <f>HYPERLINK("http://www.ncbi.nlm.nih.gov/gene/185902", "185902")</f>
        <v>185902</v>
      </c>
      <c r="C2990" s="9"/>
      <c r="D2990" t="str">
        <f>"F47B10.3"</f>
        <v>F47B10.3</v>
      </c>
      <c r="F2990" t="s">
        <v>11</v>
      </c>
      <c r="G2990" t="s">
        <v>25</v>
      </c>
      <c r="H2990" s="12">
        <v>2.5958533207744798</v>
      </c>
      <c r="I2990" s="20">
        <v>1.6944471472756699</v>
      </c>
      <c r="J2990" s="28">
        <v>9.0180346884959406E-2</v>
      </c>
      <c r="K2990" s="29">
        <v>0.69698027228825399</v>
      </c>
    </row>
    <row r="2991" spans="1:11" x14ac:dyDescent="0.35">
      <c r="A2991" s="9" t="str">
        <f>HYPERLINK("http://www.ensembl.org/id/WBGene00004231", "WBGene00004231")</f>
        <v>WBGene00004231</v>
      </c>
      <c r="B2991" s="9" t="str">
        <f>HYPERLINK("http://www.ncbi.nlm.nih.gov/gene/173150", "173150")</f>
        <v>173150</v>
      </c>
      <c r="C2991" s="9"/>
      <c r="D2991" t="str">
        <f>"ptr-17"</f>
        <v>ptr-17</v>
      </c>
      <c r="E2991" t="s">
        <v>134</v>
      </c>
      <c r="F2991" t="s">
        <v>11</v>
      </c>
      <c r="G2991" t="s">
        <v>1268</v>
      </c>
      <c r="H2991" s="12">
        <v>2.35494473234492</v>
      </c>
      <c r="I2991" s="20">
        <v>1.69452608405585</v>
      </c>
      <c r="J2991" s="28">
        <v>9.0165359430469896E-2</v>
      </c>
      <c r="K2991" s="29">
        <v>0.69698027228825399</v>
      </c>
    </row>
    <row r="2992" spans="1:11" x14ac:dyDescent="0.35">
      <c r="A2992" s="9" t="str">
        <f>HYPERLINK("http://www.ensembl.org/id/WBGene00194793", "WBGene00194793")</f>
        <v>WBGene00194793</v>
      </c>
      <c r="B2992" s="9" t="str">
        <f>HYPERLINK("http://www.ncbi.nlm.nih.gov/gene/13222717", "13222717")</f>
        <v>13222717</v>
      </c>
      <c r="C2992" s="9"/>
      <c r="D2992" t="str">
        <f>"W04G3.13"</f>
        <v>W04G3.13</v>
      </c>
      <c r="F2992" t="s">
        <v>11</v>
      </c>
      <c r="H2992" s="12">
        <v>-3.4918379667763202</v>
      </c>
      <c r="I2992" s="20">
        <v>-1.6943869958020901</v>
      </c>
      <c r="J2992" s="28">
        <v>9.0191768983894999E-2</v>
      </c>
      <c r="K2992" s="29">
        <v>0.69698027228825399</v>
      </c>
    </row>
    <row r="2993" spans="1:11" x14ac:dyDescent="0.35">
      <c r="A2993" s="9" t="str">
        <f>HYPERLINK("http://www.ensembl.org/id/WBGene00010065", "WBGene00010065")</f>
        <v>WBGene00010065</v>
      </c>
      <c r="B2993" s="9" t="str">
        <f>HYPERLINK("http://www.ncbi.nlm.nih.gov/gene/181361", "181361")</f>
        <v>181361</v>
      </c>
      <c r="C2993" s="9"/>
      <c r="D2993" t="str">
        <f>"F54F7.3"</f>
        <v>F54F7.3</v>
      </c>
      <c r="F2993" t="s">
        <v>11</v>
      </c>
      <c r="H2993" s="12">
        <v>-1.34887246121482</v>
      </c>
      <c r="I2993" s="20">
        <v>-1.69419833403797</v>
      </c>
      <c r="J2993" s="28">
        <v>9.0227601316703807E-2</v>
      </c>
      <c r="K2993" s="29">
        <v>0.69702405751379404</v>
      </c>
    </row>
    <row r="2994" spans="1:11" x14ac:dyDescent="0.35">
      <c r="A2994" s="9" t="str">
        <f>HYPERLINK("http://www.ensembl.org/id/WBGene00000051", "WBGene00000051")</f>
        <v>WBGene00000051</v>
      </c>
      <c r="B2994" s="9" t="str">
        <f>HYPERLINK("http://www.ncbi.nlm.nih.gov/gene/181475", "181475")</f>
        <v>181475</v>
      </c>
      <c r="C2994" s="9"/>
      <c r="D2994" t="str">
        <f>"acr-12"</f>
        <v>acr-12</v>
      </c>
      <c r="E2994" t="s">
        <v>2402</v>
      </c>
      <c r="F2994" t="s">
        <v>11</v>
      </c>
      <c r="G2994" t="s">
        <v>2403</v>
      </c>
      <c r="H2994" s="12">
        <v>1.5241519424925001</v>
      </c>
      <c r="I2994" s="20">
        <v>1.69387075319233</v>
      </c>
      <c r="J2994" s="28">
        <v>9.0289845620119005E-2</v>
      </c>
      <c r="K2994" s="29">
        <v>0.69727178238585197</v>
      </c>
    </row>
    <row r="2995" spans="1:11" x14ac:dyDescent="0.35">
      <c r="A2995" s="9" t="str">
        <f>HYPERLINK("http://www.ensembl.org/id/WBGene00022302", "WBGene00022302")</f>
        <v>WBGene00022302</v>
      </c>
      <c r="B2995" s="9" t="str">
        <f>HYPERLINK("http://www.ncbi.nlm.nih.gov/gene/259555", "259555")</f>
        <v>259555</v>
      </c>
      <c r="C2995" s="9"/>
      <c r="D2995" t="str">
        <f>"Y76B12C.8"</f>
        <v>Y76B12C.8</v>
      </c>
      <c r="F2995" t="s">
        <v>11</v>
      </c>
      <c r="H2995" s="12">
        <v>1.7553640551605301</v>
      </c>
      <c r="I2995" s="20">
        <v>1.6937091085431699</v>
      </c>
      <c r="J2995" s="28">
        <v>9.0320572778047906E-2</v>
      </c>
      <c r="K2995" s="29">
        <v>0.69727602893737906</v>
      </c>
    </row>
    <row r="2996" spans="1:11" x14ac:dyDescent="0.35">
      <c r="A2996" s="9" t="str">
        <f>HYPERLINK("http://www.ensembl.org/id/WBGene00003684", "WBGene00003684")</f>
        <v>WBGene00003684</v>
      </c>
      <c r="B2996" s="9" t="str">
        <f>HYPERLINK("http://www.ncbi.nlm.nih.gov/gene/179149", "179149")</f>
        <v>179149</v>
      </c>
      <c r="C2996" s="9"/>
      <c r="D2996" t="str">
        <f>"nhr-94"</f>
        <v>nhr-94</v>
      </c>
      <c r="E2996" t="s">
        <v>2404</v>
      </c>
      <c r="F2996" t="s">
        <v>11</v>
      </c>
      <c r="G2996" t="s">
        <v>1073</v>
      </c>
      <c r="H2996" s="12">
        <v>1.7048877870060299</v>
      </c>
      <c r="I2996" s="20">
        <v>1.69353439496438</v>
      </c>
      <c r="J2996" s="28">
        <v>9.03537936805478E-2</v>
      </c>
      <c r="K2996" s="29">
        <v>0.69729951796350598</v>
      </c>
    </row>
    <row r="2997" spans="1:11" x14ac:dyDescent="0.35">
      <c r="A2997" s="9" t="str">
        <f>HYPERLINK("http://www.ensembl.org/id/WBGene00004932", "WBGene00004932")</f>
        <v>WBGene00004932</v>
      </c>
      <c r="B2997" s="9" t="str">
        <f>HYPERLINK("http://www.ncbi.nlm.nih.gov/gene/181748", "181748")</f>
        <v>181748</v>
      </c>
      <c r="C2997" s="9" t="str">
        <f>HYPERLINK("http://www.ncbi.nlm.nih.gov/gene/6648", "6648")</f>
        <v>6648</v>
      </c>
      <c r="D2997" t="str">
        <f>"sod-3"</f>
        <v>sod-3</v>
      </c>
      <c r="E2997" t="s">
        <v>2405</v>
      </c>
      <c r="F2997" t="s">
        <v>11</v>
      </c>
      <c r="G2997" t="s">
        <v>2406</v>
      </c>
      <c r="H2997" s="12">
        <v>1.55299948576946</v>
      </c>
      <c r="I2997" s="20">
        <v>1.6929471114936201</v>
      </c>
      <c r="J2997" s="28">
        <v>9.0465534733549804E-2</v>
      </c>
      <c r="K2997" s="29">
        <v>0.697928763123006</v>
      </c>
    </row>
    <row r="2998" spans="1:11" x14ac:dyDescent="0.35">
      <c r="A2998" s="9" t="str">
        <f>HYPERLINK("http://www.ensembl.org/id/WBGene00009949", "WBGene00009949")</f>
        <v>WBGene00009949</v>
      </c>
      <c r="B2998" s="9" t="str">
        <f>HYPERLINK("http://www.ncbi.nlm.nih.gov/gene/186137", "186137")</f>
        <v>186137</v>
      </c>
      <c r="C2998" s="9"/>
      <c r="D2998" t="str">
        <f>"F53A2.1"</f>
        <v>F53A2.1</v>
      </c>
      <c r="F2998" t="s">
        <v>11</v>
      </c>
      <c r="G2998" t="s">
        <v>25</v>
      </c>
      <c r="H2998" s="12">
        <v>1.78447406077116</v>
      </c>
      <c r="I2998" s="20">
        <v>1.69234244230054</v>
      </c>
      <c r="J2998" s="28">
        <v>9.0580699865175404E-2</v>
      </c>
      <c r="K2998" s="29">
        <v>0.69800596537680504</v>
      </c>
    </row>
    <row r="2999" spans="1:11" x14ac:dyDescent="0.35">
      <c r="A2999" s="9" t="str">
        <f>HYPERLINK("http://www.ensembl.org/id/WBGene00018813", "WBGene00018813")</f>
        <v>WBGene00018813</v>
      </c>
      <c r="B2999" s="9"/>
      <c r="C2999" s="9"/>
      <c r="D2999" t="str">
        <f>"F54D11.3"</f>
        <v>F54D11.3</v>
      </c>
      <c r="F2999" t="s">
        <v>80</v>
      </c>
      <c r="H2999" s="12">
        <v>-3.0116188509422899</v>
      </c>
      <c r="I2999" s="20">
        <v>-1.69238424898257</v>
      </c>
      <c r="J2999" s="28">
        <v>9.0572733582377399E-2</v>
      </c>
      <c r="K2999" s="29">
        <v>0.69800596537680504</v>
      </c>
    </row>
    <row r="3000" spans="1:11" x14ac:dyDescent="0.35">
      <c r="A3000" s="9" t="str">
        <f>HYPERLINK("http://www.ensembl.org/id/WBGene00001547", "WBGene00001547")</f>
        <v>WBGene00001547</v>
      </c>
      <c r="B3000" s="9" t="str">
        <f>HYPERLINK("http://www.ncbi.nlm.nih.gov/gene/180365", "180365")</f>
        <v>180365</v>
      </c>
      <c r="C3000" s="9"/>
      <c r="D3000" t="str">
        <f>"gcy-22"</f>
        <v>gcy-22</v>
      </c>
      <c r="E3000" t="s">
        <v>2407</v>
      </c>
      <c r="F3000" t="s">
        <v>11</v>
      </c>
      <c r="G3000" t="s">
        <v>2408</v>
      </c>
      <c r="H3000" s="12">
        <v>2.25537627954423</v>
      </c>
      <c r="I3000" s="20">
        <v>1.69267718319815</v>
      </c>
      <c r="J3000" s="28">
        <v>9.0516930639644E-2</v>
      </c>
      <c r="K3000" s="29">
        <v>0.69800596537680504</v>
      </c>
    </row>
    <row r="3001" spans="1:11" x14ac:dyDescent="0.35">
      <c r="A3001" s="9" t="str">
        <f>HYPERLINK("http://www.ensembl.org/id/WBGene00002219", "WBGene00002219")</f>
        <v>WBGene00002219</v>
      </c>
      <c r="B3001" s="9" t="str">
        <f>HYPERLINK("http://www.ncbi.nlm.nih.gov/gene/176511", "176511")</f>
        <v>176511</v>
      </c>
      <c r="C3001" s="9" t="str">
        <f>HYPERLINK("http://www.ncbi.nlm.nih.gov/gene/11004", "11004")</f>
        <v>11004</v>
      </c>
      <c r="D3001" t="str">
        <f>"klp-7"</f>
        <v>klp-7</v>
      </c>
      <c r="E3001" t="s">
        <v>469</v>
      </c>
      <c r="F3001" t="s">
        <v>11</v>
      </c>
      <c r="G3001" t="s">
        <v>2409</v>
      </c>
      <c r="H3001" s="12">
        <v>-1.37858265826334</v>
      </c>
      <c r="I3001" s="20">
        <v>-1.69226017733489</v>
      </c>
      <c r="J3001" s="28">
        <v>9.0596377138623702E-2</v>
      </c>
      <c r="K3001" s="29">
        <v>0.69800596537680504</v>
      </c>
    </row>
    <row r="3002" spans="1:11" x14ac:dyDescent="0.35">
      <c r="A3002" s="9" t="str">
        <f>HYPERLINK("http://www.ensembl.org/id/WBGene00002266", "WBGene00002266")</f>
        <v>WBGene00002266</v>
      </c>
      <c r="B3002" s="9" t="str">
        <f>HYPERLINK("http://www.ncbi.nlm.nih.gov/gene/174557", "174557")</f>
        <v>174557</v>
      </c>
      <c r="C3002" s="9"/>
      <c r="D3002" t="str">
        <f>"lec-3"</f>
        <v>lec-3</v>
      </c>
      <c r="E3002" t="s">
        <v>2410</v>
      </c>
      <c r="F3002" t="s">
        <v>11</v>
      </c>
      <c r="G3002" t="s">
        <v>2411</v>
      </c>
      <c r="H3002" s="12">
        <v>1.3706195936416301</v>
      </c>
      <c r="I3002" s="20">
        <v>1.6917860588586999</v>
      </c>
      <c r="J3002" s="28">
        <v>9.0686772665882098E-2</v>
      </c>
      <c r="K3002" s="29">
        <v>0.698469523072624</v>
      </c>
    </row>
    <row r="3003" spans="1:11" x14ac:dyDescent="0.35">
      <c r="A3003" s="9" t="str">
        <f>HYPERLINK("http://www.ensembl.org/id/WBGene00001172", "WBGene00001172")</f>
        <v>WBGene00001172</v>
      </c>
      <c r="B3003" s="9" t="str">
        <f>HYPERLINK("http://www.ncbi.nlm.nih.gov/gene/179412", "179412")</f>
        <v>179412</v>
      </c>
      <c r="C3003" s="9" t="str">
        <f>HYPERLINK("http://www.ncbi.nlm.nih.gov/gene/5126", "5126")</f>
        <v>5126</v>
      </c>
      <c r="D3003" t="str">
        <f>"egl-3"</f>
        <v>egl-3</v>
      </c>
      <c r="E3003" t="s">
        <v>2412</v>
      </c>
      <c r="F3003" t="s">
        <v>11</v>
      </c>
      <c r="G3003" t="s">
        <v>2003</v>
      </c>
      <c r="H3003" s="12">
        <v>1.3501715562523799</v>
      </c>
      <c r="I3003" s="20">
        <v>1.6911659182154599</v>
      </c>
      <c r="J3003" s="28">
        <v>9.0805118302109397E-2</v>
      </c>
      <c r="K3003" s="29">
        <v>0.69859429198797796</v>
      </c>
    </row>
    <row r="3004" spans="1:11" x14ac:dyDescent="0.35">
      <c r="A3004" s="9" t="str">
        <f>HYPERLINK("http://www.ensembl.org/id/WBGene00008799", "WBGene00008799")</f>
        <v>WBGene00008799</v>
      </c>
      <c r="B3004" s="9" t="str">
        <f>HYPERLINK("http://www.ncbi.nlm.nih.gov/gene/184470", "184470")</f>
        <v>184470</v>
      </c>
      <c r="C3004" s="9"/>
      <c r="D3004" t="str">
        <f>"F14E5.1"</f>
        <v>F14E5.1</v>
      </c>
      <c r="F3004" t="s">
        <v>11</v>
      </c>
      <c r="G3004" t="s">
        <v>230</v>
      </c>
      <c r="H3004" s="12">
        <v>2.0480957100085302</v>
      </c>
      <c r="I3004" s="20">
        <v>1.6913243365262101</v>
      </c>
      <c r="J3004" s="28">
        <v>9.07748744575025E-2</v>
      </c>
      <c r="K3004" s="29">
        <v>0.69859429198797796</v>
      </c>
    </row>
    <row r="3005" spans="1:11" x14ac:dyDescent="0.35">
      <c r="A3005" s="9" t="str">
        <f>HYPERLINK("http://www.ensembl.org/id/WBGene00003628", "WBGene00003628")</f>
        <v>WBGene00003628</v>
      </c>
      <c r="B3005" s="9" t="str">
        <f>HYPERLINK("http://www.ncbi.nlm.nih.gov/gene/180725", "180725")</f>
        <v>180725</v>
      </c>
      <c r="C3005" s="9"/>
      <c r="D3005" t="str">
        <f>"nhr-35"</f>
        <v>nhr-35</v>
      </c>
      <c r="E3005" t="s">
        <v>2415</v>
      </c>
      <c r="F3005" t="s">
        <v>11</v>
      </c>
      <c r="G3005" t="s">
        <v>1135</v>
      </c>
      <c r="H3005" s="12">
        <v>-1.38831478140848</v>
      </c>
      <c r="I3005" s="20">
        <v>-1.6910675105892099</v>
      </c>
      <c r="J3005" s="28">
        <v>9.0823909509732806E-2</v>
      </c>
      <c r="K3005" s="29">
        <v>0.69859429198797796</v>
      </c>
    </row>
    <row r="3006" spans="1:11" x14ac:dyDescent="0.35">
      <c r="A3006" s="9" t="str">
        <f>HYPERLINK("http://www.ensembl.org/id/WBGene00003948", "WBGene00003948")</f>
        <v>WBGene00003948</v>
      </c>
      <c r="B3006" s="9" t="str">
        <f>HYPERLINK("http://www.ncbi.nlm.nih.gov/gene/173168", "173168")</f>
        <v>173168</v>
      </c>
      <c r="C3006" s="9"/>
      <c r="D3006" t="str">
        <f>"pbs-2"</f>
        <v>pbs-2</v>
      </c>
      <c r="E3006" t="s">
        <v>2413</v>
      </c>
      <c r="F3006" t="s">
        <v>11</v>
      </c>
      <c r="G3006" t="s">
        <v>2414</v>
      </c>
      <c r="H3006" s="12">
        <v>-1.3674494235117201</v>
      </c>
      <c r="I3006" s="20">
        <v>-1.69116517147</v>
      </c>
      <c r="J3006" s="28">
        <v>9.0805260883439196E-2</v>
      </c>
      <c r="K3006" s="29">
        <v>0.69859429198797796</v>
      </c>
    </row>
    <row r="3007" spans="1:11" x14ac:dyDescent="0.35">
      <c r="A3007" s="9" t="str">
        <f>HYPERLINK("http://www.ensembl.org/id/WBGene00019264", "WBGene00019264")</f>
        <v>WBGene00019264</v>
      </c>
      <c r="B3007" s="9" t="str">
        <f>HYPERLINK("http://www.ncbi.nlm.nih.gov/gene/177349", "177349")</f>
        <v>177349</v>
      </c>
      <c r="C3007" s="9"/>
      <c r="D3007" t="str">
        <f>"H35B03.2"</f>
        <v>H35B03.2</v>
      </c>
      <c r="F3007" t="s">
        <v>11</v>
      </c>
      <c r="G3007" t="s">
        <v>2416</v>
      </c>
      <c r="H3007" s="12">
        <v>-1.5057862525799199</v>
      </c>
      <c r="I3007" s="20">
        <v>-1.6906418692454299</v>
      </c>
      <c r="J3007" s="28">
        <v>9.0905222919589801E-2</v>
      </c>
      <c r="K3007" s="29">
        <v>0.69898704851249305</v>
      </c>
    </row>
    <row r="3008" spans="1:11" x14ac:dyDescent="0.35">
      <c r="A3008" s="9" t="str">
        <f>HYPERLINK("http://www.ensembl.org/id/WBGene00001023", "WBGene00001023")</f>
        <v>WBGene00001023</v>
      </c>
      <c r="B3008" s="9" t="str">
        <f>HYPERLINK("http://www.ncbi.nlm.nih.gov/gene/174122", "174122")</f>
        <v>174122</v>
      </c>
      <c r="C3008" s="9"/>
      <c r="D3008" t="str">
        <f>"dnj-5"</f>
        <v>dnj-5</v>
      </c>
      <c r="E3008" t="s">
        <v>2422</v>
      </c>
      <c r="F3008" t="s">
        <v>11</v>
      </c>
      <c r="G3008" t="s">
        <v>25</v>
      </c>
      <c r="H3008" s="12">
        <v>-1.35787115237779</v>
      </c>
      <c r="I3008" s="20">
        <v>-1.6896820679271101</v>
      </c>
      <c r="J3008" s="28">
        <v>9.1088795712703993E-2</v>
      </c>
      <c r="K3008" s="29">
        <v>0.69916970918546395</v>
      </c>
    </row>
    <row r="3009" spans="1:11" x14ac:dyDescent="0.35">
      <c r="A3009" s="9" t="str">
        <f>HYPERLINK("http://www.ensembl.org/id/WBGene00008448", "WBGene00008448")</f>
        <v>WBGene00008448</v>
      </c>
      <c r="B3009" s="9" t="str">
        <f>HYPERLINK("http://www.ncbi.nlm.nih.gov/gene/174990", "174990")</f>
        <v>174990</v>
      </c>
      <c r="C3009" s="9"/>
      <c r="D3009" t="str">
        <f>"E01G4.6"</f>
        <v>E01G4.6</v>
      </c>
      <c r="F3009" t="s">
        <v>11</v>
      </c>
      <c r="H3009" s="12">
        <v>2.6519766829665801</v>
      </c>
      <c r="I3009" s="20">
        <v>1.68845239789407</v>
      </c>
      <c r="J3009" s="28">
        <v>9.1324419368184306E-2</v>
      </c>
      <c r="K3009" s="29">
        <v>0.69916970918546395</v>
      </c>
    </row>
    <row r="3010" spans="1:11" x14ac:dyDescent="0.35">
      <c r="A3010" s="9" t="str">
        <f>HYPERLINK("http://www.ensembl.org/id/WBGene00018371", "WBGene00018371")</f>
        <v>WBGene00018371</v>
      </c>
      <c r="B3010" s="9" t="str">
        <f>HYPERLINK("http://www.ncbi.nlm.nih.gov/gene/176200", "176200")</f>
        <v>176200</v>
      </c>
      <c r="C3010" s="9" t="str">
        <f>HYPERLINK("http://www.ncbi.nlm.nih.gov/gene/8220", "8220")</f>
        <v>8220</v>
      </c>
      <c r="D3010" t="str">
        <f>"ess-2"</f>
        <v>ess-2</v>
      </c>
      <c r="E3010" t="s">
        <v>2428</v>
      </c>
      <c r="F3010" t="s">
        <v>11</v>
      </c>
      <c r="H3010" s="12">
        <v>-1.4030191935679599</v>
      </c>
      <c r="I3010" s="20">
        <v>-1.68840231105247</v>
      </c>
      <c r="J3010" s="28">
        <v>9.1334027151315195E-2</v>
      </c>
      <c r="K3010" s="29">
        <v>0.69916970918546395</v>
      </c>
    </row>
    <row r="3011" spans="1:11" x14ac:dyDescent="0.35">
      <c r="A3011" s="9" t="str">
        <f>HYPERLINK("http://www.ensembl.org/id/WBGene00018014", "WBGene00018014")</f>
        <v>WBGene00018014</v>
      </c>
      <c r="B3011" s="9" t="str">
        <f>HYPERLINK("http://www.ncbi.nlm.nih.gov/gene/173867", "173867")</f>
        <v>173867</v>
      </c>
      <c r="C3011" s="9" t="str">
        <f>HYPERLINK("http://www.ncbi.nlm.nih.gov/gene/84292", "84292")</f>
        <v>84292</v>
      </c>
      <c r="D3011" t="str">
        <f>"F33G12.2"</f>
        <v>F33G12.2</v>
      </c>
      <c r="F3011" t="s">
        <v>11</v>
      </c>
      <c r="G3011" t="s">
        <v>54</v>
      </c>
      <c r="H3011" s="12">
        <v>-1.47319742081649</v>
      </c>
      <c r="I3011" s="20">
        <v>-1.68974488256257</v>
      </c>
      <c r="J3011" s="28">
        <v>9.1076772599126707E-2</v>
      </c>
      <c r="K3011" s="29">
        <v>0.69916970918546395</v>
      </c>
    </row>
    <row r="3012" spans="1:11" x14ac:dyDescent="0.35">
      <c r="A3012" s="9" t="str">
        <f>HYPERLINK("http://www.ensembl.org/id/WBGene00009597", "WBGene00009597")</f>
        <v>WBGene00009597</v>
      </c>
      <c r="B3012" s="9" t="str">
        <f>HYPERLINK("http://www.ncbi.nlm.nih.gov/gene/185562", "185562")</f>
        <v>185562</v>
      </c>
      <c r="C3012" s="9"/>
      <c r="D3012" t="str">
        <f>"F40G12.2"</f>
        <v>F40G12.2</v>
      </c>
      <c r="F3012" t="s">
        <v>11</v>
      </c>
      <c r="H3012" s="12">
        <v>4.2215357877668298</v>
      </c>
      <c r="I3012" s="20">
        <v>1.6886040468769199</v>
      </c>
      <c r="J3012" s="28">
        <v>9.1295334635191794E-2</v>
      </c>
      <c r="K3012" s="29">
        <v>0.69916970918546395</v>
      </c>
    </row>
    <row r="3013" spans="1:11" x14ac:dyDescent="0.35">
      <c r="A3013" s="9" t="str">
        <f>HYPERLINK("http://www.ensembl.org/id/WBGene00010040", "WBGene00010040")</f>
        <v>WBGene00010040</v>
      </c>
      <c r="B3013" s="9" t="str">
        <f>HYPERLINK("http://www.ncbi.nlm.nih.gov/gene/176326", "176326")</f>
        <v>176326</v>
      </c>
      <c r="C3013" s="9" t="str">
        <f>HYPERLINK("http://www.ncbi.nlm.nih.gov/gene/23647", "23647")</f>
        <v>23647</v>
      </c>
      <c r="D3013" t="str">
        <f>"F54C8.7"</f>
        <v>F54C8.7</v>
      </c>
      <c r="F3013" t="s">
        <v>11</v>
      </c>
      <c r="G3013" t="s">
        <v>2427</v>
      </c>
      <c r="H3013" s="12">
        <v>-1.3878057536397399</v>
      </c>
      <c r="I3013" s="20">
        <v>-1.6888115569639299</v>
      </c>
      <c r="J3013" s="28">
        <v>9.1255548376998299E-2</v>
      </c>
      <c r="K3013" s="29">
        <v>0.69916970918546395</v>
      </c>
    </row>
    <row r="3014" spans="1:11" x14ac:dyDescent="0.35">
      <c r="A3014" s="9" t="str">
        <f>HYPERLINK("http://www.ensembl.org/id/WBGene00001631", "WBGene00001631")</f>
        <v>WBGene00001631</v>
      </c>
      <c r="B3014" s="9" t="str">
        <f>HYPERLINK("http://www.ncbi.nlm.nih.gov/gene/175558", "175558")</f>
        <v>175558</v>
      </c>
      <c r="C3014" s="9"/>
      <c r="D3014" t="str">
        <f>"gly-6"</f>
        <v>gly-6</v>
      </c>
      <c r="E3014" t="s">
        <v>2421</v>
      </c>
      <c r="F3014" t="s">
        <v>11</v>
      </c>
      <c r="G3014" t="s">
        <v>47</v>
      </c>
      <c r="H3014" s="12">
        <v>1.4199595395748199</v>
      </c>
      <c r="I3014" s="20">
        <v>1.6900314628364199</v>
      </c>
      <c r="J3014" s="28">
        <v>9.1021935534865706E-2</v>
      </c>
      <c r="K3014" s="29">
        <v>0.69916970918546395</v>
      </c>
    </row>
    <row r="3015" spans="1:11" x14ac:dyDescent="0.35">
      <c r="A3015" s="9" t="str">
        <f>HYPERLINK("http://www.ensembl.org/id/WBGene00020130", "WBGene00020130")</f>
        <v>WBGene00020130</v>
      </c>
      <c r="B3015" s="9" t="str">
        <f>HYPERLINK("http://www.ncbi.nlm.nih.gov/gene/180913", "180913")</f>
        <v>180913</v>
      </c>
      <c r="C3015" s="9"/>
      <c r="D3015" t="str">
        <f>"igcm-2"</f>
        <v>igcm-2</v>
      </c>
      <c r="E3015" t="s">
        <v>941</v>
      </c>
      <c r="F3015" t="s">
        <v>11</v>
      </c>
      <c r="G3015" t="s">
        <v>54</v>
      </c>
      <c r="H3015" s="12">
        <v>1.6868082050298701</v>
      </c>
      <c r="I3015" s="20">
        <v>1.6881477676399601</v>
      </c>
      <c r="J3015" s="28">
        <v>9.1382866863156803E-2</v>
      </c>
      <c r="K3015" s="29">
        <v>0.69916970918546395</v>
      </c>
    </row>
    <row r="3016" spans="1:11" x14ac:dyDescent="0.35">
      <c r="A3016" s="9" t="str">
        <f>HYPERLINK("http://www.ensembl.org/id/WBGene00010652", "WBGene00010652")</f>
        <v>WBGene00010652</v>
      </c>
      <c r="B3016" s="9" t="str">
        <f>HYPERLINK("http://www.ncbi.nlm.nih.gov/gene/187139", "187139")</f>
        <v>187139</v>
      </c>
      <c r="C3016" s="9"/>
      <c r="D3016" t="str">
        <f>"K08C9.5"</f>
        <v>K08C9.5</v>
      </c>
      <c r="F3016" t="s">
        <v>11</v>
      </c>
      <c r="H3016" s="12">
        <v>4.6025636901107498</v>
      </c>
      <c r="I3016" s="20">
        <v>1.68875832773891</v>
      </c>
      <c r="J3016" s="28">
        <v>9.1265752776437295E-2</v>
      </c>
      <c r="K3016" s="29">
        <v>0.69916970918546395</v>
      </c>
    </row>
    <row r="3017" spans="1:11" x14ac:dyDescent="0.35">
      <c r="A3017" s="9" t="str">
        <f>HYPERLINK("http://www.ensembl.org/id/WBGene00012497", "WBGene00012497")</f>
        <v>WBGene00012497</v>
      </c>
      <c r="B3017" s="9" t="str">
        <f>HYPERLINK("http://www.ncbi.nlm.nih.gov/gene/178084", "178084")</f>
        <v>178084</v>
      </c>
      <c r="C3017" s="9" t="str">
        <f>HYPERLINK("http://www.ncbi.nlm.nih.gov/gene/64121", "64121")</f>
        <v>64121</v>
      </c>
      <c r="D3017" t="str">
        <f>"ragc-1"</f>
        <v>ragc-1</v>
      </c>
      <c r="E3017" t="s">
        <v>2425</v>
      </c>
      <c r="F3017" t="s">
        <v>11</v>
      </c>
      <c r="G3017" t="s">
        <v>2426</v>
      </c>
      <c r="H3017" s="12">
        <v>-1.3651221731457699</v>
      </c>
      <c r="I3017" s="20">
        <v>-1.68929754150996</v>
      </c>
      <c r="J3017" s="28">
        <v>9.1162424291588995E-2</v>
      </c>
      <c r="K3017" s="29">
        <v>0.69916970918546395</v>
      </c>
    </row>
    <row r="3018" spans="1:11" x14ac:dyDescent="0.35">
      <c r="A3018" s="9" t="str">
        <f>HYPERLINK("http://www.ensembl.org/id/WBGene00004503", "WBGene00004503")</f>
        <v>WBGene00004503</v>
      </c>
      <c r="B3018" s="9" t="str">
        <f>HYPERLINK("http://www.ncbi.nlm.nih.gov/gene/175925", "175925")</f>
        <v>175925</v>
      </c>
      <c r="C3018" s="9" t="str">
        <f>HYPERLINK("http://www.ncbi.nlm.nih.gov/gene/5704", "5704")</f>
        <v>5704</v>
      </c>
      <c r="D3018" t="str">
        <f>"rpt-3"</f>
        <v>rpt-3</v>
      </c>
      <c r="E3018" t="s">
        <v>2423</v>
      </c>
      <c r="F3018" t="s">
        <v>11</v>
      </c>
      <c r="G3018" t="s">
        <v>2424</v>
      </c>
      <c r="H3018" s="12">
        <v>-1.36183747441208</v>
      </c>
      <c r="I3018" s="20">
        <v>-1.6882625330844501</v>
      </c>
      <c r="J3018" s="28">
        <v>9.1360844008418096E-2</v>
      </c>
      <c r="K3018" s="29">
        <v>0.69916970918546395</v>
      </c>
    </row>
    <row r="3019" spans="1:11" x14ac:dyDescent="0.35">
      <c r="A3019" s="9" t="str">
        <f>HYPERLINK("http://www.ensembl.org/id/WBGene00013261", "WBGene00013261")</f>
        <v>WBGene00013261</v>
      </c>
      <c r="B3019" s="9" t="str">
        <f>HYPERLINK("http://www.ncbi.nlm.nih.gov/gene/190339", "190339")</f>
        <v>190339</v>
      </c>
      <c r="C3019" s="9"/>
      <c r="D3019" t="str">
        <f>"sinh-1"</f>
        <v>sinh-1</v>
      </c>
      <c r="E3019" t="s">
        <v>2430</v>
      </c>
      <c r="F3019" t="s">
        <v>11</v>
      </c>
      <c r="G3019" t="s">
        <v>2431</v>
      </c>
      <c r="H3019" s="12">
        <v>-1.52222868872785</v>
      </c>
      <c r="I3019" s="20">
        <v>-1.6899126630463801</v>
      </c>
      <c r="J3019" s="28">
        <v>9.1044664622579499E-2</v>
      </c>
      <c r="K3019" s="29">
        <v>0.69916970918546395</v>
      </c>
    </row>
    <row r="3020" spans="1:11" x14ac:dyDescent="0.35">
      <c r="A3020" s="9" t="str">
        <f>HYPERLINK("http://www.ensembl.org/id/WBGene00006777", "WBGene00006777")</f>
        <v>WBGene00006777</v>
      </c>
      <c r="B3020" s="9" t="str">
        <f>HYPERLINK("http://www.ncbi.nlm.nih.gov/gene/179387", "179387")</f>
        <v>179387</v>
      </c>
      <c r="C3020" s="9"/>
      <c r="D3020" t="str">
        <f>"unc-41"</f>
        <v>unc-41</v>
      </c>
      <c r="E3020" t="s">
        <v>2419</v>
      </c>
      <c r="F3020" t="s">
        <v>11</v>
      </c>
      <c r="G3020" t="s">
        <v>2420</v>
      </c>
      <c r="H3020" s="12">
        <v>1.4288702664672199</v>
      </c>
      <c r="I3020" s="20">
        <v>1.6891270082946399</v>
      </c>
      <c r="J3020" s="28">
        <v>9.1195093065120594E-2</v>
      </c>
      <c r="K3020" s="29">
        <v>0.69916970918546395</v>
      </c>
    </row>
    <row r="3021" spans="1:11" x14ac:dyDescent="0.35">
      <c r="A3021" s="9" t="str">
        <f>HYPERLINK("http://www.ensembl.org/id/WBGene00006747", "WBGene00006747")</f>
        <v>WBGene00006747</v>
      </c>
      <c r="B3021" s="9" t="str">
        <f>HYPERLINK("http://www.ncbi.nlm.nih.gov/gene/181608", "181608")</f>
        <v>181608</v>
      </c>
      <c r="C3021" s="9"/>
      <c r="D3021" t="str">
        <f>"unc-7"</f>
        <v>unc-7</v>
      </c>
      <c r="E3021" t="s">
        <v>2417</v>
      </c>
      <c r="F3021" t="s">
        <v>11</v>
      </c>
      <c r="G3021" t="s">
        <v>2418</v>
      </c>
      <c r="H3021" s="12">
        <v>1.48287456436596</v>
      </c>
      <c r="I3021" s="20">
        <v>1.69031823139427</v>
      </c>
      <c r="J3021" s="28">
        <v>9.0967089021466899E-2</v>
      </c>
      <c r="K3021" s="29">
        <v>0.69916970918546395</v>
      </c>
    </row>
    <row r="3022" spans="1:11" x14ac:dyDescent="0.35">
      <c r="A3022" s="9" t="str">
        <f>HYPERLINK("http://www.ensembl.org/id/WBGene00013015", "WBGene00013015")</f>
        <v>WBGene00013015</v>
      </c>
      <c r="B3022" s="9" t="str">
        <f>HYPERLINK("http://www.ncbi.nlm.nih.gov/gene/174983", "174983")</f>
        <v>174983</v>
      </c>
      <c r="C3022" s="9" t="str">
        <f>HYPERLINK("http://www.ncbi.nlm.nih.gov/gene/138199", "138199")</f>
        <v>138199</v>
      </c>
      <c r="D3022" t="str">
        <f>"Y48E1C.2"</f>
        <v>Y48E1C.2</v>
      </c>
      <c r="F3022" t="s">
        <v>11</v>
      </c>
      <c r="G3022" t="s">
        <v>2429</v>
      </c>
      <c r="H3022" s="12">
        <v>-1.4526495429433901</v>
      </c>
      <c r="I3022" s="20">
        <v>-1.6883120973460199</v>
      </c>
      <c r="J3022" s="28">
        <v>9.1351334219700694E-2</v>
      </c>
      <c r="K3022" s="29">
        <v>0.69916970918546395</v>
      </c>
    </row>
    <row r="3023" spans="1:11" x14ac:dyDescent="0.35">
      <c r="A3023" s="9" t="str">
        <f>HYPERLINK("http://www.ensembl.org/id/WBGene00016204", "WBGene00016204")</f>
        <v>WBGene00016204</v>
      </c>
      <c r="B3023" s="9" t="str">
        <f>HYPERLINK("http://www.ncbi.nlm.nih.gov/gene/183000", "183000")</f>
        <v>183000</v>
      </c>
      <c r="C3023" s="9" t="str">
        <f>HYPERLINK("http://www.ncbi.nlm.nih.gov/gene/9446", "9446")</f>
        <v>9446</v>
      </c>
      <c r="D3023" t="str">
        <f>"gsto-1"</f>
        <v>gsto-1</v>
      </c>
      <c r="E3023" t="s">
        <v>2432</v>
      </c>
      <c r="F3023" t="s">
        <v>11</v>
      </c>
      <c r="G3023" t="s">
        <v>2433</v>
      </c>
      <c r="H3023" s="12">
        <v>-1.6796046371797899</v>
      </c>
      <c r="I3023" s="20">
        <v>-1.6877159234700301</v>
      </c>
      <c r="J3023" s="28">
        <v>9.1465773615418203E-2</v>
      </c>
      <c r="K3023" s="29">
        <v>0.69957238171395297</v>
      </c>
    </row>
    <row r="3024" spans="1:11" x14ac:dyDescent="0.35">
      <c r="A3024" s="9" t="str">
        <f>HYPERLINK("http://www.ensembl.org/id/WBGene00007868", "WBGene00007868")</f>
        <v>WBGene00007868</v>
      </c>
      <c r="B3024" s="9" t="str">
        <f>HYPERLINK("http://www.ncbi.nlm.nih.gov/gene/183129", "183129")</f>
        <v>183129</v>
      </c>
      <c r="C3024" s="9"/>
      <c r="D3024" t="str">
        <f>"C32H11.5"</f>
        <v>C32H11.5</v>
      </c>
      <c r="F3024" t="s">
        <v>11</v>
      </c>
      <c r="G3024" t="s">
        <v>54</v>
      </c>
      <c r="H3024" s="12">
        <v>-1.8206050149701201</v>
      </c>
      <c r="I3024" s="20">
        <v>-1.6875368365271199</v>
      </c>
      <c r="J3024" s="28">
        <v>9.1500172999275306E-2</v>
      </c>
      <c r="K3024" s="29">
        <v>0.69960390381245996</v>
      </c>
    </row>
    <row r="3025" spans="1:11" x14ac:dyDescent="0.35">
      <c r="A3025" s="9" t="str">
        <f>HYPERLINK("http://www.ensembl.org/id/WBGene00010521", "WBGene00010521")</f>
        <v>WBGene00010521</v>
      </c>
      <c r="B3025" s="9" t="str">
        <f>HYPERLINK("http://www.ncbi.nlm.nih.gov/gene/186918", "186918")</f>
        <v>186918</v>
      </c>
      <c r="C3025" s="9"/>
      <c r="D3025" t="str">
        <f>"K03A11.4"</f>
        <v>K03A11.4</v>
      </c>
      <c r="F3025" t="s">
        <v>11</v>
      </c>
      <c r="G3025" t="s">
        <v>790</v>
      </c>
      <c r="H3025" s="12">
        <v>1.9995414715499999</v>
      </c>
      <c r="I3025" s="20">
        <v>1.68709222476715</v>
      </c>
      <c r="J3025" s="28">
        <v>9.15856198840138E-2</v>
      </c>
      <c r="K3025" s="29">
        <v>0.70002558155475503</v>
      </c>
    </row>
    <row r="3026" spans="1:11" x14ac:dyDescent="0.35">
      <c r="A3026" s="9" t="str">
        <f>HYPERLINK("http://www.ensembl.org/id/WBGene00008196", "WBGene00008196")</f>
        <v>WBGene00008196</v>
      </c>
      <c r="B3026" s="9" t="str">
        <f>HYPERLINK("http://www.ncbi.nlm.nih.gov/gene/178515", "178515")</f>
        <v>178515</v>
      </c>
      <c r="C3026" s="9"/>
      <c r="D3026" t="str">
        <f>"C49C3.6"</f>
        <v>C49C3.6</v>
      </c>
      <c r="F3026" t="s">
        <v>11</v>
      </c>
      <c r="H3026" s="12">
        <v>-1.4594704222072601</v>
      </c>
      <c r="I3026" s="20">
        <v>-1.68644572514953</v>
      </c>
      <c r="J3026" s="28">
        <v>9.1709980619432405E-2</v>
      </c>
      <c r="K3026" s="29">
        <v>0.700512665187638</v>
      </c>
    </row>
    <row r="3027" spans="1:11" x14ac:dyDescent="0.35">
      <c r="A3027" s="9" t="str">
        <f>HYPERLINK("http://www.ensembl.org/id/WBGene00018072", "WBGene00018072")</f>
        <v>WBGene00018072</v>
      </c>
      <c r="B3027" s="9" t="str">
        <f>HYPERLINK("http://www.ncbi.nlm.nih.gov/gene/185331", "185331")</f>
        <v>185331</v>
      </c>
      <c r="C3027" s="9" t="str">
        <f>HYPERLINK("http://www.ncbi.nlm.nih.gov/gene/8131", "8131")</f>
        <v>8131</v>
      </c>
      <c r="D3027" t="str">
        <f>"nprl-3"</f>
        <v>nprl-3</v>
      </c>
      <c r="E3027" t="s">
        <v>2434</v>
      </c>
      <c r="F3027" t="s">
        <v>11</v>
      </c>
      <c r="G3027" t="s">
        <v>2435</v>
      </c>
      <c r="H3027" s="12">
        <v>-1.4368043067896901</v>
      </c>
      <c r="I3027" s="20">
        <v>-1.68651151933416</v>
      </c>
      <c r="J3027" s="28">
        <v>9.1697318244011602E-2</v>
      </c>
      <c r="K3027" s="29">
        <v>0.700512665187638</v>
      </c>
    </row>
    <row r="3028" spans="1:11" x14ac:dyDescent="0.35">
      <c r="A3028" s="9" t="str">
        <f>HYPERLINK("http://www.ensembl.org/id/WBGene00003241", "WBGene00003241")</f>
        <v>WBGene00003241</v>
      </c>
      <c r="B3028" s="9" t="str">
        <f>HYPERLINK("http://www.ncbi.nlm.nih.gov/gene/174317", "174317")</f>
        <v>174317</v>
      </c>
      <c r="C3028" s="9"/>
      <c r="D3028" t="str">
        <f>"mig-5"</f>
        <v>mig-5</v>
      </c>
      <c r="E3028" t="s">
        <v>2436</v>
      </c>
      <c r="F3028" t="s">
        <v>11</v>
      </c>
      <c r="G3028" t="s">
        <v>2437</v>
      </c>
      <c r="H3028" s="12">
        <v>-1.4221927999288</v>
      </c>
      <c r="I3028" s="20">
        <v>-1.6862719805202799</v>
      </c>
      <c r="J3028" s="28">
        <v>9.1743425279432994E-2</v>
      </c>
      <c r="K3028" s="29">
        <v>0.70053654478076</v>
      </c>
    </row>
    <row r="3029" spans="1:11" x14ac:dyDescent="0.35">
      <c r="A3029" s="9" t="str">
        <f>HYPERLINK("http://www.ensembl.org/id/WBGene00017062", "WBGene00017062")</f>
        <v>WBGene00017062</v>
      </c>
      <c r="B3029" s="9" t="str">
        <f>HYPERLINK("http://www.ncbi.nlm.nih.gov/gene/178828", "178828")</f>
        <v>178828</v>
      </c>
      <c r="C3029" s="9" t="str">
        <f>HYPERLINK("http://www.ncbi.nlm.nih.gov/gene/10539", "10539")</f>
        <v>10539</v>
      </c>
      <c r="D3029" t="str">
        <f>"glrx-3"</f>
        <v>glrx-3</v>
      </c>
      <c r="E3029" t="s">
        <v>2438</v>
      </c>
      <c r="F3029" t="s">
        <v>11</v>
      </c>
      <c r="G3029" t="s">
        <v>2439</v>
      </c>
      <c r="H3029" s="12">
        <v>-1.38565357121965</v>
      </c>
      <c r="I3029" s="20">
        <v>-1.6859399987280601</v>
      </c>
      <c r="J3029" s="28">
        <v>9.1807356771679394E-2</v>
      </c>
      <c r="K3029" s="29">
        <v>0.70079312374179803</v>
      </c>
    </row>
    <row r="3030" spans="1:11" x14ac:dyDescent="0.35">
      <c r="A3030" s="9" t="str">
        <f>HYPERLINK("http://www.ensembl.org/id/WBGene00014243", "WBGene00014243")</f>
        <v>WBGene00014243</v>
      </c>
      <c r="B3030" s="9" t="str">
        <f>HYPERLINK("http://www.ncbi.nlm.nih.gov/gene/177804", "177804")</f>
        <v>177804</v>
      </c>
      <c r="C3030" s="9" t="str">
        <f>HYPERLINK("http://www.ncbi.nlm.nih.gov/gene/9730", "9730")</f>
        <v>9730</v>
      </c>
      <c r="D3030" t="str">
        <f>"dcaf-1"</f>
        <v>dcaf-1</v>
      </c>
      <c r="E3030" t="s">
        <v>2440</v>
      </c>
      <c r="F3030" t="s">
        <v>11</v>
      </c>
      <c r="G3030" t="s">
        <v>2441</v>
      </c>
      <c r="H3030" s="12">
        <v>-1.4006052333424699</v>
      </c>
      <c r="I3030" s="20">
        <v>-1.6855817611691899</v>
      </c>
      <c r="J3030" s="28">
        <v>9.1876384627013002E-2</v>
      </c>
      <c r="K3030" s="29">
        <v>0.70081138805826404</v>
      </c>
    </row>
    <row r="3031" spans="1:11" x14ac:dyDescent="0.35">
      <c r="A3031" s="9" t="str">
        <f>HYPERLINK("http://www.ensembl.org/id/WBGene00011663", "WBGene00011663")</f>
        <v>WBGene00011663</v>
      </c>
      <c r="B3031" s="9" t="str">
        <f>HYPERLINK("http://www.ncbi.nlm.nih.gov/gene/174605", "174605")</f>
        <v>174605</v>
      </c>
      <c r="C3031" s="9"/>
      <c r="D3031" t="str">
        <f>"T09F3.4"</f>
        <v>T09F3.4</v>
      </c>
      <c r="F3031" t="s">
        <v>11</v>
      </c>
      <c r="G3031" t="s">
        <v>2444</v>
      </c>
      <c r="H3031" s="12">
        <v>-1.68968307183394</v>
      </c>
      <c r="I3031" s="20">
        <v>-1.6856171229096</v>
      </c>
      <c r="J3031" s="28">
        <v>9.18695690115965E-2</v>
      </c>
      <c r="K3031" s="29">
        <v>0.70081138805826404</v>
      </c>
    </row>
    <row r="3032" spans="1:11" x14ac:dyDescent="0.35">
      <c r="A3032" s="9" t="str">
        <f>HYPERLINK("http://www.ensembl.org/id/WBGene00011216", "WBGene00011216")</f>
        <v>WBGene00011216</v>
      </c>
      <c r="B3032" s="9" t="str">
        <f>HYPERLINK("http://www.ncbi.nlm.nih.gov/gene/176381", "176381")</f>
        <v>176381</v>
      </c>
      <c r="C3032" s="9" t="str">
        <f>HYPERLINK("http://www.ncbi.nlm.nih.gov/gene/64854", "64854")</f>
        <v>64854</v>
      </c>
      <c r="D3032" t="str">
        <f>"usp-46"</f>
        <v>usp-46</v>
      </c>
      <c r="E3032" t="s">
        <v>2442</v>
      </c>
      <c r="F3032" t="s">
        <v>11</v>
      </c>
      <c r="G3032" t="s">
        <v>2443</v>
      </c>
      <c r="H3032" s="12">
        <v>-1.4180185381649999</v>
      </c>
      <c r="I3032" s="20">
        <v>-1.6854554127408901</v>
      </c>
      <c r="J3032" s="28">
        <v>9.1900740319247803E-2</v>
      </c>
      <c r="K3032" s="29">
        <v>0.70081138805826404</v>
      </c>
    </row>
    <row r="3033" spans="1:11" x14ac:dyDescent="0.35">
      <c r="A3033" s="9" t="str">
        <f>HYPERLINK("http://www.ensembl.org/id/WBGene00009624", "WBGene00009624")</f>
        <v>WBGene00009624</v>
      </c>
      <c r="B3033" s="9" t="str">
        <f>HYPERLINK("http://www.ncbi.nlm.nih.gov/gene/181239", "181239")</f>
        <v>181239</v>
      </c>
      <c r="C3033" s="9"/>
      <c r="D3033" t="str">
        <f>"cnc-8"</f>
        <v>cnc-8</v>
      </c>
      <c r="E3033" t="s">
        <v>251</v>
      </c>
      <c r="F3033" t="s">
        <v>11</v>
      </c>
      <c r="H3033" s="12">
        <v>1.7119032947311099</v>
      </c>
      <c r="I3033" s="20">
        <v>1.68442988902172</v>
      </c>
      <c r="J3033" s="28">
        <v>9.2098618494768594E-2</v>
      </c>
      <c r="K3033" s="29">
        <v>0.70139442285435905</v>
      </c>
    </row>
    <row r="3034" spans="1:11" x14ac:dyDescent="0.35">
      <c r="A3034" s="9" t="str">
        <f>HYPERLINK("http://www.ensembl.org/id/WBGene00018781", "WBGene00018781")</f>
        <v>WBGene00018781</v>
      </c>
      <c r="B3034" s="9" t="str">
        <f>HYPERLINK("http://www.ncbi.nlm.nih.gov/gene/186196", "186196")</f>
        <v>186196</v>
      </c>
      <c r="C3034" s="9"/>
      <c r="D3034" t="str">
        <f>"F54A3.2"</f>
        <v>F54A3.2</v>
      </c>
      <c r="F3034" t="s">
        <v>11</v>
      </c>
      <c r="G3034" t="s">
        <v>2446</v>
      </c>
      <c r="H3034" s="12">
        <v>-1.4846939828858701</v>
      </c>
      <c r="I3034" s="20">
        <v>-1.6847410893462</v>
      </c>
      <c r="J3034" s="28">
        <v>9.2038535229505794E-2</v>
      </c>
      <c r="K3034" s="29">
        <v>0.70139442285435905</v>
      </c>
    </row>
    <row r="3035" spans="1:11" x14ac:dyDescent="0.35">
      <c r="A3035" s="9" t="str">
        <f>HYPERLINK("http://www.ensembl.org/id/WBGene00019208", "WBGene00019208")</f>
        <v>WBGene00019208</v>
      </c>
      <c r="B3035" s="9"/>
      <c r="C3035" s="9"/>
      <c r="D3035" t="str">
        <f>"lips-14"</f>
        <v>lips-14</v>
      </c>
      <c r="F3035" t="s">
        <v>80</v>
      </c>
      <c r="H3035" s="12">
        <v>-2.98059892318282</v>
      </c>
      <c r="I3035" s="20">
        <v>-1.68465294600241</v>
      </c>
      <c r="J3035" s="28">
        <v>9.2055549816305204E-2</v>
      </c>
      <c r="K3035" s="29">
        <v>0.70139442285435905</v>
      </c>
    </row>
    <row r="3036" spans="1:11" x14ac:dyDescent="0.35">
      <c r="A3036" s="9" t="str">
        <f>HYPERLINK("http://www.ensembl.org/id/WBGene00022004", "WBGene00022004")</f>
        <v>WBGene00022004</v>
      </c>
      <c r="B3036" s="9" t="str">
        <f>HYPERLINK("http://www.ncbi.nlm.nih.gov/gene/190424", "190424")</f>
        <v>190424</v>
      </c>
      <c r="C3036" s="9"/>
      <c r="D3036" t="str">
        <f>"npr-22"</f>
        <v>npr-22</v>
      </c>
      <c r="E3036" t="s">
        <v>2445</v>
      </c>
      <c r="F3036" t="s">
        <v>11</v>
      </c>
      <c r="G3036" t="s">
        <v>1429</v>
      </c>
      <c r="H3036" s="12">
        <v>1.58980978961514</v>
      </c>
      <c r="I3036" s="20">
        <v>1.6844919084021801</v>
      </c>
      <c r="J3036" s="28">
        <v>9.2086641935892097E-2</v>
      </c>
      <c r="K3036" s="29">
        <v>0.70139442285435905</v>
      </c>
    </row>
    <row r="3037" spans="1:11" x14ac:dyDescent="0.35">
      <c r="A3037" s="9" t="str">
        <f>HYPERLINK("http://www.ensembl.org/id/WBGene00019315", "WBGene00019315")</f>
        <v>WBGene00019315</v>
      </c>
      <c r="B3037" s="9" t="str">
        <f>HYPERLINK("http://www.ncbi.nlm.nih.gov/gene/173492", "173492")</f>
        <v>173492</v>
      </c>
      <c r="C3037" s="9"/>
      <c r="D3037" t="str">
        <f>"K02E7.11"</f>
        <v>K02E7.11</v>
      </c>
      <c r="F3037" t="s">
        <v>11</v>
      </c>
      <c r="G3037" t="s">
        <v>25</v>
      </c>
      <c r="H3037" s="12">
        <v>-1.4939274430282301</v>
      </c>
      <c r="I3037" s="20">
        <v>-1.6840048125539799</v>
      </c>
      <c r="J3037" s="28">
        <v>9.2180738667508894E-2</v>
      </c>
      <c r="K3037" s="29">
        <v>0.70178851652437002</v>
      </c>
    </row>
    <row r="3038" spans="1:11" x14ac:dyDescent="0.35">
      <c r="A3038" s="9" t="str">
        <f>HYPERLINK("http://www.ensembl.org/id/WBGene00018249", "WBGene00018249")</f>
        <v>WBGene00018249</v>
      </c>
      <c r="B3038" s="9" t="str">
        <f>HYPERLINK("http://www.ncbi.nlm.nih.gov/gene/185570", "185570")</f>
        <v>185570</v>
      </c>
      <c r="C3038" s="9"/>
      <c r="D3038" t="str">
        <f>"F40H3.1"</f>
        <v>F40H3.1</v>
      </c>
      <c r="F3038" t="s">
        <v>11</v>
      </c>
      <c r="G3038" t="s">
        <v>54</v>
      </c>
      <c r="H3038" s="12">
        <v>1.3998958212535799</v>
      </c>
      <c r="I3038" s="20">
        <v>1.68294438363724</v>
      </c>
      <c r="J3038" s="28">
        <v>9.23858584504995E-2</v>
      </c>
      <c r="K3038" s="29">
        <v>0.70288694282424802</v>
      </c>
    </row>
    <row r="3039" spans="1:11" x14ac:dyDescent="0.35">
      <c r="A3039" s="9" t="str">
        <f>HYPERLINK("http://www.ensembl.org/id/WBGene00011312", "WBGene00011312")</f>
        <v>WBGene00011312</v>
      </c>
      <c r="B3039" s="9" t="str">
        <f>HYPERLINK("http://www.ncbi.nlm.nih.gov/gene/174396", "174396")</f>
        <v>174396</v>
      </c>
      <c r="C3039" s="9"/>
      <c r="D3039" t="str">
        <f>"trcs-2"</f>
        <v>trcs-2</v>
      </c>
      <c r="E3039" t="s">
        <v>145</v>
      </c>
      <c r="F3039" t="s">
        <v>11</v>
      </c>
      <c r="H3039" s="12">
        <v>-1.3899348195147301</v>
      </c>
      <c r="I3039" s="20">
        <v>-1.6830507064996001</v>
      </c>
      <c r="J3039" s="28">
        <v>9.2365275797862398E-2</v>
      </c>
      <c r="K3039" s="29">
        <v>0.70288694282424802</v>
      </c>
    </row>
    <row r="3040" spans="1:11" x14ac:dyDescent="0.35">
      <c r="A3040" s="9" t="str">
        <f>HYPERLINK("http://www.ensembl.org/id/WBGene00008382", "WBGene00008382")</f>
        <v>WBGene00008382</v>
      </c>
      <c r="B3040" s="9" t="str">
        <f>HYPERLINK("http://www.ncbi.nlm.nih.gov/gene/183928", "183928")</f>
        <v>183928</v>
      </c>
      <c r="C3040" s="9"/>
      <c r="D3040" t="str">
        <f>"D1081.4"</f>
        <v>D1081.4</v>
      </c>
      <c r="F3040" t="s">
        <v>11</v>
      </c>
      <c r="G3040" t="s">
        <v>2447</v>
      </c>
      <c r="H3040" s="12">
        <v>2.1507062419050098</v>
      </c>
      <c r="I3040" s="20">
        <v>1.6827563446757501</v>
      </c>
      <c r="J3040" s="28">
        <v>9.2422269240500093E-2</v>
      </c>
      <c r="K3040" s="29">
        <v>0.70293250594831902</v>
      </c>
    </row>
    <row r="3041" spans="1:11" x14ac:dyDescent="0.35">
      <c r="A3041" s="9" t="str">
        <f>HYPERLINK("http://www.ensembl.org/id/WBGene00009226", "WBGene00009226")</f>
        <v>WBGene00009226</v>
      </c>
      <c r="B3041" s="9" t="str">
        <f>HYPERLINK("http://www.ncbi.nlm.nih.gov/gene/180093", "180093")</f>
        <v>180093</v>
      </c>
      <c r="C3041" s="9" t="str">
        <f>HYPERLINK("http://www.ncbi.nlm.nih.gov/gene/285440", "285440")</f>
        <v>285440</v>
      </c>
      <c r="D3041" t="str">
        <f>"cyp-37B1"</f>
        <v>cyp-37B1</v>
      </c>
      <c r="E3041" t="s">
        <v>176</v>
      </c>
      <c r="F3041" t="s">
        <v>11</v>
      </c>
      <c r="G3041" t="s">
        <v>2448</v>
      </c>
      <c r="H3041" s="12">
        <v>-6.8651659329883898</v>
      </c>
      <c r="I3041" s="20">
        <v>-1.68218113154275</v>
      </c>
      <c r="J3041" s="28">
        <v>9.2533721773076602E-2</v>
      </c>
      <c r="K3041" s="29">
        <v>0.70354859338226605</v>
      </c>
    </row>
    <row r="3042" spans="1:11" x14ac:dyDescent="0.35">
      <c r="A3042" s="9" t="str">
        <f>HYPERLINK("http://www.ensembl.org/id/WBGene00000280", "WBGene00000280")</f>
        <v>WBGene00000280</v>
      </c>
      <c r="B3042" s="9" t="str">
        <f>HYPERLINK("http://www.ncbi.nlm.nih.gov/gene/174218", "174218")</f>
        <v>174218</v>
      </c>
      <c r="C3042" s="9" t="str">
        <f>HYPERLINK("http://www.ncbi.nlm.nih.gov/gene/56934", "56934")</f>
        <v>56934</v>
      </c>
      <c r="D3042" t="str">
        <f>"cah-2"</f>
        <v>cah-2</v>
      </c>
      <c r="E3042" t="s">
        <v>2449</v>
      </c>
      <c r="F3042" t="s">
        <v>11</v>
      </c>
      <c r="G3042" t="s">
        <v>1733</v>
      </c>
      <c r="H3042" s="12">
        <v>1.60841242202784</v>
      </c>
      <c r="I3042" s="20">
        <v>1.6817412775449201</v>
      </c>
      <c r="J3042" s="28">
        <v>9.2619020093495902E-2</v>
      </c>
      <c r="K3042" s="29">
        <v>0.70396548627641997</v>
      </c>
    </row>
    <row r="3043" spans="1:11" x14ac:dyDescent="0.35">
      <c r="A3043" s="9" t="str">
        <f>HYPERLINK("http://www.ensembl.org/id/WBGene00007234", "WBGene00007234")</f>
        <v>WBGene00007234</v>
      </c>
      <c r="B3043" s="9" t="str">
        <f>HYPERLINK("http://www.ncbi.nlm.nih.gov/gene/180018", "180018")</f>
        <v>180018</v>
      </c>
      <c r="C3043" s="9" t="str">
        <f>HYPERLINK("http://www.ncbi.nlm.nih.gov/gene/171425", "171425")</f>
        <v>171425</v>
      </c>
      <c r="D3043" t="str">
        <f>"C01G10.7"</f>
        <v>C01G10.7</v>
      </c>
      <c r="F3043" t="s">
        <v>11</v>
      </c>
      <c r="G3043" t="s">
        <v>2451</v>
      </c>
      <c r="H3043" s="12">
        <v>-1.44350742398762</v>
      </c>
      <c r="I3043" s="20">
        <v>-1.6815318888153801</v>
      </c>
      <c r="J3043" s="28">
        <v>9.2659647802683195E-2</v>
      </c>
      <c r="K3043" s="29">
        <v>0.70404018047027594</v>
      </c>
    </row>
    <row r="3044" spans="1:11" x14ac:dyDescent="0.35">
      <c r="A3044" s="9" t="str">
        <f>HYPERLINK("http://www.ensembl.org/id/WBGene00008236", "WBGene00008236")</f>
        <v>WBGene00008236</v>
      </c>
      <c r="B3044" s="9" t="str">
        <f>HYPERLINK("http://www.ncbi.nlm.nih.gov/gene/179336", "179336")</f>
        <v>179336</v>
      </c>
      <c r="C3044" s="9"/>
      <c r="D3044" t="str">
        <f>"C50F4.12"</f>
        <v>C50F4.12</v>
      </c>
      <c r="F3044" t="s">
        <v>11</v>
      </c>
      <c r="G3044" t="s">
        <v>2452</v>
      </c>
      <c r="H3044" s="12">
        <v>-1.54574259273153</v>
      </c>
      <c r="I3044" s="20">
        <v>-1.68090588088628</v>
      </c>
      <c r="J3044" s="28">
        <v>9.2781197504197596E-2</v>
      </c>
      <c r="K3044" s="29">
        <v>0.70404018047027594</v>
      </c>
    </row>
    <row r="3045" spans="1:11" x14ac:dyDescent="0.35">
      <c r="A3045" s="9" t="str">
        <f>HYPERLINK("http://www.ensembl.org/id/WBGene00016304", "WBGene00016304")</f>
        <v>WBGene00016304</v>
      </c>
      <c r="B3045" s="9"/>
      <c r="C3045" s="9"/>
      <c r="D3045" t="str">
        <f>"fbxc-41"</f>
        <v>fbxc-41</v>
      </c>
      <c r="F3045" t="s">
        <v>80</v>
      </c>
      <c r="H3045" s="12">
        <v>2.6151879963380602</v>
      </c>
      <c r="I3045" s="20">
        <v>1.6811516921846901</v>
      </c>
      <c r="J3045" s="28">
        <v>9.2733453956868994E-2</v>
      </c>
      <c r="K3045" s="29">
        <v>0.70404018047027594</v>
      </c>
    </row>
    <row r="3046" spans="1:11" x14ac:dyDescent="0.35">
      <c r="A3046" s="9" t="str">
        <f>HYPERLINK("http://www.ensembl.org/id/WBGene00002052", "WBGene00002052")</f>
        <v>WBGene00002052</v>
      </c>
      <c r="B3046" s="9" t="str">
        <f>HYPERLINK("http://www.ncbi.nlm.nih.gov/gene/180765", "180765")</f>
        <v>180765</v>
      </c>
      <c r="C3046" s="9" t="str">
        <f>HYPERLINK("http://www.ncbi.nlm.nih.gov/gene/84823", "84823")</f>
        <v>84823</v>
      </c>
      <c r="D3046" t="str">
        <f>"ifa-4"</f>
        <v>ifa-4</v>
      </c>
      <c r="E3046" t="s">
        <v>2450</v>
      </c>
      <c r="F3046" t="s">
        <v>11</v>
      </c>
      <c r="H3046" s="12">
        <v>1.3805635497451501</v>
      </c>
      <c r="I3046" s="20">
        <v>1.68093873962607</v>
      </c>
      <c r="J3046" s="28">
        <v>9.27748142597523E-2</v>
      </c>
      <c r="K3046" s="29">
        <v>0.70404018047027594</v>
      </c>
    </row>
    <row r="3047" spans="1:11" x14ac:dyDescent="0.35">
      <c r="A3047" s="9" t="str">
        <f>HYPERLINK("http://www.ensembl.org/id/WBGene00020837", "WBGene00020837")</f>
        <v>WBGene00020837</v>
      </c>
      <c r="B3047" s="9" t="str">
        <f>HYPERLINK("http://www.ncbi.nlm.nih.gov/gene/173442", "173442")</f>
        <v>173442</v>
      </c>
      <c r="C3047" s="9"/>
      <c r="D3047" t="str">
        <f>"slc-36.2"</f>
        <v>slc-36.2</v>
      </c>
      <c r="E3047" t="s">
        <v>584</v>
      </c>
      <c r="F3047" t="s">
        <v>11</v>
      </c>
      <c r="G3047" t="s">
        <v>2245</v>
      </c>
      <c r="H3047" s="12">
        <v>-1.69438419855787</v>
      </c>
      <c r="I3047" s="20">
        <v>-1.68103967597687</v>
      </c>
      <c r="J3047" s="28">
        <v>9.2755208244537105E-2</v>
      </c>
      <c r="K3047" s="29">
        <v>0.70404018047027594</v>
      </c>
    </row>
    <row r="3048" spans="1:11" x14ac:dyDescent="0.35">
      <c r="A3048" s="9" t="str">
        <f>HYPERLINK("http://www.ensembl.org/id/WBGene00016355", "WBGene00016355")</f>
        <v>WBGene00016355</v>
      </c>
      <c r="B3048" s="9" t="str">
        <f>HYPERLINK("http://www.ncbi.nlm.nih.gov/gene/183166", "183166")</f>
        <v>183166</v>
      </c>
      <c r="C3048" s="9"/>
      <c r="D3048" t="str">
        <f>"lact-5"</f>
        <v>lact-5</v>
      </c>
      <c r="E3048" t="s">
        <v>1085</v>
      </c>
      <c r="F3048" t="s">
        <v>11</v>
      </c>
      <c r="H3048" s="12">
        <v>1.5805306972908</v>
      </c>
      <c r="I3048" s="20">
        <v>1.6798879815226999</v>
      </c>
      <c r="J3048" s="28">
        <v>9.2979112601675698E-2</v>
      </c>
      <c r="K3048" s="29">
        <v>0.705310366308049</v>
      </c>
    </row>
    <row r="3049" spans="1:11" x14ac:dyDescent="0.35">
      <c r="A3049" s="9" t="str">
        <f>HYPERLINK("http://www.ensembl.org/id/WBGene00021640", "WBGene00021640")</f>
        <v>WBGene00021640</v>
      </c>
      <c r="B3049" s="9" t="str">
        <f>HYPERLINK("http://www.ncbi.nlm.nih.gov/gene/189994", "189994")</f>
        <v>189994</v>
      </c>
      <c r="C3049" s="9"/>
      <c r="D3049" t="str">
        <f>"Y47G6A.14"</f>
        <v>Y47G6A.14</v>
      </c>
      <c r="F3049" t="s">
        <v>11</v>
      </c>
      <c r="G3049" t="s">
        <v>2455</v>
      </c>
      <c r="H3049" s="12">
        <v>-1.57348815186177</v>
      </c>
      <c r="I3049" s="20">
        <v>-1.67925819929825</v>
      </c>
      <c r="J3049" s="28">
        <v>9.3101733795540806E-2</v>
      </c>
      <c r="K3049" s="29">
        <v>0.705777119776826</v>
      </c>
    </row>
    <row r="3050" spans="1:11" x14ac:dyDescent="0.35">
      <c r="A3050" s="9" t="str">
        <f>HYPERLINK("http://www.ensembl.org/id/WBGene00022167", "WBGene00022167")</f>
        <v>WBGene00022167</v>
      </c>
      <c r="B3050" s="9" t="str">
        <f>HYPERLINK("http://www.ncbi.nlm.nih.gov/gene/190605", "190605")</f>
        <v>190605</v>
      </c>
      <c r="C3050" s="9" t="str">
        <f>HYPERLINK("http://www.ncbi.nlm.nih.gov/gene/90809", "90809")</f>
        <v>90809</v>
      </c>
      <c r="D3050" t="str">
        <f>"Y71H2AM.2"</f>
        <v>Y71H2AM.2</v>
      </c>
      <c r="E3050" t="s">
        <v>2453</v>
      </c>
      <c r="F3050" t="s">
        <v>11</v>
      </c>
      <c r="G3050" t="s">
        <v>2454</v>
      </c>
      <c r="H3050" s="12">
        <v>-1.37543619307065</v>
      </c>
      <c r="I3050" s="20">
        <v>-1.67933376090124</v>
      </c>
      <c r="J3050" s="28">
        <v>9.3087014792089903E-2</v>
      </c>
      <c r="K3050" s="29">
        <v>0.705777119776826</v>
      </c>
    </row>
    <row r="3051" spans="1:11" x14ac:dyDescent="0.35">
      <c r="A3051" s="9" t="str">
        <f>HYPERLINK("http://www.ensembl.org/id/WBGene00013649", "WBGene00013649")</f>
        <v>WBGene00013649</v>
      </c>
      <c r="B3051" s="9" t="str">
        <f>HYPERLINK("http://www.ncbi.nlm.nih.gov/gene/190891", "190891")</f>
        <v>190891</v>
      </c>
      <c r="C3051" s="9"/>
      <c r="D3051" t="str">
        <f>"Y105C5B.8"</f>
        <v>Y105C5B.8</v>
      </c>
      <c r="F3051" t="s">
        <v>11</v>
      </c>
      <c r="G3051" t="s">
        <v>2456</v>
      </c>
      <c r="H3051" s="12">
        <v>3.6248685081941701</v>
      </c>
      <c r="I3051" s="20">
        <v>1.6789875505824901</v>
      </c>
      <c r="J3051" s="28">
        <v>9.3154470071468903E-2</v>
      </c>
      <c r="K3051" s="29">
        <v>0.70594528877381402</v>
      </c>
    </row>
    <row r="3052" spans="1:11" x14ac:dyDescent="0.35">
      <c r="A3052" s="9" t="str">
        <f>HYPERLINK("http://www.ensembl.org/id/WBGene00000375", "WBGene00000375")</f>
        <v>WBGene00000375</v>
      </c>
      <c r="B3052" s="9" t="str">
        <f>HYPERLINK("http://www.ncbi.nlm.nih.gov/gene/173936", "173936")</f>
        <v>173936</v>
      </c>
      <c r="C3052" s="9" t="str">
        <f>HYPERLINK("http://www.ncbi.nlm.nih.gov/gene/1591", "1591")</f>
        <v>1591</v>
      </c>
      <c r="D3052" t="str">
        <f>"cyp-44A1"</f>
        <v>cyp-44A1</v>
      </c>
      <c r="E3052" t="s">
        <v>2460</v>
      </c>
      <c r="F3052" t="s">
        <v>11</v>
      </c>
      <c r="G3052" t="s">
        <v>185</v>
      </c>
      <c r="H3052" s="12">
        <v>-1.47019878011949</v>
      </c>
      <c r="I3052" s="20">
        <v>-1.6778036071348701</v>
      </c>
      <c r="J3052" s="28">
        <v>9.3385444947857804E-2</v>
      </c>
      <c r="K3052" s="29">
        <v>0.70637475024993301</v>
      </c>
    </row>
    <row r="3053" spans="1:11" x14ac:dyDescent="0.35">
      <c r="A3053" s="9" t="str">
        <f>HYPERLINK("http://www.ensembl.org/id/WBGene00016184", "WBGene00016184")</f>
        <v>WBGene00016184</v>
      </c>
      <c r="B3053" s="9" t="str">
        <f>HYPERLINK("http://www.ncbi.nlm.nih.gov/gene/182985", "182985")</f>
        <v>182985</v>
      </c>
      <c r="C3053" s="9"/>
      <c r="D3053" t="str">
        <f>"glb-9"</f>
        <v>glb-9</v>
      </c>
      <c r="E3053" t="s">
        <v>2458</v>
      </c>
      <c r="F3053" t="s">
        <v>11</v>
      </c>
      <c r="G3053" t="s">
        <v>634</v>
      </c>
      <c r="H3053" s="12">
        <v>1.6960531310939699</v>
      </c>
      <c r="I3053" s="20">
        <v>1.6783613018190899</v>
      </c>
      <c r="J3053" s="28">
        <v>9.32765874181226E-2</v>
      </c>
      <c r="K3053" s="29">
        <v>0.70637475024993301</v>
      </c>
    </row>
    <row r="3054" spans="1:11" x14ac:dyDescent="0.35">
      <c r="A3054" s="9" t="str">
        <f>HYPERLINK("http://www.ensembl.org/id/WBGene00001685", "WBGene00001685")</f>
        <v>WBGene00001685</v>
      </c>
      <c r="B3054" s="9" t="str">
        <f>HYPERLINK("http://www.ncbi.nlm.nih.gov/gene/180601", "180601")</f>
        <v>180601</v>
      </c>
      <c r="C3054" s="9" t="str">
        <f>HYPERLINK("http://www.ncbi.nlm.nih.gov/gene/2597", "2597")</f>
        <v>2597</v>
      </c>
      <c r="D3054" t="str">
        <f>"gpd-3"</f>
        <v>gpd-3</v>
      </c>
      <c r="E3054" t="s">
        <v>2459</v>
      </c>
      <c r="F3054" t="s">
        <v>11</v>
      </c>
      <c r="G3054" t="s">
        <v>286</v>
      </c>
      <c r="H3054" s="12">
        <v>-1.3697614088121499</v>
      </c>
      <c r="I3054" s="20">
        <v>-1.67761089227688</v>
      </c>
      <c r="J3054" s="28">
        <v>9.3423085030826802E-2</v>
      </c>
      <c r="K3054" s="29">
        <v>0.70637475024993301</v>
      </c>
    </row>
    <row r="3055" spans="1:11" x14ac:dyDescent="0.35">
      <c r="A3055" s="9" t="str">
        <f>HYPERLINK("http://www.ensembl.org/id/WBGene00003657", "WBGene00003657")</f>
        <v>WBGene00003657</v>
      </c>
      <c r="B3055" s="9" t="str">
        <f>HYPERLINK("http://www.ncbi.nlm.nih.gov/gene/178024", "178024")</f>
        <v>178024</v>
      </c>
      <c r="C3055" s="9" t="str">
        <f>HYPERLINK("http://www.ncbi.nlm.nih.gov/gene/7101", "7101")</f>
        <v>7101</v>
      </c>
      <c r="D3055" t="str">
        <f>"nhr-67"</f>
        <v>nhr-67</v>
      </c>
      <c r="E3055" t="s">
        <v>2457</v>
      </c>
      <c r="F3055" t="s">
        <v>11</v>
      </c>
      <c r="G3055" t="s">
        <v>852</v>
      </c>
      <c r="H3055" s="12">
        <v>1.8690233771493701</v>
      </c>
      <c r="I3055" s="20">
        <v>1.6780353154138801</v>
      </c>
      <c r="J3055" s="28">
        <v>9.3340204979376507E-2</v>
      </c>
      <c r="K3055" s="29">
        <v>0.70637475024993301</v>
      </c>
    </row>
    <row r="3056" spans="1:11" x14ac:dyDescent="0.35">
      <c r="A3056" s="9" t="str">
        <f>HYPERLINK("http://www.ensembl.org/id/WBGene00008781", "WBGene00008781")</f>
        <v>WBGene00008781</v>
      </c>
      <c r="B3056" s="9" t="str">
        <f>HYPERLINK("http://www.ncbi.nlm.nih.gov/gene/172752", "172752")</f>
        <v>172752</v>
      </c>
      <c r="C3056" s="9" t="str">
        <f>HYPERLINK("http://www.ncbi.nlm.nih.gov/gene/84172", "84172")</f>
        <v>84172</v>
      </c>
      <c r="D3056" t="str">
        <f>"rpoa-2"</f>
        <v>rpoa-2</v>
      </c>
      <c r="E3056" t="s">
        <v>2461</v>
      </c>
      <c r="F3056" t="s">
        <v>11</v>
      </c>
      <c r="G3056" t="s">
        <v>2462</v>
      </c>
      <c r="H3056" s="12">
        <v>-1.47960999373336</v>
      </c>
      <c r="I3056" s="20">
        <v>-1.6776003834084501</v>
      </c>
      <c r="J3056" s="28">
        <v>9.3425137919319404E-2</v>
      </c>
      <c r="K3056" s="29">
        <v>0.70637475024993301</v>
      </c>
    </row>
    <row r="3057" spans="1:11" x14ac:dyDescent="0.35">
      <c r="A3057" s="9" t="str">
        <f>HYPERLINK("http://www.ensembl.org/id/WBGene00004959", "WBGene00004959")</f>
        <v>WBGene00004959</v>
      </c>
      <c r="B3057" s="9" t="str">
        <f>HYPERLINK("http://www.ncbi.nlm.nih.gov/gene/172137", "172137")</f>
        <v>172137</v>
      </c>
      <c r="C3057" s="9" t="str">
        <f>HYPERLINK("http://www.ncbi.nlm.nih.gov/gene/526", "526")</f>
        <v>526</v>
      </c>
      <c r="D3057" t="str">
        <f>"spe-5"</f>
        <v>spe-5</v>
      </c>
      <c r="F3057" t="s">
        <v>11</v>
      </c>
      <c r="G3057" t="s">
        <v>2463</v>
      </c>
      <c r="H3057" s="12">
        <v>-1.8332375227179101</v>
      </c>
      <c r="I3057" s="20">
        <v>-1.6778685862855101</v>
      </c>
      <c r="J3057" s="28">
        <v>9.3372756294940101E-2</v>
      </c>
      <c r="K3057" s="29">
        <v>0.70637475024993301</v>
      </c>
    </row>
    <row r="3058" spans="1:11" x14ac:dyDescent="0.35">
      <c r="A3058" s="9" t="str">
        <f>HYPERLINK("http://www.ensembl.org/id/WBGene00020941", "WBGene00020941")</f>
        <v>WBGene00020941</v>
      </c>
      <c r="B3058" s="9" t="str">
        <f>HYPERLINK("http://www.ncbi.nlm.nih.gov/gene/189117", "189117")</f>
        <v>189117</v>
      </c>
      <c r="C3058" s="9"/>
      <c r="D3058" t="str">
        <f>"W02D7.5"</f>
        <v>W02D7.5</v>
      </c>
      <c r="F3058" t="s">
        <v>11</v>
      </c>
      <c r="G3058" t="s">
        <v>386</v>
      </c>
      <c r="H3058" s="12">
        <v>-1.98982519506428</v>
      </c>
      <c r="I3058" s="20">
        <v>-1.67847970681156</v>
      </c>
      <c r="J3058" s="28">
        <v>9.3253488822006902E-2</v>
      </c>
      <c r="K3058" s="29">
        <v>0.70637475024993301</v>
      </c>
    </row>
    <row r="3059" spans="1:11" x14ac:dyDescent="0.35">
      <c r="A3059" s="9" t="str">
        <f>HYPERLINK("http://www.ensembl.org/id/WBGene00002040", "WBGene00002040")</f>
        <v>WBGene00002040</v>
      </c>
      <c r="B3059" s="9" t="str">
        <f>HYPERLINK("http://www.ncbi.nlm.nih.gov/gene/171650", "171650")</f>
        <v>171650</v>
      </c>
      <c r="C3059" s="9"/>
      <c r="D3059" t="str">
        <f>"hum-7"</f>
        <v>hum-7</v>
      </c>
      <c r="E3059" t="s">
        <v>1548</v>
      </c>
      <c r="F3059" t="s">
        <v>11</v>
      </c>
      <c r="G3059" t="s">
        <v>2467</v>
      </c>
      <c r="H3059" s="12">
        <v>1.4074557593897099</v>
      </c>
      <c r="I3059" s="20">
        <v>1.67587759886843</v>
      </c>
      <c r="J3059" s="28">
        <v>9.3762170373377196E-2</v>
      </c>
      <c r="K3059" s="29">
        <v>0.70865167241927296</v>
      </c>
    </row>
    <row r="3060" spans="1:11" x14ac:dyDescent="0.35">
      <c r="A3060" s="9" t="str">
        <f>HYPERLINK("http://www.ensembl.org/id/WBGene00003480", "WBGene00003480")</f>
        <v>WBGene00003480</v>
      </c>
      <c r="B3060" s="9" t="str">
        <f>HYPERLINK("http://www.ncbi.nlm.nih.gov/gene/191713", "191713")</f>
        <v>191713</v>
      </c>
      <c r="C3060" s="9"/>
      <c r="D3060" t="str">
        <f>"klf-3"</f>
        <v>klf-3</v>
      </c>
      <c r="E3060" t="s">
        <v>2465</v>
      </c>
      <c r="F3060" t="s">
        <v>11</v>
      </c>
      <c r="G3060" t="s">
        <v>2466</v>
      </c>
      <c r="H3060" s="12">
        <v>1.43823876613674</v>
      </c>
      <c r="I3060" s="20">
        <v>1.67570988123052</v>
      </c>
      <c r="J3060" s="28">
        <v>9.3795033398146696E-2</v>
      </c>
      <c r="K3060" s="29">
        <v>0.70865167241927296</v>
      </c>
    </row>
    <row r="3061" spans="1:11" x14ac:dyDescent="0.35">
      <c r="A3061" s="9" t="str">
        <f>HYPERLINK("http://www.ensembl.org/id/WBGene00017716", "WBGene00017716")</f>
        <v>WBGene00017716</v>
      </c>
      <c r="B3061" s="9" t="str">
        <f>HYPERLINK("http://www.ncbi.nlm.nih.gov/gene/180868", "180868")</f>
        <v>180868</v>
      </c>
      <c r="C3061" s="9"/>
      <c r="D3061" t="str">
        <f>"sups-1"</f>
        <v>sups-1</v>
      </c>
      <c r="E3061" t="s">
        <v>2464</v>
      </c>
      <c r="F3061" t="s">
        <v>11</v>
      </c>
      <c r="H3061" s="12">
        <v>1.8460412344350401</v>
      </c>
      <c r="I3061" s="20">
        <v>1.67559120616839</v>
      </c>
      <c r="J3061" s="28">
        <v>9.3818292475138704E-2</v>
      </c>
      <c r="K3061" s="29">
        <v>0.70865167241927296</v>
      </c>
    </row>
    <row r="3062" spans="1:11" x14ac:dyDescent="0.35">
      <c r="A3062" s="9" t="str">
        <f>HYPERLINK("http://www.ensembl.org/id/WBGene00012281", "WBGene00012281")</f>
        <v>WBGene00012281</v>
      </c>
      <c r="B3062" s="9" t="str">
        <f>HYPERLINK("http://www.ncbi.nlm.nih.gov/gene/189214", "189214")</f>
        <v>189214</v>
      </c>
      <c r="C3062" s="9"/>
      <c r="D3062" t="str">
        <f>"W05E10.2"</f>
        <v>W05E10.2</v>
      </c>
      <c r="F3062" t="s">
        <v>11</v>
      </c>
      <c r="G3062" t="s">
        <v>25</v>
      </c>
      <c r="H3062" s="12">
        <v>2.3962983960823698</v>
      </c>
      <c r="I3062" s="20">
        <v>1.6752320633206701</v>
      </c>
      <c r="J3062" s="28">
        <v>9.3888708917911304E-2</v>
      </c>
      <c r="K3062" s="29">
        <v>0.70895180008407099</v>
      </c>
    </row>
    <row r="3063" spans="1:11" x14ac:dyDescent="0.35">
      <c r="A3063" s="9" t="str">
        <f>HYPERLINK("http://www.ensembl.org/id/WBGene00008802", "WBGene00008802")</f>
        <v>WBGene00008802</v>
      </c>
      <c r="B3063" s="9" t="str">
        <f>HYPERLINK("http://www.ncbi.nlm.nih.gov/gene/174343", "174343")</f>
        <v>174343</v>
      </c>
      <c r="C3063" s="9"/>
      <c r="D3063" t="str">
        <f>"acp-2"</f>
        <v>acp-2</v>
      </c>
      <c r="E3063" t="s">
        <v>36</v>
      </c>
      <c r="F3063" t="s">
        <v>11</v>
      </c>
      <c r="G3063" t="s">
        <v>37</v>
      </c>
      <c r="H3063" s="12">
        <v>-1.3827548033255499</v>
      </c>
      <c r="I3063" s="20">
        <v>-1.6734448683152701</v>
      </c>
      <c r="J3063" s="28">
        <v>9.4239751268088603E-2</v>
      </c>
      <c r="K3063" s="29">
        <v>0.70905362839480801</v>
      </c>
    </row>
    <row r="3064" spans="1:11" x14ac:dyDescent="0.35">
      <c r="A3064" s="9" t="str">
        <f>HYPERLINK("http://www.ensembl.org/id/WBGene00016212", "WBGene00016212")</f>
        <v>WBGene00016212</v>
      </c>
      <c r="B3064" s="9" t="str">
        <f>HYPERLINK("http://www.ncbi.nlm.nih.gov/gene/183011", "183011")</f>
        <v>183011</v>
      </c>
      <c r="C3064" s="9"/>
      <c r="D3064" t="str">
        <f>"C29F5.3"</f>
        <v>C29F5.3</v>
      </c>
      <c r="F3064" t="s">
        <v>11</v>
      </c>
      <c r="G3064" t="s">
        <v>2468</v>
      </c>
      <c r="H3064" s="12">
        <v>3.9021325486546599</v>
      </c>
      <c r="I3064" s="20">
        <v>1.6736794545253399</v>
      </c>
      <c r="J3064" s="28">
        <v>9.4193613741192894E-2</v>
      </c>
      <c r="K3064" s="29">
        <v>0.70905362839480801</v>
      </c>
    </row>
    <row r="3065" spans="1:11" x14ac:dyDescent="0.35">
      <c r="A3065" s="9" t="str">
        <f>HYPERLINK("http://www.ensembl.org/id/WBGene00016495", "WBGene00016495")</f>
        <v>WBGene00016495</v>
      </c>
      <c r="B3065" s="9" t="str">
        <f>HYPERLINK("http://www.ncbi.nlm.nih.gov/gene/179166", "179166")</f>
        <v>179166</v>
      </c>
      <c r="C3065" s="9"/>
      <c r="D3065" t="str">
        <f>"C37C3.1"</f>
        <v>C37C3.1</v>
      </c>
      <c r="F3065" t="s">
        <v>11</v>
      </c>
      <c r="H3065" s="12">
        <v>-1.42298133711383</v>
      </c>
      <c r="I3065" s="20">
        <v>-1.67371712374524</v>
      </c>
      <c r="J3065" s="28">
        <v>9.4186206789489205E-2</v>
      </c>
      <c r="K3065" s="29">
        <v>0.70905362839480801</v>
      </c>
    </row>
    <row r="3066" spans="1:11" x14ac:dyDescent="0.35">
      <c r="A3066" s="9" t="str">
        <f>HYPERLINK("http://www.ensembl.org/id/WBGene00008082", "WBGene00008082")</f>
        <v>WBGene00008082</v>
      </c>
      <c r="B3066" s="9" t="str">
        <f>HYPERLINK("http://www.ncbi.nlm.nih.gov/gene/176518", "176518")</f>
        <v>176518</v>
      </c>
      <c r="C3066" s="9"/>
      <c r="D3066" t="str">
        <f>"com-1"</f>
        <v>com-1</v>
      </c>
      <c r="E3066" t="s">
        <v>2476</v>
      </c>
      <c r="F3066" t="s">
        <v>11</v>
      </c>
      <c r="G3066" t="s">
        <v>2477</v>
      </c>
      <c r="H3066" s="12">
        <v>-1.48142168502772</v>
      </c>
      <c r="I3066" s="20">
        <v>-1.6735095658427199</v>
      </c>
      <c r="J3066" s="28">
        <v>9.4227024994604003E-2</v>
      </c>
      <c r="K3066" s="29">
        <v>0.70905362839480801</v>
      </c>
    </row>
    <row r="3067" spans="1:11" x14ac:dyDescent="0.35">
      <c r="A3067" s="9" t="str">
        <f>HYPERLINK("http://www.ensembl.org/id/WBGene00001234", "WBGene00001234")</f>
        <v>WBGene00001234</v>
      </c>
      <c r="B3067" s="9" t="str">
        <f>HYPERLINK("http://www.ncbi.nlm.nih.gov/gene/173169", "173169")</f>
        <v>173169</v>
      </c>
      <c r="C3067" s="9" t="str">
        <f>HYPERLINK("http://www.ncbi.nlm.nih.gov/gene/3692", "3692")</f>
        <v>3692</v>
      </c>
      <c r="D3067" t="str">
        <f>"eif-6"</f>
        <v>eif-6</v>
      </c>
      <c r="E3067" t="s">
        <v>2474</v>
      </c>
      <c r="F3067" t="s">
        <v>11</v>
      </c>
      <c r="G3067" t="s">
        <v>2475</v>
      </c>
      <c r="H3067" s="12">
        <v>-1.42045446008615</v>
      </c>
      <c r="I3067" s="20">
        <v>-1.67355672615858</v>
      </c>
      <c r="J3067" s="28">
        <v>9.4217749232011094E-2</v>
      </c>
      <c r="K3067" s="29">
        <v>0.70905362839480801</v>
      </c>
    </row>
    <row r="3068" spans="1:11" x14ac:dyDescent="0.35">
      <c r="A3068" s="9" t="str">
        <f>HYPERLINK("http://www.ensembl.org/id/WBGene00009889", "WBGene00009889")</f>
        <v>WBGene00009889</v>
      </c>
      <c r="B3068" s="9" t="str">
        <f>HYPERLINK("http://www.ncbi.nlm.nih.gov/gene/186046", "186046")</f>
        <v>186046</v>
      </c>
      <c r="C3068" s="9"/>
      <c r="D3068" t="str">
        <f>"F49E11.2"</f>
        <v>F49E11.2</v>
      </c>
      <c r="F3068" t="s">
        <v>11</v>
      </c>
      <c r="G3068" t="s">
        <v>1793</v>
      </c>
      <c r="H3068" s="12">
        <v>2.6456667659757702</v>
      </c>
      <c r="I3068" s="20">
        <v>1.6746850892021301</v>
      </c>
      <c r="J3068" s="28">
        <v>9.3996034500222106E-2</v>
      </c>
      <c r="K3068" s="29">
        <v>0.70905362839480801</v>
      </c>
    </row>
    <row r="3069" spans="1:11" x14ac:dyDescent="0.35">
      <c r="A3069" s="9" t="str">
        <f>HYPERLINK("http://www.ensembl.org/id/WBGene00009342", "WBGene00009342")</f>
        <v>WBGene00009342</v>
      </c>
      <c r="B3069" s="9" t="str">
        <f>HYPERLINK("http://www.ncbi.nlm.nih.gov/gene/172715", "172715")</f>
        <v>172715</v>
      </c>
      <c r="C3069" s="9" t="str">
        <f>HYPERLINK("http://www.ncbi.nlm.nih.gov/gene/2194", "2194")</f>
        <v>2194</v>
      </c>
      <c r="D3069" t="str">
        <f>"fasn-1"</f>
        <v>fasn-1</v>
      </c>
      <c r="E3069" t="s">
        <v>2469</v>
      </c>
      <c r="F3069" t="s">
        <v>11</v>
      </c>
      <c r="G3069" t="s">
        <v>2470</v>
      </c>
      <c r="H3069" s="12">
        <v>1.3516125670807899</v>
      </c>
      <c r="I3069" s="20">
        <v>1.6739462856729299</v>
      </c>
      <c r="J3069" s="28">
        <v>9.4141156418236005E-2</v>
      </c>
      <c r="K3069" s="29">
        <v>0.70905362839480801</v>
      </c>
    </row>
    <row r="3070" spans="1:11" x14ac:dyDescent="0.35">
      <c r="A3070" s="9" t="str">
        <f>HYPERLINK("http://www.ensembl.org/id/WBGene00009559", "WBGene00009559")</f>
        <v>WBGene00009559</v>
      </c>
      <c r="B3070" s="9" t="str">
        <f>HYPERLINK("http://www.ncbi.nlm.nih.gov/gene/173340", "173340")</f>
        <v>173340</v>
      </c>
      <c r="C3070" s="9" t="str">
        <f>HYPERLINK("http://www.ncbi.nlm.nih.gov/gene/4580", "4580")</f>
        <v>4580</v>
      </c>
      <c r="D3070" t="str">
        <f>"mtx-1"</f>
        <v>mtx-1</v>
      </c>
      <c r="E3070" t="s">
        <v>2471</v>
      </c>
      <c r="F3070" t="s">
        <v>11</v>
      </c>
      <c r="G3070" t="s">
        <v>2472</v>
      </c>
      <c r="H3070" s="12">
        <v>-1.39668263637884</v>
      </c>
      <c r="I3070" s="20">
        <v>-1.6744325506690501</v>
      </c>
      <c r="J3070" s="28">
        <v>9.4045620021170895E-2</v>
      </c>
      <c r="K3070" s="29">
        <v>0.70905362839480801</v>
      </c>
    </row>
    <row r="3071" spans="1:11" x14ac:dyDescent="0.35">
      <c r="A3071" s="9" t="str">
        <f>HYPERLINK("http://www.ensembl.org/id/WBGene00005289", "WBGene00005289")</f>
        <v>WBGene00005289</v>
      </c>
      <c r="B3071" s="9" t="str">
        <f>HYPERLINK("http://www.ncbi.nlm.nih.gov/gene/188674", "188674")</f>
        <v>188674</v>
      </c>
      <c r="C3071" s="9"/>
      <c r="D3071" t="str">
        <f>"srh-68"</f>
        <v>srh-68</v>
      </c>
      <c r="E3071" t="s">
        <v>153</v>
      </c>
      <c r="F3071" t="s">
        <v>11</v>
      </c>
      <c r="G3071" t="s">
        <v>25</v>
      </c>
      <c r="H3071" s="12">
        <v>15.720705297143899</v>
      </c>
      <c r="I3071" s="20">
        <v>1.67363440913663</v>
      </c>
      <c r="J3071" s="28">
        <v>9.4202471692461806E-2</v>
      </c>
      <c r="K3071" s="29">
        <v>0.70905362839480801</v>
      </c>
    </row>
    <row r="3072" spans="1:11" x14ac:dyDescent="0.35">
      <c r="A3072" s="9" t="str">
        <f>HYPERLINK("http://www.ensembl.org/id/WBGene00020467", "WBGene00020467")</f>
        <v>WBGene00020467</v>
      </c>
      <c r="B3072" s="9" t="str">
        <f>HYPERLINK("http://www.ncbi.nlm.nih.gov/gene/188456", "188456")</f>
        <v>188456</v>
      </c>
      <c r="C3072" s="9"/>
      <c r="D3072" t="str">
        <f>"T12F5.2"</f>
        <v>T12F5.2</v>
      </c>
      <c r="F3072" t="s">
        <v>11</v>
      </c>
      <c r="G3072" t="s">
        <v>25</v>
      </c>
      <c r="H3072" s="12">
        <v>-1.7134729886854401</v>
      </c>
      <c r="I3072" s="20">
        <v>-1.67485325496578</v>
      </c>
      <c r="J3072" s="28">
        <v>9.3963027061861701E-2</v>
      </c>
      <c r="K3072" s="29">
        <v>0.70905362839480801</v>
      </c>
    </row>
    <row r="3073" spans="1:11" x14ac:dyDescent="0.35">
      <c r="A3073" s="9" t="str">
        <f>HYPERLINK("http://www.ensembl.org/id/WBGene00013196", "WBGene00013196")</f>
        <v>WBGene00013196</v>
      </c>
      <c r="B3073" s="9" t="str">
        <f>HYPERLINK("http://www.ncbi.nlm.nih.gov/gene/175139", "175139")</f>
        <v>175139</v>
      </c>
      <c r="C3073" s="9" t="str">
        <f>HYPERLINK("http://www.ncbi.nlm.nih.gov/gene/128637", "128637")</f>
        <v>128637</v>
      </c>
      <c r="D3073" t="str">
        <f>"tbc-20"</f>
        <v>tbc-20</v>
      </c>
      <c r="E3073" t="s">
        <v>1649</v>
      </c>
      <c r="F3073" t="s">
        <v>11</v>
      </c>
      <c r="G3073" t="s">
        <v>2473</v>
      </c>
      <c r="H3073" s="12">
        <v>-1.41493279519152</v>
      </c>
      <c r="I3073" s="20">
        <v>-1.67443686822737</v>
      </c>
      <c r="J3073" s="28">
        <v>9.4044772099582105E-2</v>
      </c>
      <c r="K3073" s="29">
        <v>0.70905362839480801</v>
      </c>
    </row>
    <row r="3074" spans="1:11" x14ac:dyDescent="0.35">
      <c r="A3074" s="9" t="str">
        <f>HYPERLINK("http://www.ensembl.org/id/WBGene00013638", "WBGene00013638")</f>
        <v>WBGene00013638</v>
      </c>
      <c r="B3074" s="9"/>
      <c r="C3074" s="9"/>
      <c r="D3074" t="str">
        <f>"Y105C5A.14"</f>
        <v>Y105C5A.14</v>
      </c>
      <c r="F3074" t="s">
        <v>80</v>
      </c>
      <c r="H3074" s="12">
        <v>1.4527880653948799</v>
      </c>
      <c r="I3074" s="20">
        <v>1.6731574008658101</v>
      </c>
      <c r="J3074" s="28">
        <v>9.4296313978680005E-2</v>
      </c>
      <c r="K3074" s="29">
        <v>0.70910438919780205</v>
      </c>
    </row>
    <row r="3075" spans="1:11" x14ac:dyDescent="0.35">
      <c r="A3075" s="9" t="str">
        <f>HYPERLINK("http://www.ensembl.org/id/WBGene00012812", "WBGene00012812")</f>
        <v>WBGene00012812</v>
      </c>
      <c r="B3075" s="9" t="str">
        <f>HYPERLINK("http://www.ncbi.nlm.nih.gov/gene/180279", "180279")</f>
        <v>180279</v>
      </c>
      <c r="C3075" s="9"/>
      <c r="D3075" t="str">
        <f>"Y43F8B.1"</f>
        <v>Y43F8B.1</v>
      </c>
      <c r="F3075" t="s">
        <v>11</v>
      </c>
      <c r="H3075" s="12">
        <v>1.4631143567857501</v>
      </c>
      <c r="I3075" s="20">
        <v>1.67309865533803</v>
      </c>
      <c r="J3075" s="28">
        <v>9.4307876222835804E-2</v>
      </c>
      <c r="K3075" s="29">
        <v>0.70910438919780205</v>
      </c>
    </row>
    <row r="3076" spans="1:11" x14ac:dyDescent="0.35">
      <c r="A3076" s="9" t="str">
        <f>HYPERLINK("http://www.ensembl.org/id/WBGene00010736", "WBGene00010736")</f>
        <v>WBGene00010736</v>
      </c>
      <c r="B3076" s="9" t="str">
        <f>HYPERLINK("http://www.ncbi.nlm.nih.gov/gene/179737", "179737")</f>
        <v>179737</v>
      </c>
      <c r="C3076" s="9"/>
      <c r="D3076" t="str">
        <f>"istr-1"</f>
        <v>istr-1</v>
      </c>
      <c r="E3076" t="s">
        <v>2478</v>
      </c>
      <c r="F3076" t="s">
        <v>11</v>
      </c>
      <c r="G3076" t="s">
        <v>2479</v>
      </c>
      <c r="H3076" s="12">
        <v>-1.3488480981341699</v>
      </c>
      <c r="I3076" s="20">
        <v>-1.6722808994368801</v>
      </c>
      <c r="J3076" s="28">
        <v>9.4468944287008902E-2</v>
      </c>
      <c r="K3076" s="29">
        <v>0.71008439385023703</v>
      </c>
    </row>
    <row r="3077" spans="1:11" x14ac:dyDescent="0.35">
      <c r="A3077" s="9" t="str">
        <f>HYPERLINK("http://www.ensembl.org/id/WBGene00010144", "WBGene00010144")</f>
        <v>WBGene00010144</v>
      </c>
      <c r="B3077" s="9" t="str">
        <f>HYPERLINK("http://www.ncbi.nlm.nih.gov/gene/186369", "186369")</f>
        <v>186369</v>
      </c>
      <c r="C3077" s="9"/>
      <c r="D3077" t="str">
        <f>"F56C4.1"</f>
        <v>F56C4.1</v>
      </c>
      <c r="F3077" t="s">
        <v>11</v>
      </c>
      <c r="H3077" s="12">
        <v>3.4509591079492501</v>
      </c>
      <c r="I3077" s="20">
        <v>1.67195691939429</v>
      </c>
      <c r="J3077" s="28">
        <v>9.4532817479372797E-2</v>
      </c>
      <c r="K3077" s="29">
        <v>0.71033342461085802</v>
      </c>
    </row>
    <row r="3078" spans="1:11" x14ac:dyDescent="0.35">
      <c r="A3078" s="9" t="str">
        <f>HYPERLINK("http://www.ensembl.org/id/WBGene00018326", "WBGene00018326")</f>
        <v>WBGene00018326</v>
      </c>
      <c r="B3078" s="9"/>
      <c r="C3078" s="9"/>
      <c r="D3078" t="str">
        <f>"cyp-25A5"</f>
        <v>cyp-25A5</v>
      </c>
      <c r="F3078" t="s">
        <v>80</v>
      </c>
      <c r="H3078" s="12">
        <v>5.1744023487790596</v>
      </c>
      <c r="I3078" s="20">
        <v>1.67156196396462</v>
      </c>
      <c r="J3078" s="28">
        <v>9.4610730397273801E-2</v>
      </c>
      <c r="K3078" s="29">
        <v>0.71068775570852005</v>
      </c>
    </row>
    <row r="3079" spans="1:11" x14ac:dyDescent="0.35">
      <c r="A3079" s="9" t="str">
        <f>HYPERLINK("http://www.ensembl.org/id/WBGene00000090", "WBGene00000090")</f>
        <v>WBGene00000090</v>
      </c>
      <c r="B3079" s="9" t="str">
        <f>HYPERLINK("http://www.ncbi.nlm.nih.gov/gene/174762", "174762")</f>
        <v>174762</v>
      </c>
      <c r="C3079" s="9" t="str">
        <f>HYPERLINK("http://www.ncbi.nlm.nih.gov/gene/5290", "5290")</f>
        <v>5290</v>
      </c>
      <c r="D3079" t="str">
        <f>"age-1"</f>
        <v>age-1</v>
      </c>
      <c r="E3079" t="s">
        <v>2482</v>
      </c>
      <c r="F3079" t="s">
        <v>11</v>
      </c>
      <c r="G3079" t="s">
        <v>2483</v>
      </c>
      <c r="H3079" s="12">
        <v>-1.3952418053082301</v>
      </c>
      <c r="I3079" s="20">
        <v>-1.6706299854864699</v>
      </c>
      <c r="J3079" s="28">
        <v>9.4794785936588299E-2</v>
      </c>
      <c r="K3079" s="29">
        <v>0.71100092118758196</v>
      </c>
    </row>
    <row r="3080" spans="1:11" x14ac:dyDescent="0.35">
      <c r="A3080" s="9" t="str">
        <f>HYPERLINK("http://www.ensembl.org/id/WBGene00007137", "WBGene00007137")</f>
        <v>WBGene00007137</v>
      </c>
      <c r="B3080" s="9" t="str">
        <f>HYPERLINK("http://www.ncbi.nlm.nih.gov/gene/175561", "175561")</f>
        <v>175561</v>
      </c>
      <c r="C3080" s="9" t="str">
        <f>HYPERLINK("http://www.ncbi.nlm.nih.gov/gene/51451", "51451")</f>
        <v>51451</v>
      </c>
      <c r="D3080" t="str">
        <f>"lcmt-1"</f>
        <v>lcmt-1</v>
      </c>
      <c r="E3080" t="s">
        <v>2486</v>
      </c>
      <c r="F3080" t="s">
        <v>11</v>
      </c>
      <c r="G3080" t="s">
        <v>2487</v>
      </c>
      <c r="H3080" s="12">
        <v>-1.40283216419932</v>
      </c>
      <c r="I3080" s="20">
        <v>-1.6710070478977199</v>
      </c>
      <c r="J3080" s="28">
        <v>9.4720285713420296E-2</v>
      </c>
      <c r="K3080" s="29">
        <v>0.71100092118758196</v>
      </c>
    </row>
    <row r="3081" spans="1:11" x14ac:dyDescent="0.35">
      <c r="A3081" s="9" t="str">
        <f>HYPERLINK("http://www.ensembl.org/id/WBGene00004114", "WBGene00004114")</f>
        <v>WBGene00004114</v>
      </c>
      <c r="B3081" s="9" t="str">
        <f>HYPERLINK("http://www.ncbi.nlm.nih.gov/gene/175759", "175759")</f>
        <v>175759</v>
      </c>
      <c r="C3081" s="9"/>
      <c r="D3081" t="str">
        <f>"pqn-25"</f>
        <v>pqn-25</v>
      </c>
      <c r="E3081" t="s">
        <v>2480</v>
      </c>
      <c r="F3081" t="s">
        <v>11</v>
      </c>
      <c r="H3081" s="12">
        <v>1.51022086020776</v>
      </c>
      <c r="I3081" s="20">
        <v>1.6705718473672699</v>
      </c>
      <c r="J3081" s="28">
        <v>9.4806277078634996E-2</v>
      </c>
      <c r="K3081" s="29">
        <v>0.71100092118758196</v>
      </c>
    </row>
    <row r="3082" spans="1:11" x14ac:dyDescent="0.35">
      <c r="A3082" s="9" t="str">
        <f>HYPERLINK("http://www.ensembl.org/id/WBGene00004199", "WBGene00004199")</f>
        <v>WBGene00004199</v>
      </c>
      <c r="B3082" s="9" t="str">
        <f>HYPERLINK("http://www.ncbi.nlm.nih.gov/gene/178026", "178026")</f>
        <v>178026</v>
      </c>
      <c r="C3082" s="9"/>
      <c r="D3082" t="str">
        <f>"prx-14"</f>
        <v>prx-14</v>
      </c>
      <c r="E3082" t="s">
        <v>2484</v>
      </c>
      <c r="F3082" t="s">
        <v>11</v>
      </c>
      <c r="G3082" t="s">
        <v>2485</v>
      </c>
      <c r="H3082" s="12">
        <v>-1.3970940939715</v>
      </c>
      <c r="I3082" s="20">
        <v>-1.6708183821303</v>
      </c>
      <c r="J3082" s="28">
        <v>9.4757556544890501E-2</v>
      </c>
      <c r="K3082" s="29">
        <v>0.71100092118758196</v>
      </c>
    </row>
    <row r="3083" spans="1:11" x14ac:dyDescent="0.35">
      <c r="A3083" s="9" t="str">
        <f>HYPERLINK("http://www.ensembl.org/id/WBGene00006915", "WBGene00006915")</f>
        <v>WBGene00006915</v>
      </c>
      <c r="B3083" s="9" t="str">
        <f>HYPERLINK("http://www.ncbi.nlm.nih.gov/gene/174743", "174743")</f>
        <v>174743</v>
      </c>
      <c r="C3083" s="9"/>
      <c r="D3083" t="str">
        <f>"vha-6"</f>
        <v>vha-6</v>
      </c>
      <c r="E3083" t="s">
        <v>535</v>
      </c>
      <c r="F3083" t="s">
        <v>11</v>
      </c>
      <c r="G3083" t="s">
        <v>2481</v>
      </c>
      <c r="H3083" s="12">
        <v>-1.37020649248385</v>
      </c>
      <c r="I3083" s="20">
        <v>-1.6706539338822</v>
      </c>
      <c r="J3083" s="28">
        <v>9.4790052801907707E-2</v>
      </c>
      <c r="K3083" s="29">
        <v>0.71100092118758196</v>
      </c>
    </row>
    <row r="3084" spans="1:11" x14ac:dyDescent="0.35">
      <c r="A3084" s="9" t="str">
        <f>HYPERLINK("http://www.ensembl.org/id/WBGene00018303", "WBGene00018303")</f>
        <v>WBGene00018303</v>
      </c>
      <c r="B3084" s="9" t="str">
        <f>HYPERLINK("http://www.ncbi.nlm.nih.gov/gene/185632", "185632")</f>
        <v>185632</v>
      </c>
      <c r="C3084" s="9"/>
      <c r="D3084" t="str">
        <f>"F41G3.10"</f>
        <v>F41G3.10</v>
      </c>
      <c r="F3084" t="s">
        <v>11</v>
      </c>
      <c r="H3084" s="12">
        <v>1.67982033050878</v>
      </c>
      <c r="I3084" s="20">
        <v>1.67030543719685</v>
      </c>
      <c r="J3084" s="28">
        <v>9.4858947979592101E-2</v>
      </c>
      <c r="K3084" s="29">
        <v>0.711165104482951</v>
      </c>
    </row>
    <row r="3085" spans="1:11" x14ac:dyDescent="0.35">
      <c r="A3085" s="9" t="str">
        <f>HYPERLINK("http://www.ensembl.org/id/WBGene00219423", "WBGene00219423")</f>
        <v>WBGene00219423</v>
      </c>
      <c r="B3085" s="9" t="str">
        <f>HYPERLINK("http://www.ncbi.nlm.nih.gov/gene/24104233", "24104233")</f>
        <v>24104233</v>
      </c>
      <c r="C3085" s="9"/>
      <c r="D3085" t="str">
        <f>"C23H5.15"</f>
        <v>C23H5.15</v>
      </c>
      <c r="F3085" t="s">
        <v>11</v>
      </c>
      <c r="H3085" s="12">
        <v>1.5899175343578</v>
      </c>
      <c r="I3085" s="20">
        <v>1.66817906747845</v>
      </c>
      <c r="J3085" s="28">
        <v>9.5280184963507999E-2</v>
      </c>
      <c r="K3085" s="29">
        <v>0.71407151592821505</v>
      </c>
    </row>
    <row r="3086" spans="1:11" x14ac:dyDescent="0.35">
      <c r="A3086" s="9" t="str">
        <f>HYPERLINK("http://www.ensembl.org/id/WBGene00003805", "WBGene00003805")</f>
        <v>WBGene00003805</v>
      </c>
      <c r="B3086" s="9" t="str">
        <f>HYPERLINK("http://www.ncbi.nlm.nih.gov/gene/174663", "174663")</f>
        <v>174663</v>
      </c>
      <c r="C3086" s="9"/>
      <c r="D3086" t="str">
        <f>"npp-19"</f>
        <v>npp-19</v>
      </c>
      <c r="E3086" t="s">
        <v>2488</v>
      </c>
      <c r="F3086" t="s">
        <v>11</v>
      </c>
      <c r="G3086" t="s">
        <v>2489</v>
      </c>
      <c r="H3086" s="12">
        <v>-1.4048852311964899</v>
      </c>
      <c r="I3086" s="20">
        <v>-1.66803676463335</v>
      </c>
      <c r="J3086" s="28">
        <v>9.5308428768398498E-2</v>
      </c>
      <c r="K3086" s="29">
        <v>0.71407151592821505</v>
      </c>
    </row>
    <row r="3087" spans="1:11" x14ac:dyDescent="0.35">
      <c r="A3087" s="9" t="str">
        <f>HYPERLINK("http://www.ensembl.org/id/WBGene00000441", "WBGene00000441")</f>
        <v>WBGene00000441</v>
      </c>
      <c r="B3087" s="9" t="str">
        <f>HYPERLINK("http://www.ncbi.nlm.nih.gov/gene/180671", "180671")</f>
        <v>180671</v>
      </c>
      <c r="C3087" s="9"/>
      <c r="D3087" t="str">
        <f>"ceh-18"</f>
        <v>ceh-18</v>
      </c>
      <c r="E3087" t="s">
        <v>2490</v>
      </c>
      <c r="F3087" t="s">
        <v>11</v>
      </c>
      <c r="G3087" t="s">
        <v>2491</v>
      </c>
      <c r="H3087" s="12">
        <v>1.41617481746721</v>
      </c>
      <c r="I3087" s="20">
        <v>1.66756470553784</v>
      </c>
      <c r="J3087" s="28">
        <v>9.5402169537587303E-2</v>
      </c>
      <c r="K3087" s="29">
        <v>0.71413799433873204</v>
      </c>
    </row>
    <row r="3088" spans="1:11" x14ac:dyDescent="0.35">
      <c r="A3088" s="9" t="str">
        <f>HYPERLINK("http://www.ensembl.org/id/WBGene00006688", "WBGene00006688")</f>
        <v>WBGene00006688</v>
      </c>
      <c r="B3088" s="9" t="str">
        <f>HYPERLINK("http://www.ncbi.nlm.nih.gov/gene/180164", "180164")</f>
        <v>180164</v>
      </c>
      <c r="C3088" s="9"/>
      <c r="D3088" t="str">
        <f>"twk-36"</f>
        <v>twk-36</v>
      </c>
      <c r="E3088" t="s">
        <v>894</v>
      </c>
      <c r="F3088" t="s">
        <v>11</v>
      </c>
      <c r="G3088" t="s">
        <v>895</v>
      </c>
      <c r="H3088" s="12">
        <v>11.8421008078467</v>
      </c>
      <c r="I3088" s="20">
        <v>1.6675966035038701</v>
      </c>
      <c r="J3088" s="28">
        <v>9.5395832963392602E-2</v>
      </c>
      <c r="K3088" s="29">
        <v>0.71413799433873204</v>
      </c>
    </row>
    <row r="3089" spans="1:11" x14ac:dyDescent="0.35">
      <c r="A3089" s="9" t="str">
        <f>HYPERLINK("http://www.ensembl.org/id/WBGene00006996", "WBGene00006996")</f>
        <v>WBGene00006996</v>
      </c>
      <c r="B3089" s="9" t="str">
        <f>HYPERLINK("http://www.ncbi.nlm.nih.gov/gene/174284", "174284")</f>
        <v>174284</v>
      </c>
      <c r="C3089" s="9" t="str">
        <f>HYPERLINK("http://www.ncbi.nlm.nih.gov/gene/79699", "79699")</f>
        <v>79699</v>
      </c>
      <c r="D3089" t="str">
        <f>"zyg-11"</f>
        <v>zyg-11</v>
      </c>
      <c r="E3089" t="s">
        <v>2492</v>
      </c>
      <c r="F3089" t="s">
        <v>11</v>
      </c>
      <c r="G3089" t="s">
        <v>2493</v>
      </c>
      <c r="H3089" s="12">
        <v>-1.3732871979565899</v>
      </c>
      <c r="I3089" s="20">
        <v>-1.6675251746292501</v>
      </c>
      <c r="J3089" s="28">
        <v>9.5410022873871195E-2</v>
      </c>
      <c r="K3089" s="29">
        <v>0.71413799433873204</v>
      </c>
    </row>
    <row r="3090" spans="1:11" x14ac:dyDescent="0.35">
      <c r="A3090" s="9" t="str">
        <f>HYPERLINK("http://www.ensembl.org/id/WBGene00016913", "WBGene00016913")</f>
        <v>WBGene00016913</v>
      </c>
      <c r="B3090" s="9" t="str">
        <f>HYPERLINK("http://www.ncbi.nlm.nih.gov/gene/180980", "180980")</f>
        <v>180980</v>
      </c>
      <c r="C3090" s="9" t="str">
        <f>HYPERLINK("http://www.ncbi.nlm.nih.gov/gene/3915", "3915")</f>
        <v>3915</v>
      </c>
      <c r="D3090" t="str">
        <f>"lam-2"</f>
        <v>lam-2</v>
      </c>
      <c r="E3090" t="s">
        <v>2494</v>
      </c>
      <c r="F3090" t="s">
        <v>11</v>
      </c>
      <c r="H3090" s="12">
        <v>1.35631962327177</v>
      </c>
      <c r="I3090" s="20">
        <v>1.66729066212454</v>
      </c>
      <c r="J3090" s="28">
        <v>9.5456622521511797E-2</v>
      </c>
      <c r="K3090" s="29">
        <v>0.71425541450195995</v>
      </c>
    </row>
    <row r="3091" spans="1:11" x14ac:dyDescent="0.35">
      <c r="A3091" s="9" t="str">
        <f>HYPERLINK("http://www.ensembl.org/id/WBGene00010350", "WBGene00010350")</f>
        <v>WBGene00010350</v>
      </c>
      <c r="B3091" s="9" t="str">
        <f>HYPERLINK("http://www.ncbi.nlm.nih.gov/gene/259600", "259600")</f>
        <v>259600</v>
      </c>
      <c r="C3091" s="9"/>
      <c r="D3091" t="str">
        <f>"H01G02.3"</f>
        <v>H01G02.3</v>
      </c>
      <c r="F3091" t="s">
        <v>11</v>
      </c>
      <c r="G3091" t="s">
        <v>25</v>
      </c>
      <c r="H3091" s="12">
        <v>1.43850524394954</v>
      </c>
      <c r="I3091" s="20">
        <v>1.66660877660216</v>
      </c>
      <c r="J3091" s="28">
        <v>9.5592222577226799E-2</v>
      </c>
      <c r="K3091" s="29">
        <v>0.71483648650773701</v>
      </c>
    </row>
    <row r="3092" spans="1:11" x14ac:dyDescent="0.35">
      <c r="A3092" s="9" t="str">
        <f>HYPERLINK("http://www.ensembl.org/id/WBGene00011887", "WBGene00011887")</f>
        <v>WBGene00011887</v>
      </c>
      <c r="B3092" s="9" t="str">
        <f>HYPERLINK("http://www.ncbi.nlm.nih.gov/gene/174425", "174425")</f>
        <v>174425</v>
      </c>
      <c r="C3092" s="9" t="str">
        <f>HYPERLINK("http://www.ncbi.nlm.nih.gov/gene/11105", "11105")</f>
        <v>11105</v>
      </c>
      <c r="D3092" t="str">
        <f>"set-17"</f>
        <v>set-17</v>
      </c>
      <c r="E3092" t="s">
        <v>2055</v>
      </c>
      <c r="F3092" t="s">
        <v>11</v>
      </c>
      <c r="G3092" t="s">
        <v>2495</v>
      </c>
      <c r="H3092" s="12">
        <v>-1.40914355845396</v>
      </c>
      <c r="I3092" s="20">
        <v>-1.6665890164461501</v>
      </c>
      <c r="J3092" s="28">
        <v>9.5596154388856006E-2</v>
      </c>
      <c r="K3092" s="29">
        <v>0.71483648650773701</v>
      </c>
    </row>
    <row r="3093" spans="1:11" x14ac:dyDescent="0.35">
      <c r="A3093" s="9" t="str">
        <f>HYPERLINK("http://www.ensembl.org/id/WBGene00016749", "WBGene00016749")</f>
        <v>WBGene00016749</v>
      </c>
      <c r="B3093" s="9" t="str">
        <f>HYPERLINK("http://www.ncbi.nlm.nih.gov/gene/172322", "172322")</f>
        <v>172322</v>
      </c>
      <c r="C3093" s="9"/>
      <c r="D3093" t="str">
        <f>"C48E7.1"</f>
        <v>C48E7.1</v>
      </c>
      <c r="F3093" t="s">
        <v>11</v>
      </c>
      <c r="G3093" t="s">
        <v>25</v>
      </c>
      <c r="H3093" s="12">
        <v>1.37613350994089</v>
      </c>
      <c r="I3093" s="20">
        <v>1.66635032563734</v>
      </c>
      <c r="J3093" s="28">
        <v>9.5643658539857707E-2</v>
      </c>
      <c r="K3093" s="29">
        <v>0.71496032812098098</v>
      </c>
    </row>
    <row r="3094" spans="1:11" x14ac:dyDescent="0.35">
      <c r="A3094" s="9" t="str">
        <f>HYPERLINK("http://www.ensembl.org/id/WBGene00004083", "WBGene00004083")</f>
        <v>WBGene00004083</v>
      </c>
      <c r="B3094" s="9" t="str">
        <f>HYPERLINK("http://www.ncbi.nlm.nih.gov/gene/182242", "182242")</f>
        <v>182242</v>
      </c>
      <c r="C3094" s="9"/>
      <c r="D3094" t="str">
        <f>"pph-1"</f>
        <v>pph-1</v>
      </c>
      <c r="E3094" t="s">
        <v>2496</v>
      </c>
      <c r="F3094" t="s">
        <v>11</v>
      </c>
      <c r="G3094" t="s">
        <v>2497</v>
      </c>
      <c r="H3094" s="12">
        <v>1.3593986882878899</v>
      </c>
      <c r="I3094" s="20">
        <v>1.6659594793877599</v>
      </c>
      <c r="J3094" s="28">
        <v>9.5721485417161301E-2</v>
      </c>
      <c r="K3094" s="29">
        <v>0.71531068630301697</v>
      </c>
    </row>
    <row r="3095" spans="1:11" x14ac:dyDescent="0.35">
      <c r="A3095" s="9" t="str">
        <f>HYPERLINK("http://www.ensembl.org/id/WBGene00077531", "WBGene00077531")</f>
        <v>WBGene00077531</v>
      </c>
      <c r="B3095" s="9" t="str">
        <f>HYPERLINK("http://www.ncbi.nlm.nih.gov/gene/6418652", "6418652")</f>
        <v>6418652</v>
      </c>
      <c r="C3095" s="9"/>
      <c r="D3095" t="str">
        <f>"F40G9.15"</f>
        <v>F40G9.15</v>
      </c>
      <c r="F3095" t="s">
        <v>11</v>
      </c>
      <c r="H3095" s="12">
        <v>2.0870273436007101</v>
      </c>
      <c r="I3095" s="20">
        <v>1.66545727643215</v>
      </c>
      <c r="J3095" s="28">
        <v>9.58215605065314E-2</v>
      </c>
      <c r="K3095" s="29">
        <v>0.71544155675084897</v>
      </c>
    </row>
    <row r="3096" spans="1:11" x14ac:dyDescent="0.35">
      <c r="A3096" s="9" t="str">
        <f>HYPERLINK("http://www.ensembl.org/id/WBGene00006775", "WBGene00006775")</f>
        <v>WBGene00006775</v>
      </c>
      <c r="B3096" s="9" t="str">
        <f>HYPERLINK("http://www.ncbi.nlm.nih.gov/gene/191623", "191623")</f>
        <v>191623</v>
      </c>
      <c r="C3096" s="9"/>
      <c r="D3096" t="str">
        <f>"unc-39"</f>
        <v>unc-39</v>
      </c>
      <c r="E3096" t="s">
        <v>2498</v>
      </c>
      <c r="F3096" t="s">
        <v>11</v>
      </c>
      <c r="G3096" t="s">
        <v>1012</v>
      </c>
      <c r="H3096" s="12">
        <v>1.70954947152267</v>
      </c>
      <c r="I3096" s="20">
        <v>1.6656544180635999</v>
      </c>
      <c r="J3096" s="28">
        <v>9.5782265677954295E-2</v>
      </c>
      <c r="K3096" s="29">
        <v>0.71544155675084897</v>
      </c>
    </row>
    <row r="3097" spans="1:11" x14ac:dyDescent="0.35">
      <c r="A3097" s="9" t="str">
        <f>HYPERLINK("http://www.ensembl.org/id/WBGene00045399", "WBGene00045399")</f>
        <v>WBGene00045399</v>
      </c>
      <c r="B3097" s="9" t="str">
        <f>HYPERLINK("http://www.ncbi.nlm.nih.gov/gene/6418611", "6418611")</f>
        <v>6418611</v>
      </c>
      <c r="C3097" s="9"/>
      <c r="D3097" t="str">
        <f>"Y47G6A.33"</f>
        <v>Y47G6A.33</v>
      </c>
      <c r="F3097" t="s">
        <v>11</v>
      </c>
      <c r="H3097" s="12">
        <v>1.5218929179071401</v>
      </c>
      <c r="I3097" s="20">
        <v>1.66540547123245</v>
      </c>
      <c r="J3097" s="28">
        <v>9.5831888606590407E-2</v>
      </c>
      <c r="K3097" s="29">
        <v>0.71544155675084897</v>
      </c>
    </row>
    <row r="3098" spans="1:11" x14ac:dyDescent="0.35">
      <c r="A3098" s="9" t="str">
        <f>HYPERLINK("http://www.ensembl.org/id/WBGene00012069", "WBGene00012069")</f>
        <v>WBGene00012069</v>
      </c>
      <c r="B3098" s="9" t="str">
        <f>HYPERLINK("http://www.ncbi.nlm.nih.gov/gene/188957", "188957")</f>
        <v>188957</v>
      </c>
      <c r="C3098" s="9"/>
      <c r="D3098" t="str">
        <f>"T26H5.4"</f>
        <v>T26H5.4</v>
      </c>
      <c r="F3098" t="s">
        <v>11</v>
      </c>
      <c r="H3098" s="12">
        <v>-1.93411537992629</v>
      </c>
      <c r="I3098" s="20">
        <v>-1.6645674170094999</v>
      </c>
      <c r="J3098" s="28">
        <v>9.5999090424497197E-2</v>
      </c>
      <c r="K3098" s="29">
        <v>0.71645832795492004</v>
      </c>
    </row>
    <row r="3099" spans="1:11" x14ac:dyDescent="0.35">
      <c r="A3099" s="9" t="str">
        <f>HYPERLINK("http://www.ensembl.org/id/WBGene00000792", "WBGene00000792")</f>
        <v>WBGene00000792</v>
      </c>
      <c r="B3099" s="9" t="str">
        <f>HYPERLINK("http://www.ncbi.nlm.nih.gov/gene/181771", "181771")</f>
        <v>181771</v>
      </c>
      <c r="C3099" s="9"/>
      <c r="D3099" t="str">
        <f>"crb-1"</f>
        <v>crb-1</v>
      </c>
      <c r="E3099" t="s">
        <v>2499</v>
      </c>
      <c r="F3099" t="s">
        <v>11</v>
      </c>
      <c r="G3099" t="s">
        <v>2500</v>
      </c>
      <c r="H3099" s="12">
        <v>1.4227021698395499</v>
      </c>
      <c r="I3099" s="20">
        <v>1.66428337770656</v>
      </c>
      <c r="J3099" s="28">
        <v>9.6055812604777302E-2</v>
      </c>
      <c r="K3099" s="29">
        <v>0.71665017954342403</v>
      </c>
    </row>
    <row r="3100" spans="1:11" x14ac:dyDescent="0.35">
      <c r="A3100" s="9" t="str">
        <f>HYPERLINK("http://www.ensembl.org/id/WBGene00010974", "WBGene00010974")</f>
        <v>WBGene00010974</v>
      </c>
      <c r="B3100" s="9" t="str">
        <f>HYPERLINK("http://www.ncbi.nlm.nih.gov/gene/187516", "187516")</f>
        <v>187516</v>
      </c>
      <c r="C3100" s="9" t="str">
        <f>HYPERLINK("http://www.ncbi.nlm.nih.gov/gene/129880", "129880")</f>
        <v>129880</v>
      </c>
      <c r="D3100" t="str">
        <f>"bbs-5"</f>
        <v>bbs-5</v>
      </c>
      <c r="E3100" t="s">
        <v>2501</v>
      </c>
      <c r="F3100" t="s">
        <v>11</v>
      </c>
      <c r="G3100" t="s">
        <v>2502</v>
      </c>
      <c r="H3100" s="12">
        <v>1.92497679308412</v>
      </c>
      <c r="I3100" s="20">
        <v>1.66297791843105</v>
      </c>
      <c r="J3100" s="28">
        <v>9.6316855697361606E-2</v>
      </c>
      <c r="K3100" s="29">
        <v>0.71805500033996905</v>
      </c>
    </row>
    <row r="3101" spans="1:11" x14ac:dyDescent="0.35">
      <c r="A3101" s="9" t="str">
        <f>HYPERLINK("http://www.ensembl.org/id/WBGene00019211", "WBGene00019211")</f>
        <v>WBGene00019211</v>
      </c>
      <c r="B3101" s="9" t="str">
        <f>HYPERLINK("http://www.ncbi.nlm.nih.gov/gene/181788", "181788")</f>
        <v>181788</v>
      </c>
      <c r="C3101" s="9" t="str">
        <f>HYPERLINK("http://www.ncbi.nlm.nih.gov/gene/79660", "79660")</f>
        <v>79660</v>
      </c>
      <c r="D3101" t="str">
        <f>"H18N23.2"</f>
        <v>H18N23.2</v>
      </c>
      <c r="E3101" t="s">
        <v>2503</v>
      </c>
      <c r="F3101" t="s">
        <v>11</v>
      </c>
      <c r="G3101" t="s">
        <v>2504</v>
      </c>
      <c r="H3101" s="12">
        <v>-1.3783961419803701</v>
      </c>
      <c r="I3101" s="20">
        <v>-1.66287561427819</v>
      </c>
      <c r="J3101" s="28">
        <v>9.6337336668134002E-2</v>
      </c>
      <c r="K3101" s="29">
        <v>0.71805500033996905</v>
      </c>
    </row>
    <row r="3102" spans="1:11" x14ac:dyDescent="0.35">
      <c r="A3102" s="9" t="str">
        <f>HYPERLINK("http://www.ensembl.org/id/WBGene00005937", "WBGene00005937")</f>
        <v>WBGene00005937</v>
      </c>
      <c r="B3102" s="9" t="str">
        <f>HYPERLINK("http://www.ncbi.nlm.nih.gov/gene/183984", "183984")</f>
        <v>183984</v>
      </c>
      <c r="C3102" s="9"/>
      <c r="D3102" t="str">
        <f>"srx-46"</f>
        <v>srx-46</v>
      </c>
      <c r="E3102" t="s">
        <v>1477</v>
      </c>
      <c r="F3102" t="s">
        <v>11</v>
      </c>
      <c r="G3102" t="s">
        <v>25</v>
      </c>
      <c r="H3102" s="12">
        <v>9.0991021730119499</v>
      </c>
      <c r="I3102" s="20">
        <v>1.6630520602553001</v>
      </c>
      <c r="J3102" s="28">
        <v>9.6302014914002795E-2</v>
      </c>
      <c r="K3102" s="29">
        <v>0.71805500033996905</v>
      </c>
    </row>
    <row r="3103" spans="1:11" x14ac:dyDescent="0.35">
      <c r="A3103" s="9" t="str">
        <f>HYPERLINK("http://www.ensembl.org/id/WBGene00000020", "WBGene00000020")</f>
        <v>WBGene00000020</v>
      </c>
      <c r="B3103" s="9" t="str">
        <f>HYPERLINK("http://www.ncbi.nlm.nih.gov/gene/171782", "171782")</f>
        <v>171782</v>
      </c>
      <c r="C3103" s="9" t="str">
        <f>HYPERLINK("http://www.ncbi.nlm.nih.gov/gene/19", "19")</f>
        <v>19</v>
      </c>
      <c r="D3103" t="str">
        <f>"abt-2"</f>
        <v>abt-2</v>
      </c>
      <c r="E3103" t="s">
        <v>653</v>
      </c>
      <c r="F3103" t="s">
        <v>11</v>
      </c>
      <c r="G3103" t="s">
        <v>654</v>
      </c>
      <c r="H3103" s="12">
        <v>1.39633214358556</v>
      </c>
      <c r="I3103" s="20">
        <v>1.6621537120493</v>
      </c>
      <c r="J3103" s="28">
        <v>9.6481958299886497E-2</v>
      </c>
      <c r="K3103" s="29">
        <v>0.71866928706549904</v>
      </c>
    </row>
    <row r="3104" spans="1:11" x14ac:dyDescent="0.35">
      <c r="A3104" s="9" t="str">
        <f>HYPERLINK("http://www.ensembl.org/id/WBGene00004112", "WBGene00004112")</f>
        <v>WBGene00004112</v>
      </c>
      <c r="B3104" s="9" t="str">
        <f>HYPERLINK("http://www.ncbi.nlm.nih.gov/gene/177369", "177369")</f>
        <v>177369</v>
      </c>
      <c r="C3104" s="9"/>
      <c r="D3104" t="str">
        <f>"pqn-22"</f>
        <v>pqn-22</v>
      </c>
      <c r="E3104" t="s">
        <v>432</v>
      </c>
      <c r="F3104" t="s">
        <v>11</v>
      </c>
      <c r="H3104" s="12">
        <v>-1.4583438129958399</v>
      </c>
      <c r="I3104" s="20">
        <v>-1.6621973064390301</v>
      </c>
      <c r="J3104" s="28">
        <v>9.6473219932258006E-2</v>
      </c>
      <c r="K3104" s="29">
        <v>0.71866928706549904</v>
      </c>
    </row>
    <row r="3105" spans="1:11" x14ac:dyDescent="0.35">
      <c r="A3105" s="9" t="str">
        <f>HYPERLINK("http://www.ensembl.org/id/WBGene00001490", "WBGene00001490")</f>
        <v>WBGene00001490</v>
      </c>
      <c r="B3105" s="9" t="str">
        <f>HYPERLINK("http://www.ncbi.nlm.nih.gov/gene/186110", "186110")</f>
        <v>186110</v>
      </c>
      <c r="C3105" s="9"/>
      <c r="D3105" t="str">
        <f>"frm-3"</f>
        <v>frm-3</v>
      </c>
      <c r="E3105" t="s">
        <v>1383</v>
      </c>
      <c r="F3105" t="s">
        <v>11</v>
      </c>
      <c r="G3105" t="s">
        <v>2505</v>
      </c>
      <c r="H3105" s="12">
        <v>1.48314173578238</v>
      </c>
      <c r="I3105" s="20">
        <v>1.66135633518305</v>
      </c>
      <c r="J3105" s="28">
        <v>9.6641901897443094E-2</v>
      </c>
      <c r="K3105" s="29">
        <v>0.71962867716478196</v>
      </c>
    </row>
    <row r="3106" spans="1:11" x14ac:dyDescent="0.35">
      <c r="A3106" s="9" t="str">
        <f>HYPERLINK("http://www.ensembl.org/id/WBGene00016328", "WBGene00016328")</f>
        <v>WBGene00016328</v>
      </c>
      <c r="B3106" s="9" t="str">
        <f>HYPERLINK("http://www.ncbi.nlm.nih.gov/gene/183125", "183125")</f>
        <v>183125</v>
      </c>
      <c r="C3106" s="9" t="str">
        <f>HYPERLINK("http://www.ncbi.nlm.nih.gov/gene/10846", "10846")</f>
        <v>10846</v>
      </c>
      <c r="D3106" t="str">
        <f>"pde-5"</f>
        <v>pde-5</v>
      </c>
      <c r="E3106" t="s">
        <v>2506</v>
      </c>
      <c r="F3106" t="s">
        <v>11</v>
      </c>
      <c r="G3106" t="s">
        <v>2507</v>
      </c>
      <c r="H3106" s="12">
        <v>4.2318519863345596</v>
      </c>
      <c r="I3106" s="20">
        <v>1.6609559124426601</v>
      </c>
      <c r="J3106" s="28">
        <v>9.6722301534765603E-2</v>
      </c>
      <c r="K3106" s="29">
        <v>0.71986317387019505</v>
      </c>
    </row>
    <row r="3107" spans="1:11" x14ac:dyDescent="0.35">
      <c r="A3107" s="9" t="str">
        <f>HYPERLINK("http://www.ensembl.org/id/WBGene00022389", "WBGene00022389")</f>
        <v>WBGene00022389</v>
      </c>
      <c r="B3107" s="9" t="str">
        <f>HYPERLINK("http://www.ncbi.nlm.nih.gov/gene/190808", "190808")</f>
        <v>190808</v>
      </c>
      <c r="C3107" s="9" t="str">
        <f>HYPERLINK("http://www.ncbi.nlm.nih.gov/gene/5151", "5151")</f>
        <v>5151</v>
      </c>
      <c r="D3107" t="str">
        <f>"pde-6"</f>
        <v>pde-6</v>
      </c>
      <c r="E3107" t="s">
        <v>2508</v>
      </c>
      <c r="F3107" t="s">
        <v>11</v>
      </c>
      <c r="G3107" t="s">
        <v>2509</v>
      </c>
      <c r="H3107" s="12">
        <v>-1.4066691848600901</v>
      </c>
      <c r="I3107" s="20">
        <v>-1.66088919331931</v>
      </c>
      <c r="J3107" s="28">
        <v>9.6735703058381098E-2</v>
      </c>
      <c r="K3107" s="29">
        <v>0.71986317387019505</v>
      </c>
    </row>
    <row r="3108" spans="1:11" x14ac:dyDescent="0.35">
      <c r="A3108" s="9" t="str">
        <f>HYPERLINK("http://www.ensembl.org/id/WBGene00015991", "WBGene00015991")</f>
        <v>WBGene00015991</v>
      </c>
      <c r="B3108" s="9"/>
      <c r="C3108" s="9"/>
      <c r="D3108" t="str">
        <f>"C18H2.4"</f>
        <v>C18H2.4</v>
      </c>
      <c r="F3108" t="s">
        <v>80</v>
      </c>
      <c r="H3108" s="12">
        <v>8.6985177127293891</v>
      </c>
      <c r="I3108" s="20">
        <v>1.6602119500463499</v>
      </c>
      <c r="J3108" s="28">
        <v>9.6871821462898702E-2</v>
      </c>
      <c r="K3108" s="29">
        <v>0.72041207168385502</v>
      </c>
    </row>
    <row r="3109" spans="1:11" x14ac:dyDescent="0.35">
      <c r="A3109" s="9" t="str">
        <f>HYPERLINK("http://www.ensembl.org/id/WBGene00016468", "WBGene00016468")</f>
        <v>WBGene00016468</v>
      </c>
      <c r="B3109" s="9" t="str">
        <f>HYPERLINK("http://www.ncbi.nlm.nih.gov/gene/180975", "180975")</f>
        <v>180975</v>
      </c>
      <c r="C3109" s="9"/>
      <c r="D3109" t="str">
        <f>"C36B7.5"</f>
        <v>C36B7.5</v>
      </c>
      <c r="F3109" t="s">
        <v>11</v>
      </c>
      <c r="H3109" s="12">
        <v>1.55053385354552</v>
      </c>
      <c r="I3109" s="20">
        <v>1.6602828826240501</v>
      </c>
      <c r="J3109" s="28">
        <v>9.6857557622063106E-2</v>
      </c>
      <c r="K3109" s="29">
        <v>0.72041207168385502</v>
      </c>
    </row>
    <row r="3110" spans="1:11" x14ac:dyDescent="0.35">
      <c r="A3110" s="9" t="str">
        <f>HYPERLINK("http://www.ensembl.org/id/WBGene00010470", "WBGene00010470")</f>
        <v>WBGene00010470</v>
      </c>
      <c r="B3110" s="9" t="str">
        <f>HYPERLINK("http://www.ncbi.nlm.nih.gov/gene/259654", "259654")</f>
        <v>259654</v>
      </c>
      <c r="C3110" s="9"/>
      <c r="D3110" t="str">
        <f>"cdr-4"</f>
        <v>cdr-4</v>
      </c>
      <c r="E3110" t="s">
        <v>2512</v>
      </c>
      <c r="F3110" t="s">
        <v>11</v>
      </c>
      <c r="G3110" t="s">
        <v>2513</v>
      </c>
      <c r="H3110" s="12">
        <v>1.4150074849836001</v>
      </c>
      <c r="I3110" s="20">
        <v>1.65949358009401</v>
      </c>
      <c r="J3110" s="28">
        <v>9.7016373241754994E-2</v>
      </c>
      <c r="K3110" s="29">
        <v>0.72045078126830497</v>
      </c>
    </row>
    <row r="3111" spans="1:11" x14ac:dyDescent="0.35">
      <c r="A3111" s="9" t="str">
        <f>HYPERLINK("http://www.ensembl.org/id/WBGene00001159", "WBGene00001159")</f>
        <v>WBGene00001159</v>
      </c>
      <c r="B3111" s="9" t="str">
        <f>HYPERLINK("http://www.ncbi.nlm.nih.gov/gene/174334", "174334")</f>
        <v>174334</v>
      </c>
      <c r="C3111" s="9"/>
      <c r="D3111" t="str">
        <f>"eff-1"</f>
        <v>eff-1</v>
      </c>
      <c r="E3111" t="s">
        <v>2510</v>
      </c>
      <c r="F3111" t="s">
        <v>11</v>
      </c>
      <c r="G3111" t="s">
        <v>2511</v>
      </c>
      <c r="H3111" s="12">
        <v>1.5364415668693701</v>
      </c>
      <c r="I3111" s="20">
        <v>1.6594113642386401</v>
      </c>
      <c r="J3111" s="28">
        <v>9.7032927867522004E-2</v>
      </c>
      <c r="K3111" s="29">
        <v>0.72045078126830497</v>
      </c>
    </row>
    <row r="3112" spans="1:11" x14ac:dyDescent="0.35">
      <c r="A3112" s="9" t="str">
        <f>HYPERLINK("http://www.ensembl.org/id/WBGene00008670", "WBGene00008670")</f>
        <v>WBGene00008670</v>
      </c>
      <c r="B3112" s="9" t="str">
        <f>HYPERLINK("http://www.ncbi.nlm.nih.gov/gene/179331", "179331")</f>
        <v>179331</v>
      </c>
      <c r="C3112" s="9"/>
      <c r="D3112" t="str">
        <f>"eif-2Bdelta"</f>
        <v>eif-2Bdelta</v>
      </c>
      <c r="E3112" t="s">
        <v>1914</v>
      </c>
      <c r="F3112" t="s">
        <v>11</v>
      </c>
      <c r="G3112" t="s">
        <v>2514</v>
      </c>
      <c r="H3112" s="12">
        <v>-1.3993270826894599</v>
      </c>
      <c r="I3112" s="20">
        <v>-1.6596103615972</v>
      </c>
      <c r="J3112" s="28">
        <v>9.6992862510380098E-2</v>
      </c>
      <c r="K3112" s="29">
        <v>0.72045078126830497</v>
      </c>
    </row>
    <row r="3113" spans="1:11" x14ac:dyDescent="0.35">
      <c r="A3113" s="9" t="str">
        <f>HYPERLINK("http://www.ensembl.org/id/WBGene00009986", "WBGene00009986")</f>
        <v>WBGene00009986</v>
      </c>
      <c r="B3113" s="9" t="str">
        <f>HYPERLINK("http://www.ncbi.nlm.nih.gov/gene/186175", "186175")</f>
        <v>186175</v>
      </c>
      <c r="C3113" s="9"/>
      <c r="D3113" t="str">
        <f>"F53F4.2"</f>
        <v>F53F4.2</v>
      </c>
      <c r="F3113" t="s">
        <v>11</v>
      </c>
      <c r="H3113" s="12">
        <v>4.49218944537557</v>
      </c>
      <c r="I3113" s="20">
        <v>1.6597758839554799</v>
      </c>
      <c r="J3113" s="28">
        <v>9.6959546958895595E-2</v>
      </c>
      <c r="K3113" s="29">
        <v>0.72045078126830497</v>
      </c>
    </row>
    <row r="3114" spans="1:11" x14ac:dyDescent="0.35">
      <c r="A3114" s="9" t="str">
        <f>HYPERLINK("http://www.ensembl.org/id/WBGene00020782", "WBGene00020782")</f>
        <v>WBGene00020782</v>
      </c>
      <c r="B3114" s="9" t="str">
        <f>HYPERLINK("http://www.ncbi.nlm.nih.gov/gene/174032", "174032")</f>
        <v>174032</v>
      </c>
      <c r="C3114" s="9"/>
      <c r="D3114" t="str">
        <f>"T24H7.3"</f>
        <v>T24H7.3</v>
      </c>
      <c r="F3114" t="s">
        <v>11</v>
      </c>
      <c r="G3114" t="s">
        <v>2515</v>
      </c>
      <c r="H3114" s="12">
        <v>-1.4251660111591</v>
      </c>
      <c r="I3114" s="20">
        <v>-1.6598242676583399</v>
      </c>
      <c r="J3114" s="28">
        <v>9.6949810246338294E-2</v>
      </c>
      <c r="K3114" s="29">
        <v>0.72045078126830497</v>
      </c>
    </row>
    <row r="3115" spans="1:11" x14ac:dyDescent="0.35">
      <c r="A3115" s="9" t="str">
        <f>HYPERLINK("http://www.ensembl.org/id/WBGene00016113", "WBGene00016113")</f>
        <v>WBGene00016113</v>
      </c>
      <c r="B3115" s="9" t="str">
        <f>HYPERLINK("http://www.ncbi.nlm.nih.gov/gene/173964", "173964")</f>
        <v>173964</v>
      </c>
      <c r="C3115" s="9" t="str">
        <f>HYPERLINK("http://www.ncbi.nlm.nih.gov/gene/1939", "1939")</f>
        <v>1939</v>
      </c>
      <c r="D3115" t="str">
        <f>"eif-2D"</f>
        <v>eif-2D</v>
      </c>
      <c r="E3115" t="s">
        <v>1914</v>
      </c>
      <c r="F3115" t="s">
        <v>11</v>
      </c>
      <c r="G3115" t="s">
        <v>2516</v>
      </c>
      <c r="H3115" s="12">
        <v>-1.42218871591383</v>
      </c>
      <c r="I3115" s="20">
        <v>-1.6589234649257401</v>
      </c>
      <c r="J3115" s="28">
        <v>9.7131215624166406E-2</v>
      </c>
      <c r="K3115" s="29">
        <v>0.72056207155797503</v>
      </c>
    </row>
    <row r="3116" spans="1:11" x14ac:dyDescent="0.35">
      <c r="A3116" s="9" t="str">
        <f>HYPERLINK("http://www.ensembl.org/id/WBGene00009387", "WBGene00009387")</f>
        <v>WBGene00009387</v>
      </c>
      <c r="B3116" s="9" t="str">
        <f>HYPERLINK("http://www.ncbi.nlm.nih.gov/gene/185260", "185260")</f>
        <v>185260</v>
      </c>
      <c r="C3116" s="9"/>
      <c r="D3116" t="str">
        <f>"glb-15"</f>
        <v>glb-15</v>
      </c>
      <c r="E3116" t="s">
        <v>633</v>
      </c>
      <c r="F3116" t="s">
        <v>11</v>
      </c>
      <c r="G3116" t="s">
        <v>867</v>
      </c>
      <c r="H3116" s="12">
        <v>1.70868923719333</v>
      </c>
      <c r="I3116" s="20">
        <v>1.6588725749536</v>
      </c>
      <c r="J3116" s="28">
        <v>9.7141472037699794E-2</v>
      </c>
      <c r="K3116" s="29">
        <v>0.72056207155797503</v>
      </c>
    </row>
    <row r="3117" spans="1:11" x14ac:dyDescent="0.35">
      <c r="A3117" s="9" t="str">
        <f>HYPERLINK("http://www.ensembl.org/id/WBGene00019894", "WBGene00019894")</f>
        <v>WBGene00019894</v>
      </c>
      <c r="B3117" s="9" t="str">
        <f>HYPERLINK("http://www.ncbi.nlm.nih.gov/gene/187618", "187618")</f>
        <v>187618</v>
      </c>
      <c r="C3117" s="9"/>
      <c r="D3117" t="str">
        <f>"R05F9.11"</f>
        <v>R05F9.11</v>
      </c>
      <c r="F3117" t="s">
        <v>11</v>
      </c>
      <c r="G3117" t="s">
        <v>729</v>
      </c>
      <c r="H3117" s="12">
        <v>-1.84030474098409</v>
      </c>
      <c r="I3117" s="20">
        <v>-1.6590360409591201</v>
      </c>
      <c r="J3117" s="28">
        <v>9.7108530019138106E-2</v>
      </c>
      <c r="K3117" s="29">
        <v>0.72056207155797503</v>
      </c>
    </row>
    <row r="3118" spans="1:11" x14ac:dyDescent="0.35">
      <c r="A3118" s="9" t="str">
        <f>HYPERLINK("http://www.ensembl.org/id/WBGene00005513", "WBGene00005513")</f>
        <v>WBGene00005513</v>
      </c>
      <c r="B3118" s="9" t="str">
        <f>HYPERLINK("http://www.ncbi.nlm.nih.gov/gene/185371", "185371")</f>
        <v>185371</v>
      </c>
      <c r="C3118" s="9"/>
      <c r="D3118" t="str">
        <f>"sri-1"</f>
        <v>sri-1</v>
      </c>
      <c r="E3118" t="s">
        <v>1503</v>
      </c>
      <c r="F3118" t="s">
        <v>11</v>
      </c>
      <c r="G3118" t="s">
        <v>25</v>
      </c>
      <c r="H3118" s="12">
        <v>3.94792814724594</v>
      </c>
      <c r="I3118" s="20">
        <v>1.6585930384816201</v>
      </c>
      <c r="J3118" s="28">
        <v>9.71978255272644E-2</v>
      </c>
      <c r="K3118" s="29">
        <v>0.72074870238542099</v>
      </c>
    </row>
    <row r="3119" spans="1:11" x14ac:dyDescent="0.35">
      <c r="A3119" s="9" t="str">
        <f>HYPERLINK("http://www.ensembl.org/id/WBGene00000059", "WBGene00000059")</f>
        <v>WBGene00000059</v>
      </c>
      <c r="B3119" s="9" t="str">
        <f>HYPERLINK("http://www.ncbi.nlm.nih.gov/gene/187632", "187632")</f>
        <v>187632</v>
      </c>
      <c r="C3119" s="9"/>
      <c r="D3119" t="str">
        <f>"acr-20"</f>
        <v>acr-20</v>
      </c>
      <c r="E3119" t="s">
        <v>1742</v>
      </c>
      <c r="F3119" t="s">
        <v>11</v>
      </c>
      <c r="G3119" t="s">
        <v>906</v>
      </c>
      <c r="H3119" s="12">
        <v>1.6837245027939001</v>
      </c>
      <c r="I3119" s="20">
        <v>1.6583047980974099</v>
      </c>
      <c r="J3119" s="28">
        <v>9.7255961059399196E-2</v>
      </c>
      <c r="K3119" s="29">
        <v>0.72080353193839697</v>
      </c>
    </row>
    <row r="3120" spans="1:11" x14ac:dyDescent="0.35">
      <c r="A3120" s="9" t="str">
        <f>HYPERLINK("http://www.ensembl.org/id/WBGene00015469", "WBGene00015469")</f>
        <v>WBGene00015469</v>
      </c>
      <c r="B3120" s="9" t="str">
        <f>HYPERLINK("http://www.ncbi.nlm.nih.gov/gene/175777", "175777")</f>
        <v>175777</v>
      </c>
      <c r="C3120" s="9"/>
      <c r="D3120" t="str">
        <f>"C05D2.8"</f>
        <v>C05D2.8</v>
      </c>
      <c r="F3120" t="s">
        <v>11</v>
      </c>
      <c r="H3120" s="12">
        <v>-1.50080442932443</v>
      </c>
      <c r="I3120" s="20">
        <v>-1.65783790248264</v>
      </c>
      <c r="J3120" s="28">
        <v>9.7350188747910599E-2</v>
      </c>
      <c r="K3120" s="29">
        <v>0.72080353193839697</v>
      </c>
    </row>
    <row r="3121" spans="1:11" x14ac:dyDescent="0.35">
      <c r="A3121" s="9" t="str">
        <f>HYPERLINK("http://www.ensembl.org/id/WBGene00019683", "WBGene00019683")</f>
        <v>WBGene00019683</v>
      </c>
      <c r="B3121" s="9" t="str">
        <f>HYPERLINK("http://www.ncbi.nlm.nih.gov/gene/187341", "187341")</f>
        <v>187341</v>
      </c>
      <c r="C3121" s="9"/>
      <c r="D3121" t="str">
        <f>"K12H6.2"</f>
        <v>K12H6.2</v>
      </c>
      <c r="F3121" t="s">
        <v>11</v>
      </c>
      <c r="G3121" t="s">
        <v>25</v>
      </c>
      <c r="H3121" s="12">
        <v>-2.0635637981013399</v>
      </c>
      <c r="I3121" s="20">
        <v>-1.65813112564865</v>
      </c>
      <c r="J3121" s="28">
        <v>9.7291002672176802E-2</v>
      </c>
      <c r="K3121" s="29">
        <v>0.72080353193839697</v>
      </c>
    </row>
    <row r="3122" spans="1:11" x14ac:dyDescent="0.35">
      <c r="A3122" s="9" t="str">
        <f>HYPERLINK("http://www.ensembl.org/id/WBGene00003813", "WBGene00003813")</f>
        <v>WBGene00003813</v>
      </c>
      <c r="B3122" s="9" t="str">
        <f>HYPERLINK("http://www.ncbi.nlm.nih.gov/gene/174287", "174287")</f>
        <v>174287</v>
      </c>
      <c r="C3122" s="9"/>
      <c r="D3122" t="str">
        <f>"nrf-6"</f>
        <v>nrf-6</v>
      </c>
      <c r="E3122" t="s">
        <v>2517</v>
      </c>
      <c r="F3122" t="s">
        <v>11</v>
      </c>
      <c r="G3122" t="s">
        <v>2518</v>
      </c>
      <c r="H3122" s="12">
        <v>1.3665336595723601</v>
      </c>
      <c r="I3122" s="20">
        <v>1.6577833793304499</v>
      </c>
      <c r="J3122" s="28">
        <v>9.73611972292798E-2</v>
      </c>
      <c r="K3122" s="29">
        <v>0.72080353193839697</v>
      </c>
    </row>
    <row r="3123" spans="1:11" x14ac:dyDescent="0.35">
      <c r="A3123" s="9" t="str">
        <f>HYPERLINK("http://www.ensembl.org/id/WBGene00003958", "WBGene00003958")</f>
        <v>WBGene00003958</v>
      </c>
      <c r="B3123" s="9" t="str">
        <f>HYPERLINK("http://www.ncbi.nlm.nih.gov/gene/177740", "177740")</f>
        <v>177740</v>
      </c>
      <c r="C3123" s="9"/>
      <c r="D3123" t="str">
        <f>"pcp-3"</f>
        <v>pcp-3</v>
      </c>
      <c r="E3123" t="s">
        <v>1283</v>
      </c>
      <c r="F3123" t="s">
        <v>11</v>
      </c>
      <c r="G3123" t="s">
        <v>1284</v>
      </c>
      <c r="H3123" s="12">
        <v>1.46819833513091</v>
      </c>
      <c r="I3123" s="20">
        <v>1.6580724868535699</v>
      </c>
      <c r="J3123" s="28">
        <v>9.7302836407252E-2</v>
      </c>
      <c r="K3123" s="29">
        <v>0.72080353193839697</v>
      </c>
    </row>
    <row r="3124" spans="1:11" x14ac:dyDescent="0.35">
      <c r="A3124" s="9" t="str">
        <f>HYPERLINK("http://www.ensembl.org/id/WBGene00043065", "WBGene00043065")</f>
        <v>WBGene00043065</v>
      </c>
      <c r="B3124" s="9" t="str">
        <f>HYPERLINK("http://www.ncbi.nlm.nih.gov/gene/3565606", "3565606")</f>
        <v>3565606</v>
      </c>
      <c r="C3124" s="9"/>
      <c r="D3124" t="str">
        <f>"C55C3.7"</f>
        <v>C55C3.7</v>
      </c>
      <c r="F3124" t="s">
        <v>11</v>
      </c>
      <c r="H3124" s="12">
        <v>35.108462035372497</v>
      </c>
      <c r="I3124" s="20">
        <v>1.6567667474988499</v>
      </c>
      <c r="J3124" s="28">
        <v>9.75666423038139E-2</v>
      </c>
      <c r="K3124" s="29">
        <v>0.721861939504298</v>
      </c>
    </row>
    <row r="3125" spans="1:11" x14ac:dyDescent="0.35">
      <c r="A3125" s="9" t="str">
        <f>HYPERLINK("http://www.ensembl.org/id/WBGene00010344", "WBGene00010344")</f>
        <v>WBGene00010344</v>
      </c>
      <c r="B3125" s="9" t="str">
        <f>HYPERLINK("http://www.ncbi.nlm.nih.gov/gene/186636", "186636")</f>
        <v>186636</v>
      </c>
      <c r="C3125" s="9"/>
      <c r="D3125" t="str">
        <f>"F59F5.5"</f>
        <v>F59F5.5</v>
      </c>
      <c r="F3125" t="s">
        <v>11</v>
      </c>
      <c r="H3125" s="12">
        <v>1.93492039545309</v>
      </c>
      <c r="I3125" s="20">
        <v>1.6568310433312801</v>
      </c>
      <c r="J3125" s="28">
        <v>9.7553638886770003E-2</v>
      </c>
      <c r="K3125" s="29">
        <v>0.721861939504298</v>
      </c>
    </row>
    <row r="3126" spans="1:11" x14ac:dyDescent="0.35">
      <c r="A3126" s="9" t="str">
        <f>HYPERLINK("http://www.ensembl.org/id/WBGene00016599", "WBGene00016599")</f>
        <v>WBGene00016599</v>
      </c>
      <c r="B3126" s="9" t="str">
        <f>HYPERLINK("http://www.ncbi.nlm.nih.gov/gene/180782", "180782")</f>
        <v>180782</v>
      </c>
      <c r="C3126" s="9"/>
      <c r="D3126" t="str">
        <f>"C42D8.1"</f>
        <v>C42D8.1</v>
      </c>
      <c r="F3126" t="s">
        <v>11</v>
      </c>
      <c r="G3126" t="s">
        <v>394</v>
      </c>
      <c r="H3126" s="12">
        <v>-1.70542738682613</v>
      </c>
      <c r="I3126" s="20">
        <v>-1.65632470755945</v>
      </c>
      <c r="J3126" s="28">
        <v>9.7656079532745493E-2</v>
      </c>
      <c r="K3126" s="29">
        <v>0.72206123957875801</v>
      </c>
    </row>
    <row r="3127" spans="1:11" x14ac:dyDescent="0.35">
      <c r="A3127" s="9" t="str">
        <f>HYPERLINK("http://www.ensembl.org/id/WBGene00022014", "WBGene00022014")</f>
        <v>WBGene00022014</v>
      </c>
      <c r="B3127" s="9" t="str">
        <f>HYPERLINK("http://www.ncbi.nlm.nih.gov/gene/178849", "178849")</f>
        <v>178849</v>
      </c>
      <c r="C3127" s="9"/>
      <c r="D3127" t="str">
        <f>"Y61A9LA.1"</f>
        <v>Y61A9LA.1</v>
      </c>
      <c r="F3127" t="s">
        <v>11</v>
      </c>
      <c r="G3127" t="s">
        <v>230</v>
      </c>
      <c r="H3127" s="12">
        <v>-1.3936478033756099</v>
      </c>
      <c r="I3127" s="20">
        <v>-1.65646687544481</v>
      </c>
      <c r="J3127" s="28">
        <v>9.7627307788864498E-2</v>
      </c>
      <c r="K3127" s="29">
        <v>0.72206123957875801</v>
      </c>
    </row>
    <row r="3128" spans="1:11" x14ac:dyDescent="0.35">
      <c r="A3128" s="9" t="str">
        <f>HYPERLINK("http://www.ensembl.org/id/WBGene00015053", "WBGene00015053")</f>
        <v>WBGene00015053</v>
      </c>
      <c r="B3128" s="9" t="str">
        <f>HYPERLINK("http://www.ncbi.nlm.nih.gov/gene/181856", "181856")</f>
        <v>181856</v>
      </c>
      <c r="C3128" s="9"/>
      <c r="D3128" t="str">
        <f>"B0222.1"</f>
        <v>B0222.1</v>
      </c>
      <c r="F3128" t="s">
        <v>11</v>
      </c>
      <c r="G3128" t="s">
        <v>25</v>
      </c>
      <c r="H3128" s="12">
        <v>1.8507770368830001</v>
      </c>
      <c r="I3128" s="20">
        <v>1.6538040382579799</v>
      </c>
      <c r="J3128" s="28">
        <v>9.8167335208812906E-2</v>
      </c>
      <c r="K3128" s="29">
        <v>0.72352613950074296</v>
      </c>
    </row>
    <row r="3129" spans="1:11" x14ac:dyDescent="0.35">
      <c r="A3129" s="9" t="str">
        <f>HYPERLINK("http://www.ensembl.org/id/WBGene00015769", "WBGene00015769")</f>
        <v>WBGene00015769</v>
      </c>
      <c r="B3129" s="9" t="str">
        <f>HYPERLINK("http://www.ncbi.nlm.nih.gov/gene/182612", "182612")</f>
        <v>182612</v>
      </c>
      <c r="C3129" s="9"/>
      <c r="D3129" t="str">
        <f>"C14C11.7"</f>
        <v>C14C11.7</v>
      </c>
      <c r="F3129" t="s">
        <v>11</v>
      </c>
      <c r="H3129" s="12">
        <v>-1.5481351458921999</v>
      </c>
      <c r="I3129" s="20">
        <v>-1.6540378584181401</v>
      </c>
      <c r="J3129" s="28">
        <v>9.8119820768415397E-2</v>
      </c>
      <c r="K3129" s="29">
        <v>0.72352613950074296</v>
      </c>
    </row>
    <row r="3130" spans="1:11" x14ac:dyDescent="0.35">
      <c r="A3130" s="9" t="str">
        <f>HYPERLINK("http://www.ensembl.org/id/WBGene00016520", "WBGene00016520")</f>
        <v>WBGene00016520</v>
      </c>
      <c r="B3130" s="9" t="str">
        <f>HYPERLINK("http://www.ncbi.nlm.nih.gov/gene/175348", "175348")</f>
        <v>175348</v>
      </c>
      <c r="C3130" s="9"/>
      <c r="D3130" t="str">
        <f>"C39B5.2"</f>
        <v>C39B5.2</v>
      </c>
      <c r="F3130" t="s">
        <v>11</v>
      </c>
      <c r="G3130" t="s">
        <v>54</v>
      </c>
      <c r="H3130" s="12">
        <v>1.4833613058872701</v>
      </c>
      <c r="I3130" s="20">
        <v>1.65472323953495</v>
      </c>
      <c r="J3130" s="28">
        <v>9.7980650763969404E-2</v>
      </c>
      <c r="K3130" s="29">
        <v>0.72352613950074296</v>
      </c>
    </row>
    <row r="3131" spans="1:11" x14ac:dyDescent="0.35">
      <c r="A3131" s="9" t="str">
        <f>HYPERLINK("http://www.ensembl.org/id/WBGene00016929", "WBGene00016929")</f>
        <v>WBGene00016929</v>
      </c>
      <c r="B3131" s="9" t="str">
        <f>HYPERLINK("http://www.ncbi.nlm.nih.gov/gene/183810", "183810")</f>
        <v>183810</v>
      </c>
      <c r="C3131" s="9"/>
      <c r="D3131" t="str">
        <f>"C54F6.12"</f>
        <v>C54F6.12</v>
      </c>
      <c r="F3131" t="s">
        <v>11</v>
      </c>
      <c r="H3131" s="12">
        <v>3.0062240392058901</v>
      </c>
      <c r="I3131" s="20">
        <v>1.655152887002</v>
      </c>
      <c r="J3131" s="28">
        <v>9.7893489179178395E-2</v>
      </c>
      <c r="K3131" s="29">
        <v>0.72352613950074296</v>
      </c>
    </row>
    <row r="3132" spans="1:11" x14ac:dyDescent="0.35">
      <c r="A3132" s="9" t="str">
        <f>HYPERLINK("http://www.ensembl.org/id/WBGene00001388", "WBGene00001388")</f>
        <v>WBGene00001388</v>
      </c>
      <c r="B3132" s="9" t="str">
        <f>HYPERLINK("http://www.ncbi.nlm.nih.gov/gene/191633", "191633")</f>
        <v>191633</v>
      </c>
      <c r="C3132" s="9"/>
      <c r="D3132" t="str">
        <f>"far-4"</f>
        <v>far-4</v>
      </c>
      <c r="E3132" t="s">
        <v>128</v>
      </c>
      <c r="F3132" t="s">
        <v>11</v>
      </c>
      <c r="G3132" t="s">
        <v>129</v>
      </c>
      <c r="H3132" s="12">
        <v>2.3640576674599401</v>
      </c>
      <c r="I3132" s="20">
        <v>1.6538848714969401</v>
      </c>
      <c r="J3132" s="28">
        <v>9.8150907061526696E-2</v>
      </c>
      <c r="K3132" s="29">
        <v>0.72352613950074296</v>
      </c>
    </row>
    <row r="3133" spans="1:11" x14ac:dyDescent="0.35">
      <c r="A3133" s="9" t="str">
        <f>HYPERLINK("http://www.ensembl.org/id/WBGene00010807", "WBGene00010807")</f>
        <v>WBGene00010807</v>
      </c>
      <c r="B3133" s="9" t="str">
        <f>HYPERLINK("http://www.ncbi.nlm.nih.gov/gene/173194", "173194")</f>
        <v>173194</v>
      </c>
      <c r="C3133" s="9"/>
      <c r="D3133" t="str">
        <f>"M01E5.4"</f>
        <v>M01E5.4</v>
      </c>
      <c r="F3133" t="s">
        <v>11</v>
      </c>
      <c r="G3133" t="s">
        <v>318</v>
      </c>
      <c r="H3133" s="12">
        <v>-1.40254943403587</v>
      </c>
      <c r="I3133" s="20">
        <v>-1.65498336117331</v>
      </c>
      <c r="J3133" s="28">
        <v>9.7927873088360096E-2</v>
      </c>
      <c r="K3133" s="29">
        <v>0.72352613950074296</v>
      </c>
    </row>
    <row r="3134" spans="1:11" x14ac:dyDescent="0.35">
      <c r="A3134" s="9" t="str">
        <f>HYPERLINK("http://www.ensembl.org/id/WBGene00020411", "WBGene00020411")</f>
        <v>WBGene00020411</v>
      </c>
      <c r="B3134" s="9" t="str">
        <f>HYPERLINK("http://www.ncbi.nlm.nih.gov/gene/172366", "172366")</f>
        <v>172366</v>
      </c>
      <c r="C3134" s="9"/>
      <c r="D3134" t="str">
        <f>"T10E9.1"</f>
        <v>T10E9.1</v>
      </c>
      <c r="F3134" t="s">
        <v>11</v>
      </c>
      <c r="G3134" t="s">
        <v>54</v>
      </c>
      <c r="H3134" s="12">
        <v>-1.50571208774489</v>
      </c>
      <c r="I3134" s="20">
        <v>-1.65416536868582</v>
      </c>
      <c r="J3134" s="28">
        <v>9.8093917232875902E-2</v>
      </c>
      <c r="K3134" s="29">
        <v>0.72352613950074296</v>
      </c>
    </row>
    <row r="3135" spans="1:11" x14ac:dyDescent="0.35">
      <c r="A3135" s="9" t="str">
        <f>HYPERLINK("http://www.ensembl.org/id/WBGene00006683", "WBGene00006683")</f>
        <v>WBGene00006683</v>
      </c>
      <c r="B3135" s="9" t="str">
        <f>HYPERLINK("http://www.ncbi.nlm.nih.gov/gene/176572", "176572")</f>
        <v>176572</v>
      </c>
      <c r="C3135" s="9"/>
      <c r="D3135" t="str">
        <f>"twk-31"</f>
        <v>twk-31</v>
      </c>
      <c r="E3135" t="s">
        <v>894</v>
      </c>
      <c r="F3135" t="s">
        <v>11</v>
      </c>
      <c r="G3135" t="s">
        <v>895</v>
      </c>
      <c r="H3135" s="12">
        <v>-1.5186703577117799</v>
      </c>
      <c r="I3135" s="20">
        <v>-1.6541992020862499</v>
      </c>
      <c r="J3135" s="28">
        <v>9.8087044941228094E-2</v>
      </c>
      <c r="K3135" s="29">
        <v>0.72352613950074296</v>
      </c>
    </row>
    <row r="3136" spans="1:11" x14ac:dyDescent="0.35">
      <c r="A3136" s="9" t="str">
        <f>HYPERLINK("http://www.ensembl.org/id/WBGene00006933", "WBGene00006933")</f>
        <v>WBGene00006933</v>
      </c>
      <c r="B3136" s="9" t="str">
        <f>HYPERLINK("http://www.ncbi.nlm.nih.gov/gene/174000", "174000")</f>
        <v>174000</v>
      </c>
      <c r="C3136" s="9" t="str">
        <f>HYPERLINK("http://www.ncbi.nlm.nih.gov/gene/55737", "55737")</f>
        <v>55737</v>
      </c>
      <c r="D3136" t="str">
        <f>"vps-35"</f>
        <v>vps-35</v>
      </c>
      <c r="E3136" t="s">
        <v>2520</v>
      </c>
      <c r="F3136" t="s">
        <v>11</v>
      </c>
      <c r="G3136" t="s">
        <v>2521</v>
      </c>
      <c r="H3136" s="12">
        <v>-1.36762592158851</v>
      </c>
      <c r="I3136" s="20">
        <v>-1.6541256947959</v>
      </c>
      <c r="J3136" s="28">
        <v>9.8101976343564296E-2</v>
      </c>
      <c r="K3136" s="29">
        <v>0.72352613950074296</v>
      </c>
    </row>
    <row r="3137" spans="1:11" x14ac:dyDescent="0.35">
      <c r="A3137" s="9" t="str">
        <f>HYPERLINK("http://www.ensembl.org/id/WBGene00021205", "WBGene00021205")</f>
        <v>WBGene00021205</v>
      </c>
      <c r="B3137" s="9" t="str">
        <f>HYPERLINK("http://www.ncbi.nlm.nih.gov/gene/177246", "177246")</f>
        <v>177246</v>
      </c>
      <c r="C3137" s="9" t="str">
        <f>HYPERLINK("http://www.ncbi.nlm.nih.gov/gene/112869", "112869")</f>
        <v>112869</v>
      </c>
      <c r="D3137" t="str">
        <f>"Y17G9B.8"</f>
        <v>Y17G9B.8</v>
      </c>
      <c r="F3137" t="s">
        <v>11</v>
      </c>
      <c r="G3137" t="s">
        <v>2519</v>
      </c>
      <c r="H3137" s="12">
        <v>1.51943107220355</v>
      </c>
      <c r="I3137" s="20">
        <v>1.6548463719773101</v>
      </c>
      <c r="J3137" s="28">
        <v>9.7955664835253906E-2</v>
      </c>
      <c r="K3137" s="29">
        <v>0.72352613950074296</v>
      </c>
    </row>
    <row r="3138" spans="1:11" x14ac:dyDescent="0.35">
      <c r="A3138" s="9" t="str">
        <f>HYPERLINK("http://www.ensembl.org/id/WBGene00012600", "WBGene00012600")</f>
        <v>WBGene00012600</v>
      </c>
      <c r="B3138" s="9" t="str">
        <f>HYPERLINK("http://www.ncbi.nlm.nih.gov/gene/189667", "189667")</f>
        <v>189667</v>
      </c>
      <c r="C3138" s="9"/>
      <c r="D3138" t="str">
        <f>"Y38E10A.22"</f>
        <v>Y38E10A.22</v>
      </c>
      <c r="F3138" t="s">
        <v>11</v>
      </c>
      <c r="G3138" t="s">
        <v>2522</v>
      </c>
      <c r="H3138" s="12">
        <v>-1.3944464996577799</v>
      </c>
      <c r="I3138" s="20">
        <v>-1.6535720163525001</v>
      </c>
      <c r="J3138" s="28">
        <v>9.8214502392635294E-2</v>
      </c>
      <c r="K3138" s="29">
        <v>0.723642950345737</v>
      </c>
    </row>
    <row r="3139" spans="1:11" x14ac:dyDescent="0.35">
      <c r="A3139" s="9" t="str">
        <f>HYPERLINK("http://www.ensembl.org/id/WBGene00015896", "WBGene00015896")</f>
        <v>WBGene00015896</v>
      </c>
      <c r="B3139" s="9" t="str">
        <f>HYPERLINK("http://www.ncbi.nlm.nih.gov/gene/3565825", "3565825")</f>
        <v>3565825</v>
      </c>
      <c r="C3139" s="9"/>
      <c r="D3139" t="str">
        <f>"C17C3.15"</f>
        <v>C17C3.15</v>
      </c>
      <c r="F3139" t="s">
        <v>11</v>
      </c>
      <c r="H3139" s="12">
        <v>1.66830595985623</v>
      </c>
      <c r="I3139" s="20">
        <v>1.6526141837292501</v>
      </c>
      <c r="J3139" s="28">
        <v>9.8409409556572E-2</v>
      </c>
      <c r="K3139" s="29">
        <v>0.72422674460075698</v>
      </c>
    </row>
    <row r="3140" spans="1:11" x14ac:dyDescent="0.35">
      <c r="A3140" s="9" t="str">
        <f>HYPERLINK("http://www.ensembl.org/id/WBGene00000370", "WBGene00000370")</f>
        <v>WBGene00000370</v>
      </c>
      <c r="B3140" s="9" t="str">
        <f>HYPERLINK("http://www.ncbi.nlm.nih.gov/gene/178426", "178426")</f>
        <v>178426</v>
      </c>
      <c r="C3140" s="9"/>
      <c r="D3140" t="str">
        <f>"ccg-1"</f>
        <v>ccg-1</v>
      </c>
      <c r="E3140" t="s">
        <v>2523</v>
      </c>
      <c r="F3140" t="s">
        <v>11</v>
      </c>
      <c r="H3140" s="12">
        <v>-1.34352265240567</v>
      </c>
      <c r="I3140" s="20">
        <v>-1.6521133345330199</v>
      </c>
      <c r="J3140" s="28">
        <v>9.8511449130675305E-2</v>
      </c>
      <c r="K3140" s="29">
        <v>0.72422674460075698</v>
      </c>
    </row>
    <row r="3141" spans="1:11" x14ac:dyDescent="0.35">
      <c r="A3141" s="9" t="str">
        <f>HYPERLINK("http://www.ensembl.org/id/WBGene00009667", "WBGene00009667")</f>
        <v>WBGene00009667</v>
      </c>
      <c r="B3141" s="9" t="str">
        <f>HYPERLINK("http://www.ncbi.nlm.nih.gov/gene/259386", "259386")</f>
        <v>259386</v>
      </c>
      <c r="C3141" s="9"/>
      <c r="D3141" t="str">
        <f>"F43G9.4"</f>
        <v>F43G9.4</v>
      </c>
      <c r="F3141" t="s">
        <v>11</v>
      </c>
      <c r="H3141" s="12">
        <v>-1.4276893415431999</v>
      </c>
      <c r="I3141" s="20">
        <v>-1.6519773920739</v>
      </c>
      <c r="J3141" s="28">
        <v>9.8539159686269306E-2</v>
      </c>
      <c r="K3141" s="29">
        <v>0.72422674460075698</v>
      </c>
    </row>
    <row r="3142" spans="1:11" x14ac:dyDescent="0.35">
      <c r="A3142" s="9" t="str">
        <f>HYPERLINK("http://www.ensembl.org/id/WBGene00004458", "WBGene00004458")</f>
        <v>WBGene00004458</v>
      </c>
      <c r="B3142" s="9" t="str">
        <f>HYPERLINK("http://www.ncbi.nlm.nih.gov/gene/177455", "177455")</f>
        <v>177455</v>
      </c>
      <c r="C3142" s="9" t="str">
        <f>HYPERLINK("http://www.ncbi.nlm.nih.gov/gene/5708", "5708")</f>
        <v>5708</v>
      </c>
      <c r="D3142" t="str">
        <f>"rpn-1"</f>
        <v>rpn-1</v>
      </c>
      <c r="E3142" t="s">
        <v>2524</v>
      </c>
      <c r="F3142" t="s">
        <v>11</v>
      </c>
      <c r="G3142" t="s">
        <v>2525</v>
      </c>
      <c r="H3142" s="12">
        <v>-1.34750657800775</v>
      </c>
      <c r="I3142" s="20">
        <v>-1.65199933088115</v>
      </c>
      <c r="J3142" s="28">
        <v>9.8534687251446706E-2</v>
      </c>
      <c r="K3142" s="29">
        <v>0.72422674460075698</v>
      </c>
    </row>
    <row r="3143" spans="1:11" x14ac:dyDescent="0.35">
      <c r="A3143" s="9" t="str">
        <f>HYPERLINK("http://www.ensembl.org/id/WBGene00012845", "WBGene00012845")</f>
        <v>WBGene00012845</v>
      </c>
      <c r="B3143" s="9" t="str">
        <f>HYPERLINK("http://www.ncbi.nlm.nih.gov/gene/3565594", "3565594")</f>
        <v>3565594</v>
      </c>
      <c r="C3143" s="9"/>
      <c r="D3143" t="str">
        <f>"set-24"</f>
        <v>set-24</v>
      </c>
      <c r="E3143" t="s">
        <v>2055</v>
      </c>
      <c r="F3143" t="s">
        <v>11</v>
      </c>
      <c r="G3143" t="s">
        <v>54</v>
      </c>
      <c r="H3143" s="12">
        <v>-1.5535891636952399</v>
      </c>
      <c r="I3143" s="20">
        <v>-1.65195126754129</v>
      </c>
      <c r="J3143" s="28">
        <v>9.8544485632510101E-2</v>
      </c>
      <c r="K3143" s="29">
        <v>0.72422674460075698</v>
      </c>
    </row>
    <row r="3144" spans="1:11" x14ac:dyDescent="0.35">
      <c r="A3144" s="9" t="str">
        <f>HYPERLINK("http://www.ensembl.org/id/WBGene00220254", "WBGene00220254")</f>
        <v>WBGene00220254</v>
      </c>
      <c r="B3144" s="9" t="str">
        <f>HYPERLINK("http://www.ncbi.nlm.nih.gov/gene/24105016", "24105016")</f>
        <v>24105016</v>
      </c>
      <c r="C3144" s="9"/>
      <c r="D3144" t="str">
        <f>"Y105C5A.1285"</f>
        <v>Y105C5A.1285</v>
      </c>
      <c r="F3144" t="s">
        <v>11</v>
      </c>
      <c r="H3144" s="12">
        <v>-35.544841536623998</v>
      </c>
      <c r="I3144" s="20">
        <v>-1.65273062611649</v>
      </c>
      <c r="J3144" s="28">
        <v>9.83856984817775E-2</v>
      </c>
      <c r="K3144" s="29">
        <v>0.72422674460075698</v>
      </c>
    </row>
    <row r="3145" spans="1:11" x14ac:dyDescent="0.35">
      <c r="A3145" s="9" t="str">
        <f>HYPERLINK("http://www.ensembl.org/id/WBGene00021245", "WBGene00021245")</f>
        <v>WBGene00021245</v>
      </c>
      <c r="B3145" s="9" t="str">
        <f>HYPERLINK("http://www.ncbi.nlm.nih.gov/gene/189503", "189503")</f>
        <v>189503</v>
      </c>
      <c r="C3145" s="9"/>
      <c r="D3145" t="str">
        <f>"Y22D7AL.6"</f>
        <v>Y22D7AL.6</v>
      </c>
      <c r="F3145" t="s">
        <v>11</v>
      </c>
      <c r="H3145" s="12">
        <v>1.7298425927292</v>
      </c>
      <c r="I3145" s="20">
        <v>1.6520445673691599</v>
      </c>
      <c r="J3145" s="28">
        <v>9.8525465874174101E-2</v>
      </c>
      <c r="K3145" s="29">
        <v>0.72422674460075698</v>
      </c>
    </row>
    <row r="3146" spans="1:11" x14ac:dyDescent="0.35">
      <c r="A3146" s="9" t="str">
        <f>HYPERLINK("http://www.ensembl.org/id/WBGene00013253", "WBGene00013253")</f>
        <v>WBGene00013253</v>
      </c>
      <c r="B3146" s="9" t="str">
        <f>HYPERLINK("http://www.ncbi.nlm.nih.gov/gene/190336", "190336")</f>
        <v>190336</v>
      </c>
      <c r="C3146" s="9"/>
      <c r="D3146" t="str">
        <f>"Y57A10A.8"</f>
        <v>Y57A10A.8</v>
      </c>
      <c r="F3146" t="s">
        <v>11</v>
      </c>
      <c r="H3146" s="12">
        <v>-1.5126105889822701</v>
      </c>
      <c r="I3146" s="20">
        <v>-1.6524706272813801</v>
      </c>
      <c r="J3146" s="28">
        <v>9.84386481278169E-2</v>
      </c>
      <c r="K3146" s="29">
        <v>0.72422674460075698</v>
      </c>
    </row>
    <row r="3147" spans="1:11" x14ac:dyDescent="0.35">
      <c r="A3147" s="9" t="str">
        <f>HYPERLINK("http://www.ensembl.org/id/WBGene00019503", "WBGene00019503")</f>
        <v>WBGene00019503</v>
      </c>
      <c r="B3147" s="9" t="str">
        <f>HYPERLINK("http://www.ncbi.nlm.nih.gov/gene/177624", "177624")</f>
        <v>177624</v>
      </c>
      <c r="C3147" s="9" t="str">
        <f>HYPERLINK("http://www.ncbi.nlm.nih.gov/gene/6905", "6905")</f>
        <v>6905</v>
      </c>
      <c r="D3147" t="str">
        <f>"tbce-1"</f>
        <v>tbce-1</v>
      </c>
      <c r="E3147" t="s">
        <v>2526</v>
      </c>
      <c r="F3147" t="s">
        <v>11</v>
      </c>
      <c r="G3147" t="s">
        <v>2527</v>
      </c>
      <c r="H3147" s="12">
        <v>-1.43664252950727</v>
      </c>
      <c r="I3147" s="20">
        <v>-1.65157962230318</v>
      </c>
      <c r="J3147" s="28">
        <v>9.8620276958484202E-2</v>
      </c>
      <c r="K3147" s="29">
        <v>0.72455329710738803</v>
      </c>
    </row>
    <row r="3148" spans="1:11" x14ac:dyDescent="0.35">
      <c r="A3148" s="9" t="str">
        <f>HYPERLINK("http://www.ensembl.org/id/WBGene00022017", "WBGene00022017")</f>
        <v>WBGene00022017</v>
      </c>
      <c r="B3148" s="9"/>
      <c r="C3148" s="9"/>
      <c r="D3148" t="str">
        <f>"Y61A9LA.5"</f>
        <v>Y61A9LA.5</v>
      </c>
      <c r="F3148" t="s">
        <v>80</v>
      </c>
      <c r="H3148" s="12">
        <v>3.0101838839383301</v>
      </c>
      <c r="I3148" s="20">
        <v>1.65126585347086</v>
      </c>
      <c r="J3148" s="28">
        <v>9.8684301510612804E-2</v>
      </c>
      <c r="K3148" s="29">
        <v>0.72479322018570203</v>
      </c>
    </row>
    <row r="3149" spans="1:11" x14ac:dyDescent="0.35">
      <c r="A3149" s="9" t="str">
        <f>HYPERLINK("http://www.ensembl.org/id/WBGene00219949", "WBGene00219949")</f>
        <v>WBGene00219949</v>
      </c>
      <c r="B3149" s="9"/>
      <c r="C3149" s="9"/>
      <c r="D3149" t="str">
        <f>"F44E5.16"</f>
        <v>F44E5.16</v>
      </c>
      <c r="F3149" t="s">
        <v>481</v>
      </c>
      <c r="H3149" s="12">
        <v>-11.355906126690099</v>
      </c>
      <c r="I3149" s="20">
        <v>-1.6502053042354501</v>
      </c>
      <c r="J3149" s="28">
        <v>9.89009523347264E-2</v>
      </c>
      <c r="K3149" s="29">
        <v>0.725692411764429</v>
      </c>
    </row>
    <row r="3150" spans="1:11" x14ac:dyDescent="0.35">
      <c r="A3150" s="9" t="str">
        <f>HYPERLINK("http://www.ensembl.org/id/WBGene00019923", "WBGene00019923")</f>
        <v>WBGene00019923</v>
      </c>
      <c r="B3150" s="9" t="str">
        <f>HYPERLINK("http://www.ncbi.nlm.nih.gov/gene/173474", "173474")</f>
        <v>173474</v>
      </c>
      <c r="C3150" s="9"/>
      <c r="D3150" t="str">
        <f>"fbxc-29"</f>
        <v>fbxc-29</v>
      </c>
      <c r="E3150" t="s">
        <v>311</v>
      </c>
      <c r="F3150" t="s">
        <v>11</v>
      </c>
      <c r="H3150" s="12">
        <v>1.7488801538730401</v>
      </c>
      <c r="I3150" s="20">
        <v>1.65031882649441</v>
      </c>
      <c r="J3150" s="28">
        <v>9.8877743682779198E-2</v>
      </c>
      <c r="K3150" s="29">
        <v>0.725692411764429</v>
      </c>
    </row>
    <row r="3151" spans="1:11" x14ac:dyDescent="0.35">
      <c r="A3151" s="9" t="str">
        <f>HYPERLINK("http://www.ensembl.org/id/WBGene00006672", "WBGene00006672")</f>
        <v>WBGene00006672</v>
      </c>
      <c r="B3151" s="9" t="str">
        <f>HYPERLINK("http://www.ncbi.nlm.nih.gov/gene/181139", "181139")</f>
        <v>181139</v>
      </c>
      <c r="C3151" s="9"/>
      <c r="D3151" t="str">
        <f>"twk-18"</f>
        <v>twk-18</v>
      </c>
      <c r="E3151" t="s">
        <v>2528</v>
      </c>
      <c r="F3151" t="s">
        <v>11</v>
      </c>
      <c r="G3151" t="s">
        <v>2529</v>
      </c>
      <c r="H3151" s="12">
        <v>-1.4687821500082701</v>
      </c>
      <c r="I3151" s="20">
        <v>-1.6502765493817799</v>
      </c>
      <c r="J3151" s="28">
        <v>9.8886386367664503E-2</v>
      </c>
      <c r="K3151" s="29">
        <v>0.725692411764429</v>
      </c>
    </row>
    <row r="3152" spans="1:11" x14ac:dyDescent="0.35">
      <c r="A3152" s="9" t="str">
        <f>HYPERLINK("http://www.ensembl.org/id/WBGene00006543", "WBGene00006543")</f>
        <v>WBGene00006543</v>
      </c>
      <c r="B3152" s="9" t="str">
        <f>HYPERLINK("http://www.ncbi.nlm.nih.gov/gene/175698", "175698")</f>
        <v>175698</v>
      </c>
      <c r="C3152" s="9"/>
      <c r="D3152" t="str">
        <f>"tbx-2"</f>
        <v>tbx-2</v>
      </c>
      <c r="E3152" t="s">
        <v>2530</v>
      </c>
      <c r="F3152" t="s">
        <v>11</v>
      </c>
      <c r="G3152" t="s">
        <v>2531</v>
      </c>
      <c r="H3152" s="12">
        <v>1.44904995435658</v>
      </c>
      <c r="I3152" s="20">
        <v>1.6496965598211899</v>
      </c>
      <c r="J3152" s="28">
        <v>9.9005014179557593E-2</v>
      </c>
      <c r="K3152" s="29">
        <v>0.72613369082711199</v>
      </c>
    </row>
    <row r="3153" spans="1:11" x14ac:dyDescent="0.35">
      <c r="A3153" s="9" t="str">
        <f>HYPERLINK("http://www.ensembl.org/id/WBGene00013098", "WBGene00013098")</f>
        <v>WBGene00013098</v>
      </c>
      <c r="B3153" s="9" t="str">
        <f>HYPERLINK("http://www.ncbi.nlm.nih.gov/gene/190144", "190144")</f>
        <v>190144</v>
      </c>
      <c r="C3153" s="9"/>
      <c r="D3153" t="str">
        <f>"Y51H4A.1"</f>
        <v>Y51H4A.1</v>
      </c>
      <c r="F3153" t="s">
        <v>11</v>
      </c>
      <c r="H3153" s="12">
        <v>1.89871004400502</v>
      </c>
      <c r="I3153" s="20">
        <v>1.64960405829412</v>
      </c>
      <c r="J3153" s="28">
        <v>9.9023944421199203E-2</v>
      </c>
      <c r="K3153" s="29">
        <v>0.72613369082711199</v>
      </c>
    </row>
    <row r="3154" spans="1:11" x14ac:dyDescent="0.35">
      <c r="A3154" s="9" t="str">
        <f>HYPERLINK("http://www.ensembl.org/id/WBGene00020736", "WBGene00020736")</f>
        <v>WBGene00020736</v>
      </c>
      <c r="B3154" s="9" t="str">
        <f>HYPERLINK("http://www.ncbi.nlm.nih.gov/gene/188805", "188805")</f>
        <v>188805</v>
      </c>
      <c r="C3154" s="9"/>
      <c r="D3154" t="str">
        <f>"T23F2.3"</f>
        <v>T23F2.3</v>
      </c>
      <c r="E3154" t="s">
        <v>2532</v>
      </c>
      <c r="F3154" t="s">
        <v>11</v>
      </c>
      <c r="G3154" t="s">
        <v>25</v>
      </c>
      <c r="H3154" s="12">
        <v>1.3808270239700799</v>
      </c>
      <c r="I3154" s="20">
        <v>1.6492207687306499</v>
      </c>
      <c r="J3154" s="28">
        <v>9.9102414606446199E-2</v>
      </c>
      <c r="K3154" s="29">
        <v>0.72647855072859902</v>
      </c>
    </row>
    <row r="3155" spans="1:11" x14ac:dyDescent="0.35">
      <c r="A3155" s="9" t="str">
        <f>HYPERLINK("http://www.ensembl.org/id/WBGene00016923", "WBGene00016923")</f>
        <v>WBGene00016923</v>
      </c>
      <c r="B3155" s="9" t="str">
        <f>HYPERLINK("http://www.ncbi.nlm.nih.gov/gene/179137", "179137")</f>
        <v>179137</v>
      </c>
      <c r="C3155" s="9"/>
      <c r="D3155" t="str">
        <f>"C54F6.5"</f>
        <v>C54F6.5</v>
      </c>
      <c r="F3155" t="s">
        <v>11</v>
      </c>
      <c r="H3155" s="12">
        <v>-1.38208820525573</v>
      </c>
      <c r="I3155" s="20">
        <v>-1.64888950945972</v>
      </c>
      <c r="J3155" s="28">
        <v>9.9170272695168898E-2</v>
      </c>
      <c r="K3155" s="29">
        <v>0.72660075964695103</v>
      </c>
    </row>
    <row r="3156" spans="1:11" x14ac:dyDescent="0.35">
      <c r="A3156" s="9" t="str">
        <f>HYPERLINK("http://www.ensembl.org/id/WBGene00004411", "WBGene00004411")</f>
        <v>WBGene00004411</v>
      </c>
      <c r="B3156" s="9" t="str">
        <f>HYPERLINK("http://www.ncbi.nlm.nih.gov/gene/177491", "177491")</f>
        <v>177491</v>
      </c>
      <c r="C3156" s="9" t="str">
        <f>HYPERLINK("http://www.ncbi.nlm.nih.gov/gene/11128", "11128")</f>
        <v>11128</v>
      </c>
      <c r="D3156" t="str">
        <f>"rpc-1"</f>
        <v>rpc-1</v>
      </c>
      <c r="E3156" t="s">
        <v>2533</v>
      </c>
      <c r="F3156" t="s">
        <v>11</v>
      </c>
      <c r="G3156" t="s">
        <v>2534</v>
      </c>
      <c r="H3156" s="12">
        <v>-1.4341399905079999</v>
      </c>
      <c r="I3156" s="20">
        <v>-1.6488323839924099</v>
      </c>
      <c r="J3156" s="28">
        <v>9.9181978530532497E-2</v>
      </c>
      <c r="K3156" s="29">
        <v>0.72660075964695103</v>
      </c>
    </row>
    <row r="3157" spans="1:11" x14ac:dyDescent="0.35">
      <c r="A3157" s="9" t="str">
        <f>HYPERLINK("http://www.ensembl.org/id/WBGene00011869", "WBGene00011869")</f>
        <v>WBGene00011869</v>
      </c>
      <c r="B3157" s="9" t="str">
        <f>HYPERLINK("http://www.ncbi.nlm.nih.gov/gene/176433", "176433")</f>
        <v>176433</v>
      </c>
      <c r="C3157" s="9"/>
      <c r="D3157" t="str">
        <f>"dod-6"</f>
        <v>dod-6</v>
      </c>
      <c r="E3157" t="s">
        <v>24</v>
      </c>
      <c r="F3157" t="s">
        <v>11</v>
      </c>
      <c r="G3157" t="s">
        <v>425</v>
      </c>
      <c r="H3157" s="12">
        <v>1.6491441854748501</v>
      </c>
      <c r="I3157" s="20">
        <v>1.6483881893177099</v>
      </c>
      <c r="J3157" s="28">
        <v>9.9273038076672607E-2</v>
      </c>
      <c r="K3157" s="29">
        <v>0.72703734320114</v>
      </c>
    </row>
    <row r="3158" spans="1:11" x14ac:dyDescent="0.35">
      <c r="A3158" s="9" t="str">
        <f>HYPERLINK("http://www.ensembl.org/id/WBGene00013404", "WBGene00013404")</f>
        <v>WBGene00013404</v>
      </c>
      <c r="B3158" s="9" t="str">
        <f>HYPERLINK("http://www.ncbi.nlm.nih.gov/gene/190470", "190470")</f>
        <v>190470</v>
      </c>
      <c r="C3158" s="9"/>
      <c r="D3158" t="str">
        <f>"fbxb-101"</f>
        <v>fbxb-101</v>
      </c>
      <c r="E3158" t="s">
        <v>1436</v>
      </c>
      <c r="F3158" t="s">
        <v>11</v>
      </c>
      <c r="H3158" s="12">
        <v>1.8441953899513801</v>
      </c>
      <c r="I3158" s="20">
        <v>1.64649620747553</v>
      </c>
      <c r="J3158" s="28">
        <v>9.9661640260588505E-2</v>
      </c>
      <c r="K3158" s="29">
        <v>0.72942092488475097</v>
      </c>
    </row>
    <row r="3159" spans="1:11" x14ac:dyDescent="0.35">
      <c r="A3159" s="9" t="str">
        <f>HYPERLINK("http://www.ensembl.org/id/WBGene00004026", "WBGene00004026")</f>
        <v>WBGene00004026</v>
      </c>
      <c r="B3159" s="9" t="str">
        <f>HYPERLINK("http://www.ncbi.nlm.nih.gov/gene/188624", "188624")</f>
        <v>188624</v>
      </c>
      <c r="C3159" s="9"/>
      <c r="D3159" t="str">
        <f>"phy-3"</f>
        <v>phy-3</v>
      </c>
      <c r="E3159" t="s">
        <v>2535</v>
      </c>
      <c r="F3159" t="s">
        <v>11</v>
      </c>
      <c r="G3159" t="s">
        <v>2536</v>
      </c>
      <c r="H3159" s="12">
        <v>-1.4521824250228299</v>
      </c>
      <c r="I3159" s="20">
        <v>-1.64656984499857</v>
      </c>
      <c r="J3159" s="28">
        <v>9.9646492876279399E-2</v>
      </c>
      <c r="K3159" s="29">
        <v>0.72942092488475097</v>
      </c>
    </row>
    <row r="3160" spans="1:11" x14ac:dyDescent="0.35">
      <c r="A3160" s="9" t="str">
        <f>HYPERLINK("http://www.ensembl.org/id/WBGene00001372", "WBGene00001372")</f>
        <v>WBGene00001372</v>
      </c>
      <c r="B3160" s="9" t="str">
        <f>HYPERLINK("http://www.ncbi.nlm.nih.gov/gene/173069", "173069")</f>
        <v>173069</v>
      </c>
      <c r="C3160" s="9"/>
      <c r="D3160" t="str">
        <f>"exo-3"</f>
        <v>exo-3</v>
      </c>
      <c r="E3160" t="s">
        <v>2537</v>
      </c>
      <c r="F3160" t="s">
        <v>11</v>
      </c>
      <c r="G3160" t="s">
        <v>2538</v>
      </c>
      <c r="H3160" s="12">
        <v>-1.4583321116603001</v>
      </c>
      <c r="I3160" s="20">
        <v>-1.6461880741564301</v>
      </c>
      <c r="J3160" s="28">
        <v>9.9725043818311196E-2</v>
      </c>
      <c r="K3160" s="29">
        <v>0.72965385131915705</v>
      </c>
    </row>
    <row r="3161" spans="1:11" x14ac:dyDescent="0.35">
      <c r="A3161" s="9" t="str">
        <f>HYPERLINK("http://www.ensembl.org/id/WBGene00016987", "WBGene00016987")</f>
        <v>WBGene00016987</v>
      </c>
      <c r="B3161" s="9" t="str">
        <f>HYPERLINK("http://www.ncbi.nlm.nih.gov/gene/177126", "177126")</f>
        <v>177126</v>
      </c>
      <c r="C3161" s="9"/>
      <c r="D3161" t="str">
        <f>"CC8.2"</f>
        <v>CC8.2</v>
      </c>
      <c r="E3161" t="s">
        <v>2503</v>
      </c>
      <c r="F3161" t="s">
        <v>11</v>
      </c>
      <c r="G3161" t="s">
        <v>2504</v>
      </c>
      <c r="H3161" s="12">
        <v>-1.3856442746512601</v>
      </c>
      <c r="I3161" s="20">
        <v>-1.6455184340127</v>
      </c>
      <c r="J3161" s="28">
        <v>9.9862944355663202E-2</v>
      </c>
      <c r="K3161" s="29">
        <v>0.73043152652166998</v>
      </c>
    </row>
    <row r="3162" spans="1:11" x14ac:dyDescent="0.35">
      <c r="A3162" s="9" t="str">
        <f>HYPERLINK("http://www.ensembl.org/id/WBGene00005349", "WBGene00005349")</f>
        <v>WBGene00005349</v>
      </c>
      <c r="B3162" s="9" t="str">
        <f>HYPERLINK("http://www.ncbi.nlm.nih.gov/gene/188984", "188984")</f>
        <v>188984</v>
      </c>
      <c r="C3162" s="9"/>
      <c r="D3162" t="str">
        <f>"srh-132"</f>
        <v>srh-132</v>
      </c>
      <c r="E3162" t="s">
        <v>153</v>
      </c>
      <c r="F3162" t="s">
        <v>11</v>
      </c>
      <c r="G3162" t="s">
        <v>25</v>
      </c>
      <c r="H3162" s="12">
        <v>-2.1094572229296702</v>
      </c>
      <c r="I3162" s="20">
        <v>-1.64531917056347</v>
      </c>
      <c r="J3162" s="28">
        <v>9.9904008483871098E-2</v>
      </c>
      <c r="K3162" s="29">
        <v>0.73050063924946995</v>
      </c>
    </row>
    <row r="3163" spans="1:11" x14ac:dyDescent="0.35">
      <c r="A3163" s="9" t="str">
        <f>HYPERLINK("http://www.ensembl.org/id/WBGene00010043", "WBGene00010043")</f>
        <v>WBGene00010043</v>
      </c>
      <c r="B3163" s="9" t="str">
        <f>HYPERLINK("http://www.ncbi.nlm.nih.gov/gene/186225", "186225")</f>
        <v>186225</v>
      </c>
      <c r="C3163" s="9"/>
      <c r="D3163" t="str">
        <f>"F54C9.7"</f>
        <v>F54C9.7</v>
      </c>
      <c r="F3163" t="s">
        <v>11</v>
      </c>
      <c r="G3163" t="s">
        <v>2539</v>
      </c>
      <c r="H3163" s="12">
        <v>1.83341057047432</v>
      </c>
      <c r="I3163" s="20">
        <v>1.6444638874478701</v>
      </c>
      <c r="J3163" s="28">
        <v>0.100080417838285</v>
      </c>
      <c r="K3163" s="29">
        <v>0.73142891887755201</v>
      </c>
    </row>
    <row r="3164" spans="1:11" x14ac:dyDescent="0.35">
      <c r="A3164" s="9" t="str">
        <f>HYPERLINK("http://www.ensembl.org/id/WBGene00012814", "WBGene00012814")</f>
        <v>WBGene00012814</v>
      </c>
      <c r="B3164" s="9" t="str">
        <f>HYPERLINK("http://www.ncbi.nlm.nih.gov/gene/180277", "180277")</f>
        <v>180277</v>
      </c>
      <c r="C3164" s="9"/>
      <c r="D3164" t="str">
        <f>"Y43F8B.3"</f>
        <v>Y43F8B.3</v>
      </c>
      <c r="F3164" t="s">
        <v>11</v>
      </c>
      <c r="G3164" t="s">
        <v>50</v>
      </c>
      <c r="H3164" s="12">
        <v>1.9875081613240599</v>
      </c>
      <c r="I3164" s="20">
        <v>1.6443967709660099</v>
      </c>
      <c r="J3164" s="28">
        <v>0.10009427168228199</v>
      </c>
      <c r="K3164" s="29">
        <v>0.73142891887755201</v>
      </c>
    </row>
    <row r="3165" spans="1:11" x14ac:dyDescent="0.35">
      <c r="A3165" s="9" t="str">
        <f>HYPERLINK("http://www.ensembl.org/id/WBGene00015028", "WBGene00015028")</f>
        <v>WBGene00015028</v>
      </c>
      <c r="B3165" s="9" t="str">
        <f>HYPERLINK("http://www.ncbi.nlm.nih.gov/gene/172266", "172266")</f>
        <v>172266</v>
      </c>
      <c r="C3165" s="9"/>
      <c r="D3165" t="str">
        <f>"B0207.5"</f>
        <v>B0207.5</v>
      </c>
      <c r="F3165" t="s">
        <v>11</v>
      </c>
      <c r="H3165" s="12">
        <v>2.8088246853396002</v>
      </c>
      <c r="I3165" s="20">
        <v>1.6440742612614001</v>
      </c>
      <c r="J3165" s="28">
        <v>0.100160863829844</v>
      </c>
      <c r="K3165" s="29">
        <v>0.73168413520467201</v>
      </c>
    </row>
    <row r="3166" spans="1:11" x14ac:dyDescent="0.35">
      <c r="A3166" s="9" t="str">
        <f>HYPERLINK("http://www.ensembl.org/id/WBGene00006172", "WBGene00006172")</f>
        <v>WBGene00006172</v>
      </c>
      <c r="B3166" s="9" t="str">
        <f>HYPERLINK("http://www.ncbi.nlm.nih.gov/gene/192002", "192002")</f>
        <v>192002</v>
      </c>
      <c r="C3166" s="9"/>
      <c r="D3166" t="str">
        <f>"str-121"</f>
        <v>str-121</v>
      </c>
      <c r="E3166" t="s">
        <v>590</v>
      </c>
      <c r="F3166" t="s">
        <v>11</v>
      </c>
      <c r="G3166" t="s">
        <v>591</v>
      </c>
      <c r="H3166" s="12">
        <v>19.0035283934387</v>
      </c>
      <c r="I3166" s="20">
        <v>1.6435857198086199</v>
      </c>
      <c r="J3166" s="28">
        <v>0.10026180566592199</v>
      </c>
      <c r="K3166" s="29">
        <v>0.73219003846927899</v>
      </c>
    </row>
    <row r="3167" spans="1:11" x14ac:dyDescent="0.35">
      <c r="A3167" s="9" t="str">
        <f>HYPERLINK("http://www.ensembl.org/id/WBGene00015294", "WBGene00015294")</f>
        <v>WBGene00015294</v>
      </c>
      <c r="B3167" s="9" t="str">
        <f>HYPERLINK("http://www.ncbi.nlm.nih.gov/gene/182067", "182067")</f>
        <v>182067</v>
      </c>
      <c r="C3167" s="9"/>
      <c r="D3167" t="str">
        <f>"C01C10.2"</f>
        <v>C01C10.2</v>
      </c>
      <c r="F3167" t="s">
        <v>11</v>
      </c>
      <c r="H3167" s="12">
        <v>1.4360970219075899</v>
      </c>
      <c r="I3167" s="20">
        <v>1.6421638187495</v>
      </c>
      <c r="J3167" s="28">
        <v>0.10055605870255201</v>
      </c>
      <c r="K3167" s="29">
        <v>0.73284725105775905</v>
      </c>
    </row>
    <row r="3168" spans="1:11" x14ac:dyDescent="0.35">
      <c r="A3168" s="9" t="str">
        <f>HYPERLINK("http://www.ensembl.org/id/WBGene00012923", "WBGene00012923")</f>
        <v>WBGene00012923</v>
      </c>
      <c r="B3168" s="9" t="str">
        <f>HYPERLINK("http://www.ncbi.nlm.nih.gov/gene/189975", "189975")</f>
        <v>189975</v>
      </c>
      <c r="C3168" s="9"/>
      <c r="D3168" t="str">
        <f>"fbxa-128"</f>
        <v>fbxa-128</v>
      </c>
      <c r="E3168" t="s">
        <v>467</v>
      </c>
      <c r="F3168" t="s">
        <v>11</v>
      </c>
      <c r="H3168" s="12">
        <v>-1.5752900012691899</v>
      </c>
      <c r="I3168" s="20">
        <v>-1.6419250656153499</v>
      </c>
      <c r="J3168" s="28">
        <v>0.100605534508578</v>
      </c>
      <c r="K3168" s="29">
        <v>0.73284725105775905</v>
      </c>
    </row>
    <row r="3169" spans="1:11" x14ac:dyDescent="0.35">
      <c r="A3169" s="9" t="str">
        <f>HYPERLINK("http://www.ensembl.org/id/WBGene00012624", "WBGene00012624")</f>
        <v>WBGene00012624</v>
      </c>
      <c r="B3169" s="9" t="str">
        <f>HYPERLINK("http://www.ncbi.nlm.nih.gov/gene/189692", "189692")</f>
        <v>189692</v>
      </c>
      <c r="C3169" s="9"/>
      <c r="D3169" t="str">
        <f>"fbxa-150"</f>
        <v>fbxa-150</v>
      </c>
      <c r="E3169" t="s">
        <v>467</v>
      </c>
      <c r="F3169" t="s">
        <v>11</v>
      </c>
      <c r="G3169" t="s">
        <v>2543</v>
      </c>
      <c r="H3169" s="12">
        <v>-1.3945910395499099</v>
      </c>
      <c r="I3169" s="20">
        <v>-1.6423708562030801</v>
      </c>
      <c r="J3169" s="28">
        <v>0.100513170904464</v>
      </c>
      <c r="K3169" s="29">
        <v>0.73284725105775905</v>
      </c>
    </row>
    <row r="3170" spans="1:11" x14ac:dyDescent="0.35">
      <c r="A3170" s="9" t="str">
        <f>HYPERLINK("http://www.ensembl.org/id/WBGene00006443", "WBGene00006443")</f>
        <v>WBGene00006443</v>
      </c>
      <c r="B3170" s="9" t="str">
        <f>HYPERLINK("http://www.ncbi.nlm.nih.gov/gene/179527", "179527")</f>
        <v>179527</v>
      </c>
      <c r="C3170" s="9" t="str">
        <f>HYPERLINK("http://www.ncbi.nlm.nih.gov/gene/57144", "57144")</f>
        <v>57144</v>
      </c>
      <c r="D3170" t="str">
        <f>"pak-2"</f>
        <v>pak-2</v>
      </c>
      <c r="E3170" t="s">
        <v>2541</v>
      </c>
      <c r="F3170" t="s">
        <v>11</v>
      </c>
      <c r="G3170" t="s">
        <v>2542</v>
      </c>
      <c r="H3170" s="12">
        <v>-1.38537684595335</v>
      </c>
      <c r="I3170" s="20">
        <v>-1.6425501023889499</v>
      </c>
      <c r="J3170" s="28">
        <v>0.10047605184248901</v>
      </c>
      <c r="K3170" s="29">
        <v>0.73284725105775905</v>
      </c>
    </row>
    <row r="3171" spans="1:11" x14ac:dyDescent="0.35">
      <c r="A3171" s="9" t="str">
        <f>HYPERLINK("http://www.ensembl.org/id/WBGene00007141", "WBGene00007141")</f>
        <v>WBGene00007141</v>
      </c>
      <c r="B3171" s="9" t="str">
        <f>HYPERLINK("http://www.ncbi.nlm.nih.gov/gene/179355", "179355")</f>
        <v>179355</v>
      </c>
      <c r="C3171" s="9"/>
      <c r="D3171" t="str">
        <f>"pitr-4"</f>
        <v>pitr-4</v>
      </c>
      <c r="E3171" t="s">
        <v>2064</v>
      </c>
      <c r="F3171" t="s">
        <v>11</v>
      </c>
      <c r="G3171" t="s">
        <v>2065</v>
      </c>
      <c r="H3171" s="12">
        <v>17.857201699036501</v>
      </c>
      <c r="I3171" s="20">
        <v>1.64262505767793</v>
      </c>
      <c r="J3171" s="28">
        <v>0.10046053302285</v>
      </c>
      <c r="K3171" s="29">
        <v>0.73284725105775905</v>
      </c>
    </row>
    <row r="3172" spans="1:11" x14ac:dyDescent="0.35">
      <c r="A3172" s="9" t="str">
        <f>HYPERLINK("http://www.ensembl.org/id/WBGene00010986", "WBGene00010986")</f>
        <v>WBGene00010986</v>
      </c>
      <c r="B3172" s="9" t="str">
        <f>HYPERLINK("http://www.ncbi.nlm.nih.gov/gene/3564903", "3564903")</f>
        <v>3564903</v>
      </c>
      <c r="C3172" s="9"/>
      <c r="D3172" t="str">
        <f>"sprr-1"</f>
        <v>sprr-1</v>
      </c>
      <c r="E3172" t="s">
        <v>2540</v>
      </c>
      <c r="F3172" t="s">
        <v>11</v>
      </c>
      <c r="G3172" t="s">
        <v>1089</v>
      </c>
      <c r="H3172" s="12">
        <v>1.6636930140273101</v>
      </c>
      <c r="I3172" s="20">
        <v>1.64200814915812</v>
      </c>
      <c r="J3172" s="28">
        <v>0.100588315255567</v>
      </c>
      <c r="K3172" s="29">
        <v>0.73284725105775905</v>
      </c>
    </row>
    <row r="3173" spans="1:11" x14ac:dyDescent="0.35">
      <c r="A3173" s="9" t="str">
        <f>HYPERLINK("http://www.ensembl.org/id/WBGene00044229", "WBGene00044229")</f>
        <v>WBGene00044229</v>
      </c>
      <c r="B3173" s="9"/>
      <c r="C3173" s="9"/>
      <c r="D3173" t="str">
        <f>"T03F6.8"</f>
        <v>T03F6.8</v>
      </c>
      <c r="F3173" t="s">
        <v>80</v>
      </c>
      <c r="H3173" s="12">
        <v>4.8379236023195702</v>
      </c>
      <c r="I3173" s="20">
        <v>1.6424861587566999</v>
      </c>
      <c r="J3173" s="28">
        <v>0.100489292307772</v>
      </c>
      <c r="K3173" s="29">
        <v>0.73284725105775905</v>
      </c>
    </row>
    <row r="3174" spans="1:11" x14ac:dyDescent="0.35">
      <c r="A3174" s="9" t="str">
        <f>HYPERLINK("http://www.ensembl.org/id/WBGene00021752", "WBGene00021752")</f>
        <v>WBGene00021752</v>
      </c>
      <c r="B3174" s="9" t="str">
        <f>HYPERLINK("http://www.ncbi.nlm.nih.gov/gene/175190", "175190")</f>
        <v>175190</v>
      </c>
      <c r="C3174" s="9" t="str">
        <f>HYPERLINK("http://www.ncbi.nlm.nih.gov/gene/2068", "2068")</f>
        <v>2068</v>
      </c>
      <c r="D3174" t="str">
        <f>"xpd-1"</f>
        <v>xpd-1</v>
      </c>
      <c r="E3174" t="s">
        <v>2544</v>
      </c>
      <c r="F3174" t="s">
        <v>11</v>
      </c>
      <c r="G3174" t="s">
        <v>2545</v>
      </c>
      <c r="H3174" s="12">
        <v>-1.4385824311347499</v>
      </c>
      <c r="I3174" s="20">
        <v>-1.6425945224634</v>
      </c>
      <c r="J3174" s="28">
        <v>0.10046685483423499</v>
      </c>
      <c r="K3174" s="29">
        <v>0.73284725105775905</v>
      </c>
    </row>
    <row r="3175" spans="1:11" x14ac:dyDescent="0.35">
      <c r="A3175" s="9" t="str">
        <f>HYPERLINK("http://www.ensembl.org/id/WBGene00015052", "WBGene00015052")</f>
        <v>WBGene00015052</v>
      </c>
      <c r="B3175" s="9" t="str">
        <f>HYPERLINK("http://www.ncbi.nlm.nih.gov/gene/181855", "181855")</f>
        <v>181855</v>
      </c>
      <c r="C3175" s="9"/>
      <c r="D3175" t="str">
        <f>"clec-52"</f>
        <v>clec-52</v>
      </c>
      <c r="E3175" t="s">
        <v>46</v>
      </c>
      <c r="F3175" t="s">
        <v>11</v>
      </c>
      <c r="G3175" t="s">
        <v>2547</v>
      </c>
      <c r="H3175" s="12">
        <v>-1.4885646961860699</v>
      </c>
      <c r="I3175" s="20">
        <v>-1.64132622715165</v>
      </c>
      <c r="J3175" s="28">
        <v>0.100729714639019</v>
      </c>
      <c r="K3175" s="29">
        <v>0.73328947273130995</v>
      </c>
    </row>
    <row r="3176" spans="1:11" x14ac:dyDescent="0.35">
      <c r="A3176" s="9" t="str">
        <f>HYPERLINK("http://www.ensembl.org/id/WBGene00004395", "WBGene00004395")</f>
        <v>WBGene00004395</v>
      </c>
      <c r="B3176" s="9" t="str">
        <f>HYPERLINK("http://www.ncbi.nlm.nih.gov/gene/179204", "179204")</f>
        <v>179204</v>
      </c>
      <c r="C3176" s="9"/>
      <c r="D3176" t="str">
        <f>"rol-3"</f>
        <v>rol-3</v>
      </c>
      <c r="F3176" t="s">
        <v>11</v>
      </c>
      <c r="G3176" t="s">
        <v>2546</v>
      </c>
      <c r="H3176" s="12">
        <v>1.84181062409096</v>
      </c>
      <c r="I3176" s="20">
        <v>1.64139477166411</v>
      </c>
      <c r="J3176" s="28">
        <v>0.10071549449070499</v>
      </c>
      <c r="K3176" s="29">
        <v>0.73328947273130995</v>
      </c>
    </row>
    <row r="3177" spans="1:11" x14ac:dyDescent="0.35">
      <c r="A3177" s="9" t="str">
        <f>HYPERLINK("http://www.ensembl.org/id/WBGene00004364", "WBGene00004364")</f>
        <v>WBGene00004364</v>
      </c>
      <c r="B3177" s="9" t="str">
        <f>HYPERLINK("http://www.ncbi.nlm.nih.gov/gene/179427", "179427")</f>
        <v>179427</v>
      </c>
      <c r="C3177" s="9"/>
      <c r="D3177" t="str">
        <f>"ric-4"</f>
        <v>ric-4</v>
      </c>
      <c r="E3177" t="s">
        <v>2548</v>
      </c>
      <c r="F3177" t="s">
        <v>11</v>
      </c>
      <c r="G3177" t="s">
        <v>2549</v>
      </c>
      <c r="H3177" s="12">
        <v>1.37454263785481</v>
      </c>
      <c r="I3177" s="20">
        <v>1.6406890425788601</v>
      </c>
      <c r="J3177" s="28">
        <v>0.100861980634728</v>
      </c>
      <c r="K3177" s="29">
        <v>0.73402107859717103</v>
      </c>
    </row>
    <row r="3178" spans="1:11" x14ac:dyDescent="0.35">
      <c r="A3178" s="9" t="str">
        <f>HYPERLINK("http://www.ensembl.org/id/WBGene00017796", "WBGene00017796")</f>
        <v>WBGene00017796</v>
      </c>
      <c r="B3178" s="9" t="str">
        <f>HYPERLINK("http://www.ncbi.nlm.nih.gov/gene/179239", "179239")</f>
        <v>179239</v>
      </c>
      <c r="C3178" s="9"/>
      <c r="D3178" t="str">
        <f>"F25G6.1"</f>
        <v>F25G6.1</v>
      </c>
      <c r="F3178" t="s">
        <v>11</v>
      </c>
      <c r="H3178" s="12">
        <v>1.6932138593526</v>
      </c>
      <c r="I3178" s="20">
        <v>1.6398877346694301</v>
      </c>
      <c r="J3178" s="28">
        <v>0.10102851155060701</v>
      </c>
      <c r="K3178" s="29">
        <v>0.73410998109962999</v>
      </c>
    </row>
    <row r="3179" spans="1:11" x14ac:dyDescent="0.35">
      <c r="A3179" s="9" t="str">
        <f>HYPERLINK("http://www.ensembl.org/id/WBGene00009770", "WBGene00009770")</f>
        <v>WBGene00009770</v>
      </c>
      <c r="B3179" s="9" t="str">
        <f>HYPERLINK("http://www.ncbi.nlm.nih.gov/gene/179373", "179373")</f>
        <v>179373</v>
      </c>
      <c r="C3179" s="9"/>
      <c r="D3179" t="str">
        <f>"F46B6.5"</f>
        <v>F46B6.5</v>
      </c>
      <c r="F3179" t="s">
        <v>11</v>
      </c>
      <c r="G3179" t="s">
        <v>2553</v>
      </c>
      <c r="H3179" s="12">
        <v>-1.3707204013177301</v>
      </c>
      <c r="I3179" s="20">
        <v>-1.63984194246931</v>
      </c>
      <c r="J3179" s="28">
        <v>0.101038034875837</v>
      </c>
      <c r="K3179" s="29">
        <v>0.73410998109962999</v>
      </c>
    </row>
    <row r="3180" spans="1:11" x14ac:dyDescent="0.35">
      <c r="A3180" s="9" t="str">
        <f>HYPERLINK("http://www.ensembl.org/id/WBGene00012257", "WBGene00012257")</f>
        <v>WBGene00012257</v>
      </c>
      <c r="B3180" s="9" t="str">
        <f>HYPERLINK("http://www.ncbi.nlm.nih.gov/gene/181298", "181298")</f>
        <v>181298</v>
      </c>
      <c r="C3180" s="9"/>
      <c r="D3180" t="str">
        <f>"lpr-4"</f>
        <v>lpr-4</v>
      </c>
      <c r="E3180" t="s">
        <v>865</v>
      </c>
      <c r="F3180" t="s">
        <v>11</v>
      </c>
      <c r="G3180" t="s">
        <v>2550</v>
      </c>
      <c r="H3180" s="12">
        <v>1.6812348091070699</v>
      </c>
      <c r="I3180" s="20">
        <v>1.6398887393833701</v>
      </c>
      <c r="J3180" s="28">
        <v>0.101028302609991</v>
      </c>
      <c r="K3180" s="29">
        <v>0.73410998109962999</v>
      </c>
    </row>
    <row r="3181" spans="1:11" x14ac:dyDescent="0.35">
      <c r="A3181" s="9" t="str">
        <f>HYPERLINK("http://www.ensembl.org/id/WBGene00003785", "WBGene00003785")</f>
        <v>WBGene00003785</v>
      </c>
      <c r="B3181" s="9" t="str">
        <f>HYPERLINK("http://www.ncbi.nlm.nih.gov/gene/174535", "174535")</f>
        <v>174535</v>
      </c>
      <c r="C3181" s="9"/>
      <c r="D3181" t="str">
        <f>"nos-3"</f>
        <v>nos-3</v>
      </c>
      <c r="E3181" t="s">
        <v>297</v>
      </c>
      <c r="F3181" t="s">
        <v>11</v>
      </c>
      <c r="G3181" t="s">
        <v>2554</v>
      </c>
      <c r="H3181" s="12">
        <v>-1.37858219690198</v>
      </c>
      <c r="I3181" s="20">
        <v>-1.64037746241813</v>
      </c>
      <c r="J3181" s="28">
        <v>0.100926708424126</v>
      </c>
      <c r="K3181" s="29">
        <v>0.73410998109962999</v>
      </c>
    </row>
    <row r="3182" spans="1:11" x14ac:dyDescent="0.35">
      <c r="A3182" s="9" t="str">
        <f>HYPERLINK("http://www.ensembl.org/id/WBGene00004463", "WBGene00004463")</f>
        <v>WBGene00004463</v>
      </c>
      <c r="B3182" s="9" t="str">
        <f>HYPERLINK("http://www.ncbi.nlm.nih.gov/gene/177753", "177753")</f>
        <v>177753</v>
      </c>
      <c r="C3182" s="9" t="str">
        <f>HYPERLINK("http://www.ncbi.nlm.nih.gov/gene/9861", "9861")</f>
        <v>9861</v>
      </c>
      <c r="D3182" t="str">
        <f>"rpn-7"</f>
        <v>rpn-7</v>
      </c>
      <c r="E3182" t="s">
        <v>2551</v>
      </c>
      <c r="F3182" t="s">
        <v>11</v>
      </c>
      <c r="G3182" t="s">
        <v>2552</v>
      </c>
      <c r="H3182" s="12">
        <v>-1.3470576770792599</v>
      </c>
      <c r="I3182" s="20">
        <v>-1.6397131418784201</v>
      </c>
      <c r="J3182" s="28">
        <v>0.10106482514835601</v>
      </c>
      <c r="K3182" s="29">
        <v>0.73410998109962999</v>
      </c>
    </row>
    <row r="3183" spans="1:11" x14ac:dyDescent="0.35">
      <c r="A3183" s="9" t="str">
        <f>HYPERLINK("http://www.ensembl.org/id/WBGene00005764", "WBGene00005764")</f>
        <v>WBGene00005764</v>
      </c>
      <c r="B3183" s="9" t="str">
        <f>HYPERLINK("http://www.ncbi.nlm.nih.gov/gene/188395", "188395")</f>
        <v>188395</v>
      </c>
      <c r="C3183" s="9"/>
      <c r="D3183" t="str">
        <f>"srw-17"</f>
        <v>srw-17</v>
      </c>
      <c r="E3183" t="s">
        <v>1014</v>
      </c>
      <c r="F3183" t="s">
        <v>11</v>
      </c>
      <c r="G3183" t="s">
        <v>1015</v>
      </c>
      <c r="H3183" s="12">
        <v>5.9423046370038604</v>
      </c>
      <c r="I3183" s="20">
        <v>1.6401482683689099</v>
      </c>
      <c r="J3183" s="28">
        <v>0.100974342412052</v>
      </c>
      <c r="K3183" s="29">
        <v>0.73410998109962999</v>
      </c>
    </row>
    <row r="3184" spans="1:11" x14ac:dyDescent="0.35">
      <c r="A3184" s="9" t="str">
        <f>HYPERLINK("http://www.ensembl.org/id/WBGene00012768", "WBGene00012768")</f>
        <v>WBGene00012768</v>
      </c>
      <c r="B3184" s="9" t="str">
        <f>HYPERLINK("http://www.ncbi.nlm.nih.gov/gene/178419", "178419")</f>
        <v>178419</v>
      </c>
      <c r="C3184" s="9" t="str">
        <f>HYPERLINK("http://www.ncbi.nlm.nih.gov/gene/1936", "1936")</f>
        <v>1936</v>
      </c>
      <c r="D3184" t="str">
        <f>"eef-1B.2"</f>
        <v>eef-1B.2</v>
      </c>
      <c r="E3184" t="s">
        <v>2555</v>
      </c>
      <c r="F3184" t="s">
        <v>11</v>
      </c>
      <c r="G3184" t="s">
        <v>2556</v>
      </c>
      <c r="H3184" s="12">
        <v>-1.3456429543527699</v>
      </c>
      <c r="I3184" s="20">
        <v>-1.63940325024162</v>
      </c>
      <c r="J3184" s="28">
        <v>0.101129305193134</v>
      </c>
      <c r="K3184" s="29">
        <v>0.73434749396372101</v>
      </c>
    </row>
    <row r="3185" spans="1:11" x14ac:dyDescent="0.35">
      <c r="A3185" s="9" t="str">
        <f>HYPERLINK("http://www.ensembl.org/id/WBGene00007548", "WBGene00007548")</f>
        <v>WBGene00007548</v>
      </c>
      <c r="B3185" s="9" t="str">
        <f>HYPERLINK("http://www.ncbi.nlm.nih.gov/gene/179661", "179661")</f>
        <v>179661</v>
      </c>
      <c r="C3185" s="9" t="str">
        <f>HYPERLINK("http://www.ncbi.nlm.nih.gov/gene/64077", "64077")</f>
        <v>64077</v>
      </c>
      <c r="D3185" t="str">
        <f>"C13C4.4"</f>
        <v>C13C4.4</v>
      </c>
      <c r="F3185" t="s">
        <v>11</v>
      </c>
      <c r="G3185" t="s">
        <v>2557</v>
      </c>
      <c r="H3185" s="12">
        <v>1.5164057143420899</v>
      </c>
      <c r="I3185" s="20">
        <v>1.63878326741139</v>
      </c>
      <c r="J3185" s="28">
        <v>0.101258405168014</v>
      </c>
      <c r="K3185" s="29">
        <v>0.73436180471190704</v>
      </c>
    </row>
    <row r="3186" spans="1:11" x14ac:dyDescent="0.35">
      <c r="A3186" s="9" t="str">
        <f>HYPERLINK("http://www.ensembl.org/id/WBGene00009293", "WBGene00009293")</f>
        <v>WBGene00009293</v>
      </c>
      <c r="B3186" s="9" t="str">
        <f>HYPERLINK("http://www.ncbi.nlm.nih.gov/gene/185150", "185150")</f>
        <v>185150</v>
      </c>
      <c r="C3186" s="9"/>
      <c r="D3186" t="str">
        <f>"F31D4.8"</f>
        <v>F31D4.8</v>
      </c>
      <c r="F3186" t="s">
        <v>11</v>
      </c>
      <c r="H3186" s="12">
        <v>-1.70228140889667</v>
      </c>
      <c r="I3186" s="20">
        <v>-1.63888707752411</v>
      </c>
      <c r="J3186" s="28">
        <v>0.101236779484111</v>
      </c>
      <c r="K3186" s="29">
        <v>0.73436180471190704</v>
      </c>
    </row>
    <row r="3187" spans="1:11" x14ac:dyDescent="0.35">
      <c r="A3187" s="9" t="str">
        <f>HYPERLINK("http://www.ensembl.org/id/WBGene00004952", "WBGene00004952")</f>
        <v>WBGene00004952</v>
      </c>
      <c r="B3187" s="9" t="str">
        <f>HYPERLINK("http://www.ncbi.nlm.nih.gov/gene/171683", "171683")</f>
        <v>171683</v>
      </c>
      <c r="C3187" s="9"/>
      <c r="D3187" t="str">
        <f>"spd-1"</f>
        <v>spd-1</v>
      </c>
      <c r="E3187" t="s">
        <v>2558</v>
      </c>
      <c r="F3187" t="s">
        <v>11</v>
      </c>
      <c r="G3187" t="s">
        <v>2559</v>
      </c>
      <c r="H3187" s="12">
        <v>-1.49147279042471</v>
      </c>
      <c r="I3187" s="20">
        <v>-1.63912329067745</v>
      </c>
      <c r="J3187" s="28">
        <v>0.10118758535723001</v>
      </c>
      <c r="K3187" s="29">
        <v>0.73436180471190704</v>
      </c>
    </row>
    <row r="3188" spans="1:11" x14ac:dyDescent="0.35">
      <c r="A3188" s="9" t="str">
        <f>HYPERLINK("http://www.ensembl.org/id/WBGene00022747", "WBGene00022747")</f>
        <v>WBGene00022747</v>
      </c>
      <c r="B3188" s="9" t="str">
        <f>HYPERLINK("http://www.ncbi.nlm.nih.gov/gene/191326", "191326")</f>
        <v>191326</v>
      </c>
      <c r="C3188" s="9"/>
      <c r="D3188" t="str">
        <f>"ZK470.6"</f>
        <v>ZK470.6</v>
      </c>
      <c r="F3188" t="s">
        <v>11</v>
      </c>
      <c r="H3188" s="12">
        <v>-1.5270284856613601</v>
      </c>
      <c r="I3188" s="20">
        <v>-1.6390409063687299</v>
      </c>
      <c r="J3188" s="28">
        <v>0.10120474068145099</v>
      </c>
      <c r="K3188" s="29">
        <v>0.73436180471190704</v>
      </c>
    </row>
    <row r="3189" spans="1:11" x14ac:dyDescent="0.35">
      <c r="A3189" s="9" t="str">
        <f>HYPERLINK("http://www.ensembl.org/id/WBGene00000018", "WBGene00000018")</f>
        <v>WBGene00000018</v>
      </c>
      <c r="B3189" s="9" t="str">
        <f>HYPERLINK("http://www.ncbi.nlm.nih.gov/gene/181261", "181261")</f>
        <v>181261</v>
      </c>
      <c r="C3189" s="9"/>
      <c r="D3189" t="str">
        <f>"abl-1"</f>
        <v>abl-1</v>
      </c>
      <c r="E3189" t="s">
        <v>2560</v>
      </c>
      <c r="F3189" t="s">
        <v>11</v>
      </c>
      <c r="G3189" t="s">
        <v>2561</v>
      </c>
      <c r="H3189" s="12">
        <v>1.3723714061182299</v>
      </c>
      <c r="I3189" s="20">
        <v>1.63809368991927</v>
      </c>
      <c r="J3189" s="28">
        <v>0.10140215110809001</v>
      </c>
      <c r="K3189" s="29">
        <v>0.73462160068528903</v>
      </c>
    </row>
    <row r="3190" spans="1:11" x14ac:dyDescent="0.35">
      <c r="A3190" s="9" t="str">
        <f>HYPERLINK("http://www.ensembl.org/id/WBGene00010403", "WBGene00010403")</f>
        <v>WBGene00010403</v>
      </c>
      <c r="B3190" s="9" t="str">
        <f>HYPERLINK("http://www.ncbi.nlm.nih.gov/gene/186752", "186752")</f>
        <v>186752</v>
      </c>
      <c r="C3190" s="9"/>
      <c r="D3190" t="str">
        <f>"otpl-8"</f>
        <v>otpl-8</v>
      </c>
      <c r="E3190" t="s">
        <v>233</v>
      </c>
      <c r="F3190" t="s">
        <v>11</v>
      </c>
      <c r="G3190" t="s">
        <v>234</v>
      </c>
      <c r="H3190" s="12">
        <v>2.8535653364449201</v>
      </c>
      <c r="I3190" s="20">
        <v>1.6382736406199001</v>
      </c>
      <c r="J3190" s="28">
        <v>0.101364623806254</v>
      </c>
      <c r="K3190" s="29">
        <v>0.73462160068528903</v>
      </c>
    </row>
    <row r="3191" spans="1:11" x14ac:dyDescent="0.35">
      <c r="A3191" s="9" t="str">
        <f>HYPERLINK("http://www.ensembl.org/id/WBGene00235133", "WBGene00235133")</f>
        <v>WBGene00235133</v>
      </c>
      <c r="B3191" s="9" t="str">
        <f>HYPERLINK("http://www.ncbi.nlm.nih.gov/gene/24104950", "24104950")</f>
        <v>24104950</v>
      </c>
      <c r="C3191" s="9"/>
      <c r="D3191" t="str">
        <f>"T26H5.14"</f>
        <v>T26H5.14</v>
      </c>
      <c r="F3191" t="s">
        <v>11</v>
      </c>
      <c r="H3191" s="12">
        <v>-1.59457908881197</v>
      </c>
      <c r="I3191" s="20">
        <v>-1.6380014004832799</v>
      </c>
      <c r="J3191" s="28">
        <v>0.101421401635336</v>
      </c>
      <c r="K3191" s="29">
        <v>0.73462160068528903</v>
      </c>
    </row>
    <row r="3192" spans="1:11" x14ac:dyDescent="0.35">
      <c r="A3192" s="9" t="str">
        <f>HYPERLINK("http://www.ensembl.org/id/WBGene00013943", "WBGene00013943")</f>
        <v>WBGene00013943</v>
      </c>
      <c r="B3192" s="9" t="str">
        <f>HYPERLINK("http://www.ncbi.nlm.nih.gov/gene/191249", "191249")</f>
        <v>191249</v>
      </c>
      <c r="C3192" s="9"/>
      <c r="D3192" t="str">
        <f>"ZK218.11"</f>
        <v>ZK218.11</v>
      </c>
      <c r="F3192" t="s">
        <v>11</v>
      </c>
      <c r="H3192" s="12">
        <v>27.1269424808285</v>
      </c>
      <c r="I3192" s="20">
        <v>1.63835563930337</v>
      </c>
      <c r="J3192" s="28">
        <v>0.101347527295212</v>
      </c>
      <c r="K3192" s="29">
        <v>0.73462160068528903</v>
      </c>
    </row>
    <row r="3193" spans="1:11" x14ac:dyDescent="0.35">
      <c r="A3193" s="9" t="str">
        <f>HYPERLINK("http://www.ensembl.org/id/WBGene00019435", "WBGene00019435")</f>
        <v>WBGene00019435</v>
      </c>
      <c r="B3193" s="9" t="str">
        <f>HYPERLINK("http://www.ncbi.nlm.nih.gov/gene/180494", "180494")</f>
        <v>180494</v>
      </c>
      <c r="C3193" s="9"/>
      <c r="D3193" t="str">
        <f>"K06A9.1"</f>
        <v>K06A9.1</v>
      </c>
      <c r="F3193" t="s">
        <v>11</v>
      </c>
      <c r="G3193" t="s">
        <v>25</v>
      </c>
      <c r="H3193" s="12">
        <v>1.5205131149306299</v>
      </c>
      <c r="I3193" s="20">
        <v>1.6376096112710501</v>
      </c>
      <c r="J3193" s="28">
        <v>0.10150315681698199</v>
      </c>
      <c r="K3193" s="29">
        <v>0.73498337242657097</v>
      </c>
    </row>
    <row r="3194" spans="1:11" x14ac:dyDescent="0.35">
      <c r="A3194" s="9" t="str">
        <f>HYPERLINK("http://www.ensembl.org/id/WBGene00015499", "WBGene00015499")</f>
        <v>WBGene00015499</v>
      </c>
      <c r="B3194" s="9" t="str">
        <f>HYPERLINK("http://www.ncbi.nlm.nih.gov/gene/182280", "182280")</f>
        <v>182280</v>
      </c>
      <c r="C3194" s="9"/>
      <c r="D3194" t="str">
        <f>"inst-1"</f>
        <v>inst-1</v>
      </c>
      <c r="E3194" t="s">
        <v>2562</v>
      </c>
      <c r="F3194" t="s">
        <v>11</v>
      </c>
      <c r="G3194" t="s">
        <v>2563</v>
      </c>
      <c r="H3194" s="12">
        <v>-1.3777989528771299</v>
      </c>
      <c r="I3194" s="20">
        <v>-1.6372854161911099</v>
      </c>
      <c r="J3194" s="28">
        <v>0.10157084671201499</v>
      </c>
      <c r="K3194" s="29">
        <v>0.73524310279693506</v>
      </c>
    </row>
    <row r="3195" spans="1:11" x14ac:dyDescent="0.35">
      <c r="A3195" s="9" t="str">
        <f>HYPERLINK("http://www.ensembl.org/id/WBGene00015360", "WBGene00015360")</f>
        <v>WBGene00015360</v>
      </c>
      <c r="B3195" s="9" t="str">
        <f>HYPERLINK("http://www.ncbi.nlm.nih.gov/gene/182128", "182128")</f>
        <v>182128</v>
      </c>
      <c r="C3195" s="9" t="str">
        <f>HYPERLINK("http://www.ncbi.nlm.nih.gov/gene/3416", "3416")</f>
        <v>3416</v>
      </c>
      <c r="D3195" t="str">
        <f>"C02G6.2"</f>
        <v>C02G6.2</v>
      </c>
      <c r="F3195" t="s">
        <v>11</v>
      </c>
      <c r="G3195" t="s">
        <v>1258</v>
      </c>
      <c r="H3195" s="12">
        <v>10.880256400548401</v>
      </c>
      <c r="I3195" s="20">
        <v>1.6370405818770399</v>
      </c>
      <c r="J3195" s="28">
        <v>0.10162199039686801</v>
      </c>
      <c r="K3195" s="29">
        <v>0.73538293457877402</v>
      </c>
    </row>
    <row r="3196" spans="1:11" x14ac:dyDescent="0.35">
      <c r="A3196" s="9" t="str">
        <f>HYPERLINK("http://www.ensembl.org/id/WBGene00006700", "WBGene00006700")</f>
        <v>WBGene00006700</v>
      </c>
      <c r="B3196" s="9" t="str">
        <f>HYPERLINK("http://www.ncbi.nlm.nih.gov/gene/24104970", "24104970")</f>
        <v>24104970</v>
      </c>
      <c r="C3196" s="9"/>
      <c r="D3196" t="str">
        <f>"uba-2"</f>
        <v>uba-2</v>
      </c>
      <c r="E3196" t="s">
        <v>2564</v>
      </c>
      <c r="F3196" t="s">
        <v>11</v>
      </c>
      <c r="G3196" t="s">
        <v>2565</v>
      </c>
      <c r="H3196" s="12">
        <v>-1.4260387061469399</v>
      </c>
      <c r="I3196" s="20">
        <v>-1.6362036436968099</v>
      </c>
      <c r="J3196" s="28">
        <v>0.101796974115872</v>
      </c>
      <c r="K3196" s="29">
        <v>0.73641856102734704</v>
      </c>
    </row>
    <row r="3197" spans="1:11" x14ac:dyDescent="0.35">
      <c r="A3197" s="9" t="str">
        <f>HYPERLINK("http://www.ensembl.org/id/WBGene00044636", "WBGene00044636")</f>
        <v>WBGene00044636</v>
      </c>
      <c r="B3197" s="9" t="str">
        <f>HYPERLINK("http://www.ncbi.nlm.nih.gov/gene/3896732", "3896732")</f>
        <v>3896732</v>
      </c>
      <c r="C3197" s="9"/>
      <c r="D3197" t="str">
        <f>"B0393.9"</f>
        <v>B0393.9</v>
      </c>
      <c r="F3197" t="s">
        <v>11</v>
      </c>
      <c r="H3197" s="12">
        <v>-1.4613210176448601</v>
      </c>
      <c r="I3197" s="20">
        <v>-1.6359198595119</v>
      </c>
      <c r="J3197" s="28">
        <v>0.10185636101582</v>
      </c>
      <c r="K3197" s="29">
        <v>0.73661755168435905</v>
      </c>
    </row>
    <row r="3198" spans="1:11" x14ac:dyDescent="0.35">
      <c r="A3198" s="9" t="str">
        <f>HYPERLINK("http://www.ensembl.org/id/WBGene00009380", "WBGene00009380")</f>
        <v>WBGene00009380</v>
      </c>
      <c r="B3198" s="9" t="str">
        <f>HYPERLINK("http://www.ncbi.nlm.nih.gov/gene/181180", "181180")</f>
        <v>181180</v>
      </c>
      <c r="C3198" s="9"/>
      <c r="D3198" t="str">
        <f>"F34H10.3"</f>
        <v>F34H10.3</v>
      </c>
      <c r="F3198" t="s">
        <v>11</v>
      </c>
      <c r="H3198" s="12">
        <v>1.3615534465619901</v>
      </c>
      <c r="I3198" s="20">
        <v>1.6353340450857199</v>
      </c>
      <c r="J3198" s="28">
        <v>0.101979040356916</v>
      </c>
      <c r="K3198" s="29">
        <v>0.73727400077812599</v>
      </c>
    </row>
    <row r="3199" spans="1:11" x14ac:dyDescent="0.35">
      <c r="A3199" s="9" t="str">
        <f>HYPERLINK("http://www.ensembl.org/id/WBGene00001245", "WBGene00001245")</f>
        <v>WBGene00001245</v>
      </c>
      <c r="B3199" s="9" t="str">
        <f>HYPERLINK("http://www.ncbi.nlm.nih.gov/gene/186426", "186426")</f>
        <v>186426</v>
      </c>
      <c r="C3199" s="9"/>
      <c r="D3199" t="str">
        <f>"elo-7"</f>
        <v>elo-7</v>
      </c>
      <c r="E3199" t="s">
        <v>1769</v>
      </c>
      <c r="F3199" t="s">
        <v>11</v>
      </c>
      <c r="G3199" t="s">
        <v>2566</v>
      </c>
      <c r="H3199" s="12">
        <v>31.129280622292601</v>
      </c>
      <c r="I3199" s="20">
        <v>1.6349868936644001</v>
      </c>
      <c r="J3199" s="28">
        <v>0.10205179515325299</v>
      </c>
      <c r="K3199" s="29">
        <v>0.73756921451706503</v>
      </c>
    </row>
    <row r="3200" spans="1:11" x14ac:dyDescent="0.35">
      <c r="A3200" s="9" t="str">
        <f>HYPERLINK("http://www.ensembl.org/id/WBGene00019225", "WBGene00019225")</f>
        <v>WBGene00019225</v>
      </c>
      <c r="B3200" s="9" t="str">
        <f>HYPERLINK("http://www.ncbi.nlm.nih.gov/gene/180945", "180945")</f>
        <v>180945</v>
      </c>
      <c r="C3200" s="9" t="str">
        <f>HYPERLINK("http://www.ncbi.nlm.nih.gov/gene/2720", "2720")</f>
        <v>2720</v>
      </c>
      <c r="D3200" t="str">
        <f>"bgal-2"</f>
        <v>bgal-2</v>
      </c>
      <c r="E3200" t="s">
        <v>2567</v>
      </c>
      <c r="F3200" t="s">
        <v>11</v>
      </c>
      <c r="G3200" t="s">
        <v>831</v>
      </c>
      <c r="H3200" s="12">
        <v>-1.5392289970419399</v>
      </c>
      <c r="I3200" s="20">
        <v>-1.63467159499767</v>
      </c>
      <c r="J3200" s="28">
        <v>0.102117910154124</v>
      </c>
      <c r="K3200" s="29">
        <v>0.73758563051616</v>
      </c>
    </row>
    <row r="3201" spans="1:11" x14ac:dyDescent="0.35">
      <c r="A3201" s="9" t="str">
        <f>HYPERLINK("http://www.ensembl.org/id/WBGene00018157", "WBGene00018157")</f>
        <v>WBGene00018157</v>
      </c>
      <c r="B3201" s="9" t="str">
        <f>HYPERLINK("http://www.ncbi.nlm.nih.gov/gene/185427", "185427")</f>
        <v>185427</v>
      </c>
      <c r="C3201" s="9"/>
      <c r="D3201" t="str">
        <f>"lron-6"</f>
        <v>lron-6</v>
      </c>
      <c r="E3201" t="s">
        <v>814</v>
      </c>
      <c r="F3201" t="s">
        <v>11</v>
      </c>
      <c r="G3201" t="s">
        <v>417</v>
      </c>
      <c r="H3201" s="12">
        <v>2.7609128980958801</v>
      </c>
      <c r="I3201" s="20">
        <v>1.6346731479482599</v>
      </c>
      <c r="J3201" s="28">
        <v>0.102117584432282</v>
      </c>
      <c r="K3201" s="29">
        <v>0.73758563051616</v>
      </c>
    </row>
    <row r="3202" spans="1:11" x14ac:dyDescent="0.35">
      <c r="A3202" s="9" t="str">
        <f>HYPERLINK("http://www.ensembl.org/id/WBGene00044455", "WBGene00044455")</f>
        <v>WBGene00044455</v>
      </c>
      <c r="B3202" s="9" t="str">
        <f>HYPERLINK("http://www.ncbi.nlm.nih.gov/gene/3896740", "3896740")</f>
        <v>3896740</v>
      </c>
      <c r="C3202" s="9"/>
      <c r="D3202" t="str">
        <f>"F23F12.13"</f>
        <v>F23F12.13</v>
      </c>
      <c r="F3202" t="s">
        <v>11</v>
      </c>
      <c r="G3202" t="s">
        <v>230</v>
      </c>
      <c r="H3202" s="12">
        <v>-2.91982508072606</v>
      </c>
      <c r="I3202" s="20">
        <v>-1.63312737374844</v>
      </c>
      <c r="J3202" s="28">
        <v>0.102442210495894</v>
      </c>
      <c r="K3202" s="29">
        <v>0.73919851662547598</v>
      </c>
    </row>
    <row r="3203" spans="1:11" x14ac:dyDescent="0.35">
      <c r="A3203" s="9" t="str">
        <f>HYPERLINK("http://www.ensembl.org/id/WBGene00003154", "WBGene00003154")</f>
        <v>WBGene00003154</v>
      </c>
      <c r="B3203" s="9" t="str">
        <f>HYPERLINK("http://www.ncbi.nlm.nih.gov/gene/174841", "174841")</f>
        <v>174841</v>
      </c>
      <c r="C3203" s="9" t="str">
        <f>HYPERLINK("http://www.ncbi.nlm.nih.gov/gene/4171", "4171")</f>
        <v>4171</v>
      </c>
      <c r="D3203" t="str">
        <f>"mcm-2"</f>
        <v>mcm-2</v>
      </c>
      <c r="E3203" t="s">
        <v>2018</v>
      </c>
      <c r="F3203" t="s">
        <v>11</v>
      </c>
      <c r="G3203" t="s">
        <v>2570</v>
      </c>
      <c r="H3203" s="12">
        <v>-1.4637190121020001</v>
      </c>
      <c r="I3203" s="20">
        <v>-1.6330965989019901</v>
      </c>
      <c r="J3203" s="28">
        <v>0.102448681808412</v>
      </c>
      <c r="K3203" s="29">
        <v>0.73919851662547598</v>
      </c>
    </row>
    <row r="3204" spans="1:11" x14ac:dyDescent="0.35">
      <c r="A3204" s="9" t="str">
        <f>HYPERLINK("http://www.ensembl.org/id/WBGene00003220", "WBGene00003220")</f>
        <v>WBGene00003220</v>
      </c>
      <c r="B3204" s="9" t="str">
        <f>HYPERLINK("http://www.ncbi.nlm.nih.gov/gene/175096", "175096")</f>
        <v>175096</v>
      </c>
      <c r="C3204" s="9"/>
      <c r="D3204" t="str">
        <f>"mes-2"</f>
        <v>mes-2</v>
      </c>
      <c r="E3204" t="s">
        <v>2569</v>
      </c>
      <c r="F3204" t="s">
        <v>11</v>
      </c>
      <c r="G3204" t="s">
        <v>54</v>
      </c>
      <c r="H3204" s="12">
        <v>-1.4262819648734599</v>
      </c>
      <c r="I3204" s="20">
        <v>-1.6331372316339601</v>
      </c>
      <c r="J3204" s="28">
        <v>0.102440137655612</v>
      </c>
      <c r="K3204" s="29">
        <v>0.73919851662547598</v>
      </c>
    </row>
    <row r="3205" spans="1:11" x14ac:dyDescent="0.35">
      <c r="A3205" s="9" t="str">
        <f>HYPERLINK("http://www.ensembl.org/id/WBGene00004106", "WBGene00004106")</f>
        <v>WBGene00004106</v>
      </c>
      <c r="B3205" s="9" t="str">
        <f>HYPERLINK("http://www.ncbi.nlm.nih.gov/gene/180705", "180705")</f>
        <v>180705</v>
      </c>
      <c r="C3205" s="9"/>
      <c r="D3205" t="str">
        <f>"pqn-15"</f>
        <v>pqn-15</v>
      </c>
      <c r="E3205" t="s">
        <v>432</v>
      </c>
      <c r="F3205" t="s">
        <v>11</v>
      </c>
      <c r="G3205" t="s">
        <v>2568</v>
      </c>
      <c r="H3205" s="12">
        <v>1.3585439099834999</v>
      </c>
      <c r="I3205" s="20">
        <v>1.6329991333192599</v>
      </c>
      <c r="J3205" s="28">
        <v>0.102469178947087</v>
      </c>
      <c r="K3205" s="29">
        <v>0.73919851662547598</v>
      </c>
    </row>
    <row r="3206" spans="1:11" x14ac:dyDescent="0.35">
      <c r="A3206" s="9" t="str">
        <f>HYPERLINK("http://www.ensembl.org/id/WBGene00017570", "WBGene00017570")</f>
        <v>WBGene00017570</v>
      </c>
      <c r="B3206" s="9" t="str">
        <f>HYPERLINK("http://www.ncbi.nlm.nih.gov/gene/184648", "184648")</f>
        <v>184648</v>
      </c>
      <c r="C3206" s="9"/>
      <c r="D3206" t="str">
        <f>"F18E9.4"</f>
        <v>F18E9.4</v>
      </c>
      <c r="F3206" t="s">
        <v>11</v>
      </c>
      <c r="H3206" s="12">
        <v>2.96012164725584</v>
      </c>
      <c r="I3206" s="20">
        <v>1.6322066039661101</v>
      </c>
      <c r="J3206" s="28">
        <v>0.102635970053781</v>
      </c>
      <c r="K3206" s="29">
        <v>0.73993969549537197</v>
      </c>
    </row>
    <row r="3207" spans="1:11" x14ac:dyDescent="0.35">
      <c r="A3207" s="9" t="str">
        <f>HYPERLINK("http://www.ensembl.org/id/WBGene00003886", "WBGene00003886")</f>
        <v>WBGene00003886</v>
      </c>
      <c r="B3207" s="9" t="str">
        <f>HYPERLINK("http://www.ncbi.nlm.nih.gov/gene/179631", "179631")</f>
        <v>179631</v>
      </c>
      <c r="C3207" s="9" t="str">
        <f>HYPERLINK("http://www.ncbi.nlm.nih.gov/gene/51098", "51098")</f>
        <v>51098</v>
      </c>
      <c r="D3207" t="str">
        <f>"osm-6"</f>
        <v>osm-6</v>
      </c>
      <c r="E3207" t="s">
        <v>2571</v>
      </c>
      <c r="F3207" t="s">
        <v>11</v>
      </c>
      <c r="G3207" t="s">
        <v>2572</v>
      </c>
      <c r="H3207" s="12">
        <v>2.62709135910971</v>
      </c>
      <c r="I3207" s="20">
        <v>1.63234632203709</v>
      </c>
      <c r="J3207" s="28">
        <v>0.102606550132592</v>
      </c>
      <c r="K3207" s="29">
        <v>0.73993969549537197</v>
      </c>
    </row>
    <row r="3208" spans="1:11" x14ac:dyDescent="0.35">
      <c r="A3208" s="9" t="str">
        <f>HYPERLINK("http://www.ensembl.org/id/WBGene00000121", "WBGene00000121")</f>
        <v>WBGene00000121</v>
      </c>
      <c r="B3208" s="9" t="str">
        <f>HYPERLINK("http://www.ncbi.nlm.nih.gov/gene/177738", "177738")</f>
        <v>177738</v>
      </c>
      <c r="C3208" s="9"/>
      <c r="D3208" t="str">
        <f>"aly-2"</f>
        <v>aly-2</v>
      </c>
      <c r="E3208" t="s">
        <v>2575</v>
      </c>
      <c r="F3208" t="s">
        <v>11</v>
      </c>
      <c r="G3208" t="s">
        <v>2343</v>
      </c>
      <c r="H3208" s="12">
        <v>-1.42807604585043</v>
      </c>
      <c r="I3208" s="20">
        <v>-1.6314515018275899</v>
      </c>
      <c r="J3208" s="28">
        <v>0.10279508528761799</v>
      </c>
      <c r="K3208" s="29">
        <v>0.74003277406530099</v>
      </c>
    </row>
    <row r="3209" spans="1:11" x14ac:dyDescent="0.35">
      <c r="A3209" s="9" t="str">
        <f>HYPERLINK("http://www.ensembl.org/id/WBGene00015611", "WBGene00015611")</f>
        <v>WBGene00015611</v>
      </c>
      <c r="B3209" s="9" t="str">
        <f>HYPERLINK("http://www.ncbi.nlm.nih.gov/gene/182412", "182412")</f>
        <v>182412</v>
      </c>
      <c r="C3209" s="9"/>
      <c r="D3209" t="str">
        <f>"C08F1.8"</f>
        <v>C08F1.8</v>
      </c>
      <c r="F3209" t="s">
        <v>11</v>
      </c>
      <c r="G3209" t="s">
        <v>25</v>
      </c>
      <c r="H3209" s="12">
        <v>2.18069990594952</v>
      </c>
      <c r="I3209" s="20">
        <v>1.6316035609110899</v>
      </c>
      <c r="J3209" s="28">
        <v>0.10276302760830899</v>
      </c>
      <c r="K3209" s="29">
        <v>0.74003277406530099</v>
      </c>
    </row>
    <row r="3210" spans="1:11" x14ac:dyDescent="0.35">
      <c r="A3210" s="9" t="str">
        <f>HYPERLINK("http://www.ensembl.org/id/WBGene00008220", "WBGene00008220")</f>
        <v>WBGene00008220</v>
      </c>
      <c r="B3210" s="9" t="str">
        <f>HYPERLINK("http://www.ncbi.nlm.nih.gov/gene/179813", "179813")</f>
        <v>179813</v>
      </c>
      <c r="C3210" s="9" t="str">
        <f>HYPERLINK("http://www.ncbi.nlm.nih.gov/gene/280", "280")</f>
        <v>280</v>
      </c>
      <c r="D3210" t="str">
        <f>"C50B6.7"</f>
        <v>C50B6.7</v>
      </c>
      <c r="E3210" t="s">
        <v>877</v>
      </c>
      <c r="F3210" t="s">
        <v>11</v>
      </c>
      <c r="G3210" t="s">
        <v>2576</v>
      </c>
      <c r="H3210" s="12">
        <v>-1.54431821957369</v>
      </c>
      <c r="I3210" s="20">
        <v>-1.63123355644309</v>
      </c>
      <c r="J3210" s="28">
        <v>0.102841047239837</v>
      </c>
      <c r="K3210" s="29">
        <v>0.74003277406530099</v>
      </c>
    </row>
    <row r="3211" spans="1:11" x14ac:dyDescent="0.35">
      <c r="A3211" s="9" t="str">
        <f>HYPERLINK("http://www.ensembl.org/id/WBGene00001211", "WBGene00001211")</f>
        <v>WBGene00001211</v>
      </c>
      <c r="B3211" s="9" t="str">
        <f>HYPERLINK("http://www.ncbi.nlm.nih.gov/gene/183687", "183687")</f>
        <v>183687</v>
      </c>
      <c r="C3211" s="9"/>
      <c r="D3211" t="str">
        <f>"egl-47"</f>
        <v>egl-47</v>
      </c>
      <c r="E3211" t="s">
        <v>2573</v>
      </c>
      <c r="F3211" t="s">
        <v>11</v>
      </c>
      <c r="G3211" t="s">
        <v>2574</v>
      </c>
      <c r="H3211" s="12">
        <v>1.7648091269549699</v>
      </c>
      <c r="I3211" s="20">
        <v>1.63136111034954</v>
      </c>
      <c r="J3211" s="28">
        <v>0.102814145735066</v>
      </c>
      <c r="K3211" s="29">
        <v>0.74003277406530099</v>
      </c>
    </row>
    <row r="3212" spans="1:11" x14ac:dyDescent="0.35">
      <c r="A3212" s="9" t="str">
        <f>HYPERLINK("http://www.ensembl.org/id/WBGene00014615", "WBGene00014615")</f>
        <v>WBGene00014615</v>
      </c>
      <c r="B3212" s="9"/>
      <c r="C3212" s="9"/>
      <c r="D3212" t="str">
        <f>"Y116F11A.4"</f>
        <v>Y116F11A.4</v>
      </c>
      <c r="F3212" t="s">
        <v>80</v>
      </c>
      <c r="H3212" s="12">
        <v>3.6652687366493302</v>
      </c>
      <c r="I3212" s="20">
        <v>1.63192701203145</v>
      </c>
      <c r="J3212" s="28">
        <v>0.102694862850352</v>
      </c>
      <c r="K3212" s="29">
        <v>0.74003277406530099</v>
      </c>
    </row>
    <row r="3213" spans="1:11" x14ac:dyDescent="0.35">
      <c r="A3213" s="9" t="str">
        <f>HYPERLINK("http://www.ensembl.org/id/WBGene00013895", "WBGene00013895")</f>
        <v>WBGene00013895</v>
      </c>
      <c r="B3213" s="9" t="str">
        <f>HYPERLINK("http://www.ncbi.nlm.nih.gov/gene/172908", "172908")</f>
        <v>172908</v>
      </c>
      <c r="C3213" s="9" t="str">
        <f>HYPERLINK("http://www.ncbi.nlm.nih.gov/gene/1358", "1358")</f>
        <v>1358</v>
      </c>
      <c r="D3213" t="str">
        <f>"ZC434.9"</f>
        <v>ZC434.9</v>
      </c>
      <c r="F3213" t="s">
        <v>11</v>
      </c>
      <c r="G3213" t="s">
        <v>945</v>
      </c>
      <c r="H3213" s="12">
        <v>1.5068722351029999</v>
      </c>
      <c r="I3213" s="20">
        <v>1.63165909410772</v>
      </c>
      <c r="J3213" s="28">
        <v>0.10275132186933</v>
      </c>
      <c r="K3213" s="29">
        <v>0.74003277406530099</v>
      </c>
    </row>
    <row r="3214" spans="1:11" x14ac:dyDescent="0.35">
      <c r="A3214" s="9" t="str">
        <f>HYPERLINK("http://www.ensembl.org/id/WBGene00000379", "WBGene00000379")</f>
        <v>WBGene00000379</v>
      </c>
      <c r="B3214" s="9" t="str">
        <f>HYPERLINK("http://www.ncbi.nlm.nih.gov/gene/174330", "174330")</f>
        <v>174330</v>
      </c>
      <c r="C3214" s="9" t="str">
        <f>HYPERLINK("http://www.ncbi.nlm.nih.gov/gene/10575", "10575")</f>
        <v>10575</v>
      </c>
      <c r="D3214" t="str">
        <f>"cct-4"</f>
        <v>cct-4</v>
      </c>
      <c r="E3214" t="s">
        <v>2577</v>
      </c>
      <c r="F3214" t="s">
        <v>11</v>
      </c>
      <c r="G3214" t="s">
        <v>2578</v>
      </c>
      <c r="H3214" s="12">
        <v>-1.3447003136028599</v>
      </c>
      <c r="I3214" s="20">
        <v>-1.6307428635057999</v>
      </c>
      <c r="J3214" s="28">
        <v>0.102944588061104</v>
      </c>
      <c r="K3214" s="29">
        <v>0.74054721411577695</v>
      </c>
    </row>
    <row r="3215" spans="1:11" x14ac:dyDescent="0.35">
      <c r="A3215" s="9" t="str">
        <f>HYPERLINK("http://www.ensembl.org/id/WBGene00000381", "WBGene00000381")</f>
        <v>WBGene00000381</v>
      </c>
      <c r="B3215" s="9" t="str">
        <f>HYPERLINK("http://www.ncbi.nlm.nih.gov/gene/175819", "175819")</f>
        <v>175819</v>
      </c>
      <c r="C3215" s="9" t="str">
        <f>HYPERLINK("http://www.ncbi.nlm.nih.gov/gene/908", "908")</f>
        <v>908</v>
      </c>
      <c r="D3215" t="str">
        <f>"cct-6"</f>
        <v>cct-6</v>
      </c>
      <c r="E3215" t="s">
        <v>2579</v>
      </c>
      <c r="F3215" t="s">
        <v>11</v>
      </c>
      <c r="G3215" t="s">
        <v>1544</v>
      </c>
      <c r="H3215" s="12">
        <v>-1.3462554332081</v>
      </c>
      <c r="I3215" s="20">
        <v>-1.6300510357925899</v>
      </c>
      <c r="J3215" s="28">
        <v>0.103090711031324</v>
      </c>
      <c r="K3215" s="29">
        <v>0.74136755962956202</v>
      </c>
    </row>
    <row r="3216" spans="1:11" x14ac:dyDescent="0.35">
      <c r="A3216" s="9" t="str">
        <f>HYPERLINK("http://www.ensembl.org/id/WBGene00004265", "WBGene00004265")</f>
        <v>WBGene00004265</v>
      </c>
      <c r="B3216" s="9" t="str">
        <f>HYPERLINK("http://www.ncbi.nlm.nih.gov/gene/178326", "178326")</f>
        <v>178326</v>
      </c>
      <c r="C3216" s="9"/>
      <c r="D3216" t="str">
        <f>"qui-1"</f>
        <v>qui-1</v>
      </c>
      <c r="E3216" t="s">
        <v>2580</v>
      </c>
      <c r="F3216" t="s">
        <v>11</v>
      </c>
      <c r="G3216" t="s">
        <v>2581</v>
      </c>
      <c r="H3216" s="12">
        <v>1.41891593133244</v>
      </c>
      <c r="I3216" s="20">
        <v>1.62953503730331</v>
      </c>
      <c r="J3216" s="28">
        <v>0.103199803933468</v>
      </c>
      <c r="K3216" s="29">
        <v>0.74192117911845801</v>
      </c>
    </row>
    <row r="3217" spans="1:11" x14ac:dyDescent="0.35">
      <c r="A3217" s="9" t="str">
        <f>HYPERLINK("http://www.ensembl.org/id/WBGene00015478", "WBGene00015478")</f>
        <v>WBGene00015478</v>
      </c>
      <c r="B3217" s="9" t="str">
        <f>HYPERLINK("http://www.ncbi.nlm.nih.gov/gene/175857", "175857")</f>
        <v>175857</v>
      </c>
      <c r="C3217" s="9" t="str">
        <f>HYPERLINK("http://www.ncbi.nlm.nih.gov/gene/225689", "225689")</f>
        <v>225689</v>
      </c>
      <c r="D3217" t="str">
        <f>"mapk-15"</f>
        <v>mapk-15</v>
      </c>
      <c r="E3217" t="s">
        <v>2582</v>
      </c>
      <c r="F3217" t="s">
        <v>11</v>
      </c>
      <c r="G3217" t="s">
        <v>2583</v>
      </c>
      <c r="H3217" s="12">
        <v>1.6216159604538001</v>
      </c>
      <c r="I3217" s="20">
        <v>1.62926378237147</v>
      </c>
      <c r="J3217" s="28">
        <v>0.103257189712504</v>
      </c>
      <c r="K3217" s="29">
        <v>0.74210283841278901</v>
      </c>
    </row>
    <row r="3218" spans="1:11" x14ac:dyDescent="0.35">
      <c r="A3218" s="9" t="str">
        <f>HYPERLINK("http://www.ensembl.org/id/WBGene00003756", "WBGene00003756")</f>
        <v>WBGene00003756</v>
      </c>
      <c r="B3218" s="9" t="str">
        <f>HYPERLINK("http://www.ncbi.nlm.nih.gov/gene/185219", "185219")</f>
        <v>185219</v>
      </c>
      <c r="C3218" s="9"/>
      <c r="D3218" t="str">
        <f>"nlp-18"</f>
        <v>nlp-18</v>
      </c>
      <c r="E3218" t="s">
        <v>76</v>
      </c>
      <c r="F3218" t="s">
        <v>11</v>
      </c>
      <c r="G3218" t="s">
        <v>77</v>
      </c>
      <c r="H3218" s="12">
        <v>1.36723955488951</v>
      </c>
      <c r="I3218" s="20">
        <v>1.62858276985243</v>
      </c>
      <c r="J3218" s="28">
        <v>0.103401374229719</v>
      </c>
      <c r="K3218" s="29">
        <v>0.74272958089289198</v>
      </c>
    </row>
    <row r="3219" spans="1:11" x14ac:dyDescent="0.35">
      <c r="A3219" s="9" t="str">
        <f>HYPERLINK("http://www.ensembl.org/id/WBGene00006428", "WBGene00006428")</f>
        <v>WBGene00006428</v>
      </c>
      <c r="B3219" s="9" t="str">
        <f>HYPERLINK("http://www.ncbi.nlm.nih.gov/gene/177285", "177285")</f>
        <v>177285</v>
      </c>
      <c r="C3219" s="9"/>
      <c r="D3219" t="str">
        <f>"tkr-3"</f>
        <v>tkr-3</v>
      </c>
      <c r="E3219" t="s">
        <v>2584</v>
      </c>
      <c r="F3219" t="s">
        <v>11</v>
      </c>
      <c r="G3219" t="s">
        <v>2585</v>
      </c>
      <c r="H3219" s="12">
        <v>1.89414937302958</v>
      </c>
      <c r="I3219" s="20">
        <v>1.62854826256064</v>
      </c>
      <c r="J3219" s="28">
        <v>0.103408684399396</v>
      </c>
      <c r="K3219" s="29">
        <v>0.74272958089289198</v>
      </c>
    </row>
    <row r="3220" spans="1:11" x14ac:dyDescent="0.35">
      <c r="A3220" s="9" t="str">
        <f>HYPERLINK("http://www.ensembl.org/id/WBGene00008692", "WBGene00008692")</f>
        <v>WBGene00008692</v>
      </c>
      <c r="B3220" s="9" t="str">
        <f>HYPERLINK("http://www.ncbi.nlm.nih.gov/gene/181429", "181429")</f>
        <v>181429</v>
      </c>
      <c r="C3220" s="9"/>
      <c r="D3220" t="str">
        <f>"scav-4"</f>
        <v>scav-4</v>
      </c>
      <c r="E3220" t="s">
        <v>828</v>
      </c>
      <c r="F3220" t="s">
        <v>11</v>
      </c>
      <c r="G3220" t="s">
        <v>829</v>
      </c>
      <c r="H3220" s="12">
        <v>-2.14694500652528</v>
      </c>
      <c r="I3220" s="20">
        <v>-1.62834526113806</v>
      </c>
      <c r="J3220" s="28">
        <v>0.10345169739136501</v>
      </c>
      <c r="K3220" s="29">
        <v>0.74280761961618202</v>
      </c>
    </row>
    <row r="3221" spans="1:11" x14ac:dyDescent="0.35">
      <c r="A3221" s="9" t="str">
        <f>HYPERLINK("http://www.ensembl.org/id/WBGene00006739", "WBGene00006739")</f>
        <v>WBGene00006739</v>
      </c>
      <c r="B3221" s="9" t="str">
        <f>HYPERLINK("http://www.ncbi.nlm.nih.gov/gene/174307", "174307")</f>
        <v>174307</v>
      </c>
      <c r="C3221" s="9"/>
      <c r="D3221" t="str">
        <f>"ulp-4"</f>
        <v>ulp-4</v>
      </c>
      <c r="E3221" t="s">
        <v>2586</v>
      </c>
      <c r="F3221" t="s">
        <v>11</v>
      </c>
      <c r="G3221" t="s">
        <v>2587</v>
      </c>
      <c r="H3221" s="12">
        <v>-1.35569433293964</v>
      </c>
      <c r="I3221" s="20">
        <v>-1.6281186223558699</v>
      </c>
      <c r="J3221" s="28">
        <v>0.103499735590275</v>
      </c>
      <c r="K3221" s="29">
        <v>0.74292168081667698</v>
      </c>
    </row>
    <row r="3222" spans="1:11" x14ac:dyDescent="0.35">
      <c r="A3222" s="9" t="str">
        <f>HYPERLINK("http://www.ensembl.org/id/WBGene00007464", "WBGene00007464")</f>
        <v>WBGene00007464</v>
      </c>
      <c r="B3222" s="9" t="str">
        <f>HYPERLINK("http://www.ncbi.nlm.nih.gov/gene/174542", "174542")</f>
        <v>174542</v>
      </c>
      <c r="C3222" s="9"/>
      <c r="D3222" t="str">
        <f>"algn-8"</f>
        <v>algn-8</v>
      </c>
      <c r="E3222" t="s">
        <v>2609</v>
      </c>
      <c r="F3222" t="s">
        <v>11</v>
      </c>
      <c r="G3222" t="s">
        <v>2610</v>
      </c>
      <c r="H3222" s="12">
        <v>-1.4798848058518399</v>
      </c>
      <c r="I3222" s="20">
        <v>-1.6252040796321401</v>
      </c>
      <c r="J3222" s="28">
        <v>0.104119081459188</v>
      </c>
      <c r="K3222" s="29">
        <v>0.74376802197659997</v>
      </c>
    </row>
    <row r="3223" spans="1:11" x14ac:dyDescent="0.35">
      <c r="A3223" s="9" t="str">
        <f>HYPERLINK("http://www.ensembl.org/id/WBGene00000166", "WBGene00000166")</f>
        <v>WBGene00000166</v>
      </c>
      <c r="B3223" s="9" t="str">
        <f>HYPERLINK("http://www.ncbi.nlm.nih.gov/gene/189194", "189194")</f>
        <v>189194</v>
      </c>
      <c r="C3223" s="9"/>
      <c r="D3223" t="str">
        <f>"apt-9"</f>
        <v>apt-9</v>
      </c>
      <c r="E3223" t="s">
        <v>2598</v>
      </c>
      <c r="F3223" t="s">
        <v>11</v>
      </c>
      <c r="G3223" t="s">
        <v>2599</v>
      </c>
      <c r="H3223" s="12">
        <v>1.60308379561105</v>
      </c>
      <c r="I3223" s="20">
        <v>1.6258769049673401</v>
      </c>
      <c r="J3223" s="28">
        <v>0.10397584404443801</v>
      </c>
      <c r="K3223" s="29">
        <v>0.74376802197659997</v>
      </c>
    </row>
    <row r="3224" spans="1:11" x14ac:dyDescent="0.35">
      <c r="A3224" s="9" t="str">
        <f>HYPERLINK("http://www.ensembl.org/id/WBGene00007511", "WBGene00007511")</f>
        <v>WBGene00007511</v>
      </c>
      <c r="B3224" s="9" t="str">
        <f>HYPERLINK("http://www.ncbi.nlm.nih.gov/gene/3565228", "3565228")</f>
        <v>3565228</v>
      </c>
      <c r="C3224" s="9"/>
      <c r="D3224" t="str">
        <f>"C10C5.7"</f>
        <v>C10C5.7</v>
      </c>
      <c r="F3224" t="s">
        <v>11</v>
      </c>
      <c r="H3224" s="12">
        <v>1.62430353152811</v>
      </c>
      <c r="I3224" s="20">
        <v>1.62494221011574</v>
      </c>
      <c r="J3224" s="28">
        <v>0.10417487307699901</v>
      </c>
      <c r="K3224" s="29">
        <v>0.74376802197659997</v>
      </c>
    </row>
    <row r="3225" spans="1:11" x14ac:dyDescent="0.35">
      <c r="A3225" s="9" t="str">
        <f>HYPERLINK("http://www.ensembl.org/id/WBGene00015994", "WBGene00015994")</f>
        <v>WBGene00015994</v>
      </c>
      <c r="B3225" s="9" t="str">
        <f>HYPERLINK("http://www.ncbi.nlm.nih.gov/gene/182803", "182803")</f>
        <v>182803</v>
      </c>
      <c r="C3225" s="9"/>
      <c r="D3225" t="str">
        <f>"C18H7.4"</f>
        <v>C18H7.4</v>
      </c>
      <c r="E3225" t="s">
        <v>2588</v>
      </c>
      <c r="F3225" t="s">
        <v>11</v>
      </c>
      <c r="G3225" t="s">
        <v>2589</v>
      </c>
      <c r="H3225" s="12">
        <v>7.9382038036116196</v>
      </c>
      <c r="I3225" s="20">
        <v>1.6253808956423099</v>
      </c>
      <c r="J3225" s="28">
        <v>0.104081424020266</v>
      </c>
      <c r="K3225" s="29">
        <v>0.74376802197659997</v>
      </c>
    </row>
    <row r="3226" spans="1:11" x14ac:dyDescent="0.35">
      <c r="A3226" s="9" t="str">
        <f>HYPERLINK("http://www.ensembl.org/id/WBGene00021268", "WBGene00021268")</f>
        <v>WBGene00021268</v>
      </c>
      <c r="B3226" s="9" t="str">
        <f>HYPERLINK("http://www.ncbi.nlm.nih.gov/gene/189521", "189521")</f>
        <v>189521</v>
      </c>
      <c r="C3226" s="9"/>
      <c r="D3226" t="str">
        <f>"capa-1"</f>
        <v>capa-1</v>
      </c>
      <c r="E3226" t="s">
        <v>2592</v>
      </c>
      <c r="F3226" t="s">
        <v>11</v>
      </c>
      <c r="G3226" t="s">
        <v>2593</v>
      </c>
      <c r="H3226" s="12">
        <v>1.8787663484121</v>
      </c>
      <c r="I3226" s="20">
        <v>1.6257439797072399</v>
      </c>
      <c r="J3226" s="28">
        <v>0.104004130012895</v>
      </c>
      <c r="K3226" s="29">
        <v>0.74376802197659997</v>
      </c>
    </row>
    <row r="3227" spans="1:11" x14ac:dyDescent="0.35">
      <c r="A3227" s="9" t="str">
        <f>HYPERLINK("http://www.ensembl.org/id/WBGene00021913", "WBGene00021913")</f>
        <v>WBGene00021913</v>
      </c>
      <c r="B3227" s="9" t="str">
        <f>HYPERLINK("http://www.ncbi.nlm.nih.gov/gene/175202", "175202")</f>
        <v>175202</v>
      </c>
      <c r="C3227" s="9"/>
      <c r="D3227" t="str">
        <f>"cec-8"</f>
        <v>cec-8</v>
      </c>
      <c r="E3227" t="s">
        <v>1624</v>
      </c>
      <c r="F3227" t="s">
        <v>11</v>
      </c>
      <c r="G3227" t="s">
        <v>967</v>
      </c>
      <c r="H3227" s="12">
        <v>1.3840246287222699</v>
      </c>
      <c r="I3227" s="20">
        <v>1.6247764208159401</v>
      </c>
      <c r="J3227" s="28">
        <v>0.104210206963306</v>
      </c>
      <c r="K3227" s="29">
        <v>0.74376802197659997</v>
      </c>
    </row>
    <row r="3228" spans="1:11" x14ac:dyDescent="0.35">
      <c r="A3228" s="9" t="str">
        <f>HYPERLINK("http://www.ensembl.org/id/WBGene00022056", "WBGene00022056")</f>
        <v>WBGene00022056</v>
      </c>
      <c r="B3228" s="9" t="str">
        <f>HYPERLINK("http://www.ncbi.nlm.nih.gov/gene/175308", "175308")</f>
        <v>175308</v>
      </c>
      <c r="C3228" s="9" t="str">
        <f>HYPERLINK("http://www.ncbi.nlm.nih.gov/gene/60625", "60625")</f>
        <v>60625</v>
      </c>
      <c r="D3228" t="str">
        <f>"ddx-35"</f>
        <v>ddx-35</v>
      </c>
      <c r="E3228" t="s">
        <v>2611</v>
      </c>
      <c r="F3228" t="s">
        <v>11</v>
      </c>
      <c r="G3228" t="s">
        <v>221</v>
      </c>
      <c r="H3228" s="12">
        <v>-1.48018333997162</v>
      </c>
      <c r="I3228" s="20">
        <v>-1.6255668842850199</v>
      </c>
      <c r="J3228" s="28">
        <v>0.10404182471487999</v>
      </c>
      <c r="K3228" s="29">
        <v>0.74376802197659997</v>
      </c>
    </row>
    <row r="3229" spans="1:11" x14ac:dyDescent="0.35">
      <c r="A3229" s="9" t="str">
        <f>HYPERLINK("http://www.ensembl.org/id/WBGene00001118", "WBGene00001118")</f>
        <v>WBGene00001118</v>
      </c>
      <c r="B3229" s="9" t="str">
        <f>HYPERLINK("http://www.ncbi.nlm.nih.gov/gene/191342", "191342")</f>
        <v>191342</v>
      </c>
      <c r="C3229" s="9" t="str">
        <f>HYPERLINK("http://www.ncbi.nlm.nih.gov/gene/57728", "57728")</f>
        <v>57728</v>
      </c>
      <c r="D3229" t="str">
        <f>"dyf-2"</f>
        <v>dyf-2</v>
      </c>
      <c r="E3229" t="s">
        <v>2596</v>
      </c>
      <c r="F3229" t="s">
        <v>11</v>
      </c>
      <c r="G3229" t="s">
        <v>2597</v>
      </c>
      <c r="H3229" s="12">
        <v>1.66897103984159</v>
      </c>
      <c r="I3229" s="20">
        <v>1.6264414292930001</v>
      </c>
      <c r="J3229" s="28">
        <v>0.103855783599255</v>
      </c>
      <c r="K3229" s="29">
        <v>0.74376802197659997</v>
      </c>
    </row>
    <row r="3230" spans="1:11" x14ac:dyDescent="0.35">
      <c r="A3230" s="9" t="str">
        <f>HYPERLINK("http://www.ensembl.org/id/WBGene00001983", "WBGene00001983")</f>
        <v>WBGene00001983</v>
      </c>
      <c r="B3230" s="9" t="str">
        <f>HYPERLINK("http://www.ncbi.nlm.nih.gov/gene/177241", "177241")</f>
        <v>177241</v>
      </c>
      <c r="C3230" s="9" t="str">
        <f>HYPERLINK("http://www.ncbi.nlm.nih.gov/gene/60528", "60528")</f>
        <v>60528</v>
      </c>
      <c r="D3230" t="str">
        <f>"hoe-1"</f>
        <v>hoe-1</v>
      </c>
      <c r="E3230" t="s">
        <v>2604</v>
      </c>
      <c r="F3230" t="s">
        <v>11</v>
      </c>
      <c r="G3230" t="s">
        <v>2605</v>
      </c>
      <c r="H3230" s="12">
        <v>-1.3821531378366101</v>
      </c>
      <c r="I3230" s="20">
        <v>-1.62564785683321</v>
      </c>
      <c r="J3230" s="28">
        <v>0.10402458838821101</v>
      </c>
      <c r="K3230" s="29">
        <v>0.74376802197659997</v>
      </c>
    </row>
    <row r="3231" spans="1:11" x14ac:dyDescent="0.35">
      <c r="A3231" s="9" t="str">
        <f>HYPERLINK("http://www.ensembl.org/id/WBGene00017816", "WBGene00017816")</f>
        <v>WBGene00017816</v>
      </c>
      <c r="B3231" s="9" t="str">
        <f>HYPERLINK("http://www.ncbi.nlm.nih.gov/gene/172330", "172330")</f>
        <v>172330</v>
      </c>
      <c r="C3231" s="9"/>
      <c r="D3231" t="str">
        <f>"hrpk-1"</f>
        <v>hrpk-1</v>
      </c>
      <c r="E3231" t="s">
        <v>2602</v>
      </c>
      <c r="F3231" t="s">
        <v>11</v>
      </c>
      <c r="G3231" t="s">
        <v>2603</v>
      </c>
      <c r="H3231" s="12">
        <v>-1.3805291405410101</v>
      </c>
      <c r="I3231" s="20">
        <v>-1.6263338411019499</v>
      </c>
      <c r="J3231" s="28">
        <v>0.10387865646191601</v>
      </c>
      <c r="K3231" s="29">
        <v>0.74376802197659997</v>
      </c>
    </row>
    <row r="3232" spans="1:11" x14ac:dyDescent="0.35">
      <c r="A3232" s="9" t="str">
        <f>HYPERLINK("http://www.ensembl.org/id/WBGene00010897", "WBGene00010897")</f>
        <v>WBGene00010897</v>
      </c>
      <c r="B3232" s="9" t="str">
        <f>HYPERLINK("http://www.ncbi.nlm.nih.gov/gene/174644", "174644")</f>
        <v>174644</v>
      </c>
      <c r="C3232" s="9"/>
      <c r="D3232" t="str">
        <f>"lact-3"</f>
        <v>lact-3</v>
      </c>
      <c r="E3232" t="s">
        <v>1085</v>
      </c>
      <c r="F3232" t="s">
        <v>11</v>
      </c>
      <c r="H3232" s="12">
        <v>-1.4002745071148901</v>
      </c>
      <c r="I3232" s="20">
        <v>-1.6258054316905</v>
      </c>
      <c r="J3232" s="28">
        <v>0.103991052514671</v>
      </c>
      <c r="K3232" s="29">
        <v>0.74376802197659997</v>
      </c>
    </row>
    <row r="3233" spans="1:11" x14ac:dyDescent="0.35">
      <c r="A3233" s="9" t="str">
        <f>HYPERLINK("http://www.ensembl.org/id/WBGene00010642", "WBGene00010642")</f>
        <v>WBGene00010642</v>
      </c>
      <c r="B3233" s="9" t="str">
        <f>HYPERLINK("http://www.ncbi.nlm.nih.gov/gene/187121", "187121")</f>
        <v>187121</v>
      </c>
      <c r="C3233" s="9"/>
      <c r="D3233" t="str">
        <f>"mks-6"</f>
        <v>mks-6</v>
      </c>
      <c r="E3233" t="s">
        <v>2590</v>
      </c>
      <c r="F3233" t="s">
        <v>11</v>
      </c>
      <c r="G3233" t="s">
        <v>2591</v>
      </c>
      <c r="H3233" s="12">
        <v>1.9014463810706901</v>
      </c>
      <c r="I3233" s="20">
        <v>1.62739669293204</v>
      </c>
      <c r="J3233" s="28">
        <v>0.103652873451638</v>
      </c>
      <c r="K3233" s="29">
        <v>0.74376802197659997</v>
      </c>
    </row>
    <row r="3234" spans="1:11" x14ac:dyDescent="0.35">
      <c r="A3234" s="9" t="str">
        <f>HYPERLINK("http://www.ensembl.org/id/WBGene00003376", "WBGene00003376")</f>
        <v>WBGene00003376</v>
      </c>
      <c r="B3234" s="9" t="str">
        <f>HYPERLINK("http://www.ncbi.nlm.nih.gov/gene/186741", "186741")</f>
        <v>186741</v>
      </c>
      <c r="C3234" s="9" t="str">
        <f>HYPERLINK("http://www.ncbi.nlm.nih.gov/gene/6899", "6899")</f>
        <v>6899</v>
      </c>
      <c r="D3234" t="str">
        <f>"mls-1"</f>
        <v>mls-1</v>
      </c>
      <c r="E3234" t="s">
        <v>2594</v>
      </c>
      <c r="F3234" t="s">
        <v>11</v>
      </c>
      <c r="G3234" t="s">
        <v>2595</v>
      </c>
      <c r="H3234" s="12">
        <v>1.69336968932728</v>
      </c>
      <c r="I3234" s="20">
        <v>1.6272057894687</v>
      </c>
      <c r="J3234" s="28">
        <v>0.10369339856471101</v>
      </c>
      <c r="K3234" s="29">
        <v>0.74376802197659997</v>
      </c>
    </row>
    <row r="3235" spans="1:11" x14ac:dyDescent="0.35">
      <c r="A3235" s="9" t="str">
        <f>HYPERLINK("http://www.ensembl.org/id/WBGene00019843", "WBGene00019843")</f>
        <v>WBGene00019843</v>
      </c>
      <c r="B3235" s="9" t="str">
        <f>HYPERLINK("http://www.ncbi.nlm.nih.gov/gene/187540", "187540")</f>
        <v>187540</v>
      </c>
      <c r="C3235" s="9"/>
      <c r="D3235" t="str">
        <f>"R03E9.2"</f>
        <v>R03E9.2</v>
      </c>
      <c r="F3235" t="s">
        <v>11</v>
      </c>
      <c r="G3235" t="s">
        <v>2600</v>
      </c>
      <c r="H3235" s="12">
        <v>1.5741851928573101</v>
      </c>
      <c r="I3235" s="20">
        <v>1.6245445898762101</v>
      </c>
      <c r="J3235" s="28">
        <v>0.104259631953477</v>
      </c>
      <c r="K3235" s="29">
        <v>0.74376802197659997</v>
      </c>
    </row>
    <row r="3236" spans="1:11" x14ac:dyDescent="0.35">
      <c r="A3236" s="9" t="str">
        <f>HYPERLINK("http://www.ensembl.org/id/WBGene00021344", "WBGene00021344")</f>
        <v>WBGene00021344</v>
      </c>
      <c r="B3236" s="9" t="str">
        <f>HYPERLINK("http://www.ncbi.nlm.nih.gov/gene/175809", "175809")</f>
        <v>175809</v>
      </c>
      <c r="C3236" s="9"/>
      <c r="D3236" t="str">
        <f>"rev-3"</f>
        <v>rev-3</v>
      </c>
      <c r="E3236" t="s">
        <v>2612</v>
      </c>
      <c r="F3236" t="s">
        <v>11</v>
      </c>
      <c r="G3236" t="s">
        <v>2613</v>
      </c>
      <c r="H3236" s="12">
        <v>-1.5170098189796299</v>
      </c>
      <c r="I3236" s="20">
        <v>-1.62486886127522</v>
      </c>
      <c r="J3236" s="28">
        <v>0.104190504393105</v>
      </c>
      <c r="K3236" s="29">
        <v>0.74376802197659997</v>
      </c>
    </row>
    <row r="3237" spans="1:11" x14ac:dyDescent="0.35">
      <c r="A3237" s="9" t="str">
        <f>HYPERLINK("http://www.ensembl.org/id/WBGene00004340", "WBGene00004340")</f>
        <v>WBGene00004340</v>
      </c>
      <c r="B3237" s="9" t="str">
        <f>HYPERLINK("http://www.ncbi.nlm.nih.gov/gene/175976", "175976")</f>
        <v>175976</v>
      </c>
      <c r="C3237" s="9"/>
      <c r="D3237" t="str">
        <f>"rfc-4"</f>
        <v>rfc-4</v>
      </c>
      <c r="E3237" t="s">
        <v>2606</v>
      </c>
      <c r="F3237" t="s">
        <v>11</v>
      </c>
      <c r="G3237" t="s">
        <v>2607</v>
      </c>
      <c r="H3237" s="12">
        <v>-1.4307162264036399</v>
      </c>
      <c r="I3237" s="20">
        <v>-1.6263374882898001</v>
      </c>
      <c r="J3237" s="28">
        <v>0.103877881017352</v>
      </c>
      <c r="K3237" s="29">
        <v>0.74376802197659997</v>
      </c>
    </row>
    <row r="3238" spans="1:11" x14ac:dyDescent="0.35">
      <c r="A3238" s="9" t="str">
        <f>HYPERLINK("http://www.ensembl.org/id/WBGene00004349", "WBGene00004349")</f>
        <v>WBGene00004349</v>
      </c>
      <c r="B3238" s="9" t="str">
        <f>HYPERLINK("http://www.ncbi.nlm.nih.gov/gene/180840", "180840")</f>
        <v>180840</v>
      </c>
      <c r="C3238" s="9"/>
      <c r="D3238" t="str">
        <f>"rgs-6"</f>
        <v>rgs-6</v>
      </c>
      <c r="E3238" t="s">
        <v>2601</v>
      </c>
      <c r="F3238" t="s">
        <v>11</v>
      </c>
      <c r="G3238" t="s">
        <v>1910</v>
      </c>
      <c r="H3238" s="12">
        <v>1.41515714911287</v>
      </c>
      <c r="I3238" s="20">
        <v>1.62664399781304</v>
      </c>
      <c r="J3238" s="28">
        <v>0.103812729120974</v>
      </c>
      <c r="K3238" s="29">
        <v>0.74376802197659997</v>
      </c>
    </row>
    <row r="3239" spans="1:11" x14ac:dyDescent="0.35">
      <c r="A3239" s="9" t="str">
        <f>HYPERLINK("http://www.ensembl.org/id/WBGene00008328", "WBGene00008328")</f>
        <v>WBGene00008328</v>
      </c>
      <c r="B3239" s="9"/>
      <c r="C3239" s="9"/>
      <c r="D3239" t="str">
        <f>"srz-43"</f>
        <v>srz-43</v>
      </c>
      <c r="F3239" t="s">
        <v>80</v>
      </c>
      <c r="H3239" s="12">
        <v>30.416192987629699</v>
      </c>
      <c r="I3239" s="20">
        <v>1.62657976328176</v>
      </c>
      <c r="J3239" s="28">
        <v>0.103826380171485</v>
      </c>
      <c r="K3239" s="29">
        <v>0.74376802197659997</v>
      </c>
    </row>
    <row r="3240" spans="1:11" x14ac:dyDescent="0.35">
      <c r="A3240" s="9" t="str">
        <f>HYPERLINK("http://www.ensembl.org/id/WBGene00021655", "WBGene00021655")</f>
        <v>WBGene00021655</v>
      </c>
      <c r="B3240" s="9" t="str">
        <f>HYPERLINK("http://www.ncbi.nlm.nih.gov/gene/176997", "176997")</f>
        <v>176997</v>
      </c>
      <c r="C3240" s="9" t="str">
        <f>HYPERLINK("http://www.ncbi.nlm.nih.gov/gene/55164", "55164")</f>
        <v>55164</v>
      </c>
      <c r="D3240" t="str">
        <f>"Y48A5A.1"</f>
        <v>Y48A5A.1</v>
      </c>
      <c r="F3240" t="s">
        <v>11</v>
      </c>
      <c r="G3240" t="s">
        <v>2608</v>
      </c>
      <c r="H3240" s="12">
        <v>-1.4676045074121</v>
      </c>
      <c r="I3240" s="20">
        <v>-1.6245361532904099</v>
      </c>
      <c r="J3240" s="28">
        <v>0.10426143093491801</v>
      </c>
      <c r="K3240" s="29">
        <v>0.74376802197659997</v>
      </c>
    </row>
    <row r="3241" spans="1:11" x14ac:dyDescent="0.35">
      <c r="A3241" s="9" t="str">
        <f>HYPERLINK("http://www.ensembl.org/id/WBGene00022130", "WBGene00022130")</f>
        <v>WBGene00022130</v>
      </c>
      <c r="B3241" s="9" t="str">
        <f>HYPERLINK("http://www.ncbi.nlm.nih.gov/gene/171839", "171839")</f>
        <v>171839</v>
      </c>
      <c r="C3241" s="9"/>
      <c r="D3241" t="str">
        <f>"Y71F9B.9"</f>
        <v>Y71F9B.9</v>
      </c>
      <c r="F3241" t="s">
        <v>11</v>
      </c>
      <c r="G3241" t="s">
        <v>2614</v>
      </c>
      <c r="H3241" s="12">
        <v>-1.6249994524626601</v>
      </c>
      <c r="I3241" s="20">
        <v>-1.62508399162821</v>
      </c>
      <c r="J3241" s="28">
        <v>0.104144663406515</v>
      </c>
      <c r="K3241" s="29">
        <v>0.74376802197659997</v>
      </c>
    </row>
    <row r="3242" spans="1:11" x14ac:dyDescent="0.35">
      <c r="A3242" s="9" t="str">
        <f>HYPERLINK("http://www.ensembl.org/id/WBGene00022791", "WBGene00022791")</f>
        <v>WBGene00022791</v>
      </c>
      <c r="B3242" s="9" t="str">
        <f>HYPERLINK("http://www.ncbi.nlm.nih.gov/gene/191404", "191404")</f>
        <v>191404</v>
      </c>
      <c r="C3242" s="9"/>
      <c r="D3242" t="str">
        <f>"ZK686.1"</f>
        <v>ZK686.1</v>
      </c>
      <c r="F3242" t="s">
        <v>11</v>
      </c>
      <c r="H3242" s="12">
        <v>-1.4114530440473201</v>
      </c>
      <c r="I3242" s="20">
        <v>-1.6242864301006801</v>
      </c>
      <c r="J3242" s="28">
        <v>0.104314692006109</v>
      </c>
      <c r="K3242" s="29">
        <v>0.74391829428801104</v>
      </c>
    </row>
    <row r="3243" spans="1:11" x14ac:dyDescent="0.35">
      <c r="A3243" s="9" t="str">
        <f>HYPERLINK("http://www.ensembl.org/id/WBGene00019293", "WBGene00019293")</f>
        <v>WBGene00019293</v>
      </c>
      <c r="B3243" s="9" t="str">
        <f>HYPERLINK("http://www.ncbi.nlm.nih.gov/gene/186862", "186862")</f>
        <v>186862</v>
      </c>
      <c r="C3243" s="9"/>
      <c r="D3243" t="str">
        <f>"K02A6.2"</f>
        <v>K02A6.2</v>
      </c>
      <c r="F3243" t="s">
        <v>11</v>
      </c>
      <c r="H3243" s="12">
        <v>1.911052657773</v>
      </c>
      <c r="I3243" s="20">
        <v>1.62377844123453</v>
      </c>
      <c r="J3243" s="28">
        <v>0.10442310278488</v>
      </c>
      <c r="K3243" s="29">
        <v>0.74446165163450595</v>
      </c>
    </row>
    <row r="3244" spans="1:11" x14ac:dyDescent="0.35">
      <c r="A3244" s="9" t="str">
        <f>HYPERLINK("http://www.ensembl.org/id/WBGene00003786", "WBGene00003786")</f>
        <v>WBGene00003786</v>
      </c>
      <c r="B3244" s="9" t="str">
        <f>HYPERLINK("http://www.ncbi.nlm.nih.gov/gene/179095", "179095")</f>
        <v>179095</v>
      </c>
      <c r="C3244" s="9"/>
      <c r="D3244" t="str">
        <f>"npa-1"</f>
        <v>npa-1</v>
      </c>
      <c r="E3244" t="s">
        <v>2615</v>
      </c>
      <c r="F3244" t="s">
        <v>11</v>
      </c>
      <c r="H3244" s="12">
        <v>1.3687003964580999</v>
      </c>
      <c r="I3244" s="20">
        <v>1.6235187473866699</v>
      </c>
      <c r="J3244" s="28">
        <v>0.10447855905043001</v>
      </c>
      <c r="K3244" s="29">
        <v>0.74462726262160295</v>
      </c>
    </row>
    <row r="3245" spans="1:11" x14ac:dyDescent="0.35">
      <c r="A3245" s="9" t="str">
        <f>HYPERLINK("http://www.ensembl.org/id/WBGene00017035", "WBGene00017035")</f>
        <v>WBGene00017035</v>
      </c>
      <c r="B3245" s="9"/>
      <c r="C3245" s="9"/>
      <c r="D3245" t="str">
        <f>"D1065.3"</f>
        <v>D1065.3</v>
      </c>
      <c r="F3245" t="s">
        <v>80</v>
      </c>
      <c r="H3245" s="12">
        <v>18.815674404197999</v>
      </c>
      <c r="I3245" s="20">
        <v>1.6228827844593201</v>
      </c>
      <c r="J3245" s="28">
        <v>0.10461446438621499</v>
      </c>
      <c r="K3245" s="29">
        <v>0.74536596179706704</v>
      </c>
    </row>
    <row r="3246" spans="1:11" x14ac:dyDescent="0.35">
      <c r="A3246" s="9" t="str">
        <f>HYPERLINK("http://www.ensembl.org/id/WBGene00003804", "WBGene00003804")</f>
        <v>WBGene00003804</v>
      </c>
      <c r="B3246" s="9" t="str">
        <f>HYPERLINK("http://www.ncbi.nlm.nih.gov/gene/176748", "176748")</f>
        <v>176748</v>
      </c>
      <c r="C3246" s="9" t="str">
        <f>HYPERLINK("http://www.ncbi.nlm.nih.gov/gene/81929", "81929")</f>
        <v>81929</v>
      </c>
      <c r="D3246" t="str">
        <f>"npp-18"</f>
        <v>npp-18</v>
      </c>
      <c r="E3246" t="s">
        <v>2616</v>
      </c>
      <c r="F3246" t="s">
        <v>11</v>
      </c>
      <c r="G3246" t="s">
        <v>2617</v>
      </c>
      <c r="H3246" s="12">
        <v>-1.38881607088654</v>
      </c>
      <c r="I3246" s="20">
        <v>-1.62192873437462</v>
      </c>
      <c r="J3246" s="28">
        <v>0.104818608187735</v>
      </c>
      <c r="K3246" s="29">
        <v>0.746590246851358</v>
      </c>
    </row>
    <row r="3247" spans="1:11" x14ac:dyDescent="0.35">
      <c r="A3247" s="9" t="str">
        <f>HYPERLINK("http://www.ensembl.org/id/WBGene00000651", "WBGene00000651")</f>
        <v>WBGene00000651</v>
      </c>
      <c r="B3247" s="9" t="str">
        <f>HYPERLINK("http://www.ncbi.nlm.nih.gov/gene/186968", "186968")</f>
        <v>186968</v>
      </c>
      <c r="C3247" s="9"/>
      <c r="D3247" t="str">
        <f>"col-75"</f>
        <v>col-75</v>
      </c>
      <c r="E3247" t="s">
        <v>2618</v>
      </c>
      <c r="F3247" t="s">
        <v>11</v>
      </c>
      <c r="G3247" t="s">
        <v>152</v>
      </c>
      <c r="H3247" s="12">
        <v>8.6385002129432706</v>
      </c>
      <c r="I3247" s="20">
        <v>1.6215192907426901</v>
      </c>
      <c r="J3247" s="28">
        <v>0.104906316222806</v>
      </c>
      <c r="K3247" s="29">
        <v>0.74675898296153298</v>
      </c>
    </row>
    <row r="3248" spans="1:11" x14ac:dyDescent="0.35">
      <c r="A3248" s="9" t="str">
        <f>HYPERLINK("http://www.ensembl.org/id/WBGene00015695", "WBGene00015695")</f>
        <v>WBGene00015695</v>
      </c>
      <c r="B3248" s="9" t="str">
        <f>HYPERLINK("http://www.ncbi.nlm.nih.gov/gene/172085", "172085")</f>
        <v>172085</v>
      </c>
      <c r="C3248" s="9"/>
      <c r="D3248" t="str">
        <f>"ugt-26"</f>
        <v>ugt-26</v>
      </c>
      <c r="E3248" t="s">
        <v>948</v>
      </c>
      <c r="F3248" t="s">
        <v>11</v>
      </c>
      <c r="G3248" t="s">
        <v>104</v>
      </c>
      <c r="H3248" s="12">
        <v>1.5095305244722601</v>
      </c>
      <c r="I3248" s="20">
        <v>1.6215163993441599</v>
      </c>
      <c r="J3248" s="28">
        <v>0.104906935804256</v>
      </c>
      <c r="K3248" s="29">
        <v>0.74675898296153298</v>
      </c>
    </row>
    <row r="3249" spans="1:11" x14ac:dyDescent="0.35">
      <c r="A3249" s="9" t="str">
        <f>HYPERLINK("http://www.ensembl.org/id/WBGene00044571", "WBGene00044571")</f>
        <v>WBGene00044571</v>
      </c>
      <c r="B3249" s="9" t="str">
        <f>HYPERLINK("http://www.ncbi.nlm.nih.gov/gene/3896871", "3896871")</f>
        <v>3896871</v>
      </c>
      <c r="C3249" s="9"/>
      <c r="D3249" t="str">
        <f>"C46F4.3"</f>
        <v>C46F4.3</v>
      </c>
      <c r="F3249" t="s">
        <v>11</v>
      </c>
      <c r="H3249" s="12">
        <v>3.83203758035192</v>
      </c>
      <c r="I3249" s="20">
        <v>1.6211926705416599</v>
      </c>
      <c r="J3249" s="28">
        <v>0.10497632419175799</v>
      </c>
      <c r="K3249" s="29">
        <v>0.74679277917942</v>
      </c>
    </row>
    <row r="3250" spans="1:11" x14ac:dyDescent="0.35">
      <c r="A3250" s="9" t="str">
        <f>HYPERLINK("http://www.ensembl.org/id/WBGene00010303", "WBGene00010303")</f>
        <v>WBGene00010303</v>
      </c>
      <c r="B3250" s="9" t="str">
        <f>HYPERLINK("http://www.ncbi.nlm.nih.gov/gene/175441", "175441")</f>
        <v>175441</v>
      </c>
      <c r="C3250" s="9" t="str">
        <f>HYPERLINK("http://www.ncbi.nlm.nih.gov/gene/708", "708")</f>
        <v>708</v>
      </c>
      <c r="D3250" t="str">
        <f>"cri-3"</f>
        <v>cri-3</v>
      </c>
      <c r="E3250" t="s">
        <v>2619</v>
      </c>
      <c r="F3250" t="s">
        <v>11</v>
      </c>
      <c r="G3250" t="s">
        <v>2620</v>
      </c>
      <c r="H3250" s="12">
        <v>-1.3767380946721399</v>
      </c>
      <c r="I3250" s="20">
        <v>-1.6212082104188501</v>
      </c>
      <c r="J3250" s="28">
        <v>0.104972992525171</v>
      </c>
      <c r="K3250" s="29">
        <v>0.74679277917942</v>
      </c>
    </row>
    <row r="3251" spans="1:11" x14ac:dyDescent="0.35">
      <c r="A3251" s="9" t="str">
        <f>HYPERLINK("http://www.ensembl.org/id/WBGene00009944", "WBGene00009944")</f>
        <v>WBGene00009944</v>
      </c>
      <c r="B3251" s="9" t="str">
        <f>HYPERLINK("http://www.ncbi.nlm.nih.gov/gene/174563", "174563")</f>
        <v>174563</v>
      </c>
      <c r="C3251" s="9" t="str">
        <f>HYPERLINK("http://www.ncbi.nlm.nih.gov/gene/25821", "25821")</f>
        <v>25821</v>
      </c>
      <c r="D3251" t="str">
        <f>"mtcu-2"</f>
        <v>mtcu-2</v>
      </c>
      <c r="E3251" t="s">
        <v>2621</v>
      </c>
      <c r="F3251" t="s">
        <v>11</v>
      </c>
      <c r="G3251" t="s">
        <v>2622</v>
      </c>
      <c r="H3251" s="12">
        <v>-1.39279426647432</v>
      </c>
      <c r="I3251" s="20">
        <v>-1.6208598257496101</v>
      </c>
      <c r="J3251" s="28">
        <v>0.105047704490098</v>
      </c>
      <c r="K3251" s="29">
        <v>0.747070563234287</v>
      </c>
    </row>
    <row r="3252" spans="1:11" x14ac:dyDescent="0.35">
      <c r="A3252" s="9" t="str">
        <f>HYPERLINK("http://www.ensembl.org/id/WBGene00001054", "WBGene00001054")</f>
        <v>WBGene00001054</v>
      </c>
      <c r="B3252" s="9" t="str">
        <f>HYPERLINK("http://www.ncbi.nlm.nih.gov/gene/180042", "180042")</f>
        <v>180042</v>
      </c>
      <c r="C3252" s="9" t="str">
        <f>HYPERLINK("http://www.ncbi.nlm.nih.gov/gene/57628", "57628")</f>
        <v>57628</v>
      </c>
      <c r="D3252" t="str">
        <f>"dpf-1"</f>
        <v>dpf-1</v>
      </c>
      <c r="E3252" t="s">
        <v>2623</v>
      </c>
      <c r="F3252" t="s">
        <v>11</v>
      </c>
      <c r="G3252" t="s">
        <v>1681</v>
      </c>
      <c r="H3252" s="12">
        <v>1.40533104448978</v>
      </c>
      <c r="I3252" s="20">
        <v>1.6202799423591601</v>
      </c>
      <c r="J3252" s="28">
        <v>0.10517215552293099</v>
      </c>
      <c r="K3252" s="29">
        <v>0.74758909276475205</v>
      </c>
    </row>
    <row r="3253" spans="1:11" x14ac:dyDescent="0.35">
      <c r="A3253" s="9" t="str">
        <f>HYPERLINK("http://www.ensembl.org/id/WBGene00014206", "WBGene00014206")</f>
        <v>WBGene00014206</v>
      </c>
      <c r="B3253" s="9" t="str">
        <f>HYPERLINK("http://www.ncbi.nlm.nih.gov/gene/191515", "191515")</f>
        <v>191515</v>
      </c>
      <c r="C3253" s="9"/>
      <c r="D3253" t="str">
        <f>"nit-1"</f>
        <v>nit-1</v>
      </c>
      <c r="E3253" t="s">
        <v>2624</v>
      </c>
      <c r="F3253" t="s">
        <v>11</v>
      </c>
      <c r="G3253" t="s">
        <v>2625</v>
      </c>
      <c r="H3253" s="12">
        <v>-1.6556740083319199</v>
      </c>
      <c r="I3253" s="20">
        <v>-1.6202186063897399</v>
      </c>
      <c r="J3253" s="28">
        <v>0.10518532591440399</v>
      </c>
      <c r="K3253" s="29">
        <v>0.74758909276475205</v>
      </c>
    </row>
    <row r="3254" spans="1:11" x14ac:dyDescent="0.35">
      <c r="A3254" s="9" t="str">
        <f>HYPERLINK("http://www.ensembl.org/id/WBGene00015301", "WBGene00015301")</f>
        <v>WBGene00015301</v>
      </c>
      <c r="B3254" s="9" t="str">
        <f>HYPERLINK("http://www.ncbi.nlm.nih.gov/gene/173761", "173761")</f>
        <v>173761</v>
      </c>
      <c r="C3254" s="9" t="str">
        <f>HYPERLINK("http://www.ncbi.nlm.nih.gov/gene/81573", "81573")</f>
        <v>81573</v>
      </c>
      <c r="D3254" t="str">
        <f>"C01F1.6"</f>
        <v>C01F1.6</v>
      </c>
      <c r="F3254" t="s">
        <v>11</v>
      </c>
      <c r="G3254" t="s">
        <v>2626</v>
      </c>
      <c r="H3254" s="12">
        <v>-1.3558648922868799</v>
      </c>
      <c r="I3254" s="20">
        <v>-1.6198144624471</v>
      </c>
      <c r="J3254" s="28">
        <v>0.10527213861929501</v>
      </c>
      <c r="K3254" s="29">
        <v>0.74797602550351405</v>
      </c>
    </row>
    <row r="3255" spans="1:11" x14ac:dyDescent="0.35">
      <c r="A3255" s="9" t="str">
        <f>HYPERLINK("http://www.ensembl.org/id/WBGene00020098", "WBGene00020098")</f>
        <v>WBGene00020098</v>
      </c>
      <c r="B3255" s="9" t="str">
        <f>HYPERLINK("http://www.ncbi.nlm.nih.gov/gene/187902", "187902")</f>
        <v>187902</v>
      </c>
      <c r="C3255" s="9"/>
      <c r="D3255" t="str">
        <f>"R144.10"</f>
        <v>R144.10</v>
      </c>
      <c r="F3255" t="s">
        <v>11</v>
      </c>
      <c r="H3255" s="12">
        <v>-1.54658268550587</v>
      </c>
      <c r="I3255" s="20">
        <v>-1.61888076832191</v>
      </c>
      <c r="J3255" s="28">
        <v>0.105472919516945</v>
      </c>
      <c r="K3255" s="29">
        <v>0.74880379080321002</v>
      </c>
    </row>
    <row r="3256" spans="1:11" x14ac:dyDescent="0.35">
      <c r="A3256" s="9" t="str">
        <f>HYPERLINK("http://www.ensembl.org/id/WBGene00020193", "WBGene00020193")</f>
        <v>WBGene00020193</v>
      </c>
      <c r="B3256" s="9" t="str">
        <f>HYPERLINK("http://www.ncbi.nlm.nih.gov/gene/171969", "171969")</f>
        <v>171969</v>
      </c>
      <c r="C3256" s="9" t="str">
        <f>HYPERLINK("http://www.ncbi.nlm.nih.gov/gene/90196", "90196")</f>
        <v>90196</v>
      </c>
      <c r="D3256" t="str">
        <f>"T03F1.12"</f>
        <v>T03F1.12</v>
      </c>
      <c r="F3256" t="s">
        <v>11</v>
      </c>
      <c r="G3256" t="s">
        <v>2629</v>
      </c>
      <c r="H3256" s="12">
        <v>-1.57824327015275</v>
      </c>
      <c r="I3256" s="20">
        <v>-1.61906694218241</v>
      </c>
      <c r="J3256" s="28">
        <v>0.105432860593804</v>
      </c>
      <c r="K3256" s="29">
        <v>0.74880379080321002</v>
      </c>
    </row>
    <row r="3257" spans="1:11" x14ac:dyDescent="0.35">
      <c r="A3257" s="9" t="str">
        <f>HYPERLINK("http://www.ensembl.org/id/WBGene00020600", "WBGene00020600")</f>
        <v>WBGene00020600</v>
      </c>
      <c r="B3257" s="9" t="str">
        <f>HYPERLINK("http://www.ncbi.nlm.nih.gov/gene/176055", "176055")</f>
        <v>176055</v>
      </c>
      <c r="C3257" s="9" t="str">
        <f>HYPERLINK("http://www.ncbi.nlm.nih.gov/gene/55622", "55622")</f>
        <v>55622</v>
      </c>
      <c r="D3257" t="str">
        <f>"trd-1"</f>
        <v>trd-1</v>
      </c>
      <c r="E3257" t="s">
        <v>2627</v>
      </c>
      <c r="F3257" t="s">
        <v>11</v>
      </c>
      <c r="G3257" t="s">
        <v>2628</v>
      </c>
      <c r="H3257" s="12">
        <v>-1.4451121539787399</v>
      </c>
      <c r="I3257" s="20">
        <v>-1.61882062776713</v>
      </c>
      <c r="J3257" s="28">
        <v>0.10548586250603501</v>
      </c>
      <c r="K3257" s="29">
        <v>0.74880379080321002</v>
      </c>
    </row>
    <row r="3258" spans="1:11" x14ac:dyDescent="0.35">
      <c r="A3258" s="9" t="str">
        <f>HYPERLINK("http://www.ensembl.org/id/WBGene00015531", "WBGene00015531")</f>
        <v>WBGene00015531</v>
      </c>
      <c r="B3258" s="9" t="str">
        <f>HYPERLINK("http://www.ncbi.nlm.nih.gov/gene/182325", "182325")</f>
        <v>182325</v>
      </c>
      <c r="C3258" s="9"/>
      <c r="D3258" t="str">
        <f>"C06E4.2"</f>
        <v>C06E4.2</v>
      </c>
      <c r="F3258" t="s">
        <v>11</v>
      </c>
      <c r="H3258" s="12">
        <v>1.7965655281517301</v>
      </c>
      <c r="I3258" s="20">
        <v>1.6186547182381701</v>
      </c>
      <c r="J3258" s="28">
        <v>0.105521574816338</v>
      </c>
      <c r="K3258" s="29">
        <v>0.74882724438154502</v>
      </c>
    </row>
    <row r="3259" spans="1:11" x14ac:dyDescent="0.35">
      <c r="A3259" s="9" t="str">
        <f>HYPERLINK("http://www.ensembl.org/id/WBGene00002186", "WBGene00002186")</f>
        <v>WBGene00002186</v>
      </c>
      <c r="B3259" s="9" t="str">
        <f>HYPERLINK("http://www.ncbi.nlm.nih.gov/gene/176423", "176423")</f>
        <v>176423</v>
      </c>
      <c r="C3259" s="9"/>
      <c r="D3259" t="str">
        <f>"kel-10"</f>
        <v>kel-10</v>
      </c>
      <c r="E3259" t="s">
        <v>2630</v>
      </c>
      <c r="F3259" t="s">
        <v>11</v>
      </c>
      <c r="G3259" t="s">
        <v>54</v>
      </c>
      <c r="H3259" s="12">
        <v>1.78367589109372</v>
      </c>
      <c r="I3259" s="20">
        <v>1.61823202636032</v>
      </c>
      <c r="J3259" s="28">
        <v>0.105612603319333</v>
      </c>
      <c r="K3259" s="29">
        <v>0.74924311092923002</v>
      </c>
    </row>
    <row r="3260" spans="1:11" x14ac:dyDescent="0.35">
      <c r="A3260" s="9" t="str">
        <f>HYPERLINK("http://www.ensembl.org/id/WBGene00008025", "WBGene00008025")</f>
        <v>WBGene00008025</v>
      </c>
      <c r="B3260" s="9" t="str">
        <f>HYPERLINK("http://www.ncbi.nlm.nih.gov/gene/183334", "183334")</f>
        <v>183334</v>
      </c>
      <c r="C3260" s="9"/>
      <c r="D3260" t="str">
        <f>"C39B10.5"</f>
        <v>C39B10.5</v>
      </c>
      <c r="F3260" t="s">
        <v>11</v>
      </c>
      <c r="H3260" s="12">
        <v>6.6561331688615804</v>
      </c>
      <c r="I3260" s="20">
        <v>1.6175763688979501</v>
      </c>
      <c r="J3260" s="28">
        <v>0.105753925205832</v>
      </c>
      <c r="K3260" s="29">
        <v>0.75001540693859603</v>
      </c>
    </row>
    <row r="3261" spans="1:11" x14ac:dyDescent="0.35">
      <c r="A3261" s="9" t="str">
        <f>HYPERLINK("http://www.ensembl.org/id/WBGene00009700", "WBGene00009700")</f>
        <v>WBGene00009700</v>
      </c>
      <c r="B3261" s="9" t="str">
        <f>HYPERLINK("http://www.ncbi.nlm.nih.gov/gene/185748", "185748")</f>
        <v>185748</v>
      </c>
      <c r="C3261" s="9"/>
      <c r="D3261" t="str">
        <f>"lurp-1"</f>
        <v>lurp-1</v>
      </c>
      <c r="E3261" t="s">
        <v>2631</v>
      </c>
      <c r="F3261" t="s">
        <v>11</v>
      </c>
      <c r="G3261" t="s">
        <v>25</v>
      </c>
      <c r="H3261" s="12">
        <v>1.65905860502139</v>
      </c>
      <c r="I3261" s="20">
        <v>1.6164823735215801</v>
      </c>
      <c r="J3261" s="28">
        <v>0.10599006134293</v>
      </c>
      <c r="K3261" s="29">
        <v>0.75145945301925199</v>
      </c>
    </row>
    <row r="3262" spans="1:11" x14ac:dyDescent="0.35">
      <c r="A3262" s="9" t="str">
        <f>HYPERLINK("http://www.ensembl.org/id/WBGene00009048", "WBGene00009048")</f>
        <v>WBGene00009048</v>
      </c>
      <c r="B3262" s="9" t="str">
        <f>HYPERLINK("http://www.ncbi.nlm.nih.gov/gene/180079", "180079")</f>
        <v>180079</v>
      </c>
      <c r="C3262" s="9" t="str">
        <f>HYPERLINK("http://www.ncbi.nlm.nih.gov/gene/1491", "1491")</f>
        <v>1491</v>
      </c>
      <c r="D3262" t="str">
        <f>"cth-1"</f>
        <v>cth-1</v>
      </c>
      <c r="E3262" t="s">
        <v>2632</v>
      </c>
      <c r="F3262" t="s">
        <v>11</v>
      </c>
      <c r="G3262" t="s">
        <v>2633</v>
      </c>
      <c r="H3262" s="12">
        <v>1.5285803911233899</v>
      </c>
      <c r="I3262" s="20">
        <v>1.6158105791214401</v>
      </c>
      <c r="J3262" s="28">
        <v>0.106135273569335</v>
      </c>
      <c r="K3262" s="29">
        <v>0.75211708653568599</v>
      </c>
    </row>
    <row r="3263" spans="1:11" x14ac:dyDescent="0.35">
      <c r="A3263" s="9" t="str">
        <f>HYPERLINK("http://www.ensembl.org/id/WBGene00015697", "WBGene00015697")</f>
        <v>WBGene00015697</v>
      </c>
      <c r="B3263" s="9" t="str">
        <f>HYPERLINK("http://www.ncbi.nlm.nih.gov/gene/182509", "182509")</f>
        <v>182509</v>
      </c>
      <c r="C3263" s="9"/>
      <c r="D3263" t="str">
        <f>"mlst-8"</f>
        <v>mlst-8</v>
      </c>
      <c r="E3263" t="s">
        <v>2634</v>
      </c>
      <c r="F3263" t="s">
        <v>11</v>
      </c>
      <c r="G3263" t="s">
        <v>2635</v>
      </c>
      <c r="H3263" s="12">
        <v>-1.4120275678596499</v>
      </c>
      <c r="I3263" s="20">
        <v>-1.61575211159604</v>
      </c>
      <c r="J3263" s="28">
        <v>0.106147919120266</v>
      </c>
      <c r="K3263" s="29">
        <v>0.75211708653568599</v>
      </c>
    </row>
    <row r="3264" spans="1:11" x14ac:dyDescent="0.35">
      <c r="A3264" s="9" t="str">
        <f>HYPERLINK("http://www.ensembl.org/id/WBGene00007352", "WBGene00007352")</f>
        <v>WBGene00007352</v>
      </c>
      <c r="B3264" s="9" t="str">
        <f>HYPERLINK("http://www.ncbi.nlm.nih.gov/gene/174624", "174624")</f>
        <v>174624</v>
      </c>
      <c r="C3264" s="9" t="str">
        <f>HYPERLINK("http://www.ncbi.nlm.nih.gov/gene/7415", "7415")</f>
        <v>7415</v>
      </c>
      <c r="D3264" t="str">
        <f>"cdc-48.1"</f>
        <v>cdc-48.1</v>
      </c>
      <c r="E3264" t="s">
        <v>2636</v>
      </c>
      <c r="F3264" t="s">
        <v>11</v>
      </c>
      <c r="G3264" t="s">
        <v>2637</v>
      </c>
      <c r="H3264" s="12">
        <v>-1.3399280218954801</v>
      </c>
      <c r="I3264" s="20">
        <v>-1.6154260615156899</v>
      </c>
      <c r="J3264" s="28">
        <v>0.106218460225755</v>
      </c>
      <c r="K3264" s="29">
        <v>0.75238618699457305</v>
      </c>
    </row>
    <row r="3265" spans="1:11" x14ac:dyDescent="0.35">
      <c r="A3265" s="9" t="str">
        <f>HYPERLINK("http://www.ensembl.org/id/WBGene00016811", "WBGene00016811")</f>
        <v>WBGene00016811</v>
      </c>
      <c r="B3265" s="9" t="str">
        <f>HYPERLINK("http://www.ncbi.nlm.nih.gov/gene/183652", "183652")</f>
        <v>183652</v>
      </c>
      <c r="C3265" s="9"/>
      <c r="D3265" t="str">
        <f>"C50D2.8"</f>
        <v>C50D2.8</v>
      </c>
      <c r="F3265" t="s">
        <v>11</v>
      </c>
      <c r="G3265" t="s">
        <v>2644</v>
      </c>
      <c r="H3265" s="12">
        <v>-1.41342415003865</v>
      </c>
      <c r="I3265" s="20">
        <v>-1.61480538042747</v>
      </c>
      <c r="J3265" s="28">
        <v>0.106352847626816</v>
      </c>
      <c r="K3265" s="29">
        <v>0.752624202744829</v>
      </c>
    </row>
    <row r="3266" spans="1:11" x14ac:dyDescent="0.35">
      <c r="A3266" s="9" t="str">
        <f>HYPERLINK("http://www.ensembl.org/id/WBGene00018432", "WBGene00018432")</f>
        <v>WBGene00018432</v>
      </c>
      <c r="B3266" s="9" t="str">
        <f>HYPERLINK("http://www.ncbi.nlm.nih.gov/gene/24104588", "24104588")</f>
        <v>24104588</v>
      </c>
      <c r="C3266" s="9"/>
      <c r="D3266" t="str">
        <f>"irld-33"</f>
        <v>irld-33</v>
      </c>
      <c r="E3266" t="s">
        <v>1627</v>
      </c>
      <c r="F3266" t="s">
        <v>11</v>
      </c>
      <c r="H3266" s="12">
        <v>34.116285032181104</v>
      </c>
      <c r="I3266" s="20">
        <v>1.6144491177051199</v>
      </c>
      <c r="J3266" s="28">
        <v>0.10643004508427099</v>
      </c>
      <c r="K3266" s="29">
        <v>0.752624202744829</v>
      </c>
    </row>
    <row r="3267" spans="1:11" x14ac:dyDescent="0.35">
      <c r="A3267" s="9" t="str">
        <f>HYPERLINK("http://www.ensembl.org/id/WBGene00007718", "WBGene00007718")</f>
        <v>WBGene00007718</v>
      </c>
      <c r="B3267" s="9" t="str">
        <f>HYPERLINK("http://www.ncbi.nlm.nih.gov/gene/3565820", "3565820")</f>
        <v>3565820</v>
      </c>
      <c r="C3267" s="9"/>
      <c r="D3267" t="str">
        <f>"otub-1"</f>
        <v>otub-1</v>
      </c>
      <c r="E3267" t="s">
        <v>2642</v>
      </c>
      <c r="F3267" t="s">
        <v>11</v>
      </c>
      <c r="G3267" t="s">
        <v>2643</v>
      </c>
      <c r="H3267" s="12">
        <v>-1.3532767441956199</v>
      </c>
      <c r="I3267" s="20">
        <v>-1.6143686005396201</v>
      </c>
      <c r="J3267" s="28">
        <v>0.106447498250242</v>
      </c>
      <c r="K3267" s="29">
        <v>0.752624202744829</v>
      </c>
    </row>
    <row r="3268" spans="1:11" x14ac:dyDescent="0.35">
      <c r="A3268" s="9" t="str">
        <f>HYPERLINK("http://www.ensembl.org/id/WBGene00004949", "WBGene00004949")</f>
        <v>WBGene00004949</v>
      </c>
      <c r="B3268" s="9" t="str">
        <f>HYPERLINK("http://www.ncbi.nlm.nih.gov/gene/181002", "181002")</f>
        <v>181002</v>
      </c>
      <c r="C3268" s="9"/>
      <c r="D3268" t="str">
        <f>"sox-2"</f>
        <v>sox-2</v>
      </c>
      <c r="E3268" t="s">
        <v>2640</v>
      </c>
      <c r="F3268" t="s">
        <v>11</v>
      </c>
      <c r="G3268" t="s">
        <v>2641</v>
      </c>
      <c r="H3268" s="12">
        <v>1.3519026656856401</v>
      </c>
      <c r="I3268" s="20">
        <v>1.6151011036109599</v>
      </c>
      <c r="J3268" s="28">
        <v>0.106288802016412</v>
      </c>
      <c r="K3268" s="29">
        <v>0.752624202744829</v>
      </c>
    </row>
    <row r="3269" spans="1:11" x14ac:dyDescent="0.35">
      <c r="A3269" s="9" t="str">
        <f>HYPERLINK("http://www.ensembl.org/id/WBGene00015568", "WBGene00015568")</f>
        <v>WBGene00015568</v>
      </c>
      <c r="B3269" s="9" t="str">
        <f>HYPERLINK("http://www.ncbi.nlm.nih.gov/gene/182367", "182367")</f>
        <v>182367</v>
      </c>
      <c r="C3269" s="9"/>
      <c r="D3269" t="str">
        <f>"sre-3"</f>
        <v>sre-3</v>
      </c>
      <c r="E3269" t="s">
        <v>2638</v>
      </c>
      <c r="F3269" t="s">
        <v>11</v>
      </c>
      <c r="G3269" t="s">
        <v>2639</v>
      </c>
      <c r="H3269" s="12">
        <v>2.9886247126268599</v>
      </c>
      <c r="I3269" s="20">
        <v>1.6149008618713601</v>
      </c>
      <c r="J3269" s="28">
        <v>0.10633216559551301</v>
      </c>
      <c r="K3269" s="29">
        <v>0.752624202744829</v>
      </c>
    </row>
    <row r="3270" spans="1:11" x14ac:dyDescent="0.35">
      <c r="A3270" s="9" t="str">
        <f>HYPERLINK("http://www.ensembl.org/id/WBGene00045434", "WBGene00045434")</f>
        <v>WBGene00045434</v>
      </c>
      <c r="B3270" s="9" t="str">
        <f>HYPERLINK("http://www.ncbi.nlm.nih.gov/gene/6418593", "6418593")</f>
        <v>6418593</v>
      </c>
      <c r="C3270" s="9"/>
      <c r="D3270" t="str">
        <f>"Y95D11A.3"</f>
        <v>Y95D11A.3</v>
      </c>
      <c r="F3270" t="s">
        <v>11</v>
      </c>
      <c r="H3270" s="12">
        <v>-1.4664602170091401</v>
      </c>
      <c r="I3270" s="20">
        <v>-1.6146223384922</v>
      </c>
      <c r="J3270" s="28">
        <v>0.106392504865926</v>
      </c>
      <c r="K3270" s="29">
        <v>0.752624202744829</v>
      </c>
    </row>
    <row r="3271" spans="1:11" x14ac:dyDescent="0.35">
      <c r="A3271" s="9" t="str">
        <f>HYPERLINK("http://www.ensembl.org/id/WBGene00007551", "WBGene00007551")</f>
        <v>WBGene00007551</v>
      </c>
      <c r="B3271" s="9" t="str">
        <f>HYPERLINK("http://www.ncbi.nlm.nih.gov/gene/3565934", "3565934")</f>
        <v>3565934</v>
      </c>
      <c r="C3271" s="9"/>
      <c r="D3271" t="str">
        <f>"C13C4.7"</f>
        <v>C13C4.7</v>
      </c>
      <c r="F3271" t="s">
        <v>11</v>
      </c>
      <c r="G3271" t="s">
        <v>54</v>
      </c>
      <c r="H3271" s="12">
        <v>-1.49485975420852</v>
      </c>
      <c r="I3271" s="20">
        <v>-1.61365917246943</v>
      </c>
      <c r="J3271" s="28">
        <v>0.106601374295683</v>
      </c>
      <c r="K3271" s="29">
        <v>0.75279075625796199</v>
      </c>
    </row>
    <row r="3272" spans="1:11" x14ac:dyDescent="0.35">
      <c r="A3272" s="9" t="str">
        <f>HYPERLINK("http://www.ensembl.org/id/WBGene00206389", "WBGene00206389")</f>
        <v>WBGene00206389</v>
      </c>
      <c r="B3272" s="9" t="str">
        <f>HYPERLINK("http://www.ncbi.nlm.nih.gov/gene/13223505", "13223505")</f>
        <v>13223505</v>
      </c>
      <c r="C3272" s="9"/>
      <c r="D3272" t="str">
        <f>"C29F7.10"</f>
        <v>C29F7.10</v>
      </c>
      <c r="F3272" t="s">
        <v>11</v>
      </c>
      <c r="H3272" s="12">
        <v>-1.71822390219506</v>
      </c>
      <c r="I3272" s="20">
        <v>-1.6139110993763399</v>
      </c>
      <c r="J3272" s="28">
        <v>0.10654671078464301</v>
      </c>
      <c r="K3272" s="29">
        <v>0.75279075625796199</v>
      </c>
    </row>
    <row r="3273" spans="1:11" x14ac:dyDescent="0.35">
      <c r="A3273" s="9" t="str">
        <f>HYPERLINK("http://www.ensembl.org/id/WBGene00008476", "WBGene00008476")</f>
        <v>WBGene00008476</v>
      </c>
      <c r="B3273" s="9" t="str">
        <f>HYPERLINK("http://www.ncbi.nlm.nih.gov/gene/184023", "184023")</f>
        <v>184023</v>
      </c>
      <c r="C3273" s="9"/>
      <c r="D3273" t="str">
        <f>"E03H4.8"</f>
        <v>E03H4.8</v>
      </c>
      <c r="F3273" t="s">
        <v>11</v>
      </c>
      <c r="G3273" t="s">
        <v>2647</v>
      </c>
      <c r="H3273" s="12">
        <v>-1.4326396304234199</v>
      </c>
      <c r="I3273" s="20">
        <v>-1.6136933305941401</v>
      </c>
      <c r="J3273" s="28">
        <v>0.106593961307695</v>
      </c>
      <c r="K3273" s="29">
        <v>0.75279075625796199</v>
      </c>
    </row>
    <row r="3274" spans="1:11" x14ac:dyDescent="0.35">
      <c r="A3274" s="9" t="str">
        <f>HYPERLINK("http://www.ensembl.org/id/WBGene00021152", "WBGene00021152")</f>
        <v>WBGene00021152</v>
      </c>
      <c r="B3274" s="9" t="str">
        <f>HYPERLINK("http://www.ncbi.nlm.nih.gov/gene/177327", "177327")</f>
        <v>177327</v>
      </c>
      <c r="C3274" s="9" t="str">
        <f>HYPERLINK("http://www.ncbi.nlm.nih.gov/gene/2917", "2917")</f>
        <v>2917</v>
      </c>
      <c r="D3274" t="str">
        <f>"mgl-3"</f>
        <v>mgl-3</v>
      </c>
      <c r="E3274" t="s">
        <v>2645</v>
      </c>
      <c r="F3274" t="s">
        <v>11</v>
      </c>
      <c r="G3274" t="s">
        <v>2646</v>
      </c>
      <c r="H3274" s="12">
        <v>1.6587781641296899</v>
      </c>
      <c r="I3274" s="20">
        <v>1.6137746155836099</v>
      </c>
      <c r="J3274" s="28">
        <v>0.106576322501928</v>
      </c>
      <c r="K3274" s="29">
        <v>0.75279075625796199</v>
      </c>
    </row>
    <row r="3275" spans="1:11" x14ac:dyDescent="0.35">
      <c r="A3275" s="9" t="str">
        <f>HYPERLINK("http://www.ensembl.org/id/WBGene00000396", "WBGene00000396")</f>
        <v>WBGene00000396</v>
      </c>
      <c r="B3275" s="9" t="str">
        <f>HYPERLINK("http://www.ncbi.nlm.nih.gov/gene/175590", "175590")</f>
        <v>175590</v>
      </c>
      <c r="C3275" s="9" t="str">
        <f>HYPERLINK("http://www.ncbi.nlm.nih.gov/gene/2195", "2195")</f>
        <v>2195</v>
      </c>
      <c r="D3275" t="str">
        <f>"cdh-4"</f>
        <v>cdh-4</v>
      </c>
      <c r="E3275" t="s">
        <v>2648</v>
      </c>
      <c r="F3275" t="s">
        <v>11</v>
      </c>
      <c r="G3275" t="s">
        <v>1207</v>
      </c>
      <c r="H3275" s="12">
        <v>1.36342182378298</v>
      </c>
      <c r="I3275" s="20">
        <v>1.61327080955153</v>
      </c>
      <c r="J3275" s="28">
        <v>0.106685685458727</v>
      </c>
      <c r="K3275" s="29">
        <v>0.75300687834215896</v>
      </c>
    </row>
    <row r="3276" spans="1:11" x14ac:dyDescent="0.35">
      <c r="A3276" s="9" t="str">
        <f>HYPERLINK("http://www.ensembl.org/id/WBGene00044758", "WBGene00044758")</f>
        <v>WBGene00044758</v>
      </c>
      <c r="B3276" s="9" t="str">
        <f>HYPERLINK("http://www.ncbi.nlm.nih.gov/gene/4363083", "4363083")</f>
        <v>4363083</v>
      </c>
      <c r="C3276" s="9"/>
      <c r="D3276" t="str">
        <f>"Y37H2A.12"</f>
        <v>Y37H2A.12</v>
      </c>
      <c r="F3276" t="s">
        <v>11</v>
      </c>
      <c r="G3276" t="s">
        <v>54</v>
      </c>
      <c r="H3276" s="12">
        <v>-1.8567038920293</v>
      </c>
      <c r="I3276" s="20">
        <v>-1.61321798493483</v>
      </c>
      <c r="J3276" s="28">
        <v>0.106697157434962</v>
      </c>
      <c r="K3276" s="29">
        <v>0.75300687834215896</v>
      </c>
    </row>
    <row r="3277" spans="1:11" x14ac:dyDescent="0.35">
      <c r="A3277" s="9" t="str">
        <f>HYPERLINK("http://www.ensembl.org/id/WBGene00022273", "WBGene00022273")</f>
        <v>WBGene00022273</v>
      </c>
      <c r="B3277" s="9" t="str">
        <f>HYPERLINK("http://www.ncbi.nlm.nih.gov/gene/171724", "171724")</f>
        <v>171724</v>
      </c>
      <c r="C3277" s="9"/>
      <c r="D3277" t="str">
        <f>"Y73E7A.6"</f>
        <v>Y73E7A.6</v>
      </c>
      <c r="E3277" t="s">
        <v>2649</v>
      </c>
      <c r="F3277" t="s">
        <v>11</v>
      </c>
      <c r="G3277" t="s">
        <v>25</v>
      </c>
      <c r="H3277" s="12">
        <v>-1.5400384124984099</v>
      </c>
      <c r="I3277" s="20">
        <v>-1.61301013520957</v>
      </c>
      <c r="J3277" s="28">
        <v>0.106742305865073</v>
      </c>
      <c r="K3277" s="29">
        <v>0.75309548681477201</v>
      </c>
    </row>
    <row r="3278" spans="1:11" x14ac:dyDescent="0.35">
      <c r="A3278" s="9" t="str">
        <f>HYPERLINK("http://www.ensembl.org/id/WBGene00011796", "WBGene00011796")</f>
        <v>WBGene00011796</v>
      </c>
      <c r="B3278" s="9" t="str">
        <f>HYPERLINK("http://www.ncbi.nlm.nih.gov/gene/188552", "188552")</f>
        <v>188552</v>
      </c>
      <c r="C3278" s="9"/>
      <c r="D3278" t="str">
        <f>"T16G1.2"</f>
        <v>T16G1.2</v>
      </c>
      <c r="F3278" t="s">
        <v>11</v>
      </c>
      <c r="H3278" s="12">
        <v>2.3406898101711699</v>
      </c>
      <c r="I3278" s="20">
        <v>1.6126796655397899</v>
      </c>
      <c r="J3278" s="28">
        <v>0.10681412056594999</v>
      </c>
      <c r="K3278" s="29">
        <v>0.75337212142760401</v>
      </c>
    </row>
    <row r="3279" spans="1:11" x14ac:dyDescent="0.35">
      <c r="A3279" s="9" t="str">
        <f>HYPERLINK("http://www.ensembl.org/id/WBGene00008604", "WBGene00008604")</f>
        <v>WBGene00008604</v>
      </c>
      <c r="B3279" s="9" t="str">
        <f>HYPERLINK("http://www.ncbi.nlm.nih.gov/gene/259721", "259721")</f>
        <v>259721</v>
      </c>
      <c r="C3279" s="9"/>
      <c r="D3279" t="str">
        <f>"F09B9.5"</f>
        <v>F09B9.5</v>
      </c>
      <c r="F3279" t="s">
        <v>11</v>
      </c>
      <c r="G3279" t="s">
        <v>63</v>
      </c>
      <c r="H3279" s="12">
        <v>1.6983861842697601</v>
      </c>
      <c r="I3279" s="20">
        <v>1.6118132137948999</v>
      </c>
      <c r="J3279" s="28">
        <v>0.107002591881694</v>
      </c>
      <c r="K3279" s="29">
        <v>0.75447112847678699</v>
      </c>
    </row>
    <row r="3280" spans="1:11" x14ac:dyDescent="0.35">
      <c r="A3280" s="9" t="str">
        <f>HYPERLINK("http://www.ensembl.org/id/WBGene00006738", "WBGene00006738")</f>
        <v>WBGene00006738</v>
      </c>
      <c r="B3280" s="9" t="str">
        <f>HYPERLINK("http://www.ncbi.nlm.nih.gov/gene/3565434", "3565434")</f>
        <v>3565434</v>
      </c>
      <c r="C3280" s="9"/>
      <c r="D3280" t="str">
        <f>"ulp-3"</f>
        <v>ulp-3</v>
      </c>
      <c r="E3280" t="s">
        <v>1441</v>
      </c>
      <c r="F3280" t="s">
        <v>11</v>
      </c>
      <c r="G3280" t="s">
        <v>2650</v>
      </c>
      <c r="H3280" s="12">
        <v>-1.43620657073447</v>
      </c>
      <c r="I3280" s="20">
        <v>-1.61164349573259</v>
      </c>
      <c r="J3280" s="28">
        <v>0.10703953994040601</v>
      </c>
      <c r="K3280" s="29">
        <v>0.75450140630354701</v>
      </c>
    </row>
    <row r="3281" spans="1:11" x14ac:dyDescent="0.35">
      <c r="A3281" s="9" t="str">
        <f>HYPERLINK("http://www.ensembl.org/id/WBGene00017489", "WBGene00017489")</f>
        <v>WBGene00017489</v>
      </c>
      <c r="B3281" s="9" t="str">
        <f>HYPERLINK("http://www.ncbi.nlm.nih.gov/gene/177194", "177194")</f>
        <v>177194</v>
      </c>
      <c r="C3281" s="9"/>
      <c r="D3281" t="str">
        <f>"F15E6.9"</f>
        <v>F15E6.9</v>
      </c>
      <c r="F3281" t="s">
        <v>11</v>
      </c>
      <c r="H3281" s="12">
        <v>1.81824925660012</v>
      </c>
      <c r="I3281" s="20">
        <v>1.6114391828134</v>
      </c>
      <c r="J3281" s="28">
        <v>0.107084032796642</v>
      </c>
      <c r="K3281" s="29">
        <v>0.75458423882324799</v>
      </c>
    </row>
    <row r="3282" spans="1:11" x14ac:dyDescent="0.35">
      <c r="A3282" s="9" t="str">
        <f>HYPERLINK("http://www.ensembl.org/id/WBGene00013339", "WBGene00013339")</f>
        <v>WBGene00013339</v>
      </c>
      <c r="B3282" s="9" t="str">
        <f>HYPERLINK("http://www.ncbi.nlm.nih.gov/gene/180169", "180169")</f>
        <v>180169</v>
      </c>
      <c r="C3282" s="9"/>
      <c r="D3282" t="str">
        <f>"phf-14"</f>
        <v>phf-14</v>
      </c>
      <c r="E3282" t="s">
        <v>2651</v>
      </c>
      <c r="F3282" t="s">
        <v>11</v>
      </c>
      <c r="G3282" t="s">
        <v>2652</v>
      </c>
      <c r="H3282" s="12">
        <v>-1.4438358835782901</v>
      </c>
      <c r="I3282" s="20">
        <v>-1.6112896470268201</v>
      </c>
      <c r="J3282" s="28">
        <v>0.107116606220906</v>
      </c>
      <c r="K3282" s="29">
        <v>0.75458423882324799</v>
      </c>
    </row>
    <row r="3283" spans="1:11" x14ac:dyDescent="0.35">
      <c r="A3283" s="9" t="str">
        <f>HYPERLINK("http://www.ensembl.org/id/WBGene00010086", "WBGene00010086")</f>
        <v>WBGene00010086</v>
      </c>
      <c r="B3283" s="9" t="str">
        <f>HYPERLINK("http://www.ncbi.nlm.nih.gov/gene/178384", "178384")</f>
        <v>178384</v>
      </c>
      <c r="C3283" s="9"/>
      <c r="D3283" t="str">
        <f>"F55B11.4"</f>
        <v>F55B11.4</v>
      </c>
      <c r="F3283" t="s">
        <v>11</v>
      </c>
      <c r="H3283" s="12">
        <v>1.38500576682253</v>
      </c>
      <c r="I3283" s="20">
        <v>1.6107267468697499</v>
      </c>
      <c r="J3283" s="28">
        <v>0.107239293323714</v>
      </c>
      <c r="K3283" s="29">
        <v>0.75465216386260903</v>
      </c>
    </row>
    <row r="3284" spans="1:11" x14ac:dyDescent="0.35">
      <c r="A3284" s="9" t="str">
        <f>HYPERLINK("http://www.ensembl.org/id/WBGene00005665", "WBGene00005665")</f>
        <v>WBGene00005665</v>
      </c>
      <c r="B3284" s="9" t="str">
        <f>HYPERLINK("http://www.ncbi.nlm.nih.gov/gene/183145", "183145")</f>
        <v>183145</v>
      </c>
      <c r="C3284" s="9"/>
      <c r="D3284" t="str">
        <f>"sru-2"</f>
        <v>sru-2</v>
      </c>
      <c r="E3284" t="s">
        <v>2653</v>
      </c>
      <c r="F3284" t="s">
        <v>11</v>
      </c>
      <c r="G3284" t="s">
        <v>25</v>
      </c>
      <c r="H3284" s="12">
        <v>10.808089266330899</v>
      </c>
      <c r="I3284" s="20">
        <v>1.61074718795073</v>
      </c>
      <c r="J3284" s="28">
        <v>0.107234836133782</v>
      </c>
      <c r="K3284" s="29">
        <v>0.75465216386260903</v>
      </c>
    </row>
    <row r="3285" spans="1:11" x14ac:dyDescent="0.35">
      <c r="A3285" s="9" t="str">
        <f>HYPERLINK("http://www.ensembl.org/id/WBGene00014955", "WBGene00014955")</f>
        <v>WBGene00014955</v>
      </c>
      <c r="B3285" s="9"/>
      <c r="C3285" s="9"/>
      <c r="D3285" t="str">
        <f>"Y102A5C.6"</f>
        <v>Y102A5C.6</v>
      </c>
      <c r="F3285" t="s">
        <v>80</v>
      </c>
      <c r="H3285" s="12">
        <v>-1.71268792259999</v>
      </c>
      <c r="I3285" s="20">
        <v>-1.6109664643423101</v>
      </c>
      <c r="J3285" s="28">
        <v>0.107187032015634</v>
      </c>
      <c r="K3285" s="29">
        <v>0.75465216386260903</v>
      </c>
    </row>
    <row r="3286" spans="1:11" x14ac:dyDescent="0.35">
      <c r="A3286" s="9" t="str">
        <f>HYPERLINK("http://www.ensembl.org/id/WBGene00045366", "WBGene00045366")</f>
        <v>WBGene00045366</v>
      </c>
      <c r="B3286" s="9"/>
      <c r="C3286" s="9"/>
      <c r="D3286" t="str">
        <f>"Y17D7C.3"</f>
        <v>Y17D7C.3</v>
      </c>
      <c r="F3286" t="s">
        <v>80</v>
      </c>
      <c r="H3286" s="12">
        <v>1.5000953180029299</v>
      </c>
      <c r="I3286" s="20">
        <v>1.6106460523264801</v>
      </c>
      <c r="J3286" s="28">
        <v>0.10725689025036</v>
      </c>
      <c r="K3286" s="29">
        <v>0.75465216386260903</v>
      </c>
    </row>
    <row r="3287" spans="1:11" x14ac:dyDescent="0.35">
      <c r="A3287" s="9" t="str">
        <f>HYPERLINK("http://www.ensembl.org/id/WBGene00007492", "WBGene00007492")</f>
        <v>WBGene00007492</v>
      </c>
      <c r="B3287" s="9" t="str">
        <f>HYPERLINK("http://www.ncbi.nlm.nih.gov/gene/177702", "177702")</f>
        <v>177702</v>
      </c>
      <c r="C3287" s="9"/>
      <c r="D3287" t="str">
        <f>"C09G9.1"</f>
        <v>C09G9.1</v>
      </c>
      <c r="F3287" t="s">
        <v>11</v>
      </c>
      <c r="H3287" s="12">
        <v>-1.3437752459241099</v>
      </c>
      <c r="I3287" s="20">
        <v>-1.6104746322436401</v>
      </c>
      <c r="J3287" s="28">
        <v>0.10729427913693999</v>
      </c>
      <c r="K3287" s="29">
        <v>0.75468542275133599</v>
      </c>
    </row>
    <row r="3288" spans="1:11" x14ac:dyDescent="0.35">
      <c r="A3288" s="9" t="str">
        <f>HYPERLINK("http://www.ensembl.org/id/WBGene00014022", "WBGene00014022")</f>
        <v>WBGene00014022</v>
      </c>
      <c r="B3288" s="9" t="str">
        <f>HYPERLINK("http://www.ncbi.nlm.nih.gov/gene/176252", "176252")</f>
        <v>176252</v>
      </c>
      <c r="C3288" s="9"/>
      <c r="D3288" t="str">
        <f>"ZK637.2"</f>
        <v>ZK637.2</v>
      </c>
      <c r="F3288" t="s">
        <v>11</v>
      </c>
      <c r="G3288" t="s">
        <v>784</v>
      </c>
      <c r="H3288" s="12">
        <v>-1.36615167683911</v>
      </c>
      <c r="I3288" s="20">
        <v>-1.6094559842203</v>
      </c>
      <c r="J3288" s="28">
        <v>0.10751667214628401</v>
      </c>
      <c r="K3288" s="29">
        <v>0.75601954553013995</v>
      </c>
    </row>
    <row r="3289" spans="1:11" x14ac:dyDescent="0.35">
      <c r="A3289" s="9" t="str">
        <f>HYPERLINK("http://www.ensembl.org/id/WBGene00000042", "WBGene00000042")</f>
        <v>WBGene00000042</v>
      </c>
      <c r="B3289" s="9" t="str">
        <f>HYPERLINK("http://www.ncbi.nlm.nih.gov/gene/180936", "180936")</f>
        <v>180936</v>
      </c>
      <c r="C3289" s="9"/>
      <c r="D3289" t="str">
        <f>"acr-2"</f>
        <v>acr-2</v>
      </c>
      <c r="E3289" t="s">
        <v>2654</v>
      </c>
      <c r="F3289" t="s">
        <v>11</v>
      </c>
      <c r="G3289" t="s">
        <v>870</v>
      </c>
      <c r="H3289" s="12">
        <v>1.7116439880721399</v>
      </c>
      <c r="I3289" s="20">
        <v>1.60917825533529</v>
      </c>
      <c r="J3289" s="28">
        <v>0.107577369691775</v>
      </c>
      <c r="K3289" s="29">
        <v>0.75620271219451196</v>
      </c>
    </row>
    <row r="3290" spans="1:11" x14ac:dyDescent="0.35">
      <c r="A3290" s="9" t="str">
        <f>HYPERLINK("http://www.ensembl.org/id/WBGene00009284", "WBGene00009284")</f>
        <v>WBGene00009284</v>
      </c>
      <c r="B3290" s="9" t="str">
        <f>HYPERLINK("http://www.ncbi.nlm.nih.gov/gene/173373", "173373")</f>
        <v>173373</v>
      </c>
      <c r="C3290" s="9"/>
      <c r="D3290" t="str">
        <f>"F31C3.2"</f>
        <v>F31C3.2</v>
      </c>
      <c r="F3290" t="s">
        <v>11</v>
      </c>
      <c r="G3290" t="s">
        <v>2656</v>
      </c>
      <c r="H3290" s="12">
        <v>-1.3907036879999699</v>
      </c>
      <c r="I3290" s="20">
        <v>-1.6090336437297399</v>
      </c>
      <c r="J3290" s="28">
        <v>0.107608985246467</v>
      </c>
      <c r="K3290" s="29">
        <v>0.75620271219451196</v>
      </c>
    </row>
    <row r="3291" spans="1:11" x14ac:dyDescent="0.35">
      <c r="A3291" s="9" t="str">
        <f>HYPERLINK("http://www.ensembl.org/id/WBGene00018489", "WBGene00018489")</f>
        <v>WBGene00018489</v>
      </c>
      <c r="B3291" s="9" t="str">
        <f>HYPERLINK("http://www.ncbi.nlm.nih.gov/gene/179042", "179042")</f>
        <v>179042</v>
      </c>
      <c r="C3291" s="9"/>
      <c r="D3291" t="str">
        <f>"F46E10.2"</f>
        <v>F46E10.2</v>
      </c>
      <c r="E3291" t="s">
        <v>2655</v>
      </c>
      <c r="F3291" t="s">
        <v>11</v>
      </c>
      <c r="H3291" s="12">
        <v>1.45157509179986</v>
      </c>
      <c r="I3291" s="20">
        <v>1.6088828494595999</v>
      </c>
      <c r="J3291" s="28">
        <v>0.107641960315352</v>
      </c>
      <c r="K3291" s="29">
        <v>0.75620271219451196</v>
      </c>
    </row>
    <row r="3292" spans="1:11" x14ac:dyDescent="0.35">
      <c r="A3292" s="9" t="str">
        <f>HYPERLINK("http://www.ensembl.org/id/WBGene00022825", "WBGene00022825")</f>
        <v>WBGene00022825</v>
      </c>
      <c r="B3292" s="9" t="str">
        <f>HYPERLINK("http://www.ncbi.nlm.nih.gov/gene/191429", "191429")</f>
        <v>191429</v>
      </c>
      <c r="C3292" s="9"/>
      <c r="D3292" t="str">
        <f>"ZK816.1"</f>
        <v>ZK816.1</v>
      </c>
      <c r="F3292" t="s">
        <v>11</v>
      </c>
      <c r="G3292" t="s">
        <v>25</v>
      </c>
      <c r="H3292" s="12">
        <v>1.6760788920738501</v>
      </c>
      <c r="I3292" s="20">
        <v>1.6087380535086599</v>
      </c>
      <c r="J3292" s="28">
        <v>0.107673631226519</v>
      </c>
      <c r="K3292" s="29">
        <v>0.75620271219451196</v>
      </c>
    </row>
    <row r="3293" spans="1:11" x14ac:dyDescent="0.35">
      <c r="A3293" s="9" t="str">
        <f>HYPERLINK("http://www.ensembl.org/id/WBGene00015402", "WBGene00015402")</f>
        <v>WBGene00015402</v>
      </c>
      <c r="B3293" s="9" t="str">
        <f>HYPERLINK("http://www.ncbi.nlm.nih.gov/gene/182179", "182179")</f>
        <v>182179</v>
      </c>
      <c r="C3293" s="9"/>
      <c r="D3293" t="str">
        <f>"C03G6.17"</f>
        <v>C03G6.17</v>
      </c>
      <c r="F3293" t="s">
        <v>11</v>
      </c>
      <c r="H3293" s="12">
        <v>1.6421821632339599</v>
      </c>
      <c r="I3293" s="20">
        <v>1.6077837543527</v>
      </c>
      <c r="J3293" s="28">
        <v>0.107882547662247</v>
      </c>
      <c r="K3293" s="29">
        <v>0.756520226489794</v>
      </c>
    </row>
    <row r="3294" spans="1:11" x14ac:dyDescent="0.35">
      <c r="A3294" s="9" t="str">
        <f>HYPERLINK("http://www.ensembl.org/id/WBGene00010437", "WBGene00010437")</f>
        <v>WBGene00010437</v>
      </c>
      <c r="B3294" s="9" t="str">
        <f>HYPERLINK("http://www.ncbi.nlm.nih.gov/gene/186814", "186814")</f>
        <v>186814</v>
      </c>
      <c r="C3294" s="9" t="str">
        <f>HYPERLINK("http://www.ncbi.nlm.nih.gov/gene/1353", "1353")</f>
        <v>1353</v>
      </c>
      <c r="D3294" t="str">
        <f>"cox-11"</f>
        <v>cox-11</v>
      </c>
      <c r="E3294" t="s">
        <v>2659</v>
      </c>
      <c r="F3294" t="s">
        <v>11</v>
      </c>
      <c r="G3294" t="s">
        <v>2660</v>
      </c>
      <c r="H3294" s="12">
        <v>-1.50195697293332</v>
      </c>
      <c r="I3294" s="20">
        <v>-1.60789995872646</v>
      </c>
      <c r="J3294" s="28">
        <v>0.10785709090002001</v>
      </c>
      <c r="K3294" s="29">
        <v>0.756520226489794</v>
      </c>
    </row>
    <row r="3295" spans="1:11" x14ac:dyDescent="0.35">
      <c r="A3295" s="9" t="str">
        <f>HYPERLINK("http://www.ensembl.org/id/WBGene00007835", "WBGene00007835")</f>
        <v>WBGene00007835</v>
      </c>
      <c r="B3295" s="9" t="str">
        <f>HYPERLINK("http://www.ncbi.nlm.nih.gov/gene/180096", "180096")</f>
        <v>180096</v>
      </c>
      <c r="C3295" s="9"/>
      <c r="D3295" t="str">
        <f>"oac-7"</f>
        <v>oac-7</v>
      </c>
      <c r="E3295" t="s">
        <v>883</v>
      </c>
      <c r="F3295" t="s">
        <v>11</v>
      </c>
      <c r="G3295" t="s">
        <v>884</v>
      </c>
      <c r="H3295" s="12">
        <v>2.1396754364228801</v>
      </c>
      <c r="I3295" s="20">
        <v>1.6079079437104999</v>
      </c>
      <c r="J3295" s="28">
        <v>0.107855341813134</v>
      </c>
      <c r="K3295" s="29">
        <v>0.756520226489794</v>
      </c>
    </row>
    <row r="3296" spans="1:11" x14ac:dyDescent="0.35">
      <c r="A3296" s="9" t="str">
        <f>HYPERLINK("http://www.ensembl.org/id/WBGene00003919", "WBGene00003919")</f>
        <v>WBGene00003919</v>
      </c>
      <c r="B3296" s="9" t="str">
        <f>HYPERLINK("http://www.ncbi.nlm.nih.gov/gene/180185", "180185")</f>
        <v>180185</v>
      </c>
      <c r="C3296" s="9" t="str">
        <f>HYPERLINK("http://www.ncbi.nlm.nih.gov/gene/6794", "6794")</f>
        <v>6794</v>
      </c>
      <c r="D3296" t="str">
        <f>"par-4"</f>
        <v>par-4</v>
      </c>
      <c r="E3296" t="s">
        <v>2658</v>
      </c>
      <c r="F3296" t="s">
        <v>11</v>
      </c>
      <c r="G3296" t="s">
        <v>444</v>
      </c>
      <c r="H3296" s="12">
        <v>-1.41861894916008</v>
      </c>
      <c r="I3296" s="20">
        <v>-1.60817919554255</v>
      </c>
      <c r="J3296" s="28">
        <v>0.10779593824761</v>
      </c>
      <c r="K3296" s="29">
        <v>0.756520226489794</v>
      </c>
    </row>
    <row r="3297" spans="1:11" x14ac:dyDescent="0.35">
      <c r="A3297" s="9" t="str">
        <f>HYPERLINK("http://www.ensembl.org/id/WBGene00018639", "WBGene00018639")</f>
        <v>WBGene00018639</v>
      </c>
      <c r="B3297" s="9" t="str">
        <f>HYPERLINK("http://www.ncbi.nlm.nih.gov/gene/180856", "180856")</f>
        <v>180856</v>
      </c>
      <c r="C3297" s="9" t="str">
        <f>HYPERLINK("http://www.ncbi.nlm.nih.gov/gene/125058", "125058")</f>
        <v>125058</v>
      </c>
      <c r="D3297" t="str">
        <f>"tbc-16"</f>
        <v>tbc-16</v>
      </c>
      <c r="E3297" t="s">
        <v>1649</v>
      </c>
      <c r="F3297" t="s">
        <v>11</v>
      </c>
      <c r="G3297" t="s">
        <v>2657</v>
      </c>
      <c r="H3297" s="12">
        <v>1.4953665572533701</v>
      </c>
      <c r="I3297" s="20">
        <v>1.60822339144961</v>
      </c>
      <c r="J3297" s="28">
        <v>0.10778626189405301</v>
      </c>
      <c r="K3297" s="29">
        <v>0.756520226489794</v>
      </c>
    </row>
    <row r="3298" spans="1:11" x14ac:dyDescent="0.35">
      <c r="A3298" s="9" t="str">
        <f>HYPERLINK("http://www.ensembl.org/id/WBGene00022271", "WBGene00022271")</f>
        <v>WBGene00022271</v>
      </c>
      <c r="B3298" s="9" t="str">
        <f>HYPERLINK("http://www.ncbi.nlm.nih.gov/gene/190666", "190666")</f>
        <v>190666</v>
      </c>
      <c r="C3298" s="9"/>
      <c r="D3298" t="str">
        <f>"cpx-1"</f>
        <v>cpx-1</v>
      </c>
      <c r="E3298" t="s">
        <v>2661</v>
      </c>
      <c r="F3298" t="s">
        <v>11</v>
      </c>
      <c r="G3298" t="s">
        <v>2662</v>
      </c>
      <c r="H3298" s="12">
        <v>1.3790314532302299</v>
      </c>
      <c r="I3298" s="20">
        <v>1.6075954946817099</v>
      </c>
      <c r="J3298" s="28">
        <v>0.10792379959324799</v>
      </c>
      <c r="K3298" s="29">
        <v>0.75657988877475002</v>
      </c>
    </row>
    <row r="3299" spans="1:11" x14ac:dyDescent="0.35">
      <c r="A3299" s="9" t="str">
        <f>HYPERLINK("http://www.ensembl.org/id/WBGene00219950", "WBGene00219950")</f>
        <v>WBGene00219950</v>
      </c>
      <c r="B3299" s="9"/>
      <c r="C3299" s="9"/>
      <c r="D3299" t="str">
        <f>"F46A8.13"</f>
        <v>F46A8.13</v>
      </c>
      <c r="F3299" t="s">
        <v>481</v>
      </c>
      <c r="H3299" s="12">
        <v>-1.4130064597443901</v>
      </c>
      <c r="I3299" s="20">
        <v>-1.6070520469079901</v>
      </c>
      <c r="J3299" s="28">
        <v>0.108042951287649</v>
      </c>
      <c r="K3299" s="29">
        <v>0.75718545115329805</v>
      </c>
    </row>
    <row r="3300" spans="1:11" x14ac:dyDescent="0.35">
      <c r="A3300" s="9" t="str">
        <f>HYPERLINK("http://www.ensembl.org/id/WBGene00008363", "WBGene00008363")</f>
        <v>WBGene00008363</v>
      </c>
      <c r="B3300" s="9" t="str">
        <f>HYPERLINK("http://www.ncbi.nlm.nih.gov/gene/183908", "183908")</f>
        <v>183908</v>
      </c>
      <c r="C3300" s="9"/>
      <c r="D3300" t="str">
        <f>"D1046.2"</f>
        <v>D1046.2</v>
      </c>
      <c r="F3300" t="s">
        <v>11</v>
      </c>
      <c r="H3300" s="12">
        <v>-1.4617982755078001</v>
      </c>
      <c r="I3300" s="20">
        <v>-1.6065530899890199</v>
      </c>
      <c r="J3300" s="28">
        <v>0.10815243996865199</v>
      </c>
      <c r="K3300" s="29">
        <v>0.75757755892285705</v>
      </c>
    </row>
    <row r="3301" spans="1:11" x14ac:dyDescent="0.35">
      <c r="A3301" s="9" t="str">
        <f>HYPERLINK("http://www.ensembl.org/id/WBGene00004139", "WBGene00004139")</f>
        <v>WBGene00004139</v>
      </c>
      <c r="B3301" s="9" t="str">
        <f>HYPERLINK("http://www.ncbi.nlm.nih.gov/gene/187728", "187728")</f>
        <v>187728</v>
      </c>
      <c r="C3301" s="9"/>
      <c r="D3301" t="str">
        <f>"pqn-54"</f>
        <v>pqn-54</v>
      </c>
      <c r="E3301" t="s">
        <v>432</v>
      </c>
      <c r="F3301" t="s">
        <v>11</v>
      </c>
      <c r="G3301" t="s">
        <v>54</v>
      </c>
      <c r="H3301" s="12">
        <v>2.4555799226403301</v>
      </c>
      <c r="I3301" s="20">
        <v>1.6061786655839101</v>
      </c>
      <c r="J3301" s="28">
        <v>0.10823465950292099</v>
      </c>
      <c r="K3301" s="29">
        <v>0.75757755892285705</v>
      </c>
    </row>
    <row r="3302" spans="1:11" x14ac:dyDescent="0.35">
      <c r="A3302" s="9" t="str">
        <f>HYPERLINK("http://www.ensembl.org/id/WBGene00004354", "WBGene00004354")</f>
        <v>WBGene00004354</v>
      </c>
      <c r="B3302" s="9" t="str">
        <f>HYPERLINK("http://www.ncbi.nlm.nih.gov/gene/181590", "181590")</f>
        <v>181590</v>
      </c>
      <c r="C3302" s="9"/>
      <c r="D3302" t="str">
        <f>"rgs-11"</f>
        <v>rgs-11</v>
      </c>
      <c r="E3302" t="s">
        <v>2666</v>
      </c>
      <c r="F3302" t="s">
        <v>11</v>
      </c>
      <c r="G3302" t="s">
        <v>1910</v>
      </c>
      <c r="H3302" s="12">
        <v>-1.71646100769442</v>
      </c>
      <c r="I3302" s="20">
        <v>-1.6059739054278399</v>
      </c>
      <c r="J3302" s="28">
        <v>0.10827964352925699</v>
      </c>
      <c r="K3302" s="29">
        <v>0.75757755892285705</v>
      </c>
    </row>
    <row r="3303" spans="1:11" x14ac:dyDescent="0.35">
      <c r="A3303" s="9" t="str">
        <f>HYPERLINK("http://www.ensembl.org/id/WBGene00011507", "WBGene00011507")</f>
        <v>WBGene00011507</v>
      </c>
      <c r="B3303" s="9" t="str">
        <f>HYPERLINK("http://www.ncbi.nlm.nih.gov/gene/174290", "174290")</f>
        <v>174290</v>
      </c>
      <c r="C3303" s="9"/>
      <c r="D3303" t="str">
        <f>"T05H10.1"</f>
        <v>T05H10.1</v>
      </c>
      <c r="E3303" t="s">
        <v>2664</v>
      </c>
      <c r="F3303" t="s">
        <v>11</v>
      </c>
      <c r="G3303" t="s">
        <v>2665</v>
      </c>
      <c r="H3303" s="12">
        <v>-1.34487439386567</v>
      </c>
      <c r="I3303" s="20">
        <v>-1.60602223699265</v>
      </c>
      <c r="J3303" s="28">
        <v>0.108269024170767</v>
      </c>
      <c r="K3303" s="29">
        <v>0.75757755892285705</v>
      </c>
    </row>
    <row r="3304" spans="1:11" x14ac:dyDescent="0.35">
      <c r="A3304" s="9" t="str">
        <f>HYPERLINK("http://www.ensembl.org/id/WBGene00020339", "WBGene00020339")</f>
        <v>WBGene00020339</v>
      </c>
      <c r="B3304" s="9" t="str">
        <f>HYPERLINK("http://www.ncbi.nlm.nih.gov/gene/188262", "188262")</f>
        <v>188262</v>
      </c>
      <c r="C3304" s="9"/>
      <c r="D3304" t="str">
        <f>"ttr-59"</f>
        <v>ttr-59</v>
      </c>
      <c r="E3304" t="s">
        <v>16</v>
      </c>
      <c r="F3304" t="s">
        <v>11</v>
      </c>
      <c r="G3304" t="s">
        <v>2663</v>
      </c>
      <c r="H3304" s="12">
        <v>1.6286566987875299</v>
      </c>
      <c r="I3304" s="20">
        <v>1.6059011832354</v>
      </c>
      <c r="J3304" s="28">
        <v>0.10829562352299001</v>
      </c>
      <c r="K3304" s="29">
        <v>0.75757755892285705</v>
      </c>
    </row>
    <row r="3305" spans="1:11" x14ac:dyDescent="0.35">
      <c r="A3305" s="9" t="str">
        <f>HYPERLINK("http://www.ensembl.org/id/WBGene00021001", "WBGene00021001")</f>
        <v>WBGene00021001</v>
      </c>
      <c r="B3305" s="9"/>
      <c r="C3305" s="9"/>
      <c r="D3305" t="str">
        <f>"W03F9.3"</f>
        <v>W03F9.3</v>
      </c>
      <c r="F3305" t="s">
        <v>80</v>
      </c>
      <c r="H3305" s="12">
        <v>7.0609483358402896</v>
      </c>
      <c r="I3305" s="20">
        <v>1.6063497380829199</v>
      </c>
      <c r="J3305" s="28">
        <v>0.108197087703871</v>
      </c>
      <c r="K3305" s="29">
        <v>0.75757755892285705</v>
      </c>
    </row>
    <row r="3306" spans="1:11" x14ac:dyDescent="0.35">
      <c r="A3306" s="9" t="str">
        <f>HYPERLINK("http://www.ensembl.org/id/WBGene00044898", "WBGene00044898")</f>
        <v>WBGene00044898</v>
      </c>
      <c r="B3306" s="9" t="str">
        <f>HYPERLINK("http://www.ncbi.nlm.nih.gov/gene/4926916", "4926916")</f>
        <v>4926916</v>
      </c>
      <c r="C3306" s="9"/>
      <c r="D3306" t="str">
        <f>"let-383"</f>
        <v>let-383</v>
      </c>
      <c r="F3306" t="s">
        <v>11</v>
      </c>
      <c r="H3306" s="12">
        <v>-2.3496232385998801</v>
      </c>
      <c r="I3306" s="20">
        <v>-1.60566786397301</v>
      </c>
      <c r="J3306" s="28">
        <v>0.108346905759395</v>
      </c>
      <c r="K3306" s="29">
        <v>0.75770690208129099</v>
      </c>
    </row>
    <row r="3307" spans="1:11" x14ac:dyDescent="0.35">
      <c r="A3307" s="9" t="str">
        <f>HYPERLINK("http://www.ensembl.org/id/WBGene00012036", "WBGene00012036")</f>
        <v>WBGene00012036</v>
      </c>
      <c r="B3307" s="9" t="str">
        <f>HYPERLINK("http://www.ncbi.nlm.nih.gov/gene/188922", "188922")</f>
        <v>188922</v>
      </c>
      <c r="C3307" s="9"/>
      <c r="D3307" t="str">
        <f>"clec-103"</f>
        <v>clec-103</v>
      </c>
      <c r="E3307" t="s">
        <v>46</v>
      </c>
      <c r="F3307" t="s">
        <v>11</v>
      </c>
      <c r="G3307" t="s">
        <v>47</v>
      </c>
      <c r="H3307" s="12">
        <v>8.2910336507394096</v>
      </c>
      <c r="I3307" s="20">
        <v>1.6053485252602699</v>
      </c>
      <c r="J3307" s="28">
        <v>0.108417125726864</v>
      </c>
      <c r="K3307" s="29">
        <v>0.75773395927522402</v>
      </c>
    </row>
    <row r="3308" spans="1:11" x14ac:dyDescent="0.35">
      <c r="A3308" s="9" t="str">
        <f>HYPERLINK("http://www.ensembl.org/id/WBGene00001045", "WBGene00001045")</f>
        <v>WBGene00001045</v>
      </c>
      <c r="B3308" s="9" t="str">
        <f>HYPERLINK("http://www.ncbi.nlm.nih.gov/gene/173065", "173065")</f>
        <v>173065</v>
      </c>
      <c r="C3308" s="9" t="str">
        <f>HYPERLINK("http://www.ncbi.nlm.nih.gov/gene/54431", "54431")</f>
        <v>54431</v>
      </c>
      <c r="D3308" t="str">
        <f>"dnj-27"</f>
        <v>dnj-27</v>
      </c>
      <c r="E3308" t="s">
        <v>847</v>
      </c>
      <c r="F3308" t="s">
        <v>11</v>
      </c>
      <c r="G3308" t="s">
        <v>2667</v>
      </c>
      <c r="H3308" s="12">
        <v>1.3682176051339401</v>
      </c>
      <c r="I3308" s="20">
        <v>1.60540940483981</v>
      </c>
      <c r="J3308" s="28">
        <v>0.10840373602834601</v>
      </c>
      <c r="K3308" s="29">
        <v>0.75773395927522402</v>
      </c>
    </row>
    <row r="3309" spans="1:11" x14ac:dyDescent="0.35">
      <c r="A3309" s="9" t="str">
        <f>HYPERLINK("http://www.ensembl.org/id/WBGene00009112", "WBGene00009112")</f>
        <v>WBGene00009112</v>
      </c>
      <c r="B3309" s="9" t="str">
        <f>HYPERLINK("http://www.ncbi.nlm.nih.gov/gene/172916", "172916")</f>
        <v>172916</v>
      </c>
      <c r="C3309" s="9"/>
      <c r="D3309" t="str">
        <f>"tag-353"</f>
        <v>tag-353</v>
      </c>
      <c r="F3309" t="s">
        <v>11</v>
      </c>
      <c r="G3309" t="s">
        <v>2668</v>
      </c>
      <c r="H3309" s="12">
        <v>-1.35220459160874</v>
      </c>
      <c r="I3309" s="20">
        <v>-1.6052029148868301</v>
      </c>
      <c r="J3309" s="28">
        <v>0.108449156207183</v>
      </c>
      <c r="K3309" s="29">
        <v>0.75773395927522402</v>
      </c>
    </row>
    <row r="3310" spans="1:11" x14ac:dyDescent="0.35">
      <c r="A3310" s="9" t="str">
        <f>HYPERLINK("http://www.ensembl.org/id/WBGene00020765", "WBGene00020765")</f>
        <v>WBGene00020765</v>
      </c>
      <c r="B3310" s="9" t="str">
        <f>HYPERLINK("http://www.ncbi.nlm.nih.gov/gene/180531", "180531")</f>
        <v>180531</v>
      </c>
      <c r="C3310" s="9"/>
      <c r="D3310" t="str">
        <f>"T24C12.3"</f>
        <v>T24C12.3</v>
      </c>
      <c r="F3310" t="s">
        <v>11</v>
      </c>
      <c r="G3310" t="s">
        <v>2669</v>
      </c>
      <c r="H3310" s="12">
        <v>1.4089261565196001</v>
      </c>
      <c r="I3310" s="20">
        <v>1.60447643379099</v>
      </c>
      <c r="J3310" s="28">
        <v>0.108609074969957</v>
      </c>
      <c r="K3310" s="29">
        <v>0.75862191241107102</v>
      </c>
    </row>
    <row r="3311" spans="1:11" x14ac:dyDescent="0.35">
      <c r="A3311" s="9" t="str">
        <f>HYPERLINK("http://www.ensembl.org/id/WBGene00021676", "WBGene00021676")</f>
        <v>WBGene00021676</v>
      </c>
      <c r="B3311" s="9" t="str">
        <f>HYPERLINK("http://www.ncbi.nlm.nih.gov/gene/171599", "171599")</f>
        <v>171599</v>
      </c>
      <c r="C3311" s="9"/>
      <c r="D3311" t="str">
        <f>"pid-2"</f>
        <v>pid-2</v>
      </c>
      <c r="F3311" t="s">
        <v>11</v>
      </c>
      <c r="H3311" s="12">
        <v>-1.5735309045935699</v>
      </c>
      <c r="I3311" s="20">
        <v>-1.60431374909041</v>
      </c>
      <c r="J3311" s="28">
        <v>0.108644911967822</v>
      </c>
      <c r="K3311" s="29">
        <v>0.75864289390404704</v>
      </c>
    </row>
    <row r="3312" spans="1:11" x14ac:dyDescent="0.35">
      <c r="A3312" s="9" t="str">
        <f>HYPERLINK("http://www.ensembl.org/id/WBGene00017826", "WBGene00017826")</f>
        <v>WBGene00017826</v>
      </c>
      <c r="B3312" s="9" t="str">
        <f>HYPERLINK("http://www.ncbi.nlm.nih.gov/gene/175655", "175655")</f>
        <v>175655</v>
      </c>
      <c r="C3312" s="9" t="str">
        <f>HYPERLINK("http://www.ncbi.nlm.nih.gov/gene/10948", "10948")</f>
        <v>10948</v>
      </c>
      <c r="D3312" t="str">
        <f>"tag-340"</f>
        <v>tag-340</v>
      </c>
      <c r="F3312" t="s">
        <v>11</v>
      </c>
      <c r="G3312" t="s">
        <v>2670</v>
      </c>
      <c r="H3312" s="12">
        <v>-1.35794359908407</v>
      </c>
      <c r="I3312" s="20">
        <v>-1.60406209055667</v>
      </c>
      <c r="J3312" s="28">
        <v>0.10870036699406201</v>
      </c>
      <c r="K3312" s="29">
        <v>0.758800809596618</v>
      </c>
    </row>
    <row r="3313" spans="1:11" x14ac:dyDescent="0.35">
      <c r="A3313" s="9" t="str">
        <f>HYPERLINK("http://www.ensembl.org/id/WBGene00008629", "WBGene00008629")</f>
        <v>WBGene00008629</v>
      </c>
      <c r="B3313" s="9" t="str">
        <f>HYPERLINK("http://www.ncbi.nlm.nih.gov/gene/179881", "179881")</f>
        <v>179881</v>
      </c>
      <c r="C3313" s="9"/>
      <c r="D3313" t="str">
        <f>"cpt-5"</f>
        <v>cpt-5</v>
      </c>
      <c r="E3313" t="s">
        <v>2671</v>
      </c>
      <c r="F3313" t="s">
        <v>11</v>
      </c>
      <c r="G3313" t="s">
        <v>2672</v>
      </c>
      <c r="H3313" s="12">
        <v>1.5610416584121301</v>
      </c>
      <c r="I3313" s="20">
        <v>1.60304965895231</v>
      </c>
      <c r="J3313" s="28">
        <v>0.10892369090616</v>
      </c>
      <c r="K3313" s="29">
        <v>0.75944200424795905</v>
      </c>
    </row>
    <row r="3314" spans="1:11" x14ac:dyDescent="0.35">
      <c r="A3314" s="9" t="str">
        <f>HYPERLINK("http://www.ensembl.org/id/WBGene00009453", "WBGene00009453")</f>
        <v>WBGene00009453</v>
      </c>
      <c r="B3314" s="9" t="str">
        <f>HYPERLINK("http://www.ncbi.nlm.nih.gov/gene/172690", "172690")</f>
        <v>172690</v>
      </c>
      <c r="C3314" s="9"/>
      <c r="D3314" t="str">
        <f>"F36A2.3"</f>
        <v>F36A2.3</v>
      </c>
      <c r="F3314" t="s">
        <v>11</v>
      </c>
      <c r="G3314" t="s">
        <v>489</v>
      </c>
      <c r="H3314" s="12">
        <v>1.4418252994733201</v>
      </c>
      <c r="I3314" s="20">
        <v>1.60326021307832</v>
      </c>
      <c r="J3314" s="28">
        <v>0.108877216650081</v>
      </c>
      <c r="K3314" s="29">
        <v>0.75944200424795905</v>
      </c>
    </row>
    <row r="3315" spans="1:11" x14ac:dyDescent="0.35">
      <c r="A3315" s="9" t="str">
        <f>HYPERLINK("http://www.ensembl.org/id/WBGene00009488", "WBGene00009488")</f>
        <v>WBGene00009488</v>
      </c>
      <c r="B3315" s="9" t="str">
        <f>HYPERLINK("http://www.ncbi.nlm.nih.gov/gene/185375", "185375")</f>
        <v>185375</v>
      </c>
      <c r="C3315" s="9"/>
      <c r="D3315" t="str">
        <f>"oac-20"</f>
        <v>oac-20</v>
      </c>
      <c r="E3315" t="s">
        <v>883</v>
      </c>
      <c r="F3315" t="s">
        <v>11</v>
      </c>
      <c r="G3315" t="s">
        <v>884</v>
      </c>
      <c r="H3315" s="12">
        <v>8.2570027547998599</v>
      </c>
      <c r="I3315" s="20">
        <v>1.60319241177369</v>
      </c>
      <c r="J3315" s="28">
        <v>0.10889218028292599</v>
      </c>
      <c r="K3315" s="29">
        <v>0.75944200424795905</v>
      </c>
    </row>
    <row r="3316" spans="1:11" x14ac:dyDescent="0.35">
      <c r="A3316" s="9" t="str">
        <f>HYPERLINK("http://www.ensembl.org/id/WBGene00022491", "WBGene00022491")</f>
        <v>WBGene00022491</v>
      </c>
      <c r="B3316" s="9" t="str">
        <f>HYPERLINK("http://www.ncbi.nlm.nih.gov/gene/191043", "191043")</f>
        <v>191043</v>
      </c>
      <c r="C3316" s="9" t="str">
        <f>HYPERLINK("http://www.ncbi.nlm.nih.gov/gene/84340", "84340")</f>
        <v>84340</v>
      </c>
      <c r="D3316" t="str">
        <f>"Y119D3B.14"</f>
        <v>Y119D3B.14</v>
      </c>
      <c r="E3316" t="s">
        <v>2673</v>
      </c>
      <c r="F3316" t="s">
        <v>11</v>
      </c>
      <c r="G3316" t="s">
        <v>2674</v>
      </c>
      <c r="H3316" s="12">
        <v>-1.4343428289120801</v>
      </c>
      <c r="I3316" s="20">
        <v>-1.6034625999965499</v>
      </c>
      <c r="J3316" s="28">
        <v>0.108832559874161</v>
      </c>
      <c r="K3316" s="29">
        <v>0.75944200424795905</v>
      </c>
    </row>
    <row r="3317" spans="1:11" x14ac:dyDescent="0.35">
      <c r="A3317" s="9" t="str">
        <f>HYPERLINK("http://www.ensembl.org/id/WBGene00000168", "WBGene00000168")</f>
        <v>WBGene00000168</v>
      </c>
      <c r="B3317" s="9" t="str">
        <f>HYPERLINK("http://www.ncbi.nlm.nih.gov/gene/178759", "178759")</f>
        <v>178759</v>
      </c>
      <c r="C3317" s="9"/>
      <c r="D3317" t="str">
        <f>"apx-1"</f>
        <v>apx-1</v>
      </c>
      <c r="E3317" t="s">
        <v>2678</v>
      </c>
      <c r="F3317" t="s">
        <v>11</v>
      </c>
      <c r="G3317" t="s">
        <v>2679</v>
      </c>
      <c r="H3317" s="12">
        <v>-1.3777331966677</v>
      </c>
      <c r="I3317" s="20">
        <v>-1.6018840966058101</v>
      </c>
      <c r="J3317" s="28">
        <v>0.109181241875398</v>
      </c>
      <c r="K3317" s="29">
        <v>0.76009092340251805</v>
      </c>
    </row>
    <row r="3318" spans="1:11" x14ac:dyDescent="0.35">
      <c r="A3318" s="9" t="str">
        <f>HYPERLINK("http://www.ensembl.org/id/WBGene00013672", "WBGene00013672")</f>
        <v>WBGene00013672</v>
      </c>
      <c r="B3318" s="9" t="str">
        <f>HYPERLINK("http://www.ncbi.nlm.nih.gov/gene/173307", "173307")</f>
        <v>173307</v>
      </c>
      <c r="C3318" s="9"/>
      <c r="D3318" t="str">
        <f>"catp-1"</f>
        <v>catp-1</v>
      </c>
      <c r="E3318" t="s">
        <v>1824</v>
      </c>
      <c r="F3318" t="s">
        <v>11</v>
      </c>
      <c r="G3318" t="s">
        <v>2676</v>
      </c>
      <c r="H3318" s="12">
        <v>1.49686548289018</v>
      </c>
      <c r="I3318" s="20">
        <v>1.6020213224197599</v>
      </c>
      <c r="J3318" s="28">
        <v>0.109150894493423</v>
      </c>
      <c r="K3318" s="29">
        <v>0.76009092340251805</v>
      </c>
    </row>
    <row r="3319" spans="1:11" x14ac:dyDescent="0.35">
      <c r="A3319" s="9" t="str">
        <f>HYPERLINK("http://www.ensembl.org/id/WBGene00001875", "WBGene00001875")</f>
        <v>WBGene00001875</v>
      </c>
      <c r="B3319" s="9" t="str">
        <f>HYPERLINK("http://www.ncbi.nlm.nih.gov/gene/191667", "191667")</f>
        <v>191667</v>
      </c>
      <c r="C3319" s="9"/>
      <c r="D3319" t="str">
        <f>"his-1"</f>
        <v>his-1</v>
      </c>
      <c r="E3319" t="s">
        <v>2675</v>
      </c>
      <c r="F3319" t="s">
        <v>11</v>
      </c>
      <c r="G3319" t="s">
        <v>232</v>
      </c>
      <c r="H3319" s="12">
        <v>3.31704710873385</v>
      </c>
      <c r="I3319" s="20">
        <v>1.6020465674515201</v>
      </c>
      <c r="J3319" s="28">
        <v>0.109145312300804</v>
      </c>
      <c r="K3319" s="29">
        <v>0.76009092340251805</v>
      </c>
    </row>
    <row r="3320" spans="1:11" x14ac:dyDescent="0.35">
      <c r="A3320" s="9" t="str">
        <f>HYPERLINK("http://www.ensembl.org/id/WBGene00005001", "WBGene00005001")</f>
        <v>WBGene00005001</v>
      </c>
      <c r="B3320" s="9" t="str">
        <f>HYPERLINK("http://www.ncbi.nlm.nih.gov/gene/185207", "185207")</f>
        <v>185207</v>
      </c>
      <c r="C3320" s="9"/>
      <c r="D3320" t="str">
        <f>"spp-16"</f>
        <v>spp-16</v>
      </c>
      <c r="E3320" t="s">
        <v>62</v>
      </c>
      <c r="F3320" t="s">
        <v>11</v>
      </c>
      <c r="H3320" s="12">
        <v>-1.4340575005116101</v>
      </c>
      <c r="I3320" s="20">
        <v>-1.60228984631662</v>
      </c>
      <c r="J3320" s="28">
        <v>0.109091529939964</v>
      </c>
      <c r="K3320" s="29">
        <v>0.76009092340251805</v>
      </c>
    </row>
    <row r="3321" spans="1:11" x14ac:dyDescent="0.35">
      <c r="A3321" s="9" t="str">
        <f>HYPERLINK("http://www.ensembl.org/id/WBGene00006063", "WBGene00006063")</f>
        <v>WBGene00006063</v>
      </c>
      <c r="B3321" s="9" t="str">
        <f>HYPERLINK("http://www.ncbi.nlm.nih.gov/gene/181017", "181017")</f>
        <v>181017</v>
      </c>
      <c r="C3321" s="9"/>
      <c r="D3321" t="str">
        <f>"sto-1"</f>
        <v>sto-1</v>
      </c>
      <c r="E3321" t="s">
        <v>2677</v>
      </c>
      <c r="F3321" t="s">
        <v>11</v>
      </c>
      <c r="G3321" t="s">
        <v>372</v>
      </c>
      <c r="H3321" s="12">
        <v>1.3637181348426799</v>
      </c>
      <c r="I3321" s="20">
        <v>1.6022543597982399</v>
      </c>
      <c r="J3321" s="28">
        <v>0.109099373741148</v>
      </c>
      <c r="K3321" s="29">
        <v>0.76009092340251805</v>
      </c>
    </row>
    <row r="3322" spans="1:11" x14ac:dyDescent="0.35">
      <c r="A3322" s="9" t="str">
        <f>HYPERLINK("http://www.ensembl.org/id/WBGene00015731", "WBGene00015731")</f>
        <v>WBGene00015731</v>
      </c>
      <c r="B3322" s="9" t="str">
        <f>HYPERLINK("http://www.ncbi.nlm.nih.gov/gene/178719", "178719")</f>
        <v>178719</v>
      </c>
      <c r="C3322" s="9"/>
      <c r="D3322" t="str">
        <f>"C13B7.6"</f>
        <v>C13B7.6</v>
      </c>
      <c r="F3322" t="s">
        <v>11</v>
      </c>
      <c r="H3322" s="12">
        <v>-10.4975962272269</v>
      </c>
      <c r="I3322" s="20">
        <v>-1.60099765199333</v>
      </c>
      <c r="J3322" s="28">
        <v>0.109377439199094</v>
      </c>
      <c r="K3322" s="29">
        <v>0.76081521015891496</v>
      </c>
    </row>
    <row r="3323" spans="1:11" x14ac:dyDescent="0.35">
      <c r="A3323" s="9" t="str">
        <f>HYPERLINK("http://www.ensembl.org/id/WBGene00022106", "WBGene00022106")</f>
        <v>WBGene00022106</v>
      </c>
      <c r="B3323" s="9" t="str">
        <f>HYPERLINK("http://www.ncbi.nlm.nih.gov/gene/175279", "175279")</f>
        <v>175279</v>
      </c>
      <c r="C3323" s="9"/>
      <c r="D3323" t="str">
        <f>"lgc-46"</f>
        <v>lgc-46</v>
      </c>
      <c r="E3323" t="s">
        <v>2680</v>
      </c>
      <c r="F3323" t="s">
        <v>11</v>
      </c>
      <c r="G3323" t="s">
        <v>774</v>
      </c>
      <c r="H3323" s="12">
        <v>1.63567029192679</v>
      </c>
      <c r="I3323" s="20">
        <v>1.6009677529200399</v>
      </c>
      <c r="J3323" s="28">
        <v>0.109384061635416</v>
      </c>
      <c r="K3323" s="29">
        <v>0.76081521015891496</v>
      </c>
    </row>
    <row r="3324" spans="1:11" x14ac:dyDescent="0.35">
      <c r="A3324" s="9" t="str">
        <f>HYPERLINK("http://www.ensembl.org/id/WBGene00022737", "WBGene00022737")</f>
        <v>WBGene00022737</v>
      </c>
      <c r="B3324" s="9" t="str">
        <f>HYPERLINK("http://www.ncbi.nlm.nih.gov/gene/175988", "175988")</f>
        <v>175988</v>
      </c>
      <c r="C3324" s="9"/>
      <c r="D3324" t="str">
        <f>"tofu-7"</f>
        <v>tofu-7</v>
      </c>
      <c r="E3324" t="s">
        <v>1247</v>
      </c>
      <c r="F3324" t="s">
        <v>11</v>
      </c>
      <c r="G3324" t="s">
        <v>2681</v>
      </c>
      <c r="H3324" s="12">
        <v>-1.56762753914957</v>
      </c>
      <c r="I3324" s="20">
        <v>-1.60101890301073</v>
      </c>
      <c r="J3324" s="28">
        <v>0.109372732439593</v>
      </c>
      <c r="K3324" s="29">
        <v>0.76081521015891496</v>
      </c>
    </row>
    <row r="3325" spans="1:11" x14ac:dyDescent="0.35">
      <c r="A3325" s="9" t="str">
        <f>HYPERLINK("http://www.ensembl.org/id/WBGene00007592", "WBGene00007592")</f>
        <v>WBGene00007592</v>
      </c>
      <c r="B3325" s="9" t="str">
        <f>HYPERLINK("http://www.ncbi.nlm.nih.gov/gene/181234", "181234")</f>
        <v>181234</v>
      </c>
      <c r="C3325" s="9"/>
      <c r="D3325" t="str">
        <f>"C14H10.2"</f>
        <v>C14H10.2</v>
      </c>
      <c r="F3325" t="s">
        <v>11</v>
      </c>
      <c r="H3325" s="12">
        <v>1.37800759124557</v>
      </c>
      <c r="I3325" s="20">
        <v>1.6003658945464201</v>
      </c>
      <c r="J3325" s="28">
        <v>0.10951743649922401</v>
      </c>
      <c r="K3325" s="29">
        <v>0.760816436278963</v>
      </c>
    </row>
    <row r="3326" spans="1:11" x14ac:dyDescent="0.35">
      <c r="A3326" s="9" t="str">
        <f>HYPERLINK("http://www.ensembl.org/id/WBGene00017136", "WBGene00017136")</f>
        <v>WBGene00017136</v>
      </c>
      <c r="B3326" s="9" t="str">
        <f>HYPERLINK("http://www.ncbi.nlm.nih.gov/gene/184043", "184043")</f>
        <v>184043</v>
      </c>
      <c r="C3326" s="9" t="str">
        <f>HYPERLINK("http://www.ncbi.nlm.nih.gov/gene/84871", "84871")</f>
        <v>84871</v>
      </c>
      <c r="D3326" t="str">
        <f>"ccpp-6"</f>
        <v>ccpp-6</v>
      </c>
      <c r="E3326" t="s">
        <v>2682</v>
      </c>
      <c r="F3326" t="s">
        <v>11</v>
      </c>
      <c r="G3326" t="s">
        <v>2683</v>
      </c>
      <c r="H3326" s="12">
        <v>5.4670608460583896</v>
      </c>
      <c r="I3326" s="20">
        <v>1.6002241160359501</v>
      </c>
      <c r="J3326" s="28">
        <v>0.10954887403705101</v>
      </c>
      <c r="K3326" s="29">
        <v>0.760816436278963</v>
      </c>
    </row>
    <row r="3327" spans="1:11" x14ac:dyDescent="0.35">
      <c r="A3327" s="9" t="str">
        <f>HYPERLINK("http://www.ensembl.org/id/WBGene00022504", "WBGene00022504")</f>
        <v>WBGene00022504</v>
      </c>
      <c r="B3327" s="9" t="str">
        <f>HYPERLINK("http://www.ncbi.nlm.nih.gov/gene/180439", "180439")</f>
        <v>180439</v>
      </c>
      <c r="C3327" s="9"/>
      <c r="D3327" t="str">
        <f>"mam-1"</f>
        <v>mam-1</v>
      </c>
      <c r="E3327" t="s">
        <v>679</v>
      </c>
      <c r="F3327" t="s">
        <v>11</v>
      </c>
      <c r="G3327" t="s">
        <v>427</v>
      </c>
      <c r="H3327" s="12">
        <v>2.0406759030204</v>
      </c>
      <c r="I3327" s="20">
        <v>1.6003824936286</v>
      </c>
      <c r="J3327" s="28">
        <v>0.10951375633539399</v>
      </c>
      <c r="K3327" s="29">
        <v>0.760816436278963</v>
      </c>
    </row>
    <row r="3328" spans="1:11" x14ac:dyDescent="0.35">
      <c r="A3328" s="9" t="str">
        <f>HYPERLINK("http://www.ensembl.org/id/WBGene00003566", "WBGene00003566")</f>
        <v>WBGene00003566</v>
      </c>
      <c r="B3328" s="9" t="str">
        <f>HYPERLINK("http://www.ncbi.nlm.nih.gov/gene/180318", "180318")</f>
        <v>180318</v>
      </c>
      <c r="C3328" s="9" t="str">
        <f>HYPERLINK("http://www.ncbi.nlm.nih.gov/gene/6546", "6546")</f>
        <v>6546</v>
      </c>
      <c r="D3328" t="str">
        <f>"ncx-1"</f>
        <v>ncx-1</v>
      </c>
      <c r="E3328" t="s">
        <v>2685</v>
      </c>
      <c r="F3328" t="s">
        <v>11</v>
      </c>
      <c r="G3328" t="s">
        <v>543</v>
      </c>
      <c r="H3328" s="12">
        <v>1.3726068456316001</v>
      </c>
      <c r="I3328" s="20">
        <v>1.60047189178751</v>
      </c>
      <c r="J3328" s="28">
        <v>0.109493937651248</v>
      </c>
      <c r="K3328" s="29">
        <v>0.760816436278963</v>
      </c>
    </row>
    <row r="3329" spans="1:11" x14ac:dyDescent="0.35">
      <c r="A3329" s="9" t="str">
        <f>HYPERLINK("http://www.ensembl.org/id/WBGene00011582", "WBGene00011582")</f>
        <v>WBGene00011582</v>
      </c>
      <c r="B3329" s="9" t="str">
        <f>HYPERLINK("http://www.ncbi.nlm.nih.gov/gene/188227", "188227")</f>
        <v>188227</v>
      </c>
      <c r="C3329" s="9" t="str">
        <f>HYPERLINK("http://www.ncbi.nlm.nih.gov/gene/552", "552")</f>
        <v>552</v>
      </c>
      <c r="D3329" t="str">
        <f>"ntr-1"</f>
        <v>ntr-1</v>
      </c>
      <c r="E3329" t="s">
        <v>2684</v>
      </c>
      <c r="F3329" t="s">
        <v>11</v>
      </c>
      <c r="G3329" t="s">
        <v>1429</v>
      </c>
      <c r="H3329" s="12">
        <v>4.3615079618543602</v>
      </c>
      <c r="I3329" s="20">
        <v>1.6004941008856199</v>
      </c>
      <c r="J3329" s="28">
        <v>0.10948901455443601</v>
      </c>
      <c r="K3329" s="29">
        <v>0.760816436278963</v>
      </c>
    </row>
    <row r="3330" spans="1:11" x14ac:dyDescent="0.35">
      <c r="A3330" s="9" t="str">
        <f>HYPERLINK("http://www.ensembl.org/id/WBGene00011885", "WBGene00011885")</f>
        <v>WBGene00011885</v>
      </c>
      <c r="B3330" s="9" t="str">
        <f>HYPERLINK("http://www.ncbi.nlm.nih.gov/gene/174424", "174424")</f>
        <v>174424</v>
      </c>
      <c r="C3330" s="9"/>
      <c r="D3330" t="str">
        <f>"T21B10.3"</f>
        <v>T21B10.3</v>
      </c>
      <c r="F3330" t="s">
        <v>11</v>
      </c>
      <c r="H3330" s="12">
        <v>-1.34343989512244</v>
      </c>
      <c r="I3330" s="20">
        <v>-1.6000255802407599</v>
      </c>
      <c r="J3330" s="28">
        <v>0.10959290875193201</v>
      </c>
      <c r="K3330" s="29">
        <v>0.76089355457396302</v>
      </c>
    </row>
    <row r="3331" spans="1:11" x14ac:dyDescent="0.35">
      <c r="A3331" s="9" t="str">
        <f>HYPERLINK("http://www.ensembl.org/id/WBGene00012074", "WBGene00012074")</f>
        <v>WBGene00012074</v>
      </c>
      <c r="B3331" s="9" t="str">
        <f>HYPERLINK("http://www.ncbi.nlm.nih.gov/gene/188967", "188967")</f>
        <v>188967</v>
      </c>
      <c r="C3331" s="9"/>
      <c r="D3331" t="str">
        <f>"T27A8.2"</f>
        <v>T27A8.2</v>
      </c>
      <c r="F3331" t="s">
        <v>11</v>
      </c>
      <c r="G3331" t="s">
        <v>2393</v>
      </c>
      <c r="H3331" s="12">
        <v>-1.74318646473663</v>
      </c>
      <c r="I3331" s="20">
        <v>-1.5998710151492099</v>
      </c>
      <c r="J3331" s="28">
        <v>0.10962720056649999</v>
      </c>
      <c r="K3331" s="29">
        <v>0.76090300279049305</v>
      </c>
    </row>
    <row r="3332" spans="1:11" x14ac:dyDescent="0.35">
      <c r="A3332" s="9" t="str">
        <f>HYPERLINK("http://www.ensembl.org/id/WBGene00020551", "WBGene00020551")</f>
        <v>WBGene00020551</v>
      </c>
      <c r="B3332" s="9" t="str">
        <f>HYPERLINK("http://www.ncbi.nlm.nih.gov/gene/175229", "175229")</f>
        <v>175229</v>
      </c>
      <c r="C3332" s="9"/>
      <c r="D3332" t="str">
        <f>"T17H7.7"</f>
        <v>T17H7.7</v>
      </c>
      <c r="F3332" t="s">
        <v>11</v>
      </c>
      <c r="H3332" s="12">
        <v>1.6675730081106801</v>
      </c>
      <c r="I3332" s="20">
        <v>1.59925786947358</v>
      </c>
      <c r="J3332" s="28">
        <v>0.109763316642362</v>
      </c>
      <c r="K3332" s="29">
        <v>0.76139033153359603</v>
      </c>
    </row>
    <row r="3333" spans="1:11" x14ac:dyDescent="0.35">
      <c r="A3333" s="9" t="str">
        <f>HYPERLINK("http://www.ensembl.org/id/WBGene00012530", "WBGene00012530")</f>
        <v>WBGene00012530</v>
      </c>
      <c r="B3333" s="9" t="str">
        <f>HYPERLINK("http://www.ncbi.nlm.nih.gov/gene/179459", "179459")</f>
        <v>179459</v>
      </c>
      <c r="C3333" s="9" t="str">
        <f>HYPERLINK("http://www.ncbi.nlm.nih.gov/gene/59342", "59342")</f>
        <v>59342</v>
      </c>
      <c r="D3333" t="str">
        <f>"Y32F6A.5"</f>
        <v>Y32F6A.5</v>
      </c>
      <c r="F3333" t="s">
        <v>11</v>
      </c>
      <c r="G3333" t="s">
        <v>2686</v>
      </c>
      <c r="H3333" s="12">
        <v>-1.40858348124967</v>
      </c>
      <c r="I3333" s="20">
        <v>-1.59926432297568</v>
      </c>
      <c r="J3333" s="28">
        <v>0.109761883293503</v>
      </c>
      <c r="K3333" s="29">
        <v>0.76139033153359603</v>
      </c>
    </row>
    <row r="3334" spans="1:11" x14ac:dyDescent="0.35">
      <c r="A3334" s="9" t="str">
        <f>HYPERLINK("http://www.ensembl.org/id/WBGene00008761", "WBGene00008761")</f>
        <v>WBGene00008761</v>
      </c>
      <c r="B3334" s="9" t="str">
        <f>HYPERLINK("http://www.ncbi.nlm.nih.gov/gene/259592", "259592")</f>
        <v>259592</v>
      </c>
      <c r="C3334" s="9"/>
      <c r="D3334" t="str">
        <f>"F13E9.12"</f>
        <v>F13E9.12</v>
      </c>
      <c r="F3334" t="s">
        <v>11</v>
      </c>
      <c r="H3334" s="12">
        <v>1.81870747896636</v>
      </c>
      <c r="I3334" s="20">
        <v>1.59831317214541</v>
      </c>
      <c r="J3334" s="28">
        <v>0.109973297363624</v>
      </c>
      <c r="K3334" s="29">
        <v>0.76185052134948705</v>
      </c>
    </row>
    <row r="3335" spans="1:11" x14ac:dyDescent="0.35">
      <c r="A3335" s="9" t="str">
        <f>HYPERLINK("http://www.ensembl.org/id/WBGene00017431", "WBGene00017431")</f>
        <v>WBGene00017431</v>
      </c>
      <c r="B3335" s="9" t="str">
        <f>HYPERLINK("http://www.ncbi.nlm.nih.gov/gene/179020", "179020")</f>
        <v>179020</v>
      </c>
      <c r="C3335" s="9"/>
      <c r="D3335" t="str">
        <f>"F13H6.3"</f>
        <v>F13H6.3</v>
      </c>
      <c r="E3335" t="s">
        <v>2689</v>
      </c>
      <c r="F3335" t="s">
        <v>11</v>
      </c>
      <c r="G3335" t="s">
        <v>2690</v>
      </c>
      <c r="H3335" s="12">
        <v>1.4074235442454099</v>
      </c>
      <c r="I3335" s="20">
        <v>1.5980232911536101</v>
      </c>
      <c r="J3335" s="28">
        <v>0.11003779369021501</v>
      </c>
      <c r="K3335" s="29">
        <v>0.76185052134948705</v>
      </c>
    </row>
    <row r="3336" spans="1:11" x14ac:dyDescent="0.35">
      <c r="A3336" s="9" t="str">
        <f>HYPERLINK("http://www.ensembl.org/id/WBGene00003544", "WBGene00003544")</f>
        <v>WBGene00003544</v>
      </c>
      <c r="B3336" s="9" t="str">
        <f>HYPERLINK("http://www.ncbi.nlm.nih.gov/gene/174412", "174412")</f>
        <v>174412</v>
      </c>
      <c r="C3336" s="9"/>
      <c r="D3336" t="str">
        <f>"nas-25"</f>
        <v>nas-25</v>
      </c>
      <c r="E3336" t="s">
        <v>2687</v>
      </c>
      <c r="F3336" t="s">
        <v>11</v>
      </c>
      <c r="G3336" t="s">
        <v>267</v>
      </c>
      <c r="H3336" s="12">
        <v>1.6232772752169</v>
      </c>
      <c r="I3336" s="20">
        <v>1.5980341928570001</v>
      </c>
      <c r="J3336" s="28">
        <v>0.110035367602979</v>
      </c>
      <c r="K3336" s="29">
        <v>0.76185052134948705</v>
      </c>
    </row>
    <row r="3337" spans="1:11" x14ac:dyDescent="0.35">
      <c r="A3337" s="9" t="str">
        <f>HYPERLINK("http://www.ensembl.org/id/WBGene00016366", "WBGene00016366")</f>
        <v>WBGene00016366</v>
      </c>
      <c r="B3337" s="9" t="str">
        <f>HYPERLINK("http://www.ncbi.nlm.nih.gov/gene/3565647", "3565647")</f>
        <v>3565647</v>
      </c>
      <c r="C3337" s="9"/>
      <c r="D3337" t="str">
        <f>"nhr-140"</f>
        <v>nhr-140</v>
      </c>
      <c r="E3337" t="s">
        <v>637</v>
      </c>
      <c r="F3337" t="s">
        <v>11</v>
      </c>
      <c r="G3337" t="s">
        <v>1073</v>
      </c>
      <c r="H3337" s="12">
        <v>1.60654309054194</v>
      </c>
      <c r="I3337" s="20">
        <v>1.5984330762969501</v>
      </c>
      <c r="J3337" s="28">
        <v>0.10994662833240899</v>
      </c>
      <c r="K3337" s="29">
        <v>0.76185052134948705</v>
      </c>
    </row>
    <row r="3338" spans="1:11" x14ac:dyDescent="0.35">
      <c r="A3338" s="9" t="str">
        <f>HYPERLINK("http://www.ensembl.org/id/WBGene00018344", "WBGene00018344")</f>
        <v>WBGene00018344</v>
      </c>
      <c r="B3338" s="9" t="str">
        <f>HYPERLINK("http://www.ncbi.nlm.nih.gov/gene/185662", "185662")</f>
        <v>185662</v>
      </c>
      <c r="C3338" s="9"/>
      <c r="D3338" t="str">
        <f>"npr-27"</f>
        <v>npr-27</v>
      </c>
      <c r="E3338" t="s">
        <v>1021</v>
      </c>
      <c r="F3338" t="s">
        <v>11</v>
      </c>
      <c r="G3338" t="s">
        <v>2688</v>
      </c>
      <c r="H3338" s="12">
        <v>1.55273798835454</v>
      </c>
      <c r="I3338" s="20">
        <v>1.59825637289214</v>
      </c>
      <c r="J3338" s="28">
        <v>0.109985932413894</v>
      </c>
      <c r="K3338" s="29">
        <v>0.76185052134948705</v>
      </c>
    </row>
    <row r="3339" spans="1:11" x14ac:dyDescent="0.35">
      <c r="A3339" s="9" t="str">
        <f>HYPERLINK("http://www.ensembl.org/id/WBGene00019841", "WBGene00019841")</f>
        <v>WBGene00019841</v>
      </c>
      <c r="B3339" s="9" t="str">
        <f>HYPERLINK("http://www.ncbi.nlm.nih.gov/gene/178869", "178869")</f>
        <v>178869</v>
      </c>
      <c r="C3339" s="9"/>
      <c r="D3339" t="str">
        <f>"R02F11.3"</f>
        <v>R02F11.3</v>
      </c>
      <c r="F3339" t="s">
        <v>11</v>
      </c>
      <c r="G3339" t="s">
        <v>307</v>
      </c>
      <c r="H3339" s="12">
        <v>1.3756994061614001</v>
      </c>
      <c r="I3339" s="20">
        <v>1.5979214384996001</v>
      </c>
      <c r="J3339" s="28">
        <v>0.11006046222905699</v>
      </c>
      <c r="K3339" s="29">
        <v>0.76185052134948705</v>
      </c>
    </row>
    <row r="3340" spans="1:11" x14ac:dyDescent="0.35">
      <c r="A3340" s="9" t="str">
        <f>HYPERLINK("http://www.ensembl.org/id/WBGene00004955", "WBGene00004955")</f>
        <v>WBGene00004955</v>
      </c>
      <c r="B3340" s="9" t="str">
        <f>HYPERLINK("http://www.ncbi.nlm.nih.gov/gene/172155", "172155")</f>
        <v>172155</v>
      </c>
      <c r="C3340" s="9"/>
      <c r="D3340" t="str">
        <f>"spd-5"</f>
        <v>spd-5</v>
      </c>
      <c r="E3340" t="s">
        <v>2691</v>
      </c>
      <c r="F3340" t="s">
        <v>11</v>
      </c>
      <c r="G3340" t="s">
        <v>2692</v>
      </c>
      <c r="H3340" s="12">
        <v>-1.40321683490002</v>
      </c>
      <c r="I3340" s="20">
        <v>-1.5987534810650501</v>
      </c>
      <c r="J3340" s="28">
        <v>0.109875389111978</v>
      </c>
      <c r="K3340" s="29">
        <v>0.76185052134948705</v>
      </c>
    </row>
    <row r="3341" spans="1:11" x14ac:dyDescent="0.35">
      <c r="A3341" s="9" t="str">
        <f>HYPERLINK("http://www.ensembl.org/id/WBGene00001831", "WBGene00001831")</f>
        <v>WBGene00001831</v>
      </c>
      <c r="B3341" s="9" t="str">
        <f>HYPERLINK("http://www.ncbi.nlm.nih.gov/gene/176359", "176359")</f>
        <v>176359</v>
      </c>
      <c r="C3341" s="9"/>
      <c r="D3341" t="str">
        <f>"hcp-3"</f>
        <v>hcp-3</v>
      </c>
      <c r="E3341" t="s">
        <v>2693</v>
      </c>
      <c r="F3341" t="s">
        <v>11</v>
      </c>
      <c r="G3341" t="s">
        <v>232</v>
      </c>
      <c r="H3341" s="12">
        <v>-1.43431657835172</v>
      </c>
      <c r="I3341" s="20">
        <v>-1.5976451020323901</v>
      </c>
      <c r="J3341" s="28">
        <v>0.110121982834728</v>
      </c>
      <c r="K3341" s="29">
        <v>0.76204807887966897</v>
      </c>
    </row>
    <row r="3342" spans="1:11" x14ac:dyDescent="0.35">
      <c r="A3342" s="9" t="str">
        <f>HYPERLINK("http://www.ensembl.org/id/WBGene00019310", "WBGene00019310")</f>
        <v>WBGene00019310</v>
      </c>
      <c r="B3342" s="9"/>
      <c r="C3342" s="9"/>
      <c r="D3342" t="str">
        <f>"K02E7.5"</f>
        <v>K02E7.5</v>
      </c>
      <c r="F3342" t="s">
        <v>80</v>
      </c>
      <c r="H3342" s="12">
        <v>2.0496191912107</v>
      </c>
      <c r="I3342" s="20">
        <v>1.5974558979924101</v>
      </c>
      <c r="J3342" s="28">
        <v>0.11016412087318</v>
      </c>
      <c r="K3342" s="29">
        <v>0.76211143020829197</v>
      </c>
    </row>
    <row r="3343" spans="1:11" x14ac:dyDescent="0.35">
      <c r="A3343" s="9" t="str">
        <f>HYPERLINK("http://www.ensembl.org/id/WBGene00000378", "WBGene00000378")</f>
        <v>WBGene00000378</v>
      </c>
      <c r="B3343" s="9" t="str">
        <f>HYPERLINK("http://www.ncbi.nlm.nih.gov/gene/174421", "174421")</f>
        <v>174421</v>
      </c>
      <c r="C3343" s="9" t="str">
        <f>HYPERLINK("http://www.ncbi.nlm.nih.gov/gene/10576", "10576")</f>
        <v>10576</v>
      </c>
      <c r="D3343" t="str">
        <f>"cct-2"</f>
        <v>cct-2</v>
      </c>
      <c r="E3343" t="s">
        <v>2695</v>
      </c>
      <c r="F3343" t="s">
        <v>11</v>
      </c>
      <c r="G3343" t="s">
        <v>2696</v>
      </c>
      <c r="H3343" s="12">
        <v>-1.33596028800127</v>
      </c>
      <c r="I3343" s="20">
        <v>-1.59713092204757</v>
      </c>
      <c r="J3343" s="28">
        <v>0.11023652669435</v>
      </c>
      <c r="K3343" s="29">
        <v>0.76211794634688901</v>
      </c>
    </row>
    <row r="3344" spans="1:11" x14ac:dyDescent="0.35">
      <c r="A3344" s="9" t="str">
        <f>HYPERLINK("http://www.ensembl.org/id/WBGene00003474", "WBGene00003474")</f>
        <v>WBGene00003474</v>
      </c>
      <c r="B3344" s="9" t="str">
        <f>HYPERLINK("http://www.ncbi.nlm.nih.gov/gene/179899", "179899")</f>
        <v>179899</v>
      </c>
      <c r="C3344" s="9"/>
      <c r="D3344" t="str">
        <f>"mtl-2"</f>
        <v>mtl-2</v>
      </c>
      <c r="E3344" t="s">
        <v>2697</v>
      </c>
      <c r="F3344" t="s">
        <v>11</v>
      </c>
      <c r="H3344" s="12">
        <v>-1.34646171854591</v>
      </c>
      <c r="I3344" s="20">
        <v>-1.59726079253864</v>
      </c>
      <c r="J3344" s="28">
        <v>0.110207586568306</v>
      </c>
      <c r="K3344" s="29">
        <v>0.76211794634688901</v>
      </c>
    </row>
    <row r="3345" spans="1:11" x14ac:dyDescent="0.35">
      <c r="A3345" s="9" t="str">
        <f>HYPERLINK("http://www.ensembl.org/id/WBGene00020481", "WBGene00020481")</f>
        <v>WBGene00020481</v>
      </c>
      <c r="B3345" s="9" t="str">
        <f>HYPERLINK("http://www.ncbi.nlm.nih.gov/gene/174116", "174116")</f>
        <v>174116</v>
      </c>
      <c r="C3345" s="9" t="str">
        <f>HYPERLINK("http://www.ncbi.nlm.nih.gov/gene/7436", "7436")</f>
        <v>7436</v>
      </c>
      <c r="D3345" t="str">
        <f>"T13C2.6"</f>
        <v>T13C2.6</v>
      </c>
      <c r="F3345" t="s">
        <v>11</v>
      </c>
      <c r="G3345" t="s">
        <v>2694</v>
      </c>
      <c r="H3345" s="12">
        <v>-1.3307396432801899</v>
      </c>
      <c r="I3345" s="20">
        <v>-1.5970075986046299</v>
      </c>
      <c r="J3345" s="28">
        <v>0.11026401344402501</v>
      </c>
      <c r="K3345" s="29">
        <v>0.76211794634688901</v>
      </c>
    </row>
    <row r="3346" spans="1:11" x14ac:dyDescent="0.35">
      <c r="A3346" s="9" t="str">
        <f>HYPERLINK("http://www.ensembl.org/id/WBGene00004023", "WBGene00004023")</f>
        <v>WBGene00004023</v>
      </c>
      <c r="B3346" s="9" t="str">
        <f>HYPERLINK("http://www.ncbi.nlm.nih.gov/gene/173897", "173897")</f>
        <v>173897</v>
      </c>
      <c r="C3346" s="9"/>
      <c r="D3346" t="str">
        <f>"pho-4"</f>
        <v>pho-4</v>
      </c>
      <c r="E3346" t="s">
        <v>501</v>
      </c>
      <c r="F3346" t="s">
        <v>11</v>
      </c>
      <c r="G3346" t="s">
        <v>37</v>
      </c>
      <c r="H3346" s="12">
        <v>1.3493175367369299</v>
      </c>
      <c r="I3346" s="20">
        <v>1.5966466923983</v>
      </c>
      <c r="J3346" s="28">
        <v>0.110344484558833</v>
      </c>
      <c r="K3346" s="29">
        <v>0.76221813459384202</v>
      </c>
    </row>
    <row r="3347" spans="1:11" x14ac:dyDescent="0.35">
      <c r="A3347" s="9" t="str">
        <f>HYPERLINK("http://www.ensembl.org/id/WBGene00019837", "WBGene00019837")</f>
        <v>WBGene00019837</v>
      </c>
      <c r="B3347" s="9" t="str">
        <f>HYPERLINK("http://www.ncbi.nlm.nih.gov/gene/187530", "187530")</f>
        <v>187530</v>
      </c>
      <c r="C3347" s="9"/>
      <c r="D3347" t="str">
        <f>"R02F2.8"</f>
        <v>R02F2.8</v>
      </c>
      <c r="F3347" t="s">
        <v>11</v>
      </c>
      <c r="G3347" t="s">
        <v>372</v>
      </c>
      <c r="H3347" s="12">
        <v>1.9502534671729299</v>
      </c>
      <c r="I3347" s="20">
        <v>1.5966822620588299</v>
      </c>
      <c r="J3347" s="28">
        <v>0.11033655154543601</v>
      </c>
      <c r="K3347" s="29">
        <v>0.76221813459384202</v>
      </c>
    </row>
    <row r="3348" spans="1:11" x14ac:dyDescent="0.35">
      <c r="A3348" s="9" t="str">
        <f>HYPERLINK("http://www.ensembl.org/id/WBGene00020657", "WBGene00020657")</f>
        <v>WBGene00020657</v>
      </c>
      <c r="B3348" s="9" t="str">
        <f>HYPERLINK("http://www.ncbi.nlm.nih.gov/gene/188702", "188702")</f>
        <v>188702</v>
      </c>
      <c r="C3348" s="9"/>
      <c r="D3348" t="str">
        <f>"lgc-53"</f>
        <v>lgc-53</v>
      </c>
      <c r="E3348" t="s">
        <v>505</v>
      </c>
      <c r="F3348" t="s">
        <v>11</v>
      </c>
      <c r="G3348" t="s">
        <v>506</v>
      </c>
      <c r="H3348" s="12">
        <v>1.6850203170854601</v>
      </c>
      <c r="I3348" s="20">
        <v>1.5961852458344099</v>
      </c>
      <c r="J3348" s="28">
        <v>0.11044744068595599</v>
      </c>
      <c r="K3348" s="29">
        <v>0.762313887594397</v>
      </c>
    </row>
    <row r="3349" spans="1:11" x14ac:dyDescent="0.35">
      <c r="A3349" s="9" t="str">
        <f>HYPERLINK("http://www.ensembl.org/id/WBGene00020050", "WBGene00020050")</f>
        <v>WBGene00020050</v>
      </c>
      <c r="B3349" s="9" t="str">
        <f>HYPERLINK("http://www.ncbi.nlm.nih.gov/gene/176070", "176070")</f>
        <v>176070</v>
      </c>
      <c r="C3349" s="9"/>
      <c r="D3349" t="str">
        <f>"R13A5.7"</f>
        <v>R13A5.7</v>
      </c>
      <c r="F3349" t="s">
        <v>11</v>
      </c>
      <c r="H3349" s="12">
        <v>-1.42218232867793</v>
      </c>
      <c r="I3349" s="20">
        <v>-1.5959931862365</v>
      </c>
      <c r="J3349" s="28">
        <v>0.110490314617573</v>
      </c>
      <c r="K3349" s="29">
        <v>0.762313887594397</v>
      </c>
    </row>
    <row r="3350" spans="1:11" x14ac:dyDescent="0.35">
      <c r="A3350" s="9" t="str">
        <f>HYPERLINK("http://www.ensembl.org/id/WBGene00018874", "WBGene00018874")</f>
        <v>WBGene00018874</v>
      </c>
      <c r="B3350" s="9" t="str">
        <f>HYPERLINK("http://www.ncbi.nlm.nih.gov/gene/173996", "173996")</f>
        <v>173996</v>
      </c>
      <c r="C3350" s="9"/>
      <c r="D3350" t="str">
        <f>"tag-234"</f>
        <v>tag-234</v>
      </c>
      <c r="F3350" t="s">
        <v>11</v>
      </c>
      <c r="H3350" s="12">
        <v>-1.66359862731368</v>
      </c>
      <c r="I3350" s="20">
        <v>-1.5960946157203699</v>
      </c>
      <c r="J3350" s="28">
        <v>0.110467670629307</v>
      </c>
      <c r="K3350" s="29">
        <v>0.762313887594397</v>
      </c>
    </row>
    <row r="3351" spans="1:11" x14ac:dyDescent="0.35">
      <c r="A3351" s="9" t="str">
        <f>HYPERLINK("http://www.ensembl.org/id/WBGene00044325", "WBGene00044325")</f>
        <v>WBGene00044325</v>
      </c>
      <c r="B3351" s="9" t="str">
        <f>HYPERLINK("http://www.ncbi.nlm.nih.gov/gene/177563", "177563")</f>
        <v>177563</v>
      </c>
      <c r="C3351" s="9"/>
      <c r="D3351" t="str">
        <f>"tag-321"</f>
        <v>tag-321</v>
      </c>
      <c r="F3351" t="s">
        <v>11</v>
      </c>
      <c r="G3351" t="s">
        <v>1263</v>
      </c>
      <c r="H3351" s="12">
        <v>-1.37740695509738</v>
      </c>
      <c r="I3351" s="20">
        <v>-1.59632991963841</v>
      </c>
      <c r="J3351" s="28">
        <v>0.11041515347861799</v>
      </c>
      <c r="K3351" s="29">
        <v>0.762313887594397</v>
      </c>
    </row>
    <row r="3352" spans="1:11" x14ac:dyDescent="0.35">
      <c r="A3352" s="9" t="str">
        <f>HYPERLINK("http://www.ensembl.org/id/WBGene00013159", "WBGene00013159")</f>
        <v>WBGene00013159</v>
      </c>
      <c r="B3352" s="9" t="str">
        <f>HYPERLINK("http://www.ncbi.nlm.nih.gov/gene/190214", "190214")</f>
        <v>190214</v>
      </c>
      <c r="C3352" s="9"/>
      <c r="D3352" t="str">
        <f>"Y53F4B.12"</f>
        <v>Y53F4B.12</v>
      </c>
      <c r="F3352" t="s">
        <v>11</v>
      </c>
      <c r="G3352" t="s">
        <v>2698</v>
      </c>
      <c r="H3352" s="12">
        <v>1.5264621211343601</v>
      </c>
      <c r="I3352" s="20">
        <v>1.5954936902796499</v>
      </c>
      <c r="J3352" s="28">
        <v>0.110601879865921</v>
      </c>
      <c r="K3352" s="29">
        <v>0.76285583169611304</v>
      </c>
    </row>
    <row r="3353" spans="1:11" x14ac:dyDescent="0.35">
      <c r="A3353" s="9" t="str">
        <f>HYPERLINK("http://www.ensembl.org/id/WBGene00011285", "WBGene00011285")</f>
        <v>WBGene00011285</v>
      </c>
      <c r="B3353" s="9" t="str">
        <f>HYPERLINK("http://www.ncbi.nlm.nih.gov/gene/187889", "187889")</f>
        <v>187889</v>
      </c>
      <c r="C3353" s="9"/>
      <c r="D3353" t="str">
        <f>"ttr-28"</f>
        <v>ttr-28</v>
      </c>
      <c r="E3353" t="s">
        <v>16</v>
      </c>
      <c r="F3353" t="s">
        <v>11</v>
      </c>
      <c r="G3353" t="s">
        <v>17</v>
      </c>
      <c r="H3353" s="12">
        <v>1.5493873150992501</v>
      </c>
      <c r="I3353" s="20">
        <v>1.5951432098684399</v>
      </c>
      <c r="J3353" s="28">
        <v>0.110680214747763</v>
      </c>
      <c r="K3353" s="29">
        <v>0.76316832048994698</v>
      </c>
    </row>
    <row r="3354" spans="1:11" x14ac:dyDescent="0.35">
      <c r="A3354" s="9" t="str">
        <f>HYPERLINK("http://www.ensembl.org/id/WBGene00045192", "WBGene00045192")</f>
        <v>WBGene00045192</v>
      </c>
      <c r="B3354" s="9" t="str">
        <f>HYPERLINK("http://www.ncbi.nlm.nih.gov/gene/172585", "172585")</f>
        <v>172585</v>
      </c>
      <c r="C3354" s="9" t="str">
        <f>HYPERLINK("http://www.ncbi.nlm.nih.gov/gene/58489", "58489")</f>
        <v>58489</v>
      </c>
      <c r="D3354" t="str">
        <f>"aho-3"</f>
        <v>aho-3</v>
      </c>
      <c r="E3354" t="s">
        <v>2699</v>
      </c>
      <c r="F3354" t="s">
        <v>11</v>
      </c>
      <c r="H3354" s="12">
        <v>-1.3738803249359799</v>
      </c>
      <c r="I3354" s="20">
        <v>-1.5947319974630101</v>
      </c>
      <c r="J3354" s="28">
        <v>0.11077217951703</v>
      </c>
      <c r="K3354" s="29">
        <v>0.76357457634859505</v>
      </c>
    </row>
    <row r="3355" spans="1:11" x14ac:dyDescent="0.35">
      <c r="A3355" s="9" t="str">
        <f>HYPERLINK("http://www.ensembl.org/id/WBGene00015111", "WBGene00015111")</f>
        <v>WBGene00015111</v>
      </c>
      <c r="B3355" s="9" t="str">
        <f>HYPERLINK("http://www.ncbi.nlm.nih.gov/gene/181898", "181898")</f>
        <v>181898</v>
      </c>
      <c r="C3355" s="9"/>
      <c r="D3355" t="str">
        <f>"B0281.4"</f>
        <v>B0281.4</v>
      </c>
      <c r="F3355" t="s">
        <v>11</v>
      </c>
      <c r="H3355" s="12">
        <v>-10.578346619169499</v>
      </c>
      <c r="I3355" s="20">
        <v>-1.5942610084641</v>
      </c>
      <c r="J3355" s="28">
        <v>0.11087758702318901</v>
      </c>
      <c r="K3355" s="29">
        <v>0.76365719866286896</v>
      </c>
    </row>
    <row r="3356" spans="1:11" x14ac:dyDescent="0.35">
      <c r="A3356" s="9" t="str">
        <f>HYPERLINK("http://www.ensembl.org/id/WBGene00000248", "WBGene00000248")</f>
        <v>WBGene00000248</v>
      </c>
      <c r="B3356" s="9" t="str">
        <f>HYPERLINK("http://www.ncbi.nlm.nih.gov/gene/175461", "175461")</f>
        <v>175461</v>
      </c>
      <c r="C3356" s="9" t="str">
        <f>HYPERLINK("http://www.ncbi.nlm.nih.gov/gene/203068", "203068")</f>
        <v>203068</v>
      </c>
      <c r="D3356" t="str">
        <f>"ben-1"</f>
        <v>ben-1</v>
      </c>
      <c r="E3356" t="s">
        <v>1691</v>
      </c>
      <c r="F3356" t="s">
        <v>11</v>
      </c>
      <c r="G3356" t="s">
        <v>2702</v>
      </c>
      <c r="H3356" s="12">
        <v>1.37378843563229</v>
      </c>
      <c r="I3356" s="20">
        <v>1.5942761790075599</v>
      </c>
      <c r="J3356" s="28">
        <v>0.11087419061625001</v>
      </c>
      <c r="K3356" s="29">
        <v>0.76365719866286896</v>
      </c>
    </row>
    <row r="3357" spans="1:11" x14ac:dyDescent="0.35">
      <c r="A3357" s="9" t="str">
        <f>HYPERLINK("http://www.ensembl.org/id/WBGene00004335", "WBGene00004335")</f>
        <v>WBGene00004335</v>
      </c>
      <c r="B3357" s="9" t="str">
        <f>HYPERLINK("http://www.ncbi.nlm.nih.gov/gene/183539", "183539")</f>
        <v>183539</v>
      </c>
      <c r="C3357" s="9"/>
      <c r="D3357" t="str">
        <f>"ref-2"</f>
        <v>ref-2</v>
      </c>
      <c r="E3357" t="s">
        <v>2700</v>
      </c>
      <c r="F3357" t="s">
        <v>11</v>
      </c>
      <c r="G3357" t="s">
        <v>2701</v>
      </c>
      <c r="H3357" s="12">
        <v>1.60101882826356</v>
      </c>
      <c r="I3357" s="20">
        <v>1.5942354196008299</v>
      </c>
      <c r="J3357" s="28">
        <v>0.110883316087333</v>
      </c>
      <c r="K3357" s="29">
        <v>0.76365719866286896</v>
      </c>
    </row>
    <row r="3358" spans="1:11" x14ac:dyDescent="0.35">
      <c r="A3358" s="9" t="str">
        <f>HYPERLINK("http://www.ensembl.org/id/WBGene00020426", "WBGene00020426")</f>
        <v>WBGene00020426</v>
      </c>
      <c r="B3358" s="9" t="str">
        <f>HYPERLINK("http://www.ncbi.nlm.nih.gov/gene/180538", "180538")</f>
        <v>180538</v>
      </c>
      <c r="C3358" s="9" t="str">
        <f>HYPERLINK("http://www.ncbi.nlm.nih.gov/gene/5768", "5768")</f>
        <v>5768</v>
      </c>
      <c r="D3358" t="str">
        <f>"T10H10.2"</f>
        <v>T10H10.2</v>
      </c>
      <c r="E3358" t="s">
        <v>2706</v>
      </c>
      <c r="F3358" t="s">
        <v>11</v>
      </c>
      <c r="G3358" t="s">
        <v>2707</v>
      </c>
      <c r="H3358" s="12">
        <v>-1.42257090630951</v>
      </c>
      <c r="I3358" s="20">
        <v>-1.5936988420918601</v>
      </c>
      <c r="J3358" s="28">
        <v>0.111003503714555</v>
      </c>
      <c r="K3358" s="29">
        <v>0.76380195259931805</v>
      </c>
    </row>
    <row r="3359" spans="1:11" x14ac:dyDescent="0.35">
      <c r="A3359" s="9" t="str">
        <f>HYPERLINK("http://www.ensembl.org/id/WBGene00020444", "WBGene00020444")</f>
        <v>WBGene00020444</v>
      </c>
      <c r="B3359" s="9" t="str">
        <f>HYPERLINK("http://www.ncbi.nlm.nih.gov/gene/177510", "177510")</f>
        <v>177510</v>
      </c>
      <c r="C3359" s="9"/>
      <c r="D3359" t="str">
        <f>"T12B3.1"</f>
        <v>T12B3.1</v>
      </c>
      <c r="F3359" t="s">
        <v>11</v>
      </c>
      <c r="G3359" t="s">
        <v>2703</v>
      </c>
      <c r="H3359" s="12">
        <v>2.9601930682795499</v>
      </c>
      <c r="I3359" s="20">
        <v>1.5937250251906401</v>
      </c>
      <c r="J3359" s="28">
        <v>0.110997636594448</v>
      </c>
      <c r="K3359" s="29">
        <v>0.76380195259931805</v>
      </c>
    </row>
    <row r="3360" spans="1:11" x14ac:dyDescent="0.35">
      <c r="A3360" s="9" t="str">
        <f>HYPERLINK("http://www.ensembl.org/id/WBGene00006881", "WBGene00006881")</f>
        <v>WBGene00006881</v>
      </c>
      <c r="B3360" s="9" t="str">
        <f>HYPERLINK("http://www.ncbi.nlm.nih.gov/gene/181197", "181197")</f>
        <v>181197</v>
      </c>
      <c r="C3360" s="9"/>
      <c r="D3360" t="str">
        <f>"vab-15"</f>
        <v>vab-15</v>
      </c>
      <c r="E3360" t="s">
        <v>2704</v>
      </c>
      <c r="F3360" t="s">
        <v>11</v>
      </c>
      <c r="G3360" t="s">
        <v>2705</v>
      </c>
      <c r="H3360" s="12">
        <v>1.67451012403969</v>
      </c>
      <c r="I3360" s="20">
        <v>1.5937104571332099</v>
      </c>
      <c r="J3360" s="28">
        <v>0.111000900980849</v>
      </c>
      <c r="K3360" s="29">
        <v>0.76380195259931805</v>
      </c>
    </row>
    <row r="3361" spans="1:11" x14ac:dyDescent="0.35">
      <c r="A3361" s="9" t="str">
        <f>HYPERLINK("http://www.ensembl.org/id/WBGene00019975", "WBGene00019975")</f>
        <v>WBGene00019975</v>
      </c>
      <c r="B3361" s="9" t="str">
        <f>HYPERLINK("http://www.ncbi.nlm.nih.gov/gene/178606", "178606")</f>
        <v>178606</v>
      </c>
      <c r="C3361" s="9"/>
      <c r="D3361" t="str">
        <f>"flp-34"</f>
        <v>flp-34</v>
      </c>
      <c r="E3361" t="s">
        <v>401</v>
      </c>
      <c r="F3361" t="s">
        <v>11</v>
      </c>
      <c r="H3361" s="12">
        <v>1.41208464190136</v>
      </c>
      <c r="I3361" s="20">
        <v>1.5935150915131899</v>
      </c>
      <c r="J3361" s="28">
        <v>0.111044685512223</v>
      </c>
      <c r="K3361" s="29">
        <v>0.76385784562233305</v>
      </c>
    </row>
    <row r="3362" spans="1:11" x14ac:dyDescent="0.35">
      <c r="A3362" s="9" t="str">
        <f>HYPERLINK("http://www.ensembl.org/id/WBGene00019326", "WBGene00019326")</f>
        <v>WBGene00019326</v>
      </c>
      <c r="B3362" s="9" t="str">
        <f>HYPERLINK("http://www.ncbi.nlm.nih.gov/gene/175242", "175242")</f>
        <v>175242</v>
      </c>
      <c r="C3362" s="9" t="str">
        <f>HYPERLINK("http://www.ncbi.nlm.nih.gov/gene/8604", "8604")</f>
        <v>8604</v>
      </c>
      <c r="D3362" t="str">
        <f>"K02F3.2"</f>
        <v>K02F3.2</v>
      </c>
      <c r="E3362" t="s">
        <v>2709</v>
      </c>
      <c r="F3362" t="s">
        <v>11</v>
      </c>
      <c r="G3362" t="s">
        <v>2710</v>
      </c>
      <c r="H3362" s="12">
        <v>-1.3636238449642299</v>
      </c>
      <c r="I3362" s="20">
        <v>-1.5929807894683701</v>
      </c>
      <c r="J3362" s="28">
        <v>0.111164500702158</v>
      </c>
      <c r="K3362" s="29">
        <v>0.76435648641908804</v>
      </c>
    </row>
    <row r="3363" spans="1:11" x14ac:dyDescent="0.35">
      <c r="A3363" s="9" t="str">
        <f>HYPERLINK("http://www.ensembl.org/id/WBGene00003577", "WBGene00003577")</f>
        <v>WBGene00003577</v>
      </c>
      <c r="B3363" s="9" t="str">
        <f>HYPERLINK("http://www.ncbi.nlm.nih.gov/gene/175582", "175582")</f>
        <v>175582</v>
      </c>
      <c r="C3363" s="9"/>
      <c r="D3363" t="str">
        <f>"ndg-4"</f>
        <v>ndg-4</v>
      </c>
      <c r="E3363" t="s">
        <v>2708</v>
      </c>
      <c r="F3363" t="s">
        <v>11</v>
      </c>
      <c r="G3363" t="s">
        <v>25</v>
      </c>
      <c r="H3363" s="12">
        <v>1.37698873227147</v>
      </c>
      <c r="I3363" s="20">
        <v>1.5928968390546201</v>
      </c>
      <c r="J3363" s="28">
        <v>0.11118333553425799</v>
      </c>
      <c r="K3363" s="29">
        <v>0.76435648641908804</v>
      </c>
    </row>
    <row r="3364" spans="1:11" x14ac:dyDescent="0.35">
      <c r="A3364" s="9" t="str">
        <f>HYPERLINK("http://www.ensembl.org/id/WBGene00010485", "WBGene00010485")</f>
        <v>WBGene00010485</v>
      </c>
      <c r="B3364" s="9" t="str">
        <f>HYPERLINK("http://www.ncbi.nlm.nih.gov/gene/186855", "186855")</f>
        <v>186855</v>
      </c>
      <c r="C3364" s="9" t="str">
        <f>HYPERLINK("http://www.ncbi.nlm.nih.gov/gene/293", "293")</f>
        <v>293</v>
      </c>
      <c r="D3364" t="str">
        <f>"ant-1.3"</f>
        <v>ant-1.3</v>
      </c>
      <c r="E3364" t="s">
        <v>2711</v>
      </c>
      <c r="F3364" t="s">
        <v>11</v>
      </c>
      <c r="G3364" t="s">
        <v>2712</v>
      </c>
      <c r="H3364" s="12">
        <v>2.1433459045358201</v>
      </c>
      <c r="I3364" s="20">
        <v>1.59243670238293</v>
      </c>
      <c r="J3364" s="28">
        <v>0.111286614992125</v>
      </c>
      <c r="K3364" s="29">
        <v>0.76438422295125796</v>
      </c>
    </row>
    <row r="3365" spans="1:11" x14ac:dyDescent="0.35">
      <c r="A3365" s="9" t="str">
        <f>HYPERLINK("http://www.ensembl.org/id/WBGene00007437", "WBGene00007437")</f>
        <v>WBGene00007437</v>
      </c>
      <c r="B3365" s="9" t="str">
        <f>HYPERLINK("http://www.ncbi.nlm.nih.gov/gene/182406", "182406")</f>
        <v>182406</v>
      </c>
      <c r="C3365" s="9"/>
      <c r="D3365" t="str">
        <f>"C08E8.1"</f>
        <v>C08E8.1</v>
      </c>
      <c r="F3365" t="s">
        <v>11</v>
      </c>
      <c r="G3365" t="s">
        <v>208</v>
      </c>
      <c r="H3365" s="12">
        <v>5.6207395892252503</v>
      </c>
      <c r="I3365" s="20">
        <v>1.59246223210244</v>
      </c>
      <c r="J3365" s="28">
        <v>0.111280882764393</v>
      </c>
      <c r="K3365" s="29">
        <v>0.76438422295125796</v>
      </c>
    </row>
    <row r="3366" spans="1:11" x14ac:dyDescent="0.35">
      <c r="A3366" s="9" t="str">
        <f>HYPERLINK("http://www.ensembl.org/id/WBGene00017949", "WBGene00017949")</f>
        <v>WBGene00017949</v>
      </c>
      <c r="B3366" s="9" t="str">
        <f>HYPERLINK("http://www.ncbi.nlm.nih.gov/gene/185153", "185153")</f>
        <v>185153</v>
      </c>
      <c r="C3366" s="9"/>
      <c r="D3366" t="str">
        <f>"F31D5.6"</f>
        <v>F31D5.6</v>
      </c>
      <c r="F3366" t="s">
        <v>11</v>
      </c>
      <c r="H3366" s="12">
        <v>1.8400713451348201</v>
      </c>
      <c r="I3366" s="20">
        <v>1.5925793014587299</v>
      </c>
      <c r="J3366" s="28">
        <v>0.111254599983657</v>
      </c>
      <c r="K3366" s="29">
        <v>0.76438422295125796</v>
      </c>
    </row>
    <row r="3367" spans="1:11" x14ac:dyDescent="0.35">
      <c r="A3367" s="9" t="str">
        <f>HYPERLINK("http://www.ensembl.org/id/WBGene00019465", "WBGene00019465")</f>
        <v>WBGene00019465</v>
      </c>
      <c r="B3367" s="9" t="str">
        <f>HYPERLINK("http://www.ncbi.nlm.nih.gov/gene/179313", "179313")</f>
        <v>179313</v>
      </c>
      <c r="C3367" s="9" t="str">
        <f>HYPERLINK("http://www.ncbi.nlm.nih.gov/gene/9926", "9926")</f>
        <v>9926</v>
      </c>
      <c r="D3367" t="str">
        <f>"acl-14"</f>
        <v>acl-14</v>
      </c>
      <c r="E3367" t="s">
        <v>2715</v>
      </c>
      <c r="F3367" t="s">
        <v>11</v>
      </c>
      <c r="G3367" t="s">
        <v>2716</v>
      </c>
      <c r="H3367" s="12">
        <v>-1.3361425012072901</v>
      </c>
      <c r="I3367" s="20">
        <v>-1.5918149124613299</v>
      </c>
      <c r="J3367" s="28">
        <v>0.11142629842490499</v>
      </c>
      <c r="K3367" s="29">
        <v>0.76466173192926901</v>
      </c>
    </row>
    <row r="3368" spans="1:11" x14ac:dyDescent="0.35">
      <c r="A3368" s="9" t="str">
        <f>HYPERLINK("http://www.ensembl.org/id/WBGene00012950", "WBGene00012950")</f>
        <v>WBGene00012950</v>
      </c>
      <c r="B3368" s="9" t="str">
        <f>HYPERLINK("http://www.ncbi.nlm.nih.gov/gene/173067", "173067")</f>
        <v>173067</v>
      </c>
      <c r="C3368" s="9"/>
      <c r="D3368" t="str">
        <f>"eif-2Bbeta"</f>
        <v>eif-2Bbeta</v>
      </c>
      <c r="E3368" t="s">
        <v>1914</v>
      </c>
      <c r="F3368" t="s">
        <v>11</v>
      </c>
      <c r="G3368" t="s">
        <v>2717</v>
      </c>
      <c r="H3368" s="12">
        <v>-1.44332017084514</v>
      </c>
      <c r="I3368" s="20">
        <v>-1.59185136583191</v>
      </c>
      <c r="J3368" s="28">
        <v>0.1114181054571</v>
      </c>
      <c r="K3368" s="29">
        <v>0.76466173192926901</v>
      </c>
    </row>
    <row r="3369" spans="1:11" x14ac:dyDescent="0.35">
      <c r="A3369" s="9" t="str">
        <f>HYPERLINK("http://www.ensembl.org/id/WBGene00001546", "WBGene00001546")</f>
        <v>WBGene00001546</v>
      </c>
      <c r="B3369" s="9" t="str">
        <f>HYPERLINK("http://www.ncbi.nlm.nih.gov/gene/191651", "191651")</f>
        <v>191651</v>
      </c>
      <c r="C3369" s="9"/>
      <c r="D3369" t="str">
        <f>"gcy-21"</f>
        <v>gcy-21</v>
      </c>
      <c r="E3369" t="s">
        <v>2713</v>
      </c>
      <c r="F3369" t="s">
        <v>11</v>
      </c>
      <c r="G3369" t="s">
        <v>2714</v>
      </c>
      <c r="H3369" s="12">
        <v>1.86881311056177</v>
      </c>
      <c r="I3369" s="20">
        <v>1.5920579267113799</v>
      </c>
      <c r="J3369" s="28">
        <v>0.11137168946593699</v>
      </c>
      <c r="K3369" s="29">
        <v>0.76466173192926901</v>
      </c>
    </row>
    <row r="3370" spans="1:11" x14ac:dyDescent="0.35">
      <c r="A3370" s="9" t="str">
        <f>HYPERLINK("http://www.ensembl.org/id/WBGene00013139", "WBGene00013139")</f>
        <v>WBGene00013139</v>
      </c>
      <c r="B3370" s="9" t="str">
        <f>HYPERLINK("http://www.ncbi.nlm.nih.gov/gene/174528", "174528")</f>
        <v>174528</v>
      </c>
      <c r="C3370" s="9" t="str">
        <f>HYPERLINK("http://www.ncbi.nlm.nih.gov/gene/25844", "25844")</f>
        <v>25844</v>
      </c>
      <c r="D3370" t="str">
        <f>"Y53C12A.3"</f>
        <v>Y53C12A.3</v>
      </c>
      <c r="F3370" t="s">
        <v>11</v>
      </c>
      <c r="G3370" t="s">
        <v>2718</v>
      </c>
      <c r="H3370" s="12">
        <v>-1.41862518671241</v>
      </c>
      <c r="I3370" s="20">
        <v>-1.59127813506676</v>
      </c>
      <c r="J3370" s="28">
        <v>0.111546995267715</v>
      </c>
      <c r="K3370" s="29">
        <v>0.76526272941087103</v>
      </c>
    </row>
    <row r="3371" spans="1:11" x14ac:dyDescent="0.35">
      <c r="A3371" s="9" t="str">
        <f>HYPERLINK("http://www.ensembl.org/id/WBGene00012929", "WBGene00012929")</f>
        <v>WBGene00012929</v>
      </c>
      <c r="B3371" s="9" t="str">
        <f>HYPERLINK("http://www.ncbi.nlm.nih.gov/gene/176554", "176554")</f>
        <v>176554</v>
      </c>
      <c r="C3371" s="9" t="str">
        <f>HYPERLINK("http://www.ncbi.nlm.nih.gov/gene/6198", "6198")</f>
        <v>6198</v>
      </c>
      <c r="D3371" t="str">
        <f>"rsks-1"</f>
        <v>rsks-1</v>
      </c>
      <c r="E3371" t="s">
        <v>2719</v>
      </c>
      <c r="F3371" t="s">
        <v>11</v>
      </c>
      <c r="G3371" t="s">
        <v>2720</v>
      </c>
      <c r="H3371" s="12">
        <v>-1.33311284055937</v>
      </c>
      <c r="I3371" s="20">
        <v>-1.59066486067313</v>
      </c>
      <c r="J3371" s="28">
        <v>0.111685019046148</v>
      </c>
      <c r="K3371" s="29">
        <v>0.76587644474272998</v>
      </c>
    </row>
    <row r="3372" spans="1:11" x14ac:dyDescent="0.35">
      <c r="A3372" s="9" t="str">
        <f>HYPERLINK("http://www.ensembl.org/id/WBGene00020189", "WBGene00020189")</f>
        <v>WBGene00020189</v>
      </c>
      <c r="B3372" s="9" t="str">
        <f>HYPERLINK("http://www.ncbi.nlm.nih.gov/gene/188022", "188022")</f>
        <v>188022</v>
      </c>
      <c r="C3372" s="9" t="str">
        <f>HYPERLINK("http://www.ncbi.nlm.nih.gov/gene/51106", "51106")</f>
        <v>51106</v>
      </c>
      <c r="D3372" t="str">
        <f>"tfbm-1"</f>
        <v>tfbm-1</v>
      </c>
      <c r="E3372" t="s">
        <v>2721</v>
      </c>
      <c r="F3372" t="s">
        <v>11</v>
      </c>
      <c r="G3372" t="s">
        <v>2722</v>
      </c>
      <c r="H3372" s="12">
        <v>-1.5414851804782801</v>
      </c>
      <c r="I3372" s="20">
        <v>-1.5905861445160201</v>
      </c>
      <c r="J3372" s="28">
        <v>0.111702744688955</v>
      </c>
      <c r="K3372" s="29">
        <v>0.76587644474272998</v>
      </c>
    </row>
    <row r="3373" spans="1:11" x14ac:dyDescent="0.35">
      <c r="A3373" s="9" t="str">
        <f>HYPERLINK("http://www.ensembl.org/id/WBGene00219425", "WBGene00219425")</f>
        <v>WBGene00219425</v>
      </c>
      <c r="B3373" s="9" t="str">
        <f>HYPERLINK("http://www.ncbi.nlm.nih.gov/gene/13192519", "13192519")</f>
        <v>13192519</v>
      </c>
      <c r="C3373" s="9"/>
      <c r="D3373" t="str">
        <f>"Y54G2A.73"</f>
        <v>Y54G2A.73</v>
      </c>
      <c r="F3373" t="s">
        <v>11</v>
      </c>
      <c r="H3373" s="12">
        <v>-1.71484669436842</v>
      </c>
      <c r="I3373" s="20">
        <v>-1.5903961859484099</v>
      </c>
      <c r="J3373" s="28">
        <v>0.111745529517201</v>
      </c>
      <c r="K3373" s="29">
        <v>0.76594251113154899</v>
      </c>
    </row>
    <row r="3374" spans="1:11" x14ac:dyDescent="0.35">
      <c r="A3374" s="9" t="str">
        <f>HYPERLINK("http://www.ensembl.org/id/WBGene00008352", "WBGene00008352")</f>
        <v>WBGene00008352</v>
      </c>
      <c r="B3374" s="9" t="str">
        <f>HYPERLINK("http://www.ncbi.nlm.nih.gov/gene/183881", "183881")</f>
        <v>183881</v>
      </c>
      <c r="C3374" s="9"/>
      <c r="D3374" t="str">
        <f>"fbxa-6"</f>
        <v>fbxa-6</v>
      </c>
      <c r="E3374" t="s">
        <v>467</v>
      </c>
      <c r="F3374" t="s">
        <v>11</v>
      </c>
      <c r="G3374" t="s">
        <v>54</v>
      </c>
      <c r="H3374" s="12">
        <v>-1.93009381945736</v>
      </c>
      <c r="I3374" s="20">
        <v>-1.5900592215942</v>
      </c>
      <c r="J3374" s="28">
        <v>0.11182145662184199</v>
      </c>
      <c r="K3374" s="29">
        <v>0.76623563959201402</v>
      </c>
    </row>
    <row r="3375" spans="1:11" x14ac:dyDescent="0.35">
      <c r="A3375" s="9" t="str">
        <f>HYPERLINK("http://www.ensembl.org/id/WBGene00017601", "WBGene00017601")</f>
        <v>WBGene00017601</v>
      </c>
      <c r="B3375" s="9" t="str">
        <f>HYPERLINK("http://www.ncbi.nlm.nih.gov/gene/184687", "184687")</f>
        <v>184687</v>
      </c>
      <c r="C3375" s="9"/>
      <c r="D3375" t="str">
        <f>"ets-7"</f>
        <v>ets-7</v>
      </c>
      <c r="E3375" t="s">
        <v>2173</v>
      </c>
      <c r="F3375" t="s">
        <v>11</v>
      </c>
      <c r="G3375" t="s">
        <v>2723</v>
      </c>
      <c r="H3375" s="12">
        <v>-2.9943301205458099</v>
      </c>
      <c r="I3375" s="20">
        <v>-1.5898338755587</v>
      </c>
      <c r="J3375" s="28">
        <v>0.111872255831335</v>
      </c>
      <c r="K3375" s="29">
        <v>0.76635646108473998</v>
      </c>
    </row>
    <row r="3376" spans="1:11" x14ac:dyDescent="0.35">
      <c r="A3376" s="9" t="str">
        <f>HYPERLINK("http://www.ensembl.org/id/WBGene00018230", "WBGene00018230")</f>
        <v>WBGene00018230</v>
      </c>
      <c r="B3376" s="9" t="str">
        <f>HYPERLINK("http://www.ncbi.nlm.nih.gov/gene/185532", "185532")</f>
        <v>185532</v>
      </c>
      <c r="C3376" s="9"/>
      <c r="D3376" t="str">
        <f>"mage-1"</f>
        <v>mage-1</v>
      </c>
      <c r="E3376" t="s">
        <v>2724</v>
      </c>
      <c r="F3376" t="s">
        <v>11</v>
      </c>
      <c r="H3376" s="12">
        <v>-1.43108086579761</v>
      </c>
      <c r="I3376" s="20">
        <v>-1.58955857528434</v>
      </c>
      <c r="J3376" s="28">
        <v>0.111934340806655</v>
      </c>
      <c r="K3376" s="29">
        <v>0.76648350085869099</v>
      </c>
    </row>
    <row r="3377" spans="1:11" x14ac:dyDescent="0.35">
      <c r="A3377" s="9" t="str">
        <f>HYPERLINK("http://www.ensembl.org/id/WBGene00015862", "WBGene00015862")</f>
        <v>WBGene00015862</v>
      </c>
      <c r="B3377" s="9"/>
      <c r="C3377" s="9"/>
      <c r="D3377" t="str">
        <f>"srt-25"</f>
        <v>srt-25</v>
      </c>
      <c r="F3377" t="s">
        <v>80</v>
      </c>
      <c r="H3377" s="12">
        <v>31.691429505503201</v>
      </c>
      <c r="I3377" s="20">
        <v>1.5894574816278899</v>
      </c>
      <c r="J3377" s="28">
        <v>0.111957145996628</v>
      </c>
      <c r="K3377" s="29">
        <v>0.76648350085869099</v>
      </c>
    </row>
    <row r="3378" spans="1:11" x14ac:dyDescent="0.35">
      <c r="A3378" s="9" t="str">
        <f>HYPERLINK("http://www.ensembl.org/id/WBGene00008454", "WBGene00008454")</f>
        <v>WBGene00008454</v>
      </c>
      <c r="B3378" s="9" t="str">
        <f>HYPERLINK("http://www.ncbi.nlm.nih.gov/gene/259342", "259342")</f>
        <v>259342</v>
      </c>
      <c r="C3378" s="9"/>
      <c r="D3378" t="str">
        <f>"E02A10.4"</f>
        <v>E02A10.4</v>
      </c>
      <c r="F3378" t="s">
        <v>11</v>
      </c>
      <c r="H3378" s="12">
        <v>1.4981377616434099</v>
      </c>
      <c r="I3378" s="20">
        <v>1.58909813100266</v>
      </c>
      <c r="J3378" s="28">
        <v>0.11203823969584301</v>
      </c>
      <c r="K3378" s="29">
        <v>0.76681148294198398</v>
      </c>
    </row>
    <row r="3379" spans="1:11" x14ac:dyDescent="0.35">
      <c r="A3379" s="9" t="str">
        <f>HYPERLINK("http://www.ensembl.org/id/WBGene00020317", "WBGene00020317")</f>
        <v>WBGene00020317</v>
      </c>
      <c r="B3379" s="9" t="str">
        <f>HYPERLINK("http://www.ncbi.nlm.nih.gov/gene/175963", "175963")</f>
        <v>175963</v>
      </c>
      <c r="C3379" s="9"/>
      <c r="D3379" t="str">
        <f>"pdf-1"</f>
        <v>pdf-1</v>
      </c>
      <c r="E3379" t="s">
        <v>2725</v>
      </c>
      <c r="F3379" t="s">
        <v>11</v>
      </c>
      <c r="H3379" s="12">
        <v>1.3369636873694799</v>
      </c>
      <c r="I3379" s="20">
        <v>1.5889171639330499</v>
      </c>
      <c r="J3379" s="28">
        <v>0.112079095589089</v>
      </c>
      <c r="K3379" s="29">
        <v>0.76686395696816501</v>
      </c>
    </row>
    <row r="3380" spans="1:11" x14ac:dyDescent="0.35">
      <c r="A3380" s="9" t="str">
        <f>HYPERLINK("http://www.ensembl.org/id/WBGene00010677", "WBGene00010677")</f>
        <v>WBGene00010677</v>
      </c>
      <c r="B3380" s="9" t="str">
        <f>HYPERLINK("http://www.ncbi.nlm.nih.gov/gene/177880", "177880")</f>
        <v>177880</v>
      </c>
      <c r="C3380" s="9"/>
      <c r="D3380" t="str">
        <f>"gtbp-1"</f>
        <v>gtbp-1</v>
      </c>
      <c r="E3380" t="s">
        <v>2726</v>
      </c>
      <c r="F3380" t="s">
        <v>11</v>
      </c>
      <c r="G3380" t="s">
        <v>2727</v>
      </c>
      <c r="H3380" s="12">
        <v>-1.3365705190194199</v>
      </c>
      <c r="I3380" s="20">
        <v>-1.5886709140464399</v>
      </c>
      <c r="J3380" s="28">
        <v>0.112134708880212</v>
      </c>
      <c r="K3380" s="29">
        <v>0.76701734262468102</v>
      </c>
    </row>
    <row r="3381" spans="1:11" x14ac:dyDescent="0.35">
      <c r="A3381" s="9" t="str">
        <f>HYPERLINK("http://www.ensembl.org/id/WBGene00022858", "WBGene00022858")</f>
        <v>WBGene00022858</v>
      </c>
      <c r="B3381" s="9" t="str">
        <f>HYPERLINK("http://www.ncbi.nlm.nih.gov/gene/180396", "180396")</f>
        <v>180396</v>
      </c>
      <c r="C3381" s="9"/>
      <c r="D3381" t="str">
        <f>"ZK1193.2"</f>
        <v>ZK1193.2</v>
      </c>
      <c r="F3381" t="s">
        <v>11</v>
      </c>
      <c r="H3381" s="12">
        <v>-1.6388391007816101</v>
      </c>
      <c r="I3381" s="20">
        <v>-1.58828090841868</v>
      </c>
      <c r="J3381" s="28">
        <v>0.112222832620452</v>
      </c>
      <c r="K3381" s="29">
        <v>0.76739294777394496</v>
      </c>
    </row>
    <row r="3382" spans="1:11" x14ac:dyDescent="0.35">
      <c r="A3382" s="9" t="str">
        <f>HYPERLINK("http://www.ensembl.org/id/WBGene00020229", "WBGene00020229")</f>
        <v>WBGene00020229</v>
      </c>
      <c r="B3382" s="9" t="str">
        <f>HYPERLINK("http://www.ncbi.nlm.nih.gov/gene/173615", "173615")</f>
        <v>173615</v>
      </c>
      <c r="C3382" s="9"/>
      <c r="D3382" t="str">
        <f>"T05A8.3"</f>
        <v>T05A8.3</v>
      </c>
      <c r="F3382" t="s">
        <v>11</v>
      </c>
      <c r="H3382" s="12">
        <v>1.3409903313404801</v>
      </c>
      <c r="I3382" s="20">
        <v>1.5880641021878299</v>
      </c>
      <c r="J3382" s="28">
        <v>0.11227184469594099</v>
      </c>
      <c r="K3382" s="29">
        <v>0.76750095962852305</v>
      </c>
    </row>
    <row r="3383" spans="1:11" x14ac:dyDescent="0.35">
      <c r="A3383" s="9" t="str">
        <f>HYPERLINK("http://www.ensembl.org/id/WBGene00000071", "WBGene00000071")</f>
        <v>WBGene00000071</v>
      </c>
      <c r="B3383" s="9" t="str">
        <f>HYPERLINK("http://www.ncbi.nlm.nih.gov/gene/178949", "178949")</f>
        <v>178949</v>
      </c>
      <c r="C3383" s="9" t="str">
        <f>HYPERLINK("http://www.ncbi.nlm.nih.gov/gene/111", "111")</f>
        <v>111</v>
      </c>
      <c r="D3383" t="str">
        <f>"acy-4"</f>
        <v>acy-4</v>
      </c>
      <c r="E3383" t="s">
        <v>2728</v>
      </c>
      <c r="F3383" t="s">
        <v>11</v>
      </c>
      <c r="G3383" t="s">
        <v>2729</v>
      </c>
      <c r="H3383" s="12">
        <v>-1.4117155756115001</v>
      </c>
      <c r="I3383" s="20">
        <v>-1.5877416097933501</v>
      </c>
      <c r="J3383" s="28">
        <v>0.112344779829655</v>
      </c>
      <c r="K3383" s="29">
        <v>0.76777239951020704</v>
      </c>
    </row>
    <row r="3384" spans="1:11" x14ac:dyDescent="0.35">
      <c r="A3384" s="9" t="str">
        <f>HYPERLINK("http://www.ensembl.org/id/WBGene00019751", "WBGene00019751")</f>
        <v>WBGene00019751</v>
      </c>
      <c r="B3384" s="9" t="str">
        <f>HYPERLINK("http://www.ncbi.nlm.nih.gov/gene/177375", "177375")</f>
        <v>177375</v>
      </c>
      <c r="C3384" s="9"/>
      <c r="D3384" t="str">
        <f>"M03D4.4"</f>
        <v>M03D4.4</v>
      </c>
      <c r="F3384" t="s">
        <v>11</v>
      </c>
      <c r="G3384" t="s">
        <v>1791</v>
      </c>
      <c r="H3384" s="12">
        <v>1.4361204446387501</v>
      </c>
      <c r="I3384" s="20">
        <v>1.58740812888546</v>
      </c>
      <c r="J3384" s="28">
        <v>0.112420239420134</v>
      </c>
      <c r="K3384" s="29">
        <v>0.76783389064191798</v>
      </c>
    </row>
    <row r="3385" spans="1:11" x14ac:dyDescent="0.35">
      <c r="A3385" s="9" t="str">
        <f>HYPERLINK("http://www.ensembl.org/id/WBGene00011209", "WBGene00011209")</f>
        <v>WBGene00011209</v>
      </c>
      <c r="B3385" s="9" t="str">
        <f>HYPERLINK("http://www.ncbi.nlm.nih.gov/gene/180192", "180192")</f>
        <v>180192</v>
      </c>
      <c r="C3385" s="9"/>
      <c r="D3385" t="str">
        <f>"R10E8.3"</f>
        <v>R10E8.3</v>
      </c>
      <c r="F3385" t="s">
        <v>11</v>
      </c>
      <c r="G3385" t="s">
        <v>54</v>
      </c>
      <c r="H3385" s="12">
        <v>-2.8655834657903401</v>
      </c>
      <c r="I3385" s="20">
        <v>-1.5874718744954599</v>
      </c>
      <c r="J3385" s="28">
        <v>0.112405812064703</v>
      </c>
      <c r="K3385" s="29">
        <v>0.76783389064191798</v>
      </c>
    </row>
    <row r="3386" spans="1:11" x14ac:dyDescent="0.35">
      <c r="A3386" s="9" t="str">
        <f>HYPERLINK("http://www.ensembl.org/id/WBGene00194847", "WBGene00194847")</f>
        <v>WBGene00194847</v>
      </c>
      <c r="B3386" s="9"/>
      <c r="C3386" s="9"/>
      <c r="D3386" t="str">
        <f>"F19C6.8"</f>
        <v>F19C6.8</v>
      </c>
      <c r="F3386" t="s">
        <v>2735</v>
      </c>
      <c r="H3386" s="12">
        <v>-2.5099416911355998</v>
      </c>
      <c r="I3386" s="20">
        <v>-1.58712553203692</v>
      </c>
      <c r="J3386" s="28">
        <v>0.112484216313396</v>
      </c>
      <c r="K3386" s="29">
        <v>0.76791269300510401</v>
      </c>
    </row>
    <row r="3387" spans="1:11" x14ac:dyDescent="0.35">
      <c r="A3387" s="9" t="str">
        <f>HYPERLINK("http://www.ensembl.org/id/WBGene00018486", "WBGene00018486")</f>
        <v>WBGene00018486</v>
      </c>
      <c r="B3387" s="9" t="str">
        <f>HYPERLINK("http://www.ncbi.nlm.nih.gov/gene/185848", "185848")</f>
        <v>185848</v>
      </c>
      <c r="C3387" s="9"/>
      <c r="D3387" t="str">
        <f>"glb-16"</f>
        <v>glb-16</v>
      </c>
      <c r="E3387" t="s">
        <v>633</v>
      </c>
      <c r="F3387" t="s">
        <v>11</v>
      </c>
      <c r="G3387" t="s">
        <v>867</v>
      </c>
      <c r="H3387" s="12">
        <v>1.89396270518564</v>
      </c>
      <c r="I3387" s="20">
        <v>1.5866234691666901</v>
      </c>
      <c r="J3387" s="28">
        <v>0.112597948753626</v>
      </c>
      <c r="K3387" s="29">
        <v>0.76791269300510401</v>
      </c>
    </row>
    <row r="3388" spans="1:11" x14ac:dyDescent="0.35">
      <c r="A3388" s="9" t="str">
        <f>HYPERLINK("http://www.ensembl.org/id/WBGene00014251", "WBGene00014251")</f>
        <v>WBGene00014251</v>
      </c>
      <c r="B3388" s="9" t="str">
        <f>HYPERLINK("http://www.ncbi.nlm.nih.gov/gene/191563", "191563")</f>
        <v>191563</v>
      </c>
      <c r="C3388" s="9" t="str">
        <f>HYPERLINK("http://www.ncbi.nlm.nih.gov/gene/373156", "373156")</f>
        <v>373156</v>
      </c>
      <c r="D3388" t="str">
        <f>"gstk-1"</f>
        <v>gstk-1</v>
      </c>
      <c r="E3388" t="s">
        <v>2733</v>
      </c>
      <c r="F3388" t="s">
        <v>11</v>
      </c>
      <c r="G3388" t="s">
        <v>2734</v>
      </c>
      <c r="H3388" s="12">
        <v>-1.3725830600783799</v>
      </c>
      <c r="I3388" s="20">
        <v>-1.58706285543877</v>
      </c>
      <c r="J3388" s="28">
        <v>0.112498409510896</v>
      </c>
      <c r="K3388" s="29">
        <v>0.76791269300510401</v>
      </c>
    </row>
    <row r="3389" spans="1:11" x14ac:dyDescent="0.35">
      <c r="A3389" s="9" t="str">
        <f>HYPERLINK("http://www.ensembl.org/id/WBGene00003175", "WBGene00003175")</f>
        <v>WBGene00003175</v>
      </c>
      <c r="B3389" s="9" t="str">
        <f>HYPERLINK("http://www.ncbi.nlm.nih.gov/gene/175419", "175419")</f>
        <v>175419</v>
      </c>
      <c r="C3389" s="9" t="str">
        <f>HYPERLINK("http://www.ncbi.nlm.nih.gov/gene/112714", "112714")</f>
        <v>112714</v>
      </c>
      <c r="D3389" t="str">
        <f>"mec-12"</f>
        <v>mec-12</v>
      </c>
      <c r="E3389" t="s">
        <v>2730</v>
      </c>
      <c r="F3389" t="s">
        <v>11</v>
      </c>
      <c r="G3389" t="s">
        <v>2731</v>
      </c>
      <c r="H3389" s="12">
        <v>1.40740684224013</v>
      </c>
      <c r="I3389" s="20">
        <v>1.5867215604987299</v>
      </c>
      <c r="J3389" s="28">
        <v>0.11257572097452501</v>
      </c>
      <c r="K3389" s="29">
        <v>0.76791269300510401</v>
      </c>
    </row>
    <row r="3390" spans="1:11" x14ac:dyDescent="0.35">
      <c r="A3390" s="9" t="str">
        <f>HYPERLINK("http://www.ensembl.org/id/WBGene00020867", "WBGene00020867")</f>
        <v>WBGene00020867</v>
      </c>
      <c r="B3390" s="9" t="str">
        <f>HYPERLINK("http://www.ncbi.nlm.nih.gov/gene/173860", "173860")</f>
        <v>173860</v>
      </c>
      <c r="C3390" s="9"/>
      <c r="D3390" t="str">
        <f>"shc-2"</f>
        <v>shc-2</v>
      </c>
      <c r="E3390" t="s">
        <v>2732</v>
      </c>
      <c r="F3390" t="s">
        <v>11</v>
      </c>
      <c r="H3390" s="12">
        <v>1.3837480280952801</v>
      </c>
      <c r="I3390" s="20">
        <v>1.58668141039725</v>
      </c>
      <c r="J3390" s="28">
        <v>0.112584818685252</v>
      </c>
      <c r="K3390" s="29">
        <v>0.76791269300510401</v>
      </c>
    </row>
    <row r="3391" spans="1:11" x14ac:dyDescent="0.35">
      <c r="A3391" s="9" t="str">
        <f>HYPERLINK("http://www.ensembl.org/id/WBGene00007509", "WBGene00007509")</f>
        <v>WBGene00007509</v>
      </c>
      <c r="B3391" s="9" t="str">
        <f>HYPERLINK("http://www.ncbi.nlm.nih.gov/gene/177769", "177769")</f>
        <v>177769</v>
      </c>
      <c r="C3391" s="9" t="str">
        <f>HYPERLINK("http://www.ncbi.nlm.nih.gov/gene/95", "95")</f>
        <v>95</v>
      </c>
      <c r="D3391" t="str">
        <f>"C10C5.5"</f>
        <v>C10C5.5</v>
      </c>
      <c r="E3391" t="s">
        <v>254</v>
      </c>
      <c r="F3391" t="s">
        <v>11</v>
      </c>
      <c r="G3391" t="s">
        <v>255</v>
      </c>
      <c r="H3391" s="12">
        <v>1.90794093826732</v>
      </c>
      <c r="I3391" s="20">
        <v>1.5849985230533601</v>
      </c>
      <c r="J3391" s="28">
        <v>0.11296666983806899</v>
      </c>
      <c r="K3391" s="29">
        <v>0.76873823087168702</v>
      </c>
    </row>
    <row r="3392" spans="1:11" x14ac:dyDescent="0.35">
      <c r="A3392" s="9" t="str">
        <f>HYPERLINK("http://www.ensembl.org/id/WBGene00044177", "WBGene00044177")</f>
        <v>WBGene00044177</v>
      </c>
      <c r="B3392" s="9" t="str">
        <f>HYPERLINK("http://www.ncbi.nlm.nih.gov/gene/3565170", "3565170")</f>
        <v>3565170</v>
      </c>
      <c r="C3392" s="9"/>
      <c r="D3392" t="str">
        <f>"C30G7.3"</f>
        <v>C30G7.3</v>
      </c>
      <c r="F3392" t="s">
        <v>11</v>
      </c>
      <c r="H3392" s="12">
        <v>-1.79084617603513</v>
      </c>
      <c r="I3392" s="20">
        <v>-1.58568513898887</v>
      </c>
      <c r="J3392" s="28">
        <v>0.11281075196615099</v>
      </c>
      <c r="K3392" s="29">
        <v>0.76873823087168702</v>
      </c>
    </row>
    <row r="3393" spans="1:11" x14ac:dyDescent="0.35">
      <c r="A3393" s="9" t="str">
        <f>HYPERLINK("http://www.ensembl.org/id/WBGene00018427", "WBGene00018427")</f>
        <v>WBGene00018427</v>
      </c>
      <c r="B3393" s="9" t="str">
        <f>HYPERLINK("http://www.ncbi.nlm.nih.gov/gene/178967", "178967")</f>
        <v>178967</v>
      </c>
      <c r="C3393" s="9"/>
      <c r="D3393" t="str">
        <f>"F44E7.5"</f>
        <v>F44E7.5</v>
      </c>
      <c r="F3393" t="s">
        <v>11</v>
      </c>
      <c r="H3393" s="12">
        <v>-1.48064212132559</v>
      </c>
      <c r="I3393" s="20">
        <v>-1.5853568421081701</v>
      </c>
      <c r="J3393" s="28">
        <v>0.112885280985539</v>
      </c>
      <c r="K3393" s="29">
        <v>0.76873823087168702</v>
      </c>
    </row>
    <row r="3394" spans="1:11" x14ac:dyDescent="0.35">
      <c r="A3394" s="9" t="str">
        <f>HYPERLINK("http://www.ensembl.org/id/WBGene00009820", "WBGene00009820")</f>
        <v>WBGene00009820</v>
      </c>
      <c r="B3394" s="9" t="str">
        <f>HYPERLINK("http://www.ncbi.nlm.nih.gov/gene/185906", "185906")</f>
        <v>185906</v>
      </c>
      <c r="C3394" s="9"/>
      <c r="D3394" t="str">
        <f>"F47B10.9"</f>
        <v>F47B10.9</v>
      </c>
      <c r="F3394" t="s">
        <v>11</v>
      </c>
      <c r="G3394" t="s">
        <v>54</v>
      </c>
      <c r="H3394" s="12">
        <v>-1.4948418411334199</v>
      </c>
      <c r="I3394" s="20">
        <v>-1.58543682267611</v>
      </c>
      <c r="J3394" s="28">
        <v>0.112867120451246</v>
      </c>
      <c r="K3394" s="29">
        <v>0.76873823087168702</v>
      </c>
    </row>
    <row r="3395" spans="1:11" x14ac:dyDescent="0.35">
      <c r="A3395" s="9" t="str">
        <f>HYPERLINK("http://www.ensembl.org/id/WBGene00016149", "WBGene00016149")</f>
        <v>WBGene00016149</v>
      </c>
      <c r="B3395" s="9" t="str">
        <f>HYPERLINK("http://www.ncbi.nlm.nih.gov/gene/182942", "182942")</f>
        <v>182942</v>
      </c>
      <c r="C3395" s="9"/>
      <c r="D3395" t="str">
        <f>"frpr-3"</f>
        <v>frpr-3</v>
      </c>
      <c r="E3395" t="s">
        <v>2736</v>
      </c>
      <c r="F3395" t="s">
        <v>11</v>
      </c>
      <c r="G3395" t="s">
        <v>271</v>
      </c>
      <c r="H3395" s="12">
        <v>2.0376860410408502</v>
      </c>
      <c r="I3395" s="20">
        <v>1.5846922899623499</v>
      </c>
      <c r="J3395" s="28">
        <v>0.113036264489652</v>
      </c>
      <c r="K3395" s="29">
        <v>0.76873823087168702</v>
      </c>
    </row>
    <row r="3396" spans="1:11" x14ac:dyDescent="0.35">
      <c r="A3396" s="9" t="str">
        <f>HYPERLINK("http://www.ensembl.org/id/WBGene00002085", "WBGene00002085")</f>
        <v>WBGene00002085</v>
      </c>
      <c r="B3396" s="9" t="str">
        <f>HYPERLINK("http://www.ncbi.nlm.nih.gov/gene/191217", "191217")</f>
        <v>191217</v>
      </c>
      <c r="C3396" s="9"/>
      <c r="D3396" t="str">
        <f>"ins-2"</f>
        <v>ins-2</v>
      </c>
      <c r="E3396" t="s">
        <v>2737</v>
      </c>
      <c r="F3396" t="s">
        <v>11</v>
      </c>
      <c r="G3396" t="s">
        <v>724</v>
      </c>
      <c r="H3396" s="12">
        <v>1.83515982863409</v>
      </c>
      <c r="I3396" s="20">
        <v>1.58450498617397</v>
      </c>
      <c r="J3396" s="28">
        <v>0.113078847870796</v>
      </c>
      <c r="K3396" s="29">
        <v>0.76873823087168702</v>
      </c>
    </row>
    <row r="3397" spans="1:11" x14ac:dyDescent="0.35">
      <c r="A3397" s="9" t="str">
        <f>HYPERLINK("http://www.ensembl.org/id/WBGene00003597", "WBGene00003597")</f>
        <v>WBGene00003597</v>
      </c>
      <c r="B3397" s="9" t="str">
        <f>HYPERLINK("http://www.ncbi.nlm.nih.gov/gene/176295", "176295")</f>
        <v>176295</v>
      </c>
      <c r="C3397" s="9"/>
      <c r="D3397" t="str">
        <f>"nhl-1"</f>
        <v>nhl-1</v>
      </c>
      <c r="E3397" t="s">
        <v>2738</v>
      </c>
      <c r="F3397" t="s">
        <v>11</v>
      </c>
      <c r="G3397" t="s">
        <v>463</v>
      </c>
      <c r="H3397" s="12">
        <v>1.4489335175221301</v>
      </c>
      <c r="I3397" s="20">
        <v>1.5853139298838901</v>
      </c>
      <c r="J3397" s="28">
        <v>0.112895025663034</v>
      </c>
      <c r="K3397" s="29">
        <v>0.76873823087168702</v>
      </c>
    </row>
    <row r="3398" spans="1:11" x14ac:dyDescent="0.35">
      <c r="A3398" s="9" t="str">
        <f>HYPERLINK("http://www.ensembl.org/id/WBGene00004093", "WBGene00004093")</f>
        <v>WBGene00004093</v>
      </c>
      <c r="B3398" s="9" t="str">
        <f>HYPERLINK("http://www.ncbi.nlm.nih.gov/gene/172013", "172013")</f>
        <v>172013</v>
      </c>
      <c r="C3398" s="9"/>
      <c r="D3398" t="str">
        <f>"ppw-1"</f>
        <v>ppw-1</v>
      </c>
      <c r="E3398" t="s">
        <v>309</v>
      </c>
      <c r="F3398" t="s">
        <v>11</v>
      </c>
      <c r="G3398" t="s">
        <v>445</v>
      </c>
      <c r="H3398" s="12">
        <v>-1.3867352627114999</v>
      </c>
      <c r="I3398" s="20">
        <v>-1.5844780757850301</v>
      </c>
      <c r="J3398" s="28">
        <v>0.113084966966713</v>
      </c>
      <c r="K3398" s="29">
        <v>0.76873823087168702</v>
      </c>
    </row>
    <row r="3399" spans="1:11" x14ac:dyDescent="0.35">
      <c r="A3399" s="9" t="str">
        <f>HYPERLINK("http://www.ensembl.org/id/WBGene00013244", "WBGene00013244")</f>
        <v>WBGene00013244</v>
      </c>
      <c r="B3399" s="9" t="str">
        <f>HYPERLINK("http://www.ncbi.nlm.nih.gov/gene/176636", "176636")</f>
        <v>176636</v>
      </c>
      <c r="C3399" s="9"/>
      <c r="D3399" t="str">
        <f>"Y56A3A.33"</f>
        <v>Y56A3A.33</v>
      </c>
      <c r="F3399" t="s">
        <v>11</v>
      </c>
      <c r="G3399" t="s">
        <v>2252</v>
      </c>
      <c r="H3399" s="12">
        <v>-1.36310409481411</v>
      </c>
      <c r="I3399" s="20">
        <v>-1.58485915391516</v>
      </c>
      <c r="J3399" s="28">
        <v>0.11299833873470901</v>
      </c>
      <c r="K3399" s="29">
        <v>0.76873823087168702</v>
      </c>
    </row>
    <row r="3400" spans="1:11" x14ac:dyDescent="0.35">
      <c r="A3400" s="9" t="str">
        <f>HYPERLINK("http://www.ensembl.org/id/WBGene00022256", "WBGene00022256")</f>
        <v>WBGene00022256</v>
      </c>
      <c r="B3400" s="9" t="str">
        <f>HYPERLINK("http://www.ncbi.nlm.nih.gov/gene/260288", "260288")</f>
        <v>260288</v>
      </c>
      <c r="C3400" s="9"/>
      <c r="D3400" t="str">
        <f>"Y73B6BL.37"</f>
        <v>Y73B6BL.37</v>
      </c>
      <c r="F3400" t="s">
        <v>11</v>
      </c>
      <c r="G3400" t="s">
        <v>588</v>
      </c>
      <c r="H3400" s="12">
        <v>-2.4881931294260502</v>
      </c>
      <c r="I3400" s="20">
        <v>-1.5857558103270499</v>
      </c>
      <c r="J3400" s="28">
        <v>0.11279471343497099</v>
      </c>
      <c r="K3400" s="29">
        <v>0.76873823087168702</v>
      </c>
    </row>
    <row r="3401" spans="1:11" x14ac:dyDescent="0.35">
      <c r="A3401" s="9" t="str">
        <f>HYPERLINK("http://www.ensembl.org/id/WBGene00009648", "WBGene00009648")</f>
        <v>WBGene00009648</v>
      </c>
      <c r="B3401" s="9" t="str">
        <f>HYPERLINK("http://www.ncbi.nlm.nih.gov/gene/185691", "185691")</f>
        <v>185691</v>
      </c>
      <c r="C3401" s="9"/>
      <c r="D3401" t="str">
        <f>"zhit-2"</f>
        <v>zhit-2</v>
      </c>
      <c r="E3401" t="s">
        <v>2739</v>
      </c>
      <c r="F3401" t="s">
        <v>11</v>
      </c>
      <c r="G3401" t="s">
        <v>51</v>
      </c>
      <c r="H3401" s="12">
        <v>-1.5251223876615501</v>
      </c>
      <c r="I3401" s="20">
        <v>-1.5845586608708</v>
      </c>
      <c r="J3401" s="28">
        <v>0.11306664367520899</v>
      </c>
      <c r="K3401" s="29">
        <v>0.76873823087168702</v>
      </c>
    </row>
    <row r="3402" spans="1:11" x14ac:dyDescent="0.35">
      <c r="A3402" s="9" t="str">
        <f>HYPERLINK("http://www.ensembl.org/id/WBGene00016930", "WBGene00016930")</f>
        <v>WBGene00016930</v>
      </c>
      <c r="B3402" s="9" t="str">
        <f>HYPERLINK("http://www.ncbi.nlm.nih.gov/gene/171680", "171680")</f>
        <v>171680</v>
      </c>
      <c r="C3402" s="9"/>
      <c r="D3402" t="str">
        <f>"madf-6"</f>
        <v>madf-6</v>
      </c>
      <c r="E3402" t="s">
        <v>881</v>
      </c>
      <c r="F3402" t="s">
        <v>11</v>
      </c>
      <c r="H3402" s="12">
        <v>-1.6307295963456001</v>
      </c>
      <c r="I3402" s="20">
        <v>-1.5837349159729199</v>
      </c>
      <c r="J3402" s="28">
        <v>0.113254055610837</v>
      </c>
      <c r="K3402" s="29">
        <v>0.76966123792470298</v>
      </c>
    </row>
    <row r="3403" spans="1:11" x14ac:dyDescent="0.35">
      <c r="A3403" s="9" t="str">
        <f>HYPERLINK("http://www.ensembl.org/id/WBGene00013805", "WBGene00013805")</f>
        <v>WBGene00013805</v>
      </c>
      <c r="B3403" s="9" t="str">
        <f>HYPERLINK("http://www.ncbi.nlm.nih.gov/gene/178484", "178484")</f>
        <v>178484</v>
      </c>
      <c r="C3403" s="9"/>
      <c r="D3403" t="str">
        <f>"bca-2"</f>
        <v>bca-2</v>
      </c>
      <c r="E3403" t="s">
        <v>2740</v>
      </c>
      <c r="F3403" t="s">
        <v>11</v>
      </c>
      <c r="G3403" t="s">
        <v>2741</v>
      </c>
      <c r="H3403" s="12">
        <v>-1.3985207414044001</v>
      </c>
      <c r="I3403" s="20">
        <v>-1.5831526526459401</v>
      </c>
      <c r="J3403" s="28">
        <v>0.11338667514148699</v>
      </c>
      <c r="K3403" s="29">
        <v>0.77033593525998101</v>
      </c>
    </row>
    <row r="3404" spans="1:11" x14ac:dyDescent="0.35">
      <c r="A3404" s="9" t="str">
        <f>HYPERLINK("http://www.ensembl.org/id/WBGene00009939", "WBGene00009939")</f>
        <v>WBGene00009939</v>
      </c>
      <c r="B3404" s="9" t="str">
        <f>HYPERLINK("http://www.ncbi.nlm.nih.gov/gene/172845", "172845")</f>
        <v>172845</v>
      </c>
      <c r="C3404" s="9"/>
      <c r="D3404" t="str">
        <f>"ztf-11"</f>
        <v>ztf-11</v>
      </c>
      <c r="E3404" t="s">
        <v>461</v>
      </c>
      <c r="F3404" t="s">
        <v>11</v>
      </c>
      <c r="G3404" t="s">
        <v>2742</v>
      </c>
      <c r="H3404" s="12">
        <v>1.40631660342625</v>
      </c>
      <c r="I3404" s="20">
        <v>1.5826497190925799</v>
      </c>
      <c r="J3404" s="28">
        <v>0.11350132452610499</v>
      </c>
      <c r="K3404" s="29">
        <v>0.77088818474432297</v>
      </c>
    </row>
    <row r="3405" spans="1:11" x14ac:dyDescent="0.35">
      <c r="A3405" s="9" t="str">
        <f>HYPERLINK("http://www.ensembl.org/id/WBGene00004461", "WBGene00004461")</f>
        <v>WBGene00004461</v>
      </c>
      <c r="B3405" s="9" t="str">
        <f>HYPERLINK("http://www.ncbi.nlm.nih.gov/gene/173807", "173807")</f>
        <v>173807</v>
      </c>
      <c r="C3405" s="9" t="str">
        <f>HYPERLINK("http://www.ncbi.nlm.nih.gov/gene/5718", "5718")</f>
        <v>5718</v>
      </c>
      <c r="D3405" t="str">
        <f>"rpn-5"</f>
        <v>rpn-5</v>
      </c>
      <c r="E3405" t="s">
        <v>2743</v>
      </c>
      <c r="F3405" t="s">
        <v>11</v>
      </c>
      <c r="G3405" t="s">
        <v>2744</v>
      </c>
      <c r="H3405" s="12">
        <v>-1.3356521862191499</v>
      </c>
      <c r="I3405" s="20">
        <v>-1.5819817183298199</v>
      </c>
      <c r="J3405" s="28">
        <v>0.113653744008737</v>
      </c>
      <c r="K3405" s="29">
        <v>0.771696564521268</v>
      </c>
    </row>
    <row r="3406" spans="1:11" x14ac:dyDescent="0.35">
      <c r="A3406" s="9" t="str">
        <f>HYPERLINK("http://www.ensembl.org/id/WBGene00015267", "WBGene00015267")</f>
        <v>WBGene00015267</v>
      </c>
      <c r="B3406" s="9" t="str">
        <f>HYPERLINK("http://www.ncbi.nlm.nih.gov/gene/175268", "175268")</f>
        <v>175268</v>
      </c>
      <c r="C3406" s="9" t="str">
        <f>HYPERLINK("http://www.ncbi.nlm.nih.gov/gene/1124", "1124")</f>
        <v>1124</v>
      </c>
      <c r="D3406" t="str">
        <f>"chin-1"</f>
        <v>chin-1</v>
      </c>
      <c r="E3406" t="s">
        <v>2746</v>
      </c>
      <c r="F3406" t="s">
        <v>11</v>
      </c>
      <c r="G3406" t="s">
        <v>2747</v>
      </c>
      <c r="H3406" s="12">
        <v>-1.40136574250013</v>
      </c>
      <c r="I3406" s="20">
        <v>-1.5811894416336301</v>
      </c>
      <c r="J3406" s="28">
        <v>0.113834728783048</v>
      </c>
      <c r="K3406" s="29">
        <v>0.77237978641673499</v>
      </c>
    </row>
    <row r="3407" spans="1:11" x14ac:dyDescent="0.35">
      <c r="A3407" s="9" t="str">
        <f>HYPERLINK("http://www.ensembl.org/id/WBGene00017128", "WBGene00017128")</f>
        <v>WBGene00017128</v>
      </c>
      <c r="B3407" s="9" t="str">
        <f>HYPERLINK("http://www.ncbi.nlm.nih.gov/gene/174185", "174185")</f>
        <v>174185</v>
      </c>
      <c r="C3407" s="9"/>
      <c r="D3407" t="str">
        <f>"E04F6.9"</f>
        <v>E04F6.9</v>
      </c>
      <c r="F3407" t="s">
        <v>11</v>
      </c>
      <c r="H3407" s="12">
        <v>-1.3783714539966301</v>
      </c>
      <c r="I3407" s="20">
        <v>-1.58080477986145</v>
      </c>
      <c r="J3407" s="28">
        <v>0.11392268130616399</v>
      </c>
      <c r="K3407" s="29">
        <v>0.77237978641673499</v>
      </c>
    </row>
    <row r="3408" spans="1:11" x14ac:dyDescent="0.35">
      <c r="A3408" s="9" t="str">
        <f>HYPERLINK("http://www.ensembl.org/id/WBGene00018312", "WBGene00018312")</f>
        <v>WBGene00018312</v>
      </c>
      <c r="B3408" s="9" t="str">
        <f>HYPERLINK("http://www.ncbi.nlm.nih.gov/gene/185638", "185638")</f>
        <v>185638</v>
      </c>
      <c r="C3408" s="9"/>
      <c r="D3408" t="str">
        <f>"F41H8.1"</f>
        <v>F41H8.1</v>
      </c>
      <c r="F3408" t="s">
        <v>11</v>
      </c>
      <c r="G3408" t="s">
        <v>25</v>
      </c>
      <c r="H3408" s="12">
        <v>6.0796881497577404</v>
      </c>
      <c r="I3408" s="20">
        <v>1.5805229827757501</v>
      </c>
      <c r="J3408" s="28">
        <v>0.113987147873731</v>
      </c>
      <c r="K3408" s="29">
        <v>0.77237978641673499</v>
      </c>
    </row>
    <row r="3409" spans="1:11" x14ac:dyDescent="0.35">
      <c r="A3409" s="9" t="str">
        <f>HYPERLINK("http://www.ensembl.org/id/WBGene00019321", "WBGene00019321")</f>
        <v>WBGene00019321</v>
      </c>
      <c r="B3409" s="9" t="str">
        <f>HYPERLINK("http://www.ncbi.nlm.nih.gov/gene/186892", "186892")</f>
        <v>186892</v>
      </c>
      <c r="C3409" s="9"/>
      <c r="D3409" t="str">
        <f>"K02E10.7"</f>
        <v>K02E10.7</v>
      </c>
      <c r="F3409" t="s">
        <v>11</v>
      </c>
      <c r="G3409" t="s">
        <v>2745</v>
      </c>
      <c r="H3409" s="12">
        <v>1.6816483631819299</v>
      </c>
      <c r="I3409" s="20">
        <v>1.5805176806889101</v>
      </c>
      <c r="J3409" s="28">
        <v>0.113988361104521</v>
      </c>
      <c r="K3409" s="29">
        <v>0.77237978641673499</v>
      </c>
    </row>
    <row r="3410" spans="1:11" x14ac:dyDescent="0.35">
      <c r="A3410" s="9" t="str">
        <f>HYPERLINK("http://www.ensembl.org/id/WBGene00008278", "WBGene00008278")</f>
        <v>WBGene00008278</v>
      </c>
      <c r="B3410" s="9" t="str">
        <f>HYPERLINK("http://www.ncbi.nlm.nih.gov/gene/183747", "183747")</f>
        <v>183747</v>
      </c>
      <c r="C3410" s="9"/>
      <c r="D3410" t="str">
        <f>"npr-10"</f>
        <v>npr-10</v>
      </c>
      <c r="E3410" t="s">
        <v>1021</v>
      </c>
      <c r="F3410" t="s">
        <v>11</v>
      </c>
      <c r="G3410" t="s">
        <v>1259</v>
      </c>
      <c r="H3410" s="12">
        <v>1.6013847551481399</v>
      </c>
      <c r="I3410" s="20">
        <v>1.58068317432475</v>
      </c>
      <c r="J3410" s="28">
        <v>0.11395049741725</v>
      </c>
      <c r="K3410" s="29">
        <v>0.77237978641673499</v>
      </c>
    </row>
    <row r="3411" spans="1:11" x14ac:dyDescent="0.35">
      <c r="A3411" s="9" t="str">
        <f>HYPERLINK("http://www.ensembl.org/id/WBGene00011593", "WBGene00011593")</f>
        <v>WBGene00011593</v>
      </c>
      <c r="B3411" s="9" t="str">
        <f>HYPERLINK("http://www.ncbi.nlm.nih.gov/gene/188241", "188241")</f>
        <v>188241</v>
      </c>
      <c r="C3411" s="9"/>
      <c r="D3411" t="str">
        <f>"T07G12.2"</f>
        <v>T07G12.2</v>
      </c>
      <c r="F3411" t="s">
        <v>11</v>
      </c>
      <c r="G3411" t="s">
        <v>230</v>
      </c>
      <c r="H3411" s="12">
        <v>3.3564392189841699</v>
      </c>
      <c r="I3411" s="20">
        <v>1.58084769703813</v>
      </c>
      <c r="J3411" s="28">
        <v>0.113912865686266</v>
      </c>
      <c r="K3411" s="29">
        <v>0.77237978641673499</v>
      </c>
    </row>
    <row r="3412" spans="1:11" x14ac:dyDescent="0.35">
      <c r="A3412" s="9" t="str">
        <f>HYPERLINK("http://www.ensembl.org/id/WBGene00020771", "WBGene00020771")</f>
        <v>WBGene00020771</v>
      </c>
      <c r="B3412" s="9" t="str">
        <f>HYPERLINK("http://www.ncbi.nlm.nih.gov/gene/188860", "188860")</f>
        <v>188860</v>
      </c>
      <c r="C3412" s="9"/>
      <c r="D3412" t="str">
        <f>"T24E12.1"</f>
        <v>T24E12.1</v>
      </c>
      <c r="F3412" t="s">
        <v>11</v>
      </c>
      <c r="H3412" s="12">
        <v>-1.7759428789203799</v>
      </c>
      <c r="I3412" s="20">
        <v>-1.58058874558401</v>
      </c>
      <c r="J3412" s="28">
        <v>0.113972100782751</v>
      </c>
      <c r="K3412" s="29">
        <v>0.77237978641673499</v>
      </c>
    </row>
    <row r="3413" spans="1:11" x14ac:dyDescent="0.35">
      <c r="A3413" s="9" t="str">
        <f>HYPERLINK("http://www.ensembl.org/id/WBGene00219208", "WBGene00219208")</f>
        <v>WBGene00219208</v>
      </c>
      <c r="B3413" s="9" t="str">
        <f>HYPERLINK("http://www.ncbi.nlm.nih.gov/gene/13216068", "13216068")</f>
        <v>13216068</v>
      </c>
      <c r="C3413" s="9"/>
      <c r="D3413" t="str">
        <f>"B0365.9"</f>
        <v>B0365.9</v>
      </c>
      <c r="F3413" t="s">
        <v>11</v>
      </c>
      <c r="H3413" s="12">
        <v>2.1958247532389499</v>
      </c>
      <c r="I3413" s="20">
        <v>1.57916002368289</v>
      </c>
      <c r="J3413" s="28">
        <v>0.11429935679842899</v>
      </c>
      <c r="K3413" s="29">
        <v>0.77317684280219101</v>
      </c>
    </row>
    <row r="3414" spans="1:11" x14ac:dyDescent="0.35">
      <c r="A3414" s="9" t="str">
        <f>HYPERLINK("http://www.ensembl.org/id/WBGene00019914", "WBGene00019914")</f>
        <v>WBGene00019914</v>
      </c>
      <c r="B3414" s="9" t="str">
        <f>HYPERLINK("http://www.ncbi.nlm.nih.gov/gene/175261", "175261")</f>
        <v>175261</v>
      </c>
      <c r="C3414" s="9"/>
      <c r="D3414" t="str">
        <f>"clec-150"</f>
        <v>clec-150</v>
      </c>
      <c r="E3414" t="s">
        <v>46</v>
      </c>
      <c r="F3414" t="s">
        <v>11</v>
      </c>
      <c r="G3414" t="s">
        <v>47</v>
      </c>
      <c r="H3414" s="12">
        <v>-1.3365205612133499</v>
      </c>
      <c r="I3414" s="20">
        <v>-1.5791277217531901</v>
      </c>
      <c r="J3414" s="28">
        <v>0.114306764260897</v>
      </c>
      <c r="K3414" s="29">
        <v>0.77317684280219101</v>
      </c>
    </row>
    <row r="3415" spans="1:11" x14ac:dyDescent="0.35">
      <c r="A3415" s="9" t="str">
        <f>HYPERLINK("http://www.ensembl.org/id/WBGene00021827", "WBGene00021827")</f>
        <v>WBGene00021827</v>
      </c>
      <c r="B3415" s="9" t="str">
        <f>HYPERLINK("http://www.ncbi.nlm.nih.gov/gene/171891", "171891")</f>
        <v>171891</v>
      </c>
      <c r="C3415" s="9" t="str">
        <f>HYPERLINK("http://www.ncbi.nlm.nih.gov/gene/10671", "10671")</f>
        <v>10671</v>
      </c>
      <c r="D3415" t="str">
        <f>"dnc-6"</f>
        <v>dnc-6</v>
      </c>
      <c r="E3415" t="s">
        <v>2748</v>
      </c>
      <c r="F3415" t="s">
        <v>11</v>
      </c>
      <c r="G3415" t="s">
        <v>2749</v>
      </c>
      <c r="H3415" s="12">
        <v>-1.40789540636716</v>
      </c>
      <c r="I3415" s="20">
        <v>-1.5792527205946301</v>
      </c>
      <c r="J3415" s="28">
        <v>0.11427810168661599</v>
      </c>
      <c r="K3415" s="29">
        <v>0.77317684280219101</v>
      </c>
    </row>
    <row r="3416" spans="1:11" x14ac:dyDescent="0.35">
      <c r="A3416" s="9" t="str">
        <f>HYPERLINK("http://www.ensembl.org/id/WBGene00011860", "WBGene00011860")</f>
        <v>WBGene00011860</v>
      </c>
      <c r="B3416" s="9" t="str">
        <f>HYPERLINK("http://www.ncbi.nlm.nih.gov/gene/177765", "177765")</f>
        <v>177765</v>
      </c>
      <c r="C3416" s="9" t="str">
        <f>HYPERLINK("http://www.ncbi.nlm.nih.gov/gene/5279", "5279")</f>
        <v>5279</v>
      </c>
      <c r="D3416" t="str">
        <f>"T20D3.8"</f>
        <v>T20D3.8</v>
      </c>
      <c r="F3416" t="s">
        <v>11</v>
      </c>
      <c r="G3416" t="s">
        <v>2750</v>
      </c>
      <c r="H3416" s="12">
        <v>-1.4251924857085401</v>
      </c>
      <c r="I3416" s="20">
        <v>-1.5797737440712201</v>
      </c>
      <c r="J3416" s="28">
        <v>0.11415869051752101</v>
      </c>
      <c r="K3416" s="29">
        <v>0.77317684280219101</v>
      </c>
    </row>
    <row r="3417" spans="1:11" x14ac:dyDescent="0.35">
      <c r="A3417" s="9" t="str">
        <f>HYPERLINK("http://www.ensembl.org/id/WBGene00017959", "WBGene00017959")</f>
        <v>WBGene00017959</v>
      </c>
      <c r="B3417" s="9" t="str">
        <f>HYPERLINK("http://www.ncbi.nlm.nih.gov/gene/185168", "185168")</f>
        <v>185168</v>
      </c>
      <c r="C3417" s="9"/>
      <c r="D3417" t="str">
        <f>"ugt-42"</f>
        <v>ugt-42</v>
      </c>
      <c r="E3417" t="s">
        <v>103</v>
      </c>
      <c r="F3417" t="s">
        <v>11</v>
      </c>
      <c r="G3417" t="s">
        <v>104</v>
      </c>
      <c r="H3417" s="12">
        <v>5.6015104001488103</v>
      </c>
      <c r="I3417" s="20">
        <v>1.57932975345632</v>
      </c>
      <c r="J3417" s="28">
        <v>0.114260440659604</v>
      </c>
      <c r="K3417" s="29">
        <v>0.77317684280219101</v>
      </c>
    </row>
    <row r="3418" spans="1:11" x14ac:dyDescent="0.35">
      <c r="A3418" s="9" t="str">
        <f>HYPERLINK("http://www.ensembl.org/id/WBGene00021796", "WBGene00021796")</f>
        <v>WBGene00021796</v>
      </c>
      <c r="B3418" s="9" t="str">
        <f>HYPERLINK("http://www.ncbi.nlm.nih.gov/gene/190187", "190187")</f>
        <v>190187</v>
      </c>
      <c r="C3418" s="9" t="str">
        <f>HYPERLINK("http://www.ncbi.nlm.nih.gov/gene/158046", "158046")</f>
        <v>158046</v>
      </c>
      <c r="D3418" t="str">
        <f>"Y52E8A.3"</f>
        <v>Y52E8A.3</v>
      </c>
      <c r="F3418" t="s">
        <v>11</v>
      </c>
      <c r="H3418" s="12">
        <v>2.1014859847738099</v>
      </c>
      <c r="I3418" s="20">
        <v>1.57939391207725</v>
      </c>
      <c r="J3418" s="28">
        <v>0.114245732900023</v>
      </c>
      <c r="K3418" s="29">
        <v>0.77317684280219101</v>
      </c>
    </row>
    <row r="3419" spans="1:11" x14ac:dyDescent="0.35">
      <c r="A3419" s="9" t="str">
        <f>HYPERLINK("http://www.ensembl.org/id/WBGene00009146", "WBGene00009146")</f>
        <v>WBGene00009146</v>
      </c>
      <c r="B3419" s="9" t="str">
        <f>HYPERLINK("http://www.ncbi.nlm.nih.gov/gene/184959", "184959")</f>
        <v>184959</v>
      </c>
      <c r="C3419" s="9"/>
      <c r="D3419" t="str">
        <f>"F26C11.1"</f>
        <v>F26C11.1</v>
      </c>
      <c r="E3419" t="s">
        <v>2751</v>
      </c>
      <c r="F3419" t="s">
        <v>11</v>
      </c>
      <c r="G3419" t="s">
        <v>2752</v>
      </c>
      <c r="H3419" s="12">
        <v>2.1311459434845399</v>
      </c>
      <c r="I3419" s="20">
        <v>1.57848953132751</v>
      </c>
      <c r="J3419" s="28">
        <v>0.114453191265872</v>
      </c>
      <c r="K3419" s="29">
        <v>0.77375220383283305</v>
      </c>
    </row>
    <row r="3420" spans="1:11" x14ac:dyDescent="0.35">
      <c r="A3420" s="9" t="str">
        <f>HYPERLINK("http://www.ensembl.org/id/WBGene00077681", "WBGene00077681")</f>
        <v>WBGene00077681</v>
      </c>
      <c r="B3420" s="9" t="str">
        <f>HYPERLINK("http://www.ncbi.nlm.nih.gov/gene/6418804", "6418804")</f>
        <v>6418804</v>
      </c>
      <c r="C3420" s="9"/>
      <c r="D3420" t="str">
        <f>"Y44A6D.7"</f>
        <v>Y44A6D.7</v>
      </c>
      <c r="F3420" t="s">
        <v>11</v>
      </c>
      <c r="G3420" t="s">
        <v>25</v>
      </c>
      <c r="H3420" s="12">
        <v>3.9375461531918199</v>
      </c>
      <c r="I3420" s="20">
        <v>1.5784650989072</v>
      </c>
      <c r="J3420" s="28">
        <v>0.114458799995699</v>
      </c>
      <c r="K3420" s="29">
        <v>0.77375220383283305</v>
      </c>
    </row>
    <row r="3421" spans="1:11" x14ac:dyDescent="0.35">
      <c r="A3421" s="9" t="str">
        <f>HYPERLINK("http://www.ensembl.org/id/WBGene00016992", "WBGene00016992")</f>
        <v>WBGene00016992</v>
      </c>
      <c r="B3421" s="9" t="str">
        <f>HYPERLINK("http://www.ncbi.nlm.nih.gov/gene/183878", "183878")</f>
        <v>183878</v>
      </c>
      <c r="C3421" s="9" t="str">
        <f>HYPERLINK("http://www.ncbi.nlm.nih.gov/gene/10467", "10467")</f>
        <v>10467</v>
      </c>
      <c r="D3421" t="str">
        <f>"zhit-1"</f>
        <v>zhit-1</v>
      </c>
      <c r="E3421" t="s">
        <v>2739</v>
      </c>
      <c r="F3421" t="s">
        <v>11</v>
      </c>
      <c r="G3421" t="s">
        <v>2753</v>
      </c>
      <c r="H3421" s="12">
        <v>-1.5195863034183701</v>
      </c>
      <c r="I3421" s="20">
        <v>-1.5783147317160799</v>
      </c>
      <c r="J3421" s="28">
        <v>0.114493323194601</v>
      </c>
      <c r="K3421" s="29">
        <v>0.77375920612297699</v>
      </c>
    </row>
    <row r="3422" spans="1:11" x14ac:dyDescent="0.35">
      <c r="A3422" s="9" t="str">
        <f>HYPERLINK("http://www.ensembl.org/id/WBGene00000534", "WBGene00000534")</f>
        <v>WBGene00000534</v>
      </c>
      <c r="B3422" s="9" t="str">
        <f>HYPERLINK("http://www.ncbi.nlm.nih.gov/gene/178992", "178992")</f>
        <v>178992</v>
      </c>
      <c r="C3422" s="9"/>
      <c r="D3422" t="str">
        <f>"cpi-2"</f>
        <v>cpi-2</v>
      </c>
      <c r="E3422" t="s">
        <v>840</v>
      </c>
      <c r="F3422" t="s">
        <v>11</v>
      </c>
      <c r="G3422" t="s">
        <v>2754</v>
      </c>
      <c r="H3422" s="12">
        <v>-1.3364430167702901</v>
      </c>
      <c r="I3422" s="20">
        <v>-1.57799227405734</v>
      </c>
      <c r="J3422" s="28">
        <v>0.114567384725872</v>
      </c>
      <c r="K3422" s="29">
        <v>0.77384761500194799</v>
      </c>
    </row>
    <row r="3423" spans="1:11" x14ac:dyDescent="0.35">
      <c r="A3423" s="9" t="str">
        <f>HYPERLINK("http://www.ensembl.org/id/WBGene00011236", "WBGene00011236")</f>
        <v>WBGene00011236</v>
      </c>
      <c r="B3423" s="9" t="str">
        <f>HYPERLINK("http://www.ncbi.nlm.nih.gov/gene/187798", "187798")</f>
        <v>187798</v>
      </c>
      <c r="C3423" s="9"/>
      <c r="D3423" t="str">
        <f>"R11A8.1"</f>
        <v>R11A8.1</v>
      </c>
      <c r="F3423" t="s">
        <v>11</v>
      </c>
      <c r="H3423" s="12">
        <v>-1.75798297676822</v>
      </c>
      <c r="I3423" s="20">
        <v>-1.57796614579563</v>
      </c>
      <c r="J3423" s="28">
        <v>0.11457338747172401</v>
      </c>
      <c r="K3423" s="29">
        <v>0.77384761500194799</v>
      </c>
    </row>
    <row r="3424" spans="1:11" x14ac:dyDescent="0.35">
      <c r="A3424" s="9" t="str">
        <f>HYPERLINK("http://www.ensembl.org/id/WBGene00010278", "WBGene00010278")</f>
        <v>WBGene00010278</v>
      </c>
      <c r="B3424" s="9" t="str">
        <f>HYPERLINK("http://www.ncbi.nlm.nih.gov/gene/3565898", "3565898")</f>
        <v>3565898</v>
      </c>
      <c r="C3424" s="9"/>
      <c r="D3424" t="str">
        <f>"F58G6.8"</f>
        <v>F58G6.8</v>
      </c>
      <c r="F3424" t="s">
        <v>11</v>
      </c>
      <c r="G3424" t="s">
        <v>2755</v>
      </c>
      <c r="H3424" s="12">
        <v>10.0031378589578</v>
      </c>
      <c r="I3424" s="20">
        <v>1.5777929104553301</v>
      </c>
      <c r="J3424" s="28">
        <v>0.114613193078063</v>
      </c>
      <c r="K3424" s="29">
        <v>0.773890251099279</v>
      </c>
    </row>
    <row r="3425" spans="1:11" x14ac:dyDescent="0.35">
      <c r="A3425" s="9" t="str">
        <f>HYPERLINK("http://www.ensembl.org/id/WBGene00007728", "WBGene00007728")</f>
        <v>WBGene00007728</v>
      </c>
      <c r="B3425" s="9" t="str">
        <f>HYPERLINK("http://www.ncbi.nlm.nih.gov/gene/182908", "182908")</f>
        <v>182908</v>
      </c>
      <c r="C3425" s="9"/>
      <c r="D3425" t="str">
        <f>"C25F9.9"</f>
        <v>C25F9.9</v>
      </c>
      <c r="F3425" t="s">
        <v>11</v>
      </c>
      <c r="H3425" s="12">
        <v>-2.1316471012227298</v>
      </c>
      <c r="I3425" s="20">
        <v>-1.57667806622825</v>
      </c>
      <c r="J3425" s="28">
        <v>0.114869619764024</v>
      </c>
      <c r="K3425" s="29">
        <v>0.774942316574461</v>
      </c>
    </row>
    <row r="3426" spans="1:11" x14ac:dyDescent="0.35">
      <c r="A3426" s="9" t="str">
        <f>HYPERLINK("http://www.ensembl.org/id/WBGene00008535", "WBGene00008535")</f>
        <v>WBGene00008535</v>
      </c>
      <c r="B3426" s="9" t="str">
        <f>HYPERLINK("http://www.ncbi.nlm.nih.gov/gene/184102", "184102")</f>
        <v>184102</v>
      </c>
      <c r="C3426" s="9"/>
      <c r="D3426" t="str">
        <f>"F02H6.2"</f>
        <v>F02H6.2</v>
      </c>
      <c r="F3426" t="s">
        <v>11</v>
      </c>
      <c r="H3426" s="12">
        <v>-1.4708160609549901</v>
      </c>
      <c r="I3426" s="20">
        <v>-1.5767437235516999</v>
      </c>
      <c r="J3426" s="28">
        <v>0.114854505345278</v>
      </c>
      <c r="K3426" s="29">
        <v>0.774942316574461</v>
      </c>
    </row>
    <row r="3427" spans="1:11" x14ac:dyDescent="0.35">
      <c r="A3427" s="9" t="str">
        <f>HYPERLINK("http://www.ensembl.org/id/WBGene00010975", "WBGene00010975")</f>
        <v>WBGene00010975</v>
      </c>
      <c r="B3427" s="9" t="str">
        <f>HYPERLINK("http://www.ncbi.nlm.nih.gov/gene/187517", "187517")</f>
        <v>187517</v>
      </c>
      <c r="C3427" s="9"/>
      <c r="D3427" t="str">
        <f>"R01H10.7"</f>
        <v>R01H10.7</v>
      </c>
      <c r="F3427" t="s">
        <v>11</v>
      </c>
      <c r="G3427" t="s">
        <v>2756</v>
      </c>
      <c r="H3427" s="12">
        <v>-1.36780680133721</v>
      </c>
      <c r="I3427" s="20">
        <v>-1.57679378053926</v>
      </c>
      <c r="J3427" s="28">
        <v>0.114842983199464</v>
      </c>
      <c r="K3427" s="29">
        <v>0.774942316574461</v>
      </c>
    </row>
    <row r="3428" spans="1:11" x14ac:dyDescent="0.35">
      <c r="A3428" s="9" t="str">
        <f>HYPERLINK("http://www.ensembl.org/id/WBGene00003982", "WBGene00003982")</f>
        <v>WBGene00003982</v>
      </c>
      <c r="B3428" s="9" t="str">
        <f>HYPERLINK("http://www.ncbi.nlm.nih.gov/gene/179963", "179963")</f>
        <v>179963</v>
      </c>
      <c r="C3428" s="9"/>
      <c r="D3428" t="str">
        <f>"pes-9"</f>
        <v>pes-9</v>
      </c>
      <c r="E3428" t="s">
        <v>1587</v>
      </c>
      <c r="F3428" t="s">
        <v>11</v>
      </c>
      <c r="G3428" t="s">
        <v>2757</v>
      </c>
      <c r="H3428" s="12">
        <v>-1.34562237949194</v>
      </c>
      <c r="I3428" s="20">
        <v>-1.57598517882707</v>
      </c>
      <c r="J3428" s="28">
        <v>0.115029218935011</v>
      </c>
      <c r="K3428" s="29">
        <v>0.77579250808884204</v>
      </c>
    </row>
    <row r="3429" spans="1:11" x14ac:dyDescent="0.35">
      <c r="A3429" s="9" t="str">
        <f>HYPERLINK("http://www.ensembl.org/id/WBGene00019244", "WBGene00019244")</f>
        <v>WBGene00019244</v>
      </c>
      <c r="B3429" s="9" t="str">
        <f>HYPERLINK("http://www.ncbi.nlm.nih.gov/gene/186785", "186785")</f>
        <v>186785</v>
      </c>
      <c r="C3429" s="9"/>
      <c r="D3429" t="str">
        <f>"H25P19.1"</f>
        <v>H25P19.1</v>
      </c>
      <c r="F3429" t="s">
        <v>11</v>
      </c>
      <c r="H3429" s="12">
        <v>-1.4370426910629599</v>
      </c>
      <c r="I3429" s="20">
        <v>-1.57555653321822</v>
      </c>
      <c r="J3429" s="28">
        <v>0.115128040144663</v>
      </c>
      <c r="K3429" s="29">
        <v>0.77623241773638196</v>
      </c>
    </row>
    <row r="3430" spans="1:11" x14ac:dyDescent="0.35">
      <c r="A3430" s="9" t="str">
        <f>HYPERLINK("http://www.ensembl.org/id/WBGene00005487", "WBGene00005487")</f>
        <v>WBGene00005487</v>
      </c>
      <c r="B3430" s="9" t="str">
        <f>HYPERLINK("http://www.ncbi.nlm.nih.gov/gene/188692", "188692")</f>
        <v>188692</v>
      </c>
      <c r="C3430" s="9"/>
      <c r="D3430" t="str">
        <f>"srh-282"</f>
        <v>srh-282</v>
      </c>
      <c r="E3430" t="s">
        <v>153</v>
      </c>
      <c r="F3430" t="s">
        <v>11</v>
      </c>
      <c r="G3430" t="s">
        <v>25</v>
      </c>
      <c r="H3430" s="12">
        <v>18.114215864468001</v>
      </c>
      <c r="I3430" s="20">
        <v>1.57539897462346</v>
      </c>
      <c r="J3430" s="28">
        <v>0.11516438094156101</v>
      </c>
      <c r="K3430" s="29">
        <v>0.77625092941531704</v>
      </c>
    </row>
    <row r="3431" spans="1:11" x14ac:dyDescent="0.35">
      <c r="A3431" s="9" t="str">
        <f>HYPERLINK("http://www.ensembl.org/id/WBGene00018222", "WBGene00018222")</f>
        <v>WBGene00018222</v>
      </c>
      <c r="B3431" s="9" t="str">
        <f>HYPERLINK("http://www.ncbi.nlm.nih.gov/gene/185509", "185509")</f>
        <v>185509</v>
      </c>
      <c r="C3431" s="9"/>
      <c r="D3431" t="str">
        <f>"F40A3.7"</f>
        <v>F40A3.7</v>
      </c>
      <c r="F3431" t="s">
        <v>11</v>
      </c>
      <c r="G3431" t="s">
        <v>1780</v>
      </c>
      <c r="H3431" s="12">
        <v>1.80688534240804</v>
      </c>
      <c r="I3431" s="20">
        <v>1.5752036886121901</v>
      </c>
      <c r="J3431" s="28">
        <v>0.11520943606545</v>
      </c>
      <c r="K3431" s="29">
        <v>0.77629285412005</v>
      </c>
    </row>
    <row r="3432" spans="1:11" x14ac:dyDescent="0.35">
      <c r="A3432" s="9" t="str">
        <f>HYPERLINK("http://www.ensembl.org/id/WBGene00001773", "WBGene00001773")</f>
        <v>WBGene00001773</v>
      </c>
      <c r="B3432" s="9" t="str">
        <f>HYPERLINK("http://www.ncbi.nlm.nih.gov/gene/24104550", "24104550")</f>
        <v>24104550</v>
      </c>
      <c r="C3432" s="9"/>
      <c r="D3432" t="str">
        <f>"gst-25"</f>
        <v>gst-25</v>
      </c>
      <c r="E3432" t="s">
        <v>272</v>
      </c>
      <c r="F3432" t="s">
        <v>11</v>
      </c>
      <c r="G3432" t="s">
        <v>291</v>
      </c>
      <c r="H3432" s="12">
        <v>10.5349988730575</v>
      </c>
      <c r="I3432" s="20">
        <v>1.5750808013300699</v>
      </c>
      <c r="J3432" s="28">
        <v>0.115237794929099</v>
      </c>
      <c r="K3432" s="29">
        <v>0.77629285412005</v>
      </c>
    </row>
    <row r="3433" spans="1:11" x14ac:dyDescent="0.35">
      <c r="A3433" s="9" t="str">
        <f>HYPERLINK("http://www.ensembl.org/id/WBGene00022493", "WBGene00022493")</f>
        <v>WBGene00022493</v>
      </c>
      <c r="B3433" s="9" t="str">
        <f>HYPERLINK("http://www.ncbi.nlm.nih.gov/gene/191044", "191044")</f>
        <v>191044</v>
      </c>
      <c r="C3433" s="9"/>
      <c r="D3433" t="str">
        <f>"mrpl-45"</f>
        <v>mrpl-45</v>
      </c>
      <c r="E3433" t="s">
        <v>2758</v>
      </c>
      <c r="F3433" t="s">
        <v>11</v>
      </c>
      <c r="G3433" t="s">
        <v>2759</v>
      </c>
      <c r="H3433" s="12">
        <v>-1.46525081457842</v>
      </c>
      <c r="I3433" s="20">
        <v>-1.5745235328096101</v>
      </c>
      <c r="J3433" s="28">
        <v>0.11536646543783299</v>
      </c>
      <c r="K3433" s="29">
        <v>0.77693312457201302</v>
      </c>
    </row>
    <row r="3434" spans="1:11" x14ac:dyDescent="0.35">
      <c r="A3434" s="9" t="str">
        <f>HYPERLINK("http://www.ensembl.org/id/WBGene00044006", "WBGene00044006")</f>
        <v>WBGene00044006</v>
      </c>
      <c r="B3434" s="9" t="str">
        <f>HYPERLINK("http://www.ncbi.nlm.nih.gov/gene/3565573", "3565573")</f>
        <v>3565573</v>
      </c>
      <c r="C3434" s="9"/>
      <c r="D3434" t="str">
        <f>"nlp-82"</f>
        <v>nlp-82</v>
      </c>
      <c r="E3434" t="s">
        <v>76</v>
      </c>
      <c r="F3434" t="s">
        <v>11</v>
      </c>
      <c r="G3434" t="s">
        <v>183</v>
      </c>
      <c r="H3434" s="12">
        <v>1.5545370890354</v>
      </c>
      <c r="I3434" s="20">
        <v>1.5740752809485199</v>
      </c>
      <c r="J3434" s="28">
        <v>0.115470046510083</v>
      </c>
      <c r="K3434" s="29">
        <v>0.77740410683624195</v>
      </c>
    </row>
    <row r="3435" spans="1:11" x14ac:dyDescent="0.35">
      <c r="A3435" s="9" t="str">
        <f>HYPERLINK("http://www.ensembl.org/id/WBGene00045077", "WBGene00045077")</f>
        <v>WBGene00045077</v>
      </c>
      <c r="B3435" s="9"/>
      <c r="C3435" s="9"/>
      <c r="D3435" t="str">
        <f>"Y71A12B.18"</f>
        <v>Y71A12B.18</v>
      </c>
      <c r="F3435" t="s">
        <v>80</v>
      </c>
      <c r="H3435" s="12">
        <v>1.5144786550261899</v>
      </c>
      <c r="I3435" s="20">
        <v>1.57356091079105</v>
      </c>
      <c r="J3435" s="28">
        <v>0.115588996139488</v>
      </c>
      <c r="K3435" s="29">
        <v>0.77797825365540496</v>
      </c>
    </row>
    <row r="3436" spans="1:11" x14ac:dyDescent="0.35">
      <c r="A3436" s="9" t="str">
        <f>HYPERLINK("http://www.ensembl.org/id/WBGene00000523", "WBGene00000523")</f>
        <v>WBGene00000523</v>
      </c>
      <c r="B3436" s="9" t="str">
        <f>HYPERLINK("http://www.ncbi.nlm.nih.gov/gene/180999", "180999")</f>
        <v>180999</v>
      </c>
      <c r="C3436" s="9"/>
      <c r="D3436" t="str">
        <f>"clc-2"</f>
        <v>clc-2</v>
      </c>
      <c r="E3436" t="s">
        <v>2760</v>
      </c>
      <c r="F3436" t="s">
        <v>11</v>
      </c>
      <c r="G3436" t="s">
        <v>1268</v>
      </c>
      <c r="H3436" s="12">
        <v>1.58731319962927</v>
      </c>
      <c r="I3436" s="20">
        <v>1.57302403991603</v>
      </c>
      <c r="J3436" s="28">
        <v>0.115713251855491</v>
      </c>
      <c r="K3436" s="29">
        <v>0.778052655900489</v>
      </c>
    </row>
    <row r="3437" spans="1:11" x14ac:dyDescent="0.35">
      <c r="A3437" s="9" t="str">
        <f>HYPERLINK("http://www.ensembl.org/id/WBGene00000787", "WBGene00000787")</f>
        <v>WBGene00000787</v>
      </c>
      <c r="B3437" s="9" t="str">
        <f>HYPERLINK("http://www.ncbi.nlm.nih.gov/gene/172045", "172045")</f>
        <v>172045</v>
      </c>
      <c r="C3437" s="9" t="str">
        <f>HYPERLINK("http://www.ncbi.nlm.nih.gov/gene/2021", "2021")</f>
        <v>2021</v>
      </c>
      <c r="D3437" t="str">
        <f>"cps-6"</f>
        <v>cps-6</v>
      </c>
      <c r="E3437" t="s">
        <v>2761</v>
      </c>
      <c r="F3437" t="s">
        <v>11</v>
      </c>
      <c r="G3437" t="s">
        <v>2762</v>
      </c>
      <c r="H3437" s="12">
        <v>-1.3703907098791901</v>
      </c>
      <c r="I3437" s="20">
        <v>-1.57267614128453</v>
      </c>
      <c r="J3437" s="28">
        <v>0.115793827070779</v>
      </c>
      <c r="K3437" s="29">
        <v>0.778052655900489</v>
      </c>
    </row>
    <row r="3438" spans="1:11" x14ac:dyDescent="0.35">
      <c r="A3438" s="9" t="str">
        <f>HYPERLINK("http://www.ensembl.org/id/WBGene00009984", "WBGene00009984")</f>
        <v>WBGene00009984</v>
      </c>
      <c r="B3438" s="9" t="str">
        <f>HYPERLINK("http://www.ncbi.nlm.nih.gov/gene/186170", "186170")</f>
        <v>186170</v>
      </c>
      <c r="C3438" s="9"/>
      <c r="D3438" t="str">
        <f>"F53F1.6"</f>
        <v>F53F1.6</v>
      </c>
      <c r="F3438" t="s">
        <v>11</v>
      </c>
      <c r="H3438" s="12">
        <v>-1.99569179771602</v>
      </c>
      <c r="I3438" s="20">
        <v>-1.57264047676964</v>
      </c>
      <c r="J3438" s="28">
        <v>0.115802089658175</v>
      </c>
      <c r="K3438" s="29">
        <v>0.778052655900489</v>
      </c>
    </row>
    <row r="3439" spans="1:11" x14ac:dyDescent="0.35">
      <c r="A3439" s="9" t="str">
        <f>HYPERLINK("http://www.ensembl.org/id/WBGene00013757", "WBGene00013757")</f>
        <v>WBGene00013757</v>
      </c>
      <c r="B3439" s="9" t="str">
        <f>HYPERLINK("http://www.ncbi.nlm.nih.gov/gene/190971", "190971")</f>
        <v>190971</v>
      </c>
      <c r="C3439" s="9"/>
      <c r="D3439" t="str">
        <f>"fbxa-113"</f>
        <v>fbxa-113</v>
      </c>
      <c r="E3439" t="s">
        <v>467</v>
      </c>
      <c r="F3439" t="s">
        <v>11</v>
      </c>
      <c r="G3439" t="s">
        <v>54</v>
      </c>
      <c r="H3439" s="12">
        <v>-28.333706552319299</v>
      </c>
      <c r="I3439" s="20">
        <v>-1.5726829950231</v>
      </c>
      <c r="J3439" s="28">
        <v>0.11579223928188501</v>
      </c>
      <c r="K3439" s="29">
        <v>0.778052655900489</v>
      </c>
    </row>
    <row r="3440" spans="1:11" x14ac:dyDescent="0.35">
      <c r="A3440" s="9" t="str">
        <f>HYPERLINK("http://www.ensembl.org/id/WBGene00020363", "WBGene00020363")</f>
        <v>WBGene00020363</v>
      </c>
      <c r="B3440" s="9" t="str">
        <f>HYPERLINK("http://www.ncbi.nlm.nih.gov/gene/188289", "188289")</f>
        <v>188289</v>
      </c>
      <c r="C3440" s="9"/>
      <c r="D3440" t="str">
        <f>"fbxa-3"</f>
        <v>fbxa-3</v>
      </c>
      <c r="E3440" t="s">
        <v>467</v>
      </c>
      <c r="F3440" t="s">
        <v>11</v>
      </c>
      <c r="G3440" t="s">
        <v>54</v>
      </c>
      <c r="H3440" s="12">
        <v>-1.50621659304607</v>
      </c>
      <c r="I3440" s="20">
        <v>-1.5729739344554201</v>
      </c>
      <c r="J3440" s="28">
        <v>0.115724853835071</v>
      </c>
      <c r="K3440" s="29">
        <v>0.778052655900489</v>
      </c>
    </row>
    <row r="3441" spans="1:11" x14ac:dyDescent="0.35">
      <c r="A3441" s="9" t="str">
        <f>HYPERLINK("http://www.ensembl.org/id/WBGene00022598", "WBGene00022598")</f>
        <v>WBGene00022598</v>
      </c>
      <c r="B3441" s="9" t="str">
        <f>HYPERLINK("http://www.ncbi.nlm.nih.gov/gene/175726", "175726")</f>
        <v>175726</v>
      </c>
      <c r="C3441" s="9"/>
      <c r="D3441" t="str">
        <f>"ztf-8"</f>
        <v>ztf-8</v>
      </c>
      <c r="E3441" t="s">
        <v>461</v>
      </c>
      <c r="F3441" t="s">
        <v>11</v>
      </c>
      <c r="G3441" t="s">
        <v>2763</v>
      </c>
      <c r="H3441" s="12">
        <v>-1.4129206639478999</v>
      </c>
      <c r="I3441" s="20">
        <v>-1.5727048439717299</v>
      </c>
      <c r="J3441" s="28">
        <v>0.115787177703502</v>
      </c>
      <c r="K3441" s="29">
        <v>0.778052655900489</v>
      </c>
    </row>
    <row r="3442" spans="1:11" x14ac:dyDescent="0.35">
      <c r="A3442" s="9" t="str">
        <f>HYPERLINK("http://www.ensembl.org/id/WBGene00001594", "WBGene00001594")</f>
        <v>WBGene00001594</v>
      </c>
      <c r="B3442" s="9" t="str">
        <f>HYPERLINK("http://www.ncbi.nlm.nih.gov/gene/182971", "182971")</f>
        <v>182971</v>
      </c>
      <c r="C3442" s="9"/>
      <c r="D3442" t="str">
        <f>"glc-4"</f>
        <v>glc-4</v>
      </c>
      <c r="E3442" t="s">
        <v>2764</v>
      </c>
      <c r="F3442" t="s">
        <v>11</v>
      </c>
      <c r="G3442" t="s">
        <v>506</v>
      </c>
      <c r="H3442" s="12">
        <v>1.5417598780141899</v>
      </c>
      <c r="I3442" s="20">
        <v>1.5723207119472999</v>
      </c>
      <c r="J3442" s="28">
        <v>0.115876191978056</v>
      </c>
      <c r="K3442" s="29">
        <v>0.77832421274562602</v>
      </c>
    </row>
    <row r="3443" spans="1:11" x14ac:dyDescent="0.35">
      <c r="A3443" s="9" t="str">
        <f>HYPERLINK("http://www.ensembl.org/id/WBGene00012461", "WBGene00012461")</f>
        <v>WBGene00012461</v>
      </c>
      <c r="B3443" s="9" t="str">
        <f>HYPERLINK("http://www.ncbi.nlm.nih.gov/gene/189454", "189454")</f>
        <v>189454</v>
      </c>
      <c r="C3443" s="9"/>
      <c r="D3443" t="str">
        <f>"glb-29"</f>
        <v>glb-29</v>
      </c>
      <c r="E3443" t="s">
        <v>633</v>
      </c>
      <c r="F3443" t="s">
        <v>11</v>
      </c>
      <c r="G3443" t="s">
        <v>867</v>
      </c>
      <c r="H3443" s="12">
        <v>1.5590464393552801</v>
      </c>
      <c r="I3443" s="20">
        <v>1.57114678525447</v>
      </c>
      <c r="J3443" s="28">
        <v>0.116148557446864</v>
      </c>
      <c r="K3443" s="29">
        <v>0.77971231427134502</v>
      </c>
    </row>
    <row r="3444" spans="1:11" x14ac:dyDescent="0.35">
      <c r="A3444" s="9" t="str">
        <f>HYPERLINK("http://www.ensembl.org/id/WBGene00020509", "WBGene00020509")</f>
        <v>WBGene00020509</v>
      </c>
      <c r="B3444" s="9" t="str">
        <f>HYPERLINK("http://www.ncbi.nlm.nih.gov/gene/180533", "180533")</f>
        <v>180533</v>
      </c>
      <c r="C3444" s="9" t="str">
        <f>HYPERLINK("http://www.ncbi.nlm.nih.gov/gene/3074", "3074")</f>
        <v>3074</v>
      </c>
      <c r="D3444" t="str">
        <f>"hex-1"</f>
        <v>hex-1</v>
      </c>
      <c r="E3444" t="s">
        <v>2767</v>
      </c>
      <c r="F3444" t="s">
        <v>11</v>
      </c>
      <c r="G3444" t="s">
        <v>2768</v>
      </c>
      <c r="H3444" s="12">
        <v>-1.38880335965609</v>
      </c>
      <c r="I3444" s="20">
        <v>-1.5711227825976899</v>
      </c>
      <c r="J3444" s="28">
        <v>0.116154131602866</v>
      </c>
      <c r="K3444" s="29">
        <v>0.77971231427134502</v>
      </c>
    </row>
    <row r="3445" spans="1:11" x14ac:dyDescent="0.35">
      <c r="A3445" s="9" t="str">
        <f>HYPERLINK("http://www.ensembl.org/id/WBGene00012500", "WBGene00012500")</f>
        <v>WBGene00012500</v>
      </c>
      <c r="B3445" s="9" t="str">
        <f>HYPERLINK("http://www.ncbi.nlm.nih.gov/gene/173178", "173178")</f>
        <v>173178</v>
      </c>
      <c r="C3445" s="9"/>
      <c r="D3445" t="str">
        <f>"hpo-2"</f>
        <v>hpo-2</v>
      </c>
      <c r="F3445" t="s">
        <v>11</v>
      </c>
      <c r="H3445" s="12">
        <v>4.8530479678414196</v>
      </c>
      <c r="I3445" s="20">
        <v>1.5708561521886999</v>
      </c>
      <c r="J3445" s="28">
        <v>0.11621606553225799</v>
      </c>
      <c r="K3445" s="29">
        <v>0.77971231427134502</v>
      </c>
    </row>
    <row r="3446" spans="1:11" x14ac:dyDescent="0.35">
      <c r="A3446" s="9" t="str">
        <f>HYPERLINK("http://www.ensembl.org/id/WBGene00003952", "WBGene00003952")</f>
        <v>WBGene00003952</v>
      </c>
      <c r="B3446" s="9" t="str">
        <f>HYPERLINK("http://www.ncbi.nlm.nih.gov/gene/176161", "176161")</f>
        <v>176161</v>
      </c>
      <c r="C3446" s="9" t="str">
        <f>HYPERLINK("http://www.ncbi.nlm.nih.gov/gene/5689", "5689")</f>
        <v>5689</v>
      </c>
      <c r="D3446" t="str">
        <f>"pbs-6"</f>
        <v>pbs-6</v>
      </c>
      <c r="E3446" t="s">
        <v>2765</v>
      </c>
      <c r="F3446" t="s">
        <v>11</v>
      </c>
      <c r="G3446" t="s">
        <v>2766</v>
      </c>
      <c r="H3446" s="12">
        <v>-1.3376875801538</v>
      </c>
      <c r="I3446" s="20">
        <v>-1.5708485519957101</v>
      </c>
      <c r="J3446" s="28">
        <v>0.116217831314399</v>
      </c>
      <c r="K3446" s="29">
        <v>0.77971231427134502</v>
      </c>
    </row>
    <row r="3447" spans="1:11" x14ac:dyDescent="0.35">
      <c r="A3447" s="9" t="str">
        <f>HYPERLINK("http://www.ensembl.org/id/WBGene00007207", "WBGene00007207")</f>
        <v>WBGene00007207</v>
      </c>
      <c r="B3447" s="9" t="str">
        <f>HYPERLINK("http://www.ncbi.nlm.nih.gov/gene/178263", "178263")</f>
        <v>178263</v>
      </c>
      <c r="C3447" s="9"/>
      <c r="D3447" t="str">
        <f>"B0564.7"</f>
        <v>B0564.7</v>
      </c>
      <c r="F3447" t="s">
        <v>11</v>
      </c>
      <c r="G3447" t="s">
        <v>2770</v>
      </c>
      <c r="H3447" s="12">
        <v>-1.3892081057693</v>
      </c>
      <c r="I3447" s="20">
        <v>-1.5702827504196</v>
      </c>
      <c r="J3447" s="28">
        <v>0.11634934538925799</v>
      </c>
      <c r="K3447" s="29">
        <v>0.77995570986004104</v>
      </c>
    </row>
    <row r="3448" spans="1:11" x14ac:dyDescent="0.35">
      <c r="A3448" s="9" t="str">
        <f>HYPERLINK("http://www.ensembl.org/id/WBGene00009857", "WBGene00009857")</f>
        <v>WBGene00009857</v>
      </c>
      <c r="B3448" s="9" t="str">
        <f>HYPERLINK("http://www.ncbi.nlm.nih.gov/gene/186005", "186005")</f>
        <v>186005</v>
      </c>
      <c r="C3448" s="9"/>
      <c r="D3448" t="str">
        <f>"clec-28"</f>
        <v>clec-28</v>
      </c>
      <c r="E3448" t="s">
        <v>46</v>
      </c>
      <c r="F3448" t="s">
        <v>11</v>
      </c>
      <c r="G3448" t="s">
        <v>2771</v>
      </c>
      <c r="H3448" s="12">
        <v>-7.4352569645089304</v>
      </c>
      <c r="I3448" s="20">
        <v>-1.57011167827583</v>
      </c>
      <c r="J3448" s="28">
        <v>0.11638913215603799</v>
      </c>
      <c r="K3448" s="29">
        <v>0.77995570986004104</v>
      </c>
    </row>
    <row r="3449" spans="1:11" x14ac:dyDescent="0.35">
      <c r="A3449" s="9" t="str">
        <f>HYPERLINK("http://www.ensembl.org/id/WBGene00000870", "WBGene00000870")</f>
        <v>WBGene00000870</v>
      </c>
      <c r="B3449" s="9" t="str">
        <f>HYPERLINK("http://www.ncbi.nlm.nih.gov/gene/174941", "174941")</f>
        <v>174941</v>
      </c>
      <c r="C3449" s="9"/>
      <c r="D3449" t="str">
        <f>"cyd-1"</f>
        <v>cyd-1</v>
      </c>
      <c r="E3449" t="s">
        <v>2769</v>
      </c>
      <c r="F3449" t="s">
        <v>11</v>
      </c>
      <c r="H3449" s="12">
        <v>1.5137618255213099</v>
      </c>
      <c r="I3449" s="20">
        <v>1.5702421715595001</v>
      </c>
      <c r="J3449" s="28">
        <v>0.11635878197083099</v>
      </c>
      <c r="K3449" s="29">
        <v>0.77995570986004104</v>
      </c>
    </row>
    <row r="3450" spans="1:11" x14ac:dyDescent="0.35">
      <c r="A3450" s="9" t="str">
        <f>HYPERLINK("http://www.ensembl.org/id/WBGene00018176", "WBGene00018176")</f>
        <v>WBGene00018176</v>
      </c>
      <c r="B3450" s="9" t="str">
        <f>HYPERLINK("http://www.ncbi.nlm.nih.gov/gene/185455", "185455")</f>
        <v>185455</v>
      </c>
      <c r="C3450" s="9"/>
      <c r="D3450" t="str">
        <f>"F38B6.7"</f>
        <v>F38B6.7</v>
      </c>
      <c r="F3450" t="s">
        <v>11</v>
      </c>
      <c r="H3450" s="12">
        <v>7.4089800701284299</v>
      </c>
      <c r="I3450" s="20">
        <v>1.5701804917047699</v>
      </c>
      <c r="J3450" s="28">
        <v>0.11637312672351401</v>
      </c>
      <c r="K3450" s="29">
        <v>0.77995570986004104</v>
      </c>
    </row>
    <row r="3451" spans="1:11" x14ac:dyDescent="0.35">
      <c r="A3451" s="9" t="str">
        <f>HYPERLINK("http://www.ensembl.org/id/WBGene00000965", "WBGene00000965")</f>
        <v>WBGene00000965</v>
      </c>
      <c r="B3451" s="9" t="str">
        <f>HYPERLINK("http://www.ncbi.nlm.nih.gov/gene/172172", "172172")</f>
        <v>172172</v>
      </c>
      <c r="C3451" s="9"/>
      <c r="D3451" t="str">
        <f>"dhs-1"</f>
        <v>dhs-1</v>
      </c>
      <c r="E3451" t="s">
        <v>488</v>
      </c>
      <c r="F3451" t="s">
        <v>11</v>
      </c>
      <c r="G3451" t="s">
        <v>489</v>
      </c>
      <c r="H3451" s="12">
        <v>-1.36497465248332</v>
      </c>
      <c r="I3451" s="20">
        <v>-1.5696837757581099</v>
      </c>
      <c r="J3451" s="28">
        <v>0.116488697547527</v>
      </c>
      <c r="K3451" s="29">
        <v>0.78039659192031197</v>
      </c>
    </row>
    <row r="3452" spans="1:11" x14ac:dyDescent="0.35">
      <c r="A3452" s="9" t="str">
        <f>HYPERLINK("http://www.ensembl.org/id/WBGene00044698", "WBGene00044698")</f>
        <v>WBGene00044698</v>
      </c>
      <c r="B3452" s="9" t="str">
        <f>HYPERLINK("http://www.ncbi.nlm.nih.gov/gene/4363114", "4363114")</f>
        <v>4363114</v>
      </c>
      <c r="C3452" s="9"/>
      <c r="D3452" t="str">
        <f>"K09F5.6"</f>
        <v>K09F5.6</v>
      </c>
      <c r="F3452" t="s">
        <v>11</v>
      </c>
      <c r="G3452" t="s">
        <v>25</v>
      </c>
      <c r="H3452" s="12">
        <v>1.4154137167776899</v>
      </c>
      <c r="I3452" s="20">
        <v>1.56871530514805</v>
      </c>
      <c r="J3452" s="28">
        <v>0.11671429071704</v>
      </c>
      <c r="K3452" s="29">
        <v>0.78104722075491195</v>
      </c>
    </row>
    <row r="3453" spans="1:11" x14ac:dyDescent="0.35">
      <c r="A3453" s="9" t="str">
        <f>HYPERLINK("http://www.ensembl.org/id/WBGene00017280", "WBGene00017280")</f>
        <v>WBGene00017280</v>
      </c>
      <c r="B3453" s="9" t="str">
        <f>HYPERLINK("http://www.ncbi.nlm.nih.gov/gene/173606", "173606")</f>
        <v>173606</v>
      </c>
      <c r="C3453" s="9" t="str">
        <f>HYPERLINK("http://www.ncbi.nlm.nih.gov/gene/10713", "10713")</f>
        <v>10713</v>
      </c>
      <c r="D3453" t="str">
        <f>"usp-39"</f>
        <v>usp-39</v>
      </c>
      <c r="E3453" t="s">
        <v>2774</v>
      </c>
      <c r="F3453" t="s">
        <v>11</v>
      </c>
      <c r="G3453" t="s">
        <v>2775</v>
      </c>
      <c r="H3453" s="12">
        <v>-1.3844962346589</v>
      </c>
      <c r="I3453" s="20">
        <v>-1.5686864082949801</v>
      </c>
      <c r="J3453" s="28">
        <v>0.116721027147352</v>
      </c>
      <c r="K3453" s="29">
        <v>0.78104722075491195</v>
      </c>
    </row>
    <row r="3454" spans="1:11" x14ac:dyDescent="0.35">
      <c r="A3454" s="9" t="str">
        <f>HYPERLINK("http://www.ensembl.org/id/WBGene00022274", "WBGene00022274")</f>
        <v>WBGene00022274</v>
      </c>
      <c r="B3454" s="9" t="str">
        <f>HYPERLINK("http://www.ncbi.nlm.nih.gov/gene/171726", "171726")</f>
        <v>171726</v>
      </c>
      <c r="C3454" s="9"/>
      <c r="D3454" t="str">
        <f>"Y73E7A.8"</f>
        <v>Y73E7A.8</v>
      </c>
      <c r="F3454" t="s">
        <v>11</v>
      </c>
      <c r="G3454" t="s">
        <v>2772</v>
      </c>
      <c r="H3454" s="12">
        <v>1.9052088140635599</v>
      </c>
      <c r="I3454" s="20">
        <v>1.56911140604699</v>
      </c>
      <c r="J3454" s="28">
        <v>0.11662198250836101</v>
      </c>
      <c r="K3454" s="29">
        <v>0.78104722075491195</v>
      </c>
    </row>
    <row r="3455" spans="1:11" x14ac:dyDescent="0.35">
      <c r="A3455" s="9" t="str">
        <f>HYPERLINK("http://www.ensembl.org/id/WBGene00014017", "WBGene00014017")</f>
        <v>WBGene00014017</v>
      </c>
      <c r="B3455" s="9" t="str">
        <f>HYPERLINK("http://www.ncbi.nlm.nih.gov/gene/176395", "176395")</f>
        <v>176395</v>
      </c>
      <c r="C3455" s="9"/>
      <c r="D3455" t="str">
        <f>"ZK632.10"</f>
        <v>ZK632.10</v>
      </c>
      <c r="E3455" t="s">
        <v>2773</v>
      </c>
      <c r="F3455" t="s">
        <v>11</v>
      </c>
      <c r="G3455" t="s">
        <v>25</v>
      </c>
      <c r="H3455" s="12">
        <v>-1.33400011955861</v>
      </c>
      <c r="I3455" s="20">
        <v>-1.5687150794399201</v>
      </c>
      <c r="J3455" s="28">
        <v>0.11671434333290399</v>
      </c>
      <c r="K3455" s="29">
        <v>0.78104722075491195</v>
      </c>
    </row>
    <row r="3456" spans="1:11" x14ac:dyDescent="0.35">
      <c r="A3456" s="9" t="str">
        <f>HYPERLINK("http://www.ensembl.org/id/WBGene00016973", "WBGene00016973")</f>
        <v>WBGene00016973</v>
      </c>
      <c r="B3456" s="9" t="str">
        <f>HYPERLINK("http://www.ncbi.nlm.nih.gov/gene/174078", "174078")</f>
        <v>174078</v>
      </c>
      <c r="C3456" s="9"/>
      <c r="D3456" t="str">
        <f>"abch-1"</f>
        <v>abch-1</v>
      </c>
      <c r="E3456" t="s">
        <v>2776</v>
      </c>
      <c r="F3456" t="s">
        <v>11</v>
      </c>
      <c r="G3456" t="s">
        <v>2777</v>
      </c>
      <c r="H3456" s="12">
        <v>2.14245015742789</v>
      </c>
      <c r="I3456" s="20">
        <v>1.56849944789315</v>
      </c>
      <c r="J3456" s="28">
        <v>0.11676461870945901</v>
      </c>
      <c r="K3456" s="29">
        <v>0.78111270408244404</v>
      </c>
    </row>
    <row r="3457" spans="1:11" x14ac:dyDescent="0.35">
      <c r="A3457" s="9" t="str">
        <f>HYPERLINK("http://www.ensembl.org/id/WBGene00044236", "WBGene00044236")</f>
        <v>WBGene00044236</v>
      </c>
      <c r="B3457" s="9" t="str">
        <f>HYPERLINK("http://www.ncbi.nlm.nih.gov/gene/3565408", "3565408")</f>
        <v>3565408</v>
      </c>
      <c r="C3457" s="9"/>
      <c r="D3457" t="str">
        <f>"C17E4.11"</f>
        <v>C17E4.11</v>
      </c>
      <c r="F3457" t="s">
        <v>11</v>
      </c>
      <c r="G3457" t="s">
        <v>2778</v>
      </c>
      <c r="H3457" s="12">
        <v>-1.62915553227466</v>
      </c>
      <c r="I3457" s="20">
        <v>-1.56816587622802</v>
      </c>
      <c r="J3457" s="28">
        <v>0.11684242581165501</v>
      </c>
      <c r="K3457" s="29">
        <v>0.78120889508626501</v>
      </c>
    </row>
    <row r="3458" spans="1:11" x14ac:dyDescent="0.35">
      <c r="A3458" s="9" t="str">
        <f>HYPERLINK("http://www.ensembl.org/id/WBGene00006668", "WBGene00006668")</f>
        <v>WBGene00006668</v>
      </c>
      <c r="B3458" s="9" t="str">
        <f>HYPERLINK("http://www.ncbi.nlm.nih.gov/gene/192077", "192077")</f>
        <v>192077</v>
      </c>
      <c r="C3458" s="9"/>
      <c r="D3458" t="str">
        <f>"twk-13"</f>
        <v>twk-13</v>
      </c>
      <c r="E3458" t="s">
        <v>894</v>
      </c>
      <c r="F3458" t="s">
        <v>11</v>
      </c>
      <c r="G3458" t="s">
        <v>895</v>
      </c>
      <c r="H3458" s="12">
        <v>1.4758450408035899</v>
      </c>
      <c r="I3458" s="20">
        <v>1.5681479112036001</v>
      </c>
      <c r="J3458" s="28">
        <v>0.11684661739020701</v>
      </c>
      <c r="K3458" s="29">
        <v>0.78120889508626501</v>
      </c>
    </row>
    <row r="3459" spans="1:11" x14ac:dyDescent="0.35">
      <c r="A3459" s="9" t="str">
        <f>HYPERLINK("http://www.ensembl.org/id/WBGene00009277", "WBGene00009277")</f>
        <v>WBGene00009277</v>
      </c>
      <c r="B3459" s="9" t="str">
        <f>HYPERLINK("http://www.ncbi.nlm.nih.gov/gene/3565178", "3565178")</f>
        <v>3565178</v>
      </c>
      <c r="C3459" s="9" t="str">
        <f>HYPERLINK("http://www.ncbi.nlm.nih.gov/gene/79903", "79903")</f>
        <v>79903</v>
      </c>
      <c r="D3459" t="str">
        <f>"F30F8.10"</f>
        <v>F30F8.10</v>
      </c>
      <c r="F3459" t="s">
        <v>11</v>
      </c>
      <c r="G3459" t="s">
        <v>2779</v>
      </c>
      <c r="H3459" s="12">
        <v>-1.3776424580892901</v>
      </c>
      <c r="I3459" s="20">
        <v>-1.5676283498261501</v>
      </c>
      <c r="J3459" s="28">
        <v>0.11696789194457501</v>
      </c>
      <c r="K3459" s="29">
        <v>0.78135231800712901</v>
      </c>
    </row>
    <row r="3460" spans="1:11" x14ac:dyDescent="0.35">
      <c r="A3460" s="9" t="str">
        <f>HYPERLINK("http://www.ensembl.org/id/WBGene00019215", "WBGene00019215")</f>
        <v>WBGene00019215</v>
      </c>
      <c r="B3460" s="9" t="str">
        <f>HYPERLINK("http://www.ncbi.nlm.nih.gov/gene/177448", "177448")</f>
        <v>177448</v>
      </c>
      <c r="C3460" s="9"/>
      <c r="D3460" t="str">
        <f>"H20E11.3"</f>
        <v>H20E11.3</v>
      </c>
      <c r="F3460" t="s">
        <v>11</v>
      </c>
      <c r="G3460" t="s">
        <v>264</v>
      </c>
      <c r="H3460" s="12">
        <v>-3.2408771821638598</v>
      </c>
      <c r="I3460" s="20">
        <v>-1.5676463173581401</v>
      </c>
      <c r="J3460" s="28">
        <v>0.116963696364563</v>
      </c>
      <c r="K3460" s="29">
        <v>0.78135231800712901</v>
      </c>
    </row>
    <row r="3461" spans="1:11" x14ac:dyDescent="0.35">
      <c r="A3461" s="9" t="str">
        <f>HYPERLINK("http://www.ensembl.org/id/WBGene00011028", "WBGene00011028")</f>
        <v>WBGene00011028</v>
      </c>
      <c r="B3461" s="9" t="str">
        <f>HYPERLINK("http://www.ncbi.nlm.nih.gov/gene/173095", "173095")</f>
        <v>173095</v>
      </c>
      <c r="C3461" s="9"/>
      <c r="D3461" t="str">
        <f>"R05D7.3"</f>
        <v>R05D7.3</v>
      </c>
      <c r="F3461" t="s">
        <v>11</v>
      </c>
      <c r="G3461" t="s">
        <v>25</v>
      </c>
      <c r="H3461" s="12">
        <v>1.6039866626453301</v>
      </c>
      <c r="I3461" s="20">
        <v>1.5676213891606099</v>
      </c>
      <c r="J3461" s="28">
        <v>0.11696951735422199</v>
      </c>
      <c r="K3461" s="29">
        <v>0.78135231800712901</v>
      </c>
    </row>
    <row r="3462" spans="1:11" x14ac:dyDescent="0.35">
      <c r="A3462" s="9" t="str">
        <f>HYPERLINK("http://www.ensembl.org/id/WBGene00000136", "WBGene00000136")</f>
        <v>WBGene00000136</v>
      </c>
      <c r="B3462" s="9" t="str">
        <f>HYPERLINK("http://www.ncbi.nlm.nih.gov/gene/180728", "180728")</f>
        <v>180728</v>
      </c>
      <c r="C3462" s="9"/>
      <c r="D3462" t="str">
        <f>"amt-4"</f>
        <v>amt-4</v>
      </c>
      <c r="E3462" t="s">
        <v>2780</v>
      </c>
      <c r="F3462" t="s">
        <v>11</v>
      </c>
      <c r="G3462" t="s">
        <v>2781</v>
      </c>
      <c r="H3462" s="12">
        <v>1.38408139879147</v>
      </c>
      <c r="I3462" s="20">
        <v>1.5672239313465099</v>
      </c>
      <c r="J3462" s="28">
        <v>0.11706235855911</v>
      </c>
      <c r="K3462" s="29">
        <v>0.78174649042393196</v>
      </c>
    </row>
    <row r="3463" spans="1:11" x14ac:dyDescent="0.35">
      <c r="A3463" s="9" t="str">
        <f>HYPERLINK("http://www.ensembl.org/id/WBGene00016460", "WBGene00016460")</f>
        <v>WBGene00016460</v>
      </c>
      <c r="B3463" s="9" t="str">
        <f>HYPERLINK("http://www.ncbi.nlm.nih.gov/gene/183245", "183245")</f>
        <v>183245</v>
      </c>
      <c r="C3463" s="9"/>
      <c r="D3463" t="str">
        <f>"C35E7.8"</f>
        <v>C35E7.8</v>
      </c>
      <c r="F3463" t="s">
        <v>11</v>
      </c>
      <c r="G3463" t="s">
        <v>2783</v>
      </c>
      <c r="H3463" s="12">
        <v>-1.6402361490195401</v>
      </c>
      <c r="I3463" s="20">
        <v>-1.5666804033097399</v>
      </c>
      <c r="J3463" s="28">
        <v>0.117189413602966</v>
      </c>
      <c r="K3463" s="29">
        <v>0.78214286271234301</v>
      </c>
    </row>
    <row r="3464" spans="1:11" x14ac:dyDescent="0.35">
      <c r="A3464" s="9" t="str">
        <f>HYPERLINK("http://www.ensembl.org/id/WBGene00001556", "WBGene00001556")</f>
        <v>WBGene00001556</v>
      </c>
      <c r="B3464" s="9" t="str">
        <f>HYPERLINK("http://www.ncbi.nlm.nih.gov/gene/191657", "191657")</f>
        <v>191657</v>
      </c>
      <c r="C3464" s="9" t="str">
        <f>HYPERLINK("http://www.ncbi.nlm.nih.gov/gene/2983", "2983")</f>
        <v>2983</v>
      </c>
      <c r="D3464" t="str">
        <f>"gcy-36"</f>
        <v>gcy-36</v>
      </c>
      <c r="E3464" t="s">
        <v>2782</v>
      </c>
      <c r="F3464" t="s">
        <v>11</v>
      </c>
      <c r="G3464" t="s">
        <v>819</v>
      </c>
      <c r="H3464" s="12">
        <v>1.8247301186064599</v>
      </c>
      <c r="I3464" s="20">
        <v>1.5667605944074099</v>
      </c>
      <c r="J3464" s="28">
        <v>0.117170661337048</v>
      </c>
      <c r="K3464" s="29">
        <v>0.78214286271234301</v>
      </c>
    </row>
    <row r="3465" spans="1:11" x14ac:dyDescent="0.35">
      <c r="A3465" s="9" t="str">
        <f>HYPERLINK("http://www.ensembl.org/id/WBGene00013897", "WBGene00013897")</f>
        <v>WBGene00013897</v>
      </c>
      <c r="B3465" s="9" t="str">
        <f>HYPERLINK("http://www.ncbi.nlm.nih.gov/gene/179757", "179757")</f>
        <v>179757</v>
      </c>
      <c r="C3465" s="9"/>
      <c r="D3465" t="str">
        <f>"ZC443.2"</f>
        <v>ZC443.2</v>
      </c>
      <c r="F3465" t="s">
        <v>11</v>
      </c>
      <c r="H3465" s="12">
        <v>-1.48151581081962</v>
      </c>
      <c r="I3465" s="20">
        <v>-1.5665214764509101</v>
      </c>
      <c r="J3465" s="28">
        <v>0.11722658477388199</v>
      </c>
      <c r="K3465" s="29">
        <v>0.78216502101799301</v>
      </c>
    </row>
    <row r="3466" spans="1:11" x14ac:dyDescent="0.35">
      <c r="A3466" s="9" t="str">
        <f>HYPERLINK("http://www.ensembl.org/id/WBGene00011590", "WBGene00011590")</f>
        <v>WBGene00011590</v>
      </c>
      <c r="B3466" s="9" t="str">
        <f>HYPERLINK("http://www.ncbi.nlm.nih.gov/gene/179766", "179766")</f>
        <v>179766</v>
      </c>
      <c r="C3466" s="9" t="str">
        <f>HYPERLINK("http://www.ncbi.nlm.nih.gov/gene/90407", "90407")</f>
        <v>90407</v>
      </c>
      <c r="D3466" t="str">
        <f>"bus-19"</f>
        <v>bus-19</v>
      </c>
      <c r="F3466" t="s">
        <v>11</v>
      </c>
      <c r="G3466" t="s">
        <v>25</v>
      </c>
      <c r="H3466" s="12">
        <v>1.4703121469496601</v>
      </c>
      <c r="I3466" s="20">
        <v>1.5654416397879001</v>
      </c>
      <c r="J3466" s="28">
        <v>0.11747939134833101</v>
      </c>
      <c r="K3466" s="29">
        <v>0.78308624530099502</v>
      </c>
    </row>
    <row r="3467" spans="1:11" x14ac:dyDescent="0.35">
      <c r="A3467" s="9" t="str">
        <f>HYPERLINK("http://www.ensembl.org/id/WBGene00008918", "WBGene00008918")</f>
        <v>WBGene00008918</v>
      </c>
      <c r="B3467" s="9" t="str">
        <f>HYPERLINK("http://www.ncbi.nlm.nih.gov/gene/179519", "179519")</f>
        <v>179519</v>
      </c>
      <c r="C3467" s="9"/>
      <c r="D3467" t="str">
        <f>"F17C11.7"</f>
        <v>F17C11.7</v>
      </c>
      <c r="F3467" t="s">
        <v>11</v>
      </c>
      <c r="G3467" t="s">
        <v>2014</v>
      </c>
      <c r="H3467" s="12">
        <v>-1.37647547471457</v>
      </c>
      <c r="I3467" s="20">
        <v>-1.565208163653</v>
      </c>
      <c r="J3467" s="28">
        <v>0.117534107967794</v>
      </c>
      <c r="K3467" s="29">
        <v>0.78308624530099502</v>
      </c>
    </row>
    <row r="3468" spans="1:11" x14ac:dyDescent="0.35">
      <c r="A3468" s="9" t="str">
        <f>HYPERLINK("http://www.ensembl.org/id/WBGene00003611", "WBGene00003611")</f>
        <v>WBGene00003611</v>
      </c>
      <c r="B3468" s="9" t="str">
        <f>HYPERLINK("http://www.ncbi.nlm.nih.gov/gene/179403", "179403")</f>
        <v>179403</v>
      </c>
      <c r="C3468" s="9"/>
      <c r="D3468" t="str">
        <f>"nhr-12"</f>
        <v>nhr-12</v>
      </c>
      <c r="E3468" t="s">
        <v>2788</v>
      </c>
      <c r="F3468" t="s">
        <v>11</v>
      </c>
      <c r="G3468" t="s">
        <v>2789</v>
      </c>
      <c r="H3468" s="12">
        <v>-1.4323043460157601</v>
      </c>
      <c r="I3468" s="20">
        <v>-1.56531783744982</v>
      </c>
      <c r="J3468" s="28">
        <v>0.117508402724399</v>
      </c>
      <c r="K3468" s="29">
        <v>0.78308624530099502</v>
      </c>
    </row>
    <row r="3469" spans="1:11" x14ac:dyDescent="0.35">
      <c r="A3469" s="9" t="str">
        <f>HYPERLINK("http://www.ensembl.org/id/WBGene00003844", "WBGene00003844")</f>
        <v>WBGene00003844</v>
      </c>
      <c r="B3469" s="9" t="str">
        <f>HYPERLINK("http://www.ncbi.nlm.nih.gov/gene/179079", "179079")</f>
        <v>179079</v>
      </c>
      <c r="C3469" s="9" t="str">
        <f>HYPERLINK("http://www.ncbi.nlm.nih.gov/gene/4953", "4953")</f>
        <v>4953</v>
      </c>
      <c r="D3469" t="str">
        <f>"odc-1"</f>
        <v>odc-1</v>
      </c>
      <c r="E3469" t="s">
        <v>2786</v>
      </c>
      <c r="F3469" t="s">
        <v>11</v>
      </c>
      <c r="G3469" t="s">
        <v>2787</v>
      </c>
      <c r="H3469" s="12">
        <v>1.36278125588208</v>
      </c>
      <c r="I3469" s="20">
        <v>1.5654131044840001</v>
      </c>
      <c r="J3469" s="28">
        <v>0.11748607770594</v>
      </c>
      <c r="K3469" s="29">
        <v>0.78308624530099502</v>
      </c>
    </row>
    <row r="3470" spans="1:11" x14ac:dyDescent="0.35">
      <c r="A3470" s="9" t="str">
        <f>HYPERLINK("http://www.ensembl.org/id/WBGene00006576", "WBGene00006576")</f>
        <v>WBGene00006576</v>
      </c>
      <c r="B3470" s="9" t="str">
        <f>HYPERLINK("http://www.ncbi.nlm.nih.gov/gene/192055", "192055")</f>
        <v>192055</v>
      </c>
      <c r="C3470" s="9"/>
      <c r="D3470" t="str">
        <f>"tkr-1"</f>
        <v>tkr-1</v>
      </c>
      <c r="E3470" t="s">
        <v>2784</v>
      </c>
      <c r="F3470" t="s">
        <v>11</v>
      </c>
      <c r="G3470" t="s">
        <v>2785</v>
      </c>
      <c r="H3470" s="12">
        <v>1.7468306020953599</v>
      </c>
      <c r="I3470" s="20">
        <v>1.5654875882661199</v>
      </c>
      <c r="J3470" s="28">
        <v>0.117468625384628</v>
      </c>
      <c r="K3470" s="29">
        <v>0.78308624530099502</v>
      </c>
    </row>
    <row r="3471" spans="1:11" x14ac:dyDescent="0.35">
      <c r="A3471" s="9" t="str">
        <f>HYPERLINK("http://www.ensembl.org/id/WBGene00303068", "WBGene00303068")</f>
        <v>WBGene00303068</v>
      </c>
      <c r="B3471" s="9" t="str">
        <f>HYPERLINK("http://www.ncbi.nlm.nih.gov/gene/36805027", "36805027")</f>
        <v>36805027</v>
      </c>
      <c r="C3471" s="9"/>
      <c r="D3471" t="str">
        <f>"K08F8.15"</f>
        <v>K08F8.15</v>
      </c>
      <c r="F3471" t="s">
        <v>11</v>
      </c>
      <c r="H3471" s="12">
        <v>1.5984866775647</v>
      </c>
      <c r="I3471" s="20">
        <v>1.56479438414362</v>
      </c>
      <c r="J3471" s="28">
        <v>0.117631128963916</v>
      </c>
      <c r="K3471" s="29">
        <v>0.78330583277858301</v>
      </c>
    </row>
    <row r="3472" spans="1:11" x14ac:dyDescent="0.35">
      <c r="A3472" s="9" t="str">
        <f>HYPERLINK("http://www.ensembl.org/id/WBGene00044289", "WBGene00044289")</f>
        <v>WBGene00044289</v>
      </c>
      <c r="B3472" s="9" t="str">
        <f>HYPERLINK("http://www.ncbi.nlm.nih.gov/gene/3565857", "3565857")</f>
        <v>3565857</v>
      </c>
      <c r="C3472" s="9"/>
      <c r="D3472" t="str">
        <f>"Y37F4.8"</f>
        <v>Y37F4.8</v>
      </c>
      <c r="F3472" t="s">
        <v>11</v>
      </c>
      <c r="H3472" s="12">
        <v>2.1529011166382799</v>
      </c>
      <c r="I3472" s="20">
        <v>1.56477844683436</v>
      </c>
      <c r="J3472" s="28">
        <v>0.117634867122898</v>
      </c>
      <c r="K3472" s="29">
        <v>0.78330583277858301</v>
      </c>
    </row>
    <row r="3473" spans="1:11" x14ac:dyDescent="0.35">
      <c r="A3473" s="9" t="str">
        <f>HYPERLINK("http://www.ensembl.org/id/WBGene00000482", "WBGene00000482")</f>
        <v>WBGene00000482</v>
      </c>
      <c r="B3473" s="9" t="str">
        <f>HYPERLINK("http://www.ncbi.nlm.nih.gov/gene/181421", "181421")</f>
        <v>181421</v>
      </c>
      <c r="C3473" s="9" t="str">
        <f>HYPERLINK("http://www.ncbi.nlm.nih.gov/gene/1108", "1108")</f>
        <v>1108</v>
      </c>
      <c r="D3473" t="str">
        <f>"chd-3"</f>
        <v>chd-3</v>
      </c>
      <c r="E3473" t="s">
        <v>2790</v>
      </c>
      <c r="F3473" t="s">
        <v>11</v>
      </c>
      <c r="G3473" t="s">
        <v>2791</v>
      </c>
      <c r="H3473" s="12">
        <v>1.33146094096304</v>
      </c>
      <c r="I3473" s="20">
        <v>1.5645628850117199</v>
      </c>
      <c r="J3473" s="28">
        <v>0.11768543716017001</v>
      </c>
      <c r="K3473" s="29">
        <v>0.78335364559704501</v>
      </c>
    </row>
    <row r="3474" spans="1:11" x14ac:dyDescent="0.35">
      <c r="A3474" s="9" t="str">
        <f>HYPERLINK("http://www.ensembl.org/id/WBGene00012387", "WBGene00012387")</f>
        <v>WBGene00012387</v>
      </c>
      <c r="B3474" s="9" t="str">
        <f>HYPERLINK("http://www.ncbi.nlm.nih.gov/gene/189366", "189366")</f>
        <v>189366</v>
      </c>
      <c r="C3474" s="9"/>
      <c r="D3474" t="str">
        <f>"Y6B3B.1"</f>
        <v>Y6B3B.1</v>
      </c>
      <c r="F3474" t="s">
        <v>11</v>
      </c>
      <c r="H3474" s="12">
        <v>-1.5292535041780999</v>
      </c>
      <c r="I3474" s="20">
        <v>-1.5644588362037699</v>
      </c>
      <c r="J3474" s="28">
        <v>0.117709852744436</v>
      </c>
      <c r="K3474" s="29">
        <v>0.78335364559704501</v>
      </c>
    </row>
    <row r="3475" spans="1:11" x14ac:dyDescent="0.35">
      <c r="A3475" s="9" t="str">
        <f>HYPERLINK("http://www.ensembl.org/id/WBGene00000111", "WBGene00000111")</f>
        <v>WBGene00000111</v>
      </c>
      <c r="B3475" s="9" t="str">
        <f>HYPERLINK("http://www.ncbi.nlm.nih.gov/gene/178680", "178680")</f>
        <v>178680</v>
      </c>
      <c r="C3475" s="9" t="str">
        <f>HYPERLINK("http://www.ncbi.nlm.nih.gov/gene/224", "224")</f>
        <v>224</v>
      </c>
      <c r="D3475" t="str">
        <f>"alh-5"</f>
        <v>alh-5</v>
      </c>
      <c r="E3475" t="s">
        <v>2792</v>
      </c>
      <c r="F3475" t="s">
        <v>11</v>
      </c>
      <c r="G3475" t="s">
        <v>2793</v>
      </c>
      <c r="H3475" s="12">
        <v>-1.50172238554328</v>
      </c>
      <c r="I3475" s="20">
        <v>-1.5643112157102399</v>
      </c>
      <c r="J3475" s="28">
        <v>0.117744499467252</v>
      </c>
      <c r="K3475" s="29">
        <v>0.78335859622525805</v>
      </c>
    </row>
    <row r="3476" spans="1:11" x14ac:dyDescent="0.35">
      <c r="A3476" s="9" t="str">
        <f>HYPERLINK("http://www.ensembl.org/id/WBGene00011625", "WBGene00011625")</f>
        <v>WBGene00011625</v>
      </c>
      <c r="B3476" s="9" t="str">
        <f>HYPERLINK("http://www.ncbi.nlm.nih.gov/gene/179902", "179902")</f>
        <v>179902</v>
      </c>
      <c r="C3476" s="9" t="str">
        <f>HYPERLINK("http://www.ncbi.nlm.nih.gov/gene/23339", "23339")</f>
        <v>23339</v>
      </c>
      <c r="D3476" t="str">
        <f>"vps-39"</f>
        <v>vps-39</v>
      </c>
      <c r="E3476" t="s">
        <v>2794</v>
      </c>
      <c r="F3476" t="s">
        <v>11</v>
      </c>
      <c r="G3476" t="s">
        <v>2795</v>
      </c>
      <c r="H3476" s="12">
        <v>-1.3620148542986299</v>
      </c>
      <c r="I3476" s="20">
        <v>-1.5640755035298799</v>
      </c>
      <c r="J3476" s="28">
        <v>0.117799838013443</v>
      </c>
      <c r="K3476" s="29">
        <v>0.78350116785797996</v>
      </c>
    </row>
    <row r="3477" spans="1:11" x14ac:dyDescent="0.35">
      <c r="A3477" s="9" t="str">
        <f>HYPERLINK("http://www.ensembl.org/id/WBGene00004272", "WBGene00004272")</f>
        <v>WBGene00004272</v>
      </c>
      <c r="B3477" s="9" t="str">
        <f>HYPERLINK("http://www.ncbi.nlm.nih.gov/gene/171935", "171935")</f>
        <v>171935</v>
      </c>
      <c r="C3477" s="9" t="str">
        <f>HYPERLINK("http://www.ncbi.nlm.nih.gov/gene/4218", "4218")</f>
        <v>4218</v>
      </c>
      <c r="D3477" t="str">
        <f>"rab-8"</f>
        <v>rab-8</v>
      </c>
      <c r="E3477" t="s">
        <v>2796</v>
      </c>
      <c r="F3477" t="s">
        <v>11</v>
      </c>
      <c r="G3477" t="s">
        <v>2797</v>
      </c>
      <c r="H3477" s="12">
        <v>-1.32851529668112</v>
      </c>
      <c r="I3477" s="20">
        <v>-1.5628205692566</v>
      </c>
      <c r="J3477" s="28">
        <v>0.11809480467526901</v>
      </c>
      <c r="K3477" s="29">
        <v>0.78523699477028897</v>
      </c>
    </row>
    <row r="3478" spans="1:11" x14ac:dyDescent="0.35">
      <c r="A3478" s="9" t="str">
        <f>HYPERLINK("http://www.ensembl.org/id/WBGene00018606", "WBGene00018606")</f>
        <v>WBGene00018606</v>
      </c>
      <c r="B3478" s="9" t="str">
        <f>HYPERLINK("http://www.ncbi.nlm.nih.gov/gene/181008", "181008")</f>
        <v>181008</v>
      </c>
      <c r="C3478" s="9"/>
      <c r="D3478" t="str">
        <f>"F48E3.6"</f>
        <v>F48E3.6</v>
      </c>
      <c r="F3478" t="s">
        <v>11</v>
      </c>
      <c r="G3478" t="s">
        <v>25</v>
      </c>
      <c r="H3478" s="12">
        <v>1.52673116350537</v>
      </c>
      <c r="I3478" s="20">
        <v>1.56256054536386</v>
      </c>
      <c r="J3478" s="28">
        <v>0.11815599452271799</v>
      </c>
      <c r="K3478" s="29">
        <v>0.78541783931010201</v>
      </c>
    </row>
    <row r="3479" spans="1:11" x14ac:dyDescent="0.35">
      <c r="A3479" s="9" t="str">
        <f>HYPERLINK("http://www.ensembl.org/id/WBGene00009523", "WBGene00009523")</f>
        <v>WBGene00009523</v>
      </c>
      <c r="B3479" s="9" t="str">
        <f>HYPERLINK("http://www.ncbi.nlm.nih.gov/gene/185440", "185440")</f>
        <v>185440</v>
      </c>
      <c r="C3479" s="9"/>
      <c r="D3479" t="str">
        <f>"clec-165"</f>
        <v>clec-165</v>
      </c>
      <c r="E3479" t="s">
        <v>46</v>
      </c>
      <c r="F3479" t="s">
        <v>11</v>
      </c>
      <c r="G3479" t="s">
        <v>47</v>
      </c>
      <c r="H3479" s="12">
        <v>-4.8022084165923804</v>
      </c>
      <c r="I3479" s="20">
        <v>-1.56170985011298</v>
      </c>
      <c r="J3479" s="28">
        <v>0.118356357270004</v>
      </c>
      <c r="K3479" s="29">
        <v>0.78563157936049099</v>
      </c>
    </row>
    <row r="3480" spans="1:11" x14ac:dyDescent="0.35">
      <c r="A3480" s="9" t="str">
        <f>HYPERLINK("http://www.ensembl.org/id/WBGene00001251", "WBGene00001251")</f>
        <v>WBGene00001251</v>
      </c>
      <c r="B3480" s="9" t="str">
        <f>HYPERLINK("http://www.ncbi.nlm.nih.gov/gene/181503", "181503")</f>
        <v>181503</v>
      </c>
      <c r="C3480" s="9"/>
      <c r="D3480" t="str">
        <f>"elt-3"</f>
        <v>elt-3</v>
      </c>
      <c r="E3480" t="s">
        <v>2800</v>
      </c>
      <c r="F3480" t="s">
        <v>11</v>
      </c>
      <c r="G3480" t="s">
        <v>2801</v>
      </c>
      <c r="H3480" s="12">
        <v>1.4120409471618001</v>
      </c>
      <c r="I3480" s="20">
        <v>1.56213223446968</v>
      </c>
      <c r="J3480" s="28">
        <v>0.11825684054860899</v>
      </c>
      <c r="K3480" s="29">
        <v>0.78563157936049099</v>
      </c>
    </row>
    <row r="3481" spans="1:11" x14ac:dyDescent="0.35">
      <c r="A3481" s="9" t="str">
        <f>HYPERLINK("http://www.ensembl.org/id/WBGene00017835", "WBGene00017835")</f>
        <v>WBGene00017835</v>
      </c>
      <c r="B3481" s="9" t="str">
        <f>HYPERLINK("http://www.ncbi.nlm.nih.gov/gene/178975", "178975")</f>
        <v>178975</v>
      </c>
      <c r="C3481" s="9"/>
      <c r="D3481" t="str">
        <f>"F26F12.4"</f>
        <v>F26F12.4</v>
      </c>
      <c r="F3481" t="s">
        <v>11</v>
      </c>
      <c r="G3481" t="s">
        <v>25</v>
      </c>
      <c r="H3481" s="12">
        <v>1.9394345652751599</v>
      </c>
      <c r="I3481" s="20">
        <v>1.56204780511279</v>
      </c>
      <c r="J3481" s="28">
        <v>0.11827672744823001</v>
      </c>
      <c r="K3481" s="29">
        <v>0.78563157936049099</v>
      </c>
    </row>
    <row r="3482" spans="1:11" x14ac:dyDescent="0.35">
      <c r="A3482" s="9" t="str">
        <f>HYPERLINK("http://www.ensembl.org/id/WBGene00017176", "WBGene00017176")</f>
        <v>WBGene00017176</v>
      </c>
      <c r="B3482" s="9" t="str">
        <f>HYPERLINK("http://www.ncbi.nlm.nih.gov/gene/184090", "184090")</f>
        <v>184090</v>
      </c>
      <c r="C3482" s="9"/>
      <c r="D3482" t="str">
        <f>"nmur-3"</f>
        <v>nmur-3</v>
      </c>
      <c r="E3482" t="s">
        <v>2798</v>
      </c>
      <c r="F3482" t="s">
        <v>11</v>
      </c>
      <c r="G3482" t="s">
        <v>2799</v>
      </c>
      <c r="H3482" s="12">
        <v>1.69128643278209</v>
      </c>
      <c r="I3482" s="20">
        <v>1.5617022227770401</v>
      </c>
      <c r="J3482" s="28">
        <v>0.11835815492745901</v>
      </c>
      <c r="K3482" s="29">
        <v>0.78563157936049099</v>
      </c>
    </row>
    <row r="3483" spans="1:11" x14ac:dyDescent="0.35">
      <c r="A3483" s="9" t="str">
        <f>HYPERLINK("http://www.ensembl.org/id/WBGene00008995", "WBGene00008995")</f>
        <v>WBGene00008995</v>
      </c>
      <c r="B3483" s="9" t="str">
        <f>HYPERLINK("http://www.ncbi.nlm.nih.gov/gene/184750", "184750")</f>
        <v>184750</v>
      </c>
      <c r="C3483" s="9"/>
      <c r="D3483" t="str">
        <f>"prde-1"</f>
        <v>prde-1</v>
      </c>
      <c r="E3483" t="s">
        <v>2802</v>
      </c>
      <c r="F3483" t="s">
        <v>11</v>
      </c>
      <c r="H3483" s="12">
        <v>-1.74966657624737</v>
      </c>
      <c r="I3483" s="20">
        <v>-1.5618354745027001</v>
      </c>
      <c r="J3483" s="28">
        <v>0.118326752421616</v>
      </c>
      <c r="K3483" s="29">
        <v>0.78563157936049099</v>
      </c>
    </row>
    <row r="3484" spans="1:11" x14ac:dyDescent="0.35">
      <c r="A3484" s="9" t="str">
        <f>HYPERLINK("http://www.ensembl.org/id/WBGene00006449", "WBGene00006449")</f>
        <v>WBGene00006449</v>
      </c>
      <c r="B3484" s="9" t="str">
        <f>HYPERLINK("http://www.ncbi.nlm.nih.gov/gene/176400", "176400")</f>
        <v>176400</v>
      </c>
      <c r="C3484" s="9"/>
      <c r="D3484" t="str">
        <f>"alg-4"</f>
        <v>alg-4</v>
      </c>
      <c r="F3484" t="s">
        <v>11</v>
      </c>
      <c r="G3484" t="s">
        <v>2803</v>
      </c>
      <c r="H3484" s="12">
        <v>2.84226837013219</v>
      </c>
      <c r="I3484" s="20">
        <v>1.56135501236639</v>
      </c>
      <c r="J3484" s="28">
        <v>0.118440010289296</v>
      </c>
      <c r="K3484" s="29">
        <v>0.78575778155805598</v>
      </c>
    </row>
    <row r="3485" spans="1:11" x14ac:dyDescent="0.35">
      <c r="A3485" s="9" t="str">
        <f>HYPERLINK("http://www.ensembl.org/id/WBGene00016711", "WBGene00016711")</f>
        <v>WBGene00016711</v>
      </c>
      <c r="B3485" s="9" t="str">
        <f>HYPERLINK("http://www.ncbi.nlm.nih.gov/gene/173714", "173714")</f>
        <v>173714</v>
      </c>
      <c r="C3485" s="9"/>
      <c r="D3485" t="str">
        <f>"fbxc-53"</f>
        <v>fbxc-53</v>
      </c>
      <c r="E3485" t="s">
        <v>311</v>
      </c>
      <c r="F3485" t="s">
        <v>11</v>
      </c>
      <c r="G3485" t="s">
        <v>54</v>
      </c>
      <c r="H3485" s="12">
        <v>2.86241964688009</v>
      </c>
      <c r="I3485" s="20">
        <v>1.5611888979709501</v>
      </c>
      <c r="J3485" s="28">
        <v>0.118479187697925</v>
      </c>
      <c r="K3485" s="29">
        <v>0.78575778155805598</v>
      </c>
    </row>
    <row r="3486" spans="1:11" x14ac:dyDescent="0.35">
      <c r="A3486" s="9" t="str">
        <f>HYPERLINK("http://www.ensembl.org/id/WBGene00002240", "WBGene00002240")</f>
        <v>WBGene00002240</v>
      </c>
      <c r="B3486" s="9" t="str">
        <f>HYPERLINK("http://www.ncbi.nlm.nih.gov/gene/173085", "173085")</f>
        <v>173085</v>
      </c>
      <c r="C3486" s="9"/>
      <c r="D3486" t="str">
        <f>"ksr-2"</f>
        <v>ksr-2</v>
      </c>
      <c r="E3486" t="s">
        <v>2804</v>
      </c>
      <c r="F3486" t="s">
        <v>11</v>
      </c>
      <c r="G3486" t="s">
        <v>2805</v>
      </c>
      <c r="H3486" s="12">
        <v>-1.36232026072889</v>
      </c>
      <c r="I3486" s="20">
        <v>-1.56128444445591</v>
      </c>
      <c r="J3486" s="28">
        <v>0.11845665220434599</v>
      </c>
      <c r="K3486" s="29">
        <v>0.78575778155805598</v>
      </c>
    </row>
    <row r="3487" spans="1:11" x14ac:dyDescent="0.35">
      <c r="A3487" s="9" t="str">
        <f>HYPERLINK("http://www.ensembl.org/id/WBGene00019653", "WBGene00019653")</f>
        <v>WBGene00019653</v>
      </c>
      <c r="B3487" s="9" t="str">
        <f>HYPERLINK("http://www.ncbi.nlm.nih.gov/gene/187304", "187304")</f>
        <v>187304</v>
      </c>
      <c r="C3487" s="9"/>
      <c r="D3487" t="str">
        <f>"K11G9.2"</f>
        <v>K11G9.2</v>
      </c>
      <c r="E3487" t="s">
        <v>383</v>
      </c>
      <c r="F3487" t="s">
        <v>11</v>
      </c>
      <c r="G3487" t="s">
        <v>2185</v>
      </c>
      <c r="H3487" s="12">
        <v>-1.9581618943361001</v>
      </c>
      <c r="I3487" s="20">
        <v>-1.56069736959185</v>
      </c>
      <c r="J3487" s="28">
        <v>0.118595172203095</v>
      </c>
      <c r="K3487" s="29">
        <v>0.78607574553204396</v>
      </c>
    </row>
    <row r="3488" spans="1:11" x14ac:dyDescent="0.35">
      <c r="A3488" s="9" t="str">
        <f>HYPERLINK("http://www.ensembl.org/id/WBGene00012234", "WBGene00012234")</f>
        <v>WBGene00012234</v>
      </c>
      <c r="B3488" s="9" t="str">
        <f>HYPERLINK("http://www.ncbi.nlm.nih.gov/gene/173238", "173238")</f>
        <v>173238</v>
      </c>
      <c r="C3488" s="9"/>
      <c r="D3488" t="str">
        <f>"W04A4.5"</f>
        <v>W04A4.5</v>
      </c>
      <c r="F3488" t="s">
        <v>11</v>
      </c>
      <c r="G3488" t="s">
        <v>2806</v>
      </c>
      <c r="H3488" s="12">
        <v>-1.3823622169733301</v>
      </c>
      <c r="I3488" s="20">
        <v>-1.56082390536301</v>
      </c>
      <c r="J3488" s="28">
        <v>0.118565305423611</v>
      </c>
      <c r="K3488" s="29">
        <v>0.78607574553204396</v>
      </c>
    </row>
    <row r="3489" spans="1:11" x14ac:dyDescent="0.35">
      <c r="A3489" s="9" t="str">
        <f>HYPERLINK("http://www.ensembl.org/id/WBGene00006585", "WBGene00006585")</f>
        <v>WBGene00006585</v>
      </c>
      <c r="B3489" s="9" t="str">
        <f>HYPERLINK("http://www.ncbi.nlm.nih.gov/gene/180127", "180127")</f>
        <v>180127</v>
      </c>
      <c r="C3489" s="9"/>
      <c r="D3489" t="str">
        <f>"tni-3"</f>
        <v>tni-3</v>
      </c>
      <c r="E3489" t="s">
        <v>2807</v>
      </c>
      <c r="F3489" t="s">
        <v>11</v>
      </c>
      <c r="G3489" t="s">
        <v>2808</v>
      </c>
      <c r="H3489" s="12">
        <v>1.33675258211403</v>
      </c>
      <c r="I3489" s="20">
        <v>1.56032235241928</v>
      </c>
      <c r="J3489" s="28">
        <v>0.11868372376130799</v>
      </c>
      <c r="K3489" s="29">
        <v>0.78643708667300705</v>
      </c>
    </row>
    <row r="3490" spans="1:11" x14ac:dyDescent="0.35">
      <c r="A3490" s="9" t="str">
        <f>HYPERLINK("http://www.ensembl.org/id/WBGene00003055", "WBGene00003055")</f>
        <v>WBGene00003055</v>
      </c>
      <c r="B3490" s="9" t="str">
        <f>HYPERLINK("http://www.ncbi.nlm.nih.gov/gene/175753", "175753")</f>
        <v>175753</v>
      </c>
      <c r="C3490" s="9"/>
      <c r="D3490" t="str">
        <f>"lon-1"</f>
        <v>lon-1</v>
      </c>
      <c r="F3490" t="s">
        <v>11</v>
      </c>
      <c r="G3490" t="s">
        <v>2809</v>
      </c>
      <c r="H3490" s="12">
        <v>1.4384876338332</v>
      </c>
      <c r="I3490" s="20">
        <v>1.55964631769332</v>
      </c>
      <c r="J3490" s="28">
        <v>0.118843484538897</v>
      </c>
      <c r="K3490" s="29">
        <v>0.78686063672517303</v>
      </c>
    </row>
    <row r="3491" spans="1:11" x14ac:dyDescent="0.35">
      <c r="A3491" s="9" t="str">
        <f>HYPERLINK("http://www.ensembl.org/id/WBGene00018680", "WBGene00018680")</f>
        <v>WBGene00018680</v>
      </c>
      <c r="B3491" s="9" t="str">
        <f>HYPERLINK("http://www.ncbi.nlm.nih.gov/gene/176994", "176994")</f>
        <v>176994</v>
      </c>
      <c r="C3491" s="9"/>
      <c r="D3491" t="str">
        <f>"tsen-54"</f>
        <v>tsen-54</v>
      </c>
      <c r="E3491" t="s">
        <v>2812</v>
      </c>
      <c r="F3491" t="s">
        <v>11</v>
      </c>
      <c r="G3491" t="s">
        <v>2813</v>
      </c>
      <c r="H3491" s="12">
        <v>-1.62721636932711</v>
      </c>
      <c r="I3491" s="20">
        <v>-1.55961958194372</v>
      </c>
      <c r="J3491" s="28">
        <v>0.118849806204919</v>
      </c>
      <c r="K3491" s="29">
        <v>0.78686063672517303</v>
      </c>
    </row>
    <row r="3492" spans="1:11" x14ac:dyDescent="0.35">
      <c r="A3492" s="9" t="str">
        <f>HYPERLINK("http://www.ensembl.org/id/WBGene00022862", "WBGene00022862")</f>
        <v>WBGene00022862</v>
      </c>
      <c r="B3492" s="9" t="str">
        <f>HYPERLINK("http://www.ncbi.nlm.nih.gov/gene/176191", "176191")</f>
        <v>176191</v>
      </c>
      <c r="C3492" s="9" t="str">
        <f>HYPERLINK("http://www.ncbi.nlm.nih.gov/gene/60558", "60558")</f>
        <v>60558</v>
      </c>
      <c r="D3492" t="str">
        <f>"ZK1236.1"</f>
        <v>ZK1236.1</v>
      </c>
      <c r="E3492" t="s">
        <v>2810</v>
      </c>
      <c r="F3492" t="s">
        <v>11</v>
      </c>
      <c r="G3492" t="s">
        <v>2811</v>
      </c>
      <c r="H3492" s="12">
        <v>-1.47691177789952</v>
      </c>
      <c r="I3492" s="20">
        <v>-1.5598538687565999</v>
      </c>
      <c r="J3492" s="28">
        <v>0.11879441807079601</v>
      </c>
      <c r="K3492" s="29">
        <v>0.78686063672517303</v>
      </c>
    </row>
    <row r="3493" spans="1:11" x14ac:dyDescent="0.35">
      <c r="A3493" s="9" t="str">
        <f>HYPERLINK("http://www.ensembl.org/id/WBGene00000531", "WBGene00000531")</f>
        <v>WBGene00000531</v>
      </c>
      <c r="B3493" s="9" t="str">
        <f>HYPERLINK("http://www.ncbi.nlm.nih.gov/gene/180687", "180687")</f>
        <v>180687</v>
      </c>
      <c r="C3493" s="9" t="str">
        <f>HYPERLINK("http://www.ncbi.nlm.nih.gov/gene/1181", "1181")</f>
        <v>1181</v>
      </c>
      <c r="D3493" t="str">
        <f>"clh-4"</f>
        <v>clh-4</v>
      </c>
      <c r="E3493" t="s">
        <v>1074</v>
      </c>
      <c r="F3493" t="s">
        <v>11</v>
      </c>
      <c r="G3493" t="s">
        <v>1075</v>
      </c>
      <c r="H3493" s="12">
        <v>-1.9763569000807499</v>
      </c>
      <c r="I3493" s="20">
        <v>-1.55942334801661</v>
      </c>
      <c r="J3493" s="28">
        <v>0.11889621377076701</v>
      </c>
      <c r="K3493" s="29">
        <v>0.78694239913702102</v>
      </c>
    </row>
    <row r="3494" spans="1:11" x14ac:dyDescent="0.35">
      <c r="A3494" s="9" t="str">
        <f>HYPERLINK("http://www.ensembl.org/id/WBGene00017947", "WBGene00017947")</f>
        <v>WBGene00017947</v>
      </c>
      <c r="B3494" s="9" t="str">
        <f>HYPERLINK("http://www.ncbi.nlm.nih.gov/gene/173752", "173752")</f>
        <v>173752</v>
      </c>
      <c r="C3494" s="9"/>
      <c r="D3494" t="str">
        <f>"mth-2"</f>
        <v>mth-2</v>
      </c>
      <c r="E3494" t="s">
        <v>2814</v>
      </c>
      <c r="F3494" t="s">
        <v>11</v>
      </c>
      <c r="G3494" t="s">
        <v>2815</v>
      </c>
      <c r="H3494" s="12">
        <v>1.5182917317695499</v>
      </c>
      <c r="I3494" s="20">
        <v>1.55927504500657</v>
      </c>
      <c r="J3494" s="28">
        <v>0.11893129552722299</v>
      </c>
      <c r="K3494" s="29">
        <v>0.78694917366896</v>
      </c>
    </row>
    <row r="3495" spans="1:11" x14ac:dyDescent="0.35">
      <c r="A3495" s="9" t="str">
        <f>HYPERLINK("http://www.ensembl.org/id/WBGene00000777", "WBGene00000777")</f>
        <v>WBGene00000777</v>
      </c>
      <c r="B3495" s="9" t="str">
        <f>HYPERLINK("http://www.ncbi.nlm.nih.gov/gene/172660", "172660")</f>
        <v>172660</v>
      </c>
      <c r="C3495" s="9"/>
      <c r="D3495" t="str">
        <f>"cpn-1"</f>
        <v>cpn-1</v>
      </c>
      <c r="E3495" t="s">
        <v>2816</v>
      </c>
      <c r="F3495" t="s">
        <v>11</v>
      </c>
      <c r="G3495" t="s">
        <v>54</v>
      </c>
      <c r="H3495" s="12">
        <v>-1.3297127049697399</v>
      </c>
      <c r="I3495" s="20">
        <v>-1.55897913068007</v>
      </c>
      <c r="J3495" s="28">
        <v>0.119001319663704</v>
      </c>
      <c r="K3495" s="29">
        <v>0.78718708621515798</v>
      </c>
    </row>
    <row r="3496" spans="1:11" x14ac:dyDescent="0.35">
      <c r="A3496" s="9" t="str">
        <f>HYPERLINK("http://www.ensembl.org/id/WBGene00007378", "WBGene00007378")</f>
        <v>WBGene00007378</v>
      </c>
      <c r="B3496" s="9" t="str">
        <f>HYPERLINK("http://www.ncbi.nlm.nih.gov/gene/174487", "174487")</f>
        <v>174487</v>
      </c>
      <c r="C3496" s="9"/>
      <c r="D3496" t="str">
        <f>"lido-17"</f>
        <v>lido-17</v>
      </c>
      <c r="F3496" t="s">
        <v>11</v>
      </c>
      <c r="G3496" t="s">
        <v>2817</v>
      </c>
      <c r="H3496" s="12">
        <v>1.5362575592771099</v>
      </c>
      <c r="I3496" s="20">
        <v>1.5586795141723</v>
      </c>
      <c r="J3496" s="28">
        <v>0.119072252791697</v>
      </c>
      <c r="K3496" s="29">
        <v>0.78743087378504895</v>
      </c>
    </row>
    <row r="3497" spans="1:11" x14ac:dyDescent="0.35">
      <c r="A3497" s="9" t="str">
        <f>HYPERLINK("http://www.ensembl.org/id/WBGene00020151", "WBGene00020151")</f>
        <v>WBGene00020151</v>
      </c>
      <c r="B3497" s="9" t="str">
        <f>HYPERLINK("http://www.ncbi.nlm.nih.gov/gene/187961", "187961")</f>
        <v>187961</v>
      </c>
      <c r="C3497" s="9"/>
      <c r="D3497" t="str">
        <f>"T01G6.1"</f>
        <v>T01G6.1</v>
      </c>
      <c r="F3497" t="s">
        <v>11</v>
      </c>
      <c r="G3497" t="s">
        <v>489</v>
      </c>
      <c r="H3497" s="12">
        <v>4.3414588037554704</v>
      </c>
      <c r="I3497" s="20">
        <v>1.5584606596983801</v>
      </c>
      <c r="J3497" s="28">
        <v>0.119124086739548</v>
      </c>
      <c r="K3497" s="29">
        <v>0.78754825413562402</v>
      </c>
    </row>
    <row r="3498" spans="1:11" x14ac:dyDescent="0.35">
      <c r="A3498" s="9" t="str">
        <f>HYPERLINK("http://www.ensembl.org/id/WBGene00015147", "WBGene00015147")</f>
        <v>WBGene00015147</v>
      </c>
      <c r="B3498" s="9" t="str">
        <f>HYPERLINK("http://www.ncbi.nlm.nih.gov/gene/175792", "175792")</f>
        <v>175792</v>
      </c>
      <c r="C3498" s="9"/>
      <c r="D3498" t="str">
        <f>"B0336.7"</f>
        <v>B0336.7</v>
      </c>
      <c r="F3498" t="s">
        <v>11</v>
      </c>
      <c r="G3498" t="s">
        <v>2818</v>
      </c>
      <c r="H3498" s="12">
        <v>-1.4264792550412</v>
      </c>
      <c r="I3498" s="20">
        <v>-1.5579707867917001</v>
      </c>
      <c r="J3498" s="28">
        <v>0.119240173346584</v>
      </c>
      <c r="K3498" s="29">
        <v>0.78765612720060996</v>
      </c>
    </row>
    <row r="3499" spans="1:11" x14ac:dyDescent="0.35">
      <c r="A3499" s="9" t="str">
        <f>HYPERLINK("http://www.ensembl.org/id/WBGene00016894", "WBGene00016894")</f>
        <v>WBGene00016894</v>
      </c>
      <c r="B3499" s="9" t="str">
        <f>HYPERLINK("http://www.ncbi.nlm.nih.gov/gene/180957", "180957")</f>
        <v>180957</v>
      </c>
      <c r="C3499" s="9"/>
      <c r="D3499" t="str">
        <f>"C53B7.3"</f>
        <v>C53B7.3</v>
      </c>
      <c r="F3499" t="s">
        <v>11</v>
      </c>
      <c r="H3499" s="12">
        <v>1.3502025484628699</v>
      </c>
      <c r="I3499" s="20">
        <v>1.55787856773554</v>
      </c>
      <c r="J3499" s="28">
        <v>0.11926203667627</v>
      </c>
      <c r="K3499" s="29">
        <v>0.78765612720060996</v>
      </c>
    </row>
    <row r="3500" spans="1:11" x14ac:dyDescent="0.35">
      <c r="A3500" s="9" t="str">
        <f>HYPERLINK("http://www.ensembl.org/id/WBGene00017948", "WBGene00017948")</f>
        <v>WBGene00017948</v>
      </c>
      <c r="B3500" s="9" t="str">
        <f>HYPERLINK("http://www.ncbi.nlm.nih.gov/gene/185152", "185152")</f>
        <v>185152</v>
      </c>
      <c r="C3500" s="9"/>
      <c r="D3500" t="str">
        <f>"mth-1"</f>
        <v>mth-1</v>
      </c>
      <c r="E3500" t="s">
        <v>2814</v>
      </c>
      <c r="F3500" t="s">
        <v>11</v>
      </c>
      <c r="G3500" t="s">
        <v>2815</v>
      </c>
      <c r="H3500" s="12">
        <v>-1.6061354962164001</v>
      </c>
      <c r="I3500" s="20">
        <v>-1.5580393851865599</v>
      </c>
      <c r="J3500" s="28">
        <v>0.119223912049707</v>
      </c>
      <c r="K3500" s="29">
        <v>0.78765612720060996</v>
      </c>
    </row>
    <row r="3501" spans="1:11" x14ac:dyDescent="0.35">
      <c r="A3501" s="9" t="str">
        <f>HYPERLINK("http://www.ensembl.org/id/WBGene00003734", "WBGene00003734")</f>
        <v>WBGene00003734</v>
      </c>
      <c r="B3501" s="9" t="str">
        <f>HYPERLINK("http://www.ncbi.nlm.nih.gov/gene/186511", "186511")</f>
        <v>186511</v>
      </c>
      <c r="C3501" s="9"/>
      <c r="D3501" t="str">
        <f>"nhx-6"</f>
        <v>nhx-6</v>
      </c>
      <c r="E3501" t="s">
        <v>2819</v>
      </c>
      <c r="F3501" t="s">
        <v>11</v>
      </c>
      <c r="G3501" t="s">
        <v>2820</v>
      </c>
      <c r="H3501" s="12">
        <v>-10.338476512648899</v>
      </c>
      <c r="I3501" s="20">
        <v>-1.5578164775524601</v>
      </c>
      <c r="J3501" s="28">
        <v>0.119276758810479</v>
      </c>
      <c r="K3501" s="29">
        <v>0.78765612720060996</v>
      </c>
    </row>
    <row r="3502" spans="1:11" x14ac:dyDescent="0.35">
      <c r="A3502" s="9" t="str">
        <f>HYPERLINK("http://www.ensembl.org/id/WBGene00013239", "WBGene00013239")</f>
        <v>WBGene00013239</v>
      </c>
      <c r="B3502" s="9" t="str">
        <f>HYPERLINK("http://www.ncbi.nlm.nih.gov/gene/176627", "176627")</f>
        <v>176627</v>
      </c>
      <c r="C3502" s="9"/>
      <c r="D3502" t="str">
        <f>"Y56A3A.22"</f>
        <v>Y56A3A.22</v>
      </c>
      <c r="F3502" t="s">
        <v>11</v>
      </c>
      <c r="G3502" t="s">
        <v>1263</v>
      </c>
      <c r="H3502" s="12">
        <v>-1.3813625537991401</v>
      </c>
      <c r="I3502" s="20">
        <v>-1.5574059339908199</v>
      </c>
      <c r="J3502" s="28">
        <v>0.119374138178893</v>
      </c>
      <c r="K3502" s="29">
        <v>0.78807395336042696</v>
      </c>
    </row>
    <row r="3503" spans="1:11" x14ac:dyDescent="0.35">
      <c r="A3503" s="9" t="str">
        <f>HYPERLINK("http://www.ensembl.org/id/WBGene00021626", "WBGene00021626")</f>
        <v>WBGene00021626</v>
      </c>
      <c r="B3503" s="9" t="str">
        <f>HYPERLINK("http://www.ncbi.nlm.nih.gov/gene/178842", "178842")</f>
        <v>178842</v>
      </c>
      <c r="C3503" s="9" t="str">
        <f>HYPERLINK("http://www.ncbi.nlm.nih.gov/gene/113278", "113278")</f>
        <v>113278</v>
      </c>
      <c r="D3503" t="str">
        <f>"rft-2"</f>
        <v>rft-2</v>
      </c>
      <c r="E3503" t="s">
        <v>2821</v>
      </c>
      <c r="F3503" t="s">
        <v>11</v>
      </c>
      <c r="G3503" t="s">
        <v>2822</v>
      </c>
      <c r="H3503" s="12">
        <v>-1.41967099964038</v>
      </c>
      <c r="I3503" s="20">
        <v>-1.55711981575569</v>
      </c>
      <c r="J3503" s="28">
        <v>0.119442041161253</v>
      </c>
      <c r="K3503" s="29">
        <v>0.78829700173433503</v>
      </c>
    </row>
    <row r="3504" spans="1:11" x14ac:dyDescent="0.35">
      <c r="A3504" s="9" t="str">
        <f>HYPERLINK("http://www.ensembl.org/id/WBGene00000492", "WBGene00000492")</f>
        <v>WBGene00000492</v>
      </c>
      <c r="B3504" s="9" t="str">
        <f>HYPERLINK("http://www.ncbi.nlm.nih.gov/gene/186607", "186607")</f>
        <v>186607</v>
      </c>
      <c r="C3504" s="9" t="str">
        <f>HYPERLINK("http://www.ncbi.nlm.nih.gov/gene/55081", "55081")</f>
        <v>55081</v>
      </c>
      <c r="D3504" t="str">
        <f>"che-13"</f>
        <v>che-13</v>
      </c>
      <c r="E3504" t="s">
        <v>2823</v>
      </c>
      <c r="F3504" t="s">
        <v>11</v>
      </c>
      <c r="H3504" s="12">
        <v>1.8918868757343199</v>
      </c>
      <c r="I3504" s="20">
        <v>1.55695279768767</v>
      </c>
      <c r="J3504" s="28">
        <v>0.11948169269450901</v>
      </c>
      <c r="K3504" s="29">
        <v>0.78833352124480705</v>
      </c>
    </row>
    <row r="3505" spans="1:11" x14ac:dyDescent="0.35">
      <c r="A3505" s="9" t="str">
        <f>HYPERLINK("http://www.ensembl.org/id/WBGene00006423", "WBGene00006423")</f>
        <v>WBGene00006423</v>
      </c>
      <c r="B3505" s="9" t="str">
        <f>HYPERLINK("http://www.ncbi.nlm.nih.gov/gene/188703", "188703")</f>
        <v>188703</v>
      </c>
      <c r="C3505" s="9"/>
      <c r="D3505" t="str">
        <f>"asd-2"</f>
        <v>asd-2</v>
      </c>
      <c r="E3505" t="s">
        <v>2824</v>
      </c>
      <c r="F3505" t="s">
        <v>11</v>
      </c>
      <c r="G3505" t="s">
        <v>2825</v>
      </c>
      <c r="H3505" s="12">
        <v>1.35050543911136</v>
      </c>
      <c r="I3505" s="20">
        <v>1.55669246071846</v>
      </c>
      <c r="J3505" s="28">
        <v>0.11954351950699001</v>
      </c>
      <c r="K3505" s="29">
        <v>0.78836521925950398</v>
      </c>
    </row>
    <row r="3506" spans="1:11" x14ac:dyDescent="0.35">
      <c r="A3506" s="9" t="str">
        <f>HYPERLINK("http://www.ensembl.org/id/WBGene00044556", "WBGene00044556")</f>
        <v>WBGene00044556</v>
      </c>
      <c r="B3506" s="9" t="str">
        <f>HYPERLINK("http://www.ncbi.nlm.nih.gov/gene/3896897", "3896897")</f>
        <v>3896897</v>
      </c>
      <c r="C3506" s="9"/>
      <c r="D3506" t="str">
        <f>"F38G1.3"</f>
        <v>F38G1.3</v>
      </c>
      <c r="F3506" t="s">
        <v>11</v>
      </c>
      <c r="G3506" t="s">
        <v>25</v>
      </c>
      <c r="H3506" s="12">
        <v>1.76052837346241</v>
      </c>
      <c r="I3506" s="20">
        <v>1.55664524254182</v>
      </c>
      <c r="J3506" s="28">
        <v>0.11955473592509699</v>
      </c>
      <c r="K3506" s="29">
        <v>0.78836521925950398</v>
      </c>
    </row>
    <row r="3507" spans="1:11" x14ac:dyDescent="0.35">
      <c r="A3507" s="9" t="str">
        <f>HYPERLINK("http://www.ensembl.org/id/WBGene00010189", "WBGene00010189")</f>
        <v>WBGene00010189</v>
      </c>
      <c r="B3507" s="9" t="str">
        <f>HYPERLINK("http://www.ncbi.nlm.nih.gov/gene/179805", "179805")</f>
        <v>179805</v>
      </c>
      <c r="C3507" s="9"/>
      <c r="D3507" t="str">
        <f>"F57B1.6"</f>
        <v>F57B1.6</v>
      </c>
      <c r="F3507" t="s">
        <v>11</v>
      </c>
      <c r="G3507" t="s">
        <v>25</v>
      </c>
      <c r="H3507" s="12">
        <v>1.83327540226523</v>
      </c>
      <c r="I3507" s="20">
        <v>1.5563001762277699</v>
      </c>
      <c r="J3507" s="28">
        <v>0.119636729559914</v>
      </c>
      <c r="K3507" s="29">
        <v>0.78845586800096301</v>
      </c>
    </row>
    <row r="3508" spans="1:11" x14ac:dyDescent="0.35">
      <c r="A3508" s="9" t="str">
        <f>HYPERLINK("http://www.ensembl.org/id/WBGene00021898", "WBGene00021898")</f>
        <v>WBGene00021898</v>
      </c>
      <c r="B3508" s="9" t="str">
        <f>HYPERLINK("http://www.ncbi.nlm.nih.gov/gene/3565378", "3565378")</f>
        <v>3565378</v>
      </c>
      <c r="C3508" s="9"/>
      <c r="D3508" t="str">
        <f>"Y54G2A.36"</f>
        <v>Y54G2A.36</v>
      </c>
      <c r="F3508" t="s">
        <v>11</v>
      </c>
      <c r="G3508" t="s">
        <v>25</v>
      </c>
      <c r="H3508" s="12">
        <v>-1.70862417715993</v>
      </c>
      <c r="I3508" s="20">
        <v>-1.55632425609075</v>
      </c>
      <c r="J3508" s="28">
        <v>0.119631006344857</v>
      </c>
      <c r="K3508" s="29">
        <v>0.78845586800096301</v>
      </c>
    </row>
    <row r="3509" spans="1:11" x14ac:dyDescent="0.35">
      <c r="A3509" s="9" t="str">
        <f>HYPERLINK("http://www.ensembl.org/id/WBGene00008869", "WBGene00008869")</f>
        <v>WBGene00008869</v>
      </c>
      <c r="B3509" s="9" t="str">
        <f>HYPERLINK("http://www.ncbi.nlm.nih.gov/gene/3565334", "3565334")</f>
        <v>3565334</v>
      </c>
      <c r="C3509" s="9"/>
      <c r="D3509" t="str">
        <f>"F15G9.6"</f>
        <v>F15G9.6</v>
      </c>
      <c r="F3509" t="s">
        <v>11</v>
      </c>
      <c r="H3509" s="12">
        <v>2.2213012895123598</v>
      </c>
      <c r="I3509" s="20">
        <v>1.55574579332314</v>
      </c>
      <c r="J3509" s="28">
        <v>0.119768552612499</v>
      </c>
      <c r="K3509" s="29">
        <v>0.788874622766363</v>
      </c>
    </row>
    <row r="3510" spans="1:11" x14ac:dyDescent="0.35">
      <c r="A3510" s="9" t="str">
        <f>HYPERLINK("http://www.ensembl.org/id/WBGene00001790", "WBGene00001790")</f>
        <v>WBGene00001790</v>
      </c>
      <c r="B3510" s="9" t="str">
        <f>HYPERLINK("http://www.ncbi.nlm.nih.gov/gene/183911", "183911")</f>
        <v>183911</v>
      </c>
      <c r="C3510" s="9" t="str">
        <f>HYPERLINK("http://www.ncbi.nlm.nih.gov/gene/2954", "2954")</f>
        <v>2954</v>
      </c>
      <c r="D3510" t="str">
        <f>"gst-42"</f>
        <v>gst-42</v>
      </c>
      <c r="E3510" t="s">
        <v>2826</v>
      </c>
      <c r="F3510" t="s">
        <v>11</v>
      </c>
      <c r="G3510" t="s">
        <v>2827</v>
      </c>
      <c r="H3510" s="12">
        <v>-1.3826704557465599</v>
      </c>
      <c r="I3510" s="20">
        <v>-1.5557543808918499</v>
      </c>
      <c r="J3510" s="28">
        <v>0.11976650976403599</v>
      </c>
      <c r="K3510" s="29">
        <v>0.788874622766363</v>
      </c>
    </row>
    <row r="3511" spans="1:11" x14ac:dyDescent="0.35">
      <c r="A3511" s="9" t="str">
        <f>HYPERLINK("http://www.ensembl.org/id/WBGene00000004", "WBGene00000004")</f>
        <v>WBGene00000004</v>
      </c>
      <c r="B3511" s="9" t="str">
        <f>HYPERLINK("http://www.ncbi.nlm.nih.gov/gene/180557", "180557")</f>
        <v>180557</v>
      </c>
      <c r="C3511" s="9" t="str">
        <f>HYPERLINK("http://www.ncbi.nlm.nih.gov/gene/9057", "9057")</f>
        <v>9057</v>
      </c>
      <c r="D3511" t="str">
        <f>"aat-3"</f>
        <v>aat-3</v>
      </c>
      <c r="E3511" t="s">
        <v>2829</v>
      </c>
      <c r="F3511" t="s">
        <v>11</v>
      </c>
      <c r="G3511" t="s">
        <v>2830</v>
      </c>
      <c r="H3511" s="12">
        <v>1.3740286159125099</v>
      </c>
      <c r="I3511" s="20">
        <v>1.55383490170045</v>
      </c>
      <c r="J3511" s="28">
        <v>0.12022380300506801</v>
      </c>
      <c r="K3511" s="29">
        <v>0.78962228318223304</v>
      </c>
    </row>
    <row r="3512" spans="1:11" x14ac:dyDescent="0.35">
      <c r="A3512" s="9" t="str">
        <f>HYPERLINK("http://www.ensembl.org/id/WBGene00000134", "WBGene00000134")</f>
        <v>WBGene00000134</v>
      </c>
      <c r="B3512" s="9" t="str">
        <f>HYPERLINK("http://www.ncbi.nlm.nih.gov/gene/186047", "186047")</f>
        <v>186047</v>
      </c>
      <c r="C3512" s="9"/>
      <c r="D3512" t="str">
        <f>"amt-2"</f>
        <v>amt-2</v>
      </c>
      <c r="E3512" t="s">
        <v>2828</v>
      </c>
      <c r="F3512" t="s">
        <v>11</v>
      </c>
      <c r="G3512" t="s">
        <v>1286</v>
      </c>
      <c r="H3512" s="12">
        <v>2.5599008151015501</v>
      </c>
      <c r="I3512" s="20">
        <v>1.5548429873260601</v>
      </c>
      <c r="J3512" s="28">
        <v>0.11998346835649799</v>
      </c>
      <c r="K3512" s="29">
        <v>0.78962228318223304</v>
      </c>
    </row>
    <row r="3513" spans="1:11" x14ac:dyDescent="0.35">
      <c r="A3513" s="9" t="str">
        <f>HYPERLINK("http://www.ensembl.org/id/WBGene00015104", "WBGene00015104")</f>
        <v>WBGene00015104</v>
      </c>
      <c r="B3513" s="9" t="str">
        <f>HYPERLINK("http://www.ncbi.nlm.nih.gov/gene/175994", "175994")</f>
        <v>175994</v>
      </c>
      <c r="C3513" s="9"/>
      <c r="D3513" t="str">
        <f>"B0280.9"</f>
        <v>B0280.9</v>
      </c>
      <c r="E3513" t="s">
        <v>2837</v>
      </c>
      <c r="F3513" t="s">
        <v>11</v>
      </c>
      <c r="G3513" t="s">
        <v>2838</v>
      </c>
      <c r="H3513" s="12">
        <v>-1.42221138590792</v>
      </c>
      <c r="I3513" s="20">
        <v>-1.55386022909373</v>
      </c>
      <c r="J3513" s="28">
        <v>0.120217760165267</v>
      </c>
      <c r="K3513" s="29">
        <v>0.78962228318223304</v>
      </c>
    </row>
    <row r="3514" spans="1:11" x14ac:dyDescent="0.35">
      <c r="A3514" s="9" t="str">
        <f>HYPERLINK("http://www.ensembl.org/id/WBGene00007506", "WBGene00007506")</f>
        <v>WBGene00007506</v>
      </c>
      <c r="B3514" s="9" t="str">
        <f>HYPERLINK("http://www.ncbi.nlm.nih.gov/gene/182493", "182493")</f>
        <v>182493</v>
      </c>
      <c r="C3514" s="9"/>
      <c r="D3514" t="str">
        <f>"C10C5.2"</f>
        <v>C10C5.2</v>
      </c>
      <c r="F3514" t="s">
        <v>11</v>
      </c>
      <c r="G3514" t="s">
        <v>264</v>
      </c>
      <c r="H3514" s="12">
        <v>-1.5111816523464301</v>
      </c>
      <c r="I3514" s="20">
        <v>-1.55430627141193</v>
      </c>
      <c r="J3514" s="28">
        <v>0.120111378300749</v>
      </c>
      <c r="K3514" s="29">
        <v>0.78962228318223304</v>
      </c>
    </row>
    <row r="3515" spans="1:11" x14ac:dyDescent="0.35">
      <c r="A3515" s="9" t="str">
        <f>HYPERLINK("http://www.ensembl.org/id/WBGene00009883", "WBGene00009883")</f>
        <v>WBGene00009883</v>
      </c>
      <c r="B3515" s="9" t="str">
        <f>HYPERLINK("http://www.ncbi.nlm.nih.gov/gene/177758", "177758")</f>
        <v>177758</v>
      </c>
      <c r="C3515" s="9"/>
      <c r="D3515" t="str">
        <f>"F49C12.14"</f>
        <v>F49C12.14</v>
      </c>
      <c r="F3515" t="s">
        <v>11</v>
      </c>
      <c r="H3515" s="12">
        <v>-3.5848453141379202</v>
      </c>
      <c r="I3515" s="20">
        <v>-1.5542807311931801</v>
      </c>
      <c r="J3515" s="28">
        <v>0.12011746769687801</v>
      </c>
      <c r="K3515" s="29">
        <v>0.78962228318223304</v>
      </c>
    </row>
    <row r="3516" spans="1:11" x14ac:dyDescent="0.35">
      <c r="A3516" s="9" t="str">
        <f>HYPERLINK("http://www.ensembl.org/id/WBGene00022479", "WBGene00022479")</f>
        <v>WBGene00022479</v>
      </c>
      <c r="B3516" s="9" t="str">
        <f>HYPERLINK("http://www.ncbi.nlm.nih.gov/gene/191035", "191035")</f>
        <v>191035</v>
      </c>
      <c r="C3516" s="9"/>
      <c r="D3516" t="str">
        <f>"fbxa-36"</f>
        <v>fbxa-36</v>
      </c>
      <c r="E3516" t="s">
        <v>467</v>
      </c>
      <c r="F3516" t="s">
        <v>11</v>
      </c>
      <c r="G3516" t="s">
        <v>54</v>
      </c>
      <c r="H3516" s="12">
        <v>6.4171376914697396</v>
      </c>
      <c r="I3516" s="20">
        <v>1.55385782078109</v>
      </c>
      <c r="J3516" s="28">
        <v>0.12021833475216499</v>
      </c>
      <c r="K3516" s="29">
        <v>0.78962228318223304</v>
      </c>
    </row>
    <row r="3517" spans="1:11" x14ac:dyDescent="0.35">
      <c r="A3517" s="9" t="str">
        <f>HYPERLINK("http://www.ensembl.org/id/WBGene00001744", "WBGene00001744")</f>
        <v>WBGene00001744</v>
      </c>
      <c r="B3517" s="9" t="str">
        <f>HYPERLINK("http://www.ncbi.nlm.nih.gov/gene/175703", "175703")</f>
        <v>175703</v>
      </c>
      <c r="C3517" s="9" t="str">
        <f>HYPERLINK("http://www.ncbi.nlm.nih.gov/gene/2617", "2617")</f>
        <v>2617</v>
      </c>
      <c r="D3517" t="str">
        <f>"gars-1"</f>
        <v>gars-1</v>
      </c>
      <c r="E3517" t="s">
        <v>2831</v>
      </c>
      <c r="F3517" t="s">
        <v>11</v>
      </c>
      <c r="G3517" t="s">
        <v>2832</v>
      </c>
      <c r="H3517" s="12">
        <v>-1.3371995041725999</v>
      </c>
      <c r="I3517" s="20">
        <v>-1.5544104100709799</v>
      </c>
      <c r="J3517" s="28">
        <v>0.120086551667619</v>
      </c>
      <c r="K3517" s="29">
        <v>0.78962228318223304</v>
      </c>
    </row>
    <row r="3518" spans="1:11" x14ac:dyDescent="0.35">
      <c r="A3518" s="9" t="str">
        <f>HYPERLINK("http://www.ensembl.org/id/WBGene00018319", "WBGene00018319")</f>
        <v>WBGene00018319</v>
      </c>
      <c r="B3518" s="9" t="str">
        <f>HYPERLINK("http://www.ncbi.nlm.nih.gov/gene/177316", "177316")</f>
        <v>177316</v>
      </c>
      <c r="C3518" s="9" t="str">
        <f>HYPERLINK("http://www.ncbi.nlm.nih.gov/gene/10013", "10013")</f>
        <v>10013</v>
      </c>
      <c r="D3518" t="str">
        <f>"hda-6"</f>
        <v>hda-6</v>
      </c>
      <c r="E3518" t="s">
        <v>2833</v>
      </c>
      <c r="F3518" t="s">
        <v>11</v>
      </c>
      <c r="G3518" t="s">
        <v>2834</v>
      </c>
      <c r="H3518" s="12">
        <v>-1.35419991048911</v>
      </c>
      <c r="I3518" s="20">
        <v>-1.5540398644040201</v>
      </c>
      <c r="J3518" s="28">
        <v>0.120174907963917</v>
      </c>
      <c r="K3518" s="29">
        <v>0.78962228318223304</v>
      </c>
    </row>
    <row r="3519" spans="1:11" x14ac:dyDescent="0.35">
      <c r="A3519" s="9" t="str">
        <f>HYPERLINK("http://www.ensembl.org/id/WBGene00008682", "WBGene00008682")</f>
        <v>WBGene00008682</v>
      </c>
      <c r="B3519" s="9" t="str">
        <f>HYPERLINK("http://www.ncbi.nlm.nih.gov/gene/178146", "178146")</f>
        <v>178146</v>
      </c>
      <c r="C3519" s="9"/>
      <c r="D3519" t="str">
        <f>"lex-1"</f>
        <v>lex-1</v>
      </c>
      <c r="E3519" t="s">
        <v>2835</v>
      </c>
      <c r="F3519" t="s">
        <v>11</v>
      </c>
      <c r="G3519" t="s">
        <v>2836</v>
      </c>
      <c r="H3519" s="12">
        <v>-1.3556253928630499</v>
      </c>
      <c r="I3519" s="20">
        <v>-1.55492841351239</v>
      </c>
      <c r="J3519" s="28">
        <v>0.11996311946247799</v>
      </c>
      <c r="K3519" s="29">
        <v>0.78962228318223304</v>
      </c>
    </row>
    <row r="3520" spans="1:11" x14ac:dyDescent="0.35">
      <c r="A3520" s="9" t="str">
        <f>HYPERLINK("http://www.ensembl.org/id/WBGene00006194", "WBGene00006194")</f>
        <v>WBGene00006194</v>
      </c>
      <c r="B3520" s="9"/>
      <c r="C3520" s="9"/>
      <c r="D3520" t="str">
        <f>"str-147"</f>
        <v>str-147</v>
      </c>
      <c r="F3520" t="s">
        <v>80</v>
      </c>
      <c r="H3520" s="12">
        <v>11.8528736857872</v>
      </c>
      <c r="I3520" s="20">
        <v>1.5548341765262601</v>
      </c>
      <c r="J3520" s="28">
        <v>0.11998556728160201</v>
      </c>
      <c r="K3520" s="29">
        <v>0.78962228318223304</v>
      </c>
    </row>
    <row r="3521" spans="1:11" x14ac:dyDescent="0.35">
      <c r="A3521" s="9" t="str">
        <f>HYPERLINK("http://www.ensembl.org/id/WBGene00012209", "WBGene00012209")</f>
        <v>WBGene00012209</v>
      </c>
      <c r="B3521" s="9" t="str">
        <f>HYPERLINK("http://www.ncbi.nlm.nih.gov/gene/173124", "173124")</f>
        <v>173124</v>
      </c>
      <c r="C3521" s="9"/>
      <c r="D3521" t="str">
        <f>"hmg-20"</f>
        <v>hmg-20</v>
      </c>
      <c r="E3521" t="s">
        <v>2841</v>
      </c>
      <c r="F3521" t="s">
        <v>11</v>
      </c>
      <c r="G3521" t="s">
        <v>2842</v>
      </c>
      <c r="H3521" s="12">
        <v>-1.4915293776649801</v>
      </c>
      <c r="I3521" s="20">
        <v>-1.55288820436679</v>
      </c>
      <c r="J3521" s="28">
        <v>0.12044984528916999</v>
      </c>
      <c r="K3521" s="29">
        <v>0.79065742194646904</v>
      </c>
    </row>
    <row r="3522" spans="1:11" x14ac:dyDescent="0.35">
      <c r="A3522" s="9" t="str">
        <f>HYPERLINK("http://www.ensembl.org/id/WBGene00002147", "WBGene00002147")</f>
        <v>WBGene00002147</v>
      </c>
      <c r="B3522" s="9" t="str">
        <f>HYPERLINK("http://www.ncbi.nlm.nih.gov/gene/174305", "174305")</f>
        <v>174305</v>
      </c>
      <c r="C3522" s="9" t="str">
        <f>HYPERLINK("http://www.ncbi.nlm.nih.gov/gene/2081", "2081")</f>
        <v>2081</v>
      </c>
      <c r="D3522" t="str">
        <f>"ire-1"</f>
        <v>ire-1</v>
      </c>
      <c r="E3522" t="s">
        <v>2839</v>
      </c>
      <c r="F3522" t="s">
        <v>11</v>
      </c>
      <c r="G3522" t="s">
        <v>2840</v>
      </c>
      <c r="H3522" s="12">
        <v>-1.35926336224487</v>
      </c>
      <c r="I3522" s="20">
        <v>-1.55297498812876</v>
      </c>
      <c r="J3522" s="28">
        <v>0.120429110147905</v>
      </c>
      <c r="K3522" s="29">
        <v>0.79065742194646904</v>
      </c>
    </row>
    <row r="3523" spans="1:11" x14ac:dyDescent="0.35">
      <c r="A3523" s="9" t="str">
        <f>HYPERLINK("http://www.ensembl.org/id/WBGene00005131", "WBGene00005131")</f>
        <v>WBGene00005131</v>
      </c>
      <c r="B3523" s="9" t="str">
        <f>HYPERLINK("http://www.ncbi.nlm.nih.gov/gene/184430", "184430")</f>
        <v>184430</v>
      </c>
      <c r="C3523" s="9"/>
      <c r="D3523" t="str">
        <f>"srd-53"</f>
        <v>srd-53</v>
      </c>
      <c r="E3523" t="s">
        <v>1513</v>
      </c>
      <c r="F3523" t="s">
        <v>11</v>
      </c>
      <c r="G3523" t="s">
        <v>25</v>
      </c>
      <c r="H3523" s="12">
        <v>2.2944362442927302</v>
      </c>
      <c r="I3523" s="20">
        <v>1.55250093419562</v>
      </c>
      <c r="J3523" s="28">
        <v>0.12054240935511901</v>
      </c>
      <c r="K3523" s="29">
        <v>0.79104030404980796</v>
      </c>
    </row>
    <row r="3524" spans="1:11" x14ac:dyDescent="0.35">
      <c r="A3524" s="9" t="str">
        <f>HYPERLINK("http://www.ensembl.org/id/WBGene00019269", "WBGene00019269")</f>
        <v>WBGene00019269</v>
      </c>
      <c r="B3524" s="9" t="str">
        <f>HYPERLINK("http://www.ncbi.nlm.nih.gov/gene/186812", "186812")</f>
        <v>186812</v>
      </c>
      <c r="C3524" s="9"/>
      <c r="D3524" t="str">
        <f>"H41C03.2"</f>
        <v>H41C03.2</v>
      </c>
      <c r="F3524" t="s">
        <v>11</v>
      </c>
      <c r="G3524" t="s">
        <v>29</v>
      </c>
      <c r="H3524" s="12">
        <v>4.2771424103087998</v>
      </c>
      <c r="I3524" s="20">
        <v>1.5522748789405501</v>
      </c>
      <c r="J3524" s="28">
        <v>0.120596466082648</v>
      </c>
      <c r="K3524" s="29">
        <v>0.79107189237980402</v>
      </c>
    </row>
    <row r="3525" spans="1:11" x14ac:dyDescent="0.35">
      <c r="A3525" s="9" t="str">
        <f>HYPERLINK("http://www.ensembl.org/id/WBGene00219448", "WBGene00219448")</f>
        <v>WBGene00219448</v>
      </c>
      <c r="B3525" s="9"/>
      <c r="C3525" s="9"/>
      <c r="D3525" t="str">
        <f>"K12G11.14"</f>
        <v>K12G11.14</v>
      </c>
      <c r="F3525" t="s">
        <v>2735</v>
      </c>
      <c r="H3525" s="12">
        <v>-9.7545191211311995</v>
      </c>
      <c r="I3525" s="20">
        <v>-1.5520117040410399</v>
      </c>
      <c r="J3525" s="28">
        <v>0.120659423153625</v>
      </c>
      <c r="K3525" s="29">
        <v>0.79107189237980402</v>
      </c>
    </row>
    <row r="3526" spans="1:11" x14ac:dyDescent="0.35">
      <c r="A3526" s="9" t="str">
        <f>HYPERLINK("http://www.ensembl.org/id/WBGene00020806", "WBGene00020806")</f>
        <v>WBGene00020806</v>
      </c>
      <c r="B3526" s="9" t="str">
        <f>HYPERLINK("http://www.ncbi.nlm.nih.gov/gene/179067", "179067")</f>
        <v>179067</v>
      </c>
      <c r="C3526" s="9"/>
      <c r="D3526" t="str">
        <f>"T25F10.3"</f>
        <v>T25F10.3</v>
      </c>
      <c r="F3526" t="s">
        <v>11</v>
      </c>
      <c r="G3526" t="s">
        <v>25</v>
      </c>
      <c r="H3526" s="12">
        <v>1.4083376382577</v>
      </c>
      <c r="I3526" s="20">
        <v>1.55209552825723</v>
      </c>
      <c r="J3526" s="28">
        <v>0.120639367815163</v>
      </c>
      <c r="K3526" s="29">
        <v>0.79107189237980402</v>
      </c>
    </row>
    <row r="3527" spans="1:11" x14ac:dyDescent="0.35">
      <c r="A3527" s="9" t="str">
        <f>HYPERLINK("http://www.ensembl.org/id/WBGene00013215", "WBGene00013215")</f>
        <v>WBGene00013215</v>
      </c>
      <c r="B3527" s="9" t="str">
        <f>HYPERLINK("http://www.ncbi.nlm.nih.gov/gene/190295", "190295")</f>
        <v>190295</v>
      </c>
      <c r="C3527" s="9" t="str">
        <f>HYPERLINK("http://www.ncbi.nlm.nih.gov/gene/55020", "55020")</f>
        <v>55020</v>
      </c>
      <c r="D3527" t="str">
        <f>"Y54G11A.4"</f>
        <v>Y54G11A.4</v>
      </c>
      <c r="F3527" t="s">
        <v>11</v>
      </c>
      <c r="G3527" t="s">
        <v>54</v>
      </c>
      <c r="H3527" s="12">
        <v>1.6356604835214601</v>
      </c>
      <c r="I3527" s="20">
        <v>1.5519082880684401</v>
      </c>
      <c r="J3527" s="28">
        <v>0.120684169507436</v>
      </c>
      <c r="K3527" s="29">
        <v>0.79107189237980402</v>
      </c>
    </row>
    <row r="3528" spans="1:11" x14ac:dyDescent="0.35">
      <c r="A3528" s="9" t="str">
        <f>HYPERLINK("http://www.ensembl.org/id/WBGene00022230", "WBGene00022230")</f>
        <v>WBGene00022230</v>
      </c>
      <c r="B3528" s="9" t="str">
        <f>HYPERLINK("http://www.ncbi.nlm.nih.gov/gene/190645", "190645")</f>
        <v>190645</v>
      </c>
      <c r="C3528" s="9"/>
      <c r="D3528" t="str">
        <f>"Y73B6A.3"</f>
        <v>Y73B6A.3</v>
      </c>
      <c r="F3528" t="s">
        <v>11</v>
      </c>
      <c r="H3528" s="12">
        <v>2.2583143811966502</v>
      </c>
      <c r="I3528" s="20">
        <v>1.5517506349172301</v>
      </c>
      <c r="J3528" s="28">
        <v>0.12072190189017901</v>
      </c>
      <c r="K3528" s="29">
        <v>0.79109480007784205</v>
      </c>
    </row>
    <row r="3529" spans="1:11" x14ac:dyDescent="0.35">
      <c r="A3529" s="9" t="str">
        <f>HYPERLINK("http://www.ensembl.org/id/WBGene00006952", "WBGene00006952")</f>
        <v>WBGene00006952</v>
      </c>
      <c r="B3529" s="9" t="str">
        <f>HYPERLINK("http://www.ncbi.nlm.nih.gov/gene/180638", "180638")</f>
        <v>180638</v>
      </c>
      <c r="C3529" s="9"/>
      <c r="D3529" t="str">
        <f>"wrt-6"</f>
        <v>wrt-6</v>
      </c>
      <c r="E3529" t="s">
        <v>2843</v>
      </c>
      <c r="F3529" t="s">
        <v>11</v>
      </c>
      <c r="G3529" t="s">
        <v>2844</v>
      </c>
      <c r="H3529" s="12">
        <v>2.2244604745027901</v>
      </c>
      <c r="I3529" s="20">
        <v>1.5515283270076901</v>
      </c>
      <c r="J3529" s="28">
        <v>0.12077512429822899</v>
      </c>
      <c r="K3529" s="29">
        <v>0.79113038260019697</v>
      </c>
    </row>
    <row r="3530" spans="1:11" x14ac:dyDescent="0.35">
      <c r="A3530" s="9" t="str">
        <f>HYPERLINK("http://www.ensembl.org/id/WBGene00021159", "WBGene00021159")</f>
        <v>WBGene00021159</v>
      </c>
      <c r="B3530" s="9" t="str">
        <f>HYPERLINK("http://www.ncbi.nlm.nih.gov/gene/189356", "189356")</f>
        <v>189356</v>
      </c>
      <c r="C3530" s="9" t="str">
        <f>HYPERLINK("http://www.ncbi.nlm.nih.gov/gene/113235", "113235")</f>
        <v>113235</v>
      </c>
      <c r="D3530" t="str">
        <f>"Y4C6B.5"</f>
        <v>Y4C6B.5</v>
      </c>
      <c r="F3530" t="s">
        <v>11</v>
      </c>
      <c r="G3530" t="s">
        <v>230</v>
      </c>
      <c r="H3530" s="12">
        <v>-1.4885461593223199</v>
      </c>
      <c r="I3530" s="20">
        <v>-1.5514419436176701</v>
      </c>
      <c r="J3530" s="28">
        <v>0.120795810171102</v>
      </c>
      <c r="K3530" s="29">
        <v>0.79113038260019697</v>
      </c>
    </row>
    <row r="3531" spans="1:11" x14ac:dyDescent="0.35">
      <c r="A3531" s="9" t="str">
        <f>HYPERLINK("http://www.ensembl.org/id/WBGene00044054", "WBGene00044054")</f>
        <v>WBGene00044054</v>
      </c>
      <c r="B3531" s="9"/>
      <c r="C3531" s="9"/>
      <c r="D3531" t="str">
        <f>"C04H5.9"</f>
        <v>C04H5.9</v>
      </c>
      <c r="F3531" t="s">
        <v>80</v>
      </c>
      <c r="H3531" s="12">
        <v>-11.4830265474647</v>
      </c>
      <c r="I3531" s="20">
        <v>-1.55010790758582</v>
      </c>
      <c r="J3531" s="28">
        <v>0.12111561840691901</v>
      </c>
      <c r="K3531" s="29">
        <v>0.79202551775891294</v>
      </c>
    </row>
    <row r="3532" spans="1:11" x14ac:dyDescent="0.35">
      <c r="A3532" s="9" t="str">
        <f>HYPERLINK("http://www.ensembl.org/id/WBGene00016671", "WBGene00016671")</f>
        <v>WBGene00016671</v>
      </c>
      <c r="B3532" s="9" t="str">
        <f>HYPERLINK("http://www.ncbi.nlm.nih.gov/gene/177032", "177032")</f>
        <v>177032</v>
      </c>
      <c r="C3532" s="9"/>
      <c r="D3532" t="str">
        <f>"C45G7.4"</f>
        <v>C45G7.4</v>
      </c>
      <c r="F3532" t="s">
        <v>11</v>
      </c>
      <c r="G3532" t="s">
        <v>51</v>
      </c>
      <c r="H3532" s="12">
        <v>1.76950668880682</v>
      </c>
      <c r="I3532" s="20">
        <v>1.5497525038353901</v>
      </c>
      <c r="J3532" s="28">
        <v>0.121200930933914</v>
      </c>
      <c r="K3532" s="29">
        <v>0.79202551775891294</v>
      </c>
    </row>
    <row r="3533" spans="1:11" x14ac:dyDescent="0.35">
      <c r="A3533" s="9" t="str">
        <f>HYPERLINK("http://www.ensembl.org/id/WBGene00017635", "WBGene00017635")</f>
        <v>WBGene00017635</v>
      </c>
      <c r="B3533" s="9" t="str">
        <f>HYPERLINK("http://www.ncbi.nlm.nih.gov/gene/184724", "184724")</f>
        <v>184724</v>
      </c>
      <c r="C3533" s="9"/>
      <c r="D3533" t="str">
        <f>"F20D6.5"</f>
        <v>F20D6.5</v>
      </c>
      <c r="F3533" t="s">
        <v>11</v>
      </c>
      <c r="H3533" s="12">
        <v>1.7049134171338001</v>
      </c>
      <c r="I3533" s="20">
        <v>1.5492700119493501</v>
      </c>
      <c r="J3533" s="28">
        <v>0.12131682542248701</v>
      </c>
      <c r="K3533" s="29">
        <v>0.79202551775891294</v>
      </c>
    </row>
    <row r="3534" spans="1:11" x14ac:dyDescent="0.35">
      <c r="A3534" s="9" t="str">
        <f>HYPERLINK("http://www.ensembl.org/id/WBGene00018762", "WBGene00018762")</f>
        <v>WBGene00018762</v>
      </c>
      <c r="B3534" s="9" t="str">
        <f>HYPERLINK("http://www.ncbi.nlm.nih.gov/gene/178728", "178728")</f>
        <v>178728</v>
      </c>
      <c r="C3534" s="9"/>
      <c r="D3534" t="str">
        <f>"F53E10.6"</f>
        <v>F53E10.6</v>
      </c>
      <c r="E3534" t="s">
        <v>2853</v>
      </c>
      <c r="F3534" t="s">
        <v>11</v>
      </c>
      <c r="G3534" t="s">
        <v>2854</v>
      </c>
      <c r="H3534" s="12">
        <v>-1.43247962983028</v>
      </c>
      <c r="I3534" s="20">
        <v>-1.54912907664207</v>
      </c>
      <c r="J3534" s="28">
        <v>0.121350694417888</v>
      </c>
      <c r="K3534" s="29">
        <v>0.79202551775891294</v>
      </c>
    </row>
    <row r="3535" spans="1:11" x14ac:dyDescent="0.35">
      <c r="A3535" s="9" t="str">
        <f>HYPERLINK("http://www.ensembl.org/id/WBGene00018871", "WBGene00018871")</f>
        <v>WBGene00018871</v>
      </c>
      <c r="B3535" s="9" t="str">
        <f>HYPERLINK("http://www.ncbi.nlm.nih.gov/gene/173995", "173995")</f>
        <v>173995</v>
      </c>
      <c r="C3535" s="9"/>
      <c r="D3535" t="str">
        <f>"F55C12.4"</f>
        <v>F55C12.4</v>
      </c>
      <c r="F3535" t="s">
        <v>11</v>
      </c>
      <c r="G3535" t="s">
        <v>25</v>
      </c>
      <c r="H3535" s="12">
        <v>1.4872251775398</v>
      </c>
      <c r="I3535" s="20">
        <v>1.5488724825809499</v>
      </c>
      <c r="J3535" s="28">
        <v>0.121412377040685</v>
      </c>
      <c r="K3535" s="29">
        <v>0.79202551775891294</v>
      </c>
    </row>
    <row r="3536" spans="1:11" x14ac:dyDescent="0.35">
      <c r="A3536" s="9" t="str">
        <f>HYPERLINK("http://www.ensembl.org/id/WBGene00019615", "WBGene00019615")</f>
        <v>WBGene00019615</v>
      </c>
      <c r="B3536" s="9" t="str">
        <f>HYPERLINK("http://www.ncbi.nlm.nih.gov/gene/173397", "173397")</f>
        <v>173397</v>
      </c>
      <c r="C3536" s="9" t="str">
        <f>HYPERLINK("http://www.ncbi.nlm.nih.gov/gene/79674", "79674")</f>
        <v>79674</v>
      </c>
      <c r="D3536" t="str">
        <f>"K10B4.3"</f>
        <v>K10B4.3</v>
      </c>
      <c r="F3536" t="s">
        <v>11</v>
      </c>
      <c r="G3536" t="s">
        <v>2848</v>
      </c>
      <c r="H3536" s="12">
        <v>1.3617742273673299</v>
      </c>
      <c r="I3536" s="20">
        <v>1.5490995783875401</v>
      </c>
      <c r="J3536" s="28">
        <v>0.121357784253404</v>
      </c>
      <c r="K3536" s="29">
        <v>0.79202551775891294</v>
      </c>
    </row>
    <row r="3537" spans="1:11" x14ac:dyDescent="0.35">
      <c r="A3537" s="9" t="str">
        <f>HYPERLINK("http://www.ensembl.org/id/WBGene00003033", "WBGene00003033")</f>
        <v>WBGene00003033</v>
      </c>
      <c r="B3537" s="9" t="str">
        <f>HYPERLINK("http://www.ncbi.nlm.nih.gov/gene/175485", "175485")</f>
        <v>175485</v>
      </c>
      <c r="C3537" s="9"/>
      <c r="D3537" t="str">
        <f>"lin-48"</f>
        <v>lin-48</v>
      </c>
      <c r="E3537" t="s">
        <v>2846</v>
      </c>
      <c r="F3537" t="s">
        <v>11</v>
      </c>
      <c r="G3537" t="s">
        <v>2847</v>
      </c>
      <c r="H3537" s="12">
        <v>1.6286612540235501</v>
      </c>
      <c r="I3537" s="20">
        <v>1.5505382620261701</v>
      </c>
      <c r="J3537" s="28">
        <v>0.121012377312699</v>
      </c>
      <c r="K3537" s="29">
        <v>0.79202551775891294</v>
      </c>
    </row>
    <row r="3538" spans="1:11" x14ac:dyDescent="0.35">
      <c r="A3538" s="9" t="str">
        <f>HYPERLINK("http://www.ensembl.org/id/WBGene00019882", "WBGene00019882")</f>
        <v>WBGene00019882</v>
      </c>
      <c r="B3538" s="9" t="str">
        <f>HYPERLINK("http://www.ncbi.nlm.nih.gov/gene/176181", "176181")</f>
        <v>176181</v>
      </c>
      <c r="C3538" s="9"/>
      <c r="D3538" t="str">
        <f>"R05D3.9"</f>
        <v>R05D3.9</v>
      </c>
      <c r="F3538" t="s">
        <v>11</v>
      </c>
      <c r="H3538" s="12">
        <v>1.3514223437839199</v>
      </c>
      <c r="I3538" s="20">
        <v>1.5501539710330901</v>
      </c>
      <c r="J3538" s="28">
        <v>0.121104564594125</v>
      </c>
      <c r="K3538" s="29">
        <v>0.79202551775891294</v>
      </c>
    </row>
    <row r="3539" spans="1:11" x14ac:dyDescent="0.35">
      <c r="A3539" s="9" t="str">
        <f>HYPERLINK("http://www.ensembl.org/id/WBGene00011142", "WBGene00011142")</f>
        <v>WBGene00011142</v>
      </c>
      <c r="B3539" s="9" t="str">
        <f>HYPERLINK("http://www.ncbi.nlm.nih.gov/gene/176266", "176266")</f>
        <v>176266</v>
      </c>
      <c r="C3539" s="9" t="str">
        <f>HYPERLINK("http://www.ncbi.nlm.nih.gov/gene/84811", "84811")</f>
        <v>84811</v>
      </c>
      <c r="D3539" t="str">
        <f>"R08D7.1"</f>
        <v>R08D7.1</v>
      </c>
      <c r="E3539" t="s">
        <v>2851</v>
      </c>
      <c r="F3539" t="s">
        <v>11</v>
      </c>
      <c r="G3539" t="s">
        <v>2852</v>
      </c>
      <c r="H3539" s="12">
        <v>-1.3691889911644</v>
      </c>
      <c r="I3539" s="20">
        <v>-1.5490920556360399</v>
      </c>
      <c r="J3539" s="28">
        <v>0.121359592380733</v>
      </c>
      <c r="K3539" s="29">
        <v>0.79202551775891294</v>
      </c>
    </row>
    <row r="3540" spans="1:11" x14ac:dyDescent="0.35">
      <c r="A3540" s="9" t="str">
        <f>HYPERLINK("http://www.ensembl.org/id/WBGene00004930", "WBGene00004930")</f>
        <v>WBGene00004930</v>
      </c>
      <c r="B3540" s="9" t="str">
        <f>HYPERLINK("http://www.ncbi.nlm.nih.gov/gene/174141", "174141")</f>
        <v>174141</v>
      </c>
      <c r="C3540" s="9" t="str">
        <f>HYPERLINK("http://www.ncbi.nlm.nih.gov/gene/6647", "6647")</f>
        <v>6647</v>
      </c>
      <c r="D3540" t="str">
        <f>"sod-1"</f>
        <v>sod-1</v>
      </c>
      <c r="E3540" t="s">
        <v>2849</v>
      </c>
      <c r="F3540" t="s">
        <v>11</v>
      </c>
      <c r="G3540" t="s">
        <v>2850</v>
      </c>
      <c r="H3540" s="12">
        <v>-1.32632981240776</v>
      </c>
      <c r="I3540" s="20">
        <v>-1.54889891069109</v>
      </c>
      <c r="J3540" s="28">
        <v>0.121406022857162</v>
      </c>
      <c r="K3540" s="29">
        <v>0.79202551775891294</v>
      </c>
    </row>
    <row r="3541" spans="1:11" x14ac:dyDescent="0.35">
      <c r="A3541" s="9" t="str">
        <f>HYPERLINK("http://www.ensembl.org/id/WBGene00020877", "WBGene00020877")</f>
        <v>WBGene00020877</v>
      </c>
      <c r="B3541" s="9" t="str">
        <f>HYPERLINK("http://www.ncbi.nlm.nih.gov/gene/178761", "178761")</f>
        <v>178761</v>
      </c>
      <c r="C3541" s="9"/>
      <c r="D3541" t="str">
        <f>"srt-63"</f>
        <v>srt-63</v>
      </c>
      <c r="E3541" t="s">
        <v>2845</v>
      </c>
      <c r="F3541" t="s">
        <v>11</v>
      </c>
      <c r="G3541" t="s">
        <v>25</v>
      </c>
      <c r="H3541" s="12">
        <v>3.9452379150177199</v>
      </c>
      <c r="I3541" s="20">
        <v>1.5502251000834599</v>
      </c>
      <c r="J3541" s="28">
        <v>0.121087497356669</v>
      </c>
      <c r="K3541" s="29">
        <v>0.79202551775891294</v>
      </c>
    </row>
    <row r="3542" spans="1:11" x14ac:dyDescent="0.35">
      <c r="A3542" s="9" t="str">
        <f>HYPERLINK("http://www.ensembl.org/id/WBGene00021345", "WBGene00021345")</f>
        <v>WBGene00021345</v>
      </c>
      <c r="B3542" s="9" t="str">
        <f>HYPERLINK("http://www.ncbi.nlm.nih.gov/gene/189611", "189611")</f>
        <v>189611</v>
      </c>
      <c r="C3542" s="9"/>
      <c r="D3542" t="str">
        <f>"Y37B11A.3"</f>
        <v>Y37B11A.3</v>
      </c>
      <c r="F3542" t="s">
        <v>11</v>
      </c>
      <c r="G3542" t="s">
        <v>2855</v>
      </c>
      <c r="H3542" s="12">
        <v>-1.5088886062918001</v>
      </c>
      <c r="I3542" s="20">
        <v>-1.5505080247099601</v>
      </c>
      <c r="J3542" s="28">
        <v>0.121019628929392</v>
      </c>
      <c r="K3542" s="29">
        <v>0.79202551775891294</v>
      </c>
    </row>
    <row r="3543" spans="1:11" x14ac:dyDescent="0.35">
      <c r="A3543" s="9" t="str">
        <f>HYPERLINK("http://www.ensembl.org/id/WBGene00021529", "WBGene00021529")</f>
        <v>WBGene00021529</v>
      </c>
      <c r="B3543" s="9" t="str">
        <f>HYPERLINK("http://www.ncbi.nlm.nih.gov/gene/189838", "189838")</f>
        <v>189838</v>
      </c>
      <c r="C3543" s="9"/>
      <c r="D3543" t="str">
        <f>"Y41G9A.5"</f>
        <v>Y41G9A.5</v>
      </c>
      <c r="F3543" t="s">
        <v>11</v>
      </c>
      <c r="H3543" s="12">
        <v>1.8965894571731201</v>
      </c>
      <c r="I3543" s="20">
        <v>1.5489684608505201</v>
      </c>
      <c r="J3543" s="28">
        <v>0.121389301963133</v>
      </c>
      <c r="K3543" s="29">
        <v>0.79202551775891294</v>
      </c>
    </row>
    <row r="3544" spans="1:11" x14ac:dyDescent="0.35">
      <c r="A3544" s="9" t="str">
        <f>HYPERLINK("http://www.ensembl.org/id/WBGene00022026", "WBGene00022026")</f>
        <v>WBGene00022026</v>
      </c>
      <c r="B3544" s="9" t="str">
        <f>HYPERLINK("http://www.ncbi.nlm.nih.gov/gene/171655", "171655")</f>
        <v>171655</v>
      </c>
      <c r="C3544" s="9"/>
      <c r="D3544" t="str">
        <f>"Y65B4A.2"</f>
        <v>Y65B4A.2</v>
      </c>
      <c r="F3544" t="s">
        <v>11</v>
      </c>
      <c r="G3544" t="s">
        <v>632</v>
      </c>
      <c r="H3544" s="12">
        <v>1.39136987558845</v>
      </c>
      <c r="I3544" s="20">
        <v>1.54945229400991</v>
      </c>
      <c r="J3544" s="28">
        <v>0.121273031111237</v>
      </c>
      <c r="K3544" s="29">
        <v>0.79202551775891294</v>
      </c>
    </row>
    <row r="3545" spans="1:11" x14ac:dyDescent="0.35">
      <c r="A3545" s="9" t="str">
        <f>HYPERLINK("http://www.ensembl.org/id/WBGene00001434", "WBGene00001434")</f>
        <v>WBGene00001434</v>
      </c>
      <c r="B3545" s="9" t="str">
        <f>HYPERLINK("http://www.ncbi.nlm.nih.gov/gene/180663", "180663")</f>
        <v>180663</v>
      </c>
      <c r="C3545" s="9"/>
      <c r="D3545" t="str">
        <f>"fkh-2"</f>
        <v>fkh-2</v>
      </c>
      <c r="E3545" t="s">
        <v>2856</v>
      </c>
      <c r="F3545" t="s">
        <v>11</v>
      </c>
      <c r="G3545" t="s">
        <v>2857</v>
      </c>
      <c r="H3545" s="12">
        <v>1.7081544963625801</v>
      </c>
      <c r="I3545" s="20">
        <v>1.54869888976121</v>
      </c>
      <c r="J3545" s="28">
        <v>0.12145412090753401</v>
      </c>
      <c r="K3545" s="29">
        <v>0.79207420764591896</v>
      </c>
    </row>
    <row r="3546" spans="1:11" x14ac:dyDescent="0.35">
      <c r="A3546" s="9" t="str">
        <f>HYPERLINK("http://www.ensembl.org/id/WBGene00020202", "WBGene00020202")</f>
        <v>WBGene00020202</v>
      </c>
      <c r="B3546" s="9" t="str">
        <f>HYPERLINK("http://www.ncbi.nlm.nih.gov/gene/188037", "188037")</f>
        <v>188037</v>
      </c>
      <c r="C3546" s="9"/>
      <c r="D3546" t="str">
        <f>"T04A6.3"</f>
        <v>T04A6.3</v>
      </c>
      <c r="F3546" t="s">
        <v>11</v>
      </c>
      <c r="H3546" s="12">
        <v>3.45689525670825</v>
      </c>
      <c r="I3546" s="20">
        <v>1.54848894503846</v>
      </c>
      <c r="J3546" s="28">
        <v>0.12150462131275799</v>
      </c>
      <c r="K3546" s="29">
        <v>0.79217996051145101</v>
      </c>
    </row>
    <row r="3547" spans="1:11" x14ac:dyDescent="0.35">
      <c r="A3547" s="9" t="str">
        <f>HYPERLINK("http://www.ensembl.org/id/WBGene00017380", "WBGene00017380")</f>
        <v>WBGene00017380</v>
      </c>
      <c r="B3547" s="9" t="str">
        <f>HYPERLINK("http://www.ncbi.nlm.nih.gov/gene/180623", "180623")</f>
        <v>180623</v>
      </c>
      <c r="C3547" s="9"/>
      <c r="D3547" t="str">
        <f>"F11D5.1"</f>
        <v>F11D5.1</v>
      </c>
      <c r="F3547" t="s">
        <v>11</v>
      </c>
      <c r="H3547" s="12">
        <v>1.33986114429547</v>
      </c>
      <c r="I3547" s="20">
        <v>1.5481828320022899</v>
      </c>
      <c r="J3547" s="28">
        <v>0.121578283608256</v>
      </c>
      <c r="K3547" s="29">
        <v>0.79243662088923905</v>
      </c>
    </row>
    <row r="3548" spans="1:11" x14ac:dyDescent="0.35">
      <c r="A3548" s="9" t="str">
        <f>HYPERLINK("http://www.ensembl.org/id/WBGene00010566", "WBGene00010566")</f>
        <v>WBGene00010566</v>
      </c>
      <c r="B3548" s="9" t="str">
        <f>HYPERLINK("http://www.ncbi.nlm.nih.gov/gene/187007", "187007")</f>
        <v>187007</v>
      </c>
      <c r="C3548" s="9"/>
      <c r="D3548" t="str">
        <f>"K04G2.7"</f>
        <v>K04G2.7</v>
      </c>
      <c r="F3548" t="s">
        <v>11</v>
      </c>
      <c r="H3548" s="12">
        <v>2.0548598083826599</v>
      </c>
      <c r="I3548" s="20">
        <v>1.54770569105279</v>
      </c>
      <c r="J3548" s="28">
        <v>0.12169317127971301</v>
      </c>
      <c r="K3548" s="29">
        <v>0.79296176412550501</v>
      </c>
    </row>
    <row r="3549" spans="1:11" x14ac:dyDescent="0.35">
      <c r="A3549" s="9" t="str">
        <f>HYPERLINK("http://www.ensembl.org/id/WBGene00000490", "WBGene00000490")</f>
        <v>WBGene00000490</v>
      </c>
      <c r="B3549" s="9" t="str">
        <f>HYPERLINK("http://www.ncbi.nlm.nih.gov/gene/179666", "179666")</f>
        <v>179666</v>
      </c>
      <c r="C3549" s="9" t="str">
        <f>HYPERLINK("http://www.ncbi.nlm.nih.gov/gene/9742", "9742")</f>
        <v>9742</v>
      </c>
      <c r="D3549" t="str">
        <f>"che-11"</f>
        <v>che-11</v>
      </c>
      <c r="F3549" t="s">
        <v>11</v>
      </c>
      <c r="G3549" t="s">
        <v>2858</v>
      </c>
      <c r="H3549" s="12">
        <v>1.8534571343934301</v>
      </c>
      <c r="I3549" s="20">
        <v>1.54745316119246</v>
      </c>
      <c r="J3549" s="28">
        <v>0.121754010649658</v>
      </c>
      <c r="K3549" s="29">
        <v>0.79313452778995996</v>
      </c>
    </row>
    <row r="3550" spans="1:11" x14ac:dyDescent="0.35">
      <c r="A3550" s="9" t="str">
        <f>HYPERLINK("http://www.ensembl.org/id/WBGene00023322", "WBGene00023322")</f>
        <v>WBGene00023322</v>
      </c>
      <c r="B3550" s="9"/>
      <c r="C3550" s="9"/>
      <c r="D3550" t="str">
        <f>"K08B12.4"</f>
        <v>K08B12.4</v>
      </c>
      <c r="F3550" t="s">
        <v>80</v>
      </c>
      <c r="H3550" s="12">
        <v>4.8037000699349202</v>
      </c>
      <c r="I3550" s="20">
        <v>1.5470980256360201</v>
      </c>
      <c r="J3550" s="28">
        <v>0.12183960996967599</v>
      </c>
      <c r="K3550" s="29">
        <v>0.79324486558448604</v>
      </c>
    </row>
    <row r="3551" spans="1:11" x14ac:dyDescent="0.35">
      <c r="A3551" s="9" t="str">
        <f>HYPERLINK("http://www.ensembl.org/id/WBGene00006675", "WBGene00006675")</f>
        <v>WBGene00006675</v>
      </c>
      <c r="B3551" s="9" t="str">
        <f>HYPERLINK("http://www.ncbi.nlm.nih.gov/gene/181703", "181703")</f>
        <v>181703</v>
      </c>
      <c r="C3551" s="9"/>
      <c r="D3551" t="str">
        <f>"twk-22"</f>
        <v>twk-22</v>
      </c>
      <c r="E3551" t="s">
        <v>894</v>
      </c>
      <c r="F3551" t="s">
        <v>11</v>
      </c>
      <c r="G3551" t="s">
        <v>895</v>
      </c>
      <c r="H3551" s="12">
        <v>1.3776387920706099</v>
      </c>
      <c r="I3551" s="20">
        <v>1.5472311775077401</v>
      </c>
      <c r="J3551" s="28">
        <v>0.121807510488555</v>
      </c>
      <c r="K3551" s="29">
        <v>0.79324486558448604</v>
      </c>
    </row>
    <row r="3552" spans="1:11" x14ac:dyDescent="0.35">
      <c r="A3552" s="9" t="str">
        <f>HYPERLINK("http://www.ensembl.org/id/WBGene00016997", "WBGene00016997")</f>
        <v>WBGene00016997</v>
      </c>
      <c r="B3552" s="9" t="str">
        <f>HYPERLINK("http://www.ncbi.nlm.nih.gov/gene/180481", "180481")</f>
        <v>180481</v>
      </c>
      <c r="C3552" s="9"/>
      <c r="D3552" t="str">
        <f>"cebp-1"</f>
        <v>cebp-1</v>
      </c>
      <c r="E3552" t="s">
        <v>2861</v>
      </c>
      <c r="F3552" t="s">
        <v>11</v>
      </c>
      <c r="G3552" t="s">
        <v>2862</v>
      </c>
      <c r="H3552" s="12">
        <v>-1.32720553021459</v>
      </c>
      <c r="I3552" s="20">
        <v>-1.5459239693576401</v>
      </c>
      <c r="J3552" s="28">
        <v>0.122122930969866</v>
      </c>
      <c r="K3552" s="29">
        <v>0.79416649579114995</v>
      </c>
    </row>
    <row r="3553" spans="1:11" x14ac:dyDescent="0.35">
      <c r="A3553" s="9" t="str">
        <f>HYPERLINK("http://www.ensembl.org/id/WBGene00009060", "WBGene00009060")</f>
        <v>WBGene00009060</v>
      </c>
      <c r="B3553" s="9" t="str">
        <f>HYPERLINK("http://www.ncbi.nlm.nih.gov/gene/184849", "184849")</f>
        <v>184849</v>
      </c>
      <c r="C3553" s="9"/>
      <c r="D3553" t="str">
        <f>"F22E12.3"</f>
        <v>F22E12.3</v>
      </c>
      <c r="F3553" t="s">
        <v>11</v>
      </c>
      <c r="G3553" t="s">
        <v>25</v>
      </c>
      <c r="H3553" s="12">
        <v>1.8430974059154701</v>
      </c>
      <c r="I3553" s="20">
        <v>1.5455149187970501</v>
      </c>
      <c r="J3553" s="28">
        <v>0.122221763136559</v>
      </c>
      <c r="K3553" s="29">
        <v>0.79416649579114995</v>
      </c>
    </row>
    <row r="3554" spans="1:11" x14ac:dyDescent="0.35">
      <c r="A3554" s="9" t="str">
        <f>HYPERLINK("http://www.ensembl.org/id/WBGene00013758", "WBGene00013758")</f>
        <v>WBGene00013758</v>
      </c>
      <c r="B3554" s="9" t="str">
        <f>HYPERLINK("http://www.ncbi.nlm.nih.gov/gene/190972", "190972")</f>
        <v>190972</v>
      </c>
      <c r="C3554" s="9"/>
      <c r="D3554" t="str">
        <f>"fbxa-114"</f>
        <v>fbxa-114</v>
      </c>
      <c r="E3554" t="s">
        <v>467</v>
      </c>
      <c r="F3554" t="s">
        <v>11</v>
      </c>
      <c r="G3554" t="s">
        <v>54</v>
      </c>
      <c r="H3554" s="12">
        <v>-1.7609350627176801</v>
      </c>
      <c r="I3554" s="20">
        <v>-1.54565566121377</v>
      </c>
      <c r="J3554" s="28">
        <v>0.12218775080703</v>
      </c>
      <c r="K3554" s="29">
        <v>0.79416649579114995</v>
      </c>
    </row>
    <row r="3555" spans="1:11" x14ac:dyDescent="0.35">
      <c r="A3555" s="9" t="str">
        <f>HYPERLINK("http://www.ensembl.org/id/WBGene00019692", "WBGene00019692")</f>
        <v>WBGene00019692</v>
      </c>
      <c r="B3555" s="9" t="str">
        <f>HYPERLINK("http://www.ncbi.nlm.nih.gov/gene/187350", "187350")</f>
        <v>187350</v>
      </c>
      <c r="C3555" s="9" t="str">
        <f>HYPERLINK("http://www.ncbi.nlm.nih.gov/gene/8939", "8939")</f>
        <v>8939</v>
      </c>
      <c r="D3555" t="str">
        <f>"fubl-4"</f>
        <v>fubl-4</v>
      </c>
      <c r="E3555" t="s">
        <v>2865</v>
      </c>
      <c r="F3555" t="s">
        <v>11</v>
      </c>
      <c r="G3555" t="s">
        <v>2866</v>
      </c>
      <c r="H3555" s="12">
        <v>-1.49592138595053</v>
      </c>
      <c r="I3555" s="20">
        <v>-1.54625914327772</v>
      </c>
      <c r="J3555" s="28">
        <v>0.12204199497422</v>
      </c>
      <c r="K3555" s="29">
        <v>0.79416649579114995</v>
      </c>
    </row>
    <row r="3556" spans="1:11" x14ac:dyDescent="0.35">
      <c r="A3556" s="9" t="str">
        <f>HYPERLINK("http://www.ensembl.org/id/WBGene00008265", "WBGene00008265")</f>
        <v>WBGene00008265</v>
      </c>
      <c r="B3556" s="9" t="str">
        <f>HYPERLINK("http://www.ncbi.nlm.nih.gov/gene/183736", "183736")</f>
        <v>183736</v>
      </c>
      <c r="C3556" s="9"/>
      <c r="D3556" t="str">
        <f>"kcnl-4"</f>
        <v>kcnl-4</v>
      </c>
      <c r="E3556" t="s">
        <v>1004</v>
      </c>
      <c r="F3556" t="s">
        <v>11</v>
      </c>
      <c r="G3556" t="s">
        <v>1005</v>
      </c>
      <c r="H3556" s="12">
        <v>1.4831719236973</v>
      </c>
      <c r="I3556" s="20">
        <v>1.54579741678829</v>
      </c>
      <c r="J3556" s="28">
        <v>0.122153501112354</v>
      </c>
      <c r="K3556" s="29">
        <v>0.79416649579114995</v>
      </c>
    </row>
    <row r="3557" spans="1:11" x14ac:dyDescent="0.35">
      <c r="A3557" s="9" t="str">
        <f>HYPERLINK("http://www.ensembl.org/id/WBGene00006617", "WBGene00006617")</f>
        <v>WBGene00006617</v>
      </c>
      <c r="B3557" s="9" t="str">
        <f>HYPERLINK("http://www.ncbi.nlm.nih.gov/gene/174790", "174790")</f>
        <v>174790</v>
      </c>
      <c r="C3557" s="9" t="str">
        <f>HYPERLINK("http://www.ncbi.nlm.nih.gov/gene/6897", "6897")</f>
        <v>6897</v>
      </c>
      <c r="D3557" t="str">
        <f>"tars-1"</f>
        <v>tars-1</v>
      </c>
      <c r="E3557" t="s">
        <v>2863</v>
      </c>
      <c r="F3557" t="s">
        <v>11</v>
      </c>
      <c r="G3557" t="s">
        <v>2864</v>
      </c>
      <c r="H3557" s="12">
        <v>-1.3353900856126799</v>
      </c>
      <c r="I3557" s="20">
        <v>-1.5459471588381599</v>
      </c>
      <c r="J3557" s="28">
        <v>0.12211732994824601</v>
      </c>
      <c r="K3557" s="29">
        <v>0.79416649579114995</v>
      </c>
    </row>
    <row r="3558" spans="1:11" x14ac:dyDescent="0.35">
      <c r="A3558" s="9" t="str">
        <f>HYPERLINK("http://www.ensembl.org/id/WBGene00006831", "WBGene00006831")</f>
        <v>WBGene00006831</v>
      </c>
      <c r="B3558" s="9" t="str">
        <f>HYPERLINK("http://www.ncbi.nlm.nih.gov/gene/174144", "174144")</f>
        <v>174144</v>
      </c>
      <c r="C3558" s="9" t="str">
        <f>HYPERLINK("http://www.ncbi.nlm.nih.gov/gene/547", "547")</f>
        <v>547</v>
      </c>
      <c r="D3558" t="str">
        <f>"unc-104"</f>
        <v>unc-104</v>
      </c>
      <c r="E3558" t="s">
        <v>2859</v>
      </c>
      <c r="F3558" t="s">
        <v>11</v>
      </c>
      <c r="G3558" t="s">
        <v>2860</v>
      </c>
      <c r="H3558" s="12">
        <v>1.3314845396206101</v>
      </c>
      <c r="I3558" s="20">
        <v>1.5457391792517501</v>
      </c>
      <c r="J3558" s="28">
        <v>0.122167571028855</v>
      </c>
      <c r="K3558" s="29">
        <v>0.79416649579114995</v>
      </c>
    </row>
    <row r="3559" spans="1:11" x14ac:dyDescent="0.35">
      <c r="A3559" s="9" t="str">
        <f>HYPERLINK("http://www.ensembl.org/id/WBGene00015752", "WBGene00015752")</f>
        <v>WBGene00015752</v>
      </c>
      <c r="B3559" s="9" t="str">
        <f>HYPERLINK("http://www.ncbi.nlm.nih.gov/gene/176147", "176147")</f>
        <v>176147</v>
      </c>
      <c r="C3559" s="9" t="str">
        <f>HYPERLINK("http://www.ncbi.nlm.nih.gov/gene/9601", "9601")</f>
        <v>9601</v>
      </c>
      <c r="D3559" t="str">
        <f>"C14B9.2"</f>
        <v>C14B9.2</v>
      </c>
      <c r="E3559" t="s">
        <v>2869</v>
      </c>
      <c r="F3559" t="s">
        <v>11</v>
      </c>
      <c r="G3559" t="s">
        <v>2870</v>
      </c>
      <c r="H3559" s="12">
        <v>1.33023869979613</v>
      </c>
      <c r="I3559" s="20">
        <v>1.5440661504744699</v>
      </c>
      <c r="J3559" s="28">
        <v>0.12257230807561401</v>
      </c>
      <c r="K3559" s="29">
        <v>0.79480141890984701</v>
      </c>
    </row>
    <row r="3560" spans="1:11" x14ac:dyDescent="0.35">
      <c r="A3560" s="9" t="str">
        <f>HYPERLINK("http://www.ensembl.org/id/WBGene00016027", "WBGene00016027")</f>
        <v>WBGene00016027</v>
      </c>
      <c r="B3560" s="9" t="str">
        <f>HYPERLINK("http://www.ncbi.nlm.nih.gov/gene/177007", "177007")</f>
        <v>177007</v>
      </c>
      <c r="C3560" s="9"/>
      <c r="D3560" t="str">
        <f>"C23H5.8"</f>
        <v>C23H5.8</v>
      </c>
      <c r="F3560" t="s">
        <v>11</v>
      </c>
      <c r="H3560" s="12">
        <v>-1.3839278860091599</v>
      </c>
      <c r="I3560" s="20">
        <v>-1.5438279208722001</v>
      </c>
      <c r="J3560" s="28">
        <v>0.122630025398408</v>
      </c>
      <c r="K3560" s="29">
        <v>0.79480141890984701</v>
      </c>
    </row>
    <row r="3561" spans="1:11" x14ac:dyDescent="0.35">
      <c r="A3561" s="9" t="str">
        <f>HYPERLINK("http://www.ensembl.org/id/WBGene00016131", "WBGene00016131")</f>
        <v>WBGene00016131</v>
      </c>
      <c r="B3561" s="9" t="str">
        <f>HYPERLINK("http://www.ncbi.nlm.nih.gov/gene/180807", "180807")</f>
        <v>180807</v>
      </c>
      <c r="C3561" s="9"/>
      <c r="D3561" t="str">
        <f>"C26B9.1"</f>
        <v>C26B9.1</v>
      </c>
      <c r="F3561" t="s">
        <v>11</v>
      </c>
      <c r="G3561" t="s">
        <v>25</v>
      </c>
      <c r="H3561" s="12">
        <v>1.41157853499787</v>
      </c>
      <c r="I3561" s="20">
        <v>1.54399042764288</v>
      </c>
      <c r="J3561" s="28">
        <v>0.122590651601327</v>
      </c>
      <c r="K3561" s="29">
        <v>0.79480141890984701</v>
      </c>
    </row>
    <row r="3562" spans="1:11" x14ac:dyDescent="0.35">
      <c r="A3562" s="9" t="str">
        <f>HYPERLINK("http://www.ensembl.org/id/WBGene00021602", "WBGene00021602")</f>
        <v>WBGene00021602</v>
      </c>
      <c r="B3562" s="9" t="str">
        <f>HYPERLINK("http://www.ncbi.nlm.nih.gov/gene/178657", "178657")</f>
        <v>178657</v>
      </c>
      <c r="C3562" s="9"/>
      <c r="D3562" t="str">
        <f>"clec-205"</f>
        <v>clec-205</v>
      </c>
      <c r="E3562" t="s">
        <v>46</v>
      </c>
      <c r="F3562" t="s">
        <v>11</v>
      </c>
      <c r="G3562" t="s">
        <v>47</v>
      </c>
      <c r="H3562" s="12">
        <v>-2.4203349335537898</v>
      </c>
      <c r="I3562" s="20">
        <v>-1.54448813106676</v>
      </c>
      <c r="J3562" s="28">
        <v>0.12247012438959599</v>
      </c>
      <c r="K3562" s="29">
        <v>0.79480141890984701</v>
      </c>
    </row>
    <row r="3563" spans="1:11" x14ac:dyDescent="0.35">
      <c r="A3563" s="9" t="str">
        <f>HYPERLINK("http://www.ensembl.org/id/WBGene00008969", "WBGene00008969")</f>
        <v>WBGene00008969</v>
      </c>
      <c r="B3563" s="9" t="str">
        <f>HYPERLINK("http://www.ncbi.nlm.nih.gov/gene/184717", "184717")</f>
        <v>184717</v>
      </c>
      <c r="C3563" s="9"/>
      <c r="D3563" t="str">
        <f>"F20C5.4"</f>
        <v>F20C5.4</v>
      </c>
      <c r="F3563" t="s">
        <v>11</v>
      </c>
      <c r="G3563" t="s">
        <v>2868</v>
      </c>
      <c r="H3563" s="12">
        <v>1.41940194404284</v>
      </c>
      <c r="I3563" s="20">
        <v>1.5442023092212001</v>
      </c>
      <c r="J3563" s="28">
        <v>0.122539329608098</v>
      </c>
      <c r="K3563" s="29">
        <v>0.79480141890984701</v>
      </c>
    </row>
    <row r="3564" spans="1:11" x14ac:dyDescent="0.35">
      <c r="A3564" s="9" t="str">
        <f>HYPERLINK("http://www.ensembl.org/id/WBGene00009064", "WBGene00009064")</f>
        <v>WBGene00009064</v>
      </c>
      <c r="B3564" s="9" t="str">
        <f>HYPERLINK("http://www.ncbi.nlm.nih.gov/gene/173180", "173180")</f>
        <v>173180</v>
      </c>
      <c r="C3564" s="9" t="str">
        <f>HYPERLINK("http://www.ncbi.nlm.nih.gov/gene/51479", "51479")</f>
        <v>51479</v>
      </c>
      <c r="D3564" t="str">
        <f>"F22G12.4"</f>
        <v>F22G12.4</v>
      </c>
      <c r="F3564" t="s">
        <v>11</v>
      </c>
      <c r="G3564" t="s">
        <v>2872</v>
      </c>
      <c r="H3564" s="12">
        <v>-1.35940897994081</v>
      </c>
      <c r="I3564" s="20">
        <v>-1.5436933978251901</v>
      </c>
      <c r="J3564" s="28">
        <v>0.122662626487621</v>
      </c>
      <c r="K3564" s="29">
        <v>0.79480141890984701</v>
      </c>
    </row>
    <row r="3565" spans="1:11" x14ac:dyDescent="0.35">
      <c r="A3565" s="9" t="str">
        <f>HYPERLINK("http://www.ensembl.org/id/WBGene00017865", "WBGene00017865")</f>
        <v>WBGene00017865</v>
      </c>
      <c r="B3565" s="9" t="str">
        <f>HYPERLINK("http://www.ncbi.nlm.nih.gov/gene/185019", "185019")</f>
        <v>185019</v>
      </c>
      <c r="C3565" s="9"/>
      <c r="D3565" t="str">
        <f>"F27D9.7"</f>
        <v>F27D9.7</v>
      </c>
      <c r="F3565" t="s">
        <v>11</v>
      </c>
      <c r="G3565" t="s">
        <v>2867</v>
      </c>
      <c r="H3565" s="12">
        <v>1.4674060521011101</v>
      </c>
      <c r="I3565" s="20">
        <v>1.54368996721884</v>
      </c>
      <c r="J3565" s="28">
        <v>0.12266345796903499</v>
      </c>
      <c r="K3565" s="29">
        <v>0.79480141890984701</v>
      </c>
    </row>
    <row r="3566" spans="1:11" x14ac:dyDescent="0.35">
      <c r="A3566" s="9" t="str">
        <f>HYPERLINK("http://www.ensembl.org/id/WBGene00013517", "WBGene00013517")</f>
        <v>WBGene00013517</v>
      </c>
      <c r="B3566" s="9" t="str">
        <f>HYPERLINK("http://www.ncbi.nlm.nih.gov/gene/190669", "190669")</f>
        <v>190669</v>
      </c>
      <c r="C3566" s="9"/>
      <c r="D3566" t="str">
        <f>"lgc-52"</f>
        <v>lgc-52</v>
      </c>
      <c r="E3566" t="s">
        <v>505</v>
      </c>
      <c r="F3566" t="s">
        <v>11</v>
      </c>
      <c r="G3566" t="s">
        <v>506</v>
      </c>
      <c r="H3566" s="12">
        <v>3.31859340598528</v>
      </c>
      <c r="I3566" s="20">
        <v>1.5438589414397501</v>
      </c>
      <c r="J3566" s="28">
        <v>0.122622508656167</v>
      </c>
      <c r="K3566" s="29">
        <v>0.79480141890984701</v>
      </c>
    </row>
    <row r="3567" spans="1:11" x14ac:dyDescent="0.35">
      <c r="A3567" s="9" t="str">
        <f>HYPERLINK("http://www.ensembl.org/id/WBGene00012973", "WBGene00012973")</f>
        <v>WBGene00012973</v>
      </c>
      <c r="B3567" s="9" t="str">
        <f>HYPERLINK("http://www.ncbi.nlm.nih.gov/gene/3564779", "3564779")</f>
        <v>3564779</v>
      </c>
      <c r="C3567" s="9"/>
      <c r="D3567" t="str">
        <f>"spat-2"</f>
        <v>spat-2</v>
      </c>
      <c r="E3567" t="s">
        <v>2871</v>
      </c>
      <c r="F3567" t="s">
        <v>11</v>
      </c>
      <c r="H3567" s="12">
        <v>-1.32927178536145</v>
      </c>
      <c r="I3567" s="20">
        <v>-1.5444240307438699</v>
      </c>
      <c r="J3567" s="28">
        <v>0.122485642158617</v>
      </c>
      <c r="K3567" s="29">
        <v>0.79480141890984701</v>
      </c>
    </row>
    <row r="3568" spans="1:11" x14ac:dyDescent="0.35">
      <c r="A3568" s="9" t="str">
        <f>HYPERLINK("http://www.ensembl.org/id/WBGene00235268", "WBGene00235268")</f>
        <v>WBGene00235268</v>
      </c>
      <c r="B3568" s="9" t="str">
        <f>HYPERLINK("http://www.ncbi.nlm.nih.gov/gene/24105156", "24105156")</f>
        <v>24105156</v>
      </c>
      <c r="C3568" s="9"/>
      <c r="D3568" t="str">
        <f>"Y54G2A.76"</f>
        <v>Y54G2A.76</v>
      </c>
      <c r="F3568" t="s">
        <v>11</v>
      </c>
      <c r="H3568" s="12">
        <v>2.3412411934825599</v>
      </c>
      <c r="I3568" s="20">
        <v>1.5440911024847701</v>
      </c>
      <c r="J3568" s="28">
        <v>0.122566264029721</v>
      </c>
      <c r="K3568" s="29">
        <v>0.79480141890984701</v>
      </c>
    </row>
    <row r="3569" spans="1:11" x14ac:dyDescent="0.35">
      <c r="A3569" s="9" t="str">
        <f>HYPERLINK("http://www.ensembl.org/id/WBGene00220165", "WBGene00220165")</f>
        <v>WBGene00220165</v>
      </c>
      <c r="B3569" s="9"/>
      <c r="C3569" s="9"/>
      <c r="D3569" t="str">
        <f>"Y47G6A.36"</f>
        <v>Y47G6A.36</v>
      </c>
      <c r="F3569" t="s">
        <v>481</v>
      </c>
      <c r="H3569" s="12">
        <v>1.3845037280569601</v>
      </c>
      <c r="I3569" s="20">
        <v>1.54325314237524</v>
      </c>
      <c r="J3569" s="28">
        <v>0.122769367869528</v>
      </c>
      <c r="K3569" s="29">
        <v>0.79526465208671304</v>
      </c>
    </row>
    <row r="3570" spans="1:11" x14ac:dyDescent="0.35">
      <c r="A3570" s="9" t="str">
        <f>HYPERLINK("http://www.ensembl.org/id/WBGene00007267", "WBGene00007267")</f>
        <v>WBGene00007267</v>
      </c>
      <c r="B3570" s="9" t="str">
        <f>HYPERLINK("http://www.ncbi.nlm.nih.gov/gene/181315", "181315")</f>
        <v>181315</v>
      </c>
      <c r="C3570" s="9" t="str">
        <f>HYPERLINK("http://www.ncbi.nlm.nih.gov/gene/54868", "54868")</f>
        <v>54868</v>
      </c>
      <c r="D3570" t="str">
        <f>"C03A3.2"</f>
        <v>C03A3.2</v>
      </c>
      <c r="E3570" t="s">
        <v>2874</v>
      </c>
      <c r="F3570" t="s">
        <v>11</v>
      </c>
      <c r="G3570" t="s">
        <v>25</v>
      </c>
      <c r="H3570" s="12">
        <v>-1.35349539730021</v>
      </c>
      <c r="I3570" s="20">
        <v>-1.54269828374841</v>
      </c>
      <c r="J3570" s="28">
        <v>0.122903998504901</v>
      </c>
      <c r="K3570" s="29">
        <v>0.79569061066244096</v>
      </c>
    </row>
    <row r="3571" spans="1:11" x14ac:dyDescent="0.35">
      <c r="A3571" s="9" t="str">
        <f>HYPERLINK("http://www.ensembl.org/id/WBGene00011643", "WBGene00011643")</f>
        <v>WBGene00011643</v>
      </c>
      <c r="B3571" s="9" t="str">
        <f>HYPERLINK("http://www.ncbi.nlm.nih.gov/gene/181189", "181189")</f>
        <v>181189</v>
      </c>
      <c r="C3571" s="9"/>
      <c r="D3571" t="str">
        <f>"slc-17.9"</f>
        <v>slc-17.9</v>
      </c>
      <c r="E3571" t="s">
        <v>584</v>
      </c>
      <c r="F3571" t="s">
        <v>11</v>
      </c>
      <c r="G3571" t="s">
        <v>2873</v>
      </c>
      <c r="H3571" s="12">
        <v>1.66923204021873</v>
      </c>
      <c r="I3571" s="20">
        <v>1.5427275377227001</v>
      </c>
      <c r="J3571" s="28">
        <v>0.12289689745588001</v>
      </c>
      <c r="K3571" s="29">
        <v>0.79569061066244096</v>
      </c>
    </row>
    <row r="3572" spans="1:11" x14ac:dyDescent="0.35">
      <c r="A3572" s="9" t="str">
        <f>HYPERLINK("http://www.ensembl.org/id/WBGene00010055", "WBGene00010055")</f>
        <v>WBGene00010055</v>
      </c>
      <c r="B3572" s="9" t="str">
        <f>HYPERLINK("http://www.ncbi.nlm.nih.gov/gene/174764", "174764")</f>
        <v>174764</v>
      </c>
      <c r="C3572" s="9" t="str">
        <f>HYPERLINK("http://www.ncbi.nlm.nih.gov/gene/728294", "728294")</f>
        <v>728294</v>
      </c>
      <c r="D3572" t="str">
        <f>"F54D5.12"</f>
        <v>F54D5.12</v>
      </c>
      <c r="F3572" t="s">
        <v>11</v>
      </c>
      <c r="G3572" t="s">
        <v>2875</v>
      </c>
      <c r="H3572" s="12">
        <v>1.3726247802167799</v>
      </c>
      <c r="I3572" s="20">
        <v>1.54228322314346</v>
      </c>
      <c r="J3572" s="28">
        <v>0.12300478398923199</v>
      </c>
      <c r="K3572" s="29">
        <v>0.79612003889501204</v>
      </c>
    </row>
    <row r="3573" spans="1:11" x14ac:dyDescent="0.35">
      <c r="A3573" s="9" t="str">
        <f>HYPERLINK("http://www.ensembl.org/id/WBGene00017193", "WBGene00017193")</f>
        <v>WBGene00017193</v>
      </c>
      <c r="B3573" s="9" t="str">
        <f>HYPERLINK("http://www.ncbi.nlm.nih.gov/gene/184123", "184123")</f>
        <v>184123</v>
      </c>
      <c r="C3573" s="9"/>
      <c r="D3573" t="str">
        <f>"F07C3.2"</f>
        <v>F07C3.2</v>
      </c>
      <c r="F3573" t="s">
        <v>11</v>
      </c>
      <c r="G3573" t="s">
        <v>25</v>
      </c>
      <c r="H3573" s="12">
        <v>1.48744539456576</v>
      </c>
      <c r="I3573" s="20">
        <v>1.54198248528546</v>
      </c>
      <c r="J3573" s="28">
        <v>0.123077849815471</v>
      </c>
      <c r="K3573" s="29">
        <v>0.796369867778291</v>
      </c>
    </row>
    <row r="3574" spans="1:11" x14ac:dyDescent="0.35">
      <c r="A3574" s="9" t="str">
        <f>HYPERLINK("http://www.ensembl.org/id/WBGene00020374", "WBGene00020374")</f>
        <v>WBGene00020374</v>
      </c>
      <c r="B3574" s="9" t="str">
        <f>HYPERLINK("http://www.ncbi.nlm.nih.gov/gene/259582", "259582")</f>
        <v>259582</v>
      </c>
      <c r="C3574" s="9"/>
      <c r="D3574" t="str">
        <f>"T09A12.5"</f>
        <v>T09A12.5</v>
      </c>
      <c r="F3574" t="s">
        <v>11</v>
      </c>
      <c r="G3574" t="s">
        <v>2876</v>
      </c>
      <c r="H3574" s="12">
        <v>-1.3461298391277501</v>
      </c>
      <c r="I3574" s="20">
        <v>-1.5417780879320699</v>
      </c>
      <c r="J3574" s="28">
        <v>0.12312752855923299</v>
      </c>
      <c r="K3574" s="29">
        <v>0.796468274045249</v>
      </c>
    </row>
    <row r="3575" spans="1:11" x14ac:dyDescent="0.35">
      <c r="A3575" s="9" t="str">
        <f>HYPERLINK("http://www.ensembl.org/id/WBGene00219376", "WBGene00219376")</f>
        <v>WBGene00219376</v>
      </c>
      <c r="B3575" s="9" t="str">
        <f>HYPERLINK("http://www.ncbi.nlm.nih.gov/gene/13222010", "13222010")</f>
        <v>13222010</v>
      </c>
      <c r="C3575" s="9"/>
      <c r="D3575" t="str">
        <f>"C28G1.10"</f>
        <v>C28G1.10</v>
      </c>
      <c r="F3575" t="s">
        <v>11</v>
      </c>
      <c r="G3575" t="s">
        <v>2883</v>
      </c>
      <c r="H3575" s="12">
        <v>-1.66098270437169</v>
      </c>
      <c r="I3575" s="20">
        <v>-1.5403496520242199</v>
      </c>
      <c r="J3575" s="28">
        <v>0.12347514691268301</v>
      </c>
      <c r="K3575" s="29">
        <v>0.79722221030317098</v>
      </c>
    </row>
    <row r="3576" spans="1:11" x14ac:dyDescent="0.35">
      <c r="A3576" s="9" t="str">
        <f>HYPERLINK("http://www.ensembl.org/id/WBGene00016142", "WBGene00016142")</f>
        <v>WBGene00016142</v>
      </c>
      <c r="B3576" s="9" t="str">
        <f>HYPERLINK("http://www.ncbi.nlm.nih.gov/gene/175666", "175666")</f>
        <v>175666</v>
      </c>
      <c r="C3576" s="9" t="str">
        <f>HYPERLINK("http://www.ncbi.nlm.nih.gov/gene/11222", "11222")</f>
        <v>11222</v>
      </c>
      <c r="D3576" t="str">
        <f>"mrps-18C"</f>
        <v>mrps-18C</v>
      </c>
      <c r="E3576" t="s">
        <v>2881</v>
      </c>
      <c r="F3576" t="s">
        <v>11</v>
      </c>
      <c r="G3576" t="s">
        <v>2882</v>
      </c>
      <c r="H3576" s="12">
        <v>-1.3685566237779501</v>
      </c>
      <c r="I3576" s="20">
        <v>-1.54062153707956</v>
      </c>
      <c r="J3576" s="28">
        <v>0.123408923100136</v>
      </c>
      <c r="K3576" s="29">
        <v>0.79722221030317098</v>
      </c>
    </row>
    <row r="3577" spans="1:11" x14ac:dyDescent="0.35">
      <c r="A3577" s="9" t="str">
        <f>HYPERLINK("http://www.ensembl.org/id/WBGene00020587", "WBGene00020587")</f>
        <v>WBGene00020587</v>
      </c>
      <c r="B3577" s="9" t="str">
        <f>HYPERLINK("http://www.ncbi.nlm.nih.gov/gene/178883", "178883")</f>
        <v>178883</v>
      </c>
      <c r="C3577" s="9"/>
      <c r="D3577" t="str">
        <f>"ugt-9"</f>
        <v>ugt-9</v>
      </c>
      <c r="E3577" t="s">
        <v>103</v>
      </c>
      <c r="F3577" t="s">
        <v>11</v>
      </c>
      <c r="G3577" t="s">
        <v>104</v>
      </c>
      <c r="H3577" s="12">
        <v>3.0195013203349998</v>
      </c>
      <c r="I3577" s="20">
        <v>1.5409007130554799</v>
      </c>
      <c r="J3577" s="28">
        <v>0.123340952276385</v>
      </c>
      <c r="K3577" s="29">
        <v>0.79722221030317098</v>
      </c>
    </row>
    <row r="3578" spans="1:11" x14ac:dyDescent="0.35">
      <c r="A3578" s="9" t="str">
        <f>HYPERLINK("http://www.ensembl.org/id/WBGene00006763", "WBGene00006763")</f>
        <v>WBGene00006763</v>
      </c>
      <c r="B3578" s="9" t="str">
        <f>HYPERLINK("http://www.ncbi.nlm.nih.gov/gene/178284", "178284")</f>
        <v>178284</v>
      </c>
      <c r="C3578" s="9" t="str">
        <f>HYPERLINK("http://www.ncbi.nlm.nih.gov/gene/8867", "8867")</f>
        <v>8867</v>
      </c>
      <c r="D3578" t="str">
        <f>"unc-26"</f>
        <v>unc-26</v>
      </c>
      <c r="E3578" t="s">
        <v>2879</v>
      </c>
      <c r="F3578" t="s">
        <v>11</v>
      </c>
      <c r="G3578" t="s">
        <v>2880</v>
      </c>
      <c r="H3578" s="12">
        <v>-1.3659254087866499</v>
      </c>
      <c r="I3578" s="20">
        <v>-1.5410901286562699</v>
      </c>
      <c r="J3578" s="28">
        <v>0.12329485200887901</v>
      </c>
      <c r="K3578" s="29">
        <v>0.79722221030317098</v>
      </c>
    </row>
    <row r="3579" spans="1:11" x14ac:dyDescent="0.35">
      <c r="A3579" s="9" t="str">
        <f>HYPERLINK("http://www.ensembl.org/id/WBGene00271643", "WBGene00271643")</f>
        <v>WBGene00271643</v>
      </c>
      <c r="B3579" s="9"/>
      <c r="C3579" s="9"/>
      <c r="D3579" t="str">
        <f>"W07G1.25"</f>
        <v>W07G1.25</v>
      </c>
      <c r="F3579" t="s">
        <v>481</v>
      </c>
      <c r="H3579" s="12">
        <v>-3.2889798395333001</v>
      </c>
      <c r="I3579" s="20">
        <v>-1.54038368255317</v>
      </c>
      <c r="J3579" s="28">
        <v>0.12346685648179501</v>
      </c>
      <c r="K3579" s="29">
        <v>0.79722221030317098</v>
      </c>
    </row>
    <row r="3580" spans="1:11" x14ac:dyDescent="0.35">
      <c r="A3580" s="9" t="str">
        <f>HYPERLINK("http://www.ensembl.org/id/WBGene00022155", "WBGene00022155")</f>
        <v>WBGene00022155</v>
      </c>
      <c r="B3580" s="9" t="str">
        <f>HYPERLINK("http://www.ncbi.nlm.nih.gov/gene/171730", "171730")</f>
        <v>171730</v>
      </c>
      <c r="C3580" s="9"/>
      <c r="D3580" t="str">
        <f>"Y71G12B.17"</f>
        <v>Y71G12B.17</v>
      </c>
      <c r="F3580" t="s">
        <v>11</v>
      </c>
      <c r="G3580" t="s">
        <v>2877</v>
      </c>
      <c r="H3580" s="12">
        <v>2.1041727486071098</v>
      </c>
      <c r="I3580" s="20">
        <v>1.54077423038455</v>
      </c>
      <c r="J3580" s="28">
        <v>0.123371743321395</v>
      </c>
      <c r="K3580" s="29">
        <v>0.79722221030317098</v>
      </c>
    </row>
    <row r="3581" spans="1:11" x14ac:dyDescent="0.35">
      <c r="A3581" s="9" t="str">
        <f>HYPERLINK("http://www.ensembl.org/id/WBGene00019077", "WBGene00019077")</f>
        <v>WBGene00019077</v>
      </c>
      <c r="B3581" s="9" t="str">
        <f>HYPERLINK("http://www.ncbi.nlm.nih.gov/gene/172205", "172205")</f>
        <v>172205</v>
      </c>
      <c r="C3581" s="9" t="str">
        <f>HYPERLINK("http://www.ncbi.nlm.nih.gov/gene/201266", "201266")</f>
        <v>201266</v>
      </c>
      <c r="D3581" t="str">
        <f>"zipt-11"</f>
        <v>zipt-11</v>
      </c>
      <c r="E3581" t="s">
        <v>106</v>
      </c>
      <c r="F3581" t="s">
        <v>11</v>
      </c>
      <c r="G3581" t="s">
        <v>2878</v>
      </c>
      <c r="H3581" s="12">
        <v>-1.33740996281664</v>
      </c>
      <c r="I3581" s="20">
        <v>-1.5403067437407101</v>
      </c>
      <c r="J3581" s="28">
        <v>0.123485600738988</v>
      </c>
      <c r="K3581" s="29">
        <v>0.79722221030317098</v>
      </c>
    </row>
    <row r="3582" spans="1:11" x14ac:dyDescent="0.35">
      <c r="A3582" s="9" t="str">
        <f>HYPERLINK("http://www.ensembl.org/id/WBGene00015978", "WBGene00015978")</f>
        <v>WBGene00015978</v>
      </c>
      <c r="B3582" s="9" t="str">
        <f>HYPERLINK("http://www.ncbi.nlm.nih.gov/gene/175889", "175889")</f>
        <v>175889</v>
      </c>
      <c r="C3582" s="9" t="str">
        <f>HYPERLINK("http://www.ncbi.nlm.nih.gov/gene/88455", "88455")</f>
        <v>88455</v>
      </c>
      <c r="D3582" t="str">
        <f>"C18F10.7"</f>
        <v>C18F10.7</v>
      </c>
      <c r="F3582" t="s">
        <v>11</v>
      </c>
      <c r="G3582" t="s">
        <v>2884</v>
      </c>
      <c r="H3582" s="12">
        <v>-1.32689848620491</v>
      </c>
      <c r="I3582" s="20">
        <v>-1.5397439966973101</v>
      </c>
      <c r="J3582" s="28">
        <v>0.12362276782942901</v>
      </c>
      <c r="K3582" s="29">
        <v>0.797884824990722</v>
      </c>
    </row>
    <row r="3583" spans="1:11" x14ac:dyDescent="0.35">
      <c r="A3583" s="9" t="str">
        <f>HYPERLINK("http://www.ensembl.org/id/WBGene00006874", "WBGene00006874")</f>
        <v>WBGene00006874</v>
      </c>
      <c r="B3583" s="9" t="str">
        <f>HYPERLINK("http://www.ncbi.nlm.nih.gov/gene/179675", "179675")</f>
        <v>179675</v>
      </c>
      <c r="C3583" s="9"/>
      <c r="D3583" t="str">
        <f>"vab-8"</f>
        <v>vab-8</v>
      </c>
      <c r="E3583" t="s">
        <v>2885</v>
      </c>
      <c r="F3583" t="s">
        <v>11</v>
      </c>
      <c r="G3583" t="s">
        <v>2886</v>
      </c>
      <c r="H3583" s="12">
        <v>1.3475990623743299</v>
      </c>
      <c r="I3583" s="20">
        <v>1.5394733974452199</v>
      </c>
      <c r="J3583" s="28">
        <v>0.123688767525253</v>
      </c>
      <c r="K3583" s="29">
        <v>0.79808786999120496</v>
      </c>
    </row>
    <row r="3584" spans="1:11" x14ac:dyDescent="0.35">
      <c r="A3584" s="9" t="str">
        <f>HYPERLINK("http://www.ensembl.org/id/WBGene00000801", "WBGene00000801")</f>
        <v>WBGene00000801</v>
      </c>
      <c r="B3584" s="9"/>
      <c r="C3584" s="9"/>
      <c r="D3584" t="str">
        <f>"cars-2"</f>
        <v>cars-2</v>
      </c>
      <c r="F3584" t="s">
        <v>80</v>
      </c>
      <c r="H3584" s="12">
        <v>1.54308265066935</v>
      </c>
      <c r="I3584" s="20">
        <v>1.5390747029906</v>
      </c>
      <c r="J3584" s="28">
        <v>0.123786060005425</v>
      </c>
      <c r="K3584" s="29">
        <v>0.79826980253568103</v>
      </c>
    </row>
    <row r="3585" spans="1:11" x14ac:dyDescent="0.35">
      <c r="A3585" s="9" t="str">
        <f>HYPERLINK("http://www.ensembl.org/id/WBGene00016521", "WBGene00016521")</f>
        <v>WBGene00016521</v>
      </c>
      <c r="B3585" s="9" t="str">
        <f>HYPERLINK("http://www.ncbi.nlm.nih.gov/gene/183322", "183322")</f>
        <v>183322</v>
      </c>
      <c r="C3585" s="9"/>
      <c r="D3585" t="str">
        <f>"fbxa-62"</f>
        <v>fbxa-62</v>
      </c>
      <c r="E3585" t="s">
        <v>467</v>
      </c>
      <c r="F3585" t="s">
        <v>11</v>
      </c>
      <c r="G3585" t="s">
        <v>54</v>
      </c>
      <c r="H3585" s="12">
        <v>3.9140217803182802</v>
      </c>
      <c r="I3585" s="20">
        <v>1.5390771235436</v>
      </c>
      <c r="J3585" s="28">
        <v>0.123785469143348</v>
      </c>
      <c r="K3585" s="29">
        <v>0.79826980253568103</v>
      </c>
    </row>
    <row r="3586" spans="1:11" x14ac:dyDescent="0.35">
      <c r="A3586" s="9" t="str">
        <f>HYPERLINK("http://www.ensembl.org/id/WBGene00000001", "WBGene00000001")</f>
        <v>WBGene00000001</v>
      </c>
      <c r="B3586" s="9" t="str">
        <f>HYPERLINK("http://www.ncbi.nlm.nih.gov/gene/172141", "172141")</f>
        <v>172141</v>
      </c>
      <c r="C3586" s="9" t="str">
        <f>HYPERLINK("http://www.ncbi.nlm.nih.gov/gene/5295", "5295")</f>
        <v>5295</v>
      </c>
      <c r="D3586" t="str">
        <f>"aap-1"</f>
        <v>aap-1</v>
      </c>
      <c r="E3586" t="s">
        <v>2890</v>
      </c>
      <c r="F3586" t="s">
        <v>11</v>
      </c>
      <c r="G3586" t="s">
        <v>2891</v>
      </c>
      <c r="H3586" s="12">
        <v>-1.36695478163148</v>
      </c>
      <c r="I3586" s="20">
        <v>-1.53865103970967</v>
      </c>
      <c r="J3586" s="28">
        <v>0.12388951101675399</v>
      </c>
      <c r="K3586" s="29">
        <v>0.79849722301371495</v>
      </c>
    </row>
    <row r="3587" spans="1:11" x14ac:dyDescent="0.35">
      <c r="A3587" s="9" t="str">
        <f>HYPERLINK("http://www.ensembl.org/id/WBGene00000416", "WBGene00000416")</f>
        <v>WBGene00000416</v>
      </c>
      <c r="B3587" s="9" t="str">
        <f>HYPERLINK("http://www.ncbi.nlm.nih.gov/gene/176968", "176968")</f>
        <v>176968</v>
      </c>
      <c r="C3587" s="9" t="str">
        <f>HYPERLINK("http://www.ncbi.nlm.nih.gov/gene/1398", "1398")</f>
        <v>1398</v>
      </c>
      <c r="D3587" t="str">
        <f>"ced-2"</f>
        <v>ced-2</v>
      </c>
      <c r="E3587" t="s">
        <v>2889</v>
      </c>
      <c r="F3587" t="s">
        <v>11</v>
      </c>
      <c r="G3587" t="s">
        <v>54</v>
      </c>
      <c r="H3587" s="12">
        <v>-1.34887859641735</v>
      </c>
      <c r="I3587" s="20">
        <v>-1.5381423591919801</v>
      </c>
      <c r="J3587" s="28">
        <v>0.12401381084447401</v>
      </c>
      <c r="K3587" s="29">
        <v>0.79849722301371495</v>
      </c>
    </row>
    <row r="3588" spans="1:11" x14ac:dyDescent="0.35">
      <c r="A3588" s="9" t="str">
        <f>HYPERLINK("http://www.ensembl.org/id/WBGene00000733", "WBGene00000733")</f>
        <v>WBGene00000733</v>
      </c>
      <c r="B3588" s="9" t="str">
        <f>HYPERLINK("http://www.ncbi.nlm.nih.gov/gene/179804", "179804")</f>
        <v>179804</v>
      </c>
      <c r="C3588" s="9"/>
      <c r="D3588" t="str">
        <f>"col-160"</f>
        <v>col-160</v>
      </c>
      <c r="E3588" t="s">
        <v>40</v>
      </c>
      <c r="F3588" t="s">
        <v>11</v>
      </c>
      <c r="G3588" t="s">
        <v>41</v>
      </c>
      <c r="H3588" s="12">
        <v>1.43839198443274</v>
      </c>
      <c r="I3588" s="20">
        <v>1.53816071196449</v>
      </c>
      <c r="J3588" s="28">
        <v>0.12400932451792</v>
      </c>
      <c r="K3588" s="29">
        <v>0.79849722301371495</v>
      </c>
    </row>
    <row r="3589" spans="1:11" x14ac:dyDescent="0.35">
      <c r="A3589" s="9" t="str">
        <f>HYPERLINK("http://www.ensembl.org/id/WBGene00017933", "WBGene00017933")</f>
        <v>WBGene00017933</v>
      </c>
      <c r="B3589" s="9"/>
      <c r="C3589" s="9"/>
      <c r="D3589" t="str">
        <f>"F29G9.7"</f>
        <v>F29G9.7</v>
      </c>
      <c r="F3589" t="s">
        <v>80</v>
      </c>
      <c r="H3589" s="12">
        <v>-2.4831224486841799</v>
      </c>
      <c r="I3589" s="20">
        <v>-1.53841132332456</v>
      </c>
      <c r="J3589" s="28">
        <v>0.123948075360812</v>
      </c>
      <c r="K3589" s="29">
        <v>0.79849722301371495</v>
      </c>
    </row>
    <row r="3590" spans="1:11" x14ac:dyDescent="0.35">
      <c r="A3590" s="9" t="str">
        <f>HYPERLINK("http://www.ensembl.org/id/WBGene00017937", "WBGene00017937")</f>
        <v>WBGene00017937</v>
      </c>
      <c r="B3590" s="9" t="str">
        <f>HYPERLINK("http://www.ncbi.nlm.nih.gov/gene/175207", "175207")</f>
        <v>175207</v>
      </c>
      <c r="C3590" s="9"/>
      <c r="D3590" t="str">
        <f>"F30H5.3"</f>
        <v>F30H5.3</v>
      </c>
      <c r="F3590" t="s">
        <v>11</v>
      </c>
      <c r="G3590" t="s">
        <v>50</v>
      </c>
      <c r="H3590" s="12">
        <v>4.2568876422669497</v>
      </c>
      <c r="I3590" s="20">
        <v>1.53751638547225</v>
      </c>
      <c r="J3590" s="28">
        <v>0.12416690566468799</v>
      </c>
      <c r="K3590" s="29">
        <v>0.79849722301371495</v>
      </c>
    </row>
    <row r="3591" spans="1:11" x14ac:dyDescent="0.35">
      <c r="A3591" s="9" t="str">
        <f>HYPERLINK("http://www.ensembl.org/id/WBGene00194783", "WBGene00194783")</f>
        <v>WBGene00194783</v>
      </c>
      <c r="B3591" s="9" t="str">
        <f>HYPERLINK("http://www.ncbi.nlm.nih.gov/gene/13215263", "13215263")</f>
        <v>13215263</v>
      </c>
      <c r="C3591" s="9"/>
      <c r="D3591" t="str">
        <f>"K03B8.14"</f>
        <v>K03B8.14</v>
      </c>
      <c r="F3591" t="s">
        <v>11</v>
      </c>
      <c r="H3591" s="12">
        <v>2.5985241485000801</v>
      </c>
      <c r="I3591" s="20">
        <v>1.53797202377346</v>
      </c>
      <c r="J3591" s="28">
        <v>0.124055455299626</v>
      </c>
      <c r="K3591" s="29">
        <v>0.79849722301371495</v>
      </c>
    </row>
    <row r="3592" spans="1:11" x14ac:dyDescent="0.35">
      <c r="A3592" s="9" t="str">
        <f>HYPERLINK("http://www.ensembl.org/id/WBGene00010666", "WBGene00010666")</f>
        <v>WBGene00010666</v>
      </c>
      <c r="B3592" s="9" t="str">
        <f>HYPERLINK("http://www.ncbi.nlm.nih.gov/gene/178144", "178144")</f>
        <v>178144</v>
      </c>
      <c r="C3592" s="9"/>
      <c r="D3592" t="str">
        <f>"K08E4.2"</f>
        <v>K08E4.2</v>
      </c>
      <c r="F3592" t="s">
        <v>11</v>
      </c>
      <c r="G3592" t="s">
        <v>2892</v>
      </c>
      <c r="H3592" s="12">
        <v>-1.3902651021600601</v>
      </c>
      <c r="I3592" s="20">
        <v>-1.53764003514051</v>
      </c>
      <c r="J3592" s="28">
        <v>0.124136652899759</v>
      </c>
      <c r="K3592" s="29">
        <v>0.79849722301371495</v>
      </c>
    </row>
    <row r="3593" spans="1:11" x14ac:dyDescent="0.35">
      <c r="A3593" s="9" t="str">
        <f>HYPERLINK("http://www.ensembl.org/id/WBGene00004181", "WBGene00004181")</f>
        <v>WBGene00004181</v>
      </c>
      <c r="B3593" s="9" t="str">
        <f>HYPERLINK("http://www.ncbi.nlm.nih.gov/gene/173122", "173122")</f>
        <v>173122</v>
      </c>
      <c r="C3593" s="9" t="str">
        <f>HYPERLINK("http://www.ncbi.nlm.nih.gov/gene/5558", "5558")</f>
        <v>5558</v>
      </c>
      <c r="D3593" t="str">
        <f>"pri-2"</f>
        <v>pri-2</v>
      </c>
      <c r="E3593" t="s">
        <v>2893</v>
      </c>
      <c r="F3593" t="s">
        <v>11</v>
      </c>
      <c r="G3593" t="s">
        <v>2894</v>
      </c>
      <c r="H3593" s="12">
        <v>-1.42886647833115</v>
      </c>
      <c r="I3593" s="20">
        <v>-1.53770437336531</v>
      </c>
      <c r="J3593" s="28">
        <v>0.12412091385308301</v>
      </c>
      <c r="K3593" s="29">
        <v>0.79849722301371495</v>
      </c>
    </row>
    <row r="3594" spans="1:11" x14ac:dyDescent="0.35">
      <c r="A3594" s="9" t="str">
        <f>HYPERLINK("http://www.ensembl.org/id/WBGene00004372", "WBGene00004372")</f>
        <v>WBGene00004372</v>
      </c>
      <c r="B3594" s="9" t="str">
        <f>HYPERLINK("http://www.ncbi.nlm.nih.gov/gene/172791", "172791")</f>
        <v>172791</v>
      </c>
      <c r="C3594" s="9"/>
      <c r="D3594" t="str">
        <f>"rig-5"</f>
        <v>rig-5</v>
      </c>
      <c r="E3594" t="s">
        <v>2887</v>
      </c>
      <c r="F3594" t="s">
        <v>11</v>
      </c>
      <c r="G3594" t="s">
        <v>2888</v>
      </c>
      <c r="H3594" s="12">
        <v>1.6823555763007301</v>
      </c>
      <c r="I3594" s="20">
        <v>1.5379249845584999</v>
      </c>
      <c r="J3594" s="28">
        <v>0.124066957604757</v>
      </c>
      <c r="K3594" s="29">
        <v>0.79849722301371495</v>
      </c>
    </row>
    <row r="3595" spans="1:11" x14ac:dyDescent="0.35">
      <c r="A3595" s="9" t="str">
        <f>HYPERLINK("http://www.ensembl.org/id/WBGene00012675", "WBGene00012675")</f>
        <v>WBGene00012675</v>
      </c>
      <c r="B3595" s="9" t="str">
        <f>HYPERLINK("http://www.ncbi.nlm.nih.gov/gene/189731", "189731")</f>
        <v>189731</v>
      </c>
      <c r="C3595" s="9"/>
      <c r="D3595" t="str">
        <f>"Y39B6A.13"</f>
        <v>Y39B6A.13</v>
      </c>
      <c r="F3595" t="s">
        <v>11</v>
      </c>
      <c r="H3595" s="12">
        <v>-1.47541077842216</v>
      </c>
      <c r="I3595" s="20">
        <v>-1.5385953882651</v>
      </c>
      <c r="J3595" s="28">
        <v>0.123903105118258</v>
      </c>
      <c r="K3595" s="29">
        <v>0.79849722301371495</v>
      </c>
    </row>
    <row r="3596" spans="1:11" x14ac:dyDescent="0.35">
      <c r="A3596" s="9" t="str">
        <f>HYPERLINK("http://www.ensembl.org/id/WBGene00016128", "WBGene00016128")</f>
        <v>WBGene00016128</v>
      </c>
      <c r="B3596" s="9" t="str">
        <f>HYPERLINK("http://www.ncbi.nlm.nih.gov/gene/182929", "182929")</f>
        <v>182929</v>
      </c>
      <c r="C3596" s="9" t="str">
        <f>HYPERLINK("http://www.ncbi.nlm.nih.gov/gene/26610", "26610")</f>
        <v>26610</v>
      </c>
      <c r="D3596" t="str">
        <f>"elpc-4"</f>
        <v>elpc-4</v>
      </c>
      <c r="E3596" t="s">
        <v>2895</v>
      </c>
      <c r="F3596" t="s">
        <v>11</v>
      </c>
      <c r="G3596" t="s">
        <v>2896</v>
      </c>
      <c r="H3596" s="12">
        <v>-1.3841102663806</v>
      </c>
      <c r="I3596" s="20">
        <v>-1.53698301348274</v>
      </c>
      <c r="J3596" s="28">
        <v>0.12429746913114099</v>
      </c>
      <c r="K3596" s="29">
        <v>0.79868020558918695</v>
      </c>
    </row>
    <row r="3597" spans="1:11" x14ac:dyDescent="0.35">
      <c r="A3597" s="9" t="str">
        <f>HYPERLINK("http://www.ensembl.org/id/WBGene00008831", "WBGene00008831")</f>
        <v>WBGene00008831</v>
      </c>
      <c r="B3597" s="9" t="str">
        <f>HYPERLINK("http://www.ncbi.nlm.nih.gov/gene/184497", "184497")</f>
        <v>184497</v>
      </c>
      <c r="C3597" s="9"/>
      <c r="D3597" t="str">
        <f>"F14H3.12"</f>
        <v>F14H3.12</v>
      </c>
      <c r="F3597" t="s">
        <v>11</v>
      </c>
      <c r="G3597" t="s">
        <v>2897</v>
      </c>
      <c r="H3597" s="12">
        <v>-1.54201304242861</v>
      </c>
      <c r="I3597" s="20">
        <v>-1.53702717599503</v>
      </c>
      <c r="J3597" s="28">
        <v>0.124286654579429</v>
      </c>
      <c r="K3597" s="29">
        <v>0.79868020558918695</v>
      </c>
    </row>
    <row r="3598" spans="1:11" x14ac:dyDescent="0.35">
      <c r="A3598" s="9" t="str">
        <f>HYPERLINK("http://www.ensembl.org/id/WBGene00019400", "WBGene00019400")</f>
        <v>WBGene00019400</v>
      </c>
      <c r="B3598" s="9" t="str">
        <f>HYPERLINK("http://www.ncbi.nlm.nih.gov/gene/176004", "176004")</f>
        <v>176004</v>
      </c>
      <c r="C3598" s="9"/>
      <c r="D3598" t="str">
        <f>"K04G7.1"</f>
        <v>K04G7.1</v>
      </c>
      <c r="F3598" t="s">
        <v>11</v>
      </c>
      <c r="H3598" s="12">
        <v>-1.3587557752830499</v>
      </c>
      <c r="I3598" s="20">
        <v>-1.53697652802398</v>
      </c>
      <c r="J3598" s="28">
        <v>0.12429905735734099</v>
      </c>
      <c r="K3598" s="29">
        <v>0.79868020558918695</v>
      </c>
    </row>
    <row r="3599" spans="1:11" x14ac:dyDescent="0.35">
      <c r="A3599" s="9" t="str">
        <f>HYPERLINK("http://www.ensembl.org/id/WBGene00011473", "WBGene00011473")</f>
        <v>WBGene00011473</v>
      </c>
      <c r="B3599" s="9" t="str">
        <f>HYPERLINK("http://www.ncbi.nlm.nih.gov/gene/3565117", "3565117")</f>
        <v>3565117</v>
      </c>
      <c r="C3599" s="9"/>
      <c r="D3599" t="str">
        <f>"T05C12.11"</f>
        <v>T05C12.11</v>
      </c>
      <c r="F3599" t="s">
        <v>11</v>
      </c>
      <c r="G3599" t="s">
        <v>25</v>
      </c>
      <c r="H3599" s="12">
        <v>2.3230661423385102</v>
      </c>
      <c r="I3599" s="20">
        <v>1.5367464545428</v>
      </c>
      <c r="J3599" s="28">
        <v>0.124355410373806</v>
      </c>
      <c r="K3599" s="29">
        <v>0.79882015904841897</v>
      </c>
    </row>
    <row r="3600" spans="1:11" x14ac:dyDescent="0.35">
      <c r="A3600" s="9" t="str">
        <f>HYPERLINK("http://www.ensembl.org/id/WBGene00011282", "WBGene00011282")</f>
        <v>WBGene00011282</v>
      </c>
      <c r="B3600" s="9" t="str">
        <f>HYPERLINK("http://www.ncbi.nlm.nih.gov/gene/175544", "175544")</f>
        <v>175544</v>
      </c>
      <c r="C3600" s="9"/>
      <c r="D3600" t="str">
        <f>"R74.8"</f>
        <v>R74.8</v>
      </c>
      <c r="F3600" t="s">
        <v>11</v>
      </c>
      <c r="H3600" s="12">
        <v>-1.33089607750755</v>
      </c>
      <c r="I3600" s="20">
        <v>-1.5363757751334699</v>
      </c>
      <c r="J3600" s="28">
        <v>0.124446244603047</v>
      </c>
      <c r="K3600" s="29">
        <v>0.799050813745109</v>
      </c>
    </row>
    <row r="3601" spans="1:11" x14ac:dyDescent="0.35">
      <c r="A3601" s="9" t="str">
        <f>HYPERLINK("http://www.ensembl.org/id/WBGene00022549", "WBGene00022549")</f>
        <v>WBGene00022549</v>
      </c>
      <c r="B3601" s="9" t="str">
        <f>HYPERLINK("http://www.ncbi.nlm.nih.gov/gene/191104", "191104")</f>
        <v>191104</v>
      </c>
      <c r="C3601" s="9"/>
      <c r="D3601" t="str">
        <f>"ZC196.5"</f>
        <v>ZC196.5</v>
      </c>
      <c r="F3601" t="s">
        <v>11</v>
      </c>
      <c r="G3601" t="s">
        <v>25</v>
      </c>
      <c r="H3601" s="12">
        <v>-1.7545460452472701</v>
      </c>
      <c r="I3601" s="20">
        <v>-1.5363176970666299</v>
      </c>
      <c r="J3601" s="28">
        <v>0.124460481202659</v>
      </c>
      <c r="K3601" s="29">
        <v>0.799050813745109</v>
      </c>
    </row>
    <row r="3602" spans="1:11" x14ac:dyDescent="0.35">
      <c r="A3602" s="9" t="str">
        <f>HYPERLINK("http://www.ensembl.org/id/WBGene00016803", "WBGene00016803")</f>
        <v>WBGene00016803</v>
      </c>
      <c r="B3602" s="9" t="str">
        <f>HYPERLINK("http://www.ncbi.nlm.nih.gov/gene/176152", "176152")</f>
        <v>176152</v>
      </c>
      <c r="C3602" s="9"/>
      <c r="D3602" t="str">
        <f>"bath-42"</f>
        <v>bath-42</v>
      </c>
      <c r="E3602" t="s">
        <v>2904</v>
      </c>
      <c r="F3602" t="s">
        <v>11</v>
      </c>
      <c r="G3602" t="s">
        <v>54</v>
      </c>
      <c r="H3602" s="12">
        <v>-1.32939214683091</v>
      </c>
      <c r="I3602" s="20">
        <v>-1.5355062030504101</v>
      </c>
      <c r="J3602" s="28">
        <v>0.124659534564491</v>
      </c>
      <c r="K3602" s="29">
        <v>0.79911259413981595</v>
      </c>
    </row>
    <row r="3603" spans="1:11" x14ac:dyDescent="0.35">
      <c r="A3603" s="9" t="str">
        <f>HYPERLINK("http://www.ensembl.org/id/WBGene00018976", "WBGene00018976")</f>
        <v>WBGene00018976</v>
      </c>
      <c r="B3603" s="9" t="str">
        <f>HYPERLINK("http://www.ncbi.nlm.nih.gov/gene/186392", "186392")</f>
        <v>186392</v>
      </c>
      <c r="C3603" s="9"/>
      <c r="D3603" t="str">
        <f>"daam-1"</f>
        <v>daam-1</v>
      </c>
      <c r="E3603" t="s">
        <v>2900</v>
      </c>
      <c r="F3603" t="s">
        <v>11</v>
      </c>
      <c r="G3603" t="s">
        <v>2901</v>
      </c>
      <c r="H3603" s="12">
        <v>1.4229144843516399</v>
      </c>
      <c r="I3603" s="20">
        <v>1.53542170669474</v>
      </c>
      <c r="J3603" s="28">
        <v>0.124680275146709</v>
      </c>
      <c r="K3603" s="29">
        <v>0.79911259413981595</v>
      </c>
    </row>
    <row r="3604" spans="1:11" x14ac:dyDescent="0.35">
      <c r="A3604" s="9" t="str">
        <f>HYPERLINK("http://www.ensembl.org/id/WBGene00017973", "WBGene00017973")</f>
        <v>WBGene00017973</v>
      </c>
      <c r="B3604" s="9" t="str">
        <f>HYPERLINK("http://www.ncbi.nlm.nih.gov/gene/185183", "185183")</f>
        <v>185183</v>
      </c>
      <c r="C3604" s="9" t="str">
        <f>HYPERLINK("http://www.ncbi.nlm.nih.gov/gene/28981", "28981")</f>
        <v>28981</v>
      </c>
      <c r="D3604" t="str">
        <f>"ift-81"</f>
        <v>ift-81</v>
      </c>
      <c r="E3604" t="s">
        <v>2898</v>
      </c>
      <c r="F3604" t="s">
        <v>11</v>
      </c>
      <c r="G3604" t="s">
        <v>2899</v>
      </c>
      <c r="H3604" s="12">
        <v>1.6036503502289601</v>
      </c>
      <c r="I3604" s="20">
        <v>1.5353554566844201</v>
      </c>
      <c r="J3604" s="28">
        <v>0.12469653884003</v>
      </c>
      <c r="K3604" s="29">
        <v>0.79911259413981595</v>
      </c>
    </row>
    <row r="3605" spans="1:11" x14ac:dyDescent="0.35">
      <c r="A3605" s="9" t="str">
        <f>HYPERLINK("http://www.ensembl.org/id/WBGene00010660", "WBGene00010660")</f>
        <v>WBGene00010660</v>
      </c>
      <c r="B3605" s="9" t="str">
        <f>HYPERLINK("http://www.ncbi.nlm.nih.gov/gene/178241", "178241")</f>
        <v>178241</v>
      </c>
      <c r="C3605" s="9"/>
      <c r="D3605" t="str">
        <f>"K08D8.6"</f>
        <v>K08D8.6</v>
      </c>
      <c r="F3605" t="s">
        <v>11</v>
      </c>
      <c r="G3605" t="s">
        <v>548</v>
      </c>
      <c r="H3605" s="12">
        <v>1.41664701717423</v>
      </c>
      <c r="I3605" s="20">
        <v>1.5353084368057901</v>
      </c>
      <c r="J3605" s="28">
        <v>0.12470808273837999</v>
      </c>
      <c r="K3605" s="29">
        <v>0.79911259413981595</v>
      </c>
    </row>
    <row r="3606" spans="1:11" x14ac:dyDescent="0.35">
      <c r="A3606" s="9" t="str">
        <f>HYPERLINK("http://www.ensembl.org/id/WBGene00008684", "WBGene00008684")</f>
        <v>WBGene00008684</v>
      </c>
      <c r="B3606" s="9" t="str">
        <f>HYPERLINK("http://www.ncbi.nlm.nih.gov/gene/178150", "178150")</f>
        <v>178150</v>
      </c>
      <c r="C3606" s="9" t="str">
        <f>HYPERLINK("http://www.ncbi.nlm.nih.gov/gene/10336", "10336")</f>
        <v>10336</v>
      </c>
      <c r="D3606" t="str">
        <f>"mig-32"</f>
        <v>mig-32</v>
      </c>
      <c r="F3606" t="s">
        <v>11</v>
      </c>
      <c r="G3606" t="s">
        <v>2905</v>
      </c>
      <c r="H3606" s="12">
        <v>-1.3726592412363401</v>
      </c>
      <c r="I3606" s="20">
        <v>-1.53612602381041</v>
      </c>
      <c r="J3606" s="28">
        <v>0.124507474828827</v>
      </c>
      <c r="K3606" s="29">
        <v>0.79911259413981595</v>
      </c>
    </row>
    <row r="3607" spans="1:11" x14ac:dyDescent="0.35">
      <c r="A3607" s="9" t="str">
        <f>HYPERLINK("http://www.ensembl.org/id/WBGene00006750", "WBGene00006750")</f>
        <v>WBGene00006750</v>
      </c>
      <c r="B3607" s="9" t="str">
        <f>HYPERLINK("http://www.ncbi.nlm.nih.gov/gene/180990", "180990")</f>
        <v>180990</v>
      </c>
      <c r="C3607" s="9"/>
      <c r="D3607" t="str">
        <f>"unc-10"</f>
        <v>unc-10</v>
      </c>
      <c r="E3607" t="s">
        <v>2902</v>
      </c>
      <c r="F3607" t="s">
        <v>11</v>
      </c>
      <c r="G3607" t="s">
        <v>2903</v>
      </c>
      <c r="H3607" s="12">
        <v>1.40663852587615</v>
      </c>
      <c r="I3607" s="20">
        <v>1.53550091452426</v>
      </c>
      <c r="J3607" s="28">
        <v>0.124660832613862</v>
      </c>
      <c r="K3607" s="29">
        <v>0.79911259413981595</v>
      </c>
    </row>
    <row r="3608" spans="1:11" x14ac:dyDescent="0.35">
      <c r="A3608" s="9" t="str">
        <f>HYPERLINK("http://www.ensembl.org/id/WBGene00021713", "WBGene00021713")</f>
        <v>WBGene00021713</v>
      </c>
      <c r="B3608" s="9" t="str">
        <f>HYPERLINK("http://www.ncbi.nlm.nih.gov/gene/190077", "190077")</f>
        <v>190077</v>
      </c>
      <c r="C3608" s="9"/>
      <c r="D3608" t="str">
        <f>"Y49F6A.5"</f>
        <v>Y49F6A.5</v>
      </c>
      <c r="F3608" t="s">
        <v>11</v>
      </c>
      <c r="H3608" s="12">
        <v>-2.8142335055698502</v>
      </c>
      <c r="I3608" s="20">
        <v>-1.53529168133467</v>
      </c>
      <c r="J3608" s="28">
        <v>0.124712196592581</v>
      </c>
      <c r="K3608" s="29">
        <v>0.79911259413981595</v>
      </c>
    </row>
    <row r="3609" spans="1:11" x14ac:dyDescent="0.35">
      <c r="A3609" s="9" t="str">
        <f>HYPERLINK("http://www.ensembl.org/id/WBGene00017268", "WBGene00017268")</f>
        <v>WBGene00017268</v>
      </c>
      <c r="B3609" s="9" t="str">
        <f>HYPERLINK("http://www.ncbi.nlm.nih.gov/gene/176047", "176047")</f>
        <v>176047</v>
      </c>
      <c r="C3609" s="9" t="str">
        <f>HYPERLINK("http://www.ncbi.nlm.nih.gov/gene/3156", "3156")</f>
        <v>3156</v>
      </c>
      <c r="D3609" t="str">
        <f>"hmgr-1"</f>
        <v>hmgr-1</v>
      </c>
      <c r="E3609" t="s">
        <v>2906</v>
      </c>
      <c r="F3609" t="s">
        <v>11</v>
      </c>
      <c r="G3609" t="s">
        <v>2907</v>
      </c>
      <c r="H3609" s="12">
        <v>-1.3343951753662</v>
      </c>
      <c r="I3609" s="20">
        <v>-1.53500063763306</v>
      </c>
      <c r="J3609" s="28">
        <v>0.12478367141258399</v>
      </c>
      <c r="K3609" s="29">
        <v>0.79934890813949699</v>
      </c>
    </row>
    <row r="3610" spans="1:11" x14ac:dyDescent="0.35">
      <c r="A3610" s="9" t="str">
        <f>HYPERLINK("http://www.ensembl.org/id/WBGene00235093", "WBGene00235093")</f>
        <v>WBGene00235093</v>
      </c>
      <c r="B3610" s="9" t="str">
        <f>HYPERLINK("http://www.ncbi.nlm.nih.gov/gene/24104351", "24104351")</f>
        <v>24104351</v>
      </c>
      <c r="C3610" s="9"/>
      <c r="D3610" t="str">
        <f>"C54F6.18"</f>
        <v>C54F6.18</v>
      </c>
      <c r="F3610" t="s">
        <v>11</v>
      </c>
      <c r="H3610" s="12">
        <v>-1.4792044541046701</v>
      </c>
      <c r="I3610" s="20">
        <v>-1.53439498654578</v>
      </c>
      <c r="J3610" s="28">
        <v>0.124932510241824</v>
      </c>
      <c r="K3610" s="29">
        <v>0.79980944879514304</v>
      </c>
    </row>
    <row r="3611" spans="1:11" x14ac:dyDescent="0.35">
      <c r="A3611" s="9" t="str">
        <f>HYPERLINK("http://www.ensembl.org/id/WBGene00001187", "WBGene00001187")</f>
        <v>WBGene00001187</v>
      </c>
      <c r="B3611" s="9" t="str">
        <f>HYPERLINK("http://www.ncbi.nlm.nih.gov/gene/177513", "177513")</f>
        <v>177513</v>
      </c>
      <c r="C3611" s="9" t="str">
        <f>HYPERLINK("http://www.ncbi.nlm.nih.gov/gene/776", "776")</f>
        <v>776</v>
      </c>
      <c r="D3611" t="str">
        <f>"egl-19"</f>
        <v>egl-19</v>
      </c>
      <c r="E3611" t="s">
        <v>2908</v>
      </c>
      <c r="F3611" t="s">
        <v>11</v>
      </c>
      <c r="G3611" t="s">
        <v>2909</v>
      </c>
      <c r="H3611" s="12">
        <v>1.34303193063722</v>
      </c>
      <c r="I3611" s="20">
        <v>1.5342855898311001</v>
      </c>
      <c r="J3611" s="28">
        <v>0.124959409250864</v>
      </c>
      <c r="K3611" s="29">
        <v>0.79980944879514304</v>
      </c>
    </row>
    <row r="3612" spans="1:11" x14ac:dyDescent="0.35">
      <c r="A3612" s="9" t="str">
        <f>HYPERLINK("http://www.ensembl.org/id/WBGene00011303", "WBGene00011303")</f>
        <v>WBGene00011303</v>
      </c>
      <c r="B3612" s="9" t="str">
        <f>HYPERLINK("http://www.ncbi.nlm.nih.gov/gene/174621", "174621")</f>
        <v>174621</v>
      </c>
      <c r="C3612" s="9" t="str">
        <f>HYPERLINK("http://www.ncbi.nlm.nih.gov/gene/9949", "9949")</f>
        <v>9949</v>
      </c>
      <c r="D3612" t="str">
        <f>"R166.3"</f>
        <v>R166.3</v>
      </c>
      <c r="F3612" t="s">
        <v>11</v>
      </c>
      <c r="H3612" s="12">
        <v>-1.3414454149492401</v>
      </c>
      <c r="I3612" s="20">
        <v>-1.53443314859005</v>
      </c>
      <c r="J3612" s="28">
        <v>0.12492312783052301</v>
      </c>
      <c r="K3612" s="29">
        <v>0.79980944879514304</v>
      </c>
    </row>
    <row r="3613" spans="1:11" x14ac:dyDescent="0.35">
      <c r="A3613" s="9" t="str">
        <f>HYPERLINK("http://www.ensembl.org/id/WBGene00004063", "WBGene00004063")</f>
        <v>WBGene00004063</v>
      </c>
      <c r="B3613" s="9" t="str">
        <f>HYPERLINK("http://www.ncbi.nlm.nih.gov/gene/173176", "173176")</f>
        <v>173176</v>
      </c>
      <c r="C3613" s="9" t="str">
        <f>HYPERLINK("http://www.ncbi.nlm.nih.gov/gene/27032", "27032")</f>
        <v>27032</v>
      </c>
      <c r="D3613" t="str">
        <f>"pmr-1"</f>
        <v>pmr-1</v>
      </c>
      <c r="E3613" t="s">
        <v>2910</v>
      </c>
      <c r="F3613" t="s">
        <v>11</v>
      </c>
      <c r="G3613" t="s">
        <v>2911</v>
      </c>
      <c r="H3613" s="12">
        <v>-1.3309517042432899</v>
      </c>
      <c r="I3613" s="20">
        <v>-1.53414464799144</v>
      </c>
      <c r="J3613" s="28">
        <v>0.124994071388385</v>
      </c>
      <c r="K3613" s="29">
        <v>0.79980975173082802</v>
      </c>
    </row>
    <row r="3614" spans="1:11" x14ac:dyDescent="0.35">
      <c r="A3614" s="9" t="str">
        <f>HYPERLINK("http://www.ensembl.org/id/WBGene00008932", "WBGene00008932")</f>
        <v>WBGene00008932</v>
      </c>
      <c r="B3614" s="9" t="str">
        <f>HYPERLINK("http://www.ncbi.nlm.nih.gov/gene/174943", "174943")</f>
        <v>174943</v>
      </c>
      <c r="C3614" s="9"/>
      <c r="D3614" t="str">
        <f>"F18A11.5"</f>
        <v>F18A11.5</v>
      </c>
      <c r="F3614" t="s">
        <v>11</v>
      </c>
      <c r="G3614" t="s">
        <v>817</v>
      </c>
      <c r="H3614" s="12">
        <v>1.4624010794712501</v>
      </c>
      <c r="I3614" s="20">
        <v>1.53379988475507</v>
      </c>
      <c r="J3614" s="28">
        <v>0.12507889136659001</v>
      </c>
      <c r="K3614" s="29">
        <v>0.79990956536773505</v>
      </c>
    </row>
    <row r="3615" spans="1:11" x14ac:dyDescent="0.35">
      <c r="A3615" s="9" t="str">
        <f>HYPERLINK("http://www.ensembl.org/id/WBGene00020268", "WBGene00020268")</f>
        <v>WBGene00020268</v>
      </c>
      <c r="B3615" s="9" t="str">
        <f>HYPERLINK("http://www.ncbi.nlm.nih.gov/gene/179029", "179029")</f>
        <v>179029</v>
      </c>
      <c r="C3615" s="9" t="str">
        <f>HYPERLINK("http://www.ncbi.nlm.nih.gov/gene/51700", "51700")</f>
        <v>51700</v>
      </c>
      <c r="D3615" t="str">
        <f>"hpo-19"</f>
        <v>hpo-19</v>
      </c>
      <c r="E3615" t="s">
        <v>2914</v>
      </c>
      <c r="F3615" t="s">
        <v>11</v>
      </c>
      <c r="G3615" t="s">
        <v>2915</v>
      </c>
      <c r="H3615" s="12">
        <v>-1.33448207347949</v>
      </c>
      <c r="I3615" s="20">
        <v>-1.53375034605023</v>
      </c>
      <c r="J3615" s="28">
        <v>0.12509108275549799</v>
      </c>
      <c r="K3615" s="29">
        <v>0.79990956536773505</v>
      </c>
    </row>
    <row r="3616" spans="1:11" x14ac:dyDescent="0.35">
      <c r="A3616" s="9" t="str">
        <f>HYPERLINK("http://www.ensembl.org/id/WBGene00002243", "WBGene00002243")</f>
        <v>WBGene00002243</v>
      </c>
      <c r="B3616" s="9" t="str">
        <f>HYPERLINK("http://www.ncbi.nlm.nih.gov/gene/177078", "177078")</f>
        <v>177078</v>
      </c>
      <c r="C3616" s="9" t="str">
        <f>HYPERLINK("http://www.ncbi.nlm.nih.gov/gene/4897", "4897")</f>
        <v>4897</v>
      </c>
      <c r="D3616" t="str">
        <f>"lad-2"</f>
        <v>lad-2</v>
      </c>
      <c r="E3616" t="s">
        <v>2912</v>
      </c>
      <c r="F3616" t="s">
        <v>11</v>
      </c>
      <c r="G3616" t="s">
        <v>2913</v>
      </c>
      <c r="H3616" s="12">
        <v>1.42076365556564</v>
      </c>
      <c r="I3616" s="20">
        <v>1.5336591530250601</v>
      </c>
      <c r="J3616" s="28">
        <v>0.125113527622219</v>
      </c>
      <c r="K3616" s="29">
        <v>0.79990956536773505</v>
      </c>
    </row>
    <row r="3617" spans="1:11" x14ac:dyDescent="0.35">
      <c r="A3617" s="9" t="str">
        <f>HYPERLINK("http://www.ensembl.org/id/WBGene00006193", "WBGene00006193")</f>
        <v>WBGene00006193</v>
      </c>
      <c r="B3617" s="9" t="str">
        <f>HYPERLINK("http://www.ncbi.nlm.nih.gov/gene/192016", "192016")</f>
        <v>192016</v>
      </c>
      <c r="C3617" s="9"/>
      <c r="D3617" t="str">
        <f>"str-146"</f>
        <v>str-146</v>
      </c>
      <c r="E3617" t="s">
        <v>590</v>
      </c>
      <c r="F3617" t="s">
        <v>11</v>
      </c>
      <c r="G3617" t="s">
        <v>591</v>
      </c>
      <c r="H3617" s="12">
        <v>10.2810290851718</v>
      </c>
      <c r="I3617" s="20">
        <v>1.5333957564532501</v>
      </c>
      <c r="J3617" s="28">
        <v>0.125178373685122</v>
      </c>
      <c r="K3617" s="29">
        <v>0.80010276690689697</v>
      </c>
    </row>
    <row r="3618" spans="1:11" x14ac:dyDescent="0.35">
      <c r="A3618" s="9" t="str">
        <f>HYPERLINK("http://www.ensembl.org/id/WBGene00016995", "WBGene00016995")</f>
        <v>WBGene00016995</v>
      </c>
      <c r="B3618" s="9" t="str">
        <f>HYPERLINK("http://www.ncbi.nlm.nih.gov/gene/180485", "180485")</f>
        <v>180485</v>
      </c>
      <c r="C3618" s="9" t="str">
        <f>HYPERLINK("http://www.ncbi.nlm.nih.gov/gene/47", "47")</f>
        <v>47</v>
      </c>
      <c r="D3618" t="str">
        <f>"acly-1"</f>
        <v>acly-1</v>
      </c>
      <c r="E3618" t="s">
        <v>2919</v>
      </c>
      <c r="F3618" t="s">
        <v>11</v>
      </c>
      <c r="G3618" t="s">
        <v>2920</v>
      </c>
      <c r="H3618" s="12">
        <v>-1.3175484156303601</v>
      </c>
      <c r="I3618" s="20">
        <v>-1.5328814461196001</v>
      </c>
      <c r="J3618" s="28">
        <v>0.125305068165528</v>
      </c>
      <c r="K3618" s="29">
        <v>0.800248453574539</v>
      </c>
    </row>
    <row r="3619" spans="1:11" x14ac:dyDescent="0.35">
      <c r="A3619" s="9" t="str">
        <f>HYPERLINK("http://www.ensembl.org/id/WBGene00000463", "WBGene00000463")</f>
        <v>WBGene00000463</v>
      </c>
      <c r="B3619" s="9" t="str">
        <f>HYPERLINK("http://www.ncbi.nlm.nih.gov/gene/175581", "175581")</f>
        <v>175581</v>
      </c>
      <c r="C3619" s="9"/>
      <c r="D3619" t="str">
        <f>"ceh-43"</f>
        <v>ceh-43</v>
      </c>
      <c r="E3619" t="s">
        <v>2917</v>
      </c>
      <c r="F3619" t="s">
        <v>11</v>
      </c>
      <c r="G3619" t="s">
        <v>2918</v>
      </c>
      <c r="H3619" s="12">
        <v>1.40224909690545</v>
      </c>
      <c r="I3619" s="20">
        <v>1.5329518504884401</v>
      </c>
      <c r="J3619" s="28">
        <v>0.12528771895086599</v>
      </c>
      <c r="K3619" s="29">
        <v>0.800248453574539</v>
      </c>
    </row>
    <row r="3620" spans="1:11" x14ac:dyDescent="0.35">
      <c r="A3620" s="9" t="str">
        <f>HYPERLINK("http://www.ensembl.org/id/WBGene00005718", "WBGene00005718")</f>
        <v>WBGene00005718</v>
      </c>
      <c r="B3620" s="9" t="str">
        <f>HYPERLINK("http://www.ncbi.nlm.nih.gov/gene/259994", "259994")</f>
        <v>259994</v>
      </c>
      <c r="C3620" s="9"/>
      <c r="D3620" t="str">
        <f>"srv-7"</f>
        <v>srv-7</v>
      </c>
      <c r="E3620" t="s">
        <v>2916</v>
      </c>
      <c r="F3620" t="s">
        <v>11</v>
      </c>
      <c r="G3620" t="s">
        <v>25</v>
      </c>
      <c r="H3620" s="12">
        <v>1.9684848392518901</v>
      </c>
      <c r="I3620" s="20">
        <v>1.53310976306098</v>
      </c>
      <c r="J3620" s="28">
        <v>0.12524881256247999</v>
      </c>
      <c r="K3620" s="29">
        <v>0.800248453574539</v>
      </c>
    </row>
    <row r="3621" spans="1:11" x14ac:dyDescent="0.35">
      <c r="A3621" s="9" t="str">
        <f>HYPERLINK("http://www.ensembl.org/id/WBGene00017995", "WBGene00017995")</f>
        <v>WBGene00017995</v>
      </c>
      <c r="B3621" s="9" t="str">
        <f>HYPERLINK("http://www.ncbi.nlm.nih.gov/gene/260105", "260105")</f>
        <v>260105</v>
      </c>
      <c r="C3621" s="9"/>
      <c r="D3621" t="str">
        <f>"F32E10.8"</f>
        <v>F32E10.8</v>
      </c>
      <c r="F3621" t="s">
        <v>11</v>
      </c>
      <c r="G3621" t="s">
        <v>54</v>
      </c>
      <c r="H3621" s="12">
        <v>-1.5091749778475101</v>
      </c>
      <c r="I3621" s="20">
        <v>-1.53264714447837</v>
      </c>
      <c r="J3621" s="28">
        <v>0.12536281882728201</v>
      </c>
      <c r="K3621" s="29">
        <v>0.80030343274916005</v>
      </c>
    </row>
    <row r="3622" spans="1:11" x14ac:dyDescent="0.35">
      <c r="A3622" s="9" t="str">
        <f>HYPERLINK("http://www.ensembl.org/id/WBGene00012593", "WBGene00012593")</f>
        <v>WBGene00012593</v>
      </c>
      <c r="B3622" s="9" t="str">
        <f>HYPERLINK("http://www.ncbi.nlm.nih.gov/gene/189661", "189661")</f>
        <v>189661</v>
      </c>
      <c r="C3622" s="9"/>
      <c r="D3622" t="str">
        <f>"nspe-7"</f>
        <v>nspe-7</v>
      </c>
      <c r="E3622" t="s">
        <v>2921</v>
      </c>
      <c r="F3622" t="s">
        <v>11</v>
      </c>
      <c r="H3622" s="12">
        <v>6.5120524329861498</v>
      </c>
      <c r="I3622" s="20">
        <v>1.5324250270570701</v>
      </c>
      <c r="J3622" s="28">
        <v>0.125417585474972</v>
      </c>
      <c r="K3622" s="29">
        <v>0.80030343274916005</v>
      </c>
    </row>
    <row r="3623" spans="1:11" x14ac:dyDescent="0.35">
      <c r="A3623" s="9" t="str">
        <f>HYPERLINK("http://www.ensembl.org/id/WBGene00004383", "WBGene00004383")</f>
        <v>WBGene00004383</v>
      </c>
      <c r="B3623" s="9" t="str">
        <f>HYPERLINK("http://www.ncbi.nlm.nih.gov/gene/266861", "266861")</f>
        <v>266861</v>
      </c>
      <c r="C3623" s="9" t="str">
        <f>HYPERLINK("http://www.ncbi.nlm.nih.gov/gene/10535", "10535")</f>
        <v>10535</v>
      </c>
      <c r="D3623" t="str">
        <f>"rnh-2"</f>
        <v>rnh-2</v>
      </c>
      <c r="E3623" t="s">
        <v>2922</v>
      </c>
      <c r="F3623" t="s">
        <v>11</v>
      </c>
      <c r="G3623" t="s">
        <v>2923</v>
      </c>
      <c r="H3623" s="12">
        <v>-1.4259652227850199</v>
      </c>
      <c r="I3623" s="20">
        <v>-1.5325591393551199</v>
      </c>
      <c r="J3623" s="28">
        <v>0.12538451568585901</v>
      </c>
      <c r="K3623" s="29">
        <v>0.80030343274916005</v>
      </c>
    </row>
    <row r="3624" spans="1:11" x14ac:dyDescent="0.35">
      <c r="A3624" s="9" t="str">
        <f>HYPERLINK("http://www.ensembl.org/id/WBGene00008411", "WBGene00008411")</f>
        <v>WBGene00008411</v>
      </c>
      <c r="B3624" s="9" t="str">
        <f>HYPERLINK("http://www.ncbi.nlm.nih.gov/gene/172510", "172510")</f>
        <v>172510</v>
      </c>
      <c r="C3624" s="9" t="str">
        <f>HYPERLINK("http://www.ncbi.nlm.nih.gov/gene/4121", "4121")</f>
        <v>4121</v>
      </c>
      <c r="D3624" t="str">
        <f>"mans-1"</f>
        <v>mans-1</v>
      </c>
      <c r="E3624" t="s">
        <v>932</v>
      </c>
      <c r="F3624" t="s">
        <v>11</v>
      </c>
      <c r="G3624" t="s">
        <v>2924</v>
      </c>
      <c r="H3624" s="12">
        <v>-1.3636480391753201</v>
      </c>
      <c r="I3624" s="20">
        <v>-1.5322526767023701</v>
      </c>
      <c r="J3624" s="28">
        <v>0.125460094092533</v>
      </c>
      <c r="K3624" s="29">
        <v>0.80035365381061696</v>
      </c>
    </row>
    <row r="3625" spans="1:11" x14ac:dyDescent="0.35">
      <c r="A3625" s="9" t="str">
        <f>HYPERLINK("http://www.ensembl.org/id/WBGene00270319", "WBGene00270319")</f>
        <v>WBGene00270319</v>
      </c>
      <c r="B3625" s="9" t="str">
        <f>HYPERLINK("http://www.ncbi.nlm.nih.gov/gene/29991188", "29991188")</f>
        <v>29991188</v>
      </c>
      <c r="C3625" s="9"/>
      <c r="D3625" t="str">
        <f>"F26A1.19"</f>
        <v>F26A1.19</v>
      </c>
      <c r="F3625" t="s">
        <v>11</v>
      </c>
      <c r="H3625" s="12">
        <v>1.6295798231182399</v>
      </c>
      <c r="I3625" s="20">
        <v>1.53196162212405</v>
      </c>
      <c r="J3625" s="28">
        <v>0.12553190549681101</v>
      </c>
      <c r="K3625" s="29">
        <v>0.80036981468248003</v>
      </c>
    </row>
    <row r="3626" spans="1:11" x14ac:dyDescent="0.35">
      <c r="A3626" s="9" t="str">
        <f>HYPERLINK("http://www.ensembl.org/id/WBGene00013812", "WBGene00013812")</f>
        <v>WBGene00013812</v>
      </c>
      <c r="B3626" s="9" t="str">
        <f>HYPERLINK("http://www.ncbi.nlm.nih.gov/gene/191007", "191007")</f>
        <v>191007</v>
      </c>
      <c r="C3626" s="9"/>
      <c r="D3626" t="str">
        <f>"Y116A8C.40"</f>
        <v>Y116A8C.40</v>
      </c>
      <c r="F3626" t="s">
        <v>11</v>
      </c>
      <c r="G3626" t="s">
        <v>591</v>
      </c>
      <c r="H3626" s="12">
        <v>3.6915102130171702</v>
      </c>
      <c r="I3626" s="20">
        <v>1.53201993825637</v>
      </c>
      <c r="J3626" s="28">
        <v>0.12551751469068101</v>
      </c>
      <c r="K3626" s="29">
        <v>0.80036981468248003</v>
      </c>
    </row>
    <row r="3627" spans="1:11" x14ac:dyDescent="0.35">
      <c r="A3627" s="9" t="str">
        <f>HYPERLINK("http://www.ensembl.org/id/WBGene00000562", "WBGene00000562")</f>
        <v>WBGene00000562</v>
      </c>
      <c r="B3627" s="9" t="str">
        <f>HYPERLINK("http://www.ncbi.nlm.nih.gov/gene/180004", "180004")</f>
        <v>180004</v>
      </c>
      <c r="C3627" s="9"/>
      <c r="D3627" t="str">
        <f>"cng-1"</f>
        <v>cng-1</v>
      </c>
      <c r="E3627" t="s">
        <v>2925</v>
      </c>
      <c r="F3627" t="s">
        <v>11</v>
      </c>
      <c r="G3627" t="s">
        <v>2926</v>
      </c>
      <c r="H3627" s="12">
        <v>-1.44808879205031</v>
      </c>
      <c r="I3627" s="20">
        <v>-1.53144641761861</v>
      </c>
      <c r="J3627" s="28">
        <v>0.12565909956038199</v>
      </c>
      <c r="K3627" s="29">
        <v>0.800959766742673</v>
      </c>
    </row>
    <row r="3628" spans="1:11" x14ac:dyDescent="0.35">
      <c r="A3628" s="9" t="str">
        <f>HYPERLINK("http://www.ensembl.org/id/WBGene00017730", "WBGene00017730")</f>
        <v>WBGene00017730</v>
      </c>
      <c r="B3628" s="9" t="str">
        <f>HYPERLINK("http://www.ncbi.nlm.nih.gov/gene/184876", "184876")</f>
        <v>184876</v>
      </c>
      <c r="C3628" s="9"/>
      <c r="D3628" t="str">
        <f>"F22H10.6"</f>
        <v>F22H10.6</v>
      </c>
      <c r="F3628" t="s">
        <v>11</v>
      </c>
      <c r="H3628" s="12">
        <v>-1.6150311440241001</v>
      </c>
      <c r="I3628" s="20">
        <v>-1.53068496011489</v>
      </c>
      <c r="J3628" s="28">
        <v>0.125847272601842</v>
      </c>
      <c r="K3628" s="29">
        <v>0.80174605043866998</v>
      </c>
    </row>
    <row r="3629" spans="1:11" x14ac:dyDescent="0.35">
      <c r="A3629" s="9" t="str">
        <f>HYPERLINK("http://www.ensembl.org/id/WBGene00020412", "WBGene00020412")</f>
        <v>WBGene00020412</v>
      </c>
      <c r="B3629" s="9" t="str">
        <f>HYPERLINK("http://www.ncbi.nlm.nih.gov/gene/172365", "172365")</f>
        <v>172365</v>
      </c>
      <c r="C3629" s="9"/>
      <c r="D3629" t="str">
        <f>"T10E9.2"</f>
        <v>T10E9.2</v>
      </c>
      <c r="F3629" t="s">
        <v>11</v>
      </c>
      <c r="H3629" s="12">
        <v>-1.4323594308515699</v>
      </c>
      <c r="I3629" s="20">
        <v>-1.53066643455669</v>
      </c>
      <c r="J3629" s="28">
        <v>0.125851853412147</v>
      </c>
      <c r="K3629" s="29">
        <v>0.80174605043866998</v>
      </c>
    </row>
    <row r="3630" spans="1:11" x14ac:dyDescent="0.35">
      <c r="A3630" s="9" t="str">
        <f>HYPERLINK("http://www.ensembl.org/id/WBGene00008524", "WBGene00008524")</f>
        <v>WBGene00008524</v>
      </c>
      <c r="B3630" s="9" t="str">
        <f>HYPERLINK("http://www.ncbi.nlm.nih.gov/gene/184083", "184083")</f>
        <v>184083</v>
      </c>
      <c r="C3630" s="9"/>
      <c r="D3630" t="str">
        <f>"F02D10.3"</f>
        <v>F02D10.3</v>
      </c>
      <c r="F3630" t="s">
        <v>11</v>
      </c>
      <c r="H3630" s="12">
        <v>8.1003108643623296</v>
      </c>
      <c r="I3630" s="20">
        <v>1.52964932255736</v>
      </c>
      <c r="J3630" s="28">
        <v>0.12610355385351299</v>
      </c>
      <c r="K3630" s="29">
        <v>0.80257041127767004</v>
      </c>
    </row>
    <row r="3631" spans="1:11" x14ac:dyDescent="0.35">
      <c r="A3631" s="9" t="str">
        <f>HYPERLINK("http://www.ensembl.org/id/WBGene00044483", "WBGene00044483")</f>
        <v>WBGene00044483</v>
      </c>
      <c r="B3631" s="9" t="str">
        <f>HYPERLINK("http://www.ncbi.nlm.nih.gov/gene/3896795", "3896795")</f>
        <v>3896795</v>
      </c>
      <c r="C3631" s="9"/>
      <c r="D3631" t="str">
        <f>"H06H21.11"</f>
        <v>H06H21.11</v>
      </c>
      <c r="F3631" t="s">
        <v>11</v>
      </c>
      <c r="H3631" s="12">
        <v>-1.45145824246333</v>
      </c>
      <c r="I3631" s="20">
        <v>-1.5298179487260699</v>
      </c>
      <c r="J3631" s="28">
        <v>0.12606179755108399</v>
      </c>
      <c r="K3631" s="29">
        <v>0.80257041127767004</v>
      </c>
    </row>
    <row r="3632" spans="1:11" x14ac:dyDescent="0.35">
      <c r="A3632" s="9" t="str">
        <f>HYPERLINK("http://www.ensembl.org/id/WBGene00002259", "WBGene00002259")</f>
        <v>WBGene00002259</v>
      </c>
      <c r="B3632" s="9" t="str">
        <f>HYPERLINK("http://www.ncbi.nlm.nih.gov/gene/191701", "191701")</f>
        <v>191701</v>
      </c>
      <c r="C3632" s="9" t="str">
        <f>HYPERLINK("http://www.ncbi.nlm.nih.gov/gene/2167", "2167")</f>
        <v>2167</v>
      </c>
      <c r="D3632" t="str">
        <f>"lbp-7"</f>
        <v>lbp-7</v>
      </c>
      <c r="E3632" t="s">
        <v>2927</v>
      </c>
      <c r="F3632" t="s">
        <v>11</v>
      </c>
      <c r="G3632" t="s">
        <v>2037</v>
      </c>
      <c r="H3632" s="12">
        <v>-1.4504147257118301</v>
      </c>
      <c r="I3632" s="20">
        <v>-1.52979592475934</v>
      </c>
      <c r="J3632" s="28">
        <v>0.12606725065663901</v>
      </c>
      <c r="K3632" s="29">
        <v>0.80257041127767004</v>
      </c>
    </row>
    <row r="3633" spans="1:11" x14ac:dyDescent="0.35">
      <c r="A3633" s="9" t="str">
        <f>HYPERLINK("http://www.ensembl.org/id/WBGene00021496", "WBGene00021496")</f>
        <v>WBGene00021496</v>
      </c>
      <c r="B3633" s="9" t="str">
        <f>HYPERLINK("http://www.ncbi.nlm.nih.gov/gene/177507", "177507")</f>
        <v>177507</v>
      </c>
      <c r="C3633" s="9"/>
      <c r="D3633" t="str">
        <f>"Y40C5A.3"</f>
        <v>Y40C5A.3</v>
      </c>
      <c r="F3633" t="s">
        <v>11</v>
      </c>
      <c r="H3633" s="12">
        <v>4.7413001544353603</v>
      </c>
      <c r="I3633" s="20">
        <v>1.52958214295007</v>
      </c>
      <c r="J3633" s="28">
        <v>0.126120192302831</v>
      </c>
      <c r="K3633" s="29">
        <v>0.80257041127767004</v>
      </c>
    </row>
    <row r="3634" spans="1:11" x14ac:dyDescent="0.35">
      <c r="A3634" s="9" t="str">
        <f>HYPERLINK("http://www.ensembl.org/id/WBGene00002976", "WBGene00002976")</f>
        <v>WBGene00002976</v>
      </c>
      <c r="B3634" s="9" t="str">
        <f>HYPERLINK("http://www.ncbi.nlm.nih.gov/gene/188252", "188252")</f>
        <v>188252</v>
      </c>
      <c r="C3634" s="9"/>
      <c r="D3634" t="str">
        <f>"lev-9"</f>
        <v>lev-9</v>
      </c>
      <c r="F3634" t="s">
        <v>11</v>
      </c>
      <c r="G3634" t="s">
        <v>2928</v>
      </c>
      <c r="H3634" s="12">
        <v>1.5221621373576499</v>
      </c>
      <c r="I3634" s="20">
        <v>1.52938470817615</v>
      </c>
      <c r="J3634" s="28">
        <v>0.126169101093382</v>
      </c>
      <c r="K3634" s="29">
        <v>0.80266058641620996</v>
      </c>
    </row>
    <row r="3635" spans="1:11" x14ac:dyDescent="0.35">
      <c r="A3635" s="9" t="str">
        <f>HYPERLINK("http://www.ensembl.org/id/WBGene00011740", "WBGene00011740")</f>
        <v>WBGene00011740</v>
      </c>
      <c r="B3635" s="9" t="str">
        <f>HYPERLINK("http://www.ncbi.nlm.nih.gov/gene/188457", "188457")</f>
        <v>188457</v>
      </c>
      <c r="C3635" s="9"/>
      <c r="D3635" t="str">
        <f>"mrpl-51"</f>
        <v>mrpl-51</v>
      </c>
      <c r="E3635" t="s">
        <v>2929</v>
      </c>
      <c r="F3635" t="s">
        <v>11</v>
      </c>
      <c r="G3635" t="s">
        <v>2930</v>
      </c>
      <c r="H3635" s="12">
        <v>-1.3842595027034801</v>
      </c>
      <c r="I3635" s="20">
        <v>-1.5291174818345401</v>
      </c>
      <c r="J3635" s="28">
        <v>0.12623532226443199</v>
      </c>
      <c r="K3635" s="29">
        <v>0.80270530315452604</v>
      </c>
    </row>
    <row r="3636" spans="1:11" x14ac:dyDescent="0.35">
      <c r="A3636" s="9" t="str">
        <f>HYPERLINK("http://www.ensembl.org/id/WBGene00013026", "WBGene00013026")</f>
        <v>WBGene00013026</v>
      </c>
      <c r="B3636" s="9" t="str">
        <f>HYPERLINK("http://www.ncbi.nlm.nih.gov/gene/3565972", "3565972")</f>
        <v>3565972</v>
      </c>
      <c r="C3636" s="9" t="str">
        <f>HYPERLINK("http://www.ncbi.nlm.nih.gov/gene/54482", "54482")</f>
        <v>54482</v>
      </c>
      <c r="D3636" t="str">
        <f>"Y49A3A.3"</f>
        <v>Y49A3A.3</v>
      </c>
      <c r="F3636" t="s">
        <v>11</v>
      </c>
      <c r="G3636" t="s">
        <v>2931</v>
      </c>
      <c r="H3636" s="12">
        <v>-1.4333661038908101</v>
      </c>
      <c r="I3636" s="20">
        <v>-1.52907597568151</v>
      </c>
      <c r="J3636" s="28">
        <v>0.12624561030310499</v>
      </c>
      <c r="K3636" s="29">
        <v>0.80270530315452604</v>
      </c>
    </row>
    <row r="3637" spans="1:11" x14ac:dyDescent="0.35">
      <c r="A3637" s="9" t="str">
        <f>HYPERLINK("http://www.ensembl.org/id/WBGene00021397", "WBGene00021397")</f>
        <v>WBGene00021397</v>
      </c>
      <c r="B3637" s="9" t="str">
        <f>HYPERLINK("http://www.ncbi.nlm.nih.gov/gene/189640", "189640")</f>
        <v>189640</v>
      </c>
      <c r="C3637" s="9"/>
      <c r="D3637" t="str">
        <f>"Y38C1AA.6"</f>
        <v>Y38C1AA.6</v>
      </c>
      <c r="F3637" t="s">
        <v>11</v>
      </c>
      <c r="G3637" t="s">
        <v>51</v>
      </c>
      <c r="H3637" s="12">
        <v>-1.66438122505154</v>
      </c>
      <c r="I3637" s="20">
        <v>-1.52872359967877</v>
      </c>
      <c r="J3637" s="28">
        <v>0.126332979271681</v>
      </c>
      <c r="K3637" s="29">
        <v>0.80303984017921903</v>
      </c>
    </row>
    <row r="3638" spans="1:11" x14ac:dyDescent="0.35">
      <c r="A3638" s="9" t="str">
        <f>HYPERLINK("http://www.ensembl.org/id/WBGene00022267", "WBGene00022267")</f>
        <v>WBGene00022267</v>
      </c>
      <c r="B3638" s="9" t="str">
        <f>HYPERLINK("http://www.ncbi.nlm.nih.gov/gene/190664", "190664")</f>
        <v>190664</v>
      </c>
      <c r="C3638" s="9"/>
      <c r="D3638" t="str">
        <f>"Y73C8C.10"</f>
        <v>Y73C8C.10</v>
      </c>
      <c r="F3638" t="s">
        <v>11</v>
      </c>
      <c r="G3638" t="s">
        <v>260</v>
      </c>
      <c r="H3638" s="12">
        <v>-29.872880064818901</v>
      </c>
      <c r="I3638" s="20">
        <v>-1.5282791226047501</v>
      </c>
      <c r="J3638" s="28">
        <v>0.126443251149122</v>
      </c>
      <c r="K3638" s="29">
        <v>0.80351973626281703</v>
      </c>
    </row>
    <row r="3639" spans="1:11" x14ac:dyDescent="0.35">
      <c r="A3639" s="9" t="str">
        <f>HYPERLINK("http://www.ensembl.org/id/WBGene00018654", "WBGene00018654")</f>
        <v>WBGene00018654</v>
      </c>
      <c r="B3639" s="9" t="str">
        <f>HYPERLINK("http://www.ncbi.nlm.nih.gov/gene/180521", "180521")</f>
        <v>180521</v>
      </c>
      <c r="C3639" s="9"/>
      <c r="D3639" t="str">
        <f>"F49H12.3"</f>
        <v>F49H12.3</v>
      </c>
      <c r="F3639" t="s">
        <v>11</v>
      </c>
      <c r="G3639" t="s">
        <v>2932</v>
      </c>
      <c r="H3639" s="12">
        <v>1.70385518339719</v>
      </c>
      <c r="I3639" s="20">
        <v>1.52804015595818</v>
      </c>
      <c r="J3639" s="28">
        <v>0.12650256819385899</v>
      </c>
      <c r="K3639" s="29">
        <v>0.80367565045017897</v>
      </c>
    </row>
    <row r="3640" spans="1:11" x14ac:dyDescent="0.35">
      <c r="A3640" s="9" t="str">
        <f>HYPERLINK("http://www.ensembl.org/id/WBGene00010641", "WBGene00010641")</f>
        <v>WBGene00010641</v>
      </c>
      <c r="B3640" s="9" t="str">
        <f>HYPERLINK("http://www.ncbi.nlm.nih.gov/gene/172455", "172455")</f>
        <v>172455</v>
      </c>
      <c r="C3640" s="9"/>
      <c r="D3640" t="str">
        <f>"crml-1"</f>
        <v>crml-1</v>
      </c>
      <c r="E3640" t="s">
        <v>2933</v>
      </c>
      <c r="F3640" t="s">
        <v>11</v>
      </c>
      <c r="G3640" t="s">
        <v>2934</v>
      </c>
      <c r="H3640" s="12">
        <v>-1.31992987116001</v>
      </c>
      <c r="I3640" s="20">
        <v>-1.5278934787041101</v>
      </c>
      <c r="J3640" s="28">
        <v>0.126538987607478</v>
      </c>
      <c r="K3640" s="29">
        <v>0.80368604938383104</v>
      </c>
    </row>
    <row r="3641" spans="1:11" x14ac:dyDescent="0.35">
      <c r="A3641" s="9" t="str">
        <f>HYPERLINK("http://www.ensembl.org/id/WBGene00021543", "WBGene00021543")</f>
        <v>WBGene00021543</v>
      </c>
      <c r="B3641" s="9" t="str">
        <f>HYPERLINK("http://www.ncbi.nlm.nih.gov/gene/189846", "189846")</f>
        <v>189846</v>
      </c>
      <c r="C3641" s="9"/>
      <c r="D3641" t="str">
        <f>"Y43B11AR.1"</f>
        <v>Y43B11AR.1</v>
      </c>
      <c r="F3641" t="s">
        <v>11</v>
      </c>
      <c r="H3641" s="12">
        <v>1.3435964418170101</v>
      </c>
      <c r="I3641" s="20">
        <v>1.5272222735762899</v>
      </c>
      <c r="J3641" s="28">
        <v>0.12670574948884</v>
      </c>
      <c r="K3641" s="29">
        <v>0.80430303507943102</v>
      </c>
    </row>
    <row r="3642" spans="1:11" x14ac:dyDescent="0.35">
      <c r="A3642" s="9" t="str">
        <f>HYPERLINK("http://www.ensembl.org/id/WBGene00014020", "WBGene00014020")</f>
        <v>WBGene00014020</v>
      </c>
      <c r="B3642" s="9" t="str">
        <f>HYPERLINK("http://www.ncbi.nlm.nih.gov/gene/259525", "259525")</f>
        <v>259525</v>
      </c>
      <c r="C3642" s="9"/>
      <c r="D3642" t="str">
        <f>"ZK632.14"</f>
        <v>ZK632.14</v>
      </c>
      <c r="F3642" t="s">
        <v>11</v>
      </c>
      <c r="G3642" t="s">
        <v>2935</v>
      </c>
      <c r="H3642" s="12">
        <v>-1.46308002998113</v>
      </c>
      <c r="I3642" s="20">
        <v>-1.5273160687392</v>
      </c>
      <c r="J3642" s="28">
        <v>0.12668243566753301</v>
      </c>
      <c r="K3642" s="29">
        <v>0.80430303507943102</v>
      </c>
    </row>
    <row r="3643" spans="1:11" x14ac:dyDescent="0.35">
      <c r="A3643" s="9" t="str">
        <f>HYPERLINK("http://www.ensembl.org/id/WBGene00021887", "WBGene00021887")</f>
        <v>WBGene00021887</v>
      </c>
      <c r="B3643" s="9" t="str">
        <f>HYPERLINK("http://www.ncbi.nlm.nih.gov/gene/190283", "190283")</f>
        <v>190283</v>
      </c>
      <c r="C3643" s="9"/>
      <c r="D3643" t="str">
        <f>"fbxc-45"</f>
        <v>fbxc-45</v>
      </c>
      <c r="E3643" t="s">
        <v>311</v>
      </c>
      <c r="F3643" t="s">
        <v>11</v>
      </c>
      <c r="H3643" s="12">
        <v>-1.7194729247326199</v>
      </c>
      <c r="I3643" s="20">
        <v>-1.52650476559404</v>
      </c>
      <c r="J3643" s="28">
        <v>0.126884204520294</v>
      </c>
      <c r="K3643" s="29">
        <v>0.80521461951274897</v>
      </c>
    </row>
    <row r="3644" spans="1:11" x14ac:dyDescent="0.35">
      <c r="A3644" s="9" t="str">
        <f>HYPERLINK("http://www.ensembl.org/id/WBGene00006674", "WBGene00006674")</f>
        <v>WBGene00006674</v>
      </c>
      <c r="B3644" s="9" t="str">
        <f>HYPERLINK("http://www.ncbi.nlm.nih.gov/gene/192078", "192078")</f>
        <v>192078</v>
      </c>
      <c r="C3644" s="9"/>
      <c r="D3644" t="str">
        <f>"twk-21"</f>
        <v>twk-21</v>
      </c>
      <c r="E3644" t="s">
        <v>894</v>
      </c>
      <c r="F3644" t="s">
        <v>11</v>
      </c>
      <c r="G3644" t="s">
        <v>895</v>
      </c>
      <c r="H3644" s="12">
        <v>2.3830922439730302</v>
      </c>
      <c r="I3644" s="20">
        <v>1.52623407146507</v>
      </c>
      <c r="J3644" s="28">
        <v>0.12695158102474899</v>
      </c>
      <c r="K3644" s="29">
        <v>0.80525778912981805</v>
      </c>
    </row>
    <row r="3645" spans="1:11" x14ac:dyDescent="0.35">
      <c r="A3645" s="9" t="str">
        <f>HYPERLINK("http://www.ensembl.org/id/WBGene00016960", "WBGene00016960")</f>
        <v>WBGene00016960</v>
      </c>
      <c r="B3645" s="9" t="str">
        <f>HYPERLINK("http://www.ncbi.nlm.nih.gov/gene/174095", "174095")</f>
        <v>174095</v>
      </c>
      <c r="C3645" s="9" t="str">
        <f>HYPERLINK("http://www.ncbi.nlm.nih.gov/gene/26276", "26276")</f>
        <v>26276</v>
      </c>
      <c r="D3645" t="str">
        <f>"vps-33.2"</f>
        <v>vps-33.2</v>
      </c>
      <c r="E3645" t="s">
        <v>2936</v>
      </c>
      <c r="F3645" t="s">
        <v>11</v>
      </c>
      <c r="G3645" t="s">
        <v>2937</v>
      </c>
      <c r="H3645" s="12">
        <v>-1.4026943028472201</v>
      </c>
      <c r="I3645" s="20">
        <v>-1.52619741004586</v>
      </c>
      <c r="J3645" s="28">
        <v>0.12696070829221501</v>
      </c>
      <c r="K3645" s="29">
        <v>0.80525778912981805</v>
      </c>
    </row>
    <row r="3646" spans="1:11" x14ac:dyDescent="0.35">
      <c r="A3646" s="9" t="str">
        <f>HYPERLINK("http://www.ensembl.org/id/WBGene00007799", "WBGene00007799")</f>
        <v>WBGene00007799</v>
      </c>
      <c r="B3646" s="9" t="str">
        <f>HYPERLINK("http://www.ncbi.nlm.nih.gov/gene/179503", "179503")</f>
        <v>179503</v>
      </c>
      <c r="C3646" s="9" t="str">
        <f>HYPERLINK("http://www.ncbi.nlm.nih.gov/gene/9378", "9378")</f>
        <v>9378</v>
      </c>
      <c r="D3646" t="str">
        <f>"nrx-1"</f>
        <v>nrx-1</v>
      </c>
      <c r="E3646" t="s">
        <v>2938</v>
      </c>
      <c r="F3646" t="s">
        <v>11</v>
      </c>
      <c r="G3646" t="s">
        <v>2939</v>
      </c>
      <c r="H3646" s="12">
        <v>1.36635153019137</v>
      </c>
      <c r="I3646" s="20">
        <v>1.52568930828537</v>
      </c>
      <c r="J3646" s="28">
        <v>0.12708725846311</v>
      </c>
      <c r="K3646" s="29">
        <v>0.80583924095736104</v>
      </c>
    </row>
    <row r="3647" spans="1:11" x14ac:dyDescent="0.35">
      <c r="A3647" s="9" t="str">
        <f>HYPERLINK("http://www.ensembl.org/id/WBGene00001244", "WBGene00001244")</f>
        <v>WBGene00001244</v>
      </c>
      <c r="B3647" s="9" t="str">
        <f>HYPERLINK("http://www.ncbi.nlm.nih.gov/gene/177321", "177321")</f>
        <v>177321</v>
      </c>
      <c r="C3647" s="9"/>
      <c r="D3647" t="str">
        <f>"elo-6"</f>
        <v>elo-6</v>
      </c>
      <c r="E3647" t="s">
        <v>2940</v>
      </c>
      <c r="F3647" t="s">
        <v>11</v>
      </c>
      <c r="G3647" t="s">
        <v>1268</v>
      </c>
      <c r="H3647" s="12">
        <v>-1.3272421273178101</v>
      </c>
      <c r="I3647" s="20">
        <v>-1.52549894781449</v>
      </c>
      <c r="J3647" s="28">
        <v>0.12713469579054901</v>
      </c>
      <c r="K3647" s="29">
        <v>0.80591886994140605</v>
      </c>
    </row>
    <row r="3648" spans="1:11" x14ac:dyDescent="0.35">
      <c r="A3648" s="9" t="str">
        <f>HYPERLINK("http://www.ensembl.org/id/WBGene00006811", "WBGene00006811")</f>
        <v>WBGene00006811</v>
      </c>
      <c r="B3648" s="9" t="str">
        <f>HYPERLINK("http://www.ncbi.nlm.nih.gov/gene/3565180", "3565180")</f>
        <v>3565180</v>
      </c>
      <c r="C3648" s="9" t="str">
        <f>HYPERLINK("http://www.ncbi.nlm.nih.gov/gene/57578", "57578")</f>
        <v>57578</v>
      </c>
      <c r="D3648" t="str">
        <f>"unc-79"</f>
        <v>unc-79</v>
      </c>
      <c r="E3648" t="s">
        <v>2941</v>
      </c>
      <c r="F3648" t="s">
        <v>11</v>
      </c>
      <c r="G3648" t="s">
        <v>2942</v>
      </c>
      <c r="H3648" s="12">
        <v>1.3770973710607299</v>
      </c>
      <c r="I3648" s="20">
        <v>1.5250670376234201</v>
      </c>
      <c r="J3648" s="28">
        <v>0.12724237776793901</v>
      </c>
      <c r="K3648" s="29">
        <v>0.80622335970872705</v>
      </c>
    </row>
    <row r="3649" spans="1:11" x14ac:dyDescent="0.35">
      <c r="A3649" s="9" t="str">
        <f>HYPERLINK("http://www.ensembl.org/id/WBGene00022012", "WBGene00022012")</f>
        <v>WBGene00022012</v>
      </c>
      <c r="B3649" s="9" t="str">
        <f>HYPERLINK("http://www.ncbi.nlm.nih.gov/gene/190429", "190429")</f>
        <v>190429</v>
      </c>
      <c r="C3649" s="9"/>
      <c r="D3649" t="str">
        <f>"Y59H11AR.4"</f>
        <v>Y59H11AR.4</v>
      </c>
      <c r="F3649" t="s">
        <v>11</v>
      </c>
      <c r="G3649" t="s">
        <v>372</v>
      </c>
      <c r="H3649" s="12">
        <v>1.4789223951539101</v>
      </c>
      <c r="I3649" s="20">
        <v>1.52502639529449</v>
      </c>
      <c r="J3649" s="28">
        <v>0.12725251418929001</v>
      </c>
      <c r="K3649" s="29">
        <v>0.80622335970872705</v>
      </c>
    </row>
    <row r="3650" spans="1:11" x14ac:dyDescent="0.35">
      <c r="A3650" s="9" t="str">
        <f>HYPERLINK("http://www.ensembl.org/id/WBGene00005083", "WBGene00005083")</f>
        <v>WBGene00005083</v>
      </c>
      <c r="B3650" s="9" t="str">
        <f>HYPERLINK("http://www.ncbi.nlm.nih.gov/gene/188612", "188612")</f>
        <v>188612</v>
      </c>
      <c r="C3650" s="9"/>
      <c r="D3650" t="str">
        <f>"srd-5"</f>
        <v>srd-5</v>
      </c>
      <c r="E3650" t="s">
        <v>1513</v>
      </c>
      <c r="F3650" t="s">
        <v>11</v>
      </c>
      <c r="G3650" t="s">
        <v>25</v>
      </c>
      <c r="H3650" s="12">
        <v>12.892500223717001</v>
      </c>
      <c r="I3650" s="20">
        <v>1.52456240781936</v>
      </c>
      <c r="J3650" s="28">
        <v>0.12736827976349899</v>
      </c>
      <c r="K3650" s="29">
        <v>0.80666534188472205</v>
      </c>
    </row>
    <row r="3651" spans="1:11" x14ac:dyDescent="0.35">
      <c r="A3651" s="9" t="str">
        <f>HYPERLINK("http://www.ensembl.org/id/WBGene00011490", "WBGene00011490")</f>
        <v>WBGene00011490</v>
      </c>
      <c r="B3651" s="9" t="str">
        <f>HYPERLINK("http://www.ncbi.nlm.nih.gov/gene/172807", "172807")</f>
        <v>172807</v>
      </c>
      <c r="C3651" s="9"/>
      <c r="D3651" t="str">
        <f>"T05F1.4"</f>
        <v>T05F1.4</v>
      </c>
      <c r="F3651" t="s">
        <v>11</v>
      </c>
      <c r="H3651" s="12">
        <v>-1.3862841550653</v>
      </c>
      <c r="I3651" s="20">
        <v>-1.52446698242318</v>
      </c>
      <c r="J3651" s="28">
        <v>0.12739209869892501</v>
      </c>
      <c r="K3651" s="29">
        <v>0.80666534188472205</v>
      </c>
    </row>
    <row r="3652" spans="1:11" x14ac:dyDescent="0.35">
      <c r="A3652" s="9" t="str">
        <f>HYPERLINK("http://www.ensembl.org/id/WBGene00000214", "WBGene00000214")</f>
        <v>WBGene00000214</v>
      </c>
      <c r="B3652" s="9" t="str">
        <f>HYPERLINK("http://www.ncbi.nlm.nih.gov/gene/180251", "180251")</f>
        <v>180251</v>
      </c>
      <c r="C3652" s="9"/>
      <c r="D3652" t="str">
        <f>"asp-1"</f>
        <v>asp-1</v>
      </c>
      <c r="E3652" t="s">
        <v>2943</v>
      </c>
      <c r="F3652" t="s">
        <v>11</v>
      </c>
      <c r="G3652" t="s">
        <v>2944</v>
      </c>
      <c r="H3652" s="12">
        <v>-1.31917892114005</v>
      </c>
      <c r="I3652" s="20">
        <v>-1.5243125624848299</v>
      </c>
      <c r="J3652" s="28">
        <v>0.12743065048086599</v>
      </c>
      <c r="K3652" s="29">
        <v>0.80668838630435402</v>
      </c>
    </row>
    <row r="3653" spans="1:11" x14ac:dyDescent="0.35">
      <c r="A3653" s="9" t="str">
        <f>HYPERLINK("http://www.ensembl.org/id/WBGene00008292", "WBGene00008292")</f>
        <v>WBGene00008292</v>
      </c>
      <c r="B3653" s="9" t="str">
        <f>HYPERLINK("http://www.ncbi.nlm.nih.gov/gene/173112", "173112")</f>
        <v>173112</v>
      </c>
      <c r="C3653" s="9"/>
      <c r="D3653" t="str">
        <f>"C54C8.4"</f>
        <v>C54C8.4</v>
      </c>
      <c r="F3653" t="s">
        <v>11</v>
      </c>
      <c r="G3653" t="s">
        <v>25</v>
      </c>
      <c r="H3653" s="12">
        <v>3.2291060956320701</v>
      </c>
      <c r="I3653" s="20">
        <v>1.5239902247152699</v>
      </c>
      <c r="J3653" s="28">
        <v>0.12751115311349401</v>
      </c>
      <c r="K3653" s="29">
        <v>0.80670629709600195</v>
      </c>
    </row>
    <row r="3654" spans="1:11" x14ac:dyDescent="0.35">
      <c r="A3654" s="9" t="str">
        <f>HYPERLINK("http://www.ensembl.org/id/WBGene00004004", "WBGene00004004")</f>
        <v>WBGene00004004</v>
      </c>
      <c r="B3654" s="9" t="str">
        <f>HYPERLINK("http://www.ncbi.nlm.nih.gov/gene/180981", "180981")</f>
        <v>180981</v>
      </c>
      <c r="C3654" s="9"/>
      <c r="D3654" t="str">
        <f>"pgp-10"</f>
        <v>pgp-10</v>
      </c>
      <c r="E3654" t="s">
        <v>1379</v>
      </c>
      <c r="F3654" t="s">
        <v>11</v>
      </c>
      <c r="G3654" t="s">
        <v>2945</v>
      </c>
      <c r="H3654" s="12">
        <v>1.59734313333185</v>
      </c>
      <c r="I3654" s="20">
        <v>1.5238818840961701</v>
      </c>
      <c r="J3654" s="28">
        <v>0.127538219652545</v>
      </c>
      <c r="K3654" s="29">
        <v>0.80670629709600195</v>
      </c>
    </row>
    <row r="3655" spans="1:11" x14ac:dyDescent="0.35">
      <c r="A3655" s="9" t="str">
        <f>HYPERLINK("http://www.ensembl.org/id/WBGene00004923", "WBGene00004923")</f>
        <v>WBGene00004923</v>
      </c>
      <c r="B3655" s="9" t="str">
        <f>HYPERLINK("http://www.ncbi.nlm.nih.gov/gene/190698", "190698")</f>
        <v>190698</v>
      </c>
      <c r="C3655" s="9"/>
      <c r="D3655" t="str">
        <f>"snt-3"</f>
        <v>snt-3</v>
      </c>
      <c r="E3655" t="s">
        <v>1240</v>
      </c>
      <c r="F3655" t="s">
        <v>11</v>
      </c>
      <c r="G3655" t="s">
        <v>2946</v>
      </c>
      <c r="H3655" s="12">
        <v>1.38229459219812</v>
      </c>
      <c r="I3655" s="20">
        <v>1.5241577218901401</v>
      </c>
      <c r="J3655" s="28">
        <v>0.12746931639463399</v>
      </c>
      <c r="K3655" s="29">
        <v>0.80670629709600195</v>
      </c>
    </row>
    <row r="3656" spans="1:11" x14ac:dyDescent="0.35">
      <c r="A3656" s="9" t="str">
        <f>HYPERLINK("http://www.ensembl.org/id/WBGene00008686", "WBGene00008686")</f>
        <v>WBGene00008686</v>
      </c>
      <c r="B3656" s="9" t="str">
        <f>HYPERLINK("http://www.ncbi.nlm.nih.gov/gene/178152", "178152")</f>
        <v>178152</v>
      </c>
      <c r="C3656" s="9" t="str">
        <f>HYPERLINK("http://www.ncbi.nlm.nih.gov/gene/7982", "7982")</f>
        <v>7982</v>
      </c>
      <c r="D3656" t="str">
        <f>"F11A10.5"</f>
        <v>F11A10.5</v>
      </c>
      <c r="F3656" t="s">
        <v>11</v>
      </c>
      <c r="G3656" t="s">
        <v>417</v>
      </c>
      <c r="H3656" s="12">
        <v>-1.3350850426052301</v>
      </c>
      <c r="I3656" s="20">
        <v>-1.52326726973177</v>
      </c>
      <c r="J3656" s="28">
        <v>0.12769185223811</v>
      </c>
      <c r="K3656" s="29">
        <v>0.80725587353929995</v>
      </c>
    </row>
    <row r="3657" spans="1:11" x14ac:dyDescent="0.35">
      <c r="A3657" s="9" t="str">
        <f>HYPERLINK("http://www.ensembl.org/id/WBGene00008777", "WBGene00008777")</f>
        <v>WBGene00008777</v>
      </c>
      <c r="B3657" s="9" t="str">
        <f>HYPERLINK("http://www.ncbi.nlm.nih.gov/gene/260099", "260099")</f>
        <v>260099</v>
      </c>
      <c r="C3657" s="9"/>
      <c r="D3657" t="str">
        <f>"F13H10.6"</f>
        <v>F13H10.6</v>
      </c>
      <c r="F3657" t="s">
        <v>11</v>
      </c>
      <c r="G3657" t="s">
        <v>2947</v>
      </c>
      <c r="H3657" s="12">
        <v>1.32516559238506</v>
      </c>
      <c r="I3657" s="20">
        <v>1.52325476123478</v>
      </c>
      <c r="J3657" s="28">
        <v>0.12769498042872601</v>
      </c>
      <c r="K3657" s="29">
        <v>0.80725587353929995</v>
      </c>
    </row>
    <row r="3658" spans="1:11" x14ac:dyDescent="0.35">
      <c r="A3658" s="9" t="str">
        <f>HYPERLINK("http://www.ensembl.org/id/WBGene00010039", "WBGene00010039")</f>
        <v>WBGene00010039</v>
      </c>
      <c r="B3658" s="9" t="str">
        <f>HYPERLINK("http://www.ncbi.nlm.nih.gov/gene/186224", "186224")</f>
        <v>186224</v>
      </c>
      <c r="C3658" s="9"/>
      <c r="D3658" t="str">
        <f>"F54C8.6"</f>
        <v>F54C8.6</v>
      </c>
      <c r="F3658" t="s">
        <v>11</v>
      </c>
      <c r="G3658" t="s">
        <v>2948</v>
      </c>
      <c r="H3658" s="12">
        <v>1.54925061474949</v>
      </c>
      <c r="I3658" s="20">
        <v>1.5228901118853899</v>
      </c>
      <c r="J3658" s="28">
        <v>0.12778620005154201</v>
      </c>
      <c r="K3658" s="29">
        <v>0.80729165554045301</v>
      </c>
    </row>
    <row r="3659" spans="1:11" x14ac:dyDescent="0.35">
      <c r="A3659" s="9" t="str">
        <f>HYPERLINK("http://www.ensembl.org/id/WBGene00021611", "WBGene00021611")</f>
        <v>WBGene00021611</v>
      </c>
      <c r="B3659" s="9" t="str">
        <f>HYPERLINK("http://www.ncbi.nlm.nih.gov/gene/189971", "189971")</f>
        <v>189971</v>
      </c>
      <c r="C3659" s="9"/>
      <c r="D3659" t="str">
        <f>"nhr-238"</f>
        <v>nhr-238</v>
      </c>
      <c r="E3659" t="s">
        <v>637</v>
      </c>
      <c r="F3659" t="s">
        <v>11</v>
      </c>
      <c r="G3659" t="s">
        <v>2013</v>
      </c>
      <c r="H3659" s="12">
        <v>1.73074634351763</v>
      </c>
      <c r="I3659" s="20">
        <v>1.5228131606761199</v>
      </c>
      <c r="J3659" s="28">
        <v>0.12780545641681701</v>
      </c>
      <c r="K3659" s="29">
        <v>0.80729165554045301</v>
      </c>
    </row>
    <row r="3660" spans="1:11" x14ac:dyDescent="0.35">
      <c r="A3660" s="9" t="str">
        <f>HYPERLINK("http://www.ensembl.org/id/WBGene00009176", "WBGene00009176")</f>
        <v>WBGene00009176</v>
      </c>
      <c r="B3660" s="9" t="str">
        <f>HYPERLINK("http://www.ncbi.nlm.nih.gov/gene/172754", "172754")</f>
        <v>172754</v>
      </c>
      <c r="C3660" s="9"/>
      <c r="D3660" t="str">
        <f>"nmat-2"</f>
        <v>nmat-2</v>
      </c>
      <c r="E3660" t="s">
        <v>2949</v>
      </c>
      <c r="F3660" t="s">
        <v>11</v>
      </c>
      <c r="G3660" t="s">
        <v>2950</v>
      </c>
      <c r="H3660" s="12">
        <v>-1.4180804283439701</v>
      </c>
      <c r="I3660" s="20">
        <v>-1.5228815667600899</v>
      </c>
      <c r="J3660" s="28">
        <v>0.12778833828283101</v>
      </c>
      <c r="K3660" s="29">
        <v>0.80729165554045301</v>
      </c>
    </row>
    <row r="3661" spans="1:11" x14ac:dyDescent="0.35">
      <c r="A3661" s="9" t="str">
        <f>HYPERLINK("http://www.ensembl.org/id/WBGene00000730", "WBGene00000730")</f>
        <v>WBGene00000730</v>
      </c>
      <c r="B3661" s="9" t="str">
        <f>HYPERLINK("http://www.ncbi.nlm.nih.gov/gene/188426", "188426")</f>
        <v>188426</v>
      </c>
      <c r="C3661" s="9"/>
      <c r="D3661" t="str">
        <f>"col-157"</f>
        <v>col-157</v>
      </c>
      <c r="E3661" t="s">
        <v>40</v>
      </c>
      <c r="F3661" t="s">
        <v>11</v>
      </c>
      <c r="G3661" t="s">
        <v>41</v>
      </c>
      <c r="H3661" s="12">
        <v>4.1695429720450798</v>
      </c>
      <c r="I3661" s="20">
        <v>1.5217595881202299</v>
      </c>
      <c r="J3661" s="28">
        <v>0.12806933073112001</v>
      </c>
      <c r="K3661" s="29">
        <v>0.80741335767347</v>
      </c>
    </row>
    <row r="3662" spans="1:11" x14ac:dyDescent="0.35">
      <c r="A3662" s="9" t="str">
        <f>HYPERLINK("http://www.ensembl.org/id/WBGene00009601", "WBGene00009601")</f>
        <v>WBGene00009601</v>
      </c>
      <c r="B3662" s="9" t="str">
        <f>HYPERLINK("http://www.ncbi.nlm.nih.gov/gene/185566", "185566")</f>
        <v>185566</v>
      </c>
      <c r="C3662" s="9"/>
      <c r="D3662" t="str">
        <f>"F40G12.6"</f>
        <v>F40G12.6</v>
      </c>
      <c r="F3662" t="s">
        <v>11</v>
      </c>
      <c r="H3662" s="12">
        <v>2.4614651321331902</v>
      </c>
      <c r="I3662" s="20">
        <v>1.5223694690166401</v>
      </c>
      <c r="J3662" s="28">
        <v>0.12791653038536599</v>
      </c>
      <c r="K3662" s="29">
        <v>0.80741335767347</v>
      </c>
    </row>
    <row r="3663" spans="1:11" x14ac:dyDescent="0.35">
      <c r="A3663" s="9" t="str">
        <f>HYPERLINK("http://www.ensembl.org/id/WBGene00001753", "WBGene00001753")</f>
        <v>WBGene00001753</v>
      </c>
      <c r="B3663" s="9" t="str">
        <f>HYPERLINK("http://www.ncbi.nlm.nih.gov/gene/187537", "187537")</f>
        <v>187537</v>
      </c>
      <c r="C3663" s="9" t="str">
        <f>HYPERLINK("http://www.ncbi.nlm.nih.gov/gene/27306", "27306")</f>
        <v>27306</v>
      </c>
      <c r="D3663" t="str">
        <f>"gst-5"</f>
        <v>gst-5</v>
      </c>
      <c r="E3663" t="s">
        <v>2955</v>
      </c>
      <c r="F3663" t="s">
        <v>11</v>
      </c>
      <c r="G3663" t="s">
        <v>2266</v>
      </c>
      <c r="H3663" s="12">
        <v>1.32495054727067</v>
      </c>
      <c r="I3663" s="20">
        <v>1.5220183648374399</v>
      </c>
      <c r="J3663" s="28">
        <v>0.128004479154853</v>
      </c>
      <c r="K3663" s="29">
        <v>0.80741335767347</v>
      </c>
    </row>
    <row r="3664" spans="1:11" x14ac:dyDescent="0.35">
      <c r="A3664" s="9" t="str">
        <f>HYPERLINK("http://www.ensembl.org/id/WBGene00001795", "WBGene00001795")</f>
        <v>WBGene00001795</v>
      </c>
      <c r="B3664" s="9" t="str">
        <f>HYPERLINK("http://www.ncbi.nlm.nih.gov/gene/178031", "178031")</f>
        <v>178031</v>
      </c>
      <c r="C3664" s="9"/>
      <c r="D3664" t="str">
        <f>"gtl-1"</f>
        <v>gtl-1</v>
      </c>
      <c r="E3664" t="s">
        <v>2951</v>
      </c>
      <c r="F3664" t="s">
        <v>11</v>
      </c>
      <c r="G3664" t="s">
        <v>2952</v>
      </c>
      <c r="H3664" s="12">
        <v>1.4442019458064099</v>
      </c>
      <c r="I3664" s="20">
        <v>1.5218167252061201</v>
      </c>
      <c r="J3664" s="28">
        <v>0.12805500950978399</v>
      </c>
      <c r="K3664" s="29">
        <v>0.80741335767347</v>
      </c>
    </row>
    <row r="3665" spans="1:11" x14ac:dyDescent="0.35">
      <c r="A3665" s="9" t="str">
        <f>HYPERLINK("http://www.ensembl.org/id/WBGene00004048", "WBGene00004048")</f>
        <v>WBGene00004048</v>
      </c>
      <c r="B3665" s="9" t="str">
        <f>HYPERLINK("http://www.ncbi.nlm.nih.gov/gene/175101", "175101")</f>
        <v>175101</v>
      </c>
      <c r="C3665" s="9"/>
      <c r="D3665" t="str">
        <f>"plx-2"</f>
        <v>plx-2</v>
      </c>
      <c r="E3665" t="s">
        <v>2953</v>
      </c>
      <c r="F3665" t="s">
        <v>11</v>
      </c>
      <c r="G3665" t="s">
        <v>2954</v>
      </c>
      <c r="H3665" s="12">
        <v>1.38123736490449</v>
      </c>
      <c r="I3665" s="20">
        <v>1.5219202119853199</v>
      </c>
      <c r="J3665" s="28">
        <v>0.12802907406137301</v>
      </c>
      <c r="K3665" s="29">
        <v>0.80741335767347</v>
      </c>
    </row>
    <row r="3666" spans="1:11" x14ac:dyDescent="0.35">
      <c r="A3666" s="9" t="str">
        <f>HYPERLINK("http://www.ensembl.org/id/WBGene00010968", "WBGene00010968")</f>
        <v>WBGene00010968</v>
      </c>
      <c r="B3666" s="9" t="str">
        <f>HYPERLINK("http://www.ncbi.nlm.nih.gov/gene/187505", "187505")</f>
        <v>187505</v>
      </c>
      <c r="C3666" s="9"/>
      <c r="D3666" t="str">
        <f>"R01E6.2"</f>
        <v>R01E6.2</v>
      </c>
      <c r="F3666" t="s">
        <v>11</v>
      </c>
      <c r="G3666" t="s">
        <v>27</v>
      </c>
      <c r="H3666" s="12">
        <v>3.1611058666632701</v>
      </c>
      <c r="I3666" s="20">
        <v>1.5218672702416101</v>
      </c>
      <c r="J3666" s="28">
        <v>0.128042341602051</v>
      </c>
      <c r="K3666" s="29">
        <v>0.80741335767347</v>
      </c>
    </row>
    <row r="3667" spans="1:11" x14ac:dyDescent="0.35">
      <c r="A3667" s="9" t="str">
        <f>HYPERLINK("http://www.ensembl.org/id/WBGene00021186", "WBGene00021186")</f>
        <v>WBGene00021186</v>
      </c>
      <c r="B3667" s="9" t="str">
        <f>HYPERLINK("http://www.ncbi.nlm.nih.gov/gene/174214", "174214")</f>
        <v>174214</v>
      </c>
      <c r="C3667" s="9"/>
      <c r="D3667" t="str">
        <f>"Y9D1A.1"</f>
        <v>Y9D1A.1</v>
      </c>
      <c r="F3667" t="s">
        <v>11</v>
      </c>
      <c r="H3667" s="12">
        <v>1.6266341571393499</v>
      </c>
      <c r="I3667" s="20">
        <v>1.52221249019449</v>
      </c>
      <c r="J3667" s="28">
        <v>0.12795584650646599</v>
      </c>
      <c r="K3667" s="29">
        <v>0.80741335767347</v>
      </c>
    </row>
    <row r="3668" spans="1:11" x14ac:dyDescent="0.35">
      <c r="A3668" s="9" t="str">
        <f>HYPERLINK("http://www.ensembl.org/id/WBGene00018314", "WBGene00018314")</f>
        <v>WBGene00018314</v>
      </c>
      <c r="B3668" s="9" t="str">
        <f>HYPERLINK("http://www.ncbi.nlm.nih.gov/gene/24104567", "24104567")</f>
        <v>24104567</v>
      </c>
      <c r="C3668" s="9"/>
      <c r="D3668" t="str">
        <f>"F41H10.1"</f>
        <v>F41H10.1</v>
      </c>
      <c r="F3668" t="s">
        <v>11</v>
      </c>
      <c r="G3668" t="s">
        <v>25</v>
      </c>
      <c r="H3668" s="12">
        <v>-1.7506643590953801</v>
      </c>
      <c r="I3668" s="20">
        <v>-1.52054382813489</v>
      </c>
      <c r="J3668" s="28">
        <v>0.128374352190047</v>
      </c>
      <c r="K3668" s="29">
        <v>0.80852048616029204</v>
      </c>
    </row>
    <row r="3669" spans="1:11" x14ac:dyDescent="0.35">
      <c r="A3669" s="9" t="str">
        <f>HYPERLINK("http://www.ensembl.org/id/WBGene00002067", "WBGene00002067")</f>
        <v>WBGene00002067</v>
      </c>
      <c r="B3669" s="9" t="str">
        <f>HYPERLINK("http://www.ncbi.nlm.nih.gov/gene/181182", "181182")</f>
        <v>181182</v>
      </c>
      <c r="C3669" s="9" t="str">
        <f>HYPERLINK("http://www.ncbi.nlm.nih.gov/gene/84823", "84823")</f>
        <v>84823</v>
      </c>
      <c r="D3669" t="str">
        <f>"ifp-1"</f>
        <v>ifp-1</v>
      </c>
      <c r="E3669" t="s">
        <v>2956</v>
      </c>
      <c r="F3669" t="s">
        <v>11</v>
      </c>
      <c r="H3669" s="12">
        <v>1.5339558813706899</v>
      </c>
      <c r="I3669" s="20">
        <v>1.52074861906301</v>
      </c>
      <c r="J3669" s="28">
        <v>0.128322932777514</v>
      </c>
      <c r="K3669" s="29">
        <v>0.80852048616029204</v>
      </c>
    </row>
    <row r="3670" spans="1:11" x14ac:dyDescent="0.35">
      <c r="A3670" s="9" t="str">
        <f>HYPERLINK("http://www.ensembl.org/id/WBGene00018187", "WBGene00018187")</f>
        <v>WBGene00018187</v>
      </c>
      <c r="B3670" s="9" t="str">
        <f>HYPERLINK("http://www.ncbi.nlm.nih.gov/gene/181711", "181711")</f>
        <v>181711</v>
      </c>
      <c r="C3670" s="9" t="str">
        <f>HYPERLINK("http://www.ncbi.nlm.nih.gov/gene/5756", "5756")</f>
        <v>5756</v>
      </c>
      <c r="D3670" t="str">
        <f>"twf-2"</f>
        <v>twf-2</v>
      </c>
      <c r="E3670" t="s">
        <v>2957</v>
      </c>
      <c r="F3670" t="s">
        <v>11</v>
      </c>
      <c r="G3670" t="s">
        <v>2958</v>
      </c>
      <c r="H3670" s="12">
        <v>1.32818984569369</v>
      </c>
      <c r="I3670" s="20">
        <v>1.52075375661002</v>
      </c>
      <c r="J3670" s="28">
        <v>0.128321643035397</v>
      </c>
      <c r="K3670" s="29">
        <v>0.80852048616029204</v>
      </c>
    </row>
    <row r="3671" spans="1:11" x14ac:dyDescent="0.35">
      <c r="A3671" s="9" t="str">
        <f>HYPERLINK("http://www.ensembl.org/id/WBGene00185076", "WBGene00185076")</f>
        <v>WBGene00185076</v>
      </c>
      <c r="B3671" s="9"/>
      <c r="C3671" s="9"/>
      <c r="D3671" t="str">
        <f>"Y7A9A.79"</f>
        <v>Y7A9A.79</v>
      </c>
      <c r="F3671" t="s">
        <v>481</v>
      </c>
      <c r="H3671" s="12">
        <v>2.1877868571007899</v>
      </c>
      <c r="I3671" s="20">
        <v>1.5205017983546401</v>
      </c>
      <c r="J3671" s="28">
        <v>0.128384907111664</v>
      </c>
      <c r="K3671" s="29">
        <v>0.80852048616029204</v>
      </c>
    </row>
    <row r="3672" spans="1:11" x14ac:dyDescent="0.35">
      <c r="A3672" s="9" t="str">
        <f>HYPERLINK("http://www.ensembl.org/id/WBGene00018590", "WBGene00018590")</f>
        <v>WBGene00018590</v>
      </c>
      <c r="B3672" s="9" t="str">
        <f>HYPERLINK("http://www.ncbi.nlm.nih.gov/gene/185966", "185966")</f>
        <v>185966</v>
      </c>
      <c r="C3672" s="9"/>
      <c r="D3672" t="str">
        <f>"nlp-37"</f>
        <v>nlp-37</v>
      </c>
      <c r="E3672" t="s">
        <v>2959</v>
      </c>
      <c r="F3672" t="s">
        <v>11</v>
      </c>
      <c r="H3672" s="12">
        <v>1.3722546841966301</v>
      </c>
      <c r="I3672" s="20">
        <v>1.5200949267877899</v>
      </c>
      <c r="J3672" s="28">
        <v>0.12848711947841701</v>
      </c>
      <c r="K3672" s="29">
        <v>0.80894370099953605</v>
      </c>
    </row>
    <row r="3673" spans="1:11" x14ac:dyDescent="0.35">
      <c r="A3673" s="9" t="str">
        <f>HYPERLINK("http://www.ensembl.org/id/WBGene00012585", "WBGene00012585")</f>
        <v>WBGene00012585</v>
      </c>
      <c r="B3673" s="9" t="str">
        <f>HYPERLINK("http://www.ncbi.nlm.nih.gov/gene/174895", "174895")</f>
        <v>174895</v>
      </c>
      <c r="C3673" s="9"/>
      <c r="D3673" t="str">
        <f>"lips-15"</f>
        <v>lips-15</v>
      </c>
      <c r="E3673" t="s">
        <v>430</v>
      </c>
      <c r="F3673" t="s">
        <v>11</v>
      </c>
      <c r="G3673" t="s">
        <v>431</v>
      </c>
      <c r="H3673" s="12">
        <v>1.4875289834910399</v>
      </c>
      <c r="I3673" s="20">
        <v>1.51947517031446</v>
      </c>
      <c r="J3673" s="28">
        <v>0.12864293332247201</v>
      </c>
      <c r="K3673" s="29">
        <v>0.80926316834985801</v>
      </c>
    </row>
    <row r="3674" spans="1:11" x14ac:dyDescent="0.35">
      <c r="A3674" s="9" t="str">
        <f>HYPERLINK("http://www.ensembl.org/id/WBGene00012757", "WBGene00012757")</f>
        <v>WBGene00012757</v>
      </c>
      <c r="B3674" s="9" t="str">
        <f>HYPERLINK("http://www.ncbi.nlm.nih.gov/gene/29991192", "29991192")</f>
        <v>29991192</v>
      </c>
      <c r="C3674" s="9"/>
      <c r="D3674" t="str">
        <f>"Y41C4A.11"</f>
        <v>Y41C4A.11</v>
      </c>
      <c r="F3674" t="s">
        <v>11</v>
      </c>
      <c r="G3674" t="s">
        <v>2960</v>
      </c>
      <c r="H3674" s="12">
        <v>1.57672899075443</v>
      </c>
      <c r="I3674" s="20">
        <v>1.5196814616580001</v>
      </c>
      <c r="J3674" s="28">
        <v>0.128591053030922</v>
      </c>
      <c r="K3674" s="29">
        <v>0.80926316834985801</v>
      </c>
    </row>
    <row r="3675" spans="1:11" x14ac:dyDescent="0.35">
      <c r="A3675" s="9" t="str">
        <f>HYPERLINK("http://www.ensembl.org/id/WBGene00013332", "WBGene00013332")</f>
        <v>WBGene00013332</v>
      </c>
      <c r="B3675" s="9" t="str">
        <f>HYPERLINK("http://www.ncbi.nlm.nih.gov/gene/3565931", "3565931")</f>
        <v>3565931</v>
      </c>
      <c r="C3675" s="9" t="str">
        <f>HYPERLINK("http://www.ncbi.nlm.nih.gov/gene/112970", "112970")</f>
        <v>112970</v>
      </c>
      <c r="D3675" t="str">
        <f>"Y57G11C.43"</f>
        <v>Y57G11C.43</v>
      </c>
      <c r="F3675" t="s">
        <v>11</v>
      </c>
      <c r="G3675" t="s">
        <v>2961</v>
      </c>
      <c r="H3675" s="12">
        <v>-1.4206251303626301</v>
      </c>
      <c r="I3675" s="20">
        <v>-1.51958630478224</v>
      </c>
      <c r="J3675" s="28">
        <v>0.12861498205052699</v>
      </c>
      <c r="K3675" s="29">
        <v>0.80926316834985801</v>
      </c>
    </row>
    <row r="3676" spans="1:11" x14ac:dyDescent="0.35">
      <c r="A3676" s="9" t="str">
        <f>HYPERLINK("http://www.ensembl.org/id/WBGene00004501", "WBGene00004501")</f>
        <v>WBGene00004501</v>
      </c>
      <c r="B3676" s="9" t="str">
        <f>HYPERLINK("http://www.ncbi.nlm.nih.gov/gene/179641", "179641")</f>
        <v>179641</v>
      </c>
      <c r="C3676" s="9" t="str">
        <f>HYPERLINK("http://www.ncbi.nlm.nih.gov/gene/5701", "5701")</f>
        <v>5701</v>
      </c>
      <c r="D3676" t="str">
        <f>"rpt-1"</f>
        <v>rpt-1</v>
      </c>
      <c r="E3676" t="s">
        <v>2962</v>
      </c>
      <c r="F3676" t="s">
        <v>11</v>
      </c>
      <c r="G3676" t="s">
        <v>2424</v>
      </c>
      <c r="H3676" s="12">
        <v>-1.3166357875736701</v>
      </c>
      <c r="I3676" s="20">
        <v>-1.5192590833523301</v>
      </c>
      <c r="J3676" s="28">
        <v>0.12869729455953899</v>
      </c>
      <c r="K3676" s="29">
        <v>0.80938478173453998</v>
      </c>
    </row>
    <row r="3677" spans="1:11" x14ac:dyDescent="0.35">
      <c r="A3677" s="9" t="str">
        <f>HYPERLINK("http://www.ensembl.org/id/WBGene00001954", "WBGene00001954")</f>
        <v>WBGene00001954</v>
      </c>
      <c r="B3677" s="9" t="str">
        <f>HYPERLINK("http://www.ncbi.nlm.nih.gov/gene/191402", "191402")</f>
        <v>191402</v>
      </c>
      <c r="C3677" s="9"/>
      <c r="D3677" t="str">
        <f>"hlh-10"</f>
        <v>hlh-10</v>
      </c>
      <c r="E3677" t="s">
        <v>1658</v>
      </c>
      <c r="F3677" t="s">
        <v>11</v>
      </c>
      <c r="G3677" t="s">
        <v>2963</v>
      </c>
      <c r="H3677" s="12">
        <v>2.2644609400881301</v>
      </c>
      <c r="I3677" s="20">
        <v>1.51898331998537</v>
      </c>
      <c r="J3677" s="28">
        <v>0.12876669458057899</v>
      </c>
      <c r="K3677" s="29">
        <v>0.80960088298744703</v>
      </c>
    </row>
    <row r="3678" spans="1:11" x14ac:dyDescent="0.35">
      <c r="A3678" s="9" t="str">
        <f>HYPERLINK("http://www.ensembl.org/id/WBGene00008203", "WBGene00008203")</f>
        <v>WBGene00008203</v>
      </c>
      <c r="B3678" s="9" t="str">
        <f>HYPERLINK("http://www.ncbi.nlm.nih.gov/gene/183598", "183598")</f>
        <v>183598</v>
      </c>
      <c r="C3678" s="9"/>
      <c r="D3678" t="str">
        <f>"clec-198"</f>
        <v>clec-198</v>
      </c>
      <c r="E3678" t="s">
        <v>46</v>
      </c>
      <c r="F3678" t="s">
        <v>11</v>
      </c>
      <c r="G3678" t="s">
        <v>47</v>
      </c>
      <c r="H3678" s="12">
        <v>2.44185382823777</v>
      </c>
      <c r="I3678" s="20">
        <v>1.5187718748250301</v>
      </c>
      <c r="J3678" s="28">
        <v>0.128819927646736</v>
      </c>
      <c r="K3678" s="29">
        <v>0.80971524706351605</v>
      </c>
    </row>
    <row r="3679" spans="1:11" x14ac:dyDescent="0.35">
      <c r="A3679" s="9" t="str">
        <f>HYPERLINK("http://www.ensembl.org/id/WBGene00017488", "WBGene00017488")</f>
        <v>WBGene00017488</v>
      </c>
      <c r="B3679" s="9" t="str">
        <f>HYPERLINK("http://www.ncbi.nlm.nih.gov/gene/184536", "184536")</f>
        <v>184536</v>
      </c>
      <c r="C3679" s="9"/>
      <c r="D3679" t="str">
        <f>"dct-7"</f>
        <v>dct-7</v>
      </c>
      <c r="E3679" t="s">
        <v>1725</v>
      </c>
      <c r="F3679" t="s">
        <v>11</v>
      </c>
      <c r="H3679" s="12">
        <v>3.64090225837512</v>
      </c>
      <c r="I3679" s="20">
        <v>1.51796030633524</v>
      </c>
      <c r="J3679" s="28">
        <v>0.12902440550009001</v>
      </c>
      <c r="K3679" s="29">
        <v>0.81059291220877405</v>
      </c>
    </row>
    <row r="3680" spans="1:11" x14ac:dyDescent="0.35">
      <c r="A3680" s="9" t="str">
        <f>HYPERLINK("http://www.ensembl.org/id/WBGene00022300", "WBGene00022300")</f>
        <v>WBGene00022300</v>
      </c>
      <c r="B3680" s="9" t="str">
        <f>HYPERLINK("http://www.ncbi.nlm.nih.gov/gene/177000", "177000")</f>
        <v>177000</v>
      </c>
      <c r="C3680" s="9"/>
      <c r="D3680" t="str">
        <f>"Y76B12C.6"</f>
        <v>Y76B12C.6</v>
      </c>
      <c r="F3680" t="s">
        <v>11</v>
      </c>
      <c r="H3680" s="12">
        <v>-1.38954146503891</v>
      </c>
      <c r="I3680" s="20">
        <v>-1.517939222951</v>
      </c>
      <c r="J3680" s="28">
        <v>0.12902972089950099</v>
      </c>
      <c r="K3680" s="29">
        <v>0.81059291220877405</v>
      </c>
    </row>
    <row r="3681" spans="1:11" x14ac:dyDescent="0.35">
      <c r="A3681" s="9" t="str">
        <f>HYPERLINK("http://www.ensembl.org/id/WBGene00017446", "WBGene00017446")</f>
        <v>WBGene00017446</v>
      </c>
      <c r="B3681" s="9" t="str">
        <f>HYPERLINK("http://www.ncbi.nlm.nih.gov/gene/184451", "184451")</f>
        <v>184451</v>
      </c>
      <c r="C3681" s="9"/>
      <c r="D3681" t="str">
        <f>"F14B8.4"</f>
        <v>F14B8.4</v>
      </c>
      <c r="F3681" t="s">
        <v>11</v>
      </c>
      <c r="H3681" s="12">
        <v>1.80750700192848</v>
      </c>
      <c r="I3681" s="20">
        <v>1.5175878443251001</v>
      </c>
      <c r="J3681" s="28">
        <v>0.129118333133595</v>
      </c>
      <c r="K3681" s="29">
        <v>0.81092911263518297</v>
      </c>
    </row>
    <row r="3682" spans="1:11" x14ac:dyDescent="0.35">
      <c r="A3682" s="9" t="str">
        <f>HYPERLINK("http://www.ensembl.org/id/WBGene00044900", "WBGene00044900")</f>
        <v>WBGene00044900</v>
      </c>
      <c r="B3682" s="9" t="str">
        <f>HYPERLINK("http://www.ncbi.nlm.nih.gov/gene/4926913", "4926913")</f>
        <v>4926913</v>
      </c>
      <c r="C3682" s="9"/>
      <c r="D3682" t="str">
        <f>"cnc-11"</f>
        <v>cnc-11</v>
      </c>
      <c r="E3682" t="s">
        <v>251</v>
      </c>
      <c r="F3682" t="s">
        <v>11</v>
      </c>
      <c r="G3682" t="s">
        <v>2964</v>
      </c>
      <c r="H3682" s="12">
        <v>1.5866500147570299</v>
      </c>
      <c r="I3682" s="20">
        <v>1.51723392936799</v>
      </c>
      <c r="J3682" s="28">
        <v>0.129207632768949</v>
      </c>
      <c r="K3682" s="29">
        <v>0.81126944640199405</v>
      </c>
    </row>
    <row r="3683" spans="1:11" x14ac:dyDescent="0.35">
      <c r="A3683" s="9" t="str">
        <f>HYPERLINK("http://www.ensembl.org/id/WBGene00016636", "WBGene00016636")</f>
        <v>WBGene00016636</v>
      </c>
      <c r="B3683" s="9" t="str">
        <f>HYPERLINK("http://www.ncbi.nlm.nih.gov/gene/176933", "176933")</f>
        <v>176933</v>
      </c>
      <c r="C3683" s="9"/>
      <c r="D3683" t="str">
        <f>"perm-2"</f>
        <v>perm-2</v>
      </c>
      <c r="E3683" t="s">
        <v>136</v>
      </c>
      <c r="F3683" t="s">
        <v>11</v>
      </c>
      <c r="H3683" s="12">
        <v>-1.4068992302831</v>
      </c>
      <c r="I3683" s="20">
        <v>-1.51693946025877</v>
      </c>
      <c r="J3683" s="28">
        <v>0.12928196961497099</v>
      </c>
      <c r="K3683" s="29">
        <v>0.81151567235086297</v>
      </c>
    </row>
    <row r="3684" spans="1:11" x14ac:dyDescent="0.35">
      <c r="A3684" s="9" t="str">
        <f>HYPERLINK("http://www.ensembl.org/id/WBGene00012947", "WBGene00012947")</f>
        <v>WBGene00012947</v>
      </c>
      <c r="B3684" s="9" t="str">
        <f>HYPERLINK("http://www.ncbi.nlm.nih.gov/gene/173061", "173061")</f>
        <v>173061</v>
      </c>
      <c r="C3684" s="9"/>
      <c r="D3684" t="str">
        <f>"Y47H9C.1"</f>
        <v>Y47H9C.1</v>
      </c>
      <c r="F3684" t="s">
        <v>11</v>
      </c>
      <c r="H3684" s="12">
        <v>7.0861996502677203</v>
      </c>
      <c r="I3684" s="20">
        <v>1.5166294894096899</v>
      </c>
      <c r="J3684" s="28">
        <v>0.129360255658131</v>
      </c>
      <c r="K3684" s="29">
        <v>0.81177604943599402</v>
      </c>
    </row>
    <row r="3685" spans="1:11" x14ac:dyDescent="0.35">
      <c r="A3685" s="9" t="str">
        <f>HYPERLINK("http://www.ensembl.org/id/WBGene00014210", "WBGene00014210")</f>
        <v>WBGene00014210</v>
      </c>
      <c r="B3685" s="9" t="str">
        <f>HYPERLINK("http://www.ncbi.nlm.nih.gov/gene/191517", "191517")</f>
        <v>191517</v>
      </c>
      <c r="C3685" s="9" t="str">
        <f>HYPERLINK("http://www.ncbi.nlm.nih.gov/gene/256472", "256472")</f>
        <v>256472</v>
      </c>
      <c r="D3685" t="str">
        <f>"ZK1067.4"</f>
        <v>ZK1067.4</v>
      </c>
      <c r="E3685" t="s">
        <v>2965</v>
      </c>
      <c r="F3685" t="s">
        <v>11</v>
      </c>
      <c r="G3685" t="s">
        <v>25</v>
      </c>
      <c r="H3685" s="12">
        <v>1.42656016448925</v>
      </c>
      <c r="I3685" s="20">
        <v>1.51649705082213</v>
      </c>
      <c r="J3685" s="28">
        <v>0.129393715488305</v>
      </c>
      <c r="K3685" s="29">
        <v>0.81177604943599402</v>
      </c>
    </row>
    <row r="3686" spans="1:11" x14ac:dyDescent="0.35">
      <c r="A3686" s="9" t="str">
        <f>HYPERLINK("http://www.ensembl.org/id/WBGene00008401", "WBGene00008401")</f>
        <v>WBGene00008401</v>
      </c>
      <c r="B3686" s="9" t="str">
        <f>HYPERLINK("http://www.ncbi.nlm.nih.gov/gene/183936", "183936")</f>
        <v>183936</v>
      </c>
      <c r="C3686" s="9"/>
      <c r="D3686" t="str">
        <f>"D2005.6"</f>
        <v>D2005.6</v>
      </c>
      <c r="F3686" t="s">
        <v>11</v>
      </c>
      <c r="G3686" t="s">
        <v>25</v>
      </c>
      <c r="H3686" s="12">
        <v>1.5895198015643199</v>
      </c>
      <c r="I3686" s="20">
        <v>1.516137479967</v>
      </c>
      <c r="J3686" s="28">
        <v>0.12948459284609901</v>
      </c>
      <c r="K3686" s="29">
        <v>0.81184097082904105</v>
      </c>
    </row>
    <row r="3687" spans="1:11" x14ac:dyDescent="0.35">
      <c r="A3687" s="9" t="str">
        <f>HYPERLINK("http://www.ensembl.org/id/WBGene00010067", "WBGene00010067")</f>
        <v>WBGene00010067</v>
      </c>
      <c r="B3687" s="9" t="str">
        <f>HYPERLINK("http://www.ncbi.nlm.nih.gov/gene/186255", "186255")</f>
        <v>186255</v>
      </c>
      <c r="C3687" s="9"/>
      <c r="D3687" t="str">
        <f>"dot-1.2"</f>
        <v>dot-1.2</v>
      </c>
      <c r="E3687" t="s">
        <v>2966</v>
      </c>
      <c r="F3687" t="s">
        <v>11</v>
      </c>
      <c r="G3687" t="s">
        <v>2967</v>
      </c>
      <c r="H3687" s="12">
        <v>-1.55855074275227</v>
      </c>
      <c r="I3687" s="20">
        <v>-1.51603908288406</v>
      </c>
      <c r="J3687" s="28">
        <v>0.129509470201499</v>
      </c>
      <c r="K3687" s="29">
        <v>0.81184097082904105</v>
      </c>
    </row>
    <row r="3688" spans="1:11" x14ac:dyDescent="0.35">
      <c r="A3688" s="9" t="str">
        <f>HYPERLINK("http://www.ensembl.org/id/WBGene00004229", "WBGene00004229")</f>
        <v>WBGene00004229</v>
      </c>
      <c r="B3688" s="9" t="str">
        <f>HYPERLINK("http://www.ncbi.nlm.nih.gov/gene/191749", "191749")</f>
        <v>191749</v>
      </c>
      <c r="C3688" s="9"/>
      <c r="D3688" t="str">
        <f>"ptr-15"</f>
        <v>ptr-15</v>
      </c>
      <c r="E3688" t="s">
        <v>134</v>
      </c>
      <c r="F3688" t="s">
        <v>11</v>
      </c>
      <c r="G3688" t="s">
        <v>404</v>
      </c>
      <c r="H3688" s="12">
        <v>1.79383860653531</v>
      </c>
      <c r="I3688" s="20">
        <v>1.5162969346652999</v>
      </c>
      <c r="J3688" s="28">
        <v>0.12944428640852301</v>
      </c>
      <c r="K3688" s="29">
        <v>0.81184097082904105</v>
      </c>
    </row>
    <row r="3689" spans="1:11" x14ac:dyDescent="0.35">
      <c r="A3689" s="9" t="str">
        <f>HYPERLINK("http://www.ensembl.org/id/WBGene00011960", "WBGene00011960")</f>
        <v>WBGene00011960</v>
      </c>
      <c r="B3689" s="9" t="str">
        <f>HYPERLINK("http://www.ncbi.nlm.nih.gov/gene/188814", "188814")</f>
        <v>188814</v>
      </c>
      <c r="C3689" s="9"/>
      <c r="D3689" t="str">
        <f>"oac-48"</f>
        <v>oac-48</v>
      </c>
      <c r="E3689" t="s">
        <v>883</v>
      </c>
      <c r="F3689" t="s">
        <v>11</v>
      </c>
      <c r="G3689" t="s">
        <v>1992</v>
      </c>
      <c r="H3689" s="12">
        <v>6.4330138312067797</v>
      </c>
      <c r="I3689" s="20">
        <v>1.5158822566846499</v>
      </c>
      <c r="J3689" s="28">
        <v>0.12954912763682899</v>
      </c>
      <c r="K3689" s="29">
        <v>0.81186930924235801</v>
      </c>
    </row>
    <row r="3690" spans="1:11" x14ac:dyDescent="0.35">
      <c r="A3690" s="9" t="str">
        <f>HYPERLINK("http://www.ensembl.org/id/WBGene00019630", "WBGene00019630")</f>
        <v>WBGene00019630</v>
      </c>
      <c r="B3690" s="9" t="str">
        <f>HYPERLINK("http://www.ncbi.nlm.nih.gov/gene/187262", "187262")</f>
        <v>187262</v>
      </c>
      <c r="C3690" s="9"/>
      <c r="D3690" t="str">
        <f>"emb-1"</f>
        <v>emb-1</v>
      </c>
      <c r="E3690" t="s">
        <v>2970</v>
      </c>
      <c r="F3690" t="s">
        <v>11</v>
      </c>
      <c r="H3690" s="12">
        <v>-1.5056401998001601</v>
      </c>
      <c r="I3690" s="20">
        <v>-1.5152496170148</v>
      </c>
      <c r="J3690" s="28">
        <v>0.129709202184973</v>
      </c>
      <c r="K3690" s="29">
        <v>0.81247979488182098</v>
      </c>
    </row>
    <row r="3691" spans="1:11" x14ac:dyDescent="0.35">
      <c r="A3691" s="9" t="str">
        <f>HYPERLINK("http://www.ensembl.org/id/WBGene00017736", "WBGene00017736")</f>
        <v>WBGene00017736</v>
      </c>
      <c r="B3691" s="9" t="str">
        <f>HYPERLINK("http://www.ncbi.nlm.nih.gov/gene/184892", "184892")</f>
        <v>184892</v>
      </c>
      <c r="C3691" s="9"/>
      <c r="D3691" t="str">
        <f>"F23C8.7"</f>
        <v>F23C8.7</v>
      </c>
      <c r="E3691" t="s">
        <v>2588</v>
      </c>
      <c r="F3691" t="s">
        <v>11</v>
      </c>
      <c r="G3691" t="s">
        <v>2589</v>
      </c>
      <c r="H3691" s="12">
        <v>1.9167311913543199</v>
      </c>
      <c r="I3691" s="20">
        <v>1.5152051889911</v>
      </c>
      <c r="J3691" s="28">
        <v>0.12972044941682701</v>
      </c>
      <c r="K3691" s="29">
        <v>0.81247979488182098</v>
      </c>
    </row>
    <row r="3692" spans="1:11" x14ac:dyDescent="0.35">
      <c r="A3692" s="9" t="str">
        <f>HYPERLINK("http://www.ensembl.org/id/WBGene00017233", "WBGene00017233")</f>
        <v>WBGene00017233</v>
      </c>
      <c r="B3692" s="9" t="str">
        <f>HYPERLINK("http://www.ncbi.nlm.nih.gov/gene/179121", "179121")</f>
        <v>179121</v>
      </c>
      <c r="C3692" s="9"/>
      <c r="D3692" t="str">
        <f>"lmd-4"</f>
        <v>lmd-4</v>
      </c>
      <c r="E3692" t="s">
        <v>2968</v>
      </c>
      <c r="F3692" t="s">
        <v>11</v>
      </c>
      <c r="G3692" t="s">
        <v>2969</v>
      </c>
      <c r="H3692" s="12">
        <v>26.3827830207162</v>
      </c>
      <c r="I3692" s="20">
        <v>1.51508045109636</v>
      </c>
      <c r="J3692" s="28">
        <v>0.12975203164173499</v>
      </c>
      <c r="K3692" s="29">
        <v>0.81247979488182098</v>
      </c>
    </row>
    <row r="3693" spans="1:11" x14ac:dyDescent="0.35">
      <c r="A3693" s="9" t="str">
        <f>HYPERLINK("http://www.ensembl.org/id/WBGene00000703", "WBGene00000703")</f>
        <v>WBGene00000703</v>
      </c>
      <c r="B3693" s="9" t="str">
        <f>HYPERLINK("http://www.ncbi.nlm.nih.gov/gene/178155", "178155")</f>
        <v>178155</v>
      </c>
      <c r="C3693" s="9"/>
      <c r="D3693" t="str">
        <f>"col-129"</f>
        <v>col-129</v>
      </c>
      <c r="E3693" t="s">
        <v>40</v>
      </c>
      <c r="F3693" t="s">
        <v>11</v>
      </c>
      <c r="G3693" t="s">
        <v>2972</v>
      </c>
      <c r="H3693" s="12">
        <v>1.42293045767384</v>
      </c>
      <c r="I3693" s="20">
        <v>1.5143936000215501</v>
      </c>
      <c r="J3693" s="28">
        <v>0.12992604151440701</v>
      </c>
      <c r="K3693" s="29">
        <v>0.81255220649911597</v>
      </c>
    </row>
    <row r="3694" spans="1:11" x14ac:dyDescent="0.35">
      <c r="A3694" s="9" t="str">
        <f>HYPERLINK("http://www.ensembl.org/id/WBGene00001645", "WBGene00001645")</f>
        <v>WBGene00001645</v>
      </c>
      <c r="B3694" s="9" t="str">
        <f>HYPERLINK("http://www.ncbi.nlm.nih.gov/gene/179562", "179562")</f>
        <v>179562</v>
      </c>
      <c r="C3694" s="9" t="str">
        <f>HYPERLINK("http://www.ncbi.nlm.nih.gov/gene/4247", "4247")</f>
        <v>4247</v>
      </c>
      <c r="D3694" t="str">
        <f>"gly-20"</f>
        <v>gly-20</v>
      </c>
      <c r="E3694" t="s">
        <v>2973</v>
      </c>
      <c r="F3694" t="s">
        <v>11</v>
      </c>
      <c r="G3694" t="s">
        <v>2974</v>
      </c>
      <c r="H3694" s="12">
        <v>-1.3286080487567899</v>
      </c>
      <c r="I3694" s="20">
        <v>-1.5143399982347201</v>
      </c>
      <c r="J3694" s="28">
        <v>0.129939628843177</v>
      </c>
      <c r="K3694" s="29">
        <v>0.81255220649911597</v>
      </c>
    </row>
    <row r="3695" spans="1:11" x14ac:dyDescent="0.35">
      <c r="A3695" s="9" t="str">
        <f>HYPERLINK("http://www.ensembl.org/id/WBGene00001960", "WBGene00001960")</f>
        <v>WBGene00001960</v>
      </c>
      <c r="B3695" s="9" t="str">
        <f>HYPERLINK("http://www.ncbi.nlm.nih.gov/gene/183973", "183973")</f>
        <v>183973</v>
      </c>
      <c r="C3695" s="9"/>
      <c r="D3695" t="str">
        <f>"hlh-16"</f>
        <v>hlh-16</v>
      </c>
      <c r="E3695" t="s">
        <v>1658</v>
      </c>
      <c r="F3695" t="s">
        <v>11</v>
      </c>
      <c r="G3695" t="s">
        <v>2971</v>
      </c>
      <c r="H3695" s="12">
        <v>1.63141101245509</v>
      </c>
      <c r="I3695" s="20">
        <v>1.5143495417647299</v>
      </c>
      <c r="J3695" s="28">
        <v>0.129937209606554</v>
      </c>
      <c r="K3695" s="29">
        <v>0.81255220649911597</v>
      </c>
    </row>
    <row r="3696" spans="1:11" x14ac:dyDescent="0.35">
      <c r="A3696" s="9" t="str">
        <f>HYPERLINK("http://www.ensembl.org/id/WBGene00044490", "WBGene00044490")</f>
        <v>WBGene00044490</v>
      </c>
      <c r="B3696" s="9" t="str">
        <f>HYPERLINK("http://www.ncbi.nlm.nih.gov/gene/3896804", "3896804")</f>
        <v>3896804</v>
      </c>
      <c r="C3696" s="9"/>
      <c r="D3696" t="str">
        <f>"pudl-2"</f>
        <v>pudl-2</v>
      </c>
      <c r="E3696" t="s">
        <v>1062</v>
      </c>
      <c r="F3696" t="s">
        <v>11</v>
      </c>
      <c r="H3696" s="12">
        <v>2.3334782763356801</v>
      </c>
      <c r="I3696" s="20">
        <v>1.5146259595885601</v>
      </c>
      <c r="J3696" s="28">
        <v>0.12986715425588499</v>
      </c>
      <c r="K3696" s="29">
        <v>0.81255220649911597</v>
      </c>
    </row>
    <row r="3697" spans="1:11" x14ac:dyDescent="0.35">
      <c r="A3697" s="9" t="str">
        <f>HYPERLINK("http://www.ensembl.org/id/WBGene00018672", "WBGene00018672")</f>
        <v>WBGene00018672</v>
      </c>
      <c r="B3697" s="9" t="str">
        <f>HYPERLINK("http://www.ncbi.nlm.nih.gov/gene/3565037", "3565037")</f>
        <v>3565037</v>
      </c>
      <c r="C3697" s="9"/>
      <c r="D3697" t="str">
        <f>"sorf-2"</f>
        <v>sorf-2</v>
      </c>
      <c r="E3697" t="s">
        <v>2975</v>
      </c>
      <c r="F3697" t="s">
        <v>11</v>
      </c>
      <c r="G3697" t="s">
        <v>2976</v>
      </c>
      <c r="H3697" s="12">
        <v>-1.3312286540638401</v>
      </c>
      <c r="I3697" s="20">
        <v>-1.51423984261432</v>
      </c>
      <c r="J3697" s="28">
        <v>0.12996501989563999</v>
      </c>
      <c r="K3697" s="29">
        <v>0.81255220649911597</v>
      </c>
    </row>
    <row r="3698" spans="1:11" x14ac:dyDescent="0.35">
      <c r="A3698" s="9" t="str">
        <f>HYPERLINK("http://www.ensembl.org/id/WBGene00220246", "WBGene00220246")</f>
        <v>WBGene00220246</v>
      </c>
      <c r="B3698" s="9"/>
      <c r="C3698" s="9"/>
      <c r="D3698" t="str">
        <f>"ZK858.10"</f>
        <v>ZK858.10</v>
      </c>
      <c r="F3698" t="s">
        <v>2977</v>
      </c>
      <c r="H3698" s="12">
        <v>-1.4477533838410199</v>
      </c>
      <c r="I3698" s="20">
        <v>-1.51420208361728</v>
      </c>
      <c r="J3698" s="28">
        <v>0.12997459340520801</v>
      </c>
      <c r="K3698" s="29">
        <v>0.81255220649911597</v>
      </c>
    </row>
    <row r="3699" spans="1:11" x14ac:dyDescent="0.35">
      <c r="A3699" s="9" t="str">
        <f>HYPERLINK("http://www.ensembl.org/id/WBGene00004384", "WBGene00004384")</f>
        <v>WBGene00004384</v>
      </c>
      <c r="B3699" s="9" t="str">
        <f>HYPERLINK("http://www.ncbi.nlm.nih.gov/gene/179672", "179672")</f>
        <v>179672</v>
      </c>
      <c r="C3699" s="9"/>
      <c r="D3699" t="str">
        <f>"rnp-1"</f>
        <v>rnp-1</v>
      </c>
      <c r="E3699" t="s">
        <v>2978</v>
      </c>
      <c r="F3699" t="s">
        <v>11</v>
      </c>
      <c r="G3699" t="s">
        <v>2979</v>
      </c>
      <c r="H3699" s="12">
        <v>-1.35118828794131</v>
      </c>
      <c r="I3699" s="20">
        <v>-1.5138490854904301</v>
      </c>
      <c r="J3699" s="28">
        <v>0.130064119905067</v>
      </c>
      <c r="K3699" s="29">
        <v>0.81289195415917603</v>
      </c>
    </row>
    <row r="3700" spans="1:11" x14ac:dyDescent="0.35">
      <c r="A3700" s="9" t="str">
        <f>HYPERLINK("http://www.ensembl.org/id/WBGene00016237", "WBGene00016237")</f>
        <v>WBGene00016237</v>
      </c>
      <c r="B3700" s="9" t="str">
        <f>HYPERLINK("http://www.ncbi.nlm.nih.gov/gene/174021", "174021")</f>
        <v>174021</v>
      </c>
      <c r="C3700" s="9"/>
      <c r="D3700" t="str">
        <f>"C29H12.6"</f>
        <v>C29H12.6</v>
      </c>
      <c r="F3700" t="s">
        <v>11</v>
      </c>
      <c r="H3700" s="12">
        <v>1.3696944684354</v>
      </c>
      <c r="I3700" s="20">
        <v>1.5126339098319099</v>
      </c>
      <c r="J3700" s="28">
        <v>0.13037267571421299</v>
      </c>
      <c r="K3700" s="29">
        <v>0.81332176970400405</v>
      </c>
    </row>
    <row r="3701" spans="1:11" x14ac:dyDescent="0.35">
      <c r="A3701" s="9" t="str">
        <f>HYPERLINK("http://www.ensembl.org/id/WBGene00016741", "WBGene00016741")</f>
        <v>WBGene00016741</v>
      </c>
      <c r="B3701" s="9" t="str">
        <f>HYPERLINK("http://www.ncbi.nlm.nih.gov/gene/172419", "172419")</f>
        <v>172419</v>
      </c>
      <c r="C3701" s="9"/>
      <c r="D3701" t="str">
        <f>"C48B6.3"</f>
        <v>C48B6.3</v>
      </c>
      <c r="F3701" t="s">
        <v>11</v>
      </c>
      <c r="H3701" s="12">
        <v>-1.33979321159499</v>
      </c>
      <c r="I3701" s="20">
        <v>-1.51284522460994</v>
      </c>
      <c r="J3701" s="28">
        <v>0.13031897818382401</v>
      </c>
      <c r="K3701" s="29">
        <v>0.81332176970400405</v>
      </c>
    </row>
    <row r="3702" spans="1:11" x14ac:dyDescent="0.35">
      <c r="A3702" s="9" t="str">
        <f>HYPERLINK("http://www.ensembl.org/id/WBGene00000284", "WBGene00000284")</f>
        <v>WBGene00000284</v>
      </c>
      <c r="B3702" s="9" t="str">
        <f>HYPERLINK("http://www.ncbi.nlm.nih.gov/gene/189049", "189049")</f>
        <v>189049</v>
      </c>
      <c r="C3702" s="9"/>
      <c r="D3702" t="str">
        <f>"cah-6"</f>
        <v>cah-6</v>
      </c>
      <c r="E3702" t="s">
        <v>1313</v>
      </c>
      <c r="F3702" t="s">
        <v>11</v>
      </c>
      <c r="G3702" t="s">
        <v>2982</v>
      </c>
      <c r="H3702" s="12">
        <v>1.4168474594240901</v>
      </c>
      <c r="I3702" s="20">
        <v>1.51233096494337</v>
      </c>
      <c r="J3702" s="28">
        <v>0.13044968746312799</v>
      </c>
      <c r="K3702" s="29">
        <v>0.81332176970400405</v>
      </c>
    </row>
    <row r="3703" spans="1:11" x14ac:dyDescent="0.35">
      <c r="A3703" s="9" t="str">
        <f>HYPERLINK("http://www.ensembl.org/id/WBGene00000446", "WBGene00000446")</f>
        <v>WBGene00000446</v>
      </c>
      <c r="B3703" s="9" t="str">
        <f>HYPERLINK("http://www.ncbi.nlm.nih.gov/gene/176096", "176096")</f>
        <v>176096</v>
      </c>
      <c r="C3703" s="9"/>
      <c r="D3703" t="str">
        <f>"ceh-23"</f>
        <v>ceh-23</v>
      </c>
      <c r="E3703" t="s">
        <v>2980</v>
      </c>
      <c r="F3703" t="s">
        <v>11</v>
      </c>
      <c r="G3703" t="s">
        <v>1012</v>
      </c>
      <c r="H3703" s="12">
        <v>3.1708140405201299</v>
      </c>
      <c r="I3703" s="20">
        <v>1.51270476596151</v>
      </c>
      <c r="J3703" s="28">
        <v>0.13035466843886601</v>
      </c>
      <c r="K3703" s="29">
        <v>0.81332176970400405</v>
      </c>
    </row>
    <row r="3704" spans="1:11" x14ac:dyDescent="0.35">
      <c r="A3704" s="9" t="str">
        <f>HYPERLINK("http://www.ensembl.org/id/WBGene00000507", "WBGene00000507")</f>
        <v>WBGene00000507</v>
      </c>
      <c r="B3704" s="9" t="str">
        <f>HYPERLINK("http://www.ncbi.nlm.nih.gov/gene/176125", "176125")</f>
        <v>176125</v>
      </c>
      <c r="C3704" s="9"/>
      <c r="D3704" t="str">
        <f>"cit-1.1"</f>
        <v>cit-1.1</v>
      </c>
      <c r="E3704" t="s">
        <v>2983</v>
      </c>
      <c r="F3704" t="s">
        <v>11</v>
      </c>
      <c r="G3704" t="s">
        <v>2984</v>
      </c>
      <c r="H3704" s="12">
        <v>-1.3796327133861399</v>
      </c>
      <c r="I3704" s="20">
        <v>-1.51258654405124</v>
      </c>
      <c r="J3704" s="28">
        <v>0.13038471426227199</v>
      </c>
      <c r="K3704" s="29">
        <v>0.81332176970400405</v>
      </c>
    </row>
    <row r="3705" spans="1:11" x14ac:dyDescent="0.35">
      <c r="A3705" s="9" t="str">
        <f>HYPERLINK("http://www.ensembl.org/id/WBGene00021354", "WBGene00021354")</f>
        <v>WBGene00021354</v>
      </c>
      <c r="B3705" s="9" t="str">
        <f>HYPERLINK("http://www.ncbi.nlm.nih.gov/gene/171773", "171773")</f>
        <v>171773</v>
      </c>
      <c r="C3705" s="9"/>
      <c r="D3705" t="str">
        <f>"fpn-1.1"</f>
        <v>fpn-1.1</v>
      </c>
      <c r="E3705" t="s">
        <v>2987</v>
      </c>
      <c r="F3705" t="s">
        <v>11</v>
      </c>
      <c r="G3705" t="s">
        <v>2988</v>
      </c>
      <c r="H3705" s="12">
        <v>-1.50743646570405</v>
      </c>
      <c r="I3705" s="20">
        <v>-1.5125059823589699</v>
      </c>
      <c r="J3705" s="28">
        <v>0.13040519190726499</v>
      </c>
      <c r="K3705" s="29">
        <v>0.81332176970400405</v>
      </c>
    </row>
    <row r="3706" spans="1:11" x14ac:dyDescent="0.35">
      <c r="A3706" s="9" t="str">
        <f>HYPERLINK("http://www.ensembl.org/id/WBGene00013447", "WBGene00013447")</f>
        <v>WBGene00013447</v>
      </c>
      <c r="B3706" s="9" t="str">
        <f>HYPERLINK("http://www.ncbi.nlm.nih.gov/gene/176578", "176578")</f>
        <v>176578</v>
      </c>
      <c r="C3706" s="9"/>
      <c r="D3706" t="str">
        <f>"nars-2"</f>
        <v>nars-2</v>
      </c>
      <c r="E3706" t="s">
        <v>2985</v>
      </c>
      <c r="F3706" t="s">
        <v>11</v>
      </c>
      <c r="G3706" t="s">
        <v>2986</v>
      </c>
      <c r="H3706" s="12">
        <v>-1.43386831287225</v>
      </c>
      <c r="I3706" s="20">
        <v>-1.5123922469036399</v>
      </c>
      <c r="J3706" s="28">
        <v>0.130434106102822</v>
      </c>
      <c r="K3706" s="29">
        <v>0.81332176970400405</v>
      </c>
    </row>
    <row r="3707" spans="1:11" x14ac:dyDescent="0.35">
      <c r="A3707" s="9" t="str">
        <f>HYPERLINK("http://www.ensembl.org/id/WBGene00006211", "WBGene00006211")</f>
        <v>WBGene00006211</v>
      </c>
      <c r="B3707" s="9" t="str">
        <f>HYPERLINK("http://www.ncbi.nlm.nih.gov/gene/192021", "192021")</f>
        <v>192021</v>
      </c>
      <c r="C3707" s="9"/>
      <c r="D3707" t="str">
        <f>"str-166"</f>
        <v>str-166</v>
      </c>
      <c r="E3707" t="s">
        <v>590</v>
      </c>
      <c r="F3707" t="s">
        <v>11</v>
      </c>
      <c r="G3707" t="s">
        <v>591</v>
      </c>
      <c r="H3707" s="12">
        <v>5.0978122061745097</v>
      </c>
      <c r="I3707" s="20">
        <v>1.5126294084735701</v>
      </c>
      <c r="J3707" s="28">
        <v>0.13037381974818099</v>
      </c>
      <c r="K3707" s="29">
        <v>0.81332176970400405</v>
      </c>
    </row>
    <row r="3708" spans="1:11" x14ac:dyDescent="0.35">
      <c r="A3708" s="9" t="str">
        <f>HYPERLINK("http://www.ensembl.org/id/WBGene00021743", "WBGene00021743")</f>
        <v>WBGene00021743</v>
      </c>
      <c r="B3708" s="9" t="str">
        <f>HYPERLINK("http://www.ncbi.nlm.nih.gov/gene/3565176", "3565176")</f>
        <v>3565176</v>
      </c>
      <c r="C3708" s="9"/>
      <c r="D3708" t="str">
        <f>"Y50D4B.4"</f>
        <v>Y50D4B.4</v>
      </c>
      <c r="F3708" t="s">
        <v>11</v>
      </c>
      <c r="G3708" t="s">
        <v>2981</v>
      </c>
      <c r="H3708" s="12">
        <v>1.8016466177055099</v>
      </c>
      <c r="I3708" s="20">
        <v>1.51342101815231</v>
      </c>
      <c r="J3708" s="28">
        <v>0.13017274947325999</v>
      </c>
      <c r="K3708" s="29">
        <v>0.81332176970400405</v>
      </c>
    </row>
    <row r="3709" spans="1:11" x14ac:dyDescent="0.35">
      <c r="A3709" s="9" t="str">
        <f>HYPERLINK("http://www.ensembl.org/id/WBGene00018515", "WBGene00018515")</f>
        <v>WBGene00018515</v>
      </c>
      <c r="B3709" s="9" t="str">
        <f>HYPERLINK("http://www.ncbi.nlm.nih.gov/gene/185878", "185878")</f>
        <v>185878</v>
      </c>
      <c r="C3709" s="9"/>
      <c r="D3709" t="str">
        <f>"F46G11.2"</f>
        <v>F46G11.2</v>
      </c>
      <c r="F3709" t="s">
        <v>11</v>
      </c>
      <c r="H3709" s="12">
        <v>2.16105860324702</v>
      </c>
      <c r="I3709" s="20">
        <v>1.5121564967788601</v>
      </c>
      <c r="J3709" s="28">
        <v>0.13049405510357401</v>
      </c>
      <c r="K3709" s="29">
        <v>0.81337891481607005</v>
      </c>
    </row>
    <row r="3710" spans="1:11" x14ac:dyDescent="0.35">
      <c r="A3710" s="9" t="str">
        <f>HYPERLINK("http://www.ensembl.org/id/WBGene00016654", "WBGene00016654")</f>
        <v>WBGene00016654</v>
      </c>
      <c r="B3710" s="9" t="str">
        <f>HYPERLINK("http://www.ncbi.nlm.nih.gov/gene/172067", "172067")</f>
        <v>172067</v>
      </c>
      <c r="C3710" s="9" t="str">
        <f>HYPERLINK("http://www.ncbi.nlm.nih.gov/gene/84955", "84955")</f>
        <v>84955</v>
      </c>
      <c r="D3710" t="str">
        <f>"C44E4.5"</f>
        <v>C44E4.5</v>
      </c>
      <c r="F3710" t="s">
        <v>11</v>
      </c>
      <c r="G3710" t="s">
        <v>2989</v>
      </c>
      <c r="H3710" s="12">
        <v>-1.3806763776019699</v>
      </c>
      <c r="I3710" s="20">
        <v>-1.5116626319479201</v>
      </c>
      <c r="J3710" s="28">
        <v>0.13061970950004201</v>
      </c>
      <c r="K3710" s="29">
        <v>0.813942558713042</v>
      </c>
    </row>
    <row r="3711" spans="1:11" x14ac:dyDescent="0.35">
      <c r="A3711" s="9" t="str">
        <f>HYPERLINK("http://www.ensembl.org/id/WBGene00013842", "WBGene00013842")</f>
        <v>WBGene00013842</v>
      </c>
      <c r="B3711" s="9"/>
      <c r="C3711" s="9"/>
      <c r="D3711" t="str">
        <f>"fbxa-34"</f>
        <v>fbxa-34</v>
      </c>
      <c r="F3711" t="s">
        <v>80</v>
      </c>
      <c r="H3711" s="12">
        <v>-1.4464968872286299</v>
      </c>
      <c r="I3711" s="20">
        <v>-1.5113521452107099</v>
      </c>
      <c r="J3711" s="28">
        <v>0.13069875491386501</v>
      </c>
      <c r="K3711" s="29">
        <v>0.81421553816116798</v>
      </c>
    </row>
    <row r="3712" spans="1:11" x14ac:dyDescent="0.35">
      <c r="A3712" s="9" t="str">
        <f>HYPERLINK("http://www.ensembl.org/id/WBGene00014672", "WBGene00014672")</f>
        <v>WBGene00014672</v>
      </c>
      <c r="B3712" s="9"/>
      <c r="C3712" s="9"/>
      <c r="D3712" t="str">
        <f>"C08F11.6"</f>
        <v>C08F11.6</v>
      </c>
      <c r="F3712" t="s">
        <v>80</v>
      </c>
      <c r="H3712" s="12">
        <v>5.81300984381107</v>
      </c>
      <c r="I3712" s="20">
        <v>1.51088908072109</v>
      </c>
      <c r="J3712" s="28">
        <v>0.130816713339372</v>
      </c>
      <c r="K3712" s="29">
        <v>0.81451117715428001</v>
      </c>
    </row>
    <row r="3713" spans="1:11" x14ac:dyDescent="0.35">
      <c r="A3713" s="9" t="str">
        <f>HYPERLINK("http://www.ensembl.org/id/WBGene00013746", "WBGene00013746")</f>
        <v>WBGene00013746</v>
      </c>
      <c r="B3713" s="9" t="str">
        <f>HYPERLINK("http://www.ncbi.nlm.nih.gov/gene/180312", "180312")</f>
        <v>180312</v>
      </c>
      <c r="C3713" s="9"/>
      <c r="D3713" t="str">
        <f>"lgc-55"</f>
        <v>lgc-55</v>
      </c>
      <c r="E3713" t="s">
        <v>505</v>
      </c>
      <c r="F3713" t="s">
        <v>11</v>
      </c>
      <c r="G3713" t="s">
        <v>2990</v>
      </c>
      <c r="H3713" s="12">
        <v>1.4665935990897701</v>
      </c>
      <c r="I3713" s="20">
        <v>1.5109624121765</v>
      </c>
      <c r="J3713" s="28">
        <v>0.13079802779883701</v>
      </c>
      <c r="K3713" s="29">
        <v>0.81451117715428001</v>
      </c>
    </row>
    <row r="3714" spans="1:11" x14ac:dyDescent="0.35">
      <c r="A3714" s="9" t="str">
        <f>HYPERLINK("http://www.ensembl.org/id/WBGene00219493", "WBGene00219493")</f>
        <v>WBGene00219493</v>
      </c>
      <c r="B3714" s="9" t="str">
        <f>HYPERLINK("http://www.ncbi.nlm.nih.gov/gene/24104227", "24104227")</f>
        <v>24104227</v>
      </c>
      <c r="C3714" s="9"/>
      <c r="D3714" t="str">
        <f>"C18D4.12"</f>
        <v>C18D4.12</v>
      </c>
      <c r="F3714" t="s">
        <v>11</v>
      </c>
      <c r="H3714" s="12">
        <v>-1.4610783116785699</v>
      </c>
      <c r="I3714" s="20">
        <v>-1.5106633279339401</v>
      </c>
      <c r="J3714" s="28">
        <v>0.13087425025879501</v>
      </c>
      <c r="K3714" s="29">
        <v>0.81464989937492605</v>
      </c>
    </row>
    <row r="3715" spans="1:11" x14ac:dyDescent="0.35">
      <c r="A3715" s="9" t="str">
        <f>HYPERLINK("http://www.ensembl.org/id/WBGene00013393", "WBGene00013393")</f>
        <v>WBGene00013393</v>
      </c>
      <c r="B3715" s="9" t="str">
        <f>HYPERLINK("http://www.ncbi.nlm.nih.gov/gene/181364", "181364")</f>
        <v>181364</v>
      </c>
      <c r="C3715" s="9"/>
      <c r="D3715" t="str">
        <f>"Y62H9A.5"</f>
        <v>Y62H9A.5</v>
      </c>
      <c r="F3715" t="s">
        <v>11</v>
      </c>
      <c r="H3715" s="12">
        <v>-1.3310237441022801</v>
      </c>
      <c r="I3715" s="20">
        <v>-1.50989855875913</v>
      </c>
      <c r="J3715" s="28">
        <v>0.13106931050596299</v>
      </c>
      <c r="K3715" s="29">
        <v>0.81564435457871998</v>
      </c>
    </row>
    <row r="3716" spans="1:11" x14ac:dyDescent="0.35">
      <c r="A3716" s="9" t="str">
        <f>HYPERLINK("http://www.ensembl.org/id/WBGene00007983", "WBGene00007983")</f>
        <v>WBGene00007983</v>
      </c>
      <c r="B3716" s="9" t="str">
        <f>HYPERLINK("http://www.ncbi.nlm.nih.gov/gene/183279", "183279")</f>
        <v>183279</v>
      </c>
      <c r="C3716" s="9"/>
      <c r="D3716" t="str">
        <f>"C36E8.4"</f>
        <v>C36E8.4</v>
      </c>
      <c r="F3716" t="s">
        <v>11</v>
      </c>
      <c r="G3716" t="s">
        <v>54</v>
      </c>
      <c r="H3716" s="12">
        <v>1.45532024683544</v>
      </c>
      <c r="I3716" s="20">
        <v>1.5094391581956501</v>
      </c>
      <c r="J3716" s="28">
        <v>0.13118659248873199</v>
      </c>
      <c r="K3716" s="29">
        <v>0.81571512541567504</v>
      </c>
    </row>
    <row r="3717" spans="1:11" x14ac:dyDescent="0.35">
      <c r="A3717" s="9" t="str">
        <f>HYPERLINK("http://www.ensembl.org/id/WBGene00011253", "WBGene00011253")</f>
        <v>WBGene00011253</v>
      </c>
      <c r="B3717" s="9" t="str">
        <f>HYPERLINK("http://www.ncbi.nlm.nih.gov/gene/179965", "179965")</f>
        <v>179965</v>
      </c>
      <c r="C3717" s="9" t="str">
        <f>HYPERLINK("http://www.ncbi.nlm.nih.gov/gene/3608", "3608")</f>
        <v>3608</v>
      </c>
      <c r="D3717" t="str">
        <f>"R11H6.5"</f>
        <v>R11H6.5</v>
      </c>
      <c r="F3717" t="s">
        <v>11</v>
      </c>
      <c r="H3717" s="12">
        <v>-1.40747254669579</v>
      </c>
      <c r="I3717" s="20">
        <v>-1.50970111263462</v>
      </c>
      <c r="J3717" s="28">
        <v>0.131119707253366</v>
      </c>
      <c r="K3717" s="29">
        <v>0.81571512541567504</v>
      </c>
    </row>
    <row r="3718" spans="1:11" x14ac:dyDescent="0.35">
      <c r="A3718" s="9" t="str">
        <f>HYPERLINK("http://www.ensembl.org/id/WBGene00010758", "WBGene00010758")</f>
        <v>WBGene00010758</v>
      </c>
      <c r="B3718" s="9" t="str">
        <f>HYPERLINK("http://www.ncbi.nlm.nih.gov/gene/175106", "175106")</f>
        <v>175106</v>
      </c>
      <c r="C3718" s="9" t="str">
        <f>HYPERLINK("http://www.ncbi.nlm.nih.gov/gene/63910", "63910")</f>
        <v>63910</v>
      </c>
      <c r="D3718" t="str">
        <f>"vnut-1"</f>
        <v>vnut-1</v>
      </c>
      <c r="E3718" t="s">
        <v>2991</v>
      </c>
      <c r="F3718" t="s">
        <v>11</v>
      </c>
      <c r="G3718" t="s">
        <v>230</v>
      </c>
      <c r="H3718" s="12">
        <v>-1.34691134390384</v>
      </c>
      <c r="I3718" s="20">
        <v>-1.5094553787584599</v>
      </c>
      <c r="J3718" s="28">
        <v>0.131182450098942</v>
      </c>
      <c r="K3718" s="29">
        <v>0.81571512541567504</v>
      </c>
    </row>
    <row r="3719" spans="1:11" x14ac:dyDescent="0.35">
      <c r="A3719" s="9" t="str">
        <f>HYPERLINK("http://www.ensembl.org/id/WBGene00020414", "WBGene00020414")</f>
        <v>WBGene00020414</v>
      </c>
      <c r="B3719" s="9" t="str">
        <f>HYPERLINK("http://www.ncbi.nlm.nih.gov/gene/172362", "172362")</f>
        <v>172362</v>
      </c>
      <c r="C3719" s="9"/>
      <c r="D3719" t="str">
        <f>"T10E9.4"</f>
        <v>T10E9.4</v>
      </c>
      <c r="F3719" t="s">
        <v>11</v>
      </c>
      <c r="G3719" t="s">
        <v>25</v>
      </c>
      <c r="H3719" s="12">
        <v>2.0293265747254301</v>
      </c>
      <c r="I3719" s="20">
        <v>1.5091808094366601</v>
      </c>
      <c r="J3719" s="28">
        <v>0.131252582988479</v>
      </c>
      <c r="K3719" s="29">
        <v>0.81590588714871903</v>
      </c>
    </row>
    <row r="3720" spans="1:11" x14ac:dyDescent="0.35">
      <c r="A3720" s="9" t="str">
        <f>HYPERLINK("http://www.ensembl.org/id/WBGene00044642", "WBGene00044642")</f>
        <v>WBGene00044642</v>
      </c>
      <c r="B3720" s="9"/>
      <c r="C3720" s="9"/>
      <c r="D3720" t="str">
        <f>"clec-69"</f>
        <v>clec-69</v>
      </c>
      <c r="F3720" t="s">
        <v>80</v>
      </c>
      <c r="H3720" s="12">
        <v>7.7351581449325204</v>
      </c>
      <c r="I3720" s="20">
        <v>1.5090267182138899</v>
      </c>
      <c r="J3720" s="28">
        <v>0.13129195504527499</v>
      </c>
      <c r="K3720" s="29">
        <v>0.81593112245188704</v>
      </c>
    </row>
    <row r="3721" spans="1:11" x14ac:dyDescent="0.35">
      <c r="A3721" s="9" t="str">
        <f>HYPERLINK("http://www.ensembl.org/id/WBGene00014159", "WBGene00014159")</f>
        <v>WBGene00014159</v>
      </c>
      <c r="B3721" s="9" t="str">
        <f>HYPERLINK("http://www.ncbi.nlm.nih.gov/gene/174540", "174540")</f>
        <v>174540</v>
      </c>
      <c r="C3721" s="9"/>
      <c r="D3721" t="str">
        <f>"arrd-4"</f>
        <v>arrd-4</v>
      </c>
      <c r="E3721" t="s">
        <v>377</v>
      </c>
      <c r="F3721" t="s">
        <v>11</v>
      </c>
      <c r="G3721" t="s">
        <v>378</v>
      </c>
      <c r="H3721" s="12">
        <v>1.50408267345899</v>
      </c>
      <c r="I3721" s="20">
        <v>1.5070406391806399</v>
      </c>
      <c r="J3721" s="28">
        <v>0.131800240753746</v>
      </c>
      <c r="K3721" s="29">
        <v>0.81725705887671196</v>
      </c>
    </row>
    <row r="3722" spans="1:11" x14ac:dyDescent="0.35">
      <c r="A3722" s="9" t="str">
        <f>HYPERLINK("http://www.ensembl.org/id/WBGene00007780", "WBGene00007780")</f>
        <v>WBGene00007780</v>
      </c>
      <c r="B3722" s="9" t="str">
        <f>HYPERLINK("http://www.ncbi.nlm.nih.gov/gene/178223", "178223")</f>
        <v>178223</v>
      </c>
      <c r="C3722" s="9"/>
      <c r="D3722" t="str">
        <f>"C27D8.4"</f>
        <v>C27D8.4</v>
      </c>
      <c r="F3722" t="s">
        <v>11</v>
      </c>
      <c r="G3722" t="s">
        <v>2996</v>
      </c>
      <c r="H3722" s="12">
        <v>-1.3870881440702201</v>
      </c>
      <c r="I3722" s="20">
        <v>-1.5074426304055899</v>
      </c>
      <c r="J3722" s="28">
        <v>0.13169723856448201</v>
      </c>
      <c r="K3722" s="29">
        <v>0.81725705887671196</v>
      </c>
    </row>
    <row r="3723" spans="1:11" x14ac:dyDescent="0.35">
      <c r="A3723" s="9" t="str">
        <f>HYPERLINK("http://www.ensembl.org/id/WBGene00008339", "WBGene00008339")</f>
        <v>WBGene00008339</v>
      </c>
      <c r="B3723" s="9" t="str">
        <f>HYPERLINK("http://www.ncbi.nlm.nih.gov/gene/179581", "179581")</f>
        <v>179581</v>
      </c>
      <c r="C3723" s="9" t="str">
        <f>HYPERLINK("http://www.ncbi.nlm.nih.gov/gene/57102", "57102")</f>
        <v>57102</v>
      </c>
      <c r="D3723" t="str">
        <f>"C55A6.10"</f>
        <v>C55A6.10</v>
      </c>
      <c r="F3723" t="s">
        <v>11</v>
      </c>
      <c r="G3723" t="s">
        <v>784</v>
      </c>
      <c r="H3723" s="12">
        <v>-1.3507327415264301</v>
      </c>
      <c r="I3723" s="20">
        <v>-1.5067600490420501</v>
      </c>
      <c r="J3723" s="28">
        <v>0.13187217333803</v>
      </c>
      <c r="K3723" s="29">
        <v>0.81725705887671196</v>
      </c>
    </row>
    <row r="3724" spans="1:11" x14ac:dyDescent="0.35">
      <c r="A3724" s="9" t="str">
        <f>HYPERLINK("http://www.ensembl.org/id/WBGene00016979", "WBGene00016979")</f>
        <v>WBGene00016979</v>
      </c>
      <c r="B3724" s="9" t="str">
        <f>HYPERLINK("http://www.ncbi.nlm.nih.gov/gene/175894", "175894")</f>
        <v>175894</v>
      </c>
      <c r="C3724" s="9"/>
      <c r="D3724" t="str">
        <f>"C56G2.4"</f>
        <v>C56G2.4</v>
      </c>
      <c r="F3724" t="s">
        <v>11</v>
      </c>
      <c r="H3724" s="12">
        <v>1.55715840876377</v>
      </c>
      <c r="I3724" s="20">
        <v>1.5065355386322701</v>
      </c>
      <c r="J3724" s="28">
        <v>0.13192975113001501</v>
      </c>
      <c r="K3724" s="29">
        <v>0.81725705887671196</v>
      </c>
    </row>
    <row r="3725" spans="1:11" x14ac:dyDescent="0.35">
      <c r="A3725" s="9" t="str">
        <f>HYPERLINK("http://www.ensembl.org/id/WBGene00014772", "WBGene00014772")</f>
        <v>WBGene00014772</v>
      </c>
      <c r="B3725" s="9"/>
      <c r="C3725" s="9"/>
      <c r="D3725" t="str">
        <f>"F56D5.4"</f>
        <v>F56D5.4</v>
      </c>
      <c r="F3725" t="s">
        <v>80</v>
      </c>
      <c r="H3725" s="12">
        <v>1.4539916285218499</v>
      </c>
      <c r="I3725" s="20">
        <v>1.5069642109197601</v>
      </c>
      <c r="J3725" s="28">
        <v>0.13181983102400499</v>
      </c>
      <c r="K3725" s="29">
        <v>0.81725705887671196</v>
      </c>
    </row>
    <row r="3726" spans="1:11" x14ac:dyDescent="0.35">
      <c r="A3726" s="9" t="str">
        <f>HYPERLINK("http://www.ensembl.org/id/WBGene00004332", "WBGene00004332")</f>
        <v>WBGene00004332</v>
      </c>
      <c r="B3726" s="9" t="str">
        <f>HYPERLINK("http://www.ncbi.nlm.nih.gov/gene/171664", "171664")</f>
        <v>171664</v>
      </c>
      <c r="C3726" s="9"/>
      <c r="D3726" t="str">
        <f>"rec-1"</f>
        <v>rec-1</v>
      </c>
      <c r="F3726" t="s">
        <v>11</v>
      </c>
      <c r="G3726" t="s">
        <v>2999</v>
      </c>
      <c r="H3726" s="12">
        <v>-1.50246298962156</v>
      </c>
      <c r="I3726" s="20">
        <v>-1.50716630813357</v>
      </c>
      <c r="J3726" s="28">
        <v>0.131768033899337</v>
      </c>
      <c r="K3726" s="29">
        <v>0.81725705887671196</v>
      </c>
    </row>
    <row r="3727" spans="1:11" x14ac:dyDescent="0.35">
      <c r="A3727" s="9" t="str">
        <f>HYPERLINK("http://www.ensembl.org/id/WBGene00004764", "WBGene00004764")</f>
        <v>WBGene00004764</v>
      </c>
      <c r="B3727" s="9" t="str">
        <f>HYPERLINK("http://www.ncbi.nlm.nih.gov/gene/181539", "181539")</f>
        <v>181539</v>
      </c>
      <c r="C3727" s="9"/>
      <c r="D3727" t="str">
        <f>"sel-7"</f>
        <v>sel-7</v>
      </c>
      <c r="E3727" t="s">
        <v>2997</v>
      </c>
      <c r="F3727" t="s">
        <v>11</v>
      </c>
      <c r="G3727" t="s">
        <v>2998</v>
      </c>
      <c r="H3727" s="12">
        <v>-1.43396406306214</v>
      </c>
      <c r="I3727" s="20">
        <v>-1.5079743480505401</v>
      </c>
      <c r="J3727" s="28">
        <v>0.13156109243042599</v>
      </c>
      <c r="K3727" s="29">
        <v>0.81725705887671196</v>
      </c>
    </row>
    <row r="3728" spans="1:11" x14ac:dyDescent="0.35">
      <c r="A3728" s="9" t="str">
        <f>HYPERLINK("http://www.ensembl.org/id/WBGene00015513", "WBGene00015513")</f>
        <v>WBGene00015513</v>
      </c>
      <c r="B3728" s="9" t="str">
        <f>HYPERLINK("http://www.ncbi.nlm.nih.gov/gene/174255", "174255")</f>
        <v>174255</v>
      </c>
      <c r="C3728" s="9"/>
      <c r="D3728" t="str">
        <f>"snpc-1.1"</f>
        <v>snpc-1.1</v>
      </c>
      <c r="E3728" t="s">
        <v>728</v>
      </c>
      <c r="F3728" t="s">
        <v>11</v>
      </c>
      <c r="G3728" t="s">
        <v>729</v>
      </c>
      <c r="H3728" s="12">
        <v>-1.39187486991122</v>
      </c>
      <c r="I3728" s="20">
        <v>-1.5068476281887</v>
      </c>
      <c r="J3728" s="28">
        <v>0.131849718127967</v>
      </c>
      <c r="K3728" s="29">
        <v>0.81725705887671196</v>
      </c>
    </row>
    <row r="3729" spans="1:11" x14ac:dyDescent="0.35">
      <c r="A3729" s="9" t="str">
        <f>HYPERLINK("http://www.ensembl.org/id/WBGene00005022", "WBGene00005022")</f>
        <v>WBGene00005022</v>
      </c>
      <c r="B3729" s="9" t="str">
        <f>HYPERLINK("http://www.ncbi.nlm.nih.gov/gene/179484", "179484")</f>
        <v>179484</v>
      </c>
      <c r="C3729" s="9" t="str">
        <f>HYPERLINK("http://www.ncbi.nlm.nih.gov/gene/7358", "7358")</f>
        <v>7358</v>
      </c>
      <c r="D3729" t="str">
        <f>"sqv-4"</f>
        <v>sqv-4</v>
      </c>
      <c r="E3729" t="s">
        <v>2994</v>
      </c>
      <c r="F3729" t="s">
        <v>11</v>
      </c>
      <c r="G3729" t="s">
        <v>2995</v>
      </c>
      <c r="H3729" s="12">
        <v>-1.33718509888613</v>
      </c>
      <c r="I3729" s="20">
        <v>-1.50663760952309</v>
      </c>
      <c r="J3729" s="28">
        <v>0.13190357168202299</v>
      </c>
      <c r="K3729" s="29">
        <v>0.81725705887671196</v>
      </c>
    </row>
    <row r="3730" spans="1:11" x14ac:dyDescent="0.35">
      <c r="A3730" s="9" t="str">
        <f>HYPERLINK("http://www.ensembl.org/id/WBGene00011380", "WBGene00011380")</f>
        <v>WBGene00011380</v>
      </c>
      <c r="B3730" s="9" t="str">
        <f>HYPERLINK("http://www.ncbi.nlm.nih.gov/gene/3564953", "3564953")</f>
        <v>3564953</v>
      </c>
      <c r="C3730" s="9"/>
      <c r="D3730" t="str">
        <f>"T02E1.8"</f>
        <v>T02E1.8</v>
      </c>
      <c r="F3730" t="s">
        <v>11</v>
      </c>
      <c r="G3730" t="s">
        <v>25</v>
      </c>
      <c r="H3730" s="12">
        <v>1.5554571162294599</v>
      </c>
      <c r="I3730" s="20">
        <v>1.5067463736000799</v>
      </c>
      <c r="J3730" s="28">
        <v>0.131875679975861</v>
      </c>
      <c r="K3730" s="29">
        <v>0.81725705887671196</v>
      </c>
    </row>
    <row r="3731" spans="1:11" x14ac:dyDescent="0.35">
      <c r="A3731" s="9" t="str">
        <f>HYPERLINK("http://www.ensembl.org/id/WBGene00020558", "WBGene00020558")</f>
        <v>WBGene00020558</v>
      </c>
      <c r="B3731" s="9" t="str">
        <f>HYPERLINK("http://www.ncbi.nlm.nih.gov/gene/188582", "188582")</f>
        <v>188582</v>
      </c>
      <c r="C3731" s="9"/>
      <c r="D3731" t="str">
        <f>"T19B4.5"</f>
        <v>T19B4.5</v>
      </c>
      <c r="F3731" t="s">
        <v>11</v>
      </c>
      <c r="H3731" s="12">
        <v>-1.3704194358110799</v>
      </c>
      <c r="I3731" s="20">
        <v>-1.5075140835174099</v>
      </c>
      <c r="J3731" s="28">
        <v>0.131678936669507</v>
      </c>
      <c r="K3731" s="29">
        <v>0.81725705887671196</v>
      </c>
    </row>
    <row r="3732" spans="1:11" x14ac:dyDescent="0.35">
      <c r="A3732" s="9" t="str">
        <f>HYPERLINK("http://www.ensembl.org/id/WBGene00008919", "WBGene00008919")</f>
        <v>WBGene00008919</v>
      </c>
      <c r="B3732" s="9" t="str">
        <f>HYPERLINK("http://www.ncbi.nlm.nih.gov/gene/179520", "179520")</f>
        <v>179520</v>
      </c>
      <c r="C3732" s="9" t="str">
        <f>HYPERLINK("http://www.ncbi.nlm.nih.gov/gene/51028", "51028")</f>
        <v>51028</v>
      </c>
      <c r="D3732" t="str">
        <f>"vps-36"</f>
        <v>vps-36</v>
      </c>
      <c r="E3732" t="s">
        <v>2992</v>
      </c>
      <c r="F3732" t="s">
        <v>11</v>
      </c>
      <c r="G3732" t="s">
        <v>2993</v>
      </c>
      <c r="H3732" s="12">
        <v>-1.3265085941193999</v>
      </c>
      <c r="I3732" s="20">
        <v>-1.5076541552232301</v>
      </c>
      <c r="J3732" s="28">
        <v>0.13164306462865</v>
      </c>
      <c r="K3732" s="29">
        <v>0.81725705887671196</v>
      </c>
    </row>
    <row r="3733" spans="1:11" x14ac:dyDescent="0.35">
      <c r="A3733" s="9" t="str">
        <f>HYPERLINK("http://www.ensembl.org/id/WBGene00017032", "WBGene00017032")</f>
        <v>WBGene00017032</v>
      </c>
      <c r="B3733" s="9" t="str">
        <f>HYPERLINK("http://www.ncbi.nlm.nih.gov/gene/175758", "175758")</f>
        <v>175758</v>
      </c>
      <c r="C3733" s="9"/>
      <c r="D3733" t="str">
        <f>"D1044.7"</f>
        <v>D1044.7</v>
      </c>
      <c r="F3733" t="s">
        <v>11</v>
      </c>
      <c r="H3733" s="12">
        <v>2.1626903728579498</v>
      </c>
      <c r="I3733" s="20">
        <v>1.5063580175958</v>
      </c>
      <c r="J3733" s="28">
        <v>0.13197529184763901</v>
      </c>
      <c r="K3733" s="29">
        <v>0.81732004648393297</v>
      </c>
    </row>
    <row r="3734" spans="1:11" x14ac:dyDescent="0.35">
      <c r="A3734" s="9" t="str">
        <f>HYPERLINK("http://www.ensembl.org/id/WBGene00000698", "WBGene00000698")</f>
        <v>WBGene00000698</v>
      </c>
      <c r="B3734" s="9" t="str">
        <f>HYPERLINK("http://www.ncbi.nlm.nih.gov/gene/177901", "177901")</f>
        <v>177901</v>
      </c>
      <c r="C3734" s="9"/>
      <c r="D3734" t="str">
        <f>"col-124"</f>
        <v>col-124</v>
      </c>
      <c r="E3734" t="s">
        <v>40</v>
      </c>
      <c r="F3734" t="s">
        <v>11</v>
      </c>
      <c r="G3734" t="s">
        <v>41</v>
      </c>
      <c r="H3734" s="12">
        <v>1.35528243549377</v>
      </c>
      <c r="I3734" s="20">
        <v>1.50614037779031</v>
      </c>
      <c r="J3734" s="28">
        <v>0.132031141134408</v>
      </c>
      <c r="K3734" s="29">
        <v>0.81733321565212402</v>
      </c>
    </row>
    <row r="3735" spans="1:11" x14ac:dyDescent="0.35">
      <c r="A3735" s="9" t="str">
        <f>HYPERLINK("http://www.ensembl.org/id/WBGene00001459", "WBGene00001459")</f>
        <v>WBGene00001459</v>
      </c>
      <c r="B3735" s="9" t="str">
        <f>HYPERLINK("http://www.ncbi.nlm.nih.gov/gene/174967", "174967")</f>
        <v>174967</v>
      </c>
      <c r="C3735" s="9"/>
      <c r="D3735" t="str">
        <f>"flp-16"</f>
        <v>flp-16</v>
      </c>
      <c r="E3735" t="s">
        <v>3000</v>
      </c>
      <c r="F3735" t="s">
        <v>11</v>
      </c>
      <c r="H3735" s="12">
        <v>1.34748106197413</v>
      </c>
      <c r="I3735" s="20">
        <v>1.5060740525437499</v>
      </c>
      <c r="J3735" s="28">
        <v>0.13204816472039199</v>
      </c>
      <c r="K3735" s="29">
        <v>0.81733321565212402</v>
      </c>
    </row>
    <row r="3736" spans="1:11" x14ac:dyDescent="0.35">
      <c r="A3736" s="9" t="str">
        <f>HYPERLINK("http://www.ensembl.org/id/WBGene00000267", "WBGene00000267")</f>
        <v>WBGene00000267</v>
      </c>
      <c r="B3736" s="9" t="str">
        <f>HYPERLINK("http://www.ncbi.nlm.nih.gov/gene/189753", "189753")</f>
        <v>189753</v>
      </c>
      <c r="C3736" s="9"/>
      <c r="D3736" t="str">
        <f>"bre-2"</f>
        <v>bre-2</v>
      </c>
      <c r="E3736" t="s">
        <v>3003</v>
      </c>
      <c r="F3736" t="s">
        <v>11</v>
      </c>
      <c r="G3736" t="s">
        <v>3004</v>
      </c>
      <c r="H3736" s="12">
        <v>1.51385404087647</v>
      </c>
      <c r="I3736" s="20">
        <v>1.5057425764782799</v>
      </c>
      <c r="J3736" s="28">
        <v>0.13213326959659599</v>
      </c>
      <c r="K3736" s="29">
        <v>0.81761972814423201</v>
      </c>
    </row>
    <row r="3737" spans="1:11" x14ac:dyDescent="0.35">
      <c r="A3737" s="9" t="str">
        <f>HYPERLINK("http://www.ensembl.org/id/WBGene00003114", "WBGene00003114")</f>
        <v>WBGene00003114</v>
      </c>
      <c r="B3737" s="9" t="str">
        <f>HYPERLINK("http://www.ncbi.nlm.nih.gov/gene/266926", "266926")</f>
        <v>266926</v>
      </c>
      <c r="C3737" s="9"/>
      <c r="D3737" t="str">
        <f>"mab-23"</f>
        <v>mab-23</v>
      </c>
      <c r="E3737" t="s">
        <v>3001</v>
      </c>
      <c r="F3737" t="s">
        <v>11</v>
      </c>
      <c r="G3737" t="s">
        <v>3002</v>
      </c>
      <c r="H3737" s="12">
        <v>4.4634132021470698</v>
      </c>
      <c r="I3737" s="20">
        <v>1.50561815639714</v>
      </c>
      <c r="J3737" s="28">
        <v>0.13216522481687501</v>
      </c>
      <c r="K3737" s="29">
        <v>0.81761972814423201</v>
      </c>
    </row>
    <row r="3738" spans="1:11" x14ac:dyDescent="0.35">
      <c r="A3738" s="9" t="str">
        <f>HYPERLINK("http://www.ensembl.org/id/WBGene00011731", "WBGene00011731")</f>
        <v>WBGene00011731</v>
      </c>
      <c r="B3738" s="9" t="str">
        <f>HYPERLINK("http://www.ncbi.nlm.nih.gov/gene/176800", "176800")</f>
        <v>176800</v>
      </c>
      <c r="C3738" s="9" t="str">
        <f>HYPERLINK("http://www.ncbi.nlm.nih.gov/gene/84320", "84320")</f>
        <v>84320</v>
      </c>
      <c r="D3738" t="str">
        <f>"acbp-5"</f>
        <v>acbp-5</v>
      </c>
      <c r="E3738" t="s">
        <v>3005</v>
      </c>
      <c r="F3738" t="s">
        <v>11</v>
      </c>
      <c r="G3738" t="s">
        <v>3006</v>
      </c>
      <c r="H3738" s="12">
        <v>-1.37231975330582</v>
      </c>
      <c r="I3738" s="20">
        <v>-1.50521339771857</v>
      </c>
      <c r="J3738" s="28">
        <v>0.13226922174476899</v>
      </c>
      <c r="K3738" s="29">
        <v>0.81804406788935302</v>
      </c>
    </row>
    <row r="3739" spans="1:11" x14ac:dyDescent="0.35">
      <c r="A3739" s="9" t="str">
        <f>HYPERLINK("http://www.ensembl.org/id/WBGene00013998", "WBGene00013998")</f>
        <v>WBGene00013998</v>
      </c>
      <c r="B3739" s="9" t="str">
        <f>HYPERLINK("http://www.ncbi.nlm.nih.gov/gene/178502", "178502")</f>
        <v>178502</v>
      </c>
      <c r="C3739" s="9" t="str">
        <f>HYPERLINK("http://www.ncbi.nlm.nih.gov/gene/2960", "2960")</f>
        <v>2960</v>
      </c>
      <c r="D3739" t="str">
        <f>"gtf-2E1"</f>
        <v>gtf-2E1</v>
      </c>
      <c r="E3739" t="s">
        <v>3007</v>
      </c>
      <c r="F3739" t="s">
        <v>11</v>
      </c>
      <c r="G3739" t="s">
        <v>3008</v>
      </c>
      <c r="H3739" s="12">
        <v>-1.3701519733251699</v>
      </c>
      <c r="I3739" s="20">
        <v>-1.5040218758525601</v>
      </c>
      <c r="J3739" s="28">
        <v>0.132575734157754</v>
      </c>
      <c r="K3739" s="29">
        <v>0.81972034076774802</v>
      </c>
    </row>
    <row r="3740" spans="1:11" x14ac:dyDescent="0.35">
      <c r="A3740" s="9" t="str">
        <f>HYPERLINK("http://www.ensembl.org/id/WBGene00019994", "WBGene00019994")</f>
        <v>WBGene00019994</v>
      </c>
      <c r="B3740" s="9" t="str">
        <f>HYPERLINK("http://www.ncbi.nlm.nih.gov/gene/187783", "187783")</f>
        <v>187783</v>
      </c>
      <c r="C3740" s="9" t="str">
        <f>HYPERLINK("http://www.ncbi.nlm.nih.gov/gene/8642", "8642")</f>
        <v>8642</v>
      </c>
      <c r="D3740" t="str">
        <f>"cdh-1"</f>
        <v>cdh-1</v>
      </c>
      <c r="E3740" t="s">
        <v>527</v>
      </c>
      <c r="F3740" t="s">
        <v>11</v>
      </c>
      <c r="G3740" t="s">
        <v>528</v>
      </c>
      <c r="H3740" s="12">
        <v>1.3868668592872999</v>
      </c>
      <c r="I3740" s="20">
        <v>1.50387711216319</v>
      </c>
      <c r="J3740" s="28">
        <v>0.132613011261316</v>
      </c>
      <c r="K3740" s="29">
        <v>0.81973147089458898</v>
      </c>
    </row>
    <row r="3741" spans="1:11" x14ac:dyDescent="0.35">
      <c r="A3741" s="9" t="str">
        <f>HYPERLINK("http://www.ensembl.org/id/WBGene00015593", "WBGene00015593")</f>
        <v>WBGene00015593</v>
      </c>
      <c r="B3741" s="9" t="str">
        <f>HYPERLINK("http://www.ncbi.nlm.nih.gov/gene/182395", "182395")</f>
        <v>182395</v>
      </c>
      <c r="C3741" s="9"/>
      <c r="D3741" t="str">
        <f>"C08E3.1"</f>
        <v>C08E3.1</v>
      </c>
      <c r="F3741" t="s">
        <v>11</v>
      </c>
      <c r="H3741" s="12">
        <v>-5.7845520332878797</v>
      </c>
      <c r="I3741" s="20">
        <v>-1.5034300816330599</v>
      </c>
      <c r="J3741" s="28">
        <v>0.13272817425721101</v>
      </c>
      <c r="K3741" s="29">
        <v>0.819938272287284</v>
      </c>
    </row>
    <row r="3742" spans="1:11" x14ac:dyDescent="0.35">
      <c r="A3742" s="9" t="str">
        <f>HYPERLINK("http://www.ensembl.org/id/WBGene00019259", "WBGene00019259")</f>
        <v>WBGene00019259</v>
      </c>
      <c r="B3742" s="9" t="str">
        <f>HYPERLINK("http://www.ncbi.nlm.nih.gov/gene/177437", "177437")</f>
        <v>177437</v>
      </c>
      <c r="C3742" s="9" t="str">
        <f>HYPERLINK("http://www.ncbi.nlm.nih.gov/gene/7375", "7375")</f>
        <v>7375</v>
      </c>
      <c r="D3742" t="str">
        <f>"H34C03.2"</f>
        <v>H34C03.2</v>
      </c>
      <c r="E3742" t="s">
        <v>2664</v>
      </c>
      <c r="F3742" t="s">
        <v>11</v>
      </c>
      <c r="G3742" t="s">
        <v>3009</v>
      </c>
      <c r="H3742" s="12">
        <v>-1.3242838718749299</v>
      </c>
      <c r="I3742" s="20">
        <v>-1.5033340468029801</v>
      </c>
      <c r="J3742" s="28">
        <v>0.13275292463545099</v>
      </c>
      <c r="K3742" s="29">
        <v>0.819938272287284</v>
      </c>
    </row>
    <row r="3743" spans="1:11" x14ac:dyDescent="0.35">
      <c r="A3743" s="9" t="str">
        <f>HYPERLINK("http://www.ensembl.org/id/WBGene00016365", "WBGene00016365")</f>
        <v>WBGene00016365</v>
      </c>
      <c r="B3743" s="9" t="str">
        <f>HYPERLINK("http://www.ncbi.nlm.nih.gov/gene/183179", "183179")</f>
        <v>183179</v>
      </c>
      <c r="C3743" s="9"/>
      <c r="D3743" t="str">
        <f>"nhr-139"</f>
        <v>nhr-139</v>
      </c>
      <c r="E3743" t="s">
        <v>637</v>
      </c>
      <c r="F3743" t="s">
        <v>11</v>
      </c>
      <c r="G3743" t="s">
        <v>1073</v>
      </c>
      <c r="H3743" s="12">
        <v>1.6701420138015399</v>
      </c>
      <c r="I3743" s="20">
        <v>1.50339614514305</v>
      </c>
      <c r="J3743" s="28">
        <v>0.132736920060748</v>
      </c>
      <c r="K3743" s="29">
        <v>0.819938272287284</v>
      </c>
    </row>
    <row r="3744" spans="1:11" x14ac:dyDescent="0.35">
      <c r="A3744" s="9" t="str">
        <f>HYPERLINK("http://www.ensembl.org/id/WBGene00020316", "WBGene00020316")</f>
        <v>WBGene00020316</v>
      </c>
      <c r="B3744" s="9" t="str">
        <f>HYPERLINK("http://www.ncbi.nlm.nih.gov/gene/175962", "175962")</f>
        <v>175962</v>
      </c>
      <c r="C3744" s="9"/>
      <c r="D3744" t="str">
        <f>"brc-2"</f>
        <v>brc-2</v>
      </c>
      <c r="E3744" t="s">
        <v>3018</v>
      </c>
      <c r="F3744" t="s">
        <v>11</v>
      </c>
      <c r="H3744" s="12">
        <v>-1.4125744594669201</v>
      </c>
      <c r="I3744" s="20">
        <v>-1.5020678783044901</v>
      </c>
      <c r="J3744" s="28">
        <v>0.133079579557352</v>
      </c>
      <c r="K3744" s="29">
        <v>0.81996367013069704</v>
      </c>
    </row>
    <row r="3745" spans="1:11" x14ac:dyDescent="0.35">
      <c r="A3745" s="9" t="str">
        <f>HYPERLINK("http://www.ensembl.org/id/WBGene00000602", "WBGene00000602")</f>
        <v>WBGene00000602</v>
      </c>
      <c r="B3745" s="9" t="str">
        <f>HYPERLINK("http://www.ncbi.nlm.nih.gov/gene/179452", "179452")</f>
        <v>179452</v>
      </c>
      <c r="C3745" s="9"/>
      <c r="D3745" t="str">
        <f>"col-13"</f>
        <v>col-13</v>
      </c>
      <c r="E3745" t="s">
        <v>3010</v>
      </c>
      <c r="F3745" t="s">
        <v>11</v>
      </c>
      <c r="G3745" t="s">
        <v>152</v>
      </c>
      <c r="H3745" s="12">
        <v>2.7124539849777598</v>
      </c>
      <c r="I3745" s="20">
        <v>1.5031318438805701</v>
      </c>
      <c r="J3745" s="28">
        <v>0.13280504864951301</v>
      </c>
      <c r="K3745" s="29">
        <v>0.81996367013069704</v>
      </c>
    </row>
    <row r="3746" spans="1:11" x14ac:dyDescent="0.35">
      <c r="A3746" s="9" t="str">
        <f>HYPERLINK("http://www.ensembl.org/id/WBGene00021060", "WBGene00021060")</f>
        <v>WBGene00021060</v>
      </c>
      <c r="B3746" s="9" t="str">
        <f>HYPERLINK("http://www.ncbi.nlm.nih.gov/gene/189237", "189237")</f>
        <v>189237</v>
      </c>
      <c r="C3746" s="9"/>
      <c r="D3746" t="str">
        <f>"dct-11"</f>
        <v>dct-11</v>
      </c>
      <c r="E3746" t="s">
        <v>1725</v>
      </c>
      <c r="F3746" t="s">
        <v>11</v>
      </c>
      <c r="G3746" t="s">
        <v>3015</v>
      </c>
      <c r="H3746" s="12">
        <v>-1.37011294866094</v>
      </c>
      <c r="I3746" s="20">
        <v>-1.50223763157568</v>
      </c>
      <c r="J3746" s="28">
        <v>0.1330357493504</v>
      </c>
      <c r="K3746" s="29">
        <v>0.81996367013069704</v>
      </c>
    </row>
    <row r="3747" spans="1:11" x14ac:dyDescent="0.35">
      <c r="A3747" s="9" t="str">
        <f>HYPERLINK("http://www.ensembl.org/id/WBGene00014728", "WBGene00014728")</f>
        <v>WBGene00014728</v>
      </c>
      <c r="B3747" s="9"/>
      <c r="C3747" s="9"/>
      <c r="D3747" t="str">
        <f>"E03A3.1"</f>
        <v>E03A3.1</v>
      </c>
      <c r="F3747" t="s">
        <v>80</v>
      </c>
      <c r="H3747" s="12">
        <v>9.7182409824606903</v>
      </c>
      <c r="I3747" s="20">
        <v>1.5012564083181601</v>
      </c>
      <c r="J3747" s="28">
        <v>0.13328925513887399</v>
      </c>
      <c r="K3747" s="29">
        <v>0.81996367013069704</v>
      </c>
    </row>
    <row r="3748" spans="1:11" x14ac:dyDescent="0.35">
      <c r="A3748" s="9" t="str">
        <f>HYPERLINK("http://www.ensembl.org/id/WBGene00013676", "WBGene00013676")</f>
        <v>WBGene00013676</v>
      </c>
      <c r="B3748" s="9" t="str">
        <f>HYPERLINK("http://www.ncbi.nlm.nih.gov/gene/173310", "173310")</f>
        <v>173310</v>
      </c>
      <c r="C3748" s="9" t="str">
        <f>HYPERLINK("http://www.ncbi.nlm.nih.gov/gene/55929", "55929")</f>
        <v>55929</v>
      </c>
      <c r="D3748" t="str">
        <f>"ekl-4"</f>
        <v>ekl-4</v>
      </c>
      <c r="F3748" t="s">
        <v>11</v>
      </c>
      <c r="G3748" t="s">
        <v>3016</v>
      </c>
      <c r="H3748" s="12">
        <v>-1.37845494578634</v>
      </c>
      <c r="I3748" s="20">
        <v>-1.5016239118028201</v>
      </c>
      <c r="J3748" s="28">
        <v>0.133194264326226</v>
      </c>
      <c r="K3748" s="29">
        <v>0.81996367013069704</v>
      </c>
    </row>
    <row r="3749" spans="1:11" x14ac:dyDescent="0.35">
      <c r="A3749" s="9" t="str">
        <f>HYPERLINK("http://www.ensembl.org/id/WBGene00009361", "WBGene00009361")</f>
        <v>WBGene00009361</v>
      </c>
      <c r="B3749" s="9" t="str">
        <f>HYPERLINK("http://www.ncbi.nlm.nih.gov/gene/173129", "173129")</f>
        <v>173129</v>
      </c>
      <c r="C3749" s="9"/>
      <c r="D3749" t="str">
        <f>"F33E2.5"</f>
        <v>F33E2.5</v>
      </c>
      <c r="F3749" t="s">
        <v>11</v>
      </c>
      <c r="H3749" s="12">
        <v>1.40324170669366</v>
      </c>
      <c r="I3749" s="20">
        <v>1.5020643800304501</v>
      </c>
      <c r="J3749" s="28">
        <v>0.13308048292744101</v>
      </c>
      <c r="K3749" s="29">
        <v>0.81996367013069704</v>
      </c>
    </row>
    <row r="3750" spans="1:11" x14ac:dyDescent="0.35">
      <c r="A3750" s="9" t="str">
        <f>HYPERLINK("http://www.ensembl.org/id/WBGene00011240", "WBGene00011240")</f>
        <v>WBGene00011240</v>
      </c>
      <c r="B3750" s="9" t="str">
        <f>HYPERLINK("http://www.ncbi.nlm.nih.gov/gene/177927", "177927")</f>
        <v>177927</v>
      </c>
      <c r="C3750" s="9"/>
      <c r="D3750" t="str">
        <f>"mask-1"</f>
        <v>mask-1</v>
      </c>
      <c r="E3750" t="s">
        <v>3012</v>
      </c>
      <c r="F3750" t="s">
        <v>11</v>
      </c>
      <c r="G3750" t="s">
        <v>3013</v>
      </c>
      <c r="H3750" s="12">
        <v>-1.3171374873381101</v>
      </c>
      <c r="I3750" s="20">
        <v>-1.5018397292919701</v>
      </c>
      <c r="J3750" s="28">
        <v>0.13313850512103501</v>
      </c>
      <c r="K3750" s="29">
        <v>0.81996367013069704</v>
      </c>
    </row>
    <row r="3751" spans="1:11" x14ac:dyDescent="0.35">
      <c r="A3751" s="9" t="str">
        <f>HYPERLINK("http://www.ensembl.org/id/WBGene00003703", "WBGene00003703")</f>
        <v>WBGene00003703</v>
      </c>
      <c r="B3751" s="9" t="str">
        <f>HYPERLINK("http://www.ncbi.nlm.nih.gov/gene/173033", "173033")</f>
        <v>173033</v>
      </c>
      <c r="C3751" s="9"/>
      <c r="D3751" t="str">
        <f>"nhr-113"</f>
        <v>nhr-113</v>
      </c>
      <c r="E3751" t="s">
        <v>637</v>
      </c>
      <c r="F3751" t="s">
        <v>11</v>
      </c>
      <c r="G3751" t="s">
        <v>1073</v>
      </c>
      <c r="H3751" s="12">
        <v>9.4080918137734706</v>
      </c>
      <c r="I3751" s="20">
        <v>1.5019168710600099</v>
      </c>
      <c r="J3751" s="28">
        <v>0.13311857894380899</v>
      </c>
      <c r="K3751" s="29">
        <v>0.81996367013069704</v>
      </c>
    </row>
    <row r="3752" spans="1:11" x14ac:dyDescent="0.35">
      <c r="A3752" s="9" t="str">
        <f>HYPERLINK("http://www.ensembl.org/id/WBGene00011154", "WBGene00011154")</f>
        <v>WBGene00011154</v>
      </c>
      <c r="B3752" s="9" t="str">
        <f>HYPERLINK("http://www.ncbi.nlm.nih.gov/gene/187724", "187724")</f>
        <v>187724</v>
      </c>
      <c r="C3752" s="9"/>
      <c r="D3752" t="str">
        <f>"R09A8.5"</f>
        <v>R09A8.5</v>
      </c>
      <c r="F3752" t="s">
        <v>11</v>
      </c>
      <c r="G3752" t="s">
        <v>25</v>
      </c>
      <c r="H3752" s="12">
        <v>1.37395767059791</v>
      </c>
      <c r="I3752" s="20">
        <v>1.50125607089368</v>
      </c>
      <c r="J3752" s="28">
        <v>0.133289342379075</v>
      </c>
      <c r="K3752" s="29">
        <v>0.81996367013069704</v>
      </c>
    </row>
    <row r="3753" spans="1:11" x14ac:dyDescent="0.35">
      <c r="A3753" s="9" t="str">
        <f>HYPERLINK("http://www.ensembl.org/id/WBGene00020058", "WBGene00020058")</f>
        <v>WBGene00020058</v>
      </c>
      <c r="B3753" s="9" t="str">
        <f>HYPERLINK("http://www.ncbi.nlm.nih.gov/gene/187863", "187863")</f>
        <v>187863</v>
      </c>
      <c r="C3753" s="9"/>
      <c r="D3753" t="str">
        <f>"R13D11.4"</f>
        <v>R13D11.4</v>
      </c>
      <c r="F3753" t="s">
        <v>11</v>
      </c>
      <c r="G3753" t="s">
        <v>3011</v>
      </c>
      <c r="H3753" s="12">
        <v>1.47720619992741</v>
      </c>
      <c r="I3753" s="20">
        <v>1.5013018744041999</v>
      </c>
      <c r="J3753" s="28">
        <v>0.133277500407808</v>
      </c>
      <c r="K3753" s="29">
        <v>0.81996367013069704</v>
      </c>
    </row>
    <row r="3754" spans="1:11" x14ac:dyDescent="0.35">
      <c r="A3754" s="9" t="str">
        <f>HYPERLINK("http://www.ensembl.org/id/WBGene00013455", "WBGene00013455")</f>
        <v>WBGene00013455</v>
      </c>
      <c r="B3754" s="9" t="str">
        <f>HYPERLINK("http://www.ncbi.nlm.nih.gov/gene/178379", "178379")</f>
        <v>178379</v>
      </c>
      <c r="C3754" s="9"/>
      <c r="D3754" t="str">
        <f>"ssu-2"</f>
        <v>ssu-2</v>
      </c>
      <c r="E3754" t="s">
        <v>1150</v>
      </c>
      <c r="F3754" t="s">
        <v>11</v>
      </c>
      <c r="H3754" s="12">
        <v>1.5278052667592701</v>
      </c>
      <c r="I3754" s="20">
        <v>1.50157058551739</v>
      </c>
      <c r="J3754" s="28">
        <v>0.133208044637697</v>
      </c>
      <c r="K3754" s="29">
        <v>0.81996367013069704</v>
      </c>
    </row>
    <row r="3755" spans="1:11" x14ac:dyDescent="0.35">
      <c r="A3755" s="9" t="str">
        <f>HYPERLINK("http://www.ensembl.org/id/WBGene00006571", "WBGene00006571")</f>
        <v>WBGene00006571</v>
      </c>
      <c r="B3755" s="9" t="str">
        <f>HYPERLINK("http://www.ncbi.nlm.nih.gov/gene/176652", "176652")</f>
        <v>176652</v>
      </c>
      <c r="C3755" s="9"/>
      <c r="D3755" t="str">
        <f>"tim-1"</f>
        <v>tim-1</v>
      </c>
      <c r="F3755" t="s">
        <v>11</v>
      </c>
      <c r="G3755" t="s">
        <v>3017</v>
      </c>
      <c r="H3755" s="12">
        <v>-1.3953816218402999</v>
      </c>
      <c r="I3755" s="20">
        <v>-1.5024652049290299</v>
      </c>
      <c r="J3755" s="28">
        <v>0.13297700756167599</v>
      </c>
      <c r="K3755" s="29">
        <v>0.81996367013069704</v>
      </c>
    </row>
    <row r="3756" spans="1:11" x14ac:dyDescent="0.35">
      <c r="A3756" s="9" t="str">
        <f>HYPERLINK("http://www.ensembl.org/id/WBGene00012886", "WBGene00012886")</f>
        <v>WBGene00012886</v>
      </c>
      <c r="B3756" s="9" t="str">
        <f>HYPERLINK("http://www.ncbi.nlm.nih.gov/gene/189925", "189925")</f>
        <v>189925</v>
      </c>
      <c r="C3756" s="9"/>
      <c r="D3756" t="str">
        <f>"Y45F10D.6"</f>
        <v>Y45F10D.6</v>
      </c>
      <c r="F3756" t="s">
        <v>11</v>
      </c>
      <c r="H3756" s="12">
        <v>2.07414877713834</v>
      </c>
      <c r="I3756" s="20">
        <v>1.50212012987584</v>
      </c>
      <c r="J3756" s="28">
        <v>0.133066087037957</v>
      </c>
      <c r="K3756" s="29">
        <v>0.81996367013069704</v>
      </c>
    </row>
    <row r="3757" spans="1:11" x14ac:dyDescent="0.35">
      <c r="A3757" s="9" t="str">
        <f>HYPERLINK("http://www.ensembl.org/id/WBGene00021693", "WBGene00021693")</f>
        <v>WBGene00021693</v>
      </c>
      <c r="B3757" s="9" t="str">
        <f>HYPERLINK("http://www.ncbi.nlm.nih.gov/gene/171702", "171702")</f>
        <v>171702</v>
      </c>
      <c r="C3757" s="9"/>
      <c r="D3757" t="str">
        <f>"Y48G8AR.2"</f>
        <v>Y48G8AR.2</v>
      </c>
      <c r="F3757" t="s">
        <v>11</v>
      </c>
      <c r="G3757" t="s">
        <v>51</v>
      </c>
      <c r="H3757" s="12">
        <v>1.9274173247675599</v>
      </c>
      <c r="I3757" s="20">
        <v>1.50293981464828</v>
      </c>
      <c r="J3757" s="28">
        <v>0.13285456475149601</v>
      </c>
      <c r="K3757" s="29">
        <v>0.81996367013069704</v>
      </c>
    </row>
    <row r="3758" spans="1:11" x14ac:dyDescent="0.35">
      <c r="A3758" s="9" t="str">
        <f>HYPERLINK("http://www.ensembl.org/id/WBGene00022174", "WBGene00022174")</f>
        <v>WBGene00022174</v>
      </c>
      <c r="B3758" s="9" t="str">
        <f>HYPERLINK("http://www.ncbi.nlm.nih.gov/gene/190608", "190608")</f>
        <v>190608</v>
      </c>
      <c r="C3758" s="9" t="str">
        <f>HYPERLINK("http://www.ncbi.nlm.nih.gov/gene/10463", "10463")</f>
        <v>10463</v>
      </c>
      <c r="D3758" t="str">
        <f>"Y71H2AM.9"</f>
        <v>Y71H2AM.9</v>
      </c>
      <c r="F3758" t="s">
        <v>11</v>
      </c>
      <c r="G3758" t="s">
        <v>3014</v>
      </c>
      <c r="H3758" s="12">
        <v>-1.3595383386711799</v>
      </c>
      <c r="I3758" s="20">
        <v>-1.5020147869462199</v>
      </c>
      <c r="J3758" s="28">
        <v>0.13309329001310999</v>
      </c>
      <c r="K3758" s="29">
        <v>0.81996367013069704</v>
      </c>
    </row>
    <row r="3759" spans="1:11" x14ac:dyDescent="0.35">
      <c r="A3759" s="9" t="str">
        <f>HYPERLINK("http://www.ensembl.org/id/WBGene00017362", "WBGene00017362")</f>
        <v>WBGene00017362</v>
      </c>
      <c r="B3759" s="9" t="str">
        <f>HYPERLINK("http://www.ncbi.nlm.nih.gov/gene/179122", "179122")</f>
        <v>179122</v>
      </c>
      <c r="C3759" s="9"/>
      <c r="D3759" t="str">
        <f>"F10G2.1"</f>
        <v>F10G2.1</v>
      </c>
      <c r="E3759" t="s">
        <v>3022</v>
      </c>
      <c r="F3759" t="s">
        <v>11</v>
      </c>
      <c r="G3759" t="s">
        <v>25</v>
      </c>
      <c r="H3759" s="12">
        <v>-1.4459664228019899</v>
      </c>
      <c r="I3759" s="20">
        <v>-1.50049714358872</v>
      </c>
      <c r="J3759" s="28">
        <v>0.133485672862211</v>
      </c>
      <c r="K3759" s="29">
        <v>0.82043162205795195</v>
      </c>
    </row>
    <row r="3760" spans="1:11" x14ac:dyDescent="0.35">
      <c r="A3760" s="9" t="str">
        <f>HYPERLINK("http://www.ensembl.org/id/WBGene00001410", "WBGene00001410")</f>
        <v>WBGene00001410</v>
      </c>
      <c r="B3760" s="9" t="str">
        <f>HYPERLINK("http://www.ncbi.nlm.nih.gov/gene/175373", "175373")</f>
        <v>175373</v>
      </c>
      <c r="C3760" s="9"/>
      <c r="D3760" t="str">
        <f>"feh-1"</f>
        <v>feh-1</v>
      </c>
      <c r="F3760" t="s">
        <v>11</v>
      </c>
      <c r="G3760" t="s">
        <v>3021</v>
      </c>
      <c r="H3760" s="12">
        <v>1.3770100642771299</v>
      </c>
      <c r="I3760" s="20">
        <v>1.5005027206722401</v>
      </c>
      <c r="J3760" s="28">
        <v>0.13348422928443801</v>
      </c>
      <c r="K3760" s="29">
        <v>0.82043162205795195</v>
      </c>
    </row>
    <row r="3761" spans="1:11" x14ac:dyDescent="0.35">
      <c r="A3761" s="9" t="str">
        <f>HYPERLINK("http://www.ensembl.org/id/WBGene00003775", "WBGene00003775")</f>
        <v>WBGene00003775</v>
      </c>
      <c r="B3761" s="9" t="str">
        <f>HYPERLINK("http://www.ncbi.nlm.nih.gov/gene/180002", "180002")</f>
        <v>180002</v>
      </c>
      <c r="C3761" s="9" t="str">
        <f>HYPERLINK("http://www.ncbi.nlm.nih.gov/gene/2906", "2906")</f>
        <v>2906</v>
      </c>
      <c r="D3761" t="str">
        <f>"nmr-2"</f>
        <v>nmr-2</v>
      </c>
      <c r="E3761" t="s">
        <v>3019</v>
      </c>
      <c r="F3761" t="s">
        <v>11</v>
      </c>
      <c r="G3761" t="s">
        <v>3020</v>
      </c>
      <c r="H3761" s="12">
        <v>1.6194570528674499</v>
      </c>
      <c r="I3761" s="20">
        <v>1.5003207870367701</v>
      </c>
      <c r="J3761" s="28">
        <v>0.133531327396368</v>
      </c>
      <c r="K3761" s="29">
        <v>0.82043162205795195</v>
      </c>
    </row>
    <row r="3762" spans="1:11" x14ac:dyDescent="0.35">
      <c r="A3762" s="9" t="str">
        <f>HYPERLINK("http://www.ensembl.org/id/WBGene00011984", "WBGene00011984")</f>
        <v>WBGene00011984</v>
      </c>
      <c r="B3762" s="9" t="str">
        <f>HYPERLINK("http://www.ncbi.nlm.nih.gov/gene/188842", "188842")</f>
        <v>188842</v>
      </c>
      <c r="C3762" s="9"/>
      <c r="D3762" t="str">
        <f>"T24C2.5"</f>
        <v>T24C2.5</v>
      </c>
      <c r="F3762" t="s">
        <v>11</v>
      </c>
      <c r="H3762" s="12">
        <v>-1.5442992112790801</v>
      </c>
      <c r="I3762" s="20">
        <v>-1.5002759101877901</v>
      </c>
      <c r="J3762" s="28">
        <v>0.133542946877865</v>
      </c>
      <c r="K3762" s="29">
        <v>0.82043162205795195</v>
      </c>
    </row>
    <row r="3763" spans="1:11" x14ac:dyDescent="0.35">
      <c r="A3763" s="9" t="str">
        <f>HYPERLINK("http://www.ensembl.org/id/WBGene00043534", "WBGene00043534")</f>
        <v>WBGene00043534</v>
      </c>
      <c r="B3763" s="9" t="str">
        <f>HYPERLINK("http://www.ncbi.nlm.nih.gov/gene/6418636", "6418636")</f>
        <v>6418636</v>
      </c>
      <c r="C3763" s="9"/>
      <c r="D3763" t="str">
        <f>"W02B12.13"</f>
        <v>W02B12.13</v>
      </c>
      <c r="F3763" t="s">
        <v>11</v>
      </c>
      <c r="H3763" s="12">
        <v>-1.6516193748367001</v>
      </c>
      <c r="I3763" s="20">
        <v>-1.50081508262355</v>
      </c>
      <c r="J3763" s="28">
        <v>0.13340339649454999</v>
      </c>
      <c r="K3763" s="29">
        <v>0.82043162205795195</v>
      </c>
    </row>
    <row r="3764" spans="1:11" x14ac:dyDescent="0.35">
      <c r="A3764" s="9" t="str">
        <f>HYPERLINK("http://www.ensembl.org/id/WBGene00006512", "WBGene00006512")</f>
        <v>WBGene00006512</v>
      </c>
      <c r="B3764" s="9" t="str">
        <f>HYPERLINK("http://www.ncbi.nlm.nih.gov/gene/179748", "179748")</f>
        <v>179748</v>
      </c>
      <c r="C3764" s="9" t="str">
        <f>HYPERLINK("http://www.ncbi.nlm.nih.gov/gene/23", "23")</f>
        <v>23</v>
      </c>
      <c r="D3764" t="str">
        <f>"abcf-1"</f>
        <v>abcf-1</v>
      </c>
      <c r="E3764" t="s">
        <v>3023</v>
      </c>
      <c r="F3764" t="s">
        <v>11</v>
      </c>
      <c r="G3764" t="s">
        <v>3024</v>
      </c>
      <c r="H3764" s="12">
        <v>-1.3285959751609</v>
      </c>
      <c r="I3764" s="20">
        <v>-1.4995969996715199</v>
      </c>
      <c r="J3764" s="28">
        <v>0.13371882536072899</v>
      </c>
      <c r="K3764" s="29">
        <v>0.82103300558910197</v>
      </c>
    </row>
    <row r="3765" spans="1:11" x14ac:dyDescent="0.35">
      <c r="A3765" s="9" t="str">
        <f>HYPERLINK("http://www.ensembl.org/id/WBGene00077674", "WBGene00077674")</f>
        <v>WBGene00077674</v>
      </c>
      <c r="B3765" s="9" t="str">
        <f>HYPERLINK("http://www.ncbi.nlm.nih.gov/gene/6418841", "6418841")</f>
        <v>6418841</v>
      </c>
      <c r="C3765" s="9"/>
      <c r="D3765" t="str">
        <f>"K02A6.4"</f>
        <v>K02A6.4</v>
      </c>
      <c r="F3765" t="s">
        <v>11</v>
      </c>
      <c r="H3765" s="12">
        <v>3.4927813718711</v>
      </c>
      <c r="I3765" s="20">
        <v>1.4993495726252599</v>
      </c>
      <c r="J3765" s="28">
        <v>0.133782968321776</v>
      </c>
      <c r="K3765" s="29">
        <v>0.82103300558910197</v>
      </c>
    </row>
    <row r="3766" spans="1:11" x14ac:dyDescent="0.35">
      <c r="A3766" s="9" t="str">
        <f>HYPERLINK("http://www.ensembl.org/id/WBGene00219726", "WBGene00219726")</f>
        <v>WBGene00219726</v>
      </c>
      <c r="B3766" s="9"/>
      <c r="C3766" s="9"/>
      <c r="D3766" t="str">
        <f>"linc-116"</f>
        <v>linc-116</v>
      </c>
      <c r="F3766" t="s">
        <v>1510</v>
      </c>
      <c r="H3766" s="12">
        <v>-5.5424866774288697</v>
      </c>
      <c r="I3766" s="20">
        <v>-1.4994878471369999</v>
      </c>
      <c r="J3766" s="28">
        <v>0.13374711911862999</v>
      </c>
      <c r="K3766" s="29">
        <v>0.82103300558910197</v>
      </c>
    </row>
    <row r="3767" spans="1:11" x14ac:dyDescent="0.35">
      <c r="A3767" s="9" t="str">
        <f>HYPERLINK("http://www.ensembl.org/id/WBGene00010875", "WBGene00010875")</f>
        <v>WBGene00010875</v>
      </c>
      <c r="B3767" s="9" t="str">
        <f>HYPERLINK("http://www.ncbi.nlm.nih.gov/gene/174353", "174353")</f>
        <v>174353</v>
      </c>
      <c r="C3767" s="9" t="str">
        <f>HYPERLINK("http://www.ncbi.nlm.nih.gov/gene/55346", "55346")</f>
        <v>55346</v>
      </c>
      <c r="D3767" t="str">
        <f>"M05D6.2"</f>
        <v>M05D6.2</v>
      </c>
      <c r="F3767" t="s">
        <v>11</v>
      </c>
      <c r="G3767" t="s">
        <v>3025</v>
      </c>
      <c r="H3767" s="12">
        <v>-1.35771300979951</v>
      </c>
      <c r="I3767" s="20">
        <v>-1.4994171192318999</v>
      </c>
      <c r="J3767" s="28">
        <v>0.133765455185092</v>
      </c>
      <c r="K3767" s="29">
        <v>0.82103300558910197</v>
      </c>
    </row>
    <row r="3768" spans="1:11" x14ac:dyDescent="0.35">
      <c r="A3768" s="9" t="str">
        <f>HYPERLINK("http://www.ensembl.org/id/WBGene00013975", "WBGene00013975")</f>
        <v>WBGene00013975</v>
      </c>
      <c r="B3768" s="9" t="str">
        <f>HYPERLINK("http://www.ncbi.nlm.nih.gov/gene/191321", "191321")</f>
        <v>191321</v>
      </c>
      <c r="C3768" s="9"/>
      <c r="D3768" t="str">
        <f>"ZK455.5"</f>
        <v>ZK455.5</v>
      </c>
      <c r="F3768" t="s">
        <v>11</v>
      </c>
      <c r="G3768" t="s">
        <v>25</v>
      </c>
      <c r="H3768" s="12">
        <v>1.59603187345372</v>
      </c>
      <c r="I3768" s="20">
        <v>1.4985950543384099</v>
      </c>
      <c r="J3768" s="28">
        <v>0.13397871653238</v>
      </c>
      <c r="K3768" s="29">
        <v>0.82201599155527705</v>
      </c>
    </row>
    <row r="3769" spans="1:11" x14ac:dyDescent="0.35">
      <c r="A3769" s="9" t="str">
        <f>HYPERLINK("http://www.ensembl.org/id/WBGene00011270", "WBGene00011270")</f>
        <v>WBGene00011270</v>
      </c>
      <c r="B3769" s="9" t="str">
        <f>HYPERLINK("http://www.ncbi.nlm.nih.gov/gene/179630", "179630")</f>
        <v>179630</v>
      </c>
      <c r="C3769" s="9"/>
      <c r="D3769" t="str">
        <f>"R31.2"</f>
        <v>R31.2</v>
      </c>
      <c r="F3769" t="s">
        <v>11</v>
      </c>
      <c r="G3769" t="s">
        <v>3026</v>
      </c>
      <c r="H3769" s="12">
        <v>-1.3212333007525401</v>
      </c>
      <c r="I3769" s="20">
        <v>-1.4979910198264099</v>
      </c>
      <c r="J3769" s="28">
        <v>0.13413558363851699</v>
      </c>
      <c r="K3769" s="29">
        <v>0.82275996696352105</v>
      </c>
    </row>
    <row r="3770" spans="1:11" x14ac:dyDescent="0.35">
      <c r="A3770" s="9" t="str">
        <f>HYPERLINK("http://www.ensembl.org/id/WBGene00014674", "WBGene00014674")</f>
        <v>WBGene00014674</v>
      </c>
      <c r="B3770" s="9"/>
      <c r="C3770" s="9"/>
      <c r="D3770" t="str">
        <f>"C12D8.2"</f>
        <v>C12D8.2</v>
      </c>
      <c r="F3770" t="s">
        <v>80</v>
      </c>
      <c r="H3770" s="12">
        <v>9.2280242723947694</v>
      </c>
      <c r="I3770" s="20">
        <v>1.4960154721381</v>
      </c>
      <c r="J3770" s="28">
        <v>0.13464962330743099</v>
      </c>
      <c r="K3770" s="29">
        <v>0.82412987827234196</v>
      </c>
    </row>
    <row r="3771" spans="1:11" x14ac:dyDescent="0.35">
      <c r="A3771" s="9" t="str">
        <f>HYPERLINK("http://www.ensembl.org/id/WBGene00016353", "WBGene00016353")</f>
        <v>WBGene00016353</v>
      </c>
      <c r="B3771" s="9" t="str">
        <f>HYPERLINK("http://www.ncbi.nlm.nih.gov/gene/173827", "173827")</f>
        <v>173827</v>
      </c>
      <c r="C3771" s="9"/>
      <c r="D3771" t="str">
        <f>"C33F10.4"</f>
        <v>C33F10.4</v>
      </c>
      <c r="F3771" t="s">
        <v>11</v>
      </c>
      <c r="H3771" s="12">
        <v>-1.44986761785119</v>
      </c>
      <c r="I3771" s="20">
        <v>-1.4963869062217201</v>
      </c>
      <c r="J3771" s="28">
        <v>0.13455285969000499</v>
      </c>
      <c r="K3771" s="29">
        <v>0.82412987827234196</v>
      </c>
    </row>
    <row r="3772" spans="1:11" x14ac:dyDescent="0.35">
      <c r="A3772" s="9" t="str">
        <f>HYPERLINK("http://www.ensembl.org/id/WBGene00007821", "WBGene00007821")</f>
        <v>WBGene00007821</v>
      </c>
      <c r="B3772" s="9"/>
      <c r="C3772" s="9"/>
      <c r="D3772" t="str">
        <f>"clec-201"</f>
        <v>clec-201</v>
      </c>
      <c r="F3772" t="s">
        <v>80</v>
      </c>
      <c r="H3772" s="12">
        <v>4.2749086641464196</v>
      </c>
      <c r="I3772" s="20">
        <v>1.49508987083559</v>
      </c>
      <c r="J3772" s="28">
        <v>0.13489098904779701</v>
      </c>
      <c r="K3772" s="29">
        <v>0.82412987827234196</v>
      </c>
    </row>
    <row r="3773" spans="1:11" x14ac:dyDescent="0.35">
      <c r="A3773" s="9" t="str">
        <f>HYPERLINK("http://www.ensembl.org/id/WBGene00009499", "WBGene00009499")</f>
        <v>WBGene00009499</v>
      </c>
      <c r="B3773" s="9" t="str">
        <f>HYPERLINK("http://www.ncbi.nlm.nih.gov/gene/172749", "172749")</f>
        <v>172749</v>
      </c>
      <c r="C3773" s="9"/>
      <c r="D3773" t="str">
        <f>"ent-6"</f>
        <v>ent-6</v>
      </c>
      <c r="E3773" t="s">
        <v>381</v>
      </c>
      <c r="F3773" t="s">
        <v>11</v>
      </c>
      <c r="G3773" t="s">
        <v>382</v>
      </c>
      <c r="H3773" s="12">
        <v>-1.3307309997361501</v>
      </c>
      <c r="I3773" s="20">
        <v>-1.4960188766629701</v>
      </c>
      <c r="J3773" s="28">
        <v>0.13464873613831499</v>
      </c>
      <c r="K3773" s="29">
        <v>0.82412987827234196</v>
      </c>
    </row>
    <row r="3774" spans="1:11" x14ac:dyDescent="0.35">
      <c r="A3774" s="9" t="str">
        <f>HYPERLINK("http://www.ensembl.org/id/WBGene00017618", "WBGene00017618")</f>
        <v>WBGene00017618</v>
      </c>
      <c r="B3774" s="9" t="str">
        <f>HYPERLINK("http://www.ncbi.nlm.nih.gov/gene/179087", "179087")</f>
        <v>179087</v>
      </c>
      <c r="C3774" s="9"/>
      <c r="D3774" t="str">
        <f>"F20A1.6"</f>
        <v>F20A1.6</v>
      </c>
      <c r="F3774" t="s">
        <v>11</v>
      </c>
      <c r="H3774" s="12">
        <v>1.53517541358974</v>
      </c>
      <c r="I3774" s="20">
        <v>1.49566915594159</v>
      </c>
      <c r="J3774" s="28">
        <v>0.13473989182525201</v>
      </c>
      <c r="K3774" s="29">
        <v>0.82412987827234196</v>
      </c>
    </row>
    <row r="3775" spans="1:11" x14ac:dyDescent="0.35">
      <c r="A3775" s="9" t="str">
        <f>HYPERLINK("http://www.ensembl.org/id/WBGene00017743", "WBGene00017743")</f>
        <v>WBGene00017743</v>
      </c>
      <c r="B3775" s="9" t="str">
        <f>HYPERLINK("http://www.ncbi.nlm.nih.gov/gene/184900", "184900")</f>
        <v>184900</v>
      </c>
      <c r="C3775" s="9"/>
      <c r="D3775" t="str">
        <f>"F23F1.2"</f>
        <v>F23F1.2</v>
      </c>
      <c r="F3775" t="s">
        <v>11</v>
      </c>
      <c r="G3775" t="s">
        <v>325</v>
      </c>
      <c r="H3775" s="12">
        <v>-3.4446860784907001</v>
      </c>
      <c r="I3775" s="20">
        <v>-1.4952137023708001</v>
      </c>
      <c r="J3775" s="28">
        <v>0.13485867857959899</v>
      </c>
      <c r="K3775" s="29">
        <v>0.82412987827234196</v>
      </c>
    </row>
    <row r="3776" spans="1:11" x14ac:dyDescent="0.35">
      <c r="A3776" s="9" t="str">
        <f>HYPERLINK("http://www.ensembl.org/id/WBGene00010687", "WBGene00010687")</f>
        <v>WBGene00010687</v>
      </c>
      <c r="B3776" s="9" t="str">
        <f>HYPERLINK("http://www.ncbi.nlm.nih.gov/gene/180023", "180023")</f>
        <v>180023</v>
      </c>
      <c r="C3776" s="9"/>
      <c r="D3776" t="str">
        <f>"K08F9.4"</f>
        <v>K08F9.4</v>
      </c>
      <c r="F3776" t="s">
        <v>11</v>
      </c>
      <c r="H3776" s="12">
        <v>-1.38369109907858</v>
      </c>
      <c r="I3776" s="20">
        <v>-1.4954299472727</v>
      </c>
      <c r="J3776" s="28">
        <v>0.13480226970256301</v>
      </c>
      <c r="K3776" s="29">
        <v>0.82412987827234196</v>
      </c>
    </row>
    <row r="3777" spans="1:11" x14ac:dyDescent="0.35">
      <c r="A3777" s="9" t="str">
        <f>HYPERLINK("http://www.ensembl.org/id/WBGene00017083", "WBGene00017083")</f>
        <v>WBGene00017083</v>
      </c>
      <c r="B3777" s="9" t="str">
        <f>HYPERLINK("http://www.ncbi.nlm.nih.gov/gene/178549", "178549")</f>
        <v>178549</v>
      </c>
      <c r="C3777" s="9"/>
      <c r="D3777" t="str">
        <f>"kin-33"</f>
        <v>kin-33</v>
      </c>
      <c r="F3777" t="s">
        <v>11</v>
      </c>
      <c r="G3777" t="s">
        <v>3029</v>
      </c>
      <c r="H3777" s="12">
        <v>1.6228566961113899</v>
      </c>
      <c r="I3777" s="20">
        <v>1.49507859182526</v>
      </c>
      <c r="J3777" s="28">
        <v>0.13489393229576699</v>
      </c>
      <c r="K3777" s="29">
        <v>0.82412987827234196</v>
      </c>
    </row>
    <row r="3778" spans="1:11" x14ac:dyDescent="0.35">
      <c r="A3778" s="9" t="str">
        <f>HYPERLINK("http://www.ensembl.org/id/WBGene00003807", "WBGene00003807")</f>
        <v>WBGene00003807</v>
      </c>
      <c r="B3778" s="9" t="str">
        <f>HYPERLINK("http://www.ncbi.nlm.nih.gov/gene/180752", "180752")</f>
        <v>180752</v>
      </c>
      <c r="C3778" s="9" t="str">
        <f>HYPERLINK("http://www.ncbi.nlm.nih.gov/gene/3062", "3062")</f>
        <v>3062</v>
      </c>
      <c r="D3778" t="str">
        <f>"npr-1"</f>
        <v>npr-1</v>
      </c>
      <c r="E3778" t="s">
        <v>1021</v>
      </c>
      <c r="F3778" t="s">
        <v>11</v>
      </c>
      <c r="G3778" t="s">
        <v>3028</v>
      </c>
      <c r="H3778" s="12">
        <v>1.8507958954705701</v>
      </c>
      <c r="I3778" s="20">
        <v>1.4965165141157</v>
      </c>
      <c r="J3778" s="28">
        <v>0.13451910773032599</v>
      </c>
      <c r="K3778" s="29">
        <v>0.82412987827234196</v>
      </c>
    </row>
    <row r="3779" spans="1:11" x14ac:dyDescent="0.35">
      <c r="A3779" s="9" t="str">
        <f>HYPERLINK("http://www.ensembl.org/id/WBGene00011215", "WBGene00011215")</f>
        <v>WBGene00011215</v>
      </c>
      <c r="B3779" s="9" t="str">
        <f>HYPERLINK("http://www.ncbi.nlm.nih.gov/gene/187777", "187777")</f>
        <v>187777</v>
      </c>
      <c r="C3779" s="9"/>
      <c r="D3779" t="str">
        <f>"R10E9.3"</f>
        <v>R10E9.3</v>
      </c>
      <c r="F3779" t="s">
        <v>11</v>
      </c>
      <c r="G3779" t="s">
        <v>25</v>
      </c>
      <c r="H3779" s="12">
        <v>1.5115168225747799</v>
      </c>
      <c r="I3779" s="20">
        <v>1.4952722435379999</v>
      </c>
      <c r="J3779" s="28">
        <v>0.13484340593806099</v>
      </c>
      <c r="K3779" s="29">
        <v>0.82412987827234196</v>
      </c>
    </row>
    <row r="3780" spans="1:11" x14ac:dyDescent="0.35">
      <c r="A3780" s="9" t="str">
        <f>HYPERLINK("http://www.ensembl.org/id/WBGene00011383", "WBGene00011383")</f>
        <v>WBGene00011383</v>
      </c>
      <c r="B3780" s="9" t="str">
        <f>HYPERLINK("http://www.ncbi.nlm.nih.gov/gene/179568", "179568")</f>
        <v>179568</v>
      </c>
      <c r="C3780" s="9"/>
      <c r="D3780" t="str">
        <f>"T02E9.5"</f>
        <v>T02E9.5</v>
      </c>
      <c r="F3780" t="s">
        <v>11</v>
      </c>
      <c r="H3780" s="12">
        <v>1.32638227916355</v>
      </c>
      <c r="I3780" s="20">
        <v>1.4960567431051399</v>
      </c>
      <c r="J3780" s="28">
        <v>0.13463886900495001</v>
      </c>
      <c r="K3780" s="29">
        <v>0.82412987827234196</v>
      </c>
    </row>
    <row r="3781" spans="1:11" x14ac:dyDescent="0.35">
      <c r="A3781" s="9" t="str">
        <f>HYPERLINK("http://www.ensembl.org/id/WBGene00020490", "WBGene00020490")</f>
        <v>WBGene00020490</v>
      </c>
      <c r="B3781" s="9" t="str">
        <f>HYPERLINK("http://www.ncbi.nlm.nih.gov/gene/188483", "188483")</f>
        <v>188483</v>
      </c>
      <c r="C3781" s="9"/>
      <c r="D3781" t="str">
        <f>"tmc-1"</f>
        <v>tmc-1</v>
      </c>
      <c r="E3781" t="s">
        <v>3030</v>
      </c>
      <c r="F3781" t="s">
        <v>11</v>
      </c>
      <c r="G3781" t="s">
        <v>3031</v>
      </c>
      <c r="H3781" s="12">
        <v>1.4400980451549701</v>
      </c>
      <c r="I3781" s="20">
        <v>1.4968019816614899</v>
      </c>
      <c r="J3781" s="28">
        <v>0.13444479052080199</v>
      </c>
      <c r="K3781" s="29">
        <v>0.82412987827234196</v>
      </c>
    </row>
    <row r="3782" spans="1:11" x14ac:dyDescent="0.35">
      <c r="A3782" s="9" t="str">
        <f>HYPERLINK("http://www.ensembl.org/id/WBGene00021389", "WBGene00021389")</f>
        <v>WBGene00021389</v>
      </c>
      <c r="B3782" s="9" t="str">
        <f>HYPERLINK("http://www.ncbi.nlm.nih.gov/gene/178994", "178994")</f>
        <v>178994</v>
      </c>
      <c r="C3782" s="9"/>
      <c r="D3782" t="str">
        <f>"Y38A10A.2"</f>
        <v>Y38A10A.2</v>
      </c>
      <c r="F3782" t="s">
        <v>11</v>
      </c>
      <c r="G3782" t="s">
        <v>3027</v>
      </c>
      <c r="H3782" s="12">
        <v>1.97091515753379</v>
      </c>
      <c r="I3782" s="20">
        <v>1.49527054608501</v>
      </c>
      <c r="J3782" s="28">
        <v>0.13484384876301</v>
      </c>
      <c r="K3782" s="29">
        <v>0.82412987827234196</v>
      </c>
    </row>
    <row r="3783" spans="1:11" x14ac:dyDescent="0.35">
      <c r="A3783" s="9" t="str">
        <f>HYPERLINK("http://www.ensembl.org/id/WBGene00023187", "WBGene00023187")</f>
        <v>WBGene00023187</v>
      </c>
      <c r="B3783" s="9"/>
      <c r="C3783" s="9"/>
      <c r="D3783" t="str">
        <f>"Y67D8C.12"</f>
        <v>Y67D8C.12</v>
      </c>
      <c r="F3783" t="s">
        <v>481</v>
      </c>
      <c r="H3783" s="12">
        <v>3.3941199588417899</v>
      </c>
      <c r="I3783" s="20">
        <v>1.49580929709543</v>
      </c>
      <c r="J3783" s="28">
        <v>0.13470335791461399</v>
      </c>
      <c r="K3783" s="29">
        <v>0.82412987827234196</v>
      </c>
    </row>
    <row r="3784" spans="1:11" x14ac:dyDescent="0.35">
      <c r="A3784" s="9" t="str">
        <f>HYPERLINK("http://www.ensembl.org/id/WBGene00018897", "WBGene00018897")</f>
        <v>WBGene00018897</v>
      </c>
      <c r="B3784" s="9" t="str">
        <f>HYPERLINK("http://www.ncbi.nlm.nih.gov/gene/172230", "172230")</f>
        <v>172230</v>
      </c>
      <c r="C3784" s="9"/>
      <c r="D3784" t="str">
        <f>"zipt-2.4"</f>
        <v>zipt-2.4</v>
      </c>
      <c r="E3784" t="s">
        <v>106</v>
      </c>
      <c r="F3784" t="s">
        <v>11</v>
      </c>
      <c r="G3784" t="s">
        <v>107</v>
      </c>
      <c r="H3784" s="12">
        <v>-1.3850588919070901</v>
      </c>
      <c r="I3784" s="20">
        <v>-1.4968712753506099</v>
      </c>
      <c r="J3784" s="28">
        <v>0.13442675573319701</v>
      </c>
      <c r="K3784" s="29">
        <v>0.82412987827234196</v>
      </c>
    </row>
    <row r="3785" spans="1:11" x14ac:dyDescent="0.35">
      <c r="A3785" s="9" t="str">
        <f>HYPERLINK("http://www.ensembl.org/id/WBGene00009824", "WBGene00009824")</f>
        <v>WBGene00009824</v>
      </c>
      <c r="B3785" s="9" t="str">
        <f>HYPERLINK("http://www.ncbi.nlm.nih.gov/gene/173272", "173272")</f>
        <v>173272</v>
      </c>
      <c r="C3785" s="9"/>
      <c r="D3785" t="str">
        <f>"gpdh-1"</f>
        <v>gpdh-1</v>
      </c>
      <c r="E3785" t="s">
        <v>3032</v>
      </c>
      <c r="F3785" t="s">
        <v>11</v>
      </c>
      <c r="G3785" t="s">
        <v>3033</v>
      </c>
      <c r="H3785" s="12">
        <v>2.0065778495202999</v>
      </c>
      <c r="I3785" s="20">
        <v>1.49486310231784</v>
      </c>
      <c r="J3785" s="28">
        <v>0.13495017362891601</v>
      </c>
      <c r="K3785" s="29">
        <v>0.82425554107050603</v>
      </c>
    </row>
    <row r="3786" spans="1:11" x14ac:dyDescent="0.35">
      <c r="A3786" s="9" t="str">
        <f>HYPERLINK("http://www.ensembl.org/id/WBGene00010797", "WBGene00010797")</f>
        <v>WBGene00010797</v>
      </c>
      <c r="B3786" s="9" t="str">
        <f>HYPERLINK("http://www.ncbi.nlm.nih.gov/gene/187354", "187354")</f>
        <v>187354</v>
      </c>
      <c r="C3786" s="9"/>
      <c r="D3786" t="str">
        <f>"srbc-75"</f>
        <v>srbc-75</v>
      </c>
      <c r="E3786" t="s">
        <v>3034</v>
      </c>
      <c r="F3786" t="s">
        <v>11</v>
      </c>
      <c r="G3786" t="s">
        <v>25</v>
      </c>
      <c r="H3786" s="12">
        <v>10.646382750699001</v>
      </c>
      <c r="I3786" s="20">
        <v>1.49463177529643</v>
      </c>
      <c r="J3786" s="28">
        <v>0.135010568614641</v>
      </c>
      <c r="K3786" s="29">
        <v>0.82440650063686605</v>
      </c>
    </row>
    <row r="3787" spans="1:11" x14ac:dyDescent="0.35">
      <c r="A3787" s="9" t="str">
        <f>HYPERLINK("http://www.ensembl.org/id/WBGene00006574", "WBGene00006574")</f>
        <v>WBGene00006574</v>
      </c>
      <c r="B3787" s="9" t="str">
        <f>HYPERLINK("http://www.ncbi.nlm.nih.gov/gene/172686", "172686")</f>
        <v>172686</v>
      </c>
      <c r="C3787" s="9"/>
      <c r="D3787" t="str">
        <f>"tin-13"</f>
        <v>tin-13</v>
      </c>
      <c r="E3787" t="s">
        <v>3035</v>
      </c>
      <c r="F3787" t="s">
        <v>11</v>
      </c>
      <c r="G3787" t="s">
        <v>3036</v>
      </c>
      <c r="H3787" s="12">
        <v>-1.3597434434561899</v>
      </c>
      <c r="I3787" s="20">
        <v>-1.4944033138656401</v>
      </c>
      <c r="J3787" s="28">
        <v>0.135070235949003</v>
      </c>
      <c r="K3787" s="29">
        <v>0.824552938398325</v>
      </c>
    </row>
    <row r="3788" spans="1:11" x14ac:dyDescent="0.35">
      <c r="A3788" s="9" t="str">
        <f>HYPERLINK("http://www.ensembl.org/id/WBGene00019713", "WBGene00019713")</f>
        <v>WBGene00019713</v>
      </c>
      <c r="B3788" s="9" t="str">
        <f>HYPERLINK("http://www.ncbi.nlm.nih.gov/gene/172210", "172210")</f>
        <v>172210</v>
      </c>
      <c r="C3788" s="9"/>
      <c r="D3788" t="str">
        <f>"pqn-52"</f>
        <v>pqn-52</v>
      </c>
      <c r="E3788" t="s">
        <v>432</v>
      </c>
      <c r="F3788" t="s">
        <v>11</v>
      </c>
      <c r="H3788" s="12">
        <v>-1.3274452012845099</v>
      </c>
      <c r="I3788" s="20">
        <v>-1.49416534783571</v>
      </c>
      <c r="J3788" s="28">
        <v>0.13513240726598699</v>
      </c>
      <c r="K3788" s="29">
        <v>0.82471458063600001</v>
      </c>
    </row>
    <row r="3789" spans="1:11" x14ac:dyDescent="0.35">
      <c r="A3789" s="9" t="str">
        <f>HYPERLINK("http://www.ensembl.org/id/WBGene00012324", "WBGene00012324")</f>
        <v>WBGene00012324</v>
      </c>
      <c r="B3789" s="9" t="str">
        <f>HYPERLINK("http://www.ncbi.nlm.nih.gov/gene/174455", "174455")</f>
        <v>174455</v>
      </c>
      <c r="C3789" s="9"/>
      <c r="D3789" t="str">
        <f>"rhy-1"</f>
        <v>rhy-1</v>
      </c>
      <c r="E3789" t="s">
        <v>3037</v>
      </c>
      <c r="F3789" t="s">
        <v>11</v>
      </c>
      <c r="G3789" t="s">
        <v>3038</v>
      </c>
      <c r="H3789" s="12">
        <v>-1.4298104733566399</v>
      </c>
      <c r="I3789" s="20">
        <v>-1.4939492845681099</v>
      </c>
      <c r="J3789" s="28">
        <v>0.13518887538920299</v>
      </c>
      <c r="K3789" s="29">
        <v>0.82484134004302001</v>
      </c>
    </row>
    <row r="3790" spans="1:11" x14ac:dyDescent="0.35">
      <c r="A3790" s="9" t="str">
        <f>HYPERLINK("http://www.ensembl.org/id/WBGene00012980", "WBGene00012980")</f>
        <v>WBGene00012980</v>
      </c>
      <c r="B3790" s="9" t="str">
        <f>HYPERLINK("http://www.ncbi.nlm.nih.gov/gene/175073", "175073")</f>
        <v>175073</v>
      </c>
      <c r="C3790" s="9" t="str">
        <f>HYPERLINK("http://www.ncbi.nlm.nih.gov/gene/79180", "79180")</f>
        <v>79180</v>
      </c>
      <c r="D3790" t="str">
        <f>"efhd-1"</f>
        <v>efhd-1</v>
      </c>
      <c r="E3790" t="s">
        <v>3039</v>
      </c>
      <c r="F3790" t="s">
        <v>11</v>
      </c>
      <c r="G3790" t="s">
        <v>3040</v>
      </c>
      <c r="H3790" s="12">
        <v>1.32330756362254</v>
      </c>
      <c r="I3790" s="20">
        <v>1.49328202825657</v>
      </c>
      <c r="J3790" s="28">
        <v>0.13536337788653999</v>
      </c>
      <c r="K3790" s="29">
        <v>0.82568801727729502</v>
      </c>
    </row>
    <row r="3791" spans="1:11" x14ac:dyDescent="0.35">
      <c r="A3791" s="9" t="str">
        <f>HYPERLINK("http://www.ensembl.org/id/WBGene00235313", "WBGene00235313")</f>
        <v>WBGene00235313</v>
      </c>
      <c r="B3791" s="9" t="str">
        <f>HYPERLINK("http://www.ncbi.nlm.nih.gov/gene/24104247", "24104247")</f>
        <v>24104247</v>
      </c>
      <c r="C3791" s="9"/>
      <c r="D3791" t="str">
        <f>"C25E10.17"</f>
        <v>C25E10.17</v>
      </c>
      <c r="F3791" t="s">
        <v>11</v>
      </c>
      <c r="H3791" s="12">
        <v>24.321429654426002</v>
      </c>
      <c r="I3791" s="20">
        <v>1.4928453834341699</v>
      </c>
      <c r="J3791" s="28">
        <v>0.135477664465388</v>
      </c>
      <c r="K3791" s="29">
        <v>0.82616704015234699</v>
      </c>
    </row>
    <row r="3792" spans="1:11" x14ac:dyDescent="0.35">
      <c r="A3792" s="9" t="str">
        <f>HYPERLINK("http://www.ensembl.org/id/WBGene00007585", "WBGene00007585")</f>
        <v>WBGene00007585</v>
      </c>
      <c r="B3792" s="9" t="str">
        <f>HYPERLINK("http://www.ncbi.nlm.nih.gov/gene/179723", "179723")</f>
        <v>179723</v>
      </c>
      <c r="C3792" s="9"/>
      <c r="D3792" t="str">
        <f>"C14C10.2"</f>
        <v>C14C10.2</v>
      </c>
      <c r="F3792" t="s">
        <v>11</v>
      </c>
      <c r="H3792" s="12">
        <v>-1.5741836543429399</v>
      </c>
      <c r="I3792" s="20">
        <v>-1.49270452785973</v>
      </c>
      <c r="J3792" s="28">
        <v>0.135514547629319</v>
      </c>
      <c r="K3792" s="29">
        <v>0.82617391491372905</v>
      </c>
    </row>
    <row r="3793" spans="1:11" x14ac:dyDescent="0.35">
      <c r="A3793" s="9" t="str">
        <f>HYPERLINK("http://www.ensembl.org/id/WBGene00000062", "WBGene00000062")</f>
        <v>WBGene00000062</v>
      </c>
      <c r="B3793" s="9" t="str">
        <f>HYPERLINK("http://www.ncbi.nlm.nih.gov/gene/191606", "191606")</f>
        <v>191606</v>
      </c>
      <c r="C3793" s="9"/>
      <c r="D3793" t="str">
        <f>"acr-23"</f>
        <v>acr-23</v>
      </c>
      <c r="E3793" t="s">
        <v>3041</v>
      </c>
      <c r="F3793" t="s">
        <v>11</v>
      </c>
      <c r="G3793" t="s">
        <v>3042</v>
      </c>
      <c r="H3793" s="12">
        <v>1.65949986915925</v>
      </c>
      <c r="I3793" s="20">
        <v>1.4924188399221101</v>
      </c>
      <c r="J3793" s="28">
        <v>0.13558937910163099</v>
      </c>
      <c r="K3793" s="29">
        <v>0.82641207953634399</v>
      </c>
    </row>
    <row r="3794" spans="1:11" x14ac:dyDescent="0.35">
      <c r="A3794" s="9" t="str">
        <f>HYPERLINK("http://www.ensembl.org/id/WBGene00269355", "WBGene00269355")</f>
        <v>WBGene00269355</v>
      </c>
      <c r="B3794" s="9" t="str">
        <f>HYPERLINK("http://www.ncbi.nlm.nih.gov/gene/26591695", "26591695")</f>
        <v>26591695</v>
      </c>
      <c r="C3794" s="9"/>
      <c r="D3794" t="str">
        <f>"T28A11.25"</f>
        <v>T28A11.25</v>
      </c>
      <c r="F3794" t="s">
        <v>11</v>
      </c>
      <c r="H3794" s="12">
        <v>2.3311472844237699</v>
      </c>
      <c r="I3794" s="20">
        <v>1.49223224872829</v>
      </c>
      <c r="J3794" s="28">
        <v>0.13563827096447001</v>
      </c>
      <c r="K3794" s="29">
        <v>0.82649205931040004</v>
      </c>
    </row>
    <row r="3795" spans="1:11" x14ac:dyDescent="0.35">
      <c r="A3795" s="9" t="str">
        <f>HYPERLINK("http://www.ensembl.org/id/WBGene00012826", "WBGene00012826")</f>
        <v>WBGene00012826</v>
      </c>
      <c r="B3795" s="9" t="str">
        <f>HYPERLINK("http://www.ncbi.nlm.nih.gov/gene/180283", "180283")</f>
        <v>180283</v>
      </c>
      <c r="C3795" s="9"/>
      <c r="D3795" t="str">
        <f>"dyf-19"</f>
        <v>dyf-19</v>
      </c>
      <c r="F3795" t="s">
        <v>11</v>
      </c>
      <c r="G3795" t="s">
        <v>3043</v>
      </c>
      <c r="H3795" s="12">
        <v>2.0705113875272798</v>
      </c>
      <c r="I3795" s="20">
        <v>1.4919527964908099</v>
      </c>
      <c r="J3795" s="28">
        <v>0.135711520360001</v>
      </c>
      <c r="K3795" s="29">
        <v>0.82672037686216004</v>
      </c>
    </row>
    <row r="3796" spans="1:11" x14ac:dyDescent="0.35">
      <c r="A3796" s="9" t="str">
        <f>HYPERLINK("http://www.ensembl.org/id/WBGene00017864", "WBGene00017864")</f>
        <v>WBGene00017864</v>
      </c>
      <c r="B3796" s="9" t="str">
        <f>HYPERLINK("http://www.ncbi.nlm.nih.gov/gene/181026", "181026")</f>
        <v>181026</v>
      </c>
      <c r="C3796" s="9" t="str">
        <f>HYPERLINK("http://www.ncbi.nlm.nih.gov/gene/5095", "5095")</f>
        <v>5095</v>
      </c>
      <c r="D3796" t="str">
        <f>"pcca-1"</f>
        <v>pcca-1</v>
      </c>
      <c r="E3796" t="s">
        <v>3044</v>
      </c>
      <c r="F3796" t="s">
        <v>11</v>
      </c>
      <c r="G3796" t="s">
        <v>3045</v>
      </c>
      <c r="H3796" s="12">
        <v>-1.3132898696714701</v>
      </c>
      <c r="I3796" s="20">
        <v>-1.49178059284786</v>
      </c>
      <c r="J3796" s="28">
        <v>0.13575667320448701</v>
      </c>
      <c r="K3796" s="29">
        <v>0.82677746206190705</v>
      </c>
    </row>
    <row r="3797" spans="1:11" x14ac:dyDescent="0.35">
      <c r="A3797" s="9" t="str">
        <f>HYPERLINK("http://www.ensembl.org/id/WBGene00010772", "WBGene00010772")</f>
        <v>WBGene00010772</v>
      </c>
      <c r="B3797" s="9" t="str">
        <f>HYPERLINK("http://www.ncbi.nlm.nih.gov/gene/176510", "176510")</f>
        <v>176510</v>
      </c>
      <c r="C3797" s="9"/>
      <c r="D3797" t="str">
        <f>"K11D9.3"</f>
        <v>K11D9.3</v>
      </c>
      <c r="F3797" t="s">
        <v>11</v>
      </c>
      <c r="G3797" t="s">
        <v>230</v>
      </c>
      <c r="H3797" s="12">
        <v>-1.43694178861523</v>
      </c>
      <c r="I3797" s="20">
        <v>-1.4913287828667201</v>
      </c>
      <c r="J3797" s="28">
        <v>0.135875195686008</v>
      </c>
      <c r="K3797" s="29">
        <v>0.82728123096730199</v>
      </c>
    </row>
    <row r="3798" spans="1:11" x14ac:dyDescent="0.35">
      <c r="A3798" s="9" t="str">
        <f>HYPERLINK("http://www.ensembl.org/id/WBGene00003990", "WBGene00003990")</f>
        <v>WBGene00003990</v>
      </c>
      <c r="B3798" s="9" t="str">
        <f>HYPERLINK("http://www.ncbi.nlm.nih.gov/gene/180808", "180808")</f>
        <v>180808</v>
      </c>
      <c r="C3798" s="9"/>
      <c r="D3798" t="str">
        <f>"pfn-2"</f>
        <v>pfn-2</v>
      </c>
      <c r="E3798" t="s">
        <v>3046</v>
      </c>
      <c r="F3798" t="s">
        <v>11</v>
      </c>
      <c r="G3798" t="s">
        <v>1729</v>
      </c>
      <c r="H3798" s="12">
        <v>-1.31223324001036</v>
      </c>
      <c r="I3798" s="20">
        <v>-1.49104642100679</v>
      </c>
      <c r="J3798" s="28">
        <v>0.13594930771538899</v>
      </c>
      <c r="K3798" s="29">
        <v>0.82729647197044498</v>
      </c>
    </row>
    <row r="3799" spans="1:11" x14ac:dyDescent="0.35">
      <c r="A3799" s="9" t="str">
        <f>HYPERLINK("http://www.ensembl.org/id/WBGene00020231", "WBGene00020231")</f>
        <v>WBGene00020231</v>
      </c>
      <c r="B3799" s="9" t="str">
        <f>HYPERLINK("http://www.ncbi.nlm.nih.gov/gene/173617", "173617")</f>
        <v>173617</v>
      </c>
      <c r="C3799" s="9"/>
      <c r="D3799" t="str">
        <f>"T05A8.5"</f>
        <v>T05A8.5</v>
      </c>
      <c r="F3799" t="s">
        <v>11</v>
      </c>
      <c r="G3799" t="s">
        <v>54</v>
      </c>
      <c r="H3799" s="12">
        <v>2.6306920813299901</v>
      </c>
      <c r="I3799" s="20">
        <v>1.4911390693357101</v>
      </c>
      <c r="J3799" s="28">
        <v>0.13592498670075201</v>
      </c>
      <c r="K3799" s="29">
        <v>0.82729647197044498</v>
      </c>
    </row>
    <row r="3800" spans="1:11" x14ac:dyDescent="0.35">
      <c r="A3800" s="9" t="str">
        <f>HYPERLINK("http://www.ensembl.org/id/WBGene00015298", "WBGene00015298")</f>
        <v>WBGene00015298</v>
      </c>
      <c r="B3800" s="9" t="str">
        <f>HYPERLINK("http://www.ncbi.nlm.nih.gov/gene/173762", "173762")</f>
        <v>173762</v>
      </c>
      <c r="C3800" s="9"/>
      <c r="D3800" t="str">
        <f>"C01F1.3"</f>
        <v>C01F1.3</v>
      </c>
      <c r="F3800" t="s">
        <v>11</v>
      </c>
      <c r="G3800" t="s">
        <v>3047</v>
      </c>
      <c r="H3800" s="12">
        <v>1.38474156273245</v>
      </c>
      <c r="I3800" s="20">
        <v>1.4902325578425399</v>
      </c>
      <c r="J3800" s="28">
        <v>0.13616309849819</v>
      </c>
      <c r="K3800" s="29">
        <v>0.82750777325070202</v>
      </c>
    </row>
    <row r="3801" spans="1:11" x14ac:dyDescent="0.35">
      <c r="A3801" s="9" t="str">
        <f>HYPERLINK("http://www.ensembl.org/id/WBGene00019391", "WBGene00019391")</f>
        <v>WBGene00019391</v>
      </c>
      <c r="B3801" s="9" t="str">
        <f>HYPERLINK("http://www.ncbi.nlm.nih.gov/gene/186998", "186998")</f>
        <v>186998</v>
      </c>
      <c r="C3801" s="9"/>
      <c r="D3801" t="str">
        <f>"irld-11"</f>
        <v>irld-11</v>
      </c>
      <c r="E3801" t="s">
        <v>1627</v>
      </c>
      <c r="F3801" t="s">
        <v>11</v>
      </c>
      <c r="H3801" s="12">
        <v>7.3211645761856401</v>
      </c>
      <c r="I3801" s="20">
        <v>1.4903459634513501</v>
      </c>
      <c r="J3801" s="28">
        <v>0.136133292833722</v>
      </c>
      <c r="K3801" s="29">
        <v>0.82750777325070202</v>
      </c>
    </row>
    <row r="3802" spans="1:11" x14ac:dyDescent="0.35">
      <c r="A3802" s="9" t="str">
        <f>HYPERLINK("http://www.ensembl.org/id/WBGene00003148", "WBGene00003148")</f>
        <v>WBGene00003148</v>
      </c>
      <c r="B3802" s="9" t="str">
        <f>HYPERLINK("http://www.ncbi.nlm.nih.gov/gene/178071", "178071")</f>
        <v>178071</v>
      </c>
      <c r="C3802" s="9" t="str">
        <f>HYPERLINK("http://www.ncbi.nlm.nih.gov/gene/8721", "8721")</f>
        <v>8721</v>
      </c>
      <c r="D3802" t="str">
        <f>"mbf-1"</f>
        <v>mbf-1</v>
      </c>
      <c r="E3802" t="s">
        <v>3048</v>
      </c>
      <c r="F3802" t="s">
        <v>11</v>
      </c>
      <c r="G3802" t="s">
        <v>3049</v>
      </c>
      <c r="H3802" s="12">
        <v>-1.3377612009434099</v>
      </c>
      <c r="I3802" s="20">
        <v>-1.4905501110825601</v>
      </c>
      <c r="J3802" s="28">
        <v>0.13607965072403699</v>
      </c>
      <c r="K3802" s="29">
        <v>0.82750777325070202</v>
      </c>
    </row>
    <row r="3803" spans="1:11" x14ac:dyDescent="0.35">
      <c r="A3803" s="9" t="str">
        <f>HYPERLINK("http://www.ensembl.org/id/WBGene00021031", "WBGene00021031")</f>
        <v>WBGene00021031</v>
      </c>
      <c r="B3803" s="9" t="str">
        <f>HYPERLINK("http://www.ncbi.nlm.nih.gov/gene/189206", "189206")</f>
        <v>189206</v>
      </c>
      <c r="C3803" s="9"/>
      <c r="D3803" t="str">
        <f>"W04H10.2"</f>
        <v>W04H10.2</v>
      </c>
      <c r="F3803" t="s">
        <v>11</v>
      </c>
      <c r="H3803" s="12">
        <v>2.1336671427233602</v>
      </c>
      <c r="I3803" s="20">
        <v>1.4903431678847301</v>
      </c>
      <c r="J3803" s="28">
        <v>0.136134027513902</v>
      </c>
      <c r="K3803" s="29">
        <v>0.82750777325070202</v>
      </c>
    </row>
    <row r="3804" spans="1:11" x14ac:dyDescent="0.35">
      <c r="A3804" s="9" t="str">
        <f>HYPERLINK("http://www.ensembl.org/id/WBGene00013436", "WBGene00013436")</f>
        <v>WBGene00013436</v>
      </c>
      <c r="B3804" s="9" t="str">
        <f>HYPERLINK("http://www.ncbi.nlm.nih.gov/gene/176587", "176587")</f>
        <v>176587</v>
      </c>
      <c r="C3804" s="9" t="str">
        <f>HYPERLINK("http://www.ncbi.nlm.nih.gov/gene/129531", "129531")</f>
        <v>129531</v>
      </c>
      <c r="D3804" t="str">
        <f>"Y66D12A.10"</f>
        <v>Y66D12A.10</v>
      </c>
      <c r="F3804" t="s">
        <v>11</v>
      </c>
      <c r="H3804" s="12">
        <v>-1.36762944820048</v>
      </c>
      <c r="I3804" s="20">
        <v>-1.4904612959405701</v>
      </c>
      <c r="J3804" s="28">
        <v>0.13610298590594799</v>
      </c>
      <c r="K3804" s="29">
        <v>0.82750777325070202</v>
      </c>
    </row>
    <row r="3805" spans="1:11" x14ac:dyDescent="0.35">
      <c r="A3805" s="9" t="str">
        <f>HYPERLINK("http://www.ensembl.org/id/WBGene00018547", "WBGene00018547")</f>
        <v>WBGene00018547</v>
      </c>
      <c r="B3805" s="9" t="str">
        <f>HYPERLINK("http://www.ncbi.nlm.nih.gov/gene/185915", "185915")</f>
        <v>185915</v>
      </c>
      <c r="C3805" s="9"/>
      <c r="D3805" t="str">
        <f>"clec-78"</f>
        <v>clec-78</v>
      </c>
      <c r="E3805" t="s">
        <v>46</v>
      </c>
      <c r="F3805" t="s">
        <v>11</v>
      </c>
      <c r="G3805" t="s">
        <v>3050</v>
      </c>
      <c r="H3805" s="12">
        <v>1.37688164671196</v>
      </c>
      <c r="I3805" s="20">
        <v>1.48993429129384</v>
      </c>
      <c r="J3805" s="28">
        <v>0.13624151402009399</v>
      </c>
      <c r="K3805" s="29">
        <v>0.82754900708420098</v>
      </c>
    </row>
    <row r="3806" spans="1:11" x14ac:dyDescent="0.35">
      <c r="A3806" s="9" t="str">
        <f>HYPERLINK("http://www.ensembl.org/id/WBGene00220076", "WBGene00220076")</f>
        <v>WBGene00220076</v>
      </c>
      <c r="B3806" s="9"/>
      <c r="C3806" s="9"/>
      <c r="D3806" t="str">
        <f>"T21B4.21"</f>
        <v>T21B4.21</v>
      </c>
      <c r="F3806" t="s">
        <v>481</v>
      </c>
      <c r="H3806" s="12">
        <v>-1.5044196647874899</v>
      </c>
      <c r="I3806" s="20">
        <v>-1.4899652682390401</v>
      </c>
      <c r="J3806" s="28">
        <v>0.13623336842991199</v>
      </c>
      <c r="K3806" s="29">
        <v>0.82754900708420098</v>
      </c>
    </row>
    <row r="3807" spans="1:11" x14ac:dyDescent="0.35">
      <c r="A3807" s="9" t="str">
        <f>HYPERLINK("http://www.ensembl.org/id/WBGene00018026", "WBGene00018026")</f>
        <v>WBGene00018026</v>
      </c>
      <c r="B3807" s="9" t="str">
        <f>HYPERLINK("http://www.ncbi.nlm.nih.gov/gene/185249", "185249")</f>
        <v>185249</v>
      </c>
      <c r="C3807" s="9"/>
      <c r="D3807" t="str">
        <f>"F35A5.4"</f>
        <v>F35A5.4</v>
      </c>
      <c r="F3807" t="s">
        <v>11</v>
      </c>
      <c r="H3807" s="12">
        <v>3.0029938815384298</v>
      </c>
      <c r="I3807" s="20">
        <v>1.4897912998509499</v>
      </c>
      <c r="J3807" s="28">
        <v>0.13627911942780399</v>
      </c>
      <c r="K3807" s="29">
        <v>0.82755987739785697</v>
      </c>
    </row>
    <row r="3808" spans="1:11" x14ac:dyDescent="0.35">
      <c r="A3808" s="9" t="str">
        <f>HYPERLINK("http://www.ensembl.org/id/WBGene00044916", "WBGene00044916")</f>
        <v>WBGene00044916</v>
      </c>
      <c r="B3808" s="9" t="str">
        <f>HYPERLINK("http://www.ncbi.nlm.nih.gov/gene/4926894", "4926894")</f>
        <v>4926894</v>
      </c>
      <c r="C3808" s="9"/>
      <c r="D3808" t="str">
        <f>"F40F8.11"</f>
        <v>F40F8.11</v>
      </c>
      <c r="F3808" t="s">
        <v>11</v>
      </c>
      <c r="G3808" t="s">
        <v>3051</v>
      </c>
      <c r="H3808" s="12">
        <v>-1.3572630229943801</v>
      </c>
      <c r="I3808" s="20">
        <v>-1.4895287182321699</v>
      </c>
      <c r="J3808" s="28">
        <v>0.136348196795124</v>
      </c>
      <c r="K3808" s="29">
        <v>0.827677865500419</v>
      </c>
    </row>
    <row r="3809" spans="1:11" x14ac:dyDescent="0.35">
      <c r="A3809" s="9" t="str">
        <f>HYPERLINK("http://www.ensembl.org/id/WBGene00013727", "WBGene00013727")</f>
        <v>WBGene00013727</v>
      </c>
      <c r="B3809" s="9" t="str">
        <f>HYPERLINK("http://www.ncbi.nlm.nih.gov/gene/190948", "190948")</f>
        <v>190948</v>
      </c>
      <c r="C3809" s="9"/>
      <c r="D3809" t="str">
        <f>"Y111B2A.1"</f>
        <v>Y111B2A.1</v>
      </c>
      <c r="F3809" t="s">
        <v>11</v>
      </c>
      <c r="G3809" t="s">
        <v>1808</v>
      </c>
      <c r="H3809" s="12">
        <v>-1.8487924929506701</v>
      </c>
      <c r="I3809" s="20">
        <v>-1.4894451337893</v>
      </c>
      <c r="J3809" s="28">
        <v>0.136370191030905</v>
      </c>
      <c r="K3809" s="29">
        <v>0.827677865500419</v>
      </c>
    </row>
    <row r="3810" spans="1:11" x14ac:dyDescent="0.35">
      <c r="A3810" s="9" t="str">
        <f>HYPERLINK("http://www.ensembl.org/id/WBGene00009223", "WBGene00009223")</f>
        <v>WBGene00009223</v>
      </c>
      <c r="B3810" s="9" t="str">
        <f>HYPERLINK("http://www.ncbi.nlm.nih.gov/gene/180048", "180048")</f>
        <v>180048</v>
      </c>
      <c r="C3810" s="9"/>
      <c r="D3810" t="str">
        <f>"mdt-28"</f>
        <v>mdt-28</v>
      </c>
      <c r="E3810" t="s">
        <v>3052</v>
      </c>
      <c r="F3810" t="s">
        <v>11</v>
      </c>
      <c r="H3810" s="12">
        <v>-1.3612717991963901</v>
      </c>
      <c r="I3810" s="20">
        <v>-1.48910651815085</v>
      </c>
      <c r="J3810" s="28">
        <v>0.13645932166251601</v>
      </c>
      <c r="K3810" s="29">
        <v>0.82800133569697698</v>
      </c>
    </row>
    <row r="3811" spans="1:11" x14ac:dyDescent="0.35">
      <c r="A3811" s="9" t="str">
        <f>HYPERLINK("http://www.ensembl.org/id/WBGene00012244", "WBGene00012244")</f>
        <v>WBGene00012244</v>
      </c>
      <c r="B3811" s="9" t="str">
        <f>HYPERLINK("http://www.ncbi.nlm.nih.gov/gene/179711", "179711")</f>
        <v>179711</v>
      </c>
      <c r="C3811" s="9"/>
      <c r="D3811" t="str">
        <f>"mrps-11"</f>
        <v>mrps-11</v>
      </c>
      <c r="E3811" t="s">
        <v>3053</v>
      </c>
      <c r="F3811" t="s">
        <v>11</v>
      </c>
      <c r="G3811" t="s">
        <v>3054</v>
      </c>
      <c r="H3811" s="12">
        <v>-1.3300650276289301</v>
      </c>
      <c r="I3811" s="20">
        <v>-1.48879582055754</v>
      </c>
      <c r="J3811" s="28">
        <v>0.136541143234926</v>
      </c>
      <c r="K3811" s="29">
        <v>0.82828029813237203</v>
      </c>
    </row>
    <row r="3812" spans="1:11" x14ac:dyDescent="0.35">
      <c r="A3812" s="9" t="str">
        <f>HYPERLINK("http://www.ensembl.org/id/WBGene00235340", "WBGene00235340")</f>
        <v>WBGene00235340</v>
      </c>
      <c r="B3812" s="9" t="str">
        <f>HYPERLINK("http://www.ncbi.nlm.nih.gov/gene/24104324", "24104324")</f>
        <v>24104324</v>
      </c>
      <c r="C3812" s="9"/>
      <c r="D3812" t="str">
        <f>"C45G7.13"</f>
        <v>C45G7.13</v>
      </c>
      <c r="F3812" t="s">
        <v>11</v>
      </c>
      <c r="H3812" s="12">
        <v>1.39308541390223</v>
      </c>
      <c r="I3812" s="20">
        <v>1.4883483356550999</v>
      </c>
      <c r="J3812" s="28">
        <v>0.13665905399186601</v>
      </c>
      <c r="K3812" s="29">
        <v>0.82856050945580195</v>
      </c>
    </row>
    <row r="3813" spans="1:11" x14ac:dyDescent="0.35">
      <c r="A3813" s="9" t="str">
        <f>HYPERLINK("http://www.ensembl.org/id/WBGene00008388", "WBGene00008388")</f>
        <v>WBGene00008388</v>
      </c>
      <c r="B3813" s="9" t="str">
        <f>HYPERLINK("http://www.ncbi.nlm.nih.gov/gene/179909", "179909")</f>
        <v>179909</v>
      </c>
      <c r="C3813" s="9"/>
      <c r="D3813" t="str">
        <f>"D1086.1"</f>
        <v>D1086.1</v>
      </c>
      <c r="F3813" t="s">
        <v>11</v>
      </c>
      <c r="H3813" s="12">
        <v>-1.4196293447221</v>
      </c>
      <c r="I3813" s="20">
        <v>-1.4883680573995901</v>
      </c>
      <c r="J3813" s="28">
        <v>0.13665385572437699</v>
      </c>
      <c r="K3813" s="29">
        <v>0.82856050945580195</v>
      </c>
    </row>
    <row r="3814" spans="1:11" x14ac:dyDescent="0.35">
      <c r="A3814" s="9" t="str">
        <f>HYPERLINK("http://www.ensembl.org/id/WBGene00010316", "WBGene00010316")</f>
        <v>WBGene00010316</v>
      </c>
      <c r="B3814" s="9" t="str">
        <f>HYPERLINK("http://www.ncbi.nlm.nih.gov/gene/177774", "177774")</f>
        <v>177774</v>
      </c>
      <c r="C3814" s="9"/>
      <c r="D3814" t="str">
        <f>"F59B8.1"</f>
        <v>F59B8.1</v>
      </c>
      <c r="F3814" t="s">
        <v>11</v>
      </c>
      <c r="H3814" s="12">
        <v>1.5570037656495599</v>
      </c>
      <c r="I3814" s="20">
        <v>1.4882118092430101</v>
      </c>
      <c r="J3814" s="28">
        <v>0.136695043877789</v>
      </c>
      <c r="K3814" s="29">
        <v>0.82856130216164803</v>
      </c>
    </row>
    <row r="3815" spans="1:11" x14ac:dyDescent="0.35">
      <c r="A3815" s="9" t="str">
        <f>HYPERLINK("http://www.ensembl.org/id/WBGene00000044", "WBGene00000044")</f>
        <v>WBGene00000044</v>
      </c>
      <c r="B3815" s="9" t="str">
        <f>HYPERLINK("http://www.ncbi.nlm.nih.gov/gene/191596", "191596")</f>
        <v>191596</v>
      </c>
      <c r="C3815" s="9"/>
      <c r="D3815" t="str">
        <f>"acr-5"</f>
        <v>acr-5</v>
      </c>
      <c r="E3815" t="s">
        <v>3055</v>
      </c>
      <c r="F3815" t="s">
        <v>11</v>
      </c>
      <c r="G3815" t="s">
        <v>774</v>
      </c>
      <c r="H3815" s="12">
        <v>1.65752163674401</v>
      </c>
      <c r="I3815" s="20">
        <v>1.4880149344575</v>
      </c>
      <c r="J3815" s="28">
        <v>0.13674695514523</v>
      </c>
      <c r="K3815" s="29">
        <v>0.82865857476676497</v>
      </c>
    </row>
    <row r="3816" spans="1:11" x14ac:dyDescent="0.35">
      <c r="A3816" s="9" t="str">
        <f>HYPERLINK("http://www.ensembl.org/id/WBGene00000045", "WBGene00000045")</f>
        <v>WBGene00000045</v>
      </c>
      <c r="B3816" s="9" t="str">
        <f>HYPERLINK("http://www.ncbi.nlm.nih.gov/gene/191479", "191479")</f>
        <v>191479</v>
      </c>
      <c r="C3816" s="9"/>
      <c r="D3816" t="str">
        <f>"acr-6"</f>
        <v>acr-6</v>
      </c>
      <c r="E3816" t="s">
        <v>1742</v>
      </c>
      <c r="F3816" t="s">
        <v>11</v>
      </c>
      <c r="G3816" t="s">
        <v>1743</v>
      </c>
      <c r="H3816" s="12">
        <v>2.5138388449992002</v>
      </c>
      <c r="I3816" s="20">
        <v>1.4839657731404501</v>
      </c>
      <c r="J3816" s="28">
        <v>0.13781800097743399</v>
      </c>
      <c r="K3816" s="29">
        <v>0.82906592033916404</v>
      </c>
    </row>
    <row r="3817" spans="1:11" x14ac:dyDescent="0.35">
      <c r="A3817" s="9" t="str">
        <f>HYPERLINK("http://www.ensembl.org/id/WBGene00010015", "WBGene00010015")</f>
        <v>WBGene00010015</v>
      </c>
      <c r="B3817" s="9" t="str">
        <f>HYPERLINK("http://www.ncbi.nlm.nih.gov/gene/174590", "174590")</f>
        <v>174590</v>
      </c>
      <c r="C3817" s="9" t="str">
        <f>HYPERLINK("http://www.ncbi.nlm.nih.gov/gene/55210", "55210")</f>
        <v>55210</v>
      </c>
      <c r="D3817" t="str">
        <f>"atad-3"</f>
        <v>atad-3</v>
      </c>
      <c r="E3817" t="s">
        <v>3071</v>
      </c>
      <c r="F3817" t="s">
        <v>11</v>
      </c>
      <c r="G3817" t="s">
        <v>3072</v>
      </c>
      <c r="H3817" s="12">
        <v>-1.3540303173378101</v>
      </c>
      <c r="I3817" s="20">
        <v>-1.4866008734010401</v>
      </c>
      <c r="J3817" s="28">
        <v>0.137120257007015</v>
      </c>
      <c r="K3817" s="29">
        <v>0.82906592033916404</v>
      </c>
    </row>
    <row r="3818" spans="1:11" x14ac:dyDescent="0.35">
      <c r="A3818" s="9" t="str">
        <f>HYPERLINK("http://www.ensembl.org/id/WBGene00015023", "WBGene00015023")</f>
        <v>WBGene00015023</v>
      </c>
      <c r="B3818" s="9" t="str">
        <f>HYPERLINK("http://www.ncbi.nlm.nih.gov/gene/172975", "172975")</f>
        <v>172975</v>
      </c>
      <c r="C3818" s="9"/>
      <c r="D3818" t="str">
        <f>"B0205.9"</f>
        <v>B0205.9</v>
      </c>
      <c r="F3818" t="s">
        <v>11</v>
      </c>
      <c r="H3818" s="12">
        <v>-1.3777893813497699</v>
      </c>
      <c r="I3818" s="20">
        <v>-1.4842649012701901</v>
      </c>
      <c r="J3818" s="28">
        <v>0.13773865787685799</v>
      </c>
      <c r="K3818" s="29">
        <v>0.82906592033916404</v>
      </c>
    </row>
    <row r="3819" spans="1:11" x14ac:dyDescent="0.35">
      <c r="A3819" s="9" t="str">
        <f>HYPERLINK("http://www.ensembl.org/id/WBGene00013689", "WBGene00013689")</f>
        <v>WBGene00013689</v>
      </c>
      <c r="B3819" s="9" t="str">
        <f>HYPERLINK("http://www.ncbi.nlm.nih.gov/gene/173321", "173321")</f>
        <v>173321</v>
      </c>
      <c r="C3819" s="9"/>
      <c r="D3819" t="str">
        <f>"bath-40"</f>
        <v>bath-40</v>
      </c>
      <c r="E3819" t="s">
        <v>3067</v>
      </c>
      <c r="F3819" t="s">
        <v>11</v>
      </c>
      <c r="G3819" t="s">
        <v>54</v>
      </c>
      <c r="H3819" s="12">
        <v>-1.3169704779854901</v>
      </c>
      <c r="I3819" s="20">
        <v>-1.48743853387277</v>
      </c>
      <c r="J3819" s="28">
        <v>0.13689902593353401</v>
      </c>
      <c r="K3819" s="29">
        <v>0.82906592033916404</v>
      </c>
    </row>
    <row r="3820" spans="1:11" x14ac:dyDescent="0.35">
      <c r="A3820" s="9" t="str">
        <f>HYPERLINK("http://www.ensembl.org/id/WBGene00016044", "WBGene00016044")</f>
        <v>WBGene00016044</v>
      </c>
      <c r="B3820" s="9" t="str">
        <f>HYPERLINK("http://www.ncbi.nlm.nih.gov/gene/179301", "179301")</f>
        <v>179301</v>
      </c>
      <c r="C3820" s="9"/>
      <c r="D3820" t="str">
        <f>"C24B5.1"</f>
        <v>C24B5.1</v>
      </c>
      <c r="F3820" t="s">
        <v>11</v>
      </c>
      <c r="G3820" t="s">
        <v>1089</v>
      </c>
      <c r="H3820" s="12">
        <v>1.5110916419953</v>
      </c>
      <c r="I3820" s="20">
        <v>1.4848167612237999</v>
      </c>
      <c r="J3820" s="28">
        <v>0.13759237061586799</v>
      </c>
      <c r="K3820" s="29">
        <v>0.82906592033916404</v>
      </c>
    </row>
    <row r="3821" spans="1:11" x14ac:dyDescent="0.35">
      <c r="A3821" s="9" t="str">
        <f>HYPERLINK("http://www.ensembl.org/id/WBGene00016429", "WBGene00016429")</f>
        <v>WBGene00016429</v>
      </c>
      <c r="B3821" s="9" t="str">
        <f>HYPERLINK("http://www.ncbi.nlm.nih.gov/gene/183227", "183227")</f>
        <v>183227</v>
      </c>
      <c r="C3821" s="9"/>
      <c r="D3821" t="str">
        <f>"C35A11.2"</f>
        <v>C35A11.2</v>
      </c>
      <c r="F3821" t="s">
        <v>11</v>
      </c>
      <c r="H3821" s="12">
        <v>2.2433619767594299</v>
      </c>
      <c r="I3821" s="20">
        <v>1.4843229674935201</v>
      </c>
      <c r="J3821" s="28">
        <v>0.13772326001673901</v>
      </c>
      <c r="K3821" s="29">
        <v>0.82906592033916404</v>
      </c>
    </row>
    <row r="3822" spans="1:11" x14ac:dyDescent="0.35">
      <c r="A3822" s="9" t="str">
        <f>HYPERLINK("http://www.ensembl.org/id/WBGene00016457", "WBGene00016457")</f>
        <v>WBGene00016457</v>
      </c>
      <c r="B3822" s="9" t="str">
        <f>HYPERLINK("http://www.ncbi.nlm.nih.gov/gene/172989", "172989")</f>
        <v>172989</v>
      </c>
      <c r="C3822" s="9"/>
      <c r="D3822" t="str">
        <f>"C35E7.5"</f>
        <v>C35E7.5</v>
      </c>
      <c r="F3822" t="s">
        <v>11</v>
      </c>
      <c r="G3822" t="s">
        <v>2085</v>
      </c>
      <c r="H3822" s="12">
        <v>1.39133631615701</v>
      </c>
      <c r="I3822" s="20">
        <v>1.4847541565773701</v>
      </c>
      <c r="J3822" s="28">
        <v>0.13760895985462401</v>
      </c>
      <c r="K3822" s="29">
        <v>0.82906592033916404</v>
      </c>
    </row>
    <row r="3823" spans="1:11" x14ac:dyDescent="0.35">
      <c r="A3823" s="9" t="str">
        <f>HYPERLINK("http://www.ensembl.org/id/WBGene00018246", "WBGene00018246")</f>
        <v>WBGene00018246</v>
      </c>
      <c r="B3823" s="9" t="str">
        <f>HYPERLINK("http://www.ncbi.nlm.nih.gov/gene/185558", "185558")</f>
        <v>185558</v>
      </c>
      <c r="C3823" s="9"/>
      <c r="D3823" t="str">
        <f>"clec-148"</f>
        <v>clec-148</v>
      </c>
      <c r="E3823" t="s">
        <v>46</v>
      </c>
      <c r="F3823" t="s">
        <v>11</v>
      </c>
      <c r="G3823" t="s">
        <v>274</v>
      </c>
      <c r="H3823" s="12">
        <v>7.5393525206170704</v>
      </c>
      <c r="I3823" s="20">
        <v>1.4857968860959501</v>
      </c>
      <c r="J3823" s="28">
        <v>0.13733285406003501</v>
      </c>
      <c r="K3823" s="29">
        <v>0.82906592033916404</v>
      </c>
    </row>
    <row r="3824" spans="1:11" x14ac:dyDescent="0.35">
      <c r="A3824" s="9" t="str">
        <f>HYPERLINK("http://www.ensembl.org/id/WBGene00001185", "WBGene00001185")</f>
        <v>WBGene00001185</v>
      </c>
      <c r="B3824" s="9" t="str">
        <f>HYPERLINK("http://www.ncbi.nlm.nih.gov/gene/180402", "180402")</f>
        <v>180402</v>
      </c>
      <c r="C3824" s="9"/>
      <c r="D3824" t="str">
        <f>"egl-17"</f>
        <v>egl-17</v>
      </c>
      <c r="E3824" t="s">
        <v>3056</v>
      </c>
      <c r="F3824" t="s">
        <v>11</v>
      </c>
      <c r="G3824" t="s">
        <v>3057</v>
      </c>
      <c r="H3824" s="12">
        <v>2.0751789485182801</v>
      </c>
      <c r="I3824" s="20">
        <v>1.4867652295051299</v>
      </c>
      <c r="J3824" s="28">
        <v>0.137076827858468</v>
      </c>
      <c r="K3824" s="29">
        <v>0.82906592033916404</v>
      </c>
    </row>
    <row r="3825" spans="1:11" x14ac:dyDescent="0.35">
      <c r="A3825" s="9" t="str">
        <f>HYPERLINK("http://www.ensembl.org/id/WBGene00023503", "WBGene00023503")</f>
        <v>WBGene00023503</v>
      </c>
      <c r="B3825" s="9" t="str">
        <f>HYPERLINK("http://www.ncbi.nlm.nih.gov/gene/3565104", "3565104")</f>
        <v>3565104</v>
      </c>
      <c r="C3825" s="9"/>
      <c r="D3825" t="str">
        <f>"F17C11.13"</f>
        <v>F17C11.13</v>
      </c>
      <c r="F3825" t="s">
        <v>11</v>
      </c>
      <c r="G3825" t="s">
        <v>25</v>
      </c>
      <c r="H3825" s="12">
        <v>-2.5800473883502399</v>
      </c>
      <c r="I3825" s="20">
        <v>-1.48384353733763</v>
      </c>
      <c r="J3825" s="28">
        <v>0.13785043390288701</v>
      </c>
      <c r="K3825" s="29">
        <v>0.82906592033916404</v>
      </c>
    </row>
    <row r="3826" spans="1:11" x14ac:dyDescent="0.35">
      <c r="A3826" s="9" t="str">
        <f>HYPERLINK("http://www.ensembl.org/id/WBGene00008959", "WBGene00008959")</f>
        <v>WBGene00008959</v>
      </c>
      <c r="B3826" s="9" t="str">
        <f>HYPERLINK("http://www.ncbi.nlm.nih.gov/gene/184699", "184699")</f>
        <v>184699</v>
      </c>
      <c r="C3826" s="9" t="str">
        <f>HYPERLINK("http://www.ncbi.nlm.nih.gov/gene/6716", "6716")</f>
        <v>6716</v>
      </c>
      <c r="D3826" t="str">
        <f>"F19H6.4"</f>
        <v>F19H6.4</v>
      </c>
      <c r="F3826" t="s">
        <v>11</v>
      </c>
      <c r="G3826" t="s">
        <v>3080</v>
      </c>
      <c r="H3826" s="12">
        <v>-1.4674868247042601</v>
      </c>
      <c r="I3826" s="20">
        <v>-1.4847582340494001</v>
      </c>
      <c r="J3826" s="28">
        <v>0.13760787934223601</v>
      </c>
      <c r="K3826" s="29">
        <v>0.82906592033916404</v>
      </c>
    </row>
    <row r="3827" spans="1:11" x14ac:dyDescent="0.35">
      <c r="A3827" s="9" t="str">
        <f>HYPERLINK("http://www.ensembl.org/id/WBGene00019318", "WBGene00019318")</f>
        <v>WBGene00019318</v>
      </c>
      <c r="B3827" s="9" t="str">
        <f>HYPERLINK("http://www.ncbi.nlm.nih.gov/gene/180552", "180552")</f>
        <v>180552</v>
      </c>
      <c r="C3827" s="9"/>
      <c r="D3827" t="str">
        <f>"K02E10.4"</f>
        <v>K02E10.4</v>
      </c>
      <c r="F3827" t="s">
        <v>11</v>
      </c>
      <c r="G3827" t="s">
        <v>25</v>
      </c>
      <c r="H3827" s="12">
        <v>1.5192420528747199</v>
      </c>
      <c r="I3827" s="20">
        <v>1.4849842525461201</v>
      </c>
      <c r="J3827" s="28">
        <v>0.137547995651981</v>
      </c>
      <c r="K3827" s="29">
        <v>0.82906592033916404</v>
      </c>
    </row>
    <row r="3828" spans="1:11" x14ac:dyDescent="0.35">
      <c r="A3828" s="9" t="str">
        <f>HYPERLINK("http://www.ensembl.org/id/WBGene00010877", "WBGene00010877")</f>
        <v>WBGene00010877</v>
      </c>
      <c r="B3828" s="9" t="str">
        <f>HYPERLINK("http://www.ncbi.nlm.nih.gov/gene/174356", "174356")</f>
        <v>174356</v>
      </c>
      <c r="C3828" s="9"/>
      <c r="D3828" t="str">
        <f>"lact-4"</f>
        <v>lact-4</v>
      </c>
      <c r="E3828" t="s">
        <v>1085</v>
      </c>
      <c r="F3828" t="s">
        <v>11</v>
      </c>
      <c r="H3828" s="12">
        <v>1.3788855554894901</v>
      </c>
      <c r="I3828" s="20">
        <v>1.4841682437842401</v>
      </c>
      <c r="J3828" s="28">
        <v>0.13776429221759501</v>
      </c>
      <c r="K3828" s="29">
        <v>0.82906592033916404</v>
      </c>
    </row>
    <row r="3829" spans="1:11" x14ac:dyDescent="0.35">
      <c r="A3829" s="9" t="str">
        <f>HYPERLINK("http://www.ensembl.org/id/WBGene00010906", "WBGene00010906")</f>
        <v>WBGene00010906</v>
      </c>
      <c r="B3829" s="9" t="str">
        <f>HYPERLINK("http://www.ncbi.nlm.nih.gov/gene/187471", "187471")</f>
        <v>187471</v>
      </c>
      <c r="C3829" s="9"/>
      <c r="D3829" t="str">
        <f>"M88.3"</f>
        <v>M88.3</v>
      </c>
      <c r="F3829" t="s">
        <v>11</v>
      </c>
      <c r="H3829" s="12">
        <v>1.84659650032802</v>
      </c>
      <c r="I3829" s="20">
        <v>1.48423909600973</v>
      </c>
      <c r="J3829" s="28">
        <v>0.13774550127912</v>
      </c>
      <c r="K3829" s="29">
        <v>0.82906592033916404</v>
      </c>
    </row>
    <row r="3830" spans="1:11" x14ac:dyDescent="0.35">
      <c r="A3830" s="9" t="str">
        <f>HYPERLINK("http://www.ensembl.org/id/WBGene00003507", "WBGene00003507")</f>
        <v>WBGene00003507</v>
      </c>
      <c r="B3830" s="9" t="str">
        <f>HYPERLINK("http://www.ncbi.nlm.nih.gov/gene/178952", "178952")</f>
        <v>178952</v>
      </c>
      <c r="C3830" s="9"/>
      <c r="D3830" t="str">
        <f>"mut-14"</f>
        <v>mut-14</v>
      </c>
      <c r="E3830" t="s">
        <v>721</v>
      </c>
      <c r="F3830" t="s">
        <v>11</v>
      </c>
      <c r="G3830" t="s">
        <v>3079</v>
      </c>
      <c r="H3830" s="12">
        <v>-1.43440719065661</v>
      </c>
      <c r="I3830" s="20">
        <v>-1.48742956246164</v>
      </c>
      <c r="J3830" s="28">
        <v>0.13690139387643499</v>
      </c>
      <c r="K3830" s="29">
        <v>0.82906592033916404</v>
      </c>
    </row>
    <row r="3831" spans="1:11" x14ac:dyDescent="0.35">
      <c r="A3831" s="9" t="str">
        <f>HYPERLINK("http://www.ensembl.org/id/WBGene00016703", "WBGene00016703")</f>
        <v>WBGene00016703</v>
      </c>
      <c r="B3831" s="9" t="str">
        <f>HYPERLINK("http://www.ncbi.nlm.nih.gov/gene/183501", "183501")</f>
        <v>183501</v>
      </c>
      <c r="C3831" s="9"/>
      <c r="D3831" t="str">
        <f>"rdl-1"</f>
        <v>rdl-1</v>
      </c>
      <c r="E3831" t="s">
        <v>3058</v>
      </c>
      <c r="F3831" t="s">
        <v>11</v>
      </c>
      <c r="H3831" s="12">
        <v>1.8807445570122501</v>
      </c>
      <c r="I3831" s="20">
        <v>1.4859382247139801</v>
      </c>
      <c r="J3831" s="28">
        <v>0.13729546171483001</v>
      </c>
      <c r="K3831" s="29">
        <v>0.82906592033916404</v>
      </c>
    </row>
    <row r="3832" spans="1:11" x14ac:dyDescent="0.35">
      <c r="A3832" s="9" t="str">
        <f>HYPERLINK("http://www.ensembl.org/id/WBGene00045238", "WBGene00045238")</f>
        <v>WBGene00045238</v>
      </c>
      <c r="B3832" s="9"/>
      <c r="C3832" s="9"/>
      <c r="D3832" t="str">
        <f>"rpr-1"</f>
        <v>rpr-1</v>
      </c>
      <c r="F3832" t="s">
        <v>481</v>
      </c>
      <c r="H3832" s="12">
        <v>-5.03258657694645</v>
      </c>
      <c r="I3832" s="20">
        <v>-1.4845391648747399</v>
      </c>
      <c r="J3832" s="28">
        <v>0.13766594098864901</v>
      </c>
      <c r="K3832" s="29">
        <v>0.82906592033916404</v>
      </c>
    </row>
    <row r="3833" spans="1:11" x14ac:dyDescent="0.35">
      <c r="A3833" s="9" t="str">
        <f>HYPERLINK("http://www.ensembl.org/id/WBGene00004505", "WBGene00004505")</f>
        <v>WBGene00004505</v>
      </c>
      <c r="B3833" s="9" t="str">
        <f>HYPERLINK("http://www.ncbi.nlm.nih.gov/gene/172238", "172238")</f>
        <v>172238</v>
      </c>
      <c r="C3833" s="9" t="str">
        <f>HYPERLINK("http://www.ncbi.nlm.nih.gov/gene/5702", "5702")</f>
        <v>5702</v>
      </c>
      <c r="D3833" t="str">
        <f>"rpt-5"</f>
        <v>rpt-5</v>
      </c>
      <c r="E3833" t="s">
        <v>3066</v>
      </c>
      <c r="F3833" t="s">
        <v>11</v>
      </c>
      <c r="G3833" t="s">
        <v>2424</v>
      </c>
      <c r="H3833" s="12">
        <v>-1.31539365780597</v>
      </c>
      <c r="I3833" s="20">
        <v>-1.48706475397164</v>
      </c>
      <c r="J3833" s="28">
        <v>0.13699770936382</v>
      </c>
      <c r="K3833" s="29">
        <v>0.82906592033916404</v>
      </c>
    </row>
    <row r="3834" spans="1:11" x14ac:dyDescent="0.35">
      <c r="A3834" s="9" t="str">
        <f>HYPERLINK("http://www.ensembl.org/id/WBGene00012972", "WBGene00012972")</f>
        <v>WBGene00012972</v>
      </c>
      <c r="B3834" s="9" t="str">
        <f>HYPERLINK("http://www.ncbi.nlm.nih.gov/gene/176536", "176536")</f>
        <v>176536</v>
      </c>
      <c r="C3834" s="9"/>
      <c r="D3834" t="str">
        <f>"rsa-2"</f>
        <v>rsa-2</v>
      </c>
      <c r="E3834" t="s">
        <v>3075</v>
      </c>
      <c r="F3834" t="s">
        <v>11</v>
      </c>
      <c r="G3834" t="s">
        <v>3076</v>
      </c>
      <c r="H3834" s="12">
        <v>-1.39871993809832</v>
      </c>
      <c r="I3834" s="20">
        <v>-1.4846628094976</v>
      </c>
      <c r="J3834" s="28">
        <v>0.13763316814913501</v>
      </c>
      <c r="K3834" s="29">
        <v>0.82906592033916404</v>
      </c>
    </row>
    <row r="3835" spans="1:11" x14ac:dyDescent="0.35">
      <c r="A3835" s="9" t="str">
        <f>HYPERLINK("http://www.ensembl.org/id/WBGene00020649", "WBGene00020649")</f>
        <v>WBGene00020649</v>
      </c>
      <c r="B3835" s="9" t="str">
        <f>HYPERLINK("http://www.ncbi.nlm.nih.gov/gene/176849", "176849")</f>
        <v>176849</v>
      </c>
      <c r="C3835" s="9" t="str">
        <f>HYPERLINK("http://www.ncbi.nlm.nih.gov/gene/121227", "121227")</f>
        <v>121227</v>
      </c>
      <c r="D3835" t="str">
        <f>"sma-10"</f>
        <v>sma-10</v>
      </c>
      <c r="E3835" t="s">
        <v>3062</v>
      </c>
      <c r="F3835" t="s">
        <v>11</v>
      </c>
      <c r="G3835" t="s">
        <v>3063</v>
      </c>
      <c r="H3835" s="12">
        <v>1.3590782822427201</v>
      </c>
      <c r="I3835" s="20">
        <v>1.4844146133573</v>
      </c>
      <c r="J3835" s="28">
        <v>0.137698960289212</v>
      </c>
      <c r="K3835" s="29">
        <v>0.82906592033916404</v>
      </c>
    </row>
    <row r="3836" spans="1:11" x14ac:dyDescent="0.35">
      <c r="A3836" s="9" t="str">
        <f>HYPERLINK("http://www.ensembl.org/id/WBGene00011682", "WBGene00011682")</f>
        <v>WBGene00011682</v>
      </c>
      <c r="B3836" s="9" t="str">
        <f>HYPERLINK("http://www.ncbi.nlm.nih.gov/gene/181615", "181615")</f>
        <v>181615</v>
      </c>
      <c r="C3836" s="9"/>
      <c r="D3836" t="str">
        <f>"snt-7"</f>
        <v>snt-7</v>
      </c>
      <c r="E3836" t="s">
        <v>1240</v>
      </c>
      <c r="F3836" t="s">
        <v>11</v>
      </c>
      <c r="G3836" t="s">
        <v>3061</v>
      </c>
      <c r="H3836" s="12">
        <v>1.4418597236866999</v>
      </c>
      <c r="I3836" s="20">
        <v>1.48590221190279</v>
      </c>
      <c r="J3836" s="28">
        <v>0.13730498846778399</v>
      </c>
      <c r="K3836" s="29">
        <v>0.82906592033916404</v>
      </c>
    </row>
    <row r="3837" spans="1:11" x14ac:dyDescent="0.35">
      <c r="A3837" s="9" t="str">
        <f>HYPERLINK("http://www.ensembl.org/id/WBGene00005006", "WBGene00005006")</f>
        <v>WBGene00005006</v>
      </c>
      <c r="B3837" s="9" t="str">
        <f>HYPERLINK("http://www.ncbi.nlm.nih.gov/gene/179192", "179192")</f>
        <v>179192</v>
      </c>
      <c r="C3837" s="9"/>
      <c r="D3837" t="str">
        <f>"spr-1"</f>
        <v>spr-1</v>
      </c>
      <c r="E3837" t="s">
        <v>3073</v>
      </c>
      <c r="F3837" t="s">
        <v>11</v>
      </c>
      <c r="G3837" t="s">
        <v>3074</v>
      </c>
      <c r="H3837" s="12">
        <v>-1.3643282113728901</v>
      </c>
      <c r="I3837" s="20">
        <v>-1.4838273679841201</v>
      </c>
      <c r="J3837" s="28">
        <v>0.13785472457124001</v>
      </c>
      <c r="K3837" s="29">
        <v>0.82906592033916404</v>
      </c>
    </row>
    <row r="3838" spans="1:11" x14ac:dyDescent="0.35">
      <c r="A3838" s="9" t="str">
        <f>HYPERLINK("http://www.ensembl.org/id/WBGene00015965", "WBGene00015965")</f>
        <v>WBGene00015965</v>
      </c>
      <c r="B3838" s="9" t="str">
        <f>HYPERLINK("http://www.ncbi.nlm.nih.gov/gene/178940", "178940")</f>
        <v>178940</v>
      </c>
      <c r="C3838" s="9"/>
      <c r="D3838" t="str">
        <f>"ugt-48"</f>
        <v>ugt-48</v>
      </c>
      <c r="E3838" t="s">
        <v>3059</v>
      </c>
      <c r="F3838" t="s">
        <v>11</v>
      </c>
      <c r="G3838" t="s">
        <v>3060</v>
      </c>
      <c r="H3838" s="12">
        <v>1.5452380855905901</v>
      </c>
      <c r="I3838" s="20">
        <v>1.48384339669749</v>
      </c>
      <c r="J3838" s="28">
        <v>0.13785047122243799</v>
      </c>
      <c r="K3838" s="29">
        <v>0.82906592033916404</v>
      </c>
    </row>
    <row r="3839" spans="1:11" x14ac:dyDescent="0.35">
      <c r="A3839" s="9" t="str">
        <f>HYPERLINK("http://www.ensembl.org/id/WBGene00009337", "WBGene00009337")</f>
        <v>WBGene00009337</v>
      </c>
      <c r="B3839" s="9" t="str">
        <f>HYPERLINK("http://www.ncbi.nlm.nih.gov/gene/179808", "179808")</f>
        <v>179808</v>
      </c>
      <c r="C3839" s="9"/>
      <c r="D3839" t="str">
        <f>"uig-1"</f>
        <v>uig-1</v>
      </c>
      <c r="E3839" t="s">
        <v>3064</v>
      </c>
      <c r="F3839" t="s">
        <v>11</v>
      </c>
      <c r="G3839" t="s">
        <v>3065</v>
      </c>
      <c r="H3839" s="12">
        <v>1.32875571979187</v>
      </c>
      <c r="I3839" s="20">
        <v>1.48519969568722</v>
      </c>
      <c r="J3839" s="28">
        <v>0.137490932613657</v>
      </c>
      <c r="K3839" s="29">
        <v>0.82906592033916404</v>
      </c>
    </row>
    <row r="3840" spans="1:11" x14ac:dyDescent="0.35">
      <c r="A3840" s="9" t="str">
        <f>HYPERLINK("http://www.ensembl.org/id/WBGene00006804", "WBGene00006804")</f>
        <v>WBGene00006804</v>
      </c>
      <c r="B3840" s="9" t="str">
        <f>HYPERLINK("http://www.ncbi.nlm.nih.gov/gene/176706", "176706")</f>
        <v>176706</v>
      </c>
      <c r="C3840" s="9"/>
      <c r="D3840" t="str">
        <f>"unc-71"</f>
        <v>unc-71</v>
      </c>
      <c r="E3840" t="s">
        <v>3077</v>
      </c>
      <c r="F3840" t="s">
        <v>11</v>
      </c>
      <c r="G3840" t="s">
        <v>3078</v>
      </c>
      <c r="H3840" s="12">
        <v>-1.40048310497189</v>
      </c>
      <c r="I3840" s="20">
        <v>-1.4867382464857399</v>
      </c>
      <c r="J3840" s="28">
        <v>0.13708395707281701</v>
      </c>
      <c r="K3840" s="29">
        <v>0.82906592033916404</v>
      </c>
    </row>
    <row r="3841" spans="1:11" x14ac:dyDescent="0.35">
      <c r="A3841" s="9" t="str">
        <f>HYPERLINK("http://www.ensembl.org/id/WBGene00021067", "WBGene00021067")</f>
        <v>WBGene00021067</v>
      </c>
      <c r="B3841" s="9"/>
      <c r="C3841" s="9"/>
      <c r="D3841" t="str">
        <f>"W06H8.4"</f>
        <v>W06H8.4</v>
      </c>
      <c r="F3841" t="s">
        <v>80</v>
      </c>
      <c r="H3841" s="12">
        <v>29.0492883170336</v>
      </c>
      <c r="I3841" s="20">
        <v>1.4856308088064001</v>
      </c>
      <c r="J3841" s="28">
        <v>0.13737680126868601</v>
      </c>
      <c r="K3841" s="29">
        <v>0.82906592033916404</v>
      </c>
    </row>
    <row r="3842" spans="1:11" x14ac:dyDescent="0.35">
      <c r="A3842" s="9" t="str">
        <f>HYPERLINK("http://www.ensembl.org/id/WBGene00021137", "WBGene00021137")</f>
        <v>WBGene00021137</v>
      </c>
      <c r="B3842" s="9" t="str">
        <f>HYPERLINK("http://www.ncbi.nlm.nih.gov/gene/189337", "189337")</f>
        <v>189337</v>
      </c>
      <c r="C3842" s="9"/>
      <c r="D3842" t="str">
        <f>"W10G11.4"</f>
        <v>W10G11.4</v>
      </c>
      <c r="F3842" t="s">
        <v>11</v>
      </c>
      <c r="H3842" s="12">
        <v>-10.7227837856765</v>
      </c>
      <c r="I3842" s="20">
        <v>-1.48628978626131</v>
      </c>
      <c r="J3842" s="28">
        <v>0.137202487143431</v>
      </c>
      <c r="K3842" s="29">
        <v>0.82906592033916404</v>
      </c>
    </row>
    <row r="3843" spans="1:11" x14ac:dyDescent="0.35">
      <c r="A3843" s="9" t="str">
        <f>HYPERLINK("http://www.ensembl.org/id/WBGene00013441", "WBGene00013441")</f>
        <v>WBGene00013441</v>
      </c>
      <c r="B3843" s="9" t="str">
        <f>HYPERLINK("http://www.ncbi.nlm.nih.gov/gene/176584", "176584")</f>
        <v>176584</v>
      </c>
      <c r="C3843" s="9" t="str">
        <f>HYPERLINK("http://www.ncbi.nlm.nih.gov/gene/2071", "2071")</f>
        <v>2071</v>
      </c>
      <c r="D3843" t="str">
        <f>"xpb-1"</f>
        <v>xpb-1</v>
      </c>
      <c r="E3843" t="s">
        <v>3068</v>
      </c>
      <c r="F3843" t="s">
        <v>11</v>
      </c>
      <c r="G3843" t="s">
        <v>3069</v>
      </c>
      <c r="H3843" s="12">
        <v>-1.3399695164507099</v>
      </c>
      <c r="I3843" s="20">
        <v>-1.48479537757585</v>
      </c>
      <c r="J3843" s="28">
        <v>0.137598036770153</v>
      </c>
      <c r="K3843" s="29">
        <v>0.82906592033916404</v>
      </c>
    </row>
    <row r="3844" spans="1:11" x14ac:dyDescent="0.35">
      <c r="A3844" s="9" t="str">
        <f>HYPERLINK("http://www.ensembl.org/id/WBGene00021552", "WBGene00021552")</f>
        <v>WBGene00021552</v>
      </c>
      <c r="B3844" s="9" t="str">
        <f>HYPERLINK("http://www.ncbi.nlm.nih.gov/gene/171900", "171900")</f>
        <v>171900</v>
      </c>
      <c r="C3844" s="9"/>
      <c r="D3844" t="str">
        <f>"zip-4"</f>
        <v>zip-4</v>
      </c>
      <c r="E3844" t="s">
        <v>777</v>
      </c>
      <c r="F3844" t="s">
        <v>11</v>
      </c>
      <c r="G3844" t="s">
        <v>3070</v>
      </c>
      <c r="H3844" s="12">
        <v>-1.3424166154246999</v>
      </c>
      <c r="I3844" s="20">
        <v>-1.4839223857286199</v>
      </c>
      <c r="J3844" s="28">
        <v>0.137829512321402</v>
      </c>
      <c r="K3844" s="29">
        <v>0.82906592033916404</v>
      </c>
    </row>
    <row r="3845" spans="1:11" x14ac:dyDescent="0.35">
      <c r="A3845" s="9" t="str">
        <f>HYPERLINK("http://www.ensembl.org/id/WBGene00008957", "WBGene00008957")</f>
        <v>WBGene00008957</v>
      </c>
      <c r="B3845" s="9" t="str">
        <f>HYPERLINK("http://www.ncbi.nlm.nih.gov/gene/184697", "184697")</f>
        <v>184697</v>
      </c>
      <c r="C3845" s="9"/>
      <c r="D3845" t="str">
        <f>"glb-13"</f>
        <v>glb-13</v>
      </c>
      <c r="E3845" t="s">
        <v>633</v>
      </c>
      <c r="F3845" t="s">
        <v>11</v>
      </c>
      <c r="G3845" t="s">
        <v>3081</v>
      </c>
      <c r="H3845" s="12">
        <v>1.4339180635286199</v>
      </c>
      <c r="I3845" s="20">
        <v>1.4834893852207101</v>
      </c>
      <c r="J3845" s="28">
        <v>0.13794443459067199</v>
      </c>
      <c r="K3845" s="29">
        <v>0.82938956691440602</v>
      </c>
    </row>
    <row r="3846" spans="1:11" x14ac:dyDescent="0.35">
      <c r="A3846" s="9" t="str">
        <f>HYPERLINK("http://www.ensembl.org/id/WBGene00008312", "WBGene00008312")</f>
        <v>WBGene00008312</v>
      </c>
      <c r="B3846" s="9" t="str">
        <f>HYPERLINK("http://www.ncbi.nlm.nih.gov/gene/172580", "172580")</f>
        <v>172580</v>
      </c>
      <c r="C3846" s="9"/>
      <c r="D3846" t="str">
        <f>"C54G4.2"</f>
        <v>C54G4.2</v>
      </c>
      <c r="F3846" t="s">
        <v>11</v>
      </c>
      <c r="H3846" s="12">
        <v>9.94821327792123</v>
      </c>
      <c r="I3846" s="20">
        <v>1.48313211529102</v>
      </c>
      <c r="J3846" s="28">
        <v>0.138039312876132</v>
      </c>
      <c r="K3846" s="29">
        <v>0.82965535068574103</v>
      </c>
    </row>
    <row r="3847" spans="1:11" x14ac:dyDescent="0.35">
      <c r="A3847" s="9" t="str">
        <f>HYPERLINK("http://www.ensembl.org/id/WBGene00003535", "WBGene00003535")</f>
        <v>WBGene00003535</v>
      </c>
      <c r="B3847" s="9" t="str">
        <f>HYPERLINK("http://www.ncbi.nlm.nih.gov/gene/186922", "186922")</f>
        <v>186922</v>
      </c>
      <c r="C3847" s="9"/>
      <c r="D3847" t="str">
        <f>"nas-16"</f>
        <v>nas-16</v>
      </c>
      <c r="E3847" t="s">
        <v>3082</v>
      </c>
      <c r="F3847" t="s">
        <v>11</v>
      </c>
      <c r="G3847" t="s">
        <v>267</v>
      </c>
      <c r="H3847" s="12">
        <v>3.4352480907823</v>
      </c>
      <c r="I3847" s="20">
        <v>1.4829173945032701</v>
      </c>
      <c r="J3847" s="28">
        <v>0.13809635933252701</v>
      </c>
      <c r="K3847" s="29">
        <v>0.82965535068574103</v>
      </c>
    </row>
    <row r="3848" spans="1:11" x14ac:dyDescent="0.35">
      <c r="A3848" s="9" t="str">
        <f>HYPERLINK("http://www.ensembl.org/id/WBGene00235158", "WBGene00235158")</f>
        <v>WBGene00235158</v>
      </c>
      <c r="B3848" s="9" t="str">
        <f>HYPERLINK("http://www.ncbi.nlm.nih.gov/gene/24105068", "24105068")</f>
        <v>24105068</v>
      </c>
      <c r="C3848" s="9"/>
      <c r="D3848" t="str">
        <f>"Y37E3.30"</f>
        <v>Y37E3.30</v>
      </c>
      <c r="F3848" t="s">
        <v>11</v>
      </c>
      <c r="H3848" s="12">
        <v>1.6664201521970601</v>
      </c>
      <c r="I3848" s="20">
        <v>1.4829179154640399</v>
      </c>
      <c r="J3848" s="28">
        <v>0.13809622090304999</v>
      </c>
      <c r="K3848" s="29">
        <v>0.82965535068574103</v>
      </c>
    </row>
    <row r="3849" spans="1:11" x14ac:dyDescent="0.35">
      <c r="A3849" s="9" t="str">
        <f>HYPERLINK("http://www.ensembl.org/id/WBGene00000732", "WBGene00000732")</f>
        <v>WBGene00000732</v>
      </c>
      <c r="B3849" s="9" t="str">
        <f>HYPERLINK("http://www.ncbi.nlm.nih.gov/gene/179803", "179803")</f>
        <v>179803</v>
      </c>
      <c r="C3849" s="9"/>
      <c r="D3849" t="str">
        <f>"col-159"</f>
        <v>col-159</v>
      </c>
      <c r="E3849" t="s">
        <v>40</v>
      </c>
      <c r="F3849" t="s">
        <v>11</v>
      </c>
      <c r="G3849" t="s">
        <v>41</v>
      </c>
      <c r="H3849" s="12">
        <v>1.4542028870369801</v>
      </c>
      <c r="I3849" s="20">
        <v>1.4815791534437801</v>
      </c>
      <c r="J3849" s="28">
        <v>0.138452309290094</v>
      </c>
      <c r="K3849" s="29">
        <v>0.82986126943783001</v>
      </c>
    </row>
    <row r="3850" spans="1:11" x14ac:dyDescent="0.35">
      <c r="A3850" s="9" t="str">
        <f>HYPERLINK("http://www.ensembl.org/id/WBGene00269382", "WBGene00269382")</f>
        <v>WBGene00269382</v>
      </c>
      <c r="B3850" s="9" t="str">
        <f>HYPERLINK("http://www.ncbi.nlm.nih.gov/gene/27219615", "27219615")</f>
        <v>27219615</v>
      </c>
      <c r="C3850" s="9"/>
      <c r="D3850" t="str">
        <f>"F33D11.16"</f>
        <v>F33D11.16</v>
      </c>
      <c r="F3850" t="s">
        <v>11</v>
      </c>
      <c r="H3850" s="12">
        <v>1.49719075634882</v>
      </c>
      <c r="I3850" s="20">
        <v>1.4815732796469201</v>
      </c>
      <c r="J3850" s="28">
        <v>0.13845387317938301</v>
      </c>
      <c r="K3850" s="29">
        <v>0.82986126943783001</v>
      </c>
    </row>
    <row r="3851" spans="1:11" x14ac:dyDescent="0.35">
      <c r="A3851" s="9" t="str">
        <f>HYPERLINK("http://www.ensembl.org/id/WBGene00010018", "WBGene00010018")</f>
        <v>WBGene00010018</v>
      </c>
      <c r="B3851" s="9" t="str">
        <f>HYPERLINK("http://www.ncbi.nlm.nih.gov/gene/180060", "180060")</f>
        <v>180060</v>
      </c>
      <c r="C3851" s="9"/>
      <c r="D3851" t="str">
        <f>"fbxa-69"</f>
        <v>fbxa-69</v>
      </c>
      <c r="E3851" t="s">
        <v>467</v>
      </c>
      <c r="F3851" t="s">
        <v>11</v>
      </c>
      <c r="G3851" t="s">
        <v>54</v>
      </c>
      <c r="H3851" s="12">
        <v>1.41092229602591</v>
      </c>
      <c r="I3851" s="20">
        <v>1.4817148453493501</v>
      </c>
      <c r="J3851" s="28">
        <v>0.13841618531956801</v>
      </c>
      <c r="K3851" s="29">
        <v>0.82986126943783001</v>
      </c>
    </row>
    <row r="3852" spans="1:11" x14ac:dyDescent="0.35">
      <c r="A3852" s="9" t="str">
        <f>HYPERLINK("http://www.ensembl.org/id/WBGene00011415", "WBGene00011415")</f>
        <v>WBGene00011415</v>
      </c>
      <c r="B3852" s="9" t="str">
        <f>HYPERLINK("http://www.ncbi.nlm.nih.gov/gene/175620", "175620")</f>
        <v>175620</v>
      </c>
      <c r="C3852" s="9"/>
      <c r="D3852" t="str">
        <f>"him-18"</f>
        <v>him-18</v>
      </c>
      <c r="E3852" t="s">
        <v>1036</v>
      </c>
      <c r="F3852" t="s">
        <v>11</v>
      </c>
      <c r="G3852" t="s">
        <v>3089</v>
      </c>
      <c r="H3852" s="12">
        <v>-1.37748221235216</v>
      </c>
      <c r="I3852" s="20">
        <v>-1.48211583731728</v>
      </c>
      <c r="J3852" s="28">
        <v>0.13830947546487399</v>
      </c>
      <c r="K3852" s="29">
        <v>0.82986126943783001</v>
      </c>
    </row>
    <row r="3853" spans="1:11" x14ac:dyDescent="0.35">
      <c r="A3853" s="9" t="str">
        <f>HYPERLINK("http://www.ensembl.org/id/WBGene00016422", "WBGene00016422")</f>
        <v>WBGene00016422</v>
      </c>
      <c r="B3853" s="9" t="str">
        <f>HYPERLINK("http://www.ncbi.nlm.nih.gov/gene/172261", "172261")</f>
        <v>172261</v>
      </c>
      <c r="C3853" s="9"/>
      <c r="D3853" t="str">
        <f>"noah-1"</f>
        <v>noah-1</v>
      </c>
      <c r="E3853" t="s">
        <v>3085</v>
      </c>
      <c r="F3853" t="s">
        <v>11</v>
      </c>
      <c r="G3853" t="s">
        <v>3086</v>
      </c>
      <c r="H3853" s="12">
        <v>1.33381667960552</v>
      </c>
      <c r="I3853" s="20">
        <v>1.48186513123548</v>
      </c>
      <c r="J3853" s="28">
        <v>0.13837618460766701</v>
      </c>
      <c r="K3853" s="29">
        <v>0.82986126943783001</v>
      </c>
    </row>
    <row r="3854" spans="1:11" x14ac:dyDescent="0.35">
      <c r="A3854" s="9" t="str">
        <f>HYPERLINK("http://www.ensembl.org/id/WBGene00004211", "WBGene00004211")</f>
        <v>WBGene00004211</v>
      </c>
      <c r="B3854" s="9" t="str">
        <f>HYPERLINK("http://www.ncbi.nlm.nih.gov/gene/179307", "179307")</f>
        <v>179307</v>
      </c>
      <c r="C3854" s="9" t="str">
        <f>HYPERLINK("http://www.ncbi.nlm.nih.gov/gene/84976", "84976")</f>
        <v>84976</v>
      </c>
      <c r="D3854" t="str">
        <f>"ptd-2"</f>
        <v>ptd-2</v>
      </c>
      <c r="E3854" t="s">
        <v>3083</v>
      </c>
      <c r="F3854" t="s">
        <v>11</v>
      </c>
      <c r="G3854" t="s">
        <v>3084</v>
      </c>
      <c r="H3854" s="12">
        <v>1.5537264774139501</v>
      </c>
      <c r="I3854" s="20">
        <v>1.4822892440552899</v>
      </c>
      <c r="J3854" s="28">
        <v>0.13826334902194801</v>
      </c>
      <c r="K3854" s="29">
        <v>0.82986126943783001</v>
      </c>
    </row>
    <row r="3855" spans="1:11" x14ac:dyDescent="0.35">
      <c r="A3855" s="9" t="str">
        <f>HYPERLINK("http://www.ensembl.org/id/WBGene00006707", "WBGene00006707")</f>
        <v>WBGene00006707</v>
      </c>
      <c r="B3855" s="9" t="str">
        <f>HYPERLINK("http://www.ncbi.nlm.nih.gov/gene/173072", "173072")</f>
        <v>173072</v>
      </c>
      <c r="C3855" s="9" t="str">
        <f>HYPERLINK("http://www.ncbi.nlm.nih.gov/gene/140739", "140739")</f>
        <v>140739</v>
      </c>
      <c r="D3855" t="str">
        <f>"ubc-12"</f>
        <v>ubc-12</v>
      </c>
      <c r="E3855" t="s">
        <v>3087</v>
      </c>
      <c r="F3855" t="s">
        <v>11</v>
      </c>
      <c r="G3855" t="s">
        <v>3088</v>
      </c>
      <c r="H3855" s="12">
        <v>-1.34413039350742</v>
      </c>
      <c r="I3855" s="20">
        <v>-1.4823031201168599</v>
      </c>
      <c r="J3855" s="28">
        <v>0.13825965848180399</v>
      </c>
      <c r="K3855" s="29">
        <v>0.82986126943783001</v>
      </c>
    </row>
    <row r="3856" spans="1:11" x14ac:dyDescent="0.35">
      <c r="A3856" s="9" t="str">
        <f>HYPERLINK("http://www.ensembl.org/id/WBGene00043702", "WBGene00043702")</f>
        <v>WBGene00043702</v>
      </c>
      <c r="B3856" s="9" t="str">
        <f>HYPERLINK("http://www.ncbi.nlm.nih.gov/gene/24105153", "24105153")</f>
        <v>24105153</v>
      </c>
      <c r="C3856" s="9"/>
      <c r="D3856" t="str">
        <f>"Y54G2A.7"</f>
        <v>Y54G2A.7</v>
      </c>
      <c r="F3856" t="s">
        <v>11</v>
      </c>
      <c r="G3856" t="s">
        <v>47</v>
      </c>
      <c r="H3856" s="12">
        <v>-1.492506607168</v>
      </c>
      <c r="I3856" s="20">
        <v>-1.4820989336443899</v>
      </c>
      <c r="J3856" s="28">
        <v>0.138313972500478</v>
      </c>
      <c r="K3856" s="29">
        <v>0.82986126943783001</v>
      </c>
    </row>
    <row r="3857" spans="1:11" x14ac:dyDescent="0.35">
      <c r="A3857" s="9" t="str">
        <f>HYPERLINK("http://www.ensembl.org/id/WBGene00043997", "WBGene00043997")</f>
        <v>WBGene00043997</v>
      </c>
      <c r="B3857" s="9" t="str">
        <f>HYPERLINK("http://www.ncbi.nlm.nih.gov/gene/3564868", "3564868")</f>
        <v>3564868</v>
      </c>
      <c r="C3857" s="9"/>
      <c r="D3857" t="str">
        <f>"Y79H2A.12"</f>
        <v>Y79H2A.12</v>
      </c>
      <c r="F3857" t="s">
        <v>11</v>
      </c>
      <c r="G3857" t="s">
        <v>25</v>
      </c>
      <c r="H3857" s="12">
        <v>-1.38607727350391</v>
      </c>
      <c r="I3857" s="20">
        <v>-1.48259243938705</v>
      </c>
      <c r="J3857" s="28">
        <v>0.138182727109077</v>
      </c>
      <c r="K3857" s="29">
        <v>0.82986126943783001</v>
      </c>
    </row>
    <row r="3858" spans="1:11" x14ac:dyDescent="0.35">
      <c r="A3858" s="9" t="str">
        <f>HYPERLINK("http://www.ensembl.org/id/WBGene00019962", "WBGene00019962")</f>
        <v>WBGene00019962</v>
      </c>
      <c r="B3858" s="9" t="str">
        <f>HYPERLINK("http://www.ncbi.nlm.nih.gov/gene/259617", "259617")</f>
        <v>259617</v>
      </c>
      <c r="C3858" s="9"/>
      <c r="D3858" t="str">
        <f>"cysl-3"</f>
        <v>cysl-3</v>
      </c>
      <c r="E3858" t="s">
        <v>3090</v>
      </c>
      <c r="F3858" t="s">
        <v>11</v>
      </c>
      <c r="G3858" t="s">
        <v>3091</v>
      </c>
      <c r="H3858" s="12">
        <v>-1.3277737143391</v>
      </c>
      <c r="I3858" s="20">
        <v>-1.48100540390029</v>
      </c>
      <c r="J3858" s="28">
        <v>0.13860513348716999</v>
      </c>
      <c r="K3858" s="29">
        <v>0.83037697743508698</v>
      </c>
    </row>
    <row r="3859" spans="1:11" x14ac:dyDescent="0.35">
      <c r="A3859" s="9" t="str">
        <f>HYPERLINK("http://www.ensembl.org/id/WBGene00017656", "WBGene00017656")</f>
        <v>WBGene00017656</v>
      </c>
      <c r="B3859" s="9" t="str">
        <f>HYPERLINK("http://www.ncbi.nlm.nih.gov/gene/184766", "184766")</f>
        <v>184766</v>
      </c>
      <c r="C3859" s="9"/>
      <c r="D3859" t="str">
        <f>"F21C10.6"</f>
        <v>F21C10.6</v>
      </c>
      <c r="F3859" t="s">
        <v>11</v>
      </c>
      <c r="G3859" t="s">
        <v>25</v>
      </c>
      <c r="H3859" s="12">
        <v>29.700570098877701</v>
      </c>
      <c r="I3859" s="20">
        <v>1.4809804272463001</v>
      </c>
      <c r="J3859" s="28">
        <v>0.13861178923081099</v>
      </c>
      <c r="K3859" s="29">
        <v>0.83037697743508698</v>
      </c>
    </row>
    <row r="3860" spans="1:11" x14ac:dyDescent="0.35">
      <c r="A3860" s="9" t="str">
        <f>HYPERLINK("http://www.ensembl.org/id/WBGene00020612", "WBGene00020612")</f>
        <v>WBGene00020612</v>
      </c>
      <c r="B3860" s="9" t="str">
        <f>HYPERLINK("http://www.ncbi.nlm.nih.gov/gene/188642", "188642")</f>
        <v>188642</v>
      </c>
      <c r="C3860" s="9"/>
      <c r="D3860" t="str">
        <f>"arrd-22"</f>
        <v>arrd-22</v>
      </c>
      <c r="E3860" t="s">
        <v>377</v>
      </c>
      <c r="F3860" t="s">
        <v>11</v>
      </c>
      <c r="G3860" t="s">
        <v>378</v>
      </c>
      <c r="H3860" s="12">
        <v>1.4346267294261299</v>
      </c>
      <c r="I3860" s="20">
        <v>1.47984073255371</v>
      </c>
      <c r="J3860" s="28">
        <v>0.13891575547649601</v>
      </c>
      <c r="K3860" s="29">
        <v>0.83038270159331196</v>
      </c>
    </row>
    <row r="3861" spans="1:11" x14ac:dyDescent="0.35">
      <c r="A3861" s="9" t="str">
        <f>HYPERLINK("http://www.ensembl.org/id/WBGene00000431", "WBGene00000431")</f>
        <v>WBGene00000431</v>
      </c>
      <c r="B3861" s="9" t="str">
        <f>HYPERLINK("http://www.ncbi.nlm.nih.gov/gene/172640", "172640")</f>
        <v>172640</v>
      </c>
      <c r="C3861" s="9"/>
      <c r="D3861" t="str">
        <f>"ceh-6"</f>
        <v>ceh-6</v>
      </c>
      <c r="E3861" t="s">
        <v>3096</v>
      </c>
      <c r="F3861" t="s">
        <v>11</v>
      </c>
      <c r="G3861" t="s">
        <v>2491</v>
      </c>
      <c r="H3861" s="12">
        <v>1.46928137698024</v>
      </c>
      <c r="I3861" s="20">
        <v>1.47965400799921</v>
      </c>
      <c r="J3861" s="28">
        <v>0.13896560540536801</v>
      </c>
      <c r="K3861" s="29">
        <v>0.83038270159331196</v>
      </c>
    </row>
    <row r="3862" spans="1:11" x14ac:dyDescent="0.35">
      <c r="A3862" s="9" t="str">
        <f>HYPERLINK("http://www.ensembl.org/id/WBGene00000484", "WBGene00000484")</f>
        <v>WBGene00000484</v>
      </c>
      <c r="B3862" s="9" t="str">
        <f>HYPERLINK("http://www.ncbi.nlm.nih.gov/gene/180401", "180401")</f>
        <v>180401</v>
      </c>
      <c r="C3862" s="9" t="str">
        <f>HYPERLINK("http://www.ncbi.nlm.nih.gov/gene/57560", "57560")</f>
        <v>57560</v>
      </c>
      <c r="D3862" t="str">
        <f>"che-2"</f>
        <v>che-2</v>
      </c>
      <c r="E3862" t="s">
        <v>3093</v>
      </c>
      <c r="F3862" t="s">
        <v>11</v>
      </c>
      <c r="G3862" t="s">
        <v>3094</v>
      </c>
      <c r="H3862" s="12">
        <v>2.0323678475008702</v>
      </c>
      <c r="I3862" s="20">
        <v>1.4801921076241999</v>
      </c>
      <c r="J3862" s="28">
        <v>0.138821986076057</v>
      </c>
      <c r="K3862" s="29">
        <v>0.83038270159331196</v>
      </c>
    </row>
    <row r="3863" spans="1:11" x14ac:dyDescent="0.35">
      <c r="A3863" s="9" t="str">
        <f>HYPERLINK("http://www.ensembl.org/id/WBGene00018318", "WBGene00018318")</f>
        <v>WBGene00018318</v>
      </c>
      <c r="B3863" s="9" t="str">
        <f>HYPERLINK("http://www.ncbi.nlm.nih.gov/gene/185643", "185643")</f>
        <v>185643</v>
      </c>
      <c r="C3863" s="9"/>
      <c r="D3863" t="str">
        <f>"F41H10.5"</f>
        <v>F41H10.5</v>
      </c>
      <c r="F3863" t="s">
        <v>11</v>
      </c>
      <c r="G3863" t="s">
        <v>3092</v>
      </c>
      <c r="H3863" s="12">
        <v>2.0333890045144898</v>
      </c>
      <c r="I3863" s="20">
        <v>1.48015321950228</v>
      </c>
      <c r="J3863" s="28">
        <v>0.138832361520939</v>
      </c>
      <c r="K3863" s="29">
        <v>0.83038270159331196</v>
      </c>
    </row>
    <row r="3864" spans="1:11" x14ac:dyDescent="0.35">
      <c r="A3864" s="9" t="str">
        <f>HYPERLINK("http://www.ensembl.org/id/WBGene00008977", "WBGene00008977")</f>
        <v>WBGene00008977</v>
      </c>
      <c r="B3864" s="9" t="str">
        <f>HYPERLINK("http://www.ncbi.nlm.nih.gov/gene/184720", "184720")</f>
        <v>184720</v>
      </c>
      <c r="C3864" s="9"/>
      <c r="D3864" t="str">
        <f>"iglr-1"</f>
        <v>iglr-1</v>
      </c>
      <c r="E3864" t="s">
        <v>3095</v>
      </c>
      <c r="F3864" t="s">
        <v>11</v>
      </c>
      <c r="G3864" t="s">
        <v>417</v>
      </c>
      <c r="H3864" s="12">
        <v>1.6369535141240099</v>
      </c>
      <c r="I3864" s="20">
        <v>1.4802563210260999</v>
      </c>
      <c r="J3864" s="28">
        <v>0.13880485509252699</v>
      </c>
      <c r="K3864" s="29">
        <v>0.83038270159331196</v>
      </c>
    </row>
    <row r="3865" spans="1:11" x14ac:dyDescent="0.35">
      <c r="A3865" s="9" t="str">
        <f>HYPERLINK("http://www.ensembl.org/id/WBGene00002070", "WBGene00002070")</f>
        <v>WBGene00002070</v>
      </c>
      <c r="B3865" s="9" t="str">
        <f>HYPERLINK("http://www.ncbi.nlm.nih.gov/gene/172799", "172799")</f>
        <v>172799</v>
      </c>
      <c r="C3865" s="9" t="str">
        <f>HYPERLINK("http://www.ncbi.nlm.nih.gov/gene/3998", "3998")</f>
        <v>3998</v>
      </c>
      <c r="D3865" t="str">
        <f>"ile-1"</f>
        <v>ile-1</v>
      </c>
      <c r="E3865" t="s">
        <v>3100</v>
      </c>
      <c r="F3865" t="s">
        <v>11</v>
      </c>
      <c r="G3865" t="s">
        <v>3101</v>
      </c>
      <c r="H3865" s="12">
        <v>-1.33521299183661</v>
      </c>
      <c r="I3865" s="20">
        <v>-1.47963177962257</v>
      </c>
      <c r="J3865" s="28">
        <v>0.138971540641422</v>
      </c>
      <c r="K3865" s="29">
        <v>0.83038270159331196</v>
      </c>
    </row>
    <row r="3866" spans="1:11" x14ac:dyDescent="0.35">
      <c r="A3866" s="9" t="str">
        <f>HYPERLINK("http://www.ensembl.org/id/WBGene00019906", "WBGene00019906")</f>
        <v>WBGene00019906</v>
      </c>
      <c r="B3866" s="9" t="str">
        <f>HYPERLINK("http://www.ncbi.nlm.nih.gov/gene/24104792", "24104792")</f>
        <v>24104792</v>
      </c>
      <c r="C3866" s="9"/>
      <c r="D3866" t="str">
        <f>"R05G9R.1"</f>
        <v>R05G9R.1</v>
      </c>
      <c r="F3866" t="s">
        <v>11</v>
      </c>
      <c r="H3866" s="12">
        <v>2.01191691396575</v>
      </c>
      <c r="I3866" s="20">
        <v>1.4801950034600799</v>
      </c>
      <c r="J3866" s="28">
        <v>0.138821213483941</v>
      </c>
      <c r="K3866" s="29">
        <v>0.83038270159331196</v>
      </c>
    </row>
    <row r="3867" spans="1:11" x14ac:dyDescent="0.35">
      <c r="A3867" s="9" t="str">
        <f>HYPERLINK("http://www.ensembl.org/id/WBGene00006363", "WBGene00006363")</f>
        <v>WBGene00006363</v>
      </c>
      <c r="B3867" s="9" t="str">
        <f>HYPERLINK("http://www.ncbi.nlm.nih.gov/gene/174230", "174230")</f>
        <v>174230</v>
      </c>
      <c r="C3867" s="9"/>
      <c r="D3867" t="str">
        <f>"syd-1"</f>
        <v>syd-1</v>
      </c>
      <c r="E3867" t="s">
        <v>3097</v>
      </c>
      <c r="F3867" t="s">
        <v>11</v>
      </c>
      <c r="G3867" t="s">
        <v>3098</v>
      </c>
      <c r="H3867" s="12">
        <v>1.4678871320304601</v>
      </c>
      <c r="I3867" s="20">
        <v>1.47962959328653</v>
      </c>
      <c r="J3867" s="28">
        <v>0.13897212442921</v>
      </c>
      <c r="K3867" s="29">
        <v>0.83038270159331196</v>
      </c>
    </row>
    <row r="3868" spans="1:11" x14ac:dyDescent="0.35">
      <c r="A3868" s="9" t="str">
        <f>HYPERLINK("http://www.ensembl.org/id/WBGene00011718", "WBGene00011718")</f>
        <v>WBGene00011718</v>
      </c>
      <c r="B3868" s="9" t="str">
        <f>HYPERLINK("http://www.ncbi.nlm.nih.gov/gene/188430", "188430")</f>
        <v>188430</v>
      </c>
      <c r="C3868" s="9" t="str">
        <f>HYPERLINK("http://www.ncbi.nlm.nih.gov/gene/84255", "84255")</f>
        <v>84255</v>
      </c>
      <c r="D3868" t="str">
        <f>"T11G6.3"</f>
        <v>T11G6.3</v>
      </c>
      <c r="F3868" t="s">
        <v>11</v>
      </c>
      <c r="G3868" t="s">
        <v>3099</v>
      </c>
      <c r="H3868" s="12">
        <v>1.4379723796695401</v>
      </c>
      <c r="I3868" s="20">
        <v>1.4796544350685901</v>
      </c>
      <c r="J3868" s="28">
        <v>0.13896549137476899</v>
      </c>
      <c r="K3868" s="29">
        <v>0.83038270159331196</v>
      </c>
    </row>
    <row r="3869" spans="1:11" x14ac:dyDescent="0.35">
      <c r="A3869" s="9" t="str">
        <f>HYPERLINK("http://www.ensembl.org/id/WBGene00013290", "WBGene00013290")</f>
        <v>WBGene00013290</v>
      </c>
      <c r="B3869" s="9" t="str">
        <f>HYPERLINK("http://www.ncbi.nlm.nih.gov/gene/178389", "178389")</f>
        <v>178389</v>
      </c>
      <c r="C3869" s="9"/>
      <c r="D3869" t="str">
        <f>"Y57G11A.2"</f>
        <v>Y57G11A.2</v>
      </c>
      <c r="F3869" t="s">
        <v>11</v>
      </c>
      <c r="G3869" t="s">
        <v>63</v>
      </c>
      <c r="H3869" s="12">
        <v>1.93401450631922</v>
      </c>
      <c r="I3869" s="20">
        <v>1.48000932044552</v>
      </c>
      <c r="J3869" s="28">
        <v>0.13887075933085599</v>
      </c>
      <c r="K3869" s="29">
        <v>0.83038270159331196</v>
      </c>
    </row>
    <row r="3870" spans="1:11" x14ac:dyDescent="0.35">
      <c r="A3870" s="9" t="str">
        <f>HYPERLINK("http://www.ensembl.org/id/WBGene00015921", "WBGene00015921")</f>
        <v>WBGene00015921</v>
      </c>
      <c r="B3870" s="9" t="str">
        <f>HYPERLINK("http://www.ncbi.nlm.nih.gov/gene/181075", "181075")</f>
        <v>181075</v>
      </c>
      <c r="C3870" s="9"/>
      <c r="D3870" t="str">
        <f>"C17H11.1"</f>
        <v>C17H11.1</v>
      </c>
      <c r="F3870" t="s">
        <v>11</v>
      </c>
      <c r="G3870" t="s">
        <v>1089</v>
      </c>
      <c r="H3870" s="12">
        <v>1.61220779600644</v>
      </c>
      <c r="I3870" s="20">
        <v>1.4794012219519399</v>
      </c>
      <c r="J3870" s="28">
        <v>0.13903311374475899</v>
      </c>
      <c r="K3870" s="29">
        <v>0.830532349065771</v>
      </c>
    </row>
    <row r="3871" spans="1:11" x14ac:dyDescent="0.35">
      <c r="A3871" s="9" t="str">
        <f>HYPERLINK("http://www.ensembl.org/id/WBGene00015805", "WBGene00015805")</f>
        <v>WBGene00015805</v>
      </c>
      <c r="B3871" s="9" t="str">
        <f>HYPERLINK("http://www.ncbi.nlm.nih.gov/gene/180882", "180882")</f>
        <v>180882</v>
      </c>
      <c r="C3871" s="9"/>
      <c r="D3871" t="str">
        <f>"C15H9.11"</f>
        <v>C15H9.11</v>
      </c>
      <c r="F3871" t="s">
        <v>11</v>
      </c>
      <c r="H3871" s="12">
        <v>1.4150965469732799</v>
      </c>
      <c r="I3871" s="20">
        <v>1.4791977866756401</v>
      </c>
      <c r="J3871" s="28">
        <v>0.13908746094177199</v>
      </c>
      <c r="K3871" s="29">
        <v>0.83064225187919105</v>
      </c>
    </row>
    <row r="3872" spans="1:11" x14ac:dyDescent="0.35">
      <c r="A3872" s="9" t="str">
        <f>HYPERLINK("http://www.ensembl.org/id/WBGene00020141", "WBGene00020141")</f>
        <v>WBGene00020141</v>
      </c>
      <c r="B3872" s="9" t="str">
        <f>HYPERLINK("http://www.ncbi.nlm.nih.gov/gene/187942", "187942")</f>
        <v>187942</v>
      </c>
      <c r="C3872" s="9"/>
      <c r="D3872" t="str">
        <f>"lmd-5"</f>
        <v>lmd-5</v>
      </c>
      <c r="E3872" t="s">
        <v>2968</v>
      </c>
      <c r="F3872" t="s">
        <v>11</v>
      </c>
      <c r="G3872" t="s">
        <v>2969</v>
      </c>
      <c r="H3872" s="12">
        <v>3.3521314074466302</v>
      </c>
      <c r="I3872" s="20">
        <v>1.4789262045267</v>
      </c>
      <c r="J3872" s="28">
        <v>0.139160038889515</v>
      </c>
      <c r="K3872" s="29">
        <v>0.83086094536980004</v>
      </c>
    </row>
    <row r="3873" spans="1:11" x14ac:dyDescent="0.35">
      <c r="A3873" s="9" t="str">
        <f>HYPERLINK("http://www.ensembl.org/id/WBGene00017900", "WBGene00017900")</f>
        <v>WBGene00017900</v>
      </c>
      <c r="B3873" s="9" t="str">
        <f>HYPERLINK("http://www.ncbi.nlm.nih.gov/gene/177223", "177223")</f>
        <v>177223</v>
      </c>
      <c r="C3873" s="9"/>
      <c r="D3873" t="str">
        <f>"F28E10.1"</f>
        <v>F28E10.1</v>
      </c>
      <c r="F3873" t="s">
        <v>11</v>
      </c>
      <c r="H3873" s="12">
        <v>1.33180093864811</v>
      </c>
      <c r="I3873" s="20">
        <v>1.47871845617411</v>
      </c>
      <c r="J3873" s="28">
        <v>0.13921557749709901</v>
      </c>
      <c r="K3873" s="29">
        <v>0.83097781804390702</v>
      </c>
    </row>
    <row r="3874" spans="1:11" x14ac:dyDescent="0.35">
      <c r="A3874" s="9" t="str">
        <f>HYPERLINK("http://www.ensembl.org/id/WBGene00000520", "WBGene00000520")</f>
        <v>WBGene00000520</v>
      </c>
      <c r="B3874" s="9" t="str">
        <f>HYPERLINK("http://www.ncbi.nlm.nih.gov/gene/175578", "175578")</f>
        <v>175578</v>
      </c>
      <c r="C3874" s="9"/>
      <c r="D3874" t="str">
        <f>"cku-80"</f>
        <v>cku-80</v>
      </c>
      <c r="E3874" t="s">
        <v>3102</v>
      </c>
      <c r="F3874" t="s">
        <v>11</v>
      </c>
      <c r="G3874" t="s">
        <v>3103</v>
      </c>
      <c r="H3874" s="12">
        <v>-1.3605573689066299</v>
      </c>
      <c r="I3874" s="20">
        <v>-1.4783553309525399</v>
      </c>
      <c r="J3874" s="28">
        <v>0.13931269491291801</v>
      </c>
      <c r="K3874" s="29">
        <v>0.83113769736155396</v>
      </c>
    </row>
    <row r="3875" spans="1:11" x14ac:dyDescent="0.35">
      <c r="A3875" s="9" t="str">
        <f>HYPERLINK("http://www.ensembl.org/id/WBGene00012615", "WBGene00012615")</f>
        <v>WBGene00012615</v>
      </c>
      <c r="B3875" s="9" t="str">
        <f>HYPERLINK("http://www.ncbi.nlm.nih.gov/gene/180345", "180345")</f>
        <v>180345</v>
      </c>
      <c r="C3875" s="9"/>
      <c r="D3875" t="str">
        <f>"dct-16"</f>
        <v>dct-16</v>
      </c>
      <c r="E3875" t="s">
        <v>1725</v>
      </c>
      <c r="F3875" t="s">
        <v>11</v>
      </c>
      <c r="H3875" s="12">
        <v>-1.3537968566482801</v>
      </c>
      <c r="I3875" s="20">
        <v>-1.4783493171904301</v>
      </c>
      <c r="J3875" s="28">
        <v>0.139314303725496</v>
      </c>
      <c r="K3875" s="29">
        <v>0.83113769736155396</v>
      </c>
    </row>
    <row r="3876" spans="1:11" x14ac:dyDescent="0.35">
      <c r="A3876" s="9" t="str">
        <f>HYPERLINK("http://www.ensembl.org/id/WBGene00012195", "WBGene00012195")</f>
        <v>WBGene00012195</v>
      </c>
      <c r="B3876" s="9" t="str">
        <f>HYPERLINK("http://www.ncbi.nlm.nih.gov/gene/24104971", "24104971")</f>
        <v>24104971</v>
      </c>
      <c r="C3876" s="9"/>
      <c r="D3876" t="str">
        <f>"bath-34"</f>
        <v>bath-34</v>
      </c>
      <c r="E3876" t="s">
        <v>3118</v>
      </c>
      <c r="F3876" t="s">
        <v>11</v>
      </c>
      <c r="G3876" t="s">
        <v>54</v>
      </c>
      <c r="H3876" s="12">
        <v>-3.13509907615492</v>
      </c>
      <c r="I3876" s="20">
        <v>-1.47722293282492</v>
      </c>
      <c r="J3876" s="28">
        <v>0.13961588842373501</v>
      </c>
      <c r="K3876" s="29">
        <v>0.83119461954620599</v>
      </c>
    </row>
    <row r="3877" spans="1:11" x14ac:dyDescent="0.35">
      <c r="A3877" s="9" t="str">
        <f>HYPERLINK("http://www.ensembl.org/id/WBGene00022702", "WBGene00022702")</f>
        <v>WBGene00022702</v>
      </c>
      <c r="B3877" s="9" t="str">
        <f>HYPERLINK("http://www.ncbi.nlm.nih.gov/gene/176186", "176186")</f>
        <v>176186</v>
      </c>
      <c r="C3877" s="9" t="str">
        <f>HYPERLINK("http://www.ncbi.nlm.nih.gov/gene/51076", "51076")</f>
        <v>51076</v>
      </c>
      <c r="D3877" t="str">
        <f>"cutc-1"</f>
        <v>cutc-1</v>
      </c>
      <c r="E3877" t="s">
        <v>3108</v>
      </c>
      <c r="F3877" t="s">
        <v>11</v>
      </c>
      <c r="G3877" t="s">
        <v>3109</v>
      </c>
      <c r="H3877" s="12">
        <v>-1.3381015050577301</v>
      </c>
      <c r="I3877" s="20">
        <v>-1.4770164314326499</v>
      </c>
      <c r="J3877" s="28">
        <v>0.13967123277097501</v>
      </c>
      <c r="K3877" s="29">
        <v>0.83119461954620599</v>
      </c>
    </row>
    <row r="3878" spans="1:11" x14ac:dyDescent="0.35">
      <c r="A3878" s="9" t="str">
        <f>HYPERLINK("http://www.ensembl.org/id/WBGene00008498", "WBGene00008498")</f>
        <v>WBGene00008498</v>
      </c>
      <c r="B3878" s="9" t="str">
        <f>HYPERLINK("http://www.ncbi.nlm.nih.gov/gene/175052", "175052")</f>
        <v>175052</v>
      </c>
      <c r="C3878" s="9"/>
      <c r="D3878" t="str">
        <f>"F01D5.8"</f>
        <v>F01D5.8</v>
      </c>
      <c r="F3878" t="s">
        <v>11</v>
      </c>
      <c r="G3878" t="s">
        <v>3117</v>
      </c>
      <c r="H3878" s="12">
        <v>-1.48769908219221</v>
      </c>
      <c r="I3878" s="20">
        <v>-1.4770330153842299</v>
      </c>
      <c r="J3878" s="28">
        <v>0.139666787489965</v>
      </c>
      <c r="K3878" s="29">
        <v>0.83119461954620599</v>
      </c>
    </row>
    <row r="3879" spans="1:11" x14ac:dyDescent="0.35">
      <c r="A3879" s="9" t="str">
        <f>HYPERLINK("http://www.ensembl.org/id/WBGene00008862", "WBGene00008862")</f>
        <v>WBGene00008862</v>
      </c>
      <c r="B3879" s="9" t="str">
        <f>HYPERLINK("http://www.ncbi.nlm.nih.gov/gene/174969", "174969")</f>
        <v>174969</v>
      </c>
      <c r="C3879" s="9"/>
      <c r="D3879" t="str">
        <f>"F15D4.5"</f>
        <v>F15D4.5</v>
      </c>
      <c r="F3879" t="s">
        <v>11</v>
      </c>
      <c r="H3879" s="12">
        <v>1.63716084410121</v>
      </c>
      <c r="I3879" s="20">
        <v>1.4776101931339201</v>
      </c>
      <c r="J3879" s="28">
        <v>0.139512144467479</v>
      </c>
      <c r="K3879" s="29">
        <v>0.83119461954620599</v>
      </c>
    </row>
    <row r="3880" spans="1:11" x14ac:dyDescent="0.35">
      <c r="A3880" s="9" t="str">
        <f>HYPERLINK("http://www.ensembl.org/id/WBGene00009878", "WBGene00009878")</f>
        <v>WBGene00009878</v>
      </c>
      <c r="B3880" s="9" t="str">
        <f>HYPERLINK("http://www.ncbi.nlm.nih.gov/gene/177752", "177752")</f>
        <v>177752</v>
      </c>
      <c r="C3880" s="9"/>
      <c r="D3880" t="str">
        <f>"F49C12.9"</f>
        <v>F49C12.9</v>
      </c>
      <c r="F3880" t="s">
        <v>11</v>
      </c>
      <c r="G3880" t="s">
        <v>3110</v>
      </c>
      <c r="H3880" s="12">
        <v>-1.3386268223430799</v>
      </c>
      <c r="I3880" s="20">
        <v>-1.47763060593686</v>
      </c>
      <c r="J3880" s="28">
        <v>0.13950667768668101</v>
      </c>
      <c r="K3880" s="29">
        <v>0.83119461954620599</v>
      </c>
    </row>
    <row r="3881" spans="1:11" x14ac:dyDescent="0.35">
      <c r="A3881" s="9" t="str">
        <f>HYPERLINK("http://www.ensembl.org/id/WBGene00009922", "WBGene00009922")</f>
        <v>WBGene00009922</v>
      </c>
      <c r="B3881" s="9" t="str">
        <f>HYPERLINK("http://www.ncbi.nlm.nih.gov/gene/172615", "172615")</f>
        <v>172615</v>
      </c>
      <c r="C3881" s="9"/>
      <c r="D3881" t="str">
        <f>"F52B5.3"</f>
        <v>F52B5.3</v>
      </c>
      <c r="F3881" t="s">
        <v>11</v>
      </c>
      <c r="G3881" t="s">
        <v>3111</v>
      </c>
      <c r="H3881" s="12">
        <v>-1.36759134510986</v>
      </c>
      <c r="I3881" s="20">
        <v>-1.4769045359416</v>
      </c>
      <c r="J3881" s="28">
        <v>0.139701228884762</v>
      </c>
      <c r="K3881" s="29">
        <v>0.83119461954620599</v>
      </c>
    </row>
    <row r="3882" spans="1:11" x14ac:dyDescent="0.35">
      <c r="A3882" s="9" t="str">
        <f>HYPERLINK("http://www.ensembl.org/id/WBGene00011615", "WBGene00011615")</f>
        <v>WBGene00011615</v>
      </c>
      <c r="B3882" s="9" t="str">
        <f>HYPERLINK("http://www.ncbi.nlm.nih.gov/gene/181369", "181369")</f>
        <v>181369</v>
      </c>
      <c r="C3882" s="9" t="str">
        <f>HYPERLINK("http://www.ncbi.nlm.nih.gov/gene/23028", "23028")</f>
        <v>23028</v>
      </c>
      <c r="D3882" t="str">
        <f>"lsd-1"</f>
        <v>lsd-1</v>
      </c>
      <c r="E3882" t="s">
        <v>3115</v>
      </c>
      <c r="F3882" t="s">
        <v>11</v>
      </c>
      <c r="G3882" t="s">
        <v>3116</v>
      </c>
      <c r="H3882" s="12">
        <v>-1.4733164803876599</v>
      </c>
      <c r="I3882" s="20">
        <v>-1.4767287350921099</v>
      </c>
      <c r="J3882" s="28">
        <v>0.139748366286535</v>
      </c>
      <c r="K3882" s="29">
        <v>0.83119461954620599</v>
      </c>
    </row>
    <row r="3883" spans="1:11" x14ac:dyDescent="0.35">
      <c r="A3883" s="9" t="str">
        <f>HYPERLINK("http://www.ensembl.org/id/WBGene00010913", "WBGene00010913")</f>
        <v>WBGene00010913</v>
      </c>
      <c r="B3883" s="9" t="str">
        <f>HYPERLINK("http://www.ncbi.nlm.nih.gov/gene/187472", "187472")</f>
        <v>187472</v>
      </c>
      <c r="C3883" s="9"/>
      <c r="D3883" t="str">
        <f>"M110.3"</f>
        <v>M110.3</v>
      </c>
      <c r="F3883" t="s">
        <v>11</v>
      </c>
      <c r="G3883" t="s">
        <v>3112</v>
      </c>
      <c r="H3883" s="12">
        <v>-1.3737995643882599</v>
      </c>
      <c r="I3883" s="20">
        <v>-1.47678144028631</v>
      </c>
      <c r="J3883" s="28">
        <v>0.13973423318227701</v>
      </c>
      <c r="K3883" s="29">
        <v>0.83119461954620599</v>
      </c>
    </row>
    <row r="3884" spans="1:11" x14ac:dyDescent="0.35">
      <c r="A3884" s="9" t="str">
        <f>HYPERLINK("http://www.ensembl.org/id/WBGene00004259", "WBGene00004259")</f>
        <v>WBGene00004259</v>
      </c>
      <c r="B3884" s="9" t="str">
        <f>HYPERLINK("http://www.ncbi.nlm.nih.gov/gene/174385", "174385")</f>
        <v>174385</v>
      </c>
      <c r="C3884" s="9" t="str">
        <f>HYPERLINK("http://www.ncbi.nlm.nih.gov/gene/790", "790")</f>
        <v>790</v>
      </c>
      <c r="D3884" t="str">
        <f>"pyr-1"</f>
        <v>pyr-1</v>
      </c>
      <c r="E3884" t="s">
        <v>3104</v>
      </c>
      <c r="F3884" t="s">
        <v>11</v>
      </c>
      <c r="G3884" t="s">
        <v>3105</v>
      </c>
      <c r="H3884" s="12">
        <v>-1.31415314033193</v>
      </c>
      <c r="I3884" s="20">
        <v>-1.47670205065405</v>
      </c>
      <c r="J3884" s="28">
        <v>0.13975552224257801</v>
      </c>
      <c r="K3884" s="29">
        <v>0.83119461954620599</v>
      </c>
    </row>
    <row r="3885" spans="1:11" x14ac:dyDescent="0.35">
      <c r="A3885" s="9" t="str">
        <f>HYPERLINK("http://www.ensembl.org/id/WBGene00013725", "WBGene00013725")</f>
        <v>WBGene00013725</v>
      </c>
      <c r="B3885" s="9" t="str">
        <f>HYPERLINK("http://www.ncbi.nlm.nih.gov/gene/190930", "190930")</f>
        <v>190930</v>
      </c>
      <c r="C3885" s="9"/>
      <c r="D3885" t="str">
        <f>"ska-1"</f>
        <v>ska-1</v>
      </c>
      <c r="E3885" t="s">
        <v>3113</v>
      </c>
      <c r="F3885" t="s">
        <v>11</v>
      </c>
      <c r="G3885" t="s">
        <v>3114</v>
      </c>
      <c r="H3885" s="12">
        <v>-1.3947945588338999</v>
      </c>
      <c r="I3885" s="20">
        <v>-1.4776390966408599</v>
      </c>
      <c r="J3885" s="28">
        <v>0.139504403828135</v>
      </c>
      <c r="K3885" s="29">
        <v>0.83119461954620599</v>
      </c>
    </row>
    <row r="3886" spans="1:11" x14ac:dyDescent="0.35">
      <c r="A3886" s="9" t="str">
        <f>HYPERLINK("http://www.ensembl.org/id/WBGene00011192", "WBGene00011192")</f>
        <v>WBGene00011192</v>
      </c>
      <c r="B3886" s="9" t="str">
        <f>HYPERLINK("http://www.ncbi.nlm.nih.gov/gene/187767", "187767")</f>
        <v>187767</v>
      </c>
      <c r="C3886" s="9"/>
      <c r="D3886" t="str">
        <f>"srh-24"</f>
        <v>srh-24</v>
      </c>
      <c r="E3886" t="s">
        <v>153</v>
      </c>
      <c r="F3886" t="s">
        <v>11</v>
      </c>
      <c r="G3886" t="s">
        <v>25</v>
      </c>
      <c r="H3886" s="12">
        <v>-2.5327468799979802</v>
      </c>
      <c r="I3886" s="20">
        <v>-1.4769817064420201</v>
      </c>
      <c r="J3886" s="28">
        <v>0.13968054105855801</v>
      </c>
      <c r="K3886" s="29">
        <v>0.83119461954620599</v>
      </c>
    </row>
    <row r="3887" spans="1:11" x14ac:dyDescent="0.35">
      <c r="A3887" s="9" t="str">
        <f>HYPERLINK("http://www.ensembl.org/id/WBGene00008331", "WBGene00008331")</f>
        <v>WBGene00008331</v>
      </c>
      <c r="B3887" s="9" t="str">
        <f>HYPERLINK("http://www.ncbi.nlm.nih.gov/gene/179582", "179582")</f>
        <v>179582</v>
      </c>
      <c r="C3887" s="9"/>
      <c r="D3887" t="str">
        <f>"ttll-5"</f>
        <v>ttll-5</v>
      </c>
      <c r="E3887" t="s">
        <v>3106</v>
      </c>
      <c r="F3887" t="s">
        <v>11</v>
      </c>
      <c r="G3887" t="s">
        <v>3107</v>
      </c>
      <c r="H3887" s="12">
        <v>-1.3205365147261601</v>
      </c>
      <c r="I3887" s="20">
        <v>-1.4767053615828201</v>
      </c>
      <c r="J3887" s="28">
        <v>0.139754634336692</v>
      </c>
      <c r="K3887" s="29">
        <v>0.83119461954620599</v>
      </c>
    </row>
    <row r="3888" spans="1:11" x14ac:dyDescent="0.35">
      <c r="A3888" s="9" t="str">
        <f>HYPERLINK("http://www.ensembl.org/id/WBGene00003397", "WBGene00003397")</f>
        <v>WBGene00003397</v>
      </c>
      <c r="B3888" s="9" t="str">
        <f>HYPERLINK("http://www.ncbi.nlm.nih.gov/gene/172856", "172856")</f>
        <v>172856</v>
      </c>
      <c r="C3888" s="9"/>
      <c r="D3888" t="str">
        <f>"mom-5"</f>
        <v>mom-5</v>
      </c>
      <c r="F3888" t="s">
        <v>11</v>
      </c>
      <c r="G3888" t="s">
        <v>799</v>
      </c>
      <c r="H3888" s="12">
        <v>-1.35975239463072</v>
      </c>
      <c r="I3888" s="20">
        <v>-1.4765303404127701</v>
      </c>
      <c r="J3888" s="28">
        <v>0.139801576461142</v>
      </c>
      <c r="K3888" s="29">
        <v>0.83125456142850096</v>
      </c>
    </row>
    <row r="3889" spans="1:11" x14ac:dyDescent="0.35">
      <c r="A3889" s="9" t="str">
        <f>HYPERLINK("http://www.ensembl.org/id/WBGene00000006", "WBGene00000006")</f>
        <v>WBGene00000006</v>
      </c>
      <c r="B3889" s="9" t="str">
        <f>HYPERLINK("http://www.ncbi.nlm.nih.gov/gene/171814", "171814")</f>
        <v>171814</v>
      </c>
      <c r="C3889" s="9"/>
      <c r="D3889" t="str">
        <f>"aat-5"</f>
        <v>aat-5</v>
      </c>
      <c r="E3889" t="s">
        <v>2829</v>
      </c>
      <c r="F3889" t="s">
        <v>11</v>
      </c>
      <c r="G3889" t="s">
        <v>3119</v>
      </c>
      <c r="H3889" s="12">
        <v>1.4131258911729501</v>
      </c>
      <c r="I3889" s="20">
        <v>1.47582235555849</v>
      </c>
      <c r="J3889" s="28">
        <v>0.13999158767068401</v>
      </c>
      <c r="K3889" s="29">
        <v>0.83147871376092397</v>
      </c>
    </row>
    <row r="3890" spans="1:11" x14ac:dyDescent="0.35">
      <c r="A3890" s="9" t="str">
        <f>HYPERLINK("http://www.ensembl.org/id/WBGene00000285", "WBGene00000285")</f>
        <v>WBGene00000285</v>
      </c>
      <c r="B3890" s="9" t="str">
        <f>HYPERLINK("http://www.ncbi.nlm.nih.gov/gene/179715", "179715")</f>
        <v>179715</v>
      </c>
      <c r="C3890" s="9"/>
      <c r="D3890" t="str">
        <f>"cal-1"</f>
        <v>cal-1</v>
      </c>
      <c r="E3890" t="s">
        <v>3120</v>
      </c>
      <c r="F3890" t="s">
        <v>11</v>
      </c>
      <c r="G3890" t="s">
        <v>325</v>
      </c>
      <c r="H3890" s="12">
        <v>1.3588546629770999</v>
      </c>
      <c r="I3890" s="20">
        <v>1.4761875131594</v>
      </c>
      <c r="J3890" s="28">
        <v>0.13989356072327</v>
      </c>
      <c r="K3890" s="29">
        <v>0.83147871376092397</v>
      </c>
    </row>
    <row r="3891" spans="1:11" x14ac:dyDescent="0.35">
      <c r="A3891" s="9" t="str">
        <f>HYPERLINK("http://www.ensembl.org/id/WBGene00197663", "WBGene00197663")</f>
        <v>WBGene00197663</v>
      </c>
      <c r="B3891" s="9"/>
      <c r="C3891" s="9"/>
      <c r="D3891" t="str">
        <f>"F13H6.13"</f>
        <v>F13H6.13</v>
      </c>
      <c r="F3891" t="s">
        <v>481</v>
      </c>
      <c r="H3891" s="12">
        <v>10.3680432693273</v>
      </c>
      <c r="I3891" s="20">
        <v>1.4755994069419001</v>
      </c>
      <c r="J3891" s="28">
        <v>0.14005146444406399</v>
      </c>
      <c r="K3891" s="29">
        <v>0.83147871376092397</v>
      </c>
    </row>
    <row r="3892" spans="1:11" x14ac:dyDescent="0.35">
      <c r="A3892" s="9" t="str">
        <f>HYPERLINK("http://www.ensembl.org/id/WBGene00009965", "WBGene00009965")</f>
        <v>WBGene00009965</v>
      </c>
      <c r="B3892" s="9" t="str">
        <f>HYPERLINK("http://www.ncbi.nlm.nih.gov/gene/186155", "186155")</f>
        <v>186155</v>
      </c>
      <c r="C3892" s="9"/>
      <c r="D3892" t="str">
        <f>"frpr-9"</f>
        <v>frpr-9</v>
      </c>
      <c r="E3892" t="s">
        <v>2289</v>
      </c>
      <c r="F3892" t="s">
        <v>11</v>
      </c>
      <c r="G3892" t="s">
        <v>1089</v>
      </c>
      <c r="H3892" s="12">
        <v>1.5944078977903899</v>
      </c>
      <c r="I3892" s="20">
        <v>1.47571906482975</v>
      </c>
      <c r="J3892" s="28">
        <v>0.140019325763894</v>
      </c>
      <c r="K3892" s="29">
        <v>0.83147871376092397</v>
      </c>
    </row>
    <row r="3893" spans="1:11" x14ac:dyDescent="0.35">
      <c r="A3893" s="9" t="str">
        <f>HYPERLINK("http://www.ensembl.org/id/WBGene00001513", "WBGene00001513")</f>
        <v>WBGene00001513</v>
      </c>
      <c r="B3893" s="9" t="str">
        <f>HYPERLINK("http://www.ncbi.nlm.nih.gov/gene/179027", "179027")</f>
        <v>179027</v>
      </c>
      <c r="C3893" s="9" t="str">
        <f>HYPERLINK("http://www.ncbi.nlm.nih.gov/gene/55100", "55100")</f>
        <v>55100</v>
      </c>
      <c r="D3893" t="str">
        <f>"gad-1"</f>
        <v>gad-1</v>
      </c>
      <c r="E3893" t="s">
        <v>3122</v>
      </c>
      <c r="F3893" t="s">
        <v>11</v>
      </c>
      <c r="G3893" t="s">
        <v>54</v>
      </c>
      <c r="H3893" s="12">
        <v>-1.35327922431082</v>
      </c>
      <c r="I3893" s="20">
        <v>-1.4756422797144499</v>
      </c>
      <c r="J3893" s="28">
        <v>0.140039948676799</v>
      </c>
      <c r="K3893" s="29">
        <v>0.83147871376092397</v>
      </c>
    </row>
    <row r="3894" spans="1:11" x14ac:dyDescent="0.35">
      <c r="A3894" s="9" t="str">
        <f>HYPERLINK("http://www.ensembl.org/id/WBGene00003915", "WBGene00003915")</f>
        <v>WBGene00003915</v>
      </c>
      <c r="B3894" s="9" t="str">
        <f>HYPERLINK("http://www.ncbi.nlm.nih.gov/gene/175596", "175596")</f>
        <v>175596</v>
      </c>
      <c r="C3894" s="9"/>
      <c r="D3894" t="str">
        <f>"pan-1"</f>
        <v>pan-1</v>
      </c>
      <c r="E3894" t="s">
        <v>3121</v>
      </c>
      <c r="F3894" t="s">
        <v>11</v>
      </c>
      <c r="G3894" t="s">
        <v>54</v>
      </c>
      <c r="H3894" s="12">
        <v>1.3306431731275099</v>
      </c>
      <c r="I3894" s="20">
        <v>1.4754515959822401</v>
      </c>
      <c r="J3894" s="28">
        <v>0.14009117253835701</v>
      </c>
      <c r="K3894" s="29">
        <v>0.83147871376092397</v>
      </c>
    </row>
    <row r="3895" spans="1:11" x14ac:dyDescent="0.35">
      <c r="A3895" s="9" t="str">
        <f>HYPERLINK("http://www.ensembl.org/id/WBGene00005548", "WBGene00005548")</f>
        <v>WBGene00005548</v>
      </c>
      <c r="B3895" s="9" t="str">
        <f>HYPERLINK("http://www.ncbi.nlm.nih.gov/gene/191910", "191910")</f>
        <v>191910</v>
      </c>
      <c r="C3895" s="9"/>
      <c r="D3895" t="str">
        <f>"sri-36"</f>
        <v>sri-36</v>
      </c>
      <c r="E3895" t="s">
        <v>1503</v>
      </c>
      <c r="F3895" t="s">
        <v>11</v>
      </c>
      <c r="G3895" t="s">
        <v>25</v>
      </c>
      <c r="H3895" s="12">
        <v>-30.036141779369299</v>
      </c>
      <c r="I3895" s="20">
        <v>-1.4755275820887901</v>
      </c>
      <c r="J3895" s="28">
        <v>0.140070758467746</v>
      </c>
      <c r="K3895" s="29">
        <v>0.83147871376092397</v>
      </c>
    </row>
    <row r="3896" spans="1:11" x14ac:dyDescent="0.35">
      <c r="A3896" s="9" t="str">
        <f>HYPERLINK("http://www.ensembl.org/id/WBGene00005595", "WBGene00005595")</f>
        <v>WBGene00005595</v>
      </c>
      <c r="B3896" s="9" t="str">
        <f>HYPERLINK("http://www.ncbi.nlm.nih.gov/gene/189016", "189016")</f>
        <v>189016</v>
      </c>
      <c r="C3896" s="9"/>
      <c r="D3896" t="str">
        <f>"srj-7"</f>
        <v>srj-7</v>
      </c>
      <c r="E3896" t="s">
        <v>3123</v>
      </c>
      <c r="F3896" t="s">
        <v>11</v>
      </c>
      <c r="G3896" t="s">
        <v>25</v>
      </c>
      <c r="H3896" s="12">
        <v>7.3724650221961996</v>
      </c>
      <c r="I3896" s="20">
        <v>1.47487717127627</v>
      </c>
      <c r="J3896" s="28">
        <v>0.140245568844407</v>
      </c>
      <c r="K3896" s="29">
        <v>0.83218133377474901</v>
      </c>
    </row>
    <row r="3897" spans="1:11" x14ac:dyDescent="0.35">
      <c r="A3897" s="9" t="str">
        <f>HYPERLINK("http://www.ensembl.org/id/WBGene00012085", "WBGene00012085")</f>
        <v>WBGene00012085</v>
      </c>
      <c r="B3897" s="9" t="str">
        <f>HYPERLINK("http://www.ncbi.nlm.nih.gov/gene/174820", "174820")</f>
        <v>174820</v>
      </c>
      <c r="C3897" s="9"/>
      <c r="D3897" t="str">
        <f>"T27D12.1"</f>
        <v>T27D12.1</v>
      </c>
      <c r="F3897" t="s">
        <v>11</v>
      </c>
      <c r="G3897" t="s">
        <v>230</v>
      </c>
      <c r="H3897" s="12">
        <v>1.3484818593021899</v>
      </c>
      <c r="I3897" s="20">
        <v>1.47427687031716</v>
      </c>
      <c r="J3897" s="28">
        <v>0.140407060116403</v>
      </c>
      <c r="K3897" s="29">
        <v>0.83292568191260996</v>
      </c>
    </row>
    <row r="3898" spans="1:11" x14ac:dyDescent="0.35">
      <c r="A3898" s="9" t="str">
        <f>HYPERLINK("http://www.ensembl.org/id/WBGene00015421", "WBGene00015421")</f>
        <v>WBGene00015421</v>
      </c>
      <c r="B3898" s="9" t="str">
        <f>HYPERLINK("http://www.ncbi.nlm.nih.gov/gene/182202", "182202")</f>
        <v>182202</v>
      </c>
      <c r="C3898" s="9"/>
      <c r="D3898" t="str">
        <f>"C04E6.4"</f>
        <v>C04E6.4</v>
      </c>
      <c r="F3898" t="s">
        <v>11</v>
      </c>
      <c r="G3898" t="s">
        <v>25</v>
      </c>
      <c r="H3898" s="12">
        <v>27.5007748592555</v>
      </c>
      <c r="I3898" s="20">
        <v>1.47372790018597</v>
      </c>
      <c r="J3898" s="28">
        <v>0.14055486767980099</v>
      </c>
      <c r="K3898" s="29">
        <v>0.83300336047129897</v>
      </c>
    </row>
    <row r="3899" spans="1:11" x14ac:dyDescent="0.35">
      <c r="A3899" s="9" t="str">
        <f>HYPERLINK("http://www.ensembl.org/id/WBGene00016039", "WBGene00016039")</f>
        <v>WBGene00016039</v>
      </c>
      <c r="B3899" s="9" t="str">
        <f>HYPERLINK("http://www.ncbi.nlm.nih.gov/gene/182831", "182831")</f>
        <v>182831</v>
      </c>
      <c r="C3899" s="9"/>
      <c r="D3899" t="str">
        <f>"C24A8.5"</f>
        <v>C24A8.5</v>
      </c>
      <c r="F3899" t="s">
        <v>11</v>
      </c>
      <c r="H3899" s="12">
        <v>2.7957203497018099</v>
      </c>
      <c r="I3899" s="20">
        <v>1.4732478539902301</v>
      </c>
      <c r="J3899" s="28">
        <v>0.140684215846718</v>
      </c>
      <c r="K3899" s="29">
        <v>0.83300336047129897</v>
      </c>
    </row>
    <row r="3900" spans="1:11" x14ac:dyDescent="0.35">
      <c r="A3900" s="9" t="str">
        <f>HYPERLINK("http://www.ensembl.org/id/WBGene00009110", "WBGene00009110")</f>
        <v>WBGene00009110</v>
      </c>
      <c r="B3900" s="9" t="str">
        <f>HYPERLINK("http://www.ncbi.nlm.nih.gov/gene/184922", "184922")</f>
        <v>184922</v>
      </c>
      <c r="C3900" s="9"/>
      <c r="D3900" t="str">
        <f>"F25D1.5"</f>
        <v>F25D1.5</v>
      </c>
      <c r="F3900" t="s">
        <v>11</v>
      </c>
      <c r="G3900" t="s">
        <v>592</v>
      </c>
      <c r="H3900" s="12">
        <v>1.5106430713597701</v>
      </c>
      <c r="I3900" s="20">
        <v>1.47289011342673</v>
      </c>
      <c r="J3900" s="28">
        <v>0.14078066833897801</v>
      </c>
      <c r="K3900" s="29">
        <v>0.83300336047129897</v>
      </c>
    </row>
    <row r="3901" spans="1:11" x14ac:dyDescent="0.35">
      <c r="A3901" s="9" t="str">
        <f>HYPERLINK("http://www.ensembl.org/id/WBGene00009423", "WBGene00009423")</f>
        <v>WBGene00009423</v>
      </c>
      <c r="B3901" s="9" t="str">
        <f>HYPERLINK("http://www.ncbi.nlm.nih.gov/gene/185301", "185301")</f>
        <v>185301</v>
      </c>
      <c r="C3901" s="9"/>
      <c r="D3901" t="str">
        <f>"F35E8.10"</f>
        <v>F35E8.10</v>
      </c>
      <c r="F3901" t="s">
        <v>11</v>
      </c>
      <c r="H3901" s="12">
        <v>27.5007748592555</v>
      </c>
      <c r="I3901" s="20">
        <v>1.47372790018597</v>
      </c>
      <c r="J3901" s="28">
        <v>0.14055486767980099</v>
      </c>
      <c r="K3901" s="29">
        <v>0.83300336047129897</v>
      </c>
    </row>
    <row r="3902" spans="1:11" x14ac:dyDescent="0.35">
      <c r="A3902" s="9" t="str">
        <f>HYPERLINK("http://www.ensembl.org/id/WBGene00011511", "WBGene00011511")</f>
        <v>WBGene00011511</v>
      </c>
      <c r="B3902" s="9" t="str">
        <f>HYPERLINK("http://www.ncbi.nlm.nih.gov/gene/174296", "174296")</f>
        <v>174296</v>
      </c>
      <c r="C3902" s="9"/>
      <c r="D3902" t="str">
        <f>"gpcp-2"</f>
        <v>gpcp-2</v>
      </c>
      <c r="E3902" t="s">
        <v>3128</v>
      </c>
      <c r="F3902" t="s">
        <v>11</v>
      </c>
      <c r="G3902" t="s">
        <v>3129</v>
      </c>
      <c r="H3902" s="12">
        <v>-1.3061229150059399</v>
      </c>
      <c r="I3902" s="20">
        <v>-1.4734719639106999</v>
      </c>
      <c r="J3902" s="28">
        <v>0.140623818173156</v>
      </c>
      <c r="K3902" s="29">
        <v>0.83300336047129897</v>
      </c>
    </row>
    <row r="3903" spans="1:11" x14ac:dyDescent="0.35">
      <c r="A3903" s="9" t="str">
        <f>HYPERLINK("http://www.ensembl.org/id/WBGene00017989", "WBGene00017989")</f>
        <v>WBGene00017989</v>
      </c>
      <c r="B3903" s="9" t="str">
        <f>HYPERLINK("http://www.ncbi.nlm.nih.gov/gene/177538", "177538")</f>
        <v>177538</v>
      </c>
      <c r="C3903" s="9" t="str">
        <f>HYPERLINK("http://www.ncbi.nlm.nih.gov/gene/79954", "79954")</f>
        <v>79954</v>
      </c>
      <c r="D3903" t="str">
        <f>"nol-10"</f>
        <v>nol-10</v>
      </c>
      <c r="E3903" t="s">
        <v>3130</v>
      </c>
      <c r="F3903" t="s">
        <v>11</v>
      </c>
      <c r="G3903" t="s">
        <v>3131</v>
      </c>
      <c r="H3903" s="12">
        <v>-1.3552952409666801</v>
      </c>
      <c r="I3903" s="20">
        <v>-1.47300160128945</v>
      </c>
      <c r="J3903" s="28">
        <v>0.14075060400267</v>
      </c>
      <c r="K3903" s="29">
        <v>0.83300336047129897</v>
      </c>
    </row>
    <row r="3904" spans="1:11" x14ac:dyDescent="0.35">
      <c r="A3904" s="9" t="str">
        <f>HYPERLINK("http://www.ensembl.org/id/WBGene00044568", "WBGene00044568")</f>
        <v>WBGene00044568</v>
      </c>
      <c r="B3904" s="9" t="str">
        <f>HYPERLINK("http://www.ncbi.nlm.nih.gov/gene/3896872", "3896872")</f>
        <v>3896872</v>
      </c>
      <c r="C3904" s="9"/>
      <c r="D3904" t="str">
        <f>"ntc-1"</f>
        <v>ntc-1</v>
      </c>
      <c r="E3904" t="s">
        <v>3124</v>
      </c>
      <c r="F3904" t="s">
        <v>11</v>
      </c>
      <c r="G3904" t="s">
        <v>3125</v>
      </c>
      <c r="H3904" s="12">
        <v>2.0313986209309798</v>
      </c>
      <c r="I3904" s="20">
        <v>1.4728981386092299</v>
      </c>
      <c r="J3904" s="28">
        <v>0.14077850406598699</v>
      </c>
      <c r="K3904" s="29">
        <v>0.83300336047129897</v>
      </c>
    </row>
    <row r="3905" spans="1:11" x14ac:dyDescent="0.35">
      <c r="A3905" s="9" t="str">
        <f>HYPERLINK("http://www.ensembl.org/id/WBGene00017891", "WBGene00017891")</f>
        <v>WBGene00017891</v>
      </c>
      <c r="B3905" s="9" t="str">
        <f>HYPERLINK("http://www.ncbi.nlm.nih.gov/gene/180611", "180611")</f>
        <v>180611</v>
      </c>
      <c r="C3905" s="9" t="str">
        <f>HYPERLINK("http://www.ncbi.nlm.nih.gov/gene/23179", "23179")</f>
        <v>23179</v>
      </c>
      <c r="D3905" t="str">
        <f>"rgl-1"</f>
        <v>rgl-1</v>
      </c>
      <c r="E3905" t="s">
        <v>3126</v>
      </c>
      <c r="F3905" t="s">
        <v>11</v>
      </c>
      <c r="G3905" t="s">
        <v>3127</v>
      </c>
      <c r="H3905" s="12">
        <v>-1.3046926455552801</v>
      </c>
      <c r="I3905" s="20">
        <v>-1.47296467830984</v>
      </c>
      <c r="J3905" s="28">
        <v>0.140760560278543</v>
      </c>
      <c r="K3905" s="29">
        <v>0.83300336047129897</v>
      </c>
    </row>
    <row r="3906" spans="1:11" x14ac:dyDescent="0.35">
      <c r="A3906" s="9" t="str">
        <f>HYPERLINK("http://www.ensembl.org/id/WBGene00006657", "WBGene00006657")</f>
        <v>WBGene00006657</v>
      </c>
      <c r="B3906" s="9" t="str">
        <f>HYPERLINK("http://www.ncbi.nlm.nih.gov/gene/188452", "188452")</f>
        <v>188452</v>
      </c>
      <c r="C3906" s="9"/>
      <c r="D3906" t="str">
        <f>"twk-2"</f>
        <v>twk-2</v>
      </c>
      <c r="E3906" t="s">
        <v>894</v>
      </c>
      <c r="F3906" t="s">
        <v>11</v>
      </c>
      <c r="G3906" t="s">
        <v>895</v>
      </c>
      <c r="H3906" s="12">
        <v>1.4351786788368699</v>
      </c>
      <c r="I3906" s="20">
        <v>1.47327380840789</v>
      </c>
      <c r="J3906" s="28">
        <v>0.140677220104276</v>
      </c>
      <c r="K3906" s="29">
        <v>0.83300336047129897</v>
      </c>
    </row>
    <row r="3907" spans="1:11" x14ac:dyDescent="0.35">
      <c r="A3907" s="9" t="str">
        <f>HYPERLINK("http://www.ensembl.org/id/WBGene00012942", "WBGene00012942")</f>
        <v>WBGene00012942</v>
      </c>
      <c r="B3907" s="9" t="str">
        <f>HYPERLINK("http://www.ncbi.nlm.nih.gov/gene/176573", "176573")</f>
        <v>176573</v>
      </c>
      <c r="C3907" s="9"/>
      <c r="D3907" t="str">
        <f>"Y47D3B.6"</f>
        <v>Y47D3B.6</v>
      </c>
      <c r="F3907" t="s">
        <v>11</v>
      </c>
      <c r="H3907" s="12">
        <v>2.0064472682532899</v>
      </c>
      <c r="I3907" s="20">
        <v>1.4736037328176901</v>
      </c>
      <c r="J3907" s="28">
        <v>0.14058831573279601</v>
      </c>
      <c r="K3907" s="29">
        <v>0.83300336047129897</v>
      </c>
    </row>
    <row r="3908" spans="1:11" x14ac:dyDescent="0.35">
      <c r="A3908" s="9" t="str">
        <f>HYPERLINK("http://www.ensembl.org/id/WBGene00020425", "WBGene00020425")</f>
        <v>WBGene00020425</v>
      </c>
      <c r="B3908" s="9" t="str">
        <f>HYPERLINK("http://www.ncbi.nlm.nih.gov/gene/179055", "179055")</f>
        <v>179055</v>
      </c>
      <c r="C3908" s="9"/>
      <c r="D3908" t="str">
        <f>"syx-18"</f>
        <v>syx-18</v>
      </c>
      <c r="E3908" t="s">
        <v>3132</v>
      </c>
      <c r="F3908" t="s">
        <v>11</v>
      </c>
      <c r="G3908" t="s">
        <v>3133</v>
      </c>
      <c r="H3908" s="12">
        <v>-1.3292688176337699</v>
      </c>
      <c r="I3908" s="20">
        <v>-1.47219444794742</v>
      </c>
      <c r="J3908" s="28">
        <v>0.14096837627035999</v>
      </c>
      <c r="K3908" s="29">
        <v>0.83390048696952102</v>
      </c>
    </row>
    <row r="3909" spans="1:11" x14ac:dyDescent="0.35">
      <c r="A3909" s="9" t="str">
        <f>HYPERLINK("http://www.ensembl.org/id/WBGene00019296", "WBGene00019296")</f>
        <v>WBGene00019296</v>
      </c>
      <c r="B3909" s="9" t="str">
        <f>HYPERLINK("http://www.ncbi.nlm.nih.gov/gene/177362", "177362")</f>
        <v>177362</v>
      </c>
      <c r="C3909" s="9" t="str">
        <f>HYPERLINK("http://www.ncbi.nlm.nih.gov/gene/90550", "90550")</f>
        <v>90550</v>
      </c>
      <c r="D3909" t="str">
        <f>"mcu-1"</f>
        <v>mcu-1</v>
      </c>
      <c r="E3909" t="s">
        <v>3134</v>
      </c>
      <c r="F3909" t="s">
        <v>11</v>
      </c>
      <c r="G3909" t="s">
        <v>3135</v>
      </c>
      <c r="H3909" s="12">
        <v>-1.3479871772112699</v>
      </c>
      <c r="I3909" s="20">
        <v>-1.47197752254503</v>
      </c>
      <c r="J3909" s="28">
        <v>0.141026947499301</v>
      </c>
      <c r="K3909" s="29">
        <v>0.83403343970280297</v>
      </c>
    </row>
    <row r="3910" spans="1:11" x14ac:dyDescent="0.35">
      <c r="A3910" s="9" t="str">
        <f>HYPERLINK("http://www.ensembl.org/id/WBGene00020069", "WBGene00020069")</f>
        <v>WBGene00020069</v>
      </c>
      <c r="B3910" s="9" t="str">
        <f>HYPERLINK("http://www.ncbi.nlm.nih.gov/gene/177450", "177450")</f>
        <v>177450</v>
      </c>
      <c r="C3910" s="9"/>
      <c r="D3910" t="str">
        <f>"R13H7.2"</f>
        <v>R13H7.2</v>
      </c>
      <c r="F3910" t="s">
        <v>11</v>
      </c>
      <c r="G3910" t="s">
        <v>271</v>
      </c>
      <c r="H3910" s="12">
        <v>1.5500799720043601</v>
      </c>
      <c r="I3910" s="20">
        <v>1.47147305327506</v>
      </c>
      <c r="J3910" s="28">
        <v>0.141163229724972</v>
      </c>
      <c r="K3910" s="29">
        <v>0.83462578966867895</v>
      </c>
    </row>
    <row r="3911" spans="1:11" x14ac:dyDescent="0.35">
      <c r="A3911" s="9" t="str">
        <f>HYPERLINK("http://www.ensembl.org/id/WBGene00001052", "WBGene00001052")</f>
        <v>WBGene00001052</v>
      </c>
      <c r="B3911" s="9" t="str">
        <f>HYPERLINK("http://www.ncbi.nlm.nih.gov/gene/180714", "180714")</f>
        <v>180714</v>
      </c>
      <c r="C3911" s="9" t="str">
        <f>HYPERLINK("http://www.ncbi.nlm.nih.gov/gene/151", "151")</f>
        <v>151</v>
      </c>
      <c r="D3911" t="str">
        <f>"dop-1"</f>
        <v>dop-1</v>
      </c>
      <c r="E3911" t="s">
        <v>1425</v>
      </c>
      <c r="F3911" t="s">
        <v>11</v>
      </c>
      <c r="G3911" t="s">
        <v>3136</v>
      </c>
      <c r="H3911" s="12">
        <v>1.49650529614063</v>
      </c>
      <c r="I3911" s="20">
        <v>1.4711455398043001</v>
      </c>
      <c r="J3911" s="28">
        <v>0.14125176156979799</v>
      </c>
      <c r="K3911" s="29">
        <v>0.83493558527289802</v>
      </c>
    </row>
    <row r="3912" spans="1:11" x14ac:dyDescent="0.35">
      <c r="A3912" s="9" t="str">
        <f>HYPERLINK("http://www.ensembl.org/id/WBGene00001961", "WBGene00001961")</f>
        <v>WBGene00001961</v>
      </c>
      <c r="B3912" s="9" t="str">
        <f>HYPERLINK("http://www.ncbi.nlm.nih.gov/gene/185460", "185460")</f>
        <v>185460</v>
      </c>
      <c r="C3912" s="9"/>
      <c r="D3912" t="str">
        <f>"hlh-17"</f>
        <v>hlh-17</v>
      </c>
      <c r="E3912" t="s">
        <v>1658</v>
      </c>
      <c r="F3912" t="s">
        <v>11</v>
      </c>
      <c r="G3912" t="s">
        <v>3137</v>
      </c>
      <c r="H3912" s="12">
        <v>4.5021239632309697</v>
      </c>
      <c r="I3912" s="20">
        <v>1.47062512489194</v>
      </c>
      <c r="J3912" s="28">
        <v>0.141392525359022</v>
      </c>
      <c r="K3912" s="29">
        <v>0.83534024314639799</v>
      </c>
    </row>
    <row r="3913" spans="1:11" x14ac:dyDescent="0.35">
      <c r="A3913" s="9" t="str">
        <f>HYPERLINK("http://www.ensembl.org/id/WBGene00013479", "WBGene00013479")</f>
        <v>WBGene00013479</v>
      </c>
      <c r="B3913" s="9" t="str">
        <f>HYPERLINK("http://www.ncbi.nlm.nih.gov/gene/190556", "190556")</f>
        <v>190556</v>
      </c>
      <c r="C3913" s="9"/>
      <c r="D3913" t="str">
        <f>"Y69H2.1"</f>
        <v>Y69H2.1</v>
      </c>
      <c r="F3913" t="s">
        <v>11</v>
      </c>
      <c r="G3913" t="s">
        <v>25</v>
      </c>
      <c r="H3913" s="12">
        <v>2.4924461148900399</v>
      </c>
      <c r="I3913" s="20">
        <v>1.4707366113725</v>
      </c>
      <c r="J3913" s="28">
        <v>0.141362361005719</v>
      </c>
      <c r="K3913" s="29">
        <v>0.83534024314639799</v>
      </c>
    </row>
    <row r="3914" spans="1:11" x14ac:dyDescent="0.35">
      <c r="A3914" s="9" t="str">
        <f>HYPERLINK("http://www.ensembl.org/id/WBGene00010789", "WBGene00010789")</f>
        <v>WBGene00010789</v>
      </c>
      <c r="B3914" s="9" t="str">
        <f>HYPERLINK("http://www.ncbi.nlm.nih.gov/gene/187335", "187335")</f>
        <v>187335</v>
      </c>
      <c r="C3914" s="9" t="str">
        <f>HYPERLINK("http://www.ncbi.nlm.nih.gov/gene/375611", "375611")</f>
        <v>375611</v>
      </c>
      <c r="D3914" t="str">
        <f>"sulp-5"</f>
        <v>sulp-5</v>
      </c>
      <c r="E3914" t="s">
        <v>648</v>
      </c>
      <c r="F3914" t="s">
        <v>11</v>
      </c>
      <c r="G3914" t="s">
        <v>3138</v>
      </c>
      <c r="H3914" s="12">
        <v>1.7392664600479</v>
      </c>
      <c r="I3914" s="20">
        <v>1.4704125801555701</v>
      </c>
      <c r="J3914" s="28">
        <v>0.14145004625511001</v>
      </c>
      <c r="K3914" s="29">
        <v>0.835466454184709</v>
      </c>
    </row>
    <row r="3915" spans="1:11" x14ac:dyDescent="0.35">
      <c r="A3915" s="9" t="str">
        <f>HYPERLINK("http://www.ensembl.org/id/WBGene00017980", "WBGene00017980")</f>
        <v>WBGene00017980</v>
      </c>
      <c r="B3915" s="9" t="str">
        <f>HYPERLINK("http://www.ncbi.nlm.nih.gov/gene/171828", "171828")</f>
        <v>171828</v>
      </c>
      <c r="C3915" s="9"/>
      <c r="D3915" t="str">
        <f>"F32B5.7"</f>
        <v>F32B5.7</v>
      </c>
      <c r="F3915" t="s">
        <v>11</v>
      </c>
      <c r="H3915" s="12">
        <v>1.3363504765549701</v>
      </c>
      <c r="I3915" s="20">
        <v>1.4694244759714099</v>
      </c>
      <c r="J3915" s="28">
        <v>0.14171769262577599</v>
      </c>
      <c r="K3915" s="29">
        <v>0.83597881179759603</v>
      </c>
    </row>
    <row r="3916" spans="1:11" x14ac:dyDescent="0.35">
      <c r="A3916" s="9" t="str">
        <f>HYPERLINK("http://www.ensembl.org/id/WBGene00018376", "WBGene00018376")</f>
        <v>WBGene00018376</v>
      </c>
      <c r="B3916" s="9" t="str">
        <f>HYPERLINK("http://www.ncbi.nlm.nih.gov/gene/180753", "180753")</f>
        <v>180753</v>
      </c>
      <c r="C3916" s="9"/>
      <c r="D3916" t="str">
        <f>"F43C9.2"</f>
        <v>F43C9.2</v>
      </c>
      <c r="F3916" t="s">
        <v>11</v>
      </c>
      <c r="G3916" t="s">
        <v>325</v>
      </c>
      <c r="H3916" s="12">
        <v>1.31119692615179</v>
      </c>
      <c r="I3916" s="20">
        <v>1.4696382812897799</v>
      </c>
      <c r="J3916" s="28">
        <v>0.14165974652468799</v>
      </c>
      <c r="K3916" s="29">
        <v>0.83597881179759603</v>
      </c>
    </row>
    <row r="3917" spans="1:11" x14ac:dyDescent="0.35">
      <c r="A3917" s="9" t="str">
        <f>HYPERLINK("http://www.ensembl.org/id/WBGene00002001", "WBGene00002001")</f>
        <v>WBGene00002001</v>
      </c>
      <c r="B3917" s="9" t="str">
        <f>HYPERLINK("http://www.ncbi.nlm.nih.gov/gene/177978", "177978")</f>
        <v>177978</v>
      </c>
      <c r="C3917" s="9" t="str">
        <f>HYPERLINK("http://www.ncbi.nlm.nih.gov/gene/3035", "3035")</f>
        <v>3035</v>
      </c>
      <c r="D3917" t="str">
        <f>"hars-1"</f>
        <v>hars-1</v>
      </c>
      <c r="E3917" t="s">
        <v>3139</v>
      </c>
      <c r="F3917" t="s">
        <v>11</v>
      </c>
      <c r="G3917" t="s">
        <v>3140</v>
      </c>
      <c r="H3917" s="12">
        <v>-1.31259447918461</v>
      </c>
      <c r="I3917" s="20">
        <v>-1.46950941325829</v>
      </c>
      <c r="J3917" s="28">
        <v>0.14169467051068099</v>
      </c>
      <c r="K3917" s="29">
        <v>0.83597881179759603</v>
      </c>
    </row>
    <row r="3918" spans="1:11" x14ac:dyDescent="0.35">
      <c r="A3918" s="9" t="str">
        <f>HYPERLINK("http://www.ensembl.org/id/WBGene00013073", "WBGene00013073")</f>
        <v>WBGene00013073</v>
      </c>
      <c r="B3918" s="9" t="str">
        <f>HYPERLINK("http://www.ncbi.nlm.nih.gov/gene/180205", "180205")</f>
        <v>180205</v>
      </c>
      <c r="C3918" s="9" t="str">
        <f>HYPERLINK("http://www.ncbi.nlm.nih.gov/gene/114134", "114134")</f>
        <v>114134</v>
      </c>
      <c r="D3918" t="str">
        <f>"hmit-1.1"</f>
        <v>hmit-1.1</v>
      </c>
      <c r="E3918" t="s">
        <v>3143</v>
      </c>
      <c r="F3918" t="s">
        <v>11</v>
      </c>
      <c r="G3918" t="s">
        <v>3144</v>
      </c>
      <c r="H3918" s="12">
        <v>-1.7148268907748201</v>
      </c>
      <c r="I3918" s="20">
        <v>-1.4696275238240799</v>
      </c>
      <c r="J3918" s="28">
        <v>0.141662661607448</v>
      </c>
      <c r="K3918" s="29">
        <v>0.83597881179759603</v>
      </c>
    </row>
    <row r="3919" spans="1:11" x14ac:dyDescent="0.35">
      <c r="A3919" s="9" t="str">
        <f>HYPERLINK("http://www.ensembl.org/id/WBGene00007025", "WBGene00007025")</f>
        <v>WBGene00007025</v>
      </c>
      <c r="B3919" s="9" t="str">
        <f>HYPERLINK("http://www.ncbi.nlm.nih.gov/gene/176817", "176817")</f>
        <v>176817</v>
      </c>
      <c r="C3919" s="9"/>
      <c r="D3919" t="str">
        <f>"mdt-29"</f>
        <v>mdt-29</v>
      </c>
      <c r="E3919" t="s">
        <v>3141</v>
      </c>
      <c r="F3919" t="s">
        <v>11</v>
      </c>
      <c r="G3919" t="s">
        <v>3142</v>
      </c>
      <c r="H3919" s="12">
        <v>-1.33515341063225</v>
      </c>
      <c r="I3919" s="20">
        <v>-1.4698161092373601</v>
      </c>
      <c r="J3919" s="28">
        <v>0.14161156497646199</v>
      </c>
      <c r="K3919" s="29">
        <v>0.83597881179759603</v>
      </c>
    </row>
    <row r="3920" spans="1:11" x14ac:dyDescent="0.35">
      <c r="A3920" s="9" t="str">
        <f>HYPERLINK("http://www.ensembl.org/id/WBGene00003812", "WBGene00003812")</f>
        <v>WBGene00003812</v>
      </c>
      <c r="B3920" s="9" t="str">
        <f>HYPERLINK("http://www.ncbi.nlm.nih.gov/gene/179879", "179879")</f>
        <v>179879</v>
      </c>
      <c r="C3920" s="9"/>
      <c r="D3920" t="str">
        <f>"nrf-5"</f>
        <v>nrf-5</v>
      </c>
      <c r="E3920" t="s">
        <v>3145</v>
      </c>
      <c r="F3920" t="s">
        <v>11</v>
      </c>
      <c r="G3920" t="s">
        <v>2037</v>
      </c>
      <c r="H3920" s="12">
        <v>1.3110492209109399</v>
      </c>
      <c r="I3920" s="20">
        <v>1.46926345833711</v>
      </c>
      <c r="J3920" s="28">
        <v>0.14176134408406901</v>
      </c>
      <c r="K3920" s="29">
        <v>0.83602287299808498</v>
      </c>
    </row>
    <row r="3921" spans="1:11" x14ac:dyDescent="0.35">
      <c r="A3921" s="9" t="str">
        <f>HYPERLINK("http://www.ensembl.org/id/WBGene00015620", "WBGene00015620")</f>
        <v>WBGene00015620</v>
      </c>
      <c r="B3921" s="9" t="str">
        <f>HYPERLINK("http://www.ncbi.nlm.nih.gov/gene/177545", "177545")</f>
        <v>177545</v>
      </c>
      <c r="C3921" s="9"/>
      <c r="D3921" t="str">
        <f>"C08G9.2"</f>
        <v>C08G9.2</v>
      </c>
      <c r="F3921" t="s">
        <v>11</v>
      </c>
      <c r="G3921" t="s">
        <v>3147</v>
      </c>
      <c r="H3921" s="12">
        <v>1.70315836691935</v>
      </c>
      <c r="I3921" s="20">
        <v>1.46831326696766</v>
      </c>
      <c r="J3921" s="28">
        <v>0.14201914882224101</v>
      </c>
      <c r="K3921" s="29">
        <v>0.83671448688998196</v>
      </c>
    </row>
    <row r="3922" spans="1:11" x14ac:dyDescent="0.35">
      <c r="A3922" s="9" t="str">
        <f>HYPERLINK("http://www.ensembl.org/id/WBGene00016307", "WBGene00016307")</f>
        <v>WBGene00016307</v>
      </c>
      <c r="B3922" s="9" t="str">
        <f>HYPERLINK("http://www.ncbi.nlm.nih.gov/gene/183117", "183117")</f>
        <v>183117</v>
      </c>
      <c r="C3922" s="9"/>
      <c r="D3922" t="str">
        <f>"fbxc-18"</f>
        <v>fbxc-18</v>
      </c>
      <c r="E3922" t="s">
        <v>311</v>
      </c>
      <c r="F3922" t="s">
        <v>11</v>
      </c>
      <c r="H3922" s="12">
        <v>1.65650896838364</v>
      </c>
      <c r="I3922" s="20">
        <v>1.4684565391198801</v>
      </c>
      <c r="J3922" s="28">
        <v>0.141980253362777</v>
      </c>
      <c r="K3922" s="29">
        <v>0.83671448688998196</v>
      </c>
    </row>
    <row r="3923" spans="1:11" x14ac:dyDescent="0.35">
      <c r="A3923" s="9" t="str">
        <f>HYPERLINK("http://www.ensembl.org/id/WBGene00001592", "WBGene00001592")</f>
        <v>WBGene00001592</v>
      </c>
      <c r="B3923" s="9" t="str">
        <f>HYPERLINK("http://www.ncbi.nlm.nih.gov/gene/172103", "172103")</f>
        <v>172103</v>
      </c>
      <c r="C3923" s="9" t="str">
        <f>HYPERLINK("http://www.ncbi.nlm.nih.gov/gene/8001", "8001")</f>
        <v>8001</v>
      </c>
      <c r="D3923" t="str">
        <f>"glc-2"</f>
        <v>glc-2</v>
      </c>
      <c r="E3923" t="s">
        <v>3146</v>
      </c>
      <c r="F3923" t="s">
        <v>11</v>
      </c>
      <c r="G3923" t="s">
        <v>774</v>
      </c>
      <c r="H3923" s="12">
        <v>1.7567768416627201</v>
      </c>
      <c r="I3923" s="20">
        <v>1.4681640070975499</v>
      </c>
      <c r="J3923" s="28">
        <v>0.14205967852806201</v>
      </c>
      <c r="K3923" s="29">
        <v>0.83671448688998196</v>
      </c>
    </row>
    <row r="3924" spans="1:11" x14ac:dyDescent="0.35">
      <c r="A3924" s="9" t="str">
        <f>HYPERLINK("http://www.ensembl.org/id/WBGene00007616", "WBGene00007616")</f>
        <v>WBGene00007616</v>
      </c>
      <c r="B3924" s="9" t="str">
        <f>HYPERLINK("http://www.ncbi.nlm.nih.gov/gene/182648", "182648")</f>
        <v>182648</v>
      </c>
      <c r="C3924" s="9"/>
      <c r="D3924" t="str">
        <f>"rpoa-12"</f>
        <v>rpoa-12</v>
      </c>
      <c r="E3924" t="s">
        <v>2533</v>
      </c>
      <c r="F3924" t="s">
        <v>11</v>
      </c>
      <c r="G3924" t="s">
        <v>3148</v>
      </c>
      <c r="H3924" s="12">
        <v>-1.46248852268609</v>
      </c>
      <c r="I3924" s="20">
        <v>-1.4682365795914201</v>
      </c>
      <c r="J3924" s="28">
        <v>0.14203997123891701</v>
      </c>
      <c r="K3924" s="29">
        <v>0.83671448688998196</v>
      </c>
    </row>
    <row r="3925" spans="1:11" x14ac:dyDescent="0.35">
      <c r="A3925" s="9" t="str">
        <f>HYPERLINK("http://www.ensembl.org/id/WBGene00011446", "WBGene00011446")</f>
        <v>WBGene00011446</v>
      </c>
      <c r="B3925" s="9" t="str">
        <f>HYPERLINK("http://www.ncbi.nlm.nih.gov/gene/181351", "181351")</f>
        <v>181351</v>
      </c>
      <c r="C3925" s="9"/>
      <c r="D3925" t="str">
        <f>"T04F8.8"</f>
        <v>T04F8.8</v>
      </c>
      <c r="F3925" t="s">
        <v>11</v>
      </c>
      <c r="H3925" s="12">
        <v>1.41995388101349</v>
      </c>
      <c r="I3925" s="20">
        <v>1.4686735055992399</v>
      </c>
      <c r="J3925" s="28">
        <v>0.14192136697799301</v>
      </c>
      <c r="K3925" s="29">
        <v>0.83671448688998196</v>
      </c>
    </row>
    <row r="3926" spans="1:11" x14ac:dyDescent="0.35">
      <c r="A3926" s="9" t="str">
        <f>HYPERLINK("http://www.ensembl.org/id/WBGene00021335", "WBGene00021335")</f>
        <v>WBGene00021335</v>
      </c>
      <c r="B3926" s="9" t="str">
        <f>HYPERLINK("http://www.ncbi.nlm.nih.gov/gene/259362", "259362")</f>
        <v>259362</v>
      </c>
      <c r="C3926" s="9"/>
      <c r="D3926" t="str">
        <f>"spp-23"</f>
        <v>spp-23</v>
      </c>
      <c r="E3926" t="s">
        <v>62</v>
      </c>
      <c r="F3926" t="s">
        <v>11</v>
      </c>
      <c r="H3926" s="12">
        <v>2.1476415747856801</v>
      </c>
      <c r="I3926" s="20">
        <v>1.46775409555568</v>
      </c>
      <c r="J3926" s="28">
        <v>0.14217103072818399</v>
      </c>
      <c r="K3926" s="29">
        <v>0.83689988993299502</v>
      </c>
    </row>
    <row r="3927" spans="1:11" x14ac:dyDescent="0.35">
      <c r="A3927" s="9" t="str">
        <f>HYPERLINK("http://www.ensembl.org/id/WBGene00009629", "WBGene00009629")</f>
        <v>WBGene00009629</v>
      </c>
      <c r="B3927" s="9" t="str">
        <f>HYPERLINK("http://www.ncbi.nlm.nih.gov/gene/181575", "181575")</f>
        <v>181575</v>
      </c>
      <c r="C3927" s="9"/>
      <c r="D3927" t="str">
        <f>"sprr-2"</f>
        <v>sprr-2</v>
      </c>
      <c r="E3927" t="s">
        <v>2540</v>
      </c>
      <c r="F3927" t="s">
        <v>11</v>
      </c>
      <c r="G3927" t="s">
        <v>3149</v>
      </c>
      <c r="H3927" s="12">
        <v>1.6586133530121701</v>
      </c>
      <c r="I3927" s="20">
        <v>1.4676481677633</v>
      </c>
      <c r="J3927" s="28">
        <v>0.14219981683878399</v>
      </c>
      <c r="K3927" s="29">
        <v>0.83689988993299502</v>
      </c>
    </row>
    <row r="3928" spans="1:11" x14ac:dyDescent="0.35">
      <c r="A3928" s="9" t="str">
        <f>HYPERLINK("http://www.ensembl.org/id/WBGene00020757", "WBGene00020757")</f>
        <v>WBGene00020757</v>
      </c>
      <c r="B3928" s="9" t="str">
        <f>HYPERLINK("http://www.ncbi.nlm.nih.gov/gene/175248", "175248")</f>
        <v>175248</v>
      </c>
      <c r="C3928" s="9"/>
      <c r="D3928" t="str">
        <f>"ucr-2.3"</f>
        <v>ucr-2.3</v>
      </c>
      <c r="E3928" t="s">
        <v>3150</v>
      </c>
      <c r="F3928" t="s">
        <v>11</v>
      </c>
      <c r="G3928" t="s">
        <v>3151</v>
      </c>
      <c r="H3928" s="12">
        <v>-1.3546737550961001</v>
      </c>
      <c r="I3928" s="20">
        <v>-1.46790877366562</v>
      </c>
      <c r="J3928" s="28">
        <v>0.14212900464995701</v>
      </c>
      <c r="K3928" s="29">
        <v>0.83689988993299502</v>
      </c>
    </row>
    <row r="3929" spans="1:11" x14ac:dyDescent="0.35">
      <c r="A3929" s="9" t="str">
        <f>HYPERLINK("http://www.ensembl.org/id/WBGene00022463", "WBGene00022463")</f>
        <v>WBGene00022463</v>
      </c>
      <c r="B3929" s="9" t="str">
        <f>HYPERLINK("http://www.ncbi.nlm.nih.gov/gene/172143", "172143")</f>
        <v>172143</v>
      </c>
      <c r="C3929" s="9"/>
      <c r="D3929" t="str">
        <f>"elpc-1"</f>
        <v>elpc-1</v>
      </c>
      <c r="E3929" t="s">
        <v>3152</v>
      </c>
      <c r="F3929" t="s">
        <v>11</v>
      </c>
      <c r="G3929" t="s">
        <v>3153</v>
      </c>
      <c r="H3929" s="12">
        <v>-1.36531151529138</v>
      </c>
      <c r="I3929" s="20">
        <v>-1.4673679066544001</v>
      </c>
      <c r="J3929" s="28">
        <v>0.14227599999810001</v>
      </c>
      <c r="K3929" s="29">
        <v>0.83713502825467501</v>
      </c>
    </row>
    <row r="3930" spans="1:11" x14ac:dyDescent="0.35">
      <c r="A3930" s="9" t="str">
        <f>HYPERLINK("http://www.ensembl.org/id/WBGene00011884", "WBGene00011884")</f>
        <v>WBGene00011884</v>
      </c>
      <c r="B3930" s="9" t="str">
        <f>HYPERLINK("http://www.ncbi.nlm.nih.gov/gene/174423", "174423")</f>
        <v>174423</v>
      </c>
      <c r="C3930" s="9" t="str">
        <f>HYPERLINK("http://www.ncbi.nlm.nih.gov/gene/2023", "2023")</f>
        <v>2023</v>
      </c>
      <c r="D3930" t="str">
        <f>"enol-1"</f>
        <v>enol-1</v>
      </c>
      <c r="E3930" t="s">
        <v>3154</v>
      </c>
      <c r="F3930" t="s">
        <v>11</v>
      </c>
      <c r="G3930" t="s">
        <v>3155</v>
      </c>
      <c r="H3930" s="12">
        <v>-1.33089741355781</v>
      </c>
      <c r="I3930" s="20">
        <v>-1.4666556179969901</v>
      </c>
      <c r="J3930" s="28">
        <v>0.14246976191313199</v>
      </c>
      <c r="K3930" s="29">
        <v>0.83786339392806097</v>
      </c>
    </row>
    <row r="3931" spans="1:11" x14ac:dyDescent="0.35">
      <c r="A3931" s="9" t="str">
        <f>HYPERLINK("http://www.ensembl.org/id/WBGene00022231", "WBGene00022231")</f>
        <v>WBGene00022231</v>
      </c>
      <c r="B3931" s="9" t="str">
        <f>HYPERLINK("http://www.ncbi.nlm.nih.gov/gene/177411", "177411")</f>
        <v>177411</v>
      </c>
      <c r="C3931" s="9"/>
      <c r="D3931" t="str">
        <f>"tyr-6"</f>
        <v>tyr-6</v>
      </c>
      <c r="E3931" t="s">
        <v>567</v>
      </c>
      <c r="F3931" t="s">
        <v>11</v>
      </c>
      <c r="G3931" t="s">
        <v>568</v>
      </c>
      <c r="H3931" s="12">
        <v>1.3801651836697899</v>
      </c>
      <c r="I3931" s="20">
        <v>1.46664624322225</v>
      </c>
      <c r="J3931" s="28">
        <v>0.142472313457256</v>
      </c>
      <c r="K3931" s="29">
        <v>0.83786339392806097</v>
      </c>
    </row>
    <row r="3932" spans="1:11" x14ac:dyDescent="0.35">
      <c r="A3932" s="9" t="str">
        <f>HYPERLINK("http://www.ensembl.org/id/WBGene00009619", "WBGene00009619")</f>
        <v>WBGene00009619</v>
      </c>
      <c r="B3932" s="9" t="str">
        <f>HYPERLINK("http://www.ncbi.nlm.nih.gov/gene/185623", "185623")</f>
        <v>185623</v>
      </c>
      <c r="C3932" s="9" t="str">
        <f>HYPERLINK("http://www.ncbi.nlm.nih.gov/gene/4887", "4887")</f>
        <v>4887</v>
      </c>
      <c r="D3932" t="str">
        <f>"npr-6"</f>
        <v>npr-6</v>
      </c>
      <c r="E3932" t="s">
        <v>1021</v>
      </c>
      <c r="F3932" t="s">
        <v>11</v>
      </c>
      <c r="G3932" t="s">
        <v>1259</v>
      </c>
      <c r="H3932" s="12">
        <v>1.6647810280539399</v>
      </c>
      <c r="I3932" s="20">
        <v>1.4657739350625301</v>
      </c>
      <c r="J3932" s="28">
        <v>0.14270988419605701</v>
      </c>
      <c r="K3932" s="29">
        <v>0.83883352435362202</v>
      </c>
    </row>
    <row r="3933" spans="1:11" x14ac:dyDescent="0.35">
      <c r="A3933" s="9" t="str">
        <f>HYPERLINK("http://www.ensembl.org/id/WBGene00020682", "WBGene00020682")</f>
        <v>WBGene00020682</v>
      </c>
      <c r="B3933" s="9" t="str">
        <f>HYPERLINK("http://www.ncbi.nlm.nih.gov/gene/177457", "177457")</f>
        <v>177457</v>
      </c>
      <c r="C3933" s="9" t="str">
        <f>HYPERLINK("http://www.ncbi.nlm.nih.gov/gene/3614", "3614")</f>
        <v>3614</v>
      </c>
      <c r="D3933" t="str">
        <f>"T22D1.3"</f>
        <v>T22D1.3</v>
      </c>
      <c r="E3933" t="s">
        <v>3156</v>
      </c>
      <c r="F3933" t="s">
        <v>11</v>
      </c>
      <c r="G3933" t="s">
        <v>3157</v>
      </c>
      <c r="H3933" s="12">
        <v>-1.33499692604878</v>
      </c>
      <c r="I3933" s="20">
        <v>-1.4658857101012801</v>
      </c>
      <c r="J3933" s="28">
        <v>0.14267942559612001</v>
      </c>
      <c r="K3933" s="29">
        <v>0.83883352435362202</v>
      </c>
    </row>
    <row r="3934" spans="1:11" x14ac:dyDescent="0.35">
      <c r="A3934" s="9" t="str">
        <f>HYPERLINK("http://www.ensembl.org/id/WBGene00020068", "WBGene00020068")</f>
        <v>WBGene00020068</v>
      </c>
      <c r="B3934" s="9" t="str">
        <f>HYPERLINK("http://www.ncbi.nlm.nih.gov/gene/175956", "175956")</f>
        <v>175956</v>
      </c>
      <c r="C3934" s="9" t="str">
        <f>HYPERLINK("http://www.ncbi.nlm.nih.gov/gene/80018", "80018")</f>
        <v>80018</v>
      </c>
      <c r="D3934" t="str">
        <f>"cra-1"</f>
        <v>cra-1</v>
      </c>
      <c r="E3934" t="s">
        <v>3158</v>
      </c>
      <c r="F3934" t="s">
        <v>11</v>
      </c>
      <c r="G3934" t="s">
        <v>54</v>
      </c>
      <c r="H3934" s="12">
        <v>-1.3355605233113701</v>
      </c>
      <c r="I3934" s="20">
        <v>-1.46512600265847</v>
      </c>
      <c r="J3934" s="28">
        <v>0.14288654353476399</v>
      </c>
      <c r="K3934" s="29">
        <v>0.83923143744642803</v>
      </c>
    </row>
    <row r="3935" spans="1:11" x14ac:dyDescent="0.35">
      <c r="A3935" s="9" t="str">
        <f>HYPERLINK("http://www.ensembl.org/id/WBGene00017827", "WBGene00017827")</f>
        <v>WBGene00017827</v>
      </c>
      <c r="B3935" s="9" t="str">
        <f>HYPERLINK("http://www.ncbi.nlm.nih.gov/gene/175653", "175653")</f>
        <v>175653</v>
      </c>
      <c r="C3935" s="9"/>
      <c r="D3935" t="str">
        <f>"F26F4.5"</f>
        <v>F26F4.5</v>
      </c>
      <c r="F3935" t="s">
        <v>11</v>
      </c>
      <c r="G3935" t="s">
        <v>54</v>
      </c>
      <c r="H3935" s="12">
        <v>-1.3850703053373901</v>
      </c>
      <c r="I3935" s="20">
        <v>-1.4652080136732499</v>
      </c>
      <c r="J3935" s="28">
        <v>0.142864173886952</v>
      </c>
      <c r="K3935" s="29">
        <v>0.83923143744642803</v>
      </c>
    </row>
    <row r="3936" spans="1:11" x14ac:dyDescent="0.35">
      <c r="A3936" s="9" t="str">
        <f>HYPERLINK("http://www.ensembl.org/id/WBGene00012243", "WBGene00012243")</f>
        <v>WBGene00012243</v>
      </c>
      <c r="B3936" s="9" t="str">
        <f>HYPERLINK("http://www.ncbi.nlm.nih.gov/gene/179712", "179712")</f>
        <v>179712</v>
      </c>
      <c r="C3936" s="9"/>
      <c r="D3936" t="str">
        <f>"W04D2.4"</f>
        <v>W04D2.4</v>
      </c>
      <c r="F3936" t="s">
        <v>11</v>
      </c>
      <c r="H3936" s="12">
        <v>-1.36527438517224</v>
      </c>
      <c r="I3936" s="20">
        <v>-1.46514034185667</v>
      </c>
      <c r="J3936" s="28">
        <v>0.142882632124613</v>
      </c>
      <c r="K3936" s="29">
        <v>0.83923143744642803</v>
      </c>
    </row>
    <row r="3937" spans="1:11" x14ac:dyDescent="0.35">
      <c r="A3937" s="9" t="str">
        <f>HYPERLINK("http://www.ensembl.org/id/WBGene00017131", "WBGene00017131")</f>
        <v>WBGene00017131</v>
      </c>
      <c r="B3937" s="9" t="str">
        <f>HYPERLINK("http://www.ncbi.nlm.nih.gov/gene/184041", "184041")</f>
        <v>184041</v>
      </c>
      <c r="C3937" s="9" t="str">
        <f>HYPERLINK("http://www.ncbi.nlm.nih.gov/gene/51741", "51741")</f>
        <v>51741</v>
      </c>
      <c r="D3937" t="str">
        <f>"E04F6.15"</f>
        <v>E04F6.15</v>
      </c>
      <c r="F3937" t="s">
        <v>11</v>
      </c>
      <c r="G3937" t="s">
        <v>489</v>
      </c>
      <c r="H3937" s="12">
        <v>-1.56759757722794</v>
      </c>
      <c r="I3937" s="20">
        <v>-1.4643234312122799</v>
      </c>
      <c r="J3937" s="28">
        <v>0.143105597980691</v>
      </c>
      <c r="K3937" s="29">
        <v>0.839769415098088</v>
      </c>
    </row>
    <row r="3938" spans="1:11" x14ac:dyDescent="0.35">
      <c r="A3938" s="9" t="str">
        <f>HYPERLINK("http://www.ensembl.org/id/WBGene00010288", "WBGene00010288")</f>
        <v>WBGene00010288</v>
      </c>
      <c r="B3938" s="9" t="str">
        <f>HYPERLINK("http://www.ncbi.nlm.nih.gov/gene/179635", "179635")</f>
        <v>179635</v>
      </c>
      <c r="C3938" s="9"/>
      <c r="D3938" t="str">
        <f>"F58H1.5"</f>
        <v>F58H1.5</v>
      </c>
      <c r="F3938" t="s">
        <v>11</v>
      </c>
      <c r="G3938" t="s">
        <v>25</v>
      </c>
      <c r="H3938" s="12">
        <v>1.44789698199258</v>
      </c>
      <c r="I3938" s="20">
        <v>1.4645937952717201</v>
      </c>
      <c r="J3938" s="28">
        <v>0.14303177585040999</v>
      </c>
      <c r="K3938" s="29">
        <v>0.839769415098088</v>
      </c>
    </row>
    <row r="3939" spans="1:11" x14ac:dyDescent="0.35">
      <c r="A3939" s="9" t="str">
        <f>HYPERLINK("http://www.ensembl.org/id/WBGene00018573", "WBGene00018573")</f>
        <v>WBGene00018573</v>
      </c>
      <c r="B3939" s="9" t="str">
        <f>HYPERLINK("http://www.ncbi.nlm.nih.gov/gene/185942", "185942")</f>
        <v>185942</v>
      </c>
      <c r="C3939" s="9"/>
      <c r="D3939" t="str">
        <f>"oac-30"</f>
        <v>oac-30</v>
      </c>
      <c r="E3939" t="s">
        <v>883</v>
      </c>
      <c r="F3939" t="s">
        <v>11</v>
      </c>
      <c r="G3939" t="s">
        <v>2293</v>
      </c>
      <c r="H3939" s="12">
        <v>4.9270510431969496</v>
      </c>
      <c r="I3939" s="20">
        <v>1.46425782555122</v>
      </c>
      <c r="J3939" s="28">
        <v>0.143123515825165</v>
      </c>
      <c r="K3939" s="29">
        <v>0.839769415098088</v>
      </c>
    </row>
    <row r="3940" spans="1:11" x14ac:dyDescent="0.35">
      <c r="A3940" s="9" t="str">
        <f>HYPERLINK("http://www.ensembl.org/id/WBGene00003966", "WBGene00003966")</f>
        <v>WBGene00003966</v>
      </c>
      <c r="B3940" s="9" t="str">
        <f>HYPERLINK("http://www.ncbi.nlm.nih.gov/gene/191741", "191741")</f>
        <v>191741</v>
      </c>
      <c r="C3940" s="9" t="str">
        <f>HYPERLINK("http://www.ncbi.nlm.nih.gov/gene/5147", "5147")</f>
        <v>5147</v>
      </c>
      <c r="D3940" t="str">
        <f>"pdl-1"</f>
        <v>pdl-1</v>
      </c>
      <c r="E3940" t="s">
        <v>3159</v>
      </c>
      <c r="F3940" t="s">
        <v>11</v>
      </c>
      <c r="G3940" t="s">
        <v>3160</v>
      </c>
      <c r="H3940" s="12">
        <v>1.4982064681774301</v>
      </c>
      <c r="I3940" s="20">
        <v>1.4642606561953599</v>
      </c>
      <c r="J3940" s="28">
        <v>0.14312274270022701</v>
      </c>
      <c r="K3940" s="29">
        <v>0.839769415098088</v>
      </c>
    </row>
    <row r="3941" spans="1:11" x14ac:dyDescent="0.35">
      <c r="A3941" s="9" t="str">
        <f>HYPERLINK("http://www.ensembl.org/id/WBGene00010747", "WBGene00010747")</f>
        <v>WBGene00010747</v>
      </c>
      <c r="B3941" s="9" t="str">
        <f>HYPERLINK("http://www.ncbi.nlm.nih.gov/gene/187268", "187268")</f>
        <v>187268</v>
      </c>
      <c r="C3941" s="9"/>
      <c r="D3941" t="str">
        <f>"K10D11.3"</f>
        <v>K10D11.3</v>
      </c>
      <c r="F3941" t="s">
        <v>11</v>
      </c>
      <c r="H3941" s="12">
        <v>-2.5267405341756599</v>
      </c>
      <c r="I3941" s="20">
        <v>-1.4640346618842399</v>
      </c>
      <c r="J3941" s="28">
        <v>0.14318447790160599</v>
      </c>
      <c r="K3941" s="29">
        <v>0.83991382239007695</v>
      </c>
    </row>
    <row r="3942" spans="1:11" x14ac:dyDescent="0.35">
      <c r="A3942" s="9" t="str">
        <f>HYPERLINK("http://www.ensembl.org/id/WBGene00166235", "WBGene00166235")</f>
        <v>WBGene00166235</v>
      </c>
      <c r="B3942" s="9"/>
      <c r="C3942" s="9"/>
      <c r="D3942" t="str">
        <f>"21ur-10387"</f>
        <v>21ur-10387</v>
      </c>
      <c r="F3942" t="s">
        <v>3161</v>
      </c>
      <c r="H3942" s="12">
        <v>29.540053237492199</v>
      </c>
      <c r="I3942" s="20">
        <v>1.4631833538486301</v>
      </c>
      <c r="J3942" s="28">
        <v>0.143417214433637</v>
      </c>
      <c r="K3942" s="29">
        <v>0.84026886237458398</v>
      </c>
    </row>
    <row r="3943" spans="1:11" x14ac:dyDescent="0.35">
      <c r="A3943" s="9" t="str">
        <f>HYPERLINK("http://www.ensembl.org/id/WBGene00016374", "WBGene00016374")</f>
        <v>WBGene00016374</v>
      </c>
      <c r="B3943" s="9" t="str">
        <f>HYPERLINK("http://www.ncbi.nlm.nih.gov/gene/177561", "177561")</f>
        <v>177561</v>
      </c>
      <c r="C3943" s="9" t="str">
        <f>HYPERLINK("http://www.ncbi.nlm.nih.gov/gene/80335", "80335")</f>
        <v>80335</v>
      </c>
      <c r="D3943" t="str">
        <f>"swd-2.2"</f>
        <v>swd-2.2</v>
      </c>
      <c r="E3943" t="s">
        <v>1809</v>
      </c>
      <c r="F3943" t="s">
        <v>11</v>
      </c>
      <c r="G3943" t="s">
        <v>1810</v>
      </c>
      <c r="H3943" s="12">
        <v>-1.40120885150234</v>
      </c>
      <c r="I3943" s="20">
        <v>-1.4633010624394001</v>
      </c>
      <c r="J3943" s="28">
        <v>0.14338501716034899</v>
      </c>
      <c r="K3943" s="29">
        <v>0.84026886237458398</v>
      </c>
    </row>
    <row r="3944" spans="1:11" x14ac:dyDescent="0.35">
      <c r="A3944" s="9" t="str">
        <f>HYPERLINK("http://www.ensembl.org/id/WBGene00018738", "WBGene00018738")</f>
        <v>WBGene00018738</v>
      </c>
      <c r="B3944" s="9" t="str">
        <f>HYPERLINK("http://www.ncbi.nlm.nih.gov/gene/180526", "180526")</f>
        <v>180526</v>
      </c>
      <c r="C3944" s="9"/>
      <c r="D3944" t="str">
        <f>"swip-10"</f>
        <v>swip-10</v>
      </c>
      <c r="E3944" t="s">
        <v>3162</v>
      </c>
      <c r="F3944" t="s">
        <v>11</v>
      </c>
      <c r="H3944" s="12">
        <v>1.8835646162239199</v>
      </c>
      <c r="I3944" s="20">
        <v>1.4632220988462701</v>
      </c>
      <c r="J3944" s="28">
        <v>0.143406615756525</v>
      </c>
      <c r="K3944" s="29">
        <v>0.84026886237458398</v>
      </c>
    </row>
    <row r="3945" spans="1:11" x14ac:dyDescent="0.35">
      <c r="A3945" s="9" t="str">
        <f>HYPERLINK("http://www.ensembl.org/id/WBGene00021072", "WBGene00021072")</f>
        <v>WBGene00021072</v>
      </c>
      <c r="B3945" s="9" t="str">
        <f>HYPERLINK("http://www.ncbi.nlm.nih.gov/gene/178611", "178611")</f>
        <v>178611</v>
      </c>
      <c r="C3945" s="9"/>
      <c r="D3945" t="str">
        <f>"W07B8.4"</f>
        <v>W07B8.4</v>
      </c>
      <c r="F3945" t="s">
        <v>11</v>
      </c>
      <c r="G3945" t="s">
        <v>1296</v>
      </c>
      <c r="H3945" s="12">
        <v>-4.9367806075382896</v>
      </c>
      <c r="I3945" s="20">
        <v>-1.46314819528539</v>
      </c>
      <c r="J3945" s="28">
        <v>0.14342683256320299</v>
      </c>
      <c r="K3945" s="29">
        <v>0.84026886237458398</v>
      </c>
    </row>
    <row r="3946" spans="1:11" x14ac:dyDescent="0.35">
      <c r="A3946" s="9" t="str">
        <f>HYPERLINK("http://www.ensembl.org/id/WBGene00196848", "WBGene00196848")</f>
        <v>WBGene00196848</v>
      </c>
      <c r="B3946" s="9"/>
      <c r="C3946" s="9"/>
      <c r="D3946" t="str">
        <f>"ZK353.11"</f>
        <v>ZK353.11</v>
      </c>
      <c r="F3946" t="s">
        <v>481</v>
      </c>
      <c r="H3946" s="12">
        <v>29.540053237492199</v>
      </c>
      <c r="I3946" s="20">
        <v>1.4631833538486301</v>
      </c>
      <c r="J3946" s="28">
        <v>0.143417214433637</v>
      </c>
      <c r="K3946" s="29">
        <v>0.84026886237458398</v>
      </c>
    </row>
    <row r="3947" spans="1:11" x14ac:dyDescent="0.35">
      <c r="A3947" s="9" t="str">
        <f>HYPERLINK("http://www.ensembl.org/id/WBGene00017765", "WBGene00017765")</f>
        <v>WBGene00017765</v>
      </c>
      <c r="B3947" s="9" t="str">
        <f>HYPERLINK("http://www.ncbi.nlm.nih.gov/gene/178960", "178960")</f>
        <v>178960</v>
      </c>
      <c r="C3947" s="9" t="str">
        <f>HYPERLINK("http://www.ncbi.nlm.nih.gov/gene/275", "275")</f>
        <v>275</v>
      </c>
      <c r="D3947" t="str">
        <f>"gcst-1"</f>
        <v>gcst-1</v>
      </c>
      <c r="E3947" t="s">
        <v>3164</v>
      </c>
      <c r="F3947" t="s">
        <v>11</v>
      </c>
      <c r="G3947" t="s">
        <v>3165</v>
      </c>
      <c r="H3947" s="12">
        <v>-1.31856269456301</v>
      </c>
      <c r="I3947" s="20">
        <v>-1.4629071687784301</v>
      </c>
      <c r="J3947" s="28">
        <v>0.143492782146834</v>
      </c>
      <c r="K3947" s="29">
        <v>0.84042595113933805</v>
      </c>
    </row>
    <row r="3948" spans="1:11" x14ac:dyDescent="0.35">
      <c r="A3948" s="9" t="str">
        <f>HYPERLINK("http://www.ensembl.org/id/WBGene00013856", "WBGene00013856")</f>
        <v>WBGene00013856</v>
      </c>
      <c r="B3948" s="9" t="str">
        <f>HYPERLINK("http://www.ncbi.nlm.nih.gov/gene/191091", "191091")</f>
        <v>191091</v>
      </c>
      <c r="C3948" s="9"/>
      <c r="D3948" t="str">
        <f>"ZC168.2"</f>
        <v>ZC168.2</v>
      </c>
      <c r="F3948" t="s">
        <v>11</v>
      </c>
      <c r="G3948" t="s">
        <v>3163</v>
      </c>
      <c r="H3948" s="12">
        <v>2.46741176100545</v>
      </c>
      <c r="I3948" s="20">
        <v>1.4627843688833899</v>
      </c>
      <c r="J3948" s="28">
        <v>0.143526391551797</v>
      </c>
      <c r="K3948" s="29">
        <v>0.84042595113933805</v>
      </c>
    </row>
    <row r="3949" spans="1:11" x14ac:dyDescent="0.35">
      <c r="A3949" s="9" t="str">
        <f>HYPERLINK("http://www.ensembl.org/id/WBGene00044332", "WBGene00044332")</f>
        <v>WBGene00044332</v>
      </c>
      <c r="B3949" s="9" t="str">
        <f>HYPERLINK("http://www.ncbi.nlm.nih.gov/gene/3565454", "3565454")</f>
        <v>3565454</v>
      </c>
      <c r="C3949" s="9"/>
      <c r="D3949" t="str">
        <f>"clec-36"</f>
        <v>clec-36</v>
      </c>
      <c r="E3949" t="s">
        <v>46</v>
      </c>
      <c r="F3949" t="s">
        <v>11</v>
      </c>
      <c r="G3949" t="s">
        <v>2771</v>
      </c>
      <c r="H3949" s="12">
        <v>-3.5041341252041698</v>
      </c>
      <c r="I3949" s="20">
        <v>-1.46154069946412</v>
      </c>
      <c r="J3949" s="28">
        <v>0.14386711480730699</v>
      </c>
      <c r="K3949" s="29">
        <v>0.84057228983786503</v>
      </c>
    </row>
    <row r="3950" spans="1:11" x14ac:dyDescent="0.35">
      <c r="A3950" s="9" t="str">
        <f>HYPERLINK("http://www.ensembl.org/id/WBGene00010575", "WBGene00010575")</f>
        <v>WBGene00010575</v>
      </c>
      <c r="B3950" s="9" t="str">
        <f>HYPERLINK("http://www.ncbi.nlm.nih.gov/gene/3564828", "3564828")</f>
        <v>3564828</v>
      </c>
      <c r="C3950" s="9"/>
      <c r="D3950" t="str">
        <f>"flp-25"</f>
        <v>flp-25</v>
      </c>
      <c r="E3950" t="s">
        <v>401</v>
      </c>
      <c r="F3950" t="s">
        <v>11</v>
      </c>
      <c r="G3950" t="s">
        <v>908</v>
      </c>
      <c r="H3950" s="12">
        <v>1.4588110508382299</v>
      </c>
      <c r="I3950" s="20">
        <v>1.4614981106948901</v>
      </c>
      <c r="J3950" s="28">
        <v>0.143878793660034</v>
      </c>
      <c r="K3950" s="29">
        <v>0.84057228983786503</v>
      </c>
    </row>
    <row r="3951" spans="1:11" x14ac:dyDescent="0.35">
      <c r="A3951" s="9" t="str">
        <f>HYPERLINK("http://www.ensembl.org/id/WBGene00022717", "WBGene00022717")</f>
        <v>WBGene00022717</v>
      </c>
      <c r="B3951" s="9" t="str">
        <f>HYPERLINK("http://www.ncbi.nlm.nih.gov/gene/176224", "176224")</f>
        <v>176224</v>
      </c>
      <c r="C3951" s="9" t="str">
        <f>HYPERLINK("http://www.ncbi.nlm.nih.gov/gene/3092", "3092")</f>
        <v>3092</v>
      </c>
      <c r="D3951" t="str">
        <f>"hipr-1"</f>
        <v>hipr-1</v>
      </c>
      <c r="E3951" t="s">
        <v>3166</v>
      </c>
      <c r="F3951" t="s">
        <v>11</v>
      </c>
      <c r="G3951" t="s">
        <v>3167</v>
      </c>
      <c r="H3951" s="12">
        <v>-1.3054230317453499</v>
      </c>
      <c r="I3951" s="20">
        <v>-1.4616347402860801</v>
      </c>
      <c r="J3951" s="28">
        <v>0.14384132915357001</v>
      </c>
      <c r="K3951" s="29">
        <v>0.84057228983786503</v>
      </c>
    </row>
    <row r="3952" spans="1:11" x14ac:dyDescent="0.35">
      <c r="A3952" s="9" t="str">
        <f>HYPERLINK("http://www.ensembl.org/id/WBGene00019498", "WBGene00019498")</f>
        <v>WBGene00019498</v>
      </c>
      <c r="B3952" s="9" t="str">
        <f>HYPERLINK("http://www.ncbi.nlm.nih.gov/gene/173456", "173456")</f>
        <v>173456</v>
      </c>
      <c r="C3952" s="9"/>
      <c r="D3952" t="str">
        <f>"K07E8.7"</f>
        <v>K07E8.7</v>
      </c>
      <c r="E3952" t="s">
        <v>3173</v>
      </c>
      <c r="F3952" t="s">
        <v>11</v>
      </c>
      <c r="G3952" t="s">
        <v>3174</v>
      </c>
      <c r="H3952" s="12">
        <v>-1.4344366151735899</v>
      </c>
      <c r="I3952" s="20">
        <v>-1.46219299187204</v>
      </c>
      <c r="J3952" s="28">
        <v>0.143688331540892</v>
      </c>
      <c r="K3952" s="29">
        <v>0.84057228983786503</v>
      </c>
    </row>
    <row r="3953" spans="1:11" x14ac:dyDescent="0.35">
      <c r="A3953" s="9" t="str">
        <f>HYPERLINK("http://www.ensembl.org/id/WBGene00010814", "WBGene00010814")</f>
        <v>WBGene00010814</v>
      </c>
      <c r="B3953" s="9" t="str">
        <f>HYPERLINK("http://www.ncbi.nlm.nih.gov/gene/175454", "175454")</f>
        <v>175454</v>
      </c>
      <c r="C3953" s="9"/>
      <c r="D3953" t="str">
        <f>"M01F1.8"</f>
        <v>M01F1.8</v>
      </c>
      <c r="F3953" t="s">
        <v>11</v>
      </c>
      <c r="H3953" s="12">
        <v>-1.4942709014526501</v>
      </c>
      <c r="I3953" s="20">
        <v>-1.4624416232200199</v>
      </c>
      <c r="J3953" s="28">
        <v>0.14362023040004701</v>
      </c>
      <c r="K3953" s="29">
        <v>0.84057228983786503</v>
      </c>
    </row>
    <row r="3954" spans="1:11" x14ac:dyDescent="0.35">
      <c r="A3954" s="9" t="str">
        <f>HYPERLINK("http://www.ensembl.org/id/WBGene00009661", "WBGene00009661")</f>
        <v>WBGene00009661</v>
      </c>
      <c r="B3954" s="9" t="str">
        <f>HYPERLINK("http://www.ncbi.nlm.nih.gov/gene/174808", "174808")</f>
        <v>174808</v>
      </c>
      <c r="C3954" s="9"/>
      <c r="D3954" t="str">
        <f>"patr-1"</f>
        <v>patr-1</v>
      </c>
      <c r="F3954" t="s">
        <v>11</v>
      </c>
      <c r="G3954" t="s">
        <v>3168</v>
      </c>
      <c r="H3954" s="12">
        <v>-1.3205365645037701</v>
      </c>
      <c r="I3954" s="20">
        <v>-1.46175994502345</v>
      </c>
      <c r="J3954" s="28">
        <v>0.14380700396711699</v>
      </c>
      <c r="K3954" s="29">
        <v>0.84057228983786503</v>
      </c>
    </row>
    <row r="3955" spans="1:11" x14ac:dyDescent="0.35">
      <c r="A3955" s="9" t="str">
        <f>HYPERLINK("http://www.ensembl.org/id/WBGene00003803", "WBGene00003803")</f>
        <v>WBGene00003803</v>
      </c>
      <c r="B3955" s="9" t="str">
        <f>HYPERLINK("http://www.ncbi.nlm.nih.gov/gene/172864", "172864")</f>
        <v>172864</v>
      </c>
      <c r="C3955" s="9" t="str">
        <f>HYPERLINK("http://www.ncbi.nlm.nih.gov/gene/8480", "8480")</f>
        <v>8480</v>
      </c>
      <c r="D3955" t="str">
        <f>"rae-1"</f>
        <v>rae-1</v>
      </c>
      <c r="E3955" t="s">
        <v>3171</v>
      </c>
      <c r="F3955" t="s">
        <v>11</v>
      </c>
      <c r="G3955" t="s">
        <v>3172</v>
      </c>
      <c r="H3955" s="12">
        <v>-1.3390056548504501</v>
      </c>
      <c r="I3955" s="20">
        <v>-1.4621364540192301</v>
      </c>
      <c r="J3955" s="28">
        <v>0.14370382094499701</v>
      </c>
      <c r="K3955" s="29">
        <v>0.84057228983786503</v>
      </c>
    </row>
    <row r="3956" spans="1:11" x14ac:dyDescent="0.35">
      <c r="A3956" s="9" t="str">
        <f>HYPERLINK("http://www.ensembl.org/id/WBGene00004302", "WBGene00004302")</f>
        <v>WBGene00004302</v>
      </c>
      <c r="B3956" s="9" t="str">
        <f>HYPERLINK("http://www.ncbi.nlm.nih.gov/gene/176503", "176503")</f>
        <v>176503</v>
      </c>
      <c r="C3956" s="9" t="str">
        <f>HYPERLINK("http://www.ncbi.nlm.nih.gov/gene/5901", "5901")</f>
        <v>5901</v>
      </c>
      <c r="D3956" t="str">
        <f>"ran-1"</f>
        <v>ran-1</v>
      </c>
      <c r="E3956" t="s">
        <v>3169</v>
      </c>
      <c r="F3956" t="s">
        <v>11</v>
      </c>
      <c r="G3956" t="s">
        <v>3170</v>
      </c>
      <c r="H3956" s="12">
        <v>-1.3262342444978099</v>
      </c>
      <c r="I3956" s="20">
        <v>-1.4616179029127401</v>
      </c>
      <c r="J3956" s="28">
        <v>0.14384594564005501</v>
      </c>
      <c r="K3956" s="29">
        <v>0.84057228983786503</v>
      </c>
    </row>
    <row r="3957" spans="1:11" x14ac:dyDescent="0.35">
      <c r="A3957" s="9" t="str">
        <f>HYPERLINK("http://www.ensembl.org/id/WBGene00271821", "WBGene00271821")</f>
        <v>WBGene00271821</v>
      </c>
      <c r="B3957" s="9" t="str">
        <f>HYPERLINK("http://www.ncbi.nlm.nih.gov/gene/34700647", "34700647")</f>
        <v>34700647</v>
      </c>
      <c r="C3957" s="9"/>
      <c r="D3957" t="str">
        <f>"T28C12.15"</f>
        <v>T28C12.15</v>
      </c>
      <c r="F3957" t="s">
        <v>11</v>
      </c>
      <c r="H3957" s="12">
        <v>3.9239986838375902</v>
      </c>
      <c r="I3957" s="20">
        <v>1.46190795748609</v>
      </c>
      <c r="J3957" s="28">
        <v>0.14376643408891099</v>
      </c>
      <c r="K3957" s="29">
        <v>0.84057228983786503</v>
      </c>
    </row>
    <row r="3958" spans="1:11" x14ac:dyDescent="0.35">
      <c r="A3958" s="9" t="str">
        <f>HYPERLINK("http://www.ensembl.org/id/WBGene00013169", "WBGene00013169")</f>
        <v>WBGene00013169</v>
      </c>
      <c r="B3958" s="9" t="str">
        <f>HYPERLINK("http://www.ncbi.nlm.nih.gov/gene/190220", "190220")</f>
        <v>190220</v>
      </c>
      <c r="C3958" s="9"/>
      <c r="D3958" t="str">
        <f>"Y53F4B.23"</f>
        <v>Y53F4B.23</v>
      </c>
      <c r="F3958" t="s">
        <v>11</v>
      </c>
      <c r="H3958" s="12">
        <v>-4.0829311960845596</v>
      </c>
      <c r="I3958" s="20">
        <v>-1.4612692845798201</v>
      </c>
      <c r="J3958" s="28">
        <v>0.14394155566577599</v>
      </c>
      <c r="K3958" s="29">
        <v>0.84072638655546295</v>
      </c>
    </row>
    <row r="3959" spans="1:11" x14ac:dyDescent="0.35">
      <c r="A3959" s="9" t="str">
        <f>HYPERLINK("http://www.ensembl.org/id/WBGene00016345", "WBGene00016345")</f>
        <v>WBGene00016345</v>
      </c>
      <c r="B3959" s="9" t="str">
        <f>HYPERLINK("http://www.ncbi.nlm.nih.gov/gene/181763", "181763")</f>
        <v>181763</v>
      </c>
      <c r="C3959" s="9"/>
      <c r="D3959" t="str">
        <f>"C33E10.1"</f>
        <v>C33E10.1</v>
      </c>
      <c r="F3959" t="s">
        <v>11</v>
      </c>
      <c r="G3959" t="s">
        <v>54</v>
      </c>
      <c r="H3959" s="12">
        <v>1.96564678102055</v>
      </c>
      <c r="I3959" s="20">
        <v>1.4588229352347999</v>
      </c>
      <c r="J3959" s="28">
        <v>0.14461384831596</v>
      </c>
      <c r="K3959" s="29">
        <v>0.84103890742224097</v>
      </c>
    </row>
    <row r="3960" spans="1:11" x14ac:dyDescent="0.35">
      <c r="A3960" s="9" t="str">
        <f>HYPERLINK("http://www.ensembl.org/id/WBGene00219859", "WBGene00219859")</f>
        <v>WBGene00219859</v>
      </c>
      <c r="B3960" s="9"/>
      <c r="C3960" s="9"/>
      <c r="D3960" t="str">
        <f>"C49F5.11"</f>
        <v>C49F5.11</v>
      </c>
      <c r="F3960" t="s">
        <v>481</v>
      </c>
      <c r="H3960" s="12">
        <v>-1.5710906024582301</v>
      </c>
      <c r="I3960" s="20">
        <v>-1.45986121197293</v>
      </c>
      <c r="J3960" s="28">
        <v>0.144328221337196</v>
      </c>
      <c r="K3960" s="29">
        <v>0.84103890742224097</v>
      </c>
    </row>
    <row r="3961" spans="1:11" x14ac:dyDescent="0.35">
      <c r="A3961" s="9" t="str">
        <f>HYPERLINK("http://www.ensembl.org/id/WBGene00011636", "WBGene00011636")</f>
        <v>WBGene00011636</v>
      </c>
      <c r="B3961" s="9" t="str">
        <f>HYPERLINK("http://www.ncbi.nlm.nih.gov/gene/174265", "174265")</f>
        <v>174265</v>
      </c>
      <c r="C3961" s="9"/>
      <c r="D3961" t="str">
        <f>"cec-3"</f>
        <v>cec-3</v>
      </c>
      <c r="E3961" t="s">
        <v>3178</v>
      </c>
      <c r="F3961" t="s">
        <v>11</v>
      </c>
      <c r="H3961" s="12">
        <v>-1.3620828830481599</v>
      </c>
      <c r="I3961" s="20">
        <v>-1.45946478380324</v>
      </c>
      <c r="J3961" s="28">
        <v>0.144437226525999</v>
      </c>
      <c r="K3961" s="29">
        <v>0.84103890742224097</v>
      </c>
    </row>
    <row r="3962" spans="1:11" x14ac:dyDescent="0.35">
      <c r="A3962" s="9" t="str">
        <f>HYPERLINK("http://www.ensembl.org/id/WBGene00009130", "WBGene00009130")</f>
        <v>WBGene00009130</v>
      </c>
      <c r="B3962" s="9" t="str">
        <f>HYPERLINK("http://www.ncbi.nlm.nih.gov/gene/184939", "184939")</f>
        <v>184939</v>
      </c>
      <c r="C3962" s="9"/>
      <c r="D3962" t="str">
        <f>"F25H5.8"</f>
        <v>F25H5.8</v>
      </c>
      <c r="F3962" t="s">
        <v>11</v>
      </c>
      <c r="G3962" t="s">
        <v>25</v>
      </c>
      <c r="H3962" s="12">
        <v>-1.3030082803788801</v>
      </c>
      <c r="I3962" s="20">
        <v>-1.4601453921552601</v>
      </c>
      <c r="J3962" s="28">
        <v>0.14425011959905401</v>
      </c>
      <c r="K3962" s="29">
        <v>0.84103890742224097</v>
      </c>
    </row>
    <row r="3963" spans="1:11" x14ac:dyDescent="0.35">
      <c r="A3963" s="9" t="str">
        <f>HYPERLINK("http://www.ensembl.org/id/WBGene00017890", "WBGene00017890")</f>
        <v>WBGene00017890</v>
      </c>
      <c r="B3963" s="9" t="str">
        <f>HYPERLINK("http://www.ncbi.nlm.nih.gov/gene/185045", "185045")</f>
        <v>185045</v>
      </c>
      <c r="C3963" s="9"/>
      <c r="D3963" t="str">
        <f>"F28B4.1"</f>
        <v>F28B4.1</v>
      </c>
      <c r="F3963" t="s">
        <v>11</v>
      </c>
      <c r="G3963" t="s">
        <v>25</v>
      </c>
      <c r="H3963" s="12">
        <v>3.3611554086681701</v>
      </c>
      <c r="I3963" s="20">
        <v>1.45882395781408</v>
      </c>
      <c r="J3963" s="28">
        <v>0.14461356679436799</v>
      </c>
      <c r="K3963" s="29">
        <v>0.84103890742224097</v>
      </c>
    </row>
    <row r="3964" spans="1:11" x14ac:dyDescent="0.35">
      <c r="A3964" s="9" t="str">
        <f>HYPERLINK("http://www.ensembl.org/id/WBGene00001559", "WBGene00001559")</f>
        <v>WBGene00001559</v>
      </c>
      <c r="B3964" s="9" t="str">
        <f>HYPERLINK("http://www.ncbi.nlm.nih.gov/gene/175436", "175436")</f>
        <v>175436</v>
      </c>
      <c r="C3964" s="9"/>
      <c r="D3964" t="str">
        <f>"gei-1"</f>
        <v>gei-1</v>
      </c>
      <c r="E3964" t="s">
        <v>510</v>
      </c>
      <c r="F3964" t="s">
        <v>11</v>
      </c>
      <c r="G3964" t="s">
        <v>3175</v>
      </c>
      <c r="H3964" s="12">
        <v>-1.30539481011324</v>
      </c>
      <c r="I3964" s="20">
        <v>-1.4596586008444099</v>
      </c>
      <c r="J3964" s="28">
        <v>0.144383925098689</v>
      </c>
      <c r="K3964" s="29">
        <v>0.84103890742224097</v>
      </c>
    </row>
    <row r="3965" spans="1:11" x14ac:dyDescent="0.35">
      <c r="A3965" s="9" t="str">
        <f>HYPERLINK("http://www.ensembl.org/id/WBGene00007614", "WBGene00007614")</f>
        <v>WBGene00007614</v>
      </c>
      <c r="B3965" s="9" t="str">
        <f>HYPERLINK("http://www.ncbi.nlm.nih.gov/gene/182647", "182647")</f>
        <v>182647</v>
      </c>
      <c r="C3965" s="9"/>
      <c r="D3965" t="str">
        <f>"gnrr-2"</f>
        <v>gnrr-2</v>
      </c>
      <c r="E3965" t="s">
        <v>270</v>
      </c>
      <c r="F3965" t="s">
        <v>11</v>
      </c>
      <c r="G3965" t="s">
        <v>1022</v>
      </c>
      <c r="H3965" s="12">
        <v>1.63449363471373</v>
      </c>
      <c r="I3965" s="20">
        <v>1.4596725134724999</v>
      </c>
      <c r="J3965" s="28">
        <v>0.14438009958100101</v>
      </c>
      <c r="K3965" s="29">
        <v>0.84103890742224097</v>
      </c>
    </row>
    <row r="3966" spans="1:11" x14ac:dyDescent="0.35">
      <c r="A3966" s="9" t="str">
        <f>HYPERLINK("http://www.ensembl.org/id/WBGene00008736", "WBGene00008736")</f>
        <v>WBGene00008736</v>
      </c>
      <c r="B3966" s="9" t="str">
        <f>HYPERLINK("http://www.ncbi.nlm.nih.gov/gene/184413", "184413")</f>
        <v>184413</v>
      </c>
      <c r="C3966" s="9"/>
      <c r="D3966" t="str">
        <f>"gnrr-6"</f>
        <v>gnrr-6</v>
      </c>
      <c r="E3966" t="s">
        <v>270</v>
      </c>
      <c r="F3966" t="s">
        <v>11</v>
      </c>
      <c r="G3966" t="s">
        <v>1022</v>
      </c>
      <c r="H3966" s="12">
        <v>1.6153614250467401</v>
      </c>
      <c r="I3966" s="20">
        <v>1.4595264324050501</v>
      </c>
      <c r="J3966" s="28">
        <v>0.144420270971446</v>
      </c>
      <c r="K3966" s="29">
        <v>0.84103890742224097</v>
      </c>
    </row>
    <row r="3967" spans="1:11" x14ac:dyDescent="0.35">
      <c r="A3967" s="9" t="str">
        <f>HYPERLINK("http://www.ensembl.org/id/WBGene00001815", "WBGene00001815")</f>
        <v>WBGene00001815</v>
      </c>
      <c r="B3967" s="9" t="str">
        <f>HYPERLINK("http://www.ncbi.nlm.nih.gov/gene/176540", "176540")</f>
        <v>176540</v>
      </c>
      <c r="C3967" s="9" t="str">
        <f>HYPERLINK("http://www.ncbi.nlm.nih.gov/gene/10058", "10058")</f>
        <v>10058</v>
      </c>
      <c r="D3967" t="str">
        <f>"hmt-1"</f>
        <v>hmt-1</v>
      </c>
      <c r="E3967" t="s">
        <v>3176</v>
      </c>
      <c r="F3967" t="s">
        <v>11</v>
      </c>
      <c r="G3967" t="s">
        <v>3177</v>
      </c>
      <c r="H3967" s="12">
        <v>-1.35042454918494</v>
      </c>
      <c r="I3967" s="20">
        <v>-1.4589230434473699</v>
      </c>
      <c r="J3967" s="28">
        <v>0.144586289976984</v>
      </c>
      <c r="K3967" s="29">
        <v>0.84103890742224097</v>
      </c>
    </row>
    <row r="3968" spans="1:11" x14ac:dyDescent="0.35">
      <c r="A3968" s="9" t="str">
        <f>HYPERLINK("http://www.ensembl.org/id/WBGene00219285", "WBGene00219285")</f>
        <v>WBGene00219285</v>
      </c>
      <c r="B3968" s="9" t="str">
        <f>HYPERLINK("http://www.ncbi.nlm.nih.gov/gene/13181551", "13181551")</f>
        <v>13181551</v>
      </c>
      <c r="C3968" s="9"/>
      <c r="D3968" t="str">
        <f>"K07A1.20"</f>
        <v>K07A1.20</v>
      </c>
      <c r="F3968" t="s">
        <v>11</v>
      </c>
      <c r="H3968" s="12">
        <v>7.5452970469065299</v>
      </c>
      <c r="I3968" s="20">
        <v>1.4608655375458699</v>
      </c>
      <c r="J3968" s="28">
        <v>0.14405234585145199</v>
      </c>
      <c r="K3968" s="29">
        <v>0.84103890742224097</v>
      </c>
    </row>
    <row r="3969" spans="1:11" x14ac:dyDescent="0.35">
      <c r="A3969" s="9" t="str">
        <f>HYPERLINK("http://www.ensembl.org/id/WBGene00003711", "WBGene00003711")</f>
        <v>WBGene00003711</v>
      </c>
      <c r="B3969" s="9" t="str">
        <f>HYPERLINK("http://www.ncbi.nlm.nih.gov/gene/184003", "184003")</f>
        <v>184003</v>
      </c>
      <c r="C3969" s="9"/>
      <c r="D3969" t="str">
        <f>"nhr-121"</f>
        <v>nhr-121</v>
      </c>
      <c r="E3969" t="s">
        <v>3181</v>
      </c>
      <c r="F3969" t="s">
        <v>11</v>
      </c>
      <c r="G3969" t="s">
        <v>2789</v>
      </c>
      <c r="H3969" s="12">
        <v>-1.4550944627762701</v>
      </c>
      <c r="I3969" s="20">
        <v>-1.45912843614203</v>
      </c>
      <c r="J3969" s="28">
        <v>0.144529760946214</v>
      </c>
      <c r="K3969" s="29">
        <v>0.84103890742224097</v>
      </c>
    </row>
    <row r="3970" spans="1:11" x14ac:dyDescent="0.35">
      <c r="A3970" s="9" t="str">
        <f>HYPERLINK("http://www.ensembl.org/id/WBGene00014139", "WBGene00014139")</f>
        <v>WBGene00014139</v>
      </c>
      <c r="B3970" s="9" t="str">
        <f>HYPERLINK("http://www.ncbi.nlm.nih.gov/gene/191452", "191452")</f>
        <v>191452</v>
      </c>
      <c r="C3970" s="9" t="str">
        <f>HYPERLINK("http://www.ncbi.nlm.nih.gov/gene/7355", "7355")</f>
        <v>7355</v>
      </c>
      <c r="D3970" t="str">
        <f>"nstp-5"</f>
        <v>nstp-5</v>
      </c>
      <c r="E3970" t="s">
        <v>1978</v>
      </c>
      <c r="F3970" t="s">
        <v>11</v>
      </c>
      <c r="G3970" t="s">
        <v>1979</v>
      </c>
      <c r="H3970" s="12">
        <v>-1.3328267696226199</v>
      </c>
      <c r="I3970" s="20">
        <v>-1.4606173601032799</v>
      </c>
      <c r="J3970" s="28">
        <v>0.14412047940793099</v>
      </c>
      <c r="K3970" s="29">
        <v>0.84103890742224097</v>
      </c>
    </row>
    <row r="3971" spans="1:11" x14ac:dyDescent="0.35">
      <c r="A3971" s="9" t="str">
        <f>HYPERLINK("http://www.ensembl.org/id/WBGene00004233", "WBGene00004233")</f>
        <v>WBGene00004233</v>
      </c>
      <c r="B3971" s="9" t="str">
        <f>HYPERLINK("http://www.ncbi.nlm.nih.gov/gene/191751", "191751")</f>
        <v>191751</v>
      </c>
      <c r="C3971" s="9" t="str">
        <f>HYPERLINK("http://www.ncbi.nlm.nih.gov/gene/374308", "374308")</f>
        <v>374308</v>
      </c>
      <c r="D3971" t="str">
        <f>"ptr-19"</f>
        <v>ptr-19</v>
      </c>
      <c r="E3971" t="s">
        <v>134</v>
      </c>
      <c r="F3971" t="s">
        <v>11</v>
      </c>
      <c r="G3971" t="s">
        <v>404</v>
      </c>
      <c r="H3971" s="12">
        <v>1.99013878150785</v>
      </c>
      <c r="I3971" s="20">
        <v>1.4590203767919101</v>
      </c>
      <c r="J3971" s="28">
        <v>0.14455949937775101</v>
      </c>
      <c r="K3971" s="29">
        <v>0.84103890742224097</v>
      </c>
    </row>
    <row r="3972" spans="1:11" x14ac:dyDescent="0.35">
      <c r="A3972" s="9" t="str">
        <f>HYPERLINK("http://www.ensembl.org/id/WBGene00011143", "WBGene00011143")</f>
        <v>WBGene00011143</v>
      </c>
      <c r="B3972" s="9" t="str">
        <f>HYPERLINK("http://www.ncbi.nlm.nih.gov/gene/176267", "176267")</f>
        <v>176267</v>
      </c>
      <c r="C3972" s="9"/>
      <c r="D3972" t="str">
        <f>"rpap-2"</f>
        <v>rpap-2</v>
      </c>
      <c r="E3972" t="s">
        <v>3179</v>
      </c>
      <c r="F3972" t="s">
        <v>11</v>
      </c>
      <c r="G3972" t="s">
        <v>3180</v>
      </c>
      <c r="H3972" s="12">
        <v>-1.3757717009657999</v>
      </c>
      <c r="I3972" s="20">
        <v>-1.4600350329987799</v>
      </c>
      <c r="J3972" s="28">
        <v>0.144280445951114</v>
      </c>
      <c r="K3972" s="29">
        <v>0.84103890742224097</v>
      </c>
    </row>
    <row r="3973" spans="1:11" x14ac:dyDescent="0.35">
      <c r="A3973" s="9" t="str">
        <f>HYPERLINK("http://www.ensembl.org/id/WBGene00199976", "WBGene00199976")</f>
        <v>WBGene00199976</v>
      </c>
      <c r="B3973" s="9"/>
      <c r="C3973" s="9"/>
      <c r="D3973" t="str">
        <f>"T04C12.24"</f>
        <v>T04C12.24</v>
      </c>
      <c r="F3973" t="s">
        <v>481</v>
      </c>
      <c r="H3973" s="12">
        <v>2.4097046576876502</v>
      </c>
      <c r="I3973" s="20">
        <v>1.45884522127762</v>
      </c>
      <c r="J3973" s="28">
        <v>0.14460771294333699</v>
      </c>
      <c r="K3973" s="29">
        <v>0.84103890742224097</v>
      </c>
    </row>
    <row r="3974" spans="1:11" x14ac:dyDescent="0.35">
      <c r="A3974" s="9" t="str">
        <f>HYPERLINK("http://www.ensembl.org/id/WBGene00013761", "WBGene00013761")</f>
        <v>WBGene00013761</v>
      </c>
      <c r="B3974" s="9" t="str">
        <f>HYPERLINK("http://www.ncbi.nlm.nih.gov/gene/180322", "180322")</f>
        <v>180322</v>
      </c>
      <c r="C3974" s="9"/>
      <c r="D3974" t="str">
        <f>"Y113G7B.11"</f>
        <v>Y113G7B.11</v>
      </c>
      <c r="F3974" t="s">
        <v>11</v>
      </c>
      <c r="G3974" t="s">
        <v>25</v>
      </c>
      <c r="H3974" s="12">
        <v>1.7888366931567301</v>
      </c>
      <c r="I3974" s="20">
        <v>1.45897944775171</v>
      </c>
      <c r="J3974" s="28">
        <v>0.144570764462711</v>
      </c>
      <c r="K3974" s="29">
        <v>0.84103890742224097</v>
      </c>
    </row>
    <row r="3975" spans="1:11" x14ac:dyDescent="0.35">
      <c r="A3975" s="9" t="str">
        <f>HYPERLINK("http://www.ensembl.org/id/WBGene00013516", "WBGene00013516")</f>
        <v>WBGene00013516</v>
      </c>
      <c r="B3975" s="9" t="str">
        <f>HYPERLINK("http://www.ncbi.nlm.nih.gov/gene/177721", "177721")</f>
        <v>177721</v>
      </c>
      <c r="C3975" s="9"/>
      <c r="D3975" t="str">
        <f>"Y73F4A.3"</f>
        <v>Y73F4A.3</v>
      </c>
      <c r="F3975" t="s">
        <v>11</v>
      </c>
      <c r="H3975" s="12">
        <v>-1.4336917912651099</v>
      </c>
      <c r="I3975" s="20">
        <v>-1.4606703485397501</v>
      </c>
      <c r="J3975" s="28">
        <v>0.14410593011898101</v>
      </c>
      <c r="K3975" s="29">
        <v>0.84103890742224097</v>
      </c>
    </row>
    <row r="3976" spans="1:11" x14ac:dyDescent="0.35">
      <c r="A3976" s="9" t="str">
        <f>HYPERLINK("http://www.ensembl.org/id/WBGene00044297", "WBGene00044297")</f>
        <v>WBGene00044297</v>
      </c>
      <c r="B3976" s="9" t="str">
        <f>HYPERLINK("http://www.ncbi.nlm.nih.gov/gene/3565112", "3565112")</f>
        <v>3565112</v>
      </c>
      <c r="C3976" s="9"/>
      <c r="D3976" t="str">
        <f>"C25B8.8"</f>
        <v>C25B8.8</v>
      </c>
      <c r="F3976" t="s">
        <v>11</v>
      </c>
      <c r="G3976" t="s">
        <v>25</v>
      </c>
      <c r="H3976" s="12">
        <v>2.01648744826129</v>
      </c>
      <c r="I3976" s="20">
        <v>1.45841727844945</v>
      </c>
      <c r="J3976" s="28">
        <v>0.144725560948466</v>
      </c>
      <c r="K3976" s="29">
        <v>0.84127854365528898</v>
      </c>
    </row>
    <row r="3977" spans="1:11" x14ac:dyDescent="0.35">
      <c r="A3977" s="9" t="str">
        <f>HYPERLINK("http://www.ensembl.org/id/WBGene00009164", "WBGene00009164")</f>
        <v>WBGene00009164</v>
      </c>
      <c r="B3977" s="9" t="str">
        <f>HYPERLINK("http://www.ncbi.nlm.nih.gov/gene/172833", "172833")</f>
        <v>172833</v>
      </c>
      <c r="C3977" s="9" t="str">
        <f>HYPERLINK("http://www.ncbi.nlm.nih.gov/gene/267", "267")</f>
        <v>267</v>
      </c>
      <c r="D3977" t="str">
        <f>"hrdl-1"</f>
        <v>hrdl-1</v>
      </c>
      <c r="E3977" t="s">
        <v>3182</v>
      </c>
      <c r="F3977" t="s">
        <v>11</v>
      </c>
      <c r="G3977" t="s">
        <v>3183</v>
      </c>
      <c r="H3977" s="12">
        <v>-1.30361515245377</v>
      </c>
      <c r="I3977" s="20">
        <v>-1.45840888887717</v>
      </c>
      <c r="J3977" s="28">
        <v>0.14472787202587101</v>
      </c>
      <c r="K3977" s="29">
        <v>0.84127854365528898</v>
      </c>
    </row>
    <row r="3978" spans="1:11" x14ac:dyDescent="0.35">
      <c r="A3978" s="9" t="str">
        <f>HYPERLINK("http://www.ensembl.org/id/WBGene00004133", "WBGene00004133")</f>
        <v>WBGene00004133</v>
      </c>
      <c r="B3978" s="9" t="str">
        <f>HYPERLINK("http://www.ncbi.nlm.nih.gov/gene/175970", "175970")</f>
        <v>175970</v>
      </c>
      <c r="C3978" s="9"/>
      <c r="D3978" t="str">
        <f>"abu-13"</f>
        <v>abu-13</v>
      </c>
      <c r="E3978" t="s">
        <v>913</v>
      </c>
      <c r="F3978" t="s">
        <v>11</v>
      </c>
      <c r="H3978" s="12">
        <v>1.5803328088670301</v>
      </c>
      <c r="I3978" s="20">
        <v>1.4572513621446901</v>
      </c>
      <c r="J3978" s="28">
        <v>0.14504700735863499</v>
      </c>
      <c r="K3978" s="29">
        <v>0.842466963901086</v>
      </c>
    </row>
    <row r="3979" spans="1:11" x14ac:dyDescent="0.35">
      <c r="A3979" s="9" t="str">
        <f>HYPERLINK("http://www.ensembl.org/id/WBGene00000838", "WBGene00000838")</f>
        <v>WBGene00000838</v>
      </c>
      <c r="B3979" s="9" t="str">
        <f>HYPERLINK("http://www.ncbi.nlm.nih.gov/gene/178547", "178547")</f>
        <v>178547</v>
      </c>
      <c r="C3979" s="9" t="str">
        <f>HYPERLINK("http://www.ncbi.nlm.nih.gov/gene/8452", "8452")</f>
        <v>8452</v>
      </c>
      <c r="D3979" t="str">
        <f>"cul-3"</f>
        <v>cul-3</v>
      </c>
      <c r="E3979" t="s">
        <v>3186</v>
      </c>
      <c r="F3979" t="s">
        <v>11</v>
      </c>
      <c r="G3979" t="s">
        <v>3187</v>
      </c>
      <c r="H3979" s="12">
        <v>-1.31449696172994</v>
      </c>
      <c r="I3979" s="20">
        <v>-1.4573060722501601</v>
      </c>
      <c r="J3979" s="28">
        <v>0.14503191140927599</v>
      </c>
      <c r="K3979" s="29">
        <v>0.842466963901086</v>
      </c>
    </row>
    <row r="3980" spans="1:11" x14ac:dyDescent="0.35">
      <c r="A3980" s="9" t="str">
        <f>HYPERLINK("http://www.ensembl.org/id/WBGene00017484", "WBGene00017484")</f>
        <v>WBGene00017484</v>
      </c>
      <c r="B3980" s="9" t="str">
        <f>HYPERLINK("http://www.ncbi.nlm.nih.gov/gene/177195", "177195")</f>
        <v>177195</v>
      </c>
      <c r="C3980" s="9"/>
      <c r="D3980" t="str">
        <f>"F15E6.3"</f>
        <v>F15E6.3</v>
      </c>
      <c r="E3980" t="s">
        <v>3185</v>
      </c>
      <c r="F3980" t="s">
        <v>11</v>
      </c>
      <c r="H3980" s="12">
        <v>1.4967774155412701</v>
      </c>
      <c r="I3980" s="20">
        <v>1.4571384606011599</v>
      </c>
      <c r="J3980" s="28">
        <v>0.14507816365283599</v>
      </c>
      <c r="K3980" s="29">
        <v>0.842466963901086</v>
      </c>
    </row>
    <row r="3981" spans="1:11" x14ac:dyDescent="0.35">
      <c r="A3981" s="9" t="str">
        <f>HYPERLINK("http://www.ensembl.org/id/WBGene00001586", "WBGene00001586")</f>
        <v>WBGene00001586</v>
      </c>
      <c r="B3981" s="9" t="str">
        <f>HYPERLINK("http://www.ncbi.nlm.nih.gov/gene/191636", "191636")</f>
        <v>191636</v>
      </c>
      <c r="C3981" s="9"/>
      <c r="D3981" t="str">
        <f>"ggr-1"</f>
        <v>ggr-1</v>
      </c>
      <c r="E3981" t="s">
        <v>3184</v>
      </c>
      <c r="F3981" t="s">
        <v>11</v>
      </c>
      <c r="G3981" t="s">
        <v>774</v>
      </c>
      <c r="H3981" s="12">
        <v>1.62263258875884</v>
      </c>
      <c r="I3981" s="20">
        <v>1.4571980503242701</v>
      </c>
      <c r="J3981" s="28">
        <v>0.14506171864241599</v>
      </c>
      <c r="K3981" s="29">
        <v>0.842466963901086</v>
      </c>
    </row>
    <row r="3982" spans="1:11" x14ac:dyDescent="0.35">
      <c r="A3982" s="9" t="str">
        <f>HYPERLINK("http://www.ensembl.org/id/WBGene00019436", "WBGene00019436")</f>
        <v>WBGene00019436</v>
      </c>
      <c r="B3982" s="9" t="str">
        <f>HYPERLINK("http://www.ncbi.nlm.nih.gov/gene/180493", "180493")</f>
        <v>180493</v>
      </c>
      <c r="C3982" s="9"/>
      <c r="D3982" t="str">
        <f>"K06A9.2"</f>
        <v>K06A9.2</v>
      </c>
      <c r="F3982" t="s">
        <v>11</v>
      </c>
      <c r="G3982" t="s">
        <v>54</v>
      </c>
      <c r="H3982" s="12">
        <v>-1.31849816318927</v>
      </c>
      <c r="I3982" s="20">
        <v>-1.4570038520378401</v>
      </c>
      <c r="J3982" s="28">
        <v>0.14511531691235099</v>
      </c>
      <c r="K3982" s="29">
        <v>0.84247098305949197</v>
      </c>
    </row>
    <row r="3983" spans="1:11" x14ac:dyDescent="0.35">
      <c r="A3983" s="9" t="str">
        <f>HYPERLINK("http://www.ensembl.org/id/WBGene00023423", "WBGene00023423")</f>
        <v>WBGene00023423</v>
      </c>
      <c r="B3983" s="9" t="str">
        <f>HYPERLINK("http://www.ncbi.nlm.nih.gov/gene/3564937", "3564937")</f>
        <v>3564937</v>
      </c>
      <c r="C3983" s="9"/>
      <c r="D3983" t="str">
        <f>"F43C1.7"</f>
        <v>F43C1.7</v>
      </c>
      <c r="F3983" t="s">
        <v>11</v>
      </c>
      <c r="H3983" s="12">
        <v>-1.5676536306408</v>
      </c>
      <c r="I3983" s="20">
        <v>-1.45685158091724</v>
      </c>
      <c r="J3983" s="28">
        <v>0.14515735399222801</v>
      </c>
      <c r="K3983" s="29">
        <v>0.842503346230703</v>
      </c>
    </row>
    <row r="3984" spans="1:11" x14ac:dyDescent="0.35">
      <c r="A3984" s="9" t="str">
        <f>HYPERLINK("http://www.ensembl.org/id/WBGene00197936", "WBGene00197936")</f>
        <v>WBGene00197936</v>
      </c>
      <c r="B3984" s="9"/>
      <c r="C3984" s="9"/>
      <c r="D3984" t="str">
        <f>"Y73B6BL.275"</f>
        <v>Y73B6BL.275</v>
      </c>
      <c r="F3984" t="s">
        <v>481</v>
      </c>
      <c r="H3984" s="12">
        <v>1.8232852889239199</v>
      </c>
      <c r="I3984" s="20">
        <v>1.45662895339931</v>
      </c>
      <c r="J3984" s="28">
        <v>0.145218830960095</v>
      </c>
      <c r="K3984" s="29">
        <v>0.84264849526970498</v>
      </c>
    </row>
    <row r="3985" spans="1:11" x14ac:dyDescent="0.35">
      <c r="A3985" s="9" t="str">
        <f>HYPERLINK("http://www.ensembl.org/id/WBGene00012344", "WBGene00012344")</f>
        <v>WBGene00012344</v>
      </c>
      <c r="B3985" s="9" t="str">
        <f>HYPERLINK("http://www.ncbi.nlm.nih.gov/gene/173205", "173205")</f>
        <v>173205</v>
      </c>
      <c r="C3985" s="9" t="str">
        <f>HYPERLINK("http://www.ncbi.nlm.nih.gov/gene/29789", "29789")</f>
        <v>29789</v>
      </c>
      <c r="D3985" t="str">
        <f>"ola-1"</f>
        <v>ola-1</v>
      </c>
      <c r="E3985" t="s">
        <v>3188</v>
      </c>
      <c r="F3985" t="s">
        <v>11</v>
      </c>
      <c r="G3985" t="s">
        <v>3189</v>
      </c>
      <c r="H3985" s="12">
        <v>-1.30227861940337</v>
      </c>
      <c r="I3985" s="20">
        <v>-1.4563707260810399</v>
      </c>
      <c r="J3985" s="28">
        <v>0.14529016353074301</v>
      </c>
      <c r="K3985" s="29">
        <v>0.84285074530287196</v>
      </c>
    </row>
    <row r="3986" spans="1:11" x14ac:dyDescent="0.35">
      <c r="A3986" s="9" t="str">
        <f>HYPERLINK("http://www.ensembl.org/id/WBGene00018511", "WBGene00018511")</f>
        <v>WBGene00018511</v>
      </c>
      <c r="B3986" s="9" t="str">
        <f>HYPERLINK("http://www.ncbi.nlm.nih.gov/gene/172220", "172220")</f>
        <v>172220</v>
      </c>
      <c r="C3986" s="9"/>
      <c r="D3986" t="str">
        <f>"F46F11.8"</f>
        <v>F46F11.8</v>
      </c>
      <c r="F3986" t="s">
        <v>11</v>
      </c>
      <c r="H3986" s="12">
        <v>-1.3950630325321001</v>
      </c>
      <c r="I3986" s="20">
        <v>-1.4560832343691199</v>
      </c>
      <c r="J3986" s="28">
        <v>0.145369611646289</v>
      </c>
      <c r="K3986" s="29">
        <v>0.84309996152087097</v>
      </c>
    </row>
    <row r="3987" spans="1:11" x14ac:dyDescent="0.35">
      <c r="A3987" s="9" t="str">
        <f>HYPERLINK("http://www.ensembl.org/id/WBGene00000834", "WBGene00000834")</f>
        <v>WBGene00000834</v>
      </c>
      <c r="B3987" s="9" t="str">
        <f>HYPERLINK("http://www.ncbi.nlm.nih.gov/gene/176770", "176770")</f>
        <v>176770</v>
      </c>
      <c r="C3987" s="9" t="str">
        <f>HYPERLINK("http://www.ncbi.nlm.nih.gov/gene/538", "538")</f>
        <v>538</v>
      </c>
      <c r="D3987" t="str">
        <f>"cua-1"</f>
        <v>cua-1</v>
      </c>
      <c r="E3987" t="s">
        <v>3190</v>
      </c>
      <c r="F3987" t="s">
        <v>11</v>
      </c>
      <c r="G3987" t="s">
        <v>3191</v>
      </c>
      <c r="H3987" s="12">
        <v>-1.31511713579918</v>
      </c>
      <c r="I3987" s="20">
        <v>-1.45588321859682</v>
      </c>
      <c r="J3987" s="28">
        <v>0.14542490547447601</v>
      </c>
      <c r="K3987" s="29">
        <v>0.84320900022414902</v>
      </c>
    </row>
    <row r="3988" spans="1:11" x14ac:dyDescent="0.35">
      <c r="A3988" s="9" t="str">
        <f>HYPERLINK("http://www.ensembl.org/id/WBGene00019212", "WBGene00019212")</f>
        <v>WBGene00019212</v>
      </c>
      <c r="B3988" s="9" t="str">
        <f>HYPERLINK("http://www.ncbi.nlm.nih.gov/gene/175383", "175383")</f>
        <v>175383</v>
      </c>
      <c r="C3988" s="9"/>
      <c r="D3988" t="str">
        <f>"zmp-2"</f>
        <v>zmp-2</v>
      </c>
      <c r="E3988" t="s">
        <v>3192</v>
      </c>
      <c r="F3988" t="s">
        <v>11</v>
      </c>
      <c r="G3988" t="s">
        <v>3193</v>
      </c>
      <c r="H3988" s="12">
        <v>1.6420457136156399</v>
      </c>
      <c r="I3988" s="20">
        <v>1.4554700329852699</v>
      </c>
      <c r="J3988" s="28">
        <v>0.14553918053462001</v>
      </c>
      <c r="K3988" s="29">
        <v>0.84365988595908803</v>
      </c>
    </row>
    <row r="3989" spans="1:11" x14ac:dyDescent="0.35">
      <c r="A3989" s="9" t="str">
        <f>HYPERLINK("http://www.ensembl.org/id/WBGene00007499", "WBGene00007499")</f>
        <v>WBGene00007499</v>
      </c>
      <c r="B3989" s="9" t="str">
        <f>HYPERLINK("http://www.ncbi.nlm.nih.gov/gene/182478", "182478")</f>
        <v>182478</v>
      </c>
      <c r="C3989" s="9"/>
      <c r="D3989" t="str">
        <f>"C09H10.5"</f>
        <v>C09H10.5</v>
      </c>
      <c r="F3989" t="s">
        <v>11</v>
      </c>
      <c r="H3989" s="12">
        <v>-1.3465621643872401</v>
      </c>
      <c r="I3989" s="20">
        <v>-1.4550221181481899</v>
      </c>
      <c r="J3989" s="28">
        <v>0.14566313833708899</v>
      </c>
      <c r="K3989" s="29">
        <v>0.84374341298991495</v>
      </c>
    </row>
    <row r="3990" spans="1:11" x14ac:dyDescent="0.35">
      <c r="A3990" s="9" t="str">
        <f>HYPERLINK("http://www.ensembl.org/id/WBGene00008048", "WBGene00008048")</f>
        <v>WBGene00008048</v>
      </c>
      <c r="B3990" s="9"/>
      <c r="C3990" s="9"/>
      <c r="D3990" t="str">
        <f>"hpo-41"</f>
        <v>hpo-41</v>
      </c>
      <c r="F3990" t="s">
        <v>80</v>
      </c>
      <c r="H3990" s="12">
        <v>-16.055030555753099</v>
      </c>
      <c r="I3990" s="20">
        <v>-1.4551528176529001</v>
      </c>
      <c r="J3990" s="28">
        <v>0.14562695966741401</v>
      </c>
      <c r="K3990" s="29">
        <v>0.84374341298991495</v>
      </c>
    </row>
    <row r="3991" spans="1:11" x14ac:dyDescent="0.35">
      <c r="A3991" s="9" t="str">
        <f>HYPERLINK("http://www.ensembl.org/id/WBGene00011564", "WBGene00011564")</f>
        <v>WBGene00011564</v>
      </c>
      <c r="B3991" s="9" t="str">
        <f>HYPERLINK("http://www.ncbi.nlm.nih.gov/gene/181413", "181413")</f>
        <v>181413</v>
      </c>
      <c r="C3991" s="9"/>
      <c r="D3991" t="str">
        <f>"ugt-50"</f>
        <v>ugt-50</v>
      </c>
      <c r="E3991" t="s">
        <v>3194</v>
      </c>
      <c r="F3991" t="s">
        <v>11</v>
      </c>
      <c r="G3991" t="s">
        <v>104</v>
      </c>
      <c r="H3991" s="12">
        <v>1.3642752930086</v>
      </c>
      <c r="I3991" s="20">
        <v>1.45523433665865</v>
      </c>
      <c r="J3991" s="28">
        <v>0.14560439803761999</v>
      </c>
      <c r="K3991" s="29">
        <v>0.84374341298991495</v>
      </c>
    </row>
    <row r="3992" spans="1:11" x14ac:dyDescent="0.35">
      <c r="A3992" s="9" t="str">
        <f>HYPERLINK("http://www.ensembl.org/id/WBGene00019460", "WBGene00019460")</f>
        <v>WBGene00019460</v>
      </c>
      <c r="B3992" s="9" t="str">
        <f>HYPERLINK("http://www.ncbi.nlm.nih.gov/gene/176142", "176142")</f>
        <v>176142</v>
      </c>
      <c r="C3992" s="9"/>
      <c r="D3992" t="str">
        <f>"idi-1"</f>
        <v>idi-1</v>
      </c>
      <c r="E3992" t="s">
        <v>3195</v>
      </c>
      <c r="F3992" t="s">
        <v>11</v>
      </c>
      <c r="G3992" t="s">
        <v>3196</v>
      </c>
      <c r="H3992" s="12">
        <v>-1.36153871182498</v>
      </c>
      <c r="I3992" s="20">
        <v>-1.45451486382708</v>
      </c>
      <c r="J3992" s="28">
        <v>0.145803615576067</v>
      </c>
      <c r="K3992" s="29">
        <v>0.84434544899764596</v>
      </c>
    </row>
    <row r="3993" spans="1:11" x14ac:dyDescent="0.35">
      <c r="A3993" s="9" t="str">
        <f>HYPERLINK("http://www.ensembl.org/id/WBGene00022662", "WBGene00022662")</f>
        <v>WBGene00022662</v>
      </c>
      <c r="B3993" s="9" t="str">
        <f>HYPERLINK("http://www.ncbi.nlm.nih.gov/gene/191229", "191229")</f>
        <v>191229</v>
      </c>
      <c r="C3993" s="9"/>
      <c r="D3993" t="str">
        <f>"ZK112.6"</f>
        <v>ZK112.6</v>
      </c>
      <c r="F3993" t="s">
        <v>11</v>
      </c>
      <c r="H3993" s="12">
        <v>2.18394005757265</v>
      </c>
      <c r="I3993" s="20">
        <v>1.4543314307716</v>
      </c>
      <c r="J3993" s="28">
        <v>0.14585444040958301</v>
      </c>
      <c r="K3993" s="29">
        <v>0.84442813833721198</v>
      </c>
    </row>
    <row r="3994" spans="1:11" x14ac:dyDescent="0.35">
      <c r="A3994" s="9" t="str">
        <f>HYPERLINK("http://www.ensembl.org/id/WBGene00022374", "WBGene00022374")</f>
        <v>WBGene00022374</v>
      </c>
      <c r="B3994" s="9" t="str">
        <f>HYPERLINK("http://www.ncbi.nlm.nih.gov/gene/190799", "190799")</f>
        <v>190799</v>
      </c>
      <c r="C3994" s="9"/>
      <c r="D3994" t="str">
        <f>"nhr-277"</f>
        <v>nhr-277</v>
      </c>
      <c r="E3994" t="s">
        <v>637</v>
      </c>
      <c r="F3994" t="s">
        <v>11</v>
      </c>
      <c r="G3994" t="s">
        <v>3197</v>
      </c>
      <c r="H3994" s="12">
        <v>2.11690508177074</v>
      </c>
      <c r="I3994" s="20">
        <v>1.4541603115192601</v>
      </c>
      <c r="J3994" s="28">
        <v>0.14590186561358501</v>
      </c>
      <c r="K3994" s="29">
        <v>0.84449110893474499</v>
      </c>
    </row>
    <row r="3995" spans="1:11" x14ac:dyDescent="0.35">
      <c r="A3995" s="9" t="str">
        <f>HYPERLINK("http://www.ensembl.org/id/WBGene00010799", "WBGene00010799")</f>
        <v>WBGene00010799</v>
      </c>
      <c r="B3995" s="9" t="str">
        <f>HYPERLINK("http://www.ncbi.nlm.nih.gov/gene/187357", "187357")</f>
        <v>187357</v>
      </c>
      <c r="C3995" s="9"/>
      <c r="D3995" t="str">
        <f>"chil-12"</f>
        <v>chil-12</v>
      </c>
      <c r="E3995" t="s">
        <v>1756</v>
      </c>
      <c r="F3995" t="s">
        <v>11</v>
      </c>
      <c r="G3995" t="s">
        <v>1509</v>
      </c>
      <c r="H3995" s="12">
        <v>2.4319873848985201</v>
      </c>
      <c r="I3995" s="20">
        <v>1.4536116669919401</v>
      </c>
      <c r="J3995" s="28">
        <v>0.14605400044356801</v>
      </c>
      <c r="K3995" s="29">
        <v>0.84505926547132704</v>
      </c>
    </row>
    <row r="3996" spans="1:11" x14ac:dyDescent="0.35">
      <c r="A3996" s="9" t="str">
        <f>HYPERLINK("http://www.ensembl.org/id/WBGene00012409", "WBGene00012409")</f>
        <v>WBGene00012409</v>
      </c>
      <c r="B3996" s="9" t="str">
        <f>HYPERLINK("http://www.ncbi.nlm.nih.gov/gene/189382", "189382")</f>
        <v>189382</v>
      </c>
      <c r="C3996" s="9"/>
      <c r="D3996" t="str">
        <f>"Y7A5A.3"</f>
        <v>Y7A5A.3</v>
      </c>
      <c r="F3996" t="s">
        <v>11</v>
      </c>
      <c r="H3996" s="12">
        <v>6.9888830251054603</v>
      </c>
      <c r="I3996" s="20">
        <v>1.4535302595664801</v>
      </c>
      <c r="J3996" s="28">
        <v>0.14607658442493299</v>
      </c>
      <c r="K3996" s="29">
        <v>0.84505926547132704</v>
      </c>
    </row>
    <row r="3997" spans="1:11" x14ac:dyDescent="0.35">
      <c r="A3997" s="9" t="str">
        <f>HYPERLINK("http://www.ensembl.org/id/WBGene00044354", "WBGene00044354")</f>
        <v>WBGene00044354</v>
      </c>
      <c r="B3997" s="9" t="str">
        <f>HYPERLINK("http://www.ncbi.nlm.nih.gov/gene/3565390", "3565390")</f>
        <v>3565390</v>
      </c>
      <c r="C3997" s="9"/>
      <c r="D3997" t="str">
        <f>"ZK418.11"</f>
        <v>ZK418.11</v>
      </c>
      <c r="F3997" t="s">
        <v>11</v>
      </c>
      <c r="G3997" t="s">
        <v>228</v>
      </c>
      <c r="H3997" s="12">
        <v>3.9187742074082199</v>
      </c>
      <c r="I3997" s="20">
        <v>1.45341074501582</v>
      </c>
      <c r="J3997" s="28">
        <v>0.14610974489560899</v>
      </c>
      <c r="K3997" s="29">
        <v>0.84505926547132704</v>
      </c>
    </row>
    <row r="3998" spans="1:11" x14ac:dyDescent="0.35">
      <c r="A3998" s="9" t="str">
        <f>HYPERLINK("http://www.ensembl.org/id/WBGene00009441", "WBGene00009441")</f>
        <v>WBGene00009441</v>
      </c>
      <c r="B3998" s="9" t="str">
        <f>HYPERLINK("http://www.ncbi.nlm.nih.gov/gene/175600", "175600")</f>
        <v>175600</v>
      </c>
      <c r="C3998" s="9" t="str">
        <f>HYPERLINK("http://www.ncbi.nlm.nih.gov/gene/57599", "57599")</f>
        <v>57599</v>
      </c>
      <c r="D3998" t="str">
        <f>"wdr-48"</f>
        <v>wdr-48</v>
      </c>
      <c r="E3998" t="s">
        <v>3198</v>
      </c>
      <c r="F3998" t="s">
        <v>11</v>
      </c>
      <c r="G3998" t="s">
        <v>3199</v>
      </c>
      <c r="H3998" s="12">
        <v>-1.3693291177653499</v>
      </c>
      <c r="I3998" s="20">
        <v>-1.45305858131072</v>
      </c>
      <c r="J3998" s="28">
        <v>0.14620748962701999</v>
      </c>
      <c r="K3998" s="29">
        <v>0.84539631028588202</v>
      </c>
    </row>
    <row r="3999" spans="1:11" x14ac:dyDescent="0.35">
      <c r="A3999" s="9" t="str">
        <f>HYPERLINK("http://www.ensembl.org/id/WBGene00012452", "WBGene00012452")</f>
        <v>WBGene00012452</v>
      </c>
      <c r="B3999" s="9" t="str">
        <f>HYPERLINK("http://www.ncbi.nlm.nih.gov/gene/189448", "189448")</f>
        <v>189448</v>
      </c>
      <c r="C3999" s="9"/>
      <c r="D3999" t="str">
        <f>"Y17D7B.4"</f>
        <v>Y17D7B.4</v>
      </c>
      <c r="F3999" t="s">
        <v>11</v>
      </c>
      <c r="H3999" s="12">
        <v>-1.37683388791155</v>
      </c>
      <c r="I3999" s="20">
        <v>-1.45293718618416</v>
      </c>
      <c r="J3999" s="28">
        <v>0.14624119502348601</v>
      </c>
      <c r="K3999" s="29">
        <v>0.84539631028588202</v>
      </c>
    </row>
    <row r="4000" spans="1:11" x14ac:dyDescent="0.35">
      <c r="A4000" s="9" t="str">
        <f>HYPERLINK("http://www.ensembl.org/id/WBGene00001131", "WBGene00001131")</f>
        <v>WBGene00001131</v>
      </c>
      <c r="B4000" s="9" t="str">
        <f>HYPERLINK("http://www.ncbi.nlm.nih.gov/gene/173038", "173038")</f>
        <v>173038</v>
      </c>
      <c r="C4000" s="9"/>
      <c r="D4000" t="str">
        <f>"dys-1"</f>
        <v>dys-1</v>
      </c>
      <c r="E4000" t="s">
        <v>3200</v>
      </c>
      <c r="F4000" t="s">
        <v>11</v>
      </c>
      <c r="G4000" t="s">
        <v>3201</v>
      </c>
      <c r="H4000" s="12">
        <v>1.3238165236546999</v>
      </c>
      <c r="I4000" s="20">
        <v>1.4524041421398799</v>
      </c>
      <c r="J4000" s="28">
        <v>0.14638926525325299</v>
      </c>
      <c r="K4000" s="29">
        <v>0.84604061104093597</v>
      </c>
    </row>
    <row r="4001" spans="1:11" x14ac:dyDescent="0.35">
      <c r="A4001" s="9" t="str">
        <f>HYPERLINK("http://www.ensembl.org/id/WBGene00001058", "WBGene00001058")</f>
        <v>WBGene00001058</v>
      </c>
      <c r="B4001" s="9" t="str">
        <f>HYPERLINK("http://www.ncbi.nlm.nih.gov/gene/177251", "177251")</f>
        <v>177251</v>
      </c>
      <c r="C4001" s="9" t="str">
        <f>HYPERLINK("http://www.ncbi.nlm.nih.gov/gene/327", "327")</f>
        <v>327</v>
      </c>
      <c r="D4001" t="str">
        <f>"dpf-5"</f>
        <v>dpf-5</v>
      </c>
      <c r="E4001" t="s">
        <v>2168</v>
      </c>
      <c r="F4001" t="s">
        <v>11</v>
      </c>
      <c r="G4001" t="s">
        <v>3202</v>
      </c>
      <c r="H4001" s="12">
        <v>-1.3039628700401</v>
      </c>
      <c r="I4001" s="20">
        <v>-1.45149924477072</v>
      </c>
      <c r="J4001" s="28">
        <v>0.14664089238557601</v>
      </c>
      <c r="K4001" s="29">
        <v>0.84674980148228096</v>
      </c>
    </row>
    <row r="4002" spans="1:11" x14ac:dyDescent="0.35">
      <c r="A4002" s="9" t="str">
        <f>HYPERLINK("http://www.ensembl.org/id/WBGene00017534", "WBGene00017534")</f>
        <v>WBGene00017534</v>
      </c>
      <c r="B4002" s="9" t="str">
        <f>HYPERLINK("http://www.ncbi.nlm.nih.gov/gene/179000", "179000")</f>
        <v>179000</v>
      </c>
      <c r="C4002" s="9" t="str">
        <f>HYPERLINK("http://www.ncbi.nlm.nih.gov/gene/55280", "55280")</f>
        <v>55280</v>
      </c>
      <c r="D4002" t="str">
        <f>"F17A9.2"</f>
        <v>F17A9.2</v>
      </c>
      <c r="E4002" t="s">
        <v>3203</v>
      </c>
      <c r="F4002" t="s">
        <v>11</v>
      </c>
      <c r="G4002" t="s">
        <v>3204</v>
      </c>
      <c r="H4002" s="12">
        <v>-1.3664306604764</v>
      </c>
      <c r="I4002" s="20">
        <v>-1.45151240468564</v>
      </c>
      <c r="J4002" s="28">
        <v>0.14663723060498801</v>
      </c>
      <c r="K4002" s="29">
        <v>0.84674980148228096</v>
      </c>
    </row>
    <row r="4003" spans="1:11" x14ac:dyDescent="0.35">
      <c r="A4003" s="9" t="str">
        <f>HYPERLINK("http://www.ensembl.org/id/WBGene00018814", "WBGene00018814")</f>
        <v>WBGene00018814</v>
      </c>
      <c r="B4003" s="9" t="str">
        <f>HYPERLINK("http://www.ncbi.nlm.nih.gov/gene/178852", "178852")</f>
        <v>178852</v>
      </c>
      <c r="C4003" s="9"/>
      <c r="D4003" t="str">
        <f>"F54D11.4"</f>
        <v>F54D11.4</v>
      </c>
      <c r="F4003" t="s">
        <v>11</v>
      </c>
      <c r="H4003" s="12">
        <v>-1.38123834157479</v>
      </c>
      <c r="I4003" s="20">
        <v>-1.4514357506011</v>
      </c>
      <c r="J4003" s="28">
        <v>0.146658560786466</v>
      </c>
      <c r="K4003" s="29">
        <v>0.84674980148228096</v>
      </c>
    </row>
    <row r="4004" spans="1:11" x14ac:dyDescent="0.35">
      <c r="A4004" s="9" t="str">
        <f>HYPERLINK("http://www.ensembl.org/id/WBGene00010294", "WBGene00010294")</f>
        <v>WBGene00010294</v>
      </c>
      <c r="B4004" s="9"/>
      <c r="C4004" s="9"/>
      <c r="D4004" t="str">
        <f>"fbxa-129"</f>
        <v>fbxa-129</v>
      </c>
      <c r="F4004" t="s">
        <v>80</v>
      </c>
      <c r="H4004" s="12">
        <v>-2.73567761590138</v>
      </c>
      <c r="I4004" s="20">
        <v>-1.4517221155525799</v>
      </c>
      <c r="J4004" s="28">
        <v>0.14657888744824299</v>
      </c>
      <c r="K4004" s="29">
        <v>0.84674980148228096</v>
      </c>
    </row>
    <row r="4005" spans="1:11" x14ac:dyDescent="0.35">
      <c r="A4005" s="9" t="str">
        <f>HYPERLINK("http://www.ensembl.org/id/WBGene00011888", "WBGene00011888")</f>
        <v>WBGene00011888</v>
      </c>
      <c r="B4005" s="9" t="str">
        <f>HYPERLINK("http://www.ncbi.nlm.nih.gov/gene/174426", "174426")</f>
        <v>174426</v>
      </c>
      <c r="C4005" s="9"/>
      <c r="D4005" t="str">
        <f>"cutl-15"</f>
        <v>cutl-15</v>
      </c>
      <c r="E4005" t="s">
        <v>166</v>
      </c>
      <c r="F4005" t="s">
        <v>11</v>
      </c>
      <c r="G4005" t="s">
        <v>25</v>
      </c>
      <c r="H4005" s="12">
        <v>1.4522704980599599</v>
      </c>
      <c r="I4005" s="20">
        <v>1.4510372552497901</v>
      </c>
      <c r="J4005" s="28">
        <v>0.14676948650708099</v>
      </c>
      <c r="K4005" s="29">
        <v>0.84686404122450698</v>
      </c>
    </row>
    <row r="4006" spans="1:11" x14ac:dyDescent="0.35">
      <c r="A4006" s="9" t="str">
        <f>HYPERLINK("http://www.ensembl.org/id/WBGene00044045", "WBGene00044045")</f>
        <v>WBGene00044045</v>
      </c>
      <c r="B4006" s="9" t="str">
        <f>HYPERLINK("http://www.ncbi.nlm.nih.gov/gene/3565274", "3565274")</f>
        <v>3565274</v>
      </c>
      <c r="C4006" s="9"/>
      <c r="D4006" t="str">
        <f>"R11G10.3"</f>
        <v>R11G10.3</v>
      </c>
      <c r="F4006" t="s">
        <v>11</v>
      </c>
      <c r="G4006" t="s">
        <v>2639</v>
      </c>
      <c r="H4006" s="12">
        <v>1.4036668947414801</v>
      </c>
      <c r="I4006" s="20">
        <v>1.45113309493711</v>
      </c>
      <c r="J4006" s="28">
        <v>0.146742802579339</v>
      </c>
      <c r="K4006" s="29">
        <v>0.84686404122450698</v>
      </c>
    </row>
    <row r="4007" spans="1:11" x14ac:dyDescent="0.35">
      <c r="A4007" s="9" t="str">
        <f>HYPERLINK("http://www.ensembl.org/id/WBGene00021531", "WBGene00021531")</f>
        <v>WBGene00021531</v>
      </c>
      <c r="B4007" s="9" t="str">
        <f>HYPERLINK("http://www.ncbi.nlm.nih.gov/gene/175867", "175867")</f>
        <v>175867</v>
      </c>
      <c r="C4007" s="9"/>
      <c r="D4007" t="str">
        <f>"Y42G9A.1"</f>
        <v>Y42G9A.1</v>
      </c>
      <c r="F4007" t="s">
        <v>11</v>
      </c>
      <c r="H4007" s="12">
        <v>-1.42324208005675</v>
      </c>
      <c r="I4007" s="20">
        <v>-1.45096968759301</v>
      </c>
      <c r="J4007" s="28">
        <v>0.14678830109513299</v>
      </c>
      <c r="K4007" s="29">
        <v>0.84686404122450698</v>
      </c>
    </row>
    <row r="4008" spans="1:11" x14ac:dyDescent="0.35">
      <c r="A4008" s="9" t="str">
        <f>HYPERLINK("http://www.ensembl.org/id/WBGene00013964", "WBGene00013964")</f>
        <v>WBGene00013964</v>
      </c>
      <c r="B4008" s="9" t="str">
        <f>HYPERLINK("http://www.ncbi.nlm.nih.gov/gene/191281", "191281")</f>
        <v>191281</v>
      </c>
      <c r="C4008" s="9"/>
      <c r="D4008" t="str">
        <f>"nlp-73"</f>
        <v>nlp-73</v>
      </c>
      <c r="E4008" t="s">
        <v>76</v>
      </c>
      <c r="F4008" t="s">
        <v>11</v>
      </c>
      <c r="G4008" t="s">
        <v>77</v>
      </c>
      <c r="H4008" s="12">
        <v>1.3323743288055501</v>
      </c>
      <c r="I4008" s="20">
        <v>1.45043980023177</v>
      </c>
      <c r="J4008" s="28">
        <v>0.14693591512947701</v>
      </c>
      <c r="K4008" s="29">
        <v>0.847292551779808</v>
      </c>
    </row>
    <row r="4009" spans="1:11" x14ac:dyDescent="0.35">
      <c r="A4009" s="9" t="str">
        <f>HYPERLINK("http://www.ensembl.org/id/WBGene00021475", "WBGene00021475")</f>
        <v>WBGene00021475</v>
      </c>
      <c r="B4009" s="9" t="str">
        <f>HYPERLINK("http://www.ncbi.nlm.nih.gov/gene/171791", "171791")</f>
        <v>171791</v>
      </c>
      <c r="C4009" s="9"/>
      <c r="D4009" t="str">
        <f>"tbca-1"</f>
        <v>tbca-1</v>
      </c>
      <c r="E4009" t="s">
        <v>3205</v>
      </c>
      <c r="F4009" t="s">
        <v>11</v>
      </c>
      <c r="G4009" t="s">
        <v>3206</v>
      </c>
      <c r="H4009" s="12">
        <v>-1.3572623230842999</v>
      </c>
      <c r="I4009" s="20">
        <v>-1.4504913320041499</v>
      </c>
      <c r="J4009" s="28">
        <v>0.14692155462023901</v>
      </c>
      <c r="K4009" s="29">
        <v>0.847292551779808</v>
      </c>
    </row>
    <row r="4010" spans="1:11" x14ac:dyDescent="0.35">
      <c r="A4010" s="9" t="str">
        <f>HYPERLINK("http://www.ensembl.org/id/WBGene00018337", "WBGene00018337")</f>
        <v>WBGene00018337</v>
      </c>
      <c r="B4010" s="9" t="str">
        <f>HYPERLINK("http://www.ncbi.nlm.nih.gov/gene/185656", "185656")</f>
        <v>185656</v>
      </c>
      <c r="C4010" s="9"/>
      <c r="D4010" t="str">
        <f>"F42A9.8"</f>
        <v>F42A9.8</v>
      </c>
      <c r="F4010" t="s">
        <v>11</v>
      </c>
      <c r="G4010" t="s">
        <v>54</v>
      </c>
      <c r="H4010" s="12">
        <v>-1.47399176643719</v>
      </c>
      <c r="I4010" s="20">
        <v>-1.45029188574745</v>
      </c>
      <c r="J4010" s="28">
        <v>0.14697714085251801</v>
      </c>
      <c r="K4010" s="29">
        <v>0.84731881650156604</v>
      </c>
    </row>
    <row r="4011" spans="1:11" x14ac:dyDescent="0.35">
      <c r="A4011" s="9" t="str">
        <f>HYPERLINK("http://www.ensembl.org/id/WBGene00011498", "WBGene00011498")</f>
        <v>WBGene00011498</v>
      </c>
      <c r="B4011" s="9" t="str">
        <f>HYPERLINK("http://www.ncbi.nlm.nih.gov/gene/3565362", "3565362")</f>
        <v>3565362</v>
      </c>
      <c r="C4011" s="9"/>
      <c r="D4011" t="str">
        <f>"T05G5.1"</f>
        <v>T05G5.1</v>
      </c>
      <c r="F4011" t="s">
        <v>11</v>
      </c>
      <c r="G4011" t="s">
        <v>25</v>
      </c>
      <c r="H4011" s="12">
        <v>-1.3562196731694101</v>
      </c>
      <c r="I4011" s="20">
        <v>-1.4500740848951901</v>
      </c>
      <c r="J4011" s="28">
        <v>0.14703786093112201</v>
      </c>
      <c r="K4011" s="29">
        <v>0.84745742446358296</v>
      </c>
    </row>
    <row r="4012" spans="1:11" x14ac:dyDescent="0.35">
      <c r="A4012" s="9" t="str">
        <f>HYPERLINK("http://www.ensembl.org/id/WBGene00004154", "WBGene00004154")</f>
        <v>WBGene00004154</v>
      </c>
      <c r="B4012" s="9" t="str">
        <f>HYPERLINK("http://www.ncbi.nlm.nih.gov/gene/189086", "189086")</f>
        <v>189086</v>
      </c>
      <c r="C4012" s="9"/>
      <c r="D4012" t="str">
        <f>"pqn-72"</f>
        <v>pqn-72</v>
      </c>
      <c r="E4012" t="s">
        <v>432</v>
      </c>
      <c r="F4012" t="s">
        <v>11</v>
      </c>
      <c r="H4012" s="12">
        <v>1.60720761948167</v>
      </c>
      <c r="I4012" s="20">
        <v>1.449725262019</v>
      </c>
      <c r="J4012" s="28">
        <v>0.14713514822529999</v>
      </c>
      <c r="K4012" s="29">
        <v>0.84780666705580798</v>
      </c>
    </row>
    <row r="4013" spans="1:11" x14ac:dyDescent="0.35">
      <c r="A4013" s="9" t="str">
        <f>HYPERLINK("http://www.ensembl.org/id/WBGene00012518", "WBGene00012518")</f>
        <v>WBGene00012518</v>
      </c>
      <c r="B4013" s="9" t="str">
        <f>HYPERLINK("http://www.ncbi.nlm.nih.gov/gene/189563", "189563")</f>
        <v>189563</v>
      </c>
      <c r="C4013" s="9" t="str">
        <f>HYPERLINK("http://www.ncbi.nlm.nih.gov/gene/118881", "118881")</f>
        <v>118881</v>
      </c>
      <c r="D4013" t="str">
        <f>"comt-2"</f>
        <v>comt-2</v>
      </c>
      <c r="E4013" t="s">
        <v>168</v>
      </c>
      <c r="F4013" t="s">
        <v>11</v>
      </c>
      <c r="G4013" t="s">
        <v>3207</v>
      </c>
      <c r="H4013" s="12">
        <v>4.4343323415868596</v>
      </c>
      <c r="I4013" s="20">
        <v>1.4495356948189599</v>
      </c>
      <c r="J4013" s="28">
        <v>0.147188039477816</v>
      </c>
      <c r="K4013" s="29">
        <v>0.84783771696264199</v>
      </c>
    </row>
    <row r="4014" spans="1:11" x14ac:dyDescent="0.35">
      <c r="A4014" s="9" t="str">
        <f>HYPERLINK("http://www.ensembl.org/id/WBGene00016409", "WBGene00016409")</f>
        <v>WBGene00016409</v>
      </c>
      <c r="B4014" s="9" t="str">
        <f>HYPERLINK("http://www.ncbi.nlm.nih.gov/gene/175720", "175720")</f>
        <v>175720</v>
      </c>
      <c r="C4014" s="9"/>
      <c r="D4014" t="str">
        <f>"sumv-1"</f>
        <v>sumv-1</v>
      </c>
      <c r="F4014" t="s">
        <v>11</v>
      </c>
      <c r="G4014" t="s">
        <v>3208</v>
      </c>
      <c r="H4014" s="12">
        <v>-1.3432386730074</v>
      </c>
      <c r="I4014" s="20">
        <v>-1.44944294241104</v>
      </c>
      <c r="J4014" s="28">
        <v>0.14721392367584701</v>
      </c>
      <c r="K4014" s="29">
        <v>0.84783771696264199</v>
      </c>
    </row>
    <row r="4015" spans="1:11" x14ac:dyDescent="0.35">
      <c r="A4015" s="9" t="str">
        <f>HYPERLINK("http://www.ensembl.org/id/WBGene00009107", "WBGene00009107")</f>
        <v>WBGene00009107</v>
      </c>
      <c r="B4015" s="9" t="str">
        <f>HYPERLINK("http://www.ncbi.nlm.nih.gov/gene/184920", "184920")</f>
        <v>184920</v>
      </c>
      <c r="C4015" s="9"/>
      <c r="D4015" t="str">
        <f>"F25D1.2"</f>
        <v>F25D1.2</v>
      </c>
      <c r="F4015" t="s">
        <v>11</v>
      </c>
      <c r="G4015" t="s">
        <v>25</v>
      </c>
      <c r="H4015" s="12">
        <v>2.9392969632639399</v>
      </c>
      <c r="I4015" s="20">
        <v>1.4493051208545999</v>
      </c>
      <c r="J4015" s="28">
        <v>0.147252391643485</v>
      </c>
      <c r="K4015" s="29">
        <v>0.847847934541333</v>
      </c>
    </row>
    <row r="4016" spans="1:11" x14ac:dyDescent="0.35">
      <c r="A4016" s="9" t="str">
        <f>HYPERLINK("http://www.ensembl.org/id/WBGene00020716", "WBGene00020716")</f>
        <v>WBGene00020716</v>
      </c>
      <c r="B4016" s="9" t="str">
        <f>HYPERLINK("http://www.ncbi.nlm.nih.gov/gene/188776", "188776")</f>
        <v>188776</v>
      </c>
      <c r="C4016" s="9"/>
      <c r="D4016" t="str">
        <f>"phf-30"</f>
        <v>phf-30</v>
      </c>
      <c r="E4016" t="s">
        <v>2651</v>
      </c>
      <c r="F4016" t="s">
        <v>11</v>
      </c>
      <c r="G4016" t="s">
        <v>3209</v>
      </c>
      <c r="H4016" s="12">
        <v>-1.4137921491268399</v>
      </c>
      <c r="I4016" s="20">
        <v>-1.4488485164109901</v>
      </c>
      <c r="J4016" s="28">
        <v>0.14737989138149299</v>
      </c>
      <c r="K4016" s="29">
        <v>0.84837064530662398</v>
      </c>
    </row>
    <row r="4017" spans="1:11" x14ac:dyDescent="0.35">
      <c r="A4017" s="9" t="str">
        <f>HYPERLINK("http://www.ensembl.org/id/WBGene00022792", "WBGene00022792")</f>
        <v>WBGene00022792</v>
      </c>
      <c r="B4017" s="9" t="str">
        <f>HYPERLINK("http://www.ncbi.nlm.nih.gov/gene/176088", "176088")</f>
        <v>176088</v>
      </c>
      <c r="C4017" s="9"/>
      <c r="D4017" t="str">
        <f>"ZK686.2"</f>
        <v>ZK686.2</v>
      </c>
      <c r="E4017" t="s">
        <v>3210</v>
      </c>
      <c r="F4017" t="s">
        <v>11</v>
      </c>
      <c r="G4017" t="s">
        <v>3211</v>
      </c>
      <c r="H4017" s="12">
        <v>-1.38405414597723</v>
      </c>
      <c r="I4017" s="20">
        <v>-1.4487140018853899</v>
      </c>
      <c r="J4017" s="28">
        <v>0.14741746857347099</v>
      </c>
      <c r="K4017" s="29">
        <v>0.848375598719455</v>
      </c>
    </row>
    <row r="4018" spans="1:11" x14ac:dyDescent="0.35">
      <c r="A4018" s="9" t="str">
        <f>HYPERLINK("http://www.ensembl.org/id/WBGene00000295", "WBGene00000295")</f>
        <v>WBGene00000295</v>
      </c>
      <c r="B4018" s="9" t="str">
        <f>HYPERLINK("http://www.ncbi.nlm.nih.gov/gene/180837", "180837")</f>
        <v>180837</v>
      </c>
      <c r="C4018" s="9" t="str">
        <f>HYPERLINK("http://www.ncbi.nlm.nih.gov/gene/6571", "6571")</f>
        <v>6571</v>
      </c>
      <c r="D4018" t="str">
        <f>"cat-1"</f>
        <v>cat-1</v>
      </c>
      <c r="F4018" t="s">
        <v>11</v>
      </c>
      <c r="G4018" t="s">
        <v>3212</v>
      </c>
      <c r="H4018" s="12">
        <v>1.5669246833555199</v>
      </c>
      <c r="I4018" s="20">
        <v>1.4483579527436099</v>
      </c>
      <c r="J4018" s="28">
        <v>0.147516967730734</v>
      </c>
      <c r="K4018" s="29">
        <v>0.84873681682926605</v>
      </c>
    </row>
    <row r="4019" spans="1:11" x14ac:dyDescent="0.35">
      <c r="A4019" s="9" t="str">
        <f>HYPERLINK("http://www.ensembl.org/id/WBGene00018435", "WBGene00018435")</f>
        <v>WBGene00018435</v>
      </c>
      <c r="B4019" s="9" t="str">
        <f>HYPERLINK("http://www.ncbi.nlm.nih.gov/gene/185768", "185768")</f>
        <v>185768</v>
      </c>
      <c r="C4019" s="9"/>
      <c r="D4019" t="str">
        <f>"btb-9"</f>
        <v>btb-9</v>
      </c>
      <c r="E4019" t="s">
        <v>468</v>
      </c>
      <c r="F4019" t="s">
        <v>11</v>
      </c>
      <c r="G4019" t="s">
        <v>54</v>
      </c>
      <c r="H4019" s="12">
        <v>-1.52315894381109</v>
      </c>
      <c r="I4019" s="20">
        <v>-1.44804140651112</v>
      </c>
      <c r="J4019" s="28">
        <v>0.14760547076182501</v>
      </c>
      <c r="K4019" s="29">
        <v>0.84880051417212699</v>
      </c>
    </row>
    <row r="4020" spans="1:11" x14ac:dyDescent="0.35">
      <c r="A4020" s="9" t="str">
        <f>HYPERLINK("http://www.ensembl.org/id/WBGene00021703", "WBGene00021703")</f>
        <v>WBGene00021703</v>
      </c>
      <c r="B4020" s="9" t="str">
        <f>HYPERLINK("http://www.ncbi.nlm.nih.gov/gene/190055", "190055")</f>
        <v>190055</v>
      </c>
      <c r="C4020" s="9"/>
      <c r="D4020" t="str">
        <f>"cpt-3"</f>
        <v>cpt-3</v>
      </c>
      <c r="E4020" t="s">
        <v>2671</v>
      </c>
      <c r="F4020" t="s">
        <v>11</v>
      </c>
      <c r="G4020" t="s">
        <v>1734</v>
      </c>
      <c r="H4020" s="12">
        <v>1.56696095377445</v>
      </c>
      <c r="I4020" s="20">
        <v>1.44773481883991</v>
      </c>
      <c r="J4020" s="28">
        <v>0.147691228164642</v>
      </c>
      <c r="K4020" s="29">
        <v>0.84880051417212699</v>
      </c>
    </row>
    <row r="4021" spans="1:11" x14ac:dyDescent="0.35">
      <c r="A4021" s="9" t="str">
        <f>HYPERLINK("http://www.ensembl.org/id/WBGene00000971", "WBGene00000971")</f>
        <v>WBGene00000971</v>
      </c>
      <c r="B4021" s="9" t="str">
        <f>HYPERLINK("http://www.ncbi.nlm.nih.gov/gene/174183", "174183")</f>
        <v>174183</v>
      </c>
      <c r="C4021" s="9" t="str">
        <f>HYPERLINK("http://www.ncbi.nlm.nih.gov/gene/51741", "51741")</f>
        <v>51741</v>
      </c>
      <c r="D4021" t="str">
        <f>"dhs-7"</f>
        <v>dhs-7</v>
      </c>
      <c r="E4021" t="s">
        <v>488</v>
      </c>
      <c r="F4021" t="s">
        <v>11</v>
      </c>
      <c r="G4021" t="s">
        <v>3214</v>
      </c>
      <c r="H4021" s="12">
        <v>-1.7841795312742399</v>
      </c>
      <c r="I4021" s="20">
        <v>-1.4478344772424201</v>
      </c>
      <c r="J4021" s="28">
        <v>0.147663347963022</v>
      </c>
      <c r="K4021" s="29">
        <v>0.84880051417212699</v>
      </c>
    </row>
    <row r="4022" spans="1:11" x14ac:dyDescent="0.35">
      <c r="A4022" s="9" t="str">
        <f>HYPERLINK("http://www.ensembl.org/id/WBGene00017335", "WBGene00017335")</f>
        <v>WBGene00017335</v>
      </c>
      <c r="B4022" s="9" t="str">
        <f>HYPERLINK("http://www.ncbi.nlm.nih.gov/gene/179101", "179101")</f>
        <v>179101</v>
      </c>
      <c r="C4022" s="9"/>
      <c r="D4022" t="str">
        <f>"F10D2.10"</f>
        <v>F10D2.10</v>
      </c>
      <c r="F4022" t="s">
        <v>11</v>
      </c>
      <c r="H4022" s="12">
        <v>1.5098096844436699</v>
      </c>
      <c r="I4022" s="20">
        <v>1.44766160033949</v>
      </c>
      <c r="J4022" s="28">
        <v>0.14771171416455101</v>
      </c>
      <c r="K4022" s="29">
        <v>0.84880051417212699</v>
      </c>
    </row>
    <row r="4023" spans="1:11" x14ac:dyDescent="0.35">
      <c r="A4023" s="9" t="str">
        <f>HYPERLINK("http://www.ensembl.org/id/WBGene00006466", "WBGene00006466")</f>
        <v>WBGene00006466</v>
      </c>
      <c r="B4023" s="9" t="str">
        <f>HYPERLINK("http://www.ncbi.nlm.nih.gov/gene/178278", "178278")</f>
        <v>178278</v>
      </c>
      <c r="C4023" s="9"/>
      <c r="D4023" t="str">
        <f>"tag-115"</f>
        <v>tag-115</v>
      </c>
      <c r="F4023" t="s">
        <v>11</v>
      </c>
      <c r="G4023" t="s">
        <v>3213</v>
      </c>
      <c r="H4023" s="12">
        <v>-1.43715798323739</v>
      </c>
      <c r="I4023" s="20">
        <v>-1.4479448394485801</v>
      </c>
      <c r="J4023" s="28">
        <v>0.147632477984081</v>
      </c>
      <c r="K4023" s="29">
        <v>0.84880051417212699</v>
      </c>
    </row>
    <row r="4024" spans="1:11" x14ac:dyDescent="0.35">
      <c r="A4024" s="9" t="str">
        <f>HYPERLINK("http://www.ensembl.org/id/WBGene00050945", "WBGene00050945")</f>
        <v>WBGene00050945</v>
      </c>
      <c r="B4024" s="9"/>
      <c r="C4024" s="9"/>
      <c r="D4024" t="str">
        <f>"C45B11.7"</f>
        <v>C45B11.7</v>
      </c>
      <c r="F4024" t="s">
        <v>80</v>
      </c>
      <c r="H4024" s="12">
        <v>2.7655099440151898</v>
      </c>
      <c r="I4024" s="20">
        <v>1.4468257569446501</v>
      </c>
      <c r="J4024" s="28">
        <v>0.147945730942944</v>
      </c>
      <c r="K4024" s="29">
        <v>0.849293363403265</v>
      </c>
    </row>
    <row r="4025" spans="1:11" x14ac:dyDescent="0.35">
      <c r="A4025" s="9" t="str">
        <f>HYPERLINK("http://www.ensembl.org/id/WBGene00022357", "WBGene00022357")</f>
        <v>WBGene00022357</v>
      </c>
      <c r="B4025" s="9" t="str">
        <f>HYPERLINK("http://www.ncbi.nlm.nih.gov/gene/175273", "175273")</f>
        <v>175273</v>
      </c>
      <c r="C4025" s="9"/>
      <c r="D4025" t="str">
        <f>"kbp-4"</f>
        <v>kbp-4</v>
      </c>
      <c r="E4025" t="s">
        <v>3220</v>
      </c>
      <c r="F4025" t="s">
        <v>11</v>
      </c>
      <c r="G4025" t="s">
        <v>3221</v>
      </c>
      <c r="H4025" s="12">
        <v>-1.44926458767063</v>
      </c>
      <c r="I4025" s="20">
        <v>-1.4466041619793499</v>
      </c>
      <c r="J4025" s="28">
        <v>0.14800781987823999</v>
      </c>
      <c r="K4025" s="29">
        <v>0.849293363403265</v>
      </c>
    </row>
    <row r="4026" spans="1:11" x14ac:dyDescent="0.35">
      <c r="A4026" s="9" t="str">
        <f>HYPERLINK("http://www.ensembl.org/id/WBGene00010994", "WBGene00010994")</f>
        <v>WBGene00010994</v>
      </c>
      <c r="B4026" s="9" t="str">
        <f>HYPERLINK("http://www.ncbi.nlm.nih.gov/gene/181525", "181525")</f>
        <v>181525</v>
      </c>
      <c r="C4026" s="9"/>
      <c r="D4026" t="str">
        <f>"lgc-25"</f>
        <v>lgc-25</v>
      </c>
      <c r="E4026" t="s">
        <v>505</v>
      </c>
      <c r="F4026" t="s">
        <v>11</v>
      </c>
      <c r="G4026" t="s">
        <v>3219</v>
      </c>
      <c r="H4026" s="12">
        <v>-1.41996845908767</v>
      </c>
      <c r="I4026" s="20">
        <v>-1.44687231165497</v>
      </c>
      <c r="J4026" s="28">
        <v>0.147932689257884</v>
      </c>
      <c r="K4026" s="29">
        <v>0.849293363403265</v>
      </c>
    </row>
    <row r="4027" spans="1:11" x14ac:dyDescent="0.35">
      <c r="A4027" s="9" t="str">
        <f>HYPERLINK("http://www.ensembl.org/id/WBGene00008605", "WBGene00008605")</f>
        <v>WBGene00008605</v>
      </c>
      <c r="B4027" s="9" t="str">
        <f>HYPERLINK("http://www.ncbi.nlm.nih.gov/gene/181607", "181607")</f>
        <v>181607</v>
      </c>
      <c r="C4027" s="9"/>
      <c r="D4027" t="str">
        <f>"mlt-9"</f>
        <v>mlt-9</v>
      </c>
      <c r="F4027" t="s">
        <v>11</v>
      </c>
      <c r="H4027" s="12">
        <v>1.6415859959322401</v>
      </c>
      <c r="I4027" s="20">
        <v>1.44700549745583</v>
      </c>
      <c r="J4027" s="28">
        <v>0.147895383872234</v>
      </c>
      <c r="K4027" s="29">
        <v>0.849293363403265</v>
      </c>
    </row>
    <row r="4028" spans="1:11" x14ac:dyDescent="0.35">
      <c r="A4028" s="9" t="str">
        <f>HYPERLINK("http://www.ensembl.org/id/WBGene00013958", "WBGene00013958")</f>
        <v>WBGene00013958</v>
      </c>
      <c r="B4028" s="9" t="str">
        <f>HYPERLINK("http://www.ncbi.nlm.nih.gov/gene/191277", "191277")</f>
        <v>191277</v>
      </c>
      <c r="C4028" s="9"/>
      <c r="D4028" t="str">
        <f>"nol-16"</f>
        <v>nol-16</v>
      </c>
      <c r="E4028" t="s">
        <v>3216</v>
      </c>
      <c r="F4028" t="s">
        <v>11</v>
      </c>
      <c r="H4028" s="12">
        <v>-1.3931034120235199</v>
      </c>
      <c r="I4028" s="20">
        <v>-1.44645987651257</v>
      </c>
      <c r="J4028" s="28">
        <v>0.14804825808105401</v>
      </c>
      <c r="K4028" s="29">
        <v>0.849293363403265</v>
      </c>
    </row>
    <row r="4029" spans="1:11" x14ac:dyDescent="0.35">
      <c r="A4029" s="9" t="str">
        <f>HYPERLINK("http://www.ensembl.org/id/WBGene00021677", "WBGene00021677")</f>
        <v>WBGene00021677</v>
      </c>
      <c r="B4029" s="9" t="str">
        <f>HYPERLINK("http://www.ncbi.nlm.nih.gov/gene/171594", "171594")</f>
        <v>171594</v>
      </c>
      <c r="C4029" s="9" t="str">
        <f>HYPERLINK("http://www.ncbi.nlm.nih.gov/gene/9489", "9489")</f>
        <v>9489</v>
      </c>
      <c r="D4029" t="str">
        <f>"pgs-1"</f>
        <v>pgs-1</v>
      </c>
      <c r="E4029" t="s">
        <v>3217</v>
      </c>
      <c r="F4029" t="s">
        <v>11</v>
      </c>
      <c r="G4029" t="s">
        <v>3218</v>
      </c>
      <c r="H4029" s="12">
        <v>-1.39897804110965</v>
      </c>
      <c r="I4029" s="20">
        <v>-1.4463875403725399</v>
      </c>
      <c r="J4029" s="28">
        <v>0.148068534564056</v>
      </c>
      <c r="K4029" s="29">
        <v>0.849293363403265</v>
      </c>
    </row>
    <row r="4030" spans="1:11" x14ac:dyDescent="0.35">
      <c r="A4030" s="9" t="str">
        <f>HYPERLINK("http://www.ensembl.org/id/WBGene00020196", "WBGene00020196")</f>
        <v>WBGene00020196</v>
      </c>
      <c r="B4030" s="9" t="str">
        <f>HYPERLINK("http://www.ncbi.nlm.nih.gov/gene/188032", "188032")</f>
        <v>188032</v>
      </c>
      <c r="C4030" s="9" t="str">
        <f>HYPERLINK("http://www.ncbi.nlm.nih.gov/gene/153918", "153918")</f>
        <v>153918</v>
      </c>
      <c r="D4030" t="str">
        <f>"T03G11.3"</f>
        <v>T03G11.3</v>
      </c>
      <c r="E4030" t="s">
        <v>3215</v>
      </c>
      <c r="F4030" t="s">
        <v>11</v>
      </c>
      <c r="G4030" t="s">
        <v>51</v>
      </c>
      <c r="H4030" s="12">
        <v>2.00160246419895</v>
      </c>
      <c r="I4030" s="20">
        <v>1.44699960955824</v>
      </c>
      <c r="J4030" s="28">
        <v>0.14789703292235901</v>
      </c>
      <c r="K4030" s="29">
        <v>0.849293363403265</v>
      </c>
    </row>
    <row r="4031" spans="1:11" x14ac:dyDescent="0.35">
      <c r="A4031" s="9" t="str">
        <f>HYPERLINK("http://www.ensembl.org/id/WBGene00021402", "WBGene00021402")</f>
        <v>WBGene00021402</v>
      </c>
      <c r="B4031" s="9" t="str">
        <f>HYPERLINK("http://www.ncbi.nlm.nih.gov/gene/259547", "259547")</f>
        <v>259547</v>
      </c>
      <c r="C4031" s="9"/>
      <c r="D4031" t="str">
        <f>"Y38C1AA.12"</f>
        <v>Y38C1AA.12</v>
      </c>
      <c r="F4031" t="s">
        <v>11</v>
      </c>
      <c r="H4031" s="12">
        <v>-1.36074114146158</v>
      </c>
      <c r="I4031" s="20">
        <v>-1.4463055029067999</v>
      </c>
      <c r="J4031" s="28">
        <v>0.14809153298501501</v>
      </c>
      <c r="K4031" s="29">
        <v>0.849293363403265</v>
      </c>
    </row>
    <row r="4032" spans="1:11" x14ac:dyDescent="0.35">
      <c r="A4032" s="9" t="str">
        <f>HYPERLINK("http://www.ensembl.org/id/WBGene00004405", "WBGene00004405")</f>
        <v>WBGene00004405</v>
      </c>
      <c r="B4032" s="9" t="str">
        <f>HYPERLINK("http://www.ncbi.nlm.nih.gov/gene/179425", "179425")</f>
        <v>179425</v>
      </c>
      <c r="C4032" s="9" t="str">
        <f>HYPERLINK("http://www.ncbi.nlm.nih.gov/gene/6738", "6738")</f>
        <v>6738</v>
      </c>
      <c r="D4032" t="str">
        <f>"rop-1"</f>
        <v>rop-1</v>
      </c>
      <c r="E4032" t="s">
        <v>3222</v>
      </c>
      <c r="F4032" t="s">
        <v>11</v>
      </c>
      <c r="G4032" t="s">
        <v>3223</v>
      </c>
      <c r="H4032" s="12">
        <v>-1.3177998858673801</v>
      </c>
      <c r="I4032" s="20">
        <v>-1.44598529725536</v>
      </c>
      <c r="J4032" s="28">
        <v>0.14818132569963299</v>
      </c>
      <c r="K4032" s="29">
        <v>0.849597447051048</v>
      </c>
    </row>
    <row r="4033" spans="1:11" x14ac:dyDescent="0.35">
      <c r="A4033" s="9" t="str">
        <f>HYPERLINK("http://www.ensembl.org/id/WBGene00000008", "WBGene00000008")</f>
        <v>WBGene00000008</v>
      </c>
      <c r="B4033" s="9" t="str">
        <f>HYPERLINK("http://www.ncbi.nlm.nih.gov/gene/186240", "186240")</f>
        <v>186240</v>
      </c>
      <c r="C4033" s="9"/>
      <c r="D4033" t="str">
        <f>"aat-7"</f>
        <v>aat-7</v>
      </c>
      <c r="E4033" t="s">
        <v>2829</v>
      </c>
      <c r="F4033" t="s">
        <v>11</v>
      </c>
      <c r="G4033" t="s">
        <v>3119</v>
      </c>
      <c r="H4033" s="12">
        <v>1.90829821944532</v>
      </c>
      <c r="I4033" s="20">
        <v>1.44541358824371</v>
      </c>
      <c r="J4033" s="28">
        <v>0.148341748906128</v>
      </c>
      <c r="K4033" s="29">
        <v>0.84988456489585895</v>
      </c>
    </row>
    <row r="4034" spans="1:11" x14ac:dyDescent="0.35">
      <c r="A4034" s="9" t="str">
        <f>HYPERLINK("http://www.ensembl.org/id/WBGene00017389", "WBGene00017389")</f>
        <v>WBGene00017389</v>
      </c>
      <c r="B4034" s="9"/>
      <c r="C4034" s="9"/>
      <c r="D4034" t="str">
        <f>"lgc-38"</f>
        <v>lgc-38</v>
      </c>
      <c r="F4034" t="s">
        <v>11</v>
      </c>
      <c r="G4034" t="s">
        <v>3224</v>
      </c>
      <c r="H4034" s="12">
        <v>1.6041404802935799</v>
      </c>
      <c r="I4034" s="20">
        <v>1.44551687960963</v>
      </c>
      <c r="J4034" s="28">
        <v>0.14831275523507301</v>
      </c>
      <c r="K4034" s="29">
        <v>0.84988456489585895</v>
      </c>
    </row>
    <row r="4035" spans="1:11" x14ac:dyDescent="0.35">
      <c r="A4035" s="9" t="str">
        <f>HYPERLINK("http://www.ensembl.org/id/WBGene00015814", "WBGene00015814")</f>
        <v>WBGene00015814</v>
      </c>
      <c r="B4035" s="9" t="str">
        <f>HYPERLINK("http://www.ncbi.nlm.nih.gov/gene/175908", "175908")</f>
        <v>175908</v>
      </c>
      <c r="C4035" s="9" t="str">
        <f>HYPERLINK("http://www.ncbi.nlm.nih.gov/gene/4942", "4942")</f>
        <v>4942</v>
      </c>
      <c r="D4035" t="str">
        <f>"oatr-1"</f>
        <v>oatr-1</v>
      </c>
      <c r="E4035" t="s">
        <v>3225</v>
      </c>
      <c r="F4035" t="s">
        <v>11</v>
      </c>
      <c r="G4035" t="s">
        <v>3226</v>
      </c>
      <c r="H4035" s="12">
        <v>-1.31412097491749</v>
      </c>
      <c r="I4035" s="20">
        <v>-1.4454328737136699</v>
      </c>
      <c r="J4035" s="28">
        <v>0.148336335186249</v>
      </c>
      <c r="K4035" s="29">
        <v>0.84988456489585895</v>
      </c>
    </row>
    <row r="4036" spans="1:11" x14ac:dyDescent="0.35">
      <c r="A4036" s="9" t="str">
        <f>HYPERLINK("http://www.ensembl.org/id/WBGene00023431", "WBGene00023431")</f>
        <v>WBGene00023431</v>
      </c>
      <c r="B4036" s="9" t="str">
        <f>HYPERLINK("http://www.ncbi.nlm.nih.gov/gene/259636", "259636")</f>
        <v>259636</v>
      </c>
      <c r="C4036" s="9"/>
      <c r="D4036" t="str">
        <f>"C25E10.13"</f>
        <v>C25E10.13</v>
      </c>
      <c r="F4036" t="s">
        <v>11</v>
      </c>
      <c r="H4036" s="12">
        <v>2.6138777003050899</v>
      </c>
      <c r="I4036" s="20">
        <v>1.44499637042523</v>
      </c>
      <c r="J4036" s="28">
        <v>0.14845890513938401</v>
      </c>
      <c r="K4036" s="29">
        <v>0.85027089704387404</v>
      </c>
    </row>
    <row r="4037" spans="1:11" x14ac:dyDescent="0.35">
      <c r="A4037" s="9" t="str">
        <f>HYPERLINK("http://www.ensembl.org/id/WBGene00008856", "WBGene00008856")</f>
        <v>WBGene00008856</v>
      </c>
      <c r="B4037" s="9" t="str">
        <f>HYPERLINK("http://www.ncbi.nlm.nih.gov/gene/173040", "173040")</f>
        <v>173040</v>
      </c>
      <c r="C4037" s="9" t="str">
        <f>HYPERLINK("http://www.ncbi.nlm.nih.gov/gene/51012", "51012")</f>
        <v>51012</v>
      </c>
      <c r="D4037" t="str">
        <f>"F15D3.6"</f>
        <v>F15D3.6</v>
      </c>
      <c r="F4037" t="s">
        <v>11</v>
      </c>
      <c r="G4037" t="s">
        <v>3227</v>
      </c>
      <c r="H4037" s="12">
        <v>-1.33349661622799</v>
      </c>
      <c r="I4037" s="20">
        <v>-1.4447804049570501</v>
      </c>
      <c r="J4037" s="28">
        <v>0.14851957675361699</v>
      </c>
      <c r="K4037" s="29">
        <v>0.85027089704387404</v>
      </c>
    </row>
    <row r="4038" spans="1:11" x14ac:dyDescent="0.35">
      <c r="A4038" s="9" t="str">
        <f>HYPERLINK("http://www.ensembl.org/id/WBGene00010644", "WBGene00010644")</f>
        <v>WBGene00010644</v>
      </c>
      <c r="B4038" s="9" t="str">
        <f>HYPERLINK("http://www.ncbi.nlm.nih.gov/gene/187123", "187123")</f>
        <v>187123</v>
      </c>
      <c r="C4038" s="9"/>
      <c r="D4038" t="str">
        <f>"K07G5.5"</f>
        <v>K07G5.5</v>
      </c>
      <c r="F4038" t="s">
        <v>11</v>
      </c>
      <c r="G4038" t="s">
        <v>307</v>
      </c>
      <c r="H4038" s="12">
        <v>-1.8491284615694601</v>
      </c>
      <c r="I4038" s="20">
        <v>-1.4447937192378399</v>
      </c>
      <c r="J4038" s="28">
        <v>0.148515835798255</v>
      </c>
      <c r="K4038" s="29">
        <v>0.85027089704387404</v>
      </c>
    </row>
    <row r="4039" spans="1:11" x14ac:dyDescent="0.35">
      <c r="A4039" s="9" t="str">
        <f>HYPERLINK("http://www.ensembl.org/id/WBGene00006103", "WBGene00006103")</f>
        <v>WBGene00006103</v>
      </c>
      <c r="B4039" s="9" t="str">
        <f>HYPERLINK("http://www.ncbi.nlm.nih.gov/gene/188783", "188783")</f>
        <v>188783</v>
      </c>
      <c r="C4039" s="9"/>
      <c r="D4039" t="str">
        <f>"str-38"</f>
        <v>str-38</v>
      </c>
      <c r="E4039" t="s">
        <v>590</v>
      </c>
      <c r="F4039" t="s">
        <v>11</v>
      </c>
      <c r="G4039" t="s">
        <v>25</v>
      </c>
      <c r="H4039" s="12">
        <v>6.2449157270786699</v>
      </c>
      <c r="I4039" s="20">
        <v>1.44437864260315</v>
      </c>
      <c r="J4039" s="28">
        <v>0.148632495037852</v>
      </c>
      <c r="K4039" s="29">
        <v>0.85070657179702702</v>
      </c>
    </row>
    <row r="4040" spans="1:11" x14ac:dyDescent="0.35">
      <c r="A4040" s="9" t="str">
        <f>HYPERLINK("http://www.ensembl.org/id/WBGene00019354", "WBGene00019354")</f>
        <v>WBGene00019354</v>
      </c>
      <c r="B4040" s="9" t="str">
        <f>HYPERLINK("http://www.ncbi.nlm.nih.gov/gene/178858", "178858")</f>
        <v>178858</v>
      </c>
      <c r="C4040" s="9"/>
      <c r="D4040" t="str">
        <f>"K03B4.2"</f>
        <v>K03B4.2</v>
      </c>
      <c r="F4040" t="s">
        <v>11</v>
      </c>
      <c r="H4040" s="12">
        <v>-1.30790983714386</v>
      </c>
      <c r="I4040" s="20">
        <v>-1.4439645250395701</v>
      </c>
      <c r="J4040" s="28">
        <v>0.14874895444512701</v>
      </c>
      <c r="K4040" s="29">
        <v>0.85116229356342199</v>
      </c>
    </row>
    <row r="4041" spans="1:11" x14ac:dyDescent="0.35">
      <c r="A4041" s="9" t="str">
        <f>HYPERLINK("http://www.ensembl.org/id/WBGene00000846", "WBGene00000846")</f>
        <v>WBGene00000846</v>
      </c>
      <c r="B4041" s="9" t="str">
        <f>HYPERLINK("http://www.ncbi.nlm.nih.gov/gene/176074", "176074")</f>
        <v>176074</v>
      </c>
      <c r="C4041" s="9" t="str">
        <f>HYPERLINK("http://www.ncbi.nlm.nih.gov/gene/55283", "55283")</f>
        <v>55283</v>
      </c>
      <c r="D4041" t="str">
        <f>"cup-5"</f>
        <v>cup-5</v>
      </c>
      <c r="E4041" t="s">
        <v>3229</v>
      </c>
      <c r="F4041" t="s">
        <v>11</v>
      </c>
      <c r="G4041" t="s">
        <v>3230</v>
      </c>
      <c r="H4041" s="12">
        <v>-1.34809130879579</v>
      </c>
      <c r="I4041" s="20">
        <v>-1.4433608283853501</v>
      </c>
      <c r="J4041" s="28">
        <v>0.14891885266402799</v>
      </c>
      <c r="K4041" s="29">
        <v>0.85133025472297696</v>
      </c>
    </row>
    <row r="4042" spans="1:11" x14ac:dyDescent="0.35">
      <c r="A4042" s="9" t="str">
        <f>HYPERLINK("http://www.ensembl.org/id/WBGene00017194", "WBGene00017194")</f>
        <v>WBGene00017194</v>
      </c>
      <c r="B4042" s="9" t="str">
        <f>HYPERLINK("http://www.ncbi.nlm.nih.gov/gene/184124", "184124")</f>
        <v>184124</v>
      </c>
      <c r="C4042" s="9"/>
      <c r="D4042" t="str">
        <f>"F07C3.3"</f>
        <v>F07C3.3</v>
      </c>
      <c r="F4042" t="s">
        <v>11</v>
      </c>
      <c r="G4042" t="s">
        <v>3228</v>
      </c>
      <c r="H4042" s="12">
        <v>2.1502253872228301</v>
      </c>
      <c r="I4042" s="20">
        <v>1.4433359481028001</v>
      </c>
      <c r="J4042" s="28">
        <v>0.14892585789384599</v>
      </c>
      <c r="K4042" s="29">
        <v>0.85133025472297696</v>
      </c>
    </row>
    <row r="4043" spans="1:11" x14ac:dyDescent="0.35">
      <c r="A4043" s="9" t="str">
        <f>HYPERLINK("http://www.ensembl.org/id/WBGene00018078", "WBGene00018078")</f>
        <v>WBGene00018078</v>
      </c>
      <c r="B4043" s="9" t="str">
        <f>HYPERLINK("http://www.ncbi.nlm.nih.gov/gene/266942", "266942")</f>
        <v>266942</v>
      </c>
      <c r="C4043" s="9"/>
      <c r="D4043" t="str">
        <f>"F35H12.6"</f>
        <v>F35H12.6</v>
      </c>
      <c r="F4043" t="s">
        <v>11</v>
      </c>
      <c r="G4043" t="s">
        <v>25</v>
      </c>
      <c r="H4043" s="12">
        <v>1.82004271604177</v>
      </c>
      <c r="I4043" s="20">
        <v>1.4434348998491</v>
      </c>
      <c r="J4043" s="28">
        <v>0.14889799877814899</v>
      </c>
      <c r="K4043" s="29">
        <v>0.85133025472297696</v>
      </c>
    </row>
    <row r="4044" spans="1:11" x14ac:dyDescent="0.35">
      <c r="A4044" s="9" t="str">
        <f>HYPERLINK("http://www.ensembl.org/id/WBGene00019964", "WBGene00019964")</f>
        <v>WBGene00019964</v>
      </c>
      <c r="B4044" s="9" t="str">
        <f>HYPERLINK("http://www.ncbi.nlm.nih.gov/gene/187702", "187702")</f>
        <v>187702</v>
      </c>
      <c r="C4044" s="9"/>
      <c r="D4044" t="str">
        <f>"R08E5.4"</f>
        <v>R08E5.4</v>
      </c>
      <c r="F4044" t="s">
        <v>11</v>
      </c>
      <c r="H4044" s="12">
        <v>15.9592029246087</v>
      </c>
      <c r="I4044" s="20">
        <v>1.4433688741148001</v>
      </c>
      <c r="J4044" s="28">
        <v>0.148916587382496</v>
      </c>
      <c r="K4044" s="29">
        <v>0.85133025472297696</v>
      </c>
    </row>
    <row r="4045" spans="1:11" x14ac:dyDescent="0.35">
      <c r="A4045" s="9" t="str">
        <f>HYPERLINK("http://www.ensembl.org/id/WBGene00022541", "WBGene00022541")</f>
        <v>WBGene00022541</v>
      </c>
      <c r="B4045" s="9" t="str">
        <f>HYPERLINK("http://www.ncbi.nlm.nih.gov/gene/179250", "179250")</f>
        <v>179250</v>
      </c>
      <c r="C4045" s="9"/>
      <c r="D4045" t="str">
        <f>"ZC190.7"</f>
        <v>ZC190.7</v>
      </c>
      <c r="F4045" t="s">
        <v>11</v>
      </c>
      <c r="G4045" t="s">
        <v>25</v>
      </c>
      <c r="H4045" s="12">
        <v>14.3853423485994</v>
      </c>
      <c r="I4045" s="20">
        <v>1.4432057151125199</v>
      </c>
      <c r="J4045" s="28">
        <v>0.14896253007205901</v>
      </c>
      <c r="K4045" s="29">
        <v>0.85133025472297696</v>
      </c>
    </row>
    <row r="4046" spans="1:11" x14ac:dyDescent="0.35">
      <c r="A4046" s="9" t="str">
        <f>HYPERLINK("http://www.ensembl.org/id/WBGene00020361", "WBGene00020361")</f>
        <v>WBGene00020361</v>
      </c>
      <c r="B4046" s="9" t="str">
        <f>HYPERLINK("http://www.ncbi.nlm.nih.gov/gene/173551", "173551")</f>
        <v>173551</v>
      </c>
      <c r="C4046" s="9"/>
      <c r="D4046" t="str">
        <f>"fbxc-19"</f>
        <v>fbxc-19</v>
      </c>
      <c r="E4046" t="s">
        <v>311</v>
      </c>
      <c r="F4046" t="s">
        <v>11</v>
      </c>
      <c r="H4046" s="12">
        <v>2.0116795542306498</v>
      </c>
      <c r="I4046" s="20">
        <v>1.44292279005152</v>
      </c>
      <c r="J4046" s="28">
        <v>0.14904222241382101</v>
      </c>
      <c r="K4046" s="29">
        <v>0.85157507198163895</v>
      </c>
    </row>
    <row r="4047" spans="1:11" x14ac:dyDescent="0.35">
      <c r="A4047" s="9" t="str">
        <f>HYPERLINK("http://www.ensembl.org/id/WBGene00017432", "WBGene00017432")</f>
        <v>WBGene00017432</v>
      </c>
      <c r="B4047" s="9"/>
      <c r="C4047" s="9"/>
      <c r="D4047" t="str">
        <f>"F13H6.4"</f>
        <v>F13H6.4</v>
      </c>
      <c r="F4047" t="s">
        <v>80</v>
      </c>
      <c r="H4047" s="12">
        <v>-2.76362700719335</v>
      </c>
      <c r="I4047" s="20">
        <v>-1.44270525150344</v>
      </c>
      <c r="J4047" s="28">
        <v>0.14910351927072299</v>
      </c>
      <c r="K4047" s="29">
        <v>0.85171468881812495</v>
      </c>
    </row>
    <row r="4048" spans="1:11" x14ac:dyDescent="0.35">
      <c r="A4048" s="9" t="str">
        <f>HYPERLINK("http://www.ensembl.org/id/WBGene00000041", "WBGene00000041")</f>
        <v>WBGene00000041</v>
      </c>
      <c r="B4048" s="9" t="str">
        <f>HYPERLINK("http://www.ncbi.nlm.nih.gov/gene/176121", "176121")</f>
        <v>176121</v>
      </c>
      <c r="C4048" s="9" t="str">
        <f>HYPERLINK("http://www.ncbi.nlm.nih.gov/gene/50", "50")</f>
        <v>50</v>
      </c>
      <c r="D4048" t="str">
        <f>"aco-2"</f>
        <v>aco-2</v>
      </c>
      <c r="E4048" t="s">
        <v>3231</v>
      </c>
      <c r="F4048" t="s">
        <v>11</v>
      </c>
      <c r="G4048" t="s">
        <v>3232</v>
      </c>
      <c r="H4048" s="12">
        <v>-1.29383562219945</v>
      </c>
      <c r="I4048" s="20">
        <v>-1.4424900521828301</v>
      </c>
      <c r="J4048" s="28">
        <v>0.14916417592395201</v>
      </c>
      <c r="K4048" s="29">
        <v>0.85185058054840301</v>
      </c>
    </row>
    <row r="4049" spans="1:11" x14ac:dyDescent="0.35">
      <c r="A4049" s="9" t="str">
        <f>HYPERLINK("http://www.ensembl.org/id/WBGene00005110", "WBGene00005110")</f>
        <v>WBGene00005110</v>
      </c>
      <c r="B4049" s="9" t="str">
        <f>HYPERLINK("http://www.ncbi.nlm.nih.gov/gene/191815", "191815")</f>
        <v>191815</v>
      </c>
      <c r="C4049" s="9"/>
      <c r="D4049" t="str">
        <f>"srd-32"</f>
        <v>srd-32</v>
      </c>
      <c r="E4049" t="s">
        <v>3233</v>
      </c>
      <c r="F4049" t="s">
        <v>11</v>
      </c>
      <c r="G4049" t="s">
        <v>25</v>
      </c>
      <c r="H4049" s="12">
        <v>1.5831969139470701</v>
      </c>
      <c r="I4049" s="20">
        <v>1.4420774548528399</v>
      </c>
      <c r="J4049" s="28">
        <v>0.14928052437439801</v>
      </c>
      <c r="K4049" s="29">
        <v>0.85230437266983905</v>
      </c>
    </row>
    <row r="4050" spans="1:11" x14ac:dyDescent="0.35">
      <c r="A4050" s="9" t="str">
        <f>HYPERLINK("http://www.ensembl.org/id/WBGene00011009", "WBGene00011009")</f>
        <v>WBGene00011009</v>
      </c>
      <c r="B4050" s="9" t="str">
        <f>HYPERLINK("http://www.ncbi.nlm.nih.gov/gene/187573", "187573")</f>
        <v>187573</v>
      </c>
      <c r="C4050" s="9" t="str">
        <f>HYPERLINK("http://www.ncbi.nlm.nih.gov/gene/1573", "1573")</f>
        <v>1573</v>
      </c>
      <c r="D4050" t="str">
        <f>"cyp-14A4"</f>
        <v>cyp-14A4</v>
      </c>
      <c r="E4050" t="s">
        <v>176</v>
      </c>
      <c r="F4050" t="s">
        <v>11</v>
      </c>
      <c r="G4050" t="s">
        <v>1626</v>
      </c>
      <c r="H4050" s="12">
        <v>-1.6410393543508599</v>
      </c>
      <c r="I4050" s="20">
        <v>-1.44082176478214</v>
      </c>
      <c r="J4050" s="28">
        <v>0.149635042965202</v>
      </c>
      <c r="K4050" s="29">
        <v>0.85353663108956201</v>
      </c>
    </row>
    <row r="4051" spans="1:11" x14ac:dyDescent="0.35">
      <c r="A4051" s="9" t="str">
        <f>HYPERLINK("http://www.ensembl.org/id/WBGene00008368", "WBGene00008368")</f>
        <v>WBGene00008368</v>
      </c>
      <c r="B4051" s="9" t="str">
        <f>HYPERLINK("http://www.ncbi.nlm.nih.gov/gene/183913", "183913")</f>
        <v>183913</v>
      </c>
      <c r="C4051" s="9"/>
      <c r="D4051" t="str">
        <f>"D1053.3"</f>
        <v>D1053.3</v>
      </c>
      <c r="F4051" t="s">
        <v>11</v>
      </c>
      <c r="H4051" s="12">
        <v>1.3666339400521299</v>
      </c>
      <c r="I4051" s="20">
        <v>1.4409054570998501</v>
      </c>
      <c r="J4051" s="28">
        <v>0.14961139417724301</v>
      </c>
      <c r="K4051" s="29">
        <v>0.85353663108956201</v>
      </c>
    </row>
    <row r="4052" spans="1:11" x14ac:dyDescent="0.35">
      <c r="A4052" s="9" t="str">
        <f>HYPERLINK("http://www.ensembl.org/id/WBGene00009991", "WBGene00009991")</f>
        <v>WBGene00009991</v>
      </c>
      <c r="B4052" s="9"/>
      <c r="C4052" s="9"/>
      <c r="D4052" t="str">
        <f>"F53F4.8"</f>
        <v>F53F4.8</v>
      </c>
      <c r="F4052" t="s">
        <v>80</v>
      </c>
      <c r="H4052" s="12">
        <v>-3.3281775716266599</v>
      </c>
      <c r="I4052" s="20">
        <v>-1.4410198321309799</v>
      </c>
      <c r="J4052" s="28">
        <v>0.14957908004154499</v>
      </c>
      <c r="K4052" s="29">
        <v>0.85353663108956201</v>
      </c>
    </row>
    <row r="4053" spans="1:11" x14ac:dyDescent="0.35">
      <c r="A4053" s="9" t="str">
        <f>HYPERLINK("http://www.ensembl.org/id/WBGene00019497", "WBGene00019497")</f>
        <v>WBGene00019497</v>
      </c>
      <c r="B4053" s="9" t="str">
        <f>HYPERLINK("http://www.ncbi.nlm.nih.gov/gene/187114", "187114")</f>
        <v>187114</v>
      </c>
      <c r="C4053" s="9"/>
      <c r="D4053" t="str">
        <f>"K07E8.6"</f>
        <v>K07E8.6</v>
      </c>
      <c r="F4053" t="s">
        <v>11</v>
      </c>
      <c r="G4053" t="s">
        <v>3234</v>
      </c>
      <c r="H4053" s="12">
        <v>1.6814742019792299</v>
      </c>
      <c r="I4053" s="20">
        <v>1.4407896662011901</v>
      </c>
      <c r="J4053" s="28">
        <v>0.14964411376022799</v>
      </c>
      <c r="K4053" s="29">
        <v>0.85353663108956201</v>
      </c>
    </row>
    <row r="4054" spans="1:11" x14ac:dyDescent="0.35">
      <c r="A4054" s="9" t="str">
        <f>HYPERLINK("http://www.ensembl.org/id/WBGene00010658", "WBGene00010658")</f>
        <v>WBGene00010658</v>
      </c>
      <c r="B4054" s="9" t="str">
        <f>HYPERLINK("http://www.ncbi.nlm.nih.gov/gene/187144", "187144")</f>
        <v>187144</v>
      </c>
      <c r="C4054" s="9"/>
      <c r="D4054" t="str">
        <f>"K08D8.4"</f>
        <v>K08D8.4</v>
      </c>
      <c r="F4054" t="s">
        <v>11</v>
      </c>
      <c r="G4054" t="s">
        <v>264</v>
      </c>
      <c r="H4054" s="12">
        <v>-1.576132138148</v>
      </c>
      <c r="I4054" s="20">
        <v>-1.44064785231154</v>
      </c>
      <c r="J4054" s="28">
        <v>0.14968419422041099</v>
      </c>
      <c r="K4054" s="29">
        <v>0.85355453890839705</v>
      </c>
    </row>
    <row r="4055" spans="1:11" x14ac:dyDescent="0.35">
      <c r="A4055" s="9" t="str">
        <f>HYPERLINK("http://www.ensembl.org/id/WBGene00007006", "WBGene00007006")</f>
        <v>WBGene00007006</v>
      </c>
      <c r="B4055" s="9" t="str">
        <f>HYPERLINK("http://www.ncbi.nlm.nih.gov/gene/182494", "182494")</f>
        <v>182494</v>
      </c>
      <c r="C4055" s="9"/>
      <c r="D4055" t="str">
        <f>"npr-3"</f>
        <v>npr-3</v>
      </c>
      <c r="E4055" t="s">
        <v>1021</v>
      </c>
      <c r="F4055" t="s">
        <v>11</v>
      </c>
      <c r="G4055" t="s">
        <v>2799</v>
      </c>
      <c r="H4055" s="12">
        <v>1.5300683585393999</v>
      </c>
      <c r="I4055" s="20">
        <v>1.44034631452934</v>
      </c>
      <c r="J4055" s="28">
        <v>0.149769444214783</v>
      </c>
      <c r="K4055" s="29">
        <v>0.85382994769967202</v>
      </c>
    </row>
    <row r="4056" spans="1:11" x14ac:dyDescent="0.35">
      <c r="A4056" s="9" t="str">
        <f>HYPERLINK("http://www.ensembl.org/id/WBGene00206524", "WBGene00206524")</f>
        <v>WBGene00206524</v>
      </c>
      <c r="B4056" s="9" t="str">
        <f>HYPERLINK("http://www.ncbi.nlm.nih.gov/gene/13218336", "13218336")</f>
        <v>13218336</v>
      </c>
      <c r="C4056" s="9"/>
      <c r="D4056" t="str">
        <f>"C54E10.11"</f>
        <v>C54E10.11</v>
      </c>
      <c r="F4056" t="s">
        <v>11</v>
      </c>
      <c r="H4056" s="12">
        <v>3.0682806239087999</v>
      </c>
      <c r="I4056" s="20">
        <v>1.4392310813667899</v>
      </c>
      <c r="J4056" s="28">
        <v>0.15008506193402599</v>
      </c>
      <c r="K4056" s="29">
        <v>0.85419565124083696</v>
      </c>
    </row>
    <row r="4057" spans="1:11" x14ac:dyDescent="0.35">
      <c r="A4057" s="9" t="str">
        <f>HYPERLINK("http://www.ensembl.org/id/WBGene00021585", "WBGene00021585")</f>
        <v>WBGene00021585</v>
      </c>
      <c r="B4057" s="9" t="str">
        <f>HYPERLINK("http://www.ncbi.nlm.nih.gov/gene/189948", "189948")</f>
        <v>189948</v>
      </c>
      <c r="C4057" s="9"/>
      <c r="D4057" t="str">
        <f>"clec-74"</f>
        <v>clec-74</v>
      </c>
      <c r="E4057" t="s">
        <v>46</v>
      </c>
      <c r="F4057" t="s">
        <v>11</v>
      </c>
      <c r="G4057" t="s">
        <v>47</v>
      </c>
      <c r="H4057" s="12">
        <v>1.9462645216853001</v>
      </c>
      <c r="I4057" s="20">
        <v>1.43945708907534</v>
      </c>
      <c r="J4057" s="28">
        <v>0.15002105943953001</v>
      </c>
      <c r="K4057" s="29">
        <v>0.85419565124083696</v>
      </c>
    </row>
    <row r="4058" spans="1:11" x14ac:dyDescent="0.35">
      <c r="A4058" s="9" t="str">
        <f>HYPERLINK("http://www.ensembl.org/id/WBGene00014300", "WBGene00014300")</f>
        <v>WBGene00014300</v>
      </c>
      <c r="B4058" s="9" t="str">
        <f>HYPERLINK("http://www.ncbi.nlm.nih.gov/gene/179615", "179615")</f>
        <v>179615</v>
      </c>
      <c r="C4058" s="9"/>
      <c r="D4058" t="str">
        <f>"D2023.1"</f>
        <v>D2023.1</v>
      </c>
      <c r="F4058" t="s">
        <v>11</v>
      </c>
      <c r="G4058" t="s">
        <v>3235</v>
      </c>
      <c r="H4058" s="12">
        <v>1.59840724985961</v>
      </c>
      <c r="I4058" s="20">
        <v>1.4395576536383099</v>
      </c>
      <c r="J4058" s="28">
        <v>0.14999258753341899</v>
      </c>
      <c r="K4058" s="29">
        <v>0.85419565124083696</v>
      </c>
    </row>
    <row r="4059" spans="1:11" x14ac:dyDescent="0.35">
      <c r="A4059" s="9" t="str">
        <f>HYPERLINK("http://www.ensembl.org/id/WBGene00269394", "WBGene00269394")</f>
        <v>WBGene00269394</v>
      </c>
      <c r="B4059" s="9" t="str">
        <f>HYPERLINK("http://www.ncbi.nlm.nih.gov/gene/27219624", "27219624")</f>
        <v>27219624</v>
      </c>
      <c r="C4059" s="9"/>
      <c r="D4059" t="str">
        <f>"F59H6.15"</f>
        <v>F59H6.15</v>
      </c>
      <c r="F4059" t="s">
        <v>11</v>
      </c>
      <c r="G4059" t="s">
        <v>25</v>
      </c>
      <c r="H4059" s="12">
        <v>-25.584689466533899</v>
      </c>
      <c r="I4059" s="20">
        <v>-1.43984176839887</v>
      </c>
      <c r="J4059" s="28">
        <v>0.149912171042587</v>
      </c>
      <c r="K4059" s="29">
        <v>0.85419565124083696</v>
      </c>
    </row>
    <row r="4060" spans="1:11" x14ac:dyDescent="0.35">
      <c r="A4060" s="9" t="str">
        <f>HYPERLINK("http://www.ensembl.org/id/WBGene00002179", "WBGene00002179")</f>
        <v>WBGene00002179</v>
      </c>
      <c r="B4060" s="9" t="str">
        <f>HYPERLINK("http://www.ncbi.nlm.nih.gov/gene/266843", "266843")</f>
        <v>266843</v>
      </c>
      <c r="C4060" s="9"/>
      <c r="D4060" t="str">
        <f>"jph-1"</f>
        <v>jph-1</v>
      </c>
      <c r="E4060" t="s">
        <v>3236</v>
      </c>
      <c r="F4060" t="s">
        <v>11</v>
      </c>
      <c r="G4060" t="s">
        <v>3237</v>
      </c>
      <c r="H4060" s="12">
        <v>1.3426277585754001</v>
      </c>
      <c r="I4060" s="20">
        <v>1.4399873198333999</v>
      </c>
      <c r="J4060" s="28">
        <v>0.14987098657326101</v>
      </c>
      <c r="K4060" s="29">
        <v>0.85419565124083696</v>
      </c>
    </row>
    <row r="4061" spans="1:11" x14ac:dyDescent="0.35">
      <c r="A4061" s="9" t="str">
        <f>HYPERLINK("http://www.ensembl.org/id/WBGene00019504", "WBGene00019504")</f>
        <v>WBGene00019504</v>
      </c>
      <c r="B4061" s="9" t="str">
        <f>HYPERLINK("http://www.ncbi.nlm.nih.gov/gene/177623", "177623")</f>
        <v>177623</v>
      </c>
      <c r="C4061" s="9" t="str">
        <f>HYPERLINK("http://www.ncbi.nlm.nih.gov/gene/254428", "254428")</f>
        <v>254428</v>
      </c>
      <c r="D4061" t="str">
        <f>"K07H8.2"</f>
        <v>K07H8.2</v>
      </c>
      <c r="F4061" t="s">
        <v>11</v>
      </c>
      <c r="G4061" t="s">
        <v>3238</v>
      </c>
      <c r="H4061" s="12">
        <v>-1.3087551042105301</v>
      </c>
      <c r="I4061" s="20">
        <v>-1.4397149304522701</v>
      </c>
      <c r="J4061" s="28">
        <v>0.149948067480242</v>
      </c>
      <c r="K4061" s="29">
        <v>0.85419565124083696</v>
      </c>
    </row>
    <row r="4062" spans="1:11" x14ac:dyDescent="0.35">
      <c r="A4062" s="9" t="str">
        <f>HYPERLINK("http://www.ensembl.org/id/WBGene00019556", "WBGene00019556")</f>
        <v>WBGene00019556</v>
      </c>
      <c r="B4062" s="9" t="str">
        <f>HYPERLINK("http://www.ncbi.nlm.nih.gov/gene/187199", "187199")</f>
        <v>187199</v>
      </c>
      <c r="C4062" s="9"/>
      <c r="D4062" t="str">
        <f>"K09C6.2"</f>
        <v>K09C6.2</v>
      </c>
      <c r="F4062" t="s">
        <v>11</v>
      </c>
      <c r="G4062" t="s">
        <v>112</v>
      </c>
      <c r="H4062" s="12">
        <v>7.4442702543475603</v>
      </c>
      <c r="I4062" s="20">
        <v>1.4392052730179801</v>
      </c>
      <c r="J4062" s="28">
        <v>0.15009237185310301</v>
      </c>
      <c r="K4062" s="29">
        <v>0.85419565124083696</v>
      </c>
    </row>
    <row r="4063" spans="1:11" x14ac:dyDescent="0.35">
      <c r="A4063" s="9" t="str">
        <f>HYPERLINK("http://www.ensembl.org/id/WBGene00018411", "WBGene00018411")</f>
        <v>WBGene00018411</v>
      </c>
      <c r="B4063" s="9" t="str">
        <f>HYPERLINK("http://www.ncbi.nlm.nih.gov/gene/259518", "259518")</f>
        <v>259518</v>
      </c>
      <c r="C4063" s="9"/>
      <c r="D4063" t="str">
        <f>"F44B9.10"</f>
        <v>F44B9.10</v>
      </c>
      <c r="F4063" t="s">
        <v>11</v>
      </c>
      <c r="G4063" t="s">
        <v>3239</v>
      </c>
      <c r="H4063" s="12">
        <v>5.6438601891329796</v>
      </c>
      <c r="I4063" s="20">
        <v>1.43884822301157</v>
      </c>
      <c r="J4063" s="28">
        <v>0.15019353004098501</v>
      </c>
      <c r="K4063" s="29">
        <v>0.85432397195294996</v>
      </c>
    </row>
    <row r="4064" spans="1:11" x14ac:dyDescent="0.35">
      <c r="A4064" s="9" t="str">
        <f>HYPERLINK("http://www.ensembl.org/id/WBGene00019782", "WBGene00019782")</f>
        <v>WBGene00019782</v>
      </c>
      <c r="B4064" s="9" t="str">
        <f>HYPERLINK("http://www.ncbi.nlm.nih.gov/gene/187467", "187467")</f>
        <v>187467</v>
      </c>
      <c r="C4064" s="9"/>
      <c r="D4064" t="str">
        <f>"M60.7"</f>
        <v>M60.7</v>
      </c>
      <c r="F4064" t="s">
        <v>11</v>
      </c>
      <c r="G4064" t="s">
        <v>3240</v>
      </c>
      <c r="H4064" s="12">
        <v>1.43224622240924</v>
      </c>
      <c r="I4064" s="20">
        <v>1.4387280673595</v>
      </c>
      <c r="J4064" s="28">
        <v>0.150227583819208</v>
      </c>
      <c r="K4064" s="29">
        <v>0.85432397195294996</v>
      </c>
    </row>
    <row r="4065" spans="1:11" x14ac:dyDescent="0.35">
      <c r="A4065" s="9" t="str">
        <f>HYPERLINK("http://www.ensembl.org/id/WBGene00044725", "WBGene00044725")</f>
        <v>WBGene00044725</v>
      </c>
      <c r="B4065" s="9" t="str">
        <f>HYPERLINK("http://www.ncbi.nlm.nih.gov/gene/4363113", "4363113")</f>
        <v>4363113</v>
      </c>
      <c r="C4065" s="9"/>
      <c r="D4065" t="str">
        <f>"R11G1.7"</f>
        <v>R11G1.7</v>
      </c>
      <c r="F4065" t="s">
        <v>11</v>
      </c>
      <c r="H4065" s="12">
        <v>1.5279112514456299</v>
      </c>
      <c r="I4065" s="20">
        <v>1.4389427930423</v>
      </c>
      <c r="J4065" s="28">
        <v>0.15016673172277301</v>
      </c>
      <c r="K4065" s="29">
        <v>0.85432397195294996</v>
      </c>
    </row>
    <row r="4066" spans="1:11" x14ac:dyDescent="0.35">
      <c r="A4066" s="9" t="str">
        <f>HYPERLINK("http://www.ensembl.org/id/WBGene00013329", "WBGene00013329")</f>
        <v>WBGene00013329</v>
      </c>
      <c r="B4066" s="9" t="str">
        <f>HYPERLINK("http://www.ncbi.nlm.nih.gov/gene/3564799", "3564799")</f>
        <v>3564799</v>
      </c>
      <c r="C4066" s="9"/>
      <c r="D4066" t="str">
        <f>"Y57G11C.40"</f>
        <v>Y57G11C.40</v>
      </c>
      <c r="F4066" t="s">
        <v>11</v>
      </c>
      <c r="H4066" s="12">
        <v>1.66914905790853</v>
      </c>
      <c r="I4066" s="20">
        <v>1.4386037763633901</v>
      </c>
      <c r="J4066" s="28">
        <v>0.15026281580614501</v>
      </c>
      <c r="K4066" s="29">
        <v>0.85432397195294996</v>
      </c>
    </row>
    <row r="4067" spans="1:11" x14ac:dyDescent="0.35">
      <c r="A4067" s="9" t="str">
        <f>HYPERLINK("http://www.ensembl.org/id/WBGene00003950", "WBGene00003950")</f>
        <v>WBGene00003950</v>
      </c>
      <c r="B4067" s="9" t="str">
        <f>HYPERLINK("http://www.ncbi.nlm.nih.gov/gene/171975", "171975")</f>
        <v>171975</v>
      </c>
      <c r="C4067" s="9" t="str">
        <f>HYPERLINK("http://www.ncbi.nlm.nih.gov/gene/5690", "5690")</f>
        <v>5690</v>
      </c>
      <c r="D4067" t="str">
        <f>"pbs-4"</f>
        <v>pbs-4</v>
      </c>
      <c r="E4067" t="s">
        <v>3241</v>
      </c>
      <c r="F4067" t="s">
        <v>11</v>
      </c>
      <c r="G4067" t="s">
        <v>2766</v>
      </c>
      <c r="H4067" s="12">
        <v>-1.30178190895362</v>
      </c>
      <c r="I4067" s="20">
        <v>-1.43806415733216</v>
      </c>
      <c r="J4067" s="28">
        <v>0.150415851280507</v>
      </c>
      <c r="K4067" s="29">
        <v>0.854983680119898</v>
      </c>
    </row>
    <row r="4068" spans="1:11" x14ac:dyDescent="0.35">
      <c r="A4068" s="9" t="str">
        <f>HYPERLINK("http://www.ensembl.org/id/WBGene00000296", "WBGene00000296")</f>
        <v>WBGene00000296</v>
      </c>
      <c r="B4068" s="9" t="str">
        <f>HYPERLINK("http://www.ncbi.nlm.nih.gov/gene/173411", "173411")</f>
        <v>173411</v>
      </c>
      <c r="C4068" s="9" t="str">
        <f>HYPERLINK("http://www.ncbi.nlm.nih.gov/gene/7054", "7054")</f>
        <v>7054</v>
      </c>
      <c r="D4068" t="str">
        <f>"cat-2"</f>
        <v>cat-2</v>
      </c>
      <c r="E4068" t="s">
        <v>3242</v>
      </c>
      <c r="F4068" t="s">
        <v>11</v>
      </c>
      <c r="G4068" t="s">
        <v>3243</v>
      </c>
      <c r="H4068" s="12">
        <v>1.9336556446147799</v>
      </c>
      <c r="I4068" s="20">
        <v>1.43759387052693</v>
      </c>
      <c r="J4068" s="28">
        <v>0.15054932108291</v>
      </c>
      <c r="K4068" s="29">
        <v>0.85502492849673095</v>
      </c>
    </row>
    <row r="4069" spans="1:11" x14ac:dyDescent="0.35">
      <c r="A4069" s="9" t="str">
        <f>HYPERLINK("http://www.ensembl.org/id/WBGene00000672", "WBGene00000672")</f>
        <v>WBGene00000672</v>
      </c>
      <c r="B4069" s="9" t="str">
        <f>HYPERLINK("http://www.ncbi.nlm.nih.gov/gene/176721", "176721")</f>
        <v>176721</v>
      </c>
      <c r="C4069" s="9"/>
      <c r="D4069" t="str">
        <f>"col-97"</f>
        <v>col-97</v>
      </c>
      <c r="E4069" t="s">
        <v>40</v>
      </c>
      <c r="F4069" t="s">
        <v>11</v>
      </c>
      <c r="G4069" t="s">
        <v>41</v>
      </c>
      <c r="H4069" s="12">
        <v>1.37537433448915</v>
      </c>
      <c r="I4069" s="20">
        <v>1.43758170417265</v>
      </c>
      <c r="J4069" s="28">
        <v>0.15055277515420201</v>
      </c>
      <c r="K4069" s="29">
        <v>0.85502492849673095</v>
      </c>
    </row>
    <row r="4070" spans="1:11" x14ac:dyDescent="0.35">
      <c r="A4070" s="9" t="str">
        <f>HYPERLINK("http://www.ensembl.org/id/WBGene00008644", "WBGene00008644")</f>
        <v>WBGene00008644</v>
      </c>
      <c r="B4070" s="9" t="str">
        <f>HYPERLINK("http://www.ncbi.nlm.nih.gov/gene/179650", "179650")</f>
        <v>179650</v>
      </c>
      <c r="C4070" s="9"/>
      <c r="D4070" t="str">
        <f>"F10C2.3"</f>
        <v>F10C2.3</v>
      </c>
      <c r="F4070" t="s">
        <v>11</v>
      </c>
      <c r="G4070" t="s">
        <v>3228</v>
      </c>
      <c r="H4070" s="12">
        <v>1.5417593974225401</v>
      </c>
      <c r="I4070" s="20">
        <v>1.43765997286185</v>
      </c>
      <c r="J4070" s="28">
        <v>0.150530555450478</v>
      </c>
      <c r="K4070" s="29">
        <v>0.85502492849673095</v>
      </c>
    </row>
    <row r="4071" spans="1:11" x14ac:dyDescent="0.35">
      <c r="A4071" s="9" t="str">
        <f>HYPERLINK("http://www.ensembl.org/id/WBGene00003232", "WBGene00003232")</f>
        <v>WBGene00003232</v>
      </c>
      <c r="B4071" s="9" t="str">
        <f>HYPERLINK("http://www.ncbi.nlm.nih.gov/gene/191707", "191707")</f>
        <v>191707</v>
      </c>
      <c r="C4071" s="9" t="str">
        <f>HYPERLINK("http://www.ncbi.nlm.nih.gov/gene/2913", "2913")</f>
        <v>2913</v>
      </c>
      <c r="D4071" t="str">
        <f>"mgl-1"</f>
        <v>mgl-1</v>
      </c>
      <c r="E4071" t="s">
        <v>3244</v>
      </c>
      <c r="F4071" t="s">
        <v>11</v>
      </c>
      <c r="G4071" t="s">
        <v>3245</v>
      </c>
      <c r="H4071" s="12">
        <v>1.55372723599842</v>
      </c>
      <c r="I4071" s="20">
        <v>1.4375170706405</v>
      </c>
      <c r="J4071" s="28">
        <v>0.15057112585705901</v>
      </c>
      <c r="K4071" s="29">
        <v>0.85502492849673095</v>
      </c>
    </row>
    <row r="4072" spans="1:11" x14ac:dyDescent="0.35">
      <c r="A4072" s="9" t="str">
        <f>HYPERLINK("http://www.ensembl.org/id/WBGene00020468", "WBGene00020468")</f>
        <v>WBGene00020468</v>
      </c>
      <c r="B4072" s="9" t="str">
        <f>HYPERLINK("http://www.ncbi.nlm.nih.gov/gene/188458", "188458")</f>
        <v>188458</v>
      </c>
      <c r="C4072" s="9"/>
      <c r="D4072" t="str">
        <f>"T13A10.1"</f>
        <v>T13A10.1</v>
      </c>
      <c r="F4072" t="s">
        <v>11</v>
      </c>
      <c r="G4072" t="s">
        <v>25</v>
      </c>
      <c r="H4072" s="12">
        <v>6.6344089709962599</v>
      </c>
      <c r="I4072" s="20">
        <v>1.4372041367760899</v>
      </c>
      <c r="J4072" s="28">
        <v>0.15065999791387399</v>
      </c>
      <c r="K4072" s="29">
        <v>0.85531755119272501</v>
      </c>
    </row>
    <row r="4073" spans="1:11" x14ac:dyDescent="0.35">
      <c r="A4073" s="9" t="str">
        <f>HYPERLINK("http://www.ensembl.org/id/WBGene00006667", "WBGene00006667")</f>
        <v>WBGene00006667</v>
      </c>
      <c r="B4073" s="9" t="str">
        <f>HYPERLINK("http://www.ncbi.nlm.nih.gov/gene/192074", "192074")</f>
        <v>192074</v>
      </c>
      <c r="C4073" s="9"/>
      <c r="D4073" t="str">
        <f>"twk-12"</f>
        <v>twk-12</v>
      </c>
      <c r="E4073" t="s">
        <v>3246</v>
      </c>
      <c r="F4073" t="s">
        <v>11</v>
      </c>
      <c r="G4073" t="s">
        <v>1652</v>
      </c>
      <c r="H4073" s="12">
        <v>-1.5783309408772499</v>
      </c>
      <c r="I4073" s="20">
        <v>-1.43707497380294</v>
      </c>
      <c r="J4073" s="28">
        <v>0.15069669137477601</v>
      </c>
      <c r="K4073" s="29">
        <v>0.85531755119272501</v>
      </c>
    </row>
    <row r="4074" spans="1:11" x14ac:dyDescent="0.35">
      <c r="A4074" s="9" t="str">
        <f>HYPERLINK("http://www.ensembl.org/id/WBGene00015852", "WBGene00015852")</f>
        <v>WBGene00015852</v>
      </c>
      <c r="B4074" s="9" t="str">
        <f>HYPERLINK("http://www.ncbi.nlm.nih.gov/gene/173689", "173689")</f>
        <v>173689</v>
      </c>
      <c r="C4074" s="9"/>
      <c r="D4074" t="str">
        <f>"C16C8.14"</f>
        <v>C16C8.14</v>
      </c>
      <c r="F4074" t="s">
        <v>11</v>
      </c>
      <c r="G4074" t="s">
        <v>54</v>
      </c>
      <c r="H4074" s="12">
        <v>-1.93161884744611</v>
      </c>
      <c r="I4074" s="20">
        <v>-1.4359972776013701</v>
      </c>
      <c r="J4074" s="28">
        <v>0.151003115929357</v>
      </c>
      <c r="K4074" s="29">
        <v>0.85649458858896399</v>
      </c>
    </row>
    <row r="4075" spans="1:11" x14ac:dyDescent="0.35">
      <c r="A4075" s="9" t="str">
        <f>HYPERLINK("http://www.ensembl.org/id/WBGene00001105", "WBGene00001105")</f>
        <v>WBGene00001105</v>
      </c>
      <c r="B4075" s="9" t="str">
        <f>HYPERLINK("http://www.ncbi.nlm.nih.gov/gene/176970", "176970")</f>
        <v>176970</v>
      </c>
      <c r="C4075" s="9"/>
      <c r="D4075" t="str">
        <f>"dsl-3"</f>
        <v>dsl-3</v>
      </c>
      <c r="E4075" t="s">
        <v>3247</v>
      </c>
      <c r="F4075" t="s">
        <v>11</v>
      </c>
      <c r="G4075" t="s">
        <v>3248</v>
      </c>
      <c r="H4075" s="12">
        <v>1.4366354208344401</v>
      </c>
      <c r="I4075" s="20">
        <v>1.4356940764319699</v>
      </c>
      <c r="J4075" s="28">
        <v>0.15108941154196401</v>
      </c>
      <c r="K4075" s="29">
        <v>0.85649458858896399</v>
      </c>
    </row>
    <row r="4076" spans="1:11" x14ac:dyDescent="0.35">
      <c r="A4076" s="9" t="str">
        <f>HYPERLINK("http://www.ensembl.org/id/WBGene00003681", "WBGene00003681")</f>
        <v>WBGene00003681</v>
      </c>
      <c r="B4076" s="9" t="str">
        <f>HYPERLINK("http://www.ncbi.nlm.nih.gov/gene/181621", "181621")</f>
        <v>181621</v>
      </c>
      <c r="C4076" s="9"/>
      <c r="D4076" t="str">
        <f>"nhr-91"</f>
        <v>nhr-91</v>
      </c>
      <c r="E4076" t="s">
        <v>3252</v>
      </c>
      <c r="F4076" t="s">
        <v>11</v>
      </c>
      <c r="G4076" t="s">
        <v>852</v>
      </c>
      <c r="H4076" s="12">
        <v>-1.3173985819526599</v>
      </c>
      <c r="I4076" s="20">
        <v>-1.43597472862769</v>
      </c>
      <c r="J4076" s="28">
        <v>0.15100953241332499</v>
      </c>
      <c r="K4076" s="29">
        <v>0.85649458858896399</v>
      </c>
    </row>
    <row r="4077" spans="1:11" x14ac:dyDescent="0.35">
      <c r="A4077" s="9" t="str">
        <f>HYPERLINK("http://www.ensembl.org/id/WBGene00006970", "WBGene00006970")</f>
        <v>WBGene00006970</v>
      </c>
      <c r="B4077" s="9" t="str">
        <f>HYPERLINK("http://www.ncbi.nlm.nih.gov/gene/177144", "177144")</f>
        <v>177144</v>
      </c>
      <c r="C4077" s="9"/>
      <c r="D4077" t="str">
        <f>"zag-1"</f>
        <v>zag-1</v>
      </c>
      <c r="E4077" t="s">
        <v>3250</v>
      </c>
      <c r="F4077" t="s">
        <v>11</v>
      </c>
      <c r="G4077" t="s">
        <v>3251</v>
      </c>
      <c r="H4077" s="12">
        <v>1.3587327031376699</v>
      </c>
      <c r="I4077" s="20">
        <v>1.43594319560102</v>
      </c>
      <c r="J4077" s="28">
        <v>0.151018505727122</v>
      </c>
      <c r="K4077" s="29">
        <v>0.85649458858896399</v>
      </c>
    </row>
    <row r="4078" spans="1:11" x14ac:dyDescent="0.35">
      <c r="A4078" s="9" t="str">
        <f>HYPERLINK("http://www.ensembl.org/id/WBGene00014199", "WBGene00014199")</f>
        <v>WBGene00014199</v>
      </c>
      <c r="B4078" s="9" t="str">
        <f>HYPERLINK("http://www.ncbi.nlm.nih.gov/gene/173188", "173188")</f>
        <v>173188</v>
      </c>
      <c r="C4078" s="9"/>
      <c r="D4078" t="str">
        <f>"ZK1053.4"</f>
        <v>ZK1053.4</v>
      </c>
      <c r="F4078" t="s">
        <v>11</v>
      </c>
      <c r="G4078" t="s">
        <v>3249</v>
      </c>
      <c r="H4078" s="12">
        <v>1.41402397530402</v>
      </c>
      <c r="I4078" s="20">
        <v>1.4357245118778601</v>
      </c>
      <c r="J4078" s="28">
        <v>0.151080747459992</v>
      </c>
      <c r="K4078" s="29">
        <v>0.85649458858896399</v>
      </c>
    </row>
    <row r="4079" spans="1:11" x14ac:dyDescent="0.35">
      <c r="A4079" s="9" t="str">
        <f>HYPERLINK("http://www.ensembl.org/id/WBGene00015702", "WBGene00015702")</f>
        <v>WBGene00015702</v>
      </c>
      <c r="B4079" s="9" t="str">
        <f>HYPERLINK("http://www.ncbi.nlm.nih.gov/gene/177378", "177378")</f>
        <v>177378</v>
      </c>
      <c r="C4079" s="9" t="str">
        <f>HYPERLINK("http://www.ncbi.nlm.nih.gov/gene/84267", "84267")</f>
        <v>84267</v>
      </c>
      <c r="D4079" t="str">
        <f>"C11D2.4"</f>
        <v>C11D2.4</v>
      </c>
      <c r="E4079" t="s">
        <v>3253</v>
      </c>
      <c r="F4079" t="s">
        <v>11</v>
      </c>
      <c r="G4079" t="s">
        <v>3254</v>
      </c>
      <c r="H4079" s="12">
        <v>-1.3523088361568001</v>
      </c>
      <c r="I4079" s="20">
        <v>-1.4354996116446701</v>
      </c>
      <c r="J4079" s="28">
        <v>0.15114477892155201</v>
      </c>
      <c r="K4079" s="29">
        <v>0.856598298199995</v>
      </c>
    </row>
    <row r="4080" spans="1:11" x14ac:dyDescent="0.35">
      <c r="A4080" s="9" t="str">
        <f>HYPERLINK("http://www.ensembl.org/id/WBGene00010230", "WBGene00010230")</f>
        <v>WBGene00010230</v>
      </c>
      <c r="B4080" s="9" t="str">
        <f>HYPERLINK("http://www.ncbi.nlm.nih.gov/gene/176362", "176362")</f>
        <v>176362</v>
      </c>
      <c r="C4080" s="9"/>
      <c r="D4080" t="str">
        <f>"rpac-19"</f>
        <v>rpac-19</v>
      </c>
      <c r="E4080" t="s">
        <v>3255</v>
      </c>
      <c r="F4080" t="s">
        <v>11</v>
      </c>
      <c r="G4080" t="s">
        <v>3256</v>
      </c>
      <c r="H4080" s="12">
        <v>-1.39343629827348</v>
      </c>
      <c r="I4080" s="20">
        <v>-1.4352681967779599</v>
      </c>
      <c r="J4080" s="28">
        <v>0.15121068675037599</v>
      </c>
      <c r="K4080" s="29">
        <v>0.85670655969555498</v>
      </c>
    </row>
    <row r="4081" spans="1:11" x14ac:dyDescent="0.35">
      <c r="A4081" s="9" t="str">
        <f>HYPERLINK("http://www.ensembl.org/id/WBGene00005535", "WBGene00005535")</f>
        <v>WBGene00005535</v>
      </c>
      <c r="B4081" s="9"/>
      <c r="C4081" s="9"/>
      <c r="D4081" t="str">
        <f>"sri-23"</f>
        <v>sri-23</v>
      </c>
      <c r="F4081" t="s">
        <v>80</v>
      </c>
      <c r="H4081" s="12">
        <v>3.7962622523441798</v>
      </c>
      <c r="I4081" s="20">
        <v>1.43517219137331</v>
      </c>
      <c r="J4081" s="28">
        <v>0.15123803587804799</v>
      </c>
      <c r="K4081" s="29">
        <v>0.85670655969555498</v>
      </c>
    </row>
    <row r="4082" spans="1:11" x14ac:dyDescent="0.35">
      <c r="A4082" s="9" t="str">
        <f>HYPERLINK("http://www.ensembl.org/id/WBGene00001499", "WBGene00001499")</f>
        <v>WBGene00001499</v>
      </c>
      <c r="B4082" s="9" t="str">
        <f>HYPERLINK("http://www.ncbi.nlm.nih.gov/gene/175667", "175667")</f>
        <v>175667</v>
      </c>
      <c r="C4082" s="9" t="str">
        <f>HYPERLINK("http://www.ncbi.nlm.nih.gov/gene/200933", "200933")</f>
        <v>200933</v>
      </c>
      <c r="D4082" t="str">
        <f>"fsn-1"</f>
        <v>fsn-1</v>
      </c>
      <c r="E4082" t="s">
        <v>3257</v>
      </c>
      <c r="F4082" t="s">
        <v>11</v>
      </c>
      <c r="G4082" t="s">
        <v>54</v>
      </c>
      <c r="H4082" s="12">
        <v>-1.3357230754110101</v>
      </c>
      <c r="I4082" s="20">
        <v>-1.43490430565218</v>
      </c>
      <c r="J4082" s="28">
        <v>0.15131436860256101</v>
      </c>
      <c r="K4082" s="29">
        <v>0.85692887277715202</v>
      </c>
    </row>
    <row r="4083" spans="1:11" x14ac:dyDescent="0.35">
      <c r="A4083" s="9" t="str">
        <f>HYPERLINK("http://www.ensembl.org/id/WBGene00021061", "WBGene00021061")</f>
        <v>WBGene00021061</v>
      </c>
      <c r="B4083" s="9" t="str">
        <f>HYPERLINK("http://www.ncbi.nlm.nih.gov/gene/189252", "189252")</f>
        <v>189252</v>
      </c>
      <c r="C4083" s="9"/>
      <c r="D4083" t="str">
        <f>"W06E11.1"</f>
        <v>W06E11.1</v>
      </c>
      <c r="F4083" t="s">
        <v>11</v>
      </c>
      <c r="G4083" t="s">
        <v>3258</v>
      </c>
      <c r="H4083" s="12">
        <v>-1.36072115478162</v>
      </c>
      <c r="I4083" s="20">
        <v>-1.4346833803019601</v>
      </c>
      <c r="J4083" s="28">
        <v>0.15137734228035099</v>
      </c>
      <c r="K4083" s="29">
        <v>0.85707544002200498</v>
      </c>
    </row>
    <row r="4084" spans="1:11" x14ac:dyDescent="0.35">
      <c r="A4084" s="9" t="str">
        <f>HYPERLINK("http://www.ensembl.org/id/WBGene00016310", "WBGene00016310")</f>
        <v>WBGene00016310</v>
      </c>
      <c r="B4084" s="9" t="str">
        <f>HYPERLINK("http://www.ncbi.nlm.nih.gov/gene/174049", "174049")</f>
        <v>174049</v>
      </c>
      <c r="C4084" s="9"/>
      <c r="D4084" t="str">
        <f>"C32D5.1"</f>
        <v>C32D5.1</v>
      </c>
      <c r="F4084" t="s">
        <v>11</v>
      </c>
      <c r="H4084" s="12">
        <v>1.37397178240551</v>
      </c>
      <c r="I4084" s="20">
        <v>1.43305654563416</v>
      </c>
      <c r="J4084" s="28">
        <v>0.15184167841249599</v>
      </c>
      <c r="K4084" s="29">
        <v>0.85767400434691698</v>
      </c>
    </row>
    <row r="4085" spans="1:11" x14ac:dyDescent="0.35">
      <c r="A4085" s="9" t="str">
        <f>HYPERLINK("http://www.ensembl.org/id/WBGene00007974", "WBGene00007974")</f>
        <v>WBGene00007974</v>
      </c>
      <c r="B4085" s="9" t="str">
        <f>HYPERLINK("http://www.ncbi.nlm.nih.gov/gene/172681", "172681")</f>
        <v>172681</v>
      </c>
      <c r="C4085" s="9" t="str">
        <f>HYPERLINK("http://www.ncbi.nlm.nih.gov/gene/1719", "1719")</f>
        <v>1719</v>
      </c>
      <c r="D4085" t="str">
        <f>"dhfr-1"</f>
        <v>dhfr-1</v>
      </c>
      <c r="E4085" t="s">
        <v>3265</v>
      </c>
      <c r="F4085" t="s">
        <v>11</v>
      </c>
      <c r="G4085" t="s">
        <v>3266</v>
      </c>
      <c r="H4085" s="12">
        <v>-1.3382472420985201</v>
      </c>
      <c r="I4085" s="20">
        <v>-1.4335737863970299</v>
      </c>
      <c r="J4085" s="28">
        <v>0.151693928519087</v>
      </c>
      <c r="K4085" s="29">
        <v>0.85767400434691698</v>
      </c>
    </row>
    <row r="4086" spans="1:11" x14ac:dyDescent="0.35">
      <c r="A4086" s="9" t="str">
        <f>HYPERLINK("http://www.ensembl.org/id/WBGene00019595", "WBGene00019595")</f>
        <v>WBGene00019595</v>
      </c>
      <c r="B4086" s="9" t="str">
        <f>HYPERLINK("http://www.ncbi.nlm.nih.gov/gene/171887", "171887")</f>
        <v>171887</v>
      </c>
      <c r="C4086" s="9" t="str">
        <f>HYPERLINK("http://www.ncbi.nlm.nih.gov/gene/79075", "79075")</f>
        <v>79075</v>
      </c>
      <c r="D4086" t="str">
        <f>"dscc-1"</f>
        <v>dscc-1</v>
      </c>
      <c r="E4086" t="s">
        <v>3267</v>
      </c>
      <c r="F4086" t="s">
        <v>11</v>
      </c>
      <c r="G4086" t="s">
        <v>3268</v>
      </c>
      <c r="H4086" s="12">
        <v>-1.42587637731589</v>
      </c>
      <c r="I4086" s="20">
        <v>-1.4325932058756199</v>
      </c>
      <c r="J4086" s="28">
        <v>0.151974124503091</v>
      </c>
      <c r="K4086" s="29">
        <v>0.85767400434691698</v>
      </c>
    </row>
    <row r="4087" spans="1:11" x14ac:dyDescent="0.35">
      <c r="A4087" s="9" t="str">
        <f>HYPERLINK("http://www.ensembl.org/id/WBGene00001716", "WBGene00001716")</f>
        <v>WBGene00001716</v>
      </c>
      <c r="B4087" s="9" t="str">
        <f>HYPERLINK("http://www.ncbi.nlm.nih.gov/gene/179569", "179569")</f>
        <v>179569</v>
      </c>
      <c r="C4087" s="9"/>
      <c r="D4087" t="str">
        <f>"grl-7"</f>
        <v>grl-7</v>
      </c>
      <c r="E4087" t="s">
        <v>353</v>
      </c>
      <c r="F4087" t="s">
        <v>11</v>
      </c>
      <c r="H4087" s="12">
        <v>3.1855254121831602</v>
      </c>
      <c r="I4087" s="20">
        <v>1.4326703629845601</v>
      </c>
      <c r="J4087" s="28">
        <v>0.151952062971239</v>
      </c>
      <c r="K4087" s="29">
        <v>0.85767400434691698</v>
      </c>
    </row>
    <row r="4088" spans="1:11" x14ac:dyDescent="0.35">
      <c r="A4088" s="9" t="str">
        <f>HYPERLINK("http://www.ensembl.org/id/WBGene00010382", "WBGene00010382")</f>
        <v>WBGene00010382</v>
      </c>
      <c r="B4088" s="9" t="str">
        <f>HYPERLINK("http://www.ncbi.nlm.nih.gov/gene/179988", "179988")</f>
        <v>179988</v>
      </c>
      <c r="C4088" s="9"/>
      <c r="D4088" t="str">
        <f>"H12D21.6"</f>
        <v>H12D21.6</v>
      </c>
      <c r="F4088" t="s">
        <v>11</v>
      </c>
      <c r="H4088" s="12">
        <v>28.569923961540301</v>
      </c>
      <c r="I4088" s="20">
        <v>1.43249317964363</v>
      </c>
      <c r="J4088" s="28">
        <v>0.15200272863328201</v>
      </c>
      <c r="K4088" s="29">
        <v>0.85767400434691698</v>
      </c>
    </row>
    <row r="4089" spans="1:11" x14ac:dyDescent="0.35">
      <c r="A4089" s="9" t="str">
        <f>HYPERLINK("http://www.ensembl.org/id/WBGene00007711", "WBGene00007711")</f>
        <v>WBGene00007711</v>
      </c>
      <c r="B4089" s="9" t="str">
        <f>HYPERLINK("http://www.ncbi.nlm.nih.gov/gene/172888", "172888")</f>
        <v>172888</v>
      </c>
      <c r="C4089" s="9" t="str">
        <f>HYPERLINK("http://www.ncbi.nlm.nih.gov/gene/51099", "51099")</f>
        <v>51099</v>
      </c>
      <c r="D4089" t="str">
        <f>"lid-1"</f>
        <v>lid-1</v>
      </c>
      <c r="E4089" t="s">
        <v>3260</v>
      </c>
      <c r="F4089" t="s">
        <v>11</v>
      </c>
      <c r="G4089" t="s">
        <v>423</v>
      </c>
      <c r="H4089" s="12">
        <v>-1.3183092177278899</v>
      </c>
      <c r="I4089" s="20">
        <v>-1.43263607034511</v>
      </c>
      <c r="J4089" s="28">
        <v>0.151961867964435</v>
      </c>
      <c r="K4089" s="29">
        <v>0.85767400434691698</v>
      </c>
    </row>
    <row r="4090" spans="1:11" x14ac:dyDescent="0.35">
      <c r="A4090" s="9" t="str">
        <f>HYPERLINK("http://www.ensembl.org/id/WBGene00003043", "WBGene00003043")</f>
        <v>WBGene00003043</v>
      </c>
      <c r="B4090" s="9" t="str">
        <f>HYPERLINK("http://www.ncbi.nlm.nih.gov/gene/191704", "191704")</f>
        <v>191704</v>
      </c>
      <c r="C4090" s="9"/>
      <c r="D4090" t="str">
        <f>"lip-1"</f>
        <v>lip-1</v>
      </c>
      <c r="E4090" t="s">
        <v>3261</v>
      </c>
      <c r="F4090" t="s">
        <v>11</v>
      </c>
      <c r="G4090" t="s">
        <v>3262</v>
      </c>
      <c r="H4090" s="12">
        <v>-1.32273121834795</v>
      </c>
      <c r="I4090" s="20">
        <v>-1.43273783431486</v>
      </c>
      <c r="J4090" s="28">
        <v>0.15193277289263399</v>
      </c>
      <c r="K4090" s="29">
        <v>0.85767400434691698</v>
      </c>
    </row>
    <row r="4091" spans="1:11" x14ac:dyDescent="0.35">
      <c r="A4091" s="9" t="str">
        <f>HYPERLINK("http://www.ensembl.org/id/WBGene00021163", "WBGene00021163")</f>
        <v>WBGene00021163</v>
      </c>
      <c r="B4091" s="9" t="str">
        <f>HYPERLINK("http://www.ncbi.nlm.nih.gov/gene/189360", "189360")</f>
        <v>189360</v>
      </c>
      <c r="C4091" s="9"/>
      <c r="D4091" t="str">
        <f>"nhr-275"</f>
        <v>nhr-275</v>
      </c>
      <c r="E4091" t="s">
        <v>637</v>
      </c>
      <c r="F4091" t="s">
        <v>11</v>
      </c>
      <c r="G4091" t="s">
        <v>1073</v>
      </c>
      <c r="H4091" s="12">
        <v>1.5802637213383699</v>
      </c>
      <c r="I4091" s="20">
        <v>1.4327897146324799</v>
      </c>
      <c r="J4091" s="28">
        <v>0.15191794155852401</v>
      </c>
      <c r="K4091" s="29">
        <v>0.85767400434691698</v>
      </c>
    </row>
    <row r="4092" spans="1:11" x14ac:dyDescent="0.35">
      <c r="A4092" s="9" t="str">
        <f>HYPERLINK("http://www.ensembl.org/id/WBGene00200101", "WBGene00200101")</f>
        <v>WBGene00200101</v>
      </c>
      <c r="B4092" s="9"/>
      <c r="C4092" s="9"/>
      <c r="D4092" t="str">
        <f>"R06C1.11"</f>
        <v>R06C1.11</v>
      </c>
      <c r="F4092" t="s">
        <v>481</v>
      </c>
      <c r="H4092" s="12">
        <v>28.569923961540301</v>
      </c>
      <c r="I4092" s="20">
        <v>1.43249317964363</v>
      </c>
      <c r="J4092" s="28">
        <v>0.15200272863328201</v>
      </c>
      <c r="K4092" s="29">
        <v>0.85767400434691698</v>
      </c>
    </row>
    <row r="4093" spans="1:11" x14ac:dyDescent="0.35">
      <c r="A4093" s="9" t="str">
        <f>HYPERLINK("http://www.ensembl.org/id/WBGene00005060", "WBGene00005060")</f>
        <v>WBGene00005060</v>
      </c>
      <c r="B4093" s="9" t="str">
        <f>HYPERLINK("http://www.ncbi.nlm.nih.gov/gene/353393", "353393")</f>
        <v>353393</v>
      </c>
      <c r="C4093" s="9"/>
      <c r="D4093" t="str">
        <f>"sra-34"</f>
        <v>sra-34</v>
      </c>
      <c r="E4093" t="s">
        <v>3259</v>
      </c>
      <c r="F4093" t="s">
        <v>11</v>
      </c>
      <c r="G4093" t="s">
        <v>1468</v>
      </c>
      <c r="H4093" s="12">
        <v>9.7362274915546294</v>
      </c>
      <c r="I4093" s="20">
        <v>1.4329892621756599</v>
      </c>
      <c r="J4093" s="28">
        <v>0.15186090599323099</v>
      </c>
      <c r="K4093" s="29">
        <v>0.85767400434691698</v>
      </c>
    </row>
    <row r="4094" spans="1:11" x14ac:dyDescent="0.35">
      <c r="A4094" s="9" t="str">
        <f>HYPERLINK("http://www.ensembl.org/id/WBGene00022722", "WBGene00022722")</f>
        <v>WBGene00022722</v>
      </c>
      <c r="B4094" s="9" t="str">
        <f>HYPERLINK("http://www.ncbi.nlm.nih.gov/gene/176228", "176228")</f>
        <v>176228</v>
      </c>
      <c r="C4094" s="9"/>
      <c r="D4094" t="str">
        <f>"tomm-70"</f>
        <v>tomm-70</v>
      </c>
      <c r="E4094" t="s">
        <v>3263</v>
      </c>
      <c r="F4094" t="s">
        <v>11</v>
      </c>
      <c r="G4094" t="s">
        <v>3264</v>
      </c>
      <c r="H4094" s="12">
        <v>-1.33587534872127</v>
      </c>
      <c r="I4094" s="20">
        <v>-1.4329784799641301</v>
      </c>
      <c r="J4094" s="28">
        <v>0.151863987396056</v>
      </c>
      <c r="K4094" s="29">
        <v>0.85767400434691698</v>
      </c>
    </row>
    <row r="4095" spans="1:11" x14ac:dyDescent="0.35">
      <c r="A4095" s="9" t="str">
        <f>HYPERLINK("http://www.ensembl.org/id/WBGene00021619", "WBGene00021619")</f>
        <v>WBGene00021619</v>
      </c>
      <c r="B4095" s="9" t="str">
        <f>HYPERLINK("http://www.ncbi.nlm.nih.gov/gene/189983", "189983")</f>
        <v>189983</v>
      </c>
      <c r="C4095" s="9"/>
      <c r="D4095" t="str">
        <f>"Y47D7A.6"</f>
        <v>Y47D7A.6</v>
      </c>
      <c r="F4095" t="s">
        <v>11</v>
      </c>
      <c r="H4095" s="12">
        <v>2.5026261422568798</v>
      </c>
      <c r="I4095" s="20">
        <v>1.43380644937975</v>
      </c>
      <c r="J4095" s="28">
        <v>0.15162750401983699</v>
      </c>
      <c r="K4095" s="29">
        <v>0.85767400434691698</v>
      </c>
    </row>
    <row r="4096" spans="1:11" x14ac:dyDescent="0.35">
      <c r="A4096" s="9" t="str">
        <f>HYPERLINK("http://www.ensembl.org/id/WBGene00013937", "WBGene00013937")</f>
        <v>WBGene00013937</v>
      </c>
      <c r="B4096" s="9" t="str">
        <f>HYPERLINK("http://www.ncbi.nlm.nih.gov/gene/180138", "180138")</f>
        <v>180138</v>
      </c>
      <c r="C4096" s="9"/>
      <c r="D4096" t="str">
        <f>"ZK218.3"</f>
        <v>ZK218.3</v>
      </c>
      <c r="F4096" t="s">
        <v>11</v>
      </c>
      <c r="H4096" s="12">
        <v>15.7098048060035</v>
      </c>
      <c r="I4096" s="20">
        <v>1.4339791347534101</v>
      </c>
      <c r="J4096" s="28">
        <v>0.15157821725080101</v>
      </c>
      <c r="K4096" s="29">
        <v>0.85767400434691698</v>
      </c>
    </row>
    <row r="4097" spans="1:11" x14ac:dyDescent="0.35">
      <c r="A4097" s="9" t="str">
        <f>HYPERLINK("http://www.ensembl.org/id/WBGene00022790", "WBGene00022790")</f>
        <v>WBGene00022790</v>
      </c>
      <c r="B4097" s="9" t="str">
        <f>HYPERLINK("http://www.ncbi.nlm.nih.gov/gene/191403", "191403")</f>
        <v>191403</v>
      </c>
      <c r="C4097" s="9"/>
      <c r="D4097" t="str">
        <f>"ZK682.7"</f>
        <v>ZK682.7</v>
      </c>
      <c r="F4097" t="s">
        <v>11</v>
      </c>
      <c r="H4097" s="12">
        <v>2.7839741831278499</v>
      </c>
      <c r="I4097" s="20">
        <v>1.43392554812685</v>
      </c>
      <c r="J4097" s="28">
        <v>0.151593510301477</v>
      </c>
      <c r="K4097" s="29">
        <v>0.85767400434691698</v>
      </c>
    </row>
    <row r="4098" spans="1:11" x14ac:dyDescent="0.35">
      <c r="A4098" s="9" t="str">
        <f>HYPERLINK("http://www.ensembl.org/id/WBGene00011526", "WBGene00011526")</f>
        <v>WBGene00011526</v>
      </c>
      <c r="B4098" s="9" t="str">
        <f>HYPERLINK("http://www.ncbi.nlm.nih.gov/gene/174712", "174712")</f>
        <v>174712</v>
      </c>
      <c r="C4098" s="9" t="str">
        <f>HYPERLINK("http://www.ncbi.nlm.nih.gov/gene/1355", "1355")</f>
        <v>1355</v>
      </c>
      <c r="D4098" t="str">
        <f>"cox-15"</f>
        <v>cox-15</v>
      </c>
      <c r="E4098" t="s">
        <v>2659</v>
      </c>
      <c r="F4098" t="s">
        <v>11</v>
      </c>
      <c r="G4098" t="s">
        <v>3276</v>
      </c>
      <c r="H4098" s="12">
        <v>-1.3548550965250601</v>
      </c>
      <c r="I4098" s="20">
        <v>-1.43093462662001</v>
      </c>
      <c r="J4098" s="28">
        <v>0.15244895194437899</v>
      </c>
      <c r="K4098" s="29">
        <v>0.85769427438436496</v>
      </c>
    </row>
    <row r="4099" spans="1:11" x14ac:dyDescent="0.35">
      <c r="A4099" s="9" t="str">
        <f>HYPERLINK("http://www.ensembl.org/id/WBGene00001115", "WBGene00001115")</f>
        <v>WBGene00001115</v>
      </c>
      <c r="B4099" s="9" t="str">
        <f>HYPERLINK("http://www.ncbi.nlm.nih.gov/gene/171715", "171715")</f>
        <v>171715</v>
      </c>
      <c r="C4099" s="9" t="str">
        <f>HYPERLINK("http://www.ncbi.nlm.nih.gov/gene/1838", "1838")</f>
        <v>1838</v>
      </c>
      <c r="D4099" t="str">
        <f>"dyb-1"</f>
        <v>dyb-1</v>
      </c>
      <c r="E4099" t="s">
        <v>3270</v>
      </c>
      <c r="F4099" t="s">
        <v>11</v>
      </c>
      <c r="G4099" t="s">
        <v>3271</v>
      </c>
      <c r="H4099" s="12">
        <v>1.3701996059089601</v>
      </c>
      <c r="I4099" s="20">
        <v>1.43150031472924</v>
      </c>
      <c r="J4099" s="28">
        <v>0.15228687684249001</v>
      </c>
      <c r="K4099" s="29">
        <v>0.85769427438436496</v>
      </c>
    </row>
    <row r="4100" spans="1:11" x14ac:dyDescent="0.35">
      <c r="A4100" s="9" t="str">
        <f>HYPERLINK("http://www.ensembl.org/id/WBGene00017674", "WBGene00017674")</f>
        <v>WBGene00017674</v>
      </c>
      <c r="B4100" s="9" t="str">
        <f>HYPERLINK("http://www.ncbi.nlm.nih.gov/gene/184785", "184785")</f>
        <v>184785</v>
      </c>
      <c r="C4100" s="9"/>
      <c r="D4100" t="str">
        <f>"F21F3.4"</f>
        <v>F21F3.4</v>
      </c>
      <c r="F4100" t="s">
        <v>11</v>
      </c>
      <c r="H4100" s="12">
        <v>-1.72669480586923</v>
      </c>
      <c r="I4100" s="20">
        <v>-1.43180963735414</v>
      </c>
      <c r="J4100" s="28">
        <v>0.152198308410852</v>
      </c>
      <c r="K4100" s="29">
        <v>0.85769427438436496</v>
      </c>
    </row>
    <row r="4101" spans="1:11" x14ac:dyDescent="0.35">
      <c r="A4101" s="9" t="str">
        <f>HYPERLINK("http://www.ensembl.org/id/WBGene00009806", "WBGene00009806")</f>
        <v>WBGene00009806</v>
      </c>
      <c r="B4101" s="9" t="str">
        <f>HYPERLINK("http://www.ncbi.nlm.nih.gov/gene/185897", "185897")</f>
        <v>185897</v>
      </c>
      <c r="C4101" s="9"/>
      <c r="D4101" t="str">
        <f>"F47B8.5"</f>
        <v>F47B8.5</v>
      </c>
      <c r="F4101" t="s">
        <v>11</v>
      </c>
      <c r="H4101" s="12">
        <v>2.75517944619987</v>
      </c>
      <c r="I4101" s="20">
        <v>1.4321822435820499</v>
      </c>
      <c r="J4101" s="28">
        <v>0.152091672040437</v>
      </c>
      <c r="K4101" s="29">
        <v>0.85769427438436496</v>
      </c>
    </row>
    <row r="4102" spans="1:11" x14ac:dyDescent="0.35">
      <c r="A4102" s="9" t="str">
        <f>HYPERLINK("http://www.ensembl.org/id/WBGene00019177", "WBGene00019177")</f>
        <v>WBGene00019177</v>
      </c>
      <c r="B4102" s="9" t="str">
        <f>HYPERLINK("http://www.ncbi.nlm.nih.gov/gene/186713", "186713")</f>
        <v>186713</v>
      </c>
      <c r="C4102" s="9"/>
      <c r="D4102" t="str">
        <f>"H10D18.1"</f>
        <v>H10D18.1</v>
      </c>
      <c r="F4102" t="s">
        <v>11</v>
      </c>
      <c r="H4102" s="12">
        <v>1.82928364045456</v>
      </c>
      <c r="I4102" s="20">
        <v>1.4314618857528001</v>
      </c>
      <c r="J4102" s="28">
        <v>0.15229788296100799</v>
      </c>
      <c r="K4102" s="29">
        <v>0.85769427438436496</v>
      </c>
    </row>
    <row r="4103" spans="1:11" x14ac:dyDescent="0.35">
      <c r="A4103" s="9" t="str">
        <f>HYPERLINK("http://www.ensembl.org/id/WBGene00019182", "WBGene00019182")</f>
        <v>WBGene00019182</v>
      </c>
      <c r="B4103" s="9" t="str">
        <f>HYPERLINK("http://www.ncbi.nlm.nih.gov/gene/186718", "186718")</f>
        <v>186718</v>
      </c>
      <c r="C4103" s="9"/>
      <c r="D4103" t="str">
        <f>"H10E21.1"</f>
        <v>H10E21.1</v>
      </c>
      <c r="F4103" t="s">
        <v>11</v>
      </c>
      <c r="G4103" t="s">
        <v>25</v>
      </c>
      <c r="H4103" s="12">
        <v>-1.45539389667386</v>
      </c>
      <c r="I4103" s="20">
        <v>-1.4315194714753701</v>
      </c>
      <c r="J4103" s="28">
        <v>0.15228139054678899</v>
      </c>
      <c r="K4103" s="29">
        <v>0.85769427438436496</v>
      </c>
    </row>
    <row r="4104" spans="1:11" x14ac:dyDescent="0.35">
      <c r="A4104" s="9" t="str">
        <f>HYPERLINK("http://www.ensembl.org/id/WBGene00002180", "WBGene00002180")</f>
        <v>WBGene00002180</v>
      </c>
      <c r="B4104" s="9" t="str">
        <f>HYPERLINK("http://www.ncbi.nlm.nih.gov/gene/176952", "176952")</f>
        <v>176952</v>
      </c>
      <c r="C4104" s="9"/>
      <c r="D4104" t="str">
        <f>"jtr-1"</f>
        <v>jtr-1</v>
      </c>
      <c r="E4104" t="s">
        <v>3274</v>
      </c>
      <c r="F4104" t="s">
        <v>11</v>
      </c>
      <c r="G4104" t="s">
        <v>3275</v>
      </c>
      <c r="H4104" s="12">
        <v>-1.34567373261464</v>
      </c>
      <c r="I4104" s="20">
        <v>-1.43103244590236</v>
      </c>
      <c r="J4104" s="28">
        <v>0.15242091639218699</v>
      </c>
      <c r="K4104" s="29">
        <v>0.85769427438436496</v>
      </c>
    </row>
    <row r="4105" spans="1:11" x14ac:dyDescent="0.35">
      <c r="A4105" s="9" t="str">
        <f>HYPERLINK("http://www.ensembl.org/id/WBGene00019780", "WBGene00019780")</f>
        <v>WBGene00019780</v>
      </c>
      <c r="B4105" s="9" t="str">
        <f>HYPERLINK("http://www.ncbi.nlm.nih.gov/gene/187465", "187465")</f>
        <v>187465</v>
      </c>
      <c r="C4105" s="9"/>
      <c r="D4105" t="str">
        <f>"M60.4"</f>
        <v>M60.4</v>
      </c>
      <c r="F4105" t="s">
        <v>11</v>
      </c>
      <c r="G4105" t="s">
        <v>25</v>
      </c>
      <c r="H4105" s="12">
        <v>1.2956608837636101</v>
      </c>
      <c r="I4105" s="20">
        <v>1.4314410881489501</v>
      </c>
      <c r="J4105" s="28">
        <v>0.152303839679545</v>
      </c>
      <c r="K4105" s="29">
        <v>0.85769427438436496</v>
      </c>
    </row>
    <row r="4106" spans="1:11" x14ac:dyDescent="0.35">
      <c r="A4106" s="9" t="str">
        <f>HYPERLINK("http://www.ensembl.org/id/WBGene00003788", "WBGene00003788")</f>
        <v>WBGene00003788</v>
      </c>
      <c r="B4106" s="9" t="str">
        <f>HYPERLINK("http://www.ncbi.nlm.nih.gov/gene/172611", "172611")</f>
        <v>172611</v>
      </c>
      <c r="C4106" s="9" t="str">
        <f>HYPERLINK("http://www.ncbi.nlm.nih.gov/gene/79902", "79902")</f>
        <v>79902</v>
      </c>
      <c r="D4106" t="str">
        <f>"npp-2"</f>
        <v>npp-2</v>
      </c>
      <c r="E4106" t="s">
        <v>3277</v>
      </c>
      <c r="F4106" t="s">
        <v>11</v>
      </c>
      <c r="G4106" t="s">
        <v>3278</v>
      </c>
      <c r="H4106" s="12">
        <v>-1.36602463601593</v>
      </c>
      <c r="I4106" s="20">
        <v>-1.43167979092839</v>
      </c>
      <c r="J4106" s="28">
        <v>0.15223548259688899</v>
      </c>
      <c r="K4106" s="29">
        <v>0.85769427438436496</v>
      </c>
    </row>
    <row r="4107" spans="1:11" x14ac:dyDescent="0.35">
      <c r="A4107" s="9" t="str">
        <f>HYPERLINK("http://www.ensembl.org/id/WBGene00003837", "WBGene00003837")</f>
        <v>WBGene00003837</v>
      </c>
      <c r="B4107" s="9" t="str">
        <f>HYPERLINK("http://www.ncbi.nlm.nih.gov/gene/177649", "177649")</f>
        <v>177649</v>
      </c>
      <c r="C4107" s="9"/>
      <c r="D4107" t="str">
        <f>"oat-1"</f>
        <v>oat-1</v>
      </c>
      <c r="E4107" t="s">
        <v>3269</v>
      </c>
      <c r="F4107" t="s">
        <v>11</v>
      </c>
      <c r="G4107" t="s">
        <v>230</v>
      </c>
      <c r="H4107" s="12">
        <v>1.6334937109333001</v>
      </c>
      <c r="I4107" s="20">
        <v>1.4309248269750301</v>
      </c>
      <c r="J4107" s="28">
        <v>0.15245176079358499</v>
      </c>
      <c r="K4107" s="29">
        <v>0.85769427438436496</v>
      </c>
    </row>
    <row r="4108" spans="1:11" x14ac:dyDescent="0.35">
      <c r="A4108" s="9" t="str">
        <f>HYPERLINK("http://www.ensembl.org/id/WBGene00006745", "WBGene00006745")</f>
        <v>WBGene00006745</v>
      </c>
      <c r="B4108" s="9" t="str">
        <f>HYPERLINK("http://www.ncbi.nlm.nih.gov/gene/177334", "177334")</f>
        <v>177334</v>
      </c>
      <c r="C4108" s="9" t="str">
        <f>HYPERLINK("http://www.ncbi.nlm.nih.gov/gene/219699", "219699")</f>
        <v>219699</v>
      </c>
      <c r="D4108" t="str">
        <f>"unc-5"</f>
        <v>unc-5</v>
      </c>
      <c r="E4108" t="s">
        <v>3272</v>
      </c>
      <c r="F4108" t="s">
        <v>11</v>
      </c>
      <c r="G4108" t="s">
        <v>3273</v>
      </c>
      <c r="H4108" s="12">
        <v>1.33068094450871</v>
      </c>
      <c r="I4108" s="20">
        <v>1.4309687220543199</v>
      </c>
      <c r="J4108" s="28">
        <v>0.15243917955709901</v>
      </c>
      <c r="K4108" s="29">
        <v>0.85769427438436496</v>
      </c>
    </row>
    <row r="4109" spans="1:11" x14ac:dyDescent="0.35">
      <c r="A4109" s="9" t="str">
        <f>HYPERLINK("http://www.ensembl.org/id/WBGene00044453", "WBGene00044453")</f>
        <v>WBGene00044453</v>
      </c>
      <c r="B4109" s="9" t="str">
        <f>HYPERLINK("http://www.ncbi.nlm.nih.gov/gene/3896750", "3896750")</f>
        <v>3896750</v>
      </c>
      <c r="C4109" s="9"/>
      <c r="D4109" t="str">
        <f>"Y102E9.6"</f>
        <v>Y102E9.6</v>
      </c>
      <c r="F4109" t="s">
        <v>11</v>
      </c>
      <c r="H4109" s="12">
        <v>8.5266061349182607</v>
      </c>
      <c r="I4109" s="20">
        <v>1.43106373691129</v>
      </c>
      <c r="J4109" s="28">
        <v>0.15241194904285199</v>
      </c>
      <c r="K4109" s="29">
        <v>0.85769427438436496</v>
      </c>
    </row>
    <row r="4110" spans="1:11" x14ac:dyDescent="0.35">
      <c r="A4110" s="9" t="str">
        <f>HYPERLINK("http://www.ensembl.org/id/WBGene00017312", "WBGene00017312")</f>
        <v>WBGene00017312</v>
      </c>
      <c r="B4110" s="9" t="str">
        <f>HYPERLINK("http://www.ncbi.nlm.nih.gov/gene/179104", "179104")</f>
        <v>179104</v>
      </c>
      <c r="C4110" s="9" t="str">
        <f>HYPERLINK("http://www.ncbi.nlm.nih.gov/gene/6575", "6575")</f>
        <v>6575</v>
      </c>
      <c r="D4110" t="str">
        <f>"pitr-5"</f>
        <v>pitr-5</v>
      </c>
      <c r="E4110" t="s">
        <v>2064</v>
      </c>
      <c r="F4110" t="s">
        <v>11</v>
      </c>
      <c r="G4110" t="s">
        <v>2065</v>
      </c>
      <c r="H4110" s="12">
        <v>-1.6280223451406199</v>
      </c>
      <c r="I4110" s="20">
        <v>-1.4305532329027899</v>
      </c>
      <c r="J4110" s="28">
        <v>0.152558298995292</v>
      </c>
      <c r="K4110" s="29">
        <v>0.85808472652999701</v>
      </c>
    </row>
    <row r="4111" spans="1:11" x14ac:dyDescent="0.35">
      <c r="A4111" s="9" t="str">
        <f>HYPERLINK("http://www.ensembl.org/id/WBGene00018615", "WBGene00018615")</f>
        <v>WBGene00018615</v>
      </c>
      <c r="B4111" s="9" t="str">
        <f>HYPERLINK("http://www.ncbi.nlm.nih.gov/gene/185993", "185993")</f>
        <v>185993</v>
      </c>
      <c r="C4111" s="9"/>
      <c r="D4111" t="str">
        <f>"F48G7.4"</f>
        <v>F48G7.4</v>
      </c>
      <c r="F4111" t="s">
        <v>11</v>
      </c>
      <c r="H4111" s="12">
        <v>1.4875197166326599</v>
      </c>
      <c r="I4111" s="20">
        <v>1.4299631262999299</v>
      </c>
      <c r="J4111" s="28">
        <v>0.15272760244001199</v>
      </c>
      <c r="K4111" s="29">
        <v>0.85851172692112998</v>
      </c>
    </row>
    <row r="4112" spans="1:11" x14ac:dyDescent="0.35">
      <c r="A4112" s="9" t="str">
        <f>HYPERLINK("http://www.ensembl.org/id/WBGene00011844", "WBGene00011844")</f>
        <v>WBGene00011844</v>
      </c>
      <c r="B4112" s="9" t="str">
        <f>HYPERLINK("http://www.ncbi.nlm.nih.gov/gene/180142", "180142")</f>
        <v>180142</v>
      </c>
      <c r="C4112" s="9"/>
      <c r="D4112" t="str">
        <f>"T19C9.8"</f>
        <v>T19C9.8</v>
      </c>
      <c r="F4112" t="s">
        <v>11</v>
      </c>
      <c r="H4112" s="12">
        <v>-2.4478088581311201</v>
      </c>
      <c r="I4112" s="20">
        <v>-1.42990014232551</v>
      </c>
      <c r="J4112" s="28">
        <v>0.152745681181198</v>
      </c>
      <c r="K4112" s="29">
        <v>0.85851172692112998</v>
      </c>
    </row>
    <row r="4113" spans="1:11" x14ac:dyDescent="0.35">
      <c r="A4113" s="9" t="str">
        <f>HYPERLINK("http://www.ensembl.org/id/WBGene00017039", "WBGene00017039")</f>
        <v>WBGene00017039</v>
      </c>
      <c r="B4113" s="9" t="str">
        <f>HYPERLINK("http://www.ncbi.nlm.nih.gov/gene/183575", "183575")</f>
        <v>183575</v>
      </c>
      <c r="C4113" s="9"/>
      <c r="D4113" t="str">
        <f>"trk-1"</f>
        <v>trk-1</v>
      </c>
      <c r="E4113" t="s">
        <v>3279</v>
      </c>
      <c r="F4113" t="s">
        <v>11</v>
      </c>
      <c r="G4113" t="s">
        <v>3280</v>
      </c>
      <c r="H4113" s="12">
        <v>1.4370130560968699</v>
      </c>
      <c r="I4113" s="20">
        <v>1.42992242640268</v>
      </c>
      <c r="J4113" s="28">
        <v>0.15273928463683001</v>
      </c>
      <c r="K4113" s="29">
        <v>0.85851172692112998</v>
      </c>
    </row>
    <row r="4114" spans="1:11" x14ac:dyDescent="0.35">
      <c r="A4114" s="9" t="str">
        <f>HYPERLINK("http://www.ensembl.org/id/WBGene00015565", "WBGene00015565")</f>
        <v>WBGene00015565</v>
      </c>
      <c r="B4114" s="9" t="str">
        <f>HYPERLINK("http://www.ncbi.nlm.nih.gov/gene/180997", "180997")</f>
        <v>180997</v>
      </c>
      <c r="C4114" s="9"/>
      <c r="D4114" t="str">
        <f>"C07D8.6"</f>
        <v>C07D8.6</v>
      </c>
      <c r="F4114" t="s">
        <v>11</v>
      </c>
      <c r="G4114" t="s">
        <v>692</v>
      </c>
      <c r="H4114" s="12">
        <v>-1.2991799021675201</v>
      </c>
      <c r="I4114" s="20">
        <v>-1.4293803630256701</v>
      </c>
      <c r="J4114" s="28">
        <v>0.15289493932731901</v>
      </c>
      <c r="K4114" s="29">
        <v>0.85914165080180904</v>
      </c>
    </row>
    <row r="4115" spans="1:11" x14ac:dyDescent="0.35">
      <c r="A4115" s="9" t="str">
        <f>HYPERLINK("http://www.ensembl.org/id/WBGene00008081", "WBGene00008081")</f>
        <v>WBGene00008081</v>
      </c>
      <c r="B4115" s="9" t="str">
        <f>HYPERLINK("http://www.ncbi.nlm.nih.gov/gene/176517", "176517")</f>
        <v>176517</v>
      </c>
      <c r="C4115" s="9"/>
      <c r="D4115" t="str">
        <f>"athp-1"</f>
        <v>athp-1</v>
      </c>
      <c r="E4115" t="s">
        <v>3281</v>
      </c>
      <c r="F4115" t="s">
        <v>11</v>
      </c>
      <c r="G4115" t="s">
        <v>3282</v>
      </c>
      <c r="H4115" s="12">
        <v>-1.3590641650503299</v>
      </c>
      <c r="I4115" s="20">
        <v>-1.4289835588403501</v>
      </c>
      <c r="J4115" s="28">
        <v>0.15300895900428901</v>
      </c>
      <c r="K4115" s="29">
        <v>0.85922257675602998</v>
      </c>
    </row>
    <row r="4116" spans="1:11" x14ac:dyDescent="0.35">
      <c r="A4116" s="9" t="str">
        <f>HYPERLINK("http://www.ensembl.org/id/WBGene00045308", "WBGene00045308")</f>
        <v>WBGene00045308</v>
      </c>
      <c r="B4116" s="9" t="str">
        <f>HYPERLINK("http://www.ncbi.nlm.nih.gov/gene/6418705", "6418705")</f>
        <v>6418705</v>
      </c>
      <c r="C4116" s="9"/>
      <c r="D4116" t="str">
        <f>"C37H5.14"</f>
        <v>C37H5.14</v>
      </c>
      <c r="F4116" t="s">
        <v>11</v>
      </c>
      <c r="G4116" t="s">
        <v>3284</v>
      </c>
      <c r="H4116" s="12">
        <v>-2.1768902897837101</v>
      </c>
      <c r="I4116" s="20">
        <v>-1.4289701248078901</v>
      </c>
      <c r="J4116" s="28">
        <v>0.15301282033729899</v>
      </c>
      <c r="K4116" s="29">
        <v>0.85922257675602998</v>
      </c>
    </row>
    <row r="4117" spans="1:11" x14ac:dyDescent="0.35">
      <c r="A4117" s="9" t="str">
        <f>HYPERLINK("http://www.ensembl.org/id/WBGene00004042", "WBGene00004042")</f>
        <v>WBGene00004042</v>
      </c>
      <c r="B4117" s="9" t="str">
        <f>HYPERLINK("http://www.ncbi.nlm.nih.gov/gene/176143", "176143")</f>
        <v>176143</v>
      </c>
      <c r="C4117" s="9" t="str">
        <f>HYPERLINK("http://www.ncbi.nlm.nih.gov/gene/5347", "5347")</f>
        <v>5347</v>
      </c>
      <c r="D4117" t="str">
        <f>"plk-1"</f>
        <v>plk-1</v>
      </c>
      <c r="E4117" t="s">
        <v>3283</v>
      </c>
      <c r="F4117" t="s">
        <v>11</v>
      </c>
      <c r="G4117" t="s">
        <v>86</v>
      </c>
      <c r="H4117" s="12">
        <v>-1.36232749798574</v>
      </c>
      <c r="I4117" s="20">
        <v>-1.4289420173579599</v>
      </c>
      <c r="J4117" s="28">
        <v>0.153020899478537</v>
      </c>
      <c r="K4117" s="29">
        <v>0.85922257675602998</v>
      </c>
    </row>
    <row r="4118" spans="1:11" x14ac:dyDescent="0.35">
      <c r="A4118" s="9" t="str">
        <f>HYPERLINK("http://www.ensembl.org/id/WBGene00022465", "WBGene00022465")</f>
        <v>WBGene00022465</v>
      </c>
      <c r="B4118" s="9" t="str">
        <f>HYPERLINK("http://www.ncbi.nlm.nih.gov/gene/260266", "260266")</f>
        <v>260266</v>
      </c>
      <c r="C4118" s="9"/>
      <c r="D4118" t="str">
        <f>"ift-20"</f>
        <v>ift-20</v>
      </c>
      <c r="E4118" t="s">
        <v>3285</v>
      </c>
      <c r="F4118" t="s">
        <v>11</v>
      </c>
      <c r="H4118" s="12">
        <v>3.7881406029590599</v>
      </c>
      <c r="I4118" s="20">
        <v>1.4287977506051499</v>
      </c>
      <c r="J4118" s="28">
        <v>0.15306237229184499</v>
      </c>
      <c r="K4118" s="29">
        <v>0.85924664095611403</v>
      </c>
    </row>
    <row r="4119" spans="1:11" x14ac:dyDescent="0.35">
      <c r="A4119" s="9" t="str">
        <f>HYPERLINK("http://www.ensembl.org/id/WBGene00008142", "WBGene00008142")</f>
        <v>WBGene00008142</v>
      </c>
      <c r="B4119" s="9" t="str">
        <f>HYPERLINK("http://www.ncbi.nlm.nih.gov/gene/183552", "183552")</f>
        <v>183552</v>
      </c>
      <c r="C4119" s="9"/>
      <c r="D4119" t="str">
        <f>"C47E8.3"</f>
        <v>C47E8.3</v>
      </c>
      <c r="F4119" t="s">
        <v>11</v>
      </c>
      <c r="G4119" t="s">
        <v>1089</v>
      </c>
      <c r="H4119" s="12">
        <v>1.59718521126393</v>
      </c>
      <c r="I4119" s="20">
        <v>1.42761215697215</v>
      </c>
      <c r="J4119" s="28">
        <v>0.15340352250820999</v>
      </c>
      <c r="K4119" s="29">
        <v>0.86074351410264505</v>
      </c>
    </row>
    <row r="4120" spans="1:11" x14ac:dyDescent="0.35">
      <c r="A4120" s="9" t="str">
        <f>HYPERLINK("http://www.ensembl.org/id/WBGene00012361", "WBGene00012361")</f>
        <v>WBGene00012361</v>
      </c>
      <c r="B4120" s="9" t="str">
        <f>HYPERLINK("http://www.ncbi.nlm.nih.gov/gene/176495", "176495")</f>
        <v>176495</v>
      </c>
      <c r="C4120" s="9" t="str">
        <f>HYPERLINK("http://www.ncbi.nlm.nih.gov/gene/6182", "6182")</f>
        <v>6182</v>
      </c>
      <c r="D4120" t="str">
        <f>"mrpl-12"</f>
        <v>mrpl-12</v>
      </c>
      <c r="E4120" t="s">
        <v>1844</v>
      </c>
      <c r="F4120" t="s">
        <v>11</v>
      </c>
      <c r="G4120" t="s">
        <v>3286</v>
      </c>
      <c r="H4120" s="12">
        <v>-1.3745700584793199</v>
      </c>
      <c r="I4120" s="20">
        <v>-1.4276703400084301</v>
      </c>
      <c r="J4120" s="28">
        <v>0.15338676707259899</v>
      </c>
      <c r="K4120" s="29">
        <v>0.86074351410264505</v>
      </c>
    </row>
    <row r="4121" spans="1:11" x14ac:dyDescent="0.35">
      <c r="A4121" s="9" t="str">
        <f>HYPERLINK("http://www.ensembl.org/id/WBGene00011227", "WBGene00011227")</f>
        <v>WBGene00011227</v>
      </c>
      <c r="B4121" s="9" t="str">
        <f>HYPERLINK("http://www.ncbi.nlm.nih.gov/gene/187790", "187790")</f>
        <v>187790</v>
      </c>
      <c r="C4121" s="9"/>
      <c r="D4121" t="str">
        <f>"nlp-67"</f>
        <v>nlp-67</v>
      </c>
      <c r="E4121" t="s">
        <v>76</v>
      </c>
      <c r="F4121" t="s">
        <v>11</v>
      </c>
      <c r="G4121" t="s">
        <v>77</v>
      </c>
      <c r="H4121" s="12">
        <v>1.6240402582945199</v>
      </c>
      <c r="I4121" s="20">
        <v>1.4270584590264801</v>
      </c>
      <c r="J4121" s="28">
        <v>0.15356304500109599</v>
      </c>
      <c r="K4121" s="29">
        <v>0.86112707681160805</v>
      </c>
    </row>
    <row r="4122" spans="1:11" x14ac:dyDescent="0.35">
      <c r="A4122" s="9" t="str">
        <f>HYPERLINK("http://www.ensembl.org/id/WBGene00013247", "WBGene00013247")</f>
        <v>WBGene00013247</v>
      </c>
      <c r="B4122" s="9" t="str">
        <f>HYPERLINK("http://www.ncbi.nlm.nih.gov/gene/190332", "190332")</f>
        <v>190332</v>
      </c>
      <c r="C4122" s="9"/>
      <c r="D4122" t="str">
        <f>"Y57A10A.2"</f>
        <v>Y57A10A.2</v>
      </c>
      <c r="F4122" t="s">
        <v>11</v>
      </c>
      <c r="H4122" s="12">
        <v>-1.7599720536211201</v>
      </c>
      <c r="I4122" s="20">
        <v>-1.42699289842023</v>
      </c>
      <c r="J4122" s="28">
        <v>0.153581941610413</v>
      </c>
      <c r="K4122" s="29">
        <v>0.86112707681160805</v>
      </c>
    </row>
    <row r="4123" spans="1:11" x14ac:dyDescent="0.35">
      <c r="A4123" s="9" t="str">
        <f>HYPERLINK("http://www.ensembl.org/id/WBGene00014039", "WBGene00014039")</f>
        <v>WBGene00014039</v>
      </c>
      <c r="B4123" s="9" t="str">
        <f>HYPERLINK("http://www.ncbi.nlm.nih.gov/gene/181660", "181660")</f>
        <v>181660</v>
      </c>
      <c r="C4123" s="9"/>
      <c r="D4123" t="str">
        <f>"ZK662.2"</f>
        <v>ZK662.2</v>
      </c>
      <c r="F4123" t="s">
        <v>11</v>
      </c>
      <c r="H4123" s="12">
        <v>1.76437782231239</v>
      </c>
      <c r="I4123" s="20">
        <v>1.42698684144996</v>
      </c>
      <c r="J4123" s="28">
        <v>0.153583687507169</v>
      </c>
      <c r="K4123" s="29">
        <v>0.86112707681160805</v>
      </c>
    </row>
    <row r="4124" spans="1:11" x14ac:dyDescent="0.35">
      <c r="A4124" s="9" t="str">
        <f>HYPERLINK("http://www.ensembl.org/id/WBGene00007545", "WBGene00007545")</f>
        <v>WBGene00007545</v>
      </c>
      <c r="B4124" s="9" t="str">
        <f>HYPERLINK("http://www.ncbi.nlm.nih.gov/gene/175104", "175104")</f>
        <v>175104</v>
      </c>
      <c r="C4124" s="9"/>
      <c r="D4124" t="str">
        <f>"C13B4.1"</f>
        <v>C13B4.1</v>
      </c>
      <c r="F4124" t="s">
        <v>11</v>
      </c>
      <c r="G4124" t="s">
        <v>25</v>
      </c>
      <c r="H4124" s="12">
        <v>-1.35429781732862</v>
      </c>
      <c r="I4124" s="20">
        <v>-1.4264001283776</v>
      </c>
      <c r="J4124" s="28">
        <v>0.153752876672273</v>
      </c>
      <c r="K4124" s="29">
        <v>0.86123974991261798</v>
      </c>
    </row>
    <row r="4125" spans="1:11" x14ac:dyDescent="0.35">
      <c r="A4125" s="9" t="str">
        <f>HYPERLINK("http://www.ensembl.org/id/WBGene00008318", "WBGene00008318")</f>
        <v>WBGene00008318</v>
      </c>
      <c r="B4125" s="9" t="str">
        <f>HYPERLINK("http://www.ncbi.nlm.nih.gov/gene/172583", "172583")</f>
        <v>172583</v>
      </c>
      <c r="C4125" s="9"/>
      <c r="D4125" t="str">
        <f>"C54G4.9"</f>
        <v>C54G4.9</v>
      </c>
      <c r="F4125" t="s">
        <v>11</v>
      </c>
      <c r="H4125" s="12">
        <v>-1.4518469367409099</v>
      </c>
      <c r="I4125" s="20">
        <v>-1.4265631901926299</v>
      </c>
      <c r="J4125" s="28">
        <v>0.15370584068249801</v>
      </c>
      <c r="K4125" s="29">
        <v>0.86123974991261798</v>
      </c>
    </row>
    <row r="4126" spans="1:11" x14ac:dyDescent="0.35">
      <c r="A4126" s="9" t="str">
        <f>HYPERLINK("http://www.ensembl.org/id/WBGene00019102", "WBGene00019102")</f>
        <v>WBGene00019102</v>
      </c>
      <c r="B4126" s="9" t="str">
        <f>HYPERLINK("http://www.ncbi.nlm.nih.gov/gene/181718", "181718")</f>
        <v>181718</v>
      </c>
      <c r="C4126" s="9"/>
      <c r="D4126" t="str">
        <f>"F59C12.3"</f>
        <v>F59C12.3</v>
      </c>
      <c r="F4126" t="s">
        <v>11</v>
      </c>
      <c r="G4126" t="s">
        <v>3287</v>
      </c>
      <c r="H4126" s="12">
        <v>-1.2935324592847</v>
      </c>
      <c r="I4126" s="20">
        <v>-1.42670456325685</v>
      </c>
      <c r="J4126" s="28">
        <v>0.153665069774781</v>
      </c>
      <c r="K4126" s="29">
        <v>0.86123974991261798</v>
      </c>
    </row>
    <row r="4127" spans="1:11" x14ac:dyDescent="0.35">
      <c r="A4127" s="9" t="str">
        <f>HYPERLINK("http://www.ensembl.org/id/WBGene00019746", "WBGene00019746")</f>
        <v>WBGene00019746</v>
      </c>
      <c r="B4127" s="9" t="str">
        <f>HYPERLINK("http://www.ncbi.nlm.nih.gov/gene/173791", "173791")</f>
        <v>173791</v>
      </c>
      <c r="C4127" s="9"/>
      <c r="D4127" t="str">
        <f>"M03A1.3"</f>
        <v>M03A1.3</v>
      </c>
      <c r="F4127" t="s">
        <v>11</v>
      </c>
      <c r="G4127" t="s">
        <v>25</v>
      </c>
      <c r="H4127" s="12">
        <v>1.77820229495668</v>
      </c>
      <c r="I4127" s="20">
        <v>1.42645918407868</v>
      </c>
      <c r="J4127" s="28">
        <v>0.153735840498539</v>
      </c>
      <c r="K4127" s="29">
        <v>0.86123974991261798</v>
      </c>
    </row>
    <row r="4128" spans="1:11" x14ac:dyDescent="0.35">
      <c r="A4128" s="9" t="str">
        <f>HYPERLINK("http://www.ensembl.org/id/WBGene00012279", "WBGene00012279")</f>
        <v>WBGene00012279</v>
      </c>
      <c r="B4128" s="9" t="str">
        <f>HYPERLINK("http://www.ncbi.nlm.nih.gov/gene/179736", "179736")</f>
        <v>179736</v>
      </c>
      <c r="C4128" s="9"/>
      <c r="D4128" t="str">
        <f>"W05B10.4"</f>
        <v>W05B10.4</v>
      </c>
      <c r="F4128" t="s">
        <v>11</v>
      </c>
      <c r="G4128" t="s">
        <v>3288</v>
      </c>
      <c r="H4128" s="12">
        <v>1.39437772817454</v>
      </c>
      <c r="I4128" s="20">
        <v>1.4260832187452599</v>
      </c>
      <c r="J4128" s="28">
        <v>0.15384432212575799</v>
      </c>
      <c r="K4128" s="29">
        <v>0.86154311852587695</v>
      </c>
    </row>
    <row r="4129" spans="1:11" x14ac:dyDescent="0.35">
      <c r="A4129" s="9" t="str">
        <f>HYPERLINK("http://www.ensembl.org/id/WBGene00015918", "WBGene00015918")</f>
        <v>WBGene00015918</v>
      </c>
      <c r="B4129" s="9" t="str">
        <f>HYPERLINK("http://www.ncbi.nlm.nih.gov/gene/173948", "173948")</f>
        <v>173948</v>
      </c>
      <c r="C4129" s="9"/>
      <c r="D4129" t="str">
        <f>"C17G10.6"</f>
        <v>C17G10.6</v>
      </c>
      <c r="F4129" t="s">
        <v>11</v>
      </c>
      <c r="H4129" s="12">
        <v>2.6031396557654198</v>
      </c>
      <c r="I4129" s="20">
        <v>1.4255459460045601</v>
      </c>
      <c r="J4129" s="28">
        <v>0.153999448625387</v>
      </c>
      <c r="K4129" s="29">
        <v>0.86157485979586201</v>
      </c>
    </row>
    <row r="4130" spans="1:11" x14ac:dyDescent="0.35">
      <c r="A4130" s="9" t="str">
        <f>HYPERLINK("http://www.ensembl.org/id/WBGene00017779", "WBGene00017779")</f>
        <v>WBGene00017779</v>
      </c>
      <c r="B4130" s="9" t="str">
        <f>HYPERLINK("http://www.ncbi.nlm.nih.gov/gene/180427", "180427")</f>
        <v>180427</v>
      </c>
      <c r="C4130" s="9"/>
      <c r="D4130" t="str">
        <f>"gtr-1"</f>
        <v>gtr-1</v>
      </c>
      <c r="E4130" t="s">
        <v>3289</v>
      </c>
      <c r="F4130" t="s">
        <v>11</v>
      </c>
      <c r="G4130" t="s">
        <v>25</v>
      </c>
      <c r="H4130" s="12">
        <v>1.6383678854936099</v>
      </c>
      <c r="I4130" s="20">
        <v>1.42528886452132</v>
      </c>
      <c r="J4130" s="28">
        <v>0.15407371767837399</v>
      </c>
      <c r="K4130" s="29">
        <v>0.86157485979586201</v>
      </c>
    </row>
    <row r="4131" spans="1:11" x14ac:dyDescent="0.35">
      <c r="A4131" s="9" t="str">
        <f>HYPERLINK("http://www.ensembl.org/id/WBGene00003415", "WBGene00003415")</f>
        <v>WBGene00003415</v>
      </c>
      <c r="B4131" s="9" t="str">
        <f>HYPERLINK("http://www.ncbi.nlm.nih.gov/gene/178089", "178089")</f>
        <v>178089</v>
      </c>
      <c r="C4131" s="9"/>
      <c r="D4131" t="str">
        <f>"mars-1"</f>
        <v>mars-1</v>
      </c>
      <c r="E4131" t="s">
        <v>3292</v>
      </c>
      <c r="F4131" t="s">
        <v>11</v>
      </c>
      <c r="G4131" t="s">
        <v>3293</v>
      </c>
      <c r="H4131" s="12">
        <v>-1.3014275167123399</v>
      </c>
      <c r="I4131" s="20">
        <v>-1.42567982751726</v>
      </c>
      <c r="J4131" s="28">
        <v>0.153960781963769</v>
      </c>
      <c r="K4131" s="29">
        <v>0.86157485979586201</v>
      </c>
    </row>
    <row r="4132" spans="1:11" x14ac:dyDescent="0.35">
      <c r="A4132" s="9" t="str">
        <f>HYPERLINK("http://www.ensembl.org/id/WBGene00003926", "WBGene00003926")</f>
        <v>WBGene00003926</v>
      </c>
      <c r="B4132" s="9" t="str">
        <f>HYPERLINK("http://www.ncbi.nlm.nih.gov/gene/172942", "172942")</f>
        <v>172942</v>
      </c>
      <c r="C4132" s="9" t="str">
        <f>HYPERLINK("http://www.ncbi.nlm.nih.gov/gene/5686", "5686")</f>
        <v>5686</v>
      </c>
      <c r="D4132" t="str">
        <f>"pas-5"</f>
        <v>pas-5</v>
      </c>
      <c r="E4132" t="s">
        <v>3290</v>
      </c>
      <c r="F4132" t="s">
        <v>11</v>
      </c>
      <c r="G4132" t="s">
        <v>3291</v>
      </c>
      <c r="H4132" s="12">
        <v>-1.3002967218860499</v>
      </c>
      <c r="I4132" s="20">
        <v>-1.4253752968992</v>
      </c>
      <c r="J4132" s="28">
        <v>0.154048744928454</v>
      </c>
      <c r="K4132" s="29">
        <v>0.86157485979586201</v>
      </c>
    </row>
    <row r="4133" spans="1:11" x14ac:dyDescent="0.35">
      <c r="A4133" s="9" t="str">
        <f>HYPERLINK("http://www.ensembl.org/id/WBGene00006681", "WBGene00006681")</f>
        <v>WBGene00006681</v>
      </c>
      <c r="B4133" s="9" t="str">
        <f>HYPERLINK("http://www.ncbi.nlm.nih.gov/gene/185828", "185828")</f>
        <v>185828</v>
      </c>
      <c r="C4133" s="9"/>
      <c r="D4133" t="str">
        <f>"twk-29"</f>
        <v>twk-29</v>
      </c>
      <c r="E4133" t="s">
        <v>894</v>
      </c>
      <c r="F4133" t="s">
        <v>11</v>
      </c>
      <c r="G4133" t="s">
        <v>895</v>
      </c>
      <c r="H4133" s="12">
        <v>1.4889746262532999</v>
      </c>
      <c r="I4133" s="20">
        <v>1.42559377072413</v>
      </c>
      <c r="J4133" s="28">
        <v>0.153985635398704</v>
      </c>
      <c r="K4133" s="29">
        <v>0.86157485979586201</v>
      </c>
    </row>
    <row r="4134" spans="1:11" x14ac:dyDescent="0.35">
      <c r="A4134" s="9" t="str">
        <f>HYPERLINK("http://www.ensembl.org/id/WBGene00013178", "WBGene00013178")</f>
        <v>WBGene00013178</v>
      </c>
      <c r="B4134" s="9" t="str">
        <f>HYPERLINK("http://www.ncbi.nlm.nih.gov/gene/173016", "173016")</f>
        <v>173016</v>
      </c>
      <c r="C4134" s="9"/>
      <c r="D4134" t="str">
        <f>"Y53H1A.2"</f>
        <v>Y53H1A.2</v>
      </c>
      <c r="F4134" t="s">
        <v>11</v>
      </c>
      <c r="H4134" s="12">
        <v>-1.3686454537121899</v>
      </c>
      <c r="I4134" s="20">
        <v>-1.4257600827703001</v>
      </c>
      <c r="J4134" s="28">
        <v>0.153937606776997</v>
      </c>
      <c r="K4134" s="29">
        <v>0.86157485979586201</v>
      </c>
    </row>
    <row r="4135" spans="1:11" x14ac:dyDescent="0.35">
      <c r="A4135" s="9" t="str">
        <f>HYPERLINK("http://www.ensembl.org/id/WBGene00009600", "WBGene00009600")</f>
        <v>WBGene00009600</v>
      </c>
      <c r="B4135" s="9" t="str">
        <f>HYPERLINK("http://www.ncbi.nlm.nih.gov/gene/185565", "185565")</f>
        <v>185565</v>
      </c>
      <c r="C4135" s="9"/>
      <c r="D4135" t="str">
        <f>"F40G12.5"</f>
        <v>F40G12.5</v>
      </c>
      <c r="F4135" t="s">
        <v>11</v>
      </c>
      <c r="H4135" s="12">
        <v>-4.0826369056459404</v>
      </c>
      <c r="I4135" s="20">
        <v>-1.4249788383906301</v>
      </c>
      <c r="J4135" s="28">
        <v>0.15416331827606999</v>
      </c>
      <c r="K4135" s="29">
        <v>0.861867319643567</v>
      </c>
    </row>
    <row r="4136" spans="1:11" x14ac:dyDescent="0.35">
      <c r="A4136" s="9" t="str">
        <f>HYPERLINK("http://www.ensembl.org/id/WBGene00021391", "WBGene00021391")</f>
        <v>WBGene00021391</v>
      </c>
      <c r="B4136" s="9" t="str">
        <f>HYPERLINK("http://www.ncbi.nlm.nih.gov/gene/178996", "178996")</f>
        <v>178996</v>
      </c>
      <c r="C4136" s="9"/>
      <c r="D4136" t="str">
        <f>"smut-1"</f>
        <v>smut-1</v>
      </c>
      <c r="E4136" t="s">
        <v>3294</v>
      </c>
      <c r="F4136" t="s">
        <v>11</v>
      </c>
      <c r="G4136" t="s">
        <v>3295</v>
      </c>
      <c r="H4136" s="12">
        <v>-1.34260474993784</v>
      </c>
      <c r="I4136" s="20">
        <v>-1.4248344750808699</v>
      </c>
      <c r="J4136" s="28">
        <v>0.154205054200901</v>
      </c>
      <c r="K4136" s="29">
        <v>0.86189210990953702</v>
      </c>
    </row>
    <row r="4137" spans="1:11" x14ac:dyDescent="0.35">
      <c r="A4137" s="9" t="str">
        <f>HYPERLINK("http://www.ensembl.org/id/WBGene00000480", "WBGene00000480")</f>
        <v>WBGene00000480</v>
      </c>
      <c r="B4137" s="9" t="str">
        <f>HYPERLINK("http://www.ncbi.nlm.nih.gov/gene/178540", "178540")</f>
        <v>178540</v>
      </c>
      <c r="C4137" s="9" t="str">
        <f>HYPERLINK("http://www.ncbi.nlm.nih.gov/gene/9567", "9567")</f>
        <v>9567</v>
      </c>
      <c r="D4137" t="str">
        <f>"cgp-1"</f>
        <v>cgp-1</v>
      </c>
      <c r="E4137" t="s">
        <v>3296</v>
      </c>
      <c r="F4137" t="s">
        <v>11</v>
      </c>
      <c r="G4137" t="s">
        <v>3297</v>
      </c>
      <c r="H4137" s="12">
        <v>-1.2991442536737401</v>
      </c>
      <c r="I4137" s="20">
        <v>-1.4246570416994999</v>
      </c>
      <c r="J4137" s="28">
        <v>0.15425636255736599</v>
      </c>
      <c r="K4137" s="29">
        <v>0.86197037805332299</v>
      </c>
    </row>
    <row r="4138" spans="1:11" x14ac:dyDescent="0.35">
      <c r="A4138" s="9" t="str">
        <f>HYPERLINK("http://www.ensembl.org/id/WBGene00017164", "WBGene00017164")</f>
        <v>WBGene00017164</v>
      </c>
      <c r="B4138" s="9" t="str">
        <f>HYPERLINK("http://www.ncbi.nlm.nih.gov/gene/184063", "184063")</f>
        <v>184063</v>
      </c>
      <c r="C4138" s="9"/>
      <c r="D4138" t="str">
        <f>"eng-1"</f>
        <v>eng-1</v>
      </c>
      <c r="E4138" t="s">
        <v>3298</v>
      </c>
      <c r="F4138" t="s">
        <v>11</v>
      </c>
      <c r="G4138" t="s">
        <v>3299</v>
      </c>
      <c r="H4138" s="12">
        <v>-1.3876600578463401</v>
      </c>
      <c r="I4138" s="20">
        <v>-1.4241164058007001</v>
      </c>
      <c r="J4138" s="28">
        <v>0.154412778057293</v>
      </c>
      <c r="K4138" s="29">
        <v>0.86263579540421198</v>
      </c>
    </row>
    <row r="4139" spans="1:11" x14ac:dyDescent="0.35">
      <c r="A4139" s="9" t="str">
        <f>HYPERLINK("http://www.ensembl.org/id/WBGene00007608", "WBGene00007608")</f>
        <v>WBGene00007608</v>
      </c>
      <c r="B4139" s="9" t="str">
        <f>HYPERLINK("http://www.ncbi.nlm.nih.gov/gene/182637", "182637")</f>
        <v>182637</v>
      </c>
      <c r="C4139" s="9"/>
      <c r="D4139" t="str">
        <f>"C15C8.6"</f>
        <v>C15C8.6</v>
      </c>
      <c r="F4139" t="s">
        <v>11</v>
      </c>
      <c r="G4139" t="s">
        <v>25</v>
      </c>
      <c r="H4139" s="12">
        <v>1.6693870769547501</v>
      </c>
      <c r="I4139" s="20">
        <v>1.4235871637973101</v>
      </c>
      <c r="J4139" s="28">
        <v>0.15456601379537199</v>
      </c>
      <c r="K4139" s="29">
        <v>0.86300594443829204</v>
      </c>
    </row>
    <row r="4140" spans="1:11" x14ac:dyDescent="0.35">
      <c r="A4140" s="9" t="str">
        <f>HYPERLINK("http://www.ensembl.org/id/WBGene00016148", "WBGene00016148")</f>
        <v>WBGene00016148</v>
      </c>
      <c r="B4140" s="9" t="str">
        <f>HYPERLINK("http://www.ncbi.nlm.nih.gov/gene/179155", "179155")</f>
        <v>179155</v>
      </c>
      <c r="C4140" s="9"/>
      <c r="D4140" t="str">
        <f>"C26F1.3"</f>
        <v>C26F1.3</v>
      </c>
      <c r="F4140" t="s">
        <v>11</v>
      </c>
      <c r="H4140" s="12">
        <v>-1.42426350369891</v>
      </c>
      <c r="I4140" s="20">
        <v>-1.42320243983288</v>
      </c>
      <c r="J4140" s="28">
        <v>0.154677478542807</v>
      </c>
      <c r="K4140" s="29">
        <v>0.86300594443829204</v>
      </c>
    </row>
    <row r="4141" spans="1:11" x14ac:dyDescent="0.35">
      <c r="A4141" s="9" t="str">
        <f>HYPERLINK("http://www.ensembl.org/id/WBGene00019069", "WBGene00019069")</f>
        <v>WBGene00019069</v>
      </c>
      <c r="B4141" s="9" t="str">
        <f>HYPERLINK("http://www.ncbi.nlm.nih.gov/gene/186551", "186551")</f>
        <v>186551</v>
      </c>
      <c r="C4141" s="9"/>
      <c r="D4141" t="str">
        <f>"lgc-30"</f>
        <v>lgc-30</v>
      </c>
      <c r="E4141" t="s">
        <v>505</v>
      </c>
      <c r="F4141" t="s">
        <v>11</v>
      </c>
      <c r="G4141" t="s">
        <v>906</v>
      </c>
      <c r="H4141" s="12">
        <v>1.5608873385051201</v>
      </c>
      <c r="I4141" s="20">
        <v>1.4233219044603</v>
      </c>
      <c r="J4141" s="28">
        <v>0.15464285993396401</v>
      </c>
      <c r="K4141" s="29">
        <v>0.86300594443829204</v>
      </c>
    </row>
    <row r="4142" spans="1:11" x14ac:dyDescent="0.35">
      <c r="A4142" s="9" t="str">
        <f>HYPERLINK("http://www.ensembl.org/id/WBGene00021415", "WBGene00021415")</f>
        <v>WBGene00021415</v>
      </c>
      <c r="B4142" s="9" t="str">
        <f>HYPERLINK("http://www.ncbi.nlm.nih.gov/gene/177019", "177019")</f>
        <v>177019</v>
      </c>
      <c r="C4142" s="9"/>
      <c r="D4142" t="str">
        <f>"nsy-4"</f>
        <v>nsy-4</v>
      </c>
      <c r="E4142" t="s">
        <v>3300</v>
      </c>
      <c r="F4142" t="s">
        <v>11</v>
      </c>
      <c r="G4142" t="s">
        <v>3301</v>
      </c>
      <c r="H4142" s="12">
        <v>1.3712856953272701</v>
      </c>
      <c r="I4142" s="20">
        <v>1.42311391791516</v>
      </c>
      <c r="J4142" s="28">
        <v>0.15470313433148999</v>
      </c>
      <c r="K4142" s="29">
        <v>0.86300594443829204</v>
      </c>
    </row>
    <row r="4143" spans="1:11" x14ac:dyDescent="0.35">
      <c r="A4143" s="9" t="str">
        <f>HYPERLINK("http://www.ensembl.org/id/WBGene00003836", "WBGene00003836")</f>
        <v>WBGene00003836</v>
      </c>
      <c r="B4143" s="9" t="str">
        <f>HYPERLINK("http://www.ncbi.nlm.nih.gov/gene/171866", "171866")</f>
        <v>171866</v>
      </c>
      <c r="C4143" s="9"/>
      <c r="D4143" t="str">
        <f>"nxt-1"</f>
        <v>nxt-1</v>
      </c>
      <c r="E4143" t="s">
        <v>3302</v>
      </c>
      <c r="F4143" t="s">
        <v>11</v>
      </c>
      <c r="H4143" s="12">
        <v>-1.3419510873710201</v>
      </c>
      <c r="I4143" s="20">
        <v>-1.42316731964399</v>
      </c>
      <c r="J4143" s="28">
        <v>0.154687656834568</v>
      </c>
      <c r="K4143" s="29">
        <v>0.86300594443829204</v>
      </c>
    </row>
    <row r="4144" spans="1:11" x14ac:dyDescent="0.35">
      <c r="A4144" s="9" t="str">
        <f>HYPERLINK("http://www.ensembl.org/id/WBGene00195155", "WBGene00195155")</f>
        <v>WBGene00195155</v>
      </c>
      <c r="B4144" s="9" t="str">
        <f>HYPERLINK("http://www.ncbi.nlm.nih.gov/gene/13182878", "13182878")</f>
        <v>13182878</v>
      </c>
      <c r="C4144" s="9"/>
      <c r="D4144" t="str">
        <f>"W04A8.9"</f>
        <v>W04A8.9</v>
      </c>
      <c r="F4144" t="s">
        <v>11</v>
      </c>
      <c r="H4144" s="12">
        <v>5.4619554113264197</v>
      </c>
      <c r="I4144" s="20">
        <v>1.4232013955171601</v>
      </c>
      <c r="J4144" s="28">
        <v>0.154677781191873</v>
      </c>
      <c r="K4144" s="29">
        <v>0.86300594443829204</v>
      </c>
    </row>
    <row r="4145" spans="1:11" x14ac:dyDescent="0.35">
      <c r="A4145" s="9" t="str">
        <f>HYPERLINK("http://www.ensembl.org/id/WBGene00008515", "WBGene00008515")</f>
        <v>WBGene00008515</v>
      </c>
      <c r="B4145" s="9" t="str">
        <f>HYPERLINK("http://www.ncbi.nlm.nih.gov/gene/181461", "181461")</f>
        <v>181461</v>
      </c>
      <c r="C4145" s="9"/>
      <c r="D4145" t="str">
        <f>"F02C12.1"</f>
        <v>F02C12.1</v>
      </c>
      <c r="F4145" t="s">
        <v>11</v>
      </c>
      <c r="G4145" t="s">
        <v>3305</v>
      </c>
      <c r="H4145" s="12">
        <v>1.33422192938026</v>
      </c>
      <c r="I4145" s="20">
        <v>1.4225785411793599</v>
      </c>
      <c r="J4145" s="28">
        <v>0.15485836832921601</v>
      </c>
      <c r="K4145" s="29">
        <v>0.86303846083330304</v>
      </c>
    </row>
    <row r="4146" spans="1:11" x14ac:dyDescent="0.35">
      <c r="A4146" s="9" t="str">
        <f>HYPERLINK("http://www.ensembl.org/id/WBGene00008307", "WBGene00008307")</f>
        <v>WBGene00008307</v>
      </c>
      <c r="B4146" s="9" t="str">
        <f>HYPERLINK("http://www.ncbi.nlm.nih.gov/gene/183792", "183792")</f>
        <v>183792</v>
      </c>
      <c r="C4146" s="9"/>
      <c r="D4146" t="str">
        <f>"ncs-5"</f>
        <v>ncs-5</v>
      </c>
      <c r="E4146" t="s">
        <v>3304</v>
      </c>
      <c r="F4146" t="s">
        <v>11</v>
      </c>
      <c r="G4146" t="s">
        <v>325</v>
      </c>
      <c r="H4146" s="12">
        <v>1.56637876912108</v>
      </c>
      <c r="I4146" s="20">
        <v>1.4226510127282599</v>
      </c>
      <c r="J4146" s="28">
        <v>0.15483734807831701</v>
      </c>
      <c r="K4146" s="29">
        <v>0.86303846083330304</v>
      </c>
    </row>
    <row r="4147" spans="1:11" x14ac:dyDescent="0.35">
      <c r="A4147" s="9" t="str">
        <f>HYPERLINK("http://www.ensembl.org/id/WBGene00001336", "WBGene00001336")</f>
        <v>WBGene00001336</v>
      </c>
      <c r="B4147" s="9" t="str">
        <f>HYPERLINK("http://www.ncbi.nlm.nih.gov/gene/178415", "178415")</f>
        <v>178415</v>
      </c>
      <c r="C4147" s="9" t="str">
        <f>HYPERLINK("http://www.ncbi.nlm.nih.gov/gene/5859", "5859")</f>
        <v>5859</v>
      </c>
      <c r="D4147" t="str">
        <f>"qars-1"</f>
        <v>qars-1</v>
      </c>
      <c r="E4147" t="s">
        <v>3306</v>
      </c>
      <c r="F4147" t="s">
        <v>11</v>
      </c>
      <c r="G4147" t="s">
        <v>3307</v>
      </c>
      <c r="H4147" s="12">
        <v>-1.29547347332194</v>
      </c>
      <c r="I4147" s="20">
        <v>-1.42271484822696</v>
      </c>
      <c r="J4147" s="28">
        <v>0.15481883449439199</v>
      </c>
      <c r="K4147" s="29">
        <v>0.86303846083330304</v>
      </c>
    </row>
    <row r="4148" spans="1:11" x14ac:dyDescent="0.35">
      <c r="A4148" s="9" t="str">
        <f>HYPERLINK("http://www.ensembl.org/id/WBGene00006782", "WBGene00006782")</f>
        <v>WBGene00006782</v>
      </c>
      <c r="B4148" s="9" t="str">
        <f>HYPERLINK("http://www.ncbi.nlm.nih.gov/gene/178897", "178897")</f>
        <v>178897</v>
      </c>
      <c r="C4148" s="9"/>
      <c r="D4148" t="str">
        <f>"unc-46"</f>
        <v>unc-46</v>
      </c>
      <c r="F4148" t="s">
        <v>11</v>
      </c>
      <c r="G4148" t="s">
        <v>3303</v>
      </c>
      <c r="H4148" s="12">
        <v>1.81608389175109</v>
      </c>
      <c r="I4148" s="20">
        <v>1.4228461389354099</v>
      </c>
      <c r="J4148" s="28">
        <v>0.15478076282216</v>
      </c>
      <c r="K4148" s="29">
        <v>0.86303846083330304</v>
      </c>
    </row>
    <row r="4149" spans="1:11" x14ac:dyDescent="0.35">
      <c r="A4149" s="9" t="str">
        <f>HYPERLINK("http://www.ensembl.org/id/WBGene00008956", "WBGene00008956")</f>
        <v>WBGene00008956</v>
      </c>
      <c r="B4149" s="9" t="str">
        <f>HYPERLINK("http://www.ncbi.nlm.nih.gov/gene/181398", "181398")</f>
        <v>181398</v>
      </c>
      <c r="C4149" s="9" t="str">
        <f>HYPERLINK("http://www.ncbi.nlm.nih.gov/gene/140609", "140609")</f>
        <v>140609</v>
      </c>
      <c r="D4149" t="str">
        <f>"nekl-3"</f>
        <v>nekl-3</v>
      </c>
      <c r="E4149" t="s">
        <v>3308</v>
      </c>
      <c r="F4149" t="s">
        <v>11</v>
      </c>
      <c r="G4149" t="s">
        <v>444</v>
      </c>
      <c r="H4149" s="12">
        <v>1.5656553156008699</v>
      </c>
      <c r="I4149" s="20">
        <v>1.4222091629298701</v>
      </c>
      <c r="J4149" s="28">
        <v>0.15496553954503001</v>
      </c>
      <c r="K4149" s="29">
        <v>0.86342747931696995</v>
      </c>
    </row>
    <row r="4150" spans="1:11" x14ac:dyDescent="0.35">
      <c r="A4150" s="9" t="str">
        <f>HYPERLINK("http://www.ensembl.org/id/WBGene00008728", "WBGene00008728")</f>
        <v>WBGene00008728</v>
      </c>
      <c r="B4150" s="9" t="str">
        <f>HYPERLINK("http://www.ncbi.nlm.nih.gov/gene/3564932", "3564932")</f>
        <v>3564932</v>
      </c>
      <c r="C4150" s="9"/>
      <c r="D4150" t="str">
        <f>"sre-36"</f>
        <v>sre-36</v>
      </c>
      <c r="E4150" t="s">
        <v>2638</v>
      </c>
      <c r="F4150" t="s">
        <v>11</v>
      </c>
      <c r="G4150" t="s">
        <v>2639</v>
      </c>
      <c r="H4150" s="12">
        <v>4.9278013199422501</v>
      </c>
      <c r="I4150" s="20">
        <v>1.4219186949754701</v>
      </c>
      <c r="J4150" s="28">
        <v>0.15504985532200699</v>
      </c>
      <c r="K4150" s="29">
        <v>0.86348082840932505</v>
      </c>
    </row>
    <row r="4151" spans="1:11" x14ac:dyDescent="0.35">
      <c r="A4151" s="9" t="str">
        <f>HYPERLINK("http://www.ensembl.org/id/WBGene00012501", "WBGene00012501")</f>
        <v>WBGene00012501</v>
      </c>
      <c r="B4151" s="9" t="str">
        <f>HYPERLINK("http://www.ncbi.nlm.nih.gov/gene/189544", "189544")</f>
        <v>189544</v>
      </c>
      <c r="C4151" s="9"/>
      <c r="D4151" t="str">
        <f>"Y26D4A.3"</f>
        <v>Y26D4A.3</v>
      </c>
      <c r="F4151" t="s">
        <v>11</v>
      </c>
      <c r="G4151" t="s">
        <v>25</v>
      </c>
      <c r="H4151" s="12">
        <v>-6.1631188008888502</v>
      </c>
      <c r="I4151" s="20">
        <v>-1.4219673241384301</v>
      </c>
      <c r="J4151" s="28">
        <v>0.15503573703231699</v>
      </c>
      <c r="K4151" s="29">
        <v>0.86348082840932505</v>
      </c>
    </row>
    <row r="4152" spans="1:11" x14ac:dyDescent="0.35">
      <c r="A4152" s="9" t="str">
        <f>HYPERLINK("http://www.ensembl.org/id/WBGene00016971", "WBGene00016971")</f>
        <v>WBGene00016971</v>
      </c>
      <c r="B4152" s="9" t="str">
        <f>HYPERLINK("http://www.ncbi.nlm.nih.gov/gene/174076", "174076")</f>
        <v>174076</v>
      </c>
      <c r="C4152" s="9"/>
      <c r="D4152" t="str">
        <f>"toe-2"</f>
        <v>toe-2</v>
      </c>
      <c r="E4152" t="s">
        <v>3309</v>
      </c>
      <c r="F4152" t="s">
        <v>11</v>
      </c>
      <c r="G4152" t="s">
        <v>3310</v>
      </c>
      <c r="H4152" s="12">
        <v>-1.28998028872138</v>
      </c>
      <c r="I4152" s="20">
        <v>-1.4217317710975499</v>
      </c>
      <c r="J4152" s="28">
        <v>0.155104133193257</v>
      </c>
      <c r="K4152" s="29">
        <v>0.86357496423214097</v>
      </c>
    </row>
    <row r="4153" spans="1:11" x14ac:dyDescent="0.35">
      <c r="A4153" s="9" t="str">
        <f>HYPERLINK("http://www.ensembl.org/id/WBGene00011076", "WBGene00011076")</f>
        <v>WBGene00011076</v>
      </c>
      <c r="B4153" s="9" t="str">
        <f>HYPERLINK("http://www.ncbi.nlm.nih.gov/gene/181200", "181200")</f>
        <v>181200</v>
      </c>
      <c r="C4153" s="9"/>
      <c r="D4153" t="str">
        <f>"scav-5"</f>
        <v>scav-5</v>
      </c>
      <c r="E4153" t="s">
        <v>828</v>
      </c>
      <c r="F4153" t="s">
        <v>11</v>
      </c>
      <c r="G4153" t="s">
        <v>829</v>
      </c>
      <c r="H4153" s="12">
        <v>-2.0646726237445101</v>
      </c>
      <c r="I4153" s="20">
        <v>-1.42158044221887</v>
      </c>
      <c r="J4153" s="28">
        <v>0.155148085762399</v>
      </c>
      <c r="K4153" s="29">
        <v>0.86361158025198603</v>
      </c>
    </row>
    <row r="4154" spans="1:11" x14ac:dyDescent="0.35">
      <c r="A4154" s="9" t="str">
        <f>HYPERLINK("http://www.ensembl.org/id/WBGene00015099", "WBGene00015099")</f>
        <v>WBGene00015099</v>
      </c>
      <c r="B4154" s="9" t="str">
        <f>HYPERLINK("http://www.ncbi.nlm.nih.gov/gene/175998", "175998")</f>
        <v>175998</v>
      </c>
      <c r="C4154" s="9" t="str">
        <f>HYPERLINK("http://www.ncbi.nlm.nih.gov/gene/5876", "5876")</f>
        <v>5876</v>
      </c>
      <c r="D4154" t="str">
        <f>"ggtb-1"</f>
        <v>ggtb-1</v>
      </c>
      <c r="E4154" t="s">
        <v>3311</v>
      </c>
      <c r="F4154" t="s">
        <v>11</v>
      </c>
      <c r="G4154" t="s">
        <v>3312</v>
      </c>
      <c r="H4154" s="12">
        <v>-1.3174820533806599</v>
      </c>
      <c r="I4154" s="20">
        <v>-1.42100582589506</v>
      </c>
      <c r="J4154" s="28">
        <v>0.155315065776643</v>
      </c>
      <c r="K4154" s="29">
        <v>0.86433282992175098</v>
      </c>
    </row>
    <row r="4155" spans="1:11" x14ac:dyDescent="0.35">
      <c r="A4155" s="9" t="str">
        <f>HYPERLINK("http://www.ensembl.org/id/WBGene00022018", "WBGene00022018")</f>
        <v>WBGene00022018</v>
      </c>
      <c r="B4155" s="9" t="str">
        <f>HYPERLINK("http://www.ncbi.nlm.nih.gov/gene/190446", "190446")</f>
        <v>190446</v>
      </c>
      <c r="C4155" s="9"/>
      <c r="D4155" t="str">
        <f>"Y61A9LA.7"</f>
        <v>Y61A9LA.7</v>
      </c>
      <c r="F4155" t="s">
        <v>11</v>
      </c>
      <c r="H4155" s="12">
        <v>-1.56923161395309</v>
      </c>
      <c r="I4155" s="20">
        <v>-1.4207351705485101</v>
      </c>
      <c r="J4155" s="28">
        <v>0.15539376382775599</v>
      </c>
      <c r="K4155" s="29">
        <v>0.86456255887409705</v>
      </c>
    </row>
    <row r="4156" spans="1:11" x14ac:dyDescent="0.35">
      <c r="A4156" s="9" t="str">
        <f>HYPERLINK("http://www.ensembl.org/id/WBGene00018271", "WBGene00018271")</f>
        <v>WBGene00018271</v>
      </c>
      <c r="B4156" s="9" t="str">
        <f>HYPERLINK("http://www.ncbi.nlm.nih.gov/gene/173818", "173818")</f>
        <v>173818</v>
      </c>
      <c r="C4156" s="9" t="str">
        <f>HYPERLINK("http://www.ncbi.nlm.nih.gov/gene/5476", "5476")</f>
        <v>5476</v>
      </c>
      <c r="D4156" t="str">
        <f>"F41C3.5"</f>
        <v>F41C3.5</v>
      </c>
      <c r="E4156" t="s">
        <v>3315</v>
      </c>
      <c r="F4156" t="s">
        <v>11</v>
      </c>
      <c r="G4156" t="s">
        <v>1391</v>
      </c>
      <c r="H4156" s="12">
        <v>-1.3989030524835799</v>
      </c>
      <c r="I4156" s="20">
        <v>-1.42044475765103</v>
      </c>
      <c r="J4156" s="28">
        <v>0.155478240415061</v>
      </c>
      <c r="K4156" s="29">
        <v>0.86460702238995302</v>
      </c>
    </row>
    <row r="4157" spans="1:11" x14ac:dyDescent="0.35">
      <c r="A4157" s="9" t="str">
        <f>HYPERLINK("http://www.ensembl.org/id/WBGene00013543", "WBGene00013543")</f>
        <v>WBGene00013543</v>
      </c>
      <c r="B4157" s="9" t="str">
        <f>HYPERLINK("http://www.ncbi.nlm.nih.gov/gene/176645", "176645")</f>
        <v>176645</v>
      </c>
      <c r="C4157" s="9"/>
      <c r="D4157" t="str">
        <f>"Y75B8A.6"</f>
        <v>Y75B8A.6</v>
      </c>
      <c r="F4157" t="s">
        <v>11</v>
      </c>
      <c r="G4157" t="s">
        <v>3313</v>
      </c>
      <c r="H4157" s="12">
        <v>1.3978736450215701</v>
      </c>
      <c r="I4157" s="20">
        <v>1.4203231006950801</v>
      </c>
      <c r="J4157" s="28">
        <v>0.15551363888660399</v>
      </c>
      <c r="K4157" s="29">
        <v>0.86460702238995302</v>
      </c>
    </row>
    <row r="4158" spans="1:11" x14ac:dyDescent="0.35">
      <c r="A4158" s="9" t="str">
        <f>HYPERLINK("http://www.ensembl.org/id/WBGene00013877", "WBGene00013877")</f>
        <v>WBGene00013877</v>
      </c>
      <c r="B4158" s="9" t="str">
        <f>HYPERLINK("http://www.ncbi.nlm.nih.gov/gene/179921", "179921")</f>
        <v>179921</v>
      </c>
      <c r="C4158" s="9"/>
      <c r="D4158" t="str">
        <f>"ZC376.6"</f>
        <v>ZC376.6</v>
      </c>
      <c r="F4158" t="s">
        <v>11</v>
      </c>
      <c r="G4158" t="s">
        <v>3314</v>
      </c>
      <c r="H4158" s="12">
        <v>-1.3394663949380601</v>
      </c>
      <c r="I4158" s="20">
        <v>-1.4203218149594801</v>
      </c>
      <c r="J4158" s="28">
        <v>0.15551401302919801</v>
      </c>
      <c r="K4158" s="29">
        <v>0.86460702238995302</v>
      </c>
    </row>
    <row r="4159" spans="1:11" x14ac:dyDescent="0.35">
      <c r="A4159" s="9" t="str">
        <f>HYPERLINK("http://www.ensembl.org/id/WBGene00006791", "WBGene00006791")</f>
        <v>WBGene00006791</v>
      </c>
      <c r="B4159" s="9" t="str">
        <f>HYPERLINK("http://www.ncbi.nlm.nih.gov/gene/172078", "172078")</f>
        <v>172078</v>
      </c>
      <c r="C4159" s="9" t="str">
        <f>HYPERLINK("http://www.ncbi.nlm.nih.gov/gene/6457", "6457")</f>
        <v>6457</v>
      </c>
      <c r="D4159" t="str">
        <f>"unc-57"</f>
        <v>unc-57</v>
      </c>
      <c r="E4159" t="s">
        <v>3316</v>
      </c>
      <c r="F4159" t="s">
        <v>11</v>
      </c>
      <c r="G4159" t="s">
        <v>3317</v>
      </c>
      <c r="H4159" s="12">
        <v>-1.2971923260299401</v>
      </c>
      <c r="I4159" s="20">
        <v>-1.4201635649695801</v>
      </c>
      <c r="J4159" s="28">
        <v>0.15556006819785001</v>
      </c>
      <c r="K4159" s="29">
        <v>0.86465502424333096</v>
      </c>
    </row>
    <row r="4160" spans="1:11" x14ac:dyDescent="0.35">
      <c r="A4160" s="9" t="str">
        <f>HYPERLINK("http://www.ensembl.org/id/WBGene00008080", "WBGene00008080")</f>
        <v>WBGene00008080</v>
      </c>
      <c r="B4160" s="9" t="str">
        <f>HYPERLINK("http://www.ncbi.nlm.nih.gov/gene/183435", "183435")</f>
        <v>183435</v>
      </c>
      <c r="C4160" s="9"/>
      <c r="D4160" t="str">
        <f>"C44B9.3"</f>
        <v>C44B9.3</v>
      </c>
      <c r="F4160" t="s">
        <v>11</v>
      </c>
      <c r="G4160" t="s">
        <v>25</v>
      </c>
      <c r="H4160" s="12">
        <v>-1.5051155650044501</v>
      </c>
      <c r="I4160" s="20">
        <v>-1.4192110533506399</v>
      </c>
      <c r="J4160" s="28">
        <v>0.155837494400975</v>
      </c>
      <c r="K4160" s="29">
        <v>0.86572850966450199</v>
      </c>
    </row>
    <row r="4161" spans="1:11" x14ac:dyDescent="0.35">
      <c r="A4161" s="9" t="str">
        <f>HYPERLINK("http://www.ensembl.org/id/WBGene00001669", "WBGene00001669")</f>
        <v>WBGene00001669</v>
      </c>
      <c r="B4161" s="9" t="str">
        <f>HYPERLINK("http://www.ncbi.nlm.nih.gov/gene/177931", "177931")</f>
        <v>177931</v>
      </c>
      <c r="C4161" s="9"/>
      <c r="D4161" t="str">
        <f>"gpa-7"</f>
        <v>gpa-7</v>
      </c>
      <c r="E4161" t="s">
        <v>3318</v>
      </c>
      <c r="F4161" t="s">
        <v>11</v>
      </c>
      <c r="G4161" t="s">
        <v>875</v>
      </c>
      <c r="H4161" s="12">
        <v>1.3525577130686199</v>
      </c>
      <c r="I4161" s="20">
        <v>1.41928458824834</v>
      </c>
      <c r="J4161" s="28">
        <v>0.155816063442137</v>
      </c>
      <c r="K4161" s="29">
        <v>0.86572850966450199</v>
      </c>
    </row>
    <row r="4162" spans="1:11" x14ac:dyDescent="0.35">
      <c r="A4162" s="9" t="str">
        <f>HYPERLINK("http://www.ensembl.org/id/WBGene00044280", "WBGene00044280")</f>
        <v>WBGene00044280</v>
      </c>
      <c r="B4162" s="9" t="str">
        <f>HYPERLINK("http://www.ncbi.nlm.nih.gov/gene/3565254", "3565254")</f>
        <v>3565254</v>
      </c>
      <c r="C4162" s="9"/>
      <c r="D4162" t="str">
        <f>"W02A2.9"</f>
        <v>W02A2.9</v>
      </c>
      <c r="F4162" t="s">
        <v>11</v>
      </c>
      <c r="G4162" t="s">
        <v>25</v>
      </c>
      <c r="H4162" s="12">
        <v>1.39131677145537</v>
      </c>
      <c r="I4162" s="20">
        <v>1.41911462082929</v>
      </c>
      <c r="J4162" s="28">
        <v>0.15586560201697999</v>
      </c>
      <c r="K4162" s="29">
        <v>0.86572850966450199</v>
      </c>
    </row>
    <row r="4163" spans="1:11" x14ac:dyDescent="0.35">
      <c r="A4163" s="9" t="str">
        <f>HYPERLINK("http://www.ensembl.org/id/WBGene00000966", "WBGene00000966")</f>
        <v>WBGene00000966</v>
      </c>
      <c r="B4163" s="9" t="str">
        <f>HYPERLINK("http://www.ncbi.nlm.nih.gov/gene/172183", "172183")</f>
        <v>172183</v>
      </c>
      <c r="C4163" s="9" t="str">
        <f>HYPERLINK("http://www.ncbi.nlm.nih.gov/gene/8630", "8630")</f>
        <v>8630</v>
      </c>
      <c r="D4163" t="str">
        <f>"dhs-2"</f>
        <v>dhs-2</v>
      </c>
      <c r="E4163" t="s">
        <v>488</v>
      </c>
      <c r="F4163" t="s">
        <v>11</v>
      </c>
      <c r="G4163" t="s">
        <v>3319</v>
      </c>
      <c r="H4163" s="12">
        <v>-1.3809615408879701</v>
      </c>
      <c r="I4163" s="20">
        <v>-1.41884808218031</v>
      </c>
      <c r="J4163" s="28">
        <v>0.155943311233712</v>
      </c>
      <c r="K4163" s="29">
        <v>0.86595197052779305</v>
      </c>
    </row>
    <row r="4164" spans="1:11" x14ac:dyDescent="0.35">
      <c r="A4164" s="9" t="str">
        <f>HYPERLINK("http://www.ensembl.org/id/WBGene00012652", "WBGene00012652")</f>
        <v>WBGene00012652</v>
      </c>
      <c r="B4164" s="9" t="str">
        <f>HYPERLINK("http://www.ncbi.nlm.nih.gov/gene/176488", "176488")</f>
        <v>176488</v>
      </c>
      <c r="C4164" s="9" t="str">
        <f>HYPERLINK("http://www.ncbi.nlm.nih.gov/gene/10436", "10436")</f>
        <v>10436</v>
      </c>
      <c r="D4164" t="str">
        <f>"Y39A1A.14"</f>
        <v>Y39A1A.14</v>
      </c>
      <c r="E4164" t="s">
        <v>3320</v>
      </c>
      <c r="F4164" t="s">
        <v>11</v>
      </c>
      <c r="G4164" t="s">
        <v>3321</v>
      </c>
      <c r="H4164" s="12">
        <v>-1.43357595297677</v>
      </c>
      <c r="I4164" s="20">
        <v>-1.41870837263534</v>
      </c>
      <c r="J4164" s="28">
        <v>0.15598405522629699</v>
      </c>
      <c r="K4164" s="29">
        <v>0.86597010573253597</v>
      </c>
    </row>
    <row r="4165" spans="1:11" x14ac:dyDescent="0.35">
      <c r="A4165" s="9" t="str">
        <f>HYPERLINK("http://www.ensembl.org/id/WBGene00007124", "WBGene00007124")</f>
        <v>WBGene00007124</v>
      </c>
      <c r="B4165" s="9" t="str">
        <f>HYPERLINK("http://www.ncbi.nlm.nih.gov/gene/181884", "181884")</f>
        <v>181884</v>
      </c>
      <c r="C4165" s="9"/>
      <c r="D4165" t="str">
        <f>"B0250.7"</f>
        <v>B0250.7</v>
      </c>
      <c r="F4165" t="s">
        <v>11</v>
      </c>
      <c r="H4165" s="12">
        <v>-1.8392389104553799</v>
      </c>
      <c r="I4165" s="20">
        <v>-1.4184431669219</v>
      </c>
      <c r="J4165" s="28">
        <v>0.156061420331749</v>
      </c>
      <c r="K4165" s="29">
        <v>0.86598347218669502</v>
      </c>
    </row>
    <row r="4166" spans="1:11" x14ac:dyDescent="0.35">
      <c r="A4166" s="9" t="str">
        <f>HYPERLINK("http://www.ensembl.org/id/WBGene00016916", "WBGene00016916")</f>
        <v>WBGene00016916</v>
      </c>
      <c r="B4166" s="9" t="str">
        <f>HYPERLINK("http://www.ncbi.nlm.nih.gov/gene/183777", "183777")</f>
        <v>183777</v>
      </c>
      <c r="C4166" s="9"/>
      <c r="D4166" t="str">
        <f>"C54D2.2"</f>
        <v>C54D2.2</v>
      </c>
      <c r="F4166" t="s">
        <v>11</v>
      </c>
      <c r="H4166" s="12">
        <v>1.47674882255093</v>
      </c>
      <c r="I4166" s="20">
        <v>1.4184810070701299</v>
      </c>
      <c r="J4166" s="28">
        <v>0.15605037992412499</v>
      </c>
      <c r="K4166" s="29">
        <v>0.86598347218669502</v>
      </c>
    </row>
    <row r="4167" spans="1:11" x14ac:dyDescent="0.35">
      <c r="A4167" s="9" t="str">
        <f>HYPERLINK("http://www.ensembl.org/id/WBGene00000437", "WBGene00000437")</f>
        <v>WBGene00000437</v>
      </c>
      <c r="B4167" s="9" t="str">
        <f>HYPERLINK("http://www.ncbi.nlm.nih.gov/gene/176069", "176069")</f>
        <v>176069</v>
      </c>
      <c r="C4167" s="9"/>
      <c r="D4167" t="str">
        <f>"ceh-13"</f>
        <v>ceh-13</v>
      </c>
      <c r="E4167" t="s">
        <v>3322</v>
      </c>
      <c r="F4167" t="s">
        <v>11</v>
      </c>
      <c r="G4167" t="s">
        <v>1012</v>
      </c>
      <c r="H4167" s="12">
        <v>1.39861764264323</v>
      </c>
      <c r="I4167" s="20">
        <v>1.4181676725849299</v>
      </c>
      <c r="J4167" s="28">
        <v>0.15614181763159601</v>
      </c>
      <c r="K4167" s="29">
        <v>0.866056562350903</v>
      </c>
    </row>
    <row r="4168" spans="1:11" x14ac:dyDescent="0.35">
      <c r="A4168" s="9" t="str">
        <f>HYPERLINK("http://www.ensembl.org/id/WBGene00044665", "WBGene00044665")</f>
        <v>WBGene00044665</v>
      </c>
      <c r="B4168" s="9" t="str">
        <f>HYPERLINK("http://www.ncbi.nlm.nih.gov/gene/4363020", "4363020")</f>
        <v>4363020</v>
      </c>
      <c r="C4168" s="9"/>
      <c r="D4168" t="str">
        <f>"F59A6.12"</f>
        <v>F59A6.12</v>
      </c>
      <c r="F4168" t="s">
        <v>11</v>
      </c>
      <c r="H4168" s="12">
        <v>-1.35285488747603</v>
      </c>
      <c r="I4168" s="20">
        <v>-1.4181411618169699</v>
      </c>
      <c r="J4168" s="28">
        <v>0.15614955590556001</v>
      </c>
      <c r="K4168" s="29">
        <v>0.866056562350903</v>
      </c>
    </row>
    <row r="4169" spans="1:11" x14ac:dyDescent="0.35">
      <c r="A4169" s="9" t="str">
        <f>HYPERLINK("http://www.ensembl.org/id/WBGene00010335", "WBGene00010335")</f>
        <v>WBGene00010335</v>
      </c>
      <c r="B4169" s="9" t="str">
        <f>HYPERLINK("http://www.ncbi.nlm.nih.gov/gene/259724", "259724")</f>
        <v>259724</v>
      </c>
      <c r="C4169" s="9"/>
      <c r="D4169" t="str">
        <f>"F59F3.6"</f>
        <v>F59F3.6</v>
      </c>
      <c r="F4169" t="s">
        <v>11</v>
      </c>
      <c r="G4169" t="s">
        <v>2932</v>
      </c>
      <c r="H4169" s="12">
        <v>1.86046366262829</v>
      </c>
      <c r="I4169" s="20">
        <v>1.4180082653519099</v>
      </c>
      <c r="J4169" s="28">
        <v>0.15618835166967199</v>
      </c>
      <c r="K4169" s="29">
        <v>0.86606384777524303</v>
      </c>
    </row>
    <row r="4170" spans="1:11" x14ac:dyDescent="0.35">
      <c r="A4170" s="9" t="str">
        <f>HYPERLINK("http://www.ensembl.org/id/WBGene00008314", "WBGene00008314")</f>
        <v>WBGene00008314</v>
      </c>
      <c r="B4170" s="9" t="str">
        <f>HYPERLINK("http://www.ncbi.nlm.nih.gov/gene/172579", "172579")</f>
        <v>172579</v>
      </c>
      <c r="C4170" s="9"/>
      <c r="D4170" t="str">
        <f>"C54G4.4"</f>
        <v>C54G4.4</v>
      </c>
      <c r="F4170" t="s">
        <v>11</v>
      </c>
      <c r="H4170" s="12">
        <v>1.8043541211268701</v>
      </c>
      <c r="I4170" s="20">
        <v>1.4168436333261101</v>
      </c>
      <c r="J4170" s="28">
        <v>0.15652864943063299</v>
      </c>
      <c r="K4170" s="29">
        <v>0.86653323880244504</v>
      </c>
    </row>
    <row r="4171" spans="1:11" x14ac:dyDescent="0.35">
      <c r="A4171" s="9" t="str">
        <f>HYPERLINK("http://www.ensembl.org/id/WBGene00014375", "WBGene00014375")</f>
        <v>WBGene00014375</v>
      </c>
      <c r="B4171" s="9"/>
      <c r="C4171" s="9"/>
      <c r="D4171" t="str">
        <f>"F44D12.11"</f>
        <v>F44D12.11</v>
      </c>
      <c r="F4171" t="s">
        <v>80</v>
      </c>
      <c r="H4171" s="12">
        <v>14.120289392902601</v>
      </c>
      <c r="I4171" s="20">
        <v>1.41718790692295</v>
      </c>
      <c r="J4171" s="28">
        <v>0.15642799647804401</v>
      </c>
      <c r="K4171" s="29">
        <v>0.86653323880244504</v>
      </c>
    </row>
    <row r="4172" spans="1:11" x14ac:dyDescent="0.35">
      <c r="A4172" s="9" t="str">
        <f>HYPERLINK("http://www.ensembl.org/id/WBGene00018679", "WBGene00018679")</f>
        <v>WBGene00018679</v>
      </c>
      <c r="B4172" s="9" t="str">
        <f>HYPERLINK("http://www.ncbi.nlm.nih.gov/gene/176995", "176995")</f>
        <v>176995</v>
      </c>
      <c r="C4172" s="9" t="str">
        <f>HYPERLINK("http://www.ncbi.nlm.nih.gov/gene/115939", "115939")</f>
        <v>115939</v>
      </c>
      <c r="D4172" t="str">
        <f>"F52C12.2"</f>
        <v>F52C12.2</v>
      </c>
      <c r="E4172" t="s">
        <v>3324</v>
      </c>
      <c r="F4172" t="s">
        <v>11</v>
      </c>
      <c r="G4172" t="s">
        <v>3325</v>
      </c>
      <c r="H4172" s="12">
        <v>-1.3805125873962101</v>
      </c>
      <c r="I4172" s="20">
        <v>-1.4174603630226399</v>
      </c>
      <c r="J4172" s="28">
        <v>0.156348375126069</v>
      </c>
      <c r="K4172" s="29">
        <v>0.86653323880244504</v>
      </c>
    </row>
    <row r="4173" spans="1:11" x14ac:dyDescent="0.35">
      <c r="A4173" s="9" t="str">
        <f>HYPERLINK("http://www.ensembl.org/id/WBGene00008569", "WBGene00008569")</f>
        <v>WBGene00008569</v>
      </c>
      <c r="B4173" s="9" t="str">
        <f>HYPERLINK("http://www.ncbi.nlm.nih.gov/gene/173165", "173165")</f>
        <v>173165</v>
      </c>
      <c r="C4173" s="9"/>
      <c r="D4173" t="str">
        <f>"fbxa-101"</f>
        <v>fbxa-101</v>
      </c>
      <c r="E4173" t="s">
        <v>467</v>
      </c>
      <c r="F4173" t="s">
        <v>11</v>
      </c>
      <c r="G4173" t="s">
        <v>54</v>
      </c>
      <c r="H4173" s="12">
        <v>-1.43527555163087</v>
      </c>
      <c r="I4173" s="20">
        <v>-1.41694612799743</v>
      </c>
      <c r="J4173" s="28">
        <v>0.15649867862067701</v>
      </c>
      <c r="K4173" s="29">
        <v>0.86653323880244504</v>
      </c>
    </row>
    <row r="4174" spans="1:11" x14ac:dyDescent="0.35">
      <c r="A4174" s="9" t="str">
        <f>HYPERLINK("http://www.ensembl.org/id/WBGene00011293", "WBGene00011293")</f>
        <v>WBGene00011293</v>
      </c>
      <c r="B4174" s="9" t="str">
        <f>HYPERLINK("http://www.ncbi.nlm.nih.gov/gene/187892", "187892")</f>
        <v>187892</v>
      </c>
      <c r="C4174" s="9"/>
      <c r="D4174" t="str">
        <f>"R102.6"</f>
        <v>R102.6</v>
      </c>
      <c r="F4174" t="s">
        <v>11</v>
      </c>
      <c r="G4174" t="s">
        <v>25</v>
      </c>
      <c r="H4174" s="12">
        <v>2.3205831498303802</v>
      </c>
      <c r="I4174" s="20">
        <v>1.4168201373176399</v>
      </c>
      <c r="J4174" s="28">
        <v>0.156535520590384</v>
      </c>
      <c r="K4174" s="29">
        <v>0.86653323880244504</v>
      </c>
    </row>
    <row r="4175" spans="1:11" x14ac:dyDescent="0.35">
      <c r="A4175" s="9" t="str">
        <f>HYPERLINK("http://www.ensembl.org/id/WBGene00013529", "WBGene00013529")</f>
        <v>WBGene00013529</v>
      </c>
      <c r="B4175" s="9" t="str">
        <f>HYPERLINK("http://www.ncbi.nlm.nih.gov/gene/178431", "178431")</f>
        <v>178431</v>
      </c>
      <c r="C4175" s="9"/>
      <c r="D4175" t="str">
        <f>"Y73F8A.24"</f>
        <v>Y73F8A.24</v>
      </c>
      <c r="E4175" t="s">
        <v>3326</v>
      </c>
      <c r="F4175" t="s">
        <v>11</v>
      </c>
      <c r="G4175" t="s">
        <v>3327</v>
      </c>
      <c r="H4175" s="12">
        <v>-1.3964999200922701</v>
      </c>
      <c r="I4175" s="20">
        <v>-1.41683136152964</v>
      </c>
      <c r="J4175" s="28">
        <v>0.156532238159484</v>
      </c>
      <c r="K4175" s="29">
        <v>0.86653323880244504</v>
      </c>
    </row>
    <row r="4176" spans="1:11" x14ac:dyDescent="0.35">
      <c r="A4176" s="9" t="str">
        <f>HYPERLINK("http://www.ensembl.org/id/WBGene00022820", "WBGene00022820")</f>
        <v>WBGene00022820</v>
      </c>
      <c r="B4176" s="9" t="str">
        <f>HYPERLINK("http://www.ncbi.nlm.nih.gov/gene/180636", "180636")</f>
        <v>180636</v>
      </c>
      <c r="C4176" s="9"/>
      <c r="D4176" t="str">
        <f>"ZK813.1"</f>
        <v>ZK813.1</v>
      </c>
      <c r="F4176" t="s">
        <v>11</v>
      </c>
      <c r="G4176" t="s">
        <v>3323</v>
      </c>
      <c r="H4176" s="12">
        <v>-1.2977724208849399</v>
      </c>
      <c r="I4176" s="20">
        <v>-1.41749632272237</v>
      </c>
      <c r="J4176" s="28">
        <v>0.156337868720971</v>
      </c>
      <c r="K4176" s="29">
        <v>0.86653323880244504</v>
      </c>
    </row>
    <row r="4177" spans="1:11" x14ac:dyDescent="0.35">
      <c r="A4177" s="9" t="str">
        <f>HYPERLINK("http://www.ensembl.org/id/WBGene00022393", "WBGene00022393")</f>
        <v>WBGene00022393</v>
      </c>
      <c r="B4177" s="9" t="str">
        <f>HYPERLINK("http://www.ncbi.nlm.nih.gov/gene/179172", "179172")</f>
        <v>179172</v>
      </c>
      <c r="C4177" s="9" t="str">
        <f>HYPERLINK("http://www.ncbi.nlm.nih.gov/gene/26090", "26090")</f>
        <v>26090</v>
      </c>
      <c r="D4177" t="str">
        <f>"abhd-12"</f>
        <v>abhd-12</v>
      </c>
      <c r="E4177" t="s">
        <v>3329</v>
      </c>
      <c r="F4177" t="s">
        <v>11</v>
      </c>
      <c r="G4177" t="s">
        <v>3330</v>
      </c>
      <c r="H4177" s="12">
        <v>-1.2961845884195999</v>
      </c>
      <c r="I4177" s="20">
        <v>-1.41561485630992</v>
      </c>
      <c r="J4177" s="28">
        <v>0.156888299213159</v>
      </c>
      <c r="K4177" s="29">
        <v>0.86682076334307601</v>
      </c>
    </row>
    <row r="4178" spans="1:11" x14ac:dyDescent="0.35">
      <c r="A4178" s="9" t="str">
        <f>HYPERLINK("http://www.ensembl.org/id/WBGene00015009", "WBGene00015009")</f>
        <v>WBGene00015009</v>
      </c>
      <c r="B4178" s="9" t="str">
        <f>HYPERLINK("http://www.ncbi.nlm.nih.gov/gene/172075", "172075")</f>
        <v>172075</v>
      </c>
      <c r="C4178" s="9" t="str">
        <f>HYPERLINK("http://www.ncbi.nlm.nih.gov/gene/80255", "80255")</f>
        <v>80255</v>
      </c>
      <c r="D4178" t="str">
        <f>"B0041.5"</f>
        <v>B0041.5</v>
      </c>
      <c r="F4178" t="s">
        <v>11</v>
      </c>
      <c r="G4178" t="s">
        <v>3334</v>
      </c>
      <c r="H4178" s="12">
        <v>-1.32139288715779</v>
      </c>
      <c r="I4178" s="20">
        <v>-1.41545710060734</v>
      </c>
      <c r="J4178" s="28">
        <v>0.15693451794862701</v>
      </c>
      <c r="K4178" s="29">
        <v>0.86682076334307601</v>
      </c>
    </row>
    <row r="4179" spans="1:11" x14ac:dyDescent="0.35">
      <c r="A4179" s="9" t="str">
        <f>HYPERLINK("http://www.ensembl.org/id/WBGene00007766", "WBGene00007766")</f>
        <v>WBGene00007766</v>
      </c>
      <c r="B4179" s="9" t="str">
        <f>HYPERLINK("http://www.ncbi.nlm.nih.gov/gene/173029", "173029")</f>
        <v>173029</v>
      </c>
      <c r="C4179" s="9"/>
      <c r="D4179" t="str">
        <f>"C27C7.1"</f>
        <v>C27C7.1</v>
      </c>
      <c r="F4179" t="s">
        <v>11</v>
      </c>
      <c r="H4179" s="12">
        <v>-1.4132009775732</v>
      </c>
      <c r="I4179" s="20">
        <v>-1.41536123180492</v>
      </c>
      <c r="J4179" s="28">
        <v>0.15696261031019801</v>
      </c>
      <c r="K4179" s="29">
        <v>0.86682076334307601</v>
      </c>
    </row>
    <row r="4180" spans="1:11" x14ac:dyDescent="0.35">
      <c r="A4180" s="9" t="str">
        <f>HYPERLINK("http://www.ensembl.org/id/WBGene00007862", "WBGene00007862")</f>
        <v>WBGene00007862</v>
      </c>
      <c r="B4180" s="9" t="str">
        <f>HYPERLINK("http://www.ncbi.nlm.nih.gov/gene/183120", "183120")</f>
        <v>183120</v>
      </c>
      <c r="C4180" s="9"/>
      <c r="D4180" t="str">
        <f>"C32C4.1"</f>
        <v>C32C4.1</v>
      </c>
      <c r="F4180" t="s">
        <v>11</v>
      </c>
      <c r="G4180" t="s">
        <v>3328</v>
      </c>
      <c r="H4180" s="12">
        <v>1.4695784785328201</v>
      </c>
      <c r="I4180" s="20">
        <v>1.4157241876047</v>
      </c>
      <c r="J4180" s="28">
        <v>0.156856273752745</v>
      </c>
      <c r="K4180" s="29">
        <v>0.86682076334307601</v>
      </c>
    </row>
    <row r="4181" spans="1:11" x14ac:dyDescent="0.35">
      <c r="A4181" s="9" t="str">
        <f>HYPERLINK("http://www.ensembl.org/id/WBGene00001178", "WBGene00001178")</f>
        <v>WBGene00001178</v>
      </c>
      <c r="B4181" s="9" t="str">
        <f>HYPERLINK("http://www.ncbi.nlm.nih.gov/gene/179461", "179461")</f>
        <v>179461</v>
      </c>
      <c r="C4181" s="9"/>
      <c r="D4181" t="str">
        <f>"egl-9"</f>
        <v>egl-9</v>
      </c>
      <c r="E4181" t="s">
        <v>3332</v>
      </c>
      <c r="F4181" t="s">
        <v>11</v>
      </c>
      <c r="G4181" t="s">
        <v>3333</v>
      </c>
      <c r="H4181" s="12">
        <v>-1.3202865774924</v>
      </c>
      <c r="I4181" s="20">
        <v>-1.41556889302268</v>
      </c>
      <c r="J4181" s="28">
        <v>0.156901764317079</v>
      </c>
      <c r="K4181" s="29">
        <v>0.86682076334307601</v>
      </c>
    </row>
    <row r="4182" spans="1:11" x14ac:dyDescent="0.35">
      <c r="A4182" s="9" t="str">
        <f>HYPERLINK("http://www.ensembl.org/id/WBGene00019404", "WBGene00019404")</f>
        <v>WBGene00019404</v>
      </c>
      <c r="B4182" s="9" t="str">
        <f>HYPERLINK("http://www.ncbi.nlm.nih.gov/gene/187017", "187017")</f>
        <v>187017</v>
      </c>
      <c r="C4182" s="9"/>
      <c r="D4182" t="str">
        <f>"K05B2.4"</f>
        <v>K05B2.4</v>
      </c>
      <c r="F4182" t="s">
        <v>11</v>
      </c>
      <c r="G4182" t="s">
        <v>1712</v>
      </c>
      <c r="H4182" s="12">
        <v>1.56633300808473</v>
      </c>
      <c r="I4182" s="20">
        <v>1.4158471408490101</v>
      </c>
      <c r="J4182" s="28">
        <v>0.15682026405514199</v>
      </c>
      <c r="K4182" s="29">
        <v>0.86682076334307601</v>
      </c>
    </row>
    <row r="4183" spans="1:11" x14ac:dyDescent="0.35">
      <c r="A4183" s="9" t="str">
        <f>HYPERLINK("http://www.ensembl.org/id/WBGene00007914", "WBGene00007914")</f>
        <v>WBGene00007914</v>
      </c>
      <c r="B4183" s="9" t="str">
        <f>HYPERLINK("http://www.ncbi.nlm.nih.gov/gene/183194", "183194")</f>
        <v>183194</v>
      </c>
      <c r="C4183" s="9"/>
      <c r="D4183" t="str">
        <f>"mys-4"</f>
        <v>mys-4</v>
      </c>
      <c r="E4183" t="s">
        <v>3339</v>
      </c>
      <c r="F4183" t="s">
        <v>11</v>
      </c>
      <c r="G4183" t="s">
        <v>3340</v>
      </c>
      <c r="H4183" s="12">
        <v>-1.4087446889110999</v>
      </c>
      <c r="I4183" s="20">
        <v>-1.4160751344562399</v>
      </c>
      <c r="J4183" s="28">
        <v>0.15675350744852201</v>
      </c>
      <c r="K4183" s="29">
        <v>0.86682076334307601</v>
      </c>
    </row>
    <row r="4184" spans="1:11" x14ac:dyDescent="0.35">
      <c r="A4184" s="9" t="str">
        <f>HYPERLINK("http://www.ensembl.org/id/WBGene00004014", "WBGene00004014")</f>
        <v>WBGene00004014</v>
      </c>
      <c r="B4184" s="9" t="str">
        <f>HYPERLINK("http://www.ncbi.nlm.nih.gov/gene/171768", "171768")</f>
        <v>171768</v>
      </c>
      <c r="C4184" s="9" t="str">
        <f>HYPERLINK("http://www.ncbi.nlm.nih.gov/gene/5245", "5245")</f>
        <v>5245</v>
      </c>
      <c r="D4184" t="str">
        <f>"phb-1"</f>
        <v>phb-1</v>
      </c>
      <c r="E4184" t="s">
        <v>3331</v>
      </c>
      <c r="F4184" t="s">
        <v>11</v>
      </c>
      <c r="G4184" t="s">
        <v>427</v>
      </c>
      <c r="H4184" s="12">
        <v>-1.3063448332698799</v>
      </c>
      <c r="I4184" s="20">
        <v>-1.4156510150487001</v>
      </c>
      <c r="J4184" s="28">
        <v>0.15687770700131701</v>
      </c>
      <c r="K4184" s="29">
        <v>0.86682076334307601</v>
      </c>
    </row>
    <row r="4185" spans="1:11" x14ac:dyDescent="0.35">
      <c r="A4185" s="9" t="str">
        <f>HYPERLINK("http://www.ensembl.org/id/WBGene00008431", "WBGene00008431")</f>
        <v>WBGene00008431</v>
      </c>
      <c r="B4185" s="9" t="str">
        <f>HYPERLINK("http://www.ncbi.nlm.nih.gov/gene/174386", "174386")</f>
        <v>174386</v>
      </c>
      <c r="C4185" s="9" t="str">
        <f>HYPERLINK("http://www.ncbi.nlm.nih.gov/gene/5277", "5277")</f>
        <v>5277</v>
      </c>
      <c r="D4185" t="str">
        <f>"piga-1"</f>
        <v>piga-1</v>
      </c>
      <c r="E4185" t="s">
        <v>3337</v>
      </c>
      <c r="F4185" t="s">
        <v>11</v>
      </c>
      <c r="G4185" t="s">
        <v>3338</v>
      </c>
      <c r="H4185" s="12">
        <v>-1.39274230591467</v>
      </c>
      <c r="I4185" s="20">
        <v>-1.41636563645349</v>
      </c>
      <c r="J4185" s="28">
        <v>0.156668479584714</v>
      </c>
      <c r="K4185" s="29">
        <v>0.86682076334307601</v>
      </c>
    </row>
    <row r="4186" spans="1:11" x14ac:dyDescent="0.35">
      <c r="A4186" s="9" t="str">
        <f>HYPERLINK("http://www.ensembl.org/id/WBGene00020687", "WBGene00020687")</f>
        <v>WBGene00020687</v>
      </c>
      <c r="B4186" s="9" t="str">
        <f>HYPERLINK("http://www.ncbi.nlm.nih.gov/gene/177458", "177458")</f>
        <v>177458</v>
      </c>
      <c r="C4186" s="9" t="str">
        <f>HYPERLINK("http://www.ncbi.nlm.nih.gov/gene/10856", "10856")</f>
        <v>10856</v>
      </c>
      <c r="D4186" t="str">
        <f>"ruvb-2"</f>
        <v>ruvb-2</v>
      </c>
      <c r="E4186" t="s">
        <v>3335</v>
      </c>
      <c r="F4186" t="s">
        <v>11</v>
      </c>
      <c r="G4186" t="s">
        <v>3336</v>
      </c>
      <c r="H4186" s="12">
        <v>-1.37257779860841</v>
      </c>
      <c r="I4186" s="20">
        <v>-1.4158653725196699</v>
      </c>
      <c r="J4186" s="28">
        <v>0.156814925022916</v>
      </c>
      <c r="K4186" s="29">
        <v>0.86682076334307601</v>
      </c>
    </row>
    <row r="4187" spans="1:11" x14ac:dyDescent="0.35">
      <c r="A4187" s="9" t="str">
        <f>HYPERLINK("http://www.ensembl.org/id/WBGene00016764", "WBGene00016764")</f>
        <v>WBGene00016764</v>
      </c>
      <c r="B4187" s="9" t="str">
        <f>HYPERLINK("http://www.ncbi.nlm.nih.gov/gene/3565073", "3565073")</f>
        <v>3565073</v>
      </c>
      <c r="C4187" s="9"/>
      <c r="D4187" t="str">
        <f>"C49A9.10"</f>
        <v>C49A9.10</v>
      </c>
      <c r="F4187" t="s">
        <v>11</v>
      </c>
      <c r="H4187" s="12">
        <v>-1.40889716983128</v>
      </c>
      <c r="I4187" s="20">
        <v>-1.4151843262583801</v>
      </c>
      <c r="J4187" s="28">
        <v>0.15701445881430501</v>
      </c>
      <c r="K4187" s="29">
        <v>0.86686376435261003</v>
      </c>
    </row>
    <row r="4188" spans="1:11" x14ac:dyDescent="0.35">
      <c r="A4188" s="9" t="str">
        <f>HYPERLINK("http://www.ensembl.org/id/WBGene00011830", "WBGene00011830")</f>
        <v>WBGene00011830</v>
      </c>
      <c r="B4188" s="9" t="str">
        <f>HYPERLINK("http://www.ncbi.nlm.nih.gov/gene/179550", "179550")</f>
        <v>179550</v>
      </c>
      <c r="C4188" s="9"/>
      <c r="D4188" t="str">
        <f>"cyp-29A2"</f>
        <v>cyp-29A2</v>
      </c>
      <c r="E4188" t="s">
        <v>176</v>
      </c>
      <c r="F4188" t="s">
        <v>11</v>
      </c>
      <c r="G4188" t="s">
        <v>3341</v>
      </c>
      <c r="H4188" s="12">
        <v>1.3892407361314101</v>
      </c>
      <c r="I4188" s="20">
        <v>1.4150786728526199</v>
      </c>
      <c r="J4188" s="28">
        <v>0.157045430519347</v>
      </c>
      <c r="K4188" s="29">
        <v>0.86686376435261003</v>
      </c>
    </row>
    <row r="4189" spans="1:11" x14ac:dyDescent="0.35">
      <c r="A4189" s="9" t="str">
        <f>HYPERLINK("http://www.ensembl.org/id/WBGene00001763", "WBGene00001763")</f>
        <v>WBGene00001763</v>
      </c>
      <c r="B4189" s="9" t="str">
        <f>HYPERLINK("http://www.ncbi.nlm.nih.gov/gene/185410", "185410")</f>
        <v>185410</v>
      </c>
      <c r="C4189" s="9" t="str">
        <f>HYPERLINK("http://www.ncbi.nlm.nih.gov/gene/27306", "27306")</f>
        <v>27306</v>
      </c>
      <c r="D4189" t="str">
        <f>"gst-15"</f>
        <v>gst-15</v>
      </c>
      <c r="E4189" t="s">
        <v>272</v>
      </c>
      <c r="F4189" t="s">
        <v>11</v>
      </c>
      <c r="G4189" t="s">
        <v>876</v>
      </c>
      <c r="H4189" s="12">
        <v>1.3640155847106601</v>
      </c>
      <c r="I4189" s="20">
        <v>1.41492974529056</v>
      </c>
      <c r="J4189" s="28">
        <v>0.15708909566578499</v>
      </c>
      <c r="K4189" s="29">
        <v>0.86689769392252602</v>
      </c>
    </row>
    <row r="4190" spans="1:11" x14ac:dyDescent="0.35">
      <c r="A4190" s="9" t="str">
        <f>HYPERLINK("http://www.ensembl.org/id/WBGene00001020", "WBGene00001020")</f>
        <v>WBGene00001020</v>
      </c>
      <c r="B4190" s="9" t="str">
        <f>HYPERLINK("http://www.ncbi.nlm.nih.gov/gene/178043", "178043")</f>
        <v>178043</v>
      </c>
      <c r="C4190" s="9" t="str">
        <f>HYPERLINK("http://www.ncbi.nlm.nih.gov/gene/548645", "548645")</f>
        <v>548645</v>
      </c>
      <c r="D4190" t="str">
        <f>"dnj-2"</f>
        <v>dnj-2</v>
      </c>
      <c r="E4190" t="s">
        <v>3344</v>
      </c>
      <c r="F4190" t="s">
        <v>11</v>
      </c>
      <c r="H4190" s="12">
        <v>-1.33847710480049</v>
      </c>
      <c r="I4190" s="20">
        <v>-1.4146386684213801</v>
      </c>
      <c r="J4190" s="28">
        <v>0.15717446516307901</v>
      </c>
      <c r="K4190" s="29">
        <v>0.86695468896111405</v>
      </c>
    </row>
    <row r="4191" spans="1:11" x14ac:dyDescent="0.35">
      <c r="A4191" s="9" t="str">
        <f>HYPERLINK("http://www.ensembl.org/id/WBGene00022703", "WBGene00022703")</f>
        <v>WBGene00022703</v>
      </c>
      <c r="B4191" s="9" t="str">
        <f>HYPERLINK("http://www.ncbi.nlm.nih.gov/gene/176187", "176187")</f>
        <v>176187</v>
      </c>
      <c r="C4191" s="9" t="str">
        <f>HYPERLINK("http://www.ncbi.nlm.nih.gov/gene/23190", "23190")</f>
        <v>23190</v>
      </c>
      <c r="D4191" t="str">
        <f>"ubxn-4"</f>
        <v>ubxn-4</v>
      </c>
      <c r="E4191" t="s">
        <v>3342</v>
      </c>
      <c r="F4191" t="s">
        <v>11</v>
      </c>
      <c r="G4191" t="s">
        <v>3343</v>
      </c>
      <c r="H4191" s="12">
        <v>-1.2994545903252299</v>
      </c>
      <c r="I4191" s="20">
        <v>-1.4147415843430899</v>
      </c>
      <c r="J4191" s="28">
        <v>0.15714427708949899</v>
      </c>
      <c r="K4191" s="29">
        <v>0.86695468896111405</v>
      </c>
    </row>
    <row r="4192" spans="1:11" x14ac:dyDescent="0.35">
      <c r="A4192" s="9" t="str">
        <f>HYPERLINK("http://www.ensembl.org/id/WBGene00013568", "WBGene00013568")</f>
        <v>WBGene00013568</v>
      </c>
      <c r="B4192" s="9" t="str">
        <f>HYPERLINK("http://www.ncbi.nlm.nih.gov/gene/190717", "190717")</f>
        <v>190717</v>
      </c>
      <c r="C4192" s="9"/>
      <c r="D4192" t="str">
        <f>"Y75B12B.3"</f>
        <v>Y75B12B.3</v>
      </c>
      <c r="F4192" t="s">
        <v>11</v>
      </c>
      <c r="H4192" s="12">
        <v>1.3470558287347301</v>
      </c>
      <c r="I4192" s="20">
        <v>1.4144765099261301</v>
      </c>
      <c r="J4192" s="28">
        <v>0.15722203963363801</v>
      </c>
      <c r="K4192" s="29">
        <v>0.86701013073385302</v>
      </c>
    </row>
    <row r="4193" spans="1:11" x14ac:dyDescent="0.35">
      <c r="A4193" s="9" t="str">
        <f>HYPERLINK("http://www.ensembl.org/id/WBGene00008207", "WBGene00008207")</f>
        <v>WBGene00008207</v>
      </c>
      <c r="B4193" s="9" t="str">
        <f>HYPERLINK("http://www.ncbi.nlm.nih.gov/gene/183612", "183612")</f>
        <v>183612</v>
      </c>
      <c r="C4193" s="9"/>
      <c r="D4193" t="str">
        <f>"C49F5.3"</f>
        <v>C49F5.3</v>
      </c>
      <c r="F4193" t="s">
        <v>11</v>
      </c>
      <c r="G4193" t="s">
        <v>25</v>
      </c>
      <c r="H4193" s="12">
        <v>-1.52634614876205</v>
      </c>
      <c r="I4193" s="20">
        <v>-1.41419734687663</v>
      </c>
      <c r="J4193" s="28">
        <v>0.15730396676375299</v>
      </c>
      <c r="K4193" s="29">
        <v>0.86715939062549297</v>
      </c>
    </row>
    <row r="4194" spans="1:11" x14ac:dyDescent="0.35">
      <c r="A4194" s="9" t="str">
        <f>HYPERLINK("http://www.ensembl.org/id/WBGene00013728", "WBGene00013728")</f>
        <v>WBGene00013728</v>
      </c>
      <c r="B4194" s="9" t="str">
        <f>HYPERLINK("http://www.ncbi.nlm.nih.gov/gene/176675", "176675")</f>
        <v>176675</v>
      </c>
      <c r="C4194" s="9"/>
      <c r="D4194" t="str">
        <f>"Y111B2A.2"</f>
        <v>Y111B2A.2</v>
      </c>
      <c r="F4194" t="s">
        <v>11</v>
      </c>
      <c r="G4194" t="s">
        <v>935</v>
      </c>
      <c r="H4194" s="12">
        <v>-1.4193125588747999</v>
      </c>
      <c r="I4194" s="20">
        <v>-1.4141285378895601</v>
      </c>
      <c r="J4194" s="28">
        <v>0.157324165390031</v>
      </c>
      <c r="K4194" s="29">
        <v>0.86715939062549297</v>
      </c>
    </row>
    <row r="4195" spans="1:11" x14ac:dyDescent="0.35">
      <c r="A4195" s="9" t="str">
        <f>HYPERLINK("http://www.ensembl.org/id/WBGene00012700", "WBGene00012700")</f>
        <v>WBGene00012700</v>
      </c>
      <c r="B4195" s="9" t="str">
        <f>HYPERLINK("http://www.ncbi.nlm.nih.gov/gene/180239", "180239")</f>
        <v>180239</v>
      </c>
      <c r="C4195" s="9"/>
      <c r="D4195" t="str">
        <f>"Y39B6A.42"</f>
        <v>Y39B6A.42</v>
      </c>
      <c r="F4195" t="s">
        <v>11</v>
      </c>
      <c r="H4195" s="12">
        <v>-1.4279231525537199</v>
      </c>
      <c r="I4195" s="20">
        <v>-1.4131426763585999</v>
      </c>
      <c r="J4195" s="28">
        <v>0.157613777299215</v>
      </c>
      <c r="K4195" s="29">
        <v>0.86854851854892801</v>
      </c>
    </row>
    <row r="4196" spans="1:11" x14ac:dyDescent="0.35">
      <c r="A4196" s="9" t="str">
        <f>HYPERLINK("http://www.ensembl.org/id/WBGene00011999", "WBGene00011999")</f>
        <v>WBGene00011999</v>
      </c>
      <c r="B4196" s="9" t="str">
        <f>HYPERLINK("http://www.ncbi.nlm.nih.gov/gene/3565098", "3565098")</f>
        <v>3565098</v>
      </c>
      <c r="C4196" s="9"/>
      <c r="D4196" t="str">
        <f>"T24F1.7"</f>
        <v>T24F1.7</v>
      </c>
      <c r="F4196" t="s">
        <v>11</v>
      </c>
      <c r="G4196" t="s">
        <v>25</v>
      </c>
      <c r="H4196" s="12">
        <v>4.2642942414312603</v>
      </c>
      <c r="I4196" s="20">
        <v>1.41281034438713</v>
      </c>
      <c r="J4196" s="28">
        <v>0.15771149588028099</v>
      </c>
      <c r="K4196" s="29">
        <v>0.86887978631611396</v>
      </c>
    </row>
    <row r="4197" spans="1:11" x14ac:dyDescent="0.35">
      <c r="A4197" s="9" t="str">
        <f>HYPERLINK("http://www.ensembl.org/id/WBGene00021919", "WBGene00021919")</f>
        <v>WBGene00021919</v>
      </c>
      <c r="B4197" s="9" t="str">
        <f>HYPERLINK("http://www.ncbi.nlm.nih.gov/gene/190305", "190305")</f>
        <v>190305</v>
      </c>
      <c r="C4197" s="9"/>
      <c r="D4197" t="str">
        <f>"cutl-25"</f>
        <v>cutl-25</v>
      </c>
      <c r="E4197" t="s">
        <v>166</v>
      </c>
      <c r="F4197" t="s">
        <v>11</v>
      </c>
      <c r="G4197" t="s">
        <v>25</v>
      </c>
      <c r="H4197" s="12">
        <v>1.5607316497700801</v>
      </c>
      <c r="I4197" s="20">
        <v>1.4124385530005501</v>
      </c>
      <c r="J4197" s="28">
        <v>0.157820871459982</v>
      </c>
      <c r="K4197" s="29">
        <v>0.86911159691642803</v>
      </c>
    </row>
    <row r="4198" spans="1:11" x14ac:dyDescent="0.35">
      <c r="A4198" s="9" t="str">
        <f>HYPERLINK("http://www.ensembl.org/id/WBGene00020526", "WBGene00020526")</f>
        <v>WBGene00020526</v>
      </c>
      <c r="B4198" s="9" t="str">
        <f>HYPERLINK("http://www.ncbi.nlm.nih.gov/gene/188524", "188524")</f>
        <v>188524</v>
      </c>
      <c r="C4198" s="9"/>
      <c r="D4198" t="str">
        <f>"T15B7.14"</f>
        <v>T15B7.14</v>
      </c>
      <c r="F4198" t="s">
        <v>11</v>
      </c>
      <c r="G4198" t="s">
        <v>25</v>
      </c>
      <c r="H4198" s="12">
        <v>2.4250507197332198</v>
      </c>
      <c r="I4198" s="20">
        <v>1.41228380003246</v>
      </c>
      <c r="J4198" s="28">
        <v>0.157866414448985</v>
      </c>
      <c r="K4198" s="29">
        <v>0.86911159691642803</v>
      </c>
    </row>
    <row r="4199" spans="1:11" x14ac:dyDescent="0.35">
      <c r="A4199" s="9" t="str">
        <f>HYPERLINK("http://www.ensembl.org/id/WBGene00012678", "WBGene00012678")</f>
        <v>WBGene00012678</v>
      </c>
      <c r="B4199" s="9" t="str">
        <f>HYPERLINK("http://www.ncbi.nlm.nih.gov/gene/3565475", "3565475")</f>
        <v>3565475</v>
      </c>
      <c r="C4199" s="9"/>
      <c r="D4199" t="str">
        <f>"zhp-4"</f>
        <v>zhp-4</v>
      </c>
      <c r="E4199" t="s">
        <v>502</v>
      </c>
      <c r="F4199" t="s">
        <v>11</v>
      </c>
      <c r="G4199" t="s">
        <v>3345</v>
      </c>
      <c r="H4199" s="12">
        <v>-1.76970642053466</v>
      </c>
      <c r="I4199" s="20">
        <v>-1.41237794466024</v>
      </c>
      <c r="J4199" s="28">
        <v>0.15783870699166</v>
      </c>
      <c r="K4199" s="29">
        <v>0.86911159691642803</v>
      </c>
    </row>
    <row r="4200" spans="1:11" x14ac:dyDescent="0.35">
      <c r="A4200" s="9" t="str">
        <f>HYPERLINK("http://www.ensembl.org/id/WBGene00012622", "WBGene00012622")</f>
        <v>WBGene00012622</v>
      </c>
      <c r="B4200" s="9" t="str">
        <f>HYPERLINK("http://www.ncbi.nlm.nih.gov/gene/189690", "189690")</f>
        <v>189690</v>
      </c>
      <c r="C4200" s="9"/>
      <c r="D4200" t="str">
        <f>"Y38H6C.9"</f>
        <v>Y38H6C.9</v>
      </c>
      <c r="F4200" t="s">
        <v>11</v>
      </c>
      <c r="H4200" s="12">
        <v>-1.44422291562323</v>
      </c>
      <c r="I4200" s="20">
        <v>-1.4120687592647301</v>
      </c>
      <c r="J4200" s="28">
        <v>0.157929716349611</v>
      </c>
      <c r="K4200" s="29">
        <v>0.86925298379564098</v>
      </c>
    </row>
    <row r="4201" spans="1:11" x14ac:dyDescent="0.35">
      <c r="A4201" s="9" t="str">
        <f>HYPERLINK("http://www.ensembl.org/id/WBGene00008434", "WBGene00008434")</f>
        <v>WBGene00008434</v>
      </c>
      <c r="B4201" s="9" t="str">
        <f>HYPERLINK("http://www.ncbi.nlm.nih.gov/gene/183962", "183962")</f>
        <v>183962</v>
      </c>
      <c r="C4201" s="9"/>
      <c r="D4201" t="str">
        <f>"D2089.3"</f>
        <v>D2089.3</v>
      </c>
      <c r="F4201" t="s">
        <v>11</v>
      </c>
      <c r="H4201" s="12">
        <v>1.8531844904719199</v>
      </c>
      <c r="I4201" s="20">
        <v>1.4117555471779299</v>
      </c>
      <c r="J4201" s="28">
        <v>0.15802195149477399</v>
      </c>
      <c r="K4201" s="29">
        <v>0.86928731343041299</v>
      </c>
    </row>
    <row r="4202" spans="1:11" x14ac:dyDescent="0.35">
      <c r="A4202" s="9" t="str">
        <f>HYPERLINK("http://www.ensembl.org/id/WBGene00010830", "WBGene00010830")</f>
        <v>WBGene00010830</v>
      </c>
      <c r="B4202" s="9" t="str">
        <f>HYPERLINK("http://www.ncbi.nlm.nih.gov/gene/174597", "174597")</f>
        <v>174597</v>
      </c>
      <c r="C4202" s="9"/>
      <c r="D4202" t="str">
        <f>"M02G9.1"</f>
        <v>M02G9.1</v>
      </c>
      <c r="F4202" t="s">
        <v>11</v>
      </c>
      <c r="H4202" s="12">
        <v>2.34021722226914</v>
      </c>
      <c r="I4202" s="20">
        <v>1.4118722164475599</v>
      </c>
      <c r="J4202" s="28">
        <v>0.1579875897936</v>
      </c>
      <c r="K4202" s="29">
        <v>0.86928731343041299</v>
      </c>
    </row>
    <row r="4203" spans="1:11" x14ac:dyDescent="0.35">
      <c r="A4203" s="9" t="str">
        <f>HYPERLINK("http://www.ensembl.org/id/WBGene00011576", "WBGene00011576")</f>
        <v>WBGene00011576</v>
      </c>
      <c r="B4203" s="9" t="str">
        <f>HYPERLINK("http://www.ncbi.nlm.nih.gov/gene/179383", "179383")</f>
        <v>179383</v>
      </c>
      <c r="C4203" s="9"/>
      <c r="D4203" t="str">
        <f>"rmh-2"</f>
        <v>rmh-2</v>
      </c>
      <c r="E4203" t="s">
        <v>1038</v>
      </c>
      <c r="F4203" t="s">
        <v>11</v>
      </c>
      <c r="G4203" t="s">
        <v>1039</v>
      </c>
      <c r="H4203" s="12">
        <v>-1.46418038351672</v>
      </c>
      <c r="I4203" s="20">
        <v>-1.4116275227086299</v>
      </c>
      <c r="J4203" s="28">
        <v>0.15805966406871499</v>
      </c>
      <c r="K4203" s="29">
        <v>0.86928731343041299</v>
      </c>
    </row>
    <row r="4204" spans="1:11" x14ac:dyDescent="0.35">
      <c r="A4204" s="9" t="str">
        <f>HYPERLINK("http://www.ensembl.org/id/WBGene00006774", "WBGene00006774")</f>
        <v>WBGene00006774</v>
      </c>
      <c r="B4204" s="9" t="str">
        <f>HYPERLINK("http://www.ncbi.nlm.nih.gov/gene/172105", "172105")</f>
        <v>172105</v>
      </c>
      <c r="C4204" s="9" t="str">
        <f>HYPERLINK("http://www.ncbi.nlm.nih.gov/gene/8973", "8973")</f>
        <v>8973</v>
      </c>
      <c r="D4204" t="str">
        <f>"unc-38"</f>
        <v>unc-38</v>
      </c>
      <c r="E4204" t="s">
        <v>3346</v>
      </c>
      <c r="F4204" t="s">
        <v>11</v>
      </c>
      <c r="G4204" t="s">
        <v>870</v>
      </c>
      <c r="H4204" s="12">
        <v>1.4941869542300299</v>
      </c>
      <c r="I4204" s="20">
        <v>1.41153663813287</v>
      </c>
      <c r="J4204" s="28">
        <v>0.15808644036330799</v>
      </c>
      <c r="K4204" s="29">
        <v>0.86928731343041299</v>
      </c>
    </row>
    <row r="4205" spans="1:11" x14ac:dyDescent="0.35">
      <c r="A4205" s="9" t="str">
        <f>HYPERLINK("http://www.ensembl.org/id/WBGene00006608", "WBGene00006608")</f>
        <v>WBGene00006608</v>
      </c>
      <c r="B4205" s="9" t="str">
        <f>HYPERLINK("http://www.ncbi.nlm.nih.gov/gene/177451", "177451")</f>
        <v>177451</v>
      </c>
      <c r="C4205" s="9"/>
      <c r="D4205" t="str">
        <f>"tre-2"</f>
        <v>tre-2</v>
      </c>
      <c r="E4205" t="s">
        <v>1186</v>
      </c>
      <c r="F4205" t="s">
        <v>11</v>
      </c>
      <c r="G4205" t="s">
        <v>1187</v>
      </c>
      <c r="H4205" s="12">
        <v>1.3211060514394399</v>
      </c>
      <c r="I4205" s="20">
        <v>1.4112644947275701</v>
      </c>
      <c r="J4205" s="28">
        <v>0.15816663944171899</v>
      </c>
      <c r="K4205" s="29">
        <v>0.86952138256968003</v>
      </c>
    </row>
    <row r="4206" spans="1:11" x14ac:dyDescent="0.35">
      <c r="A4206" s="9" t="str">
        <f>HYPERLINK("http://www.ensembl.org/id/WBGene00001371", "WBGene00001371")</f>
        <v>WBGene00001371</v>
      </c>
      <c r="B4206" s="9" t="str">
        <f>HYPERLINK("http://www.ncbi.nlm.nih.gov/gene/175100", "175100")</f>
        <v>175100</v>
      </c>
      <c r="C4206" s="9"/>
      <c r="D4206" t="str">
        <f>"exl-1"</f>
        <v>exl-1</v>
      </c>
      <c r="E4206" t="s">
        <v>3347</v>
      </c>
      <c r="F4206" t="s">
        <v>11</v>
      </c>
      <c r="H4206" s="12">
        <v>-1.3315577631356399</v>
      </c>
      <c r="I4206" s="20">
        <v>-1.4105278743944001</v>
      </c>
      <c r="J4206" s="28">
        <v>0.15838387173472299</v>
      </c>
      <c r="K4206" s="29">
        <v>0.87050850149917203</v>
      </c>
    </row>
    <row r="4207" spans="1:11" x14ac:dyDescent="0.35">
      <c r="A4207" s="9" t="str">
        <f>HYPERLINK("http://www.ensembl.org/id/WBGene00016277", "WBGene00016277")</f>
        <v>WBGene00016277</v>
      </c>
      <c r="B4207" s="9" t="str">
        <f>HYPERLINK("http://www.ncbi.nlm.nih.gov/gene/174196", "174196")</f>
        <v>174196</v>
      </c>
      <c r="C4207" s="9"/>
      <c r="D4207" t="str">
        <f>"C30G12.6"</f>
        <v>C30G12.6</v>
      </c>
      <c r="F4207" t="s">
        <v>11</v>
      </c>
      <c r="H4207" s="12">
        <v>-1.42388543739669</v>
      </c>
      <c r="I4207" s="20">
        <v>-1.40968961107149</v>
      </c>
      <c r="J4207" s="28">
        <v>0.15863135367779899</v>
      </c>
      <c r="K4207" s="29">
        <v>0.87078716331398498</v>
      </c>
    </row>
    <row r="4208" spans="1:11" x14ac:dyDescent="0.35">
      <c r="A4208" s="9" t="str">
        <f>HYPERLINK("http://www.ensembl.org/id/WBGene00016902", "WBGene00016902")</f>
        <v>WBGene00016902</v>
      </c>
      <c r="B4208" s="9" t="str">
        <f>HYPERLINK("http://www.ncbi.nlm.nih.gov/gene/171618", "171618")</f>
        <v>171618</v>
      </c>
      <c r="C4208" s="9"/>
      <c r="D4208" t="str">
        <f>"C53D5.1"</f>
        <v>C53D5.1</v>
      </c>
      <c r="F4208" t="s">
        <v>11</v>
      </c>
      <c r="G4208" t="s">
        <v>25</v>
      </c>
      <c r="H4208" s="12">
        <v>-1.2895861750775801</v>
      </c>
      <c r="I4208" s="20">
        <v>-1.40962878338866</v>
      </c>
      <c r="J4208" s="28">
        <v>0.15864932332587101</v>
      </c>
      <c r="K4208" s="29">
        <v>0.87078716331398498</v>
      </c>
    </row>
    <row r="4209" spans="1:11" x14ac:dyDescent="0.35">
      <c r="A4209" s="9" t="str">
        <f>HYPERLINK("http://www.ensembl.org/id/WBGene00009430", "WBGene00009430")</f>
        <v>WBGene00009430</v>
      </c>
      <c r="B4209" s="9" t="str">
        <f>HYPERLINK("http://www.ncbi.nlm.nih.gov/gene/179866", "179866")</f>
        <v>179866</v>
      </c>
      <c r="C4209" s="9"/>
      <c r="D4209" t="str">
        <f>"F35E12.6"</f>
        <v>F35E12.6</v>
      </c>
      <c r="F4209" t="s">
        <v>11</v>
      </c>
      <c r="G4209" t="s">
        <v>264</v>
      </c>
      <c r="H4209" s="12">
        <v>1.3118897928917399</v>
      </c>
      <c r="I4209" s="20">
        <v>1.4100147744687099</v>
      </c>
      <c r="J4209" s="28">
        <v>0.15853532039130799</v>
      </c>
      <c r="K4209" s="29">
        <v>0.87078716331398498</v>
      </c>
    </row>
    <row r="4210" spans="1:11" x14ac:dyDescent="0.35">
      <c r="A4210" s="9" t="str">
        <f>HYPERLINK("http://www.ensembl.org/id/WBGene00009446", "WBGene00009446")</f>
        <v>WBGene00009446</v>
      </c>
      <c r="B4210" s="9" t="str">
        <f>HYPERLINK("http://www.ncbi.nlm.nih.gov/gene/185324", "185324")</f>
        <v>185324</v>
      </c>
      <c r="C4210" s="9"/>
      <c r="D4210" t="str">
        <f>"F35H8.1"</f>
        <v>F35H8.1</v>
      </c>
      <c r="F4210" t="s">
        <v>11</v>
      </c>
      <c r="H4210" s="12">
        <v>4.0316842891668196</v>
      </c>
      <c r="I4210" s="20">
        <v>1.4099369255210401</v>
      </c>
      <c r="J4210" s="28">
        <v>0.15855830817841499</v>
      </c>
      <c r="K4210" s="29">
        <v>0.87078716331398498</v>
      </c>
    </row>
    <row r="4211" spans="1:11" x14ac:dyDescent="0.35">
      <c r="A4211" s="9" t="str">
        <f>HYPERLINK("http://www.ensembl.org/id/WBGene00020249", "WBGene00020249")</f>
        <v>WBGene00020249</v>
      </c>
      <c r="B4211" s="9" t="str">
        <f>HYPERLINK("http://www.ncbi.nlm.nih.gov/gene/188113", "188113")</f>
        <v>188113</v>
      </c>
      <c r="C4211" s="9"/>
      <c r="D4211" t="str">
        <f>"T05C1.2"</f>
        <v>T05C1.2</v>
      </c>
      <c r="F4211" t="s">
        <v>11</v>
      </c>
      <c r="H4211" s="12">
        <v>1.7443050406170399</v>
      </c>
      <c r="I4211" s="20">
        <v>1.4102120036296699</v>
      </c>
      <c r="J4211" s="28">
        <v>0.158477092465166</v>
      </c>
      <c r="K4211" s="29">
        <v>0.87078716331398498</v>
      </c>
    </row>
    <row r="4212" spans="1:11" x14ac:dyDescent="0.35">
      <c r="A4212" s="9" t="str">
        <f>HYPERLINK("http://www.ensembl.org/id/WBGene00019457", "WBGene00019457")</f>
        <v>WBGene00019457</v>
      </c>
      <c r="B4212" s="9" t="str">
        <f>HYPERLINK("http://www.ncbi.nlm.nih.gov/gene/176141", "176141")</f>
        <v>176141</v>
      </c>
      <c r="C4212" s="9" t="str">
        <f>HYPERLINK("http://www.ncbi.nlm.nih.gov/gene/55139", "55139")</f>
        <v>55139</v>
      </c>
      <c r="D4212" t="str">
        <f>"vms-1"</f>
        <v>vms-1</v>
      </c>
      <c r="F4212" t="s">
        <v>11</v>
      </c>
      <c r="G4212" t="s">
        <v>3348</v>
      </c>
      <c r="H4212" s="12">
        <v>-1.3144716949031101</v>
      </c>
      <c r="I4212" s="20">
        <v>-1.4095903016507501</v>
      </c>
      <c r="J4212" s="28">
        <v>0.15866069235488101</v>
      </c>
      <c r="K4212" s="29">
        <v>0.87078716331398498</v>
      </c>
    </row>
    <row r="4213" spans="1:11" x14ac:dyDescent="0.35">
      <c r="A4213" s="9" t="str">
        <f>HYPERLINK("http://www.ensembl.org/id/WBGene00000785", "WBGene00000785")</f>
        <v>WBGene00000785</v>
      </c>
      <c r="B4213" s="9" t="str">
        <f>HYPERLINK("http://www.ncbi.nlm.nih.gov/gene/178612", "178612")</f>
        <v>178612</v>
      </c>
      <c r="C4213" s="9"/>
      <c r="D4213" t="str">
        <f>"cpr-5"</f>
        <v>cpr-5</v>
      </c>
      <c r="E4213" t="s">
        <v>3349</v>
      </c>
      <c r="F4213" t="s">
        <v>11</v>
      </c>
      <c r="G4213" t="s">
        <v>187</v>
      </c>
      <c r="H4213" s="12">
        <v>1.4625619526814999</v>
      </c>
      <c r="I4213" s="20">
        <v>1.40940691465316</v>
      </c>
      <c r="J4213" s="28">
        <v>0.15871488060765301</v>
      </c>
      <c r="K4213" s="29">
        <v>0.87087770869637304</v>
      </c>
    </row>
    <row r="4214" spans="1:11" x14ac:dyDescent="0.35">
      <c r="A4214" s="9" t="str">
        <f>HYPERLINK("http://www.ensembl.org/id/WBGene00017858", "WBGene00017858")</f>
        <v>WBGene00017858</v>
      </c>
      <c r="B4214" s="9" t="str">
        <f>HYPERLINK("http://www.ncbi.nlm.nih.gov/gene/3565116", "3565116")</f>
        <v>3565116</v>
      </c>
      <c r="C4214" s="9"/>
      <c r="D4214" t="str">
        <f>"F27C1.11"</f>
        <v>F27C1.11</v>
      </c>
      <c r="F4214" t="s">
        <v>11</v>
      </c>
      <c r="G4214" t="s">
        <v>3240</v>
      </c>
      <c r="H4214" s="12">
        <v>1.70607523936169</v>
      </c>
      <c r="I4214" s="20">
        <v>1.4090572096324001</v>
      </c>
      <c r="J4214" s="28">
        <v>0.15881825229948399</v>
      </c>
      <c r="K4214" s="29">
        <v>0.87103122184473503</v>
      </c>
    </row>
    <row r="4215" spans="1:11" x14ac:dyDescent="0.35">
      <c r="A4215" s="9" t="str">
        <f>HYPERLINK("http://www.ensembl.org/id/WBGene00016295", "WBGene00016295")</f>
        <v>WBGene00016295</v>
      </c>
      <c r="B4215" s="9" t="str">
        <f>HYPERLINK("http://www.ncbi.nlm.nih.gov/gene/173477", "173477")</f>
        <v>173477</v>
      </c>
      <c r="C4215" s="9"/>
      <c r="D4215" t="str">
        <f>"fbxc-40"</f>
        <v>fbxc-40</v>
      </c>
      <c r="E4215" t="s">
        <v>311</v>
      </c>
      <c r="F4215" t="s">
        <v>11</v>
      </c>
      <c r="H4215" s="12">
        <v>1.5370010700333701</v>
      </c>
      <c r="I4215" s="20">
        <v>1.4090721499715499</v>
      </c>
      <c r="J4215" s="28">
        <v>0.158813834940989</v>
      </c>
      <c r="K4215" s="29">
        <v>0.87103122184473503</v>
      </c>
    </row>
    <row r="4216" spans="1:11" x14ac:dyDescent="0.35">
      <c r="A4216" s="9" t="str">
        <f>HYPERLINK("http://www.ensembl.org/id/WBGene00020725", "WBGene00020725")</f>
        <v>WBGene00020725</v>
      </c>
      <c r="B4216" s="9" t="str">
        <f>HYPERLINK("http://www.ncbi.nlm.nih.gov/gene/181752", "181752")</f>
        <v>181752</v>
      </c>
      <c r="C4216" s="9"/>
      <c r="D4216" t="str">
        <f>"cnp-3"</f>
        <v>cnp-3</v>
      </c>
      <c r="E4216" t="s">
        <v>3352</v>
      </c>
      <c r="F4216" t="s">
        <v>11</v>
      </c>
      <c r="H4216" s="12">
        <v>-1.3540352986866699</v>
      </c>
      <c r="I4216" s="20">
        <v>-1.4082581728828201</v>
      </c>
      <c r="J4216" s="28">
        <v>0.159054636244121</v>
      </c>
      <c r="K4216" s="29">
        <v>0.87143907113347296</v>
      </c>
    </row>
    <row r="4217" spans="1:11" x14ac:dyDescent="0.35">
      <c r="A4217" s="9" t="str">
        <f>HYPERLINK("http://www.ensembl.org/id/WBGene00020704", "WBGene00020704")</f>
        <v>WBGene00020704</v>
      </c>
      <c r="B4217" s="9" t="str">
        <f>HYPERLINK("http://www.ncbi.nlm.nih.gov/gene/259996", "259996")</f>
        <v>259996</v>
      </c>
      <c r="C4217" s="9"/>
      <c r="D4217" t="str">
        <f>"T22F7.5"</f>
        <v>T22F7.5</v>
      </c>
      <c r="F4217" t="s">
        <v>11</v>
      </c>
      <c r="H4217" s="12">
        <v>2.1288700230106299</v>
      </c>
      <c r="I4217" s="20">
        <v>1.40824446352356</v>
      </c>
      <c r="J4217" s="28">
        <v>0.15905869428987701</v>
      </c>
      <c r="K4217" s="29">
        <v>0.87143907113347296</v>
      </c>
    </row>
    <row r="4218" spans="1:11" x14ac:dyDescent="0.35">
      <c r="A4218" s="9" t="str">
        <f>HYPERLINK("http://www.ensembl.org/id/WBGene00016583", "WBGene00016583")</f>
        <v>WBGene00016583</v>
      </c>
      <c r="B4218" s="9" t="str">
        <f>HYPERLINK("http://www.ncbi.nlm.nih.gov/gene/183400", "183400")</f>
        <v>183400</v>
      </c>
      <c r="C4218" s="9" t="str">
        <f>HYPERLINK("http://www.ncbi.nlm.nih.gov/gene/29925", "29925")</f>
        <v>29925</v>
      </c>
      <c r="D4218" t="str">
        <f>"tag-335"</f>
        <v>tag-335</v>
      </c>
      <c r="E4218" t="s">
        <v>3350</v>
      </c>
      <c r="F4218" t="s">
        <v>11</v>
      </c>
      <c r="G4218" t="s">
        <v>3351</v>
      </c>
      <c r="H4218" s="12">
        <v>-1.34749180155019</v>
      </c>
      <c r="I4218" s="20">
        <v>-1.40816846692866</v>
      </c>
      <c r="J4218" s="28">
        <v>0.159081191120964</v>
      </c>
      <c r="K4218" s="29">
        <v>0.87143907113347296</v>
      </c>
    </row>
    <row r="4219" spans="1:11" x14ac:dyDescent="0.35">
      <c r="A4219" s="9" t="str">
        <f>HYPERLINK("http://www.ensembl.org/id/WBGene00017688", "WBGene00017688")</f>
        <v>WBGene00017688</v>
      </c>
      <c r="B4219" s="9" t="str">
        <f>HYPERLINK("http://www.ncbi.nlm.nih.gov/gene/180925", "180925")</f>
        <v>180925</v>
      </c>
      <c r="C4219" s="9"/>
      <c r="D4219" t="str">
        <f>"ttr-35"</f>
        <v>ttr-35</v>
      </c>
      <c r="E4219" t="s">
        <v>16</v>
      </c>
      <c r="F4219" t="s">
        <v>11</v>
      </c>
      <c r="G4219" t="s">
        <v>17</v>
      </c>
      <c r="H4219" s="12">
        <v>-1.3872703652485201</v>
      </c>
      <c r="I4219" s="20">
        <v>-1.40818359726761</v>
      </c>
      <c r="J4219" s="28">
        <v>0.15907671198255299</v>
      </c>
      <c r="K4219" s="29">
        <v>0.87143907113347296</v>
      </c>
    </row>
    <row r="4220" spans="1:11" x14ac:dyDescent="0.35">
      <c r="A4220" s="9" t="str">
        <f>HYPERLINK("http://www.ensembl.org/id/WBGene00021876", "WBGene00021876")</f>
        <v>WBGene00021876</v>
      </c>
      <c r="B4220" s="9" t="str">
        <f>HYPERLINK("http://www.ncbi.nlm.nih.gov/gene/177058", "177058")</f>
        <v>177058</v>
      </c>
      <c r="C4220" s="9"/>
      <c r="D4220" t="str">
        <f>"Y54G2A.11"</f>
        <v>Y54G2A.11</v>
      </c>
      <c r="F4220" t="s">
        <v>11</v>
      </c>
      <c r="G4220" t="s">
        <v>25</v>
      </c>
      <c r="H4220" s="12">
        <v>1.3175694230708901</v>
      </c>
      <c r="I4220" s="20">
        <v>1.4081793993070799</v>
      </c>
      <c r="J4220" s="28">
        <v>0.15907795472414499</v>
      </c>
      <c r="K4220" s="29">
        <v>0.87143907113347296</v>
      </c>
    </row>
    <row r="4221" spans="1:11" x14ac:dyDescent="0.35">
      <c r="A4221" s="9" t="str">
        <f>HYPERLINK("http://www.ensembl.org/id/WBGene00017044", "WBGene00017044")</f>
        <v>WBGene00017044</v>
      </c>
      <c r="B4221" s="9" t="str">
        <f>HYPERLINK("http://www.ncbi.nlm.nih.gov/gene/183940", "183940")</f>
        <v>183940</v>
      </c>
      <c r="C4221" s="9"/>
      <c r="D4221" t="str">
        <f>"mrpl-18"</f>
        <v>mrpl-18</v>
      </c>
      <c r="E4221" t="s">
        <v>3353</v>
      </c>
      <c r="F4221" t="s">
        <v>11</v>
      </c>
      <c r="G4221" t="s">
        <v>3354</v>
      </c>
      <c r="H4221" s="12">
        <v>-1.3745944248936699</v>
      </c>
      <c r="I4221" s="20">
        <v>-1.4074567990547999</v>
      </c>
      <c r="J4221" s="28">
        <v>0.159291978890679</v>
      </c>
      <c r="K4221" s="29">
        <v>0.87238693155914104</v>
      </c>
    </row>
    <row r="4222" spans="1:11" x14ac:dyDescent="0.35">
      <c r="A4222" s="9" t="str">
        <f>HYPERLINK("http://www.ensembl.org/id/WBGene00020869", "WBGene00020869")</f>
        <v>WBGene00020869</v>
      </c>
      <c r="B4222" s="9" t="str">
        <f>HYPERLINK("http://www.ncbi.nlm.nih.gov/gene/189009", "189009")</f>
        <v>189009</v>
      </c>
      <c r="C4222" s="9"/>
      <c r="D4222" t="str">
        <f>"T28A11.2"</f>
        <v>T28A11.2</v>
      </c>
      <c r="F4222" t="s">
        <v>11</v>
      </c>
      <c r="H4222" s="12">
        <v>1.4544717073710201</v>
      </c>
      <c r="I4222" s="20">
        <v>1.40713657277834</v>
      </c>
      <c r="J4222" s="28">
        <v>0.15938689510332399</v>
      </c>
      <c r="K4222" s="29">
        <v>0.87269990480033299</v>
      </c>
    </row>
    <row r="4223" spans="1:11" x14ac:dyDescent="0.35">
      <c r="A4223" s="9" t="str">
        <f>HYPERLINK("http://www.ensembl.org/id/WBGene00016463", "WBGene00016463")</f>
        <v>WBGene00016463</v>
      </c>
      <c r="B4223" s="9" t="str">
        <f>HYPERLINK("http://www.ncbi.nlm.nih.gov/gene/3565137", "3565137")</f>
        <v>3565137</v>
      </c>
      <c r="C4223" s="9"/>
      <c r="D4223" t="str">
        <f>"C35E7.11"</f>
        <v>C35E7.11</v>
      </c>
      <c r="F4223" t="s">
        <v>11</v>
      </c>
      <c r="H4223" s="12">
        <v>1.51541801612881</v>
      </c>
      <c r="I4223" s="20">
        <v>1.40662537317777</v>
      </c>
      <c r="J4223" s="28">
        <v>0.159538505150256</v>
      </c>
      <c r="K4223" s="29">
        <v>0.87270281723527998</v>
      </c>
    </row>
    <row r="4224" spans="1:11" x14ac:dyDescent="0.35">
      <c r="A4224" s="9" t="str">
        <f>HYPERLINK("http://www.ensembl.org/id/WBGene00010793", "WBGene00010793")</f>
        <v>WBGene00010793</v>
      </c>
      <c r="B4224" s="9" t="str">
        <f>HYPERLINK("http://www.ncbi.nlm.nih.gov/gene/178386", "178386")</f>
        <v>178386</v>
      </c>
      <c r="C4224" s="9"/>
      <c r="D4224" t="str">
        <f>"LLC1.2"</f>
        <v>LLC1.2</v>
      </c>
      <c r="F4224" t="s">
        <v>11</v>
      </c>
      <c r="H4224" s="12">
        <v>-1.2977477384204701</v>
      </c>
      <c r="I4224" s="20">
        <v>-1.4068511855886601</v>
      </c>
      <c r="J4224" s="28">
        <v>0.15947152093688</v>
      </c>
      <c r="K4224" s="29">
        <v>0.87270281723527998</v>
      </c>
    </row>
    <row r="4225" spans="1:11" x14ac:dyDescent="0.35">
      <c r="A4225" s="9" t="str">
        <f>HYPERLINK("http://www.ensembl.org/id/WBGene00020823", "WBGene00020823")</f>
        <v>WBGene00020823</v>
      </c>
      <c r="B4225" s="9" t="str">
        <f>HYPERLINK("http://www.ncbi.nlm.nih.gov/gene/175921", "175921")</f>
        <v>175921</v>
      </c>
      <c r="C4225" s="9"/>
      <c r="D4225" t="str">
        <f>"T26A5.8"</f>
        <v>T26A5.8</v>
      </c>
      <c r="F4225" t="s">
        <v>11</v>
      </c>
      <c r="G4225" t="s">
        <v>3356</v>
      </c>
      <c r="H4225" s="12">
        <v>-1.41370662209589</v>
      </c>
      <c r="I4225" s="20">
        <v>-1.4066760858867799</v>
      </c>
      <c r="J4225" s="28">
        <v>0.15952346005472301</v>
      </c>
      <c r="K4225" s="29">
        <v>0.87270281723527998</v>
      </c>
    </row>
    <row r="4226" spans="1:11" x14ac:dyDescent="0.35">
      <c r="A4226" s="9" t="str">
        <f>HYPERLINK("http://www.ensembl.org/id/WBGene00014152", "WBGene00014152")</f>
        <v>WBGene00014152</v>
      </c>
      <c r="B4226" s="9" t="str">
        <f>HYPERLINK("http://www.ncbi.nlm.nih.gov/gene/191463", "191463")</f>
        <v>191463</v>
      </c>
      <c r="C4226" s="9"/>
      <c r="D4226" t="str">
        <f>"ZK930.2"</f>
        <v>ZK930.2</v>
      </c>
      <c r="F4226" t="s">
        <v>11</v>
      </c>
      <c r="G4226" t="s">
        <v>3355</v>
      </c>
      <c r="H4226" s="12">
        <v>-1.28390002923561</v>
      </c>
      <c r="I4226" s="20">
        <v>-1.4070072465888099</v>
      </c>
      <c r="J4226" s="28">
        <v>0.15942523997453001</v>
      </c>
      <c r="K4226" s="29">
        <v>0.87270281723527998</v>
      </c>
    </row>
    <row r="4227" spans="1:11" x14ac:dyDescent="0.35">
      <c r="A4227" s="9" t="str">
        <f>HYPERLINK("http://www.ensembl.org/id/WBGene00206373", "WBGene00206373")</f>
        <v>WBGene00206373</v>
      </c>
      <c r="B4227" s="9" t="str">
        <f>HYPERLINK("http://www.ncbi.nlm.nih.gov/gene/13184830", "13184830")</f>
        <v>13184830</v>
      </c>
      <c r="C4227" s="9"/>
      <c r="D4227" t="str">
        <f>"C27A2.12"</f>
        <v>C27A2.12</v>
      </c>
      <c r="F4227" t="s">
        <v>11</v>
      </c>
      <c r="G4227" t="s">
        <v>37</v>
      </c>
      <c r="H4227" s="12">
        <v>1.5532084068680201</v>
      </c>
      <c r="I4227" s="20">
        <v>1.4063394683402599</v>
      </c>
      <c r="J4227" s="28">
        <v>0.15962334550153801</v>
      </c>
      <c r="K4227" s="29">
        <v>0.87296024169432895</v>
      </c>
    </row>
    <row r="4228" spans="1:11" x14ac:dyDescent="0.35">
      <c r="A4228" s="9" t="str">
        <f>HYPERLINK("http://www.ensembl.org/id/WBGene00003923", "WBGene00003923")</f>
        <v>WBGene00003923</v>
      </c>
      <c r="B4228" s="9" t="str">
        <f>HYPERLINK("http://www.ncbi.nlm.nih.gov/gene/179493", "179493")</f>
        <v>179493</v>
      </c>
      <c r="C4228" s="9" t="str">
        <f>HYPERLINK("http://www.ncbi.nlm.nih.gov/gene/5683", "5683")</f>
        <v>5683</v>
      </c>
      <c r="D4228" t="str">
        <f>"pas-2"</f>
        <v>pas-2</v>
      </c>
      <c r="E4228" t="s">
        <v>3357</v>
      </c>
      <c r="F4228" t="s">
        <v>11</v>
      </c>
      <c r="G4228" t="s">
        <v>1896</v>
      </c>
      <c r="H4228" s="12">
        <v>-1.2953893140574999</v>
      </c>
      <c r="I4228" s="20">
        <v>-1.4058802147642899</v>
      </c>
      <c r="J4228" s="28">
        <v>0.15975969735782</v>
      </c>
      <c r="K4228" s="29">
        <v>0.87349918768334001</v>
      </c>
    </row>
    <row r="4229" spans="1:11" x14ac:dyDescent="0.35">
      <c r="A4229" s="9" t="str">
        <f>HYPERLINK("http://www.ensembl.org/id/WBGene00009683", "WBGene00009683")</f>
        <v>WBGene00009683</v>
      </c>
      <c r="B4229" s="9" t="str">
        <f>HYPERLINK("http://www.ncbi.nlm.nih.gov/gene/260110", "260110")</f>
        <v>260110</v>
      </c>
      <c r="C4229" s="9"/>
      <c r="D4229" t="str">
        <f>"F44D12.6"</f>
        <v>F44D12.6</v>
      </c>
      <c r="F4229" t="s">
        <v>11</v>
      </c>
      <c r="G4229" t="s">
        <v>25</v>
      </c>
      <c r="H4229" s="12">
        <v>3.5171844103791701</v>
      </c>
      <c r="I4229" s="20">
        <v>1.4056671327207599</v>
      </c>
      <c r="J4229" s="28">
        <v>0.159822991077607</v>
      </c>
      <c r="K4229" s="29">
        <v>0.87357885607232599</v>
      </c>
    </row>
    <row r="4230" spans="1:11" x14ac:dyDescent="0.35">
      <c r="A4230" s="9" t="str">
        <f>HYPERLINK("http://www.ensembl.org/id/WBGene00003074", "WBGene00003074")</f>
        <v>WBGene00003074</v>
      </c>
      <c r="B4230" s="9" t="str">
        <f>HYPERLINK("http://www.ncbi.nlm.nih.gov/gene/172499", "172499")</f>
        <v>172499</v>
      </c>
      <c r="C4230" s="9" t="str">
        <f>HYPERLINK("http://www.ncbi.nlm.nih.gov/gene/23395", "23395")</f>
        <v>23395</v>
      </c>
      <c r="D4230" t="str">
        <f>"lars-2"</f>
        <v>lars-2</v>
      </c>
      <c r="E4230" t="s">
        <v>3358</v>
      </c>
      <c r="F4230" t="s">
        <v>11</v>
      </c>
      <c r="G4230" t="s">
        <v>3359</v>
      </c>
      <c r="H4230" s="12">
        <v>-1.38514266642771</v>
      </c>
      <c r="I4230" s="20">
        <v>-1.40544938342017</v>
      </c>
      <c r="J4230" s="28">
        <v>0.15988769074395701</v>
      </c>
      <c r="K4230" s="29">
        <v>0.87357885607232599</v>
      </c>
    </row>
    <row r="4231" spans="1:11" x14ac:dyDescent="0.35">
      <c r="A4231" s="9" t="str">
        <f>HYPERLINK("http://www.ensembl.org/id/WBGene00019839", "WBGene00019839")</f>
        <v>WBGene00019839</v>
      </c>
      <c r="B4231" s="9" t="str">
        <f>HYPERLINK("http://www.ncbi.nlm.nih.gov/gene/178870", "178870")</f>
        <v>178870</v>
      </c>
      <c r="C4231" s="9"/>
      <c r="D4231" t="str">
        <f>"R02F11.1"</f>
        <v>R02F11.1</v>
      </c>
      <c r="F4231" t="s">
        <v>11</v>
      </c>
      <c r="H4231" s="12">
        <v>4.7183261640149299</v>
      </c>
      <c r="I4231" s="20">
        <v>1.4054748371300301</v>
      </c>
      <c r="J4231" s="28">
        <v>0.159880126682479</v>
      </c>
      <c r="K4231" s="29">
        <v>0.87357885607232599</v>
      </c>
    </row>
    <row r="4232" spans="1:11" x14ac:dyDescent="0.35">
      <c r="A4232" s="9" t="str">
        <f>HYPERLINK("http://www.ensembl.org/id/WBGene00019360", "WBGene00019360")</f>
        <v>WBGene00019360</v>
      </c>
      <c r="B4232" s="9" t="str">
        <f>HYPERLINK("http://www.ncbi.nlm.nih.gov/gene/186950", "186950")</f>
        <v>186950</v>
      </c>
      <c r="C4232" s="9" t="str">
        <f>HYPERLINK("http://www.ncbi.nlm.nih.gov/gene/81831", "81831")</f>
        <v>81831</v>
      </c>
      <c r="D4232" t="str">
        <f>"neto-1"</f>
        <v>neto-1</v>
      </c>
      <c r="E4232" t="s">
        <v>3360</v>
      </c>
      <c r="F4232" t="s">
        <v>11</v>
      </c>
      <c r="G4232" t="s">
        <v>417</v>
      </c>
      <c r="H4232" s="12">
        <v>1.67336388527571</v>
      </c>
      <c r="I4232" s="20">
        <v>1.4052365875017201</v>
      </c>
      <c r="J4232" s="28">
        <v>0.159950937748841</v>
      </c>
      <c r="K4232" s="29">
        <v>0.87371781740537302</v>
      </c>
    </row>
    <row r="4233" spans="1:11" x14ac:dyDescent="0.35">
      <c r="A4233" s="9" t="str">
        <f>HYPERLINK("http://www.ensembl.org/id/WBGene00011872", "WBGene00011872")</f>
        <v>WBGene00011872</v>
      </c>
      <c r="B4233" s="9" t="str">
        <f>HYPERLINK("http://www.ncbi.nlm.nih.gov/gene/176435", "176435")</f>
        <v>176435</v>
      </c>
      <c r="C4233" s="9" t="str">
        <f>HYPERLINK("http://www.ncbi.nlm.nih.gov/gene/2647", "2647")</f>
        <v>2647</v>
      </c>
      <c r="D4233" t="str">
        <f>"blos-1"</f>
        <v>blos-1</v>
      </c>
      <c r="E4233" t="s">
        <v>3361</v>
      </c>
      <c r="F4233" t="s">
        <v>11</v>
      </c>
      <c r="G4233" t="s">
        <v>3362</v>
      </c>
      <c r="H4233" s="12">
        <v>-1.3697282117960099</v>
      </c>
      <c r="I4233" s="20">
        <v>-1.4050063236764501</v>
      </c>
      <c r="J4233" s="28">
        <v>0.16001939785713601</v>
      </c>
      <c r="K4233" s="29">
        <v>0.87388518243606095</v>
      </c>
    </row>
    <row r="4234" spans="1:11" x14ac:dyDescent="0.35">
      <c r="A4234" s="9" t="str">
        <f>HYPERLINK("http://www.ensembl.org/id/WBGene00004892", "WBGene00004892")</f>
        <v>WBGene00004892</v>
      </c>
      <c r="B4234" s="9" t="str">
        <f>HYPERLINK("http://www.ncbi.nlm.nih.gov/gene/178072", "178072")</f>
        <v>178072</v>
      </c>
      <c r="C4234" s="9" t="str">
        <f>HYPERLINK("http://www.ncbi.nlm.nih.gov/gene/259230", "259230")</f>
        <v>259230</v>
      </c>
      <c r="D4234" t="str">
        <f>"sms-1"</f>
        <v>sms-1</v>
      </c>
      <c r="E4234" t="s">
        <v>3363</v>
      </c>
      <c r="F4234" t="s">
        <v>11</v>
      </c>
      <c r="G4234" t="s">
        <v>3364</v>
      </c>
      <c r="H4234" s="12">
        <v>-1.30206853110474</v>
      </c>
      <c r="I4234" s="20">
        <v>-1.4048143512461699</v>
      </c>
      <c r="J4234" s="28">
        <v>0.16007649042168401</v>
      </c>
      <c r="K4234" s="29">
        <v>0.87399040351687696</v>
      </c>
    </row>
    <row r="4235" spans="1:11" x14ac:dyDescent="0.35">
      <c r="A4235" s="9" t="str">
        <f>HYPERLINK("http://www.ensembl.org/id/WBGene00016402", "WBGene00016402")</f>
        <v>WBGene00016402</v>
      </c>
      <c r="B4235" s="9" t="str">
        <f>HYPERLINK("http://www.ncbi.nlm.nih.gov/gene/183208", "183208")</f>
        <v>183208</v>
      </c>
      <c r="C4235" s="9"/>
      <c r="D4235" t="str">
        <f>"C34D4.10"</f>
        <v>C34D4.10</v>
      </c>
      <c r="F4235" t="s">
        <v>11</v>
      </c>
      <c r="H4235" s="12">
        <v>-2.4148231684738701</v>
      </c>
      <c r="I4235" s="20">
        <v>-1.4040341925862101</v>
      </c>
      <c r="J4235" s="28">
        <v>0.160308667932854</v>
      </c>
      <c r="K4235" s="29">
        <v>0.87467349987250198</v>
      </c>
    </row>
    <row r="4236" spans="1:11" x14ac:dyDescent="0.35">
      <c r="A4236" s="9" t="str">
        <f>HYPERLINK("http://www.ensembl.org/id/WBGene00000877", "WBGene00000877")</f>
        <v>WBGene00000877</v>
      </c>
      <c r="B4236" s="9" t="str">
        <f>HYPERLINK("http://www.ncbi.nlm.nih.gov/gene/179936", "179936")</f>
        <v>179936</v>
      </c>
      <c r="C4236" s="9" t="str">
        <f>HYPERLINK("http://www.ncbi.nlm.nih.gov/gene/5478", "5478")</f>
        <v>5478</v>
      </c>
      <c r="D4236" t="str">
        <f>"cyn-1"</f>
        <v>cyn-1</v>
      </c>
      <c r="E4236" t="s">
        <v>3367</v>
      </c>
      <c r="F4236" t="s">
        <v>11</v>
      </c>
      <c r="G4236" t="s">
        <v>772</v>
      </c>
      <c r="H4236" s="12">
        <v>-1.32065485148707</v>
      </c>
      <c r="I4236" s="20">
        <v>-1.40401236345101</v>
      </c>
      <c r="J4236" s="28">
        <v>0.16031516800657999</v>
      </c>
      <c r="K4236" s="29">
        <v>0.87467349987250198</v>
      </c>
    </row>
    <row r="4237" spans="1:11" x14ac:dyDescent="0.35">
      <c r="A4237" s="9" t="str">
        <f>HYPERLINK("http://www.ensembl.org/id/WBGene00001204", "WBGene00001204")</f>
        <v>WBGene00001204</v>
      </c>
      <c r="B4237" s="9" t="str">
        <f>HYPERLINK("http://www.ncbi.nlm.nih.gov/gene/177876", "177876")</f>
        <v>177876</v>
      </c>
      <c r="C4237" s="9"/>
      <c r="D4237" t="str">
        <f>"egl-38"</f>
        <v>egl-38</v>
      </c>
      <c r="E4237" t="s">
        <v>3365</v>
      </c>
      <c r="F4237" t="s">
        <v>11</v>
      </c>
      <c r="G4237" t="s">
        <v>3366</v>
      </c>
      <c r="H4237" s="12">
        <v>1.4593652941511699</v>
      </c>
      <c r="I4237" s="20">
        <v>1.40413726409038</v>
      </c>
      <c r="J4237" s="28">
        <v>0.16027797896477</v>
      </c>
      <c r="K4237" s="29">
        <v>0.87467349987250198</v>
      </c>
    </row>
    <row r="4238" spans="1:11" x14ac:dyDescent="0.35">
      <c r="A4238" s="9" t="str">
        <f>HYPERLINK("http://www.ensembl.org/id/WBGene00007096", "WBGene00007096")</f>
        <v>WBGene00007096</v>
      </c>
      <c r="B4238" s="9" t="str">
        <f>HYPERLINK("http://www.ncbi.nlm.nih.gov/gene/181815", "181815")</f>
        <v>181815</v>
      </c>
      <c r="C4238" s="9"/>
      <c r="D4238" t="str">
        <f>"B0024.3"</f>
        <v>B0024.3</v>
      </c>
      <c r="E4238" t="s">
        <v>3368</v>
      </c>
      <c r="F4238" t="s">
        <v>11</v>
      </c>
      <c r="G4238" t="s">
        <v>3369</v>
      </c>
      <c r="H4238" s="12">
        <v>1.3588081532944001</v>
      </c>
      <c r="I4238" s="20">
        <v>1.4036471721447199</v>
      </c>
      <c r="J4238" s="28">
        <v>0.16042394077222899</v>
      </c>
      <c r="K4238" s="29">
        <v>0.87506033415559803</v>
      </c>
    </row>
    <row r="4239" spans="1:11" x14ac:dyDescent="0.35">
      <c r="A4239" s="9" t="str">
        <f>HYPERLINK("http://www.ensembl.org/id/WBGene00019629", "WBGene00019629")</f>
        <v>WBGene00019629</v>
      </c>
      <c r="B4239" s="9" t="str">
        <f>HYPERLINK("http://www.ncbi.nlm.nih.gov/gene/175707", "175707")</f>
        <v>175707</v>
      </c>
      <c r="C4239" s="9"/>
      <c r="D4239" t="str">
        <f>"cid-1"</f>
        <v>cid-1</v>
      </c>
      <c r="E4239" t="s">
        <v>3372</v>
      </c>
      <c r="F4239" t="s">
        <v>11</v>
      </c>
      <c r="G4239" t="s">
        <v>3373</v>
      </c>
      <c r="H4239" s="12">
        <v>-1.3348832410742599</v>
      </c>
      <c r="I4239" s="20">
        <v>-1.4032355979411499</v>
      </c>
      <c r="J4239" s="28">
        <v>0.160546595598762</v>
      </c>
      <c r="K4239" s="29">
        <v>0.87510777637320702</v>
      </c>
    </row>
    <row r="4240" spans="1:11" x14ac:dyDescent="0.35">
      <c r="A4240" s="9" t="str">
        <f>HYPERLINK("http://www.ensembl.org/id/WBGene00077543", "WBGene00077543")</f>
        <v>WBGene00077543</v>
      </c>
      <c r="B4240" s="9" t="str">
        <f>HYPERLINK("http://www.ncbi.nlm.nih.gov/gene/6418587", "6418587")</f>
        <v>6418587</v>
      </c>
      <c r="C4240" s="9"/>
      <c r="D4240" t="str">
        <f>"F27D4.8"</f>
        <v>F27D4.8</v>
      </c>
      <c r="F4240" t="s">
        <v>11</v>
      </c>
      <c r="G4240" t="s">
        <v>25</v>
      </c>
      <c r="H4240" s="12">
        <v>-1.7226776245805999</v>
      </c>
      <c r="I4240" s="20">
        <v>-1.4034478407458699</v>
      </c>
      <c r="J4240" s="28">
        <v>0.16048333544913801</v>
      </c>
      <c r="K4240" s="29">
        <v>0.87510777637320702</v>
      </c>
    </row>
    <row r="4241" spans="1:11" x14ac:dyDescent="0.35">
      <c r="A4241" s="9" t="str">
        <f>HYPERLINK("http://www.ensembl.org/id/WBGene00020314", "WBGene00020314")</f>
        <v>WBGene00020314</v>
      </c>
      <c r="B4241" s="9" t="str">
        <f>HYPERLINK("http://www.ncbi.nlm.nih.gov/gene/188233", "188233")</f>
        <v>188233</v>
      </c>
      <c r="C4241" s="9"/>
      <c r="D4241" t="str">
        <f>"T07E3.3"</f>
        <v>T07E3.3</v>
      </c>
      <c r="F4241" t="s">
        <v>11</v>
      </c>
      <c r="G4241" t="s">
        <v>3374</v>
      </c>
      <c r="H4241" s="12">
        <v>-1.33809185210776</v>
      </c>
      <c r="I4241" s="20">
        <v>-1.40321518290296</v>
      </c>
      <c r="J4241" s="28">
        <v>0.160552681407928</v>
      </c>
      <c r="K4241" s="29">
        <v>0.87510777637320702</v>
      </c>
    </row>
    <row r="4242" spans="1:11" x14ac:dyDescent="0.35">
      <c r="A4242" s="9" t="str">
        <f>HYPERLINK("http://www.ensembl.org/id/WBGene00006717", "WBGene00006717")</f>
        <v>WBGene00006717</v>
      </c>
      <c r="B4242" s="9" t="str">
        <f>HYPERLINK("http://www.ncbi.nlm.nih.gov/gene/182322", "182322")</f>
        <v>182322</v>
      </c>
      <c r="C4242" s="9"/>
      <c r="D4242" t="str">
        <f>"ubc-22"</f>
        <v>ubc-22</v>
      </c>
      <c r="E4242" t="s">
        <v>3370</v>
      </c>
      <c r="F4242" t="s">
        <v>11</v>
      </c>
      <c r="G4242" t="s">
        <v>3371</v>
      </c>
      <c r="H4242" s="12">
        <v>1.67808481879017</v>
      </c>
      <c r="I4242" s="20">
        <v>1.40310968763413</v>
      </c>
      <c r="J4242" s="28">
        <v>0.16058413277167799</v>
      </c>
      <c r="K4242" s="29">
        <v>0.87510777637320702</v>
      </c>
    </row>
    <row r="4243" spans="1:11" x14ac:dyDescent="0.35">
      <c r="A4243" s="9" t="str">
        <f>HYPERLINK("http://www.ensembl.org/id/WBGene00017547", "WBGene00017547")</f>
        <v>WBGene00017547</v>
      </c>
      <c r="B4243" s="9" t="str">
        <f>HYPERLINK("http://www.ncbi.nlm.nih.gov/gene/174236", "174236")</f>
        <v>174236</v>
      </c>
      <c r="C4243" s="9"/>
      <c r="D4243" t="str">
        <f>"alfa-1"</f>
        <v>alfa-1</v>
      </c>
      <c r="E4243" t="s">
        <v>3375</v>
      </c>
      <c r="F4243" t="s">
        <v>11</v>
      </c>
      <c r="G4243" t="s">
        <v>3376</v>
      </c>
      <c r="H4243" s="12">
        <v>-1.3077946370710201</v>
      </c>
      <c r="I4243" s="20">
        <v>-1.4028898880365299</v>
      </c>
      <c r="J4243" s="28">
        <v>0.160649676705172</v>
      </c>
      <c r="K4243" s="29">
        <v>0.87525853099497597</v>
      </c>
    </row>
    <row r="4244" spans="1:11" x14ac:dyDescent="0.35">
      <c r="A4244" s="9" t="str">
        <f>HYPERLINK("http://www.ensembl.org/id/WBGene00007937", "WBGene00007937")</f>
        <v>WBGene00007937</v>
      </c>
      <c r="B4244" s="9" t="str">
        <f>HYPERLINK("http://www.ncbi.nlm.nih.gov/gene/3565303", "3565303")</f>
        <v>3565303</v>
      </c>
      <c r="C4244" s="9"/>
      <c r="D4244" t="str">
        <f>"C34E11.4"</f>
        <v>C34E11.4</v>
      </c>
      <c r="F4244" t="s">
        <v>11</v>
      </c>
      <c r="H4244" s="12">
        <v>-1.8066372656863701</v>
      </c>
      <c r="I4244" s="20">
        <v>-1.40241970738115</v>
      </c>
      <c r="J4244" s="28">
        <v>0.16078995179324601</v>
      </c>
      <c r="K4244" s="29">
        <v>0.87528869550941801</v>
      </c>
    </row>
    <row r="4245" spans="1:11" x14ac:dyDescent="0.35">
      <c r="A4245" s="9" t="str">
        <f>HYPERLINK("http://www.ensembl.org/id/WBGene00008413", "WBGene00008413")</f>
        <v>WBGene00008413</v>
      </c>
      <c r="B4245" s="9" t="str">
        <f>HYPERLINK("http://www.ncbi.nlm.nih.gov/gene/172512", "172512")</f>
        <v>172512</v>
      </c>
      <c r="C4245" s="9"/>
      <c r="D4245" t="str">
        <f>"D2030.3"</f>
        <v>D2030.3</v>
      </c>
      <c r="F4245" t="s">
        <v>11</v>
      </c>
      <c r="G4245" t="s">
        <v>228</v>
      </c>
      <c r="H4245" s="12">
        <v>-1.36137609595625</v>
      </c>
      <c r="I4245" s="20">
        <v>-1.40252693800679</v>
      </c>
      <c r="J4245" s="28">
        <v>0.16075795214750499</v>
      </c>
      <c r="K4245" s="29">
        <v>0.87528869550941801</v>
      </c>
    </row>
    <row r="4246" spans="1:11" x14ac:dyDescent="0.35">
      <c r="A4246" s="9" t="str">
        <f>HYPERLINK("http://www.ensembl.org/id/WBGene00007191", "WBGene00007191")</f>
        <v>WBGene00007191</v>
      </c>
      <c r="B4246" s="9" t="str">
        <f>HYPERLINK("http://www.ncbi.nlm.nih.gov/gene/174733", "174733")</f>
        <v>174733</v>
      </c>
      <c r="C4246" s="9"/>
      <c r="D4246" t="str">
        <f>"lgc-20"</f>
        <v>lgc-20</v>
      </c>
      <c r="E4246" t="s">
        <v>505</v>
      </c>
      <c r="F4246" t="s">
        <v>11</v>
      </c>
      <c r="G4246" t="s">
        <v>3377</v>
      </c>
      <c r="H4246" s="12">
        <v>1.8531241935212399</v>
      </c>
      <c r="I4246" s="20">
        <v>1.4026071490229499</v>
      </c>
      <c r="J4246" s="28">
        <v>0.16073401881013799</v>
      </c>
      <c r="K4246" s="29">
        <v>0.87528869550941801</v>
      </c>
    </row>
    <row r="4247" spans="1:11" x14ac:dyDescent="0.35">
      <c r="A4247" s="9" t="str">
        <f>HYPERLINK("http://www.ensembl.org/id/WBGene00003562", "WBGene00003562")</f>
        <v>WBGene00003562</v>
      </c>
      <c r="B4247" s="9" t="str">
        <f>HYPERLINK("http://www.ncbi.nlm.nih.gov/gene/176165", "176165")</f>
        <v>176165</v>
      </c>
      <c r="C4247" s="9"/>
      <c r="D4247" t="str">
        <f>"ncr-2"</f>
        <v>ncr-2</v>
      </c>
      <c r="E4247" t="s">
        <v>3378</v>
      </c>
      <c r="F4247" t="s">
        <v>11</v>
      </c>
      <c r="G4247" t="s">
        <v>1268</v>
      </c>
      <c r="H4247" s="12">
        <v>-1.43338181894841</v>
      </c>
      <c r="I4247" s="20">
        <v>-1.4023634598377199</v>
      </c>
      <c r="J4247" s="28">
        <v>0.160806739047757</v>
      </c>
      <c r="K4247" s="29">
        <v>0.87528869550941801</v>
      </c>
    </row>
    <row r="4248" spans="1:11" x14ac:dyDescent="0.35">
      <c r="A4248" s="9" t="str">
        <f>HYPERLINK("http://www.ensembl.org/id/WBGene00019011", "WBGene00019011")</f>
        <v>WBGene00019011</v>
      </c>
      <c r="B4248" s="9" t="str">
        <f>HYPERLINK("http://www.ncbi.nlm.nih.gov/gene/172100", "172100")</f>
        <v>172100</v>
      </c>
      <c r="C4248" s="9"/>
      <c r="D4248" t="str">
        <f>"F57C9.4"</f>
        <v>F57C9.4</v>
      </c>
      <c r="F4248" t="s">
        <v>11</v>
      </c>
      <c r="G4248" t="s">
        <v>54</v>
      </c>
      <c r="H4248" s="12">
        <v>-1.3275154086636201</v>
      </c>
      <c r="I4248" s="20">
        <v>-1.40222962006526</v>
      </c>
      <c r="J4248" s="28">
        <v>0.16084668926905801</v>
      </c>
      <c r="K4248" s="29">
        <v>0.87529995342695599</v>
      </c>
    </row>
    <row r="4249" spans="1:11" x14ac:dyDescent="0.35">
      <c r="A4249" s="9" t="str">
        <f>HYPERLINK("http://www.ensembl.org/id/WBGene00001438", "WBGene00001438")</f>
        <v>WBGene00001438</v>
      </c>
      <c r="B4249" s="9" t="str">
        <f>HYPERLINK("http://www.ncbi.nlm.nih.gov/gene/181907", "181907")</f>
        <v>181907</v>
      </c>
      <c r="C4249" s="9"/>
      <c r="D4249" t="str">
        <f>"fkh-6"</f>
        <v>fkh-6</v>
      </c>
      <c r="E4249" t="s">
        <v>2856</v>
      </c>
      <c r="F4249" t="s">
        <v>11</v>
      </c>
      <c r="G4249" t="s">
        <v>3379</v>
      </c>
      <c r="H4249" s="12">
        <v>-1.3123212021439801</v>
      </c>
      <c r="I4249" s="20">
        <v>-1.4020549026174201</v>
      </c>
      <c r="J4249" s="28">
        <v>0.160898852469472</v>
      </c>
      <c r="K4249" s="29">
        <v>0.875377651320844</v>
      </c>
    </row>
    <row r="4250" spans="1:11" x14ac:dyDescent="0.35">
      <c r="A4250" s="9" t="str">
        <f>HYPERLINK("http://www.ensembl.org/id/WBGene00018925", "WBGene00018925")</f>
        <v>WBGene00018925</v>
      </c>
      <c r="B4250" s="9" t="str">
        <f>HYPERLINK("http://www.ncbi.nlm.nih.gov/gene/176883", "176883")</f>
        <v>176883</v>
      </c>
      <c r="C4250" s="9" t="str">
        <f>HYPERLINK("http://www.ncbi.nlm.nih.gov/gene/64757", "64757")</f>
        <v>64757</v>
      </c>
      <c r="D4250" t="str">
        <f>"F56A11.5"</f>
        <v>F56A11.5</v>
      </c>
      <c r="F4250" t="s">
        <v>11</v>
      </c>
      <c r="G4250" t="s">
        <v>3380</v>
      </c>
      <c r="H4250" s="12">
        <v>-1.3126603751263199</v>
      </c>
      <c r="I4250" s="20">
        <v>-1.4017047423004101</v>
      </c>
      <c r="J4250" s="28">
        <v>0.161003433923504</v>
      </c>
      <c r="K4250" s="29">
        <v>0.87542353138223294</v>
      </c>
    </row>
    <row r="4251" spans="1:11" x14ac:dyDescent="0.35">
      <c r="A4251" s="9" t="str">
        <f>HYPERLINK("http://www.ensembl.org/id/WBGene00011765", "WBGene00011765")</f>
        <v>WBGene00011765</v>
      </c>
      <c r="B4251" s="9" t="str">
        <f>HYPERLINK("http://www.ncbi.nlm.nih.gov/gene/181541", "181541")</f>
        <v>181541</v>
      </c>
      <c r="C4251" s="9"/>
      <c r="D4251" t="str">
        <f>"frpr-17"</f>
        <v>frpr-17</v>
      </c>
      <c r="E4251" t="s">
        <v>2289</v>
      </c>
      <c r="F4251" t="s">
        <v>11</v>
      </c>
      <c r="G4251" t="s">
        <v>1089</v>
      </c>
      <c r="H4251" s="12">
        <v>1.4698432982068199</v>
      </c>
      <c r="I4251" s="20">
        <v>1.40164612068629</v>
      </c>
      <c r="J4251" s="28">
        <v>0.161020947302627</v>
      </c>
      <c r="K4251" s="29">
        <v>0.87542353138223294</v>
      </c>
    </row>
    <row r="4252" spans="1:11" x14ac:dyDescent="0.35">
      <c r="A4252" s="9" t="str">
        <f>HYPERLINK("http://www.ensembl.org/id/WBGene00017931", "WBGene00017931")</f>
        <v>WBGene00017931</v>
      </c>
      <c r="B4252" s="9" t="str">
        <f>HYPERLINK("http://www.ncbi.nlm.nih.gov/gene/3564810", "3564810")</f>
        <v>3564810</v>
      </c>
      <c r="C4252" s="9"/>
      <c r="D4252" t="str">
        <f>"picc-1"</f>
        <v>picc-1</v>
      </c>
      <c r="E4252" t="s">
        <v>3381</v>
      </c>
      <c r="F4252" t="s">
        <v>11</v>
      </c>
      <c r="H4252" s="12">
        <v>-1.35074031494488</v>
      </c>
      <c r="I4252" s="20">
        <v>-1.40185849574774</v>
      </c>
      <c r="J4252" s="28">
        <v>0.16095750646683599</v>
      </c>
      <c r="K4252" s="29">
        <v>0.87542353138223294</v>
      </c>
    </row>
    <row r="4253" spans="1:11" x14ac:dyDescent="0.35">
      <c r="A4253" s="9" t="str">
        <f>HYPERLINK("http://www.ensembl.org/id/WBGene00001550", "WBGene00001550")</f>
        <v>WBGene00001550</v>
      </c>
      <c r="B4253" s="9" t="str">
        <f>HYPERLINK("http://www.ncbi.nlm.nih.gov/gene/191654", "191654")</f>
        <v>191654</v>
      </c>
      <c r="C4253" s="9"/>
      <c r="D4253" t="str">
        <f>"gcy-27"</f>
        <v>gcy-27</v>
      </c>
      <c r="E4253" t="s">
        <v>3382</v>
      </c>
      <c r="F4253" t="s">
        <v>11</v>
      </c>
      <c r="G4253" t="s">
        <v>3383</v>
      </c>
      <c r="H4253" s="12">
        <v>5.6622409975264496</v>
      </c>
      <c r="I4253" s="20">
        <v>1.4008654824776801</v>
      </c>
      <c r="J4253" s="28">
        <v>0.16125430245738001</v>
      </c>
      <c r="K4253" s="29">
        <v>0.87586786849558496</v>
      </c>
    </row>
    <row r="4254" spans="1:11" x14ac:dyDescent="0.35">
      <c r="A4254" s="9" t="str">
        <f>HYPERLINK("http://www.ensembl.org/id/WBGene00001653", "WBGene00001653")</f>
        <v>WBGene00001653</v>
      </c>
      <c r="B4254" s="9" t="str">
        <f>HYPERLINK("http://www.ncbi.nlm.nih.gov/gene/177899", "177899")</f>
        <v>177899</v>
      </c>
      <c r="C4254" s="9"/>
      <c r="D4254" t="str">
        <f>"gon-4"</f>
        <v>gon-4</v>
      </c>
      <c r="F4254" t="s">
        <v>11</v>
      </c>
      <c r="G4254" t="s">
        <v>3384</v>
      </c>
      <c r="H4254" s="12">
        <v>-1.3567541731888799</v>
      </c>
      <c r="I4254" s="20">
        <v>-1.4009593680037999</v>
      </c>
      <c r="J4254" s="28">
        <v>0.16122622387567101</v>
      </c>
      <c r="K4254" s="29">
        <v>0.87586786849558496</v>
      </c>
    </row>
    <row r="4255" spans="1:11" x14ac:dyDescent="0.35">
      <c r="A4255" s="9" t="str">
        <f>HYPERLINK("http://www.ensembl.org/id/WBGene00002111", "WBGene00002111")</f>
        <v>WBGene00002111</v>
      </c>
      <c r="B4255" s="9" t="str">
        <f>HYPERLINK("http://www.ncbi.nlm.nih.gov/gene/3565006", "3565006")</f>
        <v>3565006</v>
      </c>
      <c r="C4255" s="9"/>
      <c r="D4255" t="str">
        <f>"ins-28"</f>
        <v>ins-28</v>
      </c>
      <c r="E4255" t="s">
        <v>12</v>
      </c>
      <c r="F4255" t="s">
        <v>11</v>
      </c>
      <c r="G4255" t="s">
        <v>13</v>
      </c>
      <c r="H4255" s="12">
        <v>1.474419622803</v>
      </c>
      <c r="I4255" s="20">
        <v>1.4009711678129</v>
      </c>
      <c r="J4255" s="28">
        <v>0.16122269513816301</v>
      </c>
      <c r="K4255" s="29">
        <v>0.87586786849558496</v>
      </c>
    </row>
    <row r="4256" spans="1:11" x14ac:dyDescent="0.35">
      <c r="A4256" s="9" t="str">
        <f>HYPERLINK("http://www.ensembl.org/id/WBGene00022328", "WBGene00022328")</f>
        <v>WBGene00022328</v>
      </c>
      <c r="B4256" s="9" t="str">
        <f>HYPERLINK("http://www.ncbi.nlm.nih.gov/gene/190759", "190759")</f>
        <v>190759</v>
      </c>
      <c r="C4256" s="9"/>
      <c r="D4256" t="str">
        <f>"Y82E9BL.12"</f>
        <v>Y82E9BL.12</v>
      </c>
      <c r="F4256" t="s">
        <v>11</v>
      </c>
      <c r="H4256" s="12">
        <v>-4.4004958743502502</v>
      </c>
      <c r="I4256" s="20">
        <v>-1.4009439090309099</v>
      </c>
      <c r="J4256" s="28">
        <v>0.161230846975803</v>
      </c>
      <c r="K4256" s="29">
        <v>0.87586786849558496</v>
      </c>
    </row>
    <row r="4257" spans="1:11" x14ac:dyDescent="0.35">
      <c r="A4257" s="9" t="str">
        <f>HYPERLINK("http://www.ensembl.org/id/WBGene00008877", "WBGene00008877")</f>
        <v>WBGene00008877</v>
      </c>
      <c r="B4257" s="9" t="str">
        <f>HYPERLINK("http://www.ncbi.nlm.nih.gov/gene/184556", "184556")</f>
        <v>184556</v>
      </c>
      <c r="C4257" s="9" t="str">
        <f>HYPERLINK("http://www.ncbi.nlm.nih.gov/gene/51493", "51493")</f>
        <v>51493</v>
      </c>
      <c r="D4257" t="str">
        <f>"rtcb-1"</f>
        <v>rtcb-1</v>
      </c>
      <c r="E4257" t="s">
        <v>3385</v>
      </c>
      <c r="F4257" t="s">
        <v>11</v>
      </c>
      <c r="G4257" t="s">
        <v>3386</v>
      </c>
      <c r="H4257" s="12">
        <v>-1.36566127357173</v>
      </c>
      <c r="I4257" s="20">
        <v>-1.39984806626161</v>
      </c>
      <c r="J4257" s="28">
        <v>0.161558820613701</v>
      </c>
      <c r="K4257" s="29">
        <v>0.87731565431261305</v>
      </c>
    </row>
    <row r="4258" spans="1:11" x14ac:dyDescent="0.35">
      <c r="A4258" s="9" t="str">
        <f>HYPERLINK("http://www.ensembl.org/id/WBGene00007376", "WBGene00007376")</f>
        <v>WBGene00007376</v>
      </c>
      <c r="B4258" s="9"/>
      <c r="C4258" s="9"/>
      <c r="D4258" t="str">
        <f>"C06C3.5"</f>
        <v>C06C3.5</v>
      </c>
      <c r="F4258" t="s">
        <v>80</v>
      </c>
      <c r="H4258" s="12">
        <v>-8.3411337989756795</v>
      </c>
      <c r="I4258" s="20">
        <v>-1.3995121790801599</v>
      </c>
      <c r="J4258" s="28">
        <v>0.16165944873587301</v>
      </c>
      <c r="K4258" s="29">
        <v>0.87744966466786201</v>
      </c>
    </row>
    <row r="4259" spans="1:11" x14ac:dyDescent="0.35">
      <c r="A4259" s="9" t="str">
        <f>HYPERLINK("http://www.ensembl.org/id/WBGene00016006", "WBGene00016006")</f>
        <v>WBGene00016006</v>
      </c>
      <c r="B4259" s="9" t="str">
        <f>HYPERLINK("http://www.ncbi.nlm.nih.gov/gene/181168", "181168")</f>
        <v>181168</v>
      </c>
      <c r="C4259" s="9"/>
      <c r="D4259" t="str">
        <f>"fln-2"</f>
        <v>fln-2</v>
      </c>
      <c r="E4259" t="s">
        <v>3387</v>
      </c>
      <c r="F4259" t="s">
        <v>11</v>
      </c>
      <c r="G4259" t="s">
        <v>54</v>
      </c>
      <c r="H4259" s="12">
        <v>1.2863026119971099</v>
      </c>
      <c r="I4259" s="20">
        <v>1.3996242346215999</v>
      </c>
      <c r="J4259" s="28">
        <v>0.16162587286369101</v>
      </c>
      <c r="K4259" s="29">
        <v>0.87744966466786201</v>
      </c>
    </row>
    <row r="4260" spans="1:11" x14ac:dyDescent="0.35">
      <c r="A4260" s="9" t="str">
        <f>HYPERLINK("http://www.ensembl.org/id/WBGene00010391", "WBGene00010391")</f>
        <v>WBGene00010391</v>
      </c>
      <c r="B4260" s="9" t="str">
        <f>HYPERLINK("http://www.ncbi.nlm.nih.gov/gene/186738", "186738")</f>
        <v>186738</v>
      </c>
      <c r="C4260" s="9"/>
      <c r="D4260" t="str">
        <f>"oac-37"</f>
        <v>oac-37</v>
      </c>
      <c r="E4260" t="s">
        <v>883</v>
      </c>
      <c r="F4260" t="s">
        <v>11</v>
      </c>
      <c r="G4260" t="s">
        <v>1992</v>
      </c>
      <c r="H4260" s="12">
        <v>4.5154546296119902</v>
      </c>
      <c r="I4260" s="20">
        <v>1.3993224162809601</v>
      </c>
      <c r="J4260" s="28">
        <v>0.161716320508419</v>
      </c>
      <c r="K4260" s="29">
        <v>0.87754636045026402</v>
      </c>
    </row>
    <row r="4261" spans="1:11" x14ac:dyDescent="0.35">
      <c r="A4261" s="9" t="str">
        <f>HYPERLINK("http://www.ensembl.org/id/WBGene00020588", "WBGene00020588")</f>
        <v>WBGene00020588</v>
      </c>
      <c r="B4261" s="9" t="str">
        <f>HYPERLINK("http://www.ncbi.nlm.nih.gov/gene/178881", "178881")</f>
        <v>178881</v>
      </c>
      <c r="C4261" s="9"/>
      <c r="D4261" t="str">
        <f>"T19H12.2"</f>
        <v>T19H12.2</v>
      </c>
      <c r="E4261" t="s">
        <v>3388</v>
      </c>
      <c r="F4261" t="s">
        <v>11</v>
      </c>
      <c r="G4261" t="s">
        <v>3389</v>
      </c>
      <c r="H4261" s="12">
        <v>-1.3852610133554499</v>
      </c>
      <c r="I4261" s="20">
        <v>-1.39919931459661</v>
      </c>
      <c r="J4261" s="28">
        <v>0.161753222070357</v>
      </c>
      <c r="K4261" s="29">
        <v>0.87754636045026402</v>
      </c>
    </row>
    <row r="4262" spans="1:11" x14ac:dyDescent="0.35">
      <c r="A4262" s="9" t="str">
        <f>HYPERLINK("http://www.ensembl.org/id/WBGene00019873", "WBGene00019873")</f>
        <v>WBGene00019873</v>
      </c>
      <c r="B4262" s="9" t="str">
        <f>HYPERLINK("http://www.ncbi.nlm.nih.gov/gene/187599", "187599")</f>
        <v>187599</v>
      </c>
      <c r="C4262" s="9"/>
      <c r="D4262" t="str">
        <f>"arrd-26"</f>
        <v>arrd-26</v>
      </c>
      <c r="E4262" t="s">
        <v>377</v>
      </c>
      <c r="F4262" t="s">
        <v>11</v>
      </c>
      <c r="G4262" t="s">
        <v>378</v>
      </c>
      <c r="H4262" s="12">
        <v>1.60569285923875</v>
      </c>
      <c r="I4262" s="20">
        <v>1.3988247587335201</v>
      </c>
      <c r="J4262" s="28">
        <v>0.16186553986130001</v>
      </c>
      <c r="K4262" s="29">
        <v>0.877773907429099</v>
      </c>
    </row>
    <row r="4263" spans="1:11" x14ac:dyDescent="0.35">
      <c r="A4263" s="9" t="str">
        <f>HYPERLINK("http://www.ensembl.org/id/WBGene00006191", "WBGene00006191")</f>
        <v>WBGene00006191</v>
      </c>
      <c r="B4263" s="9" t="str">
        <f>HYPERLINK("http://www.ncbi.nlm.nih.gov/gene/192014", "192014")</f>
        <v>192014</v>
      </c>
      <c r="C4263" s="9"/>
      <c r="D4263" t="str">
        <f>"str-144"</f>
        <v>str-144</v>
      </c>
      <c r="E4263" t="s">
        <v>590</v>
      </c>
      <c r="F4263" t="s">
        <v>11</v>
      </c>
      <c r="G4263" t="s">
        <v>591</v>
      </c>
      <c r="H4263" s="12">
        <v>8.6598259651002607</v>
      </c>
      <c r="I4263" s="20">
        <v>1.3988060801301001</v>
      </c>
      <c r="J4263" s="28">
        <v>0.161871142541132</v>
      </c>
      <c r="K4263" s="29">
        <v>0.877773907429099</v>
      </c>
    </row>
    <row r="4264" spans="1:11" x14ac:dyDescent="0.35">
      <c r="A4264" s="9" t="str">
        <f>HYPERLINK("http://www.ensembl.org/id/WBGene00000046", "WBGene00000046")</f>
        <v>WBGene00000046</v>
      </c>
      <c r="B4264" s="9" t="str">
        <f>HYPERLINK("http://www.ncbi.nlm.nih.gov/gene/174262", "174262")</f>
        <v>174262</v>
      </c>
      <c r="C4264" s="9" t="str">
        <f>HYPERLINK("http://www.ncbi.nlm.nih.gov/gene/1139", "1139")</f>
        <v>1139</v>
      </c>
      <c r="D4264" t="str">
        <f>"acr-7"</f>
        <v>acr-7</v>
      </c>
      <c r="E4264" t="s">
        <v>3390</v>
      </c>
      <c r="F4264" t="s">
        <v>11</v>
      </c>
      <c r="G4264" t="s">
        <v>774</v>
      </c>
      <c r="H4264" s="12">
        <v>1.8994374480204299</v>
      </c>
      <c r="I4264" s="20">
        <v>1.3986475051135101</v>
      </c>
      <c r="J4264" s="28">
        <v>0.16191871329226201</v>
      </c>
      <c r="K4264" s="29">
        <v>0.87782585390216195</v>
      </c>
    </row>
    <row r="4265" spans="1:11" x14ac:dyDescent="0.35">
      <c r="A4265" s="9" t="str">
        <f>HYPERLINK("http://www.ensembl.org/id/WBGene00016744", "WBGene00016744")</f>
        <v>WBGene00016744</v>
      </c>
      <c r="B4265" s="9" t="str">
        <f>HYPERLINK("http://www.ncbi.nlm.nih.gov/gene/183572", "183572")</f>
        <v>183572</v>
      </c>
      <c r="C4265" s="9" t="str">
        <f>HYPERLINK("http://www.ncbi.nlm.nih.gov/gene/27241", "27241")</f>
        <v>27241</v>
      </c>
      <c r="D4265" t="str">
        <f>"bbs-9"</f>
        <v>bbs-9</v>
      </c>
      <c r="F4265" t="s">
        <v>11</v>
      </c>
      <c r="G4265" t="s">
        <v>3391</v>
      </c>
      <c r="H4265" s="12">
        <v>1.9446723639388499</v>
      </c>
      <c r="I4265" s="20">
        <v>1.39822414473096</v>
      </c>
      <c r="J4265" s="28">
        <v>0.16204576841896701</v>
      </c>
      <c r="K4265" s="29">
        <v>0.87810260907332305</v>
      </c>
    </row>
    <row r="4266" spans="1:11" x14ac:dyDescent="0.35">
      <c r="A4266" s="9" t="str">
        <f>HYPERLINK("http://www.ensembl.org/id/WBGene00022242", "WBGene00022242")</f>
        <v>WBGene00022242</v>
      </c>
      <c r="B4266" s="9" t="str">
        <f>HYPERLINK("http://www.ncbi.nlm.nih.gov/gene/177401", "177401")</f>
        <v>177401</v>
      </c>
      <c r="C4266" s="9" t="str">
        <f>HYPERLINK("http://www.ncbi.nlm.nih.gov/gene/6423", "6423")</f>
        <v>6423</v>
      </c>
      <c r="D4266" t="str">
        <f>"sfrp-1"</f>
        <v>sfrp-1</v>
      </c>
      <c r="E4266" t="s">
        <v>3392</v>
      </c>
      <c r="F4266" t="s">
        <v>11</v>
      </c>
      <c r="G4266" t="s">
        <v>3393</v>
      </c>
      <c r="H4266" s="12">
        <v>1.5705520245193101</v>
      </c>
      <c r="I4266" s="20">
        <v>1.3983104920818401</v>
      </c>
      <c r="J4266" s="28">
        <v>0.16201984851863999</v>
      </c>
      <c r="K4266" s="29">
        <v>0.87810260907332305</v>
      </c>
    </row>
    <row r="4267" spans="1:11" x14ac:dyDescent="0.35">
      <c r="A4267" s="9" t="str">
        <f>HYPERLINK("http://www.ensembl.org/id/WBGene00012920", "WBGene00012920")</f>
        <v>WBGene00012920</v>
      </c>
      <c r="B4267" s="9" t="str">
        <f>HYPERLINK("http://www.ncbi.nlm.nih.gov/gene/3564894", "3564894")</f>
        <v>3564894</v>
      </c>
      <c r="C4267" s="9" t="str">
        <f>HYPERLINK("http://www.ncbi.nlm.nih.gov/gene/84266", "84266")</f>
        <v>84266</v>
      </c>
      <c r="D4267" t="str">
        <f>"alkb-7"</f>
        <v>alkb-7</v>
      </c>
      <c r="E4267" t="s">
        <v>3394</v>
      </c>
      <c r="F4267" t="s">
        <v>11</v>
      </c>
      <c r="G4267" t="s">
        <v>3395</v>
      </c>
      <c r="H4267" s="12">
        <v>-1.50854441600574</v>
      </c>
      <c r="I4267" s="20">
        <v>-1.3978771811344</v>
      </c>
      <c r="J4267" s="28">
        <v>0.16214995211920799</v>
      </c>
      <c r="K4267" s="29">
        <v>0.87846114740126802</v>
      </c>
    </row>
    <row r="4268" spans="1:11" x14ac:dyDescent="0.35">
      <c r="A4268" s="9" t="str">
        <f>HYPERLINK("http://www.ensembl.org/id/WBGene00014178", "WBGene00014178")</f>
        <v>WBGene00014178</v>
      </c>
      <c r="B4268" s="9" t="str">
        <f>HYPERLINK("http://www.ncbi.nlm.nih.gov/gene/191490", "191490")</f>
        <v>191490</v>
      </c>
      <c r="C4268" s="9"/>
      <c r="D4268" t="str">
        <f>"ZK1010.4"</f>
        <v>ZK1010.4</v>
      </c>
      <c r="F4268" t="s">
        <v>11</v>
      </c>
      <c r="H4268" s="12">
        <v>-3.1266762461911402</v>
      </c>
      <c r="I4268" s="20">
        <v>-1.3974835333150799</v>
      </c>
      <c r="J4268" s="28">
        <v>0.16226821501928801</v>
      </c>
      <c r="K4268" s="29">
        <v>0.87889577502008398</v>
      </c>
    </row>
    <row r="4269" spans="1:11" x14ac:dyDescent="0.35">
      <c r="A4269" s="9" t="str">
        <f>HYPERLINK("http://www.ensembl.org/id/WBGene00020407", "WBGene00020407")</f>
        <v>WBGene00020407</v>
      </c>
      <c r="B4269" s="9" t="str">
        <f>HYPERLINK("http://www.ncbi.nlm.nih.gov/gene/173661", "173661")</f>
        <v>173661</v>
      </c>
      <c r="C4269" s="9"/>
      <c r="D4269" t="str">
        <f>"chil-24"</f>
        <v>chil-24</v>
      </c>
      <c r="E4269" t="s">
        <v>1756</v>
      </c>
      <c r="F4269" t="s">
        <v>11</v>
      </c>
      <c r="G4269" t="s">
        <v>3396</v>
      </c>
      <c r="H4269" s="12">
        <v>-1.34257512907174</v>
      </c>
      <c r="I4269" s="20">
        <v>-1.3973249940220001</v>
      </c>
      <c r="J4269" s="28">
        <v>0.162315863072762</v>
      </c>
      <c r="K4269" s="29">
        <v>0.87894781630167396</v>
      </c>
    </row>
    <row r="4270" spans="1:11" x14ac:dyDescent="0.35">
      <c r="A4270" s="9" t="str">
        <f>HYPERLINK("http://www.ensembl.org/id/WBGene00016549", "WBGene00016549")</f>
        <v>WBGene00016549</v>
      </c>
      <c r="B4270" s="9" t="str">
        <f>HYPERLINK("http://www.ncbi.nlm.nih.gov/gene/173572", "173572")</f>
        <v>173572</v>
      </c>
      <c r="C4270" s="9"/>
      <c r="D4270" t="str">
        <f>"C40A11.6"</f>
        <v>C40A11.6</v>
      </c>
      <c r="F4270" t="s">
        <v>11</v>
      </c>
      <c r="G4270" t="s">
        <v>817</v>
      </c>
      <c r="H4270" s="12">
        <v>1.67143360462198</v>
      </c>
      <c r="I4270" s="20">
        <v>1.3970661514303999</v>
      </c>
      <c r="J4270" s="28">
        <v>0.16239367938190299</v>
      </c>
      <c r="K4270" s="29">
        <v>0.87903200356266198</v>
      </c>
    </row>
    <row r="4271" spans="1:11" x14ac:dyDescent="0.35">
      <c r="A4271" s="9" t="str">
        <f>HYPERLINK("http://www.ensembl.org/id/WBGene00022577", "WBGene00022577")</f>
        <v>WBGene00022577</v>
      </c>
      <c r="B4271" s="9" t="str">
        <f>HYPERLINK("http://www.ncbi.nlm.nih.gov/gene/191128", "191128")</f>
        <v>191128</v>
      </c>
      <c r="C4271" s="9"/>
      <c r="D4271" t="str">
        <f>"nstp-3"</f>
        <v>nstp-3</v>
      </c>
      <c r="E4271" t="s">
        <v>1978</v>
      </c>
      <c r="F4271" t="s">
        <v>11</v>
      </c>
      <c r="G4271" t="s">
        <v>1979</v>
      </c>
      <c r="H4271" s="12">
        <v>2.74653493892801</v>
      </c>
      <c r="I4271" s="20">
        <v>1.3970201996370899</v>
      </c>
      <c r="J4271" s="28">
        <v>0.16240749689297199</v>
      </c>
      <c r="K4271" s="29">
        <v>0.87903200356266198</v>
      </c>
    </row>
    <row r="4272" spans="1:11" x14ac:dyDescent="0.35">
      <c r="A4272" s="9" t="str">
        <f>HYPERLINK("http://www.ensembl.org/id/WBGene00003959", "WBGene00003959")</f>
        <v>WBGene00003959</v>
      </c>
      <c r="B4272" s="9" t="str">
        <f>HYPERLINK("http://www.ncbi.nlm.nih.gov/gene/180301", "180301")</f>
        <v>180301</v>
      </c>
      <c r="C4272" s="9"/>
      <c r="D4272" t="str">
        <f>"pcp-4"</f>
        <v>pcp-4</v>
      </c>
      <c r="E4272" t="s">
        <v>1283</v>
      </c>
      <c r="F4272" t="s">
        <v>11</v>
      </c>
      <c r="G4272" t="s">
        <v>1284</v>
      </c>
      <c r="H4272" s="12">
        <v>1.36953734793076</v>
      </c>
      <c r="I4272" s="20">
        <v>1.3965771886109</v>
      </c>
      <c r="J4272" s="28">
        <v>0.16254075394950401</v>
      </c>
      <c r="K4272" s="29">
        <v>0.87954722734361801</v>
      </c>
    </row>
    <row r="4273" spans="1:11" x14ac:dyDescent="0.35">
      <c r="A4273" s="9" t="str">
        <f>HYPERLINK("http://www.ensembl.org/id/WBGene00003237", "WBGene00003237")</f>
        <v>WBGene00003237</v>
      </c>
      <c r="B4273" s="9" t="str">
        <f>HYPERLINK("http://www.ncbi.nlm.nih.gov/gene/190649", "190649")</f>
        <v>190649</v>
      </c>
      <c r="C4273" s="9"/>
      <c r="D4273" t="str">
        <f>"mif-4"</f>
        <v>mif-4</v>
      </c>
      <c r="E4273" t="s">
        <v>3397</v>
      </c>
      <c r="F4273" t="s">
        <v>11</v>
      </c>
      <c r="H4273" s="12">
        <v>1.54151473956963</v>
      </c>
      <c r="I4273" s="20">
        <v>1.39644927044639</v>
      </c>
      <c r="J4273" s="28">
        <v>0.16257924688641201</v>
      </c>
      <c r="K4273" s="29">
        <v>0.87954953841195205</v>
      </c>
    </row>
    <row r="4274" spans="1:11" x14ac:dyDescent="0.35">
      <c r="A4274" s="9" t="str">
        <f>HYPERLINK("http://www.ensembl.org/id/WBGene00195977", "WBGene00195977")</f>
        <v>WBGene00195977</v>
      </c>
      <c r="B4274" s="9"/>
      <c r="C4274" s="9"/>
      <c r="D4274" t="str">
        <f>"C56E6.12"</f>
        <v>C56E6.12</v>
      </c>
      <c r="F4274" t="s">
        <v>481</v>
      </c>
      <c r="H4274" s="12">
        <v>-2.1324143590077602</v>
      </c>
      <c r="I4274" s="20">
        <v>-1.3958172301976499</v>
      </c>
      <c r="J4274" s="28">
        <v>0.162769540404784</v>
      </c>
      <c r="K4274" s="29">
        <v>0.87986401604460995</v>
      </c>
    </row>
    <row r="4275" spans="1:11" x14ac:dyDescent="0.35">
      <c r="A4275" s="9" t="str">
        <f>HYPERLINK("http://www.ensembl.org/id/WBGene00008784", "WBGene00008784")</f>
        <v>WBGene00008784</v>
      </c>
      <c r="B4275" s="9" t="str">
        <f>HYPERLINK("http://www.ncbi.nlm.nih.gov/gene/173104", "173104")</f>
        <v>173104</v>
      </c>
      <c r="C4275" s="9"/>
      <c r="D4275" t="str">
        <f>"F14B6.3"</f>
        <v>F14B6.3</v>
      </c>
      <c r="F4275" t="s">
        <v>11</v>
      </c>
      <c r="H4275" s="12">
        <v>1.4873085175884799</v>
      </c>
      <c r="I4275" s="20">
        <v>1.3957593335040701</v>
      </c>
      <c r="J4275" s="28">
        <v>0.16278698023112401</v>
      </c>
      <c r="K4275" s="29">
        <v>0.87986401604460995</v>
      </c>
    </row>
    <row r="4276" spans="1:11" x14ac:dyDescent="0.35">
      <c r="A4276" s="9" t="str">
        <f>HYPERLINK("http://www.ensembl.org/id/WBGene00003519", "WBGene00003519")</f>
        <v>WBGene00003519</v>
      </c>
      <c r="B4276" s="9" t="str">
        <f>HYPERLINK("http://www.ncbi.nlm.nih.gov/gene/176429", "176429")</f>
        <v>176429</v>
      </c>
      <c r="C4276" s="9" t="str">
        <f>HYPERLINK("http://www.ncbi.nlm.nih.gov/gene/9058", "9058")</f>
        <v>9058</v>
      </c>
      <c r="D4276" t="str">
        <f>"nac-3"</f>
        <v>nac-3</v>
      </c>
      <c r="E4276" t="s">
        <v>3398</v>
      </c>
      <c r="F4276" t="s">
        <v>11</v>
      </c>
      <c r="G4276" t="s">
        <v>3399</v>
      </c>
      <c r="H4276" s="12">
        <v>1.34977141424937</v>
      </c>
      <c r="I4276" s="20">
        <v>1.39575032490115</v>
      </c>
      <c r="J4276" s="28">
        <v>0.16278969395787701</v>
      </c>
      <c r="K4276" s="29">
        <v>0.87986401604460995</v>
      </c>
    </row>
    <row r="4277" spans="1:11" x14ac:dyDescent="0.35">
      <c r="A4277" s="9" t="str">
        <f>HYPERLINK("http://www.ensembl.org/id/WBGene00005816", "WBGene00005816")</f>
        <v>WBGene00005816</v>
      </c>
      <c r="B4277" s="9" t="str">
        <f>HYPERLINK("http://www.ncbi.nlm.nih.gov/gene/184641", "184641")</f>
        <v>184641</v>
      </c>
      <c r="C4277" s="9"/>
      <c r="D4277" t="str">
        <f>"srw-69"</f>
        <v>srw-69</v>
      </c>
      <c r="E4277" t="s">
        <v>1014</v>
      </c>
      <c r="F4277" t="s">
        <v>11</v>
      </c>
      <c r="G4277" t="s">
        <v>1015</v>
      </c>
      <c r="H4277" s="12">
        <v>6.6800067202325097</v>
      </c>
      <c r="I4277" s="20">
        <v>1.3958874321230299</v>
      </c>
      <c r="J4277" s="28">
        <v>0.162748395847785</v>
      </c>
      <c r="K4277" s="29">
        <v>0.87986401604460995</v>
      </c>
    </row>
    <row r="4278" spans="1:11" x14ac:dyDescent="0.35">
      <c r="A4278" s="9" t="str">
        <f>HYPERLINK("http://www.ensembl.org/id/WBGene00016394", "WBGene00016394")</f>
        <v>WBGene00016394</v>
      </c>
      <c r="B4278" s="9" t="str">
        <f>HYPERLINK("http://www.ncbi.nlm.nih.gov/gene/172972", "172972")</f>
        <v>172972</v>
      </c>
      <c r="C4278" s="9"/>
      <c r="D4278" t="str">
        <f>"C34B2.9"</f>
        <v>C34B2.9</v>
      </c>
      <c r="F4278" t="s">
        <v>11</v>
      </c>
      <c r="G4278" t="s">
        <v>25</v>
      </c>
      <c r="H4278" s="12">
        <v>1.62465609080674</v>
      </c>
      <c r="I4278" s="20">
        <v>1.39553159861817</v>
      </c>
      <c r="J4278" s="28">
        <v>0.16285559293376001</v>
      </c>
      <c r="K4278" s="29">
        <v>0.88001434292035696</v>
      </c>
    </row>
    <row r="4279" spans="1:11" x14ac:dyDescent="0.35">
      <c r="A4279" s="9" t="str">
        <f>HYPERLINK("http://www.ensembl.org/id/WBGene00016609", "WBGene00016609")</f>
        <v>WBGene00016609</v>
      </c>
      <c r="B4279" s="9" t="str">
        <f>HYPERLINK("http://www.ncbi.nlm.nih.gov/gene/259372", "259372")</f>
        <v>259372</v>
      </c>
      <c r="C4279" s="9"/>
      <c r="D4279" t="str">
        <f>"C43E11.12"</f>
        <v>C43E11.12</v>
      </c>
      <c r="F4279" t="s">
        <v>11</v>
      </c>
      <c r="H4279" s="12">
        <v>-1.3670479194993701</v>
      </c>
      <c r="I4279" s="20">
        <v>-1.3947096608313201</v>
      </c>
      <c r="J4279" s="28">
        <v>0.163103410435537</v>
      </c>
      <c r="K4279" s="29">
        <v>0.880329392462323</v>
      </c>
    </row>
    <row r="4280" spans="1:11" x14ac:dyDescent="0.35">
      <c r="A4280" s="9" t="str">
        <f>HYPERLINK("http://www.ensembl.org/id/WBGene00008534", "WBGene00008534")</f>
        <v>WBGene00008534</v>
      </c>
      <c r="B4280" s="9"/>
      <c r="C4280" s="9"/>
      <c r="D4280" t="str">
        <f>"F02H6.1"</f>
        <v>F02H6.1</v>
      </c>
      <c r="F4280" t="s">
        <v>80</v>
      </c>
      <c r="H4280" s="12">
        <v>-3.7014240017337698</v>
      </c>
      <c r="I4280" s="20">
        <v>-1.3947064003179499</v>
      </c>
      <c r="J4280" s="28">
        <v>0.16310439405917099</v>
      </c>
      <c r="K4280" s="29">
        <v>0.880329392462323</v>
      </c>
    </row>
    <row r="4281" spans="1:11" x14ac:dyDescent="0.35">
      <c r="A4281" s="9" t="str">
        <f>HYPERLINK("http://www.ensembl.org/id/WBGene00017417", "WBGene00017417")</f>
        <v>WBGene00017417</v>
      </c>
      <c r="B4281" s="9" t="str">
        <f>HYPERLINK("http://www.ncbi.nlm.nih.gov/gene/184408", "184408")</f>
        <v>184408</v>
      </c>
      <c r="C4281" s="9"/>
      <c r="D4281" t="str">
        <f>"F13B6.2"</f>
        <v>F13B6.2</v>
      </c>
      <c r="F4281" t="s">
        <v>11</v>
      </c>
      <c r="H4281" s="12">
        <v>1.4067602528643399</v>
      </c>
      <c r="I4281" s="20">
        <v>1.39492691583043</v>
      </c>
      <c r="J4281" s="28">
        <v>0.16303787956121699</v>
      </c>
      <c r="K4281" s="29">
        <v>0.880329392462323</v>
      </c>
    </row>
    <row r="4282" spans="1:11" x14ac:dyDescent="0.35">
      <c r="A4282" s="9" t="str">
        <f>HYPERLINK("http://www.ensembl.org/id/WBGene00018143", "WBGene00018143")</f>
        <v>WBGene00018143</v>
      </c>
      <c r="B4282" s="9" t="str">
        <f>HYPERLINK("http://www.ncbi.nlm.nih.gov/gene/185419", "185419")</f>
        <v>185419</v>
      </c>
      <c r="C4282" s="9"/>
      <c r="D4282" t="str">
        <f>"oac-23"</f>
        <v>oac-23</v>
      </c>
      <c r="E4282" t="s">
        <v>883</v>
      </c>
      <c r="F4282" t="s">
        <v>11</v>
      </c>
      <c r="G4282" t="s">
        <v>1992</v>
      </c>
      <c r="H4282" s="12">
        <v>3.98336598429553</v>
      </c>
      <c r="I4282" s="20">
        <v>1.39519497154335</v>
      </c>
      <c r="J4282" s="28">
        <v>0.16295705297289501</v>
      </c>
      <c r="K4282" s="29">
        <v>0.880329392462323</v>
      </c>
    </row>
    <row r="4283" spans="1:11" x14ac:dyDescent="0.35">
      <c r="A4283" s="9" t="str">
        <f>HYPERLINK("http://www.ensembl.org/id/WBGene00004183", "WBGene00004183")</f>
        <v>WBGene00004183</v>
      </c>
      <c r="B4283" s="9" t="str">
        <f>HYPERLINK("http://www.ncbi.nlm.nih.gov/gene/175437", "175437")</f>
        <v>175437</v>
      </c>
      <c r="C4283" s="9" t="str">
        <f>HYPERLINK("http://www.ncbi.nlm.nih.gov/gene/5292", "5292")</f>
        <v>5292</v>
      </c>
      <c r="D4283" t="str">
        <f>"prk-2"</f>
        <v>prk-2</v>
      </c>
      <c r="E4283" t="s">
        <v>3400</v>
      </c>
      <c r="F4283" t="s">
        <v>11</v>
      </c>
      <c r="G4283" t="s">
        <v>444</v>
      </c>
      <c r="H4283" s="12">
        <v>-1.3185043297997701</v>
      </c>
      <c r="I4283" s="20">
        <v>-1.3947825119577</v>
      </c>
      <c r="J4283" s="28">
        <v>0.16308143405380801</v>
      </c>
      <c r="K4283" s="29">
        <v>0.880329392462323</v>
      </c>
    </row>
    <row r="4284" spans="1:11" x14ac:dyDescent="0.35">
      <c r="A4284" s="9" t="str">
        <f>HYPERLINK("http://www.ensembl.org/id/WBGene00010224", "WBGene00010224")</f>
        <v>WBGene00010224</v>
      </c>
      <c r="B4284" s="9" t="str">
        <f>HYPERLINK("http://www.ncbi.nlm.nih.gov/gene/186483", "186483")</f>
        <v>186483</v>
      </c>
      <c r="C4284" s="9"/>
      <c r="D4284" t="str">
        <f>"F58A3.4"</f>
        <v>F58A3.4</v>
      </c>
      <c r="E4284" t="s">
        <v>899</v>
      </c>
      <c r="F4284" t="s">
        <v>11</v>
      </c>
      <c r="G4284" t="s">
        <v>3403</v>
      </c>
      <c r="H4284" s="12">
        <v>1.4747771207915199</v>
      </c>
      <c r="I4284" s="20">
        <v>1.3940096062385201</v>
      </c>
      <c r="J4284" s="28">
        <v>0.16331470381559399</v>
      </c>
      <c r="K4284" s="29">
        <v>0.88105289431779399</v>
      </c>
    </row>
    <row r="4285" spans="1:11" x14ac:dyDescent="0.35">
      <c r="A4285" s="9" t="str">
        <f>HYPERLINK("http://www.ensembl.org/id/WBGene00002199", "WBGene00002199")</f>
        <v>WBGene00002199</v>
      </c>
      <c r="B4285" s="9" t="str">
        <f>HYPERLINK("http://www.ncbi.nlm.nih.gov/gene/174498", "174498")</f>
        <v>174498</v>
      </c>
      <c r="C4285" s="9"/>
      <c r="D4285" t="str">
        <f>"kin-15"</f>
        <v>kin-15</v>
      </c>
      <c r="E4285" t="s">
        <v>3401</v>
      </c>
      <c r="F4285" t="s">
        <v>11</v>
      </c>
      <c r="G4285" t="s">
        <v>3402</v>
      </c>
      <c r="H4285" s="12">
        <v>2.17667898063223</v>
      </c>
      <c r="I4285" s="20">
        <v>1.39403283433206</v>
      </c>
      <c r="J4285" s="28">
        <v>0.163307689707655</v>
      </c>
      <c r="K4285" s="29">
        <v>0.88105289431779399</v>
      </c>
    </row>
    <row r="4286" spans="1:11" x14ac:dyDescent="0.35">
      <c r="A4286" s="9" t="str">
        <f>HYPERLINK("http://www.ensembl.org/id/WBGene00019373", "WBGene00019373")</f>
        <v>WBGene00019373</v>
      </c>
      <c r="B4286" s="9" t="str">
        <f>HYPERLINK("http://www.ncbi.nlm.nih.gov/gene/179047", "179047")</f>
        <v>179047</v>
      </c>
      <c r="C4286" s="9"/>
      <c r="D4286" t="str">
        <f>"K04A8.1"</f>
        <v>K04A8.1</v>
      </c>
      <c r="F4286" t="s">
        <v>11</v>
      </c>
      <c r="G4286" t="s">
        <v>394</v>
      </c>
      <c r="H4286" s="12">
        <v>1.4251886810527701</v>
      </c>
      <c r="I4286" s="20">
        <v>1.3937687172823701</v>
      </c>
      <c r="J4286" s="28">
        <v>0.16338745762127299</v>
      </c>
      <c r="K4286" s="29">
        <v>0.88123963487328005</v>
      </c>
    </row>
    <row r="4287" spans="1:11" x14ac:dyDescent="0.35">
      <c r="A4287" s="9" t="str">
        <f>HYPERLINK("http://www.ensembl.org/id/WBGene00012525", "WBGene00012525")</f>
        <v>WBGene00012525</v>
      </c>
      <c r="B4287" s="9" t="str">
        <f>HYPERLINK("http://www.ncbi.nlm.nih.gov/gene/189572", "189572")</f>
        <v>189572</v>
      </c>
      <c r="C4287" s="9"/>
      <c r="D4287" t="str">
        <f>"Y32B12C.1"</f>
        <v>Y32B12C.1</v>
      </c>
      <c r="F4287" t="s">
        <v>11</v>
      </c>
      <c r="H4287" s="12">
        <v>1.69573028021532</v>
      </c>
      <c r="I4287" s="20">
        <v>1.39338441427421</v>
      </c>
      <c r="J4287" s="28">
        <v>0.163503576229797</v>
      </c>
      <c r="K4287" s="29">
        <v>0.88166012423936901</v>
      </c>
    </row>
    <row r="4288" spans="1:11" x14ac:dyDescent="0.35">
      <c r="A4288" s="9" t="str">
        <f>HYPERLINK("http://www.ensembl.org/id/WBGene00020270", "WBGene00020270")</f>
        <v>WBGene00020270</v>
      </c>
      <c r="B4288" s="9" t="str">
        <f>HYPERLINK("http://www.ncbi.nlm.nih.gov/gene/188151", "188151")</f>
        <v>188151</v>
      </c>
      <c r="C4288" s="9"/>
      <c r="D4288" t="str">
        <f>"T05H4.7"</f>
        <v>T05H4.7</v>
      </c>
      <c r="F4288" t="s">
        <v>11</v>
      </c>
      <c r="G4288" t="s">
        <v>3404</v>
      </c>
      <c r="H4288" s="12">
        <v>3.5905906856028098</v>
      </c>
      <c r="I4288" s="20">
        <v>1.3929422561104401</v>
      </c>
      <c r="J4288" s="28">
        <v>0.163637252939455</v>
      </c>
      <c r="K4288" s="29">
        <v>0.88217507382618698</v>
      </c>
    </row>
    <row r="4289" spans="1:11" x14ac:dyDescent="0.35">
      <c r="A4289" s="9" t="str">
        <f>HYPERLINK("http://www.ensembl.org/id/WBGene00201991", "WBGene00201991")</f>
        <v>WBGene00201991</v>
      </c>
      <c r="B4289" s="9"/>
      <c r="C4289" s="9"/>
      <c r="D4289" t="str">
        <f>"C07G1.14"</f>
        <v>C07G1.14</v>
      </c>
      <c r="F4289" t="s">
        <v>481</v>
      </c>
      <c r="H4289" s="12">
        <v>-8.4974526839343199</v>
      </c>
      <c r="I4289" s="20">
        <v>-1.3922532501114799</v>
      </c>
      <c r="J4289" s="28">
        <v>0.163845722782412</v>
      </c>
      <c r="K4289" s="29">
        <v>0.88287645754319</v>
      </c>
    </row>
    <row r="4290" spans="1:11" x14ac:dyDescent="0.35">
      <c r="A4290" s="9" t="str">
        <f>HYPERLINK("http://www.ensembl.org/id/WBGene00008184", "WBGene00008184")</f>
        <v>WBGene00008184</v>
      </c>
      <c r="B4290" s="9" t="str">
        <f>HYPERLINK("http://www.ncbi.nlm.nih.gov/gene/183585", "183585")</f>
        <v>183585</v>
      </c>
      <c r="C4290" s="9"/>
      <c r="D4290" t="str">
        <f>"C49A1.1"</f>
        <v>C49A1.1</v>
      </c>
      <c r="F4290" t="s">
        <v>11</v>
      </c>
      <c r="G4290" t="s">
        <v>25</v>
      </c>
      <c r="H4290" s="12">
        <v>6.5627734647662201</v>
      </c>
      <c r="I4290" s="20">
        <v>1.39184574168616</v>
      </c>
      <c r="J4290" s="28">
        <v>0.16396911516281601</v>
      </c>
      <c r="K4290" s="29">
        <v>0.88287645754319</v>
      </c>
    </row>
    <row r="4291" spans="1:11" x14ac:dyDescent="0.35">
      <c r="A4291" s="9" t="str">
        <f>HYPERLINK("http://www.ensembl.org/id/WBGene00000664", "WBGene00000664")</f>
        <v>WBGene00000664</v>
      </c>
      <c r="B4291" s="9" t="str">
        <f>HYPERLINK("http://www.ncbi.nlm.nih.gov/gene/175627", "175627")</f>
        <v>175627</v>
      </c>
      <c r="C4291" s="9"/>
      <c r="D4291" t="str">
        <f>"col-89"</f>
        <v>col-89</v>
      </c>
      <c r="E4291" t="s">
        <v>40</v>
      </c>
      <c r="F4291" t="s">
        <v>11</v>
      </c>
      <c r="G4291" t="s">
        <v>152</v>
      </c>
      <c r="H4291" s="12">
        <v>1.5862219128705</v>
      </c>
      <c r="I4291" s="20">
        <v>1.3916838048820901</v>
      </c>
      <c r="J4291" s="28">
        <v>0.16401816859796201</v>
      </c>
      <c r="K4291" s="29">
        <v>0.88287645754319</v>
      </c>
    </row>
    <row r="4292" spans="1:11" x14ac:dyDescent="0.35">
      <c r="A4292" s="9" t="str">
        <f>HYPERLINK("http://www.ensembl.org/id/WBGene00004068", "WBGene00004068")</f>
        <v>WBGene00004068</v>
      </c>
      <c r="B4292" s="9" t="str">
        <f>HYPERLINK("http://www.ncbi.nlm.nih.gov/gene/172327", "172327")</f>
        <v>172327</v>
      </c>
      <c r="C4292" s="9"/>
      <c r="D4292" t="str">
        <f>"pnk-1"</f>
        <v>pnk-1</v>
      </c>
      <c r="E4292" t="s">
        <v>3406</v>
      </c>
      <c r="F4292" t="s">
        <v>11</v>
      </c>
      <c r="G4292" t="s">
        <v>3407</v>
      </c>
      <c r="H4292" s="12">
        <v>-1.29338186144842</v>
      </c>
      <c r="I4292" s="20">
        <v>-1.3919278980194401</v>
      </c>
      <c r="J4292" s="28">
        <v>0.163944232827577</v>
      </c>
      <c r="K4292" s="29">
        <v>0.88287645754319</v>
      </c>
    </row>
    <row r="4293" spans="1:11" x14ac:dyDescent="0.35">
      <c r="A4293" s="9" t="str">
        <f>HYPERLINK("http://www.ensembl.org/id/WBGene00004136", "WBGene00004136")</f>
        <v>WBGene00004136</v>
      </c>
      <c r="B4293" s="9" t="str">
        <f>HYPERLINK("http://www.ncbi.nlm.nih.gov/gene/178893", "178893")</f>
        <v>178893</v>
      </c>
      <c r="C4293" s="9"/>
      <c r="D4293" t="str">
        <f>"pqn-51"</f>
        <v>pqn-51</v>
      </c>
      <c r="E4293" t="s">
        <v>432</v>
      </c>
      <c r="F4293" t="s">
        <v>11</v>
      </c>
      <c r="G4293" t="s">
        <v>3405</v>
      </c>
      <c r="H4293" s="12">
        <v>-1.29159706906421</v>
      </c>
      <c r="I4293" s="20">
        <v>-1.39191906241327</v>
      </c>
      <c r="J4293" s="28">
        <v>0.163946908693061</v>
      </c>
      <c r="K4293" s="29">
        <v>0.88287645754319</v>
      </c>
    </row>
    <row r="4294" spans="1:11" x14ac:dyDescent="0.35">
      <c r="A4294" s="9" t="str">
        <f>HYPERLINK("http://www.ensembl.org/id/WBGene00013075", "WBGene00013075")</f>
        <v>WBGene00013075</v>
      </c>
      <c r="B4294" s="9" t="str">
        <f>HYPERLINK("http://www.ncbi.nlm.nih.gov/gene/180207", "180207")</f>
        <v>180207</v>
      </c>
      <c r="C4294" s="9"/>
      <c r="D4294" t="str">
        <f>"Y51A2D.7"</f>
        <v>Y51A2D.7</v>
      </c>
      <c r="F4294" t="s">
        <v>11</v>
      </c>
      <c r="G4294" t="s">
        <v>3314</v>
      </c>
      <c r="H4294" s="12">
        <v>-1.37031605207223</v>
      </c>
      <c r="I4294" s="20">
        <v>-1.3921656742353801</v>
      </c>
      <c r="J4294" s="28">
        <v>0.16387223460125</v>
      </c>
      <c r="K4294" s="29">
        <v>0.88287645754319</v>
      </c>
    </row>
    <row r="4295" spans="1:11" x14ac:dyDescent="0.35">
      <c r="A4295" s="9" t="str">
        <f>HYPERLINK("http://www.ensembl.org/id/WBGene00022822", "WBGene00022822")</f>
        <v>WBGene00022822</v>
      </c>
      <c r="B4295" s="9" t="str">
        <f>HYPERLINK("http://www.ncbi.nlm.nih.gov/gene/180634", "180634")</f>
        <v>180634</v>
      </c>
      <c r="C4295" s="9"/>
      <c r="D4295" t="str">
        <f>"ZK813.3"</f>
        <v>ZK813.3</v>
      </c>
      <c r="F4295" t="s">
        <v>11</v>
      </c>
      <c r="G4295" t="s">
        <v>3323</v>
      </c>
      <c r="H4295" s="12">
        <v>-1.3096661705550801</v>
      </c>
      <c r="I4295" s="20">
        <v>-1.3916288314099201</v>
      </c>
      <c r="J4295" s="28">
        <v>0.16403482351912599</v>
      </c>
      <c r="K4295" s="29">
        <v>0.88287645754319</v>
      </c>
    </row>
    <row r="4296" spans="1:11" x14ac:dyDescent="0.35">
      <c r="A4296" s="9" t="str">
        <f>HYPERLINK("http://www.ensembl.org/id/WBGene00000955", "WBGene00000955")</f>
        <v>WBGene00000955</v>
      </c>
      <c r="B4296" s="9" t="str">
        <f>HYPERLINK("http://www.ncbi.nlm.nih.gov/gene/179574", "179574")</f>
        <v>179574</v>
      </c>
      <c r="C4296" s="9"/>
      <c r="D4296" t="str">
        <f>"des-2"</f>
        <v>des-2</v>
      </c>
      <c r="E4296" t="s">
        <v>3408</v>
      </c>
      <c r="F4296" t="s">
        <v>11</v>
      </c>
      <c r="G4296" t="s">
        <v>3409</v>
      </c>
      <c r="H4296" s="12">
        <v>1.5461903349530499</v>
      </c>
      <c r="I4296" s="20">
        <v>1.3913425102120001</v>
      </c>
      <c r="J4296" s="28">
        <v>0.16412158881415301</v>
      </c>
      <c r="K4296" s="29">
        <v>0.88313773431295095</v>
      </c>
    </row>
    <row r="4297" spans="1:11" x14ac:dyDescent="0.35">
      <c r="A4297" s="9" t="str">
        <f>HYPERLINK("http://www.ensembl.org/id/WBGene00000096", "WBGene00000096")</f>
        <v>WBGene00000096</v>
      </c>
      <c r="B4297" s="9" t="str">
        <f>HYPERLINK("http://www.ncbi.nlm.nih.gov/gene/172788", "172788")</f>
        <v>172788</v>
      </c>
      <c r="C4297" s="9"/>
      <c r="D4297" t="str">
        <f>"ahr-1"</f>
        <v>ahr-1</v>
      </c>
      <c r="E4297" t="s">
        <v>3410</v>
      </c>
      <c r="F4297" t="s">
        <v>11</v>
      </c>
      <c r="G4297" t="s">
        <v>3411</v>
      </c>
      <c r="H4297" s="12">
        <v>1.6839624442900201</v>
      </c>
      <c r="I4297" s="20">
        <v>1.39037785433231</v>
      </c>
      <c r="J4297" s="28">
        <v>0.16441416763303901</v>
      </c>
      <c r="K4297" s="29">
        <v>0.883609671474473</v>
      </c>
    </row>
    <row r="4298" spans="1:11" x14ac:dyDescent="0.35">
      <c r="A4298" s="9" t="str">
        <f>HYPERLINK("http://www.ensembl.org/id/WBGene00013847", "WBGene00013847")</f>
        <v>WBGene00013847</v>
      </c>
      <c r="B4298" s="9" t="str">
        <f>HYPERLINK("http://www.ncbi.nlm.nih.gov/gene/176298", "176298")</f>
        <v>176298</v>
      </c>
      <c r="C4298" s="9" t="str">
        <f>HYPERLINK("http://www.ncbi.nlm.nih.gov/gene/23122", "23122")</f>
        <v>23122</v>
      </c>
      <c r="D4298" t="str">
        <f>"cls-3"</f>
        <v>cls-3</v>
      </c>
      <c r="F4298" t="s">
        <v>11</v>
      </c>
      <c r="H4298" s="12">
        <v>1.3379540969711701</v>
      </c>
      <c r="I4298" s="20">
        <v>1.39049869156881</v>
      </c>
      <c r="J4298" s="28">
        <v>0.16437749635479099</v>
      </c>
      <c r="K4298" s="29">
        <v>0.883609671474473</v>
      </c>
    </row>
    <row r="4299" spans="1:11" x14ac:dyDescent="0.35">
      <c r="A4299" s="9" t="str">
        <f>HYPERLINK("http://www.ensembl.org/id/WBGene00008706", "WBGene00008706")</f>
        <v>WBGene00008706</v>
      </c>
      <c r="B4299" s="9" t="str">
        <f>HYPERLINK("http://www.ncbi.nlm.nih.gov/gene/178535", "178535")</f>
        <v>178535</v>
      </c>
      <c r="C4299" s="9" t="str">
        <f>HYPERLINK("http://www.ncbi.nlm.nih.gov/gene/2629", "2629")</f>
        <v>2629</v>
      </c>
      <c r="D4299" t="str">
        <f>"gba-3"</f>
        <v>gba-3</v>
      </c>
      <c r="E4299" t="s">
        <v>3413</v>
      </c>
      <c r="F4299" t="s">
        <v>11</v>
      </c>
      <c r="G4299" t="s">
        <v>356</v>
      </c>
      <c r="H4299" s="12">
        <v>-1.3474069748775099</v>
      </c>
      <c r="I4299" s="20">
        <v>-1.39047567562257</v>
      </c>
      <c r="J4299" s="28">
        <v>0.16438448068175901</v>
      </c>
      <c r="K4299" s="29">
        <v>0.883609671474473</v>
      </c>
    </row>
    <row r="4300" spans="1:11" x14ac:dyDescent="0.35">
      <c r="A4300" s="9" t="str">
        <f>HYPERLINK("http://www.ensembl.org/id/WBGene00007979", "WBGene00007979")</f>
        <v>WBGene00007979</v>
      </c>
      <c r="B4300" s="9" t="str">
        <f>HYPERLINK("http://www.ncbi.nlm.nih.gov/gene/172684", "172684")</f>
        <v>172684</v>
      </c>
      <c r="C4300" s="9" t="str">
        <f>HYPERLINK("http://www.ncbi.nlm.nih.gov/gene/84888", "84888")</f>
        <v>84888</v>
      </c>
      <c r="D4300" t="str">
        <f>"imp-1"</f>
        <v>imp-1</v>
      </c>
      <c r="E4300" t="s">
        <v>2058</v>
      </c>
      <c r="F4300" t="s">
        <v>11</v>
      </c>
      <c r="G4300" t="s">
        <v>3412</v>
      </c>
      <c r="H4300" s="12">
        <v>-1.34590588867272</v>
      </c>
      <c r="I4300" s="20">
        <v>-1.3902968874566399</v>
      </c>
      <c r="J4300" s="28">
        <v>0.164438742635689</v>
      </c>
      <c r="K4300" s="29">
        <v>0.883609671474473</v>
      </c>
    </row>
    <row r="4301" spans="1:11" x14ac:dyDescent="0.35">
      <c r="A4301" s="9" t="str">
        <f>HYPERLINK("http://www.ensembl.org/id/WBGene00019381", "WBGene00019381")</f>
        <v>WBGene00019381</v>
      </c>
      <c r="B4301" s="9" t="str">
        <f>HYPERLINK("http://www.ncbi.nlm.nih.gov/gene/175958", "175958")</f>
        <v>175958</v>
      </c>
      <c r="C4301" s="9"/>
      <c r="D4301" t="str">
        <f>"K04C2.3"</f>
        <v>K04C2.3</v>
      </c>
      <c r="F4301" t="s">
        <v>11</v>
      </c>
      <c r="H4301" s="12">
        <v>-1.32683211050262</v>
      </c>
      <c r="I4301" s="20">
        <v>-1.3908076623473999</v>
      </c>
      <c r="J4301" s="28">
        <v>0.164283758957536</v>
      </c>
      <c r="K4301" s="29">
        <v>0.883609671474473</v>
      </c>
    </row>
    <row r="4302" spans="1:11" x14ac:dyDescent="0.35">
      <c r="A4302" s="9" t="str">
        <f>HYPERLINK("http://www.ensembl.org/id/WBGene00006375", "WBGene00006375")</f>
        <v>WBGene00006375</v>
      </c>
      <c r="B4302" s="9" t="str">
        <f>HYPERLINK("http://www.ncbi.nlm.nih.gov/gene/180102", "180102")</f>
        <v>180102</v>
      </c>
      <c r="C4302" s="9"/>
      <c r="D4302" t="str">
        <f>"syp-1"</f>
        <v>syp-1</v>
      </c>
      <c r="E4302" t="s">
        <v>3414</v>
      </c>
      <c r="F4302" t="s">
        <v>11</v>
      </c>
      <c r="G4302" t="s">
        <v>3415</v>
      </c>
      <c r="H4302" s="12">
        <v>-1.3954201306396601</v>
      </c>
      <c r="I4302" s="20">
        <v>-1.39055303015723</v>
      </c>
      <c r="J4302" s="28">
        <v>0.164361007870929</v>
      </c>
      <c r="K4302" s="29">
        <v>0.883609671474473</v>
      </c>
    </row>
    <row r="4303" spans="1:11" x14ac:dyDescent="0.35">
      <c r="A4303" s="9" t="str">
        <f>HYPERLINK("http://www.ensembl.org/id/WBGene00016274", "WBGene00016274")</f>
        <v>WBGene00016274</v>
      </c>
      <c r="B4303" s="9" t="str">
        <f>HYPERLINK("http://www.ncbi.nlm.nih.gov/gene/174195", "174195")</f>
        <v>174195</v>
      </c>
      <c r="C4303" s="9"/>
      <c r="D4303" t="str">
        <f>"C30G12.2"</f>
        <v>C30G12.2</v>
      </c>
      <c r="F4303" t="s">
        <v>11</v>
      </c>
      <c r="G4303" t="s">
        <v>489</v>
      </c>
      <c r="H4303" s="12">
        <v>1.3536110501071801</v>
      </c>
      <c r="I4303" s="20">
        <v>1.38946810270921</v>
      </c>
      <c r="J4303" s="28">
        <v>0.16469045385293801</v>
      </c>
      <c r="K4303" s="29">
        <v>0.88475648145221897</v>
      </c>
    </row>
    <row r="4304" spans="1:11" x14ac:dyDescent="0.35">
      <c r="A4304" s="9" t="str">
        <f>HYPERLINK("http://www.ensembl.org/id/WBGene00013738", "WBGene00013738")</f>
        <v>WBGene00013738</v>
      </c>
      <c r="B4304" s="9" t="str">
        <f>HYPERLINK("http://www.ncbi.nlm.nih.gov/gene/176687", "176687")</f>
        <v>176687</v>
      </c>
      <c r="C4304" s="9"/>
      <c r="D4304" t="str">
        <f>"elpc-2"</f>
        <v>elpc-2</v>
      </c>
      <c r="E4304" t="s">
        <v>3416</v>
      </c>
      <c r="F4304" t="s">
        <v>11</v>
      </c>
      <c r="G4304" t="s">
        <v>3417</v>
      </c>
      <c r="H4304" s="12">
        <v>-1.3620646066282001</v>
      </c>
      <c r="I4304" s="20">
        <v>-1.38927207058011</v>
      </c>
      <c r="J4304" s="28">
        <v>0.16475003341517699</v>
      </c>
      <c r="K4304" s="29">
        <v>0.88487082103465298</v>
      </c>
    </row>
    <row r="4305" spans="1:11" x14ac:dyDescent="0.35">
      <c r="A4305" s="9" t="str">
        <f>HYPERLINK("http://www.ensembl.org/id/WBGene00020859", "WBGene00020859")</f>
        <v>WBGene00020859</v>
      </c>
      <c r="B4305" s="9" t="str">
        <f>HYPERLINK("http://www.ncbi.nlm.nih.gov/gene/188993", "188993")</f>
        <v>188993</v>
      </c>
      <c r="C4305" s="9"/>
      <c r="D4305" t="str">
        <f>"bath-25"</f>
        <v>bath-25</v>
      </c>
      <c r="E4305" t="s">
        <v>179</v>
      </c>
      <c r="F4305" t="s">
        <v>11</v>
      </c>
      <c r="G4305" t="s">
        <v>54</v>
      </c>
      <c r="H4305" s="12">
        <v>-4.4790770366729404</v>
      </c>
      <c r="I4305" s="20">
        <v>-1.38501703828554</v>
      </c>
      <c r="J4305" s="28">
        <v>0.16604725753479599</v>
      </c>
      <c r="K4305" s="29">
        <v>0.88498397685845498</v>
      </c>
    </row>
    <row r="4306" spans="1:11" x14ac:dyDescent="0.35">
      <c r="A4306" s="9" t="str">
        <f>HYPERLINK("http://www.ensembl.org/id/WBGene00008084", "WBGene00008084")</f>
        <v>WBGene00008084</v>
      </c>
      <c r="B4306" s="9" t="str">
        <f>HYPERLINK("http://www.ncbi.nlm.nih.gov/gene/183452", "183452")</f>
        <v>183452</v>
      </c>
      <c r="C4306" s="9"/>
      <c r="D4306" t="str">
        <f>"C44C10.3"</f>
        <v>C44C10.3</v>
      </c>
      <c r="F4306" t="s">
        <v>11</v>
      </c>
      <c r="G4306" t="s">
        <v>230</v>
      </c>
      <c r="H4306" s="12">
        <v>3.6917749719748798</v>
      </c>
      <c r="I4306" s="20">
        <v>1.3866631244050101</v>
      </c>
      <c r="J4306" s="28">
        <v>0.165544510019668</v>
      </c>
      <c r="K4306" s="29">
        <v>0.88498397685845498</v>
      </c>
    </row>
    <row r="4307" spans="1:11" x14ac:dyDescent="0.35">
      <c r="A4307" s="9" t="str">
        <f>HYPERLINK("http://www.ensembl.org/id/WBGene00018473", "WBGene00018473")</f>
        <v>WBGene00018473</v>
      </c>
      <c r="B4307" s="9" t="str">
        <f>HYPERLINK("http://www.ncbi.nlm.nih.gov/gene/24104589", "24104589")</f>
        <v>24104589</v>
      </c>
      <c r="C4307" s="9"/>
      <c r="D4307" t="str">
        <f>"cima-1"</f>
        <v>cima-1</v>
      </c>
      <c r="F4307" t="s">
        <v>11</v>
      </c>
      <c r="G4307" t="s">
        <v>3423</v>
      </c>
      <c r="H4307" s="12">
        <v>1.72715400436606</v>
      </c>
      <c r="I4307" s="20">
        <v>1.38857778328931</v>
      </c>
      <c r="J4307" s="28">
        <v>0.164961176974531</v>
      </c>
      <c r="K4307" s="29">
        <v>0.88498397685845498</v>
      </c>
    </row>
    <row r="4308" spans="1:11" x14ac:dyDescent="0.35">
      <c r="A4308" s="9" t="str">
        <f>HYPERLINK("http://www.ensembl.org/id/WBGene00008853", "WBGene00008853")</f>
        <v>WBGene00008853</v>
      </c>
      <c r="B4308" s="9" t="str">
        <f>HYPERLINK("http://www.ncbi.nlm.nih.gov/gene/184525", "184525")</f>
        <v>184525</v>
      </c>
      <c r="C4308" s="9"/>
      <c r="D4308" t="str">
        <f>"clec-101"</f>
        <v>clec-101</v>
      </c>
      <c r="E4308" t="s">
        <v>46</v>
      </c>
      <c r="F4308" t="s">
        <v>11</v>
      </c>
      <c r="G4308" t="s">
        <v>47</v>
      </c>
      <c r="H4308" s="12">
        <v>26.7081684250455</v>
      </c>
      <c r="I4308" s="20">
        <v>1.38654931783484</v>
      </c>
      <c r="J4308" s="28">
        <v>0.165579231915647</v>
      </c>
      <c r="K4308" s="29">
        <v>0.88498397685845498</v>
      </c>
    </row>
    <row r="4309" spans="1:11" x14ac:dyDescent="0.35">
      <c r="A4309" s="9" t="str">
        <f>HYPERLINK("http://www.ensembl.org/id/WBGene00014138", "WBGene00014138")</f>
        <v>WBGene00014138</v>
      </c>
      <c r="B4309" s="9" t="str">
        <f>HYPERLINK("http://www.ncbi.nlm.nih.gov/gene/178238", "178238")</f>
        <v>178238</v>
      </c>
      <c r="C4309" s="9"/>
      <c r="D4309" t="str">
        <f>"clec-186"</f>
        <v>clec-186</v>
      </c>
      <c r="E4309" t="s">
        <v>46</v>
      </c>
      <c r="F4309" t="s">
        <v>11</v>
      </c>
      <c r="G4309" t="s">
        <v>734</v>
      </c>
      <c r="H4309" s="12">
        <v>1.3736878289190899</v>
      </c>
      <c r="I4309" s="20">
        <v>1.3884795574050099</v>
      </c>
      <c r="J4309" s="28">
        <v>0.16499106543539999</v>
      </c>
      <c r="K4309" s="29">
        <v>0.88498397685845498</v>
      </c>
    </row>
    <row r="4310" spans="1:11" x14ac:dyDescent="0.35">
      <c r="A4310" s="9" t="str">
        <f>HYPERLINK("http://www.ensembl.org/id/WBGene00017108", "WBGene00017108")</f>
        <v>WBGene00017108</v>
      </c>
      <c r="B4310" s="9" t="str">
        <f>HYPERLINK("http://www.ncbi.nlm.nih.gov/gene/180838", "180838")</f>
        <v>180838</v>
      </c>
      <c r="C4310" s="9"/>
      <c r="D4310" t="str">
        <f>"cyp-43A1"</f>
        <v>cyp-43A1</v>
      </c>
      <c r="E4310" t="s">
        <v>176</v>
      </c>
      <c r="F4310" t="s">
        <v>11</v>
      </c>
      <c r="G4310" t="s">
        <v>3442</v>
      </c>
      <c r="H4310" s="12">
        <v>-1.3954930195458899</v>
      </c>
      <c r="I4310" s="20">
        <v>-1.38573011211929</v>
      </c>
      <c r="J4310" s="28">
        <v>0.16582932976774201</v>
      </c>
      <c r="K4310" s="29">
        <v>0.88498397685845498</v>
      </c>
    </row>
    <row r="4311" spans="1:11" x14ac:dyDescent="0.35">
      <c r="A4311" s="9" t="str">
        <f>HYPERLINK("http://www.ensembl.org/id/WBGene00008426", "WBGene00008426")</f>
        <v>WBGene00008426</v>
      </c>
      <c r="B4311" s="9" t="str">
        <f>HYPERLINK("http://www.ncbi.nlm.nih.gov/gene/3565069", "3565069")</f>
        <v>3565069</v>
      </c>
      <c r="C4311" s="9"/>
      <c r="D4311" t="str">
        <f>"D2045.9"</f>
        <v>D2045.9</v>
      </c>
      <c r="F4311" t="s">
        <v>11</v>
      </c>
      <c r="G4311" t="s">
        <v>3425</v>
      </c>
      <c r="H4311" s="12">
        <v>1.36446383512387</v>
      </c>
      <c r="I4311" s="20">
        <v>1.3879261387831601</v>
      </c>
      <c r="J4311" s="28">
        <v>0.16515953747553799</v>
      </c>
      <c r="K4311" s="29">
        <v>0.88498397685845498</v>
      </c>
    </row>
    <row r="4312" spans="1:11" x14ac:dyDescent="0.35">
      <c r="A4312" s="9" t="str">
        <f>HYPERLINK("http://www.ensembl.org/id/WBGene00017056", "WBGene00017056")</f>
        <v>WBGene00017056</v>
      </c>
      <c r="B4312" s="9" t="str">
        <f>HYPERLINK("http://www.ncbi.nlm.nih.gov/gene/183954", "183954")</f>
        <v>183954</v>
      </c>
      <c r="C4312" s="9"/>
      <c r="D4312" t="str">
        <f>"D2062.4"</f>
        <v>D2062.4</v>
      </c>
      <c r="F4312" t="s">
        <v>11</v>
      </c>
      <c r="G4312" t="s">
        <v>25</v>
      </c>
      <c r="H4312" s="12">
        <v>-27.474018811195702</v>
      </c>
      <c r="I4312" s="20">
        <v>-1.38459641209259</v>
      </c>
      <c r="J4312" s="28">
        <v>0.166175909183952</v>
      </c>
      <c r="K4312" s="29">
        <v>0.88498397685845498</v>
      </c>
    </row>
    <row r="4313" spans="1:11" x14ac:dyDescent="0.35">
      <c r="A4313" s="9" t="str">
        <f>HYPERLINK("http://www.ensembl.org/id/WBGene00000929", "WBGene00000929")</f>
        <v>WBGene00000929</v>
      </c>
      <c r="B4313" s="9" t="str">
        <f>HYPERLINK("http://www.ncbi.nlm.nih.gov/gene/181065", "181065")</f>
        <v>181065</v>
      </c>
      <c r="C4313" s="9"/>
      <c r="D4313" t="str">
        <f>"dao-3"</f>
        <v>dao-3</v>
      </c>
      <c r="E4313" t="s">
        <v>3429</v>
      </c>
      <c r="F4313" t="s">
        <v>11</v>
      </c>
      <c r="G4313" t="s">
        <v>3430</v>
      </c>
      <c r="H4313" s="12">
        <v>-1.2959554031681699</v>
      </c>
      <c r="I4313" s="20">
        <v>-1.3878378071341699</v>
      </c>
      <c r="J4313" s="28">
        <v>0.165186439429753</v>
      </c>
      <c r="K4313" s="29">
        <v>0.88498397685845498</v>
      </c>
    </row>
    <row r="4314" spans="1:11" x14ac:dyDescent="0.35">
      <c r="A4314" s="9" t="str">
        <f>HYPERLINK("http://www.ensembl.org/id/WBGene00010125", "WBGene00010125")</f>
        <v>WBGene00010125</v>
      </c>
      <c r="B4314" s="9" t="str">
        <f>HYPERLINK("http://www.ncbi.nlm.nih.gov/gene/178247", "178247")</f>
        <v>178247</v>
      </c>
      <c r="C4314" s="9"/>
      <c r="D4314" t="str">
        <f>"dod-22"</f>
        <v>dod-22</v>
      </c>
      <c r="E4314" t="s">
        <v>24</v>
      </c>
      <c r="F4314" t="s">
        <v>11</v>
      </c>
      <c r="G4314" t="s">
        <v>1876</v>
      </c>
      <c r="H4314" s="12">
        <v>-2.1772170947687801</v>
      </c>
      <c r="I4314" s="20">
        <v>-1.38805899639698</v>
      </c>
      <c r="J4314" s="28">
        <v>0.16511908107169099</v>
      </c>
      <c r="K4314" s="29">
        <v>0.88498397685845498</v>
      </c>
    </row>
    <row r="4315" spans="1:11" x14ac:dyDescent="0.35">
      <c r="A4315" s="9" t="str">
        <f>HYPERLINK("http://www.ensembl.org/id/WBGene00001148", "WBGene00001148")</f>
        <v>WBGene00001148</v>
      </c>
      <c r="B4315" s="9" t="str">
        <f>HYPERLINK("http://www.ncbi.nlm.nih.gov/gene/181641", "181641")</f>
        <v>181641</v>
      </c>
      <c r="C4315" s="9"/>
      <c r="D4315" t="str">
        <f>"eat-20"</f>
        <v>eat-20</v>
      </c>
      <c r="E4315" t="s">
        <v>3426</v>
      </c>
      <c r="F4315" t="s">
        <v>11</v>
      </c>
      <c r="G4315" t="s">
        <v>325</v>
      </c>
      <c r="H4315" s="12">
        <v>1.3165224378012399</v>
      </c>
      <c r="I4315" s="20">
        <v>1.3844972594782701</v>
      </c>
      <c r="J4315" s="28">
        <v>0.166206246663577</v>
      </c>
      <c r="K4315" s="29">
        <v>0.88498397685845498</v>
      </c>
    </row>
    <row r="4316" spans="1:11" x14ac:dyDescent="0.35">
      <c r="A4316" s="9" t="str">
        <f>HYPERLINK("http://www.ensembl.org/id/WBGene00008500", "WBGene00008500")</f>
        <v>WBGene00008500</v>
      </c>
      <c r="B4316" s="9" t="str">
        <f>HYPERLINK("http://www.ncbi.nlm.nih.gov/gene/184059", "184059")</f>
        <v>184059</v>
      </c>
      <c r="C4316" s="9"/>
      <c r="D4316" t="str">
        <f>"F01D5.10"</f>
        <v>F01D5.10</v>
      </c>
      <c r="F4316" t="s">
        <v>11</v>
      </c>
      <c r="G4316" t="s">
        <v>3419</v>
      </c>
      <c r="H4316" s="12">
        <v>3.69452920255421</v>
      </c>
      <c r="I4316" s="20">
        <v>1.3859551059461099</v>
      </c>
      <c r="J4316" s="28">
        <v>0.165760612415569</v>
      </c>
      <c r="K4316" s="29">
        <v>0.88498397685845498</v>
      </c>
    </row>
    <row r="4317" spans="1:11" x14ac:dyDescent="0.35">
      <c r="A4317" s="9" t="str">
        <f>HYPERLINK("http://www.ensembl.org/id/WBGene00195214", "WBGene00195214")</f>
        <v>WBGene00195214</v>
      </c>
      <c r="B4317" s="9" t="str">
        <f>HYPERLINK("http://www.ncbi.nlm.nih.gov/gene/13223340", "13223340")</f>
        <v>13223340</v>
      </c>
      <c r="C4317" s="9"/>
      <c r="D4317" t="str">
        <f>"F11C1.10"</f>
        <v>F11C1.10</v>
      </c>
      <c r="F4317" t="s">
        <v>11</v>
      </c>
      <c r="G4317" t="s">
        <v>3418</v>
      </c>
      <c r="H4317" s="12">
        <v>5.0904983902205601</v>
      </c>
      <c r="I4317" s="20">
        <v>1.38443093821941</v>
      </c>
      <c r="J4317" s="28">
        <v>0.16622654113934501</v>
      </c>
      <c r="K4317" s="29">
        <v>0.88498397685845498</v>
      </c>
    </row>
    <row r="4318" spans="1:11" x14ac:dyDescent="0.35">
      <c r="A4318" s="9" t="str">
        <f>HYPERLINK("http://www.ensembl.org/id/WBGene00008798", "WBGene00008798")</f>
        <v>WBGene00008798</v>
      </c>
      <c r="B4318" s="9" t="str">
        <f>HYPERLINK("http://www.ncbi.nlm.nih.gov/gene/3565202", "3565202")</f>
        <v>3565202</v>
      </c>
      <c r="C4318" s="9"/>
      <c r="D4318" t="str">
        <f>"F14D7.11"</f>
        <v>F14D7.11</v>
      </c>
      <c r="F4318" t="s">
        <v>11</v>
      </c>
      <c r="G4318" t="s">
        <v>2947</v>
      </c>
      <c r="H4318" s="12">
        <v>26.7081684250455</v>
      </c>
      <c r="I4318" s="20">
        <v>1.38654931783484</v>
      </c>
      <c r="J4318" s="28">
        <v>0.165579231915647</v>
      </c>
      <c r="K4318" s="29">
        <v>0.88498397685845498</v>
      </c>
    </row>
    <row r="4319" spans="1:11" x14ac:dyDescent="0.35">
      <c r="A4319" s="9" t="str">
        <f>HYPERLINK("http://www.ensembl.org/id/WBGene00194674", "WBGene00194674")</f>
        <v>WBGene00194674</v>
      </c>
      <c r="B4319" s="9" t="str">
        <f>HYPERLINK("http://www.ncbi.nlm.nih.gov/gene/13223834", "13223834")</f>
        <v>13223834</v>
      </c>
      <c r="C4319" s="9"/>
      <c r="D4319" t="str">
        <f>"F23D12.11"</f>
        <v>F23D12.11</v>
      </c>
      <c r="F4319" t="s">
        <v>11</v>
      </c>
      <c r="H4319" s="12">
        <v>-1.379120012552</v>
      </c>
      <c r="I4319" s="20">
        <v>-1.38835514672609</v>
      </c>
      <c r="J4319" s="28">
        <v>0.16502892733414201</v>
      </c>
      <c r="K4319" s="29">
        <v>0.88498397685845498</v>
      </c>
    </row>
    <row r="4320" spans="1:11" x14ac:dyDescent="0.35">
      <c r="A4320" s="9" t="str">
        <f>HYPERLINK("http://www.ensembl.org/id/WBGene00023504", "WBGene00023504")</f>
        <v>WBGene00023504</v>
      </c>
      <c r="B4320" s="9" t="str">
        <f>HYPERLINK("http://www.ncbi.nlm.nih.gov/gene/259345", "259345")</f>
        <v>259345</v>
      </c>
      <c r="C4320" s="9"/>
      <c r="D4320" t="str">
        <f>"F26F2.8"</f>
        <v>F26F2.8</v>
      </c>
      <c r="F4320" t="s">
        <v>11</v>
      </c>
      <c r="H4320" s="12">
        <v>1.3452837395580499</v>
      </c>
      <c r="I4320" s="20">
        <v>1.3861430244530699</v>
      </c>
      <c r="J4320" s="28">
        <v>0.16570323498453801</v>
      </c>
      <c r="K4320" s="29">
        <v>0.88498397685845498</v>
      </c>
    </row>
    <row r="4321" spans="1:11" x14ac:dyDescent="0.35">
      <c r="A4321" s="9" t="str">
        <f>HYPERLINK("http://www.ensembl.org/id/WBGene00009261", "WBGene00009261")</f>
        <v>WBGene00009261</v>
      </c>
      <c r="B4321" s="9" t="str">
        <f>HYPERLINK("http://www.ncbi.nlm.nih.gov/gene/172776", "172776")</f>
        <v>172776</v>
      </c>
      <c r="C4321" s="9"/>
      <c r="D4321" t="str">
        <f>"F30A10.2"</f>
        <v>F30A10.2</v>
      </c>
      <c r="F4321" t="s">
        <v>11</v>
      </c>
      <c r="H4321" s="12">
        <v>-2.79781238043905</v>
      </c>
      <c r="I4321" s="20">
        <v>-1.38693407954593</v>
      </c>
      <c r="J4321" s="28">
        <v>0.165461864819824</v>
      </c>
      <c r="K4321" s="29">
        <v>0.88498397685845498</v>
      </c>
    </row>
    <row r="4322" spans="1:11" x14ac:dyDescent="0.35">
      <c r="A4322" s="9" t="str">
        <f>HYPERLINK("http://www.ensembl.org/id/WBGene00019496", "WBGene00019496")</f>
        <v>WBGene00019496</v>
      </c>
      <c r="B4322" s="9" t="str">
        <f>HYPERLINK("http://www.ncbi.nlm.nih.gov/gene/187113", "187113")</f>
        <v>187113</v>
      </c>
      <c r="C4322" s="9"/>
      <c r="D4322" t="str">
        <f>"frpr-14"</f>
        <v>frpr-14</v>
      </c>
      <c r="E4322" t="s">
        <v>2289</v>
      </c>
      <c r="F4322" t="s">
        <v>11</v>
      </c>
      <c r="G4322" t="s">
        <v>1089</v>
      </c>
      <c r="H4322" s="12">
        <v>1.6545246532365301</v>
      </c>
      <c r="I4322" s="20">
        <v>1.3870028177042399</v>
      </c>
      <c r="J4322" s="28">
        <v>0.165440903634958</v>
      </c>
      <c r="K4322" s="29">
        <v>0.88498397685845498</v>
      </c>
    </row>
    <row r="4323" spans="1:11" x14ac:dyDescent="0.35">
      <c r="A4323" s="9" t="str">
        <f>HYPERLINK("http://www.ensembl.org/id/WBGene00006452", "WBGene00006452")</f>
        <v>WBGene00006452</v>
      </c>
      <c r="B4323" s="9" t="str">
        <f>HYPERLINK("http://www.ncbi.nlm.nih.gov/gene/175426", "175426")</f>
        <v>175426</v>
      </c>
      <c r="C4323" s="9"/>
      <c r="D4323" t="str">
        <f>"heh-1"</f>
        <v>heh-1</v>
      </c>
      <c r="F4323" t="s">
        <v>11</v>
      </c>
      <c r="G4323" t="s">
        <v>3438</v>
      </c>
      <c r="H4323" s="12">
        <v>-1.3478796084964899</v>
      </c>
      <c r="I4323" s="20">
        <v>-1.3869918144889</v>
      </c>
      <c r="J4323" s="28">
        <v>0.16544425884845401</v>
      </c>
      <c r="K4323" s="29">
        <v>0.88498397685845498</v>
      </c>
    </row>
    <row r="4324" spans="1:11" x14ac:dyDescent="0.35">
      <c r="A4324" s="9" t="str">
        <f>HYPERLINK("http://www.ensembl.org/id/WBGene00008047", "WBGene00008047")</f>
        <v>WBGene00008047</v>
      </c>
      <c r="B4324" s="9" t="str">
        <f>HYPERLINK("http://www.ncbi.nlm.nih.gov/gene/183371", "183371")</f>
        <v>183371</v>
      </c>
      <c r="C4324" s="9"/>
      <c r="D4324" t="str">
        <f>"lact-7"</f>
        <v>lact-7</v>
      </c>
      <c r="E4324" t="s">
        <v>1085</v>
      </c>
      <c r="F4324" t="s">
        <v>11</v>
      </c>
      <c r="H4324" s="12">
        <v>1.3352744328136801</v>
      </c>
      <c r="I4324" s="20">
        <v>1.38617987443081</v>
      </c>
      <c r="J4324" s="28">
        <v>0.16569198527983101</v>
      </c>
      <c r="K4324" s="29">
        <v>0.88498397685845498</v>
      </c>
    </row>
    <row r="4325" spans="1:11" x14ac:dyDescent="0.35">
      <c r="A4325" s="9" t="str">
        <f>HYPERLINK("http://www.ensembl.org/id/WBGene00019794", "WBGene00019794")</f>
        <v>WBGene00019794</v>
      </c>
      <c r="B4325" s="9" t="str">
        <f>HYPERLINK("http://www.ncbi.nlm.nih.gov/gene/187479", "187479")</f>
        <v>187479</v>
      </c>
      <c r="C4325" s="9"/>
      <c r="D4325" t="str">
        <f>"M151.2"</f>
        <v>M151.2</v>
      </c>
      <c r="F4325" t="s">
        <v>11</v>
      </c>
      <c r="G4325" t="s">
        <v>3446</v>
      </c>
      <c r="H4325" s="12">
        <v>-3.6959011746020001</v>
      </c>
      <c r="I4325" s="20">
        <v>-1.3848473755613699</v>
      </c>
      <c r="J4325" s="28">
        <v>0.16609914112351101</v>
      </c>
      <c r="K4325" s="29">
        <v>0.88498397685845498</v>
      </c>
    </row>
    <row r="4326" spans="1:11" x14ac:dyDescent="0.35">
      <c r="A4326" s="9" t="str">
        <f>HYPERLINK("http://www.ensembl.org/id/WBGene00003173", "WBGene00003173")</f>
        <v>WBGene00003173</v>
      </c>
      <c r="B4326" s="9" t="str">
        <f>HYPERLINK("http://www.ncbi.nlm.nih.gov/gene/179382", "179382")</f>
        <v>179382</v>
      </c>
      <c r="C4326" s="9"/>
      <c r="D4326" t="str">
        <f>"mec-9"</f>
        <v>mec-9</v>
      </c>
      <c r="F4326" t="s">
        <v>11</v>
      </c>
      <c r="G4326" t="s">
        <v>3424</v>
      </c>
      <c r="H4326" s="12">
        <v>1.4240706223603301</v>
      </c>
      <c r="I4326" s="20">
        <v>1.3861151250185899</v>
      </c>
      <c r="J4326" s="28">
        <v>0.165711752614773</v>
      </c>
      <c r="K4326" s="29">
        <v>0.88498397685845498</v>
      </c>
    </row>
    <row r="4327" spans="1:11" x14ac:dyDescent="0.35">
      <c r="A4327" s="9" t="str">
        <f>HYPERLINK("http://www.ensembl.org/id/WBGene00009439", "WBGene00009439")</f>
        <v>WBGene00009439</v>
      </c>
      <c r="B4327" s="9" t="str">
        <f>HYPERLINK("http://www.ncbi.nlm.nih.gov/gene/175597", "175597")</f>
        <v>175597</v>
      </c>
      <c r="C4327" s="9" t="str">
        <f>HYPERLINK("http://www.ncbi.nlm.nih.gov/gene/23417", "23417")</f>
        <v>23417</v>
      </c>
      <c r="D4327" t="str">
        <f>"mlcd-1"</f>
        <v>mlcd-1</v>
      </c>
      <c r="E4327" t="s">
        <v>3435</v>
      </c>
      <c r="F4327" t="s">
        <v>11</v>
      </c>
      <c r="G4327" t="s">
        <v>3436</v>
      </c>
      <c r="H4327" s="12">
        <v>-1.32533564946716</v>
      </c>
      <c r="I4327" s="20">
        <v>-1.3881909324093999</v>
      </c>
      <c r="J4327" s="28">
        <v>0.16507891268681599</v>
      </c>
      <c r="K4327" s="29">
        <v>0.88498397685845498</v>
      </c>
    </row>
    <row r="4328" spans="1:11" x14ac:dyDescent="0.35">
      <c r="A4328" s="9" t="str">
        <f>HYPERLINK("http://www.ensembl.org/id/WBGene00015133", "WBGene00015133")</f>
        <v>WBGene00015133</v>
      </c>
      <c r="B4328" s="9" t="str">
        <f>HYPERLINK("http://www.ncbi.nlm.nih.gov/gene/181917", "181917")</f>
        <v>181917</v>
      </c>
      <c r="C4328" s="9" t="str">
        <f>HYPERLINK("http://www.ncbi.nlm.nih.gov/gene/65003", "65003")</f>
        <v>65003</v>
      </c>
      <c r="D4328" t="str">
        <f>"mrpl-11"</f>
        <v>mrpl-11</v>
      </c>
      <c r="E4328" t="s">
        <v>3439</v>
      </c>
      <c r="F4328" t="s">
        <v>11</v>
      </c>
      <c r="G4328" t="s">
        <v>3440</v>
      </c>
      <c r="H4328" s="12">
        <v>-1.3481098958436499</v>
      </c>
      <c r="I4328" s="20">
        <v>-1.3851414221331499</v>
      </c>
      <c r="J4328" s="28">
        <v>0.16600922816538399</v>
      </c>
      <c r="K4328" s="29">
        <v>0.88498397685845498</v>
      </c>
    </row>
    <row r="4329" spans="1:11" x14ac:dyDescent="0.35">
      <c r="A4329" s="9" t="str">
        <f>HYPERLINK("http://www.ensembl.org/id/WBGene00003892", "WBGene00003892")</f>
        <v>WBGene00003892</v>
      </c>
      <c r="B4329" s="9" t="str">
        <f>HYPERLINK("http://www.ncbi.nlm.nih.gov/gene/190704", "190704")</f>
        <v>190704</v>
      </c>
      <c r="C4329" s="9" t="str">
        <f>HYPERLINK("http://www.ncbi.nlm.nih.gov/gene/55212", "55212")</f>
        <v>55212</v>
      </c>
      <c r="D4329" t="str">
        <f>"osm-12"</f>
        <v>osm-12</v>
      </c>
      <c r="E4329" t="s">
        <v>3421</v>
      </c>
      <c r="F4329" t="s">
        <v>11</v>
      </c>
      <c r="G4329" t="s">
        <v>3422</v>
      </c>
      <c r="H4329" s="12">
        <v>1.8109332347317799</v>
      </c>
      <c r="I4329" s="20">
        <v>1.3864356213101301</v>
      </c>
      <c r="J4329" s="28">
        <v>0.165613925708779</v>
      </c>
      <c r="K4329" s="29">
        <v>0.88498397685845498</v>
      </c>
    </row>
    <row r="4330" spans="1:11" x14ac:dyDescent="0.35">
      <c r="A4330" s="9" t="str">
        <f>HYPERLINK("http://www.ensembl.org/id/WBGene00019941", "WBGene00019941")</f>
        <v>WBGene00019941</v>
      </c>
      <c r="B4330" s="9" t="str">
        <f>HYPERLINK("http://www.ncbi.nlm.nih.gov/gene/174231", "174231")</f>
        <v>174231</v>
      </c>
      <c r="C4330" s="9" t="str">
        <f>HYPERLINK("http://www.ncbi.nlm.nih.gov/gene/192111", "192111")</f>
        <v>192111</v>
      </c>
      <c r="D4330" t="str">
        <f>"pgam-5"</f>
        <v>pgam-5</v>
      </c>
      <c r="E4330" t="s">
        <v>3431</v>
      </c>
      <c r="F4330" t="s">
        <v>11</v>
      </c>
      <c r="H4330" s="12">
        <v>-1.30024138084489</v>
      </c>
      <c r="I4330" s="20">
        <v>-1.3890228299870899</v>
      </c>
      <c r="J4330" s="28">
        <v>0.164825807928285</v>
      </c>
      <c r="K4330" s="29">
        <v>0.88498397685845498</v>
      </c>
    </row>
    <row r="4331" spans="1:11" x14ac:dyDescent="0.35">
      <c r="A4331" s="9" t="str">
        <f>HYPERLINK("http://www.ensembl.org/id/WBGene00004020", "WBGene00004020")</f>
        <v>WBGene00004020</v>
      </c>
      <c r="B4331" s="9" t="str">
        <f>HYPERLINK("http://www.ncbi.nlm.nih.gov/gene/173896", "173896")</f>
        <v>173896</v>
      </c>
      <c r="C4331" s="9"/>
      <c r="D4331" t="str">
        <f>"pho-1"</f>
        <v>pho-1</v>
      </c>
      <c r="E4331" t="s">
        <v>3443</v>
      </c>
      <c r="F4331" t="s">
        <v>11</v>
      </c>
      <c r="H4331" s="12">
        <v>-1.6039036911403699</v>
      </c>
      <c r="I4331" s="20">
        <v>-1.3884262392157101</v>
      </c>
      <c r="J4331" s="28">
        <v>0.165007290957773</v>
      </c>
      <c r="K4331" s="29">
        <v>0.88498397685845498</v>
      </c>
    </row>
    <row r="4332" spans="1:11" x14ac:dyDescent="0.35">
      <c r="A4332" s="9" t="str">
        <f>HYPERLINK("http://www.ensembl.org/id/WBGene00009264", "WBGene00009264")</f>
        <v>WBGene00009264</v>
      </c>
      <c r="B4332" s="9" t="str">
        <f>HYPERLINK("http://www.ncbi.nlm.nih.gov/gene/172778", "172778")</f>
        <v>172778</v>
      </c>
      <c r="C4332" s="9" t="str">
        <f>HYPERLINK("http://www.ncbi.nlm.nih.gov/gene/22908", "22908")</f>
        <v>22908</v>
      </c>
      <c r="D4332" t="str">
        <f>"sac-1"</f>
        <v>sac-1</v>
      </c>
      <c r="E4332" t="s">
        <v>3427</v>
      </c>
      <c r="F4332" t="s">
        <v>11</v>
      </c>
      <c r="G4332" t="s">
        <v>3428</v>
      </c>
      <c r="H4332" s="12">
        <v>-1.29020154233384</v>
      </c>
      <c r="I4332" s="20">
        <v>-1.3850844326278899</v>
      </c>
      <c r="J4332" s="28">
        <v>0.16602665143887299</v>
      </c>
      <c r="K4332" s="29">
        <v>0.88498397685845498</v>
      </c>
    </row>
    <row r="4333" spans="1:11" x14ac:dyDescent="0.35">
      <c r="A4333" s="9" t="str">
        <f>HYPERLINK("http://www.ensembl.org/id/WBGene00007733", "WBGene00007733")</f>
        <v>WBGene00007733</v>
      </c>
      <c r="B4333" s="9" t="str">
        <f>HYPERLINK("http://www.ncbi.nlm.nih.gov/gene/178197", "178197")</f>
        <v>178197</v>
      </c>
      <c r="C4333" s="9"/>
      <c r="D4333" t="str">
        <f>"smz-1"</f>
        <v>smz-1</v>
      </c>
      <c r="E4333" t="s">
        <v>3444</v>
      </c>
      <c r="F4333" t="s">
        <v>11</v>
      </c>
      <c r="G4333" t="s">
        <v>3445</v>
      </c>
      <c r="H4333" s="12">
        <v>-2.12447447904679</v>
      </c>
      <c r="I4333" s="20">
        <v>-1.3870263881329801</v>
      </c>
      <c r="J4333" s="28">
        <v>0.16543371646993099</v>
      </c>
      <c r="K4333" s="29">
        <v>0.88498397685845498</v>
      </c>
    </row>
    <row r="4334" spans="1:11" x14ac:dyDescent="0.35">
      <c r="A4334" s="9" t="str">
        <f>HYPERLINK("http://www.ensembl.org/id/WBGene00005251", "WBGene00005251")</f>
        <v>WBGene00005251</v>
      </c>
      <c r="B4334" s="9" t="str">
        <f>HYPERLINK("http://www.ncbi.nlm.nih.gov/gene/191850", "191850")</f>
        <v>191850</v>
      </c>
      <c r="C4334" s="9"/>
      <c r="D4334" t="str">
        <f>"srh-28"</f>
        <v>srh-28</v>
      </c>
      <c r="E4334" t="s">
        <v>153</v>
      </c>
      <c r="F4334" t="s">
        <v>11</v>
      </c>
      <c r="G4334" t="s">
        <v>25</v>
      </c>
      <c r="H4334" s="12">
        <v>4.0638970471537004</v>
      </c>
      <c r="I4334" s="20">
        <v>1.38640003086851</v>
      </c>
      <c r="J4334" s="28">
        <v>0.165624787036458</v>
      </c>
      <c r="K4334" s="29">
        <v>0.88498397685845498</v>
      </c>
    </row>
    <row r="4335" spans="1:11" x14ac:dyDescent="0.35">
      <c r="A4335" s="9" t="str">
        <f>HYPERLINK("http://www.ensembl.org/id/WBGene00006201", "WBGene00006201")</f>
        <v>WBGene00006201</v>
      </c>
      <c r="B4335" s="9" t="str">
        <f>HYPERLINK("http://www.ncbi.nlm.nih.gov/gene/189415", "189415")</f>
        <v>189415</v>
      </c>
      <c r="C4335" s="9"/>
      <c r="D4335" t="str">
        <f>"str-155"</f>
        <v>str-155</v>
      </c>
      <c r="E4335" t="s">
        <v>590</v>
      </c>
      <c r="F4335" t="s">
        <v>11</v>
      </c>
      <c r="G4335" t="s">
        <v>591</v>
      </c>
      <c r="H4335" s="12">
        <v>22.320045093763699</v>
      </c>
      <c r="I4335" s="20">
        <v>1.3850432190753299</v>
      </c>
      <c r="J4335" s="28">
        <v>0.16603925242272599</v>
      </c>
      <c r="K4335" s="29">
        <v>0.88498397685845498</v>
      </c>
    </row>
    <row r="4336" spans="1:11" x14ac:dyDescent="0.35">
      <c r="A4336" s="9" t="str">
        <f>HYPERLINK("http://www.ensembl.org/id/WBGene00020259", "WBGene00020259")</f>
        <v>WBGene00020259</v>
      </c>
      <c r="B4336" s="9" t="str">
        <f>HYPERLINK("http://www.ncbi.nlm.nih.gov/gene/172306", "172306")</f>
        <v>172306</v>
      </c>
      <c r="C4336" s="9" t="str">
        <f>HYPERLINK("http://www.ncbi.nlm.nih.gov/gene/9897", "9897")</f>
        <v>9897</v>
      </c>
      <c r="D4336" t="str">
        <f>"T05E7.3"</f>
        <v>T05E7.3</v>
      </c>
      <c r="F4336" t="s">
        <v>11</v>
      </c>
      <c r="G4336" t="s">
        <v>3434</v>
      </c>
      <c r="H4336" s="12">
        <v>-1.32245492921619</v>
      </c>
      <c r="I4336" s="20">
        <v>-1.3848969610739199</v>
      </c>
      <c r="J4336" s="28">
        <v>0.16608397640026601</v>
      </c>
      <c r="K4336" s="29">
        <v>0.88498397685845498</v>
      </c>
    </row>
    <row r="4337" spans="1:11" x14ac:dyDescent="0.35">
      <c r="A4337" s="9" t="str">
        <f>HYPERLINK("http://www.ensembl.org/id/WBGene00011493", "WBGene00011493")</f>
        <v>WBGene00011493</v>
      </c>
      <c r="B4337" s="9" t="str">
        <f>HYPERLINK("http://www.ncbi.nlm.nih.gov/gene/172809", "172809")</f>
        <v>172809</v>
      </c>
      <c r="C4337" s="9" t="str">
        <f>HYPERLINK("http://www.ncbi.nlm.nih.gov/gene/5250", "5250")</f>
        <v>5250</v>
      </c>
      <c r="D4337" t="str">
        <f>"T05F1.8"</f>
        <v>T05F1.8</v>
      </c>
      <c r="F4337" t="s">
        <v>11</v>
      </c>
      <c r="G4337" t="s">
        <v>3420</v>
      </c>
      <c r="H4337" s="12">
        <v>1.9781107616834399</v>
      </c>
      <c r="I4337" s="20">
        <v>1.3854510769911099</v>
      </c>
      <c r="J4337" s="28">
        <v>0.16591458211791699</v>
      </c>
      <c r="K4337" s="29">
        <v>0.88498397685845498</v>
      </c>
    </row>
    <row r="4338" spans="1:11" x14ac:dyDescent="0.35">
      <c r="A4338" s="9" t="str">
        <f>HYPERLINK("http://www.ensembl.org/id/WBGene00020786", "WBGene00020786")</f>
        <v>WBGene00020786</v>
      </c>
      <c r="B4338" s="9" t="str">
        <f>HYPERLINK("http://www.ncbi.nlm.nih.gov/gene/180887", "180887")</f>
        <v>180887</v>
      </c>
      <c r="C4338" s="9"/>
      <c r="D4338" t="str">
        <f>"T25B2.2"</f>
        <v>T25B2.2</v>
      </c>
      <c r="F4338" t="s">
        <v>11</v>
      </c>
      <c r="H4338" s="12">
        <v>-1.2816191834865001</v>
      </c>
      <c r="I4338" s="20">
        <v>-1.38617456088031</v>
      </c>
      <c r="J4338" s="28">
        <v>0.165693607385765</v>
      </c>
      <c r="K4338" s="29">
        <v>0.88498397685845498</v>
      </c>
    </row>
    <row r="4339" spans="1:11" x14ac:dyDescent="0.35">
      <c r="A4339" s="9" t="str">
        <f>HYPERLINK("http://www.ensembl.org/id/WBGene00012030", "WBGene00012030")</f>
        <v>WBGene00012030</v>
      </c>
      <c r="B4339" s="9" t="str">
        <f>HYPERLINK("http://www.ncbi.nlm.nih.gov/gene/3565801", "3565801")</f>
        <v>3565801</v>
      </c>
      <c r="C4339" s="9" t="str">
        <f>HYPERLINK("http://www.ncbi.nlm.nih.gov/gene/51068", "51068")</f>
        <v>51068</v>
      </c>
      <c r="D4339" t="str">
        <f>"T25G3.3"</f>
        <v>T25G3.3</v>
      </c>
      <c r="E4339" t="s">
        <v>3432</v>
      </c>
      <c r="F4339" t="s">
        <v>11</v>
      </c>
      <c r="G4339" t="s">
        <v>3433</v>
      </c>
      <c r="H4339" s="12">
        <v>-1.3152106438608699</v>
      </c>
      <c r="I4339" s="20">
        <v>-1.38472032874124</v>
      </c>
      <c r="J4339" s="28">
        <v>0.16613800056884401</v>
      </c>
      <c r="K4339" s="29">
        <v>0.88498397685845498</v>
      </c>
    </row>
    <row r="4340" spans="1:11" x14ac:dyDescent="0.35">
      <c r="A4340" s="9" t="str">
        <f>HYPERLINK("http://www.ensembl.org/id/WBGene00018085", "WBGene00018085")</f>
        <v>WBGene00018085</v>
      </c>
      <c r="B4340" s="9" t="str">
        <f>HYPERLINK("http://www.ncbi.nlm.nih.gov/gene/177189", "177189")</f>
        <v>177189</v>
      </c>
      <c r="C4340" s="9"/>
      <c r="D4340" t="str">
        <f>"ttr-20"</f>
        <v>ttr-20</v>
      </c>
      <c r="E4340" t="s">
        <v>16</v>
      </c>
      <c r="F4340" t="s">
        <v>11</v>
      </c>
      <c r="G4340" t="s">
        <v>17</v>
      </c>
      <c r="H4340" s="12">
        <v>1.64547796917242</v>
      </c>
      <c r="I4340" s="20">
        <v>1.38710883175472</v>
      </c>
      <c r="J4340" s="28">
        <v>0.16540857936453501</v>
      </c>
      <c r="K4340" s="29">
        <v>0.88498397685845498</v>
      </c>
    </row>
    <row r="4341" spans="1:11" x14ac:dyDescent="0.35">
      <c r="A4341" s="9" t="str">
        <f>HYPERLINK("http://www.ensembl.org/id/WBGene00006795", "WBGene00006795")</f>
        <v>WBGene00006795</v>
      </c>
      <c r="B4341" s="9" t="str">
        <f>HYPERLINK("http://www.ncbi.nlm.nih.gov/gene/179976", "179976")</f>
        <v>179976</v>
      </c>
      <c r="C4341" s="9" t="str">
        <f>HYPERLINK("http://www.ncbi.nlm.nih.gov/gene/23157", "23157")</f>
        <v>23157</v>
      </c>
      <c r="D4341" t="str">
        <f>"unc-61"</f>
        <v>unc-61</v>
      </c>
      <c r="F4341" t="s">
        <v>11</v>
      </c>
      <c r="G4341" t="s">
        <v>3441</v>
      </c>
      <c r="H4341" s="12">
        <v>-1.3553739146127699</v>
      </c>
      <c r="I4341" s="20">
        <v>-1.38813937657404</v>
      </c>
      <c r="J4341" s="28">
        <v>0.16509460816726701</v>
      </c>
      <c r="K4341" s="29">
        <v>0.88498397685845498</v>
      </c>
    </row>
    <row r="4342" spans="1:11" x14ac:dyDescent="0.35">
      <c r="A4342" s="9" t="str">
        <f>HYPERLINK("http://www.ensembl.org/id/WBGene00012977", "WBGene00012977")</f>
        <v>WBGene00012977</v>
      </c>
      <c r="B4342" s="9" t="str">
        <f>HYPERLINK("http://www.ncbi.nlm.nih.gov/gene/190016", "190016")</f>
        <v>190016</v>
      </c>
      <c r="C4342" s="9"/>
      <c r="D4342" t="str">
        <f>"Y48A6C.4"</f>
        <v>Y48A6C.4</v>
      </c>
      <c r="F4342" t="s">
        <v>11</v>
      </c>
      <c r="G4342" t="s">
        <v>3437</v>
      </c>
      <c r="H4342" s="12">
        <v>-1.34720849842073</v>
      </c>
      <c r="I4342" s="20">
        <v>-1.3851288862634401</v>
      </c>
      <c r="J4342" s="28">
        <v>0.16601306061069199</v>
      </c>
      <c r="K4342" s="29">
        <v>0.88498397685845498</v>
      </c>
    </row>
    <row r="4343" spans="1:11" x14ac:dyDescent="0.35">
      <c r="A4343" s="9" t="str">
        <f>HYPERLINK("http://www.ensembl.org/id/WBGene00003426", "WBGene00003426")</f>
        <v>WBGene00003426</v>
      </c>
      <c r="B4343" s="9" t="str">
        <f>HYPERLINK("http://www.ncbi.nlm.nih.gov/gene/177305", "177305")</f>
        <v>177305</v>
      </c>
      <c r="C4343" s="9"/>
      <c r="D4343" t="str">
        <f>"msp-19"</f>
        <v>msp-19</v>
      </c>
      <c r="E4343" t="s">
        <v>3447</v>
      </c>
      <c r="F4343" t="s">
        <v>11</v>
      </c>
      <c r="H4343" s="12">
        <v>-2.2121486123685998</v>
      </c>
      <c r="I4343" s="20">
        <v>-1.3841930212901701</v>
      </c>
      <c r="J4343" s="28">
        <v>0.166299359665048</v>
      </c>
      <c r="K4343" s="29">
        <v>0.88516770431250902</v>
      </c>
    </row>
    <row r="4344" spans="1:11" x14ac:dyDescent="0.35">
      <c r="A4344" s="9" t="str">
        <f>HYPERLINK("http://www.ensembl.org/id/WBGene00019983", "WBGene00019983")</f>
        <v>WBGene00019983</v>
      </c>
      <c r="B4344" s="9" t="str">
        <f>HYPERLINK("http://www.ncbi.nlm.nih.gov/gene/178587", "178587")</f>
        <v>178587</v>
      </c>
      <c r="C4344" s="9" t="str">
        <f>HYPERLINK("http://www.ncbi.nlm.nih.gov/gene/10963", "10963")</f>
        <v>10963</v>
      </c>
      <c r="D4344" t="str">
        <f>"sti-1"</f>
        <v>sti-1</v>
      </c>
      <c r="E4344" t="s">
        <v>3448</v>
      </c>
      <c r="F4344" t="s">
        <v>11</v>
      </c>
      <c r="G4344" t="s">
        <v>3449</v>
      </c>
      <c r="H4344" s="12">
        <v>-1.2946148168744001</v>
      </c>
      <c r="I4344" s="20">
        <v>-1.3839893426612699</v>
      </c>
      <c r="J4344" s="28">
        <v>0.166361718031731</v>
      </c>
      <c r="K4344" s="29">
        <v>0.88529568328907804</v>
      </c>
    </row>
    <row r="4345" spans="1:11" x14ac:dyDescent="0.35">
      <c r="A4345" s="9" t="str">
        <f>HYPERLINK("http://www.ensembl.org/id/WBGene00001090", "WBGene00001090")</f>
        <v>WBGene00001090</v>
      </c>
      <c r="B4345" s="9" t="str">
        <f>HYPERLINK("http://www.ncbi.nlm.nih.gov/gene/177425", "177425")</f>
        <v>177425</v>
      </c>
      <c r="C4345" s="9" t="str">
        <f>HYPERLINK("http://www.ncbi.nlm.nih.gov/gene/23586", "23586")</f>
        <v>23586</v>
      </c>
      <c r="D4345" t="str">
        <f>"drh-1"</f>
        <v>drh-1</v>
      </c>
      <c r="E4345" t="s">
        <v>3451</v>
      </c>
      <c r="F4345" t="s">
        <v>11</v>
      </c>
      <c r="G4345" t="s">
        <v>3452</v>
      </c>
      <c r="H4345" s="12">
        <v>-1.3184592137268101</v>
      </c>
      <c r="I4345" s="20">
        <v>-1.3835154633112601</v>
      </c>
      <c r="J4345" s="28">
        <v>0.16650686924555499</v>
      </c>
      <c r="K4345" s="29">
        <v>0.88566015671910503</v>
      </c>
    </row>
    <row r="4346" spans="1:11" x14ac:dyDescent="0.35">
      <c r="A4346" s="9" t="str">
        <f>HYPERLINK("http://www.ensembl.org/id/WBGene00014148", "WBGene00014148")</f>
        <v>WBGene00014148</v>
      </c>
      <c r="B4346" s="9" t="str">
        <f>HYPERLINK("http://www.ncbi.nlm.nih.gov/gene/191461", "191461")</f>
        <v>191461</v>
      </c>
      <c r="C4346" s="9" t="str">
        <f>HYPERLINK("http://www.ncbi.nlm.nih.gov/gene/374659", "374659")</f>
        <v>374659</v>
      </c>
      <c r="D4346" t="str">
        <f>"ZK909.3"</f>
        <v>ZK909.3</v>
      </c>
      <c r="F4346" t="s">
        <v>11</v>
      </c>
      <c r="G4346" t="s">
        <v>3450</v>
      </c>
      <c r="H4346" s="12">
        <v>1.3148636803331499</v>
      </c>
      <c r="I4346" s="20">
        <v>1.3836142445302699</v>
      </c>
      <c r="J4346" s="28">
        <v>0.16647660429514</v>
      </c>
      <c r="K4346" s="29">
        <v>0.88566015671910503</v>
      </c>
    </row>
    <row r="4347" spans="1:11" x14ac:dyDescent="0.35">
      <c r="A4347" s="9" t="str">
        <f>HYPERLINK("http://www.ensembl.org/id/WBGene00013264", "WBGene00013264")</f>
        <v>WBGene00013264</v>
      </c>
      <c r="B4347" s="9" t="str">
        <f>HYPERLINK("http://www.ncbi.nlm.nih.gov/gene/174864", "174864")</f>
        <v>174864</v>
      </c>
      <c r="C4347" s="9"/>
      <c r="D4347" t="str">
        <f>"Y57A10A.24"</f>
        <v>Y57A10A.24</v>
      </c>
      <c r="F4347" t="s">
        <v>11</v>
      </c>
      <c r="H4347" s="12">
        <v>3.4408248314743202</v>
      </c>
      <c r="I4347" s="20">
        <v>1.38326589733474</v>
      </c>
      <c r="J4347" s="28">
        <v>0.16658335060759699</v>
      </c>
      <c r="K4347" s="29">
        <v>0.88586303777655495</v>
      </c>
    </row>
    <row r="4348" spans="1:11" x14ac:dyDescent="0.35">
      <c r="A4348" s="9" t="str">
        <f>HYPERLINK("http://www.ensembl.org/id/WBGene00004015", "WBGene00004015")</f>
        <v>WBGene00004015</v>
      </c>
      <c r="B4348" s="9" t="str">
        <f>HYPERLINK("http://www.ncbi.nlm.nih.gov/gene/174034", "174034")</f>
        <v>174034</v>
      </c>
      <c r="C4348" s="9" t="str">
        <f>HYPERLINK("http://www.ncbi.nlm.nih.gov/gene/11331", "11331")</f>
        <v>11331</v>
      </c>
      <c r="D4348" t="str">
        <f>"phb-2"</f>
        <v>phb-2</v>
      </c>
      <c r="E4348" t="s">
        <v>3453</v>
      </c>
      <c r="F4348" t="s">
        <v>11</v>
      </c>
      <c r="G4348" t="s">
        <v>427</v>
      </c>
      <c r="H4348" s="12">
        <v>-1.29600123128143</v>
      </c>
      <c r="I4348" s="20">
        <v>-1.38309961720432</v>
      </c>
      <c r="J4348" s="28">
        <v>0.16663432305690301</v>
      </c>
      <c r="K4348" s="29">
        <v>0.88593020445301696</v>
      </c>
    </row>
    <row r="4349" spans="1:11" x14ac:dyDescent="0.35">
      <c r="A4349" s="9" t="str">
        <f>HYPERLINK("http://www.ensembl.org/id/WBGene00045078", "WBGene00045078")</f>
        <v>WBGene00045078</v>
      </c>
      <c r="B4349" s="9" t="str">
        <f>HYPERLINK("http://www.ncbi.nlm.nih.gov/gene/4927067", "4927067")</f>
        <v>4927067</v>
      </c>
      <c r="C4349" s="9"/>
      <c r="D4349" t="str">
        <f>"C46C2.7"</f>
        <v>C46C2.7</v>
      </c>
      <c r="F4349" t="s">
        <v>11</v>
      </c>
      <c r="H4349" s="12">
        <v>-1.4902530350302901</v>
      </c>
      <c r="I4349" s="20">
        <v>-1.38262161630978</v>
      </c>
      <c r="J4349" s="28">
        <v>0.16678091744630999</v>
      </c>
      <c r="K4349" s="29">
        <v>0.88609792561840295</v>
      </c>
    </row>
    <row r="4350" spans="1:11" x14ac:dyDescent="0.35">
      <c r="A4350" s="9" t="str">
        <f>HYPERLINK("http://www.ensembl.org/id/WBGene00010587", "WBGene00010587")</f>
        <v>WBGene00010587</v>
      </c>
      <c r="B4350" s="9" t="str">
        <f>HYPERLINK("http://www.ncbi.nlm.nih.gov/gene/173336", "173336")</f>
        <v>173336</v>
      </c>
      <c r="C4350" s="9"/>
      <c r="D4350" t="str">
        <f>"sol-2"</f>
        <v>sol-2</v>
      </c>
      <c r="E4350" t="s">
        <v>3454</v>
      </c>
      <c r="F4350" t="s">
        <v>11</v>
      </c>
      <c r="G4350" t="s">
        <v>3455</v>
      </c>
      <c r="H4350" s="12">
        <v>1.48389642019757</v>
      </c>
      <c r="I4350" s="20">
        <v>1.38267424077131</v>
      </c>
      <c r="J4350" s="28">
        <v>0.166764773711125</v>
      </c>
      <c r="K4350" s="29">
        <v>0.88609792561840295</v>
      </c>
    </row>
    <row r="4351" spans="1:11" x14ac:dyDescent="0.35">
      <c r="A4351" s="9" t="str">
        <f>HYPERLINK("http://www.ensembl.org/id/WBGene00012127", "WBGene00012127")</f>
        <v>WBGene00012127</v>
      </c>
      <c r="B4351" s="9" t="str">
        <f>HYPERLINK("http://www.ncbi.nlm.nih.gov/gene/189042", "189042")</f>
        <v>189042</v>
      </c>
      <c r="C4351" s="9" t="str">
        <f>HYPERLINK("http://www.ncbi.nlm.nih.gov/gene/10809", "10809")</f>
        <v>10809</v>
      </c>
      <c r="D4351" t="str">
        <f>"T28D6.7"</f>
        <v>T28D6.7</v>
      </c>
      <c r="F4351" t="s">
        <v>11</v>
      </c>
      <c r="G4351" t="s">
        <v>2037</v>
      </c>
      <c r="H4351" s="12">
        <v>-1.2900004009514701</v>
      </c>
      <c r="I4351" s="20">
        <v>-1.38268344947689</v>
      </c>
      <c r="J4351" s="28">
        <v>0.16676194885467799</v>
      </c>
      <c r="K4351" s="29">
        <v>0.88609792561840295</v>
      </c>
    </row>
    <row r="4352" spans="1:11" x14ac:dyDescent="0.35">
      <c r="A4352" s="9" t="str">
        <f>HYPERLINK("http://www.ensembl.org/id/WBGene00015905", "WBGene00015905")</f>
        <v>WBGene00015905</v>
      </c>
      <c r="B4352" s="9" t="str">
        <f>HYPERLINK("http://www.ncbi.nlm.nih.gov/gene/178800", "178800")</f>
        <v>178800</v>
      </c>
      <c r="C4352" s="9"/>
      <c r="D4352" t="str">
        <f>"C17E7.12"</f>
        <v>C17E7.12</v>
      </c>
      <c r="F4352" t="s">
        <v>11</v>
      </c>
      <c r="G4352" t="s">
        <v>25</v>
      </c>
      <c r="H4352" s="12">
        <v>-1.4339551390837399</v>
      </c>
      <c r="I4352" s="20">
        <v>-1.38113925117195</v>
      </c>
      <c r="J4352" s="28">
        <v>0.16723614896479</v>
      </c>
      <c r="K4352" s="29">
        <v>0.88636808642765796</v>
      </c>
    </row>
    <row r="4353" spans="1:11" x14ac:dyDescent="0.35">
      <c r="A4353" s="9" t="str">
        <f>HYPERLINK("http://www.ensembl.org/id/WBGene00021118", "WBGene00021118")</f>
        <v>WBGene00021118</v>
      </c>
      <c r="B4353" s="9" t="str">
        <f>HYPERLINK("http://www.ncbi.nlm.nih.gov/gene/173697", "173697")</f>
        <v>173697</v>
      </c>
      <c r="C4353" s="9"/>
      <c r="D4353" t="str">
        <f>"clec-125"</f>
        <v>clec-125</v>
      </c>
      <c r="E4353" t="s">
        <v>46</v>
      </c>
      <c r="F4353" t="s">
        <v>11</v>
      </c>
      <c r="G4353" t="s">
        <v>47</v>
      </c>
      <c r="H4353" s="12">
        <v>4.8901488357174001</v>
      </c>
      <c r="I4353" s="20">
        <v>1.3817361829085499</v>
      </c>
      <c r="J4353" s="28">
        <v>0.16705272020893999</v>
      </c>
      <c r="K4353" s="29">
        <v>0.88636808642765796</v>
      </c>
    </row>
    <row r="4354" spans="1:11" x14ac:dyDescent="0.35">
      <c r="A4354" s="9" t="str">
        <f>HYPERLINK("http://www.ensembl.org/id/WBGene00021168", "WBGene00021168")</f>
        <v>WBGene00021168</v>
      </c>
      <c r="B4354" s="9" t="str">
        <f>HYPERLINK("http://www.ncbi.nlm.nih.gov/gene/189364", "189364")</f>
        <v>189364</v>
      </c>
      <c r="C4354" s="9" t="str">
        <f>HYPERLINK("http://www.ncbi.nlm.nih.gov/gene/1573", "1573")</f>
        <v>1573</v>
      </c>
      <c r="D4354" t="str">
        <f>"cyp-33C12"</f>
        <v>cyp-33C12</v>
      </c>
      <c r="E4354" t="s">
        <v>176</v>
      </c>
      <c r="F4354" t="s">
        <v>11</v>
      </c>
      <c r="G4354" t="s">
        <v>3456</v>
      </c>
      <c r="H4354" s="12">
        <v>2.83782981751781</v>
      </c>
      <c r="I4354" s="20">
        <v>1.3815711517006299</v>
      </c>
      <c r="J4354" s="28">
        <v>0.16710341685801</v>
      </c>
      <c r="K4354" s="29">
        <v>0.88636808642765796</v>
      </c>
    </row>
    <row r="4355" spans="1:11" x14ac:dyDescent="0.35">
      <c r="A4355" s="9" t="str">
        <f>HYPERLINK("http://www.ensembl.org/id/WBGene00009776", "WBGene00009776")</f>
        <v>WBGene00009776</v>
      </c>
      <c r="B4355" s="9" t="str">
        <f>HYPERLINK("http://www.ncbi.nlm.nih.gov/gene/179370", "179370")</f>
        <v>179370</v>
      </c>
      <c r="C4355" s="9" t="str">
        <f>HYPERLINK("http://www.ncbi.nlm.nih.gov/gene/54987", "54987")</f>
        <v>54987</v>
      </c>
      <c r="D4355" t="str">
        <f>"F46B6.12"</f>
        <v>F46B6.12</v>
      </c>
      <c r="E4355" t="s">
        <v>3464</v>
      </c>
      <c r="F4355" t="s">
        <v>11</v>
      </c>
      <c r="G4355" t="s">
        <v>3465</v>
      </c>
      <c r="H4355" s="12">
        <v>-1.30978727820029</v>
      </c>
      <c r="I4355" s="20">
        <v>-1.3816401184306699</v>
      </c>
      <c r="J4355" s="28">
        <v>0.16708222926453001</v>
      </c>
      <c r="K4355" s="29">
        <v>0.88636808642765796</v>
      </c>
    </row>
    <row r="4356" spans="1:11" x14ac:dyDescent="0.35">
      <c r="A4356" s="9" t="str">
        <f>HYPERLINK("http://www.ensembl.org/id/WBGene00021685", "WBGene00021685")</f>
        <v>WBGene00021685</v>
      </c>
      <c r="B4356" s="9" t="str">
        <f>HYPERLINK("http://www.ncbi.nlm.nih.gov/gene/171700", "171700")</f>
        <v>171700</v>
      </c>
      <c r="C4356" s="9" t="str">
        <f>HYPERLINK("http://www.ncbi.nlm.nih.gov/gene/8916", "8916")</f>
        <v>8916</v>
      </c>
      <c r="D4356" t="str">
        <f>"herc-1"</f>
        <v>herc-1</v>
      </c>
      <c r="E4356" t="s">
        <v>3462</v>
      </c>
      <c r="F4356" t="s">
        <v>11</v>
      </c>
      <c r="G4356" t="s">
        <v>3463</v>
      </c>
      <c r="H4356" s="12">
        <v>-1.3051371968369001</v>
      </c>
      <c r="I4356" s="20">
        <v>-1.38145588344042</v>
      </c>
      <c r="J4356" s="28">
        <v>0.167138833469372</v>
      </c>
      <c r="K4356" s="29">
        <v>0.88636808642765796</v>
      </c>
    </row>
    <row r="4357" spans="1:11" x14ac:dyDescent="0.35">
      <c r="A4357" s="9" t="str">
        <f>HYPERLINK("http://www.ensembl.org/id/WBGene00002142", "WBGene00002142")</f>
        <v>WBGene00002142</v>
      </c>
      <c r="B4357" s="9" t="str">
        <f>HYPERLINK("http://www.ncbi.nlm.nih.gov/gene/188818", "188818")</f>
        <v>188818</v>
      </c>
      <c r="C4357" s="9"/>
      <c r="D4357" t="str">
        <f>"inx-20"</f>
        <v>inx-20</v>
      </c>
      <c r="E4357" t="s">
        <v>275</v>
      </c>
      <c r="F4357" t="s">
        <v>11</v>
      </c>
      <c r="G4357" t="s">
        <v>1293</v>
      </c>
      <c r="H4357" s="12">
        <v>1.6491235960343</v>
      </c>
      <c r="I4357" s="20">
        <v>1.3810820389590699</v>
      </c>
      <c r="J4357" s="28">
        <v>0.167253737419916</v>
      </c>
      <c r="K4357" s="29">
        <v>0.88636808642765796</v>
      </c>
    </row>
    <row r="4358" spans="1:11" x14ac:dyDescent="0.35">
      <c r="A4358" s="9" t="str">
        <f>HYPERLINK("http://www.ensembl.org/id/WBGene00019522", "WBGene00019522")</f>
        <v>WBGene00019522</v>
      </c>
      <c r="B4358" s="9" t="str">
        <f>HYPERLINK("http://www.ncbi.nlm.nih.gov/gene/187136", "187136")</f>
        <v>187136</v>
      </c>
      <c r="C4358" s="9" t="str">
        <f>HYPERLINK("http://www.ncbi.nlm.nih.gov/gene/84064", "84064")</f>
        <v>84064</v>
      </c>
      <c r="D4358" t="str">
        <f>"K08B12.3"</f>
        <v>K08B12.3</v>
      </c>
      <c r="F4358" t="s">
        <v>11</v>
      </c>
      <c r="G4358" t="s">
        <v>37</v>
      </c>
      <c r="H4358" s="12">
        <v>1.4289164021523899</v>
      </c>
      <c r="I4358" s="20">
        <v>1.3812788722009199</v>
      </c>
      <c r="J4358" s="28">
        <v>0.16719323182700499</v>
      </c>
      <c r="K4358" s="29">
        <v>0.88636808642765796</v>
      </c>
    </row>
    <row r="4359" spans="1:11" x14ac:dyDescent="0.35">
      <c r="A4359" s="9" t="str">
        <f>HYPERLINK("http://www.ensembl.org/id/WBGene00044143", "WBGene00044143")</f>
        <v>WBGene00044143</v>
      </c>
      <c r="B4359" s="9" t="str">
        <f>HYPERLINK("http://www.ncbi.nlm.nih.gov/gene/3564761", "3564761")</f>
        <v>3564761</v>
      </c>
      <c r="C4359" s="9"/>
      <c r="D4359" t="str">
        <f>"K09E9.4"</f>
        <v>K09E9.4</v>
      </c>
      <c r="F4359" t="s">
        <v>11</v>
      </c>
      <c r="G4359" t="s">
        <v>3457</v>
      </c>
      <c r="H4359" s="12">
        <v>1.49792224209481</v>
      </c>
      <c r="I4359" s="20">
        <v>1.38156311528483</v>
      </c>
      <c r="J4359" s="28">
        <v>0.16710588589443301</v>
      </c>
      <c r="K4359" s="29">
        <v>0.88636808642765796</v>
      </c>
    </row>
    <row r="4360" spans="1:11" x14ac:dyDescent="0.35">
      <c r="A4360" s="9" t="str">
        <f>HYPERLINK("http://www.ensembl.org/id/WBGene00010408", "WBGene00010408")</f>
        <v>WBGene00010408</v>
      </c>
      <c r="B4360" s="9" t="str">
        <f>HYPERLINK("http://www.ncbi.nlm.nih.gov/gene/179540", "179540")</f>
        <v>179540</v>
      </c>
      <c r="C4360" s="9" t="str">
        <f>HYPERLINK("http://www.ncbi.nlm.nih.gov/gene/8694", "8694")</f>
        <v>8694</v>
      </c>
      <c r="D4360" t="str">
        <f>"mboa-2"</f>
        <v>mboa-2</v>
      </c>
      <c r="E4360" t="s">
        <v>3460</v>
      </c>
      <c r="F4360" t="s">
        <v>11</v>
      </c>
      <c r="G4360" t="s">
        <v>3461</v>
      </c>
      <c r="H4360" s="12">
        <v>-1.29125006857853</v>
      </c>
      <c r="I4360" s="20">
        <v>-1.3820500500631701</v>
      </c>
      <c r="J4360" s="28">
        <v>0.166956333898821</v>
      </c>
      <c r="K4360" s="29">
        <v>0.88636808642765796</v>
      </c>
    </row>
    <row r="4361" spans="1:11" x14ac:dyDescent="0.35">
      <c r="A4361" s="9" t="str">
        <f>HYPERLINK("http://www.ensembl.org/id/WBGene00003163", "WBGene00003163")</f>
        <v>WBGene00003163</v>
      </c>
      <c r="B4361" s="9" t="str">
        <f>HYPERLINK("http://www.ncbi.nlm.nih.gov/gene/180942", "180942")</f>
        <v>180942</v>
      </c>
      <c r="C4361" s="9"/>
      <c r="D4361" t="str">
        <f>"mdl-1"</f>
        <v>mdl-1</v>
      </c>
      <c r="E4361" t="s">
        <v>3458</v>
      </c>
      <c r="F4361" t="s">
        <v>11</v>
      </c>
      <c r="G4361" t="s">
        <v>3459</v>
      </c>
      <c r="H4361" s="12">
        <v>1.3034076204426199</v>
      </c>
      <c r="I4361" s="20">
        <v>1.3812683384034801</v>
      </c>
      <c r="J4361" s="28">
        <v>0.16719646944914399</v>
      </c>
      <c r="K4361" s="29">
        <v>0.88636808642765796</v>
      </c>
    </row>
    <row r="4362" spans="1:11" x14ac:dyDescent="0.35">
      <c r="A4362" s="9" t="str">
        <f>HYPERLINK("http://www.ensembl.org/id/WBGene00006540", "WBGene00006540")</f>
        <v>WBGene00006540</v>
      </c>
      <c r="B4362" s="9" t="str">
        <f>HYPERLINK("http://www.ncbi.nlm.nih.gov/gene/176361", "176361")</f>
        <v>176361</v>
      </c>
      <c r="C4362" s="9"/>
      <c r="D4362" t="str">
        <f>"tbg-1"</f>
        <v>tbg-1</v>
      </c>
      <c r="E4362" t="s">
        <v>3466</v>
      </c>
      <c r="F4362" t="s">
        <v>11</v>
      </c>
      <c r="G4362" t="s">
        <v>3467</v>
      </c>
      <c r="H4362" s="12">
        <v>-1.3309597816204</v>
      </c>
      <c r="I4362" s="20">
        <v>-1.3817516283859901</v>
      </c>
      <c r="J4362" s="28">
        <v>0.16704797603761501</v>
      </c>
      <c r="K4362" s="29">
        <v>0.88636808642765796</v>
      </c>
    </row>
    <row r="4363" spans="1:11" x14ac:dyDescent="0.35">
      <c r="A4363" s="9" t="str">
        <f>HYPERLINK("http://www.ensembl.org/id/WBGene00021978", "WBGene00021978")</f>
        <v>WBGene00021978</v>
      </c>
      <c r="B4363" s="9" t="str">
        <f>HYPERLINK("http://www.ncbi.nlm.nih.gov/gene/3565089", "3565089")</f>
        <v>3565089</v>
      </c>
      <c r="C4363" s="9"/>
      <c r="D4363" t="str">
        <f>"Y58A7A.4"</f>
        <v>Y58A7A.4</v>
      </c>
      <c r="F4363" t="s">
        <v>11</v>
      </c>
      <c r="H4363" s="12">
        <v>-1.6165619317473201</v>
      </c>
      <c r="I4363" s="20">
        <v>-1.3808715825208</v>
      </c>
      <c r="J4363" s="28">
        <v>0.167318448915491</v>
      </c>
      <c r="K4363" s="29">
        <v>0.88650770021585501</v>
      </c>
    </row>
    <row r="4364" spans="1:11" x14ac:dyDescent="0.35">
      <c r="A4364" s="9" t="str">
        <f>HYPERLINK("http://www.ensembl.org/id/WBGene00168743", "WBGene00168743")</f>
        <v>WBGene00168743</v>
      </c>
      <c r="B4364" s="9"/>
      <c r="C4364" s="9"/>
      <c r="D4364" t="str">
        <f>"21ur-13377"</f>
        <v>21ur-13377</v>
      </c>
      <c r="F4364" t="s">
        <v>3161</v>
      </c>
      <c r="H4364" s="12">
        <v>-3.5280089784098299</v>
      </c>
      <c r="I4364" s="20">
        <v>-1.38016803176859</v>
      </c>
      <c r="J4364" s="28">
        <v>0.16753491442243401</v>
      </c>
      <c r="K4364" s="29">
        <v>0.88686190575388602</v>
      </c>
    </row>
    <row r="4365" spans="1:11" x14ac:dyDescent="0.35">
      <c r="A4365" s="9" t="str">
        <f>HYPERLINK("http://www.ensembl.org/id/WBGene00010193", "WBGene00010193")</f>
        <v>WBGene00010193</v>
      </c>
      <c r="B4365" s="9" t="str">
        <f>HYPERLINK("http://www.ncbi.nlm.nih.gov/gene/186442", "186442")</f>
        <v>186442</v>
      </c>
      <c r="C4365" s="9"/>
      <c r="D4365" t="str">
        <f>"btb-20"</f>
        <v>btb-20</v>
      </c>
      <c r="E4365" t="s">
        <v>468</v>
      </c>
      <c r="F4365" t="s">
        <v>11</v>
      </c>
      <c r="G4365" t="s">
        <v>54</v>
      </c>
      <c r="H4365" s="12">
        <v>-1.7315007895841299</v>
      </c>
      <c r="I4365" s="20">
        <v>-1.3800307975580599</v>
      </c>
      <c r="J4365" s="28">
        <v>0.16757716256893301</v>
      </c>
      <c r="K4365" s="29">
        <v>0.88686190575388602</v>
      </c>
    </row>
    <row r="4366" spans="1:11" x14ac:dyDescent="0.35">
      <c r="A4366" s="9" t="str">
        <f>HYPERLINK("http://www.ensembl.org/id/WBGene00008597", "WBGene00008597")</f>
        <v>WBGene00008597</v>
      </c>
      <c r="B4366" s="9" t="str">
        <f>HYPERLINK("http://www.ncbi.nlm.nih.gov/gene/184218", "184218")</f>
        <v>184218</v>
      </c>
      <c r="C4366" s="9"/>
      <c r="D4366" t="str">
        <f>"clec-55"</f>
        <v>clec-55</v>
      </c>
      <c r="E4366" t="s">
        <v>46</v>
      </c>
      <c r="F4366" t="s">
        <v>11</v>
      </c>
      <c r="G4366" t="s">
        <v>47</v>
      </c>
      <c r="H4366" s="12">
        <v>-12.0078553586791</v>
      </c>
      <c r="I4366" s="20">
        <v>-1.38003063418854</v>
      </c>
      <c r="J4366" s="28">
        <v>0.16757721286771701</v>
      </c>
      <c r="K4366" s="29">
        <v>0.88686190575388602</v>
      </c>
    </row>
    <row r="4367" spans="1:11" x14ac:dyDescent="0.35">
      <c r="A4367" s="9" t="str">
        <f>HYPERLINK("http://www.ensembl.org/id/WBGene00012670", "WBGene00012670")</f>
        <v>WBGene00012670</v>
      </c>
      <c r="B4367" s="9" t="str">
        <f>HYPERLINK("http://www.ncbi.nlm.nih.gov/gene/180259", "180259")</f>
        <v>180259</v>
      </c>
      <c r="C4367" s="9"/>
      <c r="D4367" t="str">
        <f>"Y39B6A.8"</f>
        <v>Y39B6A.8</v>
      </c>
      <c r="F4367" t="s">
        <v>11</v>
      </c>
      <c r="G4367" t="s">
        <v>50</v>
      </c>
      <c r="H4367" s="12">
        <v>4.1138875803190604</v>
      </c>
      <c r="I4367" s="20">
        <v>1.38013335911446</v>
      </c>
      <c r="J4367" s="28">
        <v>0.16754558779385401</v>
      </c>
      <c r="K4367" s="29">
        <v>0.88686190575388602</v>
      </c>
    </row>
    <row r="4368" spans="1:11" x14ac:dyDescent="0.35">
      <c r="A4368" s="9" t="str">
        <f>HYPERLINK("http://www.ensembl.org/id/WBGene00013426", "WBGene00013426")</f>
        <v>WBGene00013426</v>
      </c>
      <c r="B4368" s="9" t="str">
        <f>HYPERLINK("http://www.ncbi.nlm.nih.gov/gene/190492", "190492")</f>
        <v>190492</v>
      </c>
      <c r="C4368" s="9"/>
      <c r="D4368" t="str">
        <f>"Y66A7A.7"</f>
        <v>Y66A7A.7</v>
      </c>
      <c r="F4368" t="s">
        <v>11</v>
      </c>
      <c r="G4368" t="s">
        <v>25</v>
      </c>
      <c r="H4368" s="12">
        <v>-1.34065333404028</v>
      </c>
      <c r="I4368" s="20">
        <v>-1.38044988975659</v>
      </c>
      <c r="J4368" s="28">
        <v>0.16744816831105599</v>
      </c>
      <c r="K4368" s="29">
        <v>0.88686190575388602</v>
      </c>
    </row>
    <row r="4369" spans="1:11" x14ac:dyDescent="0.35">
      <c r="A4369" s="9" t="str">
        <f>HYPERLINK("http://www.ensembl.org/id/WBGene00021930", "WBGene00021930")</f>
        <v>WBGene00021930</v>
      </c>
      <c r="B4369" s="9" t="str">
        <f>HYPERLINK("http://www.ncbi.nlm.nih.gov/gene/176925", "176925")</f>
        <v>176925</v>
      </c>
      <c r="C4369" s="9"/>
      <c r="D4369" t="str">
        <f>"Y55F3AM.13"</f>
        <v>Y55F3AM.13</v>
      </c>
      <c r="F4369" t="s">
        <v>11</v>
      </c>
      <c r="H4369" s="12">
        <v>-1.30525275679292</v>
      </c>
      <c r="I4369" s="20">
        <v>-1.3797049144234099</v>
      </c>
      <c r="J4369" s="28">
        <v>0.16767751916821999</v>
      </c>
      <c r="K4369" s="29">
        <v>0.887189548408721</v>
      </c>
    </row>
    <row r="4370" spans="1:11" x14ac:dyDescent="0.35">
      <c r="A4370" s="9" t="str">
        <f>HYPERLINK("http://www.ensembl.org/id/WBGene00219708", "WBGene00219708")</f>
        <v>WBGene00219708</v>
      </c>
      <c r="B4370" s="9"/>
      <c r="C4370" s="9"/>
      <c r="D4370" t="str">
        <f>"linc-13"</f>
        <v>linc-13</v>
      </c>
      <c r="F4370" t="s">
        <v>1510</v>
      </c>
      <c r="H4370" s="12">
        <v>3.5482868012386599</v>
      </c>
      <c r="I4370" s="20">
        <v>1.3793456936148401</v>
      </c>
      <c r="J4370" s="28">
        <v>0.16778819448989299</v>
      </c>
      <c r="K4370" s="29">
        <v>0.88757189145683701</v>
      </c>
    </row>
    <row r="4371" spans="1:11" x14ac:dyDescent="0.35">
      <c r="A4371" s="9" t="str">
        <f>HYPERLINK("http://www.ensembl.org/id/WBGene00017537", "WBGene00017537")</f>
        <v>WBGene00017537</v>
      </c>
      <c r="B4371" s="9" t="str">
        <f>HYPERLINK("http://www.ncbi.nlm.nih.gov/gene/184611", "184611")</f>
        <v>184611</v>
      </c>
      <c r="C4371" s="9"/>
      <c r="D4371" t="str">
        <f>"F17A9.5"</f>
        <v>F17A9.5</v>
      </c>
      <c r="F4371" t="s">
        <v>11</v>
      </c>
      <c r="G4371" t="s">
        <v>260</v>
      </c>
      <c r="H4371" s="12">
        <v>1.35561440342767</v>
      </c>
      <c r="I4371" s="20">
        <v>1.37914053845381</v>
      </c>
      <c r="J4371" s="28">
        <v>0.16785142705494599</v>
      </c>
      <c r="K4371" s="29">
        <v>0.88770315255930099</v>
      </c>
    </row>
    <row r="4372" spans="1:11" x14ac:dyDescent="0.35">
      <c r="A4372" s="9" t="str">
        <f>HYPERLINK("http://www.ensembl.org/id/WBGene00016873", "WBGene00016873")</f>
        <v>WBGene00016873</v>
      </c>
      <c r="B4372" s="9" t="str">
        <f>HYPERLINK("http://www.ncbi.nlm.nih.gov/gene/183716", "183716")</f>
        <v>183716</v>
      </c>
      <c r="C4372" s="9"/>
      <c r="D4372" t="str">
        <f>"C52B11.4"</f>
        <v>C52B11.4</v>
      </c>
      <c r="F4372" t="s">
        <v>11</v>
      </c>
      <c r="H4372" s="12">
        <v>11.183035237866401</v>
      </c>
      <c r="I4372" s="20">
        <v>1.3788030201431001</v>
      </c>
      <c r="J4372" s="28">
        <v>0.167955495294173</v>
      </c>
      <c r="K4372" s="29">
        <v>0.888050268711019</v>
      </c>
    </row>
    <row r="4373" spans="1:11" x14ac:dyDescent="0.35">
      <c r="A4373" s="9" t="str">
        <f>HYPERLINK("http://www.ensembl.org/id/WBGene00001497", "WBGene00001497")</f>
        <v>WBGene00001497</v>
      </c>
      <c r="B4373" s="9" t="str">
        <f>HYPERLINK("http://www.ncbi.nlm.nih.gov/gene/172311", "172311")</f>
        <v>172311</v>
      </c>
      <c r="C4373" s="9" t="str">
        <f>HYPERLINK("http://www.ncbi.nlm.nih.gov/gene/2193", "2193")</f>
        <v>2193</v>
      </c>
      <c r="D4373" t="str">
        <f>"fars-1"</f>
        <v>fars-1</v>
      </c>
      <c r="E4373" t="s">
        <v>3468</v>
      </c>
      <c r="F4373" t="s">
        <v>11</v>
      </c>
      <c r="G4373" t="s">
        <v>3469</v>
      </c>
      <c r="H4373" s="12">
        <v>-1.29634511494309</v>
      </c>
      <c r="I4373" s="20">
        <v>-1.3784765440079501</v>
      </c>
      <c r="J4373" s="28">
        <v>0.16805620494978701</v>
      </c>
      <c r="K4373" s="29">
        <v>0.88817627437552005</v>
      </c>
    </row>
    <row r="4374" spans="1:11" x14ac:dyDescent="0.35">
      <c r="A4374" s="9" t="str">
        <f>HYPERLINK("http://www.ensembl.org/id/WBGene00001423", "WBGene00001423")</f>
        <v>WBGene00001423</v>
      </c>
      <c r="B4374" s="9" t="str">
        <f>HYPERLINK("http://www.ncbi.nlm.nih.gov/gene/179999", "179999")</f>
        <v>179999</v>
      </c>
      <c r="C4374" s="9" t="str">
        <f>HYPERLINK("http://www.ncbi.nlm.nih.gov/gene/2091", "2091")</f>
        <v>2091</v>
      </c>
      <c r="D4374" t="str">
        <f>"fib-1"</f>
        <v>fib-1</v>
      </c>
      <c r="E4374" t="s">
        <v>3470</v>
      </c>
      <c r="F4374" t="s">
        <v>11</v>
      </c>
      <c r="G4374" t="s">
        <v>3471</v>
      </c>
      <c r="H4374" s="12">
        <v>-1.30477069594564</v>
      </c>
      <c r="I4374" s="20">
        <v>-1.3784767121499</v>
      </c>
      <c r="J4374" s="28">
        <v>0.16805615307057001</v>
      </c>
      <c r="K4374" s="29">
        <v>0.88817627437552005</v>
      </c>
    </row>
    <row r="4375" spans="1:11" x14ac:dyDescent="0.35">
      <c r="A4375" s="9" t="str">
        <f>HYPERLINK("http://www.ensembl.org/id/WBGene00008876", "WBGene00008876")</f>
        <v>WBGene00008876</v>
      </c>
      <c r="B4375" s="9" t="str">
        <f>HYPERLINK("http://www.ncbi.nlm.nih.gov/gene/172764", "172764")</f>
        <v>172764</v>
      </c>
      <c r="C4375" s="9" t="str">
        <f>HYPERLINK("http://www.ncbi.nlm.nih.gov/gene/89970", "89970")</f>
        <v>89970</v>
      </c>
      <c r="D4375" t="str">
        <f>"F16A11.1"</f>
        <v>F16A11.1</v>
      </c>
      <c r="F4375" t="s">
        <v>11</v>
      </c>
      <c r="G4375" t="s">
        <v>3472</v>
      </c>
      <c r="H4375" s="12">
        <v>-1.3054885183667</v>
      </c>
      <c r="I4375" s="20">
        <v>-1.37834797466109</v>
      </c>
      <c r="J4375" s="28">
        <v>0.16809587779256799</v>
      </c>
      <c r="K4375" s="29">
        <v>0.88818279265380196</v>
      </c>
    </row>
    <row r="4376" spans="1:11" x14ac:dyDescent="0.35">
      <c r="A4376" s="9" t="str">
        <f>HYPERLINK("http://www.ensembl.org/id/WBGene00270321", "WBGene00270321")</f>
        <v>WBGene00270321</v>
      </c>
      <c r="B4376" s="9" t="str">
        <f>HYPERLINK("http://www.ncbi.nlm.nih.gov/gene/189814", "189814")</f>
        <v>189814</v>
      </c>
      <c r="C4376" s="9"/>
      <c r="D4376" t="str">
        <f>"Y41C4A.32"</f>
        <v>Y41C4A.32</v>
      </c>
      <c r="F4376" t="s">
        <v>11</v>
      </c>
      <c r="G4376" t="s">
        <v>3473</v>
      </c>
      <c r="H4376" s="12">
        <v>1.5758359724942701</v>
      </c>
      <c r="I4376" s="20">
        <v>1.3780700136917201</v>
      </c>
      <c r="J4376" s="28">
        <v>0.16818167267336501</v>
      </c>
      <c r="K4376" s="29">
        <v>0.88843295125532096</v>
      </c>
    </row>
    <row r="4377" spans="1:11" x14ac:dyDescent="0.35">
      <c r="A4377" s="9" t="str">
        <f>HYPERLINK("http://www.ensembl.org/id/WBGene00020902", "WBGene00020902")</f>
        <v>WBGene00020902</v>
      </c>
      <c r="B4377" s="9" t="str">
        <f>HYPERLINK("http://www.ncbi.nlm.nih.gov/gene/171932", "171932")</f>
        <v>171932</v>
      </c>
      <c r="C4377" s="9"/>
      <c r="D4377" t="str">
        <f>"jmjc-1"</f>
        <v>jmjc-1</v>
      </c>
      <c r="E4377" t="s">
        <v>3474</v>
      </c>
      <c r="F4377" t="s">
        <v>11</v>
      </c>
      <c r="H4377" s="12">
        <v>1.4080106715028</v>
      </c>
      <c r="I4377" s="20">
        <v>1.37750002602016</v>
      </c>
      <c r="J4377" s="28">
        <v>0.16835770675303699</v>
      </c>
      <c r="K4377" s="29">
        <v>0.88915958222529401</v>
      </c>
    </row>
    <row r="4378" spans="1:11" x14ac:dyDescent="0.35">
      <c r="A4378" s="9" t="str">
        <f>HYPERLINK("http://www.ensembl.org/id/WBGene00000192", "WBGene00000192")</f>
        <v>WBGene00000192</v>
      </c>
      <c r="B4378" s="9" t="str">
        <f>HYPERLINK("http://www.ncbi.nlm.nih.gov/gene/178405", "178405")</f>
        <v>178405</v>
      </c>
      <c r="C4378" s="9" t="str">
        <f>HYPERLINK("http://www.ncbi.nlm.nih.gov/gene/127829", "127829")</f>
        <v>127829</v>
      </c>
      <c r="D4378" t="str">
        <f>"arl-8"</f>
        <v>arl-8</v>
      </c>
      <c r="E4378" t="s">
        <v>3475</v>
      </c>
      <c r="F4378" t="s">
        <v>11</v>
      </c>
      <c r="G4378" t="s">
        <v>3476</v>
      </c>
      <c r="H4378" s="12">
        <v>-1.2848262869093201</v>
      </c>
      <c r="I4378" s="20">
        <v>-1.37722111401769</v>
      </c>
      <c r="J4378" s="28">
        <v>0.16844389586937</v>
      </c>
      <c r="K4378" s="29">
        <v>0.88941148490805699</v>
      </c>
    </row>
    <row r="4379" spans="1:11" x14ac:dyDescent="0.35">
      <c r="A4379" s="9" t="str">
        <f>HYPERLINK("http://www.ensembl.org/id/WBGene00018716", "WBGene00018716")</f>
        <v>WBGene00018716</v>
      </c>
      <c r="B4379" s="9" t="str">
        <f>HYPERLINK("http://www.ncbi.nlm.nih.gov/gene/186132", "186132")</f>
        <v>186132</v>
      </c>
      <c r="C4379" s="9"/>
      <c r="D4379" t="str">
        <f>"F52H2.4"</f>
        <v>F52H2.4</v>
      </c>
      <c r="F4379" t="s">
        <v>11</v>
      </c>
      <c r="G4379" t="s">
        <v>3477</v>
      </c>
      <c r="H4379" s="12">
        <v>-1.46949336508442</v>
      </c>
      <c r="I4379" s="20">
        <v>-1.37709597656581</v>
      </c>
      <c r="J4379" s="28">
        <v>0.16848257648423901</v>
      </c>
      <c r="K4379" s="29">
        <v>0.88941247709500204</v>
      </c>
    </row>
    <row r="4380" spans="1:11" x14ac:dyDescent="0.35">
      <c r="A4380" s="9" t="str">
        <f>HYPERLINK("http://www.ensembl.org/id/WBGene00016194", "WBGene00016194")</f>
        <v>WBGene00016194</v>
      </c>
      <c r="B4380" s="9" t="str">
        <f>HYPERLINK("http://www.ncbi.nlm.nih.gov/gene/175834", "175834")</f>
        <v>175834</v>
      </c>
      <c r="C4380" s="9" t="str">
        <f>HYPERLINK("http://www.ncbi.nlm.nih.gov/gene/55601", "55601")</f>
        <v>55601</v>
      </c>
      <c r="D4380" t="str">
        <f>"C28H8.3"</f>
        <v>C28H8.3</v>
      </c>
      <c r="E4380" t="s">
        <v>3478</v>
      </c>
      <c r="F4380" t="s">
        <v>11</v>
      </c>
      <c r="G4380" t="s">
        <v>3479</v>
      </c>
      <c r="H4380" s="12">
        <v>-1.2840177794902301</v>
      </c>
      <c r="I4380" s="20">
        <v>-1.37667775582393</v>
      </c>
      <c r="J4380" s="28">
        <v>0.16861189898836701</v>
      </c>
      <c r="K4380" s="29">
        <v>0.88989185427711603</v>
      </c>
    </row>
    <row r="4381" spans="1:11" x14ac:dyDescent="0.35">
      <c r="A4381" s="9" t="str">
        <f>HYPERLINK("http://www.ensembl.org/id/WBGene00021623", "WBGene00021623")</f>
        <v>WBGene00021623</v>
      </c>
      <c r="B4381" s="9" t="str">
        <f>HYPERLINK("http://www.ncbi.nlm.nih.gov/gene/189987", "189987")</f>
        <v>189987</v>
      </c>
      <c r="C4381" s="9"/>
      <c r="D4381" t="str">
        <f>"Y47D7A.11"</f>
        <v>Y47D7A.11</v>
      </c>
      <c r="F4381" t="s">
        <v>11</v>
      </c>
      <c r="H4381" s="12">
        <v>3.7292773227262499</v>
      </c>
      <c r="I4381" s="20">
        <v>1.37651253246418</v>
      </c>
      <c r="J4381" s="28">
        <v>0.168663009991877</v>
      </c>
      <c r="K4381" s="29">
        <v>0.88995832584432599</v>
      </c>
    </row>
    <row r="4382" spans="1:11" x14ac:dyDescent="0.35">
      <c r="A4382" s="9" t="str">
        <f>HYPERLINK("http://www.ensembl.org/id/WBGene00010134", "WBGene00010134")</f>
        <v>WBGene00010134</v>
      </c>
      <c r="B4382" s="9" t="str">
        <f>HYPERLINK("http://www.ncbi.nlm.nih.gov/gene/172702", "172702")</f>
        <v>172702</v>
      </c>
      <c r="C4382" s="9"/>
      <c r="D4382" t="str">
        <f>"F55H12.3"</f>
        <v>F55H12.3</v>
      </c>
      <c r="F4382" t="s">
        <v>11</v>
      </c>
      <c r="G4382" t="s">
        <v>3480</v>
      </c>
      <c r="H4382" s="12">
        <v>1.4487606316233901</v>
      </c>
      <c r="I4382" s="20">
        <v>1.3763501339870801</v>
      </c>
      <c r="J4382" s="28">
        <v>0.16871325846148999</v>
      </c>
      <c r="K4382" s="29">
        <v>0.89002021689752997</v>
      </c>
    </row>
    <row r="4383" spans="1:11" x14ac:dyDescent="0.35">
      <c r="A4383" s="9" t="str">
        <f>HYPERLINK("http://www.ensembl.org/id/WBGene00002021", "WBGene00002021")</f>
        <v>WBGene00002021</v>
      </c>
      <c r="B4383" s="9" t="str">
        <f>HYPERLINK("http://www.ncbi.nlm.nih.gov/gene/186113", "186113")</f>
        <v>186113</v>
      </c>
      <c r="C4383" s="9"/>
      <c r="D4383" t="str">
        <f>"hsp-17"</f>
        <v>hsp-17</v>
      </c>
      <c r="E4383" t="s">
        <v>3481</v>
      </c>
      <c r="F4383" t="s">
        <v>11</v>
      </c>
      <c r="H4383" s="12">
        <v>1.33794206059149</v>
      </c>
      <c r="I4383" s="20">
        <v>1.3760338872792299</v>
      </c>
      <c r="J4383" s="28">
        <v>0.168811142065249</v>
      </c>
      <c r="K4383" s="29">
        <v>0.89033200629590104</v>
      </c>
    </row>
    <row r="4384" spans="1:11" x14ac:dyDescent="0.35">
      <c r="A4384" s="9" t="str">
        <f>HYPERLINK("http://www.ensembl.org/id/WBGene00010582", "WBGene00010582")</f>
        <v>WBGene00010582</v>
      </c>
      <c r="B4384" s="9" t="str">
        <f>HYPERLINK("http://www.ncbi.nlm.nih.gov/gene/173339", "173339")</f>
        <v>173339</v>
      </c>
      <c r="C4384" s="9"/>
      <c r="D4384" t="str">
        <f>"K05C4.5"</f>
        <v>K05C4.5</v>
      </c>
      <c r="F4384" t="s">
        <v>11</v>
      </c>
      <c r="G4384" t="s">
        <v>3482</v>
      </c>
      <c r="H4384" s="12">
        <v>-1.33488177316862</v>
      </c>
      <c r="I4384" s="20">
        <v>-1.37591023325078</v>
      </c>
      <c r="J4384" s="28">
        <v>0.16884942662462701</v>
      </c>
      <c r="K4384" s="29">
        <v>0.89033200629590104</v>
      </c>
    </row>
    <row r="4385" spans="1:11" x14ac:dyDescent="0.35">
      <c r="A4385" s="9" t="str">
        <f>HYPERLINK("http://www.ensembl.org/id/WBGene00011474", "WBGene00011474")</f>
        <v>WBGene00011474</v>
      </c>
      <c r="B4385" s="9" t="str">
        <f>HYPERLINK("http://www.ncbi.nlm.nih.gov/gene/176788", "176788")</f>
        <v>176788</v>
      </c>
      <c r="C4385" s="9" t="str">
        <f>HYPERLINK("http://www.ncbi.nlm.nih.gov/gene/230", "230")</f>
        <v>230</v>
      </c>
      <c r="D4385" t="str">
        <f>"aldo-1"</f>
        <v>aldo-1</v>
      </c>
      <c r="E4385" t="s">
        <v>3485</v>
      </c>
      <c r="F4385" t="s">
        <v>11</v>
      </c>
      <c r="G4385" t="s">
        <v>1582</v>
      </c>
      <c r="H4385" s="12">
        <v>-1.33160249154838</v>
      </c>
      <c r="I4385" s="20">
        <v>-1.3753186677762601</v>
      </c>
      <c r="J4385" s="28">
        <v>0.16903267151770501</v>
      </c>
      <c r="K4385" s="29">
        <v>0.89105743285176497</v>
      </c>
    </row>
    <row r="4386" spans="1:11" x14ac:dyDescent="0.35">
      <c r="A4386" s="9" t="str">
        <f>HYPERLINK("http://www.ensembl.org/id/WBGene00000451", "WBGene00000451")</f>
        <v>WBGene00000451</v>
      </c>
      <c r="B4386" s="9" t="str">
        <f>HYPERLINK("http://www.ncbi.nlm.nih.gov/gene/191620", "191620")</f>
        <v>191620</v>
      </c>
      <c r="C4386" s="9"/>
      <c r="D4386" t="str">
        <f>"ceh-30"</f>
        <v>ceh-30</v>
      </c>
      <c r="E4386" t="s">
        <v>3484</v>
      </c>
      <c r="F4386" t="s">
        <v>11</v>
      </c>
      <c r="G4386" t="s">
        <v>1012</v>
      </c>
      <c r="H4386" s="12">
        <v>1.69753984574469</v>
      </c>
      <c r="I4386" s="20">
        <v>1.37513602657491</v>
      </c>
      <c r="J4386" s="28">
        <v>0.16908927707129001</v>
      </c>
      <c r="K4386" s="29">
        <v>0.89105743285176497</v>
      </c>
    </row>
    <row r="4387" spans="1:11" x14ac:dyDescent="0.35">
      <c r="A4387" s="9" t="str">
        <f>HYPERLINK("http://www.ensembl.org/id/WBGene00010738", "WBGene00010738")</f>
        <v>WBGene00010738</v>
      </c>
      <c r="B4387" s="9" t="str">
        <f>HYPERLINK("http://www.ncbi.nlm.nih.gov/gene/172452", "172452")</f>
        <v>172452</v>
      </c>
      <c r="C4387" s="9"/>
      <c r="D4387" t="str">
        <f>"K10D3.4"</f>
        <v>K10D3.4</v>
      </c>
      <c r="F4387" t="s">
        <v>11</v>
      </c>
      <c r="G4387" t="s">
        <v>50</v>
      </c>
      <c r="H4387" s="12">
        <v>1.30477707327435</v>
      </c>
      <c r="I4387" s="20">
        <v>1.37494713502382</v>
      </c>
      <c r="J4387" s="28">
        <v>0.16914783473778899</v>
      </c>
      <c r="K4387" s="29">
        <v>0.89105743285176497</v>
      </c>
    </row>
    <row r="4388" spans="1:11" x14ac:dyDescent="0.35">
      <c r="A4388" s="9" t="str">
        <f>HYPERLINK("http://www.ensembl.org/id/WBGene00012437", "WBGene00012437")</f>
        <v>WBGene00012437</v>
      </c>
      <c r="B4388" s="9" t="str">
        <f>HYPERLINK("http://www.ncbi.nlm.nih.gov/gene/177750", "177750")</f>
        <v>177750</v>
      </c>
      <c r="C4388" s="9"/>
      <c r="D4388" t="str">
        <f>"nmy-3"</f>
        <v>nmy-3</v>
      </c>
      <c r="E4388" t="s">
        <v>3486</v>
      </c>
      <c r="F4388" t="s">
        <v>11</v>
      </c>
      <c r="G4388" t="s">
        <v>3487</v>
      </c>
      <c r="H4388" s="12">
        <v>-1.6402987961639</v>
      </c>
      <c r="I4388" s="20">
        <v>-1.3749868422545299</v>
      </c>
      <c r="J4388" s="28">
        <v>0.16913552396343901</v>
      </c>
      <c r="K4388" s="29">
        <v>0.89105743285176497</v>
      </c>
    </row>
    <row r="4389" spans="1:11" x14ac:dyDescent="0.35">
      <c r="A4389" s="9" t="str">
        <f>HYPERLINK("http://www.ensembl.org/id/WBGene00006084", "WBGene00006084")</f>
        <v>WBGene00006084</v>
      </c>
      <c r="B4389" s="9" t="str">
        <f>HYPERLINK("http://www.ncbi.nlm.nih.gov/gene/191969", "191969")</f>
        <v>191969</v>
      </c>
      <c r="C4389" s="9"/>
      <c r="D4389" t="str">
        <f>"str-16"</f>
        <v>str-16</v>
      </c>
      <c r="E4389" t="s">
        <v>590</v>
      </c>
      <c r="F4389" t="s">
        <v>11</v>
      </c>
      <c r="G4389" t="s">
        <v>25</v>
      </c>
      <c r="H4389" s="12">
        <v>-1.42028375292287</v>
      </c>
      <c r="I4389" s="20">
        <v>-1.3747242191209399</v>
      </c>
      <c r="J4389" s="28">
        <v>0.16921695975182799</v>
      </c>
      <c r="K4389" s="29">
        <v>0.89105743285176497</v>
      </c>
    </row>
    <row r="4390" spans="1:11" x14ac:dyDescent="0.35">
      <c r="A4390" s="9" t="str">
        <f>HYPERLINK("http://www.ensembl.org/id/WBGene00015523", "WBGene00015523")</f>
        <v>WBGene00015523</v>
      </c>
      <c r="B4390" s="9" t="str">
        <f>HYPERLINK("http://www.ncbi.nlm.nih.gov/gene/182317", "182317")</f>
        <v>182317</v>
      </c>
      <c r="C4390" s="9"/>
      <c r="D4390" t="str">
        <f>"ztf-30"</f>
        <v>ztf-30</v>
      </c>
      <c r="E4390" t="s">
        <v>3483</v>
      </c>
      <c r="F4390" t="s">
        <v>11</v>
      </c>
      <c r="G4390" t="s">
        <v>966</v>
      </c>
      <c r="H4390" s="12">
        <v>2.12167743110387</v>
      </c>
      <c r="I4390" s="20">
        <v>1.37471962205641</v>
      </c>
      <c r="J4390" s="28">
        <v>0.16921838549959101</v>
      </c>
      <c r="K4390" s="29">
        <v>0.89105743285176497</v>
      </c>
    </row>
    <row r="4391" spans="1:11" x14ac:dyDescent="0.35">
      <c r="A4391" s="9" t="str">
        <f>HYPERLINK("http://www.ensembl.org/id/WBGene00007201", "WBGene00007201")</f>
        <v>WBGene00007201</v>
      </c>
      <c r="B4391" s="9" t="str">
        <f>HYPERLINK("http://www.ncbi.nlm.nih.gov/gene/24105309", "24105309")</f>
        <v>24105309</v>
      </c>
      <c r="C4391" s="9"/>
      <c r="D4391" t="str">
        <f>"exos-4.1"</f>
        <v>exos-4.1</v>
      </c>
      <c r="E4391" t="s">
        <v>3489</v>
      </c>
      <c r="F4391" t="s">
        <v>11</v>
      </c>
      <c r="H4391" s="12">
        <v>-1.3740255100419101</v>
      </c>
      <c r="I4391" s="20">
        <v>-1.37443181126702</v>
      </c>
      <c r="J4391" s="28">
        <v>0.16930766596690999</v>
      </c>
      <c r="K4391" s="29">
        <v>0.89131298211834697</v>
      </c>
    </row>
    <row r="4392" spans="1:11" x14ac:dyDescent="0.35">
      <c r="A4392" s="9" t="str">
        <f>HYPERLINK("http://www.ensembl.org/id/WBGene00008952", "WBGene00008952")</f>
        <v>WBGene00008952</v>
      </c>
      <c r="B4392" s="9" t="str">
        <f>HYPERLINK("http://www.ncbi.nlm.nih.gov/gene/184675", "184675")</f>
        <v>184675</v>
      </c>
      <c r="C4392" s="9"/>
      <c r="D4392" t="str">
        <f>"F19C6.3"</f>
        <v>F19C6.3</v>
      </c>
      <c r="F4392" t="s">
        <v>11</v>
      </c>
      <c r="G4392" t="s">
        <v>442</v>
      </c>
      <c r="H4392" s="12">
        <v>1.5197303170099099</v>
      </c>
      <c r="I4392" s="20">
        <v>1.3743114796189999</v>
      </c>
      <c r="J4392" s="28">
        <v>0.169345003967935</v>
      </c>
      <c r="K4392" s="29">
        <v>0.89131298211834697</v>
      </c>
    </row>
    <row r="4393" spans="1:11" x14ac:dyDescent="0.35">
      <c r="A4393" s="9" t="str">
        <f>HYPERLINK("http://www.ensembl.org/id/WBGene00020287", "WBGene00020287")</f>
        <v>WBGene00020287</v>
      </c>
      <c r="B4393" s="9" t="str">
        <f>HYPERLINK("http://www.ncbi.nlm.nih.gov/gene/178470", "178470")</f>
        <v>178470</v>
      </c>
      <c r="C4393" s="9"/>
      <c r="D4393" t="str">
        <f>"lsy-13"</f>
        <v>lsy-13</v>
      </c>
      <c r="F4393" t="s">
        <v>11</v>
      </c>
      <c r="G4393" t="s">
        <v>3488</v>
      </c>
      <c r="H4393" s="12">
        <v>-1.32280178376519</v>
      </c>
      <c r="I4393" s="20">
        <v>-1.3740659277212901</v>
      </c>
      <c r="J4393" s="28">
        <v>0.169421216024573</v>
      </c>
      <c r="K4393" s="29">
        <v>0.89131298211834697</v>
      </c>
    </row>
    <row r="4394" spans="1:11" x14ac:dyDescent="0.35">
      <c r="A4394" s="9" t="str">
        <f>HYPERLINK("http://www.ensembl.org/id/WBGene00012307", "WBGene00012307")</f>
        <v>WBGene00012307</v>
      </c>
      <c r="B4394" s="9" t="str">
        <f>HYPERLINK("http://www.ncbi.nlm.nih.gov/gene/189253", "189253")</f>
        <v>189253</v>
      </c>
      <c r="C4394" s="9"/>
      <c r="D4394" t="str">
        <f>"W06F12.3"</f>
        <v>W06F12.3</v>
      </c>
      <c r="F4394" t="s">
        <v>11</v>
      </c>
      <c r="G4394" t="s">
        <v>961</v>
      </c>
      <c r="H4394" s="12">
        <v>2.0710933378548</v>
      </c>
      <c r="I4394" s="20">
        <v>1.37412223531916</v>
      </c>
      <c r="J4394" s="28">
        <v>0.16940373753680599</v>
      </c>
      <c r="K4394" s="29">
        <v>0.89131298211834697</v>
      </c>
    </row>
    <row r="4395" spans="1:11" x14ac:dyDescent="0.35">
      <c r="A4395" s="9" t="str">
        <f>HYPERLINK("http://www.ensembl.org/id/WBGene00021527", "WBGene00021527")</f>
        <v>WBGene00021527</v>
      </c>
      <c r="B4395" s="9" t="str">
        <f>HYPERLINK("http://www.ncbi.nlm.nih.gov/gene/189836", "189836")</f>
        <v>189836</v>
      </c>
      <c r="C4395" s="9"/>
      <c r="D4395" t="str">
        <f>"aakg-3"</f>
        <v>aakg-3</v>
      </c>
      <c r="E4395" t="s">
        <v>3490</v>
      </c>
      <c r="F4395" t="s">
        <v>11</v>
      </c>
      <c r="G4395" t="s">
        <v>3491</v>
      </c>
      <c r="H4395" s="12">
        <v>-1.3284539036124401</v>
      </c>
      <c r="I4395" s="20">
        <v>-1.37337222487086</v>
      </c>
      <c r="J4395" s="28">
        <v>0.16963665987360699</v>
      </c>
      <c r="K4395" s="29">
        <v>0.89224326497600004</v>
      </c>
    </row>
    <row r="4396" spans="1:11" x14ac:dyDescent="0.35">
      <c r="A4396" s="9" t="str">
        <f>HYPERLINK("http://www.ensembl.org/id/WBGene00017589", "WBGene00017589")</f>
        <v>WBGene00017589</v>
      </c>
      <c r="B4396" s="9" t="str">
        <f>HYPERLINK("http://www.ncbi.nlm.nih.gov/gene/173712", "173712")</f>
        <v>173712</v>
      </c>
      <c r="C4396" s="9"/>
      <c r="D4396" t="str">
        <f>"F19B10.10"</f>
        <v>F19B10.10</v>
      </c>
      <c r="F4396" t="s">
        <v>11</v>
      </c>
      <c r="G4396" t="s">
        <v>264</v>
      </c>
      <c r="H4396" s="12">
        <v>-1.41800944924384</v>
      </c>
      <c r="I4396" s="20">
        <v>-1.3726734133915</v>
      </c>
      <c r="J4396" s="28">
        <v>0.169853897941624</v>
      </c>
      <c r="K4396" s="29">
        <v>0.89318255936257596</v>
      </c>
    </row>
    <row r="4397" spans="1:11" x14ac:dyDescent="0.35">
      <c r="A4397" s="9" t="str">
        <f>HYPERLINK("http://www.ensembl.org/id/WBGene00006655", "WBGene00006655")</f>
        <v>WBGene00006655</v>
      </c>
      <c r="B4397" s="9" t="str">
        <f>HYPERLINK("http://www.ncbi.nlm.nih.gov/gene/174312", "174312")</f>
        <v>174312</v>
      </c>
      <c r="C4397" s="9" t="str">
        <f>HYPERLINK("http://www.ncbi.nlm.nih.gov/gene/7275", "7275")</f>
        <v>7275</v>
      </c>
      <c r="D4397" t="str">
        <f>"tub-1"</f>
        <v>tub-1</v>
      </c>
      <c r="E4397" t="s">
        <v>3492</v>
      </c>
      <c r="F4397" t="s">
        <v>11</v>
      </c>
      <c r="G4397" t="s">
        <v>3493</v>
      </c>
      <c r="H4397" s="12">
        <v>1.65301877410214</v>
      </c>
      <c r="I4397" s="20">
        <v>1.3720422133797701</v>
      </c>
      <c r="J4397" s="28">
        <v>0.17005029697342</v>
      </c>
      <c r="K4397" s="29">
        <v>0.89401186845684599</v>
      </c>
    </row>
    <row r="4398" spans="1:11" x14ac:dyDescent="0.35">
      <c r="A4398" s="9" t="str">
        <f>HYPERLINK("http://www.ensembl.org/id/WBGene00007200", "WBGene00007200")</f>
        <v>WBGene00007200</v>
      </c>
      <c r="B4398" s="9" t="str">
        <f>HYPERLINK("http://www.ncbi.nlm.nih.gov/gene/178349", "178349")</f>
        <v>178349</v>
      </c>
      <c r="C4398" s="9"/>
      <c r="D4398" t="str">
        <f>"vamp-8"</f>
        <v>vamp-8</v>
      </c>
      <c r="E4398" t="s">
        <v>3494</v>
      </c>
      <c r="F4398" t="s">
        <v>11</v>
      </c>
      <c r="G4398" t="s">
        <v>3495</v>
      </c>
      <c r="H4398" s="12">
        <v>1.3117343981367</v>
      </c>
      <c r="I4398" s="20">
        <v>1.3718864073446799</v>
      </c>
      <c r="J4398" s="28">
        <v>0.170098802487439</v>
      </c>
      <c r="K4398" s="29">
        <v>0.89406345092692496</v>
      </c>
    </row>
    <row r="4399" spans="1:11" x14ac:dyDescent="0.35">
      <c r="A4399" s="9" t="str">
        <f>HYPERLINK("http://www.ensembl.org/id/WBGene00015865", "WBGene00015865")</f>
        <v>WBGene00015865</v>
      </c>
      <c r="B4399" s="9" t="str">
        <f>HYPERLINK("http://www.ncbi.nlm.nih.gov/gene/182693", "182693")</f>
        <v>182693</v>
      </c>
      <c r="C4399" s="9"/>
      <c r="D4399" t="str">
        <f>"C16E9.1"</f>
        <v>C16E9.1</v>
      </c>
      <c r="F4399" t="s">
        <v>11</v>
      </c>
      <c r="G4399" t="s">
        <v>3498</v>
      </c>
      <c r="H4399" s="12">
        <v>1.4604889151475899</v>
      </c>
      <c r="I4399" s="20">
        <v>1.3712389551473401</v>
      </c>
      <c r="J4399" s="28">
        <v>0.170300478302607</v>
      </c>
      <c r="K4399" s="29">
        <v>0.89471642829923703</v>
      </c>
    </row>
    <row r="4400" spans="1:11" x14ac:dyDescent="0.35">
      <c r="A4400" s="9" t="str">
        <f>HYPERLINK("http://www.ensembl.org/id/WBGene00022498", "WBGene00022498")</f>
        <v>WBGene00022498</v>
      </c>
      <c r="B4400" s="9" t="str">
        <f>HYPERLINK("http://www.ncbi.nlm.nih.gov/gene/191049", "191049")</f>
        <v>191049</v>
      </c>
      <c r="C4400" s="9"/>
      <c r="D4400" t="str">
        <f>"hsd-2"</f>
        <v>hsd-2</v>
      </c>
      <c r="E4400" t="s">
        <v>3496</v>
      </c>
      <c r="F4400" t="s">
        <v>11</v>
      </c>
      <c r="G4400" t="s">
        <v>3497</v>
      </c>
      <c r="H4400" s="12">
        <v>1.63324601297048</v>
      </c>
      <c r="I4400" s="20">
        <v>1.37134767125904</v>
      </c>
      <c r="J4400" s="28">
        <v>0.17026660165292101</v>
      </c>
      <c r="K4400" s="29">
        <v>0.89471642829923703</v>
      </c>
    </row>
    <row r="4401" spans="1:11" x14ac:dyDescent="0.35">
      <c r="A4401" s="9" t="str">
        <f>HYPERLINK("http://www.ensembl.org/id/WBGene00017950", "WBGene00017950")</f>
        <v>WBGene00017950</v>
      </c>
      <c r="B4401" s="9" t="str">
        <f>HYPERLINK("http://www.ncbi.nlm.nih.gov/gene/175977", "175977")</f>
        <v>175977</v>
      </c>
      <c r="C4401" s="9" t="str">
        <f>HYPERLINK("http://www.ncbi.nlm.nih.gov/gene/124923", "124923")</f>
        <v>124923</v>
      </c>
      <c r="D4401" t="str">
        <f>"F31E3.2"</f>
        <v>F31E3.2</v>
      </c>
      <c r="E4401" t="s">
        <v>3499</v>
      </c>
      <c r="F4401" t="s">
        <v>11</v>
      </c>
      <c r="G4401" t="s">
        <v>3500</v>
      </c>
      <c r="H4401" s="12">
        <v>1.52621406181967</v>
      </c>
      <c r="I4401" s="20">
        <v>1.3710110817344701</v>
      </c>
      <c r="J4401" s="28">
        <v>0.17037150153278999</v>
      </c>
      <c r="K4401" s="29">
        <v>0.89488609102446803</v>
      </c>
    </row>
    <row r="4402" spans="1:11" x14ac:dyDescent="0.35">
      <c r="A4402" s="9" t="str">
        <f>HYPERLINK("http://www.ensembl.org/id/WBGene00044331", "WBGene00044331")</f>
        <v>WBGene00044331</v>
      </c>
      <c r="B4402" s="9" t="str">
        <f>HYPERLINK("http://www.ncbi.nlm.nih.gov/gene/3565817", "3565817")</f>
        <v>3565817</v>
      </c>
      <c r="C4402" s="9"/>
      <c r="D4402" t="str">
        <f>"clec-25"</f>
        <v>clec-25</v>
      </c>
      <c r="E4402" t="s">
        <v>46</v>
      </c>
      <c r="F4402" t="s">
        <v>11</v>
      </c>
      <c r="G4402" t="s">
        <v>2771</v>
      </c>
      <c r="H4402" s="12">
        <v>-11.410867750331199</v>
      </c>
      <c r="I4402" s="20">
        <v>-1.3705716827018599</v>
      </c>
      <c r="J4402" s="28">
        <v>0.17050851539517101</v>
      </c>
      <c r="K4402" s="29">
        <v>0.89540221743655202</v>
      </c>
    </row>
    <row r="4403" spans="1:11" x14ac:dyDescent="0.35">
      <c r="A4403" s="9" t="str">
        <f>HYPERLINK("http://www.ensembl.org/id/WBGene00043066", "WBGene00043066")</f>
        <v>WBGene00043066</v>
      </c>
      <c r="B4403" s="9" t="str">
        <f>HYPERLINK("http://www.ncbi.nlm.nih.gov/gene/3565563", "3565563")</f>
        <v>3565563</v>
      </c>
      <c r="C4403" s="9" t="str">
        <f>HYPERLINK("http://www.ncbi.nlm.nih.gov/gene/1139", "1139")</f>
        <v>1139</v>
      </c>
      <c r="D4403" t="str">
        <f>"acr-25"</f>
        <v>acr-25</v>
      </c>
      <c r="E4403" t="s">
        <v>1742</v>
      </c>
      <c r="F4403" t="s">
        <v>11</v>
      </c>
      <c r="G4403" t="s">
        <v>1743</v>
      </c>
      <c r="H4403" s="12">
        <v>2.8060216921263699</v>
      </c>
      <c r="I4403" s="20">
        <v>1.36877125144984</v>
      </c>
      <c r="J4403" s="28">
        <v>0.17107078997200401</v>
      </c>
      <c r="K4403" s="29">
        <v>0.89585721293351495</v>
      </c>
    </row>
    <row r="4404" spans="1:11" x14ac:dyDescent="0.35">
      <c r="A4404" s="9" t="str">
        <f>HYPERLINK("http://www.ensembl.org/id/WBGene00009860", "WBGene00009860")</f>
        <v>WBGene00009860</v>
      </c>
      <c r="B4404" s="9" t="str">
        <f>HYPERLINK("http://www.ncbi.nlm.nih.gov/gene/3565962", "3565962")</f>
        <v>3565962</v>
      </c>
      <c r="C4404" s="9"/>
      <c r="D4404" t="str">
        <f>"clec-32"</f>
        <v>clec-32</v>
      </c>
      <c r="E4404" t="s">
        <v>46</v>
      </c>
      <c r="F4404" t="s">
        <v>11</v>
      </c>
      <c r="G4404" t="s">
        <v>2771</v>
      </c>
      <c r="H4404" s="12">
        <v>-7.8569362360422499</v>
      </c>
      <c r="I4404" s="20">
        <v>-1.36939209002147</v>
      </c>
      <c r="J4404" s="28">
        <v>0.17087674548448201</v>
      </c>
      <c r="K4404" s="29">
        <v>0.89585721293351495</v>
      </c>
    </row>
    <row r="4405" spans="1:11" x14ac:dyDescent="0.35">
      <c r="A4405" s="9" t="str">
        <f>HYPERLINK("http://www.ensembl.org/id/WBGene00206382", "WBGene00206382")</f>
        <v>WBGene00206382</v>
      </c>
      <c r="B4405" s="9" t="str">
        <f>HYPERLINK("http://www.ncbi.nlm.nih.gov/gene/13224506", "13224506")</f>
        <v>13224506</v>
      </c>
      <c r="C4405" s="9"/>
      <c r="D4405" t="str">
        <f>"F01G12.18"</f>
        <v>F01G12.18</v>
      </c>
      <c r="F4405" t="s">
        <v>11</v>
      </c>
      <c r="G4405" t="s">
        <v>25</v>
      </c>
      <c r="H4405" s="12">
        <v>-1.4328626282979799</v>
      </c>
      <c r="I4405" s="20">
        <v>-1.3690065150484001</v>
      </c>
      <c r="J4405" s="28">
        <v>0.17099723839827499</v>
      </c>
      <c r="K4405" s="29">
        <v>0.89585721293351495</v>
      </c>
    </row>
    <row r="4406" spans="1:11" x14ac:dyDescent="0.35">
      <c r="A4406" s="9" t="str">
        <f>HYPERLINK("http://www.ensembl.org/id/WBGene00008795", "WBGene00008795")</f>
        <v>WBGene00008795</v>
      </c>
      <c r="B4406" s="9" t="str">
        <f>HYPERLINK("http://www.ncbi.nlm.nih.gov/gene/184468", "184468")</f>
        <v>184468</v>
      </c>
      <c r="C4406" s="9"/>
      <c r="D4406" t="str">
        <f>"F14D7.8"</f>
        <v>F14D7.8</v>
      </c>
      <c r="F4406" t="s">
        <v>11</v>
      </c>
      <c r="G4406" t="s">
        <v>25</v>
      </c>
      <c r="H4406" s="12">
        <v>3.97625922145656</v>
      </c>
      <c r="I4406" s="20">
        <v>1.3686804312779499</v>
      </c>
      <c r="J4406" s="28">
        <v>0.171099189850065</v>
      </c>
      <c r="K4406" s="29">
        <v>0.89585721293351495</v>
      </c>
    </row>
    <row r="4407" spans="1:11" x14ac:dyDescent="0.35">
      <c r="A4407" s="9" t="str">
        <f>HYPERLINK("http://www.ensembl.org/id/WBGene00008926", "WBGene00008926")</f>
        <v>WBGene00008926</v>
      </c>
      <c r="B4407" s="9" t="str">
        <f>HYPERLINK("http://www.ncbi.nlm.nih.gov/gene/184623", "184623")</f>
        <v>184623</v>
      </c>
      <c r="C4407" s="9"/>
      <c r="D4407" t="str">
        <f>"F17H10.2"</f>
        <v>F17H10.2</v>
      </c>
      <c r="F4407" t="s">
        <v>11</v>
      </c>
      <c r="G4407" t="s">
        <v>25</v>
      </c>
      <c r="H4407" s="12">
        <v>1.29432074678081</v>
      </c>
      <c r="I4407" s="20">
        <v>1.3696087110364801</v>
      </c>
      <c r="J4407" s="28">
        <v>0.170809078910029</v>
      </c>
      <c r="K4407" s="29">
        <v>0.89585721293351495</v>
      </c>
    </row>
    <row r="4408" spans="1:11" x14ac:dyDescent="0.35">
      <c r="A4408" s="9" t="str">
        <f>HYPERLINK("http://www.ensembl.org/id/WBGene00043068", "WBGene00043068")</f>
        <v>WBGene00043068</v>
      </c>
      <c r="B4408" s="9" t="str">
        <f>HYPERLINK("http://www.ncbi.nlm.nih.gov/gene/259577", "259577")</f>
        <v>259577</v>
      </c>
      <c r="C4408" s="9"/>
      <c r="D4408" t="str">
        <f>"F32E10.9"</f>
        <v>F32E10.9</v>
      </c>
      <c r="F4408" t="s">
        <v>11</v>
      </c>
      <c r="H4408" s="12">
        <v>-1.78613113664955</v>
      </c>
      <c r="I4408" s="20">
        <v>-1.3687687216068301</v>
      </c>
      <c r="J4408" s="28">
        <v>0.171071581017541</v>
      </c>
      <c r="K4408" s="29">
        <v>0.89585721293351495</v>
      </c>
    </row>
    <row r="4409" spans="1:11" x14ac:dyDescent="0.35">
      <c r="A4409" s="9" t="str">
        <f>HYPERLINK("http://www.ensembl.org/id/WBGene00018974", "WBGene00018974")</f>
        <v>WBGene00018974</v>
      </c>
      <c r="B4409" s="9" t="str">
        <f>HYPERLINK("http://www.ncbi.nlm.nih.gov/gene/173511", "173511")</f>
        <v>173511</v>
      </c>
      <c r="C4409" s="9"/>
      <c r="D4409" t="str">
        <f>"fcho-1"</f>
        <v>fcho-1</v>
      </c>
      <c r="E4409" t="s">
        <v>3505</v>
      </c>
      <c r="F4409" t="s">
        <v>11</v>
      </c>
      <c r="G4409" t="s">
        <v>3506</v>
      </c>
      <c r="H4409" s="12">
        <v>-1.29652580151958</v>
      </c>
      <c r="I4409" s="20">
        <v>-1.3691062832579299</v>
      </c>
      <c r="J4409" s="28">
        <v>0.17096605454222899</v>
      </c>
      <c r="K4409" s="29">
        <v>0.89585721293351495</v>
      </c>
    </row>
    <row r="4410" spans="1:11" x14ac:dyDescent="0.35">
      <c r="A4410" s="9" t="str">
        <f>HYPERLINK("http://www.ensembl.org/id/WBGene00015839", "WBGene00015839")</f>
        <v>WBGene00015839</v>
      </c>
      <c r="B4410" s="9" t="str">
        <f>HYPERLINK("http://www.ncbi.nlm.nih.gov/gene/182669", "182669")</f>
        <v>182669</v>
      </c>
      <c r="C4410" s="9"/>
      <c r="D4410" t="str">
        <f>"math-10"</f>
        <v>math-10</v>
      </c>
      <c r="E4410" t="s">
        <v>596</v>
      </c>
      <c r="F4410" t="s">
        <v>11</v>
      </c>
      <c r="G4410" t="s">
        <v>54</v>
      </c>
      <c r="H4410" s="12">
        <v>-3.5641408174471199</v>
      </c>
      <c r="I4410" s="20">
        <v>-1.36933150051631</v>
      </c>
      <c r="J4410" s="28">
        <v>0.17089567560781099</v>
      </c>
      <c r="K4410" s="29">
        <v>0.89585721293351495</v>
      </c>
    </row>
    <row r="4411" spans="1:11" x14ac:dyDescent="0.35">
      <c r="A4411" s="9" t="str">
        <f>HYPERLINK("http://www.ensembl.org/id/WBGene00004219", "WBGene00004219")</f>
        <v>WBGene00004219</v>
      </c>
      <c r="B4411" s="9" t="str">
        <f>HYPERLINK("http://www.ncbi.nlm.nih.gov/gene/180876", "180876")</f>
        <v>180876</v>
      </c>
      <c r="C4411" s="9"/>
      <c r="D4411" t="str">
        <f>"ptr-4"</f>
        <v>ptr-4</v>
      </c>
      <c r="E4411" t="s">
        <v>134</v>
      </c>
      <c r="F4411" t="s">
        <v>11</v>
      </c>
      <c r="G4411" t="s">
        <v>193</v>
      </c>
      <c r="H4411" s="12">
        <v>1.41531439941348</v>
      </c>
      <c r="I4411" s="20">
        <v>1.36875759935708</v>
      </c>
      <c r="J4411" s="28">
        <v>0.17107505881763499</v>
      </c>
      <c r="K4411" s="29">
        <v>0.89585721293351495</v>
      </c>
    </row>
    <row r="4412" spans="1:11" x14ac:dyDescent="0.35">
      <c r="A4412" s="9" t="str">
        <f>HYPERLINK("http://www.ensembl.org/id/WBGene00011016", "WBGene00011016")</f>
        <v>WBGene00011016</v>
      </c>
      <c r="B4412" s="9" t="str">
        <f>HYPERLINK("http://www.ncbi.nlm.nih.gov/gene/179688", "179688")</f>
        <v>179688</v>
      </c>
      <c r="C4412" s="9"/>
      <c r="D4412" t="str">
        <f>"R04F11.3"</f>
        <v>R04F11.3</v>
      </c>
      <c r="F4412" t="s">
        <v>11</v>
      </c>
      <c r="G4412" t="s">
        <v>3508</v>
      </c>
      <c r="H4412" s="12">
        <v>-1.32754350876533</v>
      </c>
      <c r="I4412" s="20">
        <v>-1.37004369167206</v>
      </c>
      <c r="J4412" s="28">
        <v>0.170673263286374</v>
      </c>
      <c r="K4412" s="29">
        <v>0.89585721293351495</v>
      </c>
    </row>
    <row r="4413" spans="1:11" x14ac:dyDescent="0.35">
      <c r="A4413" s="9" t="str">
        <f>HYPERLINK("http://www.ensembl.org/id/WBGene00006364", "WBGene00006364")</f>
        <v>WBGene00006364</v>
      </c>
      <c r="B4413" s="9" t="str">
        <f>HYPERLINK("http://www.ncbi.nlm.nih.gov/gene/181255", "181255")</f>
        <v>181255</v>
      </c>
      <c r="C4413" s="9" t="str">
        <f>HYPERLINK("http://www.ncbi.nlm.nih.gov/gene/8499", "8499")</f>
        <v>8499</v>
      </c>
      <c r="D4413" t="str">
        <f>"syd-2"</f>
        <v>syd-2</v>
      </c>
      <c r="E4413" t="s">
        <v>3503</v>
      </c>
      <c r="F4413" t="s">
        <v>11</v>
      </c>
      <c r="G4413" t="s">
        <v>3504</v>
      </c>
      <c r="H4413" s="12">
        <v>1.3072381594726601</v>
      </c>
      <c r="I4413" s="20">
        <v>1.3689174417316801</v>
      </c>
      <c r="J4413" s="28">
        <v>0.171025083025028</v>
      </c>
      <c r="K4413" s="29">
        <v>0.89585721293351495</v>
      </c>
    </row>
    <row r="4414" spans="1:11" x14ac:dyDescent="0.35">
      <c r="A4414" s="9" t="str">
        <f>HYPERLINK("http://www.ensembl.org/id/WBGene00022787", "WBGene00022787")</f>
        <v>WBGene00022787</v>
      </c>
      <c r="B4414" s="9" t="str">
        <f>HYPERLINK("http://www.ncbi.nlm.nih.gov/gene/176098", "176098")</f>
        <v>176098</v>
      </c>
      <c r="C4414" s="9" t="str">
        <f>HYPERLINK("http://www.ncbi.nlm.nih.gov/gene/26073", "26073")</f>
        <v>26073</v>
      </c>
      <c r="D4414" t="str">
        <f>"tag-307"</f>
        <v>tag-307</v>
      </c>
      <c r="F4414" t="s">
        <v>11</v>
      </c>
      <c r="G4414" t="s">
        <v>3507</v>
      </c>
      <c r="H4414" s="12">
        <v>-1.3262022968499001</v>
      </c>
      <c r="I4414" s="20">
        <v>-1.3690402266817101</v>
      </c>
      <c r="J4414" s="28">
        <v>0.17098670091082399</v>
      </c>
      <c r="K4414" s="29">
        <v>0.89585721293351495</v>
      </c>
    </row>
    <row r="4415" spans="1:11" x14ac:dyDescent="0.35">
      <c r="A4415" s="9" t="str">
        <f>HYPERLINK("http://www.ensembl.org/id/WBGene00022378", "WBGene00022378")</f>
        <v>WBGene00022378</v>
      </c>
      <c r="B4415" s="9" t="str">
        <f>HYPERLINK("http://www.ncbi.nlm.nih.gov/gene/177054", "177054")</f>
        <v>177054</v>
      </c>
      <c r="C4415" s="9" t="str">
        <f>HYPERLINK("http://www.ncbi.nlm.nih.gov/gene/79039", "79039")</f>
        <v>79039</v>
      </c>
      <c r="D4415" t="str">
        <f>"Y94H6A.5"</f>
        <v>Y94H6A.5</v>
      </c>
      <c r="E4415" t="s">
        <v>3501</v>
      </c>
      <c r="F4415" t="s">
        <v>11</v>
      </c>
      <c r="G4415" t="s">
        <v>3502</v>
      </c>
      <c r="H4415" s="12">
        <v>1.3385440966087701</v>
      </c>
      <c r="I4415" s="20">
        <v>1.3691625458950301</v>
      </c>
      <c r="J4415" s="28">
        <v>0.17094847079890499</v>
      </c>
      <c r="K4415" s="29">
        <v>0.89585721293351495</v>
      </c>
    </row>
    <row r="4416" spans="1:11" x14ac:dyDescent="0.35">
      <c r="A4416" s="9" t="str">
        <f>HYPERLINK("http://www.ensembl.org/id/WBGene00021503", "WBGene00021503")</f>
        <v>WBGene00021503</v>
      </c>
      <c r="B4416" s="9" t="str">
        <f>HYPERLINK("http://www.ncbi.nlm.nih.gov/gene/175938", "175938")</f>
        <v>175938</v>
      </c>
      <c r="C4416" s="9"/>
      <c r="D4416" t="str">
        <f>"ctsa-2"</f>
        <v>ctsa-2</v>
      </c>
      <c r="E4416" t="s">
        <v>890</v>
      </c>
      <c r="F4416" t="s">
        <v>11</v>
      </c>
      <c r="G4416" t="s">
        <v>3510</v>
      </c>
      <c r="H4416" s="12">
        <v>1.42146469200864</v>
      </c>
      <c r="I4416" s="20">
        <v>1.36846112509453</v>
      </c>
      <c r="J4416" s="28">
        <v>0.17116778244016501</v>
      </c>
      <c r="K4416" s="29">
        <v>0.89588199255170597</v>
      </c>
    </row>
    <row r="4417" spans="1:11" x14ac:dyDescent="0.35">
      <c r="A4417" s="9" t="str">
        <f>HYPERLINK("http://www.ensembl.org/id/WBGene00020125", "WBGene00020125")</f>
        <v>WBGene00020125</v>
      </c>
      <c r="B4417" s="9" t="str">
        <f>HYPERLINK("http://www.ncbi.nlm.nih.gov/gene/180973", "180973")</f>
        <v>180973</v>
      </c>
      <c r="C4417" s="9"/>
      <c r="D4417" t="str">
        <f>"R173.3"</f>
        <v>R173.3</v>
      </c>
      <c r="F4417" t="s">
        <v>11</v>
      </c>
      <c r="G4417" t="s">
        <v>3509</v>
      </c>
      <c r="H4417" s="12">
        <v>1.5573994597806</v>
      </c>
      <c r="I4417" s="20">
        <v>1.3684173774525501</v>
      </c>
      <c r="J4417" s="28">
        <v>0.17118146789214</v>
      </c>
      <c r="K4417" s="29">
        <v>0.89588199255170597</v>
      </c>
    </row>
    <row r="4418" spans="1:11" x14ac:dyDescent="0.35">
      <c r="A4418" s="9" t="str">
        <f>HYPERLINK("http://www.ensembl.org/id/WBGene00044421", "WBGene00044421")</f>
        <v>WBGene00044421</v>
      </c>
      <c r="B4418" s="9" t="str">
        <f>HYPERLINK("http://www.ncbi.nlm.nih.gov/gene/3565784", "3565784")</f>
        <v>3565784</v>
      </c>
      <c r="C4418" s="9"/>
      <c r="D4418" t="str">
        <f>"D1007.18"</f>
        <v>D1007.18</v>
      </c>
      <c r="F4418" t="s">
        <v>11</v>
      </c>
      <c r="H4418" s="12">
        <v>2.04151076219543</v>
      </c>
      <c r="I4418" s="20">
        <v>1.3671861750066701</v>
      </c>
      <c r="J4418" s="28">
        <v>0.171566957572031</v>
      </c>
      <c r="K4418" s="29">
        <v>0.89749289600618998</v>
      </c>
    </row>
    <row r="4419" spans="1:11" x14ac:dyDescent="0.35">
      <c r="A4419" s="9" t="str">
        <f>HYPERLINK("http://www.ensembl.org/id/WBGene00018599", "WBGene00018599")</f>
        <v>WBGene00018599</v>
      </c>
      <c r="B4419" s="9" t="str">
        <f>HYPERLINK("http://www.ncbi.nlm.nih.gov/gene/172177", "172177")</f>
        <v>172177</v>
      </c>
      <c r="C4419" s="9"/>
      <c r="D4419" t="str">
        <f>"F48C1.6"</f>
        <v>F48C1.6</v>
      </c>
      <c r="F4419" t="s">
        <v>11</v>
      </c>
      <c r="G4419" t="s">
        <v>25</v>
      </c>
      <c r="H4419" s="12">
        <v>-1.3547599936810499</v>
      </c>
      <c r="I4419" s="20">
        <v>-1.3672951002075999</v>
      </c>
      <c r="J4419" s="28">
        <v>0.17153282689553501</v>
      </c>
      <c r="K4419" s="29">
        <v>0.89749289600618998</v>
      </c>
    </row>
    <row r="4420" spans="1:11" x14ac:dyDescent="0.35">
      <c r="A4420" s="9" t="str">
        <f>HYPERLINK("http://www.ensembl.org/id/WBGene00001202", "WBGene00001202")</f>
        <v>WBGene00001202</v>
      </c>
      <c r="B4420" s="9" t="str">
        <f>HYPERLINK("http://www.ncbi.nlm.nih.gov/gene/181269", "181269")</f>
        <v>181269</v>
      </c>
      <c r="C4420" s="9" t="str">
        <f>HYPERLINK("http://www.ncbi.nlm.nih.gov/gene/3746", "3746")</f>
        <v>3746</v>
      </c>
      <c r="D4420" t="str">
        <f>"egl-36"</f>
        <v>egl-36</v>
      </c>
      <c r="E4420" t="s">
        <v>3511</v>
      </c>
      <c r="F4420" t="s">
        <v>11</v>
      </c>
      <c r="G4420" t="s">
        <v>825</v>
      </c>
      <c r="H4420" s="12">
        <v>1.3334968409177299</v>
      </c>
      <c r="I4420" s="20">
        <v>1.3668171344073199</v>
      </c>
      <c r="J4420" s="28">
        <v>0.17168263072342499</v>
      </c>
      <c r="K4420" s="29">
        <v>0.89750968176290102</v>
      </c>
    </row>
    <row r="4421" spans="1:11" x14ac:dyDescent="0.35">
      <c r="A4421" s="9" t="str">
        <f>HYPERLINK("http://www.ensembl.org/id/WBGene00001498", "WBGene00001498")</f>
        <v>WBGene00001498</v>
      </c>
      <c r="B4421" s="9" t="str">
        <f>HYPERLINK("http://www.ncbi.nlm.nih.gov/gene/174351", "174351")</f>
        <v>174351</v>
      </c>
      <c r="C4421" s="9" t="str">
        <f>HYPERLINK("http://www.ncbi.nlm.nih.gov/gene/10056", "10056")</f>
        <v>10056</v>
      </c>
      <c r="D4421" t="str">
        <f>"fars-3"</f>
        <v>fars-3</v>
      </c>
      <c r="E4421" t="s">
        <v>3512</v>
      </c>
      <c r="F4421" t="s">
        <v>11</v>
      </c>
      <c r="G4421" t="s">
        <v>3513</v>
      </c>
      <c r="H4421" s="12">
        <v>-1.28992242342551</v>
      </c>
      <c r="I4421" s="20">
        <v>-1.3666644289024099</v>
      </c>
      <c r="J4421" s="28">
        <v>0.17173051224830499</v>
      </c>
      <c r="K4421" s="29">
        <v>0.89750968176290102</v>
      </c>
    </row>
    <row r="4422" spans="1:11" x14ac:dyDescent="0.35">
      <c r="A4422" s="9" t="str">
        <f>HYPERLINK("http://www.ensembl.org/id/WBGene00012211", "WBGene00012211")</f>
        <v>WBGene00012211</v>
      </c>
      <c r="B4422" s="9" t="str">
        <f>HYPERLINK("http://www.ncbi.nlm.nih.gov/gene/173127", "173127")</f>
        <v>173127</v>
      </c>
      <c r="C4422" s="9"/>
      <c r="D4422" t="str">
        <f>"ssp-37"</f>
        <v>ssp-37</v>
      </c>
      <c r="E4422" t="s">
        <v>3514</v>
      </c>
      <c r="F4422" t="s">
        <v>11</v>
      </c>
      <c r="G4422" t="s">
        <v>287</v>
      </c>
      <c r="H4422" s="12">
        <v>-1.3015600344583</v>
      </c>
      <c r="I4422" s="20">
        <v>-1.36666199498398</v>
      </c>
      <c r="J4422" s="28">
        <v>0.17173127549571701</v>
      </c>
      <c r="K4422" s="29">
        <v>0.89750968176290102</v>
      </c>
    </row>
    <row r="4423" spans="1:11" x14ac:dyDescent="0.35">
      <c r="A4423" s="9" t="str">
        <f>HYPERLINK("http://www.ensembl.org/id/WBGene00271778", "WBGene00271778")</f>
        <v>WBGene00271778</v>
      </c>
      <c r="B4423" s="9" t="str">
        <f>HYPERLINK("http://www.ncbi.nlm.nih.gov/gene/34700643", "34700643")</f>
        <v>34700643</v>
      </c>
      <c r="C4423" s="9"/>
      <c r="D4423" t="str">
        <f>"T01A4.9"</f>
        <v>T01A4.9</v>
      </c>
      <c r="F4423" t="s">
        <v>11</v>
      </c>
      <c r="G4423" t="s">
        <v>25</v>
      </c>
      <c r="H4423" s="12">
        <v>3.6897795469589001</v>
      </c>
      <c r="I4423" s="20">
        <v>1.3664325909000701</v>
      </c>
      <c r="J4423" s="28">
        <v>0.17180322524181199</v>
      </c>
      <c r="K4423" s="29">
        <v>0.89750968176290102</v>
      </c>
    </row>
    <row r="4424" spans="1:11" x14ac:dyDescent="0.35">
      <c r="A4424" s="9" t="str">
        <f>HYPERLINK("http://www.ensembl.org/id/WBGene00017733", "WBGene00017733")</f>
        <v>WBGene00017733</v>
      </c>
      <c r="B4424" s="9" t="str">
        <f>HYPERLINK("http://www.ncbi.nlm.nih.gov/gene/171804", "171804")</f>
        <v>171804</v>
      </c>
      <c r="C4424" s="9" t="str">
        <f>HYPERLINK("http://www.ncbi.nlm.nih.gov/gene/51035", "51035")</f>
        <v>51035</v>
      </c>
      <c r="D4424" t="str">
        <f>"ubxn-1"</f>
        <v>ubxn-1</v>
      </c>
      <c r="E4424" t="s">
        <v>3515</v>
      </c>
      <c r="F4424" t="s">
        <v>11</v>
      </c>
      <c r="G4424" t="s">
        <v>3516</v>
      </c>
      <c r="H4424" s="12">
        <v>-1.3060623281539501</v>
      </c>
      <c r="I4424" s="20">
        <v>-1.3665784232515501</v>
      </c>
      <c r="J4424" s="28">
        <v>0.17175748412146599</v>
      </c>
      <c r="K4424" s="29">
        <v>0.89750968176290102</v>
      </c>
    </row>
    <row r="4425" spans="1:11" x14ac:dyDescent="0.35">
      <c r="A4425" s="9" t="str">
        <f>HYPERLINK("http://www.ensembl.org/id/WBGene00006963", "WBGene00006963")</f>
        <v>WBGene00006963</v>
      </c>
      <c r="B4425" s="9" t="str">
        <f>HYPERLINK("http://www.ncbi.nlm.nih.gov/gene/187120", "187120")</f>
        <v>187120</v>
      </c>
      <c r="C4425" s="9" t="str">
        <f>HYPERLINK("http://www.ncbi.nlm.nih.gov/gene/7507", "7507")</f>
        <v>7507</v>
      </c>
      <c r="D4425" t="str">
        <f>"xpa-1"</f>
        <v>xpa-1</v>
      </c>
      <c r="E4425" t="s">
        <v>3517</v>
      </c>
      <c r="F4425" t="s">
        <v>11</v>
      </c>
      <c r="G4425" t="s">
        <v>3518</v>
      </c>
      <c r="H4425" s="12">
        <v>-1.3416606027152</v>
      </c>
      <c r="I4425" s="20">
        <v>-1.3664471628607999</v>
      </c>
      <c r="J4425" s="28">
        <v>0.17179865425614901</v>
      </c>
      <c r="K4425" s="29">
        <v>0.89750968176290102</v>
      </c>
    </row>
    <row r="4426" spans="1:11" x14ac:dyDescent="0.35">
      <c r="A4426" s="9" t="str">
        <f>HYPERLINK("http://www.ensembl.org/id/WBGene00008070", "WBGene00008070")</f>
        <v>WBGene00008070</v>
      </c>
      <c r="B4426" s="9" t="str">
        <f>HYPERLINK("http://www.ncbi.nlm.nih.gov/gene/180267", "180267")</f>
        <v>180267</v>
      </c>
      <c r="C4426" s="9"/>
      <c r="D4426" t="str">
        <f>"C43D7.8"</f>
        <v>C43D7.8</v>
      </c>
      <c r="F4426" t="s">
        <v>11</v>
      </c>
      <c r="G4426" t="s">
        <v>54</v>
      </c>
      <c r="H4426" s="12">
        <v>2.46384429621081</v>
      </c>
      <c r="I4426" s="20">
        <v>1.36565307193025</v>
      </c>
      <c r="J4426" s="28">
        <v>0.172047880273582</v>
      </c>
      <c r="K4426" s="29">
        <v>0.89858461157354796</v>
      </c>
    </row>
    <row r="4427" spans="1:11" x14ac:dyDescent="0.35">
      <c r="A4427" s="9" t="str">
        <f>HYPERLINK("http://www.ensembl.org/id/WBGene00020909", "WBGene00020909")</f>
        <v>WBGene00020909</v>
      </c>
      <c r="B4427" s="9" t="str">
        <f>HYPERLINK("http://www.ncbi.nlm.nih.gov/gene/179036", "179036")</f>
        <v>179036</v>
      </c>
      <c r="C4427" s="9" t="str">
        <f>HYPERLINK("http://www.ncbi.nlm.nih.gov/gene/2052", "2052")</f>
        <v>2052</v>
      </c>
      <c r="D4427" t="str">
        <f>"W01A11.1"</f>
        <v>W01A11.1</v>
      </c>
      <c r="E4427" t="s">
        <v>1302</v>
      </c>
      <c r="F4427" t="s">
        <v>11</v>
      </c>
      <c r="G4427" t="s">
        <v>3519</v>
      </c>
      <c r="H4427" s="12">
        <v>-1.2920434945005901</v>
      </c>
      <c r="I4427" s="20">
        <v>-1.3654728711043</v>
      </c>
      <c r="J4427" s="28">
        <v>0.172104474074943</v>
      </c>
      <c r="K4427" s="29">
        <v>0.89867705716963597</v>
      </c>
    </row>
    <row r="4428" spans="1:11" x14ac:dyDescent="0.35">
      <c r="A4428" s="9" t="str">
        <f>HYPERLINK("http://www.ensembl.org/id/WBGene00016517", "WBGene00016517")</f>
        <v>WBGene00016517</v>
      </c>
      <c r="B4428" s="9" t="str">
        <f>HYPERLINK("http://www.ncbi.nlm.nih.gov/gene/183304", "183304")</f>
        <v>183304</v>
      </c>
      <c r="C4428" s="9"/>
      <c r="D4428" t="str">
        <f>"nhr-260"</f>
        <v>nhr-260</v>
      </c>
      <c r="E4428" t="s">
        <v>637</v>
      </c>
      <c r="F4428" t="s">
        <v>11</v>
      </c>
      <c r="G4428" t="s">
        <v>1073</v>
      </c>
      <c r="H4428" s="12">
        <v>2.5784919229875798</v>
      </c>
      <c r="I4428" s="20">
        <v>1.3649118980305399</v>
      </c>
      <c r="J4428" s="28">
        <v>0.17228074222981299</v>
      </c>
      <c r="K4428" s="29">
        <v>0.89939422276594205</v>
      </c>
    </row>
    <row r="4429" spans="1:11" x14ac:dyDescent="0.35">
      <c r="A4429" s="9" t="str">
        <f>HYPERLINK("http://www.ensembl.org/id/WBGene00015879", "WBGene00015879")</f>
        <v>WBGene00015879</v>
      </c>
      <c r="B4429" s="9" t="str">
        <f>HYPERLINK("http://www.ncbi.nlm.nih.gov/gene/178766", "178766")</f>
        <v>178766</v>
      </c>
      <c r="C4429" s="9"/>
      <c r="D4429" t="str">
        <f>"C17B7.5"</f>
        <v>C17B7.5</v>
      </c>
      <c r="F4429" t="s">
        <v>11</v>
      </c>
      <c r="G4429" t="s">
        <v>3520</v>
      </c>
      <c r="H4429" s="12">
        <v>1.8482508648881599</v>
      </c>
      <c r="I4429" s="20">
        <v>1.3635012618089799</v>
      </c>
      <c r="J4429" s="28">
        <v>0.17272458706229701</v>
      </c>
      <c r="K4429" s="29">
        <v>0.89944195385638404</v>
      </c>
    </row>
    <row r="4430" spans="1:11" x14ac:dyDescent="0.35">
      <c r="A4430" s="9" t="str">
        <f>HYPERLINK("http://www.ensembl.org/id/WBGene00007935", "WBGene00007935")</f>
        <v>WBGene00007935</v>
      </c>
      <c r="B4430" s="9" t="str">
        <f>HYPERLINK("http://www.ncbi.nlm.nih.gov/gene/181359", "181359")</f>
        <v>181359</v>
      </c>
      <c r="C4430" s="9"/>
      <c r="D4430" t="str">
        <f>"C34E11.2"</f>
        <v>C34E11.2</v>
      </c>
      <c r="F4430" t="s">
        <v>11</v>
      </c>
      <c r="G4430" t="s">
        <v>3521</v>
      </c>
      <c r="H4430" s="12">
        <v>1.4902100029383101</v>
      </c>
      <c r="I4430" s="20">
        <v>1.3635634512880199</v>
      </c>
      <c r="J4430" s="28">
        <v>0.17270500166521099</v>
      </c>
      <c r="K4430" s="29">
        <v>0.89944195385638404</v>
      </c>
    </row>
    <row r="4431" spans="1:11" x14ac:dyDescent="0.35">
      <c r="A4431" s="9" t="str">
        <f>HYPERLINK("http://www.ensembl.org/id/WBGene00044744", "WBGene00044744")</f>
        <v>WBGene00044744</v>
      </c>
      <c r="B4431" s="9" t="str">
        <f>HYPERLINK("http://www.ncbi.nlm.nih.gov/gene/4363040", "4363040")</f>
        <v>4363040</v>
      </c>
      <c r="C4431" s="9"/>
      <c r="D4431" t="str">
        <f>"F10G7.12"</f>
        <v>F10G7.12</v>
      </c>
      <c r="F4431" t="s">
        <v>11</v>
      </c>
      <c r="H4431" s="12">
        <v>11.514156213135999</v>
      </c>
      <c r="I4431" s="20">
        <v>1.3638172308827099</v>
      </c>
      <c r="J4431" s="28">
        <v>0.172625095810199</v>
      </c>
      <c r="K4431" s="29">
        <v>0.89944195385638404</v>
      </c>
    </row>
    <row r="4432" spans="1:11" x14ac:dyDescent="0.35">
      <c r="A4432" s="9" t="str">
        <f>HYPERLINK("http://www.ensembl.org/id/WBGene00021179", "WBGene00021179")</f>
        <v>WBGene00021179</v>
      </c>
      <c r="B4432" s="9" t="str">
        <f>HYPERLINK("http://www.ncbi.nlm.nih.gov/gene/189417", "189417")</f>
        <v>189417</v>
      </c>
      <c r="C4432" s="9"/>
      <c r="D4432" t="str">
        <f>"fbxa-86"</f>
        <v>fbxa-86</v>
      </c>
      <c r="E4432" t="s">
        <v>467</v>
      </c>
      <c r="F4432" t="s">
        <v>11</v>
      </c>
      <c r="G4432" t="s">
        <v>54</v>
      </c>
      <c r="H4432" s="12">
        <v>-14.7172786272263</v>
      </c>
      <c r="I4432" s="20">
        <v>-1.36459167804621</v>
      </c>
      <c r="J4432" s="28">
        <v>0.17238142182406599</v>
      </c>
      <c r="K4432" s="29">
        <v>0.89944195385638404</v>
      </c>
    </row>
    <row r="4433" spans="1:11" x14ac:dyDescent="0.35">
      <c r="A4433" s="9" t="str">
        <f>HYPERLINK("http://www.ensembl.org/id/WBGene00019035", "WBGene00019035")</f>
        <v>WBGene00019035</v>
      </c>
      <c r="B4433" s="9" t="str">
        <f>HYPERLINK("http://www.ncbi.nlm.nih.gov/gene/186508", "186508")</f>
        <v>186508</v>
      </c>
      <c r="C4433" s="9"/>
      <c r="D4433" t="str">
        <f>"fbxb-26"</f>
        <v>fbxb-26</v>
      </c>
      <c r="E4433" t="s">
        <v>1436</v>
      </c>
      <c r="F4433" t="s">
        <v>11</v>
      </c>
      <c r="H4433" s="12">
        <v>1.7045706001916301</v>
      </c>
      <c r="I4433" s="20">
        <v>1.3633983321432599</v>
      </c>
      <c r="J4433" s="28">
        <v>0.17275700645783101</v>
      </c>
      <c r="K4433" s="29">
        <v>0.89944195385638404</v>
      </c>
    </row>
    <row r="4434" spans="1:11" x14ac:dyDescent="0.35">
      <c r="A4434" s="9" t="str">
        <f>HYPERLINK("http://www.ensembl.org/id/WBGene00022531", "WBGene00022531")</f>
        <v>WBGene00022531</v>
      </c>
      <c r="B4434" s="9" t="str">
        <f>HYPERLINK("http://www.ncbi.nlm.nih.gov/gene/175711", "175711")</f>
        <v>175711</v>
      </c>
      <c r="C4434" s="9"/>
      <c r="D4434" t="str">
        <f>"morc-1"</f>
        <v>morc-1</v>
      </c>
      <c r="F4434" t="s">
        <v>11</v>
      </c>
      <c r="H4434" s="12">
        <v>-1.32124661778712</v>
      </c>
      <c r="I4434" s="20">
        <v>-1.36400653969898</v>
      </c>
      <c r="J4434" s="28">
        <v>0.172565507437661</v>
      </c>
      <c r="K4434" s="29">
        <v>0.89944195385638404</v>
      </c>
    </row>
    <row r="4435" spans="1:11" x14ac:dyDescent="0.35">
      <c r="A4435" s="9" t="str">
        <f>HYPERLINK("http://www.ensembl.org/id/WBGene00021116", "WBGene00021116")</f>
        <v>WBGene00021116</v>
      </c>
      <c r="B4435" s="9" t="str">
        <f>HYPERLINK("http://www.ncbi.nlm.nih.gov/gene/173700", "173700")</f>
        <v>173700</v>
      </c>
      <c r="C4435" s="9"/>
      <c r="D4435" t="str">
        <f>"ncs-6"</f>
        <v>ncs-6</v>
      </c>
      <c r="E4435" t="s">
        <v>3304</v>
      </c>
      <c r="F4435" t="s">
        <v>11</v>
      </c>
      <c r="G4435" t="s">
        <v>325</v>
      </c>
      <c r="H4435" s="12">
        <v>1.5042515021604901</v>
      </c>
      <c r="I4435" s="20">
        <v>1.36400921779817</v>
      </c>
      <c r="J4435" s="28">
        <v>0.17256466456789099</v>
      </c>
      <c r="K4435" s="29">
        <v>0.89944195385638404</v>
      </c>
    </row>
    <row r="4436" spans="1:11" x14ac:dyDescent="0.35">
      <c r="A4436" s="9" t="str">
        <f>HYPERLINK("http://www.ensembl.org/id/WBGene00021063", "WBGene00021063")</f>
        <v>WBGene00021063</v>
      </c>
      <c r="B4436" s="9" t="str">
        <f>HYPERLINK("http://www.ncbi.nlm.nih.gov/gene/175218", "175218")</f>
        <v>175218</v>
      </c>
      <c r="C4436" s="9" t="str">
        <f>HYPERLINK("http://www.ncbi.nlm.nih.gov/gene/51119", "51119")</f>
        <v>51119</v>
      </c>
      <c r="D4436" t="str">
        <f>"sbds-1"</f>
        <v>sbds-1</v>
      </c>
      <c r="E4436" t="s">
        <v>3524</v>
      </c>
      <c r="F4436" t="s">
        <v>11</v>
      </c>
      <c r="G4436" t="s">
        <v>3525</v>
      </c>
      <c r="H4436" s="12">
        <v>-1.32610038660642</v>
      </c>
      <c r="I4436" s="20">
        <v>-1.36410144520969</v>
      </c>
      <c r="J4436" s="28">
        <v>0.17253564000216701</v>
      </c>
      <c r="K4436" s="29">
        <v>0.89944195385638404</v>
      </c>
    </row>
    <row r="4437" spans="1:11" x14ac:dyDescent="0.35">
      <c r="A4437" s="9" t="str">
        <f>HYPERLINK("http://www.ensembl.org/id/WBGene00011823", "WBGene00011823")</f>
        <v>WBGene00011823</v>
      </c>
      <c r="B4437" s="9" t="str">
        <f>HYPERLINK("http://www.ncbi.nlm.nih.gov/gene/188576", "188576")</f>
        <v>188576</v>
      </c>
      <c r="C4437" s="9"/>
      <c r="D4437" t="str">
        <f>"T18D3.6"</f>
        <v>T18D3.6</v>
      </c>
      <c r="F4437" t="s">
        <v>11</v>
      </c>
      <c r="H4437" s="12">
        <v>-1.2961498101890701</v>
      </c>
      <c r="I4437" s="20">
        <v>-1.3637255357228399</v>
      </c>
      <c r="J4437" s="28">
        <v>0.17265396405081901</v>
      </c>
      <c r="K4437" s="29">
        <v>0.89944195385638404</v>
      </c>
    </row>
    <row r="4438" spans="1:11" x14ac:dyDescent="0.35">
      <c r="A4438" s="9" t="str">
        <f>HYPERLINK("http://www.ensembl.org/id/WBGene00020609", "WBGene00020609")</f>
        <v>WBGene00020609</v>
      </c>
      <c r="B4438" s="9" t="str">
        <f>HYPERLINK("http://www.ncbi.nlm.nih.gov/gene/188639", "188639")</f>
        <v>188639</v>
      </c>
      <c r="C4438" s="9"/>
      <c r="D4438" t="str">
        <f>"T20D4.3"</f>
        <v>T20D4.3</v>
      </c>
      <c r="F4438" t="s">
        <v>11</v>
      </c>
      <c r="G4438" t="s">
        <v>1614</v>
      </c>
      <c r="H4438" s="12">
        <v>11.514156213135999</v>
      </c>
      <c r="I4438" s="20">
        <v>1.3638172308827099</v>
      </c>
      <c r="J4438" s="28">
        <v>0.172625095810199</v>
      </c>
      <c r="K4438" s="29">
        <v>0.89944195385638404</v>
      </c>
    </row>
    <row r="4439" spans="1:11" x14ac:dyDescent="0.35">
      <c r="A4439" s="9" t="str">
        <f>HYPERLINK("http://www.ensembl.org/id/WBGene00020835", "WBGene00020835")</f>
        <v>WBGene00020835</v>
      </c>
      <c r="B4439" s="9" t="str">
        <f>HYPERLINK("http://www.ncbi.nlm.nih.gov/gene/173444", "173444")</f>
        <v>173444</v>
      </c>
      <c r="C4439" s="9"/>
      <c r="D4439" t="str">
        <f>"T27A1.3"</f>
        <v>T27A1.3</v>
      </c>
      <c r="F4439" t="s">
        <v>11</v>
      </c>
      <c r="G4439" t="s">
        <v>417</v>
      </c>
      <c r="H4439" s="12">
        <v>2.0919728409540199</v>
      </c>
      <c r="I4439" s="20">
        <v>1.3639443066574399</v>
      </c>
      <c r="J4439" s="28">
        <v>0.172585094715061</v>
      </c>
      <c r="K4439" s="29">
        <v>0.89944195385638404</v>
      </c>
    </row>
    <row r="4440" spans="1:11" x14ac:dyDescent="0.35">
      <c r="A4440" s="9" t="str">
        <f>HYPERLINK("http://www.ensembl.org/id/WBGene00006720", "WBGene00006720")</f>
        <v>WBGene00006720</v>
      </c>
      <c r="B4440" s="9" t="str">
        <f>HYPERLINK("http://www.ncbi.nlm.nih.gov/gene/172941", "172941")</f>
        <v>172941</v>
      </c>
      <c r="C4440" s="9" t="str">
        <f>HYPERLINK("http://www.ncbi.nlm.nih.gov/gene/92912", "92912")</f>
        <v>92912</v>
      </c>
      <c r="D4440" t="str">
        <f>"ubc-25"</f>
        <v>ubc-25</v>
      </c>
      <c r="E4440" t="s">
        <v>3522</v>
      </c>
      <c r="F4440" t="s">
        <v>11</v>
      </c>
      <c r="G4440" t="s">
        <v>3523</v>
      </c>
      <c r="H4440" s="12">
        <v>-1.28326278742302</v>
      </c>
      <c r="I4440" s="20">
        <v>-1.3641137172545299</v>
      </c>
      <c r="J4440" s="28">
        <v>0.17253177818516099</v>
      </c>
      <c r="K4440" s="29">
        <v>0.89944195385638404</v>
      </c>
    </row>
    <row r="4441" spans="1:11" x14ac:dyDescent="0.35">
      <c r="A4441" s="9" t="str">
        <f>HYPERLINK("http://www.ensembl.org/id/WBGene00008659", "WBGene00008659")</f>
        <v>WBGene00008659</v>
      </c>
      <c r="B4441" s="9" t="str">
        <f>HYPERLINK("http://www.ncbi.nlm.nih.gov/gene/184310", "184310")</f>
        <v>184310</v>
      </c>
      <c r="C4441" s="9"/>
      <c r="D4441" t="str">
        <f>"clec-151"</f>
        <v>clec-151</v>
      </c>
      <c r="E4441" t="s">
        <v>46</v>
      </c>
      <c r="F4441" t="s">
        <v>11</v>
      </c>
      <c r="G4441" t="s">
        <v>47</v>
      </c>
      <c r="H4441" s="12">
        <v>3.9760683645422898</v>
      </c>
      <c r="I4441" s="20">
        <v>1.3630095236305499</v>
      </c>
      <c r="J4441" s="28">
        <v>0.17287950916700001</v>
      </c>
      <c r="K4441" s="29">
        <v>0.89951889359116699</v>
      </c>
    </row>
    <row r="4442" spans="1:11" x14ac:dyDescent="0.35">
      <c r="A4442" s="9" t="str">
        <f>HYPERLINK("http://www.ensembl.org/id/WBGene00009157", "WBGene00009157")</f>
        <v>WBGene00009157</v>
      </c>
      <c r="B4442" s="9" t="str">
        <f>HYPERLINK("http://www.ncbi.nlm.nih.gov/gene/184980", "184980")</f>
        <v>184980</v>
      </c>
      <c r="C4442" s="9"/>
      <c r="D4442" t="str">
        <f>"F26E4.2"</f>
        <v>F26E4.2</v>
      </c>
      <c r="F4442" t="s">
        <v>11</v>
      </c>
      <c r="G4442" t="s">
        <v>417</v>
      </c>
      <c r="H4442" s="12">
        <v>1.4371721509437001</v>
      </c>
      <c r="I4442" s="20">
        <v>1.3630488568353001</v>
      </c>
      <c r="J4442" s="28">
        <v>0.172867113420031</v>
      </c>
      <c r="K4442" s="29">
        <v>0.89951889359116699</v>
      </c>
    </row>
    <row r="4443" spans="1:11" x14ac:dyDescent="0.35">
      <c r="A4443" s="9" t="str">
        <f>HYPERLINK("http://www.ensembl.org/id/WBGene00017620", "WBGene00017620")</f>
        <v>WBGene00017620</v>
      </c>
      <c r="B4443" s="9" t="str">
        <f>HYPERLINK("http://www.ncbi.nlm.nih.gov/gene/179089", "179089")</f>
        <v>179089</v>
      </c>
      <c r="C4443" s="9"/>
      <c r="D4443" t="str">
        <f>"tofu-2"</f>
        <v>tofu-2</v>
      </c>
      <c r="E4443" t="s">
        <v>1247</v>
      </c>
      <c r="F4443" t="s">
        <v>11</v>
      </c>
      <c r="G4443" t="s">
        <v>3526</v>
      </c>
      <c r="H4443" s="12">
        <v>-1.3677557727394101</v>
      </c>
      <c r="I4443" s="20">
        <v>-1.3629807590122101</v>
      </c>
      <c r="J4443" s="28">
        <v>0.17288857467490601</v>
      </c>
      <c r="K4443" s="29">
        <v>0.89951889359116699</v>
      </c>
    </row>
    <row r="4444" spans="1:11" x14ac:dyDescent="0.35">
      <c r="A4444" s="9" t="str">
        <f>HYPERLINK("http://www.ensembl.org/id/WBGene00009831", "WBGene00009831")</f>
        <v>WBGene00009831</v>
      </c>
      <c r="B4444" s="9" t="str">
        <f>HYPERLINK("http://www.ncbi.nlm.nih.gov/gene/179566", "179566")</f>
        <v>179566</v>
      </c>
      <c r="C4444" s="9" t="str">
        <f>HYPERLINK("http://www.ncbi.nlm.nih.gov/gene/388591", "388591")</f>
        <v>388591</v>
      </c>
      <c r="D4444" t="str">
        <f>"F47G9.4"</f>
        <v>F47G9.4</v>
      </c>
      <c r="E4444" t="s">
        <v>3527</v>
      </c>
      <c r="F4444" t="s">
        <v>11</v>
      </c>
      <c r="G4444" t="s">
        <v>3528</v>
      </c>
      <c r="H4444" s="12">
        <v>1.39658429288374</v>
      </c>
      <c r="I4444" s="20">
        <v>1.36274945076687</v>
      </c>
      <c r="J4444" s="28">
        <v>0.172961487111221</v>
      </c>
      <c r="K4444" s="29">
        <v>0.899695659881104</v>
      </c>
    </row>
    <row r="4445" spans="1:11" x14ac:dyDescent="0.35">
      <c r="A4445" s="9" t="str">
        <f>HYPERLINK("http://www.ensembl.org/id/WBGene00007826", "WBGene00007826")</f>
        <v>WBGene00007826</v>
      </c>
      <c r="B4445" s="9" t="str">
        <f>HYPERLINK("http://www.ncbi.nlm.nih.gov/gene/178523", "178523")</f>
        <v>178523</v>
      </c>
      <c r="C4445" s="9"/>
      <c r="D4445" t="str">
        <f>"C30H6.9"</f>
        <v>C30H6.9</v>
      </c>
      <c r="F4445" t="s">
        <v>11</v>
      </c>
      <c r="G4445" t="s">
        <v>25</v>
      </c>
      <c r="H4445" s="12">
        <v>-1.37982414800635</v>
      </c>
      <c r="I4445" s="20">
        <v>-1.3621449034324</v>
      </c>
      <c r="J4445" s="28">
        <v>0.17315215964535899</v>
      </c>
      <c r="K4445" s="29">
        <v>0.89975896637528496</v>
      </c>
    </row>
    <row r="4446" spans="1:11" x14ac:dyDescent="0.35">
      <c r="A4446" s="9" t="str">
        <f>HYPERLINK("http://www.ensembl.org/id/WBGene00007867", "WBGene00007867")</f>
        <v>WBGene00007867</v>
      </c>
      <c r="B4446" s="9" t="str">
        <f>HYPERLINK("http://www.ncbi.nlm.nih.gov/gene/178244", "178244")</f>
        <v>178244</v>
      </c>
      <c r="C4446" s="9"/>
      <c r="D4446" t="str">
        <f>"C32H11.4"</f>
        <v>C32H11.4</v>
      </c>
      <c r="F4446" t="s">
        <v>11</v>
      </c>
      <c r="G4446" t="s">
        <v>264</v>
      </c>
      <c r="H4446" s="12">
        <v>-1.46156214385931</v>
      </c>
      <c r="I4446" s="20">
        <v>-1.3623687304313199</v>
      </c>
      <c r="J4446" s="28">
        <v>0.173081546928151</v>
      </c>
      <c r="K4446" s="29">
        <v>0.89975896637528496</v>
      </c>
    </row>
    <row r="4447" spans="1:11" x14ac:dyDescent="0.35">
      <c r="A4447" s="9" t="str">
        <f>HYPERLINK("http://www.ensembl.org/id/WBGene00194706", "WBGene00194706")</f>
        <v>WBGene00194706</v>
      </c>
      <c r="B4447" s="9" t="str">
        <f>HYPERLINK("http://www.ncbi.nlm.nih.gov/gene/13216596", "13216596")</f>
        <v>13216596</v>
      </c>
      <c r="C4447" s="9"/>
      <c r="D4447" t="str">
        <f>"C53A5.16"</f>
        <v>C53A5.16</v>
      </c>
      <c r="F4447" t="s">
        <v>11</v>
      </c>
      <c r="G4447" t="s">
        <v>2656</v>
      </c>
      <c r="H4447" s="12">
        <v>-1.4578918504435401</v>
      </c>
      <c r="I4447" s="20">
        <v>-1.36227236584918</v>
      </c>
      <c r="J4447" s="28">
        <v>0.17311194529055501</v>
      </c>
      <c r="K4447" s="29">
        <v>0.89975896637528496</v>
      </c>
    </row>
    <row r="4448" spans="1:11" x14ac:dyDescent="0.35">
      <c r="A4448" s="9" t="str">
        <f>HYPERLINK("http://www.ensembl.org/id/WBGene00002201", "WBGene00002201")</f>
        <v>WBGene00002201</v>
      </c>
      <c r="B4448" s="9" t="str">
        <f>HYPERLINK("http://www.ncbi.nlm.nih.gov/gene/175862", "175862")</f>
        <v>175862</v>
      </c>
      <c r="C4448" s="9" t="str">
        <f>HYPERLINK("http://www.ncbi.nlm.nih.gov/gene/57551", "57551")</f>
        <v>57551</v>
      </c>
      <c r="D4448" t="str">
        <f>"kin-18"</f>
        <v>kin-18</v>
      </c>
      <c r="E4448" t="s">
        <v>3529</v>
      </c>
      <c r="F4448" t="s">
        <v>11</v>
      </c>
      <c r="G4448" t="s">
        <v>3530</v>
      </c>
      <c r="H4448" s="12">
        <v>-1.2850255786334299</v>
      </c>
      <c r="I4448" s="20">
        <v>-1.3620935618137</v>
      </c>
      <c r="J4448" s="28">
        <v>0.17316835988361901</v>
      </c>
      <c r="K4448" s="29">
        <v>0.89975896637528496</v>
      </c>
    </row>
    <row r="4449" spans="1:11" x14ac:dyDescent="0.35">
      <c r="A4449" s="9" t="str">
        <f>HYPERLINK("http://www.ensembl.org/id/WBGene00011181", "WBGene00011181")</f>
        <v>WBGene00011181</v>
      </c>
      <c r="B4449" s="9" t="str">
        <f>HYPERLINK("http://www.ncbi.nlm.nih.gov/gene/187757", "187757")</f>
        <v>187757</v>
      </c>
      <c r="C4449" s="9"/>
      <c r="D4449" t="str">
        <f>"R09H10.3"</f>
        <v>R09H10.3</v>
      </c>
      <c r="E4449" t="s">
        <v>3531</v>
      </c>
      <c r="F4449" t="s">
        <v>11</v>
      </c>
      <c r="G4449" t="s">
        <v>3532</v>
      </c>
      <c r="H4449" s="12">
        <v>-1.32402281575174</v>
      </c>
      <c r="I4449" s="20">
        <v>-1.36222305193394</v>
      </c>
      <c r="J4449" s="28">
        <v>0.17312750298809501</v>
      </c>
      <c r="K4449" s="29">
        <v>0.89975896637528496</v>
      </c>
    </row>
    <row r="4450" spans="1:11" x14ac:dyDescent="0.35">
      <c r="A4450" s="9" t="str">
        <f>HYPERLINK("http://www.ensembl.org/id/WBGene00016311", "WBGene00016311")</f>
        <v>WBGene00016311</v>
      </c>
      <c r="B4450" s="9" t="str">
        <f>HYPERLINK("http://www.ncbi.nlm.nih.gov/gene/174042", "174042")</f>
        <v>174042</v>
      </c>
      <c r="C4450" s="9" t="str">
        <f>HYPERLINK("http://www.ncbi.nlm.nih.gov/gene/22979", "22979")</f>
        <v>22979</v>
      </c>
      <c r="D4450" t="str">
        <f>"efr-3"</f>
        <v>efr-3</v>
      </c>
      <c r="F4450" t="s">
        <v>11</v>
      </c>
      <c r="H4450" s="12">
        <v>-1.29382112827456</v>
      </c>
      <c r="I4450" s="20">
        <v>-1.36171714888137</v>
      </c>
      <c r="J4450" s="28">
        <v>0.17328716712019501</v>
      </c>
      <c r="K4450" s="29">
        <v>0.90017384970306402</v>
      </c>
    </row>
    <row r="4451" spans="1:11" x14ac:dyDescent="0.35">
      <c r="A4451" s="9" t="str">
        <f>HYPERLINK("http://www.ensembl.org/id/WBGene00017480", "WBGene00017480")</f>
        <v>WBGene00017480</v>
      </c>
      <c r="B4451" s="9" t="str">
        <f>HYPERLINK("http://www.ncbi.nlm.nih.gov/gene/177424", "177424")</f>
        <v>177424</v>
      </c>
      <c r="C4451" s="9" t="str">
        <f>HYPERLINK("http://www.ncbi.nlm.nih.gov/gene/84912", "84912")</f>
        <v>84912</v>
      </c>
      <c r="D4451" t="str">
        <f>"nstp-2"</f>
        <v>nstp-2</v>
      </c>
      <c r="E4451" t="s">
        <v>1978</v>
      </c>
      <c r="F4451" t="s">
        <v>11</v>
      </c>
      <c r="G4451" t="s">
        <v>3533</v>
      </c>
      <c r="H4451" s="12">
        <v>1.2985442286433</v>
      </c>
      <c r="I4451" s="20">
        <v>1.36146967580305</v>
      </c>
      <c r="J4451" s="28">
        <v>0.17336531024986199</v>
      </c>
      <c r="K4451" s="29">
        <v>0.90018685214524397</v>
      </c>
    </row>
    <row r="4452" spans="1:11" x14ac:dyDescent="0.35">
      <c r="A4452" s="9" t="str">
        <f>HYPERLINK("http://www.ensembl.org/id/WBGene00021667", "WBGene00021667")</f>
        <v>WBGene00021667</v>
      </c>
      <c r="B4452" s="9" t="str">
        <f>HYPERLINK("http://www.ncbi.nlm.nih.gov/gene/171615", "171615")</f>
        <v>171615</v>
      </c>
      <c r="C4452" s="9"/>
      <c r="D4452" t="str">
        <f>"snpc-3.2"</f>
        <v>snpc-3.2</v>
      </c>
      <c r="E4452" t="s">
        <v>728</v>
      </c>
      <c r="F4452" t="s">
        <v>11</v>
      </c>
      <c r="G4452" t="s">
        <v>3534</v>
      </c>
      <c r="H4452" s="12">
        <v>-2.2068527040772201</v>
      </c>
      <c r="I4452" s="20">
        <v>-1.3614624630904799</v>
      </c>
      <c r="J4452" s="28">
        <v>0.17336758816092501</v>
      </c>
      <c r="K4452" s="29">
        <v>0.90018685214524397</v>
      </c>
    </row>
    <row r="4453" spans="1:11" x14ac:dyDescent="0.35">
      <c r="A4453" s="9" t="str">
        <f>HYPERLINK("http://www.ensembl.org/id/WBGene00001515", "WBGene00001515")</f>
        <v>WBGene00001515</v>
      </c>
      <c r="B4453" s="9" t="str">
        <f>HYPERLINK("http://www.ncbi.nlm.nih.gov/gene/180530", "180530")</f>
        <v>180530</v>
      </c>
      <c r="C4453" s="9" t="str">
        <f>HYPERLINK("http://www.ncbi.nlm.nih.gov/gene/22821", "22821")</f>
        <v>22821</v>
      </c>
      <c r="D4453" t="str">
        <f>"gap-1"</f>
        <v>gap-1</v>
      </c>
      <c r="E4453" t="s">
        <v>3535</v>
      </c>
      <c r="F4453" t="s">
        <v>11</v>
      </c>
      <c r="G4453" t="s">
        <v>3536</v>
      </c>
      <c r="H4453" s="12">
        <v>1.41201211538872</v>
      </c>
      <c r="I4453" s="20">
        <v>1.36115701939219</v>
      </c>
      <c r="J4453" s="28">
        <v>0.17346407359096</v>
      </c>
      <c r="K4453" s="29">
        <v>0.90041573819565901</v>
      </c>
    </row>
    <row r="4454" spans="1:11" x14ac:dyDescent="0.35">
      <c r="A4454" s="9" t="str">
        <f>HYPERLINK("http://www.ensembl.org/id/WBGene00006390", "WBGene00006390")</f>
        <v>WBGene00006390</v>
      </c>
      <c r="B4454" s="9" t="str">
        <f>HYPERLINK("http://www.ncbi.nlm.nih.gov/gene/174524", "174524")</f>
        <v>174524</v>
      </c>
      <c r="C4454" s="9"/>
      <c r="D4454" t="str">
        <f>"taf-8"</f>
        <v>taf-8</v>
      </c>
      <c r="E4454" t="s">
        <v>747</v>
      </c>
      <c r="F4454" t="s">
        <v>11</v>
      </c>
      <c r="G4454" t="s">
        <v>3537</v>
      </c>
      <c r="H4454" s="12">
        <v>-1.3669621685298901</v>
      </c>
      <c r="I4454" s="20">
        <v>-1.36107620861264</v>
      </c>
      <c r="J4454" s="28">
        <v>0.17348960730749899</v>
      </c>
      <c r="K4454" s="29">
        <v>0.90041573819565901</v>
      </c>
    </row>
    <row r="4455" spans="1:11" x14ac:dyDescent="0.35">
      <c r="A4455" s="9" t="str">
        <f>HYPERLINK("http://www.ensembl.org/id/WBGene00000656", "WBGene00000656")</f>
        <v>WBGene00000656</v>
      </c>
      <c r="B4455" s="9" t="str">
        <f>HYPERLINK("http://www.ncbi.nlm.nih.gov/gene/174652", "174652")</f>
        <v>174652</v>
      </c>
      <c r="C4455" s="9"/>
      <c r="D4455" t="str">
        <f>"col-80"</f>
        <v>col-80</v>
      </c>
      <c r="E4455" t="s">
        <v>3538</v>
      </c>
      <c r="F4455" t="s">
        <v>11</v>
      </c>
      <c r="G4455" t="s">
        <v>152</v>
      </c>
      <c r="H4455" s="12">
        <v>1.3916937771236</v>
      </c>
      <c r="I4455" s="20">
        <v>1.36081000145881</v>
      </c>
      <c r="J4455" s="28">
        <v>0.173573740432163</v>
      </c>
      <c r="K4455" s="29">
        <v>0.90065008902437604</v>
      </c>
    </row>
    <row r="4456" spans="1:11" x14ac:dyDescent="0.35">
      <c r="A4456" s="9" t="str">
        <f>HYPERLINK("http://www.ensembl.org/id/WBGene00023489", "WBGene00023489")</f>
        <v>WBGene00023489</v>
      </c>
      <c r="B4456" s="9" t="str">
        <f>HYPERLINK("http://www.ncbi.nlm.nih.gov/gene/259512", "259512")</f>
        <v>259512</v>
      </c>
      <c r="C4456" s="9" t="str">
        <f>HYPERLINK("http://www.ncbi.nlm.nih.gov/gene/87769", "87769")</f>
        <v>87769</v>
      </c>
      <c r="D4456" t="str">
        <f>"F42A10.9"</f>
        <v>F42A10.9</v>
      </c>
      <c r="F4456" t="s">
        <v>11</v>
      </c>
      <c r="G4456" t="s">
        <v>3539</v>
      </c>
      <c r="H4456" s="12">
        <v>1.37670455336939</v>
      </c>
      <c r="I4456" s="20">
        <v>1.3605403939832701</v>
      </c>
      <c r="J4456" s="28">
        <v>0.17365897927740501</v>
      </c>
      <c r="K4456" s="29">
        <v>0.90089007076419503</v>
      </c>
    </row>
    <row r="4457" spans="1:11" x14ac:dyDescent="0.35">
      <c r="A4457" s="9" t="str">
        <f>HYPERLINK("http://www.ensembl.org/id/WBGene00003479", "WBGene00003479")</f>
        <v>WBGene00003479</v>
      </c>
      <c r="B4457" s="9" t="str">
        <f>HYPERLINK("http://www.ncbi.nlm.nih.gov/gene/178790", "178790")</f>
        <v>178790</v>
      </c>
      <c r="C4457" s="9" t="str">
        <f>HYPERLINK("http://www.ncbi.nlm.nih.gov/gene/66036", "66036")</f>
        <v>66036</v>
      </c>
      <c r="D4457" t="str">
        <f>"mtm-9"</f>
        <v>mtm-9</v>
      </c>
      <c r="E4457" t="s">
        <v>3540</v>
      </c>
      <c r="F4457" t="s">
        <v>11</v>
      </c>
      <c r="H4457" s="12">
        <v>-1.3189328431018199</v>
      </c>
      <c r="I4457" s="20">
        <v>-1.360102197854</v>
      </c>
      <c r="J4457" s="28">
        <v>0.17379758567355799</v>
      </c>
      <c r="K4457" s="29">
        <v>0.90140673727794396</v>
      </c>
    </row>
    <row r="4458" spans="1:11" x14ac:dyDescent="0.35">
      <c r="A4458" s="9" t="str">
        <f>HYPERLINK("http://www.ensembl.org/id/WBGene00010096", "WBGene00010096")</f>
        <v>WBGene00010096</v>
      </c>
      <c r="B4458" s="9" t="str">
        <f>HYPERLINK("http://www.ncbi.nlm.nih.gov/gene/179685", "179685")</f>
        <v>179685</v>
      </c>
      <c r="C4458" s="9"/>
      <c r="D4458" t="str">
        <f>"rskd-1"</f>
        <v>rskd-1</v>
      </c>
      <c r="E4458" t="s">
        <v>3541</v>
      </c>
      <c r="F4458" t="s">
        <v>11</v>
      </c>
      <c r="G4458" t="s">
        <v>3542</v>
      </c>
      <c r="H4458" s="12">
        <v>-1.28777025334245</v>
      </c>
      <c r="I4458" s="20">
        <v>-1.3598637855916</v>
      </c>
      <c r="J4458" s="28">
        <v>0.173873032879346</v>
      </c>
      <c r="K4458" s="29">
        <v>0.90159566824734705</v>
      </c>
    </row>
    <row r="4459" spans="1:11" x14ac:dyDescent="0.35">
      <c r="A4459" s="9" t="str">
        <f>HYPERLINK("http://www.ensembl.org/id/WBGene00011520", "WBGene00011520")</f>
        <v>WBGene00011520</v>
      </c>
      <c r="B4459" s="9" t="str">
        <f>HYPERLINK("http://www.ncbi.nlm.nih.gov/gene/188172", "188172")</f>
        <v>188172</v>
      </c>
      <c r="C4459" s="9"/>
      <c r="D4459" t="str">
        <f>"nhr-213"</f>
        <v>nhr-213</v>
      </c>
      <c r="E4459" t="s">
        <v>3543</v>
      </c>
      <c r="F4459" t="s">
        <v>11</v>
      </c>
      <c r="G4459" t="s">
        <v>2789</v>
      </c>
      <c r="H4459" s="12">
        <v>1.6105989504856</v>
      </c>
      <c r="I4459" s="20">
        <v>1.3589921229267099</v>
      </c>
      <c r="J4459" s="28">
        <v>0.17414908480643901</v>
      </c>
      <c r="K4459" s="29">
        <v>0.90262197252974197</v>
      </c>
    </row>
    <row r="4460" spans="1:11" x14ac:dyDescent="0.35">
      <c r="A4460" s="9" t="str">
        <f>HYPERLINK("http://www.ensembl.org/id/WBGene00006999", "WBGene00006999")</f>
        <v>WBGene00006999</v>
      </c>
      <c r="B4460" s="9" t="str">
        <f>HYPERLINK("http://www.ncbi.nlm.nih.gov/gene/174951", "174951")</f>
        <v>174951</v>
      </c>
      <c r="C4460" s="9"/>
      <c r="D4460" t="str">
        <f>"zyx-1"</f>
        <v>zyx-1</v>
      </c>
      <c r="E4460" t="s">
        <v>3544</v>
      </c>
      <c r="F4460" t="s">
        <v>11</v>
      </c>
      <c r="G4460" t="s">
        <v>3545</v>
      </c>
      <c r="H4460" s="12">
        <v>-1.2821994661718501</v>
      </c>
      <c r="I4460" s="20">
        <v>-1.3590539303112199</v>
      </c>
      <c r="J4460" s="28">
        <v>0.174129499889977</v>
      </c>
      <c r="K4460" s="29">
        <v>0.90262197252974197</v>
      </c>
    </row>
    <row r="4461" spans="1:11" x14ac:dyDescent="0.35">
      <c r="A4461" s="9" t="str">
        <f>HYPERLINK("http://www.ensembl.org/id/WBGene00023417", "WBGene00023417")</f>
        <v>WBGene00023417</v>
      </c>
      <c r="B4461" s="9" t="str">
        <f>HYPERLINK("http://www.ncbi.nlm.nih.gov/gene/182893", "182893")</f>
        <v>182893</v>
      </c>
      <c r="C4461" s="9"/>
      <c r="D4461" t="str">
        <f>"swm-1"</f>
        <v>swm-1</v>
      </c>
      <c r="E4461" t="s">
        <v>3546</v>
      </c>
      <c r="F4461" t="s">
        <v>11</v>
      </c>
      <c r="G4461" t="s">
        <v>3547</v>
      </c>
      <c r="H4461" s="12">
        <v>-1.3409626446471099</v>
      </c>
      <c r="I4461" s="20">
        <v>-1.3587710447546899</v>
      </c>
      <c r="J4461" s="28">
        <v>0.17421915135107699</v>
      </c>
      <c r="K4461" s="29">
        <v>0.90262463021545303</v>
      </c>
    </row>
    <row r="4462" spans="1:11" x14ac:dyDescent="0.35">
      <c r="A4462" s="9" t="str">
        <f>HYPERLINK("http://www.ensembl.org/id/WBGene00022503", "WBGene00022503")</f>
        <v>WBGene00022503</v>
      </c>
      <c r="B4462" s="9" t="str">
        <f>HYPERLINK("http://www.ncbi.nlm.nih.gov/gene/180438", "180438")</f>
        <v>180438</v>
      </c>
      <c r="C4462" s="9"/>
      <c r="D4462" t="str">
        <f>"ZC13.2"</f>
        <v>ZC13.2</v>
      </c>
      <c r="F4462" t="s">
        <v>11</v>
      </c>
      <c r="G4462" t="s">
        <v>25</v>
      </c>
      <c r="H4462" s="12">
        <v>1.9344443239367299</v>
      </c>
      <c r="I4462" s="20">
        <v>1.3587439921829301</v>
      </c>
      <c r="J4462" s="28">
        <v>0.17422772659746</v>
      </c>
      <c r="K4462" s="29">
        <v>0.90262463021545303</v>
      </c>
    </row>
    <row r="4463" spans="1:11" x14ac:dyDescent="0.35">
      <c r="A4463" s="9" t="str">
        <f>HYPERLINK("http://www.ensembl.org/id/WBGene00008323", "WBGene00008323")</f>
        <v>WBGene00008323</v>
      </c>
      <c r="B4463" s="9" t="str">
        <f>HYPERLINK("http://www.ncbi.nlm.nih.gov/gene/183827", "183827")</f>
        <v>183827</v>
      </c>
      <c r="C4463" s="9"/>
      <c r="D4463" t="str">
        <f>"C55A1.6"</f>
        <v>C55A1.6</v>
      </c>
      <c r="F4463" t="s">
        <v>11</v>
      </c>
      <c r="H4463" s="12">
        <v>-1.34752496127558</v>
      </c>
      <c r="I4463" s="20">
        <v>-1.3584042450101701</v>
      </c>
      <c r="J4463" s="28">
        <v>0.174335448029833</v>
      </c>
      <c r="K4463" s="29">
        <v>0.90298024258626497</v>
      </c>
    </row>
    <row r="4464" spans="1:11" x14ac:dyDescent="0.35">
      <c r="A4464" s="9" t="str">
        <f>HYPERLINK("http://www.ensembl.org/id/WBGene00000037", "WBGene00000037")</f>
        <v>WBGene00000037</v>
      </c>
      <c r="B4464" s="9" t="str">
        <f>HYPERLINK("http://www.ncbi.nlm.nih.gov/gene/175076", "175076")</f>
        <v>175076</v>
      </c>
      <c r="C4464" s="9"/>
      <c r="D4464" t="str">
        <f>"ace-3"</f>
        <v>ace-3</v>
      </c>
      <c r="E4464" t="s">
        <v>383</v>
      </c>
      <c r="F4464" t="s">
        <v>11</v>
      </c>
      <c r="G4464" t="s">
        <v>3550</v>
      </c>
      <c r="H4464" s="12">
        <v>1.3807677912326199</v>
      </c>
      <c r="I4464" s="20">
        <v>1.3580241963958599</v>
      </c>
      <c r="J4464" s="28">
        <v>0.17445600650360099</v>
      </c>
      <c r="K4464" s="29">
        <v>0.90319975045310597</v>
      </c>
    </row>
    <row r="4465" spans="1:11" x14ac:dyDescent="0.35">
      <c r="A4465" s="9" t="str">
        <f>HYPERLINK("http://www.ensembl.org/id/WBGene00002987", "WBGene00002987")</f>
        <v>WBGene00002987</v>
      </c>
      <c r="B4465" s="9" t="str">
        <f>HYPERLINK("http://www.ncbi.nlm.nih.gov/gene/180672", "180672")</f>
        <v>180672</v>
      </c>
      <c r="C4465" s="9"/>
      <c r="D4465" t="str">
        <f>"lim-4"</f>
        <v>lim-4</v>
      </c>
      <c r="E4465" t="s">
        <v>3548</v>
      </c>
      <c r="F4465" t="s">
        <v>11</v>
      </c>
      <c r="G4465" t="s">
        <v>3549</v>
      </c>
      <c r="H4465" s="12">
        <v>1.6449499362736699</v>
      </c>
      <c r="I4465" s="20">
        <v>1.3580614118552099</v>
      </c>
      <c r="J4465" s="28">
        <v>0.174444198320581</v>
      </c>
      <c r="K4465" s="29">
        <v>0.90319975045310597</v>
      </c>
    </row>
    <row r="4466" spans="1:11" x14ac:dyDescent="0.35">
      <c r="A4466" s="9" t="str">
        <f>HYPERLINK("http://www.ensembl.org/id/WBGene00015465", "WBGene00015465")</f>
        <v>WBGene00015465</v>
      </c>
      <c r="B4466" s="9" t="str">
        <f>HYPERLINK("http://www.ncbi.nlm.nih.gov/gene/182247", "182247")</f>
        <v>182247</v>
      </c>
      <c r="C4466" s="9"/>
      <c r="D4466" t="str">
        <f>"C05C8.8"</f>
        <v>C05C8.8</v>
      </c>
      <c r="F4466" t="s">
        <v>11</v>
      </c>
      <c r="G4466" t="s">
        <v>1686</v>
      </c>
      <c r="H4466" s="12">
        <v>1.8924439376687201</v>
      </c>
      <c r="I4466" s="20">
        <v>1.35776372346021</v>
      </c>
      <c r="J4466" s="28">
        <v>0.174538669297504</v>
      </c>
      <c r="K4466" s="29">
        <v>0.90322295471178504</v>
      </c>
    </row>
    <row r="4467" spans="1:11" x14ac:dyDescent="0.35">
      <c r="A4467" s="9" t="str">
        <f>HYPERLINK("http://www.ensembl.org/id/WBGene00004338", "WBGene00004338")</f>
        <v>WBGene00004338</v>
      </c>
      <c r="B4467" s="9" t="str">
        <f>HYPERLINK("http://www.ncbi.nlm.nih.gov/gene/176946", "176946")</f>
        <v>176946</v>
      </c>
      <c r="C4467" s="9" t="str">
        <f>HYPERLINK("http://www.ncbi.nlm.nih.gov/gene/5982", "5982")</f>
        <v>5982</v>
      </c>
      <c r="D4467" t="str">
        <f>"rfc-2"</f>
        <v>rfc-2</v>
      </c>
      <c r="E4467" t="s">
        <v>1998</v>
      </c>
      <c r="F4467" t="s">
        <v>11</v>
      </c>
      <c r="G4467" t="s">
        <v>1736</v>
      </c>
      <c r="H4467" s="12">
        <v>-1.4030780915529799</v>
      </c>
      <c r="I4467" s="20">
        <v>-1.3577751136914999</v>
      </c>
      <c r="J4467" s="28">
        <v>0.17453505392160501</v>
      </c>
      <c r="K4467" s="29">
        <v>0.90322295471178504</v>
      </c>
    </row>
    <row r="4468" spans="1:11" x14ac:dyDescent="0.35">
      <c r="A4468" s="9" t="str">
        <f>HYPERLINK("http://www.ensembl.org/id/WBGene00000773", "WBGene00000773")</f>
        <v>WBGene00000773</v>
      </c>
      <c r="B4468" s="9" t="str">
        <f>HYPERLINK("http://www.ncbi.nlm.nih.gov/gene/174378", "174378")</f>
        <v>174378</v>
      </c>
      <c r="C4468" s="9" t="str">
        <f>HYPERLINK("http://www.ncbi.nlm.nih.gov/gene/1477", "1477")</f>
        <v>1477</v>
      </c>
      <c r="D4468" t="str">
        <f>"cpf-1"</f>
        <v>cpf-1</v>
      </c>
      <c r="E4468" t="s">
        <v>3551</v>
      </c>
      <c r="F4468" t="s">
        <v>11</v>
      </c>
      <c r="G4468" t="s">
        <v>3552</v>
      </c>
      <c r="H4468" s="12">
        <v>-1.35306058053725</v>
      </c>
      <c r="I4468" s="20">
        <v>-1.3575690936995399</v>
      </c>
      <c r="J4468" s="28">
        <v>0.174600455414849</v>
      </c>
      <c r="K4468" s="29">
        <v>0.90334037680597801</v>
      </c>
    </row>
    <row r="4469" spans="1:11" x14ac:dyDescent="0.35">
      <c r="A4469" s="9" t="str">
        <f>HYPERLINK("http://www.ensembl.org/id/WBGene00016679", "WBGene00016679")</f>
        <v>WBGene00016679</v>
      </c>
      <c r="B4469" s="9" t="str">
        <f>HYPERLINK("http://www.ncbi.nlm.nih.gov/gene/183480", "183480")</f>
        <v>183480</v>
      </c>
      <c r="C4469" s="9"/>
      <c r="D4469" t="str">
        <f>"C45G9.8"</f>
        <v>C45G9.8</v>
      </c>
      <c r="F4469" t="s">
        <v>11</v>
      </c>
      <c r="H4469" s="12">
        <v>1.6663740154557101</v>
      </c>
      <c r="I4469" s="20">
        <v>1.3569975922592801</v>
      </c>
      <c r="J4469" s="28">
        <v>0.17478197555736899</v>
      </c>
      <c r="K4469" s="29">
        <v>0.90342249183687295</v>
      </c>
    </row>
    <row r="4470" spans="1:11" x14ac:dyDescent="0.35">
      <c r="A4470" s="9" t="str">
        <f>HYPERLINK("http://www.ensembl.org/id/WBGene00000816", "WBGene00000816")</f>
        <v>WBGene00000816</v>
      </c>
      <c r="B4470" s="9" t="str">
        <f>HYPERLINK("http://www.ncbi.nlm.nih.gov/gene/176927", "176927")</f>
        <v>176927</v>
      </c>
      <c r="C4470" s="9"/>
      <c r="D4470" t="str">
        <f>"csn-4"</f>
        <v>csn-4</v>
      </c>
      <c r="E4470" t="s">
        <v>3555</v>
      </c>
      <c r="F4470" t="s">
        <v>11</v>
      </c>
      <c r="G4470" t="s">
        <v>3556</v>
      </c>
      <c r="H4470" s="12">
        <v>-1.3225073384639801</v>
      </c>
      <c r="I4470" s="20">
        <v>-1.3572468829426001</v>
      </c>
      <c r="J4470" s="28">
        <v>0.174702778599756</v>
      </c>
      <c r="K4470" s="29">
        <v>0.90342249183687295</v>
      </c>
    </row>
    <row r="4471" spans="1:11" x14ac:dyDescent="0.35">
      <c r="A4471" s="9" t="str">
        <f>HYPERLINK("http://www.ensembl.org/id/WBGene00018517", "WBGene00018517")</f>
        <v>WBGene00018517</v>
      </c>
      <c r="B4471" s="9" t="str">
        <f>HYPERLINK("http://www.ncbi.nlm.nih.gov/gene/180846", "180846")</f>
        <v>180846</v>
      </c>
      <c r="C4471" s="9"/>
      <c r="D4471" t="str">
        <f>"F46G11.4"</f>
        <v>F46G11.4</v>
      </c>
      <c r="F4471" t="s">
        <v>11</v>
      </c>
      <c r="H4471" s="12">
        <v>1.6698734764010399</v>
      </c>
      <c r="I4471" s="20">
        <v>1.35690366532105</v>
      </c>
      <c r="J4471" s="28">
        <v>0.17481182208095999</v>
      </c>
      <c r="K4471" s="29">
        <v>0.90342249183687295</v>
      </c>
    </row>
    <row r="4472" spans="1:11" x14ac:dyDescent="0.35">
      <c r="A4472" s="9" t="str">
        <f>HYPERLINK("http://www.ensembl.org/id/WBGene00003999", "WBGene00003999")</f>
        <v>WBGene00003999</v>
      </c>
      <c r="B4472" s="9" t="str">
        <f>HYPERLINK("http://www.ncbi.nlm.nih.gov/gene/181276", "181276")</f>
        <v>181276</v>
      </c>
      <c r="C4472" s="9"/>
      <c r="D4472" t="str">
        <f>"pgp-5"</f>
        <v>pgp-5</v>
      </c>
      <c r="E4472" t="s">
        <v>1379</v>
      </c>
      <c r="F4472" t="s">
        <v>11</v>
      </c>
      <c r="G4472" t="s">
        <v>3553</v>
      </c>
      <c r="H4472" s="12">
        <v>1.4579265235238099</v>
      </c>
      <c r="I4472" s="20">
        <v>1.3572896813129001</v>
      </c>
      <c r="J4472" s="28">
        <v>0.17468918471451</v>
      </c>
      <c r="K4472" s="29">
        <v>0.90342249183687295</v>
      </c>
    </row>
    <row r="4473" spans="1:11" x14ac:dyDescent="0.35">
      <c r="A4473" s="9" t="str">
        <f>HYPERLINK("http://www.ensembl.org/id/WBGene00006809", "WBGene00006809")</f>
        <v>WBGene00006809</v>
      </c>
      <c r="B4473" s="9" t="str">
        <f>HYPERLINK("http://www.ncbi.nlm.nih.gov/gene/177379", "177379")</f>
        <v>177379</v>
      </c>
      <c r="C4473" s="9" t="str">
        <f>HYPERLINK("http://www.ncbi.nlm.nih.gov/gene/259232", "259232")</f>
        <v>259232</v>
      </c>
      <c r="D4473" t="str">
        <f>"unc-77"</f>
        <v>unc-77</v>
      </c>
      <c r="F4473" t="s">
        <v>11</v>
      </c>
      <c r="G4473" t="s">
        <v>3554</v>
      </c>
      <c r="H4473" s="12">
        <v>1.3878344392122</v>
      </c>
      <c r="I4473" s="20">
        <v>1.35691942653107</v>
      </c>
      <c r="J4473" s="28">
        <v>0.17480681348296201</v>
      </c>
      <c r="K4473" s="29">
        <v>0.90342249183687295</v>
      </c>
    </row>
    <row r="4474" spans="1:11" x14ac:dyDescent="0.35">
      <c r="A4474" s="9" t="str">
        <f>HYPERLINK("http://www.ensembl.org/id/WBGene00077594", "WBGene00077594")</f>
        <v>WBGene00077594</v>
      </c>
      <c r="B4474" s="9"/>
      <c r="C4474" s="9"/>
      <c r="D4474" t="str">
        <f>"nhr-151"</f>
        <v>nhr-151</v>
      </c>
      <c r="F4474" t="s">
        <v>80</v>
      </c>
      <c r="H4474" s="12">
        <v>1.54385128584052</v>
      </c>
      <c r="I4474" s="20">
        <v>1.3565360338064101</v>
      </c>
      <c r="J4474" s="28">
        <v>0.174928678430013</v>
      </c>
      <c r="K4474" s="29">
        <v>0.90382424950891604</v>
      </c>
    </row>
    <row r="4475" spans="1:11" x14ac:dyDescent="0.35">
      <c r="A4475" s="9" t="str">
        <f>HYPERLINK("http://www.ensembl.org/id/WBGene00013223", "WBGene00013223")</f>
        <v>WBGene00013223</v>
      </c>
      <c r="B4475" s="9" t="str">
        <f>HYPERLINK("http://www.ncbi.nlm.nih.gov/gene/178217", "178217")</f>
        <v>178217</v>
      </c>
      <c r="C4475" s="9"/>
      <c r="D4475" t="str">
        <f>"efa-6"</f>
        <v>efa-6</v>
      </c>
      <c r="E4475" t="s">
        <v>3557</v>
      </c>
      <c r="F4475" t="s">
        <v>11</v>
      </c>
      <c r="G4475" t="s">
        <v>3558</v>
      </c>
      <c r="H4475" s="12">
        <v>-1.27741783148215</v>
      </c>
      <c r="I4475" s="20">
        <v>-1.3563588290194999</v>
      </c>
      <c r="J4475" s="28">
        <v>0.17498502604323801</v>
      </c>
      <c r="K4475" s="29">
        <v>0.90391325994971095</v>
      </c>
    </row>
    <row r="4476" spans="1:11" x14ac:dyDescent="0.35">
      <c r="A4476" s="9" t="str">
        <f>HYPERLINK("http://www.ensembl.org/id/WBGene00017805", "WBGene00017805")</f>
        <v>WBGene00017805</v>
      </c>
      <c r="B4476" s="9" t="str">
        <f>HYPERLINK("http://www.ncbi.nlm.nih.gov/gene/184947", "184947")</f>
        <v>184947</v>
      </c>
      <c r="C4476" s="9"/>
      <c r="D4476" t="str">
        <f>"F26A1.7"</f>
        <v>F26A1.7</v>
      </c>
      <c r="F4476" t="s">
        <v>11</v>
      </c>
      <c r="H4476" s="12">
        <v>8.3541879106636099</v>
      </c>
      <c r="I4476" s="20">
        <v>1.3560876611228101</v>
      </c>
      <c r="J4476" s="28">
        <v>0.175071278287733</v>
      </c>
      <c r="K4476" s="29">
        <v>0.90395462706510799</v>
      </c>
    </row>
    <row r="4477" spans="1:11" x14ac:dyDescent="0.35">
      <c r="A4477" s="9" t="str">
        <f>HYPERLINK("http://www.ensembl.org/id/WBGene00022048", "WBGene00022048")</f>
        <v>WBGene00022048</v>
      </c>
      <c r="B4477" s="9" t="str">
        <f>HYPERLINK("http://www.ncbi.nlm.nih.gov/gene/176855", "176855")</f>
        <v>176855</v>
      </c>
      <c r="C4477" s="9" t="str">
        <f>HYPERLINK("http://www.ncbi.nlm.nih.gov/gene/2316", "2316")</f>
        <v>2316</v>
      </c>
      <c r="D4477" t="str">
        <f>"fln-1"</f>
        <v>fln-1</v>
      </c>
      <c r="E4477" t="s">
        <v>3387</v>
      </c>
      <c r="F4477" t="s">
        <v>11</v>
      </c>
      <c r="G4477" t="s">
        <v>3559</v>
      </c>
      <c r="H4477" s="12">
        <v>-1.2852372136568899</v>
      </c>
      <c r="I4477" s="20">
        <v>-1.35610910223618</v>
      </c>
      <c r="J4477" s="28">
        <v>0.175064457209886</v>
      </c>
      <c r="K4477" s="29">
        <v>0.90395462706510799</v>
      </c>
    </row>
    <row r="4478" spans="1:11" x14ac:dyDescent="0.35">
      <c r="A4478" s="9" t="str">
        <f>HYPERLINK("http://www.ensembl.org/id/WBGene00019677", "WBGene00019677")</f>
        <v>WBGene00019677</v>
      </c>
      <c r="B4478" s="9" t="str">
        <f>HYPERLINK("http://www.ncbi.nlm.nih.gov/gene/176135", "176135")</f>
        <v>176135</v>
      </c>
      <c r="C4478" s="9"/>
      <c r="D4478" t="str">
        <f>"K12H4.2"</f>
        <v>K12H4.2</v>
      </c>
      <c r="F4478" t="s">
        <v>11</v>
      </c>
      <c r="G4478" t="s">
        <v>3562</v>
      </c>
      <c r="H4478" s="12">
        <v>-1.47160346313658</v>
      </c>
      <c r="I4478" s="20">
        <v>-1.3555913024505</v>
      </c>
      <c r="J4478" s="28">
        <v>0.17522924069891899</v>
      </c>
      <c r="K4478" s="29">
        <v>0.90437197250918699</v>
      </c>
    </row>
    <row r="4479" spans="1:11" x14ac:dyDescent="0.35">
      <c r="A4479" s="9" t="str">
        <f>HYPERLINK("http://www.ensembl.org/id/WBGene00013892", "WBGene00013892")</f>
        <v>WBGene00013892</v>
      </c>
      <c r="B4479" s="9" t="str">
        <f>HYPERLINK("http://www.ncbi.nlm.nih.gov/gene/172902", "172902")</f>
        <v>172902</v>
      </c>
      <c r="C4479" s="9"/>
      <c r="D4479" t="str">
        <f>"ZC434.4"</f>
        <v>ZC434.4</v>
      </c>
      <c r="E4479" t="s">
        <v>3560</v>
      </c>
      <c r="F4479" t="s">
        <v>11</v>
      </c>
      <c r="G4479" t="s">
        <v>3561</v>
      </c>
      <c r="H4479" s="12">
        <v>-1.35929921604237</v>
      </c>
      <c r="I4479" s="20">
        <v>-1.35558770184639</v>
      </c>
      <c r="J4479" s="28">
        <v>0.17523038695246401</v>
      </c>
      <c r="K4479" s="29">
        <v>0.90437197250918699</v>
      </c>
    </row>
    <row r="4480" spans="1:11" x14ac:dyDescent="0.35">
      <c r="A4480" s="9" t="str">
        <f>HYPERLINK("http://www.ensembl.org/id/WBGene00022644", "WBGene00022644")</f>
        <v>WBGene00022644</v>
      </c>
      <c r="B4480" s="9" t="str">
        <f>HYPERLINK("http://www.ncbi.nlm.nih.gov/gene/178564", "178564")</f>
        <v>178564</v>
      </c>
      <c r="C4480" s="9"/>
      <c r="D4480" t="str">
        <f>"dod-19"</f>
        <v>dod-19</v>
      </c>
      <c r="E4480" t="s">
        <v>24</v>
      </c>
      <c r="F4480" t="s">
        <v>11</v>
      </c>
      <c r="G4480" t="s">
        <v>105</v>
      </c>
      <c r="H4480" s="12">
        <v>1.4798471392293999</v>
      </c>
      <c r="I4480" s="20">
        <v>1.3554088930853201</v>
      </c>
      <c r="J4480" s="28">
        <v>0.175287317820601</v>
      </c>
      <c r="K4480" s="29">
        <v>0.90446377078222795</v>
      </c>
    </row>
    <row r="4481" spans="1:11" x14ac:dyDescent="0.35">
      <c r="A4481" s="9" t="str">
        <f>HYPERLINK("http://www.ensembl.org/id/WBGene00022141", "WBGene00022141")</f>
        <v>WBGene00022141</v>
      </c>
      <c r="B4481" s="9" t="str">
        <f>HYPERLINK("http://www.ncbi.nlm.nih.gov/gene/171747", "171747")</f>
        <v>171747</v>
      </c>
      <c r="C4481" s="9"/>
      <c r="D4481" t="str">
        <f>"chaf-2"</f>
        <v>chaf-2</v>
      </c>
      <c r="E4481" t="s">
        <v>3563</v>
      </c>
      <c r="F4481" t="s">
        <v>11</v>
      </c>
      <c r="G4481" t="s">
        <v>3564</v>
      </c>
      <c r="H4481" s="12">
        <v>-1.36886621845302</v>
      </c>
      <c r="I4481" s="20">
        <v>-1.3551633842781901</v>
      </c>
      <c r="J4481" s="28">
        <v>0.17536550777754401</v>
      </c>
      <c r="K4481" s="29">
        <v>0.90466519819333102</v>
      </c>
    </row>
    <row r="4482" spans="1:11" x14ac:dyDescent="0.35">
      <c r="A4482" s="9" t="str">
        <f>HYPERLINK("http://www.ensembl.org/id/WBGene00001979", "WBGene00001979")</f>
        <v>WBGene00001979</v>
      </c>
      <c r="B4482" s="9" t="str">
        <f>HYPERLINK("http://www.ncbi.nlm.nih.gov/gene/173338", "173338")</f>
        <v>173338</v>
      </c>
      <c r="C4482" s="9" t="str">
        <f>HYPERLINK("http://www.ncbi.nlm.nih.gov/gene/1499", "1499")</f>
        <v>1499</v>
      </c>
      <c r="D4482" t="str">
        <f>"hmp-2"</f>
        <v>hmp-2</v>
      </c>
      <c r="E4482" t="s">
        <v>3566</v>
      </c>
      <c r="F4482" t="s">
        <v>11</v>
      </c>
      <c r="G4482" t="s">
        <v>3567</v>
      </c>
      <c r="H4482" s="12">
        <v>-1.2942243632497501</v>
      </c>
      <c r="I4482" s="20">
        <v>-1.3545421800156201</v>
      </c>
      <c r="J4482" s="28">
        <v>0.175563465915372</v>
      </c>
      <c r="K4482" s="29">
        <v>0.90516398321222002</v>
      </c>
    </row>
    <row r="4483" spans="1:11" x14ac:dyDescent="0.35">
      <c r="A4483" s="9" t="str">
        <f>HYPERLINK("http://www.ensembl.org/id/WBGene00003883", "WBGene00003883")</f>
        <v>WBGene00003883</v>
      </c>
      <c r="B4483" s="9" t="str">
        <f>HYPERLINK("http://www.ncbi.nlm.nih.gov/gene/181715", "181715")</f>
        <v>181715</v>
      </c>
      <c r="C4483" s="9" t="str">
        <f>HYPERLINK("http://www.ncbi.nlm.nih.gov/gene/26160", "26160")</f>
        <v>26160</v>
      </c>
      <c r="D4483" t="str">
        <f>"osm-1"</f>
        <v>osm-1</v>
      </c>
      <c r="E4483" t="s">
        <v>3565</v>
      </c>
      <c r="F4483" t="s">
        <v>11</v>
      </c>
      <c r="G4483" t="s">
        <v>54</v>
      </c>
      <c r="H4483" s="12">
        <v>1.3586440075838799</v>
      </c>
      <c r="I4483" s="20">
        <v>1.35449120205965</v>
      </c>
      <c r="J4483" s="28">
        <v>0.17557971837432601</v>
      </c>
      <c r="K4483" s="29">
        <v>0.90516398321222002</v>
      </c>
    </row>
    <row r="4484" spans="1:11" x14ac:dyDescent="0.35">
      <c r="A4484" s="9" t="str">
        <f>HYPERLINK("http://www.ensembl.org/id/WBGene00012433", "WBGene00012433")</f>
        <v>WBGene00012433</v>
      </c>
      <c r="B4484" s="9" t="str">
        <f>HYPERLINK("http://www.ncbi.nlm.nih.gov/gene/189434", "189434")</f>
        <v>189434</v>
      </c>
      <c r="C4484" s="9"/>
      <c r="D4484" t="str">
        <f>"Y11D7A.9"</f>
        <v>Y11D7A.9</v>
      </c>
      <c r="F4484" t="s">
        <v>11</v>
      </c>
      <c r="G4484" t="s">
        <v>557</v>
      </c>
      <c r="H4484" s="12">
        <v>1.99540187286253</v>
      </c>
      <c r="I4484" s="20">
        <v>1.3545029177611401</v>
      </c>
      <c r="J4484" s="28">
        <v>0.17557598315158099</v>
      </c>
      <c r="K4484" s="29">
        <v>0.90516398321222002</v>
      </c>
    </row>
    <row r="4485" spans="1:11" x14ac:dyDescent="0.35">
      <c r="A4485" s="9" t="str">
        <f>HYPERLINK("http://www.ensembl.org/id/WBGene00007494", "WBGene00007494")</f>
        <v>WBGene00007494</v>
      </c>
      <c r="B4485" s="9" t="str">
        <f>HYPERLINK("http://www.ncbi.nlm.nih.gov/gene/182463", "182463")</f>
        <v>182463</v>
      </c>
      <c r="C4485" s="9"/>
      <c r="D4485" t="str">
        <f>"C09G9.3"</f>
        <v>C09G9.3</v>
      </c>
      <c r="F4485" t="s">
        <v>11</v>
      </c>
      <c r="H4485" s="12">
        <v>26.4166062493623</v>
      </c>
      <c r="I4485" s="20">
        <v>1.3530131651866399</v>
      </c>
      <c r="J4485" s="28">
        <v>0.17605142455110601</v>
      </c>
      <c r="K4485" s="29">
        <v>0.90585029805180195</v>
      </c>
    </row>
    <row r="4486" spans="1:11" x14ac:dyDescent="0.35">
      <c r="A4486" s="9" t="str">
        <f>HYPERLINK("http://www.ensembl.org/id/WBGene00007886", "WBGene00007886")</f>
        <v>WBGene00007886</v>
      </c>
      <c r="B4486" s="9" t="str">
        <f>HYPERLINK("http://www.ncbi.nlm.nih.gov/gene/177783", "177783")</f>
        <v>177783</v>
      </c>
      <c r="C4486" s="9" t="str">
        <f>HYPERLINK("http://www.ncbi.nlm.nih.gov/gene/23474", "23474")</f>
        <v>23474</v>
      </c>
      <c r="D4486" t="str">
        <f>"ethe-1"</f>
        <v>ethe-1</v>
      </c>
      <c r="E4486" t="s">
        <v>3574</v>
      </c>
      <c r="F4486" t="s">
        <v>11</v>
      </c>
      <c r="G4486" t="s">
        <v>3575</v>
      </c>
      <c r="H4486" s="12">
        <v>-1.32278831060973</v>
      </c>
      <c r="I4486" s="20">
        <v>-1.3528458304809501</v>
      </c>
      <c r="J4486" s="28">
        <v>0.17610488785807599</v>
      </c>
      <c r="K4486" s="29">
        <v>0.90585029805180195</v>
      </c>
    </row>
    <row r="4487" spans="1:11" x14ac:dyDescent="0.35">
      <c r="A4487" s="9" t="str">
        <f>HYPERLINK("http://www.ensembl.org/id/WBGene00009172", "WBGene00009172")</f>
        <v>WBGene00009172</v>
      </c>
      <c r="B4487" s="9" t="str">
        <f>HYPERLINK("http://www.ncbi.nlm.nih.gov/gene/180347", "180347")</f>
        <v>180347</v>
      </c>
      <c r="C4487" s="9" t="str">
        <f>HYPERLINK("http://www.ncbi.nlm.nih.gov/gene/202018", "202018")</f>
        <v>202018</v>
      </c>
      <c r="D4487" t="str">
        <f>"F26F2.7"</f>
        <v>F26F2.7</v>
      </c>
      <c r="F4487" t="s">
        <v>11</v>
      </c>
      <c r="G4487" t="s">
        <v>3571</v>
      </c>
      <c r="H4487" s="12">
        <v>-1.3026166414415301</v>
      </c>
      <c r="I4487" s="20">
        <v>-1.35343551562102</v>
      </c>
      <c r="J4487" s="28">
        <v>0.175916537741622</v>
      </c>
      <c r="K4487" s="29">
        <v>0.90585029805180195</v>
      </c>
    </row>
    <row r="4488" spans="1:11" x14ac:dyDescent="0.35">
      <c r="A4488" s="9" t="str">
        <f>HYPERLINK("http://www.ensembl.org/id/WBGene00004132", "WBGene00004132")</f>
        <v>WBGene00004132</v>
      </c>
      <c r="B4488" s="9" t="str">
        <f>HYPERLINK("http://www.ncbi.nlm.nih.gov/gene/175583", "175583")</f>
        <v>175583</v>
      </c>
      <c r="C4488" s="9"/>
      <c r="D4488" t="str">
        <f>"ifet-1"</f>
        <v>ifet-1</v>
      </c>
      <c r="E4488" t="s">
        <v>3570</v>
      </c>
      <c r="F4488" t="s">
        <v>11</v>
      </c>
      <c r="H4488" s="12">
        <v>-1.28619860787731</v>
      </c>
      <c r="I4488" s="20">
        <v>-1.3533257201373201</v>
      </c>
      <c r="J4488" s="28">
        <v>0.17595159590508899</v>
      </c>
      <c r="K4488" s="29">
        <v>0.90585029805180195</v>
      </c>
    </row>
    <row r="4489" spans="1:11" x14ac:dyDescent="0.35">
      <c r="A4489" s="9" t="str">
        <f>HYPERLINK("http://www.ensembl.org/id/WBGene00019601", "WBGene00019601")</f>
        <v>WBGene00019601</v>
      </c>
      <c r="B4489" s="9" t="str">
        <f>HYPERLINK("http://www.ncbi.nlm.nih.gov/gene/187244", "187244")</f>
        <v>187244</v>
      </c>
      <c r="C4489" s="9"/>
      <c r="D4489" t="str">
        <f>"K09H11.4"</f>
        <v>K09H11.4</v>
      </c>
      <c r="F4489" t="s">
        <v>11</v>
      </c>
      <c r="H4489" s="12">
        <v>1.5538586801698999</v>
      </c>
      <c r="I4489" s="20">
        <v>1.3528604128085899</v>
      </c>
      <c r="J4489" s="28">
        <v>0.17610022833442099</v>
      </c>
      <c r="K4489" s="29">
        <v>0.90585029805180195</v>
      </c>
    </row>
    <row r="4490" spans="1:11" x14ac:dyDescent="0.35">
      <c r="A4490" s="9" t="str">
        <f>HYPERLINK("http://www.ensembl.org/id/WBGene00005163", "WBGene00005163")</f>
        <v>WBGene00005163</v>
      </c>
      <c r="B4490" s="9" t="str">
        <f>HYPERLINK("http://www.ncbi.nlm.nih.gov/gene/24104887", "24104887")</f>
        <v>24104887</v>
      </c>
      <c r="C4490" s="9"/>
      <c r="D4490" t="str">
        <f>"srg-5"</f>
        <v>srg-5</v>
      </c>
      <c r="E4490" t="s">
        <v>3568</v>
      </c>
      <c r="F4490" t="s">
        <v>11</v>
      </c>
      <c r="G4490" t="s">
        <v>1829</v>
      </c>
      <c r="H4490" s="12">
        <v>26.4166062493623</v>
      </c>
      <c r="I4490" s="20">
        <v>1.3530131651866399</v>
      </c>
      <c r="J4490" s="28">
        <v>0.17605142455110601</v>
      </c>
      <c r="K4490" s="29">
        <v>0.90585029805180195</v>
      </c>
    </row>
    <row r="4491" spans="1:11" x14ac:dyDescent="0.35">
      <c r="A4491" s="9" t="str">
        <f>HYPERLINK("http://www.ensembl.org/id/WBGene00020166", "WBGene00020166")</f>
        <v>WBGene00020166</v>
      </c>
      <c r="B4491" s="9" t="str">
        <f>HYPERLINK("http://www.ncbi.nlm.nih.gov/gene/3565206", "3565206")</f>
        <v>3565206</v>
      </c>
      <c r="C4491" s="9"/>
      <c r="D4491" t="str">
        <f>"T02G5.7"</f>
        <v>T02G5.7</v>
      </c>
      <c r="F4491" t="s">
        <v>11</v>
      </c>
      <c r="G4491" t="s">
        <v>3569</v>
      </c>
      <c r="H4491" s="12">
        <v>-1.2780235549383601</v>
      </c>
      <c r="I4491" s="20">
        <v>-1.35327373501989</v>
      </c>
      <c r="J4491" s="28">
        <v>0.17596819679072501</v>
      </c>
      <c r="K4491" s="29">
        <v>0.90585029805180195</v>
      </c>
    </row>
    <row r="4492" spans="1:11" x14ac:dyDescent="0.35">
      <c r="A4492" s="9" t="str">
        <f>HYPERLINK("http://www.ensembl.org/id/WBGene00015693", "WBGene00015693")</f>
        <v>WBGene00015693</v>
      </c>
      <c r="B4492" s="9" t="str">
        <f>HYPERLINK("http://www.ncbi.nlm.nih.gov/gene/172086", "172086")</f>
        <v>172086</v>
      </c>
      <c r="C4492" s="9"/>
      <c r="D4492" t="str">
        <f>"ugt-28"</f>
        <v>ugt-28</v>
      </c>
      <c r="E4492" t="s">
        <v>103</v>
      </c>
      <c r="F4492" t="s">
        <v>11</v>
      </c>
      <c r="G4492" t="s">
        <v>104</v>
      </c>
      <c r="H4492" s="12">
        <v>-1.45242188466289</v>
      </c>
      <c r="I4492" s="20">
        <v>-1.3535070591543601</v>
      </c>
      <c r="J4492" s="28">
        <v>0.17589369639123301</v>
      </c>
      <c r="K4492" s="29">
        <v>0.90585029805180195</v>
      </c>
    </row>
    <row r="4493" spans="1:11" x14ac:dyDescent="0.35">
      <c r="A4493" s="9" t="str">
        <f>HYPERLINK("http://www.ensembl.org/id/WBGene00006736", "WBGene00006736")</f>
        <v>WBGene00006736</v>
      </c>
      <c r="B4493" s="9" t="str">
        <f>HYPERLINK("http://www.ncbi.nlm.nih.gov/gene/175704", "175704")</f>
        <v>175704</v>
      </c>
      <c r="C4493" s="9"/>
      <c r="D4493" t="str">
        <f>"ulp-1"</f>
        <v>ulp-1</v>
      </c>
      <c r="E4493" t="s">
        <v>3572</v>
      </c>
      <c r="F4493" t="s">
        <v>11</v>
      </c>
      <c r="G4493" t="s">
        <v>3573</v>
      </c>
      <c r="H4493" s="12">
        <v>-1.32086314817747</v>
      </c>
      <c r="I4493" s="20">
        <v>-1.35286793611278</v>
      </c>
      <c r="J4493" s="28">
        <v>0.176097824432209</v>
      </c>
      <c r="K4493" s="29">
        <v>0.90585029805180195</v>
      </c>
    </row>
    <row r="4494" spans="1:11" x14ac:dyDescent="0.35">
      <c r="A4494" s="9" t="str">
        <f>HYPERLINK("http://www.ensembl.org/id/WBGene00021367", "WBGene00021367")</f>
        <v>WBGene00021367</v>
      </c>
      <c r="B4494" s="9" t="str">
        <f>HYPERLINK("http://www.ncbi.nlm.nih.gov/gene/36805052", "36805052")</f>
        <v>36805052</v>
      </c>
      <c r="C4494" s="9"/>
      <c r="D4494" t="str">
        <f>"Y37E11AM.3"</f>
        <v>Y37E11AM.3</v>
      </c>
      <c r="F4494" t="s">
        <v>11</v>
      </c>
      <c r="G4494" t="s">
        <v>3576</v>
      </c>
      <c r="H4494" s="12">
        <v>-1.3690803287914799</v>
      </c>
      <c r="I4494" s="20">
        <v>-1.35318698686939</v>
      </c>
      <c r="J4494" s="28">
        <v>0.17599590147597299</v>
      </c>
      <c r="K4494" s="29">
        <v>0.90585029805180195</v>
      </c>
    </row>
    <row r="4495" spans="1:11" x14ac:dyDescent="0.35">
      <c r="A4495" s="9" t="str">
        <f>HYPERLINK("http://www.ensembl.org/id/WBGene00021757", "WBGene00021757")</f>
        <v>WBGene00021757</v>
      </c>
      <c r="B4495" s="9" t="str">
        <f>HYPERLINK("http://www.ncbi.nlm.nih.gov/gene/175191", "175191")</f>
        <v>175191</v>
      </c>
      <c r="C4495" s="9" t="str">
        <f>HYPERLINK("http://www.ncbi.nlm.nih.gov/gene/51204", "51204")</f>
        <v>51204</v>
      </c>
      <c r="D4495" t="str">
        <f>"taco-1"</f>
        <v>taco-1</v>
      </c>
      <c r="E4495" t="s">
        <v>3577</v>
      </c>
      <c r="F4495" t="s">
        <v>11</v>
      </c>
      <c r="G4495" t="s">
        <v>1865</v>
      </c>
      <c r="H4495" s="12">
        <v>-1.3818430525210601</v>
      </c>
      <c r="I4495" s="20">
        <v>-1.35259984897717</v>
      </c>
      <c r="J4495" s="28">
        <v>0.17618350073024699</v>
      </c>
      <c r="K4495" s="29">
        <v>0.90605296413823599</v>
      </c>
    </row>
    <row r="4496" spans="1:11" x14ac:dyDescent="0.35">
      <c r="A4496" s="9" t="str">
        <f>HYPERLINK("http://www.ensembl.org/id/WBGene00000734", "WBGene00000734")</f>
        <v>WBGene00000734</v>
      </c>
      <c r="B4496" s="9" t="str">
        <f>HYPERLINK("http://www.ncbi.nlm.nih.gov/gene/179812", "179812")</f>
        <v>179812</v>
      </c>
      <c r="C4496" s="9"/>
      <c r="D4496" t="str">
        <f>"col-161"</f>
        <v>col-161</v>
      </c>
      <c r="E4496" t="s">
        <v>40</v>
      </c>
      <c r="F4496" t="s">
        <v>11</v>
      </c>
      <c r="G4496" t="s">
        <v>41</v>
      </c>
      <c r="H4496" s="12">
        <v>3.3563515559022501</v>
      </c>
      <c r="I4496" s="20">
        <v>1.3522780145347599</v>
      </c>
      <c r="J4496" s="28">
        <v>0.176286394837882</v>
      </c>
      <c r="K4496" s="29">
        <v>0.90619516079822804</v>
      </c>
    </row>
    <row r="4497" spans="1:11" x14ac:dyDescent="0.35">
      <c r="A4497" s="9" t="str">
        <f>HYPERLINK("http://www.ensembl.org/id/WBGene00001976", "WBGene00001976")</f>
        <v>WBGene00001976</v>
      </c>
      <c r="B4497" s="9" t="str">
        <f>HYPERLINK("http://www.ncbi.nlm.nih.gov/gene/173805", "173805")</f>
        <v>173805</v>
      </c>
      <c r="C4497" s="9"/>
      <c r="D4497" t="str">
        <f>"hmg-11"</f>
        <v>hmg-11</v>
      </c>
      <c r="E4497" t="s">
        <v>3578</v>
      </c>
      <c r="F4497" t="s">
        <v>11</v>
      </c>
      <c r="G4497" t="s">
        <v>350</v>
      </c>
      <c r="H4497" s="12">
        <v>1.29426630980083</v>
      </c>
      <c r="I4497" s="20">
        <v>1.35202278243134</v>
      </c>
      <c r="J4497" s="28">
        <v>0.17636802727039</v>
      </c>
      <c r="K4497" s="29">
        <v>0.90619516079822804</v>
      </c>
    </row>
    <row r="4498" spans="1:11" x14ac:dyDescent="0.35">
      <c r="A4498" s="9" t="str">
        <f>HYPERLINK("http://www.ensembl.org/id/WBGene00019664", "WBGene00019664")</f>
        <v>WBGene00019664</v>
      </c>
      <c r="B4498" s="9" t="str">
        <f>HYPERLINK("http://www.ncbi.nlm.nih.gov/gene/176892", "176892")</f>
        <v>176892</v>
      </c>
      <c r="C4498" s="9" t="str">
        <f>HYPERLINK("http://www.ncbi.nlm.nih.gov/gene/27069", "27069")</f>
        <v>27069</v>
      </c>
      <c r="D4498" t="str">
        <f>"K11H12.8"</f>
        <v>K11H12.8</v>
      </c>
      <c r="F4498" t="s">
        <v>11</v>
      </c>
      <c r="G4498" t="s">
        <v>25</v>
      </c>
      <c r="H4498" s="12">
        <v>-1.2972444428541501</v>
      </c>
      <c r="I4498" s="20">
        <v>-1.3520812565725899</v>
      </c>
      <c r="J4498" s="28">
        <v>0.176349322643093</v>
      </c>
      <c r="K4498" s="29">
        <v>0.90619516079822804</v>
      </c>
    </row>
    <row r="4499" spans="1:11" x14ac:dyDescent="0.35">
      <c r="A4499" s="9" t="str">
        <f>HYPERLINK("http://www.ensembl.org/id/WBGene00005269", "WBGene00005269")</f>
        <v>WBGene00005269</v>
      </c>
      <c r="B4499" s="9" t="str">
        <f>HYPERLINK("http://www.ncbi.nlm.nih.gov/gene/188025", "188025")</f>
        <v>188025</v>
      </c>
      <c r="C4499" s="9"/>
      <c r="D4499" t="str">
        <f>"srh-46"</f>
        <v>srh-46</v>
      </c>
      <c r="E4499" t="s">
        <v>153</v>
      </c>
      <c r="F4499" t="s">
        <v>11</v>
      </c>
      <c r="G4499" t="s">
        <v>25</v>
      </c>
      <c r="H4499" s="12">
        <v>7.7704970824990198</v>
      </c>
      <c r="I4499" s="20">
        <v>1.35204868844894</v>
      </c>
      <c r="J4499" s="28">
        <v>0.17635974030691801</v>
      </c>
      <c r="K4499" s="29">
        <v>0.90619516079822804</v>
      </c>
    </row>
    <row r="4500" spans="1:11" x14ac:dyDescent="0.35">
      <c r="A4500" s="9" t="str">
        <f>HYPERLINK("http://www.ensembl.org/id/WBGene00012698", "WBGene00012698")</f>
        <v>WBGene00012698</v>
      </c>
      <c r="B4500" s="9" t="str">
        <f>HYPERLINK("http://www.ncbi.nlm.nih.gov/gene/189734", "189734")</f>
        <v>189734</v>
      </c>
      <c r="C4500" s="9"/>
      <c r="D4500" t="str">
        <f>"sws-1"</f>
        <v>sws-1</v>
      </c>
      <c r="E4500" t="s">
        <v>3579</v>
      </c>
      <c r="F4500" t="s">
        <v>11</v>
      </c>
      <c r="G4500" t="s">
        <v>3580</v>
      </c>
      <c r="H4500" s="12">
        <v>-1.6971329409431499</v>
      </c>
      <c r="I4500" s="20">
        <v>-1.3518030405352399</v>
      </c>
      <c r="J4500" s="28">
        <v>0.176438331224746</v>
      </c>
      <c r="K4500" s="29">
        <v>0.90635484243641296</v>
      </c>
    </row>
    <row r="4501" spans="1:11" x14ac:dyDescent="0.35">
      <c r="A4501" s="9" t="str">
        <f>HYPERLINK("http://www.ensembl.org/id/WBGene00000279", "WBGene00000279")</f>
        <v>WBGene00000279</v>
      </c>
      <c r="B4501" s="9" t="str">
        <f>HYPERLINK("http://www.ncbi.nlm.nih.gov/gene/186231", "186231")</f>
        <v>186231</v>
      </c>
      <c r="C4501" s="9" t="str">
        <f>HYPERLINK("http://www.ncbi.nlm.nih.gov/gene/56934", "56934")</f>
        <v>56934</v>
      </c>
      <c r="D4501" t="str">
        <f>"cah-1"</f>
        <v>cah-1</v>
      </c>
      <c r="E4501" t="s">
        <v>3581</v>
      </c>
      <c r="F4501" t="s">
        <v>11</v>
      </c>
      <c r="G4501" t="s">
        <v>1733</v>
      </c>
      <c r="H4501" s="12">
        <v>1.52527282827317</v>
      </c>
      <c r="I4501" s="20">
        <v>1.35157647175345</v>
      </c>
      <c r="J4501" s="28">
        <v>0.17651084123478999</v>
      </c>
      <c r="K4501" s="29">
        <v>0.90652578296756003</v>
      </c>
    </row>
    <row r="4502" spans="1:11" x14ac:dyDescent="0.35">
      <c r="A4502" s="9" t="str">
        <f>HYPERLINK("http://www.ensembl.org/id/WBGene00015354", "WBGene00015354")</f>
        <v>WBGene00015354</v>
      </c>
      <c r="B4502" s="9" t="str">
        <f>HYPERLINK("http://www.ncbi.nlm.nih.gov/gene/182125", "182125")</f>
        <v>182125</v>
      </c>
      <c r="C4502" s="9"/>
      <c r="D4502" t="str">
        <f>"snet-1"</f>
        <v>snet-1</v>
      </c>
      <c r="F4502" t="s">
        <v>11</v>
      </c>
      <c r="G4502" t="s">
        <v>3582</v>
      </c>
      <c r="H4502" s="12">
        <v>1.3099765645493699</v>
      </c>
      <c r="I4502" s="20">
        <v>1.3513021722962899</v>
      </c>
      <c r="J4502" s="28">
        <v>0.17659865646481701</v>
      </c>
      <c r="K4502" s="29">
        <v>0.90677523472801203</v>
      </c>
    </row>
    <row r="4503" spans="1:11" x14ac:dyDescent="0.35">
      <c r="A4503" s="9" t="str">
        <f>HYPERLINK("http://www.ensembl.org/id/WBGene00011388", "WBGene00011388")</f>
        <v>WBGene00011388</v>
      </c>
      <c r="B4503" s="9" t="str">
        <f>HYPERLINK("http://www.ncbi.nlm.nih.gov/gene/173060", "173060")</f>
        <v>173060</v>
      </c>
      <c r="C4503" s="9"/>
      <c r="D4503" t="str">
        <f>"T02G6.5"</f>
        <v>T02G6.5</v>
      </c>
      <c r="F4503" t="s">
        <v>11</v>
      </c>
      <c r="G4503" t="s">
        <v>3583</v>
      </c>
      <c r="H4503" s="12">
        <v>-1.5091215970498699</v>
      </c>
      <c r="I4503" s="20">
        <v>-1.35100387859536</v>
      </c>
      <c r="J4503" s="28">
        <v>0.17669419025187</v>
      </c>
      <c r="K4503" s="29">
        <v>0.90706419905792302</v>
      </c>
    </row>
    <row r="4504" spans="1:11" x14ac:dyDescent="0.35">
      <c r="A4504" s="9" t="str">
        <f>HYPERLINK("http://www.ensembl.org/id/WBGene00004324", "WBGene00004324")</f>
        <v>WBGene00004324</v>
      </c>
      <c r="B4504" s="9" t="str">
        <f>HYPERLINK("http://www.ncbi.nlm.nih.gov/gene/172473", "172473")</f>
        <v>172473</v>
      </c>
      <c r="C4504" s="9"/>
      <c r="D4504" t="str">
        <f>"rde-2"</f>
        <v>rde-2</v>
      </c>
      <c r="F4504" t="s">
        <v>11</v>
      </c>
      <c r="G4504" t="s">
        <v>3586</v>
      </c>
      <c r="H4504" s="12">
        <v>-1.3456222010382599</v>
      </c>
      <c r="I4504" s="20">
        <v>-1.3507909166855601</v>
      </c>
      <c r="J4504" s="28">
        <v>0.17676241859602301</v>
      </c>
      <c r="K4504" s="29">
        <v>0.90715687956258795</v>
      </c>
    </row>
    <row r="4505" spans="1:11" x14ac:dyDescent="0.35">
      <c r="A4505" s="9" t="str">
        <f>HYPERLINK("http://www.ensembl.org/id/WBGene00004743", "WBGene00004743")</f>
        <v>WBGene00004743</v>
      </c>
      <c r="B4505" s="9" t="str">
        <f>HYPERLINK("http://www.ncbi.nlm.nih.gov/gene/171756", "171756")</f>
        <v>171756</v>
      </c>
      <c r="C4505" s="9" t="str">
        <f>HYPERLINK("http://www.ncbi.nlm.nih.gov/gene/9522", "9522")</f>
        <v>9522</v>
      </c>
      <c r="D4505" t="str">
        <f>"scm-1"</f>
        <v>scm-1</v>
      </c>
      <c r="E4505" t="s">
        <v>3584</v>
      </c>
      <c r="F4505" t="s">
        <v>11</v>
      </c>
      <c r="G4505" t="s">
        <v>3585</v>
      </c>
      <c r="H4505" s="12">
        <v>-1.2793628049766399</v>
      </c>
      <c r="I4505" s="20">
        <v>-1.3507024550428299</v>
      </c>
      <c r="J4505" s="28">
        <v>0.17679076554446199</v>
      </c>
      <c r="K4505" s="29">
        <v>0.90715687956258795</v>
      </c>
    </row>
    <row r="4506" spans="1:11" x14ac:dyDescent="0.35">
      <c r="A4506" s="9" t="str">
        <f>HYPERLINK("http://www.ensembl.org/id/WBGene00009364", "WBGene00009364")</f>
        <v>WBGene00009364</v>
      </c>
      <c r="B4506" s="9" t="str">
        <f>HYPERLINK("http://www.ncbi.nlm.nih.gov/gene/174579", "174579")</f>
        <v>174579</v>
      </c>
      <c r="C4506" s="9"/>
      <c r="D4506" t="str">
        <f>"F33H1.3"</f>
        <v>F33H1.3</v>
      </c>
      <c r="F4506" t="s">
        <v>11</v>
      </c>
      <c r="G4506" t="s">
        <v>3587</v>
      </c>
      <c r="H4506" s="12">
        <v>-1.32565795400863</v>
      </c>
      <c r="I4506" s="20">
        <v>-1.35045665680812</v>
      </c>
      <c r="J4506" s="28">
        <v>0.176869547745508</v>
      </c>
      <c r="K4506" s="29">
        <v>0.90731954928837899</v>
      </c>
    </row>
    <row r="4507" spans="1:11" x14ac:dyDescent="0.35">
      <c r="A4507" s="9" t="str">
        <f>HYPERLINK("http://www.ensembl.org/id/WBGene00011583", "WBGene00011583")</f>
        <v>WBGene00011583</v>
      </c>
      <c r="B4507" s="9" t="str">
        <f>HYPERLINK("http://www.ncbi.nlm.nih.gov/gene/188228", "188228")</f>
        <v>188228</v>
      </c>
      <c r="C4507" s="9"/>
      <c r="D4507" t="str">
        <f>"T07D10.3"</f>
        <v>T07D10.3</v>
      </c>
      <c r="F4507" t="s">
        <v>11</v>
      </c>
      <c r="H4507" s="12">
        <v>1.8768154518701401</v>
      </c>
      <c r="I4507" s="20">
        <v>1.3503585408727601</v>
      </c>
      <c r="J4507" s="28">
        <v>0.176901002750115</v>
      </c>
      <c r="K4507" s="29">
        <v>0.90731954928837899</v>
      </c>
    </row>
    <row r="4508" spans="1:11" x14ac:dyDescent="0.35">
      <c r="A4508" s="9" t="str">
        <f>HYPERLINK("http://www.ensembl.org/id/WBGene00015347", "WBGene00015347")</f>
        <v>WBGene00015347</v>
      </c>
      <c r="B4508" s="9" t="str">
        <f>HYPERLINK("http://www.ncbi.nlm.nih.gov/gene/176162", "176162")</f>
        <v>176162</v>
      </c>
      <c r="C4508" s="9" t="str">
        <f>HYPERLINK("http://www.ncbi.nlm.nih.gov/gene/55197", "55197")</f>
        <v>55197</v>
      </c>
      <c r="D4508" t="str">
        <f>"cids-1"</f>
        <v>cids-1</v>
      </c>
      <c r="E4508" t="s">
        <v>3588</v>
      </c>
      <c r="F4508" t="s">
        <v>11</v>
      </c>
      <c r="H4508" s="12">
        <v>-1.3375524479971701</v>
      </c>
      <c r="I4508" s="20">
        <v>-1.3493304954312899</v>
      </c>
      <c r="J4508" s="28">
        <v>0.17723083467980999</v>
      </c>
      <c r="K4508" s="29">
        <v>0.90880951311844105</v>
      </c>
    </row>
    <row r="4509" spans="1:11" x14ac:dyDescent="0.35">
      <c r="A4509" s="9" t="str">
        <f>HYPERLINK("http://www.ensembl.org/id/WBGene00012582", "WBGene00012582")</f>
        <v>WBGene00012582</v>
      </c>
      <c r="B4509" s="9" t="str">
        <f>HYPERLINK("http://www.ncbi.nlm.nih.gov/gene/174893", "174893")</f>
        <v>174893</v>
      </c>
      <c r="C4509" s="9"/>
      <c r="D4509" t="str">
        <f>"clec-8"</f>
        <v>clec-8</v>
      </c>
      <c r="E4509" t="s">
        <v>46</v>
      </c>
      <c r="F4509" t="s">
        <v>11</v>
      </c>
      <c r="G4509" t="s">
        <v>47</v>
      </c>
      <c r="H4509" s="12">
        <v>-2.1879996418902699</v>
      </c>
      <c r="I4509" s="20">
        <v>-1.3489159057426101</v>
      </c>
      <c r="J4509" s="28">
        <v>0.17736397868352899</v>
      </c>
      <c r="K4509" s="29">
        <v>0.90892735584047402</v>
      </c>
    </row>
    <row r="4510" spans="1:11" x14ac:dyDescent="0.35">
      <c r="A4510" s="9" t="str">
        <f>HYPERLINK("http://www.ensembl.org/id/WBGene00001774", "WBGene00001774")</f>
        <v>WBGene00001774</v>
      </c>
      <c r="B4510" s="9" t="str">
        <f>HYPERLINK("http://www.ncbi.nlm.nih.gov/gene/190223", "190223")</f>
        <v>190223</v>
      </c>
      <c r="C4510" s="9" t="str">
        <f>HYPERLINK("http://www.ncbi.nlm.nih.gov/gene/27306", "27306")</f>
        <v>27306</v>
      </c>
      <c r="D4510" t="str">
        <f>"gst-26"</f>
        <v>gst-26</v>
      </c>
      <c r="E4510" t="s">
        <v>272</v>
      </c>
      <c r="F4510" t="s">
        <v>11</v>
      </c>
      <c r="G4510" t="s">
        <v>876</v>
      </c>
      <c r="H4510" s="12">
        <v>1.3343112705501301</v>
      </c>
      <c r="I4510" s="20">
        <v>1.34893870410344</v>
      </c>
      <c r="J4510" s="28">
        <v>0.17735665513596599</v>
      </c>
      <c r="K4510" s="29">
        <v>0.90892735584047402</v>
      </c>
    </row>
    <row r="4511" spans="1:11" x14ac:dyDescent="0.35">
      <c r="A4511" s="9" t="str">
        <f>HYPERLINK("http://www.ensembl.org/id/WBGene00021764", "WBGene00021764")</f>
        <v>WBGene00021764</v>
      </c>
      <c r="B4511" s="9" t="str">
        <f>HYPERLINK("http://www.ncbi.nlm.nih.gov/gene/259367", "259367")</f>
        <v>259367</v>
      </c>
      <c r="C4511" s="9"/>
      <c r="D4511" t="str">
        <f>"Y51F10.3"</f>
        <v>Y51F10.3</v>
      </c>
      <c r="F4511" t="s">
        <v>11</v>
      </c>
      <c r="G4511" t="s">
        <v>25</v>
      </c>
      <c r="H4511" s="12">
        <v>-1.29127253000987</v>
      </c>
      <c r="I4511" s="20">
        <v>-1.34889147281566</v>
      </c>
      <c r="J4511" s="28">
        <v>0.17737182755495101</v>
      </c>
      <c r="K4511" s="29">
        <v>0.90892735584047402</v>
      </c>
    </row>
    <row r="4512" spans="1:11" x14ac:dyDescent="0.35">
      <c r="A4512" s="9" t="str">
        <f>HYPERLINK("http://www.ensembl.org/id/WBGene00011124", "WBGene00011124")</f>
        <v>WBGene00011124</v>
      </c>
      <c r="B4512" s="9" t="str">
        <f>HYPERLINK("http://www.ncbi.nlm.nih.gov/gene/178027", "178027")</f>
        <v>178027</v>
      </c>
      <c r="C4512" s="9"/>
      <c r="D4512" t="str">
        <f>"sdz-27"</f>
        <v>sdz-27</v>
      </c>
      <c r="E4512" t="s">
        <v>90</v>
      </c>
      <c r="F4512" t="s">
        <v>11</v>
      </c>
      <c r="G4512" t="s">
        <v>3589</v>
      </c>
      <c r="H4512" s="12">
        <v>-1.3304687267192301</v>
      </c>
      <c r="I4512" s="20">
        <v>-1.34778374380838</v>
      </c>
      <c r="J4512" s="28">
        <v>0.17772794792624499</v>
      </c>
      <c r="K4512" s="29">
        <v>0.91055032478576903</v>
      </c>
    </row>
    <row r="4513" spans="1:11" x14ac:dyDescent="0.35">
      <c r="A4513" s="9" t="str">
        <f>HYPERLINK("http://www.ensembl.org/id/WBGene00007723", "WBGene00007723")</f>
        <v>WBGene00007723</v>
      </c>
      <c r="B4513" s="9" t="str">
        <f>HYPERLINK("http://www.ncbi.nlm.nih.gov/gene/182904", "182904")</f>
        <v>182904</v>
      </c>
      <c r="C4513" s="9"/>
      <c r="D4513" t="str">
        <f>"C25F9.2"</f>
        <v>C25F9.2</v>
      </c>
      <c r="F4513" t="s">
        <v>11</v>
      </c>
      <c r="G4513" t="s">
        <v>3590</v>
      </c>
      <c r="H4513" s="12">
        <v>-1.5041917078781299</v>
      </c>
      <c r="I4513" s="20">
        <v>-1.34755420377765</v>
      </c>
      <c r="J4513" s="28">
        <v>0.17780180857979</v>
      </c>
      <c r="K4513" s="29">
        <v>0.91072679872414897</v>
      </c>
    </row>
    <row r="4514" spans="1:11" x14ac:dyDescent="0.35">
      <c r="A4514" s="9" t="str">
        <f>HYPERLINK("http://www.ensembl.org/id/WBGene00007749", "WBGene00007749")</f>
        <v>WBGene00007749</v>
      </c>
      <c r="B4514" s="9" t="str">
        <f>HYPERLINK("http://www.ncbi.nlm.nih.gov/gene/179809", "179809")</f>
        <v>179809</v>
      </c>
      <c r="C4514" s="9"/>
      <c r="D4514" t="str">
        <f>"ceh-79"</f>
        <v>ceh-79</v>
      </c>
      <c r="E4514" t="s">
        <v>349</v>
      </c>
      <c r="F4514" t="s">
        <v>11</v>
      </c>
      <c r="G4514" t="s">
        <v>350</v>
      </c>
      <c r="H4514" s="12">
        <v>-1.29782186657762</v>
      </c>
      <c r="I4514" s="20">
        <v>-1.3472710953736899</v>
      </c>
      <c r="J4514" s="28">
        <v>0.17789293776369</v>
      </c>
      <c r="K4514" s="29">
        <v>0.91078976733166706</v>
      </c>
    </row>
    <row r="4515" spans="1:11" x14ac:dyDescent="0.35">
      <c r="A4515" s="9" t="str">
        <f>HYPERLINK("http://www.ensembl.org/id/WBGene00000760", "WBGene00000760")</f>
        <v>WBGene00000760</v>
      </c>
      <c r="B4515" s="9" t="str">
        <f>HYPERLINK("http://www.ncbi.nlm.nih.gov/gene/181685", "181685")</f>
        <v>181685</v>
      </c>
      <c r="C4515" s="9"/>
      <c r="D4515" t="str">
        <f>"col-187"</f>
        <v>col-187</v>
      </c>
      <c r="E4515" t="s">
        <v>40</v>
      </c>
      <c r="F4515" t="s">
        <v>11</v>
      </c>
      <c r="G4515" t="s">
        <v>52</v>
      </c>
      <c r="H4515" s="12">
        <v>2.9606715907232299</v>
      </c>
      <c r="I4515" s="20">
        <v>1.34730359748254</v>
      </c>
      <c r="J4515" s="28">
        <v>0.17788247396008899</v>
      </c>
      <c r="K4515" s="29">
        <v>0.91078976733166706</v>
      </c>
    </row>
    <row r="4516" spans="1:11" x14ac:dyDescent="0.35">
      <c r="A4516" s="9" t="str">
        <f>HYPERLINK("http://www.ensembl.org/id/WBGene00010405", "WBGene00010405")</f>
        <v>WBGene00010405</v>
      </c>
      <c r="B4516" s="9" t="str">
        <f>HYPERLINK("http://www.ncbi.nlm.nih.gov/gene/179537", "179537")</f>
        <v>179537</v>
      </c>
      <c r="C4516" s="9" t="str">
        <f>HYPERLINK("http://www.ncbi.nlm.nih.gov/gene/23708", "23708")</f>
        <v>23708</v>
      </c>
      <c r="D4516" t="str">
        <f>"erfa-3"</f>
        <v>erfa-3</v>
      </c>
      <c r="E4516" t="s">
        <v>3591</v>
      </c>
      <c r="F4516" t="s">
        <v>11</v>
      </c>
      <c r="G4516" t="s">
        <v>3592</v>
      </c>
      <c r="H4516" s="12">
        <v>-1.2852480557039601</v>
      </c>
      <c r="I4516" s="20">
        <v>-1.3465403293743601</v>
      </c>
      <c r="J4516" s="28">
        <v>0.178128323232845</v>
      </c>
      <c r="K4516" s="29">
        <v>0.91179287474924797</v>
      </c>
    </row>
    <row r="4517" spans="1:11" x14ac:dyDescent="0.35">
      <c r="A4517" s="9" t="str">
        <f>HYPERLINK("http://www.ensembl.org/id/WBGene00012282", "WBGene00012282")</f>
        <v>WBGene00012282</v>
      </c>
      <c r="B4517" s="9" t="str">
        <f>HYPERLINK("http://www.ncbi.nlm.nih.gov/gene/3565965", "3565965")</f>
        <v>3565965</v>
      </c>
      <c r="C4517" s="9"/>
      <c r="D4517" t="str">
        <f>"W05E10.5"</f>
        <v>W05E10.5</v>
      </c>
      <c r="F4517" t="s">
        <v>11</v>
      </c>
      <c r="H4517" s="12">
        <v>1.44641870568299</v>
      </c>
      <c r="I4517" s="20">
        <v>1.3463283134428701</v>
      </c>
      <c r="J4517" s="28">
        <v>0.17819665859487699</v>
      </c>
      <c r="K4517" s="29">
        <v>0.91194064086228699</v>
      </c>
    </row>
    <row r="4518" spans="1:11" x14ac:dyDescent="0.35">
      <c r="A4518" s="9" t="str">
        <f>HYPERLINK("http://www.ensembl.org/id/WBGene00000627", "WBGene00000627")</f>
        <v>WBGene00000627</v>
      </c>
      <c r="B4518" s="9" t="str">
        <f>HYPERLINK("http://www.ncbi.nlm.nih.gov/gene/189050", "189050")</f>
        <v>189050</v>
      </c>
      <c r="C4518" s="9"/>
      <c r="D4518" t="str">
        <f>"col-50"</f>
        <v>col-50</v>
      </c>
      <c r="E4518" t="s">
        <v>40</v>
      </c>
      <c r="F4518" t="s">
        <v>11</v>
      </c>
      <c r="G4518" t="s">
        <v>41</v>
      </c>
      <c r="H4518" s="12">
        <v>-2.8865890811650199</v>
      </c>
      <c r="I4518" s="20">
        <v>-1.3460226954816199</v>
      </c>
      <c r="J4518" s="28">
        <v>0.17829519738070199</v>
      </c>
      <c r="K4518" s="29">
        <v>0.91224287658957204</v>
      </c>
    </row>
    <row r="4519" spans="1:11" x14ac:dyDescent="0.35">
      <c r="A4519" s="9" t="str">
        <f>HYPERLINK("http://www.ensembl.org/id/WBGene00015059", "WBGene00015059")</f>
        <v>WBGene00015059</v>
      </c>
      <c r="B4519" s="9" t="str">
        <f>HYPERLINK("http://www.ncbi.nlm.nih.gov/gene/181861", "181861")</f>
        <v>181861</v>
      </c>
      <c r="C4519" s="9"/>
      <c r="D4519" t="str">
        <f>"B0228.1"</f>
        <v>B0228.1</v>
      </c>
      <c r="F4519" t="s">
        <v>11</v>
      </c>
      <c r="H4519" s="12">
        <v>1.38967002271954</v>
      </c>
      <c r="I4519" s="20">
        <v>1.3455888234862701</v>
      </c>
      <c r="J4519" s="28">
        <v>0.178435158075478</v>
      </c>
      <c r="K4519" s="29">
        <v>0.91275686572769499</v>
      </c>
    </row>
    <row r="4520" spans="1:11" x14ac:dyDescent="0.35">
      <c r="A4520" s="9" t="str">
        <f>HYPERLINK("http://www.ensembl.org/id/WBGene00044120", "WBGene00044120")</f>
        <v>WBGene00044120</v>
      </c>
      <c r="B4520" s="9" t="str">
        <f>HYPERLINK("http://www.ncbi.nlm.nih.gov/gene/3565179", "3565179")</f>
        <v>3565179</v>
      </c>
      <c r="C4520" s="9"/>
      <c r="D4520" t="str">
        <f>"C36B1.13"</f>
        <v>C36B1.13</v>
      </c>
      <c r="F4520" t="s">
        <v>11</v>
      </c>
      <c r="G4520" t="s">
        <v>25</v>
      </c>
      <c r="H4520" s="12">
        <v>-1.8556052423452201</v>
      </c>
      <c r="I4520" s="20">
        <v>-1.3451466339295299</v>
      </c>
      <c r="J4520" s="28">
        <v>0.178577885992939</v>
      </c>
      <c r="K4520" s="29">
        <v>0.91302105524363297</v>
      </c>
    </row>
    <row r="4521" spans="1:11" x14ac:dyDescent="0.35">
      <c r="A4521" s="9" t="str">
        <f>HYPERLINK("http://www.ensembl.org/id/WBGene00000497", "WBGene00000497")</f>
        <v>WBGene00000497</v>
      </c>
      <c r="B4521" s="9" t="str">
        <f>HYPERLINK("http://www.ncbi.nlm.nih.gov/gene/173405", "173405")</f>
        <v>173405</v>
      </c>
      <c r="C4521" s="9"/>
      <c r="D4521" t="str">
        <f>"chs-2"</f>
        <v>chs-2</v>
      </c>
      <c r="E4521" t="s">
        <v>3595</v>
      </c>
      <c r="F4521" t="s">
        <v>11</v>
      </c>
      <c r="G4521" t="s">
        <v>3596</v>
      </c>
      <c r="H4521" s="12">
        <v>1.5277693427643999</v>
      </c>
      <c r="I4521" s="20">
        <v>1.3443753138149499</v>
      </c>
      <c r="J4521" s="28">
        <v>0.17882705243380601</v>
      </c>
      <c r="K4521" s="29">
        <v>0.91302105524363297</v>
      </c>
    </row>
    <row r="4522" spans="1:11" x14ac:dyDescent="0.35">
      <c r="A4522" s="9" t="str">
        <f>HYPERLINK("http://www.ensembl.org/id/WBGene00017074", "WBGene00017074")</f>
        <v>WBGene00017074</v>
      </c>
      <c r="B4522" s="9" t="str">
        <f>HYPERLINK("http://www.ncbi.nlm.nih.gov/gene/177635", "177635")</f>
        <v>177635</v>
      </c>
      <c r="C4522" s="9"/>
      <c r="D4522" t="str">
        <f>"D2096.7"</f>
        <v>D2096.7</v>
      </c>
      <c r="F4522" t="s">
        <v>11</v>
      </c>
      <c r="H4522" s="12">
        <v>-1.33748956697273</v>
      </c>
      <c r="I4522" s="20">
        <v>-1.3444301560532299</v>
      </c>
      <c r="J4522" s="28">
        <v>0.17880932771940999</v>
      </c>
      <c r="K4522" s="29">
        <v>0.91302105524363297</v>
      </c>
    </row>
    <row r="4523" spans="1:11" x14ac:dyDescent="0.35">
      <c r="A4523" s="9" t="str">
        <f>HYPERLINK("http://www.ensembl.org/id/WBGene00001475", "WBGene00001475")</f>
        <v>WBGene00001475</v>
      </c>
      <c r="B4523" s="9" t="str">
        <f>HYPERLINK("http://www.ncbi.nlm.nih.gov/gene/179788", "179788")</f>
        <v>179788</v>
      </c>
      <c r="C4523" s="9" t="str">
        <f>HYPERLINK("http://www.ncbi.nlm.nih.gov/gene/9620", "9620")</f>
        <v>9620</v>
      </c>
      <c r="D4523" t="str">
        <f>"fmi-1"</f>
        <v>fmi-1</v>
      </c>
      <c r="E4523" t="s">
        <v>3598</v>
      </c>
      <c r="F4523" t="s">
        <v>11</v>
      </c>
      <c r="G4523" t="s">
        <v>3599</v>
      </c>
      <c r="H4523" s="12">
        <v>1.3128118031373499</v>
      </c>
      <c r="I4523" s="20">
        <v>1.34435811675289</v>
      </c>
      <c r="J4523" s="28">
        <v>0.17883261070027601</v>
      </c>
      <c r="K4523" s="29">
        <v>0.91302105524363297</v>
      </c>
    </row>
    <row r="4524" spans="1:11" x14ac:dyDescent="0.35">
      <c r="A4524" s="9" t="str">
        <f>HYPERLINK("http://www.ensembl.org/id/WBGene00198698", "WBGene00198698")</f>
        <v>WBGene00198698</v>
      </c>
      <c r="B4524" s="9"/>
      <c r="C4524" s="9"/>
      <c r="D4524" t="str">
        <f>"H01G02.11"</f>
        <v>H01G02.11</v>
      </c>
      <c r="F4524" t="s">
        <v>481</v>
      </c>
      <c r="H4524" s="12">
        <v>11.467105963345899</v>
      </c>
      <c r="I4524" s="20">
        <v>1.34507353997224</v>
      </c>
      <c r="J4524" s="28">
        <v>0.17860148710363599</v>
      </c>
      <c r="K4524" s="29">
        <v>0.91302105524363297</v>
      </c>
    </row>
    <row r="4525" spans="1:11" x14ac:dyDescent="0.35">
      <c r="A4525" s="9" t="str">
        <f>HYPERLINK("http://www.ensembl.org/id/WBGene00010703", "WBGene00010703")</f>
        <v>WBGene00010703</v>
      </c>
      <c r="B4525" s="9" t="str">
        <f>HYPERLINK("http://www.ncbi.nlm.nih.gov/gene/181645", "181645")</f>
        <v>181645</v>
      </c>
      <c r="C4525" s="9"/>
      <c r="D4525" t="str">
        <f>"K09A9.6"</f>
        <v>K09A9.6</v>
      </c>
      <c r="F4525" t="s">
        <v>11</v>
      </c>
      <c r="G4525" t="s">
        <v>3597</v>
      </c>
      <c r="H4525" s="12">
        <v>1.3413172458204801</v>
      </c>
      <c r="I4525" s="20">
        <v>1.3442754685771701</v>
      </c>
      <c r="J4525" s="28">
        <v>0.17885932522940701</v>
      </c>
      <c r="K4525" s="29">
        <v>0.91302105524363297</v>
      </c>
    </row>
    <row r="4526" spans="1:11" x14ac:dyDescent="0.35">
      <c r="A4526" s="9" t="str">
        <f>HYPERLINK("http://www.ensembl.org/id/WBGene00003838", "WBGene00003838")</f>
        <v>WBGene00003838</v>
      </c>
      <c r="B4526" s="9" t="str">
        <f>HYPERLINK("http://www.ncbi.nlm.nih.gov/gene/185101", "185101")</f>
        <v>185101</v>
      </c>
      <c r="C4526" s="9"/>
      <c r="D4526" t="str">
        <f>"ocr-1"</f>
        <v>ocr-1</v>
      </c>
      <c r="E4526" t="s">
        <v>1244</v>
      </c>
      <c r="F4526" t="s">
        <v>11</v>
      </c>
      <c r="G4526" t="s">
        <v>3593</v>
      </c>
      <c r="H4526" s="12">
        <v>2.5683330183945499</v>
      </c>
      <c r="I4526" s="20">
        <v>1.3445559564818801</v>
      </c>
      <c r="J4526" s="28">
        <v>0.17876867463906401</v>
      </c>
      <c r="K4526" s="29">
        <v>0.91302105524363297</v>
      </c>
    </row>
    <row r="4527" spans="1:11" x14ac:dyDescent="0.35">
      <c r="A4527" s="9" t="str">
        <f>HYPERLINK("http://www.ensembl.org/id/WBGene00019999", "WBGene00019999")</f>
        <v>WBGene00019999</v>
      </c>
      <c r="B4527" s="9" t="str">
        <f>HYPERLINK("http://www.ncbi.nlm.nih.gov/gene/187787", "187787")</f>
        <v>187787</v>
      </c>
      <c r="C4527" s="9"/>
      <c r="D4527" t="str">
        <f>"srab-14"</f>
        <v>srab-14</v>
      </c>
      <c r="E4527" t="s">
        <v>3594</v>
      </c>
      <c r="F4527" t="s">
        <v>11</v>
      </c>
      <c r="G4527" t="s">
        <v>271</v>
      </c>
      <c r="H4527" s="12">
        <v>1.9667968739056101</v>
      </c>
      <c r="I4527" s="20">
        <v>1.3443296237885001</v>
      </c>
      <c r="J4527" s="28">
        <v>0.17884182020082801</v>
      </c>
      <c r="K4527" s="29">
        <v>0.91302105524363297</v>
      </c>
    </row>
    <row r="4528" spans="1:11" x14ac:dyDescent="0.35">
      <c r="A4528" s="9" t="str">
        <f>HYPERLINK("http://www.ensembl.org/id/WBGene00017440", "WBGene00017440")</f>
        <v>WBGene00017440</v>
      </c>
      <c r="B4528" s="9" t="str">
        <f>HYPERLINK("http://www.ncbi.nlm.nih.gov/gene/174040", "174040")</f>
        <v>174040</v>
      </c>
      <c r="C4528" s="9" t="str">
        <f>HYPERLINK("http://www.ncbi.nlm.nih.gov/gene/51733", "51733")</f>
        <v>51733</v>
      </c>
      <c r="D4528" t="str">
        <f>"upb-1"</f>
        <v>upb-1</v>
      </c>
      <c r="E4528" t="s">
        <v>3601</v>
      </c>
      <c r="F4528" t="s">
        <v>11</v>
      </c>
      <c r="G4528" t="s">
        <v>3602</v>
      </c>
      <c r="H4528" s="12">
        <v>-1.3436689602818801</v>
      </c>
      <c r="I4528" s="20">
        <v>-1.34498514445677</v>
      </c>
      <c r="J4528" s="28">
        <v>0.178630031993192</v>
      </c>
      <c r="K4528" s="29">
        <v>0.91302105524363297</v>
      </c>
    </row>
    <row r="4529" spans="1:11" x14ac:dyDescent="0.35">
      <c r="A4529" s="9" t="str">
        <f>HYPERLINK("http://www.ensembl.org/id/WBGene00012188", "WBGene00012188")</f>
        <v>WBGene00012188</v>
      </c>
      <c r="B4529" s="9" t="str">
        <f>HYPERLINK("http://www.ncbi.nlm.nih.gov/gene/175057", "175057")</f>
        <v>175057</v>
      </c>
      <c r="C4529" s="9"/>
      <c r="D4529" t="str">
        <f>"W01G7.4"</f>
        <v>W01G7.4</v>
      </c>
      <c r="F4529" t="s">
        <v>11</v>
      </c>
      <c r="G4529" t="s">
        <v>3600</v>
      </c>
      <c r="H4529" s="12">
        <v>-1.3420129590865999</v>
      </c>
      <c r="I4529" s="20">
        <v>-1.3442054829136501</v>
      </c>
      <c r="J4529" s="28">
        <v>0.178881949151213</v>
      </c>
      <c r="K4529" s="29">
        <v>0.91302105524363297</v>
      </c>
    </row>
    <row r="4530" spans="1:11" x14ac:dyDescent="0.35">
      <c r="A4530" s="9" t="str">
        <f>HYPERLINK("http://www.ensembl.org/id/WBGene00021726", "WBGene00021726")</f>
        <v>WBGene00021726</v>
      </c>
      <c r="B4530" s="9" t="str">
        <f>HYPERLINK("http://www.ncbi.nlm.nih.gov/gene/173680", "173680")</f>
        <v>173680</v>
      </c>
      <c r="C4530" s="9"/>
      <c r="D4530" t="str">
        <f>"bath-10"</f>
        <v>bath-10</v>
      </c>
      <c r="E4530" t="s">
        <v>179</v>
      </c>
      <c r="F4530" t="s">
        <v>11</v>
      </c>
      <c r="G4530" t="s">
        <v>54</v>
      </c>
      <c r="H4530" s="12">
        <v>1.46523230976387</v>
      </c>
      <c r="I4530" s="20">
        <v>1.34396525688449</v>
      </c>
      <c r="J4530" s="28">
        <v>0.17895962203238699</v>
      </c>
      <c r="K4530" s="29">
        <v>0.91321577444353697</v>
      </c>
    </row>
    <row r="4531" spans="1:11" x14ac:dyDescent="0.35">
      <c r="A4531" s="9" t="str">
        <f>HYPERLINK("http://www.ensembl.org/id/WBGene00009356", "WBGene00009356")</f>
        <v>WBGene00009356</v>
      </c>
      <c r="B4531" s="9" t="str">
        <f>HYPERLINK("http://www.ncbi.nlm.nih.gov/gene/3565256", "3565256")</f>
        <v>3565256</v>
      </c>
      <c r="C4531" s="9"/>
      <c r="D4531" t="str">
        <f>"F33A8.10"</f>
        <v>F33A8.10</v>
      </c>
      <c r="F4531" t="s">
        <v>11</v>
      </c>
      <c r="H4531" s="12">
        <v>3.5019353512510398</v>
      </c>
      <c r="I4531" s="20">
        <v>1.34374054237751</v>
      </c>
      <c r="J4531" s="28">
        <v>0.17903230223852601</v>
      </c>
      <c r="K4531" s="29">
        <v>0.91338493608376603</v>
      </c>
    </row>
    <row r="4532" spans="1:11" x14ac:dyDescent="0.35">
      <c r="A4532" s="9" t="str">
        <f>HYPERLINK("http://www.ensembl.org/id/WBGene00007642", "WBGene00007642")</f>
        <v>WBGene00007642</v>
      </c>
      <c r="B4532" s="9" t="str">
        <f>HYPERLINK("http://www.ncbi.nlm.nih.gov/gene/172766", "172766")</f>
        <v>172766</v>
      </c>
      <c r="C4532" s="9"/>
      <c r="D4532" t="str">
        <f>"C17E4.2"</f>
        <v>C17E4.2</v>
      </c>
      <c r="F4532" t="s">
        <v>11</v>
      </c>
      <c r="H4532" s="12">
        <v>-1.85052760948919</v>
      </c>
      <c r="I4532" s="20">
        <v>-1.3427048728923101</v>
      </c>
      <c r="J4532" s="28">
        <v>0.179367556222048</v>
      </c>
      <c r="K4532" s="29">
        <v>0.91370245892174595</v>
      </c>
    </row>
    <row r="4533" spans="1:11" x14ac:dyDescent="0.35">
      <c r="A4533" s="9" t="str">
        <f>HYPERLINK("http://www.ensembl.org/id/WBGene00007863", "WBGene00007863")</f>
        <v>WBGene00007863</v>
      </c>
      <c r="B4533" s="9" t="str">
        <f>HYPERLINK("http://www.ncbi.nlm.nih.gov/gene/183122", "183122")</f>
        <v>183122</v>
      </c>
      <c r="C4533" s="9"/>
      <c r="D4533" t="str">
        <f>"C32C4.3"</f>
        <v>C32C4.3</v>
      </c>
      <c r="F4533" t="s">
        <v>11</v>
      </c>
      <c r="G4533" t="s">
        <v>25</v>
      </c>
      <c r="H4533" s="12">
        <v>3.2336907729586599</v>
      </c>
      <c r="I4533" s="20">
        <v>1.3429013237288201</v>
      </c>
      <c r="J4533" s="28">
        <v>0.17930392776727899</v>
      </c>
      <c r="K4533" s="29">
        <v>0.91370245892174595</v>
      </c>
    </row>
    <row r="4534" spans="1:11" x14ac:dyDescent="0.35">
      <c r="A4534" s="9" t="str">
        <f>HYPERLINK("http://www.ensembl.org/id/WBGene00001147", "WBGene00001147")</f>
        <v>WBGene00001147</v>
      </c>
      <c r="B4534" s="9" t="str">
        <f>HYPERLINK("http://www.ncbi.nlm.nih.gov/gene/24105308", "24105308")</f>
        <v>24105308</v>
      </c>
      <c r="C4534" s="9"/>
      <c r="D4534" t="str">
        <f>"eat-18"</f>
        <v>eat-18</v>
      </c>
      <c r="F4534" t="s">
        <v>11</v>
      </c>
      <c r="G4534" t="s">
        <v>3603</v>
      </c>
      <c r="H4534" s="12">
        <v>1.94630245439788</v>
      </c>
      <c r="I4534" s="20">
        <v>1.3426781033839601</v>
      </c>
      <c r="J4534" s="28">
        <v>0.17937622789666499</v>
      </c>
      <c r="K4534" s="29">
        <v>0.91370245892174595</v>
      </c>
    </row>
    <row r="4535" spans="1:11" x14ac:dyDescent="0.35">
      <c r="A4535" s="9" t="str">
        <f>HYPERLINK("http://www.ensembl.org/id/WBGene00009177", "WBGene00009177")</f>
        <v>WBGene00009177</v>
      </c>
      <c r="B4535" s="9" t="str">
        <f>HYPERLINK("http://www.ncbi.nlm.nih.gov/gene/172756", "172756")</f>
        <v>172756</v>
      </c>
      <c r="C4535" s="9" t="str">
        <f>HYPERLINK("http://www.ncbi.nlm.nih.gov/gene/29968", "29968")</f>
        <v>29968</v>
      </c>
      <c r="D4535" t="str">
        <f>"F26H9.5"</f>
        <v>F26H9.5</v>
      </c>
      <c r="E4535" t="s">
        <v>3604</v>
      </c>
      <c r="F4535" t="s">
        <v>11</v>
      </c>
      <c r="G4535" t="s">
        <v>3605</v>
      </c>
      <c r="H4535" s="12">
        <v>-1.2834228253332201</v>
      </c>
      <c r="I4535" s="20">
        <v>-1.3425711066378501</v>
      </c>
      <c r="J4535" s="28">
        <v>0.17941089137574501</v>
      </c>
      <c r="K4535" s="29">
        <v>0.91370245892174595</v>
      </c>
    </row>
    <row r="4536" spans="1:11" x14ac:dyDescent="0.35">
      <c r="A4536" s="9" t="str">
        <f>HYPERLINK("http://www.ensembl.org/id/WBGene00009879", "WBGene00009879")</f>
        <v>WBGene00009879</v>
      </c>
      <c r="B4536" s="9" t="str">
        <f>HYPERLINK("http://www.ncbi.nlm.nih.gov/gene/177754", "177754")</f>
        <v>177754</v>
      </c>
      <c r="C4536" s="9"/>
      <c r="D4536" t="str">
        <f>"F49C12.10"</f>
        <v>F49C12.10</v>
      </c>
      <c r="F4536" t="s">
        <v>11</v>
      </c>
      <c r="G4536" t="s">
        <v>2778</v>
      </c>
      <c r="H4536" s="12">
        <v>-2.2134788859582599</v>
      </c>
      <c r="I4536" s="20">
        <v>-1.3427409096483101</v>
      </c>
      <c r="J4536" s="28">
        <v>0.17935588302125899</v>
      </c>
      <c r="K4536" s="29">
        <v>0.91370245892174595</v>
      </c>
    </row>
    <row r="4537" spans="1:11" x14ac:dyDescent="0.35">
      <c r="A4537" s="9" t="str">
        <f>HYPERLINK("http://www.ensembl.org/id/WBGene00010416", "WBGene00010416")</f>
        <v>WBGene00010416</v>
      </c>
      <c r="B4537" s="9" t="str">
        <f>HYPERLINK("http://www.ncbi.nlm.nih.gov/gene/173022", "173022")</f>
        <v>173022</v>
      </c>
      <c r="C4537" s="9"/>
      <c r="D4537" t="str">
        <f>"hxk-2"</f>
        <v>hxk-2</v>
      </c>
      <c r="E4537" t="s">
        <v>1644</v>
      </c>
      <c r="F4537" t="s">
        <v>11</v>
      </c>
      <c r="G4537" t="s">
        <v>3606</v>
      </c>
      <c r="H4537" s="12">
        <v>-1.28566200246124</v>
      </c>
      <c r="I4537" s="20">
        <v>-1.3430930776014101</v>
      </c>
      <c r="J4537" s="28">
        <v>0.179241836798742</v>
      </c>
      <c r="K4537" s="29">
        <v>0.91370245892174595</v>
      </c>
    </row>
    <row r="4538" spans="1:11" x14ac:dyDescent="0.35">
      <c r="A4538" s="9" t="str">
        <f>HYPERLINK("http://www.ensembl.org/id/WBGene00194856", "WBGene00194856")</f>
        <v>WBGene00194856</v>
      </c>
      <c r="B4538" s="9"/>
      <c r="C4538" s="9"/>
      <c r="D4538" t="str">
        <f>"K11D9.5"</f>
        <v>K11D9.5</v>
      </c>
      <c r="F4538" t="s">
        <v>2735</v>
      </c>
      <c r="H4538" s="12">
        <v>-2.0651991937870902</v>
      </c>
      <c r="I4538" s="20">
        <v>-1.3425844677743799</v>
      </c>
      <c r="J4538" s="28">
        <v>0.17940656252831499</v>
      </c>
      <c r="K4538" s="29">
        <v>0.91370245892174595</v>
      </c>
    </row>
    <row r="4539" spans="1:11" x14ac:dyDescent="0.35">
      <c r="A4539" s="9" t="str">
        <f>HYPERLINK("http://www.ensembl.org/id/WBGene00004768", "WBGene00004768")</f>
        <v>WBGene00004768</v>
      </c>
      <c r="B4539" s="9" t="str">
        <f>HYPERLINK("http://www.ncbi.nlm.nih.gov/gene/179612", "179612")</f>
        <v>179612</v>
      </c>
      <c r="C4539" s="9" t="str">
        <f>HYPERLINK("http://www.ncbi.nlm.nih.gov/gene/84447", "84447")</f>
        <v>84447</v>
      </c>
      <c r="D4539" t="str">
        <f>"sel-11"</f>
        <v>sel-11</v>
      </c>
      <c r="E4539" t="s">
        <v>3607</v>
      </c>
      <c r="F4539" t="s">
        <v>11</v>
      </c>
      <c r="G4539" t="s">
        <v>3608</v>
      </c>
      <c r="H4539" s="12">
        <v>-1.2907696801473501</v>
      </c>
      <c r="I4539" s="20">
        <v>-1.34261439463308</v>
      </c>
      <c r="J4539" s="28">
        <v>0.179396866868025</v>
      </c>
      <c r="K4539" s="29">
        <v>0.91370245892174595</v>
      </c>
    </row>
    <row r="4540" spans="1:11" x14ac:dyDescent="0.35">
      <c r="A4540" s="9" t="str">
        <f>HYPERLINK("http://www.ensembl.org/id/WBGene00007677", "WBGene00007677")</f>
        <v>WBGene00007677</v>
      </c>
      <c r="B4540" s="9"/>
      <c r="C4540" s="9"/>
      <c r="D4540" t="str">
        <f>"C18D4.8"</f>
        <v>C18D4.8</v>
      </c>
      <c r="F4540" t="s">
        <v>80</v>
      </c>
      <c r="H4540" s="12">
        <v>-1.61796296751786</v>
      </c>
      <c r="I4540" s="20">
        <v>-1.3418724318992801</v>
      </c>
      <c r="J4540" s="28">
        <v>0.17963736179446299</v>
      </c>
      <c r="K4540" s="29">
        <v>0.91392677871852901</v>
      </c>
    </row>
    <row r="4541" spans="1:11" x14ac:dyDescent="0.35">
      <c r="A4541" s="9" t="str">
        <f>HYPERLINK("http://www.ensembl.org/id/WBGene00008238", "WBGene00008238")</f>
        <v>WBGene00008238</v>
      </c>
      <c r="B4541" s="9" t="str">
        <f>HYPERLINK("http://www.ncbi.nlm.nih.gov/gene/179337", "179337")</f>
        <v>179337</v>
      </c>
      <c r="C4541" s="9" t="str">
        <f>HYPERLINK("http://www.ncbi.nlm.nih.gov/gene/256281", "256281")</f>
        <v>256281</v>
      </c>
      <c r="D4541" t="str">
        <f>"C50F4.16"</f>
        <v>C50F4.16</v>
      </c>
      <c r="F4541" t="s">
        <v>11</v>
      </c>
      <c r="G4541" t="s">
        <v>3609</v>
      </c>
      <c r="H4541" s="12">
        <v>-1.31095468887569</v>
      </c>
      <c r="I4541" s="20">
        <v>-1.3418251172523901</v>
      </c>
      <c r="J4541" s="28">
        <v>0.17965270617759699</v>
      </c>
      <c r="K4541" s="29">
        <v>0.91392677871852901</v>
      </c>
    </row>
    <row r="4542" spans="1:11" x14ac:dyDescent="0.35">
      <c r="A4542" s="9" t="str">
        <f>HYPERLINK("http://www.ensembl.org/id/WBGene00271802", "WBGene00271802")</f>
        <v>WBGene00271802</v>
      </c>
      <c r="B4542" s="9"/>
      <c r="C4542" s="9"/>
      <c r="D4542" t="str">
        <f>"F10G2.11"</f>
        <v>F10G2.11</v>
      </c>
      <c r="F4542" t="s">
        <v>80</v>
      </c>
      <c r="H4542" s="12">
        <v>-1.53259311541017</v>
      </c>
      <c r="I4542" s="20">
        <v>-1.3421239718205999</v>
      </c>
      <c r="J4542" s="28">
        <v>0.179555802461075</v>
      </c>
      <c r="K4542" s="29">
        <v>0.91392677871852901</v>
      </c>
    </row>
    <row r="4543" spans="1:11" x14ac:dyDescent="0.35">
      <c r="A4543" s="9" t="str">
        <f>HYPERLINK("http://www.ensembl.org/id/WBGene00008342", "WBGene00008342")</f>
        <v>WBGene00008342</v>
      </c>
      <c r="B4543" s="9" t="str">
        <f>HYPERLINK("http://www.ncbi.nlm.nih.gov/gene/183856", "183856")</f>
        <v>183856</v>
      </c>
      <c r="C4543" s="9"/>
      <c r="D4543" t="str">
        <f>"frpr-5"</f>
        <v>frpr-5</v>
      </c>
      <c r="E4543" t="s">
        <v>2289</v>
      </c>
      <c r="F4543" t="s">
        <v>11</v>
      </c>
      <c r="G4543" t="s">
        <v>1089</v>
      </c>
      <c r="H4543" s="12">
        <v>1.4082305670980899</v>
      </c>
      <c r="I4543" s="20">
        <v>1.3418447208141</v>
      </c>
      <c r="J4543" s="28">
        <v>0.17964634852359301</v>
      </c>
      <c r="K4543" s="29">
        <v>0.91392677871852901</v>
      </c>
    </row>
    <row r="4544" spans="1:11" x14ac:dyDescent="0.35">
      <c r="A4544" s="9" t="str">
        <f>HYPERLINK("http://www.ensembl.org/id/WBGene00012369", "WBGene00012369")</f>
        <v>WBGene00012369</v>
      </c>
      <c r="B4544" s="9" t="str">
        <f>HYPERLINK("http://www.ncbi.nlm.nih.gov/gene/173249", "173249")</f>
        <v>173249</v>
      </c>
      <c r="C4544" s="9"/>
      <c r="D4544" t="str">
        <f>"W09G3.6"</f>
        <v>W09G3.6</v>
      </c>
      <c r="F4544" t="s">
        <v>11</v>
      </c>
      <c r="G4544" t="s">
        <v>54</v>
      </c>
      <c r="H4544" s="12">
        <v>-1.2940178666643101</v>
      </c>
      <c r="I4544" s="20">
        <v>-1.3419712473372301</v>
      </c>
      <c r="J4544" s="28">
        <v>0.17960531858194601</v>
      </c>
      <c r="K4544" s="29">
        <v>0.91392677871852901</v>
      </c>
    </row>
    <row r="4545" spans="1:11" x14ac:dyDescent="0.35">
      <c r="A4545" s="9" t="str">
        <f>HYPERLINK("http://www.ensembl.org/id/WBGene00018885", "WBGene00018885")</f>
        <v>WBGene00018885</v>
      </c>
      <c r="B4545" s="9" t="str">
        <f>HYPERLINK("http://www.ncbi.nlm.nih.gov/gene/186315", "186315")</f>
        <v>186315</v>
      </c>
      <c r="C4545" s="9" t="str">
        <f>HYPERLINK("http://www.ncbi.nlm.nih.gov/gene/8630", "8630")</f>
        <v>8630</v>
      </c>
      <c r="D4545" t="str">
        <f>"drd-5"</f>
        <v>drd-5</v>
      </c>
      <c r="E4545" t="s">
        <v>3610</v>
      </c>
      <c r="F4545" t="s">
        <v>11</v>
      </c>
      <c r="G4545" t="s">
        <v>3319</v>
      </c>
      <c r="H4545" s="12">
        <v>-1.47202506021636</v>
      </c>
      <c r="I4545" s="20">
        <v>-1.34148601786235</v>
      </c>
      <c r="J4545" s="28">
        <v>0.17976270636512201</v>
      </c>
      <c r="K4545" s="29">
        <v>0.91428507446016105</v>
      </c>
    </row>
    <row r="4546" spans="1:11" x14ac:dyDescent="0.35">
      <c r="A4546" s="9" t="str">
        <f>HYPERLINK("http://www.ensembl.org/id/WBGene00010849", "WBGene00010849")</f>
        <v>WBGene00010849</v>
      </c>
      <c r="B4546" s="9" t="str">
        <f>HYPERLINK("http://www.ncbi.nlm.nih.gov/gene/3565562", "3565562")</f>
        <v>3565562</v>
      </c>
      <c r="C4546" s="9"/>
      <c r="D4546" t="str">
        <f>"M04B2.7"</f>
        <v>M04B2.7</v>
      </c>
      <c r="F4546" t="s">
        <v>11</v>
      </c>
      <c r="G4546" t="s">
        <v>25</v>
      </c>
      <c r="H4546" s="12">
        <v>1.5400856445481801</v>
      </c>
      <c r="I4546" s="20">
        <v>1.34124463507887</v>
      </c>
      <c r="J4546" s="28">
        <v>0.17984103883217001</v>
      </c>
      <c r="K4546" s="29">
        <v>0.91448218381516699</v>
      </c>
    </row>
    <row r="4547" spans="1:11" x14ac:dyDescent="0.35">
      <c r="A4547" s="9" t="str">
        <f>HYPERLINK("http://www.ensembl.org/id/WBGene00194794", "WBGene00194794")</f>
        <v>WBGene00194794</v>
      </c>
      <c r="B4547" s="9"/>
      <c r="C4547" s="9"/>
      <c r="D4547" t="str">
        <f>"F45B8.5"</f>
        <v>F45B8.5</v>
      </c>
      <c r="F4547" t="s">
        <v>80</v>
      </c>
      <c r="H4547" s="12">
        <v>-1.63593262254885</v>
      </c>
      <c r="I4547" s="20">
        <v>-1.3409069700666001</v>
      </c>
      <c r="J4547" s="28">
        <v>0.17995065893887999</v>
      </c>
      <c r="K4547" s="29">
        <v>0.91463702715393103</v>
      </c>
    </row>
    <row r="4548" spans="1:11" x14ac:dyDescent="0.35">
      <c r="A4548" s="9" t="str">
        <f>HYPERLINK("http://www.ensembl.org/id/WBGene00017928", "WBGene00017928")</f>
        <v>WBGene00017928</v>
      </c>
      <c r="B4548" s="9" t="str">
        <f>HYPERLINK("http://www.ncbi.nlm.nih.gov/gene/176826", "176826")</f>
        <v>176826</v>
      </c>
      <c r="C4548" s="9"/>
      <c r="D4548" t="str">
        <f>"tut-1"</f>
        <v>tut-1</v>
      </c>
      <c r="E4548" t="s">
        <v>3611</v>
      </c>
      <c r="F4548" t="s">
        <v>11</v>
      </c>
      <c r="G4548" t="s">
        <v>3612</v>
      </c>
      <c r="H4548" s="12">
        <v>-1.3225169253292699</v>
      </c>
      <c r="I4548" s="20">
        <v>-1.3410048594367601</v>
      </c>
      <c r="J4548" s="28">
        <v>0.17991887486859001</v>
      </c>
      <c r="K4548" s="29">
        <v>0.91463702715393103</v>
      </c>
    </row>
    <row r="4549" spans="1:11" x14ac:dyDescent="0.35">
      <c r="A4549" s="9" t="str">
        <f>HYPERLINK("http://www.ensembl.org/id/WBGene00009325", "WBGene00009325")</f>
        <v>WBGene00009325</v>
      </c>
      <c r="B4549" s="9" t="str">
        <f>HYPERLINK("http://www.ncbi.nlm.nih.gov/gene/6418737", "6418737")</f>
        <v>6418737</v>
      </c>
      <c r="C4549" s="9"/>
      <c r="D4549" t="str">
        <f>"F32D8.15"</f>
        <v>F32D8.15</v>
      </c>
      <c r="F4549" t="s">
        <v>11</v>
      </c>
      <c r="G4549" t="s">
        <v>3613</v>
      </c>
      <c r="H4549" s="12">
        <v>1.51170154827259</v>
      </c>
      <c r="I4549" s="20">
        <v>1.3406878715577</v>
      </c>
      <c r="J4549" s="28">
        <v>0.180021813983852</v>
      </c>
      <c r="K4549" s="29">
        <v>0.91479745632524201</v>
      </c>
    </row>
    <row r="4550" spans="1:11" x14ac:dyDescent="0.35">
      <c r="A4550" s="9" t="str">
        <f>HYPERLINK("http://www.ensembl.org/id/WBGene00001162", "WBGene00001162")</f>
        <v>WBGene00001162</v>
      </c>
      <c r="B4550" s="9" t="str">
        <f>HYPERLINK("http://www.ncbi.nlm.nih.gov/gene/174980", "174980")</f>
        <v>174980</v>
      </c>
      <c r="C4550" s="9"/>
      <c r="D4550" t="str">
        <f>"efl-2"</f>
        <v>efl-2</v>
      </c>
      <c r="E4550" t="s">
        <v>3614</v>
      </c>
      <c r="F4550" t="s">
        <v>11</v>
      </c>
      <c r="G4550" t="s">
        <v>3615</v>
      </c>
      <c r="H4550" s="12">
        <v>-1.3895062962936799</v>
      </c>
      <c r="I4550" s="20">
        <v>-1.3401428970960001</v>
      </c>
      <c r="J4550" s="28">
        <v>0.180198892085984</v>
      </c>
      <c r="K4550" s="29">
        <v>0.91549595438406794</v>
      </c>
    </row>
    <row r="4551" spans="1:11" x14ac:dyDescent="0.35">
      <c r="A4551" s="9" t="str">
        <f>HYPERLINK("http://www.ensembl.org/id/WBGene00018426", "WBGene00018426")</f>
        <v>WBGene00018426</v>
      </c>
      <c r="B4551" s="9" t="str">
        <f>HYPERLINK("http://www.ncbi.nlm.nih.gov/gene/178966", "178966")</f>
        <v>178966</v>
      </c>
      <c r="C4551" s="9" t="str">
        <f>HYPERLINK("http://www.ncbi.nlm.nih.gov/gene/3416", "3416")</f>
        <v>3416</v>
      </c>
      <c r="D4551" t="str">
        <f>"F44E7.4"</f>
        <v>F44E7.4</v>
      </c>
      <c r="F4551" t="s">
        <v>11</v>
      </c>
      <c r="G4551" t="s">
        <v>1258</v>
      </c>
      <c r="H4551" s="12">
        <v>-1.2832618523556101</v>
      </c>
      <c r="I4551" s="20">
        <v>-1.3399231545441599</v>
      </c>
      <c r="J4551" s="28">
        <v>0.18027032944985899</v>
      </c>
      <c r="K4551" s="29">
        <v>0.91565755820366102</v>
      </c>
    </row>
    <row r="4552" spans="1:11" x14ac:dyDescent="0.35">
      <c r="A4552" s="9" t="str">
        <f>HYPERLINK("http://www.ensembl.org/id/WBGene00012993", "WBGene00012993")</f>
        <v>WBGene00012993</v>
      </c>
      <c r="B4552" s="9" t="str">
        <f>HYPERLINK("http://www.ncbi.nlm.nih.gov/gene/190021", "190021")</f>
        <v>190021</v>
      </c>
      <c r="C4552" s="9"/>
      <c r="D4552" t="str">
        <f>"dmsr-3"</f>
        <v>dmsr-3</v>
      </c>
      <c r="E4552" t="s">
        <v>996</v>
      </c>
      <c r="F4552" t="s">
        <v>11</v>
      </c>
      <c r="G4552" t="s">
        <v>1780</v>
      </c>
      <c r="H4552" s="12">
        <v>1.60989211733419</v>
      </c>
      <c r="I4552" s="20">
        <v>1.3396576720259701</v>
      </c>
      <c r="J4552" s="28">
        <v>0.180356664742511</v>
      </c>
      <c r="K4552" s="29">
        <v>0.91570986992525805</v>
      </c>
    </row>
    <row r="4553" spans="1:11" x14ac:dyDescent="0.35">
      <c r="A4553" s="9" t="str">
        <f>HYPERLINK("http://www.ensembl.org/id/WBGene00018307", "WBGene00018307")</f>
        <v>WBGene00018307</v>
      </c>
      <c r="B4553" s="9" t="str">
        <f>HYPERLINK("http://www.ncbi.nlm.nih.gov/gene/185634", "185634")</f>
        <v>185634</v>
      </c>
      <c r="C4553" s="9"/>
      <c r="D4553" t="str">
        <f>"dyla-1"</f>
        <v>dyla-1</v>
      </c>
      <c r="E4553" t="s">
        <v>3616</v>
      </c>
      <c r="F4553" t="s">
        <v>11</v>
      </c>
      <c r="G4553" t="s">
        <v>3617</v>
      </c>
      <c r="H4553" s="12">
        <v>1.95352907122416</v>
      </c>
      <c r="I4553" s="20">
        <v>1.3393952423544799</v>
      </c>
      <c r="J4553" s="28">
        <v>0.180442037428451</v>
      </c>
      <c r="K4553" s="29">
        <v>0.91570986992525805</v>
      </c>
    </row>
    <row r="4554" spans="1:11" x14ac:dyDescent="0.35">
      <c r="A4554" s="9" t="str">
        <f>HYPERLINK("http://www.ensembl.org/id/WBGene00009729", "WBGene00009729")</f>
        <v>WBGene00009729</v>
      </c>
      <c r="B4554" s="9" t="str">
        <f>HYPERLINK("http://www.ncbi.nlm.nih.gov/gene/185801", "185801")</f>
        <v>185801</v>
      </c>
      <c r="C4554" s="9"/>
      <c r="D4554" t="str">
        <f>"F45E10.2"</f>
        <v>F45E10.2</v>
      </c>
      <c r="F4554" t="s">
        <v>11</v>
      </c>
      <c r="G4554" t="s">
        <v>230</v>
      </c>
      <c r="H4554" s="12">
        <v>-1.3925334737136701</v>
      </c>
      <c r="I4554" s="20">
        <v>-1.3392522090210499</v>
      </c>
      <c r="J4554" s="28">
        <v>0.180488581159855</v>
      </c>
      <c r="K4554" s="29">
        <v>0.91570986992525805</v>
      </c>
    </row>
    <row r="4555" spans="1:11" x14ac:dyDescent="0.35">
      <c r="A4555" s="9" t="str">
        <f>HYPERLINK("http://www.ensembl.org/id/WBGene00001759", "WBGene00001759")</f>
        <v>WBGene00001759</v>
      </c>
      <c r="B4555" s="9" t="str">
        <f>HYPERLINK("http://www.ncbi.nlm.nih.gov/gene/187817", "187817")</f>
        <v>187817</v>
      </c>
      <c r="C4555" s="9" t="str">
        <f>HYPERLINK("http://www.ncbi.nlm.nih.gov/gene/27306", "27306")</f>
        <v>27306</v>
      </c>
      <c r="D4555" t="str">
        <f>"gst-11"</f>
        <v>gst-11</v>
      </c>
      <c r="E4555" t="s">
        <v>272</v>
      </c>
      <c r="F4555" t="s">
        <v>11</v>
      </c>
      <c r="G4555" t="s">
        <v>876</v>
      </c>
      <c r="H4555" s="12">
        <v>1.58772651133706</v>
      </c>
      <c r="I4555" s="20">
        <v>1.33951064664631</v>
      </c>
      <c r="J4555" s="28">
        <v>0.18040449081836599</v>
      </c>
      <c r="K4555" s="29">
        <v>0.91570986992525805</v>
      </c>
    </row>
    <row r="4556" spans="1:11" x14ac:dyDescent="0.35">
      <c r="A4556" s="9" t="str">
        <f>HYPERLINK("http://www.ensembl.org/id/WBGene00019672", "WBGene00019672")</f>
        <v>WBGene00019672</v>
      </c>
      <c r="B4556" s="9"/>
      <c r="C4556" s="9"/>
      <c r="D4556" t="str">
        <f>"K12B6.8"</f>
        <v>K12B6.8</v>
      </c>
      <c r="F4556" t="s">
        <v>80</v>
      </c>
      <c r="H4556" s="12">
        <v>-1.4143896684330299</v>
      </c>
      <c r="I4556" s="20">
        <v>-1.33903879366073</v>
      </c>
      <c r="J4556" s="28">
        <v>0.18055804411752199</v>
      </c>
      <c r="K4556" s="29">
        <v>0.91570986992525805</v>
      </c>
    </row>
    <row r="4557" spans="1:11" x14ac:dyDescent="0.35">
      <c r="A4557" s="9" t="str">
        <f>HYPERLINK("http://www.ensembl.org/id/WBGene00003616", "WBGene00003616")</f>
        <v>WBGene00003616</v>
      </c>
      <c r="B4557" s="9" t="str">
        <f>HYPERLINK("http://www.ncbi.nlm.nih.gov/gene/191719", "191719")</f>
        <v>191719</v>
      </c>
      <c r="C4557" s="9"/>
      <c r="D4557" t="str">
        <f>"nhr-17"</f>
        <v>nhr-17</v>
      </c>
      <c r="E4557" t="s">
        <v>637</v>
      </c>
      <c r="F4557" t="s">
        <v>11</v>
      </c>
      <c r="G4557" t="s">
        <v>3618</v>
      </c>
      <c r="H4557" s="12">
        <v>1.2796374781041799</v>
      </c>
      <c r="I4557" s="20">
        <v>1.3394739931584101</v>
      </c>
      <c r="J4557" s="28">
        <v>0.180416415345724</v>
      </c>
      <c r="K4557" s="29">
        <v>0.91570986992525805</v>
      </c>
    </row>
    <row r="4558" spans="1:11" x14ac:dyDescent="0.35">
      <c r="A4558" s="9" t="str">
        <f>HYPERLINK("http://www.ensembl.org/id/WBGene00018632", "WBGene00018632")</f>
        <v>WBGene00018632</v>
      </c>
      <c r="B4558" s="9"/>
      <c r="C4558" s="9"/>
      <c r="D4558" t="str">
        <f>"tag-296"</f>
        <v>tag-296</v>
      </c>
      <c r="F4558" t="s">
        <v>11</v>
      </c>
      <c r="G4558" t="s">
        <v>3619</v>
      </c>
      <c r="H4558" s="12">
        <v>-1.28353547259513</v>
      </c>
      <c r="I4558" s="20">
        <v>-1.33912240349668</v>
      </c>
      <c r="J4558" s="28">
        <v>0.18053082821671801</v>
      </c>
      <c r="K4558" s="29">
        <v>0.91570986992525805</v>
      </c>
    </row>
    <row r="4559" spans="1:11" x14ac:dyDescent="0.35">
      <c r="A4559" s="9" t="str">
        <f>HYPERLINK("http://www.ensembl.org/id/WBGene00219813", "WBGene00219813")</f>
        <v>WBGene00219813</v>
      </c>
      <c r="B4559" s="9"/>
      <c r="C4559" s="9"/>
      <c r="D4559" t="str">
        <f>"C14A11.13"</f>
        <v>C14A11.13</v>
      </c>
      <c r="F4559" t="s">
        <v>481</v>
      </c>
      <c r="H4559" s="12">
        <v>-9.9706157004782892</v>
      </c>
      <c r="I4559" s="20">
        <v>-1.3381866595624199</v>
      </c>
      <c r="J4559" s="28">
        <v>0.18083559674456701</v>
      </c>
      <c r="K4559" s="29">
        <v>0.91591128855325799</v>
      </c>
    </row>
    <row r="4560" spans="1:11" x14ac:dyDescent="0.35">
      <c r="A4560" s="9" t="str">
        <f>HYPERLINK("http://www.ensembl.org/id/WBGene00000481", "WBGene00000481")</f>
        <v>WBGene00000481</v>
      </c>
      <c r="B4560" s="9" t="str">
        <f>HYPERLINK("http://www.ncbi.nlm.nih.gov/gene/24105307", "24105307")</f>
        <v>24105307</v>
      </c>
      <c r="C4560" s="9"/>
      <c r="D4560" t="str">
        <f>"cha-1"</f>
        <v>cha-1</v>
      </c>
      <c r="E4560" t="s">
        <v>3623</v>
      </c>
      <c r="F4560" t="s">
        <v>11</v>
      </c>
      <c r="G4560" t="s">
        <v>3624</v>
      </c>
      <c r="H4560" s="12">
        <v>1.3712713601142501</v>
      </c>
      <c r="I4560" s="20">
        <v>1.33822328350013</v>
      </c>
      <c r="J4560" s="28">
        <v>0.18082366127697999</v>
      </c>
      <c r="K4560" s="29">
        <v>0.91591128855325799</v>
      </c>
    </row>
    <row r="4561" spans="1:11" x14ac:dyDescent="0.35">
      <c r="A4561" s="9" t="str">
        <f>HYPERLINK("http://www.ensembl.org/id/WBGene00018153", "WBGene00018153")</f>
        <v>WBGene00018153</v>
      </c>
      <c r="B4561" s="9" t="str">
        <f>HYPERLINK("http://www.ncbi.nlm.nih.gov/gene/185422", "185422")</f>
        <v>185422</v>
      </c>
      <c r="C4561" s="9"/>
      <c r="D4561" t="str">
        <f>"F37C12.10"</f>
        <v>F37C12.10</v>
      </c>
      <c r="F4561" t="s">
        <v>11</v>
      </c>
      <c r="H4561" s="12">
        <v>-1.8492561760786299</v>
      </c>
      <c r="I4561" s="20">
        <v>-1.3382477413459799</v>
      </c>
      <c r="J4561" s="28">
        <v>0.18081569097356101</v>
      </c>
      <c r="K4561" s="29">
        <v>0.91591128855325799</v>
      </c>
    </row>
    <row r="4562" spans="1:11" x14ac:dyDescent="0.35">
      <c r="A4562" s="9" t="str">
        <f>HYPERLINK("http://www.ensembl.org/id/WBGene00018042", "WBGene00018042")</f>
        <v>WBGene00018042</v>
      </c>
      <c r="B4562" s="9" t="str">
        <f>HYPERLINK("http://www.ncbi.nlm.nih.gov/gene/185278", "185278")</f>
        <v>185278</v>
      </c>
      <c r="C4562" s="9" t="str">
        <f>HYPERLINK("http://www.ncbi.nlm.nih.gov/gene/91147", "91147")</f>
        <v>91147</v>
      </c>
      <c r="D4562" t="str">
        <f>"mks-3"</f>
        <v>mks-3</v>
      </c>
      <c r="E4562" t="s">
        <v>2590</v>
      </c>
      <c r="F4562" t="s">
        <v>11</v>
      </c>
      <c r="G4562" t="s">
        <v>3620</v>
      </c>
      <c r="H4562" s="12">
        <v>1.9372525491130199</v>
      </c>
      <c r="I4562" s="20">
        <v>1.33849553951809</v>
      </c>
      <c r="J4562" s="28">
        <v>0.18073495341165599</v>
      </c>
      <c r="K4562" s="29">
        <v>0.91591128855325799</v>
      </c>
    </row>
    <row r="4563" spans="1:11" x14ac:dyDescent="0.35">
      <c r="A4563" s="9" t="str">
        <f>HYPERLINK("http://www.ensembl.org/id/WBGene00006566", "WBGene00006566")</f>
        <v>WBGene00006566</v>
      </c>
      <c r="B4563" s="9" t="str">
        <f>HYPERLINK("http://www.ncbi.nlm.nih.gov/gene/178131", "178131")</f>
        <v>178131</v>
      </c>
      <c r="C4563" s="9" t="str">
        <f>HYPERLINK("http://www.ncbi.nlm.nih.gov/gene/81890", "81890")</f>
        <v>81890</v>
      </c>
      <c r="D4563" t="str">
        <f>"tgt-1"</f>
        <v>tgt-1</v>
      </c>
      <c r="E4563" t="s">
        <v>3625</v>
      </c>
      <c r="F4563" t="s">
        <v>11</v>
      </c>
      <c r="G4563" t="s">
        <v>3626</v>
      </c>
      <c r="H4563" s="12">
        <v>-1.3670003731815801</v>
      </c>
      <c r="I4563" s="20">
        <v>-1.3384997508627301</v>
      </c>
      <c r="J4563" s="28">
        <v>0.180733581503393</v>
      </c>
      <c r="K4563" s="29">
        <v>0.91591128855325799</v>
      </c>
    </row>
    <row r="4564" spans="1:11" x14ac:dyDescent="0.35">
      <c r="A4564" s="9" t="str">
        <f>HYPERLINK("http://www.ensembl.org/id/WBGene00006616", "WBGene00006616")</f>
        <v>WBGene00006616</v>
      </c>
      <c r="B4564" s="9" t="str">
        <f>HYPERLINK("http://www.ncbi.nlm.nih.gov/gene/190574", "190574")</f>
        <v>190574</v>
      </c>
      <c r="C4564" s="9"/>
      <c r="D4564" t="str">
        <f>"trp-4"</f>
        <v>trp-4</v>
      </c>
      <c r="E4564" t="s">
        <v>3621</v>
      </c>
      <c r="F4564" t="s">
        <v>11</v>
      </c>
      <c r="G4564" t="s">
        <v>3622</v>
      </c>
      <c r="H4564" s="12">
        <v>1.7681171220838501</v>
      </c>
      <c r="I4564" s="20">
        <v>1.3387163906166899</v>
      </c>
      <c r="J4564" s="28">
        <v>0.18066301830640899</v>
      </c>
      <c r="K4564" s="29">
        <v>0.91591128855325799</v>
      </c>
    </row>
    <row r="4565" spans="1:11" x14ac:dyDescent="0.35">
      <c r="A4565" s="9" t="str">
        <f>HYPERLINK("http://www.ensembl.org/id/WBGene00016577", "WBGene00016577")</f>
        <v>WBGene00016577</v>
      </c>
      <c r="B4565" s="9" t="str">
        <f>HYPERLINK("http://www.ncbi.nlm.nih.gov/gene/183396", "183396")</f>
        <v>183396</v>
      </c>
      <c r="C4565" s="9"/>
      <c r="D4565" t="str">
        <f>"clec-3"</f>
        <v>clec-3</v>
      </c>
      <c r="E4565" t="s">
        <v>46</v>
      </c>
      <c r="F4565" t="s">
        <v>11</v>
      </c>
      <c r="G4565" t="s">
        <v>47</v>
      </c>
      <c r="H4565" s="12">
        <v>1.89956759093614</v>
      </c>
      <c r="I4565" s="20">
        <v>1.3380412786729901</v>
      </c>
      <c r="J4565" s="28">
        <v>0.18088298105985801</v>
      </c>
      <c r="K4565" s="29">
        <v>0.91595050632677799</v>
      </c>
    </row>
    <row r="4566" spans="1:11" x14ac:dyDescent="0.35">
      <c r="A4566" s="9" t="str">
        <f>HYPERLINK("http://www.ensembl.org/id/WBGene00002112", "WBGene00002112")</f>
        <v>WBGene00002112</v>
      </c>
      <c r="B4566" s="9" t="str">
        <f>HYPERLINK("http://www.ncbi.nlm.nih.gov/gene/3565850", "3565850")</f>
        <v>3565850</v>
      </c>
      <c r="C4566" s="9"/>
      <c r="D4566" t="str">
        <f>"ins-29"</f>
        <v>ins-29</v>
      </c>
      <c r="E4566" t="s">
        <v>12</v>
      </c>
      <c r="F4566" t="s">
        <v>11</v>
      </c>
      <c r="G4566" t="s">
        <v>13</v>
      </c>
      <c r="H4566" s="12">
        <v>1.6300304148010301</v>
      </c>
      <c r="I4566" s="20">
        <v>1.33752075523514</v>
      </c>
      <c r="J4566" s="28">
        <v>0.18105271201187001</v>
      </c>
      <c r="K4566" s="29">
        <v>0.91645777395336303</v>
      </c>
    </row>
    <row r="4567" spans="1:11" x14ac:dyDescent="0.35">
      <c r="A4567" s="9" t="str">
        <f>HYPERLINK("http://www.ensembl.org/id/WBGene00019643", "WBGene00019643")</f>
        <v>WBGene00019643</v>
      </c>
      <c r="B4567" s="9" t="str">
        <f>HYPERLINK("http://www.ncbi.nlm.nih.gov/gene/187288", "187288")</f>
        <v>187288</v>
      </c>
      <c r="C4567" s="9" t="str">
        <f>HYPERLINK("http://www.ncbi.nlm.nih.gov/gene/85315", "85315")</f>
        <v>85315</v>
      </c>
      <c r="D4567" t="str">
        <f>"K11C4.2"</f>
        <v>K11C4.2</v>
      </c>
      <c r="F4567" t="s">
        <v>11</v>
      </c>
      <c r="G4567" t="s">
        <v>3627</v>
      </c>
      <c r="H4567" s="12">
        <v>1.3571323713483401</v>
      </c>
      <c r="I4567" s="20">
        <v>1.3373007840031801</v>
      </c>
      <c r="J4567" s="28">
        <v>0.18112447519965</v>
      </c>
      <c r="K4567" s="29">
        <v>0.91645777395336303</v>
      </c>
    </row>
    <row r="4568" spans="1:11" x14ac:dyDescent="0.35">
      <c r="A4568" s="9" t="str">
        <f>HYPERLINK("http://www.ensembl.org/id/WBGene00016115", "WBGene00016115")</f>
        <v>WBGene00016115</v>
      </c>
      <c r="B4568" s="9" t="str">
        <f>HYPERLINK("http://www.ncbi.nlm.nih.gov/gene/173960", "173960")</f>
        <v>173960</v>
      </c>
      <c r="C4568" s="9"/>
      <c r="D4568" t="str">
        <f>"mdt-26"</f>
        <v>mdt-26</v>
      </c>
      <c r="E4568" t="s">
        <v>3629</v>
      </c>
      <c r="F4568" t="s">
        <v>11</v>
      </c>
      <c r="G4568" t="s">
        <v>228</v>
      </c>
      <c r="H4568" s="12">
        <v>-1.28369456578088</v>
      </c>
      <c r="I4568" s="20">
        <v>-1.3373764062648601</v>
      </c>
      <c r="J4568" s="28">
        <v>0.18109980188959199</v>
      </c>
      <c r="K4568" s="29">
        <v>0.91645777395336303</v>
      </c>
    </row>
    <row r="4569" spans="1:11" x14ac:dyDescent="0.35">
      <c r="A4569" s="9" t="str">
        <f>HYPERLINK("http://www.ensembl.org/id/WBGene00003687", "WBGene00003687")</f>
        <v>WBGene00003687</v>
      </c>
      <c r="B4569" s="9" t="str">
        <f>HYPERLINK("http://www.ncbi.nlm.nih.gov/gene/177810", "177810")</f>
        <v>177810</v>
      </c>
      <c r="C4569" s="9"/>
      <c r="D4569" t="str">
        <f>"nhr-97"</f>
        <v>nhr-97</v>
      </c>
      <c r="E4569" t="s">
        <v>3628</v>
      </c>
      <c r="F4569" t="s">
        <v>11</v>
      </c>
      <c r="G4569" t="s">
        <v>852</v>
      </c>
      <c r="H4569" s="12">
        <v>1.27806163759472</v>
      </c>
      <c r="I4569" s="20">
        <v>1.33724765951057</v>
      </c>
      <c r="J4569" s="28">
        <v>0.181141809644465</v>
      </c>
      <c r="K4569" s="29">
        <v>0.91645777395336303</v>
      </c>
    </row>
    <row r="4570" spans="1:11" x14ac:dyDescent="0.35">
      <c r="A4570" s="9" t="str">
        <f>HYPERLINK("http://www.ensembl.org/id/WBGene00016895", "WBGene00016895")</f>
        <v>WBGene00016895</v>
      </c>
      <c r="B4570" s="9" t="str">
        <f>HYPERLINK("http://www.ncbi.nlm.nih.gov/gene/183745", "183745")</f>
        <v>183745</v>
      </c>
      <c r="C4570" s="9"/>
      <c r="D4570" t="str">
        <f>"C53B7.6"</f>
        <v>C53B7.6</v>
      </c>
      <c r="F4570" t="s">
        <v>11</v>
      </c>
      <c r="H4570" s="12">
        <v>2.2639780517123902</v>
      </c>
      <c r="I4570" s="20">
        <v>1.3367835286245</v>
      </c>
      <c r="J4570" s="28">
        <v>0.18129330726208101</v>
      </c>
      <c r="K4570" s="29">
        <v>0.91702345831822096</v>
      </c>
    </row>
    <row r="4571" spans="1:11" x14ac:dyDescent="0.35">
      <c r="A4571" s="9" t="str">
        <f>HYPERLINK("http://www.ensembl.org/id/WBGene00020456", "WBGene00020456")</f>
        <v>WBGene00020456</v>
      </c>
      <c r="B4571" s="9" t="str">
        <f>HYPERLINK("http://www.ncbi.nlm.nih.gov/gene/188448", "188448")</f>
        <v>188448</v>
      </c>
      <c r="C4571" s="9"/>
      <c r="D4571" t="str">
        <f>"fbxa-60"</f>
        <v>fbxa-60</v>
      </c>
      <c r="E4571" t="s">
        <v>467</v>
      </c>
      <c r="F4571" t="s">
        <v>11</v>
      </c>
      <c r="G4571" t="s">
        <v>2543</v>
      </c>
      <c r="H4571" s="12">
        <v>1.3594526706983501</v>
      </c>
      <c r="I4571" s="20">
        <v>1.33653061870569</v>
      </c>
      <c r="J4571" s="28">
        <v>0.181375899520828</v>
      </c>
      <c r="K4571" s="29">
        <v>0.91724043211386597</v>
      </c>
    </row>
    <row r="4572" spans="1:11" x14ac:dyDescent="0.35">
      <c r="A4572" s="9" t="str">
        <f>HYPERLINK("http://www.ensembl.org/id/WBGene00017852", "WBGene00017852")</f>
        <v>WBGene00017852</v>
      </c>
      <c r="B4572" s="9" t="str">
        <f>HYPERLINK("http://www.ncbi.nlm.nih.gov/gene/172196", "172196")</f>
        <v>172196</v>
      </c>
      <c r="C4572" s="9"/>
      <c r="D4572" t="str">
        <f>"F27C1.2"</f>
        <v>F27C1.2</v>
      </c>
      <c r="F4572" t="s">
        <v>11</v>
      </c>
      <c r="G4572" t="s">
        <v>2090</v>
      </c>
      <c r="H4572" s="12">
        <v>-1.2988902154917501</v>
      </c>
      <c r="I4572" s="20">
        <v>-1.3362990659777201</v>
      </c>
      <c r="J4572" s="28">
        <v>0.181451541692039</v>
      </c>
      <c r="K4572" s="29">
        <v>0.91742217118955205</v>
      </c>
    </row>
    <row r="4573" spans="1:11" x14ac:dyDescent="0.35">
      <c r="A4573" s="9" t="str">
        <f>HYPERLINK("http://www.ensembl.org/id/WBGene00018468", "WBGene00018468")</f>
        <v>WBGene00018468</v>
      </c>
      <c r="B4573" s="9" t="str">
        <f>HYPERLINK("http://www.ncbi.nlm.nih.gov/gene/177539", "177539")</f>
        <v>177539</v>
      </c>
      <c r="C4573" s="9"/>
      <c r="D4573" t="str">
        <f>"cla-1"</f>
        <v>cla-1</v>
      </c>
      <c r="E4573" t="s">
        <v>3630</v>
      </c>
      <c r="F4573" t="s">
        <v>11</v>
      </c>
      <c r="G4573" t="s">
        <v>3631</v>
      </c>
      <c r="H4573" s="12">
        <v>1.36213542844888</v>
      </c>
      <c r="I4573" s="20">
        <v>1.33580088160917</v>
      </c>
      <c r="J4573" s="28">
        <v>0.18161436475626899</v>
      </c>
      <c r="K4573" s="29">
        <v>0.91772621786133601</v>
      </c>
    </row>
    <row r="4574" spans="1:11" x14ac:dyDescent="0.35">
      <c r="A4574" s="9" t="str">
        <f>HYPERLINK("http://www.ensembl.org/id/WBGene00017338", "WBGene00017338")</f>
        <v>WBGene00017338</v>
      </c>
      <c r="B4574" s="9" t="str">
        <f>HYPERLINK("http://www.ncbi.nlm.nih.gov/gene/184296", "184296")</f>
        <v>184296</v>
      </c>
      <c r="C4574" s="9"/>
      <c r="D4574" t="str">
        <f>"F10D7.1"</f>
        <v>F10D7.1</v>
      </c>
      <c r="F4574" t="s">
        <v>11</v>
      </c>
      <c r="G4574" t="s">
        <v>1089</v>
      </c>
      <c r="H4574" s="12">
        <v>1.5148100858468401</v>
      </c>
      <c r="I4574" s="20">
        <v>1.33580193429728</v>
      </c>
      <c r="J4574" s="28">
        <v>0.18161402058885001</v>
      </c>
      <c r="K4574" s="29">
        <v>0.91772621786133601</v>
      </c>
    </row>
    <row r="4575" spans="1:11" x14ac:dyDescent="0.35">
      <c r="A4575" s="9" t="str">
        <f>HYPERLINK("http://www.ensembl.org/id/WBGene00219748", "WBGene00219748")</f>
        <v>WBGene00219748</v>
      </c>
      <c r="B4575" s="9"/>
      <c r="C4575" s="9"/>
      <c r="D4575" t="str">
        <f>"linc-46"</f>
        <v>linc-46</v>
      </c>
      <c r="F4575" t="s">
        <v>1510</v>
      </c>
      <c r="H4575" s="12">
        <v>-1.68380203852795</v>
      </c>
      <c r="I4575" s="20">
        <v>-1.33575051709515</v>
      </c>
      <c r="J4575" s="28">
        <v>0.181630831571016</v>
      </c>
      <c r="K4575" s="29">
        <v>0.91772621786133601</v>
      </c>
    </row>
    <row r="4576" spans="1:11" x14ac:dyDescent="0.35">
      <c r="A4576" s="9" t="str">
        <f>HYPERLINK("http://www.ensembl.org/id/WBGene00020574", "WBGene00020574")</f>
        <v>WBGene00020574</v>
      </c>
      <c r="B4576" s="9" t="str">
        <f>HYPERLINK("http://www.ncbi.nlm.nih.gov/gene/188606", "188606")</f>
        <v>188606</v>
      </c>
      <c r="C4576" s="9"/>
      <c r="D4576" t="str">
        <f>"T19D7.6"</f>
        <v>T19D7.6</v>
      </c>
      <c r="F4576" t="s">
        <v>11</v>
      </c>
      <c r="H4576" s="12">
        <v>-1.5640513262821101</v>
      </c>
      <c r="I4576" s="20">
        <v>-1.33552107265806</v>
      </c>
      <c r="J4576" s="28">
        <v>0.181705863073375</v>
      </c>
      <c r="K4576" s="29">
        <v>0.91790460694652598</v>
      </c>
    </row>
    <row r="4577" spans="1:11" x14ac:dyDescent="0.35">
      <c r="A4577" s="9" t="str">
        <f>HYPERLINK("http://www.ensembl.org/id/WBGene00008505", "WBGene00008505")</f>
        <v>WBGene00008505</v>
      </c>
      <c r="B4577" s="9" t="str">
        <f>HYPERLINK("http://www.ncbi.nlm.nih.gov/gene/178020", "178020")</f>
        <v>178020</v>
      </c>
      <c r="C4577" s="9" t="str">
        <f>HYPERLINK("http://www.ncbi.nlm.nih.gov/gene/5250", "5250")</f>
        <v>5250</v>
      </c>
      <c r="D4577" t="str">
        <f>"F01G4.6"</f>
        <v>F01G4.6</v>
      </c>
      <c r="E4577" t="s">
        <v>3632</v>
      </c>
      <c r="F4577" t="s">
        <v>11</v>
      </c>
      <c r="G4577" t="s">
        <v>3633</v>
      </c>
      <c r="H4577" s="12">
        <v>-1.2706470917852499</v>
      </c>
      <c r="I4577" s="20">
        <v>-1.33539394257486</v>
      </c>
      <c r="J4577" s="28">
        <v>0.181747446267985</v>
      </c>
      <c r="K4577" s="29">
        <v>0.91791398764329302</v>
      </c>
    </row>
    <row r="4578" spans="1:11" x14ac:dyDescent="0.35">
      <c r="A4578" s="9" t="str">
        <f>HYPERLINK("http://www.ensembl.org/id/WBGene00023415", "WBGene00023415")</f>
        <v>WBGene00023415</v>
      </c>
      <c r="B4578" s="9" t="str">
        <f>HYPERLINK("http://www.ncbi.nlm.nih.gov/gene/3565329", "3565329")</f>
        <v>3565329</v>
      </c>
      <c r="C4578" s="9"/>
      <c r="D4578" t="str">
        <f>"F16C3.3"</f>
        <v>F16C3.3</v>
      </c>
      <c r="F4578" t="s">
        <v>11</v>
      </c>
      <c r="H4578" s="12">
        <v>1.84300019180956</v>
      </c>
      <c r="I4578" s="20">
        <v>1.3348264202129101</v>
      </c>
      <c r="J4578" s="28">
        <v>0.18193316423424699</v>
      </c>
      <c r="K4578" s="29">
        <v>0.918651156642594</v>
      </c>
    </row>
    <row r="4579" spans="1:11" x14ac:dyDescent="0.35">
      <c r="A4579" s="9" t="str">
        <f>HYPERLINK("http://www.ensembl.org/id/WBGene00016418", "WBGene00016418")</f>
        <v>WBGene00016418</v>
      </c>
      <c r="B4579" s="9" t="str">
        <f>HYPERLINK("http://www.ncbi.nlm.nih.gov/gene/24104280", "24104280")</f>
        <v>24104280</v>
      </c>
      <c r="C4579" s="9"/>
      <c r="D4579" t="str">
        <f>"hpo-27"</f>
        <v>hpo-27</v>
      </c>
      <c r="F4579" t="s">
        <v>11</v>
      </c>
      <c r="H4579" s="12">
        <v>-1.28500871680859</v>
      </c>
      <c r="I4579" s="20">
        <v>-1.33443084645264</v>
      </c>
      <c r="J4579" s="28">
        <v>0.18206269638602299</v>
      </c>
      <c r="K4579" s="29">
        <v>0.91887766780154301</v>
      </c>
    </row>
    <row r="4580" spans="1:11" x14ac:dyDescent="0.35">
      <c r="A4580" s="9" t="str">
        <f>HYPERLINK("http://www.ensembl.org/id/WBGene00020158", "WBGene00020158")</f>
        <v>WBGene00020158</v>
      </c>
      <c r="B4580" s="9" t="str">
        <f>HYPERLINK("http://www.ncbi.nlm.nih.gov/gene/180568", "180568")</f>
        <v>180568</v>
      </c>
      <c r="C4580" s="9"/>
      <c r="D4580" t="str">
        <f>"T02C5.1"</f>
        <v>T02C5.1</v>
      </c>
      <c r="F4580" t="s">
        <v>11</v>
      </c>
      <c r="G4580" t="s">
        <v>417</v>
      </c>
      <c r="H4580" s="12">
        <v>-1.28137627310893</v>
      </c>
      <c r="I4580" s="20">
        <v>-1.3343251241632601</v>
      </c>
      <c r="J4580" s="28">
        <v>0.18209732713854701</v>
      </c>
      <c r="K4580" s="29">
        <v>0.91887766780154301</v>
      </c>
    </row>
    <row r="4581" spans="1:11" x14ac:dyDescent="0.35">
      <c r="A4581" s="9" t="str">
        <f>HYPERLINK("http://www.ensembl.org/id/WBGene00022664", "WBGene00022664")</f>
        <v>WBGene00022664</v>
      </c>
      <c r="B4581" s="9" t="str">
        <f>HYPERLINK("http://www.ncbi.nlm.nih.gov/gene/175734", "175734")</f>
        <v>175734</v>
      </c>
      <c r="C4581" s="9"/>
      <c r="D4581" t="str">
        <f>"ZK121.2"</f>
        <v>ZK121.2</v>
      </c>
      <c r="F4581" t="s">
        <v>11</v>
      </c>
      <c r="G4581" t="s">
        <v>445</v>
      </c>
      <c r="H4581" s="12">
        <v>1.34077801716011</v>
      </c>
      <c r="I4581" s="20">
        <v>1.3344412256763201</v>
      </c>
      <c r="J4581" s="28">
        <v>0.18205929679558699</v>
      </c>
      <c r="K4581" s="29">
        <v>0.91887766780154301</v>
      </c>
    </row>
    <row r="4582" spans="1:11" x14ac:dyDescent="0.35">
      <c r="A4582" s="9" t="str">
        <f>HYPERLINK("http://www.ensembl.org/id/WBGene00009368", "WBGene00009368")</f>
        <v>WBGene00009368</v>
      </c>
      <c r="B4582" s="9" t="str">
        <f>HYPERLINK("http://www.ncbi.nlm.nih.gov/gene/173368", "173368")</f>
        <v>173368</v>
      </c>
      <c r="C4582" s="9" t="str">
        <f>HYPERLINK("http://www.ncbi.nlm.nih.gov/gene/5426", "5426")</f>
        <v>5426</v>
      </c>
      <c r="D4582" t="str">
        <f>"pole-1"</f>
        <v>pole-1</v>
      </c>
      <c r="E4582" t="s">
        <v>3634</v>
      </c>
      <c r="F4582" t="s">
        <v>11</v>
      </c>
      <c r="G4582" t="s">
        <v>3635</v>
      </c>
      <c r="H4582" s="12">
        <v>-1.3616844272787401</v>
      </c>
      <c r="I4582" s="20">
        <v>-1.33419421265404</v>
      </c>
      <c r="J4582" s="28">
        <v>0.182140215727951</v>
      </c>
      <c r="K4582" s="29">
        <v>0.91889341148690695</v>
      </c>
    </row>
    <row r="4583" spans="1:11" x14ac:dyDescent="0.35">
      <c r="A4583" s="9" t="str">
        <f>HYPERLINK("http://www.ensembl.org/id/WBGene00008506", "WBGene00008506")</f>
        <v>WBGene00008506</v>
      </c>
      <c r="B4583" s="9" t="str">
        <f>HYPERLINK("http://www.ncbi.nlm.nih.gov/gene/177906", "177906")</f>
        <v>177906</v>
      </c>
      <c r="C4583" s="9" t="str">
        <f>HYPERLINK("http://www.ncbi.nlm.nih.gov/gene/84076", "84076")</f>
        <v>84076</v>
      </c>
      <c r="D4583" t="str">
        <f>"tkt-1"</f>
        <v>tkt-1</v>
      </c>
      <c r="E4583" t="s">
        <v>3636</v>
      </c>
      <c r="F4583" t="s">
        <v>11</v>
      </c>
      <c r="G4583" t="s">
        <v>3637</v>
      </c>
      <c r="H4583" s="12">
        <v>-1.26849126161077</v>
      </c>
      <c r="I4583" s="20">
        <v>-1.3338950297926699</v>
      </c>
      <c r="J4583" s="28">
        <v>0.182238260681925</v>
      </c>
      <c r="K4583" s="29">
        <v>0.91918735021099296</v>
      </c>
    </row>
    <row r="4584" spans="1:11" x14ac:dyDescent="0.35">
      <c r="A4584" s="9" t="str">
        <f>HYPERLINK("http://www.ensembl.org/id/WBGene00077692", "WBGene00077692")</f>
        <v>WBGene00077692</v>
      </c>
      <c r="B4584" s="9" t="str">
        <f>HYPERLINK("http://www.ncbi.nlm.nih.gov/gene/6418690", "6418690")</f>
        <v>6418690</v>
      </c>
      <c r="C4584" s="9"/>
      <c r="D4584" t="str">
        <f>"C08E8.10"</f>
        <v>C08E8.10</v>
      </c>
      <c r="F4584" t="s">
        <v>11</v>
      </c>
      <c r="H4584" s="12">
        <v>2.05678530663381</v>
      </c>
      <c r="I4584" s="20">
        <v>1.3332873022221301</v>
      </c>
      <c r="J4584" s="28">
        <v>0.182437539047064</v>
      </c>
      <c r="K4584" s="29">
        <v>0.91999165805793803</v>
      </c>
    </row>
    <row r="4585" spans="1:11" x14ac:dyDescent="0.35">
      <c r="A4585" s="9" t="str">
        <f>HYPERLINK("http://www.ensembl.org/id/WBGene00000241", "WBGene00000241")</f>
        <v>WBGene00000241</v>
      </c>
      <c r="B4585" s="9" t="str">
        <f>HYPERLINK("http://www.ncbi.nlm.nih.gov/gene/260219", "260219")</f>
        <v>260219</v>
      </c>
      <c r="C4585" s="9" t="str">
        <f>HYPERLINK("http://www.ncbi.nlm.nih.gov/gene/582", "582")</f>
        <v>582</v>
      </c>
      <c r="D4585" t="str">
        <f>"bbs-1"</f>
        <v>bbs-1</v>
      </c>
      <c r="E4585" t="s">
        <v>3640</v>
      </c>
      <c r="F4585" t="s">
        <v>11</v>
      </c>
      <c r="G4585" t="s">
        <v>3422</v>
      </c>
      <c r="H4585" s="12">
        <v>2.1903243507113901</v>
      </c>
      <c r="I4585" s="20">
        <v>1.33282390459815</v>
      </c>
      <c r="J4585" s="28">
        <v>0.18258959909849801</v>
      </c>
      <c r="K4585" s="29">
        <v>0.92018696909710196</v>
      </c>
    </row>
    <row r="4586" spans="1:11" x14ac:dyDescent="0.35">
      <c r="A4586" s="9" t="str">
        <f>HYPERLINK("http://www.ensembl.org/id/WBGene00004214", "WBGene00004214")</f>
        <v>WBGene00004214</v>
      </c>
      <c r="B4586" s="9" t="str">
        <f>HYPERLINK("http://www.ncbi.nlm.nih.gov/gene/24104681", "24104681")</f>
        <v>24104681</v>
      </c>
      <c r="C4586" s="9"/>
      <c r="D4586" t="str">
        <f>"ptp-2"</f>
        <v>ptp-2</v>
      </c>
      <c r="E4586" t="s">
        <v>3641</v>
      </c>
      <c r="F4586" t="s">
        <v>11</v>
      </c>
      <c r="G4586" t="s">
        <v>161</v>
      </c>
      <c r="H4586" s="12">
        <v>-1.3077850569893099</v>
      </c>
      <c r="I4586" s="20">
        <v>-1.33290084126205</v>
      </c>
      <c r="J4586" s="28">
        <v>0.18256434647296901</v>
      </c>
      <c r="K4586" s="29">
        <v>0.92018696909710196</v>
      </c>
    </row>
    <row r="4587" spans="1:11" x14ac:dyDescent="0.35">
      <c r="A4587" s="9" t="str">
        <f>HYPERLINK("http://www.ensembl.org/id/WBGene00022808", "WBGene00022808")</f>
        <v>WBGene00022808</v>
      </c>
      <c r="B4587" s="9" t="str">
        <f>HYPERLINK("http://www.ncbi.nlm.nih.gov/gene/191414", "191414")</f>
        <v>191414</v>
      </c>
      <c r="C4587" s="9"/>
      <c r="D4587" t="str">
        <f>"ZK697.8"</f>
        <v>ZK697.8</v>
      </c>
      <c r="E4587" t="s">
        <v>3638</v>
      </c>
      <c r="F4587" t="s">
        <v>11</v>
      </c>
      <c r="G4587" t="s">
        <v>3639</v>
      </c>
      <c r="H4587" s="12">
        <v>7.8701455892333696</v>
      </c>
      <c r="I4587" s="20">
        <v>1.33280518524027</v>
      </c>
      <c r="J4587" s="28">
        <v>0.18259574367308101</v>
      </c>
      <c r="K4587" s="29">
        <v>0.92018696909710196</v>
      </c>
    </row>
    <row r="4588" spans="1:11" x14ac:dyDescent="0.35">
      <c r="A4588" s="9" t="str">
        <f>HYPERLINK("http://www.ensembl.org/id/WBGene00021468", "WBGene00021468")</f>
        <v>WBGene00021468</v>
      </c>
      <c r="B4588" s="9" t="str">
        <f>HYPERLINK("http://www.ncbi.nlm.nih.gov/gene/171787", "171787")</f>
        <v>171787</v>
      </c>
      <c r="C4588" s="9"/>
      <c r="D4588" t="str">
        <f>"epg-2"</f>
        <v>epg-2</v>
      </c>
      <c r="E4588" t="s">
        <v>3642</v>
      </c>
      <c r="F4588" t="s">
        <v>11</v>
      </c>
      <c r="H4588" s="12">
        <v>1.3381262305438</v>
      </c>
      <c r="I4588" s="20">
        <v>1.33230747706904</v>
      </c>
      <c r="J4588" s="28">
        <v>0.182759171157442</v>
      </c>
      <c r="K4588" s="29">
        <v>0.92020775959116397</v>
      </c>
    </row>
    <row r="4589" spans="1:11" x14ac:dyDescent="0.35">
      <c r="A4589" s="9" t="str">
        <f>HYPERLINK("http://www.ensembl.org/id/WBGene00009095", "WBGene00009095")</f>
        <v>WBGene00009095</v>
      </c>
      <c r="B4589" s="9" t="str">
        <f>HYPERLINK("http://www.ncbi.nlm.nih.gov/gene/184912", "184912")</f>
        <v>184912</v>
      </c>
      <c r="C4589" s="9"/>
      <c r="D4589" t="str">
        <f>"F23H12.7"</f>
        <v>F23H12.7</v>
      </c>
      <c r="F4589" t="s">
        <v>11</v>
      </c>
      <c r="G4589" t="s">
        <v>25</v>
      </c>
      <c r="H4589" s="12">
        <v>2.2661030358356999</v>
      </c>
      <c r="I4589" s="20">
        <v>1.33238430159787</v>
      </c>
      <c r="J4589" s="28">
        <v>0.18273393797635701</v>
      </c>
      <c r="K4589" s="29">
        <v>0.92020775959116397</v>
      </c>
    </row>
    <row r="4590" spans="1:11" x14ac:dyDescent="0.35">
      <c r="A4590" s="9" t="str">
        <f>HYPERLINK("http://www.ensembl.org/id/WBGene00011631", "WBGene00011631")</f>
        <v>WBGene00011631</v>
      </c>
      <c r="B4590" s="9" t="str">
        <f>HYPERLINK("http://www.ncbi.nlm.nih.gov/gene/172704", "172704")</f>
        <v>172704</v>
      </c>
      <c r="C4590" s="9"/>
      <c r="D4590" t="str">
        <f>"T08G11.4"</f>
        <v>T08G11.4</v>
      </c>
      <c r="F4590" t="s">
        <v>11</v>
      </c>
      <c r="G4590" t="s">
        <v>3643</v>
      </c>
      <c r="H4590" s="12">
        <v>-1.3030525796464301</v>
      </c>
      <c r="I4590" s="20">
        <v>-1.3325998431216399</v>
      </c>
      <c r="J4590" s="28">
        <v>0.182663156688915</v>
      </c>
      <c r="K4590" s="29">
        <v>0.92020775959116397</v>
      </c>
    </row>
    <row r="4591" spans="1:11" x14ac:dyDescent="0.35">
      <c r="A4591" s="9" t="str">
        <f>HYPERLINK("http://www.ensembl.org/id/WBGene00012111", "WBGene00012111")</f>
        <v>WBGene00012111</v>
      </c>
      <c r="B4591" s="9" t="str">
        <f>HYPERLINK("http://www.ncbi.nlm.nih.gov/gene/189008", "189008")</f>
        <v>189008</v>
      </c>
      <c r="C4591" s="9"/>
      <c r="D4591" t="str">
        <f>"T28A8.5"</f>
        <v>T28A8.5</v>
      </c>
      <c r="F4591" t="s">
        <v>11</v>
      </c>
      <c r="H4591" s="12">
        <v>-1.6404162290775399</v>
      </c>
      <c r="I4591" s="20">
        <v>-1.33234265509607</v>
      </c>
      <c r="J4591" s="28">
        <v>0.18274761653853899</v>
      </c>
      <c r="K4591" s="29">
        <v>0.92020775959116397</v>
      </c>
    </row>
    <row r="4592" spans="1:11" x14ac:dyDescent="0.35">
      <c r="A4592" s="9" t="str">
        <f>HYPERLINK("http://www.ensembl.org/id/WBGene00000228", "WBGene00000228")</f>
        <v>WBGene00000228</v>
      </c>
      <c r="B4592" s="9" t="str">
        <f>HYPERLINK("http://www.ncbi.nlm.nih.gov/gene/179709", "179709")</f>
        <v>179709</v>
      </c>
      <c r="C4592" s="9"/>
      <c r="D4592" t="str">
        <f>"atn-1"</f>
        <v>atn-1</v>
      </c>
      <c r="E4592" t="s">
        <v>3650</v>
      </c>
      <c r="F4592" t="s">
        <v>11</v>
      </c>
      <c r="G4592" t="s">
        <v>3651</v>
      </c>
      <c r="H4592" s="12">
        <v>-1.33723005312432</v>
      </c>
      <c r="I4592" s="20">
        <v>-1.3307286838996999</v>
      </c>
      <c r="J4592" s="28">
        <v>0.18327830126754699</v>
      </c>
      <c r="K4592" s="29">
        <v>0.92043634869084801</v>
      </c>
    </row>
    <row r="4593" spans="1:11" x14ac:dyDescent="0.35">
      <c r="A4593" s="9" t="str">
        <f>HYPERLINK("http://www.ensembl.org/id/WBGene00194727", "WBGene00194727")</f>
        <v>WBGene00194727</v>
      </c>
      <c r="B4593" s="9" t="str">
        <f>HYPERLINK("http://www.ncbi.nlm.nih.gov/gene/13191465", "13191465")</f>
        <v>13191465</v>
      </c>
      <c r="C4593" s="9"/>
      <c r="D4593" t="str">
        <f>"C18D11.10"</f>
        <v>C18D11.10</v>
      </c>
      <c r="F4593" t="s">
        <v>11</v>
      </c>
      <c r="G4593" t="s">
        <v>264</v>
      </c>
      <c r="H4593" s="12">
        <v>-1.39666423456636</v>
      </c>
      <c r="I4593" s="20">
        <v>-1.3311255948852501</v>
      </c>
      <c r="J4593" s="28">
        <v>0.18314768847489099</v>
      </c>
      <c r="K4593" s="29">
        <v>0.92043634869084801</v>
      </c>
    </row>
    <row r="4594" spans="1:11" x14ac:dyDescent="0.35">
      <c r="A4594" s="9" t="str">
        <f>HYPERLINK("http://www.ensembl.org/id/WBGene00001036", "WBGene00001036")</f>
        <v>WBGene00001036</v>
      </c>
      <c r="B4594" s="9" t="str">
        <f>HYPERLINK("http://www.ncbi.nlm.nih.gov/gene/175616", "175616")</f>
        <v>175616</v>
      </c>
      <c r="C4594" s="9"/>
      <c r="D4594" t="str">
        <f>"dnj-18"</f>
        <v>dnj-18</v>
      </c>
      <c r="E4594" t="s">
        <v>847</v>
      </c>
      <c r="F4594" t="s">
        <v>11</v>
      </c>
      <c r="G4594" t="s">
        <v>3652</v>
      </c>
      <c r="H4594" s="12">
        <v>-1.3635639000852899</v>
      </c>
      <c r="I4594" s="20">
        <v>-1.3318221390667799</v>
      </c>
      <c r="J4594" s="28">
        <v>0.182918641168896</v>
      </c>
      <c r="K4594" s="29">
        <v>0.92043634869084801</v>
      </c>
    </row>
    <row r="4595" spans="1:11" x14ac:dyDescent="0.35">
      <c r="A4595" s="9" t="str">
        <f>HYPERLINK("http://www.ensembl.org/id/WBGene00017195", "WBGene00017195")</f>
        <v>WBGene00017195</v>
      </c>
      <c r="B4595" s="9" t="str">
        <f>HYPERLINK("http://www.ncbi.nlm.nih.gov/gene/179306", "179306")</f>
        <v>179306</v>
      </c>
      <c r="C4595" s="9"/>
      <c r="D4595" t="str">
        <f>"glo-4"</f>
        <v>glo-4</v>
      </c>
      <c r="E4595" t="s">
        <v>3645</v>
      </c>
      <c r="F4595" t="s">
        <v>11</v>
      </c>
      <c r="G4595" t="s">
        <v>3646</v>
      </c>
      <c r="H4595" s="12">
        <v>-1.2775405851427599</v>
      </c>
      <c r="I4595" s="20">
        <v>-1.3309169525679401</v>
      </c>
      <c r="J4595" s="28">
        <v>0.183216338480821</v>
      </c>
      <c r="K4595" s="29">
        <v>0.92043634869084801</v>
      </c>
    </row>
    <row r="4596" spans="1:11" x14ac:dyDescent="0.35">
      <c r="A4596" s="9" t="str">
        <f>HYPERLINK("http://www.ensembl.org/id/WBGene00004146", "WBGene00004146")</f>
        <v>WBGene00004146</v>
      </c>
      <c r="B4596" s="9" t="str">
        <f>HYPERLINK("http://www.ncbi.nlm.nih.gov/gene/188181", "188181")</f>
        <v>188181</v>
      </c>
      <c r="C4596" s="9"/>
      <c r="D4596" t="str">
        <f>"pqn-63"</f>
        <v>pqn-63</v>
      </c>
      <c r="E4596" t="s">
        <v>432</v>
      </c>
      <c r="F4596" t="s">
        <v>11</v>
      </c>
      <c r="H4596" s="12">
        <v>3.34733360168434</v>
      </c>
      <c r="I4596" s="20">
        <v>1.33117512876475</v>
      </c>
      <c r="J4596" s="28">
        <v>0.183131393042054</v>
      </c>
      <c r="K4596" s="29">
        <v>0.92043634869084801</v>
      </c>
    </row>
    <row r="4597" spans="1:11" x14ac:dyDescent="0.35">
      <c r="A4597" s="9" t="str">
        <f>HYPERLINK("http://www.ensembl.org/id/WBGene00021771", "WBGene00021771")</f>
        <v>WBGene00021771</v>
      </c>
      <c r="B4597" s="9" t="str">
        <f>HYPERLINK("http://www.ncbi.nlm.nih.gov/gene/245997", "245997")</f>
        <v>245997</v>
      </c>
      <c r="C4597" s="9"/>
      <c r="D4597" t="str">
        <f>"spe-48"</f>
        <v>spe-48</v>
      </c>
      <c r="F4597" t="s">
        <v>11</v>
      </c>
      <c r="G4597" t="s">
        <v>3649</v>
      </c>
      <c r="H4597" s="12">
        <v>-1.31874007788721</v>
      </c>
      <c r="I4597" s="20">
        <v>-1.3307952293957099</v>
      </c>
      <c r="J4597" s="28">
        <v>0.18325639810972799</v>
      </c>
      <c r="K4597" s="29">
        <v>0.92043634869084801</v>
      </c>
    </row>
    <row r="4598" spans="1:11" x14ac:dyDescent="0.35">
      <c r="A4598" s="9" t="str">
        <f>HYPERLINK("http://www.ensembl.org/id/WBGene00011436", "WBGene00011436")</f>
        <v>WBGene00011436</v>
      </c>
      <c r="B4598" s="9" t="str">
        <f>HYPERLINK("http://www.ncbi.nlm.nih.gov/gene/179608", "179608")</f>
        <v>179608</v>
      </c>
      <c r="C4598" s="9"/>
      <c r="D4598" t="str">
        <f>"T04F3.1"</f>
        <v>T04F3.1</v>
      </c>
      <c r="F4598" t="s">
        <v>11</v>
      </c>
      <c r="G4598" t="s">
        <v>3644</v>
      </c>
      <c r="H4598" s="12">
        <v>1.27936422153568</v>
      </c>
      <c r="I4598" s="20">
        <v>1.33094500336952</v>
      </c>
      <c r="J4598" s="28">
        <v>0.183207107759255</v>
      </c>
      <c r="K4598" s="29">
        <v>0.92043634869084801</v>
      </c>
    </row>
    <row r="4599" spans="1:11" x14ac:dyDescent="0.35">
      <c r="A4599" s="9" t="str">
        <f>HYPERLINK("http://www.ensembl.org/id/WBGene00020648", "WBGene00020648")</f>
        <v>WBGene00020648</v>
      </c>
      <c r="B4599" s="9" t="str">
        <f>HYPERLINK("http://www.ncbi.nlm.nih.gov/gene/24104914", "24104914")</f>
        <v>24104914</v>
      </c>
      <c r="C4599" s="9"/>
      <c r="D4599" t="str">
        <f>"T21D12.7"</f>
        <v>T21D12.7</v>
      </c>
      <c r="F4599" t="s">
        <v>11</v>
      </c>
      <c r="G4599" t="s">
        <v>50</v>
      </c>
      <c r="H4599" s="12">
        <v>1.79108268444507</v>
      </c>
      <c r="I4599" s="20">
        <v>1.33109691145797</v>
      </c>
      <c r="J4599" s="28">
        <v>0.18315712511099999</v>
      </c>
      <c r="K4599" s="29">
        <v>0.92043634869084801</v>
      </c>
    </row>
    <row r="4600" spans="1:11" x14ac:dyDescent="0.35">
      <c r="A4600" s="9" t="str">
        <f>HYPERLINK("http://www.ensembl.org/id/WBGene00012496", "WBGene00012496")</f>
        <v>WBGene00012496</v>
      </c>
      <c r="B4600" s="9" t="str">
        <f>HYPERLINK("http://www.ncbi.nlm.nih.gov/gene/178085", "178085")</f>
        <v>178085</v>
      </c>
      <c r="C4600" s="9"/>
      <c r="D4600" t="str">
        <f>"Y24F12A.1"</f>
        <v>Y24F12A.1</v>
      </c>
      <c r="F4600" t="s">
        <v>11</v>
      </c>
      <c r="G4600" t="s">
        <v>1539</v>
      </c>
      <c r="H4600" s="12">
        <v>-1.3524508803558</v>
      </c>
      <c r="I4600" s="20">
        <v>-1.3315097399128599</v>
      </c>
      <c r="J4600" s="28">
        <v>0.183021342314625</v>
      </c>
      <c r="K4600" s="29">
        <v>0.92043634869084801</v>
      </c>
    </row>
    <row r="4601" spans="1:11" x14ac:dyDescent="0.35">
      <c r="A4601" s="9" t="str">
        <f>HYPERLINK("http://www.ensembl.org/id/WBGene00044491", "WBGene00044491")</f>
        <v>WBGene00044491</v>
      </c>
      <c r="B4601" s="9" t="str">
        <f>HYPERLINK("http://www.ncbi.nlm.nih.gov/gene/3896805", "3896805")</f>
        <v>3896805</v>
      </c>
      <c r="C4601" s="9"/>
      <c r="D4601" t="str">
        <f>"Y54G2A.48"</f>
        <v>Y54G2A.48</v>
      </c>
      <c r="F4601" t="s">
        <v>11</v>
      </c>
      <c r="H4601" s="12">
        <v>2.2754375174274299</v>
      </c>
      <c r="I4601" s="20">
        <v>1.3307156394717601</v>
      </c>
      <c r="J4601" s="28">
        <v>0.183282595011105</v>
      </c>
      <c r="K4601" s="29">
        <v>0.92043634869084801</v>
      </c>
    </row>
    <row r="4602" spans="1:11" x14ac:dyDescent="0.35">
      <c r="A4602" s="9" t="str">
        <f>HYPERLINK("http://www.ensembl.org/id/WBGene00050915", "WBGene00050915")</f>
        <v>WBGene00050915</v>
      </c>
      <c r="B4602" s="9" t="str">
        <f>HYPERLINK("http://www.ncbi.nlm.nih.gov/gene/6418812", "6418812")</f>
        <v>6418812</v>
      </c>
      <c r="C4602" s="9"/>
      <c r="D4602" t="str">
        <f>"Y6E2A.10"</f>
        <v>Y6E2A.10</v>
      </c>
      <c r="F4602" t="s">
        <v>11</v>
      </c>
      <c r="H4602" s="12">
        <v>3.35375370275833</v>
      </c>
      <c r="I4602" s="20">
        <v>1.3311675706945001</v>
      </c>
      <c r="J4602" s="28">
        <v>0.183133879392537</v>
      </c>
      <c r="K4602" s="29">
        <v>0.92043634869084801</v>
      </c>
    </row>
    <row r="4603" spans="1:11" x14ac:dyDescent="0.35">
      <c r="A4603" s="9" t="str">
        <f>HYPERLINK("http://www.ensembl.org/id/WBGene00014112", "WBGene00014112")</f>
        <v>WBGene00014112</v>
      </c>
      <c r="B4603" s="9" t="str">
        <f>HYPERLINK("http://www.ncbi.nlm.nih.gov/gene/179417", "179417")</f>
        <v>179417</v>
      </c>
      <c r="C4603" s="9" t="str">
        <f>HYPERLINK("http://www.ncbi.nlm.nih.gov/gene/84285", "84285")</f>
        <v>84285</v>
      </c>
      <c r="D4603" t="str">
        <f>"ZK856.11"</f>
        <v>ZK856.11</v>
      </c>
      <c r="E4603" t="s">
        <v>3647</v>
      </c>
      <c r="F4603" t="s">
        <v>11</v>
      </c>
      <c r="G4603" t="s">
        <v>3648</v>
      </c>
      <c r="H4603" s="12">
        <v>-1.3176174520399899</v>
      </c>
      <c r="I4603" s="20">
        <v>-1.3308773014802799</v>
      </c>
      <c r="J4603" s="28">
        <v>0.18322938711470699</v>
      </c>
      <c r="K4603" s="29">
        <v>0.92043634869084801</v>
      </c>
    </row>
    <row r="4604" spans="1:11" x14ac:dyDescent="0.35">
      <c r="A4604" s="9" t="str">
        <f>HYPERLINK("http://www.ensembl.org/id/WBGene00009456", "WBGene00009456")</f>
        <v>WBGene00009456</v>
      </c>
      <c r="B4604" s="9" t="str">
        <f>HYPERLINK("http://www.ncbi.nlm.nih.gov/gene/172695", "172695")</f>
        <v>172695</v>
      </c>
      <c r="C4604" s="9"/>
      <c r="D4604" t="str">
        <f>"F36A2.9"</f>
        <v>F36A2.9</v>
      </c>
      <c r="F4604" t="s">
        <v>11</v>
      </c>
      <c r="G4604" t="s">
        <v>3653</v>
      </c>
      <c r="H4604" s="12">
        <v>-1.2914825761921001</v>
      </c>
      <c r="I4604" s="20">
        <v>-1.33057685161926</v>
      </c>
      <c r="J4604" s="28">
        <v>0.18332828345781901</v>
      </c>
      <c r="K4604" s="29">
        <v>0.92046573610959903</v>
      </c>
    </row>
    <row r="4605" spans="1:11" x14ac:dyDescent="0.35">
      <c r="A4605" s="9" t="str">
        <f>HYPERLINK("http://www.ensembl.org/id/WBGene00014666", "WBGene00014666")</f>
        <v>WBGene00014666</v>
      </c>
      <c r="B4605" s="9" t="str">
        <f>HYPERLINK("http://www.ncbi.nlm.nih.gov/gene/174742", "174742")</f>
        <v>174742</v>
      </c>
      <c r="C4605" s="9"/>
      <c r="D4605" t="str">
        <f>"C05D12.3"</f>
        <v>C05D12.3</v>
      </c>
      <c r="F4605" t="s">
        <v>11</v>
      </c>
      <c r="H4605" s="12">
        <v>1.63191745472129</v>
      </c>
      <c r="I4605" s="20">
        <v>1.33041170289253</v>
      </c>
      <c r="J4605" s="28">
        <v>0.183382660800886</v>
      </c>
      <c r="K4605" s="29">
        <v>0.92053872701830897</v>
      </c>
    </row>
    <row r="4606" spans="1:11" x14ac:dyDescent="0.35">
      <c r="A4606" s="9" t="str">
        <f>HYPERLINK("http://www.ensembl.org/id/WBGene00000493", "WBGene00000493")</f>
        <v>WBGene00000493</v>
      </c>
      <c r="B4606" s="9" t="str">
        <f>HYPERLINK("http://www.ncbi.nlm.nih.gov/gene/172240", "172240")</f>
        <v>172240</v>
      </c>
      <c r="C4606" s="9"/>
      <c r="D4606" t="str">
        <f>"che-14"</f>
        <v>che-14</v>
      </c>
      <c r="E4606" t="s">
        <v>3654</v>
      </c>
      <c r="F4606" t="s">
        <v>11</v>
      </c>
      <c r="G4606" t="s">
        <v>3655</v>
      </c>
      <c r="H4606" s="12">
        <v>1.62886153612759</v>
      </c>
      <c r="I4606" s="20">
        <v>1.3295159689751599</v>
      </c>
      <c r="J4606" s="28">
        <v>0.18367780090484001</v>
      </c>
      <c r="K4606" s="29">
        <v>0.92065675348092202</v>
      </c>
    </row>
    <row r="4607" spans="1:11" x14ac:dyDescent="0.35">
      <c r="A4607" s="9" t="str">
        <f>HYPERLINK("http://www.ensembl.org/id/WBGene00020110", "WBGene00020110")</f>
        <v>WBGene00020110</v>
      </c>
      <c r="B4607" s="9" t="str">
        <f>HYPERLINK("http://www.ncbi.nlm.nih.gov/gene/176019", "176019")</f>
        <v>176019</v>
      </c>
      <c r="C4607" s="9" t="str">
        <f>HYPERLINK("http://www.ncbi.nlm.nih.gov/gene/10131", "10131")</f>
        <v>10131</v>
      </c>
      <c r="D4607" t="str">
        <f>"hsp-75"</f>
        <v>hsp-75</v>
      </c>
      <c r="E4607" t="s">
        <v>3481</v>
      </c>
      <c r="F4607" t="s">
        <v>11</v>
      </c>
      <c r="G4607" t="s">
        <v>3660</v>
      </c>
      <c r="H4607" s="12">
        <v>-1.2969996631303899</v>
      </c>
      <c r="I4607" s="20">
        <v>-1.32914389218569</v>
      </c>
      <c r="J4607" s="28">
        <v>0.18380050182806201</v>
      </c>
      <c r="K4607" s="29">
        <v>0.92065675348092202</v>
      </c>
    </row>
    <row r="4608" spans="1:11" x14ac:dyDescent="0.35">
      <c r="A4608" s="9" t="str">
        <f>HYPERLINK("http://www.ensembl.org/id/WBGene00011488", "WBGene00011488")</f>
        <v>WBGene00011488</v>
      </c>
      <c r="B4608" s="9" t="str">
        <f>HYPERLINK("http://www.ncbi.nlm.nih.gov/gene/172803", "172803")</f>
        <v>172803</v>
      </c>
      <c r="C4608" s="9" t="str">
        <f>HYPERLINK("http://www.ncbi.nlm.nih.gov/gene/56926", "56926")</f>
        <v>56926</v>
      </c>
      <c r="D4608" t="str">
        <f>"nra-2"</f>
        <v>nra-2</v>
      </c>
      <c r="E4608" t="s">
        <v>3658</v>
      </c>
      <c r="F4608" t="s">
        <v>11</v>
      </c>
      <c r="G4608" t="s">
        <v>3659</v>
      </c>
      <c r="H4608" s="12">
        <v>-1.2889523541855501</v>
      </c>
      <c r="I4608" s="20">
        <v>-1.32998696682083</v>
      </c>
      <c r="J4608" s="28">
        <v>0.183522565502235</v>
      </c>
      <c r="K4608" s="29">
        <v>0.92065675348092202</v>
      </c>
    </row>
    <row r="4609" spans="1:11" x14ac:dyDescent="0.35">
      <c r="A4609" s="9" t="str">
        <f>HYPERLINK("http://www.ensembl.org/id/WBGene00004702", "WBGene00004702")</f>
        <v>WBGene00004702</v>
      </c>
      <c r="B4609" s="9" t="str">
        <f>HYPERLINK("http://www.ncbi.nlm.nih.gov/gene/174073", "174073")</f>
        <v>174073</v>
      </c>
      <c r="C4609" s="9"/>
      <c r="D4609" t="str">
        <f>"rsp-5"</f>
        <v>rsp-5</v>
      </c>
      <c r="E4609" t="s">
        <v>3661</v>
      </c>
      <c r="F4609" t="s">
        <v>11</v>
      </c>
      <c r="G4609" t="s">
        <v>3662</v>
      </c>
      <c r="H4609" s="12">
        <v>-1.3360727738271301</v>
      </c>
      <c r="I4609" s="20">
        <v>-1.32937198595546</v>
      </c>
      <c r="J4609" s="28">
        <v>0.18372527543581901</v>
      </c>
      <c r="K4609" s="29">
        <v>0.92065675348092202</v>
      </c>
    </row>
    <row r="4610" spans="1:11" x14ac:dyDescent="0.35">
      <c r="A4610" s="9" t="str">
        <f>HYPERLINK("http://www.ensembl.org/id/WBGene00005222", "WBGene00005222")</f>
        <v>WBGene00005222</v>
      </c>
      <c r="B4610" s="9" t="str">
        <f>HYPERLINK("http://www.ncbi.nlm.nih.gov/gene/353476", "353476")</f>
        <v>353476</v>
      </c>
      <c r="C4610" s="9"/>
      <c r="D4610" t="str">
        <f>"srg-65"</f>
        <v>srg-65</v>
      </c>
      <c r="E4610" t="s">
        <v>1828</v>
      </c>
      <c r="F4610" t="s">
        <v>11</v>
      </c>
      <c r="G4610" t="s">
        <v>1829</v>
      </c>
      <c r="H4610" s="12">
        <v>3.6623819644236302</v>
      </c>
      <c r="I4610" s="20">
        <v>1.3291479333720899</v>
      </c>
      <c r="J4610" s="28">
        <v>0.18379916882740699</v>
      </c>
      <c r="K4610" s="29">
        <v>0.92065675348092202</v>
      </c>
    </row>
    <row r="4611" spans="1:11" x14ac:dyDescent="0.35">
      <c r="A4611" s="9" t="str">
        <f>HYPERLINK("http://www.ensembl.org/id/WBGene00006077", "WBGene00006077")</f>
        <v>WBGene00006077</v>
      </c>
      <c r="B4611" s="9" t="str">
        <f>HYPERLINK("http://www.ncbi.nlm.nih.gov/gene/186433", "186433")</f>
        <v>186433</v>
      </c>
      <c r="C4611" s="9"/>
      <c r="D4611" t="str">
        <f>"str-9"</f>
        <v>str-9</v>
      </c>
      <c r="E4611" t="s">
        <v>590</v>
      </c>
      <c r="F4611" t="s">
        <v>11</v>
      </c>
      <c r="G4611" t="s">
        <v>25</v>
      </c>
      <c r="H4611" s="12">
        <v>13.3909543974809</v>
      </c>
      <c r="I4611" s="20">
        <v>1.32987356230114</v>
      </c>
      <c r="J4611" s="28">
        <v>0.183559933424394</v>
      </c>
      <c r="K4611" s="29">
        <v>0.92065675348092202</v>
      </c>
    </row>
    <row r="4612" spans="1:11" x14ac:dyDescent="0.35">
      <c r="A4612" s="9" t="str">
        <f>HYPERLINK("http://www.ensembl.org/id/WBGene00011512", "WBGene00011512")</f>
        <v>WBGene00011512</v>
      </c>
      <c r="B4612" s="9" t="str">
        <f>HYPERLINK("http://www.ncbi.nlm.nih.gov/gene/188154", "188154")</f>
        <v>188154</v>
      </c>
      <c r="C4612" s="9"/>
      <c r="D4612" t="str">
        <f>"T05H10.8"</f>
        <v>T05H10.8</v>
      </c>
      <c r="F4612" t="s">
        <v>11</v>
      </c>
      <c r="G4612" t="s">
        <v>336</v>
      </c>
      <c r="H4612" s="12">
        <v>1.46630920839776</v>
      </c>
      <c r="I4612" s="20">
        <v>1.32913140038591</v>
      </c>
      <c r="J4612" s="28">
        <v>0.18380462234084199</v>
      </c>
      <c r="K4612" s="29">
        <v>0.92065675348092202</v>
      </c>
    </row>
    <row r="4613" spans="1:11" x14ac:dyDescent="0.35">
      <c r="A4613" s="9" t="str">
        <f>HYPERLINK("http://www.ensembl.org/id/WBGene00020775", "WBGene00020775")</f>
        <v>WBGene00020775</v>
      </c>
      <c r="B4613" s="9" t="str">
        <f>HYPERLINK("http://www.ncbi.nlm.nih.gov/gene/188864", "188864")</f>
        <v>188864</v>
      </c>
      <c r="C4613" s="9"/>
      <c r="D4613" t="str">
        <f>"T24E12.6"</f>
        <v>T24E12.6</v>
      </c>
      <c r="F4613" t="s">
        <v>11</v>
      </c>
      <c r="H4613" s="12">
        <v>13.3909543974809</v>
      </c>
      <c r="I4613" s="20">
        <v>1.32987356230114</v>
      </c>
      <c r="J4613" s="28">
        <v>0.183559933424394</v>
      </c>
      <c r="K4613" s="29">
        <v>0.92065675348092202</v>
      </c>
    </row>
    <row r="4614" spans="1:11" x14ac:dyDescent="0.35">
      <c r="A4614" s="9" t="str">
        <f>HYPERLINK("http://www.ensembl.org/id/WBGene00006876", "WBGene00006876")</f>
        <v>WBGene00006876</v>
      </c>
      <c r="B4614" s="9" t="str">
        <f>HYPERLINK("http://www.ncbi.nlm.nih.gov/gene/173058", "173058")</f>
        <v>173058</v>
      </c>
      <c r="C4614" s="9" t="str">
        <f>HYPERLINK("http://www.ncbi.nlm.nih.gov/gene/667", "667")</f>
        <v>667</v>
      </c>
      <c r="D4614" t="str">
        <f>"vab-10"</f>
        <v>vab-10</v>
      </c>
      <c r="E4614" t="s">
        <v>3656</v>
      </c>
      <c r="F4614" t="s">
        <v>11</v>
      </c>
      <c r="G4614" t="s">
        <v>3657</v>
      </c>
      <c r="H4614" s="12">
        <v>1.2729351647147</v>
      </c>
      <c r="I4614" s="20">
        <v>1.3294776483664299</v>
      </c>
      <c r="J4614" s="28">
        <v>0.183690435208203</v>
      </c>
      <c r="K4614" s="29">
        <v>0.92065675348092202</v>
      </c>
    </row>
    <row r="4615" spans="1:11" x14ac:dyDescent="0.35">
      <c r="A4615" s="9" t="str">
        <f>HYPERLINK("http://www.ensembl.org/id/WBGene00219342", "WBGene00219342")</f>
        <v>WBGene00219342</v>
      </c>
      <c r="B4615" s="9" t="str">
        <f>HYPERLINK("http://www.ncbi.nlm.nih.gov/gene/13202692", "13202692")</f>
        <v>13202692</v>
      </c>
      <c r="C4615" s="9"/>
      <c r="D4615" t="str">
        <f>"Y57G11C.1143"</f>
        <v>Y57G11C.1143</v>
      </c>
      <c r="F4615" t="s">
        <v>11</v>
      </c>
      <c r="H4615" s="12">
        <v>1.5689828969360899</v>
      </c>
      <c r="I4615" s="20">
        <v>1.32937264118497</v>
      </c>
      <c r="J4615" s="28">
        <v>0.18372505937091399</v>
      </c>
      <c r="K4615" s="29">
        <v>0.92065675348092202</v>
      </c>
    </row>
    <row r="4616" spans="1:11" x14ac:dyDescent="0.35">
      <c r="A4616" s="9" t="str">
        <f>HYPERLINK("http://www.ensembl.org/id/WBGene00015570", "WBGene00015570")</f>
        <v>WBGene00015570</v>
      </c>
      <c r="B4616" s="9" t="str">
        <f>HYPERLINK("http://www.ncbi.nlm.nih.gov/gene/171634", "171634")</f>
        <v>171634</v>
      </c>
      <c r="C4616" s="9"/>
      <c r="D4616" t="str">
        <f>"C07F11.2"</f>
        <v>C07F11.2</v>
      </c>
      <c r="F4616" t="s">
        <v>11</v>
      </c>
      <c r="H4616" s="12">
        <v>1.7447290428945299</v>
      </c>
      <c r="I4616" s="20">
        <v>1.32847307593118</v>
      </c>
      <c r="J4616" s="28">
        <v>0.18402187236366899</v>
      </c>
      <c r="K4616" s="29">
        <v>0.92114588016354704</v>
      </c>
    </row>
    <row r="4617" spans="1:11" x14ac:dyDescent="0.35">
      <c r="A4617" s="9" t="str">
        <f>HYPERLINK("http://www.ensembl.org/id/WBGene00014021", "WBGene00014021")</f>
        <v>WBGene00014021</v>
      </c>
      <c r="B4617" s="9" t="str">
        <f>HYPERLINK("http://www.ncbi.nlm.nih.gov/gene/176250", "176250")</f>
        <v>176250</v>
      </c>
      <c r="C4617" s="9" t="str">
        <f>HYPERLINK("http://www.ncbi.nlm.nih.gov/gene/55530", "55530")</f>
        <v>55530</v>
      </c>
      <c r="D4617" t="str">
        <f>"svop-1"</f>
        <v>svop-1</v>
      </c>
      <c r="E4617" t="s">
        <v>3663</v>
      </c>
      <c r="F4617" t="s">
        <v>11</v>
      </c>
      <c r="G4617" t="s">
        <v>230</v>
      </c>
      <c r="H4617" s="12">
        <v>1.33887855811421</v>
      </c>
      <c r="I4617" s="20">
        <v>1.32850738481721</v>
      </c>
      <c r="J4617" s="28">
        <v>0.18401054558302901</v>
      </c>
      <c r="K4617" s="29">
        <v>0.92114588016354704</v>
      </c>
    </row>
    <row r="4618" spans="1:11" x14ac:dyDescent="0.35">
      <c r="A4618" s="9" t="str">
        <f>HYPERLINK("http://www.ensembl.org/id/WBGene00022759", "WBGene00022759")</f>
        <v>WBGene00022759</v>
      </c>
      <c r="B4618" s="9" t="str">
        <f>HYPERLINK("http://www.ncbi.nlm.nih.gov/gene/173855", "173855")</f>
        <v>173855</v>
      </c>
      <c r="C4618" s="9" t="str">
        <f>HYPERLINK("http://www.ncbi.nlm.nih.gov/gene/255252", "255252")</f>
        <v>255252</v>
      </c>
      <c r="D4618" t="str">
        <f>"ZK546.2"</f>
        <v>ZK546.2</v>
      </c>
      <c r="F4618" t="s">
        <v>11</v>
      </c>
      <c r="G4618" t="s">
        <v>54</v>
      </c>
      <c r="H4618" s="12">
        <v>-1.29053078707144</v>
      </c>
      <c r="I4618" s="20">
        <v>-1.3284769879840901</v>
      </c>
      <c r="J4618" s="28">
        <v>0.18402058080731001</v>
      </c>
      <c r="K4618" s="29">
        <v>0.92114588016354704</v>
      </c>
    </row>
    <row r="4619" spans="1:11" x14ac:dyDescent="0.35">
      <c r="A4619" s="9" t="str">
        <f>HYPERLINK("http://www.ensembl.org/id/WBGene00011819", "WBGene00011819")</f>
        <v>WBGene00011819</v>
      </c>
      <c r="B4619" s="9" t="str">
        <f>HYPERLINK("http://www.ncbi.nlm.nih.gov/gene/3564857", "3564857")</f>
        <v>3564857</v>
      </c>
      <c r="C4619" s="9"/>
      <c r="D4619" t="str">
        <f>"hal-2"</f>
        <v>hal-2</v>
      </c>
      <c r="F4619" t="s">
        <v>11</v>
      </c>
      <c r="G4619" t="s">
        <v>3664</v>
      </c>
      <c r="H4619" s="12">
        <v>-1.39266399470158</v>
      </c>
      <c r="I4619" s="20">
        <v>-1.3280750048938801</v>
      </c>
      <c r="J4619" s="28">
        <v>0.18415332980566201</v>
      </c>
      <c r="K4619" s="29">
        <v>0.92160425351735598</v>
      </c>
    </row>
    <row r="4620" spans="1:11" x14ac:dyDescent="0.35">
      <c r="A4620" s="9" t="str">
        <f>HYPERLINK("http://www.ensembl.org/id/WBGene00007146", "WBGene00007146")</f>
        <v>WBGene00007146</v>
      </c>
      <c r="B4620" s="9" t="str">
        <f>HYPERLINK("http://www.ncbi.nlm.nih.gov/gene/181927", "181927")</f>
        <v>181927</v>
      </c>
      <c r="C4620" s="9"/>
      <c r="D4620" t="str">
        <f>"B0334.6"</f>
        <v>B0334.6</v>
      </c>
      <c r="F4620" t="s">
        <v>11</v>
      </c>
      <c r="G4620" t="s">
        <v>271</v>
      </c>
      <c r="H4620" s="12">
        <v>1.7239039282356701</v>
      </c>
      <c r="I4620" s="20">
        <v>1.3275476673967701</v>
      </c>
      <c r="J4620" s="28">
        <v>0.184327582748751</v>
      </c>
      <c r="K4620" s="29">
        <v>0.92205881656783595</v>
      </c>
    </row>
    <row r="4621" spans="1:11" x14ac:dyDescent="0.35">
      <c r="A4621" s="9" t="str">
        <f>HYPERLINK("http://www.ensembl.org/id/WBGene00005756", "WBGene00005756")</f>
        <v>WBGene00005756</v>
      </c>
      <c r="B4621" s="9" t="str">
        <f>HYPERLINK("http://www.ncbi.nlm.nih.gov/gene/3565297", "3565297")</f>
        <v>3565297</v>
      </c>
      <c r="C4621" s="9"/>
      <c r="D4621" t="str">
        <f>"srw-9"</f>
        <v>srw-9</v>
      </c>
      <c r="E4621" t="s">
        <v>1014</v>
      </c>
      <c r="F4621" t="s">
        <v>11</v>
      </c>
      <c r="G4621" t="s">
        <v>1780</v>
      </c>
      <c r="H4621" s="12">
        <v>21.273246397285501</v>
      </c>
      <c r="I4621" s="20">
        <v>1.3273171828203201</v>
      </c>
      <c r="J4621" s="28">
        <v>0.184403782193368</v>
      </c>
      <c r="K4621" s="29">
        <v>0.92205881656783595</v>
      </c>
    </row>
    <row r="4622" spans="1:11" x14ac:dyDescent="0.35">
      <c r="A4622" s="9" t="str">
        <f>HYPERLINK("http://www.ensembl.org/id/WBGene00006181", "WBGene00006181")</f>
        <v>WBGene00006181</v>
      </c>
      <c r="B4622" s="9"/>
      <c r="C4622" s="9"/>
      <c r="D4622" t="str">
        <f>"str-133"</f>
        <v>str-133</v>
      </c>
      <c r="F4622" t="s">
        <v>80</v>
      </c>
      <c r="H4622" s="12">
        <v>21.273246397285501</v>
      </c>
      <c r="I4622" s="20">
        <v>1.3273171828203201</v>
      </c>
      <c r="J4622" s="28">
        <v>0.184403782193368</v>
      </c>
      <c r="K4622" s="29">
        <v>0.92205881656783595</v>
      </c>
    </row>
    <row r="4623" spans="1:11" x14ac:dyDescent="0.35">
      <c r="A4623" s="9" t="str">
        <f>HYPERLINK("http://www.ensembl.org/id/WBGene00012989", "WBGene00012989")</f>
        <v>WBGene00012989</v>
      </c>
      <c r="B4623" s="9" t="str">
        <f>HYPERLINK("http://www.ncbi.nlm.nih.gov/gene/174973", "174973")</f>
        <v>174973</v>
      </c>
      <c r="C4623" s="9"/>
      <c r="D4623" t="str">
        <f>"Y48C3A.5"</f>
        <v>Y48C3A.5</v>
      </c>
      <c r="F4623" t="s">
        <v>11</v>
      </c>
      <c r="G4623" t="s">
        <v>25</v>
      </c>
      <c r="H4623" s="12">
        <v>1.3779418910580801</v>
      </c>
      <c r="I4623" s="20">
        <v>1.32764246206563</v>
      </c>
      <c r="J4623" s="28">
        <v>0.18429624988547599</v>
      </c>
      <c r="K4623" s="29">
        <v>0.92205881656783595</v>
      </c>
    </row>
    <row r="4624" spans="1:11" x14ac:dyDescent="0.35">
      <c r="A4624" s="9" t="str">
        <f>HYPERLINK("http://www.ensembl.org/id/WBGene00015153", "WBGene00015153")</f>
        <v>WBGene00015153</v>
      </c>
      <c r="B4624" s="9" t="str">
        <f>HYPERLINK("http://www.ncbi.nlm.nih.gov/gene/181937", "181937")</f>
        <v>181937</v>
      </c>
      <c r="C4624" s="9"/>
      <c r="D4624" t="str">
        <f>"B0348.5"</f>
        <v>B0348.5</v>
      </c>
      <c r="F4624" t="s">
        <v>11</v>
      </c>
      <c r="H4624" s="12">
        <v>-3.0357064549837798</v>
      </c>
      <c r="I4624" s="20">
        <v>-1.3267656506091301</v>
      </c>
      <c r="J4624" s="28">
        <v>0.18458621637140299</v>
      </c>
      <c r="K4624" s="29">
        <v>0.92229745421989695</v>
      </c>
    </row>
    <row r="4625" spans="1:11" x14ac:dyDescent="0.35">
      <c r="A4625" s="9" t="str">
        <f>HYPERLINK("http://www.ensembl.org/id/WBGene00000985", "WBGene00000985")</f>
        <v>WBGene00000985</v>
      </c>
      <c r="B4625" s="9" t="str">
        <f>HYPERLINK("http://www.ncbi.nlm.nih.gov/gene/179940", "179940")</f>
        <v>179940</v>
      </c>
      <c r="C4625" s="9" t="str">
        <f>HYPERLINK("http://www.ncbi.nlm.nih.gov/gene/51109", "51109")</f>
        <v>51109</v>
      </c>
      <c r="D4625" t="str">
        <f>"dhs-22"</f>
        <v>dhs-22</v>
      </c>
      <c r="E4625" t="s">
        <v>488</v>
      </c>
      <c r="F4625" t="s">
        <v>11</v>
      </c>
      <c r="G4625" t="s">
        <v>3665</v>
      </c>
      <c r="H4625" s="12">
        <v>-1.2784075474424501</v>
      </c>
      <c r="I4625" s="20">
        <v>-1.3267497142026901</v>
      </c>
      <c r="J4625" s="28">
        <v>0.18459148975327599</v>
      </c>
      <c r="K4625" s="29">
        <v>0.92229745421989695</v>
      </c>
    </row>
    <row r="4626" spans="1:11" x14ac:dyDescent="0.35">
      <c r="A4626" s="9" t="str">
        <f>HYPERLINK("http://www.ensembl.org/id/WBGene00007626", "WBGene00007626")</f>
        <v>WBGene00007626</v>
      </c>
      <c r="B4626" s="9" t="str">
        <f>HYPERLINK("http://www.ncbi.nlm.nih.gov/gene/182681", "182681")</f>
        <v>182681</v>
      </c>
      <c r="C4626" s="9" t="str">
        <f>HYPERLINK("http://www.ncbi.nlm.nih.gov/gene/55298", "55298")</f>
        <v>55298</v>
      </c>
      <c r="D4626" t="str">
        <f>"rnf-121"</f>
        <v>rnf-121</v>
      </c>
      <c r="E4626" t="s">
        <v>3666</v>
      </c>
      <c r="F4626" t="s">
        <v>11</v>
      </c>
      <c r="G4626" t="s">
        <v>3667</v>
      </c>
      <c r="H4626" s="12">
        <v>-1.29351868245663</v>
      </c>
      <c r="I4626" s="20">
        <v>-1.32669023840068</v>
      </c>
      <c r="J4626" s="28">
        <v>0.18461117137397301</v>
      </c>
      <c r="K4626" s="29">
        <v>0.92229745421989695</v>
      </c>
    </row>
    <row r="4627" spans="1:11" x14ac:dyDescent="0.35">
      <c r="A4627" s="9" t="str">
        <f>HYPERLINK("http://www.ensembl.org/id/WBGene00006703", "WBGene00006703")</f>
        <v>WBGene00006703</v>
      </c>
      <c r="B4627" s="9" t="str">
        <f>HYPERLINK("http://www.ncbi.nlm.nih.gov/gene/174217", "174217")</f>
        <v>174217</v>
      </c>
      <c r="C4627" s="9" t="str">
        <f>HYPERLINK("http://www.ncbi.nlm.nih.gov/gene/51465", "51465")</f>
        <v>51465</v>
      </c>
      <c r="D4627" t="str">
        <f>"ubc-6"</f>
        <v>ubc-6</v>
      </c>
      <c r="E4627" t="s">
        <v>3370</v>
      </c>
      <c r="F4627" t="s">
        <v>11</v>
      </c>
      <c r="G4627" t="s">
        <v>3668</v>
      </c>
      <c r="H4627" s="12">
        <v>-1.29458501859231</v>
      </c>
      <c r="I4627" s="20">
        <v>-1.32702709905353</v>
      </c>
      <c r="J4627" s="28">
        <v>0.184499718589968</v>
      </c>
      <c r="K4627" s="29">
        <v>0.92229745421989695</v>
      </c>
    </row>
    <row r="4628" spans="1:11" x14ac:dyDescent="0.35">
      <c r="A4628" s="9" t="str">
        <f>HYPERLINK("http://www.ensembl.org/id/WBGene00010631", "WBGene00010631")</f>
        <v>WBGene00010631</v>
      </c>
      <c r="B4628" s="9" t="str">
        <f>HYPERLINK("http://www.ncbi.nlm.nih.gov/gene/179445", "179445")</f>
        <v>179445</v>
      </c>
      <c r="C4628" s="9" t="str">
        <f>HYPERLINK("http://www.ncbi.nlm.nih.gov/gene/29966", "29966")</f>
        <v>29966</v>
      </c>
      <c r="D4628" t="str">
        <f>"cash-1"</f>
        <v>cash-1</v>
      </c>
      <c r="E4628" t="s">
        <v>3669</v>
      </c>
      <c r="F4628" t="s">
        <v>11</v>
      </c>
      <c r="G4628" t="s">
        <v>3670</v>
      </c>
      <c r="H4628" s="12">
        <v>-1.27679455706019</v>
      </c>
      <c r="I4628" s="20">
        <v>-1.3264554870259</v>
      </c>
      <c r="J4628" s="28">
        <v>0.18468887002092499</v>
      </c>
      <c r="K4628" s="29">
        <v>0.92248617179064096</v>
      </c>
    </row>
    <row r="4629" spans="1:11" x14ac:dyDescent="0.35">
      <c r="A4629" s="9" t="str">
        <f>HYPERLINK("http://www.ensembl.org/id/WBGene00015537", "WBGene00015537")</f>
        <v>WBGene00015537</v>
      </c>
      <c r="B4629" s="9" t="str">
        <f>HYPERLINK("http://www.ncbi.nlm.nih.gov/gene/182331", "182331")</f>
        <v>182331</v>
      </c>
      <c r="C4629" s="9"/>
      <c r="D4629" t="str">
        <f>"C06E4.8"</f>
        <v>C06E4.8</v>
      </c>
      <c r="F4629" t="s">
        <v>11</v>
      </c>
      <c r="H4629" s="12">
        <v>1.44608373646674</v>
      </c>
      <c r="I4629" s="20">
        <v>1.3258565859278799</v>
      </c>
      <c r="J4629" s="28">
        <v>0.18488720555536101</v>
      </c>
      <c r="K4629" s="29">
        <v>0.92307773802121096</v>
      </c>
    </row>
    <row r="4630" spans="1:11" x14ac:dyDescent="0.35">
      <c r="A4630" s="9" t="str">
        <f>HYPERLINK("http://www.ensembl.org/id/WBGene00010187", "WBGene00010187")</f>
        <v>WBGene00010187</v>
      </c>
      <c r="B4630" s="9" t="str">
        <f>HYPERLINK("http://www.ncbi.nlm.nih.gov/gene/186434", "186434")</f>
        <v>186434</v>
      </c>
      <c r="C4630" s="9"/>
      <c r="D4630" t="str">
        <f>"F57B1.1"</f>
        <v>F57B1.1</v>
      </c>
      <c r="F4630" t="s">
        <v>11</v>
      </c>
      <c r="G4630" t="s">
        <v>25</v>
      </c>
      <c r="H4630" s="12">
        <v>3.65432698503475</v>
      </c>
      <c r="I4630" s="20">
        <v>1.3258685103768999</v>
      </c>
      <c r="J4630" s="28">
        <v>0.184883255049128</v>
      </c>
      <c r="K4630" s="29">
        <v>0.92307773802121096</v>
      </c>
    </row>
    <row r="4631" spans="1:11" x14ac:dyDescent="0.35">
      <c r="A4631" s="9" t="str">
        <f>HYPERLINK("http://www.ensembl.org/id/WBGene00004831", "WBGene00004831")</f>
        <v>WBGene00004831</v>
      </c>
      <c r="B4631" s="9" t="str">
        <f>HYPERLINK("http://www.ncbi.nlm.nih.gov/gene/181332", "181332")</f>
        <v>181332</v>
      </c>
      <c r="C4631" s="9" t="str">
        <f>HYPERLINK("http://www.ncbi.nlm.nih.gov/gene/57582", "57582")</f>
        <v>57582</v>
      </c>
      <c r="D4631" t="str">
        <f>"slo-2"</f>
        <v>slo-2</v>
      </c>
      <c r="E4631" t="s">
        <v>3671</v>
      </c>
      <c r="F4631" t="s">
        <v>11</v>
      </c>
      <c r="G4631" t="s">
        <v>3672</v>
      </c>
      <c r="H4631" s="12">
        <v>1.31449153996013</v>
      </c>
      <c r="I4631" s="20">
        <v>1.32572047078869</v>
      </c>
      <c r="J4631" s="28">
        <v>0.184932304199212</v>
      </c>
      <c r="K4631" s="29">
        <v>0.92310343936638595</v>
      </c>
    </row>
    <row r="4632" spans="1:11" x14ac:dyDescent="0.35">
      <c r="A4632" s="9" t="str">
        <f>HYPERLINK("http://www.ensembl.org/id/WBGene00023427", "WBGene00023427")</f>
        <v>WBGene00023427</v>
      </c>
      <c r="B4632" s="9" t="str">
        <f>HYPERLINK("http://www.ncbi.nlm.nih.gov/gene/3565957", "3565957")</f>
        <v>3565957</v>
      </c>
      <c r="C4632" s="9"/>
      <c r="D4632" t="str">
        <f>"F14D2.15"</f>
        <v>F14D2.15</v>
      </c>
      <c r="F4632" t="s">
        <v>11</v>
      </c>
      <c r="G4632" t="s">
        <v>54</v>
      </c>
      <c r="H4632" s="12">
        <v>-1.67425476393557</v>
      </c>
      <c r="I4632" s="20">
        <v>-1.32481360213398</v>
      </c>
      <c r="J4632" s="28">
        <v>0.18523298220413001</v>
      </c>
      <c r="K4632" s="29">
        <v>0.92356196549402902</v>
      </c>
    </row>
    <row r="4633" spans="1:11" x14ac:dyDescent="0.35">
      <c r="A4633" s="9" t="str">
        <f>HYPERLINK("http://www.ensembl.org/id/WBGene00009982", "WBGene00009982")</f>
        <v>WBGene00009982</v>
      </c>
      <c r="B4633" s="9" t="str">
        <f>HYPERLINK("http://www.ncbi.nlm.nih.gov/gene/179822", "179822")</f>
        <v>179822</v>
      </c>
      <c r="C4633" s="9"/>
      <c r="D4633" t="str">
        <f>"F53F1.4"</f>
        <v>F53F1.4</v>
      </c>
      <c r="F4633" t="s">
        <v>11</v>
      </c>
      <c r="H4633" s="12">
        <v>-1.6405649035215899</v>
      </c>
      <c r="I4633" s="20">
        <v>-1.32500198291684</v>
      </c>
      <c r="J4633" s="28">
        <v>0.18517049363323801</v>
      </c>
      <c r="K4633" s="29">
        <v>0.92356196549402902</v>
      </c>
    </row>
    <row r="4634" spans="1:11" x14ac:dyDescent="0.35">
      <c r="A4634" s="9" t="str">
        <f>HYPERLINK("http://www.ensembl.org/id/WBGene00001672", "WBGene00001672")</f>
        <v>WBGene00001672</v>
      </c>
      <c r="B4634" s="9" t="str">
        <f>HYPERLINK("http://www.ncbi.nlm.nih.gov/gene/179075", "179075")</f>
        <v>179075</v>
      </c>
      <c r="C4634" s="9"/>
      <c r="D4634" t="str">
        <f>"gpa-10"</f>
        <v>gpa-10</v>
      </c>
      <c r="E4634" t="s">
        <v>3673</v>
      </c>
      <c r="F4634" t="s">
        <v>11</v>
      </c>
      <c r="G4634" t="s">
        <v>1797</v>
      </c>
      <c r="H4634" s="12">
        <v>1.7929874722500201</v>
      </c>
      <c r="I4634" s="20">
        <v>1.32472014771713</v>
      </c>
      <c r="J4634" s="28">
        <v>0.185263988144414</v>
      </c>
      <c r="K4634" s="29">
        <v>0.92356196549402902</v>
      </c>
    </row>
    <row r="4635" spans="1:11" x14ac:dyDescent="0.35">
      <c r="A4635" s="9" t="str">
        <f>HYPERLINK("http://www.ensembl.org/id/WBGene00003791", "WBGene00003791")</f>
        <v>WBGene00003791</v>
      </c>
      <c r="B4635" s="9" t="str">
        <f>HYPERLINK("http://www.ncbi.nlm.nih.gov/gene/174779", "174779")</f>
        <v>174779</v>
      </c>
      <c r="C4635" s="9"/>
      <c r="D4635" t="str">
        <f>"npp-5"</f>
        <v>npp-5</v>
      </c>
      <c r="E4635" t="s">
        <v>3674</v>
      </c>
      <c r="F4635" t="s">
        <v>11</v>
      </c>
      <c r="G4635" t="s">
        <v>3675</v>
      </c>
      <c r="H4635" s="12">
        <v>-1.3467504006839901</v>
      </c>
      <c r="I4635" s="20">
        <v>-1.3249159571796101</v>
      </c>
      <c r="J4635" s="28">
        <v>0.185199027652479</v>
      </c>
      <c r="K4635" s="29">
        <v>0.92356196549402902</v>
      </c>
    </row>
    <row r="4636" spans="1:11" x14ac:dyDescent="0.35">
      <c r="A4636" s="9" t="str">
        <f>HYPERLINK("http://www.ensembl.org/id/WBGene00013907", "WBGene00013907")</f>
        <v>WBGene00013907</v>
      </c>
      <c r="B4636" s="9" t="str">
        <f>HYPERLINK("http://www.ncbi.nlm.nih.gov/gene/191175", "191175")</f>
        <v>191175</v>
      </c>
      <c r="C4636" s="9"/>
      <c r="D4636" t="str">
        <f>"sre-20"</f>
        <v>sre-20</v>
      </c>
      <c r="E4636" t="s">
        <v>2638</v>
      </c>
      <c r="F4636" t="s">
        <v>11</v>
      </c>
      <c r="G4636" t="s">
        <v>2639</v>
      </c>
      <c r="H4636" s="12">
        <v>6.5052383992059104</v>
      </c>
      <c r="I4636" s="20">
        <v>1.3250553983311999</v>
      </c>
      <c r="J4636" s="28">
        <v>0.185152777822646</v>
      </c>
      <c r="K4636" s="29">
        <v>0.92356196549402902</v>
      </c>
    </row>
    <row r="4637" spans="1:11" x14ac:dyDescent="0.35">
      <c r="A4637" s="9" t="str">
        <f>HYPERLINK("http://www.ensembl.org/id/WBGene00013104", "WBGene00013104")</f>
        <v>WBGene00013104</v>
      </c>
      <c r="B4637" s="9" t="str">
        <f>HYPERLINK("http://www.ncbi.nlm.nih.gov/gene/190148", "190148")</f>
        <v>190148</v>
      </c>
      <c r="C4637" s="9"/>
      <c r="D4637" t="str">
        <f>"Y51H4A.8"</f>
        <v>Y51H4A.8</v>
      </c>
      <c r="F4637" t="s">
        <v>11</v>
      </c>
      <c r="H4637" s="12">
        <v>1.3051078176959301</v>
      </c>
      <c r="I4637" s="20">
        <v>1.3251205275407401</v>
      </c>
      <c r="J4637" s="28">
        <v>0.18513117869928999</v>
      </c>
      <c r="K4637" s="29">
        <v>0.92356196549402902</v>
      </c>
    </row>
    <row r="4638" spans="1:11" x14ac:dyDescent="0.35">
      <c r="A4638" s="9" t="str">
        <f>HYPERLINK("http://www.ensembl.org/id/WBGene00021084", "WBGene00021084")</f>
        <v>WBGene00021084</v>
      </c>
      <c r="B4638" s="9" t="str">
        <f>HYPERLINK("http://www.ncbi.nlm.nih.gov/gene/177098", "177098")</f>
        <v>177098</v>
      </c>
      <c r="C4638" s="9"/>
      <c r="D4638" t="str">
        <f>"W08E12.3"</f>
        <v>W08E12.3</v>
      </c>
      <c r="F4638" t="s">
        <v>11</v>
      </c>
      <c r="G4638" t="s">
        <v>54</v>
      </c>
      <c r="H4638" s="12">
        <v>-5.9291563807030601</v>
      </c>
      <c r="I4638" s="20">
        <v>-1.32447456674658</v>
      </c>
      <c r="J4638" s="28">
        <v>0.18534548433531001</v>
      </c>
      <c r="K4638" s="29">
        <v>0.92376893033901297</v>
      </c>
    </row>
    <row r="4639" spans="1:11" x14ac:dyDescent="0.35">
      <c r="A4639" s="9" t="str">
        <f>HYPERLINK("http://www.ensembl.org/id/WBGene00000804", "WBGene00000804")</f>
        <v>WBGene00000804</v>
      </c>
      <c r="B4639" s="9" t="str">
        <f>HYPERLINK("http://www.ncbi.nlm.nih.gov/gene/175006", "175006")</f>
        <v>175006</v>
      </c>
      <c r="C4639" s="9"/>
      <c r="D4639" t="str">
        <f>"csc-1"</f>
        <v>csc-1</v>
      </c>
      <c r="E4639" t="s">
        <v>3678</v>
      </c>
      <c r="F4639" t="s">
        <v>11</v>
      </c>
      <c r="H4639" s="12">
        <v>-1.3911528646550499</v>
      </c>
      <c r="I4639" s="20">
        <v>-1.32407064170647</v>
      </c>
      <c r="J4639" s="28">
        <v>0.18547958476623999</v>
      </c>
      <c r="K4639" s="29">
        <v>0.92420562832110997</v>
      </c>
    </row>
    <row r="4640" spans="1:11" x14ac:dyDescent="0.35">
      <c r="A4640" s="9" t="str">
        <f>HYPERLINK("http://www.ensembl.org/id/WBGene00016150", "WBGene00016150")</f>
        <v>WBGene00016150</v>
      </c>
      <c r="B4640" s="9" t="str">
        <f>HYPERLINK("http://www.ncbi.nlm.nih.gov/gene/182943", "182943")</f>
        <v>182943</v>
      </c>
      <c r="C4640" s="9"/>
      <c r="D4640" t="str">
        <f>"hint-3"</f>
        <v>hint-3</v>
      </c>
      <c r="E4640" t="s">
        <v>3676</v>
      </c>
      <c r="F4640" t="s">
        <v>11</v>
      </c>
      <c r="G4640" t="s">
        <v>3677</v>
      </c>
      <c r="H4640" s="12">
        <v>1.3107296164114901</v>
      </c>
      <c r="I4640" s="20">
        <v>1.3238832753348</v>
      </c>
      <c r="J4640" s="28">
        <v>0.18554181351315499</v>
      </c>
      <c r="K4640" s="29">
        <v>0.92420562832110997</v>
      </c>
    </row>
    <row r="4641" spans="1:11" x14ac:dyDescent="0.35">
      <c r="A4641" s="9" t="str">
        <f>HYPERLINK("http://www.ensembl.org/id/WBGene00020824", "WBGene00020824")</f>
        <v>WBGene00020824</v>
      </c>
      <c r="B4641" s="9" t="str">
        <f>HYPERLINK("http://www.ncbi.nlm.nih.gov/gene/177644", "177644")</f>
        <v>177644</v>
      </c>
      <c r="C4641" s="9"/>
      <c r="D4641" t="str">
        <f>"T26A8.1"</f>
        <v>T26A8.1</v>
      </c>
      <c r="F4641" t="s">
        <v>11</v>
      </c>
      <c r="G4641" t="s">
        <v>25</v>
      </c>
      <c r="H4641" s="12">
        <v>-1.2857969422209501</v>
      </c>
      <c r="I4641" s="20">
        <v>-1.32384929994887</v>
      </c>
      <c r="J4641" s="28">
        <v>0.18555309918556301</v>
      </c>
      <c r="K4641" s="29">
        <v>0.92420562832110997</v>
      </c>
    </row>
    <row r="4642" spans="1:11" x14ac:dyDescent="0.35">
      <c r="A4642" s="9" t="str">
        <f>HYPERLINK("http://www.ensembl.org/id/WBGene00021252", "WBGene00021252")</f>
        <v>WBGene00021252</v>
      </c>
      <c r="B4642" s="9" t="str">
        <f>HYPERLINK("http://www.ncbi.nlm.nih.gov/gene/189507", "189507")</f>
        <v>189507</v>
      </c>
      <c r="C4642" s="9"/>
      <c r="D4642" t="str">
        <f>"cht-4"</f>
        <v>cht-4</v>
      </c>
      <c r="E4642" t="s">
        <v>3679</v>
      </c>
      <c r="F4642" t="s">
        <v>11</v>
      </c>
      <c r="G4642" t="s">
        <v>3680</v>
      </c>
      <c r="H4642" s="12">
        <v>2.09938134731085</v>
      </c>
      <c r="I4642" s="20">
        <v>1.32363895111714</v>
      </c>
      <c r="J4642" s="28">
        <v>0.18562298248150599</v>
      </c>
      <c r="K4642" s="29">
        <v>0.92427996211399999</v>
      </c>
    </row>
    <row r="4643" spans="1:11" x14ac:dyDescent="0.35">
      <c r="A4643" s="9" t="str">
        <f>HYPERLINK("http://www.ensembl.org/id/WBGene00008127", "WBGene00008127")</f>
        <v>WBGene00008127</v>
      </c>
      <c r="B4643" s="9" t="str">
        <f>HYPERLINK("http://www.ncbi.nlm.nih.gov/gene/183530", "183530")</f>
        <v>183530</v>
      </c>
      <c r="C4643" s="9"/>
      <c r="D4643" t="str">
        <f>"ddo-1"</f>
        <v>ddo-1</v>
      </c>
      <c r="E4643" t="s">
        <v>3681</v>
      </c>
      <c r="F4643" t="s">
        <v>11</v>
      </c>
      <c r="G4643" t="s">
        <v>3682</v>
      </c>
      <c r="H4643" s="12">
        <v>-1.3566771407198801</v>
      </c>
      <c r="I4643" s="20">
        <v>-1.32356358233197</v>
      </c>
      <c r="J4643" s="28">
        <v>0.185648026667146</v>
      </c>
      <c r="K4643" s="29">
        <v>0.92427996211399999</v>
      </c>
    </row>
    <row r="4644" spans="1:11" x14ac:dyDescent="0.35">
      <c r="A4644" s="9" t="str">
        <f>HYPERLINK("http://www.ensembl.org/id/WBGene00001876", "WBGene00001876")</f>
        <v>WBGene00001876</v>
      </c>
      <c r="B4644" s="9" t="str">
        <f>HYPERLINK("http://www.ncbi.nlm.nih.gov/gene/180074", "180074")</f>
        <v>180074</v>
      </c>
      <c r="C4644" s="9" t="str">
        <f>HYPERLINK("http://www.ncbi.nlm.nih.gov/gene/8356", "8356")</f>
        <v>8356</v>
      </c>
      <c r="D4644" t="str">
        <f>"his-2"</f>
        <v>his-2</v>
      </c>
      <c r="E4644" t="s">
        <v>3683</v>
      </c>
      <c r="F4644" t="s">
        <v>11</v>
      </c>
      <c r="G4644" t="s">
        <v>232</v>
      </c>
      <c r="H4644" s="12">
        <v>3.29717357938903</v>
      </c>
      <c r="I4644" s="20">
        <v>1.3227396999966201</v>
      </c>
      <c r="J4644" s="28">
        <v>0.18592195629989799</v>
      </c>
      <c r="K4644" s="29">
        <v>0.92501056642707302</v>
      </c>
    </row>
    <row r="4645" spans="1:11" x14ac:dyDescent="0.35">
      <c r="A4645" s="9" t="str">
        <f>HYPERLINK("http://www.ensembl.org/id/WBGene00016841", "WBGene00016841")</f>
        <v>WBGene00016841</v>
      </c>
      <c r="B4645" s="9" t="str">
        <f>HYPERLINK("http://www.ncbi.nlm.nih.gov/gene/183676", "183676")</f>
        <v>183676</v>
      </c>
      <c r="C4645" s="9"/>
      <c r="D4645" t="str">
        <f>"magu-3"</f>
        <v>magu-3</v>
      </c>
      <c r="E4645" t="s">
        <v>3684</v>
      </c>
      <c r="F4645" t="s">
        <v>11</v>
      </c>
      <c r="G4645" t="s">
        <v>3685</v>
      </c>
      <c r="H4645" s="12">
        <v>1.36845077809598</v>
      </c>
      <c r="I4645" s="20">
        <v>1.3228280809788899</v>
      </c>
      <c r="J4645" s="28">
        <v>0.185892556529904</v>
      </c>
      <c r="K4645" s="29">
        <v>0.92501056642707302</v>
      </c>
    </row>
    <row r="4646" spans="1:11" x14ac:dyDescent="0.35">
      <c r="A4646" s="9" t="str">
        <f>HYPERLINK("http://www.ensembl.org/id/WBGene00011451", "WBGene00011451")</f>
        <v>WBGene00011451</v>
      </c>
      <c r="B4646" s="9" t="str">
        <f>HYPERLINK("http://www.ncbi.nlm.nih.gov/gene/179679", "179679")</f>
        <v>179679</v>
      </c>
      <c r="C4646" s="9" t="str">
        <f>HYPERLINK("http://www.ncbi.nlm.nih.gov/gene/253635", "253635")</f>
        <v>253635</v>
      </c>
      <c r="D4646" t="str">
        <f>"T04H1.5"</f>
        <v>T04H1.5</v>
      </c>
      <c r="F4646" t="s">
        <v>11</v>
      </c>
      <c r="G4646" t="s">
        <v>3686</v>
      </c>
      <c r="H4646" s="12">
        <v>-1.33656305262893</v>
      </c>
      <c r="I4646" s="20">
        <v>-1.32288416277286</v>
      </c>
      <c r="J4646" s="28">
        <v>0.185873902807488</v>
      </c>
      <c r="K4646" s="29">
        <v>0.92501056642707302</v>
      </c>
    </row>
    <row r="4647" spans="1:11" x14ac:dyDescent="0.35">
      <c r="A4647" s="9" t="str">
        <f>HYPERLINK("http://www.ensembl.org/id/WBGene00016761", "WBGene00016761")</f>
        <v>WBGene00016761</v>
      </c>
      <c r="B4647" s="9" t="str">
        <f>HYPERLINK("http://www.ncbi.nlm.nih.gov/gene/183595", "183595")</f>
        <v>183595</v>
      </c>
      <c r="C4647" s="9" t="str">
        <f>HYPERLINK("http://www.ncbi.nlm.nih.gov/gene/6870", "6870")</f>
        <v>6870</v>
      </c>
      <c r="D4647" t="str">
        <f>"tkr-2"</f>
        <v>tkr-2</v>
      </c>
      <c r="E4647" t="s">
        <v>2584</v>
      </c>
      <c r="F4647" t="s">
        <v>11</v>
      </c>
      <c r="G4647" t="s">
        <v>271</v>
      </c>
      <c r="H4647" s="12">
        <v>2.0144253456461101</v>
      </c>
      <c r="I4647" s="20">
        <v>1.32264065657082</v>
      </c>
      <c r="J4647" s="28">
        <v>0.185954906996181</v>
      </c>
      <c r="K4647" s="29">
        <v>0.92501056642707302</v>
      </c>
    </row>
    <row r="4648" spans="1:11" x14ac:dyDescent="0.35">
      <c r="A4648" s="9" t="str">
        <f>HYPERLINK("http://www.ensembl.org/id/WBGene00014046", "WBGene00014046")</f>
        <v>WBGene00014046</v>
      </c>
      <c r="B4648" s="9" t="str">
        <f>HYPERLINK("http://www.ncbi.nlm.nih.gov/gene/191384", "191384")</f>
        <v>191384</v>
      </c>
      <c r="C4648" s="9"/>
      <c r="D4648" t="str">
        <f>"clec-60"</f>
        <v>clec-60</v>
      </c>
      <c r="E4648" t="s">
        <v>46</v>
      </c>
      <c r="F4648" t="s">
        <v>11</v>
      </c>
      <c r="G4648" t="s">
        <v>84</v>
      </c>
      <c r="H4648" s="12">
        <v>-1.4624051212123199</v>
      </c>
      <c r="I4648" s="20">
        <v>-1.3223320362630899</v>
      </c>
      <c r="J4648" s="28">
        <v>0.18605760937976401</v>
      </c>
      <c r="K4648" s="29">
        <v>0.92512311648995804</v>
      </c>
    </row>
    <row r="4649" spans="1:11" x14ac:dyDescent="0.35">
      <c r="A4649" s="9" t="str">
        <f>HYPERLINK("http://www.ensembl.org/id/WBGene00018758", "WBGene00018758")</f>
        <v>WBGene00018758</v>
      </c>
      <c r="B4649" s="9" t="str">
        <f>HYPERLINK("http://www.ncbi.nlm.nih.gov/gene/178729", "178729")</f>
        <v>178729</v>
      </c>
      <c r="C4649" s="9" t="str">
        <f>HYPERLINK("http://www.ncbi.nlm.nih.gov/gene/64757", "64757")</f>
        <v>64757</v>
      </c>
      <c r="D4649" t="str">
        <f>"F53E10.1"</f>
        <v>F53E10.1</v>
      </c>
      <c r="F4649" t="s">
        <v>11</v>
      </c>
      <c r="G4649" t="s">
        <v>3687</v>
      </c>
      <c r="H4649" s="12">
        <v>1.2941666007193999</v>
      </c>
      <c r="I4649" s="20">
        <v>1.32238302587474</v>
      </c>
      <c r="J4649" s="28">
        <v>0.18604063821274799</v>
      </c>
      <c r="K4649" s="29">
        <v>0.92512311648995804</v>
      </c>
    </row>
    <row r="4650" spans="1:11" x14ac:dyDescent="0.35">
      <c r="A4650" s="9" t="str">
        <f>HYPERLINK("http://www.ensembl.org/id/WBGene00020735", "WBGene00020735")</f>
        <v>WBGene00020735</v>
      </c>
      <c r="B4650" s="9" t="str">
        <f>HYPERLINK("http://www.ncbi.nlm.nih.gov/gene/180822", "180822")</f>
        <v>180822</v>
      </c>
      <c r="C4650" s="9"/>
      <c r="D4650" t="str">
        <f>"T23F2.2"</f>
        <v>T23F2.2</v>
      </c>
      <c r="F4650" t="s">
        <v>11</v>
      </c>
      <c r="H4650" s="12">
        <v>1.41619180281523</v>
      </c>
      <c r="I4650" s="20">
        <v>1.32215958874268</v>
      </c>
      <c r="J4650" s="28">
        <v>0.186115014563867</v>
      </c>
      <c r="K4650" s="29">
        <v>0.92520945062665805</v>
      </c>
    </row>
    <row r="4651" spans="1:11" x14ac:dyDescent="0.35">
      <c r="A4651" s="9" t="str">
        <f>HYPERLINK("http://www.ensembl.org/id/WBGene00016323", "WBGene00016323")</f>
        <v>WBGene00016323</v>
      </c>
      <c r="B4651" s="9" t="str">
        <f>HYPERLINK("http://www.ncbi.nlm.nih.gov/gene/171946", "171946")</f>
        <v>171946</v>
      </c>
      <c r="C4651" s="9"/>
      <c r="D4651" t="str">
        <f>"C32E8.5"</f>
        <v>C32E8.5</v>
      </c>
      <c r="F4651" t="s">
        <v>11</v>
      </c>
      <c r="G4651" t="s">
        <v>3692</v>
      </c>
      <c r="H4651" s="12">
        <v>-1.31709831310388</v>
      </c>
      <c r="I4651" s="20">
        <v>-1.32046477947743</v>
      </c>
      <c r="J4651" s="28">
        <v>0.18667988776223499</v>
      </c>
      <c r="K4651" s="29">
        <v>0.92523069211372799</v>
      </c>
    </row>
    <row r="4652" spans="1:11" x14ac:dyDescent="0.35">
      <c r="A4652" s="9" t="str">
        <f>HYPERLINK("http://www.ensembl.org/id/WBGene00001590", "WBGene00001590")</f>
        <v>WBGene00001590</v>
      </c>
      <c r="B4652" s="9" t="str">
        <f>HYPERLINK("http://www.ncbi.nlm.nih.gov/gene/183473", "183473")</f>
        <v>183473</v>
      </c>
      <c r="C4652" s="9" t="str">
        <f>HYPERLINK("http://www.ncbi.nlm.nih.gov/gene/51601", "51601")</f>
        <v>51601</v>
      </c>
      <c r="D4652" t="str">
        <f>"C45G3.3"</f>
        <v>C45G3.3</v>
      </c>
      <c r="F4652" t="s">
        <v>11</v>
      </c>
      <c r="G4652" t="s">
        <v>3696</v>
      </c>
      <c r="H4652" s="12">
        <v>-1.4397079608207499</v>
      </c>
      <c r="I4652" s="20">
        <v>-1.3205528148338299</v>
      </c>
      <c r="J4652" s="28">
        <v>0.18665051477598399</v>
      </c>
      <c r="K4652" s="29">
        <v>0.92523069211372799</v>
      </c>
    </row>
    <row r="4653" spans="1:11" x14ac:dyDescent="0.35">
      <c r="A4653" s="9" t="str">
        <f>HYPERLINK("http://www.ensembl.org/id/WBGene00016674", "WBGene00016674")</f>
        <v>WBGene00016674</v>
      </c>
      <c r="B4653" s="9" t="str">
        <f>HYPERLINK("http://www.ncbi.nlm.nih.gov/gene/183479", "183479")</f>
        <v>183479</v>
      </c>
      <c r="C4653" s="9" t="str">
        <f>HYPERLINK("http://www.ncbi.nlm.nih.gov/gene/11062", "11062")</f>
        <v>11062</v>
      </c>
      <c r="D4653" t="str">
        <f>"C45G9.2"</f>
        <v>C45G9.2</v>
      </c>
      <c r="E4653" t="s">
        <v>3694</v>
      </c>
      <c r="F4653" t="s">
        <v>11</v>
      </c>
      <c r="G4653" t="s">
        <v>3695</v>
      </c>
      <c r="H4653" s="12">
        <v>-1.4279429195950799</v>
      </c>
      <c r="I4653" s="20">
        <v>-1.32075097590031</v>
      </c>
      <c r="J4653" s="28">
        <v>0.18658441085253899</v>
      </c>
      <c r="K4653" s="29">
        <v>0.92523069211372799</v>
      </c>
    </row>
    <row r="4654" spans="1:11" x14ac:dyDescent="0.35">
      <c r="A4654" s="9" t="str">
        <f>HYPERLINK("http://www.ensembl.org/id/WBGene00015651", "WBGene00015651")</f>
        <v>WBGene00015651</v>
      </c>
      <c r="B4654" s="9" t="str">
        <f>HYPERLINK("http://www.ncbi.nlm.nih.gov/gene/182467", "182467")</f>
        <v>182467</v>
      </c>
      <c r="C4654" s="9"/>
      <c r="D4654" t="str">
        <f>"ceh-53"</f>
        <v>ceh-53</v>
      </c>
      <c r="E4654" t="s">
        <v>349</v>
      </c>
      <c r="F4654" t="s">
        <v>11</v>
      </c>
      <c r="G4654" t="s">
        <v>3688</v>
      </c>
      <c r="H4654" s="12">
        <v>2.07091543591577</v>
      </c>
      <c r="I4654" s="20">
        <v>1.3206759688928</v>
      </c>
      <c r="J4654" s="28">
        <v>0.18660943016817599</v>
      </c>
      <c r="K4654" s="29">
        <v>0.92523069211372799</v>
      </c>
    </row>
    <row r="4655" spans="1:11" x14ac:dyDescent="0.35">
      <c r="A4655" s="9" t="str">
        <f>HYPERLINK("http://www.ensembl.org/id/WBGene00017306", "WBGene00017306")</f>
        <v>WBGene00017306</v>
      </c>
      <c r="B4655" s="9" t="str">
        <f>HYPERLINK("http://www.ncbi.nlm.nih.gov/gene/184262", "184262")</f>
        <v>184262</v>
      </c>
      <c r="C4655" s="9"/>
      <c r="D4655" t="str">
        <f>"F09F9.1"</f>
        <v>F09F9.1</v>
      </c>
      <c r="F4655" t="s">
        <v>11</v>
      </c>
      <c r="G4655" t="s">
        <v>25</v>
      </c>
      <c r="H4655" s="12">
        <v>1.3583498016948501</v>
      </c>
      <c r="I4655" s="20">
        <v>1.32061202830757</v>
      </c>
      <c r="J4655" s="28">
        <v>0.18663076012820101</v>
      </c>
      <c r="K4655" s="29">
        <v>0.92523069211372799</v>
      </c>
    </row>
    <row r="4656" spans="1:11" x14ac:dyDescent="0.35">
      <c r="A4656" s="9" t="str">
        <f>HYPERLINK("http://www.ensembl.org/id/WBGene00009138", "WBGene00009138")</f>
        <v>WBGene00009138</v>
      </c>
      <c r="B4656" s="9" t="str">
        <f>HYPERLINK("http://www.ncbi.nlm.nih.gov/gene/179829", "179829")</f>
        <v>179829</v>
      </c>
      <c r="C4656" s="9" t="str">
        <f>HYPERLINK("http://www.ncbi.nlm.nih.gov/gene/60490", "60490")</f>
        <v>60490</v>
      </c>
      <c r="D4656" t="str">
        <f>"F25H9.6"</f>
        <v>F25H9.6</v>
      </c>
      <c r="F4656" t="s">
        <v>11</v>
      </c>
      <c r="G4656" t="s">
        <v>3693</v>
      </c>
      <c r="H4656" s="12">
        <v>-1.3811224787957599</v>
      </c>
      <c r="I4656" s="20">
        <v>-1.3208612320403801</v>
      </c>
      <c r="J4656" s="28">
        <v>0.186547638345648</v>
      </c>
      <c r="K4656" s="29">
        <v>0.92523069211372799</v>
      </c>
    </row>
    <row r="4657" spans="1:11" x14ac:dyDescent="0.35">
      <c r="A4657" s="9" t="str">
        <f>HYPERLINK("http://www.ensembl.org/id/WBGene00009888", "WBGene00009888")</f>
        <v>WBGene00009888</v>
      </c>
      <c r="B4657" s="9" t="str">
        <f>HYPERLINK("http://www.ncbi.nlm.nih.gov/gene/181175", "181175")</f>
        <v>181175</v>
      </c>
      <c r="C4657" s="9"/>
      <c r="D4657" t="str">
        <f>"F49E2.5"</f>
        <v>F49E2.5</v>
      </c>
      <c r="F4657" t="s">
        <v>11</v>
      </c>
      <c r="H4657" s="12">
        <v>1.2689855993150601</v>
      </c>
      <c r="I4657" s="20">
        <v>1.3219422259153499</v>
      </c>
      <c r="J4657" s="28">
        <v>0.18618739002596801</v>
      </c>
      <c r="K4657" s="29">
        <v>0.92523069211372799</v>
      </c>
    </row>
    <row r="4658" spans="1:11" x14ac:dyDescent="0.35">
      <c r="A4658" s="9" t="str">
        <f>HYPERLINK("http://www.ensembl.org/id/WBGene00002497", "WBGene00002497")</f>
        <v>WBGene00002497</v>
      </c>
      <c r="B4658" s="9" t="str">
        <f>HYPERLINK("http://www.ncbi.nlm.nih.gov/gene/174564", "174564")</f>
        <v>174564</v>
      </c>
      <c r="C4658" s="9" t="str">
        <f>HYPERLINK("http://www.ncbi.nlm.nih.gov/gene/8985", "8985")</f>
        <v>8985</v>
      </c>
      <c r="D4658" t="str">
        <f>"let-268"</f>
        <v>let-268</v>
      </c>
      <c r="E4658" t="s">
        <v>3690</v>
      </c>
      <c r="F4658" t="s">
        <v>11</v>
      </c>
      <c r="G4658" t="s">
        <v>3691</v>
      </c>
      <c r="H4658" s="12">
        <v>-1.30608255289325</v>
      </c>
      <c r="I4658" s="20">
        <v>-1.3213481045956501</v>
      </c>
      <c r="J4658" s="28">
        <v>0.18638532117287701</v>
      </c>
      <c r="K4658" s="29">
        <v>0.92523069211372799</v>
      </c>
    </row>
    <row r="4659" spans="1:11" x14ac:dyDescent="0.35">
      <c r="A4659" s="9" t="str">
        <f>HYPERLINK("http://www.ensembl.org/id/WBGene00003677", "WBGene00003677")</f>
        <v>WBGene00003677</v>
      </c>
      <c r="B4659" s="9" t="str">
        <f>HYPERLINK("http://www.ncbi.nlm.nih.gov/gene/176972", "176972")</f>
        <v>176972</v>
      </c>
      <c r="C4659" s="9"/>
      <c r="D4659" t="str">
        <f>"nhr-87"</f>
        <v>nhr-87</v>
      </c>
      <c r="E4659" t="s">
        <v>637</v>
      </c>
      <c r="F4659" t="s">
        <v>11</v>
      </c>
      <c r="G4659" t="s">
        <v>2013</v>
      </c>
      <c r="H4659" s="12">
        <v>1.3691197679601901</v>
      </c>
      <c r="I4659" s="20">
        <v>1.32065948960994</v>
      </c>
      <c r="J4659" s="28">
        <v>0.18661492732506599</v>
      </c>
      <c r="K4659" s="29">
        <v>0.92523069211372799</v>
      </c>
    </row>
    <row r="4660" spans="1:11" x14ac:dyDescent="0.35">
      <c r="A4660" s="9" t="str">
        <f>HYPERLINK("http://www.ensembl.org/id/WBGene00013144", "WBGene00013144")</f>
        <v>WBGene00013144</v>
      </c>
      <c r="B4660" s="9" t="str">
        <f>HYPERLINK("http://www.ncbi.nlm.nih.gov/gene/174534", "174534")</f>
        <v>174534</v>
      </c>
      <c r="C4660" s="9" t="str">
        <f>HYPERLINK("http://www.ncbi.nlm.nih.gov/gene/56902", "56902")</f>
        <v>56902</v>
      </c>
      <c r="D4660" t="str">
        <f>"pno-1"</f>
        <v>pno-1</v>
      </c>
      <c r="E4660" t="s">
        <v>3689</v>
      </c>
      <c r="F4660" t="s">
        <v>11</v>
      </c>
      <c r="G4660" t="s">
        <v>2343</v>
      </c>
      <c r="H4660" s="12">
        <v>-1.28828371190765</v>
      </c>
      <c r="I4660" s="20">
        <v>-1.3218216699188701</v>
      </c>
      <c r="J4660" s="28">
        <v>0.18622754061261901</v>
      </c>
      <c r="K4660" s="29">
        <v>0.92523069211372799</v>
      </c>
    </row>
    <row r="4661" spans="1:11" x14ac:dyDescent="0.35">
      <c r="A4661" s="9" t="str">
        <f>HYPERLINK("http://www.ensembl.org/id/WBGene00010979", "WBGene00010979")</f>
        <v>WBGene00010979</v>
      </c>
      <c r="B4661" s="9" t="str">
        <f>HYPERLINK("http://www.ncbi.nlm.nih.gov/gene/187523", "187523")</f>
        <v>187523</v>
      </c>
      <c r="C4661" s="9"/>
      <c r="D4661" t="str">
        <f>"R02D5.6"</f>
        <v>R02D5.6</v>
      </c>
      <c r="E4661" t="s">
        <v>1828</v>
      </c>
      <c r="F4661" t="s">
        <v>11</v>
      </c>
      <c r="G4661" t="s">
        <v>1829</v>
      </c>
      <c r="H4661" s="12">
        <v>2.23316810321468</v>
      </c>
      <c r="I4661" s="20">
        <v>1.32081273715142</v>
      </c>
      <c r="J4661" s="28">
        <v>0.18656381164812499</v>
      </c>
      <c r="K4661" s="29">
        <v>0.92523069211372799</v>
      </c>
    </row>
    <row r="4662" spans="1:11" x14ac:dyDescent="0.35">
      <c r="A4662" s="9" t="str">
        <f>HYPERLINK("http://www.ensembl.org/id/WBGene00011266", "WBGene00011266")</f>
        <v>WBGene00011266</v>
      </c>
      <c r="B4662" s="9" t="str">
        <f>HYPERLINK("http://www.ncbi.nlm.nih.gov/gene/3565494", "3565494")</f>
        <v>3565494</v>
      </c>
      <c r="C4662" s="9"/>
      <c r="D4662" t="str">
        <f>"R13H4.8"</f>
        <v>R13H4.8</v>
      </c>
      <c r="F4662" t="s">
        <v>11</v>
      </c>
      <c r="H4662" s="12">
        <v>2.04780103030168</v>
      </c>
      <c r="I4662" s="20">
        <v>1.3217715923017499</v>
      </c>
      <c r="J4662" s="28">
        <v>0.186244220599735</v>
      </c>
      <c r="K4662" s="29">
        <v>0.92523069211372799</v>
      </c>
    </row>
    <row r="4663" spans="1:11" x14ac:dyDescent="0.35">
      <c r="A4663" s="9" t="str">
        <f>HYPERLINK("http://www.ensembl.org/id/WBGene00012776", "WBGene00012776")</f>
        <v>WBGene00012776</v>
      </c>
      <c r="B4663" s="9" t="str">
        <f>HYPERLINK("http://www.ncbi.nlm.nih.gov/gene/179536", "179536")</f>
        <v>179536</v>
      </c>
      <c r="C4663" s="9"/>
      <c r="D4663" t="str">
        <f>"Y42A5A.1"</f>
        <v>Y42A5A.1</v>
      </c>
      <c r="E4663" t="s">
        <v>594</v>
      </c>
      <c r="F4663" t="s">
        <v>11</v>
      </c>
      <c r="G4663" t="s">
        <v>595</v>
      </c>
      <c r="H4663" s="12">
        <v>1.5499683486981799</v>
      </c>
      <c r="I4663" s="20">
        <v>1.3209568169158501</v>
      </c>
      <c r="J4663" s="28">
        <v>0.18651576331632699</v>
      </c>
      <c r="K4663" s="29">
        <v>0.92523069211372799</v>
      </c>
    </row>
    <row r="4664" spans="1:11" x14ac:dyDescent="0.35">
      <c r="A4664" s="9" t="str">
        <f>HYPERLINK("http://www.ensembl.org/id/WBGene00013252", "WBGene00013252")</f>
        <v>WBGene00013252</v>
      </c>
      <c r="B4664" s="9" t="str">
        <f>HYPERLINK("http://www.ncbi.nlm.nih.gov/gene/190335", "190335")</f>
        <v>190335</v>
      </c>
      <c r="C4664" s="9"/>
      <c r="D4664" t="str">
        <f>"Y57A10A.7"</f>
        <v>Y57A10A.7</v>
      </c>
      <c r="F4664" t="s">
        <v>11</v>
      </c>
      <c r="H4664" s="12">
        <v>-1.8629698092837199</v>
      </c>
      <c r="I4664" s="20">
        <v>-1.3215066196173999</v>
      </c>
      <c r="J4664" s="28">
        <v>0.18633249679033301</v>
      </c>
      <c r="K4664" s="29">
        <v>0.92523069211372799</v>
      </c>
    </row>
    <row r="4665" spans="1:11" x14ac:dyDescent="0.35">
      <c r="A4665" s="9" t="str">
        <f>HYPERLINK("http://www.ensembl.org/id/WBGene00004928", "WBGene00004928")</f>
        <v>WBGene00004928</v>
      </c>
      <c r="B4665" s="9" t="str">
        <f>HYPERLINK("http://www.ncbi.nlm.nih.gov/gene/178855", "178855")</f>
        <v>178855</v>
      </c>
      <c r="C4665" s="9"/>
      <c r="D4665" t="str">
        <f>"soc-1"</f>
        <v>soc-1</v>
      </c>
      <c r="E4665" t="s">
        <v>3697</v>
      </c>
      <c r="F4665" t="s">
        <v>11</v>
      </c>
      <c r="G4665" t="s">
        <v>3698</v>
      </c>
      <c r="H4665" s="12">
        <v>1.3669639745565101</v>
      </c>
      <c r="I4665" s="20">
        <v>1.3201383142769401</v>
      </c>
      <c r="J4665" s="28">
        <v>0.18678884265000001</v>
      </c>
      <c r="K4665" s="29">
        <v>0.92557216347220705</v>
      </c>
    </row>
    <row r="4666" spans="1:11" x14ac:dyDescent="0.35">
      <c r="A4666" s="9" t="str">
        <f>HYPERLINK("http://www.ensembl.org/id/WBGene00015481", "WBGene00015481")</f>
        <v>WBGene00015481</v>
      </c>
      <c r="B4666" s="9" t="str">
        <f>HYPERLINK("http://www.ncbi.nlm.nih.gov/gene/175914", "175914")</f>
        <v>175914</v>
      </c>
      <c r="C4666" s="9"/>
      <c r="D4666" t="str">
        <f>"C05D11.1"</f>
        <v>C05D11.1</v>
      </c>
      <c r="F4666" t="s">
        <v>11</v>
      </c>
      <c r="G4666" t="s">
        <v>3151</v>
      </c>
      <c r="H4666" s="12">
        <v>-1.2757920230884501</v>
      </c>
      <c r="I4666" s="20">
        <v>-1.31746276044727</v>
      </c>
      <c r="J4666" s="28">
        <v>0.18768355575714199</v>
      </c>
      <c r="K4666" s="29">
        <v>0.92558703629806605</v>
      </c>
    </row>
    <row r="4667" spans="1:11" x14ac:dyDescent="0.35">
      <c r="A4667" s="9" t="str">
        <f>HYPERLINK("http://www.ensembl.org/id/WBGene00016145", "WBGene00016145")</f>
        <v>WBGene00016145</v>
      </c>
      <c r="B4667" s="9" t="str">
        <f>HYPERLINK("http://www.ncbi.nlm.nih.gov/gene/175664", "175664")</f>
        <v>175664</v>
      </c>
      <c r="C4667" s="9" t="str">
        <f>HYPERLINK("http://www.ncbi.nlm.nih.gov/gene/85865", "85865")</f>
        <v>85865</v>
      </c>
      <c r="D4667" t="str">
        <f>"C26E6.12"</f>
        <v>C26E6.12</v>
      </c>
      <c r="F4667" t="s">
        <v>11</v>
      </c>
      <c r="G4667" t="s">
        <v>3712</v>
      </c>
      <c r="H4667" s="12">
        <v>-1.3780355119507799</v>
      </c>
      <c r="I4667" s="20">
        <v>-1.31701570640598</v>
      </c>
      <c r="J4667" s="28">
        <v>0.18783335987196501</v>
      </c>
      <c r="K4667" s="29">
        <v>0.92558703629806605</v>
      </c>
    </row>
    <row r="4668" spans="1:11" x14ac:dyDescent="0.35">
      <c r="A4668" s="9" t="str">
        <f>HYPERLINK("http://www.ensembl.org/id/WBGene00044167", "WBGene00044167")</f>
        <v>WBGene00044167</v>
      </c>
      <c r="B4668" s="9" t="str">
        <f>HYPERLINK("http://www.ncbi.nlm.nih.gov/gene/3565918", "3565918")</f>
        <v>3565918</v>
      </c>
      <c r="C4668" s="9"/>
      <c r="D4668" t="str">
        <f>"C36A4.11"</f>
        <v>C36A4.11</v>
      </c>
      <c r="F4668" t="s">
        <v>11</v>
      </c>
      <c r="H4668" s="12">
        <v>-1.46278462406357</v>
      </c>
      <c r="I4668" s="20">
        <v>-1.3188819729438199</v>
      </c>
      <c r="J4668" s="28">
        <v>0.187208573746035</v>
      </c>
      <c r="K4668" s="29">
        <v>0.92558703629806605</v>
      </c>
    </row>
    <row r="4669" spans="1:11" x14ac:dyDescent="0.35">
      <c r="A4669" s="9" t="str">
        <f>HYPERLINK("http://www.ensembl.org/id/WBGene00000491", "WBGene00000491")</f>
        <v>WBGene00000491</v>
      </c>
      <c r="B4669" s="9" t="str">
        <f>HYPERLINK("http://www.ncbi.nlm.nih.gov/gene/179433", "179433")</f>
        <v>179433</v>
      </c>
      <c r="C4669" s="9"/>
      <c r="D4669" t="str">
        <f>"che-12"</f>
        <v>che-12</v>
      </c>
      <c r="E4669" t="s">
        <v>3700</v>
      </c>
      <c r="F4669" t="s">
        <v>11</v>
      </c>
      <c r="H4669" s="12">
        <v>1.5611943032934401</v>
      </c>
      <c r="I4669" s="20">
        <v>1.31881664302438</v>
      </c>
      <c r="J4669" s="28">
        <v>0.18723041885421701</v>
      </c>
      <c r="K4669" s="29">
        <v>0.92558703629806605</v>
      </c>
    </row>
    <row r="4670" spans="1:11" x14ac:dyDescent="0.35">
      <c r="A4670" s="9" t="str">
        <f>HYPERLINK("http://www.ensembl.org/id/WBGene00020712", "WBGene00020712")</f>
        <v>WBGene00020712</v>
      </c>
      <c r="B4670" s="9" t="str">
        <f>HYPERLINK("http://www.ncbi.nlm.nih.gov/gene/188774", "188774")</f>
        <v>188774</v>
      </c>
      <c r="C4670" s="9" t="str">
        <f>HYPERLINK("http://www.ncbi.nlm.nih.gov/gene/886", "886")</f>
        <v>886</v>
      </c>
      <c r="D4670" t="str">
        <f>"ckr-1"</f>
        <v>ckr-1</v>
      </c>
      <c r="E4670" t="s">
        <v>3701</v>
      </c>
      <c r="F4670" t="s">
        <v>11</v>
      </c>
      <c r="G4670" t="s">
        <v>3702</v>
      </c>
      <c r="H4670" s="12">
        <v>1.54889410378773</v>
      </c>
      <c r="I4670" s="20">
        <v>1.31719117569844</v>
      </c>
      <c r="J4670" s="28">
        <v>0.187774551044713</v>
      </c>
      <c r="K4670" s="29">
        <v>0.92558703629806605</v>
      </c>
    </row>
    <row r="4671" spans="1:11" x14ac:dyDescent="0.35">
      <c r="A4671" s="9" t="str">
        <f>HYPERLINK("http://www.ensembl.org/id/WBGene00001093", "WBGene00001093")</f>
        <v>WBGene00001093</v>
      </c>
      <c r="B4671" s="9" t="str">
        <f>HYPERLINK("http://www.ncbi.nlm.nih.gov/gene/177336", "177336")</f>
        <v>177336</v>
      </c>
      <c r="C4671" s="9" t="str">
        <f>HYPERLINK("http://www.ncbi.nlm.nih.gov/gene/10059", "10059")</f>
        <v>10059</v>
      </c>
      <c r="D4671" t="str">
        <f>"drp-1"</f>
        <v>drp-1</v>
      </c>
      <c r="E4671" t="s">
        <v>3706</v>
      </c>
      <c r="F4671" t="s">
        <v>11</v>
      </c>
      <c r="G4671" t="s">
        <v>3707</v>
      </c>
      <c r="H4671" s="12">
        <v>-1.2794117972905801</v>
      </c>
      <c r="I4671" s="20">
        <v>-1.31966666215712</v>
      </c>
      <c r="J4671" s="28">
        <v>0.18694633534001601</v>
      </c>
      <c r="K4671" s="29">
        <v>0.92558703629806605</v>
      </c>
    </row>
    <row r="4672" spans="1:11" x14ac:dyDescent="0.35">
      <c r="A4672" s="9" t="str">
        <f>HYPERLINK("http://www.ensembl.org/id/WBGene00008453", "WBGene00008453")</f>
        <v>WBGene00008453</v>
      </c>
      <c r="B4672" s="9" t="str">
        <f>HYPERLINK("http://www.ncbi.nlm.nih.gov/gene/179722", "179722")</f>
        <v>179722</v>
      </c>
      <c r="C4672" s="9"/>
      <c r="D4672" t="str">
        <f>"E02A10.3"</f>
        <v>E02A10.3</v>
      </c>
      <c r="F4672" t="s">
        <v>11</v>
      </c>
      <c r="G4672" t="s">
        <v>325</v>
      </c>
      <c r="H4672" s="12">
        <v>1.3547673091913</v>
      </c>
      <c r="I4672" s="20">
        <v>1.3190872650994201</v>
      </c>
      <c r="J4672" s="28">
        <v>0.187139940122757</v>
      </c>
      <c r="K4672" s="29">
        <v>0.92558703629806605</v>
      </c>
    </row>
    <row r="4673" spans="1:11" x14ac:dyDescent="0.35">
      <c r="A4673" s="9" t="str">
        <f>HYPERLINK("http://www.ensembl.org/id/WBGene00017011", "WBGene00017011")</f>
        <v>WBGene00017011</v>
      </c>
      <c r="B4673" s="9" t="str">
        <f>HYPERLINK("http://www.ncbi.nlm.nih.gov/gene/172065", "172065")</f>
        <v>172065</v>
      </c>
      <c r="C4673" s="9"/>
      <c r="D4673" t="str">
        <f>"eaf-1"</f>
        <v>eaf-1</v>
      </c>
      <c r="E4673" t="s">
        <v>3709</v>
      </c>
      <c r="F4673" t="s">
        <v>11</v>
      </c>
      <c r="G4673" t="s">
        <v>3710</v>
      </c>
      <c r="H4673" s="12">
        <v>-1.3370807292578399</v>
      </c>
      <c r="I4673" s="20">
        <v>-1.3176695456467999</v>
      </c>
      <c r="J4673" s="28">
        <v>0.18761429358255399</v>
      </c>
      <c r="K4673" s="29">
        <v>0.92558703629806605</v>
      </c>
    </row>
    <row r="4674" spans="1:11" x14ac:dyDescent="0.35">
      <c r="A4674" s="9" t="str">
        <f>HYPERLINK("http://www.ensembl.org/id/WBGene00001151", "WBGene00001151")</f>
        <v>WBGene00001151</v>
      </c>
      <c r="B4674" s="9" t="str">
        <f>HYPERLINK("http://www.ncbi.nlm.nih.gov/gene/3564942", "3564942")</f>
        <v>3564942</v>
      </c>
      <c r="C4674" s="9" t="str">
        <f>HYPERLINK("http://www.ncbi.nlm.nih.gov/gene/79746", "79746")</f>
        <v>79746</v>
      </c>
      <c r="D4674" t="str">
        <f>"ech-2"</f>
        <v>ech-2</v>
      </c>
      <c r="E4674" t="s">
        <v>667</v>
      </c>
      <c r="F4674" t="s">
        <v>11</v>
      </c>
      <c r="G4674" t="s">
        <v>3711</v>
      </c>
      <c r="H4674" s="12">
        <v>-1.35443669467209</v>
      </c>
      <c r="I4674" s="20">
        <v>-1.3185200717902701</v>
      </c>
      <c r="J4674" s="28">
        <v>0.18732961041830101</v>
      </c>
      <c r="K4674" s="29">
        <v>0.92558703629806605</v>
      </c>
    </row>
    <row r="4675" spans="1:11" x14ac:dyDescent="0.35">
      <c r="A4675" s="9" t="str">
        <f>HYPERLINK("http://www.ensembl.org/id/WBGene00010325", "WBGene00010325")</f>
        <v>WBGene00010325</v>
      </c>
      <c r="B4675" s="9" t="str">
        <f>HYPERLINK("http://www.ncbi.nlm.nih.gov/gene/186604", "186604")</f>
        <v>186604</v>
      </c>
      <c r="C4675" s="9" t="str">
        <f>HYPERLINK("http://www.ncbi.nlm.nih.gov/gene/51010", "51010")</f>
        <v>51010</v>
      </c>
      <c r="D4675" t="str">
        <f>"exos-3"</f>
        <v>exos-3</v>
      </c>
      <c r="E4675" t="s">
        <v>2299</v>
      </c>
      <c r="F4675" t="s">
        <v>11</v>
      </c>
      <c r="G4675" t="s">
        <v>2321</v>
      </c>
      <c r="H4675" s="12">
        <v>-1.37865302453409</v>
      </c>
      <c r="I4675" s="20">
        <v>-1.3176831680368399</v>
      </c>
      <c r="J4675" s="28">
        <v>0.18760973146030099</v>
      </c>
      <c r="K4675" s="29">
        <v>0.92558703629806605</v>
      </c>
    </row>
    <row r="4676" spans="1:11" x14ac:dyDescent="0.35">
      <c r="A4676" s="9" t="str">
        <f>HYPERLINK("http://www.ensembl.org/id/WBGene00015596", "WBGene00015596")</f>
        <v>WBGene00015596</v>
      </c>
      <c r="B4676" s="9"/>
      <c r="C4676" s="9"/>
      <c r="D4676" t="str">
        <f>"fbxa-161"</f>
        <v>fbxa-161</v>
      </c>
      <c r="F4676" t="s">
        <v>80</v>
      </c>
      <c r="H4676" s="12">
        <v>-8.8560019748862402</v>
      </c>
      <c r="I4676" s="20">
        <v>-1.3182473802930199</v>
      </c>
      <c r="J4676" s="28">
        <v>0.187420849372437</v>
      </c>
      <c r="K4676" s="29">
        <v>0.92558703629806605</v>
      </c>
    </row>
    <row r="4677" spans="1:11" x14ac:dyDescent="0.35">
      <c r="A4677" s="9" t="str">
        <f>HYPERLINK("http://www.ensembl.org/id/WBGene00022495", "WBGene00022495")</f>
        <v>WBGene00022495</v>
      </c>
      <c r="B4677" s="9" t="str">
        <f>HYPERLINK("http://www.ncbi.nlm.nih.gov/gene/191046", "191046")</f>
        <v>191046</v>
      </c>
      <c r="C4677" s="9"/>
      <c r="D4677" t="str">
        <f>"fbxa-78"</f>
        <v>fbxa-78</v>
      </c>
      <c r="E4677" t="s">
        <v>467</v>
      </c>
      <c r="F4677" t="s">
        <v>11</v>
      </c>
      <c r="G4677" t="s">
        <v>2543</v>
      </c>
      <c r="H4677" s="12">
        <v>-9.9989239435731907</v>
      </c>
      <c r="I4677" s="20">
        <v>-1.31776429042111</v>
      </c>
      <c r="J4677" s="28">
        <v>0.18758256536592099</v>
      </c>
      <c r="K4677" s="29">
        <v>0.92558703629806605</v>
      </c>
    </row>
    <row r="4678" spans="1:11" x14ac:dyDescent="0.35">
      <c r="A4678" s="9" t="str">
        <f>HYPERLINK("http://www.ensembl.org/id/WBGene00001545", "WBGene00001545")</f>
        <v>WBGene00001545</v>
      </c>
      <c r="B4678" s="9" t="str">
        <f>HYPERLINK("http://www.ncbi.nlm.nih.gov/gene/184797", "184797")</f>
        <v>184797</v>
      </c>
      <c r="C4678" s="9"/>
      <c r="D4678" t="str">
        <f>"gcy-20"</f>
        <v>gcy-20</v>
      </c>
      <c r="E4678" t="s">
        <v>3714</v>
      </c>
      <c r="F4678" t="s">
        <v>11</v>
      </c>
      <c r="G4678" t="s">
        <v>1564</v>
      </c>
      <c r="H4678" s="12">
        <v>-5.2157212039925502</v>
      </c>
      <c r="I4678" s="20">
        <v>-1.3177632715596199</v>
      </c>
      <c r="J4678" s="28">
        <v>0.18758290654211701</v>
      </c>
      <c r="K4678" s="29">
        <v>0.92558703629806605</v>
      </c>
    </row>
    <row r="4679" spans="1:11" x14ac:dyDescent="0.35">
      <c r="A4679" s="9" t="str">
        <f>HYPERLINK("http://www.ensembl.org/id/WBGene00001582", "WBGene00001582")</f>
        <v>WBGene00001582</v>
      </c>
      <c r="B4679" s="9" t="str">
        <f>HYPERLINK("http://www.ncbi.nlm.nih.gov/gene/172825", "172825")</f>
        <v>172825</v>
      </c>
      <c r="C4679" s="9" t="str">
        <f>HYPERLINK("http://www.ncbi.nlm.nih.gov/gene/84988", "84988")</f>
        <v>84988</v>
      </c>
      <c r="D4679" t="str">
        <f>"gfi-2"</f>
        <v>gfi-2</v>
      </c>
      <c r="E4679" t="s">
        <v>3704</v>
      </c>
      <c r="F4679" t="s">
        <v>11</v>
      </c>
      <c r="G4679" t="s">
        <v>3705</v>
      </c>
      <c r="H4679" s="12">
        <v>-1.2699049470469399</v>
      </c>
      <c r="I4679" s="20">
        <v>-1.31711034563934</v>
      </c>
      <c r="J4679" s="28">
        <v>0.187801639686001</v>
      </c>
      <c r="K4679" s="29">
        <v>0.92558703629806605</v>
      </c>
    </row>
    <row r="4680" spans="1:11" x14ac:dyDescent="0.35">
      <c r="A4680" s="9" t="str">
        <f>HYPERLINK("http://www.ensembl.org/id/WBGene00002033", "WBGene00002033")</f>
        <v>WBGene00002033</v>
      </c>
      <c r="B4680" s="9" t="str">
        <f>HYPERLINK("http://www.ncbi.nlm.nih.gov/gene/177405", "177405")</f>
        <v>177405</v>
      </c>
      <c r="C4680" s="9"/>
      <c r="D4680" t="str">
        <f>"htp-2"</f>
        <v>htp-2</v>
      </c>
      <c r="E4680" t="s">
        <v>368</v>
      </c>
      <c r="F4680" t="s">
        <v>11</v>
      </c>
      <c r="G4680" t="s">
        <v>472</v>
      </c>
      <c r="H4680" s="12">
        <v>-1.4076833373136199</v>
      </c>
      <c r="I4680" s="20">
        <v>-1.3180777635591301</v>
      </c>
      <c r="J4680" s="28">
        <v>0.18747761742715399</v>
      </c>
      <c r="K4680" s="29">
        <v>0.92558703629806605</v>
      </c>
    </row>
    <row r="4681" spans="1:11" x14ac:dyDescent="0.35">
      <c r="A4681" s="9" t="str">
        <f>HYPERLINK("http://www.ensembl.org/id/WBGene00022488", "WBGene00022488")</f>
        <v>WBGene00022488</v>
      </c>
      <c r="B4681" s="9" t="str">
        <f>HYPERLINK("http://www.ncbi.nlm.nih.gov/gene/175286", "175286")</f>
        <v>175286</v>
      </c>
      <c r="C4681" s="9"/>
      <c r="D4681" t="str">
        <f>"orc-3"</f>
        <v>orc-3</v>
      </c>
      <c r="E4681" t="s">
        <v>3713</v>
      </c>
      <c r="F4681" t="s">
        <v>11</v>
      </c>
      <c r="H4681" s="12">
        <v>-1.42348563394108</v>
      </c>
      <c r="I4681" s="20">
        <v>-1.31926334239409</v>
      </c>
      <c r="J4681" s="28">
        <v>0.18708108846631499</v>
      </c>
      <c r="K4681" s="29">
        <v>0.92558703629806605</v>
      </c>
    </row>
    <row r="4682" spans="1:11" x14ac:dyDescent="0.35">
      <c r="A4682" s="9" t="str">
        <f>HYPERLINK("http://www.ensembl.org/id/WBGene00019842", "WBGene00019842")</f>
        <v>WBGene00019842</v>
      </c>
      <c r="B4682" s="9" t="str">
        <f>HYPERLINK("http://www.ncbi.nlm.nih.gov/gene/178871", "178871")</f>
        <v>178871</v>
      </c>
      <c r="C4682" s="9"/>
      <c r="D4682" t="str">
        <f>"R02F11.4"</f>
        <v>R02F11.4</v>
      </c>
      <c r="F4682" t="s">
        <v>11</v>
      </c>
      <c r="G4682" t="s">
        <v>3708</v>
      </c>
      <c r="H4682" s="12">
        <v>-1.3128837424837201</v>
      </c>
      <c r="I4682" s="20">
        <v>-1.31801559006153</v>
      </c>
      <c r="J4682" s="28">
        <v>0.18749842909849701</v>
      </c>
      <c r="K4682" s="29">
        <v>0.92558703629806605</v>
      </c>
    </row>
    <row r="4683" spans="1:11" x14ac:dyDescent="0.35">
      <c r="A4683" s="9" t="str">
        <f>HYPERLINK("http://www.ensembl.org/id/WBGene00017371", "WBGene00017371")</f>
        <v>WBGene00017371</v>
      </c>
      <c r="B4683" s="9" t="str">
        <f>HYPERLINK("http://www.ncbi.nlm.nih.gov/gene/184320", "184320")</f>
        <v>184320</v>
      </c>
      <c r="C4683" s="9"/>
      <c r="D4683" t="str">
        <f>"sre-39"</f>
        <v>sre-39</v>
      </c>
      <c r="E4683" t="s">
        <v>2638</v>
      </c>
      <c r="F4683" t="s">
        <v>11</v>
      </c>
      <c r="G4683" t="s">
        <v>2639</v>
      </c>
      <c r="H4683" s="12">
        <v>7.5836750966184097</v>
      </c>
      <c r="I4683" s="20">
        <v>1.31742914894537</v>
      </c>
      <c r="J4683" s="28">
        <v>0.187694815626859</v>
      </c>
      <c r="K4683" s="29">
        <v>0.92558703629806605</v>
      </c>
    </row>
    <row r="4684" spans="1:11" x14ac:dyDescent="0.35">
      <c r="A4684" s="9" t="str">
        <f>HYPERLINK("http://www.ensembl.org/id/WBGene00044112", "WBGene00044112")</f>
        <v>WBGene00044112</v>
      </c>
      <c r="B4684" s="9" t="str">
        <f>HYPERLINK("http://www.ncbi.nlm.nih.gov/gene/3565108", "3565108")</f>
        <v>3565108</v>
      </c>
      <c r="C4684" s="9"/>
      <c r="D4684" t="str">
        <f>"srm-5"</f>
        <v>srm-5</v>
      </c>
      <c r="E4684" t="s">
        <v>3699</v>
      </c>
      <c r="F4684" t="s">
        <v>11</v>
      </c>
      <c r="G4684" t="s">
        <v>25</v>
      </c>
      <c r="H4684" s="12">
        <v>8.5731670508107491</v>
      </c>
      <c r="I4684" s="20">
        <v>1.31907585081802</v>
      </c>
      <c r="J4684" s="28">
        <v>0.18714375567685201</v>
      </c>
      <c r="K4684" s="29">
        <v>0.92558703629806605</v>
      </c>
    </row>
    <row r="4685" spans="1:11" x14ac:dyDescent="0.35">
      <c r="A4685" s="9" t="str">
        <f>HYPERLINK("http://www.ensembl.org/id/WBGene00006157", "WBGene00006157")</f>
        <v>WBGene00006157</v>
      </c>
      <c r="B4685" s="9" t="str">
        <f>HYPERLINK("http://www.ncbi.nlm.nih.gov/gene/187720", "187720")</f>
        <v>187720</v>
      </c>
      <c r="C4685" s="9"/>
      <c r="D4685" t="str">
        <f>"str-102"</f>
        <v>str-102</v>
      </c>
      <c r="E4685" t="s">
        <v>590</v>
      </c>
      <c r="F4685" t="s">
        <v>11</v>
      </c>
      <c r="G4685" t="s">
        <v>591</v>
      </c>
      <c r="H4685" s="12">
        <v>2.25772621433648</v>
      </c>
      <c r="I4685" s="20">
        <v>1.3194359052332001</v>
      </c>
      <c r="J4685" s="28">
        <v>0.18702342473582401</v>
      </c>
      <c r="K4685" s="29">
        <v>0.92558703629806605</v>
      </c>
    </row>
    <row r="4686" spans="1:11" x14ac:dyDescent="0.35">
      <c r="A4686" s="9" t="str">
        <f>HYPERLINK("http://www.ensembl.org/id/WBGene00020219", "WBGene00020219")</f>
        <v>WBGene00020219</v>
      </c>
      <c r="B4686" s="9" t="str">
        <f>HYPERLINK("http://www.ncbi.nlm.nih.gov/gene/188081", "188081")</f>
        <v>188081</v>
      </c>
      <c r="C4686" s="9"/>
      <c r="D4686" t="str">
        <f>"T05A7.1"</f>
        <v>T05A7.1</v>
      </c>
      <c r="F4686" t="s">
        <v>11</v>
      </c>
      <c r="H4686" s="12">
        <v>-1.3915259114770699</v>
      </c>
      <c r="I4686" s="20">
        <v>-1.3193496032326799</v>
      </c>
      <c r="J4686" s="28">
        <v>0.187052261837379</v>
      </c>
      <c r="K4686" s="29">
        <v>0.92558703629806605</v>
      </c>
    </row>
    <row r="4687" spans="1:11" x14ac:dyDescent="0.35">
      <c r="A4687" s="9" t="str">
        <f>HYPERLINK("http://www.ensembl.org/id/WBGene00020650", "WBGene00020650")</f>
        <v>WBGene00020650</v>
      </c>
      <c r="B4687" s="9" t="str">
        <f>HYPERLINK("http://www.ncbi.nlm.nih.gov/gene/188694", "188694")</f>
        <v>188694</v>
      </c>
      <c r="C4687" s="9"/>
      <c r="D4687" t="str">
        <f>"T21D12.11"</f>
        <v>T21D12.11</v>
      </c>
      <c r="F4687" t="s">
        <v>11</v>
      </c>
      <c r="G4687" t="s">
        <v>54</v>
      </c>
      <c r="H4687" s="12">
        <v>4.8575947986326202</v>
      </c>
      <c r="I4687" s="20">
        <v>1.31929334660759</v>
      </c>
      <c r="J4687" s="28">
        <v>0.18707106129245099</v>
      </c>
      <c r="K4687" s="29">
        <v>0.92558703629806605</v>
      </c>
    </row>
    <row r="4688" spans="1:11" x14ac:dyDescent="0.35">
      <c r="A4688" s="9" t="str">
        <f>HYPERLINK("http://www.ensembl.org/id/WBGene00019904", "WBGene00019904")</f>
        <v>WBGene00019904</v>
      </c>
      <c r="B4688" s="9" t="str">
        <f>HYPERLINK("http://www.ncbi.nlm.nih.gov/gene/187626", "187626")</f>
        <v>187626</v>
      </c>
      <c r="C4688" s="9"/>
      <c r="D4688" t="str">
        <f>"twk-49"</f>
        <v>twk-49</v>
      </c>
      <c r="E4688" t="s">
        <v>894</v>
      </c>
      <c r="F4688" t="s">
        <v>11</v>
      </c>
      <c r="G4688" t="s">
        <v>3703</v>
      </c>
      <c r="H4688" s="12">
        <v>1.34718475594869</v>
      </c>
      <c r="I4688" s="20">
        <v>1.3170689205811901</v>
      </c>
      <c r="J4688" s="28">
        <v>0.18781552361610299</v>
      </c>
      <c r="K4688" s="29">
        <v>0.92558703629806605</v>
      </c>
    </row>
    <row r="4689" spans="1:11" x14ac:dyDescent="0.35">
      <c r="A4689" s="9" t="str">
        <f>HYPERLINK("http://www.ensembl.org/id/WBGene00021464", "WBGene00021464")</f>
        <v>WBGene00021464</v>
      </c>
      <c r="B4689" s="9" t="str">
        <f>HYPERLINK("http://www.ncbi.nlm.nih.gov/gene/189771", "189771")</f>
        <v>189771</v>
      </c>
      <c r="C4689" s="9"/>
      <c r="D4689" t="str">
        <f>"ugt-31"</f>
        <v>ugt-31</v>
      </c>
      <c r="E4689" t="s">
        <v>103</v>
      </c>
      <c r="F4689" t="s">
        <v>11</v>
      </c>
      <c r="G4689" t="s">
        <v>104</v>
      </c>
      <c r="H4689" s="12">
        <v>1.5161491823678199</v>
      </c>
      <c r="I4689" s="20">
        <v>1.3185034750582001</v>
      </c>
      <c r="J4689" s="28">
        <v>0.18733516252705601</v>
      </c>
      <c r="K4689" s="29">
        <v>0.92558703629806605</v>
      </c>
    </row>
    <row r="4690" spans="1:11" x14ac:dyDescent="0.35">
      <c r="A4690" s="9" t="str">
        <f>HYPERLINK("http://www.ensembl.org/id/WBGene00012147", "WBGene00012147")</f>
        <v>WBGene00012147</v>
      </c>
      <c r="B4690" s="9"/>
      <c r="C4690" s="9"/>
      <c r="D4690" t="str">
        <f>"VC27A7L.1"</f>
        <v>VC27A7L.1</v>
      </c>
      <c r="F4690" t="s">
        <v>80</v>
      </c>
      <c r="H4690" s="12">
        <v>23.734861234811401</v>
      </c>
      <c r="I4690" s="20">
        <v>1.3180928775576399</v>
      </c>
      <c r="J4690" s="28">
        <v>0.18747255849431599</v>
      </c>
      <c r="K4690" s="29">
        <v>0.92558703629806605</v>
      </c>
    </row>
    <row r="4691" spans="1:11" x14ac:dyDescent="0.35">
      <c r="A4691" s="9" t="str">
        <f>HYPERLINK("http://www.ensembl.org/id/WBGene00021554", "WBGene00021554")</f>
        <v>WBGene00021554</v>
      </c>
      <c r="B4691" s="9" t="str">
        <f>HYPERLINK("http://www.ncbi.nlm.nih.gov/gene/178814", "178814")</f>
        <v>178814</v>
      </c>
      <c r="C4691" s="9"/>
      <c r="D4691" t="str">
        <f>"Y45G5AL.1"</f>
        <v>Y45G5AL.1</v>
      </c>
      <c r="F4691" t="s">
        <v>11</v>
      </c>
      <c r="H4691" s="12">
        <v>-1.2810501006994099</v>
      </c>
      <c r="I4691" s="20">
        <v>-1.3198248161322801</v>
      </c>
      <c r="J4691" s="28">
        <v>0.18689351410306099</v>
      </c>
      <c r="K4691" s="29">
        <v>0.92558703629806605</v>
      </c>
    </row>
    <row r="4692" spans="1:11" x14ac:dyDescent="0.35">
      <c r="A4692" s="9" t="str">
        <f>HYPERLINK("http://www.ensembl.org/id/WBGene00020391", "WBGene00020391")</f>
        <v>WBGene00020391</v>
      </c>
      <c r="B4692" s="9" t="str">
        <f>HYPERLINK("http://www.ncbi.nlm.nih.gov/gene/178670", "178670")</f>
        <v>178670</v>
      </c>
      <c r="C4692" s="9" t="str">
        <f>HYPERLINK("http://www.ncbi.nlm.nih.gov/gene/10574", "10574")</f>
        <v>10574</v>
      </c>
      <c r="D4692" t="str">
        <f>"cct-7"</f>
        <v>cct-7</v>
      </c>
      <c r="E4692" t="s">
        <v>3715</v>
      </c>
      <c r="F4692" t="s">
        <v>11</v>
      </c>
      <c r="G4692" t="s">
        <v>1544</v>
      </c>
      <c r="H4692" s="12">
        <v>-1.27089034000805</v>
      </c>
      <c r="I4692" s="20">
        <v>-1.31685539182148</v>
      </c>
      <c r="J4692" s="28">
        <v>0.18788710145531201</v>
      </c>
      <c r="K4692" s="29">
        <v>0.92565444908879502</v>
      </c>
    </row>
    <row r="4693" spans="1:11" x14ac:dyDescent="0.35">
      <c r="A4693" s="9" t="str">
        <f>HYPERLINK("http://www.ensembl.org/id/WBGene00009313", "WBGene00009313")</f>
        <v>WBGene00009313</v>
      </c>
      <c r="B4693" s="9" t="str">
        <f>HYPERLINK("http://www.ncbi.nlm.nih.gov/gene/173036", "173036")</f>
        <v>173036</v>
      </c>
      <c r="C4693" s="9"/>
      <c r="D4693" t="str">
        <f>"F32B4.2"</f>
        <v>F32B4.2</v>
      </c>
      <c r="F4693" t="s">
        <v>11</v>
      </c>
      <c r="G4693" t="s">
        <v>3716</v>
      </c>
      <c r="H4693" s="12">
        <v>4.1451127132934404</v>
      </c>
      <c r="I4693" s="20">
        <v>1.3166049447807799</v>
      </c>
      <c r="J4693" s="28">
        <v>0.18797108047189301</v>
      </c>
      <c r="K4693" s="29">
        <v>0.92587077070636803</v>
      </c>
    </row>
    <row r="4694" spans="1:11" x14ac:dyDescent="0.35">
      <c r="A4694" s="9" t="str">
        <f>HYPERLINK("http://www.ensembl.org/id/WBGene00018564", "WBGene00018564")</f>
        <v>WBGene00018564</v>
      </c>
      <c r="B4694" s="9" t="str">
        <f>HYPERLINK("http://www.ncbi.nlm.nih.gov/gene/175892", "175892")</f>
        <v>175892</v>
      </c>
      <c r="C4694" s="9"/>
      <c r="D4694" t="str">
        <f>"F47D12.9"</f>
        <v>F47D12.9</v>
      </c>
      <c r="E4694" t="s">
        <v>3717</v>
      </c>
      <c r="F4694" t="s">
        <v>11</v>
      </c>
      <c r="G4694" t="s">
        <v>54</v>
      </c>
      <c r="H4694" s="12">
        <v>-1.2722635897678201</v>
      </c>
      <c r="I4694" s="20">
        <v>-1.3163885705819001</v>
      </c>
      <c r="J4694" s="28">
        <v>0.18804365660359301</v>
      </c>
      <c r="K4694" s="29">
        <v>0.926030846010787</v>
      </c>
    </row>
    <row r="4695" spans="1:11" x14ac:dyDescent="0.35">
      <c r="A4695" s="9" t="str">
        <f>HYPERLINK("http://www.ensembl.org/id/WBGene00005296", "WBGene00005296")</f>
        <v>WBGene00005296</v>
      </c>
      <c r="B4695" s="9" t="str">
        <f>HYPERLINK("http://www.ncbi.nlm.nih.gov/gene/188057", "188057")</f>
        <v>188057</v>
      </c>
      <c r="C4695" s="9"/>
      <c r="D4695" t="str">
        <f>"srh-75"</f>
        <v>srh-75</v>
      </c>
      <c r="E4695" t="s">
        <v>153</v>
      </c>
      <c r="F4695" t="s">
        <v>11</v>
      </c>
      <c r="G4695" t="s">
        <v>25</v>
      </c>
      <c r="H4695" s="12">
        <v>3.4659922120786799</v>
      </c>
      <c r="I4695" s="20">
        <v>1.3160004347727099</v>
      </c>
      <c r="J4695" s="28">
        <v>0.18817389674260099</v>
      </c>
      <c r="K4695" s="29">
        <v>0.92647476201460299</v>
      </c>
    </row>
    <row r="4696" spans="1:11" x14ac:dyDescent="0.35">
      <c r="A4696" s="9" t="str">
        <f>HYPERLINK("http://www.ensembl.org/id/WBGene00219638", "WBGene00219638")</f>
        <v>WBGene00219638</v>
      </c>
      <c r="B4696" s="9"/>
      <c r="C4696" s="9"/>
      <c r="D4696" t="str">
        <f>"anr-29"</f>
        <v>anr-29</v>
      </c>
      <c r="F4696" t="s">
        <v>2735</v>
      </c>
      <c r="H4696" s="12">
        <v>4.2190244457218604</v>
      </c>
      <c r="I4696" s="20">
        <v>1.3155405496216199</v>
      </c>
      <c r="J4696" s="28">
        <v>0.18832829872031001</v>
      </c>
      <c r="K4696" s="29">
        <v>0.926925636501717</v>
      </c>
    </row>
    <row r="4697" spans="1:11" x14ac:dyDescent="0.35">
      <c r="A4697" s="9" t="str">
        <f>HYPERLINK("http://www.ensembl.org/id/WBGene00235381", "WBGene00235381")</f>
        <v>WBGene00235381</v>
      </c>
      <c r="B4697" s="9"/>
      <c r="C4697" s="9"/>
      <c r="D4697" t="str">
        <f>"Y74C9A.9"</f>
        <v>Y74C9A.9</v>
      </c>
      <c r="F4697" t="s">
        <v>80</v>
      </c>
      <c r="H4697" s="12">
        <v>1.9092014051275099</v>
      </c>
      <c r="I4697" s="20">
        <v>1.3154887221246301</v>
      </c>
      <c r="J4697" s="28">
        <v>0.18834570515777599</v>
      </c>
      <c r="K4697" s="29">
        <v>0.926925636501717</v>
      </c>
    </row>
    <row r="4698" spans="1:11" x14ac:dyDescent="0.35">
      <c r="A4698" s="9" t="str">
        <f>HYPERLINK("http://www.ensembl.org/id/WBGene00007439", "WBGene00007439")</f>
        <v>WBGene00007439</v>
      </c>
      <c r="B4698" s="9" t="str">
        <f>HYPERLINK("http://www.ncbi.nlm.nih.gov/gene/182408", "182408")</f>
        <v>182408</v>
      </c>
      <c r="C4698" s="9"/>
      <c r="D4698" t="str">
        <f>"C08E8.3"</f>
        <v>C08E8.3</v>
      </c>
      <c r="F4698" t="s">
        <v>11</v>
      </c>
      <c r="H4698" s="12">
        <v>3.2556323623688201</v>
      </c>
      <c r="I4698" s="20">
        <v>1.3139929490312501</v>
      </c>
      <c r="J4698" s="28">
        <v>0.18884857705208799</v>
      </c>
      <c r="K4698" s="29">
        <v>0.92698805350409297</v>
      </c>
    </row>
    <row r="4699" spans="1:11" x14ac:dyDescent="0.35">
      <c r="A4699" s="9" t="str">
        <f>HYPERLINK("http://www.ensembl.org/id/WBGene00271650", "WBGene00271650")</f>
        <v>WBGene00271650</v>
      </c>
      <c r="B4699" s="9"/>
      <c r="C4699" s="9"/>
      <c r="D4699" t="str">
        <f>"C17G10.14"</f>
        <v>C17G10.14</v>
      </c>
      <c r="F4699" t="s">
        <v>481</v>
      </c>
      <c r="H4699" s="12">
        <v>12.963298559608701</v>
      </c>
      <c r="I4699" s="20">
        <v>1.3133288190880901</v>
      </c>
      <c r="J4699" s="28">
        <v>0.18907217152658001</v>
      </c>
      <c r="K4699" s="29">
        <v>0.92698805350409297</v>
      </c>
    </row>
    <row r="4700" spans="1:11" x14ac:dyDescent="0.35">
      <c r="A4700" s="9" t="str">
        <f>HYPERLINK("http://www.ensembl.org/id/WBGene00007787", "WBGene00007787")</f>
        <v>WBGene00007787</v>
      </c>
      <c r="B4700" s="9" t="str">
        <f>HYPERLINK("http://www.ncbi.nlm.nih.gov/gene/179392", "179392")</f>
        <v>179392</v>
      </c>
      <c r="C4700" s="9" t="str">
        <f>HYPERLINK("http://www.ncbi.nlm.nih.gov/gene/60314", "60314")</f>
        <v>60314</v>
      </c>
      <c r="D4700" t="str">
        <f>"C27H6.8"</f>
        <v>C27H6.8</v>
      </c>
      <c r="E4700" t="s">
        <v>3732</v>
      </c>
      <c r="F4700" t="s">
        <v>11</v>
      </c>
      <c r="G4700" t="s">
        <v>2989</v>
      </c>
      <c r="H4700" s="12">
        <v>-1.29627917337656</v>
      </c>
      <c r="I4700" s="20">
        <v>-1.31403538567107</v>
      </c>
      <c r="J4700" s="28">
        <v>0.188834296420753</v>
      </c>
      <c r="K4700" s="29">
        <v>0.92698805350409297</v>
      </c>
    </row>
    <row r="4701" spans="1:11" x14ac:dyDescent="0.35">
      <c r="A4701" s="9" t="str">
        <f>HYPERLINK("http://www.ensembl.org/id/WBGene00022951", "WBGene00022951")</f>
        <v>WBGene00022951</v>
      </c>
      <c r="B4701" s="9"/>
      <c r="C4701" s="9"/>
      <c r="D4701" t="str">
        <f>"C30E1.9"</f>
        <v>C30E1.9</v>
      </c>
      <c r="F4701" t="s">
        <v>481</v>
      </c>
      <c r="H4701" s="12">
        <v>1.2814999045072699</v>
      </c>
      <c r="I4701" s="20">
        <v>1.31406212620812</v>
      </c>
      <c r="J4701" s="28">
        <v>0.18882529819664501</v>
      </c>
      <c r="K4701" s="29">
        <v>0.92698805350409297</v>
      </c>
    </row>
    <row r="4702" spans="1:11" x14ac:dyDescent="0.35">
      <c r="A4702" s="9" t="str">
        <f>HYPERLINK("http://www.ensembl.org/id/WBGene00016523", "WBGene00016523")</f>
        <v>WBGene00016523</v>
      </c>
      <c r="B4702" s="9" t="str">
        <f>HYPERLINK("http://www.ncbi.nlm.nih.gov/gene/183324", "183324")</f>
        <v>183324</v>
      </c>
      <c r="C4702" s="9"/>
      <c r="D4702" t="str">
        <f>"C39B5.5"</f>
        <v>C39B5.5</v>
      </c>
      <c r="E4702" t="s">
        <v>840</v>
      </c>
      <c r="F4702" t="s">
        <v>11</v>
      </c>
      <c r="G4702" t="s">
        <v>3718</v>
      </c>
      <c r="H4702" s="12">
        <v>2.8772652097801701</v>
      </c>
      <c r="I4702" s="20">
        <v>1.31329476124623</v>
      </c>
      <c r="J4702" s="28">
        <v>0.18908364313361001</v>
      </c>
      <c r="K4702" s="29">
        <v>0.92698805350409297</v>
      </c>
    </row>
    <row r="4703" spans="1:11" x14ac:dyDescent="0.35">
      <c r="A4703" s="9" t="str">
        <f>HYPERLINK("http://www.ensembl.org/id/WBGene00000895", "WBGene00000895")</f>
        <v>WBGene00000895</v>
      </c>
      <c r="B4703" s="9" t="str">
        <f>HYPERLINK("http://www.ncbi.nlm.nih.gov/gene/175238", "175238")</f>
        <v>175238</v>
      </c>
      <c r="C4703" s="9"/>
      <c r="D4703" t="str">
        <f>"dac-1"</f>
        <v>dac-1</v>
      </c>
      <c r="E4703" t="s">
        <v>3720</v>
      </c>
      <c r="F4703" t="s">
        <v>11</v>
      </c>
      <c r="G4703" t="s">
        <v>3721</v>
      </c>
      <c r="H4703" s="12">
        <v>1.7609895185226501</v>
      </c>
      <c r="I4703" s="20">
        <v>1.3132635848962</v>
      </c>
      <c r="J4703" s="28">
        <v>0.18909414462568899</v>
      </c>
      <c r="K4703" s="29">
        <v>0.92698805350409297</v>
      </c>
    </row>
    <row r="4704" spans="1:11" x14ac:dyDescent="0.35">
      <c r="A4704" s="9" t="str">
        <f>HYPERLINK("http://www.ensembl.org/id/WBGene00000923", "WBGene00000923")</f>
        <v>WBGene00000923</v>
      </c>
      <c r="B4704" s="9" t="str">
        <f>HYPERLINK("http://www.ncbi.nlm.nih.gov/gene/177622", "177622")</f>
        <v>177622</v>
      </c>
      <c r="C4704" s="9" t="str">
        <f>HYPERLINK("http://www.ncbi.nlm.nih.gov/gene/8260", "8260")</f>
        <v>8260</v>
      </c>
      <c r="D4704" t="str">
        <f>"daf-31"</f>
        <v>daf-31</v>
      </c>
      <c r="E4704" t="s">
        <v>3730</v>
      </c>
      <c r="F4704" t="s">
        <v>11</v>
      </c>
      <c r="G4704" t="s">
        <v>3731</v>
      </c>
      <c r="H4704" s="12">
        <v>-1.2954749049479799</v>
      </c>
      <c r="I4704" s="20">
        <v>-1.31400423081803</v>
      </c>
      <c r="J4704" s="28">
        <v>0.18884478046649</v>
      </c>
      <c r="K4704" s="29">
        <v>0.92698805350409297</v>
      </c>
    </row>
    <row r="4705" spans="1:11" x14ac:dyDescent="0.35">
      <c r="A4705" s="9" t="str">
        <f>HYPERLINK("http://www.ensembl.org/id/WBGene00016104", "WBGene00016104")</f>
        <v>WBGene00016104</v>
      </c>
      <c r="B4705" s="9" t="str">
        <f>HYPERLINK("http://www.ncbi.nlm.nih.gov/gene/180817", "180817")</f>
        <v>180817</v>
      </c>
      <c r="C4705" s="9"/>
      <c r="D4705" t="str">
        <f>"ddr-1"</f>
        <v>ddr-1</v>
      </c>
      <c r="E4705" t="s">
        <v>3723</v>
      </c>
      <c r="F4705" t="s">
        <v>11</v>
      </c>
      <c r="G4705" t="s">
        <v>444</v>
      </c>
      <c r="H4705" s="12">
        <v>1.3732854217972901</v>
      </c>
      <c r="I4705" s="20">
        <v>1.3137022608862601</v>
      </c>
      <c r="J4705" s="28">
        <v>0.188946419832725</v>
      </c>
      <c r="K4705" s="29">
        <v>0.92698805350409297</v>
      </c>
    </row>
    <row r="4706" spans="1:11" x14ac:dyDescent="0.35">
      <c r="A4706" s="9" t="str">
        <f>HYPERLINK("http://www.ensembl.org/id/WBGene00017291", "WBGene00017291")</f>
        <v>WBGene00017291</v>
      </c>
      <c r="B4706" s="9" t="str">
        <f>HYPERLINK("http://www.ncbi.nlm.nih.gov/gene/259435", "259435")</f>
        <v>259435</v>
      </c>
      <c r="C4706" s="9"/>
      <c r="D4706" t="str">
        <f>"F09E5.14"</f>
        <v>F09E5.14</v>
      </c>
      <c r="F4706" t="s">
        <v>11</v>
      </c>
      <c r="H4706" s="12">
        <v>-1.27899833652297</v>
      </c>
      <c r="I4706" s="20">
        <v>-1.31354577890671</v>
      </c>
      <c r="J4706" s="28">
        <v>0.18899910560651201</v>
      </c>
      <c r="K4706" s="29">
        <v>0.92698805350409297</v>
      </c>
    </row>
    <row r="4707" spans="1:11" x14ac:dyDescent="0.35">
      <c r="A4707" s="9" t="str">
        <f>HYPERLINK("http://www.ensembl.org/id/WBGene00001843", "WBGene00001843")</f>
        <v>WBGene00001843</v>
      </c>
      <c r="B4707" s="9" t="str">
        <f>HYPERLINK("http://www.ncbi.nlm.nih.gov/gene/172726", "172726")</f>
        <v>172726</v>
      </c>
      <c r="C4707" s="9" t="str">
        <f>HYPERLINK("http://www.ncbi.nlm.nih.gov/gene/3081", "3081")</f>
        <v>3081</v>
      </c>
      <c r="D4707" t="str">
        <f>"hgo-1"</f>
        <v>hgo-1</v>
      </c>
      <c r="E4707" t="s">
        <v>3727</v>
      </c>
      <c r="F4707" t="s">
        <v>11</v>
      </c>
      <c r="G4707" t="s">
        <v>3728</v>
      </c>
      <c r="H4707" s="12">
        <v>-1.2754612732408901</v>
      </c>
      <c r="I4707" s="20">
        <v>-1.3131849096524699</v>
      </c>
      <c r="J4707" s="28">
        <v>0.189120647633441</v>
      </c>
      <c r="K4707" s="29">
        <v>0.92698805350409297</v>
      </c>
    </row>
    <row r="4708" spans="1:11" x14ac:dyDescent="0.35">
      <c r="A4708" s="9" t="str">
        <f>HYPERLINK("http://www.ensembl.org/id/WBGene00007680", "WBGene00007680")</f>
        <v>WBGene00007680</v>
      </c>
      <c r="B4708" s="9" t="str">
        <f>HYPERLINK("http://www.ncbi.nlm.nih.gov/gene/176612", "176612")</f>
        <v>176612</v>
      </c>
      <c r="C4708" s="9"/>
      <c r="D4708" t="str">
        <f>"maa-1"</f>
        <v>maa-1</v>
      </c>
      <c r="E4708" t="s">
        <v>3733</v>
      </c>
      <c r="F4708" t="s">
        <v>11</v>
      </c>
      <c r="G4708" t="s">
        <v>3734</v>
      </c>
      <c r="H4708" s="12">
        <v>-1.3759752350469401</v>
      </c>
      <c r="I4708" s="20">
        <v>-1.31328114585419</v>
      </c>
      <c r="J4708" s="28">
        <v>0.18908822931136299</v>
      </c>
      <c r="K4708" s="29">
        <v>0.92698805350409297</v>
      </c>
    </row>
    <row r="4709" spans="1:11" x14ac:dyDescent="0.35">
      <c r="A4709" s="9" t="str">
        <f>HYPERLINK("http://www.ensembl.org/id/WBGene00007252", "WBGene00007252")</f>
        <v>WBGene00007252</v>
      </c>
      <c r="B4709" s="9" t="str">
        <f>HYPERLINK("http://www.ncbi.nlm.nih.gov/gene/172459", "172459")</f>
        <v>172459</v>
      </c>
      <c r="C4709" s="9"/>
      <c r="D4709" t="str">
        <f>"mlt-2"</f>
        <v>mlt-2</v>
      </c>
      <c r="F4709" t="s">
        <v>11</v>
      </c>
      <c r="G4709" t="s">
        <v>3722</v>
      </c>
      <c r="H4709" s="12">
        <v>1.66455018862674</v>
      </c>
      <c r="I4709" s="20">
        <v>1.31389049885531</v>
      </c>
      <c r="J4709" s="28">
        <v>0.188883056513066</v>
      </c>
      <c r="K4709" s="29">
        <v>0.92698805350409297</v>
      </c>
    </row>
    <row r="4710" spans="1:11" x14ac:dyDescent="0.35">
      <c r="A4710" s="9" t="str">
        <f>HYPERLINK("http://www.ensembl.org/id/WBGene00003408", "WBGene00003408")</f>
        <v>WBGene00003408</v>
      </c>
      <c r="B4710" s="9" t="str">
        <f>HYPERLINK("http://www.ncbi.nlm.nih.gov/gene/180408", "180408")</f>
        <v>180408</v>
      </c>
      <c r="C4710" s="9" t="str">
        <f>HYPERLINK("http://www.ncbi.nlm.nih.gov/gene/4363", "4363")</f>
        <v>4363</v>
      </c>
      <c r="D4710" t="str">
        <f>"mrp-2"</f>
        <v>mrp-2</v>
      </c>
      <c r="F4710" t="s">
        <v>11</v>
      </c>
      <c r="G4710" t="s">
        <v>3724</v>
      </c>
      <c r="H4710" s="12">
        <v>1.3364177588144699</v>
      </c>
      <c r="I4710" s="20">
        <v>1.3149189878194001</v>
      </c>
      <c r="J4710" s="28">
        <v>0.188537130559988</v>
      </c>
      <c r="K4710" s="29">
        <v>0.92698805350409297</v>
      </c>
    </row>
    <row r="4711" spans="1:11" x14ac:dyDescent="0.35">
      <c r="A4711" s="9" t="str">
        <f>HYPERLINK("http://www.ensembl.org/id/WBGene00200511", "WBGene00200511")</f>
        <v>WBGene00200511</v>
      </c>
      <c r="B4711" s="9"/>
      <c r="C4711" s="9"/>
      <c r="D4711" t="str">
        <f>"R04B3.7"</f>
        <v>R04B3.7</v>
      </c>
      <c r="F4711" t="s">
        <v>481</v>
      </c>
      <c r="H4711" s="12">
        <v>9.3071793259723705</v>
      </c>
      <c r="I4711" s="20">
        <v>1.3143135077068</v>
      </c>
      <c r="J4711" s="28">
        <v>0.18874072346510601</v>
      </c>
      <c r="K4711" s="29">
        <v>0.92698805350409297</v>
      </c>
    </row>
    <row r="4712" spans="1:11" x14ac:dyDescent="0.35">
      <c r="A4712" s="9" t="str">
        <f>HYPERLINK("http://www.ensembl.org/id/WBGene00199983", "WBGene00199983")</f>
        <v>WBGene00199983</v>
      </c>
      <c r="B4712" s="9"/>
      <c r="C4712" s="9"/>
      <c r="D4712" t="str">
        <f>"T04C12.25"</f>
        <v>T04C12.25</v>
      </c>
      <c r="F4712" t="s">
        <v>481</v>
      </c>
      <c r="H4712" s="12">
        <v>2.1284007740056801</v>
      </c>
      <c r="I4712" s="20">
        <v>1.31456700873009</v>
      </c>
      <c r="J4712" s="28">
        <v>0.188655463933912</v>
      </c>
      <c r="K4712" s="29">
        <v>0.92698805350409297</v>
      </c>
    </row>
    <row r="4713" spans="1:11" x14ac:dyDescent="0.35">
      <c r="A4713" s="9" t="str">
        <f>HYPERLINK("http://www.ensembl.org/id/WBGene00009322", "WBGene00009322")</f>
        <v>WBGene00009322</v>
      </c>
      <c r="B4713" s="9" t="str">
        <f>HYPERLINK("http://www.ncbi.nlm.nih.gov/gene/177845", "177845")</f>
        <v>177845</v>
      </c>
      <c r="C4713" s="9" t="str">
        <f>HYPERLINK("http://www.ncbi.nlm.nih.gov/gene/55633", "55633")</f>
        <v>55633</v>
      </c>
      <c r="D4713" t="str">
        <f>"tbc-3"</f>
        <v>tbc-3</v>
      </c>
      <c r="E4713" t="s">
        <v>1649</v>
      </c>
      <c r="F4713" t="s">
        <v>11</v>
      </c>
      <c r="G4713" t="s">
        <v>3729</v>
      </c>
      <c r="H4713" s="12">
        <v>-1.2852562757591699</v>
      </c>
      <c r="I4713" s="20">
        <v>-1.31512072840016</v>
      </c>
      <c r="J4713" s="28">
        <v>0.18846933120690501</v>
      </c>
      <c r="K4713" s="29">
        <v>0.92698805350409297</v>
      </c>
    </row>
    <row r="4714" spans="1:11" x14ac:dyDescent="0.35">
      <c r="A4714" s="9" t="str">
        <f>HYPERLINK("http://www.ensembl.org/id/WBGene00006830", "WBGene00006830")</f>
        <v>WBGene00006830</v>
      </c>
      <c r="B4714" s="9" t="str">
        <f>HYPERLINK("http://www.ncbi.nlm.nih.gov/gene/175527", "175527")</f>
        <v>175527</v>
      </c>
      <c r="C4714" s="9" t="str">
        <f>HYPERLINK("http://www.ncbi.nlm.nih.gov/gene/90134", "90134")</f>
        <v>90134</v>
      </c>
      <c r="D4714" t="str">
        <f>"unc-103"</f>
        <v>unc-103</v>
      </c>
      <c r="E4714" t="s">
        <v>3725</v>
      </c>
      <c r="F4714" t="s">
        <v>11</v>
      </c>
      <c r="G4714" t="s">
        <v>3726</v>
      </c>
      <c r="H4714" s="12">
        <v>1.30924637909718</v>
      </c>
      <c r="I4714" s="20">
        <v>1.3150579714558599</v>
      </c>
      <c r="J4714" s="28">
        <v>0.188490420129062</v>
      </c>
      <c r="K4714" s="29">
        <v>0.92698805350409297</v>
      </c>
    </row>
    <row r="4715" spans="1:11" x14ac:dyDescent="0.35">
      <c r="A4715" s="9" t="str">
        <f>HYPERLINK("http://www.ensembl.org/id/WBGene00014198", "WBGene00014198")</f>
        <v>WBGene00014198</v>
      </c>
      <c r="B4715" s="9" t="str">
        <f>HYPERLINK("http://www.ncbi.nlm.nih.gov/gene/191508", "191508")</f>
        <v>191508</v>
      </c>
      <c r="C4715" s="9"/>
      <c r="D4715" t="str">
        <f>"ZK1053.3"</f>
        <v>ZK1053.3</v>
      </c>
      <c r="F4715" t="s">
        <v>11</v>
      </c>
      <c r="G4715" t="s">
        <v>3719</v>
      </c>
      <c r="H4715" s="12">
        <v>2.2221046732747398</v>
      </c>
      <c r="I4715" s="20">
        <v>1.31448414041226</v>
      </c>
      <c r="J4715" s="28">
        <v>0.188683331756758</v>
      </c>
      <c r="K4715" s="29">
        <v>0.92698805350409297</v>
      </c>
    </row>
    <row r="4716" spans="1:11" x14ac:dyDescent="0.35">
      <c r="A4716" s="9" t="str">
        <f>HYPERLINK("http://www.ensembl.org/id/WBGene00219362", "WBGene00219362")</f>
        <v>WBGene00219362</v>
      </c>
      <c r="B4716" s="9" t="str">
        <f>HYPERLINK("http://www.ncbi.nlm.nih.gov/gene/13220194", "13220194")</f>
        <v>13220194</v>
      </c>
      <c r="C4716" s="9"/>
      <c r="D4716" t="str">
        <f>"ZK470.14"</f>
        <v>ZK470.14</v>
      </c>
      <c r="F4716" t="s">
        <v>11</v>
      </c>
      <c r="G4716" t="s">
        <v>25</v>
      </c>
      <c r="H4716" s="12">
        <v>1.7414579147821001</v>
      </c>
      <c r="I4716" s="20">
        <v>1.31376706218914</v>
      </c>
      <c r="J4716" s="28">
        <v>0.188924605112613</v>
      </c>
      <c r="K4716" s="29">
        <v>0.92698805350409297</v>
      </c>
    </row>
    <row r="4717" spans="1:11" x14ac:dyDescent="0.35">
      <c r="A4717" s="9" t="str">
        <f>HYPERLINK("http://www.ensembl.org/id/WBGene00007717", "WBGene00007717")</f>
        <v>WBGene00007717</v>
      </c>
      <c r="B4717" s="9" t="str">
        <f>HYPERLINK("http://www.ncbi.nlm.nih.gov/gene/182884", "182884")</f>
        <v>182884</v>
      </c>
      <c r="C4717" s="9"/>
      <c r="D4717" t="str">
        <f>"C25D7.5"</f>
        <v>C25D7.5</v>
      </c>
      <c r="F4717" t="s">
        <v>11</v>
      </c>
      <c r="G4717" t="s">
        <v>394</v>
      </c>
      <c r="H4717" s="12">
        <v>1.7417001713243201</v>
      </c>
      <c r="I4717" s="20">
        <v>1.31302572229855</v>
      </c>
      <c r="J4717" s="28">
        <v>0.18917428080224999</v>
      </c>
      <c r="K4717" s="29">
        <v>0.92705428042773796</v>
      </c>
    </row>
    <row r="4718" spans="1:11" x14ac:dyDescent="0.35">
      <c r="A4718" s="9" t="str">
        <f>HYPERLINK("http://www.ensembl.org/id/WBGene00005013", "WBGene00005013")</f>
        <v>WBGene00005013</v>
      </c>
      <c r="B4718" s="9" t="str">
        <f>HYPERLINK("http://www.ncbi.nlm.nih.gov/gene/174812", "174812")</f>
        <v>174812</v>
      </c>
      <c r="C4718" s="9"/>
      <c r="D4718" t="str">
        <f>"jmjd-1.1"</f>
        <v>jmjd-1.1</v>
      </c>
      <c r="E4718" t="s">
        <v>1355</v>
      </c>
      <c r="F4718" t="s">
        <v>11</v>
      </c>
      <c r="G4718" t="s">
        <v>3735</v>
      </c>
      <c r="H4718" s="12">
        <v>14.001357483092701</v>
      </c>
      <c r="I4718" s="20">
        <v>1.3128459637434</v>
      </c>
      <c r="J4718" s="28">
        <v>0.18923485826818101</v>
      </c>
      <c r="K4718" s="29">
        <v>0.92715450278723199</v>
      </c>
    </row>
    <row r="4719" spans="1:11" x14ac:dyDescent="0.35">
      <c r="A4719" s="9" t="str">
        <f>HYPERLINK("http://www.ensembl.org/id/WBGene00014095", "WBGene00014095")</f>
        <v>WBGene00014095</v>
      </c>
      <c r="B4719" s="9" t="str">
        <f>HYPERLINK("http://www.ncbi.nlm.nih.gov/gene/178130", "178130")</f>
        <v>178130</v>
      </c>
      <c r="C4719" s="9" t="str">
        <f>HYPERLINK("http://www.ncbi.nlm.nih.gov/gene/2746", "2746")</f>
        <v>2746</v>
      </c>
      <c r="D4719" t="str">
        <f>"gdh-1"</f>
        <v>gdh-1</v>
      </c>
      <c r="E4719" t="s">
        <v>3736</v>
      </c>
      <c r="F4719" t="s">
        <v>11</v>
      </c>
      <c r="G4719" t="s">
        <v>3737</v>
      </c>
      <c r="H4719" s="12">
        <v>-1.2778812571415099</v>
      </c>
      <c r="I4719" s="20">
        <v>-1.31213768866525</v>
      </c>
      <c r="J4719" s="28">
        <v>0.18947368153576799</v>
      </c>
      <c r="K4719" s="29">
        <v>0.92812781122862997</v>
      </c>
    </row>
    <row r="4720" spans="1:11" x14ac:dyDescent="0.35">
      <c r="A4720" s="9" t="str">
        <f>HYPERLINK("http://www.ensembl.org/id/WBGene00173884", "WBGene00173884")</f>
        <v>WBGene00173884</v>
      </c>
      <c r="B4720" s="9"/>
      <c r="C4720" s="9"/>
      <c r="D4720" t="str">
        <f>"21ur-15586"</f>
        <v>21ur-15586</v>
      </c>
      <c r="F4720" t="s">
        <v>3161</v>
      </c>
      <c r="H4720" s="12">
        <v>-4.92795407458732</v>
      </c>
      <c r="I4720" s="20">
        <v>-1.3110802796774499</v>
      </c>
      <c r="J4720" s="28">
        <v>0.18983064251034901</v>
      </c>
      <c r="K4720" s="29">
        <v>0.92834517192120303</v>
      </c>
    </row>
    <row r="4721" spans="1:11" x14ac:dyDescent="0.35">
      <c r="A4721" s="9" t="str">
        <f>HYPERLINK("http://www.ensembl.org/id/WBGene00006432", "WBGene00006432")</f>
        <v>WBGene00006432</v>
      </c>
      <c r="B4721" s="9" t="str">
        <f>HYPERLINK("http://www.ncbi.nlm.nih.gov/gene/181566", "181566")</f>
        <v>181566</v>
      </c>
      <c r="C4721" s="9" t="str">
        <f>HYPERLINK("http://www.ncbi.nlm.nih.gov/gene/8455", "8455")</f>
        <v>8455</v>
      </c>
      <c r="D4721" t="str">
        <f>"atrn-1"</f>
        <v>atrn-1</v>
      </c>
      <c r="F4721" t="s">
        <v>11</v>
      </c>
      <c r="G4721" t="s">
        <v>417</v>
      </c>
      <c r="H4721" s="12">
        <v>1.28334172173202</v>
      </c>
      <c r="I4721" s="20">
        <v>1.31040619506678</v>
      </c>
      <c r="J4721" s="28">
        <v>0.190058458987928</v>
      </c>
      <c r="K4721" s="29">
        <v>0.92834517192120303</v>
      </c>
    </row>
    <row r="4722" spans="1:11" x14ac:dyDescent="0.35">
      <c r="A4722" s="9" t="str">
        <f>HYPERLINK("http://www.ensembl.org/id/WBGene00015439", "WBGene00015439")</f>
        <v>WBGene00015439</v>
      </c>
      <c r="B4722" s="9"/>
      <c r="C4722" s="9"/>
      <c r="D4722" t="str">
        <f>"C04E12.10"</f>
        <v>C04E12.10</v>
      </c>
      <c r="F4722" t="s">
        <v>80</v>
      </c>
      <c r="H4722" s="12">
        <v>24.886463792794899</v>
      </c>
      <c r="I4722" s="20">
        <v>1.3108178369413299</v>
      </c>
      <c r="J4722" s="28">
        <v>0.189919314836138</v>
      </c>
      <c r="K4722" s="29">
        <v>0.92834517192120303</v>
      </c>
    </row>
    <row r="4723" spans="1:11" x14ac:dyDescent="0.35">
      <c r="A4723" s="9" t="str">
        <f>HYPERLINK("http://www.ensembl.org/id/WBGene00206378", "WBGene00206378")</f>
        <v>WBGene00206378</v>
      </c>
      <c r="B4723" s="9" t="str">
        <f>HYPERLINK("http://www.ncbi.nlm.nih.gov/gene/13219370", "13219370")</f>
        <v>13219370</v>
      </c>
      <c r="C4723" s="9"/>
      <c r="D4723" t="str">
        <f>"C14E2.11"</f>
        <v>C14E2.11</v>
      </c>
      <c r="F4723" t="s">
        <v>11</v>
      </c>
      <c r="G4723" t="s">
        <v>54</v>
      </c>
      <c r="H4723" s="12">
        <v>3.4694803413609701</v>
      </c>
      <c r="I4723" s="20">
        <v>1.30992645413384</v>
      </c>
      <c r="J4723" s="28">
        <v>0.19022071687910999</v>
      </c>
      <c r="K4723" s="29">
        <v>0.92834517192120303</v>
      </c>
    </row>
    <row r="4724" spans="1:11" x14ac:dyDescent="0.35">
      <c r="A4724" s="9" t="str">
        <f>HYPERLINK("http://www.ensembl.org/id/WBGene00198782", "WBGene00198782")</f>
        <v>WBGene00198782</v>
      </c>
      <c r="B4724" s="9"/>
      <c r="C4724" s="9"/>
      <c r="D4724" t="str">
        <f>"C39F7.7"</f>
        <v>C39F7.7</v>
      </c>
      <c r="F4724" t="s">
        <v>481</v>
      </c>
      <c r="H4724" s="12">
        <v>-20.903831786017999</v>
      </c>
      <c r="I4724" s="20">
        <v>-1.3104038210417199</v>
      </c>
      <c r="J4724" s="28">
        <v>0.190059261679175</v>
      </c>
      <c r="K4724" s="29">
        <v>0.92834517192120303</v>
      </c>
    </row>
    <row r="4725" spans="1:11" x14ac:dyDescent="0.35">
      <c r="A4725" s="9" t="str">
        <f>HYPERLINK("http://www.ensembl.org/id/WBGene00017036", "WBGene00017036")</f>
        <v>WBGene00017036</v>
      </c>
      <c r="B4725" s="9" t="str">
        <f>HYPERLINK("http://www.ncbi.nlm.nih.gov/gene/183923", "183923")</f>
        <v>183923</v>
      </c>
      <c r="C4725" s="9"/>
      <c r="D4725" t="str">
        <f>"D1069.1"</f>
        <v>D1069.1</v>
      </c>
      <c r="F4725" t="s">
        <v>11</v>
      </c>
      <c r="G4725" t="s">
        <v>372</v>
      </c>
      <c r="H4725" s="12">
        <v>2.3517324890899101</v>
      </c>
      <c r="I4725" s="20">
        <v>1.3106115029290599</v>
      </c>
      <c r="J4725" s="28">
        <v>0.189989050959322</v>
      </c>
      <c r="K4725" s="29">
        <v>0.92834517192120303</v>
      </c>
    </row>
    <row r="4726" spans="1:11" x14ac:dyDescent="0.35">
      <c r="A4726" s="9" t="str">
        <f>HYPERLINK("http://www.ensembl.org/id/WBGene00001035", "WBGene00001035")</f>
        <v>WBGene00001035</v>
      </c>
      <c r="B4726" s="9" t="str">
        <f>HYPERLINK("http://www.ncbi.nlm.nih.gov/gene/176761", "176761")</f>
        <v>176761</v>
      </c>
      <c r="C4726" s="9" t="str">
        <f>HYPERLINK("http://www.ncbi.nlm.nih.gov/gene/134218", "134218")</f>
        <v>134218</v>
      </c>
      <c r="D4726" t="str">
        <f>"dnj-17"</f>
        <v>dnj-17</v>
      </c>
      <c r="E4726" t="s">
        <v>847</v>
      </c>
      <c r="F4726" t="s">
        <v>11</v>
      </c>
      <c r="G4726" t="s">
        <v>3745</v>
      </c>
      <c r="H4726" s="12">
        <v>-1.34012238346924</v>
      </c>
      <c r="I4726" s="20">
        <v>-1.3107240345465101</v>
      </c>
      <c r="J4726" s="28">
        <v>0.18995101553768501</v>
      </c>
      <c r="K4726" s="29">
        <v>0.92834517192120303</v>
      </c>
    </row>
    <row r="4727" spans="1:11" x14ac:dyDescent="0.35">
      <c r="A4727" s="9" t="str">
        <f>HYPERLINK("http://www.ensembl.org/id/WBGene00018568", "WBGene00018568")</f>
        <v>WBGene00018568</v>
      </c>
      <c r="B4727" s="9" t="str">
        <f>HYPERLINK("http://www.ncbi.nlm.nih.gov/gene/181146", "181146")</f>
        <v>181146</v>
      </c>
      <c r="C4727" s="9"/>
      <c r="D4727" t="str">
        <f>"F47E1.4"</f>
        <v>F47E1.4</v>
      </c>
      <c r="E4727" t="s">
        <v>782</v>
      </c>
      <c r="F4727" t="s">
        <v>11</v>
      </c>
      <c r="G4727" t="s">
        <v>3740</v>
      </c>
      <c r="H4727" s="12">
        <v>-1.2699271161633701</v>
      </c>
      <c r="I4727" s="20">
        <v>-1.31033196372323</v>
      </c>
      <c r="J4727" s="28">
        <v>0.19008355883030301</v>
      </c>
      <c r="K4727" s="29">
        <v>0.92834517192120303</v>
      </c>
    </row>
    <row r="4728" spans="1:11" x14ac:dyDescent="0.35">
      <c r="A4728" s="9" t="str">
        <f>HYPERLINK("http://www.ensembl.org/id/WBGene00010192", "WBGene00010192")</f>
        <v>WBGene00010192</v>
      </c>
      <c r="B4728" s="9" t="str">
        <f>HYPERLINK("http://www.ncbi.nlm.nih.gov/gene/186438", "186438")</f>
        <v>186438</v>
      </c>
      <c r="C4728" s="9"/>
      <c r="D4728" t="str">
        <f>"F57B7.2"</f>
        <v>F57B7.2</v>
      </c>
      <c r="F4728" t="s">
        <v>11</v>
      </c>
      <c r="G4728" t="s">
        <v>63</v>
      </c>
      <c r="H4728" s="12">
        <v>1.3923513500175699</v>
      </c>
      <c r="I4728" s="20">
        <v>1.3097470221285099</v>
      </c>
      <c r="J4728" s="28">
        <v>0.19028143054699301</v>
      </c>
      <c r="K4728" s="29">
        <v>0.92834517192120303</v>
      </c>
    </row>
    <row r="4729" spans="1:11" x14ac:dyDescent="0.35">
      <c r="A4729" s="9" t="str">
        <f>HYPERLINK("http://www.ensembl.org/id/WBGene00001390", "WBGene00001390")</f>
        <v>WBGene00001390</v>
      </c>
      <c r="B4729" s="9" t="str">
        <f>HYPERLINK("http://www.ncbi.nlm.nih.gov/gene/189096", "189096")</f>
        <v>189096</v>
      </c>
      <c r="C4729" s="9"/>
      <c r="D4729" t="str">
        <f>"far-6"</f>
        <v>far-6</v>
      </c>
      <c r="E4729" t="s">
        <v>128</v>
      </c>
      <c r="F4729" t="s">
        <v>11</v>
      </c>
      <c r="G4729" t="s">
        <v>129</v>
      </c>
      <c r="H4729" s="12">
        <v>1.2685137307774701</v>
      </c>
      <c r="I4729" s="20">
        <v>1.3101124776500399</v>
      </c>
      <c r="J4729" s="28">
        <v>0.190157787933349</v>
      </c>
      <c r="K4729" s="29">
        <v>0.92834517192120303</v>
      </c>
    </row>
    <row r="4730" spans="1:11" x14ac:dyDescent="0.35">
      <c r="A4730" s="9" t="str">
        <f>HYPERLINK("http://www.ensembl.org/id/WBGene00021238", "WBGene00021238")</f>
        <v>WBGene00021238</v>
      </c>
      <c r="B4730" s="9" t="str">
        <f>HYPERLINK("http://www.ncbi.nlm.nih.gov/gene/260016", "260016")</f>
        <v>260016</v>
      </c>
      <c r="C4730" s="9"/>
      <c r="D4730" t="str">
        <f>"gap-3"</f>
        <v>gap-3</v>
      </c>
      <c r="E4730" t="s">
        <v>3743</v>
      </c>
      <c r="F4730" t="s">
        <v>11</v>
      </c>
      <c r="G4730" t="s">
        <v>3744</v>
      </c>
      <c r="H4730" s="12">
        <v>-1.31632266667678</v>
      </c>
      <c r="I4730" s="20">
        <v>-1.30991169113776</v>
      </c>
      <c r="J4730" s="28">
        <v>0.19022571163451901</v>
      </c>
      <c r="K4730" s="29">
        <v>0.92834517192120303</v>
      </c>
    </row>
    <row r="4731" spans="1:11" x14ac:dyDescent="0.35">
      <c r="A4731" s="9" t="str">
        <f>HYPERLINK("http://www.ensembl.org/id/WBGene00044679", "WBGene00044679")</f>
        <v>WBGene00044679</v>
      </c>
      <c r="B4731" s="9" t="str">
        <f>HYPERLINK("http://www.ncbi.nlm.nih.gov/gene/4362997", "4362997")</f>
        <v>4362997</v>
      </c>
      <c r="C4731" s="9"/>
      <c r="D4731" t="str">
        <f>"K02B12.9"</f>
        <v>K02B12.9</v>
      </c>
      <c r="F4731" t="s">
        <v>11</v>
      </c>
      <c r="H4731" s="12">
        <v>2.1253878907123598</v>
      </c>
      <c r="I4731" s="20">
        <v>1.3111575262922901</v>
      </c>
      <c r="J4731" s="28">
        <v>0.189804548772597</v>
      </c>
      <c r="K4731" s="29">
        <v>0.92834517192120303</v>
      </c>
    </row>
    <row r="4732" spans="1:11" x14ac:dyDescent="0.35">
      <c r="A4732" s="9" t="str">
        <f>HYPERLINK("http://www.ensembl.org/id/WBGene00006490", "WBGene00006490")</f>
        <v>WBGene00006490</v>
      </c>
      <c r="B4732" s="9" t="str">
        <f>HYPERLINK("http://www.ncbi.nlm.nih.gov/gene/178000", "178000")</f>
        <v>178000</v>
      </c>
      <c r="C4732" s="9" t="str">
        <f>HYPERLINK("http://www.ncbi.nlm.nih.gov/gene/57498", "57498")</f>
        <v>57498</v>
      </c>
      <c r="D4732" t="str">
        <f>"kdin-1"</f>
        <v>kdin-1</v>
      </c>
      <c r="E4732" t="s">
        <v>3741</v>
      </c>
      <c r="F4732" t="s">
        <v>11</v>
      </c>
      <c r="G4732" t="s">
        <v>3742</v>
      </c>
      <c r="H4732" s="12">
        <v>-1.2812638333333599</v>
      </c>
      <c r="I4732" s="20">
        <v>-1.31159010920639</v>
      </c>
      <c r="J4732" s="28">
        <v>0.189658472043572</v>
      </c>
      <c r="K4732" s="29">
        <v>0.92834517192120303</v>
      </c>
    </row>
    <row r="4733" spans="1:11" x14ac:dyDescent="0.35">
      <c r="A4733" s="9" t="str">
        <f>HYPERLINK("http://www.ensembl.org/id/WBGene00003634", "WBGene00003634")</f>
        <v>WBGene00003634</v>
      </c>
      <c r="B4733" s="9" t="str">
        <f>HYPERLINK("http://www.ncbi.nlm.nih.gov/gene/179276", "179276")</f>
        <v>179276</v>
      </c>
      <c r="C4733" s="9"/>
      <c r="D4733" t="str">
        <f>"nhr-44"</f>
        <v>nhr-44</v>
      </c>
      <c r="E4733" t="s">
        <v>3739</v>
      </c>
      <c r="F4733" t="s">
        <v>11</v>
      </c>
      <c r="G4733" t="s">
        <v>852</v>
      </c>
      <c r="H4733" s="12">
        <v>1.38346856099073</v>
      </c>
      <c r="I4733" s="20">
        <v>1.3111315680340201</v>
      </c>
      <c r="J4733" s="28">
        <v>0.18981331712071201</v>
      </c>
      <c r="K4733" s="29">
        <v>0.92834517192120303</v>
      </c>
    </row>
    <row r="4734" spans="1:11" x14ac:dyDescent="0.35">
      <c r="A4734" s="9" t="str">
        <f>HYPERLINK("http://www.ensembl.org/id/WBGene00005188", "WBGene00005188")</f>
        <v>WBGene00005188</v>
      </c>
      <c r="B4734" s="9" t="str">
        <f>HYPERLINK("http://www.ncbi.nlm.nih.gov/gene/188260", "188260")</f>
        <v>188260</v>
      </c>
      <c r="C4734" s="9"/>
      <c r="D4734" t="str">
        <f>"srg-31"</f>
        <v>srg-31</v>
      </c>
      <c r="E4734" t="s">
        <v>3738</v>
      </c>
      <c r="F4734" t="s">
        <v>11</v>
      </c>
      <c r="G4734" t="s">
        <v>1829</v>
      </c>
      <c r="H4734" s="12">
        <v>7.1288137045153803</v>
      </c>
      <c r="I4734" s="20">
        <v>1.3098296348463201</v>
      </c>
      <c r="J4734" s="28">
        <v>0.190253475449776</v>
      </c>
      <c r="K4734" s="29">
        <v>0.92834517192120303</v>
      </c>
    </row>
    <row r="4735" spans="1:11" x14ac:dyDescent="0.35">
      <c r="A4735" s="9" t="str">
        <f>HYPERLINK("http://www.ensembl.org/id/WBGene00015998", "WBGene00015998")</f>
        <v>WBGene00015998</v>
      </c>
      <c r="B4735" s="9" t="str">
        <f>HYPERLINK("http://www.ncbi.nlm.nih.gov/gene/182805", "182805")</f>
        <v>182805</v>
      </c>
      <c r="C4735" s="9"/>
      <c r="D4735" t="str">
        <f>"srt-59"</f>
        <v>srt-59</v>
      </c>
      <c r="E4735" t="s">
        <v>2845</v>
      </c>
      <c r="F4735" t="s">
        <v>11</v>
      </c>
      <c r="G4735" t="s">
        <v>25</v>
      </c>
      <c r="H4735" s="12">
        <v>13.510057604228701</v>
      </c>
      <c r="I4735" s="20">
        <v>1.3110716056934699</v>
      </c>
      <c r="J4735" s="28">
        <v>0.18983357272822701</v>
      </c>
      <c r="K4735" s="29">
        <v>0.92834517192120303</v>
      </c>
    </row>
    <row r="4736" spans="1:11" x14ac:dyDescent="0.35">
      <c r="A4736" s="9" t="str">
        <f>HYPERLINK("http://www.ensembl.org/id/WBGene00005818", "WBGene00005818")</f>
        <v>WBGene00005818</v>
      </c>
      <c r="B4736" s="9" t="str">
        <f>HYPERLINK("http://www.ncbi.nlm.nih.gov/gene/184642", "184642")</f>
        <v>184642</v>
      </c>
      <c r="C4736" s="9"/>
      <c r="D4736" t="str">
        <f>"srw-71"</f>
        <v>srw-71</v>
      </c>
      <c r="E4736" t="s">
        <v>1014</v>
      </c>
      <c r="F4736" t="s">
        <v>11</v>
      </c>
      <c r="G4736" t="s">
        <v>1015</v>
      </c>
      <c r="H4736" s="12">
        <v>2.5799409415198999</v>
      </c>
      <c r="I4736" s="20">
        <v>1.31101302723894</v>
      </c>
      <c r="J4736" s="28">
        <v>0.189853362389207</v>
      </c>
      <c r="K4736" s="29">
        <v>0.92834517192120303</v>
      </c>
    </row>
    <row r="4737" spans="1:11" x14ac:dyDescent="0.35">
      <c r="A4737" s="9" t="str">
        <f>HYPERLINK("http://www.ensembl.org/id/WBGene00018509", "WBGene00018509")</f>
        <v>WBGene00018509</v>
      </c>
      <c r="B4737" s="9" t="str">
        <f>HYPERLINK("http://www.ncbi.nlm.nih.gov/gene/172218", "172218")</f>
        <v>172218</v>
      </c>
      <c r="C4737" s="9"/>
      <c r="D4737" t="str">
        <f>"xrep-4"</f>
        <v>xrep-4</v>
      </c>
      <c r="F4737" t="s">
        <v>11</v>
      </c>
      <c r="G4737" t="s">
        <v>54</v>
      </c>
      <c r="H4737" s="12">
        <v>-1.28230486338616</v>
      </c>
      <c r="I4737" s="20">
        <v>-1.3113064978508999</v>
      </c>
      <c r="J4737" s="28">
        <v>0.18975423396803101</v>
      </c>
      <c r="K4737" s="29">
        <v>0.92834517192120303</v>
      </c>
    </row>
    <row r="4738" spans="1:11" x14ac:dyDescent="0.35">
      <c r="A4738" s="9" t="str">
        <f>HYPERLINK("http://www.ensembl.org/id/WBGene00021837", "WBGene00021837")</f>
        <v>WBGene00021837</v>
      </c>
      <c r="B4738" s="9" t="str">
        <f>HYPERLINK("http://www.ncbi.nlm.nih.gov/gene/190262", "190262")</f>
        <v>190262</v>
      </c>
      <c r="C4738" s="9"/>
      <c r="D4738" t="str">
        <f>"Y54E10BL.1"</f>
        <v>Y54E10BL.1</v>
      </c>
      <c r="F4738" t="s">
        <v>11</v>
      </c>
      <c r="H4738" s="12">
        <v>4.2317185258930703</v>
      </c>
      <c r="I4738" s="20">
        <v>1.3112010220419399</v>
      </c>
      <c r="J4738" s="28">
        <v>0.18978985716635199</v>
      </c>
      <c r="K4738" s="29">
        <v>0.92834517192120303</v>
      </c>
    </row>
    <row r="4739" spans="1:11" x14ac:dyDescent="0.35">
      <c r="A4739" s="9" t="str">
        <f>HYPERLINK("http://www.ensembl.org/id/WBGene00000687", "WBGene00000687")</f>
        <v>WBGene00000687</v>
      </c>
      <c r="B4739" s="9" t="str">
        <f>HYPERLINK("http://www.ncbi.nlm.nih.gov/gene/177487", "177487")</f>
        <v>177487</v>
      </c>
      <c r="C4739" s="9"/>
      <c r="D4739" t="str">
        <f>"col-113"</f>
        <v>col-113</v>
      </c>
      <c r="E4739" t="s">
        <v>40</v>
      </c>
      <c r="F4739" t="s">
        <v>11</v>
      </c>
      <c r="G4739" t="s">
        <v>41</v>
      </c>
      <c r="H4739" s="12">
        <v>1.5975166253887101</v>
      </c>
      <c r="I4739" s="20">
        <v>1.3095259070604</v>
      </c>
      <c r="J4739" s="28">
        <v>0.19035626796871799</v>
      </c>
      <c r="K4739" s="29">
        <v>0.92844869002596198</v>
      </c>
    </row>
    <row r="4740" spans="1:11" x14ac:dyDescent="0.35">
      <c r="A4740" s="9" t="str">
        <f>HYPERLINK("http://www.ensembl.org/id/WBGene00021486", "WBGene00021486")</f>
        <v>WBGene00021486</v>
      </c>
      <c r="B4740" s="9" t="str">
        <f>HYPERLINK("http://www.ncbi.nlm.nih.gov/gene/178686", "178686")</f>
        <v>178686</v>
      </c>
      <c r="C4740" s="9" t="str">
        <f>HYPERLINK("http://www.ncbi.nlm.nih.gov/gene/5375", "5375")</f>
        <v>5375</v>
      </c>
      <c r="D4740" t="str">
        <f>"lbp-9"</f>
        <v>lbp-9</v>
      </c>
      <c r="E4740" t="s">
        <v>3746</v>
      </c>
      <c r="F4740" t="s">
        <v>11</v>
      </c>
      <c r="G4740" t="s">
        <v>2037</v>
      </c>
      <c r="H4740" s="12">
        <v>-1.2643508336212399</v>
      </c>
      <c r="I4740" s="20">
        <v>-1.3094469022109201</v>
      </c>
      <c r="J4740" s="28">
        <v>0.19038301278209199</v>
      </c>
      <c r="K4740" s="29">
        <v>0.92844869002596198</v>
      </c>
    </row>
    <row r="4741" spans="1:11" x14ac:dyDescent="0.35">
      <c r="A4741" s="9" t="str">
        <f>HYPERLINK("http://www.ensembl.org/id/WBGene00016411", "WBGene00016411")</f>
        <v>WBGene00016411</v>
      </c>
      <c r="B4741" s="9" t="str">
        <f>HYPERLINK("http://www.ncbi.nlm.nih.gov/gene/175715", "175715")</f>
        <v>175715</v>
      </c>
      <c r="C4741" s="9" t="str">
        <f>HYPERLINK("http://www.ncbi.nlm.nih.gov/gene/84294", "84294")</f>
        <v>84294</v>
      </c>
      <c r="D4741" t="str">
        <f>"C34E10.10"</f>
        <v>C34E10.10</v>
      </c>
      <c r="F4741" t="s">
        <v>11</v>
      </c>
      <c r="G4741" t="s">
        <v>3747</v>
      </c>
      <c r="H4741" s="12">
        <v>-1.3981717058880601</v>
      </c>
      <c r="I4741" s="20">
        <v>-1.3083756730724301</v>
      </c>
      <c r="J4741" s="28">
        <v>0.19074591967127499</v>
      </c>
      <c r="K4741" s="29">
        <v>0.930022202980479</v>
      </c>
    </row>
    <row r="4742" spans="1:11" x14ac:dyDescent="0.35">
      <c r="A4742" s="9" t="str">
        <f>HYPERLINK("http://www.ensembl.org/id/WBGene00008765", "WBGene00008765")</f>
        <v>WBGene00008765</v>
      </c>
      <c r="B4742" s="9" t="str">
        <f>HYPERLINK("http://www.ncbi.nlm.nih.gov/gene/172477", "172477")</f>
        <v>172477</v>
      </c>
      <c r="C4742" s="9" t="str">
        <f>HYPERLINK("http://www.ncbi.nlm.nih.gov/gene/3612", "3612")</f>
        <v>3612</v>
      </c>
      <c r="D4742" t="str">
        <f>"ttx-7"</f>
        <v>ttx-7</v>
      </c>
      <c r="E4742" t="s">
        <v>3748</v>
      </c>
      <c r="F4742" t="s">
        <v>11</v>
      </c>
      <c r="G4742" t="s">
        <v>3749</v>
      </c>
      <c r="H4742" s="12">
        <v>-1.3174006608870501</v>
      </c>
      <c r="I4742" s="20">
        <v>-1.3081368610506801</v>
      </c>
      <c r="J4742" s="28">
        <v>0.19082689286364601</v>
      </c>
      <c r="K4742" s="29">
        <v>0.930220714453038</v>
      </c>
    </row>
    <row r="4743" spans="1:11" x14ac:dyDescent="0.35">
      <c r="A4743" s="9" t="str">
        <f>HYPERLINK("http://www.ensembl.org/id/WBGene00008393", "WBGene00008393")</f>
        <v>WBGene00008393</v>
      </c>
      <c r="B4743" s="9" t="str">
        <f>HYPERLINK("http://www.ncbi.nlm.nih.gov/gene/179904", "179904")</f>
        <v>179904</v>
      </c>
      <c r="C4743" s="9"/>
      <c r="D4743" t="str">
        <f>"D1086.6"</f>
        <v>D1086.6</v>
      </c>
      <c r="F4743" t="s">
        <v>11</v>
      </c>
      <c r="H4743" s="12">
        <v>-1.27356920126659</v>
      </c>
      <c r="I4743" s="20">
        <v>-1.30794736564701</v>
      </c>
      <c r="J4743" s="28">
        <v>0.19089116243773499</v>
      </c>
      <c r="K4743" s="29">
        <v>0.930337734504598</v>
      </c>
    </row>
    <row r="4744" spans="1:11" x14ac:dyDescent="0.35">
      <c r="A4744" s="9" t="str">
        <f>HYPERLINK("http://www.ensembl.org/id/WBGene00219955", "WBGene00219955")</f>
        <v>WBGene00219955</v>
      </c>
      <c r="B4744" s="9"/>
      <c r="C4744" s="9"/>
      <c r="D4744" t="str">
        <f>"F48A9.6"</f>
        <v>F48A9.6</v>
      </c>
      <c r="F4744" t="s">
        <v>2977</v>
      </c>
      <c r="H4744" s="12">
        <v>9.3823544436649193</v>
      </c>
      <c r="I4744" s="20">
        <v>1.30747167177125</v>
      </c>
      <c r="J4744" s="28">
        <v>0.19105256975492699</v>
      </c>
      <c r="K4744" s="29">
        <v>0.93082693391986804</v>
      </c>
    </row>
    <row r="4745" spans="1:11" x14ac:dyDescent="0.35">
      <c r="A4745" s="9" t="str">
        <f>HYPERLINK("http://www.ensembl.org/id/WBGene00017901", "WBGene00017901")</f>
        <v>WBGene00017901</v>
      </c>
      <c r="B4745" s="9" t="str">
        <f>HYPERLINK("http://www.ncbi.nlm.nih.gov/gene/185065", "185065")</f>
        <v>185065</v>
      </c>
      <c r="C4745" s="9"/>
      <c r="D4745" t="str">
        <f>"igeg-1"</f>
        <v>igeg-1</v>
      </c>
      <c r="E4745" t="s">
        <v>3750</v>
      </c>
      <c r="F4745" t="s">
        <v>11</v>
      </c>
      <c r="G4745" t="s">
        <v>25</v>
      </c>
      <c r="H4745" s="12">
        <v>1.32882606328352</v>
      </c>
      <c r="I4745" s="20">
        <v>1.3072954351833901</v>
      </c>
      <c r="J4745" s="28">
        <v>0.19111239394598201</v>
      </c>
      <c r="K4745" s="29">
        <v>0.93082693391986804</v>
      </c>
    </row>
    <row r="4746" spans="1:11" x14ac:dyDescent="0.35">
      <c r="A4746" s="9" t="str">
        <f>HYPERLINK("http://www.ensembl.org/id/WBGene00012651", "WBGene00012651")</f>
        <v>WBGene00012651</v>
      </c>
      <c r="B4746" s="9" t="str">
        <f>HYPERLINK("http://www.ncbi.nlm.nih.gov/gene/176487", "176487")</f>
        <v>176487</v>
      </c>
      <c r="C4746" s="9"/>
      <c r="D4746" t="str">
        <f>"orc-4"</f>
        <v>orc-4</v>
      </c>
      <c r="E4746" t="s">
        <v>3713</v>
      </c>
      <c r="F4746" t="s">
        <v>11</v>
      </c>
      <c r="G4746" t="s">
        <v>3751</v>
      </c>
      <c r="H4746" s="12">
        <v>-1.39435935409176</v>
      </c>
      <c r="I4746" s="20">
        <v>-1.3074007409897299</v>
      </c>
      <c r="J4746" s="28">
        <v>0.19107664582547801</v>
      </c>
      <c r="K4746" s="29">
        <v>0.93082693391986804</v>
      </c>
    </row>
    <row r="4747" spans="1:11" x14ac:dyDescent="0.35">
      <c r="A4747" s="9" t="str">
        <f>HYPERLINK("http://www.ensembl.org/id/WBGene00000695", "WBGene00000695")</f>
        <v>WBGene00000695</v>
      </c>
      <c r="B4747" s="9" t="str">
        <f>HYPERLINK("http://www.ncbi.nlm.nih.gov/gene/177771", "177771")</f>
        <v>177771</v>
      </c>
      <c r="C4747" s="9"/>
      <c r="D4747" t="str">
        <f>"col-121"</f>
        <v>col-121</v>
      </c>
      <c r="E4747" t="s">
        <v>40</v>
      </c>
      <c r="F4747" t="s">
        <v>11</v>
      </c>
      <c r="G4747" t="s">
        <v>41</v>
      </c>
      <c r="H4747" s="12">
        <v>-1.47772730693481</v>
      </c>
      <c r="I4747" s="20">
        <v>-1.3071161037688901</v>
      </c>
      <c r="J4747" s="28">
        <v>0.19117328283782301</v>
      </c>
      <c r="K4747" s="29">
        <v>0.93092726517402402</v>
      </c>
    </row>
    <row r="4748" spans="1:11" x14ac:dyDescent="0.35">
      <c r="A4748" s="9" t="str">
        <f>HYPERLINK("http://www.ensembl.org/id/WBGene00271796", "WBGene00271796")</f>
        <v>WBGene00271796</v>
      </c>
      <c r="B4748" s="9" t="str">
        <f>HYPERLINK("http://www.ncbi.nlm.nih.gov/gene/183805", "183805")</f>
        <v>183805</v>
      </c>
      <c r="C4748" s="9"/>
      <c r="D4748" t="str">
        <f>"C54F6.20"</f>
        <v>C54F6.20</v>
      </c>
      <c r="F4748" t="s">
        <v>11</v>
      </c>
      <c r="H4748" s="12">
        <v>1.6448865929937999</v>
      </c>
      <c r="I4748" s="20">
        <v>1.3069592622032999</v>
      </c>
      <c r="J4748" s="28">
        <v>0.19122654739040501</v>
      </c>
      <c r="K4748" s="29">
        <v>0.93098727871626596</v>
      </c>
    </row>
    <row r="4749" spans="1:11" x14ac:dyDescent="0.35">
      <c r="A4749" s="9" t="str">
        <f>HYPERLINK("http://www.ensembl.org/id/WBGene00004464", "WBGene00004464")</f>
        <v>WBGene00004464</v>
      </c>
      <c r="B4749" s="9" t="str">
        <f>HYPERLINK("http://www.ncbi.nlm.nih.gov/gene/172009", "172009")</f>
        <v>172009</v>
      </c>
      <c r="C4749" s="9" t="str">
        <f>HYPERLINK("http://www.ncbi.nlm.nih.gov/gene/5713", "5713")</f>
        <v>5713</v>
      </c>
      <c r="D4749" t="str">
        <f>"rpn-8"</f>
        <v>rpn-8</v>
      </c>
      <c r="E4749" t="s">
        <v>2743</v>
      </c>
      <c r="F4749" t="s">
        <v>11</v>
      </c>
      <c r="G4749" t="s">
        <v>3752</v>
      </c>
      <c r="H4749" s="12">
        <v>-1.2692116046775701</v>
      </c>
      <c r="I4749" s="20">
        <v>-1.30672394557208</v>
      </c>
      <c r="J4749" s="28">
        <v>0.191306483136191</v>
      </c>
      <c r="K4749" s="29">
        <v>0.93098727871626596</v>
      </c>
    </row>
    <row r="4750" spans="1:11" x14ac:dyDescent="0.35">
      <c r="A4750" s="9" t="str">
        <f>HYPERLINK("http://www.ensembl.org/id/WBGene00022522", "WBGene00022522")</f>
        <v>WBGene00022522</v>
      </c>
      <c r="B4750" s="9" t="str">
        <f>HYPERLINK("http://www.ncbi.nlm.nih.gov/gene/28661662", "28661662")</f>
        <v>28661662</v>
      </c>
      <c r="C4750" s="9"/>
      <c r="D4750" t="str">
        <f>"ZC132.3"</f>
        <v>ZC132.3</v>
      </c>
      <c r="F4750" t="s">
        <v>11</v>
      </c>
      <c r="G4750" t="s">
        <v>25</v>
      </c>
      <c r="H4750" s="12">
        <v>2.57770806658207</v>
      </c>
      <c r="I4750" s="20">
        <v>1.3067728104704801</v>
      </c>
      <c r="J4750" s="28">
        <v>0.19128988198071201</v>
      </c>
      <c r="K4750" s="29">
        <v>0.93098727871626596</v>
      </c>
    </row>
    <row r="4751" spans="1:11" x14ac:dyDescent="0.35">
      <c r="A4751" s="9" t="str">
        <f>HYPERLINK("http://www.ensembl.org/id/WBGene00016793", "WBGene00016793")</f>
        <v>WBGene00016793</v>
      </c>
      <c r="B4751" s="9" t="str">
        <f>HYPERLINK("http://www.ncbi.nlm.nih.gov/gene/183628", "183628")</f>
        <v>183628</v>
      </c>
      <c r="C4751" s="9"/>
      <c r="D4751" t="str">
        <f>"arp-11"</f>
        <v>arp-11</v>
      </c>
      <c r="E4751" t="s">
        <v>3753</v>
      </c>
      <c r="F4751" t="s">
        <v>11</v>
      </c>
      <c r="G4751" t="s">
        <v>3754</v>
      </c>
      <c r="H4751" s="12">
        <v>-1.30107496226324</v>
      </c>
      <c r="I4751" s="20">
        <v>-1.3064114411421901</v>
      </c>
      <c r="J4751" s="28">
        <v>0.19141267714853699</v>
      </c>
      <c r="K4751" s="29">
        <v>0.93111185646191397</v>
      </c>
    </row>
    <row r="4752" spans="1:11" x14ac:dyDescent="0.35">
      <c r="A4752" s="9" t="str">
        <f>HYPERLINK("http://www.ensembl.org/id/WBGene00020267", "WBGene00020267")</f>
        <v>WBGene00020267</v>
      </c>
      <c r="B4752" s="9" t="str">
        <f>HYPERLINK("http://www.ncbi.nlm.nih.gov/gene/188150", "188150")</f>
        <v>188150</v>
      </c>
      <c r="C4752" s="9" t="str">
        <f>HYPERLINK("http://www.ncbi.nlm.nih.gov/gene/51700", "51700")</f>
        <v>51700</v>
      </c>
      <c r="D4752" t="str">
        <f>"T05H4.4"</f>
        <v>T05H4.4</v>
      </c>
      <c r="E4752" t="s">
        <v>2914</v>
      </c>
      <c r="F4752" t="s">
        <v>11</v>
      </c>
      <c r="G4752" t="s">
        <v>2915</v>
      </c>
      <c r="H4752" s="12">
        <v>2.3067821500328098</v>
      </c>
      <c r="I4752" s="20">
        <v>1.3064910139389501</v>
      </c>
      <c r="J4752" s="28">
        <v>0.191385632922488</v>
      </c>
      <c r="K4752" s="29">
        <v>0.93111185646191397</v>
      </c>
    </row>
    <row r="4753" spans="1:11" x14ac:dyDescent="0.35">
      <c r="A4753" s="9" t="str">
        <f>HYPERLINK("http://www.ensembl.org/id/WBGene00206519", "WBGene00206519")</f>
        <v>WBGene00206519</v>
      </c>
      <c r="B4753" s="9" t="str">
        <f>HYPERLINK("http://www.ncbi.nlm.nih.gov/gene/13183734", "13183734")</f>
        <v>13183734</v>
      </c>
      <c r="C4753" s="9"/>
      <c r="D4753" t="str">
        <f>"F36H5.13"</f>
        <v>F36H5.13</v>
      </c>
      <c r="F4753" t="s">
        <v>11</v>
      </c>
      <c r="G4753" t="s">
        <v>54</v>
      </c>
      <c r="H4753" s="12">
        <v>1.77551144965963</v>
      </c>
      <c r="I4753" s="20">
        <v>1.3060772279797299</v>
      </c>
      <c r="J4753" s="28">
        <v>0.191526296122906</v>
      </c>
      <c r="K4753" s="29">
        <v>0.93146844837210496</v>
      </c>
    </row>
    <row r="4754" spans="1:11" x14ac:dyDescent="0.35">
      <c r="A4754" s="9" t="str">
        <f>HYPERLINK("http://www.ensembl.org/id/WBGene00009677", "WBGene00009677")</f>
        <v>WBGene00009677</v>
      </c>
      <c r="B4754" s="9" t="str">
        <f>HYPERLINK("http://www.ncbi.nlm.nih.gov/gene/185725", "185725")</f>
        <v>185725</v>
      </c>
      <c r="C4754" s="9"/>
      <c r="D4754" t="str">
        <f>"F44A6.5"</f>
        <v>F44A6.5</v>
      </c>
      <c r="F4754" t="s">
        <v>11</v>
      </c>
      <c r="H4754" s="12">
        <v>1.3553958856183499</v>
      </c>
      <c r="I4754" s="20">
        <v>1.3057628936700301</v>
      </c>
      <c r="J4754" s="28">
        <v>0.19163320235853501</v>
      </c>
      <c r="K4754" s="29">
        <v>0.931792250356965</v>
      </c>
    </row>
    <row r="4755" spans="1:11" x14ac:dyDescent="0.35">
      <c r="A4755" s="9" t="str">
        <f>HYPERLINK("http://www.ensembl.org/id/WBGene00011223", "WBGene00011223")</f>
        <v>WBGene00011223</v>
      </c>
      <c r="B4755" s="9" t="str">
        <f>HYPERLINK("http://www.ncbi.nlm.nih.gov/gene/187788", "187788")</f>
        <v>187788</v>
      </c>
      <c r="C4755" s="9"/>
      <c r="D4755" t="str">
        <f>"R10H10.4"</f>
        <v>R10H10.4</v>
      </c>
      <c r="F4755" t="s">
        <v>11</v>
      </c>
      <c r="G4755" t="s">
        <v>25</v>
      </c>
      <c r="H4755" s="12">
        <v>2.4841344538312198</v>
      </c>
      <c r="I4755" s="20">
        <v>1.3055442893458</v>
      </c>
      <c r="J4755" s="28">
        <v>0.19170757635383701</v>
      </c>
      <c r="K4755" s="29">
        <v>0.93195776546007703</v>
      </c>
    </row>
    <row r="4756" spans="1:11" x14ac:dyDescent="0.35">
      <c r="A4756" s="9" t="str">
        <f>HYPERLINK("http://www.ensembl.org/id/WBGene00008639", "WBGene00008639")</f>
        <v>WBGene00008639</v>
      </c>
      <c r="B4756" s="9" t="str">
        <f>HYPERLINK("http://www.ncbi.nlm.nih.gov/gene/184284", "184284")</f>
        <v>184284</v>
      </c>
      <c r="C4756" s="9" t="str">
        <f>HYPERLINK("http://www.ncbi.nlm.nih.gov/gene/25980", "25980")</f>
        <v>25980</v>
      </c>
      <c r="D4756" t="str">
        <f>"F10B5.2"</f>
        <v>F10B5.2</v>
      </c>
      <c r="F4756" t="s">
        <v>11</v>
      </c>
      <c r="G4756" t="s">
        <v>3755</v>
      </c>
      <c r="H4756" s="12">
        <v>-1.3903729552526201</v>
      </c>
      <c r="I4756" s="20">
        <v>-1.3054077463904901</v>
      </c>
      <c r="J4756" s="28">
        <v>0.19175404203902999</v>
      </c>
      <c r="K4756" s="29">
        <v>0.93198756738616395</v>
      </c>
    </row>
    <row r="4757" spans="1:11" x14ac:dyDescent="0.35">
      <c r="A4757" s="9" t="str">
        <f>HYPERLINK("http://www.ensembl.org/id/WBGene00018094", "WBGene00018094")</f>
        <v>WBGene00018094</v>
      </c>
      <c r="B4757" s="9" t="str">
        <f>HYPERLINK("http://www.ncbi.nlm.nih.gov/gene/185362", "185362")</f>
        <v>185362</v>
      </c>
      <c r="C4757" s="9"/>
      <c r="D4757" t="str">
        <f>"F36F12.3"</f>
        <v>F36F12.3</v>
      </c>
      <c r="F4757" t="s">
        <v>11</v>
      </c>
      <c r="G4757" t="s">
        <v>1212</v>
      </c>
      <c r="H4757" s="12">
        <v>-3.4891831074883699</v>
      </c>
      <c r="I4757" s="20">
        <v>-1.3049824959745</v>
      </c>
      <c r="J4757" s="28">
        <v>0.19189880819309499</v>
      </c>
      <c r="K4757" s="29">
        <v>0.93249502883483704</v>
      </c>
    </row>
    <row r="4758" spans="1:11" x14ac:dyDescent="0.35">
      <c r="A4758" s="9" t="str">
        <f>HYPERLINK("http://www.ensembl.org/id/WBGene00010259", "WBGene00010259")</f>
        <v>WBGene00010259</v>
      </c>
      <c r="B4758" s="9" t="str">
        <f>HYPERLINK("http://www.ncbi.nlm.nih.gov/gene/179894", "179894")</f>
        <v>179894</v>
      </c>
      <c r="C4758" s="9"/>
      <c r="D4758" t="str">
        <f>"ric-7"</f>
        <v>ric-7</v>
      </c>
      <c r="F4758" t="s">
        <v>11</v>
      </c>
      <c r="G4758" t="s">
        <v>3756</v>
      </c>
      <c r="H4758" s="12">
        <v>-1.27999948449358</v>
      </c>
      <c r="I4758" s="20">
        <v>-1.30475539189824</v>
      </c>
      <c r="J4758" s="28">
        <v>0.19197615316469999</v>
      </c>
      <c r="K4758" s="29">
        <v>0.93267472561470799</v>
      </c>
    </row>
    <row r="4759" spans="1:11" x14ac:dyDescent="0.35">
      <c r="A4759" s="9" t="str">
        <f>HYPERLINK("http://www.ensembl.org/id/WBGene00019217", "WBGene00019217")</f>
        <v>WBGene00019217</v>
      </c>
      <c r="B4759" s="9" t="str">
        <f>HYPERLINK("http://www.ncbi.nlm.nih.gov/gene/173769", "173769")</f>
        <v>173769</v>
      </c>
      <c r="C4759" s="9"/>
      <c r="D4759" t="str">
        <f>"athp-2"</f>
        <v>athp-2</v>
      </c>
      <c r="E4759" t="s">
        <v>3281</v>
      </c>
      <c r="F4759" t="s">
        <v>11</v>
      </c>
      <c r="G4759" t="s">
        <v>3757</v>
      </c>
      <c r="H4759" s="12">
        <v>-1.28767733130197</v>
      </c>
      <c r="I4759" s="20">
        <v>-1.30460033966316</v>
      </c>
      <c r="J4759" s="28">
        <v>0.19202897256441101</v>
      </c>
      <c r="K4759" s="29">
        <v>0.932707532425465</v>
      </c>
    </row>
    <row r="4760" spans="1:11" x14ac:dyDescent="0.35">
      <c r="A4760" s="9" t="str">
        <f>HYPERLINK("http://www.ensembl.org/id/WBGene00045013", "WBGene00045013")</f>
        <v>WBGene00045013</v>
      </c>
      <c r="B4760" s="9" t="str">
        <f>HYPERLINK("http://www.ncbi.nlm.nih.gov/gene/13211252", "13211252")</f>
        <v>13211252</v>
      </c>
      <c r="C4760" s="9"/>
      <c r="D4760" t="str">
        <f>"F08A7.1"</f>
        <v>F08A7.1</v>
      </c>
      <c r="F4760" t="s">
        <v>11</v>
      </c>
      <c r="G4760" t="s">
        <v>25</v>
      </c>
      <c r="H4760" s="12">
        <v>-1.49870426849476</v>
      </c>
      <c r="I4760" s="20">
        <v>-1.3042616924005099</v>
      </c>
      <c r="J4760" s="28">
        <v>0.19214437177985</v>
      </c>
      <c r="K4760" s="29">
        <v>0.932707532425465</v>
      </c>
    </row>
    <row r="4761" spans="1:11" x14ac:dyDescent="0.35">
      <c r="A4761" s="9" t="str">
        <f>HYPERLINK("http://www.ensembl.org/id/WBGene00003509", "WBGene00003509")</f>
        <v>WBGene00003509</v>
      </c>
      <c r="B4761" s="9" t="str">
        <f>HYPERLINK("http://www.ncbi.nlm.nih.gov/gene/179557", "179557")</f>
        <v>179557</v>
      </c>
      <c r="C4761" s="9"/>
      <c r="D4761" t="str">
        <f>"mxl-1"</f>
        <v>mxl-1</v>
      </c>
      <c r="E4761" t="s">
        <v>3758</v>
      </c>
      <c r="F4761" t="s">
        <v>11</v>
      </c>
      <c r="G4761" t="s">
        <v>3759</v>
      </c>
      <c r="H4761" s="12">
        <v>-1.3231372231157701</v>
      </c>
      <c r="I4761" s="20">
        <v>-1.3043356845238301</v>
      </c>
      <c r="J4761" s="28">
        <v>0.19211915348394201</v>
      </c>
      <c r="K4761" s="29">
        <v>0.932707532425465</v>
      </c>
    </row>
    <row r="4762" spans="1:11" x14ac:dyDescent="0.35">
      <c r="A4762" s="9" t="str">
        <f>HYPERLINK("http://www.ensembl.org/id/WBGene00005475", "WBGene00005475")</f>
        <v>WBGene00005475</v>
      </c>
      <c r="B4762" s="9" t="str">
        <f>HYPERLINK("http://www.ncbi.nlm.nih.gov/gene/188018", "188018")</f>
        <v>188018</v>
      </c>
      <c r="C4762" s="9"/>
      <c r="D4762" t="str">
        <f>"srh-269"</f>
        <v>srh-269</v>
      </c>
      <c r="E4762" t="s">
        <v>153</v>
      </c>
      <c r="F4762" t="s">
        <v>11</v>
      </c>
      <c r="G4762" t="s">
        <v>25</v>
      </c>
      <c r="H4762" s="12">
        <v>-13.6134289515558</v>
      </c>
      <c r="I4762" s="20">
        <v>-1.3043475899897601</v>
      </c>
      <c r="J4762" s="28">
        <v>0.19211509604200599</v>
      </c>
      <c r="K4762" s="29">
        <v>0.932707532425465</v>
      </c>
    </row>
    <row r="4763" spans="1:11" x14ac:dyDescent="0.35">
      <c r="A4763" s="9" t="str">
        <f>HYPERLINK("http://www.ensembl.org/id/WBGene00022121", "WBGene00022121")</f>
        <v>WBGene00022121</v>
      </c>
      <c r="B4763" s="9" t="str">
        <f>HYPERLINK("http://www.ncbi.nlm.nih.gov/gene/171867", "171867")</f>
        <v>171867</v>
      </c>
      <c r="C4763" s="9" t="str">
        <f>HYPERLINK("http://www.ncbi.nlm.nih.gov/gene/83548", "83548")</f>
        <v>83548</v>
      </c>
      <c r="D4763" t="str">
        <f>"cogc-3"</f>
        <v>cogc-3</v>
      </c>
      <c r="E4763" t="s">
        <v>3760</v>
      </c>
      <c r="F4763" t="s">
        <v>11</v>
      </c>
      <c r="G4763" t="s">
        <v>3761</v>
      </c>
      <c r="H4763" s="12">
        <v>-1.29069656605117</v>
      </c>
      <c r="I4763" s="20">
        <v>-1.30406290489544</v>
      </c>
      <c r="J4763" s="28">
        <v>0.19221213539752</v>
      </c>
      <c r="K4763" s="29">
        <v>0.93284049579817196</v>
      </c>
    </row>
    <row r="4764" spans="1:11" x14ac:dyDescent="0.35">
      <c r="A4764" s="9" t="str">
        <f>HYPERLINK("http://www.ensembl.org/id/WBGene00022712", "WBGene00022712")</f>
        <v>WBGene00022712</v>
      </c>
      <c r="B4764" s="9" t="str">
        <f>HYPERLINK("http://www.ncbi.nlm.nih.gov/gene/173640", "173640")</f>
        <v>173640</v>
      </c>
      <c r="C4764" s="9"/>
      <c r="D4764" t="str">
        <f>"ZK355.2"</f>
        <v>ZK355.2</v>
      </c>
      <c r="F4764" t="s">
        <v>11</v>
      </c>
      <c r="G4764" t="s">
        <v>25</v>
      </c>
      <c r="H4764" s="12">
        <v>-1.2779006282654299</v>
      </c>
      <c r="I4764" s="20">
        <v>-1.30393092003893</v>
      </c>
      <c r="J4764" s="28">
        <v>0.19225713671949399</v>
      </c>
      <c r="K4764" s="29">
        <v>0.93286295695939303</v>
      </c>
    </row>
    <row r="4765" spans="1:11" x14ac:dyDescent="0.35">
      <c r="A4765" s="9" t="str">
        <f>HYPERLINK("http://www.ensembl.org/id/WBGene00015935", "WBGene00015935")</f>
        <v>WBGene00015935</v>
      </c>
      <c r="B4765" s="9" t="str">
        <f>HYPERLINK("http://www.ncbi.nlm.nih.gov/gene/177446", "177446")</f>
        <v>177446</v>
      </c>
      <c r="C4765" s="9"/>
      <c r="D4765" t="str">
        <f>"C17H12.10"</f>
        <v>C17H12.10</v>
      </c>
      <c r="F4765" t="s">
        <v>11</v>
      </c>
      <c r="G4765" t="s">
        <v>25</v>
      </c>
      <c r="H4765" s="12">
        <v>1.51377885061951</v>
      </c>
      <c r="I4765" s="20">
        <v>1.3034273933287299</v>
      </c>
      <c r="J4765" s="28">
        <v>0.192428889435172</v>
      </c>
      <c r="K4765" s="29">
        <v>0.93350029798217304</v>
      </c>
    </row>
    <row r="4766" spans="1:11" x14ac:dyDescent="0.35">
      <c r="A4766" s="9" t="str">
        <f>HYPERLINK("http://www.ensembl.org/id/WBGene00011058", "WBGene00011058")</f>
        <v>WBGene00011058</v>
      </c>
      <c r="B4766" s="9" t="str">
        <f>HYPERLINK("http://www.ncbi.nlm.nih.gov/gene/173075", "173075")</f>
        <v>173075</v>
      </c>
      <c r="C4766" s="9"/>
      <c r="D4766" t="str">
        <f>"fdps-1"</f>
        <v>fdps-1</v>
      </c>
      <c r="E4766" t="s">
        <v>3762</v>
      </c>
      <c r="F4766" t="s">
        <v>11</v>
      </c>
      <c r="G4766" t="s">
        <v>3763</v>
      </c>
      <c r="H4766" s="12">
        <v>-1.3001410161796401</v>
      </c>
      <c r="I4766" s="20">
        <v>-1.3033007404528401</v>
      </c>
      <c r="J4766" s="28">
        <v>0.19247210841669801</v>
      </c>
      <c r="K4766" s="29">
        <v>0.93351396664068398</v>
      </c>
    </row>
    <row r="4767" spans="1:11" x14ac:dyDescent="0.35">
      <c r="A4767" s="9" t="str">
        <f>HYPERLINK("http://www.ensembl.org/id/WBGene00012756", "WBGene00012756")</f>
        <v>WBGene00012756</v>
      </c>
      <c r="B4767" s="9" t="str">
        <f>HYPERLINK("http://www.ncbi.nlm.nih.gov/gene/176604", "176604")</f>
        <v>176604</v>
      </c>
      <c r="C4767" s="9"/>
      <c r="D4767" t="str">
        <f>"Y41C4A.9"</f>
        <v>Y41C4A.9</v>
      </c>
      <c r="F4767" t="s">
        <v>11</v>
      </c>
      <c r="G4767" t="s">
        <v>3764</v>
      </c>
      <c r="H4767" s="12">
        <v>-1.35606521375856</v>
      </c>
      <c r="I4767" s="20">
        <v>-1.30316554624923</v>
      </c>
      <c r="J4767" s="28">
        <v>0.192518249910374</v>
      </c>
      <c r="K4767" s="29">
        <v>0.93354180113937302</v>
      </c>
    </row>
    <row r="4768" spans="1:11" x14ac:dyDescent="0.35">
      <c r="A4768" s="9" t="str">
        <f>HYPERLINK("http://www.ensembl.org/id/WBGene00044012", "WBGene00044012")</f>
        <v>WBGene00044012</v>
      </c>
      <c r="B4768" s="9" t="str">
        <f>HYPERLINK("http://www.ncbi.nlm.nih.gov/gene/3564992", "3564992")</f>
        <v>3564992</v>
      </c>
      <c r="C4768" s="9"/>
      <c r="D4768" t="str">
        <f>"srxa-19"</f>
        <v>srxa-19</v>
      </c>
      <c r="E4768" t="s">
        <v>3765</v>
      </c>
      <c r="F4768" t="s">
        <v>11</v>
      </c>
      <c r="G4768" t="s">
        <v>25</v>
      </c>
      <c r="H4768" s="12">
        <v>11.065385957264199</v>
      </c>
      <c r="I4768" s="20">
        <v>1.3029870494407301</v>
      </c>
      <c r="J4768" s="28">
        <v>0.19257918294394399</v>
      </c>
      <c r="K4768" s="29">
        <v>0.93364133468375099</v>
      </c>
    </row>
    <row r="4769" spans="1:11" x14ac:dyDescent="0.35">
      <c r="A4769" s="9" t="str">
        <f>HYPERLINK("http://www.ensembl.org/id/WBGene00020368", "WBGene00020368")</f>
        <v>WBGene00020368</v>
      </c>
      <c r="B4769" s="9" t="str">
        <f>HYPERLINK("http://www.ncbi.nlm.nih.gov/gene/173749", "173749")</f>
        <v>173749</v>
      </c>
      <c r="C4769" s="9"/>
      <c r="D4769" t="str">
        <f>"ast-1"</f>
        <v>ast-1</v>
      </c>
      <c r="E4769" t="s">
        <v>3767</v>
      </c>
      <c r="F4769" t="s">
        <v>11</v>
      </c>
      <c r="G4769" t="s">
        <v>3768</v>
      </c>
      <c r="H4769" s="12">
        <v>1.3613722093477201</v>
      </c>
      <c r="I4769" s="20">
        <v>1.3008089013373301</v>
      </c>
      <c r="J4769" s="28">
        <v>0.19332387435295301</v>
      </c>
      <c r="K4769" s="29">
        <v>0.93364612723352502</v>
      </c>
    </row>
    <row r="4770" spans="1:11" x14ac:dyDescent="0.35">
      <c r="A4770" s="9" t="str">
        <f>HYPERLINK("http://www.ensembl.org/id/WBGene00015136", "WBGene00015136")</f>
        <v>WBGene00015136</v>
      </c>
      <c r="B4770" s="9" t="str">
        <f>HYPERLINK("http://www.ncbi.nlm.nih.gov/gene/181918", "181918")</f>
        <v>181918</v>
      </c>
      <c r="C4770" s="9"/>
      <c r="D4770" t="str">
        <f>"B0304.4"</f>
        <v>B0304.4</v>
      </c>
      <c r="F4770" t="s">
        <v>11</v>
      </c>
      <c r="H4770" s="12">
        <v>-1.6461249871863399</v>
      </c>
      <c r="I4770" s="20">
        <v>-1.30127889173894</v>
      </c>
      <c r="J4770" s="28">
        <v>0.19316300970495301</v>
      </c>
      <c r="K4770" s="29">
        <v>0.93364612723352502</v>
      </c>
    </row>
    <row r="4771" spans="1:11" x14ac:dyDescent="0.35">
      <c r="A4771" s="9" t="str">
        <f>HYPERLINK("http://www.ensembl.org/id/WBGene00007202", "WBGene00007202")</f>
        <v>WBGene00007202</v>
      </c>
      <c r="B4771" s="9" t="str">
        <f>HYPERLINK("http://www.ncbi.nlm.nih.gov/gene/182043", "182043")</f>
        <v>182043</v>
      </c>
      <c r="C4771" s="9" t="str">
        <f>HYPERLINK("http://www.ncbi.nlm.nih.gov/gene/84964", "84964")</f>
        <v>84964</v>
      </c>
      <c r="D4771" t="str">
        <f>"B0564.2"</f>
        <v>B0564.2</v>
      </c>
      <c r="F4771" t="s">
        <v>11</v>
      </c>
      <c r="G4771" t="s">
        <v>3780</v>
      </c>
      <c r="H4771" s="12">
        <v>-1.42035997000668</v>
      </c>
      <c r="I4771" s="20">
        <v>-1.30092751528352</v>
      </c>
      <c r="J4771" s="28">
        <v>0.193283266816762</v>
      </c>
      <c r="K4771" s="29">
        <v>0.93364612723352502</v>
      </c>
    </row>
    <row r="4772" spans="1:11" x14ac:dyDescent="0.35">
      <c r="A4772" s="9" t="str">
        <f>HYPERLINK("http://www.ensembl.org/id/WBGene00018755", "WBGene00018755")</f>
        <v>WBGene00018755</v>
      </c>
      <c r="B4772" s="9" t="str">
        <f>HYPERLINK("http://www.ncbi.nlm.nih.gov/gene/173733", "173733")</f>
        <v>173733</v>
      </c>
      <c r="C4772" s="9" t="str">
        <f>HYPERLINK("http://www.ncbi.nlm.nih.gov/gene/53630", "53630")</f>
        <v>53630</v>
      </c>
      <c r="D4772" t="str">
        <f>"bcmo-2"</f>
        <v>bcmo-2</v>
      </c>
      <c r="E4772" t="s">
        <v>3778</v>
      </c>
      <c r="F4772" t="s">
        <v>11</v>
      </c>
      <c r="G4772" t="s">
        <v>3779</v>
      </c>
      <c r="H4772" s="12">
        <v>-1.3529434209106901</v>
      </c>
      <c r="I4772" s="20">
        <v>-1.30263969290187</v>
      </c>
      <c r="J4772" s="28">
        <v>0.192697799853501</v>
      </c>
      <c r="K4772" s="29">
        <v>0.93364612723352502</v>
      </c>
    </row>
    <row r="4773" spans="1:11" x14ac:dyDescent="0.35">
      <c r="A4773" s="9" t="str">
        <f>HYPERLINK("http://www.ensembl.org/id/WBGene00007306", "WBGene00007306")</f>
        <v>WBGene00007306</v>
      </c>
      <c r="B4773" s="9" t="str">
        <f>HYPERLINK("http://www.ncbi.nlm.nih.gov/gene/182233", "182233")</f>
        <v>182233</v>
      </c>
      <c r="C4773" s="9"/>
      <c r="D4773" t="str">
        <f>"C04G2.5"</f>
        <v>C04G2.5</v>
      </c>
      <c r="F4773" t="s">
        <v>11</v>
      </c>
      <c r="H4773" s="12">
        <v>7.8638427606994901</v>
      </c>
      <c r="I4773" s="20">
        <v>1.3011598956415</v>
      </c>
      <c r="J4773" s="28">
        <v>0.19320372946137199</v>
      </c>
      <c r="K4773" s="29">
        <v>0.93364612723352502</v>
      </c>
    </row>
    <row r="4774" spans="1:11" x14ac:dyDescent="0.35">
      <c r="A4774" s="9" t="str">
        <f>HYPERLINK("http://www.ensembl.org/id/WBGene00015486", "WBGene00015486")</f>
        <v>WBGene00015486</v>
      </c>
      <c r="B4774" s="9" t="str">
        <f>HYPERLINK("http://www.ncbi.nlm.nih.gov/gene/175911", "175911")</f>
        <v>175911</v>
      </c>
      <c r="C4774" s="9"/>
      <c r="D4774" t="str">
        <f>"C05D11.9"</f>
        <v>C05D11.9</v>
      </c>
      <c r="F4774" t="s">
        <v>11</v>
      </c>
      <c r="G4774" t="s">
        <v>3775</v>
      </c>
      <c r="H4774" s="12">
        <v>-1.32416230320424</v>
      </c>
      <c r="I4774" s="20">
        <v>-1.30126715060075</v>
      </c>
      <c r="J4774" s="28">
        <v>0.19316702717220999</v>
      </c>
      <c r="K4774" s="29">
        <v>0.93364612723352502</v>
      </c>
    </row>
    <row r="4775" spans="1:11" x14ac:dyDescent="0.35">
      <c r="A4775" s="9" t="str">
        <f>HYPERLINK("http://www.ensembl.org/id/WBGene00007349", "WBGene00007349")</f>
        <v>WBGene00007349</v>
      </c>
      <c r="B4775" s="9" t="str">
        <f>HYPERLINK("http://www.ncbi.nlm.nih.gov/gene/181569", "181569")</f>
        <v>181569</v>
      </c>
      <c r="C4775" s="9"/>
      <c r="D4775" t="str">
        <f>"C05G5.3"</f>
        <v>C05G5.3</v>
      </c>
      <c r="F4775" t="s">
        <v>11</v>
      </c>
      <c r="G4775" t="s">
        <v>25</v>
      </c>
      <c r="H4775" s="12">
        <v>1.3500276288508199</v>
      </c>
      <c r="I4775" s="20">
        <v>1.3024074263644501</v>
      </c>
      <c r="J4775" s="28">
        <v>0.19277714524900499</v>
      </c>
      <c r="K4775" s="29">
        <v>0.93364612723352502</v>
      </c>
    </row>
    <row r="4776" spans="1:11" x14ac:dyDescent="0.35">
      <c r="A4776" s="9" t="str">
        <f>HYPERLINK("http://www.ensembl.org/id/WBGene00016502", "WBGene00016502")</f>
        <v>WBGene00016502</v>
      </c>
      <c r="B4776" s="9" t="str">
        <f>HYPERLINK("http://www.ncbi.nlm.nih.gov/gene/183290", "183290")</f>
        <v>183290</v>
      </c>
      <c r="C4776" s="9"/>
      <c r="D4776" t="str">
        <f>"C37C3.10"</f>
        <v>C37C3.10</v>
      </c>
      <c r="F4776" t="s">
        <v>11</v>
      </c>
      <c r="H4776" s="12">
        <v>-6.2936581270217502</v>
      </c>
      <c r="I4776" s="20">
        <v>-1.3012817498498299</v>
      </c>
      <c r="J4776" s="28">
        <v>0.193162031753951</v>
      </c>
      <c r="K4776" s="29">
        <v>0.93364612723352502</v>
      </c>
    </row>
    <row r="4777" spans="1:11" x14ac:dyDescent="0.35">
      <c r="A4777" s="9" t="str">
        <f>HYPERLINK("http://www.ensembl.org/id/WBGene00011167", "WBGene00011167")</f>
        <v>WBGene00011167</v>
      </c>
      <c r="B4777" s="9" t="str">
        <f>HYPERLINK("http://www.ncbi.nlm.nih.gov/gene/187739", "187739")</f>
        <v>187739</v>
      </c>
      <c r="C4777" s="9"/>
      <c r="D4777" t="str">
        <f>"chil-23"</f>
        <v>chil-23</v>
      </c>
      <c r="E4777" t="s">
        <v>1756</v>
      </c>
      <c r="F4777" t="s">
        <v>11</v>
      </c>
      <c r="G4777" t="s">
        <v>1509</v>
      </c>
      <c r="H4777" s="12">
        <v>-1.73298161612221</v>
      </c>
      <c r="I4777" s="20">
        <v>-1.3014165408994001</v>
      </c>
      <c r="J4777" s="28">
        <v>0.19311591484610999</v>
      </c>
      <c r="K4777" s="29">
        <v>0.93364612723352502</v>
      </c>
    </row>
    <row r="4778" spans="1:11" x14ac:dyDescent="0.35">
      <c r="A4778" s="9" t="str">
        <f>HYPERLINK("http://www.ensembl.org/id/WBGene00001051", "WBGene00001051")</f>
        <v>WBGene00001051</v>
      </c>
      <c r="B4778" s="9" t="str">
        <f>HYPERLINK("http://www.ncbi.nlm.nih.gov/gene/177658", "177658")</f>
        <v>177658</v>
      </c>
      <c r="C4778" s="9" t="str">
        <f>HYPERLINK("http://www.ncbi.nlm.nih.gov/gene/1163", "1163")</f>
        <v>1163</v>
      </c>
      <c r="D4778" t="str">
        <f>"cks-1"</f>
        <v>cks-1</v>
      </c>
      <c r="E4778" t="s">
        <v>3776</v>
      </c>
      <c r="F4778" t="s">
        <v>11</v>
      </c>
      <c r="G4778" t="s">
        <v>3777</v>
      </c>
      <c r="H4778" s="12">
        <v>-1.3481842858151101</v>
      </c>
      <c r="I4778" s="20">
        <v>-1.3017016840570199</v>
      </c>
      <c r="J4778" s="28">
        <v>0.19301838368289401</v>
      </c>
      <c r="K4778" s="29">
        <v>0.93364612723352502</v>
      </c>
    </row>
    <row r="4779" spans="1:11" x14ac:dyDescent="0.35">
      <c r="A4779" s="9" t="str">
        <f>HYPERLINK("http://www.ensembl.org/id/WBGene00000817", "WBGene00000817")</f>
        <v>WBGene00000817</v>
      </c>
      <c r="B4779" s="9" t="str">
        <f>HYPERLINK("http://www.ncbi.nlm.nih.gov/gene/177342", "177342")</f>
        <v>177342</v>
      </c>
      <c r="C4779" s="9" t="str">
        <f>HYPERLINK("http://www.ncbi.nlm.nih.gov/gene/10987", "10987")</f>
        <v>10987</v>
      </c>
      <c r="D4779" t="str">
        <f>"csn-5"</f>
        <v>csn-5</v>
      </c>
      <c r="E4779" t="s">
        <v>3773</v>
      </c>
      <c r="F4779" t="s">
        <v>11</v>
      </c>
      <c r="G4779" t="s">
        <v>3774</v>
      </c>
      <c r="H4779" s="12">
        <v>-1.2977972010466301</v>
      </c>
      <c r="I4779" s="20">
        <v>-1.3028339867655201</v>
      </c>
      <c r="J4779" s="28">
        <v>0.192631444875416</v>
      </c>
      <c r="K4779" s="29">
        <v>0.93364612723352502</v>
      </c>
    </row>
    <row r="4780" spans="1:11" x14ac:dyDescent="0.35">
      <c r="A4780" s="9" t="str">
        <f>HYPERLINK("http://www.ensembl.org/id/WBGene00012460", "WBGene00012460")</f>
        <v>WBGene00012460</v>
      </c>
      <c r="B4780" s="9" t="str">
        <f>HYPERLINK("http://www.ncbi.nlm.nih.gov/gene/174840", "174840")</f>
        <v>174840</v>
      </c>
      <c r="C4780" s="9" t="str">
        <f>HYPERLINK("http://www.ncbi.nlm.nih.gov/gene/1725", "1725")</f>
        <v>1725</v>
      </c>
      <c r="D4780" t="str">
        <f>"dhps-1"</f>
        <v>dhps-1</v>
      </c>
      <c r="E4780" t="s">
        <v>3781</v>
      </c>
      <c r="F4780" t="s">
        <v>11</v>
      </c>
      <c r="G4780" t="s">
        <v>3782</v>
      </c>
      <c r="H4780" s="12">
        <v>-1.4381622924463</v>
      </c>
      <c r="I4780" s="20">
        <v>-1.3007387135595401</v>
      </c>
      <c r="J4780" s="28">
        <v>0.19334790612016001</v>
      </c>
      <c r="K4780" s="29">
        <v>0.93364612723352502</v>
      </c>
    </row>
    <row r="4781" spans="1:11" x14ac:dyDescent="0.35">
      <c r="A4781" s="9" t="str">
        <f>HYPERLINK("http://www.ensembl.org/id/WBGene00021698", "WBGene00021698")</f>
        <v>WBGene00021698</v>
      </c>
      <c r="B4781" s="9" t="str">
        <f>HYPERLINK("http://www.ncbi.nlm.nih.gov/gene/175346", "175346")</f>
        <v>175346</v>
      </c>
      <c r="C4781" s="9"/>
      <c r="D4781" t="str">
        <f>"frl-1"</f>
        <v>frl-1</v>
      </c>
      <c r="E4781" t="s">
        <v>3769</v>
      </c>
      <c r="F4781" t="s">
        <v>11</v>
      </c>
      <c r="G4781" t="s">
        <v>3770</v>
      </c>
      <c r="H4781" s="12">
        <v>1.2848014455711101</v>
      </c>
      <c r="I4781" s="20">
        <v>1.30184367055504</v>
      </c>
      <c r="J4781" s="28">
        <v>0.19296983172287799</v>
      </c>
      <c r="K4781" s="29">
        <v>0.93364612723352502</v>
      </c>
    </row>
    <row r="4782" spans="1:11" x14ac:dyDescent="0.35">
      <c r="A4782" s="9" t="str">
        <f>HYPERLINK("http://www.ensembl.org/id/WBGene00003072", "WBGene00003072")</f>
        <v>WBGene00003072</v>
      </c>
      <c r="B4782" s="9" t="str">
        <f>HYPERLINK("http://www.ncbi.nlm.nih.gov/gene/171981", "171981")</f>
        <v>171981</v>
      </c>
      <c r="C4782" s="9"/>
      <c r="D4782" t="str">
        <f>"lrp-2"</f>
        <v>lrp-2</v>
      </c>
      <c r="E4782" t="s">
        <v>3771</v>
      </c>
      <c r="F4782" t="s">
        <v>11</v>
      </c>
      <c r="G4782" t="s">
        <v>3772</v>
      </c>
      <c r="H4782" s="12">
        <v>1.26812227027125</v>
      </c>
      <c r="I4782" s="20">
        <v>1.30238256853354</v>
      </c>
      <c r="J4782" s="28">
        <v>0.192785638442798</v>
      </c>
      <c r="K4782" s="29">
        <v>0.93364612723352502</v>
      </c>
    </row>
    <row r="4783" spans="1:11" x14ac:dyDescent="0.35">
      <c r="A4783" s="9" t="str">
        <f>HYPERLINK("http://www.ensembl.org/id/WBGene00012009", "WBGene00012009")</f>
        <v>WBGene00012009</v>
      </c>
      <c r="B4783" s="9" t="str">
        <f>HYPERLINK("http://www.ncbi.nlm.nih.gov/gene/188881", "188881")</f>
        <v>188881</v>
      </c>
      <c r="C4783" s="9"/>
      <c r="D4783" t="str">
        <f>"T25B9.3"</f>
        <v>T25B9.3</v>
      </c>
      <c r="F4783" t="s">
        <v>11</v>
      </c>
      <c r="H4783" s="12">
        <v>1.65610616630952</v>
      </c>
      <c r="I4783" s="20">
        <v>1.30085453009231</v>
      </c>
      <c r="J4783" s="28">
        <v>0.19330825258723</v>
      </c>
      <c r="K4783" s="29">
        <v>0.93364612723352502</v>
      </c>
    </row>
    <row r="4784" spans="1:11" x14ac:dyDescent="0.35">
      <c r="A4784" s="9" t="str">
        <f>HYPERLINK("http://www.ensembl.org/id/WBGene00020995", "WBGene00020995")</f>
        <v>WBGene00020995</v>
      </c>
      <c r="B4784" s="9" t="str">
        <f>HYPERLINK("http://www.ncbi.nlm.nih.gov/gene/189159", "189159")</f>
        <v>189159</v>
      </c>
      <c r="C4784" s="9"/>
      <c r="D4784" t="str">
        <f>"W03F8.6"</f>
        <v>W03F8.6</v>
      </c>
      <c r="F4784" t="s">
        <v>11</v>
      </c>
      <c r="G4784" t="s">
        <v>25</v>
      </c>
      <c r="H4784" s="12">
        <v>1.3804515081552</v>
      </c>
      <c r="I4784" s="20">
        <v>1.30259329710511</v>
      </c>
      <c r="J4784" s="28">
        <v>0.19271364736759999</v>
      </c>
      <c r="K4784" s="29">
        <v>0.93364612723352502</v>
      </c>
    </row>
    <row r="4785" spans="1:11" x14ac:dyDescent="0.35">
      <c r="A4785" s="9" t="str">
        <f>HYPERLINK("http://www.ensembl.org/id/WBGene00006955", "WBGene00006955")</f>
        <v>WBGene00006955</v>
      </c>
      <c r="B4785" s="9" t="str">
        <f>HYPERLINK("http://www.ncbi.nlm.nih.gov/gene/181931", "181931")</f>
        <v>181931</v>
      </c>
      <c r="C4785" s="9"/>
      <c r="D4785" t="str">
        <f>"wrt-9"</f>
        <v>wrt-9</v>
      </c>
      <c r="E4785" t="s">
        <v>1152</v>
      </c>
      <c r="F4785" t="s">
        <v>11</v>
      </c>
      <c r="G4785" t="s">
        <v>3766</v>
      </c>
      <c r="H4785" s="12">
        <v>1.92519667426881</v>
      </c>
      <c r="I4785" s="20">
        <v>1.3016729981167701</v>
      </c>
      <c r="J4785" s="28">
        <v>0.19302819386460299</v>
      </c>
      <c r="K4785" s="29">
        <v>0.93364612723352502</v>
      </c>
    </row>
    <row r="4786" spans="1:11" x14ac:dyDescent="0.35">
      <c r="A4786" s="9" t="str">
        <f>HYPERLINK("http://www.ensembl.org/id/WBGene00206493", "WBGene00206493")</f>
        <v>WBGene00206493</v>
      </c>
      <c r="B4786" s="9" t="str">
        <f>HYPERLINK("http://www.ncbi.nlm.nih.gov/gene/13198914", "13198914")</f>
        <v>13198914</v>
      </c>
      <c r="C4786" s="9"/>
      <c r="D4786" t="str">
        <f>"Y38H8A.12"</f>
        <v>Y38H8A.12</v>
      </c>
      <c r="F4786" t="s">
        <v>11</v>
      </c>
      <c r="H4786" s="12">
        <v>-4.5145974721159901</v>
      </c>
      <c r="I4786" s="20">
        <v>-1.3015766010521499</v>
      </c>
      <c r="J4786" s="28">
        <v>0.19306116296724399</v>
      </c>
      <c r="K4786" s="29">
        <v>0.93364612723352502</v>
      </c>
    </row>
    <row r="4787" spans="1:11" x14ac:dyDescent="0.35">
      <c r="A4787" s="9" t="str">
        <f>HYPERLINK("http://www.ensembl.org/id/WBGene00014209", "WBGene00014209")</f>
        <v>WBGene00014209</v>
      </c>
      <c r="B4787" s="9" t="str">
        <f>HYPERLINK("http://www.ncbi.nlm.nih.gov/gene/191516", "191516")</f>
        <v>191516</v>
      </c>
      <c r="C4787" s="9"/>
      <c r="D4787" t="str">
        <f>"ZK1067.3"</f>
        <v>ZK1067.3</v>
      </c>
      <c r="F4787" t="s">
        <v>11</v>
      </c>
      <c r="H4787" s="12">
        <v>-1.31950721830929</v>
      </c>
      <c r="I4787" s="20">
        <v>-1.30083580471739</v>
      </c>
      <c r="J4787" s="28">
        <v>0.19331466341964401</v>
      </c>
      <c r="K4787" s="29">
        <v>0.93364612723352502</v>
      </c>
    </row>
    <row r="4788" spans="1:11" x14ac:dyDescent="0.35">
      <c r="A4788" s="9" t="str">
        <f>HYPERLINK("http://www.ensembl.org/id/WBGene00044438", "WBGene00044438")</f>
        <v>WBGene00044438</v>
      </c>
      <c r="B4788" s="9" t="str">
        <f>HYPERLINK("http://www.ncbi.nlm.nih.gov/gene/3565247", "3565247")</f>
        <v>3565247</v>
      </c>
      <c r="C4788" s="9"/>
      <c r="D4788" t="str">
        <f>"Y51F10.11"</f>
        <v>Y51F10.11</v>
      </c>
      <c r="F4788" t="s">
        <v>11</v>
      </c>
      <c r="G4788" t="s">
        <v>3783</v>
      </c>
      <c r="H4788" s="12">
        <v>-1.3620242911889899</v>
      </c>
      <c r="I4788" s="20">
        <v>-1.30052593958912</v>
      </c>
      <c r="J4788" s="28">
        <v>0.19342077173519601</v>
      </c>
      <c r="K4788" s="29">
        <v>0.93380283153226895</v>
      </c>
    </row>
    <row r="4789" spans="1:11" x14ac:dyDescent="0.35">
      <c r="A4789" s="9" t="str">
        <f>HYPERLINK("http://www.ensembl.org/id/WBGene00006020", "WBGene00006020")</f>
        <v>WBGene00006020</v>
      </c>
      <c r="B4789" s="9" t="str">
        <f>HYPERLINK("http://www.ncbi.nlm.nih.gov/gene/3565982", "3565982")</f>
        <v>3565982</v>
      </c>
      <c r="C4789" s="9"/>
      <c r="D4789" t="str">
        <f>"srx-129"</f>
        <v>srx-129</v>
      </c>
      <c r="E4789" t="s">
        <v>1477</v>
      </c>
      <c r="F4789" t="s">
        <v>11</v>
      </c>
      <c r="G4789" t="s">
        <v>25</v>
      </c>
      <c r="H4789" s="12">
        <v>4.3138113893638401</v>
      </c>
      <c r="I4789" s="20">
        <v>1.30031029289376</v>
      </c>
      <c r="J4789" s="28">
        <v>0.193494641706944</v>
      </c>
      <c r="K4789" s="29">
        <v>0.93396431821195902</v>
      </c>
    </row>
    <row r="4790" spans="1:11" x14ac:dyDescent="0.35">
      <c r="A4790" s="9" t="str">
        <f>HYPERLINK("http://www.ensembl.org/id/WBGene00044412", "WBGene00044412")</f>
        <v>WBGene00044412</v>
      </c>
      <c r="B4790" s="9"/>
      <c r="C4790" s="9"/>
      <c r="D4790" t="str">
        <f>"F40H6.6"</f>
        <v>F40H6.6</v>
      </c>
      <c r="F4790" t="s">
        <v>80</v>
      </c>
      <c r="H4790" s="12">
        <v>-1.79927649547256</v>
      </c>
      <c r="I4790" s="20">
        <v>-1.2999929871661799</v>
      </c>
      <c r="J4790" s="28">
        <v>0.19360337274109099</v>
      </c>
      <c r="K4790" s="29">
        <v>0.93418113205632103</v>
      </c>
    </row>
    <row r="4791" spans="1:11" x14ac:dyDescent="0.35">
      <c r="A4791" s="9" t="str">
        <f>HYPERLINK("http://www.ensembl.org/id/WBGene00010674", "WBGene00010674")</f>
        <v>WBGene00010674</v>
      </c>
      <c r="B4791" s="9" t="str">
        <f>HYPERLINK("http://www.ncbi.nlm.nih.gov/gene/178212", "178212")</f>
        <v>178212</v>
      </c>
      <c r="C4791" s="9"/>
      <c r="D4791" t="str">
        <f>"K08E7.6"</f>
        <v>K08E7.6</v>
      </c>
      <c r="F4791" t="s">
        <v>11</v>
      </c>
      <c r="H4791" s="12">
        <v>1.4965966317986601</v>
      </c>
      <c r="I4791" s="20">
        <v>1.29994324851964</v>
      </c>
      <c r="J4791" s="28">
        <v>0.193620420731313</v>
      </c>
      <c r="K4791" s="29">
        <v>0.93418113205632103</v>
      </c>
    </row>
    <row r="4792" spans="1:11" x14ac:dyDescent="0.35">
      <c r="A4792" s="9" t="str">
        <f>HYPERLINK("http://www.ensembl.org/id/WBGene00013038", "WBGene00013038")</f>
        <v>WBGene00013038</v>
      </c>
      <c r="B4792" s="9" t="str">
        <f>HYPERLINK("http://www.ncbi.nlm.nih.gov/gene/176672", "176672")</f>
        <v>176672</v>
      </c>
      <c r="C4792" s="9"/>
      <c r="D4792" t="str">
        <f>"ani-1"</f>
        <v>ani-1</v>
      </c>
      <c r="E4792" t="s">
        <v>3784</v>
      </c>
      <c r="F4792" t="s">
        <v>11</v>
      </c>
      <c r="H4792" s="12">
        <v>-1.35768035268484</v>
      </c>
      <c r="I4792" s="20">
        <v>-1.29974989442517</v>
      </c>
      <c r="J4792" s="28">
        <v>0.19368670358774101</v>
      </c>
      <c r="K4792" s="29">
        <v>0.93430583989526805</v>
      </c>
    </row>
    <row r="4793" spans="1:11" x14ac:dyDescent="0.35">
      <c r="A4793" s="9" t="str">
        <f>HYPERLINK("http://www.ensembl.org/id/WBGene00008165", "WBGene00008165")</f>
        <v>WBGene00008165</v>
      </c>
      <c r="B4793" s="9" t="str">
        <f>HYPERLINK("http://www.ncbi.nlm.nih.gov/gene/174724", "174724")</f>
        <v>174724</v>
      </c>
      <c r="C4793" s="9" t="str">
        <f>HYPERLINK("http://www.ncbi.nlm.nih.gov/gene/92255", "92255")</f>
        <v>92255</v>
      </c>
      <c r="D4793" t="str">
        <f>"C47G2.4"</f>
        <v>C47G2.4</v>
      </c>
      <c r="E4793" t="s">
        <v>3785</v>
      </c>
      <c r="F4793" t="s">
        <v>11</v>
      </c>
      <c r="G4793" t="s">
        <v>372</v>
      </c>
      <c r="H4793" s="12">
        <v>-1.28579612489813</v>
      </c>
      <c r="I4793" s="20">
        <v>-1.2994706819725601</v>
      </c>
      <c r="J4793" s="28">
        <v>0.19378244856500701</v>
      </c>
      <c r="K4793" s="29">
        <v>0.93457258537738297</v>
      </c>
    </row>
    <row r="4794" spans="1:11" x14ac:dyDescent="0.35">
      <c r="A4794" s="9" t="str">
        <f>HYPERLINK("http://www.ensembl.org/id/WBGene00020695", "WBGene00020695")</f>
        <v>WBGene00020695</v>
      </c>
      <c r="B4794" s="9" t="str">
        <f>HYPERLINK("http://www.ncbi.nlm.nih.gov/gene/178779", "178779")</f>
        <v>178779</v>
      </c>
      <c r="C4794" s="9"/>
      <c r="D4794" t="str">
        <f>"T22F3.2"</f>
        <v>T22F3.2</v>
      </c>
      <c r="F4794" t="s">
        <v>11</v>
      </c>
      <c r="G4794" t="s">
        <v>3787</v>
      </c>
      <c r="H4794" s="12">
        <v>-1.3015333289595701</v>
      </c>
      <c r="I4794" s="20">
        <v>-1.2990262656678999</v>
      </c>
      <c r="J4794" s="28">
        <v>0.19393491540060401</v>
      </c>
      <c r="K4794" s="29">
        <v>0.93491762053961203</v>
      </c>
    </row>
    <row r="4795" spans="1:11" x14ac:dyDescent="0.35">
      <c r="A4795" s="9" t="str">
        <f>HYPERLINK("http://www.ensembl.org/id/WBGene00013711", "WBGene00013711")</f>
        <v>WBGene00013711</v>
      </c>
      <c r="B4795" s="9" t="str">
        <f>HYPERLINK("http://www.ncbi.nlm.nih.gov/gene/172898", "172898")</f>
        <v>172898</v>
      </c>
      <c r="C4795" s="9" t="str">
        <f>HYPERLINK("http://www.ncbi.nlm.nih.gov/gene/57221", "57221")</f>
        <v>57221</v>
      </c>
      <c r="D4795" t="str">
        <f>"Y106G6G.2"</f>
        <v>Y106G6G.2</v>
      </c>
      <c r="F4795" t="s">
        <v>11</v>
      </c>
      <c r="G4795" t="s">
        <v>3786</v>
      </c>
      <c r="H4795" s="12">
        <v>1.35005336210543</v>
      </c>
      <c r="I4795" s="20">
        <v>1.29906828241913</v>
      </c>
      <c r="J4795" s="28">
        <v>0.19392049685719701</v>
      </c>
      <c r="K4795" s="29">
        <v>0.93491762053961203</v>
      </c>
    </row>
    <row r="4796" spans="1:11" x14ac:dyDescent="0.35">
      <c r="A4796" s="9" t="str">
        <f>HYPERLINK("http://www.ensembl.org/id/WBGene00009308", "WBGene00009308")</f>
        <v>WBGene00009308</v>
      </c>
      <c r="B4796" s="9" t="str">
        <f>HYPERLINK("http://www.ncbi.nlm.nih.gov/gene/174957", "174957")</f>
        <v>174957</v>
      </c>
      <c r="C4796" s="9"/>
      <c r="D4796" t="str">
        <f>"F32A11.3"</f>
        <v>F32A11.3</v>
      </c>
      <c r="F4796" t="s">
        <v>11</v>
      </c>
      <c r="H4796" s="12">
        <v>2.0234394418703601</v>
      </c>
      <c r="I4796" s="20">
        <v>1.29839326295297</v>
      </c>
      <c r="J4796" s="28">
        <v>0.19415223299321299</v>
      </c>
      <c r="K4796" s="29">
        <v>0.93577002410120702</v>
      </c>
    </row>
    <row r="4797" spans="1:11" x14ac:dyDescent="0.35">
      <c r="A4797" s="9" t="str">
        <f>HYPERLINK("http://www.ensembl.org/id/WBGene00019774", "WBGene00019774")</f>
        <v>WBGene00019774</v>
      </c>
      <c r="B4797" s="9" t="str">
        <f>HYPERLINK("http://www.ncbi.nlm.nih.gov/gene/176876", "176876")</f>
        <v>176876</v>
      </c>
      <c r="C4797" s="9"/>
      <c r="D4797" t="str">
        <f>"M04G7.3"</f>
        <v>M04G7.3</v>
      </c>
      <c r="F4797" t="s">
        <v>11</v>
      </c>
      <c r="G4797" t="s">
        <v>25</v>
      </c>
      <c r="H4797" s="12">
        <v>1.34450874572302</v>
      </c>
      <c r="I4797" s="20">
        <v>1.2982032532771299</v>
      </c>
      <c r="J4797" s="28">
        <v>0.19421750050964201</v>
      </c>
      <c r="K4797" s="29">
        <v>0.93588937784687798</v>
      </c>
    </row>
    <row r="4798" spans="1:11" x14ac:dyDescent="0.35">
      <c r="A4798" s="9" t="str">
        <f>HYPERLINK("http://www.ensembl.org/id/WBGene00000455", "WBGene00000455")</f>
        <v>WBGene00000455</v>
      </c>
      <c r="B4798" s="9" t="str">
        <f>HYPERLINK("http://www.ncbi.nlm.nih.gov/gene/178919", "178919")</f>
        <v>178919</v>
      </c>
      <c r="C4798" s="9"/>
      <c r="D4798" t="str">
        <f>"ceh-34"</f>
        <v>ceh-34</v>
      </c>
      <c r="E4798" t="s">
        <v>3790</v>
      </c>
      <c r="F4798" t="s">
        <v>11</v>
      </c>
      <c r="G4798" t="s">
        <v>1012</v>
      </c>
      <c r="H4798" s="12">
        <v>-1.34300160972348</v>
      </c>
      <c r="I4798" s="20">
        <v>-1.29777625963221</v>
      </c>
      <c r="J4798" s="28">
        <v>0.194364229763586</v>
      </c>
      <c r="K4798" s="29">
        <v>0.936205939736798</v>
      </c>
    </row>
    <row r="4799" spans="1:11" x14ac:dyDescent="0.35">
      <c r="A4799" s="9" t="str">
        <f>HYPERLINK("http://www.ensembl.org/id/WBGene00018491", "WBGene00018491")</f>
        <v>WBGene00018491</v>
      </c>
      <c r="B4799" s="9" t="str">
        <f>HYPERLINK("http://www.ncbi.nlm.nih.gov/gene/179041", "179041")</f>
        <v>179041</v>
      </c>
      <c r="C4799" s="9" t="str">
        <f>HYPERLINK("http://www.ncbi.nlm.nih.gov/gene/4190", "4190")</f>
        <v>4190</v>
      </c>
      <c r="D4799" t="str">
        <f>"mdh-1"</f>
        <v>mdh-1</v>
      </c>
      <c r="E4799" t="s">
        <v>3788</v>
      </c>
      <c r="F4799" t="s">
        <v>11</v>
      </c>
      <c r="G4799" t="s">
        <v>3789</v>
      </c>
      <c r="H4799" s="12">
        <v>-1.2739978963086001</v>
      </c>
      <c r="I4799" s="20">
        <v>-1.2978560243294599</v>
      </c>
      <c r="J4799" s="28">
        <v>0.194336813777021</v>
      </c>
      <c r="K4799" s="29">
        <v>0.936205939736798</v>
      </c>
    </row>
    <row r="4800" spans="1:11" x14ac:dyDescent="0.35">
      <c r="A4800" s="9" t="str">
        <f>HYPERLINK("http://www.ensembl.org/id/WBGene00022353", "WBGene00022353")</f>
        <v>WBGene00022353</v>
      </c>
      <c r="B4800" s="9" t="str">
        <f>HYPERLINK("http://www.ncbi.nlm.nih.gov/gene/3565666", "3565666")</f>
        <v>3565666</v>
      </c>
      <c r="C4800" s="9"/>
      <c r="D4800" t="str">
        <f>"pals-18"</f>
        <v>pals-18</v>
      </c>
      <c r="E4800" t="s">
        <v>1147</v>
      </c>
      <c r="F4800" t="s">
        <v>11</v>
      </c>
      <c r="H4800" s="12">
        <v>-1.60760557422159</v>
      </c>
      <c r="I4800" s="20">
        <v>-1.2973905443025899</v>
      </c>
      <c r="J4800" s="28">
        <v>0.19449684432925901</v>
      </c>
      <c r="K4800" s="29">
        <v>0.93664945499621799</v>
      </c>
    </row>
    <row r="4801" spans="1:11" x14ac:dyDescent="0.35">
      <c r="A4801" s="9" t="str">
        <f>HYPERLINK("http://www.ensembl.org/id/WBGene00012319", "WBGene00012319")</f>
        <v>WBGene00012319</v>
      </c>
      <c r="B4801" s="9" t="str">
        <f>HYPERLINK("http://www.ncbi.nlm.nih.gov/gene/180354", "180354")</f>
        <v>180354</v>
      </c>
      <c r="C4801" s="9" t="str">
        <f>HYPERLINK("http://www.ncbi.nlm.nih.gov/gene/8398", "8398")</f>
        <v>8398</v>
      </c>
      <c r="D4801" t="str">
        <f>"ipla-3"</f>
        <v>ipla-3</v>
      </c>
      <c r="E4801" t="s">
        <v>476</v>
      </c>
      <c r="F4801" t="s">
        <v>11</v>
      </c>
      <c r="G4801" t="s">
        <v>3793</v>
      </c>
      <c r="H4801" s="12">
        <v>-1.27605457179249</v>
      </c>
      <c r="I4801" s="20">
        <v>-1.29678785540754</v>
      </c>
      <c r="J4801" s="28">
        <v>0.19470419047461399</v>
      </c>
      <c r="K4801" s="29">
        <v>0.93706207563141497</v>
      </c>
    </row>
    <row r="4802" spans="1:11" x14ac:dyDescent="0.35">
      <c r="A4802" s="9" t="str">
        <f>HYPERLINK("http://www.ensembl.org/id/WBGene00010551", "WBGene00010551")</f>
        <v>WBGene00010551</v>
      </c>
      <c r="B4802" s="9" t="str">
        <f>HYPERLINK("http://www.ncbi.nlm.nih.gov/gene/175103", "175103")</f>
        <v>175103</v>
      </c>
      <c r="C4802" s="9"/>
      <c r="D4802" t="str">
        <f>"smg-8"</f>
        <v>smg-8</v>
      </c>
      <c r="F4802" t="s">
        <v>11</v>
      </c>
      <c r="G4802" t="s">
        <v>3794</v>
      </c>
      <c r="H4802" s="12">
        <v>-1.2951408427704201</v>
      </c>
      <c r="I4802" s="20">
        <v>-1.2968141572185501</v>
      </c>
      <c r="J4802" s="28">
        <v>0.19469513834524699</v>
      </c>
      <c r="K4802" s="29">
        <v>0.93706207563141497</v>
      </c>
    </row>
    <row r="4803" spans="1:11" x14ac:dyDescent="0.35">
      <c r="A4803" s="9" t="str">
        <f>HYPERLINK("http://www.ensembl.org/id/WBGene00006742", "WBGene00006742")</f>
        <v>WBGene00006742</v>
      </c>
      <c r="B4803" s="9" t="str">
        <f>HYPERLINK("http://www.ncbi.nlm.nih.gov/gene/180570", "180570")</f>
        <v>180570</v>
      </c>
      <c r="C4803" s="9" t="str">
        <f>HYPERLINK("http://www.ncbi.nlm.nih.gov/gene/774", "774")</f>
        <v>774</v>
      </c>
      <c r="D4803" t="str">
        <f>"unc-2"</f>
        <v>unc-2</v>
      </c>
      <c r="E4803" t="s">
        <v>3791</v>
      </c>
      <c r="F4803" t="s">
        <v>11</v>
      </c>
      <c r="G4803" t="s">
        <v>3792</v>
      </c>
      <c r="H4803" s="12">
        <v>1.3114269225700601</v>
      </c>
      <c r="I4803" s="20">
        <v>1.2970155143817499</v>
      </c>
      <c r="J4803" s="28">
        <v>0.19462584874229799</v>
      </c>
      <c r="K4803" s="29">
        <v>0.93706207563141497</v>
      </c>
    </row>
    <row r="4804" spans="1:11" x14ac:dyDescent="0.35">
      <c r="A4804" s="9" t="str">
        <f>HYPERLINK("http://www.ensembl.org/id/WBGene00001129", "WBGene00001129")</f>
        <v>WBGene00001129</v>
      </c>
      <c r="B4804" s="9" t="str">
        <f>HYPERLINK("http://www.ncbi.nlm.nih.gov/gene/182970", "182970")</f>
        <v>182970</v>
      </c>
      <c r="C4804" s="9" t="str">
        <f>HYPERLINK("http://www.ncbi.nlm.nih.gov/gene/79989", "79989")</f>
        <v>79989</v>
      </c>
      <c r="D4804" t="str">
        <f>"dyf-13"</f>
        <v>dyf-13</v>
      </c>
      <c r="E4804" t="s">
        <v>3795</v>
      </c>
      <c r="F4804" t="s">
        <v>11</v>
      </c>
      <c r="G4804" t="s">
        <v>54</v>
      </c>
      <c r="H4804" s="12">
        <v>2.0600254284094301</v>
      </c>
      <c r="I4804" s="20">
        <v>1.2966287509461301</v>
      </c>
      <c r="J4804" s="28">
        <v>0.19475895504246499</v>
      </c>
      <c r="K4804" s="29">
        <v>0.93713044881532803</v>
      </c>
    </row>
    <row r="4805" spans="1:11" x14ac:dyDescent="0.35">
      <c r="A4805" s="9" t="str">
        <f>HYPERLINK("http://www.ensembl.org/id/WBGene00006568", "WBGene00006568")</f>
        <v>WBGene00006568</v>
      </c>
      <c r="B4805" s="9" t="str">
        <f>HYPERLINK("http://www.ncbi.nlm.nih.gov/gene/177913", "177913")</f>
        <v>177913</v>
      </c>
      <c r="C4805" s="9" t="str">
        <f>HYPERLINK("http://www.ncbi.nlm.nih.gov/gene/7083", "7083")</f>
        <v>7083</v>
      </c>
      <c r="D4805" t="str">
        <f>"thk-1"</f>
        <v>thk-1</v>
      </c>
      <c r="E4805" t="s">
        <v>3796</v>
      </c>
      <c r="F4805" t="s">
        <v>11</v>
      </c>
      <c r="G4805" t="s">
        <v>3797</v>
      </c>
      <c r="H4805" s="12">
        <v>-1.3615328211411899</v>
      </c>
      <c r="I4805" s="20">
        <v>-1.2962602865167401</v>
      </c>
      <c r="J4805" s="28">
        <v>0.19488582576497199</v>
      </c>
      <c r="K4805" s="29">
        <v>0.93754567772755504</v>
      </c>
    </row>
    <row r="4806" spans="1:11" x14ac:dyDescent="0.35">
      <c r="A4806" s="9" t="str">
        <f>HYPERLINK("http://www.ensembl.org/id/WBGene00018488", "WBGene00018488")</f>
        <v>WBGene00018488</v>
      </c>
      <c r="B4806" s="9" t="str">
        <f>HYPERLINK("http://www.ncbi.nlm.nih.gov/gene/179043", "179043")</f>
        <v>179043</v>
      </c>
      <c r="C4806" s="9" t="str">
        <f>HYPERLINK("http://www.ncbi.nlm.nih.gov/gene/80221", "80221")</f>
        <v>80221</v>
      </c>
      <c r="D4806" t="str">
        <f>"acs-1"</f>
        <v>acs-1</v>
      </c>
      <c r="E4806" t="s">
        <v>533</v>
      </c>
      <c r="F4806" t="s">
        <v>11</v>
      </c>
      <c r="G4806" t="s">
        <v>3798</v>
      </c>
      <c r="H4806" s="12">
        <v>1.26688296639839</v>
      </c>
      <c r="I4806" s="20">
        <v>1.2956628314930001</v>
      </c>
      <c r="J4806" s="28">
        <v>0.19509167200514199</v>
      </c>
      <c r="K4806" s="29">
        <v>0.93795009849163502</v>
      </c>
    </row>
    <row r="4807" spans="1:11" x14ac:dyDescent="0.35">
      <c r="A4807" s="9" t="str">
        <f>HYPERLINK("http://www.ensembl.org/id/WBGene00008246", "WBGene00008246")</f>
        <v>WBGene00008246</v>
      </c>
      <c r="B4807" s="9" t="str">
        <f>HYPERLINK("http://www.ncbi.nlm.nih.gov/gene/259642", "259642")</f>
        <v>259642</v>
      </c>
      <c r="C4807" s="9"/>
      <c r="D4807" t="str">
        <f>"C50H2.13"</f>
        <v>C50H2.13</v>
      </c>
      <c r="F4807" t="s">
        <v>11</v>
      </c>
      <c r="G4807" t="s">
        <v>25</v>
      </c>
      <c r="H4807" s="12">
        <v>-1.48288415055984</v>
      </c>
      <c r="I4807" s="20">
        <v>-1.2958982269427199</v>
      </c>
      <c r="J4807" s="28">
        <v>0.19501055018935001</v>
      </c>
      <c r="K4807" s="29">
        <v>0.93795009849163502</v>
      </c>
    </row>
    <row r="4808" spans="1:11" x14ac:dyDescent="0.35">
      <c r="A4808" s="9" t="str">
        <f>HYPERLINK("http://www.ensembl.org/id/WBGene00010908", "WBGene00010908")</f>
        <v>WBGene00010908</v>
      </c>
      <c r="B4808" s="9" t="str">
        <f>HYPERLINK("http://www.ncbi.nlm.nih.gov/gene/175595", "175595")</f>
        <v>175595</v>
      </c>
      <c r="C4808" s="9"/>
      <c r="D4808" t="str">
        <f>"imph-1"</f>
        <v>imph-1</v>
      </c>
      <c r="E4808" t="s">
        <v>3799</v>
      </c>
      <c r="F4808" t="s">
        <v>11</v>
      </c>
      <c r="G4808" t="s">
        <v>3800</v>
      </c>
      <c r="H4808" s="12">
        <v>-1.2701395099652499</v>
      </c>
      <c r="I4808" s="20">
        <v>-1.29570261803058</v>
      </c>
      <c r="J4808" s="28">
        <v>0.195077959058606</v>
      </c>
      <c r="K4808" s="29">
        <v>0.93795009849163502</v>
      </c>
    </row>
    <row r="4809" spans="1:11" x14ac:dyDescent="0.35">
      <c r="A4809" s="9" t="str">
        <f>HYPERLINK("http://www.ensembl.org/id/WBGene00008043", "WBGene00008043")</f>
        <v>WBGene00008043</v>
      </c>
      <c r="B4809" s="9" t="str">
        <f>HYPERLINK("http://www.ncbi.nlm.nih.gov/gene/3565371", "3565371")</f>
        <v>3565371</v>
      </c>
      <c r="C4809" s="9"/>
      <c r="D4809" t="str">
        <f>"C40H1.8"</f>
        <v>C40H1.8</v>
      </c>
      <c r="F4809" t="s">
        <v>11</v>
      </c>
      <c r="G4809" t="s">
        <v>29</v>
      </c>
      <c r="H4809" s="12">
        <v>1.9638716624510599</v>
      </c>
      <c r="I4809" s="20">
        <v>1.2943243815965699</v>
      </c>
      <c r="J4809" s="28">
        <v>0.19555339812771999</v>
      </c>
      <c r="K4809" s="29">
        <v>0.93880257991670302</v>
      </c>
    </row>
    <row r="4810" spans="1:11" x14ac:dyDescent="0.35">
      <c r="A4810" s="9" t="str">
        <f>HYPERLINK("http://www.ensembl.org/id/WBGene00006861", "WBGene00006861")</f>
        <v>WBGene00006861</v>
      </c>
      <c r="B4810" s="9" t="str">
        <f>HYPERLINK("http://www.ncbi.nlm.nih.gov/gene/192083", "192083")</f>
        <v>192083</v>
      </c>
      <c r="C4810" s="9"/>
      <c r="D4810" t="str">
        <f>"cal-5"</f>
        <v>cal-5</v>
      </c>
      <c r="E4810" t="s">
        <v>312</v>
      </c>
      <c r="F4810" t="s">
        <v>11</v>
      </c>
      <c r="G4810" t="s">
        <v>313</v>
      </c>
      <c r="H4810" s="12">
        <v>-1.26255984022443</v>
      </c>
      <c r="I4810" s="20">
        <v>-1.2944037015494201</v>
      </c>
      <c r="J4810" s="28">
        <v>0.195526012749735</v>
      </c>
      <c r="K4810" s="29">
        <v>0.93880257991670302</v>
      </c>
    </row>
    <row r="4811" spans="1:11" x14ac:dyDescent="0.35">
      <c r="A4811" s="9" t="str">
        <f>HYPERLINK("http://www.ensembl.org/id/WBGene00017715", "WBGene00017715")</f>
        <v>WBGene00017715</v>
      </c>
      <c r="B4811" s="9" t="str">
        <f>HYPERLINK("http://www.ncbi.nlm.nih.gov/gene/184851", "184851")</f>
        <v>184851</v>
      </c>
      <c r="C4811" s="9"/>
      <c r="D4811" t="str">
        <f>"F22F1.3"</f>
        <v>F22F1.3</v>
      </c>
      <c r="F4811" t="s">
        <v>11</v>
      </c>
      <c r="G4811" t="s">
        <v>3801</v>
      </c>
      <c r="H4811" s="12">
        <v>1.4792209449994</v>
      </c>
      <c r="I4811" s="20">
        <v>1.29469525558528</v>
      </c>
      <c r="J4811" s="28">
        <v>0.195425377274318</v>
      </c>
      <c r="K4811" s="29">
        <v>0.93880257991670302</v>
      </c>
    </row>
    <row r="4812" spans="1:11" x14ac:dyDescent="0.35">
      <c r="A4812" s="9" t="str">
        <f>HYPERLINK("http://www.ensembl.org/id/WBGene00018724", "WBGene00018724")</f>
        <v>WBGene00018724</v>
      </c>
      <c r="B4812" s="9" t="str">
        <f>HYPERLINK("http://www.ncbi.nlm.nih.gov/gene/186142", "186142")</f>
        <v>186142</v>
      </c>
      <c r="C4812" s="9"/>
      <c r="D4812" t="str">
        <f>"F53A9.1"</f>
        <v>F53A9.1</v>
      </c>
      <c r="F4812" t="s">
        <v>11</v>
      </c>
      <c r="G4812" t="s">
        <v>452</v>
      </c>
      <c r="H4812" s="12">
        <v>-1.2795021490732299</v>
      </c>
      <c r="I4812" s="20">
        <v>-1.2944085788842199</v>
      </c>
      <c r="J4812" s="28">
        <v>0.195524328931554</v>
      </c>
      <c r="K4812" s="29">
        <v>0.93880257991670302</v>
      </c>
    </row>
    <row r="4813" spans="1:11" x14ac:dyDescent="0.35">
      <c r="A4813" s="9" t="str">
        <f>HYPERLINK("http://www.ensembl.org/id/WBGene00009259", "WBGene00009259")</f>
        <v>WBGene00009259</v>
      </c>
      <c r="B4813" s="9" t="str">
        <f>HYPERLINK("http://www.ncbi.nlm.nih.gov/gene/181340", "181340")</f>
        <v>181340</v>
      </c>
      <c r="C4813" s="9"/>
      <c r="D4813" t="str">
        <f>"hpo-34"</f>
        <v>hpo-34</v>
      </c>
      <c r="F4813" t="s">
        <v>11</v>
      </c>
      <c r="G4813" t="s">
        <v>54</v>
      </c>
      <c r="H4813" s="12">
        <v>-1.2804799417311801</v>
      </c>
      <c r="I4813" s="20">
        <v>-1.2946904105948001</v>
      </c>
      <c r="J4813" s="28">
        <v>0.19542704930549501</v>
      </c>
      <c r="K4813" s="29">
        <v>0.93880257991670302</v>
      </c>
    </row>
    <row r="4814" spans="1:11" x14ac:dyDescent="0.35">
      <c r="A4814" s="9" t="str">
        <f>HYPERLINK("http://www.ensembl.org/id/WBGene00003222", "WBGene00003222")</f>
        <v>WBGene00003222</v>
      </c>
      <c r="B4814" s="9" t="str">
        <f>HYPERLINK("http://www.ncbi.nlm.nih.gov/gene/179824", "179824")</f>
        <v>179824</v>
      </c>
      <c r="C4814" s="9"/>
      <c r="D4814" t="str">
        <f>"mes-4"</f>
        <v>mes-4</v>
      </c>
      <c r="E4814" t="s">
        <v>3802</v>
      </c>
      <c r="F4814" t="s">
        <v>11</v>
      </c>
      <c r="G4814" t="s">
        <v>54</v>
      </c>
      <c r="H4814" s="12">
        <v>-1.3283588739615899</v>
      </c>
      <c r="I4814" s="20">
        <v>-1.2944320214796801</v>
      </c>
      <c r="J4814" s="28">
        <v>0.195516235916287</v>
      </c>
      <c r="K4814" s="29">
        <v>0.93880257991670302</v>
      </c>
    </row>
    <row r="4815" spans="1:11" x14ac:dyDescent="0.35">
      <c r="A4815" s="9" t="str">
        <f>HYPERLINK("http://www.ensembl.org/id/WBGene00189956", "WBGene00189956")</f>
        <v>WBGene00189956</v>
      </c>
      <c r="B4815" s="9" t="str">
        <f>HYPERLINK("http://www.ncbi.nlm.nih.gov/gene/13188384", "13188384")</f>
        <v>13188384</v>
      </c>
      <c r="C4815" s="9"/>
      <c r="D4815" t="str">
        <f>"Y34F4.6"</f>
        <v>Y34F4.6</v>
      </c>
      <c r="F4815" t="s">
        <v>11</v>
      </c>
      <c r="G4815" t="s">
        <v>25</v>
      </c>
      <c r="H4815" s="12">
        <v>-1.73386147305799</v>
      </c>
      <c r="I4815" s="20">
        <v>-1.29499147321427</v>
      </c>
      <c r="J4815" s="28">
        <v>0.19532317096632301</v>
      </c>
      <c r="K4815" s="29">
        <v>0.93880257991670302</v>
      </c>
    </row>
    <row r="4816" spans="1:11" x14ac:dyDescent="0.35">
      <c r="A4816" s="9" t="str">
        <f>HYPERLINK("http://www.ensembl.org/id/WBGene00014248", "WBGene00014248")</f>
        <v>WBGene00014248</v>
      </c>
      <c r="B4816" s="9" t="str">
        <f>HYPERLINK("http://www.ncbi.nlm.nih.gov/gene/191562", "191562")</f>
        <v>191562</v>
      </c>
      <c r="C4816" s="9"/>
      <c r="D4816" t="str">
        <f>"ZK1307.7"</f>
        <v>ZK1307.7</v>
      </c>
      <c r="F4816" t="s">
        <v>11</v>
      </c>
      <c r="G4816" t="s">
        <v>1089</v>
      </c>
      <c r="H4816" s="12">
        <v>1.59699866141615</v>
      </c>
      <c r="I4816" s="20">
        <v>1.2941488725205099</v>
      </c>
      <c r="J4816" s="28">
        <v>0.195614002993413</v>
      </c>
      <c r="K4816" s="29">
        <v>0.93889845308803299</v>
      </c>
    </row>
    <row r="4817" spans="1:11" x14ac:dyDescent="0.35">
      <c r="A4817" s="9" t="str">
        <f>HYPERLINK("http://www.ensembl.org/id/WBGene00006454", "WBGene00006454")</f>
        <v>WBGene00006454</v>
      </c>
      <c r="B4817" s="9" t="str">
        <f>HYPERLINK("http://www.ncbi.nlm.nih.gov/gene/188509", "188509")</f>
        <v>188509</v>
      </c>
      <c r="C4817" s="9"/>
      <c r="D4817" t="str">
        <f>"aex-4"</f>
        <v>aex-4</v>
      </c>
      <c r="E4817" t="s">
        <v>3807</v>
      </c>
      <c r="F4817" t="s">
        <v>11</v>
      </c>
      <c r="H4817" s="12">
        <v>-1.48964583939228</v>
      </c>
      <c r="I4817" s="20">
        <v>-1.2935526442804299</v>
      </c>
      <c r="J4817" s="28">
        <v>0.195819988809351</v>
      </c>
      <c r="K4817" s="29">
        <v>0.93966966656191997</v>
      </c>
    </row>
    <row r="4818" spans="1:11" x14ac:dyDescent="0.35">
      <c r="A4818" s="9" t="str">
        <f>HYPERLINK("http://www.ensembl.org/id/WBGene00016524", "WBGene00016524")</f>
        <v>WBGene00016524</v>
      </c>
      <c r="B4818" s="9" t="str">
        <f>HYPERLINK("http://www.ncbi.nlm.nih.gov/gene/183325", "183325")</f>
        <v>183325</v>
      </c>
      <c r="C4818" s="9"/>
      <c r="D4818" t="str">
        <f>"C39B5.6"</f>
        <v>C39B5.6</v>
      </c>
      <c r="E4818" t="s">
        <v>3805</v>
      </c>
      <c r="F4818" t="s">
        <v>11</v>
      </c>
      <c r="G4818" t="s">
        <v>3806</v>
      </c>
      <c r="H4818" s="12">
        <v>-1.39092576394268</v>
      </c>
      <c r="I4818" s="20">
        <v>-1.2933307662201601</v>
      </c>
      <c r="J4818" s="28">
        <v>0.195896684143892</v>
      </c>
      <c r="K4818" s="29">
        <v>0.93966966656191997</v>
      </c>
    </row>
    <row r="4819" spans="1:11" x14ac:dyDescent="0.35">
      <c r="A4819" s="9" t="str">
        <f>HYPERLINK("http://www.ensembl.org/id/WBGene00006414", "WBGene00006414")</f>
        <v>WBGene00006414</v>
      </c>
      <c r="B4819" s="9" t="str">
        <f>HYPERLINK("http://www.ncbi.nlm.nih.gov/gene/174726", "174726")</f>
        <v>174726</v>
      </c>
      <c r="C4819" s="9" t="str">
        <f>HYPERLINK("http://www.ncbi.nlm.nih.gov/gene/10325", "10325")</f>
        <v>10325</v>
      </c>
      <c r="D4819" t="str">
        <f>"raga-1"</f>
        <v>raga-1</v>
      </c>
      <c r="E4819" t="s">
        <v>3803</v>
      </c>
      <c r="F4819" t="s">
        <v>11</v>
      </c>
      <c r="G4819" t="s">
        <v>3804</v>
      </c>
      <c r="H4819" s="12">
        <v>-1.27937952349533</v>
      </c>
      <c r="I4819" s="20">
        <v>-1.29342635078711</v>
      </c>
      <c r="J4819" s="28">
        <v>0.195863641268475</v>
      </c>
      <c r="K4819" s="29">
        <v>0.93966966656191997</v>
      </c>
    </row>
    <row r="4820" spans="1:11" x14ac:dyDescent="0.35">
      <c r="A4820" s="9" t="str">
        <f>HYPERLINK("http://www.ensembl.org/id/WBGene00018400", "WBGene00018400")</f>
        <v>WBGene00018400</v>
      </c>
      <c r="B4820" s="9" t="str">
        <f>HYPERLINK("http://www.ncbi.nlm.nih.gov/gene/179182", "179182")</f>
        <v>179182</v>
      </c>
      <c r="C4820" s="9"/>
      <c r="D4820" t="str">
        <f>"F43H9.4"</f>
        <v>F43H9.4</v>
      </c>
      <c r="F4820" t="s">
        <v>11</v>
      </c>
      <c r="G4820" t="s">
        <v>3810</v>
      </c>
      <c r="H4820" s="12">
        <v>1.34614184747772</v>
      </c>
      <c r="I4820" s="20">
        <v>1.29271932887394</v>
      </c>
      <c r="J4820" s="28">
        <v>0.19610815015080599</v>
      </c>
      <c r="K4820" s="29">
        <v>0.94009853057770099</v>
      </c>
    </row>
    <row r="4821" spans="1:11" x14ac:dyDescent="0.35">
      <c r="A4821" s="9" t="str">
        <f>HYPERLINK("http://www.ensembl.org/id/WBGene00019648", "WBGene00019648")</f>
        <v>WBGene00019648</v>
      </c>
      <c r="B4821" s="9" t="str">
        <f>HYPERLINK("http://www.ncbi.nlm.nih.gov/gene/187294", "187294")</f>
        <v>187294</v>
      </c>
      <c r="C4821" s="9"/>
      <c r="D4821" t="str">
        <f>"K11D12.8"</f>
        <v>K11D12.8</v>
      </c>
      <c r="F4821" t="s">
        <v>11</v>
      </c>
      <c r="G4821" t="s">
        <v>25</v>
      </c>
      <c r="H4821" s="12">
        <v>-1.3342524107393801</v>
      </c>
      <c r="I4821" s="20">
        <v>-1.29278517556683</v>
      </c>
      <c r="J4821" s="28">
        <v>0.19608536899578999</v>
      </c>
      <c r="K4821" s="29">
        <v>0.94009853057770099</v>
      </c>
    </row>
    <row r="4822" spans="1:11" x14ac:dyDescent="0.35">
      <c r="A4822" s="9" t="str">
        <f>HYPERLINK("http://www.ensembl.org/id/WBGene00009155", "WBGene00009155")</f>
        <v>WBGene00009155</v>
      </c>
      <c r="B4822" s="9" t="str">
        <f>HYPERLINK("http://www.ncbi.nlm.nih.gov/gene/184971", "184971")</f>
        <v>184971</v>
      </c>
      <c r="C4822" s="9" t="str">
        <f>HYPERLINK("http://www.ncbi.nlm.nih.gov/gene/222662", "222662")</f>
        <v>222662</v>
      </c>
      <c r="D4822" t="str">
        <f>"lhfp-4"</f>
        <v>lhfp-4</v>
      </c>
      <c r="E4822" t="s">
        <v>3808</v>
      </c>
      <c r="F4822" t="s">
        <v>11</v>
      </c>
      <c r="G4822" t="s">
        <v>3809</v>
      </c>
      <c r="H4822" s="12">
        <v>1.9466713864509699</v>
      </c>
      <c r="I4822" s="20">
        <v>1.29276039474017</v>
      </c>
      <c r="J4822" s="28">
        <v>0.19609394225655399</v>
      </c>
      <c r="K4822" s="29">
        <v>0.94009853057770099</v>
      </c>
    </row>
    <row r="4823" spans="1:11" x14ac:dyDescent="0.35">
      <c r="A4823" s="9" t="str">
        <f>HYPERLINK("http://www.ensembl.org/id/WBGene00006373", "WBGene00006373")</f>
        <v>WBGene00006373</v>
      </c>
      <c r="B4823" s="9" t="str">
        <f>HYPERLINK("http://www.ncbi.nlm.nih.gov/gene/179611", "179611")</f>
        <v>179611</v>
      </c>
      <c r="C4823" s="9" t="str">
        <f>HYPERLINK("http://www.ncbi.nlm.nih.gov/gene/6811", "6811")</f>
        <v>6811</v>
      </c>
      <c r="D4823" t="str">
        <f>"syx-5"</f>
        <v>syx-5</v>
      </c>
      <c r="E4823" t="s">
        <v>3811</v>
      </c>
      <c r="F4823" t="s">
        <v>11</v>
      </c>
      <c r="G4823" t="s">
        <v>3812</v>
      </c>
      <c r="H4823" s="12">
        <v>-1.2755322416461301</v>
      </c>
      <c r="I4823" s="20">
        <v>-1.2924682615830301</v>
      </c>
      <c r="J4823" s="28">
        <v>0.19619503036172001</v>
      </c>
      <c r="K4823" s="29">
        <v>0.94031992771995498</v>
      </c>
    </row>
    <row r="4824" spans="1:11" x14ac:dyDescent="0.35">
      <c r="A4824" s="9" t="str">
        <f>HYPERLINK("http://www.ensembl.org/id/WBGene00001127", "WBGene00001127")</f>
        <v>WBGene00001127</v>
      </c>
      <c r="B4824" s="9" t="str">
        <f>HYPERLINK("http://www.ncbi.nlm.nih.gov/gene/180421", "180421")</f>
        <v>180421</v>
      </c>
      <c r="C4824" s="9"/>
      <c r="D4824" t="str">
        <f>"dyf-11"</f>
        <v>dyf-11</v>
      </c>
      <c r="F4824" t="s">
        <v>11</v>
      </c>
      <c r="G4824" t="s">
        <v>3813</v>
      </c>
      <c r="H4824" s="12">
        <v>1.52820005752955</v>
      </c>
      <c r="I4824" s="20">
        <v>1.2919635481578999</v>
      </c>
      <c r="J4824" s="28">
        <v>0.196369768495578</v>
      </c>
      <c r="K4824" s="29">
        <v>0.94077046399563602</v>
      </c>
    </row>
    <row r="4825" spans="1:11" x14ac:dyDescent="0.35">
      <c r="A4825" s="9" t="str">
        <f>HYPERLINK("http://www.ensembl.org/id/WBGene00004721", "WBGene00004721")</f>
        <v>WBGene00004721</v>
      </c>
      <c r="B4825" s="9" t="str">
        <f>HYPERLINK("http://www.ncbi.nlm.nih.gov/gene/172342", "172342")</f>
        <v>172342</v>
      </c>
      <c r="C4825" s="9"/>
      <c r="D4825" t="str">
        <f>"san-1"</f>
        <v>san-1</v>
      </c>
      <c r="F4825" t="s">
        <v>11</v>
      </c>
      <c r="G4825" t="s">
        <v>3814</v>
      </c>
      <c r="H4825" s="12">
        <v>-1.3508829057012199</v>
      </c>
      <c r="I4825" s="20">
        <v>-1.2919615390881101</v>
      </c>
      <c r="J4825" s="28">
        <v>0.19637046428853799</v>
      </c>
      <c r="K4825" s="29">
        <v>0.94077046399563602</v>
      </c>
    </row>
    <row r="4826" spans="1:11" x14ac:dyDescent="0.35">
      <c r="A4826" s="9" t="str">
        <f>HYPERLINK("http://www.ensembl.org/id/WBGene00015442", "WBGene00015442")</f>
        <v>WBGene00015442</v>
      </c>
      <c r="B4826" s="9" t="str">
        <f>HYPERLINK("http://www.ncbi.nlm.nih.gov/gene/172237", "172237")</f>
        <v>172237</v>
      </c>
      <c r="C4826" s="9"/>
      <c r="D4826" t="str">
        <f>"C04F1.1"</f>
        <v>C04F1.1</v>
      </c>
      <c r="F4826" t="s">
        <v>11</v>
      </c>
      <c r="G4826" t="s">
        <v>25</v>
      </c>
      <c r="H4826" s="12">
        <v>3.2455691776752902</v>
      </c>
      <c r="I4826" s="20">
        <v>1.29183646796569</v>
      </c>
      <c r="J4826" s="28">
        <v>0.196413783216939</v>
      </c>
      <c r="K4826" s="29">
        <v>0.94078293428909598</v>
      </c>
    </row>
    <row r="4827" spans="1:11" x14ac:dyDescent="0.35">
      <c r="A4827" s="9" t="str">
        <f>HYPERLINK("http://www.ensembl.org/id/WBGene00004363", "WBGene00004363")</f>
        <v>WBGene00004363</v>
      </c>
      <c r="B4827" s="9" t="str">
        <f>HYPERLINK("http://www.ncbi.nlm.nih.gov/gene/177570", "177570")</f>
        <v>177570</v>
      </c>
      <c r="C4827" s="9"/>
      <c r="D4827" t="str">
        <f>"ric-3"</f>
        <v>ric-3</v>
      </c>
      <c r="E4827" t="s">
        <v>3815</v>
      </c>
      <c r="F4827" t="s">
        <v>11</v>
      </c>
      <c r="G4827" t="s">
        <v>3816</v>
      </c>
      <c r="H4827" s="12">
        <v>1.3233973314923999</v>
      </c>
      <c r="I4827" s="20">
        <v>1.29168941978306</v>
      </c>
      <c r="J4827" s="28">
        <v>0.19646472294863099</v>
      </c>
      <c r="K4827" s="29">
        <v>0.94083189397949396</v>
      </c>
    </row>
    <row r="4828" spans="1:11" x14ac:dyDescent="0.35">
      <c r="A4828" s="9" t="str">
        <f>HYPERLINK("http://www.ensembl.org/id/WBGene00017355", "WBGene00017355")</f>
        <v>WBGene00017355</v>
      </c>
      <c r="B4828" s="9" t="str">
        <f>HYPERLINK("http://www.ncbi.nlm.nih.gov/gene/176170", "176170")</f>
        <v>176170</v>
      </c>
      <c r="C4828" s="9"/>
      <c r="D4828" t="str">
        <f>"F10E9.3"</f>
        <v>F10E9.3</v>
      </c>
      <c r="F4828" t="s">
        <v>11</v>
      </c>
      <c r="H4828" s="12">
        <v>-1.32313716470432</v>
      </c>
      <c r="I4828" s="20">
        <v>-1.2915663536702799</v>
      </c>
      <c r="J4828" s="28">
        <v>0.196507362363713</v>
      </c>
      <c r="K4828" s="29">
        <v>0.94084109299128504</v>
      </c>
    </row>
    <row r="4829" spans="1:11" x14ac:dyDescent="0.35">
      <c r="A4829" s="9" t="str">
        <f>HYPERLINK("http://www.ensembl.org/id/WBGene00004007", "WBGene00004007")</f>
        <v>WBGene00004007</v>
      </c>
      <c r="B4829" s="9" t="str">
        <f>HYPERLINK("http://www.ncbi.nlm.nih.gov/gene/184845", "184845")</f>
        <v>184845</v>
      </c>
      <c r="C4829" s="9"/>
      <c r="D4829" t="str">
        <f>"pgp-13"</f>
        <v>pgp-13</v>
      </c>
      <c r="E4829" t="s">
        <v>1379</v>
      </c>
      <c r="F4829" t="s">
        <v>11</v>
      </c>
      <c r="G4829" t="s">
        <v>2945</v>
      </c>
      <c r="H4829" s="12">
        <v>1.6114810687812899</v>
      </c>
      <c r="I4829" s="20">
        <v>1.2911451467623001</v>
      </c>
      <c r="J4829" s="28">
        <v>0.19665335161480099</v>
      </c>
      <c r="K4829" s="29">
        <v>0.94134500567880397</v>
      </c>
    </row>
    <row r="4830" spans="1:11" x14ac:dyDescent="0.35">
      <c r="A4830" s="9" t="str">
        <f>HYPERLINK("http://www.ensembl.org/id/WBGene00021950", "WBGene00021950")</f>
        <v>WBGene00021950</v>
      </c>
      <c r="B4830" s="9" t="str">
        <f>HYPERLINK("http://www.ncbi.nlm.nih.gov/gene/176896", "176896")</f>
        <v>176896</v>
      </c>
      <c r="C4830" s="9"/>
      <c r="D4830" t="str">
        <f>"cutl-26"</f>
        <v>cutl-26</v>
      </c>
      <c r="E4830" t="s">
        <v>166</v>
      </c>
      <c r="F4830" t="s">
        <v>11</v>
      </c>
      <c r="G4830" t="s">
        <v>25</v>
      </c>
      <c r="H4830" s="12">
        <v>1.35715813262441</v>
      </c>
      <c r="I4830" s="20">
        <v>1.29089387743013</v>
      </c>
      <c r="J4830" s="28">
        <v>0.19674047874852801</v>
      </c>
      <c r="K4830" s="29">
        <v>0.94156700537769</v>
      </c>
    </row>
    <row r="4831" spans="1:11" x14ac:dyDescent="0.35">
      <c r="A4831" s="9" t="str">
        <f>HYPERLINK("http://www.ensembl.org/id/WBGene00000149", "WBGene00000149")</f>
        <v>WBGene00000149</v>
      </c>
      <c r="B4831" s="9" t="str">
        <f>HYPERLINK("http://www.ncbi.nlm.nih.gov/gene/180783", "180783")</f>
        <v>180783</v>
      </c>
      <c r="C4831" s="9" t="str">
        <f>HYPERLINK("http://www.ncbi.nlm.nih.gov/gene/351", "351")</f>
        <v>351</v>
      </c>
      <c r="D4831" t="str">
        <f>"apl-1"</f>
        <v>apl-1</v>
      </c>
      <c r="E4831" t="s">
        <v>3818</v>
      </c>
      <c r="F4831" t="s">
        <v>11</v>
      </c>
      <c r="G4831" t="s">
        <v>3819</v>
      </c>
      <c r="H4831" s="12">
        <v>1.2565214319599201</v>
      </c>
      <c r="I4831" s="20">
        <v>1.28997655948453</v>
      </c>
      <c r="J4831" s="28">
        <v>0.197058796874858</v>
      </c>
      <c r="K4831" s="29">
        <v>0.94254621866561905</v>
      </c>
    </row>
    <row r="4832" spans="1:11" x14ac:dyDescent="0.35">
      <c r="A4832" s="9" t="str">
        <f>HYPERLINK("http://www.ensembl.org/id/WBGene00008228", "WBGene00008228")</f>
        <v>WBGene00008228</v>
      </c>
      <c r="B4832" s="9" t="str">
        <f>HYPERLINK("http://www.ncbi.nlm.nih.gov/gene/3565404", "3565404")</f>
        <v>3565404</v>
      </c>
      <c r="C4832" s="9"/>
      <c r="D4832" t="str">
        <f>"C50B8.6"</f>
        <v>C50B8.6</v>
      </c>
      <c r="F4832" t="s">
        <v>11</v>
      </c>
      <c r="G4832" t="s">
        <v>25</v>
      </c>
      <c r="H4832" s="12">
        <v>-1.2846298805849301</v>
      </c>
      <c r="I4832" s="20">
        <v>-1.2895598857564401</v>
      </c>
      <c r="J4832" s="28">
        <v>0.19720351112466</v>
      </c>
      <c r="K4832" s="29">
        <v>0.94254621866561905</v>
      </c>
    </row>
    <row r="4833" spans="1:11" x14ac:dyDescent="0.35">
      <c r="A4833" s="9" t="str">
        <f>HYPERLINK("http://www.ensembl.org/id/WBGene00009346", "WBGene00009346")</f>
        <v>WBGene00009346</v>
      </c>
      <c r="B4833" s="9" t="str">
        <f>HYPERLINK("http://www.ncbi.nlm.nih.gov/gene/260106", "260106")</f>
        <v>260106</v>
      </c>
      <c r="C4833" s="9"/>
      <c r="D4833" t="str">
        <f>"F32H2.10"</f>
        <v>F32H2.10</v>
      </c>
      <c r="F4833" t="s">
        <v>11</v>
      </c>
      <c r="H4833" s="12">
        <v>-1.4162173044630799</v>
      </c>
      <c r="I4833" s="20">
        <v>-1.2896668225785299</v>
      </c>
      <c r="J4833" s="28">
        <v>0.19716636365867601</v>
      </c>
      <c r="K4833" s="29">
        <v>0.94254621866561905</v>
      </c>
    </row>
    <row r="4834" spans="1:11" x14ac:dyDescent="0.35">
      <c r="A4834" s="9" t="str">
        <f>HYPERLINK("http://www.ensembl.org/id/WBGene00022216", "WBGene00022216")</f>
        <v>WBGene00022216</v>
      </c>
      <c r="B4834" s="9" t="str">
        <f>HYPERLINK("http://www.ncbi.nlm.nih.gov/gene/190632", "190632")</f>
        <v>190632</v>
      </c>
      <c r="C4834" s="9"/>
      <c r="D4834" t="str">
        <f>"fbxa-16"</f>
        <v>fbxa-16</v>
      </c>
      <c r="E4834" t="s">
        <v>467</v>
      </c>
      <c r="F4834" t="s">
        <v>11</v>
      </c>
      <c r="H4834" s="12">
        <v>8.3081147783411904</v>
      </c>
      <c r="I4834" s="20">
        <v>1.28962113506417</v>
      </c>
      <c r="J4834" s="28">
        <v>0.19718223385497</v>
      </c>
      <c r="K4834" s="29">
        <v>0.94254621866561905</v>
      </c>
    </row>
    <row r="4835" spans="1:11" x14ac:dyDescent="0.35">
      <c r="A4835" s="9" t="str">
        <f>HYPERLINK("http://www.ensembl.org/id/WBGene00020605", "WBGene00020605")</f>
        <v>WBGene00020605</v>
      </c>
      <c r="B4835" s="9" t="str">
        <f>HYPERLINK("http://www.ncbi.nlm.nih.gov/gene/188633", "188633")</f>
        <v>188633</v>
      </c>
      <c r="C4835" s="9"/>
      <c r="D4835" t="str">
        <f>"lgc-50"</f>
        <v>lgc-50</v>
      </c>
      <c r="E4835" t="s">
        <v>3817</v>
      </c>
      <c r="F4835" t="s">
        <v>11</v>
      </c>
      <c r="G4835" t="s">
        <v>774</v>
      </c>
      <c r="H4835" s="12">
        <v>1.4042410306415301</v>
      </c>
      <c r="I4835" s="20">
        <v>1.29008583135814</v>
      </c>
      <c r="J4835" s="28">
        <v>0.19702085871601899</v>
      </c>
      <c r="K4835" s="29">
        <v>0.94254621866561905</v>
      </c>
    </row>
    <row r="4836" spans="1:11" x14ac:dyDescent="0.35">
      <c r="A4836" s="9" t="str">
        <f>HYPERLINK("http://www.ensembl.org/id/WBGene00020561", "WBGene00020561")</f>
        <v>WBGene00020561</v>
      </c>
      <c r="B4836" s="9" t="str">
        <f>HYPERLINK("http://www.ncbi.nlm.nih.gov/gene/188586", "188586")</f>
        <v>188586</v>
      </c>
      <c r="C4836" s="9"/>
      <c r="D4836" t="str">
        <f>"T19C3.3"</f>
        <v>T19C3.3</v>
      </c>
      <c r="F4836" t="s">
        <v>11</v>
      </c>
      <c r="H4836" s="12">
        <v>1.3642704562418499</v>
      </c>
      <c r="I4836" s="20">
        <v>1.2894818238655199</v>
      </c>
      <c r="J4836" s="28">
        <v>0.19723063131863</v>
      </c>
      <c r="K4836" s="29">
        <v>0.94254621866561905</v>
      </c>
    </row>
    <row r="4837" spans="1:11" x14ac:dyDescent="0.35">
      <c r="A4837" s="9" t="str">
        <f>HYPERLINK("http://www.ensembl.org/id/WBGene00013318", "WBGene00013318")</f>
        <v>WBGene00013318</v>
      </c>
      <c r="B4837" s="9" t="str">
        <f>HYPERLINK("http://www.ncbi.nlm.nih.gov/gene/190377", "190377")</f>
        <v>190377</v>
      </c>
      <c r="C4837" s="9"/>
      <c r="D4837" t="str">
        <f>"Y57G11C.23"</f>
        <v>Y57G11C.23</v>
      </c>
      <c r="F4837" t="s">
        <v>11</v>
      </c>
      <c r="G4837" t="s">
        <v>230</v>
      </c>
      <c r="H4837" s="12">
        <v>4.6392811558976197</v>
      </c>
      <c r="I4837" s="20">
        <v>1.28950787274725</v>
      </c>
      <c r="J4837" s="28">
        <v>0.19722158113539201</v>
      </c>
      <c r="K4837" s="29">
        <v>0.94254621866561905</v>
      </c>
    </row>
    <row r="4838" spans="1:11" x14ac:dyDescent="0.35">
      <c r="A4838" s="9" t="str">
        <f>HYPERLINK("http://www.ensembl.org/id/WBGene00044620", "WBGene00044620")</f>
        <v>WBGene00044620</v>
      </c>
      <c r="B4838" s="9" t="str">
        <f>HYPERLINK("http://www.ncbi.nlm.nih.gov/gene/188726", "188726")</f>
        <v>188726</v>
      </c>
      <c r="C4838" s="9"/>
      <c r="D4838" t="str">
        <f>"bus-4"</f>
        <v>bus-4</v>
      </c>
      <c r="E4838" t="s">
        <v>3820</v>
      </c>
      <c r="F4838" t="s">
        <v>11</v>
      </c>
      <c r="G4838" t="s">
        <v>3821</v>
      </c>
      <c r="H4838" s="12">
        <v>4.0113888160336604</v>
      </c>
      <c r="I4838" s="20">
        <v>1.28895295229898</v>
      </c>
      <c r="J4838" s="28">
        <v>0.19741444332581401</v>
      </c>
      <c r="K4838" s="29">
        <v>0.942627068880589</v>
      </c>
    </row>
    <row r="4839" spans="1:11" x14ac:dyDescent="0.35">
      <c r="A4839" s="9" t="str">
        <f>HYPERLINK("http://www.ensembl.org/id/WBGene00043051", "WBGene00043051")</f>
        <v>WBGene00043051</v>
      </c>
      <c r="B4839" s="9" t="str">
        <f>HYPERLINK("http://www.ncbi.nlm.nih.gov/gene/259332", "259332")</f>
        <v>259332</v>
      </c>
      <c r="C4839" s="9"/>
      <c r="D4839" t="str">
        <f>"C29E4.13"</f>
        <v>C29E4.13</v>
      </c>
      <c r="F4839" t="s">
        <v>11</v>
      </c>
      <c r="H4839" s="12">
        <v>-1.3750606348096199</v>
      </c>
      <c r="I4839" s="20">
        <v>-1.2886116826634</v>
      </c>
      <c r="J4839" s="28">
        <v>0.19753311986149999</v>
      </c>
      <c r="K4839" s="29">
        <v>0.942627068880589</v>
      </c>
    </row>
    <row r="4840" spans="1:11" x14ac:dyDescent="0.35">
      <c r="A4840" s="9" t="str">
        <f>HYPERLINK("http://www.ensembl.org/id/WBGene00001337", "WBGene00001337")</f>
        <v>WBGene00001337</v>
      </c>
      <c r="B4840" s="9" t="str">
        <f>HYPERLINK("http://www.ncbi.nlm.nih.gov/gene/172904", "172904")</f>
        <v>172904</v>
      </c>
      <c r="C4840" s="9"/>
      <c r="D4840" t="str">
        <f>"ears-1"</f>
        <v>ears-1</v>
      </c>
      <c r="E4840" t="s">
        <v>3824</v>
      </c>
      <c r="F4840" t="s">
        <v>11</v>
      </c>
      <c r="G4840" t="s">
        <v>3825</v>
      </c>
      <c r="H4840" s="12">
        <v>-1.2623814140096501</v>
      </c>
      <c r="I4840" s="20">
        <v>-1.2892952477395501</v>
      </c>
      <c r="J4840" s="28">
        <v>0.19729546249394</v>
      </c>
      <c r="K4840" s="29">
        <v>0.942627068880589</v>
      </c>
    </row>
    <row r="4841" spans="1:11" x14ac:dyDescent="0.35">
      <c r="A4841" s="9" t="str">
        <f>HYPERLINK("http://www.ensembl.org/id/WBGene00002149", "WBGene00002149")</f>
        <v>WBGene00002149</v>
      </c>
      <c r="B4841" s="9" t="str">
        <f>HYPERLINK("http://www.ncbi.nlm.nih.gov/gene/180944", "180944")</f>
        <v>180944</v>
      </c>
      <c r="C4841" s="9" t="str">
        <f>HYPERLINK("http://www.ncbi.nlm.nih.gov/gene/3759", "3759")</f>
        <v>3759</v>
      </c>
      <c r="D4841" t="str">
        <f>"irk-1"</f>
        <v>irk-1</v>
      </c>
      <c r="E4841" t="s">
        <v>3822</v>
      </c>
      <c r="F4841" t="s">
        <v>11</v>
      </c>
      <c r="G4841" t="s">
        <v>3823</v>
      </c>
      <c r="H4841" s="12">
        <v>1.4525727971826501</v>
      </c>
      <c r="I4841" s="20">
        <v>1.2888440136538599</v>
      </c>
      <c r="J4841" s="28">
        <v>0.197452321074467</v>
      </c>
      <c r="K4841" s="29">
        <v>0.942627068880589</v>
      </c>
    </row>
    <row r="4842" spans="1:11" x14ac:dyDescent="0.35">
      <c r="A4842" s="9" t="str">
        <f>HYPERLINK("http://www.ensembl.org/id/WBGene00011022", "WBGene00011022")</f>
        <v>WBGene00011022</v>
      </c>
      <c r="B4842" s="9"/>
      <c r="C4842" s="9"/>
      <c r="D4842" t="str">
        <f>"R05A10.5"</f>
        <v>R05A10.5</v>
      </c>
      <c r="F4842" t="s">
        <v>80</v>
      </c>
      <c r="H4842" s="12">
        <v>8.3290473518086507</v>
      </c>
      <c r="I4842" s="20">
        <v>1.2890093946008001</v>
      </c>
      <c r="J4842" s="28">
        <v>0.19739482054212301</v>
      </c>
      <c r="K4842" s="29">
        <v>0.942627068880589</v>
      </c>
    </row>
    <row r="4843" spans="1:11" x14ac:dyDescent="0.35">
      <c r="A4843" s="9" t="str">
        <f>HYPERLINK("http://www.ensembl.org/id/WBGene00021881", "WBGene00021881")</f>
        <v>WBGene00021881</v>
      </c>
      <c r="B4843" s="9" t="str">
        <f>HYPERLINK("http://www.ncbi.nlm.nih.gov/gene/177069", "177069")</f>
        <v>177069</v>
      </c>
      <c r="C4843" s="9"/>
      <c r="D4843" t="str">
        <f>"Y54G2A.16"</f>
        <v>Y54G2A.16</v>
      </c>
      <c r="F4843" t="s">
        <v>11</v>
      </c>
      <c r="G4843" t="s">
        <v>25</v>
      </c>
      <c r="H4843" s="12">
        <v>-1.3054280363617501</v>
      </c>
      <c r="I4843" s="20">
        <v>-1.28872597293249</v>
      </c>
      <c r="J4843" s="28">
        <v>0.19749336960053901</v>
      </c>
      <c r="K4843" s="29">
        <v>0.942627068880589</v>
      </c>
    </row>
    <row r="4844" spans="1:11" x14ac:dyDescent="0.35">
      <c r="A4844" s="9" t="str">
        <f>HYPERLINK("http://www.ensembl.org/id/WBGene00194801", "WBGene00194801")</f>
        <v>WBGene00194801</v>
      </c>
      <c r="B4844" s="9" t="str">
        <f>HYPERLINK("http://www.ncbi.nlm.nih.gov/gene/13217918", "13217918")</f>
        <v>13217918</v>
      </c>
      <c r="C4844" s="9"/>
      <c r="D4844" t="str">
        <f>"Y6G8.16"</f>
        <v>Y6G8.16</v>
      </c>
      <c r="F4844" t="s">
        <v>11</v>
      </c>
      <c r="H4844" s="12">
        <v>23.471380051462798</v>
      </c>
      <c r="I4844" s="20">
        <v>1.2887260285398201</v>
      </c>
      <c r="J4844" s="28">
        <v>0.19749335026168199</v>
      </c>
      <c r="K4844" s="29">
        <v>0.942627068880589</v>
      </c>
    </row>
    <row r="4845" spans="1:11" x14ac:dyDescent="0.35">
      <c r="A4845" s="9" t="str">
        <f>HYPERLINK("http://www.ensembl.org/id/WBGene00014087", "WBGene00014087")</f>
        <v>WBGene00014087</v>
      </c>
      <c r="B4845" s="9" t="str">
        <f>HYPERLINK("http://www.ncbi.nlm.nih.gov/gene/178098", "178098")</f>
        <v>178098</v>
      </c>
      <c r="C4845" s="9"/>
      <c r="D4845" t="str">
        <f>"ZK809.5"</f>
        <v>ZK809.5</v>
      </c>
      <c r="F4845" t="s">
        <v>11</v>
      </c>
      <c r="H4845" s="12">
        <v>-1.29918617367677</v>
      </c>
      <c r="I4845" s="20">
        <v>-1.28846020687295</v>
      </c>
      <c r="J4845" s="28">
        <v>0.19758581230302599</v>
      </c>
      <c r="K4845" s="29">
        <v>0.94268382801439798</v>
      </c>
    </row>
    <row r="4846" spans="1:11" x14ac:dyDescent="0.35">
      <c r="A4846" s="9" t="str">
        <f>HYPERLINK("http://www.ensembl.org/id/WBGene00007330", "WBGene00007330")</f>
        <v>WBGene00007330</v>
      </c>
      <c r="B4846" s="9" t="str">
        <f>HYPERLINK("http://www.ncbi.nlm.nih.gov/gene/174548", "174548")</f>
        <v>174548</v>
      </c>
      <c r="C4846" s="9" t="str">
        <f>HYPERLINK("http://www.ncbi.nlm.nih.gov/gene/5019", "5019")</f>
        <v>5019</v>
      </c>
      <c r="D4846" t="str">
        <f>"C05C10.3"</f>
        <v>C05C10.3</v>
      </c>
      <c r="E4846" t="s">
        <v>3826</v>
      </c>
      <c r="F4846" t="s">
        <v>11</v>
      </c>
      <c r="G4846" t="s">
        <v>3827</v>
      </c>
      <c r="H4846" s="12">
        <v>1.3125509756694</v>
      </c>
      <c r="I4846" s="20">
        <v>1.2877007002312399</v>
      </c>
      <c r="J4846" s="28">
        <v>0.19785016973663899</v>
      </c>
      <c r="K4846" s="29">
        <v>0.94310144245770899</v>
      </c>
    </row>
    <row r="4847" spans="1:11" x14ac:dyDescent="0.35">
      <c r="A4847" s="9" t="str">
        <f>HYPERLINK("http://www.ensembl.org/id/WBGene00016446", "WBGene00016446")</f>
        <v>WBGene00016446</v>
      </c>
      <c r="B4847" s="9" t="str">
        <f>HYPERLINK("http://www.ncbi.nlm.nih.gov/gene/175646", "175646")</f>
        <v>175646</v>
      </c>
      <c r="C4847" s="9" t="str">
        <f>HYPERLINK("http://www.ncbi.nlm.nih.gov/gene/51075", "51075")</f>
        <v>51075</v>
      </c>
      <c r="D4847" t="str">
        <f>"C35D10.10"</f>
        <v>C35D10.10</v>
      </c>
      <c r="E4847" t="s">
        <v>3828</v>
      </c>
      <c r="F4847" t="s">
        <v>11</v>
      </c>
      <c r="G4847" t="s">
        <v>3829</v>
      </c>
      <c r="H4847" s="12">
        <v>-1.30183635943441</v>
      </c>
      <c r="I4847" s="20">
        <v>-1.28778458175111</v>
      </c>
      <c r="J4847" s="28">
        <v>0.197820960837779</v>
      </c>
      <c r="K4847" s="29">
        <v>0.94310144245770899</v>
      </c>
    </row>
    <row r="4848" spans="1:11" x14ac:dyDescent="0.35">
      <c r="A4848" s="9" t="str">
        <f>HYPERLINK("http://www.ensembl.org/id/WBGene00019666", "WBGene00019666")</f>
        <v>WBGene00019666</v>
      </c>
      <c r="B4848" s="9" t="str">
        <f>HYPERLINK("http://www.ncbi.nlm.nih.gov/gene/179016", "179016")</f>
        <v>179016</v>
      </c>
      <c r="C4848" s="9"/>
      <c r="D4848" t="str">
        <f>"sago-1"</f>
        <v>sago-1</v>
      </c>
      <c r="E4848" t="s">
        <v>309</v>
      </c>
      <c r="F4848" t="s">
        <v>11</v>
      </c>
      <c r="G4848" t="s">
        <v>445</v>
      </c>
      <c r="H4848" s="12">
        <v>-1.26911377663645</v>
      </c>
      <c r="I4848" s="20">
        <v>-1.28808723161675</v>
      </c>
      <c r="J4848" s="28">
        <v>0.19771559949749101</v>
      </c>
      <c r="K4848" s="29">
        <v>0.94310144245770899</v>
      </c>
    </row>
    <row r="4849" spans="1:11" x14ac:dyDescent="0.35">
      <c r="A4849" s="9" t="str">
        <f>HYPERLINK("http://www.ensembl.org/id/WBGene00021735", "WBGene00021735")</f>
        <v>WBGene00021735</v>
      </c>
      <c r="B4849" s="9" t="str">
        <f>HYPERLINK("http://www.ncbi.nlm.nih.gov/gene/178618", "178618")</f>
        <v>178618</v>
      </c>
      <c r="C4849" s="9"/>
      <c r="D4849" t="str">
        <f>"Y50D4A.1"</f>
        <v>Y50D4A.1</v>
      </c>
      <c r="F4849" t="s">
        <v>11</v>
      </c>
      <c r="H4849" s="12">
        <v>-1.3413381773358499</v>
      </c>
      <c r="I4849" s="20">
        <v>-1.28753171788705</v>
      </c>
      <c r="J4849" s="28">
        <v>0.197909021696417</v>
      </c>
      <c r="K4849" s="29">
        <v>0.94310144245770899</v>
      </c>
    </row>
    <row r="4850" spans="1:11" x14ac:dyDescent="0.35">
      <c r="A4850" s="9" t="str">
        <f>HYPERLINK("http://www.ensembl.org/id/WBGene00013315", "WBGene00013315")</f>
        <v>WBGene00013315</v>
      </c>
      <c r="B4850" s="9" t="str">
        <f>HYPERLINK("http://www.ncbi.nlm.nih.gov/gene/353433", "353433")</f>
        <v>353433</v>
      </c>
      <c r="C4850" s="9"/>
      <c r="D4850" t="str">
        <f>"Y57G11C.20"</f>
        <v>Y57G11C.20</v>
      </c>
      <c r="F4850" t="s">
        <v>11</v>
      </c>
      <c r="H4850" s="12">
        <v>3.0685606807819998</v>
      </c>
      <c r="I4850" s="20">
        <v>1.2875052474917901</v>
      </c>
      <c r="J4850" s="28">
        <v>0.197918241776051</v>
      </c>
      <c r="K4850" s="29">
        <v>0.94310144245770899</v>
      </c>
    </row>
    <row r="4851" spans="1:11" x14ac:dyDescent="0.35">
      <c r="A4851" s="9" t="str">
        <f>HYPERLINK("http://www.ensembl.org/id/WBGene00013579", "WBGene00013579")</f>
        <v>WBGene00013579</v>
      </c>
      <c r="B4851" s="9" t="str">
        <f>HYPERLINK("http://www.ncbi.nlm.nih.gov/gene/190739", "190739")</f>
        <v>190739</v>
      </c>
      <c r="C4851" s="9"/>
      <c r="D4851" t="str">
        <f>"Y79H2A.2"</f>
        <v>Y79H2A.2</v>
      </c>
      <c r="F4851" t="s">
        <v>11</v>
      </c>
      <c r="G4851" t="s">
        <v>25</v>
      </c>
      <c r="H4851" s="12">
        <v>-1.26022700655682</v>
      </c>
      <c r="I4851" s="20">
        <v>-1.28769418035938</v>
      </c>
      <c r="J4851" s="28">
        <v>0.19785244019338499</v>
      </c>
      <c r="K4851" s="29">
        <v>0.94310144245770899</v>
      </c>
    </row>
    <row r="4852" spans="1:11" x14ac:dyDescent="0.35">
      <c r="A4852" s="9" t="str">
        <f>HYPERLINK("http://www.ensembl.org/id/WBGene00219727", "WBGene00219727")</f>
        <v>WBGene00219727</v>
      </c>
      <c r="B4852" s="9"/>
      <c r="C4852" s="9"/>
      <c r="D4852" t="str">
        <f>"linc-39"</f>
        <v>linc-39</v>
      </c>
      <c r="F4852" t="s">
        <v>1510</v>
      </c>
      <c r="H4852" s="12">
        <v>10.777896136191</v>
      </c>
      <c r="I4852" s="20">
        <v>1.28738174980055</v>
      </c>
      <c r="J4852" s="28">
        <v>0.197961262232249</v>
      </c>
      <c r="K4852" s="29">
        <v>0.94311194332749304</v>
      </c>
    </row>
    <row r="4853" spans="1:11" x14ac:dyDescent="0.35">
      <c r="A4853" s="9" t="str">
        <f>HYPERLINK("http://www.ensembl.org/id/WBGene00016004", "WBGene00016004")</f>
        <v>WBGene00016004</v>
      </c>
      <c r="B4853" s="9" t="str">
        <f>HYPERLINK("http://www.ncbi.nlm.nih.gov/gene/182809", "182809")</f>
        <v>182809</v>
      </c>
      <c r="C4853" s="9"/>
      <c r="D4853" t="str">
        <f>"C18H9.6"</f>
        <v>C18H9.6</v>
      </c>
      <c r="F4853" t="s">
        <v>11</v>
      </c>
      <c r="H4853" s="12">
        <v>1.37492385998057</v>
      </c>
      <c r="I4853" s="20">
        <v>1.28714775484536</v>
      </c>
      <c r="J4853" s="28">
        <v>0.19804279320107701</v>
      </c>
      <c r="K4853" s="29">
        <v>0.94330587089344198</v>
      </c>
    </row>
    <row r="4854" spans="1:11" x14ac:dyDescent="0.35">
      <c r="A4854" s="9" t="str">
        <f>HYPERLINK("http://www.ensembl.org/id/WBGene00016836", "WBGene00016836")</f>
        <v>WBGene00016836</v>
      </c>
      <c r="B4854" s="9" t="str">
        <f>HYPERLINK("http://www.ncbi.nlm.nih.gov/gene/171972", "171972")</f>
        <v>171972</v>
      </c>
      <c r="C4854" s="9"/>
      <c r="D4854" t="str">
        <f>"C50F2.2"</f>
        <v>C50F2.2</v>
      </c>
      <c r="F4854" t="s">
        <v>11</v>
      </c>
      <c r="H4854" s="12">
        <v>-1.29310768790115</v>
      </c>
      <c r="I4854" s="20">
        <v>-1.2866802021435699</v>
      </c>
      <c r="J4854" s="28">
        <v>0.19820577636925699</v>
      </c>
      <c r="K4854" s="29">
        <v>0.943529812889632</v>
      </c>
    </row>
    <row r="4855" spans="1:11" x14ac:dyDescent="0.35">
      <c r="A4855" s="9" t="str">
        <f>HYPERLINK("http://www.ensembl.org/id/WBGene00019196", "WBGene00019196")</f>
        <v>WBGene00019196</v>
      </c>
      <c r="B4855" s="9" t="str">
        <f>HYPERLINK("http://www.ncbi.nlm.nih.gov/gene/176058", "176058")</f>
        <v>176058</v>
      </c>
      <c r="C4855" s="9"/>
      <c r="D4855" t="str">
        <f>"H14A12.3"</f>
        <v>H14A12.3</v>
      </c>
      <c r="F4855" t="s">
        <v>11</v>
      </c>
      <c r="G4855" t="s">
        <v>3832</v>
      </c>
      <c r="H4855" s="12">
        <v>-1.3031289611996399</v>
      </c>
      <c r="I4855" s="20">
        <v>-1.28666145531942</v>
      </c>
      <c r="J4855" s="28">
        <v>0.19821231332841099</v>
      </c>
      <c r="K4855" s="29">
        <v>0.943529812889632</v>
      </c>
    </row>
    <row r="4856" spans="1:11" x14ac:dyDescent="0.35">
      <c r="A4856" s="9" t="str">
        <f>HYPERLINK("http://www.ensembl.org/id/WBGene00013766", "WBGene00013766")</f>
        <v>WBGene00013766</v>
      </c>
      <c r="B4856" s="9" t="str">
        <f>HYPERLINK("http://www.ncbi.nlm.nih.gov/gene/180326", "180326")</f>
        <v>180326</v>
      </c>
      <c r="C4856" s="9" t="str">
        <f>HYPERLINK("http://www.ncbi.nlm.nih.gov/gene/3276", "3276")</f>
        <v>3276</v>
      </c>
      <c r="D4856" t="str">
        <f>"prmt-1"</f>
        <v>prmt-1</v>
      </c>
      <c r="E4856" t="s">
        <v>3830</v>
      </c>
      <c r="F4856" t="s">
        <v>11</v>
      </c>
      <c r="G4856" t="s">
        <v>3831</v>
      </c>
      <c r="H4856" s="12">
        <v>-1.2867964723072001</v>
      </c>
      <c r="I4856" s="20">
        <v>-1.28682961672354</v>
      </c>
      <c r="J4856" s="28">
        <v>0.19815368160718899</v>
      </c>
      <c r="K4856" s="29">
        <v>0.943529812889632</v>
      </c>
    </row>
    <row r="4857" spans="1:11" x14ac:dyDescent="0.35">
      <c r="A4857" s="9" t="str">
        <f>HYPERLINK("http://www.ensembl.org/id/WBGene00013576", "WBGene00013576")</f>
        <v>WBGene00013576</v>
      </c>
      <c r="B4857" s="9" t="str">
        <f>HYPERLINK("http://www.ncbi.nlm.nih.gov/gene/190729", "190729")</f>
        <v>190729</v>
      </c>
      <c r="C4857" s="9"/>
      <c r="D4857" t="str">
        <f>"Y76A2B.4"</f>
        <v>Y76A2B.4</v>
      </c>
      <c r="F4857" t="s">
        <v>11</v>
      </c>
      <c r="G4857" t="s">
        <v>25</v>
      </c>
      <c r="H4857" s="12">
        <v>-1.45274381017787</v>
      </c>
      <c r="I4857" s="20">
        <v>-1.28649416267052</v>
      </c>
      <c r="J4857" s="28">
        <v>0.198270654735693</v>
      </c>
      <c r="K4857" s="29">
        <v>0.94361313044756201</v>
      </c>
    </row>
    <row r="4858" spans="1:11" x14ac:dyDescent="0.35">
      <c r="A4858" s="9" t="str">
        <f>HYPERLINK("http://www.ensembl.org/id/WBGene00000217", "WBGene00000217")</f>
        <v>WBGene00000217</v>
      </c>
      <c r="B4858" s="9" t="str">
        <f>HYPERLINK("http://www.ncbi.nlm.nih.gov/gene/181444", "181444")</f>
        <v>181444</v>
      </c>
      <c r="C4858" s="9" t="str">
        <f>HYPERLINK("http://www.ncbi.nlm.nih.gov/gene/1509", "1509")</f>
        <v>1509</v>
      </c>
      <c r="D4858" t="str">
        <f>"asp-4"</f>
        <v>asp-4</v>
      </c>
      <c r="E4858" t="s">
        <v>1521</v>
      </c>
      <c r="F4858" t="s">
        <v>11</v>
      </c>
      <c r="G4858" t="s">
        <v>3833</v>
      </c>
      <c r="H4858" s="12">
        <v>-1.2608024900913</v>
      </c>
      <c r="I4858" s="20">
        <v>-1.28627130174117</v>
      </c>
      <c r="J4858" s="28">
        <v>0.198348394455685</v>
      </c>
      <c r="K4858" s="29">
        <v>0.94378871546397303</v>
      </c>
    </row>
    <row r="4859" spans="1:11" x14ac:dyDescent="0.35">
      <c r="A4859" s="9" t="str">
        <f>HYPERLINK("http://www.ensembl.org/id/WBGene00194892", "WBGene00194892")</f>
        <v>WBGene00194892</v>
      </c>
      <c r="B4859" s="9" t="str">
        <f>HYPERLINK("http://www.ncbi.nlm.nih.gov/gene/13187952", "13187952")</f>
        <v>13187952</v>
      </c>
      <c r="C4859" s="9"/>
      <c r="D4859" t="str">
        <f>"dsb-2"</f>
        <v>dsb-2</v>
      </c>
      <c r="E4859" t="s">
        <v>531</v>
      </c>
      <c r="F4859" t="s">
        <v>11</v>
      </c>
      <c r="G4859" t="s">
        <v>532</v>
      </c>
      <c r="H4859" s="12">
        <v>-1.37938132144935</v>
      </c>
      <c r="I4859" s="20">
        <v>-1.28565272655466</v>
      </c>
      <c r="J4859" s="28">
        <v>0.198564286449494</v>
      </c>
      <c r="K4859" s="29">
        <v>0.94403835446543205</v>
      </c>
    </row>
    <row r="4860" spans="1:11" x14ac:dyDescent="0.35">
      <c r="A4860" s="9" t="str">
        <f>HYPERLINK("http://www.ensembl.org/id/WBGene00249817", "WBGene00249817")</f>
        <v>WBGene00249817</v>
      </c>
      <c r="B4860" s="9" t="str">
        <f>HYPERLINK("http://www.ncbi.nlm.nih.gov/gene/24104576", "24104576")</f>
        <v>24104576</v>
      </c>
      <c r="C4860" s="9"/>
      <c r="D4860" t="str">
        <f>"F42G8.19"</f>
        <v>F42G8.19</v>
      </c>
      <c r="F4860" t="s">
        <v>11</v>
      </c>
      <c r="H4860" s="12">
        <v>1.6563414302439801</v>
      </c>
      <c r="I4860" s="20">
        <v>1.28591787268031</v>
      </c>
      <c r="J4860" s="28">
        <v>0.19847172545543401</v>
      </c>
      <c r="K4860" s="29">
        <v>0.94403835446543205</v>
      </c>
    </row>
    <row r="4861" spans="1:11" x14ac:dyDescent="0.35">
      <c r="A4861" s="9" t="str">
        <f>HYPERLINK("http://www.ensembl.org/id/WBGene00001538", "WBGene00001538")</f>
        <v>WBGene00001538</v>
      </c>
      <c r="B4861" s="9" t="str">
        <f>HYPERLINK("http://www.ncbi.nlm.nih.gov/gene/173902", "173902")</f>
        <v>173902</v>
      </c>
      <c r="C4861" s="9"/>
      <c r="D4861" t="str">
        <f>"gcy-12"</f>
        <v>gcy-12</v>
      </c>
      <c r="E4861" t="s">
        <v>3834</v>
      </c>
      <c r="F4861" t="s">
        <v>11</v>
      </c>
      <c r="G4861" t="s">
        <v>2714</v>
      </c>
      <c r="H4861" s="12">
        <v>-1.2875628964658401</v>
      </c>
      <c r="I4861" s="20">
        <v>-1.28587248267898</v>
      </c>
      <c r="J4861" s="28">
        <v>0.19848756860636799</v>
      </c>
      <c r="K4861" s="29">
        <v>0.94403835446543205</v>
      </c>
    </row>
    <row r="4862" spans="1:11" x14ac:dyDescent="0.35">
      <c r="A4862" s="9" t="str">
        <f>HYPERLINK("http://www.ensembl.org/id/WBGene00006179", "WBGene00006179")</f>
        <v>WBGene00006179</v>
      </c>
      <c r="B4862" s="9" t="str">
        <f>HYPERLINK("http://www.ncbi.nlm.nih.gov/gene/192005", "192005")</f>
        <v>192005</v>
      </c>
      <c r="C4862" s="9"/>
      <c r="D4862" t="str">
        <f>"str-130"</f>
        <v>str-130</v>
      </c>
      <c r="E4862" t="s">
        <v>590</v>
      </c>
      <c r="F4862" t="s">
        <v>11</v>
      </c>
      <c r="G4862" t="s">
        <v>591</v>
      </c>
      <c r="H4862" s="12">
        <v>3.7270977845415301</v>
      </c>
      <c r="I4862" s="20">
        <v>1.28567348646957</v>
      </c>
      <c r="J4862" s="28">
        <v>0.19855703814343001</v>
      </c>
      <c r="K4862" s="29">
        <v>0.94403835446543205</v>
      </c>
    </row>
    <row r="4863" spans="1:11" x14ac:dyDescent="0.35">
      <c r="A4863" s="9" t="str">
        <f>HYPERLINK("http://www.ensembl.org/id/WBGene00200826", "WBGene00200826")</f>
        <v>WBGene00200826</v>
      </c>
      <c r="B4863" s="9"/>
      <c r="C4863" s="9"/>
      <c r="D4863" t="str">
        <f>"W06B11.10"</f>
        <v>W06B11.10</v>
      </c>
      <c r="F4863" t="s">
        <v>481</v>
      </c>
      <c r="H4863" s="12">
        <v>-24.6945664304939</v>
      </c>
      <c r="I4863" s="20">
        <v>-1.2853899940953799</v>
      </c>
      <c r="J4863" s="28">
        <v>0.198656035974936</v>
      </c>
      <c r="K4863" s="29">
        <v>0.94415514001106304</v>
      </c>
    </row>
    <row r="4864" spans="1:11" x14ac:dyDescent="0.35">
      <c r="A4864" s="9" t="str">
        <f>HYPERLINK("http://www.ensembl.org/id/WBGene00006971", "WBGene00006971")</f>
        <v>WBGene00006971</v>
      </c>
      <c r="B4864" s="9" t="str">
        <f>HYPERLINK("http://www.ncbi.nlm.nih.gov/gene/175954", "175954")</f>
        <v>175954</v>
      </c>
      <c r="C4864" s="9"/>
      <c r="D4864" t="str">
        <f>"zak-1"</f>
        <v>zak-1</v>
      </c>
      <c r="E4864" t="s">
        <v>3835</v>
      </c>
      <c r="F4864" t="s">
        <v>11</v>
      </c>
      <c r="G4864" t="s">
        <v>3836</v>
      </c>
      <c r="H4864" s="12">
        <v>1.3554507515185501</v>
      </c>
      <c r="I4864" s="20">
        <v>1.2852313937308</v>
      </c>
      <c r="J4864" s="28">
        <v>0.19871143624486301</v>
      </c>
      <c r="K4864" s="29">
        <v>0.94415514001106304</v>
      </c>
    </row>
    <row r="4865" spans="1:11" x14ac:dyDescent="0.35">
      <c r="A4865" s="9" t="str">
        <f>HYPERLINK("http://www.ensembl.org/id/WBGene00022673", "WBGene00022673")</f>
        <v>WBGene00022673</v>
      </c>
      <c r="B4865" s="9" t="str">
        <f>HYPERLINK("http://www.ncbi.nlm.nih.gov/gene/173937", "173937")</f>
        <v>173937</v>
      </c>
      <c r="C4865" s="9"/>
      <c r="D4865" t="str">
        <f>"ZK177.8"</f>
        <v>ZK177.8</v>
      </c>
      <c r="F4865" t="s">
        <v>11</v>
      </c>
      <c r="G4865" t="s">
        <v>3837</v>
      </c>
      <c r="H4865" s="12">
        <v>-1.2778819425044901</v>
      </c>
      <c r="I4865" s="20">
        <v>-1.2852748719977001</v>
      </c>
      <c r="J4865" s="28">
        <v>0.19869624784390799</v>
      </c>
      <c r="K4865" s="29">
        <v>0.94415514001106304</v>
      </c>
    </row>
    <row r="4866" spans="1:11" x14ac:dyDescent="0.35">
      <c r="A4866" s="9" t="str">
        <f>HYPERLINK("http://www.ensembl.org/id/WBGene00012543", "WBGene00012543")</f>
        <v>WBGene00012543</v>
      </c>
      <c r="B4866" s="9" t="str">
        <f>HYPERLINK("http://www.ncbi.nlm.nih.gov/gene/3565648", "3565648")</f>
        <v>3565648</v>
      </c>
      <c r="C4866" s="9" t="str">
        <f>HYPERLINK("http://www.ncbi.nlm.nih.gov/gene/6557", "6557")</f>
        <v>6557</v>
      </c>
      <c r="D4866" t="str">
        <f>"nkcc-1"</f>
        <v>nkcc-1</v>
      </c>
      <c r="E4866" t="s">
        <v>3838</v>
      </c>
      <c r="F4866" t="s">
        <v>11</v>
      </c>
      <c r="G4866" t="s">
        <v>3839</v>
      </c>
      <c r="H4866" s="12">
        <v>-1.2717763603432899</v>
      </c>
      <c r="I4866" s="20">
        <v>-1.28451585302447</v>
      </c>
      <c r="J4866" s="28">
        <v>0.19896152028870501</v>
      </c>
      <c r="K4866" s="29">
        <v>0.945014206279567</v>
      </c>
    </row>
    <row r="4867" spans="1:11" x14ac:dyDescent="0.35">
      <c r="A4867" s="9" t="str">
        <f>HYPERLINK("http://www.ensembl.org/id/WBGene00003797", "WBGene00003797")</f>
        <v>WBGene00003797</v>
      </c>
      <c r="B4867" s="9" t="str">
        <f>HYPERLINK("http://www.ncbi.nlm.nih.gov/gene/171954", "171954")</f>
        <v>171954</v>
      </c>
      <c r="C4867" s="9"/>
      <c r="D4867" t="str">
        <f>"npp-11"</f>
        <v>npp-11</v>
      </c>
      <c r="E4867" t="s">
        <v>375</v>
      </c>
      <c r="F4867" t="s">
        <v>11</v>
      </c>
      <c r="G4867" t="s">
        <v>3840</v>
      </c>
      <c r="H4867" s="12">
        <v>-1.29721635005952</v>
      </c>
      <c r="I4867" s="20">
        <v>-1.28440167300062</v>
      </c>
      <c r="J4867" s="28">
        <v>0.19900144789014601</v>
      </c>
      <c r="K4867" s="29">
        <v>0.945014206279567</v>
      </c>
    </row>
    <row r="4868" spans="1:11" x14ac:dyDescent="0.35">
      <c r="A4868" s="9" t="str">
        <f>HYPERLINK("http://www.ensembl.org/id/WBGene00011231", "WBGene00011231")</f>
        <v>WBGene00011231</v>
      </c>
      <c r="B4868" s="9" t="str">
        <f>HYPERLINK("http://www.ncbi.nlm.nih.gov/gene/172555", "172555")</f>
        <v>172555</v>
      </c>
      <c r="C4868" s="9"/>
      <c r="D4868" t="str">
        <f>"R11A5.3"</f>
        <v>R11A5.3</v>
      </c>
      <c r="F4868" t="s">
        <v>11</v>
      </c>
      <c r="H4868" s="12">
        <v>1.32615170180947</v>
      </c>
      <c r="I4868" s="20">
        <v>1.2842915411720499</v>
      </c>
      <c r="J4868" s="28">
        <v>0.19903996542675401</v>
      </c>
      <c r="K4868" s="29">
        <v>0.945014206279567</v>
      </c>
    </row>
    <row r="4869" spans="1:11" x14ac:dyDescent="0.35">
      <c r="A4869" s="9" t="str">
        <f>HYPERLINK("http://www.ensembl.org/id/WBGene00011747", "WBGene00011747")</f>
        <v>WBGene00011747</v>
      </c>
      <c r="B4869" s="9" t="str">
        <f>HYPERLINK("http://www.ncbi.nlm.nih.gov/gene/177816", "177816")</f>
        <v>177816</v>
      </c>
      <c r="C4869" s="9"/>
      <c r="D4869" t="str">
        <f>"sna-2"</f>
        <v>sna-2</v>
      </c>
      <c r="E4869" t="s">
        <v>3841</v>
      </c>
      <c r="F4869" t="s">
        <v>11</v>
      </c>
      <c r="H4869" s="12">
        <v>-1.3360133895798201</v>
      </c>
      <c r="I4869" s="20">
        <v>-1.2842461681108299</v>
      </c>
      <c r="J4869" s="28">
        <v>0.199055835798609</v>
      </c>
      <c r="K4869" s="29">
        <v>0.945014206279567</v>
      </c>
    </row>
    <row r="4870" spans="1:11" x14ac:dyDescent="0.35">
      <c r="A4870" s="9" t="str">
        <f>HYPERLINK("http://www.ensembl.org/id/WBGene00013263", "WBGene00013263")</f>
        <v>WBGene00013263</v>
      </c>
      <c r="B4870" s="9" t="str">
        <f>HYPERLINK("http://www.ncbi.nlm.nih.gov/gene/174863", "174863")</f>
        <v>174863</v>
      </c>
      <c r="C4870" s="9" t="str">
        <f>HYPERLINK("http://www.ncbi.nlm.nih.gov/gene/51060", "51060")</f>
        <v>51060</v>
      </c>
      <c r="D4870" t="str">
        <f>"txdc-12.1"</f>
        <v>txdc-12.1</v>
      </c>
      <c r="E4870" t="s">
        <v>929</v>
      </c>
      <c r="F4870" t="s">
        <v>11</v>
      </c>
      <c r="G4870" t="s">
        <v>930</v>
      </c>
      <c r="H4870" s="12">
        <v>1.33536180114402</v>
      </c>
      <c r="I4870" s="20">
        <v>1.28399911193203</v>
      </c>
      <c r="J4870" s="28">
        <v>0.199142266152042</v>
      </c>
      <c r="K4870" s="29">
        <v>0.945036493600246</v>
      </c>
    </row>
    <row r="4871" spans="1:11" x14ac:dyDescent="0.35">
      <c r="A4871" s="9" t="str">
        <f>HYPERLINK("http://www.ensembl.org/id/WBGene00021087", "WBGene00021087")</f>
        <v>WBGene00021087</v>
      </c>
      <c r="B4871" s="9" t="str">
        <f>HYPERLINK("http://www.ncbi.nlm.nih.gov/gene/189294", "189294")</f>
        <v>189294</v>
      </c>
      <c r="C4871" s="9"/>
      <c r="D4871" t="str">
        <f>"W08E12.6"</f>
        <v>W08E12.6</v>
      </c>
      <c r="F4871" t="s">
        <v>11</v>
      </c>
      <c r="H4871" s="12">
        <v>-2.2560057755476</v>
      </c>
      <c r="I4871" s="20">
        <v>-1.2839989281739099</v>
      </c>
      <c r="J4871" s="28">
        <v>0.199142330448351</v>
      </c>
      <c r="K4871" s="29">
        <v>0.945036493600246</v>
      </c>
    </row>
    <row r="4872" spans="1:11" x14ac:dyDescent="0.35">
      <c r="A4872" s="9" t="str">
        <f>HYPERLINK("http://www.ensembl.org/id/WBGene00077763", "WBGene00077763")</f>
        <v>WBGene00077763</v>
      </c>
      <c r="B4872" s="9" t="str">
        <f>HYPERLINK("http://www.ncbi.nlm.nih.gov/gene/7040145", "7040145")</f>
        <v>7040145</v>
      </c>
      <c r="C4872" s="9"/>
      <c r="D4872" t="str">
        <f>"glb-34"</f>
        <v>glb-34</v>
      </c>
      <c r="E4872" t="s">
        <v>633</v>
      </c>
      <c r="F4872" t="s">
        <v>11</v>
      </c>
      <c r="G4872" t="s">
        <v>3081</v>
      </c>
      <c r="H4872" s="12">
        <v>3.2813247773686398</v>
      </c>
      <c r="I4872" s="20">
        <v>1.2834571550186999</v>
      </c>
      <c r="J4872" s="28">
        <v>0.19933196090133101</v>
      </c>
      <c r="K4872" s="29">
        <v>0.945742153713789</v>
      </c>
    </row>
    <row r="4873" spans="1:11" x14ac:dyDescent="0.35">
      <c r="A4873" s="9" t="str">
        <f>HYPERLINK("http://www.ensembl.org/id/WBGene00013019", "WBGene00013019")</f>
        <v>WBGene00013019</v>
      </c>
      <c r="B4873" s="9" t="str">
        <f>HYPERLINK("http://www.ncbi.nlm.nih.gov/gene/173218", "173218")</f>
        <v>173218</v>
      </c>
      <c r="C4873" s="9"/>
      <c r="D4873" t="str">
        <f>"Y48G10A.2"</f>
        <v>Y48G10A.2</v>
      </c>
      <c r="F4873" t="s">
        <v>11</v>
      </c>
      <c r="H4873" s="12">
        <v>-1.39844699049704</v>
      </c>
      <c r="I4873" s="20">
        <v>-1.28313756588351</v>
      </c>
      <c r="J4873" s="28">
        <v>0.19944388476043901</v>
      </c>
      <c r="K4873" s="29">
        <v>0.94607891629536001</v>
      </c>
    </row>
    <row r="4874" spans="1:11" x14ac:dyDescent="0.35">
      <c r="A4874" s="9" t="str">
        <f>HYPERLINK("http://www.ensembl.org/id/WBGene00019199", "WBGene00019199")</f>
        <v>WBGene00019199</v>
      </c>
      <c r="B4874" s="9" t="str">
        <f>HYPERLINK("http://www.ncbi.nlm.nih.gov/gene/175356", "175356")</f>
        <v>175356</v>
      </c>
      <c r="C4874" s="9"/>
      <c r="D4874" t="str">
        <f>"H14E04.2"</f>
        <v>H14E04.2</v>
      </c>
      <c r="F4874" t="s">
        <v>11</v>
      </c>
      <c r="H4874" s="12">
        <v>-1.2847458507237901</v>
      </c>
      <c r="I4874" s="20">
        <v>-1.28271885823744</v>
      </c>
      <c r="J4874" s="28">
        <v>0.19959059055558301</v>
      </c>
      <c r="K4874" s="29">
        <v>0.94610927637377595</v>
      </c>
    </row>
    <row r="4875" spans="1:11" x14ac:dyDescent="0.35">
      <c r="A4875" s="9" t="str">
        <f>HYPERLINK("http://www.ensembl.org/id/WBGene00002879", "WBGene00002879")</f>
        <v>WBGene00002879</v>
      </c>
      <c r="B4875" s="9" t="str">
        <f>HYPERLINK("http://www.ncbi.nlm.nih.gov/gene/176118", "176118")</f>
        <v>176118</v>
      </c>
      <c r="C4875" s="9" t="str">
        <f>HYPERLINK("http://www.ncbi.nlm.nih.gov/gene/204", "204")</f>
        <v>204</v>
      </c>
      <c r="D4875" t="str">
        <f>"let-754"</f>
        <v>let-754</v>
      </c>
      <c r="E4875" t="s">
        <v>3844</v>
      </c>
      <c r="F4875" t="s">
        <v>11</v>
      </c>
      <c r="G4875" t="s">
        <v>3845</v>
      </c>
      <c r="H4875" s="12">
        <v>-1.2917701748214201</v>
      </c>
      <c r="I4875" s="20">
        <v>-1.2826518647052101</v>
      </c>
      <c r="J4875" s="28">
        <v>0.19961407090461999</v>
      </c>
      <c r="K4875" s="29">
        <v>0.94610927637377595</v>
      </c>
    </row>
    <row r="4876" spans="1:11" x14ac:dyDescent="0.35">
      <c r="A4876" s="9" t="str">
        <f>HYPERLINK("http://www.ensembl.org/id/WBGene00003396", "WBGene00003396")</f>
        <v>WBGene00003396</v>
      </c>
      <c r="B4876" s="9" t="str">
        <f>HYPERLINK("http://www.ncbi.nlm.nih.gov/gene/172842", "172842")</f>
        <v>172842</v>
      </c>
      <c r="C4876" s="9"/>
      <c r="D4876" t="str">
        <f>"mom-4"</f>
        <v>mom-4</v>
      </c>
      <c r="E4876" t="s">
        <v>3846</v>
      </c>
      <c r="F4876" t="s">
        <v>11</v>
      </c>
      <c r="G4876" t="s">
        <v>3847</v>
      </c>
      <c r="H4876" s="12">
        <v>-1.3028507278091299</v>
      </c>
      <c r="I4876" s="20">
        <v>-1.2829531520361199</v>
      </c>
      <c r="J4876" s="28">
        <v>0.19950848953736899</v>
      </c>
      <c r="K4876" s="29">
        <v>0.94610927637377595</v>
      </c>
    </row>
    <row r="4877" spans="1:11" x14ac:dyDescent="0.35">
      <c r="A4877" s="9" t="str">
        <f>HYPERLINK("http://www.ensembl.org/id/WBGene00011556", "WBGene00011556")</f>
        <v>WBGene00011556</v>
      </c>
      <c r="B4877" s="9" t="str">
        <f>HYPERLINK("http://www.ncbi.nlm.nih.gov/gene/176442", "176442")</f>
        <v>176442</v>
      </c>
      <c r="C4877" s="9"/>
      <c r="D4877" t="str">
        <f>"vglu-3"</f>
        <v>vglu-3</v>
      </c>
      <c r="E4877" t="s">
        <v>3842</v>
      </c>
      <c r="F4877" t="s">
        <v>11</v>
      </c>
      <c r="G4877" t="s">
        <v>3843</v>
      </c>
      <c r="H4877" s="12">
        <v>2.2395133663015598</v>
      </c>
      <c r="I4877" s="20">
        <v>1.28274724036499</v>
      </c>
      <c r="J4877" s="28">
        <v>0.19958064360286301</v>
      </c>
      <c r="K4877" s="29">
        <v>0.94610927637377595</v>
      </c>
    </row>
    <row r="4878" spans="1:11" x14ac:dyDescent="0.35">
      <c r="A4878" s="9" t="str">
        <f>HYPERLINK("http://www.ensembl.org/id/WBGene00001463", "WBGene00001463")</f>
        <v>WBGene00001463</v>
      </c>
      <c r="B4878" s="9" t="str">
        <f>HYPERLINK("http://www.ncbi.nlm.nih.gov/gene/181165", "181165")</f>
        <v>181165</v>
      </c>
      <c r="C4878" s="9"/>
      <c r="D4878" t="str">
        <f>"flp-20"</f>
        <v>flp-20</v>
      </c>
      <c r="E4878" t="s">
        <v>401</v>
      </c>
      <c r="F4878" t="s">
        <v>11</v>
      </c>
      <c r="G4878" t="s">
        <v>3848</v>
      </c>
      <c r="H4878" s="12">
        <v>1.3568864454128899</v>
      </c>
      <c r="I4878" s="20">
        <v>1.2822754436216901</v>
      </c>
      <c r="J4878" s="28">
        <v>0.19974603904844199</v>
      </c>
      <c r="K4878" s="29">
        <v>0.94654060259501605</v>
      </c>
    </row>
    <row r="4879" spans="1:11" x14ac:dyDescent="0.35">
      <c r="A4879" s="9" t="str">
        <f>HYPERLINK("http://www.ensembl.org/id/WBGene00008212", "WBGene00008212")</f>
        <v>WBGene00008212</v>
      </c>
      <c r="B4879" s="9" t="str">
        <f>HYPERLINK("http://www.ncbi.nlm.nih.gov/gene/259728", "259728")</f>
        <v>259728</v>
      </c>
      <c r="C4879" s="9"/>
      <c r="D4879" t="str">
        <f>"C49F5.8"</f>
        <v>C49F5.8</v>
      </c>
      <c r="F4879" t="s">
        <v>11</v>
      </c>
      <c r="H4879" s="12">
        <v>-1.97727249967055</v>
      </c>
      <c r="I4879" s="20">
        <v>-1.2817774921037299</v>
      </c>
      <c r="J4879" s="28">
        <v>0.199920712011079</v>
      </c>
      <c r="K4879" s="29">
        <v>0.94659179748524402</v>
      </c>
    </row>
    <row r="4880" spans="1:11" x14ac:dyDescent="0.35">
      <c r="A4880" s="9" t="str">
        <f>HYPERLINK("http://www.ensembl.org/id/WBGene00008797", "WBGene00008797")</f>
        <v>WBGene00008797</v>
      </c>
      <c r="B4880" s="9" t="str">
        <f>HYPERLINK("http://www.ncbi.nlm.nih.gov/gene/3565550", "3565550")</f>
        <v>3565550</v>
      </c>
      <c r="C4880" s="9"/>
      <c r="D4880" t="str">
        <f>"F14D7.10"</f>
        <v>F14D7.10</v>
      </c>
      <c r="F4880" t="s">
        <v>11</v>
      </c>
      <c r="H4880" s="12">
        <v>2.4784948068720198</v>
      </c>
      <c r="I4880" s="20">
        <v>1.2818879372690299</v>
      </c>
      <c r="J4880" s="28">
        <v>0.19988196009314901</v>
      </c>
      <c r="K4880" s="29">
        <v>0.94659179748524402</v>
      </c>
    </row>
    <row r="4881" spans="1:11" x14ac:dyDescent="0.35">
      <c r="A4881" s="9" t="str">
        <f>HYPERLINK("http://www.ensembl.org/id/WBGene00008502", "WBGene00008502")</f>
        <v>WBGene00008502</v>
      </c>
      <c r="B4881" s="9" t="str">
        <f>HYPERLINK("http://www.ncbi.nlm.nih.gov/gene/178017", "178017")</f>
        <v>178017</v>
      </c>
      <c r="C4881" s="9" t="str">
        <f>HYPERLINK("http://www.ncbi.nlm.nih.gov/gene/6499", "6499")</f>
        <v>6499</v>
      </c>
      <c r="D4881" t="str">
        <f>"skih-2"</f>
        <v>skih-2</v>
      </c>
      <c r="E4881" t="s">
        <v>3851</v>
      </c>
      <c r="F4881" t="s">
        <v>11</v>
      </c>
      <c r="G4881" t="s">
        <v>3852</v>
      </c>
      <c r="H4881" s="12">
        <v>-1.2941909832168601</v>
      </c>
      <c r="I4881" s="20">
        <v>-1.2819349070558901</v>
      </c>
      <c r="J4881" s="28">
        <v>0.199865481457007</v>
      </c>
      <c r="K4881" s="29">
        <v>0.94659179748524402</v>
      </c>
    </row>
    <row r="4882" spans="1:11" x14ac:dyDescent="0.35">
      <c r="A4882" s="9" t="str">
        <f>HYPERLINK("http://www.ensembl.org/id/WBGene00004964", "WBGene00004964")</f>
        <v>WBGene00004964</v>
      </c>
      <c r="B4882" s="9" t="str">
        <f>HYPERLINK("http://www.ncbi.nlm.nih.gov/gene/3565514", "3565514")</f>
        <v>3565514</v>
      </c>
      <c r="C4882" s="9"/>
      <c r="D4882" t="str">
        <f>"spe-10"</f>
        <v>spe-10</v>
      </c>
      <c r="E4882" t="s">
        <v>3849</v>
      </c>
      <c r="F4882" t="s">
        <v>11</v>
      </c>
      <c r="G4882" t="s">
        <v>3850</v>
      </c>
      <c r="H4882" s="12">
        <v>2.5464886684403298</v>
      </c>
      <c r="I4882" s="20">
        <v>1.2818645611086801</v>
      </c>
      <c r="J4882" s="28">
        <v>0.199890161633651</v>
      </c>
      <c r="K4882" s="29">
        <v>0.94659179748524402</v>
      </c>
    </row>
    <row r="4883" spans="1:11" x14ac:dyDescent="0.35">
      <c r="A4883" s="9" t="str">
        <f>HYPERLINK("http://www.ensembl.org/id/WBGene00017309", "WBGene00017309")</f>
        <v>WBGene00017309</v>
      </c>
      <c r="B4883" s="9" t="str">
        <f>HYPERLINK("http://www.ncbi.nlm.nih.gov/gene/180688", "180688")</f>
        <v>180688</v>
      </c>
      <c r="C4883" s="9"/>
      <c r="D4883" t="str">
        <f>"F09F9.4"</f>
        <v>F09F9.4</v>
      </c>
      <c r="F4883" t="s">
        <v>11</v>
      </c>
      <c r="G4883" t="s">
        <v>3853</v>
      </c>
      <c r="H4883" s="12">
        <v>1.44167578577615</v>
      </c>
      <c r="I4883" s="20">
        <v>1.28128762589406</v>
      </c>
      <c r="J4883" s="28">
        <v>0.200092657605665</v>
      </c>
      <c r="K4883" s="29">
        <v>0.94703336645640501</v>
      </c>
    </row>
    <row r="4884" spans="1:11" x14ac:dyDescent="0.35">
      <c r="A4884" s="9" t="str">
        <f>HYPERLINK("http://www.ensembl.org/id/WBGene00003676", "WBGene00003676")</f>
        <v>WBGene00003676</v>
      </c>
      <c r="B4884" s="9" t="str">
        <f>HYPERLINK("http://www.ncbi.nlm.nih.gov/gene/178685", "178685")</f>
        <v>178685</v>
      </c>
      <c r="C4884" s="9"/>
      <c r="D4884" t="str">
        <f>"nhr-86"</f>
        <v>nhr-86</v>
      </c>
      <c r="E4884" t="s">
        <v>3854</v>
      </c>
      <c r="F4884" t="s">
        <v>11</v>
      </c>
      <c r="G4884" t="s">
        <v>2789</v>
      </c>
      <c r="H4884" s="12">
        <v>-1.2933674540095099</v>
      </c>
      <c r="I4884" s="20">
        <v>-1.28127826448114</v>
      </c>
      <c r="J4884" s="28">
        <v>0.20009594456159299</v>
      </c>
      <c r="K4884" s="29">
        <v>0.94703336645640501</v>
      </c>
    </row>
    <row r="4885" spans="1:11" x14ac:dyDescent="0.35">
      <c r="A4885" s="9" t="str">
        <f>HYPERLINK("http://www.ensembl.org/id/WBGene00018242", "WBGene00018242")</f>
        <v>WBGene00018242</v>
      </c>
      <c r="B4885" s="9" t="str">
        <f>HYPERLINK("http://www.ncbi.nlm.nih.gov/gene/185555", "185555")</f>
        <v>185555</v>
      </c>
      <c r="C4885" s="9"/>
      <c r="D4885" t="str">
        <f>"F40G9.6"</f>
        <v>F40G9.6</v>
      </c>
      <c r="F4885" t="s">
        <v>11</v>
      </c>
      <c r="G4885" t="s">
        <v>25</v>
      </c>
      <c r="H4885" s="12">
        <v>1.8045331533425899</v>
      </c>
      <c r="I4885" s="20">
        <v>1.2809389553550901</v>
      </c>
      <c r="J4885" s="28">
        <v>0.20021510854822</v>
      </c>
      <c r="K4885" s="29">
        <v>0.94709298121152596</v>
      </c>
    </row>
    <row r="4886" spans="1:11" x14ac:dyDescent="0.35">
      <c r="A4886" s="9" t="str">
        <f>HYPERLINK("http://www.ensembl.org/id/WBGene00001953", "WBGene00001953")</f>
        <v>WBGene00001953</v>
      </c>
      <c r="B4886" s="9" t="str">
        <f>HYPERLINK("http://www.ncbi.nlm.nih.gov/gene/181069", "181069")</f>
        <v>181069</v>
      </c>
      <c r="C4886" s="9"/>
      <c r="D4886" t="str">
        <f>"hlh-8"</f>
        <v>hlh-8</v>
      </c>
      <c r="E4886" t="s">
        <v>3856</v>
      </c>
      <c r="F4886" t="s">
        <v>11</v>
      </c>
      <c r="G4886" t="s">
        <v>3857</v>
      </c>
      <c r="H4886" s="12">
        <v>1.3990773696579399</v>
      </c>
      <c r="I4886" s="20">
        <v>1.28083913290489</v>
      </c>
      <c r="J4886" s="28">
        <v>0.20025017564881001</v>
      </c>
      <c r="K4886" s="29">
        <v>0.94709298121152596</v>
      </c>
    </row>
    <row r="4887" spans="1:11" x14ac:dyDescent="0.35">
      <c r="A4887" s="9" t="str">
        <f>HYPERLINK("http://www.ensembl.org/id/WBGene00003854", "WBGene00003854")</f>
        <v>WBGene00003854</v>
      </c>
      <c r="B4887" s="9" t="str">
        <f>HYPERLINK("http://www.ncbi.nlm.nih.gov/gene/181403", "181403")</f>
        <v>181403</v>
      </c>
      <c r="C4887" s="9"/>
      <c r="D4887" t="str">
        <f>"odr-7"</f>
        <v>odr-7</v>
      </c>
      <c r="E4887" t="s">
        <v>3855</v>
      </c>
      <c r="F4887" t="s">
        <v>11</v>
      </c>
      <c r="G4887" t="s">
        <v>852</v>
      </c>
      <c r="H4887" s="12">
        <v>6.8965075210233504</v>
      </c>
      <c r="I4887" s="20">
        <v>1.28096871821279</v>
      </c>
      <c r="J4887" s="28">
        <v>0.200204653880906</v>
      </c>
      <c r="K4887" s="29">
        <v>0.94709298121152596</v>
      </c>
    </row>
    <row r="4888" spans="1:11" x14ac:dyDescent="0.35">
      <c r="A4888" s="9" t="str">
        <f>HYPERLINK("http://www.ensembl.org/id/WBGene00013136", "WBGene00013136")</f>
        <v>WBGene00013136</v>
      </c>
      <c r="B4888" s="9" t="str">
        <f>HYPERLINK("http://www.ncbi.nlm.nih.gov/gene/173080", "173080")</f>
        <v>173080</v>
      </c>
      <c r="C4888" s="9"/>
      <c r="D4888" t="str">
        <f>"Y53C10A.5"</f>
        <v>Y53C10A.5</v>
      </c>
      <c r="F4888" t="s">
        <v>11</v>
      </c>
      <c r="G4888" t="s">
        <v>3858</v>
      </c>
      <c r="H4888" s="12">
        <v>1.31103051302933</v>
      </c>
      <c r="I4888" s="20">
        <v>1.2807756004805599</v>
      </c>
      <c r="J4888" s="28">
        <v>0.20027249658960899</v>
      </c>
      <c r="K4888" s="29">
        <v>0.94709298121152596</v>
      </c>
    </row>
    <row r="4889" spans="1:11" x14ac:dyDescent="0.35">
      <c r="A4889" s="9" t="str">
        <f>HYPERLINK("http://www.ensembl.org/id/WBGene00044702", "WBGene00044702")</f>
        <v>WBGene00044702</v>
      </c>
      <c r="B4889" s="9"/>
      <c r="C4889" s="9"/>
      <c r="D4889" t="str">
        <f>"F46C3.4"</f>
        <v>F46C3.4</v>
      </c>
      <c r="F4889" t="s">
        <v>80</v>
      </c>
      <c r="H4889" s="12">
        <v>-2.67999813644898</v>
      </c>
      <c r="I4889" s="20">
        <v>-1.2805154200437201</v>
      </c>
      <c r="J4889" s="28">
        <v>0.20036392511884701</v>
      </c>
      <c r="K4889" s="29">
        <v>0.94713705845752905</v>
      </c>
    </row>
    <row r="4890" spans="1:11" x14ac:dyDescent="0.35">
      <c r="A4890" s="9" t="str">
        <f>HYPERLINK("http://www.ensembl.org/id/WBGene00019678", "WBGene00019678")</f>
        <v>WBGene00019678</v>
      </c>
      <c r="B4890" s="9" t="str">
        <f>HYPERLINK("http://www.ncbi.nlm.nih.gov/gene/176134", "176134")</f>
        <v>176134</v>
      </c>
      <c r="C4890" s="9"/>
      <c r="D4890" t="str">
        <f>"K12H4.3"</f>
        <v>K12H4.3</v>
      </c>
      <c r="E4890" t="s">
        <v>3860</v>
      </c>
      <c r="F4890" t="s">
        <v>11</v>
      </c>
      <c r="G4890" t="s">
        <v>3861</v>
      </c>
      <c r="H4890" s="12">
        <v>-1.30454988913617</v>
      </c>
      <c r="I4890" s="20">
        <v>-1.28047922007801</v>
      </c>
      <c r="J4890" s="28">
        <v>0.20037664835736099</v>
      </c>
      <c r="K4890" s="29">
        <v>0.94713705845752905</v>
      </c>
    </row>
    <row r="4891" spans="1:11" x14ac:dyDescent="0.35">
      <c r="A4891" s="9" t="str">
        <f>HYPERLINK("http://www.ensembl.org/id/WBGene00044187", "WBGene00044187")</f>
        <v>WBGene00044187</v>
      </c>
      <c r="B4891" s="9" t="str">
        <f>HYPERLINK("http://www.ncbi.nlm.nih.gov/gene/3564837", "3564837")</f>
        <v>3564837</v>
      </c>
      <c r="C4891" s="9" t="str">
        <f>HYPERLINK("http://www.ncbi.nlm.nih.gov/gene/164395", "164395")</f>
        <v>164395</v>
      </c>
      <c r="D4891" t="str">
        <f>"ttll-9"</f>
        <v>ttll-9</v>
      </c>
      <c r="E4891" t="s">
        <v>3106</v>
      </c>
      <c r="F4891" t="s">
        <v>11</v>
      </c>
      <c r="G4891" t="s">
        <v>3859</v>
      </c>
      <c r="H4891" s="12">
        <v>4.6916043157610199</v>
      </c>
      <c r="I4891" s="20">
        <v>1.28039915773147</v>
      </c>
      <c r="J4891" s="28">
        <v>0.20040479004582601</v>
      </c>
      <c r="K4891" s="29">
        <v>0.94713705845752905</v>
      </c>
    </row>
    <row r="4892" spans="1:11" x14ac:dyDescent="0.35">
      <c r="A4892" s="9" t="str">
        <f>HYPERLINK("http://www.ensembl.org/id/WBGene00049200", "WBGene00049200")</f>
        <v>WBGene00049200</v>
      </c>
      <c r="B4892" s="9"/>
      <c r="C4892" s="9"/>
      <c r="D4892" t="str">
        <f>"21ur-2521"</f>
        <v>21ur-2521</v>
      </c>
      <c r="F4892" t="s">
        <v>3161</v>
      </c>
      <c r="H4892" s="12">
        <v>-24.519446335015701</v>
      </c>
      <c r="I4892" s="20">
        <v>-1.2800362012759501</v>
      </c>
      <c r="J4892" s="28">
        <v>0.20053240440116399</v>
      </c>
      <c r="K4892" s="29">
        <v>0.94754636729924302</v>
      </c>
    </row>
    <row r="4893" spans="1:11" x14ac:dyDescent="0.35">
      <c r="A4893" s="9" t="str">
        <f>HYPERLINK("http://www.ensembl.org/id/WBGene00012290", "WBGene00012290")</f>
        <v>WBGene00012290</v>
      </c>
      <c r="B4893" s="9" t="str">
        <f>HYPERLINK("http://www.ncbi.nlm.nih.gov/gene/189230", "189230")</f>
        <v>189230</v>
      </c>
      <c r="C4893" s="9"/>
      <c r="D4893" t="str">
        <f>"W05H12.2"</f>
        <v>W05H12.2</v>
      </c>
      <c r="F4893" t="s">
        <v>11</v>
      </c>
      <c r="G4893" t="s">
        <v>1502</v>
      </c>
      <c r="H4893" s="12">
        <v>1.4539285482398201</v>
      </c>
      <c r="I4893" s="20">
        <v>1.2797385576290301</v>
      </c>
      <c r="J4893" s="28">
        <v>0.200637099232781</v>
      </c>
      <c r="K4893" s="29">
        <v>0.94784723264621396</v>
      </c>
    </row>
    <row r="4894" spans="1:11" x14ac:dyDescent="0.35">
      <c r="A4894" s="9" t="str">
        <f>HYPERLINK("http://www.ensembl.org/id/WBGene00019766", "WBGene00019766")</f>
        <v>WBGene00019766</v>
      </c>
      <c r="B4894" s="9" t="str">
        <f>HYPERLINK("http://www.ncbi.nlm.nih.gov/gene/187433", "187433")</f>
        <v>187433</v>
      </c>
      <c r="C4894" s="9"/>
      <c r="D4894" t="str">
        <f>"M4.1"</f>
        <v>M4.1</v>
      </c>
      <c r="F4894" t="s">
        <v>11</v>
      </c>
      <c r="G4894" t="s">
        <v>54</v>
      </c>
      <c r="H4894" s="12">
        <v>-1.26987622447857</v>
      </c>
      <c r="I4894" s="20">
        <v>-1.27950020856275</v>
      </c>
      <c r="J4894" s="28">
        <v>0.20072096621764601</v>
      </c>
      <c r="K4894" s="29">
        <v>0.94804960045481201</v>
      </c>
    </row>
    <row r="4895" spans="1:11" x14ac:dyDescent="0.35">
      <c r="A4895" s="9" t="str">
        <f>HYPERLINK("http://www.ensembl.org/id/WBGene00012184", "WBGene00012184")</f>
        <v>WBGene00012184</v>
      </c>
      <c r="B4895" s="9" t="str">
        <f>HYPERLINK("http://www.ncbi.nlm.nih.gov/gene/180350", "180350")</f>
        <v>180350</v>
      </c>
      <c r="C4895" s="9" t="str">
        <f>HYPERLINK("http://www.ncbi.nlm.nih.gov/gene/167555", "167555")</f>
        <v>167555</v>
      </c>
      <c r="D4895" t="str">
        <f>"mnr-1"</f>
        <v>mnr-1</v>
      </c>
      <c r="E4895" t="s">
        <v>3862</v>
      </c>
      <c r="F4895" t="s">
        <v>11</v>
      </c>
      <c r="G4895" t="s">
        <v>3863</v>
      </c>
      <c r="H4895" s="12">
        <v>1.3550693967521401</v>
      </c>
      <c r="I4895" s="20">
        <v>1.2789046890667199</v>
      </c>
      <c r="J4895" s="28">
        <v>0.20093062121949601</v>
      </c>
      <c r="K4895" s="29">
        <v>0.94845820917214796</v>
      </c>
    </row>
    <row r="4896" spans="1:11" x14ac:dyDescent="0.35">
      <c r="A4896" s="9" t="str">
        <f>HYPERLINK("http://www.ensembl.org/id/WBGene00020107", "WBGene00020107")</f>
        <v>WBGene00020107</v>
      </c>
      <c r="B4896" s="9" t="str">
        <f>HYPERLINK("http://www.ncbi.nlm.nih.gov/gene/176016", "176016")</f>
        <v>176016</v>
      </c>
      <c r="C4896" s="9" t="str">
        <f>HYPERLINK("http://www.ncbi.nlm.nih.gov/gene/5634", "5634")</f>
        <v>5634</v>
      </c>
      <c r="D4896" t="str">
        <f>"R151.2"</f>
        <v>R151.2</v>
      </c>
      <c r="F4896" t="s">
        <v>11</v>
      </c>
      <c r="G4896" t="s">
        <v>3864</v>
      </c>
      <c r="H4896" s="12">
        <v>-1.2738022567582601</v>
      </c>
      <c r="I4896" s="20">
        <v>-1.2789764263455301</v>
      </c>
      <c r="J4896" s="28">
        <v>0.200905357364635</v>
      </c>
      <c r="K4896" s="29">
        <v>0.94845820917214796</v>
      </c>
    </row>
    <row r="4897" spans="1:11" x14ac:dyDescent="0.35">
      <c r="A4897" s="9" t="str">
        <f>HYPERLINK("http://www.ensembl.org/id/WBGene00018002", "WBGene00018002")</f>
        <v>WBGene00018002</v>
      </c>
      <c r="B4897" s="9" t="str">
        <f>HYPERLINK("http://www.ncbi.nlm.nih.gov/gene/185227", "185227")</f>
        <v>185227</v>
      </c>
      <c r="C4897" s="9"/>
      <c r="D4897" t="str">
        <f>"twk-47"</f>
        <v>twk-47</v>
      </c>
      <c r="E4897" t="s">
        <v>894</v>
      </c>
      <c r="F4897" t="s">
        <v>11</v>
      </c>
      <c r="G4897" t="s">
        <v>3703</v>
      </c>
      <c r="H4897" s="12">
        <v>1.5572618006966901</v>
      </c>
      <c r="I4897" s="20">
        <v>1.27904801795464</v>
      </c>
      <c r="J4897" s="28">
        <v>0.20088014712135899</v>
      </c>
      <c r="K4897" s="29">
        <v>0.94845820917214796</v>
      </c>
    </row>
    <row r="4898" spans="1:11" x14ac:dyDescent="0.35">
      <c r="A4898" s="9" t="str">
        <f>HYPERLINK("http://www.ensembl.org/id/WBGene00008213", "WBGene00008213")</f>
        <v>WBGene00008213</v>
      </c>
      <c r="B4898" s="9" t="str">
        <f>HYPERLINK("http://www.ncbi.nlm.nih.gov/gene/183617", "183617")</f>
        <v>183617</v>
      </c>
      <c r="C4898" s="9"/>
      <c r="D4898" t="str">
        <f>"C49F8.1"</f>
        <v>C49F8.1</v>
      </c>
      <c r="F4898" t="s">
        <v>11</v>
      </c>
      <c r="H4898" s="12">
        <v>-1.3534964879364699</v>
      </c>
      <c r="I4898" s="20">
        <v>-1.27809822940764</v>
      </c>
      <c r="J4898" s="28">
        <v>0.20121479318023699</v>
      </c>
      <c r="K4898" s="29">
        <v>0.94884939637341104</v>
      </c>
    </row>
    <row r="4899" spans="1:11" x14ac:dyDescent="0.35">
      <c r="A4899" s="9" t="str">
        <f>HYPERLINK("http://www.ensembl.org/id/WBGene00000399", "WBGene00000399")</f>
        <v>WBGene00000399</v>
      </c>
      <c r="B4899" s="9" t="str">
        <f>HYPERLINK("http://www.ncbi.nlm.nih.gov/gene/175143", "175143")</f>
        <v>175143</v>
      </c>
      <c r="C4899" s="9"/>
      <c r="D4899" t="str">
        <f>"cdh-7"</f>
        <v>cdh-7</v>
      </c>
      <c r="E4899" t="s">
        <v>527</v>
      </c>
      <c r="F4899" t="s">
        <v>11</v>
      </c>
      <c r="G4899" t="s">
        <v>528</v>
      </c>
      <c r="H4899" s="12">
        <v>3.9274179452631399</v>
      </c>
      <c r="I4899" s="20">
        <v>1.2782304437721399</v>
      </c>
      <c r="J4899" s="28">
        <v>0.201168184761193</v>
      </c>
      <c r="K4899" s="29">
        <v>0.94884939637341104</v>
      </c>
    </row>
    <row r="4900" spans="1:11" x14ac:dyDescent="0.35">
      <c r="A4900" s="9" t="str">
        <f>HYPERLINK("http://www.ensembl.org/id/WBGene00003955", "WBGene00003955")</f>
        <v>WBGene00003955</v>
      </c>
      <c r="B4900" s="9" t="str">
        <f>HYPERLINK("http://www.ncbi.nlm.nih.gov/gene/177161", "177161")</f>
        <v>177161</v>
      </c>
      <c r="C4900" s="9" t="str">
        <f>HYPERLINK("http://www.ncbi.nlm.nih.gov/gene/5111", "5111")</f>
        <v>5111</v>
      </c>
      <c r="D4900" t="str">
        <f>"pcn-1"</f>
        <v>pcn-1</v>
      </c>
      <c r="E4900" t="s">
        <v>3868</v>
      </c>
      <c r="F4900" t="s">
        <v>11</v>
      </c>
      <c r="G4900" t="s">
        <v>3869</v>
      </c>
      <c r="H4900" s="12">
        <v>-1.34270191568467</v>
      </c>
      <c r="I4900" s="20">
        <v>-1.2780868091116699</v>
      </c>
      <c r="J4900" s="28">
        <v>0.20121881945077999</v>
      </c>
      <c r="K4900" s="29">
        <v>0.94884939637341104</v>
      </c>
    </row>
    <row r="4901" spans="1:11" x14ac:dyDescent="0.35">
      <c r="A4901" s="9" t="str">
        <f>HYPERLINK("http://www.ensembl.org/id/WBGene00006814", "WBGene00006814")</f>
        <v>WBGene00006814</v>
      </c>
      <c r="B4901" s="9" t="str">
        <f>HYPERLINK("http://www.ncbi.nlm.nih.gov/gene/177514", "177514")</f>
        <v>177514</v>
      </c>
      <c r="C4901" s="9"/>
      <c r="D4901" t="str">
        <f>"unc-82"</f>
        <v>unc-82</v>
      </c>
      <c r="F4901" t="s">
        <v>11</v>
      </c>
      <c r="G4901" t="s">
        <v>3865</v>
      </c>
      <c r="H4901" s="12">
        <v>1.2980864083874299</v>
      </c>
      <c r="I4901" s="20">
        <v>1.27812366910385</v>
      </c>
      <c r="J4901" s="28">
        <v>0.20120582452591401</v>
      </c>
      <c r="K4901" s="29">
        <v>0.94884939637341104</v>
      </c>
    </row>
    <row r="4902" spans="1:11" x14ac:dyDescent="0.35">
      <c r="A4902" s="9" t="str">
        <f>HYPERLINK("http://www.ensembl.org/id/WBGene00012463", "WBGene00012463")</f>
        <v>WBGene00012463</v>
      </c>
      <c r="B4902" s="9" t="str">
        <f>HYPERLINK("http://www.ncbi.nlm.nih.gov/gene/174846", "174846")</f>
        <v>174846</v>
      </c>
      <c r="C4902" s="9" t="str">
        <f>HYPERLINK("http://www.ncbi.nlm.nih.gov/gene/133686", "133686")</f>
        <v>133686</v>
      </c>
      <c r="D4902" t="str">
        <f>"Y17G7B.10"</f>
        <v>Y17G7B.10</v>
      </c>
      <c r="E4902" t="s">
        <v>3866</v>
      </c>
      <c r="F4902" t="s">
        <v>11</v>
      </c>
      <c r="G4902" t="s">
        <v>3867</v>
      </c>
      <c r="H4902" s="12">
        <v>-1.26735823201151</v>
      </c>
      <c r="I4902" s="20">
        <v>-1.27853475415542</v>
      </c>
      <c r="J4902" s="28">
        <v>0.20106093870411301</v>
      </c>
      <c r="K4902" s="29">
        <v>0.94884939637341104</v>
      </c>
    </row>
    <row r="4903" spans="1:11" x14ac:dyDescent="0.35">
      <c r="A4903" s="9" t="str">
        <f>HYPERLINK("http://www.ensembl.org/id/WBGene00017742", "WBGene00017742")</f>
        <v>WBGene00017742</v>
      </c>
      <c r="B4903" s="9" t="str">
        <f>HYPERLINK("http://www.ncbi.nlm.nih.gov/gene/173385", "173385")</f>
        <v>173385</v>
      </c>
      <c r="C4903" s="9"/>
      <c r="D4903" t="str">
        <f>"nfyc-1"</f>
        <v>nfyc-1</v>
      </c>
      <c r="E4903" t="s">
        <v>3870</v>
      </c>
      <c r="F4903" t="s">
        <v>11</v>
      </c>
      <c r="G4903" t="s">
        <v>3871</v>
      </c>
      <c r="H4903" s="12">
        <v>-1.34754713851379</v>
      </c>
      <c r="I4903" s="20">
        <v>-1.2778741126437301</v>
      </c>
      <c r="J4903" s="28">
        <v>0.201293817172471</v>
      </c>
      <c r="K4903" s="29">
        <v>0.94900937351298098</v>
      </c>
    </row>
    <row r="4904" spans="1:11" x14ac:dyDescent="0.35">
      <c r="A4904" s="9" t="str">
        <f>HYPERLINK("http://www.ensembl.org/id/WBGene00016055", "WBGene00016055")</f>
        <v>WBGene00016055</v>
      </c>
      <c r="B4904" s="9" t="str">
        <f>HYPERLINK("http://www.ncbi.nlm.nih.gov/gene/177288", "177288")</f>
        <v>177288</v>
      </c>
      <c r="C4904" s="9"/>
      <c r="D4904" t="str">
        <f>"C24D10.4"</f>
        <v>C24D10.4</v>
      </c>
      <c r="F4904" t="s">
        <v>11</v>
      </c>
      <c r="G4904" t="s">
        <v>25</v>
      </c>
      <c r="H4904" s="12">
        <v>-1.31505467368379</v>
      </c>
      <c r="I4904" s="20">
        <v>-1.2770016517835101</v>
      </c>
      <c r="J4904" s="28">
        <v>0.20160166410577501</v>
      </c>
      <c r="K4904" s="29">
        <v>0.94929856344569896</v>
      </c>
    </row>
    <row r="4905" spans="1:11" x14ac:dyDescent="0.35">
      <c r="A4905" s="9" t="str">
        <f>HYPERLINK("http://www.ensembl.org/id/WBGene00001334", "WBGene00001334")</f>
        <v>WBGene00001334</v>
      </c>
      <c r="B4905" s="9" t="str">
        <f>HYPERLINK("http://www.ncbi.nlm.nih.gov/gene/173325", "173325")</f>
        <v>173325</v>
      </c>
      <c r="C4905" s="9" t="str">
        <f>HYPERLINK("http://www.ncbi.nlm.nih.gov/gene/56605", "56605")</f>
        <v>56605</v>
      </c>
      <c r="D4905" t="str">
        <f>"ero-1"</f>
        <v>ero-1</v>
      </c>
      <c r="E4905" t="s">
        <v>3874</v>
      </c>
      <c r="F4905" t="s">
        <v>11</v>
      </c>
      <c r="G4905" t="s">
        <v>3875</v>
      </c>
      <c r="H4905" s="12">
        <v>-1.28493551377566</v>
      </c>
      <c r="I4905" s="20">
        <v>-1.27744528314979</v>
      </c>
      <c r="J4905" s="28">
        <v>0.20144508635118499</v>
      </c>
      <c r="K4905" s="29">
        <v>0.94929856344569896</v>
      </c>
    </row>
    <row r="4906" spans="1:11" x14ac:dyDescent="0.35">
      <c r="A4906" s="9" t="str">
        <f>HYPERLINK("http://www.ensembl.org/id/WBGene00009366", "WBGene00009366")</f>
        <v>WBGene00009366</v>
      </c>
      <c r="B4906" s="9" t="str">
        <f>HYPERLINK("http://www.ncbi.nlm.nih.gov/gene/173371", "173371")</f>
        <v>173371</v>
      </c>
      <c r="C4906" s="9" t="str">
        <f>HYPERLINK("http://www.ncbi.nlm.nih.gov/gene/157769", "157769")</f>
        <v>157769</v>
      </c>
      <c r="D4906" t="str">
        <f>"F33H2.2"</f>
        <v>F33H2.2</v>
      </c>
      <c r="F4906" t="s">
        <v>11</v>
      </c>
      <c r="H4906" s="12">
        <v>-1.2865701923169399</v>
      </c>
      <c r="I4906" s="20">
        <v>-1.2771440786378301</v>
      </c>
      <c r="J4906" s="28">
        <v>0.20155138549964199</v>
      </c>
      <c r="K4906" s="29">
        <v>0.94929856344569896</v>
      </c>
    </row>
    <row r="4907" spans="1:11" x14ac:dyDescent="0.35">
      <c r="A4907" s="9" t="str">
        <f>HYPERLINK("http://www.ensembl.org/id/WBGene00010121", "WBGene00010121")</f>
        <v>WBGene00010121</v>
      </c>
      <c r="B4907" s="9" t="str">
        <f>HYPERLINK("http://www.ncbi.nlm.nih.gov/gene/186333", "186333")</f>
        <v>186333</v>
      </c>
      <c r="C4907" s="9"/>
      <c r="D4907" t="str">
        <f>"F55G7.3"</f>
        <v>F55G7.3</v>
      </c>
      <c r="F4907" t="s">
        <v>11</v>
      </c>
      <c r="H4907" s="12">
        <v>2.6032123508135498</v>
      </c>
      <c r="I4907" s="20">
        <v>1.2770566091650899</v>
      </c>
      <c r="J4907" s="28">
        <v>0.201582262323109</v>
      </c>
      <c r="K4907" s="29">
        <v>0.94929856344569896</v>
      </c>
    </row>
    <row r="4908" spans="1:11" x14ac:dyDescent="0.35">
      <c r="A4908" s="9" t="str">
        <f>HYPERLINK("http://www.ensembl.org/id/WBGene00020185", "WBGene00020185")</f>
        <v>WBGene00020185</v>
      </c>
      <c r="B4908" s="9" t="str">
        <f>HYPERLINK("http://www.ncbi.nlm.nih.gov/gene/171965", "171965")</f>
        <v>171965</v>
      </c>
      <c r="C4908" s="9" t="str">
        <f>HYPERLINK("http://www.ncbi.nlm.nih.gov/gene/5230", "5230")</f>
        <v>5230</v>
      </c>
      <c r="D4908" t="str">
        <f>"pgk-1"</f>
        <v>pgk-1</v>
      </c>
      <c r="E4908" t="s">
        <v>3872</v>
      </c>
      <c r="F4908" t="s">
        <v>11</v>
      </c>
      <c r="G4908" t="s">
        <v>3873</v>
      </c>
      <c r="H4908" s="12">
        <v>-1.28223681393085</v>
      </c>
      <c r="I4908" s="20">
        <v>-1.27738112494058</v>
      </c>
      <c r="J4908" s="28">
        <v>0.201467725223717</v>
      </c>
      <c r="K4908" s="29">
        <v>0.94929856344569896</v>
      </c>
    </row>
    <row r="4909" spans="1:11" x14ac:dyDescent="0.35">
      <c r="A4909" s="9" t="str">
        <f>HYPERLINK("http://www.ensembl.org/id/WBGene00020349", "WBGene00020349")</f>
        <v>WBGene00020349</v>
      </c>
      <c r="B4909" s="9" t="str">
        <f>HYPERLINK("http://www.ncbi.nlm.nih.gov/gene/172314", "172314")</f>
        <v>172314</v>
      </c>
      <c r="C4909" s="9"/>
      <c r="D4909" t="str">
        <f>"T08B2.11"</f>
        <v>T08B2.11</v>
      </c>
      <c r="F4909" t="s">
        <v>11</v>
      </c>
      <c r="H4909" s="12">
        <v>-1.6731564645824899</v>
      </c>
      <c r="I4909" s="20">
        <v>-1.27727255518687</v>
      </c>
      <c r="J4909" s="28">
        <v>0.20150603938511899</v>
      </c>
      <c r="K4909" s="29">
        <v>0.94929856344569896</v>
      </c>
    </row>
    <row r="4910" spans="1:11" x14ac:dyDescent="0.35">
      <c r="A4910" s="9" t="str">
        <f>HYPERLINK("http://www.ensembl.org/id/WBGene00012121", "WBGene00012121")</f>
        <v>WBGene00012121</v>
      </c>
      <c r="B4910" s="9" t="str">
        <f>HYPERLINK("http://www.ncbi.nlm.nih.gov/gene/177697", "177697")</f>
        <v>177697</v>
      </c>
      <c r="C4910" s="9"/>
      <c r="D4910" t="str">
        <f>"T28C6.7"</f>
        <v>T28C6.7</v>
      </c>
      <c r="F4910" t="s">
        <v>11</v>
      </c>
      <c r="G4910" t="s">
        <v>3876</v>
      </c>
      <c r="H4910" s="12">
        <v>1.2815209129576399</v>
      </c>
      <c r="I4910" s="20">
        <v>1.27672172824821</v>
      </c>
      <c r="J4910" s="28">
        <v>0.20170050755122501</v>
      </c>
      <c r="K4910" s="29">
        <v>0.949570482371352</v>
      </c>
    </row>
    <row r="4911" spans="1:11" x14ac:dyDescent="0.35">
      <c r="A4911" s="9" t="str">
        <f>HYPERLINK("http://www.ensembl.org/id/WBGene00001501", "WBGene00001501")</f>
        <v>WBGene00001501</v>
      </c>
      <c r="B4911" s="9" t="str">
        <f>HYPERLINK("http://www.ncbi.nlm.nih.gov/gene/171934", "171934")</f>
        <v>171934</v>
      </c>
      <c r="C4911" s="9"/>
      <c r="D4911" t="str">
        <f>"ftn-2"</f>
        <v>ftn-2</v>
      </c>
      <c r="E4911" t="s">
        <v>399</v>
      </c>
      <c r="F4911" t="s">
        <v>11</v>
      </c>
      <c r="G4911" t="s">
        <v>3877</v>
      </c>
      <c r="H4911" s="12">
        <v>-1.2683106747269299</v>
      </c>
      <c r="I4911" s="20">
        <v>-1.2765893370940899</v>
      </c>
      <c r="J4911" s="28">
        <v>0.20174726833054199</v>
      </c>
      <c r="K4911" s="29">
        <v>0.94959714443786902</v>
      </c>
    </row>
    <row r="4912" spans="1:11" x14ac:dyDescent="0.35">
      <c r="A4912" s="9" t="str">
        <f>HYPERLINK("http://www.ensembl.org/id/WBGene00007102", "WBGene00007102")</f>
        <v>WBGene00007102</v>
      </c>
      <c r="B4912" s="9" t="str">
        <f>HYPERLINK("http://www.ncbi.nlm.nih.gov/gene/179438", "179438")</f>
        <v>179438</v>
      </c>
      <c r="C4912" s="9" t="str">
        <f>HYPERLINK("http://www.ncbi.nlm.nih.gov/gene/79644", "79644")</f>
        <v>79644</v>
      </c>
      <c r="D4912" t="str">
        <f>"B0024.13"</f>
        <v>B0024.13</v>
      </c>
      <c r="E4912" t="s">
        <v>3878</v>
      </c>
      <c r="F4912" t="s">
        <v>11</v>
      </c>
      <c r="G4912" t="s">
        <v>3879</v>
      </c>
      <c r="H4912" s="12">
        <v>-1.3332520994400501</v>
      </c>
      <c r="I4912" s="20">
        <v>-1.27640172383369</v>
      </c>
      <c r="J4912" s="28">
        <v>0.20181354718752401</v>
      </c>
      <c r="K4912" s="29">
        <v>0.94971564588898605</v>
      </c>
    </row>
    <row r="4913" spans="1:11" x14ac:dyDescent="0.35">
      <c r="A4913" s="9" t="str">
        <f>HYPERLINK("http://www.ensembl.org/id/WBGene00017914", "WBGene00017914")</f>
        <v>WBGene00017914</v>
      </c>
      <c r="B4913" s="9" t="str">
        <f>HYPERLINK("http://www.ncbi.nlm.nih.gov/gene/185104", "185104")</f>
        <v>185104</v>
      </c>
      <c r="C4913" s="9"/>
      <c r="D4913" t="str">
        <f>"F29A7.4"</f>
        <v>F29A7.4</v>
      </c>
      <c r="F4913" t="s">
        <v>11</v>
      </c>
      <c r="G4913" t="s">
        <v>3880</v>
      </c>
      <c r="H4913" s="12">
        <v>1.65944111352061</v>
      </c>
      <c r="I4913" s="20">
        <v>1.2759737437843599</v>
      </c>
      <c r="J4913" s="28">
        <v>0.201964800752537</v>
      </c>
      <c r="K4913" s="29">
        <v>0.94984707636640198</v>
      </c>
    </row>
    <row r="4914" spans="1:11" x14ac:dyDescent="0.35">
      <c r="A4914" s="9" t="str">
        <f>HYPERLINK("http://www.ensembl.org/id/WBGene00018003", "WBGene00018003")</f>
        <v>WBGene00018003</v>
      </c>
      <c r="B4914" s="9" t="str">
        <f>HYPERLINK("http://www.ncbi.nlm.nih.gov/gene/185228", "185228")</f>
        <v>185228</v>
      </c>
      <c r="C4914" s="9"/>
      <c r="D4914" t="str">
        <f>"F33D11.6"</f>
        <v>F33D11.6</v>
      </c>
      <c r="F4914" t="s">
        <v>11</v>
      </c>
      <c r="H4914" s="12">
        <v>2.23733570181445</v>
      </c>
      <c r="I4914" s="20">
        <v>1.27603965746575</v>
      </c>
      <c r="J4914" s="28">
        <v>0.20194150064150801</v>
      </c>
      <c r="K4914" s="29">
        <v>0.94984707636640198</v>
      </c>
    </row>
    <row r="4915" spans="1:11" x14ac:dyDescent="0.35">
      <c r="A4915" s="9" t="str">
        <f>HYPERLINK("http://www.ensembl.org/id/WBGene00012299", "WBGene00012299")</f>
        <v>WBGene00012299</v>
      </c>
      <c r="B4915" s="9" t="str">
        <f>HYPERLINK("http://www.ncbi.nlm.nih.gov/gene/189242", "189242")</f>
        <v>189242</v>
      </c>
      <c r="C4915" s="9"/>
      <c r="D4915" t="str">
        <f>"W06D11.1"</f>
        <v>W06D11.1</v>
      </c>
      <c r="F4915" t="s">
        <v>11</v>
      </c>
      <c r="H4915" s="12">
        <v>-1.4107738306087101</v>
      </c>
      <c r="I4915" s="20">
        <v>-1.27620056592722</v>
      </c>
      <c r="J4915" s="28">
        <v>0.20188462864772599</v>
      </c>
      <c r="K4915" s="29">
        <v>0.94984707636640198</v>
      </c>
    </row>
    <row r="4916" spans="1:11" x14ac:dyDescent="0.35">
      <c r="A4916" s="9" t="str">
        <f>HYPERLINK("http://www.ensembl.org/id/WBGene00012465", "WBGene00012465")</f>
        <v>WBGene00012465</v>
      </c>
      <c r="B4916" s="9" t="str">
        <f>HYPERLINK("http://www.ncbi.nlm.nih.gov/gene/174842", "174842")</f>
        <v>174842</v>
      </c>
      <c r="C4916" s="9"/>
      <c r="D4916" t="str">
        <f>"Y17G7B.12"</f>
        <v>Y17G7B.12</v>
      </c>
      <c r="F4916" t="s">
        <v>11</v>
      </c>
      <c r="G4916" t="s">
        <v>3881</v>
      </c>
      <c r="H4916" s="12">
        <v>-1.36997412256244</v>
      </c>
      <c r="I4916" s="20">
        <v>-1.27584430660753</v>
      </c>
      <c r="J4916" s="28">
        <v>0.20201056176031601</v>
      </c>
      <c r="K4916" s="29">
        <v>0.94986895401584504</v>
      </c>
    </row>
    <row r="4917" spans="1:11" x14ac:dyDescent="0.35">
      <c r="A4917" s="9" t="str">
        <f>HYPERLINK("http://www.ensembl.org/id/WBGene00009632", "WBGene00009632")</f>
        <v>WBGene00009632</v>
      </c>
      <c r="B4917" s="9" t="str">
        <f>HYPERLINK("http://www.ncbi.nlm.nih.gov/gene/181328", "181328")</f>
        <v>181328</v>
      </c>
      <c r="C4917" s="9"/>
      <c r="D4917" t="str">
        <f>"ttyh-1"</f>
        <v>ttyh-1</v>
      </c>
      <c r="F4917" t="s">
        <v>11</v>
      </c>
      <c r="G4917" t="s">
        <v>3882</v>
      </c>
      <c r="H4917" s="12">
        <v>1.26801373255702</v>
      </c>
      <c r="I4917" s="20">
        <v>1.27560007598181</v>
      </c>
      <c r="J4917" s="28">
        <v>0.202096927240451</v>
      </c>
      <c r="K4917" s="29">
        <v>0.95008170922031698</v>
      </c>
    </row>
    <row r="4918" spans="1:11" x14ac:dyDescent="0.35">
      <c r="A4918" s="9" t="str">
        <f>HYPERLINK("http://www.ensembl.org/id/WBGene00007368", "WBGene00007368")</f>
        <v>WBGene00007368</v>
      </c>
      <c r="B4918" s="9" t="str">
        <f>HYPERLINK("http://www.ncbi.nlm.nih.gov/gene/180043", "180043")</f>
        <v>180043</v>
      </c>
      <c r="C4918" s="9"/>
      <c r="D4918" t="str">
        <f>"C06B8.2"</f>
        <v>C06B8.2</v>
      </c>
      <c r="F4918" t="s">
        <v>11</v>
      </c>
      <c r="H4918" s="12">
        <v>1.5031286831305199</v>
      </c>
      <c r="I4918" s="20">
        <v>1.2753553377212401</v>
      </c>
      <c r="J4918" s="28">
        <v>0.20218349922627099</v>
      </c>
      <c r="K4918" s="29">
        <v>0.95023126441460504</v>
      </c>
    </row>
    <row r="4919" spans="1:11" x14ac:dyDescent="0.35">
      <c r="A4919" s="9" t="str">
        <f>HYPERLINK("http://www.ensembl.org/id/WBGene00013623", "WBGene00013623")</f>
        <v>WBGene00013623</v>
      </c>
      <c r="B4919" s="9" t="str">
        <f>HYPERLINK("http://www.ncbi.nlm.nih.gov/gene/190842", "190842")</f>
        <v>190842</v>
      </c>
      <c r="C4919" s="9"/>
      <c r="D4919" t="str">
        <f>"fbxa-90"</f>
        <v>fbxa-90</v>
      </c>
      <c r="E4919" t="s">
        <v>467</v>
      </c>
      <c r="F4919" t="s">
        <v>11</v>
      </c>
      <c r="G4919" t="s">
        <v>54</v>
      </c>
      <c r="H4919" s="12">
        <v>-1.3944897222178201</v>
      </c>
      <c r="I4919" s="20">
        <v>-1.2752358983865</v>
      </c>
      <c r="J4919" s="28">
        <v>0.202225758666845</v>
      </c>
      <c r="K4919" s="29">
        <v>0.95023126441460504</v>
      </c>
    </row>
    <row r="4920" spans="1:11" x14ac:dyDescent="0.35">
      <c r="A4920" s="9" t="str">
        <f>HYPERLINK("http://www.ensembl.org/id/WBGene00003372", "WBGene00003372")</f>
        <v>WBGene00003372</v>
      </c>
      <c r="B4920" s="9" t="str">
        <f>HYPERLINK("http://www.ncbi.nlm.nih.gov/gene/175440", "175440")</f>
        <v>175440</v>
      </c>
      <c r="C4920" s="9" t="str">
        <f>HYPERLINK("http://www.ncbi.nlm.nih.gov/gene/103910", "103910")</f>
        <v>103910</v>
      </c>
      <c r="D4920" t="str">
        <f>"mlc-4"</f>
        <v>mlc-4</v>
      </c>
      <c r="E4920" t="s">
        <v>3883</v>
      </c>
      <c r="F4920" t="s">
        <v>11</v>
      </c>
      <c r="G4920" t="s">
        <v>325</v>
      </c>
      <c r="H4920" s="12">
        <v>-1.2599975454429999</v>
      </c>
      <c r="I4920" s="20">
        <v>-1.27508002759925</v>
      </c>
      <c r="J4920" s="28">
        <v>0.20228091778743301</v>
      </c>
      <c r="K4920" s="29">
        <v>0.95023126441460504</v>
      </c>
    </row>
    <row r="4921" spans="1:11" x14ac:dyDescent="0.35">
      <c r="A4921" s="9" t="str">
        <f>HYPERLINK("http://www.ensembl.org/id/WBGene00011427", "WBGene00011427")</f>
        <v>WBGene00011427</v>
      </c>
      <c r="B4921" s="9" t="str">
        <f>HYPERLINK("http://www.ncbi.nlm.nih.gov/gene/179531", "179531")</f>
        <v>179531</v>
      </c>
      <c r="C4921" s="9"/>
      <c r="D4921" t="str">
        <f>"T04C12.1"</f>
        <v>T04C12.1</v>
      </c>
      <c r="F4921" t="s">
        <v>11</v>
      </c>
      <c r="G4921" t="s">
        <v>25</v>
      </c>
      <c r="H4921" s="12">
        <v>2.3258382550330201</v>
      </c>
      <c r="I4921" s="20">
        <v>1.2748128562468899</v>
      </c>
      <c r="J4921" s="28">
        <v>0.20237548914499601</v>
      </c>
      <c r="K4921" s="29">
        <v>0.95023126441460504</v>
      </c>
    </row>
    <row r="4922" spans="1:11" x14ac:dyDescent="0.35">
      <c r="A4922" s="9" t="str">
        <f>HYPERLINK("http://www.ensembl.org/id/WBGene00011445", "WBGene00011445")</f>
        <v>WBGene00011445</v>
      </c>
      <c r="B4922" s="9" t="str">
        <f>HYPERLINK("http://www.ncbi.nlm.nih.gov/gene/188067", "188067")</f>
        <v>188067</v>
      </c>
      <c r="C4922" s="9"/>
      <c r="D4922" t="str">
        <f>"T04F8.7"</f>
        <v>T04F8.7</v>
      </c>
      <c r="F4922" t="s">
        <v>11</v>
      </c>
      <c r="G4922" t="s">
        <v>54</v>
      </c>
      <c r="H4922" s="12">
        <v>-1.32825097803671</v>
      </c>
      <c r="I4922" s="20">
        <v>-1.2749860130212201</v>
      </c>
      <c r="J4922" s="28">
        <v>0.202314192705494</v>
      </c>
      <c r="K4922" s="29">
        <v>0.95023126441460504</v>
      </c>
    </row>
    <row r="4923" spans="1:11" x14ac:dyDescent="0.35">
      <c r="A4923" s="9" t="str">
        <f>HYPERLINK("http://www.ensembl.org/id/WBGene00022628", "WBGene00022628")</f>
        <v>WBGene00022628</v>
      </c>
      <c r="B4923" s="9" t="str">
        <f>HYPERLINK("http://www.ncbi.nlm.nih.gov/gene/191195", "191195")</f>
        <v>191195</v>
      </c>
      <c r="C4923" s="9"/>
      <c r="D4923" t="str">
        <f>"ZC513.3"</f>
        <v>ZC513.3</v>
      </c>
      <c r="F4923" t="s">
        <v>11</v>
      </c>
      <c r="G4923" t="s">
        <v>25</v>
      </c>
      <c r="H4923" s="12">
        <v>3.4123154158129601</v>
      </c>
      <c r="I4923" s="20">
        <v>1.27481780540795</v>
      </c>
      <c r="J4923" s="28">
        <v>0.20237373698437999</v>
      </c>
      <c r="K4923" s="29">
        <v>0.95023126441460504</v>
      </c>
    </row>
    <row r="4924" spans="1:11" x14ac:dyDescent="0.35">
      <c r="A4924" s="9" t="str">
        <f>HYPERLINK("http://www.ensembl.org/id/WBGene00002090", "WBGene00002090")</f>
        <v>WBGene00002090</v>
      </c>
      <c r="B4924" s="9" t="str">
        <f>HYPERLINK("http://www.ncbi.nlm.nih.gov/gene/191688", "191688")</f>
        <v>191688</v>
      </c>
      <c r="C4924" s="9"/>
      <c r="D4924" t="str">
        <f>"ins-7"</f>
        <v>ins-7</v>
      </c>
      <c r="E4924" t="s">
        <v>3886</v>
      </c>
      <c r="F4924" t="s">
        <v>11</v>
      </c>
      <c r="G4924" t="s">
        <v>3887</v>
      </c>
      <c r="H4924" s="12">
        <v>-1.8295822540270601</v>
      </c>
      <c r="I4924" s="20">
        <v>-1.2742988369653601</v>
      </c>
      <c r="J4924" s="28">
        <v>0.20255752854162101</v>
      </c>
      <c r="K4924" s="29">
        <v>0.95065228202110197</v>
      </c>
    </row>
    <row r="4925" spans="1:11" x14ac:dyDescent="0.35">
      <c r="A4925" s="9" t="str">
        <f>HYPERLINK("http://www.ensembl.org/id/WBGene00008443", "WBGene00008443")</f>
        <v>WBGene00008443</v>
      </c>
      <c r="B4925" s="9" t="str">
        <f>HYPERLINK("http://www.ncbi.nlm.nih.gov/gene/183981", "183981")</f>
        <v>183981</v>
      </c>
      <c r="C4925" s="9"/>
      <c r="D4925" t="str">
        <f>"pde-3"</f>
        <v>pde-3</v>
      </c>
      <c r="E4925" t="s">
        <v>3884</v>
      </c>
      <c r="F4925" t="s">
        <v>11</v>
      </c>
      <c r="G4925" t="s">
        <v>3885</v>
      </c>
      <c r="H4925" s="12">
        <v>1.28320094271942</v>
      </c>
      <c r="I4925" s="20">
        <v>1.2742111783910299</v>
      </c>
      <c r="J4925" s="28">
        <v>0.20258858463913701</v>
      </c>
      <c r="K4925" s="29">
        <v>0.95065228202110197</v>
      </c>
    </row>
    <row r="4926" spans="1:11" x14ac:dyDescent="0.35">
      <c r="A4926" s="9" t="str">
        <f>HYPERLINK("http://www.ensembl.org/id/WBGene00004992", "WBGene00004992")</f>
        <v>WBGene00004992</v>
      </c>
      <c r="B4926" s="9" t="str">
        <f>HYPERLINK("http://www.ncbi.nlm.nih.gov/gene/177326", "177326")</f>
        <v>177326</v>
      </c>
      <c r="C4926" s="9"/>
      <c r="D4926" t="str">
        <f>"spp-7"</f>
        <v>spp-7</v>
      </c>
      <c r="E4926" t="s">
        <v>62</v>
      </c>
      <c r="F4926" t="s">
        <v>11</v>
      </c>
      <c r="G4926" t="s">
        <v>63</v>
      </c>
      <c r="H4926" s="12">
        <v>2.1077135046521698</v>
      </c>
      <c r="I4926" s="20">
        <v>1.2743944194629</v>
      </c>
      <c r="J4926" s="28">
        <v>0.202523669072214</v>
      </c>
      <c r="K4926" s="29">
        <v>0.95065228202110197</v>
      </c>
    </row>
    <row r="4927" spans="1:11" x14ac:dyDescent="0.35">
      <c r="A4927" s="9" t="str">
        <f>HYPERLINK("http://www.ensembl.org/id/WBGene00003164", "WBGene00003164")</f>
        <v>WBGene00003164</v>
      </c>
      <c r="B4927" s="9" t="str">
        <f>HYPERLINK("http://www.ncbi.nlm.nih.gov/gene/179091", "179091")</f>
        <v>179091</v>
      </c>
      <c r="C4927" s="9" t="str">
        <f>HYPERLINK("http://www.ncbi.nlm.nih.gov/gene/10001", "10001")</f>
        <v>10001</v>
      </c>
      <c r="D4927" t="str">
        <f>"mdt-6"</f>
        <v>mdt-6</v>
      </c>
      <c r="E4927" t="s">
        <v>3889</v>
      </c>
      <c r="F4927" t="s">
        <v>11</v>
      </c>
      <c r="G4927" t="s">
        <v>1666</v>
      </c>
      <c r="H4927" s="12">
        <v>-1.30880494947479</v>
      </c>
      <c r="I4927" s="20">
        <v>-1.27400554765764</v>
      </c>
      <c r="J4927" s="28">
        <v>0.20266145008929801</v>
      </c>
      <c r="K4927" s="29">
        <v>0.95065392633782697</v>
      </c>
    </row>
    <row r="4928" spans="1:11" x14ac:dyDescent="0.35">
      <c r="A4928" s="9" t="str">
        <f>HYPERLINK("http://www.ensembl.org/id/WBGene00012833", "WBGene00012833")</f>
        <v>WBGene00012833</v>
      </c>
      <c r="B4928" s="9" t="str">
        <f>HYPERLINK("http://www.ncbi.nlm.nih.gov/gene/189879", "189879")</f>
        <v>189879</v>
      </c>
      <c r="C4928" s="9"/>
      <c r="D4928" t="str">
        <f>"Y43F8C.11"</f>
        <v>Y43F8C.11</v>
      </c>
      <c r="F4928" t="s">
        <v>11</v>
      </c>
      <c r="G4928" t="s">
        <v>3888</v>
      </c>
      <c r="H4928" s="12">
        <v>1.5594948328102101</v>
      </c>
      <c r="I4928" s="20">
        <v>1.2739779765849899</v>
      </c>
      <c r="J4928" s="28">
        <v>0.202671221377137</v>
      </c>
      <c r="K4928" s="29">
        <v>0.95065392633782697</v>
      </c>
    </row>
    <row r="4929" spans="1:11" x14ac:dyDescent="0.35">
      <c r="A4929" s="9" t="str">
        <f>HYPERLINK("http://www.ensembl.org/id/WBGene00022904", "WBGene00022904")</f>
        <v>WBGene00022904</v>
      </c>
      <c r="B4929" s="9"/>
      <c r="C4929" s="9"/>
      <c r="D4929" t="str">
        <f>"C01B12.9"</f>
        <v>C01B12.9</v>
      </c>
      <c r="F4929" t="s">
        <v>481</v>
      </c>
      <c r="H4929" s="12">
        <v>1.7391527100701401</v>
      </c>
      <c r="I4929" s="20">
        <v>1.2727985238791699</v>
      </c>
      <c r="J4929" s="28">
        <v>0.20308954513234101</v>
      </c>
      <c r="K4929" s="29">
        <v>0.95143457248974095</v>
      </c>
    </row>
    <row r="4930" spans="1:11" x14ac:dyDescent="0.35">
      <c r="A4930" s="9" t="str">
        <f>HYPERLINK("http://www.ensembl.org/id/WBGene00007609", "WBGene00007609")</f>
        <v>WBGene00007609</v>
      </c>
      <c r="B4930" s="9" t="str">
        <f>HYPERLINK("http://www.ncbi.nlm.nih.gov/gene/179744", "179744")</f>
        <v>179744</v>
      </c>
      <c r="C4930" s="9"/>
      <c r="D4930" t="str">
        <f>"C15C8.7"</f>
        <v>C15C8.7</v>
      </c>
      <c r="E4930" t="s">
        <v>3895</v>
      </c>
      <c r="F4930" t="s">
        <v>11</v>
      </c>
      <c r="H4930" s="12">
        <v>-1.36492142268517</v>
      </c>
      <c r="I4930" s="20">
        <v>-1.2721317858519401</v>
      </c>
      <c r="J4930" s="28">
        <v>0.20332629923941301</v>
      </c>
      <c r="K4930" s="29">
        <v>0.95143457248974095</v>
      </c>
    </row>
    <row r="4931" spans="1:11" x14ac:dyDescent="0.35">
      <c r="A4931" s="9" t="str">
        <f>HYPERLINK("http://www.ensembl.org/id/WBGene00018338", "WBGene00018338")</f>
        <v>WBGene00018338</v>
      </c>
      <c r="B4931" s="9" t="str">
        <f>HYPERLINK("http://www.ncbi.nlm.nih.gov/gene/185657", "185657")</f>
        <v>185657</v>
      </c>
      <c r="C4931" s="9"/>
      <c r="D4931" t="str">
        <f>"F42A9.9"</f>
        <v>F42A9.9</v>
      </c>
      <c r="F4931" t="s">
        <v>11</v>
      </c>
      <c r="G4931" t="s">
        <v>25</v>
      </c>
      <c r="H4931" s="12">
        <v>1.75297019610018</v>
      </c>
      <c r="I4931" s="20">
        <v>1.27229363086902</v>
      </c>
      <c r="J4931" s="28">
        <v>0.20326881072071901</v>
      </c>
      <c r="K4931" s="29">
        <v>0.95143457248974095</v>
      </c>
    </row>
    <row r="4932" spans="1:11" x14ac:dyDescent="0.35">
      <c r="A4932" s="9" t="str">
        <f>HYPERLINK("http://www.ensembl.org/id/WBGene00009774", "WBGene00009774")</f>
        <v>WBGene00009774</v>
      </c>
      <c r="B4932" s="9" t="str">
        <f>HYPERLINK("http://www.ncbi.nlm.nih.gov/gene/179376", "179376")</f>
        <v>179376</v>
      </c>
      <c r="C4932" s="9"/>
      <c r="D4932" t="str">
        <f>"F46B6.9"</f>
        <v>F46B6.9</v>
      </c>
      <c r="F4932" t="s">
        <v>11</v>
      </c>
      <c r="G4932" t="s">
        <v>25</v>
      </c>
      <c r="H4932" s="12">
        <v>1.38321255895915</v>
      </c>
      <c r="I4932" s="20">
        <v>1.27302279169343</v>
      </c>
      <c r="J4932" s="28">
        <v>0.203009954307977</v>
      </c>
      <c r="K4932" s="29">
        <v>0.95143457248974095</v>
      </c>
    </row>
    <row r="4933" spans="1:11" x14ac:dyDescent="0.35">
      <c r="A4933" s="9" t="str">
        <f>HYPERLINK("http://www.ensembl.org/id/WBGene00001852", "WBGene00001852")</f>
        <v>WBGene00001852</v>
      </c>
      <c r="B4933" s="9" t="str">
        <f>HYPERLINK("http://www.ncbi.nlm.nih.gov/gene/179993", "179993")</f>
        <v>179993</v>
      </c>
      <c r="C4933" s="9"/>
      <c r="D4933" t="str">
        <f>"hil-1"</f>
        <v>hil-1</v>
      </c>
      <c r="E4933" t="s">
        <v>3894</v>
      </c>
      <c r="F4933" t="s">
        <v>11</v>
      </c>
      <c r="G4933" t="s">
        <v>701</v>
      </c>
      <c r="H4933" s="12">
        <v>-1.2721797998066</v>
      </c>
      <c r="I4933" s="20">
        <v>-1.2727514140118199</v>
      </c>
      <c r="J4933" s="28">
        <v>0.203106266929099</v>
      </c>
      <c r="K4933" s="29">
        <v>0.95143457248974095</v>
      </c>
    </row>
    <row r="4934" spans="1:11" x14ac:dyDescent="0.35">
      <c r="A4934" s="9" t="str">
        <f>HYPERLINK("http://www.ensembl.org/id/WBGene00001942", "WBGene00001942")</f>
        <v>WBGene00001942</v>
      </c>
      <c r="B4934" s="9" t="str">
        <f>HYPERLINK("http://www.ncbi.nlm.nih.gov/gene/172860", "172860")</f>
        <v>172860</v>
      </c>
      <c r="C4934" s="9" t="str">
        <f>HYPERLINK("http://www.ncbi.nlm.nih.gov/gene/8338", "8338")</f>
        <v>8338</v>
      </c>
      <c r="D4934" t="str">
        <f>"his-68"</f>
        <v>his-68</v>
      </c>
      <c r="E4934" t="s">
        <v>1912</v>
      </c>
      <c r="F4934" t="s">
        <v>11</v>
      </c>
      <c r="G4934" t="s">
        <v>232</v>
      </c>
      <c r="H4934" s="12">
        <v>-1.4824159797505101</v>
      </c>
      <c r="I4934" s="20">
        <v>-1.27211638094968</v>
      </c>
      <c r="J4934" s="28">
        <v>0.20333177178890099</v>
      </c>
      <c r="K4934" s="29">
        <v>0.95143457248974095</v>
      </c>
    </row>
    <row r="4935" spans="1:11" x14ac:dyDescent="0.35">
      <c r="A4935" s="9" t="str">
        <f>HYPERLINK("http://www.ensembl.org/id/WBGene00002203", "WBGene00002203")</f>
        <v>WBGene00002203</v>
      </c>
      <c r="B4935" s="9" t="str">
        <f>HYPERLINK("http://www.ncbi.nlm.nih.gov/gene/181620", "181620")</f>
        <v>181620</v>
      </c>
      <c r="C4935" s="9" t="str">
        <f>HYPERLINK("http://www.ncbi.nlm.nih.gov/gene/1453", "1453")</f>
        <v>1453</v>
      </c>
      <c r="D4935" t="str">
        <f>"kin-20"</f>
        <v>kin-20</v>
      </c>
      <c r="E4935" t="s">
        <v>3891</v>
      </c>
      <c r="F4935" t="s">
        <v>11</v>
      </c>
      <c r="G4935" t="s">
        <v>444</v>
      </c>
      <c r="H4935" s="12">
        <v>-1.2620881964966399</v>
      </c>
      <c r="I4935" s="20">
        <v>-1.2731950749010901</v>
      </c>
      <c r="J4935" s="28">
        <v>0.20294882782866</v>
      </c>
      <c r="K4935" s="29">
        <v>0.95143457248974095</v>
      </c>
    </row>
    <row r="4936" spans="1:11" x14ac:dyDescent="0.35">
      <c r="A4936" s="9" t="str">
        <f>HYPERLINK("http://www.ensembl.org/id/WBGene00010931", "WBGene00010931")</f>
        <v>WBGene00010931</v>
      </c>
      <c r="B4936" s="9" t="str">
        <f>HYPERLINK("http://www.ncbi.nlm.nih.gov/gene/180300", "180300")</f>
        <v>180300</v>
      </c>
      <c r="C4936" s="9"/>
      <c r="D4936" t="str">
        <f>"M162.5"</f>
        <v>M162.5</v>
      </c>
      <c r="F4936" t="s">
        <v>11</v>
      </c>
      <c r="G4936" t="s">
        <v>230</v>
      </c>
      <c r="H4936" s="12">
        <v>1.89193052523428</v>
      </c>
      <c r="I4936" s="20">
        <v>1.2724758549395701</v>
      </c>
      <c r="J4936" s="28">
        <v>0.20320409758098901</v>
      </c>
      <c r="K4936" s="29">
        <v>0.95143457248974095</v>
      </c>
    </row>
    <row r="4937" spans="1:11" x14ac:dyDescent="0.35">
      <c r="A4937" s="9" t="str">
        <f>HYPERLINK("http://www.ensembl.org/id/WBGene00005177", "WBGene00005177")</f>
        <v>WBGene00005177</v>
      </c>
      <c r="B4937" s="9" t="str">
        <f>HYPERLINK("http://www.ncbi.nlm.nih.gov/gene/191110", "191110")</f>
        <v>191110</v>
      </c>
      <c r="C4937" s="9"/>
      <c r="D4937" t="str">
        <f>"srg-20"</f>
        <v>srg-20</v>
      </c>
      <c r="E4937" t="s">
        <v>3890</v>
      </c>
      <c r="F4937" t="s">
        <v>11</v>
      </c>
      <c r="G4937" t="s">
        <v>1829</v>
      </c>
      <c r="H4937" s="12">
        <v>6.1758272494723103</v>
      </c>
      <c r="I4937" s="20">
        <v>1.2729921711004999</v>
      </c>
      <c r="J4937" s="28">
        <v>0.20302081996819901</v>
      </c>
      <c r="K4937" s="29">
        <v>0.95143457248974095</v>
      </c>
    </row>
    <row r="4938" spans="1:11" x14ac:dyDescent="0.35">
      <c r="A4938" s="9" t="str">
        <f>HYPERLINK("http://www.ensembl.org/id/WBGene00045397", "WBGene00045397")</f>
        <v>WBGene00045397</v>
      </c>
      <c r="B4938" s="9" t="str">
        <f>HYPERLINK("http://www.ncbi.nlm.nih.gov/gene/6418684", "6418684")</f>
        <v>6418684</v>
      </c>
      <c r="C4938" s="9"/>
      <c r="D4938" t="str">
        <f>"Y54G2A.52"</f>
        <v>Y54G2A.52</v>
      </c>
      <c r="F4938" t="s">
        <v>11</v>
      </c>
      <c r="G4938" t="s">
        <v>25</v>
      </c>
      <c r="H4938" s="12">
        <v>-1.40373092052272</v>
      </c>
      <c r="I4938" s="20">
        <v>-1.2733651497998399</v>
      </c>
      <c r="J4938" s="28">
        <v>0.20288849801240799</v>
      </c>
      <c r="K4938" s="29">
        <v>0.95143457248974095</v>
      </c>
    </row>
    <row r="4939" spans="1:11" x14ac:dyDescent="0.35">
      <c r="A4939" s="9" t="str">
        <f>HYPERLINK("http://www.ensembl.org/id/WBGene00022205", "WBGene00022205")</f>
        <v>WBGene00022205</v>
      </c>
      <c r="B4939" s="9"/>
      <c r="C4939" s="9"/>
      <c r="D4939" t="str">
        <f>"Y73B3A.3"</f>
        <v>Y73B3A.3</v>
      </c>
      <c r="F4939" t="s">
        <v>80</v>
      </c>
      <c r="H4939" s="12">
        <v>1.4628696780521</v>
      </c>
      <c r="I4939" s="20">
        <v>1.2721197336586201</v>
      </c>
      <c r="J4939" s="28">
        <v>0.20333058073906901</v>
      </c>
      <c r="K4939" s="29">
        <v>0.95143457248974095</v>
      </c>
    </row>
    <row r="4940" spans="1:11" x14ac:dyDescent="0.35">
      <c r="A4940" s="9" t="str">
        <f>HYPERLINK("http://www.ensembl.org/id/WBGene00022718", "WBGene00022718")</f>
        <v>WBGene00022718</v>
      </c>
      <c r="B4940" s="9" t="str">
        <f>HYPERLINK("http://www.ncbi.nlm.nih.gov/gene/176225", "176225")</f>
        <v>176225</v>
      </c>
      <c r="C4940" s="9" t="str">
        <f>HYPERLINK("http://www.ncbi.nlm.nih.gov/gene/375775", "375775")</f>
        <v>375775</v>
      </c>
      <c r="D4940" t="str">
        <f>"ZK370.4"</f>
        <v>ZK370.4</v>
      </c>
      <c r="E4940" t="s">
        <v>3892</v>
      </c>
      <c r="F4940" t="s">
        <v>11</v>
      </c>
      <c r="G4940" t="s">
        <v>3893</v>
      </c>
      <c r="H4940" s="12">
        <v>-1.2633634633925199</v>
      </c>
      <c r="I4940" s="20">
        <v>-1.2726343676509899</v>
      </c>
      <c r="J4940" s="28">
        <v>0.20314781724620801</v>
      </c>
      <c r="K4940" s="29">
        <v>0.95143457248974095</v>
      </c>
    </row>
    <row r="4941" spans="1:11" x14ac:dyDescent="0.35">
      <c r="A4941" s="9" t="str">
        <f>HYPERLINK("http://www.ensembl.org/id/WBGene00000264", "WBGene00000264")</f>
        <v>WBGene00000264</v>
      </c>
      <c r="B4941" s="9" t="str">
        <f>HYPERLINK("http://www.ncbi.nlm.nih.gov/gene/175499", "175499")</f>
        <v>175499</v>
      </c>
      <c r="C4941" s="9"/>
      <c r="D4941" t="str">
        <f>"brc-1"</f>
        <v>brc-1</v>
      </c>
      <c r="E4941" t="s">
        <v>3896</v>
      </c>
      <c r="F4941" t="s">
        <v>11</v>
      </c>
      <c r="G4941" t="s">
        <v>3897</v>
      </c>
      <c r="H4941" s="12">
        <v>-1.35628037933921</v>
      </c>
      <c r="I4941" s="20">
        <v>-1.2719173162670101</v>
      </c>
      <c r="J4941" s="28">
        <v>0.20340249862141299</v>
      </c>
      <c r="K4941" s="29">
        <v>0.95157281497193302</v>
      </c>
    </row>
    <row r="4942" spans="1:11" x14ac:dyDescent="0.35">
      <c r="A4942" s="9" t="str">
        <f>HYPERLINK("http://www.ensembl.org/id/WBGene00007981", "WBGene00007981")</f>
        <v>WBGene00007981</v>
      </c>
      <c r="B4942" s="9" t="str">
        <f>HYPERLINK("http://www.ncbi.nlm.nih.gov/gene/175516", "175516")</f>
        <v>175516</v>
      </c>
      <c r="C4942" s="9"/>
      <c r="D4942" t="str">
        <f>"glb-11"</f>
        <v>glb-11</v>
      </c>
      <c r="E4942" t="s">
        <v>633</v>
      </c>
      <c r="F4942" t="s">
        <v>11</v>
      </c>
      <c r="G4942" t="s">
        <v>867</v>
      </c>
      <c r="H4942" s="12">
        <v>1.36769695236029</v>
      </c>
      <c r="I4942" s="20">
        <v>1.27163773709506</v>
      </c>
      <c r="J4942" s="28">
        <v>0.20350186214952701</v>
      </c>
      <c r="K4942" s="29">
        <v>0.95165230253531097</v>
      </c>
    </row>
    <row r="4943" spans="1:11" x14ac:dyDescent="0.35">
      <c r="A4943" s="9" t="str">
        <f>HYPERLINK("http://www.ensembl.org/id/WBGene00015216", "WBGene00015216")</f>
        <v>WBGene00015216</v>
      </c>
      <c r="B4943" s="9" t="str">
        <f>HYPERLINK("http://www.ncbi.nlm.nih.gov/gene/182010", "182010")</f>
        <v>182010</v>
      </c>
      <c r="C4943" s="9" t="str">
        <f>HYPERLINK("http://www.ncbi.nlm.nih.gov/gene/1396", "1396")</f>
        <v>1396</v>
      </c>
      <c r="D4943" t="str">
        <f>"valv-1"</f>
        <v>valv-1</v>
      </c>
      <c r="F4943" t="s">
        <v>11</v>
      </c>
      <c r="G4943" t="s">
        <v>3898</v>
      </c>
      <c r="H4943" s="12">
        <v>1.31122985202618</v>
      </c>
      <c r="I4943" s="20">
        <v>1.27171288985399</v>
      </c>
      <c r="J4943" s="28">
        <v>0.20347514909381501</v>
      </c>
      <c r="K4943" s="29">
        <v>0.95165230253531097</v>
      </c>
    </row>
    <row r="4944" spans="1:11" x14ac:dyDescent="0.35">
      <c r="A4944" s="9" t="str">
        <f>HYPERLINK("http://www.ensembl.org/id/WBGene00015993", "WBGene00015993")</f>
        <v>WBGene00015993</v>
      </c>
      <c r="B4944" s="9" t="str">
        <f>HYPERLINK("http://www.ncbi.nlm.nih.gov/gene/176888", "176888")</f>
        <v>176888</v>
      </c>
      <c r="C4944" s="9"/>
      <c r="D4944" t="str">
        <f>"C18H7.1"</f>
        <v>C18H7.1</v>
      </c>
      <c r="F4944" t="s">
        <v>11</v>
      </c>
      <c r="G4944" t="s">
        <v>3498</v>
      </c>
      <c r="H4944" s="12">
        <v>-1.78347946213646</v>
      </c>
      <c r="I4944" s="20">
        <v>-1.2714779710303901</v>
      </c>
      <c r="J4944" s="28">
        <v>0.203558659496102</v>
      </c>
      <c r="K4944" s="29">
        <v>0.95172529063475098</v>
      </c>
    </row>
    <row r="4945" spans="1:11" x14ac:dyDescent="0.35">
      <c r="A4945" s="9" t="str">
        <f>HYPERLINK("http://www.ensembl.org/id/WBGene00000188", "WBGene00000188")</f>
        <v>WBGene00000188</v>
      </c>
      <c r="B4945" s="9" t="str">
        <f>HYPERLINK("http://www.ncbi.nlm.nih.gov/gene/175121", "175121")</f>
        <v>175121</v>
      </c>
      <c r="C4945" s="9" t="str">
        <f>HYPERLINK("http://www.ncbi.nlm.nih.gov/gene/403", "403")</f>
        <v>403</v>
      </c>
      <c r="D4945" t="str">
        <f>"arl-3"</f>
        <v>arl-3</v>
      </c>
      <c r="E4945" t="s">
        <v>3899</v>
      </c>
      <c r="F4945" t="s">
        <v>11</v>
      </c>
      <c r="G4945" t="s">
        <v>3900</v>
      </c>
      <c r="H4945" s="12">
        <v>1.5291078348741001</v>
      </c>
      <c r="I4945" s="20">
        <v>1.27093838747142</v>
      </c>
      <c r="J4945" s="28">
        <v>0.20375056847517201</v>
      </c>
      <c r="K4945" s="29">
        <v>0.95242982706601698</v>
      </c>
    </row>
    <row r="4946" spans="1:11" x14ac:dyDescent="0.35">
      <c r="A4946" s="9" t="str">
        <f>HYPERLINK("http://www.ensembl.org/id/WBGene00000585", "WBGene00000585")</f>
        <v>WBGene00000585</v>
      </c>
      <c r="B4946" s="9" t="str">
        <f>HYPERLINK("http://www.ncbi.nlm.nih.gov/gene/177473", "177473")</f>
        <v>177473</v>
      </c>
      <c r="C4946" s="9" t="str">
        <f>HYPERLINK("http://www.ncbi.nlm.nih.gov/gene/22796", "22796")</f>
        <v>22796</v>
      </c>
      <c r="D4946" t="str">
        <f>"cogc-2"</f>
        <v>cogc-2</v>
      </c>
      <c r="E4946" t="s">
        <v>3903</v>
      </c>
      <c r="F4946" t="s">
        <v>11</v>
      </c>
      <c r="G4946" t="s">
        <v>3904</v>
      </c>
      <c r="H4946" s="12">
        <v>-1.2768117695463499</v>
      </c>
      <c r="I4946" s="20">
        <v>-1.27044225789653</v>
      </c>
      <c r="J4946" s="28">
        <v>0.203927138729358</v>
      </c>
      <c r="K4946" s="29">
        <v>0.95267700515174802</v>
      </c>
    </row>
    <row r="4947" spans="1:11" x14ac:dyDescent="0.35">
      <c r="A4947" s="9" t="str">
        <f>HYPERLINK("http://www.ensembl.org/id/WBGene00010520", "WBGene00010520")</f>
        <v>WBGene00010520</v>
      </c>
      <c r="B4947" s="9" t="str">
        <f>HYPERLINK("http://www.ncbi.nlm.nih.gov/gene/186917", "186917")</f>
        <v>186917</v>
      </c>
      <c r="C4947" s="9"/>
      <c r="D4947" t="str">
        <f>"cpx-2"</f>
        <v>cpx-2</v>
      </c>
      <c r="E4947" t="s">
        <v>3905</v>
      </c>
      <c r="F4947" t="s">
        <v>11</v>
      </c>
      <c r="G4947" t="s">
        <v>3906</v>
      </c>
      <c r="H4947" s="12">
        <v>-1.2960966701532901</v>
      </c>
      <c r="I4947" s="20">
        <v>-1.2706579891060701</v>
      </c>
      <c r="J4947" s="28">
        <v>0.20385034729724499</v>
      </c>
      <c r="K4947" s="29">
        <v>0.95267700515174802</v>
      </c>
    </row>
    <row r="4948" spans="1:11" x14ac:dyDescent="0.35">
      <c r="A4948" s="9" t="str">
        <f>HYPERLINK("http://www.ensembl.org/id/WBGene00004459", "WBGene00004459")</f>
        <v>WBGene00004459</v>
      </c>
      <c r="B4948" s="9" t="str">
        <f>HYPERLINK("http://www.ncbi.nlm.nih.gov/gene/175877", "175877")</f>
        <v>175877</v>
      </c>
      <c r="C4948" s="9"/>
      <c r="D4948" t="str">
        <f>"rpn-2"</f>
        <v>rpn-2</v>
      </c>
      <c r="E4948" t="s">
        <v>3901</v>
      </c>
      <c r="F4948" t="s">
        <v>11</v>
      </c>
      <c r="G4948" t="s">
        <v>3902</v>
      </c>
      <c r="H4948" s="12">
        <v>-1.2564984156794701</v>
      </c>
      <c r="I4948" s="20">
        <v>-1.27049702128491</v>
      </c>
      <c r="J4948" s="28">
        <v>0.203907643223497</v>
      </c>
      <c r="K4948" s="29">
        <v>0.95267700515174802</v>
      </c>
    </row>
    <row r="4949" spans="1:11" x14ac:dyDescent="0.35">
      <c r="A4949" s="9" t="str">
        <f>HYPERLINK("http://www.ensembl.org/id/WBGene00044607", "WBGene00044607")</f>
        <v>WBGene00044607</v>
      </c>
      <c r="B4949" s="9" t="str">
        <f>HYPERLINK("http://www.ncbi.nlm.nih.gov/gene/3896721", "3896721")</f>
        <v>3896721</v>
      </c>
      <c r="C4949" s="9"/>
      <c r="D4949" t="str">
        <f>"K02A11.4"</f>
        <v>K02A11.4</v>
      </c>
      <c r="F4949" t="s">
        <v>11</v>
      </c>
      <c r="H4949" s="12">
        <v>-1.51535824810259</v>
      </c>
      <c r="I4949" s="20">
        <v>-1.2703156074506701</v>
      </c>
      <c r="J4949" s="28">
        <v>0.20397223088181901</v>
      </c>
      <c r="K4949" s="29">
        <v>0.95269504078336698</v>
      </c>
    </row>
    <row r="4950" spans="1:11" x14ac:dyDescent="0.35">
      <c r="A4950" s="9" t="str">
        <f>HYPERLINK("http://www.ensembl.org/id/WBGene00000391", "WBGene00000391")</f>
        <v>WBGene00000391</v>
      </c>
      <c r="B4950" s="9" t="str">
        <f>HYPERLINK("http://www.ncbi.nlm.nih.gov/gene/183546", "183546")</f>
        <v>183546</v>
      </c>
      <c r="C4950" s="9"/>
      <c r="D4950" t="str">
        <f>"cdd-1"</f>
        <v>cdd-1</v>
      </c>
      <c r="E4950" t="s">
        <v>3908</v>
      </c>
      <c r="F4950" t="s">
        <v>11</v>
      </c>
      <c r="G4950" t="s">
        <v>3909</v>
      </c>
      <c r="H4950" s="12">
        <v>1.37230431994392</v>
      </c>
      <c r="I4950" s="20">
        <v>1.2699026966757301</v>
      </c>
      <c r="J4950" s="28">
        <v>0.204119292482456</v>
      </c>
      <c r="K4950" s="29">
        <v>0.95280411557568301</v>
      </c>
    </row>
    <row r="4951" spans="1:11" x14ac:dyDescent="0.35">
      <c r="A4951" s="9" t="str">
        <f>HYPERLINK("http://www.ensembl.org/id/WBGene00000488", "WBGene00000488")</f>
        <v>WBGene00000488</v>
      </c>
      <c r="B4951" s="9" t="str">
        <f>HYPERLINK("http://www.ncbi.nlm.nih.gov/gene/184979", "184979")</f>
        <v>184979</v>
      </c>
      <c r="C4951" s="9"/>
      <c r="D4951" t="str">
        <f>"che-7"</f>
        <v>che-7</v>
      </c>
      <c r="E4951" t="s">
        <v>275</v>
      </c>
      <c r="F4951" t="s">
        <v>11</v>
      </c>
      <c r="G4951" t="s">
        <v>3907</v>
      </c>
      <c r="H4951" s="12">
        <v>1.8260871942436601</v>
      </c>
      <c r="I4951" s="20">
        <v>1.26992350468247</v>
      </c>
      <c r="J4951" s="28">
        <v>0.20411187969267</v>
      </c>
      <c r="K4951" s="29">
        <v>0.95280411557568301</v>
      </c>
    </row>
    <row r="4952" spans="1:11" x14ac:dyDescent="0.35">
      <c r="A4952" s="9" t="str">
        <f>HYPERLINK("http://www.ensembl.org/id/WBGene00006441", "WBGene00006441")</f>
        <v>WBGene00006441</v>
      </c>
      <c r="B4952" s="9" t="str">
        <f>HYPERLINK("http://www.ncbi.nlm.nih.gov/gene/190681", "190681")</f>
        <v>190681</v>
      </c>
      <c r="C4952" s="9"/>
      <c r="D4952" t="str">
        <f>"cpna-4"</f>
        <v>cpna-4</v>
      </c>
      <c r="E4952" t="s">
        <v>1158</v>
      </c>
      <c r="F4952" t="s">
        <v>11</v>
      </c>
      <c r="G4952" t="s">
        <v>1043</v>
      </c>
      <c r="H4952" s="12">
        <v>1.38797550676217</v>
      </c>
      <c r="I4952" s="20">
        <v>1.2699388069545099</v>
      </c>
      <c r="J4952" s="28">
        <v>0.20410642842929499</v>
      </c>
      <c r="K4952" s="29">
        <v>0.95280411557568301</v>
      </c>
    </row>
    <row r="4953" spans="1:11" x14ac:dyDescent="0.35">
      <c r="A4953" s="9" t="str">
        <f>HYPERLINK("http://www.ensembl.org/id/WBGene00015203", "WBGene00015203")</f>
        <v>WBGene00015203</v>
      </c>
      <c r="B4953" s="9" t="str">
        <f>HYPERLINK("http://www.ncbi.nlm.nih.gov/gene/174244", "174244")</f>
        <v>174244</v>
      </c>
      <c r="C4953" s="9"/>
      <c r="D4953" t="str">
        <f>"cdk-11.1"</f>
        <v>cdk-11.1</v>
      </c>
      <c r="E4953" t="s">
        <v>3910</v>
      </c>
      <c r="F4953" t="s">
        <v>11</v>
      </c>
      <c r="G4953" t="s">
        <v>444</v>
      </c>
      <c r="H4953" s="12">
        <v>-1.2930094909026999</v>
      </c>
      <c r="I4953" s="20">
        <v>-1.26975872145327</v>
      </c>
      <c r="J4953" s="28">
        <v>0.204170588588902</v>
      </c>
      <c r="K4953" s="29">
        <v>0.952851064418333</v>
      </c>
    </row>
    <row r="4954" spans="1:11" x14ac:dyDescent="0.35">
      <c r="A4954" s="9" t="str">
        <f>HYPERLINK("http://www.ensembl.org/id/WBGene00016266", "WBGene00016266")</f>
        <v>WBGene00016266</v>
      </c>
      <c r="B4954" s="9" t="str">
        <f>HYPERLINK("http://www.ncbi.nlm.nih.gov/gene/172430", "172430")</f>
        <v>172430</v>
      </c>
      <c r="C4954" s="9" t="str">
        <f>HYPERLINK("http://www.ncbi.nlm.nih.gov/gene/3421", "3421")</f>
        <v>3421</v>
      </c>
      <c r="D4954" t="str">
        <f>"idhg-2"</f>
        <v>idhg-2</v>
      </c>
      <c r="E4954" t="s">
        <v>3911</v>
      </c>
      <c r="F4954" t="s">
        <v>11</v>
      </c>
      <c r="G4954" t="s">
        <v>3912</v>
      </c>
      <c r="H4954" s="12">
        <v>-1.2924339124817199</v>
      </c>
      <c r="I4954" s="20">
        <v>-1.2696108031543301</v>
      </c>
      <c r="J4954" s="28">
        <v>0.20422329931875099</v>
      </c>
      <c r="K4954" s="29">
        <v>0.952904594923076</v>
      </c>
    </row>
    <row r="4955" spans="1:11" x14ac:dyDescent="0.35">
      <c r="A4955" s="9" t="str">
        <f>HYPERLINK("http://www.ensembl.org/id/WBGene00006945", "WBGene00006945")</f>
        <v>WBGene00006945</v>
      </c>
      <c r="B4955" s="9" t="str">
        <f>HYPERLINK("http://www.ncbi.nlm.nih.gov/gene/180231", "180231")</f>
        <v>180231</v>
      </c>
      <c r="C4955" s="9" t="str">
        <f>HYPERLINK("http://www.ncbi.nlm.nih.gov/gene/7453", "7453")</f>
        <v>7453</v>
      </c>
      <c r="D4955" t="str">
        <f>"wars-1"</f>
        <v>wars-1</v>
      </c>
      <c r="E4955" t="s">
        <v>3913</v>
      </c>
      <c r="F4955" t="s">
        <v>11</v>
      </c>
      <c r="G4955" t="s">
        <v>3914</v>
      </c>
      <c r="H4955" s="12">
        <v>-1.27575436662664</v>
      </c>
      <c r="I4955" s="20">
        <v>-1.2694343759794799</v>
      </c>
      <c r="J4955" s="28">
        <v>0.204286182140962</v>
      </c>
      <c r="K4955" s="29">
        <v>0.95300555714699398</v>
      </c>
    </row>
    <row r="4956" spans="1:11" x14ac:dyDescent="0.35">
      <c r="A4956" s="9" t="str">
        <f>HYPERLINK("http://www.ensembl.org/id/WBGene00000191", "WBGene00000191")</f>
        <v>WBGene00000191</v>
      </c>
      <c r="B4956" s="9"/>
      <c r="C4956" s="9"/>
      <c r="D4956" t="str">
        <f>"arl-7"</f>
        <v>arl-7</v>
      </c>
      <c r="F4956" t="s">
        <v>80</v>
      </c>
      <c r="H4956" s="12">
        <v>-1.55497565229523</v>
      </c>
      <c r="I4956" s="20">
        <v>-1.2676610644242501</v>
      </c>
      <c r="J4956" s="28">
        <v>0.204919014834922</v>
      </c>
      <c r="K4956" s="29">
        <v>0.95344884972558597</v>
      </c>
    </row>
    <row r="4957" spans="1:11" x14ac:dyDescent="0.35">
      <c r="A4957" s="9" t="str">
        <f>HYPERLINK("http://www.ensembl.org/id/WBGene00020441", "WBGene00020441")</f>
        <v>WBGene00020441</v>
      </c>
      <c r="B4957" s="9" t="str">
        <f>HYPERLINK("http://www.ncbi.nlm.nih.gov/gene/188435", "188435")</f>
        <v>188435</v>
      </c>
      <c r="C4957" s="9" t="str">
        <f>HYPERLINK("http://www.ncbi.nlm.nih.gov/gene/10286", "10286")</f>
        <v>10286</v>
      </c>
      <c r="D4957" t="str">
        <f>"bcas-2"</f>
        <v>bcas-2</v>
      </c>
      <c r="E4957" t="s">
        <v>3922</v>
      </c>
      <c r="F4957" t="s">
        <v>11</v>
      </c>
      <c r="G4957" t="s">
        <v>3923</v>
      </c>
      <c r="H4957" s="12">
        <v>-1.3062847952296499</v>
      </c>
      <c r="I4957" s="20">
        <v>-1.26854862290501</v>
      </c>
      <c r="J4957" s="28">
        <v>0.20460209839804999</v>
      </c>
      <c r="K4957" s="29">
        <v>0.95344884972558597</v>
      </c>
    </row>
    <row r="4958" spans="1:11" x14ac:dyDescent="0.35">
      <c r="A4958" s="9" t="str">
        <f>HYPERLINK("http://www.ensembl.org/id/WBGene00015281", "WBGene00015281")</f>
        <v>WBGene00015281</v>
      </c>
      <c r="B4958" s="9" t="str">
        <f>HYPERLINK("http://www.ncbi.nlm.nih.gov/gene/182060", "182060")</f>
        <v>182060</v>
      </c>
      <c r="C4958" s="9"/>
      <c r="D4958" t="str">
        <f>"C01B10.7"</f>
        <v>C01B10.7</v>
      </c>
      <c r="F4958" t="s">
        <v>11</v>
      </c>
      <c r="H4958" s="12">
        <v>6.5151064711307596</v>
      </c>
      <c r="I4958" s="20">
        <v>1.2681878256313099</v>
      </c>
      <c r="J4958" s="28">
        <v>0.20473088359884201</v>
      </c>
      <c r="K4958" s="29">
        <v>0.95344884972558597</v>
      </c>
    </row>
    <row r="4959" spans="1:11" x14ac:dyDescent="0.35">
      <c r="A4959" s="9" t="str">
        <f>HYPERLINK("http://www.ensembl.org/id/WBGene00206364", "WBGene00206364")</f>
        <v>WBGene00206364</v>
      </c>
      <c r="B4959" s="9" t="str">
        <f>HYPERLINK("http://www.ncbi.nlm.nih.gov/gene/13220332", "13220332")</f>
        <v>13220332</v>
      </c>
      <c r="C4959" s="9"/>
      <c r="D4959" t="str">
        <f>"C07A12.18"</f>
        <v>C07A12.18</v>
      </c>
      <c r="F4959" t="s">
        <v>11</v>
      </c>
      <c r="G4959" t="s">
        <v>3916</v>
      </c>
      <c r="H4959" s="12">
        <v>1.49369606208212</v>
      </c>
      <c r="I4959" s="20">
        <v>1.2674506782977499</v>
      </c>
      <c r="J4959" s="28">
        <v>0.20499418874610101</v>
      </c>
      <c r="K4959" s="29">
        <v>0.95344884972558597</v>
      </c>
    </row>
    <row r="4960" spans="1:11" x14ac:dyDescent="0.35">
      <c r="A4960" s="9" t="str">
        <f>HYPERLINK("http://www.ensembl.org/id/WBGene00015807", "WBGene00015807")</f>
        <v>WBGene00015807</v>
      </c>
      <c r="B4960" s="9" t="str">
        <f>HYPERLINK("http://www.ncbi.nlm.nih.gov/gene/182649", "182649")</f>
        <v>182649</v>
      </c>
      <c r="C4960" s="9"/>
      <c r="D4960" t="str">
        <f>"C16A3.2"</f>
        <v>C16A3.2</v>
      </c>
      <c r="F4960" t="s">
        <v>11</v>
      </c>
      <c r="G4960" t="s">
        <v>3926</v>
      </c>
      <c r="H4960" s="12">
        <v>-1.4084367096243</v>
      </c>
      <c r="I4960" s="20">
        <v>-1.2677442206024201</v>
      </c>
      <c r="J4960" s="28">
        <v>0.20488930749481199</v>
      </c>
      <c r="K4960" s="29">
        <v>0.95344884972558597</v>
      </c>
    </row>
    <row r="4961" spans="1:11" x14ac:dyDescent="0.35">
      <c r="A4961" s="9" t="str">
        <f>HYPERLINK("http://www.ensembl.org/id/WBGene00007655", "WBGene00007655")</f>
        <v>WBGene00007655</v>
      </c>
      <c r="B4961" s="9" t="str">
        <f>HYPERLINK("http://www.ncbi.nlm.nih.gov/gene/182745", "182745")</f>
        <v>182745</v>
      </c>
      <c r="C4961" s="9"/>
      <c r="D4961" t="str">
        <f>"C17H1.2"</f>
        <v>C17H1.2</v>
      </c>
      <c r="F4961" t="s">
        <v>11</v>
      </c>
      <c r="H4961" s="12">
        <v>24.114437732252501</v>
      </c>
      <c r="I4961" s="20">
        <v>1.2674740215161699</v>
      </c>
      <c r="J4961" s="28">
        <v>0.20498584689827801</v>
      </c>
      <c r="K4961" s="29">
        <v>0.95344884972558597</v>
      </c>
    </row>
    <row r="4962" spans="1:11" x14ac:dyDescent="0.35">
      <c r="A4962" s="9" t="str">
        <f>HYPERLINK("http://www.ensembl.org/id/WBGene00016448", "WBGene00016448")</f>
        <v>WBGene00016448</v>
      </c>
      <c r="B4962" s="9" t="str">
        <f>HYPERLINK("http://www.ncbi.nlm.nih.gov/gene/183240", "183240")</f>
        <v>183240</v>
      </c>
      <c r="C4962" s="9"/>
      <c r="D4962" t="str">
        <f>"C35D10.12"</f>
        <v>C35D10.12</v>
      </c>
      <c r="F4962" t="s">
        <v>11</v>
      </c>
      <c r="G4962" t="s">
        <v>3915</v>
      </c>
      <c r="H4962" s="12">
        <v>1.6223678481611801</v>
      </c>
      <c r="I4962" s="20">
        <v>1.2688751854006199</v>
      </c>
      <c r="J4962" s="28">
        <v>0.204485583977913</v>
      </c>
      <c r="K4962" s="29">
        <v>0.95344884972558597</v>
      </c>
    </row>
    <row r="4963" spans="1:11" x14ac:dyDescent="0.35">
      <c r="A4963" s="9" t="str">
        <f>HYPERLINK("http://www.ensembl.org/id/WBGene00010909", "WBGene00010909")</f>
        <v>WBGene00010909</v>
      </c>
      <c r="B4963" s="9" t="str">
        <f>HYPERLINK("http://www.ncbi.nlm.nih.gov/gene/175593", "175593")</f>
        <v>175593</v>
      </c>
      <c r="C4963" s="9"/>
      <c r="D4963" t="str">
        <f>"cisd-3.1"</f>
        <v>cisd-3.1</v>
      </c>
      <c r="E4963" t="s">
        <v>3924</v>
      </c>
      <c r="F4963" t="s">
        <v>11</v>
      </c>
      <c r="G4963" t="s">
        <v>3925</v>
      </c>
      <c r="H4963" s="12">
        <v>-1.33358604148448</v>
      </c>
      <c r="I4963" s="20">
        <v>-1.26775887023475</v>
      </c>
      <c r="J4963" s="28">
        <v>0.20488407427414401</v>
      </c>
      <c r="K4963" s="29">
        <v>0.95344884972558597</v>
      </c>
    </row>
    <row r="4964" spans="1:11" x14ac:dyDescent="0.35">
      <c r="A4964" s="9" t="str">
        <f>HYPERLINK("http://www.ensembl.org/id/WBGene00012156", "WBGene00012156")</f>
        <v>WBGene00012156</v>
      </c>
      <c r="B4964" s="9" t="str">
        <f>HYPERLINK("http://www.ncbi.nlm.nih.gov/gene/174744", "174744")</f>
        <v>174744</v>
      </c>
      <c r="C4964" s="9"/>
      <c r="D4964" t="str">
        <f>"ebp-2"</f>
        <v>ebp-2</v>
      </c>
      <c r="E4964" t="s">
        <v>3919</v>
      </c>
      <c r="F4964" t="s">
        <v>11</v>
      </c>
      <c r="G4964" t="s">
        <v>3920</v>
      </c>
      <c r="H4964" s="12">
        <v>-1.27826192721218</v>
      </c>
      <c r="I4964" s="20">
        <v>-1.26821103373959</v>
      </c>
      <c r="J4964" s="28">
        <v>0.20472259778014201</v>
      </c>
      <c r="K4964" s="29">
        <v>0.95344884972558597</v>
      </c>
    </row>
    <row r="4965" spans="1:11" x14ac:dyDescent="0.35">
      <c r="A4965" s="9" t="str">
        <f>HYPERLINK("http://www.ensembl.org/id/WBGene00019831", "WBGene00019831")</f>
        <v>WBGene00019831</v>
      </c>
      <c r="B4965" s="9" t="str">
        <f>HYPERLINK("http://www.ncbi.nlm.nih.gov/gene/175757", "175757")</f>
        <v>175757</v>
      </c>
      <c r="C4965" s="9"/>
      <c r="D4965" t="str">
        <f>"R02F2.1"</f>
        <v>R02F2.1</v>
      </c>
      <c r="F4965" t="s">
        <v>11</v>
      </c>
      <c r="G4965" t="s">
        <v>3917</v>
      </c>
      <c r="H4965" s="12">
        <v>-1.25362978963377</v>
      </c>
      <c r="I4965" s="20">
        <v>-1.2674565424269899</v>
      </c>
      <c r="J4965" s="28">
        <v>0.20499209313894401</v>
      </c>
      <c r="K4965" s="29">
        <v>0.95344884972558597</v>
      </c>
    </row>
    <row r="4966" spans="1:11" x14ac:dyDescent="0.35">
      <c r="A4966" s="9" t="str">
        <f>HYPERLINK("http://www.ensembl.org/id/WBGene00005199", "WBGene00005199")</f>
        <v>WBGene00005199</v>
      </c>
      <c r="B4966" s="9" t="str">
        <f>HYPERLINK("http://www.ncbi.nlm.nih.gov/gene/353468", "353468")</f>
        <v>353468</v>
      </c>
      <c r="C4966" s="9"/>
      <c r="D4966" t="str">
        <f>"srg-42"</f>
        <v>srg-42</v>
      </c>
      <c r="E4966" t="s">
        <v>1828</v>
      </c>
      <c r="F4966" t="s">
        <v>11</v>
      </c>
      <c r="G4966" t="s">
        <v>1829</v>
      </c>
      <c r="H4966" s="12">
        <v>-1.7227445227740701</v>
      </c>
      <c r="I4966" s="20">
        <v>-1.2689724230591399</v>
      </c>
      <c r="J4966" s="28">
        <v>0.20445089982456299</v>
      </c>
      <c r="K4966" s="29">
        <v>0.95344884972558597</v>
      </c>
    </row>
    <row r="4967" spans="1:11" x14ac:dyDescent="0.35">
      <c r="A4967" s="9" t="str">
        <f>HYPERLINK("http://www.ensembl.org/id/WBGene00005480", "WBGene00005480")</f>
        <v>WBGene00005480</v>
      </c>
      <c r="B4967" s="9" t="str">
        <f>HYPERLINK("http://www.ncbi.nlm.nih.gov/gene/191898", "191898")</f>
        <v>191898</v>
      </c>
      <c r="C4967" s="9"/>
      <c r="D4967" t="str">
        <f>"srh-275"</f>
        <v>srh-275</v>
      </c>
      <c r="E4967" t="s">
        <v>153</v>
      </c>
      <c r="F4967" t="s">
        <v>11</v>
      </c>
      <c r="G4967" t="s">
        <v>25</v>
      </c>
      <c r="H4967" s="12">
        <v>24.114437732252501</v>
      </c>
      <c r="I4967" s="20">
        <v>1.2674740215161699</v>
      </c>
      <c r="J4967" s="28">
        <v>0.20498584689827801</v>
      </c>
      <c r="K4967" s="29">
        <v>0.95344884972558597</v>
      </c>
    </row>
    <row r="4968" spans="1:11" x14ac:dyDescent="0.35">
      <c r="A4968" s="9" t="str">
        <f>HYPERLINK("http://www.ensembl.org/id/WBGene00022350", "WBGene00022350")</f>
        <v>WBGene00022350</v>
      </c>
      <c r="B4968" s="9" t="str">
        <f>HYPERLINK("http://www.ncbi.nlm.nih.gov/gene/175303", "175303")</f>
        <v>175303</v>
      </c>
      <c r="C4968" s="9" t="str">
        <f>HYPERLINK("http://www.ncbi.nlm.nih.gov/gene/9147", "9147")</f>
        <v>9147</v>
      </c>
      <c r="D4968" t="str">
        <f>"Y82E9BR.18"</f>
        <v>Y82E9BR.18</v>
      </c>
      <c r="F4968" t="s">
        <v>11</v>
      </c>
      <c r="G4968" t="s">
        <v>3921</v>
      </c>
      <c r="H4968" s="12">
        <v>-1.2981065463738</v>
      </c>
      <c r="I4968" s="20">
        <v>-1.2684417417068801</v>
      </c>
      <c r="J4968" s="28">
        <v>0.204640243087784</v>
      </c>
      <c r="K4968" s="29">
        <v>0.95344884972558597</v>
      </c>
    </row>
    <row r="4969" spans="1:11" x14ac:dyDescent="0.35">
      <c r="A4969" s="9" t="str">
        <f>HYPERLINK("http://www.ensembl.org/id/WBGene00013601", "WBGene00013601")</f>
        <v>WBGene00013601</v>
      </c>
      <c r="B4969" s="9" t="str">
        <f>HYPERLINK("http://www.ncbi.nlm.nih.gov/gene/173230", "173230")</f>
        <v>173230</v>
      </c>
      <c r="C4969" s="9" t="str">
        <f>HYPERLINK("http://www.ncbi.nlm.nih.gov/gene/153396", "153396")</f>
        <v>153396</v>
      </c>
      <c r="D4969" t="str">
        <f>"Y87G2A.13"</f>
        <v>Y87G2A.13</v>
      </c>
      <c r="F4969" t="s">
        <v>11</v>
      </c>
      <c r="G4969" t="s">
        <v>25</v>
      </c>
      <c r="H4969" s="12">
        <v>-1.29910104684468</v>
      </c>
      <c r="I4969" s="20">
        <v>-1.2674339463752899</v>
      </c>
      <c r="J4969" s="28">
        <v>0.205000168157046</v>
      </c>
      <c r="K4969" s="29">
        <v>0.95344884972558597</v>
      </c>
    </row>
    <row r="4970" spans="1:11" x14ac:dyDescent="0.35">
      <c r="A4970" s="9" t="str">
        <f>HYPERLINK("http://www.ensembl.org/id/WBGene00014096", "WBGene00014096")</f>
        <v>WBGene00014096</v>
      </c>
      <c r="B4970" s="9" t="str">
        <f>HYPERLINK("http://www.ncbi.nlm.nih.gov/gene/178132", "178132")</f>
        <v>178132</v>
      </c>
      <c r="C4970" s="9"/>
      <c r="D4970" t="str">
        <f>"ZK829.7"</f>
        <v>ZK829.7</v>
      </c>
      <c r="F4970" t="s">
        <v>11</v>
      </c>
      <c r="G4970" t="s">
        <v>3918</v>
      </c>
      <c r="H4970" s="12">
        <v>-1.26410978208865</v>
      </c>
      <c r="I4970" s="20">
        <v>-1.2680443368096701</v>
      </c>
      <c r="J4970" s="28">
        <v>0.20478211776331101</v>
      </c>
      <c r="K4970" s="29">
        <v>0.95344884972558597</v>
      </c>
    </row>
    <row r="4971" spans="1:11" x14ac:dyDescent="0.35">
      <c r="A4971" s="9" t="str">
        <f>HYPERLINK("http://www.ensembl.org/id/WBGene00019112", "WBGene00019112")</f>
        <v>WBGene00019112</v>
      </c>
      <c r="B4971" s="9" t="str">
        <f>HYPERLINK("http://www.ncbi.nlm.nih.gov/gene/186623", "186623")</f>
        <v>186623</v>
      </c>
      <c r="C4971" s="9"/>
      <c r="D4971" t="str">
        <f>"F59E11.6"</f>
        <v>F59E11.6</v>
      </c>
      <c r="F4971" t="s">
        <v>11</v>
      </c>
      <c r="H4971" s="12">
        <v>2.4541782696039198</v>
      </c>
      <c r="I4971" s="20">
        <v>1.26730937084643</v>
      </c>
      <c r="J4971" s="28">
        <v>0.20504469113332299</v>
      </c>
      <c r="K4971" s="29">
        <v>0.95346400348693106</v>
      </c>
    </row>
    <row r="4972" spans="1:11" x14ac:dyDescent="0.35">
      <c r="A4972" s="9" t="str">
        <f>HYPERLINK("http://www.ensembl.org/id/WBGene00018878", "WBGene00018878")</f>
        <v>WBGene00018878</v>
      </c>
      <c r="B4972" s="9" t="str">
        <f>HYPERLINK("http://www.ncbi.nlm.nih.gov/gene/180747", "180747")</f>
        <v>180747</v>
      </c>
      <c r="C4972" s="9"/>
      <c r="D4972" t="str">
        <f>"glit-1"</f>
        <v>glit-1</v>
      </c>
      <c r="E4972" t="s">
        <v>3927</v>
      </c>
      <c r="F4972" t="s">
        <v>11</v>
      </c>
      <c r="G4972" t="s">
        <v>3928</v>
      </c>
      <c r="H4972" s="12">
        <v>1.3205437434387199</v>
      </c>
      <c r="I4972" s="20">
        <v>1.2670742037452201</v>
      </c>
      <c r="J4972" s="28">
        <v>0.205128758416321</v>
      </c>
      <c r="K4972" s="29">
        <v>0.95347115106970604</v>
      </c>
    </row>
    <row r="4973" spans="1:11" x14ac:dyDescent="0.35">
      <c r="A4973" s="9" t="str">
        <f>HYPERLINK("http://www.ensembl.org/id/WBGene00010871", "WBGene00010871")</f>
        <v>WBGene00010871</v>
      </c>
      <c r="B4973" s="9" t="str">
        <f>HYPERLINK("http://www.ncbi.nlm.nih.gov/gene/266840", "266840")</f>
        <v>266840</v>
      </c>
      <c r="C4973" s="9"/>
      <c r="D4973" t="str">
        <f>"M05B5.3"</f>
        <v>M05B5.3</v>
      </c>
      <c r="F4973" t="s">
        <v>11</v>
      </c>
      <c r="G4973" t="s">
        <v>25</v>
      </c>
      <c r="H4973" s="12">
        <v>1.57460431340641</v>
      </c>
      <c r="I4973" s="20">
        <v>1.2671369063272699</v>
      </c>
      <c r="J4973" s="28">
        <v>0.205106341115214</v>
      </c>
      <c r="K4973" s="29">
        <v>0.95347115106970604</v>
      </c>
    </row>
    <row r="4974" spans="1:11" x14ac:dyDescent="0.35">
      <c r="A4974" s="9" t="str">
        <f>HYPERLINK("http://www.ensembl.org/id/WBGene00007784", "WBGene00007784")</f>
        <v>WBGene00007784</v>
      </c>
      <c r="B4974" s="9" t="str">
        <f>HYPERLINK("http://www.ncbi.nlm.nih.gov/gene/179388", "179388")</f>
        <v>179388</v>
      </c>
      <c r="C4974" s="9" t="str">
        <f>HYPERLINK("http://www.ncbi.nlm.nih.gov/gene/8607", "8607")</f>
        <v>8607</v>
      </c>
      <c r="D4974" t="str">
        <f>"ruvb-1"</f>
        <v>ruvb-1</v>
      </c>
      <c r="E4974" t="s">
        <v>3929</v>
      </c>
      <c r="F4974" t="s">
        <v>11</v>
      </c>
      <c r="G4974" t="s">
        <v>3930</v>
      </c>
      <c r="H4974" s="12">
        <v>-1.3048255646014</v>
      </c>
      <c r="I4974" s="20">
        <v>-1.2667432330020401</v>
      </c>
      <c r="J4974" s="28">
        <v>0.20524711592540401</v>
      </c>
      <c r="K4974" s="29">
        <v>0.95363761523675405</v>
      </c>
    </row>
    <row r="4975" spans="1:11" x14ac:dyDescent="0.35">
      <c r="A4975" s="9" t="str">
        <f>HYPERLINK("http://www.ensembl.org/id/WBGene00010459", "WBGene00010459")</f>
        <v>WBGene00010459</v>
      </c>
      <c r="B4975" s="9" t="str">
        <f>HYPERLINK("http://www.ncbi.nlm.nih.gov/gene/186841", "186841")</f>
        <v>186841</v>
      </c>
      <c r="C4975" s="9" t="str">
        <f>HYPERLINK("http://www.ncbi.nlm.nih.gov/gene/81034", "81034")</f>
        <v>81034</v>
      </c>
      <c r="D4975" t="str">
        <f>"slc-25A32"</f>
        <v>slc-25A32</v>
      </c>
      <c r="E4975" t="s">
        <v>584</v>
      </c>
      <c r="F4975" t="s">
        <v>11</v>
      </c>
      <c r="G4975" t="s">
        <v>3931</v>
      </c>
      <c r="H4975" s="12">
        <v>-1.45648619004798</v>
      </c>
      <c r="I4975" s="20">
        <v>-1.2667492453932001</v>
      </c>
      <c r="J4975" s="28">
        <v>0.205244965408652</v>
      </c>
      <c r="K4975" s="29">
        <v>0.95363761523675405</v>
      </c>
    </row>
    <row r="4976" spans="1:11" x14ac:dyDescent="0.35">
      <c r="A4976" s="9" t="str">
        <f>HYPERLINK("http://www.ensembl.org/id/WBGene00004213", "WBGene00004213")</f>
        <v>WBGene00004213</v>
      </c>
      <c r="B4976" s="9" t="str">
        <f>HYPERLINK("http://www.ncbi.nlm.nih.gov/gene/175463", "175463")</f>
        <v>175463</v>
      </c>
      <c r="C4976" s="9" t="str">
        <f>HYPERLINK("http://www.ncbi.nlm.nih.gov/gene/5775", "5775")</f>
        <v>5775</v>
      </c>
      <c r="D4976" t="str">
        <f>"ptp-1"</f>
        <v>ptp-1</v>
      </c>
      <c r="E4976" t="s">
        <v>3932</v>
      </c>
      <c r="F4976" t="s">
        <v>11</v>
      </c>
      <c r="G4976" t="s">
        <v>3933</v>
      </c>
      <c r="H4976" s="12">
        <v>1.2791584525830499</v>
      </c>
      <c r="I4976" s="20">
        <v>1.2664692645403099</v>
      </c>
      <c r="J4976" s="28">
        <v>0.20534512655628101</v>
      </c>
      <c r="K4976" s="29">
        <v>0.95390118500390797</v>
      </c>
    </row>
    <row r="4977" spans="1:11" x14ac:dyDescent="0.35">
      <c r="A4977" s="9" t="str">
        <f>HYPERLINK("http://www.ensembl.org/id/WBGene00008348", "WBGene00008348")</f>
        <v>WBGene00008348</v>
      </c>
      <c r="B4977" s="9" t="str">
        <f>HYPERLINK("http://www.ncbi.nlm.nih.gov/gene/175439", "175439")</f>
        <v>175439</v>
      </c>
      <c r="C4977" s="9"/>
      <c r="D4977" t="str">
        <f>"C56G7.3"</f>
        <v>C56G7.3</v>
      </c>
      <c r="E4977" t="s">
        <v>3934</v>
      </c>
      <c r="F4977" t="s">
        <v>11</v>
      </c>
      <c r="G4977" t="s">
        <v>3935</v>
      </c>
      <c r="H4977" s="12">
        <v>-1.3028676551121701</v>
      </c>
      <c r="I4977" s="20">
        <v>-1.26595261403821</v>
      </c>
      <c r="J4977" s="28">
        <v>0.20553004783557099</v>
      </c>
      <c r="K4977" s="29">
        <v>0.954184706708602</v>
      </c>
    </row>
    <row r="4978" spans="1:11" x14ac:dyDescent="0.35">
      <c r="A4978" s="9" t="str">
        <f>HYPERLINK("http://www.ensembl.org/id/WBGene00000729", "WBGene00000729")</f>
        <v>WBGene00000729</v>
      </c>
      <c r="B4978" s="9" t="str">
        <f>HYPERLINK("http://www.ncbi.nlm.nih.gov/gene/186439", "186439")</f>
        <v>186439</v>
      </c>
      <c r="C4978" s="9"/>
      <c r="D4978" t="str">
        <f>"col-156"</f>
        <v>col-156</v>
      </c>
      <c r="E4978" t="s">
        <v>40</v>
      </c>
      <c r="F4978" t="s">
        <v>11</v>
      </c>
      <c r="G4978" t="s">
        <v>152</v>
      </c>
      <c r="H4978" s="12">
        <v>2.1147087764149202</v>
      </c>
      <c r="I4978" s="20">
        <v>1.26604707485299</v>
      </c>
      <c r="J4978" s="28">
        <v>0.20549622906689699</v>
      </c>
      <c r="K4978" s="29">
        <v>0.954184706708602</v>
      </c>
    </row>
    <row r="4979" spans="1:11" x14ac:dyDescent="0.35">
      <c r="A4979" s="9" t="str">
        <f>HYPERLINK("http://www.ensembl.org/id/WBGene00005290", "WBGene00005290")</f>
        <v>WBGene00005290</v>
      </c>
      <c r="B4979" s="9" t="str">
        <f>HYPERLINK("http://www.ncbi.nlm.nih.gov/gene/188676", "188676")</f>
        <v>188676</v>
      </c>
      <c r="C4979" s="9"/>
      <c r="D4979" t="str">
        <f>"srh-69"</f>
        <v>srh-69</v>
      </c>
      <c r="E4979" t="s">
        <v>153</v>
      </c>
      <c r="F4979" t="s">
        <v>11</v>
      </c>
      <c r="G4979" t="s">
        <v>25</v>
      </c>
      <c r="H4979" s="12">
        <v>9.1835585310595604</v>
      </c>
      <c r="I4979" s="20">
        <v>1.2660208875146499</v>
      </c>
      <c r="J4979" s="28">
        <v>0.205505604227017</v>
      </c>
      <c r="K4979" s="29">
        <v>0.954184706708602</v>
      </c>
    </row>
    <row r="4980" spans="1:11" x14ac:dyDescent="0.35">
      <c r="A4980" s="9" t="str">
        <f>HYPERLINK("http://www.ensembl.org/id/WBGene00017842", "WBGene00017842")</f>
        <v>WBGene00017842</v>
      </c>
      <c r="B4980" s="9" t="str">
        <f>HYPERLINK("http://www.ncbi.nlm.nih.gov/gene/173824", "173824")</f>
        <v>173824</v>
      </c>
      <c r="C4980" s="9"/>
      <c r="D4980" t="str">
        <f>"nep-12"</f>
        <v>nep-12</v>
      </c>
      <c r="E4980" t="s">
        <v>683</v>
      </c>
      <c r="F4980" t="s">
        <v>11</v>
      </c>
      <c r="G4980" t="s">
        <v>1479</v>
      </c>
      <c r="H4980" s="12">
        <v>1.8575944966082301</v>
      </c>
      <c r="I4980" s="20">
        <v>1.2658015154007001</v>
      </c>
      <c r="J4980" s="28">
        <v>0.20558415243116501</v>
      </c>
      <c r="K4980" s="29">
        <v>0.95424415951677599</v>
      </c>
    </row>
    <row r="4981" spans="1:11" x14ac:dyDescent="0.35">
      <c r="A4981" s="9" t="str">
        <f>HYPERLINK("http://www.ensembl.org/id/WBGene00012483", "WBGene00012483")</f>
        <v>WBGene00012483</v>
      </c>
      <c r="B4981" s="9" t="str">
        <f>HYPERLINK("http://www.ncbi.nlm.nih.gov/gene/173157", "173157")</f>
        <v>173157</v>
      </c>
      <c r="C4981" s="9"/>
      <c r="D4981" t="str">
        <f>"coa-5"</f>
        <v>coa-5</v>
      </c>
      <c r="E4981" t="s">
        <v>3936</v>
      </c>
      <c r="F4981" t="s">
        <v>11</v>
      </c>
      <c r="G4981" t="s">
        <v>3937</v>
      </c>
      <c r="H4981" s="12">
        <v>-1.3686538720907599</v>
      </c>
      <c r="I4981" s="20">
        <v>-1.26565333374912</v>
      </c>
      <c r="J4981" s="28">
        <v>0.20563722257928799</v>
      </c>
      <c r="K4981" s="29">
        <v>0.95429878789255196</v>
      </c>
    </row>
    <row r="4982" spans="1:11" x14ac:dyDescent="0.35">
      <c r="A4982" s="9" t="str">
        <f>HYPERLINK("http://www.ensembl.org/id/WBGene00015033", "WBGene00015033")</f>
        <v>WBGene00015033</v>
      </c>
      <c r="B4982" s="9" t="str">
        <f>HYPERLINK("http://www.ncbi.nlm.nih.gov/gene/181839", "181839")</f>
        <v>181839</v>
      </c>
      <c r="C4982" s="9"/>
      <c r="D4982" t="str">
        <f>"B0207.10"</f>
        <v>B0207.10</v>
      </c>
      <c r="F4982" t="s">
        <v>11</v>
      </c>
      <c r="G4982" t="s">
        <v>25</v>
      </c>
      <c r="H4982" s="12">
        <v>1.5207927861806301</v>
      </c>
      <c r="I4982" s="20">
        <v>1.26413951695777</v>
      </c>
      <c r="J4982" s="28">
        <v>0.206179955119001</v>
      </c>
      <c r="K4982" s="29">
        <v>0.95505923882204002</v>
      </c>
    </row>
    <row r="4983" spans="1:11" x14ac:dyDescent="0.35">
      <c r="A4983" s="9" t="str">
        <f>HYPERLINK("http://www.ensembl.org/id/WBGene00008176", "WBGene00008176")</f>
        <v>WBGene00008176</v>
      </c>
      <c r="B4983" s="9" t="str">
        <f>HYPERLINK("http://www.ncbi.nlm.nih.gov/gene/3565754", "3565754")</f>
        <v>3565754</v>
      </c>
      <c r="C4983" s="9"/>
      <c r="D4983" t="str">
        <f>"C48B4.13"</f>
        <v>C48B4.13</v>
      </c>
      <c r="F4983" t="s">
        <v>11</v>
      </c>
      <c r="H4983" s="12">
        <v>-1.50094463023336</v>
      </c>
      <c r="I4983" s="20">
        <v>-1.2650206860965301</v>
      </c>
      <c r="J4983" s="28">
        <v>0.20586391257336101</v>
      </c>
      <c r="K4983" s="29">
        <v>0.95505923882204002</v>
      </c>
    </row>
    <row r="4984" spans="1:11" x14ac:dyDescent="0.35">
      <c r="A4984" s="9" t="str">
        <f>HYPERLINK("http://www.ensembl.org/id/WBGene00019971", "WBGene00019971")</f>
        <v>WBGene00019971</v>
      </c>
      <c r="B4984" s="9" t="str">
        <f>HYPERLINK("http://www.ncbi.nlm.nih.gov/gene/178602", "178602")</f>
        <v>178602</v>
      </c>
      <c r="C4984" s="9"/>
      <c r="D4984" t="str">
        <f>"ergo-1"</f>
        <v>ergo-1</v>
      </c>
      <c r="E4984" t="s">
        <v>3944</v>
      </c>
      <c r="F4984" t="s">
        <v>11</v>
      </c>
      <c r="G4984" t="s">
        <v>445</v>
      </c>
      <c r="H4984" s="12">
        <v>-1.30798005984115</v>
      </c>
      <c r="I4984" s="20">
        <v>-1.26414664259599</v>
      </c>
      <c r="J4984" s="28">
        <v>0.20617739800550799</v>
      </c>
      <c r="K4984" s="29">
        <v>0.95505923882204002</v>
      </c>
    </row>
    <row r="4985" spans="1:11" x14ac:dyDescent="0.35">
      <c r="A4985" s="9" t="str">
        <f>HYPERLINK("http://www.ensembl.org/id/WBGene00010385", "WBGene00010385")</f>
        <v>WBGene00010385</v>
      </c>
      <c r="B4985" s="9" t="str">
        <f>HYPERLINK("http://www.ncbi.nlm.nih.gov/gene/186731", "186731")</f>
        <v>186731</v>
      </c>
      <c r="C4985" s="9"/>
      <c r="D4985" t="str">
        <f>"H12D21.9"</f>
        <v>H12D21.9</v>
      </c>
      <c r="F4985" t="s">
        <v>11</v>
      </c>
      <c r="G4985" t="s">
        <v>25</v>
      </c>
      <c r="H4985" s="12">
        <v>1.5046259883059201</v>
      </c>
      <c r="I4985" s="20">
        <v>1.26407710936038</v>
      </c>
      <c r="J4985" s="28">
        <v>0.20620235175468299</v>
      </c>
      <c r="K4985" s="29">
        <v>0.95505923882204002</v>
      </c>
    </row>
    <row r="4986" spans="1:11" x14ac:dyDescent="0.35">
      <c r="A4986" s="9" t="str">
        <f>HYPERLINK("http://www.ensembl.org/id/WBGene00010629", "WBGene00010629")</f>
        <v>WBGene00010629</v>
      </c>
      <c r="B4986" s="9" t="str">
        <f>HYPERLINK("http://www.ncbi.nlm.nih.gov/gene/179443", "179443")</f>
        <v>179443</v>
      </c>
      <c r="C4986" s="9" t="str">
        <f>HYPERLINK("http://www.ncbi.nlm.nih.gov/gene/10569", "10569")</f>
        <v>10569</v>
      </c>
      <c r="D4986" t="str">
        <f>"K07C5.6"</f>
        <v>K07C5.6</v>
      </c>
      <c r="E4986" t="s">
        <v>3942</v>
      </c>
      <c r="F4986" t="s">
        <v>11</v>
      </c>
      <c r="G4986" t="s">
        <v>3943</v>
      </c>
      <c r="H4986" s="12">
        <v>-1.2858832372918001</v>
      </c>
      <c r="I4986" s="20">
        <v>-1.26470579554814</v>
      </c>
      <c r="J4986" s="28">
        <v>0.205976811645631</v>
      </c>
      <c r="K4986" s="29">
        <v>0.95505923882204002</v>
      </c>
    </row>
    <row r="4987" spans="1:11" x14ac:dyDescent="0.35">
      <c r="A4987" s="9" t="str">
        <f>HYPERLINK("http://www.ensembl.org/id/WBGene00002992", "WBGene00002992")</f>
        <v>WBGene00002992</v>
      </c>
      <c r="B4987" s="9" t="str">
        <f>HYPERLINK("http://www.ncbi.nlm.nih.gov/gene/178001", "178001")</f>
        <v>178001</v>
      </c>
      <c r="C4987" s="9"/>
      <c r="D4987" t="str">
        <f>"lin-3"</f>
        <v>lin-3</v>
      </c>
      <c r="F4987" t="s">
        <v>11</v>
      </c>
      <c r="G4987" t="s">
        <v>25</v>
      </c>
      <c r="H4987" s="12">
        <v>-1.31803223034732</v>
      </c>
      <c r="I4987" s="20">
        <v>-1.2647789942877099</v>
      </c>
      <c r="J4987" s="28">
        <v>0.205950563372888</v>
      </c>
      <c r="K4987" s="29">
        <v>0.95505923882204002</v>
      </c>
    </row>
    <row r="4988" spans="1:11" x14ac:dyDescent="0.35">
      <c r="A4988" s="9" t="str">
        <f>HYPERLINK("http://www.ensembl.org/id/WBGene00003704", "WBGene00003704")</f>
        <v>WBGene00003704</v>
      </c>
      <c r="B4988" s="9" t="str">
        <f>HYPERLINK("http://www.ncbi.nlm.nih.gov/gene/178821", "178821")</f>
        <v>178821</v>
      </c>
      <c r="C4988" s="9"/>
      <c r="D4988" t="str">
        <f>"nhr-114"</f>
        <v>nhr-114</v>
      </c>
      <c r="E4988" t="s">
        <v>3939</v>
      </c>
      <c r="F4988" t="s">
        <v>11</v>
      </c>
      <c r="G4988" t="s">
        <v>3940</v>
      </c>
      <c r="H4988" s="12">
        <v>1.31143335351976</v>
      </c>
      <c r="I4988" s="20">
        <v>1.2640434650085199</v>
      </c>
      <c r="J4988" s="28">
        <v>0.206214426663341</v>
      </c>
      <c r="K4988" s="29">
        <v>0.95505923882204002</v>
      </c>
    </row>
    <row r="4989" spans="1:11" x14ac:dyDescent="0.35">
      <c r="A4989" s="9" t="str">
        <f>HYPERLINK("http://www.ensembl.org/id/WBGene00003777", "WBGene00003777")</f>
        <v>WBGene00003777</v>
      </c>
      <c r="B4989" s="9" t="str">
        <f>HYPERLINK("http://www.ncbi.nlm.nih.gov/gene/172562", "172562")</f>
        <v>172562</v>
      </c>
      <c r="C4989" s="9"/>
      <c r="D4989" t="str">
        <f>"nmy-2"</f>
        <v>nmy-2</v>
      </c>
      <c r="E4989" t="s">
        <v>3486</v>
      </c>
      <c r="F4989" t="s">
        <v>11</v>
      </c>
      <c r="G4989" t="s">
        <v>3941</v>
      </c>
      <c r="H4989" s="12">
        <v>-1.25395193959623</v>
      </c>
      <c r="I4989" s="20">
        <v>-1.2641980575845</v>
      </c>
      <c r="J4989" s="28">
        <v>0.206158947855198</v>
      </c>
      <c r="K4989" s="29">
        <v>0.95505923882204002</v>
      </c>
    </row>
    <row r="4990" spans="1:11" x14ac:dyDescent="0.35">
      <c r="A4990" s="9" t="str">
        <f>HYPERLINK("http://www.ensembl.org/id/WBGene00004110", "WBGene00004110")</f>
        <v>WBGene00004110</v>
      </c>
      <c r="B4990" s="9" t="str">
        <f>HYPERLINK("http://www.ncbi.nlm.nih.gov/gene/172402", "172402")</f>
        <v>172402</v>
      </c>
      <c r="C4990" s="9"/>
      <c r="D4990" t="str">
        <f>"pqn-20"</f>
        <v>pqn-20</v>
      </c>
      <c r="E4990" t="s">
        <v>432</v>
      </c>
      <c r="F4990" t="s">
        <v>11</v>
      </c>
      <c r="H4990" s="12">
        <v>-1.27157886374179</v>
      </c>
      <c r="I4990" s="20">
        <v>-1.2644442475800599</v>
      </c>
      <c r="J4990" s="28">
        <v>0.20607061975982199</v>
      </c>
      <c r="K4990" s="29">
        <v>0.95505923882204002</v>
      </c>
    </row>
    <row r="4991" spans="1:11" x14ac:dyDescent="0.35">
      <c r="A4991" s="9" t="str">
        <f>HYPERLINK("http://www.ensembl.org/id/WBGene00010630", "WBGene00010630")</f>
        <v>WBGene00010630</v>
      </c>
      <c r="B4991" s="9" t="str">
        <f>HYPERLINK("http://www.ncbi.nlm.nih.gov/gene/187090", "187090")</f>
        <v>187090</v>
      </c>
      <c r="C4991" s="9"/>
      <c r="D4991" t="str">
        <f>"ttll-15"</f>
        <v>ttll-15</v>
      </c>
      <c r="E4991" t="s">
        <v>3106</v>
      </c>
      <c r="F4991" t="s">
        <v>11</v>
      </c>
      <c r="G4991" t="s">
        <v>3938</v>
      </c>
      <c r="H4991" s="12">
        <v>2.2993484636808201</v>
      </c>
      <c r="I4991" s="20">
        <v>1.26471199584239</v>
      </c>
      <c r="J4991" s="28">
        <v>0.20597458819327499</v>
      </c>
      <c r="K4991" s="29">
        <v>0.95505923882204002</v>
      </c>
    </row>
    <row r="4992" spans="1:11" x14ac:dyDescent="0.35">
      <c r="A4992" s="9" t="str">
        <f>HYPERLINK("http://www.ensembl.org/id/WBGene00271822", "WBGene00271822")</f>
        <v>WBGene00271822</v>
      </c>
      <c r="B4992" s="9" t="str">
        <f>HYPERLINK("http://www.ncbi.nlm.nih.gov/gene/34700626", "34700626")</f>
        <v>34700626</v>
      </c>
      <c r="C4992" s="9"/>
      <c r="D4992" t="str">
        <f>"F11G11.15"</f>
        <v>F11G11.15</v>
      </c>
      <c r="F4992" t="s">
        <v>11</v>
      </c>
      <c r="G4992" t="s">
        <v>25</v>
      </c>
      <c r="H4992" s="12">
        <v>-7.7425813886882802</v>
      </c>
      <c r="I4992" s="20">
        <v>-1.26336760242861</v>
      </c>
      <c r="J4992" s="28">
        <v>0.20645710154015201</v>
      </c>
      <c r="K4992" s="29">
        <v>0.95564696899795798</v>
      </c>
    </row>
    <row r="4993" spans="1:11" x14ac:dyDescent="0.35">
      <c r="A4993" s="9" t="str">
        <f>HYPERLINK("http://www.ensembl.org/id/WBGene00020315", "WBGene00020315")</f>
        <v>WBGene00020315</v>
      </c>
      <c r="B4993" s="9" t="str">
        <f>HYPERLINK("http://www.ncbi.nlm.nih.gov/gene/175961", "175961")</f>
        <v>175961</v>
      </c>
      <c r="C4993" s="9"/>
      <c r="D4993" t="str">
        <f>"T07E3.4"</f>
        <v>T07E3.4</v>
      </c>
      <c r="F4993" t="s">
        <v>11</v>
      </c>
      <c r="G4993" t="s">
        <v>54</v>
      </c>
      <c r="H4993" s="12">
        <v>1.2951348936275799</v>
      </c>
      <c r="I4993" s="20">
        <v>1.2632293576443301</v>
      </c>
      <c r="J4993" s="28">
        <v>0.20650676517816999</v>
      </c>
      <c r="K4993" s="29">
        <v>0.95564696899795798</v>
      </c>
    </row>
    <row r="4994" spans="1:11" x14ac:dyDescent="0.35">
      <c r="A4994" s="9" t="str">
        <f>HYPERLINK("http://www.ensembl.org/id/WBGene00008974", "WBGene00008974")</f>
        <v>WBGene00008974</v>
      </c>
      <c r="B4994" s="9" t="str">
        <f>HYPERLINK("http://www.ncbi.nlm.nih.gov/gene/181592", "181592")</f>
        <v>181592</v>
      </c>
      <c r="C4994" s="9" t="str">
        <f>HYPERLINK("http://www.ncbi.nlm.nih.gov/gene/55773", "55773")</f>
        <v>55773</v>
      </c>
      <c r="D4994" t="str">
        <f>"tbc-1"</f>
        <v>tbc-1</v>
      </c>
      <c r="E4994" t="s">
        <v>1649</v>
      </c>
      <c r="F4994" t="s">
        <v>11</v>
      </c>
      <c r="G4994" t="s">
        <v>3947</v>
      </c>
      <c r="H4994" s="12">
        <v>-1.2682739780212799</v>
      </c>
      <c r="I4994" s="20">
        <v>-1.2632541476855299</v>
      </c>
      <c r="J4994" s="28">
        <v>0.206497858861238</v>
      </c>
      <c r="K4994" s="29">
        <v>0.95564696899795798</v>
      </c>
    </row>
    <row r="4995" spans="1:11" x14ac:dyDescent="0.35">
      <c r="A4995" s="9" t="str">
        <f>HYPERLINK("http://www.ensembl.org/id/WBGene00006599", "WBGene00006599")</f>
        <v>WBGene00006599</v>
      </c>
      <c r="B4995" s="9" t="str">
        <f>HYPERLINK("http://www.ncbi.nlm.nih.gov/gene/176825", "176825")</f>
        <v>176825</v>
      </c>
      <c r="C4995" s="9" t="str">
        <f>HYPERLINK("http://www.ncbi.nlm.nih.gov/gene/5580", "5580")</f>
        <v>5580</v>
      </c>
      <c r="D4995" t="str">
        <f>"tpa-1"</f>
        <v>tpa-1</v>
      </c>
      <c r="E4995" t="s">
        <v>3945</v>
      </c>
      <c r="F4995" t="s">
        <v>11</v>
      </c>
      <c r="G4995" t="s">
        <v>3946</v>
      </c>
      <c r="H4995" s="12">
        <v>1.2624487100870101</v>
      </c>
      <c r="I4995" s="20">
        <v>1.26345187293776</v>
      </c>
      <c r="J4995" s="28">
        <v>0.206426832102757</v>
      </c>
      <c r="K4995" s="29">
        <v>0.95564696899795798</v>
      </c>
    </row>
    <row r="4996" spans="1:11" x14ac:dyDescent="0.35">
      <c r="A4996" s="9" t="str">
        <f>HYPERLINK("http://www.ensembl.org/id/WBGene00020148", "WBGene00020148")</f>
        <v>WBGene00020148</v>
      </c>
      <c r="B4996" s="9" t="str">
        <f>HYPERLINK("http://www.ncbi.nlm.nih.gov/gene/173402", "173402")</f>
        <v>173402</v>
      </c>
      <c r="C4996" s="9"/>
      <c r="D4996" t="str">
        <f>"T01D1.3"</f>
        <v>T01D1.3</v>
      </c>
      <c r="F4996" t="s">
        <v>11</v>
      </c>
      <c r="G4996" t="s">
        <v>3948</v>
      </c>
      <c r="H4996" s="12">
        <v>2.2660123133471899</v>
      </c>
      <c r="I4996" s="20">
        <v>1.2630853618581599</v>
      </c>
      <c r="J4996" s="28">
        <v>0.206558504052828</v>
      </c>
      <c r="K4996" s="29">
        <v>0.95569499292043303</v>
      </c>
    </row>
    <row r="4997" spans="1:11" x14ac:dyDescent="0.35">
      <c r="A4997" s="9" t="str">
        <f>HYPERLINK("http://www.ensembl.org/id/WBGene00018009", "WBGene00018009")</f>
        <v>WBGene00018009</v>
      </c>
      <c r="B4997" s="9" t="str">
        <f>HYPERLINK("http://www.ncbi.nlm.nih.gov/gene/172257", "172257")</f>
        <v>172257</v>
      </c>
      <c r="C4997" s="9" t="str">
        <f>HYPERLINK("http://www.ncbi.nlm.nih.gov/gene/51304", "51304")</f>
        <v>51304</v>
      </c>
      <c r="D4997" t="str">
        <f>"dhhc-3"</f>
        <v>dhhc-3</v>
      </c>
      <c r="E4997" t="s">
        <v>2394</v>
      </c>
      <c r="F4997" t="s">
        <v>11</v>
      </c>
      <c r="G4997" t="s">
        <v>2395</v>
      </c>
      <c r="H4997" s="12">
        <v>-1.29763762739491</v>
      </c>
      <c r="I4997" s="20">
        <v>-1.2627064063186499</v>
      </c>
      <c r="J4997" s="28">
        <v>0.20669471088184399</v>
      </c>
      <c r="K4997" s="29">
        <v>0.95613373165883897</v>
      </c>
    </row>
    <row r="4998" spans="1:11" x14ac:dyDescent="0.35">
      <c r="A4998" s="9" t="str">
        <f>HYPERLINK("http://www.ensembl.org/id/WBGene00013266", "WBGene00013266")</f>
        <v>WBGene00013266</v>
      </c>
      <c r="B4998" s="9" t="str">
        <f>HYPERLINK("http://www.ncbi.nlm.nih.gov/gene/174868", "174868")</f>
        <v>174868</v>
      </c>
      <c r="C4998" s="9" t="str">
        <f>HYPERLINK("http://www.ncbi.nlm.nih.gov/gene/84553", "84553")</f>
        <v>84553</v>
      </c>
      <c r="D4998" t="str">
        <f>"Y57A10A.26"</f>
        <v>Y57A10A.26</v>
      </c>
      <c r="F4998" t="s">
        <v>11</v>
      </c>
      <c r="G4998" t="s">
        <v>318</v>
      </c>
      <c r="H4998" s="12">
        <v>1.26742423301567</v>
      </c>
      <c r="I4998" s="20">
        <v>1.2625664626095801</v>
      </c>
      <c r="J4998" s="28">
        <v>0.20674502690251101</v>
      </c>
      <c r="K4998" s="29">
        <v>0.95617505836857797</v>
      </c>
    </row>
    <row r="4999" spans="1:11" x14ac:dyDescent="0.35">
      <c r="A4999" s="9" t="str">
        <f>HYPERLINK("http://www.ensembl.org/id/WBGene00015000", "WBGene00015000")</f>
        <v>WBGene00015000</v>
      </c>
      <c r="B4999" s="9" t="str">
        <f>HYPERLINK("http://www.ncbi.nlm.nih.gov/gene/181811", "181811")</f>
        <v>181811</v>
      </c>
      <c r="C4999" s="9"/>
      <c r="D4999" t="str">
        <f>"AH9.4"</f>
        <v>AH9.4</v>
      </c>
      <c r="E4999" t="s">
        <v>3949</v>
      </c>
      <c r="F4999" t="s">
        <v>11</v>
      </c>
      <c r="G4999" t="s">
        <v>3950</v>
      </c>
      <c r="H4999" s="12">
        <v>1.88833077795918</v>
      </c>
      <c r="I4999" s="20">
        <v>1.26184204994556</v>
      </c>
      <c r="J4999" s="28">
        <v>0.20700562779149401</v>
      </c>
      <c r="K4999" s="29">
        <v>0.95636954269182795</v>
      </c>
    </row>
    <row r="5000" spans="1:11" x14ac:dyDescent="0.35">
      <c r="A5000" s="9" t="str">
        <f>HYPERLINK("http://www.ensembl.org/id/WBGene00002188", "WBGene00002188")</f>
        <v>WBGene00002188</v>
      </c>
      <c r="B5000" s="9" t="str">
        <f>HYPERLINK("http://www.ncbi.nlm.nih.gov/gene/191169", "191169")</f>
        <v>191169</v>
      </c>
      <c r="C5000" s="9"/>
      <c r="D5000" t="str">
        <f>"kgb-2"</f>
        <v>kgb-2</v>
      </c>
      <c r="E5000" t="s">
        <v>3953</v>
      </c>
      <c r="F5000" t="s">
        <v>11</v>
      </c>
      <c r="G5000" t="s">
        <v>3954</v>
      </c>
      <c r="H5000" s="12">
        <v>-1.75462505023751</v>
      </c>
      <c r="I5000" s="20">
        <v>-1.2618896619158999</v>
      </c>
      <c r="J5000" s="28">
        <v>0.206988492500536</v>
      </c>
      <c r="K5000" s="29">
        <v>0.95636954269182795</v>
      </c>
    </row>
    <row r="5001" spans="1:11" x14ac:dyDescent="0.35">
      <c r="A5001" s="9" t="str">
        <f>HYPERLINK("http://www.ensembl.org/id/WBGene00009665", "WBGene00009665")</f>
        <v>WBGene00009665</v>
      </c>
      <c r="B5001" s="9" t="str">
        <f>HYPERLINK("http://www.ncbi.nlm.nih.gov/gene/185715", "185715")</f>
        <v>185715</v>
      </c>
      <c r="C5001" s="9"/>
      <c r="D5001" t="str">
        <f>"lmd-1"</f>
        <v>lmd-1</v>
      </c>
      <c r="E5001" t="s">
        <v>2968</v>
      </c>
      <c r="F5001" t="s">
        <v>11</v>
      </c>
      <c r="G5001" t="s">
        <v>25</v>
      </c>
      <c r="H5001" s="12">
        <v>-1.3034567438711899</v>
      </c>
      <c r="I5001" s="20">
        <v>-1.2617592718117301</v>
      </c>
      <c r="J5001" s="28">
        <v>0.207035421645656</v>
      </c>
      <c r="K5001" s="29">
        <v>0.95636954269182795</v>
      </c>
    </row>
    <row r="5002" spans="1:11" x14ac:dyDescent="0.35">
      <c r="A5002" s="9" t="str">
        <f>HYPERLINK("http://www.ensembl.org/id/WBGene00019152", "WBGene00019152")</f>
        <v>WBGene00019152</v>
      </c>
      <c r="B5002" s="9" t="str">
        <f>HYPERLINK("http://www.ncbi.nlm.nih.gov/gene/186682", "186682")</f>
        <v>186682</v>
      </c>
      <c r="C5002" s="9"/>
      <c r="D5002" t="str">
        <f>"nspb-6"</f>
        <v>nspb-6</v>
      </c>
      <c r="E5002" t="s">
        <v>1851</v>
      </c>
      <c r="F5002" t="s">
        <v>11</v>
      </c>
      <c r="H5002" s="12">
        <v>2.35361711552317</v>
      </c>
      <c r="I5002" s="20">
        <v>1.2618078517401901</v>
      </c>
      <c r="J5002" s="28">
        <v>0.207017936176184</v>
      </c>
      <c r="K5002" s="29">
        <v>0.95636954269182795</v>
      </c>
    </row>
    <row r="5003" spans="1:11" x14ac:dyDescent="0.35">
      <c r="A5003" s="9" t="str">
        <f>HYPERLINK("http://www.ensembl.org/id/WBGene00004326", "WBGene00004326")</f>
        <v>WBGene00004326</v>
      </c>
      <c r="B5003" s="9" t="str">
        <f>HYPERLINK("http://www.ncbi.nlm.nih.gov/gene/176438", "176438")</f>
        <v>176438</v>
      </c>
      <c r="C5003" s="9"/>
      <c r="D5003" t="str">
        <f>"rde-4"</f>
        <v>rde-4</v>
      </c>
      <c r="E5003" t="s">
        <v>3951</v>
      </c>
      <c r="F5003" t="s">
        <v>11</v>
      </c>
      <c r="G5003" t="s">
        <v>3952</v>
      </c>
      <c r="H5003" s="12">
        <v>-1.2948605354073</v>
      </c>
      <c r="I5003" s="20">
        <v>-1.26175959498804</v>
      </c>
      <c r="J5003" s="28">
        <v>0.207035305320626</v>
      </c>
      <c r="K5003" s="29">
        <v>0.95636954269182795</v>
      </c>
    </row>
    <row r="5004" spans="1:11" x14ac:dyDescent="0.35">
      <c r="A5004" s="9" t="str">
        <f>HYPERLINK("http://www.ensembl.org/id/WBGene00022466", "WBGene00022466")</f>
        <v>WBGene00022466</v>
      </c>
      <c r="B5004" s="9" t="str">
        <f>HYPERLINK("http://www.ncbi.nlm.nih.gov/gene/191026", "191026")</f>
        <v>191026</v>
      </c>
      <c r="C5004" s="9"/>
      <c r="D5004" t="str">
        <f>"Y119C1A.1"</f>
        <v>Y119C1A.1</v>
      </c>
      <c r="F5004" t="s">
        <v>11</v>
      </c>
      <c r="G5004" t="s">
        <v>51</v>
      </c>
      <c r="H5004" s="12">
        <v>-1.2936818780282999</v>
      </c>
      <c r="I5004" s="20">
        <v>-1.26217756136681</v>
      </c>
      <c r="J5004" s="28">
        <v>0.20688490097555001</v>
      </c>
      <c r="K5004" s="29">
        <v>0.95636954269182795</v>
      </c>
    </row>
    <row r="5005" spans="1:11" x14ac:dyDescent="0.35">
      <c r="A5005" s="9" t="str">
        <f>HYPERLINK("http://www.ensembl.org/id/WBGene00012162", "WBGene00012162")</f>
        <v>WBGene00012162</v>
      </c>
      <c r="B5005" s="9" t="str">
        <f>HYPERLINK("http://www.ncbi.nlm.nih.gov/gene/189074", "189074")</f>
        <v>189074</v>
      </c>
      <c r="C5005" s="9"/>
      <c r="D5005" t="str">
        <f>"sek-6"</f>
        <v>sek-6</v>
      </c>
      <c r="E5005" t="s">
        <v>3955</v>
      </c>
      <c r="F5005" t="s">
        <v>11</v>
      </c>
      <c r="G5005" t="s">
        <v>3956</v>
      </c>
      <c r="H5005" s="12">
        <v>-1.38614629090245</v>
      </c>
      <c r="I5005" s="20">
        <v>-1.26162981290759</v>
      </c>
      <c r="J5005" s="28">
        <v>0.20708202327835001</v>
      </c>
      <c r="K5005" s="29">
        <v>0.95639360980802701</v>
      </c>
    </row>
    <row r="5006" spans="1:11" x14ac:dyDescent="0.35">
      <c r="A5006" s="9" t="str">
        <f>HYPERLINK("http://www.ensembl.org/id/WBGene00006633", "WBGene00006633")</f>
        <v>WBGene00006633</v>
      </c>
      <c r="B5006" s="9" t="str">
        <f>HYPERLINK("http://www.ncbi.nlm.nih.gov/gene/192062", "192062")</f>
        <v>192062</v>
      </c>
      <c r="C5006" s="9" t="str">
        <f>HYPERLINK("http://www.ncbi.nlm.nih.gov/gene/967", "967")</f>
        <v>967</v>
      </c>
      <c r="D5006" t="str">
        <f>"tsp-7"</f>
        <v>tsp-7</v>
      </c>
      <c r="E5006" t="s">
        <v>3957</v>
      </c>
      <c r="F5006" t="s">
        <v>11</v>
      </c>
      <c r="G5006" t="s">
        <v>868</v>
      </c>
      <c r="H5006" s="12">
        <v>1.3915316240137401</v>
      </c>
      <c r="I5006" s="20">
        <v>1.2613220606973501</v>
      </c>
      <c r="J5006" s="28">
        <v>0.207192836137744</v>
      </c>
      <c r="K5006" s="29">
        <v>0.956714163029317</v>
      </c>
    </row>
    <row r="5007" spans="1:11" x14ac:dyDescent="0.35">
      <c r="A5007" s="9" t="str">
        <f>HYPERLINK("http://www.ensembl.org/id/WBGene00000405", "WBGene00000405")</f>
        <v>WBGene00000405</v>
      </c>
      <c r="B5007" s="9" t="str">
        <f>HYPERLINK("http://www.ncbi.nlm.nih.gov/gene/176374", "176374")</f>
        <v>176374</v>
      </c>
      <c r="C5007" s="9" t="str">
        <f>HYPERLINK("http://www.ncbi.nlm.nih.gov/gene/983", "983")</f>
        <v>983</v>
      </c>
      <c r="D5007" t="str">
        <f>"cdk-1"</f>
        <v>cdk-1</v>
      </c>
      <c r="E5007" t="s">
        <v>3960</v>
      </c>
      <c r="F5007" t="s">
        <v>11</v>
      </c>
      <c r="G5007" t="s">
        <v>444</v>
      </c>
      <c r="H5007" s="12">
        <v>-1.3302743394713801</v>
      </c>
      <c r="I5007" s="20">
        <v>-1.26091419994666</v>
      </c>
      <c r="J5007" s="28">
        <v>0.207339761541562</v>
      </c>
      <c r="K5007" s="29">
        <v>0.95679376862628696</v>
      </c>
    </row>
    <row r="5008" spans="1:11" x14ac:dyDescent="0.35">
      <c r="A5008" s="9" t="str">
        <f>HYPERLINK("http://www.ensembl.org/id/WBGene00017141", "WBGene00017141")</f>
        <v>WBGene00017141</v>
      </c>
      <c r="B5008" s="9" t="str">
        <f>HYPERLINK("http://www.ncbi.nlm.nih.gov/gene/184045", "184045")</f>
        <v>184045</v>
      </c>
      <c r="C5008" s="9"/>
      <c r="D5008" t="str">
        <f>"EEED8.13"</f>
        <v>EEED8.13</v>
      </c>
      <c r="F5008" t="s">
        <v>11</v>
      </c>
      <c r="H5008" s="12">
        <v>-2.8858004346408999</v>
      </c>
      <c r="I5008" s="20">
        <v>-1.26088554220032</v>
      </c>
      <c r="J5008" s="28">
        <v>0.20735008788442599</v>
      </c>
      <c r="K5008" s="29">
        <v>0.95679376862628696</v>
      </c>
    </row>
    <row r="5009" spans="1:11" x14ac:dyDescent="0.35">
      <c r="A5009" s="9" t="str">
        <f>HYPERLINK("http://www.ensembl.org/id/WBGene00012342", "WBGene00012342")</f>
        <v>WBGene00012342</v>
      </c>
      <c r="B5009" s="9" t="str">
        <f>HYPERLINK("http://www.ncbi.nlm.nih.gov/gene/177824", "177824")</f>
        <v>177824</v>
      </c>
      <c r="C5009" s="9" t="str">
        <f>HYPERLINK("http://www.ncbi.nlm.nih.gov/gene/23517", "23517")</f>
        <v>23517</v>
      </c>
      <c r="D5009" t="str">
        <f>"mtr-4"</f>
        <v>mtr-4</v>
      </c>
      <c r="E5009" t="s">
        <v>3958</v>
      </c>
      <c r="F5009" t="s">
        <v>11</v>
      </c>
      <c r="G5009" t="s">
        <v>3959</v>
      </c>
      <c r="H5009" s="12">
        <v>-1.3085573744041901</v>
      </c>
      <c r="I5009" s="20">
        <v>-1.2608144354135</v>
      </c>
      <c r="J5009" s="28">
        <v>0.20737571164547899</v>
      </c>
      <c r="K5009" s="29">
        <v>0.95679376862628696</v>
      </c>
    </row>
    <row r="5010" spans="1:11" x14ac:dyDescent="0.35">
      <c r="A5010" s="9" t="str">
        <f>HYPERLINK("http://www.ensembl.org/id/WBGene00013001", "WBGene00013001")</f>
        <v>WBGene00013001</v>
      </c>
      <c r="B5010" s="9" t="str">
        <f>HYPERLINK("http://www.ncbi.nlm.nih.gov/gene/174998", "174998")</f>
        <v>174998</v>
      </c>
      <c r="C5010" s="9" t="str">
        <f>HYPERLINK("http://www.ncbi.nlm.nih.gov/gene/84273", "84273")</f>
        <v>84273</v>
      </c>
      <c r="D5010" t="str">
        <f>"Y48E1B.2"</f>
        <v>Y48E1B.2</v>
      </c>
      <c r="F5010" t="s">
        <v>11</v>
      </c>
      <c r="G5010" t="s">
        <v>3900</v>
      </c>
      <c r="H5010" s="12">
        <v>-1.2894297606479199</v>
      </c>
      <c r="I5010" s="20">
        <v>-1.2611218937492299</v>
      </c>
      <c r="J5010" s="28">
        <v>0.207264933680984</v>
      </c>
      <c r="K5010" s="29">
        <v>0.95679376862628696</v>
      </c>
    </row>
    <row r="5011" spans="1:11" x14ac:dyDescent="0.35">
      <c r="A5011" s="9" t="str">
        <f>HYPERLINK("http://www.ensembl.org/id/WBGene00010905", "WBGene00010905")</f>
        <v>WBGene00010905</v>
      </c>
      <c r="B5011" s="9" t="str">
        <f>HYPERLINK("http://www.ncbi.nlm.nih.gov/gene/175592", "175592")</f>
        <v>175592</v>
      </c>
      <c r="C5011" s="9"/>
      <c r="D5011" t="str">
        <f>"mrps-34"</f>
        <v>mrps-34</v>
      </c>
      <c r="E5011" t="s">
        <v>3053</v>
      </c>
      <c r="F5011" t="s">
        <v>11</v>
      </c>
      <c r="G5011" t="s">
        <v>3963</v>
      </c>
      <c r="H5011" s="12">
        <v>-1.3338890636048299</v>
      </c>
      <c r="I5011" s="20">
        <v>-1.2603872851344999</v>
      </c>
      <c r="J5011" s="28">
        <v>0.20752968618795201</v>
      </c>
      <c r="K5011" s="29">
        <v>0.95693093774871896</v>
      </c>
    </row>
    <row r="5012" spans="1:11" x14ac:dyDescent="0.35">
      <c r="A5012" s="9" t="str">
        <f>HYPERLINK("http://www.ensembl.org/id/WBGene00007635", "WBGene00007635")</f>
        <v>WBGene00007635</v>
      </c>
      <c r="B5012" s="9" t="str">
        <f>HYPERLINK("http://www.ncbi.nlm.nih.gov/gene/182684", "182684")</f>
        <v>182684</v>
      </c>
      <c r="C5012" s="9"/>
      <c r="D5012" t="str">
        <f>"npr-4"</f>
        <v>npr-4</v>
      </c>
      <c r="E5012" t="s">
        <v>1021</v>
      </c>
      <c r="F5012" t="s">
        <v>11</v>
      </c>
      <c r="G5012" t="s">
        <v>3961</v>
      </c>
      <c r="H5012" s="12">
        <v>1.38081606488372</v>
      </c>
      <c r="I5012" s="20">
        <v>1.2604060122195799</v>
      </c>
      <c r="J5012" s="28">
        <v>0.20752293391172499</v>
      </c>
      <c r="K5012" s="29">
        <v>0.95693093774871896</v>
      </c>
    </row>
    <row r="5013" spans="1:11" x14ac:dyDescent="0.35">
      <c r="A5013" s="9" t="str">
        <f>HYPERLINK("http://www.ensembl.org/id/WBGene00016990", "WBGene00016990")</f>
        <v>WBGene00016990</v>
      </c>
      <c r="B5013" s="9" t="str">
        <f>HYPERLINK("http://www.ncbi.nlm.nih.gov/gene/178944", "178944")</f>
        <v>178944</v>
      </c>
      <c r="C5013" s="9"/>
      <c r="D5013" t="str">
        <f>"vps-37"</f>
        <v>vps-37</v>
      </c>
      <c r="E5013" t="s">
        <v>2992</v>
      </c>
      <c r="F5013" t="s">
        <v>11</v>
      </c>
      <c r="G5013" t="s">
        <v>3962</v>
      </c>
      <c r="H5013" s="12">
        <v>-1.28221271023308</v>
      </c>
      <c r="I5013" s="20">
        <v>-1.26059305994992</v>
      </c>
      <c r="J5013" s="28">
        <v>0.20745550034377599</v>
      </c>
      <c r="K5013" s="29">
        <v>0.95693093774871896</v>
      </c>
    </row>
    <row r="5014" spans="1:11" x14ac:dyDescent="0.35">
      <c r="A5014" s="9" t="str">
        <f>HYPERLINK("http://www.ensembl.org/id/WBGene00015382", "WBGene00015382")</f>
        <v>WBGene00015382</v>
      </c>
      <c r="B5014" s="9" t="str">
        <f>HYPERLINK("http://www.ncbi.nlm.nih.gov/gene/182152", "182152")</f>
        <v>182152</v>
      </c>
      <c r="C5014" s="9"/>
      <c r="D5014" t="str">
        <f>"C03B1.14"</f>
        <v>C03B1.14</v>
      </c>
      <c r="F5014" t="s">
        <v>11</v>
      </c>
      <c r="H5014" s="12">
        <v>-1.4892903038149401</v>
      </c>
      <c r="I5014" s="20">
        <v>-1.26005551948029</v>
      </c>
      <c r="J5014" s="28">
        <v>0.20764933471664301</v>
      </c>
      <c r="K5014" s="29">
        <v>0.95702385773896403</v>
      </c>
    </row>
    <row r="5015" spans="1:11" x14ac:dyDescent="0.35">
      <c r="A5015" s="9" t="str">
        <f>HYPERLINK("http://www.ensembl.org/id/WBGene00008750", "WBGene00008750")</f>
        <v>WBGene00008750</v>
      </c>
      <c r="B5015" s="9" t="str">
        <f>HYPERLINK("http://www.ncbi.nlm.nih.gov/gene/177981", "177981")</f>
        <v>177981</v>
      </c>
      <c r="C5015" s="9"/>
      <c r="D5015" t="str">
        <f>"F13E9.1"</f>
        <v>F13E9.1</v>
      </c>
      <c r="F5015" t="s">
        <v>11</v>
      </c>
      <c r="G5015" t="s">
        <v>3966</v>
      </c>
      <c r="H5015" s="12">
        <v>-1.28081701693792</v>
      </c>
      <c r="I5015" s="20">
        <v>-1.2599281318389199</v>
      </c>
      <c r="J5015" s="28">
        <v>0.20769528930408401</v>
      </c>
      <c r="K5015" s="29">
        <v>0.95702385773896403</v>
      </c>
    </row>
    <row r="5016" spans="1:11" x14ac:dyDescent="0.35">
      <c r="A5016" s="9" t="str">
        <f>HYPERLINK("http://www.ensembl.org/id/WBGene00006920", "WBGene00006920")</f>
        <v>WBGene00006920</v>
      </c>
      <c r="B5016" s="9" t="str">
        <f>HYPERLINK("http://www.ncbi.nlm.nih.gov/gene/177017", "177017")</f>
        <v>177017</v>
      </c>
      <c r="C5016" s="9"/>
      <c r="D5016" t="str">
        <f>"vha-11"</f>
        <v>vha-11</v>
      </c>
      <c r="E5016" t="s">
        <v>3964</v>
      </c>
      <c r="F5016" t="s">
        <v>11</v>
      </c>
      <c r="G5016" t="s">
        <v>3965</v>
      </c>
      <c r="H5016" s="12">
        <v>1.2825556260072499</v>
      </c>
      <c r="I5016" s="20">
        <v>1.2598720771791101</v>
      </c>
      <c r="J5016" s="28">
        <v>0.20771551313775199</v>
      </c>
      <c r="K5016" s="29">
        <v>0.95702385773896403</v>
      </c>
    </row>
    <row r="5017" spans="1:11" x14ac:dyDescent="0.35">
      <c r="A5017" s="9" t="str">
        <f>HYPERLINK("http://www.ensembl.org/id/WBGene00044401", "WBGene00044401")</f>
        <v>WBGene00044401</v>
      </c>
      <c r="B5017" s="9" t="str">
        <f>HYPERLINK("http://www.ncbi.nlm.nih.gov/gene/3565001", "3565001")</f>
        <v>3565001</v>
      </c>
      <c r="C5017" s="9"/>
      <c r="D5017" t="str">
        <f>"Y55B1BR.6"</f>
        <v>Y55B1BR.6</v>
      </c>
      <c r="F5017" t="s">
        <v>11</v>
      </c>
      <c r="H5017" s="12">
        <v>1.37250493974916</v>
      </c>
      <c r="I5017" s="20">
        <v>1.2601175465231</v>
      </c>
      <c r="J5017" s="28">
        <v>0.207626961376534</v>
      </c>
      <c r="K5017" s="29">
        <v>0.95702385773896403</v>
      </c>
    </row>
    <row r="5018" spans="1:11" x14ac:dyDescent="0.35">
      <c r="A5018" s="9" t="str">
        <f>HYPERLINK("http://www.ensembl.org/id/WBGene00016217", "WBGene00016217")</f>
        <v>WBGene00016217</v>
      </c>
      <c r="B5018" s="9" t="str">
        <f>HYPERLINK("http://www.ncbi.nlm.nih.gov/gene/175179", "175179")</f>
        <v>175179</v>
      </c>
      <c r="C5018" s="9"/>
      <c r="D5018" t="str">
        <f>"C29F9.2"</f>
        <v>C29F9.2</v>
      </c>
      <c r="E5018" t="s">
        <v>3970</v>
      </c>
      <c r="F5018" t="s">
        <v>11</v>
      </c>
      <c r="H5018" s="12">
        <v>-1.63353805407019</v>
      </c>
      <c r="I5018" s="20">
        <v>-1.25936284630157</v>
      </c>
      <c r="J5018" s="28">
        <v>0.207899302821897</v>
      </c>
      <c r="K5018" s="29">
        <v>0.95738139437213698</v>
      </c>
    </row>
    <row r="5019" spans="1:11" x14ac:dyDescent="0.35">
      <c r="A5019" s="9" t="str">
        <f>HYPERLINK("http://www.ensembl.org/id/WBGene00003030", "WBGene00003030")</f>
        <v>WBGene00003030</v>
      </c>
      <c r="B5019" s="9" t="str">
        <f>HYPERLINK("http://www.ncbi.nlm.nih.gov/gene/177436", "177436")</f>
        <v>177436</v>
      </c>
      <c r="C5019" s="9" t="str">
        <f>HYPERLINK("http://www.ncbi.nlm.nih.gov/gene/673", "673")</f>
        <v>673</v>
      </c>
      <c r="D5019" t="str">
        <f>"lin-45"</f>
        <v>lin-45</v>
      </c>
      <c r="E5019" t="s">
        <v>3968</v>
      </c>
      <c r="F5019" t="s">
        <v>11</v>
      </c>
      <c r="G5019" t="s">
        <v>3969</v>
      </c>
      <c r="H5019" s="12">
        <v>-1.2721805668208299</v>
      </c>
      <c r="I5019" s="20">
        <v>-1.2593753209879099</v>
      </c>
      <c r="J5019" s="28">
        <v>0.20789479909658601</v>
      </c>
      <c r="K5019" s="29">
        <v>0.95738139437213698</v>
      </c>
    </row>
    <row r="5020" spans="1:11" x14ac:dyDescent="0.35">
      <c r="A5020" s="9" t="str">
        <f>HYPERLINK("http://www.ensembl.org/id/WBGene00018142", "WBGene00018142")</f>
        <v>WBGene00018142</v>
      </c>
      <c r="B5020" s="9" t="str">
        <f>HYPERLINK("http://www.ncbi.nlm.nih.gov/gene/185418", "185418")</f>
        <v>185418</v>
      </c>
      <c r="C5020" s="9"/>
      <c r="D5020" t="str">
        <f>"oac-22"</f>
        <v>oac-22</v>
      </c>
      <c r="E5020" t="s">
        <v>883</v>
      </c>
      <c r="F5020" t="s">
        <v>11</v>
      </c>
      <c r="G5020" t="s">
        <v>1992</v>
      </c>
      <c r="H5020" s="12">
        <v>2.4381427470788002</v>
      </c>
      <c r="I5020" s="20">
        <v>1.25914873223212</v>
      </c>
      <c r="J5020" s="28">
        <v>0.20797661527046399</v>
      </c>
      <c r="K5020" s="29">
        <v>0.95738139437213698</v>
      </c>
    </row>
    <row r="5021" spans="1:11" x14ac:dyDescent="0.35">
      <c r="A5021" s="9" t="str">
        <f>HYPERLINK("http://www.ensembl.org/id/WBGene00007402", "WBGene00007402")</f>
        <v>WBGene00007402</v>
      </c>
      <c r="B5021" s="9" t="str">
        <f>HYPERLINK("http://www.ncbi.nlm.nih.gov/gene/176366", "176366")</f>
        <v>176366</v>
      </c>
      <c r="C5021" s="9"/>
      <c r="D5021" t="str">
        <f>"ugt-60"</f>
        <v>ugt-60</v>
      </c>
      <c r="E5021" t="s">
        <v>3967</v>
      </c>
      <c r="F5021" t="s">
        <v>11</v>
      </c>
      <c r="G5021" t="s">
        <v>104</v>
      </c>
      <c r="H5021" s="12">
        <v>1.6034670423523401</v>
      </c>
      <c r="I5021" s="20">
        <v>1.25908318955871</v>
      </c>
      <c r="J5021" s="28">
        <v>0.20800028562919301</v>
      </c>
      <c r="K5021" s="29">
        <v>0.95738139437213698</v>
      </c>
    </row>
    <row r="5022" spans="1:11" x14ac:dyDescent="0.35">
      <c r="A5022" s="9" t="str">
        <f>HYPERLINK("http://www.ensembl.org/id/WBGene00014073", "WBGene00014073")</f>
        <v>WBGene00014073</v>
      </c>
      <c r="B5022" s="9" t="str">
        <f>HYPERLINK("http://www.ncbi.nlm.nih.gov/gene/353421", "353421")</f>
        <v>353421</v>
      </c>
      <c r="C5022" s="9"/>
      <c r="D5022" t="str">
        <f>"ZK757.1"</f>
        <v>ZK757.1</v>
      </c>
      <c r="F5022" t="s">
        <v>11</v>
      </c>
      <c r="G5022" t="s">
        <v>25</v>
      </c>
      <c r="H5022" s="12">
        <v>1.7161903443715201</v>
      </c>
      <c r="I5022" s="20">
        <v>1.2590937632019801</v>
      </c>
      <c r="J5022" s="28">
        <v>0.20799646688672099</v>
      </c>
      <c r="K5022" s="29">
        <v>0.95738139437213698</v>
      </c>
    </row>
    <row r="5023" spans="1:11" x14ac:dyDescent="0.35">
      <c r="A5023" s="9" t="str">
        <f>HYPERLINK("http://www.ensembl.org/id/WBGene00020501", "WBGene00020501")</f>
        <v>WBGene00020501</v>
      </c>
      <c r="B5023" s="9" t="str">
        <f>HYPERLINK("http://www.ncbi.nlm.nih.gov/gene/174108", "174108")</f>
        <v>174108</v>
      </c>
      <c r="C5023" s="9"/>
      <c r="D5023" t="str">
        <f>"T14B4.5"</f>
        <v>T14B4.5</v>
      </c>
      <c r="F5023" t="s">
        <v>11</v>
      </c>
      <c r="G5023" t="s">
        <v>25</v>
      </c>
      <c r="H5023" s="12">
        <v>1.7059525717794</v>
      </c>
      <c r="I5023" s="20">
        <v>1.2588561855484299</v>
      </c>
      <c r="J5023" s="28">
        <v>0.208082281918613</v>
      </c>
      <c r="K5023" s="29">
        <v>0.95756805536974199</v>
      </c>
    </row>
    <row r="5024" spans="1:11" x14ac:dyDescent="0.35">
      <c r="A5024" s="9" t="str">
        <f>HYPERLINK("http://www.ensembl.org/id/WBGene00018999", "WBGene00018999")</f>
        <v>WBGene00018999</v>
      </c>
      <c r="B5024" s="9" t="str">
        <f>HYPERLINK("http://www.ncbi.nlm.nih.gov/gene/175967", "175967")</f>
        <v>175967</v>
      </c>
      <c r="C5024" s="9"/>
      <c r="D5024" t="str">
        <f>"F57B9.8"</f>
        <v>F57B9.8</v>
      </c>
      <c r="E5024" t="s">
        <v>2588</v>
      </c>
      <c r="F5024" t="s">
        <v>11</v>
      </c>
      <c r="G5024" t="s">
        <v>2589</v>
      </c>
      <c r="H5024" s="12">
        <v>-1.9533059794791101</v>
      </c>
      <c r="I5024" s="20">
        <v>-1.2583253648399499</v>
      </c>
      <c r="J5024" s="28">
        <v>0.208274111542011</v>
      </c>
      <c r="K5024" s="29">
        <v>0.95765770263515204</v>
      </c>
    </row>
    <row r="5025" spans="1:11" x14ac:dyDescent="0.35">
      <c r="A5025" s="9" t="str">
        <f>HYPERLINK("http://www.ensembl.org/id/WBGene00019891", "WBGene00019891")</f>
        <v>WBGene00019891</v>
      </c>
      <c r="B5025" s="9" t="str">
        <f>HYPERLINK("http://www.ncbi.nlm.nih.gov/gene/187617", "187617")</f>
        <v>187617</v>
      </c>
      <c r="C5025" s="9"/>
      <c r="D5025" t="str">
        <f>"R05F9.7"</f>
        <v>R05F9.7</v>
      </c>
      <c r="F5025" t="s">
        <v>11</v>
      </c>
      <c r="G5025" t="s">
        <v>2639</v>
      </c>
      <c r="H5025" s="12">
        <v>12.357271690617001</v>
      </c>
      <c r="I5025" s="20">
        <v>1.2582288782828099</v>
      </c>
      <c r="J5025" s="28">
        <v>0.20830899391691701</v>
      </c>
      <c r="K5025" s="29">
        <v>0.95765770263515204</v>
      </c>
    </row>
    <row r="5026" spans="1:11" x14ac:dyDescent="0.35">
      <c r="A5026" s="9" t="str">
        <f>HYPERLINK("http://www.ensembl.org/id/WBGene00005596", "WBGene00005596")</f>
        <v>WBGene00005596</v>
      </c>
      <c r="B5026" s="9" t="str">
        <f>HYPERLINK("http://www.ncbi.nlm.nih.gov/gene/189015", "189015")</f>
        <v>189015</v>
      </c>
      <c r="C5026" s="9"/>
      <c r="D5026" t="str">
        <f>"srj-8"</f>
        <v>srj-8</v>
      </c>
      <c r="E5026" t="s">
        <v>3123</v>
      </c>
      <c r="F5026" t="s">
        <v>11</v>
      </c>
      <c r="G5026" t="s">
        <v>25</v>
      </c>
      <c r="H5026" s="12">
        <v>12.357271690617001</v>
      </c>
      <c r="I5026" s="20">
        <v>1.2582288782828099</v>
      </c>
      <c r="J5026" s="28">
        <v>0.20830899391691701</v>
      </c>
      <c r="K5026" s="29">
        <v>0.95765770263515204</v>
      </c>
    </row>
    <row r="5027" spans="1:11" x14ac:dyDescent="0.35">
      <c r="A5027" s="9" t="str">
        <f>HYPERLINK("http://www.ensembl.org/id/WBGene00005838", "WBGene00005838")</f>
        <v>WBGene00005838</v>
      </c>
      <c r="B5027" s="9" t="str">
        <f>HYPERLINK("http://www.ncbi.nlm.nih.gov/gene/186991", "186991")</f>
        <v>186991</v>
      </c>
      <c r="C5027" s="9"/>
      <c r="D5027" t="str">
        <f>"srw-91"</f>
        <v>srw-91</v>
      </c>
      <c r="E5027" t="s">
        <v>1014</v>
      </c>
      <c r="F5027" t="s">
        <v>11</v>
      </c>
      <c r="G5027" t="s">
        <v>1015</v>
      </c>
      <c r="H5027" s="12">
        <v>12.357271690617001</v>
      </c>
      <c r="I5027" s="20">
        <v>1.2582288782828099</v>
      </c>
      <c r="J5027" s="28">
        <v>0.20830899391691701</v>
      </c>
      <c r="K5027" s="29">
        <v>0.95765770263515204</v>
      </c>
    </row>
    <row r="5028" spans="1:11" x14ac:dyDescent="0.35">
      <c r="A5028" s="9" t="str">
        <f>HYPERLINK("http://www.ensembl.org/id/WBGene00011613", "WBGene00011613")</f>
        <v>WBGene00011613</v>
      </c>
      <c r="B5028" s="9" t="str">
        <f>HYPERLINK("http://www.ncbi.nlm.nih.gov/gene/353486", "353486")</f>
        <v>353486</v>
      </c>
      <c r="C5028" s="9"/>
      <c r="D5028" t="str">
        <f>"T08D2.8"</f>
        <v>T08D2.8</v>
      </c>
      <c r="F5028" t="s">
        <v>11</v>
      </c>
      <c r="G5028" t="s">
        <v>3971</v>
      </c>
      <c r="H5028" s="12">
        <v>1.6309099972902199</v>
      </c>
      <c r="I5028" s="20">
        <v>1.2584723411457099</v>
      </c>
      <c r="J5028" s="28">
        <v>0.20822098396153399</v>
      </c>
      <c r="K5028" s="29">
        <v>0.95765770263515204</v>
      </c>
    </row>
    <row r="5029" spans="1:11" x14ac:dyDescent="0.35">
      <c r="A5029" s="9" t="str">
        <f>HYPERLINK("http://www.ensembl.org/id/WBGene00001835", "WBGene00001835")</f>
        <v>WBGene00001835</v>
      </c>
      <c r="B5029" s="9" t="str">
        <f>HYPERLINK("http://www.ncbi.nlm.nih.gov/gene/174285", "174285")</f>
        <v>174285</v>
      </c>
      <c r="C5029" s="9"/>
      <c r="D5029" t="str">
        <f>"hda-2"</f>
        <v>hda-2</v>
      </c>
      <c r="E5029" t="s">
        <v>3972</v>
      </c>
      <c r="F5029" t="s">
        <v>11</v>
      </c>
      <c r="G5029" t="s">
        <v>3973</v>
      </c>
      <c r="H5029" s="12">
        <v>-1.3269556534884801</v>
      </c>
      <c r="I5029" s="20">
        <v>-1.25777173953369</v>
      </c>
      <c r="J5029" s="28">
        <v>0.208474318914213</v>
      </c>
      <c r="K5029" s="29">
        <v>0.95822709624662705</v>
      </c>
    </row>
    <row r="5030" spans="1:11" x14ac:dyDescent="0.35">
      <c r="A5030" s="9" t="str">
        <f>HYPERLINK("http://www.ensembl.org/id/WBGene00001081", "WBGene00001081")</f>
        <v>WBGene00001081</v>
      </c>
      <c r="B5030" s="9" t="str">
        <f>HYPERLINK("http://www.ncbi.nlm.nih.gov/gene/181194", "181194")</f>
        <v>181194</v>
      </c>
      <c r="C5030" s="9"/>
      <c r="D5030" t="str">
        <f>"dpy-22"</f>
        <v>dpy-22</v>
      </c>
      <c r="E5030" t="s">
        <v>3975</v>
      </c>
      <c r="F5030" t="s">
        <v>11</v>
      </c>
      <c r="G5030" t="s">
        <v>1666</v>
      </c>
      <c r="H5030" s="12">
        <v>1.26048999410097</v>
      </c>
      <c r="I5030" s="20">
        <v>1.2573187669202099</v>
      </c>
      <c r="J5030" s="28">
        <v>0.20863823101086901</v>
      </c>
      <c r="K5030" s="29">
        <v>0.958495455932041</v>
      </c>
    </row>
    <row r="5031" spans="1:11" x14ac:dyDescent="0.35">
      <c r="A5031" s="9" t="str">
        <f>HYPERLINK("http://www.ensembl.org/id/WBGene00007331", "WBGene00007331")</f>
        <v>WBGene00007331</v>
      </c>
      <c r="B5031" s="9" t="str">
        <f>HYPERLINK("http://www.ncbi.nlm.nih.gov/gene/174547", "174547")</f>
        <v>174547</v>
      </c>
      <c r="C5031" s="9"/>
      <c r="D5031" t="str">
        <f>"pho-11"</f>
        <v>pho-11</v>
      </c>
      <c r="E5031" t="s">
        <v>3976</v>
      </c>
      <c r="F5031" t="s">
        <v>11</v>
      </c>
      <c r="H5031" s="12">
        <v>-1.27586097074517</v>
      </c>
      <c r="I5031" s="20">
        <v>-1.2574623019948701</v>
      </c>
      <c r="J5031" s="28">
        <v>0.20858628148463601</v>
      </c>
      <c r="K5031" s="29">
        <v>0.958495455932041</v>
      </c>
    </row>
    <row r="5032" spans="1:11" x14ac:dyDescent="0.35">
      <c r="A5032" s="9" t="str">
        <f>HYPERLINK("http://www.ensembl.org/id/WBGene00044070", "WBGene00044070")</f>
        <v>WBGene00044070</v>
      </c>
      <c r="B5032" s="9" t="str">
        <f>HYPERLINK("http://www.ncbi.nlm.nih.gov/gene/172949", "172949")</f>
        <v>172949</v>
      </c>
      <c r="C5032" s="9" t="str">
        <f>HYPERLINK("http://www.ncbi.nlm.nih.gov/gene/64754", "64754")</f>
        <v>64754</v>
      </c>
      <c r="D5032" t="str">
        <f>"set-18"</f>
        <v>set-18</v>
      </c>
      <c r="E5032" t="s">
        <v>2055</v>
      </c>
      <c r="F5032" t="s">
        <v>11</v>
      </c>
      <c r="G5032" t="s">
        <v>3974</v>
      </c>
      <c r="H5032" s="12">
        <v>1.3162457639777301</v>
      </c>
      <c r="I5032" s="20">
        <v>1.2572664964843401</v>
      </c>
      <c r="J5032" s="28">
        <v>0.208657151533721</v>
      </c>
      <c r="K5032" s="29">
        <v>0.958495455932041</v>
      </c>
    </row>
    <row r="5033" spans="1:11" x14ac:dyDescent="0.35">
      <c r="A5033" s="9" t="str">
        <f>HYPERLINK("http://www.ensembl.org/id/WBGene00004778", "WBGene00004778")</f>
        <v>WBGene00004778</v>
      </c>
      <c r="B5033" s="9" t="str">
        <f>HYPERLINK("http://www.ncbi.nlm.nih.gov/gene/259744", "259744")</f>
        <v>259744</v>
      </c>
      <c r="C5033" s="9"/>
      <c r="D5033" t="str">
        <f>"ser-3"</f>
        <v>ser-3</v>
      </c>
      <c r="E5033" t="s">
        <v>2146</v>
      </c>
      <c r="F5033" t="s">
        <v>11</v>
      </c>
      <c r="G5033" t="s">
        <v>3977</v>
      </c>
      <c r="H5033" s="12">
        <v>-1.26872061844043</v>
      </c>
      <c r="I5033" s="20">
        <v>-1.2567123371145801</v>
      </c>
      <c r="J5033" s="28">
        <v>0.20885781912698601</v>
      </c>
      <c r="K5033" s="29">
        <v>0.95922654914493</v>
      </c>
    </row>
    <row r="5034" spans="1:11" x14ac:dyDescent="0.35">
      <c r="A5034" s="9" t="str">
        <f>HYPERLINK("http://www.ensembl.org/id/WBGene00015744", "WBGene00015744")</f>
        <v>WBGene00015744</v>
      </c>
      <c r="B5034" s="9" t="str">
        <f>HYPERLINK("http://www.ncbi.nlm.nih.gov/gene/179110", "179110")</f>
        <v>179110</v>
      </c>
      <c r="C5034" s="9"/>
      <c r="D5034" t="str">
        <f>"C13F10.5"</f>
        <v>C13F10.5</v>
      </c>
      <c r="F5034" t="s">
        <v>11</v>
      </c>
      <c r="G5034" t="s">
        <v>25</v>
      </c>
      <c r="H5034" s="12">
        <v>-1.2950435555139299</v>
      </c>
      <c r="I5034" s="20">
        <v>-1.2565453189308999</v>
      </c>
      <c r="J5034" s="28">
        <v>0.20891832578042099</v>
      </c>
      <c r="K5034" s="29">
        <v>0.95931375903863403</v>
      </c>
    </row>
    <row r="5035" spans="1:11" x14ac:dyDescent="0.35">
      <c r="A5035" s="9" t="str">
        <f>HYPERLINK("http://www.ensembl.org/id/WBGene00001249", "WBGene00001249")</f>
        <v>WBGene00001249</v>
      </c>
      <c r="B5035" s="9" t="str">
        <f>HYPERLINK("http://www.ncbi.nlm.nih.gov/gene/177794", "177794")</f>
        <v>177794</v>
      </c>
      <c r="C5035" s="9"/>
      <c r="D5035" t="str">
        <f>"elt-1"</f>
        <v>elt-1</v>
      </c>
      <c r="E5035" t="s">
        <v>3978</v>
      </c>
      <c r="F5035" t="s">
        <v>11</v>
      </c>
      <c r="G5035" t="s">
        <v>3979</v>
      </c>
      <c r="H5035" s="12">
        <v>1.3618954786305499</v>
      </c>
      <c r="I5035" s="20">
        <v>1.2564299767929401</v>
      </c>
      <c r="J5035" s="28">
        <v>0.20896011886425001</v>
      </c>
      <c r="K5035" s="29">
        <v>0.95931502214928499</v>
      </c>
    </row>
    <row r="5036" spans="1:11" x14ac:dyDescent="0.35">
      <c r="A5036" s="9" t="str">
        <f>HYPERLINK("http://www.ensembl.org/id/WBGene00002783", "WBGene00002783")</f>
        <v>WBGene00002783</v>
      </c>
      <c r="B5036" s="9" t="str">
        <f>HYPERLINK("http://www.ncbi.nlm.nih.gov/gene/266837", "266837")</f>
        <v>266837</v>
      </c>
      <c r="C5036" s="9"/>
      <c r="D5036" t="str">
        <f>"let-607"</f>
        <v>let-607</v>
      </c>
      <c r="F5036" t="s">
        <v>11</v>
      </c>
      <c r="G5036" t="s">
        <v>3980</v>
      </c>
      <c r="H5036" s="12">
        <v>-1.2561044062533799</v>
      </c>
      <c r="I5036" s="20">
        <v>-1.2558974142724599</v>
      </c>
      <c r="J5036" s="28">
        <v>0.20915316618406499</v>
      </c>
      <c r="K5036" s="29">
        <v>0.95962928074841403</v>
      </c>
    </row>
    <row r="5037" spans="1:11" x14ac:dyDescent="0.35">
      <c r="A5037" s="9" t="str">
        <f>HYPERLINK("http://www.ensembl.org/id/WBGene00007615", "WBGene00007615")</f>
        <v>WBGene00007615</v>
      </c>
      <c r="B5037" s="9" t="str">
        <f>HYPERLINK("http://www.ncbi.nlm.nih.gov/gene/179939", "179939")</f>
        <v>179939</v>
      </c>
      <c r="C5037" s="9"/>
      <c r="D5037" t="str">
        <f>"set-31"</f>
        <v>set-31</v>
      </c>
      <c r="E5037" t="s">
        <v>2055</v>
      </c>
      <c r="F5037" t="s">
        <v>11</v>
      </c>
      <c r="G5037" t="s">
        <v>3981</v>
      </c>
      <c r="H5037" s="12">
        <v>-1.40947397076772</v>
      </c>
      <c r="I5037" s="20">
        <v>-1.2559792026999901</v>
      </c>
      <c r="J5037" s="28">
        <v>0.209123510497672</v>
      </c>
      <c r="K5037" s="29">
        <v>0.95962928074841403</v>
      </c>
    </row>
    <row r="5038" spans="1:11" x14ac:dyDescent="0.35">
      <c r="A5038" s="9" t="str">
        <f>HYPERLINK("http://www.ensembl.org/id/WBGene00012695", "WBGene00012695")</f>
        <v>WBGene00012695</v>
      </c>
      <c r="B5038" s="9" t="str">
        <f>HYPERLINK("http://www.ncbi.nlm.nih.gov/gene/180242", "180242")</f>
        <v>180242</v>
      </c>
      <c r="C5038" s="9"/>
      <c r="D5038" t="str">
        <f>"Y39B6A.37"</f>
        <v>Y39B6A.37</v>
      </c>
      <c r="F5038" t="s">
        <v>11</v>
      </c>
      <c r="H5038" s="12">
        <v>-1.32613904907389</v>
      </c>
      <c r="I5038" s="20">
        <v>-1.2561232352459299</v>
      </c>
      <c r="J5038" s="28">
        <v>0.209071293106531</v>
      </c>
      <c r="K5038" s="29">
        <v>0.95962928074841403</v>
      </c>
    </row>
    <row r="5039" spans="1:11" x14ac:dyDescent="0.35">
      <c r="A5039" s="9" t="str">
        <f>HYPERLINK("http://www.ensembl.org/id/WBGene00009478", "WBGene00009478")</f>
        <v>WBGene00009478</v>
      </c>
      <c r="B5039" s="9" t="str">
        <f>HYPERLINK("http://www.ncbi.nlm.nih.gov/gene/172718", "172718")</f>
        <v>172718</v>
      </c>
      <c r="C5039" s="9" t="str">
        <f>HYPERLINK("http://www.ncbi.nlm.nih.gov/gene/23673", "23673")</f>
        <v>23673</v>
      </c>
      <c r="D5039" t="str">
        <f>"syx-7"</f>
        <v>syx-7</v>
      </c>
      <c r="E5039" t="s">
        <v>3132</v>
      </c>
      <c r="F5039" t="s">
        <v>11</v>
      </c>
      <c r="G5039" t="s">
        <v>3982</v>
      </c>
      <c r="H5039" s="12">
        <v>-1.26796101283257</v>
      </c>
      <c r="I5039" s="20">
        <v>-1.2552471934479299</v>
      </c>
      <c r="J5039" s="28">
        <v>0.20938903830262401</v>
      </c>
      <c r="K5039" s="29">
        <v>0.96052077010530601</v>
      </c>
    </row>
    <row r="5040" spans="1:11" x14ac:dyDescent="0.35">
      <c r="A5040" s="9" t="str">
        <f>HYPERLINK("http://www.ensembl.org/id/WBGene00015686", "WBGene00015686")</f>
        <v>WBGene00015686</v>
      </c>
      <c r="B5040" s="9" t="str">
        <f>HYPERLINK("http://www.ncbi.nlm.nih.gov/gene/182506", "182506")</f>
        <v>182506</v>
      </c>
      <c r="C5040" s="9"/>
      <c r="D5040" t="str">
        <f>"C10G11.6"</f>
        <v>C10G11.6</v>
      </c>
      <c r="F5040" t="s">
        <v>11</v>
      </c>
      <c r="H5040" s="12">
        <v>-1.3976184274659</v>
      </c>
      <c r="I5040" s="20">
        <v>-1.2547225297361899</v>
      </c>
      <c r="J5040" s="28">
        <v>0.20957950410451401</v>
      </c>
      <c r="K5040" s="29">
        <v>0.96063162504243005</v>
      </c>
    </row>
    <row r="5041" spans="1:11" x14ac:dyDescent="0.35">
      <c r="A5041" s="9" t="str">
        <f>HYPERLINK("http://www.ensembl.org/id/WBGene00013336", "WBGene00013336")</f>
        <v>WBGene00013336</v>
      </c>
      <c r="B5041" s="9" t="str">
        <f>HYPERLINK("http://www.ncbi.nlm.nih.gov/gene/3565064", "3565064")</f>
        <v>3565064</v>
      </c>
      <c r="C5041" s="9"/>
      <c r="D5041" t="str">
        <f>"pnc-2"</f>
        <v>pnc-2</v>
      </c>
      <c r="E5041" t="s">
        <v>409</v>
      </c>
      <c r="F5041" t="s">
        <v>11</v>
      </c>
      <c r="G5041" t="s">
        <v>3983</v>
      </c>
      <c r="H5041" s="12">
        <v>1.7232461662390399</v>
      </c>
      <c r="I5041" s="20">
        <v>1.25478759825533</v>
      </c>
      <c r="J5041" s="28">
        <v>0.20955587582291599</v>
      </c>
      <c r="K5041" s="29">
        <v>0.96063162504243005</v>
      </c>
    </row>
    <row r="5042" spans="1:11" x14ac:dyDescent="0.35">
      <c r="A5042" s="9" t="str">
        <f>HYPERLINK("http://www.ensembl.org/id/WBGene00004212", "WBGene00004212")</f>
        <v>WBGene00004212</v>
      </c>
      <c r="B5042" s="9" t="str">
        <f>HYPERLINK("http://www.ncbi.nlm.nih.gov/gene/175230", "175230")</f>
        <v>175230</v>
      </c>
      <c r="C5042" s="9"/>
      <c r="D5042" t="str">
        <f>"ptl-1"</f>
        <v>ptl-1</v>
      </c>
      <c r="E5042" t="s">
        <v>3984</v>
      </c>
      <c r="F5042" t="s">
        <v>11</v>
      </c>
      <c r="G5042" t="s">
        <v>3985</v>
      </c>
      <c r="H5042" s="12">
        <v>1.2914169274443501</v>
      </c>
      <c r="I5042" s="20">
        <v>1.25504203757576</v>
      </c>
      <c r="J5042" s="28">
        <v>0.209463499986874</v>
      </c>
      <c r="K5042" s="29">
        <v>0.96063162504243005</v>
      </c>
    </row>
    <row r="5043" spans="1:11" x14ac:dyDescent="0.35">
      <c r="A5043" s="9" t="str">
        <f>HYPERLINK("http://www.ensembl.org/id/WBGene00077437", "WBGene00077437")</f>
        <v>WBGene00077437</v>
      </c>
      <c r="B5043" s="9"/>
      <c r="C5043" s="9"/>
      <c r="D5043" t="str">
        <f>"Y59H11AR.6"</f>
        <v>Y59H11AR.6</v>
      </c>
      <c r="F5043" t="s">
        <v>80</v>
      </c>
      <c r="H5043" s="12">
        <v>1.34832351184739</v>
      </c>
      <c r="I5043" s="20">
        <v>1.2549334897929401</v>
      </c>
      <c r="J5043" s="28">
        <v>0.20950290535188501</v>
      </c>
      <c r="K5043" s="29">
        <v>0.96063162504243005</v>
      </c>
    </row>
    <row r="5044" spans="1:11" x14ac:dyDescent="0.35">
      <c r="A5044" s="9" t="str">
        <f>HYPERLINK("http://www.ensembl.org/id/WBGene00011201", "WBGene00011201")</f>
        <v>WBGene00011201</v>
      </c>
      <c r="B5044" s="9" t="str">
        <f>HYPERLINK("http://www.ncbi.nlm.nih.gov/gene/187770", "187770")</f>
        <v>187770</v>
      </c>
      <c r="C5044" s="9" t="str">
        <f>HYPERLINK("http://www.ncbi.nlm.nih.gov/gene/4913", "4913")</f>
        <v>4913</v>
      </c>
      <c r="D5044" t="str">
        <f>"nth-1"</f>
        <v>nth-1</v>
      </c>
      <c r="E5044" t="s">
        <v>3988</v>
      </c>
      <c r="F5044" t="s">
        <v>11</v>
      </c>
      <c r="G5044" t="s">
        <v>3989</v>
      </c>
      <c r="H5044" s="12">
        <v>-1.49528606264471</v>
      </c>
      <c r="I5044" s="20">
        <v>-1.25442373928629</v>
      </c>
      <c r="J5044" s="28">
        <v>0.20968802842131301</v>
      </c>
      <c r="K5044" s="29">
        <v>0.96074788512846698</v>
      </c>
    </row>
    <row r="5045" spans="1:11" x14ac:dyDescent="0.35">
      <c r="A5045" s="9" t="str">
        <f>HYPERLINK("http://www.ensembl.org/id/WBGene00016381", "WBGene00016381")</f>
        <v>WBGene00016381</v>
      </c>
      <c r="B5045" s="9" t="str">
        <f>HYPERLINK("http://www.ncbi.nlm.nih.gov/gene/183189", "183189")</f>
        <v>183189</v>
      </c>
      <c r="C5045" s="9"/>
      <c r="D5045" t="str">
        <f>"sgo-1"</f>
        <v>sgo-1</v>
      </c>
      <c r="E5045" t="s">
        <v>3986</v>
      </c>
      <c r="F5045" t="s">
        <v>11</v>
      </c>
      <c r="G5045" t="s">
        <v>3987</v>
      </c>
      <c r="H5045" s="12">
        <v>-1.33474736308471</v>
      </c>
      <c r="I5045" s="20">
        <v>-1.25447170052595</v>
      </c>
      <c r="J5045" s="28">
        <v>0.20967060557617301</v>
      </c>
      <c r="K5045" s="29">
        <v>0.96074788512846698</v>
      </c>
    </row>
    <row r="5046" spans="1:11" x14ac:dyDescent="0.35">
      <c r="A5046" s="9" t="str">
        <f>HYPERLINK("http://www.ensembl.org/id/WBGene00000457", "WBGene00000457")</f>
        <v>WBGene00000457</v>
      </c>
      <c r="B5046" s="9" t="str">
        <f>HYPERLINK("http://www.ncbi.nlm.nih.gov/gene/181529", "181529")</f>
        <v>181529</v>
      </c>
      <c r="C5046" s="9"/>
      <c r="D5046" t="str">
        <f>"ceh-36"</f>
        <v>ceh-36</v>
      </c>
      <c r="E5046" t="s">
        <v>3990</v>
      </c>
      <c r="F5046" t="s">
        <v>11</v>
      </c>
      <c r="G5046" t="s">
        <v>350</v>
      </c>
      <c r="H5046" s="12">
        <v>1.5527108544520301</v>
      </c>
      <c r="I5046" s="20">
        <v>1.25414081873789</v>
      </c>
      <c r="J5046" s="28">
        <v>0.209790826096931</v>
      </c>
      <c r="K5046" s="29">
        <v>0.96102831637503505</v>
      </c>
    </row>
    <row r="5047" spans="1:11" x14ac:dyDescent="0.35">
      <c r="A5047" s="9" t="str">
        <f>HYPERLINK("http://www.ensembl.org/id/WBGene00000668", "WBGene00000668")</f>
        <v>WBGene00000668</v>
      </c>
      <c r="B5047" s="9" t="str">
        <f>HYPERLINK("http://www.ncbi.nlm.nih.gov/gene/259335", "259335")</f>
        <v>259335</v>
      </c>
      <c r="C5047" s="9"/>
      <c r="D5047" t="str">
        <f>"col-93"</f>
        <v>col-93</v>
      </c>
      <c r="E5047" t="s">
        <v>40</v>
      </c>
      <c r="F5047" t="s">
        <v>11</v>
      </c>
      <c r="G5047" t="s">
        <v>41</v>
      </c>
      <c r="H5047" s="12">
        <v>1.4073565202429601</v>
      </c>
      <c r="I5047" s="20">
        <v>1.2539052928116901</v>
      </c>
      <c r="J5047" s="28">
        <v>0.20987643101485701</v>
      </c>
      <c r="K5047" s="29">
        <v>0.96108357664438104</v>
      </c>
    </row>
    <row r="5048" spans="1:11" x14ac:dyDescent="0.35">
      <c r="A5048" s="9" t="str">
        <f>HYPERLINK("http://www.ensembl.org/id/WBGene00021865", "WBGene00021865")</f>
        <v>WBGene00021865</v>
      </c>
      <c r="B5048" s="9" t="str">
        <f>HYPERLINK("http://www.ncbi.nlm.nih.gov/gene/190275", "190275")</f>
        <v>190275</v>
      </c>
      <c r="C5048" s="9"/>
      <c r="D5048" t="str">
        <f>"fbxa-66"</f>
        <v>fbxa-66</v>
      </c>
      <c r="E5048" t="s">
        <v>467</v>
      </c>
      <c r="F5048" t="s">
        <v>11</v>
      </c>
      <c r="G5048" t="s">
        <v>54</v>
      </c>
      <c r="H5048" s="12">
        <v>-2.9287733926277699</v>
      </c>
      <c r="I5048" s="20">
        <v>-1.2536499491692601</v>
      </c>
      <c r="J5048" s="28">
        <v>0.209969267501984</v>
      </c>
      <c r="K5048" s="29">
        <v>0.96108357664438104</v>
      </c>
    </row>
    <row r="5049" spans="1:11" x14ac:dyDescent="0.35">
      <c r="A5049" s="9" t="str">
        <f>HYPERLINK("http://www.ensembl.org/id/WBGene00000061", "WBGene00000061")</f>
        <v>WBGene00000061</v>
      </c>
      <c r="B5049" s="9" t="str">
        <f>HYPERLINK("http://www.ncbi.nlm.nih.gov/gene/181009", "181009")</f>
        <v>181009</v>
      </c>
      <c r="C5049" s="9"/>
      <c r="D5049" t="str">
        <f>"lgc-11"</f>
        <v>lgc-11</v>
      </c>
      <c r="E5049" t="s">
        <v>3991</v>
      </c>
      <c r="F5049" t="s">
        <v>11</v>
      </c>
      <c r="G5049" t="s">
        <v>906</v>
      </c>
      <c r="H5049" s="12">
        <v>2.1547651356233302</v>
      </c>
      <c r="I5049" s="20">
        <v>1.25373168069981</v>
      </c>
      <c r="J5049" s="28">
        <v>0.20993954875149901</v>
      </c>
      <c r="K5049" s="29">
        <v>0.96108357664438104</v>
      </c>
    </row>
    <row r="5050" spans="1:11" x14ac:dyDescent="0.35">
      <c r="A5050" s="9" t="str">
        <f>HYPERLINK("http://www.ensembl.org/id/WBGene00004256", "WBGene00004256")</f>
        <v>WBGene00004256</v>
      </c>
      <c r="B5050" s="9" t="str">
        <f>HYPERLINK("http://www.ncbi.nlm.nih.gov/gene/191484", "191484")</f>
        <v>191484</v>
      </c>
      <c r="C5050" s="9" t="str">
        <f>HYPERLINK("http://www.ncbi.nlm.nih.gov/gene/7837", "7837")</f>
        <v>7837</v>
      </c>
      <c r="D5050" t="str">
        <f>"pxn-1"</f>
        <v>pxn-1</v>
      </c>
      <c r="E5050" t="s">
        <v>3992</v>
      </c>
      <c r="F5050" t="s">
        <v>11</v>
      </c>
      <c r="G5050" t="s">
        <v>3993</v>
      </c>
      <c r="H5050" s="12">
        <v>1.2868959857887201</v>
      </c>
      <c r="I5050" s="20">
        <v>1.25367730032382</v>
      </c>
      <c r="J5050" s="28">
        <v>0.209959321892981</v>
      </c>
      <c r="K5050" s="29">
        <v>0.96108357664438104</v>
      </c>
    </row>
    <row r="5051" spans="1:11" x14ac:dyDescent="0.35">
      <c r="A5051" s="9" t="str">
        <f>HYPERLINK("http://www.ensembl.org/id/WBGene00015266", "WBGene00015266")</f>
        <v>WBGene00015266</v>
      </c>
      <c r="B5051" s="9" t="str">
        <f>HYPERLINK("http://www.ncbi.nlm.nih.gov/gene/175269", "175269")</f>
        <v>175269</v>
      </c>
      <c r="C5051" s="9" t="str">
        <f>HYPERLINK("http://www.ncbi.nlm.nih.gov/gene/87178", "87178")</f>
        <v>87178</v>
      </c>
      <c r="D5051" t="str">
        <f>"BE0003N10.1"</f>
        <v>BE0003N10.1</v>
      </c>
      <c r="F5051" t="s">
        <v>11</v>
      </c>
      <c r="G5051" t="s">
        <v>3994</v>
      </c>
      <c r="H5051" s="12">
        <v>-1.36905233716789</v>
      </c>
      <c r="I5051" s="20">
        <v>-1.2534621605231</v>
      </c>
      <c r="J5051" s="28">
        <v>0.210037561669288</v>
      </c>
      <c r="K5051" s="29">
        <v>0.96120576350377795</v>
      </c>
    </row>
    <row r="5052" spans="1:11" x14ac:dyDescent="0.35">
      <c r="A5052" s="9" t="str">
        <f>HYPERLINK("http://www.ensembl.org/id/WBGene00015939", "WBGene00015939")</f>
        <v>WBGene00015939</v>
      </c>
      <c r="B5052" s="9" t="str">
        <f>HYPERLINK("http://www.ncbi.nlm.nih.gov/gene/173970", "173970")</f>
        <v>173970</v>
      </c>
      <c r="C5052" s="9"/>
      <c r="D5052" t="str">
        <f>"damt-1"</f>
        <v>damt-1</v>
      </c>
      <c r="E5052" t="s">
        <v>3998</v>
      </c>
      <c r="F5052" t="s">
        <v>11</v>
      </c>
      <c r="G5052" t="s">
        <v>3999</v>
      </c>
      <c r="H5052" s="12">
        <v>-1.4227353025369001</v>
      </c>
      <c r="I5052" s="20">
        <v>-1.2531352914851599</v>
      </c>
      <c r="J5052" s="28">
        <v>0.21015647434387</v>
      </c>
      <c r="K5052" s="29">
        <v>0.96136621324417404</v>
      </c>
    </row>
    <row r="5053" spans="1:11" x14ac:dyDescent="0.35">
      <c r="A5053" s="9" t="str">
        <f>HYPERLINK("http://www.ensembl.org/id/WBGene00019437", "WBGene00019437")</f>
        <v>WBGene00019437</v>
      </c>
      <c r="B5053" s="9" t="str">
        <f>HYPERLINK("http://www.ncbi.nlm.nih.gov/gene/187050", "187050")</f>
        <v>187050</v>
      </c>
      <c r="C5053" s="9"/>
      <c r="D5053" t="str">
        <f>"K06A9.3"</f>
        <v>K06A9.3</v>
      </c>
      <c r="F5053" t="s">
        <v>11</v>
      </c>
      <c r="G5053" t="s">
        <v>25</v>
      </c>
      <c r="H5053" s="12">
        <v>-1.92253997385939</v>
      </c>
      <c r="I5053" s="20">
        <v>-1.25293330484243</v>
      </c>
      <c r="J5053" s="28">
        <v>0.21022998002828799</v>
      </c>
      <c r="K5053" s="29">
        <v>0.96136621324417404</v>
      </c>
    </row>
    <row r="5054" spans="1:11" x14ac:dyDescent="0.35">
      <c r="A5054" s="9" t="str">
        <f>HYPERLINK("http://www.ensembl.org/id/WBGene00003539", "WBGene00003539")</f>
        <v>WBGene00003539</v>
      </c>
      <c r="B5054" s="9" t="str">
        <f>HYPERLINK("http://www.ncbi.nlm.nih.gov/gene/188420", "188420")</f>
        <v>188420</v>
      </c>
      <c r="C5054" s="9"/>
      <c r="D5054" t="str">
        <f>"nas-20"</f>
        <v>nas-20</v>
      </c>
      <c r="E5054" t="s">
        <v>3995</v>
      </c>
      <c r="F5054" t="s">
        <v>11</v>
      </c>
      <c r="G5054" t="s">
        <v>267</v>
      </c>
      <c r="H5054" s="12">
        <v>1.3925175360025199</v>
      </c>
      <c r="I5054" s="20">
        <v>1.25282665007533</v>
      </c>
      <c r="J5054" s="28">
        <v>0.21026880065303599</v>
      </c>
      <c r="K5054" s="29">
        <v>0.96136621324417404</v>
      </c>
    </row>
    <row r="5055" spans="1:11" x14ac:dyDescent="0.35">
      <c r="A5055" s="9" t="str">
        <f>HYPERLINK("http://www.ensembl.org/id/WBGene00006780", "WBGene00006780")</f>
        <v>WBGene00006780</v>
      </c>
      <c r="B5055" s="9" t="str">
        <f>HYPERLINK("http://www.ncbi.nlm.nih.gov/gene/177366", "177366")</f>
        <v>177366</v>
      </c>
      <c r="C5055" s="9"/>
      <c r="D5055" t="str">
        <f>"unc-44"</f>
        <v>unc-44</v>
      </c>
      <c r="E5055" t="s">
        <v>3996</v>
      </c>
      <c r="F5055" t="s">
        <v>11</v>
      </c>
      <c r="G5055" t="s">
        <v>3997</v>
      </c>
      <c r="H5055" s="12">
        <v>1.261258347894</v>
      </c>
      <c r="I5055" s="20">
        <v>1.2530699406308801</v>
      </c>
      <c r="J5055" s="28">
        <v>0.21018025437205601</v>
      </c>
      <c r="K5055" s="29">
        <v>0.96136621324417404</v>
      </c>
    </row>
    <row r="5056" spans="1:11" x14ac:dyDescent="0.35">
      <c r="A5056" s="9" t="str">
        <f>HYPERLINK("http://www.ensembl.org/id/WBGene00022633", "WBGene00022633")</f>
        <v>WBGene00022633</v>
      </c>
      <c r="B5056" s="9" t="str">
        <f>HYPERLINK("http://www.ncbi.nlm.nih.gov/gene/172383", "172383")</f>
        <v>172383</v>
      </c>
      <c r="C5056" s="9"/>
      <c r="D5056" t="str">
        <f>"ZC581.3"</f>
        <v>ZC581.3</v>
      </c>
      <c r="F5056" t="s">
        <v>11</v>
      </c>
      <c r="G5056" t="s">
        <v>25</v>
      </c>
      <c r="H5056" s="12">
        <v>1.25797461370236</v>
      </c>
      <c r="I5056" s="20">
        <v>1.2527940813468901</v>
      </c>
      <c r="J5056" s="28">
        <v>0.210280656181773</v>
      </c>
      <c r="K5056" s="29">
        <v>0.96136621324417404</v>
      </c>
    </row>
    <row r="5057" spans="1:11" x14ac:dyDescent="0.35">
      <c r="A5057" s="9" t="str">
        <f>HYPERLINK("http://www.ensembl.org/id/WBGene00014019", "WBGene00014019")</f>
        <v>WBGene00014019</v>
      </c>
      <c r="B5057" s="9" t="str">
        <f>HYPERLINK("http://www.ncbi.nlm.nih.gov/gene/176397", "176397")</f>
        <v>176397</v>
      </c>
      <c r="C5057" s="9" t="str">
        <f>HYPERLINK("http://www.ncbi.nlm.nih.gov/gene/79666", "79666")</f>
        <v>79666</v>
      </c>
      <c r="D5057" t="str">
        <f>"ZK632.12"</f>
        <v>ZK632.12</v>
      </c>
      <c r="F5057" t="s">
        <v>11</v>
      </c>
      <c r="G5057" t="s">
        <v>4000</v>
      </c>
      <c r="H5057" s="12">
        <v>-1.2688907699301299</v>
      </c>
      <c r="I5057" s="20">
        <v>-1.2523187292665601</v>
      </c>
      <c r="J5057" s="28">
        <v>0.21045374686361901</v>
      </c>
      <c r="K5057" s="29">
        <v>0.96196721563417897</v>
      </c>
    </row>
    <row r="5058" spans="1:11" x14ac:dyDescent="0.35">
      <c r="A5058" s="9" t="str">
        <f>HYPERLINK("http://www.ensembl.org/id/WBGene00016868", "WBGene00016868")</f>
        <v>WBGene00016868</v>
      </c>
      <c r="B5058" s="9" t="str">
        <f>HYPERLINK("http://www.ncbi.nlm.nih.gov/gene/182830", "182830")</f>
        <v>182830</v>
      </c>
      <c r="C5058" s="9"/>
      <c r="D5058" t="str">
        <f>"C52B9.8"</f>
        <v>C52B9.8</v>
      </c>
      <c r="F5058" t="s">
        <v>11</v>
      </c>
      <c r="G5058" t="s">
        <v>25</v>
      </c>
      <c r="H5058" s="12">
        <v>2.1559553354226701</v>
      </c>
      <c r="I5058" s="20">
        <v>1.25170077150095</v>
      </c>
      <c r="J5058" s="28">
        <v>0.21067891886563</v>
      </c>
      <c r="K5058" s="29">
        <v>0.96204488128641297</v>
      </c>
    </row>
    <row r="5059" spans="1:11" x14ac:dyDescent="0.35">
      <c r="A5059" s="9" t="str">
        <f>HYPERLINK("http://www.ensembl.org/id/WBGene00010646", "WBGene00010646")</f>
        <v>WBGene00010646</v>
      </c>
      <c r="B5059" s="9" t="str">
        <f>HYPERLINK("http://www.ncbi.nlm.nih.gov/gene/177953", "177953")</f>
        <v>177953</v>
      </c>
      <c r="C5059" s="9"/>
      <c r="D5059" t="str">
        <f>"K08C7.1"</f>
        <v>K08C7.1</v>
      </c>
      <c r="F5059" t="s">
        <v>11</v>
      </c>
      <c r="G5059" t="s">
        <v>230</v>
      </c>
      <c r="H5059" s="12">
        <v>-1.44514288837547</v>
      </c>
      <c r="I5059" s="20">
        <v>-1.25171253401609</v>
      </c>
      <c r="J5059" s="28">
        <v>0.210674631203325</v>
      </c>
      <c r="K5059" s="29">
        <v>0.96204488128641297</v>
      </c>
    </row>
    <row r="5060" spans="1:11" x14ac:dyDescent="0.35">
      <c r="A5060" s="9" t="str">
        <f>HYPERLINK("http://www.ensembl.org/id/WBGene00021914", "WBGene00021914")</f>
        <v>WBGene00021914</v>
      </c>
      <c r="B5060" s="9" t="str">
        <f>HYPERLINK("http://www.ncbi.nlm.nih.gov/gene/190302", "190302")</f>
        <v>190302</v>
      </c>
      <c r="C5060" s="9" t="str">
        <f>HYPERLINK("http://www.ncbi.nlm.nih.gov/gene/143098", "143098")</f>
        <v>143098</v>
      </c>
      <c r="D5060" t="str">
        <f>"magu-1"</f>
        <v>magu-1</v>
      </c>
      <c r="E5060" t="s">
        <v>3684</v>
      </c>
      <c r="F5060" t="s">
        <v>11</v>
      </c>
      <c r="G5060" t="s">
        <v>54</v>
      </c>
      <c r="H5060" s="12">
        <v>1.3421133189601999</v>
      </c>
      <c r="I5060" s="20">
        <v>1.2519659097151301</v>
      </c>
      <c r="J5060" s="28">
        <v>0.21058228622821101</v>
      </c>
      <c r="K5060" s="29">
        <v>0.96204488128641297</v>
      </c>
    </row>
    <row r="5061" spans="1:11" x14ac:dyDescent="0.35">
      <c r="A5061" s="9" t="str">
        <f>HYPERLINK("http://www.ensembl.org/id/WBGene00004310", "WBGene00004310")</f>
        <v>WBGene00004310</v>
      </c>
      <c r="B5061" s="9" t="str">
        <f>HYPERLINK("http://www.ncbi.nlm.nih.gov/gene/174875", "174875")</f>
        <v>174875</v>
      </c>
      <c r="C5061" s="9" t="str">
        <f>HYPERLINK("http://www.ncbi.nlm.nih.gov/gene/22800", "22800")</f>
        <v>22800</v>
      </c>
      <c r="D5061" t="str">
        <f>"ras-1"</f>
        <v>ras-1</v>
      </c>
      <c r="E5061" t="s">
        <v>4001</v>
      </c>
      <c r="F5061" t="s">
        <v>11</v>
      </c>
      <c r="G5061" t="s">
        <v>4002</v>
      </c>
      <c r="H5061" s="12">
        <v>-1.2585600209174199</v>
      </c>
      <c r="I5061" s="20">
        <v>-1.2517015448053199</v>
      </c>
      <c r="J5061" s="28">
        <v>0.21067863697942199</v>
      </c>
      <c r="K5061" s="29">
        <v>0.96204488128641297</v>
      </c>
    </row>
    <row r="5062" spans="1:11" x14ac:dyDescent="0.35">
      <c r="A5062" s="9" t="str">
        <f>HYPERLINK("http://www.ensembl.org/id/WBGene00012804", "WBGene00012804")</f>
        <v>WBGene00012804</v>
      </c>
      <c r="B5062" s="9" t="str">
        <f>HYPERLINK("http://www.ncbi.nlm.nih.gov/gene/259544", "259544")</f>
        <v>259544</v>
      </c>
      <c r="C5062" s="9"/>
      <c r="D5062" t="str">
        <f>"Y43F4B.7"</f>
        <v>Y43F4B.7</v>
      </c>
      <c r="F5062" t="s">
        <v>11</v>
      </c>
      <c r="G5062" t="s">
        <v>2245</v>
      </c>
      <c r="H5062" s="12">
        <v>-1.28432154716696</v>
      </c>
      <c r="I5062" s="20">
        <v>-1.2521090047347401</v>
      </c>
      <c r="J5062" s="28">
        <v>0.210530146946457</v>
      </c>
      <c r="K5062" s="29">
        <v>0.96204488128641297</v>
      </c>
    </row>
    <row r="5063" spans="1:11" x14ac:dyDescent="0.35">
      <c r="A5063" s="9" t="str">
        <f>HYPERLINK("http://www.ensembl.org/id/WBGene00022824", "WBGene00022824")</f>
        <v>WBGene00022824</v>
      </c>
      <c r="B5063" s="9" t="str">
        <f>HYPERLINK("http://www.ncbi.nlm.nih.gov/gene/259347", "259347")</f>
        <v>259347</v>
      </c>
      <c r="C5063" s="9"/>
      <c r="D5063" t="str">
        <f>"ZK813.5"</f>
        <v>ZK813.5</v>
      </c>
      <c r="F5063" t="s">
        <v>11</v>
      </c>
      <c r="G5063" t="s">
        <v>1806</v>
      </c>
      <c r="H5063" s="12">
        <v>1.79617421571896</v>
      </c>
      <c r="I5063" s="20">
        <v>1.25156091330448</v>
      </c>
      <c r="J5063" s="28">
        <v>0.21072990469771999</v>
      </c>
      <c r="K5063" s="29">
        <v>0.96208756726842903</v>
      </c>
    </row>
    <row r="5064" spans="1:11" x14ac:dyDescent="0.35">
      <c r="A5064" s="9" t="str">
        <f>HYPERLINK("http://www.ensembl.org/id/WBGene00009359", "WBGene00009359")</f>
        <v>WBGene00009359</v>
      </c>
      <c r="B5064" s="9" t="str">
        <f>HYPERLINK("http://www.ncbi.nlm.nih.gov/gene/185233", "185233")</f>
        <v>185233</v>
      </c>
      <c r="C5064" s="9"/>
      <c r="D5064" t="str">
        <f>"clec-102"</f>
        <v>clec-102</v>
      </c>
      <c r="E5064" t="s">
        <v>46</v>
      </c>
      <c r="F5064" t="s">
        <v>11</v>
      </c>
      <c r="G5064" t="s">
        <v>47</v>
      </c>
      <c r="H5064" s="12">
        <v>12.779101521613001</v>
      </c>
      <c r="I5064" s="20">
        <v>1.25100930675213</v>
      </c>
      <c r="J5064" s="28">
        <v>0.21093108196897101</v>
      </c>
      <c r="K5064" s="29">
        <v>0.96246021687838901</v>
      </c>
    </row>
    <row r="5065" spans="1:11" x14ac:dyDescent="0.35">
      <c r="A5065" s="9" t="str">
        <f>HYPERLINK("http://www.ensembl.org/id/WBGene00009262", "WBGene00009262")</f>
        <v>WBGene00009262</v>
      </c>
      <c r="B5065" s="9" t="str">
        <f>HYPERLINK("http://www.ncbi.nlm.nih.gov/gene/172779", "172779")</f>
        <v>172779</v>
      </c>
      <c r="C5065" s="9" t="str">
        <f>HYPERLINK("http://www.ncbi.nlm.nih.gov/gene/9807", "9807")</f>
        <v>9807</v>
      </c>
      <c r="D5065" t="str">
        <f>"F30A10.3"</f>
        <v>F30A10.3</v>
      </c>
      <c r="E5065" t="s">
        <v>4005</v>
      </c>
      <c r="F5065" t="s">
        <v>11</v>
      </c>
      <c r="G5065" t="s">
        <v>4006</v>
      </c>
      <c r="H5065" s="12">
        <v>-1.2791181103731499</v>
      </c>
      <c r="I5065" s="20">
        <v>-1.2505379355727599</v>
      </c>
      <c r="J5065" s="28">
        <v>0.211103106515177</v>
      </c>
      <c r="K5065" s="29">
        <v>0.96246021687838901</v>
      </c>
    </row>
    <row r="5066" spans="1:11" x14ac:dyDescent="0.35">
      <c r="A5066" s="9" t="str">
        <f>HYPERLINK("http://www.ensembl.org/id/WBGene00009614", "WBGene00009614")</f>
        <v>WBGene00009614</v>
      </c>
      <c r="B5066" s="9" t="str">
        <f>HYPERLINK("http://www.ncbi.nlm.nih.gov/gene/185609", "185609")</f>
        <v>185609</v>
      </c>
      <c r="C5066" s="9"/>
      <c r="D5066" t="str">
        <f>"F41D3.9"</f>
        <v>F41D3.9</v>
      </c>
      <c r="F5066" t="s">
        <v>11</v>
      </c>
      <c r="H5066" s="12">
        <v>4.8343928589518601</v>
      </c>
      <c r="I5066" s="20">
        <v>1.25053924392427</v>
      </c>
      <c r="J5066" s="28">
        <v>0.21110262889848999</v>
      </c>
      <c r="K5066" s="29">
        <v>0.96246021687838901</v>
      </c>
    </row>
    <row r="5067" spans="1:11" x14ac:dyDescent="0.35">
      <c r="A5067" s="9" t="str">
        <f>HYPERLINK("http://www.ensembl.org/id/WBGene00003947", "WBGene00003947")</f>
        <v>WBGene00003947</v>
      </c>
      <c r="B5067" s="9" t="str">
        <f>HYPERLINK("http://www.ncbi.nlm.nih.gov/gene/176978", "176978")</f>
        <v>176978</v>
      </c>
      <c r="C5067" s="9"/>
      <c r="D5067" t="str">
        <f>"pbs-1"</f>
        <v>pbs-1</v>
      </c>
      <c r="E5067" t="s">
        <v>2413</v>
      </c>
      <c r="F5067" t="s">
        <v>11</v>
      </c>
      <c r="G5067" t="s">
        <v>4003</v>
      </c>
      <c r="H5067" s="12">
        <v>-1.2565016836440099</v>
      </c>
      <c r="I5067" s="20">
        <v>-1.2508334932952401</v>
      </c>
      <c r="J5067" s="28">
        <v>0.21099523234818901</v>
      </c>
      <c r="K5067" s="29">
        <v>0.96246021687838901</v>
      </c>
    </row>
    <row r="5068" spans="1:11" x14ac:dyDescent="0.35">
      <c r="A5068" s="9" t="str">
        <f>HYPERLINK("http://www.ensembl.org/id/WBGene00011156", "WBGene00011156")</f>
        <v>WBGene00011156</v>
      </c>
      <c r="B5068" s="9" t="str">
        <f>HYPERLINK("http://www.ncbi.nlm.nih.gov/gene/173071", "173071")</f>
        <v>173071</v>
      </c>
      <c r="C5068" s="9"/>
      <c r="D5068" t="str">
        <f>"rbm-3.2"</f>
        <v>rbm-3.2</v>
      </c>
      <c r="E5068" t="s">
        <v>2341</v>
      </c>
      <c r="F5068" t="s">
        <v>11</v>
      </c>
      <c r="G5068" t="s">
        <v>4004</v>
      </c>
      <c r="H5068" s="12">
        <v>-1.2589569496072199</v>
      </c>
      <c r="I5068" s="20">
        <v>-1.2506693842158101</v>
      </c>
      <c r="J5068" s="28">
        <v>0.21105512479451499</v>
      </c>
      <c r="K5068" s="29">
        <v>0.96246021687838901</v>
      </c>
    </row>
    <row r="5069" spans="1:11" x14ac:dyDescent="0.35">
      <c r="A5069" s="9" t="str">
        <f>HYPERLINK("http://www.ensembl.org/id/WBGene00020856", "WBGene00020856")</f>
        <v>WBGene00020856</v>
      </c>
      <c r="B5069" s="9" t="str">
        <f>HYPERLINK("http://www.ncbi.nlm.nih.gov/gene/188990", "188990")</f>
        <v>188990</v>
      </c>
      <c r="C5069" s="9"/>
      <c r="D5069" t="str">
        <f>"srt-61"</f>
        <v>srt-61</v>
      </c>
      <c r="E5069" t="s">
        <v>2845</v>
      </c>
      <c r="F5069" t="s">
        <v>11</v>
      </c>
      <c r="G5069" t="s">
        <v>25</v>
      </c>
      <c r="H5069" s="12">
        <v>12.779101521613001</v>
      </c>
      <c r="I5069" s="20">
        <v>1.25100930675213</v>
      </c>
      <c r="J5069" s="28">
        <v>0.21093108196897101</v>
      </c>
      <c r="K5069" s="29">
        <v>0.96246021687838901</v>
      </c>
    </row>
    <row r="5070" spans="1:11" x14ac:dyDescent="0.35">
      <c r="A5070" s="9" t="str">
        <f>HYPERLINK("http://www.ensembl.org/id/WBGene00021176", "WBGene00021176")</f>
        <v>WBGene00021176</v>
      </c>
      <c r="B5070" s="9" t="str">
        <f>HYPERLINK("http://www.ncbi.nlm.nih.gov/gene/189407", "189407")</f>
        <v>189407</v>
      </c>
      <c r="C5070" s="9"/>
      <c r="D5070" t="str">
        <f>"Y9C9A.1"</f>
        <v>Y9C9A.1</v>
      </c>
      <c r="F5070" t="s">
        <v>11</v>
      </c>
      <c r="G5070" t="s">
        <v>63</v>
      </c>
      <c r="H5070" s="12">
        <v>-4.0424022809592701</v>
      </c>
      <c r="I5070" s="20">
        <v>-1.25086494646492</v>
      </c>
      <c r="J5070" s="28">
        <v>0.210983754757197</v>
      </c>
      <c r="K5070" s="29">
        <v>0.96246021687838901</v>
      </c>
    </row>
    <row r="5071" spans="1:11" x14ac:dyDescent="0.35">
      <c r="A5071" s="9" t="str">
        <f>HYPERLINK("http://www.ensembl.org/id/WBGene00012099", "WBGene00012099")</f>
        <v>WBGene00012099</v>
      </c>
      <c r="B5071" s="9" t="str">
        <f>HYPERLINK("http://www.ncbi.nlm.nih.gov/gene/176778", "176778")</f>
        <v>176778</v>
      </c>
      <c r="C5071" s="9"/>
      <c r="D5071" t="str">
        <f>"acc-4"</f>
        <v>acc-4</v>
      </c>
      <c r="E5071" t="s">
        <v>4007</v>
      </c>
      <c r="F5071" t="s">
        <v>11</v>
      </c>
      <c r="G5071" t="s">
        <v>774</v>
      </c>
      <c r="H5071" s="12">
        <v>1.4064120868265699</v>
      </c>
      <c r="I5071" s="20">
        <v>1.2500987617828401</v>
      </c>
      <c r="J5071" s="28">
        <v>0.21126347206198801</v>
      </c>
      <c r="K5071" s="29">
        <v>0.96281139752747602</v>
      </c>
    </row>
    <row r="5072" spans="1:11" x14ac:dyDescent="0.35">
      <c r="A5072" s="9" t="str">
        <f>HYPERLINK("http://www.ensembl.org/id/WBGene00044170", "WBGene00044170")</f>
        <v>WBGene00044170</v>
      </c>
      <c r="B5072" s="9"/>
      <c r="C5072" s="9"/>
      <c r="D5072" t="str">
        <f>"Y51B9A.10"</f>
        <v>Y51B9A.10</v>
      </c>
      <c r="F5072" t="s">
        <v>80</v>
      </c>
      <c r="H5072" s="12">
        <v>2.0828895937489</v>
      </c>
      <c r="I5072" s="20">
        <v>1.2501437333746499</v>
      </c>
      <c r="J5072" s="28">
        <v>0.21124704651151799</v>
      </c>
      <c r="K5072" s="29">
        <v>0.96281139752747602</v>
      </c>
    </row>
    <row r="5073" spans="1:11" x14ac:dyDescent="0.35">
      <c r="A5073" s="9" t="str">
        <f>HYPERLINK("http://www.ensembl.org/id/WBGene00012594", "WBGene00012594")</f>
        <v>WBGene00012594</v>
      </c>
      <c r="B5073" s="9" t="str">
        <f>HYPERLINK("http://www.ncbi.nlm.nih.gov/gene/189662", "189662")</f>
        <v>189662</v>
      </c>
      <c r="C5073" s="9"/>
      <c r="D5073" t="str">
        <f>"nspe-5"</f>
        <v>nspe-5</v>
      </c>
      <c r="E5073" t="s">
        <v>2921</v>
      </c>
      <c r="F5073" t="s">
        <v>11</v>
      </c>
      <c r="H5073" s="12">
        <v>-3.8347496925417901</v>
      </c>
      <c r="I5073" s="20">
        <v>-1.24988063133022</v>
      </c>
      <c r="J5073" s="28">
        <v>0.21134315574366999</v>
      </c>
      <c r="K5073" s="29">
        <v>0.96298460986260004</v>
      </c>
    </row>
    <row r="5074" spans="1:11" x14ac:dyDescent="0.35">
      <c r="A5074" s="9" t="str">
        <f>HYPERLINK("http://www.ensembl.org/id/WBGene00219303", "WBGene00219303")</f>
        <v>WBGene00219303</v>
      </c>
      <c r="B5074" s="9"/>
      <c r="C5074" s="9"/>
      <c r="D5074" t="str">
        <f>"Y13C8A.4"</f>
        <v>Y13C8A.4</v>
      </c>
      <c r="F5074" t="s">
        <v>80</v>
      </c>
      <c r="H5074" s="12">
        <v>2.2656543852022502</v>
      </c>
      <c r="I5074" s="20">
        <v>1.24961131211179</v>
      </c>
      <c r="J5074" s="28">
        <v>0.211441568803172</v>
      </c>
      <c r="K5074" s="29">
        <v>0.96324307743811</v>
      </c>
    </row>
    <row r="5075" spans="1:11" x14ac:dyDescent="0.35">
      <c r="A5075" s="9" t="str">
        <f>HYPERLINK("http://www.ensembl.org/id/WBGene00020854", "WBGene00020854")</f>
        <v>WBGene00020854</v>
      </c>
      <c r="B5075" s="9" t="str">
        <f>HYPERLINK("http://www.ncbi.nlm.nih.gov/gene/178789", "178789")</f>
        <v>178789</v>
      </c>
      <c r="C5075" s="9"/>
      <c r="D5075" t="str">
        <f>"T27C4.1"</f>
        <v>T27C4.1</v>
      </c>
      <c r="F5075" t="s">
        <v>11</v>
      </c>
      <c r="G5075" t="s">
        <v>4008</v>
      </c>
      <c r="H5075" s="12">
        <v>1.2535832493864201</v>
      </c>
      <c r="I5075" s="20">
        <v>1.24935466541621</v>
      </c>
      <c r="J5075" s="28">
        <v>0.21153538196770699</v>
      </c>
      <c r="K5075" s="29">
        <v>0.96331775853704404</v>
      </c>
    </row>
    <row r="5076" spans="1:11" x14ac:dyDescent="0.35">
      <c r="A5076" s="9" t="str">
        <f>HYPERLINK("http://www.ensembl.org/id/WBGene00271645", "WBGene00271645")</f>
        <v>WBGene00271645</v>
      </c>
      <c r="B5076" s="9"/>
      <c r="C5076" s="9"/>
      <c r="D5076" t="str">
        <f>"ZK1236.12"</f>
        <v>ZK1236.12</v>
      </c>
      <c r="F5076" t="s">
        <v>481</v>
      </c>
      <c r="H5076" s="12">
        <v>-1.7860496315690699</v>
      </c>
      <c r="I5076" s="20">
        <v>-1.2493383562746401</v>
      </c>
      <c r="J5076" s="28">
        <v>0.21154134453462101</v>
      </c>
      <c r="K5076" s="29">
        <v>0.96331775853704404</v>
      </c>
    </row>
    <row r="5077" spans="1:11" x14ac:dyDescent="0.35">
      <c r="A5077" s="9" t="str">
        <f>HYPERLINK("http://www.ensembl.org/id/WBGene00007588", "WBGene00007588")</f>
        <v>WBGene00007588</v>
      </c>
      <c r="B5077" s="9" t="str">
        <f>HYPERLINK("http://www.ncbi.nlm.nih.gov/gene/179726", "179726")</f>
        <v>179726</v>
      </c>
      <c r="C5077" s="9" t="str">
        <f>HYPERLINK("http://www.ncbi.nlm.nih.gov/gene/23198", "23198")</f>
        <v>23198</v>
      </c>
      <c r="D5077" t="str">
        <f>"C14C10.5"</f>
        <v>C14C10.5</v>
      </c>
      <c r="F5077" t="s">
        <v>11</v>
      </c>
      <c r="G5077" t="s">
        <v>1067</v>
      </c>
      <c r="H5077" s="12">
        <v>-1.25271320625414</v>
      </c>
      <c r="I5077" s="20">
        <v>-1.2492075619724501</v>
      </c>
      <c r="J5077" s="28">
        <v>0.21158916688261001</v>
      </c>
      <c r="K5077" s="29">
        <v>0.96334567290435402</v>
      </c>
    </row>
    <row r="5078" spans="1:11" x14ac:dyDescent="0.35">
      <c r="A5078" s="9" t="str">
        <f>HYPERLINK("http://www.ensembl.org/id/WBGene00006784", "WBGene00006784")</f>
        <v>WBGene00006784</v>
      </c>
      <c r="B5078" s="9" t="str">
        <f>HYPERLINK("http://www.ncbi.nlm.nih.gov/gene/176472", "176472")</f>
        <v>176472</v>
      </c>
      <c r="C5078" s="9"/>
      <c r="D5078" t="str">
        <f>"unc-49"</f>
        <v>unc-49</v>
      </c>
      <c r="E5078" t="s">
        <v>4009</v>
      </c>
      <c r="F5078" t="s">
        <v>11</v>
      </c>
      <c r="G5078" t="s">
        <v>4010</v>
      </c>
      <c r="H5078" s="12">
        <v>1.3064045892807901</v>
      </c>
      <c r="I5078" s="20">
        <v>1.24877281539107</v>
      </c>
      <c r="J5078" s="28">
        <v>0.211748179522597</v>
      </c>
      <c r="K5078" s="29">
        <v>0.96387971553371299</v>
      </c>
    </row>
    <row r="5079" spans="1:11" x14ac:dyDescent="0.35">
      <c r="A5079" s="9" t="str">
        <f>HYPERLINK("http://www.ensembl.org/id/WBGene00000961", "WBGene00000961")</f>
        <v>WBGene00000961</v>
      </c>
      <c r="B5079" s="9" t="str">
        <f>HYPERLINK("http://www.ncbi.nlm.nih.gov/gene/181283", "181283")</f>
        <v>181283</v>
      </c>
      <c r="C5079" s="9"/>
      <c r="D5079" t="str">
        <f>"dgn-1"</f>
        <v>dgn-1</v>
      </c>
      <c r="E5079" t="s">
        <v>4011</v>
      </c>
      <c r="F5079" t="s">
        <v>11</v>
      </c>
      <c r="G5079" t="s">
        <v>4012</v>
      </c>
      <c r="H5079" s="12">
        <v>1.2679272167484701</v>
      </c>
      <c r="I5079" s="20">
        <v>1.2483725874490901</v>
      </c>
      <c r="J5079" s="28">
        <v>0.21189464298522401</v>
      </c>
      <c r="K5079" s="29">
        <v>0.96390868535332097</v>
      </c>
    </row>
    <row r="5080" spans="1:11" x14ac:dyDescent="0.35">
      <c r="A5080" s="9" t="str">
        <f>HYPERLINK("http://www.ensembl.org/id/WBGene00010109", "WBGene00010109")</f>
        <v>WBGene00010109</v>
      </c>
      <c r="B5080" s="9" t="str">
        <f>HYPERLINK("http://www.ncbi.nlm.nih.gov/gene/3564818", "3564818")</f>
        <v>3564818</v>
      </c>
      <c r="C5080" s="9"/>
      <c r="D5080" t="str">
        <f>"F55C10.5"</f>
        <v>F55C10.5</v>
      </c>
      <c r="F5080" t="s">
        <v>11</v>
      </c>
      <c r="G5080" t="s">
        <v>4013</v>
      </c>
      <c r="H5080" s="12">
        <v>-1.25953090175814</v>
      </c>
      <c r="I5080" s="20">
        <v>-1.24851322204882</v>
      </c>
      <c r="J5080" s="28">
        <v>0.211843169396286</v>
      </c>
      <c r="K5080" s="29">
        <v>0.96390868535332097</v>
      </c>
    </row>
    <row r="5081" spans="1:11" x14ac:dyDescent="0.35">
      <c r="A5081" s="9" t="str">
        <f>HYPERLINK("http://www.ensembl.org/id/WBGene00003917", "WBGene00003917")</f>
        <v>WBGene00003917</v>
      </c>
      <c r="B5081" s="9" t="str">
        <f>HYPERLINK("http://www.ncbi.nlm.nih.gov/gene/175275", "175275")</f>
        <v>175275</v>
      </c>
      <c r="C5081" s="9"/>
      <c r="D5081" t="str">
        <f>"par-2"</f>
        <v>par-2</v>
      </c>
      <c r="F5081" t="s">
        <v>11</v>
      </c>
      <c r="G5081" t="s">
        <v>4016</v>
      </c>
      <c r="H5081" s="12">
        <v>-1.33921874238375</v>
      </c>
      <c r="I5081" s="20">
        <v>-1.2481287284165099</v>
      </c>
      <c r="J5081" s="28">
        <v>0.211983919112394</v>
      </c>
      <c r="K5081" s="29">
        <v>0.96390868535332097</v>
      </c>
    </row>
    <row r="5082" spans="1:11" x14ac:dyDescent="0.35">
      <c r="A5082" s="9" t="str">
        <f>HYPERLINK("http://www.ensembl.org/id/WBGene00013135", "WBGene00013135")</f>
        <v>WBGene00013135</v>
      </c>
      <c r="B5082" s="9" t="str">
        <f>HYPERLINK("http://www.ncbi.nlm.nih.gov/gene/173079", "173079")</f>
        <v>173079</v>
      </c>
      <c r="C5082" s="9"/>
      <c r="D5082" t="str">
        <f>"rga-2"</f>
        <v>rga-2</v>
      </c>
      <c r="E5082" t="s">
        <v>256</v>
      </c>
      <c r="F5082" t="s">
        <v>11</v>
      </c>
      <c r="G5082" t="s">
        <v>4014</v>
      </c>
      <c r="H5082" s="12">
        <v>-1.2882763563536701</v>
      </c>
      <c r="I5082" s="20">
        <v>-1.2481680212283499</v>
      </c>
      <c r="J5082" s="28">
        <v>0.21196953228445001</v>
      </c>
      <c r="K5082" s="29">
        <v>0.96390868535332097</v>
      </c>
    </row>
    <row r="5083" spans="1:11" x14ac:dyDescent="0.35">
      <c r="A5083" s="9" t="str">
        <f>HYPERLINK("http://www.ensembl.org/id/WBGene00005941", "WBGene00005941")</f>
        <v>WBGene00005941</v>
      </c>
      <c r="B5083" s="9" t="str">
        <f>HYPERLINK("http://www.ncbi.nlm.nih.gov/gene/177478", "177478")</f>
        <v>177478</v>
      </c>
      <c r="C5083" s="9"/>
      <c r="D5083" t="str">
        <f>"srx-50"</f>
        <v>srx-50</v>
      </c>
      <c r="E5083" t="s">
        <v>1477</v>
      </c>
      <c r="F5083" t="s">
        <v>11</v>
      </c>
      <c r="G5083" t="s">
        <v>25</v>
      </c>
      <c r="H5083" s="12">
        <v>5.0398380525179398</v>
      </c>
      <c r="I5083" s="20">
        <v>1.24807158092361</v>
      </c>
      <c r="J5083" s="28">
        <v>0.212004844584332</v>
      </c>
      <c r="K5083" s="29">
        <v>0.96390868535332097</v>
      </c>
    </row>
    <row r="5084" spans="1:11" x14ac:dyDescent="0.35">
      <c r="A5084" s="9" t="str">
        <f>HYPERLINK("http://www.ensembl.org/id/WBGene00022835", "WBGene00022835")</f>
        <v>WBGene00022835</v>
      </c>
      <c r="B5084" s="9" t="str">
        <f>HYPERLINK("http://www.ncbi.nlm.nih.gov/gene/172036", "172036")</f>
        <v>172036</v>
      </c>
      <c r="C5084" s="9"/>
      <c r="D5084" t="str">
        <f>"ZK973.9"</f>
        <v>ZK973.9</v>
      </c>
      <c r="F5084" t="s">
        <v>11</v>
      </c>
      <c r="G5084" t="s">
        <v>4015</v>
      </c>
      <c r="H5084" s="12">
        <v>-1.3229430907033599</v>
      </c>
      <c r="I5084" s="20">
        <v>-1.2485304449051799</v>
      </c>
      <c r="J5084" s="28">
        <v>0.21183686628968301</v>
      </c>
      <c r="K5084" s="29">
        <v>0.96390868535332097</v>
      </c>
    </row>
    <row r="5085" spans="1:11" x14ac:dyDescent="0.35">
      <c r="A5085" s="9" t="str">
        <f>HYPERLINK("http://www.ensembl.org/id/WBGene00011910", "WBGene00011910")</f>
        <v>WBGene00011910</v>
      </c>
      <c r="B5085" s="9" t="str">
        <f>HYPERLINK("http://www.ncbi.nlm.nih.gov/gene/178106", "178106")</f>
        <v>178106</v>
      </c>
      <c r="C5085" s="9"/>
      <c r="D5085" t="str">
        <f>"alg-3"</f>
        <v>alg-3</v>
      </c>
      <c r="E5085" t="s">
        <v>4017</v>
      </c>
      <c r="F5085" t="s">
        <v>11</v>
      </c>
      <c r="G5085" t="s">
        <v>4018</v>
      </c>
      <c r="H5085" s="12">
        <v>2.1662276015984498</v>
      </c>
      <c r="I5085" s="20">
        <v>1.2474032839029701</v>
      </c>
      <c r="J5085" s="28">
        <v>0.21224966306090401</v>
      </c>
      <c r="K5085" s="29">
        <v>0.96441029886447904</v>
      </c>
    </row>
    <row r="5086" spans="1:11" x14ac:dyDescent="0.35">
      <c r="A5086" s="9" t="str">
        <f>HYPERLINK("http://www.ensembl.org/id/WBGene00016084", "WBGene00016084")</f>
        <v>WBGene00016084</v>
      </c>
      <c r="B5086" s="9" t="str">
        <f>HYPERLINK("http://www.ncbi.nlm.nih.gov/gene/177464", "177464")</f>
        <v>177464</v>
      </c>
      <c r="C5086" s="9"/>
      <c r="D5086" t="str">
        <f>"cht-3"</f>
        <v>cht-3</v>
      </c>
      <c r="E5086" t="s">
        <v>4023</v>
      </c>
      <c r="F5086" t="s">
        <v>11</v>
      </c>
      <c r="G5086" t="s">
        <v>3396</v>
      </c>
      <c r="H5086" s="12">
        <v>-1.33664824780189</v>
      </c>
      <c r="I5086" s="20">
        <v>-1.2468963446188099</v>
      </c>
      <c r="J5086" s="28">
        <v>0.21243550723799301</v>
      </c>
      <c r="K5086" s="29">
        <v>0.96441029886447904</v>
      </c>
    </row>
    <row r="5087" spans="1:11" x14ac:dyDescent="0.35">
      <c r="A5087" s="9" t="str">
        <f>HYPERLINK("http://www.ensembl.org/id/WBGene00194925", "WBGene00194925")</f>
        <v>WBGene00194925</v>
      </c>
      <c r="B5087" s="9" t="str">
        <f>HYPERLINK("http://www.ncbi.nlm.nih.gov/gene/13198724", "13198724")</f>
        <v>13198724</v>
      </c>
      <c r="C5087" s="9"/>
      <c r="D5087" t="str">
        <f>"K08D8.11"</f>
        <v>K08D8.11</v>
      </c>
      <c r="F5087" t="s">
        <v>11</v>
      </c>
      <c r="H5087" s="12">
        <v>2.2208865536608098</v>
      </c>
      <c r="I5087" s="20">
        <v>1.2468593363738101</v>
      </c>
      <c r="J5087" s="28">
        <v>0.21244907907990099</v>
      </c>
      <c r="K5087" s="29">
        <v>0.96441029886447904</v>
      </c>
    </row>
    <row r="5088" spans="1:11" x14ac:dyDescent="0.35">
      <c r="A5088" s="9" t="str">
        <f>HYPERLINK("http://www.ensembl.org/id/WBGene00004025", "WBGene00004025")</f>
        <v>WBGene00004025</v>
      </c>
      <c r="B5088" s="9" t="str">
        <f>HYPERLINK("http://www.ncbi.nlm.nih.gov/gene/178170", "178170")</f>
        <v>178170</v>
      </c>
      <c r="C5088" s="9" t="str">
        <f>HYPERLINK("http://www.ncbi.nlm.nih.gov/gene/5033", "5033")</f>
        <v>5033</v>
      </c>
      <c r="D5088" t="str">
        <f>"phy-2"</f>
        <v>phy-2</v>
      </c>
      <c r="E5088" t="s">
        <v>4019</v>
      </c>
      <c r="F5088" t="s">
        <v>11</v>
      </c>
      <c r="G5088" t="s">
        <v>4020</v>
      </c>
      <c r="H5088" s="12">
        <v>-1.2836715440453099</v>
      </c>
      <c r="I5088" s="20">
        <v>-1.24687904108623</v>
      </c>
      <c r="J5088" s="28">
        <v>0.21244185279487399</v>
      </c>
      <c r="K5088" s="29">
        <v>0.96441029886447904</v>
      </c>
    </row>
    <row r="5089" spans="1:11" x14ac:dyDescent="0.35">
      <c r="A5089" s="9" t="str">
        <f>HYPERLINK("http://www.ensembl.org/id/WBGene00011145", "WBGene00011145")</f>
        <v>WBGene00011145</v>
      </c>
      <c r="B5089" s="9" t="str">
        <f>HYPERLINK("http://www.ncbi.nlm.nih.gov/gene/187699", "187699")</f>
        <v>187699</v>
      </c>
      <c r="C5089" s="9"/>
      <c r="D5089" t="str">
        <f>"R08D7.5"</f>
        <v>R08D7.5</v>
      </c>
      <c r="E5089" t="s">
        <v>4024</v>
      </c>
      <c r="F5089" t="s">
        <v>11</v>
      </c>
      <c r="G5089" t="s">
        <v>4025</v>
      </c>
      <c r="H5089" s="12">
        <v>-1.34949732161624</v>
      </c>
      <c r="I5089" s="20">
        <v>-1.2474777188266599</v>
      </c>
      <c r="J5089" s="28">
        <v>0.21222238507550101</v>
      </c>
      <c r="K5089" s="29">
        <v>0.96441029886447904</v>
      </c>
    </row>
    <row r="5090" spans="1:11" x14ac:dyDescent="0.35">
      <c r="A5090" s="9" t="str">
        <f>HYPERLINK("http://www.ensembl.org/id/WBGene00012772", "WBGene00012772")</f>
        <v>WBGene00012772</v>
      </c>
      <c r="B5090" s="9" t="str">
        <f>HYPERLINK("http://www.ncbi.nlm.nih.gov/gene/189834", "189834")</f>
        <v>189834</v>
      </c>
      <c r="C5090" s="9"/>
      <c r="D5090" t="str">
        <f>"srt-49"</f>
        <v>srt-49</v>
      </c>
      <c r="E5090" t="s">
        <v>2845</v>
      </c>
      <c r="F5090" t="s">
        <v>11</v>
      </c>
      <c r="G5090" t="s">
        <v>25</v>
      </c>
      <c r="H5090" s="12">
        <v>-1.6327385787376301</v>
      </c>
      <c r="I5090" s="20">
        <v>-1.24725888597335</v>
      </c>
      <c r="J5090" s="28">
        <v>0.21230258744177</v>
      </c>
      <c r="K5090" s="29">
        <v>0.96441029886447904</v>
      </c>
    </row>
    <row r="5091" spans="1:11" x14ac:dyDescent="0.35">
      <c r="A5091" s="9" t="str">
        <f>HYPERLINK("http://www.ensembl.org/id/WBGene00044442", "WBGene00044442")</f>
        <v>WBGene00044442</v>
      </c>
      <c r="B5091" s="9" t="str">
        <f>HYPERLINK("http://www.ncbi.nlm.nih.gov/gene/3896870", "3896870")</f>
        <v>3896870</v>
      </c>
      <c r="C5091" s="9"/>
      <c r="D5091" t="str">
        <f>"T08A9.13"</f>
        <v>T08A9.13</v>
      </c>
      <c r="F5091" t="s">
        <v>11</v>
      </c>
      <c r="H5091" s="12">
        <v>-1.53448575705186</v>
      </c>
      <c r="I5091" s="20">
        <v>-1.2469345851540099</v>
      </c>
      <c r="J5091" s="28">
        <v>0.212421484142575</v>
      </c>
      <c r="K5091" s="29">
        <v>0.96441029886447904</v>
      </c>
    </row>
    <row r="5092" spans="1:11" x14ac:dyDescent="0.35">
      <c r="A5092" s="9" t="str">
        <f>HYPERLINK("http://www.ensembl.org/id/WBGene00006626", "WBGene00006626")</f>
        <v>WBGene00006626</v>
      </c>
      <c r="B5092" s="9" t="str">
        <f>HYPERLINK("http://www.ncbi.nlm.nih.gov/gene/173811", "173811")</f>
        <v>173811</v>
      </c>
      <c r="C5092" s="9" t="str">
        <f>HYPERLINK("http://www.ncbi.nlm.nih.gov/gene/27044", "27044")</f>
        <v>27044</v>
      </c>
      <c r="D5092" t="str">
        <f>"tsn-1"</f>
        <v>tsn-1</v>
      </c>
      <c r="E5092" t="s">
        <v>4021</v>
      </c>
      <c r="F5092" t="s">
        <v>11</v>
      </c>
      <c r="G5092" t="s">
        <v>4022</v>
      </c>
      <c r="H5092" s="12">
        <v>-1.2844690775976799</v>
      </c>
      <c r="I5092" s="20">
        <v>-1.2475931619038501</v>
      </c>
      <c r="J5092" s="28">
        <v>0.21218008394208099</v>
      </c>
      <c r="K5092" s="29">
        <v>0.96441029886447904</v>
      </c>
    </row>
    <row r="5093" spans="1:11" x14ac:dyDescent="0.35">
      <c r="A5093" s="9" t="str">
        <f>HYPERLINK("http://www.ensembl.org/id/WBGene00001397", "WBGene00001397")</f>
        <v>WBGene00001397</v>
      </c>
      <c r="B5093" s="9" t="str">
        <f>HYPERLINK("http://www.ncbi.nlm.nih.gov/gene/180162", "180162")</f>
        <v>180162</v>
      </c>
      <c r="C5093" s="9"/>
      <c r="D5093" t="str">
        <f>"fat-5"</f>
        <v>fat-5</v>
      </c>
      <c r="E5093" t="s">
        <v>4026</v>
      </c>
      <c r="F5093" t="s">
        <v>11</v>
      </c>
      <c r="G5093" t="s">
        <v>1643</v>
      </c>
      <c r="H5093" s="12">
        <v>1.3111687796285401</v>
      </c>
      <c r="I5093" s="20">
        <v>1.24669416643001</v>
      </c>
      <c r="J5093" s="28">
        <v>0.21250965863250301</v>
      </c>
      <c r="K5093" s="29">
        <v>0.96449581071746304</v>
      </c>
    </row>
    <row r="5094" spans="1:11" x14ac:dyDescent="0.35">
      <c r="A5094" s="9" t="str">
        <f>HYPERLINK("http://www.ensembl.org/id/WBGene00001713", "WBGene00001713")</f>
        <v>WBGene00001713</v>
      </c>
      <c r="B5094" s="9" t="str">
        <f>HYPERLINK("http://www.ncbi.nlm.nih.gov/gene/3564844", "3564844")</f>
        <v>3564844</v>
      </c>
      <c r="C5094" s="9"/>
      <c r="D5094" t="str">
        <f>"grl-4"</f>
        <v>grl-4</v>
      </c>
      <c r="E5094" t="s">
        <v>353</v>
      </c>
      <c r="F5094" t="s">
        <v>11</v>
      </c>
      <c r="H5094" s="12">
        <v>1.48987574865343</v>
      </c>
      <c r="I5094" s="20">
        <v>1.2465634565160899</v>
      </c>
      <c r="J5094" s="28">
        <v>0.212557608086829</v>
      </c>
      <c r="K5094" s="29">
        <v>0.96452397730837802</v>
      </c>
    </row>
    <row r="5095" spans="1:11" x14ac:dyDescent="0.35">
      <c r="A5095" s="9" t="str">
        <f>HYPERLINK("http://www.ensembl.org/id/WBGene00000189", "WBGene00000189")</f>
        <v>WBGene00000189</v>
      </c>
      <c r="B5095" s="9" t="str">
        <f>HYPERLINK("http://www.ncbi.nlm.nih.gov/gene/176392", "176392")</f>
        <v>176392</v>
      </c>
      <c r="C5095" s="9" t="str">
        <f>HYPERLINK("http://www.ncbi.nlm.nih.gov/gene/390790", "390790")</f>
        <v>390790</v>
      </c>
      <c r="D5095" t="str">
        <f>"arl-5"</f>
        <v>arl-5</v>
      </c>
      <c r="E5095" t="s">
        <v>4032</v>
      </c>
      <c r="F5095" t="s">
        <v>11</v>
      </c>
      <c r="G5095" t="s">
        <v>3900</v>
      </c>
      <c r="H5095" s="12">
        <v>-1.3573127647302401</v>
      </c>
      <c r="I5095" s="20">
        <v>-1.2457874814888299</v>
      </c>
      <c r="J5095" s="28">
        <v>0.212842426647914</v>
      </c>
      <c r="K5095" s="29">
        <v>0.96461530797172901</v>
      </c>
    </row>
    <row r="5096" spans="1:11" x14ac:dyDescent="0.35">
      <c r="A5096" s="9" t="str">
        <f>HYPERLINK("http://www.ensembl.org/id/WBGene00015524", "WBGene00015524")</f>
        <v>WBGene00015524</v>
      </c>
      <c r="B5096" s="9" t="str">
        <f>HYPERLINK("http://www.ncbi.nlm.nih.gov/gene/176206", "176206")</f>
        <v>176206</v>
      </c>
      <c r="C5096" s="9"/>
      <c r="D5096" t="str">
        <f>"C06E1.9"</f>
        <v>C06E1.9</v>
      </c>
      <c r="F5096" t="s">
        <v>11</v>
      </c>
      <c r="G5096" t="s">
        <v>4027</v>
      </c>
      <c r="H5096" s="12">
        <v>-1.2780733343780299</v>
      </c>
      <c r="I5096" s="20">
        <v>-1.2460535880779</v>
      </c>
      <c r="J5096" s="28">
        <v>0.21274472224742799</v>
      </c>
      <c r="K5096" s="29">
        <v>0.96461530797172901</v>
      </c>
    </row>
    <row r="5097" spans="1:11" x14ac:dyDescent="0.35">
      <c r="A5097" s="9" t="str">
        <f>HYPERLINK("http://www.ensembl.org/id/WBGene00043985", "WBGene00043985")</f>
        <v>WBGene00043985</v>
      </c>
      <c r="B5097" s="9" t="str">
        <f>HYPERLINK("http://www.ncbi.nlm.nih.gov/gene/181355", "181355")</f>
        <v>181355</v>
      </c>
      <c r="C5097" s="9"/>
      <c r="D5097" t="str">
        <f>"C44C10.11"</f>
        <v>C44C10.11</v>
      </c>
      <c r="F5097" t="s">
        <v>11</v>
      </c>
      <c r="H5097" s="12">
        <v>1.39178003277514</v>
      </c>
      <c r="I5097" s="20">
        <v>1.24609921387921</v>
      </c>
      <c r="J5097" s="28">
        <v>0.21272797341041999</v>
      </c>
      <c r="K5097" s="29">
        <v>0.96461530797172901</v>
      </c>
    </row>
    <row r="5098" spans="1:11" x14ac:dyDescent="0.35">
      <c r="A5098" s="9" t="str">
        <f>HYPERLINK("http://www.ensembl.org/id/WBGene00001785", "WBGene00001785")</f>
        <v>WBGene00001785</v>
      </c>
      <c r="B5098" s="9" t="str">
        <f>HYPERLINK("http://www.ncbi.nlm.nih.gov/gene/189575", "189575")</f>
        <v>189575</v>
      </c>
      <c r="C5098" s="9" t="str">
        <f>HYPERLINK("http://www.ncbi.nlm.nih.gov/gene/27306", "27306")</f>
        <v>27306</v>
      </c>
      <c r="D5098" t="str">
        <f>"gst-37"</f>
        <v>gst-37</v>
      </c>
      <c r="E5098" t="s">
        <v>272</v>
      </c>
      <c r="F5098" t="s">
        <v>11</v>
      </c>
      <c r="G5098" t="s">
        <v>876</v>
      </c>
      <c r="H5098" s="12">
        <v>22.2340927671959</v>
      </c>
      <c r="I5098" s="20">
        <v>1.2459444674228299</v>
      </c>
      <c r="J5098" s="28">
        <v>0.21278478335815301</v>
      </c>
      <c r="K5098" s="29">
        <v>0.96461530797172901</v>
      </c>
    </row>
    <row r="5099" spans="1:11" x14ac:dyDescent="0.35">
      <c r="A5099" s="9" t="str">
        <f>HYPERLINK("http://www.ensembl.org/id/WBGene00010583", "WBGene00010583")</f>
        <v>WBGene00010583</v>
      </c>
      <c r="B5099" s="9" t="str">
        <f>HYPERLINK("http://www.ncbi.nlm.nih.gov/gene/173337", "173337")</f>
        <v>173337</v>
      </c>
      <c r="C5099" s="9"/>
      <c r="D5099" t="str">
        <f>"K05C4.7"</f>
        <v>K05C4.7</v>
      </c>
      <c r="E5099" t="s">
        <v>4030</v>
      </c>
      <c r="F5099" t="s">
        <v>11</v>
      </c>
      <c r="G5099" t="s">
        <v>4031</v>
      </c>
      <c r="H5099" s="12">
        <v>-1.3066254562595701</v>
      </c>
      <c r="I5099" s="20">
        <v>-1.2463588328713899</v>
      </c>
      <c r="J5099" s="28">
        <v>0.21263268764808799</v>
      </c>
      <c r="K5099" s="29">
        <v>0.96461530797172901</v>
      </c>
    </row>
    <row r="5100" spans="1:11" x14ac:dyDescent="0.35">
      <c r="A5100" s="9" t="str">
        <f>HYPERLINK("http://www.ensembl.org/id/WBGene00007390", "WBGene00007390")</f>
        <v>WBGene00007390</v>
      </c>
      <c r="B5100" s="9" t="str">
        <f>HYPERLINK("http://www.ncbi.nlm.nih.gov/gene/259649", "259649")</f>
        <v>259649</v>
      </c>
      <c r="C5100" s="9"/>
      <c r="D5100" t="str">
        <f>"lmtr-3"</f>
        <v>lmtr-3</v>
      </c>
      <c r="E5100" t="s">
        <v>4028</v>
      </c>
      <c r="F5100" t="s">
        <v>11</v>
      </c>
      <c r="G5100" t="s">
        <v>4029</v>
      </c>
      <c r="H5100" s="12">
        <v>-1.28437840828006</v>
      </c>
      <c r="I5100" s="20">
        <v>-1.2458102409668801</v>
      </c>
      <c r="J5100" s="28">
        <v>0.212834068950815</v>
      </c>
      <c r="K5100" s="29">
        <v>0.96461530797172901</v>
      </c>
    </row>
    <row r="5101" spans="1:11" x14ac:dyDescent="0.35">
      <c r="A5101" s="9" t="str">
        <f>HYPERLINK("http://www.ensembl.org/id/WBGene00014613", "WBGene00014613")</f>
        <v>WBGene00014613</v>
      </c>
      <c r="B5101" s="9"/>
      <c r="C5101" s="9"/>
      <c r="D5101" t="str">
        <f>"Y111B2A.25"</f>
        <v>Y111B2A.25</v>
      </c>
      <c r="F5101" t="s">
        <v>80</v>
      </c>
      <c r="H5101" s="12">
        <v>1.3629286911335501</v>
      </c>
      <c r="I5101" s="20">
        <v>1.2457124890901099</v>
      </c>
      <c r="J5101" s="28">
        <v>0.21286996690677101</v>
      </c>
      <c r="K5101" s="29">
        <v>0.96461530797172901</v>
      </c>
    </row>
    <row r="5102" spans="1:11" x14ac:dyDescent="0.35">
      <c r="A5102" s="9" t="str">
        <f>HYPERLINK("http://www.ensembl.org/id/WBGene00020398", "WBGene00020398")</f>
        <v>WBGene00020398</v>
      </c>
      <c r="B5102" s="9" t="str">
        <f>HYPERLINK("http://www.ncbi.nlm.nih.gov/gene/172423", "172423")</f>
        <v>172423</v>
      </c>
      <c r="C5102" s="9" t="str">
        <f>HYPERLINK("http://www.ncbi.nlm.nih.gov/gene/64781", "64781")</f>
        <v>64781</v>
      </c>
      <c r="D5102" t="str">
        <f>"cerk-1"</f>
        <v>cerk-1</v>
      </c>
      <c r="E5102" t="s">
        <v>4033</v>
      </c>
      <c r="F5102" t="s">
        <v>11</v>
      </c>
      <c r="G5102" t="s">
        <v>4034</v>
      </c>
      <c r="H5102" s="12">
        <v>-1.26747094311662</v>
      </c>
      <c r="I5102" s="20">
        <v>-1.24553222493811</v>
      </c>
      <c r="J5102" s="28">
        <v>0.212936177760705</v>
      </c>
      <c r="K5102" s="29">
        <v>0.96472614183114602</v>
      </c>
    </row>
    <row r="5103" spans="1:11" x14ac:dyDescent="0.35">
      <c r="A5103" s="9" t="str">
        <f>HYPERLINK("http://www.ensembl.org/id/WBGene00014944", "WBGene00014944")</f>
        <v>WBGene00014944</v>
      </c>
      <c r="B5103" s="9"/>
      <c r="C5103" s="9"/>
      <c r="D5103" t="str">
        <f>"Y68A4A.12"</f>
        <v>Y68A4A.12</v>
      </c>
      <c r="F5103" t="s">
        <v>80</v>
      </c>
      <c r="H5103" s="12">
        <v>-2.05158175806937</v>
      </c>
      <c r="I5103" s="20">
        <v>-1.2449374146346901</v>
      </c>
      <c r="J5103" s="28">
        <v>0.213154756500365</v>
      </c>
      <c r="K5103" s="29">
        <v>0.96552711305576</v>
      </c>
    </row>
    <row r="5104" spans="1:11" x14ac:dyDescent="0.35">
      <c r="A5104" s="9" t="str">
        <f>HYPERLINK("http://www.ensembl.org/id/WBGene00007944", "WBGene00007944")</f>
        <v>WBGene00007944</v>
      </c>
      <c r="B5104" s="9" t="str">
        <f>HYPERLINK("http://www.ncbi.nlm.nih.gov/gene/181313", "181313")</f>
        <v>181313</v>
      </c>
      <c r="C5104" s="9"/>
      <c r="D5104" t="str">
        <f>"C34F6.10"</f>
        <v>C34F6.10</v>
      </c>
      <c r="F5104" t="s">
        <v>11</v>
      </c>
      <c r="G5104" t="s">
        <v>417</v>
      </c>
      <c r="H5104" s="12">
        <v>-1.2501072890613201</v>
      </c>
      <c r="I5104" s="20">
        <v>-1.2444383192648301</v>
      </c>
      <c r="J5104" s="28">
        <v>0.21333828719182599</v>
      </c>
      <c r="K5104" s="29">
        <v>0.96616904426780503</v>
      </c>
    </row>
    <row r="5105" spans="1:11" x14ac:dyDescent="0.35">
      <c r="A5105" s="9" t="str">
        <f>HYPERLINK("http://www.ensembl.org/id/WBGene00012935", "WBGene00012935")</f>
        <v>WBGene00012935</v>
      </c>
      <c r="B5105" s="9" t="str">
        <f>HYPERLINK("http://www.ncbi.nlm.nih.gov/gene/176562", "176562")</f>
        <v>176562</v>
      </c>
      <c r="C5105" s="9"/>
      <c r="D5105" t="str">
        <f>"mcm-10"</f>
        <v>mcm-10</v>
      </c>
      <c r="E5105" t="s">
        <v>4035</v>
      </c>
      <c r="F5105" t="s">
        <v>11</v>
      </c>
      <c r="G5105" t="s">
        <v>4036</v>
      </c>
      <c r="H5105" s="12">
        <v>-1.37230801468224</v>
      </c>
      <c r="I5105" s="20">
        <v>-1.24418276879552</v>
      </c>
      <c r="J5105" s="28">
        <v>0.213432304059129</v>
      </c>
      <c r="K5105" s="29">
        <v>0.96640541203022401</v>
      </c>
    </row>
    <row r="5106" spans="1:11" x14ac:dyDescent="0.35">
      <c r="A5106" s="9" t="str">
        <f>HYPERLINK("http://www.ensembl.org/id/WBGene00044339", "WBGene00044339")</f>
        <v>WBGene00044339</v>
      </c>
      <c r="B5106" s="9" t="str">
        <f>HYPERLINK("http://www.ncbi.nlm.nih.gov/gene/3565092", "3565092")</f>
        <v>3565092</v>
      </c>
      <c r="C5106" s="9"/>
      <c r="D5106" t="str">
        <f>"nspc-4"</f>
        <v>nspc-4</v>
      </c>
      <c r="E5106" t="s">
        <v>4037</v>
      </c>
      <c r="F5106" t="s">
        <v>11</v>
      </c>
      <c r="H5106" s="12">
        <v>1.25609465113382</v>
      </c>
      <c r="I5106" s="20">
        <v>1.24405531457742</v>
      </c>
      <c r="J5106" s="28">
        <v>0.213479205564816</v>
      </c>
      <c r="K5106" s="29">
        <v>0.96642839415764803</v>
      </c>
    </row>
    <row r="5107" spans="1:11" x14ac:dyDescent="0.35">
      <c r="A5107" s="9" t="str">
        <f>HYPERLINK("http://www.ensembl.org/id/WBGene00019139", "WBGene00019139")</f>
        <v>WBGene00019139</v>
      </c>
      <c r="B5107" s="9" t="str">
        <f>HYPERLINK("http://www.ncbi.nlm.nih.gov/gene/186648", "186648")</f>
        <v>186648</v>
      </c>
      <c r="C5107" s="9"/>
      <c r="D5107" t="str">
        <f>"bath-1"</f>
        <v>bath-1</v>
      </c>
      <c r="E5107" t="s">
        <v>179</v>
      </c>
      <c r="F5107" t="s">
        <v>11</v>
      </c>
      <c r="G5107" t="s">
        <v>54</v>
      </c>
      <c r="H5107" s="12">
        <v>-1.7557353710318</v>
      </c>
      <c r="I5107" s="20">
        <v>-1.24358532747654</v>
      </c>
      <c r="J5107" s="28">
        <v>0.213652219026779</v>
      </c>
      <c r="K5107" s="29">
        <v>0.966686123064041</v>
      </c>
    </row>
    <row r="5108" spans="1:11" x14ac:dyDescent="0.35">
      <c r="A5108" s="9" t="str">
        <f>HYPERLINK("http://www.ensembl.org/id/WBGene00005641", "WBGene00005641")</f>
        <v>WBGene00005641</v>
      </c>
      <c r="B5108" s="9" t="str">
        <f>HYPERLINK("http://www.ncbi.nlm.nih.gov/gene/191958", "191958")</f>
        <v>191958</v>
      </c>
      <c r="C5108" s="9"/>
      <c r="D5108" t="str">
        <f>"sro-1"</f>
        <v>sro-1</v>
      </c>
      <c r="E5108" t="s">
        <v>4038</v>
      </c>
      <c r="F5108" t="s">
        <v>11</v>
      </c>
      <c r="G5108" t="s">
        <v>1806</v>
      </c>
      <c r="H5108" s="12">
        <v>1.4666260369294799</v>
      </c>
      <c r="I5108" s="20">
        <v>1.2436539564159199</v>
      </c>
      <c r="J5108" s="28">
        <v>0.213626948771002</v>
      </c>
      <c r="K5108" s="29">
        <v>0.966686123064041</v>
      </c>
    </row>
    <row r="5109" spans="1:11" x14ac:dyDescent="0.35">
      <c r="A5109" s="9" t="str">
        <f>HYPERLINK("http://www.ensembl.org/id/WBGene00012899", "WBGene00012899")</f>
        <v>WBGene00012899</v>
      </c>
      <c r="B5109" s="9" t="str">
        <f>HYPERLINK("http://www.ncbi.nlm.nih.gov/gene/174904", "174904")</f>
        <v>174904</v>
      </c>
      <c r="C5109" s="9"/>
      <c r="D5109" t="str">
        <f>"Y46G5A.7"</f>
        <v>Y46G5A.7</v>
      </c>
      <c r="F5109" t="s">
        <v>11</v>
      </c>
      <c r="G5109" t="s">
        <v>54</v>
      </c>
      <c r="H5109" s="12">
        <v>1.4132200157558199</v>
      </c>
      <c r="I5109" s="20">
        <v>1.2435597227431301</v>
      </c>
      <c r="J5109" s="28">
        <v>0.213661647645116</v>
      </c>
      <c r="K5109" s="29">
        <v>0.966686123064041</v>
      </c>
    </row>
    <row r="5110" spans="1:11" x14ac:dyDescent="0.35">
      <c r="A5110" s="9" t="str">
        <f>HYPERLINK("http://www.ensembl.org/id/WBGene00021945", "WBGene00021945")</f>
        <v>WBGene00021945</v>
      </c>
      <c r="B5110" s="9" t="str">
        <f>HYPERLINK("http://www.ncbi.nlm.nih.gov/gene/176911", "176911")</f>
        <v>176911</v>
      </c>
      <c r="C5110" s="9"/>
      <c r="D5110" t="str">
        <f>"lem-4"</f>
        <v>lem-4</v>
      </c>
      <c r="E5110" t="s">
        <v>4039</v>
      </c>
      <c r="F5110" t="s">
        <v>11</v>
      </c>
      <c r="G5110" t="s">
        <v>4040</v>
      </c>
      <c r="H5110" s="12">
        <v>-1.2870018646255299</v>
      </c>
      <c r="I5110" s="20">
        <v>-1.24332560730125</v>
      </c>
      <c r="J5110" s="28">
        <v>0.21374787160992401</v>
      </c>
      <c r="K5110" s="29">
        <v>0.96688690709062397</v>
      </c>
    </row>
    <row r="5111" spans="1:11" x14ac:dyDescent="0.35">
      <c r="A5111" s="9" t="str">
        <f>HYPERLINK("http://www.ensembl.org/id/WBGene00001094", "WBGene00001094")</f>
        <v>WBGene00001094</v>
      </c>
      <c r="B5111" s="9" t="str">
        <f>HYPERLINK("http://www.ncbi.nlm.nih.gov/gene/176334", "176334")</f>
        <v>176334</v>
      </c>
      <c r="C5111" s="9" t="str">
        <f>HYPERLINK("http://www.ncbi.nlm.nih.gov/gene/1615", "1615")</f>
        <v>1615</v>
      </c>
      <c r="D5111" t="str">
        <f>"dars-1"</f>
        <v>dars-1</v>
      </c>
      <c r="E5111" t="s">
        <v>4041</v>
      </c>
      <c r="F5111" t="s">
        <v>11</v>
      </c>
      <c r="G5111" t="s">
        <v>4042</v>
      </c>
      <c r="H5111" s="12">
        <v>-1.2605120682786899</v>
      </c>
      <c r="I5111" s="20">
        <v>-1.2425735540208001</v>
      </c>
      <c r="J5111" s="28">
        <v>0.214025020259488</v>
      </c>
      <c r="K5111" s="29">
        <v>0.96692735322128098</v>
      </c>
    </row>
    <row r="5112" spans="1:11" x14ac:dyDescent="0.35">
      <c r="A5112" s="9" t="str">
        <f>HYPERLINK("http://www.ensembl.org/id/WBGene00008747", "WBGene00008747")</f>
        <v>WBGene00008747</v>
      </c>
      <c r="B5112" s="9" t="str">
        <f>HYPERLINK("http://www.ncbi.nlm.nih.gov/gene/184417", "184417")</f>
        <v>184417</v>
      </c>
      <c r="C5112" s="9"/>
      <c r="D5112" t="str">
        <f>"phf-31"</f>
        <v>phf-31</v>
      </c>
      <c r="E5112" t="s">
        <v>2651</v>
      </c>
      <c r="F5112" t="s">
        <v>11</v>
      </c>
      <c r="G5112" t="s">
        <v>51</v>
      </c>
      <c r="H5112" s="12">
        <v>-1.5241663114161701</v>
      </c>
      <c r="I5112" s="20">
        <v>-1.24268775729462</v>
      </c>
      <c r="J5112" s="28">
        <v>0.21398291708511299</v>
      </c>
      <c r="K5112" s="29">
        <v>0.96692735322128098</v>
      </c>
    </row>
    <row r="5113" spans="1:11" x14ac:dyDescent="0.35">
      <c r="A5113" s="9" t="str">
        <f>HYPERLINK("http://www.ensembl.org/id/WBGene00021811", "WBGene00021811")</f>
        <v>WBGene00021811</v>
      </c>
      <c r="B5113" s="9" t="str">
        <f>HYPERLINK("http://www.ncbi.nlm.nih.gov/gene/175433", "175433")</f>
        <v>175433</v>
      </c>
      <c r="C5113" s="9" t="str">
        <f>HYPERLINK("http://www.ncbi.nlm.nih.gov/gene/5898", "5898")</f>
        <v>5898</v>
      </c>
      <c r="D5113" t="str">
        <f>"ral-1"</f>
        <v>ral-1</v>
      </c>
      <c r="E5113" t="s">
        <v>4043</v>
      </c>
      <c r="F5113" t="s">
        <v>11</v>
      </c>
      <c r="G5113" t="s">
        <v>4044</v>
      </c>
      <c r="H5113" s="12">
        <v>-1.2619943537742</v>
      </c>
      <c r="I5113" s="20">
        <v>-1.24227954392336</v>
      </c>
      <c r="J5113" s="28">
        <v>0.21413344007761201</v>
      </c>
      <c r="K5113" s="29">
        <v>0.96692735322128098</v>
      </c>
    </row>
    <row r="5114" spans="1:11" x14ac:dyDescent="0.35">
      <c r="A5114" s="9" t="str">
        <f>HYPERLINK("http://www.ensembl.org/id/WBGene00020500", "WBGene00020500")</f>
        <v>WBGene00020500</v>
      </c>
      <c r="B5114" s="9" t="str">
        <f>HYPERLINK("http://www.ncbi.nlm.nih.gov/gene/174109", "174109")</f>
        <v>174109</v>
      </c>
      <c r="C5114" s="9"/>
      <c r="D5114" t="str">
        <f>"T14B4.3"</f>
        <v>T14B4.3</v>
      </c>
      <c r="F5114" t="s">
        <v>11</v>
      </c>
      <c r="G5114" t="s">
        <v>4045</v>
      </c>
      <c r="H5114" s="12">
        <v>-1.28545799309484</v>
      </c>
      <c r="I5114" s="20">
        <v>-1.2423285155527799</v>
      </c>
      <c r="J5114" s="28">
        <v>0.214115378441532</v>
      </c>
      <c r="K5114" s="29">
        <v>0.96692735322128098</v>
      </c>
    </row>
    <row r="5115" spans="1:11" x14ac:dyDescent="0.35">
      <c r="A5115" s="9" t="str">
        <f>HYPERLINK("http://www.ensembl.org/id/WBGene00008887", "WBGene00008887")</f>
        <v>WBGene00008887</v>
      </c>
      <c r="B5115" s="9" t="str">
        <f>HYPERLINK("http://www.ncbi.nlm.nih.gov/gene/172622", "172622")</f>
        <v>172622</v>
      </c>
      <c r="C5115" s="9"/>
      <c r="D5115" t="str">
        <f>"tbcd-1"</f>
        <v>tbcd-1</v>
      </c>
      <c r="E5115" t="s">
        <v>4046</v>
      </c>
      <c r="F5115" t="s">
        <v>11</v>
      </c>
      <c r="G5115" t="s">
        <v>4047</v>
      </c>
      <c r="H5115" s="12">
        <v>-1.2870180503512201</v>
      </c>
      <c r="I5115" s="20">
        <v>-1.2429693396985899</v>
      </c>
      <c r="J5115" s="28">
        <v>0.213879131988231</v>
      </c>
      <c r="K5115" s="29">
        <v>0.96692735322128098</v>
      </c>
    </row>
    <row r="5116" spans="1:11" x14ac:dyDescent="0.35">
      <c r="A5116" s="9" t="str">
        <f>HYPERLINK("http://www.ensembl.org/id/WBGene00006686", "WBGene00006686")</f>
        <v>WBGene00006686</v>
      </c>
      <c r="B5116" s="9" t="str">
        <f>HYPERLINK("http://www.ncbi.nlm.nih.gov/gene/180054", "180054")</f>
        <v>180054</v>
      </c>
      <c r="C5116" s="9"/>
      <c r="D5116" t="str">
        <f>"twk-34"</f>
        <v>twk-34</v>
      </c>
      <c r="E5116" t="s">
        <v>894</v>
      </c>
      <c r="F5116" t="s">
        <v>11</v>
      </c>
      <c r="G5116" t="s">
        <v>895</v>
      </c>
      <c r="H5116" s="12">
        <v>1.91034325935204</v>
      </c>
      <c r="I5116" s="20">
        <v>1.2430992979164399</v>
      </c>
      <c r="J5116" s="28">
        <v>0.213831244489356</v>
      </c>
      <c r="K5116" s="29">
        <v>0.96692735322128098</v>
      </c>
    </row>
    <row r="5117" spans="1:11" x14ac:dyDescent="0.35">
      <c r="A5117" s="9" t="str">
        <f>HYPERLINK("http://www.ensembl.org/id/WBGene00012640", "WBGene00012640")</f>
        <v>WBGene00012640</v>
      </c>
      <c r="B5117" s="9" t="str">
        <f>HYPERLINK("http://www.ncbi.nlm.nih.gov/gene/3565211", "3565211")</f>
        <v>3565211</v>
      </c>
      <c r="C5117" s="9"/>
      <c r="D5117" t="str">
        <f>"Y38H8A.7"</f>
        <v>Y38H8A.7</v>
      </c>
      <c r="F5117" t="s">
        <v>11</v>
      </c>
      <c r="H5117" s="12">
        <v>-1.53884500015721</v>
      </c>
      <c r="I5117" s="20">
        <v>-1.24232736899097</v>
      </c>
      <c r="J5117" s="28">
        <v>0.21411580130201499</v>
      </c>
      <c r="K5117" s="29">
        <v>0.96692735322128098</v>
      </c>
    </row>
    <row r="5118" spans="1:11" x14ac:dyDescent="0.35">
      <c r="A5118" s="9" t="str">
        <f>HYPERLINK("http://www.ensembl.org/id/WBGene00021892", "WBGene00021892")</f>
        <v>WBGene00021892</v>
      </c>
      <c r="B5118" s="9" t="str">
        <f>HYPERLINK("http://www.ncbi.nlm.nih.gov/gene/190285", "190285")</f>
        <v>190285</v>
      </c>
      <c r="C5118" s="9"/>
      <c r="D5118" t="str">
        <f>"Y54G2A.28"</f>
        <v>Y54G2A.28</v>
      </c>
      <c r="F5118" t="s">
        <v>11</v>
      </c>
      <c r="H5118" s="12">
        <v>-5.2877532522887396</v>
      </c>
      <c r="I5118" s="20">
        <v>-1.24240729154942</v>
      </c>
      <c r="J5118" s="28">
        <v>0.214086326713015</v>
      </c>
      <c r="K5118" s="29">
        <v>0.96692735322128098</v>
      </c>
    </row>
    <row r="5119" spans="1:11" x14ac:dyDescent="0.35">
      <c r="A5119" s="9" t="str">
        <f>HYPERLINK("http://www.ensembl.org/id/WBGene00022202", "WBGene00022202")</f>
        <v>WBGene00022202</v>
      </c>
      <c r="B5119" s="9" t="str">
        <f>HYPERLINK("http://www.ncbi.nlm.nih.gov/gene/190620", "190620")</f>
        <v>190620</v>
      </c>
      <c r="C5119" s="9"/>
      <c r="D5119" t="str">
        <f>"Y72A10A.1"</f>
        <v>Y72A10A.1</v>
      </c>
      <c r="F5119" t="s">
        <v>11</v>
      </c>
      <c r="G5119" t="s">
        <v>54</v>
      </c>
      <c r="H5119" s="12">
        <v>1.34407158467782</v>
      </c>
      <c r="I5119" s="20">
        <v>1.2428474091702999</v>
      </c>
      <c r="J5119" s="28">
        <v>0.21392406844753101</v>
      </c>
      <c r="K5119" s="29">
        <v>0.96692735322128098</v>
      </c>
    </row>
    <row r="5120" spans="1:11" x14ac:dyDescent="0.35">
      <c r="A5120" s="9" t="str">
        <f>HYPERLINK("http://www.ensembl.org/id/WBGene00000639", "WBGene00000639")</f>
        <v>WBGene00000639</v>
      </c>
      <c r="B5120" s="9" t="str">
        <f>HYPERLINK("http://www.ncbi.nlm.nih.gov/gene/172607", "172607")</f>
        <v>172607</v>
      </c>
      <c r="C5120" s="9"/>
      <c r="D5120" t="str">
        <f>"col-63"</f>
        <v>col-63</v>
      </c>
      <c r="E5120" t="s">
        <v>40</v>
      </c>
      <c r="F5120" t="s">
        <v>11</v>
      </c>
      <c r="G5120" t="s">
        <v>41</v>
      </c>
      <c r="H5120" s="12">
        <v>3.0662725486787501</v>
      </c>
      <c r="I5120" s="20">
        <v>1.24212358715669</v>
      </c>
      <c r="J5120" s="28">
        <v>0.214190967118597</v>
      </c>
      <c r="K5120" s="29">
        <v>0.96694712106754799</v>
      </c>
    </row>
    <row r="5121" spans="1:11" x14ac:dyDescent="0.35">
      <c r="A5121" s="9" t="str">
        <f>HYPERLINK("http://www.ensembl.org/id/WBGene00269391", "WBGene00269391")</f>
        <v>WBGene00269391</v>
      </c>
      <c r="B5121" s="9" t="str">
        <f>HYPERLINK("http://www.ncbi.nlm.nih.gov/gene/27219622", "27219622")</f>
        <v>27219622</v>
      </c>
      <c r="C5121" s="9"/>
      <c r="D5121" t="str">
        <f>"F54F2.14"</f>
        <v>F54F2.14</v>
      </c>
      <c r="F5121" t="s">
        <v>11</v>
      </c>
      <c r="H5121" s="12">
        <v>1.62648619356346</v>
      </c>
      <c r="I5121" s="20">
        <v>1.2418139594420401</v>
      </c>
      <c r="J5121" s="28">
        <v>0.21430521107015099</v>
      </c>
      <c r="K5121" s="29">
        <v>0.96694712106754799</v>
      </c>
    </row>
    <row r="5122" spans="1:11" x14ac:dyDescent="0.35">
      <c r="A5122" s="9" t="str">
        <f>HYPERLINK("http://www.ensembl.org/id/WBGene00018980", "WBGene00018980")</f>
        <v>WBGene00018980</v>
      </c>
      <c r="B5122" s="9" t="str">
        <f>HYPERLINK("http://www.ncbi.nlm.nih.gov/gene/186398", "186398")</f>
        <v>186398</v>
      </c>
      <c r="C5122" s="9"/>
      <c r="D5122" t="str">
        <f>"F56F4.3"</f>
        <v>F56F4.3</v>
      </c>
      <c r="E5122" t="s">
        <v>537</v>
      </c>
      <c r="F5122" t="s">
        <v>11</v>
      </c>
      <c r="G5122" t="s">
        <v>1268</v>
      </c>
      <c r="H5122" s="12">
        <v>6.25126670022079</v>
      </c>
      <c r="I5122" s="20">
        <v>1.2419374021680201</v>
      </c>
      <c r="J5122" s="28">
        <v>0.214259658896818</v>
      </c>
      <c r="K5122" s="29">
        <v>0.96694712106754799</v>
      </c>
    </row>
    <row r="5123" spans="1:11" x14ac:dyDescent="0.35">
      <c r="A5123" s="9" t="str">
        <f>HYPERLINK("http://www.ensembl.org/id/WBGene00001838", "WBGene00001838")</f>
        <v>WBGene00001838</v>
      </c>
      <c r="B5123" s="9" t="str">
        <f>HYPERLINK("http://www.ncbi.nlm.nih.gov/gene/175039", "175039")</f>
        <v>175039</v>
      </c>
      <c r="C5123" s="9"/>
      <c r="D5123" t="str">
        <f>"hda-10"</f>
        <v>hda-10</v>
      </c>
      <c r="E5123" t="s">
        <v>2121</v>
      </c>
      <c r="F5123" t="s">
        <v>11</v>
      </c>
      <c r="G5123" t="s">
        <v>3973</v>
      </c>
      <c r="H5123" s="12">
        <v>-1.3164909793038899</v>
      </c>
      <c r="I5123" s="20">
        <v>-1.24191186822154</v>
      </c>
      <c r="J5123" s="28">
        <v>0.214269080724102</v>
      </c>
      <c r="K5123" s="29">
        <v>0.96694712106754799</v>
      </c>
    </row>
    <row r="5124" spans="1:11" x14ac:dyDescent="0.35">
      <c r="A5124" s="9" t="str">
        <f>HYPERLINK("http://www.ensembl.org/id/WBGene00007623", "WBGene00007623")</f>
        <v>WBGene00007623</v>
      </c>
      <c r="B5124" s="9" t="str">
        <f>HYPERLINK("http://www.ncbi.nlm.nih.gov/gene/175536", "175536")</f>
        <v>175536</v>
      </c>
      <c r="C5124" s="9" t="str">
        <f>HYPERLINK("http://www.ncbi.nlm.nih.gov/gene/51118", "51118")</f>
        <v>51118</v>
      </c>
      <c r="D5124" t="str">
        <f>"C16C10.2"</f>
        <v>C16C10.2</v>
      </c>
      <c r="E5124" t="s">
        <v>4050</v>
      </c>
      <c r="F5124" t="s">
        <v>11</v>
      </c>
      <c r="G5124" t="s">
        <v>4051</v>
      </c>
      <c r="H5124" s="12">
        <v>-1.3193678856298701</v>
      </c>
      <c r="I5124" s="20">
        <v>-1.24134523642878</v>
      </c>
      <c r="J5124" s="28">
        <v>0.21447824032912499</v>
      </c>
      <c r="K5124" s="29">
        <v>0.967253512536278</v>
      </c>
    </row>
    <row r="5125" spans="1:11" x14ac:dyDescent="0.35">
      <c r="A5125" s="9" t="str">
        <f>HYPERLINK("http://www.ensembl.org/id/WBGene00009514", "WBGene00009514")</f>
        <v>WBGene00009514</v>
      </c>
      <c r="B5125" s="9" t="str">
        <f>HYPERLINK("http://www.ncbi.nlm.nih.gov/gene/3564874", "3564874")</f>
        <v>3564874</v>
      </c>
      <c r="C5125" s="9"/>
      <c r="D5125" t="str">
        <f>"F37H8.5"</f>
        <v>F37H8.5</v>
      </c>
      <c r="E5125" t="s">
        <v>4048</v>
      </c>
      <c r="F5125" t="s">
        <v>11</v>
      </c>
      <c r="G5125" t="s">
        <v>4049</v>
      </c>
      <c r="H5125" s="12">
        <v>-1.27661717943649</v>
      </c>
      <c r="I5125" s="20">
        <v>-1.24128982655204</v>
      </c>
      <c r="J5125" s="28">
        <v>0.21449870155959</v>
      </c>
      <c r="K5125" s="29">
        <v>0.967253512536278</v>
      </c>
    </row>
    <row r="5126" spans="1:11" x14ac:dyDescent="0.35">
      <c r="A5126" s="9" t="str">
        <f>HYPERLINK("http://www.ensembl.org/id/WBGene00020728", "WBGene00020728")</f>
        <v>WBGene00020728</v>
      </c>
      <c r="B5126" s="9" t="str">
        <f>HYPERLINK("http://www.ncbi.nlm.nih.gov/gene/188794", "188794")</f>
        <v>188794</v>
      </c>
      <c r="C5126" s="9"/>
      <c r="D5126" t="str">
        <f>"T23E1.1"</f>
        <v>T23E1.1</v>
      </c>
      <c r="F5126" t="s">
        <v>11</v>
      </c>
      <c r="G5126" t="s">
        <v>790</v>
      </c>
      <c r="H5126" s="12">
        <v>5.9658037470535996</v>
      </c>
      <c r="I5126" s="20">
        <v>1.24140054982392</v>
      </c>
      <c r="J5126" s="28">
        <v>0.21445781613012299</v>
      </c>
      <c r="K5126" s="29">
        <v>0.967253512536278</v>
      </c>
    </row>
    <row r="5127" spans="1:11" x14ac:dyDescent="0.35">
      <c r="A5127" s="9" t="str">
        <f>HYPERLINK("http://www.ensembl.org/id/WBGene00022867", "WBGene00022867")</f>
        <v>WBGene00022867</v>
      </c>
      <c r="B5127" s="9" t="str">
        <f>HYPERLINK("http://www.ncbi.nlm.nih.gov/gene/191538", "191538")</f>
        <v>191538</v>
      </c>
      <c r="C5127" s="9"/>
      <c r="D5127" t="str">
        <f>"ZK1240.2"</f>
        <v>ZK1240.2</v>
      </c>
      <c r="F5127" t="s">
        <v>11</v>
      </c>
      <c r="G5127" t="s">
        <v>3465</v>
      </c>
      <c r="H5127" s="12">
        <v>-1.33627852946047</v>
      </c>
      <c r="I5127" s="20">
        <v>-1.24093774930136</v>
      </c>
      <c r="J5127" s="28">
        <v>0.21462874616973601</v>
      </c>
      <c r="K5127" s="29">
        <v>0.96765108468251904</v>
      </c>
    </row>
    <row r="5128" spans="1:11" x14ac:dyDescent="0.35">
      <c r="A5128" s="9" t="str">
        <f>HYPERLINK("http://www.ensembl.org/id/WBGene00011839", "WBGene00011839")</f>
        <v>WBGene00011839</v>
      </c>
      <c r="B5128" s="9" t="str">
        <f>HYPERLINK("http://www.ncbi.nlm.nih.gov/gene/188594", "188594")</f>
        <v>188594</v>
      </c>
      <c r="C5128" s="9"/>
      <c r="D5128" t="str">
        <f>"T19C4.5"</f>
        <v>T19C4.5</v>
      </c>
      <c r="F5128" t="s">
        <v>11</v>
      </c>
      <c r="G5128" t="s">
        <v>1871</v>
      </c>
      <c r="H5128" s="12">
        <v>1.3554275291112701</v>
      </c>
      <c r="I5128" s="20">
        <v>1.2406921992881299</v>
      </c>
      <c r="J5128" s="28">
        <v>0.21471947710713199</v>
      </c>
      <c r="K5128" s="29">
        <v>0.96787129107245096</v>
      </c>
    </row>
    <row r="5129" spans="1:11" x14ac:dyDescent="0.35">
      <c r="A5129" s="9" t="str">
        <f>HYPERLINK("http://www.ensembl.org/id/WBGene00000983", "WBGene00000983")</f>
        <v>WBGene00000983</v>
      </c>
      <c r="B5129" s="9" t="str">
        <f>HYPERLINK("http://www.ncbi.nlm.nih.gov/gene/179590", "179590")</f>
        <v>179590</v>
      </c>
      <c r="C5129" s="9" t="str">
        <f>HYPERLINK("http://www.ncbi.nlm.nih.gov/gene/8630", "8630")</f>
        <v>8630</v>
      </c>
      <c r="D5129" t="str">
        <f>"dhs-20"</f>
        <v>dhs-20</v>
      </c>
      <c r="E5129" t="s">
        <v>488</v>
      </c>
      <c r="F5129" t="s">
        <v>11</v>
      </c>
      <c r="G5129" t="s">
        <v>489</v>
      </c>
      <c r="H5129" s="12">
        <v>-1.33093303772131</v>
      </c>
      <c r="I5129" s="20">
        <v>-1.24011049492355</v>
      </c>
      <c r="J5129" s="28">
        <v>0.21493452768751001</v>
      </c>
      <c r="K5129" s="29">
        <v>0.96827741312251403</v>
      </c>
    </row>
    <row r="5130" spans="1:11" x14ac:dyDescent="0.35">
      <c r="A5130" s="9" t="str">
        <f>HYPERLINK("http://www.ensembl.org/id/WBGene00001403", "WBGene00001403")</f>
        <v>WBGene00001403</v>
      </c>
      <c r="B5130" s="9" t="str">
        <f>HYPERLINK("http://www.ncbi.nlm.nih.gov/gene/177788", "177788")</f>
        <v>177788</v>
      </c>
      <c r="C5130" s="9" t="str">
        <f>HYPERLINK("http://www.ncbi.nlm.nih.gov/gene/2192", "2192")</f>
        <v>2192</v>
      </c>
      <c r="D5130" t="str">
        <f>"fbl-1"</f>
        <v>fbl-1</v>
      </c>
      <c r="E5130" t="s">
        <v>4052</v>
      </c>
      <c r="F5130" t="s">
        <v>11</v>
      </c>
      <c r="G5130" t="s">
        <v>4053</v>
      </c>
      <c r="H5130" s="12">
        <v>1.26737637558001</v>
      </c>
      <c r="I5130" s="20">
        <v>1.2399951239862601</v>
      </c>
      <c r="J5130" s="28">
        <v>0.21497719766807299</v>
      </c>
      <c r="K5130" s="29">
        <v>0.96827741312251403</v>
      </c>
    </row>
    <row r="5131" spans="1:11" x14ac:dyDescent="0.35">
      <c r="A5131" s="9" t="str">
        <f>HYPERLINK("http://www.ensembl.org/id/WBGene00022425", "WBGene00022425")</f>
        <v>WBGene00022425</v>
      </c>
      <c r="B5131" s="9" t="str">
        <f>HYPERLINK("http://www.ncbi.nlm.nih.gov/gene/3564941", "3564941")</f>
        <v>3564941</v>
      </c>
      <c r="C5131" s="9" t="str">
        <f>HYPERLINK("http://www.ncbi.nlm.nih.gov/gene/3936", "3936")</f>
        <v>3936</v>
      </c>
      <c r="D5131" t="str">
        <f>"plst-1"</f>
        <v>plst-1</v>
      </c>
      <c r="E5131" t="s">
        <v>4054</v>
      </c>
      <c r="F5131" t="s">
        <v>11</v>
      </c>
      <c r="G5131" t="s">
        <v>4055</v>
      </c>
      <c r="H5131" s="12">
        <v>-1.28375362625642</v>
      </c>
      <c r="I5131" s="20">
        <v>-1.24006906802466</v>
      </c>
      <c r="J5131" s="28">
        <v>0.21494984873775499</v>
      </c>
      <c r="K5131" s="29">
        <v>0.96827741312251403</v>
      </c>
    </row>
    <row r="5132" spans="1:11" x14ac:dyDescent="0.35">
      <c r="A5132" s="9" t="str">
        <f>HYPERLINK("http://www.ensembl.org/id/WBGene00014239", "WBGene00014239")</f>
        <v>WBGene00014239</v>
      </c>
      <c r="B5132" s="9" t="str">
        <f>HYPERLINK("http://www.ncbi.nlm.nih.gov/gene/173186", "173186")</f>
        <v>173186</v>
      </c>
      <c r="C5132" s="9"/>
      <c r="D5132" t="str">
        <f>"ZK1225.5"</f>
        <v>ZK1225.5</v>
      </c>
      <c r="F5132" t="s">
        <v>11</v>
      </c>
      <c r="H5132" s="12">
        <v>-9.6308161080189993</v>
      </c>
      <c r="I5132" s="20">
        <v>-1.2402429263571999</v>
      </c>
      <c r="J5132" s="28">
        <v>0.214885555401791</v>
      </c>
      <c r="K5132" s="29">
        <v>0.96827741312251403</v>
      </c>
    </row>
    <row r="5133" spans="1:11" x14ac:dyDescent="0.35">
      <c r="A5133" s="9" t="str">
        <f>HYPERLINK("http://www.ensembl.org/id/WBGene00022206", "WBGene00022206")</f>
        <v>WBGene00022206</v>
      </c>
      <c r="B5133" s="9" t="str">
        <f>HYPERLINK("http://www.ncbi.nlm.nih.gov/gene/190622", "190622")</f>
        <v>190622</v>
      </c>
      <c r="C5133" s="9"/>
      <c r="D5133" t="str">
        <f>"Y73B3A.4"</f>
        <v>Y73B3A.4</v>
      </c>
      <c r="F5133" t="s">
        <v>11</v>
      </c>
      <c r="H5133" s="12">
        <v>-1.3962667302315801</v>
      </c>
      <c r="I5133" s="20">
        <v>-1.23980618998966</v>
      </c>
      <c r="J5133" s="28">
        <v>0.21504708815596199</v>
      </c>
      <c r="K5133" s="29">
        <v>0.96840343382024296</v>
      </c>
    </row>
    <row r="5134" spans="1:11" x14ac:dyDescent="0.35">
      <c r="A5134" s="9" t="str">
        <f>HYPERLINK("http://www.ensembl.org/id/WBGene00001483", "WBGene00001483")</f>
        <v>WBGene00001483</v>
      </c>
      <c r="B5134" s="9" t="str">
        <f>HYPERLINK("http://www.ncbi.nlm.nih.gov/gene/172863", "172863")</f>
        <v>172863</v>
      </c>
      <c r="C5134" s="9"/>
      <c r="D5134" t="str">
        <f>"fog-3"</f>
        <v>fog-3</v>
      </c>
      <c r="E5134" t="s">
        <v>4056</v>
      </c>
      <c r="F5134" t="s">
        <v>11</v>
      </c>
      <c r="G5134" t="s">
        <v>4057</v>
      </c>
      <c r="H5134" s="12">
        <v>-2.7057175329185501</v>
      </c>
      <c r="I5134" s="20">
        <v>-1.23939012539773</v>
      </c>
      <c r="J5134" s="28">
        <v>0.21520105655375299</v>
      </c>
      <c r="K5134" s="29">
        <v>0.96890795259762597</v>
      </c>
    </row>
    <row r="5135" spans="1:11" x14ac:dyDescent="0.35">
      <c r="A5135" s="9" t="str">
        <f>HYPERLINK("http://www.ensembl.org/id/WBGene00017462", "WBGene00017462")</f>
        <v>WBGene00017462</v>
      </c>
      <c r="B5135" s="9" t="str">
        <f>HYPERLINK("http://www.ncbi.nlm.nih.gov/gene/3565330", "3565330")</f>
        <v>3565330</v>
      </c>
      <c r="C5135" s="9"/>
      <c r="D5135" t="str">
        <f>"F14D2.14"</f>
        <v>F14D2.14</v>
      </c>
      <c r="F5135" t="s">
        <v>11</v>
      </c>
      <c r="H5135" s="12">
        <v>-3.02931598228195</v>
      </c>
      <c r="I5135" s="20">
        <v>-1.2387990888828599</v>
      </c>
      <c r="J5135" s="28">
        <v>0.21541991140553199</v>
      </c>
      <c r="K5135" s="29">
        <v>0.96910080572180402</v>
      </c>
    </row>
    <row r="5136" spans="1:11" x14ac:dyDescent="0.35">
      <c r="A5136" s="9" t="str">
        <f>HYPERLINK("http://www.ensembl.org/id/WBGene00001431", "WBGene00001431")</f>
        <v>WBGene00001431</v>
      </c>
      <c r="B5136" s="9" t="str">
        <f>HYPERLINK("http://www.ncbi.nlm.nih.gov/gene/180371", "180371")</f>
        <v>180371</v>
      </c>
      <c r="C5136" s="9" t="str">
        <f>HYPERLINK("http://www.ncbi.nlm.nih.gov/gene/2288", "2288")</f>
        <v>2288</v>
      </c>
      <c r="D5136" t="str">
        <f>"fkb-6"</f>
        <v>fkb-6</v>
      </c>
      <c r="E5136" t="s">
        <v>4062</v>
      </c>
      <c r="F5136" t="s">
        <v>11</v>
      </c>
      <c r="G5136" t="s">
        <v>4063</v>
      </c>
      <c r="H5136" s="12">
        <v>-1.25873051698673</v>
      </c>
      <c r="I5136" s="20">
        <v>-1.2386225371934501</v>
      </c>
      <c r="J5136" s="28">
        <v>0.21548531780469701</v>
      </c>
      <c r="K5136" s="29">
        <v>0.96910080572180402</v>
      </c>
    </row>
    <row r="5137" spans="1:11" x14ac:dyDescent="0.35">
      <c r="A5137" s="9" t="str">
        <f>HYPERLINK("http://www.ensembl.org/id/WBGene00019749", "WBGene00019749")</f>
        <v>WBGene00019749</v>
      </c>
      <c r="B5137" s="9" t="str">
        <f>HYPERLINK("http://www.ncbi.nlm.nih.gov/gene/187416", "187416")</f>
        <v>187416</v>
      </c>
      <c r="C5137" s="9"/>
      <c r="D5137" t="str">
        <f>"M03A8.3"</f>
        <v>M03A8.3</v>
      </c>
      <c r="F5137" t="s">
        <v>11</v>
      </c>
      <c r="H5137" s="12">
        <v>1.32999682430772</v>
      </c>
      <c r="I5137" s="20">
        <v>1.23896726388504</v>
      </c>
      <c r="J5137" s="28">
        <v>0.21535762158597099</v>
      </c>
      <c r="K5137" s="29">
        <v>0.96910080572180402</v>
      </c>
    </row>
    <row r="5138" spans="1:11" x14ac:dyDescent="0.35">
      <c r="A5138" s="9" t="str">
        <f>HYPERLINK("http://www.ensembl.org/id/WBGene00021461", "WBGene00021461")</f>
        <v>WBGene00021461</v>
      </c>
      <c r="B5138" s="9" t="str">
        <f>HYPERLINK("http://www.ncbi.nlm.nih.gov/gene/189769", "189769")</f>
        <v>189769</v>
      </c>
      <c r="C5138" s="9" t="str">
        <f>HYPERLINK("http://www.ncbi.nlm.nih.gov/gene/284086", "284086")</f>
        <v>284086</v>
      </c>
      <c r="D5138" t="str">
        <f>"nekl-1"</f>
        <v>nekl-1</v>
      </c>
      <c r="E5138" t="s">
        <v>4058</v>
      </c>
      <c r="F5138" t="s">
        <v>11</v>
      </c>
      <c r="G5138" t="s">
        <v>4059</v>
      </c>
      <c r="H5138" s="12">
        <v>1.65171714887382</v>
      </c>
      <c r="I5138" s="20">
        <v>1.2389090458872301</v>
      </c>
      <c r="J5138" s="28">
        <v>0.21537918330163999</v>
      </c>
      <c r="K5138" s="29">
        <v>0.96910080572180402</v>
      </c>
    </row>
    <row r="5139" spans="1:11" x14ac:dyDescent="0.35">
      <c r="A5139" s="9" t="str">
        <f>HYPERLINK("http://www.ensembl.org/id/WBGene00013151", "WBGene00013151")</f>
        <v>WBGene00013151</v>
      </c>
      <c r="B5139" s="9" t="str">
        <f>HYPERLINK("http://www.ncbi.nlm.nih.gov/gene/175153", "175153")</f>
        <v>175153</v>
      </c>
      <c r="C5139" s="9" t="str">
        <f>HYPERLINK("http://www.ncbi.nlm.nih.gov/gene/55695", "55695")</f>
        <v>55695</v>
      </c>
      <c r="D5139" t="str">
        <f>"nsun-5"</f>
        <v>nsun-5</v>
      </c>
      <c r="E5139" t="s">
        <v>4067</v>
      </c>
      <c r="F5139" t="s">
        <v>11</v>
      </c>
      <c r="G5139" t="s">
        <v>4068</v>
      </c>
      <c r="H5139" s="12">
        <v>-1.3979495812582601</v>
      </c>
      <c r="I5139" s="20">
        <v>-1.23843822654226</v>
      </c>
      <c r="J5139" s="28">
        <v>0.215553613896942</v>
      </c>
      <c r="K5139" s="29">
        <v>0.96910080572180402</v>
      </c>
    </row>
    <row r="5140" spans="1:11" x14ac:dyDescent="0.35">
      <c r="A5140" s="9" t="str">
        <f>HYPERLINK("http://www.ensembl.org/id/WBGene00013857", "WBGene00013857")</f>
        <v>WBGene00013857</v>
      </c>
      <c r="B5140" s="9" t="str">
        <f>HYPERLINK("http://www.ncbi.nlm.nih.gov/gene/177964", "177964")</f>
        <v>177964</v>
      </c>
      <c r="C5140" s="9"/>
      <c r="D5140" t="str">
        <f>"orc-5"</f>
        <v>orc-5</v>
      </c>
      <c r="E5140" t="s">
        <v>3713</v>
      </c>
      <c r="F5140" t="s">
        <v>11</v>
      </c>
      <c r="G5140" t="s">
        <v>4066</v>
      </c>
      <c r="H5140" s="12">
        <v>-1.3612834749448699</v>
      </c>
      <c r="I5140" s="20">
        <v>-1.23861974051516</v>
      </c>
      <c r="J5140" s="28">
        <v>0.21548635399402</v>
      </c>
      <c r="K5140" s="29">
        <v>0.96910080572180402</v>
      </c>
    </row>
    <row r="5141" spans="1:11" x14ac:dyDescent="0.35">
      <c r="A5141" s="9" t="str">
        <f>HYPERLINK("http://www.ensembl.org/id/WBGene00004762", "WBGene00004762")</f>
        <v>WBGene00004762</v>
      </c>
      <c r="B5141" s="9" t="str">
        <f>HYPERLINK("http://www.ncbi.nlm.nih.gov/gene/175599", "175599")</f>
        <v>175599</v>
      </c>
      <c r="C5141" s="9"/>
      <c r="D5141" t="str">
        <f>"sel-5"</f>
        <v>sel-5</v>
      </c>
      <c r="E5141" t="s">
        <v>4064</v>
      </c>
      <c r="F5141" t="s">
        <v>11</v>
      </c>
      <c r="G5141" t="s">
        <v>4065</v>
      </c>
      <c r="H5141" s="12">
        <v>-1.2626803434270499</v>
      </c>
      <c r="I5141" s="20">
        <v>-1.23836858722339</v>
      </c>
      <c r="J5141" s="28">
        <v>0.215579422721807</v>
      </c>
      <c r="K5141" s="29">
        <v>0.96910080572180402</v>
      </c>
    </row>
    <row r="5142" spans="1:11" x14ac:dyDescent="0.35">
      <c r="A5142" s="9" t="str">
        <f>HYPERLINK("http://www.ensembl.org/id/WBGene00012891", "WBGene00012891")</f>
        <v>WBGene00012891</v>
      </c>
      <c r="B5142" s="9" t="str">
        <f>HYPERLINK("http://www.ncbi.nlm.nih.gov/gene/3565590", "3565590")</f>
        <v>3565590</v>
      </c>
      <c r="C5142" s="9"/>
      <c r="D5142" t="str">
        <f>"sorb-1"</f>
        <v>sorb-1</v>
      </c>
      <c r="E5142" t="s">
        <v>4060</v>
      </c>
      <c r="F5142" t="s">
        <v>11</v>
      </c>
      <c r="G5142" t="s">
        <v>4061</v>
      </c>
      <c r="H5142" s="12">
        <v>1.37875265450018</v>
      </c>
      <c r="I5142" s="20">
        <v>1.2383910030274901</v>
      </c>
      <c r="J5142" s="28">
        <v>0.215571115023108</v>
      </c>
      <c r="K5142" s="29">
        <v>0.96910080572180402</v>
      </c>
    </row>
    <row r="5143" spans="1:11" x14ac:dyDescent="0.35">
      <c r="A5143" s="9" t="str">
        <f>HYPERLINK("http://www.ensembl.org/id/WBGene00017402", "WBGene00017402")</f>
        <v>WBGene00017402</v>
      </c>
      <c r="B5143" s="9" t="str">
        <f>HYPERLINK("http://www.ncbi.nlm.nih.gov/gene/173718", "173718")</f>
        <v>173718</v>
      </c>
      <c r="C5143" s="9"/>
      <c r="D5143" t="str">
        <f>"F12E12.1"</f>
        <v>F12E12.1</v>
      </c>
      <c r="F5143" t="s">
        <v>11</v>
      </c>
      <c r="H5143" s="12">
        <v>-1.4139485806594201</v>
      </c>
      <c r="I5143" s="20">
        <v>-1.2378570061371199</v>
      </c>
      <c r="J5143" s="28">
        <v>0.21576908653559099</v>
      </c>
      <c r="K5143" s="29">
        <v>0.96976473711172095</v>
      </c>
    </row>
    <row r="5144" spans="1:11" x14ac:dyDescent="0.35">
      <c r="A5144" s="9" t="str">
        <f>HYPERLINK("http://www.ensembl.org/id/WBGene00013969", "WBGene00013969")</f>
        <v>WBGene00013969</v>
      </c>
      <c r="B5144" s="9" t="str">
        <f>HYPERLINK("http://www.ncbi.nlm.nih.gov/gene/173367", "173367")</f>
        <v>173367</v>
      </c>
      <c r="C5144" s="9" t="str">
        <f>HYPERLINK("http://www.ncbi.nlm.nih.gov/gene/135228", "135228")</f>
        <v>135228</v>
      </c>
      <c r="D5144" t="str">
        <f>"tep-1"</f>
        <v>tep-1</v>
      </c>
      <c r="E5144" t="s">
        <v>4069</v>
      </c>
      <c r="F5144" t="s">
        <v>11</v>
      </c>
      <c r="G5144" t="s">
        <v>4070</v>
      </c>
      <c r="H5144" s="12">
        <v>1.2571563531486301</v>
      </c>
      <c r="I5144" s="20">
        <v>1.2377213103119</v>
      </c>
      <c r="J5144" s="28">
        <v>0.21581941462955201</v>
      </c>
      <c r="K5144" s="29">
        <v>0.96980229374376403</v>
      </c>
    </row>
    <row r="5145" spans="1:11" x14ac:dyDescent="0.35">
      <c r="A5145" s="9" t="str">
        <f>HYPERLINK("http://www.ensembl.org/id/WBGene00011755", "WBGene00011755")</f>
        <v>WBGene00011755</v>
      </c>
      <c r="B5145" s="9" t="str">
        <f>HYPERLINK("http://www.ncbi.nlm.nih.gov/gene/174359", "174359")</f>
        <v>174359</v>
      </c>
      <c r="C5145" s="9"/>
      <c r="D5145" t="str">
        <f>"T13H5.1"</f>
        <v>T13H5.1</v>
      </c>
      <c r="E5145" t="s">
        <v>1019</v>
      </c>
      <c r="F5145" t="s">
        <v>11</v>
      </c>
      <c r="G5145" t="s">
        <v>1020</v>
      </c>
      <c r="H5145" s="12">
        <v>1.3084385019549201</v>
      </c>
      <c r="I5145" s="20">
        <v>1.2375637144802201</v>
      </c>
      <c r="J5145" s="28">
        <v>0.215877875805913</v>
      </c>
      <c r="K5145" s="29">
        <v>0.96987637533957305</v>
      </c>
    </row>
    <row r="5146" spans="1:11" x14ac:dyDescent="0.35">
      <c r="A5146" s="9" t="str">
        <f>HYPERLINK("http://www.ensembl.org/id/WBGene00004101", "WBGene00004101")</f>
        <v>WBGene00004101</v>
      </c>
      <c r="B5146" s="9" t="str">
        <f>HYPERLINK("http://www.ncbi.nlm.nih.gov/gene/177617", "177617")</f>
        <v>177617</v>
      </c>
      <c r="C5146" s="9" t="str">
        <f>HYPERLINK("http://www.ncbi.nlm.nih.gov/gene/9146", "9146")</f>
        <v>9146</v>
      </c>
      <c r="D5146" t="str">
        <f>"hgrs-1"</f>
        <v>hgrs-1</v>
      </c>
      <c r="E5146" t="s">
        <v>4071</v>
      </c>
      <c r="F5146" t="s">
        <v>11</v>
      </c>
      <c r="G5146" t="s">
        <v>4072</v>
      </c>
      <c r="H5146" s="12">
        <v>-1.24861310842594</v>
      </c>
      <c r="I5146" s="20">
        <v>-1.2373483412989399</v>
      </c>
      <c r="J5146" s="28">
        <v>0.215957788298099</v>
      </c>
      <c r="K5146" s="29">
        <v>0.97004678390666199</v>
      </c>
    </row>
    <row r="5147" spans="1:11" x14ac:dyDescent="0.35">
      <c r="A5147" s="9" t="str">
        <f>HYPERLINK("http://www.ensembl.org/id/WBGene00044582", "WBGene00044582")</f>
        <v>WBGene00044582</v>
      </c>
      <c r="B5147" s="9" t="str">
        <f>HYPERLINK("http://www.ncbi.nlm.nih.gov/gene/3896831", "3896831")</f>
        <v>3896831</v>
      </c>
      <c r="C5147" s="9"/>
      <c r="D5147" t="str">
        <f>"B0222.11"</f>
        <v>B0222.11</v>
      </c>
      <c r="F5147" t="s">
        <v>11</v>
      </c>
      <c r="H5147" s="12">
        <v>1.87727663295989</v>
      </c>
      <c r="I5147" s="20">
        <v>1.23701050362987</v>
      </c>
      <c r="J5147" s="28">
        <v>0.21608318316571901</v>
      </c>
      <c r="K5147" s="29">
        <v>0.97013452130760003</v>
      </c>
    </row>
    <row r="5148" spans="1:11" x14ac:dyDescent="0.35">
      <c r="A5148" s="9" t="str">
        <f>HYPERLINK("http://www.ensembl.org/id/WBGene00007603", "WBGene00007603")</f>
        <v>WBGene00007603</v>
      </c>
      <c r="B5148" s="9" t="str">
        <f>HYPERLINK("http://www.ncbi.nlm.nih.gov/gene/173100", "173100")</f>
        <v>173100</v>
      </c>
      <c r="C5148" s="9"/>
      <c r="D5148" t="str">
        <f>"C15C6.4"</f>
        <v>C15C6.4</v>
      </c>
      <c r="E5148" t="s">
        <v>4074</v>
      </c>
      <c r="F5148" t="s">
        <v>11</v>
      </c>
      <c r="G5148" t="s">
        <v>4075</v>
      </c>
      <c r="H5148" s="12">
        <v>-1.3756018291760901</v>
      </c>
      <c r="I5148" s="20">
        <v>-1.2369563728130299</v>
      </c>
      <c r="J5148" s="28">
        <v>0.21610327971826401</v>
      </c>
      <c r="K5148" s="29">
        <v>0.97013452130760003</v>
      </c>
    </row>
    <row r="5149" spans="1:11" x14ac:dyDescent="0.35">
      <c r="A5149" s="9" t="str">
        <f>HYPERLINK("http://www.ensembl.org/id/WBGene00010368", "WBGene00010368")</f>
        <v>WBGene00010368</v>
      </c>
      <c r="B5149" s="9" t="str">
        <f>HYPERLINK("http://www.ncbi.nlm.nih.gov/gene/186696", "186696")</f>
        <v>186696</v>
      </c>
      <c r="C5149" s="9"/>
      <c r="D5149" t="str">
        <f>"H06A10.1"</f>
        <v>H06A10.1</v>
      </c>
      <c r="F5149" t="s">
        <v>11</v>
      </c>
      <c r="G5149" t="s">
        <v>4073</v>
      </c>
      <c r="H5149" s="12">
        <v>1.7999250511481899</v>
      </c>
      <c r="I5149" s="20">
        <v>1.2371487967139201</v>
      </c>
      <c r="J5149" s="28">
        <v>0.21603184672487</v>
      </c>
      <c r="K5149" s="29">
        <v>0.97013452130760003</v>
      </c>
    </row>
    <row r="5150" spans="1:11" x14ac:dyDescent="0.35">
      <c r="A5150" s="9" t="str">
        <f>HYPERLINK("http://www.ensembl.org/id/WBGene00220032", "WBGene00220032")</f>
        <v>WBGene00220032</v>
      </c>
      <c r="B5150" s="9"/>
      <c r="C5150" s="9"/>
      <c r="D5150" t="str">
        <f>"M7.15"</f>
        <v>M7.15</v>
      </c>
      <c r="F5150" t="s">
        <v>2977</v>
      </c>
      <c r="H5150" s="12">
        <v>-19.599315221644002</v>
      </c>
      <c r="I5150" s="20">
        <v>-1.2368180946067899</v>
      </c>
      <c r="J5150" s="28">
        <v>0.216154622855279</v>
      </c>
      <c r="K5150" s="29">
        <v>0.97017651820009299</v>
      </c>
    </row>
    <row r="5151" spans="1:11" x14ac:dyDescent="0.35">
      <c r="A5151" s="9" t="str">
        <f>HYPERLINK("http://www.ensembl.org/id/WBGene00000103", "WBGene00000103")</f>
        <v>WBGene00000103</v>
      </c>
      <c r="B5151" s="9" t="str">
        <f>HYPERLINK("http://www.ncbi.nlm.nih.gov/gene/181524", "181524")</f>
        <v>181524</v>
      </c>
      <c r="C5151" s="9" t="str">
        <f>HYPERLINK("http://www.ncbi.nlm.nih.gov/gene/207", "207")</f>
        <v>207</v>
      </c>
      <c r="D5151" t="str">
        <f>"akt-2"</f>
        <v>akt-2</v>
      </c>
      <c r="E5151" t="s">
        <v>4084</v>
      </c>
      <c r="F5151" t="s">
        <v>11</v>
      </c>
      <c r="G5151" t="s">
        <v>2542</v>
      </c>
      <c r="H5151" s="12">
        <v>-1.2519824223537701</v>
      </c>
      <c r="I5151" s="20">
        <v>-1.2362833632415999</v>
      </c>
      <c r="J5151" s="28">
        <v>0.21635325295520999</v>
      </c>
      <c r="K5151" s="29">
        <v>0.97033704099764395</v>
      </c>
    </row>
    <row r="5152" spans="1:11" x14ac:dyDescent="0.35">
      <c r="A5152" s="9" t="str">
        <f>HYPERLINK("http://www.ensembl.org/id/WBGene00016046", "WBGene00016046")</f>
        <v>WBGene00016046</v>
      </c>
      <c r="B5152" s="9" t="str">
        <f>HYPERLINK("http://www.ncbi.nlm.nih.gov/gene/182835", "182835")</f>
        <v>182835</v>
      </c>
      <c r="C5152" s="9" t="str">
        <f>HYPERLINK("http://www.ncbi.nlm.nih.gov/gene/28970", "28970")</f>
        <v>28970</v>
      </c>
      <c r="D5152" t="str">
        <f>"C24B5.4"</f>
        <v>C24B5.4</v>
      </c>
      <c r="F5152" t="s">
        <v>11</v>
      </c>
      <c r="G5152" t="s">
        <v>4087</v>
      </c>
      <c r="H5152" s="12">
        <v>-1.4070028593378101</v>
      </c>
      <c r="I5152" s="20">
        <v>-1.2366022465528399</v>
      </c>
      <c r="J5152" s="28">
        <v>0.21623478547609401</v>
      </c>
      <c r="K5152" s="29">
        <v>0.97033704099764395</v>
      </c>
    </row>
    <row r="5153" spans="1:11" x14ac:dyDescent="0.35">
      <c r="A5153" s="9" t="str">
        <f>HYPERLINK("http://www.ensembl.org/id/WBGene00011672", "WBGene00011672")</f>
        <v>WBGene00011672</v>
      </c>
      <c r="B5153" s="9" t="str">
        <f>HYPERLINK("http://www.ncbi.nlm.nih.gov/gene/188356", "188356")</f>
        <v>188356</v>
      </c>
      <c r="C5153" s="9" t="str">
        <f>HYPERLINK("http://www.ncbi.nlm.nih.gov/gene/100861540", "100861540")</f>
        <v>100861540</v>
      </c>
      <c r="D5153" t="str">
        <f>"cyp-13A5"</f>
        <v>cyp-13A5</v>
      </c>
      <c r="E5153" t="s">
        <v>4077</v>
      </c>
      <c r="F5153" t="s">
        <v>11</v>
      </c>
      <c r="G5153" t="s">
        <v>185</v>
      </c>
      <c r="H5153" s="12">
        <v>1.34970230687953</v>
      </c>
      <c r="I5153" s="20">
        <v>1.23567069868407</v>
      </c>
      <c r="J5153" s="28">
        <v>0.216580993408275</v>
      </c>
      <c r="K5153" s="29">
        <v>0.97033704099764395</v>
      </c>
    </row>
    <row r="5154" spans="1:11" x14ac:dyDescent="0.35">
      <c r="A5154" s="9" t="str">
        <f>HYPERLINK("http://www.ensembl.org/id/WBGene00016103", "WBGene00016103")</f>
        <v>WBGene00016103</v>
      </c>
      <c r="B5154" s="9" t="str">
        <f>HYPERLINK("http://www.ncbi.nlm.nih.gov/gene/180818", "180818")</f>
        <v>180818</v>
      </c>
      <c r="C5154" s="9" t="str">
        <f>HYPERLINK("http://www.ncbi.nlm.nih.gov/gene/1806", "1806")</f>
        <v>1806</v>
      </c>
      <c r="D5154" t="str">
        <f>"dpyd-1"</f>
        <v>dpyd-1</v>
      </c>
      <c r="E5154" t="s">
        <v>4081</v>
      </c>
      <c r="F5154" t="s">
        <v>11</v>
      </c>
      <c r="G5154" t="s">
        <v>4082</v>
      </c>
      <c r="H5154" s="12">
        <v>1.26537244315937</v>
      </c>
      <c r="I5154" s="20">
        <v>1.23618242152877</v>
      </c>
      <c r="J5154" s="28">
        <v>0.21639076327220599</v>
      </c>
      <c r="K5154" s="29">
        <v>0.97033704099764395</v>
      </c>
    </row>
    <row r="5155" spans="1:11" x14ac:dyDescent="0.35">
      <c r="A5155" s="9" t="str">
        <f>HYPERLINK("http://www.ensembl.org/id/WBGene00008885", "WBGene00008885")</f>
        <v>WBGene00008885</v>
      </c>
      <c r="B5155" s="9" t="str">
        <f>HYPERLINK("http://www.ncbi.nlm.nih.gov/gene/184568", "184568")</f>
        <v>184568</v>
      </c>
      <c r="C5155" s="9"/>
      <c r="D5155" t="str">
        <f>"F16C3.1"</f>
        <v>F16C3.1</v>
      </c>
      <c r="F5155" t="s">
        <v>11</v>
      </c>
      <c r="G5155" t="s">
        <v>1511</v>
      </c>
      <c r="H5155" s="12">
        <v>1.51920262218707</v>
      </c>
      <c r="I5155" s="20">
        <v>1.23594379069905</v>
      </c>
      <c r="J5155" s="28">
        <v>0.21647945799208701</v>
      </c>
      <c r="K5155" s="29">
        <v>0.97033704099764395</v>
      </c>
    </row>
    <row r="5156" spans="1:11" x14ac:dyDescent="0.35">
      <c r="A5156" s="9" t="str">
        <f>HYPERLINK("http://www.ensembl.org/id/WBGene00018706", "WBGene00018706")</f>
        <v>WBGene00018706</v>
      </c>
      <c r="B5156" s="9" t="str">
        <f>HYPERLINK("http://www.ncbi.nlm.nih.gov/gene/178644", "178644")</f>
        <v>178644</v>
      </c>
      <c r="C5156" s="9" t="str">
        <f>HYPERLINK("http://www.ncbi.nlm.nih.gov/gene/256471", "256471")</f>
        <v>256471</v>
      </c>
      <c r="D5156" t="str">
        <f>"F52F10.2"</f>
        <v>F52F10.2</v>
      </c>
      <c r="F5156" t="s">
        <v>11</v>
      </c>
      <c r="G5156" t="s">
        <v>230</v>
      </c>
      <c r="H5156" s="12">
        <v>2.0197823741060099</v>
      </c>
      <c r="I5156" s="20">
        <v>1.23514023446086</v>
      </c>
      <c r="J5156" s="28">
        <v>0.21677831756382901</v>
      </c>
      <c r="K5156" s="29">
        <v>0.97033704099764395</v>
      </c>
    </row>
    <row r="5157" spans="1:11" x14ac:dyDescent="0.35">
      <c r="A5157" s="9" t="str">
        <f>HYPERLINK("http://www.ensembl.org/id/WBGene00012564", "WBGene00012564")</f>
        <v>WBGene00012564</v>
      </c>
      <c r="B5157" s="9" t="str">
        <f>HYPERLINK("http://www.ncbi.nlm.nih.gov/gene/189628", "189628")</f>
        <v>189628</v>
      </c>
      <c r="C5157" s="9"/>
      <c r="D5157" t="str">
        <f>"fbxa-107"</f>
        <v>fbxa-107</v>
      </c>
      <c r="E5157" t="s">
        <v>467</v>
      </c>
      <c r="F5157" t="s">
        <v>11</v>
      </c>
      <c r="G5157" t="s">
        <v>54</v>
      </c>
      <c r="H5157" s="12">
        <v>-1.5735658766160401</v>
      </c>
      <c r="I5157" s="20">
        <v>-1.2358802348456599</v>
      </c>
      <c r="J5157" s="28">
        <v>0.21650308495357501</v>
      </c>
      <c r="K5157" s="29">
        <v>0.97033704099764395</v>
      </c>
    </row>
    <row r="5158" spans="1:11" x14ac:dyDescent="0.35">
      <c r="A5158" s="9" t="str">
        <f>HYPERLINK("http://www.ensembl.org/id/WBGene00001432", "WBGene00001432")</f>
        <v>WBGene00001432</v>
      </c>
      <c r="B5158" s="9" t="str">
        <f>HYPERLINK("http://www.ncbi.nlm.nih.gov/gene/172963", "172963")</f>
        <v>172963</v>
      </c>
      <c r="C5158" s="9"/>
      <c r="D5158" t="str">
        <f>"fkb-7"</f>
        <v>fkb-7</v>
      </c>
      <c r="E5158" t="s">
        <v>4062</v>
      </c>
      <c r="F5158" t="s">
        <v>11</v>
      </c>
      <c r="G5158" t="s">
        <v>4076</v>
      </c>
      <c r="H5158" s="12">
        <v>1.35376053372095</v>
      </c>
      <c r="I5158" s="20">
        <v>1.2352882117180699</v>
      </c>
      <c r="J5158" s="28">
        <v>0.21672325939982601</v>
      </c>
      <c r="K5158" s="29">
        <v>0.97033704099764395</v>
      </c>
    </row>
    <row r="5159" spans="1:11" x14ac:dyDescent="0.35">
      <c r="A5159" s="9" t="str">
        <f>HYPERLINK("http://www.ensembl.org/id/WBGene00010690", "WBGene00010690")</f>
        <v>WBGene00010690</v>
      </c>
      <c r="B5159" s="9" t="str">
        <f>HYPERLINK("http://www.ncbi.nlm.nih.gov/gene/181448", "181448")</f>
        <v>181448</v>
      </c>
      <c r="C5159" s="9"/>
      <c r="D5159" t="str">
        <f>"K08H2.3"</f>
        <v>K08H2.3</v>
      </c>
      <c r="F5159" t="s">
        <v>11</v>
      </c>
      <c r="H5159" s="12">
        <v>-1.4284105169717101</v>
      </c>
      <c r="I5159" s="20">
        <v>-1.2353844612618501</v>
      </c>
      <c r="J5159" s="28">
        <v>0.21668745306068399</v>
      </c>
      <c r="K5159" s="29">
        <v>0.97033704099764395</v>
      </c>
    </row>
    <row r="5160" spans="1:11" x14ac:dyDescent="0.35">
      <c r="A5160" s="9" t="str">
        <f>HYPERLINK("http://www.ensembl.org/id/WBGene00019609", "WBGene00019609")</f>
        <v>WBGene00019609</v>
      </c>
      <c r="B5160" s="9" t="str">
        <f>HYPERLINK("http://www.ncbi.nlm.nih.gov/gene/187247", "187247")</f>
        <v>187247</v>
      </c>
      <c r="C5160" s="9" t="str">
        <f>HYPERLINK("http://www.ncbi.nlm.nih.gov/gene/51123", "51123")</f>
        <v>51123</v>
      </c>
      <c r="D5160" t="str">
        <f>"K10B3.1"</f>
        <v>K10B3.1</v>
      </c>
      <c r="F5160" t="s">
        <v>11</v>
      </c>
      <c r="H5160" s="12">
        <v>1.3665326958514199</v>
      </c>
      <c r="I5160" s="20">
        <v>1.23526614696161</v>
      </c>
      <c r="J5160" s="28">
        <v>0.21673146843499499</v>
      </c>
      <c r="K5160" s="29">
        <v>0.97033704099764395</v>
      </c>
    </row>
    <row r="5161" spans="1:11" x14ac:dyDescent="0.35">
      <c r="A5161" s="9" t="str">
        <f>HYPERLINK("http://www.ensembl.org/id/WBGene00013258", "WBGene00013258")</f>
        <v>WBGene00013258</v>
      </c>
      <c r="B5161" s="9" t="str">
        <f>HYPERLINK("http://www.ncbi.nlm.nih.gov/gene/174860", "174860")</f>
        <v>174860</v>
      </c>
      <c r="C5161" s="9"/>
      <c r="D5161" t="str">
        <f>"polg-1"</f>
        <v>polg-1</v>
      </c>
      <c r="E5161" t="s">
        <v>4085</v>
      </c>
      <c r="F5161" t="s">
        <v>11</v>
      </c>
      <c r="G5161" t="s">
        <v>4086</v>
      </c>
      <c r="H5161" s="12">
        <v>-1.3895279820186599</v>
      </c>
      <c r="I5161" s="20">
        <v>-1.23514541106135</v>
      </c>
      <c r="J5161" s="28">
        <v>0.21677639132691201</v>
      </c>
      <c r="K5161" s="29">
        <v>0.97033704099764395</v>
      </c>
    </row>
    <row r="5162" spans="1:11" x14ac:dyDescent="0.35">
      <c r="A5162" s="9" t="str">
        <f>HYPERLINK("http://www.ensembl.org/id/WBGene00004196", "WBGene00004196")</f>
        <v>WBGene00004196</v>
      </c>
      <c r="B5162" s="9" t="str">
        <f>HYPERLINK("http://www.ncbi.nlm.nih.gov/gene/353387", "353387")</f>
        <v>353387</v>
      </c>
      <c r="C5162" s="9"/>
      <c r="D5162" t="str">
        <f>"prx-11"</f>
        <v>prx-11</v>
      </c>
      <c r="E5162" t="s">
        <v>2484</v>
      </c>
      <c r="F5162" t="s">
        <v>11</v>
      </c>
      <c r="G5162" t="s">
        <v>4078</v>
      </c>
      <c r="H5162" s="12">
        <v>1.3047725048662999</v>
      </c>
      <c r="I5162" s="20">
        <v>1.2359152312935999</v>
      </c>
      <c r="J5162" s="28">
        <v>0.216490074754256</v>
      </c>
      <c r="K5162" s="29">
        <v>0.97033704099764395</v>
      </c>
    </row>
    <row r="5163" spans="1:11" x14ac:dyDescent="0.35">
      <c r="A5163" s="9" t="str">
        <f>HYPERLINK("http://www.ensembl.org/id/WBGene00006498", "WBGene00006498")</f>
        <v>WBGene00006498</v>
      </c>
      <c r="B5163" s="9" t="str">
        <f>HYPERLINK("http://www.ncbi.nlm.nih.gov/gene/175953", "175953")</f>
        <v>175953</v>
      </c>
      <c r="C5163" s="9" t="str">
        <f>HYPERLINK("http://www.ncbi.nlm.nih.gov/gene/57451", "57451")</f>
        <v>57451</v>
      </c>
      <c r="D5163" t="str">
        <f>"ten-1"</f>
        <v>ten-1</v>
      </c>
      <c r="E5163" t="s">
        <v>4079</v>
      </c>
      <c r="F5163" t="s">
        <v>11</v>
      </c>
      <c r="G5163" t="s">
        <v>4080</v>
      </c>
      <c r="H5163" s="12">
        <v>1.2670956355610401</v>
      </c>
      <c r="I5163" s="20">
        <v>1.2352769132970201</v>
      </c>
      <c r="J5163" s="28">
        <v>0.21672746286878999</v>
      </c>
      <c r="K5163" s="29">
        <v>0.97033704099764395</v>
      </c>
    </row>
    <row r="5164" spans="1:11" x14ac:dyDescent="0.35">
      <c r="A5164" s="9" t="str">
        <f>HYPERLINK("http://www.ensembl.org/id/WBGene00012362", "WBGene00012362")</f>
        <v>WBGene00012362</v>
      </c>
      <c r="B5164" s="9" t="str">
        <f>HYPERLINK("http://www.ncbi.nlm.nih.gov/gene/176497", "176497")</f>
        <v>176497</v>
      </c>
      <c r="C5164" s="9" t="str">
        <f>HYPERLINK("http://www.ncbi.nlm.nih.gov/gene/160760", "160760")</f>
        <v>160760</v>
      </c>
      <c r="D5164" t="str">
        <f>"W09D10.4"</f>
        <v>W09D10.4</v>
      </c>
      <c r="F5164" t="s">
        <v>11</v>
      </c>
      <c r="G5164" t="s">
        <v>4083</v>
      </c>
      <c r="H5164" s="12">
        <v>-1.25154239953488</v>
      </c>
      <c r="I5164" s="20">
        <v>-1.2354668613272299</v>
      </c>
      <c r="J5164" s="28">
        <v>0.216656802327125</v>
      </c>
      <c r="K5164" s="29">
        <v>0.97033704099764395</v>
      </c>
    </row>
    <row r="5165" spans="1:11" x14ac:dyDescent="0.35">
      <c r="A5165" s="9" t="str">
        <f>HYPERLINK("http://www.ensembl.org/id/WBGene00012866", "WBGene00012866")</f>
        <v>WBGene00012866</v>
      </c>
      <c r="B5165" s="9" t="str">
        <f>HYPERLINK("http://www.ncbi.nlm.nih.gov/gene/189911", "189911")</f>
        <v>189911</v>
      </c>
      <c r="C5165" s="9" t="str">
        <f>HYPERLINK("http://www.ncbi.nlm.nih.gov/gene/125061", "125061")</f>
        <v>125061</v>
      </c>
      <c r="D5165" t="str">
        <f>"afmd-2"</f>
        <v>afmd-2</v>
      </c>
      <c r="E5165" t="s">
        <v>4114</v>
      </c>
      <c r="F5165" t="s">
        <v>11</v>
      </c>
      <c r="G5165" t="s">
        <v>4115</v>
      </c>
      <c r="H5165" s="12">
        <v>-1.3094255619356201</v>
      </c>
      <c r="I5165" s="20">
        <v>-1.2310391392903199</v>
      </c>
      <c r="J5165" s="28">
        <v>0.218308226136189</v>
      </c>
      <c r="K5165" s="29">
        <v>0.97042364854653596</v>
      </c>
    </row>
    <row r="5166" spans="1:11" x14ac:dyDescent="0.35">
      <c r="A5166" s="9" t="str">
        <f>HYPERLINK("http://www.ensembl.org/id/WBGene00000143", "WBGene00000143")</f>
        <v>WBGene00000143</v>
      </c>
      <c r="B5166" s="9" t="str">
        <f>HYPERLINK("http://www.ncbi.nlm.nih.gov/gene/176139", "176139")</f>
        <v>176139</v>
      </c>
      <c r="C5166" s="9"/>
      <c r="D5166" t="str">
        <f>"apc-2"</f>
        <v>apc-2</v>
      </c>
      <c r="E5166" t="s">
        <v>4110</v>
      </c>
      <c r="F5166" t="s">
        <v>11</v>
      </c>
      <c r="G5166" t="s">
        <v>4111</v>
      </c>
      <c r="H5166" s="12">
        <v>-1.2999582163038901</v>
      </c>
      <c r="I5166" s="20">
        <v>-1.2300305172044701</v>
      </c>
      <c r="J5166" s="28">
        <v>0.21868567726278099</v>
      </c>
      <c r="K5166" s="29">
        <v>0.97042364854653596</v>
      </c>
    </row>
    <row r="5167" spans="1:11" x14ac:dyDescent="0.35">
      <c r="A5167" s="9" t="str">
        <f>HYPERLINK("http://www.ensembl.org/id/WBGene00000245", "WBGene00000245")</f>
        <v>WBGene00000245</v>
      </c>
      <c r="B5167" s="9" t="str">
        <f>HYPERLINK("http://www.ncbi.nlm.nih.gov/gene/180890", "180890")</f>
        <v>180890</v>
      </c>
      <c r="C5167" s="9"/>
      <c r="D5167" t="str">
        <f>"bca-1"</f>
        <v>bca-1</v>
      </c>
      <c r="E5167" t="s">
        <v>4118</v>
      </c>
      <c r="F5167" t="s">
        <v>11</v>
      </c>
      <c r="G5167" t="s">
        <v>1733</v>
      </c>
      <c r="H5167" s="12">
        <v>-1.33031734632663</v>
      </c>
      <c r="I5167" s="20">
        <v>-1.2326701315547599</v>
      </c>
      <c r="J5167" s="28">
        <v>0.217698859788444</v>
      </c>
      <c r="K5167" s="29">
        <v>0.97042364854653596</v>
      </c>
    </row>
    <row r="5168" spans="1:11" x14ac:dyDescent="0.35">
      <c r="A5168" s="9" t="str">
        <f>HYPERLINK("http://www.ensembl.org/id/WBGene00015551", "WBGene00015551")</f>
        <v>WBGene00015551</v>
      </c>
      <c r="B5168" s="9" t="str">
        <f>HYPERLINK("http://www.ncbi.nlm.nih.gov/gene/177469", "177469")</f>
        <v>177469</v>
      </c>
      <c r="C5168" s="9" t="str">
        <f>HYPERLINK("http://www.ncbi.nlm.nih.gov/gene/100", "100")</f>
        <v>100</v>
      </c>
      <c r="D5168" t="str">
        <f>"C06G3.5"</f>
        <v>C06G3.5</v>
      </c>
      <c r="F5168" t="s">
        <v>11</v>
      </c>
      <c r="G5168" t="s">
        <v>4105</v>
      </c>
      <c r="H5168" s="12">
        <v>-1.25150586121203</v>
      </c>
      <c r="I5168" s="20">
        <v>-1.23478941812703</v>
      </c>
      <c r="J5168" s="28">
        <v>0.21690888664052099</v>
      </c>
      <c r="K5168" s="29">
        <v>0.97042364854653596</v>
      </c>
    </row>
    <row r="5169" spans="1:11" x14ac:dyDescent="0.35">
      <c r="A5169" s="9" t="str">
        <f>HYPERLINK("http://www.ensembl.org/id/WBGene00016617", "WBGene00016617")</f>
        <v>WBGene00016617</v>
      </c>
      <c r="B5169" s="9" t="str">
        <f>HYPERLINK("http://www.ncbi.nlm.nih.gov/gene/180544", "180544")</f>
        <v>180544</v>
      </c>
      <c r="C5169" s="9"/>
      <c r="D5169" t="str">
        <f>"C43H6.4"</f>
        <v>C43H6.4</v>
      </c>
      <c r="F5169" t="s">
        <v>11</v>
      </c>
      <c r="H5169" s="12">
        <v>1.30981304538315</v>
      </c>
      <c r="I5169" s="20">
        <v>1.2332260765220699</v>
      </c>
      <c r="J5169" s="28">
        <v>0.21749142905895799</v>
      </c>
      <c r="K5169" s="29">
        <v>0.97042364854653596</v>
      </c>
    </row>
    <row r="5170" spans="1:11" x14ac:dyDescent="0.35">
      <c r="A5170" s="9" t="str">
        <f>HYPERLINK("http://www.ensembl.org/id/WBGene00016631", "WBGene00016631")</f>
        <v>WBGene00016631</v>
      </c>
      <c r="B5170" s="9" t="str">
        <f>HYPERLINK("http://www.ncbi.nlm.nih.gov/gene/183431", "183431")</f>
        <v>183431</v>
      </c>
      <c r="C5170" s="9"/>
      <c r="D5170" t="str">
        <f>"C44B7.11"</f>
        <v>C44B7.11</v>
      </c>
      <c r="E5170" t="s">
        <v>4096</v>
      </c>
      <c r="F5170" t="s">
        <v>11</v>
      </c>
      <c r="G5170" t="s">
        <v>4097</v>
      </c>
      <c r="H5170" s="12">
        <v>1.3481161136970701</v>
      </c>
      <c r="I5170" s="20">
        <v>1.2301754749825999</v>
      </c>
      <c r="J5170" s="28">
        <v>0.21863140167898201</v>
      </c>
      <c r="K5170" s="29">
        <v>0.97042364854653596</v>
      </c>
    </row>
    <row r="5171" spans="1:11" x14ac:dyDescent="0.35">
      <c r="A5171" s="9" t="str">
        <f>HYPERLINK("http://www.ensembl.org/id/WBGene00008281", "WBGene00008281")</f>
        <v>WBGene00008281</v>
      </c>
      <c r="B5171" s="9" t="str">
        <f>HYPERLINK("http://www.ncbi.nlm.nih.gov/gene/183759", "183759")</f>
        <v>183759</v>
      </c>
      <c r="C5171" s="9"/>
      <c r="D5171" t="str">
        <f>"C53D6.4"</f>
        <v>C53D6.4</v>
      </c>
      <c r="F5171" t="s">
        <v>11</v>
      </c>
      <c r="G5171" t="s">
        <v>4112</v>
      </c>
      <c r="H5171" s="12">
        <v>-1.3005659011278801</v>
      </c>
      <c r="I5171" s="20">
        <v>-1.23135356196164</v>
      </c>
      <c r="J5171" s="28">
        <v>0.21819065723082401</v>
      </c>
      <c r="K5171" s="29">
        <v>0.97042364854653596</v>
      </c>
    </row>
    <row r="5172" spans="1:11" x14ac:dyDescent="0.35">
      <c r="A5172" s="9" t="str">
        <f>HYPERLINK("http://www.ensembl.org/id/WBGene00000390", "WBGene00000390")</f>
        <v>WBGene00000390</v>
      </c>
      <c r="B5172" s="9" t="str">
        <f>HYPERLINK("http://www.ncbi.nlm.nih.gov/gene/174233", "174233")</f>
        <v>174233</v>
      </c>
      <c r="C5172" s="9" t="str">
        <f>HYPERLINK("http://www.ncbi.nlm.nih.gov/gene/998", "998")</f>
        <v>998</v>
      </c>
      <c r="D5172" t="str">
        <f>"cdc-42"</f>
        <v>cdc-42</v>
      </c>
      <c r="E5172" t="s">
        <v>4102</v>
      </c>
      <c r="F5172" t="s">
        <v>11</v>
      </c>
      <c r="G5172" t="s">
        <v>4103</v>
      </c>
      <c r="H5172" s="12">
        <v>-1.24908521109994</v>
      </c>
      <c r="I5172" s="20">
        <v>-1.2297257910925099</v>
      </c>
      <c r="J5172" s="28">
        <v>0.21879980540731001</v>
      </c>
      <c r="K5172" s="29">
        <v>0.97042364854653596</v>
      </c>
    </row>
    <row r="5173" spans="1:11" x14ac:dyDescent="0.35">
      <c r="A5173" s="9" t="str">
        <f>HYPERLINK("http://www.ensembl.org/id/WBGene00011846", "WBGene00011846")</f>
        <v>WBGene00011846</v>
      </c>
      <c r="B5173" s="9" t="str">
        <f>HYPERLINK("http://www.ncbi.nlm.nih.gov/gene/188614", "188614")</f>
        <v>188614</v>
      </c>
      <c r="C5173" s="9"/>
      <c r="D5173" t="str">
        <f>"chil-25"</f>
        <v>chil-25</v>
      </c>
      <c r="E5173" t="s">
        <v>1756</v>
      </c>
      <c r="F5173" t="s">
        <v>11</v>
      </c>
      <c r="G5173" t="s">
        <v>1509</v>
      </c>
      <c r="H5173" s="12">
        <v>-1.24995813909124</v>
      </c>
      <c r="I5173" s="20">
        <v>-1.2298365816735899</v>
      </c>
      <c r="J5173" s="28">
        <v>0.21875830639916499</v>
      </c>
      <c r="K5173" s="29">
        <v>0.97042364854653596</v>
      </c>
    </row>
    <row r="5174" spans="1:11" x14ac:dyDescent="0.35">
      <c r="A5174" s="9" t="str">
        <f>HYPERLINK("http://www.ensembl.org/id/WBGene00023263", "WBGene00023263")</f>
        <v>WBGene00023263</v>
      </c>
      <c r="B5174" s="9"/>
      <c r="C5174" s="9"/>
      <c r="D5174" t="str">
        <f>"D1005.t1"</f>
        <v>D1005.t1</v>
      </c>
      <c r="F5174" t="s">
        <v>80</v>
      </c>
      <c r="H5174" s="12">
        <v>-2.0378110331991901</v>
      </c>
      <c r="I5174" s="20">
        <v>-1.2299304078567099</v>
      </c>
      <c r="J5174" s="28">
        <v>0.21872316619485099</v>
      </c>
      <c r="K5174" s="29">
        <v>0.97042364854653596</v>
      </c>
    </row>
    <row r="5175" spans="1:11" x14ac:dyDescent="0.35">
      <c r="A5175" s="9" t="str">
        <f>HYPERLINK("http://www.ensembl.org/id/WBGene00009288", "WBGene00009288")</f>
        <v>WBGene00009288</v>
      </c>
      <c r="B5175" s="9" t="str">
        <f>HYPERLINK("http://www.ncbi.nlm.nih.gov/gene/173377", "173377")</f>
        <v>173377</v>
      </c>
      <c r="C5175" s="9"/>
      <c r="D5175" t="str">
        <f>"F31C3.6"</f>
        <v>F31C3.6</v>
      </c>
      <c r="F5175" t="s">
        <v>11</v>
      </c>
      <c r="G5175" t="s">
        <v>4095</v>
      </c>
      <c r="H5175" s="12">
        <v>1.42756110770519</v>
      </c>
      <c r="I5175" s="20">
        <v>1.2328360276513399</v>
      </c>
      <c r="J5175" s="28">
        <v>0.21763694678443801</v>
      </c>
      <c r="K5175" s="29">
        <v>0.97042364854653596</v>
      </c>
    </row>
    <row r="5176" spans="1:11" x14ac:dyDescent="0.35">
      <c r="A5176" s="9" t="str">
        <f>HYPERLINK("http://www.ensembl.org/id/WBGene00009365", "WBGene00009365")</f>
        <v>WBGene00009365</v>
      </c>
      <c r="B5176" s="9" t="str">
        <f>HYPERLINK("http://www.ncbi.nlm.nih.gov/gene/174580", "174580")</f>
        <v>174580</v>
      </c>
      <c r="C5176" s="9"/>
      <c r="D5176" t="str">
        <f>"F33H1.4"</f>
        <v>F33H1.4</v>
      </c>
      <c r="F5176" t="s">
        <v>11</v>
      </c>
      <c r="H5176" s="12">
        <v>-1.2690171909625201</v>
      </c>
      <c r="I5176" s="20">
        <v>-1.23416153754541</v>
      </c>
      <c r="J5176" s="28">
        <v>0.21714271650943501</v>
      </c>
      <c r="K5176" s="29">
        <v>0.97042364854653596</v>
      </c>
    </row>
    <row r="5177" spans="1:11" x14ac:dyDescent="0.35">
      <c r="A5177" s="9" t="str">
        <f>HYPERLINK("http://www.ensembl.org/id/WBGene00077434", "WBGene00077434")</f>
        <v>WBGene00077434</v>
      </c>
      <c r="B5177" s="9"/>
      <c r="C5177" s="9"/>
      <c r="D5177" t="str">
        <f>"F46B3.20"</f>
        <v>F46B3.20</v>
      </c>
      <c r="F5177" t="s">
        <v>80</v>
      </c>
      <c r="H5177" s="12">
        <v>22.959137912475299</v>
      </c>
      <c r="I5177" s="20">
        <v>1.22999411184638</v>
      </c>
      <c r="J5177" s="28">
        <v>0.21869930980117799</v>
      </c>
      <c r="K5177" s="29">
        <v>0.97042364854653596</v>
      </c>
    </row>
    <row r="5178" spans="1:11" x14ac:dyDescent="0.35">
      <c r="A5178" s="9" t="str">
        <f>HYPERLINK("http://www.ensembl.org/id/WBGene00018630", "WBGene00018630")</f>
        <v>WBGene00018630</v>
      </c>
      <c r="B5178" s="9" t="str">
        <f>HYPERLINK("http://www.ncbi.nlm.nih.gov/gene/186035", "186035")</f>
        <v>186035</v>
      </c>
      <c r="C5178" s="9"/>
      <c r="D5178" t="str">
        <f>"F49D11.6"</f>
        <v>F49D11.6</v>
      </c>
      <c r="F5178" t="s">
        <v>11</v>
      </c>
      <c r="G5178" t="s">
        <v>3419</v>
      </c>
      <c r="H5178" s="12">
        <v>-3.2566767833890302</v>
      </c>
      <c r="I5178" s="20">
        <v>-1.22988989670279</v>
      </c>
      <c r="J5178" s="28">
        <v>0.21873833811707699</v>
      </c>
      <c r="K5178" s="29">
        <v>0.97042364854653596</v>
      </c>
    </row>
    <row r="5179" spans="1:11" x14ac:dyDescent="0.35">
      <c r="A5179" s="9" t="str">
        <f>HYPERLINK("http://www.ensembl.org/id/WBGene00010356", "WBGene00010356")</f>
        <v>WBGene00010356</v>
      </c>
      <c r="B5179" s="9" t="str">
        <f>HYPERLINK("http://www.ncbi.nlm.nih.gov/gene/181616", "181616")</f>
        <v>181616</v>
      </c>
      <c r="C5179" s="9"/>
      <c r="D5179" t="str">
        <f>"famk-1"</f>
        <v>famk-1</v>
      </c>
      <c r="E5179" t="s">
        <v>4100</v>
      </c>
      <c r="F5179" t="s">
        <v>11</v>
      </c>
      <c r="G5179" t="s">
        <v>4101</v>
      </c>
      <c r="H5179" s="12">
        <v>-1.2481617067554001</v>
      </c>
      <c r="I5179" s="20">
        <v>-1.2344112583567199</v>
      </c>
      <c r="J5179" s="28">
        <v>0.21704969593197401</v>
      </c>
      <c r="K5179" s="29">
        <v>0.97042364854653596</v>
      </c>
    </row>
    <row r="5180" spans="1:11" x14ac:dyDescent="0.35">
      <c r="A5180" s="9" t="str">
        <f>HYPERLINK("http://www.ensembl.org/id/WBGene00014918", "WBGene00014918")</f>
        <v>WBGene00014918</v>
      </c>
      <c r="B5180" s="9"/>
      <c r="C5180" s="9"/>
      <c r="D5180" t="str">
        <f>"fbxa-123"</f>
        <v>fbxa-123</v>
      </c>
      <c r="F5180" t="s">
        <v>80</v>
      </c>
      <c r="H5180" s="12">
        <v>-1.71415679019072</v>
      </c>
      <c r="I5180" s="20">
        <v>-1.23263298009577</v>
      </c>
      <c r="J5180" s="28">
        <v>0.217712726578288</v>
      </c>
      <c r="K5180" s="29">
        <v>0.97042364854653596</v>
      </c>
    </row>
    <row r="5181" spans="1:11" x14ac:dyDescent="0.35">
      <c r="A5181" s="9" t="str">
        <f>HYPERLINK("http://www.ensembl.org/id/WBGene00021755", "WBGene00021755")</f>
        <v>WBGene00021755</v>
      </c>
      <c r="B5181" s="9" t="str">
        <f>HYPERLINK("http://www.ncbi.nlm.nih.gov/gene/175188", "175188")</f>
        <v>175188</v>
      </c>
      <c r="C5181" s="9"/>
      <c r="D5181" t="str">
        <f>"hpo-38"</f>
        <v>hpo-38</v>
      </c>
      <c r="F5181" t="s">
        <v>11</v>
      </c>
      <c r="H5181" s="12">
        <v>1.76117483956466</v>
      </c>
      <c r="I5181" s="20">
        <v>1.2300824417201699</v>
      </c>
      <c r="J5181" s="28">
        <v>0.218666234396728</v>
      </c>
      <c r="K5181" s="29">
        <v>0.97042364854653596</v>
      </c>
    </row>
    <row r="5182" spans="1:11" x14ac:dyDescent="0.35">
      <c r="A5182" s="9" t="str">
        <f>HYPERLINK("http://www.ensembl.org/id/WBGene00019488", "WBGene00019488")</f>
        <v>WBGene00019488</v>
      </c>
      <c r="B5182" s="9" t="str">
        <f>HYPERLINK("http://www.ncbi.nlm.nih.gov/gene/259430", "259430")</f>
        <v>259430</v>
      </c>
      <c r="C5182" s="9"/>
      <c r="D5182" t="str">
        <f>"K07D4.9"</f>
        <v>K07D4.9</v>
      </c>
      <c r="F5182" t="s">
        <v>11</v>
      </c>
      <c r="H5182" s="12">
        <v>1.27357590489218</v>
      </c>
      <c r="I5182" s="20">
        <v>1.2310248698605899</v>
      </c>
      <c r="J5182" s="28">
        <v>0.21831356284010001</v>
      </c>
      <c r="K5182" s="29">
        <v>0.97042364854653596</v>
      </c>
    </row>
    <row r="5183" spans="1:11" x14ac:dyDescent="0.35">
      <c r="A5183" s="9" t="str">
        <f>HYPERLINK("http://www.ensembl.org/id/WBGene00185092", "WBGene00185092")</f>
        <v>WBGene00185092</v>
      </c>
      <c r="B5183" s="9" t="str">
        <f>HYPERLINK("http://www.ncbi.nlm.nih.gov/gene/13198725", "13198725")</f>
        <v>13198725</v>
      </c>
      <c r="C5183" s="9"/>
      <c r="D5183" t="str">
        <f>"K08D8.7"</f>
        <v>K08D8.7</v>
      </c>
      <c r="F5183" t="s">
        <v>11</v>
      </c>
      <c r="G5183" t="s">
        <v>25</v>
      </c>
      <c r="H5183" s="12">
        <v>-1.51535171541358</v>
      </c>
      <c r="I5183" s="20">
        <v>-1.23240876793634</v>
      </c>
      <c r="J5183" s="28">
        <v>0.21779642729496701</v>
      </c>
      <c r="K5183" s="29">
        <v>0.97042364854653596</v>
      </c>
    </row>
    <row r="5184" spans="1:11" x14ac:dyDescent="0.35">
      <c r="A5184" s="9" t="str">
        <f>HYPERLINK("http://www.ensembl.org/id/WBGene00019550", "WBGene00019550")</f>
        <v>WBGene00019550</v>
      </c>
      <c r="B5184" s="9" t="str">
        <f>HYPERLINK("http://www.ncbi.nlm.nih.gov/gene/187195", "187195")</f>
        <v>187195</v>
      </c>
      <c r="C5184" s="9"/>
      <c r="D5184" t="str">
        <f>"K09C4.5"</f>
        <v>K09C4.5</v>
      </c>
      <c r="F5184" t="s">
        <v>11</v>
      </c>
      <c r="G5184" t="s">
        <v>230</v>
      </c>
      <c r="H5184" s="12">
        <v>1.5240482792728201</v>
      </c>
      <c r="I5184" s="20">
        <v>1.23363182530725</v>
      </c>
      <c r="J5184" s="28">
        <v>0.21734012833967201</v>
      </c>
      <c r="K5184" s="29">
        <v>0.97042364854653596</v>
      </c>
    </row>
    <row r="5185" spans="1:11" x14ac:dyDescent="0.35">
      <c r="A5185" s="9" t="str">
        <f>HYPERLINK("http://www.ensembl.org/id/WBGene00002393", "WBGene00002393")</f>
        <v>WBGene00002393</v>
      </c>
      <c r="B5185" s="9" t="str">
        <f>HYPERLINK("http://www.ncbi.nlm.nih.gov/gene/171648", "171648")</f>
        <v>171648</v>
      </c>
      <c r="C5185" s="9"/>
      <c r="D5185" t="str">
        <f>"lpr-1"</f>
        <v>lpr-1</v>
      </c>
      <c r="E5185" t="s">
        <v>4090</v>
      </c>
      <c r="F5185" t="s">
        <v>11</v>
      </c>
      <c r="G5185" t="s">
        <v>4091</v>
      </c>
      <c r="H5185" s="12">
        <v>1.5811324282050601</v>
      </c>
      <c r="I5185" s="20">
        <v>1.23286616094645</v>
      </c>
      <c r="J5185" s="28">
        <v>0.21762570229200501</v>
      </c>
      <c r="K5185" s="29">
        <v>0.97042364854653596</v>
      </c>
    </row>
    <row r="5186" spans="1:11" x14ac:dyDescent="0.35">
      <c r="A5186" s="9" t="str">
        <f>HYPERLINK("http://www.ensembl.org/id/WBGene00015468", "WBGene00015468")</f>
        <v>WBGene00015468</v>
      </c>
      <c r="B5186" s="9" t="str">
        <f>HYPERLINK("http://www.ncbi.nlm.nih.gov/gene/175775", "175775")</f>
        <v>175775</v>
      </c>
      <c r="C5186" s="9"/>
      <c r="D5186" t="str">
        <f>"madf-11"</f>
        <v>madf-11</v>
      </c>
      <c r="E5186" t="s">
        <v>881</v>
      </c>
      <c r="F5186" t="s">
        <v>11</v>
      </c>
      <c r="H5186" s="12">
        <v>-1.29120037380687</v>
      </c>
      <c r="I5186" s="20">
        <v>-1.23001490369433</v>
      </c>
      <c r="J5186" s="28">
        <v>0.21869152390365901</v>
      </c>
      <c r="K5186" s="29">
        <v>0.97042364854653596</v>
      </c>
    </row>
    <row r="5187" spans="1:11" x14ac:dyDescent="0.35">
      <c r="A5187" s="9" t="str">
        <f>HYPERLINK("http://www.ensembl.org/id/WBGene00007015", "WBGene00007015")</f>
        <v>WBGene00007015</v>
      </c>
      <c r="B5187" s="9" t="str">
        <f>HYPERLINK("http://www.ncbi.nlm.nih.gov/gene/175682", "175682")</f>
        <v>175682</v>
      </c>
      <c r="C5187" s="9"/>
      <c r="D5187" t="str">
        <f>"mdt-11"</f>
        <v>mdt-11</v>
      </c>
      <c r="E5187" t="s">
        <v>4119</v>
      </c>
      <c r="F5187" t="s">
        <v>11</v>
      </c>
      <c r="G5187" t="s">
        <v>1666</v>
      </c>
      <c r="H5187" s="12">
        <v>-1.3350591776362799</v>
      </c>
      <c r="I5187" s="20">
        <v>-1.2315460960938001</v>
      </c>
      <c r="J5187" s="28">
        <v>0.218118687346708</v>
      </c>
      <c r="K5187" s="29">
        <v>0.97042364854653596</v>
      </c>
    </row>
    <row r="5188" spans="1:11" x14ac:dyDescent="0.35">
      <c r="A5188" s="9" t="str">
        <f>HYPERLINK("http://www.ensembl.org/id/WBGene00011412", "WBGene00011412")</f>
        <v>WBGene00011412</v>
      </c>
      <c r="B5188" s="9" t="str">
        <f>HYPERLINK("http://www.ncbi.nlm.nih.gov/gene/188040", "188040")</f>
        <v>188040</v>
      </c>
      <c r="C5188" s="9" t="str">
        <f>HYPERLINK("http://www.ncbi.nlm.nih.gov/gene/54948", "54948")</f>
        <v>54948</v>
      </c>
      <c r="D5188" t="str">
        <f>"mrpl-16"</f>
        <v>mrpl-16</v>
      </c>
      <c r="E5188" t="s">
        <v>1844</v>
      </c>
      <c r="F5188" t="s">
        <v>11</v>
      </c>
      <c r="G5188" t="s">
        <v>4117</v>
      </c>
      <c r="H5188" s="12">
        <v>-1.31658643173915</v>
      </c>
      <c r="I5188" s="20">
        <v>-1.23151994828434</v>
      </c>
      <c r="J5188" s="28">
        <v>0.218128460481501</v>
      </c>
      <c r="K5188" s="29">
        <v>0.97042364854653596</v>
      </c>
    </row>
    <row r="5189" spans="1:11" x14ac:dyDescent="0.35">
      <c r="A5189" s="9" t="str">
        <f>HYPERLINK("http://www.ensembl.org/id/WBGene00023422", "WBGene00023422")</f>
        <v>WBGene00023422</v>
      </c>
      <c r="B5189" s="9" t="str">
        <f>HYPERLINK("http://www.ncbi.nlm.nih.gov/gene/3565999", "3565999")</f>
        <v>3565999</v>
      </c>
      <c r="C5189" s="9"/>
      <c r="D5189" t="str">
        <f>"mrpl-21"</f>
        <v>mrpl-21</v>
      </c>
      <c r="E5189" t="s">
        <v>1844</v>
      </c>
      <c r="F5189" t="s">
        <v>11</v>
      </c>
      <c r="G5189" t="s">
        <v>4120</v>
      </c>
      <c r="H5189" s="12">
        <v>-1.3560114034758799</v>
      </c>
      <c r="I5189" s="20">
        <v>-1.23206773348989</v>
      </c>
      <c r="J5189" s="28">
        <v>0.21792378332938001</v>
      </c>
      <c r="K5189" s="29">
        <v>0.97042364854653596</v>
      </c>
    </row>
    <row r="5190" spans="1:11" x14ac:dyDescent="0.35">
      <c r="A5190" s="9" t="str">
        <f>HYPERLINK("http://www.ensembl.org/id/WBGene00017367", "WBGene00017367")</f>
        <v>WBGene00017367</v>
      </c>
      <c r="B5190" s="9" t="str">
        <f>HYPERLINK("http://www.ncbi.nlm.nih.gov/gene/184318", "184318")</f>
        <v>184318</v>
      </c>
      <c r="C5190" s="9"/>
      <c r="D5190" t="str">
        <f>"nhr-263"</f>
        <v>nhr-263</v>
      </c>
      <c r="E5190" t="s">
        <v>637</v>
      </c>
      <c r="F5190" t="s">
        <v>11</v>
      </c>
      <c r="G5190" t="s">
        <v>4088</v>
      </c>
      <c r="H5190" s="12">
        <v>3.97323823698457</v>
      </c>
      <c r="I5190" s="20">
        <v>1.2307206807502</v>
      </c>
      <c r="J5190" s="28">
        <v>0.21842735052929199</v>
      </c>
      <c r="K5190" s="29">
        <v>0.97042364854653596</v>
      </c>
    </row>
    <row r="5191" spans="1:11" x14ac:dyDescent="0.35">
      <c r="A5191" s="9" t="str">
        <f>HYPERLINK("http://www.ensembl.org/id/WBGene00003909", "WBGene00003909")</f>
        <v>WBGene00003909</v>
      </c>
      <c r="B5191" s="9" t="str">
        <f>HYPERLINK("http://www.ncbi.nlm.nih.gov/gene/181588", "181588")</f>
        <v>181588</v>
      </c>
      <c r="C5191" s="9"/>
      <c r="D5191" t="str">
        <f>"pag-3"</f>
        <v>pag-3</v>
      </c>
      <c r="E5191" t="s">
        <v>4092</v>
      </c>
      <c r="F5191" t="s">
        <v>11</v>
      </c>
      <c r="G5191" t="s">
        <v>4093</v>
      </c>
      <c r="H5191" s="12">
        <v>1.5773620676884801</v>
      </c>
      <c r="I5191" s="20">
        <v>1.2347887165418401</v>
      </c>
      <c r="J5191" s="28">
        <v>0.216909147817683</v>
      </c>
      <c r="K5191" s="29">
        <v>0.97042364854653596</v>
      </c>
    </row>
    <row r="5192" spans="1:11" x14ac:dyDescent="0.35">
      <c r="A5192" s="9" t="str">
        <f>HYPERLINK("http://www.ensembl.org/id/WBGene00018614", "WBGene00018614")</f>
        <v>WBGene00018614</v>
      </c>
      <c r="B5192" s="9" t="str">
        <f>HYPERLINK("http://www.ncbi.nlm.nih.gov/gene/185992", "185992")</f>
        <v>185992</v>
      </c>
      <c r="C5192" s="9"/>
      <c r="D5192" t="str">
        <f>"pals-31"</f>
        <v>pals-31</v>
      </c>
      <c r="E5192" t="s">
        <v>1147</v>
      </c>
      <c r="F5192" t="s">
        <v>11</v>
      </c>
      <c r="H5192" s="12">
        <v>-1.4548606471541501</v>
      </c>
      <c r="I5192" s="20">
        <v>-1.2338776656180701</v>
      </c>
      <c r="J5192" s="28">
        <v>0.21724849314264999</v>
      </c>
      <c r="K5192" s="29">
        <v>0.97042364854653596</v>
      </c>
    </row>
    <row r="5193" spans="1:11" x14ac:dyDescent="0.35">
      <c r="A5193" s="9" t="str">
        <f>HYPERLINK("http://www.ensembl.org/id/WBGene00004268", "WBGene00004268")</f>
        <v>WBGene00004268</v>
      </c>
      <c r="B5193" s="9" t="str">
        <f>HYPERLINK("http://www.ncbi.nlm.nih.gov/gene/172755", "172755")</f>
        <v>172755</v>
      </c>
      <c r="C5193" s="9" t="str">
        <f>HYPERLINK("http://www.ncbi.nlm.nih.gov/gene/5868", "5868")</f>
        <v>5868</v>
      </c>
      <c r="D5193" t="str">
        <f>"rab-5"</f>
        <v>rab-5</v>
      </c>
      <c r="E5193" t="s">
        <v>2093</v>
      </c>
      <c r="F5193" t="s">
        <v>11</v>
      </c>
      <c r="G5193" t="s">
        <v>4108</v>
      </c>
      <c r="H5193" s="12">
        <v>-1.26388284856078</v>
      </c>
      <c r="I5193" s="20">
        <v>-1.23428742185192</v>
      </c>
      <c r="J5193" s="28">
        <v>0.21709582123568699</v>
      </c>
      <c r="K5193" s="29">
        <v>0.97042364854653596</v>
      </c>
    </row>
    <row r="5194" spans="1:11" x14ac:dyDescent="0.35">
      <c r="A5194" s="9" t="str">
        <f>HYPERLINK("http://www.ensembl.org/id/WBGene00004502", "WBGene00004502")</f>
        <v>WBGene00004502</v>
      </c>
      <c r="B5194" s="9" t="str">
        <f>HYPERLINK("http://www.ncbi.nlm.nih.gov/gene/178988", "178988")</f>
        <v>178988</v>
      </c>
      <c r="C5194" s="9" t="str">
        <f>HYPERLINK("http://www.ncbi.nlm.nih.gov/gene/5700", "5700")</f>
        <v>5700</v>
      </c>
      <c r="D5194" t="str">
        <f>"rpt-2"</f>
        <v>rpt-2</v>
      </c>
      <c r="E5194" t="s">
        <v>4104</v>
      </c>
      <c r="F5194" t="s">
        <v>11</v>
      </c>
      <c r="G5194" t="s">
        <v>2424</v>
      </c>
      <c r="H5194" s="12">
        <v>-1.2507399281637701</v>
      </c>
      <c r="I5194" s="20">
        <v>-1.23037947667221</v>
      </c>
      <c r="J5194" s="28">
        <v>0.218555035066541</v>
      </c>
      <c r="K5194" s="29">
        <v>0.97042364854653596</v>
      </c>
    </row>
    <row r="5195" spans="1:11" x14ac:dyDescent="0.35">
      <c r="A5195" s="9" t="str">
        <f>HYPERLINK("http://www.ensembl.org/id/WBGene00008166", "WBGene00008166")</f>
        <v>WBGene00008166</v>
      </c>
      <c r="B5195" s="9" t="str">
        <f>HYPERLINK("http://www.ncbi.nlm.nih.gov/gene/174725", "174725")</f>
        <v>174725</v>
      </c>
      <c r="C5195" s="9"/>
      <c r="D5195" t="str">
        <f>"saps-1"</f>
        <v>saps-1</v>
      </c>
      <c r="E5195" t="s">
        <v>4106</v>
      </c>
      <c r="F5195" t="s">
        <v>11</v>
      </c>
      <c r="G5195" t="s">
        <v>4107</v>
      </c>
      <c r="H5195" s="12">
        <v>-1.2556932709697199</v>
      </c>
      <c r="I5195" s="20">
        <v>-1.2334450820423699</v>
      </c>
      <c r="J5195" s="28">
        <v>0.217409754115993</v>
      </c>
      <c r="K5195" s="29">
        <v>0.97042364854653596</v>
      </c>
    </row>
    <row r="5196" spans="1:11" x14ac:dyDescent="0.35">
      <c r="A5196" s="9" t="str">
        <f>HYPERLINK("http://www.ensembl.org/id/WBGene00012100", "WBGene00012100")</f>
        <v>WBGene00012100</v>
      </c>
      <c r="B5196" s="9" t="str">
        <f>HYPERLINK("http://www.ncbi.nlm.nih.gov/gene/179596", "179596")</f>
        <v>179596</v>
      </c>
      <c r="C5196" s="9"/>
      <c r="D5196" t="str">
        <f>"sipa-1"</f>
        <v>sipa-1</v>
      </c>
      <c r="E5196" t="s">
        <v>4098</v>
      </c>
      <c r="F5196" t="s">
        <v>11</v>
      </c>
      <c r="G5196" t="s">
        <v>4099</v>
      </c>
      <c r="H5196" s="12">
        <v>1.25901496389182</v>
      </c>
      <c r="I5196" s="20">
        <v>1.2301268074948799</v>
      </c>
      <c r="J5196" s="28">
        <v>0.218649622845904</v>
      </c>
      <c r="K5196" s="29">
        <v>0.97042364854653596</v>
      </c>
    </row>
    <row r="5197" spans="1:11" x14ac:dyDescent="0.35">
      <c r="A5197" s="9" t="str">
        <f>HYPERLINK("http://www.ensembl.org/id/WBGene00021365", "WBGene00021365")</f>
        <v>WBGene00021365</v>
      </c>
      <c r="B5197" s="9" t="str">
        <f>HYPERLINK("http://www.ncbi.nlm.nih.gov/gene/177135", "177135")</f>
        <v>177135</v>
      </c>
      <c r="C5197" s="9" t="str">
        <f>HYPERLINK("http://www.ncbi.nlm.nih.gov/gene/9704", "9704")</f>
        <v>9704</v>
      </c>
      <c r="D5197" t="str">
        <f>"smgl-2"</f>
        <v>smgl-2</v>
      </c>
      <c r="F5197" t="s">
        <v>11</v>
      </c>
      <c r="G5197" t="s">
        <v>4109</v>
      </c>
      <c r="H5197" s="12">
        <v>-1.28749063701924</v>
      </c>
      <c r="I5197" s="20">
        <v>-1.23045155099556</v>
      </c>
      <c r="J5197" s="28">
        <v>0.218528059127166</v>
      </c>
      <c r="K5197" s="29">
        <v>0.97042364854653596</v>
      </c>
    </row>
    <row r="5198" spans="1:11" x14ac:dyDescent="0.35">
      <c r="A5198" s="9" t="str">
        <f>HYPERLINK("http://www.ensembl.org/id/WBGene00013957", "WBGene00013957")</f>
        <v>WBGene00013957</v>
      </c>
      <c r="B5198" s="9" t="str">
        <f>HYPERLINK("http://www.ncbi.nlm.nih.gov/gene/172608", "172608")</f>
        <v>172608</v>
      </c>
      <c r="C5198" s="9"/>
      <c r="D5198" t="str">
        <f>"sre-23"</f>
        <v>sre-23</v>
      </c>
      <c r="E5198" t="s">
        <v>2638</v>
      </c>
      <c r="F5198" t="s">
        <v>11</v>
      </c>
      <c r="G5198" t="s">
        <v>2639</v>
      </c>
      <c r="H5198" s="12">
        <v>1.5489716159447999</v>
      </c>
      <c r="I5198" s="20">
        <v>1.23054108352235</v>
      </c>
      <c r="J5198" s="28">
        <v>0.21849455227228801</v>
      </c>
      <c r="K5198" s="29">
        <v>0.97042364854653596</v>
      </c>
    </row>
    <row r="5199" spans="1:11" x14ac:dyDescent="0.35">
      <c r="A5199" s="9" t="str">
        <f>HYPERLINK("http://www.ensembl.org/id/WBGene00005452", "WBGene00005452")</f>
        <v>WBGene00005452</v>
      </c>
      <c r="B5199" s="9" t="str">
        <f>HYPERLINK("http://www.ncbi.nlm.nih.gov/gene/191893", "191893")</f>
        <v>191893</v>
      </c>
      <c r="C5199" s="9"/>
      <c r="D5199" t="str">
        <f>"srh-246"</f>
        <v>srh-246</v>
      </c>
      <c r="E5199" t="s">
        <v>153</v>
      </c>
      <c r="F5199" t="s">
        <v>11</v>
      </c>
      <c r="G5199" t="s">
        <v>25</v>
      </c>
      <c r="H5199" s="12">
        <v>-7.4627162080355998</v>
      </c>
      <c r="I5199" s="20">
        <v>-1.23187238879841</v>
      </c>
      <c r="J5199" s="28">
        <v>0.217996757034988</v>
      </c>
      <c r="K5199" s="29">
        <v>0.97042364854653596</v>
      </c>
    </row>
    <row r="5200" spans="1:11" x14ac:dyDescent="0.35">
      <c r="A5200" s="9" t="str">
        <f>HYPERLINK("http://www.ensembl.org/id/WBGene00020554", "WBGene00020554")</f>
        <v>WBGene00020554</v>
      </c>
      <c r="B5200" s="9" t="str">
        <f>HYPERLINK("http://www.ncbi.nlm.nih.gov/gene/179273", "179273")</f>
        <v>179273</v>
      </c>
      <c r="C5200" s="9"/>
      <c r="D5200" t="str">
        <f>"T19A5.3"</f>
        <v>T19A5.3</v>
      </c>
      <c r="F5200" t="s">
        <v>11</v>
      </c>
      <c r="H5200" s="12">
        <v>-1.2765911404016299</v>
      </c>
      <c r="I5200" s="20">
        <v>-1.2343299787987401</v>
      </c>
      <c r="J5200" s="28">
        <v>0.217079969281778</v>
      </c>
      <c r="K5200" s="29">
        <v>0.97042364854653596</v>
      </c>
    </row>
    <row r="5201" spans="1:11" x14ac:dyDescent="0.35">
      <c r="A5201" s="9" t="str">
        <f>HYPERLINK("http://www.ensembl.org/id/WBGene00011871", "WBGene00011871")</f>
        <v>WBGene00011871</v>
      </c>
      <c r="B5201" s="9" t="str">
        <f>HYPERLINK("http://www.ncbi.nlm.nih.gov/gene/188661", "188661")</f>
        <v>188661</v>
      </c>
      <c r="C5201" s="9"/>
      <c r="D5201" t="str">
        <f>"T20G5.9"</f>
        <v>T20G5.9</v>
      </c>
      <c r="F5201" t="s">
        <v>11</v>
      </c>
      <c r="G5201" t="s">
        <v>4116</v>
      </c>
      <c r="H5201" s="12">
        <v>-1.3107611149618801</v>
      </c>
      <c r="I5201" s="20">
        <v>-1.23440034396614</v>
      </c>
      <c r="J5201" s="28">
        <v>0.217053760924734</v>
      </c>
      <c r="K5201" s="29">
        <v>0.97042364854653596</v>
      </c>
    </row>
    <row r="5202" spans="1:11" x14ac:dyDescent="0.35">
      <c r="A5202" s="9" t="str">
        <f>HYPERLINK("http://www.ensembl.org/id/WBGene00020658", "WBGene00020658")</f>
        <v>WBGene00020658</v>
      </c>
      <c r="B5202" s="9" t="str">
        <f>HYPERLINK("http://www.ncbi.nlm.nih.gov/gene/180830", "180830")</f>
        <v>180830</v>
      </c>
      <c r="C5202" s="9"/>
      <c r="D5202" t="str">
        <f>"T21F4.1"</f>
        <v>T21F4.1</v>
      </c>
      <c r="F5202" t="s">
        <v>11</v>
      </c>
      <c r="G5202" t="s">
        <v>4113</v>
      </c>
      <c r="H5202" s="12">
        <v>-1.30437288556181</v>
      </c>
      <c r="I5202" s="20">
        <v>-1.2318702247631099</v>
      </c>
      <c r="J5202" s="28">
        <v>0.21799756553859601</v>
      </c>
      <c r="K5202" s="29">
        <v>0.97042364854653596</v>
      </c>
    </row>
    <row r="5203" spans="1:11" x14ac:dyDescent="0.35">
      <c r="A5203" s="9" t="str">
        <f>HYPERLINK("http://www.ensembl.org/id/WBGene00012107", "WBGene00012107")</f>
        <v>WBGene00012107</v>
      </c>
      <c r="B5203" s="9" t="str">
        <f>HYPERLINK("http://www.ncbi.nlm.nih.gov/gene/189005", "189005")</f>
        <v>189005</v>
      </c>
      <c r="C5203" s="9"/>
      <c r="D5203" t="str">
        <f>"T27F6.8"</f>
        <v>T27F6.8</v>
      </c>
      <c r="F5203" t="s">
        <v>11</v>
      </c>
      <c r="G5203" t="s">
        <v>54</v>
      </c>
      <c r="H5203" s="12">
        <v>-1.35310274811352</v>
      </c>
      <c r="I5203" s="20">
        <v>-1.2296889474539801</v>
      </c>
      <c r="J5203" s="28">
        <v>0.21881360724173199</v>
      </c>
      <c r="K5203" s="29">
        <v>0.97042364854653596</v>
      </c>
    </row>
    <row r="5204" spans="1:11" x14ac:dyDescent="0.35">
      <c r="A5204" s="9" t="str">
        <f>HYPERLINK("http://www.ensembl.org/id/WBGene00021490", "WBGene00021490")</f>
        <v>WBGene00021490</v>
      </c>
      <c r="B5204" s="9" t="str">
        <f>HYPERLINK("http://www.ncbi.nlm.nih.gov/gene/189788", "189788")</f>
        <v>189788</v>
      </c>
      <c r="C5204" s="9"/>
      <c r="D5204" t="str">
        <f>"Y40B10A.5"</f>
        <v>Y40B10A.5</v>
      </c>
      <c r="F5204" t="s">
        <v>11</v>
      </c>
      <c r="G5204" t="s">
        <v>1089</v>
      </c>
      <c r="H5204" s="12">
        <v>5.0392617901557202</v>
      </c>
      <c r="I5204" s="20">
        <v>1.2336292608222501</v>
      </c>
      <c r="J5204" s="28">
        <v>0.21734108437937899</v>
      </c>
      <c r="K5204" s="29">
        <v>0.97042364854653596</v>
      </c>
    </row>
    <row r="5205" spans="1:11" x14ac:dyDescent="0.35">
      <c r="A5205" s="9" t="str">
        <f>HYPERLINK("http://www.ensembl.org/id/WBGene00012854", "WBGene00012854")</f>
        <v>WBGene00012854</v>
      </c>
      <c r="B5205" s="9" t="str">
        <f>HYPERLINK("http://www.ncbi.nlm.nih.gov/gene/189900", "189900")</f>
        <v>189900</v>
      </c>
      <c r="C5205" s="9"/>
      <c r="D5205" t="str">
        <f>"Y44A6D.3"</f>
        <v>Y44A6D.3</v>
      </c>
      <c r="F5205" t="s">
        <v>11</v>
      </c>
      <c r="H5205" s="12">
        <v>-1.2795683877130499</v>
      </c>
      <c r="I5205" s="20">
        <v>-1.2334548799179399</v>
      </c>
      <c r="J5205" s="28">
        <v>0.21740610065548599</v>
      </c>
      <c r="K5205" s="29">
        <v>0.97042364854653596</v>
      </c>
    </row>
    <row r="5206" spans="1:11" x14ac:dyDescent="0.35">
      <c r="A5206" s="9" t="str">
        <f>HYPERLINK("http://www.ensembl.org/id/WBGene00013511", "WBGene00013511")</f>
        <v>WBGene00013511</v>
      </c>
      <c r="B5206" s="9" t="str">
        <f>HYPERLINK("http://www.ncbi.nlm.nih.gov/gene/3565560", "3565560")</f>
        <v>3565560</v>
      </c>
      <c r="C5206" s="9"/>
      <c r="D5206" t="str">
        <f>"Y71A12B.15"</f>
        <v>Y71A12B.15</v>
      </c>
      <c r="F5206" t="s">
        <v>11</v>
      </c>
      <c r="H5206" s="12">
        <v>2.0220091943888798</v>
      </c>
      <c r="I5206" s="20">
        <v>1.2330972106725799</v>
      </c>
      <c r="J5206" s="28">
        <v>0.217539498024649</v>
      </c>
      <c r="K5206" s="29">
        <v>0.97042364854653596</v>
      </c>
    </row>
    <row r="5207" spans="1:11" x14ac:dyDescent="0.35">
      <c r="A5207" s="9" t="str">
        <f>HYPERLINK("http://www.ensembl.org/id/WBGene00194832", "WBGene00194832")</f>
        <v>WBGene00194832</v>
      </c>
      <c r="B5207" s="9" t="str">
        <f>HYPERLINK("http://www.ncbi.nlm.nih.gov/gene/13195852", "13195852")</f>
        <v>13195852</v>
      </c>
      <c r="C5207" s="9"/>
      <c r="D5207" t="str">
        <f>"Y73B6BL.270"</f>
        <v>Y73B6BL.270</v>
      </c>
      <c r="F5207" t="s">
        <v>11</v>
      </c>
      <c r="H5207" s="12">
        <v>6.9664880042595501</v>
      </c>
      <c r="I5207" s="20">
        <v>1.2321417785989699</v>
      </c>
      <c r="J5207" s="28">
        <v>0.21789612734681399</v>
      </c>
      <c r="K5207" s="29">
        <v>0.97042364854653596</v>
      </c>
    </row>
    <row r="5208" spans="1:11" x14ac:dyDescent="0.35">
      <c r="A5208" s="9" t="str">
        <f>HYPERLINK("http://www.ensembl.org/id/WBGene00022596", "WBGene00022596")</f>
        <v>WBGene00022596</v>
      </c>
      <c r="B5208" s="9" t="str">
        <f>HYPERLINK("http://www.ncbi.nlm.nih.gov/gene/191151", "191151")</f>
        <v>191151</v>
      </c>
      <c r="C5208" s="9"/>
      <c r="D5208" t="str">
        <f>"ZC395.4"</f>
        <v>ZC395.4</v>
      </c>
      <c r="F5208" t="s">
        <v>11</v>
      </c>
      <c r="H5208" s="12">
        <v>-2.64043311323957</v>
      </c>
      <c r="I5208" s="20">
        <v>-1.2330403253829201</v>
      </c>
      <c r="J5208" s="28">
        <v>0.21756071955251999</v>
      </c>
      <c r="K5208" s="29">
        <v>0.97042364854653596</v>
      </c>
    </row>
    <row r="5209" spans="1:11" x14ac:dyDescent="0.35">
      <c r="A5209" s="9" t="str">
        <f>HYPERLINK("http://www.ensembl.org/id/WBGene00022632", "WBGene00022632")</f>
        <v>WBGene00022632</v>
      </c>
      <c r="B5209" s="9" t="str">
        <f>HYPERLINK("http://www.ncbi.nlm.nih.gov/gene/191200", "191200")</f>
        <v>191200</v>
      </c>
      <c r="C5209" s="9"/>
      <c r="D5209" t="str">
        <f>"ZC581.2"</f>
        <v>ZC581.2</v>
      </c>
      <c r="F5209" t="s">
        <v>11</v>
      </c>
      <c r="G5209" t="s">
        <v>4089</v>
      </c>
      <c r="H5209" s="12">
        <v>2.0843786403074702</v>
      </c>
      <c r="I5209" s="20">
        <v>1.23435631742596</v>
      </c>
      <c r="J5209" s="28">
        <v>0.217070158875173</v>
      </c>
      <c r="K5209" s="29">
        <v>0.97042364854653596</v>
      </c>
    </row>
    <row r="5210" spans="1:11" x14ac:dyDescent="0.35">
      <c r="A5210" s="9" t="str">
        <f>HYPERLINK("http://www.ensembl.org/id/WBGene00013934", "WBGene00013934")</f>
        <v>WBGene00013934</v>
      </c>
      <c r="B5210" s="9" t="str">
        <f>HYPERLINK("http://www.ncbi.nlm.nih.gov/gene/175024", "175024")</f>
        <v>175024</v>
      </c>
      <c r="C5210" s="9"/>
      <c r="D5210" t="str">
        <f>"ZK131.11"</f>
        <v>ZK131.11</v>
      </c>
      <c r="F5210" t="s">
        <v>11</v>
      </c>
      <c r="H5210" s="12">
        <v>1.2616517302666601</v>
      </c>
      <c r="I5210" s="20">
        <v>1.2298274516929399</v>
      </c>
      <c r="J5210" s="28">
        <v>0.21876172601709101</v>
      </c>
      <c r="K5210" s="29">
        <v>0.97042364854653596</v>
      </c>
    </row>
    <row r="5211" spans="1:11" x14ac:dyDescent="0.35">
      <c r="A5211" s="9" t="str">
        <f>HYPERLINK("http://www.ensembl.org/id/WBGene00022669", "WBGene00022669")</f>
        <v>WBGene00022669</v>
      </c>
      <c r="B5211" s="9" t="str">
        <f>HYPERLINK("http://www.ncbi.nlm.nih.gov/gene/173938", "173938")</f>
        <v>173938</v>
      </c>
      <c r="C5211" s="9"/>
      <c r="D5211" t="str">
        <f>"ZK177.1"</f>
        <v>ZK177.1</v>
      </c>
      <c r="F5211" t="s">
        <v>11</v>
      </c>
      <c r="G5211" t="s">
        <v>4121</v>
      </c>
      <c r="H5211" s="12">
        <v>-1.4365301435296101</v>
      </c>
      <c r="I5211" s="20">
        <v>-1.2315093650344899</v>
      </c>
      <c r="J5211" s="28">
        <v>0.21813241621885901</v>
      </c>
      <c r="K5211" s="29">
        <v>0.97042364854653596</v>
      </c>
    </row>
    <row r="5212" spans="1:11" x14ac:dyDescent="0.35">
      <c r="A5212" s="9" t="str">
        <f>HYPERLINK("http://www.ensembl.org/id/WBGene00006987", "WBGene00006987")</f>
        <v>WBGene00006987</v>
      </c>
      <c r="B5212" s="9" t="str">
        <f>HYPERLINK("http://www.ncbi.nlm.nih.gov/gene/175839", "175839")</f>
        <v>175839</v>
      </c>
      <c r="C5212" s="9" t="str">
        <f>HYPERLINK("http://www.ncbi.nlm.nih.gov/gene/4326", "4326")</f>
        <v>4326</v>
      </c>
      <c r="D5212" t="str">
        <f>"zmp-1"</f>
        <v>zmp-1</v>
      </c>
      <c r="E5212" t="s">
        <v>4094</v>
      </c>
      <c r="F5212" t="s">
        <v>11</v>
      </c>
      <c r="G5212" t="s">
        <v>3193</v>
      </c>
      <c r="H5212" s="12">
        <v>1.5405875552541399</v>
      </c>
      <c r="I5212" s="20">
        <v>1.23024029945631</v>
      </c>
      <c r="J5212" s="28">
        <v>0.21860713301094001</v>
      </c>
      <c r="K5212" s="29">
        <v>0.97042364854653596</v>
      </c>
    </row>
    <row r="5213" spans="1:11" x14ac:dyDescent="0.35">
      <c r="A5213" s="9" t="str">
        <f>HYPERLINK("http://www.ensembl.org/id/WBGene00005715", "WBGene00005715")</f>
        <v>WBGene00005715</v>
      </c>
      <c r="B5213" s="9" t="str">
        <f>HYPERLINK("http://www.ncbi.nlm.nih.gov/gene/184535", "184535")</f>
        <v>184535</v>
      </c>
      <c r="C5213" s="9"/>
      <c r="D5213" t="str">
        <f>"srv-4"</f>
        <v>srv-4</v>
      </c>
      <c r="E5213" t="s">
        <v>2916</v>
      </c>
      <c r="F5213" t="s">
        <v>11</v>
      </c>
      <c r="G5213" t="s">
        <v>25</v>
      </c>
      <c r="H5213" s="12">
        <v>3.28904808381313</v>
      </c>
      <c r="I5213" s="20">
        <v>1.22930950573842</v>
      </c>
      <c r="J5213" s="28">
        <v>0.21895578462830101</v>
      </c>
      <c r="K5213" s="29">
        <v>0.97068157321978699</v>
      </c>
    </row>
    <row r="5214" spans="1:11" x14ac:dyDescent="0.35">
      <c r="A5214" s="9" t="str">
        <f>HYPERLINK("http://www.ensembl.org/id/WBGene00044228", "WBGene00044228")</f>
        <v>WBGene00044228</v>
      </c>
      <c r="B5214" s="9" t="str">
        <f>HYPERLINK("http://www.ncbi.nlm.nih.gov/gene/3565639", "3565639")</f>
        <v>3565639</v>
      </c>
      <c r="C5214" s="9"/>
      <c r="D5214" t="str">
        <f>"T03F6.7"</f>
        <v>T03F6.7</v>
      </c>
      <c r="F5214" t="s">
        <v>11</v>
      </c>
      <c r="H5214" s="12">
        <v>11.208999043932801</v>
      </c>
      <c r="I5214" s="20">
        <v>1.22935240292334</v>
      </c>
      <c r="J5214" s="28">
        <v>0.21893970766246801</v>
      </c>
      <c r="K5214" s="29">
        <v>0.97068157321978699</v>
      </c>
    </row>
    <row r="5215" spans="1:11" x14ac:dyDescent="0.35">
      <c r="A5215" s="9" t="str">
        <f>HYPERLINK("http://www.ensembl.org/id/WBGene00006386", "WBGene00006386")</f>
        <v>WBGene00006386</v>
      </c>
      <c r="B5215" s="9" t="str">
        <f>HYPERLINK("http://www.ncbi.nlm.nih.gov/gene/172552", "172552")</f>
        <v>172552</v>
      </c>
      <c r="C5215" s="9" t="str">
        <f>HYPERLINK("http://www.ncbi.nlm.nih.gov/gene/6877", "6877")</f>
        <v>6877</v>
      </c>
      <c r="D5215" t="str">
        <f>"taf-5"</f>
        <v>taf-5</v>
      </c>
      <c r="E5215" t="s">
        <v>747</v>
      </c>
      <c r="F5215" t="s">
        <v>11</v>
      </c>
      <c r="G5215" t="s">
        <v>4122</v>
      </c>
      <c r="H5215" s="12">
        <v>-1.2686147559513199</v>
      </c>
      <c r="I5215" s="20">
        <v>-1.2290107505338601</v>
      </c>
      <c r="J5215" s="28">
        <v>0.21906777533177699</v>
      </c>
      <c r="K5215" s="29">
        <v>0.97099175461654297</v>
      </c>
    </row>
    <row r="5216" spans="1:11" x14ac:dyDescent="0.35">
      <c r="A5216" s="9" t="str">
        <f>HYPERLINK("http://www.ensembl.org/id/WBGene00007653", "WBGene00007653")</f>
        <v>WBGene00007653</v>
      </c>
      <c r="B5216" s="9" t="str">
        <f>HYPERLINK("http://www.ncbi.nlm.nih.gov/gene/181209", "181209")</f>
        <v>181209</v>
      </c>
      <c r="C5216" s="9"/>
      <c r="D5216" t="str">
        <f>"cysl-1"</f>
        <v>cysl-1</v>
      </c>
      <c r="E5216" t="s">
        <v>4123</v>
      </c>
      <c r="F5216" t="s">
        <v>11</v>
      </c>
      <c r="G5216" t="s">
        <v>3091</v>
      </c>
      <c r="H5216" s="12">
        <v>1.26270294140746</v>
      </c>
      <c r="I5216" s="20">
        <v>1.22834291956857</v>
      </c>
      <c r="J5216" s="28">
        <v>0.21931826567502599</v>
      </c>
      <c r="K5216" s="29">
        <v>0.97136339498423896</v>
      </c>
    </row>
    <row r="5217" spans="1:11" x14ac:dyDescent="0.35">
      <c r="A5217" s="9" t="str">
        <f>HYPERLINK("http://www.ensembl.org/id/WBGene00019324", "WBGene00019324")</f>
        <v>WBGene00019324</v>
      </c>
      <c r="B5217" s="9" t="str">
        <f>HYPERLINK("http://www.ncbi.nlm.nih.gov/gene/183992", "183992")</f>
        <v>183992</v>
      </c>
      <c r="C5217" s="9"/>
      <c r="D5217" t="str">
        <f>"K02F2.5"</f>
        <v>K02F2.5</v>
      </c>
      <c r="F5217" t="s">
        <v>11</v>
      </c>
      <c r="H5217" s="12">
        <v>1.26494828233668</v>
      </c>
      <c r="I5217" s="20">
        <v>1.2286654755854101</v>
      </c>
      <c r="J5217" s="28">
        <v>0.21919725555427899</v>
      </c>
      <c r="K5217" s="29">
        <v>0.97136339498423896</v>
      </c>
    </row>
    <row r="5218" spans="1:11" x14ac:dyDescent="0.35">
      <c r="A5218" s="9" t="str">
        <f>HYPERLINK("http://www.ensembl.org/id/WBGene00018827", "WBGene00018827")</f>
        <v>WBGene00018827</v>
      </c>
      <c r="B5218" s="9" t="str">
        <f>HYPERLINK("http://www.ncbi.nlm.nih.gov/gene/175787", "175787")</f>
        <v>175787</v>
      </c>
      <c r="C5218" s="9" t="str">
        <f>HYPERLINK("http://www.ncbi.nlm.nih.gov/gene/51000", "51000")</f>
        <v>51000</v>
      </c>
      <c r="D5218" t="str">
        <f>"pst-2"</f>
        <v>pst-2</v>
      </c>
      <c r="E5218" t="s">
        <v>4124</v>
      </c>
      <c r="F5218" t="s">
        <v>11</v>
      </c>
      <c r="G5218" t="s">
        <v>4125</v>
      </c>
      <c r="H5218" s="12">
        <v>-1.3085325280603199</v>
      </c>
      <c r="I5218" s="20">
        <v>-1.22833888448279</v>
      </c>
      <c r="J5218" s="28">
        <v>0.219319779781562</v>
      </c>
      <c r="K5218" s="29">
        <v>0.97136339498423896</v>
      </c>
    </row>
    <row r="5219" spans="1:11" x14ac:dyDescent="0.35">
      <c r="A5219" s="9" t="str">
        <f>HYPERLINK("http://www.ensembl.org/id/WBGene00045394", "WBGene00045394")</f>
        <v>WBGene00045394</v>
      </c>
      <c r="B5219" s="9" t="str">
        <f>HYPERLINK("http://www.ncbi.nlm.nih.gov/gene/6418876", "6418876")</f>
        <v>6418876</v>
      </c>
      <c r="C5219" s="9"/>
      <c r="D5219" t="str">
        <f>"ZK813.7"</f>
        <v>ZK813.7</v>
      </c>
      <c r="F5219" t="s">
        <v>11</v>
      </c>
      <c r="H5219" s="12">
        <v>-1.25707803511079</v>
      </c>
      <c r="I5219" s="20">
        <v>-1.2284442685581201</v>
      </c>
      <c r="J5219" s="28">
        <v>0.21928023842002201</v>
      </c>
      <c r="K5219" s="29">
        <v>0.97136339498423896</v>
      </c>
    </row>
    <row r="5220" spans="1:11" x14ac:dyDescent="0.35">
      <c r="A5220" s="9" t="str">
        <f>HYPERLINK("http://www.ensembl.org/id/WBGene00001782", "WBGene00001782")</f>
        <v>WBGene00001782</v>
      </c>
      <c r="B5220" s="9" t="str">
        <f>HYPERLINK("http://www.ncbi.nlm.nih.gov/gene/260015", "260015")</f>
        <v>260015</v>
      </c>
      <c r="C5220" s="9" t="str">
        <f>HYPERLINK("http://www.ncbi.nlm.nih.gov/gene/27306", "27306")</f>
        <v>27306</v>
      </c>
      <c r="D5220" t="str">
        <f>"gst-34"</f>
        <v>gst-34</v>
      </c>
      <c r="E5220" t="s">
        <v>272</v>
      </c>
      <c r="F5220" t="s">
        <v>11</v>
      </c>
      <c r="G5220" t="s">
        <v>876</v>
      </c>
      <c r="H5220" s="12">
        <v>2.7291126346605501</v>
      </c>
      <c r="I5220" s="20">
        <v>1.22811809307797</v>
      </c>
      <c r="J5220" s="28">
        <v>0.219402639946256</v>
      </c>
      <c r="K5220" s="29">
        <v>0.97139383995462403</v>
      </c>
    </row>
    <row r="5221" spans="1:11" x14ac:dyDescent="0.35">
      <c r="A5221" s="9" t="str">
        <f>HYPERLINK("http://www.ensembl.org/id/WBGene00015867", "WBGene00015867")</f>
        <v>WBGene00015867</v>
      </c>
      <c r="B5221" s="9" t="str">
        <f>HYPERLINK("http://www.ncbi.nlm.nih.gov/gene/182694", "182694")</f>
        <v>182694</v>
      </c>
      <c r="C5221" s="9"/>
      <c r="D5221" t="str">
        <f>"ncs-7"</f>
        <v>ncs-7</v>
      </c>
      <c r="E5221" t="s">
        <v>3304</v>
      </c>
      <c r="F5221" t="s">
        <v>11</v>
      </c>
      <c r="G5221" t="s">
        <v>325</v>
      </c>
      <c r="H5221" s="12">
        <v>1.96659703792497</v>
      </c>
      <c r="I5221" s="20">
        <v>1.2280965250909901</v>
      </c>
      <c r="J5221" s="28">
        <v>0.21941073533814501</v>
      </c>
      <c r="K5221" s="29">
        <v>0.97139383995462403</v>
      </c>
    </row>
    <row r="5222" spans="1:11" x14ac:dyDescent="0.35">
      <c r="A5222" s="9" t="str">
        <f>HYPERLINK("http://www.ensembl.org/id/WBGene00000510", "WBGene00000510")</f>
        <v>WBGene00000510</v>
      </c>
      <c r="B5222" s="9" t="str">
        <f>HYPERLINK("http://www.ncbi.nlm.nih.gov/gene/180703", "180703")</f>
        <v>180703</v>
      </c>
      <c r="C5222" s="9" t="str">
        <f>HYPERLINK("http://www.ncbi.nlm.nih.gov/gene/1119", "1119")</f>
        <v>1119</v>
      </c>
      <c r="D5222" t="str">
        <f>"cka-2"</f>
        <v>cka-2</v>
      </c>
      <c r="E5222" t="s">
        <v>4126</v>
      </c>
      <c r="F5222" t="s">
        <v>11</v>
      </c>
      <c r="H5222" s="12">
        <v>1.32688472128848</v>
      </c>
      <c r="I5222" s="20">
        <v>1.2277138786106201</v>
      </c>
      <c r="J5222" s="28">
        <v>0.21955439464809401</v>
      </c>
      <c r="K5222" s="29">
        <v>0.97176896482508002</v>
      </c>
    </row>
    <row r="5223" spans="1:11" x14ac:dyDescent="0.35">
      <c r="A5223" s="9" t="str">
        <f>HYPERLINK("http://www.ensembl.org/id/WBGene00014732", "WBGene00014732")</f>
        <v>WBGene00014732</v>
      </c>
      <c r="B5223" s="9"/>
      <c r="C5223" s="9"/>
      <c r="D5223" t="str">
        <f>"F09F3.8"</f>
        <v>F09F3.8</v>
      </c>
      <c r="F5223" t="s">
        <v>80</v>
      </c>
      <c r="H5223" s="12">
        <v>-1.5837686822766099</v>
      </c>
      <c r="I5223" s="20">
        <v>-1.22751228532138</v>
      </c>
      <c r="J5223" s="28">
        <v>0.21963010719991999</v>
      </c>
      <c r="K5223" s="29">
        <v>0.97176896482508002</v>
      </c>
    </row>
    <row r="5224" spans="1:11" x14ac:dyDescent="0.35">
      <c r="A5224" s="9" t="str">
        <f>HYPERLINK("http://www.ensembl.org/id/WBGene00011786", "WBGene00011786")</f>
        <v>WBGene00011786</v>
      </c>
      <c r="B5224" s="9" t="str">
        <f>HYPERLINK("http://www.ncbi.nlm.nih.gov/gene/173110", "173110")</f>
        <v>173110</v>
      </c>
      <c r="C5224" s="9"/>
      <c r="D5224" t="str">
        <f>"T15D6.12"</f>
        <v>T15D6.12</v>
      </c>
      <c r="F5224" t="s">
        <v>11</v>
      </c>
      <c r="G5224" t="s">
        <v>1212</v>
      </c>
      <c r="H5224" s="12">
        <v>-3.9183767374742202</v>
      </c>
      <c r="I5224" s="20">
        <v>-1.2274916377905201</v>
      </c>
      <c r="J5224" s="28">
        <v>0.219637862867338</v>
      </c>
      <c r="K5224" s="29">
        <v>0.97176896482508002</v>
      </c>
    </row>
    <row r="5225" spans="1:11" x14ac:dyDescent="0.35">
      <c r="A5225" s="9" t="str">
        <f>HYPERLINK("http://www.ensembl.org/id/WBGene00008405", "WBGene00008405")</f>
        <v>WBGene00008405</v>
      </c>
      <c r="B5225" s="9" t="str">
        <f>HYPERLINK("http://www.ncbi.nlm.nih.gov/gene/174480", "174480")</f>
        <v>174480</v>
      </c>
      <c r="C5225" s="9" t="str">
        <f>HYPERLINK("http://www.ncbi.nlm.nih.gov/gene/23170", "23170")</f>
        <v>23170</v>
      </c>
      <c r="D5225" t="str">
        <f>"ttll-12"</f>
        <v>ttll-12</v>
      </c>
      <c r="E5225" t="s">
        <v>4127</v>
      </c>
      <c r="F5225" t="s">
        <v>11</v>
      </c>
      <c r="G5225" t="s">
        <v>4128</v>
      </c>
      <c r="H5225" s="12">
        <v>-1.26463575802844</v>
      </c>
      <c r="I5225" s="20">
        <v>-1.2274228737983399</v>
      </c>
      <c r="J5225" s="28">
        <v>0.219663693554981</v>
      </c>
      <c r="K5225" s="29">
        <v>0.97176896482508002</v>
      </c>
    </row>
    <row r="5226" spans="1:11" x14ac:dyDescent="0.35">
      <c r="A5226" s="9" t="str">
        <f>HYPERLINK("http://www.ensembl.org/id/WBGene00004467", "WBGene00004467")</f>
        <v>WBGene00004467</v>
      </c>
      <c r="B5226" s="9" t="str">
        <f>HYPERLINK("http://www.ncbi.nlm.nih.gov/gene/173744", "173744")</f>
        <v>173744</v>
      </c>
      <c r="C5226" s="9" t="str">
        <f>HYPERLINK("http://www.ncbi.nlm.nih.gov/gene/10213", "10213")</f>
        <v>10213</v>
      </c>
      <c r="D5226" t="str">
        <f>"rpn-11"</f>
        <v>rpn-11</v>
      </c>
      <c r="E5226" t="s">
        <v>4129</v>
      </c>
      <c r="F5226" t="s">
        <v>11</v>
      </c>
      <c r="G5226" t="s">
        <v>4130</v>
      </c>
      <c r="H5226" s="12">
        <v>-1.2520557791117399</v>
      </c>
      <c r="I5226" s="20">
        <v>-1.2272976232230199</v>
      </c>
      <c r="J5226" s="28">
        <v>0.219710748614312</v>
      </c>
      <c r="K5226" s="29">
        <v>0.97179107149354704</v>
      </c>
    </row>
    <row r="5227" spans="1:11" x14ac:dyDescent="0.35">
      <c r="A5227" s="9" t="str">
        <f>HYPERLINK("http://www.ensembl.org/id/WBGene00015387", "WBGene00015387")</f>
        <v>WBGene00015387</v>
      </c>
      <c r="B5227" s="9" t="str">
        <f>HYPERLINK("http://www.ncbi.nlm.nih.gov/gene/182164", "182164")</f>
        <v>182164</v>
      </c>
      <c r="C5227" s="9"/>
      <c r="D5227" t="str">
        <f>"kcnl-3"</f>
        <v>kcnl-3</v>
      </c>
      <c r="E5227" t="s">
        <v>4131</v>
      </c>
      <c r="F5227" t="s">
        <v>11</v>
      </c>
      <c r="G5227" t="s">
        <v>4132</v>
      </c>
      <c r="H5227" s="12">
        <v>1.6353154939219801</v>
      </c>
      <c r="I5227" s="20">
        <v>1.22705709072084</v>
      </c>
      <c r="J5227" s="28">
        <v>0.21980113392306999</v>
      </c>
      <c r="K5227" s="29">
        <v>0.97181879074367805</v>
      </c>
    </row>
    <row r="5228" spans="1:11" x14ac:dyDescent="0.35">
      <c r="A5228" s="9" t="str">
        <f>HYPERLINK("http://www.ensembl.org/id/WBGene00022334", "WBGene00022334")</f>
        <v>WBGene00022334</v>
      </c>
      <c r="B5228" s="9" t="str">
        <f>HYPERLINK("http://www.ncbi.nlm.nih.gov/gene/175302", "175302")</f>
        <v>175302</v>
      </c>
      <c r="C5228" s="9"/>
      <c r="D5228" t="str">
        <f>"Y82E9BR.1"</f>
        <v>Y82E9BR.1</v>
      </c>
      <c r="F5228" t="s">
        <v>11</v>
      </c>
      <c r="H5228" s="12">
        <v>1.5259693331631401</v>
      </c>
      <c r="I5228" s="20">
        <v>1.2270698452903099</v>
      </c>
      <c r="J5228" s="28">
        <v>0.21979634044687399</v>
      </c>
      <c r="K5228" s="29">
        <v>0.97181879074367805</v>
      </c>
    </row>
    <row r="5229" spans="1:11" x14ac:dyDescent="0.35">
      <c r="A5229" s="9" t="str">
        <f>HYPERLINK("http://www.ensembl.org/id/WBGene00021579", "WBGene00021579")</f>
        <v>WBGene00021579</v>
      </c>
      <c r="B5229" s="9" t="str">
        <f>HYPERLINK("http://www.ncbi.nlm.nih.gov/gene/177153", "177153")</f>
        <v>177153</v>
      </c>
      <c r="C5229" s="9"/>
      <c r="D5229" t="str">
        <f>"clec-73"</f>
        <v>clec-73</v>
      </c>
      <c r="E5229" t="s">
        <v>46</v>
      </c>
      <c r="F5229" t="s">
        <v>11</v>
      </c>
      <c r="G5229" t="s">
        <v>47</v>
      </c>
      <c r="H5229" s="12">
        <v>1.96135918089353</v>
      </c>
      <c r="I5229" s="20">
        <v>1.22656889321869</v>
      </c>
      <c r="J5229" s="28">
        <v>0.21998466676658801</v>
      </c>
      <c r="K5229" s="29">
        <v>0.97236736035787796</v>
      </c>
    </row>
    <row r="5230" spans="1:11" x14ac:dyDescent="0.35">
      <c r="A5230" s="9" t="str">
        <f>HYPERLINK("http://www.ensembl.org/id/WBGene00008920", "WBGene00008920")</f>
        <v>WBGene00008920</v>
      </c>
      <c r="B5230" s="9" t="str">
        <f>HYPERLINK("http://www.ncbi.nlm.nih.gov/gene/179522", "179522")</f>
        <v>179522</v>
      </c>
      <c r="C5230" s="9" t="str">
        <f>HYPERLINK("http://www.ncbi.nlm.nih.gov/gene/1937", "1937")</f>
        <v>1937</v>
      </c>
      <c r="D5230" t="str">
        <f>"eef-1G"</f>
        <v>eef-1G</v>
      </c>
      <c r="E5230" t="s">
        <v>4133</v>
      </c>
      <c r="F5230" t="s">
        <v>11</v>
      </c>
      <c r="G5230" t="s">
        <v>4134</v>
      </c>
      <c r="H5230" s="12">
        <v>-1.2460526476359599</v>
      </c>
      <c r="I5230" s="20">
        <v>-1.2265031983897201</v>
      </c>
      <c r="J5230" s="28">
        <v>0.22000937245524901</v>
      </c>
      <c r="K5230" s="29">
        <v>0.97236736035787796</v>
      </c>
    </row>
    <row r="5231" spans="1:11" x14ac:dyDescent="0.35">
      <c r="A5231" s="9" t="str">
        <f>HYPERLINK("http://www.ensembl.org/id/WBGene00009408", "WBGene00009408")</f>
        <v>WBGene00009408</v>
      </c>
      <c r="B5231" s="9" t="str">
        <f>HYPERLINK("http://www.ncbi.nlm.nih.gov/gene/185275", "185275")</f>
        <v>185275</v>
      </c>
      <c r="C5231" s="9"/>
      <c r="D5231" t="str">
        <f>"F35C12.3"</f>
        <v>F35C12.3</v>
      </c>
      <c r="F5231" t="s">
        <v>11</v>
      </c>
      <c r="H5231" s="12">
        <v>-1.3505757834482099</v>
      </c>
      <c r="I5231" s="20">
        <v>-1.2261265880838601</v>
      </c>
      <c r="J5231" s="28">
        <v>0.22015104176300301</v>
      </c>
      <c r="K5231" s="29">
        <v>0.97237697872418405</v>
      </c>
    </row>
    <row r="5232" spans="1:11" x14ac:dyDescent="0.35">
      <c r="A5232" s="9" t="str">
        <f>HYPERLINK("http://www.ensembl.org/id/WBGene00009457", "WBGene00009457")</f>
        <v>WBGene00009457</v>
      </c>
      <c r="B5232" s="9" t="str">
        <f>HYPERLINK("http://www.ncbi.nlm.nih.gov/gene/172694", "172694")</f>
        <v>172694</v>
      </c>
      <c r="C5232" s="9"/>
      <c r="D5232" t="str">
        <f>"F36A2.10"</f>
        <v>F36A2.10</v>
      </c>
      <c r="F5232" t="s">
        <v>11</v>
      </c>
      <c r="H5232" s="12">
        <v>1.5092898927015199</v>
      </c>
      <c r="I5232" s="20">
        <v>1.22603723758963</v>
      </c>
      <c r="J5232" s="28">
        <v>0.220184662296353</v>
      </c>
      <c r="K5232" s="29">
        <v>0.97237697872418405</v>
      </c>
    </row>
    <row r="5233" spans="1:11" x14ac:dyDescent="0.35">
      <c r="A5233" s="9" t="str">
        <f>HYPERLINK("http://www.ensembl.org/id/WBGene00001539", "WBGene00001539")</f>
        <v>WBGene00001539</v>
      </c>
      <c r="B5233" s="9" t="str">
        <f>HYPERLINK("http://www.ncbi.nlm.nih.gov/gene/191646", "191646")</f>
        <v>191646</v>
      </c>
      <c r="C5233" s="9"/>
      <c r="D5233" t="str">
        <f>"gcy-13"</f>
        <v>gcy-13</v>
      </c>
      <c r="E5233" t="s">
        <v>4135</v>
      </c>
      <c r="F5233" t="s">
        <v>11</v>
      </c>
      <c r="G5233" t="s">
        <v>2408</v>
      </c>
      <c r="H5233" s="12">
        <v>3.8102234259047201</v>
      </c>
      <c r="I5233" s="20">
        <v>1.22593811201823</v>
      </c>
      <c r="J5233" s="28">
        <v>0.22022196527584401</v>
      </c>
      <c r="K5233" s="29">
        <v>0.97237697872418405</v>
      </c>
    </row>
    <row r="5234" spans="1:11" x14ac:dyDescent="0.35">
      <c r="A5234" s="9" t="str">
        <f>HYPERLINK("http://www.ensembl.org/id/WBGene00003157", "WBGene00003157")</f>
        <v>WBGene00003157</v>
      </c>
      <c r="B5234" s="9" t="str">
        <f>HYPERLINK("http://www.ncbi.nlm.nih.gov/gene/175552", "175552")</f>
        <v>175552</v>
      </c>
      <c r="C5234" s="9" t="str">
        <f>HYPERLINK("http://www.ncbi.nlm.nih.gov/gene/4174", "4174")</f>
        <v>4174</v>
      </c>
      <c r="D5234" t="str">
        <f>"mcm-5"</f>
        <v>mcm-5</v>
      </c>
      <c r="E5234" t="s">
        <v>4137</v>
      </c>
      <c r="F5234" t="s">
        <v>11</v>
      </c>
      <c r="G5234" t="s">
        <v>4138</v>
      </c>
      <c r="H5234" s="12">
        <v>-1.35487160542042</v>
      </c>
      <c r="I5234" s="20">
        <v>-1.2263033088931401</v>
      </c>
      <c r="J5234" s="28">
        <v>0.22008455663812199</v>
      </c>
      <c r="K5234" s="29">
        <v>0.97237697872418405</v>
      </c>
    </row>
    <row r="5235" spans="1:11" x14ac:dyDescent="0.35">
      <c r="A5235" s="9" t="str">
        <f>HYPERLINK("http://www.ensembl.org/id/WBGene00006864", "WBGene00006864")</f>
        <v>WBGene00006864</v>
      </c>
      <c r="B5235" s="9" t="str">
        <f>HYPERLINK("http://www.ncbi.nlm.nih.gov/gene/180643", "180643")</f>
        <v>180643</v>
      </c>
      <c r="C5235" s="9"/>
      <c r="D5235" t="str">
        <f>"npr-16"</f>
        <v>npr-16</v>
      </c>
      <c r="E5235" t="s">
        <v>1021</v>
      </c>
      <c r="F5235" t="s">
        <v>11</v>
      </c>
      <c r="G5235" t="s">
        <v>4136</v>
      </c>
      <c r="H5235" s="12">
        <v>1.3704341031563301</v>
      </c>
      <c r="I5235" s="20">
        <v>1.22616936205694</v>
      </c>
      <c r="J5235" s="28">
        <v>0.22013494820559101</v>
      </c>
      <c r="K5235" s="29">
        <v>0.97237697872418405</v>
      </c>
    </row>
    <row r="5236" spans="1:11" x14ac:dyDescent="0.35">
      <c r="A5236" s="9" t="str">
        <f>HYPERLINK("http://www.ensembl.org/id/WBGene00010100", "WBGene00010100")</f>
        <v>WBGene00010100</v>
      </c>
      <c r="B5236" s="9" t="str">
        <f>HYPERLINK("http://www.ncbi.nlm.nih.gov/gene/186291", "186291")</f>
        <v>186291</v>
      </c>
      <c r="C5236" s="9"/>
      <c r="D5236" t="str">
        <f>"F55C9.3"</f>
        <v>F55C9.3</v>
      </c>
      <c r="F5236" t="s">
        <v>11</v>
      </c>
      <c r="G5236" t="s">
        <v>54</v>
      </c>
      <c r="H5236" s="12">
        <v>2.2887847288599601</v>
      </c>
      <c r="I5236" s="20">
        <v>1.2257372801847899</v>
      </c>
      <c r="J5236" s="28">
        <v>0.22029755629848</v>
      </c>
      <c r="K5236" s="29">
        <v>0.9724355548975</v>
      </c>
    </row>
    <row r="5237" spans="1:11" x14ac:dyDescent="0.35">
      <c r="A5237" s="9" t="str">
        <f>HYPERLINK("http://www.ensembl.org/id/WBGene00020601", "WBGene00020601")</f>
        <v>WBGene00020601</v>
      </c>
      <c r="B5237" s="9" t="str">
        <f>HYPERLINK("http://www.ncbi.nlm.nih.gov/gene/176053", "176053")</f>
        <v>176053</v>
      </c>
      <c r="C5237" s="9"/>
      <c r="D5237" t="str">
        <f>"T20B12.3"</f>
        <v>T20B12.3</v>
      </c>
      <c r="F5237" t="s">
        <v>11</v>
      </c>
      <c r="G5237" t="s">
        <v>4139</v>
      </c>
      <c r="H5237" s="12">
        <v>-1.3345829193095999</v>
      </c>
      <c r="I5237" s="20">
        <v>-1.2256792461330399</v>
      </c>
      <c r="J5237" s="28">
        <v>0.22031940318049101</v>
      </c>
      <c r="K5237" s="29">
        <v>0.9724355548975</v>
      </c>
    </row>
    <row r="5238" spans="1:11" x14ac:dyDescent="0.35">
      <c r="A5238" s="9" t="str">
        <f>HYPERLINK("http://www.ensembl.org/id/WBGene00005195", "WBGene00005195")</f>
        <v>WBGene00005195</v>
      </c>
      <c r="B5238" s="9" t="str">
        <f>HYPERLINK("http://www.ncbi.nlm.nih.gov/gene/353467", "353467")</f>
        <v>353467</v>
      </c>
      <c r="C5238" s="9"/>
      <c r="D5238" t="str">
        <f>"srg-38"</f>
        <v>srg-38</v>
      </c>
      <c r="E5238" t="s">
        <v>1828</v>
      </c>
      <c r="F5238" t="s">
        <v>11</v>
      </c>
      <c r="G5238" t="s">
        <v>1829</v>
      </c>
      <c r="H5238" s="12">
        <v>-1.65434085792812</v>
      </c>
      <c r="I5238" s="20">
        <v>-1.2255580624271101</v>
      </c>
      <c r="J5238" s="28">
        <v>0.22036502772050101</v>
      </c>
      <c r="K5238" s="29">
        <v>0.97245117083840504</v>
      </c>
    </row>
    <row r="5239" spans="1:11" x14ac:dyDescent="0.35">
      <c r="A5239" s="9" t="str">
        <f>HYPERLINK("http://www.ensembl.org/id/WBGene00018907", "WBGene00018907")</f>
        <v>WBGene00018907</v>
      </c>
      <c r="B5239" s="9" t="str">
        <f>HYPERLINK("http://www.ncbi.nlm.nih.gov/gene/186329", "186329")</f>
        <v>186329</v>
      </c>
      <c r="C5239" s="9"/>
      <c r="D5239" t="str">
        <f>"F55G1.15"</f>
        <v>F55G1.15</v>
      </c>
      <c r="F5239" t="s">
        <v>11</v>
      </c>
      <c r="G5239" t="s">
        <v>25</v>
      </c>
      <c r="H5239" s="12">
        <v>1.3904753483514101</v>
      </c>
      <c r="I5239" s="20">
        <v>1.22542083585478</v>
      </c>
      <c r="J5239" s="28">
        <v>0.220416700432362</v>
      </c>
      <c r="K5239" s="29">
        <v>0.97249346576096096</v>
      </c>
    </row>
    <row r="5240" spans="1:11" x14ac:dyDescent="0.35">
      <c r="A5240" s="9" t="str">
        <f>HYPERLINK("http://www.ensembl.org/id/WBGene00020248", "WBGene00020248")</f>
        <v>WBGene00020248</v>
      </c>
      <c r="B5240" s="9" t="str">
        <f>HYPERLINK("http://www.ncbi.nlm.nih.gov/gene/188112", "188112")</f>
        <v>188112</v>
      </c>
      <c r="C5240" s="9"/>
      <c r="D5240" t="str">
        <f>"T05C1.1"</f>
        <v>T05C1.1</v>
      </c>
      <c r="F5240" t="s">
        <v>11</v>
      </c>
      <c r="H5240" s="12">
        <v>-1.29362487450395</v>
      </c>
      <c r="I5240" s="20">
        <v>-1.2252974354912201</v>
      </c>
      <c r="J5240" s="28">
        <v>0.22046317430145401</v>
      </c>
      <c r="K5240" s="29">
        <v>0.97251281126563405</v>
      </c>
    </row>
    <row r="5241" spans="1:11" x14ac:dyDescent="0.35">
      <c r="A5241" s="9" t="str">
        <f>HYPERLINK("http://www.ensembl.org/id/WBGene00022193", "WBGene00022193")</f>
        <v>WBGene00022193</v>
      </c>
      <c r="B5241" s="9" t="str">
        <f>HYPERLINK("http://www.ncbi.nlm.nih.gov/gene/190617", "190617")</f>
        <v>190617</v>
      </c>
      <c r="C5241" s="9" t="str">
        <f>HYPERLINK("http://www.ncbi.nlm.nih.gov/gene/3476", "3476")</f>
        <v>3476</v>
      </c>
      <c r="D5241" t="str">
        <f>"ppfr-4"</f>
        <v>ppfr-4</v>
      </c>
      <c r="E5241" t="s">
        <v>4140</v>
      </c>
      <c r="F5241" t="s">
        <v>11</v>
      </c>
      <c r="G5241" t="s">
        <v>4141</v>
      </c>
      <c r="H5241" s="12">
        <v>-1.2953576760692</v>
      </c>
      <c r="I5241" s="20">
        <v>-1.22494541325997</v>
      </c>
      <c r="J5241" s="28">
        <v>0.22059578817884201</v>
      </c>
      <c r="K5241" s="29">
        <v>0.97291205987026597</v>
      </c>
    </row>
    <row r="5242" spans="1:11" x14ac:dyDescent="0.35">
      <c r="A5242" s="9" t="str">
        <f>HYPERLINK("http://www.ensembl.org/id/WBGene00015733", "WBGene00015733")</f>
        <v>WBGene00015733</v>
      </c>
      <c r="B5242" s="9" t="str">
        <f>HYPERLINK("http://www.ncbi.nlm.nih.gov/gene/266887", "266887")</f>
        <v>266887</v>
      </c>
      <c r="C5242" s="9" t="str">
        <f>HYPERLINK("http://www.ncbi.nlm.nih.gov/gene/132158", "132158")</f>
        <v>132158</v>
      </c>
      <c r="D5242" t="str">
        <f>"C13B9.2"</f>
        <v>C13B9.2</v>
      </c>
      <c r="F5242" t="s">
        <v>11</v>
      </c>
      <c r="G5242" t="s">
        <v>4142</v>
      </c>
      <c r="H5242" s="12">
        <v>-1.4083804722284501</v>
      </c>
      <c r="I5242" s="20">
        <v>-1.2244099890439899</v>
      </c>
      <c r="J5242" s="28">
        <v>0.22079760294495099</v>
      </c>
      <c r="K5242" s="29">
        <v>0.97343979691078797</v>
      </c>
    </row>
    <row r="5243" spans="1:11" x14ac:dyDescent="0.35">
      <c r="A5243" s="9" t="str">
        <f>HYPERLINK("http://www.ensembl.org/id/WBGene00015645", "WBGene00015645")</f>
        <v>WBGene00015645</v>
      </c>
      <c r="B5243" s="9" t="str">
        <f>HYPERLINK("http://www.ncbi.nlm.nih.gov/gene/173446", "173446")</f>
        <v>173446</v>
      </c>
      <c r="C5243" s="9"/>
      <c r="D5243" t="str">
        <f>"lips-7"</f>
        <v>lips-7</v>
      </c>
      <c r="E5243" t="s">
        <v>430</v>
      </c>
      <c r="F5243" t="s">
        <v>11</v>
      </c>
      <c r="G5243" t="s">
        <v>431</v>
      </c>
      <c r="H5243" s="12">
        <v>2.6431550999340798</v>
      </c>
      <c r="I5243" s="20">
        <v>1.22424552296578</v>
      </c>
      <c r="J5243" s="28">
        <v>0.22085962088868799</v>
      </c>
      <c r="K5243" s="29">
        <v>0.97343979691078797</v>
      </c>
    </row>
    <row r="5244" spans="1:11" x14ac:dyDescent="0.35">
      <c r="A5244" s="9" t="str">
        <f>HYPERLINK("http://www.ensembl.org/id/WBGene00009425", "WBGene00009425")</f>
        <v>WBGene00009425</v>
      </c>
      <c r="B5244" s="9"/>
      <c r="C5244" s="9"/>
      <c r="D5244" t="str">
        <f>"scl-16"</f>
        <v>scl-16</v>
      </c>
      <c r="F5244" t="s">
        <v>80</v>
      </c>
      <c r="H5244" s="12">
        <v>-2.6721096556772999</v>
      </c>
      <c r="I5244" s="20">
        <v>-1.22430297473288</v>
      </c>
      <c r="J5244" s="28">
        <v>0.22083795518160201</v>
      </c>
      <c r="K5244" s="29">
        <v>0.97343979691078797</v>
      </c>
    </row>
    <row r="5245" spans="1:11" x14ac:dyDescent="0.35">
      <c r="A5245" s="9" t="str">
        <f>HYPERLINK("http://www.ensembl.org/id/WBGene00020573", "WBGene00020573")</f>
        <v>WBGene00020573</v>
      </c>
      <c r="B5245" s="9" t="str">
        <f>HYPERLINK("http://www.ncbi.nlm.nih.gov/gene/188605", "188605")</f>
        <v>188605</v>
      </c>
      <c r="C5245" s="9"/>
      <c r="D5245" t="str">
        <f>"T19D7.5"</f>
        <v>T19D7.5</v>
      </c>
      <c r="F5245" t="s">
        <v>11</v>
      </c>
      <c r="G5245" t="s">
        <v>25</v>
      </c>
      <c r="H5245" s="12">
        <v>1.6835386449307701</v>
      </c>
      <c r="I5245" s="20">
        <v>1.2241809781945501</v>
      </c>
      <c r="J5245" s="28">
        <v>0.22088396326509399</v>
      </c>
      <c r="K5245" s="29">
        <v>0.97343979691078797</v>
      </c>
    </row>
    <row r="5246" spans="1:11" x14ac:dyDescent="0.35">
      <c r="A5246" s="9" t="str">
        <f>HYPERLINK("http://www.ensembl.org/id/WBGene00003604", "WBGene00003604")</f>
        <v>WBGene00003604</v>
      </c>
      <c r="B5246" s="9" t="str">
        <f>HYPERLINK("http://www.ncbi.nlm.nih.gov/gene/191717", "191717")</f>
        <v>191717</v>
      </c>
      <c r="C5246" s="9"/>
      <c r="D5246" t="str">
        <f>"nhr-5"</f>
        <v>nhr-5</v>
      </c>
      <c r="E5246" t="s">
        <v>4143</v>
      </c>
      <c r="F5246" t="s">
        <v>11</v>
      </c>
      <c r="G5246" t="s">
        <v>2789</v>
      </c>
      <c r="H5246" s="12">
        <v>1.3338590382740401</v>
      </c>
      <c r="I5246" s="20">
        <v>1.22382761493311</v>
      </c>
      <c r="J5246" s="28">
        <v>0.22101726456621601</v>
      </c>
      <c r="K5246" s="29">
        <v>0.97384151698455002</v>
      </c>
    </row>
    <row r="5247" spans="1:11" x14ac:dyDescent="0.35">
      <c r="A5247" s="9" t="str">
        <f>HYPERLINK("http://www.ensembl.org/id/WBGene00020742", "WBGene00020742")</f>
        <v>WBGene00020742</v>
      </c>
      <c r="B5247" s="9" t="str">
        <f>HYPERLINK("http://www.ncbi.nlm.nih.gov/gene/172347", "172347")</f>
        <v>172347</v>
      </c>
      <c r="C5247" s="9" t="str">
        <f>HYPERLINK("http://www.ncbi.nlm.nih.gov/gene/8458", "8458")</f>
        <v>8458</v>
      </c>
      <c r="D5247" t="str">
        <f>"T23H2.3"</f>
        <v>T23H2.3</v>
      </c>
      <c r="F5247" t="s">
        <v>11</v>
      </c>
      <c r="G5247" t="s">
        <v>173</v>
      </c>
      <c r="H5247" s="12">
        <v>-1.2856197182884099</v>
      </c>
      <c r="I5247" s="20">
        <v>-1.2236096228255</v>
      </c>
      <c r="J5247" s="28">
        <v>0.22109952776742101</v>
      </c>
      <c r="K5247" s="29">
        <v>0.97401824377388702</v>
      </c>
    </row>
    <row r="5248" spans="1:11" x14ac:dyDescent="0.35">
      <c r="A5248" s="9" t="str">
        <f>HYPERLINK("http://www.ensembl.org/id/WBGene00017064", "WBGene00017064")</f>
        <v>WBGene00017064</v>
      </c>
      <c r="B5248" s="9" t="str">
        <f>HYPERLINK("http://www.ncbi.nlm.nih.gov/gene/172381", "172381")</f>
        <v>172381</v>
      </c>
      <c r="C5248" s="9"/>
      <c r="D5248" t="str">
        <f>"ppfr-2"</f>
        <v>ppfr-2</v>
      </c>
      <c r="E5248" t="s">
        <v>4144</v>
      </c>
      <c r="F5248" t="s">
        <v>11</v>
      </c>
      <c r="G5248" t="s">
        <v>4145</v>
      </c>
      <c r="H5248" s="12">
        <v>-1.29309707141618</v>
      </c>
      <c r="I5248" s="20">
        <v>-1.2233961863221801</v>
      </c>
      <c r="J5248" s="28">
        <v>0.221180093092712</v>
      </c>
      <c r="K5248" s="29">
        <v>0.97418742489519905</v>
      </c>
    </row>
    <row r="5249" spans="1:11" x14ac:dyDescent="0.35">
      <c r="A5249" s="9" t="str">
        <f>HYPERLINK("http://www.ensembl.org/id/WBGene00021583", "WBGene00021583")</f>
        <v>WBGene00021583</v>
      </c>
      <c r="B5249" s="9" t="str">
        <f>HYPERLINK("http://www.ncbi.nlm.nih.gov/gene/177152", "177152")</f>
        <v>177152</v>
      </c>
      <c r="C5249" s="9"/>
      <c r="D5249" t="str">
        <f>"clec-72"</f>
        <v>clec-72</v>
      </c>
      <c r="E5249" t="s">
        <v>46</v>
      </c>
      <c r="F5249" t="s">
        <v>11</v>
      </c>
      <c r="G5249" t="s">
        <v>47</v>
      </c>
      <c r="H5249" s="12">
        <v>-1.88192447638564</v>
      </c>
      <c r="I5249" s="20">
        <v>-1.2229862754404699</v>
      </c>
      <c r="J5249" s="28">
        <v>0.221334880100957</v>
      </c>
      <c r="K5249" s="29">
        <v>0.97454851769659201</v>
      </c>
    </row>
    <row r="5250" spans="1:11" x14ac:dyDescent="0.35">
      <c r="A5250" s="9" t="str">
        <f>HYPERLINK("http://www.ensembl.org/id/WBGene00194712", "WBGene00194712")</f>
        <v>WBGene00194712</v>
      </c>
      <c r="B5250" s="9" t="str">
        <f>HYPERLINK("http://www.ncbi.nlm.nih.gov/gene/13215336", "13215336")</f>
        <v>13215336</v>
      </c>
      <c r="C5250" s="9"/>
      <c r="D5250" t="str">
        <f>"T11F9.21"</f>
        <v>T11F9.21</v>
      </c>
      <c r="F5250" t="s">
        <v>11</v>
      </c>
      <c r="G5250" t="s">
        <v>25</v>
      </c>
      <c r="H5250" s="12">
        <v>7.4311830712189098</v>
      </c>
      <c r="I5250" s="20">
        <v>1.2229556958783601</v>
      </c>
      <c r="J5250" s="28">
        <v>0.221346430402134</v>
      </c>
      <c r="K5250" s="29">
        <v>0.97454851769659201</v>
      </c>
    </row>
    <row r="5251" spans="1:11" x14ac:dyDescent="0.35">
      <c r="A5251" s="9" t="str">
        <f>HYPERLINK("http://www.ensembl.org/id/WBGene00016235", "WBGene00016235")</f>
        <v>WBGene00016235</v>
      </c>
      <c r="B5251" s="9" t="str">
        <f>HYPERLINK("http://www.ncbi.nlm.nih.gov/gene/174022", "174022")</f>
        <v>174022</v>
      </c>
      <c r="C5251" s="9" t="str">
        <f>HYPERLINK("http://www.ncbi.nlm.nih.gov/gene/54978", "54978")</f>
        <v>54978</v>
      </c>
      <c r="D5251" t="str">
        <f>"C29H12.2"</f>
        <v>C29H12.2</v>
      </c>
      <c r="F5251" t="s">
        <v>11</v>
      </c>
      <c r="G5251" t="s">
        <v>4152</v>
      </c>
      <c r="H5251" s="12">
        <v>-1.2505183891043301</v>
      </c>
      <c r="I5251" s="20">
        <v>-1.2222310255547</v>
      </c>
      <c r="J5251" s="28">
        <v>0.22162027429796699</v>
      </c>
      <c r="K5251" s="29">
        <v>0.97458737510585802</v>
      </c>
    </row>
    <row r="5252" spans="1:11" x14ac:dyDescent="0.35">
      <c r="A5252" s="9" t="str">
        <f>HYPERLINK("http://www.ensembl.org/id/WBGene00017017", "WBGene00017017")</f>
        <v>WBGene00017017</v>
      </c>
      <c r="B5252" s="9" t="str">
        <f>HYPERLINK("http://www.ncbi.nlm.nih.gov/gene/183896", "183896")</f>
        <v>183896</v>
      </c>
      <c r="C5252" s="9"/>
      <c r="D5252" t="str">
        <f>"D1014.4"</f>
        <v>D1014.4</v>
      </c>
      <c r="F5252" t="s">
        <v>11</v>
      </c>
      <c r="H5252" s="12">
        <v>-1.2833760762164099</v>
      </c>
      <c r="I5252" s="20">
        <v>-1.2223830588065701</v>
      </c>
      <c r="J5252" s="28">
        <v>0.221562802712815</v>
      </c>
      <c r="K5252" s="29">
        <v>0.97458737510585802</v>
      </c>
    </row>
    <row r="5253" spans="1:11" x14ac:dyDescent="0.35">
      <c r="A5253" s="9" t="str">
        <f>HYPERLINK("http://www.ensembl.org/id/WBGene00019331", "WBGene00019331")</f>
        <v>WBGene00019331</v>
      </c>
      <c r="B5253" s="9" t="str">
        <f>HYPERLINK("http://www.ncbi.nlm.nih.gov/gene/186905", "186905")</f>
        <v>186905</v>
      </c>
      <c r="C5253" s="9"/>
      <c r="D5253" t="str">
        <f>"dos-3"</f>
        <v>dos-3</v>
      </c>
      <c r="E5253" t="s">
        <v>4146</v>
      </c>
      <c r="F5253" t="s">
        <v>11</v>
      </c>
      <c r="G5253" t="s">
        <v>4147</v>
      </c>
      <c r="H5253" s="12">
        <v>2.2130298780442899</v>
      </c>
      <c r="I5253" s="20">
        <v>1.2215796623513899</v>
      </c>
      <c r="J5253" s="28">
        <v>0.221866623419707</v>
      </c>
      <c r="K5253" s="29">
        <v>0.97458737510585802</v>
      </c>
    </row>
    <row r="5254" spans="1:11" x14ac:dyDescent="0.35">
      <c r="A5254" s="9" t="str">
        <f>HYPERLINK("http://www.ensembl.org/id/WBGene00019030", "WBGene00019030")</f>
        <v>WBGene00019030</v>
      </c>
      <c r="B5254" s="9" t="str">
        <f>HYPERLINK("http://www.ncbi.nlm.nih.gov/gene/175277", "175277")</f>
        <v>175277</v>
      </c>
      <c r="C5254" s="9"/>
      <c r="D5254" t="str">
        <f>"exc-6"</f>
        <v>exc-6</v>
      </c>
      <c r="E5254" t="s">
        <v>4151</v>
      </c>
      <c r="F5254" t="s">
        <v>11</v>
      </c>
      <c r="H5254" s="12">
        <v>-1.24967205373375</v>
      </c>
      <c r="I5254" s="20">
        <v>-1.22228907306412</v>
      </c>
      <c r="J5254" s="28">
        <v>0.22159832992748299</v>
      </c>
      <c r="K5254" s="29">
        <v>0.97458737510585802</v>
      </c>
    </row>
    <row r="5255" spans="1:11" x14ac:dyDescent="0.35">
      <c r="A5255" s="9" t="str">
        <f>HYPERLINK("http://www.ensembl.org/id/WBGene00008989", "WBGene00008989")</f>
        <v>WBGene00008989</v>
      </c>
      <c r="B5255" s="9" t="str">
        <f>HYPERLINK("http://www.ncbi.nlm.nih.gov/gene/259657", "259657")</f>
        <v>259657</v>
      </c>
      <c r="C5255" s="9"/>
      <c r="D5255" t="str">
        <f>"F20G2.6"</f>
        <v>F20G2.6</v>
      </c>
      <c r="F5255" t="s">
        <v>11</v>
      </c>
      <c r="G5255" t="s">
        <v>25</v>
      </c>
      <c r="H5255" s="12">
        <v>1.5878604985778699</v>
      </c>
      <c r="I5255" s="20">
        <v>1.2214633682042</v>
      </c>
      <c r="J5255" s="28">
        <v>0.22191062713085699</v>
      </c>
      <c r="K5255" s="29">
        <v>0.97458737510585802</v>
      </c>
    </row>
    <row r="5256" spans="1:11" x14ac:dyDescent="0.35">
      <c r="A5256" s="9" t="str">
        <f>HYPERLINK("http://www.ensembl.org/id/WBGene00271798", "WBGene00271798")</f>
        <v>WBGene00271798</v>
      </c>
      <c r="B5256" s="9" t="str">
        <f>HYPERLINK("http://www.ncbi.nlm.nih.gov/gene/34700630", "34700630")</f>
        <v>34700630</v>
      </c>
      <c r="C5256" s="9"/>
      <c r="D5256" t="str">
        <f>"F54D5.24"</f>
        <v>F54D5.24</v>
      </c>
      <c r="F5256" t="s">
        <v>11</v>
      </c>
      <c r="H5256" s="12">
        <v>2.2677785785868401</v>
      </c>
      <c r="I5256" s="20">
        <v>1.22109417488413</v>
      </c>
      <c r="J5256" s="28">
        <v>0.22205036497714201</v>
      </c>
      <c r="K5256" s="29">
        <v>0.97458737510585802</v>
      </c>
    </row>
    <row r="5257" spans="1:11" x14ac:dyDescent="0.35">
      <c r="A5257" s="9" t="str">
        <f>HYPERLINK("http://www.ensembl.org/id/WBGene00019665", "WBGene00019665")</f>
        <v>WBGene00019665</v>
      </c>
      <c r="B5257" s="9" t="str">
        <f>HYPERLINK("http://www.ncbi.nlm.nih.gov/gene/176889", "176889")</f>
        <v>176889</v>
      </c>
      <c r="C5257" s="9"/>
      <c r="D5257" t="str">
        <f>"K11H12.9"</f>
        <v>K11H12.9</v>
      </c>
      <c r="F5257" t="s">
        <v>11</v>
      </c>
      <c r="G5257" t="s">
        <v>4150</v>
      </c>
      <c r="H5257" s="12">
        <v>1.29204106749082</v>
      </c>
      <c r="I5257" s="20">
        <v>1.22125087611367</v>
      </c>
      <c r="J5257" s="28">
        <v>0.22199104664058</v>
      </c>
      <c r="K5257" s="29">
        <v>0.97458737510585802</v>
      </c>
    </row>
    <row r="5258" spans="1:11" x14ac:dyDescent="0.35">
      <c r="A5258" s="9" t="str">
        <f>HYPERLINK("http://www.ensembl.org/id/WBGene00007174", "WBGene00007174")</f>
        <v>WBGene00007174</v>
      </c>
      <c r="B5258" s="9" t="str">
        <f>HYPERLINK("http://www.ncbi.nlm.nih.gov/gene/181681", "181681")</f>
        <v>181681</v>
      </c>
      <c r="C5258" s="9" t="str">
        <f>HYPERLINK("http://www.ncbi.nlm.nih.gov/gene/6646", "6646")</f>
        <v>6646</v>
      </c>
      <c r="D5258" t="str">
        <f>"mboa-1"</f>
        <v>mboa-1</v>
      </c>
      <c r="E5258" t="s">
        <v>3460</v>
      </c>
      <c r="F5258" t="s">
        <v>11</v>
      </c>
      <c r="G5258" t="s">
        <v>4149</v>
      </c>
      <c r="H5258" s="12">
        <v>1.4879620019518101</v>
      </c>
      <c r="I5258" s="20">
        <v>1.2211154460878499</v>
      </c>
      <c r="J5258" s="28">
        <v>0.22204231222118301</v>
      </c>
      <c r="K5258" s="29">
        <v>0.97458737510585802</v>
      </c>
    </row>
    <row r="5259" spans="1:11" x14ac:dyDescent="0.35">
      <c r="A5259" s="9" t="str">
        <f>HYPERLINK("http://www.ensembl.org/id/WBGene00003736", "WBGene00003736")</f>
        <v>WBGene00003736</v>
      </c>
      <c r="B5259" s="9" t="str">
        <f>HYPERLINK("http://www.ncbi.nlm.nih.gov/gene/178126", "178126")</f>
        <v>178126</v>
      </c>
      <c r="C5259" s="9"/>
      <c r="D5259" t="str">
        <f>"nhx-9"</f>
        <v>nhx-9</v>
      </c>
      <c r="E5259" t="s">
        <v>4148</v>
      </c>
      <c r="F5259" t="s">
        <v>11</v>
      </c>
      <c r="G5259" t="s">
        <v>1346</v>
      </c>
      <c r="H5259" s="12">
        <v>1.5828323237691699</v>
      </c>
      <c r="I5259" s="20">
        <v>1.22146425421064</v>
      </c>
      <c r="J5259" s="28">
        <v>0.22191029185758199</v>
      </c>
      <c r="K5259" s="29">
        <v>0.97458737510585802</v>
      </c>
    </row>
    <row r="5260" spans="1:11" x14ac:dyDescent="0.35">
      <c r="A5260" s="9" t="str">
        <f>HYPERLINK("http://www.ensembl.org/id/WBGene00008002", "WBGene00008002")</f>
        <v>WBGene00008002</v>
      </c>
      <c r="B5260" s="9" t="str">
        <f>HYPERLINK("http://www.ncbi.nlm.nih.gov/gene/176319", "176319")</f>
        <v>176319</v>
      </c>
      <c r="C5260" s="9"/>
      <c r="D5260" t="str">
        <f>"nlp-48"</f>
        <v>nlp-48</v>
      </c>
      <c r="E5260" t="s">
        <v>76</v>
      </c>
      <c r="F5260" t="s">
        <v>11</v>
      </c>
      <c r="G5260" t="s">
        <v>77</v>
      </c>
      <c r="H5260" s="12">
        <v>-1.35990698332099</v>
      </c>
      <c r="I5260" s="20">
        <v>-1.2214632155376099</v>
      </c>
      <c r="J5260" s="28">
        <v>0.22191068490138299</v>
      </c>
      <c r="K5260" s="29">
        <v>0.97458737510585802</v>
      </c>
    </row>
    <row r="5261" spans="1:11" x14ac:dyDescent="0.35">
      <c r="A5261" s="9" t="str">
        <f>HYPERLINK("http://www.ensembl.org/id/WBGene00011075", "WBGene00011075")</f>
        <v>WBGene00011075</v>
      </c>
      <c r="B5261" s="9" t="str">
        <f>HYPERLINK("http://www.ncbi.nlm.nih.gov/gene/187644", "187644")</f>
        <v>187644</v>
      </c>
      <c r="C5261" s="9"/>
      <c r="D5261" t="str">
        <f>"R07A4.4"</f>
        <v>R07A4.4</v>
      </c>
      <c r="F5261" t="s">
        <v>11</v>
      </c>
      <c r="H5261" s="12">
        <v>2.55584370086298</v>
      </c>
      <c r="I5261" s="20">
        <v>1.2217316443380799</v>
      </c>
      <c r="J5261" s="28">
        <v>0.22180912546451101</v>
      </c>
      <c r="K5261" s="29">
        <v>0.97458737510585802</v>
      </c>
    </row>
    <row r="5262" spans="1:11" x14ac:dyDescent="0.35">
      <c r="A5262" s="9" t="str">
        <f>HYPERLINK("http://www.ensembl.org/id/WBGene00005642", "WBGene00005642")</f>
        <v>WBGene00005642</v>
      </c>
      <c r="B5262" s="9" t="str">
        <f>HYPERLINK("http://www.ncbi.nlm.nih.gov/gene/178585", "178585")</f>
        <v>178585</v>
      </c>
      <c r="C5262" s="9" t="str">
        <f>HYPERLINK("http://www.ncbi.nlm.nih.gov/gene/6318", "6318")</f>
        <v>6318</v>
      </c>
      <c r="D5262" t="str">
        <f>"srp-1"</f>
        <v>srp-1</v>
      </c>
      <c r="E5262" t="s">
        <v>1960</v>
      </c>
      <c r="F5262" t="s">
        <v>11</v>
      </c>
      <c r="G5262" t="s">
        <v>4153</v>
      </c>
      <c r="H5262" s="12">
        <v>-1.2971867241806501</v>
      </c>
      <c r="I5262" s="20">
        <v>-1.22196715795394</v>
      </c>
      <c r="J5262" s="28">
        <v>0.22172004684032801</v>
      </c>
      <c r="K5262" s="29">
        <v>0.97458737510585802</v>
      </c>
    </row>
    <row r="5263" spans="1:11" x14ac:dyDescent="0.35">
      <c r="A5263" s="9" t="str">
        <f>HYPERLINK("http://www.ensembl.org/id/WBGene00007187", "WBGene00007187")</f>
        <v>WBGene00007187</v>
      </c>
      <c r="B5263" s="9" t="str">
        <f>HYPERLINK("http://www.ncbi.nlm.nih.gov/gene/176331", "176331")</f>
        <v>176331</v>
      </c>
      <c r="C5263" s="9"/>
      <c r="D5263" t="str">
        <f>"tag-342"</f>
        <v>tag-342</v>
      </c>
      <c r="F5263" t="s">
        <v>11</v>
      </c>
      <c r="G5263" t="s">
        <v>4154</v>
      </c>
      <c r="H5263" s="12">
        <v>-1.34627372877551</v>
      </c>
      <c r="I5263" s="20">
        <v>-1.2215442838566399</v>
      </c>
      <c r="J5263" s="28">
        <v>0.22188000937390601</v>
      </c>
      <c r="K5263" s="29">
        <v>0.97458737510585802</v>
      </c>
    </row>
    <row r="5264" spans="1:11" x14ac:dyDescent="0.35">
      <c r="A5264" s="9" t="str">
        <f>HYPERLINK("http://www.ensembl.org/id/WBGene00019203", "WBGene00019203")</f>
        <v>WBGene00019203</v>
      </c>
      <c r="B5264" s="9" t="str">
        <f>HYPERLINK("http://www.ncbi.nlm.nih.gov/gene/179270", "179270")</f>
        <v>179270</v>
      </c>
      <c r="C5264" s="9"/>
      <c r="D5264" t="str">
        <f>"ttr-47"</f>
        <v>ttr-47</v>
      </c>
      <c r="E5264" t="s">
        <v>16</v>
      </c>
      <c r="F5264" t="s">
        <v>11</v>
      </c>
      <c r="G5264" t="s">
        <v>17</v>
      </c>
      <c r="H5264" s="12">
        <v>-1.2650988149676801</v>
      </c>
      <c r="I5264" s="20">
        <v>-1.22125023081156</v>
      </c>
      <c r="J5264" s="28">
        <v>0.22199129089265299</v>
      </c>
      <c r="K5264" s="29">
        <v>0.97458737510585802</v>
      </c>
    </row>
    <row r="5265" spans="1:11" x14ac:dyDescent="0.35">
      <c r="A5265" s="9" t="str">
        <f>HYPERLINK("http://www.ensembl.org/id/WBGene00021123", "WBGene00021123")</f>
        <v>WBGene00021123</v>
      </c>
      <c r="B5265" s="9" t="str">
        <f>HYPERLINK("http://www.ncbi.nlm.nih.gov/gene/176940", "176940")</f>
        <v>176940</v>
      </c>
      <c r="C5265" s="9"/>
      <c r="D5265" t="str">
        <f>"W09G12.9"</f>
        <v>W09G12.9</v>
      </c>
      <c r="F5265" t="s">
        <v>11</v>
      </c>
      <c r="G5265" t="s">
        <v>25</v>
      </c>
      <c r="H5265" s="12">
        <v>-1.45721553448435</v>
      </c>
      <c r="I5265" s="20">
        <v>-1.2215105710548599</v>
      </c>
      <c r="J5265" s="28">
        <v>0.22189276562788299</v>
      </c>
      <c r="K5265" s="29">
        <v>0.97458737510585802</v>
      </c>
    </row>
    <row r="5266" spans="1:11" x14ac:dyDescent="0.35">
      <c r="A5266" s="9" t="str">
        <f>HYPERLINK("http://www.ensembl.org/id/WBGene00021956", "WBGene00021956")</f>
        <v>WBGene00021956</v>
      </c>
      <c r="B5266" s="9" t="str">
        <f>HYPERLINK("http://www.ncbi.nlm.nih.gov/gene/179093", "179093")</f>
        <v>179093</v>
      </c>
      <c r="C5266" s="9" t="str">
        <f>HYPERLINK("http://www.ncbi.nlm.nih.gov/gene/57515", "57515")</f>
        <v>57515</v>
      </c>
      <c r="D5266" t="str">
        <f>"Y57E12AL.1"</f>
        <v>Y57E12AL.1</v>
      </c>
      <c r="F5266" t="s">
        <v>11</v>
      </c>
      <c r="G5266" t="s">
        <v>25</v>
      </c>
      <c r="H5266" s="12">
        <v>-1.2477778995187501</v>
      </c>
      <c r="I5266" s="20">
        <v>-1.2210362406064099</v>
      </c>
      <c r="J5266" s="28">
        <v>0.22207229853424801</v>
      </c>
      <c r="K5266" s="29">
        <v>0.97458737510585802</v>
      </c>
    </row>
    <row r="5267" spans="1:11" x14ac:dyDescent="0.35">
      <c r="A5267" s="9" t="str">
        <f>HYPERLINK("http://www.ensembl.org/id/WBGene00013388", "WBGene00013388")</f>
        <v>WBGene00013388</v>
      </c>
      <c r="B5267" s="9" t="str">
        <f>HYPERLINK("http://www.ncbi.nlm.nih.gov/gene/3564988", "3564988")</f>
        <v>3564988</v>
      </c>
      <c r="C5267" s="9"/>
      <c r="D5267" t="str">
        <f>"Y62F5A.10"</f>
        <v>Y62F5A.10</v>
      </c>
      <c r="F5267" t="s">
        <v>11</v>
      </c>
      <c r="G5267" t="s">
        <v>1020</v>
      </c>
      <c r="H5267" s="12">
        <v>1.7109800092483201</v>
      </c>
      <c r="I5267" s="20">
        <v>1.2210457015860201</v>
      </c>
      <c r="J5267" s="28">
        <v>0.222068716560225</v>
      </c>
      <c r="K5267" s="29">
        <v>0.97458737510585802</v>
      </c>
    </row>
    <row r="5268" spans="1:11" x14ac:dyDescent="0.35">
      <c r="A5268" s="9" t="str">
        <f>HYPERLINK("http://www.ensembl.org/id/WBGene00003258", "WBGene00003258")</f>
        <v>WBGene00003258</v>
      </c>
      <c r="B5268" s="9" t="str">
        <f>HYPERLINK("http://www.ncbi.nlm.nih.gov/gene/3565555", "3565555")</f>
        <v>3565555</v>
      </c>
      <c r="C5268" s="9"/>
      <c r="D5268" t="str">
        <f>"cogc-1"</f>
        <v>cogc-1</v>
      </c>
      <c r="E5268" t="s">
        <v>4155</v>
      </c>
      <c r="F5268" t="s">
        <v>11</v>
      </c>
      <c r="G5268" t="s">
        <v>4156</v>
      </c>
      <c r="H5268" s="12">
        <v>-1.2701788325873999</v>
      </c>
      <c r="I5268" s="20">
        <v>-1.22058956674769</v>
      </c>
      <c r="J5268" s="28">
        <v>0.222241458580208</v>
      </c>
      <c r="K5268" s="29">
        <v>0.97508464030140296</v>
      </c>
    </row>
    <row r="5269" spans="1:11" x14ac:dyDescent="0.35">
      <c r="A5269" s="9" t="str">
        <f>HYPERLINK("http://www.ensembl.org/id/WBGene00021701", "WBGene00021701")</f>
        <v>WBGene00021701</v>
      </c>
      <c r="B5269" s="9" t="str">
        <f>HYPERLINK("http://www.ncbi.nlm.nih.gov/gene/190054", "190054")</f>
        <v>190054</v>
      </c>
      <c r="C5269" s="9"/>
      <c r="D5269" t="str">
        <f>"Y48G9A.7"</f>
        <v>Y48G9A.7</v>
      </c>
      <c r="F5269" t="s">
        <v>11</v>
      </c>
      <c r="H5269" s="12">
        <v>-4.7155482756315097</v>
      </c>
      <c r="I5269" s="20">
        <v>-1.22051420538001</v>
      </c>
      <c r="J5269" s="28">
        <v>0.222270007810417</v>
      </c>
      <c r="K5269" s="29">
        <v>0.97508464030140296</v>
      </c>
    </row>
    <row r="5270" spans="1:11" x14ac:dyDescent="0.35">
      <c r="A5270" s="9" t="str">
        <f>HYPERLINK("http://www.ensembl.org/id/WBGene00020911", "WBGene00020911")</f>
        <v>WBGene00020911</v>
      </c>
      <c r="B5270" s="9" t="str">
        <f>HYPERLINK("http://www.ncbi.nlm.nih.gov/gene/179035", "179035")</f>
        <v>179035</v>
      </c>
      <c r="C5270" s="9"/>
      <c r="D5270" t="str">
        <f>"cpt-6"</f>
        <v>cpt-6</v>
      </c>
      <c r="E5270" t="s">
        <v>2671</v>
      </c>
      <c r="F5270" t="s">
        <v>11</v>
      </c>
      <c r="G5270" t="s">
        <v>2672</v>
      </c>
      <c r="H5270" s="12">
        <v>1.3264127225454001</v>
      </c>
      <c r="I5270" s="20">
        <v>1.2200355639618501</v>
      </c>
      <c r="J5270" s="28">
        <v>0.22245139337685599</v>
      </c>
      <c r="K5270" s="29">
        <v>0.97569512060851005</v>
      </c>
    </row>
    <row r="5271" spans="1:11" x14ac:dyDescent="0.35">
      <c r="A5271" s="9" t="str">
        <f>HYPERLINK("http://www.ensembl.org/id/WBGene00015554", "WBGene00015554")</f>
        <v>WBGene00015554</v>
      </c>
      <c r="B5271" s="9" t="str">
        <f>HYPERLINK("http://www.ncbi.nlm.nih.gov/gene/177470", "177470")</f>
        <v>177470</v>
      </c>
      <c r="C5271" s="9"/>
      <c r="D5271" t="str">
        <f>"C06G3.8"</f>
        <v>C06G3.8</v>
      </c>
      <c r="F5271" t="s">
        <v>11</v>
      </c>
      <c r="G5271" t="s">
        <v>4159</v>
      </c>
      <c r="H5271" s="12">
        <v>-1.3342424792858001</v>
      </c>
      <c r="I5271" s="20">
        <v>-1.21865355164293</v>
      </c>
      <c r="J5271" s="28">
        <v>0.222975714343675</v>
      </c>
      <c r="K5271" s="29">
        <v>0.97600840195451199</v>
      </c>
    </row>
    <row r="5272" spans="1:11" x14ac:dyDescent="0.35">
      <c r="A5272" s="9" t="str">
        <f>HYPERLINK("http://www.ensembl.org/id/WBGene00015626", "WBGene00015626")</f>
        <v>WBGene00015626</v>
      </c>
      <c r="B5272" s="9" t="str">
        <f>HYPERLINK("http://www.ncbi.nlm.nih.gov/gene/182441", "182441")</f>
        <v>182441</v>
      </c>
      <c r="C5272" s="9"/>
      <c r="D5272" t="str">
        <f>"C09B9.1"</f>
        <v>C09B9.1</v>
      </c>
      <c r="F5272" t="s">
        <v>11</v>
      </c>
      <c r="G5272" t="s">
        <v>25</v>
      </c>
      <c r="H5272" s="12">
        <v>1.7673843905106901</v>
      </c>
      <c r="I5272" s="20">
        <v>1.21895342393383</v>
      </c>
      <c r="J5272" s="28">
        <v>0.222861870881577</v>
      </c>
      <c r="K5272" s="29">
        <v>0.97600840195451199</v>
      </c>
    </row>
    <row r="5273" spans="1:11" x14ac:dyDescent="0.35">
      <c r="A5273" s="9" t="str">
        <f>HYPERLINK("http://www.ensembl.org/id/WBGene00015861", "WBGene00015861")</f>
        <v>WBGene00015861</v>
      </c>
      <c r="B5273" s="9" t="str">
        <f>HYPERLINK("http://www.ncbi.nlm.nih.gov/gene/182687", "182687")</f>
        <v>182687</v>
      </c>
      <c r="C5273" s="9"/>
      <c r="D5273" t="str">
        <f>"C16D9.6"</f>
        <v>C16D9.6</v>
      </c>
      <c r="E5273" t="s">
        <v>3820</v>
      </c>
      <c r="F5273" t="s">
        <v>11</v>
      </c>
      <c r="G5273" t="s">
        <v>3821</v>
      </c>
      <c r="H5273" s="12">
        <v>1.45188664310045</v>
      </c>
      <c r="I5273" s="20">
        <v>1.2186183010995899</v>
      </c>
      <c r="J5273" s="28">
        <v>0.222989099586653</v>
      </c>
      <c r="K5273" s="29">
        <v>0.97600840195451199</v>
      </c>
    </row>
    <row r="5274" spans="1:11" x14ac:dyDescent="0.35">
      <c r="A5274" s="9" t="str">
        <f>HYPERLINK("http://www.ensembl.org/id/WBGene00016893", "WBGene00016893")</f>
        <v>WBGene00016893</v>
      </c>
      <c r="B5274" s="9" t="str">
        <f>HYPERLINK("http://www.ncbi.nlm.nih.gov/gene/183744", "183744")</f>
        <v>183744</v>
      </c>
      <c r="C5274" s="9"/>
      <c r="D5274" t="str">
        <f>"C53B7.2"</f>
        <v>C53B7.2</v>
      </c>
      <c r="F5274" t="s">
        <v>11</v>
      </c>
      <c r="G5274" t="s">
        <v>101</v>
      </c>
      <c r="H5274" s="12">
        <v>-1.3293177196162</v>
      </c>
      <c r="I5274" s="20">
        <v>-1.2185113746327101</v>
      </c>
      <c r="J5274" s="28">
        <v>0.22302970493896901</v>
      </c>
      <c r="K5274" s="29">
        <v>0.97600840195451199</v>
      </c>
    </row>
    <row r="5275" spans="1:11" x14ac:dyDescent="0.35">
      <c r="A5275" s="9" t="str">
        <f>HYPERLINK("http://www.ensembl.org/id/WBGene00017127", "WBGene00017127")</f>
        <v>WBGene00017127</v>
      </c>
      <c r="B5275" s="9" t="str">
        <f>HYPERLINK("http://www.ncbi.nlm.nih.gov/gene/174184", "174184")</f>
        <v>174184</v>
      </c>
      <c r="C5275" s="9"/>
      <c r="D5275" t="str">
        <f>"E04F6.8"</f>
        <v>E04F6.8</v>
      </c>
      <c r="F5275" t="s">
        <v>11</v>
      </c>
      <c r="H5275" s="12">
        <v>-1.2647489554032501</v>
      </c>
      <c r="I5275" s="20">
        <v>-1.2186364589060299</v>
      </c>
      <c r="J5275" s="28">
        <v>0.22298220468066199</v>
      </c>
      <c r="K5275" s="29">
        <v>0.97600840195451199</v>
      </c>
    </row>
    <row r="5276" spans="1:11" x14ac:dyDescent="0.35">
      <c r="A5276" s="9" t="str">
        <f>HYPERLINK("http://www.ensembl.org/id/WBGene00017590", "WBGene00017590")</f>
        <v>WBGene00017590</v>
      </c>
      <c r="B5276" s="9" t="str">
        <f>HYPERLINK("http://www.ncbi.nlm.nih.gov/gene/184674", "184674")</f>
        <v>184674</v>
      </c>
      <c r="C5276" s="9"/>
      <c r="D5276" t="str">
        <f>"F19B10.11"</f>
        <v>F19B10.11</v>
      </c>
      <c r="F5276" t="s">
        <v>11</v>
      </c>
      <c r="H5276" s="12">
        <v>8.3514992828017593</v>
      </c>
      <c r="I5276" s="20">
        <v>1.2190606244176401</v>
      </c>
      <c r="J5276" s="28">
        <v>0.22282118340489601</v>
      </c>
      <c r="K5276" s="29">
        <v>0.97600840195451199</v>
      </c>
    </row>
    <row r="5277" spans="1:11" x14ac:dyDescent="0.35">
      <c r="A5277" s="9" t="str">
        <f>HYPERLINK("http://www.ensembl.org/id/WBGene00022789", "WBGene00022789")</f>
        <v>WBGene00022789</v>
      </c>
      <c r="B5277" s="9" t="str">
        <f>HYPERLINK("http://www.ncbi.nlm.nih.gov/gene/179309", "179309")</f>
        <v>179309</v>
      </c>
      <c r="C5277" s="9" t="str">
        <f>HYPERLINK("http://www.ncbi.nlm.nih.gov/gene/131578", "131578")</f>
        <v>131578</v>
      </c>
      <c r="D5277" t="str">
        <f>"lron-2"</f>
        <v>lron-2</v>
      </c>
      <c r="E5277" t="s">
        <v>814</v>
      </c>
      <c r="F5277" t="s">
        <v>11</v>
      </c>
      <c r="G5277" t="s">
        <v>417</v>
      </c>
      <c r="H5277" s="12">
        <v>1.5786170862978699</v>
      </c>
      <c r="I5277" s="20">
        <v>1.2186399060416999</v>
      </c>
      <c r="J5277" s="28">
        <v>0.222980895747032</v>
      </c>
      <c r="K5277" s="29">
        <v>0.97600840195451199</v>
      </c>
    </row>
    <row r="5278" spans="1:11" x14ac:dyDescent="0.35">
      <c r="A5278" s="9" t="str">
        <f>HYPERLINK("http://www.ensembl.org/id/WBGene00003792", "WBGene00003792")</f>
        <v>WBGene00003792</v>
      </c>
      <c r="B5278" s="9" t="str">
        <f>HYPERLINK("http://www.ncbi.nlm.nih.gov/gene/172156", "172156")</f>
        <v>172156</v>
      </c>
      <c r="C5278" s="9"/>
      <c r="D5278" t="str">
        <f>"npp-6"</f>
        <v>npp-6</v>
      </c>
      <c r="E5278" t="s">
        <v>375</v>
      </c>
      <c r="F5278" t="s">
        <v>11</v>
      </c>
      <c r="G5278" t="s">
        <v>4157</v>
      </c>
      <c r="H5278" s="12">
        <v>-1.2752548278566</v>
      </c>
      <c r="I5278" s="20">
        <v>-1.21862600947841</v>
      </c>
      <c r="J5278" s="28">
        <v>0.22298617253233799</v>
      </c>
      <c r="K5278" s="29">
        <v>0.97600840195451199</v>
      </c>
    </row>
    <row r="5279" spans="1:11" x14ac:dyDescent="0.35">
      <c r="A5279" s="9" t="str">
        <f>HYPERLINK("http://www.ensembl.org/id/WBGene00012770", "WBGene00012770")</f>
        <v>WBGene00012770</v>
      </c>
      <c r="B5279" s="9" t="str">
        <f>HYPERLINK("http://www.ncbi.nlm.nih.gov/gene/189832", "189832")</f>
        <v>189832</v>
      </c>
      <c r="C5279" s="9"/>
      <c r="D5279" t="str">
        <f>"srt-47"</f>
        <v>srt-47</v>
      </c>
      <c r="E5279" t="s">
        <v>2845</v>
      </c>
      <c r="F5279" t="s">
        <v>11</v>
      </c>
      <c r="G5279" t="s">
        <v>25</v>
      </c>
      <c r="H5279" s="12">
        <v>9.7480629468302293</v>
      </c>
      <c r="I5279" s="20">
        <v>1.2195471720333499</v>
      </c>
      <c r="J5279" s="28">
        <v>0.22263658320131499</v>
      </c>
      <c r="K5279" s="29">
        <v>0.97600840195451199</v>
      </c>
    </row>
    <row r="5280" spans="1:11" x14ac:dyDescent="0.35">
      <c r="A5280" s="9" t="str">
        <f>HYPERLINK("http://www.ensembl.org/id/WBGene00005757", "WBGene00005757")</f>
        <v>WBGene00005757</v>
      </c>
      <c r="B5280" s="9" t="str">
        <f>HYPERLINK("http://www.ncbi.nlm.nih.gov/gene/191187", "191187")</f>
        <v>191187</v>
      </c>
      <c r="C5280" s="9"/>
      <c r="D5280" t="str">
        <f>"srw-10"</f>
        <v>srw-10</v>
      </c>
      <c r="E5280" t="s">
        <v>1014</v>
      </c>
      <c r="F5280" t="s">
        <v>11</v>
      </c>
      <c r="G5280" t="s">
        <v>1015</v>
      </c>
      <c r="H5280" s="12">
        <v>9.7480629468302293</v>
      </c>
      <c r="I5280" s="20">
        <v>1.2195471720333499</v>
      </c>
      <c r="J5280" s="28">
        <v>0.22263658320131499</v>
      </c>
      <c r="K5280" s="29">
        <v>0.97600840195451199</v>
      </c>
    </row>
    <row r="5281" spans="1:11" x14ac:dyDescent="0.35">
      <c r="A5281" s="9" t="str">
        <f>HYPERLINK("http://www.ensembl.org/id/WBGene00012547", "WBGene00012547")</f>
        <v>WBGene00012547</v>
      </c>
      <c r="B5281" s="9" t="str">
        <f>HYPERLINK("http://www.ncbi.nlm.nih.gov/gene/189613", "189613")</f>
        <v>189613</v>
      </c>
      <c r="C5281" s="9"/>
      <c r="D5281" t="str">
        <f>"Y37D8A.5"</f>
        <v>Y37D8A.5</v>
      </c>
      <c r="F5281" t="s">
        <v>11</v>
      </c>
      <c r="G5281" t="s">
        <v>25</v>
      </c>
      <c r="H5281" s="12">
        <v>-1.5735452971669199</v>
      </c>
      <c r="I5281" s="20">
        <v>-1.21902250427641</v>
      </c>
      <c r="J5281" s="28">
        <v>0.22283565112927001</v>
      </c>
      <c r="K5281" s="29">
        <v>0.97600840195451199</v>
      </c>
    </row>
    <row r="5282" spans="1:11" x14ac:dyDescent="0.35">
      <c r="A5282" s="9" t="str">
        <f>HYPERLINK("http://www.ensembl.org/id/WBGene00014176", "WBGene00014176")</f>
        <v>WBGene00014176</v>
      </c>
      <c r="B5282" s="9" t="str">
        <f>HYPERLINK("http://www.ncbi.nlm.nih.gov/gene/176717", "176717")</f>
        <v>176717</v>
      </c>
      <c r="C5282" s="9" t="str">
        <f>HYPERLINK("http://www.ncbi.nlm.nih.gov/gene/55005", "55005")</f>
        <v>55005</v>
      </c>
      <c r="D5282" t="str">
        <f>"ZK1010.2"</f>
        <v>ZK1010.2</v>
      </c>
      <c r="F5282" t="s">
        <v>11</v>
      </c>
      <c r="G5282" t="s">
        <v>4158</v>
      </c>
      <c r="H5282" s="12">
        <v>-1.3236181409612999</v>
      </c>
      <c r="I5282" s="20">
        <v>-1.2191053630984801</v>
      </c>
      <c r="J5282" s="28">
        <v>0.22280420460594499</v>
      </c>
      <c r="K5282" s="29">
        <v>0.97600840195451199</v>
      </c>
    </row>
    <row r="5283" spans="1:11" x14ac:dyDescent="0.35">
      <c r="A5283" s="9" t="str">
        <f>HYPERLINK("http://www.ensembl.org/id/WBGene00009326", "WBGene00009326")</f>
        <v>WBGene00009326</v>
      </c>
      <c r="B5283" s="9" t="str">
        <f>HYPERLINK("http://www.ncbi.nlm.nih.gov/gene/185203", "185203")</f>
        <v>185203</v>
      </c>
      <c r="C5283" s="9" t="str">
        <f>HYPERLINK("http://www.ncbi.nlm.nih.gov/gene/85443", "85443")</f>
        <v>85443</v>
      </c>
      <c r="D5283" t="str">
        <f>"F32D8.1"</f>
        <v>F32D8.1</v>
      </c>
      <c r="F5283" t="s">
        <v>11</v>
      </c>
      <c r="G5283" t="s">
        <v>1808</v>
      </c>
      <c r="H5283" s="12">
        <v>1.9333415081405501</v>
      </c>
      <c r="I5283" s="20">
        <v>1.2183578053172699</v>
      </c>
      <c r="J5283" s="28">
        <v>0.22308803218081399</v>
      </c>
      <c r="K5283" s="29">
        <v>0.97607878651200497</v>
      </c>
    </row>
    <row r="5284" spans="1:11" x14ac:dyDescent="0.35">
      <c r="A5284" s="9" t="str">
        <f>HYPERLINK("http://www.ensembl.org/id/WBGene00010542", "WBGene00010542")</f>
        <v>WBGene00010542</v>
      </c>
      <c r="B5284" s="9" t="str">
        <f>HYPERLINK("http://www.ncbi.nlm.nih.gov/gene/176408", "176408")</f>
        <v>176408</v>
      </c>
      <c r="C5284" s="9"/>
      <c r="D5284" t="str">
        <f>"K03H1.7"</f>
        <v>K03H1.7</v>
      </c>
      <c r="F5284" t="s">
        <v>11</v>
      </c>
      <c r="H5284" s="12">
        <v>-1.36431319492704</v>
      </c>
      <c r="I5284" s="20">
        <v>-1.2179460832065201</v>
      </c>
      <c r="J5284" s="28">
        <v>0.223244462427794</v>
      </c>
      <c r="K5284" s="29">
        <v>0.976208657997089</v>
      </c>
    </row>
    <row r="5285" spans="1:11" x14ac:dyDescent="0.35">
      <c r="A5285" s="9" t="str">
        <f>HYPERLINK("http://www.ensembl.org/id/WBGene00003130", "WBGene00003130")</f>
        <v>WBGene00003130</v>
      </c>
      <c r="B5285" s="9" t="str">
        <f>HYPERLINK("http://www.ncbi.nlm.nih.gov/gene/178468", "178468")</f>
        <v>178468</v>
      </c>
      <c r="C5285" s="9"/>
      <c r="D5285" t="str">
        <f>"map-2"</f>
        <v>map-2</v>
      </c>
      <c r="E5285" t="s">
        <v>4160</v>
      </c>
      <c r="F5285" t="s">
        <v>11</v>
      </c>
      <c r="G5285" t="s">
        <v>4161</v>
      </c>
      <c r="H5285" s="12">
        <v>-1.25692866010035</v>
      </c>
      <c r="I5285" s="20">
        <v>-1.2180306557930001</v>
      </c>
      <c r="J5285" s="28">
        <v>0.22321232340386099</v>
      </c>
      <c r="K5285" s="29">
        <v>0.976208657997089</v>
      </c>
    </row>
    <row r="5286" spans="1:11" x14ac:dyDescent="0.35">
      <c r="A5286" s="9" t="str">
        <f>HYPERLINK("http://www.ensembl.org/id/WBGene00004224", "WBGene00004224")</f>
        <v>WBGene00004224</v>
      </c>
      <c r="B5286" s="9" t="str">
        <f>HYPERLINK("http://www.ncbi.nlm.nih.gov/gene/172229", "172229")</f>
        <v>172229</v>
      </c>
      <c r="C5286" s="9"/>
      <c r="D5286" t="str">
        <f>"ptr-10"</f>
        <v>ptr-10</v>
      </c>
      <c r="E5286" t="s">
        <v>134</v>
      </c>
      <c r="F5286" t="s">
        <v>11</v>
      </c>
      <c r="G5286" t="s">
        <v>404</v>
      </c>
      <c r="H5286" s="12">
        <v>1.6701171293736501</v>
      </c>
      <c r="I5286" s="20">
        <v>1.21810122887881</v>
      </c>
      <c r="J5286" s="28">
        <v>0.22318550696262299</v>
      </c>
      <c r="K5286" s="29">
        <v>0.976208657997089</v>
      </c>
    </row>
    <row r="5287" spans="1:11" x14ac:dyDescent="0.35">
      <c r="A5287" s="9" t="str">
        <f>HYPERLINK("http://www.ensembl.org/id/WBGene00008019", "WBGene00008019")</f>
        <v>WBGene00008019</v>
      </c>
      <c r="B5287" s="9" t="str">
        <f>HYPERLINK("http://www.ncbi.nlm.nih.gov/gene/176455", "176455")</f>
        <v>176455</v>
      </c>
      <c r="C5287" s="9" t="str">
        <f>HYPERLINK("http://www.ncbi.nlm.nih.gov/gene/56913", "56913")</f>
        <v>56913</v>
      </c>
      <c r="D5287" t="str">
        <f>"C38H2.2"</f>
        <v>C38H2.2</v>
      </c>
      <c r="E5287" t="s">
        <v>3820</v>
      </c>
      <c r="F5287" t="s">
        <v>11</v>
      </c>
      <c r="G5287" t="s">
        <v>4162</v>
      </c>
      <c r="H5287" s="12">
        <v>-1.2674477654774501</v>
      </c>
      <c r="I5287" s="20">
        <v>-1.2178136881230099</v>
      </c>
      <c r="J5287" s="28">
        <v>0.22329478146349899</v>
      </c>
      <c r="K5287" s="29">
        <v>0.97624393954505395</v>
      </c>
    </row>
    <row r="5288" spans="1:11" x14ac:dyDescent="0.35">
      <c r="A5288" s="9" t="str">
        <f>HYPERLINK("http://www.ensembl.org/id/WBGene00006047", "WBGene00006047")</f>
        <v>WBGene00006047</v>
      </c>
      <c r="B5288" s="9" t="str">
        <f>HYPERLINK("http://www.ncbi.nlm.nih.gov/gene/171813", "171813")</f>
        <v>171813</v>
      </c>
      <c r="C5288" s="9"/>
      <c r="D5288" t="str">
        <f>"ssp-19"</f>
        <v>ssp-19</v>
      </c>
      <c r="E5288" t="s">
        <v>4163</v>
      </c>
      <c r="F5288" t="s">
        <v>11</v>
      </c>
      <c r="G5288" t="s">
        <v>4164</v>
      </c>
      <c r="H5288" s="12">
        <v>3.3979872334808698</v>
      </c>
      <c r="I5288" s="20">
        <v>1.2176359689312799</v>
      </c>
      <c r="J5288" s="28">
        <v>0.22336233946423301</v>
      </c>
      <c r="K5288" s="29">
        <v>0.97635456217566396</v>
      </c>
    </row>
    <row r="5289" spans="1:11" x14ac:dyDescent="0.35">
      <c r="A5289" s="9" t="str">
        <f>HYPERLINK("http://www.ensembl.org/id/WBGene00007959", "WBGene00007959")</f>
        <v>WBGene00007959</v>
      </c>
      <c r="B5289" s="9" t="str">
        <f>HYPERLINK("http://www.ncbi.nlm.nih.gov/gene/3564990", "3564990")</f>
        <v>3564990</v>
      </c>
      <c r="C5289" s="9" t="str">
        <f>HYPERLINK("http://www.ncbi.nlm.nih.gov/gene/84187", "84187")</f>
        <v>84187</v>
      </c>
      <c r="D5289" t="str">
        <f>"C35C5.10"</f>
        <v>C35C5.10</v>
      </c>
      <c r="F5289" t="s">
        <v>11</v>
      </c>
      <c r="G5289" t="s">
        <v>25</v>
      </c>
      <c r="H5289" s="12">
        <v>1.26976807785336</v>
      </c>
      <c r="I5289" s="20">
        <v>1.2174073516824699</v>
      </c>
      <c r="J5289" s="28">
        <v>0.22344926730468301</v>
      </c>
      <c r="K5289" s="29">
        <v>0.97654979579004997</v>
      </c>
    </row>
    <row r="5290" spans="1:11" x14ac:dyDescent="0.35">
      <c r="A5290" s="9" t="str">
        <f>HYPERLINK("http://www.ensembl.org/id/WBGene00009476", "WBGene00009476")</f>
        <v>WBGene00009476</v>
      </c>
      <c r="B5290" s="9" t="str">
        <f>HYPERLINK("http://www.ncbi.nlm.nih.gov/gene/172721", "172721")</f>
        <v>172721</v>
      </c>
      <c r="C5290" s="9"/>
      <c r="D5290" t="str">
        <f>"F36F2.2"</f>
        <v>F36F2.2</v>
      </c>
      <c r="F5290" t="s">
        <v>11</v>
      </c>
      <c r="H5290" s="12">
        <v>1.24851907210659</v>
      </c>
      <c r="I5290" s="20">
        <v>1.2172560427883301</v>
      </c>
      <c r="J5290" s="28">
        <v>0.223506813258253</v>
      </c>
      <c r="K5290" s="29">
        <v>0.97661657094273802</v>
      </c>
    </row>
    <row r="5291" spans="1:11" x14ac:dyDescent="0.35">
      <c r="A5291" s="9" t="str">
        <f>HYPERLINK("http://www.ensembl.org/id/WBGene00002039", "WBGene00002039")</f>
        <v>WBGene00002039</v>
      </c>
      <c r="B5291" s="9" t="str">
        <f>HYPERLINK("http://www.ncbi.nlm.nih.gov/gene/180539", "180539")</f>
        <v>180539</v>
      </c>
      <c r="C5291" s="9" t="str">
        <f>HYPERLINK("http://www.ncbi.nlm.nih.gov/gene/4648", "4648")</f>
        <v>4648</v>
      </c>
      <c r="D5291" t="str">
        <f>"hum-6"</f>
        <v>hum-6</v>
      </c>
      <c r="E5291" t="s">
        <v>4165</v>
      </c>
      <c r="F5291" t="s">
        <v>11</v>
      </c>
      <c r="G5291" t="s">
        <v>4166</v>
      </c>
      <c r="H5291" s="12">
        <v>1.3050017245386301</v>
      </c>
      <c r="I5291" s="20">
        <v>1.21710055966129</v>
      </c>
      <c r="J5291" s="28">
        <v>0.22356595780291699</v>
      </c>
      <c r="K5291" s="29">
        <v>0.97669030459334405</v>
      </c>
    </row>
    <row r="5292" spans="1:11" x14ac:dyDescent="0.35">
      <c r="A5292" s="9" t="str">
        <f>HYPERLINK("http://www.ensembl.org/id/WBGene00000561", "WBGene00000561")</f>
        <v>WBGene00000561</v>
      </c>
      <c r="B5292" s="9" t="str">
        <f>HYPERLINK("http://www.ncbi.nlm.nih.gov/gene/183212", "183212")</f>
        <v>183212</v>
      </c>
      <c r="C5292" s="9" t="str">
        <f>HYPERLINK("http://www.ncbi.nlm.nih.gov/gene/63974", "63974")</f>
        <v>63974</v>
      </c>
      <c r="D5292" t="str">
        <f>"cnd-1"</f>
        <v>cnd-1</v>
      </c>
      <c r="E5292" t="s">
        <v>4167</v>
      </c>
      <c r="F5292" t="s">
        <v>11</v>
      </c>
      <c r="G5292" t="s">
        <v>1659</v>
      </c>
      <c r="H5292" s="12">
        <v>1.58855292356421</v>
      </c>
      <c r="I5292" s="20">
        <v>1.2166649770712801</v>
      </c>
      <c r="J5292" s="28">
        <v>0.22373170956129201</v>
      </c>
      <c r="K5292" s="29">
        <v>0.97722965616695701</v>
      </c>
    </row>
    <row r="5293" spans="1:11" x14ac:dyDescent="0.35">
      <c r="A5293" s="9" t="str">
        <f>HYPERLINK("http://www.ensembl.org/id/WBGene00016655", "WBGene00016655")</f>
        <v>WBGene00016655</v>
      </c>
      <c r="B5293" s="9" t="str">
        <f>HYPERLINK("http://www.ncbi.nlm.nih.gov/gene/172071", "172071")</f>
        <v>172071</v>
      </c>
      <c r="C5293" s="9" t="str">
        <f>HYPERLINK("http://www.ncbi.nlm.nih.gov/gene/1622", "1622")</f>
        <v>1622</v>
      </c>
      <c r="D5293" t="str">
        <f>"acbp-1"</f>
        <v>acbp-1</v>
      </c>
      <c r="E5293" t="s">
        <v>4168</v>
      </c>
      <c r="F5293" t="s">
        <v>11</v>
      </c>
      <c r="G5293" t="s">
        <v>4169</v>
      </c>
      <c r="H5293" s="12">
        <v>-1.27056883177712</v>
      </c>
      <c r="I5293" s="20">
        <v>-1.2161291952123401</v>
      </c>
      <c r="J5293" s="28">
        <v>0.22393571054504399</v>
      </c>
      <c r="K5293" s="29">
        <v>0.97775104456798501</v>
      </c>
    </row>
    <row r="5294" spans="1:11" x14ac:dyDescent="0.35">
      <c r="A5294" s="9" t="str">
        <f>HYPERLINK("http://www.ensembl.org/id/WBGene00013822", "WBGene00013822")</f>
        <v>WBGene00013822</v>
      </c>
      <c r="B5294" s="9" t="str">
        <f>HYPERLINK("http://www.ncbi.nlm.nih.gov/gene/191018", "191018")</f>
        <v>191018</v>
      </c>
      <c r="C5294" s="9"/>
      <c r="D5294" t="str">
        <f>"Y116F11B.6"</f>
        <v>Y116F11B.6</v>
      </c>
      <c r="F5294" t="s">
        <v>11</v>
      </c>
      <c r="H5294" s="12">
        <v>-1.5365342922024801</v>
      </c>
      <c r="I5294" s="20">
        <v>-1.21614130845929</v>
      </c>
      <c r="J5294" s="28">
        <v>0.22393109691112301</v>
      </c>
      <c r="K5294" s="29">
        <v>0.97775104456798501</v>
      </c>
    </row>
    <row r="5295" spans="1:11" x14ac:dyDescent="0.35">
      <c r="A5295" s="9" t="str">
        <f>HYPERLINK("http://www.ensembl.org/id/WBGene00000101", "WBGene00000101")</f>
        <v>WBGene00000101</v>
      </c>
      <c r="B5295" s="9" t="str">
        <f>HYPERLINK("http://www.ncbi.nlm.nih.gov/gene/174216", "174216")</f>
        <v>174216</v>
      </c>
      <c r="C5295" s="9"/>
      <c r="D5295" t="str">
        <f>"aka-1"</f>
        <v>aka-1</v>
      </c>
      <c r="E5295" t="s">
        <v>4170</v>
      </c>
      <c r="F5295" t="s">
        <v>11</v>
      </c>
      <c r="G5295" t="s">
        <v>4171</v>
      </c>
      <c r="H5295" s="12">
        <v>-1.24684850966494</v>
      </c>
      <c r="I5295" s="20">
        <v>-1.2159203946696999</v>
      </c>
      <c r="J5295" s="28">
        <v>0.22401524815190699</v>
      </c>
      <c r="K5295" s="29">
        <v>0.97791353179632601</v>
      </c>
    </row>
    <row r="5296" spans="1:11" x14ac:dyDescent="0.35">
      <c r="A5296" s="9" t="str">
        <f>HYPERLINK("http://www.ensembl.org/id/WBGene00009793", "WBGene00009793")</f>
        <v>WBGene00009793</v>
      </c>
      <c r="B5296" s="9" t="str">
        <f>HYPERLINK("http://www.ncbi.nlm.nih.gov/gene/181244", "181244")</f>
        <v>181244</v>
      </c>
      <c r="C5296" s="9" t="str">
        <f>HYPERLINK("http://www.ncbi.nlm.nih.gov/gene/5586", "5586")</f>
        <v>5586</v>
      </c>
      <c r="D5296" t="str">
        <f>"pkn-1"</f>
        <v>pkn-1</v>
      </c>
      <c r="E5296" t="s">
        <v>4174</v>
      </c>
      <c r="F5296" t="s">
        <v>11</v>
      </c>
      <c r="G5296" t="s">
        <v>4175</v>
      </c>
      <c r="H5296" s="12">
        <v>-1.24125742242356</v>
      </c>
      <c r="I5296" s="20">
        <v>-1.21521520436188</v>
      </c>
      <c r="J5296" s="28">
        <v>0.224284022944365</v>
      </c>
      <c r="K5296" s="29">
        <v>0.97876847654725896</v>
      </c>
    </row>
    <row r="5297" spans="1:11" x14ac:dyDescent="0.35">
      <c r="A5297" s="9" t="str">
        <f>HYPERLINK("http://www.ensembl.org/id/WBGene00004921", "WBGene00004921")</f>
        <v>WBGene00004921</v>
      </c>
      <c r="B5297" s="9" t="str">
        <f>HYPERLINK("http://www.ncbi.nlm.nih.gov/gene/174120", "174120")</f>
        <v>174120</v>
      </c>
      <c r="C5297" s="9" t="str">
        <f>HYPERLINK("http://www.ncbi.nlm.nih.gov/gene/6857", "6857")</f>
        <v>6857</v>
      </c>
      <c r="D5297" t="str">
        <f>"snt-1"</f>
        <v>snt-1</v>
      </c>
      <c r="E5297" t="s">
        <v>4172</v>
      </c>
      <c r="F5297" t="s">
        <v>11</v>
      </c>
      <c r="G5297" t="s">
        <v>4173</v>
      </c>
      <c r="H5297" s="12">
        <v>1.2755669474582001</v>
      </c>
      <c r="I5297" s="20">
        <v>1.21518154970276</v>
      </c>
      <c r="J5297" s="28">
        <v>0.224296855772739</v>
      </c>
      <c r="K5297" s="29">
        <v>0.97876847654725896</v>
      </c>
    </row>
    <row r="5298" spans="1:11" x14ac:dyDescent="0.35">
      <c r="A5298" s="9" t="str">
        <f>HYPERLINK("http://www.ensembl.org/id/WBGene00006309", "WBGene00006309")</f>
        <v>WBGene00006309</v>
      </c>
      <c r="B5298" s="9" t="str">
        <f>HYPERLINK("http://www.ncbi.nlm.nih.gov/gene/179194", "179194")</f>
        <v>179194</v>
      </c>
      <c r="C5298" s="9" t="str">
        <f>HYPERLINK("http://www.ncbi.nlm.nih.gov/gene/416", "416")</f>
        <v>416</v>
      </c>
      <c r="D5298" t="str">
        <f>"sul-2"</f>
        <v>sul-2</v>
      </c>
      <c r="E5298" t="s">
        <v>249</v>
      </c>
      <c r="F5298" t="s">
        <v>11</v>
      </c>
      <c r="G5298" t="s">
        <v>4176</v>
      </c>
      <c r="H5298" s="12">
        <v>-1.31019727390143</v>
      </c>
      <c r="I5298" s="20">
        <v>-1.2150731997956401</v>
      </c>
      <c r="J5298" s="28">
        <v>0.22433817414499599</v>
      </c>
      <c r="K5298" s="29">
        <v>0.97876847654725896</v>
      </c>
    </row>
    <row r="5299" spans="1:11" x14ac:dyDescent="0.35">
      <c r="A5299" s="9" t="str">
        <f>HYPERLINK("http://www.ensembl.org/id/WBGene00020949", "WBGene00020949")</f>
        <v>WBGene00020949</v>
      </c>
      <c r="B5299" s="9" t="str">
        <f>HYPERLINK("http://www.ncbi.nlm.nih.gov/gene/179062", "179062")</f>
        <v>179062</v>
      </c>
      <c r="C5299" s="9"/>
      <c r="D5299" t="str">
        <f>"W02F12.4"</f>
        <v>W02F12.4</v>
      </c>
      <c r="F5299" t="s">
        <v>11</v>
      </c>
      <c r="G5299" t="s">
        <v>4177</v>
      </c>
      <c r="H5299" s="12">
        <v>-1.3053921812524401</v>
      </c>
      <c r="I5299" s="20">
        <v>-1.21449099929385</v>
      </c>
      <c r="J5299" s="28">
        <v>0.22456028481531301</v>
      </c>
      <c r="K5299" s="29">
        <v>0.97955256578112304</v>
      </c>
    </row>
    <row r="5300" spans="1:11" x14ac:dyDescent="0.35">
      <c r="A5300" s="9" t="str">
        <f>HYPERLINK("http://www.ensembl.org/id/WBGene00016767", "WBGene00016767")</f>
        <v>WBGene00016767</v>
      </c>
      <c r="B5300" s="9" t="str">
        <f>HYPERLINK("http://www.ncbi.nlm.nih.gov/gene/183601", "183601")</f>
        <v>183601</v>
      </c>
      <c r="C5300" s="9"/>
      <c r="D5300" t="str">
        <f>"C49C8.3"</f>
        <v>C49C8.3</v>
      </c>
      <c r="F5300" t="s">
        <v>11</v>
      </c>
      <c r="H5300" s="12">
        <v>-1.62259005710116</v>
      </c>
      <c r="I5300" s="20">
        <v>-1.21429978429676</v>
      </c>
      <c r="J5300" s="28">
        <v>0.22463326799493399</v>
      </c>
      <c r="K5300" s="29">
        <v>0.97968597400734903</v>
      </c>
    </row>
    <row r="5301" spans="1:11" x14ac:dyDescent="0.35">
      <c r="A5301" s="9" t="str">
        <f>HYPERLINK("http://www.ensembl.org/id/WBGene00008296", "WBGene00008296")</f>
        <v>WBGene00008296</v>
      </c>
      <c r="B5301" s="9" t="str">
        <f>HYPERLINK("http://www.ncbi.nlm.nih.gov/gene/183779", "183779")</f>
        <v>183779</v>
      </c>
      <c r="C5301" s="9"/>
      <c r="D5301" t="str">
        <f>"cdr-2"</f>
        <v>cdr-2</v>
      </c>
      <c r="E5301" t="s">
        <v>4178</v>
      </c>
      <c r="F5301" t="s">
        <v>11</v>
      </c>
      <c r="G5301" t="s">
        <v>4179</v>
      </c>
      <c r="H5301" s="12">
        <v>-1.35038161725175</v>
      </c>
      <c r="I5301" s="20">
        <v>-1.21415514398941</v>
      </c>
      <c r="J5301" s="28">
        <v>0.22468848574727701</v>
      </c>
      <c r="K5301" s="29">
        <v>0.97974186670627905</v>
      </c>
    </row>
    <row r="5302" spans="1:11" x14ac:dyDescent="0.35">
      <c r="A5302" s="9" t="str">
        <f>HYPERLINK("http://www.ensembl.org/id/WBGene00284856", "WBGene00284856")</f>
        <v>WBGene00284856</v>
      </c>
      <c r="B5302" s="9"/>
      <c r="C5302" s="9"/>
      <c r="D5302" t="str">
        <f>"C09G1.7"</f>
        <v>C09G1.7</v>
      </c>
      <c r="F5302" t="s">
        <v>481</v>
      </c>
      <c r="H5302" s="12">
        <v>-8.0416585928987701</v>
      </c>
      <c r="I5302" s="20">
        <v>-1.2129234339831001</v>
      </c>
      <c r="J5302" s="28">
        <v>0.22515909522049701</v>
      </c>
      <c r="K5302" s="29">
        <v>0.98002814908420599</v>
      </c>
    </row>
    <row r="5303" spans="1:11" x14ac:dyDescent="0.35">
      <c r="A5303" s="9" t="str">
        <f>HYPERLINK("http://www.ensembl.org/id/WBGene00016171", "WBGene00016171")</f>
        <v>WBGene00016171</v>
      </c>
      <c r="B5303" s="9" t="str">
        <f>HYPERLINK("http://www.ncbi.nlm.nih.gov/gene/175675", "175675")</f>
        <v>175675</v>
      </c>
      <c r="C5303" s="9" t="str">
        <f>HYPERLINK("http://www.ncbi.nlm.nih.gov/gene/55795", "55795")</f>
        <v>55795</v>
      </c>
      <c r="D5303" t="str">
        <f>"C27F2.10"</f>
        <v>C27F2.10</v>
      </c>
      <c r="E5303" t="s">
        <v>4187</v>
      </c>
      <c r="F5303" t="s">
        <v>11</v>
      </c>
      <c r="G5303" t="s">
        <v>4188</v>
      </c>
      <c r="H5303" s="12">
        <v>-1.30586452037432</v>
      </c>
      <c r="I5303" s="20">
        <v>-1.21274745460733</v>
      </c>
      <c r="J5303" s="28">
        <v>0.22522639053044599</v>
      </c>
      <c r="K5303" s="29">
        <v>0.98002814908420599</v>
      </c>
    </row>
    <row r="5304" spans="1:11" x14ac:dyDescent="0.35">
      <c r="A5304" s="9" t="str">
        <f>HYPERLINK("http://www.ensembl.org/id/WBGene00017215", "WBGene00017215")</f>
        <v>WBGene00017215</v>
      </c>
      <c r="B5304" s="9" t="str">
        <f>HYPERLINK("http://www.ncbi.nlm.nih.gov/gene/173928", "173928")</f>
        <v>173928</v>
      </c>
      <c r="C5304" s="9"/>
      <c r="D5304" t="str">
        <f>"F07F6.1"</f>
        <v>F07F6.1</v>
      </c>
      <c r="F5304" t="s">
        <v>11</v>
      </c>
      <c r="G5304" t="s">
        <v>91</v>
      </c>
      <c r="H5304" s="12">
        <v>2.4771938100684299</v>
      </c>
      <c r="I5304" s="20">
        <v>1.2126514387957901</v>
      </c>
      <c r="J5304" s="28">
        <v>0.22526311346776701</v>
      </c>
      <c r="K5304" s="29">
        <v>0.98002814908420599</v>
      </c>
    </row>
    <row r="5305" spans="1:11" x14ac:dyDescent="0.35">
      <c r="A5305" s="9" t="str">
        <f>HYPERLINK("http://www.ensembl.org/id/WBGene00009360", "WBGene00009360")</f>
        <v>WBGene00009360</v>
      </c>
      <c r="B5305" s="9" t="str">
        <f>HYPERLINK("http://www.ncbi.nlm.nih.gov/gene/185234", "185234")</f>
        <v>185234</v>
      </c>
      <c r="C5305" s="9"/>
      <c r="D5305" t="str">
        <f>"F33E2.4"</f>
        <v>F33E2.4</v>
      </c>
      <c r="F5305" t="s">
        <v>11</v>
      </c>
      <c r="H5305" s="12">
        <v>2.6961001438038301</v>
      </c>
      <c r="I5305" s="20">
        <v>1.2131971147271099</v>
      </c>
      <c r="J5305" s="28">
        <v>0.22505446700169901</v>
      </c>
      <c r="K5305" s="29">
        <v>0.98002814908420599</v>
      </c>
    </row>
    <row r="5306" spans="1:11" x14ac:dyDescent="0.35">
      <c r="A5306" s="9" t="str">
        <f>HYPERLINK("http://www.ensembl.org/id/WBGene00021353", "WBGene00021353")</f>
        <v>WBGene00021353</v>
      </c>
      <c r="B5306" s="9" t="str">
        <f>HYPERLINK("http://www.ncbi.nlm.nih.gov/gene/171771", "171771")</f>
        <v>171771</v>
      </c>
      <c r="C5306" s="9"/>
      <c r="D5306" t="str">
        <f>"iglr-3"</f>
        <v>iglr-3</v>
      </c>
      <c r="E5306" t="s">
        <v>3095</v>
      </c>
      <c r="F5306" t="s">
        <v>11</v>
      </c>
      <c r="G5306" t="s">
        <v>54</v>
      </c>
      <c r="H5306" s="12">
        <v>1.4490756225596</v>
      </c>
      <c r="I5306" s="20">
        <v>1.21279413562177</v>
      </c>
      <c r="J5306" s="28">
        <v>0.22520853809951499</v>
      </c>
      <c r="K5306" s="29">
        <v>0.98002814908420599</v>
      </c>
    </row>
    <row r="5307" spans="1:11" x14ac:dyDescent="0.35">
      <c r="A5307" s="9" t="str">
        <f>HYPERLINK("http://www.ensembl.org/id/WBGene00002977", "WBGene00002977")</f>
        <v>WBGene00002977</v>
      </c>
      <c r="B5307" s="9" t="str">
        <f>HYPERLINK("http://www.ncbi.nlm.nih.gov/gene/24105310", "24105310")</f>
        <v>24105310</v>
      </c>
      <c r="C5307" s="9"/>
      <c r="D5307" t="str">
        <f>"lev-10"</f>
        <v>lev-10</v>
      </c>
      <c r="E5307" t="s">
        <v>4183</v>
      </c>
      <c r="F5307" t="s">
        <v>11</v>
      </c>
      <c r="G5307" t="s">
        <v>4184</v>
      </c>
      <c r="H5307" s="12">
        <v>1.2900847667023601</v>
      </c>
      <c r="I5307" s="20">
        <v>1.21306372947082</v>
      </c>
      <c r="J5307" s="28">
        <v>0.225105455880283</v>
      </c>
      <c r="K5307" s="29">
        <v>0.98002814908420599</v>
      </c>
    </row>
    <row r="5308" spans="1:11" x14ac:dyDescent="0.35">
      <c r="A5308" s="9" t="str">
        <f>HYPERLINK("http://www.ensembl.org/id/WBGene00010879", "WBGene00010879")</f>
        <v>WBGene00010879</v>
      </c>
      <c r="B5308" s="9" t="str">
        <f>HYPERLINK("http://www.ncbi.nlm.nih.gov/gene/187453", "187453")</f>
        <v>187453</v>
      </c>
      <c r="C5308" s="9"/>
      <c r="D5308" t="str">
        <f>"M05D6.6"</f>
        <v>M05D6.6</v>
      </c>
      <c r="F5308" t="s">
        <v>11</v>
      </c>
      <c r="G5308" t="s">
        <v>25</v>
      </c>
      <c r="H5308" s="12">
        <v>-1.2800935791413</v>
      </c>
      <c r="I5308" s="20">
        <v>-1.21355926939272</v>
      </c>
      <c r="J5308" s="28">
        <v>0.22491606857088001</v>
      </c>
      <c r="K5308" s="29">
        <v>0.98002814908420599</v>
      </c>
    </row>
    <row r="5309" spans="1:11" x14ac:dyDescent="0.35">
      <c r="A5309" s="9" t="str">
        <f>HYPERLINK("http://www.ensembl.org/id/WBGene00013260", "WBGene00013260")</f>
        <v>WBGene00013260</v>
      </c>
      <c r="B5309" s="9" t="str">
        <f>HYPERLINK("http://www.ncbi.nlm.nih.gov/gene/174862", "174862")</f>
        <v>174862</v>
      </c>
      <c r="C5309" s="9"/>
      <c r="D5309" t="str">
        <f>"rsr-2"</f>
        <v>rsr-2</v>
      </c>
      <c r="E5309" t="s">
        <v>4185</v>
      </c>
      <c r="F5309" t="s">
        <v>11</v>
      </c>
      <c r="G5309" t="s">
        <v>4186</v>
      </c>
      <c r="H5309" s="12">
        <v>-1.2925090997967099</v>
      </c>
      <c r="I5309" s="20">
        <v>-1.2133874029365399</v>
      </c>
      <c r="J5309" s="28">
        <v>0.224981740241327</v>
      </c>
      <c r="K5309" s="29">
        <v>0.98002814908420599</v>
      </c>
    </row>
    <row r="5310" spans="1:11" x14ac:dyDescent="0.35">
      <c r="A5310" s="9" t="str">
        <f>HYPERLINK("http://www.ensembl.org/id/WBGene00004796", "WBGene00004796")</f>
        <v>WBGene00004796</v>
      </c>
      <c r="B5310" s="9" t="str">
        <f>HYPERLINK("http://www.ncbi.nlm.nih.gov/gene/176805", "176805")</f>
        <v>176805</v>
      </c>
      <c r="C5310" s="9"/>
      <c r="D5310" t="str">
        <f>"sid-2"</f>
        <v>sid-2</v>
      </c>
      <c r="E5310" t="s">
        <v>4189</v>
      </c>
      <c r="F5310" t="s">
        <v>11</v>
      </c>
      <c r="G5310" t="s">
        <v>4190</v>
      </c>
      <c r="H5310" s="12">
        <v>-1.37150790351443</v>
      </c>
      <c r="I5310" s="20">
        <v>-1.2136293906959399</v>
      </c>
      <c r="J5310" s="28">
        <v>0.22488927854381199</v>
      </c>
      <c r="K5310" s="29">
        <v>0.98002814908420599</v>
      </c>
    </row>
    <row r="5311" spans="1:11" x14ac:dyDescent="0.35">
      <c r="A5311" s="9" t="str">
        <f>HYPERLINK("http://www.ensembl.org/id/WBGene00015214", "WBGene00015214")</f>
        <v>WBGene00015214</v>
      </c>
      <c r="B5311" s="9" t="str">
        <f>HYPERLINK("http://www.ncbi.nlm.nih.gov/gene/182008", "182008")</f>
        <v>182008</v>
      </c>
      <c r="C5311" s="9"/>
      <c r="D5311" t="str">
        <f>"srtx-1"</f>
        <v>srtx-1</v>
      </c>
      <c r="E5311" t="s">
        <v>4180</v>
      </c>
      <c r="F5311" t="s">
        <v>11</v>
      </c>
      <c r="G5311" t="s">
        <v>4181</v>
      </c>
      <c r="H5311" s="12">
        <v>7.0940661946362704</v>
      </c>
      <c r="I5311" s="20">
        <v>1.2131032346683901</v>
      </c>
      <c r="J5311" s="28">
        <v>0.225090353458297</v>
      </c>
      <c r="K5311" s="29">
        <v>0.98002814908420599</v>
      </c>
    </row>
    <row r="5312" spans="1:11" x14ac:dyDescent="0.35">
      <c r="A5312" s="9" t="str">
        <f>HYPERLINK("http://www.ensembl.org/id/WBGene00015334", "WBGene00015334")</f>
        <v>WBGene00015334</v>
      </c>
      <c r="B5312" s="9" t="str">
        <f>HYPERLINK("http://www.ncbi.nlm.nih.gov/gene/182108", "182108")</f>
        <v>182108</v>
      </c>
      <c r="C5312" s="9" t="str">
        <f>HYPERLINK("http://www.ncbi.nlm.nih.gov/gene/389434", "389434")</f>
        <v>389434</v>
      </c>
      <c r="D5312" t="str">
        <f>"sup-18"</f>
        <v>sup-18</v>
      </c>
      <c r="E5312" t="s">
        <v>4182</v>
      </c>
      <c r="F5312" t="s">
        <v>11</v>
      </c>
      <c r="G5312" t="s">
        <v>1101</v>
      </c>
      <c r="H5312" s="12">
        <v>1.42236295761178</v>
      </c>
      <c r="I5312" s="20">
        <v>1.21302202252464</v>
      </c>
      <c r="J5312" s="28">
        <v>0.22512140079302501</v>
      </c>
      <c r="K5312" s="29">
        <v>0.98002814908420599</v>
      </c>
    </row>
    <row r="5313" spans="1:11" x14ac:dyDescent="0.35">
      <c r="A5313" s="9" t="str">
        <f>HYPERLINK("http://www.ensembl.org/id/WBGene00020488", "WBGene00020488")</f>
        <v>WBGene00020488</v>
      </c>
      <c r="B5313" s="9" t="str">
        <f>HYPERLINK("http://www.ncbi.nlm.nih.gov/gene/188482", "188482")</f>
        <v>188482</v>
      </c>
      <c r="C5313" s="9"/>
      <c r="D5313" t="str">
        <f>"T13G4.1"</f>
        <v>T13G4.1</v>
      </c>
      <c r="F5313" t="s">
        <v>11</v>
      </c>
      <c r="G5313" t="s">
        <v>54</v>
      </c>
      <c r="H5313" s="12">
        <v>5.8835396776815996</v>
      </c>
      <c r="I5313" s="20">
        <v>1.21340749869682</v>
      </c>
      <c r="J5313" s="28">
        <v>0.224974060769117</v>
      </c>
      <c r="K5313" s="29">
        <v>0.98002814908420599</v>
      </c>
    </row>
    <row r="5314" spans="1:11" x14ac:dyDescent="0.35">
      <c r="A5314" s="9" t="str">
        <f>HYPERLINK("http://www.ensembl.org/id/WBGene00009379", "WBGene00009379")</f>
        <v>WBGene00009379</v>
      </c>
      <c r="B5314" s="9" t="str">
        <f>HYPERLINK("http://www.ncbi.nlm.nih.gov/gene/185244", "185244")</f>
        <v>185244</v>
      </c>
      <c r="C5314" s="9"/>
      <c r="D5314" t="str">
        <f>"F34H10.2"</f>
        <v>F34H10.2</v>
      </c>
      <c r="F5314" t="s">
        <v>11</v>
      </c>
      <c r="H5314" s="12">
        <v>1.77794797323122</v>
      </c>
      <c r="I5314" s="20">
        <v>1.21221514800755</v>
      </c>
      <c r="J5314" s="28">
        <v>0.225430034421956</v>
      </c>
      <c r="K5314" s="29">
        <v>0.98038516381586904</v>
      </c>
    </row>
    <row r="5315" spans="1:11" x14ac:dyDescent="0.35">
      <c r="A5315" s="9" t="str">
        <f>HYPERLINK("http://www.ensembl.org/id/WBGene00012199", "WBGene00012199")</f>
        <v>WBGene00012199</v>
      </c>
      <c r="B5315" s="9" t="str">
        <f>HYPERLINK("http://www.ncbi.nlm.nih.gov/gene/189108", "189108")</f>
        <v>189108</v>
      </c>
      <c r="C5315" s="9"/>
      <c r="D5315" t="str">
        <f>"mltn-3"</f>
        <v>mltn-3</v>
      </c>
      <c r="E5315" t="s">
        <v>4191</v>
      </c>
      <c r="F5315" t="s">
        <v>11</v>
      </c>
      <c r="G5315" t="s">
        <v>25</v>
      </c>
      <c r="H5315" s="12">
        <v>2.31616926784121</v>
      </c>
      <c r="I5315" s="20">
        <v>1.21224568183306</v>
      </c>
      <c r="J5315" s="28">
        <v>0.22541834957979701</v>
      </c>
      <c r="K5315" s="29">
        <v>0.98038516381586904</v>
      </c>
    </row>
    <row r="5316" spans="1:11" x14ac:dyDescent="0.35">
      <c r="A5316" s="9" t="str">
        <f>HYPERLINK("http://www.ensembl.org/id/WBGene00003104", "WBGene00003104")</f>
        <v>WBGene00003104</v>
      </c>
      <c r="B5316" s="9" t="str">
        <f>HYPERLINK("http://www.ncbi.nlm.nih.gov/gene/180440", "180440")</f>
        <v>180440</v>
      </c>
      <c r="C5316" s="9"/>
      <c r="D5316" t="str">
        <f>"mab-7"</f>
        <v>mab-7</v>
      </c>
      <c r="E5316" t="s">
        <v>4192</v>
      </c>
      <c r="F5316" t="s">
        <v>11</v>
      </c>
      <c r="H5316" s="12">
        <v>1.5229745154367</v>
      </c>
      <c r="I5316" s="20">
        <v>1.2119921273454</v>
      </c>
      <c r="J5316" s="28">
        <v>0.225515394238403</v>
      </c>
      <c r="K5316" s="29">
        <v>0.98056079891595904</v>
      </c>
    </row>
    <row r="5317" spans="1:11" x14ac:dyDescent="0.35">
      <c r="A5317" s="9" t="str">
        <f>HYPERLINK("http://www.ensembl.org/id/WBGene00011400", "WBGene00011400")</f>
        <v>WBGene00011400</v>
      </c>
      <c r="B5317" s="9" t="str">
        <f>HYPERLINK("http://www.ncbi.nlm.nih.gov/gene/188023", "188023")</f>
        <v>188023</v>
      </c>
      <c r="C5317" s="9"/>
      <c r="D5317" t="str">
        <f>"T03F6.4"</f>
        <v>T03F6.4</v>
      </c>
      <c r="F5317" t="s">
        <v>11</v>
      </c>
      <c r="G5317" t="s">
        <v>54</v>
      </c>
      <c r="H5317" s="12">
        <v>1.40991615736395</v>
      </c>
      <c r="I5317" s="20">
        <v>1.2118878988013499</v>
      </c>
      <c r="J5317" s="28">
        <v>0.225555294998629</v>
      </c>
      <c r="K5317" s="29">
        <v>0.98056079891595904</v>
      </c>
    </row>
    <row r="5318" spans="1:11" x14ac:dyDescent="0.35">
      <c r="A5318" s="9" t="str">
        <f>HYPERLINK("http://www.ensembl.org/id/WBGene00011753", "WBGene00011753")</f>
        <v>WBGene00011753</v>
      </c>
      <c r="B5318" s="9" t="str">
        <f>HYPERLINK("http://www.ncbi.nlm.nih.gov/gene/180092", "180092")</f>
        <v>180092</v>
      </c>
      <c r="C5318" s="9"/>
      <c r="D5318" t="str">
        <f>"T13F3.6"</f>
        <v>T13F3.6</v>
      </c>
      <c r="F5318" t="s">
        <v>11</v>
      </c>
      <c r="H5318" s="12">
        <v>1.4568678243565301</v>
      </c>
      <c r="I5318" s="20">
        <v>1.21135888381059</v>
      </c>
      <c r="J5318" s="28">
        <v>0.22575789017866699</v>
      </c>
      <c r="K5318" s="29">
        <v>0.98125692446732304</v>
      </c>
    </row>
    <row r="5319" spans="1:11" x14ac:dyDescent="0.35">
      <c r="A5319" s="9" t="str">
        <f>HYPERLINK("http://www.ensembl.org/id/WBGene00006962", "WBGene00006962")</f>
        <v>WBGene00006962</v>
      </c>
      <c r="B5319" s="9" t="str">
        <f>HYPERLINK("http://www.ncbi.nlm.nih.gov/gene/181061", "181061")</f>
        <v>181061</v>
      </c>
      <c r="C5319" s="9"/>
      <c r="D5319" t="str">
        <f>"xol-1"</f>
        <v>xol-1</v>
      </c>
      <c r="E5319" t="s">
        <v>4193</v>
      </c>
      <c r="F5319" t="s">
        <v>11</v>
      </c>
      <c r="G5319" t="s">
        <v>4194</v>
      </c>
      <c r="H5319" s="12">
        <v>1.8798120681081301</v>
      </c>
      <c r="I5319" s="20">
        <v>1.2112138143488</v>
      </c>
      <c r="J5319" s="28">
        <v>0.22581346965556801</v>
      </c>
      <c r="K5319" s="29">
        <v>0.98131390443136202</v>
      </c>
    </row>
    <row r="5320" spans="1:11" x14ac:dyDescent="0.35">
      <c r="A5320" s="9" t="str">
        <f>HYPERLINK("http://www.ensembl.org/id/WBGene00008557", "WBGene00008557")</f>
        <v>WBGene00008557</v>
      </c>
      <c r="B5320" s="9" t="str">
        <f>HYPERLINK("http://www.ncbi.nlm.nih.gov/gene/184163", "184163")</f>
        <v>184163</v>
      </c>
      <c r="C5320" s="9"/>
      <c r="D5320" t="str">
        <f>"F07H5.6"</f>
        <v>F07H5.6</v>
      </c>
      <c r="F5320" t="s">
        <v>11</v>
      </c>
      <c r="H5320" s="12">
        <v>-1.4695324259432201</v>
      </c>
      <c r="I5320" s="20">
        <v>-1.2110252931960399</v>
      </c>
      <c r="J5320" s="28">
        <v>0.22588571107646799</v>
      </c>
      <c r="K5320" s="29">
        <v>0.98144325688846701</v>
      </c>
    </row>
    <row r="5321" spans="1:11" x14ac:dyDescent="0.35">
      <c r="A5321" s="9" t="str">
        <f>HYPERLINK("http://www.ensembl.org/id/WBGene00019279", "WBGene00019279")</f>
        <v>WBGene00019279</v>
      </c>
      <c r="B5321" s="9" t="str">
        <f>HYPERLINK("http://www.ncbi.nlm.nih.gov/gene/3565272", "3565272")</f>
        <v>3565272</v>
      </c>
      <c r="C5321" s="9"/>
      <c r="D5321" t="str">
        <f>"K01A2.4"</f>
        <v>K01A2.4</v>
      </c>
      <c r="F5321" t="s">
        <v>11</v>
      </c>
      <c r="G5321" t="s">
        <v>25</v>
      </c>
      <c r="H5321" s="12">
        <v>1.4281389874864101</v>
      </c>
      <c r="I5321" s="20">
        <v>1.21042237948277</v>
      </c>
      <c r="J5321" s="28">
        <v>0.22611685871661999</v>
      </c>
      <c r="K5321" s="29">
        <v>0.98207822133575795</v>
      </c>
    </row>
    <row r="5322" spans="1:11" x14ac:dyDescent="0.35">
      <c r="A5322" s="9" t="str">
        <f>HYPERLINK("http://www.ensembl.org/id/WBGene00006535", "WBGene00006535")</f>
        <v>WBGene00006535</v>
      </c>
      <c r="B5322" s="9" t="str">
        <f>HYPERLINK("http://www.ncbi.nlm.nih.gov/gene/185538", "185538")</f>
        <v>185538</v>
      </c>
      <c r="C5322" s="9" t="str">
        <f>HYPERLINK("http://www.ncbi.nlm.nih.gov/gene/10376", "10376")</f>
        <v>10376</v>
      </c>
      <c r="D5322" t="str">
        <f>"tba-9"</f>
        <v>tba-9</v>
      </c>
      <c r="E5322" t="s">
        <v>4195</v>
      </c>
      <c r="F5322" t="s">
        <v>11</v>
      </c>
      <c r="G5322" t="s">
        <v>4196</v>
      </c>
      <c r="H5322" s="12">
        <v>1.47176527679469</v>
      </c>
      <c r="I5322" s="20">
        <v>1.21051247332101</v>
      </c>
      <c r="J5322" s="28">
        <v>0.22608230743215499</v>
      </c>
      <c r="K5322" s="29">
        <v>0.98207822133575795</v>
      </c>
    </row>
    <row r="5323" spans="1:11" x14ac:dyDescent="0.35">
      <c r="A5323" s="9" t="str">
        <f>HYPERLINK("http://www.ensembl.org/id/WBGene00012186", "WBGene00012186")</f>
        <v>WBGene00012186</v>
      </c>
      <c r="B5323" s="9" t="str">
        <f>HYPERLINK("http://www.ncbi.nlm.nih.gov/gene/180352", "180352")</f>
        <v>180352</v>
      </c>
      <c r="C5323" s="9"/>
      <c r="D5323" t="str">
        <f>"mlt-11"</f>
        <v>mlt-11</v>
      </c>
      <c r="F5323" t="s">
        <v>11</v>
      </c>
      <c r="G5323" t="s">
        <v>4197</v>
      </c>
      <c r="H5323" s="12">
        <v>1.27176263478267</v>
      </c>
      <c r="I5323" s="20">
        <v>1.2100969083451201</v>
      </c>
      <c r="J5323" s="28">
        <v>0.226241709367932</v>
      </c>
      <c r="K5323" s="29">
        <v>0.98243580842988898</v>
      </c>
    </row>
    <row r="5324" spans="1:11" x14ac:dyDescent="0.35">
      <c r="A5324" s="9" t="str">
        <f>HYPERLINK("http://www.ensembl.org/id/WBGene00009784", "WBGene00009784")</f>
        <v>WBGene00009784</v>
      </c>
      <c r="B5324" s="9" t="str">
        <f>HYPERLINK("http://www.ncbi.nlm.nih.gov/gene/174409", "174409")</f>
        <v>174409</v>
      </c>
      <c r="C5324" s="9" t="str">
        <f>HYPERLINK("http://www.ncbi.nlm.nih.gov/gene/26608", "26608")</f>
        <v>26608</v>
      </c>
      <c r="D5324" t="str">
        <f>"F46C5.9"</f>
        <v>F46C5.9</v>
      </c>
      <c r="F5324" t="s">
        <v>11</v>
      </c>
      <c r="G5324" t="s">
        <v>417</v>
      </c>
      <c r="H5324" s="12">
        <v>-1.2577176312540399</v>
      </c>
      <c r="I5324" s="20">
        <v>-1.2098376535689199</v>
      </c>
      <c r="J5324" s="28">
        <v>0.2263411946295</v>
      </c>
      <c r="K5324" s="29">
        <v>0.98268313474431301</v>
      </c>
    </row>
    <row r="5325" spans="1:11" x14ac:dyDescent="0.35">
      <c r="A5325" s="9" t="str">
        <f>HYPERLINK("http://www.ensembl.org/id/WBGene00046545", "WBGene00046545")</f>
        <v>WBGene00046545</v>
      </c>
      <c r="B5325" s="9"/>
      <c r="C5325" s="9"/>
      <c r="D5325" t="str">
        <f>"21ur-10"</f>
        <v>21ur-10</v>
      </c>
      <c r="F5325" t="s">
        <v>3161</v>
      </c>
      <c r="H5325" s="12">
        <v>4.4368407117627902</v>
      </c>
      <c r="I5325" s="20">
        <v>0.43709475933309699</v>
      </c>
      <c r="J5325" s="28">
        <v>0.66204262779770495</v>
      </c>
      <c r="K5325" s="29">
        <v>0.98289565623980701</v>
      </c>
    </row>
    <row r="5326" spans="1:11" x14ac:dyDescent="0.35">
      <c r="A5326" s="9" t="str">
        <f>HYPERLINK("http://www.ensembl.org/id/WBGene00174173", "WBGene00174173")</f>
        <v>WBGene00174173</v>
      </c>
      <c r="B5326" s="9"/>
      <c r="C5326" s="9"/>
      <c r="D5326" t="str">
        <f>"21ur-10024"</f>
        <v>21ur-10024</v>
      </c>
      <c r="F5326" t="s">
        <v>3161</v>
      </c>
      <c r="H5326" s="12">
        <v>-2.4295389261469</v>
      </c>
      <c r="I5326" s="20">
        <v>-0.25808529976640998</v>
      </c>
      <c r="J5326" s="28">
        <v>0.79634107645457397</v>
      </c>
      <c r="K5326" s="29">
        <v>0.98289565623980701</v>
      </c>
    </row>
    <row r="5327" spans="1:11" x14ac:dyDescent="0.35">
      <c r="A5327" s="9" t="str">
        <f>HYPERLINK("http://www.ensembl.org/id/WBGene00171378", "WBGene00171378")</f>
        <v>WBGene00171378</v>
      </c>
      <c r="B5327" s="9"/>
      <c r="C5327" s="9"/>
      <c r="D5327" t="str">
        <f>"21ur-10097"</f>
        <v>21ur-10097</v>
      </c>
      <c r="F5327" t="s">
        <v>3161</v>
      </c>
      <c r="H5327" s="12">
        <v>-5.5794491025289696</v>
      </c>
      <c r="I5327" s="20">
        <v>-0.504738274115201</v>
      </c>
      <c r="J5327" s="28">
        <v>0.61374267489732603</v>
      </c>
      <c r="K5327" s="29">
        <v>0.98289565623980701</v>
      </c>
    </row>
    <row r="5328" spans="1:11" x14ac:dyDescent="0.35">
      <c r="A5328" s="9" t="str">
        <f>HYPERLINK("http://www.ensembl.org/id/WBGene00170460", "WBGene00170460")</f>
        <v>WBGene00170460</v>
      </c>
      <c r="B5328" s="9"/>
      <c r="C5328" s="9"/>
      <c r="D5328" t="str">
        <f>"21ur-10114"</f>
        <v>21ur-10114</v>
      </c>
      <c r="F5328" t="s">
        <v>3161</v>
      </c>
      <c r="H5328" s="12">
        <v>3.6645215954135</v>
      </c>
      <c r="I5328" s="20">
        <v>0.37967131826092498</v>
      </c>
      <c r="J5328" s="28">
        <v>0.70418941338960395</v>
      </c>
      <c r="K5328" s="29">
        <v>0.98289565623980701</v>
      </c>
    </row>
    <row r="5329" spans="1:11" x14ac:dyDescent="0.35">
      <c r="A5329" s="9" t="str">
        <f>HYPERLINK("http://www.ensembl.org/id/WBGene00166652", "WBGene00166652")</f>
        <v>WBGene00166652</v>
      </c>
      <c r="B5329" s="9"/>
      <c r="C5329" s="9"/>
      <c r="D5329" t="str">
        <f>"21ur-10122"</f>
        <v>21ur-10122</v>
      </c>
      <c r="F5329" t="s">
        <v>3161</v>
      </c>
      <c r="H5329" s="12">
        <v>-2.4991590031922399</v>
      </c>
      <c r="I5329" s="20">
        <v>-0.26577412737581302</v>
      </c>
      <c r="J5329" s="28">
        <v>0.79041317015736101</v>
      </c>
      <c r="K5329" s="29">
        <v>0.98289565623980701</v>
      </c>
    </row>
    <row r="5330" spans="1:11" x14ac:dyDescent="0.35">
      <c r="A5330" s="9" t="str">
        <f>HYPERLINK("http://www.ensembl.org/id/WBGene00167985", "WBGene00167985")</f>
        <v>WBGene00167985</v>
      </c>
      <c r="B5330" s="9"/>
      <c r="C5330" s="9"/>
      <c r="D5330" t="str">
        <f>"21ur-10126"</f>
        <v>21ur-10126</v>
      </c>
      <c r="F5330" t="s">
        <v>3161</v>
      </c>
      <c r="H5330" s="12">
        <v>2.3893468495514898</v>
      </c>
      <c r="I5330" s="20">
        <v>0.25323547253672701</v>
      </c>
      <c r="J5330" s="28">
        <v>0.80008625651646104</v>
      </c>
      <c r="K5330" s="29">
        <v>0.98289565623980701</v>
      </c>
    </row>
    <row r="5331" spans="1:11" x14ac:dyDescent="0.35">
      <c r="A5331" s="9" t="str">
        <f>HYPERLINK("http://www.ensembl.org/id/WBGene00169846", "WBGene00169846")</f>
        <v>WBGene00169846</v>
      </c>
      <c r="B5331" s="9"/>
      <c r="C5331" s="9"/>
      <c r="D5331" t="str">
        <f>"21ur-10165"</f>
        <v>21ur-10165</v>
      </c>
      <c r="F5331" t="s">
        <v>3161</v>
      </c>
      <c r="H5331" s="12">
        <v>-2.4295389261469</v>
      </c>
      <c r="I5331" s="20">
        <v>-0.25808529976640998</v>
      </c>
      <c r="J5331" s="28">
        <v>0.79634107645457397</v>
      </c>
      <c r="K5331" s="29">
        <v>0.98289565623980701</v>
      </c>
    </row>
    <row r="5332" spans="1:11" x14ac:dyDescent="0.35">
      <c r="A5332" s="9" t="str">
        <f>HYPERLINK("http://www.ensembl.org/id/WBGene00166079", "WBGene00166079")</f>
        <v>WBGene00166079</v>
      </c>
      <c r="B5332" s="9"/>
      <c r="C5332" s="9"/>
      <c r="D5332" t="str">
        <f>"21ur-10181"</f>
        <v>21ur-10181</v>
      </c>
      <c r="F5332" t="s">
        <v>3161</v>
      </c>
      <c r="H5332" s="12">
        <v>1.37985946490219</v>
      </c>
      <c r="I5332" s="20">
        <v>0.42308860532030201</v>
      </c>
      <c r="J5332" s="28">
        <v>0.67223061563493502</v>
      </c>
      <c r="K5332" s="29">
        <v>0.98289565623980701</v>
      </c>
    </row>
    <row r="5333" spans="1:11" x14ac:dyDescent="0.35">
      <c r="A5333" s="9" t="str">
        <f>HYPERLINK("http://www.ensembl.org/id/WBGene00170633", "WBGene00170633")</f>
        <v>WBGene00170633</v>
      </c>
      <c r="B5333" s="9"/>
      <c r="C5333" s="9"/>
      <c r="D5333" t="str">
        <f>"21ur-10208"</f>
        <v>21ur-10208</v>
      </c>
      <c r="F5333" t="s">
        <v>3161</v>
      </c>
      <c r="H5333" s="12">
        <v>4.6387698961716399</v>
      </c>
      <c r="I5333" s="20">
        <v>0.44985450087338802</v>
      </c>
      <c r="J5333" s="28">
        <v>0.65281535672642099</v>
      </c>
      <c r="K5333" s="29">
        <v>0.98289565623980701</v>
      </c>
    </row>
    <row r="5334" spans="1:11" x14ac:dyDescent="0.35">
      <c r="A5334" s="9" t="str">
        <f>HYPERLINK("http://www.ensembl.org/id/WBGene00173818", "WBGene00173818")</f>
        <v>WBGene00173818</v>
      </c>
      <c r="B5334" s="9"/>
      <c r="C5334" s="9"/>
      <c r="D5334" t="str">
        <f>"21ur-10209"</f>
        <v>21ur-10209</v>
      </c>
      <c r="F5334" t="s">
        <v>3161</v>
      </c>
      <c r="H5334" s="12">
        <v>-2.4991590031922399</v>
      </c>
      <c r="I5334" s="20">
        <v>-0.26577412737581302</v>
      </c>
      <c r="J5334" s="28">
        <v>0.79041317015736101</v>
      </c>
      <c r="K5334" s="29">
        <v>0.98289565623980701</v>
      </c>
    </row>
    <row r="5335" spans="1:11" x14ac:dyDescent="0.35">
      <c r="A5335" s="9" t="str">
        <f>HYPERLINK("http://www.ensembl.org/id/WBGene00172518", "WBGene00172518")</f>
        <v>WBGene00172518</v>
      </c>
      <c r="B5335" s="9"/>
      <c r="C5335" s="9"/>
      <c r="D5335" t="str">
        <f>"21ur-10214"</f>
        <v>21ur-10214</v>
      </c>
      <c r="F5335" t="s">
        <v>3161</v>
      </c>
      <c r="H5335" s="12">
        <v>2.4578120077400301</v>
      </c>
      <c r="I5335" s="20">
        <v>0.26093350314551</v>
      </c>
      <c r="J5335" s="28">
        <v>0.79414378780213601</v>
      </c>
      <c r="K5335" s="29">
        <v>0.98289565623980701</v>
      </c>
    </row>
    <row r="5336" spans="1:11" x14ac:dyDescent="0.35">
      <c r="A5336" s="9" t="str">
        <f>HYPERLINK("http://www.ensembl.org/id/WBGene00172830", "WBGene00172830")</f>
        <v>WBGene00172830</v>
      </c>
      <c r="B5336" s="9"/>
      <c r="C5336" s="9"/>
      <c r="D5336" t="str">
        <f>"21ur-10246"</f>
        <v>21ur-10246</v>
      </c>
      <c r="F5336" t="s">
        <v>3161</v>
      </c>
      <c r="H5336" s="12">
        <v>2.4578120077400301</v>
      </c>
      <c r="I5336" s="20">
        <v>0.26093350314551</v>
      </c>
      <c r="J5336" s="28">
        <v>0.79414378780213601</v>
      </c>
      <c r="K5336" s="29">
        <v>0.98289565623980701</v>
      </c>
    </row>
    <row r="5337" spans="1:11" x14ac:dyDescent="0.35">
      <c r="A5337" s="9" t="str">
        <f>HYPERLINK("http://www.ensembl.org/id/WBGene00169197", "WBGene00169197")</f>
        <v>WBGene00169197</v>
      </c>
      <c r="B5337" s="9"/>
      <c r="C5337" s="9"/>
      <c r="D5337" t="str">
        <f>"21ur-10296"</f>
        <v>21ur-10296</v>
      </c>
      <c r="F5337" t="s">
        <v>3161</v>
      </c>
      <c r="H5337" s="12">
        <v>1.2205833247656399</v>
      </c>
      <c r="I5337" s="20">
        <v>0.38657247663970801</v>
      </c>
      <c r="J5337" s="28">
        <v>0.69907273724074603</v>
      </c>
      <c r="K5337" s="29">
        <v>0.98289565623980701</v>
      </c>
    </row>
    <row r="5338" spans="1:11" x14ac:dyDescent="0.35">
      <c r="A5338" s="9" t="str">
        <f>HYPERLINK("http://www.ensembl.org/id/WBGene00174884", "WBGene00174884")</f>
        <v>WBGene00174884</v>
      </c>
      <c r="B5338" s="9"/>
      <c r="C5338" s="9"/>
      <c r="D5338" t="str">
        <f>"21ur-10311"</f>
        <v>21ur-10311</v>
      </c>
      <c r="F5338" t="s">
        <v>3161</v>
      </c>
      <c r="H5338" s="12">
        <v>4.4368407117627902</v>
      </c>
      <c r="I5338" s="20">
        <v>0.43709475933309699</v>
      </c>
      <c r="J5338" s="28">
        <v>0.66204262779770495</v>
      </c>
      <c r="K5338" s="29">
        <v>0.98289565623980701</v>
      </c>
    </row>
    <row r="5339" spans="1:11" x14ac:dyDescent="0.35">
      <c r="A5339" s="9" t="str">
        <f>HYPERLINK("http://www.ensembl.org/id/WBGene00171392", "WBGene00171392")</f>
        <v>WBGene00171392</v>
      </c>
      <c r="B5339" s="9"/>
      <c r="C5339" s="9"/>
      <c r="D5339" t="str">
        <f>"21ur-10321"</f>
        <v>21ur-10321</v>
      </c>
      <c r="F5339" t="s">
        <v>3161</v>
      </c>
      <c r="H5339" s="12">
        <v>2.4578120077400301</v>
      </c>
      <c r="I5339" s="20">
        <v>0.26093350314551</v>
      </c>
      <c r="J5339" s="28">
        <v>0.79414378780213601</v>
      </c>
      <c r="K5339" s="29">
        <v>0.98289565623980701</v>
      </c>
    </row>
    <row r="5340" spans="1:11" x14ac:dyDescent="0.35">
      <c r="A5340" s="9" t="str">
        <f>HYPERLINK("http://www.ensembl.org/id/WBGene00172630", "WBGene00172630")</f>
        <v>WBGene00172630</v>
      </c>
      <c r="B5340" s="9"/>
      <c r="C5340" s="9"/>
      <c r="D5340" t="str">
        <f>"21ur-10332"</f>
        <v>21ur-10332</v>
      </c>
      <c r="F5340" t="s">
        <v>3161</v>
      </c>
      <c r="H5340" s="12">
        <v>-2.4991590031922399</v>
      </c>
      <c r="I5340" s="20">
        <v>-0.26577412737581302</v>
      </c>
      <c r="J5340" s="28">
        <v>0.79041317015736101</v>
      </c>
      <c r="K5340" s="29">
        <v>0.98289565623980701</v>
      </c>
    </row>
    <row r="5341" spans="1:11" x14ac:dyDescent="0.35">
      <c r="A5341" s="9" t="str">
        <f>HYPERLINK("http://www.ensembl.org/id/WBGene00174757", "WBGene00174757")</f>
        <v>WBGene00174757</v>
      </c>
      <c r="B5341" s="9"/>
      <c r="C5341" s="9"/>
      <c r="D5341" t="str">
        <f>"21ur-10341"</f>
        <v>21ur-10341</v>
      </c>
      <c r="F5341" t="s">
        <v>3161</v>
      </c>
      <c r="H5341" s="12">
        <v>-4.5114499031905204</v>
      </c>
      <c r="I5341" s="20">
        <v>-0.44198655555625299</v>
      </c>
      <c r="J5341" s="28">
        <v>0.65849893477547905</v>
      </c>
      <c r="K5341" s="29">
        <v>0.98289565623980701</v>
      </c>
    </row>
    <row r="5342" spans="1:11" x14ac:dyDescent="0.35">
      <c r="A5342" s="9" t="str">
        <f>HYPERLINK("http://www.ensembl.org/id/WBGene00172760", "WBGene00172760")</f>
        <v>WBGene00172760</v>
      </c>
      <c r="B5342" s="9"/>
      <c r="C5342" s="9"/>
      <c r="D5342" t="str">
        <f>"21ur-10343"</f>
        <v>21ur-10343</v>
      </c>
      <c r="F5342" t="s">
        <v>3161</v>
      </c>
      <c r="H5342" s="12">
        <v>-2.4295389261469</v>
      </c>
      <c r="I5342" s="20">
        <v>-0.25808529976640998</v>
      </c>
      <c r="J5342" s="28">
        <v>0.79634107645457397</v>
      </c>
      <c r="K5342" s="29">
        <v>0.98289565623980701</v>
      </c>
    </row>
    <row r="5343" spans="1:11" x14ac:dyDescent="0.35">
      <c r="A5343" s="9" t="str">
        <f>HYPERLINK("http://www.ensembl.org/id/WBGene00173380", "WBGene00173380")</f>
        <v>WBGene00173380</v>
      </c>
      <c r="B5343" s="9"/>
      <c r="C5343" s="9"/>
      <c r="D5343" t="str">
        <f>"21ur-10357"</f>
        <v>21ur-10357</v>
      </c>
      <c r="F5343" t="s">
        <v>3161</v>
      </c>
      <c r="H5343" s="12">
        <v>-2.2462711840042502</v>
      </c>
      <c r="I5343" s="20">
        <v>-0.28752192663158799</v>
      </c>
      <c r="J5343" s="28">
        <v>0.77371271536475705</v>
      </c>
      <c r="K5343" s="29">
        <v>0.98289565623980701</v>
      </c>
    </row>
    <row r="5344" spans="1:11" x14ac:dyDescent="0.35">
      <c r="A5344" s="9" t="str">
        <f>HYPERLINK("http://www.ensembl.org/id/WBGene00174726", "WBGene00174726")</f>
        <v>WBGene00174726</v>
      </c>
      <c r="B5344" s="9"/>
      <c r="C5344" s="9"/>
      <c r="D5344" t="str">
        <f>"21ur-10371"</f>
        <v>21ur-10371</v>
      </c>
      <c r="F5344" t="s">
        <v>3161</v>
      </c>
      <c r="H5344" s="12">
        <v>-2.4991590031922399</v>
      </c>
      <c r="I5344" s="20">
        <v>-0.26577412737581302</v>
      </c>
      <c r="J5344" s="28">
        <v>0.79041317015736101</v>
      </c>
      <c r="K5344" s="29">
        <v>0.98289565623980701</v>
      </c>
    </row>
    <row r="5345" spans="1:11" x14ac:dyDescent="0.35">
      <c r="A5345" s="9" t="str">
        <f>HYPERLINK("http://www.ensembl.org/id/WBGene00171576", "WBGene00171576")</f>
        <v>WBGene00171576</v>
      </c>
      <c r="B5345" s="9"/>
      <c r="C5345" s="9"/>
      <c r="D5345" t="str">
        <f>"21ur-10392"</f>
        <v>21ur-10392</v>
      </c>
      <c r="F5345" t="s">
        <v>3161</v>
      </c>
      <c r="H5345" s="12">
        <v>15.4310788203624</v>
      </c>
      <c r="I5345" s="20">
        <v>0.98793301332604</v>
      </c>
      <c r="J5345" s="28">
        <v>0.32318545590394598</v>
      </c>
      <c r="K5345" s="29">
        <v>0.98289565623980701</v>
      </c>
    </row>
    <row r="5346" spans="1:11" x14ac:dyDescent="0.35">
      <c r="A5346" s="9" t="str">
        <f>HYPERLINK("http://www.ensembl.org/id/WBGene00050400", "WBGene00050400")</f>
        <v>WBGene00050400</v>
      </c>
      <c r="B5346" s="9"/>
      <c r="C5346" s="9"/>
      <c r="D5346" t="str">
        <f>"21ur-104"</f>
        <v>21ur-104</v>
      </c>
      <c r="F5346" t="s">
        <v>3161</v>
      </c>
      <c r="H5346" s="12">
        <v>2.3893468495514898</v>
      </c>
      <c r="I5346" s="20">
        <v>0.25323547253672701</v>
      </c>
      <c r="J5346" s="28">
        <v>0.80008625651646104</v>
      </c>
      <c r="K5346" s="29">
        <v>0.98289565623980701</v>
      </c>
    </row>
    <row r="5347" spans="1:11" x14ac:dyDescent="0.35">
      <c r="A5347" s="9" t="str">
        <f>HYPERLINK("http://www.ensembl.org/id/WBGene00165057", "WBGene00165057")</f>
        <v>WBGene00165057</v>
      </c>
      <c r="B5347" s="9"/>
      <c r="C5347" s="9"/>
      <c r="D5347" t="str">
        <f>"21ur-10440"</f>
        <v>21ur-10440</v>
      </c>
      <c r="F5347" t="s">
        <v>3161</v>
      </c>
      <c r="H5347" s="12">
        <v>2.4578120077400301</v>
      </c>
      <c r="I5347" s="20">
        <v>0.26093350314551</v>
      </c>
      <c r="J5347" s="28">
        <v>0.79414378780213601</v>
      </c>
      <c r="K5347" s="29">
        <v>0.98289565623980701</v>
      </c>
    </row>
    <row r="5348" spans="1:11" x14ac:dyDescent="0.35">
      <c r="A5348" s="9" t="str">
        <f>HYPERLINK("http://www.ensembl.org/id/WBGene00166294", "WBGene00166294")</f>
        <v>WBGene00166294</v>
      </c>
      <c r="B5348" s="9"/>
      <c r="C5348" s="9"/>
      <c r="D5348" t="str">
        <f>"21ur-10480"</f>
        <v>21ur-10480</v>
      </c>
      <c r="F5348" t="s">
        <v>3161</v>
      </c>
      <c r="H5348" s="12">
        <v>-2.4295389261469</v>
      </c>
      <c r="I5348" s="20">
        <v>-0.25808529976640998</v>
      </c>
      <c r="J5348" s="28">
        <v>0.79634107645457397</v>
      </c>
      <c r="K5348" s="29">
        <v>0.98289565623980701</v>
      </c>
    </row>
    <row r="5349" spans="1:11" x14ac:dyDescent="0.35">
      <c r="A5349" s="9" t="str">
        <f>HYPERLINK("http://www.ensembl.org/id/WBGene00172007", "WBGene00172007")</f>
        <v>WBGene00172007</v>
      </c>
      <c r="B5349" s="9"/>
      <c r="C5349" s="9"/>
      <c r="D5349" t="str">
        <f>"21ur-10500"</f>
        <v>21ur-10500</v>
      </c>
      <c r="F5349" t="s">
        <v>3161</v>
      </c>
      <c r="H5349" s="12">
        <v>1.9165950650877199</v>
      </c>
      <c r="I5349" s="20">
        <v>0.48557953486894401</v>
      </c>
      <c r="J5349" s="28">
        <v>0.62726530927243096</v>
      </c>
      <c r="K5349" s="29">
        <v>0.98289565623980701</v>
      </c>
    </row>
    <row r="5350" spans="1:11" x14ac:dyDescent="0.35">
      <c r="A5350" s="9" t="str">
        <f>HYPERLINK("http://www.ensembl.org/id/WBGene00171265", "WBGene00171265")</f>
        <v>WBGene00171265</v>
      </c>
      <c r="B5350" s="9"/>
      <c r="C5350" s="9"/>
      <c r="D5350" t="str">
        <f>"21ur-10517"</f>
        <v>21ur-10517</v>
      </c>
      <c r="F5350" t="s">
        <v>3161</v>
      </c>
      <c r="H5350" s="12">
        <v>2.4578120077400301</v>
      </c>
      <c r="I5350" s="20">
        <v>0.26093350314551</v>
      </c>
      <c r="J5350" s="28">
        <v>0.79414378780213601</v>
      </c>
      <c r="K5350" s="29">
        <v>0.98289565623980701</v>
      </c>
    </row>
    <row r="5351" spans="1:11" x14ac:dyDescent="0.35">
      <c r="A5351" s="9" t="str">
        <f>HYPERLINK("http://www.ensembl.org/id/WBGene00166055", "WBGene00166055")</f>
        <v>WBGene00166055</v>
      </c>
      <c r="B5351" s="9"/>
      <c r="C5351" s="9"/>
      <c r="D5351" t="str">
        <f>"21ur-10520"</f>
        <v>21ur-10520</v>
      </c>
      <c r="F5351" t="s">
        <v>3161</v>
      </c>
      <c r="H5351" s="12">
        <v>-2.4295389261469</v>
      </c>
      <c r="I5351" s="20">
        <v>-0.25808529976640998</v>
      </c>
      <c r="J5351" s="28">
        <v>0.79634107645457397</v>
      </c>
      <c r="K5351" s="29">
        <v>0.98289565623980701</v>
      </c>
    </row>
    <row r="5352" spans="1:11" x14ac:dyDescent="0.35">
      <c r="A5352" s="9" t="str">
        <f>HYPERLINK("http://www.ensembl.org/id/WBGene00166467", "WBGene00166467")</f>
        <v>WBGene00166467</v>
      </c>
      <c r="B5352" s="9"/>
      <c r="C5352" s="9"/>
      <c r="D5352" t="str">
        <f>"21ur-10556"</f>
        <v>21ur-10556</v>
      </c>
      <c r="F5352" t="s">
        <v>3161</v>
      </c>
      <c r="H5352" s="12">
        <v>2.43628531154256</v>
      </c>
      <c r="I5352" s="20">
        <v>0.26397437090349102</v>
      </c>
      <c r="J5352" s="28">
        <v>0.79179966754305298</v>
      </c>
      <c r="K5352" s="29">
        <v>0.98289565623980701</v>
      </c>
    </row>
    <row r="5353" spans="1:11" x14ac:dyDescent="0.35">
      <c r="A5353" s="9" t="str">
        <f>HYPERLINK("http://www.ensembl.org/id/WBGene00170452", "WBGene00170452")</f>
        <v>WBGene00170452</v>
      </c>
      <c r="B5353" s="9"/>
      <c r="C5353" s="9"/>
      <c r="D5353" t="str">
        <f>"21ur-10676"</f>
        <v>21ur-10676</v>
      </c>
      <c r="F5353" t="s">
        <v>3161</v>
      </c>
      <c r="H5353" s="12">
        <v>-1.45608001805914</v>
      </c>
      <c r="I5353" s="20">
        <v>-0.406044093317802</v>
      </c>
      <c r="J5353" s="28">
        <v>0.68471020263208904</v>
      </c>
      <c r="K5353" s="29">
        <v>0.98289565623980701</v>
      </c>
    </row>
    <row r="5354" spans="1:11" x14ac:dyDescent="0.35">
      <c r="A5354" s="9" t="str">
        <f>HYPERLINK("http://www.ensembl.org/id/WBGene00170983", "WBGene00170983")</f>
        <v>WBGene00170983</v>
      </c>
      <c r="B5354" s="9"/>
      <c r="C5354" s="9"/>
      <c r="D5354" t="str">
        <f>"21ur-10679"</f>
        <v>21ur-10679</v>
      </c>
      <c r="F5354" t="s">
        <v>3161</v>
      </c>
      <c r="H5354" s="12">
        <v>-4.7167679298615104</v>
      </c>
      <c r="I5354" s="20">
        <v>-0.454742638005115</v>
      </c>
      <c r="J5354" s="28">
        <v>0.64929440216969203</v>
      </c>
      <c r="K5354" s="29">
        <v>0.98289565623980701</v>
      </c>
    </row>
    <row r="5355" spans="1:11" x14ac:dyDescent="0.35">
      <c r="A5355" s="9" t="str">
        <f>HYPERLINK("http://www.ensembl.org/id/WBGene00168300", "WBGene00168300")</f>
        <v>WBGene00168300</v>
      </c>
      <c r="B5355" s="9"/>
      <c r="C5355" s="9"/>
      <c r="D5355" t="str">
        <f>"21ur-10682"</f>
        <v>21ur-10682</v>
      </c>
      <c r="F5355" t="s">
        <v>3161</v>
      </c>
      <c r="H5355" s="12">
        <v>-2.4295389261469</v>
      </c>
      <c r="I5355" s="20">
        <v>-0.25808529976640998</v>
      </c>
      <c r="J5355" s="28">
        <v>0.79634107645457397</v>
      </c>
      <c r="K5355" s="29">
        <v>0.98289565623980701</v>
      </c>
    </row>
    <row r="5356" spans="1:11" x14ac:dyDescent="0.35">
      <c r="A5356" s="9" t="str">
        <f>HYPERLINK("http://www.ensembl.org/id/WBGene00165653", "WBGene00165653")</f>
        <v>WBGene00165653</v>
      </c>
      <c r="B5356" s="9"/>
      <c r="C5356" s="9"/>
      <c r="D5356" t="str">
        <f>"21ur-10687"</f>
        <v>21ur-10687</v>
      </c>
      <c r="F5356" t="s">
        <v>3161</v>
      </c>
      <c r="H5356" s="12">
        <v>2.3893468495514898</v>
      </c>
      <c r="I5356" s="20">
        <v>0.25323547253672701</v>
      </c>
      <c r="J5356" s="28">
        <v>0.80008625651646104</v>
      </c>
      <c r="K5356" s="29">
        <v>0.98289565623980701</v>
      </c>
    </row>
    <row r="5357" spans="1:11" x14ac:dyDescent="0.35">
      <c r="A5357" s="9" t="str">
        <f>HYPERLINK("http://www.ensembl.org/id/WBGene00170588", "WBGene00170588")</f>
        <v>WBGene00170588</v>
      </c>
      <c r="B5357" s="9"/>
      <c r="C5357" s="9"/>
      <c r="D5357" t="str">
        <f>"21ur-10695"</f>
        <v>21ur-10695</v>
      </c>
      <c r="F5357" t="s">
        <v>3161</v>
      </c>
      <c r="H5357" s="12">
        <v>-5.4967879193631202</v>
      </c>
      <c r="I5357" s="20">
        <v>-0.50254160819837501</v>
      </c>
      <c r="J5357" s="28">
        <v>0.61528659178453604</v>
      </c>
      <c r="K5357" s="29">
        <v>0.98289565623980701</v>
      </c>
    </row>
    <row r="5358" spans="1:11" x14ac:dyDescent="0.35">
      <c r="A5358" s="9" t="str">
        <f>HYPERLINK("http://www.ensembl.org/id/WBGene00170943", "WBGene00170943")</f>
        <v>WBGene00170943</v>
      </c>
      <c r="B5358" s="9"/>
      <c r="C5358" s="9"/>
      <c r="D5358" t="str">
        <f>"21ur-10720"</f>
        <v>21ur-10720</v>
      </c>
      <c r="F5358" t="s">
        <v>3161</v>
      </c>
      <c r="H5358" s="12">
        <v>5.2322000618327396</v>
      </c>
      <c r="I5358" s="20">
        <v>0.486112489888328</v>
      </c>
      <c r="J5358" s="28">
        <v>0.62688741196182496</v>
      </c>
      <c r="K5358" s="29">
        <v>0.98289565623980701</v>
      </c>
    </row>
    <row r="5359" spans="1:11" x14ac:dyDescent="0.35">
      <c r="A5359" s="9" t="str">
        <f>HYPERLINK("http://www.ensembl.org/id/WBGene00047717", "WBGene00047717")</f>
        <v>WBGene00047717</v>
      </c>
      <c r="B5359" s="9"/>
      <c r="C5359" s="9"/>
      <c r="D5359" t="str">
        <f>"21ur-1077"</f>
        <v>21ur-1077</v>
      </c>
      <c r="F5359" t="s">
        <v>3161</v>
      </c>
      <c r="H5359" s="12">
        <v>-4.5114499031905204</v>
      </c>
      <c r="I5359" s="20">
        <v>-0.44198655555625299</v>
      </c>
      <c r="J5359" s="28">
        <v>0.65849893477547905</v>
      </c>
      <c r="K5359" s="29">
        <v>0.98289565623980701</v>
      </c>
    </row>
    <row r="5360" spans="1:11" x14ac:dyDescent="0.35">
      <c r="A5360" s="9" t="str">
        <f>HYPERLINK("http://www.ensembl.org/id/WBGene00045678", "WBGene00045678")</f>
        <v>WBGene00045678</v>
      </c>
      <c r="B5360" s="9"/>
      <c r="C5360" s="9"/>
      <c r="D5360" t="str">
        <f>"21ur-1078"</f>
        <v>21ur-1078</v>
      </c>
      <c r="F5360" t="s">
        <v>3161</v>
      </c>
      <c r="H5360" s="12">
        <v>2.3893468495514898</v>
      </c>
      <c r="I5360" s="20">
        <v>0.25323547253672701</v>
      </c>
      <c r="J5360" s="28">
        <v>0.80008625651646104</v>
      </c>
      <c r="K5360" s="29">
        <v>0.98289565623980701</v>
      </c>
    </row>
    <row r="5361" spans="1:11" x14ac:dyDescent="0.35">
      <c r="A5361" s="9" t="str">
        <f>HYPERLINK("http://www.ensembl.org/id/WBGene00166377", "WBGene00166377")</f>
        <v>WBGene00166377</v>
      </c>
      <c r="B5361" s="9"/>
      <c r="C5361" s="9"/>
      <c r="D5361" t="str">
        <f>"21ur-10793"</f>
        <v>21ur-10793</v>
      </c>
      <c r="F5361" t="s">
        <v>3161</v>
      </c>
      <c r="H5361" s="12">
        <v>-2.4295389261469</v>
      </c>
      <c r="I5361" s="20">
        <v>-0.25808529976640998</v>
      </c>
      <c r="J5361" s="28">
        <v>0.79634107645457397</v>
      </c>
      <c r="K5361" s="29">
        <v>0.98289565623980701</v>
      </c>
    </row>
    <row r="5362" spans="1:11" x14ac:dyDescent="0.35">
      <c r="A5362" s="9" t="str">
        <f>HYPERLINK("http://www.ensembl.org/id/WBGene00174620", "WBGene00174620")</f>
        <v>WBGene00174620</v>
      </c>
      <c r="B5362" s="9"/>
      <c r="C5362" s="9"/>
      <c r="D5362" t="str">
        <f>"21ur-10796"</f>
        <v>21ur-10796</v>
      </c>
      <c r="F5362" t="s">
        <v>3161</v>
      </c>
      <c r="H5362" s="12">
        <v>2.3893468495514898</v>
      </c>
      <c r="I5362" s="20">
        <v>0.25323547253672701</v>
      </c>
      <c r="J5362" s="28">
        <v>0.80008625651646104</v>
      </c>
      <c r="K5362" s="29">
        <v>0.98289565623980701</v>
      </c>
    </row>
    <row r="5363" spans="1:11" x14ac:dyDescent="0.35">
      <c r="A5363" s="9" t="str">
        <f>HYPERLINK("http://www.ensembl.org/id/WBGene00168611", "WBGene00168611")</f>
        <v>WBGene00168611</v>
      </c>
      <c r="B5363" s="9"/>
      <c r="C5363" s="9"/>
      <c r="D5363" t="str">
        <f>"21ur-10829"</f>
        <v>21ur-10829</v>
      </c>
      <c r="F5363" t="s">
        <v>3161</v>
      </c>
      <c r="H5363" s="12">
        <v>-9.6815265259172598</v>
      </c>
      <c r="I5363" s="20">
        <v>-0.67531719156077197</v>
      </c>
      <c r="J5363" s="28">
        <v>0.49947426381858001</v>
      </c>
      <c r="K5363" s="29">
        <v>0.98289565623980701</v>
      </c>
    </row>
    <row r="5364" spans="1:11" x14ac:dyDescent="0.35">
      <c r="A5364" s="9" t="str">
        <f>HYPERLINK("http://www.ensembl.org/id/WBGene00169538", "WBGene00169538")</f>
        <v>WBGene00169538</v>
      </c>
      <c r="B5364" s="9"/>
      <c r="C5364" s="9"/>
      <c r="D5364" t="str">
        <f>"21ur-10927"</f>
        <v>21ur-10927</v>
      </c>
      <c r="F5364" t="s">
        <v>3161</v>
      </c>
      <c r="H5364" s="12">
        <v>2.3893468495514898</v>
      </c>
      <c r="I5364" s="20">
        <v>0.25323547253672701</v>
      </c>
      <c r="J5364" s="28">
        <v>0.80008625651646104</v>
      </c>
      <c r="K5364" s="29">
        <v>0.98289565623980701</v>
      </c>
    </row>
    <row r="5365" spans="1:11" x14ac:dyDescent="0.35">
      <c r="A5365" s="9" t="str">
        <f>HYPERLINK("http://www.ensembl.org/id/WBGene00168009", "WBGene00168009")</f>
        <v>WBGene00168009</v>
      </c>
      <c r="B5365" s="9"/>
      <c r="C5365" s="9"/>
      <c r="D5365" t="str">
        <f>"21ur-10952"</f>
        <v>21ur-10952</v>
      </c>
      <c r="F5365" t="s">
        <v>3161</v>
      </c>
      <c r="H5365" s="12">
        <v>-4.9091418681309804</v>
      </c>
      <c r="I5365" s="20">
        <v>-0.54873995166816503</v>
      </c>
      <c r="J5365" s="28">
        <v>0.58318392455661805</v>
      </c>
      <c r="K5365" s="29">
        <v>0.98289565623980701</v>
      </c>
    </row>
    <row r="5366" spans="1:11" x14ac:dyDescent="0.35">
      <c r="A5366" s="9" t="str">
        <f>HYPERLINK("http://www.ensembl.org/id/WBGene00166120", "WBGene00166120")</f>
        <v>WBGene00166120</v>
      </c>
      <c r="B5366" s="9"/>
      <c r="C5366" s="9"/>
      <c r="D5366" t="str">
        <f>"21ur-10967"</f>
        <v>21ur-10967</v>
      </c>
      <c r="F5366" t="s">
        <v>3161</v>
      </c>
      <c r="H5366" s="12">
        <v>5.4871973923358901</v>
      </c>
      <c r="I5366" s="20">
        <v>0.499843548621418</v>
      </c>
      <c r="J5366" s="28">
        <v>0.61718524397184105</v>
      </c>
      <c r="K5366" s="29">
        <v>0.98289565623980701</v>
      </c>
    </row>
    <row r="5367" spans="1:11" x14ac:dyDescent="0.35">
      <c r="A5367" s="9" t="str">
        <f>HYPERLINK("http://www.ensembl.org/id/WBGene00165887", "WBGene00165887")</f>
        <v>WBGene00165887</v>
      </c>
      <c r="B5367" s="9"/>
      <c r="C5367" s="9"/>
      <c r="D5367" t="str">
        <f>"21ur-11045"</f>
        <v>21ur-11045</v>
      </c>
      <c r="F5367" t="s">
        <v>3161</v>
      </c>
      <c r="H5367" s="12">
        <v>4.4454298908329104</v>
      </c>
      <c r="I5367" s="20">
        <v>0.49336101450555597</v>
      </c>
      <c r="J5367" s="28">
        <v>0.62175752365155801</v>
      </c>
      <c r="K5367" s="29">
        <v>0.98289565623980701</v>
      </c>
    </row>
    <row r="5368" spans="1:11" x14ac:dyDescent="0.35">
      <c r="A5368" s="9" t="str">
        <f>HYPERLINK("http://www.ensembl.org/id/WBGene00174796", "WBGene00174796")</f>
        <v>WBGene00174796</v>
      </c>
      <c r="B5368" s="9"/>
      <c r="C5368" s="9"/>
      <c r="D5368" t="str">
        <f>"21ur-11078"</f>
        <v>21ur-11078</v>
      </c>
      <c r="F5368" t="s">
        <v>3161</v>
      </c>
      <c r="H5368" s="12">
        <v>-3.5819448292659501</v>
      </c>
      <c r="I5368" s="20">
        <v>-0.37337717500031398</v>
      </c>
      <c r="J5368" s="28">
        <v>0.70886774492290605</v>
      </c>
      <c r="K5368" s="29">
        <v>0.98289565623980701</v>
      </c>
    </row>
    <row r="5369" spans="1:11" x14ac:dyDescent="0.35">
      <c r="A5369" s="9" t="str">
        <f>HYPERLINK("http://www.ensembl.org/id/WBGene00173713", "WBGene00173713")</f>
        <v>WBGene00173713</v>
      </c>
      <c r="B5369" s="9"/>
      <c r="C5369" s="9"/>
      <c r="D5369" t="str">
        <f>"21ur-11142"</f>
        <v>21ur-11142</v>
      </c>
      <c r="F5369" t="s">
        <v>3161</v>
      </c>
      <c r="H5369" s="12">
        <v>2.3893468495514898</v>
      </c>
      <c r="I5369" s="20">
        <v>0.25323547253672701</v>
      </c>
      <c r="J5369" s="28">
        <v>0.80008625651646104</v>
      </c>
      <c r="K5369" s="29">
        <v>0.98289565623980701</v>
      </c>
    </row>
    <row r="5370" spans="1:11" x14ac:dyDescent="0.35">
      <c r="A5370" s="9" t="str">
        <f>HYPERLINK("http://www.ensembl.org/id/WBGene00167133", "WBGene00167133")</f>
        <v>WBGene00167133</v>
      </c>
      <c r="B5370" s="9"/>
      <c r="C5370" s="9"/>
      <c r="D5370" t="str">
        <f>"21ur-11173"</f>
        <v>21ur-11173</v>
      </c>
      <c r="F5370" t="s">
        <v>3161</v>
      </c>
      <c r="H5370" s="12">
        <v>5.2322000618327396</v>
      </c>
      <c r="I5370" s="20">
        <v>0.486112489888328</v>
      </c>
      <c r="J5370" s="28">
        <v>0.62688741196182496</v>
      </c>
      <c r="K5370" s="29">
        <v>0.98289565623980701</v>
      </c>
    </row>
    <row r="5371" spans="1:11" x14ac:dyDescent="0.35">
      <c r="A5371" s="9" t="str">
        <f>HYPERLINK("http://www.ensembl.org/id/WBGene00169280", "WBGene00169280")</f>
        <v>WBGene00169280</v>
      </c>
      <c r="B5371" s="9"/>
      <c r="C5371" s="9"/>
      <c r="D5371" t="str">
        <f>"21ur-11219"</f>
        <v>21ur-11219</v>
      </c>
      <c r="F5371" t="s">
        <v>3161</v>
      </c>
      <c r="H5371" s="12">
        <v>-2.4295389261469</v>
      </c>
      <c r="I5371" s="20">
        <v>-0.25808529976640998</v>
      </c>
      <c r="J5371" s="28">
        <v>0.79634107645457397</v>
      </c>
      <c r="K5371" s="29">
        <v>0.98289565623980701</v>
      </c>
    </row>
    <row r="5372" spans="1:11" x14ac:dyDescent="0.35">
      <c r="A5372" s="9" t="str">
        <f>HYPERLINK("http://www.ensembl.org/id/WBGene00049498", "WBGene00049498")</f>
        <v>WBGene00049498</v>
      </c>
      <c r="B5372" s="9"/>
      <c r="C5372" s="9"/>
      <c r="D5372" t="str">
        <f>"21ur-1123"</f>
        <v>21ur-1123</v>
      </c>
      <c r="F5372" t="s">
        <v>3161</v>
      </c>
      <c r="H5372" s="12">
        <v>2.3893468495514898</v>
      </c>
      <c r="I5372" s="20">
        <v>0.25323547253672701</v>
      </c>
      <c r="J5372" s="28">
        <v>0.80008625651646104</v>
      </c>
      <c r="K5372" s="29">
        <v>0.98289565623980701</v>
      </c>
    </row>
    <row r="5373" spans="1:11" x14ac:dyDescent="0.35">
      <c r="A5373" s="9" t="str">
        <f>HYPERLINK("http://www.ensembl.org/id/WBGene00171761", "WBGene00171761")</f>
        <v>WBGene00171761</v>
      </c>
      <c r="B5373" s="9"/>
      <c r="C5373" s="9"/>
      <c r="D5373" t="str">
        <f>"21ur-11303"</f>
        <v>21ur-11303</v>
      </c>
      <c r="F5373" t="s">
        <v>3161</v>
      </c>
      <c r="H5373" s="12">
        <v>3.6645215954135</v>
      </c>
      <c r="I5373" s="20">
        <v>0.37967131826092498</v>
      </c>
      <c r="J5373" s="28">
        <v>0.70418941338960395</v>
      </c>
      <c r="K5373" s="29">
        <v>0.98289565623980701</v>
      </c>
    </row>
    <row r="5374" spans="1:11" x14ac:dyDescent="0.35">
      <c r="A5374" s="9" t="str">
        <f>HYPERLINK("http://www.ensembl.org/id/WBGene00171895", "WBGene00171895")</f>
        <v>WBGene00171895</v>
      </c>
      <c r="B5374" s="9"/>
      <c r="C5374" s="9"/>
      <c r="D5374" t="str">
        <f>"21ur-11311"</f>
        <v>21ur-11311</v>
      </c>
      <c r="F5374" t="s">
        <v>3161</v>
      </c>
      <c r="H5374" s="12">
        <v>-3.7261494131482999</v>
      </c>
      <c r="I5374" s="20">
        <v>-0.38454673129429601</v>
      </c>
      <c r="J5374" s="28">
        <v>0.70057326682554</v>
      </c>
      <c r="K5374" s="29">
        <v>0.98289565623980701</v>
      </c>
    </row>
    <row r="5375" spans="1:11" x14ac:dyDescent="0.35">
      <c r="A5375" s="9" t="str">
        <f>HYPERLINK("http://www.ensembl.org/id/WBGene00046883", "WBGene00046883")</f>
        <v>WBGene00046883</v>
      </c>
      <c r="B5375" s="9"/>
      <c r="C5375" s="9"/>
      <c r="D5375" t="str">
        <f>"21ur-1135"</f>
        <v>21ur-1135</v>
      </c>
      <c r="F5375" t="s">
        <v>3161</v>
      </c>
      <c r="H5375" s="12">
        <v>2.3893468495514898</v>
      </c>
      <c r="I5375" s="20">
        <v>0.25323547253672701</v>
      </c>
      <c r="J5375" s="28">
        <v>0.80008625651646104</v>
      </c>
      <c r="K5375" s="29">
        <v>0.98289565623980701</v>
      </c>
    </row>
    <row r="5376" spans="1:11" x14ac:dyDescent="0.35">
      <c r="A5376" s="9" t="str">
        <f>HYPERLINK("http://www.ensembl.org/id/WBGene00167776", "WBGene00167776")</f>
        <v>WBGene00167776</v>
      </c>
      <c r="B5376" s="9"/>
      <c r="C5376" s="9"/>
      <c r="D5376" t="str">
        <f>"21ur-11377"</f>
        <v>21ur-11377</v>
      </c>
      <c r="F5376" t="s">
        <v>3161</v>
      </c>
      <c r="H5376" s="12">
        <v>5.2322000618327396</v>
      </c>
      <c r="I5376" s="20">
        <v>0.486112489888328</v>
      </c>
      <c r="J5376" s="28">
        <v>0.62688741196182496</v>
      </c>
      <c r="K5376" s="29">
        <v>0.98289565623980701</v>
      </c>
    </row>
    <row r="5377" spans="1:11" x14ac:dyDescent="0.35">
      <c r="A5377" s="9" t="str">
        <f>HYPERLINK("http://www.ensembl.org/id/WBGene00046469", "WBGene00046469")</f>
        <v>WBGene00046469</v>
      </c>
      <c r="B5377" s="9"/>
      <c r="C5377" s="9"/>
      <c r="D5377" t="str">
        <f>"21ur-1141"</f>
        <v>21ur-1141</v>
      </c>
      <c r="F5377" t="s">
        <v>3161</v>
      </c>
      <c r="H5377" s="12">
        <v>2.4578120077400301</v>
      </c>
      <c r="I5377" s="20">
        <v>0.26093350314551</v>
      </c>
      <c r="J5377" s="28">
        <v>0.79414378780213601</v>
      </c>
      <c r="K5377" s="29">
        <v>0.98289565623980701</v>
      </c>
    </row>
    <row r="5378" spans="1:11" x14ac:dyDescent="0.35">
      <c r="A5378" s="9" t="str">
        <f>HYPERLINK("http://www.ensembl.org/id/WBGene00169244", "WBGene00169244")</f>
        <v>WBGene00169244</v>
      </c>
      <c r="B5378" s="9"/>
      <c r="C5378" s="9"/>
      <c r="D5378" t="str">
        <f>"21ur-11450"</f>
        <v>21ur-11450</v>
      </c>
      <c r="F5378" t="s">
        <v>3161</v>
      </c>
      <c r="H5378" s="12">
        <v>2.3893468495514898</v>
      </c>
      <c r="I5378" s="20">
        <v>0.25323547253672701</v>
      </c>
      <c r="J5378" s="28">
        <v>0.80008625651646104</v>
      </c>
      <c r="K5378" s="29">
        <v>0.98289565623980701</v>
      </c>
    </row>
    <row r="5379" spans="1:11" x14ac:dyDescent="0.35">
      <c r="A5379" s="9" t="str">
        <f>HYPERLINK("http://www.ensembl.org/id/WBGene00165893", "WBGene00165893")</f>
        <v>WBGene00165893</v>
      </c>
      <c r="B5379" s="9"/>
      <c r="C5379" s="9"/>
      <c r="D5379" t="str">
        <f>"21ur-11466"</f>
        <v>21ur-11466</v>
      </c>
      <c r="F5379" t="s">
        <v>3161</v>
      </c>
      <c r="H5379" s="12">
        <v>2.3893468495514898</v>
      </c>
      <c r="I5379" s="20">
        <v>0.25323547253672701</v>
      </c>
      <c r="J5379" s="28">
        <v>0.80008625651646104</v>
      </c>
      <c r="K5379" s="29">
        <v>0.98289565623980701</v>
      </c>
    </row>
    <row r="5380" spans="1:11" x14ac:dyDescent="0.35">
      <c r="A5380" s="9" t="str">
        <f>HYPERLINK("http://www.ensembl.org/id/WBGene00173716", "WBGene00173716")</f>
        <v>WBGene00173716</v>
      </c>
      <c r="B5380" s="9"/>
      <c r="C5380" s="9"/>
      <c r="D5380" t="str">
        <f>"21ur-11469"</f>
        <v>21ur-11469</v>
      </c>
      <c r="F5380" t="s">
        <v>3161</v>
      </c>
      <c r="H5380" s="12">
        <v>2.3893468495514898</v>
      </c>
      <c r="I5380" s="20">
        <v>0.25323547253672701</v>
      </c>
      <c r="J5380" s="28">
        <v>0.80008625651646104</v>
      </c>
      <c r="K5380" s="29">
        <v>0.98289565623980701</v>
      </c>
    </row>
    <row r="5381" spans="1:11" x14ac:dyDescent="0.35">
      <c r="A5381" s="9" t="str">
        <f>HYPERLINK("http://www.ensembl.org/id/WBGene00172983", "WBGene00172983")</f>
        <v>WBGene00172983</v>
      </c>
      <c r="B5381" s="9"/>
      <c r="C5381" s="9"/>
      <c r="D5381" t="str">
        <f>"21ur-11512"</f>
        <v>21ur-11512</v>
      </c>
      <c r="F5381" t="s">
        <v>3161</v>
      </c>
      <c r="H5381" s="12">
        <v>2.3893468495514898</v>
      </c>
      <c r="I5381" s="20">
        <v>0.25323547253672701</v>
      </c>
      <c r="J5381" s="28">
        <v>0.80008625651646104</v>
      </c>
      <c r="K5381" s="29">
        <v>0.98289565623980701</v>
      </c>
    </row>
    <row r="5382" spans="1:11" x14ac:dyDescent="0.35">
      <c r="A5382" s="9" t="str">
        <f>HYPERLINK("http://www.ensembl.org/id/WBGene00173231", "WBGene00173231")</f>
        <v>WBGene00173231</v>
      </c>
      <c r="B5382" s="9"/>
      <c r="C5382" s="9"/>
      <c r="D5382" t="str">
        <f>"21ur-11565"</f>
        <v>21ur-11565</v>
      </c>
      <c r="F5382" t="s">
        <v>3161</v>
      </c>
      <c r="H5382" s="12">
        <v>-2.5147643205975001</v>
      </c>
      <c r="I5382" s="20">
        <v>-0.65613910072096004</v>
      </c>
      <c r="J5382" s="28">
        <v>0.51173462827605198</v>
      </c>
      <c r="K5382" s="29">
        <v>0.98289565623980701</v>
      </c>
    </row>
    <row r="5383" spans="1:11" x14ac:dyDescent="0.35">
      <c r="A5383" s="9" t="str">
        <f>HYPERLINK("http://www.ensembl.org/id/WBGene00172516", "WBGene00172516")</f>
        <v>WBGene00172516</v>
      </c>
      <c r="B5383" s="9"/>
      <c r="C5383" s="9"/>
      <c r="D5383" t="str">
        <f>"21ur-11602"</f>
        <v>21ur-11602</v>
      </c>
      <c r="F5383" t="s">
        <v>3161</v>
      </c>
      <c r="H5383" s="12">
        <v>3.6645215954135</v>
      </c>
      <c r="I5383" s="20">
        <v>0.37967131826092498</v>
      </c>
      <c r="J5383" s="28">
        <v>0.70418941338960395</v>
      </c>
      <c r="K5383" s="29">
        <v>0.98289565623980701</v>
      </c>
    </row>
    <row r="5384" spans="1:11" x14ac:dyDescent="0.35">
      <c r="A5384" s="9" t="str">
        <f>HYPERLINK("http://www.ensembl.org/id/WBGene00172417", "WBGene00172417")</f>
        <v>WBGene00172417</v>
      </c>
      <c r="B5384" s="9"/>
      <c r="C5384" s="9"/>
      <c r="D5384" t="str">
        <f>"21ur-11604"</f>
        <v>21ur-11604</v>
      </c>
      <c r="F5384" t="s">
        <v>3161</v>
      </c>
      <c r="H5384" s="12">
        <v>2.3893468495514898</v>
      </c>
      <c r="I5384" s="20">
        <v>0.25323547253672701</v>
      </c>
      <c r="J5384" s="28">
        <v>0.80008625651646104</v>
      </c>
      <c r="K5384" s="29">
        <v>0.98289565623980701</v>
      </c>
    </row>
    <row r="5385" spans="1:11" x14ac:dyDescent="0.35">
      <c r="A5385" s="9" t="str">
        <f>HYPERLINK("http://www.ensembl.org/id/WBGene00169903", "WBGene00169903")</f>
        <v>WBGene00169903</v>
      </c>
      <c r="B5385" s="9"/>
      <c r="C5385" s="9"/>
      <c r="D5385" t="str">
        <f>"21ur-11625"</f>
        <v>21ur-11625</v>
      </c>
      <c r="F5385" t="s">
        <v>3161</v>
      </c>
      <c r="H5385" s="12">
        <v>11.170998397396099</v>
      </c>
      <c r="I5385" s="20">
        <v>0.72284615686154896</v>
      </c>
      <c r="J5385" s="28">
        <v>0.46977440626377698</v>
      </c>
      <c r="K5385" s="29">
        <v>0.98289565623980701</v>
      </c>
    </row>
    <row r="5386" spans="1:11" x14ac:dyDescent="0.35">
      <c r="A5386" s="9" t="str">
        <f>HYPERLINK("http://www.ensembl.org/id/WBGene00168457", "WBGene00168457")</f>
        <v>WBGene00168457</v>
      </c>
      <c r="B5386" s="9"/>
      <c r="C5386" s="9"/>
      <c r="D5386" t="str">
        <f>"21ur-11631"</f>
        <v>21ur-11631</v>
      </c>
      <c r="F5386" t="s">
        <v>3161</v>
      </c>
      <c r="H5386" s="12">
        <v>-3.5819448292659501</v>
      </c>
      <c r="I5386" s="20">
        <v>-0.37337717500031398</v>
      </c>
      <c r="J5386" s="28">
        <v>0.70886774492290605</v>
      </c>
      <c r="K5386" s="29">
        <v>0.98289565623980701</v>
      </c>
    </row>
    <row r="5387" spans="1:11" x14ac:dyDescent="0.35">
      <c r="A5387" s="9" t="str">
        <f>HYPERLINK("http://www.ensembl.org/id/WBGene00172223", "WBGene00172223")</f>
        <v>WBGene00172223</v>
      </c>
      <c r="B5387" s="9"/>
      <c r="C5387" s="9"/>
      <c r="D5387" t="str">
        <f>"21ur-11665"</f>
        <v>21ur-11665</v>
      </c>
      <c r="F5387" t="s">
        <v>3161</v>
      </c>
      <c r="H5387" s="12">
        <v>2.4578120077400301</v>
      </c>
      <c r="I5387" s="20">
        <v>0.26093350314551</v>
      </c>
      <c r="J5387" s="28">
        <v>0.79414378780213601</v>
      </c>
      <c r="K5387" s="29">
        <v>0.98289565623980701</v>
      </c>
    </row>
    <row r="5388" spans="1:11" x14ac:dyDescent="0.35">
      <c r="A5388" s="9" t="str">
        <f>HYPERLINK("http://www.ensembl.org/id/WBGene00050135", "WBGene00050135")</f>
        <v>WBGene00050135</v>
      </c>
      <c r="B5388" s="9"/>
      <c r="C5388" s="9"/>
      <c r="D5388" t="str">
        <f>"21ur-1179"</f>
        <v>21ur-1179</v>
      </c>
      <c r="F5388" t="s">
        <v>3161</v>
      </c>
      <c r="H5388" s="12">
        <v>2.4578120077400301</v>
      </c>
      <c r="I5388" s="20">
        <v>0.26093350314551</v>
      </c>
      <c r="J5388" s="28">
        <v>0.79414378780213601</v>
      </c>
      <c r="K5388" s="29">
        <v>0.98289565623980701</v>
      </c>
    </row>
    <row r="5389" spans="1:11" x14ac:dyDescent="0.35">
      <c r="A5389" s="9" t="str">
        <f>HYPERLINK("http://www.ensembl.org/id/WBGene00168225", "WBGene00168225")</f>
        <v>WBGene00168225</v>
      </c>
      <c r="B5389" s="9"/>
      <c r="C5389" s="9"/>
      <c r="D5389" t="str">
        <f>"21ur-11797"</f>
        <v>21ur-11797</v>
      </c>
      <c r="F5389" t="s">
        <v>3161</v>
      </c>
      <c r="H5389" s="12">
        <v>-4.5353626266107296</v>
      </c>
      <c r="I5389" s="20">
        <v>-1.0123116297611601</v>
      </c>
      <c r="J5389" s="28">
        <v>0.31138907600157001</v>
      </c>
      <c r="K5389" s="29">
        <v>0.98289565623980701</v>
      </c>
    </row>
    <row r="5390" spans="1:11" x14ac:dyDescent="0.35">
      <c r="A5390" s="9" t="str">
        <f>HYPERLINK("http://www.ensembl.org/id/WBGene00165284", "WBGene00165284")</f>
        <v>WBGene00165284</v>
      </c>
      <c r="B5390" s="9"/>
      <c r="C5390" s="9"/>
      <c r="D5390" t="str">
        <f>"21ur-11829"</f>
        <v>21ur-11829</v>
      </c>
      <c r="F5390" t="s">
        <v>3161</v>
      </c>
      <c r="H5390" s="12">
        <v>3.5227018545059199</v>
      </c>
      <c r="I5390" s="20">
        <v>0.36849691206929103</v>
      </c>
      <c r="J5390" s="28">
        <v>0.71250274722433404</v>
      </c>
      <c r="K5390" s="29">
        <v>0.98289565623980701</v>
      </c>
    </row>
    <row r="5391" spans="1:11" x14ac:dyDescent="0.35">
      <c r="A5391" s="9" t="str">
        <f>HYPERLINK("http://www.ensembl.org/id/WBGene00171141", "WBGene00171141")</f>
        <v>WBGene00171141</v>
      </c>
      <c r="B5391" s="9"/>
      <c r="C5391" s="9"/>
      <c r="D5391" t="str">
        <f>"21ur-11845"</f>
        <v>21ur-11845</v>
      </c>
      <c r="F5391" t="s">
        <v>3161</v>
      </c>
      <c r="H5391" s="12">
        <v>2.3893468495514898</v>
      </c>
      <c r="I5391" s="20">
        <v>0.25323547253672701</v>
      </c>
      <c r="J5391" s="28">
        <v>0.80008625651646104</v>
      </c>
      <c r="K5391" s="29">
        <v>0.98289565623980701</v>
      </c>
    </row>
    <row r="5392" spans="1:11" x14ac:dyDescent="0.35">
      <c r="A5392" s="9" t="str">
        <f>HYPERLINK("http://www.ensembl.org/id/WBGene00046581", "WBGene00046581")</f>
        <v>WBGene00046581</v>
      </c>
      <c r="B5392" s="9"/>
      <c r="C5392" s="9"/>
      <c r="D5392" t="str">
        <f>"21ur-1201"</f>
        <v>21ur-1201</v>
      </c>
      <c r="F5392" t="s">
        <v>3161</v>
      </c>
      <c r="H5392" s="12">
        <v>3.5227018545059199</v>
      </c>
      <c r="I5392" s="20">
        <v>0.36849691206929103</v>
      </c>
      <c r="J5392" s="28">
        <v>0.71250274722433404</v>
      </c>
      <c r="K5392" s="29">
        <v>0.98289565623980701</v>
      </c>
    </row>
    <row r="5393" spans="1:11" x14ac:dyDescent="0.35">
      <c r="A5393" s="9" t="str">
        <f>HYPERLINK("http://www.ensembl.org/id/WBGene00165783", "WBGene00165783")</f>
        <v>WBGene00165783</v>
      </c>
      <c r="B5393" s="9"/>
      <c r="C5393" s="9"/>
      <c r="D5393" t="str">
        <f>"21ur-12037"</f>
        <v>21ur-12037</v>
      </c>
      <c r="F5393" t="s">
        <v>3161</v>
      </c>
      <c r="H5393" s="12">
        <v>-3.7261494131482999</v>
      </c>
      <c r="I5393" s="20">
        <v>-0.38454673129429601</v>
      </c>
      <c r="J5393" s="28">
        <v>0.70057326682554</v>
      </c>
      <c r="K5393" s="29">
        <v>0.98289565623980701</v>
      </c>
    </row>
    <row r="5394" spans="1:11" x14ac:dyDescent="0.35">
      <c r="A5394" s="9" t="str">
        <f>HYPERLINK("http://www.ensembl.org/id/WBGene00169462", "WBGene00169462")</f>
        <v>WBGene00169462</v>
      </c>
      <c r="B5394" s="9"/>
      <c r="C5394" s="9"/>
      <c r="D5394" t="str">
        <f>"21ur-12039"</f>
        <v>21ur-12039</v>
      </c>
      <c r="F5394" t="s">
        <v>3161</v>
      </c>
      <c r="H5394" s="12">
        <v>2.4578120077400301</v>
      </c>
      <c r="I5394" s="20">
        <v>0.26093350314551</v>
      </c>
      <c r="J5394" s="28">
        <v>0.79414378780213601</v>
      </c>
      <c r="K5394" s="29">
        <v>0.98289565623980701</v>
      </c>
    </row>
    <row r="5395" spans="1:11" x14ac:dyDescent="0.35">
      <c r="A5395" s="9" t="str">
        <f>HYPERLINK("http://www.ensembl.org/id/WBGene00047114", "WBGene00047114")</f>
        <v>WBGene00047114</v>
      </c>
      <c r="B5395" s="9"/>
      <c r="C5395" s="9"/>
      <c r="D5395" t="str">
        <f>"21ur-1204"</f>
        <v>21ur-1204</v>
      </c>
      <c r="F5395" t="s">
        <v>3161</v>
      </c>
      <c r="H5395" s="12">
        <v>5.4058944669092801</v>
      </c>
      <c r="I5395" s="20">
        <v>0.49762513753689303</v>
      </c>
      <c r="J5395" s="28">
        <v>0.61874828254921799</v>
      </c>
      <c r="K5395" s="29">
        <v>0.98289565623980701</v>
      </c>
    </row>
    <row r="5396" spans="1:11" x14ac:dyDescent="0.35">
      <c r="A5396" s="9" t="str">
        <f>HYPERLINK("http://www.ensembl.org/id/WBGene00168971", "WBGene00168971")</f>
        <v>WBGene00168971</v>
      </c>
      <c r="B5396" s="9"/>
      <c r="C5396" s="9"/>
      <c r="D5396" t="str">
        <f>"21ur-12040"</f>
        <v>21ur-12040</v>
      </c>
      <c r="F5396" t="s">
        <v>3161</v>
      </c>
      <c r="H5396" s="12">
        <v>2.4578120077400301</v>
      </c>
      <c r="I5396" s="20">
        <v>0.26093350314551</v>
      </c>
      <c r="J5396" s="28">
        <v>0.79414378780213601</v>
      </c>
      <c r="K5396" s="29">
        <v>0.98289565623980701</v>
      </c>
    </row>
    <row r="5397" spans="1:11" x14ac:dyDescent="0.35">
      <c r="A5397" s="9" t="str">
        <f>HYPERLINK("http://www.ensembl.org/id/WBGene00165570", "WBGene00165570")</f>
        <v>WBGene00165570</v>
      </c>
      <c r="B5397" s="9"/>
      <c r="C5397" s="9"/>
      <c r="D5397" t="str">
        <f>"21ur-12080"</f>
        <v>21ur-12080</v>
      </c>
      <c r="F5397" t="s">
        <v>3161</v>
      </c>
      <c r="H5397" s="12">
        <v>3.5227018545059199</v>
      </c>
      <c r="I5397" s="20">
        <v>0.36849691206929103</v>
      </c>
      <c r="J5397" s="28">
        <v>0.71250274722433404</v>
      </c>
      <c r="K5397" s="29">
        <v>0.98289565623980701</v>
      </c>
    </row>
    <row r="5398" spans="1:11" x14ac:dyDescent="0.35">
      <c r="A5398" s="9" t="str">
        <f>HYPERLINK("http://www.ensembl.org/id/WBGene00173564", "WBGene00173564")</f>
        <v>WBGene00173564</v>
      </c>
      <c r="B5398" s="9"/>
      <c r="C5398" s="9"/>
      <c r="D5398" t="str">
        <f>"21ur-12095"</f>
        <v>21ur-12095</v>
      </c>
      <c r="F5398" t="s">
        <v>3161</v>
      </c>
      <c r="H5398" s="12">
        <v>-4.7167679298615104</v>
      </c>
      <c r="I5398" s="20">
        <v>-0.454742638005115</v>
      </c>
      <c r="J5398" s="28">
        <v>0.64929440216969203</v>
      </c>
      <c r="K5398" s="29">
        <v>0.98289565623980701</v>
      </c>
    </row>
    <row r="5399" spans="1:11" x14ac:dyDescent="0.35">
      <c r="A5399" s="9" t="str">
        <f>HYPERLINK("http://www.ensembl.org/id/WBGene00170744", "WBGene00170744")</f>
        <v>WBGene00170744</v>
      </c>
      <c r="B5399" s="9"/>
      <c r="C5399" s="9"/>
      <c r="D5399" t="str">
        <f>"21ur-12100"</f>
        <v>21ur-12100</v>
      </c>
      <c r="F5399" t="s">
        <v>3161</v>
      </c>
      <c r="H5399" s="12">
        <v>-2.4991590031922399</v>
      </c>
      <c r="I5399" s="20">
        <v>-0.26577412737581302</v>
      </c>
      <c r="J5399" s="28">
        <v>0.79041317015736101</v>
      </c>
      <c r="K5399" s="29">
        <v>0.98289565623980701</v>
      </c>
    </row>
    <row r="5400" spans="1:11" x14ac:dyDescent="0.35">
      <c r="A5400" s="9" t="str">
        <f>HYPERLINK("http://www.ensembl.org/id/WBGene00168654", "WBGene00168654")</f>
        <v>WBGene00168654</v>
      </c>
      <c r="B5400" s="9"/>
      <c r="C5400" s="9"/>
      <c r="D5400" t="str">
        <f>"21ur-12145"</f>
        <v>21ur-12145</v>
      </c>
      <c r="F5400" t="s">
        <v>3161</v>
      </c>
      <c r="H5400" s="12">
        <v>-3.5819448292659501</v>
      </c>
      <c r="I5400" s="20">
        <v>-0.37337717500031398</v>
      </c>
      <c r="J5400" s="28">
        <v>0.70886774492290605</v>
      </c>
      <c r="K5400" s="29">
        <v>0.98289565623980701</v>
      </c>
    </row>
    <row r="5401" spans="1:11" x14ac:dyDescent="0.35">
      <c r="A5401" s="9" t="str">
        <f>HYPERLINK("http://www.ensembl.org/id/WBGene00166924", "WBGene00166924")</f>
        <v>WBGene00166924</v>
      </c>
      <c r="B5401" s="9"/>
      <c r="C5401" s="9"/>
      <c r="D5401" t="str">
        <f>"21ur-12180"</f>
        <v>21ur-12180</v>
      </c>
      <c r="F5401" t="s">
        <v>3161</v>
      </c>
      <c r="H5401" s="12">
        <v>5.4871973923358901</v>
      </c>
      <c r="I5401" s="20">
        <v>0.499843548621418</v>
      </c>
      <c r="J5401" s="28">
        <v>0.61718524397184105</v>
      </c>
      <c r="K5401" s="29">
        <v>0.98289565623980701</v>
      </c>
    </row>
    <row r="5402" spans="1:11" x14ac:dyDescent="0.35">
      <c r="A5402" s="9" t="str">
        <f>HYPERLINK("http://www.ensembl.org/id/WBGene00171347", "WBGene00171347")</f>
        <v>WBGene00171347</v>
      </c>
      <c r="B5402" s="9"/>
      <c r="C5402" s="9"/>
      <c r="D5402" t="str">
        <f>"21ur-12215"</f>
        <v>21ur-12215</v>
      </c>
      <c r="F5402" t="s">
        <v>3161</v>
      </c>
      <c r="H5402" s="12">
        <v>-8.0014360469151899</v>
      </c>
      <c r="I5402" s="20">
        <v>-0.61746222315259702</v>
      </c>
      <c r="J5402" s="28">
        <v>0.536929891129723</v>
      </c>
      <c r="K5402" s="29">
        <v>0.98289565623980701</v>
      </c>
    </row>
    <row r="5403" spans="1:11" x14ac:dyDescent="0.35">
      <c r="A5403" s="9" t="str">
        <f>HYPERLINK("http://www.ensembl.org/id/WBGene00174366", "WBGene00174366")</f>
        <v>WBGene00174366</v>
      </c>
      <c r="B5403" s="9"/>
      <c r="C5403" s="9"/>
      <c r="D5403" t="str">
        <f>"21ur-12218"</f>
        <v>21ur-12218</v>
      </c>
      <c r="F5403" t="s">
        <v>3161</v>
      </c>
      <c r="H5403" s="12">
        <v>5.2954185682811996</v>
      </c>
      <c r="I5403" s="20">
        <v>0.58847157202951395</v>
      </c>
      <c r="J5403" s="28">
        <v>0.55621580972939799</v>
      </c>
      <c r="K5403" s="29">
        <v>0.98289565623980701</v>
      </c>
    </row>
    <row r="5404" spans="1:11" x14ac:dyDescent="0.35">
      <c r="A5404" s="9" t="str">
        <f>HYPERLINK("http://www.ensembl.org/id/WBGene00165192", "WBGene00165192")</f>
        <v>WBGene00165192</v>
      </c>
      <c r="B5404" s="9"/>
      <c r="C5404" s="9"/>
      <c r="D5404" t="str">
        <f>"21ur-12224"</f>
        <v>21ur-12224</v>
      </c>
      <c r="F5404" t="s">
        <v>3161</v>
      </c>
      <c r="H5404" s="12">
        <v>8.8964975156847093</v>
      </c>
      <c r="I5404" s="20">
        <v>0.93656606115315499</v>
      </c>
      <c r="J5404" s="28">
        <v>0.34898181658594901</v>
      </c>
      <c r="K5404" s="29">
        <v>0.98289565623980701</v>
      </c>
    </row>
    <row r="5405" spans="1:11" x14ac:dyDescent="0.35">
      <c r="A5405" s="9" t="str">
        <f>HYPERLINK("http://www.ensembl.org/id/WBGene00173360", "WBGene00173360")</f>
        <v>WBGene00173360</v>
      </c>
      <c r="B5405" s="9"/>
      <c r="C5405" s="9"/>
      <c r="D5405" t="str">
        <f>"21ur-12231"</f>
        <v>21ur-12231</v>
      </c>
      <c r="F5405" t="s">
        <v>3161</v>
      </c>
      <c r="H5405" s="12">
        <v>2.4578120077400301</v>
      </c>
      <c r="I5405" s="20">
        <v>0.26093350314551</v>
      </c>
      <c r="J5405" s="28">
        <v>0.79414378780213601</v>
      </c>
      <c r="K5405" s="29">
        <v>0.98289565623980701</v>
      </c>
    </row>
    <row r="5406" spans="1:11" x14ac:dyDescent="0.35">
      <c r="A5406" s="9" t="str">
        <f>HYPERLINK("http://www.ensembl.org/id/WBGene00174571", "WBGene00174571")</f>
        <v>WBGene00174571</v>
      </c>
      <c r="B5406" s="9"/>
      <c r="C5406" s="9"/>
      <c r="D5406" t="str">
        <f>"21ur-12257"</f>
        <v>21ur-12257</v>
      </c>
      <c r="F5406" t="s">
        <v>3161</v>
      </c>
      <c r="H5406" s="12">
        <v>5.4058944669092801</v>
      </c>
      <c r="I5406" s="20">
        <v>0.49762513753689303</v>
      </c>
      <c r="J5406" s="28">
        <v>0.61874828254921799</v>
      </c>
      <c r="K5406" s="29">
        <v>0.98289565623980701</v>
      </c>
    </row>
    <row r="5407" spans="1:11" x14ac:dyDescent="0.35">
      <c r="A5407" s="9" t="str">
        <f>HYPERLINK("http://www.ensembl.org/id/WBGene00171975", "WBGene00171975")</f>
        <v>WBGene00171975</v>
      </c>
      <c r="B5407" s="9"/>
      <c r="C5407" s="9"/>
      <c r="D5407" t="str">
        <f>"21ur-12271"</f>
        <v>21ur-12271</v>
      </c>
      <c r="F5407" t="s">
        <v>3161</v>
      </c>
      <c r="H5407" s="12">
        <v>3.5227018545059199</v>
      </c>
      <c r="I5407" s="20">
        <v>0.36849691206929103</v>
      </c>
      <c r="J5407" s="28">
        <v>0.71250274722433404</v>
      </c>
      <c r="K5407" s="29">
        <v>0.98289565623980701</v>
      </c>
    </row>
    <row r="5408" spans="1:11" x14ac:dyDescent="0.35">
      <c r="A5408" s="9" t="str">
        <f>HYPERLINK("http://www.ensembl.org/id/WBGene00173053", "WBGene00173053")</f>
        <v>WBGene00173053</v>
      </c>
      <c r="B5408" s="9"/>
      <c r="C5408" s="9"/>
      <c r="D5408" t="str">
        <f>"21ur-12272"</f>
        <v>21ur-12272</v>
      </c>
      <c r="F5408" t="s">
        <v>3161</v>
      </c>
      <c r="H5408" s="12">
        <v>2.3893468495514898</v>
      </c>
      <c r="I5408" s="20">
        <v>0.25323547253672701</v>
      </c>
      <c r="J5408" s="28">
        <v>0.80008625651646104</v>
      </c>
      <c r="K5408" s="29">
        <v>0.98289565623980701</v>
      </c>
    </row>
    <row r="5409" spans="1:11" x14ac:dyDescent="0.35">
      <c r="A5409" s="9" t="str">
        <f>HYPERLINK("http://www.ensembl.org/id/WBGene00173044", "WBGene00173044")</f>
        <v>WBGene00173044</v>
      </c>
      <c r="B5409" s="9"/>
      <c r="C5409" s="9"/>
      <c r="D5409" t="str">
        <f>"21ur-12286"</f>
        <v>21ur-12286</v>
      </c>
      <c r="F5409" t="s">
        <v>3161</v>
      </c>
      <c r="H5409" s="12">
        <v>2.3893468495514898</v>
      </c>
      <c r="I5409" s="20">
        <v>0.25323547253672701</v>
      </c>
      <c r="J5409" s="28">
        <v>0.80008625651646104</v>
      </c>
      <c r="K5409" s="29">
        <v>0.98289565623980701</v>
      </c>
    </row>
    <row r="5410" spans="1:11" x14ac:dyDescent="0.35">
      <c r="A5410" s="9" t="str">
        <f>HYPERLINK("http://www.ensembl.org/id/WBGene00174624", "WBGene00174624")</f>
        <v>WBGene00174624</v>
      </c>
      <c r="B5410" s="9"/>
      <c r="C5410" s="9"/>
      <c r="D5410" t="str">
        <f>"21ur-12305"</f>
        <v>21ur-12305</v>
      </c>
      <c r="F5410" t="s">
        <v>3161</v>
      </c>
      <c r="H5410" s="12">
        <v>7.6616465944663696</v>
      </c>
      <c r="I5410" s="20">
        <v>0.60406875593600395</v>
      </c>
      <c r="J5410" s="28">
        <v>0.54579793098927099</v>
      </c>
      <c r="K5410" s="29">
        <v>0.98289565623980701</v>
      </c>
    </row>
    <row r="5411" spans="1:11" x14ac:dyDescent="0.35">
      <c r="A5411" s="9" t="str">
        <f>HYPERLINK("http://www.ensembl.org/id/WBGene00173615", "WBGene00173615")</f>
        <v>WBGene00173615</v>
      </c>
      <c r="B5411" s="9"/>
      <c r="C5411" s="9"/>
      <c r="D5411" t="str">
        <f>"21ur-12311"</f>
        <v>21ur-12311</v>
      </c>
      <c r="F5411" t="s">
        <v>3161</v>
      </c>
      <c r="H5411" s="12">
        <v>-2.4991590031922399</v>
      </c>
      <c r="I5411" s="20">
        <v>-0.26577412737581302</v>
      </c>
      <c r="J5411" s="28">
        <v>0.79041317015736101</v>
      </c>
      <c r="K5411" s="29">
        <v>0.98289565623980701</v>
      </c>
    </row>
    <row r="5412" spans="1:11" x14ac:dyDescent="0.35">
      <c r="A5412" s="9" t="str">
        <f>HYPERLINK("http://www.ensembl.org/id/WBGene00166311", "WBGene00166311")</f>
        <v>WBGene00166311</v>
      </c>
      <c r="B5412" s="9"/>
      <c r="C5412" s="9"/>
      <c r="D5412" t="str">
        <f>"21ur-12330"</f>
        <v>21ur-12330</v>
      </c>
      <c r="F5412" t="s">
        <v>3161</v>
      </c>
      <c r="H5412" s="12">
        <v>-5.4967879193631202</v>
      </c>
      <c r="I5412" s="20">
        <v>-0.50254160819837501</v>
      </c>
      <c r="J5412" s="28">
        <v>0.61528659178453604</v>
      </c>
      <c r="K5412" s="29">
        <v>0.98289565623980701</v>
      </c>
    </row>
    <row r="5413" spans="1:11" x14ac:dyDescent="0.35">
      <c r="A5413" s="9" t="str">
        <f>HYPERLINK("http://www.ensembl.org/id/WBGene00168915", "WBGene00168915")</f>
        <v>WBGene00168915</v>
      </c>
      <c r="B5413" s="9"/>
      <c r="C5413" s="9"/>
      <c r="D5413" t="str">
        <f>"21ur-12346"</f>
        <v>21ur-12346</v>
      </c>
      <c r="F5413" t="s">
        <v>3161</v>
      </c>
      <c r="H5413" s="12">
        <v>-3.7261494131482999</v>
      </c>
      <c r="I5413" s="20">
        <v>-0.38454673129429601</v>
      </c>
      <c r="J5413" s="28">
        <v>0.70057326682554</v>
      </c>
      <c r="K5413" s="29">
        <v>0.98289565623980701</v>
      </c>
    </row>
    <row r="5414" spans="1:11" x14ac:dyDescent="0.35">
      <c r="A5414" s="9" t="str">
        <f>HYPERLINK("http://www.ensembl.org/id/WBGene00168130", "WBGene00168130")</f>
        <v>WBGene00168130</v>
      </c>
      <c r="B5414" s="9"/>
      <c r="C5414" s="9"/>
      <c r="D5414" t="str">
        <f>"21ur-12348"</f>
        <v>21ur-12348</v>
      </c>
      <c r="F5414" t="s">
        <v>3161</v>
      </c>
      <c r="H5414" s="12">
        <v>2.3893468495514898</v>
      </c>
      <c r="I5414" s="20">
        <v>0.25323547253672701</v>
      </c>
      <c r="J5414" s="28">
        <v>0.80008625651646104</v>
      </c>
      <c r="K5414" s="29">
        <v>0.98289565623980701</v>
      </c>
    </row>
    <row r="5415" spans="1:11" x14ac:dyDescent="0.35">
      <c r="A5415" s="9" t="str">
        <f>HYPERLINK("http://www.ensembl.org/id/WBGene00170628", "WBGene00170628")</f>
        <v>WBGene00170628</v>
      </c>
      <c r="B5415" s="9"/>
      <c r="C5415" s="9"/>
      <c r="D5415" t="str">
        <f>"21ur-12364"</f>
        <v>21ur-12364</v>
      </c>
      <c r="F5415" t="s">
        <v>3161</v>
      </c>
      <c r="H5415" s="12">
        <v>-1.9595409840935001</v>
      </c>
      <c r="I5415" s="20">
        <v>-0.66139028290337798</v>
      </c>
      <c r="J5415" s="28">
        <v>0.50836205591092698</v>
      </c>
      <c r="K5415" s="29">
        <v>0.98289565623980701</v>
      </c>
    </row>
    <row r="5416" spans="1:11" x14ac:dyDescent="0.35">
      <c r="A5416" s="9" t="str">
        <f>HYPERLINK("http://www.ensembl.org/id/WBGene00168977", "WBGene00168977")</f>
        <v>WBGene00168977</v>
      </c>
      <c r="B5416" s="9"/>
      <c r="C5416" s="9"/>
      <c r="D5416" t="str">
        <f>"21ur-12388"</f>
        <v>21ur-12388</v>
      </c>
      <c r="F5416" t="s">
        <v>3161</v>
      </c>
      <c r="H5416" s="12">
        <v>-2.4991590031922399</v>
      </c>
      <c r="I5416" s="20">
        <v>-0.26577412737581302</v>
      </c>
      <c r="J5416" s="28">
        <v>0.79041317015736101</v>
      </c>
      <c r="K5416" s="29">
        <v>0.98289565623980701</v>
      </c>
    </row>
    <row r="5417" spans="1:11" x14ac:dyDescent="0.35">
      <c r="A5417" s="9" t="str">
        <f>HYPERLINK("http://www.ensembl.org/id/WBGene00171947", "WBGene00171947")</f>
        <v>WBGene00171947</v>
      </c>
      <c r="B5417" s="9"/>
      <c r="C5417" s="9"/>
      <c r="D5417" t="str">
        <f>"21ur-12418"</f>
        <v>21ur-12418</v>
      </c>
      <c r="F5417" t="s">
        <v>3161</v>
      </c>
      <c r="H5417" s="12">
        <v>-2.4295389261469</v>
      </c>
      <c r="I5417" s="20">
        <v>-0.25808529976640998</v>
      </c>
      <c r="J5417" s="28">
        <v>0.79634107645457397</v>
      </c>
      <c r="K5417" s="29">
        <v>0.98289565623980701</v>
      </c>
    </row>
    <row r="5418" spans="1:11" x14ac:dyDescent="0.35">
      <c r="A5418" s="9" t="str">
        <f>HYPERLINK("http://www.ensembl.org/id/WBGene00172646", "WBGene00172646")</f>
        <v>WBGene00172646</v>
      </c>
      <c r="B5418" s="9"/>
      <c r="C5418" s="9"/>
      <c r="D5418" t="str">
        <f>"21ur-12454"</f>
        <v>21ur-12454</v>
      </c>
      <c r="F5418" t="s">
        <v>3161</v>
      </c>
      <c r="H5418" s="12">
        <v>-5.5794491025289696</v>
      </c>
      <c r="I5418" s="20">
        <v>-0.504738274115201</v>
      </c>
      <c r="J5418" s="28">
        <v>0.61374267489732603</v>
      </c>
      <c r="K5418" s="29">
        <v>0.98289565623980701</v>
      </c>
    </row>
    <row r="5419" spans="1:11" x14ac:dyDescent="0.35">
      <c r="A5419" s="9" t="str">
        <f>HYPERLINK("http://www.ensembl.org/id/WBGene00174434", "WBGene00174434")</f>
        <v>WBGene00174434</v>
      </c>
      <c r="B5419" s="9"/>
      <c r="C5419" s="9"/>
      <c r="D5419" t="str">
        <f>"21ur-12461"</f>
        <v>21ur-12461</v>
      </c>
      <c r="F5419" t="s">
        <v>3161</v>
      </c>
      <c r="H5419" s="12">
        <v>-3.5819448292659501</v>
      </c>
      <c r="I5419" s="20">
        <v>-0.37337717500031398</v>
      </c>
      <c r="J5419" s="28">
        <v>0.70886774492290605</v>
      </c>
      <c r="K5419" s="29">
        <v>0.98289565623980701</v>
      </c>
    </row>
    <row r="5420" spans="1:11" x14ac:dyDescent="0.35">
      <c r="A5420" s="9" t="str">
        <f>HYPERLINK("http://www.ensembl.org/id/WBGene00165558", "WBGene00165558")</f>
        <v>WBGene00165558</v>
      </c>
      <c r="B5420" s="9"/>
      <c r="C5420" s="9"/>
      <c r="D5420" t="str">
        <f>"21ur-12468"</f>
        <v>21ur-12468</v>
      </c>
      <c r="F5420" t="s">
        <v>3161</v>
      </c>
      <c r="H5420" s="12">
        <v>5.6249299872216199</v>
      </c>
      <c r="I5420" s="20">
        <v>0.64392120861024604</v>
      </c>
      <c r="J5420" s="28">
        <v>0.51962652812965604</v>
      </c>
      <c r="K5420" s="29">
        <v>0.98289565623980701</v>
      </c>
    </row>
    <row r="5421" spans="1:11" x14ac:dyDescent="0.35">
      <c r="A5421" s="9" t="str">
        <f>HYPERLINK("http://www.ensembl.org/id/WBGene00049694", "WBGene00049694")</f>
        <v>WBGene00049694</v>
      </c>
      <c r="B5421" s="9"/>
      <c r="C5421" s="9"/>
      <c r="D5421" t="str">
        <f>"21ur-1247"</f>
        <v>21ur-1247</v>
      </c>
      <c r="F5421" t="s">
        <v>3161</v>
      </c>
      <c r="H5421" s="12">
        <v>3.5227018545059199</v>
      </c>
      <c r="I5421" s="20">
        <v>0.36849691206929103</v>
      </c>
      <c r="J5421" s="28">
        <v>0.71250274722433404</v>
      </c>
      <c r="K5421" s="29">
        <v>0.98289565623980701</v>
      </c>
    </row>
    <row r="5422" spans="1:11" x14ac:dyDescent="0.35">
      <c r="A5422" s="9" t="str">
        <f>HYPERLINK("http://www.ensembl.org/id/WBGene00166852", "WBGene00166852")</f>
        <v>WBGene00166852</v>
      </c>
      <c r="B5422" s="9"/>
      <c r="C5422" s="9"/>
      <c r="D5422" t="str">
        <f>"21ur-12491"</f>
        <v>21ur-12491</v>
      </c>
      <c r="F5422" t="s">
        <v>3161</v>
      </c>
      <c r="H5422" s="12">
        <v>3.6645215954135</v>
      </c>
      <c r="I5422" s="20">
        <v>0.37967131826092498</v>
      </c>
      <c r="J5422" s="28">
        <v>0.70418941338960395</v>
      </c>
      <c r="K5422" s="29">
        <v>0.98289565623980701</v>
      </c>
    </row>
    <row r="5423" spans="1:11" x14ac:dyDescent="0.35">
      <c r="A5423" s="9" t="str">
        <f>HYPERLINK("http://www.ensembl.org/id/WBGene00167473", "WBGene00167473")</f>
        <v>WBGene00167473</v>
      </c>
      <c r="B5423" s="9"/>
      <c r="C5423" s="9"/>
      <c r="D5423" t="str">
        <f>"21ur-12534"</f>
        <v>21ur-12534</v>
      </c>
      <c r="F5423" t="s">
        <v>3161</v>
      </c>
      <c r="H5423" s="12">
        <v>2.3893468495514898</v>
      </c>
      <c r="I5423" s="20">
        <v>0.25323547253672701</v>
      </c>
      <c r="J5423" s="28">
        <v>0.80008625651646104</v>
      </c>
      <c r="K5423" s="29">
        <v>0.98289565623980701</v>
      </c>
    </row>
    <row r="5424" spans="1:11" x14ac:dyDescent="0.35">
      <c r="A5424" s="9" t="str">
        <f>HYPERLINK("http://www.ensembl.org/id/WBGene00170782", "WBGene00170782")</f>
        <v>WBGene00170782</v>
      </c>
      <c r="B5424" s="9"/>
      <c r="C5424" s="9"/>
      <c r="D5424" t="str">
        <f>"21ur-12578"</f>
        <v>21ur-12578</v>
      </c>
      <c r="F5424" t="s">
        <v>3161</v>
      </c>
      <c r="H5424" s="12">
        <v>-3.7261494131482999</v>
      </c>
      <c r="I5424" s="20">
        <v>-0.38454673129429601</v>
      </c>
      <c r="J5424" s="28">
        <v>0.70057326682554</v>
      </c>
      <c r="K5424" s="29">
        <v>0.98289565623980701</v>
      </c>
    </row>
    <row r="5425" spans="1:11" x14ac:dyDescent="0.35">
      <c r="A5425" s="9" t="str">
        <f>HYPERLINK("http://www.ensembl.org/id/WBGene00169944", "WBGene00169944")</f>
        <v>WBGene00169944</v>
      </c>
      <c r="B5425" s="9"/>
      <c r="C5425" s="9"/>
      <c r="D5425" t="str">
        <f>"21ur-12617"</f>
        <v>21ur-12617</v>
      </c>
      <c r="F5425" t="s">
        <v>3161</v>
      </c>
      <c r="H5425" s="12">
        <v>2.4578120077400301</v>
      </c>
      <c r="I5425" s="20">
        <v>0.26093350314551</v>
      </c>
      <c r="J5425" s="28">
        <v>0.79414378780213601</v>
      </c>
      <c r="K5425" s="29">
        <v>0.98289565623980701</v>
      </c>
    </row>
    <row r="5426" spans="1:11" x14ac:dyDescent="0.35">
      <c r="A5426" s="9" t="str">
        <f>HYPERLINK("http://www.ensembl.org/id/WBGene00166995", "WBGene00166995")</f>
        <v>WBGene00166995</v>
      </c>
      <c r="B5426" s="9"/>
      <c r="C5426" s="9"/>
      <c r="D5426" t="str">
        <f>"21ur-12638"</f>
        <v>21ur-12638</v>
      </c>
      <c r="F5426" t="s">
        <v>3161</v>
      </c>
      <c r="H5426" s="12">
        <v>-2.4705518730954901</v>
      </c>
      <c r="I5426" s="20">
        <v>-0.38954327493699897</v>
      </c>
      <c r="J5426" s="28">
        <v>0.69687430479622203</v>
      </c>
      <c r="K5426" s="29">
        <v>0.98289565623980701</v>
      </c>
    </row>
    <row r="5427" spans="1:11" x14ac:dyDescent="0.35">
      <c r="A5427" s="9" t="str">
        <f>HYPERLINK("http://www.ensembl.org/id/WBGene00169739", "WBGene00169739")</f>
        <v>WBGene00169739</v>
      </c>
      <c r="B5427" s="9"/>
      <c r="C5427" s="9"/>
      <c r="D5427" t="str">
        <f>"21ur-12646"</f>
        <v>21ur-12646</v>
      </c>
      <c r="F5427" t="s">
        <v>3161</v>
      </c>
      <c r="H5427" s="12">
        <v>2.4578120077400301</v>
      </c>
      <c r="I5427" s="20">
        <v>0.26093350314551</v>
      </c>
      <c r="J5427" s="28">
        <v>0.79414378780213601</v>
      </c>
      <c r="K5427" s="29">
        <v>0.98289565623980701</v>
      </c>
    </row>
    <row r="5428" spans="1:11" x14ac:dyDescent="0.35">
      <c r="A5428" s="9" t="str">
        <f>HYPERLINK("http://www.ensembl.org/id/WBGene00172278", "WBGene00172278")</f>
        <v>WBGene00172278</v>
      </c>
      <c r="B5428" s="9"/>
      <c r="C5428" s="9"/>
      <c r="D5428" t="str">
        <f>"21ur-12680"</f>
        <v>21ur-12680</v>
      </c>
      <c r="F5428" t="s">
        <v>3161</v>
      </c>
      <c r="H5428" s="12">
        <v>-2.4295389261469</v>
      </c>
      <c r="I5428" s="20">
        <v>-0.25808529976640998</v>
      </c>
      <c r="J5428" s="28">
        <v>0.79634107645457397</v>
      </c>
      <c r="K5428" s="29">
        <v>0.98289565623980701</v>
      </c>
    </row>
    <row r="5429" spans="1:11" x14ac:dyDescent="0.35">
      <c r="A5429" s="9" t="str">
        <f>HYPERLINK("http://www.ensembl.org/id/WBGene00165560", "WBGene00165560")</f>
        <v>WBGene00165560</v>
      </c>
      <c r="B5429" s="9"/>
      <c r="C5429" s="9"/>
      <c r="D5429" t="str">
        <f>"21ur-12685"</f>
        <v>21ur-12685</v>
      </c>
      <c r="F5429" t="s">
        <v>3161</v>
      </c>
      <c r="H5429" s="12">
        <v>2.4578120077400301</v>
      </c>
      <c r="I5429" s="20">
        <v>0.26093350314551</v>
      </c>
      <c r="J5429" s="28">
        <v>0.79414378780213601</v>
      </c>
      <c r="K5429" s="29">
        <v>0.98289565623980701</v>
      </c>
    </row>
    <row r="5430" spans="1:11" x14ac:dyDescent="0.35">
      <c r="A5430" s="9" t="str">
        <f>HYPERLINK("http://www.ensembl.org/id/WBGene00173734", "WBGene00173734")</f>
        <v>WBGene00173734</v>
      </c>
      <c r="B5430" s="9"/>
      <c r="C5430" s="9"/>
      <c r="D5430" t="str">
        <f>"21ur-12725"</f>
        <v>21ur-12725</v>
      </c>
      <c r="F5430" t="s">
        <v>3161</v>
      </c>
      <c r="H5430" s="12">
        <v>2.3893468495514898</v>
      </c>
      <c r="I5430" s="20">
        <v>0.25323547253672701</v>
      </c>
      <c r="J5430" s="28">
        <v>0.80008625651646104</v>
      </c>
      <c r="K5430" s="29">
        <v>0.98289565623980701</v>
      </c>
    </row>
    <row r="5431" spans="1:11" x14ac:dyDescent="0.35">
      <c r="A5431" s="9" t="str">
        <f>HYPERLINK("http://www.ensembl.org/id/WBGene00170846", "WBGene00170846")</f>
        <v>WBGene00170846</v>
      </c>
      <c r="B5431" s="9"/>
      <c r="C5431" s="9"/>
      <c r="D5431" t="str">
        <f>"21ur-12729"</f>
        <v>21ur-12729</v>
      </c>
      <c r="F5431" t="s">
        <v>3161</v>
      </c>
      <c r="H5431" s="12">
        <v>2.4578120077400301</v>
      </c>
      <c r="I5431" s="20">
        <v>0.26093350314551</v>
      </c>
      <c r="J5431" s="28">
        <v>0.79414378780213601</v>
      </c>
      <c r="K5431" s="29">
        <v>0.98289565623980701</v>
      </c>
    </row>
    <row r="5432" spans="1:11" x14ac:dyDescent="0.35">
      <c r="A5432" s="9" t="str">
        <f>HYPERLINK("http://www.ensembl.org/id/WBGene00168700", "WBGene00168700")</f>
        <v>WBGene00168700</v>
      </c>
      <c r="B5432" s="9"/>
      <c r="C5432" s="9"/>
      <c r="D5432" t="str">
        <f>"21ur-12762"</f>
        <v>21ur-12762</v>
      </c>
      <c r="F5432" t="s">
        <v>3161</v>
      </c>
      <c r="H5432" s="12">
        <v>2.3893468495514898</v>
      </c>
      <c r="I5432" s="20">
        <v>0.25323547253672701</v>
      </c>
      <c r="J5432" s="28">
        <v>0.80008625651646104</v>
      </c>
      <c r="K5432" s="29">
        <v>0.98289565623980701</v>
      </c>
    </row>
    <row r="5433" spans="1:11" x14ac:dyDescent="0.35">
      <c r="A5433" s="9" t="str">
        <f>HYPERLINK("http://www.ensembl.org/id/WBGene00174201", "WBGene00174201")</f>
        <v>WBGene00174201</v>
      </c>
      <c r="B5433" s="9"/>
      <c r="C5433" s="9"/>
      <c r="D5433" t="str">
        <f>"21ur-12765"</f>
        <v>21ur-12765</v>
      </c>
      <c r="F5433" t="s">
        <v>3161</v>
      </c>
      <c r="H5433" s="12">
        <v>2.3893468495514898</v>
      </c>
      <c r="I5433" s="20">
        <v>0.25323547253672701</v>
      </c>
      <c r="J5433" s="28">
        <v>0.80008625651646104</v>
      </c>
      <c r="K5433" s="29">
        <v>0.98289565623980701</v>
      </c>
    </row>
    <row r="5434" spans="1:11" x14ac:dyDescent="0.35">
      <c r="A5434" s="9" t="str">
        <f>HYPERLINK("http://www.ensembl.org/id/WBGene00168008", "WBGene00168008")</f>
        <v>WBGene00168008</v>
      </c>
      <c r="B5434" s="9"/>
      <c r="C5434" s="9"/>
      <c r="D5434" t="str">
        <f>"21ur-12791"</f>
        <v>21ur-12791</v>
      </c>
      <c r="F5434" t="s">
        <v>3161</v>
      </c>
      <c r="H5434" s="12">
        <v>-2.4295389261469</v>
      </c>
      <c r="I5434" s="20">
        <v>-0.25808529976640998</v>
      </c>
      <c r="J5434" s="28">
        <v>0.79634107645457397</v>
      </c>
      <c r="K5434" s="29">
        <v>0.98289565623980701</v>
      </c>
    </row>
    <row r="5435" spans="1:11" x14ac:dyDescent="0.35">
      <c r="A5435" s="9" t="str">
        <f>HYPERLINK("http://www.ensembl.org/id/WBGene00171259", "WBGene00171259")</f>
        <v>WBGene00171259</v>
      </c>
      <c r="B5435" s="9"/>
      <c r="C5435" s="9"/>
      <c r="D5435" t="str">
        <f>"21ur-12809"</f>
        <v>21ur-12809</v>
      </c>
      <c r="F5435" t="s">
        <v>3161</v>
      </c>
      <c r="H5435" s="12">
        <v>-11.359794722088999</v>
      </c>
      <c r="I5435" s="20">
        <v>-0.75222598084001502</v>
      </c>
      <c r="J5435" s="28">
        <v>0.45191517202849601</v>
      </c>
      <c r="K5435" s="29">
        <v>0.98289565623980701</v>
      </c>
    </row>
    <row r="5436" spans="1:11" x14ac:dyDescent="0.35">
      <c r="A5436" s="9" t="str">
        <f>HYPERLINK("http://www.ensembl.org/id/WBGene00046249", "WBGene00046249")</f>
        <v>WBGene00046249</v>
      </c>
      <c r="B5436" s="9"/>
      <c r="C5436" s="9"/>
      <c r="D5436" t="str">
        <f>"21ur-1283"</f>
        <v>21ur-1283</v>
      </c>
      <c r="F5436" t="s">
        <v>3161</v>
      </c>
      <c r="H5436" s="12">
        <v>-1.60664548458915</v>
      </c>
      <c r="I5436" s="20">
        <v>-0.30668125688658998</v>
      </c>
      <c r="J5436" s="28">
        <v>0.75908599758630702</v>
      </c>
      <c r="K5436" s="29">
        <v>0.98289565623980701</v>
      </c>
    </row>
    <row r="5437" spans="1:11" x14ac:dyDescent="0.35">
      <c r="A5437" s="9" t="str">
        <f>HYPERLINK("http://www.ensembl.org/id/WBGene00170671", "WBGene00170671")</f>
        <v>WBGene00170671</v>
      </c>
      <c r="B5437" s="9"/>
      <c r="C5437" s="9"/>
      <c r="D5437" t="str">
        <f>"21ur-12887"</f>
        <v>21ur-12887</v>
      </c>
      <c r="F5437" t="s">
        <v>3161</v>
      </c>
      <c r="H5437" s="12">
        <v>2.4578120077400301</v>
      </c>
      <c r="I5437" s="20">
        <v>0.26093350314551</v>
      </c>
      <c r="J5437" s="28">
        <v>0.79414378780213601</v>
      </c>
      <c r="K5437" s="29">
        <v>0.98289565623980701</v>
      </c>
    </row>
    <row r="5438" spans="1:11" x14ac:dyDescent="0.35">
      <c r="A5438" s="9" t="str">
        <f>HYPERLINK("http://www.ensembl.org/id/WBGene00046110", "WBGene00046110")</f>
        <v>WBGene00046110</v>
      </c>
      <c r="B5438" s="9"/>
      <c r="C5438" s="9"/>
      <c r="D5438" t="str">
        <f>"21ur-1289"</f>
        <v>21ur-1289</v>
      </c>
      <c r="F5438" t="s">
        <v>3161</v>
      </c>
      <c r="H5438" s="12">
        <v>-2.4991590031922399</v>
      </c>
      <c r="I5438" s="20">
        <v>-0.26577412737581302</v>
      </c>
      <c r="J5438" s="28">
        <v>0.79041317015736101</v>
      </c>
      <c r="K5438" s="29">
        <v>0.98289565623980701</v>
      </c>
    </row>
    <row r="5439" spans="1:11" x14ac:dyDescent="0.35">
      <c r="A5439" s="9" t="str">
        <f>HYPERLINK("http://www.ensembl.org/id/WBGene00172217", "WBGene00172217")</f>
        <v>WBGene00172217</v>
      </c>
      <c r="B5439" s="9"/>
      <c r="C5439" s="9"/>
      <c r="D5439" t="str">
        <f>"21ur-12913"</f>
        <v>21ur-12913</v>
      </c>
      <c r="F5439" t="s">
        <v>3161</v>
      </c>
      <c r="H5439" s="12">
        <v>2.3893468495514898</v>
      </c>
      <c r="I5439" s="20">
        <v>0.25323547253672701</v>
      </c>
      <c r="J5439" s="28">
        <v>0.80008625651646104</v>
      </c>
      <c r="K5439" s="29">
        <v>0.98289565623980701</v>
      </c>
    </row>
    <row r="5440" spans="1:11" x14ac:dyDescent="0.35">
      <c r="A5440" s="9" t="str">
        <f>HYPERLINK("http://www.ensembl.org/id/WBGene00171041", "WBGene00171041")</f>
        <v>WBGene00171041</v>
      </c>
      <c r="B5440" s="9"/>
      <c r="C5440" s="9"/>
      <c r="D5440" t="str">
        <f>"21ur-12950"</f>
        <v>21ur-12950</v>
      </c>
      <c r="F5440" t="s">
        <v>3161</v>
      </c>
      <c r="H5440" s="12">
        <v>4.6387698961716399</v>
      </c>
      <c r="I5440" s="20">
        <v>0.44985450087338802</v>
      </c>
      <c r="J5440" s="28">
        <v>0.65281535672642099</v>
      </c>
      <c r="K5440" s="29">
        <v>0.98289565623980701</v>
      </c>
    </row>
    <row r="5441" spans="1:11" x14ac:dyDescent="0.35">
      <c r="A5441" s="9" t="str">
        <f>HYPERLINK("http://www.ensembl.org/id/WBGene00170659", "WBGene00170659")</f>
        <v>WBGene00170659</v>
      </c>
      <c r="B5441" s="9"/>
      <c r="C5441" s="9"/>
      <c r="D5441" t="str">
        <f>"21ur-12980"</f>
        <v>21ur-12980</v>
      </c>
      <c r="F5441" t="s">
        <v>3161</v>
      </c>
      <c r="H5441" s="12">
        <v>1.62481281545315</v>
      </c>
      <c r="I5441" s="20">
        <v>0.30932326254019399</v>
      </c>
      <c r="J5441" s="28">
        <v>0.75707563713680603</v>
      </c>
      <c r="K5441" s="29">
        <v>0.98289565623980701</v>
      </c>
    </row>
    <row r="5442" spans="1:11" x14ac:dyDescent="0.35">
      <c r="A5442" s="9" t="str">
        <f>HYPERLINK("http://www.ensembl.org/id/WBGene00165233", "WBGene00165233")</f>
        <v>WBGene00165233</v>
      </c>
      <c r="B5442" s="9"/>
      <c r="C5442" s="9"/>
      <c r="D5442" t="str">
        <f>"21ur-12981"</f>
        <v>21ur-12981</v>
      </c>
      <c r="F5442" t="s">
        <v>3161</v>
      </c>
      <c r="H5442" s="12">
        <v>-2.4295389261469</v>
      </c>
      <c r="I5442" s="20">
        <v>-0.25808529976640998</v>
      </c>
      <c r="J5442" s="28">
        <v>0.79634107645457397</v>
      </c>
      <c r="K5442" s="29">
        <v>0.98289565623980701</v>
      </c>
    </row>
    <row r="5443" spans="1:11" x14ac:dyDescent="0.35">
      <c r="A5443" s="9" t="str">
        <f>HYPERLINK("http://www.ensembl.org/id/WBGene00173618", "WBGene00173618")</f>
        <v>WBGene00173618</v>
      </c>
      <c r="B5443" s="9"/>
      <c r="C5443" s="9"/>
      <c r="D5443" t="str">
        <f>"21ur-12994"</f>
        <v>21ur-12994</v>
      </c>
      <c r="F5443" t="s">
        <v>3161</v>
      </c>
      <c r="H5443" s="12">
        <v>3.4917188327556898</v>
      </c>
      <c r="I5443" s="20">
        <v>0.38080453806645798</v>
      </c>
      <c r="J5443" s="28">
        <v>0.703348291649464</v>
      </c>
      <c r="K5443" s="29">
        <v>0.98289565623980701</v>
      </c>
    </row>
    <row r="5444" spans="1:11" x14ac:dyDescent="0.35">
      <c r="A5444" s="9" t="str">
        <f>HYPERLINK("http://www.ensembl.org/id/WBGene00166028", "WBGene00166028")</f>
        <v>WBGene00166028</v>
      </c>
      <c r="B5444" s="9"/>
      <c r="C5444" s="9"/>
      <c r="D5444" t="str">
        <f>"21ur-12998"</f>
        <v>21ur-12998</v>
      </c>
      <c r="F5444" t="s">
        <v>3161</v>
      </c>
      <c r="H5444" s="12">
        <v>2.3893468495514898</v>
      </c>
      <c r="I5444" s="20">
        <v>0.25323547253672701</v>
      </c>
      <c r="J5444" s="28">
        <v>0.80008625651646104</v>
      </c>
      <c r="K5444" s="29">
        <v>0.98289565623980701</v>
      </c>
    </row>
    <row r="5445" spans="1:11" x14ac:dyDescent="0.35">
      <c r="A5445" s="9" t="str">
        <f>HYPERLINK("http://www.ensembl.org/id/WBGene00048938", "WBGene00048938")</f>
        <v>WBGene00048938</v>
      </c>
      <c r="B5445" s="9"/>
      <c r="C5445" s="9"/>
      <c r="D5445" t="str">
        <f>"21ur-130"</f>
        <v>21ur-130</v>
      </c>
      <c r="F5445" t="s">
        <v>3161</v>
      </c>
      <c r="H5445" s="12">
        <v>1.9759833501847099</v>
      </c>
      <c r="I5445" s="20">
        <v>0.41949530871761398</v>
      </c>
      <c r="J5445" s="28">
        <v>0.67485418253256102</v>
      </c>
      <c r="K5445" s="29">
        <v>0.98289565623980701</v>
      </c>
    </row>
    <row r="5446" spans="1:11" x14ac:dyDescent="0.35">
      <c r="A5446" s="9" t="str">
        <f>HYPERLINK("http://www.ensembl.org/id/WBGene00047130", "WBGene00047130")</f>
        <v>WBGene00047130</v>
      </c>
      <c r="B5446" s="9"/>
      <c r="C5446" s="9"/>
      <c r="D5446" t="str">
        <f>"21ur-1301"</f>
        <v>21ur-1301</v>
      </c>
      <c r="F5446" t="s">
        <v>3161</v>
      </c>
      <c r="H5446" s="12">
        <v>-2.4991590031922399</v>
      </c>
      <c r="I5446" s="20">
        <v>-0.26577412737581302</v>
      </c>
      <c r="J5446" s="28">
        <v>0.79041317015736101</v>
      </c>
      <c r="K5446" s="29">
        <v>0.98289565623980701</v>
      </c>
    </row>
    <row r="5447" spans="1:11" x14ac:dyDescent="0.35">
      <c r="A5447" s="9" t="str">
        <f>HYPERLINK("http://www.ensembl.org/id/WBGene00166289", "WBGene00166289")</f>
        <v>WBGene00166289</v>
      </c>
      <c r="B5447" s="9"/>
      <c r="C5447" s="9"/>
      <c r="D5447" t="str">
        <f>"21ur-13014"</f>
        <v>21ur-13014</v>
      </c>
      <c r="F5447" t="s">
        <v>3161</v>
      </c>
      <c r="H5447" s="12">
        <v>3.6645215954135</v>
      </c>
      <c r="I5447" s="20">
        <v>0.37967131826092498</v>
      </c>
      <c r="J5447" s="28">
        <v>0.70418941338960395</v>
      </c>
      <c r="K5447" s="29">
        <v>0.98289565623980701</v>
      </c>
    </row>
    <row r="5448" spans="1:11" x14ac:dyDescent="0.35">
      <c r="A5448" s="9" t="str">
        <f>HYPERLINK("http://www.ensembl.org/id/WBGene00173298", "WBGene00173298")</f>
        <v>WBGene00173298</v>
      </c>
      <c r="B5448" s="9"/>
      <c r="C5448" s="9"/>
      <c r="D5448" t="str">
        <f>"21ur-13032"</f>
        <v>21ur-13032</v>
      </c>
      <c r="F5448" t="s">
        <v>3161</v>
      </c>
      <c r="H5448" s="12">
        <v>9.4110591470243694</v>
      </c>
      <c r="I5448" s="20">
        <v>0.96947588215194203</v>
      </c>
      <c r="J5448" s="28">
        <v>0.332307807856976</v>
      </c>
      <c r="K5448" s="29">
        <v>0.98289565623980701</v>
      </c>
    </row>
    <row r="5449" spans="1:11" x14ac:dyDescent="0.35">
      <c r="A5449" s="9" t="str">
        <f>HYPERLINK("http://www.ensembl.org/id/WBGene00169267", "WBGene00169267")</f>
        <v>WBGene00169267</v>
      </c>
      <c r="B5449" s="9"/>
      <c r="C5449" s="9"/>
      <c r="D5449" t="str">
        <f>"21ur-13036"</f>
        <v>21ur-13036</v>
      </c>
      <c r="F5449" t="s">
        <v>3161</v>
      </c>
      <c r="H5449" s="12">
        <v>-2.4295389261469</v>
      </c>
      <c r="I5449" s="20">
        <v>-0.25808529976640998</v>
      </c>
      <c r="J5449" s="28">
        <v>0.79634107645457397</v>
      </c>
      <c r="K5449" s="29">
        <v>0.98289565623980701</v>
      </c>
    </row>
    <row r="5450" spans="1:11" x14ac:dyDescent="0.35">
      <c r="A5450" s="9" t="str">
        <f>HYPERLINK("http://www.ensembl.org/id/WBGene00165999", "WBGene00165999")</f>
        <v>WBGene00165999</v>
      </c>
      <c r="B5450" s="9"/>
      <c r="C5450" s="9"/>
      <c r="D5450" t="str">
        <f>"21ur-13107"</f>
        <v>21ur-13107</v>
      </c>
      <c r="F5450" t="s">
        <v>3161</v>
      </c>
      <c r="H5450" s="12">
        <v>3.5227018545059199</v>
      </c>
      <c r="I5450" s="20">
        <v>0.36849691206929103</v>
      </c>
      <c r="J5450" s="28">
        <v>0.71250274722433404</v>
      </c>
      <c r="K5450" s="29">
        <v>0.98289565623980701</v>
      </c>
    </row>
    <row r="5451" spans="1:11" x14ac:dyDescent="0.35">
      <c r="A5451" s="9" t="str">
        <f>HYPERLINK("http://www.ensembl.org/id/WBGene00165177", "WBGene00165177")</f>
        <v>WBGene00165177</v>
      </c>
      <c r="B5451" s="9"/>
      <c r="C5451" s="9"/>
      <c r="D5451" t="str">
        <f>"21ur-13152"</f>
        <v>21ur-13152</v>
      </c>
      <c r="F5451" t="s">
        <v>3161</v>
      </c>
      <c r="H5451" s="12">
        <v>2.3893468495514898</v>
      </c>
      <c r="I5451" s="20">
        <v>0.25323547253672701</v>
      </c>
      <c r="J5451" s="28">
        <v>0.80008625651646104</v>
      </c>
      <c r="K5451" s="29">
        <v>0.98289565623980701</v>
      </c>
    </row>
    <row r="5452" spans="1:11" x14ac:dyDescent="0.35">
      <c r="A5452" s="9" t="str">
        <f>HYPERLINK("http://www.ensembl.org/id/WBGene00046679", "WBGene00046679")</f>
        <v>WBGene00046679</v>
      </c>
      <c r="B5452" s="9"/>
      <c r="C5452" s="9"/>
      <c r="D5452" t="str">
        <f>"21ur-1316"</f>
        <v>21ur-1316</v>
      </c>
      <c r="F5452" t="s">
        <v>3161</v>
      </c>
      <c r="H5452" s="12">
        <v>3.5227018545059199</v>
      </c>
      <c r="I5452" s="20">
        <v>0.36849691206929103</v>
      </c>
      <c r="J5452" s="28">
        <v>0.71250274722433404</v>
      </c>
      <c r="K5452" s="29">
        <v>0.98289565623980701</v>
      </c>
    </row>
    <row r="5453" spans="1:11" x14ac:dyDescent="0.35">
      <c r="A5453" s="9" t="str">
        <f>HYPERLINK("http://www.ensembl.org/id/WBGene00172426", "WBGene00172426")</f>
        <v>WBGene00172426</v>
      </c>
      <c r="B5453" s="9"/>
      <c r="C5453" s="9"/>
      <c r="D5453" t="str">
        <f>"21ur-13190"</f>
        <v>21ur-13190</v>
      </c>
      <c r="F5453" t="s">
        <v>3161</v>
      </c>
      <c r="H5453" s="12">
        <v>3.5227018545059199</v>
      </c>
      <c r="I5453" s="20">
        <v>0.36849691206929103</v>
      </c>
      <c r="J5453" s="28">
        <v>0.71250274722433404</v>
      </c>
      <c r="K5453" s="29">
        <v>0.98289565623980701</v>
      </c>
    </row>
    <row r="5454" spans="1:11" x14ac:dyDescent="0.35">
      <c r="A5454" s="9" t="str">
        <f>HYPERLINK("http://www.ensembl.org/id/WBGene00172714", "WBGene00172714")</f>
        <v>WBGene00172714</v>
      </c>
      <c r="B5454" s="9"/>
      <c r="C5454" s="9"/>
      <c r="D5454" t="str">
        <f>"21ur-13201"</f>
        <v>21ur-13201</v>
      </c>
      <c r="F5454" t="s">
        <v>3161</v>
      </c>
      <c r="H5454" s="12">
        <v>-8.0014360469151899</v>
      </c>
      <c r="I5454" s="20">
        <v>-0.61746222315259702</v>
      </c>
      <c r="J5454" s="28">
        <v>0.536929891129723</v>
      </c>
      <c r="K5454" s="29">
        <v>0.98289565623980701</v>
      </c>
    </row>
    <row r="5455" spans="1:11" x14ac:dyDescent="0.35">
      <c r="A5455" s="9" t="str">
        <f>HYPERLINK("http://www.ensembl.org/id/WBGene00174744", "WBGene00174744")</f>
        <v>WBGene00174744</v>
      </c>
      <c r="B5455" s="9"/>
      <c r="C5455" s="9"/>
      <c r="D5455" t="str">
        <f>"21ur-13216"</f>
        <v>21ur-13216</v>
      </c>
      <c r="F5455" t="s">
        <v>3161</v>
      </c>
      <c r="H5455" s="12">
        <v>2.3893468495514898</v>
      </c>
      <c r="I5455" s="20">
        <v>0.25323547253672701</v>
      </c>
      <c r="J5455" s="28">
        <v>0.80008625651646104</v>
      </c>
      <c r="K5455" s="29">
        <v>0.98289565623980701</v>
      </c>
    </row>
    <row r="5456" spans="1:11" x14ac:dyDescent="0.35">
      <c r="A5456" s="9" t="str">
        <f>HYPERLINK("http://www.ensembl.org/id/WBGene00174864", "WBGene00174864")</f>
        <v>WBGene00174864</v>
      </c>
      <c r="B5456" s="9"/>
      <c r="C5456" s="9"/>
      <c r="D5456" t="str">
        <f>"21ur-13224"</f>
        <v>21ur-13224</v>
      </c>
      <c r="F5456" t="s">
        <v>3161</v>
      </c>
      <c r="H5456" s="12">
        <v>-2.4295389261469</v>
      </c>
      <c r="I5456" s="20">
        <v>-0.25808529976640998</v>
      </c>
      <c r="J5456" s="28">
        <v>0.79634107645457397</v>
      </c>
      <c r="K5456" s="29">
        <v>0.98289565623980701</v>
      </c>
    </row>
    <row r="5457" spans="1:11" x14ac:dyDescent="0.35">
      <c r="A5457" s="9" t="str">
        <f>HYPERLINK("http://www.ensembl.org/id/WBGene00166374", "WBGene00166374")</f>
        <v>WBGene00166374</v>
      </c>
      <c r="B5457" s="9"/>
      <c r="C5457" s="9"/>
      <c r="D5457" t="str">
        <f>"21ur-13227"</f>
        <v>21ur-13227</v>
      </c>
      <c r="F5457" t="s">
        <v>3161</v>
      </c>
      <c r="H5457" s="12">
        <v>-2.4991590031922399</v>
      </c>
      <c r="I5457" s="20">
        <v>-0.26577412737581302</v>
      </c>
      <c r="J5457" s="28">
        <v>0.79041317015736101</v>
      </c>
      <c r="K5457" s="29">
        <v>0.98289565623980701</v>
      </c>
    </row>
    <row r="5458" spans="1:11" x14ac:dyDescent="0.35">
      <c r="A5458" s="9" t="str">
        <f>HYPERLINK("http://www.ensembl.org/id/WBGene00171582", "WBGene00171582")</f>
        <v>WBGene00171582</v>
      </c>
      <c r="B5458" s="9"/>
      <c r="C5458" s="9"/>
      <c r="D5458" t="str">
        <f>"21ur-13240"</f>
        <v>21ur-13240</v>
      </c>
      <c r="F5458" t="s">
        <v>3161</v>
      </c>
      <c r="H5458" s="12">
        <v>-2.4991590031922399</v>
      </c>
      <c r="I5458" s="20">
        <v>-0.26577412737581302</v>
      </c>
      <c r="J5458" s="28">
        <v>0.79041317015736101</v>
      </c>
      <c r="K5458" s="29">
        <v>0.98289565623980701</v>
      </c>
    </row>
    <row r="5459" spans="1:11" x14ac:dyDescent="0.35">
      <c r="A5459" s="9" t="str">
        <f>HYPERLINK("http://www.ensembl.org/id/WBGene00171586", "WBGene00171586")</f>
        <v>WBGene00171586</v>
      </c>
      <c r="B5459" s="9"/>
      <c r="C5459" s="9"/>
      <c r="D5459" t="str">
        <f>"21ur-13245"</f>
        <v>21ur-13245</v>
      </c>
      <c r="F5459" t="s">
        <v>3161</v>
      </c>
      <c r="H5459" s="12">
        <v>2.3893468495514898</v>
      </c>
      <c r="I5459" s="20">
        <v>0.25323547253672701</v>
      </c>
      <c r="J5459" s="28">
        <v>0.80008625651646104</v>
      </c>
      <c r="K5459" s="29">
        <v>0.98289565623980701</v>
      </c>
    </row>
    <row r="5460" spans="1:11" x14ac:dyDescent="0.35">
      <c r="A5460" s="9" t="str">
        <f>HYPERLINK("http://www.ensembl.org/id/WBGene00045651", "WBGene00045651")</f>
        <v>WBGene00045651</v>
      </c>
      <c r="B5460" s="9"/>
      <c r="C5460" s="9"/>
      <c r="D5460" t="str">
        <f>"21ur-1325"</f>
        <v>21ur-1325</v>
      </c>
      <c r="F5460" t="s">
        <v>3161</v>
      </c>
      <c r="H5460" s="12">
        <v>2.4578120077400301</v>
      </c>
      <c r="I5460" s="20">
        <v>0.26093350314551</v>
      </c>
      <c r="J5460" s="28">
        <v>0.79414378780213601</v>
      </c>
      <c r="K5460" s="29">
        <v>0.98289565623980701</v>
      </c>
    </row>
    <row r="5461" spans="1:11" x14ac:dyDescent="0.35">
      <c r="A5461" s="9" t="str">
        <f>HYPERLINK("http://www.ensembl.org/id/WBGene00168519", "WBGene00168519")</f>
        <v>WBGene00168519</v>
      </c>
      <c r="B5461" s="9"/>
      <c r="C5461" s="9"/>
      <c r="D5461" t="str">
        <f>"21ur-13262"</f>
        <v>21ur-13262</v>
      </c>
      <c r="F5461" t="s">
        <v>3161</v>
      </c>
      <c r="H5461" s="12">
        <v>-2.4772140472330402</v>
      </c>
      <c r="I5461" s="20">
        <v>-0.26891282500069902</v>
      </c>
      <c r="J5461" s="28">
        <v>0.78799676746418601</v>
      </c>
      <c r="K5461" s="29">
        <v>0.98289565623980701</v>
      </c>
    </row>
    <row r="5462" spans="1:11" x14ac:dyDescent="0.35">
      <c r="A5462" s="9" t="str">
        <f>HYPERLINK("http://www.ensembl.org/id/WBGene00169734", "WBGene00169734")</f>
        <v>WBGene00169734</v>
      </c>
      <c r="B5462" s="9"/>
      <c r="C5462" s="9"/>
      <c r="D5462" t="str">
        <f>"21ur-13267"</f>
        <v>21ur-13267</v>
      </c>
      <c r="F5462" t="s">
        <v>3161</v>
      </c>
      <c r="H5462" s="12">
        <v>-3.7261494131482999</v>
      </c>
      <c r="I5462" s="20">
        <v>-0.38454673129429601</v>
      </c>
      <c r="J5462" s="28">
        <v>0.70057326682554</v>
      </c>
      <c r="K5462" s="29">
        <v>0.98289565623980701</v>
      </c>
    </row>
    <row r="5463" spans="1:11" x14ac:dyDescent="0.35">
      <c r="A5463" s="9" t="str">
        <f>HYPERLINK("http://www.ensembl.org/id/WBGene00170152", "WBGene00170152")</f>
        <v>WBGene00170152</v>
      </c>
      <c r="B5463" s="9"/>
      <c r="C5463" s="9"/>
      <c r="D5463" t="str">
        <f>"21ur-13274"</f>
        <v>21ur-13274</v>
      </c>
      <c r="F5463" t="s">
        <v>3161</v>
      </c>
      <c r="H5463" s="12">
        <v>-3.5819448292659501</v>
      </c>
      <c r="I5463" s="20">
        <v>-0.37337717500031398</v>
      </c>
      <c r="J5463" s="28">
        <v>0.70886774492290605</v>
      </c>
      <c r="K5463" s="29">
        <v>0.98289565623980701</v>
      </c>
    </row>
    <row r="5464" spans="1:11" x14ac:dyDescent="0.35">
      <c r="A5464" s="9" t="str">
        <f>HYPERLINK("http://www.ensembl.org/id/WBGene00049888", "WBGene00049888")</f>
        <v>WBGene00049888</v>
      </c>
      <c r="B5464" s="9"/>
      <c r="C5464" s="9"/>
      <c r="D5464" t="str">
        <f>"21ur-1334"</f>
        <v>21ur-1334</v>
      </c>
      <c r="F5464" t="s">
        <v>3161</v>
      </c>
      <c r="H5464" s="12">
        <v>5.9495765472548197</v>
      </c>
      <c r="I5464" s="20">
        <v>0.52429389276509997</v>
      </c>
      <c r="J5464" s="28">
        <v>0.60007414400596704</v>
      </c>
      <c r="K5464" s="29">
        <v>0.98289565623980701</v>
      </c>
    </row>
    <row r="5465" spans="1:11" x14ac:dyDescent="0.35">
      <c r="A5465" s="9" t="str">
        <f>HYPERLINK("http://www.ensembl.org/id/WBGene00172519", "WBGene00172519")</f>
        <v>WBGene00172519</v>
      </c>
      <c r="B5465" s="9"/>
      <c r="C5465" s="9"/>
      <c r="D5465" t="str">
        <f>"21ur-13351"</f>
        <v>21ur-13351</v>
      </c>
      <c r="F5465" t="s">
        <v>3161</v>
      </c>
      <c r="H5465" s="12">
        <v>2.4578120077400301</v>
      </c>
      <c r="I5465" s="20">
        <v>0.26093350314551</v>
      </c>
      <c r="J5465" s="28">
        <v>0.79414378780213601</v>
      </c>
      <c r="K5465" s="29">
        <v>0.98289565623980701</v>
      </c>
    </row>
    <row r="5466" spans="1:11" x14ac:dyDescent="0.35">
      <c r="A5466" s="9" t="str">
        <f>HYPERLINK("http://www.ensembl.org/id/WBGene00174084", "WBGene00174084")</f>
        <v>WBGene00174084</v>
      </c>
      <c r="B5466" s="9"/>
      <c r="C5466" s="9"/>
      <c r="D5466" t="str">
        <f>"21ur-13378"</f>
        <v>21ur-13378</v>
      </c>
      <c r="F5466" t="s">
        <v>3161</v>
      </c>
      <c r="H5466" s="12">
        <v>-3.7261494131482999</v>
      </c>
      <c r="I5466" s="20">
        <v>-0.38454673129429601</v>
      </c>
      <c r="J5466" s="28">
        <v>0.70057326682554</v>
      </c>
      <c r="K5466" s="29">
        <v>0.98289565623980701</v>
      </c>
    </row>
    <row r="5467" spans="1:11" x14ac:dyDescent="0.35">
      <c r="A5467" s="9" t="str">
        <f>HYPERLINK("http://www.ensembl.org/id/WBGene00172544", "WBGene00172544")</f>
        <v>WBGene00172544</v>
      </c>
      <c r="B5467" s="9"/>
      <c r="C5467" s="9"/>
      <c r="D5467" t="str">
        <f>"21ur-13383"</f>
        <v>21ur-13383</v>
      </c>
      <c r="F5467" t="s">
        <v>3161</v>
      </c>
      <c r="H5467" s="12">
        <v>5.4058944669092801</v>
      </c>
      <c r="I5467" s="20">
        <v>0.49762513753689303</v>
      </c>
      <c r="J5467" s="28">
        <v>0.61874828254921799</v>
      </c>
      <c r="K5467" s="29">
        <v>0.98289565623980701</v>
      </c>
    </row>
    <row r="5468" spans="1:11" x14ac:dyDescent="0.35">
      <c r="A5468" s="9" t="str">
        <f>HYPERLINK("http://www.ensembl.org/id/WBGene00168455", "WBGene00168455")</f>
        <v>WBGene00168455</v>
      </c>
      <c r="B5468" s="9"/>
      <c r="C5468" s="9"/>
      <c r="D5468" t="str">
        <f>"21ur-13396"</f>
        <v>21ur-13396</v>
      </c>
      <c r="F5468" t="s">
        <v>3161</v>
      </c>
      <c r="H5468" s="12">
        <v>2.3893468495514898</v>
      </c>
      <c r="I5468" s="20">
        <v>0.25323547253672701</v>
      </c>
      <c r="J5468" s="28">
        <v>0.80008625651646104</v>
      </c>
      <c r="K5468" s="29">
        <v>0.98289565623980701</v>
      </c>
    </row>
    <row r="5469" spans="1:11" x14ac:dyDescent="0.35">
      <c r="A5469" s="9" t="str">
        <f>HYPERLINK("http://www.ensembl.org/id/WBGene00172412", "WBGene00172412")</f>
        <v>WBGene00172412</v>
      </c>
      <c r="B5469" s="9"/>
      <c r="C5469" s="9"/>
      <c r="D5469" t="str">
        <f>"21ur-13424"</f>
        <v>21ur-13424</v>
      </c>
      <c r="F5469" t="s">
        <v>3161</v>
      </c>
      <c r="H5469" s="12">
        <v>3.28624938312884</v>
      </c>
      <c r="I5469" s="20">
        <v>0.36379512681977599</v>
      </c>
      <c r="J5469" s="28">
        <v>0.716011001908614</v>
      </c>
      <c r="K5469" s="29">
        <v>0.98289565623980701</v>
      </c>
    </row>
    <row r="5470" spans="1:11" x14ac:dyDescent="0.35">
      <c r="A5470" s="9" t="str">
        <f>HYPERLINK("http://www.ensembl.org/id/WBGene00048140", "WBGene00048140")</f>
        <v>WBGene00048140</v>
      </c>
      <c r="B5470" s="9"/>
      <c r="C5470" s="9"/>
      <c r="D5470" t="str">
        <f>"21ur-1357"</f>
        <v>21ur-1357</v>
      </c>
      <c r="F5470" t="s">
        <v>3161</v>
      </c>
      <c r="H5470" s="12">
        <v>1.6113887807980001</v>
      </c>
      <c r="I5470" s="20">
        <v>0.33893041694052101</v>
      </c>
      <c r="J5470" s="28">
        <v>0.73466214979011002</v>
      </c>
      <c r="K5470" s="29">
        <v>0.98289565623980701</v>
      </c>
    </row>
    <row r="5471" spans="1:11" x14ac:dyDescent="0.35">
      <c r="A5471" s="9" t="str">
        <f>HYPERLINK("http://www.ensembl.org/id/WBGene00172838", "WBGene00172838")</f>
        <v>WBGene00172838</v>
      </c>
      <c r="B5471" s="9"/>
      <c r="C5471" s="9"/>
      <c r="D5471" t="str">
        <f>"21ur-13572"</f>
        <v>21ur-13572</v>
      </c>
      <c r="F5471" t="s">
        <v>3161</v>
      </c>
      <c r="H5471" s="12">
        <v>-5.4967879193631202</v>
      </c>
      <c r="I5471" s="20">
        <v>-0.50254160819837501</v>
      </c>
      <c r="J5471" s="28">
        <v>0.61528659178453604</v>
      </c>
      <c r="K5471" s="29">
        <v>0.98289565623980701</v>
      </c>
    </row>
    <row r="5472" spans="1:11" x14ac:dyDescent="0.35">
      <c r="A5472" s="9" t="str">
        <f>HYPERLINK("http://www.ensembl.org/id/WBGene00171750", "WBGene00171750")</f>
        <v>WBGene00171750</v>
      </c>
      <c r="B5472" s="9"/>
      <c r="C5472" s="9"/>
      <c r="D5472" t="str">
        <f>"21ur-13656"</f>
        <v>21ur-13656</v>
      </c>
      <c r="F5472" t="s">
        <v>3161</v>
      </c>
      <c r="H5472" s="12">
        <v>3.6645215954135</v>
      </c>
      <c r="I5472" s="20">
        <v>0.37967131826092498</v>
      </c>
      <c r="J5472" s="28">
        <v>0.70418941338960395</v>
      </c>
      <c r="K5472" s="29">
        <v>0.98289565623980701</v>
      </c>
    </row>
    <row r="5473" spans="1:11" x14ac:dyDescent="0.35">
      <c r="A5473" s="9" t="str">
        <f>HYPERLINK("http://www.ensembl.org/id/WBGene00172869", "WBGene00172869")</f>
        <v>WBGene00172869</v>
      </c>
      <c r="B5473" s="9"/>
      <c r="C5473" s="9"/>
      <c r="D5473" t="str">
        <f>"21ur-13752"</f>
        <v>21ur-13752</v>
      </c>
      <c r="F5473" t="s">
        <v>3161</v>
      </c>
      <c r="H5473" s="12">
        <v>-2.4991590031922399</v>
      </c>
      <c r="I5473" s="20">
        <v>-0.26577412737581302</v>
      </c>
      <c r="J5473" s="28">
        <v>0.79041317015736101</v>
      </c>
      <c r="K5473" s="29">
        <v>0.98289565623980701</v>
      </c>
    </row>
    <row r="5474" spans="1:11" x14ac:dyDescent="0.35">
      <c r="A5474" s="9" t="str">
        <f>HYPERLINK("http://www.ensembl.org/id/WBGene00168589", "WBGene00168589")</f>
        <v>WBGene00168589</v>
      </c>
      <c r="B5474" s="9"/>
      <c r="C5474" s="9"/>
      <c r="D5474" t="str">
        <f>"21ur-13782"</f>
        <v>21ur-13782</v>
      </c>
      <c r="F5474" t="s">
        <v>3161</v>
      </c>
      <c r="H5474" s="12">
        <v>5.2954185682811996</v>
      </c>
      <c r="I5474" s="20">
        <v>0.58847157202951395</v>
      </c>
      <c r="J5474" s="28">
        <v>0.55621580972939799</v>
      </c>
      <c r="K5474" s="29">
        <v>0.98289565623980701</v>
      </c>
    </row>
    <row r="5475" spans="1:11" x14ac:dyDescent="0.35">
      <c r="A5475" s="9" t="str">
        <f>HYPERLINK("http://www.ensembl.org/id/WBGene00168949", "WBGene00168949")</f>
        <v>WBGene00168949</v>
      </c>
      <c r="B5475" s="9"/>
      <c r="C5475" s="9"/>
      <c r="D5475" t="str">
        <f>"21ur-13798"</f>
        <v>21ur-13798</v>
      </c>
      <c r="F5475" t="s">
        <v>3161</v>
      </c>
      <c r="H5475" s="12">
        <v>2.3893468495514898</v>
      </c>
      <c r="I5475" s="20">
        <v>0.25323547253672701</v>
      </c>
      <c r="J5475" s="28">
        <v>0.80008625651646104</v>
      </c>
      <c r="K5475" s="29">
        <v>0.98289565623980701</v>
      </c>
    </row>
    <row r="5476" spans="1:11" x14ac:dyDescent="0.35">
      <c r="A5476" s="9" t="str">
        <f>HYPERLINK("http://www.ensembl.org/id/WBGene00166760", "WBGene00166760")</f>
        <v>WBGene00166760</v>
      </c>
      <c r="B5476" s="9"/>
      <c r="C5476" s="9"/>
      <c r="D5476" t="str">
        <f>"21ur-13828"</f>
        <v>21ur-13828</v>
      </c>
      <c r="F5476" t="s">
        <v>3161</v>
      </c>
      <c r="H5476" s="12">
        <v>2.3893468495514898</v>
      </c>
      <c r="I5476" s="20">
        <v>0.25323547253672701</v>
      </c>
      <c r="J5476" s="28">
        <v>0.80008625651646104</v>
      </c>
      <c r="K5476" s="29">
        <v>0.98289565623980701</v>
      </c>
    </row>
    <row r="5477" spans="1:11" x14ac:dyDescent="0.35">
      <c r="A5477" s="9" t="str">
        <f>HYPERLINK("http://www.ensembl.org/id/WBGene00168970", "WBGene00168970")</f>
        <v>WBGene00168970</v>
      </c>
      <c r="B5477" s="9"/>
      <c r="C5477" s="9"/>
      <c r="D5477" t="str">
        <f>"21ur-13854"</f>
        <v>21ur-13854</v>
      </c>
      <c r="F5477" t="s">
        <v>3161</v>
      </c>
      <c r="H5477" s="12">
        <v>2.3893468495514898</v>
      </c>
      <c r="I5477" s="20">
        <v>0.25323547253672701</v>
      </c>
      <c r="J5477" s="28">
        <v>0.80008625651646104</v>
      </c>
      <c r="K5477" s="29">
        <v>0.98289565623980701</v>
      </c>
    </row>
    <row r="5478" spans="1:11" x14ac:dyDescent="0.35">
      <c r="A5478" s="9" t="str">
        <f>HYPERLINK("http://www.ensembl.org/id/WBGene00170171", "WBGene00170171")</f>
        <v>WBGene00170171</v>
      </c>
      <c r="B5478" s="9"/>
      <c r="C5478" s="9"/>
      <c r="D5478" t="str">
        <f>"21ur-13859"</f>
        <v>21ur-13859</v>
      </c>
      <c r="F5478" t="s">
        <v>3161</v>
      </c>
      <c r="H5478" s="12">
        <v>4.4368407117627902</v>
      </c>
      <c r="I5478" s="20">
        <v>0.43709475933309699</v>
      </c>
      <c r="J5478" s="28">
        <v>0.66204262779770495</v>
      </c>
      <c r="K5478" s="29">
        <v>0.98289565623980701</v>
      </c>
    </row>
    <row r="5479" spans="1:11" x14ac:dyDescent="0.35">
      <c r="A5479" s="9" t="str">
        <f>HYPERLINK("http://www.ensembl.org/id/WBGene00174547", "WBGene00174547")</f>
        <v>WBGene00174547</v>
      </c>
      <c r="B5479" s="9"/>
      <c r="C5479" s="9"/>
      <c r="D5479" t="str">
        <f>"21ur-13889"</f>
        <v>21ur-13889</v>
      </c>
      <c r="F5479" t="s">
        <v>3161</v>
      </c>
      <c r="H5479" s="12">
        <v>2.3893468495514898</v>
      </c>
      <c r="I5479" s="20">
        <v>0.25323547253672701</v>
      </c>
      <c r="J5479" s="28">
        <v>0.80008625651646104</v>
      </c>
      <c r="K5479" s="29">
        <v>0.98289565623980701</v>
      </c>
    </row>
    <row r="5480" spans="1:11" x14ac:dyDescent="0.35">
      <c r="A5480" s="9" t="str">
        <f>HYPERLINK("http://www.ensembl.org/id/WBGene00173839", "WBGene00173839")</f>
        <v>WBGene00173839</v>
      </c>
      <c r="B5480" s="9"/>
      <c r="C5480" s="9"/>
      <c r="D5480" t="str">
        <f>"21ur-13908"</f>
        <v>21ur-13908</v>
      </c>
      <c r="F5480" t="s">
        <v>3161</v>
      </c>
      <c r="H5480" s="12">
        <v>-5.4967879193631202</v>
      </c>
      <c r="I5480" s="20">
        <v>-0.50254160819837501</v>
      </c>
      <c r="J5480" s="28">
        <v>0.61528659178453604</v>
      </c>
      <c r="K5480" s="29">
        <v>0.98289565623980701</v>
      </c>
    </row>
    <row r="5481" spans="1:11" x14ac:dyDescent="0.35">
      <c r="A5481" s="9" t="str">
        <f>HYPERLINK("http://www.ensembl.org/id/WBGene00169540", "WBGene00169540")</f>
        <v>WBGene00169540</v>
      </c>
      <c r="B5481" s="9"/>
      <c r="C5481" s="9"/>
      <c r="D5481" t="str">
        <f>"21ur-13909"</f>
        <v>21ur-13909</v>
      </c>
      <c r="F5481" t="s">
        <v>3161</v>
      </c>
      <c r="H5481" s="12">
        <v>-2.4295389261469</v>
      </c>
      <c r="I5481" s="20">
        <v>-0.25808529976640998</v>
      </c>
      <c r="J5481" s="28">
        <v>0.79634107645457397</v>
      </c>
      <c r="K5481" s="29">
        <v>0.98289565623980701</v>
      </c>
    </row>
    <row r="5482" spans="1:11" x14ac:dyDescent="0.35">
      <c r="A5482" s="9" t="str">
        <f>HYPERLINK("http://www.ensembl.org/id/WBGene00165411", "WBGene00165411")</f>
        <v>WBGene00165411</v>
      </c>
      <c r="B5482" s="9"/>
      <c r="C5482" s="9"/>
      <c r="D5482" t="str">
        <f>"21ur-13957"</f>
        <v>21ur-13957</v>
      </c>
      <c r="F5482" t="s">
        <v>3161</v>
      </c>
      <c r="H5482" s="12">
        <v>-4.5114499031905204</v>
      </c>
      <c r="I5482" s="20">
        <v>-0.44198655555625299</v>
      </c>
      <c r="J5482" s="28">
        <v>0.65849893477547905</v>
      </c>
      <c r="K5482" s="29">
        <v>0.98289565623980701</v>
      </c>
    </row>
    <row r="5483" spans="1:11" x14ac:dyDescent="0.35">
      <c r="A5483" s="9" t="str">
        <f>HYPERLINK("http://www.ensembl.org/id/WBGene00169595", "WBGene00169595")</f>
        <v>WBGene00169595</v>
      </c>
      <c r="B5483" s="9"/>
      <c r="C5483" s="9"/>
      <c r="D5483" t="str">
        <f>"21ur-14036"</f>
        <v>21ur-14036</v>
      </c>
      <c r="F5483" t="s">
        <v>3161</v>
      </c>
      <c r="H5483" s="12">
        <v>2.3893468495514898</v>
      </c>
      <c r="I5483" s="20">
        <v>0.25323547253672701</v>
      </c>
      <c r="J5483" s="28">
        <v>0.80008625651646104</v>
      </c>
      <c r="K5483" s="29">
        <v>0.98289565623980701</v>
      </c>
    </row>
    <row r="5484" spans="1:11" x14ac:dyDescent="0.35">
      <c r="A5484" s="9" t="str">
        <f>HYPERLINK("http://www.ensembl.org/id/WBGene00174014", "WBGene00174014")</f>
        <v>WBGene00174014</v>
      </c>
      <c r="B5484" s="9"/>
      <c r="C5484" s="9"/>
      <c r="D5484" t="str">
        <f>"21ur-14054"</f>
        <v>21ur-14054</v>
      </c>
      <c r="F5484" t="s">
        <v>3161</v>
      </c>
      <c r="H5484" s="12">
        <v>-2.4295389261469</v>
      </c>
      <c r="I5484" s="20">
        <v>-0.25808529976640998</v>
      </c>
      <c r="J5484" s="28">
        <v>0.79634107645457397</v>
      </c>
      <c r="K5484" s="29">
        <v>0.98289565623980701</v>
      </c>
    </row>
    <row r="5485" spans="1:11" x14ac:dyDescent="0.35">
      <c r="A5485" s="9" t="str">
        <f>HYPERLINK("http://www.ensembl.org/id/WBGene00171708", "WBGene00171708")</f>
        <v>WBGene00171708</v>
      </c>
      <c r="B5485" s="9"/>
      <c r="C5485" s="9"/>
      <c r="D5485" t="str">
        <f>"21ur-14121"</f>
        <v>21ur-14121</v>
      </c>
      <c r="F5485" t="s">
        <v>3161</v>
      </c>
      <c r="H5485" s="12">
        <v>2.3893468495514898</v>
      </c>
      <c r="I5485" s="20">
        <v>0.25323547253672701</v>
      </c>
      <c r="J5485" s="28">
        <v>0.80008625651646104</v>
      </c>
      <c r="K5485" s="29">
        <v>0.98289565623980701</v>
      </c>
    </row>
    <row r="5486" spans="1:11" x14ac:dyDescent="0.35">
      <c r="A5486" s="9" t="str">
        <f>HYPERLINK("http://www.ensembl.org/id/WBGene00168777", "WBGene00168777")</f>
        <v>WBGene00168777</v>
      </c>
      <c r="B5486" s="9"/>
      <c r="C5486" s="9"/>
      <c r="D5486" t="str">
        <f>"21ur-14139"</f>
        <v>21ur-14139</v>
      </c>
      <c r="F5486" t="s">
        <v>3161</v>
      </c>
      <c r="H5486" s="12">
        <v>2.3893468495514898</v>
      </c>
      <c r="I5486" s="20">
        <v>0.25323547253672701</v>
      </c>
      <c r="J5486" s="28">
        <v>0.80008625651646104</v>
      </c>
      <c r="K5486" s="29">
        <v>0.98289565623980701</v>
      </c>
    </row>
    <row r="5487" spans="1:11" x14ac:dyDescent="0.35">
      <c r="A5487" s="9" t="str">
        <f>HYPERLINK("http://www.ensembl.org/id/WBGene00168732", "WBGene00168732")</f>
        <v>WBGene00168732</v>
      </c>
      <c r="B5487" s="9"/>
      <c r="C5487" s="9"/>
      <c r="D5487" t="str">
        <f>"21ur-14151"</f>
        <v>21ur-14151</v>
      </c>
      <c r="F5487" t="s">
        <v>3161</v>
      </c>
      <c r="H5487" s="12">
        <v>3.6645215954135</v>
      </c>
      <c r="I5487" s="20">
        <v>0.37967131826092498</v>
      </c>
      <c r="J5487" s="28">
        <v>0.70418941338960395</v>
      </c>
      <c r="K5487" s="29">
        <v>0.98289565623980701</v>
      </c>
    </row>
    <row r="5488" spans="1:11" x14ac:dyDescent="0.35">
      <c r="A5488" s="9" t="str">
        <f>HYPERLINK("http://www.ensembl.org/id/WBGene00172862", "WBGene00172862")</f>
        <v>WBGene00172862</v>
      </c>
      <c r="B5488" s="9"/>
      <c r="C5488" s="9"/>
      <c r="D5488" t="str">
        <f>"21ur-14152"</f>
        <v>21ur-14152</v>
      </c>
      <c r="F5488" t="s">
        <v>3161</v>
      </c>
      <c r="H5488" s="12">
        <v>-2.4991590031922399</v>
      </c>
      <c r="I5488" s="20">
        <v>-0.26577412737581302</v>
      </c>
      <c r="J5488" s="28">
        <v>0.79041317015736101</v>
      </c>
      <c r="K5488" s="29">
        <v>0.98289565623980701</v>
      </c>
    </row>
    <row r="5489" spans="1:11" x14ac:dyDescent="0.35">
      <c r="A5489" s="9" t="str">
        <f>HYPERLINK("http://www.ensembl.org/id/WBGene00166160", "WBGene00166160")</f>
        <v>WBGene00166160</v>
      </c>
      <c r="B5489" s="9"/>
      <c r="C5489" s="9"/>
      <c r="D5489" t="str">
        <f>"21ur-14161"</f>
        <v>21ur-14161</v>
      </c>
      <c r="F5489" t="s">
        <v>3161</v>
      </c>
      <c r="H5489" s="12">
        <v>-3.5819448292659501</v>
      </c>
      <c r="I5489" s="20">
        <v>-0.37337717500031398</v>
      </c>
      <c r="J5489" s="28">
        <v>0.70886774492290605</v>
      </c>
      <c r="K5489" s="29">
        <v>0.98289565623980701</v>
      </c>
    </row>
    <row r="5490" spans="1:11" x14ac:dyDescent="0.35">
      <c r="A5490" s="9" t="str">
        <f>HYPERLINK("http://www.ensembl.org/id/WBGene00167926", "WBGene00167926")</f>
        <v>WBGene00167926</v>
      </c>
      <c r="B5490" s="9"/>
      <c r="C5490" s="9"/>
      <c r="D5490" t="str">
        <f>"21ur-14207"</f>
        <v>21ur-14207</v>
      </c>
      <c r="F5490" t="s">
        <v>3161</v>
      </c>
      <c r="H5490" s="12">
        <v>-2.4991590031922399</v>
      </c>
      <c r="I5490" s="20">
        <v>-0.26577412737581302</v>
      </c>
      <c r="J5490" s="28">
        <v>0.79041317015736101</v>
      </c>
      <c r="K5490" s="29">
        <v>0.98289565623980701</v>
      </c>
    </row>
    <row r="5491" spans="1:11" x14ac:dyDescent="0.35">
      <c r="A5491" s="9" t="str">
        <f>HYPERLINK("http://www.ensembl.org/id/WBGene00174124", "WBGene00174124")</f>
        <v>WBGene00174124</v>
      </c>
      <c r="B5491" s="9"/>
      <c r="C5491" s="9"/>
      <c r="D5491" t="str">
        <f>"21ur-14221"</f>
        <v>21ur-14221</v>
      </c>
      <c r="F5491" t="s">
        <v>3161</v>
      </c>
      <c r="H5491" s="12">
        <v>-2.4295389261469</v>
      </c>
      <c r="I5491" s="20">
        <v>-0.25808529976640998</v>
      </c>
      <c r="J5491" s="28">
        <v>0.79634107645457397</v>
      </c>
      <c r="K5491" s="29">
        <v>0.98289565623980701</v>
      </c>
    </row>
    <row r="5492" spans="1:11" x14ac:dyDescent="0.35">
      <c r="A5492" s="9" t="str">
        <f>HYPERLINK("http://www.ensembl.org/id/WBGene00167602", "WBGene00167602")</f>
        <v>WBGene00167602</v>
      </c>
      <c r="B5492" s="9"/>
      <c r="C5492" s="9"/>
      <c r="D5492" t="str">
        <f>"21ur-14233"</f>
        <v>21ur-14233</v>
      </c>
      <c r="F5492" t="s">
        <v>3161</v>
      </c>
      <c r="H5492" s="12">
        <v>2.3893468495514898</v>
      </c>
      <c r="I5492" s="20">
        <v>0.25323547253672701</v>
      </c>
      <c r="J5492" s="28">
        <v>0.80008625651646104</v>
      </c>
      <c r="K5492" s="29">
        <v>0.98289565623980701</v>
      </c>
    </row>
    <row r="5493" spans="1:11" x14ac:dyDescent="0.35">
      <c r="A5493" s="9" t="str">
        <f>HYPERLINK("http://www.ensembl.org/id/WBGene00167753", "WBGene00167753")</f>
        <v>WBGene00167753</v>
      </c>
      <c r="B5493" s="9"/>
      <c r="C5493" s="9"/>
      <c r="D5493" t="str">
        <f>"21ur-14288"</f>
        <v>21ur-14288</v>
      </c>
      <c r="F5493" t="s">
        <v>3161</v>
      </c>
      <c r="H5493" s="12">
        <v>-2.4295389261469</v>
      </c>
      <c r="I5493" s="20">
        <v>-0.25808529976640998</v>
      </c>
      <c r="J5493" s="28">
        <v>0.79634107645457397</v>
      </c>
      <c r="K5493" s="29">
        <v>0.98289565623980701</v>
      </c>
    </row>
    <row r="5494" spans="1:11" x14ac:dyDescent="0.35">
      <c r="A5494" s="9" t="str">
        <f>HYPERLINK("http://www.ensembl.org/id/WBGene00169809", "WBGene00169809")</f>
        <v>WBGene00169809</v>
      </c>
      <c r="B5494" s="9"/>
      <c r="C5494" s="9"/>
      <c r="D5494" t="str">
        <f>"21ur-14315"</f>
        <v>21ur-14315</v>
      </c>
      <c r="F5494" t="s">
        <v>3161</v>
      </c>
      <c r="H5494" s="12">
        <v>-2.4295389261469</v>
      </c>
      <c r="I5494" s="20">
        <v>-0.25808529976640998</v>
      </c>
      <c r="J5494" s="28">
        <v>0.79634107645457397</v>
      </c>
      <c r="K5494" s="29">
        <v>0.98289565623980701</v>
      </c>
    </row>
    <row r="5495" spans="1:11" x14ac:dyDescent="0.35">
      <c r="A5495" s="9" t="str">
        <f>HYPERLINK("http://www.ensembl.org/id/WBGene00173337", "WBGene00173337")</f>
        <v>WBGene00173337</v>
      </c>
      <c r="B5495" s="9"/>
      <c r="C5495" s="9"/>
      <c r="D5495" t="str">
        <f>"21ur-14376"</f>
        <v>21ur-14376</v>
      </c>
      <c r="F5495" t="s">
        <v>3161</v>
      </c>
      <c r="H5495" s="12">
        <v>-3.7261494131482999</v>
      </c>
      <c r="I5495" s="20">
        <v>-0.38454673129429601</v>
      </c>
      <c r="J5495" s="28">
        <v>0.70057326682554</v>
      </c>
      <c r="K5495" s="29">
        <v>0.98289565623980701</v>
      </c>
    </row>
    <row r="5496" spans="1:11" x14ac:dyDescent="0.35">
      <c r="A5496" s="9" t="str">
        <f>HYPERLINK("http://www.ensembl.org/id/WBGene00167783", "WBGene00167783")</f>
        <v>WBGene00167783</v>
      </c>
      <c r="B5496" s="9"/>
      <c r="C5496" s="9"/>
      <c r="D5496" t="str">
        <f>"21ur-14377"</f>
        <v>21ur-14377</v>
      </c>
      <c r="F5496" t="s">
        <v>3161</v>
      </c>
      <c r="H5496" s="12">
        <v>10.8131830636529</v>
      </c>
      <c r="I5496" s="20">
        <v>0.70982715185838596</v>
      </c>
      <c r="J5496" s="28">
        <v>0.477811329444844</v>
      </c>
      <c r="K5496" s="29">
        <v>0.98289565623980701</v>
      </c>
    </row>
    <row r="5497" spans="1:11" x14ac:dyDescent="0.35">
      <c r="A5497" s="9" t="str">
        <f>HYPERLINK("http://www.ensembl.org/id/WBGene00171144", "WBGene00171144")</f>
        <v>WBGene00171144</v>
      </c>
      <c r="B5497" s="9"/>
      <c r="C5497" s="9"/>
      <c r="D5497" t="str">
        <f>"21ur-14380"</f>
        <v>21ur-14380</v>
      </c>
      <c r="F5497" t="s">
        <v>3161</v>
      </c>
      <c r="H5497" s="12">
        <v>2.3893468495514898</v>
      </c>
      <c r="I5497" s="20">
        <v>0.25323547253672701</v>
      </c>
      <c r="J5497" s="28">
        <v>0.80008625651646104</v>
      </c>
      <c r="K5497" s="29">
        <v>0.98289565623980701</v>
      </c>
    </row>
    <row r="5498" spans="1:11" x14ac:dyDescent="0.35">
      <c r="A5498" s="9" t="str">
        <f>HYPERLINK("http://www.ensembl.org/id/WBGene00167545", "WBGene00167545")</f>
        <v>WBGene00167545</v>
      </c>
      <c r="B5498" s="9"/>
      <c r="C5498" s="9"/>
      <c r="D5498" t="str">
        <f>"21ur-14400"</f>
        <v>21ur-14400</v>
      </c>
      <c r="F5498" t="s">
        <v>3161</v>
      </c>
      <c r="H5498" s="12">
        <v>-5.9147836814778696</v>
      </c>
      <c r="I5498" s="20">
        <v>-0.64732500741019305</v>
      </c>
      <c r="J5498" s="28">
        <v>0.51742161994361002</v>
      </c>
      <c r="K5498" s="29">
        <v>0.98289565623980701</v>
      </c>
    </row>
    <row r="5499" spans="1:11" x14ac:dyDescent="0.35">
      <c r="A5499" s="9" t="str">
        <f>HYPERLINK("http://www.ensembl.org/id/WBGene00045987", "WBGene00045987")</f>
        <v>WBGene00045987</v>
      </c>
      <c r="B5499" s="9"/>
      <c r="C5499" s="9"/>
      <c r="D5499" t="str">
        <f>"21ur-1441"</f>
        <v>21ur-1441</v>
      </c>
      <c r="F5499" t="s">
        <v>3161</v>
      </c>
      <c r="H5499" s="12">
        <v>3.5227018545059199</v>
      </c>
      <c r="I5499" s="20">
        <v>0.36849691206929103</v>
      </c>
      <c r="J5499" s="28">
        <v>0.71250274722433404</v>
      </c>
      <c r="K5499" s="29">
        <v>0.98289565623980701</v>
      </c>
    </row>
    <row r="5500" spans="1:11" x14ac:dyDescent="0.35">
      <c r="A5500" s="9" t="str">
        <f>HYPERLINK("http://www.ensembl.org/id/WBGene00166269", "WBGene00166269")</f>
        <v>WBGene00166269</v>
      </c>
      <c r="B5500" s="9"/>
      <c r="C5500" s="9"/>
      <c r="D5500" t="str">
        <f>"21ur-14438"</f>
        <v>21ur-14438</v>
      </c>
      <c r="F5500" t="s">
        <v>3161</v>
      </c>
      <c r="H5500" s="12">
        <v>2.43628531154256</v>
      </c>
      <c r="I5500" s="20">
        <v>0.26397437090349102</v>
      </c>
      <c r="J5500" s="28">
        <v>0.79179966754305298</v>
      </c>
      <c r="K5500" s="29">
        <v>0.98289565623980701</v>
      </c>
    </row>
    <row r="5501" spans="1:11" x14ac:dyDescent="0.35">
      <c r="A5501" s="9" t="str">
        <f>HYPERLINK("http://www.ensembl.org/id/WBGene00167105", "WBGene00167105")</f>
        <v>WBGene00167105</v>
      </c>
      <c r="B5501" s="9"/>
      <c r="C5501" s="9"/>
      <c r="D5501" t="str">
        <f>"21ur-14515"</f>
        <v>21ur-14515</v>
      </c>
      <c r="F5501" t="s">
        <v>3161</v>
      </c>
      <c r="H5501" s="12">
        <v>-2.82077238682509</v>
      </c>
      <c r="I5501" s="20">
        <v>-0.39885745974467901</v>
      </c>
      <c r="J5501" s="28">
        <v>0.68999823584143305</v>
      </c>
      <c r="K5501" s="29">
        <v>0.98289565623980701</v>
      </c>
    </row>
    <row r="5502" spans="1:11" x14ac:dyDescent="0.35">
      <c r="A5502" s="9" t="str">
        <f>HYPERLINK("http://www.ensembl.org/id/WBGene00170830", "WBGene00170830")</f>
        <v>WBGene00170830</v>
      </c>
      <c r="B5502" s="9"/>
      <c r="C5502" s="9"/>
      <c r="D5502" t="str">
        <f>"21ur-14549"</f>
        <v>21ur-14549</v>
      </c>
      <c r="F5502" t="s">
        <v>3161</v>
      </c>
      <c r="H5502" s="12">
        <v>-2.3721331589850401</v>
      </c>
      <c r="I5502" s="20">
        <v>-0.30165476308262501</v>
      </c>
      <c r="J5502" s="28">
        <v>0.76291525649121905</v>
      </c>
      <c r="K5502" s="29">
        <v>0.98289565623980701</v>
      </c>
    </row>
    <row r="5503" spans="1:11" x14ac:dyDescent="0.35">
      <c r="A5503" s="9" t="str">
        <f>HYPERLINK("http://www.ensembl.org/id/WBGene00170674", "WBGene00170674")</f>
        <v>WBGene00170674</v>
      </c>
      <c r="B5503" s="9"/>
      <c r="C5503" s="9"/>
      <c r="D5503" t="str">
        <f>"21ur-14557"</f>
        <v>21ur-14557</v>
      </c>
      <c r="F5503" t="s">
        <v>3161</v>
      </c>
      <c r="H5503" s="12">
        <v>2.3893468495514898</v>
      </c>
      <c r="I5503" s="20">
        <v>0.25323547253672701</v>
      </c>
      <c r="J5503" s="28">
        <v>0.80008625651646104</v>
      </c>
      <c r="K5503" s="29">
        <v>0.98289565623980701</v>
      </c>
    </row>
    <row r="5504" spans="1:11" x14ac:dyDescent="0.35">
      <c r="A5504" s="9" t="str">
        <f>HYPERLINK("http://www.ensembl.org/id/WBGene00169614", "WBGene00169614")</f>
        <v>WBGene00169614</v>
      </c>
      <c r="B5504" s="9"/>
      <c r="C5504" s="9"/>
      <c r="D5504" t="str">
        <f>"21ur-14575"</f>
        <v>21ur-14575</v>
      </c>
      <c r="F5504" t="s">
        <v>3161</v>
      </c>
      <c r="H5504" s="12">
        <v>3.6645215954135</v>
      </c>
      <c r="I5504" s="20">
        <v>0.37967131826092498</v>
      </c>
      <c r="J5504" s="28">
        <v>0.70418941338960395</v>
      </c>
      <c r="K5504" s="29">
        <v>0.98289565623980701</v>
      </c>
    </row>
    <row r="5505" spans="1:11" x14ac:dyDescent="0.35">
      <c r="A5505" s="9" t="str">
        <f>HYPERLINK("http://www.ensembl.org/id/WBGene00171064", "WBGene00171064")</f>
        <v>WBGene00171064</v>
      </c>
      <c r="B5505" s="9"/>
      <c r="C5505" s="9"/>
      <c r="D5505" t="str">
        <f>"21ur-14576"</f>
        <v>21ur-14576</v>
      </c>
      <c r="F5505" t="s">
        <v>3161</v>
      </c>
      <c r="H5505" s="12">
        <v>5.4058944669092801</v>
      </c>
      <c r="I5505" s="20">
        <v>0.49762513753689303</v>
      </c>
      <c r="J5505" s="28">
        <v>0.61874828254921799</v>
      </c>
      <c r="K5505" s="29">
        <v>0.98289565623980701</v>
      </c>
    </row>
    <row r="5506" spans="1:11" x14ac:dyDescent="0.35">
      <c r="A5506" s="9" t="str">
        <f>HYPERLINK("http://www.ensembl.org/id/WBGene00168565", "WBGene00168565")</f>
        <v>WBGene00168565</v>
      </c>
      <c r="B5506" s="9"/>
      <c r="C5506" s="9"/>
      <c r="D5506" t="str">
        <f>"21ur-14629"</f>
        <v>21ur-14629</v>
      </c>
      <c r="F5506" t="s">
        <v>3161</v>
      </c>
      <c r="H5506" s="12">
        <v>3.5227018545059199</v>
      </c>
      <c r="I5506" s="20">
        <v>0.36849691206929103</v>
      </c>
      <c r="J5506" s="28">
        <v>0.71250274722433404</v>
      </c>
      <c r="K5506" s="29">
        <v>0.98289565623980701</v>
      </c>
    </row>
    <row r="5507" spans="1:11" x14ac:dyDescent="0.35">
      <c r="A5507" s="9" t="str">
        <f>HYPERLINK("http://www.ensembl.org/id/WBGene00168899", "WBGene00168899")</f>
        <v>WBGene00168899</v>
      </c>
      <c r="B5507" s="9"/>
      <c r="C5507" s="9"/>
      <c r="D5507" t="str">
        <f>"21ur-14685"</f>
        <v>21ur-14685</v>
      </c>
      <c r="F5507" t="s">
        <v>3161</v>
      </c>
      <c r="H5507" s="12">
        <v>2.3893468495514898</v>
      </c>
      <c r="I5507" s="20">
        <v>0.25323547253672701</v>
      </c>
      <c r="J5507" s="28">
        <v>0.80008625651646104</v>
      </c>
      <c r="K5507" s="29">
        <v>0.98289565623980701</v>
      </c>
    </row>
    <row r="5508" spans="1:11" x14ac:dyDescent="0.35">
      <c r="A5508" s="9" t="str">
        <f>HYPERLINK("http://www.ensembl.org/id/WBGene00171497", "WBGene00171497")</f>
        <v>WBGene00171497</v>
      </c>
      <c r="B5508" s="9"/>
      <c r="C5508" s="9"/>
      <c r="D5508" t="str">
        <f>"21ur-14713"</f>
        <v>21ur-14713</v>
      </c>
      <c r="F5508" t="s">
        <v>3161</v>
      </c>
      <c r="H5508" s="12">
        <v>-2.4991590031922399</v>
      </c>
      <c r="I5508" s="20">
        <v>-0.26577412737581302</v>
      </c>
      <c r="J5508" s="28">
        <v>0.79041317015736101</v>
      </c>
      <c r="K5508" s="29">
        <v>0.98289565623980701</v>
      </c>
    </row>
    <row r="5509" spans="1:11" x14ac:dyDescent="0.35">
      <c r="A5509" s="9" t="str">
        <f>HYPERLINK("http://www.ensembl.org/id/WBGene00165761", "WBGene00165761")</f>
        <v>WBGene00165761</v>
      </c>
      <c r="B5509" s="9"/>
      <c r="C5509" s="9"/>
      <c r="D5509" t="str">
        <f>"21ur-14722"</f>
        <v>21ur-14722</v>
      </c>
      <c r="F5509" t="s">
        <v>3161</v>
      </c>
      <c r="H5509" s="12">
        <v>-2.4295389261469</v>
      </c>
      <c r="I5509" s="20">
        <v>-0.25808529976640998</v>
      </c>
      <c r="J5509" s="28">
        <v>0.79634107645457397</v>
      </c>
      <c r="K5509" s="29">
        <v>0.98289565623980701</v>
      </c>
    </row>
    <row r="5510" spans="1:11" x14ac:dyDescent="0.35">
      <c r="A5510" s="9" t="str">
        <f>HYPERLINK("http://www.ensembl.org/id/WBGene00166523", "WBGene00166523")</f>
        <v>WBGene00166523</v>
      </c>
      <c r="B5510" s="9"/>
      <c r="C5510" s="9"/>
      <c r="D5510" t="str">
        <f>"21ur-14738"</f>
        <v>21ur-14738</v>
      </c>
      <c r="F5510" t="s">
        <v>3161</v>
      </c>
      <c r="H5510" s="12">
        <v>-2.4295389261469</v>
      </c>
      <c r="I5510" s="20">
        <v>-0.25808529976640998</v>
      </c>
      <c r="J5510" s="28">
        <v>0.79634107645457397</v>
      </c>
      <c r="K5510" s="29">
        <v>0.98289565623980701</v>
      </c>
    </row>
    <row r="5511" spans="1:11" x14ac:dyDescent="0.35">
      <c r="A5511" s="9" t="str">
        <f>HYPERLINK("http://www.ensembl.org/id/WBGene00172655", "WBGene00172655")</f>
        <v>WBGene00172655</v>
      </c>
      <c r="B5511" s="9"/>
      <c r="C5511" s="9"/>
      <c r="D5511" t="str">
        <f>"21ur-14760"</f>
        <v>21ur-14760</v>
      </c>
      <c r="F5511" t="s">
        <v>3161</v>
      </c>
      <c r="H5511" s="12">
        <v>-2.4295389261469</v>
      </c>
      <c r="I5511" s="20">
        <v>-0.25808529976640998</v>
      </c>
      <c r="J5511" s="28">
        <v>0.79634107645457397</v>
      </c>
      <c r="K5511" s="29">
        <v>0.98289565623980701</v>
      </c>
    </row>
    <row r="5512" spans="1:11" x14ac:dyDescent="0.35">
      <c r="A5512" s="9" t="str">
        <f>HYPERLINK("http://www.ensembl.org/id/WBGene00169377", "WBGene00169377")</f>
        <v>WBGene00169377</v>
      </c>
      <c r="B5512" s="9"/>
      <c r="C5512" s="9"/>
      <c r="D5512" t="str">
        <f>"21ur-14770"</f>
        <v>21ur-14770</v>
      </c>
      <c r="F5512" t="s">
        <v>3161</v>
      </c>
      <c r="H5512" s="12">
        <v>-2.4295389261469</v>
      </c>
      <c r="I5512" s="20">
        <v>-0.25808529976640998</v>
      </c>
      <c r="J5512" s="28">
        <v>0.79634107645457397</v>
      </c>
      <c r="K5512" s="29">
        <v>0.98289565623980701</v>
      </c>
    </row>
    <row r="5513" spans="1:11" x14ac:dyDescent="0.35">
      <c r="A5513" s="9" t="str">
        <f>HYPERLINK("http://www.ensembl.org/id/WBGene00165601", "WBGene00165601")</f>
        <v>WBGene00165601</v>
      </c>
      <c r="B5513" s="9"/>
      <c r="C5513" s="9"/>
      <c r="D5513" t="str">
        <f>"21ur-14793"</f>
        <v>21ur-14793</v>
      </c>
      <c r="F5513" t="s">
        <v>3161</v>
      </c>
      <c r="H5513" s="12">
        <v>3.5227018545059199</v>
      </c>
      <c r="I5513" s="20">
        <v>0.36849691206929103</v>
      </c>
      <c r="J5513" s="28">
        <v>0.71250274722433404</v>
      </c>
      <c r="K5513" s="29">
        <v>0.98289565623980701</v>
      </c>
    </row>
    <row r="5514" spans="1:11" x14ac:dyDescent="0.35">
      <c r="A5514" s="9" t="str">
        <f>HYPERLINK("http://www.ensembl.org/id/WBGene00173303", "WBGene00173303")</f>
        <v>WBGene00173303</v>
      </c>
      <c r="B5514" s="9"/>
      <c r="C5514" s="9"/>
      <c r="D5514" t="str">
        <f>"21ur-14797"</f>
        <v>21ur-14797</v>
      </c>
      <c r="F5514" t="s">
        <v>3161</v>
      </c>
      <c r="H5514" s="12">
        <v>3.6645215954135</v>
      </c>
      <c r="I5514" s="20">
        <v>0.37967131826092498</v>
      </c>
      <c r="J5514" s="28">
        <v>0.70418941338960395</v>
      </c>
      <c r="K5514" s="29">
        <v>0.98289565623980701</v>
      </c>
    </row>
    <row r="5515" spans="1:11" x14ac:dyDescent="0.35">
      <c r="A5515" s="9" t="str">
        <f>HYPERLINK("http://www.ensembl.org/id/WBGene00170252", "WBGene00170252")</f>
        <v>WBGene00170252</v>
      </c>
      <c r="B5515" s="9"/>
      <c r="C5515" s="9"/>
      <c r="D5515" t="str">
        <f>"21ur-14807"</f>
        <v>21ur-14807</v>
      </c>
      <c r="F5515" t="s">
        <v>3161</v>
      </c>
      <c r="H5515" s="12">
        <v>-6.3507302933957197</v>
      </c>
      <c r="I5515" s="20">
        <v>-0.54348709410156204</v>
      </c>
      <c r="J5515" s="28">
        <v>0.58679447442024202</v>
      </c>
      <c r="K5515" s="29">
        <v>0.98289565623980701</v>
      </c>
    </row>
    <row r="5516" spans="1:11" x14ac:dyDescent="0.35">
      <c r="A5516" s="9" t="str">
        <f>HYPERLINK("http://www.ensembl.org/id/WBGene00173822", "WBGene00173822")</f>
        <v>WBGene00173822</v>
      </c>
      <c r="B5516" s="9"/>
      <c r="C5516" s="9"/>
      <c r="D5516" t="str">
        <f>"21ur-14809"</f>
        <v>21ur-14809</v>
      </c>
      <c r="F5516" t="s">
        <v>3161</v>
      </c>
      <c r="H5516" s="12">
        <v>-4.7167679298615104</v>
      </c>
      <c r="I5516" s="20">
        <v>-0.454742638005115</v>
      </c>
      <c r="J5516" s="28">
        <v>0.64929440216969203</v>
      </c>
      <c r="K5516" s="29">
        <v>0.98289565623980701</v>
      </c>
    </row>
    <row r="5517" spans="1:11" x14ac:dyDescent="0.35">
      <c r="A5517" s="9" t="str">
        <f>HYPERLINK("http://www.ensembl.org/id/WBGene00173055", "WBGene00173055")</f>
        <v>WBGene00173055</v>
      </c>
      <c r="B5517" s="9"/>
      <c r="C5517" s="9"/>
      <c r="D5517" t="str">
        <f>"21ur-14823"</f>
        <v>21ur-14823</v>
      </c>
      <c r="F5517" t="s">
        <v>3161</v>
      </c>
      <c r="H5517" s="12">
        <v>2.4578120077400301</v>
      </c>
      <c r="I5517" s="20">
        <v>0.26093350314551</v>
      </c>
      <c r="J5517" s="28">
        <v>0.79414378780213601</v>
      </c>
      <c r="K5517" s="29">
        <v>0.98289565623980701</v>
      </c>
    </row>
    <row r="5518" spans="1:11" x14ac:dyDescent="0.35">
      <c r="A5518" s="9" t="str">
        <f>HYPERLINK("http://www.ensembl.org/id/WBGene00174331", "WBGene00174331")</f>
        <v>WBGene00174331</v>
      </c>
      <c r="B5518" s="9"/>
      <c r="C5518" s="9"/>
      <c r="D5518" t="str">
        <f>"21ur-14830"</f>
        <v>21ur-14830</v>
      </c>
      <c r="F5518" t="s">
        <v>3161</v>
      </c>
      <c r="H5518" s="12">
        <v>1.9486268347868101</v>
      </c>
      <c r="I5518" s="20">
        <v>0.58920004822666505</v>
      </c>
      <c r="J5518" s="28">
        <v>0.55572708481761801</v>
      </c>
      <c r="K5518" s="29">
        <v>0.98289565623980701</v>
      </c>
    </row>
    <row r="5519" spans="1:11" x14ac:dyDescent="0.35">
      <c r="A5519" s="9" t="str">
        <f>HYPERLINK("http://www.ensembl.org/id/WBGene00167225", "WBGene00167225")</f>
        <v>WBGene00167225</v>
      </c>
      <c r="B5519" s="9"/>
      <c r="C5519" s="9"/>
      <c r="D5519" t="str">
        <f>"21ur-14836"</f>
        <v>21ur-14836</v>
      </c>
      <c r="F5519" t="s">
        <v>3161</v>
      </c>
      <c r="H5519" s="12">
        <v>2.4578120077400301</v>
      </c>
      <c r="I5519" s="20">
        <v>0.26093350314551</v>
      </c>
      <c r="J5519" s="28">
        <v>0.79414378780213601</v>
      </c>
      <c r="K5519" s="29">
        <v>0.98289565623980701</v>
      </c>
    </row>
    <row r="5520" spans="1:11" x14ac:dyDescent="0.35">
      <c r="A5520" s="9" t="str">
        <f>HYPERLINK("http://www.ensembl.org/id/WBGene00166372", "WBGene00166372")</f>
        <v>WBGene00166372</v>
      </c>
      <c r="B5520" s="9"/>
      <c r="C5520" s="9"/>
      <c r="D5520" t="str">
        <f>"21ur-14887"</f>
        <v>21ur-14887</v>
      </c>
      <c r="F5520" t="s">
        <v>3161</v>
      </c>
      <c r="H5520" s="12">
        <v>3.5227018545059199</v>
      </c>
      <c r="I5520" s="20">
        <v>0.36849691206929103</v>
      </c>
      <c r="J5520" s="28">
        <v>0.71250274722433404</v>
      </c>
      <c r="K5520" s="29">
        <v>0.98289565623980701</v>
      </c>
    </row>
    <row r="5521" spans="1:11" x14ac:dyDescent="0.35">
      <c r="A5521" s="9" t="str">
        <f>HYPERLINK("http://www.ensembl.org/id/WBGene00165222", "WBGene00165222")</f>
        <v>WBGene00165222</v>
      </c>
      <c r="B5521" s="9"/>
      <c r="C5521" s="9"/>
      <c r="D5521" t="str">
        <f>"21ur-14927"</f>
        <v>21ur-14927</v>
      </c>
      <c r="F5521" t="s">
        <v>3161</v>
      </c>
      <c r="H5521" s="12">
        <v>-13.692597317450801</v>
      </c>
      <c r="I5521" s="20">
        <v>-0.88521209554684299</v>
      </c>
      <c r="J5521" s="28">
        <v>0.37604224988394502</v>
      </c>
      <c r="K5521" s="29">
        <v>0.98289565623980701</v>
      </c>
    </row>
    <row r="5522" spans="1:11" x14ac:dyDescent="0.35">
      <c r="A5522" s="9" t="str">
        <f>HYPERLINK("http://www.ensembl.org/id/WBGene00166664", "WBGene00166664")</f>
        <v>WBGene00166664</v>
      </c>
      <c r="B5522" s="9"/>
      <c r="C5522" s="9"/>
      <c r="D5522" t="str">
        <f>"21ur-14949"</f>
        <v>21ur-14949</v>
      </c>
      <c r="F5522" t="s">
        <v>3161</v>
      </c>
      <c r="H5522" s="12">
        <v>13.2083681824683</v>
      </c>
      <c r="I5522" s="20">
        <v>0.79736709025154395</v>
      </c>
      <c r="J5522" s="28">
        <v>0.42523786651974499</v>
      </c>
      <c r="K5522" s="29">
        <v>0.98289565623980701</v>
      </c>
    </row>
    <row r="5523" spans="1:11" x14ac:dyDescent="0.35">
      <c r="A5523" s="9" t="str">
        <f>HYPERLINK("http://www.ensembl.org/id/WBGene00170871", "WBGene00170871")</f>
        <v>WBGene00170871</v>
      </c>
      <c r="B5523" s="9"/>
      <c r="C5523" s="9"/>
      <c r="D5523" t="str">
        <f>"21ur-14978"</f>
        <v>21ur-14978</v>
      </c>
      <c r="F5523" t="s">
        <v>3161</v>
      </c>
      <c r="H5523" s="12">
        <v>2.43628531154256</v>
      </c>
      <c r="I5523" s="20">
        <v>0.26397437090349102</v>
      </c>
      <c r="J5523" s="28">
        <v>0.79179966754305298</v>
      </c>
      <c r="K5523" s="29">
        <v>0.98289565623980701</v>
      </c>
    </row>
    <row r="5524" spans="1:11" x14ac:dyDescent="0.35">
      <c r="A5524" s="9" t="str">
        <f>HYPERLINK("http://www.ensembl.org/id/WBGene00167652", "WBGene00167652")</f>
        <v>WBGene00167652</v>
      </c>
      <c r="B5524" s="9"/>
      <c r="C5524" s="9"/>
      <c r="D5524" t="str">
        <f>"21ur-14981"</f>
        <v>21ur-14981</v>
      </c>
      <c r="F5524" t="s">
        <v>3161</v>
      </c>
      <c r="H5524" s="12">
        <v>2.3893468495514898</v>
      </c>
      <c r="I5524" s="20">
        <v>0.25323547253672701</v>
      </c>
      <c r="J5524" s="28">
        <v>0.80008625651646104</v>
      </c>
      <c r="K5524" s="29">
        <v>0.98289565623980701</v>
      </c>
    </row>
    <row r="5525" spans="1:11" x14ac:dyDescent="0.35">
      <c r="A5525" s="9" t="str">
        <f>HYPERLINK("http://www.ensembl.org/id/WBGene00167009", "WBGene00167009")</f>
        <v>WBGene00167009</v>
      </c>
      <c r="B5525" s="9"/>
      <c r="C5525" s="9"/>
      <c r="D5525" t="str">
        <f>"21ur-15005"</f>
        <v>21ur-15005</v>
      </c>
      <c r="F5525" t="s">
        <v>3161</v>
      </c>
      <c r="H5525" s="12">
        <v>2.3893468495514898</v>
      </c>
      <c r="I5525" s="20">
        <v>0.25323547253672701</v>
      </c>
      <c r="J5525" s="28">
        <v>0.80008625651646104</v>
      </c>
      <c r="K5525" s="29">
        <v>0.98289565623980701</v>
      </c>
    </row>
    <row r="5526" spans="1:11" x14ac:dyDescent="0.35">
      <c r="A5526" s="9" t="str">
        <f>HYPERLINK("http://www.ensembl.org/id/WBGene00170538", "WBGene00170538")</f>
        <v>WBGene00170538</v>
      </c>
      <c r="B5526" s="9"/>
      <c r="C5526" s="9"/>
      <c r="D5526" t="str">
        <f>"21ur-15011"</f>
        <v>21ur-15011</v>
      </c>
      <c r="F5526" t="s">
        <v>3161</v>
      </c>
      <c r="H5526" s="12">
        <v>-2.4295389261469</v>
      </c>
      <c r="I5526" s="20">
        <v>-0.25808529976640998</v>
      </c>
      <c r="J5526" s="28">
        <v>0.79634107645457397</v>
      </c>
      <c r="K5526" s="29">
        <v>0.98289565623980701</v>
      </c>
    </row>
    <row r="5527" spans="1:11" x14ac:dyDescent="0.35">
      <c r="A5527" s="9" t="str">
        <f>HYPERLINK("http://www.ensembl.org/id/WBGene00172341", "WBGene00172341")</f>
        <v>WBGene00172341</v>
      </c>
      <c r="B5527" s="9"/>
      <c r="C5527" s="9"/>
      <c r="D5527" t="str">
        <f>"21ur-15024"</f>
        <v>21ur-15024</v>
      </c>
      <c r="F5527" t="s">
        <v>3161</v>
      </c>
      <c r="H5527" s="12">
        <v>-4.0926841099580402</v>
      </c>
      <c r="I5527" s="20">
        <v>-0.71491915358203595</v>
      </c>
      <c r="J5527" s="28">
        <v>0.47465900096380598</v>
      </c>
      <c r="K5527" s="29">
        <v>0.98289565623980701</v>
      </c>
    </row>
    <row r="5528" spans="1:11" x14ac:dyDescent="0.35">
      <c r="A5528" s="9" t="str">
        <f>HYPERLINK("http://www.ensembl.org/id/WBGene00173790", "WBGene00173790")</f>
        <v>WBGene00173790</v>
      </c>
      <c r="B5528" s="9"/>
      <c r="C5528" s="9"/>
      <c r="D5528" t="str">
        <f>"21ur-15055"</f>
        <v>21ur-15055</v>
      </c>
      <c r="F5528" t="s">
        <v>3161</v>
      </c>
      <c r="H5528" s="12">
        <v>2.3893468495514898</v>
      </c>
      <c r="I5528" s="20">
        <v>0.25323547253672701</v>
      </c>
      <c r="J5528" s="28">
        <v>0.80008625651646104</v>
      </c>
      <c r="K5528" s="29">
        <v>0.98289565623980701</v>
      </c>
    </row>
    <row r="5529" spans="1:11" x14ac:dyDescent="0.35">
      <c r="A5529" s="9" t="str">
        <f>HYPERLINK("http://www.ensembl.org/id/WBGene00172191", "WBGene00172191")</f>
        <v>WBGene00172191</v>
      </c>
      <c r="B5529" s="9"/>
      <c r="C5529" s="9"/>
      <c r="D5529" t="str">
        <f>"21ur-15085"</f>
        <v>21ur-15085</v>
      </c>
      <c r="F5529" t="s">
        <v>3161</v>
      </c>
      <c r="H5529" s="12">
        <v>-2.4991590031922399</v>
      </c>
      <c r="I5529" s="20">
        <v>-0.26577412737581302</v>
      </c>
      <c r="J5529" s="28">
        <v>0.79041317015736101</v>
      </c>
      <c r="K5529" s="29">
        <v>0.98289565623980701</v>
      </c>
    </row>
    <row r="5530" spans="1:11" x14ac:dyDescent="0.35">
      <c r="A5530" s="9" t="str">
        <f>HYPERLINK("http://www.ensembl.org/id/WBGene00170862", "WBGene00170862")</f>
        <v>WBGene00170862</v>
      </c>
      <c r="B5530" s="9"/>
      <c r="C5530" s="9"/>
      <c r="D5530" t="str">
        <f>"21ur-15095"</f>
        <v>21ur-15095</v>
      </c>
      <c r="F5530" t="s">
        <v>3161</v>
      </c>
      <c r="H5530" s="12">
        <v>2.3893468495514898</v>
      </c>
      <c r="I5530" s="20">
        <v>0.25323547253672701</v>
      </c>
      <c r="J5530" s="28">
        <v>0.80008625651646104</v>
      </c>
      <c r="K5530" s="29">
        <v>0.98289565623980701</v>
      </c>
    </row>
    <row r="5531" spans="1:11" x14ac:dyDescent="0.35">
      <c r="A5531" s="9" t="str">
        <f>HYPERLINK("http://www.ensembl.org/id/WBGene00168488", "WBGene00168488")</f>
        <v>WBGene00168488</v>
      </c>
      <c r="B5531" s="9"/>
      <c r="C5531" s="9"/>
      <c r="D5531" t="str">
        <f>"21ur-15099"</f>
        <v>21ur-15099</v>
      </c>
      <c r="F5531" t="s">
        <v>3161</v>
      </c>
      <c r="H5531" s="12">
        <v>2.3893468495514898</v>
      </c>
      <c r="I5531" s="20">
        <v>0.25323547253672701</v>
      </c>
      <c r="J5531" s="28">
        <v>0.80008625651646104</v>
      </c>
      <c r="K5531" s="29">
        <v>0.98289565623980701</v>
      </c>
    </row>
    <row r="5532" spans="1:11" x14ac:dyDescent="0.35">
      <c r="A5532" s="9" t="str">
        <f>HYPERLINK("http://www.ensembl.org/id/WBGene00169227", "WBGene00169227")</f>
        <v>WBGene00169227</v>
      </c>
      <c r="B5532" s="9"/>
      <c r="C5532" s="9"/>
      <c r="D5532" t="str">
        <f>"21ur-15121"</f>
        <v>21ur-15121</v>
      </c>
      <c r="F5532" t="s">
        <v>3161</v>
      </c>
      <c r="H5532" s="12">
        <v>3.5227018545059199</v>
      </c>
      <c r="I5532" s="20">
        <v>0.36849691206929103</v>
      </c>
      <c r="J5532" s="28">
        <v>0.71250274722433404</v>
      </c>
      <c r="K5532" s="29">
        <v>0.98289565623980701</v>
      </c>
    </row>
    <row r="5533" spans="1:11" x14ac:dyDescent="0.35">
      <c r="A5533" s="9" t="str">
        <f>HYPERLINK("http://www.ensembl.org/id/WBGene00165092", "WBGene00165092")</f>
        <v>WBGene00165092</v>
      </c>
      <c r="B5533" s="9"/>
      <c r="C5533" s="9"/>
      <c r="D5533" t="str">
        <f>"21ur-15148"</f>
        <v>21ur-15148</v>
      </c>
      <c r="F5533" t="s">
        <v>3161</v>
      </c>
      <c r="H5533" s="12">
        <v>2.4578120077400301</v>
      </c>
      <c r="I5533" s="20">
        <v>0.26093350314551</v>
      </c>
      <c r="J5533" s="28">
        <v>0.79414378780213601</v>
      </c>
      <c r="K5533" s="29">
        <v>0.98289565623980701</v>
      </c>
    </row>
    <row r="5534" spans="1:11" x14ac:dyDescent="0.35">
      <c r="A5534" s="9" t="str">
        <f>HYPERLINK("http://www.ensembl.org/id/WBGene00166699", "WBGene00166699")</f>
        <v>WBGene00166699</v>
      </c>
      <c r="B5534" s="9"/>
      <c r="C5534" s="9"/>
      <c r="D5534" t="str">
        <f>"21ur-15150"</f>
        <v>21ur-15150</v>
      </c>
      <c r="F5534" t="s">
        <v>3161</v>
      </c>
      <c r="H5534" s="12">
        <v>2.3893468495514898</v>
      </c>
      <c r="I5534" s="20">
        <v>0.25323547253672701</v>
      </c>
      <c r="J5534" s="28">
        <v>0.80008625651646104</v>
      </c>
      <c r="K5534" s="29">
        <v>0.98289565623980701</v>
      </c>
    </row>
    <row r="5535" spans="1:11" x14ac:dyDescent="0.35">
      <c r="A5535" s="9" t="str">
        <f>HYPERLINK("http://www.ensembl.org/id/WBGene00167129", "WBGene00167129")</f>
        <v>WBGene00167129</v>
      </c>
      <c r="B5535" s="9"/>
      <c r="C5535" s="9"/>
      <c r="D5535" t="str">
        <f>"21ur-15194"</f>
        <v>21ur-15194</v>
      </c>
      <c r="F5535" t="s">
        <v>3161</v>
      </c>
      <c r="H5535" s="12">
        <v>-2.4295389261469</v>
      </c>
      <c r="I5535" s="20">
        <v>-0.25808529976640998</v>
      </c>
      <c r="J5535" s="28">
        <v>0.79634107645457397</v>
      </c>
      <c r="K5535" s="29">
        <v>0.98289565623980701</v>
      </c>
    </row>
    <row r="5536" spans="1:11" x14ac:dyDescent="0.35">
      <c r="A5536" s="9" t="str">
        <f>HYPERLINK("http://www.ensembl.org/id/WBGene00048756", "WBGene00048756")</f>
        <v>WBGene00048756</v>
      </c>
      <c r="B5536" s="9"/>
      <c r="C5536" s="9"/>
      <c r="D5536" t="str">
        <f>"21ur-1521"</f>
        <v>21ur-1521</v>
      </c>
      <c r="F5536" t="s">
        <v>3161</v>
      </c>
      <c r="H5536" s="12">
        <v>2.3893468495514898</v>
      </c>
      <c r="I5536" s="20">
        <v>0.25323547253672701</v>
      </c>
      <c r="J5536" s="28">
        <v>0.80008625651646104</v>
      </c>
      <c r="K5536" s="29">
        <v>0.98289565623980701</v>
      </c>
    </row>
    <row r="5537" spans="1:11" x14ac:dyDescent="0.35">
      <c r="A5537" s="9" t="str">
        <f>HYPERLINK("http://www.ensembl.org/id/WBGene00169448", "WBGene00169448")</f>
        <v>WBGene00169448</v>
      </c>
      <c r="B5537" s="9"/>
      <c r="C5537" s="9"/>
      <c r="D5537" t="str">
        <f>"21ur-15262"</f>
        <v>21ur-15262</v>
      </c>
      <c r="F5537" t="s">
        <v>3161</v>
      </c>
      <c r="H5537" s="12">
        <v>2.4578120077400301</v>
      </c>
      <c r="I5537" s="20">
        <v>0.26093350314551</v>
      </c>
      <c r="J5537" s="28">
        <v>0.79414378780213601</v>
      </c>
      <c r="K5537" s="29">
        <v>0.98289565623980701</v>
      </c>
    </row>
    <row r="5538" spans="1:11" x14ac:dyDescent="0.35">
      <c r="A5538" s="9" t="str">
        <f>HYPERLINK("http://www.ensembl.org/id/WBGene00172745", "WBGene00172745")</f>
        <v>WBGene00172745</v>
      </c>
      <c r="B5538" s="9"/>
      <c r="C5538" s="9"/>
      <c r="D5538" t="str">
        <f>"21ur-15288"</f>
        <v>21ur-15288</v>
      </c>
      <c r="F5538" t="s">
        <v>3161</v>
      </c>
      <c r="H5538" s="12">
        <v>3.5227018545059199</v>
      </c>
      <c r="I5538" s="20">
        <v>0.36849691206929103</v>
      </c>
      <c r="J5538" s="28">
        <v>0.71250274722433404</v>
      </c>
      <c r="K5538" s="29">
        <v>0.98289565623980701</v>
      </c>
    </row>
    <row r="5539" spans="1:11" x14ac:dyDescent="0.35">
      <c r="A5539" s="9" t="str">
        <f>HYPERLINK("http://www.ensembl.org/id/WBGene00045707", "WBGene00045707")</f>
        <v>WBGene00045707</v>
      </c>
      <c r="B5539" s="9"/>
      <c r="C5539" s="9"/>
      <c r="D5539" t="str">
        <f>"21ur-1530"</f>
        <v>21ur-1530</v>
      </c>
      <c r="F5539" t="s">
        <v>3161</v>
      </c>
      <c r="H5539" s="12">
        <v>7.8691597089380902</v>
      </c>
      <c r="I5539" s="20">
        <v>0.61251365190975104</v>
      </c>
      <c r="J5539" s="28">
        <v>0.54019796842331003</v>
      </c>
      <c r="K5539" s="29">
        <v>0.98289565623980701</v>
      </c>
    </row>
    <row r="5540" spans="1:11" x14ac:dyDescent="0.35">
      <c r="A5540" s="9" t="str">
        <f>HYPERLINK("http://www.ensembl.org/id/WBGene00174971", "WBGene00174971")</f>
        <v>WBGene00174971</v>
      </c>
      <c r="B5540" s="9"/>
      <c r="C5540" s="9"/>
      <c r="D5540" t="str">
        <f>"21ur-15302"</f>
        <v>21ur-15302</v>
      </c>
      <c r="F5540" t="s">
        <v>3161</v>
      </c>
      <c r="H5540" s="12">
        <v>-3.5819448292659501</v>
      </c>
      <c r="I5540" s="20">
        <v>-0.37337717500031398</v>
      </c>
      <c r="J5540" s="28">
        <v>0.70886774492290605</v>
      </c>
      <c r="K5540" s="29">
        <v>0.98289565623980701</v>
      </c>
    </row>
    <row r="5541" spans="1:11" x14ac:dyDescent="0.35">
      <c r="A5541" s="9" t="str">
        <f>HYPERLINK("http://www.ensembl.org/id/WBGene00168256", "WBGene00168256")</f>
        <v>WBGene00168256</v>
      </c>
      <c r="B5541" s="9"/>
      <c r="C5541" s="9"/>
      <c r="D5541" t="str">
        <f>"21ur-15312"</f>
        <v>21ur-15312</v>
      </c>
      <c r="F5541" t="s">
        <v>3161</v>
      </c>
      <c r="H5541" s="12">
        <v>2.3893468495514898</v>
      </c>
      <c r="I5541" s="20">
        <v>0.25323547253672701</v>
      </c>
      <c r="J5541" s="28">
        <v>0.80008625651646104</v>
      </c>
      <c r="K5541" s="29">
        <v>0.98289565623980701</v>
      </c>
    </row>
    <row r="5542" spans="1:11" x14ac:dyDescent="0.35">
      <c r="A5542" s="9" t="str">
        <f>HYPERLINK("http://www.ensembl.org/id/WBGene00170416", "WBGene00170416")</f>
        <v>WBGene00170416</v>
      </c>
      <c r="B5542" s="9"/>
      <c r="C5542" s="9"/>
      <c r="D5542" t="str">
        <f>"21ur-15319"</f>
        <v>21ur-15319</v>
      </c>
      <c r="F5542" t="s">
        <v>3161</v>
      </c>
      <c r="H5542" s="12">
        <v>-2.4991590031922399</v>
      </c>
      <c r="I5542" s="20">
        <v>-0.26577412737581302</v>
      </c>
      <c r="J5542" s="28">
        <v>0.79041317015736101</v>
      </c>
      <c r="K5542" s="29">
        <v>0.98289565623980701</v>
      </c>
    </row>
    <row r="5543" spans="1:11" x14ac:dyDescent="0.35">
      <c r="A5543" s="9" t="str">
        <f>HYPERLINK("http://www.ensembl.org/id/WBGene00171386", "WBGene00171386")</f>
        <v>WBGene00171386</v>
      </c>
      <c r="B5543" s="9"/>
      <c r="C5543" s="9"/>
      <c r="D5543" t="str">
        <f>"21ur-15344"</f>
        <v>21ur-15344</v>
      </c>
      <c r="F5543" t="s">
        <v>3161</v>
      </c>
      <c r="H5543" s="12">
        <v>2.4578120077400301</v>
      </c>
      <c r="I5543" s="20">
        <v>0.26093350314551</v>
      </c>
      <c r="J5543" s="28">
        <v>0.79414378780213601</v>
      </c>
      <c r="K5543" s="29">
        <v>0.98289565623980701</v>
      </c>
    </row>
    <row r="5544" spans="1:11" x14ac:dyDescent="0.35">
      <c r="A5544" s="9" t="str">
        <f>HYPERLINK("http://www.ensembl.org/id/WBGene00165541", "WBGene00165541")</f>
        <v>WBGene00165541</v>
      </c>
      <c r="B5544" s="9"/>
      <c r="C5544" s="9"/>
      <c r="D5544" t="str">
        <f>"21ur-15354"</f>
        <v>21ur-15354</v>
      </c>
      <c r="F5544" t="s">
        <v>3161</v>
      </c>
      <c r="H5544" s="12">
        <v>5.9495765472548197</v>
      </c>
      <c r="I5544" s="20">
        <v>0.52429389276509997</v>
      </c>
      <c r="J5544" s="28">
        <v>0.60007414400596704</v>
      </c>
      <c r="K5544" s="29">
        <v>0.98289565623980701</v>
      </c>
    </row>
    <row r="5545" spans="1:11" x14ac:dyDescent="0.35">
      <c r="A5545" s="9" t="str">
        <f>HYPERLINK("http://www.ensembl.org/id/WBGene00168785", "WBGene00168785")</f>
        <v>WBGene00168785</v>
      </c>
      <c r="B5545" s="9"/>
      <c r="C5545" s="9"/>
      <c r="D5545" t="str">
        <f>"21ur-15355"</f>
        <v>21ur-15355</v>
      </c>
      <c r="F5545" t="s">
        <v>3161</v>
      </c>
      <c r="H5545" s="12">
        <v>2.43628531154256</v>
      </c>
      <c r="I5545" s="20">
        <v>0.26397437090349102</v>
      </c>
      <c r="J5545" s="28">
        <v>0.79179966754305298</v>
      </c>
      <c r="K5545" s="29">
        <v>0.98289565623980701</v>
      </c>
    </row>
    <row r="5546" spans="1:11" x14ac:dyDescent="0.35">
      <c r="A5546" s="9" t="str">
        <f>HYPERLINK("http://www.ensembl.org/id/WBGene00168707", "WBGene00168707")</f>
        <v>WBGene00168707</v>
      </c>
      <c r="B5546" s="9"/>
      <c r="C5546" s="9"/>
      <c r="D5546" t="str">
        <f>"21ur-15380"</f>
        <v>21ur-15380</v>
      </c>
      <c r="F5546" t="s">
        <v>3161</v>
      </c>
      <c r="H5546" s="12">
        <v>2.3893468495514898</v>
      </c>
      <c r="I5546" s="20">
        <v>0.25323547253672701</v>
      </c>
      <c r="J5546" s="28">
        <v>0.80008625651646104</v>
      </c>
      <c r="K5546" s="29">
        <v>0.98289565623980701</v>
      </c>
    </row>
    <row r="5547" spans="1:11" x14ac:dyDescent="0.35">
      <c r="A5547" s="9" t="str">
        <f>HYPERLINK("http://www.ensembl.org/id/WBGene00169236", "WBGene00169236")</f>
        <v>WBGene00169236</v>
      </c>
      <c r="B5547" s="9"/>
      <c r="C5547" s="9"/>
      <c r="D5547" t="str">
        <f>"21ur-15398"</f>
        <v>21ur-15398</v>
      </c>
      <c r="F5547" t="s">
        <v>3161</v>
      </c>
      <c r="H5547" s="12">
        <v>-11.359794722088999</v>
      </c>
      <c r="I5547" s="20">
        <v>-0.75222598084001502</v>
      </c>
      <c r="J5547" s="28">
        <v>0.45191517202849601</v>
      </c>
      <c r="K5547" s="29">
        <v>0.98289565623980701</v>
      </c>
    </row>
    <row r="5548" spans="1:11" x14ac:dyDescent="0.35">
      <c r="A5548" s="9" t="str">
        <f>HYPERLINK("http://www.ensembl.org/id/WBGene00165391", "WBGene00165391")</f>
        <v>WBGene00165391</v>
      </c>
      <c r="B5548" s="9"/>
      <c r="C5548" s="9"/>
      <c r="D5548" t="str">
        <f>"21ur-15402"</f>
        <v>21ur-15402</v>
      </c>
      <c r="F5548" t="s">
        <v>3161</v>
      </c>
      <c r="H5548" s="12">
        <v>2.3893468495514898</v>
      </c>
      <c r="I5548" s="20">
        <v>0.25323547253672701</v>
      </c>
      <c r="J5548" s="28">
        <v>0.80008625651646104</v>
      </c>
      <c r="K5548" s="29">
        <v>0.98289565623980701</v>
      </c>
    </row>
    <row r="5549" spans="1:11" x14ac:dyDescent="0.35">
      <c r="A5549" s="9" t="str">
        <f>HYPERLINK("http://www.ensembl.org/id/WBGene00173806", "WBGene00173806")</f>
        <v>WBGene00173806</v>
      </c>
      <c r="B5549" s="9"/>
      <c r="C5549" s="9"/>
      <c r="D5549" t="str">
        <f>"21ur-15410"</f>
        <v>21ur-15410</v>
      </c>
      <c r="F5549" t="s">
        <v>3161</v>
      </c>
      <c r="H5549" s="12">
        <v>-3.8867061064428001</v>
      </c>
      <c r="I5549" s="20">
        <v>-0.67723763971926798</v>
      </c>
      <c r="J5549" s="28">
        <v>0.49825518980267602</v>
      </c>
      <c r="K5549" s="29">
        <v>0.98289565623980701</v>
      </c>
    </row>
    <row r="5550" spans="1:11" x14ac:dyDescent="0.35">
      <c r="A5550" s="9" t="str">
        <f>HYPERLINK("http://www.ensembl.org/id/WBGene00174433", "WBGene00174433")</f>
        <v>WBGene00174433</v>
      </c>
      <c r="B5550" s="9"/>
      <c r="C5550" s="9"/>
      <c r="D5550" t="str">
        <f>"21ur-15423"</f>
        <v>21ur-15423</v>
      </c>
      <c r="F5550" t="s">
        <v>3161</v>
      </c>
      <c r="H5550" s="12">
        <v>5.2322000618327396</v>
      </c>
      <c r="I5550" s="20">
        <v>0.486112489888328</v>
      </c>
      <c r="J5550" s="28">
        <v>0.62688741196182496</v>
      </c>
      <c r="K5550" s="29">
        <v>0.98289565623980701</v>
      </c>
    </row>
    <row r="5551" spans="1:11" x14ac:dyDescent="0.35">
      <c r="A5551" s="9" t="str">
        <f>HYPERLINK("http://www.ensembl.org/id/WBGene00173509", "WBGene00173509")</f>
        <v>WBGene00173509</v>
      </c>
      <c r="B5551" s="9"/>
      <c r="C5551" s="9"/>
      <c r="D5551" t="str">
        <f>"21ur-15476"</f>
        <v>21ur-15476</v>
      </c>
      <c r="F5551" t="s">
        <v>3161</v>
      </c>
      <c r="H5551" s="12">
        <v>2.4578120077400301</v>
      </c>
      <c r="I5551" s="20">
        <v>0.26093350314551</v>
      </c>
      <c r="J5551" s="28">
        <v>0.79414378780213601</v>
      </c>
      <c r="K5551" s="29">
        <v>0.98289565623980701</v>
      </c>
    </row>
    <row r="5552" spans="1:11" x14ac:dyDescent="0.35">
      <c r="A5552" s="9" t="str">
        <f>HYPERLINK("http://www.ensembl.org/id/WBGene00168772", "WBGene00168772")</f>
        <v>WBGene00168772</v>
      </c>
      <c r="B5552" s="9"/>
      <c r="C5552" s="9"/>
      <c r="D5552" t="str">
        <f>"21ur-15486"</f>
        <v>21ur-15486</v>
      </c>
      <c r="F5552" t="s">
        <v>3161</v>
      </c>
      <c r="H5552" s="12">
        <v>-3.33576734137697</v>
      </c>
      <c r="I5552" s="20">
        <v>-0.37789252555813302</v>
      </c>
      <c r="J5552" s="28">
        <v>0.70551043520482504</v>
      </c>
      <c r="K5552" s="29">
        <v>0.98289565623980701</v>
      </c>
    </row>
    <row r="5553" spans="1:11" x14ac:dyDescent="0.35">
      <c r="A5553" s="9" t="str">
        <f>HYPERLINK("http://www.ensembl.org/id/WBGene00049014", "WBGene00049014")</f>
        <v>WBGene00049014</v>
      </c>
      <c r="B5553" s="9"/>
      <c r="C5553" s="9"/>
      <c r="D5553" t="str">
        <f>"21ur-1549"</f>
        <v>21ur-1549</v>
      </c>
      <c r="F5553" t="s">
        <v>3161</v>
      </c>
      <c r="H5553" s="12">
        <v>-1.7083741204807601</v>
      </c>
      <c r="I5553" s="20">
        <v>-0.28981677060699901</v>
      </c>
      <c r="J5553" s="28">
        <v>0.77195641715094798</v>
      </c>
      <c r="K5553" s="29">
        <v>0.98289565623980701</v>
      </c>
    </row>
    <row r="5554" spans="1:11" x14ac:dyDescent="0.35">
      <c r="A5554" s="9" t="str">
        <f>HYPERLINK("http://www.ensembl.org/id/WBGene00172886", "WBGene00172886")</f>
        <v>WBGene00172886</v>
      </c>
      <c r="B5554" s="9"/>
      <c r="C5554" s="9"/>
      <c r="D5554" t="str">
        <f>"21ur-15511"</f>
        <v>21ur-15511</v>
      </c>
      <c r="F5554" t="s">
        <v>3161</v>
      </c>
      <c r="H5554" s="12">
        <v>1.5890309538585301</v>
      </c>
      <c r="I5554" s="20">
        <v>0.41643378132651998</v>
      </c>
      <c r="J5554" s="28">
        <v>0.67709261332982495</v>
      </c>
      <c r="K5554" s="29">
        <v>0.98289565623980701</v>
      </c>
    </row>
    <row r="5555" spans="1:11" x14ac:dyDescent="0.35">
      <c r="A5555" s="9" t="str">
        <f>HYPERLINK("http://www.ensembl.org/id/WBGene00173957", "WBGene00173957")</f>
        <v>WBGene00173957</v>
      </c>
      <c r="B5555" s="9"/>
      <c r="C5555" s="9"/>
      <c r="D5555" t="str">
        <f>"21ur-15523"</f>
        <v>21ur-15523</v>
      </c>
      <c r="F5555" t="s">
        <v>3161</v>
      </c>
      <c r="H5555" s="12">
        <v>3.28624938312884</v>
      </c>
      <c r="I5555" s="20">
        <v>0.36379512681977599</v>
      </c>
      <c r="J5555" s="28">
        <v>0.716011001908614</v>
      </c>
      <c r="K5555" s="29">
        <v>0.98289565623980701</v>
      </c>
    </row>
    <row r="5556" spans="1:11" x14ac:dyDescent="0.35">
      <c r="A5556" s="9" t="str">
        <f>HYPERLINK("http://www.ensembl.org/id/WBGene00167440", "WBGene00167440")</f>
        <v>WBGene00167440</v>
      </c>
      <c r="B5556" s="9"/>
      <c r="C5556" s="9"/>
      <c r="D5556" t="str">
        <f>"21ur-15545"</f>
        <v>21ur-15545</v>
      </c>
      <c r="F5556" t="s">
        <v>3161</v>
      </c>
      <c r="H5556" s="12">
        <v>2.3893468495514898</v>
      </c>
      <c r="I5556" s="20">
        <v>0.25323547253672701</v>
      </c>
      <c r="J5556" s="28">
        <v>0.80008625651646104</v>
      </c>
      <c r="K5556" s="29">
        <v>0.98289565623980701</v>
      </c>
    </row>
    <row r="5557" spans="1:11" x14ac:dyDescent="0.35">
      <c r="A5557" s="9" t="str">
        <f>HYPERLINK("http://www.ensembl.org/id/WBGene00169072", "WBGene00169072")</f>
        <v>WBGene00169072</v>
      </c>
      <c r="B5557" s="9"/>
      <c r="C5557" s="9"/>
      <c r="D5557" t="str">
        <f>"21ur-15576"</f>
        <v>21ur-15576</v>
      </c>
      <c r="F5557" t="s">
        <v>3161</v>
      </c>
      <c r="H5557" s="12">
        <v>3.1706514592375101</v>
      </c>
      <c r="I5557" s="20">
        <v>0.44390112599266301</v>
      </c>
      <c r="J5557" s="28">
        <v>0.65711407043763304</v>
      </c>
      <c r="K5557" s="29">
        <v>0.98289565623980701</v>
      </c>
    </row>
    <row r="5558" spans="1:11" x14ac:dyDescent="0.35">
      <c r="A5558" s="9" t="str">
        <f>HYPERLINK("http://www.ensembl.org/id/WBGene00171984", "WBGene00171984")</f>
        <v>WBGene00171984</v>
      </c>
      <c r="B5558" s="9"/>
      <c r="C5558" s="9"/>
      <c r="D5558" t="str">
        <f>"21ur-15583"</f>
        <v>21ur-15583</v>
      </c>
      <c r="F5558" t="s">
        <v>3161</v>
      </c>
      <c r="H5558" s="12">
        <v>10.8131830636529</v>
      </c>
      <c r="I5558" s="20">
        <v>0.70982715185838596</v>
      </c>
      <c r="J5558" s="28">
        <v>0.477811329444844</v>
      </c>
      <c r="K5558" s="29">
        <v>0.98289565623980701</v>
      </c>
    </row>
    <row r="5559" spans="1:11" x14ac:dyDescent="0.35">
      <c r="A5559" s="9" t="str">
        <f>HYPERLINK("http://www.ensembl.org/id/WBGene00168399", "WBGene00168399")</f>
        <v>WBGene00168399</v>
      </c>
      <c r="B5559" s="9"/>
      <c r="C5559" s="9"/>
      <c r="D5559" t="str">
        <f>"21ur-15588"</f>
        <v>21ur-15588</v>
      </c>
      <c r="F5559" t="s">
        <v>3161</v>
      </c>
      <c r="H5559" s="12">
        <v>1.9538700762438499</v>
      </c>
      <c r="I5559" s="20">
        <v>0.25760187678572299</v>
      </c>
      <c r="J5559" s="28">
        <v>0.79671418112091397</v>
      </c>
      <c r="K5559" s="29">
        <v>0.98289565623980701</v>
      </c>
    </row>
    <row r="5560" spans="1:11" x14ac:dyDescent="0.35">
      <c r="A5560" s="9" t="str">
        <f>HYPERLINK("http://www.ensembl.org/id/WBGene00173667", "WBGene00173667")</f>
        <v>WBGene00173667</v>
      </c>
      <c r="B5560" s="9"/>
      <c r="C5560" s="9"/>
      <c r="D5560" t="str">
        <f>"21ur-15594"</f>
        <v>21ur-15594</v>
      </c>
      <c r="F5560" t="s">
        <v>3161</v>
      </c>
      <c r="H5560" s="12">
        <v>-1.60601373083078</v>
      </c>
      <c r="I5560" s="20">
        <v>-0.45169601004584298</v>
      </c>
      <c r="J5560" s="28">
        <v>0.65148799300983096</v>
      </c>
      <c r="K5560" s="29">
        <v>0.98289565623980701</v>
      </c>
    </row>
    <row r="5561" spans="1:11" x14ac:dyDescent="0.35">
      <c r="A5561" s="9" t="str">
        <f>HYPERLINK("http://www.ensembl.org/id/WBGene00045645", "WBGene00045645")</f>
        <v>WBGene00045645</v>
      </c>
      <c r="B5561" s="9"/>
      <c r="C5561" s="9"/>
      <c r="D5561" t="str">
        <f>"21ur-1572"</f>
        <v>21ur-1572</v>
      </c>
      <c r="F5561" t="s">
        <v>3161</v>
      </c>
      <c r="H5561" s="12">
        <v>3.5227018545059199</v>
      </c>
      <c r="I5561" s="20">
        <v>0.36849691206929103</v>
      </c>
      <c r="J5561" s="28">
        <v>0.71250274722433404</v>
      </c>
      <c r="K5561" s="29">
        <v>0.98289565623980701</v>
      </c>
    </row>
    <row r="5562" spans="1:11" x14ac:dyDescent="0.35">
      <c r="A5562" s="9" t="str">
        <f>HYPERLINK("http://www.ensembl.org/id/WBGene00046564", "WBGene00046564")</f>
        <v>WBGene00046564</v>
      </c>
      <c r="B5562" s="9"/>
      <c r="C5562" s="9"/>
      <c r="D5562" t="str">
        <f>"21ur-1600"</f>
        <v>21ur-1600</v>
      </c>
      <c r="F5562" t="s">
        <v>3161</v>
      </c>
      <c r="H5562" s="12">
        <v>2.4578120077400301</v>
      </c>
      <c r="I5562" s="20">
        <v>0.26093350314551</v>
      </c>
      <c r="J5562" s="28">
        <v>0.79414378780213601</v>
      </c>
      <c r="K5562" s="29">
        <v>0.98289565623980701</v>
      </c>
    </row>
    <row r="5563" spans="1:11" x14ac:dyDescent="0.35">
      <c r="A5563" s="9" t="str">
        <f>HYPERLINK("http://www.ensembl.org/id/WBGene00050681", "WBGene00050681")</f>
        <v>WBGene00050681</v>
      </c>
      <c r="B5563" s="9"/>
      <c r="C5563" s="9"/>
      <c r="D5563" t="str">
        <f>"21ur-1614"</f>
        <v>21ur-1614</v>
      </c>
      <c r="F5563" t="s">
        <v>3161</v>
      </c>
      <c r="H5563" s="12">
        <v>-2.4295389261469</v>
      </c>
      <c r="I5563" s="20">
        <v>-0.25808529976640998</v>
      </c>
      <c r="J5563" s="28">
        <v>0.79634107645457397</v>
      </c>
      <c r="K5563" s="29">
        <v>0.98289565623980701</v>
      </c>
    </row>
    <row r="5564" spans="1:11" x14ac:dyDescent="0.35">
      <c r="A5564" s="9" t="str">
        <f>HYPERLINK("http://www.ensembl.org/id/WBGene00050874", "WBGene00050874")</f>
        <v>WBGene00050874</v>
      </c>
      <c r="B5564" s="9"/>
      <c r="C5564" s="9"/>
      <c r="D5564" t="str">
        <f>"21ur-1635"</f>
        <v>21ur-1635</v>
      </c>
      <c r="F5564" t="s">
        <v>3161</v>
      </c>
      <c r="H5564" s="12">
        <v>3.5227018545059199</v>
      </c>
      <c r="I5564" s="20">
        <v>0.36849691206929103</v>
      </c>
      <c r="J5564" s="28">
        <v>0.71250274722433404</v>
      </c>
      <c r="K5564" s="29">
        <v>0.98289565623980701</v>
      </c>
    </row>
    <row r="5565" spans="1:11" x14ac:dyDescent="0.35">
      <c r="A5565" s="9" t="str">
        <f>HYPERLINK("http://www.ensembl.org/id/WBGene00048304", "WBGene00048304")</f>
        <v>WBGene00048304</v>
      </c>
      <c r="B5565" s="9"/>
      <c r="C5565" s="9"/>
      <c r="D5565" t="str">
        <f>"21ur-1661"</f>
        <v>21ur-1661</v>
      </c>
      <c r="F5565" t="s">
        <v>3161</v>
      </c>
      <c r="H5565" s="12">
        <v>2.3893468495514898</v>
      </c>
      <c r="I5565" s="20">
        <v>0.25323547253672701</v>
      </c>
      <c r="J5565" s="28">
        <v>0.80008625651646104</v>
      </c>
      <c r="K5565" s="29">
        <v>0.98289565623980701</v>
      </c>
    </row>
    <row r="5566" spans="1:11" x14ac:dyDescent="0.35">
      <c r="A5566" s="9" t="str">
        <f>HYPERLINK("http://www.ensembl.org/id/WBGene00049500", "WBGene00049500")</f>
        <v>WBGene00049500</v>
      </c>
      <c r="B5566" s="9"/>
      <c r="C5566" s="9"/>
      <c r="D5566" t="str">
        <f>"21ur-1670"</f>
        <v>21ur-1670</v>
      </c>
      <c r="F5566" t="s">
        <v>3161</v>
      </c>
      <c r="H5566" s="12">
        <v>-2.4295389261469</v>
      </c>
      <c r="I5566" s="20">
        <v>-0.25808529976640998</v>
      </c>
      <c r="J5566" s="28">
        <v>0.79634107645457397</v>
      </c>
      <c r="K5566" s="29">
        <v>0.98289565623980701</v>
      </c>
    </row>
    <row r="5567" spans="1:11" x14ac:dyDescent="0.35">
      <c r="A5567" s="9" t="str">
        <f>HYPERLINK("http://www.ensembl.org/id/WBGene00048936", "WBGene00048936")</f>
        <v>WBGene00048936</v>
      </c>
      <c r="B5567" s="9"/>
      <c r="C5567" s="9"/>
      <c r="D5567" t="str">
        <f>"21ur-1677"</f>
        <v>21ur-1677</v>
      </c>
      <c r="F5567" t="s">
        <v>3161</v>
      </c>
      <c r="H5567" s="12">
        <v>-2.4991590031922399</v>
      </c>
      <c r="I5567" s="20">
        <v>-0.26577412737581302</v>
      </c>
      <c r="J5567" s="28">
        <v>0.79041317015736101</v>
      </c>
      <c r="K5567" s="29">
        <v>0.98289565623980701</v>
      </c>
    </row>
    <row r="5568" spans="1:11" x14ac:dyDescent="0.35">
      <c r="A5568" s="9" t="str">
        <f>HYPERLINK("http://www.ensembl.org/id/WBGene00047205", "WBGene00047205")</f>
        <v>WBGene00047205</v>
      </c>
      <c r="B5568" s="9"/>
      <c r="C5568" s="9"/>
      <c r="D5568" t="str">
        <f>"21ur-1749"</f>
        <v>21ur-1749</v>
      </c>
      <c r="F5568" t="s">
        <v>3161</v>
      </c>
      <c r="H5568" s="12">
        <v>-2.4295389261469</v>
      </c>
      <c r="I5568" s="20">
        <v>-0.25808529976640998</v>
      </c>
      <c r="J5568" s="28">
        <v>0.79634107645457397</v>
      </c>
      <c r="K5568" s="29">
        <v>0.98289565623980701</v>
      </c>
    </row>
    <row r="5569" spans="1:11" x14ac:dyDescent="0.35">
      <c r="A5569" s="9" t="str">
        <f>HYPERLINK("http://www.ensembl.org/id/WBGene00045803", "WBGene00045803")</f>
        <v>WBGene00045803</v>
      </c>
      <c r="B5569" s="9"/>
      <c r="C5569" s="9"/>
      <c r="D5569" t="str">
        <f>"21ur-1769"</f>
        <v>21ur-1769</v>
      </c>
      <c r="F5569" t="s">
        <v>3161</v>
      </c>
      <c r="H5569" s="12">
        <v>-4.5114499031905204</v>
      </c>
      <c r="I5569" s="20">
        <v>-0.44198655555625299</v>
      </c>
      <c r="J5569" s="28">
        <v>0.65849893477547905</v>
      </c>
      <c r="K5569" s="29">
        <v>0.98289565623980701</v>
      </c>
    </row>
    <row r="5570" spans="1:11" x14ac:dyDescent="0.35">
      <c r="A5570" s="9" t="str">
        <f>HYPERLINK("http://www.ensembl.org/id/WBGene00050322", "WBGene00050322")</f>
        <v>WBGene00050322</v>
      </c>
      <c r="B5570" s="9"/>
      <c r="C5570" s="9"/>
      <c r="D5570" t="str">
        <f>"21ur-1820"</f>
        <v>21ur-1820</v>
      </c>
      <c r="F5570" t="s">
        <v>3161</v>
      </c>
      <c r="H5570" s="12">
        <v>2.4578120077400301</v>
      </c>
      <c r="I5570" s="20">
        <v>0.26093350314551</v>
      </c>
      <c r="J5570" s="28">
        <v>0.79414378780213601</v>
      </c>
      <c r="K5570" s="29">
        <v>0.98289565623980701</v>
      </c>
    </row>
    <row r="5571" spans="1:11" x14ac:dyDescent="0.35">
      <c r="A5571" s="9" t="str">
        <f>HYPERLINK("http://www.ensembl.org/id/WBGene00047907", "WBGene00047907")</f>
        <v>WBGene00047907</v>
      </c>
      <c r="B5571" s="9"/>
      <c r="C5571" s="9"/>
      <c r="D5571" t="str">
        <f>"21ur-1885"</f>
        <v>21ur-1885</v>
      </c>
      <c r="F5571" t="s">
        <v>3161</v>
      </c>
      <c r="H5571" s="12">
        <v>2.8755883694684199</v>
      </c>
      <c r="I5571" s="20">
        <v>0.36355013483266901</v>
      </c>
      <c r="J5571" s="28">
        <v>0.71619396880790798</v>
      </c>
      <c r="K5571" s="29">
        <v>0.98289565623980701</v>
      </c>
    </row>
    <row r="5572" spans="1:11" x14ac:dyDescent="0.35">
      <c r="A5572" s="9" t="str">
        <f>HYPERLINK("http://www.ensembl.org/id/WBGene00047952", "WBGene00047952")</f>
        <v>WBGene00047952</v>
      </c>
      <c r="B5572" s="9"/>
      <c r="C5572" s="9"/>
      <c r="D5572" t="str">
        <f>"21ur-1957"</f>
        <v>21ur-1957</v>
      </c>
      <c r="F5572" t="s">
        <v>3161</v>
      </c>
      <c r="H5572" s="12">
        <v>2.3893468495514898</v>
      </c>
      <c r="I5572" s="20">
        <v>0.25323547253672701</v>
      </c>
      <c r="J5572" s="28">
        <v>0.80008625651646104</v>
      </c>
      <c r="K5572" s="29">
        <v>0.98289565623980701</v>
      </c>
    </row>
    <row r="5573" spans="1:11" x14ac:dyDescent="0.35">
      <c r="A5573" s="9" t="str">
        <f>HYPERLINK("http://www.ensembl.org/id/WBGene00049816", "WBGene00049816")</f>
        <v>WBGene00049816</v>
      </c>
      <c r="B5573" s="9"/>
      <c r="C5573" s="9"/>
      <c r="D5573" t="str">
        <f>"21ur-1989"</f>
        <v>21ur-1989</v>
      </c>
      <c r="F5573" t="s">
        <v>3161</v>
      </c>
      <c r="H5573" s="12">
        <v>2.4578120077400301</v>
      </c>
      <c r="I5573" s="20">
        <v>0.26093350314551</v>
      </c>
      <c r="J5573" s="28">
        <v>0.79414378780213601</v>
      </c>
      <c r="K5573" s="29">
        <v>0.98289565623980701</v>
      </c>
    </row>
    <row r="5574" spans="1:11" x14ac:dyDescent="0.35">
      <c r="A5574" s="9" t="str">
        <f>HYPERLINK("http://www.ensembl.org/id/WBGene00049460", "WBGene00049460")</f>
        <v>WBGene00049460</v>
      </c>
      <c r="B5574" s="9"/>
      <c r="C5574" s="9"/>
      <c r="D5574" t="str">
        <f>"21ur-2065"</f>
        <v>21ur-2065</v>
      </c>
      <c r="F5574" t="s">
        <v>3161</v>
      </c>
      <c r="H5574" s="12">
        <v>1.9596373075569899</v>
      </c>
      <c r="I5574" s="20">
        <v>0.357020709913767</v>
      </c>
      <c r="J5574" s="28">
        <v>0.72107630181390903</v>
      </c>
      <c r="K5574" s="29">
        <v>0.98289565623980701</v>
      </c>
    </row>
    <row r="5575" spans="1:11" x14ac:dyDescent="0.35">
      <c r="A5575" s="9" t="str">
        <f>HYPERLINK("http://www.ensembl.org/id/WBGene00048186", "WBGene00048186")</f>
        <v>WBGene00048186</v>
      </c>
      <c r="B5575" s="9"/>
      <c r="C5575" s="9"/>
      <c r="D5575" t="str">
        <f>"21ur-208"</f>
        <v>21ur-208</v>
      </c>
      <c r="F5575" t="s">
        <v>3161</v>
      </c>
      <c r="H5575" s="12">
        <v>-2.4991590031922399</v>
      </c>
      <c r="I5575" s="20">
        <v>-0.26577412737581302</v>
      </c>
      <c r="J5575" s="28">
        <v>0.79041317015736101</v>
      </c>
      <c r="K5575" s="29">
        <v>0.98289565623980701</v>
      </c>
    </row>
    <row r="5576" spans="1:11" x14ac:dyDescent="0.35">
      <c r="A5576" s="9" t="str">
        <f>HYPERLINK("http://www.ensembl.org/id/WBGene00047891", "WBGene00047891")</f>
        <v>WBGene00047891</v>
      </c>
      <c r="B5576" s="9"/>
      <c r="C5576" s="9"/>
      <c r="D5576" t="str">
        <f>"21ur-2114"</f>
        <v>21ur-2114</v>
      </c>
      <c r="F5576" t="s">
        <v>3161</v>
      </c>
      <c r="H5576" s="12">
        <v>2.4578120077400301</v>
      </c>
      <c r="I5576" s="20">
        <v>0.26093350314551</v>
      </c>
      <c r="J5576" s="28">
        <v>0.79414378780213601</v>
      </c>
      <c r="K5576" s="29">
        <v>0.98289565623980701</v>
      </c>
    </row>
    <row r="5577" spans="1:11" x14ac:dyDescent="0.35">
      <c r="A5577" s="9" t="str">
        <f>HYPERLINK("http://www.ensembl.org/id/WBGene00050397", "WBGene00050397")</f>
        <v>WBGene00050397</v>
      </c>
      <c r="B5577" s="9"/>
      <c r="C5577" s="9"/>
      <c r="D5577" t="str">
        <f>"21ur-2124"</f>
        <v>21ur-2124</v>
      </c>
      <c r="F5577" t="s">
        <v>3161</v>
      </c>
      <c r="H5577" s="12">
        <v>1.66809340537204</v>
      </c>
      <c r="I5577" s="20">
        <v>0.62347912766962699</v>
      </c>
      <c r="J5577" s="28">
        <v>0.53296971414512095</v>
      </c>
      <c r="K5577" s="29">
        <v>0.98289565623980701</v>
      </c>
    </row>
    <row r="5578" spans="1:11" x14ac:dyDescent="0.35">
      <c r="A5578" s="9" t="str">
        <f>HYPERLINK("http://www.ensembl.org/id/WBGene00050515", "WBGene00050515")</f>
        <v>WBGene00050515</v>
      </c>
      <c r="B5578" s="9"/>
      <c r="C5578" s="9"/>
      <c r="D5578" t="str">
        <f>"21ur-2127"</f>
        <v>21ur-2127</v>
      </c>
      <c r="F5578" t="s">
        <v>3161</v>
      </c>
      <c r="H5578" s="12">
        <v>2.3893468495514898</v>
      </c>
      <c r="I5578" s="20">
        <v>0.25323547253672701</v>
      </c>
      <c r="J5578" s="28">
        <v>0.80008625651646104</v>
      </c>
      <c r="K5578" s="29">
        <v>0.98289565623980701</v>
      </c>
    </row>
    <row r="5579" spans="1:11" x14ac:dyDescent="0.35">
      <c r="A5579" s="9" t="str">
        <f>HYPERLINK("http://www.ensembl.org/id/WBGene00048647", "WBGene00048647")</f>
        <v>WBGene00048647</v>
      </c>
      <c r="B5579" s="9"/>
      <c r="C5579" s="9"/>
      <c r="D5579" t="str">
        <f>"21ur-2151"</f>
        <v>21ur-2151</v>
      </c>
      <c r="F5579" t="s">
        <v>3161</v>
      </c>
      <c r="H5579" s="12">
        <v>7.6616465944663696</v>
      </c>
      <c r="I5579" s="20">
        <v>0.60406875593600395</v>
      </c>
      <c r="J5579" s="28">
        <v>0.54579793098927099</v>
      </c>
      <c r="K5579" s="29">
        <v>0.98289565623980701</v>
      </c>
    </row>
    <row r="5580" spans="1:11" x14ac:dyDescent="0.35">
      <c r="A5580" s="9" t="str">
        <f>HYPERLINK("http://www.ensembl.org/id/WBGene00046489", "WBGene00046489")</f>
        <v>WBGene00046489</v>
      </c>
      <c r="B5580" s="9"/>
      <c r="C5580" s="9"/>
      <c r="D5580" t="str">
        <f>"21ur-2187"</f>
        <v>21ur-2187</v>
      </c>
      <c r="F5580" t="s">
        <v>3161</v>
      </c>
      <c r="H5580" s="12">
        <v>2.2407106381742001</v>
      </c>
      <c r="I5580" s="20">
        <v>0.54813073463122597</v>
      </c>
      <c r="J5580" s="28">
        <v>0.58360213826270102</v>
      </c>
      <c r="K5580" s="29">
        <v>0.98289565623980701</v>
      </c>
    </row>
    <row r="5581" spans="1:11" x14ac:dyDescent="0.35">
      <c r="A5581" s="9" t="str">
        <f>HYPERLINK("http://www.ensembl.org/id/WBGene00046401", "WBGene00046401")</f>
        <v>WBGene00046401</v>
      </c>
      <c r="B5581" s="9"/>
      <c r="C5581" s="9"/>
      <c r="D5581" t="str">
        <f>"21ur-2251"</f>
        <v>21ur-2251</v>
      </c>
      <c r="F5581" t="s">
        <v>3161</v>
      </c>
      <c r="H5581" s="12">
        <v>13.456503093714</v>
      </c>
      <c r="I5581" s="20">
        <v>0.90977004478847401</v>
      </c>
      <c r="J5581" s="28">
        <v>0.36294379535114901</v>
      </c>
      <c r="K5581" s="29">
        <v>0.98289565623980701</v>
      </c>
    </row>
    <row r="5582" spans="1:11" x14ac:dyDescent="0.35">
      <c r="A5582" s="9" t="str">
        <f>HYPERLINK("http://www.ensembl.org/id/WBGene00048216", "WBGene00048216")</f>
        <v>WBGene00048216</v>
      </c>
      <c r="B5582" s="9"/>
      <c r="C5582" s="9"/>
      <c r="D5582" t="str">
        <f>"21ur-2257"</f>
        <v>21ur-2257</v>
      </c>
      <c r="F5582" t="s">
        <v>3161</v>
      </c>
      <c r="H5582" s="12">
        <v>3.6645215954135</v>
      </c>
      <c r="I5582" s="20">
        <v>0.37967131826092498</v>
      </c>
      <c r="J5582" s="28">
        <v>0.70418941338960395</v>
      </c>
      <c r="K5582" s="29">
        <v>0.98289565623980701</v>
      </c>
    </row>
    <row r="5583" spans="1:11" x14ac:dyDescent="0.35">
      <c r="A5583" s="9" t="str">
        <f>HYPERLINK("http://www.ensembl.org/id/WBGene00048849", "WBGene00048849")</f>
        <v>WBGene00048849</v>
      </c>
      <c r="B5583" s="9"/>
      <c r="C5583" s="9"/>
      <c r="D5583" t="str">
        <f>"21ur-2258"</f>
        <v>21ur-2258</v>
      </c>
      <c r="F5583" t="s">
        <v>3161</v>
      </c>
      <c r="H5583" s="12">
        <v>-2.4295389261469</v>
      </c>
      <c r="I5583" s="20">
        <v>-0.25808529976640998</v>
      </c>
      <c r="J5583" s="28">
        <v>0.79634107645457397</v>
      </c>
      <c r="K5583" s="29">
        <v>0.98289565623980701</v>
      </c>
    </row>
    <row r="5584" spans="1:11" x14ac:dyDescent="0.35">
      <c r="A5584" s="9" t="str">
        <f>HYPERLINK("http://www.ensembl.org/id/WBGene00049701", "WBGene00049701")</f>
        <v>WBGene00049701</v>
      </c>
      <c r="B5584" s="9"/>
      <c r="C5584" s="9"/>
      <c r="D5584" t="str">
        <f>"21ur-2317"</f>
        <v>21ur-2317</v>
      </c>
      <c r="F5584" t="s">
        <v>3161</v>
      </c>
      <c r="H5584" s="12">
        <v>2.4578120077400301</v>
      </c>
      <c r="I5584" s="20">
        <v>0.26093350314551</v>
      </c>
      <c r="J5584" s="28">
        <v>0.79414378780213601</v>
      </c>
      <c r="K5584" s="29">
        <v>0.98289565623980701</v>
      </c>
    </row>
    <row r="5585" spans="1:11" x14ac:dyDescent="0.35">
      <c r="A5585" s="9" t="str">
        <f>HYPERLINK("http://www.ensembl.org/id/WBGene00049109", "WBGene00049109")</f>
        <v>WBGene00049109</v>
      </c>
      <c r="B5585" s="9"/>
      <c r="C5585" s="9"/>
      <c r="D5585" t="str">
        <f>"21ur-2325"</f>
        <v>21ur-2325</v>
      </c>
      <c r="F5585" t="s">
        <v>3161</v>
      </c>
      <c r="H5585" s="12">
        <v>-3.5819448292659501</v>
      </c>
      <c r="I5585" s="20">
        <v>-0.37337717500031398</v>
      </c>
      <c r="J5585" s="28">
        <v>0.70886774492290605</v>
      </c>
      <c r="K5585" s="29">
        <v>0.98289565623980701</v>
      </c>
    </row>
    <row r="5586" spans="1:11" x14ac:dyDescent="0.35">
      <c r="A5586" s="9" t="str">
        <f>HYPERLINK("http://www.ensembl.org/id/WBGene00045873", "WBGene00045873")</f>
        <v>WBGene00045873</v>
      </c>
      <c r="B5586" s="9"/>
      <c r="C5586" s="9"/>
      <c r="D5586" t="str">
        <f>"21ur-2345"</f>
        <v>21ur-2345</v>
      </c>
      <c r="F5586" t="s">
        <v>3161</v>
      </c>
      <c r="H5586" s="12">
        <v>2.3893468495514898</v>
      </c>
      <c r="I5586" s="20">
        <v>0.25323547253672701</v>
      </c>
      <c r="J5586" s="28">
        <v>0.80008625651646104</v>
      </c>
      <c r="K5586" s="29">
        <v>0.98289565623980701</v>
      </c>
    </row>
    <row r="5587" spans="1:11" x14ac:dyDescent="0.35">
      <c r="A5587" s="9" t="str">
        <f>HYPERLINK("http://www.ensembl.org/id/WBGene00047151", "WBGene00047151")</f>
        <v>WBGene00047151</v>
      </c>
      <c r="B5587" s="9"/>
      <c r="C5587" s="9"/>
      <c r="D5587" t="str">
        <f>"21ur-2390"</f>
        <v>21ur-2390</v>
      </c>
      <c r="F5587" t="s">
        <v>3161</v>
      </c>
      <c r="H5587" s="12">
        <v>-2.4991590031922399</v>
      </c>
      <c r="I5587" s="20">
        <v>-0.26577412737581302</v>
      </c>
      <c r="J5587" s="28">
        <v>0.79041317015736101</v>
      </c>
      <c r="K5587" s="29">
        <v>0.98289565623980701</v>
      </c>
    </row>
    <row r="5588" spans="1:11" x14ac:dyDescent="0.35">
      <c r="A5588" s="9" t="str">
        <f>HYPERLINK("http://www.ensembl.org/id/WBGene00049516", "WBGene00049516")</f>
        <v>WBGene00049516</v>
      </c>
      <c r="B5588" s="9"/>
      <c r="C5588" s="9"/>
      <c r="D5588" t="str">
        <f>"21ur-2394"</f>
        <v>21ur-2394</v>
      </c>
      <c r="F5588" t="s">
        <v>3161</v>
      </c>
      <c r="H5588" s="12">
        <v>2.43628531154256</v>
      </c>
      <c r="I5588" s="20">
        <v>0.26397437090349102</v>
      </c>
      <c r="J5588" s="28">
        <v>0.79179966754305298</v>
      </c>
      <c r="K5588" s="29">
        <v>0.98289565623980701</v>
      </c>
    </row>
    <row r="5589" spans="1:11" x14ac:dyDescent="0.35">
      <c r="A5589" s="9" t="str">
        <f>HYPERLINK("http://www.ensembl.org/id/WBGene00046541", "WBGene00046541")</f>
        <v>WBGene00046541</v>
      </c>
      <c r="B5589" s="9"/>
      <c r="C5589" s="9"/>
      <c r="D5589" t="str">
        <f>"21ur-2417"</f>
        <v>21ur-2417</v>
      </c>
      <c r="F5589" t="s">
        <v>3161</v>
      </c>
      <c r="H5589" s="12">
        <v>2.4578120077400301</v>
      </c>
      <c r="I5589" s="20">
        <v>0.26093350314551</v>
      </c>
      <c r="J5589" s="28">
        <v>0.79414378780213601</v>
      </c>
      <c r="K5589" s="29">
        <v>0.98289565623980701</v>
      </c>
    </row>
    <row r="5590" spans="1:11" x14ac:dyDescent="0.35">
      <c r="A5590" s="9" t="str">
        <f>HYPERLINK("http://www.ensembl.org/id/WBGene00049897", "WBGene00049897")</f>
        <v>WBGene00049897</v>
      </c>
      <c r="B5590" s="9"/>
      <c r="C5590" s="9"/>
      <c r="D5590" t="str">
        <f>"21ur-2434"</f>
        <v>21ur-2434</v>
      </c>
      <c r="F5590" t="s">
        <v>3161</v>
      </c>
      <c r="H5590" s="12">
        <v>3.6645215954135</v>
      </c>
      <c r="I5590" s="20">
        <v>0.37967131826092498</v>
      </c>
      <c r="J5590" s="28">
        <v>0.70418941338960395</v>
      </c>
      <c r="K5590" s="29">
        <v>0.98289565623980701</v>
      </c>
    </row>
    <row r="5591" spans="1:11" x14ac:dyDescent="0.35">
      <c r="A5591" s="9" t="str">
        <f>HYPERLINK("http://www.ensembl.org/id/WBGene00047572", "WBGene00047572")</f>
        <v>WBGene00047572</v>
      </c>
      <c r="B5591" s="9"/>
      <c r="C5591" s="9"/>
      <c r="D5591" t="str">
        <f>"21ur-2436"</f>
        <v>21ur-2436</v>
      </c>
      <c r="F5591" t="s">
        <v>3161</v>
      </c>
      <c r="H5591" s="12">
        <v>-2.4991590031922399</v>
      </c>
      <c r="I5591" s="20">
        <v>-0.26577412737581302</v>
      </c>
      <c r="J5591" s="28">
        <v>0.79041317015736101</v>
      </c>
      <c r="K5591" s="29">
        <v>0.98289565623980701</v>
      </c>
    </row>
    <row r="5592" spans="1:11" x14ac:dyDescent="0.35">
      <c r="A5592" s="9" t="str">
        <f>HYPERLINK("http://www.ensembl.org/id/WBGene00046739", "WBGene00046739")</f>
        <v>WBGene00046739</v>
      </c>
      <c r="B5592" s="9"/>
      <c r="C5592" s="9"/>
      <c r="D5592" t="str">
        <f>"21ur-2470"</f>
        <v>21ur-2470</v>
      </c>
      <c r="F5592" t="s">
        <v>3161</v>
      </c>
      <c r="H5592" s="12">
        <v>2.3893468495514898</v>
      </c>
      <c r="I5592" s="20">
        <v>0.25323547253672701</v>
      </c>
      <c r="J5592" s="28">
        <v>0.80008625651646104</v>
      </c>
      <c r="K5592" s="29">
        <v>0.98289565623980701</v>
      </c>
    </row>
    <row r="5593" spans="1:11" x14ac:dyDescent="0.35">
      <c r="A5593" s="9" t="str">
        <f>HYPERLINK("http://www.ensembl.org/id/WBGene00049610", "WBGene00049610")</f>
        <v>WBGene00049610</v>
      </c>
      <c r="B5593" s="9"/>
      <c r="C5593" s="9"/>
      <c r="D5593" t="str">
        <f>"21ur-2496"</f>
        <v>21ur-2496</v>
      </c>
      <c r="F5593" t="s">
        <v>3161</v>
      </c>
      <c r="H5593" s="12">
        <v>2.3893468495514898</v>
      </c>
      <c r="I5593" s="20">
        <v>0.25323547253672701</v>
      </c>
      <c r="J5593" s="28">
        <v>0.80008625651646104</v>
      </c>
      <c r="K5593" s="29">
        <v>0.98289565623980701</v>
      </c>
    </row>
    <row r="5594" spans="1:11" x14ac:dyDescent="0.35">
      <c r="A5594" s="9" t="str">
        <f>HYPERLINK("http://www.ensembl.org/id/WBGene00048582", "WBGene00048582")</f>
        <v>WBGene00048582</v>
      </c>
      <c r="B5594" s="9"/>
      <c r="C5594" s="9"/>
      <c r="D5594" t="str">
        <f>"21ur-2549"</f>
        <v>21ur-2549</v>
      </c>
      <c r="F5594" t="s">
        <v>3161</v>
      </c>
      <c r="H5594" s="12">
        <v>-2.4991590031922399</v>
      </c>
      <c r="I5594" s="20">
        <v>-0.26577412737581302</v>
      </c>
      <c r="J5594" s="28">
        <v>0.79041317015736101</v>
      </c>
      <c r="K5594" s="29">
        <v>0.98289565623980701</v>
      </c>
    </row>
    <row r="5595" spans="1:11" x14ac:dyDescent="0.35">
      <c r="A5595" s="9" t="str">
        <f>HYPERLINK("http://www.ensembl.org/id/WBGene00047438", "WBGene00047438")</f>
        <v>WBGene00047438</v>
      </c>
      <c r="B5595" s="9"/>
      <c r="C5595" s="9"/>
      <c r="D5595" t="str">
        <f>"21ur-2589"</f>
        <v>21ur-2589</v>
      </c>
      <c r="F5595" t="s">
        <v>3161</v>
      </c>
      <c r="H5595" s="12">
        <v>2.3893468495514898</v>
      </c>
      <c r="I5595" s="20">
        <v>0.25323547253672701</v>
      </c>
      <c r="J5595" s="28">
        <v>0.80008625651646104</v>
      </c>
      <c r="K5595" s="29">
        <v>0.98289565623980701</v>
      </c>
    </row>
    <row r="5596" spans="1:11" x14ac:dyDescent="0.35">
      <c r="A5596" s="9" t="str">
        <f>HYPERLINK("http://www.ensembl.org/id/WBGene00049654", "WBGene00049654")</f>
        <v>WBGene00049654</v>
      </c>
      <c r="B5596" s="9"/>
      <c r="C5596" s="9"/>
      <c r="D5596" t="str">
        <f>"21ur-2604"</f>
        <v>21ur-2604</v>
      </c>
      <c r="F5596" t="s">
        <v>3161</v>
      </c>
      <c r="H5596" s="12">
        <v>2.3893468495514898</v>
      </c>
      <c r="I5596" s="20">
        <v>0.25323547253672701</v>
      </c>
      <c r="J5596" s="28">
        <v>0.80008625651646104</v>
      </c>
      <c r="K5596" s="29">
        <v>0.98289565623980701</v>
      </c>
    </row>
    <row r="5597" spans="1:11" x14ac:dyDescent="0.35">
      <c r="A5597" s="9" t="str">
        <f>HYPERLINK("http://www.ensembl.org/id/WBGene00047244", "WBGene00047244")</f>
        <v>WBGene00047244</v>
      </c>
      <c r="B5597" s="9"/>
      <c r="C5597" s="9"/>
      <c r="D5597" t="str">
        <f>"21ur-2622"</f>
        <v>21ur-2622</v>
      </c>
      <c r="F5597" t="s">
        <v>3161</v>
      </c>
      <c r="H5597" s="12">
        <v>4.4368407117627902</v>
      </c>
      <c r="I5597" s="20">
        <v>0.43709475933309699</v>
      </c>
      <c r="J5597" s="28">
        <v>0.66204262779770495</v>
      </c>
      <c r="K5597" s="29">
        <v>0.98289565623980701</v>
      </c>
    </row>
    <row r="5598" spans="1:11" x14ac:dyDescent="0.35">
      <c r="A5598" s="9" t="str">
        <f>HYPERLINK("http://www.ensembl.org/id/WBGene00046060", "WBGene00046060")</f>
        <v>WBGene00046060</v>
      </c>
      <c r="B5598" s="9"/>
      <c r="C5598" s="9"/>
      <c r="D5598" t="str">
        <f>"21ur-2661"</f>
        <v>21ur-2661</v>
      </c>
      <c r="F5598" t="s">
        <v>3161</v>
      </c>
      <c r="H5598" s="12">
        <v>2.4578120077400301</v>
      </c>
      <c r="I5598" s="20">
        <v>0.26093350314551</v>
      </c>
      <c r="J5598" s="28">
        <v>0.79414378780213601</v>
      </c>
      <c r="K5598" s="29">
        <v>0.98289565623980701</v>
      </c>
    </row>
    <row r="5599" spans="1:11" x14ac:dyDescent="0.35">
      <c r="A5599" s="9" t="str">
        <f>HYPERLINK("http://www.ensembl.org/id/WBGene00048374", "WBGene00048374")</f>
        <v>WBGene00048374</v>
      </c>
      <c r="B5599" s="9"/>
      <c r="C5599" s="9"/>
      <c r="D5599" t="str">
        <f>"21ur-2666"</f>
        <v>21ur-2666</v>
      </c>
      <c r="F5599" t="s">
        <v>3161</v>
      </c>
      <c r="H5599" s="12">
        <v>-2.4991590031922399</v>
      </c>
      <c r="I5599" s="20">
        <v>-0.26577412737581302</v>
      </c>
      <c r="J5599" s="28">
        <v>0.79041317015736101</v>
      </c>
      <c r="K5599" s="29">
        <v>0.98289565623980701</v>
      </c>
    </row>
    <row r="5600" spans="1:11" x14ac:dyDescent="0.35">
      <c r="A5600" s="9" t="str">
        <f>HYPERLINK("http://www.ensembl.org/id/WBGene00046738", "WBGene00046738")</f>
        <v>WBGene00046738</v>
      </c>
      <c r="B5600" s="9"/>
      <c r="C5600" s="9"/>
      <c r="D5600" t="str">
        <f>"21ur-2667"</f>
        <v>21ur-2667</v>
      </c>
      <c r="F5600" t="s">
        <v>3161</v>
      </c>
      <c r="H5600" s="12">
        <v>3.5227018545059199</v>
      </c>
      <c r="I5600" s="20">
        <v>0.36849691206929103</v>
      </c>
      <c r="J5600" s="28">
        <v>0.71250274722433404</v>
      </c>
      <c r="K5600" s="29">
        <v>0.98289565623980701</v>
      </c>
    </row>
    <row r="5601" spans="1:11" x14ac:dyDescent="0.35">
      <c r="A5601" s="9" t="str">
        <f>HYPERLINK("http://www.ensembl.org/id/WBGene00050271", "WBGene00050271")</f>
        <v>WBGene00050271</v>
      </c>
      <c r="B5601" s="9"/>
      <c r="C5601" s="9"/>
      <c r="D5601" t="str">
        <f>"21ur-2705"</f>
        <v>21ur-2705</v>
      </c>
      <c r="F5601" t="s">
        <v>3161</v>
      </c>
      <c r="H5601" s="12">
        <v>-2.4991590031922399</v>
      </c>
      <c r="I5601" s="20">
        <v>-0.26577412737581302</v>
      </c>
      <c r="J5601" s="28">
        <v>0.79041317015736101</v>
      </c>
      <c r="K5601" s="29">
        <v>0.98289565623980701</v>
      </c>
    </row>
    <row r="5602" spans="1:11" x14ac:dyDescent="0.35">
      <c r="A5602" s="9" t="str">
        <f>HYPERLINK("http://www.ensembl.org/id/WBGene00049524", "WBGene00049524")</f>
        <v>WBGene00049524</v>
      </c>
      <c r="B5602" s="9"/>
      <c r="C5602" s="9"/>
      <c r="D5602" t="str">
        <f>"21ur-2724"</f>
        <v>21ur-2724</v>
      </c>
      <c r="F5602" t="s">
        <v>3161</v>
      </c>
      <c r="H5602" s="12">
        <v>-2.4991590031922399</v>
      </c>
      <c r="I5602" s="20">
        <v>-0.26577412737581302</v>
      </c>
      <c r="J5602" s="28">
        <v>0.79041317015736101</v>
      </c>
      <c r="K5602" s="29">
        <v>0.98289565623980701</v>
      </c>
    </row>
    <row r="5603" spans="1:11" x14ac:dyDescent="0.35">
      <c r="A5603" s="9" t="str">
        <f>HYPERLINK("http://www.ensembl.org/id/WBGene00046640", "WBGene00046640")</f>
        <v>WBGene00046640</v>
      </c>
      <c r="B5603" s="9"/>
      <c r="C5603" s="9"/>
      <c r="D5603" t="str">
        <f>"21ur-2811"</f>
        <v>21ur-2811</v>
      </c>
      <c r="F5603" t="s">
        <v>3161</v>
      </c>
      <c r="H5603" s="12">
        <v>3.6645215954135</v>
      </c>
      <c r="I5603" s="20">
        <v>0.37967131826092498</v>
      </c>
      <c r="J5603" s="28">
        <v>0.70418941338960395</v>
      </c>
      <c r="K5603" s="29">
        <v>0.98289565623980701</v>
      </c>
    </row>
    <row r="5604" spans="1:11" x14ac:dyDescent="0.35">
      <c r="A5604" s="9" t="str">
        <f>HYPERLINK("http://www.ensembl.org/id/WBGene00049848", "WBGene00049848")</f>
        <v>WBGene00049848</v>
      </c>
      <c r="B5604" s="9"/>
      <c r="C5604" s="9"/>
      <c r="D5604" t="str">
        <f>"21ur-2836"</f>
        <v>21ur-2836</v>
      </c>
      <c r="F5604" t="s">
        <v>3161</v>
      </c>
      <c r="H5604" s="12">
        <v>-2.4991590031922399</v>
      </c>
      <c r="I5604" s="20">
        <v>-0.26577412737581302</v>
      </c>
      <c r="J5604" s="28">
        <v>0.79041317015736101</v>
      </c>
      <c r="K5604" s="29">
        <v>0.98289565623980701</v>
      </c>
    </row>
    <row r="5605" spans="1:11" x14ac:dyDescent="0.35">
      <c r="A5605" s="9" t="str">
        <f>HYPERLINK("http://www.ensembl.org/id/WBGene00047695", "WBGene00047695")</f>
        <v>WBGene00047695</v>
      </c>
      <c r="B5605" s="9"/>
      <c r="C5605" s="9"/>
      <c r="D5605" t="str">
        <f>"21ur-2855"</f>
        <v>21ur-2855</v>
      </c>
      <c r="F5605" t="s">
        <v>3161</v>
      </c>
      <c r="H5605" s="12">
        <v>2.3444892507898301</v>
      </c>
      <c r="I5605" s="20">
        <v>0.253126732237689</v>
      </c>
      <c r="J5605" s="28">
        <v>0.80017028205419904</v>
      </c>
      <c r="K5605" s="29">
        <v>0.98289565623980701</v>
      </c>
    </row>
    <row r="5606" spans="1:11" x14ac:dyDescent="0.35">
      <c r="A5606" s="9" t="str">
        <f>HYPERLINK("http://www.ensembl.org/id/WBGene00048764", "WBGene00048764")</f>
        <v>WBGene00048764</v>
      </c>
      <c r="B5606" s="9"/>
      <c r="C5606" s="9"/>
      <c r="D5606" t="str">
        <f>"21ur-2917"</f>
        <v>21ur-2917</v>
      </c>
      <c r="F5606" t="s">
        <v>3161</v>
      </c>
      <c r="H5606" s="12">
        <v>2.4578120077400301</v>
      </c>
      <c r="I5606" s="20">
        <v>0.26093350314551</v>
      </c>
      <c r="J5606" s="28">
        <v>0.79414378780213601</v>
      </c>
      <c r="K5606" s="29">
        <v>0.98289565623980701</v>
      </c>
    </row>
    <row r="5607" spans="1:11" x14ac:dyDescent="0.35">
      <c r="A5607" s="9" t="str">
        <f>HYPERLINK("http://www.ensembl.org/id/WBGene00050307", "WBGene00050307")</f>
        <v>WBGene00050307</v>
      </c>
      <c r="B5607" s="9"/>
      <c r="C5607" s="9"/>
      <c r="D5607" t="str">
        <f>"21ur-301"</f>
        <v>21ur-301</v>
      </c>
      <c r="F5607" t="s">
        <v>3161</v>
      </c>
      <c r="H5607" s="12">
        <v>2.3893468495514898</v>
      </c>
      <c r="I5607" s="20">
        <v>0.25323547253672701</v>
      </c>
      <c r="J5607" s="28">
        <v>0.80008625651646104</v>
      </c>
      <c r="K5607" s="29">
        <v>0.98289565623980701</v>
      </c>
    </row>
    <row r="5608" spans="1:11" x14ac:dyDescent="0.35">
      <c r="A5608" s="9" t="str">
        <f>HYPERLINK("http://www.ensembl.org/id/WBGene00050349", "WBGene00050349")</f>
        <v>WBGene00050349</v>
      </c>
      <c r="B5608" s="9"/>
      <c r="C5608" s="9"/>
      <c r="D5608" t="str">
        <f>"21ur-3024"</f>
        <v>21ur-3024</v>
      </c>
      <c r="F5608" t="s">
        <v>3161</v>
      </c>
      <c r="H5608" s="12">
        <v>2.4578120077400301</v>
      </c>
      <c r="I5608" s="20">
        <v>0.26093350314551</v>
      </c>
      <c r="J5608" s="28">
        <v>0.79414378780213601</v>
      </c>
      <c r="K5608" s="29">
        <v>0.98289565623980701</v>
      </c>
    </row>
    <row r="5609" spans="1:11" x14ac:dyDescent="0.35">
      <c r="A5609" s="9" t="str">
        <f>HYPERLINK("http://www.ensembl.org/id/WBGene00049353", "WBGene00049353")</f>
        <v>WBGene00049353</v>
      </c>
      <c r="B5609" s="9"/>
      <c r="C5609" s="9"/>
      <c r="D5609" t="str">
        <f>"21ur-3065"</f>
        <v>21ur-3065</v>
      </c>
      <c r="F5609" t="s">
        <v>3161</v>
      </c>
      <c r="H5609" s="12">
        <v>4.6387698961716399</v>
      </c>
      <c r="I5609" s="20">
        <v>0.44985450087338802</v>
      </c>
      <c r="J5609" s="28">
        <v>0.65281535672642099</v>
      </c>
      <c r="K5609" s="29">
        <v>0.98289565623980701</v>
      </c>
    </row>
    <row r="5610" spans="1:11" x14ac:dyDescent="0.35">
      <c r="A5610" s="9" t="str">
        <f>HYPERLINK("http://www.ensembl.org/id/WBGene00046612", "WBGene00046612")</f>
        <v>WBGene00046612</v>
      </c>
      <c r="B5610" s="9"/>
      <c r="C5610" s="9"/>
      <c r="D5610" t="str">
        <f>"21ur-3076"</f>
        <v>21ur-3076</v>
      </c>
      <c r="F5610" t="s">
        <v>3161</v>
      </c>
      <c r="H5610" s="12">
        <v>2.3893468495514898</v>
      </c>
      <c r="I5610" s="20">
        <v>0.25323547253672701</v>
      </c>
      <c r="J5610" s="28">
        <v>0.80008625651646104</v>
      </c>
      <c r="K5610" s="29">
        <v>0.98289565623980701</v>
      </c>
    </row>
    <row r="5611" spans="1:11" x14ac:dyDescent="0.35">
      <c r="A5611" s="9" t="str">
        <f>HYPERLINK("http://www.ensembl.org/id/WBGene00047542", "WBGene00047542")</f>
        <v>WBGene00047542</v>
      </c>
      <c r="B5611" s="9"/>
      <c r="C5611" s="9"/>
      <c r="D5611" t="str">
        <f>"21ur-3095"</f>
        <v>21ur-3095</v>
      </c>
      <c r="F5611" t="s">
        <v>3161</v>
      </c>
      <c r="H5611" s="12">
        <v>2.3893468495514898</v>
      </c>
      <c r="I5611" s="20">
        <v>0.25323547253672701</v>
      </c>
      <c r="J5611" s="28">
        <v>0.80008625651646104</v>
      </c>
      <c r="K5611" s="29">
        <v>0.98289565623980701</v>
      </c>
    </row>
    <row r="5612" spans="1:11" x14ac:dyDescent="0.35">
      <c r="A5612" s="9" t="str">
        <f>HYPERLINK("http://www.ensembl.org/id/WBGene00050298", "WBGene00050298")</f>
        <v>WBGene00050298</v>
      </c>
      <c r="B5612" s="9"/>
      <c r="C5612" s="9"/>
      <c r="D5612" t="str">
        <f>"21ur-3102"</f>
        <v>21ur-3102</v>
      </c>
      <c r="F5612" t="s">
        <v>3161</v>
      </c>
      <c r="H5612" s="12">
        <v>-2.4295389261469</v>
      </c>
      <c r="I5612" s="20">
        <v>-0.25808529976640998</v>
      </c>
      <c r="J5612" s="28">
        <v>0.79634107645457397</v>
      </c>
      <c r="K5612" s="29">
        <v>0.98289565623980701</v>
      </c>
    </row>
    <row r="5613" spans="1:11" x14ac:dyDescent="0.35">
      <c r="A5613" s="9" t="str">
        <f>HYPERLINK("http://www.ensembl.org/id/WBGene00048610", "WBGene00048610")</f>
        <v>WBGene00048610</v>
      </c>
      <c r="B5613" s="9"/>
      <c r="C5613" s="9"/>
      <c r="D5613" t="str">
        <f>"21ur-3151"</f>
        <v>21ur-3151</v>
      </c>
      <c r="F5613" t="s">
        <v>3161</v>
      </c>
      <c r="H5613" s="12">
        <v>-2.4295389261469</v>
      </c>
      <c r="I5613" s="20">
        <v>-0.25808529976640998</v>
      </c>
      <c r="J5613" s="28">
        <v>0.79634107645457397</v>
      </c>
      <c r="K5613" s="29">
        <v>0.98289565623980701</v>
      </c>
    </row>
    <row r="5614" spans="1:11" x14ac:dyDescent="0.35">
      <c r="A5614" s="9" t="str">
        <f>HYPERLINK("http://www.ensembl.org/id/WBGene00050841", "WBGene00050841")</f>
        <v>WBGene00050841</v>
      </c>
      <c r="B5614" s="9"/>
      <c r="C5614" s="9"/>
      <c r="D5614" t="str">
        <f>"21ur-317"</f>
        <v>21ur-317</v>
      </c>
      <c r="F5614" t="s">
        <v>3161</v>
      </c>
      <c r="H5614" s="12">
        <v>-2.4991590031922399</v>
      </c>
      <c r="I5614" s="20">
        <v>-0.26577412737581302</v>
      </c>
      <c r="J5614" s="28">
        <v>0.79041317015736101</v>
      </c>
      <c r="K5614" s="29">
        <v>0.98289565623980701</v>
      </c>
    </row>
    <row r="5615" spans="1:11" x14ac:dyDescent="0.35">
      <c r="A5615" s="9" t="str">
        <f>HYPERLINK("http://www.ensembl.org/id/WBGene00047135", "WBGene00047135")</f>
        <v>WBGene00047135</v>
      </c>
      <c r="B5615" s="9"/>
      <c r="C5615" s="9"/>
      <c r="D5615" t="str">
        <f>"21ur-3183"</f>
        <v>21ur-3183</v>
      </c>
      <c r="F5615" t="s">
        <v>3161</v>
      </c>
      <c r="H5615" s="12">
        <v>2.3893468495514898</v>
      </c>
      <c r="I5615" s="20">
        <v>0.25323547253672701</v>
      </c>
      <c r="J5615" s="28">
        <v>0.80008625651646104</v>
      </c>
      <c r="K5615" s="29">
        <v>0.98289565623980701</v>
      </c>
    </row>
    <row r="5616" spans="1:11" x14ac:dyDescent="0.35">
      <c r="A5616" s="9" t="str">
        <f>HYPERLINK("http://www.ensembl.org/id/WBGene00048940", "WBGene00048940")</f>
        <v>WBGene00048940</v>
      </c>
      <c r="B5616" s="9"/>
      <c r="C5616" s="9"/>
      <c r="D5616" t="str">
        <f>"21ur-3194"</f>
        <v>21ur-3194</v>
      </c>
      <c r="F5616" t="s">
        <v>3161</v>
      </c>
      <c r="H5616" s="12">
        <v>-2.4991590031922399</v>
      </c>
      <c r="I5616" s="20">
        <v>-0.26577412737581302</v>
      </c>
      <c r="J5616" s="28">
        <v>0.79041317015736101</v>
      </c>
      <c r="K5616" s="29">
        <v>0.98289565623980701</v>
      </c>
    </row>
    <row r="5617" spans="1:11" x14ac:dyDescent="0.35">
      <c r="A5617" s="9" t="str">
        <f>HYPERLINK("http://www.ensembl.org/id/WBGene00046749", "WBGene00046749")</f>
        <v>WBGene00046749</v>
      </c>
      <c r="B5617" s="9"/>
      <c r="C5617" s="9"/>
      <c r="D5617" t="str">
        <f>"21ur-3224"</f>
        <v>21ur-3224</v>
      </c>
      <c r="F5617" t="s">
        <v>3161</v>
      </c>
      <c r="H5617" s="12">
        <v>9.9320123134608593</v>
      </c>
      <c r="I5617" s="20">
        <v>0.68366985730865304</v>
      </c>
      <c r="J5617" s="28">
        <v>0.49418366151259002</v>
      </c>
      <c r="K5617" s="29">
        <v>0.98289565623980701</v>
      </c>
    </row>
    <row r="5618" spans="1:11" x14ac:dyDescent="0.35">
      <c r="A5618" s="9" t="str">
        <f>HYPERLINK("http://www.ensembl.org/id/WBGene00046714", "WBGene00046714")</f>
        <v>WBGene00046714</v>
      </c>
      <c r="B5618" s="9"/>
      <c r="C5618" s="9"/>
      <c r="D5618" t="str">
        <f>"21ur-3254"</f>
        <v>21ur-3254</v>
      </c>
      <c r="F5618" t="s">
        <v>3161</v>
      </c>
      <c r="H5618" s="12">
        <v>7.2474883361933102</v>
      </c>
      <c r="I5618" s="20">
        <v>0.60161888411598596</v>
      </c>
      <c r="J5618" s="28">
        <v>0.54742785575427899</v>
      </c>
      <c r="K5618" s="29">
        <v>0.98289565623980701</v>
      </c>
    </row>
    <row r="5619" spans="1:11" x14ac:dyDescent="0.35">
      <c r="A5619" s="9" t="str">
        <f>HYPERLINK("http://www.ensembl.org/id/WBGene00049893", "WBGene00049893")</f>
        <v>WBGene00049893</v>
      </c>
      <c r="B5619" s="9"/>
      <c r="C5619" s="9"/>
      <c r="D5619" t="str">
        <f>"21ur-3259"</f>
        <v>21ur-3259</v>
      </c>
      <c r="F5619" t="s">
        <v>3161</v>
      </c>
      <c r="H5619" s="12">
        <v>-7.7904337984490803</v>
      </c>
      <c r="I5619" s="20">
        <v>-0.60901310058451197</v>
      </c>
      <c r="J5619" s="28">
        <v>0.54251575542982</v>
      </c>
      <c r="K5619" s="29">
        <v>0.98289565623980701</v>
      </c>
    </row>
    <row r="5620" spans="1:11" x14ac:dyDescent="0.35">
      <c r="A5620" s="9" t="str">
        <f>HYPERLINK("http://www.ensembl.org/id/WBGene00050859", "WBGene00050859")</f>
        <v>WBGene00050859</v>
      </c>
      <c r="B5620" s="9"/>
      <c r="C5620" s="9"/>
      <c r="D5620" t="str">
        <f>"21ur-3263"</f>
        <v>21ur-3263</v>
      </c>
      <c r="F5620" t="s">
        <v>3161</v>
      </c>
      <c r="H5620" s="12">
        <v>-2.4295389261469</v>
      </c>
      <c r="I5620" s="20">
        <v>-0.25808529976640998</v>
      </c>
      <c r="J5620" s="28">
        <v>0.79634107645457397</v>
      </c>
      <c r="K5620" s="29">
        <v>0.98289565623980701</v>
      </c>
    </row>
    <row r="5621" spans="1:11" x14ac:dyDescent="0.35">
      <c r="A5621" s="9" t="str">
        <f>HYPERLINK("http://www.ensembl.org/id/WBGene00046226", "WBGene00046226")</f>
        <v>WBGene00046226</v>
      </c>
      <c r="B5621" s="9"/>
      <c r="C5621" s="9"/>
      <c r="D5621" t="str">
        <f>"21ur-3271"</f>
        <v>21ur-3271</v>
      </c>
      <c r="F5621" t="s">
        <v>3161</v>
      </c>
      <c r="H5621" s="12">
        <v>5.9495765472548197</v>
      </c>
      <c r="I5621" s="20">
        <v>0.52429389276509997</v>
      </c>
      <c r="J5621" s="28">
        <v>0.60007414400596704</v>
      </c>
      <c r="K5621" s="29">
        <v>0.98289565623980701</v>
      </c>
    </row>
    <row r="5622" spans="1:11" x14ac:dyDescent="0.35">
      <c r="A5622" s="9" t="str">
        <f>HYPERLINK("http://www.ensembl.org/id/WBGene00048974", "WBGene00048974")</f>
        <v>WBGene00048974</v>
      </c>
      <c r="B5622" s="9"/>
      <c r="C5622" s="9"/>
      <c r="D5622" t="str">
        <f>"21ur-3281"</f>
        <v>21ur-3281</v>
      </c>
      <c r="F5622" t="s">
        <v>3161</v>
      </c>
      <c r="H5622" s="12">
        <v>-2.4991590031922399</v>
      </c>
      <c r="I5622" s="20">
        <v>-0.26577412737581302</v>
      </c>
      <c r="J5622" s="28">
        <v>0.79041317015736101</v>
      </c>
      <c r="K5622" s="29">
        <v>0.98289565623980701</v>
      </c>
    </row>
    <row r="5623" spans="1:11" x14ac:dyDescent="0.35">
      <c r="A5623" s="9" t="str">
        <f>HYPERLINK("http://www.ensembl.org/id/WBGene00045546", "WBGene00045546")</f>
        <v>WBGene00045546</v>
      </c>
      <c r="B5623" s="9"/>
      <c r="C5623" s="9"/>
      <c r="D5623" t="str">
        <f>"21ur-3313"</f>
        <v>21ur-3313</v>
      </c>
      <c r="F5623" t="s">
        <v>3161</v>
      </c>
      <c r="H5623" s="12">
        <v>-3.5819448292659501</v>
      </c>
      <c r="I5623" s="20">
        <v>-0.37337717500031398</v>
      </c>
      <c r="J5623" s="28">
        <v>0.70886774492290605</v>
      </c>
      <c r="K5623" s="29">
        <v>0.98289565623980701</v>
      </c>
    </row>
    <row r="5624" spans="1:11" x14ac:dyDescent="0.35">
      <c r="A5624" s="9" t="str">
        <f>HYPERLINK("http://www.ensembl.org/id/WBGene00049001", "WBGene00049001")</f>
        <v>WBGene00049001</v>
      </c>
      <c r="B5624" s="9"/>
      <c r="C5624" s="9"/>
      <c r="D5624" t="str">
        <f>"21ur-3341"</f>
        <v>21ur-3341</v>
      </c>
      <c r="F5624" t="s">
        <v>3161</v>
      </c>
      <c r="H5624" s="12">
        <v>-3.5819448292659501</v>
      </c>
      <c r="I5624" s="20">
        <v>-0.37337717500031398</v>
      </c>
      <c r="J5624" s="28">
        <v>0.70886774492290605</v>
      </c>
      <c r="K5624" s="29">
        <v>0.98289565623980701</v>
      </c>
    </row>
    <row r="5625" spans="1:11" x14ac:dyDescent="0.35">
      <c r="A5625" s="9" t="str">
        <f>HYPERLINK("http://www.ensembl.org/id/WBGene00047594", "WBGene00047594")</f>
        <v>WBGene00047594</v>
      </c>
      <c r="B5625" s="9"/>
      <c r="C5625" s="9"/>
      <c r="D5625" t="str">
        <f>"21ur-335"</f>
        <v>21ur-335</v>
      </c>
      <c r="F5625" t="s">
        <v>3161</v>
      </c>
      <c r="H5625" s="12">
        <v>-3.5819448292659501</v>
      </c>
      <c r="I5625" s="20">
        <v>-0.37337717500031398</v>
      </c>
      <c r="J5625" s="28">
        <v>0.70886774492290605</v>
      </c>
      <c r="K5625" s="29">
        <v>0.98289565623980701</v>
      </c>
    </row>
    <row r="5626" spans="1:11" x14ac:dyDescent="0.35">
      <c r="A5626" s="9" t="str">
        <f>HYPERLINK("http://www.ensembl.org/id/WBGene00048441", "WBGene00048441")</f>
        <v>WBGene00048441</v>
      </c>
      <c r="B5626" s="9"/>
      <c r="C5626" s="9"/>
      <c r="D5626" t="str">
        <f>"21ur-3380"</f>
        <v>21ur-3380</v>
      </c>
      <c r="F5626" t="s">
        <v>3161</v>
      </c>
      <c r="H5626" s="12">
        <v>1.5010652174413099</v>
      </c>
      <c r="I5626" s="20">
        <v>0.36821588107352499</v>
      </c>
      <c r="J5626" s="28">
        <v>0.71271226956999301</v>
      </c>
      <c r="K5626" s="29">
        <v>0.98289565623980701</v>
      </c>
    </row>
    <row r="5627" spans="1:11" x14ac:dyDescent="0.35">
      <c r="A5627" s="9" t="str">
        <f>HYPERLINK("http://www.ensembl.org/id/WBGene00047842", "WBGene00047842")</f>
        <v>WBGene00047842</v>
      </c>
      <c r="B5627" s="9"/>
      <c r="C5627" s="9"/>
      <c r="D5627" t="str">
        <f>"21ur-343"</f>
        <v>21ur-343</v>
      </c>
      <c r="F5627" t="s">
        <v>3161</v>
      </c>
      <c r="H5627" s="12">
        <v>-3.7261494131482999</v>
      </c>
      <c r="I5627" s="20">
        <v>-0.38454673129429601</v>
      </c>
      <c r="J5627" s="28">
        <v>0.70057326682554</v>
      </c>
      <c r="K5627" s="29">
        <v>0.98289565623980701</v>
      </c>
    </row>
    <row r="5628" spans="1:11" x14ac:dyDescent="0.35">
      <c r="A5628" s="9" t="str">
        <f>HYPERLINK("http://www.ensembl.org/id/WBGene00047094", "WBGene00047094")</f>
        <v>WBGene00047094</v>
      </c>
      <c r="B5628" s="9"/>
      <c r="C5628" s="9"/>
      <c r="D5628" t="str">
        <f>"21ur-3432"</f>
        <v>21ur-3432</v>
      </c>
      <c r="F5628" t="s">
        <v>3161</v>
      </c>
      <c r="H5628" s="12">
        <v>2.4578120077400301</v>
      </c>
      <c r="I5628" s="20">
        <v>0.26093350314551</v>
      </c>
      <c r="J5628" s="28">
        <v>0.79414378780213601</v>
      </c>
      <c r="K5628" s="29">
        <v>0.98289565623980701</v>
      </c>
    </row>
    <row r="5629" spans="1:11" x14ac:dyDescent="0.35">
      <c r="A5629" s="9" t="str">
        <f>HYPERLINK("http://www.ensembl.org/id/WBGene00049272", "WBGene00049272")</f>
        <v>WBGene00049272</v>
      </c>
      <c r="B5629" s="9"/>
      <c r="C5629" s="9"/>
      <c r="D5629" t="str">
        <f>"21ur-3444"</f>
        <v>21ur-3444</v>
      </c>
      <c r="F5629" t="s">
        <v>3161</v>
      </c>
      <c r="H5629" s="12">
        <v>-2.4295389261469</v>
      </c>
      <c r="I5629" s="20">
        <v>-0.25808529976640998</v>
      </c>
      <c r="J5629" s="28">
        <v>0.79634107645457397</v>
      </c>
      <c r="K5629" s="29">
        <v>0.98289565623980701</v>
      </c>
    </row>
    <row r="5630" spans="1:11" x14ac:dyDescent="0.35">
      <c r="A5630" s="9" t="str">
        <f>HYPERLINK("http://www.ensembl.org/id/WBGene00047119", "WBGene00047119")</f>
        <v>WBGene00047119</v>
      </c>
      <c r="B5630" s="9"/>
      <c r="C5630" s="9"/>
      <c r="D5630" t="str">
        <f>"21ur-3457"</f>
        <v>21ur-3457</v>
      </c>
      <c r="F5630" t="s">
        <v>3161</v>
      </c>
      <c r="H5630" s="12">
        <v>2.3893468495514898</v>
      </c>
      <c r="I5630" s="20">
        <v>0.25323547253672701</v>
      </c>
      <c r="J5630" s="28">
        <v>0.80008625651646104</v>
      </c>
      <c r="K5630" s="29">
        <v>0.98289565623980701</v>
      </c>
    </row>
    <row r="5631" spans="1:11" x14ac:dyDescent="0.35">
      <c r="A5631" s="9" t="str">
        <f>HYPERLINK("http://www.ensembl.org/id/WBGene00048530", "WBGene00048530")</f>
        <v>WBGene00048530</v>
      </c>
      <c r="B5631" s="9"/>
      <c r="C5631" s="9"/>
      <c r="D5631" t="str">
        <f>"21ur-3488"</f>
        <v>21ur-3488</v>
      </c>
      <c r="F5631" t="s">
        <v>3161</v>
      </c>
      <c r="H5631" s="12">
        <v>2.3893468495514898</v>
      </c>
      <c r="I5631" s="20">
        <v>0.25323547253672701</v>
      </c>
      <c r="J5631" s="28">
        <v>0.80008625651646104</v>
      </c>
      <c r="K5631" s="29">
        <v>0.98289565623980701</v>
      </c>
    </row>
    <row r="5632" spans="1:11" x14ac:dyDescent="0.35">
      <c r="A5632" s="9" t="str">
        <f>HYPERLINK("http://www.ensembl.org/id/WBGene00049159", "WBGene00049159")</f>
        <v>WBGene00049159</v>
      </c>
      <c r="B5632" s="9"/>
      <c r="C5632" s="9"/>
      <c r="D5632" t="str">
        <f>"21ur-3496"</f>
        <v>21ur-3496</v>
      </c>
      <c r="F5632" t="s">
        <v>3161</v>
      </c>
      <c r="H5632" s="12">
        <v>-7.7904337984490803</v>
      </c>
      <c r="I5632" s="20">
        <v>-0.60901310058451197</v>
      </c>
      <c r="J5632" s="28">
        <v>0.54251575542982</v>
      </c>
      <c r="K5632" s="29">
        <v>0.98289565623980701</v>
      </c>
    </row>
    <row r="5633" spans="1:11" x14ac:dyDescent="0.35">
      <c r="A5633" s="9" t="str">
        <f>HYPERLINK("http://www.ensembl.org/id/WBGene00047756", "WBGene00047756")</f>
        <v>WBGene00047756</v>
      </c>
      <c r="B5633" s="9"/>
      <c r="C5633" s="9"/>
      <c r="D5633" t="str">
        <f>"21ur-3500"</f>
        <v>21ur-3500</v>
      </c>
      <c r="F5633" t="s">
        <v>3161</v>
      </c>
      <c r="H5633" s="12">
        <v>6.1305203499129197</v>
      </c>
      <c r="I5633" s="20">
        <v>0.98369944163781897</v>
      </c>
      <c r="J5633" s="28">
        <v>0.32526331444678303</v>
      </c>
      <c r="K5633" s="29">
        <v>0.98289565623980701</v>
      </c>
    </row>
    <row r="5634" spans="1:11" x14ac:dyDescent="0.35">
      <c r="A5634" s="9" t="str">
        <f>HYPERLINK("http://www.ensembl.org/id/WBGene00047838", "WBGene00047838")</f>
        <v>WBGene00047838</v>
      </c>
      <c r="B5634" s="9"/>
      <c r="C5634" s="9"/>
      <c r="D5634" t="str">
        <f>"21ur-3602"</f>
        <v>21ur-3602</v>
      </c>
      <c r="F5634" t="s">
        <v>3161</v>
      </c>
      <c r="H5634" s="12">
        <v>-3.8117711228402902</v>
      </c>
      <c r="I5634" s="20">
        <v>-0.42004545650932301</v>
      </c>
      <c r="J5634" s="28">
        <v>0.67445224688133198</v>
      </c>
      <c r="K5634" s="29">
        <v>0.98289565623980701</v>
      </c>
    </row>
    <row r="5635" spans="1:11" x14ac:dyDescent="0.35">
      <c r="A5635" s="9" t="str">
        <f>HYPERLINK("http://www.ensembl.org/id/WBGene00045654", "WBGene00045654")</f>
        <v>WBGene00045654</v>
      </c>
      <c r="B5635" s="9"/>
      <c r="C5635" s="9"/>
      <c r="D5635" t="str">
        <f>"21ur-3621"</f>
        <v>21ur-3621</v>
      </c>
      <c r="F5635" t="s">
        <v>3161</v>
      </c>
      <c r="H5635" s="12">
        <v>3.5227018545059199</v>
      </c>
      <c r="I5635" s="20">
        <v>0.36849691206929103</v>
      </c>
      <c r="J5635" s="28">
        <v>0.71250274722433404</v>
      </c>
      <c r="K5635" s="29">
        <v>0.98289565623980701</v>
      </c>
    </row>
    <row r="5636" spans="1:11" x14ac:dyDescent="0.35">
      <c r="A5636" s="9" t="str">
        <f>HYPERLINK("http://www.ensembl.org/id/WBGene00047154", "WBGene00047154")</f>
        <v>WBGene00047154</v>
      </c>
      <c r="B5636" s="9"/>
      <c r="C5636" s="9"/>
      <c r="D5636" t="str">
        <f>"21ur-3648"</f>
        <v>21ur-3648</v>
      </c>
      <c r="F5636" t="s">
        <v>3161</v>
      </c>
      <c r="H5636" s="12">
        <v>2.3893468495514898</v>
      </c>
      <c r="I5636" s="20">
        <v>0.25323547253672701</v>
      </c>
      <c r="J5636" s="28">
        <v>0.80008625651646104</v>
      </c>
      <c r="K5636" s="29">
        <v>0.98289565623980701</v>
      </c>
    </row>
    <row r="5637" spans="1:11" x14ac:dyDescent="0.35">
      <c r="A5637" s="9" t="str">
        <f>HYPERLINK("http://www.ensembl.org/id/WBGene00046199", "WBGene00046199")</f>
        <v>WBGene00046199</v>
      </c>
      <c r="B5637" s="9"/>
      <c r="C5637" s="9"/>
      <c r="D5637" t="str">
        <f>"21ur-3654"</f>
        <v>21ur-3654</v>
      </c>
      <c r="F5637" t="s">
        <v>3161</v>
      </c>
      <c r="H5637" s="12">
        <v>-3.7261494131482999</v>
      </c>
      <c r="I5637" s="20">
        <v>-0.38454673129429601</v>
      </c>
      <c r="J5637" s="28">
        <v>0.70057326682554</v>
      </c>
      <c r="K5637" s="29">
        <v>0.98289565623980701</v>
      </c>
    </row>
    <row r="5638" spans="1:11" x14ac:dyDescent="0.35">
      <c r="A5638" s="9" t="str">
        <f>HYPERLINK("http://www.ensembl.org/id/WBGene00047657", "WBGene00047657")</f>
        <v>WBGene00047657</v>
      </c>
      <c r="B5638" s="9"/>
      <c r="C5638" s="9"/>
      <c r="D5638" t="str">
        <f>"21ur-3666"</f>
        <v>21ur-3666</v>
      </c>
      <c r="F5638" t="s">
        <v>3161</v>
      </c>
      <c r="H5638" s="12">
        <v>3.5227018545059199</v>
      </c>
      <c r="I5638" s="20">
        <v>0.36849691206929103</v>
      </c>
      <c r="J5638" s="28">
        <v>0.71250274722433404</v>
      </c>
      <c r="K5638" s="29">
        <v>0.98289565623980701</v>
      </c>
    </row>
    <row r="5639" spans="1:11" x14ac:dyDescent="0.35">
      <c r="A5639" s="9" t="str">
        <f>HYPERLINK("http://www.ensembl.org/id/WBGene00047399", "WBGene00047399")</f>
        <v>WBGene00047399</v>
      </c>
      <c r="B5639" s="9"/>
      <c r="C5639" s="9"/>
      <c r="D5639" t="str">
        <f>"21ur-3672"</f>
        <v>21ur-3672</v>
      </c>
      <c r="F5639" t="s">
        <v>3161</v>
      </c>
      <c r="H5639" s="12">
        <v>1.5502681949770201</v>
      </c>
      <c r="I5639" s="20">
        <v>0.6429438782736</v>
      </c>
      <c r="J5639" s="28">
        <v>0.52026051650141802</v>
      </c>
      <c r="K5639" s="29">
        <v>0.98289565623980701</v>
      </c>
    </row>
    <row r="5640" spans="1:11" x14ac:dyDescent="0.35">
      <c r="A5640" s="9" t="str">
        <f>HYPERLINK("http://www.ensembl.org/id/WBGene00047690", "WBGene00047690")</f>
        <v>WBGene00047690</v>
      </c>
      <c r="B5640" s="9"/>
      <c r="C5640" s="9"/>
      <c r="D5640" t="str">
        <f>"21ur-3817"</f>
        <v>21ur-3817</v>
      </c>
      <c r="F5640" t="s">
        <v>3161</v>
      </c>
      <c r="H5640" s="12">
        <v>3.5227018545059199</v>
      </c>
      <c r="I5640" s="20">
        <v>0.36849691206929103</v>
      </c>
      <c r="J5640" s="28">
        <v>0.71250274722433404</v>
      </c>
      <c r="K5640" s="29">
        <v>0.98289565623980701</v>
      </c>
    </row>
    <row r="5641" spans="1:11" x14ac:dyDescent="0.35">
      <c r="A5641" s="9" t="str">
        <f>HYPERLINK("http://www.ensembl.org/id/WBGene00047727", "WBGene00047727")</f>
        <v>WBGene00047727</v>
      </c>
      <c r="B5641" s="9"/>
      <c r="C5641" s="9"/>
      <c r="D5641" t="str">
        <f>"21ur-3861"</f>
        <v>21ur-3861</v>
      </c>
      <c r="F5641" t="s">
        <v>3161</v>
      </c>
      <c r="H5641" s="12">
        <v>-3.7261494131482999</v>
      </c>
      <c r="I5641" s="20">
        <v>-0.38454673129429601</v>
      </c>
      <c r="J5641" s="28">
        <v>0.70057326682554</v>
      </c>
      <c r="K5641" s="29">
        <v>0.98289565623980701</v>
      </c>
    </row>
    <row r="5642" spans="1:11" x14ac:dyDescent="0.35">
      <c r="A5642" s="9" t="str">
        <f>HYPERLINK("http://www.ensembl.org/id/WBGene00050424", "WBGene00050424")</f>
        <v>WBGene00050424</v>
      </c>
      <c r="B5642" s="9"/>
      <c r="C5642" s="9"/>
      <c r="D5642" t="str">
        <f>"21ur-3901"</f>
        <v>21ur-3901</v>
      </c>
      <c r="F5642" t="s">
        <v>3161</v>
      </c>
      <c r="H5642" s="12">
        <v>2.4578120077400301</v>
      </c>
      <c r="I5642" s="20">
        <v>0.26093350314551</v>
      </c>
      <c r="J5642" s="28">
        <v>0.79414378780213601</v>
      </c>
      <c r="K5642" s="29">
        <v>0.98289565623980701</v>
      </c>
    </row>
    <row r="5643" spans="1:11" x14ac:dyDescent="0.35">
      <c r="A5643" s="9" t="str">
        <f>HYPERLINK("http://www.ensembl.org/id/WBGene00046066", "WBGene00046066")</f>
        <v>WBGene00046066</v>
      </c>
      <c r="B5643" s="9"/>
      <c r="C5643" s="9"/>
      <c r="D5643" t="str">
        <f>"21ur-391"</f>
        <v>21ur-391</v>
      </c>
      <c r="F5643" t="s">
        <v>3161</v>
      </c>
      <c r="H5643" s="12">
        <v>10.8131830636529</v>
      </c>
      <c r="I5643" s="20">
        <v>0.70982715185838596</v>
      </c>
      <c r="J5643" s="28">
        <v>0.477811329444844</v>
      </c>
      <c r="K5643" s="29">
        <v>0.98289565623980701</v>
      </c>
    </row>
    <row r="5644" spans="1:11" x14ac:dyDescent="0.35">
      <c r="A5644" s="9" t="str">
        <f>HYPERLINK("http://www.ensembl.org/id/WBGene00048550", "WBGene00048550")</f>
        <v>WBGene00048550</v>
      </c>
      <c r="B5644" s="9"/>
      <c r="C5644" s="9"/>
      <c r="D5644" t="str">
        <f>"21ur-3925"</f>
        <v>21ur-3925</v>
      </c>
      <c r="F5644" t="s">
        <v>3161</v>
      </c>
      <c r="H5644" s="12">
        <v>-8.3803023269745403</v>
      </c>
      <c r="I5644" s="20">
        <v>-1.08079662408578</v>
      </c>
      <c r="J5644" s="28">
        <v>0.27978759049347401</v>
      </c>
      <c r="K5644" s="29">
        <v>0.98289565623980701</v>
      </c>
    </row>
    <row r="5645" spans="1:11" x14ac:dyDescent="0.35">
      <c r="A5645" s="9" t="str">
        <f>HYPERLINK("http://www.ensembl.org/id/WBGene00047946", "WBGene00047946")</f>
        <v>WBGene00047946</v>
      </c>
      <c r="B5645" s="9"/>
      <c r="C5645" s="9"/>
      <c r="D5645" t="str">
        <f>"21ur-3934"</f>
        <v>21ur-3934</v>
      </c>
      <c r="F5645" t="s">
        <v>3161</v>
      </c>
      <c r="H5645" s="12">
        <v>2.3893468495514898</v>
      </c>
      <c r="I5645" s="20">
        <v>0.25323547253672701</v>
      </c>
      <c r="J5645" s="28">
        <v>0.80008625651646104</v>
      </c>
      <c r="K5645" s="29">
        <v>0.98289565623980701</v>
      </c>
    </row>
    <row r="5646" spans="1:11" x14ac:dyDescent="0.35">
      <c r="A5646" s="9" t="str">
        <f>HYPERLINK("http://www.ensembl.org/id/WBGene00049146", "WBGene00049146")</f>
        <v>WBGene00049146</v>
      </c>
      <c r="B5646" s="9"/>
      <c r="C5646" s="9"/>
      <c r="D5646" t="str">
        <f>"21ur-3939"</f>
        <v>21ur-3939</v>
      </c>
      <c r="F5646" t="s">
        <v>3161</v>
      </c>
      <c r="H5646" s="12">
        <v>-4.7167679298615104</v>
      </c>
      <c r="I5646" s="20">
        <v>-0.454742638005115</v>
      </c>
      <c r="J5646" s="28">
        <v>0.64929440216969203</v>
      </c>
      <c r="K5646" s="29">
        <v>0.98289565623980701</v>
      </c>
    </row>
    <row r="5647" spans="1:11" x14ac:dyDescent="0.35">
      <c r="A5647" s="9" t="str">
        <f>HYPERLINK("http://www.ensembl.org/id/WBGene00046947", "WBGene00046947")</f>
        <v>WBGene00046947</v>
      </c>
      <c r="B5647" s="9"/>
      <c r="C5647" s="9"/>
      <c r="D5647" t="str">
        <f>"21ur-3940"</f>
        <v>21ur-3940</v>
      </c>
      <c r="F5647" t="s">
        <v>3161</v>
      </c>
      <c r="H5647" s="12">
        <v>2.3893468495514898</v>
      </c>
      <c r="I5647" s="20">
        <v>0.25323547253672701</v>
      </c>
      <c r="J5647" s="28">
        <v>0.80008625651646104</v>
      </c>
      <c r="K5647" s="29">
        <v>0.98289565623980701</v>
      </c>
    </row>
    <row r="5648" spans="1:11" x14ac:dyDescent="0.35">
      <c r="A5648" s="9" t="str">
        <f>HYPERLINK("http://www.ensembl.org/id/WBGene00045813", "WBGene00045813")</f>
        <v>WBGene00045813</v>
      </c>
      <c r="B5648" s="9"/>
      <c r="C5648" s="9"/>
      <c r="D5648" t="str">
        <f>"21ur-3942"</f>
        <v>21ur-3942</v>
      </c>
      <c r="F5648" t="s">
        <v>3161</v>
      </c>
      <c r="H5648" s="12">
        <v>-3.7261494131482999</v>
      </c>
      <c r="I5648" s="20">
        <v>-0.38454673129429601</v>
      </c>
      <c r="J5648" s="28">
        <v>0.70057326682554</v>
      </c>
      <c r="K5648" s="29">
        <v>0.98289565623980701</v>
      </c>
    </row>
    <row r="5649" spans="1:11" x14ac:dyDescent="0.35">
      <c r="A5649" s="9" t="str">
        <f>HYPERLINK("http://www.ensembl.org/id/WBGene00047350", "WBGene00047350")</f>
        <v>WBGene00047350</v>
      </c>
      <c r="B5649" s="9"/>
      <c r="C5649" s="9"/>
      <c r="D5649" t="str">
        <f>"21ur-3962"</f>
        <v>21ur-3962</v>
      </c>
      <c r="F5649" t="s">
        <v>3161</v>
      </c>
      <c r="H5649" s="12">
        <v>-2.4991590031922399</v>
      </c>
      <c r="I5649" s="20">
        <v>-0.26577412737581302</v>
      </c>
      <c r="J5649" s="28">
        <v>0.79041317015736101</v>
      </c>
      <c r="K5649" s="29">
        <v>0.98289565623980701</v>
      </c>
    </row>
    <row r="5650" spans="1:11" x14ac:dyDescent="0.35">
      <c r="A5650" s="9" t="str">
        <f>HYPERLINK("http://www.ensembl.org/id/WBGene00046833", "WBGene00046833")</f>
        <v>WBGene00046833</v>
      </c>
      <c r="B5650" s="9"/>
      <c r="C5650" s="9"/>
      <c r="D5650" t="str">
        <f>"21ur-3984"</f>
        <v>21ur-3984</v>
      </c>
      <c r="F5650" t="s">
        <v>3161</v>
      </c>
      <c r="H5650" s="12">
        <v>-2.3838754719136599</v>
      </c>
      <c r="I5650" s="20">
        <v>-0.25807578497976902</v>
      </c>
      <c r="J5650" s="28">
        <v>0.79634841949468704</v>
      </c>
      <c r="K5650" s="29">
        <v>0.98289565623980701</v>
      </c>
    </row>
    <row r="5651" spans="1:11" x14ac:dyDescent="0.35">
      <c r="A5651" s="9" t="str">
        <f>HYPERLINK("http://www.ensembl.org/id/WBGene00049783", "WBGene00049783")</f>
        <v>WBGene00049783</v>
      </c>
      <c r="B5651" s="9"/>
      <c r="C5651" s="9"/>
      <c r="D5651" t="str">
        <f>"21ur-4035"</f>
        <v>21ur-4035</v>
      </c>
      <c r="F5651" t="s">
        <v>3161</v>
      </c>
      <c r="H5651" s="12">
        <v>-2.4991590031922399</v>
      </c>
      <c r="I5651" s="20">
        <v>-0.26577412737581302</v>
      </c>
      <c r="J5651" s="28">
        <v>0.79041317015736101</v>
      </c>
      <c r="K5651" s="29">
        <v>0.98289565623980701</v>
      </c>
    </row>
    <row r="5652" spans="1:11" x14ac:dyDescent="0.35">
      <c r="A5652" s="9" t="str">
        <f>HYPERLINK("http://www.ensembl.org/id/WBGene00045958", "WBGene00045958")</f>
        <v>WBGene00045958</v>
      </c>
      <c r="B5652" s="9"/>
      <c r="C5652" s="9"/>
      <c r="D5652" t="str">
        <f>"21ur-4106"</f>
        <v>21ur-4106</v>
      </c>
      <c r="F5652" t="s">
        <v>3161</v>
      </c>
      <c r="H5652" s="12">
        <v>7.8691597089380902</v>
      </c>
      <c r="I5652" s="20">
        <v>0.61251365190975104</v>
      </c>
      <c r="J5652" s="28">
        <v>0.54019796842331003</v>
      </c>
      <c r="K5652" s="29">
        <v>0.98289565623980701</v>
      </c>
    </row>
    <row r="5653" spans="1:11" x14ac:dyDescent="0.35">
      <c r="A5653" s="9" t="str">
        <f>HYPERLINK("http://www.ensembl.org/id/WBGene00047233", "WBGene00047233")</f>
        <v>WBGene00047233</v>
      </c>
      <c r="B5653" s="9"/>
      <c r="C5653" s="9"/>
      <c r="D5653" t="str">
        <f>"21ur-4118"</f>
        <v>21ur-4118</v>
      </c>
      <c r="F5653" t="s">
        <v>3161</v>
      </c>
      <c r="H5653" s="12">
        <v>5.2322000618327396</v>
      </c>
      <c r="I5653" s="20">
        <v>0.486112489888328</v>
      </c>
      <c r="J5653" s="28">
        <v>0.62688741196182496</v>
      </c>
      <c r="K5653" s="29">
        <v>0.98289565623980701</v>
      </c>
    </row>
    <row r="5654" spans="1:11" x14ac:dyDescent="0.35">
      <c r="A5654" s="9" t="str">
        <f>HYPERLINK("http://www.ensembl.org/id/WBGene00045726", "WBGene00045726")</f>
        <v>WBGene00045726</v>
      </c>
      <c r="B5654" s="9"/>
      <c r="C5654" s="9"/>
      <c r="D5654" t="str">
        <f>"21ur-4151"</f>
        <v>21ur-4151</v>
      </c>
      <c r="F5654" t="s">
        <v>3161</v>
      </c>
      <c r="H5654" s="12">
        <v>-3.7261494131482999</v>
      </c>
      <c r="I5654" s="20">
        <v>-0.38454673129429601</v>
      </c>
      <c r="J5654" s="28">
        <v>0.70057326682554</v>
      </c>
      <c r="K5654" s="29">
        <v>0.98289565623980701</v>
      </c>
    </row>
    <row r="5655" spans="1:11" x14ac:dyDescent="0.35">
      <c r="A5655" s="9" t="str">
        <f>HYPERLINK("http://www.ensembl.org/id/WBGene00047060", "WBGene00047060")</f>
        <v>WBGene00047060</v>
      </c>
      <c r="B5655" s="9"/>
      <c r="C5655" s="9"/>
      <c r="D5655" t="str">
        <f>"21ur-4182"</f>
        <v>21ur-4182</v>
      </c>
      <c r="F5655" t="s">
        <v>3161</v>
      </c>
      <c r="H5655" s="12">
        <v>2.4578120077400301</v>
      </c>
      <c r="I5655" s="20">
        <v>0.26093350314551</v>
      </c>
      <c r="J5655" s="28">
        <v>0.79414378780213601</v>
      </c>
      <c r="K5655" s="29">
        <v>0.98289565623980701</v>
      </c>
    </row>
    <row r="5656" spans="1:11" x14ac:dyDescent="0.35">
      <c r="A5656" s="9" t="str">
        <f>HYPERLINK("http://www.ensembl.org/id/WBGene00048627", "WBGene00048627")</f>
        <v>WBGene00048627</v>
      </c>
      <c r="B5656" s="9"/>
      <c r="C5656" s="9"/>
      <c r="D5656" t="str">
        <f>"21ur-4232"</f>
        <v>21ur-4232</v>
      </c>
      <c r="F5656" t="s">
        <v>3161</v>
      </c>
      <c r="H5656" s="12">
        <v>3.5227018545059199</v>
      </c>
      <c r="I5656" s="20">
        <v>0.36849691206929103</v>
      </c>
      <c r="J5656" s="28">
        <v>0.71250274722433404</v>
      </c>
      <c r="K5656" s="29">
        <v>0.98289565623980701</v>
      </c>
    </row>
    <row r="5657" spans="1:11" x14ac:dyDescent="0.35">
      <c r="A5657" s="9" t="str">
        <f>HYPERLINK("http://www.ensembl.org/id/WBGene00049984", "WBGene00049984")</f>
        <v>WBGene00049984</v>
      </c>
      <c r="B5657" s="9"/>
      <c r="C5657" s="9"/>
      <c r="D5657" t="str">
        <f>"21ur-4245"</f>
        <v>21ur-4245</v>
      </c>
      <c r="F5657" t="s">
        <v>3161</v>
      </c>
      <c r="H5657" s="12">
        <v>-3.7261494131482999</v>
      </c>
      <c r="I5657" s="20">
        <v>-0.38454673129429601</v>
      </c>
      <c r="J5657" s="28">
        <v>0.70057326682554</v>
      </c>
      <c r="K5657" s="29">
        <v>0.98289565623980701</v>
      </c>
    </row>
    <row r="5658" spans="1:11" x14ac:dyDescent="0.35">
      <c r="A5658" s="9" t="str">
        <f>HYPERLINK("http://www.ensembl.org/id/WBGene00048054", "WBGene00048054")</f>
        <v>WBGene00048054</v>
      </c>
      <c r="B5658" s="9"/>
      <c r="C5658" s="9"/>
      <c r="D5658" t="str">
        <f>"21ur-4276"</f>
        <v>21ur-4276</v>
      </c>
      <c r="F5658" t="s">
        <v>3161</v>
      </c>
      <c r="H5658" s="12">
        <v>3.5227018545059199</v>
      </c>
      <c r="I5658" s="20">
        <v>0.36849691206929103</v>
      </c>
      <c r="J5658" s="28">
        <v>0.71250274722433404</v>
      </c>
      <c r="K5658" s="29">
        <v>0.98289565623980701</v>
      </c>
    </row>
    <row r="5659" spans="1:11" x14ac:dyDescent="0.35">
      <c r="A5659" s="9" t="str">
        <f>HYPERLINK("http://www.ensembl.org/id/WBGene00046573", "WBGene00046573")</f>
        <v>WBGene00046573</v>
      </c>
      <c r="B5659" s="9"/>
      <c r="C5659" s="9"/>
      <c r="D5659" t="str">
        <f>"21ur-4289"</f>
        <v>21ur-4289</v>
      </c>
      <c r="F5659" t="s">
        <v>3161</v>
      </c>
      <c r="H5659" s="12">
        <v>-2.4991590031922399</v>
      </c>
      <c r="I5659" s="20">
        <v>-0.26577412737581302</v>
      </c>
      <c r="J5659" s="28">
        <v>0.79041317015736101</v>
      </c>
      <c r="K5659" s="29">
        <v>0.98289565623980701</v>
      </c>
    </row>
    <row r="5660" spans="1:11" x14ac:dyDescent="0.35">
      <c r="A5660" s="9" t="str">
        <f>HYPERLINK("http://www.ensembl.org/id/WBGene00045882", "WBGene00045882")</f>
        <v>WBGene00045882</v>
      </c>
      <c r="B5660" s="9"/>
      <c r="C5660" s="9"/>
      <c r="D5660" t="str">
        <f>"21ur-4299"</f>
        <v>21ur-4299</v>
      </c>
      <c r="F5660" t="s">
        <v>3161</v>
      </c>
      <c r="H5660" s="12">
        <v>3.5227018545059199</v>
      </c>
      <c r="I5660" s="20">
        <v>0.36849691206929103</v>
      </c>
      <c r="J5660" s="28">
        <v>0.71250274722433404</v>
      </c>
      <c r="K5660" s="29">
        <v>0.98289565623980701</v>
      </c>
    </row>
    <row r="5661" spans="1:11" x14ac:dyDescent="0.35">
      <c r="A5661" s="9" t="str">
        <f>HYPERLINK("http://www.ensembl.org/id/WBGene00048676", "WBGene00048676")</f>
        <v>WBGene00048676</v>
      </c>
      <c r="B5661" s="9"/>
      <c r="C5661" s="9"/>
      <c r="D5661" t="str">
        <f>"21ur-4385"</f>
        <v>21ur-4385</v>
      </c>
      <c r="F5661" t="s">
        <v>3161</v>
      </c>
      <c r="H5661" s="12">
        <v>-3.5819448292659501</v>
      </c>
      <c r="I5661" s="20">
        <v>-0.37337717500031398</v>
      </c>
      <c r="J5661" s="28">
        <v>0.70886774492290605</v>
      </c>
      <c r="K5661" s="29">
        <v>0.98289565623980701</v>
      </c>
    </row>
    <row r="5662" spans="1:11" x14ac:dyDescent="0.35">
      <c r="A5662" s="9" t="str">
        <f>HYPERLINK("http://www.ensembl.org/id/WBGene00049580", "WBGene00049580")</f>
        <v>WBGene00049580</v>
      </c>
      <c r="B5662" s="9"/>
      <c r="C5662" s="9"/>
      <c r="D5662" t="str">
        <f>"21ur-4387"</f>
        <v>21ur-4387</v>
      </c>
      <c r="F5662" t="s">
        <v>3161</v>
      </c>
      <c r="H5662" s="12">
        <v>-6.5737790408717602</v>
      </c>
      <c r="I5662" s="20">
        <v>-0.852269549053428</v>
      </c>
      <c r="J5662" s="28">
        <v>0.39406450295478801</v>
      </c>
      <c r="K5662" s="29">
        <v>0.98289565623980701</v>
      </c>
    </row>
    <row r="5663" spans="1:11" x14ac:dyDescent="0.35">
      <c r="A5663" s="9" t="str">
        <f>HYPERLINK("http://www.ensembl.org/id/WBGene00048719", "WBGene00048719")</f>
        <v>WBGene00048719</v>
      </c>
      <c r="B5663" s="9"/>
      <c r="C5663" s="9"/>
      <c r="D5663" t="str">
        <f>"21ur-4413"</f>
        <v>21ur-4413</v>
      </c>
      <c r="F5663" t="s">
        <v>3161</v>
      </c>
      <c r="H5663" s="12">
        <v>-2.4991590031922399</v>
      </c>
      <c r="I5663" s="20">
        <v>-0.26577412737581302</v>
      </c>
      <c r="J5663" s="28">
        <v>0.79041317015736101</v>
      </c>
      <c r="K5663" s="29">
        <v>0.98289565623980701</v>
      </c>
    </row>
    <row r="5664" spans="1:11" x14ac:dyDescent="0.35">
      <c r="A5664" s="9" t="str">
        <f>HYPERLINK("http://www.ensembl.org/id/WBGene00049321", "WBGene00049321")</f>
        <v>WBGene00049321</v>
      </c>
      <c r="B5664" s="9"/>
      <c r="C5664" s="9"/>
      <c r="D5664" t="str">
        <f>"21ur-442"</f>
        <v>21ur-442</v>
      </c>
      <c r="F5664" t="s">
        <v>3161</v>
      </c>
      <c r="H5664" s="12">
        <v>3.5227018545059199</v>
      </c>
      <c r="I5664" s="20">
        <v>0.36849691206929103</v>
      </c>
      <c r="J5664" s="28">
        <v>0.71250274722433404</v>
      </c>
      <c r="K5664" s="29">
        <v>0.98289565623980701</v>
      </c>
    </row>
    <row r="5665" spans="1:11" x14ac:dyDescent="0.35">
      <c r="A5665" s="9" t="str">
        <f>HYPERLINK("http://www.ensembl.org/id/WBGene00049036", "WBGene00049036")</f>
        <v>WBGene00049036</v>
      </c>
      <c r="B5665" s="9"/>
      <c r="C5665" s="9"/>
      <c r="D5665" t="str">
        <f>"21ur-4490"</f>
        <v>21ur-4490</v>
      </c>
      <c r="F5665" t="s">
        <v>3161</v>
      </c>
      <c r="H5665" s="12">
        <v>7.8691597089380902</v>
      </c>
      <c r="I5665" s="20">
        <v>0.61251365190975104</v>
      </c>
      <c r="J5665" s="28">
        <v>0.54019796842331003</v>
      </c>
      <c r="K5665" s="29">
        <v>0.98289565623980701</v>
      </c>
    </row>
    <row r="5666" spans="1:11" x14ac:dyDescent="0.35">
      <c r="A5666" s="9" t="str">
        <f>HYPERLINK("http://www.ensembl.org/id/WBGene00047500", "WBGene00047500")</f>
        <v>WBGene00047500</v>
      </c>
      <c r="B5666" s="9"/>
      <c r="C5666" s="9"/>
      <c r="D5666" t="str">
        <f>"21ur-4510"</f>
        <v>21ur-4510</v>
      </c>
      <c r="F5666" t="s">
        <v>3161</v>
      </c>
      <c r="H5666" s="12">
        <v>-2.4295389261469</v>
      </c>
      <c r="I5666" s="20">
        <v>-0.25808529976640998</v>
      </c>
      <c r="J5666" s="28">
        <v>0.79634107645457397</v>
      </c>
      <c r="K5666" s="29">
        <v>0.98289565623980701</v>
      </c>
    </row>
    <row r="5667" spans="1:11" x14ac:dyDescent="0.35">
      <c r="A5667" s="9" t="str">
        <f>HYPERLINK("http://www.ensembl.org/id/WBGene00046257", "WBGene00046257")</f>
        <v>WBGene00046257</v>
      </c>
      <c r="B5667" s="9"/>
      <c r="C5667" s="9"/>
      <c r="D5667" t="str">
        <f>"21ur-4577"</f>
        <v>21ur-4577</v>
      </c>
      <c r="F5667" t="s">
        <v>3161</v>
      </c>
      <c r="H5667" s="12">
        <v>-4.5114499031905204</v>
      </c>
      <c r="I5667" s="20">
        <v>-0.44198655555625299</v>
      </c>
      <c r="J5667" s="28">
        <v>0.65849893477547905</v>
      </c>
      <c r="K5667" s="29">
        <v>0.98289565623980701</v>
      </c>
    </row>
    <row r="5668" spans="1:11" x14ac:dyDescent="0.35">
      <c r="A5668" s="9" t="str">
        <f>HYPERLINK("http://www.ensembl.org/id/WBGene00046859", "WBGene00046859")</f>
        <v>WBGene00046859</v>
      </c>
      <c r="B5668" s="9"/>
      <c r="C5668" s="9"/>
      <c r="D5668" t="str">
        <f>"21ur-4615"</f>
        <v>21ur-4615</v>
      </c>
      <c r="F5668" t="s">
        <v>3161</v>
      </c>
      <c r="H5668" s="12">
        <v>-1.57015462806396</v>
      </c>
      <c r="I5668" s="20">
        <v>-0.32650443289428599</v>
      </c>
      <c r="J5668" s="28">
        <v>0.74404273594887504</v>
      </c>
      <c r="K5668" s="29">
        <v>0.98289565623980701</v>
      </c>
    </row>
    <row r="5669" spans="1:11" x14ac:dyDescent="0.35">
      <c r="A5669" s="9" t="str">
        <f>HYPERLINK("http://www.ensembl.org/id/WBGene00046269", "WBGene00046269")</f>
        <v>WBGene00046269</v>
      </c>
      <c r="B5669" s="9"/>
      <c r="C5669" s="9"/>
      <c r="D5669" t="str">
        <f>"21ur-4638"</f>
        <v>21ur-4638</v>
      </c>
      <c r="F5669" t="s">
        <v>3161</v>
      </c>
      <c r="H5669" s="12">
        <v>-2.4991590031922399</v>
      </c>
      <c r="I5669" s="20">
        <v>-0.26577412737581302</v>
      </c>
      <c r="J5669" s="28">
        <v>0.79041317015736101</v>
      </c>
      <c r="K5669" s="29">
        <v>0.98289565623980701</v>
      </c>
    </row>
    <row r="5670" spans="1:11" x14ac:dyDescent="0.35">
      <c r="A5670" s="9" t="str">
        <f>HYPERLINK("http://www.ensembl.org/id/WBGene00049727", "WBGene00049727")</f>
        <v>WBGene00049727</v>
      </c>
      <c r="B5670" s="9"/>
      <c r="C5670" s="9"/>
      <c r="D5670" t="str">
        <f>"21ur-4713"</f>
        <v>21ur-4713</v>
      </c>
      <c r="F5670" t="s">
        <v>3161</v>
      </c>
      <c r="H5670" s="12">
        <v>3.5227018545059199</v>
      </c>
      <c r="I5670" s="20">
        <v>0.36849691206929103</v>
      </c>
      <c r="J5670" s="28">
        <v>0.71250274722433404</v>
      </c>
      <c r="K5670" s="29">
        <v>0.98289565623980701</v>
      </c>
    </row>
    <row r="5671" spans="1:11" x14ac:dyDescent="0.35">
      <c r="A5671" s="9" t="str">
        <f>HYPERLINK("http://www.ensembl.org/id/WBGene00050693", "WBGene00050693")</f>
        <v>WBGene00050693</v>
      </c>
      <c r="B5671" s="9"/>
      <c r="C5671" s="9"/>
      <c r="D5671" t="str">
        <f>"21ur-4769"</f>
        <v>21ur-4769</v>
      </c>
      <c r="F5671" t="s">
        <v>3161</v>
      </c>
      <c r="H5671" s="12">
        <v>-1.2698960713486001</v>
      </c>
      <c r="I5671" s="20">
        <v>-0.38681500592743501</v>
      </c>
      <c r="J5671" s="28">
        <v>0.69889316724188399</v>
      </c>
      <c r="K5671" s="29">
        <v>0.98289565623980701</v>
      </c>
    </row>
    <row r="5672" spans="1:11" x14ac:dyDescent="0.35">
      <c r="A5672" s="9" t="str">
        <f>HYPERLINK("http://www.ensembl.org/id/WBGene00047656", "WBGene00047656")</f>
        <v>WBGene00047656</v>
      </c>
      <c r="B5672" s="9"/>
      <c r="C5672" s="9"/>
      <c r="D5672" t="str">
        <f>"21ur-477"</f>
        <v>21ur-477</v>
      </c>
      <c r="F5672" t="s">
        <v>3161</v>
      </c>
      <c r="H5672" s="12">
        <v>4.4368407117627902</v>
      </c>
      <c r="I5672" s="20">
        <v>0.43709475933309699</v>
      </c>
      <c r="J5672" s="28">
        <v>0.66204262779770495</v>
      </c>
      <c r="K5672" s="29">
        <v>0.98289565623980701</v>
      </c>
    </row>
    <row r="5673" spans="1:11" x14ac:dyDescent="0.35">
      <c r="A5673" s="9" t="str">
        <f>HYPERLINK("http://www.ensembl.org/id/WBGene00048791", "WBGene00048791")</f>
        <v>WBGene00048791</v>
      </c>
      <c r="B5673" s="9"/>
      <c r="C5673" s="9"/>
      <c r="D5673" t="str">
        <f>"21ur-4820"</f>
        <v>21ur-4820</v>
      </c>
      <c r="F5673" t="s">
        <v>3161</v>
      </c>
      <c r="H5673" s="12">
        <v>-2.4991590031922399</v>
      </c>
      <c r="I5673" s="20">
        <v>-0.26577412737581302</v>
      </c>
      <c r="J5673" s="28">
        <v>0.79041317015736101</v>
      </c>
      <c r="K5673" s="29">
        <v>0.98289565623980701</v>
      </c>
    </row>
    <row r="5674" spans="1:11" x14ac:dyDescent="0.35">
      <c r="A5674" s="9" t="str">
        <f>HYPERLINK("http://www.ensembl.org/id/WBGene00046472", "WBGene00046472")</f>
        <v>WBGene00046472</v>
      </c>
      <c r="B5674" s="9"/>
      <c r="C5674" s="9"/>
      <c r="D5674" t="str">
        <f>"21ur-4852"</f>
        <v>21ur-4852</v>
      </c>
      <c r="F5674" t="s">
        <v>3161</v>
      </c>
      <c r="H5674" s="12">
        <v>-2.4295389261469</v>
      </c>
      <c r="I5674" s="20">
        <v>-0.25808529976640998</v>
      </c>
      <c r="J5674" s="28">
        <v>0.79634107645457397</v>
      </c>
      <c r="K5674" s="29">
        <v>0.98289565623980701</v>
      </c>
    </row>
    <row r="5675" spans="1:11" x14ac:dyDescent="0.35">
      <c r="A5675" s="9" t="str">
        <f>HYPERLINK("http://www.ensembl.org/id/WBGene00046724", "WBGene00046724")</f>
        <v>WBGene00046724</v>
      </c>
      <c r="B5675" s="9"/>
      <c r="C5675" s="9"/>
      <c r="D5675" t="str">
        <f>"21ur-486"</f>
        <v>21ur-486</v>
      </c>
      <c r="F5675" t="s">
        <v>3161</v>
      </c>
      <c r="H5675" s="12">
        <v>-2.4991590031922399</v>
      </c>
      <c r="I5675" s="20">
        <v>-0.26577412737581302</v>
      </c>
      <c r="J5675" s="28">
        <v>0.79041317015736101</v>
      </c>
      <c r="K5675" s="29">
        <v>0.98289565623980701</v>
      </c>
    </row>
    <row r="5676" spans="1:11" x14ac:dyDescent="0.35">
      <c r="A5676" s="9" t="str">
        <f>HYPERLINK("http://www.ensembl.org/id/WBGene00048104", "WBGene00048104")</f>
        <v>WBGene00048104</v>
      </c>
      <c r="B5676" s="9"/>
      <c r="C5676" s="9"/>
      <c r="D5676" t="str">
        <f>"21ur-4875"</f>
        <v>21ur-4875</v>
      </c>
      <c r="F5676" t="s">
        <v>3161</v>
      </c>
      <c r="H5676" s="12">
        <v>-3.5819448292659501</v>
      </c>
      <c r="I5676" s="20">
        <v>-0.37337717500031398</v>
      </c>
      <c r="J5676" s="28">
        <v>0.70886774492290605</v>
      </c>
      <c r="K5676" s="29">
        <v>0.98289565623980701</v>
      </c>
    </row>
    <row r="5677" spans="1:11" x14ac:dyDescent="0.35">
      <c r="A5677" s="9" t="str">
        <f>HYPERLINK("http://www.ensembl.org/id/WBGene00046457", "WBGene00046457")</f>
        <v>WBGene00046457</v>
      </c>
      <c r="B5677" s="9"/>
      <c r="C5677" s="9"/>
      <c r="D5677" t="str">
        <f>"21ur-4951"</f>
        <v>21ur-4951</v>
      </c>
      <c r="F5677" t="s">
        <v>3161</v>
      </c>
      <c r="H5677" s="12">
        <v>2.3893468495514898</v>
      </c>
      <c r="I5677" s="20">
        <v>0.25323547253672701</v>
      </c>
      <c r="J5677" s="28">
        <v>0.80008625651646104</v>
      </c>
      <c r="K5677" s="29">
        <v>0.98289565623980701</v>
      </c>
    </row>
    <row r="5678" spans="1:11" x14ac:dyDescent="0.35">
      <c r="A5678" s="9" t="str">
        <f>HYPERLINK("http://www.ensembl.org/id/WBGene00047124", "WBGene00047124")</f>
        <v>WBGene00047124</v>
      </c>
      <c r="B5678" s="9"/>
      <c r="C5678" s="9"/>
      <c r="D5678" t="str">
        <f>"21ur-5008"</f>
        <v>21ur-5008</v>
      </c>
      <c r="F5678" t="s">
        <v>3161</v>
      </c>
      <c r="H5678" s="12">
        <v>7.8691597089380902</v>
      </c>
      <c r="I5678" s="20">
        <v>0.61251365190975104</v>
      </c>
      <c r="J5678" s="28">
        <v>0.54019796842331003</v>
      </c>
      <c r="K5678" s="29">
        <v>0.98289565623980701</v>
      </c>
    </row>
    <row r="5679" spans="1:11" x14ac:dyDescent="0.35">
      <c r="A5679" s="9" t="str">
        <f>HYPERLINK("http://www.ensembl.org/id/WBGene00048141", "WBGene00048141")</f>
        <v>WBGene00048141</v>
      </c>
      <c r="B5679" s="9"/>
      <c r="C5679" s="9"/>
      <c r="D5679" t="str">
        <f>"21ur-5009"</f>
        <v>21ur-5009</v>
      </c>
      <c r="F5679" t="s">
        <v>3161</v>
      </c>
      <c r="H5679" s="12">
        <v>3.6645215954135</v>
      </c>
      <c r="I5679" s="20">
        <v>0.37967131826092498</v>
      </c>
      <c r="J5679" s="28">
        <v>0.70418941338960395</v>
      </c>
      <c r="K5679" s="29">
        <v>0.98289565623980701</v>
      </c>
    </row>
    <row r="5680" spans="1:11" x14ac:dyDescent="0.35">
      <c r="A5680" s="9" t="str">
        <f>HYPERLINK("http://www.ensembl.org/id/WBGene00047084", "WBGene00047084")</f>
        <v>WBGene00047084</v>
      </c>
      <c r="B5680" s="9"/>
      <c r="C5680" s="9"/>
      <c r="D5680" t="str">
        <f>"21ur-5028"</f>
        <v>21ur-5028</v>
      </c>
      <c r="F5680" t="s">
        <v>3161</v>
      </c>
      <c r="H5680" s="12">
        <v>2.3893468495514898</v>
      </c>
      <c r="I5680" s="20">
        <v>0.25323547253672701</v>
      </c>
      <c r="J5680" s="28">
        <v>0.80008625651646104</v>
      </c>
      <c r="K5680" s="29">
        <v>0.98289565623980701</v>
      </c>
    </row>
    <row r="5681" spans="1:11" x14ac:dyDescent="0.35">
      <c r="A5681" s="9" t="str">
        <f>HYPERLINK("http://www.ensembl.org/id/WBGene00050768", "WBGene00050768")</f>
        <v>WBGene00050768</v>
      </c>
      <c r="B5681" s="9"/>
      <c r="C5681" s="9"/>
      <c r="D5681" t="str">
        <f>"21ur-5032"</f>
        <v>21ur-5032</v>
      </c>
      <c r="F5681" t="s">
        <v>3161</v>
      </c>
      <c r="H5681" s="12">
        <v>2.3893468495514898</v>
      </c>
      <c r="I5681" s="20">
        <v>0.25323547253672701</v>
      </c>
      <c r="J5681" s="28">
        <v>0.80008625651646104</v>
      </c>
      <c r="K5681" s="29">
        <v>0.98289565623980701</v>
      </c>
    </row>
    <row r="5682" spans="1:11" x14ac:dyDescent="0.35">
      <c r="A5682" s="9" t="str">
        <f>HYPERLINK("http://www.ensembl.org/id/WBGene00049967", "WBGene00049967")</f>
        <v>WBGene00049967</v>
      </c>
      <c r="B5682" s="9"/>
      <c r="C5682" s="9"/>
      <c r="D5682" t="str">
        <f>"21ur-5041"</f>
        <v>21ur-5041</v>
      </c>
      <c r="F5682" t="s">
        <v>3161</v>
      </c>
      <c r="H5682" s="12">
        <v>16.217611553187702</v>
      </c>
      <c r="I5682" s="20">
        <v>0.94333696891586505</v>
      </c>
      <c r="J5682" s="28">
        <v>0.34550857211368002</v>
      </c>
      <c r="K5682" s="29">
        <v>0.98289565623980701</v>
      </c>
    </row>
    <row r="5683" spans="1:11" x14ac:dyDescent="0.35">
      <c r="A5683" s="9" t="str">
        <f>HYPERLINK("http://www.ensembl.org/id/WBGene00046517", "WBGene00046517")</f>
        <v>WBGene00046517</v>
      </c>
      <c r="B5683" s="9"/>
      <c r="C5683" s="9"/>
      <c r="D5683" t="str">
        <f>"21ur-5064"</f>
        <v>21ur-5064</v>
      </c>
      <c r="F5683" t="s">
        <v>3161</v>
      </c>
      <c r="H5683" s="12">
        <v>-2.4295389261469</v>
      </c>
      <c r="I5683" s="20">
        <v>-0.25808529976640998</v>
      </c>
      <c r="J5683" s="28">
        <v>0.79634107645457397</v>
      </c>
      <c r="K5683" s="29">
        <v>0.98289565623980701</v>
      </c>
    </row>
    <row r="5684" spans="1:11" x14ac:dyDescent="0.35">
      <c r="A5684" s="9" t="str">
        <f>HYPERLINK("http://www.ensembl.org/id/WBGene00046511", "WBGene00046511")</f>
        <v>WBGene00046511</v>
      </c>
      <c r="B5684" s="9"/>
      <c r="C5684" s="9"/>
      <c r="D5684" t="str">
        <f>"21ur-5074"</f>
        <v>21ur-5074</v>
      </c>
      <c r="F5684" t="s">
        <v>3161</v>
      </c>
      <c r="H5684" s="12">
        <v>-2.4991590031922399</v>
      </c>
      <c r="I5684" s="20">
        <v>-0.26577412737581302</v>
      </c>
      <c r="J5684" s="28">
        <v>0.79041317015736101</v>
      </c>
      <c r="K5684" s="29">
        <v>0.98289565623980701</v>
      </c>
    </row>
    <row r="5685" spans="1:11" x14ac:dyDescent="0.35">
      <c r="A5685" s="9" t="str">
        <f>HYPERLINK("http://www.ensembl.org/id/WBGene00045690", "WBGene00045690")</f>
        <v>WBGene00045690</v>
      </c>
      <c r="B5685" s="9"/>
      <c r="C5685" s="9"/>
      <c r="D5685" t="str">
        <f>"21ur-5085"</f>
        <v>21ur-5085</v>
      </c>
      <c r="F5685" t="s">
        <v>3161</v>
      </c>
      <c r="H5685" s="12">
        <v>-6.7350978273547204</v>
      </c>
      <c r="I5685" s="20">
        <v>-0.57518224984572797</v>
      </c>
      <c r="J5685" s="28">
        <v>0.565168046075332</v>
      </c>
      <c r="K5685" s="29">
        <v>0.98289565623980701</v>
      </c>
    </row>
    <row r="5686" spans="1:11" x14ac:dyDescent="0.35">
      <c r="A5686" s="9" t="str">
        <f>HYPERLINK("http://www.ensembl.org/id/WBGene00047823", "WBGene00047823")</f>
        <v>WBGene00047823</v>
      </c>
      <c r="B5686" s="9"/>
      <c r="C5686" s="9"/>
      <c r="D5686" t="str">
        <f>"21ur-5134"</f>
        <v>21ur-5134</v>
      </c>
      <c r="F5686" t="s">
        <v>3161</v>
      </c>
      <c r="H5686" s="12">
        <v>-5.5794491025289696</v>
      </c>
      <c r="I5686" s="20">
        <v>-0.504738274115201</v>
      </c>
      <c r="J5686" s="28">
        <v>0.61374267489732603</v>
      </c>
      <c r="K5686" s="29">
        <v>0.98289565623980701</v>
      </c>
    </row>
    <row r="5687" spans="1:11" x14ac:dyDescent="0.35">
      <c r="A5687" s="9" t="str">
        <f>HYPERLINK("http://www.ensembl.org/id/WBGene00046694", "WBGene00046694")</f>
        <v>WBGene00046694</v>
      </c>
      <c r="B5687" s="9"/>
      <c r="C5687" s="9"/>
      <c r="D5687" t="str">
        <f>"21ur-5138"</f>
        <v>21ur-5138</v>
      </c>
      <c r="F5687" t="s">
        <v>3161</v>
      </c>
      <c r="H5687" s="12">
        <v>2.4578120077400301</v>
      </c>
      <c r="I5687" s="20">
        <v>0.26093350314551</v>
      </c>
      <c r="J5687" s="28">
        <v>0.79414378780213601</v>
      </c>
      <c r="K5687" s="29">
        <v>0.98289565623980701</v>
      </c>
    </row>
    <row r="5688" spans="1:11" x14ac:dyDescent="0.35">
      <c r="A5688" s="9" t="str">
        <f>HYPERLINK("http://www.ensembl.org/id/WBGene00050009", "WBGene00050009")</f>
        <v>WBGene00050009</v>
      </c>
      <c r="B5688" s="9"/>
      <c r="C5688" s="9"/>
      <c r="D5688" t="str">
        <f>"21ur-5140"</f>
        <v>21ur-5140</v>
      </c>
      <c r="F5688" t="s">
        <v>3161</v>
      </c>
      <c r="H5688" s="12">
        <v>2.4578120077400301</v>
      </c>
      <c r="I5688" s="20">
        <v>0.26093350314551</v>
      </c>
      <c r="J5688" s="28">
        <v>0.79414378780213601</v>
      </c>
      <c r="K5688" s="29">
        <v>0.98289565623980701</v>
      </c>
    </row>
    <row r="5689" spans="1:11" x14ac:dyDescent="0.35">
      <c r="A5689" s="9" t="str">
        <f>HYPERLINK("http://www.ensembl.org/id/WBGene00048790", "WBGene00048790")</f>
        <v>WBGene00048790</v>
      </c>
      <c r="B5689" s="9"/>
      <c r="C5689" s="9"/>
      <c r="D5689" t="str">
        <f>"21ur-5142"</f>
        <v>21ur-5142</v>
      </c>
      <c r="F5689" t="s">
        <v>3161</v>
      </c>
      <c r="H5689" s="12">
        <v>3.5227018545059199</v>
      </c>
      <c r="I5689" s="20">
        <v>0.36849691206929103</v>
      </c>
      <c r="J5689" s="28">
        <v>0.71250274722433404</v>
      </c>
      <c r="K5689" s="29">
        <v>0.98289565623980701</v>
      </c>
    </row>
    <row r="5690" spans="1:11" x14ac:dyDescent="0.35">
      <c r="A5690" s="9" t="str">
        <f>HYPERLINK("http://www.ensembl.org/id/WBGene00049556", "WBGene00049556")</f>
        <v>WBGene00049556</v>
      </c>
      <c r="B5690" s="9"/>
      <c r="C5690" s="9"/>
      <c r="D5690" t="str">
        <f>"21ur-5151"</f>
        <v>21ur-5151</v>
      </c>
      <c r="F5690" t="s">
        <v>3161</v>
      </c>
      <c r="H5690" s="12">
        <v>2.3893468495514898</v>
      </c>
      <c r="I5690" s="20">
        <v>0.25323547253672701</v>
      </c>
      <c r="J5690" s="28">
        <v>0.80008625651646104</v>
      </c>
      <c r="K5690" s="29">
        <v>0.98289565623980701</v>
      </c>
    </row>
    <row r="5691" spans="1:11" x14ac:dyDescent="0.35">
      <c r="A5691" s="9" t="str">
        <f>HYPERLINK("http://www.ensembl.org/id/WBGene00046530", "WBGene00046530")</f>
        <v>WBGene00046530</v>
      </c>
      <c r="B5691" s="9"/>
      <c r="C5691" s="9"/>
      <c r="D5691" t="str">
        <f>"21ur-5175"</f>
        <v>21ur-5175</v>
      </c>
      <c r="F5691" t="s">
        <v>3161</v>
      </c>
      <c r="H5691" s="12">
        <v>5.2322000618327396</v>
      </c>
      <c r="I5691" s="20">
        <v>0.486112489888328</v>
      </c>
      <c r="J5691" s="28">
        <v>0.62688741196182496</v>
      </c>
      <c r="K5691" s="29">
        <v>0.98289565623980701</v>
      </c>
    </row>
    <row r="5692" spans="1:11" x14ac:dyDescent="0.35">
      <c r="A5692" s="9" t="str">
        <f>HYPERLINK("http://www.ensembl.org/id/WBGene00047238", "WBGene00047238")</f>
        <v>WBGene00047238</v>
      </c>
      <c r="B5692" s="9"/>
      <c r="C5692" s="9"/>
      <c r="D5692" t="str">
        <f>"21ur-5206"</f>
        <v>21ur-5206</v>
      </c>
      <c r="F5692" t="s">
        <v>3161</v>
      </c>
      <c r="H5692" s="12">
        <v>-2.4991590031922399</v>
      </c>
      <c r="I5692" s="20">
        <v>-0.26577412737581302</v>
      </c>
      <c r="J5692" s="28">
        <v>0.79041317015736101</v>
      </c>
      <c r="K5692" s="29">
        <v>0.98289565623980701</v>
      </c>
    </row>
    <row r="5693" spans="1:11" x14ac:dyDescent="0.35">
      <c r="A5693" s="9" t="str">
        <f>HYPERLINK("http://www.ensembl.org/id/WBGene00045921", "WBGene00045921")</f>
        <v>WBGene00045921</v>
      </c>
      <c r="B5693" s="9"/>
      <c r="C5693" s="9"/>
      <c r="D5693" t="str">
        <f>"21ur-5228"</f>
        <v>21ur-5228</v>
      </c>
      <c r="F5693" t="s">
        <v>3161</v>
      </c>
      <c r="H5693" s="12">
        <v>2.3893468495514898</v>
      </c>
      <c r="I5693" s="20">
        <v>0.25323547253672701</v>
      </c>
      <c r="J5693" s="28">
        <v>0.80008625651646104</v>
      </c>
      <c r="K5693" s="29">
        <v>0.98289565623980701</v>
      </c>
    </row>
    <row r="5694" spans="1:11" x14ac:dyDescent="0.35">
      <c r="A5694" s="9" t="str">
        <f>HYPERLINK("http://www.ensembl.org/id/WBGene00046806", "WBGene00046806")</f>
        <v>WBGene00046806</v>
      </c>
      <c r="B5694" s="9"/>
      <c r="C5694" s="9"/>
      <c r="D5694" t="str">
        <f>"21ur-526"</f>
        <v>21ur-526</v>
      </c>
      <c r="F5694" t="s">
        <v>3161</v>
      </c>
      <c r="H5694" s="12">
        <v>-2.4991590031922399</v>
      </c>
      <c r="I5694" s="20">
        <v>-0.26577412737581302</v>
      </c>
      <c r="J5694" s="28">
        <v>0.79041317015736101</v>
      </c>
      <c r="K5694" s="29">
        <v>0.98289565623980701</v>
      </c>
    </row>
    <row r="5695" spans="1:11" x14ac:dyDescent="0.35">
      <c r="A5695" s="9" t="str">
        <f>HYPERLINK("http://www.ensembl.org/id/WBGene00047901", "WBGene00047901")</f>
        <v>WBGene00047901</v>
      </c>
      <c r="B5695" s="9"/>
      <c r="C5695" s="9"/>
      <c r="D5695" t="str">
        <f>"21ur-5284"</f>
        <v>21ur-5284</v>
      </c>
      <c r="F5695" t="s">
        <v>3161</v>
      </c>
      <c r="H5695" s="12">
        <v>2.3893468495514898</v>
      </c>
      <c r="I5695" s="20">
        <v>0.25323547253672701</v>
      </c>
      <c r="J5695" s="28">
        <v>0.80008625651646104</v>
      </c>
      <c r="K5695" s="29">
        <v>0.98289565623980701</v>
      </c>
    </row>
    <row r="5696" spans="1:11" x14ac:dyDescent="0.35">
      <c r="A5696" s="9" t="str">
        <f>HYPERLINK("http://www.ensembl.org/id/WBGene00050590", "WBGene00050590")</f>
        <v>WBGene00050590</v>
      </c>
      <c r="B5696" s="9"/>
      <c r="C5696" s="9"/>
      <c r="D5696" t="str">
        <f>"21ur-5285"</f>
        <v>21ur-5285</v>
      </c>
      <c r="F5696" t="s">
        <v>3161</v>
      </c>
      <c r="H5696" s="12">
        <v>3.6645215954135</v>
      </c>
      <c r="I5696" s="20">
        <v>0.37967131826092498</v>
      </c>
      <c r="J5696" s="28">
        <v>0.70418941338960395</v>
      </c>
      <c r="K5696" s="29">
        <v>0.98289565623980701</v>
      </c>
    </row>
    <row r="5697" spans="1:11" x14ac:dyDescent="0.35">
      <c r="A5697" s="9" t="str">
        <f>HYPERLINK("http://www.ensembl.org/id/WBGene00047808", "WBGene00047808")</f>
        <v>WBGene00047808</v>
      </c>
      <c r="B5697" s="9"/>
      <c r="C5697" s="9"/>
      <c r="D5697" t="str">
        <f>"21ur-5315"</f>
        <v>21ur-5315</v>
      </c>
      <c r="F5697" t="s">
        <v>3161</v>
      </c>
      <c r="H5697" s="12">
        <v>3.6645215954135</v>
      </c>
      <c r="I5697" s="20">
        <v>0.37967131826092498</v>
      </c>
      <c r="J5697" s="28">
        <v>0.70418941338960395</v>
      </c>
      <c r="K5697" s="29">
        <v>0.98289565623980701</v>
      </c>
    </row>
    <row r="5698" spans="1:11" x14ac:dyDescent="0.35">
      <c r="A5698" s="9" t="str">
        <f>HYPERLINK("http://www.ensembl.org/id/WBGene00050208", "WBGene00050208")</f>
        <v>WBGene00050208</v>
      </c>
      <c r="B5698" s="9"/>
      <c r="C5698" s="9"/>
      <c r="D5698" t="str">
        <f>"21ur-5319"</f>
        <v>21ur-5319</v>
      </c>
      <c r="F5698" t="s">
        <v>3161</v>
      </c>
      <c r="H5698" s="12">
        <v>13.4058627948307</v>
      </c>
      <c r="I5698" s="20">
        <v>0.82251412515369104</v>
      </c>
      <c r="J5698" s="28">
        <v>0.41078435087257997</v>
      </c>
      <c r="K5698" s="29">
        <v>0.98289565623980701</v>
      </c>
    </row>
    <row r="5699" spans="1:11" x14ac:dyDescent="0.35">
      <c r="A5699" s="9" t="str">
        <f>HYPERLINK("http://www.ensembl.org/id/WBGene00050148", "WBGene00050148")</f>
        <v>WBGene00050148</v>
      </c>
      <c r="B5699" s="9"/>
      <c r="C5699" s="9"/>
      <c r="D5699" t="str">
        <f>"21ur-5321"</f>
        <v>21ur-5321</v>
      </c>
      <c r="F5699" t="s">
        <v>3161</v>
      </c>
      <c r="H5699" s="12">
        <v>2.4578120077400301</v>
      </c>
      <c r="I5699" s="20">
        <v>0.26093350314551</v>
      </c>
      <c r="J5699" s="28">
        <v>0.79414378780213601</v>
      </c>
      <c r="K5699" s="29">
        <v>0.98289565623980701</v>
      </c>
    </row>
    <row r="5700" spans="1:11" x14ac:dyDescent="0.35">
      <c r="A5700" s="9" t="str">
        <f>HYPERLINK("http://www.ensembl.org/id/WBGene00048238", "WBGene00048238")</f>
        <v>WBGene00048238</v>
      </c>
      <c r="B5700" s="9"/>
      <c r="C5700" s="9"/>
      <c r="D5700" t="str">
        <f>"21ur-5327"</f>
        <v>21ur-5327</v>
      </c>
      <c r="F5700" t="s">
        <v>3161</v>
      </c>
      <c r="H5700" s="12">
        <v>2.3023301924467101</v>
      </c>
      <c r="I5700" s="20">
        <v>0.26674601818072902</v>
      </c>
      <c r="J5700" s="28">
        <v>0.78966471981773201</v>
      </c>
      <c r="K5700" s="29">
        <v>0.98289565623980701</v>
      </c>
    </row>
    <row r="5701" spans="1:11" x14ac:dyDescent="0.35">
      <c r="A5701" s="9" t="str">
        <f>HYPERLINK("http://www.ensembl.org/id/WBGene00045684", "WBGene00045684")</f>
        <v>WBGene00045684</v>
      </c>
      <c r="B5701" s="9"/>
      <c r="C5701" s="9"/>
      <c r="D5701" t="str">
        <f>"21ur-5385"</f>
        <v>21ur-5385</v>
      </c>
      <c r="F5701" t="s">
        <v>3161</v>
      </c>
      <c r="H5701" s="12">
        <v>3.6645215954135</v>
      </c>
      <c r="I5701" s="20">
        <v>0.37967131826092498</v>
      </c>
      <c r="J5701" s="28">
        <v>0.70418941338960395</v>
      </c>
      <c r="K5701" s="29">
        <v>0.98289565623980701</v>
      </c>
    </row>
    <row r="5702" spans="1:11" x14ac:dyDescent="0.35">
      <c r="A5702" s="9" t="str">
        <f>HYPERLINK("http://www.ensembl.org/id/WBGene00049071", "WBGene00049071")</f>
        <v>WBGene00049071</v>
      </c>
      <c r="B5702" s="9"/>
      <c r="C5702" s="9"/>
      <c r="D5702" t="str">
        <f>"21ur-5407"</f>
        <v>21ur-5407</v>
      </c>
      <c r="F5702" t="s">
        <v>3161</v>
      </c>
      <c r="H5702" s="12">
        <v>2.4578120077400301</v>
      </c>
      <c r="I5702" s="20">
        <v>0.26093350314551</v>
      </c>
      <c r="J5702" s="28">
        <v>0.79414378780213601</v>
      </c>
      <c r="K5702" s="29">
        <v>0.98289565623980701</v>
      </c>
    </row>
    <row r="5703" spans="1:11" x14ac:dyDescent="0.35">
      <c r="A5703" s="9" t="str">
        <f>HYPERLINK("http://www.ensembl.org/id/WBGene00048458", "WBGene00048458")</f>
        <v>WBGene00048458</v>
      </c>
      <c r="B5703" s="9"/>
      <c r="C5703" s="9"/>
      <c r="D5703" t="str">
        <f>"21ur-5418"</f>
        <v>21ur-5418</v>
      </c>
      <c r="F5703" t="s">
        <v>3161</v>
      </c>
      <c r="H5703" s="12">
        <v>-2.4991590031922399</v>
      </c>
      <c r="I5703" s="20">
        <v>-0.26577412737581302</v>
      </c>
      <c r="J5703" s="28">
        <v>0.79041317015736101</v>
      </c>
      <c r="K5703" s="29">
        <v>0.98289565623980701</v>
      </c>
    </row>
    <row r="5704" spans="1:11" x14ac:dyDescent="0.35">
      <c r="A5704" s="9" t="str">
        <f>HYPERLINK("http://www.ensembl.org/id/WBGene00045590", "WBGene00045590")</f>
        <v>WBGene00045590</v>
      </c>
      <c r="B5704" s="9"/>
      <c r="C5704" s="9"/>
      <c r="D5704" t="str">
        <f>"21ur-5440"</f>
        <v>21ur-5440</v>
      </c>
      <c r="F5704" t="s">
        <v>3161</v>
      </c>
      <c r="H5704" s="12">
        <v>3.5227018545059199</v>
      </c>
      <c r="I5704" s="20">
        <v>0.36849691206929103</v>
      </c>
      <c r="J5704" s="28">
        <v>0.71250274722433404</v>
      </c>
      <c r="K5704" s="29">
        <v>0.98289565623980701</v>
      </c>
    </row>
    <row r="5705" spans="1:11" x14ac:dyDescent="0.35">
      <c r="A5705" s="9" t="str">
        <f>HYPERLINK("http://www.ensembl.org/id/WBGene00168905", "WBGene00168905")</f>
        <v>WBGene00168905</v>
      </c>
      <c r="B5705" s="9"/>
      <c r="C5705" s="9"/>
      <c r="D5705" t="str">
        <f>"21ur-5573"</f>
        <v>21ur-5573</v>
      </c>
      <c r="F5705" t="s">
        <v>3161</v>
      </c>
      <c r="H5705" s="12">
        <v>4.6387698961716399</v>
      </c>
      <c r="I5705" s="20">
        <v>0.44985450087338802</v>
      </c>
      <c r="J5705" s="28">
        <v>0.65281535672642099</v>
      </c>
      <c r="K5705" s="29">
        <v>0.98289565623980701</v>
      </c>
    </row>
    <row r="5706" spans="1:11" x14ac:dyDescent="0.35">
      <c r="A5706" s="9" t="str">
        <f>HYPERLINK("http://www.ensembl.org/id/WBGene00165728", "WBGene00165728")</f>
        <v>WBGene00165728</v>
      </c>
      <c r="B5706" s="9"/>
      <c r="C5706" s="9"/>
      <c r="D5706" t="str">
        <f>"21ur-5581"</f>
        <v>21ur-5581</v>
      </c>
      <c r="F5706" t="s">
        <v>3161</v>
      </c>
      <c r="H5706" s="12">
        <v>-3.5819448292659501</v>
      </c>
      <c r="I5706" s="20">
        <v>-0.37337717500031398</v>
      </c>
      <c r="J5706" s="28">
        <v>0.70886774492290605</v>
      </c>
      <c r="K5706" s="29">
        <v>0.98289565623980701</v>
      </c>
    </row>
    <row r="5707" spans="1:11" x14ac:dyDescent="0.35">
      <c r="A5707" s="9" t="str">
        <f>HYPERLINK("http://www.ensembl.org/id/WBGene00174100", "WBGene00174100")</f>
        <v>WBGene00174100</v>
      </c>
      <c r="B5707" s="9"/>
      <c r="C5707" s="9"/>
      <c r="D5707" t="str">
        <f>"21ur-5801"</f>
        <v>21ur-5801</v>
      </c>
      <c r="F5707" t="s">
        <v>3161</v>
      </c>
      <c r="H5707" s="12">
        <v>2.3893468495514898</v>
      </c>
      <c r="I5707" s="20">
        <v>0.25323547253672701</v>
      </c>
      <c r="J5707" s="28">
        <v>0.80008625651646104</v>
      </c>
      <c r="K5707" s="29">
        <v>0.98289565623980701</v>
      </c>
    </row>
    <row r="5708" spans="1:11" x14ac:dyDescent="0.35">
      <c r="A5708" s="9" t="str">
        <f>HYPERLINK("http://www.ensembl.org/id/WBGene00172457", "WBGene00172457")</f>
        <v>WBGene00172457</v>
      </c>
      <c r="B5708" s="9"/>
      <c r="C5708" s="9"/>
      <c r="D5708" t="str">
        <f>"21ur-5910"</f>
        <v>21ur-5910</v>
      </c>
      <c r="F5708" t="s">
        <v>3161</v>
      </c>
      <c r="H5708" s="12">
        <v>-13.631801325966601</v>
      </c>
      <c r="I5708" s="20">
        <v>-0.81817789633815496</v>
      </c>
      <c r="J5708" s="28">
        <v>0.41325561456537002</v>
      </c>
      <c r="K5708" s="29">
        <v>0.98289565623980701</v>
      </c>
    </row>
    <row r="5709" spans="1:11" x14ac:dyDescent="0.35">
      <c r="A5709" s="9" t="str">
        <f>HYPERLINK("http://www.ensembl.org/id/WBGene00170634", "WBGene00170634")</f>
        <v>WBGene00170634</v>
      </c>
      <c r="B5709" s="9"/>
      <c r="C5709" s="9"/>
      <c r="D5709" t="str">
        <f>"21ur-5926"</f>
        <v>21ur-5926</v>
      </c>
      <c r="F5709" t="s">
        <v>3161</v>
      </c>
      <c r="H5709" s="12">
        <v>5.4871973923358901</v>
      </c>
      <c r="I5709" s="20">
        <v>0.499843548621418</v>
      </c>
      <c r="J5709" s="28">
        <v>0.61718524397184105</v>
      </c>
      <c r="K5709" s="29">
        <v>0.98289565623980701</v>
      </c>
    </row>
    <row r="5710" spans="1:11" x14ac:dyDescent="0.35">
      <c r="A5710" s="9" t="str">
        <f>HYPERLINK("http://www.ensembl.org/id/WBGene00172928", "WBGene00172928")</f>
        <v>WBGene00172928</v>
      </c>
      <c r="B5710" s="9"/>
      <c r="C5710" s="9"/>
      <c r="D5710" t="str">
        <f>"21ur-5939"</f>
        <v>21ur-5939</v>
      </c>
      <c r="F5710" t="s">
        <v>3161</v>
      </c>
      <c r="H5710" s="12">
        <v>2.4578120077400301</v>
      </c>
      <c r="I5710" s="20">
        <v>0.26093350314551</v>
      </c>
      <c r="J5710" s="28">
        <v>0.79414378780213601</v>
      </c>
      <c r="K5710" s="29">
        <v>0.98289565623980701</v>
      </c>
    </row>
    <row r="5711" spans="1:11" x14ac:dyDescent="0.35">
      <c r="A5711" s="9" t="str">
        <f>HYPERLINK("http://www.ensembl.org/id/WBGene00174821", "WBGene00174821")</f>
        <v>WBGene00174821</v>
      </c>
      <c r="B5711" s="9"/>
      <c r="C5711" s="9"/>
      <c r="D5711" t="str">
        <f>"21ur-5956"</f>
        <v>21ur-5956</v>
      </c>
      <c r="F5711" t="s">
        <v>3161</v>
      </c>
      <c r="H5711" s="12">
        <v>3.5227018545059199</v>
      </c>
      <c r="I5711" s="20">
        <v>0.36849691206929103</v>
      </c>
      <c r="J5711" s="28">
        <v>0.71250274722433404</v>
      </c>
      <c r="K5711" s="29">
        <v>0.98289565623980701</v>
      </c>
    </row>
    <row r="5712" spans="1:11" x14ac:dyDescent="0.35">
      <c r="A5712" s="9" t="str">
        <f>HYPERLINK("http://www.ensembl.org/id/WBGene00173052", "WBGene00173052")</f>
        <v>WBGene00173052</v>
      </c>
      <c r="B5712" s="9"/>
      <c r="C5712" s="9"/>
      <c r="D5712" t="str">
        <f>"21ur-5966"</f>
        <v>21ur-5966</v>
      </c>
      <c r="F5712" t="s">
        <v>3161</v>
      </c>
      <c r="H5712" s="12">
        <v>-2.4295389261469</v>
      </c>
      <c r="I5712" s="20">
        <v>-0.25808529976640998</v>
      </c>
      <c r="J5712" s="28">
        <v>0.79634107645457397</v>
      </c>
      <c r="K5712" s="29">
        <v>0.98289565623980701</v>
      </c>
    </row>
    <row r="5713" spans="1:11" x14ac:dyDescent="0.35">
      <c r="A5713" s="9" t="str">
        <f>HYPERLINK("http://www.ensembl.org/id/WBGene00167469", "WBGene00167469")</f>
        <v>WBGene00167469</v>
      </c>
      <c r="B5713" s="9"/>
      <c r="C5713" s="9"/>
      <c r="D5713" t="str">
        <f>"21ur-5985"</f>
        <v>21ur-5985</v>
      </c>
      <c r="F5713" t="s">
        <v>3161</v>
      </c>
      <c r="H5713" s="12">
        <v>2.3893468495514898</v>
      </c>
      <c r="I5713" s="20">
        <v>0.25323547253672701</v>
      </c>
      <c r="J5713" s="28">
        <v>0.80008625651646104</v>
      </c>
      <c r="K5713" s="29">
        <v>0.98289565623980701</v>
      </c>
    </row>
    <row r="5714" spans="1:11" x14ac:dyDescent="0.35">
      <c r="A5714" s="9" t="str">
        <f>HYPERLINK("http://www.ensembl.org/id/WBGene00167665", "WBGene00167665")</f>
        <v>WBGene00167665</v>
      </c>
      <c r="B5714" s="9"/>
      <c r="C5714" s="9"/>
      <c r="D5714" t="str">
        <f>"21ur-6004"</f>
        <v>21ur-6004</v>
      </c>
      <c r="F5714" t="s">
        <v>3161</v>
      </c>
      <c r="H5714" s="12">
        <v>-2.4295389261469</v>
      </c>
      <c r="I5714" s="20">
        <v>-0.25808529976640998</v>
      </c>
      <c r="J5714" s="28">
        <v>0.79634107645457397</v>
      </c>
      <c r="K5714" s="29">
        <v>0.98289565623980701</v>
      </c>
    </row>
    <row r="5715" spans="1:11" x14ac:dyDescent="0.35">
      <c r="A5715" s="9" t="str">
        <f>HYPERLINK("http://www.ensembl.org/id/WBGene00172749", "WBGene00172749")</f>
        <v>WBGene00172749</v>
      </c>
      <c r="B5715" s="9"/>
      <c r="C5715" s="9"/>
      <c r="D5715" t="str">
        <f>"21ur-6051"</f>
        <v>21ur-6051</v>
      </c>
      <c r="F5715" t="s">
        <v>3161</v>
      </c>
      <c r="H5715" s="12">
        <v>2.4578120077400301</v>
      </c>
      <c r="I5715" s="20">
        <v>0.26093350314551</v>
      </c>
      <c r="J5715" s="28">
        <v>0.79414378780213601</v>
      </c>
      <c r="K5715" s="29">
        <v>0.98289565623980701</v>
      </c>
    </row>
    <row r="5716" spans="1:11" x14ac:dyDescent="0.35">
      <c r="A5716" s="9" t="str">
        <f>HYPERLINK("http://www.ensembl.org/id/WBGene00167607", "WBGene00167607")</f>
        <v>WBGene00167607</v>
      </c>
      <c r="B5716" s="9"/>
      <c r="C5716" s="9"/>
      <c r="D5716" t="str">
        <f>"21ur-6071"</f>
        <v>21ur-6071</v>
      </c>
      <c r="F5716" t="s">
        <v>3161</v>
      </c>
      <c r="H5716" s="12">
        <v>-2.4991590031922399</v>
      </c>
      <c r="I5716" s="20">
        <v>-0.26577412737581302</v>
      </c>
      <c r="J5716" s="28">
        <v>0.79041317015736101</v>
      </c>
      <c r="K5716" s="29">
        <v>0.98289565623980701</v>
      </c>
    </row>
    <row r="5717" spans="1:11" x14ac:dyDescent="0.35">
      <c r="A5717" s="9" t="str">
        <f>HYPERLINK("http://www.ensembl.org/id/WBGene00165545", "WBGene00165545")</f>
        <v>WBGene00165545</v>
      </c>
      <c r="B5717" s="9"/>
      <c r="C5717" s="9"/>
      <c r="D5717" t="str">
        <f>"21ur-6087"</f>
        <v>21ur-6087</v>
      </c>
      <c r="F5717" t="s">
        <v>3161</v>
      </c>
      <c r="H5717" s="12">
        <v>2.4578120077400301</v>
      </c>
      <c r="I5717" s="20">
        <v>0.26093350314551</v>
      </c>
      <c r="J5717" s="28">
        <v>0.79414378780213601</v>
      </c>
      <c r="K5717" s="29">
        <v>0.98289565623980701</v>
      </c>
    </row>
    <row r="5718" spans="1:11" x14ac:dyDescent="0.35">
      <c r="A5718" s="9" t="str">
        <f>HYPERLINK("http://www.ensembl.org/id/WBGene00166716", "WBGene00166716")</f>
        <v>WBGene00166716</v>
      </c>
      <c r="B5718" s="9"/>
      <c r="C5718" s="9"/>
      <c r="D5718" t="str">
        <f>"21ur-6118"</f>
        <v>21ur-6118</v>
      </c>
      <c r="F5718" t="s">
        <v>3161</v>
      </c>
      <c r="H5718" s="12">
        <v>2.4578120077400301</v>
      </c>
      <c r="I5718" s="20">
        <v>0.26093350314551</v>
      </c>
      <c r="J5718" s="28">
        <v>0.79414378780213601</v>
      </c>
      <c r="K5718" s="29">
        <v>0.98289565623980701</v>
      </c>
    </row>
    <row r="5719" spans="1:11" x14ac:dyDescent="0.35">
      <c r="A5719" s="9" t="str">
        <f>HYPERLINK("http://www.ensembl.org/id/WBGene00165355", "WBGene00165355")</f>
        <v>WBGene00165355</v>
      </c>
      <c r="B5719" s="9"/>
      <c r="C5719" s="9"/>
      <c r="D5719" t="str">
        <f>"21ur-6124"</f>
        <v>21ur-6124</v>
      </c>
      <c r="F5719" t="s">
        <v>3161</v>
      </c>
      <c r="H5719" s="12">
        <v>2.3893468495514898</v>
      </c>
      <c r="I5719" s="20">
        <v>0.25323547253672701</v>
      </c>
      <c r="J5719" s="28">
        <v>0.80008625651646104</v>
      </c>
      <c r="K5719" s="29">
        <v>0.98289565623980701</v>
      </c>
    </row>
    <row r="5720" spans="1:11" x14ac:dyDescent="0.35">
      <c r="A5720" s="9" t="str">
        <f>HYPERLINK("http://www.ensembl.org/id/WBGene00171807", "WBGene00171807")</f>
        <v>WBGene00171807</v>
      </c>
      <c r="B5720" s="9"/>
      <c r="C5720" s="9"/>
      <c r="D5720" t="str">
        <f>"21ur-6127"</f>
        <v>21ur-6127</v>
      </c>
      <c r="F5720" t="s">
        <v>3161</v>
      </c>
      <c r="H5720" s="12">
        <v>3.28624938312884</v>
      </c>
      <c r="I5720" s="20">
        <v>0.36379512681977599</v>
      </c>
      <c r="J5720" s="28">
        <v>0.716011001908614</v>
      </c>
      <c r="K5720" s="29">
        <v>0.98289565623980701</v>
      </c>
    </row>
    <row r="5721" spans="1:11" x14ac:dyDescent="0.35">
      <c r="A5721" s="9" t="str">
        <f>HYPERLINK("http://www.ensembl.org/id/WBGene00167069", "WBGene00167069")</f>
        <v>WBGene00167069</v>
      </c>
      <c r="B5721" s="9"/>
      <c r="C5721" s="9"/>
      <c r="D5721" t="str">
        <f>"21ur-6181"</f>
        <v>21ur-6181</v>
      </c>
      <c r="F5721" t="s">
        <v>3161</v>
      </c>
      <c r="H5721" s="12">
        <v>2.3893468495514898</v>
      </c>
      <c r="I5721" s="20">
        <v>0.25323547253672701</v>
      </c>
      <c r="J5721" s="28">
        <v>0.80008625651646104</v>
      </c>
      <c r="K5721" s="29">
        <v>0.98289565623980701</v>
      </c>
    </row>
    <row r="5722" spans="1:11" x14ac:dyDescent="0.35">
      <c r="A5722" s="9" t="str">
        <f>HYPERLINK("http://www.ensembl.org/id/WBGene00173159", "WBGene00173159")</f>
        <v>WBGene00173159</v>
      </c>
      <c r="B5722" s="9"/>
      <c r="C5722" s="9"/>
      <c r="D5722" t="str">
        <f>"21ur-6194"</f>
        <v>21ur-6194</v>
      </c>
      <c r="F5722" t="s">
        <v>3161</v>
      </c>
      <c r="H5722" s="12">
        <v>-2.4772140472330402</v>
      </c>
      <c r="I5722" s="20">
        <v>-0.26891282500069902</v>
      </c>
      <c r="J5722" s="28">
        <v>0.78799676746418601</v>
      </c>
      <c r="K5722" s="29">
        <v>0.98289565623980701</v>
      </c>
    </row>
    <row r="5723" spans="1:11" x14ac:dyDescent="0.35">
      <c r="A5723" s="9" t="str">
        <f>HYPERLINK("http://www.ensembl.org/id/WBGene00169425", "WBGene00169425")</f>
        <v>WBGene00169425</v>
      </c>
      <c r="B5723" s="9"/>
      <c r="C5723" s="9"/>
      <c r="D5723" t="str">
        <f>"21ur-6215"</f>
        <v>21ur-6215</v>
      </c>
      <c r="F5723" t="s">
        <v>3161</v>
      </c>
      <c r="H5723" s="12">
        <v>3.5227018545059199</v>
      </c>
      <c r="I5723" s="20">
        <v>0.36849691206929103</v>
      </c>
      <c r="J5723" s="28">
        <v>0.71250274722433404</v>
      </c>
      <c r="K5723" s="29">
        <v>0.98289565623980701</v>
      </c>
    </row>
    <row r="5724" spans="1:11" x14ac:dyDescent="0.35">
      <c r="A5724" s="9" t="str">
        <f>HYPERLINK("http://www.ensembl.org/id/WBGene00165347", "WBGene00165347")</f>
        <v>WBGene00165347</v>
      </c>
      <c r="B5724" s="9"/>
      <c r="C5724" s="9"/>
      <c r="D5724" t="str">
        <f>"21ur-6287"</f>
        <v>21ur-6287</v>
      </c>
      <c r="F5724" t="s">
        <v>3161</v>
      </c>
      <c r="H5724" s="12">
        <v>-1.6396343811801499</v>
      </c>
      <c r="I5724" s="20">
        <v>-0.26283382870156302</v>
      </c>
      <c r="J5724" s="28">
        <v>0.79267866040857105</v>
      </c>
      <c r="K5724" s="29">
        <v>0.98289565623980701</v>
      </c>
    </row>
    <row r="5725" spans="1:11" x14ac:dyDescent="0.35">
      <c r="A5725" s="9" t="str">
        <f>HYPERLINK("http://www.ensembl.org/id/WBGene00169832", "WBGene00169832")</f>
        <v>WBGene00169832</v>
      </c>
      <c r="B5725" s="9"/>
      <c r="C5725" s="9"/>
      <c r="D5725" t="str">
        <f>"21ur-6290"</f>
        <v>21ur-6290</v>
      </c>
      <c r="F5725" t="s">
        <v>3161</v>
      </c>
      <c r="H5725" s="12">
        <v>2.4578120077400301</v>
      </c>
      <c r="I5725" s="20">
        <v>0.26093350314551</v>
      </c>
      <c r="J5725" s="28">
        <v>0.79414378780213601</v>
      </c>
      <c r="K5725" s="29">
        <v>0.98289565623980701</v>
      </c>
    </row>
    <row r="5726" spans="1:11" x14ac:dyDescent="0.35">
      <c r="A5726" s="9" t="str">
        <f>HYPERLINK("http://www.ensembl.org/id/WBGene00166886", "WBGene00166886")</f>
        <v>WBGene00166886</v>
      </c>
      <c r="B5726" s="9"/>
      <c r="C5726" s="9"/>
      <c r="D5726" t="str">
        <f>"21ur-6310"</f>
        <v>21ur-6310</v>
      </c>
      <c r="F5726" t="s">
        <v>3161</v>
      </c>
      <c r="H5726" s="12">
        <v>2.4578120077400301</v>
      </c>
      <c r="I5726" s="20">
        <v>0.26093350314551</v>
      </c>
      <c r="J5726" s="28">
        <v>0.79414378780213601</v>
      </c>
      <c r="K5726" s="29">
        <v>0.98289565623980701</v>
      </c>
    </row>
    <row r="5727" spans="1:11" x14ac:dyDescent="0.35">
      <c r="A5727" s="9" t="str">
        <f>HYPERLINK("http://www.ensembl.org/id/WBGene00170580", "WBGene00170580")</f>
        <v>WBGene00170580</v>
      </c>
      <c r="B5727" s="9"/>
      <c r="C5727" s="9"/>
      <c r="D5727" t="str">
        <f>"21ur-6311"</f>
        <v>21ur-6311</v>
      </c>
      <c r="F5727" t="s">
        <v>3161</v>
      </c>
      <c r="H5727" s="12">
        <v>-4.7167679298615104</v>
      </c>
      <c r="I5727" s="20">
        <v>-0.454742638005115</v>
      </c>
      <c r="J5727" s="28">
        <v>0.64929440216969203</v>
      </c>
      <c r="K5727" s="29">
        <v>0.98289565623980701</v>
      </c>
    </row>
    <row r="5728" spans="1:11" x14ac:dyDescent="0.35">
      <c r="A5728" s="9" t="str">
        <f>HYPERLINK("http://www.ensembl.org/id/WBGene00050629", "WBGene00050629")</f>
        <v>WBGene00050629</v>
      </c>
      <c r="B5728" s="9"/>
      <c r="C5728" s="9"/>
      <c r="D5728" t="str">
        <f>"21ur-632"</f>
        <v>21ur-632</v>
      </c>
      <c r="F5728" t="s">
        <v>3161</v>
      </c>
      <c r="H5728" s="12">
        <v>-3.7261494131482999</v>
      </c>
      <c r="I5728" s="20">
        <v>-0.38454673129429601</v>
      </c>
      <c r="J5728" s="28">
        <v>0.70057326682554</v>
      </c>
      <c r="K5728" s="29">
        <v>0.98289565623980701</v>
      </c>
    </row>
    <row r="5729" spans="1:11" x14ac:dyDescent="0.35">
      <c r="A5729" s="9" t="str">
        <f>HYPERLINK("http://www.ensembl.org/id/WBGene00171364", "WBGene00171364")</f>
        <v>WBGene00171364</v>
      </c>
      <c r="B5729" s="9"/>
      <c r="C5729" s="9"/>
      <c r="D5729" t="str">
        <f>"21ur-6358"</f>
        <v>21ur-6358</v>
      </c>
      <c r="F5729" t="s">
        <v>3161</v>
      </c>
      <c r="H5729" s="12">
        <v>2.3893468495514898</v>
      </c>
      <c r="I5729" s="20">
        <v>0.25323547253672701</v>
      </c>
      <c r="J5729" s="28">
        <v>0.80008625651646104</v>
      </c>
      <c r="K5729" s="29">
        <v>0.98289565623980701</v>
      </c>
    </row>
    <row r="5730" spans="1:11" x14ac:dyDescent="0.35">
      <c r="A5730" s="9" t="str">
        <f>HYPERLINK("http://www.ensembl.org/id/WBGene00169006", "WBGene00169006")</f>
        <v>WBGene00169006</v>
      </c>
      <c r="B5730" s="9"/>
      <c r="C5730" s="9"/>
      <c r="D5730" t="str">
        <f>"21ur-6372"</f>
        <v>21ur-6372</v>
      </c>
      <c r="F5730" t="s">
        <v>3161</v>
      </c>
      <c r="H5730" s="12">
        <v>-1.41868498631</v>
      </c>
      <c r="I5730" s="20">
        <v>-0.28365640044769103</v>
      </c>
      <c r="J5730" s="28">
        <v>0.77667371019707998</v>
      </c>
      <c r="K5730" s="29">
        <v>0.98289565623980701</v>
      </c>
    </row>
    <row r="5731" spans="1:11" x14ac:dyDescent="0.35">
      <c r="A5731" s="9" t="str">
        <f>HYPERLINK("http://www.ensembl.org/id/WBGene00170837", "WBGene00170837")</f>
        <v>WBGene00170837</v>
      </c>
      <c r="B5731" s="9"/>
      <c r="C5731" s="9"/>
      <c r="D5731" t="str">
        <f>"21ur-6379"</f>
        <v>21ur-6379</v>
      </c>
      <c r="F5731" t="s">
        <v>3161</v>
      </c>
      <c r="H5731" s="12">
        <v>3.5227018545059199</v>
      </c>
      <c r="I5731" s="20">
        <v>0.36849691206929103</v>
      </c>
      <c r="J5731" s="28">
        <v>0.71250274722433404</v>
      </c>
      <c r="K5731" s="29">
        <v>0.98289565623980701</v>
      </c>
    </row>
    <row r="5732" spans="1:11" x14ac:dyDescent="0.35">
      <c r="A5732" s="9" t="str">
        <f>HYPERLINK("http://www.ensembl.org/id/WBGene00047405", "WBGene00047405")</f>
        <v>WBGene00047405</v>
      </c>
      <c r="B5732" s="9"/>
      <c r="C5732" s="9"/>
      <c r="D5732" t="str">
        <f>"21ur-639"</f>
        <v>21ur-639</v>
      </c>
      <c r="F5732" t="s">
        <v>3161</v>
      </c>
      <c r="H5732" s="12">
        <v>7.8691597089380902</v>
      </c>
      <c r="I5732" s="20">
        <v>0.61251365190975104</v>
      </c>
      <c r="J5732" s="28">
        <v>0.54019796842331003</v>
      </c>
      <c r="K5732" s="29">
        <v>0.98289565623980701</v>
      </c>
    </row>
    <row r="5733" spans="1:11" x14ac:dyDescent="0.35">
      <c r="A5733" s="9" t="str">
        <f>HYPERLINK("http://www.ensembl.org/id/WBGene00174551", "WBGene00174551")</f>
        <v>WBGene00174551</v>
      </c>
      <c r="B5733" s="9"/>
      <c r="C5733" s="9"/>
      <c r="D5733" t="str">
        <f>"21ur-6420"</f>
        <v>21ur-6420</v>
      </c>
      <c r="F5733" t="s">
        <v>3161</v>
      </c>
      <c r="H5733" s="12">
        <v>-2.4991590031922399</v>
      </c>
      <c r="I5733" s="20">
        <v>-0.26577412737581302</v>
      </c>
      <c r="J5733" s="28">
        <v>0.79041317015736101</v>
      </c>
      <c r="K5733" s="29">
        <v>0.98289565623980701</v>
      </c>
    </row>
    <row r="5734" spans="1:11" x14ac:dyDescent="0.35">
      <c r="A5734" s="9" t="str">
        <f>HYPERLINK("http://www.ensembl.org/id/WBGene00169726", "WBGene00169726")</f>
        <v>WBGene00169726</v>
      </c>
      <c r="B5734" s="9"/>
      <c r="C5734" s="9"/>
      <c r="D5734" t="str">
        <f>"21ur-6428"</f>
        <v>21ur-6428</v>
      </c>
      <c r="F5734" t="s">
        <v>3161</v>
      </c>
      <c r="H5734" s="12">
        <v>-2.4295389261469</v>
      </c>
      <c r="I5734" s="20">
        <v>-0.25808529976640998</v>
      </c>
      <c r="J5734" s="28">
        <v>0.79634107645457397</v>
      </c>
      <c r="K5734" s="29">
        <v>0.98289565623980701</v>
      </c>
    </row>
    <row r="5735" spans="1:11" x14ac:dyDescent="0.35">
      <c r="A5735" s="9" t="str">
        <f>HYPERLINK("http://www.ensembl.org/id/WBGene00174040", "WBGene00174040")</f>
        <v>WBGene00174040</v>
      </c>
      <c r="B5735" s="9"/>
      <c r="C5735" s="9"/>
      <c r="D5735" t="str">
        <f>"21ur-6448"</f>
        <v>21ur-6448</v>
      </c>
      <c r="F5735" t="s">
        <v>3161</v>
      </c>
      <c r="H5735" s="12">
        <v>2.4578120077400301</v>
      </c>
      <c r="I5735" s="20">
        <v>0.26093350314551</v>
      </c>
      <c r="J5735" s="28">
        <v>0.79414378780213601</v>
      </c>
      <c r="K5735" s="29">
        <v>0.98289565623980701</v>
      </c>
    </row>
    <row r="5736" spans="1:11" x14ac:dyDescent="0.35">
      <c r="A5736" s="9" t="str">
        <f>HYPERLINK("http://www.ensembl.org/id/WBGene00166938", "WBGene00166938")</f>
        <v>WBGene00166938</v>
      </c>
      <c r="B5736" s="9"/>
      <c r="C5736" s="9"/>
      <c r="D5736" t="str">
        <f>"21ur-6459"</f>
        <v>21ur-6459</v>
      </c>
      <c r="F5736" t="s">
        <v>3161</v>
      </c>
      <c r="H5736" s="12">
        <v>-2.4991590031922399</v>
      </c>
      <c r="I5736" s="20">
        <v>-0.26577412737581302</v>
      </c>
      <c r="J5736" s="28">
        <v>0.79041317015736101</v>
      </c>
      <c r="K5736" s="29">
        <v>0.98289565623980701</v>
      </c>
    </row>
    <row r="5737" spans="1:11" x14ac:dyDescent="0.35">
      <c r="A5737" s="9" t="str">
        <f>HYPERLINK("http://www.ensembl.org/id/WBGene00166100", "WBGene00166100")</f>
        <v>WBGene00166100</v>
      </c>
      <c r="B5737" s="9"/>
      <c r="C5737" s="9"/>
      <c r="D5737" t="str">
        <f>"21ur-6496"</f>
        <v>21ur-6496</v>
      </c>
      <c r="F5737" t="s">
        <v>3161</v>
      </c>
      <c r="H5737" s="12">
        <v>-5.4967879193631202</v>
      </c>
      <c r="I5737" s="20">
        <v>-0.50254160819837501</v>
      </c>
      <c r="J5737" s="28">
        <v>0.61528659178453604</v>
      </c>
      <c r="K5737" s="29">
        <v>0.98289565623980701</v>
      </c>
    </row>
    <row r="5738" spans="1:11" x14ac:dyDescent="0.35">
      <c r="A5738" s="9" t="str">
        <f>HYPERLINK("http://www.ensembl.org/id/WBGene00166596", "WBGene00166596")</f>
        <v>WBGene00166596</v>
      </c>
      <c r="B5738" s="9"/>
      <c r="C5738" s="9"/>
      <c r="D5738" t="str">
        <f>"21ur-6539"</f>
        <v>21ur-6539</v>
      </c>
      <c r="F5738" t="s">
        <v>3161</v>
      </c>
      <c r="H5738" s="12">
        <v>9.5215001458148301</v>
      </c>
      <c r="I5738" s="20">
        <v>0.67036031720767997</v>
      </c>
      <c r="J5738" s="28">
        <v>0.50262812496729803</v>
      </c>
      <c r="K5738" s="29">
        <v>0.98289565623980701</v>
      </c>
    </row>
    <row r="5739" spans="1:11" x14ac:dyDescent="0.35">
      <c r="A5739" s="9" t="str">
        <f>HYPERLINK("http://www.ensembl.org/id/WBGene00172453", "WBGene00172453")</f>
        <v>WBGene00172453</v>
      </c>
      <c r="B5739" s="9"/>
      <c r="C5739" s="9"/>
      <c r="D5739" t="str">
        <f>"21ur-6565"</f>
        <v>21ur-6565</v>
      </c>
      <c r="F5739" t="s">
        <v>3161</v>
      </c>
      <c r="H5739" s="12">
        <v>4.4368407117627902</v>
      </c>
      <c r="I5739" s="20">
        <v>0.43709475933309699</v>
      </c>
      <c r="J5739" s="28">
        <v>0.66204262779770495</v>
      </c>
      <c r="K5739" s="29">
        <v>0.98289565623980701</v>
      </c>
    </row>
    <row r="5740" spans="1:11" x14ac:dyDescent="0.35">
      <c r="A5740" s="9" t="str">
        <f>HYPERLINK("http://www.ensembl.org/id/WBGene00167825", "WBGene00167825")</f>
        <v>WBGene00167825</v>
      </c>
      <c r="B5740" s="9"/>
      <c r="C5740" s="9"/>
      <c r="D5740" t="str">
        <f>"21ur-6602"</f>
        <v>21ur-6602</v>
      </c>
      <c r="F5740" t="s">
        <v>3161</v>
      </c>
      <c r="H5740" s="12">
        <v>1.6851691608163999</v>
      </c>
      <c r="I5740" s="20">
        <v>0.34677007519008601</v>
      </c>
      <c r="J5740" s="28">
        <v>0.72876406029128904</v>
      </c>
      <c r="K5740" s="29">
        <v>0.98289565623980701</v>
      </c>
    </row>
    <row r="5741" spans="1:11" x14ac:dyDescent="0.35">
      <c r="A5741" s="9" t="str">
        <f>HYPERLINK("http://www.ensembl.org/id/WBGene00167223", "WBGene00167223")</f>
        <v>WBGene00167223</v>
      </c>
      <c r="B5741" s="9"/>
      <c r="C5741" s="9"/>
      <c r="D5741" t="str">
        <f>"21ur-6679"</f>
        <v>21ur-6679</v>
      </c>
      <c r="F5741" t="s">
        <v>3161</v>
      </c>
      <c r="H5741" s="12">
        <v>-2.4295389261469</v>
      </c>
      <c r="I5741" s="20">
        <v>-0.25808529976640998</v>
      </c>
      <c r="J5741" s="28">
        <v>0.79634107645457397</v>
      </c>
      <c r="K5741" s="29">
        <v>0.98289565623980701</v>
      </c>
    </row>
    <row r="5742" spans="1:11" x14ac:dyDescent="0.35">
      <c r="A5742" s="9" t="str">
        <f>HYPERLINK("http://www.ensembl.org/id/WBGene00166976", "WBGene00166976")</f>
        <v>WBGene00166976</v>
      </c>
      <c r="B5742" s="9"/>
      <c r="C5742" s="9"/>
      <c r="D5742" t="str">
        <f>"21ur-6683"</f>
        <v>21ur-6683</v>
      </c>
      <c r="F5742" t="s">
        <v>3161</v>
      </c>
      <c r="H5742" s="12">
        <v>-2.4991590031922399</v>
      </c>
      <c r="I5742" s="20">
        <v>-0.26577412737581302</v>
      </c>
      <c r="J5742" s="28">
        <v>0.79041317015736101</v>
      </c>
      <c r="K5742" s="29">
        <v>0.98289565623980701</v>
      </c>
    </row>
    <row r="5743" spans="1:11" x14ac:dyDescent="0.35">
      <c r="A5743" s="9" t="str">
        <f>HYPERLINK("http://www.ensembl.org/id/WBGene00165268", "WBGene00165268")</f>
        <v>WBGene00165268</v>
      </c>
      <c r="B5743" s="9"/>
      <c r="C5743" s="9"/>
      <c r="D5743" t="str">
        <f>"21ur-6686"</f>
        <v>21ur-6686</v>
      </c>
      <c r="F5743" t="s">
        <v>3161</v>
      </c>
      <c r="H5743" s="12">
        <v>2.3893468495514898</v>
      </c>
      <c r="I5743" s="20">
        <v>0.25323547253672701</v>
      </c>
      <c r="J5743" s="28">
        <v>0.80008625651646104</v>
      </c>
      <c r="K5743" s="29">
        <v>0.98289565623980701</v>
      </c>
    </row>
    <row r="5744" spans="1:11" x14ac:dyDescent="0.35">
      <c r="A5744" s="9" t="str">
        <f>HYPERLINK("http://www.ensembl.org/id/WBGene00050057", "WBGene00050057")</f>
        <v>WBGene00050057</v>
      </c>
      <c r="B5744" s="9"/>
      <c r="C5744" s="9"/>
      <c r="D5744" t="str">
        <f>"21ur-669"</f>
        <v>21ur-669</v>
      </c>
      <c r="F5744" t="s">
        <v>3161</v>
      </c>
      <c r="H5744" s="12">
        <v>-2.3838754719136599</v>
      </c>
      <c r="I5744" s="20">
        <v>-0.25807578497976902</v>
      </c>
      <c r="J5744" s="28">
        <v>0.79634841949468704</v>
      </c>
      <c r="K5744" s="29">
        <v>0.98289565623980701</v>
      </c>
    </row>
    <row r="5745" spans="1:11" x14ac:dyDescent="0.35">
      <c r="A5745" s="9" t="str">
        <f>HYPERLINK("http://www.ensembl.org/id/WBGene00172358", "WBGene00172358")</f>
        <v>WBGene00172358</v>
      </c>
      <c r="B5745" s="9"/>
      <c r="C5745" s="9"/>
      <c r="D5745" t="str">
        <f>"21ur-6692"</f>
        <v>21ur-6692</v>
      </c>
      <c r="F5745" t="s">
        <v>3161</v>
      </c>
      <c r="H5745" s="12">
        <v>2.4578120077400301</v>
      </c>
      <c r="I5745" s="20">
        <v>0.26093350314551</v>
      </c>
      <c r="J5745" s="28">
        <v>0.79414378780213601</v>
      </c>
      <c r="K5745" s="29">
        <v>0.98289565623980701</v>
      </c>
    </row>
    <row r="5746" spans="1:11" x14ac:dyDescent="0.35">
      <c r="A5746" s="9" t="str">
        <f>HYPERLINK("http://www.ensembl.org/id/WBGene00046327", "WBGene00046327")</f>
        <v>WBGene00046327</v>
      </c>
      <c r="B5746" s="9"/>
      <c r="C5746" s="9"/>
      <c r="D5746" t="str">
        <f>"21ur-67"</f>
        <v>21ur-67</v>
      </c>
      <c r="F5746" t="s">
        <v>3161</v>
      </c>
      <c r="H5746" s="12">
        <v>2.4578120077400301</v>
      </c>
      <c r="I5746" s="20">
        <v>0.26093350314551</v>
      </c>
      <c r="J5746" s="28">
        <v>0.79414378780213601</v>
      </c>
      <c r="K5746" s="29">
        <v>0.98289565623980701</v>
      </c>
    </row>
    <row r="5747" spans="1:11" x14ac:dyDescent="0.35">
      <c r="A5747" s="9" t="str">
        <f>HYPERLINK("http://www.ensembl.org/id/WBGene00165544", "WBGene00165544")</f>
        <v>WBGene00165544</v>
      </c>
      <c r="B5747" s="9"/>
      <c r="C5747" s="9"/>
      <c r="D5747" t="str">
        <f>"21ur-6716"</f>
        <v>21ur-6716</v>
      </c>
      <c r="F5747" t="s">
        <v>3161</v>
      </c>
      <c r="H5747" s="12">
        <v>-2.4991590031922399</v>
      </c>
      <c r="I5747" s="20">
        <v>-0.26577412737581302</v>
      </c>
      <c r="J5747" s="28">
        <v>0.79041317015736101</v>
      </c>
      <c r="K5747" s="29">
        <v>0.98289565623980701</v>
      </c>
    </row>
    <row r="5748" spans="1:11" x14ac:dyDescent="0.35">
      <c r="A5748" s="9" t="str">
        <f>HYPERLINK("http://www.ensembl.org/id/WBGene00171255", "WBGene00171255")</f>
        <v>WBGene00171255</v>
      </c>
      <c r="B5748" s="9"/>
      <c r="C5748" s="9"/>
      <c r="D5748" t="str">
        <f>"21ur-6778"</f>
        <v>21ur-6778</v>
      </c>
      <c r="F5748" t="s">
        <v>3161</v>
      </c>
      <c r="H5748" s="12">
        <v>4.0963990052708601</v>
      </c>
      <c r="I5748" s="20">
        <v>0.63537495515817699</v>
      </c>
      <c r="J5748" s="28">
        <v>0.52518389832035295</v>
      </c>
      <c r="K5748" s="29">
        <v>0.98289565623980701</v>
      </c>
    </row>
    <row r="5749" spans="1:11" x14ac:dyDescent="0.35">
      <c r="A5749" s="9" t="str">
        <f>HYPERLINK("http://www.ensembl.org/id/WBGene00173776", "WBGene00173776")</f>
        <v>WBGene00173776</v>
      </c>
      <c r="B5749" s="9"/>
      <c r="C5749" s="9"/>
      <c r="D5749" t="str">
        <f>"21ur-6808"</f>
        <v>21ur-6808</v>
      </c>
      <c r="F5749" t="s">
        <v>3161</v>
      </c>
      <c r="H5749" s="12">
        <v>4.4368407117627902</v>
      </c>
      <c r="I5749" s="20">
        <v>0.43709475933309699</v>
      </c>
      <c r="J5749" s="28">
        <v>0.66204262779770495</v>
      </c>
      <c r="K5749" s="29">
        <v>0.98289565623980701</v>
      </c>
    </row>
    <row r="5750" spans="1:11" x14ac:dyDescent="0.35">
      <c r="A5750" s="9" t="str">
        <f>HYPERLINK("http://www.ensembl.org/id/WBGene00050075", "WBGene00050075")</f>
        <v>WBGene00050075</v>
      </c>
      <c r="B5750" s="9"/>
      <c r="C5750" s="9"/>
      <c r="D5750" t="str">
        <f>"21ur-688"</f>
        <v>21ur-688</v>
      </c>
      <c r="F5750" t="s">
        <v>3161</v>
      </c>
      <c r="H5750" s="12">
        <v>-2.4295389261469</v>
      </c>
      <c r="I5750" s="20">
        <v>-0.25808529976640998</v>
      </c>
      <c r="J5750" s="28">
        <v>0.79634107645457397</v>
      </c>
      <c r="K5750" s="29">
        <v>0.98289565623980701</v>
      </c>
    </row>
    <row r="5751" spans="1:11" x14ac:dyDescent="0.35">
      <c r="A5751" s="9" t="str">
        <f>HYPERLINK("http://www.ensembl.org/id/WBGene00174607", "WBGene00174607")</f>
        <v>WBGene00174607</v>
      </c>
      <c r="B5751" s="9"/>
      <c r="C5751" s="9"/>
      <c r="D5751" t="str">
        <f>"21ur-6936"</f>
        <v>21ur-6936</v>
      </c>
      <c r="F5751" t="s">
        <v>3161</v>
      </c>
      <c r="H5751" s="12">
        <v>5.9495765472548197</v>
      </c>
      <c r="I5751" s="20">
        <v>0.52429389276509997</v>
      </c>
      <c r="J5751" s="28">
        <v>0.60007414400596704</v>
      </c>
      <c r="K5751" s="29">
        <v>0.98289565623980701</v>
      </c>
    </row>
    <row r="5752" spans="1:11" x14ac:dyDescent="0.35">
      <c r="A5752" s="9" t="str">
        <f>HYPERLINK("http://www.ensembl.org/id/WBGene00172509", "WBGene00172509")</f>
        <v>WBGene00172509</v>
      </c>
      <c r="B5752" s="9"/>
      <c r="C5752" s="9"/>
      <c r="D5752" t="str">
        <f>"21ur-7042"</f>
        <v>21ur-7042</v>
      </c>
      <c r="F5752" t="s">
        <v>3161</v>
      </c>
      <c r="H5752" s="12">
        <v>-3.7261494131482999</v>
      </c>
      <c r="I5752" s="20">
        <v>-0.38454673129429601</v>
      </c>
      <c r="J5752" s="28">
        <v>0.70057326682554</v>
      </c>
      <c r="K5752" s="29">
        <v>0.98289565623980701</v>
      </c>
    </row>
    <row r="5753" spans="1:11" x14ac:dyDescent="0.35">
      <c r="A5753" s="9" t="str">
        <f>HYPERLINK("http://www.ensembl.org/id/WBGene00174811", "WBGene00174811")</f>
        <v>WBGene00174811</v>
      </c>
      <c r="B5753" s="9"/>
      <c r="C5753" s="9"/>
      <c r="D5753" t="str">
        <f>"21ur-7050"</f>
        <v>21ur-7050</v>
      </c>
      <c r="F5753" t="s">
        <v>3161</v>
      </c>
      <c r="H5753" s="12">
        <v>-3.5819448292659501</v>
      </c>
      <c r="I5753" s="20">
        <v>-0.37337717500031398</v>
      </c>
      <c r="J5753" s="28">
        <v>0.70886774492290605</v>
      </c>
      <c r="K5753" s="29">
        <v>0.98289565623980701</v>
      </c>
    </row>
    <row r="5754" spans="1:11" x14ac:dyDescent="0.35">
      <c r="A5754" s="9" t="str">
        <f>HYPERLINK("http://www.ensembl.org/id/WBGene00173135", "WBGene00173135")</f>
        <v>WBGene00173135</v>
      </c>
      <c r="B5754" s="9"/>
      <c r="C5754" s="9"/>
      <c r="D5754" t="str">
        <f>"21ur-7060"</f>
        <v>21ur-7060</v>
      </c>
      <c r="F5754" t="s">
        <v>3161</v>
      </c>
      <c r="H5754" s="12">
        <v>2.0455782434772098</v>
      </c>
      <c r="I5754" s="20">
        <v>0.31288556237089099</v>
      </c>
      <c r="J5754" s="28">
        <v>0.75436760682558901</v>
      </c>
      <c r="K5754" s="29">
        <v>0.98289565623980701</v>
      </c>
    </row>
    <row r="5755" spans="1:11" x14ac:dyDescent="0.35">
      <c r="A5755" s="9" t="str">
        <f>HYPERLINK("http://www.ensembl.org/id/WBGene00172112", "WBGene00172112")</f>
        <v>WBGene00172112</v>
      </c>
      <c r="B5755" s="9"/>
      <c r="C5755" s="9"/>
      <c r="D5755" t="str">
        <f>"21ur-7065"</f>
        <v>21ur-7065</v>
      </c>
      <c r="F5755" t="s">
        <v>3161</v>
      </c>
      <c r="H5755" s="12">
        <v>2.3893468495514898</v>
      </c>
      <c r="I5755" s="20">
        <v>0.25323547253672701</v>
      </c>
      <c r="J5755" s="28">
        <v>0.80008625651646104</v>
      </c>
      <c r="K5755" s="29">
        <v>0.98289565623980701</v>
      </c>
    </row>
    <row r="5756" spans="1:11" x14ac:dyDescent="0.35">
      <c r="A5756" s="9" t="str">
        <f>HYPERLINK("http://www.ensembl.org/id/WBGene00174119", "WBGene00174119")</f>
        <v>WBGene00174119</v>
      </c>
      <c r="B5756" s="9"/>
      <c r="C5756" s="9"/>
      <c r="D5756" t="str">
        <f>"21ur-7075"</f>
        <v>21ur-7075</v>
      </c>
      <c r="F5756" t="s">
        <v>3161</v>
      </c>
      <c r="H5756" s="12">
        <v>-2.4295389261469</v>
      </c>
      <c r="I5756" s="20">
        <v>-0.25808529976640998</v>
      </c>
      <c r="J5756" s="28">
        <v>0.79634107645457397</v>
      </c>
      <c r="K5756" s="29">
        <v>0.98289565623980701</v>
      </c>
    </row>
    <row r="5757" spans="1:11" x14ac:dyDescent="0.35">
      <c r="A5757" s="9" t="str">
        <f>HYPERLINK("http://www.ensembl.org/id/WBGene00166075", "WBGene00166075")</f>
        <v>WBGene00166075</v>
      </c>
      <c r="B5757" s="9"/>
      <c r="C5757" s="9"/>
      <c r="D5757" t="str">
        <f>"21ur-7076"</f>
        <v>21ur-7076</v>
      </c>
      <c r="F5757" t="s">
        <v>3161</v>
      </c>
      <c r="H5757" s="12">
        <v>2.3893468495514898</v>
      </c>
      <c r="I5757" s="20">
        <v>0.25323547253672701</v>
      </c>
      <c r="J5757" s="28">
        <v>0.80008625651646104</v>
      </c>
      <c r="K5757" s="29">
        <v>0.98289565623980701</v>
      </c>
    </row>
    <row r="5758" spans="1:11" x14ac:dyDescent="0.35">
      <c r="A5758" s="9" t="str">
        <f>HYPERLINK("http://www.ensembl.org/id/WBGene00169664", "WBGene00169664")</f>
        <v>WBGene00169664</v>
      </c>
      <c r="B5758" s="9"/>
      <c r="C5758" s="9"/>
      <c r="D5758" t="str">
        <f>"21ur-7086"</f>
        <v>21ur-7086</v>
      </c>
      <c r="F5758" t="s">
        <v>3161</v>
      </c>
      <c r="H5758" s="12">
        <v>-2.4991590031922399</v>
      </c>
      <c r="I5758" s="20">
        <v>-0.26577412737581302</v>
      </c>
      <c r="J5758" s="28">
        <v>0.79041317015736101</v>
      </c>
      <c r="K5758" s="29">
        <v>0.98289565623980701</v>
      </c>
    </row>
    <row r="5759" spans="1:11" x14ac:dyDescent="0.35">
      <c r="A5759" s="9" t="str">
        <f>HYPERLINK("http://www.ensembl.org/id/WBGene00171751", "WBGene00171751")</f>
        <v>WBGene00171751</v>
      </c>
      <c r="B5759" s="9"/>
      <c r="C5759" s="9"/>
      <c r="D5759" t="str">
        <f>"21ur-7105"</f>
        <v>21ur-7105</v>
      </c>
      <c r="F5759" t="s">
        <v>3161</v>
      </c>
      <c r="H5759" s="12">
        <v>-3.2076094827519199</v>
      </c>
      <c r="I5759" s="20">
        <v>-0.46481242297130299</v>
      </c>
      <c r="J5759" s="28">
        <v>0.64206579060743396</v>
      </c>
      <c r="K5759" s="29">
        <v>0.98289565623980701</v>
      </c>
    </row>
    <row r="5760" spans="1:11" x14ac:dyDescent="0.35">
      <c r="A5760" s="9" t="str">
        <f>HYPERLINK("http://www.ensembl.org/id/WBGene00174854", "WBGene00174854")</f>
        <v>WBGene00174854</v>
      </c>
      <c r="B5760" s="9"/>
      <c r="C5760" s="9"/>
      <c r="D5760" t="str">
        <f>"21ur-7108"</f>
        <v>21ur-7108</v>
      </c>
      <c r="F5760" t="s">
        <v>3161</v>
      </c>
      <c r="H5760" s="12">
        <v>2.3893468495514898</v>
      </c>
      <c r="I5760" s="20">
        <v>0.25323547253672701</v>
      </c>
      <c r="J5760" s="28">
        <v>0.80008625651646104</v>
      </c>
      <c r="K5760" s="29">
        <v>0.98289565623980701</v>
      </c>
    </row>
    <row r="5761" spans="1:11" x14ac:dyDescent="0.35">
      <c r="A5761" s="9" t="str">
        <f>HYPERLINK("http://www.ensembl.org/id/WBGene00172577", "WBGene00172577")</f>
        <v>WBGene00172577</v>
      </c>
      <c r="B5761" s="9"/>
      <c r="C5761" s="9"/>
      <c r="D5761" t="str">
        <f>"21ur-7128"</f>
        <v>21ur-7128</v>
      </c>
      <c r="F5761" t="s">
        <v>3161</v>
      </c>
      <c r="H5761" s="12">
        <v>-3.5819448292659501</v>
      </c>
      <c r="I5761" s="20">
        <v>-0.37337717500031398</v>
      </c>
      <c r="J5761" s="28">
        <v>0.70886774492290605</v>
      </c>
      <c r="K5761" s="29">
        <v>0.98289565623980701</v>
      </c>
    </row>
    <row r="5762" spans="1:11" x14ac:dyDescent="0.35">
      <c r="A5762" s="9" t="str">
        <f>HYPERLINK("http://www.ensembl.org/id/WBGene00174329", "WBGene00174329")</f>
        <v>WBGene00174329</v>
      </c>
      <c r="B5762" s="9"/>
      <c r="C5762" s="9"/>
      <c r="D5762" t="str">
        <f>"21ur-7148"</f>
        <v>21ur-7148</v>
      </c>
      <c r="F5762" t="s">
        <v>3161</v>
      </c>
      <c r="H5762" s="12">
        <v>2.3893468495514898</v>
      </c>
      <c r="I5762" s="20">
        <v>0.25323547253672701</v>
      </c>
      <c r="J5762" s="28">
        <v>0.80008625651646104</v>
      </c>
      <c r="K5762" s="29">
        <v>0.98289565623980701</v>
      </c>
    </row>
    <row r="5763" spans="1:11" x14ac:dyDescent="0.35">
      <c r="A5763" s="9" t="str">
        <f>HYPERLINK("http://www.ensembl.org/id/WBGene00173438", "WBGene00173438")</f>
        <v>WBGene00173438</v>
      </c>
      <c r="B5763" s="9"/>
      <c r="C5763" s="9"/>
      <c r="D5763" t="str">
        <f>"21ur-7151"</f>
        <v>21ur-7151</v>
      </c>
      <c r="F5763" t="s">
        <v>3161</v>
      </c>
      <c r="H5763" s="12">
        <v>2.4578120077400301</v>
      </c>
      <c r="I5763" s="20">
        <v>0.26093350314551</v>
      </c>
      <c r="J5763" s="28">
        <v>0.79414378780213601</v>
      </c>
      <c r="K5763" s="29">
        <v>0.98289565623980701</v>
      </c>
    </row>
    <row r="5764" spans="1:11" x14ac:dyDescent="0.35">
      <c r="A5764" s="9" t="str">
        <f>HYPERLINK("http://www.ensembl.org/id/WBGene00169717", "WBGene00169717")</f>
        <v>WBGene00169717</v>
      </c>
      <c r="B5764" s="9"/>
      <c r="C5764" s="9"/>
      <c r="D5764" t="str">
        <f>"21ur-7190"</f>
        <v>21ur-7190</v>
      </c>
      <c r="F5764" t="s">
        <v>3161</v>
      </c>
      <c r="H5764" s="12">
        <v>3.5227018545059199</v>
      </c>
      <c r="I5764" s="20">
        <v>0.36849691206929103</v>
      </c>
      <c r="J5764" s="28">
        <v>0.71250274722433404</v>
      </c>
      <c r="K5764" s="29">
        <v>0.98289565623980701</v>
      </c>
    </row>
    <row r="5765" spans="1:11" x14ac:dyDescent="0.35">
      <c r="A5765" s="9" t="str">
        <f>HYPERLINK("http://www.ensembl.org/id/WBGene00172349", "WBGene00172349")</f>
        <v>WBGene00172349</v>
      </c>
      <c r="B5765" s="9"/>
      <c r="C5765" s="9"/>
      <c r="D5765" t="str">
        <f>"21ur-7225"</f>
        <v>21ur-7225</v>
      </c>
      <c r="F5765" t="s">
        <v>3161</v>
      </c>
      <c r="H5765" s="12">
        <v>-2.4295389261469</v>
      </c>
      <c r="I5765" s="20">
        <v>-0.25808529976640998</v>
      </c>
      <c r="J5765" s="28">
        <v>0.79634107645457397</v>
      </c>
      <c r="K5765" s="29">
        <v>0.98289565623980701</v>
      </c>
    </row>
    <row r="5766" spans="1:11" x14ac:dyDescent="0.35">
      <c r="A5766" s="9" t="str">
        <f>HYPERLINK("http://www.ensembl.org/id/WBGene00173292", "WBGene00173292")</f>
        <v>WBGene00173292</v>
      </c>
      <c r="B5766" s="9"/>
      <c r="C5766" s="9"/>
      <c r="D5766" t="str">
        <f>"21ur-7346"</f>
        <v>21ur-7346</v>
      </c>
      <c r="F5766" t="s">
        <v>3161</v>
      </c>
      <c r="H5766" s="12">
        <v>-2.4991590031922399</v>
      </c>
      <c r="I5766" s="20">
        <v>-0.26577412737581302</v>
      </c>
      <c r="J5766" s="28">
        <v>0.79041317015736101</v>
      </c>
      <c r="K5766" s="29">
        <v>0.98289565623980701</v>
      </c>
    </row>
    <row r="5767" spans="1:11" x14ac:dyDescent="0.35">
      <c r="A5767" s="9" t="str">
        <f>HYPERLINK("http://www.ensembl.org/id/WBGene00165575", "WBGene00165575")</f>
        <v>WBGene00165575</v>
      </c>
      <c r="B5767" s="9"/>
      <c r="C5767" s="9"/>
      <c r="D5767" t="str">
        <f>"21ur-7394"</f>
        <v>21ur-7394</v>
      </c>
      <c r="F5767" t="s">
        <v>3161</v>
      </c>
      <c r="H5767" s="12">
        <v>-3.7261494131482999</v>
      </c>
      <c r="I5767" s="20">
        <v>-0.38454673129429601</v>
      </c>
      <c r="J5767" s="28">
        <v>0.70057326682554</v>
      </c>
      <c r="K5767" s="29">
        <v>0.98289565623980701</v>
      </c>
    </row>
    <row r="5768" spans="1:11" x14ac:dyDescent="0.35">
      <c r="A5768" s="9" t="str">
        <f>HYPERLINK("http://www.ensembl.org/id/WBGene00167948", "WBGene00167948")</f>
        <v>WBGene00167948</v>
      </c>
      <c r="B5768" s="9"/>
      <c r="C5768" s="9"/>
      <c r="D5768" t="str">
        <f>"21ur-7416"</f>
        <v>21ur-7416</v>
      </c>
      <c r="F5768" t="s">
        <v>3161</v>
      </c>
      <c r="H5768" s="12">
        <v>2.3893468495514898</v>
      </c>
      <c r="I5768" s="20">
        <v>0.25323547253672701</v>
      </c>
      <c r="J5768" s="28">
        <v>0.80008625651646104</v>
      </c>
      <c r="K5768" s="29">
        <v>0.98289565623980701</v>
      </c>
    </row>
    <row r="5769" spans="1:11" x14ac:dyDescent="0.35">
      <c r="A5769" s="9" t="str">
        <f>HYPERLINK("http://www.ensembl.org/id/WBGene00174052", "WBGene00174052")</f>
        <v>WBGene00174052</v>
      </c>
      <c r="B5769" s="9"/>
      <c r="C5769" s="9"/>
      <c r="D5769" t="str">
        <f>"21ur-7419"</f>
        <v>21ur-7419</v>
      </c>
      <c r="F5769" t="s">
        <v>3161</v>
      </c>
      <c r="H5769" s="12">
        <v>2.3893468495514898</v>
      </c>
      <c r="I5769" s="20">
        <v>0.25323547253672701</v>
      </c>
      <c r="J5769" s="28">
        <v>0.80008625651646104</v>
      </c>
      <c r="K5769" s="29">
        <v>0.98289565623980701</v>
      </c>
    </row>
    <row r="5770" spans="1:11" x14ac:dyDescent="0.35">
      <c r="A5770" s="9" t="str">
        <f>HYPERLINK("http://www.ensembl.org/id/WBGene00171600", "WBGene00171600")</f>
        <v>WBGene00171600</v>
      </c>
      <c r="B5770" s="9"/>
      <c r="C5770" s="9"/>
      <c r="D5770" t="str">
        <f>"21ur-7449"</f>
        <v>21ur-7449</v>
      </c>
      <c r="F5770" t="s">
        <v>3161</v>
      </c>
      <c r="H5770" s="12">
        <v>2.3893468495514898</v>
      </c>
      <c r="I5770" s="20">
        <v>0.25323547253672701</v>
      </c>
      <c r="J5770" s="28">
        <v>0.80008625651646104</v>
      </c>
      <c r="K5770" s="29">
        <v>0.98289565623980701</v>
      </c>
    </row>
    <row r="5771" spans="1:11" x14ac:dyDescent="0.35">
      <c r="A5771" s="9" t="str">
        <f>HYPERLINK("http://www.ensembl.org/id/WBGene00174922", "WBGene00174922")</f>
        <v>WBGene00174922</v>
      </c>
      <c r="B5771" s="9"/>
      <c r="C5771" s="9"/>
      <c r="D5771" t="str">
        <f>"21ur-7484"</f>
        <v>21ur-7484</v>
      </c>
      <c r="F5771" t="s">
        <v>3161</v>
      </c>
      <c r="H5771" s="12">
        <v>-2.4295389261469</v>
      </c>
      <c r="I5771" s="20">
        <v>-0.25808529976640998</v>
      </c>
      <c r="J5771" s="28">
        <v>0.79634107645457397</v>
      </c>
      <c r="K5771" s="29">
        <v>0.98289565623980701</v>
      </c>
    </row>
    <row r="5772" spans="1:11" x14ac:dyDescent="0.35">
      <c r="A5772" s="9" t="str">
        <f>HYPERLINK("http://www.ensembl.org/id/WBGene00174635", "WBGene00174635")</f>
        <v>WBGene00174635</v>
      </c>
      <c r="B5772" s="9"/>
      <c r="C5772" s="9"/>
      <c r="D5772" t="str">
        <f>"21ur-7516"</f>
        <v>21ur-7516</v>
      </c>
      <c r="F5772" t="s">
        <v>3161</v>
      </c>
      <c r="H5772" s="12">
        <v>3.6645215954135</v>
      </c>
      <c r="I5772" s="20">
        <v>0.37967131826092498</v>
      </c>
      <c r="J5772" s="28">
        <v>0.70418941338960395</v>
      </c>
      <c r="K5772" s="29">
        <v>0.98289565623980701</v>
      </c>
    </row>
    <row r="5773" spans="1:11" x14ac:dyDescent="0.35">
      <c r="A5773" s="9" t="str">
        <f>HYPERLINK("http://www.ensembl.org/id/WBGene00165453", "WBGene00165453")</f>
        <v>WBGene00165453</v>
      </c>
      <c r="B5773" s="9"/>
      <c r="C5773" s="9"/>
      <c r="D5773" t="str">
        <f>"21ur-7539"</f>
        <v>21ur-7539</v>
      </c>
      <c r="F5773" t="s">
        <v>3161</v>
      </c>
      <c r="H5773" s="12">
        <v>-3.7261494131482999</v>
      </c>
      <c r="I5773" s="20">
        <v>-0.38454673129429601</v>
      </c>
      <c r="J5773" s="28">
        <v>0.70057326682554</v>
      </c>
      <c r="K5773" s="29">
        <v>0.98289565623980701</v>
      </c>
    </row>
    <row r="5774" spans="1:11" x14ac:dyDescent="0.35">
      <c r="A5774" s="9" t="str">
        <f>HYPERLINK("http://www.ensembl.org/id/WBGene00170131", "WBGene00170131")</f>
        <v>WBGene00170131</v>
      </c>
      <c r="B5774" s="9"/>
      <c r="C5774" s="9"/>
      <c r="D5774" t="str">
        <f>"21ur-7585"</f>
        <v>21ur-7585</v>
      </c>
      <c r="F5774" t="s">
        <v>3161</v>
      </c>
      <c r="H5774" s="12">
        <v>2.4578120077400301</v>
      </c>
      <c r="I5774" s="20">
        <v>0.26093350314551</v>
      </c>
      <c r="J5774" s="28">
        <v>0.79414378780213601</v>
      </c>
      <c r="K5774" s="29">
        <v>0.98289565623980701</v>
      </c>
    </row>
    <row r="5775" spans="1:11" x14ac:dyDescent="0.35">
      <c r="A5775" s="9" t="str">
        <f>HYPERLINK("http://www.ensembl.org/id/WBGene00172250", "WBGene00172250")</f>
        <v>WBGene00172250</v>
      </c>
      <c r="B5775" s="9"/>
      <c r="C5775" s="9"/>
      <c r="D5775" t="str">
        <f>"21ur-7639"</f>
        <v>21ur-7639</v>
      </c>
      <c r="F5775" t="s">
        <v>3161</v>
      </c>
      <c r="H5775" s="12">
        <v>2.4578120077400301</v>
      </c>
      <c r="I5775" s="20">
        <v>0.26093350314551</v>
      </c>
      <c r="J5775" s="28">
        <v>0.79414378780213601</v>
      </c>
      <c r="K5775" s="29">
        <v>0.98289565623980701</v>
      </c>
    </row>
    <row r="5776" spans="1:11" x14ac:dyDescent="0.35">
      <c r="A5776" s="9" t="str">
        <f>HYPERLINK("http://www.ensembl.org/id/WBGene00172593", "WBGene00172593")</f>
        <v>WBGene00172593</v>
      </c>
      <c r="B5776" s="9"/>
      <c r="C5776" s="9"/>
      <c r="D5776" t="str">
        <f>"21ur-7649"</f>
        <v>21ur-7649</v>
      </c>
      <c r="F5776" t="s">
        <v>3161</v>
      </c>
      <c r="H5776" s="12">
        <v>-4.5114499031905204</v>
      </c>
      <c r="I5776" s="20">
        <v>-0.44198655555625299</v>
      </c>
      <c r="J5776" s="28">
        <v>0.65849893477547905</v>
      </c>
      <c r="K5776" s="29">
        <v>0.98289565623980701</v>
      </c>
    </row>
    <row r="5777" spans="1:11" x14ac:dyDescent="0.35">
      <c r="A5777" s="9" t="str">
        <f>HYPERLINK("http://www.ensembl.org/id/WBGene00046495", "WBGene00046495")</f>
        <v>WBGene00046495</v>
      </c>
      <c r="B5777" s="9"/>
      <c r="C5777" s="9"/>
      <c r="D5777" t="str">
        <f>"21ur-765"</f>
        <v>21ur-765</v>
      </c>
      <c r="F5777" t="s">
        <v>3161</v>
      </c>
      <c r="H5777" s="12">
        <v>2.3893468495514898</v>
      </c>
      <c r="I5777" s="20">
        <v>0.25323547253672701</v>
      </c>
      <c r="J5777" s="28">
        <v>0.80008625651646104</v>
      </c>
      <c r="K5777" s="29">
        <v>0.98289565623980701</v>
      </c>
    </row>
    <row r="5778" spans="1:11" x14ac:dyDescent="0.35">
      <c r="A5778" s="9" t="str">
        <f>HYPERLINK("http://www.ensembl.org/id/WBGene00170881", "WBGene00170881")</f>
        <v>WBGene00170881</v>
      </c>
      <c r="B5778" s="9"/>
      <c r="C5778" s="9"/>
      <c r="D5778" t="str">
        <f>"21ur-7653"</f>
        <v>21ur-7653</v>
      </c>
      <c r="F5778" t="s">
        <v>3161</v>
      </c>
      <c r="H5778" s="12">
        <v>2.3893468495514898</v>
      </c>
      <c r="I5778" s="20">
        <v>0.25323547253672701</v>
      </c>
      <c r="J5778" s="28">
        <v>0.80008625651646104</v>
      </c>
      <c r="K5778" s="29">
        <v>0.98289565623980701</v>
      </c>
    </row>
    <row r="5779" spans="1:11" x14ac:dyDescent="0.35">
      <c r="A5779" s="9" t="str">
        <f>HYPERLINK("http://www.ensembl.org/id/WBGene00165100", "WBGene00165100")</f>
        <v>WBGene00165100</v>
      </c>
      <c r="B5779" s="9"/>
      <c r="C5779" s="9"/>
      <c r="D5779" t="str">
        <f>"21ur-7671"</f>
        <v>21ur-7671</v>
      </c>
      <c r="F5779" t="s">
        <v>3161</v>
      </c>
      <c r="H5779" s="12">
        <v>-5.4967879193631202</v>
      </c>
      <c r="I5779" s="20">
        <v>-0.50254160819837501</v>
      </c>
      <c r="J5779" s="28">
        <v>0.61528659178453604</v>
      </c>
      <c r="K5779" s="29">
        <v>0.98289565623980701</v>
      </c>
    </row>
    <row r="5780" spans="1:11" x14ac:dyDescent="0.35">
      <c r="A5780" s="9" t="str">
        <f>HYPERLINK("http://www.ensembl.org/id/WBGene00166826", "WBGene00166826")</f>
        <v>WBGene00166826</v>
      </c>
      <c r="B5780" s="9"/>
      <c r="C5780" s="9"/>
      <c r="D5780" t="str">
        <f>"21ur-7681"</f>
        <v>21ur-7681</v>
      </c>
      <c r="F5780" t="s">
        <v>3161</v>
      </c>
      <c r="H5780" s="12">
        <v>2.3893468495514898</v>
      </c>
      <c r="I5780" s="20">
        <v>0.25323547253672701</v>
      </c>
      <c r="J5780" s="28">
        <v>0.80008625651646104</v>
      </c>
      <c r="K5780" s="29">
        <v>0.98289565623980701</v>
      </c>
    </row>
    <row r="5781" spans="1:11" x14ac:dyDescent="0.35">
      <c r="A5781" s="9" t="str">
        <f>HYPERLINK("http://www.ensembl.org/id/WBGene00171250", "WBGene00171250")</f>
        <v>WBGene00171250</v>
      </c>
      <c r="B5781" s="9"/>
      <c r="C5781" s="9"/>
      <c r="D5781" t="str">
        <f>"21ur-7693"</f>
        <v>21ur-7693</v>
      </c>
      <c r="F5781" t="s">
        <v>3161</v>
      </c>
      <c r="H5781" s="12">
        <v>2.3893468495514898</v>
      </c>
      <c r="I5781" s="20">
        <v>0.25323547253672701</v>
      </c>
      <c r="J5781" s="28">
        <v>0.80008625651646104</v>
      </c>
      <c r="K5781" s="29">
        <v>0.98289565623980701</v>
      </c>
    </row>
    <row r="5782" spans="1:11" x14ac:dyDescent="0.35">
      <c r="A5782" s="9" t="str">
        <f>HYPERLINK("http://www.ensembl.org/id/WBGene00173566", "WBGene00173566")</f>
        <v>WBGene00173566</v>
      </c>
      <c r="B5782" s="9"/>
      <c r="C5782" s="9"/>
      <c r="D5782" t="str">
        <f>"21ur-7748"</f>
        <v>21ur-7748</v>
      </c>
      <c r="F5782" t="s">
        <v>3161</v>
      </c>
      <c r="H5782" s="12">
        <v>-12.8991976603241</v>
      </c>
      <c r="I5782" s="20">
        <v>-0.85434876045094199</v>
      </c>
      <c r="J5782" s="28">
        <v>0.39291177758245199</v>
      </c>
      <c r="K5782" s="29">
        <v>0.98289565623980701</v>
      </c>
    </row>
    <row r="5783" spans="1:11" x14ac:dyDescent="0.35">
      <c r="A5783" s="9" t="str">
        <f>HYPERLINK("http://www.ensembl.org/id/WBGene00171233", "WBGene00171233")</f>
        <v>WBGene00171233</v>
      </c>
      <c r="B5783" s="9"/>
      <c r="C5783" s="9"/>
      <c r="D5783" t="str">
        <f>"21ur-7775"</f>
        <v>21ur-7775</v>
      </c>
      <c r="F5783" t="s">
        <v>3161</v>
      </c>
      <c r="H5783" s="12">
        <v>1.9638662696056099</v>
      </c>
      <c r="I5783" s="20">
        <v>0.33027268083156702</v>
      </c>
      <c r="J5783" s="28">
        <v>0.74119393338581296</v>
      </c>
      <c r="K5783" s="29">
        <v>0.98289565623980701</v>
      </c>
    </row>
    <row r="5784" spans="1:11" x14ac:dyDescent="0.35">
      <c r="A5784" s="9" t="str">
        <f>HYPERLINK("http://www.ensembl.org/id/WBGene00168525", "WBGene00168525")</f>
        <v>WBGene00168525</v>
      </c>
      <c r="B5784" s="9"/>
      <c r="C5784" s="9"/>
      <c r="D5784" t="str">
        <f>"21ur-7826"</f>
        <v>21ur-7826</v>
      </c>
      <c r="F5784" t="s">
        <v>3161</v>
      </c>
      <c r="H5784" s="12">
        <v>4.4368407117627902</v>
      </c>
      <c r="I5784" s="20">
        <v>0.43709475933309699</v>
      </c>
      <c r="J5784" s="28">
        <v>0.66204262779770495</v>
      </c>
      <c r="K5784" s="29">
        <v>0.98289565623980701</v>
      </c>
    </row>
    <row r="5785" spans="1:11" x14ac:dyDescent="0.35">
      <c r="A5785" s="9" t="str">
        <f>HYPERLINK("http://www.ensembl.org/id/WBGene00168618", "WBGene00168618")</f>
        <v>WBGene00168618</v>
      </c>
      <c r="B5785" s="9"/>
      <c r="C5785" s="9"/>
      <c r="D5785" t="str">
        <f>"21ur-7895"</f>
        <v>21ur-7895</v>
      </c>
      <c r="F5785" t="s">
        <v>3161</v>
      </c>
      <c r="H5785" s="12">
        <v>2.3893468495514898</v>
      </c>
      <c r="I5785" s="20">
        <v>0.25323547253672701</v>
      </c>
      <c r="J5785" s="28">
        <v>0.80008625651646104</v>
      </c>
      <c r="K5785" s="29">
        <v>0.98289565623980701</v>
      </c>
    </row>
    <row r="5786" spans="1:11" x14ac:dyDescent="0.35">
      <c r="A5786" s="9" t="str">
        <f>HYPERLINK("http://www.ensembl.org/id/WBGene00174479", "WBGene00174479")</f>
        <v>WBGene00174479</v>
      </c>
      <c r="B5786" s="9"/>
      <c r="C5786" s="9"/>
      <c r="D5786" t="str">
        <f>"21ur-7913"</f>
        <v>21ur-7913</v>
      </c>
      <c r="F5786" t="s">
        <v>3161</v>
      </c>
      <c r="H5786" s="12">
        <v>2.4578120077400301</v>
      </c>
      <c r="I5786" s="20">
        <v>0.26093350314551</v>
      </c>
      <c r="J5786" s="28">
        <v>0.79414378780213601</v>
      </c>
      <c r="K5786" s="29">
        <v>0.98289565623980701</v>
      </c>
    </row>
    <row r="5787" spans="1:11" x14ac:dyDescent="0.35">
      <c r="A5787" s="9" t="str">
        <f>HYPERLINK("http://www.ensembl.org/id/WBGene00173542", "WBGene00173542")</f>
        <v>WBGene00173542</v>
      </c>
      <c r="B5787" s="9"/>
      <c r="C5787" s="9"/>
      <c r="D5787" t="str">
        <f>"21ur-7915"</f>
        <v>21ur-7915</v>
      </c>
      <c r="F5787" t="s">
        <v>3161</v>
      </c>
      <c r="H5787" s="12">
        <v>-2.4991590031922399</v>
      </c>
      <c r="I5787" s="20">
        <v>-0.26577412737581302</v>
      </c>
      <c r="J5787" s="28">
        <v>0.79041317015736101</v>
      </c>
      <c r="K5787" s="29">
        <v>0.98289565623980701</v>
      </c>
    </row>
    <row r="5788" spans="1:11" x14ac:dyDescent="0.35">
      <c r="A5788" s="9" t="str">
        <f>HYPERLINK("http://www.ensembl.org/id/WBGene00046836", "WBGene00046836")</f>
        <v>WBGene00046836</v>
      </c>
      <c r="B5788" s="9"/>
      <c r="C5788" s="9"/>
      <c r="D5788" t="str">
        <f>"21ur-794"</f>
        <v>21ur-794</v>
      </c>
      <c r="F5788" t="s">
        <v>3161</v>
      </c>
      <c r="H5788" s="12">
        <v>2.4578120077400301</v>
      </c>
      <c r="I5788" s="20">
        <v>0.26093350314551</v>
      </c>
      <c r="J5788" s="28">
        <v>0.79414378780213601</v>
      </c>
      <c r="K5788" s="29">
        <v>0.98289565623980701</v>
      </c>
    </row>
    <row r="5789" spans="1:11" x14ac:dyDescent="0.35">
      <c r="A5789" s="9" t="str">
        <f>HYPERLINK("http://www.ensembl.org/id/WBGene00172963", "WBGene00172963")</f>
        <v>WBGene00172963</v>
      </c>
      <c r="B5789" s="9"/>
      <c r="C5789" s="9"/>
      <c r="D5789" t="str">
        <f>"21ur-7967"</f>
        <v>21ur-7967</v>
      </c>
      <c r="F5789" t="s">
        <v>3161</v>
      </c>
      <c r="H5789" s="12">
        <v>-3.7261494131482999</v>
      </c>
      <c r="I5789" s="20">
        <v>-0.38454673129429601</v>
      </c>
      <c r="J5789" s="28">
        <v>0.70057326682554</v>
      </c>
      <c r="K5789" s="29">
        <v>0.98289565623980701</v>
      </c>
    </row>
    <row r="5790" spans="1:11" x14ac:dyDescent="0.35">
      <c r="A5790" s="9" t="str">
        <f>HYPERLINK("http://www.ensembl.org/id/WBGene00170399", "WBGene00170399")</f>
        <v>WBGene00170399</v>
      </c>
      <c r="B5790" s="9"/>
      <c r="C5790" s="9"/>
      <c r="D5790" t="str">
        <f>"21ur-7981"</f>
        <v>21ur-7981</v>
      </c>
      <c r="F5790" t="s">
        <v>3161</v>
      </c>
      <c r="H5790" s="12">
        <v>2.3893468495514898</v>
      </c>
      <c r="I5790" s="20">
        <v>0.25323547253672701</v>
      </c>
      <c r="J5790" s="28">
        <v>0.80008625651646104</v>
      </c>
      <c r="K5790" s="29">
        <v>0.98289565623980701</v>
      </c>
    </row>
    <row r="5791" spans="1:11" x14ac:dyDescent="0.35">
      <c r="A5791" s="9" t="str">
        <f>HYPERLINK("http://www.ensembl.org/id/WBGene00172553", "WBGene00172553")</f>
        <v>WBGene00172553</v>
      </c>
      <c r="B5791" s="9"/>
      <c r="C5791" s="9"/>
      <c r="D5791" t="str">
        <f>"21ur-7982"</f>
        <v>21ur-7982</v>
      </c>
      <c r="F5791" t="s">
        <v>3161</v>
      </c>
      <c r="H5791" s="12">
        <v>2.3893468495514898</v>
      </c>
      <c r="I5791" s="20">
        <v>0.25323547253672701</v>
      </c>
      <c r="J5791" s="28">
        <v>0.80008625651646104</v>
      </c>
      <c r="K5791" s="29">
        <v>0.98289565623980701</v>
      </c>
    </row>
    <row r="5792" spans="1:11" x14ac:dyDescent="0.35">
      <c r="A5792" s="9" t="str">
        <f>HYPERLINK("http://www.ensembl.org/id/WBGene00165283", "WBGene00165283")</f>
        <v>WBGene00165283</v>
      </c>
      <c r="B5792" s="9"/>
      <c r="C5792" s="9"/>
      <c r="D5792" t="str">
        <f>"21ur-8001"</f>
        <v>21ur-8001</v>
      </c>
      <c r="F5792" t="s">
        <v>3161</v>
      </c>
      <c r="H5792" s="12">
        <v>2.3893468495514898</v>
      </c>
      <c r="I5792" s="20">
        <v>0.25323547253672701</v>
      </c>
      <c r="J5792" s="28">
        <v>0.80008625651646104</v>
      </c>
      <c r="K5792" s="29">
        <v>0.98289565623980701</v>
      </c>
    </row>
    <row r="5793" spans="1:11" x14ac:dyDescent="0.35">
      <c r="A5793" s="9" t="str">
        <f>HYPERLINK("http://www.ensembl.org/id/WBGene00169835", "WBGene00169835")</f>
        <v>WBGene00169835</v>
      </c>
      <c r="B5793" s="9"/>
      <c r="C5793" s="9"/>
      <c r="D5793" t="str">
        <f>"21ur-8043"</f>
        <v>21ur-8043</v>
      </c>
      <c r="F5793" t="s">
        <v>3161</v>
      </c>
      <c r="H5793" s="12">
        <v>2.3893468495514898</v>
      </c>
      <c r="I5793" s="20">
        <v>0.25323547253672701</v>
      </c>
      <c r="J5793" s="28">
        <v>0.80008625651646104</v>
      </c>
      <c r="K5793" s="29">
        <v>0.98289565623980701</v>
      </c>
    </row>
    <row r="5794" spans="1:11" x14ac:dyDescent="0.35">
      <c r="A5794" s="9" t="str">
        <f>HYPERLINK("http://www.ensembl.org/id/WBGene00167696", "WBGene00167696")</f>
        <v>WBGene00167696</v>
      </c>
      <c r="B5794" s="9"/>
      <c r="C5794" s="9"/>
      <c r="D5794" t="str">
        <f>"21ur-8084"</f>
        <v>21ur-8084</v>
      </c>
      <c r="F5794" t="s">
        <v>3161</v>
      </c>
      <c r="H5794" s="12">
        <v>2.3893468495514898</v>
      </c>
      <c r="I5794" s="20">
        <v>0.25323547253672701</v>
      </c>
      <c r="J5794" s="28">
        <v>0.80008625651646104</v>
      </c>
      <c r="K5794" s="29">
        <v>0.98289565623980701</v>
      </c>
    </row>
    <row r="5795" spans="1:11" x14ac:dyDescent="0.35">
      <c r="A5795" s="9" t="str">
        <f>HYPERLINK("http://www.ensembl.org/id/WBGene00173394", "WBGene00173394")</f>
        <v>WBGene00173394</v>
      </c>
      <c r="B5795" s="9"/>
      <c r="C5795" s="9"/>
      <c r="D5795" t="str">
        <f>"21ur-8115"</f>
        <v>21ur-8115</v>
      </c>
      <c r="F5795" t="s">
        <v>3161</v>
      </c>
      <c r="H5795" s="12">
        <v>2.43628531154256</v>
      </c>
      <c r="I5795" s="20">
        <v>0.26397437090349102</v>
      </c>
      <c r="J5795" s="28">
        <v>0.79179966754305298</v>
      </c>
      <c r="K5795" s="29">
        <v>0.98289565623980701</v>
      </c>
    </row>
    <row r="5796" spans="1:11" x14ac:dyDescent="0.35">
      <c r="A5796" s="9" t="str">
        <f>HYPERLINK("http://www.ensembl.org/id/WBGene00172023", "WBGene00172023")</f>
        <v>WBGene00172023</v>
      </c>
      <c r="B5796" s="9"/>
      <c r="C5796" s="9"/>
      <c r="D5796" t="str">
        <f>"21ur-8137"</f>
        <v>21ur-8137</v>
      </c>
      <c r="F5796" t="s">
        <v>3161</v>
      </c>
      <c r="H5796" s="12">
        <v>2.3893468495514898</v>
      </c>
      <c r="I5796" s="20">
        <v>0.25323547253672701</v>
      </c>
      <c r="J5796" s="28">
        <v>0.80008625651646104</v>
      </c>
      <c r="K5796" s="29">
        <v>0.98289565623980701</v>
      </c>
    </row>
    <row r="5797" spans="1:11" x14ac:dyDescent="0.35">
      <c r="A5797" s="9" t="str">
        <f>HYPERLINK("http://www.ensembl.org/id/WBGene00166012", "WBGene00166012")</f>
        <v>WBGene00166012</v>
      </c>
      <c r="B5797" s="9"/>
      <c r="C5797" s="9"/>
      <c r="D5797" t="str">
        <f>"21ur-8153"</f>
        <v>21ur-8153</v>
      </c>
      <c r="F5797" t="s">
        <v>3161</v>
      </c>
      <c r="H5797" s="12">
        <v>2.3893468495514898</v>
      </c>
      <c r="I5797" s="20">
        <v>0.25323547253672701</v>
      </c>
      <c r="J5797" s="28">
        <v>0.80008625651646104</v>
      </c>
      <c r="K5797" s="29">
        <v>0.98289565623980701</v>
      </c>
    </row>
    <row r="5798" spans="1:11" x14ac:dyDescent="0.35">
      <c r="A5798" s="9" t="str">
        <f>HYPERLINK("http://www.ensembl.org/id/WBGene00173119", "WBGene00173119")</f>
        <v>WBGene00173119</v>
      </c>
      <c r="B5798" s="9"/>
      <c r="C5798" s="9"/>
      <c r="D5798" t="str">
        <f>"21ur-8158"</f>
        <v>21ur-8158</v>
      </c>
      <c r="F5798" t="s">
        <v>3161</v>
      </c>
      <c r="H5798" s="12">
        <v>6.4346238113963601</v>
      </c>
      <c r="I5798" s="20">
        <v>0.98259605386116999</v>
      </c>
      <c r="J5798" s="28">
        <v>0.32580628735265699</v>
      </c>
      <c r="K5798" s="29">
        <v>0.98289565623980701</v>
      </c>
    </row>
    <row r="5799" spans="1:11" x14ac:dyDescent="0.35">
      <c r="A5799" s="9" t="str">
        <f>HYPERLINK("http://www.ensembl.org/id/WBGene00167147", "WBGene00167147")</f>
        <v>WBGene00167147</v>
      </c>
      <c r="B5799" s="9"/>
      <c r="C5799" s="9"/>
      <c r="D5799" t="str">
        <f>"21ur-8192"</f>
        <v>21ur-8192</v>
      </c>
      <c r="F5799" t="s">
        <v>3161</v>
      </c>
      <c r="H5799" s="12">
        <v>2.3893468495514898</v>
      </c>
      <c r="I5799" s="20">
        <v>0.25323547253672701</v>
      </c>
      <c r="J5799" s="28">
        <v>0.80008625651646104</v>
      </c>
      <c r="K5799" s="29">
        <v>0.98289565623980701</v>
      </c>
    </row>
    <row r="5800" spans="1:11" x14ac:dyDescent="0.35">
      <c r="A5800" s="9" t="str">
        <f>HYPERLINK("http://www.ensembl.org/id/WBGene00046524", "WBGene00046524")</f>
        <v>WBGene00046524</v>
      </c>
      <c r="B5800" s="9"/>
      <c r="C5800" s="9"/>
      <c r="D5800" t="str">
        <f>"21ur-823"</f>
        <v>21ur-823</v>
      </c>
      <c r="F5800" t="s">
        <v>3161</v>
      </c>
      <c r="H5800" s="12">
        <v>3.5227018545059199</v>
      </c>
      <c r="I5800" s="20">
        <v>0.36849691206929103</v>
      </c>
      <c r="J5800" s="28">
        <v>0.71250274722433404</v>
      </c>
      <c r="K5800" s="29">
        <v>0.98289565623980701</v>
      </c>
    </row>
    <row r="5801" spans="1:11" x14ac:dyDescent="0.35">
      <c r="A5801" s="9" t="str">
        <f>HYPERLINK("http://www.ensembl.org/id/WBGene00165579", "WBGene00165579")</f>
        <v>WBGene00165579</v>
      </c>
      <c r="B5801" s="9"/>
      <c r="C5801" s="9"/>
      <c r="D5801" t="str">
        <f>"21ur-8273"</f>
        <v>21ur-8273</v>
      </c>
      <c r="F5801" t="s">
        <v>3161</v>
      </c>
      <c r="H5801" s="12">
        <v>-2.4991590031922399</v>
      </c>
      <c r="I5801" s="20">
        <v>-0.26577412737581302</v>
      </c>
      <c r="J5801" s="28">
        <v>0.79041317015736101</v>
      </c>
      <c r="K5801" s="29">
        <v>0.98289565623980701</v>
      </c>
    </row>
    <row r="5802" spans="1:11" x14ac:dyDescent="0.35">
      <c r="A5802" s="9" t="str">
        <f>HYPERLINK("http://www.ensembl.org/id/WBGene00170626", "WBGene00170626")</f>
        <v>WBGene00170626</v>
      </c>
      <c r="B5802" s="9"/>
      <c r="C5802" s="9"/>
      <c r="D5802" t="str">
        <f>"21ur-8285"</f>
        <v>21ur-8285</v>
      </c>
      <c r="F5802" t="s">
        <v>3161</v>
      </c>
      <c r="H5802" s="12">
        <v>-2.4991590031922399</v>
      </c>
      <c r="I5802" s="20">
        <v>-0.26577412737581302</v>
      </c>
      <c r="J5802" s="28">
        <v>0.79041317015736101</v>
      </c>
      <c r="K5802" s="29">
        <v>0.98289565623980701</v>
      </c>
    </row>
    <row r="5803" spans="1:11" x14ac:dyDescent="0.35">
      <c r="A5803" s="9" t="str">
        <f>HYPERLINK("http://www.ensembl.org/id/WBGene00168606", "WBGene00168606")</f>
        <v>WBGene00168606</v>
      </c>
      <c r="B5803" s="9"/>
      <c r="C5803" s="9"/>
      <c r="D5803" t="str">
        <f>"21ur-8295"</f>
        <v>21ur-8295</v>
      </c>
      <c r="F5803" t="s">
        <v>3161</v>
      </c>
      <c r="H5803" s="12">
        <v>-3.7261494131482999</v>
      </c>
      <c r="I5803" s="20">
        <v>-0.38454673129429601</v>
      </c>
      <c r="J5803" s="28">
        <v>0.70057326682554</v>
      </c>
      <c r="K5803" s="29">
        <v>0.98289565623980701</v>
      </c>
    </row>
    <row r="5804" spans="1:11" x14ac:dyDescent="0.35">
      <c r="A5804" s="9" t="str">
        <f>HYPERLINK("http://www.ensembl.org/id/WBGene00171273", "WBGene00171273")</f>
        <v>WBGene00171273</v>
      </c>
      <c r="B5804" s="9"/>
      <c r="C5804" s="9"/>
      <c r="D5804" t="str">
        <f>"21ur-8344"</f>
        <v>21ur-8344</v>
      </c>
      <c r="F5804" t="s">
        <v>3161</v>
      </c>
      <c r="H5804" s="12">
        <v>2.3893468495514898</v>
      </c>
      <c r="I5804" s="20">
        <v>0.25323547253672701</v>
      </c>
      <c r="J5804" s="28">
        <v>0.80008625651646104</v>
      </c>
      <c r="K5804" s="29">
        <v>0.98289565623980701</v>
      </c>
    </row>
    <row r="5805" spans="1:11" x14ac:dyDescent="0.35">
      <c r="A5805" s="9" t="str">
        <f>HYPERLINK("http://www.ensembl.org/id/WBGene00168306", "WBGene00168306")</f>
        <v>WBGene00168306</v>
      </c>
      <c r="B5805" s="9"/>
      <c r="C5805" s="9"/>
      <c r="D5805" t="str">
        <f>"21ur-8384"</f>
        <v>21ur-8384</v>
      </c>
      <c r="F5805" t="s">
        <v>3161</v>
      </c>
      <c r="H5805" s="12">
        <v>4.4368407117627902</v>
      </c>
      <c r="I5805" s="20">
        <v>0.43709475933309699</v>
      </c>
      <c r="J5805" s="28">
        <v>0.66204262779770495</v>
      </c>
      <c r="K5805" s="29">
        <v>0.98289565623980701</v>
      </c>
    </row>
    <row r="5806" spans="1:11" x14ac:dyDescent="0.35">
      <c r="A5806" s="9" t="str">
        <f>HYPERLINK("http://www.ensembl.org/id/WBGene00168841", "WBGene00168841")</f>
        <v>WBGene00168841</v>
      </c>
      <c r="B5806" s="9"/>
      <c r="C5806" s="9"/>
      <c r="D5806" t="str">
        <f>"21ur-8392"</f>
        <v>21ur-8392</v>
      </c>
      <c r="F5806" t="s">
        <v>3161</v>
      </c>
      <c r="H5806" s="12">
        <v>3.6645215954135</v>
      </c>
      <c r="I5806" s="20">
        <v>0.37967131826092498</v>
      </c>
      <c r="J5806" s="28">
        <v>0.70418941338960395</v>
      </c>
      <c r="K5806" s="29">
        <v>0.98289565623980701</v>
      </c>
    </row>
    <row r="5807" spans="1:11" x14ac:dyDescent="0.35">
      <c r="A5807" s="9" t="str">
        <f>HYPERLINK("http://www.ensembl.org/id/WBGene00169312", "WBGene00169312")</f>
        <v>WBGene00169312</v>
      </c>
      <c r="B5807" s="9"/>
      <c r="C5807" s="9"/>
      <c r="D5807" t="str">
        <f>"21ur-8401"</f>
        <v>21ur-8401</v>
      </c>
      <c r="F5807" t="s">
        <v>3161</v>
      </c>
      <c r="H5807" s="12">
        <v>3.6645215954135</v>
      </c>
      <c r="I5807" s="20">
        <v>0.37967131826092498</v>
      </c>
      <c r="J5807" s="28">
        <v>0.70418941338960395</v>
      </c>
      <c r="K5807" s="29">
        <v>0.98289565623980701</v>
      </c>
    </row>
    <row r="5808" spans="1:11" x14ac:dyDescent="0.35">
      <c r="A5808" s="9" t="str">
        <f>HYPERLINK("http://www.ensembl.org/id/WBGene00170248", "WBGene00170248")</f>
        <v>WBGene00170248</v>
      </c>
      <c r="B5808" s="9"/>
      <c r="C5808" s="9"/>
      <c r="D5808" t="str">
        <f>"21ur-8409"</f>
        <v>21ur-8409</v>
      </c>
      <c r="F5808" t="s">
        <v>3161</v>
      </c>
      <c r="H5808" s="12">
        <v>3.5227018545059199</v>
      </c>
      <c r="I5808" s="20">
        <v>0.36849691206929103</v>
      </c>
      <c r="J5808" s="28">
        <v>0.71250274722433404</v>
      </c>
      <c r="K5808" s="29">
        <v>0.98289565623980701</v>
      </c>
    </row>
    <row r="5809" spans="1:11" x14ac:dyDescent="0.35">
      <c r="A5809" s="9" t="str">
        <f>HYPERLINK("http://www.ensembl.org/id/WBGene00173577", "WBGene00173577")</f>
        <v>WBGene00173577</v>
      </c>
      <c r="B5809" s="9"/>
      <c r="C5809" s="9"/>
      <c r="D5809" t="str">
        <f>"21ur-8421"</f>
        <v>21ur-8421</v>
      </c>
      <c r="F5809" t="s">
        <v>3161</v>
      </c>
      <c r="H5809" s="12">
        <v>2.3893468495514898</v>
      </c>
      <c r="I5809" s="20">
        <v>0.25323547253672701</v>
      </c>
      <c r="J5809" s="28">
        <v>0.80008625651646104</v>
      </c>
      <c r="K5809" s="29">
        <v>0.98289565623980701</v>
      </c>
    </row>
    <row r="5810" spans="1:11" x14ac:dyDescent="0.35">
      <c r="A5810" s="9" t="str">
        <f>HYPERLINK("http://www.ensembl.org/id/WBGene00172174", "WBGene00172174")</f>
        <v>WBGene00172174</v>
      </c>
      <c r="B5810" s="9"/>
      <c r="C5810" s="9"/>
      <c r="D5810" t="str">
        <f>"21ur-8491"</f>
        <v>21ur-8491</v>
      </c>
      <c r="F5810" t="s">
        <v>3161</v>
      </c>
      <c r="H5810" s="12">
        <v>-2.4295389261469</v>
      </c>
      <c r="I5810" s="20">
        <v>-0.25808529976640998</v>
      </c>
      <c r="J5810" s="28">
        <v>0.79634107645457397</v>
      </c>
      <c r="K5810" s="29">
        <v>0.98289565623980701</v>
      </c>
    </row>
    <row r="5811" spans="1:11" x14ac:dyDescent="0.35">
      <c r="A5811" s="9" t="str">
        <f>HYPERLINK("http://www.ensembl.org/id/WBGene00172820", "WBGene00172820")</f>
        <v>WBGene00172820</v>
      </c>
      <c r="B5811" s="9"/>
      <c r="C5811" s="9"/>
      <c r="D5811" t="str">
        <f>"21ur-8499"</f>
        <v>21ur-8499</v>
      </c>
      <c r="F5811" t="s">
        <v>3161</v>
      </c>
      <c r="H5811" s="12">
        <v>-4.7167679298615104</v>
      </c>
      <c r="I5811" s="20">
        <v>-0.454742638005115</v>
      </c>
      <c r="J5811" s="28">
        <v>0.64929440216969203</v>
      </c>
      <c r="K5811" s="29">
        <v>0.98289565623980701</v>
      </c>
    </row>
    <row r="5812" spans="1:11" x14ac:dyDescent="0.35">
      <c r="A5812" s="9" t="str">
        <f>HYPERLINK("http://www.ensembl.org/id/WBGene00048337", "WBGene00048337")</f>
        <v>WBGene00048337</v>
      </c>
      <c r="B5812" s="9"/>
      <c r="C5812" s="9"/>
      <c r="D5812" t="str">
        <f>"21ur-852"</f>
        <v>21ur-852</v>
      </c>
      <c r="F5812" t="s">
        <v>3161</v>
      </c>
      <c r="H5812" s="12">
        <v>2.4578120077400301</v>
      </c>
      <c r="I5812" s="20">
        <v>0.26093350314551</v>
      </c>
      <c r="J5812" s="28">
        <v>0.79414378780213601</v>
      </c>
      <c r="K5812" s="29">
        <v>0.98289565623980701</v>
      </c>
    </row>
    <row r="5813" spans="1:11" x14ac:dyDescent="0.35">
      <c r="A5813" s="9" t="str">
        <f>HYPERLINK("http://www.ensembl.org/id/WBGene00168409", "WBGene00168409")</f>
        <v>WBGene00168409</v>
      </c>
      <c r="B5813" s="9"/>
      <c r="C5813" s="9"/>
      <c r="D5813" t="str">
        <f>"21ur-8530"</f>
        <v>21ur-8530</v>
      </c>
      <c r="F5813" t="s">
        <v>3161</v>
      </c>
      <c r="H5813" s="12">
        <v>2.3893468495514898</v>
      </c>
      <c r="I5813" s="20">
        <v>0.25323547253672701</v>
      </c>
      <c r="J5813" s="28">
        <v>0.80008625651646104</v>
      </c>
      <c r="K5813" s="29">
        <v>0.98289565623980701</v>
      </c>
    </row>
    <row r="5814" spans="1:11" x14ac:dyDescent="0.35">
      <c r="A5814" s="9" t="str">
        <f>HYPERLINK("http://www.ensembl.org/id/WBGene00174411", "WBGene00174411")</f>
        <v>WBGene00174411</v>
      </c>
      <c r="B5814" s="9"/>
      <c r="C5814" s="9"/>
      <c r="D5814" t="str">
        <f>"21ur-8544"</f>
        <v>21ur-8544</v>
      </c>
      <c r="F5814" t="s">
        <v>3161</v>
      </c>
      <c r="H5814" s="12">
        <v>-2.4991590031922399</v>
      </c>
      <c r="I5814" s="20">
        <v>-0.26577412737581302</v>
      </c>
      <c r="J5814" s="28">
        <v>0.79041317015736101</v>
      </c>
      <c r="K5814" s="29">
        <v>0.98289565623980701</v>
      </c>
    </row>
    <row r="5815" spans="1:11" x14ac:dyDescent="0.35">
      <c r="A5815" s="9" t="str">
        <f>HYPERLINK("http://www.ensembl.org/id/WBGene00167159", "WBGene00167159")</f>
        <v>WBGene00167159</v>
      </c>
      <c r="B5815" s="9"/>
      <c r="C5815" s="9"/>
      <c r="D5815" t="str">
        <f>"21ur-8552"</f>
        <v>21ur-8552</v>
      </c>
      <c r="F5815" t="s">
        <v>3161</v>
      </c>
      <c r="H5815" s="12">
        <v>-3.18379974037203</v>
      </c>
      <c r="I5815" s="20">
        <v>-0.53200139377442202</v>
      </c>
      <c r="J5815" s="28">
        <v>0.59472503017695699</v>
      </c>
      <c r="K5815" s="29">
        <v>0.98289565623980701</v>
      </c>
    </row>
    <row r="5816" spans="1:11" x14ac:dyDescent="0.35">
      <c r="A5816" s="9" t="str">
        <f>HYPERLINK("http://www.ensembl.org/id/WBGene00166681", "WBGene00166681")</f>
        <v>WBGene00166681</v>
      </c>
      <c r="B5816" s="9"/>
      <c r="C5816" s="9"/>
      <c r="D5816" t="str">
        <f>"21ur-8637"</f>
        <v>21ur-8637</v>
      </c>
      <c r="F5816" t="s">
        <v>3161</v>
      </c>
      <c r="H5816" s="12">
        <v>3.5227018545059199</v>
      </c>
      <c r="I5816" s="20">
        <v>0.36849691206929103</v>
      </c>
      <c r="J5816" s="28">
        <v>0.71250274722433404</v>
      </c>
      <c r="K5816" s="29">
        <v>0.98289565623980701</v>
      </c>
    </row>
    <row r="5817" spans="1:11" x14ac:dyDescent="0.35">
      <c r="A5817" s="9" t="str">
        <f>HYPERLINK("http://www.ensembl.org/id/WBGene00174038", "WBGene00174038")</f>
        <v>WBGene00174038</v>
      </c>
      <c r="B5817" s="9"/>
      <c r="C5817" s="9"/>
      <c r="D5817" t="str">
        <f>"21ur-8647"</f>
        <v>21ur-8647</v>
      </c>
      <c r="F5817" t="s">
        <v>3161</v>
      </c>
      <c r="H5817" s="12">
        <v>2.3893468495514898</v>
      </c>
      <c r="I5817" s="20">
        <v>0.25323547253672701</v>
      </c>
      <c r="J5817" s="28">
        <v>0.80008625651646104</v>
      </c>
      <c r="K5817" s="29">
        <v>0.98289565623980701</v>
      </c>
    </row>
    <row r="5818" spans="1:11" x14ac:dyDescent="0.35">
      <c r="A5818" s="9" t="str">
        <f>HYPERLINK("http://www.ensembl.org/id/WBGene00174712", "WBGene00174712")</f>
        <v>WBGene00174712</v>
      </c>
      <c r="B5818" s="9"/>
      <c r="C5818" s="9"/>
      <c r="D5818" t="str">
        <f>"21ur-8653"</f>
        <v>21ur-8653</v>
      </c>
      <c r="F5818" t="s">
        <v>3161</v>
      </c>
      <c r="H5818" s="12">
        <v>3.5227018545059199</v>
      </c>
      <c r="I5818" s="20">
        <v>0.36849691206929103</v>
      </c>
      <c r="J5818" s="28">
        <v>0.71250274722433404</v>
      </c>
      <c r="K5818" s="29">
        <v>0.98289565623980701</v>
      </c>
    </row>
    <row r="5819" spans="1:11" x14ac:dyDescent="0.35">
      <c r="A5819" s="9" t="str">
        <f>HYPERLINK("http://www.ensembl.org/id/WBGene00171937", "WBGene00171937")</f>
        <v>WBGene00171937</v>
      </c>
      <c r="B5819" s="9"/>
      <c r="C5819" s="9"/>
      <c r="D5819" t="str">
        <f>"21ur-8658"</f>
        <v>21ur-8658</v>
      </c>
      <c r="F5819" t="s">
        <v>3161</v>
      </c>
      <c r="H5819" s="12">
        <v>-3.7261494131482999</v>
      </c>
      <c r="I5819" s="20">
        <v>-0.38454673129429601</v>
      </c>
      <c r="J5819" s="28">
        <v>0.70057326682554</v>
      </c>
      <c r="K5819" s="29">
        <v>0.98289565623980701</v>
      </c>
    </row>
    <row r="5820" spans="1:11" x14ac:dyDescent="0.35">
      <c r="A5820" s="9" t="str">
        <f>HYPERLINK("http://www.ensembl.org/id/WBGene00166811", "WBGene00166811")</f>
        <v>WBGene00166811</v>
      </c>
      <c r="B5820" s="9"/>
      <c r="C5820" s="9"/>
      <c r="D5820" t="str">
        <f>"21ur-8662"</f>
        <v>21ur-8662</v>
      </c>
      <c r="F5820" t="s">
        <v>3161</v>
      </c>
      <c r="H5820" s="12">
        <v>2.3893468495514898</v>
      </c>
      <c r="I5820" s="20">
        <v>0.25323547253672701</v>
      </c>
      <c r="J5820" s="28">
        <v>0.80008625651646104</v>
      </c>
      <c r="K5820" s="29">
        <v>0.98289565623980701</v>
      </c>
    </row>
    <row r="5821" spans="1:11" x14ac:dyDescent="0.35">
      <c r="A5821" s="9" t="str">
        <f>HYPERLINK("http://www.ensembl.org/id/WBGene00167917", "WBGene00167917")</f>
        <v>WBGene00167917</v>
      </c>
      <c r="B5821" s="9"/>
      <c r="C5821" s="9"/>
      <c r="D5821" t="str">
        <f>"21ur-8672"</f>
        <v>21ur-8672</v>
      </c>
      <c r="F5821" t="s">
        <v>3161</v>
      </c>
      <c r="H5821" s="12">
        <v>-2.4295389261469</v>
      </c>
      <c r="I5821" s="20">
        <v>-0.25808529976640998</v>
      </c>
      <c r="J5821" s="28">
        <v>0.79634107645457397</v>
      </c>
      <c r="K5821" s="29">
        <v>0.98289565623980701</v>
      </c>
    </row>
    <row r="5822" spans="1:11" x14ac:dyDescent="0.35">
      <c r="A5822" s="9" t="str">
        <f>HYPERLINK("http://www.ensembl.org/id/WBGene00172872", "WBGene00172872")</f>
        <v>WBGene00172872</v>
      </c>
      <c r="B5822" s="9"/>
      <c r="C5822" s="9"/>
      <c r="D5822" t="str">
        <f>"21ur-8706"</f>
        <v>21ur-8706</v>
      </c>
      <c r="F5822" t="s">
        <v>3161</v>
      </c>
      <c r="H5822" s="12">
        <v>5.2322000618327396</v>
      </c>
      <c r="I5822" s="20">
        <v>0.486112489888328</v>
      </c>
      <c r="J5822" s="28">
        <v>0.62688741196182496</v>
      </c>
      <c r="K5822" s="29">
        <v>0.98289565623980701</v>
      </c>
    </row>
    <row r="5823" spans="1:11" x14ac:dyDescent="0.35">
      <c r="A5823" s="9" t="str">
        <f>HYPERLINK("http://www.ensembl.org/id/WBGene00172730", "WBGene00172730")</f>
        <v>WBGene00172730</v>
      </c>
      <c r="B5823" s="9"/>
      <c r="C5823" s="9"/>
      <c r="D5823" t="str">
        <f>"21ur-8736"</f>
        <v>21ur-8736</v>
      </c>
      <c r="F5823" t="s">
        <v>3161</v>
      </c>
      <c r="H5823" s="12">
        <v>-2.4991590031922399</v>
      </c>
      <c r="I5823" s="20">
        <v>-0.26577412737581302</v>
      </c>
      <c r="J5823" s="28">
        <v>0.79041317015736101</v>
      </c>
      <c r="K5823" s="29">
        <v>0.98289565623980701</v>
      </c>
    </row>
    <row r="5824" spans="1:11" x14ac:dyDescent="0.35">
      <c r="A5824" s="9" t="str">
        <f>HYPERLINK("http://www.ensembl.org/id/WBGene00173461", "WBGene00173461")</f>
        <v>WBGene00173461</v>
      </c>
      <c r="B5824" s="9"/>
      <c r="C5824" s="9"/>
      <c r="D5824" t="str">
        <f>"21ur-8742"</f>
        <v>21ur-8742</v>
      </c>
      <c r="F5824" t="s">
        <v>3161</v>
      </c>
      <c r="H5824" s="12">
        <v>-2.4991590031922399</v>
      </c>
      <c r="I5824" s="20">
        <v>-0.26577412737581302</v>
      </c>
      <c r="J5824" s="28">
        <v>0.79041317015736101</v>
      </c>
      <c r="K5824" s="29">
        <v>0.98289565623980701</v>
      </c>
    </row>
    <row r="5825" spans="1:11" x14ac:dyDescent="0.35">
      <c r="A5825" s="9" t="str">
        <f>HYPERLINK("http://www.ensembl.org/id/WBGene00167019", "WBGene00167019")</f>
        <v>WBGene00167019</v>
      </c>
      <c r="B5825" s="9"/>
      <c r="C5825" s="9"/>
      <c r="D5825" t="str">
        <f>"21ur-8753"</f>
        <v>21ur-8753</v>
      </c>
      <c r="F5825" t="s">
        <v>3161</v>
      </c>
      <c r="H5825" s="12">
        <v>-2.4991590031922399</v>
      </c>
      <c r="I5825" s="20">
        <v>-0.26577412737581302</v>
      </c>
      <c r="J5825" s="28">
        <v>0.79041317015736101</v>
      </c>
      <c r="K5825" s="29">
        <v>0.98289565623980701</v>
      </c>
    </row>
    <row r="5826" spans="1:11" x14ac:dyDescent="0.35">
      <c r="A5826" s="9" t="str">
        <f>HYPERLINK("http://www.ensembl.org/id/WBGene00170170", "WBGene00170170")</f>
        <v>WBGene00170170</v>
      </c>
      <c r="B5826" s="9"/>
      <c r="C5826" s="9"/>
      <c r="D5826" t="str">
        <f>"21ur-8763"</f>
        <v>21ur-8763</v>
      </c>
      <c r="F5826" t="s">
        <v>3161</v>
      </c>
      <c r="H5826" s="12">
        <v>-2.4991590031922399</v>
      </c>
      <c r="I5826" s="20">
        <v>-0.26577412737581302</v>
      </c>
      <c r="J5826" s="28">
        <v>0.79041317015736101</v>
      </c>
      <c r="K5826" s="29">
        <v>0.98289565623980701</v>
      </c>
    </row>
    <row r="5827" spans="1:11" x14ac:dyDescent="0.35">
      <c r="A5827" s="9" t="str">
        <f>HYPERLINK("http://www.ensembl.org/id/WBGene00171264", "WBGene00171264")</f>
        <v>WBGene00171264</v>
      </c>
      <c r="B5827" s="9"/>
      <c r="C5827" s="9"/>
      <c r="D5827" t="str">
        <f>"21ur-8765"</f>
        <v>21ur-8765</v>
      </c>
      <c r="F5827" t="s">
        <v>3161</v>
      </c>
      <c r="H5827" s="12">
        <v>2.3893468495514898</v>
      </c>
      <c r="I5827" s="20">
        <v>0.25323547253672701</v>
      </c>
      <c r="J5827" s="28">
        <v>0.80008625651646104</v>
      </c>
      <c r="K5827" s="29">
        <v>0.98289565623980701</v>
      </c>
    </row>
    <row r="5828" spans="1:11" x14ac:dyDescent="0.35">
      <c r="A5828" s="9" t="str">
        <f>HYPERLINK("http://www.ensembl.org/id/WBGene00173752", "WBGene00173752")</f>
        <v>WBGene00173752</v>
      </c>
      <c r="B5828" s="9"/>
      <c r="C5828" s="9"/>
      <c r="D5828" t="str">
        <f>"21ur-8792"</f>
        <v>21ur-8792</v>
      </c>
      <c r="F5828" t="s">
        <v>3161</v>
      </c>
      <c r="H5828" s="12">
        <v>2.3893468495514898</v>
      </c>
      <c r="I5828" s="20">
        <v>0.25323547253672701</v>
      </c>
      <c r="J5828" s="28">
        <v>0.80008625651646104</v>
      </c>
      <c r="K5828" s="29">
        <v>0.98289565623980701</v>
      </c>
    </row>
    <row r="5829" spans="1:11" x14ac:dyDescent="0.35">
      <c r="A5829" s="9" t="str">
        <f>HYPERLINK("http://www.ensembl.org/id/WBGene00050772", "WBGene00050772")</f>
        <v>WBGene00050772</v>
      </c>
      <c r="B5829" s="9"/>
      <c r="C5829" s="9"/>
      <c r="D5829" t="str">
        <f>"21ur-883"</f>
        <v>21ur-883</v>
      </c>
      <c r="F5829" t="s">
        <v>3161</v>
      </c>
      <c r="H5829" s="12">
        <v>4.4368407117627902</v>
      </c>
      <c r="I5829" s="20">
        <v>0.43709475933309699</v>
      </c>
      <c r="J5829" s="28">
        <v>0.66204262779770495</v>
      </c>
      <c r="K5829" s="29">
        <v>0.98289565623980701</v>
      </c>
    </row>
    <row r="5830" spans="1:11" x14ac:dyDescent="0.35">
      <c r="A5830" s="9" t="str">
        <f>HYPERLINK("http://www.ensembl.org/id/WBGene00174851", "WBGene00174851")</f>
        <v>WBGene00174851</v>
      </c>
      <c r="B5830" s="9"/>
      <c r="C5830" s="9"/>
      <c r="D5830" t="str">
        <f>"21ur-8863"</f>
        <v>21ur-8863</v>
      </c>
      <c r="F5830" t="s">
        <v>3161</v>
      </c>
      <c r="H5830" s="12">
        <v>2.3893468495514898</v>
      </c>
      <c r="I5830" s="20">
        <v>0.25323547253672701</v>
      </c>
      <c r="J5830" s="28">
        <v>0.80008625651646104</v>
      </c>
      <c r="K5830" s="29">
        <v>0.98289565623980701</v>
      </c>
    </row>
    <row r="5831" spans="1:11" x14ac:dyDescent="0.35">
      <c r="A5831" s="9" t="str">
        <f>HYPERLINK("http://www.ensembl.org/id/WBGene00172189", "WBGene00172189")</f>
        <v>WBGene00172189</v>
      </c>
      <c r="B5831" s="9"/>
      <c r="C5831" s="9"/>
      <c r="D5831" t="str">
        <f>"21ur-8883"</f>
        <v>21ur-8883</v>
      </c>
      <c r="F5831" t="s">
        <v>3161</v>
      </c>
      <c r="H5831" s="12">
        <v>-2.4991590031922399</v>
      </c>
      <c r="I5831" s="20">
        <v>-0.26577412737581302</v>
      </c>
      <c r="J5831" s="28">
        <v>0.79041317015736101</v>
      </c>
      <c r="K5831" s="29">
        <v>0.98289565623980701</v>
      </c>
    </row>
    <row r="5832" spans="1:11" x14ac:dyDescent="0.35">
      <c r="A5832" s="9" t="str">
        <f>HYPERLINK("http://www.ensembl.org/id/WBGene00168391", "WBGene00168391")</f>
        <v>WBGene00168391</v>
      </c>
      <c r="B5832" s="9"/>
      <c r="C5832" s="9"/>
      <c r="D5832" t="str">
        <f>"21ur-8917"</f>
        <v>21ur-8917</v>
      </c>
      <c r="F5832" t="s">
        <v>3161</v>
      </c>
      <c r="H5832" s="12">
        <v>-3.7261494131482999</v>
      </c>
      <c r="I5832" s="20">
        <v>-0.38454673129429601</v>
      </c>
      <c r="J5832" s="28">
        <v>0.70057326682554</v>
      </c>
      <c r="K5832" s="29">
        <v>0.98289565623980701</v>
      </c>
    </row>
    <row r="5833" spans="1:11" x14ac:dyDescent="0.35">
      <c r="A5833" s="9" t="str">
        <f>HYPERLINK("http://www.ensembl.org/id/WBGene00169249", "WBGene00169249")</f>
        <v>WBGene00169249</v>
      </c>
      <c r="B5833" s="9"/>
      <c r="C5833" s="9"/>
      <c r="D5833" t="str">
        <f>"21ur-8936"</f>
        <v>21ur-8936</v>
      </c>
      <c r="F5833" t="s">
        <v>3161</v>
      </c>
      <c r="H5833" s="12">
        <v>2.3893468495514898</v>
      </c>
      <c r="I5833" s="20">
        <v>0.25323547253672701</v>
      </c>
      <c r="J5833" s="28">
        <v>0.80008625651646104</v>
      </c>
      <c r="K5833" s="29">
        <v>0.98289565623980701</v>
      </c>
    </row>
    <row r="5834" spans="1:11" x14ac:dyDescent="0.35">
      <c r="A5834" s="9" t="str">
        <f>HYPERLINK("http://www.ensembl.org/id/WBGene00169592", "WBGene00169592")</f>
        <v>WBGene00169592</v>
      </c>
      <c r="B5834" s="9"/>
      <c r="C5834" s="9"/>
      <c r="D5834" t="str">
        <f>"21ur-9006"</f>
        <v>21ur-9006</v>
      </c>
      <c r="F5834" t="s">
        <v>3161</v>
      </c>
      <c r="H5834" s="12">
        <v>5.4871973923358901</v>
      </c>
      <c r="I5834" s="20">
        <v>0.499843548621418</v>
      </c>
      <c r="J5834" s="28">
        <v>0.61718524397184105</v>
      </c>
      <c r="K5834" s="29">
        <v>0.98289565623980701</v>
      </c>
    </row>
    <row r="5835" spans="1:11" x14ac:dyDescent="0.35">
      <c r="A5835" s="9" t="str">
        <f>HYPERLINK("http://www.ensembl.org/id/WBGene00169555", "WBGene00169555")</f>
        <v>WBGene00169555</v>
      </c>
      <c r="B5835" s="9"/>
      <c r="C5835" s="9"/>
      <c r="D5835" t="str">
        <f>"21ur-9114"</f>
        <v>21ur-9114</v>
      </c>
      <c r="F5835" t="s">
        <v>3161</v>
      </c>
      <c r="H5835" s="12">
        <v>2.4578120077400301</v>
      </c>
      <c r="I5835" s="20">
        <v>0.26093350314551</v>
      </c>
      <c r="J5835" s="28">
        <v>0.79414378780213601</v>
      </c>
      <c r="K5835" s="29">
        <v>0.98289565623980701</v>
      </c>
    </row>
    <row r="5836" spans="1:11" x14ac:dyDescent="0.35">
      <c r="A5836" s="9" t="str">
        <f>HYPERLINK("http://www.ensembl.org/id/WBGene00169607", "WBGene00169607")</f>
        <v>WBGene00169607</v>
      </c>
      <c r="B5836" s="9"/>
      <c r="C5836" s="9"/>
      <c r="D5836" t="str">
        <f>"21ur-9141"</f>
        <v>21ur-9141</v>
      </c>
      <c r="F5836" t="s">
        <v>3161</v>
      </c>
      <c r="H5836" s="12">
        <v>3.5227018545059199</v>
      </c>
      <c r="I5836" s="20">
        <v>0.36849691206929103</v>
      </c>
      <c r="J5836" s="28">
        <v>0.71250274722433404</v>
      </c>
      <c r="K5836" s="29">
        <v>0.98289565623980701</v>
      </c>
    </row>
    <row r="5837" spans="1:11" x14ac:dyDescent="0.35">
      <c r="A5837" s="9" t="str">
        <f>HYPERLINK("http://www.ensembl.org/id/WBGene00167260", "WBGene00167260")</f>
        <v>WBGene00167260</v>
      </c>
      <c r="B5837" s="9"/>
      <c r="C5837" s="9"/>
      <c r="D5837" t="str">
        <f>"21ur-9145"</f>
        <v>21ur-9145</v>
      </c>
      <c r="F5837" t="s">
        <v>3161</v>
      </c>
      <c r="H5837" s="12">
        <v>2.4578120077400301</v>
      </c>
      <c r="I5837" s="20">
        <v>0.26093350314551</v>
      </c>
      <c r="J5837" s="28">
        <v>0.79414378780213601</v>
      </c>
      <c r="K5837" s="29">
        <v>0.98289565623980701</v>
      </c>
    </row>
    <row r="5838" spans="1:11" x14ac:dyDescent="0.35">
      <c r="A5838" s="9" t="str">
        <f>HYPERLINK("http://www.ensembl.org/id/WBGene00165547", "WBGene00165547")</f>
        <v>WBGene00165547</v>
      </c>
      <c r="B5838" s="9"/>
      <c r="C5838" s="9"/>
      <c r="D5838" t="str">
        <f>"21ur-9177"</f>
        <v>21ur-9177</v>
      </c>
      <c r="F5838" t="s">
        <v>3161</v>
      </c>
      <c r="H5838" s="12">
        <v>3.5227018545059199</v>
      </c>
      <c r="I5838" s="20">
        <v>0.36849691206929103</v>
      </c>
      <c r="J5838" s="28">
        <v>0.71250274722433404</v>
      </c>
      <c r="K5838" s="29">
        <v>0.98289565623980701</v>
      </c>
    </row>
    <row r="5839" spans="1:11" x14ac:dyDescent="0.35">
      <c r="A5839" s="9" t="str">
        <f>HYPERLINK("http://www.ensembl.org/id/WBGene00167116", "WBGene00167116")</f>
        <v>WBGene00167116</v>
      </c>
      <c r="B5839" s="9"/>
      <c r="C5839" s="9"/>
      <c r="D5839" t="str">
        <f>"21ur-9208"</f>
        <v>21ur-9208</v>
      </c>
      <c r="F5839" t="s">
        <v>3161</v>
      </c>
      <c r="H5839" s="12">
        <v>-2.4295389261469</v>
      </c>
      <c r="I5839" s="20">
        <v>-0.25808529976640998</v>
      </c>
      <c r="J5839" s="28">
        <v>0.79634107645457397</v>
      </c>
      <c r="K5839" s="29">
        <v>0.98289565623980701</v>
      </c>
    </row>
    <row r="5840" spans="1:11" x14ac:dyDescent="0.35">
      <c r="A5840" s="9" t="str">
        <f>HYPERLINK("http://www.ensembl.org/id/WBGene00165855", "WBGene00165855")</f>
        <v>WBGene00165855</v>
      </c>
      <c r="B5840" s="9"/>
      <c r="C5840" s="9"/>
      <c r="D5840" t="str">
        <f>"21ur-9235"</f>
        <v>21ur-9235</v>
      </c>
      <c r="F5840" t="s">
        <v>3161</v>
      </c>
      <c r="H5840" s="12">
        <v>-3.8117711228402902</v>
      </c>
      <c r="I5840" s="20">
        <v>-0.42004545650932301</v>
      </c>
      <c r="J5840" s="28">
        <v>0.67445224688133198</v>
      </c>
      <c r="K5840" s="29">
        <v>0.98289565623980701</v>
      </c>
    </row>
    <row r="5841" spans="1:11" x14ac:dyDescent="0.35">
      <c r="A5841" s="9" t="str">
        <f>HYPERLINK("http://www.ensembl.org/id/WBGene00173375", "WBGene00173375")</f>
        <v>WBGene00173375</v>
      </c>
      <c r="B5841" s="9"/>
      <c r="C5841" s="9"/>
      <c r="D5841" t="str">
        <f>"21ur-9310"</f>
        <v>21ur-9310</v>
      </c>
      <c r="F5841" t="s">
        <v>3161</v>
      </c>
      <c r="H5841" s="12">
        <v>-2.4991590031922399</v>
      </c>
      <c r="I5841" s="20">
        <v>-0.26577412737581302</v>
      </c>
      <c r="J5841" s="28">
        <v>0.79041317015736101</v>
      </c>
      <c r="K5841" s="29">
        <v>0.98289565623980701</v>
      </c>
    </row>
    <row r="5842" spans="1:11" x14ac:dyDescent="0.35">
      <c r="A5842" s="9" t="str">
        <f>HYPERLINK("http://www.ensembl.org/id/WBGene00166603", "WBGene00166603")</f>
        <v>WBGene00166603</v>
      </c>
      <c r="B5842" s="9"/>
      <c r="C5842" s="9"/>
      <c r="D5842" t="str">
        <f>"21ur-9319"</f>
        <v>21ur-9319</v>
      </c>
      <c r="F5842" t="s">
        <v>3161</v>
      </c>
      <c r="H5842" s="12">
        <v>2.3893468495514898</v>
      </c>
      <c r="I5842" s="20">
        <v>0.25323547253672701</v>
      </c>
      <c r="J5842" s="28">
        <v>0.80008625651646104</v>
      </c>
      <c r="K5842" s="29">
        <v>0.98289565623980701</v>
      </c>
    </row>
    <row r="5843" spans="1:11" x14ac:dyDescent="0.35">
      <c r="A5843" s="9" t="str">
        <f>HYPERLINK("http://www.ensembl.org/id/WBGene00169917", "WBGene00169917")</f>
        <v>WBGene00169917</v>
      </c>
      <c r="B5843" s="9"/>
      <c r="C5843" s="9"/>
      <c r="D5843" t="str">
        <f>"21ur-9322"</f>
        <v>21ur-9322</v>
      </c>
      <c r="F5843" t="s">
        <v>3161</v>
      </c>
      <c r="H5843" s="12">
        <v>2.25121680441511</v>
      </c>
      <c r="I5843" s="20">
        <v>0.41503336635807703</v>
      </c>
      <c r="J5843" s="28">
        <v>0.67811747738662997</v>
      </c>
      <c r="K5843" s="29">
        <v>0.98289565623980701</v>
      </c>
    </row>
    <row r="5844" spans="1:11" x14ac:dyDescent="0.35">
      <c r="A5844" s="9" t="str">
        <f>HYPERLINK("http://www.ensembl.org/id/WBGene00173540", "WBGene00173540")</f>
        <v>WBGene00173540</v>
      </c>
      <c r="B5844" s="9"/>
      <c r="C5844" s="9"/>
      <c r="D5844" t="str">
        <f>"21ur-9331"</f>
        <v>21ur-9331</v>
      </c>
      <c r="F5844" t="s">
        <v>3161</v>
      </c>
      <c r="H5844" s="12">
        <v>-1.36708896870321</v>
      </c>
      <c r="I5844" s="20">
        <v>-0.41478789766685598</v>
      </c>
      <c r="J5844" s="28">
        <v>0.67829717987434901</v>
      </c>
      <c r="K5844" s="29">
        <v>0.98289565623980701</v>
      </c>
    </row>
    <row r="5845" spans="1:11" x14ac:dyDescent="0.35">
      <c r="A5845" s="9" t="str">
        <f>HYPERLINK("http://www.ensembl.org/id/WBGene00167601", "WBGene00167601")</f>
        <v>WBGene00167601</v>
      </c>
      <c r="B5845" s="9"/>
      <c r="C5845" s="9"/>
      <c r="D5845" t="str">
        <f>"21ur-9375"</f>
        <v>21ur-9375</v>
      </c>
      <c r="F5845" t="s">
        <v>3161</v>
      </c>
      <c r="H5845" s="12">
        <v>2.4578120077400301</v>
      </c>
      <c r="I5845" s="20">
        <v>0.26093350314551</v>
      </c>
      <c r="J5845" s="28">
        <v>0.79414378780213601</v>
      </c>
      <c r="K5845" s="29">
        <v>0.98289565623980701</v>
      </c>
    </row>
    <row r="5846" spans="1:11" x14ac:dyDescent="0.35">
      <c r="A5846" s="9" t="str">
        <f>HYPERLINK("http://www.ensembl.org/id/WBGene00171823", "WBGene00171823")</f>
        <v>WBGene00171823</v>
      </c>
      <c r="B5846" s="9"/>
      <c r="C5846" s="9"/>
      <c r="D5846" t="str">
        <f>"21ur-9380"</f>
        <v>21ur-9380</v>
      </c>
      <c r="F5846" t="s">
        <v>3161</v>
      </c>
      <c r="H5846" s="12">
        <v>5.4058944669092801</v>
      </c>
      <c r="I5846" s="20">
        <v>0.49762513753689303</v>
      </c>
      <c r="J5846" s="28">
        <v>0.61874828254921799</v>
      </c>
      <c r="K5846" s="29">
        <v>0.98289565623980701</v>
      </c>
    </row>
    <row r="5847" spans="1:11" x14ac:dyDescent="0.35">
      <c r="A5847" s="9" t="str">
        <f>HYPERLINK("http://www.ensembl.org/id/WBGene00168549", "WBGene00168549")</f>
        <v>WBGene00168549</v>
      </c>
      <c r="B5847" s="9"/>
      <c r="C5847" s="9"/>
      <c r="D5847" t="str">
        <f>"21ur-9391"</f>
        <v>21ur-9391</v>
      </c>
      <c r="F5847" t="s">
        <v>3161</v>
      </c>
      <c r="H5847" s="12">
        <v>-2.4295389261469</v>
      </c>
      <c r="I5847" s="20">
        <v>-0.25808529976640998</v>
      </c>
      <c r="J5847" s="28">
        <v>0.79634107645457397</v>
      </c>
      <c r="K5847" s="29">
        <v>0.98289565623980701</v>
      </c>
    </row>
    <row r="5848" spans="1:11" x14ac:dyDescent="0.35">
      <c r="A5848" s="9" t="str">
        <f>HYPERLINK("http://www.ensembl.org/id/WBGene00165679", "WBGene00165679")</f>
        <v>WBGene00165679</v>
      </c>
      <c r="B5848" s="9"/>
      <c r="C5848" s="9"/>
      <c r="D5848" t="str">
        <f>"21ur-9408"</f>
        <v>21ur-9408</v>
      </c>
      <c r="F5848" t="s">
        <v>3161</v>
      </c>
      <c r="H5848" s="12">
        <v>3.5227018545059199</v>
      </c>
      <c r="I5848" s="20">
        <v>0.36849691206929103</v>
      </c>
      <c r="J5848" s="28">
        <v>0.71250274722433404</v>
      </c>
      <c r="K5848" s="29">
        <v>0.98289565623980701</v>
      </c>
    </row>
    <row r="5849" spans="1:11" x14ac:dyDescent="0.35">
      <c r="A5849" s="9" t="str">
        <f>HYPERLINK("http://www.ensembl.org/id/WBGene00169699", "WBGene00169699")</f>
        <v>WBGene00169699</v>
      </c>
      <c r="B5849" s="9"/>
      <c r="C5849" s="9"/>
      <c r="D5849" t="str">
        <f>"21ur-9463"</f>
        <v>21ur-9463</v>
      </c>
      <c r="F5849" t="s">
        <v>3161</v>
      </c>
      <c r="H5849" s="12">
        <v>-2.3838754719136599</v>
      </c>
      <c r="I5849" s="20">
        <v>-0.25807578497976902</v>
      </c>
      <c r="J5849" s="28">
        <v>0.79634841949468704</v>
      </c>
      <c r="K5849" s="29">
        <v>0.98289565623980701</v>
      </c>
    </row>
    <row r="5850" spans="1:11" x14ac:dyDescent="0.35">
      <c r="A5850" s="9" t="str">
        <f>HYPERLINK("http://www.ensembl.org/id/WBGene00168622", "WBGene00168622")</f>
        <v>WBGene00168622</v>
      </c>
      <c r="B5850" s="9"/>
      <c r="C5850" s="9"/>
      <c r="D5850" t="str">
        <f>"21ur-9485"</f>
        <v>21ur-9485</v>
      </c>
      <c r="F5850" t="s">
        <v>3161</v>
      </c>
      <c r="H5850" s="12">
        <v>2.4578120077400301</v>
      </c>
      <c r="I5850" s="20">
        <v>0.26093350314551</v>
      </c>
      <c r="J5850" s="28">
        <v>0.79414378780213601</v>
      </c>
      <c r="K5850" s="29">
        <v>0.98289565623980701</v>
      </c>
    </row>
    <row r="5851" spans="1:11" x14ac:dyDescent="0.35">
      <c r="A5851" s="9" t="str">
        <f>HYPERLINK("http://www.ensembl.org/id/WBGene00170521", "WBGene00170521")</f>
        <v>WBGene00170521</v>
      </c>
      <c r="B5851" s="9"/>
      <c r="C5851" s="9"/>
      <c r="D5851" t="str">
        <f>"21ur-9523"</f>
        <v>21ur-9523</v>
      </c>
      <c r="F5851" t="s">
        <v>3161</v>
      </c>
      <c r="H5851" s="12">
        <v>2.4755196166000202</v>
      </c>
      <c r="I5851" s="20">
        <v>0.71184102676227401</v>
      </c>
      <c r="J5851" s="28">
        <v>0.47656322408217899</v>
      </c>
      <c r="K5851" s="29">
        <v>0.98289565623980701</v>
      </c>
    </row>
    <row r="5852" spans="1:11" x14ac:dyDescent="0.35">
      <c r="A5852" s="9" t="str">
        <f>HYPERLINK("http://www.ensembl.org/id/WBGene00047606", "WBGene00047606")</f>
        <v>WBGene00047606</v>
      </c>
      <c r="B5852" s="9"/>
      <c r="C5852" s="9"/>
      <c r="D5852" t="str">
        <f>"21ur-956"</f>
        <v>21ur-956</v>
      </c>
      <c r="F5852" t="s">
        <v>3161</v>
      </c>
      <c r="H5852" s="12">
        <v>2.4578120077400301</v>
      </c>
      <c r="I5852" s="20">
        <v>0.26093350314551</v>
      </c>
      <c r="J5852" s="28">
        <v>0.79414378780213601</v>
      </c>
      <c r="K5852" s="29">
        <v>0.98289565623980701</v>
      </c>
    </row>
    <row r="5853" spans="1:11" x14ac:dyDescent="0.35">
      <c r="A5853" s="9" t="str">
        <f>HYPERLINK("http://www.ensembl.org/id/WBGene00169629", "WBGene00169629")</f>
        <v>WBGene00169629</v>
      </c>
      <c r="B5853" s="9"/>
      <c r="C5853" s="9"/>
      <c r="D5853" t="str">
        <f>"21ur-9619"</f>
        <v>21ur-9619</v>
      </c>
      <c r="F5853" t="s">
        <v>3161</v>
      </c>
      <c r="H5853" s="12">
        <v>3.63773329903271</v>
      </c>
      <c r="I5853" s="20">
        <v>0.57647651198805905</v>
      </c>
      <c r="J5853" s="28">
        <v>0.56429314143299902</v>
      </c>
      <c r="K5853" s="29">
        <v>0.98289565623980701</v>
      </c>
    </row>
    <row r="5854" spans="1:11" x14ac:dyDescent="0.35">
      <c r="A5854" s="9" t="str">
        <f>HYPERLINK("http://www.ensembl.org/id/WBGene00171568", "WBGene00171568")</f>
        <v>WBGene00171568</v>
      </c>
      <c r="B5854" s="9"/>
      <c r="C5854" s="9"/>
      <c r="D5854" t="str">
        <f>"21ur-9650"</f>
        <v>21ur-9650</v>
      </c>
      <c r="F5854" t="s">
        <v>3161</v>
      </c>
      <c r="H5854" s="12">
        <v>-2.2282189590352801</v>
      </c>
      <c r="I5854" s="20">
        <v>-0.34293873924573798</v>
      </c>
      <c r="J5854" s="28">
        <v>0.73164454730052397</v>
      </c>
      <c r="K5854" s="29">
        <v>0.98289565623980701</v>
      </c>
    </row>
    <row r="5855" spans="1:11" x14ac:dyDescent="0.35">
      <c r="A5855" s="9" t="str">
        <f>HYPERLINK("http://www.ensembl.org/id/WBGene00168301", "WBGene00168301")</f>
        <v>WBGene00168301</v>
      </c>
      <c r="B5855" s="9"/>
      <c r="C5855" s="9"/>
      <c r="D5855" t="str">
        <f>"21ur-9674"</f>
        <v>21ur-9674</v>
      </c>
      <c r="F5855" t="s">
        <v>3161</v>
      </c>
      <c r="H5855" s="12">
        <v>-2.4991590031922399</v>
      </c>
      <c r="I5855" s="20">
        <v>-0.26577412737581302</v>
      </c>
      <c r="J5855" s="28">
        <v>0.79041317015736101</v>
      </c>
      <c r="K5855" s="29">
        <v>0.98289565623980701</v>
      </c>
    </row>
    <row r="5856" spans="1:11" x14ac:dyDescent="0.35">
      <c r="A5856" s="9" t="str">
        <f>HYPERLINK("http://www.ensembl.org/id/WBGene00172377", "WBGene00172377")</f>
        <v>WBGene00172377</v>
      </c>
      <c r="B5856" s="9"/>
      <c r="C5856" s="9"/>
      <c r="D5856" t="str">
        <f>"21ur-9685"</f>
        <v>21ur-9685</v>
      </c>
      <c r="F5856" t="s">
        <v>3161</v>
      </c>
      <c r="H5856" s="12">
        <v>2.4578120077400301</v>
      </c>
      <c r="I5856" s="20">
        <v>0.26093350314551</v>
      </c>
      <c r="J5856" s="28">
        <v>0.79414378780213601</v>
      </c>
      <c r="K5856" s="29">
        <v>0.98289565623980701</v>
      </c>
    </row>
    <row r="5857" spans="1:11" x14ac:dyDescent="0.35">
      <c r="A5857" s="9" t="str">
        <f>HYPERLINK("http://www.ensembl.org/id/WBGene00169034", "WBGene00169034")</f>
        <v>WBGene00169034</v>
      </c>
      <c r="B5857" s="9"/>
      <c r="C5857" s="9"/>
      <c r="D5857" t="str">
        <f>"21ur-9743"</f>
        <v>21ur-9743</v>
      </c>
      <c r="F5857" t="s">
        <v>3161</v>
      </c>
      <c r="H5857" s="12">
        <v>2.3893468495514898</v>
      </c>
      <c r="I5857" s="20">
        <v>0.25323547253672701</v>
      </c>
      <c r="J5857" s="28">
        <v>0.80008625651646104</v>
      </c>
      <c r="K5857" s="29">
        <v>0.98289565623980701</v>
      </c>
    </row>
    <row r="5858" spans="1:11" x14ac:dyDescent="0.35">
      <c r="A5858" s="9" t="str">
        <f>HYPERLINK("http://www.ensembl.org/id/WBGene00048510", "WBGene00048510")</f>
        <v>WBGene00048510</v>
      </c>
      <c r="B5858" s="9"/>
      <c r="C5858" s="9"/>
      <c r="D5858" t="str">
        <f>"21ur-976"</f>
        <v>21ur-976</v>
      </c>
      <c r="F5858" t="s">
        <v>3161</v>
      </c>
      <c r="H5858" s="12">
        <v>2.3893468495514898</v>
      </c>
      <c r="I5858" s="20">
        <v>0.25323547253672701</v>
      </c>
      <c r="J5858" s="28">
        <v>0.80008625651646104</v>
      </c>
      <c r="K5858" s="29">
        <v>0.98289565623980701</v>
      </c>
    </row>
    <row r="5859" spans="1:11" x14ac:dyDescent="0.35">
      <c r="A5859" s="9" t="str">
        <f>HYPERLINK("http://www.ensembl.org/id/WBGene00046142", "WBGene00046142")</f>
        <v>WBGene00046142</v>
      </c>
      <c r="B5859" s="9"/>
      <c r="C5859" s="9"/>
      <c r="D5859" t="str">
        <f>"21ur-983"</f>
        <v>21ur-983</v>
      </c>
      <c r="F5859" t="s">
        <v>3161</v>
      </c>
      <c r="H5859" s="12">
        <v>2.3893468495514898</v>
      </c>
      <c r="I5859" s="20">
        <v>0.25323547253672701</v>
      </c>
      <c r="J5859" s="28">
        <v>0.80008625651646104</v>
      </c>
      <c r="K5859" s="29">
        <v>0.98289565623980701</v>
      </c>
    </row>
    <row r="5860" spans="1:11" x14ac:dyDescent="0.35">
      <c r="A5860" s="9" t="str">
        <f>HYPERLINK("http://www.ensembl.org/id/WBGene00166502", "WBGene00166502")</f>
        <v>WBGene00166502</v>
      </c>
      <c r="B5860" s="9"/>
      <c r="C5860" s="9"/>
      <c r="D5860" t="str">
        <f>"21ur-9844"</f>
        <v>21ur-9844</v>
      </c>
      <c r="F5860" t="s">
        <v>3161</v>
      </c>
      <c r="H5860" s="12">
        <v>3.5227018545059199</v>
      </c>
      <c r="I5860" s="20">
        <v>0.36849691206929103</v>
      </c>
      <c r="J5860" s="28">
        <v>0.71250274722433404</v>
      </c>
      <c r="K5860" s="29">
        <v>0.98289565623980701</v>
      </c>
    </row>
    <row r="5861" spans="1:11" x14ac:dyDescent="0.35">
      <c r="A5861" s="9" t="str">
        <f>HYPERLINK("http://www.ensembl.org/id/WBGene00171169", "WBGene00171169")</f>
        <v>WBGene00171169</v>
      </c>
      <c r="B5861" s="9"/>
      <c r="C5861" s="9"/>
      <c r="D5861" t="str">
        <f>"21ur-9870"</f>
        <v>21ur-9870</v>
      </c>
      <c r="F5861" t="s">
        <v>3161</v>
      </c>
      <c r="H5861" s="12">
        <v>-2.4295389261469</v>
      </c>
      <c r="I5861" s="20">
        <v>-0.25808529976640998</v>
      </c>
      <c r="J5861" s="28">
        <v>0.79634107645457397</v>
      </c>
      <c r="K5861" s="29">
        <v>0.98289565623980701</v>
      </c>
    </row>
    <row r="5862" spans="1:11" x14ac:dyDescent="0.35">
      <c r="A5862" s="9" t="str">
        <f>HYPERLINK("http://www.ensembl.org/id/WBGene00167794", "WBGene00167794")</f>
        <v>WBGene00167794</v>
      </c>
      <c r="B5862" s="9"/>
      <c r="C5862" s="9"/>
      <c r="D5862" t="str">
        <f>"21ur-9878"</f>
        <v>21ur-9878</v>
      </c>
      <c r="F5862" t="s">
        <v>3161</v>
      </c>
      <c r="H5862" s="12">
        <v>2.4578120077400301</v>
      </c>
      <c r="I5862" s="20">
        <v>0.26093350314551</v>
      </c>
      <c r="J5862" s="28">
        <v>0.79414378780213601</v>
      </c>
      <c r="K5862" s="29">
        <v>0.98289565623980701</v>
      </c>
    </row>
    <row r="5863" spans="1:11" x14ac:dyDescent="0.35">
      <c r="A5863" s="9" t="str">
        <f>HYPERLINK("http://www.ensembl.org/id/WBGene00165516", "WBGene00165516")</f>
        <v>WBGene00165516</v>
      </c>
      <c r="B5863" s="9"/>
      <c r="C5863" s="9"/>
      <c r="D5863" t="str">
        <f>"21ur-9888"</f>
        <v>21ur-9888</v>
      </c>
      <c r="F5863" t="s">
        <v>3161</v>
      </c>
      <c r="H5863" s="12">
        <v>3.6645215954135</v>
      </c>
      <c r="I5863" s="20">
        <v>0.37967131826092498</v>
      </c>
      <c r="J5863" s="28">
        <v>0.70418941338960395</v>
      </c>
      <c r="K5863" s="29">
        <v>0.98289565623980701</v>
      </c>
    </row>
    <row r="5864" spans="1:11" x14ac:dyDescent="0.35">
      <c r="A5864" s="9" t="str">
        <f>HYPERLINK("http://www.ensembl.org/id/WBGene00167035", "WBGene00167035")</f>
        <v>WBGene00167035</v>
      </c>
      <c r="B5864" s="9"/>
      <c r="C5864" s="9"/>
      <c r="D5864" t="str">
        <f>"21ur-9904"</f>
        <v>21ur-9904</v>
      </c>
      <c r="F5864" t="s">
        <v>3161</v>
      </c>
      <c r="H5864" s="12">
        <v>3.6645215954135</v>
      </c>
      <c r="I5864" s="20">
        <v>0.37967131826092498</v>
      </c>
      <c r="J5864" s="28">
        <v>0.70418941338960395</v>
      </c>
      <c r="K5864" s="29">
        <v>0.98289565623980701</v>
      </c>
    </row>
    <row r="5865" spans="1:11" x14ac:dyDescent="0.35">
      <c r="A5865" s="9" t="str">
        <f>HYPERLINK("http://www.ensembl.org/id/WBGene00165786", "WBGene00165786")</f>
        <v>WBGene00165786</v>
      </c>
      <c r="B5865" s="9"/>
      <c r="C5865" s="9"/>
      <c r="D5865" t="str">
        <f>"21ur-9906"</f>
        <v>21ur-9906</v>
      </c>
      <c r="F5865" t="s">
        <v>3161</v>
      </c>
      <c r="H5865" s="12">
        <v>-3.7261494131482999</v>
      </c>
      <c r="I5865" s="20">
        <v>-0.38454673129429601</v>
      </c>
      <c r="J5865" s="28">
        <v>0.70057326682554</v>
      </c>
      <c r="K5865" s="29">
        <v>0.98289565623980701</v>
      </c>
    </row>
    <row r="5866" spans="1:11" x14ac:dyDescent="0.35">
      <c r="A5866" s="9" t="str">
        <f>HYPERLINK("http://www.ensembl.org/id/WBGene00167347", "WBGene00167347")</f>
        <v>WBGene00167347</v>
      </c>
      <c r="B5866" s="9"/>
      <c r="C5866" s="9"/>
      <c r="D5866" t="str">
        <f>"21ur-9999"</f>
        <v>21ur-9999</v>
      </c>
      <c r="F5866" t="s">
        <v>3161</v>
      </c>
      <c r="H5866" s="12">
        <v>2.3893468495514898</v>
      </c>
      <c r="I5866" s="20">
        <v>0.25323547253672701</v>
      </c>
      <c r="J5866" s="28">
        <v>0.80008625651646104</v>
      </c>
      <c r="K5866" s="29">
        <v>0.98289565623980701</v>
      </c>
    </row>
    <row r="5867" spans="1:11" x14ac:dyDescent="0.35">
      <c r="A5867" s="9" t="str">
        <f>HYPERLINK("http://www.ensembl.org/id/WBGene00007063", "WBGene00007063")</f>
        <v>WBGene00007063</v>
      </c>
      <c r="B5867" s="9" t="str">
        <f>HYPERLINK("http://www.ncbi.nlm.nih.gov/gene/181792", "181792")</f>
        <v>181792</v>
      </c>
      <c r="C5867" s="9"/>
      <c r="D5867" t="str">
        <f>"2L52.1"</f>
        <v>2L52.1</v>
      </c>
      <c r="F5867" t="s">
        <v>11</v>
      </c>
      <c r="H5867" s="12">
        <v>1.12700757463683</v>
      </c>
      <c r="I5867" s="20">
        <v>0.49909280320860799</v>
      </c>
      <c r="J5867" s="28">
        <v>0.61771400733177395</v>
      </c>
      <c r="K5867" s="29">
        <v>0.98289565623980701</v>
      </c>
    </row>
    <row r="5868" spans="1:11" x14ac:dyDescent="0.35">
      <c r="A5868" s="9" t="str">
        <f>HYPERLINK("http://www.ensembl.org/id/WBGene00044951", "WBGene00044951")</f>
        <v>WBGene00044951</v>
      </c>
      <c r="B5868" s="9"/>
      <c r="C5868" s="9"/>
      <c r="D5868" t="str">
        <f>"2RSSE.3"</f>
        <v>2RSSE.3</v>
      </c>
      <c r="F5868" t="s">
        <v>80</v>
      </c>
      <c r="H5868" s="12">
        <v>-2.4991590031922399</v>
      </c>
      <c r="I5868" s="20">
        <v>-0.26577412737581302</v>
      </c>
      <c r="J5868" s="28">
        <v>0.79041317015736101</v>
      </c>
      <c r="K5868" s="29">
        <v>0.98289565623980701</v>
      </c>
    </row>
    <row r="5869" spans="1:11" x14ac:dyDescent="0.35">
      <c r="A5869" s="9" t="str">
        <f>HYPERLINK("http://www.ensembl.org/id/WBGene00007069", "WBGene00007069")</f>
        <v>WBGene00007069</v>
      </c>
      <c r="B5869" s="9" t="str">
        <f>HYPERLINK("http://www.ncbi.nlm.nih.gov/gene/181798", "181798")</f>
        <v>181798</v>
      </c>
      <c r="C5869" s="9"/>
      <c r="D5869" t="str">
        <f>"6R55.2"</f>
        <v>6R55.2</v>
      </c>
      <c r="F5869" t="s">
        <v>11</v>
      </c>
      <c r="H5869" s="12">
        <v>10.8131830636529</v>
      </c>
      <c r="I5869" s="20">
        <v>0.70982715185838596</v>
      </c>
      <c r="J5869" s="28">
        <v>0.477811329444844</v>
      </c>
      <c r="K5869" s="29">
        <v>0.98289565623980701</v>
      </c>
    </row>
    <row r="5870" spans="1:11" x14ac:dyDescent="0.35">
      <c r="A5870" s="9" t="str">
        <f>HYPERLINK("http://www.ensembl.org/id/WBGene00019895", "WBGene00019895")</f>
        <v>WBGene00019895</v>
      </c>
      <c r="B5870" s="9" t="str">
        <f>HYPERLINK("http://www.ncbi.nlm.nih.gov/gene/173848", "173848")</f>
        <v>173848</v>
      </c>
      <c r="C5870" s="9" t="str">
        <f>HYPERLINK("http://www.ncbi.nlm.nih.gov/gene/8972", "8972")</f>
        <v>8972</v>
      </c>
      <c r="D5870" t="str">
        <f>"aagr-2"</f>
        <v>aagr-2</v>
      </c>
      <c r="E5870" t="s">
        <v>555</v>
      </c>
      <c r="F5870" t="s">
        <v>11</v>
      </c>
      <c r="G5870" t="s">
        <v>556</v>
      </c>
      <c r="H5870" s="12">
        <v>-1.1708404162745101</v>
      </c>
      <c r="I5870" s="20">
        <v>-0.83474345766713398</v>
      </c>
      <c r="J5870" s="28">
        <v>0.40386216755648502</v>
      </c>
      <c r="K5870" s="29">
        <v>0.98289565623980701</v>
      </c>
    </row>
    <row r="5871" spans="1:11" x14ac:dyDescent="0.35">
      <c r="A5871" s="9" t="str">
        <f>HYPERLINK("http://www.ensembl.org/id/WBGene00020142", "WBGene00020142")</f>
        <v>WBGene00020142</v>
      </c>
      <c r="B5871" s="9" t="str">
        <f>HYPERLINK("http://www.ncbi.nlm.nih.gov/gene/181727", "181727")</f>
        <v>181727</v>
      </c>
      <c r="C5871" s="9" t="str">
        <f>HYPERLINK("http://www.ncbi.nlm.nih.gov/gene/5563", "5563")</f>
        <v>5563</v>
      </c>
      <c r="D5871" t="str">
        <f>"aak-2"</f>
        <v>aak-2</v>
      </c>
      <c r="E5871" t="s">
        <v>8249</v>
      </c>
      <c r="F5871" t="s">
        <v>11</v>
      </c>
      <c r="G5871" t="s">
        <v>444</v>
      </c>
      <c r="H5871" s="12">
        <v>-1.16744137048101</v>
      </c>
      <c r="I5871" s="20">
        <v>-0.84436985966873201</v>
      </c>
      <c r="J5871" s="28">
        <v>0.39846275939269099</v>
      </c>
      <c r="K5871" s="29">
        <v>0.98289565623980701</v>
      </c>
    </row>
    <row r="5872" spans="1:11" x14ac:dyDescent="0.35">
      <c r="A5872" s="9" t="str">
        <f>HYPERLINK("http://www.ensembl.org/id/WBGene00010115", "WBGene00010115")</f>
        <v>WBGene00010115</v>
      </c>
      <c r="B5872" s="9" t="str">
        <f>HYPERLINK("http://www.ncbi.nlm.nih.gov/gene/181492", "181492")</f>
        <v>181492</v>
      </c>
      <c r="C5872" s="9" t="str">
        <f>HYPERLINK("http://www.ncbi.nlm.nih.gov/gene/5565", "5565")</f>
        <v>5565</v>
      </c>
      <c r="D5872" t="str">
        <f>"aakb-1"</f>
        <v>aakb-1</v>
      </c>
      <c r="E5872" t="s">
        <v>7934</v>
      </c>
      <c r="F5872" t="s">
        <v>11</v>
      </c>
      <c r="G5872" t="s">
        <v>8031</v>
      </c>
      <c r="H5872" s="12">
        <v>-1.1572107926314801</v>
      </c>
      <c r="I5872" s="20">
        <v>-0.78164840377075095</v>
      </c>
      <c r="J5872" s="28">
        <v>0.43442123206431399</v>
      </c>
      <c r="K5872" s="29">
        <v>0.98289565623980701</v>
      </c>
    </row>
    <row r="5873" spans="1:11" x14ac:dyDescent="0.35">
      <c r="A5873" s="9" t="str">
        <f>HYPERLINK("http://www.ensembl.org/id/WBGene00012928", "WBGene00012928")</f>
        <v>WBGene00012928</v>
      </c>
      <c r="B5873" s="9" t="str">
        <f>HYPERLINK("http://www.ncbi.nlm.nih.gov/gene/176552", "176552")</f>
        <v>176552</v>
      </c>
      <c r="C5873" s="9" t="str">
        <f>HYPERLINK("http://www.ncbi.nlm.nih.gov/gene/5565", "5565")</f>
        <v>5565</v>
      </c>
      <c r="D5873" t="str">
        <f>"aakb-2"</f>
        <v>aakb-2</v>
      </c>
      <c r="E5873" t="s">
        <v>7934</v>
      </c>
      <c r="F5873" t="s">
        <v>11</v>
      </c>
      <c r="G5873" t="s">
        <v>7935</v>
      </c>
      <c r="H5873" s="12">
        <v>-1.15174354701546</v>
      </c>
      <c r="I5873" s="20">
        <v>-0.74868455541044399</v>
      </c>
      <c r="J5873" s="28">
        <v>0.454047354680228</v>
      </c>
      <c r="K5873" s="29">
        <v>0.98289565623980701</v>
      </c>
    </row>
    <row r="5874" spans="1:11" x14ac:dyDescent="0.35">
      <c r="A5874" s="9" t="str">
        <f>HYPERLINK("http://www.ensembl.org/id/WBGene00013732", "WBGene00013732")</f>
        <v>WBGene00013732</v>
      </c>
      <c r="B5874" s="9" t="str">
        <f>HYPERLINK("http://www.ncbi.nlm.nih.gov/gene/3565679", "3565679")</f>
        <v>3565679</v>
      </c>
      <c r="C5874" s="9"/>
      <c r="D5874" t="str">
        <f>"aakg-1"</f>
        <v>aakg-1</v>
      </c>
      <c r="E5874" t="s">
        <v>3490</v>
      </c>
      <c r="F5874" t="s">
        <v>11</v>
      </c>
      <c r="G5874" t="s">
        <v>5620</v>
      </c>
      <c r="H5874" s="12">
        <v>1.1336340303780199</v>
      </c>
      <c r="I5874" s="20">
        <v>0.66361740652905998</v>
      </c>
      <c r="J5874" s="28">
        <v>0.50693521370027805</v>
      </c>
      <c r="K5874" s="29">
        <v>0.98289565623980701</v>
      </c>
    </row>
    <row r="5875" spans="1:11" x14ac:dyDescent="0.35">
      <c r="A5875" s="9" t="str">
        <f>HYPERLINK("http://www.ensembl.org/id/WBGene00020633", "WBGene00020633")</f>
        <v>WBGene00020633</v>
      </c>
      <c r="B5875" s="9" t="str">
        <f>HYPERLINK("http://www.ncbi.nlm.nih.gov/gene/181736", "181736")</f>
        <v>181736</v>
      </c>
      <c r="C5875" s="9"/>
      <c r="D5875" t="str">
        <f>"aakg-2"</f>
        <v>aakg-2</v>
      </c>
      <c r="E5875" t="s">
        <v>3490</v>
      </c>
      <c r="F5875" t="s">
        <v>11</v>
      </c>
      <c r="G5875" t="s">
        <v>3491</v>
      </c>
      <c r="H5875" s="12">
        <v>-1.05848135167527</v>
      </c>
      <c r="I5875" s="20">
        <v>-0.27533155812566101</v>
      </c>
      <c r="J5875" s="28">
        <v>0.78306152116691097</v>
      </c>
      <c r="K5875" s="29">
        <v>0.98289565623980701</v>
      </c>
    </row>
    <row r="5876" spans="1:11" x14ac:dyDescent="0.35">
      <c r="A5876" s="9" t="str">
        <f>HYPERLINK("http://www.ensembl.org/id/WBGene00020135", "WBGene00020135")</f>
        <v>WBGene00020135</v>
      </c>
      <c r="B5876" s="9" t="str">
        <f>HYPERLINK("http://www.ncbi.nlm.nih.gov/gene/187928", "187928")</f>
        <v>187928</v>
      </c>
      <c r="C5876" s="9"/>
      <c r="D5876" t="str">
        <f>"aakg-4"</f>
        <v>aakg-4</v>
      </c>
      <c r="E5876" t="s">
        <v>3490</v>
      </c>
      <c r="F5876" t="s">
        <v>11</v>
      </c>
      <c r="G5876" t="s">
        <v>3491</v>
      </c>
      <c r="H5876" s="12">
        <v>-1.2130207312601899</v>
      </c>
      <c r="I5876" s="20">
        <v>-0.99857739367755605</v>
      </c>
      <c r="J5876" s="28">
        <v>0.31799945573031302</v>
      </c>
      <c r="K5876" s="29">
        <v>0.98289565623980701</v>
      </c>
    </row>
    <row r="5877" spans="1:11" x14ac:dyDescent="0.35">
      <c r="A5877" s="9" t="str">
        <f>HYPERLINK("http://www.ensembl.org/id/WBGene00011276", "WBGene00011276")</f>
        <v>WBGene00011276</v>
      </c>
      <c r="B5877" s="9" t="str">
        <f>HYPERLINK("http://www.ncbi.nlm.nih.gov/gene/174556", "174556")</f>
        <v>174556</v>
      </c>
      <c r="C5877" s="9"/>
      <c r="D5877" t="str">
        <f>"aakg-5"</f>
        <v>aakg-5</v>
      </c>
      <c r="E5877" t="s">
        <v>3490</v>
      </c>
      <c r="F5877" t="s">
        <v>11</v>
      </c>
      <c r="G5877" t="s">
        <v>3491</v>
      </c>
      <c r="H5877" s="12">
        <v>-1.07563360076614</v>
      </c>
      <c r="I5877" s="20">
        <v>-0.38081884956891698</v>
      </c>
      <c r="J5877" s="28">
        <v>0.70333767138990599</v>
      </c>
      <c r="K5877" s="29">
        <v>0.98289565623980701</v>
      </c>
    </row>
    <row r="5878" spans="1:11" x14ac:dyDescent="0.35">
      <c r="A5878" s="9" t="str">
        <f>HYPERLINK("http://www.ensembl.org/id/WBGene00000196", "WBGene00000196")</f>
        <v>WBGene00000196</v>
      </c>
      <c r="B5878" s="9" t="str">
        <f>HYPERLINK("http://www.ncbi.nlm.nih.gov/gene/174749", "174749")</f>
        <v>174749</v>
      </c>
      <c r="C5878" s="9"/>
      <c r="D5878" t="str">
        <f>"aars-1"</f>
        <v>aars-1</v>
      </c>
      <c r="E5878" t="s">
        <v>7104</v>
      </c>
      <c r="F5878" t="s">
        <v>11</v>
      </c>
      <c r="G5878" t="s">
        <v>7105</v>
      </c>
      <c r="H5878" s="12">
        <v>-1.1070359445162801</v>
      </c>
      <c r="I5878" s="20">
        <v>-0.44199316026514301</v>
      </c>
      <c r="J5878" s="28">
        <v>0.65849415538036704</v>
      </c>
      <c r="K5878" s="29">
        <v>0.98289565623980701</v>
      </c>
    </row>
    <row r="5879" spans="1:11" x14ac:dyDescent="0.35">
      <c r="A5879" s="9" t="str">
        <f>HYPERLINK("http://www.ensembl.org/id/WBGene00000002", "WBGene00000002")</f>
        <v>WBGene00000002</v>
      </c>
      <c r="B5879" s="9" t="str">
        <f>HYPERLINK("http://www.ncbi.nlm.nih.gov/gene/177793", "177793")</f>
        <v>177793</v>
      </c>
      <c r="C5879" s="9" t="str">
        <f>HYPERLINK("http://www.ncbi.nlm.nih.gov/gene/9057", "9057")</f>
        <v>9057</v>
      </c>
      <c r="D5879" t="str">
        <f>"aat-1"</f>
        <v>aat-1</v>
      </c>
      <c r="E5879" t="s">
        <v>2829</v>
      </c>
      <c r="F5879" t="s">
        <v>11</v>
      </c>
      <c r="G5879" t="s">
        <v>2830</v>
      </c>
      <c r="H5879" s="12">
        <v>-1.0654735516153999</v>
      </c>
      <c r="I5879" s="20">
        <v>-0.31664644754106203</v>
      </c>
      <c r="J5879" s="28">
        <v>0.75151188784136103</v>
      </c>
      <c r="K5879" s="29">
        <v>0.98289565623980701</v>
      </c>
    </row>
    <row r="5880" spans="1:11" x14ac:dyDescent="0.35">
      <c r="A5880" s="9" t="str">
        <f>HYPERLINK("http://www.ensembl.org/id/WBGene00000003", "WBGene00000003")</f>
        <v>WBGene00000003</v>
      </c>
      <c r="B5880" s="9" t="str">
        <f>HYPERLINK("http://www.ncbi.nlm.nih.gov/gene/184126", "184126")</f>
        <v>184126</v>
      </c>
      <c r="C5880" s="9" t="str">
        <f>HYPERLINK("http://www.ncbi.nlm.nih.gov/gene/9056", "9056")</f>
        <v>9056</v>
      </c>
      <c r="D5880" t="str">
        <f>"aat-2"</f>
        <v>aat-2</v>
      </c>
      <c r="E5880" t="s">
        <v>2829</v>
      </c>
      <c r="F5880" t="s">
        <v>11</v>
      </c>
      <c r="G5880" t="s">
        <v>3119</v>
      </c>
      <c r="H5880" s="12">
        <v>1.08214401639506</v>
      </c>
      <c r="I5880" s="20">
        <v>0.29533123686684998</v>
      </c>
      <c r="J5880" s="28">
        <v>0.76774085655332902</v>
      </c>
      <c r="K5880" s="29">
        <v>0.98289565623980701</v>
      </c>
    </row>
    <row r="5881" spans="1:11" x14ac:dyDescent="0.35">
      <c r="A5881" s="9" t="str">
        <f>HYPERLINK("http://www.ensembl.org/id/WBGene00000005", "WBGene00000005")</f>
        <v>WBGene00000005</v>
      </c>
      <c r="B5881" s="9" t="str">
        <f>HYPERLINK("http://www.ncbi.nlm.nih.gov/gene/177388", "177388")</f>
        <v>177388</v>
      </c>
      <c r="C5881" s="9"/>
      <c r="D5881" t="str">
        <f>"aat-4"</f>
        <v>aat-4</v>
      </c>
      <c r="E5881" t="s">
        <v>2829</v>
      </c>
      <c r="F5881" t="s">
        <v>11</v>
      </c>
      <c r="G5881" t="s">
        <v>3119</v>
      </c>
      <c r="H5881" s="12">
        <v>-1.40498508080965</v>
      </c>
      <c r="I5881" s="20">
        <v>-0.91780724420648496</v>
      </c>
      <c r="J5881" s="28">
        <v>0.35871978899451801</v>
      </c>
      <c r="K5881" s="29">
        <v>0.98289565623980701</v>
      </c>
    </row>
    <row r="5882" spans="1:11" x14ac:dyDescent="0.35">
      <c r="A5882" s="9" t="str">
        <f>HYPERLINK("http://www.ensembl.org/id/WBGene00000007", "WBGene00000007")</f>
        <v>WBGene00000007</v>
      </c>
      <c r="B5882" s="9" t="str">
        <f>HYPERLINK("http://www.ncbi.nlm.nih.gov/gene/188421", "188421")</f>
        <v>188421</v>
      </c>
      <c r="C5882" s="9"/>
      <c r="D5882" t="str">
        <f>"aat-6"</f>
        <v>aat-6</v>
      </c>
      <c r="E5882" t="s">
        <v>2829</v>
      </c>
      <c r="F5882" t="s">
        <v>11</v>
      </c>
      <c r="G5882" t="s">
        <v>9979</v>
      </c>
      <c r="H5882" s="12">
        <v>-1.55177510170013</v>
      </c>
      <c r="I5882" s="20">
        <v>-0.86866556647924598</v>
      </c>
      <c r="J5882" s="28">
        <v>0.38503008052624699</v>
      </c>
      <c r="K5882" s="29">
        <v>0.98289565623980701</v>
      </c>
    </row>
    <row r="5883" spans="1:11" x14ac:dyDescent="0.35">
      <c r="A5883" s="9" t="str">
        <f>HYPERLINK("http://www.ensembl.org/id/WBGene00000009", "WBGene00000009")</f>
        <v>WBGene00000009</v>
      </c>
      <c r="B5883" s="9" t="str">
        <f>HYPERLINK("http://www.ncbi.nlm.nih.gov/gene/185079", "185079")</f>
        <v>185079</v>
      </c>
      <c r="C5883" s="9"/>
      <c r="D5883" t="str">
        <f>"aat-8"</f>
        <v>aat-8</v>
      </c>
      <c r="E5883" t="s">
        <v>2829</v>
      </c>
      <c r="F5883" t="s">
        <v>11</v>
      </c>
      <c r="G5883" t="s">
        <v>3119</v>
      </c>
      <c r="H5883" s="12">
        <v>-1.19557899835887</v>
      </c>
      <c r="I5883" s="20">
        <v>-0.28897512247268398</v>
      </c>
      <c r="J5883" s="28">
        <v>0.77260041516835498</v>
      </c>
      <c r="K5883" s="29">
        <v>0.98289565623980701</v>
      </c>
    </row>
    <row r="5884" spans="1:11" x14ac:dyDescent="0.35">
      <c r="A5884" s="9" t="str">
        <f>HYPERLINK("http://www.ensembl.org/id/WBGene00000010", "WBGene00000010")</f>
        <v>WBGene00000010</v>
      </c>
      <c r="B5884" s="9" t="str">
        <f>HYPERLINK("http://www.ncbi.nlm.nih.gov/gene/190250", "190250")</f>
        <v>190250</v>
      </c>
      <c r="C5884" s="9"/>
      <c r="D5884" t="str">
        <f>"aat-9"</f>
        <v>aat-9</v>
      </c>
      <c r="E5884" t="s">
        <v>2829</v>
      </c>
      <c r="F5884" t="s">
        <v>11</v>
      </c>
      <c r="G5884" t="s">
        <v>9261</v>
      </c>
      <c r="H5884" s="12">
        <v>-1.2315947244534</v>
      </c>
      <c r="I5884" s="20">
        <v>-0.87377068972501803</v>
      </c>
      <c r="J5884" s="28">
        <v>0.38224314541438698</v>
      </c>
      <c r="K5884" s="29">
        <v>0.98289565623980701</v>
      </c>
    </row>
    <row r="5885" spans="1:11" x14ac:dyDescent="0.35">
      <c r="A5885" s="9" t="str">
        <f>HYPERLINK("http://www.ensembl.org/id/WBGene00012714", "WBGene00012714")</f>
        <v>WBGene00012714</v>
      </c>
      <c r="B5885" s="9" t="str">
        <f>HYPERLINK("http://www.ncbi.nlm.nih.gov/gene/176733", "176733")</f>
        <v>176733</v>
      </c>
      <c r="C5885" s="9" t="str">
        <f>HYPERLINK("http://www.ncbi.nlm.nih.gov/gene/6059", "6059")</f>
        <v>6059</v>
      </c>
      <c r="D5885" t="str">
        <f>"abce-1"</f>
        <v>abce-1</v>
      </c>
      <c r="E5885" t="s">
        <v>8091</v>
      </c>
      <c r="F5885" t="s">
        <v>11</v>
      </c>
      <c r="G5885" t="s">
        <v>8092</v>
      </c>
      <c r="H5885" s="12">
        <v>-1.1603442427157999</v>
      </c>
      <c r="I5885" s="20">
        <v>-0.78794689315363997</v>
      </c>
      <c r="J5885" s="28">
        <v>0.43072777031357601</v>
      </c>
      <c r="K5885" s="29">
        <v>0.98289565623980701</v>
      </c>
    </row>
    <row r="5886" spans="1:11" x14ac:dyDescent="0.35">
      <c r="A5886" s="9" t="str">
        <f>HYPERLINK("http://www.ensembl.org/id/WBGene00012097", "WBGene00012097")</f>
        <v>WBGene00012097</v>
      </c>
      <c r="B5886" s="9" t="str">
        <f>HYPERLINK("http://www.ncbi.nlm.nih.gov/gene/176771", "176771")</f>
        <v>176771</v>
      </c>
      <c r="C5886" s="9" t="str">
        <f>HYPERLINK("http://www.ncbi.nlm.nih.gov/gene/10061", "10061")</f>
        <v>10061</v>
      </c>
      <c r="D5886" t="str">
        <f>"abcf-2"</f>
        <v>abcf-2</v>
      </c>
      <c r="E5886" t="s">
        <v>3023</v>
      </c>
      <c r="F5886" t="s">
        <v>11</v>
      </c>
      <c r="G5886" t="s">
        <v>3024</v>
      </c>
      <c r="H5886" s="12">
        <v>-1.1811538882186601</v>
      </c>
      <c r="I5886" s="20">
        <v>-0.93159663431426099</v>
      </c>
      <c r="J5886" s="28">
        <v>0.35154502316178998</v>
      </c>
      <c r="K5886" s="29">
        <v>0.98289565623980701</v>
      </c>
    </row>
    <row r="5887" spans="1:11" x14ac:dyDescent="0.35">
      <c r="A5887" s="9" t="str">
        <f>HYPERLINK("http://www.ensembl.org/id/WBGene00018339", "WBGene00018339")</f>
        <v>WBGene00018339</v>
      </c>
      <c r="B5887" s="9" t="str">
        <f>HYPERLINK("http://www.ncbi.nlm.nih.gov/gene/175873", "175873")</f>
        <v>175873</v>
      </c>
      <c r="C5887" s="9" t="str">
        <f>HYPERLINK("http://www.ncbi.nlm.nih.gov/gene/55324", "55324")</f>
        <v>55324</v>
      </c>
      <c r="D5887" t="str">
        <f>"abcf-3"</f>
        <v>abcf-3</v>
      </c>
      <c r="E5887" t="s">
        <v>3023</v>
      </c>
      <c r="F5887" t="s">
        <v>11</v>
      </c>
      <c r="G5887" t="s">
        <v>8974</v>
      </c>
      <c r="H5887" s="12">
        <v>-1.2116732320678101</v>
      </c>
      <c r="I5887" s="20">
        <v>-1.0194745724084</v>
      </c>
      <c r="J5887" s="28">
        <v>0.30797771886213599</v>
      </c>
      <c r="K5887" s="29">
        <v>0.98289565623980701</v>
      </c>
    </row>
    <row r="5888" spans="1:11" x14ac:dyDescent="0.35">
      <c r="A5888" s="9" t="str">
        <f>HYPERLINK("http://www.ensembl.org/id/WBGene00000013", "WBGene00000013")</f>
        <v>WBGene00000013</v>
      </c>
      <c r="B5888" s="9" t="str">
        <f>HYPERLINK("http://www.ncbi.nlm.nih.gov/gene/266826", "266826")</f>
        <v>266826</v>
      </c>
      <c r="C5888" s="9"/>
      <c r="D5888" t="str">
        <f>"abf-2"</f>
        <v>abf-2</v>
      </c>
      <c r="E5888" t="s">
        <v>7039</v>
      </c>
      <c r="F5888" t="s">
        <v>11</v>
      </c>
      <c r="G5888" t="s">
        <v>7040</v>
      </c>
      <c r="H5888" s="12">
        <v>-1.1038320390540599</v>
      </c>
      <c r="I5888" s="20">
        <v>-0.42089377319896298</v>
      </c>
      <c r="J5888" s="28">
        <v>0.67383265234217804</v>
      </c>
      <c r="K5888" s="29">
        <v>0.98289565623980701</v>
      </c>
    </row>
    <row r="5889" spans="1:11" x14ac:dyDescent="0.35">
      <c r="A5889" s="9" t="str">
        <f>HYPERLINK("http://www.ensembl.org/id/WBGene00000016", "WBGene00000016")</f>
        <v>WBGene00000016</v>
      </c>
      <c r="B5889" s="9" t="str">
        <f>HYPERLINK("http://www.ncbi.nlm.nih.gov/gene/188770", "188770")</f>
        <v>188770</v>
      </c>
      <c r="C5889" s="9"/>
      <c r="D5889" t="str">
        <f>"abf-5"</f>
        <v>abf-5</v>
      </c>
      <c r="E5889" t="s">
        <v>5689</v>
      </c>
      <c r="F5889" t="s">
        <v>11</v>
      </c>
      <c r="H5889" s="12">
        <v>1.12258244869395</v>
      </c>
      <c r="I5889" s="20">
        <v>0.55322783451656499</v>
      </c>
      <c r="J5889" s="28">
        <v>0.58010740943535599</v>
      </c>
      <c r="K5889" s="29">
        <v>0.98289565623980701</v>
      </c>
    </row>
    <row r="5890" spans="1:11" x14ac:dyDescent="0.35">
      <c r="A5890" s="9" t="str">
        <f>HYPERLINK("http://www.ensembl.org/id/WBGene00009316", "WBGene00009316")</f>
        <v>WBGene00009316</v>
      </c>
      <c r="B5890" s="9" t="str">
        <f>HYPERLINK("http://www.ncbi.nlm.nih.gov/gene/185192", "185192")</f>
        <v>185192</v>
      </c>
      <c r="C5890" s="9" t="str">
        <f>HYPERLINK("http://www.ncbi.nlm.nih.gov/gene/83451", "83451")</f>
        <v>83451</v>
      </c>
      <c r="D5890" t="str">
        <f>"abhd-11.1"</f>
        <v>abhd-11.1</v>
      </c>
      <c r="E5890" t="s">
        <v>3329</v>
      </c>
      <c r="F5890" t="s">
        <v>11</v>
      </c>
      <c r="G5890" t="s">
        <v>4227</v>
      </c>
      <c r="H5890" s="12">
        <v>7.8691597089380902</v>
      </c>
      <c r="I5890" s="20">
        <v>0.61251365190975104</v>
      </c>
      <c r="J5890" s="28">
        <v>0.54019796842331003</v>
      </c>
      <c r="K5890" s="29">
        <v>0.98289565623980701</v>
      </c>
    </row>
    <row r="5891" spans="1:11" x14ac:dyDescent="0.35">
      <c r="A5891" s="9" t="str">
        <f>HYPERLINK("http://www.ensembl.org/id/WBGene00011029", "WBGene00011029")</f>
        <v>WBGene00011029</v>
      </c>
      <c r="B5891" s="9" t="str">
        <f>HYPERLINK("http://www.ncbi.nlm.nih.gov/gene/173096", "173096")</f>
        <v>173096</v>
      </c>
      <c r="C5891" s="9" t="str">
        <f>HYPERLINK("http://www.ncbi.nlm.nih.gov/gene/83451", "83451")</f>
        <v>83451</v>
      </c>
      <c r="D5891" t="str">
        <f>"abhd-11.2"</f>
        <v>abhd-11.2</v>
      </c>
      <c r="E5891" t="s">
        <v>3329</v>
      </c>
      <c r="F5891" t="s">
        <v>11</v>
      </c>
      <c r="G5891" t="s">
        <v>4227</v>
      </c>
      <c r="H5891" s="12">
        <v>-1.13926577432896</v>
      </c>
      <c r="I5891" s="20">
        <v>-0.61760727730977505</v>
      </c>
      <c r="J5891" s="28">
        <v>0.53683424633891597</v>
      </c>
      <c r="K5891" s="29">
        <v>0.98289565623980701</v>
      </c>
    </row>
    <row r="5892" spans="1:11" x14ac:dyDescent="0.35">
      <c r="A5892" s="9" t="str">
        <f>HYPERLINK("http://www.ensembl.org/id/WBGene00021927", "WBGene00021927")</f>
        <v>WBGene00021927</v>
      </c>
      <c r="B5892" s="9" t="str">
        <f>HYPERLINK("http://www.ncbi.nlm.nih.gov/gene/176923", "176923")</f>
        <v>176923</v>
      </c>
      <c r="C5892" s="9" t="str">
        <f>HYPERLINK("http://www.ncbi.nlm.nih.gov/gene/84836", "84836")</f>
        <v>84836</v>
      </c>
      <c r="D5892" t="str">
        <f>"abhd-14"</f>
        <v>abhd-14</v>
      </c>
      <c r="E5892" t="s">
        <v>3329</v>
      </c>
      <c r="F5892" t="s">
        <v>11</v>
      </c>
      <c r="G5892" t="s">
        <v>423</v>
      </c>
      <c r="H5892" s="12">
        <v>-1.0761986080132599</v>
      </c>
      <c r="I5892" s="20">
        <v>-0.30639762696456002</v>
      </c>
      <c r="J5892" s="28">
        <v>0.75930191494299504</v>
      </c>
      <c r="K5892" s="29">
        <v>0.98289565623980701</v>
      </c>
    </row>
    <row r="5893" spans="1:11" x14ac:dyDescent="0.35">
      <c r="A5893" s="9" t="str">
        <f>HYPERLINK("http://www.ensembl.org/id/WBGene00016644", "WBGene00016644")</f>
        <v>WBGene00016644</v>
      </c>
      <c r="B5893" s="9" t="str">
        <f>HYPERLINK("http://www.ncbi.nlm.nih.gov/gene/180450", "180450")</f>
        <v>180450</v>
      </c>
      <c r="C5893" s="9" t="str">
        <f>HYPERLINK("http://www.ncbi.nlm.nih.gov/gene/171586", "171586")</f>
        <v>171586</v>
      </c>
      <c r="D5893" t="str">
        <f>"abhd-3.2"</f>
        <v>abhd-3.2</v>
      </c>
      <c r="F5893" t="s">
        <v>11</v>
      </c>
      <c r="G5893" t="s">
        <v>423</v>
      </c>
      <c r="H5893" s="12">
        <v>-1.3918467981515601</v>
      </c>
      <c r="I5893" s="20">
        <v>-0.97890629705338394</v>
      </c>
      <c r="J5893" s="28">
        <v>0.32762628051072401</v>
      </c>
      <c r="K5893" s="29">
        <v>0.98289565623980701</v>
      </c>
    </row>
    <row r="5894" spans="1:11" x14ac:dyDescent="0.35">
      <c r="A5894" s="9" t="str">
        <f>HYPERLINK("http://www.ensembl.org/id/WBGene00016506", "WBGene00016506")</f>
        <v>WBGene00016506</v>
      </c>
      <c r="B5894" s="9" t="str">
        <f>HYPERLINK("http://www.ncbi.nlm.nih.gov/gene/183295", "183295")</f>
        <v>183295</v>
      </c>
      <c r="C5894" s="9" t="str">
        <f>HYPERLINK("http://www.ncbi.nlm.nih.gov/gene/63874", "63874")</f>
        <v>63874</v>
      </c>
      <c r="D5894" t="str">
        <f>"abhd-5.1"</f>
        <v>abhd-5.1</v>
      </c>
      <c r="E5894" t="s">
        <v>8502</v>
      </c>
      <c r="F5894" t="s">
        <v>11</v>
      </c>
      <c r="H5894" s="12">
        <v>-1.1810887906130501</v>
      </c>
      <c r="I5894" s="20">
        <v>-0.80690968913148498</v>
      </c>
      <c r="J5894" s="28">
        <v>0.419718516165212</v>
      </c>
      <c r="K5894" s="29">
        <v>0.98289565623980701</v>
      </c>
    </row>
    <row r="5895" spans="1:11" x14ac:dyDescent="0.35">
      <c r="A5895" s="9" t="str">
        <f>HYPERLINK("http://www.ensembl.org/id/WBGene00000021", "WBGene00000021")</f>
        <v>WBGene00000021</v>
      </c>
      <c r="B5895" s="9"/>
      <c r="C5895" s="9"/>
      <c r="D5895" t="str">
        <f>"abt-3"</f>
        <v>abt-3</v>
      </c>
      <c r="F5895" t="s">
        <v>80</v>
      </c>
      <c r="H5895" s="12">
        <v>1.67015087128465</v>
      </c>
      <c r="I5895" s="20">
        <v>0.26070135037665598</v>
      </c>
      <c r="J5895" s="28">
        <v>0.79432282461114401</v>
      </c>
      <c r="K5895" s="29">
        <v>0.98289565623980701</v>
      </c>
    </row>
    <row r="5896" spans="1:11" x14ac:dyDescent="0.35">
      <c r="A5896" s="9" t="str">
        <f>HYPERLINK("http://www.ensembl.org/id/WBGene00000023", "WBGene00000023")</f>
        <v>WBGene00000023</v>
      </c>
      <c r="B5896" s="9" t="str">
        <f>HYPERLINK("http://www.ncbi.nlm.nih.gov/gene/173081", "173081")</f>
        <v>173081</v>
      </c>
      <c r="C5896" s="9"/>
      <c r="D5896" t="str">
        <f>"abt-5"</f>
        <v>abt-5</v>
      </c>
      <c r="E5896" t="s">
        <v>653</v>
      </c>
      <c r="F5896" t="s">
        <v>11</v>
      </c>
      <c r="G5896" t="s">
        <v>654</v>
      </c>
      <c r="H5896" s="12">
        <v>1.86914165217859</v>
      </c>
      <c r="I5896" s="20">
        <v>1.15391230712746</v>
      </c>
      <c r="J5896" s="28">
        <v>0.24853612298147401</v>
      </c>
      <c r="K5896" s="29">
        <v>0.98289565623980701</v>
      </c>
    </row>
    <row r="5897" spans="1:11" x14ac:dyDescent="0.35">
      <c r="A5897" s="9" t="str">
        <f>HYPERLINK("http://www.ensembl.org/id/WBGene00009920", "WBGene00009920")</f>
        <v>WBGene00009920</v>
      </c>
      <c r="B5897" s="9" t="str">
        <f>HYPERLINK("http://www.ncbi.nlm.nih.gov/gene/172613", "172613")</f>
        <v>172613</v>
      </c>
      <c r="C5897" s="9" t="str">
        <f>HYPERLINK("http://www.ncbi.nlm.nih.gov/gene/9497", "9497")</f>
        <v>9497</v>
      </c>
      <c r="D5897" t="str">
        <f>"abts-1"</f>
        <v>abts-1</v>
      </c>
      <c r="E5897" t="s">
        <v>5949</v>
      </c>
      <c r="F5897" t="s">
        <v>11</v>
      </c>
      <c r="G5897" t="s">
        <v>5950</v>
      </c>
      <c r="H5897" s="12">
        <v>1.0807754172128901</v>
      </c>
      <c r="I5897" s="20">
        <v>0.41757466847035701</v>
      </c>
      <c r="J5897" s="28">
        <v>0.676258120812956</v>
      </c>
      <c r="K5897" s="29">
        <v>0.98289565623980701</v>
      </c>
    </row>
    <row r="5898" spans="1:11" x14ac:dyDescent="0.35">
      <c r="A5898" s="9" t="str">
        <f>HYPERLINK("http://www.ensembl.org/id/WBGene00009929", "WBGene00009929")</f>
        <v>WBGene00009929</v>
      </c>
      <c r="B5898" s="9" t="str">
        <f>HYPERLINK("http://www.ncbi.nlm.nih.gov/gene/186108", "186108")</f>
        <v>186108</v>
      </c>
      <c r="C5898" s="9"/>
      <c r="D5898" t="str">
        <f>"abts-2"</f>
        <v>abts-2</v>
      </c>
      <c r="E5898" t="s">
        <v>5203</v>
      </c>
      <c r="F5898" t="s">
        <v>11</v>
      </c>
      <c r="G5898" t="s">
        <v>5204</v>
      </c>
      <c r="H5898" s="12">
        <v>1.2166602729020599</v>
      </c>
      <c r="I5898" s="20">
        <v>0.46142549143088002</v>
      </c>
      <c r="J5898" s="28">
        <v>0.64449336617094399</v>
      </c>
      <c r="K5898" s="29">
        <v>0.98289565623980701</v>
      </c>
    </row>
    <row r="5899" spans="1:11" x14ac:dyDescent="0.35">
      <c r="A5899" s="9" t="str">
        <f>HYPERLINK("http://www.ensembl.org/id/WBGene00019844", "WBGene00019844")</f>
        <v>WBGene00019844</v>
      </c>
      <c r="B5899" s="9" t="str">
        <f>HYPERLINK("http://www.ncbi.nlm.nih.gov/gene/180943", "180943")</f>
        <v>180943</v>
      </c>
      <c r="C5899" s="9"/>
      <c r="D5899" t="str">
        <f>"abts-4"</f>
        <v>abts-4</v>
      </c>
      <c r="E5899" t="s">
        <v>6920</v>
      </c>
      <c r="F5899" t="s">
        <v>11</v>
      </c>
      <c r="G5899" t="s">
        <v>6921</v>
      </c>
      <c r="H5899" s="12">
        <v>-1.0974467786373701</v>
      </c>
      <c r="I5899" s="20">
        <v>-0.45537892055155699</v>
      </c>
      <c r="J5899" s="28">
        <v>0.64883665765620102</v>
      </c>
      <c r="K5899" s="29">
        <v>0.98289565623980701</v>
      </c>
    </row>
    <row r="5900" spans="1:11" x14ac:dyDescent="0.35">
      <c r="A5900" s="9" t="str">
        <f>HYPERLINK("http://www.ensembl.org/id/WBGene00000024", "WBGene00000024")</f>
        <v>WBGene00000024</v>
      </c>
      <c r="B5900" s="9" t="str">
        <f>HYPERLINK("http://www.ncbi.nlm.nih.gov/gene/181800", "181800")</f>
        <v>181800</v>
      </c>
      <c r="C5900" s="9"/>
      <c r="D5900" t="str">
        <f>"abu-1"</f>
        <v>abu-1</v>
      </c>
      <c r="E5900" t="s">
        <v>913</v>
      </c>
      <c r="F5900" t="s">
        <v>11</v>
      </c>
      <c r="G5900" t="s">
        <v>4603</v>
      </c>
      <c r="H5900" s="12">
        <v>1.62301496049381</v>
      </c>
      <c r="I5900" s="20">
        <v>0.376986927676977</v>
      </c>
      <c r="J5900" s="28">
        <v>0.70618331964888703</v>
      </c>
      <c r="K5900" s="29">
        <v>0.98289565623980701</v>
      </c>
    </row>
    <row r="5901" spans="1:11" x14ac:dyDescent="0.35">
      <c r="A5901" s="9" t="str">
        <f>HYPERLINK("http://www.ensembl.org/id/WBGene00000027", "WBGene00000027")</f>
        <v>WBGene00000027</v>
      </c>
      <c r="B5901" s="9" t="str">
        <f>HYPERLINK("http://www.ncbi.nlm.nih.gov/gene/353458", "353458")</f>
        <v>353458</v>
      </c>
      <c r="C5901" s="9"/>
      <c r="D5901" t="str">
        <f>"abu-4"</f>
        <v>abu-4</v>
      </c>
      <c r="E5901" t="s">
        <v>913</v>
      </c>
      <c r="F5901" t="s">
        <v>11</v>
      </c>
      <c r="G5901" t="s">
        <v>1683</v>
      </c>
      <c r="H5901" s="12">
        <v>2.3893468495514898</v>
      </c>
      <c r="I5901" s="20">
        <v>0.25323547253672701</v>
      </c>
      <c r="J5901" s="28">
        <v>0.80008625651646104</v>
      </c>
      <c r="K5901" s="29">
        <v>0.98289565623980701</v>
      </c>
    </row>
    <row r="5902" spans="1:11" x14ac:dyDescent="0.35">
      <c r="A5902" s="9" t="str">
        <f>HYPERLINK("http://www.ensembl.org/id/WBGene00000029", "WBGene00000029")</f>
        <v>WBGene00000029</v>
      </c>
      <c r="B5902" s="9" t="str">
        <f>HYPERLINK("http://www.ncbi.nlm.nih.gov/gene/178903", "178903")</f>
        <v>178903</v>
      </c>
      <c r="C5902" s="9"/>
      <c r="D5902" t="str">
        <f>"abu-6"</f>
        <v>abu-6</v>
      </c>
      <c r="E5902" t="s">
        <v>913</v>
      </c>
      <c r="F5902" t="s">
        <v>11</v>
      </c>
      <c r="G5902" t="s">
        <v>4304</v>
      </c>
      <c r="H5902" s="12">
        <v>3.5249750596594298</v>
      </c>
      <c r="I5902" s="20">
        <v>0.57333788221919002</v>
      </c>
      <c r="J5902" s="28">
        <v>0.56641594054840005</v>
      </c>
      <c r="K5902" s="29">
        <v>0.98289565623980701</v>
      </c>
    </row>
    <row r="5903" spans="1:11" x14ac:dyDescent="0.35">
      <c r="A5903" s="9" t="str">
        <f>HYPERLINK("http://www.ensembl.org/id/WBGene00000030", "WBGene00000030")</f>
        <v>WBGene00000030</v>
      </c>
      <c r="B5903" s="9" t="str">
        <f>HYPERLINK("http://www.ncbi.nlm.nih.gov/gene/182139", "182139")</f>
        <v>182139</v>
      </c>
      <c r="C5903" s="9"/>
      <c r="D5903" t="str">
        <f>"abu-7"</f>
        <v>abu-7</v>
      </c>
      <c r="E5903" t="s">
        <v>913</v>
      </c>
      <c r="F5903" t="s">
        <v>11</v>
      </c>
      <c r="G5903" t="s">
        <v>4284</v>
      </c>
      <c r="H5903" s="12">
        <v>4.0989034521480301</v>
      </c>
      <c r="I5903" s="20">
        <v>0.92542215434726205</v>
      </c>
      <c r="J5903" s="28">
        <v>0.35474635922929398</v>
      </c>
      <c r="K5903" s="29">
        <v>0.98289565623980701</v>
      </c>
    </row>
    <row r="5904" spans="1:11" x14ac:dyDescent="0.35">
      <c r="A5904" s="9" t="str">
        <f>HYPERLINK("http://www.ensembl.org/id/WBGene00000031", "WBGene00000031")</f>
        <v>WBGene00000031</v>
      </c>
      <c r="B5904" s="9" t="str">
        <f>HYPERLINK("http://www.ncbi.nlm.nih.gov/gene/178904", "178904")</f>
        <v>178904</v>
      </c>
      <c r="C5904" s="9"/>
      <c r="D5904" t="str">
        <f>"abu-8"</f>
        <v>abu-8</v>
      </c>
      <c r="E5904" t="s">
        <v>913</v>
      </c>
      <c r="F5904" t="s">
        <v>11</v>
      </c>
      <c r="G5904" t="s">
        <v>4304</v>
      </c>
      <c r="H5904" s="12">
        <v>-1.92854893942465</v>
      </c>
      <c r="I5904" s="20">
        <v>-0.48963066399960398</v>
      </c>
      <c r="J5904" s="28">
        <v>0.62439527377086401</v>
      </c>
      <c r="K5904" s="29">
        <v>0.98289565623980701</v>
      </c>
    </row>
    <row r="5905" spans="1:11" x14ac:dyDescent="0.35">
      <c r="A5905" s="9" t="str">
        <f>HYPERLINK("http://www.ensembl.org/id/WBGene00077502", "WBGene00077502")</f>
        <v>WBGene00077502</v>
      </c>
      <c r="B5905" s="9"/>
      <c r="C5905" s="9"/>
      <c r="D5905" t="str">
        <f>"AC3.11"</f>
        <v>AC3.11</v>
      </c>
      <c r="F5905" t="s">
        <v>80</v>
      </c>
      <c r="H5905" s="12">
        <v>-2.4991590031922399</v>
      </c>
      <c r="I5905" s="20">
        <v>-0.26577412737581302</v>
      </c>
      <c r="J5905" s="28">
        <v>0.79041317015736101</v>
      </c>
      <c r="K5905" s="29">
        <v>0.98289565623980701</v>
      </c>
    </row>
    <row r="5906" spans="1:11" x14ac:dyDescent="0.35">
      <c r="A5906" s="9" t="str">
        <f>HYPERLINK("http://www.ensembl.org/id/WBGene00077504", "WBGene00077504")</f>
        <v>WBGene00077504</v>
      </c>
      <c r="B5906" s="9"/>
      <c r="C5906" s="9"/>
      <c r="D5906" t="str">
        <f>"AC3.13"</f>
        <v>AC3.13</v>
      </c>
      <c r="F5906" t="s">
        <v>80</v>
      </c>
      <c r="H5906" s="12">
        <v>-3.7261494131482999</v>
      </c>
      <c r="I5906" s="20">
        <v>-0.38454673129429601</v>
      </c>
      <c r="J5906" s="28">
        <v>0.70057326682554</v>
      </c>
      <c r="K5906" s="29">
        <v>0.98289565623980701</v>
      </c>
    </row>
    <row r="5907" spans="1:11" x14ac:dyDescent="0.35">
      <c r="A5907" s="9" t="str">
        <f>HYPERLINK("http://www.ensembl.org/id/WBGene00044022", "WBGene00044022")</f>
        <v>WBGene00044022</v>
      </c>
      <c r="B5907" s="9"/>
      <c r="C5907" s="9"/>
      <c r="D5907" t="str">
        <f>"AC3.9"</f>
        <v>AC3.9</v>
      </c>
      <c r="F5907" t="s">
        <v>80</v>
      </c>
      <c r="H5907" s="12">
        <v>3.51244659860743</v>
      </c>
      <c r="I5907" s="20">
        <v>1.19424038176221</v>
      </c>
      <c r="J5907" s="28">
        <v>0.232383951067197</v>
      </c>
      <c r="K5907" s="29">
        <v>0.98289565623980701</v>
      </c>
    </row>
    <row r="5908" spans="1:11" x14ac:dyDescent="0.35">
      <c r="A5908" s="9" t="str">
        <f>HYPERLINK("http://www.ensembl.org/id/WBGene00014997", "WBGene00014997")</f>
        <v>WBGene00014997</v>
      </c>
      <c r="B5908" s="9" t="str">
        <f>HYPERLINK("http://www.ncbi.nlm.nih.gov/gene/181802", "181802")</f>
        <v>181802</v>
      </c>
      <c r="C5908" s="9"/>
      <c r="D5908" t="str">
        <f>"AC7.3"</f>
        <v>AC7.3</v>
      </c>
      <c r="F5908" t="s">
        <v>11</v>
      </c>
      <c r="H5908" s="12">
        <v>-6.8452891526029704</v>
      </c>
      <c r="I5908" s="20">
        <v>-1.01572474633598</v>
      </c>
      <c r="J5908" s="28">
        <v>0.30976048040917797</v>
      </c>
      <c r="K5908" s="29">
        <v>0.98289565623980701</v>
      </c>
    </row>
    <row r="5909" spans="1:11" x14ac:dyDescent="0.35">
      <c r="A5909" s="9" t="str">
        <f>HYPERLINK("http://www.ensembl.org/id/WBGene00004054", "WBGene00004054")</f>
        <v>WBGene00004054</v>
      </c>
      <c r="B5909" s="9"/>
      <c r="C5909" s="9"/>
      <c r="D5909" t="str">
        <f>"AC8.1"</f>
        <v>AC8.1</v>
      </c>
      <c r="F5909" t="s">
        <v>80</v>
      </c>
      <c r="H5909" s="12">
        <v>-3.5859799885725399</v>
      </c>
      <c r="I5909" s="20">
        <v>-1.2018031686935899</v>
      </c>
      <c r="J5909" s="28">
        <v>0.22943979750185201</v>
      </c>
      <c r="K5909" s="29">
        <v>0.98289565623980701</v>
      </c>
    </row>
    <row r="5910" spans="1:11" x14ac:dyDescent="0.35">
      <c r="A5910" s="9" t="str">
        <f>HYPERLINK("http://www.ensembl.org/id/WBGene00043988", "WBGene00043988")</f>
        <v>WBGene00043988</v>
      </c>
      <c r="B5910" s="9" t="str">
        <f>HYPERLINK("http://www.ncbi.nlm.nih.gov/gene/3565040", "3565040")</f>
        <v>3565040</v>
      </c>
      <c r="C5910" s="9"/>
      <c r="D5910" t="str">
        <f>"AC8.10"</f>
        <v>AC8.10</v>
      </c>
      <c r="F5910" t="s">
        <v>11</v>
      </c>
      <c r="H5910" s="12">
        <v>3.3395775643782502</v>
      </c>
      <c r="I5910" s="20">
        <v>0.44656260965551497</v>
      </c>
      <c r="J5910" s="28">
        <v>0.65519089741497205</v>
      </c>
      <c r="K5910" s="29">
        <v>0.98289565623980701</v>
      </c>
    </row>
    <row r="5911" spans="1:11" x14ac:dyDescent="0.35">
      <c r="A5911" s="9" t="str">
        <f>HYPERLINK("http://www.ensembl.org/id/WBGene00043989", "WBGene00043989")</f>
        <v>WBGene00043989</v>
      </c>
      <c r="B5911" s="9" t="str">
        <f>HYPERLINK("http://www.ncbi.nlm.nih.gov/gene/3565009", "3565009")</f>
        <v>3565009</v>
      </c>
      <c r="C5911" s="9"/>
      <c r="D5911" t="str">
        <f>"AC8.11"</f>
        <v>AC8.11</v>
      </c>
      <c r="F5911" t="s">
        <v>11</v>
      </c>
      <c r="H5911" s="12">
        <v>2.3893468495514898</v>
      </c>
      <c r="I5911" s="20">
        <v>0.25323547253672701</v>
      </c>
      <c r="J5911" s="28">
        <v>0.80008625651646104</v>
      </c>
      <c r="K5911" s="29">
        <v>0.98289565623980701</v>
      </c>
    </row>
    <row r="5912" spans="1:11" x14ac:dyDescent="0.35">
      <c r="A5912" s="9" t="str">
        <f>HYPERLINK("http://www.ensembl.org/id/WBGene00007074", "WBGene00007074")</f>
        <v>WBGene00007074</v>
      </c>
      <c r="B5912" s="9"/>
      <c r="C5912" s="9"/>
      <c r="D5912" t="str">
        <f>"AC8.2"</f>
        <v>AC8.2</v>
      </c>
      <c r="F5912" t="s">
        <v>80</v>
      </c>
      <c r="H5912" s="12">
        <v>2.3893468495514898</v>
      </c>
      <c r="I5912" s="20">
        <v>0.25323547253672701</v>
      </c>
      <c r="J5912" s="28">
        <v>0.80008625651646104</v>
      </c>
      <c r="K5912" s="29">
        <v>0.98289565623980701</v>
      </c>
    </row>
    <row r="5913" spans="1:11" x14ac:dyDescent="0.35">
      <c r="A5913" s="9" t="str">
        <f>HYPERLINK("http://www.ensembl.org/id/WBGene00007077", "WBGene00007077")</f>
        <v>WBGene00007077</v>
      </c>
      <c r="B5913" s="9"/>
      <c r="C5913" s="9"/>
      <c r="D5913" t="str">
        <f>"AC8.5"</f>
        <v>AC8.5</v>
      </c>
      <c r="F5913" t="s">
        <v>80</v>
      </c>
      <c r="H5913" s="12">
        <v>-3.81810459918808</v>
      </c>
      <c r="I5913" s="20">
        <v>-0.68514388632970502</v>
      </c>
      <c r="J5913" s="28">
        <v>0.49325312903641499</v>
      </c>
      <c r="K5913" s="29">
        <v>0.98289565623980701</v>
      </c>
    </row>
    <row r="5914" spans="1:11" x14ac:dyDescent="0.35">
      <c r="A5914" s="9" t="str">
        <f>HYPERLINK("http://www.ensembl.org/id/WBGene00007079", "WBGene00007079")</f>
        <v>WBGene00007079</v>
      </c>
      <c r="B5914" s="9" t="str">
        <f>HYPERLINK("http://www.ncbi.nlm.nih.gov/gene/180377", "180377")</f>
        <v>180377</v>
      </c>
      <c r="C5914" s="9"/>
      <c r="D5914" t="str">
        <f>"AC8.7"</f>
        <v>AC8.7</v>
      </c>
      <c r="F5914" t="s">
        <v>11</v>
      </c>
      <c r="H5914" s="12">
        <v>2.3893468495514898</v>
      </c>
      <c r="I5914" s="20">
        <v>0.25323547253672701</v>
      </c>
      <c r="J5914" s="28">
        <v>0.80008625651646104</v>
      </c>
      <c r="K5914" s="29">
        <v>0.98289565623980701</v>
      </c>
    </row>
    <row r="5915" spans="1:11" x14ac:dyDescent="0.35">
      <c r="A5915" s="9" t="str">
        <f>HYPERLINK("http://www.ensembl.org/id/WBGene00009952", "WBGene00009952")</f>
        <v>WBGene00009952</v>
      </c>
      <c r="B5915" s="9" t="str">
        <f>HYPERLINK("http://www.ncbi.nlm.nih.gov/gene/176756", "176756")</f>
        <v>176756</v>
      </c>
      <c r="C5915" s="9" t="str">
        <f>HYPERLINK("http://www.ncbi.nlm.nih.gov/gene/10449", "10449")</f>
        <v>10449</v>
      </c>
      <c r="D5915" t="str">
        <f>"acaa-2"</f>
        <v>acaa-2</v>
      </c>
      <c r="E5915" t="s">
        <v>6295</v>
      </c>
      <c r="F5915" t="s">
        <v>11</v>
      </c>
      <c r="G5915" t="s">
        <v>3569</v>
      </c>
      <c r="H5915" s="12">
        <v>-1.0605145171374899</v>
      </c>
      <c r="I5915" s="20">
        <v>-0.31381143760234798</v>
      </c>
      <c r="J5915" s="28">
        <v>0.75366425694794503</v>
      </c>
      <c r="K5915" s="29">
        <v>0.98289565623980701</v>
      </c>
    </row>
    <row r="5916" spans="1:11" x14ac:dyDescent="0.35">
      <c r="A5916" s="9" t="str">
        <f>HYPERLINK("http://www.ensembl.org/id/WBGene00012457", "WBGene00012457")</f>
        <v>WBGene00012457</v>
      </c>
      <c r="B5916" s="9" t="str">
        <f>HYPERLINK("http://www.ncbi.nlm.nih.gov/gene/189453", "189453")</f>
        <v>189453</v>
      </c>
      <c r="C5916" s="9"/>
      <c r="D5916" t="str">
        <f>"acbp-6"</f>
        <v>acbp-6</v>
      </c>
      <c r="E5916" t="s">
        <v>3005</v>
      </c>
      <c r="F5916" t="s">
        <v>11</v>
      </c>
      <c r="G5916" t="s">
        <v>4169</v>
      </c>
      <c r="H5916" s="12">
        <v>1.0627841542423699</v>
      </c>
      <c r="I5916" s="20">
        <v>0.25585517018117299</v>
      </c>
      <c r="J5916" s="28">
        <v>0.79806267164400002</v>
      </c>
      <c r="K5916" s="29">
        <v>0.98289565623980701</v>
      </c>
    </row>
    <row r="5917" spans="1:11" x14ac:dyDescent="0.35">
      <c r="A5917" s="9" t="str">
        <f>HYPERLINK("http://www.ensembl.org/id/WBGene00044603", "WBGene00044603")</f>
        <v>WBGene00044603</v>
      </c>
      <c r="B5917" s="9" t="str">
        <f>HYPERLINK("http://www.ncbi.nlm.nih.gov/gene/3896747", "3896747")</f>
        <v>3896747</v>
      </c>
      <c r="C5917" s="9"/>
      <c r="D5917" t="str">
        <f>"acbp-7"</f>
        <v>acbp-7</v>
      </c>
      <c r="E5917" t="s">
        <v>3005</v>
      </c>
      <c r="F5917" t="s">
        <v>11</v>
      </c>
      <c r="G5917" t="s">
        <v>4169</v>
      </c>
      <c r="H5917" s="12">
        <v>1.2020114512401501</v>
      </c>
      <c r="I5917" s="20">
        <v>0.26078712823508599</v>
      </c>
      <c r="J5917" s="28">
        <v>0.79425667124466603</v>
      </c>
      <c r="K5917" s="29">
        <v>0.98289565623980701</v>
      </c>
    </row>
    <row r="5918" spans="1:11" x14ac:dyDescent="0.35">
      <c r="A5918" s="9" t="str">
        <f>HYPERLINK("http://www.ensembl.org/id/WBGene00008280", "WBGene00008280")</f>
        <v>WBGene00008280</v>
      </c>
      <c r="B5918" s="9" t="str">
        <f>HYPERLINK("http://www.ncbi.nlm.nih.gov/gene/183758", "183758")</f>
        <v>183758</v>
      </c>
      <c r="C5918" s="9"/>
      <c r="D5918" t="str">
        <f>"acc-2"</f>
        <v>acc-2</v>
      </c>
      <c r="E5918" t="s">
        <v>4485</v>
      </c>
      <c r="F5918" t="s">
        <v>11</v>
      </c>
      <c r="G5918" t="s">
        <v>774</v>
      </c>
      <c r="H5918" s="12">
        <v>1.8794033990557799</v>
      </c>
      <c r="I5918" s="20">
        <v>1.1506273807314999</v>
      </c>
      <c r="J5918" s="28">
        <v>0.249885563591557</v>
      </c>
      <c r="K5918" s="29">
        <v>0.98289565623980701</v>
      </c>
    </row>
    <row r="5919" spans="1:11" x14ac:dyDescent="0.35">
      <c r="A5919" s="9" t="str">
        <f>HYPERLINK("http://www.ensembl.org/id/WBGene00018880", "WBGene00018880")</f>
        <v>WBGene00018880</v>
      </c>
      <c r="B5919" s="9" t="str">
        <f>HYPERLINK("http://www.ncbi.nlm.nih.gov/gene/186307", "186307")</f>
        <v>186307</v>
      </c>
      <c r="C5919" s="9"/>
      <c r="D5919" t="str">
        <f>"acc-3"</f>
        <v>acc-3</v>
      </c>
      <c r="E5919" t="s">
        <v>5575</v>
      </c>
      <c r="F5919" t="s">
        <v>11</v>
      </c>
      <c r="G5919" t="s">
        <v>774</v>
      </c>
      <c r="H5919" s="12">
        <v>1.1432294614465099</v>
      </c>
      <c r="I5919" s="20">
        <v>0.26254304181798099</v>
      </c>
      <c r="J5919" s="28">
        <v>0.79290280619604903</v>
      </c>
      <c r="K5919" s="29">
        <v>0.98289565623980701</v>
      </c>
    </row>
    <row r="5920" spans="1:11" x14ac:dyDescent="0.35">
      <c r="A5920" s="9" t="str">
        <f>HYPERLINK("http://www.ensembl.org/id/WBGene00016066", "WBGene00016066")</f>
        <v>WBGene00016066</v>
      </c>
      <c r="B5920" s="9" t="str">
        <f>HYPERLINK("http://www.ncbi.nlm.nih.gov/gene/171992", "171992")</f>
        <v>171992</v>
      </c>
      <c r="C5920" s="9"/>
      <c r="D5920" t="str">
        <f>"acd-2"</f>
        <v>acd-2</v>
      </c>
      <c r="F5920" t="s">
        <v>11</v>
      </c>
      <c r="G5920" t="s">
        <v>211</v>
      </c>
      <c r="H5920" s="12">
        <v>1.16266693217225</v>
      </c>
      <c r="I5920" s="20">
        <v>0.51115138765712198</v>
      </c>
      <c r="J5920" s="28">
        <v>0.60924505526967798</v>
      </c>
      <c r="K5920" s="29">
        <v>0.98289565623980701</v>
      </c>
    </row>
    <row r="5921" spans="1:11" x14ac:dyDescent="0.35">
      <c r="A5921" s="9" t="str">
        <f>HYPERLINK("http://www.ensembl.org/id/WBGene00007775", "WBGene00007775")</f>
        <v>WBGene00007775</v>
      </c>
      <c r="B5921" s="9" t="str">
        <f>HYPERLINK("http://www.ncbi.nlm.nih.gov/gene/182963", "182963")</f>
        <v>182963</v>
      </c>
      <c r="C5921" s="9"/>
      <c r="D5921" t="str">
        <f>"acd-3"</f>
        <v>acd-3</v>
      </c>
      <c r="F5921" t="s">
        <v>11</v>
      </c>
      <c r="G5921" t="s">
        <v>7188</v>
      </c>
      <c r="H5921" s="12">
        <v>-1.1120486797867799</v>
      </c>
      <c r="I5921" s="20">
        <v>-0.303509047753317</v>
      </c>
      <c r="J5921" s="28">
        <v>0.76150195335864901</v>
      </c>
      <c r="K5921" s="29">
        <v>0.98289565623980701</v>
      </c>
    </row>
    <row r="5922" spans="1:11" x14ac:dyDescent="0.35">
      <c r="A5922" s="9" t="str">
        <f>HYPERLINK("http://www.ensembl.org/id/WBGene00017879", "WBGene00017879")</f>
        <v>WBGene00017879</v>
      </c>
      <c r="B5922" s="9" t="str">
        <f>HYPERLINK("http://www.ncbi.nlm.nih.gov/gene/185036", "185036")</f>
        <v>185036</v>
      </c>
      <c r="C5922" s="9"/>
      <c r="D5922" t="str">
        <f>"acd-4"</f>
        <v>acd-4</v>
      </c>
      <c r="F5922" t="s">
        <v>11</v>
      </c>
      <c r="G5922" t="s">
        <v>211</v>
      </c>
      <c r="H5922" s="12">
        <v>1.47354850726146</v>
      </c>
      <c r="I5922" s="20">
        <v>1.06431800748806</v>
      </c>
      <c r="J5922" s="28">
        <v>0.28718466309475499</v>
      </c>
      <c r="K5922" s="29">
        <v>0.98289565623980701</v>
      </c>
    </row>
    <row r="5923" spans="1:11" x14ac:dyDescent="0.35">
      <c r="A5923" s="9" t="str">
        <f>HYPERLINK("http://www.ensembl.org/id/WBGene00016943", "WBGene00016943")</f>
        <v>WBGene00016943</v>
      </c>
      <c r="B5923" s="9" t="str">
        <f>HYPERLINK("http://www.ncbi.nlm.nih.gov/gene/172358", "172358")</f>
        <v>172358</v>
      </c>
      <c r="C5923" s="9" t="str">
        <f>HYPERLINK("http://www.ncbi.nlm.nih.gov/gene/36", "36")</f>
        <v>36</v>
      </c>
      <c r="D5923" t="str">
        <f>"acdh-1"</f>
        <v>acdh-1</v>
      </c>
      <c r="E5923" t="s">
        <v>238</v>
      </c>
      <c r="F5923" t="s">
        <v>11</v>
      </c>
      <c r="G5923" t="s">
        <v>5327</v>
      </c>
      <c r="H5923" s="12">
        <v>1.1880317025053699</v>
      </c>
      <c r="I5923" s="20">
        <v>0.93952713891782902</v>
      </c>
      <c r="J5923" s="28">
        <v>0.34746016516943501</v>
      </c>
      <c r="K5923" s="29">
        <v>0.98289565623980701</v>
      </c>
    </row>
    <row r="5924" spans="1:11" x14ac:dyDescent="0.35">
      <c r="A5924" s="9" t="str">
        <f>HYPERLINK("http://www.ensembl.org/id/WBGene00020366", "WBGene00020366")</f>
        <v>WBGene00020366</v>
      </c>
      <c r="B5924" s="9" t="str">
        <f>HYPERLINK("http://www.ncbi.nlm.nih.gov/gene/24104866", "24104866")</f>
        <v>24104866</v>
      </c>
      <c r="C5924" s="9"/>
      <c r="D5924" t="str">
        <f>"acdh-10"</f>
        <v>acdh-10</v>
      </c>
      <c r="E5924" t="s">
        <v>8827</v>
      </c>
      <c r="F5924" t="s">
        <v>11</v>
      </c>
      <c r="G5924" t="s">
        <v>4524</v>
      </c>
      <c r="H5924" s="12">
        <v>-1.1997504143000099</v>
      </c>
      <c r="I5924" s="20">
        <v>-0.96893564547567801</v>
      </c>
      <c r="J5924" s="28">
        <v>0.33257729914765299</v>
      </c>
      <c r="K5924" s="29">
        <v>0.98289565623980701</v>
      </c>
    </row>
    <row r="5925" spans="1:11" x14ac:dyDescent="0.35">
      <c r="A5925" s="9" t="str">
        <f>HYPERLINK("http://www.ensembl.org/id/WBGene00012860", "WBGene00012860")</f>
        <v>WBGene00012860</v>
      </c>
      <c r="B5925" s="9" t="str">
        <f>HYPERLINK("http://www.ncbi.nlm.nih.gov/gene/176477", "176477")</f>
        <v>176477</v>
      </c>
      <c r="C5925" s="9"/>
      <c r="D5925" t="str">
        <f>"acdh-11"</f>
        <v>acdh-11</v>
      </c>
      <c r="E5925" t="s">
        <v>8222</v>
      </c>
      <c r="F5925" t="s">
        <v>11</v>
      </c>
      <c r="G5925" t="s">
        <v>8223</v>
      </c>
      <c r="H5925" s="12">
        <v>-1.16654598871648</v>
      </c>
      <c r="I5925" s="20">
        <v>-0.82682813883328099</v>
      </c>
      <c r="J5925" s="28">
        <v>0.40833447862281902</v>
      </c>
      <c r="K5925" s="29">
        <v>0.98289565623980701</v>
      </c>
    </row>
    <row r="5926" spans="1:11" x14ac:dyDescent="0.35">
      <c r="A5926" s="9" t="str">
        <f>HYPERLINK("http://www.ensembl.org/id/WBGene00017125", "WBGene00017125")</f>
        <v>WBGene00017125</v>
      </c>
      <c r="B5926" s="9" t="str">
        <f>HYPERLINK("http://www.ncbi.nlm.nih.gov/gene/174180", "174180")</f>
        <v>174180</v>
      </c>
      <c r="C5926" s="9" t="str">
        <f>HYPERLINK("http://www.ncbi.nlm.nih.gov/gene/37", "37")</f>
        <v>37</v>
      </c>
      <c r="D5926" t="str">
        <f>"acdh-12"</f>
        <v>acdh-12</v>
      </c>
      <c r="E5926" t="s">
        <v>238</v>
      </c>
      <c r="F5926" t="s">
        <v>11</v>
      </c>
      <c r="G5926" t="s">
        <v>9239</v>
      </c>
      <c r="H5926" s="12">
        <v>-1.22994687740108</v>
      </c>
      <c r="I5926" s="20">
        <v>-1.13536268380404</v>
      </c>
      <c r="J5926" s="28">
        <v>0.25622338810203799</v>
      </c>
      <c r="K5926" s="29">
        <v>0.98289565623980701</v>
      </c>
    </row>
    <row r="5927" spans="1:11" x14ac:dyDescent="0.35">
      <c r="A5927" s="9" t="str">
        <f>HYPERLINK("http://www.ensembl.org/id/WBGene00001566", "WBGene00001566")</f>
        <v>WBGene00001566</v>
      </c>
      <c r="B5927" s="9" t="str">
        <f>HYPERLINK("http://www.ncbi.nlm.nih.gov/gene/177654", "177654")</f>
        <v>177654</v>
      </c>
      <c r="C5927" s="9"/>
      <c r="D5927" t="str">
        <f>"acdh-13"</f>
        <v>acdh-13</v>
      </c>
      <c r="E5927" t="s">
        <v>238</v>
      </c>
      <c r="F5927" t="s">
        <v>11</v>
      </c>
      <c r="G5927" t="s">
        <v>7944</v>
      </c>
      <c r="H5927" s="12">
        <v>-1.1521741498696401</v>
      </c>
      <c r="I5927" s="20">
        <v>-0.61231058061828303</v>
      </c>
      <c r="J5927" s="28">
        <v>0.54033229063159305</v>
      </c>
      <c r="K5927" s="29">
        <v>0.98289565623980701</v>
      </c>
    </row>
    <row r="5928" spans="1:11" x14ac:dyDescent="0.35">
      <c r="A5928" s="9" t="str">
        <f>HYPERLINK("http://www.ensembl.org/id/WBGene00019433", "WBGene00019433")</f>
        <v>WBGene00019433</v>
      </c>
      <c r="B5928" s="9" t="str">
        <f>HYPERLINK("http://www.ncbi.nlm.nih.gov/gene/172351", "172351")</f>
        <v>172351</v>
      </c>
      <c r="C5928" s="9" t="str">
        <f>HYPERLINK("http://www.ncbi.nlm.nih.gov/gene/36", "36")</f>
        <v>36</v>
      </c>
      <c r="D5928" t="str">
        <f>"acdh-3"</f>
        <v>acdh-3</v>
      </c>
      <c r="E5928" t="s">
        <v>238</v>
      </c>
      <c r="F5928" t="s">
        <v>11</v>
      </c>
      <c r="G5928" t="s">
        <v>239</v>
      </c>
      <c r="H5928" s="12">
        <v>-1.16187392520342</v>
      </c>
      <c r="I5928" s="20">
        <v>-0.79224337852274795</v>
      </c>
      <c r="J5928" s="28">
        <v>0.42821877969324601</v>
      </c>
      <c r="K5928" s="29">
        <v>0.98289565623980701</v>
      </c>
    </row>
    <row r="5929" spans="1:11" x14ac:dyDescent="0.35">
      <c r="A5929" s="9" t="str">
        <f>HYPERLINK("http://www.ensembl.org/id/WBGene00020419", "WBGene00020419")</f>
        <v>WBGene00020419</v>
      </c>
      <c r="B5929" s="9" t="str">
        <f>HYPERLINK("http://www.ncbi.nlm.nih.gov/gene/172367", "172367")</f>
        <v>172367</v>
      </c>
      <c r="C5929" s="9"/>
      <c r="D5929" t="str">
        <f>"acdh-4"</f>
        <v>acdh-4</v>
      </c>
      <c r="E5929" t="s">
        <v>238</v>
      </c>
      <c r="F5929" t="s">
        <v>11</v>
      </c>
      <c r="G5929" t="s">
        <v>239</v>
      </c>
      <c r="H5929" s="12">
        <v>-1.21951917589465</v>
      </c>
      <c r="I5929" s="20">
        <v>-0.35770731113061199</v>
      </c>
      <c r="J5929" s="28">
        <v>0.72056236117745198</v>
      </c>
      <c r="K5929" s="29">
        <v>0.98289565623980701</v>
      </c>
    </row>
    <row r="5930" spans="1:11" x14ac:dyDescent="0.35">
      <c r="A5930" s="9" t="str">
        <f>HYPERLINK("http://www.ensembl.org/id/WBGene00015335", "WBGene00015335")</f>
        <v>WBGene00015335</v>
      </c>
      <c r="B5930" s="9" t="str">
        <f>HYPERLINK("http://www.ncbi.nlm.nih.gov/gene/182112", "182112")</f>
        <v>182112</v>
      </c>
      <c r="C5930" s="9"/>
      <c r="D5930" t="str">
        <f>"acdh-6"</f>
        <v>acdh-6</v>
      </c>
      <c r="E5930" t="s">
        <v>4523</v>
      </c>
      <c r="F5930" t="s">
        <v>11</v>
      </c>
      <c r="G5930" t="s">
        <v>4524</v>
      </c>
      <c r="H5930" s="12">
        <v>1.7696182800170901</v>
      </c>
      <c r="I5930" s="20">
        <v>0.86523197266904095</v>
      </c>
      <c r="J5930" s="28">
        <v>0.38691148002011999</v>
      </c>
      <c r="K5930" s="29">
        <v>0.98289565623980701</v>
      </c>
    </row>
    <row r="5931" spans="1:11" x14ac:dyDescent="0.35">
      <c r="A5931" s="9" t="str">
        <f>HYPERLINK("http://www.ensembl.org/id/WBGene00020812", "WBGene00020812")</f>
        <v>WBGene00020812</v>
      </c>
      <c r="B5931" s="9" t="str">
        <f>HYPERLINK("http://www.ncbi.nlm.nih.gov/gene/181758", "181758")</f>
        <v>181758</v>
      </c>
      <c r="C5931" s="9" t="str">
        <f>HYPERLINK("http://www.ncbi.nlm.nih.gov/gene/34", "34")</f>
        <v>34</v>
      </c>
      <c r="D5931" t="str">
        <f>"acdh-7"</f>
        <v>acdh-7</v>
      </c>
      <c r="E5931" t="s">
        <v>238</v>
      </c>
      <c r="F5931" t="s">
        <v>11</v>
      </c>
      <c r="G5931" t="s">
        <v>4586</v>
      </c>
      <c r="H5931" s="12">
        <v>-1.1881194707321101</v>
      </c>
      <c r="I5931" s="20">
        <v>-0.91637293199161496</v>
      </c>
      <c r="J5931" s="28">
        <v>0.359471327344703</v>
      </c>
      <c r="K5931" s="29">
        <v>0.98289565623980701</v>
      </c>
    </row>
    <row r="5932" spans="1:11" x14ac:dyDescent="0.35">
      <c r="A5932" s="9" t="str">
        <f>HYPERLINK("http://www.ensembl.org/id/WBGene00019406", "WBGene00019406")</f>
        <v>WBGene00019406</v>
      </c>
      <c r="B5932" s="9" t="str">
        <f>HYPERLINK("http://www.ncbi.nlm.nih.gov/gene/173979", "173979")</f>
        <v>173979</v>
      </c>
      <c r="C5932" s="9" t="str">
        <f>HYPERLINK("http://www.ncbi.nlm.nih.gov/gene/34", "34")</f>
        <v>34</v>
      </c>
      <c r="D5932" t="str">
        <f>"acdh-8"</f>
        <v>acdh-8</v>
      </c>
      <c r="E5932" t="s">
        <v>238</v>
      </c>
      <c r="F5932" t="s">
        <v>11</v>
      </c>
      <c r="G5932" t="s">
        <v>4586</v>
      </c>
      <c r="H5932" s="12">
        <v>1.64041592919303</v>
      </c>
      <c r="I5932" s="20">
        <v>0.72110185150735195</v>
      </c>
      <c r="J5932" s="28">
        <v>0.470846851977409</v>
      </c>
      <c r="K5932" s="29">
        <v>0.98289565623980701</v>
      </c>
    </row>
    <row r="5933" spans="1:11" x14ac:dyDescent="0.35">
      <c r="A5933" s="9" t="str">
        <f>HYPERLINK("http://www.ensembl.org/id/WBGene00000036", "WBGene00000036")</f>
        <v>WBGene00000036</v>
      </c>
      <c r="B5933" s="9" t="str">
        <f>HYPERLINK("http://www.ncbi.nlm.nih.gov/gene/171905", "171905")</f>
        <v>171905</v>
      </c>
      <c r="C5933" s="9"/>
      <c r="D5933" t="str">
        <f>"ace-2"</f>
        <v>ace-2</v>
      </c>
      <c r="E5933" t="s">
        <v>383</v>
      </c>
      <c r="F5933" t="s">
        <v>11</v>
      </c>
      <c r="G5933" t="s">
        <v>5269</v>
      </c>
      <c r="H5933" s="12">
        <v>1.19978996025882</v>
      </c>
      <c r="I5933" s="20">
        <v>0.84608704932263601</v>
      </c>
      <c r="J5933" s="28">
        <v>0.39750418482712802</v>
      </c>
      <c r="K5933" s="29">
        <v>0.98289565623980701</v>
      </c>
    </row>
    <row r="5934" spans="1:11" x14ac:dyDescent="0.35">
      <c r="A5934" s="9" t="str">
        <f>HYPERLINK("http://www.ensembl.org/id/WBGene00000038", "WBGene00000038")</f>
        <v>WBGene00000038</v>
      </c>
      <c r="B5934" s="9" t="str">
        <f>HYPERLINK("http://www.ncbi.nlm.nih.gov/gene/175074", "175074")</f>
        <v>175074</v>
      </c>
      <c r="C5934" s="9"/>
      <c r="D5934" t="str">
        <f>"ace-4"</f>
        <v>ace-4</v>
      </c>
      <c r="E5934" t="s">
        <v>383</v>
      </c>
      <c r="F5934" t="s">
        <v>11</v>
      </c>
      <c r="G5934" t="s">
        <v>4655</v>
      </c>
      <c r="H5934" s="12">
        <v>1.5303860148930799</v>
      </c>
      <c r="I5934" s="20">
        <v>0.93957474285209397</v>
      </c>
      <c r="J5934" s="28">
        <v>0.34743573677718698</v>
      </c>
      <c r="K5934" s="29">
        <v>0.98289565623980701</v>
      </c>
    </row>
    <row r="5935" spans="1:11" x14ac:dyDescent="0.35">
      <c r="A5935" s="9" t="str">
        <f>HYPERLINK("http://www.ensembl.org/id/WBGene00016630", "WBGene00016630")</f>
        <v>WBGene00016630</v>
      </c>
      <c r="B5935" s="9" t="str">
        <f>HYPERLINK("http://www.ncbi.nlm.nih.gov/gene/174128", "174128")</f>
        <v>174128</v>
      </c>
      <c r="C5935" s="9"/>
      <c r="D5935" t="str">
        <f>"acer-1"</f>
        <v>acer-1</v>
      </c>
      <c r="E5935" t="s">
        <v>9149</v>
      </c>
      <c r="F5935" t="s">
        <v>11</v>
      </c>
      <c r="G5935" t="s">
        <v>7014</v>
      </c>
      <c r="H5935" s="12">
        <v>-1.2246656006657299</v>
      </c>
      <c r="I5935" s="20">
        <v>-1.03463553475225</v>
      </c>
      <c r="J5935" s="28">
        <v>0.30083915234465503</v>
      </c>
      <c r="K5935" s="29">
        <v>0.98289565623980701</v>
      </c>
    </row>
    <row r="5936" spans="1:11" x14ac:dyDescent="0.35">
      <c r="A5936" s="9" t="str">
        <f>HYPERLINK("http://www.ensembl.org/id/WBGene00016601", "WBGene00016601")</f>
        <v>WBGene00016601</v>
      </c>
      <c r="B5936" s="9" t="str">
        <f>HYPERLINK("http://www.ncbi.nlm.nih.gov/gene/172030", "172030")</f>
        <v>172030</v>
      </c>
      <c r="C5936" s="9"/>
      <c r="D5936" t="str">
        <f>"acin-1"</f>
        <v>acin-1</v>
      </c>
      <c r="E5936" t="s">
        <v>6257</v>
      </c>
      <c r="F5936" t="s">
        <v>11</v>
      </c>
      <c r="G5936" t="s">
        <v>6258</v>
      </c>
      <c r="H5936" s="12">
        <v>-1.0572176351281399</v>
      </c>
      <c r="I5936" s="20">
        <v>-0.26631895154910601</v>
      </c>
      <c r="J5936" s="28">
        <v>0.78999357875757903</v>
      </c>
      <c r="K5936" s="29">
        <v>0.98289565623980701</v>
      </c>
    </row>
    <row r="5937" spans="1:11" x14ac:dyDescent="0.35">
      <c r="A5937" s="9" t="str">
        <f>HYPERLINK("http://www.ensembl.org/id/WBGene00017888", "WBGene00017888")</f>
        <v>WBGene00017888</v>
      </c>
      <c r="B5937" s="9" t="str">
        <f>HYPERLINK("http://www.ncbi.nlm.nih.gov/gene/185044", "185044")</f>
        <v>185044</v>
      </c>
      <c r="C5937" s="9" t="str">
        <f>HYPERLINK("http://www.ncbi.nlm.nih.gov/gene/55326", "55326")</f>
        <v>55326</v>
      </c>
      <c r="D5937" t="str">
        <f>"acl-11"</f>
        <v>acl-11</v>
      </c>
      <c r="E5937" t="s">
        <v>2715</v>
      </c>
      <c r="F5937" t="s">
        <v>11</v>
      </c>
      <c r="G5937" t="s">
        <v>7032</v>
      </c>
      <c r="H5937" s="12">
        <v>-1.10340642783168</v>
      </c>
      <c r="I5937" s="20">
        <v>-0.42967383122951602</v>
      </c>
      <c r="J5937" s="28">
        <v>0.66743292186161596</v>
      </c>
      <c r="K5937" s="29">
        <v>0.98289565623980701</v>
      </c>
    </row>
    <row r="5938" spans="1:11" x14ac:dyDescent="0.35">
      <c r="A5938" s="9" t="str">
        <f>HYPERLINK("http://www.ensembl.org/id/WBGene00015295", "WBGene00015295")</f>
        <v>WBGene00015295</v>
      </c>
      <c r="B5938" s="9" t="str">
        <f>HYPERLINK("http://www.ncbi.nlm.nih.gov/gene/181001", "181001")</f>
        <v>181001</v>
      </c>
      <c r="C5938" s="9"/>
      <c r="D5938" t="str">
        <f>"acl-12"</f>
        <v>acl-12</v>
      </c>
      <c r="E5938" t="s">
        <v>8830</v>
      </c>
      <c r="F5938" t="s">
        <v>11</v>
      </c>
      <c r="G5938" t="s">
        <v>3624</v>
      </c>
      <c r="H5938" s="12">
        <v>-1.1999630394138301</v>
      </c>
      <c r="I5938" s="20">
        <v>-0.970129254453027</v>
      </c>
      <c r="J5938" s="28">
        <v>0.33198206859813001</v>
      </c>
      <c r="K5938" s="29">
        <v>0.98289565623980701</v>
      </c>
    </row>
    <row r="5939" spans="1:11" x14ac:dyDescent="0.35">
      <c r="A5939" s="9" t="str">
        <f>HYPERLINK("http://www.ensembl.org/id/WBGene00008581", "WBGene00008581")</f>
        <v>WBGene00008581</v>
      </c>
      <c r="B5939" s="9" t="str">
        <f>HYPERLINK("http://www.ncbi.nlm.nih.gov/gene/184203", "184203")</f>
        <v>184203</v>
      </c>
      <c r="C5939" s="9"/>
      <c r="D5939" t="str">
        <f>"acl-13"</f>
        <v>acl-13</v>
      </c>
      <c r="E5939" t="s">
        <v>2715</v>
      </c>
      <c r="F5939" t="s">
        <v>11</v>
      </c>
      <c r="G5939" t="s">
        <v>2716</v>
      </c>
      <c r="H5939" s="12">
        <v>-1.41733197545802</v>
      </c>
      <c r="I5939" s="20">
        <v>-0.359643112356057</v>
      </c>
      <c r="J5939" s="28">
        <v>0.71911403885391501</v>
      </c>
      <c r="K5939" s="29">
        <v>0.98289565623980701</v>
      </c>
    </row>
    <row r="5940" spans="1:11" x14ac:dyDescent="0.35">
      <c r="A5940" s="9" t="str">
        <f>HYPERLINK("http://www.ensembl.org/id/WBGene00011543", "WBGene00011543")</f>
        <v>WBGene00011543</v>
      </c>
      <c r="B5940" s="9" t="str">
        <f>HYPERLINK("http://www.ncbi.nlm.nih.gov/gene/179398", "179398")</f>
        <v>179398</v>
      </c>
      <c r="C5940" s="9" t="str">
        <f>HYPERLINK("http://www.ncbi.nlm.nih.gov/gene/10554", "10554")</f>
        <v>10554</v>
      </c>
      <c r="D5940" t="str">
        <f>"acl-2"</f>
        <v>acl-2</v>
      </c>
      <c r="E5940" t="s">
        <v>8337</v>
      </c>
      <c r="F5940" t="s">
        <v>11</v>
      </c>
      <c r="G5940" t="s">
        <v>1984</v>
      </c>
      <c r="H5940" s="12">
        <v>-1.1723290804470601</v>
      </c>
      <c r="I5940" s="20">
        <v>-0.78217043124767904</v>
      </c>
      <c r="J5940" s="28">
        <v>0.43411441929222599</v>
      </c>
      <c r="K5940" s="29">
        <v>0.98289565623980701</v>
      </c>
    </row>
    <row r="5941" spans="1:11" x14ac:dyDescent="0.35">
      <c r="A5941" s="9" t="str">
        <f>HYPERLINK("http://www.ensembl.org/id/WBGene00012911", "WBGene00012911")</f>
        <v>WBGene00012911</v>
      </c>
      <c r="B5941" s="9" t="str">
        <f>HYPERLINK("http://www.ncbi.nlm.nih.gov/gene/174916", "174916")</f>
        <v>174916</v>
      </c>
      <c r="C5941" s="9" t="str">
        <f>HYPERLINK("http://www.ncbi.nlm.nih.gov/gene/8443", "8443")</f>
        <v>8443</v>
      </c>
      <c r="D5941" t="str">
        <f>"acl-7"</f>
        <v>acl-7</v>
      </c>
      <c r="E5941" t="s">
        <v>7600</v>
      </c>
      <c r="F5941" t="s">
        <v>11</v>
      </c>
      <c r="G5941" t="s">
        <v>7601</v>
      </c>
      <c r="H5941" s="12">
        <v>-1.1351070330259101</v>
      </c>
      <c r="I5941" s="20">
        <v>-0.66041360635642798</v>
      </c>
      <c r="J5941" s="28">
        <v>0.50898844295692702</v>
      </c>
      <c r="K5941" s="29">
        <v>0.98289565623980701</v>
      </c>
    </row>
    <row r="5942" spans="1:11" x14ac:dyDescent="0.35">
      <c r="A5942" s="9" t="str">
        <f>HYPERLINK("http://www.ensembl.org/id/WBGene00020264", "WBGene00020264")</f>
        <v>WBGene00020264</v>
      </c>
      <c r="B5942" s="9" t="str">
        <f>HYPERLINK("http://www.ncbi.nlm.nih.gov/gene/179031", "179031")</f>
        <v>179031</v>
      </c>
      <c r="C5942" s="9" t="str">
        <f>HYPERLINK("http://www.ncbi.nlm.nih.gov/gene/253558", "253558")</f>
        <v>253558</v>
      </c>
      <c r="D5942" t="str">
        <f>"acl-8"</f>
        <v>acl-8</v>
      </c>
      <c r="E5942" t="s">
        <v>2715</v>
      </c>
      <c r="F5942" t="s">
        <v>11</v>
      </c>
      <c r="G5942" t="s">
        <v>2716</v>
      </c>
      <c r="H5942" s="12">
        <v>-1.1245423277778399</v>
      </c>
      <c r="I5942" s="20">
        <v>-0.59389680845590298</v>
      </c>
      <c r="J5942" s="28">
        <v>0.55258113379487395</v>
      </c>
      <c r="K5942" s="29">
        <v>0.98289565623980701</v>
      </c>
    </row>
    <row r="5943" spans="1:11" x14ac:dyDescent="0.35">
      <c r="A5943" s="9" t="str">
        <f>HYPERLINK("http://www.ensembl.org/id/WBGene00022646", "WBGene00022646")</f>
        <v>WBGene00022646</v>
      </c>
      <c r="B5943" s="9" t="str">
        <f>HYPERLINK("http://www.ncbi.nlm.nih.gov/gene/179032", "179032")</f>
        <v>179032</v>
      </c>
      <c r="C5943" s="9" t="str">
        <f>HYPERLINK("http://www.ncbi.nlm.nih.gov/gene/253558", "253558")</f>
        <v>253558</v>
      </c>
      <c r="D5943" t="str">
        <f>"acl-9"</f>
        <v>acl-9</v>
      </c>
      <c r="E5943" t="s">
        <v>2715</v>
      </c>
      <c r="F5943" t="s">
        <v>11</v>
      </c>
      <c r="G5943" t="s">
        <v>2716</v>
      </c>
      <c r="H5943" s="12">
        <v>-1.2106165795149699</v>
      </c>
      <c r="I5943" s="20">
        <v>-1.0149059718265401</v>
      </c>
      <c r="J5943" s="28">
        <v>0.31015065126331398</v>
      </c>
      <c r="K5943" s="29">
        <v>0.98289565623980701</v>
      </c>
    </row>
    <row r="5944" spans="1:11" x14ac:dyDescent="0.35">
      <c r="A5944" s="9" t="str">
        <f>HYPERLINK("http://www.ensembl.org/id/WBGene00000039", "WBGene00000039")</f>
        <v>WBGene00000039</v>
      </c>
      <c r="B5944" s="9" t="str">
        <f>HYPERLINK("http://www.ncbi.nlm.nih.gov/gene/180780", "180780")</f>
        <v>180780</v>
      </c>
      <c r="C5944" s="9" t="str">
        <f>HYPERLINK("http://www.ncbi.nlm.nih.gov/gene/59272", "59272")</f>
        <v>59272</v>
      </c>
      <c r="D5944" t="str">
        <f>"acn-1"</f>
        <v>acn-1</v>
      </c>
      <c r="E5944" t="s">
        <v>5247</v>
      </c>
      <c r="F5944" t="s">
        <v>11</v>
      </c>
      <c r="G5944" t="s">
        <v>5248</v>
      </c>
      <c r="H5944" s="12">
        <v>1.20591465321972</v>
      </c>
      <c r="I5944" s="20">
        <v>0.83062701264952299</v>
      </c>
      <c r="J5944" s="28">
        <v>0.40618436987706202</v>
      </c>
      <c r="K5944" s="29">
        <v>0.98289565623980701</v>
      </c>
    </row>
    <row r="5945" spans="1:11" x14ac:dyDescent="0.35">
      <c r="A5945" s="9" t="str">
        <f>HYPERLINK("http://www.ensembl.org/id/WBGene00000040", "WBGene00000040")</f>
        <v>WBGene00000040</v>
      </c>
      <c r="B5945" s="9" t="str">
        <f>HYPERLINK("http://www.ncbi.nlm.nih.gov/gene/181324", "181324")</f>
        <v>181324</v>
      </c>
      <c r="C5945" s="9" t="str">
        <f>HYPERLINK("http://www.ncbi.nlm.nih.gov/gene/48", "48")</f>
        <v>48</v>
      </c>
      <c r="D5945" t="str">
        <f>"aco-1"</f>
        <v>aco-1</v>
      </c>
      <c r="E5945" t="s">
        <v>7272</v>
      </c>
      <c r="F5945" t="s">
        <v>11</v>
      </c>
      <c r="H5945" s="12">
        <v>-1.11668244783439</v>
      </c>
      <c r="I5945" s="20">
        <v>-0.61225923431930096</v>
      </c>
      <c r="J5945" s="28">
        <v>0.54036625646442804</v>
      </c>
      <c r="K5945" s="29">
        <v>0.98289565623980701</v>
      </c>
    </row>
    <row r="5946" spans="1:11" x14ac:dyDescent="0.35">
      <c r="A5946" s="9" t="str">
        <f>HYPERLINK("http://www.ensembl.org/id/WBGene00008564", "WBGene00008564")</f>
        <v>WBGene00008564</v>
      </c>
      <c r="B5946" s="9" t="str">
        <f>HYPERLINK("http://www.ncbi.nlm.nih.gov/gene/173162", "173162")</f>
        <v>173162</v>
      </c>
      <c r="C5946" s="9" t="str">
        <f>HYPERLINK("http://www.ncbi.nlm.nih.gov/gene/51", "51")</f>
        <v>51</v>
      </c>
      <c r="D5946" t="str">
        <f>"acox-1.1"</f>
        <v>acox-1.1</v>
      </c>
      <c r="E5946" t="s">
        <v>1220</v>
      </c>
      <c r="F5946" t="s">
        <v>11</v>
      </c>
      <c r="G5946" t="s">
        <v>5122</v>
      </c>
      <c r="H5946" s="12">
        <v>1.23496355398483</v>
      </c>
      <c r="I5946" s="20">
        <v>1.1231795350220199</v>
      </c>
      <c r="J5946" s="28">
        <v>0.26136125236420199</v>
      </c>
      <c r="K5946" s="29">
        <v>0.98289565623980701</v>
      </c>
    </row>
    <row r="5947" spans="1:11" x14ac:dyDescent="0.35">
      <c r="A5947" s="9" t="str">
        <f>HYPERLINK("http://www.ensembl.org/id/WBGene00008566", "WBGene00008566")</f>
        <v>WBGene00008566</v>
      </c>
      <c r="B5947" s="9" t="str">
        <f>HYPERLINK("http://www.ncbi.nlm.nih.gov/gene/184167", "184167")</f>
        <v>184167</v>
      </c>
      <c r="C5947" s="9" t="str">
        <f>HYPERLINK("http://www.ncbi.nlm.nih.gov/gene/51", "51")</f>
        <v>51</v>
      </c>
      <c r="D5947" t="str">
        <f>"acox-1.3"</f>
        <v>acox-1.3</v>
      </c>
      <c r="E5947" t="s">
        <v>1220</v>
      </c>
      <c r="F5947" t="s">
        <v>11</v>
      </c>
      <c r="G5947" t="s">
        <v>5407</v>
      </c>
      <c r="H5947" s="12">
        <v>1.17035214770731</v>
      </c>
      <c r="I5947" s="20">
        <v>0.61227395132362805</v>
      </c>
      <c r="J5947" s="28">
        <v>0.54035652098350295</v>
      </c>
      <c r="K5947" s="29">
        <v>0.98289565623980701</v>
      </c>
    </row>
    <row r="5948" spans="1:11" x14ac:dyDescent="0.35">
      <c r="A5948" s="9" t="str">
        <f>HYPERLINK("http://www.ensembl.org/id/WBGene00019060", "WBGene00019060")</f>
        <v>WBGene00019060</v>
      </c>
      <c r="B5948" s="9" t="str">
        <f>HYPERLINK("http://www.ncbi.nlm.nih.gov/gene/177386", "177386")</f>
        <v>177386</v>
      </c>
      <c r="C5948" s="9" t="str">
        <f>HYPERLINK("http://www.ncbi.nlm.nih.gov/gene/8310", "8310")</f>
        <v>8310</v>
      </c>
      <c r="D5948" t="str">
        <f>"acox-3"</f>
        <v>acox-3</v>
      </c>
      <c r="E5948" t="s">
        <v>1220</v>
      </c>
      <c r="F5948" t="s">
        <v>11</v>
      </c>
      <c r="G5948" t="s">
        <v>5063</v>
      </c>
      <c r="H5948" s="12">
        <v>1.2490146276363201</v>
      </c>
      <c r="I5948" s="20">
        <v>1.1883130088887901</v>
      </c>
      <c r="J5948" s="28">
        <v>0.234710114395907</v>
      </c>
      <c r="K5948" s="29">
        <v>0.98289565623980701</v>
      </c>
    </row>
    <row r="5949" spans="1:11" x14ac:dyDescent="0.35">
      <c r="A5949" s="9" t="str">
        <f>HYPERLINK("http://www.ensembl.org/id/WBGene00022770", "WBGene00022770")</f>
        <v>WBGene00022770</v>
      </c>
      <c r="B5949" s="9" t="str">
        <f>HYPERLINK("http://www.ncbi.nlm.nih.gov/gene/180627", "180627")</f>
        <v>180627</v>
      </c>
      <c r="C5949" s="9"/>
      <c r="D5949" t="str">
        <f>"acp-1"</f>
        <v>acp-1</v>
      </c>
      <c r="E5949" t="s">
        <v>9831</v>
      </c>
      <c r="F5949" t="s">
        <v>11</v>
      </c>
      <c r="H5949" s="12">
        <v>-1.31816302828509</v>
      </c>
      <c r="I5949" s="20">
        <v>-1.0208104497939501</v>
      </c>
      <c r="J5949" s="28">
        <v>0.307344252530661</v>
      </c>
      <c r="K5949" s="29">
        <v>0.98289565623980701</v>
      </c>
    </row>
    <row r="5950" spans="1:11" x14ac:dyDescent="0.35">
      <c r="A5950" s="9" t="str">
        <f>HYPERLINK("http://www.ensembl.org/id/WBGene00017427", "WBGene00017427")</f>
        <v>WBGene00017427</v>
      </c>
      <c r="B5950" s="9" t="str">
        <f>HYPERLINK("http://www.ncbi.nlm.nih.gov/gene/180849", "180849")</f>
        <v>180849</v>
      </c>
      <c r="C5950" s="9"/>
      <c r="D5950" t="str">
        <f>"acp-5"</f>
        <v>acp-5</v>
      </c>
      <c r="E5950" t="s">
        <v>36</v>
      </c>
      <c r="F5950" t="s">
        <v>11</v>
      </c>
      <c r="G5950" t="s">
        <v>1331</v>
      </c>
      <c r="H5950" s="12">
        <v>-1.3370481845684701</v>
      </c>
      <c r="I5950" s="20">
        <v>-1.14512304676891</v>
      </c>
      <c r="J5950" s="28">
        <v>0.25215818977154902</v>
      </c>
      <c r="K5950" s="29">
        <v>0.98289565623980701</v>
      </c>
    </row>
    <row r="5951" spans="1:11" x14ac:dyDescent="0.35">
      <c r="A5951" s="9" t="str">
        <f>HYPERLINK("http://www.ensembl.org/id/WBGene00000049", "WBGene00000049")</f>
        <v>WBGene00000049</v>
      </c>
      <c r="B5951" s="9" t="str">
        <f>HYPERLINK("http://www.ncbi.nlm.nih.gov/gene/191598", "191598")</f>
        <v>191598</v>
      </c>
      <c r="C5951" s="9" t="str">
        <f>HYPERLINK("http://www.ncbi.nlm.nih.gov/gene/1139", "1139")</f>
        <v>1139</v>
      </c>
      <c r="D5951" t="str">
        <f>"acr-10"</f>
        <v>acr-10</v>
      </c>
      <c r="E5951" t="s">
        <v>1742</v>
      </c>
      <c r="F5951" t="s">
        <v>11</v>
      </c>
      <c r="G5951" t="s">
        <v>1743</v>
      </c>
      <c r="H5951" s="12">
        <v>-1.29659839383404</v>
      </c>
      <c r="I5951" s="20">
        <v>-0.63010991089784796</v>
      </c>
      <c r="J5951" s="28">
        <v>0.52862267576269995</v>
      </c>
      <c r="K5951" s="29">
        <v>0.98289565623980701</v>
      </c>
    </row>
    <row r="5952" spans="1:11" x14ac:dyDescent="0.35">
      <c r="A5952" s="9" t="str">
        <f>HYPERLINK("http://www.ensembl.org/id/WBGene00000050", "WBGene00000050")</f>
        <v>WBGene00000050</v>
      </c>
      <c r="B5952" s="9" t="str">
        <f>HYPERLINK("http://www.ncbi.nlm.nih.gov/gene/191599", "191599")</f>
        <v>191599</v>
      </c>
      <c r="C5952" s="9" t="str">
        <f>HYPERLINK("http://www.ncbi.nlm.nih.gov/gene/1139", "1139")</f>
        <v>1139</v>
      </c>
      <c r="D5952" t="str">
        <f>"acr-11"</f>
        <v>acr-11</v>
      </c>
      <c r="E5952" t="s">
        <v>1742</v>
      </c>
      <c r="F5952" t="s">
        <v>11</v>
      </c>
      <c r="G5952" t="s">
        <v>5279</v>
      </c>
      <c r="H5952" s="12">
        <v>1.19638341990451</v>
      </c>
      <c r="I5952" s="20">
        <v>0.33553670479954201</v>
      </c>
      <c r="J5952" s="28">
        <v>0.73722026139993801</v>
      </c>
      <c r="K5952" s="29">
        <v>0.98289565623980701</v>
      </c>
    </row>
    <row r="5953" spans="1:11" x14ac:dyDescent="0.35">
      <c r="A5953" s="9" t="str">
        <f>HYPERLINK("http://www.ensembl.org/id/WBGene00000054", "WBGene00000054")</f>
        <v>WBGene00000054</v>
      </c>
      <c r="B5953" s="9" t="str">
        <f>HYPERLINK("http://www.ncbi.nlm.nih.gov/gene/191602", "191602")</f>
        <v>191602</v>
      </c>
      <c r="C5953" s="9"/>
      <c r="D5953" t="str">
        <f>"acr-15"</f>
        <v>acr-15</v>
      </c>
      <c r="E5953" t="s">
        <v>1742</v>
      </c>
      <c r="F5953" t="s">
        <v>11</v>
      </c>
      <c r="G5953" t="s">
        <v>4876</v>
      </c>
      <c r="H5953" s="12">
        <v>1.3204455864722699</v>
      </c>
      <c r="I5953" s="20">
        <v>1.01911856574319</v>
      </c>
      <c r="J5953" s="28">
        <v>0.30814668111816601</v>
      </c>
      <c r="K5953" s="29">
        <v>0.98289565623980701</v>
      </c>
    </row>
    <row r="5954" spans="1:11" x14ac:dyDescent="0.35">
      <c r="A5954" s="9" t="str">
        <f>HYPERLINK("http://www.ensembl.org/id/WBGene00000057", "WBGene00000057")</f>
        <v>WBGene00000057</v>
      </c>
      <c r="B5954" s="9" t="str">
        <f>HYPERLINK("http://www.ncbi.nlm.nih.gov/gene/191604", "191604")</f>
        <v>191604</v>
      </c>
      <c r="C5954" s="9"/>
      <c r="D5954" t="str">
        <f>"acr-18"</f>
        <v>acr-18</v>
      </c>
      <c r="E5954" t="s">
        <v>9637</v>
      </c>
      <c r="F5954" t="s">
        <v>11</v>
      </c>
      <c r="G5954" t="s">
        <v>906</v>
      </c>
      <c r="H5954" s="12">
        <v>-1.2705790672749</v>
      </c>
      <c r="I5954" s="20">
        <v>-0.88844792774232595</v>
      </c>
      <c r="J5954" s="28">
        <v>0.37429985425991102</v>
      </c>
      <c r="K5954" s="29">
        <v>0.98289565623980701</v>
      </c>
    </row>
    <row r="5955" spans="1:11" x14ac:dyDescent="0.35">
      <c r="A5955" s="9" t="str">
        <f>HYPERLINK("http://www.ensembl.org/id/WBGene00000043", "WBGene00000043")</f>
        <v>WBGene00000043</v>
      </c>
      <c r="B5955" s="9" t="str">
        <f>HYPERLINK("http://www.ncbi.nlm.nih.gov/gene/180937", "180937")</f>
        <v>180937</v>
      </c>
      <c r="C5955" s="9"/>
      <c r="D5955" t="str">
        <f>"acr-3"</f>
        <v>acr-3</v>
      </c>
      <c r="E5955" t="s">
        <v>4618</v>
      </c>
      <c r="F5955" t="s">
        <v>11</v>
      </c>
      <c r="G5955" t="s">
        <v>870</v>
      </c>
      <c r="H5955" s="12">
        <v>1.5989864680552099</v>
      </c>
      <c r="I5955" s="20">
        <v>0.61346728500668501</v>
      </c>
      <c r="J5955" s="28">
        <v>0.53956740800959402</v>
      </c>
      <c r="K5955" s="29">
        <v>0.98289565623980701</v>
      </c>
    </row>
    <row r="5956" spans="1:11" x14ac:dyDescent="0.35">
      <c r="A5956" s="9" t="str">
        <f>HYPERLINK("http://www.ensembl.org/id/WBGene00007082", "WBGene00007082")</f>
        <v>WBGene00007082</v>
      </c>
      <c r="B5956" s="9" t="str">
        <f>HYPERLINK("http://www.ncbi.nlm.nih.gov/gene/179913", "179913")</f>
        <v>179913</v>
      </c>
      <c r="C5956" s="9"/>
      <c r="D5956" t="str">
        <f>"acs-10"</f>
        <v>acs-10</v>
      </c>
      <c r="E5956" t="s">
        <v>533</v>
      </c>
      <c r="F5956" t="s">
        <v>11</v>
      </c>
      <c r="G5956" t="s">
        <v>4734</v>
      </c>
      <c r="H5956" s="12">
        <v>-1.26209609989683</v>
      </c>
      <c r="I5956" s="20">
        <v>-0.37933853945389601</v>
      </c>
      <c r="J5956" s="28">
        <v>0.70443648412506399</v>
      </c>
      <c r="K5956" s="29">
        <v>0.98289565623980701</v>
      </c>
    </row>
    <row r="5957" spans="1:11" x14ac:dyDescent="0.35">
      <c r="A5957" s="9" t="str">
        <f>HYPERLINK("http://www.ensembl.org/id/WBGene00008669", "WBGene00008669")</f>
        <v>WBGene00008669</v>
      </c>
      <c r="B5957" s="9" t="str">
        <f>HYPERLINK("http://www.ncbi.nlm.nih.gov/gene/179330", "179330")</f>
        <v>179330</v>
      </c>
      <c r="C5957" s="9"/>
      <c r="D5957" t="str">
        <f>"acs-14"</f>
        <v>acs-14</v>
      </c>
      <c r="E5957" t="s">
        <v>533</v>
      </c>
      <c r="F5957" t="s">
        <v>11</v>
      </c>
      <c r="G5957" t="s">
        <v>4734</v>
      </c>
      <c r="H5957" s="12">
        <v>-1.20322997815665</v>
      </c>
      <c r="I5957" s="20">
        <v>-0.96972452763764005</v>
      </c>
      <c r="J5957" s="28">
        <v>0.33218382113261302</v>
      </c>
      <c r="K5957" s="29">
        <v>0.98289565623980701</v>
      </c>
    </row>
    <row r="5958" spans="1:11" x14ac:dyDescent="0.35">
      <c r="A5958" s="9" t="str">
        <f>HYPERLINK("http://www.ensembl.org/id/WBGene00018579", "WBGene00018579")</f>
        <v>WBGene00018579</v>
      </c>
      <c r="B5958" s="9" t="str">
        <f>HYPERLINK("http://www.ncbi.nlm.nih.gov/gene/171714", "171714")</f>
        <v>171714</v>
      </c>
      <c r="C5958" s="9"/>
      <c r="D5958" t="str">
        <f>"acs-16"</f>
        <v>acs-16</v>
      </c>
      <c r="E5958" t="s">
        <v>533</v>
      </c>
      <c r="F5958" t="s">
        <v>11</v>
      </c>
      <c r="G5958" t="s">
        <v>909</v>
      </c>
      <c r="H5958" s="12">
        <v>1.1168046913882499</v>
      </c>
      <c r="I5958" s="20">
        <v>0.48899195146070901</v>
      </c>
      <c r="J5958" s="28">
        <v>0.62484739499947595</v>
      </c>
      <c r="K5958" s="29">
        <v>0.98289565623980701</v>
      </c>
    </row>
    <row r="5959" spans="1:11" x14ac:dyDescent="0.35">
      <c r="A5959" s="9" t="str">
        <f>HYPERLINK("http://www.ensembl.org/id/WBGene00016716", "WBGene00016716")</f>
        <v>WBGene00016716</v>
      </c>
      <c r="B5959" s="9" t="str">
        <f>HYPERLINK("http://www.ncbi.nlm.nih.gov/gene/180859", "180859")</f>
        <v>180859</v>
      </c>
      <c r="C5959" s="9" t="str">
        <f>HYPERLINK("http://www.ncbi.nlm.nih.gov/gene/2182", "2182")</f>
        <v>2182</v>
      </c>
      <c r="D5959" t="str">
        <f>"acs-17"</f>
        <v>acs-17</v>
      </c>
      <c r="E5959" t="s">
        <v>533</v>
      </c>
      <c r="F5959" t="s">
        <v>11</v>
      </c>
      <c r="G5959" t="s">
        <v>6390</v>
      </c>
      <c r="H5959" s="12">
        <v>-1.06659942266993</v>
      </c>
      <c r="I5959" s="20">
        <v>-0.34783377640159902</v>
      </c>
      <c r="J5959" s="28">
        <v>0.72796502181010803</v>
      </c>
      <c r="K5959" s="29">
        <v>0.98289565623980701</v>
      </c>
    </row>
    <row r="5960" spans="1:11" x14ac:dyDescent="0.35">
      <c r="A5960" s="9" t="str">
        <f>HYPERLINK("http://www.ensembl.org/id/WBGene00009218", "WBGene00009218")</f>
        <v>WBGene00009218</v>
      </c>
      <c r="B5960" s="9" t="str">
        <f>HYPERLINK("http://www.ncbi.nlm.nih.gov/gene/178190", "178190")</f>
        <v>178190</v>
      </c>
      <c r="C5960" s="9" t="str">
        <f>HYPERLINK("http://www.ncbi.nlm.nih.gov/gene/10999", "10999")</f>
        <v>10999</v>
      </c>
      <c r="D5960" t="str">
        <f>"acs-20"</f>
        <v>acs-20</v>
      </c>
      <c r="E5960" t="s">
        <v>533</v>
      </c>
      <c r="F5960" t="s">
        <v>11</v>
      </c>
      <c r="G5960" t="s">
        <v>4944</v>
      </c>
      <c r="H5960" s="12">
        <v>1.28808940724416</v>
      </c>
      <c r="I5960" s="20">
        <v>0.96437283500834803</v>
      </c>
      <c r="J5960" s="28">
        <v>0.33485903648897303</v>
      </c>
      <c r="K5960" s="29">
        <v>0.98289565623980701</v>
      </c>
    </row>
    <row r="5961" spans="1:11" x14ac:dyDescent="0.35">
      <c r="A5961" s="9" t="str">
        <f>HYPERLINK("http://www.ensembl.org/id/WBGene00017012", "WBGene00017012")</f>
        <v>WBGene00017012</v>
      </c>
      <c r="B5961" s="9" t="str">
        <f>HYPERLINK("http://www.ncbi.nlm.nih.gov/gene/181138", "181138")</f>
        <v>181138</v>
      </c>
      <c r="C5961" s="9" t="str">
        <f>HYPERLINK("http://www.ncbi.nlm.nih.gov/gene/10999", "10999")</f>
        <v>10999</v>
      </c>
      <c r="D5961" t="str">
        <f>"acs-22"</f>
        <v>acs-22</v>
      </c>
      <c r="E5961" t="s">
        <v>533</v>
      </c>
      <c r="F5961" t="s">
        <v>11</v>
      </c>
      <c r="G5961" t="s">
        <v>6029</v>
      </c>
      <c r="H5961" s="12">
        <v>1.0712159336267699</v>
      </c>
      <c r="I5961" s="20">
        <v>0.35257012679364802</v>
      </c>
      <c r="J5961" s="28">
        <v>0.72441073650575105</v>
      </c>
      <c r="K5961" s="29">
        <v>0.98289565623980701</v>
      </c>
    </row>
    <row r="5962" spans="1:11" x14ac:dyDescent="0.35">
      <c r="A5962" s="9" t="str">
        <f>HYPERLINK("http://www.ensembl.org/id/WBGene00011174", "WBGene00011174")</f>
        <v>WBGene00011174</v>
      </c>
      <c r="B5962" s="9"/>
      <c r="C5962" s="9"/>
      <c r="D5962" t="str">
        <f>"acs-23"</f>
        <v>acs-23</v>
      </c>
      <c r="F5962" t="s">
        <v>80</v>
      </c>
      <c r="H5962" s="12">
        <v>2.4578120077400301</v>
      </c>
      <c r="I5962" s="20">
        <v>0.26093350314551</v>
      </c>
      <c r="J5962" s="28">
        <v>0.79414378780213601</v>
      </c>
      <c r="K5962" s="29">
        <v>0.98289565623980701</v>
      </c>
    </row>
    <row r="5963" spans="1:11" x14ac:dyDescent="0.35">
      <c r="A5963" s="9" t="str">
        <f>HYPERLINK("http://www.ensembl.org/id/WBGene00020343", "WBGene00020343")</f>
        <v>WBGene00020343</v>
      </c>
      <c r="B5963" s="9" t="str">
        <f>HYPERLINK("http://www.ncbi.nlm.nih.gov/gene/178677", "178677")</f>
        <v>178677</v>
      </c>
      <c r="C5963" s="9"/>
      <c r="D5963" t="str">
        <f>"acs-3"</f>
        <v>acs-3</v>
      </c>
      <c r="E5963" t="s">
        <v>533</v>
      </c>
      <c r="F5963" t="s">
        <v>11</v>
      </c>
      <c r="G5963" t="s">
        <v>5802</v>
      </c>
      <c r="H5963" s="12">
        <v>1.1003440330493399</v>
      </c>
      <c r="I5963" s="20">
        <v>0.426451969748324</v>
      </c>
      <c r="J5963" s="28">
        <v>0.669778539290109</v>
      </c>
      <c r="K5963" s="29">
        <v>0.98289565623980701</v>
      </c>
    </row>
    <row r="5964" spans="1:11" x14ac:dyDescent="0.35">
      <c r="A5964" s="9" t="str">
        <f>HYPERLINK("http://www.ensembl.org/id/WBGene00007228", "WBGene00007228")</f>
        <v>WBGene00007228</v>
      </c>
      <c r="B5964" s="9" t="str">
        <f>HYPERLINK("http://www.ncbi.nlm.nih.gov/gene/174472", "174472")</f>
        <v>174472</v>
      </c>
      <c r="C5964" s="9"/>
      <c r="D5964" t="str">
        <f>"acs-7"</f>
        <v>acs-7</v>
      </c>
      <c r="E5964" t="s">
        <v>533</v>
      </c>
      <c r="F5964" t="s">
        <v>11</v>
      </c>
      <c r="G5964" t="s">
        <v>7995</v>
      </c>
      <c r="H5964" s="12">
        <v>-1.1548667195203599</v>
      </c>
      <c r="I5964" s="20">
        <v>-0.67870572336573598</v>
      </c>
      <c r="J5964" s="28">
        <v>0.49732433902210299</v>
      </c>
      <c r="K5964" s="29">
        <v>0.98289565623980701</v>
      </c>
    </row>
    <row r="5965" spans="1:11" x14ac:dyDescent="0.35">
      <c r="A5965" s="9" t="str">
        <f>HYPERLINK("http://www.ensembl.org/id/WBGene00020634", "WBGene00020634")</f>
        <v>WBGene00020634</v>
      </c>
      <c r="B5965" s="9" t="str">
        <f>HYPERLINK("http://www.ncbi.nlm.nih.gov/gene/188659", "188659")</f>
        <v>188659</v>
      </c>
      <c r="C5965" s="9"/>
      <c r="D5965" t="str">
        <f>"acs-9"</f>
        <v>acs-9</v>
      </c>
      <c r="E5965" t="s">
        <v>533</v>
      </c>
      <c r="F5965" t="s">
        <v>11</v>
      </c>
      <c r="G5965" t="s">
        <v>4734</v>
      </c>
      <c r="H5965" s="12">
        <v>1.17774969930899</v>
      </c>
      <c r="I5965" s="20">
        <v>0.464597570799341</v>
      </c>
      <c r="J5965" s="28">
        <v>0.64221967221091303</v>
      </c>
      <c r="K5965" s="29">
        <v>0.98289565623980701</v>
      </c>
    </row>
    <row r="5966" spans="1:11" x14ac:dyDescent="0.35">
      <c r="A5966" s="9" t="str">
        <f>HYPERLINK("http://www.ensembl.org/id/WBGene00022104", "WBGene00022104")</f>
        <v>WBGene00022104</v>
      </c>
      <c r="B5966" s="9" t="str">
        <f>HYPERLINK("http://www.ncbi.nlm.nih.gov/gene/175280", "175280")</f>
        <v>175280</v>
      </c>
      <c r="C5966" s="9" t="str">
        <f>HYPERLINK("http://www.ncbi.nlm.nih.gov/gene/130013", "130013")</f>
        <v>130013</v>
      </c>
      <c r="D5966" t="str">
        <f>"acsd-1"</f>
        <v>acsd-1</v>
      </c>
      <c r="E5966" t="s">
        <v>7248</v>
      </c>
      <c r="F5966" t="s">
        <v>11</v>
      </c>
      <c r="G5966" t="s">
        <v>7249</v>
      </c>
      <c r="H5966" s="12">
        <v>-1.1154092801098101</v>
      </c>
      <c r="I5966" s="20">
        <v>-0.333356596469641</v>
      </c>
      <c r="J5966" s="28">
        <v>0.738865122196673</v>
      </c>
      <c r="K5966" s="29">
        <v>0.98289565623980701</v>
      </c>
    </row>
    <row r="5967" spans="1:11" x14ac:dyDescent="0.35">
      <c r="A5967" s="9" t="str">
        <f>HYPERLINK("http://www.ensembl.org/id/WBGene00000063", "WBGene00000063")</f>
        <v>WBGene00000063</v>
      </c>
      <c r="B5967" s="9" t="str">
        <f>HYPERLINK("http://www.ncbi.nlm.nih.gov/gene/179535", "179535")</f>
        <v>179535</v>
      </c>
      <c r="C5967" s="9" t="str">
        <f>HYPERLINK("http://www.ncbi.nlm.nih.gov/gene/71", "71")</f>
        <v>71</v>
      </c>
      <c r="D5967" t="str">
        <f>"act-1"</f>
        <v>act-1</v>
      </c>
      <c r="E5967" t="s">
        <v>5226</v>
      </c>
      <c r="F5967" t="s">
        <v>11</v>
      </c>
      <c r="H5967" s="12">
        <v>1.21080804004705</v>
      </c>
      <c r="I5967" s="20">
        <v>0.897286597304776</v>
      </c>
      <c r="J5967" s="28">
        <v>0.36956600638331899</v>
      </c>
      <c r="K5967" s="29">
        <v>0.98289565623980701</v>
      </c>
    </row>
    <row r="5968" spans="1:11" x14ac:dyDescent="0.35">
      <c r="A5968" s="9" t="str">
        <f>HYPERLINK("http://www.ensembl.org/id/WBGene00000064", "WBGene00000064")</f>
        <v>WBGene00000064</v>
      </c>
      <c r="B5968" s="9" t="str">
        <f>HYPERLINK("http://www.ncbi.nlm.nih.gov/gene/179534", "179534")</f>
        <v>179534</v>
      </c>
      <c r="C5968" s="9" t="str">
        <f>HYPERLINK("http://www.ncbi.nlm.nih.gov/gene/71", "71")</f>
        <v>71</v>
      </c>
      <c r="D5968" t="str">
        <f>"act-2"</f>
        <v>act-2</v>
      </c>
      <c r="E5968" t="s">
        <v>5682</v>
      </c>
      <c r="F5968" t="s">
        <v>11</v>
      </c>
      <c r="H5968" s="12">
        <v>1.1238078375662099</v>
      </c>
      <c r="I5968" s="20">
        <v>0.65557994519468299</v>
      </c>
      <c r="J5968" s="28">
        <v>0.512094432636231</v>
      </c>
      <c r="K5968" s="29">
        <v>0.98289565623980701</v>
      </c>
    </row>
    <row r="5969" spans="1:11" x14ac:dyDescent="0.35">
      <c r="A5969" s="9" t="str">
        <f>HYPERLINK("http://www.ensembl.org/id/WBGene00000065", "WBGene00000065")</f>
        <v>WBGene00000065</v>
      </c>
      <c r="B5969" s="9" t="str">
        <f>HYPERLINK("http://www.ncbi.nlm.nih.gov/gene/179533", "179533")</f>
        <v>179533</v>
      </c>
      <c r="C5969" s="9" t="str">
        <f>HYPERLINK("http://www.ncbi.nlm.nih.gov/gene/71", "71")</f>
        <v>71</v>
      </c>
      <c r="D5969" t="str">
        <f>"act-3"</f>
        <v>act-3</v>
      </c>
      <c r="E5969" t="s">
        <v>7806</v>
      </c>
      <c r="F5969" t="s">
        <v>11</v>
      </c>
      <c r="H5969" s="12">
        <v>-1.1456711397599699</v>
      </c>
      <c r="I5969" s="20">
        <v>-0.71693581754942504</v>
      </c>
      <c r="J5969" s="28">
        <v>0.47341370013866502</v>
      </c>
      <c r="K5969" s="29">
        <v>0.98289565623980701</v>
      </c>
    </row>
    <row r="5970" spans="1:11" x14ac:dyDescent="0.35">
      <c r="A5970" s="9" t="str">
        <f>HYPERLINK("http://www.ensembl.org/id/WBGene00000066", "WBGene00000066")</f>
        <v>WBGene00000066</v>
      </c>
      <c r="B5970" s="9" t="str">
        <f>HYPERLINK("http://www.ncbi.nlm.nih.gov/gene/180767", "180767")</f>
        <v>180767</v>
      </c>
      <c r="C5970" s="9" t="str">
        <f>HYPERLINK("http://www.ncbi.nlm.nih.gov/gene/71", "71")</f>
        <v>71</v>
      </c>
      <c r="D5970" t="str">
        <f>"act-4"</f>
        <v>act-4</v>
      </c>
      <c r="E5970" t="s">
        <v>6586</v>
      </c>
      <c r="F5970" t="s">
        <v>11</v>
      </c>
      <c r="G5970" t="s">
        <v>6587</v>
      </c>
      <c r="H5970" s="12">
        <v>-1.0783583323611601</v>
      </c>
      <c r="I5970" s="20">
        <v>-0.39604641423903397</v>
      </c>
      <c r="J5970" s="28">
        <v>0.69207078811301403</v>
      </c>
      <c r="K5970" s="29">
        <v>0.98289565623980701</v>
      </c>
    </row>
    <row r="5971" spans="1:11" x14ac:dyDescent="0.35">
      <c r="A5971" s="9" t="str">
        <f>HYPERLINK("http://www.ensembl.org/id/WBGene00000067", "WBGene00000067")</f>
        <v>WBGene00000067</v>
      </c>
      <c r="B5971" s="9" t="str">
        <f>HYPERLINK("http://www.ncbi.nlm.nih.gov/gene/176793", "176793")</f>
        <v>176793</v>
      </c>
      <c r="C5971" s="9" t="str">
        <f>HYPERLINK("http://www.ncbi.nlm.nih.gov/gene/653269", "653269")</f>
        <v>653269</v>
      </c>
      <c r="D5971" t="str">
        <f>"act-5"</f>
        <v>act-5</v>
      </c>
      <c r="E5971" t="s">
        <v>5432</v>
      </c>
      <c r="F5971" t="s">
        <v>11</v>
      </c>
      <c r="G5971" t="s">
        <v>5433</v>
      </c>
      <c r="H5971" s="12">
        <v>1.1650629200517</v>
      </c>
      <c r="I5971" s="20">
        <v>0.62406708534241095</v>
      </c>
      <c r="J5971" s="28">
        <v>0.53258352890362404</v>
      </c>
      <c r="K5971" s="29">
        <v>0.98289565623980701</v>
      </c>
    </row>
    <row r="5972" spans="1:11" x14ac:dyDescent="0.35">
      <c r="A5972" s="9" t="str">
        <f>HYPERLINK("http://www.ensembl.org/id/WBGene00000068", "WBGene00000068")</f>
        <v>WBGene00000068</v>
      </c>
      <c r="B5972" s="9" t="str">
        <f>HYPERLINK("http://www.ncbi.nlm.nih.gov/gene/175622", "175622")</f>
        <v>175622</v>
      </c>
      <c r="C5972" s="9" t="str">
        <f>HYPERLINK("http://www.ncbi.nlm.nih.gov/gene/115", "115")</f>
        <v>115</v>
      </c>
      <c r="D5972" t="str">
        <f>"acy-1"</f>
        <v>acy-1</v>
      </c>
      <c r="E5972" t="s">
        <v>4755</v>
      </c>
      <c r="F5972" t="s">
        <v>11</v>
      </c>
      <c r="G5972" t="s">
        <v>5030</v>
      </c>
      <c r="H5972" s="12">
        <v>1.2552644418246699</v>
      </c>
      <c r="I5972" s="20">
        <v>1.1803558609978</v>
      </c>
      <c r="J5972" s="28">
        <v>0.23785870936950701</v>
      </c>
      <c r="K5972" s="29">
        <v>0.98289565623980701</v>
      </c>
    </row>
    <row r="5973" spans="1:11" x14ac:dyDescent="0.35">
      <c r="A5973" s="9" t="str">
        <f>HYPERLINK("http://www.ensembl.org/id/WBGene00000069", "WBGene00000069")</f>
        <v>WBGene00000069</v>
      </c>
      <c r="B5973" s="9" t="str">
        <f>HYPERLINK("http://www.ncbi.nlm.nih.gov/gene/191607", "191607")</f>
        <v>191607</v>
      </c>
      <c r="C5973" s="9"/>
      <c r="D5973" t="str">
        <f>"acy-2"</f>
        <v>acy-2</v>
      </c>
      <c r="E5973" t="s">
        <v>4755</v>
      </c>
      <c r="F5973" t="s">
        <v>11</v>
      </c>
      <c r="G5973" t="s">
        <v>4756</v>
      </c>
      <c r="H5973" s="12">
        <v>1.41193168434311</v>
      </c>
      <c r="I5973" s="20">
        <v>1.1938964795049201</v>
      </c>
      <c r="J5973" s="28">
        <v>0.23251846481691099</v>
      </c>
      <c r="K5973" s="29">
        <v>0.98289565623980701</v>
      </c>
    </row>
    <row r="5974" spans="1:11" x14ac:dyDescent="0.35">
      <c r="A5974" s="9" t="str">
        <f>HYPERLINK("http://www.ensembl.org/id/WBGene00000070", "WBGene00000070")</f>
        <v>WBGene00000070</v>
      </c>
      <c r="B5974" s="9" t="str">
        <f>HYPERLINK("http://www.ncbi.nlm.nih.gov/gene/175489", "175489")</f>
        <v>175489</v>
      </c>
      <c r="C5974" s="9"/>
      <c r="D5974" t="str">
        <f>"acy-3"</f>
        <v>acy-3</v>
      </c>
      <c r="E5974" t="s">
        <v>4755</v>
      </c>
      <c r="F5974" t="s">
        <v>11</v>
      </c>
      <c r="G5974" t="s">
        <v>5047</v>
      </c>
      <c r="H5974" s="12">
        <v>1.25211532330108</v>
      </c>
      <c r="I5974" s="20">
        <v>1.0580945558838999</v>
      </c>
      <c r="J5974" s="28">
        <v>0.29001233616827299</v>
      </c>
      <c r="K5974" s="29">
        <v>0.98289565623980701</v>
      </c>
    </row>
    <row r="5975" spans="1:11" x14ac:dyDescent="0.35">
      <c r="A5975" s="9" t="str">
        <f>HYPERLINK("http://www.ensembl.org/id/WBGene00012157", "WBGene00012157")</f>
        <v>WBGene00012157</v>
      </c>
      <c r="B5975" s="9" t="str">
        <f>HYPERLINK("http://www.ncbi.nlm.nih.gov/gene/174745", "174745")</f>
        <v>174745</v>
      </c>
      <c r="C5975" s="9"/>
      <c r="D5975" t="str">
        <f>"adbp-1"</f>
        <v>adbp-1</v>
      </c>
      <c r="E5975" t="s">
        <v>8857</v>
      </c>
      <c r="F5975" t="s">
        <v>11</v>
      </c>
      <c r="H5975" s="12">
        <v>-1.2020163974500799</v>
      </c>
      <c r="I5975" s="20">
        <v>-0.86592106949130099</v>
      </c>
      <c r="J5975" s="28">
        <v>0.386533447935341</v>
      </c>
      <c r="K5975" s="29">
        <v>0.98289565623980701</v>
      </c>
    </row>
    <row r="5976" spans="1:11" x14ac:dyDescent="0.35">
      <c r="A5976" s="9" t="str">
        <f>HYPERLINK("http://www.ensembl.org/id/WBGene00020545", "WBGene00020545")</f>
        <v>WBGene00020545</v>
      </c>
      <c r="B5976" s="9"/>
      <c r="C5976" s="9"/>
      <c r="D5976" t="str">
        <f>"adbp-2"</f>
        <v>adbp-2</v>
      </c>
      <c r="F5976" t="s">
        <v>80</v>
      </c>
      <c r="H5976" s="12">
        <v>1.9561173881285501</v>
      </c>
      <c r="I5976" s="20">
        <v>0.257782736541043</v>
      </c>
      <c r="J5976" s="28">
        <v>0.79657458856254804</v>
      </c>
      <c r="K5976" s="29">
        <v>0.98289565623980701</v>
      </c>
    </row>
    <row r="5977" spans="1:11" x14ac:dyDescent="0.35">
      <c r="A5977" s="9" t="str">
        <f>HYPERLINK("http://www.ensembl.org/id/WBGene00000072", "WBGene00000072")</f>
        <v>WBGene00000072</v>
      </c>
      <c r="B5977" s="9" t="str">
        <f>HYPERLINK("http://www.ncbi.nlm.nih.gov/gene/180760", "180760")</f>
        <v>180760</v>
      </c>
      <c r="C5977" s="9" t="str">
        <f>HYPERLINK("http://www.ncbi.nlm.nih.gov/gene/118", "118")</f>
        <v>118</v>
      </c>
      <c r="D5977" t="str">
        <f>"add-1"</f>
        <v>add-1</v>
      </c>
      <c r="E5977" t="s">
        <v>6450</v>
      </c>
      <c r="F5977" t="s">
        <v>11</v>
      </c>
      <c r="G5977" t="s">
        <v>6451</v>
      </c>
      <c r="H5977" s="12">
        <v>-1.07001147331548</v>
      </c>
      <c r="I5977" s="20">
        <v>-0.27721214350948797</v>
      </c>
      <c r="J5977" s="28">
        <v>0.78161721572031095</v>
      </c>
      <c r="K5977" s="29">
        <v>0.98289565623980701</v>
      </c>
    </row>
    <row r="5978" spans="1:11" x14ac:dyDescent="0.35">
      <c r="A5978" s="9" t="str">
        <f>HYPERLINK("http://www.ensembl.org/id/WBGene00000073", "WBGene00000073")</f>
        <v>WBGene00000073</v>
      </c>
      <c r="B5978" s="9" t="str">
        <f>HYPERLINK("http://www.ncbi.nlm.nih.gov/gene/179647", "179647")</f>
        <v>179647</v>
      </c>
      <c r="C5978" s="9"/>
      <c r="D5978" t="str">
        <f>"add-2"</f>
        <v>add-2</v>
      </c>
      <c r="E5978" t="s">
        <v>7324</v>
      </c>
      <c r="F5978" t="s">
        <v>11</v>
      </c>
      <c r="H5978" s="12">
        <v>-1.1193984892037401</v>
      </c>
      <c r="I5978" s="20">
        <v>-0.54537525567780398</v>
      </c>
      <c r="J5978" s="28">
        <v>0.58549545519781998</v>
      </c>
      <c r="K5978" s="29">
        <v>0.98289565623980701</v>
      </c>
    </row>
    <row r="5979" spans="1:11" x14ac:dyDescent="0.35">
      <c r="A5979" s="9" t="str">
        <f>HYPERLINK("http://www.ensembl.org/id/WBGene00000074", "WBGene00000074")</f>
        <v>WBGene00000074</v>
      </c>
      <c r="B5979" s="9" t="str">
        <f>HYPERLINK("http://www.ncbi.nlm.nih.gov/gene/181489", "181489")</f>
        <v>181489</v>
      </c>
      <c r="C5979" s="9" t="str">
        <f>HYPERLINK("http://www.ncbi.nlm.nih.gov/gene/8038", "8038")</f>
        <v>8038</v>
      </c>
      <c r="D5979" t="str">
        <f>"adm-2"</f>
        <v>adm-2</v>
      </c>
      <c r="E5979" t="s">
        <v>8065</v>
      </c>
      <c r="F5979" t="s">
        <v>11</v>
      </c>
      <c r="G5979" t="s">
        <v>8066</v>
      </c>
      <c r="H5979" s="12">
        <v>-1.1593674727869601</v>
      </c>
      <c r="I5979" s="20">
        <v>-0.794382021214601</v>
      </c>
      <c r="J5979" s="28">
        <v>0.42697306747587599</v>
      </c>
      <c r="K5979" s="29">
        <v>0.98289565623980701</v>
      </c>
    </row>
    <row r="5980" spans="1:11" x14ac:dyDescent="0.35">
      <c r="A5980" s="9" t="str">
        <f>HYPERLINK("http://www.ensembl.org/id/WBGene00011878", "WBGene00011878")</f>
        <v>WBGene00011878</v>
      </c>
      <c r="B5980" s="9" t="str">
        <f>HYPERLINK("http://www.ncbi.nlm.nih.gov/gene/174890", "174890")</f>
        <v>174890</v>
      </c>
      <c r="C5980" s="9"/>
      <c r="D5980" t="str">
        <f>"ador-1"</f>
        <v>ador-1</v>
      </c>
      <c r="E5980" t="s">
        <v>4797</v>
      </c>
      <c r="F5980" t="s">
        <v>11</v>
      </c>
      <c r="G5980" t="s">
        <v>2585</v>
      </c>
      <c r="H5980" s="12">
        <v>1.36822945281366</v>
      </c>
      <c r="I5980" s="20">
        <v>0.781961639346063</v>
      </c>
      <c r="J5980" s="28">
        <v>0.434237118153949</v>
      </c>
      <c r="K5980" s="29">
        <v>0.98289565623980701</v>
      </c>
    </row>
    <row r="5981" spans="1:11" x14ac:dyDescent="0.35">
      <c r="A5981" s="9" t="str">
        <f>HYPERLINK("http://www.ensembl.org/id/WBGene00044440", "WBGene00044440")</f>
        <v>WBGene00044440</v>
      </c>
      <c r="B5981" s="9" t="str">
        <f>HYPERLINK("http://www.ncbi.nlm.nih.gov/gene/3565128", "3565128")</f>
        <v>3565128</v>
      </c>
      <c r="C5981" s="9"/>
      <c r="D5981" t="str">
        <f>"adpr-1"</f>
        <v>adpr-1</v>
      </c>
      <c r="E5981" t="s">
        <v>9663</v>
      </c>
      <c r="F5981" t="s">
        <v>11</v>
      </c>
      <c r="G5981" t="s">
        <v>9664</v>
      </c>
      <c r="H5981" s="12">
        <v>-1.2742823213263501</v>
      </c>
      <c r="I5981" s="20">
        <v>-1.14254851162975</v>
      </c>
      <c r="J5981" s="28">
        <v>0.25322609348119501</v>
      </c>
      <c r="K5981" s="29">
        <v>0.98289565623980701</v>
      </c>
    </row>
    <row r="5982" spans="1:11" x14ac:dyDescent="0.35">
      <c r="A5982" s="9" t="str">
        <f>HYPERLINK("http://www.ensembl.org/id/WBGene00000080", "WBGene00000080")</f>
        <v>WBGene00000080</v>
      </c>
      <c r="B5982" s="9" t="str">
        <f>HYPERLINK("http://www.ncbi.nlm.nih.gov/gene/176022", "176022")</f>
        <v>176022</v>
      </c>
      <c r="C5982" s="9" t="str">
        <f>HYPERLINK("http://www.ncbi.nlm.nih.gov/gene/104", "104")</f>
        <v>104</v>
      </c>
      <c r="D5982" t="str">
        <f>"adr-2"</f>
        <v>adr-2</v>
      </c>
      <c r="E5982" t="s">
        <v>8646</v>
      </c>
      <c r="F5982" t="s">
        <v>11</v>
      </c>
      <c r="G5982" t="s">
        <v>8647</v>
      </c>
      <c r="H5982" s="12">
        <v>-1.18864880283111</v>
      </c>
      <c r="I5982" s="20">
        <v>-0.79117577876904499</v>
      </c>
      <c r="J5982" s="28">
        <v>0.42884142360676902</v>
      </c>
      <c r="K5982" s="29">
        <v>0.98289565623980701</v>
      </c>
    </row>
    <row r="5983" spans="1:11" x14ac:dyDescent="0.35">
      <c r="A5983" s="9" t="str">
        <f>HYPERLINK("http://www.ensembl.org/id/WBGene00000082", "WBGene00000082")</f>
        <v>WBGene00000082</v>
      </c>
      <c r="B5983" s="9" t="str">
        <f>HYPERLINK("http://www.ncbi.nlm.nih.gov/gene/181412", "181412")</f>
        <v>181412</v>
      </c>
      <c r="C5983" s="9"/>
      <c r="D5983" t="str">
        <f>"adt-1"</f>
        <v>adt-1</v>
      </c>
      <c r="E5983" t="s">
        <v>4713</v>
      </c>
      <c r="F5983" t="s">
        <v>11</v>
      </c>
      <c r="G5983" t="s">
        <v>1479</v>
      </c>
      <c r="H5983" s="12">
        <v>1.4587938369411899</v>
      </c>
      <c r="I5983" s="20">
        <v>0.886157733085295</v>
      </c>
      <c r="J5983" s="28">
        <v>0.375532536232903</v>
      </c>
      <c r="K5983" s="29">
        <v>0.98289565623980701</v>
      </c>
    </row>
    <row r="5984" spans="1:11" x14ac:dyDescent="0.35">
      <c r="A5984" s="9" t="str">
        <f>HYPERLINK("http://www.ensembl.org/id/WBGene00000084", "WBGene00000084")</f>
        <v>WBGene00000084</v>
      </c>
      <c r="B5984" s="9" t="str">
        <f>HYPERLINK("http://www.ncbi.nlm.nih.gov/gene/172519", "172519")</f>
        <v>172519</v>
      </c>
      <c r="C5984" s="9"/>
      <c r="D5984" t="str">
        <f>"aex-1"</f>
        <v>aex-1</v>
      </c>
      <c r="E5984" t="s">
        <v>5075</v>
      </c>
      <c r="F5984" t="s">
        <v>11</v>
      </c>
      <c r="G5984" t="s">
        <v>5076</v>
      </c>
      <c r="H5984" s="12">
        <v>1.2459351882810701</v>
      </c>
      <c r="I5984" s="20">
        <v>0.84123603312698203</v>
      </c>
      <c r="J5984" s="28">
        <v>0.400215717873045</v>
      </c>
      <c r="K5984" s="29">
        <v>0.98289565623980701</v>
      </c>
    </row>
    <row r="5985" spans="1:11" x14ac:dyDescent="0.35">
      <c r="A5985" s="9" t="str">
        <f>HYPERLINK("http://www.ensembl.org/id/WBGene00000085", "WBGene00000085")</f>
        <v>WBGene00000085</v>
      </c>
      <c r="B5985" s="9" t="str">
        <f>HYPERLINK("http://www.ncbi.nlm.nih.gov/gene/188491", "188491")</f>
        <v>188491</v>
      </c>
      <c r="C5985" s="9"/>
      <c r="D5985" t="str">
        <f>"aex-2"</f>
        <v>aex-2</v>
      </c>
      <c r="E5985" t="s">
        <v>5455</v>
      </c>
      <c r="F5985" t="s">
        <v>11</v>
      </c>
      <c r="G5985" t="s">
        <v>5456</v>
      </c>
      <c r="H5985" s="12">
        <v>1.1625041238332099</v>
      </c>
      <c r="I5985" s="20">
        <v>0.53896229288646902</v>
      </c>
      <c r="J5985" s="28">
        <v>0.58991287303502205</v>
      </c>
      <c r="K5985" s="29">
        <v>0.98289565623980701</v>
      </c>
    </row>
    <row r="5986" spans="1:11" x14ac:dyDescent="0.35">
      <c r="A5986" s="9" t="str">
        <f>HYPERLINK("http://www.ensembl.org/id/WBGene00000086", "WBGene00000086")</f>
        <v>WBGene00000086</v>
      </c>
      <c r="B5986" s="9" t="str">
        <f>HYPERLINK("http://www.ncbi.nlm.nih.gov/gene/180420", "180420")</f>
        <v>180420</v>
      </c>
      <c r="C5986" s="9" t="str">
        <f>HYPERLINK("http://www.ncbi.nlm.nih.gov/gene/8567", "8567")</f>
        <v>8567</v>
      </c>
      <c r="D5986" t="str">
        <f>"aex-3"</f>
        <v>aex-3</v>
      </c>
      <c r="E5986" t="s">
        <v>5256</v>
      </c>
      <c r="F5986" t="s">
        <v>11</v>
      </c>
      <c r="H5986" s="12">
        <v>1.2032000255620301</v>
      </c>
      <c r="I5986" s="20">
        <v>0.94044946650451799</v>
      </c>
      <c r="J5986" s="28">
        <v>0.346987058869346</v>
      </c>
      <c r="K5986" s="29">
        <v>0.98289565623980701</v>
      </c>
    </row>
    <row r="5987" spans="1:11" x14ac:dyDescent="0.35">
      <c r="A5987" s="9" t="str">
        <f>HYPERLINK("http://www.ensembl.org/id/WBGene00000089", "WBGene00000089")</f>
        <v>WBGene00000089</v>
      </c>
      <c r="B5987" s="9" t="str">
        <f>HYPERLINK("http://www.ncbi.nlm.nih.gov/gene/173223", "173223")</f>
        <v>173223</v>
      </c>
      <c r="C5987" s="9" t="str">
        <f>HYPERLINK("http://www.ncbi.nlm.nih.gov/gene/5873", "5873")</f>
        <v>5873</v>
      </c>
      <c r="D5987" t="str">
        <f>"aex-6"</f>
        <v>aex-6</v>
      </c>
      <c r="E5987" t="s">
        <v>6377</v>
      </c>
      <c r="F5987" t="s">
        <v>11</v>
      </c>
      <c r="G5987" t="s">
        <v>6378</v>
      </c>
      <c r="H5987" s="12">
        <v>-1.0656746788324201</v>
      </c>
      <c r="I5987" s="20">
        <v>-0.28569117165985602</v>
      </c>
      <c r="J5987" s="28">
        <v>0.77511466700807496</v>
      </c>
      <c r="K5987" s="29">
        <v>0.98289565623980701</v>
      </c>
    </row>
    <row r="5988" spans="1:11" x14ac:dyDescent="0.35">
      <c r="A5988" s="9" t="str">
        <f>HYPERLINK("http://www.ensembl.org/id/WBGene00016089", "WBGene00016089")</f>
        <v>WBGene00016089</v>
      </c>
      <c r="B5988" s="9" t="str">
        <f>HYPERLINK("http://www.ncbi.nlm.nih.gov/gene/182881", "182881")</f>
        <v>182881</v>
      </c>
      <c r="C5988" s="9"/>
      <c r="D5988" t="str">
        <f>"aexr-1"</f>
        <v>aexr-1</v>
      </c>
      <c r="E5988" t="s">
        <v>4717</v>
      </c>
      <c r="F5988" t="s">
        <v>11</v>
      </c>
      <c r="G5988" t="s">
        <v>4718</v>
      </c>
      <c r="H5988" s="12">
        <v>1.4537149969354299</v>
      </c>
      <c r="I5988" s="20">
        <v>1.0057061881302201</v>
      </c>
      <c r="J5988" s="28">
        <v>0.31455692557583897</v>
      </c>
      <c r="K5988" s="29">
        <v>0.98289565623980701</v>
      </c>
    </row>
    <row r="5989" spans="1:11" x14ac:dyDescent="0.35">
      <c r="A5989" s="9" t="str">
        <f>HYPERLINK("http://www.ensembl.org/id/WBGene00016090", "WBGene00016090")</f>
        <v>WBGene00016090</v>
      </c>
      <c r="B5989" s="9" t="str">
        <f>HYPERLINK("http://www.ncbi.nlm.nih.gov/gene/259709", "259709")</f>
        <v>259709</v>
      </c>
      <c r="C5989" s="9"/>
      <c r="D5989" t="str">
        <f>"aexr-2"</f>
        <v>aexr-2</v>
      </c>
      <c r="E5989" t="s">
        <v>4717</v>
      </c>
      <c r="F5989" t="s">
        <v>11</v>
      </c>
      <c r="G5989" t="s">
        <v>9522</v>
      </c>
      <c r="H5989" s="12">
        <v>-1.2549515571752701</v>
      </c>
      <c r="I5989" s="20">
        <v>-0.72201488719287898</v>
      </c>
      <c r="J5989" s="28">
        <v>0.470285324697853</v>
      </c>
      <c r="K5989" s="29">
        <v>0.98289565623980701</v>
      </c>
    </row>
    <row r="5990" spans="1:11" x14ac:dyDescent="0.35">
      <c r="A5990" s="9" t="str">
        <f>HYPERLINK("http://www.ensembl.org/id/WBGene00016748", "WBGene00016748")</f>
        <v>WBGene00016748</v>
      </c>
      <c r="B5990" s="9" t="str">
        <f>HYPERLINK("http://www.ncbi.nlm.nih.gov/gene/183576", "183576")</f>
        <v>183576</v>
      </c>
      <c r="C5990" s="9"/>
      <c r="D5990" t="str">
        <f>"aexr-3"</f>
        <v>aexr-3</v>
      </c>
      <c r="E5990" t="s">
        <v>4717</v>
      </c>
      <c r="F5990" t="s">
        <v>11</v>
      </c>
      <c r="G5990" t="s">
        <v>4718</v>
      </c>
      <c r="H5990" s="12">
        <v>1.37524705930016</v>
      </c>
      <c r="I5990" s="20">
        <v>0.81012026769504397</v>
      </c>
      <c r="J5990" s="28">
        <v>0.41787105672036501</v>
      </c>
      <c r="K5990" s="29">
        <v>0.98289565623980701</v>
      </c>
    </row>
    <row r="5991" spans="1:11" x14ac:dyDescent="0.35">
      <c r="A5991" s="9" t="str">
        <f>HYPERLINK("http://www.ensembl.org/id/WBGene00012386", "WBGene00012386")</f>
        <v>WBGene00012386</v>
      </c>
      <c r="B5991" s="9" t="str">
        <f>HYPERLINK("http://www.ncbi.nlm.nih.gov/gene/173231", "173231")</f>
        <v>173231</v>
      </c>
      <c r="C5991" s="9" t="str">
        <f>HYPERLINK("http://www.ncbi.nlm.nih.gov/gene/10565", "10565")</f>
        <v>10565</v>
      </c>
      <c r="D5991" t="str">
        <f>"agef-1"</f>
        <v>agef-1</v>
      </c>
      <c r="E5991" t="s">
        <v>6246</v>
      </c>
      <c r="F5991" t="s">
        <v>11</v>
      </c>
      <c r="G5991" t="s">
        <v>6247</v>
      </c>
      <c r="H5991" s="12">
        <v>-1.05678986069595</v>
      </c>
      <c r="I5991" s="20">
        <v>-0.28989812315250102</v>
      </c>
      <c r="J5991" s="28">
        <v>0.77189417751060796</v>
      </c>
      <c r="K5991" s="29">
        <v>0.98289565623980701</v>
      </c>
    </row>
    <row r="5992" spans="1:11" x14ac:dyDescent="0.35">
      <c r="A5992" s="9" t="str">
        <f>HYPERLINK("http://www.ensembl.org/id/WBGene00011050", "WBGene00011050")</f>
        <v>WBGene00011050</v>
      </c>
      <c r="B5992" s="9" t="str">
        <f>HYPERLINK("http://www.ncbi.nlm.nih.gov/gene/175091", "175091")</f>
        <v>175091</v>
      </c>
      <c r="C5992" s="9" t="str">
        <f>HYPERLINK("http://www.ncbi.nlm.nih.gov/gene/178", "178")</f>
        <v>178</v>
      </c>
      <c r="D5992" t="str">
        <f>"agl-1"</f>
        <v>agl-1</v>
      </c>
      <c r="E5992" t="s">
        <v>9342</v>
      </c>
      <c r="F5992" t="s">
        <v>11</v>
      </c>
      <c r="G5992" t="s">
        <v>9343</v>
      </c>
      <c r="H5992" s="12">
        <v>-1.2399017712682401</v>
      </c>
      <c r="I5992" s="20">
        <v>-1.17866371838878</v>
      </c>
      <c r="J5992" s="28">
        <v>0.238532108249116</v>
      </c>
      <c r="K5992" s="29">
        <v>0.98289565623980701</v>
      </c>
    </row>
    <row r="5993" spans="1:11" x14ac:dyDescent="0.35">
      <c r="A5993" s="9" t="str">
        <f>HYPERLINK("http://www.ensembl.org/id/WBGene00007210", "WBGene00007210")</f>
        <v>WBGene00007210</v>
      </c>
      <c r="B5993" s="9" t="str">
        <f>HYPERLINK("http://www.ncbi.nlm.nih.gov/gene/176695", "176695")</f>
        <v>176695</v>
      </c>
      <c r="C5993" s="9" t="str">
        <f>HYPERLINK("http://www.ncbi.nlm.nih.gov/gene/392636", "392636")</f>
        <v>392636</v>
      </c>
      <c r="D5993" t="str">
        <f>"agmo-1"</f>
        <v>agmo-1</v>
      </c>
      <c r="E5993" t="s">
        <v>5230</v>
      </c>
      <c r="F5993" t="s">
        <v>11</v>
      </c>
      <c r="G5993" t="s">
        <v>5231</v>
      </c>
      <c r="H5993" s="12">
        <v>1.2101620456650199</v>
      </c>
      <c r="I5993" s="20">
        <v>0.322741908143925</v>
      </c>
      <c r="J5993" s="28">
        <v>0.74689071098031301</v>
      </c>
      <c r="K5993" s="29">
        <v>0.98289565623980701</v>
      </c>
    </row>
    <row r="5994" spans="1:11" x14ac:dyDescent="0.35">
      <c r="A5994" s="9" t="str">
        <f>HYPERLINK("http://www.ensembl.org/id/WBGene00000092", "WBGene00000092")</f>
        <v>WBGene00000092</v>
      </c>
      <c r="B5994" s="9" t="str">
        <f>HYPERLINK("http://www.ncbi.nlm.nih.gov/gene/180801", "180801")</f>
        <v>180801</v>
      </c>
      <c r="C5994" s="9" t="str">
        <f>HYPERLINK("http://www.ncbi.nlm.nih.gov/gene/29899", "29899")</f>
        <v>29899</v>
      </c>
      <c r="D5994" t="str">
        <f>"ags-3"</f>
        <v>ags-3</v>
      </c>
      <c r="E5994" t="s">
        <v>8048</v>
      </c>
      <c r="F5994" t="s">
        <v>11</v>
      </c>
      <c r="G5994" t="s">
        <v>8049</v>
      </c>
      <c r="H5994" s="12">
        <v>-1.15822388208351</v>
      </c>
      <c r="I5994" s="20">
        <v>-0.77463329573061301</v>
      </c>
      <c r="J5994" s="28">
        <v>0.43855637693112098</v>
      </c>
      <c r="K5994" s="29">
        <v>0.98289565623980701</v>
      </c>
    </row>
    <row r="5995" spans="1:11" x14ac:dyDescent="0.35">
      <c r="A5995" s="9" t="str">
        <f>HYPERLINK("http://www.ensembl.org/id/WBGene00000093", "WBGene00000093")</f>
        <v>WBGene00000093</v>
      </c>
      <c r="B5995" s="9" t="str">
        <f>HYPERLINK("http://www.ncbi.nlm.nih.gov/gene/190454", "190454")</f>
        <v>190454</v>
      </c>
      <c r="C5995" s="9"/>
      <c r="D5995" t="str">
        <f>"agt-1"</f>
        <v>agt-1</v>
      </c>
      <c r="E5995" t="s">
        <v>8069</v>
      </c>
      <c r="F5995" t="s">
        <v>11</v>
      </c>
      <c r="G5995" t="s">
        <v>8070</v>
      </c>
      <c r="H5995" s="12">
        <v>-1.15938963218428</v>
      </c>
      <c r="I5995" s="20">
        <v>-0.53331253561119896</v>
      </c>
      <c r="J5995" s="28">
        <v>0.59381725155296095</v>
      </c>
      <c r="K5995" s="29">
        <v>0.98289565623980701</v>
      </c>
    </row>
    <row r="5996" spans="1:11" x14ac:dyDescent="0.35">
      <c r="A5996" s="9" t="str">
        <f>HYPERLINK("http://www.ensembl.org/id/WBGene00000094", "WBGene00000094")</f>
        <v>WBGene00000094</v>
      </c>
      <c r="B5996" s="9" t="str">
        <f>HYPERLINK("http://www.ncbi.nlm.nih.gov/gene/184244", "184244")</f>
        <v>184244</v>
      </c>
      <c r="C5996" s="9"/>
      <c r="D5996" t="str">
        <f>"agt-2"</f>
        <v>agt-2</v>
      </c>
      <c r="E5996" t="s">
        <v>8069</v>
      </c>
      <c r="F5996" t="s">
        <v>11</v>
      </c>
      <c r="G5996" t="s">
        <v>4270</v>
      </c>
      <c r="H5996" s="12">
        <v>-1.27766911205515</v>
      </c>
      <c r="I5996" s="20">
        <v>-1.0743256370096099</v>
      </c>
      <c r="J5996" s="28">
        <v>0.282676758553977</v>
      </c>
      <c r="K5996" s="29">
        <v>0.98289565623980701</v>
      </c>
    </row>
    <row r="5997" spans="1:11" x14ac:dyDescent="0.35">
      <c r="A5997" s="9" t="str">
        <f>HYPERLINK("http://www.ensembl.org/id/WBGene00007083", "WBGene00007083")</f>
        <v>WBGene00007083</v>
      </c>
      <c r="B5997" s="9" t="str">
        <f>HYPERLINK("http://www.ncbi.nlm.nih.gov/gene/181812", "181812")</f>
        <v>181812</v>
      </c>
      <c r="C5997" s="9"/>
      <c r="D5997" t="str">
        <f>"AH10.2"</f>
        <v>AH10.2</v>
      </c>
      <c r="F5997" t="s">
        <v>11</v>
      </c>
      <c r="G5997" t="s">
        <v>25</v>
      </c>
      <c r="H5997" s="12">
        <v>2.43628531154256</v>
      </c>
      <c r="I5997" s="20">
        <v>0.26397437090349102</v>
      </c>
      <c r="J5997" s="28">
        <v>0.79179966754305298</v>
      </c>
      <c r="K5997" s="29">
        <v>0.98289565623980701</v>
      </c>
    </row>
    <row r="5998" spans="1:11" x14ac:dyDescent="0.35">
      <c r="A5998" s="9" t="str">
        <f>HYPERLINK("http://www.ensembl.org/id/WBGene00007085", "WBGene00007085")</f>
        <v>WBGene00007085</v>
      </c>
      <c r="B5998" s="9" t="str">
        <f>HYPERLINK("http://www.ncbi.nlm.nih.gov/gene/353456", "353456")</f>
        <v>353456</v>
      </c>
      <c r="C5998" s="9"/>
      <c r="D5998" t="str">
        <f>"AH10.4"</f>
        <v>AH10.4</v>
      </c>
      <c r="F5998" t="s">
        <v>11</v>
      </c>
      <c r="H5998" s="12">
        <v>1.7338103826745499</v>
      </c>
      <c r="I5998" s="20">
        <v>0.297476931497549</v>
      </c>
      <c r="J5998" s="28">
        <v>0.76610241729177497</v>
      </c>
      <c r="K5998" s="29">
        <v>0.98289565623980701</v>
      </c>
    </row>
    <row r="5999" spans="1:11" x14ac:dyDescent="0.35">
      <c r="A5999" s="9" t="str">
        <f>HYPERLINK("http://www.ensembl.org/id/WBGene00007081", "WBGene00007081")</f>
        <v>WBGene00007081</v>
      </c>
      <c r="B5999" s="9" t="str">
        <f>HYPERLINK("http://www.ncbi.nlm.nih.gov/gene/181808", "181808")</f>
        <v>181808</v>
      </c>
      <c r="C5999" s="9"/>
      <c r="D5999" t="str">
        <f>"AH6.3"</f>
        <v>AH6.3</v>
      </c>
      <c r="F5999" t="s">
        <v>11</v>
      </c>
      <c r="G5999" t="s">
        <v>25</v>
      </c>
      <c r="H5999" s="12">
        <v>-3.3299447899810599</v>
      </c>
      <c r="I5999" s="20">
        <v>-0.64642062388687505</v>
      </c>
      <c r="J5999" s="28">
        <v>0.51800698748720897</v>
      </c>
      <c r="K5999" s="29">
        <v>0.98289565623980701</v>
      </c>
    </row>
    <row r="6000" spans="1:11" x14ac:dyDescent="0.35">
      <c r="A6000" s="9" t="str">
        <f>HYPERLINK("http://www.ensembl.org/id/WBGene00014998", "WBGene00014998")</f>
        <v>WBGene00014998</v>
      </c>
      <c r="B6000" s="9" t="str">
        <f>HYPERLINK("http://www.ncbi.nlm.nih.gov/gene/181810", "181810")</f>
        <v>181810</v>
      </c>
      <c r="C6000" s="9"/>
      <c r="D6000" t="str">
        <f>"AH9.1"</f>
        <v>AH9.1</v>
      </c>
      <c r="E6000" t="s">
        <v>5257</v>
      </c>
      <c r="F6000" t="s">
        <v>11</v>
      </c>
      <c r="G6000" t="s">
        <v>1793</v>
      </c>
      <c r="H6000" s="12">
        <v>1.20251725713895</v>
      </c>
      <c r="I6000" s="20">
        <v>0.45837787818908798</v>
      </c>
      <c r="J6000" s="28">
        <v>0.64668098203213498</v>
      </c>
      <c r="K6000" s="29">
        <v>0.98289565623980701</v>
      </c>
    </row>
    <row r="6001" spans="1:11" x14ac:dyDescent="0.35">
      <c r="A6001" s="9" t="str">
        <f>HYPERLINK("http://www.ensembl.org/id/WBGene00175029", "WBGene00175029")</f>
        <v>WBGene00175029</v>
      </c>
      <c r="B6001" s="9"/>
      <c r="C6001" s="9"/>
      <c r="D6001" t="str">
        <f>"AH9.7"</f>
        <v>AH9.7</v>
      </c>
      <c r="F6001" t="s">
        <v>481</v>
      </c>
      <c r="H6001" s="12">
        <v>-1.2459696386741399</v>
      </c>
      <c r="I6001" s="20">
        <v>-0.42348135469951198</v>
      </c>
      <c r="J6001" s="28">
        <v>0.671944099385545</v>
      </c>
      <c r="K6001" s="29">
        <v>0.98289565623980701</v>
      </c>
    </row>
    <row r="6002" spans="1:11" x14ac:dyDescent="0.35">
      <c r="A6002" s="9" t="str">
        <f>HYPERLINK("http://www.ensembl.org/id/WBGene00000095", "WBGene00000095")</f>
        <v>WBGene00000095</v>
      </c>
      <c r="B6002" s="9" t="str">
        <f>HYPERLINK("http://www.ncbi.nlm.nih.gov/gene/172889", "172889")</f>
        <v>172889</v>
      </c>
      <c r="C6002" s="9"/>
      <c r="D6002" t="str">
        <f>"aha-1"</f>
        <v>aha-1</v>
      </c>
      <c r="E6002" t="s">
        <v>6298</v>
      </c>
      <c r="F6002" t="s">
        <v>11</v>
      </c>
      <c r="G6002" t="s">
        <v>6299</v>
      </c>
      <c r="H6002" s="12">
        <v>-1.0606841128417701</v>
      </c>
      <c r="I6002" s="20">
        <v>-0.29674035419253197</v>
      </c>
      <c r="J6002" s="28">
        <v>0.76666474570646603</v>
      </c>
      <c r="K6002" s="29">
        <v>0.98289565623980701</v>
      </c>
    </row>
    <row r="6003" spans="1:11" x14ac:dyDescent="0.35">
      <c r="A6003" s="9" t="str">
        <f>HYPERLINK("http://www.ensembl.org/id/WBGene00019322", "WBGene00019322")</f>
        <v>WBGene00019322</v>
      </c>
      <c r="B6003" s="9" t="str">
        <f>HYPERLINK("http://www.ncbi.nlm.nih.gov/gene/172408", "172408")</f>
        <v>172408</v>
      </c>
      <c r="C6003" s="9" t="str">
        <f>HYPERLINK("http://www.ncbi.nlm.nih.gov/gene/191", "191")</f>
        <v>191</v>
      </c>
      <c r="D6003" t="str">
        <f>"ahcy-1"</f>
        <v>ahcy-1</v>
      </c>
      <c r="E6003" t="s">
        <v>8153</v>
      </c>
      <c r="F6003" t="s">
        <v>11</v>
      </c>
      <c r="G6003" t="s">
        <v>8154</v>
      </c>
      <c r="H6003" s="12">
        <v>-1.16265144082965</v>
      </c>
      <c r="I6003" s="20">
        <v>-0.82212729397324502</v>
      </c>
      <c r="J6003" s="28">
        <v>0.41100445293134602</v>
      </c>
      <c r="K6003" s="29">
        <v>0.98289565623980701</v>
      </c>
    </row>
    <row r="6004" spans="1:11" x14ac:dyDescent="0.35">
      <c r="A6004" s="9" t="str">
        <f>HYPERLINK("http://www.ensembl.org/id/WBGene00007235", "WBGene00007235")</f>
        <v>WBGene00007235</v>
      </c>
      <c r="B6004" s="9" t="str">
        <f>HYPERLINK("http://www.ncbi.nlm.nih.gov/gene/180017", "180017")</f>
        <v>180017</v>
      </c>
      <c r="C6004" s="9" t="str">
        <f>HYPERLINK("http://www.ncbi.nlm.nih.gov/gene/10598", "10598")</f>
        <v>10598</v>
      </c>
      <c r="D6004" t="str">
        <f>"ahsa-1"</f>
        <v>ahsa-1</v>
      </c>
      <c r="E6004" t="s">
        <v>9540</v>
      </c>
      <c r="F6004" t="s">
        <v>11</v>
      </c>
      <c r="G6004" t="s">
        <v>9541</v>
      </c>
      <c r="H6004" s="12">
        <v>-1.25643758252587</v>
      </c>
      <c r="I6004" s="20">
        <v>-1.1684093316617501</v>
      </c>
      <c r="J6004" s="28">
        <v>0.24264169263008201</v>
      </c>
      <c r="K6004" s="29">
        <v>0.98289565623980701</v>
      </c>
    </row>
    <row r="6005" spans="1:11" x14ac:dyDescent="0.35">
      <c r="A6005" s="9" t="str">
        <f>HYPERLINK("http://www.ensembl.org/id/WBGene00015547", "WBGene00015547")</f>
        <v>WBGene00015547</v>
      </c>
      <c r="B6005" s="9" t="str">
        <f>HYPERLINK("http://www.ncbi.nlm.nih.gov/gene/181719", "181719")</f>
        <v>181719</v>
      </c>
      <c r="C6005" s="9"/>
      <c r="D6005" t="str">
        <f>"ain-1"</f>
        <v>ain-1</v>
      </c>
      <c r="E6005" t="s">
        <v>6188</v>
      </c>
      <c r="F6005" t="s">
        <v>11</v>
      </c>
      <c r="G6005" t="s">
        <v>6189</v>
      </c>
      <c r="H6005" s="12">
        <v>-1.0525615356718001</v>
      </c>
      <c r="I6005" s="20">
        <v>-0.28144880148458001</v>
      </c>
      <c r="J6005" s="28">
        <v>0.77836619197138401</v>
      </c>
      <c r="K6005" s="29">
        <v>0.98289565623980701</v>
      </c>
    </row>
    <row r="6006" spans="1:11" x14ac:dyDescent="0.35">
      <c r="A6006" s="9" t="str">
        <f>HYPERLINK("http://www.ensembl.org/id/WBGene00016966", "WBGene00016966")</f>
        <v>WBGene00016966</v>
      </c>
      <c r="B6006" s="9" t="str">
        <f>HYPERLINK("http://www.ncbi.nlm.nih.gov/gene/174092", "174092")</f>
        <v>174092</v>
      </c>
      <c r="C6006" s="9" t="str">
        <f>HYPERLINK("http://www.ncbi.nlm.nih.gov/gene/9049", "9049")</f>
        <v>9049</v>
      </c>
      <c r="D6006" t="str">
        <f>"aipr-1"</f>
        <v>aipr-1</v>
      </c>
      <c r="E6006" t="s">
        <v>8420</v>
      </c>
      <c r="F6006" t="s">
        <v>11</v>
      </c>
      <c r="G6006" t="s">
        <v>54</v>
      </c>
      <c r="H6006" s="12">
        <v>-1.17658425701972</v>
      </c>
      <c r="I6006" s="20">
        <v>-0.81195912558255201</v>
      </c>
      <c r="J6006" s="28">
        <v>0.41681508588173899</v>
      </c>
      <c r="K6006" s="29">
        <v>0.98289565623980701</v>
      </c>
    </row>
    <row r="6007" spans="1:11" x14ac:dyDescent="0.35">
      <c r="A6007" s="9" t="str">
        <f>HYPERLINK("http://www.ensembl.org/id/WBGene00000099", "WBGene00000099")</f>
        <v>WBGene00000099</v>
      </c>
      <c r="B6007" s="9" t="str">
        <f>HYPERLINK("http://www.ncbi.nlm.nih.gov/gene/172268", "172268")</f>
        <v>172268</v>
      </c>
      <c r="C6007" s="9" t="str">
        <f>HYPERLINK("http://www.ncbi.nlm.nih.gov/gene/6790", "6790")</f>
        <v>6790</v>
      </c>
      <c r="D6007" t="str">
        <f>"air-2"</f>
        <v>air-2</v>
      </c>
      <c r="E6007" t="s">
        <v>9761</v>
      </c>
      <c r="F6007" t="s">
        <v>11</v>
      </c>
      <c r="G6007" t="s">
        <v>444</v>
      </c>
      <c r="H6007" s="12">
        <v>-1.2959589543804699</v>
      </c>
      <c r="I6007" s="20">
        <v>-1.0757386253283301</v>
      </c>
      <c r="J6007" s="28">
        <v>0.28204416777496699</v>
      </c>
      <c r="K6007" s="29">
        <v>0.98289565623980701</v>
      </c>
    </row>
    <row r="6008" spans="1:11" x14ac:dyDescent="0.35">
      <c r="A6008" s="9" t="str">
        <f>HYPERLINK("http://www.ensembl.org/id/WBGene00000100", "WBGene00000100")</f>
        <v>WBGene00000100</v>
      </c>
      <c r="B6008" s="9" t="str">
        <f>HYPERLINK("http://www.ncbi.nlm.nih.gov/gene/181148", "181148")</f>
        <v>181148</v>
      </c>
      <c r="C6008" s="9"/>
      <c r="D6008" t="str">
        <f>"ajm-1"</f>
        <v>ajm-1</v>
      </c>
      <c r="E6008" t="s">
        <v>5975</v>
      </c>
      <c r="F6008" t="s">
        <v>11</v>
      </c>
      <c r="G6008" t="s">
        <v>5976</v>
      </c>
      <c r="H6008" s="12">
        <v>1.0773474934955301</v>
      </c>
      <c r="I6008" s="20">
        <v>0.41927509016454401</v>
      </c>
      <c r="J6008" s="28">
        <v>0.67501509928235304</v>
      </c>
      <c r="K6008" s="29">
        <v>0.98289565623980701</v>
      </c>
    </row>
    <row r="6009" spans="1:11" x14ac:dyDescent="0.35">
      <c r="A6009" s="9" t="str">
        <f>HYPERLINK("http://www.ensembl.org/id/WBGene00017088", "WBGene00017088")</f>
        <v>WBGene00017088</v>
      </c>
      <c r="B6009" s="9" t="str">
        <f>HYPERLINK("http://www.ncbi.nlm.nih.gov/gene/171997", "171997")</f>
        <v>171997</v>
      </c>
      <c r="C6009" s="9"/>
      <c r="D6009" t="str">
        <f>"akir-1"</f>
        <v>akir-1</v>
      </c>
      <c r="E6009" t="s">
        <v>7909</v>
      </c>
      <c r="F6009" t="s">
        <v>11</v>
      </c>
      <c r="G6009" t="s">
        <v>7910</v>
      </c>
      <c r="H6009" s="12">
        <v>-1.1511022348025199</v>
      </c>
      <c r="I6009" s="20">
        <v>-0.75338484111527304</v>
      </c>
      <c r="J6009" s="28">
        <v>0.45121868935979598</v>
      </c>
      <c r="K6009" s="29">
        <v>0.98289565623980701</v>
      </c>
    </row>
    <row r="6010" spans="1:11" x14ac:dyDescent="0.35">
      <c r="A6010" s="9" t="str">
        <f>HYPERLINK("http://www.ensembl.org/id/WBGene00000102", "WBGene00000102")</f>
        <v>WBGene00000102</v>
      </c>
      <c r="B6010" s="9" t="str">
        <f>HYPERLINK("http://www.ncbi.nlm.nih.gov/gene/179424", "179424")</f>
        <v>179424</v>
      </c>
      <c r="C6010" s="9" t="str">
        <f>HYPERLINK("http://www.ncbi.nlm.nih.gov/gene/207", "207")</f>
        <v>207</v>
      </c>
      <c r="D6010" t="str">
        <f>"akt-1"</f>
        <v>akt-1</v>
      </c>
      <c r="E6010" t="s">
        <v>8225</v>
      </c>
      <c r="F6010" t="s">
        <v>11</v>
      </c>
      <c r="G6010" t="s">
        <v>2542</v>
      </c>
      <c r="H6010" s="12">
        <v>-1.1667208736486701</v>
      </c>
      <c r="I6010" s="20">
        <v>-0.84481613724982196</v>
      </c>
      <c r="J6010" s="28">
        <v>0.398213503234355</v>
      </c>
      <c r="K6010" s="29">
        <v>0.98289565623980701</v>
      </c>
    </row>
    <row r="6011" spans="1:11" x14ac:dyDescent="0.35">
      <c r="A6011" s="9" t="str">
        <f>HYPERLINK("http://www.ensembl.org/id/WBGene00020820", "WBGene00020820")</f>
        <v>WBGene00020820</v>
      </c>
      <c r="B6011" s="9" t="str">
        <f>HYPERLINK("http://www.ncbi.nlm.nih.gov/gene/175920", "175920")</f>
        <v>175920</v>
      </c>
      <c r="C6011" s="9" t="str">
        <f>HYPERLINK("http://www.ncbi.nlm.nih.gov/gene/56052", "56052")</f>
        <v>56052</v>
      </c>
      <c r="D6011" t="str">
        <f>"algn-1"</f>
        <v>algn-1</v>
      </c>
      <c r="E6011" t="s">
        <v>7895</v>
      </c>
      <c r="F6011" t="s">
        <v>11</v>
      </c>
      <c r="G6011" t="s">
        <v>9444</v>
      </c>
      <c r="H6011" s="12">
        <v>-1.2471488478678101</v>
      </c>
      <c r="I6011" s="20">
        <v>-1.1180230575591299</v>
      </c>
      <c r="J6011" s="28">
        <v>0.26355714576979899</v>
      </c>
      <c r="K6011" s="29">
        <v>0.98289565623980701</v>
      </c>
    </row>
    <row r="6012" spans="1:11" x14ac:dyDescent="0.35">
      <c r="A6012" s="9" t="str">
        <f>HYPERLINK("http://www.ensembl.org/id/WBGene00007043", "WBGene00007043")</f>
        <v>WBGene00007043</v>
      </c>
      <c r="B6012" s="9" t="str">
        <f>HYPERLINK("http://www.ncbi.nlm.nih.gov/gene/172855", "172855")</f>
        <v>172855</v>
      </c>
      <c r="C6012" s="9" t="str">
        <f>HYPERLINK("http://www.ncbi.nlm.nih.gov/gene/144245", "144245")</f>
        <v>144245</v>
      </c>
      <c r="D6012" t="str">
        <f>"algn-10"</f>
        <v>algn-10</v>
      </c>
      <c r="E6012" t="s">
        <v>9691</v>
      </c>
      <c r="F6012" t="s">
        <v>11</v>
      </c>
      <c r="G6012" t="s">
        <v>9692</v>
      </c>
      <c r="H6012" s="12">
        <v>-1.2823141080293201</v>
      </c>
      <c r="I6012" s="20">
        <v>-0.99095454272944605</v>
      </c>
      <c r="J6012" s="28">
        <v>0.32170777740777401</v>
      </c>
      <c r="K6012" s="29">
        <v>0.98289565623980701</v>
      </c>
    </row>
    <row r="6013" spans="1:11" x14ac:dyDescent="0.35">
      <c r="A6013" s="9" t="str">
        <f>HYPERLINK("http://www.ensembl.org/id/WBGene00015162", "WBGene00015162")</f>
        <v>WBGene00015162</v>
      </c>
      <c r="B6013" s="9" t="str">
        <f>HYPERLINK("http://www.ncbi.nlm.nih.gov/gene/176032", "176032")</f>
        <v>176032</v>
      </c>
      <c r="C6013" s="9" t="str">
        <f>HYPERLINK("http://www.ncbi.nlm.nih.gov/gene/440138", "440138")</f>
        <v>440138</v>
      </c>
      <c r="D6013" t="str">
        <f>"algn-11"</f>
        <v>algn-11</v>
      </c>
      <c r="E6013" t="s">
        <v>8913</v>
      </c>
      <c r="F6013" t="s">
        <v>11</v>
      </c>
      <c r="G6013" t="s">
        <v>8914</v>
      </c>
      <c r="H6013" s="12">
        <v>-1.2075020915847801</v>
      </c>
      <c r="I6013" s="20">
        <v>-1.00619216281093</v>
      </c>
      <c r="J6013" s="28">
        <v>0.31432314141481699</v>
      </c>
      <c r="K6013" s="29">
        <v>0.98289565623980701</v>
      </c>
    </row>
    <row r="6014" spans="1:11" x14ac:dyDescent="0.35">
      <c r="A6014" s="9" t="str">
        <f>HYPERLINK("http://www.ensembl.org/id/WBGene00011193", "WBGene00011193")</f>
        <v>WBGene00011193</v>
      </c>
      <c r="B6014" s="9" t="str">
        <f>HYPERLINK("http://www.ncbi.nlm.nih.gov/gene/179890", "179890")</f>
        <v>179890</v>
      </c>
      <c r="C6014" s="9"/>
      <c r="D6014" t="str">
        <f>"algn-13"</f>
        <v>algn-13</v>
      </c>
      <c r="E6014" t="s">
        <v>7895</v>
      </c>
      <c r="F6014" t="s">
        <v>11</v>
      </c>
      <c r="G6014" t="s">
        <v>7896</v>
      </c>
      <c r="H6014" s="12">
        <v>-1.1503833926498801</v>
      </c>
      <c r="I6014" s="20">
        <v>-0.60845463023281998</v>
      </c>
      <c r="J6014" s="28">
        <v>0.542885988124028</v>
      </c>
      <c r="K6014" s="29">
        <v>0.98289565623980701</v>
      </c>
    </row>
    <row r="6015" spans="1:11" x14ac:dyDescent="0.35">
      <c r="A6015" s="9" t="str">
        <f>HYPERLINK("http://www.ensembl.org/id/WBGene00019725", "WBGene00019725")</f>
        <v>WBGene00019725</v>
      </c>
      <c r="B6015" s="9" t="str">
        <f>HYPERLINK("http://www.ncbi.nlm.nih.gov/gene/187398", "187398")</f>
        <v>187398</v>
      </c>
      <c r="C6015" s="9"/>
      <c r="D6015" t="str">
        <f>"algn-14"</f>
        <v>algn-14</v>
      </c>
      <c r="E6015" t="s">
        <v>7895</v>
      </c>
      <c r="F6015" t="s">
        <v>11</v>
      </c>
      <c r="G6015" t="s">
        <v>9309</v>
      </c>
      <c r="H6015" s="12">
        <v>-1.2366880409449801</v>
      </c>
      <c r="I6015" s="20">
        <v>-0.92395014781632501</v>
      </c>
      <c r="J6015" s="28">
        <v>0.355512271880848</v>
      </c>
      <c r="K6015" s="29">
        <v>0.98289565623980701</v>
      </c>
    </row>
    <row r="6016" spans="1:11" x14ac:dyDescent="0.35">
      <c r="A6016" s="9" t="str">
        <f>HYPERLINK("http://www.ensembl.org/id/WBGene00017282", "WBGene00017282")</f>
        <v>WBGene00017282</v>
      </c>
      <c r="B6016" s="9" t="str">
        <f>HYPERLINK("http://www.ncbi.nlm.nih.gov/gene/173912", "173912")</f>
        <v>173912</v>
      </c>
      <c r="C6016" s="9" t="str">
        <f>HYPERLINK("http://www.ncbi.nlm.nih.gov/gene/85365", "85365")</f>
        <v>85365</v>
      </c>
      <c r="D6016" t="str">
        <f>"algn-2"</f>
        <v>algn-2</v>
      </c>
      <c r="E6016" t="s">
        <v>7895</v>
      </c>
      <c r="F6016" t="s">
        <v>11</v>
      </c>
      <c r="G6016" t="s">
        <v>2119</v>
      </c>
      <c r="H6016" s="12">
        <v>-1.19821548499637</v>
      </c>
      <c r="I6016" s="20">
        <v>-0.90976205608310001</v>
      </c>
      <c r="J6016" s="28">
        <v>0.36294800930022098</v>
      </c>
      <c r="K6016" s="29">
        <v>0.98289565623980701</v>
      </c>
    </row>
    <row r="6017" spans="1:11" x14ac:dyDescent="0.35">
      <c r="A6017" s="9" t="str">
        <f>HYPERLINK("http://www.ensembl.org/id/WBGene00010720", "WBGene00010720")</f>
        <v>WBGene00010720</v>
      </c>
      <c r="B6017" s="9" t="str">
        <f>HYPERLINK("http://www.ncbi.nlm.nih.gov/gene/175065", "175065")</f>
        <v>175065</v>
      </c>
      <c r="C6017" s="9" t="str">
        <f>HYPERLINK("http://www.ncbi.nlm.nih.gov/gene/10195", "10195")</f>
        <v>10195</v>
      </c>
      <c r="D6017" t="str">
        <f>"algn-3"</f>
        <v>algn-3</v>
      </c>
      <c r="F6017" t="s">
        <v>11</v>
      </c>
      <c r="G6017" t="s">
        <v>7404</v>
      </c>
      <c r="H6017" s="12">
        <v>-1.1238512773993701</v>
      </c>
      <c r="I6017" s="20">
        <v>-0.52599213251810095</v>
      </c>
      <c r="J6017" s="28">
        <v>0.59889367332198296</v>
      </c>
      <c r="K6017" s="29">
        <v>0.98289565623980701</v>
      </c>
    </row>
    <row r="6018" spans="1:11" x14ac:dyDescent="0.35">
      <c r="A6018" s="9" t="str">
        <f>HYPERLINK("http://www.ensembl.org/id/WBGene00007435", "WBGene00007435")</f>
        <v>WBGene00007435</v>
      </c>
      <c r="B6018" s="9" t="str">
        <f>HYPERLINK("http://www.ncbi.nlm.nih.gov/gene/182392", "182392")</f>
        <v>182392</v>
      </c>
      <c r="C6018" s="9" t="str">
        <f>HYPERLINK("http://www.ncbi.nlm.nih.gov/gene/29929", "29929")</f>
        <v>29929</v>
      </c>
      <c r="D6018" t="str">
        <f>"algn-6"</f>
        <v>algn-6</v>
      </c>
      <c r="E6018" t="s">
        <v>9835</v>
      </c>
      <c r="F6018" t="s">
        <v>11</v>
      </c>
      <c r="G6018" t="s">
        <v>9836</v>
      </c>
      <c r="H6018" s="12">
        <v>-1.3196127250626</v>
      </c>
      <c r="I6018" s="20">
        <v>-1.1583180649679701</v>
      </c>
      <c r="J6018" s="28">
        <v>0.24673426193866299</v>
      </c>
      <c r="K6018" s="29">
        <v>0.98289565623980701</v>
      </c>
    </row>
    <row r="6019" spans="1:11" x14ac:dyDescent="0.35">
      <c r="A6019" s="9" t="str">
        <f>HYPERLINK("http://www.ensembl.org/id/WBGene00013362", "WBGene00013362")</f>
        <v>WBGene00013362</v>
      </c>
      <c r="B6019" s="9" t="str">
        <f>HYPERLINK("http://www.ncbi.nlm.nih.gov/gene/190436", "190436")</f>
        <v>190436</v>
      </c>
      <c r="C6019" s="9" t="str">
        <f>HYPERLINK("http://www.ncbi.nlm.nih.gov/gene/1798", "1798")</f>
        <v>1798</v>
      </c>
      <c r="D6019" t="str">
        <f>"algn-7"</f>
        <v>algn-7</v>
      </c>
      <c r="E6019" t="s">
        <v>7895</v>
      </c>
      <c r="F6019" t="s">
        <v>11</v>
      </c>
      <c r="G6019" t="s">
        <v>7963</v>
      </c>
      <c r="H6019" s="12">
        <v>-1.1531349356505001</v>
      </c>
      <c r="I6019" s="20">
        <v>-0.54920303462312003</v>
      </c>
      <c r="J6019" s="28">
        <v>0.58286612209579602</v>
      </c>
      <c r="K6019" s="29">
        <v>0.98289565623980701</v>
      </c>
    </row>
    <row r="6020" spans="1:11" x14ac:dyDescent="0.35">
      <c r="A6020" s="9" t="str">
        <f>HYPERLINK("http://www.ensembl.org/id/WBGene00000116", "WBGene00000116")</f>
        <v>WBGene00000116</v>
      </c>
      <c r="B6020" s="9" t="str">
        <f>HYPERLINK("http://www.ncbi.nlm.nih.gov/gene/180979", "180979")</f>
        <v>180979</v>
      </c>
      <c r="C6020" s="9" t="str">
        <f>HYPERLINK("http://www.ncbi.nlm.nih.gov/gene/64577", "64577")</f>
        <v>64577</v>
      </c>
      <c r="D6020" t="str">
        <f>"alh-10"</f>
        <v>alh-10</v>
      </c>
      <c r="E6020" t="s">
        <v>428</v>
      </c>
      <c r="F6020" t="s">
        <v>11</v>
      </c>
      <c r="G6020" t="s">
        <v>5191</v>
      </c>
      <c r="H6020" s="12">
        <v>1.21848034718816</v>
      </c>
      <c r="I6020" s="20">
        <v>1.0055870601355901</v>
      </c>
      <c r="J6020" s="28">
        <v>0.31461425102025098</v>
      </c>
      <c r="K6020" s="29">
        <v>0.98289565623980701</v>
      </c>
    </row>
    <row r="6021" spans="1:11" x14ac:dyDescent="0.35">
      <c r="A6021" s="9" t="str">
        <f>HYPERLINK("http://www.ensembl.org/id/WBGene00000117", "WBGene00000117")</f>
        <v>WBGene00000117</v>
      </c>
      <c r="B6021" s="9" t="str">
        <f>HYPERLINK("http://www.ncbi.nlm.nih.gov/gene/185679", "185679")</f>
        <v>185679</v>
      </c>
      <c r="C6021" s="9" t="str">
        <f>HYPERLINK("http://www.ncbi.nlm.nih.gov/gene/223", "223")</f>
        <v>223</v>
      </c>
      <c r="D6021" t="str">
        <f>"alh-11"</f>
        <v>alh-11</v>
      </c>
      <c r="E6021" t="s">
        <v>428</v>
      </c>
      <c r="F6021" t="s">
        <v>11</v>
      </c>
      <c r="G6021" t="s">
        <v>2213</v>
      </c>
      <c r="H6021" s="12">
        <v>-1.21050879962875</v>
      </c>
      <c r="I6021" s="20">
        <v>-0.94614976307670795</v>
      </c>
      <c r="J6021" s="28">
        <v>0.344072205197402</v>
      </c>
      <c r="K6021" s="29">
        <v>0.98289565623980701</v>
      </c>
    </row>
    <row r="6022" spans="1:11" x14ac:dyDescent="0.35">
      <c r="A6022" s="9" t="str">
        <f>HYPERLINK("http://www.ensembl.org/id/WBGene00011938", "WBGene00011938")</f>
        <v>WBGene00011938</v>
      </c>
      <c r="B6022" s="9" t="str">
        <f>HYPERLINK("http://www.ncbi.nlm.nih.gov/gene/181417", "181417")</f>
        <v>181417</v>
      </c>
      <c r="C6022" s="9" t="str">
        <f>HYPERLINK("http://www.ncbi.nlm.nih.gov/gene/5832", "5832")</f>
        <v>5832</v>
      </c>
      <c r="D6022" t="str">
        <f>"alh-13"</f>
        <v>alh-13</v>
      </c>
      <c r="E6022" t="s">
        <v>5877</v>
      </c>
      <c r="F6022" t="s">
        <v>11</v>
      </c>
      <c r="G6022" t="s">
        <v>5878</v>
      </c>
      <c r="H6022" s="12">
        <v>1.0908391199365599</v>
      </c>
      <c r="I6022" s="20">
        <v>0.36153102468472598</v>
      </c>
      <c r="J6022" s="28">
        <v>0.71770251674540098</v>
      </c>
      <c r="K6022" s="29">
        <v>0.98289565623980701</v>
      </c>
    </row>
    <row r="6023" spans="1:11" x14ac:dyDescent="0.35">
      <c r="A6023" s="9" t="str">
        <f>HYPERLINK("http://www.ensembl.org/id/WBGene00000109", "WBGene00000109")</f>
        <v>WBGene00000109</v>
      </c>
      <c r="B6023" s="9" t="str">
        <f>HYPERLINK("http://www.ncbi.nlm.nih.gov/gene/177999", "177999")</f>
        <v>177999</v>
      </c>
      <c r="C6023" s="9" t="str">
        <f>HYPERLINK("http://www.ncbi.nlm.nih.gov/gene/10840", "10840")</f>
        <v>10840</v>
      </c>
      <c r="D6023" t="str">
        <f>"alh-3"</f>
        <v>alh-3</v>
      </c>
      <c r="E6023" t="s">
        <v>7987</v>
      </c>
      <c r="F6023" t="s">
        <v>11</v>
      </c>
      <c r="G6023" t="s">
        <v>7988</v>
      </c>
      <c r="H6023" s="12">
        <v>-1.15468622898183</v>
      </c>
      <c r="I6023" s="20">
        <v>-0.78959348776762805</v>
      </c>
      <c r="J6023" s="28">
        <v>0.42976521266223999</v>
      </c>
      <c r="K6023" s="29">
        <v>0.98289565623980701</v>
      </c>
    </row>
    <row r="6024" spans="1:11" x14ac:dyDescent="0.35">
      <c r="A6024" s="9" t="str">
        <f>HYPERLINK("http://www.ensembl.org/id/WBGene00000110", "WBGene00000110")</f>
        <v>WBGene00000110</v>
      </c>
      <c r="B6024" s="9" t="str">
        <f>HYPERLINK("http://www.ncbi.nlm.nih.gov/gene/179026", "179026")</f>
        <v>179026</v>
      </c>
      <c r="C6024" s="9" t="str">
        <f>HYPERLINK("http://www.ncbi.nlm.nih.gov/gene/224", "224")</f>
        <v>224</v>
      </c>
      <c r="D6024" t="str">
        <f>"alh-4"</f>
        <v>alh-4</v>
      </c>
      <c r="E6024" t="s">
        <v>2792</v>
      </c>
      <c r="F6024" t="s">
        <v>11</v>
      </c>
      <c r="G6024" t="s">
        <v>7199</v>
      </c>
      <c r="H6024" s="12">
        <v>-1.1131231464672899</v>
      </c>
      <c r="I6024" s="20">
        <v>-0.59670950048698301</v>
      </c>
      <c r="J6024" s="28">
        <v>0.55070134852043795</v>
      </c>
      <c r="K6024" s="29">
        <v>0.98289565623980701</v>
      </c>
    </row>
    <row r="6025" spans="1:11" x14ac:dyDescent="0.35">
      <c r="A6025" s="9" t="str">
        <f>HYPERLINK("http://www.ensembl.org/id/WBGene00000112", "WBGene00000112")</f>
        <v>WBGene00000112</v>
      </c>
      <c r="B6025" s="9" t="str">
        <f>HYPERLINK("http://www.ncbi.nlm.nih.gov/gene/173510", "173510")</f>
        <v>173510</v>
      </c>
      <c r="C6025" s="9" t="str">
        <f>HYPERLINK("http://www.ncbi.nlm.nih.gov/gene/8659", "8659")</f>
        <v>8659</v>
      </c>
      <c r="D6025" t="str">
        <f>"alh-6"</f>
        <v>alh-6</v>
      </c>
      <c r="E6025" t="s">
        <v>428</v>
      </c>
      <c r="F6025" t="s">
        <v>11</v>
      </c>
      <c r="G6025" t="s">
        <v>5585</v>
      </c>
      <c r="H6025" s="12">
        <v>1.1400815142005201</v>
      </c>
      <c r="I6025" s="20">
        <v>0.66268989105238696</v>
      </c>
      <c r="J6025" s="28">
        <v>0.507529185431149</v>
      </c>
      <c r="K6025" s="29">
        <v>0.98289565623980701</v>
      </c>
    </row>
    <row r="6026" spans="1:11" x14ac:dyDescent="0.35">
      <c r="A6026" s="9" t="str">
        <f>HYPERLINK("http://www.ensembl.org/id/WBGene00000114", "WBGene00000114")</f>
        <v>WBGene00000114</v>
      </c>
      <c r="B6026" s="9" t="str">
        <f>HYPERLINK("http://www.ncbi.nlm.nih.gov/gene/174800", "174800")</f>
        <v>174800</v>
      </c>
      <c r="C6026" s="9" t="str">
        <f>HYPERLINK("http://www.ncbi.nlm.nih.gov/gene/4329", "4329")</f>
        <v>4329</v>
      </c>
      <c r="D6026" t="str">
        <f>"alh-8"</f>
        <v>alh-8</v>
      </c>
      <c r="E6026" t="s">
        <v>9284</v>
      </c>
      <c r="F6026" t="s">
        <v>11</v>
      </c>
      <c r="G6026" t="s">
        <v>9285</v>
      </c>
      <c r="H6026" s="12">
        <v>-1.2340426583920401</v>
      </c>
      <c r="I6026" s="20">
        <v>-1.1290594528366</v>
      </c>
      <c r="J6026" s="28">
        <v>0.25887275450005098</v>
      </c>
      <c r="K6026" s="29">
        <v>0.98289565623980701</v>
      </c>
    </row>
    <row r="6027" spans="1:11" x14ac:dyDescent="0.35">
      <c r="A6027" s="9" t="str">
        <f>HYPERLINK("http://www.ensembl.org/id/WBGene00021783", "WBGene00021783")</f>
        <v>WBGene00021783</v>
      </c>
      <c r="B6027" s="9" t="str">
        <f>HYPERLINK("http://www.ncbi.nlm.nih.gov/gene/190176", "190176")</f>
        <v>190176</v>
      </c>
      <c r="C6027" s="9" t="str">
        <f>HYPERLINK("http://www.ncbi.nlm.nih.gov/gene/8846", "8846")</f>
        <v>8846</v>
      </c>
      <c r="D6027" t="str">
        <f>"alkb-1"</f>
        <v>alkb-1</v>
      </c>
      <c r="E6027" t="s">
        <v>3394</v>
      </c>
      <c r="F6027" t="s">
        <v>11</v>
      </c>
      <c r="G6027" t="s">
        <v>7120</v>
      </c>
      <c r="H6027" s="12">
        <v>-1.1078805185525</v>
      </c>
      <c r="I6027" s="20">
        <v>-0.50134669596051895</v>
      </c>
      <c r="J6027" s="28">
        <v>0.61612714701110305</v>
      </c>
      <c r="K6027" s="29">
        <v>0.98289565623980701</v>
      </c>
    </row>
    <row r="6028" spans="1:11" x14ac:dyDescent="0.35">
      <c r="A6028" s="9" t="str">
        <f>HYPERLINK("http://www.ensembl.org/id/WBGene00007581", "WBGene00007581")</f>
        <v>WBGene00007581</v>
      </c>
      <c r="B6028" s="9" t="str">
        <f>HYPERLINK("http://www.ncbi.nlm.nih.gov/gene/175476", "175476")</f>
        <v>175476</v>
      </c>
      <c r="C6028" s="9" t="str">
        <f>HYPERLINK("http://www.ncbi.nlm.nih.gov/gene/91801", "91801")</f>
        <v>91801</v>
      </c>
      <c r="D6028" t="str">
        <f>"alkb-8"</f>
        <v>alkb-8</v>
      </c>
      <c r="E6028" t="s">
        <v>3394</v>
      </c>
      <c r="F6028" t="s">
        <v>11</v>
      </c>
      <c r="G6028" t="s">
        <v>7546</v>
      </c>
      <c r="H6028" s="12">
        <v>-1.1321053861419801</v>
      </c>
      <c r="I6028" s="20">
        <v>-0.57183136146215197</v>
      </c>
      <c r="J6028" s="28">
        <v>0.56743622847355002</v>
      </c>
      <c r="K6028" s="29">
        <v>0.98289565623980701</v>
      </c>
    </row>
    <row r="6029" spans="1:11" x14ac:dyDescent="0.35">
      <c r="A6029" s="9" t="str">
        <f>HYPERLINK("http://www.ensembl.org/id/WBGene00011292", "WBGene00011292")</f>
        <v>WBGene00011292</v>
      </c>
      <c r="B6029" s="9" t="str">
        <f>HYPERLINK("http://www.ncbi.nlm.nih.gov/gene/177962", "177962")</f>
        <v>177962</v>
      </c>
      <c r="C6029" s="9"/>
      <c r="D6029" t="str">
        <f>"allo-1"</f>
        <v>allo-1</v>
      </c>
      <c r="E6029" t="s">
        <v>6577</v>
      </c>
      <c r="F6029" t="s">
        <v>11</v>
      </c>
      <c r="H6029" s="12">
        <v>-1.07743954937556</v>
      </c>
      <c r="I6029" s="20">
        <v>-0.41795635174708101</v>
      </c>
      <c r="J6029" s="28">
        <v>0.67597903040343299</v>
      </c>
      <c r="K6029" s="29">
        <v>0.98289565623980701</v>
      </c>
    </row>
    <row r="6030" spans="1:11" x14ac:dyDescent="0.35">
      <c r="A6030" s="9" t="str">
        <f>HYPERLINK("http://www.ensembl.org/id/WBGene00001132", "WBGene00001132")</f>
        <v>WBGene00001132</v>
      </c>
      <c r="B6030" s="9" t="str">
        <f>HYPERLINK("http://www.ncbi.nlm.nih.gov/gene/177701", "177701")</f>
        <v>177701</v>
      </c>
      <c r="C6030" s="9"/>
      <c r="D6030" t="str">
        <f>"alp-1"</f>
        <v>alp-1</v>
      </c>
      <c r="E6030" t="s">
        <v>7169</v>
      </c>
      <c r="F6030" t="s">
        <v>11</v>
      </c>
      <c r="G6030" t="s">
        <v>7170</v>
      </c>
      <c r="H6030" s="12">
        <v>-1.11119929095437</v>
      </c>
      <c r="I6030" s="20">
        <v>-0.47197867660049297</v>
      </c>
      <c r="J6030" s="28">
        <v>0.63694200883845098</v>
      </c>
      <c r="K6030" s="29">
        <v>0.98289565623980701</v>
      </c>
    </row>
    <row r="6031" spans="1:11" x14ac:dyDescent="0.35">
      <c r="A6031" s="9" t="str">
        <f>HYPERLINK("http://www.ensembl.org/id/WBGene00044330", "WBGene00044330")</f>
        <v>WBGene00044330</v>
      </c>
      <c r="B6031" s="9" t="str">
        <f>HYPERLINK("http://www.ncbi.nlm.nih.gov/gene/181302", "181302")</f>
        <v>181302</v>
      </c>
      <c r="C6031" s="9"/>
      <c r="D6031" t="str">
        <f>"alr-1"</f>
        <v>alr-1</v>
      </c>
      <c r="E6031" t="s">
        <v>5699</v>
      </c>
      <c r="F6031" t="s">
        <v>11</v>
      </c>
      <c r="G6031" t="s">
        <v>5183</v>
      </c>
      <c r="H6031" s="12">
        <v>1.1212298687525</v>
      </c>
      <c r="I6031" s="20">
        <v>0.48584263347551498</v>
      </c>
      <c r="J6031" s="28">
        <v>0.62707874423427501</v>
      </c>
      <c r="K6031" s="29">
        <v>0.98289565623980701</v>
      </c>
    </row>
    <row r="6032" spans="1:11" x14ac:dyDescent="0.35">
      <c r="A6032" s="9" t="str">
        <f>HYPERLINK("http://www.ensembl.org/id/WBGene00007010", "WBGene00007010")</f>
        <v>WBGene00007010</v>
      </c>
      <c r="B6032" s="9" t="str">
        <f>HYPERLINK("http://www.ncbi.nlm.nih.gov/gene/176410", "176410")</f>
        <v>176410</v>
      </c>
      <c r="C6032" s="9" t="str">
        <f>HYPERLINK("http://www.ncbi.nlm.nih.gov/gene/10015", "10015")</f>
        <v>10015</v>
      </c>
      <c r="D6032" t="str">
        <f>"alx-1"</f>
        <v>alx-1</v>
      </c>
      <c r="E6032" t="s">
        <v>7970</v>
      </c>
      <c r="F6032" t="s">
        <v>11</v>
      </c>
      <c r="G6032" t="s">
        <v>54</v>
      </c>
      <c r="H6032" s="12">
        <v>-1.15409787799688</v>
      </c>
      <c r="I6032" s="20">
        <v>-0.77335799949319395</v>
      </c>
      <c r="J6032" s="28">
        <v>0.43931053935613801</v>
      </c>
      <c r="K6032" s="29">
        <v>0.98289565623980701</v>
      </c>
    </row>
    <row r="6033" spans="1:11" x14ac:dyDescent="0.35">
      <c r="A6033" s="9" t="str">
        <f>HYPERLINK("http://www.ensembl.org/id/WBGene00000120", "WBGene00000120")</f>
        <v>WBGene00000120</v>
      </c>
      <c r="B6033" s="9" t="str">
        <f>HYPERLINK("http://www.ncbi.nlm.nih.gov/gene/177735", "177735")</f>
        <v>177735</v>
      </c>
      <c r="C6033" s="9"/>
      <c r="D6033" t="str">
        <f>"aly-1"</f>
        <v>aly-1</v>
      </c>
      <c r="E6033" t="s">
        <v>2575</v>
      </c>
      <c r="F6033" t="s">
        <v>11</v>
      </c>
      <c r="G6033" t="s">
        <v>2343</v>
      </c>
      <c r="H6033" s="12">
        <v>1.1844893726013499</v>
      </c>
      <c r="I6033" s="20">
        <v>0.83555230120610302</v>
      </c>
      <c r="J6033" s="28">
        <v>0.40340681218666902</v>
      </c>
      <c r="K6033" s="29">
        <v>0.98289565623980701</v>
      </c>
    </row>
    <row r="6034" spans="1:11" x14ac:dyDescent="0.35">
      <c r="A6034" s="9" t="str">
        <f>HYPERLINK("http://www.ensembl.org/id/WBGene00000122", "WBGene00000122")</f>
        <v>WBGene00000122</v>
      </c>
      <c r="B6034" s="9" t="str">
        <f>HYPERLINK("http://www.ncbi.nlm.nih.gov/gene/178157", "178157")</f>
        <v>178157</v>
      </c>
      <c r="C6034" s="9"/>
      <c r="D6034" t="str">
        <f>"aly-3"</f>
        <v>aly-3</v>
      </c>
      <c r="E6034" t="s">
        <v>2575</v>
      </c>
      <c r="F6034" t="s">
        <v>11</v>
      </c>
      <c r="G6034" t="s">
        <v>2343</v>
      </c>
      <c r="H6034" s="12">
        <v>1.0712081561187901</v>
      </c>
      <c r="I6034" s="20">
        <v>0.32662926308883899</v>
      </c>
      <c r="J6034" s="28">
        <v>0.74394830771993004</v>
      </c>
      <c r="K6034" s="29">
        <v>0.98289565623980701</v>
      </c>
    </row>
    <row r="6035" spans="1:11" x14ac:dyDescent="0.35">
      <c r="A6035" s="9" t="str">
        <f>HYPERLINK("http://www.ensembl.org/id/WBGene00000123", "WBGene00000123")</f>
        <v>WBGene00000123</v>
      </c>
      <c r="B6035" s="9" t="str">
        <f>HYPERLINK("http://www.ncbi.nlm.nih.gov/gene/177190", "177190")</f>
        <v>177190</v>
      </c>
      <c r="C6035" s="9" t="str">
        <f>HYPERLINK("http://www.ncbi.nlm.nih.gov/gene/5430", "5430")</f>
        <v>5430</v>
      </c>
      <c r="D6035" t="str">
        <f>"ama-1"</f>
        <v>ama-1</v>
      </c>
      <c r="E6035" t="s">
        <v>6701</v>
      </c>
      <c r="F6035" t="s">
        <v>11</v>
      </c>
      <c r="G6035" t="s">
        <v>6702</v>
      </c>
      <c r="H6035" s="12">
        <v>-1.08539874254365</v>
      </c>
      <c r="I6035" s="20">
        <v>-0.42086146471433</v>
      </c>
      <c r="J6035" s="28">
        <v>0.67385624580182701</v>
      </c>
      <c r="K6035" s="29">
        <v>0.98289565623980701</v>
      </c>
    </row>
    <row r="6036" spans="1:11" x14ac:dyDescent="0.35">
      <c r="A6036" s="9" t="str">
        <f>HYPERLINK("http://www.ensembl.org/id/WBGene00018594", "WBGene00018594")</f>
        <v>WBGene00018594</v>
      </c>
      <c r="B6036" s="9" t="str">
        <f>HYPERLINK("http://www.ncbi.nlm.nih.gov/gene/172178", "172178")</f>
        <v>172178</v>
      </c>
      <c r="C6036" s="9"/>
      <c r="D6036" t="str">
        <f>"aman-3"</f>
        <v>aman-3</v>
      </c>
      <c r="E6036" t="s">
        <v>2367</v>
      </c>
      <c r="F6036" t="s">
        <v>11</v>
      </c>
      <c r="G6036" t="s">
        <v>5659</v>
      </c>
      <c r="H6036" s="12">
        <v>1.1280811591397299</v>
      </c>
      <c r="I6036" s="20">
        <v>0.54469658150196198</v>
      </c>
      <c r="J6036" s="28">
        <v>0.585962216366678</v>
      </c>
      <c r="K6036" s="29">
        <v>0.98289565623980701</v>
      </c>
    </row>
    <row r="6037" spans="1:11" x14ac:dyDescent="0.35">
      <c r="A6037" s="9" t="str">
        <f>HYPERLINK("http://www.ensembl.org/id/WBGene00016415", "WBGene00016415")</f>
        <v>WBGene00016415</v>
      </c>
      <c r="B6037" s="9" t="str">
        <f>HYPERLINK("http://www.ncbi.nlm.nih.gov/gene/173891", "173891")</f>
        <v>173891</v>
      </c>
      <c r="C6037" s="9" t="str">
        <f>HYPERLINK("http://www.ncbi.nlm.nih.gov/gene/271", "271")</f>
        <v>271</v>
      </c>
      <c r="D6037" t="str">
        <f>"ampd-1"</f>
        <v>ampd-1</v>
      </c>
      <c r="E6037" t="s">
        <v>8431</v>
      </c>
      <c r="F6037" t="s">
        <v>11</v>
      </c>
      <c r="G6037" t="s">
        <v>8432</v>
      </c>
      <c r="H6037" s="12">
        <v>-1.17753728876328</v>
      </c>
      <c r="I6037" s="20">
        <v>-0.88351882558339101</v>
      </c>
      <c r="J6037" s="28">
        <v>0.37695601569596399</v>
      </c>
      <c r="K6037" s="29">
        <v>0.98289565623980701</v>
      </c>
    </row>
    <row r="6038" spans="1:11" x14ac:dyDescent="0.35">
      <c r="A6038" s="9" t="str">
        <f>HYPERLINK("http://www.ensembl.org/id/WBGene00010272", "WBGene00010272")</f>
        <v>WBGene00010272</v>
      </c>
      <c r="B6038" s="9" t="str">
        <f>HYPERLINK("http://www.ncbi.nlm.nih.gov/gene/177797", "177797")</f>
        <v>177797</v>
      </c>
      <c r="C6038" s="9" t="str">
        <f>HYPERLINK("http://www.ncbi.nlm.nih.gov/gene/273", "273")</f>
        <v>273</v>
      </c>
      <c r="D6038" t="str">
        <f>"amph-1"</f>
        <v>amph-1</v>
      </c>
      <c r="E6038" t="s">
        <v>5713</v>
      </c>
      <c r="F6038" t="s">
        <v>11</v>
      </c>
      <c r="G6038" t="s">
        <v>5714</v>
      </c>
      <c r="H6038" s="12">
        <v>1.1170530730752599</v>
      </c>
      <c r="I6038" s="20">
        <v>0.59223673506402397</v>
      </c>
      <c r="J6038" s="28">
        <v>0.55369207355557903</v>
      </c>
      <c r="K6038" s="29">
        <v>0.98289565623980701</v>
      </c>
    </row>
    <row r="6039" spans="1:11" x14ac:dyDescent="0.35">
      <c r="A6039" s="9" t="str">
        <f>HYPERLINK("http://www.ensembl.org/id/WBGene00000133", "WBGene00000133")</f>
        <v>WBGene00000133</v>
      </c>
      <c r="B6039" s="9" t="str">
        <f>HYPERLINK("http://www.ncbi.nlm.nih.gov/gene/180729", "180729")</f>
        <v>180729</v>
      </c>
      <c r="C6039" s="9"/>
      <c r="D6039" t="str">
        <f>"amt-1"</f>
        <v>amt-1</v>
      </c>
      <c r="E6039" t="s">
        <v>10035</v>
      </c>
      <c r="F6039" t="s">
        <v>11</v>
      </c>
      <c r="G6039" t="s">
        <v>1286</v>
      </c>
      <c r="H6039" s="12">
        <v>-1.9703499177296599</v>
      </c>
      <c r="I6039" s="20">
        <v>-1.03716101501299</v>
      </c>
      <c r="J6039" s="28">
        <v>0.299660823388751</v>
      </c>
      <c r="K6039" s="29">
        <v>0.98289565623980701</v>
      </c>
    </row>
    <row r="6040" spans="1:11" x14ac:dyDescent="0.35">
      <c r="A6040" s="9" t="str">
        <f>HYPERLINK("http://www.ensembl.org/id/WBGene00000137", "WBGene00000137")</f>
        <v>WBGene00000137</v>
      </c>
      <c r="B6040" s="9" t="str">
        <f>HYPERLINK("http://www.ncbi.nlm.nih.gov/gene/175493", "175493")</f>
        <v>175493</v>
      </c>
      <c r="C6040" s="9"/>
      <c r="D6040" t="str">
        <f>"amx-1"</f>
        <v>amx-1</v>
      </c>
      <c r="E6040" t="s">
        <v>6072</v>
      </c>
      <c r="F6040" t="s">
        <v>11</v>
      </c>
      <c r="G6040" t="s">
        <v>6073</v>
      </c>
      <c r="H6040" s="12">
        <v>1.0652127316823701</v>
      </c>
      <c r="I6040" s="20">
        <v>0.28981125702825</v>
      </c>
      <c r="J6040" s="28">
        <v>0.77196063542680204</v>
      </c>
      <c r="K6040" s="29">
        <v>0.98289565623980701</v>
      </c>
    </row>
    <row r="6041" spans="1:11" x14ac:dyDescent="0.35">
      <c r="A6041" s="9" t="str">
        <f>HYPERLINK("http://www.ensembl.org/id/WBGene00015938", "WBGene00015938")</f>
        <v>WBGene00015938</v>
      </c>
      <c r="B6041" s="9" t="str">
        <f>HYPERLINK("http://www.ncbi.nlm.nih.gov/gene/177439", "177439")</f>
        <v>177439</v>
      </c>
      <c r="C6041" s="9"/>
      <c r="D6041" t="str">
        <f>"anat-1"</f>
        <v>anat-1</v>
      </c>
      <c r="E6041" t="s">
        <v>7158</v>
      </c>
      <c r="F6041" t="s">
        <v>11</v>
      </c>
      <c r="G6041" t="s">
        <v>3011</v>
      </c>
      <c r="H6041" s="12">
        <v>-1.1105059236092001</v>
      </c>
      <c r="I6041" s="20">
        <v>-0.556197754579974</v>
      </c>
      <c r="J6041" s="28">
        <v>0.57807567406830895</v>
      </c>
      <c r="K6041" s="29">
        <v>0.98289565623980701</v>
      </c>
    </row>
    <row r="6042" spans="1:11" x14ac:dyDescent="0.35">
      <c r="A6042" s="9" t="str">
        <f>HYPERLINK("http://www.ensembl.org/id/WBGene00015124", "WBGene00015124")</f>
        <v>WBGene00015124</v>
      </c>
      <c r="B6042" s="9" t="str">
        <f>HYPERLINK("http://www.ncbi.nlm.nih.gov/gene/176217", "176217")</f>
        <v>176217</v>
      </c>
      <c r="C6042" s="9"/>
      <c r="D6042" t="str">
        <f>"anmt-1"</f>
        <v>anmt-1</v>
      </c>
      <c r="E6042" t="s">
        <v>5839</v>
      </c>
      <c r="F6042" t="s">
        <v>11</v>
      </c>
      <c r="G6042" t="s">
        <v>2778</v>
      </c>
      <c r="H6042" s="12">
        <v>1.0949451385331299</v>
      </c>
      <c r="I6042" s="20">
        <v>0.292706051565298</v>
      </c>
      <c r="J6042" s="28">
        <v>0.76974684391263004</v>
      </c>
      <c r="K6042" s="29">
        <v>0.98289565623980701</v>
      </c>
    </row>
    <row r="6043" spans="1:11" x14ac:dyDescent="0.35">
      <c r="A6043" s="9" t="str">
        <f>HYPERLINK("http://www.ensembl.org/id/WBGene00011587", "WBGene00011587")</f>
        <v>WBGene00011587</v>
      </c>
      <c r="B6043" s="9" t="str">
        <f>HYPERLINK("http://www.ncbi.nlm.nih.gov/gene/179763", "179763")</f>
        <v>179763</v>
      </c>
      <c r="C6043" s="9"/>
      <c r="D6043" t="str">
        <f>"anp-1"</f>
        <v>anp-1</v>
      </c>
      <c r="E6043" t="s">
        <v>594</v>
      </c>
      <c r="F6043" t="s">
        <v>11</v>
      </c>
      <c r="G6043" t="s">
        <v>595</v>
      </c>
      <c r="H6043" s="12">
        <v>-1.07074167427471</v>
      </c>
      <c r="I6043" s="20">
        <v>-0.35448218382806002</v>
      </c>
      <c r="J6043" s="28">
        <v>0.72297755358901195</v>
      </c>
      <c r="K6043" s="29">
        <v>0.98289565623980701</v>
      </c>
    </row>
    <row r="6044" spans="1:11" x14ac:dyDescent="0.35">
      <c r="A6044" s="9" t="str">
        <f>HYPERLINK("http://www.ensembl.org/id/WBGene00219597", "WBGene00219597")</f>
        <v>WBGene00219597</v>
      </c>
      <c r="B6044" s="9"/>
      <c r="C6044" s="9"/>
      <c r="D6044" t="str">
        <f>"anr-11"</f>
        <v>anr-11</v>
      </c>
      <c r="F6044" t="s">
        <v>2735</v>
      </c>
      <c r="H6044" s="12">
        <v>1.9638662696056099</v>
      </c>
      <c r="I6044" s="20">
        <v>0.33027268083156702</v>
      </c>
      <c r="J6044" s="28">
        <v>0.74119393338581296</v>
      </c>
      <c r="K6044" s="29">
        <v>0.98289565623980701</v>
      </c>
    </row>
    <row r="6045" spans="1:11" x14ac:dyDescent="0.35">
      <c r="A6045" s="9" t="str">
        <f>HYPERLINK("http://www.ensembl.org/id/WBGene00219558", "WBGene00219558")</f>
        <v>WBGene00219558</v>
      </c>
      <c r="B6045" s="9"/>
      <c r="C6045" s="9"/>
      <c r="D6045" t="str">
        <f>"anr-12"</f>
        <v>anr-12</v>
      </c>
      <c r="F6045" t="s">
        <v>2735</v>
      </c>
      <c r="H6045" s="12">
        <v>3.5227018545059199</v>
      </c>
      <c r="I6045" s="20">
        <v>0.36849691206929103</v>
      </c>
      <c r="J6045" s="28">
        <v>0.71250274722433404</v>
      </c>
      <c r="K6045" s="29">
        <v>0.98289565623980701</v>
      </c>
    </row>
    <row r="6046" spans="1:11" x14ac:dyDescent="0.35">
      <c r="A6046" s="9" t="str">
        <f>HYPERLINK("http://www.ensembl.org/id/WBGene00219576", "WBGene00219576")</f>
        <v>WBGene00219576</v>
      </c>
      <c r="B6046" s="9"/>
      <c r="C6046" s="9"/>
      <c r="D6046" t="str">
        <f>"anr-13"</f>
        <v>anr-13</v>
      </c>
      <c r="F6046" t="s">
        <v>2735</v>
      </c>
      <c r="H6046" s="12">
        <v>-2.4295389261469</v>
      </c>
      <c r="I6046" s="20">
        <v>-0.25808529976640998</v>
      </c>
      <c r="J6046" s="28">
        <v>0.79634107645457397</v>
      </c>
      <c r="K6046" s="29">
        <v>0.98289565623980701</v>
      </c>
    </row>
    <row r="6047" spans="1:11" x14ac:dyDescent="0.35">
      <c r="A6047" s="9" t="str">
        <f>HYPERLINK("http://www.ensembl.org/id/WBGene00219557", "WBGene00219557")</f>
        <v>WBGene00219557</v>
      </c>
      <c r="B6047" s="9"/>
      <c r="C6047" s="9"/>
      <c r="D6047" t="str">
        <f>"anr-14"</f>
        <v>anr-14</v>
      </c>
      <c r="F6047" t="s">
        <v>2735</v>
      </c>
      <c r="H6047" s="12">
        <v>2.0779148994264598</v>
      </c>
      <c r="I6047" s="20">
        <v>0.58115802819533102</v>
      </c>
      <c r="J6047" s="28">
        <v>0.56113395240673003</v>
      </c>
      <c r="K6047" s="29">
        <v>0.98289565623980701</v>
      </c>
    </row>
    <row r="6048" spans="1:11" x14ac:dyDescent="0.35">
      <c r="A6048" s="9" t="str">
        <f>HYPERLINK("http://www.ensembl.org/id/WBGene00219593", "WBGene00219593")</f>
        <v>WBGene00219593</v>
      </c>
      <c r="B6048" s="9"/>
      <c r="C6048" s="9"/>
      <c r="D6048" t="str">
        <f>"anr-15"</f>
        <v>anr-15</v>
      </c>
      <c r="F6048" t="s">
        <v>2735</v>
      </c>
      <c r="H6048" s="12">
        <v>1.4780134706758801</v>
      </c>
      <c r="I6048" s="20">
        <v>0.31389329192273002</v>
      </c>
      <c r="J6048" s="28">
        <v>0.75360208536184703</v>
      </c>
      <c r="K6048" s="29">
        <v>0.98289565623980701</v>
      </c>
    </row>
    <row r="6049" spans="1:11" x14ac:dyDescent="0.35">
      <c r="A6049" s="9" t="str">
        <f>HYPERLINK("http://www.ensembl.org/id/WBGene00219677", "WBGene00219677")</f>
        <v>WBGene00219677</v>
      </c>
      <c r="B6049" s="9"/>
      <c r="C6049" s="9"/>
      <c r="D6049" t="str">
        <f>"anr-17"</f>
        <v>anr-17</v>
      </c>
      <c r="F6049" t="s">
        <v>2735</v>
      </c>
      <c r="H6049" s="12">
        <v>-1.94103516193494</v>
      </c>
      <c r="I6049" s="20">
        <v>-0.88775910858365403</v>
      </c>
      <c r="J6049" s="28">
        <v>0.374670343158506</v>
      </c>
      <c r="K6049" s="29">
        <v>0.98289565623980701</v>
      </c>
    </row>
    <row r="6050" spans="1:11" x14ac:dyDescent="0.35">
      <c r="A6050" s="9" t="str">
        <f>HYPERLINK("http://www.ensembl.org/id/WBGene00219623", "WBGene00219623")</f>
        <v>WBGene00219623</v>
      </c>
      <c r="B6050" s="9"/>
      <c r="C6050" s="9"/>
      <c r="D6050" t="str">
        <f>"anr-2"</f>
        <v>anr-2</v>
      </c>
      <c r="F6050" t="s">
        <v>2735</v>
      </c>
      <c r="H6050" s="12">
        <v>-5.5966362680484698</v>
      </c>
      <c r="I6050" s="20">
        <v>-1.12122412362973</v>
      </c>
      <c r="J6050" s="28">
        <v>0.26219247369068899</v>
      </c>
      <c r="K6050" s="29">
        <v>0.98289565623980701</v>
      </c>
    </row>
    <row r="6051" spans="1:11" x14ac:dyDescent="0.35">
      <c r="A6051" s="9" t="str">
        <f>HYPERLINK("http://www.ensembl.org/id/WBGene00219581", "WBGene00219581")</f>
        <v>WBGene00219581</v>
      </c>
      <c r="B6051" s="9"/>
      <c r="C6051" s="9"/>
      <c r="D6051" t="str">
        <f>"anr-20"</f>
        <v>anr-20</v>
      </c>
      <c r="F6051" t="s">
        <v>2735</v>
      </c>
      <c r="H6051" s="12">
        <v>-1.17590588014938</v>
      </c>
      <c r="I6051" s="20">
        <v>-0.35676279494063001</v>
      </c>
      <c r="J6051" s="28">
        <v>0.72126939110934896</v>
      </c>
      <c r="K6051" s="29">
        <v>0.98289565623980701</v>
      </c>
    </row>
    <row r="6052" spans="1:11" x14ac:dyDescent="0.35">
      <c r="A6052" s="9" t="str">
        <f>HYPERLINK("http://www.ensembl.org/id/WBGene00219658", "WBGene00219658")</f>
        <v>WBGene00219658</v>
      </c>
      <c r="B6052" s="9"/>
      <c r="C6052" s="9"/>
      <c r="D6052" t="str">
        <f>"anr-21"</f>
        <v>anr-21</v>
      </c>
      <c r="F6052" t="s">
        <v>2735</v>
      </c>
      <c r="H6052" s="12">
        <v>-1.80144495351741</v>
      </c>
      <c r="I6052" s="20">
        <v>-0.52616452284145898</v>
      </c>
      <c r="J6052" s="28">
        <v>0.59877390123392804</v>
      </c>
      <c r="K6052" s="29">
        <v>0.98289565623980701</v>
      </c>
    </row>
    <row r="6053" spans="1:11" x14ac:dyDescent="0.35">
      <c r="A6053" s="9" t="str">
        <f>HYPERLINK("http://www.ensembl.org/id/WBGene00219679", "WBGene00219679")</f>
        <v>WBGene00219679</v>
      </c>
      <c r="B6053" s="9"/>
      <c r="C6053" s="9"/>
      <c r="D6053" t="str">
        <f>"anr-22"</f>
        <v>anr-22</v>
      </c>
      <c r="F6053" t="s">
        <v>2735</v>
      </c>
      <c r="H6053" s="12">
        <v>-2.85382555465107</v>
      </c>
      <c r="I6053" s="20">
        <v>-0.60747253460693396</v>
      </c>
      <c r="J6053" s="28">
        <v>0.54353736438270295</v>
      </c>
      <c r="K6053" s="29">
        <v>0.98289565623980701</v>
      </c>
    </row>
    <row r="6054" spans="1:11" x14ac:dyDescent="0.35">
      <c r="A6054" s="9" t="str">
        <f>HYPERLINK("http://www.ensembl.org/id/WBGene00219751", "WBGene00219751")</f>
        <v>WBGene00219751</v>
      </c>
      <c r="B6054" s="9"/>
      <c r="C6054" s="9"/>
      <c r="D6054" t="str">
        <f>"anr-24"</f>
        <v>anr-24</v>
      </c>
      <c r="F6054" t="s">
        <v>2735</v>
      </c>
      <c r="H6054" s="12">
        <v>1.7555487961513201</v>
      </c>
      <c r="I6054" s="20">
        <v>0.34138428906157198</v>
      </c>
      <c r="J6054" s="28">
        <v>0.73281430099764999</v>
      </c>
      <c r="K6054" s="29">
        <v>0.98289565623980701</v>
      </c>
    </row>
    <row r="6055" spans="1:11" x14ac:dyDescent="0.35">
      <c r="A6055" s="9" t="str">
        <f>HYPERLINK("http://www.ensembl.org/id/WBGene00219669", "WBGene00219669")</f>
        <v>WBGene00219669</v>
      </c>
      <c r="B6055" s="9"/>
      <c r="C6055" s="9"/>
      <c r="D6055" t="str">
        <f>"anr-28"</f>
        <v>anr-28</v>
      </c>
      <c r="F6055" t="s">
        <v>2735</v>
      </c>
      <c r="H6055" s="12">
        <v>1.6696822482264599</v>
      </c>
      <c r="I6055" s="20">
        <v>0.94851633099750499</v>
      </c>
      <c r="J6055" s="28">
        <v>0.34286666297441099</v>
      </c>
      <c r="K6055" s="29">
        <v>0.98289565623980701</v>
      </c>
    </row>
    <row r="6056" spans="1:11" x14ac:dyDescent="0.35">
      <c r="A6056" s="9" t="str">
        <f>HYPERLINK("http://www.ensembl.org/id/WBGene00219627", "WBGene00219627")</f>
        <v>WBGene00219627</v>
      </c>
      <c r="B6056" s="9"/>
      <c r="C6056" s="9"/>
      <c r="D6056" t="str">
        <f>"anr-3"</f>
        <v>anr-3</v>
      </c>
      <c r="F6056" t="s">
        <v>2735</v>
      </c>
      <c r="H6056" s="12">
        <v>1.4416511859193</v>
      </c>
      <c r="I6056" s="20">
        <v>0.35903748304566502</v>
      </c>
      <c r="J6056" s="28">
        <v>0.71956704876732502</v>
      </c>
      <c r="K6056" s="29">
        <v>0.98289565623980701</v>
      </c>
    </row>
    <row r="6057" spans="1:11" x14ac:dyDescent="0.35">
      <c r="A6057" s="9" t="str">
        <f>HYPERLINK("http://www.ensembl.org/id/WBGene00219573", "WBGene00219573")</f>
        <v>WBGene00219573</v>
      </c>
      <c r="B6057" s="9"/>
      <c r="C6057" s="9"/>
      <c r="D6057" t="str">
        <f>"anr-30"</f>
        <v>anr-30</v>
      </c>
      <c r="F6057" t="s">
        <v>2735</v>
      </c>
      <c r="H6057" s="12">
        <v>2.3893468495514898</v>
      </c>
      <c r="I6057" s="20">
        <v>0.25323547253672701</v>
      </c>
      <c r="J6057" s="28">
        <v>0.80008625651646104</v>
      </c>
      <c r="K6057" s="29">
        <v>0.98289565623980701</v>
      </c>
    </row>
    <row r="6058" spans="1:11" x14ac:dyDescent="0.35">
      <c r="A6058" s="9" t="str">
        <f>HYPERLINK("http://www.ensembl.org/id/WBGene00219683", "WBGene00219683")</f>
        <v>WBGene00219683</v>
      </c>
      <c r="B6058" s="9"/>
      <c r="C6058" s="9"/>
      <c r="D6058" t="str">
        <f>"anr-32"</f>
        <v>anr-32</v>
      </c>
      <c r="F6058" t="s">
        <v>2735</v>
      </c>
      <c r="H6058" s="12">
        <v>-1.1043414558865901</v>
      </c>
      <c r="I6058" s="20">
        <v>-0.291936521238359</v>
      </c>
      <c r="J6058" s="28">
        <v>0.77033515926711205</v>
      </c>
      <c r="K6058" s="29">
        <v>0.98289565623980701</v>
      </c>
    </row>
    <row r="6059" spans="1:11" x14ac:dyDescent="0.35">
      <c r="A6059" s="9" t="str">
        <f>HYPERLINK("http://www.ensembl.org/id/WBGene00219701", "WBGene00219701")</f>
        <v>WBGene00219701</v>
      </c>
      <c r="B6059" s="9"/>
      <c r="C6059" s="9"/>
      <c r="D6059" t="str">
        <f>"anr-34"</f>
        <v>anr-34</v>
      </c>
      <c r="F6059" t="s">
        <v>2735</v>
      </c>
      <c r="H6059" s="12">
        <v>1.4543596071479401</v>
      </c>
      <c r="I6059" s="20">
        <v>0.53265895039405697</v>
      </c>
      <c r="J6059" s="28">
        <v>0.59426968680305603</v>
      </c>
      <c r="K6059" s="29">
        <v>0.98289565623980701</v>
      </c>
    </row>
    <row r="6060" spans="1:11" x14ac:dyDescent="0.35">
      <c r="A6060" s="9" t="str">
        <f>HYPERLINK("http://www.ensembl.org/id/WBGene00219589", "WBGene00219589")</f>
        <v>WBGene00219589</v>
      </c>
      <c r="B6060" s="9"/>
      <c r="C6060" s="9"/>
      <c r="D6060" t="str">
        <f>"anr-35"</f>
        <v>anr-35</v>
      </c>
      <c r="F6060" t="s">
        <v>2735</v>
      </c>
      <c r="H6060" s="12">
        <v>1.5841830827679799</v>
      </c>
      <c r="I6060" s="20">
        <v>1.13439714094862</v>
      </c>
      <c r="J6060" s="28">
        <v>0.25662799781809398</v>
      </c>
      <c r="K6060" s="29">
        <v>0.98289565623980701</v>
      </c>
    </row>
    <row r="6061" spans="1:11" x14ac:dyDescent="0.35">
      <c r="A6061" s="9" t="str">
        <f>HYPERLINK("http://www.ensembl.org/id/WBGene00219659", "WBGene00219659")</f>
        <v>WBGene00219659</v>
      </c>
      <c r="B6061" s="9"/>
      <c r="C6061" s="9"/>
      <c r="D6061" t="str">
        <f>"anr-36"</f>
        <v>anr-36</v>
      </c>
      <c r="F6061" t="s">
        <v>2735</v>
      </c>
      <c r="H6061" s="12">
        <v>-1.2373121099603199</v>
      </c>
      <c r="I6061" s="20">
        <v>-0.67944794612627202</v>
      </c>
      <c r="J6061" s="28">
        <v>0.496854079190235</v>
      </c>
      <c r="K6061" s="29">
        <v>0.98289565623980701</v>
      </c>
    </row>
    <row r="6062" spans="1:11" x14ac:dyDescent="0.35">
      <c r="A6062" s="9" t="str">
        <f>HYPERLINK("http://www.ensembl.org/id/WBGene00219631", "WBGene00219631")</f>
        <v>WBGene00219631</v>
      </c>
      <c r="B6062" s="9"/>
      <c r="C6062" s="9"/>
      <c r="D6062" t="str">
        <f>"anr-37"</f>
        <v>anr-37</v>
      </c>
      <c r="F6062" t="s">
        <v>2735</v>
      </c>
      <c r="H6062" s="12">
        <v>5.8167546518197897</v>
      </c>
      <c r="I6062" s="20">
        <v>0.64169808733842404</v>
      </c>
      <c r="J6062" s="28">
        <v>0.52106923135193595</v>
      </c>
      <c r="K6062" s="29">
        <v>0.98289565623980701</v>
      </c>
    </row>
    <row r="6063" spans="1:11" x14ac:dyDescent="0.35">
      <c r="A6063" s="9" t="str">
        <f>HYPERLINK("http://www.ensembl.org/id/WBGene00219703", "WBGene00219703")</f>
        <v>WBGene00219703</v>
      </c>
      <c r="B6063" s="9"/>
      <c r="C6063" s="9"/>
      <c r="D6063" t="str">
        <f>"anr-38"</f>
        <v>anr-38</v>
      </c>
      <c r="F6063" t="s">
        <v>2735</v>
      </c>
      <c r="H6063" s="12">
        <v>2.4368603831245501</v>
      </c>
      <c r="I6063" s="20">
        <v>0.53038040234436401</v>
      </c>
      <c r="J6063" s="28">
        <v>0.59584821095388996</v>
      </c>
      <c r="K6063" s="29">
        <v>0.98289565623980701</v>
      </c>
    </row>
    <row r="6064" spans="1:11" x14ac:dyDescent="0.35">
      <c r="A6064" s="9" t="str">
        <f>HYPERLINK("http://www.ensembl.org/id/WBGene00219744", "WBGene00219744")</f>
        <v>WBGene00219744</v>
      </c>
      <c r="B6064" s="9"/>
      <c r="C6064" s="9"/>
      <c r="D6064" t="str">
        <f>"anr-41"</f>
        <v>anr-41</v>
      </c>
      <c r="F6064" t="s">
        <v>2735</v>
      </c>
      <c r="H6064" s="12">
        <v>2.3893468495514898</v>
      </c>
      <c r="I6064" s="20">
        <v>0.25323547253672701</v>
      </c>
      <c r="J6064" s="28">
        <v>0.80008625651646104</v>
      </c>
      <c r="K6064" s="29">
        <v>0.98289565623980701</v>
      </c>
    </row>
    <row r="6065" spans="1:11" x14ac:dyDescent="0.35">
      <c r="A6065" s="9" t="str">
        <f>HYPERLINK("http://www.ensembl.org/id/WBGene00219583", "WBGene00219583")</f>
        <v>WBGene00219583</v>
      </c>
      <c r="B6065" s="9"/>
      <c r="C6065" s="9"/>
      <c r="D6065" t="str">
        <f>"anr-43"</f>
        <v>anr-43</v>
      </c>
      <c r="F6065" t="s">
        <v>2735</v>
      </c>
      <c r="H6065" s="12">
        <v>1.9512900832218101</v>
      </c>
      <c r="I6065" s="20">
        <v>0.51654573462868902</v>
      </c>
      <c r="J6065" s="28">
        <v>0.60547330509422004</v>
      </c>
      <c r="K6065" s="29">
        <v>0.98289565623980701</v>
      </c>
    </row>
    <row r="6066" spans="1:11" x14ac:dyDescent="0.35">
      <c r="A6066" s="9" t="str">
        <f>HYPERLINK("http://www.ensembl.org/id/WBGene00219729", "WBGene00219729")</f>
        <v>WBGene00219729</v>
      </c>
      <c r="B6066" s="9"/>
      <c r="C6066" s="9"/>
      <c r="D6066" t="str">
        <f>"anr-44"</f>
        <v>anr-44</v>
      </c>
      <c r="F6066" t="s">
        <v>2735</v>
      </c>
      <c r="H6066" s="12">
        <v>-2.4962595249044202</v>
      </c>
      <c r="I6066" s="20">
        <v>-0.72057937523261095</v>
      </c>
      <c r="J6066" s="28">
        <v>0.47116834718030598</v>
      </c>
      <c r="K6066" s="29">
        <v>0.98289565623980701</v>
      </c>
    </row>
    <row r="6067" spans="1:11" x14ac:dyDescent="0.35">
      <c r="A6067" s="9" t="str">
        <f>HYPERLINK("http://www.ensembl.org/id/WBGene00219710", "WBGene00219710")</f>
        <v>WBGene00219710</v>
      </c>
      <c r="B6067" s="9"/>
      <c r="C6067" s="9"/>
      <c r="D6067" t="str">
        <f>"anr-45"</f>
        <v>anr-45</v>
      </c>
      <c r="F6067" t="s">
        <v>2735</v>
      </c>
      <c r="H6067" s="12">
        <v>-1.2473270536905601</v>
      </c>
      <c r="I6067" s="20">
        <v>-0.49187498504910898</v>
      </c>
      <c r="J6067" s="28">
        <v>0.62280772310265997</v>
      </c>
      <c r="K6067" s="29">
        <v>0.98289565623980701</v>
      </c>
    </row>
    <row r="6068" spans="1:11" x14ac:dyDescent="0.35">
      <c r="A6068" s="9" t="str">
        <f>HYPERLINK("http://www.ensembl.org/id/WBGene00219621", "WBGene00219621")</f>
        <v>WBGene00219621</v>
      </c>
      <c r="B6068" s="9"/>
      <c r="C6068" s="9"/>
      <c r="D6068" t="str">
        <f>"anr-46"</f>
        <v>anr-46</v>
      </c>
      <c r="F6068" t="s">
        <v>2735</v>
      </c>
      <c r="H6068" s="12">
        <v>-4.0507796894090404</v>
      </c>
      <c r="I6068" s="20">
        <v>-0.473517207271621</v>
      </c>
      <c r="J6068" s="28">
        <v>0.63584422757043702</v>
      </c>
      <c r="K6068" s="29">
        <v>0.98289565623980701</v>
      </c>
    </row>
    <row r="6069" spans="1:11" x14ac:dyDescent="0.35">
      <c r="A6069" s="9" t="str">
        <f>HYPERLINK("http://www.ensembl.org/id/WBGene00219764", "WBGene00219764")</f>
        <v>WBGene00219764</v>
      </c>
      <c r="B6069" s="9"/>
      <c r="C6069" s="9"/>
      <c r="D6069" t="str">
        <f>"anr-47"</f>
        <v>anr-47</v>
      </c>
      <c r="F6069" t="s">
        <v>2735</v>
      </c>
      <c r="H6069" s="12">
        <v>-2.4991590031922399</v>
      </c>
      <c r="I6069" s="20">
        <v>-0.26577412737581302</v>
      </c>
      <c r="J6069" s="28">
        <v>0.79041317015736101</v>
      </c>
      <c r="K6069" s="29">
        <v>0.98289565623980701</v>
      </c>
    </row>
    <row r="6070" spans="1:11" x14ac:dyDescent="0.35">
      <c r="A6070" s="9" t="str">
        <f>HYPERLINK("http://www.ensembl.org/id/WBGene00219656", "WBGene00219656")</f>
        <v>WBGene00219656</v>
      </c>
      <c r="B6070" s="9"/>
      <c r="C6070" s="9"/>
      <c r="D6070" t="str">
        <f>"anr-48"</f>
        <v>anr-48</v>
      </c>
      <c r="F6070" t="s">
        <v>2735</v>
      </c>
      <c r="H6070" s="12">
        <v>2.3893468495514898</v>
      </c>
      <c r="I6070" s="20">
        <v>0.25323547253672701</v>
      </c>
      <c r="J6070" s="28">
        <v>0.80008625651646104</v>
      </c>
      <c r="K6070" s="29">
        <v>0.98289565623980701</v>
      </c>
    </row>
    <row r="6071" spans="1:11" x14ac:dyDescent="0.35">
      <c r="A6071" s="9" t="str">
        <f>HYPERLINK("http://www.ensembl.org/id/WBGene00219752", "WBGene00219752")</f>
        <v>WBGene00219752</v>
      </c>
      <c r="B6071" s="9"/>
      <c r="C6071" s="9"/>
      <c r="D6071" t="str">
        <f>"anr-50"</f>
        <v>anr-50</v>
      </c>
      <c r="F6071" t="s">
        <v>2735</v>
      </c>
      <c r="H6071" s="12">
        <v>-3.7261494131482999</v>
      </c>
      <c r="I6071" s="20">
        <v>-0.38454673129429601</v>
      </c>
      <c r="J6071" s="28">
        <v>0.70057326682554</v>
      </c>
      <c r="K6071" s="29">
        <v>0.98289565623980701</v>
      </c>
    </row>
    <row r="6072" spans="1:11" x14ac:dyDescent="0.35">
      <c r="A6072" s="9" t="str">
        <f>HYPERLINK("http://www.ensembl.org/id/WBGene00219610", "WBGene00219610")</f>
        <v>WBGene00219610</v>
      </c>
      <c r="B6072" s="9"/>
      <c r="C6072" s="9"/>
      <c r="D6072" t="str">
        <f>"anr-51"</f>
        <v>anr-51</v>
      </c>
      <c r="F6072" t="s">
        <v>2735</v>
      </c>
      <c r="H6072" s="12">
        <v>5.4058944669092801</v>
      </c>
      <c r="I6072" s="20">
        <v>0.49762513753689303</v>
      </c>
      <c r="J6072" s="28">
        <v>0.61874828254921799</v>
      </c>
      <c r="K6072" s="29">
        <v>0.98289565623980701</v>
      </c>
    </row>
    <row r="6073" spans="1:11" x14ac:dyDescent="0.35">
      <c r="A6073" s="9" t="str">
        <f>HYPERLINK("http://www.ensembl.org/id/WBGene00219642", "WBGene00219642")</f>
        <v>WBGene00219642</v>
      </c>
      <c r="B6073" s="9"/>
      <c r="C6073" s="9"/>
      <c r="D6073" t="str">
        <f>"anr-52"</f>
        <v>anr-52</v>
      </c>
      <c r="F6073" t="s">
        <v>2735</v>
      </c>
      <c r="H6073" s="12">
        <v>4.6295746904522899</v>
      </c>
      <c r="I6073" s="20">
        <v>0.58033316855468098</v>
      </c>
      <c r="J6073" s="28">
        <v>0.56168996399868099</v>
      </c>
      <c r="K6073" s="29">
        <v>0.98289565623980701</v>
      </c>
    </row>
    <row r="6074" spans="1:11" x14ac:dyDescent="0.35">
      <c r="A6074" s="9" t="str">
        <f>HYPERLINK("http://www.ensembl.org/id/WBGene00219772", "WBGene00219772")</f>
        <v>WBGene00219772</v>
      </c>
      <c r="B6074" s="9"/>
      <c r="C6074" s="9"/>
      <c r="D6074" t="str">
        <f>"anr-53"</f>
        <v>anr-53</v>
      </c>
      <c r="F6074" t="s">
        <v>2735</v>
      </c>
      <c r="H6074" s="12">
        <v>3.5227018545059199</v>
      </c>
      <c r="I6074" s="20">
        <v>0.36849691206929103</v>
      </c>
      <c r="J6074" s="28">
        <v>0.71250274722433404</v>
      </c>
      <c r="K6074" s="29">
        <v>0.98289565623980701</v>
      </c>
    </row>
    <row r="6075" spans="1:11" x14ac:dyDescent="0.35">
      <c r="A6075" s="9" t="str">
        <f>HYPERLINK("http://www.ensembl.org/id/WBGene00219672", "WBGene00219672")</f>
        <v>WBGene00219672</v>
      </c>
      <c r="B6075" s="9"/>
      <c r="C6075" s="9"/>
      <c r="D6075" t="str">
        <f>"anr-54"</f>
        <v>anr-54</v>
      </c>
      <c r="F6075" t="s">
        <v>2735</v>
      </c>
      <c r="H6075" s="12">
        <v>-8.0014360469151899</v>
      </c>
      <c r="I6075" s="20">
        <v>-0.61746222315259702</v>
      </c>
      <c r="J6075" s="28">
        <v>0.536929891129723</v>
      </c>
      <c r="K6075" s="29">
        <v>0.98289565623980701</v>
      </c>
    </row>
    <row r="6076" spans="1:11" x14ac:dyDescent="0.35">
      <c r="A6076" s="9" t="str">
        <f>HYPERLINK("http://www.ensembl.org/id/WBGene00219633", "WBGene00219633")</f>
        <v>WBGene00219633</v>
      </c>
      <c r="B6076" s="9"/>
      <c r="C6076" s="9"/>
      <c r="D6076" t="str">
        <f>"anr-55"</f>
        <v>anr-55</v>
      </c>
      <c r="F6076" t="s">
        <v>2735</v>
      </c>
      <c r="H6076" s="12">
        <v>-3.7261494131482999</v>
      </c>
      <c r="I6076" s="20">
        <v>-0.38454673129429601</v>
      </c>
      <c r="J6076" s="28">
        <v>0.70057326682554</v>
      </c>
      <c r="K6076" s="29">
        <v>0.98289565623980701</v>
      </c>
    </row>
    <row r="6077" spans="1:11" x14ac:dyDescent="0.35">
      <c r="A6077" s="9" t="str">
        <f>HYPERLINK("http://www.ensembl.org/id/WBGene00219759", "WBGene00219759")</f>
        <v>WBGene00219759</v>
      </c>
      <c r="B6077" s="9"/>
      <c r="C6077" s="9"/>
      <c r="D6077" t="str">
        <f>"anr-58"</f>
        <v>anr-58</v>
      </c>
      <c r="F6077" t="s">
        <v>2735</v>
      </c>
      <c r="H6077" s="12">
        <v>-3.40517997462055</v>
      </c>
      <c r="I6077" s="20">
        <v>-0.44562966553438899</v>
      </c>
      <c r="J6077" s="28">
        <v>0.65586477808227595</v>
      </c>
      <c r="K6077" s="29">
        <v>0.98289565623980701</v>
      </c>
    </row>
    <row r="6078" spans="1:11" x14ac:dyDescent="0.35">
      <c r="A6078" s="9" t="str">
        <f>HYPERLINK("http://www.ensembl.org/id/WBGene00219681", "WBGene00219681")</f>
        <v>WBGene00219681</v>
      </c>
      <c r="B6078" s="9"/>
      <c r="C6078" s="9"/>
      <c r="D6078" t="str">
        <f>"anr-6"</f>
        <v>anr-6</v>
      </c>
      <c r="F6078" t="s">
        <v>2735</v>
      </c>
      <c r="H6078" s="12">
        <v>-1.3874361528950201</v>
      </c>
      <c r="I6078" s="20">
        <v>-0.30981960206461201</v>
      </c>
      <c r="J6078" s="28">
        <v>0.75669814428994098</v>
      </c>
      <c r="K6078" s="29">
        <v>0.98289565623980701</v>
      </c>
    </row>
    <row r="6079" spans="1:11" x14ac:dyDescent="0.35">
      <c r="A6079" s="9" t="str">
        <f>HYPERLINK("http://www.ensembl.org/id/WBGene00219607", "WBGene00219607")</f>
        <v>WBGene00219607</v>
      </c>
      <c r="B6079" s="9"/>
      <c r="C6079" s="9"/>
      <c r="D6079" t="str">
        <f>"anr-7"</f>
        <v>anr-7</v>
      </c>
      <c r="F6079" t="s">
        <v>2735</v>
      </c>
      <c r="H6079" s="12">
        <v>2.3023301924467101</v>
      </c>
      <c r="I6079" s="20">
        <v>0.26674601818072902</v>
      </c>
      <c r="J6079" s="28">
        <v>0.78966471981773201</v>
      </c>
      <c r="K6079" s="29">
        <v>0.98289565623980701</v>
      </c>
    </row>
    <row r="6080" spans="1:11" x14ac:dyDescent="0.35">
      <c r="A6080" s="9" t="str">
        <f>HYPERLINK("http://www.ensembl.org/id/WBGene00219575", "WBGene00219575")</f>
        <v>WBGene00219575</v>
      </c>
      <c r="B6080" s="9"/>
      <c r="C6080" s="9"/>
      <c r="D6080" t="str">
        <f>"anr-8"</f>
        <v>anr-8</v>
      </c>
      <c r="F6080" t="s">
        <v>2735</v>
      </c>
      <c r="H6080" s="12">
        <v>1.72223565714375</v>
      </c>
      <c r="I6080" s="20">
        <v>1.0219620267834999</v>
      </c>
      <c r="J6080" s="28">
        <v>0.30679887334671002</v>
      </c>
      <c r="K6080" s="29">
        <v>0.98289565623980701</v>
      </c>
    </row>
    <row r="6081" spans="1:11" x14ac:dyDescent="0.35">
      <c r="A6081" s="9" t="str">
        <f>HYPERLINK("http://www.ensembl.org/id/WBGene00219568", "WBGene00219568")</f>
        <v>WBGene00219568</v>
      </c>
      <c r="B6081" s="9"/>
      <c r="C6081" s="9"/>
      <c r="D6081" t="str">
        <f>"anr-9"</f>
        <v>anr-9</v>
      </c>
      <c r="F6081" t="s">
        <v>2735</v>
      </c>
      <c r="H6081" s="12">
        <v>3.3685843309455601</v>
      </c>
      <c r="I6081" s="20">
        <v>0.67795302115249301</v>
      </c>
      <c r="J6081" s="28">
        <v>0.49780148045330702</v>
      </c>
      <c r="K6081" s="29">
        <v>0.98289565623980701</v>
      </c>
    </row>
    <row r="6082" spans="1:11" x14ac:dyDescent="0.35">
      <c r="A6082" s="9" t="str">
        <f>HYPERLINK("http://www.ensembl.org/id/WBGene00006439", "WBGene00006439")</f>
        <v>WBGene00006439</v>
      </c>
      <c r="B6082" s="9" t="str">
        <f>HYPERLINK("http://www.ncbi.nlm.nih.gov/gene/176773", "176773")</f>
        <v>176773</v>
      </c>
      <c r="C6082" s="9" t="str">
        <f>HYPERLINK("http://www.ncbi.nlm.nih.gov/gene/293", "293")</f>
        <v>293</v>
      </c>
      <c r="D6082" t="str">
        <f>"ant-1.1"</f>
        <v>ant-1.1</v>
      </c>
      <c r="E6082" t="s">
        <v>4676</v>
      </c>
      <c r="F6082" t="s">
        <v>11</v>
      </c>
      <c r="G6082" t="s">
        <v>7791</v>
      </c>
      <c r="H6082" s="12">
        <v>-1.1448888238372401</v>
      </c>
      <c r="I6082" s="20">
        <v>-0.73952101679246396</v>
      </c>
      <c r="J6082" s="28">
        <v>0.459590682576827</v>
      </c>
      <c r="K6082" s="29">
        <v>0.98289565623980701</v>
      </c>
    </row>
    <row r="6083" spans="1:11" x14ac:dyDescent="0.35">
      <c r="A6083" s="9" t="str">
        <f>HYPERLINK("http://www.ensembl.org/id/WBGene00007057", "WBGene00007057")</f>
        <v>WBGene00007057</v>
      </c>
      <c r="B6083" s="9" t="str">
        <f>HYPERLINK("http://www.ncbi.nlm.nih.gov/gene/189112", "189112")</f>
        <v>189112</v>
      </c>
      <c r="C6083" s="9" t="str">
        <f>HYPERLINK("http://www.ncbi.nlm.nih.gov/gene/293", "293")</f>
        <v>293</v>
      </c>
      <c r="D6083" t="str">
        <f>"ant-1.2"</f>
        <v>ant-1.2</v>
      </c>
      <c r="E6083" t="s">
        <v>4676</v>
      </c>
      <c r="F6083" t="s">
        <v>11</v>
      </c>
      <c r="G6083" t="s">
        <v>4529</v>
      </c>
      <c r="H6083" s="12">
        <v>1.50881092012053</v>
      </c>
      <c r="I6083" s="20">
        <v>0.31972151179047398</v>
      </c>
      <c r="J6083" s="28">
        <v>0.74917945102278904</v>
      </c>
      <c r="K6083" s="29">
        <v>0.98289565623980701</v>
      </c>
    </row>
    <row r="6084" spans="1:11" x14ac:dyDescent="0.35">
      <c r="A6084" s="9" t="str">
        <f>HYPERLINK("http://www.ensembl.org/id/WBGene00020140", "WBGene00020140")</f>
        <v>WBGene00020140</v>
      </c>
      <c r="B6084" s="9" t="str">
        <f>HYPERLINK("http://www.ncbi.nlm.nih.gov/gene/177648", "177648")</f>
        <v>177648</v>
      </c>
      <c r="C6084" s="9" t="str">
        <f>HYPERLINK("http://www.ncbi.nlm.nih.gov/gene/293", "293")</f>
        <v>293</v>
      </c>
      <c r="D6084" t="str">
        <f>"ant-1.4"</f>
        <v>ant-1.4</v>
      </c>
      <c r="E6084" t="s">
        <v>4528</v>
      </c>
      <c r="F6084" t="s">
        <v>11</v>
      </c>
      <c r="G6084" t="s">
        <v>4529</v>
      </c>
      <c r="H6084" s="12">
        <v>1.7669482925053299</v>
      </c>
      <c r="I6084" s="20">
        <v>1.0264920498269601</v>
      </c>
      <c r="J6084" s="28">
        <v>0.304659709123967</v>
      </c>
      <c r="K6084" s="29">
        <v>0.98289565623980701</v>
      </c>
    </row>
    <row r="6085" spans="1:11" x14ac:dyDescent="0.35">
      <c r="A6085" s="9" t="str">
        <f>HYPERLINK("http://www.ensembl.org/id/WBGene00000163", "WBGene00000163")</f>
        <v>WBGene00000163</v>
      </c>
      <c r="B6085" s="9" t="str">
        <f>HYPERLINK("http://www.ncbi.nlm.nih.gov/gene/172553", "172553")</f>
        <v>172553</v>
      </c>
      <c r="C6085" s="9"/>
      <c r="D6085" t="str">
        <f>"apb-3"</f>
        <v>apb-3</v>
      </c>
      <c r="E6085" t="s">
        <v>7849</v>
      </c>
      <c r="F6085" t="s">
        <v>11</v>
      </c>
      <c r="G6085" t="s">
        <v>7850</v>
      </c>
      <c r="H6085" s="12">
        <v>-1.1480175597767399</v>
      </c>
      <c r="I6085" s="20">
        <v>-0.74295893622293896</v>
      </c>
      <c r="J6085" s="28">
        <v>0.45750654206489999</v>
      </c>
      <c r="K6085" s="29">
        <v>0.98289565623980701</v>
      </c>
    </row>
    <row r="6086" spans="1:11" x14ac:dyDescent="0.35">
      <c r="A6086" s="9" t="str">
        <f>HYPERLINK("http://www.ensembl.org/id/WBGene00000145", "WBGene00000145")</f>
        <v>WBGene00000145</v>
      </c>
      <c r="B6086" s="9" t="str">
        <f>HYPERLINK("http://www.ncbi.nlm.nih.gov/gene/175604", "175604")</f>
        <v>175604</v>
      </c>
      <c r="C6086" s="9"/>
      <c r="D6086" t="str">
        <f>"apc-11"</f>
        <v>apc-11</v>
      </c>
      <c r="E6086" t="s">
        <v>7778</v>
      </c>
      <c r="F6086" t="s">
        <v>11</v>
      </c>
      <c r="G6086" t="s">
        <v>7779</v>
      </c>
      <c r="H6086" s="12">
        <v>-1.14424904845014</v>
      </c>
      <c r="I6086" s="20">
        <v>-0.55982270359493003</v>
      </c>
      <c r="J6086" s="28">
        <v>0.57560037608564196</v>
      </c>
      <c r="K6086" s="29">
        <v>0.98289565623980701</v>
      </c>
    </row>
    <row r="6087" spans="1:11" x14ac:dyDescent="0.35">
      <c r="A6087" s="9" t="str">
        <f>HYPERLINK("http://www.ensembl.org/id/WBGene00007501", "WBGene00007501")</f>
        <v>WBGene00007501</v>
      </c>
      <c r="B6087" s="9" t="str">
        <f>HYPERLINK("http://www.ncbi.nlm.nih.gov/gene/182479", "182479")</f>
        <v>182479</v>
      </c>
      <c r="C6087" s="9"/>
      <c r="D6087" t="str">
        <f>"apc-17"</f>
        <v>apc-17</v>
      </c>
      <c r="E6087" t="s">
        <v>9886</v>
      </c>
      <c r="F6087" t="s">
        <v>11</v>
      </c>
      <c r="G6087" t="s">
        <v>9887</v>
      </c>
      <c r="H6087" s="12">
        <v>-1.3500614455596001</v>
      </c>
      <c r="I6087" s="20">
        <v>-0.99496441883745201</v>
      </c>
      <c r="J6087" s="28">
        <v>0.31975356995196003</v>
      </c>
      <c r="K6087" s="29">
        <v>0.98289565623980701</v>
      </c>
    </row>
    <row r="6088" spans="1:11" x14ac:dyDescent="0.35">
      <c r="A6088" s="9" t="str">
        <f>HYPERLINK("http://www.ensembl.org/id/WBGene00000162", "WBGene00000162")</f>
        <v>WBGene00000162</v>
      </c>
      <c r="B6088" s="9" t="str">
        <f>HYPERLINK("http://www.ncbi.nlm.nih.gov/gene/173701", "173701")</f>
        <v>173701</v>
      </c>
      <c r="C6088" s="9"/>
      <c r="D6088" t="str">
        <f>"apd-3"</f>
        <v>apd-3</v>
      </c>
      <c r="E6088" t="s">
        <v>6066</v>
      </c>
      <c r="F6088" t="s">
        <v>11</v>
      </c>
      <c r="G6088" t="s">
        <v>6067</v>
      </c>
      <c r="H6088" s="12">
        <v>1.06581417830155</v>
      </c>
      <c r="I6088" s="20">
        <v>0.33695915149301198</v>
      </c>
      <c r="J6088" s="28">
        <v>0.73614769353143705</v>
      </c>
      <c r="K6088" s="29">
        <v>0.98289565623980701</v>
      </c>
    </row>
    <row r="6089" spans="1:11" x14ac:dyDescent="0.35">
      <c r="A6089" s="9" t="str">
        <f>HYPERLINK("http://www.ensembl.org/id/WBGene00000146", "WBGene00000146")</f>
        <v>WBGene00000146</v>
      </c>
      <c r="B6089" s="9" t="str">
        <f>HYPERLINK("http://www.ncbi.nlm.nih.gov/gene/179601", "179601")</f>
        <v>179601</v>
      </c>
      <c r="C6089" s="9"/>
      <c r="D6089" t="str">
        <f>"ape-1"</f>
        <v>ape-1</v>
      </c>
      <c r="E6089" t="s">
        <v>6957</v>
      </c>
      <c r="F6089" t="s">
        <v>11</v>
      </c>
      <c r="G6089" t="s">
        <v>54</v>
      </c>
      <c r="H6089" s="12">
        <v>-1.1000362186358099</v>
      </c>
      <c r="I6089" s="20">
        <v>-0.51945595693743796</v>
      </c>
      <c r="J6089" s="28">
        <v>0.60344281858498405</v>
      </c>
      <c r="K6089" s="29">
        <v>0.98289565623980701</v>
      </c>
    </row>
    <row r="6090" spans="1:11" x14ac:dyDescent="0.35">
      <c r="A6090" s="9" t="str">
        <f>HYPERLINK("http://www.ensembl.org/id/WBGene00000158", "WBGene00000158")</f>
        <v>WBGene00000158</v>
      </c>
      <c r="B6090" s="9" t="str">
        <f>HYPERLINK("http://www.ncbi.nlm.nih.gov/gene/173304", "173304")</f>
        <v>173304</v>
      </c>
      <c r="C6090" s="9" t="str">
        <f>HYPERLINK("http://www.ncbi.nlm.nih.gov/gene/164", "164")</f>
        <v>164</v>
      </c>
      <c r="D6090" t="str">
        <f>"apg-1"</f>
        <v>apg-1</v>
      </c>
      <c r="E6090" t="s">
        <v>6533</v>
      </c>
      <c r="F6090" t="s">
        <v>11</v>
      </c>
      <c r="G6090" t="s">
        <v>6534</v>
      </c>
      <c r="H6090" s="12">
        <v>-1.0744454650302699</v>
      </c>
      <c r="I6090" s="20">
        <v>-0.39001493694007899</v>
      </c>
      <c r="J6090" s="28">
        <v>0.69652550175968098</v>
      </c>
      <c r="K6090" s="29">
        <v>0.98289565623980701</v>
      </c>
    </row>
    <row r="6091" spans="1:11" x14ac:dyDescent="0.35">
      <c r="A6091" s="9" t="str">
        <f>HYPERLINK("http://www.ensembl.org/id/WBGene00000150", "WBGene00000150")</f>
        <v>WBGene00000150</v>
      </c>
      <c r="B6091" s="9" t="str">
        <f>HYPERLINK("http://www.ncbi.nlm.nih.gov/gene/172180", "172180")</f>
        <v>172180</v>
      </c>
      <c r="C6091" s="9" t="str">
        <f>HYPERLINK("http://www.ncbi.nlm.nih.gov/gene/10053", "10053")</f>
        <v>10053</v>
      </c>
      <c r="D6091" t="str">
        <f>"apm-1"</f>
        <v>apm-1</v>
      </c>
      <c r="E6091" t="s">
        <v>5992</v>
      </c>
      <c r="F6091" t="s">
        <v>11</v>
      </c>
      <c r="G6091" t="s">
        <v>6741</v>
      </c>
      <c r="H6091" s="12">
        <v>-1.0866548304867401</v>
      </c>
      <c r="I6091" s="20">
        <v>-0.43981013877747999</v>
      </c>
      <c r="J6091" s="28">
        <v>0.66007462380725601</v>
      </c>
      <c r="K6091" s="29">
        <v>0.98289565623980701</v>
      </c>
    </row>
    <row r="6092" spans="1:11" x14ac:dyDescent="0.35">
      <c r="A6092" s="9" t="str">
        <f>HYPERLINK("http://www.ensembl.org/id/WBGene00000164", "WBGene00000164")</f>
        <v>WBGene00000164</v>
      </c>
      <c r="B6092" s="9" t="str">
        <f>HYPERLINK("http://www.ncbi.nlm.nih.gov/gene/186194", "186194")</f>
        <v>186194</v>
      </c>
      <c r="C6092" s="9" t="str">
        <f>HYPERLINK("http://www.ncbi.nlm.nih.gov/gene/26985", "26985")</f>
        <v>26985</v>
      </c>
      <c r="D6092" t="str">
        <f>"apm-3"</f>
        <v>apm-3</v>
      </c>
      <c r="E6092" t="s">
        <v>5992</v>
      </c>
      <c r="F6092" t="s">
        <v>11</v>
      </c>
      <c r="G6092" t="s">
        <v>5993</v>
      </c>
      <c r="H6092" s="12">
        <v>1.0752925690388899</v>
      </c>
      <c r="I6092" s="20">
        <v>0.31491076798866202</v>
      </c>
      <c r="J6092" s="28">
        <v>0.75282940559864198</v>
      </c>
      <c r="K6092" s="29">
        <v>0.98289565623980701</v>
      </c>
    </row>
    <row r="6093" spans="1:11" x14ac:dyDescent="0.35">
      <c r="A6093" s="9" t="str">
        <f>HYPERLINK("http://www.ensembl.org/id/WBGene00000151", "WBGene00000151")</f>
        <v>WBGene00000151</v>
      </c>
      <c r="B6093" s="9" t="str">
        <f>HYPERLINK("http://www.ncbi.nlm.nih.gov/gene/174291", "174291")</f>
        <v>174291</v>
      </c>
      <c r="C6093" s="9"/>
      <c r="D6093" t="str">
        <f>"apn-1"</f>
        <v>apn-1</v>
      </c>
      <c r="E6093" t="s">
        <v>2537</v>
      </c>
      <c r="F6093" t="s">
        <v>11</v>
      </c>
      <c r="G6093" t="s">
        <v>8138</v>
      </c>
      <c r="H6093" s="12">
        <v>-1.16206626667434</v>
      </c>
      <c r="I6093" s="20">
        <v>-0.737251504033272</v>
      </c>
      <c r="J6093" s="28">
        <v>0.46096941780816397</v>
      </c>
      <c r="K6093" s="29">
        <v>0.98289565623980701</v>
      </c>
    </row>
    <row r="6094" spans="1:11" x14ac:dyDescent="0.35">
      <c r="A6094" s="9" t="str">
        <f>HYPERLINK("http://www.ensembl.org/id/WBGene00000156", "WBGene00000156")</f>
        <v>WBGene00000156</v>
      </c>
      <c r="B6094" s="9" t="str">
        <f>HYPERLINK("http://www.ncbi.nlm.nih.gov/gene/172591", "172591")</f>
        <v>172591</v>
      </c>
      <c r="C6094" s="9"/>
      <c r="D6094" t="str">
        <f>"apr-1"</f>
        <v>apr-1</v>
      </c>
      <c r="E6094" t="s">
        <v>7594</v>
      </c>
      <c r="F6094" t="s">
        <v>11</v>
      </c>
      <c r="G6094" t="s">
        <v>7595</v>
      </c>
      <c r="H6094" s="12">
        <v>-1.13482194521571</v>
      </c>
      <c r="I6094" s="20">
        <v>-0.60221297245212102</v>
      </c>
      <c r="J6094" s="28">
        <v>0.54703238166629498</v>
      </c>
      <c r="K6094" s="29">
        <v>0.98289565623980701</v>
      </c>
    </row>
    <row r="6095" spans="1:11" x14ac:dyDescent="0.35">
      <c r="A6095" s="9" t="str">
        <f>HYPERLINK("http://www.ensembl.org/id/WBGene00000165", "WBGene00000165")</f>
        <v>WBGene00000165</v>
      </c>
      <c r="B6095" s="9" t="str">
        <f>HYPERLINK("http://www.ncbi.nlm.nih.gov/gene/171691", "171691")</f>
        <v>171691</v>
      </c>
      <c r="C6095" s="9" t="str">
        <f>HYPERLINK("http://www.ncbi.nlm.nih.gov/gene/10239", "10239")</f>
        <v>10239</v>
      </c>
      <c r="D6095" t="str">
        <f>"aps-3"</f>
        <v>aps-3</v>
      </c>
      <c r="E6095" t="s">
        <v>7998</v>
      </c>
      <c r="F6095" t="s">
        <v>11</v>
      </c>
      <c r="G6095" t="s">
        <v>7999</v>
      </c>
      <c r="H6095" s="12">
        <v>-1.1550636674457799</v>
      </c>
      <c r="I6095" s="20">
        <v>-0.73907174970969403</v>
      </c>
      <c r="J6095" s="28">
        <v>0.45986343012146402</v>
      </c>
      <c r="K6095" s="29">
        <v>0.98289565623980701</v>
      </c>
    </row>
    <row r="6096" spans="1:11" x14ac:dyDescent="0.35">
      <c r="A6096" s="9" t="str">
        <f>HYPERLINK("http://www.ensembl.org/id/WBGene00019424", "WBGene00019424")</f>
        <v>WBGene00019424</v>
      </c>
      <c r="B6096" s="9" t="str">
        <f>HYPERLINK("http://www.ncbi.nlm.nih.gov/gene/187043", "187043")</f>
        <v>187043</v>
      </c>
      <c r="C6096" s="9"/>
      <c r="D6096" t="str">
        <f>"aptf-1"</f>
        <v>aptf-1</v>
      </c>
      <c r="E6096" t="s">
        <v>4606</v>
      </c>
      <c r="F6096" t="s">
        <v>11</v>
      </c>
      <c r="G6096" t="s">
        <v>4607</v>
      </c>
      <c r="H6096" s="12">
        <v>1.6127764048234901</v>
      </c>
      <c r="I6096" s="20">
        <v>0.89782880544555999</v>
      </c>
      <c r="J6096" s="28">
        <v>0.36927682512508397</v>
      </c>
      <c r="K6096" s="29">
        <v>0.98289565623980701</v>
      </c>
    </row>
    <row r="6097" spans="1:11" x14ac:dyDescent="0.35">
      <c r="A6097" s="9" t="str">
        <f>HYPERLINK("http://www.ensembl.org/id/WBGene00013383", "WBGene00013383")</f>
        <v>WBGene00013383</v>
      </c>
      <c r="B6097" s="9" t="str">
        <f>HYPERLINK("http://www.ncbi.nlm.nih.gov/gene/190458", "190458")</f>
        <v>190458</v>
      </c>
      <c r="C6097" s="9"/>
      <c r="D6097" t="str">
        <f>"aptf-2"</f>
        <v>aptf-2</v>
      </c>
      <c r="E6097" t="s">
        <v>479</v>
      </c>
      <c r="F6097" t="s">
        <v>11</v>
      </c>
      <c r="G6097" t="s">
        <v>9758</v>
      </c>
      <c r="H6097" s="12">
        <v>-1.29522737443978</v>
      </c>
      <c r="I6097" s="20">
        <v>-0.86527179352804295</v>
      </c>
      <c r="J6097" s="28">
        <v>0.38688962853021103</v>
      </c>
      <c r="K6097" s="29">
        <v>0.98289565623980701</v>
      </c>
    </row>
    <row r="6098" spans="1:11" x14ac:dyDescent="0.35">
      <c r="A6098" s="9" t="str">
        <f>HYPERLINK("http://www.ensembl.org/id/WBGene00009202", "WBGene00009202")</f>
        <v>WBGene00009202</v>
      </c>
      <c r="B6098" s="9" t="str">
        <f>HYPERLINK("http://www.ncbi.nlm.nih.gov/gene/174376", "174376")</f>
        <v>174376</v>
      </c>
      <c r="C6098" s="9"/>
      <c r="D6098" t="str">
        <f>"aptf-4"</f>
        <v>aptf-4</v>
      </c>
      <c r="E6098" t="s">
        <v>479</v>
      </c>
      <c r="F6098" t="s">
        <v>11</v>
      </c>
      <c r="G6098" t="s">
        <v>480</v>
      </c>
      <c r="H6098" s="12">
        <v>-1.32244268158852</v>
      </c>
      <c r="I6098" s="20">
        <v>-0.67131106367895599</v>
      </c>
      <c r="J6098" s="28">
        <v>0.50202238802685795</v>
      </c>
      <c r="K6098" s="29">
        <v>0.98289565623980701</v>
      </c>
    </row>
    <row r="6099" spans="1:11" x14ac:dyDescent="0.35">
      <c r="A6099" s="9" t="str">
        <f>HYPERLINK("http://www.ensembl.org/id/WBGene00017244", "WBGene00017244")</f>
        <v>WBGene00017244</v>
      </c>
      <c r="B6099" s="9" t="str">
        <f>HYPERLINK("http://www.ncbi.nlm.nih.gov/gene/181019", "181019")</f>
        <v>181019</v>
      </c>
      <c r="C6099" s="9" t="str">
        <f>HYPERLINK("http://www.ncbi.nlm.nih.gov/gene/124583", "124583")</f>
        <v>124583</v>
      </c>
      <c r="D6099" t="str">
        <f>"apy-1"</f>
        <v>apy-1</v>
      </c>
      <c r="E6099" t="s">
        <v>5889</v>
      </c>
      <c r="F6099" t="s">
        <v>11</v>
      </c>
      <c r="G6099" t="s">
        <v>5890</v>
      </c>
      <c r="H6099" s="12">
        <v>1.0888107383324801</v>
      </c>
      <c r="I6099" s="20">
        <v>0.44734373178616599</v>
      </c>
      <c r="J6099" s="28">
        <v>0.65462689610536695</v>
      </c>
      <c r="K6099" s="29">
        <v>0.98289565623980701</v>
      </c>
    </row>
    <row r="6100" spans="1:11" x14ac:dyDescent="0.35">
      <c r="A6100" s="9" t="str">
        <f>HYPERLINK("http://www.ensembl.org/id/WBGene00000179", "WBGene00000179")</f>
        <v>WBGene00000179</v>
      </c>
      <c r="B6100" s="9" t="str">
        <f>HYPERLINK("http://www.ncbi.nlm.nih.gov/gene/191343", "191343")</f>
        <v>191343</v>
      </c>
      <c r="C6100" s="9"/>
      <c r="D6100" t="str">
        <f>"aqp-11"</f>
        <v>aqp-11</v>
      </c>
      <c r="E6100" t="s">
        <v>5361</v>
      </c>
      <c r="F6100" t="s">
        <v>11</v>
      </c>
      <c r="G6100" t="s">
        <v>5362</v>
      </c>
      <c r="H6100" s="12">
        <v>1.1376870315954499</v>
      </c>
      <c r="I6100" s="20">
        <v>0.64017691650940201</v>
      </c>
      <c r="J6100" s="28">
        <v>0.52205758813541003</v>
      </c>
      <c r="K6100" s="29">
        <v>0.98289565623980701</v>
      </c>
    </row>
    <row r="6101" spans="1:11" x14ac:dyDescent="0.35">
      <c r="A6101" s="9" t="str">
        <f>HYPERLINK("http://www.ensembl.org/id/WBGene00013272", "WBGene00013272")</f>
        <v>WBGene00013272</v>
      </c>
      <c r="B6101" s="9" t="str">
        <f>HYPERLINK("http://www.ncbi.nlm.nih.gov/gene/3565789", "3565789")</f>
        <v>3565789</v>
      </c>
      <c r="C6101" s="9"/>
      <c r="D6101" t="str">
        <f>"aqp-12"</f>
        <v>aqp-12</v>
      </c>
      <c r="E6101" t="s">
        <v>379</v>
      </c>
      <c r="F6101" t="s">
        <v>11</v>
      </c>
      <c r="G6101" t="s">
        <v>4414</v>
      </c>
      <c r="H6101" s="12">
        <v>2.3227839586325101</v>
      </c>
      <c r="I6101" s="20">
        <v>0.52450113568424594</v>
      </c>
      <c r="J6101" s="28">
        <v>0.59993003011488499</v>
      </c>
      <c r="K6101" s="29">
        <v>0.98289565623980701</v>
      </c>
    </row>
    <row r="6102" spans="1:11" x14ac:dyDescent="0.35">
      <c r="A6102" s="9" t="str">
        <f>HYPERLINK("http://www.ensembl.org/id/WBGene00000171", "WBGene00000171")</f>
        <v>WBGene00000171</v>
      </c>
      <c r="B6102" s="9" t="str">
        <f>HYPERLINK("http://www.ncbi.nlm.nih.gov/gene/190553", "190553")</f>
        <v>190553</v>
      </c>
      <c r="C6102" s="9" t="str">
        <f>HYPERLINK("http://www.ncbi.nlm.nih.gov/gene/89872", "89872")</f>
        <v>89872</v>
      </c>
      <c r="D6102" t="str">
        <f>"aqp-3"</f>
        <v>aqp-3</v>
      </c>
      <c r="E6102" t="s">
        <v>379</v>
      </c>
      <c r="F6102" t="s">
        <v>11</v>
      </c>
      <c r="G6102" t="s">
        <v>4775</v>
      </c>
      <c r="H6102" s="12">
        <v>1.3898278412631599</v>
      </c>
      <c r="I6102" s="20">
        <v>0.727306043153226</v>
      </c>
      <c r="J6102" s="28">
        <v>0.46703849696148703</v>
      </c>
      <c r="K6102" s="29">
        <v>0.98289565623980701</v>
      </c>
    </row>
    <row r="6103" spans="1:11" x14ac:dyDescent="0.35">
      <c r="A6103" s="9" t="str">
        <f>HYPERLINK("http://www.ensembl.org/id/WBGene00000173", "WBGene00000173")</f>
        <v>WBGene00000173</v>
      </c>
      <c r="B6103" s="9" t="str">
        <f>HYPERLINK("http://www.ncbi.nlm.nih.gov/gene/183221", "183221")</f>
        <v>183221</v>
      </c>
      <c r="C6103" s="9" t="str">
        <f>HYPERLINK("http://www.ncbi.nlm.nih.gov/gene/343", "343")</f>
        <v>343</v>
      </c>
      <c r="D6103" t="str">
        <f>"aqp-5"</f>
        <v>aqp-5</v>
      </c>
      <c r="E6103" t="s">
        <v>379</v>
      </c>
      <c r="F6103" t="s">
        <v>11</v>
      </c>
      <c r="G6103" t="s">
        <v>4832</v>
      </c>
      <c r="H6103" s="12">
        <v>1.3442697230937599</v>
      </c>
      <c r="I6103" s="20">
        <v>0.35344760246794099</v>
      </c>
      <c r="J6103" s="28">
        <v>0.72375290408224402</v>
      </c>
      <c r="K6103" s="29">
        <v>0.98289565623980701</v>
      </c>
    </row>
    <row r="6104" spans="1:11" x14ac:dyDescent="0.35">
      <c r="A6104" s="9" t="str">
        <f>HYPERLINK("http://www.ensembl.org/id/WBGene00000174", "WBGene00000174")</f>
        <v>WBGene00000174</v>
      </c>
      <c r="B6104" s="9" t="str">
        <f>HYPERLINK("http://www.ncbi.nlm.nih.gov/gene/183121", "183121")</f>
        <v>183121</v>
      </c>
      <c r="C6104" s="9" t="str">
        <f>HYPERLINK("http://www.ncbi.nlm.nih.gov/gene/343", "343")</f>
        <v>343</v>
      </c>
      <c r="D6104" t="str">
        <f>"aqp-6"</f>
        <v>aqp-6</v>
      </c>
      <c r="E6104" t="s">
        <v>379</v>
      </c>
      <c r="F6104" t="s">
        <v>11</v>
      </c>
      <c r="G6104" t="s">
        <v>9895</v>
      </c>
      <c r="H6104" s="12">
        <v>-1.3547432425480901</v>
      </c>
      <c r="I6104" s="20">
        <v>-1.06733761141657</v>
      </c>
      <c r="J6104" s="28">
        <v>0.28581940988565802</v>
      </c>
      <c r="K6104" s="29">
        <v>0.98289565623980701</v>
      </c>
    </row>
    <row r="6105" spans="1:11" x14ac:dyDescent="0.35">
      <c r="A6105" s="9" t="str">
        <f>HYPERLINK("http://www.ensembl.org/id/WBGene00000177", "WBGene00000177")</f>
        <v>WBGene00000177</v>
      </c>
      <c r="B6105" s="9" t="str">
        <f>HYPERLINK("http://www.ncbi.nlm.nih.gov/gene/3565336", "3565336")</f>
        <v>3565336</v>
      </c>
      <c r="C6105" s="9"/>
      <c r="D6105" t="str">
        <f>"aqp-9"</f>
        <v>aqp-9</v>
      </c>
      <c r="E6105" t="s">
        <v>5361</v>
      </c>
      <c r="F6105" t="s">
        <v>11</v>
      </c>
      <c r="G6105" t="s">
        <v>5362</v>
      </c>
      <c r="H6105" s="12">
        <v>1.1825646942875601</v>
      </c>
      <c r="I6105" s="20">
        <v>0.58008485872412396</v>
      </c>
      <c r="J6105" s="28">
        <v>0.56185739388576805</v>
      </c>
      <c r="K6105" s="29">
        <v>0.98289565623980701</v>
      </c>
    </row>
    <row r="6106" spans="1:11" x14ac:dyDescent="0.35">
      <c r="A6106" s="9" t="str">
        <f>HYPERLINK("http://www.ensembl.org/id/WBGene00000180", "WBGene00000180")</f>
        <v>WBGene00000180</v>
      </c>
      <c r="B6106" s="9" t="str">
        <f>HYPERLINK("http://www.ncbi.nlm.nih.gov/gene/174525", "174525")</f>
        <v>174525</v>
      </c>
      <c r="C6106" s="9" t="str">
        <f>HYPERLINK("http://www.ncbi.nlm.nih.gov/gene/373", "373")</f>
        <v>373</v>
      </c>
      <c r="D6106" t="str">
        <f>"arc-1"</f>
        <v>arc-1</v>
      </c>
      <c r="E6106" t="s">
        <v>5390</v>
      </c>
      <c r="F6106" t="s">
        <v>11</v>
      </c>
      <c r="G6106" t="s">
        <v>5391</v>
      </c>
      <c r="H6106" s="12">
        <v>1.1761541337079899</v>
      </c>
      <c r="I6106" s="20">
        <v>0.80667137383772303</v>
      </c>
      <c r="J6106" s="28">
        <v>0.41985584080090399</v>
      </c>
      <c r="K6106" s="29">
        <v>0.98289565623980701</v>
      </c>
    </row>
    <row r="6107" spans="1:11" x14ac:dyDescent="0.35">
      <c r="A6107" s="9" t="str">
        <f>HYPERLINK("http://www.ensembl.org/id/WBGene00016621", "WBGene00016621")</f>
        <v>WBGene00016621</v>
      </c>
      <c r="B6107" s="9" t="str">
        <f>HYPERLINK("http://www.ncbi.nlm.nih.gov/gene/183428", "183428")</f>
        <v>183428</v>
      </c>
      <c r="C6107" s="9" t="str">
        <f>HYPERLINK("http://www.ncbi.nlm.nih.gov/gene/339487", "339487")</f>
        <v>339487</v>
      </c>
      <c r="D6107" t="str">
        <f>"arch-1"</f>
        <v>arch-1</v>
      </c>
      <c r="F6107" t="s">
        <v>11</v>
      </c>
      <c r="H6107" s="12">
        <v>-1.11784693311114</v>
      </c>
      <c r="I6107" s="20">
        <v>-0.49597329827932402</v>
      </c>
      <c r="J6107" s="28">
        <v>0.61991325006003495</v>
      </c>
      <c r="K6107" s="29">
        <v>0.98289565623980701</v>
      </c>
    </row>
    <row r="6108" spans="1:11" x14ac:dyDescent="0.35">
      <c r="A6108" s="9" t="str">
        <f>HYPERLINK("http://www.ensembl.org/id/WBGene00000181", "WBGene00000181")</f>
        <v>WBGene00000181</v>
      </c>
      <c r="B6108" s="9" t="str">
        <f>HYPERLINK("http://www.ncbi.nlm.nih.gov/gene/178016", "178016")</f>
        <v>178016</v>
      </c>
      <c r="C6108" s="9" t="str">
        <f>HYPERLINK("http://www.ncbi.nlm.nih.gov/gene/3028", "3028")</f>
        <v>3028</v>
      </c>
      <c r="D6108" t="str">
        <f>"ard-1"</f>
        <v>ard-1</v>
      </c>
      <c r="E6108" t="s">
        <v>8764</v>
      </c>
      <c r="F6108" t="s">
        <v>11</v>
      </c>
      <c r="G6108" t="s">
        <v>489</v>
      </c>
      <c r="H6108" s="12">
        <v>-1.1948036549057299</v>
      </c>
      <c r="I6108" s="20">
        <v>-0.97410037903538405</v>
      </c>
      <c r="J6108" s="28">
        <v>0.330006701354015</v>
      </c>
      <c r="K6108" s="29">
        <v>0.98289565623980701</v>
      </c>
    </row>
    <row r="6109" spans="1:11" x14ac:dyDescent="0.35">
      <c r="A6109" s="9" t="str">
        <f>HYPERLINK("http://www.ensembl.org/id/WBGene00000182", "WBGene00000182")</f>
        <v>WBGene00000182</v>
      </c>
      <c r="B6109" s="9" t="str">
        <f>HYPERLINK("http://www.ncbi.nlm.nih.gov/gene/175801", "175801")</f>
        <v>175801</v>
      </c>
      <c r="C6109" s="9" t="str">
        <f>HYPERLINK("http://www.ncbi.nlm.nih.gov/gene/375", "375")</f>
        <v>375</v>
      </c>
      <c r="D6109" t="str">
        <f>"arf-1.2"</f>
        <v>arf-1.2</v>
      </c>
      <c r="E6109" t="s">
        <v>5957</v>
      </c>
      <c r="F6109" t="s">
        <v>11</v>
      </c>
      <c r="G6109" t="s">
        <v>3900</v>
      </c>
      <c r="H6109" s="12">
        <v>1.08020165983655</v>
      </c>
      <c r="I6109" s="20">
        <v>0.43203655867802199</v>
      </c>
      <c r="J6109" s="28">
        <v>0.66571484251376101</v>
      </c>
      <c r="K6109" s="29">
        <v>0.98289565623980701</v>
      </c>
    </row>
    <row r="6110" spans="1:11" x14ac:dyDescent="0.35">
      <c r="A6110" s="9" t="str">
        <f>HYPERLINK("http://www.ensembl.org/id/WBGene00000184", "WBGene00000184")</f>
        <v>WBGene00000184</v>
      </c>
      <c r="B6110" s="9" t="str">
        <f>HYPERLINK("http://www.ncbi.nlm.nih.gov/gene/191608", "191608")</f>
        <v>191608</v>
      </c>
      <c r="C6110" s="9" t="str">
        <f>HYPERLINK("http://www.ncbi.nlm.nih.gov/gene/382", "382")</f>
        <v>382</v>
      </c>
      <c r="D6110" t="str">
        <f>"arf-6"</f>
        <v>arf-6</v>
      </c>
      <c r="E6110" t="s">
        <v>7813</v>
      </c>
      <c r="F6110" t="s">
        <v>11</v>
      </c>
      <c r="G6110" t="s">
        <v>7814</v>
      </c>
      <c r="H6110" s="12">
        <v>-1.1462485437713501</v>
      </c>
      <c r="I6110" s="20">
        <v>-0.70108145022389401</v>
      </c>
      <c r="J6110" s="28">
        <v>0.48325218597516301</v>
      </c>
      <c r="K6110" s="29">
        <v>0.98289565623980701</v>
      </c>
    </row>
    <row r="6111" spans="1:11" x14ac:dyDescent="0.35">
      <c r="A6111" s="9" t="str">
        <f>HYPERLINK("http://www.ensembl.org/id/WBGene00016158", "WBGene00016158")</f>
        <v>WBGene00016158</v>
      </c>
      <c r="B6111" s="9" t="str">
        <f>HYPERLINK("http://www.ncbi.nlm.nih.gov/gene/172284", "172284")</f>
        <v>172284</v>
      </c>
      <c r="C6111" s="9"/>
      <c r="D6111" t="str">
        <f>"ari-1.1"</f>
        <v>ari-1.1</v>
      </c>
      <c r="E6111" t="s">
        <v>1143</v>
      </c>
      <c r="F6111" t="s">
        <v>11</v>
      </c>
      <c r="G6111" t="s">
        <v>1748</v>
      </c>
      <c r="H6111" s="12">
        <v>-1.2207576702996801</v>
      </c>
      <c r="I6111" s="20">
        <v>-1.0722774684749199</v>
      </c>
      <c r="J6111" s="28">
        <v>0.28359542383712799</v>
      </c>
      <c r="K6111" s="29">
        <v>0.98289565623980701</v>
      </c>
    </row>
    <row r="6112" spans="1:11" x14ac:dyDescent="0.35">
      <c r="A6112" s="9" t="str">
        <f>HYPERLINK("http://www.ensembl.org/id/WBGene00016157", "WBGene00016157")</f>
        <v>WBGene00016157</v>
      </c>
      <c r="B6112" s="9" t="str">
        <f>HYPERLINK("http://www.ncbi.nlm.nih.gov/gene/172283", "172283")</f>
        <v>172283</v>
      </c>
      <c r="C6112" s="9"/>
      <c r="D6112" t="str">
        <f>"ari-1.2"</f>
        <v>ari-1.2</v>
      </c>
      <c r="E6112" t="s">
        <v>1143</v>
      </c>
      <c r="F6112" t="s">
        <v>11</v>
      </c>
      <c r="G6112" t="s">
        <v>1748</v>
      </c>
      <c r="H6112" s="12">
        <v>-1.1305226168925</v>
      </c>
      <c r="I6112" s="20">
        <v>-0.62413439904455104</v>
      </c>
      <c r="J6112" s="28">
        <v>0.532539324624689</v>
      </c>
      <c r="K6112" s="29">
        <v>0.98289565623980701</v>
      </c>
    </row>
    <row r="6113" spans="1:11" x14ac:dyDescent="0.35">
      <c r="A6113" s="9" t="str">
        <f>HYPERLINK("http://www.ensembl.org/id/WBGene00016156", "WBGene00016156")</f>
        <v>WBGene00016156</v>
      </c>
      <c r="B6113" s="9" t="str">
        <f>HYPERLINK("http://www.ncbi.nlm.nih.gov/gene/172282", "172282")</f>
        <v>172282</v>
      </c>
      <c r="C6113" s="9"/>
      <c r="D6113" t="str">
        <f>"ari-1.3"</f>
        <v>ari-1.3</v>
      </c>
      <c r="E6113" t="s">
        <v>1143</v>
      </c>
      <c r="F6113" t="s">
        <v>11</v>
      </c>
      <c r="G6113" t="s">
        <v>1748</v>
      </c>
      <c r="H6113" s="12">
        <v>-1.2363298518888</v>
      </c>
      <c r="I6113" s="20">
        <v>-0.95708201193321096</v>
      </c>
      <c r="J6113" s="28">
        <v>0.338525862094049</v>
      </c>
      <c r="K6113" s="29">
        <v>0.98289565623980701</v>
      </c>
    </row>
    <row r="6114" spans="1:11" x14ac:dyDescent="0.35">
      <c r="A6114" s="9" t="str">
        <f>HYPERLINK("http://www.ensembl.org/id/WBGene00020462", "WBGene00020462")</f>
        <v>WBGene00020462</v>
      </c>
      <c r="B6114" s="9" t="str">
        <f>HYPERLINK("http://www.ncbi.nlm.nih.gov/gene/177339", "177339")</f>
        <v>177339</v>
      </c>
      <c r="C6114" s="9" t="str">
        <f>HYPERLINK("http://www.ncbi.nlm.nih.gov/gene/10425", "10425")</f>
        <v>10425</v>
      </c>
      <c r="D6114" t="str">
        <f>"ari-2"</f>
        <v>ari-2</v>
      </c>
      <c r="E6114" t="s">
        <v>7623</v>
      </c>
      <c r="F6114" t="s">
        <v>11</v>
      </c>
      <c r="G6114" t="s">
        <v>7624</v>
      </c>
      <c r="H6114" s="12">
        <v>-1.1367179765672</v>
      </c>
      <c r="I6114" s="20">
        <v>-0.65686626816095905</v>
      </c>
      <c r="J6114" s="28">
        <v>0.51126690935714403</v>
      </c>
      <c r="K6114" s="29">
        <v>0.98289565623980701</v>
      </c>
    </row>
    <row r="6115" spans="1:11" x14ac:dyDescent="0.35">
      <c r="A6115" s="9" t="str">
        <f>HYPERLINK("http://www.ensembl.org/id/WBGene00044689", "WBGene00044689")</f>
        <v>WBGene00044689</v>
      </c>
      <c r="B6115" s="9" t="str">
        <f>HYPERLINK("http://www.ncbi.nlm.nih.gov/gene/4363100", "4363100")</f>
        <v>4363100</v>
      </c>
      <c r="C6115" s="9"/>
      <c r="D6115" t="str">
        <f>"arid-1"</f>
        <v>arid-1</v>
      </c>
      <c r="E6115" t="s">
        <v>9167</v>
      </c>
      <c r="F6115" t="s">
        <v>11</v>
      </c>
      <c r="G6115" t="s">
        <v>9168</v>
      </c>
      <c r="H6115" s="12">
        <v>-1.2258514670540399</v>
      </c>
      <c r="I6115" s="20">
        <v>-0.99067761635429696</v>
      </c>
      <c r="J6115" s="28">
        <v>0.32184302431802397</v>
      </c>
      <c r="K6115" s="29">
        <v>0.98289565623980701</v>
      </c>
    </row>
    <row r="6116" spans="1:11" x14ac:dyDescent="0.35">
      <c r="A6116" s="9" t="str">
        <f>HYPERLINK("http://www.ensembl.org/id/WBGene00000186", "WBGene00000186")</f>
        <v>WBGene00000186</v>
      </c>
      <c r="B6116" s="9" t="str">
        <f>HYPERLINK("http://www.ncbi.nlm.nih.gov/gene/178218", "178218")</f>
        <v>178218</v>
      </c>
      <c r="C6116" s="9"/>
      <c r="D6116" t="str">
        <f>"ark-1"</f>
        <v>ark-1</v>
      </c>
      <c r="E6116" t="s">
        <v>8195</v>
      </c>
      <c r="F6116" t="s">
        <v>11</v>
      </c>
      <c r="G6116" t="s">
        <v>5790</v>
      </c>
      <c r="H6116" s="12">
        <v>-1.1649924534618299</v>
      </c>
      <c r="I6116" s="20">
        <v>-0.77663843926767795</v>
      </c>
      <c r="J6116" s="28">
        <v>0.437372116194575</v>
      </c>
      <c r="K6116" s="29">
        <v>0.98289565623980701</v>
      </c>
    </row>
    <row r="6117" spans="1:11" x14ac:dyDescent="0.35">
      <c r="A6117" s="9" t="str">
        <f>HYPERLINK("http://www.ensembl.org/id/WBGene00000187", "WBGene00000187")</f>
        <v>WBGene00000187</v>
      </c>
      <c r="B6117" s="9" t="str">
        <f>HYPERLINK("http://www.ncbi.nlm.nih.gov/gene/174375", "174375")</f>
        <v>174375</v>
      </c>
      <c r="C6117" s="9" t="str">
        <f>HYPERLINK("http://www.ncbi.nlm.nih.gov/gene/400", "400")</f>
        <v>400</v>
      </c>
      <c r="D6117" t="str">
        <f>"arl-1"</f>
        <v>arl-1</v>
      </c>
      <c r="E6117" t="s">
        <v>6238</v>
      </c>
      <c r="F6117" t="s">
        <v>11</v>
      </c>
      <c r="G6117" t="s">
        <v>3900</v>
      </c>
      <c r="H6117" s="12">
        <v>-1.05519533247206</v>
      </c>
      <c r="I6117" s="20">
        <v>-0.26976867469188498</v>
      </c>
      <c r="J6117" s="28">
        <v>0.78733822357737604</v>
      </c>
      <c r="K6117" s="29">
        <v>0.98289565623980701</v>
      </c>
    </row>
    <row r="6118" spans="1:11" x14ac:dyDescent="0.35">
      <c r="A6118" s="9" t="str">
        <f>HYPERLINK("http://www.ensembl.org/id/WBGene00021349", "WBGene00021349")</f>
        <v>WBGene00021349</v>
      </c>
      <c r="B6118" s="9" t="str">
        <f>HYPERLINK("http://www.ncbi.nlm.nih.gov/gene/171765", "171765")</f>
        <v>171765</v>
      </c>
      <c r="C6118" s="9"/>
      <c r="D6118" t="str">
        <f>"arl-13"</f>
        <v>arl-13</v>
      </c>
      <c r="E6118" t="s">
        <v>4730</v>
      </c>
      <c r="F6118" t="s">
        <v>11</v>
      </c>
      <c r="G6118" t="s">
        <v>3900</v>
      </c>
      <c r="H6118" s="12">
        <v>1.43847280941351</v>
      </c>
      <c r="I6118" s="20">
        <v>0.76009036279203301</v>
      </c>
      <c r="J6118" s="28">
        <v>0.44720057283985598</v>
      </c>
      <c r="K6118" s="29">
        <v>0.98289565623980701</v>
      </c>
    </row>
    <row r="6119" spans="1:11" x14ac:dyDescent="0.35">
      <c r="A6119" s="9" t="str">
        <f>HYPERLINK("http://www.ensembl.org/id/WBGene00000193", "WBGene00000193")</f>
        <v>WBGene00000193</v>
      </c>
      <c r="B6119" s="9" t="str">
        <f>HYPERLINK("http://www.ncbi.nlm.nih.gov/gene/183311", "183311")</f>
        <v>183311</v>
      </c>
      <c r="C6119" s="9" t="str">
        <f>HYPERLINK("http://www.ncbi.nlm.nih.gov/gene/84100", "84100")</f>
        <v>84100</v>
      </c>
      <c r="D6119" t="str">
        <f>"arl-6"</f>
        <v>arl-6</v>
      </c>
      <c r="E6119" t="s">
        <v>4727</v>
      </c>
      <c r="F6119" t="s">
        <v>11</v>
      </c>
      <c r="G6119" t="s">
        <v>2097</v>
      </c>
      <c r="H6119" s="12">
        <v>1.4459388056523299</v>
      </c>
      <c r="I6119" s="20">
        <v>0.54326641983496704</v>
      </c>
      <c r="J6119" s="28">
        <v>0.58694638122456499</v>
      </c>
      <c r="K6119" s="29">
        <v>0.98289565623980701</v>
      </c>
    </row>
    <row r="6120" spans="1:11" x14ac:dyDescent="0.35">
      <c r="A6120" s="9" t="str">
        <f>HYPERLINK("http://www.ensembl.org/id/WBGene00013168", "WBGene00013168")</f>
        <v>WBGene00013168</v>
      </c>
      <c r="B6120" s="9" t="str">
        <f>HYPERLINK("http://www.ncbi.nlm.nih.gov/gene/175162", "175162")</f>
        <v>175162</v>
      </c>
      <c r="C6120" s="9" t="str">
        <f>HYPERLINK("http://www.ncbi.nlm.nih.gov/gene/10121", "10121")</f>
        <v>10121</v>
      </c>
      <c r="D6120" t="str">
        <f>"arp-1"</f>
        <v>arp-1</v>
      </c>
      <c r="E6120" t="s">
        <v>3753</v>
      </c>
      <c r="F6120" t="s">
        <v>11</v>
      </c>
      <c r="G6120" t="s">
        <v>2749</v>
      </c>
      <c r="H6120" s="12">
        <v>-1.08562668380298</v>
      </c>
      <c r="I6120" s="20">
        <v>-0.439541113490659</v>
      </c>
      <c r="J6120" s="28">
        <v>0.66026949848915695</v>
      </c>
      <c r="K6120" s="29">
        <v>0.98289565623980701</v>
      </c>
    </row>
    <row r="6121" spans="1:11" x14ac:dyDescent="0.35">
      <c r="A6121" s="9" t="str">
        <f>HYPERLINK("http://www.ensembl.org/id/WBGene00007434", "WBGene00007434")</f>
        <v>WBGene00007434</v>
      </c>
      <c r="B6121" s="9" t="str">
        <f>HYPERLINK("http://www.ncbi.nlm.nih.gov/gene/174288", "174288")</f>
        <v>174288</v>
      </c>
      <c r="C6121" s="9" t="str">
        <f>HYPERLINK("http://www.ncbi.nlm.nih.gov/gene/64431", "64431")</f>
        <v>64431</v>
      </c>
      <c r="D6121" t="str">
        <f>"arp-6"</f>
        <v>arp-6</v>
      </c>
      <c r="E6121" t="s">
        <v>8362</v>
      </c>
      <c r="F6121" t="s">
        <v>11</v>
      </c>
      <c r="G6121" t="s">
        <v>8363</v>
      </c>
      <c r="H6121" s="12">
        <v>-1.17342407578734</v>
      </c>
      <c r="I6121" s="20">
        <v>-0.70135945566011204</v>
      </c>
      <c r="J6121" s="28">
        <v>0.483078717782992</v>
      </c>
      <c r="K6121" s="29">
        <v>0.98289565623980701</v>
      </c>
    </row>
    <row r="6122" spans="1:11" x14ac:dyDescent="0.35">
      <c r="A6122" s="9" t="str">
        <f>HYPERLINK("http://www.ensembl.org/id/WBGene00011052", "WBGene00011052")</f>
        <v>WBGene00011052</v>
      </c>
      <c r="B6122" s="9" t="str">
        <f>HYPERLINK("http://www.ncbi.nlm.nih.gov/gene/187635", "187635")</f>
        <v>187635</v>
      </c>
      <c r="C6122" s="9"/>
      <c r="D6122" t="str">
        <f>"arrd-11"</f>
        <v>arrd-11</v>
      </c>
      <c r="E6122" t="s">
        <v>377</v>
      </c>
      <c r="F6122" t="s">
        <v>11</v>
      </c>
      <c r="G6122" t="s">
        <v>378</v>
      </c>
      <c r="H6122" s="12">
        <v>-2.8611860147911399</v>
      </c>
      <c r="I6122" s="20">
        <v>-0.89489771157362796</v>
      </c>
      <c r="J6122" s="28">
        <v>0.37084177018812298</v>
      </c>
      <c r="K6122" s="29">
        <v>0.98289565623980701</v>
      </c>
    </row>
    <row r="6123" spans="1:11" x14ac:dyDescent="0.35">
      <c r="A6123" s="9" t="str">
        <f>HYPERLINK("http://www.ensembl.org/id/WBGene00011053", "WBGene00011053")</f>
        <v>WBGene00011053</v>
      </c>
      <c r="B6123" s="9" t="str">
        <f>HYPERLINK("http://www.ncbi.nlm.nih.gov/gene/187636", "187636")</f>
        <v>187636</v>
      </c>
      <c r="C6123" s="9"/>
      <c r="D6123" t="str">
        <f>"arrd-12"</f>
        <v>arrd-12</v>
      </c>
      <c r="E6123" t="s">
        <v>377</v>
      </c>
      <c r="F6123" t="s">
        <v>11</v>
      </c>
      <c r="H6123" s="12">
        <v>-3.0021499962793001</v>
      </c>
      <c r="I6123" s="20">
        <v>-0.44126540740164599</v>
      </c>
      <c r="J6123" s="28">
        <v>0.65902086634019996</v>
      </c>
      <c r="K6123" s="29">
        <v>0.98289565623980701</v>
      </c>
    </row>
    <row r="6124" spans="1:11" x14ac:dyDescent="0.35">
      <c r="A6124" s="9" t="str">
        <f>HYPERLINK("http://www.ensembl.org/id/WBGene00013043", "WBGene00013043")</f>
        <v>WBGene00013043</v>
      </c>
      <c r="B6124" s="9" t="str">
        <f>HYPERLINK("http://www.ncbi.nlm.nih.gov/gene/190071", "190071")</f>
        <v>190071</v>
      </c>
      <c r="C6124" s="9"/>
      <c r="D6124" t="str">
        <f>"arrd-16"</f>
        <v>arrd-16</v>
      </c>
      <c r="E6124" t="s">
        <v>377</v>
      </c>
      <c r="F6124" t="s">
        <v>11</v>
      </c>
      <c r="G6124" t="s">
        <v>378</v>
      </c>
      <c r="H6124" s="12">
        <v>1.19305077703816</v>
      </c>
      <c r="I6124" s="20">
        <v>0.35713332508229401</v>
      </c>
      <c r="J6124" s="28">
        <v>0.720991997497477</v>
      </c>
      <c r="K6124" s="29">
        <v>0.98289565623980701</v>
      </c>
    </row>
    <row r="6125" spans="1:11" x14ac:dyDescent="0.35">
      <c r="A6125" s="9" t="str">
        <f>HYPERLINK("http://www.ensembl.org/id/WBGene00011732", "WBGene00011732")</f>
        <v>WBGene00011732</v>
      </c>
      <c r="B6125" s="9" t="str">
        <f>HYPERLINK("http://www.ncbi.nlm.nih.gov/gene/176799", "176799")</f>
        <v>176799</v>
      </c>
      <c r="C6125" s="9" t="str">
        <f>HYPERLINK("http://www.ncbi.nlm.nih.gov/gene/27106", "27106")</f>
        <v>27106</v>
      </c>
      <c r="D6125" t="str">
        <f>"arrd-17"</f>
        <v>arrd-17</v>
      </c>
      <c r="E6125" t="s">
        <v>5186</v>
      </c>
      <c r="F6125" t="s">
        <v>11</v>
      </c>
      <c r="H6125" s="12">
        <v>1.21937528810377</v>
      </c>
      <c r="I6125" s="20">
        <v>0.91910665834542604</v>
      </c>
      <c r="J6125" s="28">
        <v>0.35803978693273902</v>
      </c>
      <c r="K6125" s="29">
        <v>0.98289565623980701</v>
      </c>
    </row>
    <row r="6126" spans="1:11" x14ac:dyDescent="0.35">
      <c r="A6126" s="9" t="str">
        <f>HYPERLINK("http://www.ensembl.org/id/WBGene00018060", "WBGene00018060")</f>
        <v>WBGene00018060</v>
      </c>
      <c r="B6126" s="9" t="str">
        <f>HYPERLINK("http://www.ncbi.nlm.nih.gov/gene/178763", "178763")</f>
        <v>178763</v>
      </c>
      <c r="C6126" s="9"/>
      <c r="D6126" t="str">
        <f>"arrd-18"</f>
        <v>arrd-18</v>
      </c>
      <c r="E6126" t="s">
        <v>377</v>
      </c>
      <c r="F6126" t="s">
        <v>11</v>
      </c>
      <c r="G6126" t="s">
        <v>378</v>
      </c>
      <c r="H6126" s="12">
        <v>1.0786661869299901</v>
      </c>
      <c r="I6126" s="20">
        <v>0.33165999179648298</v>
      </c>
      <c r="J6126" s="28">
        <v>0.74014601413318204</v>
      </c>
      <c r="K6126" s="29">
        <v>0.98289565623980701</v>
      </c>
    </row>
    <row r="6127" spans="1:11" x14ac:dyDescent="0.35">
      <c r="A6127" s="9" t="str">
        <f>HYPERLINK("http://www.ensembl.org/id/WBGene00018061", "WBGene00018061")</f>
        <v>WBGene00018061</v>
      </c>
      <c r="B6127" s="9" t="str">
        <f>HYPERLINK("http://www.ncbi.nlm.nih.gov/gene/178764", "178764")</f>
        <v>178764</v>
      </c>
      <c r="C6127" s="9"/>
      <c r="D6127" t="str">
        <f>"arrd-19"</f>
        <v>arrd-19</v>
      </c>
      <c r="E6127" t="s">
        <v>377</v>
      </c>
      <c r="F6127" t="s">
        <v>11</v>
      </c>
      <c r="G6127" t="s">
        <v>378</v>
      </c>
      <c r="H6127" s="12">
        <v>-1.09989287249935</v>
      </c>
      <c r="I6127" s="20">
        <v>-0.37122633451977299</v>
      </c>
      <c r="J6127" s="28">
        <v>0.71046896016930905</v>
      </c>
      <c r="K6127" s="29">
        <v>0.98289565623980701</v>
      </c>
    </row>
    <row r="6128" spans="1:11" x14ac:dyDescent="0.35">
      <c r="A6128" s="9" t="str">
        <f>HYPERLINK("http://www.ensembl.org/id/WBGene00013086", "WBGene00013086")</f>
        <v>WBGene00013086</v>
      </c>
      <c r="B6128" s="9" t="str">
        <f>HYPERLINK("http://www.ncbi.nlm.nih.gov/gene/174491", "174491")</f>
        <v>174491</v>
      </c>
      <c r="C6128" s="9"/>
      <c r="D6128" t="str">
        <f>"arrd-2"</f>
        <v>arrd-2</v>
      </c>
      <c r="E6128" t="s">
        <v>377</v>
      </c>
      <c r="F6128" t="s">
        <v>11</v>
      </c>
      <c r="G6128" t="s">
        <v>378</v>
      </c>
      <c r="H6128" s="12">
        <v>-1.1139474988086999</v>
      </c>
      <c r="I6128" s="20">
        <v>-0.25740055799790501</v>
      </c>
      <c r="J6128" s="28">
        <v>0.79686957217480603</v>
      </c>
      <c r="K6128" s="29">
        <v>0.98289565623980701</v>
      </c>
    </row>
    <row r="6129" spans="1:11" x14ac:dyDescent="0.35">
      <c r="A6129" s="9" t="str">
        <f>HYPERLINK("http://www.ensembl.org/id/WBGene00015440", "WBGene00015440")</f>
        <v>WBGene00015440</v>
      </c>
      <c r="B6129" s="9"/>
      <c r="C6129" s="9"/>
      <c r="D6129" t="str">
        <f>"arrd-20"</f>
        <v>arrd-20</v>
      </c>
      <c r="F6129" t="s">
        <v>80</v>
      </c>
      <c r="H6129" s="12">
        <v>1.35670596492739</v>
      </c>
      <c r="I6129" s="20">
        <v>0.96530863114106902</v>
      </c>
      <c r="J6129" s="28">
        <v>0.33439024997507499</v>
      </c>
      <c r="K6129" s="29">
        <v>0.98289565623980701</v>
      </c>
    </row>
    <row r="6130" spans="1:11" x14ac:dyDescent="0.35">
      <c r="A6130" s="9" t="str">
        <f>HYPERLINK("http://www.ensembl.org/id/WBGene00015441", "WBGene00015441")</f>
        <v>WBGene00015441</v>
      </c>
      <c r="B6130" s="9"/>
      <c r="C6130" s="9"/>
      <c r="D6130" t="str">
        <f>"arrd-21"</f>
        <v>arrd-21</v>
      </c>
      <c r="F6130" t="s">
        <v>80</v>
      </c>
      <c r="H6130" s="12">
        <v>1.10583944409154</v>
      </c>
      <c r="I6130" s="20">
        <v>0.271484872528092</v>
      </c>
      <c r="J6130" s="28">
        <v>0.78601813294925404</v>
      </c>
      <c r="K6130" s="29">
        <v>0.98289565623980701</v>
      </c>
    </row>
    <row r="6131" spans="1:11" x14ac:dyDescent="0.35">
      <c r="A6131" s="9" t="str">
        <f>HYPERLINK("http://www.ensembl.org/id/WBGene00009852", "WBGene00009852")</f>
        <v>WBGene00009852</v>
      </c>
      <c r="B6131" s="9" t="str">
        <f>HYPERLINK("http://www.ncbi.nlm.nih.gov/gene/185991", "185991")</f>
        <v>185991</v>
      </c>
      <c r="C6131" s="9"/>
      <c r="D6131" t="str">
        <f>"arrd-24"</f>
        <v>arrd-24</v>
      </c>
      <c r="E6131" t="s">
        <v>377</v>
      </c>
      <c r="F6131" t="s">
        <v>11</v>
      </c>
      <c r="G6131" t="s">
        <v>7902</v>
      </c>
      <c r="H6131" s="12">
        <v>-3.75225974946059</v>
      </c>
      <c r="I6131" s="20">
        <v>-1.0672023147070799</v>
      </c>
      <c r="J6131" s="28">
        <v>0.28588048755213202</v>
      </c>
      <c r="K6131" s="29">
        <v>0.98289565623980701</v>
      </c>
    </row>
    <row r="6132" spans="1:11" x14ac:dyDescent="0.35">
      <c r="A6132" s="9" t="str">
        <f>HYPERLINK("http://www.ensembl.org/id/WBGene00007296", "WBGene00007296")</f>
        <v>WBGene00007296</v>
      </c>
      <c r="B6132" s="9" t="str">
        <f>HYPERLINK("http://www.ncbi.nlm.nih.gov/gene/181514", "181514")</f>
        <v>181514</v>
      </c>
      <c r="C6132" s="9"/>
      <c r="D6132" t="str">
        <f>"arrd-25"</f>
        <v>arrd-25</v>
      </c>
      <c r="E6132" t="s">
        <v>377</v>
      </c>
      <c r="F6132" t="s">
        <v>11</v>
      </c>
      <c r="G6132" t="s">
        <v>378</v>
      </c>
      <c r="H6132" s="12">
        <v>1.1425294346264201</v>
      </c>
      <c r="I6132" s="20">
        <v>0.71499813656136502</v>
      </c>
      <c r="J6132" s="28">
        <v>0.47461019472774302</v>
      </c>
      <c r="K6132" s="29">
        <v>0.98289565623980701</v>
      </c>
    </row>
    <row r="6133" spans="1:11" x14ac:dyDescent="0.35">
      <c r="A6133" s="9" t="str">
        <f>HYPERLINK("http://www.ensembl.org/id/WBGene00009853", "WBGene00009853")</f>
        <v>WBGene00009853</v>
      </c>
      <c r="B6133" s="9" t="str">
        <f>HYPERLINK("http://www.ncbi.nlm.nih.gov/gene/3564886", "3564886")</f>
        <v>3564886</v>
      </c>
      <c r="C6133" s="9"/>
      <c r="D6133" t="str">
        <f>"arrd-27"</f>
        <v>arrd-27</v>
      </c>
      <c r="E6133" t="s">
        <v>377</v>
      </c>
      <c r="F6133" t="s">
        <v>11</v>
      </c>
      <c r="H6133" s="12">
        <v>-7.7904337984490803</v>
      </c>
      <c r="I6133" s="20">
        <v>-0.60901310058451197</v>
      </c>
      <c r="J6133" s="28">
        <v>0.54251575542982</v>
      </c>
      <c r="K6133" s="29">
        <v>0.98289565623980701</v>
      </c>
    </row>
    <row r="6134" spans="1:11" x14ac:dyDescent="0.35">
      <c r="A6134" s="9" t="str">
        <f>HYPERLINK("http://www.ensembl.org/id/WBGene00014161", "WBGene00014161")</f>
        <v>WBGene00014161</v>
      </c>
      <c r="B6134" s="9" t="str">
        <f>HYPERLINK("http://www.ncbi.nlm.nih.gov/gene/191469", "191469")</f>
        <v>191469</v>
      </c>
      <c r="C6134" s="9"/>
      <c r="D6134" t="str">
        <f>"arrd-5"</f>
        <v>arrd-5</v>
      </c>
      <c r="E6134" t="s">
        <v>377</v>
      </c>
      <c r="F6134" t="s">
        <v>11</v>
      </c>
      <c r="G6134" t="s">
        <v>378</v>
      </c>
      <c r="H6134" s="12">
        <v>1.7434602259771801</v>
      </c>
      <c r="I6134" s="20">
        <v>1.0300917823631399</v>
      </c>
      <c r="J6134" s="28">
        <v>0.30296692244540502</v>
      </c>
      <c r="K6134" s="29">
        <v>0.98289565623980701</v>
      </c>
    </row>
    <row r="6135" spans="1:11" x14ac:dyDescent="0.35">
      <c r="A6135" s="9" t="str">
        <f>HYPERLINK("http://www.ensembl.org/id/WBGene00012464", "WBGene00012464")</f>
        <v>WBGene00012464</v>
      </c>
      <c r="B6135" s="9" t="str">
        <f>HYPERLINK("http://www.ncbi.nlm.nih.gov/gene/174847", "174847")</f>
        <v>174847</v>
      </c>
      <c r="C6135" s="9"/>
      <c r="D6135" t="str">
        <f>"arrd-7"</f>
        <v>arrd-7</v>
      </c>
      <c r="E6135" t="s">
        <v>377</v>
      </c>
      <c r="F6135" t="s">
        <v>11</v>
      </c>
      <c r="G6135" t="s">
        <v>7902</v>
      </c>
      <c r="H6135" s="12">
        <v>-1.1506654399460201</v>
      </c>
      <c r="I6135" s="20">
        <v>-0.56510394135976105</v>
      </c>
      <c r="J6135" s="28">
        <v>0.57200306784912003</v>
      </c>
      <c r="K6135" s="29">
        <v>0.98289565623980701</v>
      </c>
    </row>
    <row r="6136" spans="1:11" x14ac:dyDescent="0.35">
      <c r="A6136" s="9" t="str">
        <f>HYPERLINK("http://www.ensembl.org/id/WBGene00012467", "WBGene00012467")</f>
        <v>WBGene00012467</v>
      </c>
      <c r="B6136" s="9" t="str">
        <f>HYPERLINK("http://www.ncbi.nlm.nih.gov/gene/189457", "189457")</f>
        <v>189457</v>
      </c>
      <c r="C6136" s="9"/>
      <c r="D6136" t="str">
        <f>"arrd-8"</f>
        <v>arrd-8</v>
      </c>
      <c r="E6136" t="s">
        <v>377</v>
      </c>
      <c r="F6136" t="s">
        <v>11</v>
      </c>
      <c r="G6136" t="s">
        <v>378</v>
      </c>
      <c r="H6136" s="12">
        <v>-1.3850161694149401</v>
      </c>
      <c r="I6136" s="20">
        <v>-0.50638501053403895</v>
      </c>
      <c r="J6136" s="28">
        <v>0.61258639521883096</v>
      </c>
      <c r="K6136" s="29">
        <v>0.98289565623980701</v>
      </c>
    </row>
    <row r="6137" spans="1:11" x14ac:dyDescent="0.35">
      <c r="A6137" s="9" t="str">
        <f>HYPERLINK("http://www.ensembl.org/id/WBGene00008843", "WBGene00008843")</f>
        <v>WBGene00008843</v>
      </c>
      <c r="B6137" s="9" t="str">
        <f>HYPERLINK("http://www.ncbi.nlm.nih.gov/gene/184515", "184515")</f>
        <v>184515</v>
      </c>
      <c r="C6137" s="9"/>
      <c r="D6137" t="str">
        <f>"arrd-9"</f>
        <v>arrd-9</v>
      </c>
      <c r="E6137" t="s">
        <v>377</v>
      </c>
      <c r="F6137" t="s">
        <v>11</v>
      </c>
      <c r="G6137" t="s">
        <v>378</v>
      </c>
      <c r="H6137" s="12">
        <v>-1.8177772918898001</v>
      </c>
      <c r="I6137" s="20">
        <v>-0.90647225482746296</v>
      </c>
      <c r="J6137" s="28">
        <v>0.36468594379930402</v>
      </c>
      <c r="K6137" s="29">
        <v>0.98289565623980701</v>
      </c>
    </row>
    <row r="6138" spans="1:11" x14ac:dyDescent="0.35">
      <c r="A6138" s="9" t="str">
        <f>HYPERLINK("http://www.ensembl.org/id/WBGene00000198", "WBGene00000198")</f>
        <v>WBGene00000198</v>
      </c>
      <c r="B6138" s="9" t="str">
        <f>HYPERLINK("http://www.ncbi.nlm.nih.gov/gene/174140", "174140")</f>
        <v>174140</v>
      </c>
      <c r="C6138" s="9" t="str">
        <f>HYPERLINK("http://www.ncbi.nlm.nih.gov/gene/9524", "9524")</f>
        <v>9524</v>
      </c>
      <c r="D6138" t="str">
        <f>"art-1"</f>
        <v>art-1</v>
      </c>
      <c r="E6138" t="s">
        <v>7277</v>
      </c>
      <c r="F6138" t="s">
        <v>11</v>
      </c>
      <c r="G6138" t="s">
        <v>7278</v>
      </c>
      <c r="H6138" s="12">
        <v>-1.1168935078753099</v>
      </c>
      <c r="I6138" s="20">
        <v>-0.596716054949605</v>
      </c>
      <c r="J6138" s="28">
        <v>0.550696971703595</v>
      </c>
      <c r="K6138" s="29">
        <v>0.98289565623980701</v>
      </c>
    </row>
    <row r="6139" spans="1:11" x14ac:dyDescent="0.35">
      <c r="A6139" s="9" t="str">
        <f>HYPERLINK("http://www.ensembl.org/id/WBGene00000199", "WBGene00000199")</f>
        <v>WBGene00000199</v>
      </c>
      <c r="B6139" s="9" t="str">
        <f>HYPERLINK("http://www.ncbi.nlm.nih.gov/gene/171857", "171857")</f>
        <v>171857</v>
      </c>
      <c r="C6139" s="9" t="str">
        <f>HYPERLINK("http://www.ncbi.nlm.nih.gov/gene/10096", "10096")</f>
        <v>10096</v>
      </c>
      <c r="D6139" t="str">
        <f>"arx-1"</f>
        <v>arx-1</v>
      </c>
      <c r="E6139" t="s">
        <v>7085</v>
      </c>
      <c r="F6139" t="s">
        <v>11</v>
      </c>
      <c r="G6139" t="s">
        <v>7086</v>
      </c>
      <c r="H6139" s="12">
        <v>-1.1061332010601901</v>
      </c>
      <c r="I6139" s="20">
        <v>-0.54172505200777998</v>
      </c>
      <c r="J6139" s="28">
        <v>0.58800792897750398</v>
      </c>
      <c r="K6139" s="29">
        <v>0.98289565623980701</v>
      </c>
    </row>
    <row r="6140" spans="1:11" x14ac:dyDescent="0.35">
      <c r="A6140" s="9" t="str">
        <f>HYPERLINK("http://www.ensembl.org/id/WBGene00000200", "WBGene00000200")</f>
        <v>WBGene00000200</v>
      </c>
      <c r="B6140" s="9" t="str">
        <f>HYPERLINK("http://www.ncbi.nlm.nih.gov/gene/179440", "179440")</f>
        <v>179440</v>
      </c>
      <c r="C6140" s="9" t="str">
        <f>HYPERLINK("http://www.ncbi.nlm.nih.gov/gene/10097", "10097")</f>
        <v>10097</v>
      </c>
      <c r="D6140" t="str">
        <f>"arx-2"</f>
        <v>arx-2</v>
      </c>
      <c r="E6140" t="s">
        <v>7897</v>
      </c>
      <c r="F6140" t="s">
        <v>11</v>
      </c>
      <c r="G6140" t="s">
        <v>7898</v>
      </c>
      <c r="H6140" s="12">
        <v>-1.1503907480653499</v>
      </c>
      <c r="I6140" s="20">
        <v>-0.76346946828527795</v>
      </c>
      <c r="J6140" s="28">
        <v>0.44518346412798798</v>
      </c>
      <c r="K6140" s="29">
        <v>0.98289565623980701</v>
      </c>
    </row>
    <row r="6141" spans="1:11" x14ac:dyDescent="0.35">
      <c r="A6141" s="9" t="str">
        <f>HYPERLINK("http://www.ensembl.org/id/WBGene00000201", "WBGene00000201")</f>
        <v>WBGene00000201</v>
      </c>
      <c r="B6141" s="9" t="str">
        <f>HYPERLINK("http://www.ncbi.nlm.nih.gov/gene/3565442", "3565442")</f>
        <v>3565442</v>
      </c>
      <c r="C6141" s="9" t="str">
        <f>HYPERLINK("http://www.ncbi.nlm.nih.gov/gene/10552", "10552")</f>
        <v>10552</v>
      </c>
      <c r="D6141" t="str">
        <f>"arx-3"</f>
        <v>arx-3</v>
      </c>
      <c r="E6141" t="s">
        <v>7357</v>
      </c>
      <c r="F6141" t="s">
        <v>11</v>
      </c>
      <c r="G6141" t="s">
        <v>7358</v>
      </c>
      <c r="H6141" s="12">
        <v>-1.12147088443573</v>
      </c>
      <c r="I6141" s="20">
        <v>-0.62252143961247197</v>
      </c>
      <c r="J6141" s="28">
        <v>0.53359905062219404</v>
      </c>
      <c r="K6141" s="29">
        <v>0.98289565623980701</v>
      </c>
    </row>
    <row r="6142" spans="1:11" x14ac:dyDescent="0.35">
      <c r="A6142" s="9" t="str">
        <f>HYPERLINK("http://www.ensembl.org/id/WBGene00000203", "WBGene00000203")</f>
        <v>WBGene00000203</v>
      </c>
      <c r="B6142" s="9" t="str">
        <f>HYPERLINK("http://www.ncbi.nlm.nih.gov/gene/176697", "176697")</f>
        <v>176697</v>
      </c>
      <c r="C6142" s="9" t="str">
        <f>HYPERLINK("http://www.ncbi.nlm.nih.gov/gene/10094", "10094")</f>
        <v>10094</v>
      </c>
      <c r="D6142" t="str">
        <f>"arx-5"</f>
        <v>arx-5</v>
      </c>
      <c r="E6142" t="s">
        <v>7338</v>
      </c>
      <c r="F6142" t="s">
        <v>11</v>
      </c>
      <c r="G6142" t="s">
        <v>7339</v>
      </c>
      <c r="H6142" s="12">
        <v>-1.1199694820622901</v>
      </c>
      <c r="I6142" s="20">
        <v>-0.58258552091303994</v>
      </c>
      <c r="J6142" s="28">
        <v>0.56017235482371697</v>
      </c>
      <c r="K6142" s="29">
        <v>0.98289565623980701</v>
      </c>
    </row>
    <row r="6143" spans="1:11" x14ac:dyDescent="0.35">
      <c r="A6143" s="9" t="str">
        <f>HYPERLINK("http://www.ensembl.org/id/WBGene00000204", "WBGene00000204")</f>
        <v>WBGene00000204</v>
      </c>
      <c r="B6143" s="9" t="str">
        <f>HYPERLINK("http://www.ncbi.nlm.nih.gov/gene/175650", "175650")</f>
        <v>175650</v>
      </c>
      <c r="C6143" s="9" t="str">
        <f>HYPERLINK("http://www.ncbi.nlm.nih.gov/gene/10093", "10093")</f>
        <v>10093</v>
      </c>
      <c r="D6143" t="str">
        <f>"arx-6"</f>
        <v>arx-6</v>
      </c>
      <c r="E6143" t="s">
        <v>6265</v>
      </c>
      <c r="F6143" t="s">
        <v>11</v>
      </c>
      <c r="G6143" t="s">
        <v>6266</v>
      </c>
      <c r="H6143" s="12">
        <v>-1.05758801461814</v>
      </c>
      <c r="I6143" s="20">
        <v>-0.28529069402007501</v>
      </c>
      <c r="J6143" s="28">
        <v>0.77542144184216399</v>
      </c>
      <c r="K6143" s="29">
        <v>0.98289565623980701</v>
      </c>
    </row>
    <row r="6144" spans="1:11" x14ac:dyDescent="0.35">
      <c r="A6144" s="9" t="str">
        <f>HYPERLINK("http://www.ensembl.org/id/WBGene00000205", "WBGene00000205")</f>
        <v>WBGene00000205</v>
      </c>
      <c r="B6144" s="9" t="str">
        <f>HYPERLINK("http://www.ncbi.nlm.nih.gov/gene/171882", "171882")</f>
        <v>171882</v>
      </c>
      <c r="C6144" s="9" t="str">
        <f>HYPERLINK("http://www.ncbi.nlm.nih.gov/gene/10092", "10092")</f>
        <v>10092</v>
      </c>
      <c r="D6144" t="str">
        <f>"arx-7"</f>
        <v>arx-7</v>
      </c>
      <c r="E6144" t="s">
        <v>9129</v>
      </c>
      <c r="F6144" t="s">
        <v>11</v>
      </c>
      <c r="G6144" t="s">
        <v>9130</v>
      </c>
      <c r="H6144" s="12">
        <v>-1.22289879349444</v>
      </c>
      <c r="I6144" s="20">
        <v>-1.0159531243175099</v>
      </c>
      <c r="J6144" s="28">
        <v>0.30965170923607799</v>
      </c>
      <c r="K6144" s="29">
        <v>0.98289565623980701</v>
      </c>
    </row>
    <row r="6145" spans="1:11" x14ac:dyDescent="0.35">
      <c r="A6145" s="9" t="str">
        <f>HYPERLINK("http://www.ensembl.org/id/WBGene00000207", "WBGene00000207")</f>
        <v>WBGene00000207</v>
      </c>
      <c r="B6145" s="9" t="str">
        <f>HYPERLINK("http://www.ncbi.nlm.nih.gov/gene/180718", "180718")</f>
        <v>180718</v>
      </c>
      <c r="C6145" s="9"/>
      <c r="D6145" t="str">
        <f>"asb-2"</f>
        <v>asb-2</v>
      </c>
      <c r="E6145" t="s">
        <v>1121</v>
      </c>
      <c r="F6145" t="s">
        <v>11</v>
      </c>
      <c r="G6145" t="s">
        <v>6174</v>
      </c>
      <c r="H6145" s="12">
        <v>-1.0511051747412701</v>
      </c>
      <c r="I6145" s="20">
        <v>-0.26101446678374102</v>
      </c>
      <c r="J6145" s="28">
        <v>0.794081350987482</v>
      </c>
      <c r="K6145" s="29">
        <v>0.98289565623980701</v>
      </c>
    </row>
    <row r="6146" spans="1:11" x14ac:dyDescent="0.35">
      <c r="A6146" s="9" t="str">
        <f>HYPERLINK("http://www.ensembl.org/id/WBGene00016019", "WBGene00016019")</f>
        <v>WBGene00016019</v>
      </c>
      <c r="B6146" s="9" t="str">
        <f>HYPERLINK("http://www.ncbi.nlm.nih.gov/gene/182817", "182817")</f>
        <v>182817</v>
      </c>
      <c r="C6146" s="9"/>
      <c r="D6146" t="str">
        <f>"ascc-1"</f>
        <v>ascc-1</v>
      </c>
      <c r="E6146" t="s">
        <v>7756</v>
      </c>
      <c r="F6146" t="s">
        <v>11</v>
      </c>
      <c r="G6146" t="s">
        <v>7757</v>
      </c>
      <c r="H6146" s="12">
        <v>-1.1426648012067799</v>
      </c>
      <c r="I6146" s="20">
        <v>-0.63534385736573595</v>
      </c>
      <c r="J6146" s="28">
        <v>0.52520417567429201</v>
      </c>
      <c r="K6146" s="29">
        <v>0.98289565623980701</v>
      </c>
    </row>
    <row r="6147" spans="1:11" x14ac:dyDescent="0.35">
      <c r="A6147" s="9" t="str">
        <f>HYPERLINK("http://www.ensembl.org/id/WBGene00011279", "WBGene00011279")</f>
        <v>WBGene00011279</v>
      </c>
      <c r="B6147" s="9" t="str">
        <f>HYPERLINK("http://www.ncbi.nlm.nih.gov/gene/175542", "175542")</f>
        <v>175542</v>
      </c>
      <c r="C6147" s="9"/>
      <c r="D6147" t="str">
        <f>"asd-1"</f>
        <v>asd-1</v>
      </c>
      <c r="E6147" t="s">
        <v>6990</v>
      </c>
      <c r="F6147" t="s">
        <v>11</v>
      </c>
      <c r="G6147" t="s">
        <v>6991</v>
      </c>
      <c r="H6147" s="12">
        <v>-1.10137555511111</v>
      </c>
      <c r="I6147" s="20">
        <v>-0.52389594584880905</v>
      </c>
      <c r="J6147" s="28">
        <v>0.60035091474887903</v>
      </c>
      <c r="K6147" s="29">
        <v>0.98289565623980701</v>
      </c>
    </row>
    <row r="6148" spans="1:11" x14ac:dyDescent="0.35">
      <c r="A6148" s="9" t="str">
        <f>HYPERLINK("http://www.ensembl.org/id/WBGene00000209", "WBGene00000209")</f>
        <v>WBGene00000209</v>
      </c>
      <c r="B6148" s="9" t="str">
        <f>HYPERLINK("http://www.ncbi.nlm.nih.gov/gene/172673", "172673")</f>
        <v>172673</v>
      </c>
      <c r="C6148" s="9"/>
      <c r="D6148" t="str">
        <f>"asg-1"</f>
        <v>asg-1</v>
      </c>
      <c r="E6148" t="s">
        <v>7316</v>
      </c>
      <c r="F6148" t="s">
        <v>11</v>
      </c>
      <c r="G6148" t="s">
        <v>7317</v>
      </c>
      <c r="H6148" s="12">
        <v>-1.11900725247796</v>
      </c>
      <c r="I6148" s="20">
        <v>-0.60472549891227101</v>
      </c>
      <c r="J6148" s="28">
        <v>0.54536140259372701</v>
      </c>
      <c r="K6148" s="29">
        <v>0.98289565623980701</v>
      </c>
    </row>
    <row r="6149" spans="1:11" x14ac:dyDescent="0.35">
      <c r="A6149" s="9" t="str">
        <f>HYPERLINK("http://www.ensembl.org/id/WBGene00012458", "WBGene00012458")</f>
        <v>WBGene00012458</v>
      </c>
      <c r="B6149" s="9" t="str">
        <f>HYPERLINK("http://www.ncbi.nlm.nih.gov/gene/174838", "174838")</f>
        <v>174838</v>
      </c>
      <c r="C6149" s="9" t="str">
        <f>HYPERLINK("http://www.ncbi.nlm.nih.gov/gene/9070", "9070")</f>
        <v>9070</v>
      </c>
      <c r="D6149" t="str">
        <f>"ash-2"</f>
        <v>ash-2</v>
      </c>
      <c r="E6149" t="s">
        <v>9336</v>
      </c>
      <c r="F6149" t="s">
        <v>11</v>
      </c>
      <c r="G6149" t="s">
        <v>9337</v>
      </c>
      <c r="H6149" s="12">
        <v>-1.2393847606186701</v>
      </c>
      <c r="I6149" s="20">
        <v>-1.0351212881288501</v>
      </c>
      <c r="J6149" s="28">
        <v>0.30061227194057399</v>
      </c>
      <c r="K6149" s="29">
        <v>0.98289565623980701</v>
      </c>
    </row>
    <row r="6150" spans="1:11" x14ac:dyDescent="0.35">
      <c r="A6150" s="9" t="str">
        <f>HYPERLINK("http://www.ensembl.org/id/WBGene00022815", "WBGene00022815")</f>
        <v>WBGene00022815</v>
      </c>
      <c r="B6150" s="9" t="str">
        <f>HYPERLINK("http://www.ncbi.nlm.nih.gov/gene/191422", "191422")</f>
        <v>191422</v>
      </c>
      <c r="C6150" s="9" t="str">
        <f>HYPERLINK("http://www.ncbi.nlm.nih.gov/gene/6340", "6340")</f>
        <v>6340</v>
      </c>
      <c r="D6150" t="str">
        <f>"asic-1"</f>
        <v>asic-1</v>
      </c>
      <c r="E6150" t="s">
        <v>4757</v>
      </c>
      <c r="F6150" t="s">
        <v>11</v>
      </c>
      <c r="G6150" t="s">
        <v>4758</v>
      </c>
      <c r="H6150" s="12">
        <v>1.4102006648994301</v>
      </c>
      <c r="I6150" s="20">
        <v>1.1094881296636201</v>
      </c>
      <c r="J6150" s="28">
        <v>0.26721966243344197</v>
      </c>
      <c r="K6150" s="29">
        <v>0.98289565623980701</v>
      </c>
    </row>
    <row r="6151" spans="1:11" x14ac:dyDescent="0.35">
      <c r="A6151" s="9" t="str">
        <f>HYPERLINK("http://www.ensembl.org/id/WBGene00012137", "WBGene00012137")</f>
        <v>WBGene00012137</v>
      </c>
      <c r="B6151" s="9" t="str">
        <f>HYPERLINK("http://www.ncbi.nlm.nih.gov/gene/189058", "189058")</f>
        <v>189058</v>
      </c>
      <c r="C6151" s="9" t="str">
        <f>HYPERLINK("http://www.ncbi.nlm.nih.gov/gene/6340", "6340")</f>
        <v>6340</v>
      </c>
      <c r="D6151" t="str">
        <f>"asic-2"</f>
        <v>asic-2</v>
      </c>
      <c r="E6151" t="s">
        <v>4518</v>
      </c>
      <c r="F6151" t="s">
        <v>11</v>
      </c>
      <c r="G6151" t="s">
        <v>1576</v>
      </c>
      <c r="H6151" s="12">
        <v>1.78322639051479</v>
      </c>
      <c r="I6151" s="20">
        <v>1.1620542258639299</v>
      </c>
      <c r="J6151" s="28">
        <v>0.24521343916265001</v>
      </c>
      <c r="K6151" s="29">
        <v>0.98289565623980701</v>
      </c>
    </row>
    <row r="6152" spans="1:11" x14ac:dyDescent="0.35">
      <c r="A6152" s="9" t="str">
        <f>HYPERLINK("http://www.ensembl.org/id/WBGene00014025", "WBGene00014025")</f>
        <v>WBGene00014025</v>
      </c>
      <c r="B6152" s="9" t="str">
        <f>HYPERLINK("http://www.ncbi.nlm.nih.gov/gene/176254", "176254")</f>
        <v>176254</v>
      </c>
      <c r="C6152" s="9" t="str">
        <f>HYPERLINK("http://www.ncbi.nlm.nih.gov/gene/439", "439")</f>
        <v>439</v>
      </c>
      <c r="D6152" t="str">
        <f>"asna-1"</f>
        <v>asna-1</v>
      </c>
      <c r="E6152" t="s">
        <v>6988</v>
      </c>
      <c r="F6152" t="s">
        <v>11</v>
      </c>
      <c r="G6152" t="s">
        <v>1460</v>
      </c>
      <c r="H6152" s="12">
        <v>-1.1009756865173901</v>
      </c>
      <c r="I6152" s="20">
        <v>-0.52854031252559897</v>
      </c>
      <c r="J6152" s="28">
        <v>0.597124375071861</v>
      </c>
      <c r="K6152" s="29">
        <v>0.98289565623980701</v>
      </c>
    </row>
    <row r="6153" spans="1:11" x14ac:dyDescent="0.35">
      <c r="A6153" s="9" t="str">
        <f>HYPERLINK("http://www.ensembl.org/id/WBGene00003816", "WBGene00003816")</f>
        <v>WBGene00003816</v>
      </c>
      <c r="B6153" s="9" t="str">
        <f>HYPERLINK("http://www.ncbi.nlm.nih.gov/gene/184935", "184935")</f>
        <v>184935</v>
      </c>
      <c r="C6153" s="9" t="str">
        <f>HYPERLINK("http://www.ncbi.nlm.nih.gov/gene/440", "440")</f>
        <v>440</v>
      </c>
      <c r="D6153" t="str">
        <f>"asns-1"</f>
        <v>asns-1</v>
      </c>
      <c r="E6153" t="s">
        <v>4587</v>
      </c>
      <c r="F6153" t="s">
        <v>11</v>
      </c>
      <c r="G6153" t="s">
        <v>4588</v>
      </c>
      <c r="H6153" s="12">
        <v>1.6381090130601901</v>
      </c>
      <c r="I6153" s="20">
        <v>1.0523421742938801</v>
      </c>
      <c r="J6153" s="28">
        <v>0.29264258870575699</v>
      </c>
      <c r="K6153" s="29">
        <v>0.98289565623980701</v>
      </c>
    </row>
    <row r="6154" spans="1:11" x14ac:dyDescent="0.35">
      <c r="A6154" s="9" t="str">
        <f>HYPERLINK("http://www.ensembl.org/id/WBGene00019730", "WBGene00019730")</f>
        <v>WBGene00019730</v>
      </c>
      <c r="B6154" s="9" t="str">
        <f>HYPERLINK("http://www.ncbi.nlm.nih.gov/gene/181121", "181121")</f>
        <v>181121</v>
      </c>
      <c r="C6154" s="9"/>
      <c r="D6154" t="str">
        <f>"asns-2"</f>
        <v>asns-2</v>
      </c>
      <c r="E6154" t="s">
        <v>4587</v>
      </c>
      <c r="F6154" t="s">
        <v>11</v>
      </c>
      <c r="G6154" t="s">
        <v>4588</v>
      </c>
      <c r="H6154" s="12">
        <v>-1.0979671140348699</v>
      </c>
      <c r="I6154" s="20">
        <v>-0.50211765728770996</v>
      </c>
      <c r="J6154" s="28">
        <v>0.61558476029068898</v>
      </c>
      <c r="K6154" s="29">
        <v>0.98289565623980701</v>
      </c>
    </row>
    <row r="6155" spans="1:11" x14ac:dyDescent="0.35">
      <c r="A6155" s="9" t="str">
        <f>HYPERLINK("http://www.ensembl.org/id/WBGene00017677", "WBGene00017677")</f>
        <v>WBGene00017677</v>
      </c>
      <c r="B6155" s="9"/>
      <c r="C6155" s="9"/>
      <c r="D6155" t="str">
        <f>"asp-11"</f>
        <v>asp-11</v>
      </c>
      <c r="F6155" t="s">
        <v>80</v>
      </c>
      <c r="H6155" s="12">
        <v>-1.77127738200148</v>
      </c>
      <c r="I6155" s="20">
        <v>-1.1265266947861801</v>
      </c>
      <c r="J6155" s="28">
        <v>0.25994264783746002</v>
      </c>
      <c r="K6155" s="29">
        <v>0.98289565623980701</v>
      </c>
    </row>
    <row r="6156" spans="1:11" x14ac:dyDescent="0.35">
      <c r="A6156" s="9" t="str">
        <f>HYPERLINK("http://www.ensembl.org/id/WBGene00017678", "WBGene00017678")</f>
        <v>WBGene00017678</v>
      </c>
      <c r="B6156" s="9" t="str">
        <f>HYPERLINK("http://www.ncbi.nlm.nih.gov/gene/179210", "179210")</f>
        <v>179210</v>
      </c>
      <c r="C6156" s="9"/>
      <c r="D6156" t="str">
        <f>"asp-12"</f>
        <v>asp-12</v>
      </c>
      <c r="E6156" t="s">
        <v>1521</v>
      </c>
      <c r="F6156" t="s">
        <v>11</v>
      </c>
      <c r="G6156" t="s">
        <v>5449</v>
      </c>
      <c r="H6156" s="12">
        <v>1.16324036954278</v>
      </c>
      <c r="I6156" s="20">
        <v>0.58778399284232696</v>
      </c>
      <c r="J6156" s="28">
        <v>0.55667728962715501</v>
      </c>
      <c r="K6156" s="29">
        <v>0.98289565623980701</v>
      </c>
    </row>
    <row r="6157" spans="1:11" x14ac:dyDescent="0.35">
      <c r="A6157" s="9" t="str">
        <f>HYPERLINK("http://www.ensembl.org/id/WBGene00019619", "WBGene00019619")</f>
        <v>WBGene00019619</v>
      </c>
      <c r="B6157" s="9" t="str">
        <f>HYPERLINK("http://www.ncbi.nlm.nih.gov/gene/180917", "180917")</f>
        <v>180917</v>
      </c>
      <c r="C6157" s="9"/>
      <c r="D6157" t="str">
        <f>"asp-14"</f>
        <v>asp-14</v>
      </c>
      <c r="E6157" t="s">
        <v>1521</v>
      </c>
      <c r="F6157" t="s">
        <v>11</v>
      </c>
      <c r="G6157" t="s">
        <v>7680</v>
      </c>
      <c r="H6157" s="12">
        <v>-1.13907770427106</v>
      </c>
      <c r="I6157" s="20">
        <v>-0.72185635709644502</v>
      </c>
      <c r="J6157" s="28">
        <v>0.47038279595964899</v>
      </c>
      <c r="K6157" s="29">
        <v>0.98289565623980701</v>
      </c>
    </row>
    <row r="6158" spans="1:11" x14ac:dyDescent="0.35">
      <c r="A6158" s="9" t="str">
        <f>HYPERLINK("http://www.ensembl.org/id/WBGene00012682", "WBGene00012682")</f>
        <v>WBGene00012682</v>
      </c>
      <c r="B6158" s="9" t="str">
        <f>HYPERLINK("http://www.ncbi.nlm.nih.gov/gene/260226", "260226")</f>
        <v>260226</v>
      </c>
      <c r="C6158" s="9"/>
      <c r="D6158" t="str">
        <f>"asp-16"</f>
        <v>asp-16</v>
      </c>
      <c r="E6158" t="s">
        <v>1521</v>
      </c>
      <c r="F6158" t="s">
        <v>11</v>
      </c>
      <c r="G6158" t="s">
        <v>10057</v>
      </c>
      <c r="H6158" s="12">
        <v>-21.252610692142799</v>
      </c>
      <c r="I6158" s="20">
        <v>-1.1632991581032299</v>
      </c>
      <c r="J6158" s="28">
        <v>0.244708147149415</v>
      </c>
      <c r="K6158" s="29">
        <v>0.98289565623980701</v>
      </c>
    </row>
    <row r="6159" spans="1:11" x14ac:dyDescent="0.35">
      <c r="A6159" s="9" t="str">
        <f>HYPERLINK("http://www.ensembl.org/id/WBGene00013973", "WBGene00013973")</f>
        <v>WBGene00013973</v>
      </c>
      <c r="B6159" s="9" t="str">
        <f>HYPERLINK("http://www.ncbi.nlm.nih.gov/gene/191310", "191310")</f>
        <v>191310</v>
      </c>
      <c r="C6159" s="9"/>
      <c r="D6159" t="str">
        <f>"asp-18"</f>
        <v>asp-18</v>
      </c>
      <c r="E6159" t="s">
        <v>1521</v>
      </c>
      <c r="F6159" t="s">
        <v>11</v>
      </c>
      <c r="G6159" t="s">
        <v>10057</v>
      </c>
      <c r="H6159" s="12">
        <v>-2.4295389261469</v>
      </c>
      <c r="I6159" s="20">
        <v>-0.25808529976640998</v>
      </c>
      <c r="J6159" s="28">
        <v>0.79634107645457397</v>
      </c>
      <c r="K6159" s="29">
        <v>0.98289565623980701</v>
      </c>
    </row>
    <row r="6160" spans="1:11" x14ac:dyDescent="0.35">
      <c r="A6160" s="9" t="str">
        <f>HYPERLINK("http://www.ensembl.org/id/WBGene00000215", "WBGene00000215")</f>
        <v>WBGene00000215</v>
      </c>
      <c r="B6160" s="9" t="str">
        <f>HYPERLINK("http://www.ncbi.nlm.nih.gov/gene/34700645", "34700645")</f>
        <v>34700645</v>
      </c>
      <c r="C6160" s="9"/>
      <c r="D6160" t="str">
        <f>"asp-2"</f>
        <v>asp-2</v>
      </c>
      <c r="E6160" t="s">
        <v>1521</v>
      </c>
      <c r="F6160" t="s">
        <v>11</v>
      </c>
      <c r="G6160" t="s">
        <v>1522</v>
      </c>
      <c r="H6160" s="12">
        <v>-1.2004676485085899</v>
      </c>
      <c r="I6160" s="20">
        <v>-1.01648897205265</v>
      </c>
      <c r="J6160" s="28">
        <v>0.30939659636399702</v>
      </c>
      <c r="K6160" s="29">
        <v>0.98289565623980701</v>
      </c>
    </row>
    <row r="6161" spans="1:11" x14ac:dyDescent="0.35">
      <c r="A6161" s="9" t="str">
        <f>HYPERLINK("http://www.ensembl.org/id/WBGene00019104", "WBGene00019104")</f>
        <v>WBGene00019104</v>
      </c>
      <c r="B6161" s="9" t="str">
        <f>HYPERLINK("http://www.ncbi.nlm.nih.gov/gene/186613", "186613")</f>
        <v>186613</v>
      </c>
      <c r="C6161" s="9"/>
      <c r="D6161" t="str">
        <f>"asp-7"</f>
        <v>asp-7</v>
      </c>
      <c r="E6161" t="s">
        <v>1521</v>
      </c>
      <c r="F6161" t="s">
        <v>11</v>
      </c>
      <c r="G6161" t="s">
        <v>4212</v>
      </c>
      <c r="H6161" s="12">
        <v>10.8131830636529</v>
      </c>
      <c r="I6161" s="20">
        <v>0.70982715185838596</v>
      </c>
      <c r="J6161" s="28">
        <v>0.477811329444844</v>
      </c>
      <c r="K6161" s="29">
        <v>0.98289565623980701</v>
      </c>
    </row>
    <row r="6162" spans="1:11" x14ac:dyDescent="0.35">
      <c r="A6162" s="9" t="str">
        <f>HYPERLINK("http://www.ensembl.org/id/WBGene00015700", "WBGene00015700")</f>
        <v>WBGene00015700</v>
      </c>
      <c r="B6162" s="9" t="str">
        <f>HYPERLINK("http://www.ncbi.nlm.nih.gov/gene/182511", "182511")</f>
        <v>182511</v>
      </c>
      <c r="C6162" s="9"/>
      <c r="D6162" t="str">
        <f>"asp-9"</f>
        <v>asp-9</v>
      </c>
      <c r="E6162" t="s">
        <v>1521</v>
      </c>
      <c r="F6162" t="s">
        <v>11</v>
      </c>
      <c r="G6162" t="s">
        <v>1522</v>
      </c>
      <c r="H6162" s="12">
        <v>1.4432373198856601</v>
      </c>
      <c r="I6162" s="20">
        <v>0.50194224736499005</v>
      </c>
      <c r="J6162" s="28">
        <v>0.61570814624223802</v>
      </c>
      <c r="K6162" s="29">
        <v>0.98289565623980701</v>
      </c>
    </row>
    <row r="6163" spans="1:11" x14ac:dyDescent="0.35">
      <c r="A6163" s="9" t="str">
        <f>HYPERLINK("http://www.ensembl.org/id/WBGene00008107", "WBGene00008107")</f>
        <v>WBGene00008107</v>
      </c>
      <c r="B6163" s="9" t="str">
        <f>HYPERLINK("http://www.ncbi.nlm.nih.gov/gene/172746", "172746")</f>
        <v>172746</v>
      </c>
      <c r="C6163" s="9"/>
      <c r="D6163" t="str">
        <f>"aspm-1"</f>
        <v>aspm-1</v>
      </c>
      <c r="F6163" t="s">
        <v>11</v>
      </c>
      <c r="G6163" t="s">
        <v>8479</v>
      </c>
      <c r="H6163" s="12">
        <v>-1.1797234188252801</v>
      </c>
      <c r="I6163" s="20">
        <v>-0.69549399710564497</v>
      </c>
      <c r="J6163" s="28">
        <v>0.48674577184203599</v>
      </c>
      <c r="K6163" s="29">
        <v>0.98289565623980701</v>
      </c>
    </row>
    <row r="6164" spans="1:11" x14ac:dyDescent="0.35">
      <c r="A6164" s="9" t="str">
        <f>HYPERLINK("http://www.ensembl.org/id/WBGene00021059", "WBGene00021059")</f>
        <v>WBGene00021059</v>
      </c>
      <c r="B6164" s="9" t="str">
        <f>HYPERLINK("http://www.ncbi.nlm.nih.gov/gene/180852", "180852")</f>
        <v>180852</v>
      </c>
      <c r="C6164" s="9"/>
      <c r="D6164" t="str">
        <f>"atat-2"</f>
        <v>atat-2</v>
      </c>
      <c r="E6164" t="s">
        <v>7256</v>
      </c>
      <c r="F6164" t="s">
        <v>11</v>
      </c>
      <c r="G6164" t="s">
        <v>7257</v>
      </c>
      <c r="H6164" s="12">
        <v>-1.1158669623473401</v>
      </c>
      <c r="I6164" s="20">
        <v>-0.529453497955925</v>
      </c>
      <c r="J6164" s="28">
        <v>0.59649089488762397</v>
      </c>
      <c r="K6164" s="29">
        <v>0.98289565623980701</v>
      </c>
    </row>
    <row r="6165" spans="1:11" x14ac:dyDescent="0.35">
      <c r="A6165" s="9" t="str">
        <f>HYPERLINK("http://www.ensembl.org/id/WBGene00010615", "WBGene00010615")</f>
        <v>WBGene00010615</v>
      </c>
      <c r="B6165" s="9" t="str">
        <f>HYPERLINK("http://www.ncbi.nlm.nih.gov/gene/172800", "172800")</f>
        <v>172800</v>
      </c>
      <c r="C6165" s="9" t="str">
        <f>HYPERLINK("http://www.ncbi.nlm.nih.gov/gene/11101", "11101")</f>
        <v>11101</v>
      </c>
      <c r="D6165" t="str">
        <f>"ate-1"</f>
        <v>ate-1</v>
      </c>
      <c r="E6165" t="s">
        <v>6716</v>
      </c>
      <c r="F6165" t="s">
        <v>11</v>
      </c>
      <c r="G6165" t="s">
        <v>6717</v>
      </c>
      <c r="H6165" s="12">
        <v>-1.0859569269312199</v>
      </c>
      <c r="I6165" s="20">
        <v>-0.41492002875929701</v>
      </c>
      <c r="J6165" s="28">
        <v>0.67820044719455397</v>
      </c>
      <c r="K6165" s="29">
        <v>0.98289565623980701</v>
      </c>
    </row>
    <row r="6166" spans="1:11" x14ac:dyDescent="0.35">
      <c r="A6166" s="9" t="str">
        <f>HYPERLINK("http://www.ensembl.org/id/WBGene00000220", "WBGene00000220")</f>
        <v>WBGene00000220</v>
      </c>
      <c r="B6166" s="9" t="str">
        <f>HYPERLINK("http://www.ncbi.nlm.nih.gov/gene/174399", "174399")</f>
        <v>174399</v>
      </c>
      <c r="C6166" s="9"/>
      <c r="D6166" t="str">
        <f>"atf-2"</f>
        <v>atf-2</v>
      </c>
      <c r="E6166" t="s">
        <v>7006</v>
      </c>
      <c r="F6166" t="s">
        <v>11</v>
      </c>
      <c r="G6166" t="s">
        <v>7233</v>
      </c>
      <c r="H6166" s="12">
        <v>-1.1147931312522299</v>
      </c>
      <c r="I6166" s="20">
        <v>-0.54936241088052296</v>
      </c>
      <c r="J6166" s="28">
        <v>0.58275676477454597</v>
      </c>
      <c r="K6166" s="29">
        <v>0.98289565623980701</v>
      </c>
    </row>
    <row r="6167" spans="1:11" x14ac:dyDescent="0.35">
      <c r="A6167" s="9" t="str">
        <f>HYPERLINK("http://www.ensembl.org/id/WBGene00000222", "WBGene00000222")</f>
        <v>WBGene00000222</v>
      </c>
      <c r="B6167" s="9" t="str">
        <f>HYPERLINK("http://www.ncbi.nlm.nih.gov/gene/181405", "181405")</f>
        <v>181405</v>
      </c>
      <c r="C6167" s="9"/>
      <c r="D6167" t="str">
        <f>"atf-6"</f>
        <v>atf-6</v>
      </c>
      <c r="E6167" t="s">
        <v>7006</v>
      </c>
      <c r="F6167" t="s">
        <v>11</v>
      </c>
      <c r="G6167" t="s">
        <v>7015</v>
      </c>
      <c r="H6167" s="12">
        <v>-1.1023972810587801</v>
      </c>
      <c r="I6167" s="20">
        <v>-0.478947795026957</v>
      </c>
      <c r="J6167" s="28">
        <v>0.63197576805414801</v>
      </c>
      <c r="K6167" s="29">
        <v>0.98289565623980701</v>
      </c>
    </row>
    <row r="6168" spans="1:11" x14ac:dyDescent="0.35">
      <c r="A6168" s="9" t="str">
        <f>HYPERLINK("http://www.ensembl.org/id/WBGene00000223", "WBGene00000223")</f>
        <v>WBGene00000223</v>
      </c>
      <c r="B6168" s="9" t="str">
        <f>HYPERLINK("http://www.ncbi.nlm.nih.gov/gene/175587", "175587")</f>
        <v>175587</v>
      </c>
      <c r="C6168" s="9"/>
      <c r="D6168" t="str">
        <f>"atf-7"</f>
        <v>atf-7</v>
      </c>
      <c r="E6168" t="s">
        <v>7006</v>
      </c>
      <c r="F6168" t="s">
        <v>11</v>
      </c>
      <c r="G6168" t="s">
        <v>7007</v>
      </c>
      <c r="H6168" s="12">
        <v>-1.1019525132658099</v>
      </c>
      <c r="I6168" s="20">
        <v>-0.54348893423605205</v>
      </c>
      <c r="J6168" s="28">
        <v>0.58679320779294297</v>
      </c>
      <c r="K6168" s="29">
        <v>0.98289565623980701</v>
      </c>
    </row>
    <row r="6169" spans="1:11" x14ac:dyDescent="0.35">
      <c r="A6169" s="9" t="str">
        <f>HYPERLINK("http://www.ensembl.org/id/WBGene00013878", "WBGene00013878")</f>
        <v>WBGene00013878</v>
      </c>
      <c r="B6169" s="9" t="str">
        <f>HYPERLINK("http://www.ncbi.nlm.nih.gov/gene/179922", "179922")</f>
        <v>179922</v>
      </c>
      <c r="C6169" s="9"/>
      <c r="D6169" t="str">
        <f>"atfs-1"</f>
        <v>atfs-1</v>
      </c>
      <c r="E6169" t="s">
        <v>9281</v>
      </c>
      <c r="F6169" t="s">
        <v>11</v>
      </c>
      <c r="G6169" t="s">
        <v>365</v>
      </c>
      <c r="H6169" s="12">
        <v>-1.23347716309991</v>
      </c>
      <c r="I6169" s="20">
        <v>-1.05609977223702</v>
      </c>
      <c r="J6169" s="28">
        <v>0.290922634456865</v>
      </c>
      <c r="K6169" s="29">
        <v>0.98289565623980701</v>
      </c>
    </row>
    <row r="6170" spans="1:11" x14ac:dyDescent="0.35">
      <c r="A6170" s="9" t="str">
        <f>HYPERLINK("http://www.ensembl.org/id/WBGene00008427", "WBGene00008427")</f>
        <v>WBGene00008427</v>
      </c>
      <c r="B6170" s="9" t="str">
        <f>HYPERLINK("http://www.ncbi.nlm.nih.gov/gene/183959", "183959")</f>
        <v>183959</v>
      </c>
      <c r="C6170" s="9"/>
      <c r="D6170" t="str">
        <f>"atg-10"</f>
        <v>atg-10</v>
      </c>
      <c r="E6170" t="s">
        <v>6839</v>
      </c>
      <c r="F6170" t="s">
        <v>11</v>
      </c>
      <c r="G6170" t="s">
        <v>2085</v>
      </c>
      <c r="H6170" s="12">
        <v>-1.30108622486272</v>
      </c>
      <c r="I6170" s="20">
        <v>-0.60010161110623705</v>
      </c>
      <c r="J6170" s="28">
        <v>0.54843851892346096</v>
      </c>
      <c r="K6170" s="29">
        <v>0.98289565623980701</v>
      </c>
    </row>
    <row r="6171" spans="1:11" x14ac:dyDescent="0.35">
      <c r="A6171" s="9" t="str">
        <f>HYPERLINK("http://www.ensembl.org/id/WBGene00018294", "WBGene00018294")</f>
        <v>WBGene00018294</v>
      </c>
      <c r="B6171" s="9" t="str">
        <f>HYPERLINK("http://www.ncbi.nlm.nih.gov/gene/179246", "179246")</f>
        <v>179246</v>
      </c>
      <c r="C6171" s="9" t="str">
        <f>HYPERLINK("http://www.ncbi.nlm.nih.gov/gene/26100", "26100")</f>
        <v>26100</v>
      </c>
      <c r="D6171" t="str">
        <f>"atg-18"</f>
        <v>atg-18</v>
      </c>
      <c r="E6171" t="s">
        <v>6839</v>
      </c>
      <c r="F6171" t="s">
        <v>11</v>
      </c>
      <c r="G6171" t="s">
        <v>7571</v>
      </c>
      <c r="H6171" s="12">
        <v>-1.13391200067654</v>
      </c>
      <c r="I6171" s="20">
        <v>-0.69500601141847995</v>
      </c>
      <c r="J6171" s="28">
        <v>0.48705153427386799</v>
      </c>
      <c r="K6171" s="29">
        <v>0.98289565623980701</v>
      </c>
    </row>
    <row r="6172" spans="1:11" x14ac:dyDescent="0.35">
      <c r="A6172" s="9" t="str">
        <f>HYPERLINK("http://www.ensembl.org/id/WBGene00021922", "WBGene00021922")</f>
        <v>WBGene00021922</v>
      </c>
      <c r="B6172" s="9" t="str">
        <f>HYPERLINK("http://www.ncbi.nlm.nih.gov/gene/176921", "176921")</f>
        <v>176921</v>
      </c>
      <c r="C6172" s="9" t="str">
        <f>HYPERLINK("http://www.ncbi.nlm.nih.gov/gene/64422", "64422")</f>
        <v>64422</v>
      </c>
      <c r="D6172" t="str">
        <f>"atg-3"</f>
        <v>atg-3</v>
      </c>
      <c r="E6172" t="s">
        <v>6218</v>
      </c>
      <c r="F6172" t="s">
        <v>11</v>
      </c>
      <c r="G6172" t="s">
        <v>6219</v>
      </c>
      <c r="H6172" s="12">
        <v>-1.0543665548683701</v>
      </c>
      <c r="I6172" s="20">
        <v>-0.281175350739793</v>
      </c>
      <c r="J6172" s="28">
        <v>0.77857590958230005</v>
      </c>
      <c r="K6172" s="29">
        <v>0.98289565623980701</v>
      </c>
    </row>
    <row r="6173" spans="1:11" x14ac:dyDescent="0.35">
      <c r="A6173" s="9" t="str">
        <f>HYPERLINK("http://www.ensembl.org/id/WBGene00013595", "WBGene00013595")</f>
        <v>WBGene00013595</v>
      </c>
      <c r="B6173" s="9" t="str">
        <f>HYPERLINK("http://www.ncbi.nlm.nih.gov/gene/190777", "190777")</f>
        <v>190777</v>
      </c>
      <c r="C6173" s="9" t="str">
        <f>HYPERLINK("http://www.ncbi.nlm.nih.gov/gene/115201", "115201")</f>
        <v>115201</v>
      </c>
      <c r="D6173" t="str">
        <f>"atg-4.1"</f>
        <v>atg-4.1</v>
      </c>
      <c r="E6173" t="s">
        <v>5002</v>
      </c>
      <c r="F6173" t="s">
        <v>11</v>
      </c>
      <c r="G6173" t="s">
        <v>5003</v>
      </c>
      <c r="H6173" s="12">
        <v>1.0842283227160601</v>
      </c>
      <c r="I6173" s="20">
        <v>0.42857833998636002</v>
      </c>
      <c r="J6173" s="28">
        <v>0.66823011116731501</v>
      </c>
      <c r="K6173" s="29">
        <v>0.98289565623980701</v>
      </c>
    </row>
    <row r="6174" spans="1:11" x14ac:dyDescent="0.35">
      <c r="A6174" s="9" t="str">
        <f>HYPERLINK("http://www.ensembl.org/id/WBGene00014080", "WBGene00014080")</f>
        <v>WBGene00014080</v>
      </c>
      <c r="B6174" s="9" t="str">
        <f>HYPERLINK("http://www.ncbi.nlm.nih.gov/gene/3565022", "3565022")</f>
        <v>3565022</v>
      </c>
      <c r="C6174" s="9" t="str">
        <f>HYPERLINK("http://www.ncbi.nlm.nih.gov/gene/84971", "84971")</f>
        <v>84971</v>
      </c>
      <c r="D6174" t="str">
        <f>"atg-4.2"</f>
        <v>atg-4.2</v>
      </c>
      <c r="E6174" t="s">
        <v>5002</v>
      </c>
      <c r="F6174" t="s">
        <v>11</v>
      </c>
      <c r="G6174" t="s">
        <v>5003</v>
      </c>
      <c r="H6174" s="12">
        <v>1.2659362794192099</v>
      </c>
      <c r="I6174" s="20">
        <v>1.08625287467964</v>
      </c>
      <c r="J6174" s="28">
        <v>0.27736713009008701</v>
      </c>
      <c r="K6174" s="29">
        <v>0.98289565623980701</v>
      </c>
    </row>
    <row r="6175" spans="1:11" x14ac:dyDescent="0.35">
      <c r="A6175" s="9" t="str">
        <f>HYPERLINK("http://www.ensembl.org/id/WBGene00022152", "WBGene00022152")</f>
        <v>WBGene00022152</v>
      </c>
      <c r="B6175" s="9" t="str">
        <f>HYPERLINK("http://www.ncbi.nlm.nih.gov/gene/171735", "171735")</f>
        <v>171735</v>
      </c>
      <c r="C6175" s="9" t="str">
        <f>HYPERLINK("http://www.ncbi.nlm.nih.gov/gene/9474", "9474")</f>
        <v>9474</v>
      </c>
      <c r="D6175" t="str">
        <f>"atg-5"</f>
        <v>atg-5</v>
      </c>
      <c r="E6175" t="s">
        <v>6284</v>
      </c>
      <c r="F6175" t="s">
        <v>11</v>
      </c>
      <c r="G6175" t="s">
        <v>6285</v>
      </c>
      <c r="H6175" s="12">
        <v>-1.0598567596552499</v>
      </c>
      <c r="I6175" s="20">
        <v>-0.27332436979587699</v>
      </c>
      <c r="J6175" s="28">
        <v>0.78460388389251701</v>
      </c>
      <c r="K6175" s="29">
        <v>0.98289565623980701</v>
      </c>
    </row>
    <row r="6176" spans="1:11" x14ac:dyDescent="0.35">
      <c r="A6176" s="9" t="str">
        <f>HYPERLINK("http://www.ensembl.org/id/WBGene00010882", "WBGene00010882")</f>
        <v>WBGene00010882</v>
      </c>
      <c r="B6176" s="9" t="str">
        <f>HYPERLINK("http://www.ncbi.nlm.nih.gov/gene/178005", "178005")</f>
        <v>178005</v>
      </c>
      <c r="C6176" s="9" t="str">
        <f>HYPERLINK("http://www.ncbi.nlm.nih.gov/gene/10533", "10533")</f>
        <v>10533</v>
      </c>
      <c r="D6176" t="str">
        <f>"atg-7"</f>
        <v>atg-7</v>
      </c>
      <c r="E6176" t="s">
        <v>6839</v>
      </c>
      <c r="F6176" t="s">
        <v>11</v>
      </c>
      <c r="G6176" t="s">
        <v>6840</v>
      </c>
      <c r="H6176" s="12">
        <v>-1.0920711336081199</v>
      </c>
      <c r="I6176" s="20">
        <v>-0.465180132447223</v>
      </c>
      <c r="J6176" s="28">
        <v>0.64180246507503202</v>
      </c>
      <c r="K6176" s="29">
        <v>0.98289565623980701</v>
      </c>
    </row>
    <row r="6177" spans="1:11" x14ac:dyDescent="0.35">
      <c r="A6177" s="9" t="str">
        <f>HYPERLINK("http://www.ensembl.org/id/WBGene00015484", "WBGene00015484")</f>
        <v>WBGene00015484</v>
      </c>
      <c r="B6177" s="9" t="str">
        <f>HYPERLINK("http://www.ncbi.nlm.nih.gov/gene/175910", "175910")</f>
        <v>175910</v>
      </c>
      <c r="C6177" s="9" t="str">
        <f>HYPERLINK("http://www.ncbi.nlm.nih.gov/gene/57104", "57104")</f>
        <v>57104</v>
      </c>
      <c r="D6177" t="str">
        <f>"atgl-1"</f>
        <v>atgl-1</v>
      </c>
      <c r="E6177" t="s">
        <v>9385</v>
      </c>
      <c r="F6177" t="s">
        <v>11</v>
      </c>
      <c r="G6177" t="s">
        <v>9386</v>
      </c>
      <c r="H6177" s="12">
        <v>-1.2425481184551499</v>
      </c>
      <c r="I6177" s="20">
        <v>-1.1990891243308801</v>
      </c>
      <c r="J6177" s="28">
        <v>0.23049329250857001</v>
      </c>
      <c r="K6177" s="29">
        <v>0.98289565623980701</v>
      </c>
    </row>
    <row r="6178" spans="1:11" x14ac:dyDescent="0.35">
      <c r="A6178" s="9" t="str">
        <f>HYPERLINK("http://www.ensembl.org/id/WBGene00000225", "WBGene00000225")</f>
        <v>WBGene00000225</v>
      </c>
      <c r="B6178" s="9" t="str">
        <f>HYPERLINK("http://www.ncbi.nlm.nih.gov/gene/175125", "175125")</f>
        <v>175125</v>
      </c>
      <c r="C6178" s="9"/>
      <c r="D6178" t="str">
        <f>"atgp-2"</f>
        <v>atgp-2</v>
      </c>
      <c r="E6178" t="s">
        <v>7069</v>
      </c>
      <c r="F6178" t="s">
        <v>11</v>
      </c>
      <c r="G6178" t="s">
        <v>7070</v>
      </c>
      <c r="H6178" s="12">
        <v>-1.10549283913231</v>
      </c>
      <c r="I6178" s="20">
        <v>-0.49720183880092</v>
      </c>
      <c r="J6178" s="28">
        <v>0.61904672487897605</v>
      </c>
      <c r="K6178" s="29">
        <v>0.98289565623980701</v>
      </c>
    </row>
    <row r="6179" spans="1:11" x14ac:dyDescent="0.35">
      <c r="A6179" s="9" t="str">
        <f>HYPERLINK("http://www.ensembl.org/id/WBGene00010564", "WBGene00010564")</f>
        <v>WBGene00010564</v>
      </c>
      <c r="B6179" s="9" t="str">
        <f>HYPERLINK("http://www.ncbi.nlm.nih.gov/gene/172587", "172587")</f>
        <v>172587</v>
      </c>
      <c r="C6179" s="9" t="str">
        <f>HYPERLINK("http://www.ncbi.nlm.nih.gov/gene/10434", "10434")</f>
        <v>10434</v>
      </c>
      <c r="D6179" t="str">
        <f>"ath-1"</f>
        <v>ath-1</v>
      </c>
      <c r="E6179" t="s">
        <v>7477</v>
      </c>
      <c r="F6179" t="s">
        <v>11</v>
      </c>
      <c r="G6179" t="s">
        <v>7478</v>
      </c>
      <c r="H6179" s="12">
        <v>-1.12821951652662</v>
      </c>
      <c r="I6179" s="20">
        <v>-0.63710184282559201</v>
      </c>
      <c r="J6179" s="28">
        <v>0.52405850828310396</v>
      </c>
      <c r="K6179" s="29">
        <v>0.98289565623980701</v>
      </c>
    </row>
    <row r="6180" spans="1:11" x14ac:dyDescent="0.35">
      <c r="A6180" s="9" t="str">
        <f>HYPERLINK("http://www.ensembl.org/id/WBGene00016957", "WBGene00016957")</f>
        <v>WBGene00016957</v>
      </c>
      <c r="B6180" s="9" t="str">
        <f>HYPERLINK("http://www.ncbi.nlm.nih.gov/gene/177576", "177576")</f>
        <v>177576</v>
      </c>
      <c r="C6180" s="9" t="str">
        <f>HYPERLINK("http://www.ncbi.nlm.nih.gov/gene/471", "471")</f>
        <v>471</v>
      </c>
      <c r="D6180" t="str">
        <f>"atic-1"</f>
        <v>atic-1</v>
      </c>
      <c r="E6180" t="s">
        <v>5679</v>
      </c>
      <c r="F6180" t="s">
        <v>11</v>
      </c>
      <c r="G6180" t="s">
        <v>5680</v>
      </c>
      <c r="H6180" s="12">
        <v>1.1241904912593901</v>
      </c>
      <c r="I6180" s="20">
        <v>0.56929798150589395</v>
      </c>
      <c r="J6180" s="28">
        <v>0.56915393641003198</v>
      </c>
      <c r="K6180" s="29">
        <v>0.98289565623980701</v>
      </c>
    </row>
    <row r="6181" spans="1:11" x14ac:dyDescent="0.35">
      <c r="A6181" s="9" t="str">
        <f>HYPERLINK("http://www.ensembl.org/id/WBGene00000226", "WBGene00000226")</f>
        <v>WBGene00000226</v>
      </c>
      <c r="B6181" s="9" t="str">
        <f>HYPERLINK("http://www.ncbi.nlm.nih.gov/gene/179352", "179352")</f>
        <v>179352</v>
      </c>
      <c r="C6181" s="9"/>
      <c r="D6181" t="str">
        <f>"atl-1"</f>
        <v>atl-1</v>
      </c>
      <c r="E6181" t="s">
        <v>7978</v>
      </c>
      <c r="F6181" t="s">
        <v>11</v>
      </c>
      <c r="G6181" t="s">
        <v>7979</v>
      </c>
      <c r="H6181" s="12">
        <v>-1.15446737694224</v>
      </c>
      <c r="I6181" s="20">
        <v>-0.70794946573391504</v>
      </c>
      <c r="J6181" s="28">
        <v>0.47897663984688399</v>
      </c>
      <c r="K6181" s="29">
        <v>0.98289565623980701</v>
      </c>
    </row>
    <row r="6182" spans="1:11" x14ac:dyDescent="0.35">
      <c r="A6182" s="9" t="str">
        <f>HYPERLINK("http://www.ensembl.org/id/WBGene00000227", "WBGene00000227")</f>
        <v>WBGene00000227</v>
      </c>
      <c r="B6182" s="9" t="str">
        <f>HYPERLINK("http://www.ncbi.nlm.nih.gov/gene/3565793", "3565793")</f>
        <v>3565793</v>
      </c>
      <c r="C6182" s="9"/>
      <c r="D6182" t="str">
        <f>"atm-1"</f>
        <v>atm-1</v>
      </c>
      <c r="E6182" t="s">
        <v>9387</v>
      </c>
      <c r="F6182" t="s">
        <v>11</v>
      </c>
      <c r="G6182" t="s">
        <v>9388</v>
      </c>
      <c r="H6182" s="12">
        <v>-1.24282528227794</v>
      </c>
      <c r="I6182" s="20">
        <v>-0.84836747849115002</v>
      </c>
      <c r="J6182" s="28">
        <v>0.396233348479826</v>
      </c>
      <c r="K6182" s="29">
        <v>0.98289565623980701</v>
      </c>
    </row>
    <row r="6183" spans="1:11" x14ac:dyDescent="0.35">
      <c r="A6183" s="9" t="str">
        <f>HYPERLINK("http://www.ensembl.org/id/WBGene00010419", "WBGene00010419")</f>
        <v>WBGene00010419</v>
      </c>
      <c r="B6183" s="9" t="str">
        <f>HYPERLINK("http://www.ncbi.nlm.nih.gov/gene/173134", "173134")</f>
        <v>173134</v>
      </c>
      <c r="C6183" s="9" t="str">
        <f>HYPERLINK("http://www.ncbi.nlm.nih.gov/gene/498", "498")</f>
        <v>498</v>
      </c>
      <c r="D6183" t="str">
        <f>"atp-1"</f>
        <v>atp-1</v>
      </c>
      <c r="E6183" t="s">
        <v>8286</v>
      </c>
      <c r="F6183" t="s">
        <v>11</v>
      </c>
      <c r="G6183" t="s">
        <v>8287</v>
      </c>
      <c r="H6183" s="12">
        <v>-1.16886900658054</v>
      </c>
      <c r="I6183" s="20">
        <v>-0.80453159869728996</v>
      </c>
      <c r="J6183" s="28">
        <v>0.42109002779879601</v>
      </c>
      <c r="K6183" s="29">
        <v>0.98289565623980701</v>
      </c>
    </row>
    <row r="6184" spans="1:11" x14ac:dyDescent="0.35">
      <c r="A6184" s="9" t="str">
        <f>HYPERLINK("http://www.ensembl.org/id/WBGene00000229", "WBGene00000229")</f>
        <v>WBGene00000229</v>
      </c>
      <c r="B6184" s="9" t="str">
        <f>HYPERLINK("http://www.ncbi.nlm.nih.gov/gene/175716", "175716")</f>
        <v>175716</v>
      </c>
      <c r="C6184" s="9" t="str">
        <f>HYPERLINK("http://www.ncbi.nlm.nih.gov/gene/506", "506")</f>
        <v>506</v>
      </c>
      <c r="D6184" t="str">
        <f>"atp-2"</f>
        <v>atp-2</v>
      </c>
      <c r="E6184" t="s">
        <v>8681</v>
      </c>
      <c r="F6184" t="s">
        <v>11</v>
      </c>
      <c r="G6184" t="s">
        <v>8682</v>
      </c>
      <c r="H6184" s="12">
        <v>-1.19044082822849</v>
      </c>
      <c r="I6184" s="20">
        <v>-0.92227326603600102</v>
      </c>
      <c r="J6184" s="28">
        <v>0.35638605507467302</v>
      </c>
      <c r="K6184" s="29">
        <v>0.98289565623980701</v>
      </c>
    </row>
    <row r="6185" spans="1:11" x14ac:dyDescent="0.35">
      <c r="A6185" s="9" t="str">
        <f>HYPERLINK("http://www.ensembl.org/id/WBGene00000230", "WBGene00000230")</f>
        <v>WBGene00000230</v>
      </c>
      <c r="B6185" s="9" t="str">
        <f>HYPERLINK("http://www.ncbi.nlm.nih.gov/gene/172195", "172195")</f>
        <v>172195</v>
      </c>
      <c r="C6185" s="9" t="str">
        <f>HYPERLINK("http://www.ncbi.nlm.nih.gov/gene/539", "539")</f>
        <v>539</v>
      </c>
      <c r="D6185" t="str">
        <f>"atp-3"</f>
        <v>atp-3</v>
      </c>
      <c r="E6185" t="s">
        <v>6206</v>
      </c>
      <c r="F6185" t="s">
        <v>11</v>
      </c>
      <c r="G6185" t="s">
        <v>7159</v>
      </c>
      <c r="H6185" s="12">
        <v>-1.11051978999598</v>
      </c>
      <c r="I6185" s="20">
        <v>-0.57045122943545701</v>
      </c>
      <c r="J6185" s="28">
        <v>0.56837169171246604</v>
      </c>
      <c r="K6185" s="29">
        <v>0.98289565623980701</v>
      </c>
    </row>
    <row r="6186" spans="1:11" x14ac:dyDescent="0.35">
      <c r="A6186" s="9" t="str">
        <f>HYPERLINK("http://www.ensembl.org/id/WBGene00020275", "WBGene00020275")</f>
        <v>WBGene00020275</v>
      </c>
      <c r="B6186" s="9" t="str">
        <f>HYPERLINK("http://www.ncbi.nlm.nih.gov/gene/179025", "179025")</f>
        <v>179025</v>
      </c>
      <c r="C6186" s="9"/>
      <c r="D6186" t="str">
        <f>"atp-4"</f>
        <v>atp-4</v>
      </c>
      <c r="E6186" t="s">
        <v>6206</v>
      </c>
      <c r="F6186" t="s">
        <v>11</v>
      </c>
      <c r="G6186" t="s">
        <v>6207</v>
      </c>
      <c r="H6186" s="12">
        <v>-1.0537230677412901</v>
      </c>
      <c r="I6186" s="20">
        <v>-0.28465856527491301</v>
      </c>
      <c r="J6186" s="28">
        <v>0.77590573791788597</v>
      </c>
      <c r="K6186" s="29">
        <v>0.98289565623980701</v>
      </c>
    </row>
    <row r="6187" spans="1:11" x14ac:dyDescent="0.35">
      <c r="A6187" s="9" t="str">
        <f>HYPERLINK("http://www.ensembl.org/id/WBGene00007385", "WBGene00007385")</f>
        <v>WBGene00007385</v>
      </c>
      <c r="B6187" s="9" t="str">
        <f>HYPERLINK("http://www.ncbi.nlm.nih.gov/gene/179541", "179541")</f>
        <v>179541</v>
      </c>
      <c r="C6187" s="9"/>
      <c r="D6187" t="str">
        <f>"atp-5"</f>
        <v>atp-5</v>
      </c>
      <c r="E6187" t="s">
        <v>6206</v>
      </c>
      <c r="F6187" t="s">
        <v>11</v>
      </c>
      <c r="G6187" t="s">
        <v>6376</v>
      </c>
      <c r="H6187" s="12">
        <v>-1.0656445202097999</v>
      </c>
      <c r="I6187" s="20">
        <v>-0.342475040434153</v>
      </c>
      <c r="J6187" s="28">
        <v>0.73199342445306104</v>
      </c>
      <c r="K6187" s="29">
        <v>0.98289565623980701</v>
      </c>
    </row>
    <row r="6188" spans="1:11" x14ac:dyDescent="0.35">
      <c r="A6188" s="9" t="str">
        <f>HYPERLINK("http://www.ensembl.org/id/WBGene00017317", "WBGene00017317")</f>
        <v>WBGene00017317</v>
      </c>
      <c r="B6188" s="9" t="str">
        <f>HYPERLINK("http://www.ncbi.nlm.nih.gov/gene/179106", "179106")</f>
        <v>179106</v>
      </c>
      <c r="C6188" s="9"/>
      <c r="D6188" t="str">
        <f>"attf-2"</f>
        <v>attf-2</v>
      </c>
      <c r="E6188" t="s">
        <v>5755</v>
      </c>
      <c r="F6188" t="s">
        <v>11</v>
      </c>
      <c r="G6188" t="s">
        <v>350</v>
      </c>
      <c r="H6188" s="12">
        <v>-1.1038164316625401</v>
      </c>
      <c r="I6188" s="20">
        <v>-0.45147254262643799</v>
      </c>
      <c r="J6188" s="28">
        <v>0.65164901003331799</v>
      </c>
      <c r="K6188" s="29">
        <v>0.98289565623980701</v>
      </c>
    </row>
    <row r="6189" spans="1:11" x14ac:dyDescent="0.35">
      <c r="A6189" s="9" t="str">
        <f>HYPERLINK("http://www.ensembl.org/id/WBGene00018794", "WBGene00018794")</f>
        <v>WBGene00018794</v>
      </c>
      <c r="B6189" s="9" t="str">
        <f>HYPERLINK("http://www.ncbi.nlm.nih.gov/gene/175173", "175173")</f>
        <v>175173</v>
      </c>
      <c r="C6189" s="9"/>
      <c r="D6189" t="str">
        <f>"attf-3"</f>
        <v>attf-3</v>
      </c>
      <c r="E6189" t="s">
        <v>5755</v>
      </c>
      <c r="F6189" t="s">
        <v>11</v>
      </c>
      <c r="H6189" s="12">
        <v>-1.23631952857463</v>
      </c>
      <c r="I6189" s="20">
        <v>-0.99478828930829699</v>
      </c>
      <c r="J6189" s="28">
        <v>0.31983924304871902</v>
      </c>
      <c r="K6189" s="29">
        <v>0.98289565623980701</v>
      </c>
    </row>
    <row r="6190" spans="1:11" x14ac:dyDescent="0.35">
      <c r="A6190" s="9" t="str">
        <f>HYPERLINK("http://www.ensembl.org/id/WBGene00015477", "WBGene00015477")</f>
        <v>WBGene00015477</v>
      </c>
      <c r="B6190" s="9" t="str">
        <f>HYPERLINK("http://www.ncbi.nlm.nih.gov/gene/175858", "175858")</f>
        <v>175858</v>
      </c>
      <c r="C6190" s="9"/>
      <c r="D6190" t="str">
        <f>"attf-4"</f>
        <v>attf-4</v>
      </c>
      <c r="E6190" t="s">
        <v>7373</v>
      </c>
      <c r="F6190" t="s">
        <v>11</v>
      </c>
      <c r="H6190" s="12">
        <v>-1.1224091411705699</v>
      </c>
      <c r="I6190" s="20">
        <v>-0.62723582121508603</v>
      </c>
      <c r="J6190" s="28">
        <v>0.53050466560709897</v>
      </c>
      <c r="K6190" s="29">
        <v>0.98289565623980701</v>
      </c>
    </row>
    <row r="6191" spans="1:11" x14ac:dyDescent="0.35">
      <c r="A6191" s="9" t="str">
        <f>HYPERLINK("http://www.ensembl.org/id/WBGene00020214", "WBGene00020214")</f>
        <v>WBGene00020214</v>
      </c>
      <c r="B6191" s="9" t="str">
        <f>HYPERLINK("http://www.ncbi.nlm.nih.gov/gene/3565014", "3565014")</f>
        <v>3565014</v>
      </c>
      <c r="C6191" s="9"/>
      <c r="D6191" t="str">
        <f>"attf-5"</f>
        <v>attf-5</v>
      </c>
      <c r="E6191" t="s">
        <v>5755</v>
      </c>
      <c r="F6191" t="s">
        <v>11</v>
      </c>
      <c r="H6191" s="12">
        <v>1.10893221231087</v>
      </c>
      <c r="I6191" s="20">
        <v>0.47164518088815599</v>
      </c>
      <c r="J6191" s="28">
        <v>0.63718007185270797</v>
      </c>
      <c r="K6191" s="29">
        <v>0.98289565623980701</v>
      </c>
    </row>
    <row r="6192" spans="1:11" x14ac:dyDescent="0.35">
      <c r="A6192" s="9" t="str">
        <f>HYPERLINK("http://www.ensembl.org/id/WBGene00012474", "WBGene00012474")</f>
        <v>WBGene00012474</v>
      </c>
      <c r="B6192" s="9" t="str">
        <f>HYPERLINK("http://www.ncbi.nlm.nih.gov/gene/173148", "173148")</f>
        <v>173148</v>
      </c>
      <c r="C6192" s="9"/>
      <c r="D6192" t="str">
        <f>"attf-6"</f>
        <v>attf-6</v>
      </c>
      <c r="E6192" t="s">
        <v>5755</v>
      </c>
      <c r="F6192" t="s">
        <v>11</v>
      </c>
      <c r="G6192" t="s">
        <v>801</v>
      </c>
      <c r="H6192" s="12">
        <v>-1.1999916286732599</v>
      </c>
      <c r="I6192" s="20">
        <v>-0.85985867500726099</v>
      </c>
      <c r="J6192" s="28">
        <v>0.38986695073128003</v>
      </c>
      <c r="K6192" s="29">
        <v>0.98289565623980701</v>
      </c>
    </row>
    <row r="6193" spans="1:11" x14ac:dyDescent="0.35">
      <c r="A6193" s="9" t="str">
        <f>HYPERLINK("http://www.ensembl.org/id/WBGene00000231", "WBGene00000231")</f>
        <v>WBGene00000231</v>
      </c>
      <c r="B6193" s="9" t="str">
        <f>HYPERLINK("http://www.ncbi.nlm.nih.gov/gene/176465", "176465")</f>
        <v>176465</v>
      </c>
      <c r="C6193" s="9"/>
      <c r="D6193" t="str">
        <f>"atx-2"</f>
        <v>atx-2</v>
      </c>
      <c r="E6193" t="s">
        <v>8028</v>
      </c>
      <c r="F6193" t="s">
        <v>11</v>
      </c>
      <c r="G6193" t="s">
        <v>318</v>
      </c>
      <c r="H6193" s="12">
        <v>-1.1569746584395999</v>
      </c>
      <c r="I6193" s="20">
        <v>-0.80991322525779796</v>
      </c>
      <c r="J6193" s="28">
        <v>0.41799005021980401</v>
      </c>
      <c r="K6193" s="29">
        <v>0.98289565623980701</v>
      </c>
    </row>
    <row r="6194" spans="1:11" x14ac:dyDescent="0.35">
      <c r="A6194" s="9" t="str">
        <f>HYPERLINK("http://www.ensembl.org/id/WBGene00044341", "WBGene00044341")</f>
        <v>WBGene00044341</v>
      </c>
      <c r="B6194" s="9" t="str">
        <f>HYPERLINK("http://www.ncbi.nlm.nih.gov/gene/3565044", "3565044")</f>
        <v>3565044</v>
      </c>
      <c r="C6194" s="9"/>
      <c r="D6194" t="str">
        <f>"ave-1"</f>
        <v>ave-1</v>
      </c>
      <c r="E6194" t="s">
        <v>8983</v>
      </c>
      <c r="F6194" t="s">
        <v>11</v>
      </c>
      <c r="G6194" t="s">
        <v>54</v>
      </c>
      <c r="H6194" s="12">
        <v>-1.2119195686383899</v>
      </c>
      <c r="I6194" s="20">
        <v>-0.69254330323732805</v>
      </c>
      <c r="J6194" s="28">
        <v>0.48859620151580802</v>
      </c>
      <c r="K6194" s="29">
        <v>0.98289565623980701</v>
      </c>
    </row>
    <row r="6195" spans="1:11" x14ac:dyDescent="0.35">
      <c r="A6195" s="9" t="str">
        <f>HYPERLINK("http://www.ensembl.org/id/WBGene00000232", "WBGene00000232")</f>
        <v>WBGene00000232</v>
      </c>
      <c r="B6195" s="9" t="str">
        <f>HYPERLINK("http://www.ncbi.nlm.nih.gov/gene/172270", "172270")</f>
        <v>172270</v>
      </c>
      <c r="C6195" s="9" t="str">
        <f>HYPERLINK("http://www.ncbi.nlm.nih.gov/gene/2741", "2741")</f>
        <v>2741</v>
      </c>
      <c r="D6195" t="str">
        <f>"avr-14"</f>
        <v>avr-14</v>
      </c>
      <c r="F6195" t="s">
        <v>11</v>
      </c>
      <c r="G6195" t="s">
        <v>5036</v>
      </c>
      <c r="H6195" s="12">
        <v>1.25489238546452</v>
      </c>
      <c r="I6195" s="20">
        <v>0.97754294239963202</v>
      </c>
      <c r="J6195" s="28">
        <v>0.32830042909589702</v>
      </c>
      <c r="K6195" s="29">
        <v>0.98289565623980701</v>
      </c>
    </row>
    <row r="6196" spans="1:11" x14ac:dyDescent="0.35">
      <c r="A6196" s="9" t="str">
        <f>HYPERLINK("http://www.ensembl.org/id/WBGene00196931", "WBGene00196931")</f>
        <v>WBGene00196931</v>
      </c>
      <c r="B6196" s="9"/>
      <c r="C6196" s="9"/>
      <c r="D6196" t="str">
        <f>"B0001.10"</f>
        <v>B0001.10</v>
      </c>
      <c r="F6196" t="s">
        <v>481</v>
      </c>
      <c r="H6196" s="12">
        <v>-2.4991590031922399</v>
      </c>
      <c r="I6196" s="20">
        <v>-0.26577412737581302</v>
      </c>
      <c r="J6196" s="28">
        <v>0.79041317015736101</v>
      </c>
      <c r="K6196" s="29">
        <v>0.98289565623980701</v>
      </c>
    </row>
    <row r="6197" spans="1:11" x14ac:dyDescent="0.35">
      <c r="A6197" s="9" t="str">
        <f>HYPERLINK("http://www.ensembl.org/id/WBGene00007089", "WBGene00007089")</f>
        <v>WBGene00007089</v>
      </c>
      <c r="B6197" s="9" t="str">
        <f>HYPERLINK("http://www.ncbi.nlm.nih.gov/gene/178160", "178160")</f>
        <v>178160</v>
      </c>
      <c r="C6197" s="9"/>
      <c r="D6197" t="str">
        <f>"B0001.4"</f>
        <v>B0001.4</v>
      </c>
      <c r="E6197" t="s">
        <v>6709</v>
      </c>
      <c r="F6197" t="s">
        <v>11</v>
      </c>
      <c r="G6197" t="s">
        <v>6710</v>
      </c>
      <c r="H6197" s="12">
        <v>-1.08566058701586</v>
      </c>
      <c r="I6197" s="20">
        <v>-0.40058895787630899</v>
      </c>
      <c r="J6197" s="28">
        <v>0.68872277669787996</v>
      </c>
      <c r="K6197" s="29">
        <v>0.98289565623980701</v>
      </c>
    </row>
    <row r="6198" spans="1:11" x14ac:dyDescent="0.35">
      <c r="A6198" s="9" t="str">
        <f>HYPERLINK("http://www.ensembl.org/id/WBGene00007090", "WBGene00007090")</f>
        <v>WBGene00007090</v>
      </c>
      <c r="B6198" s="9" t="str">
        <f>HYPERLINK("http://www.ncbi.nlm.nih.gov/gene/178162", "178162")</f>
        <v>178162</v>
      </c>
      <c r="C6198" s="9"/>
      <c r="D6198" t="str">
        <f>"B0001.5"</f>
        <v>B0001.5</v>
      </c>
      <c r="F6198" t="s">
        <v>11</v>
      </c>
      <c r="H6198" s="12">
        <v>1.0750087586385899</v>
      </c>
      <c r="I6198" s="20">
        <v>0.33504702074922199</v>
      </c>
      <c r="J6198" s="28">
        <v>0.73758961657300204</v>
      </c>
      <c r="K6198" s="29">
        <v>0.98289565623980701</v>
      </c>
    </row>
    <row r="6199" spans="1:11" x14ac:dyDescent="0.35">
      <c r="A6199" s="9" t="str">
        <f>HYPERLINK("http://www.ensembl.org/id/WBGene00007093", "WBGene00007093")</f>
        <v>WBGene00007093</v>
      </c>
      <c r="B6199" s="9" t="str">
        <f>HYPERLINK("http://www.ncbi.nlm.nih.gov/gene/178161", "178161")</f>
        <v>178161</v>
      </c>
      <c r="C6199" s="9"/>
      <c r="D6199" t="str">
        <f>"B0001.8"</f>
        <v>B0001.8</v>
      </c>
      <c r="F6199" t="s">
        <v>11</v>
      </c>
      <c r="H6199" s="12">
        <v>-1.26428685514074</v>
      </c>
      <c r="I6199" s="20">
        <v>-1.0997004527084</v>
      </c>
      <c r="J6199" s="28">
        <v>0.271462657454695</v>
      </c>
      <c r="K6199" s="29">
        <v>0.98289565623980701</v>
      </c>
    </row>
    <row r="6200" spans="1:11" x14ac:dyDescent="0.35">
      <c r="A6200" s="9" t="str">
        <f>HYPERLINK("http://www.ensembl.org/id/WBGene00007094", "WBGene00007094")</f>
        <v>WBGene00007094</v>
      </c>
      <c r="B6200" s="9" t="str">
        <f>HYPERLINK("http://www.ncbi.nlm.nih.gov/gene/173147", "173147")</f>
        <v>173147</v>
      </c>
      <c r="C6200" s="9"/>
      <c r="D6200" t="str">
        <f>"B0019.2"</f>
        <v>B0019.2</v>
      </c>
      <c r="F6200" t="s">
        <v>11</v>
      </c>
      <c r="H6200" s="12">
        <v>-1.2890513746580801</v>
      </c>
      <c r="I6200" s="20">
        <v>-1.1237612511582</v>
      </c>
      <c r="J6200" s="28">
        <v>0.26111432397330597</v>
      </c>
      <c r="K6200" s="29">
        <v>0.98289565623980701</v>
      </c>
    </row>
    <row r="6201" spans="1:11" x14ac:dyDescent="0.35">
      <c r="A6201" s="9" t="str">
        <f>HYPERLINK("http://www.ensembl.org/id/WBGene00007101", "WBGene00007101")</f>
        <v>WBGene00007101</v>
      </c>
      <c r="B6201" s="9" t="str">
        <f>HYPERLINK("http://www.ncbi.nlm.nih.gov/gene/179436", "179436")</f>
        <v>179436</v>
      </c>
      <c r="C6201" s="9"/>
      <c r="D6201" t="str">
        <f>"B0024.11"</f>
        <v>B0024.11</v>
      </c>
      <c r="E6201" t="s">
        <v>9678</v>
      </c>
      <c r="F6201" t="s">
        <v>11</v>
      </c>
      <c r="G6201" t="s">
        <v>9679</v>
      </c>
      <c r="H6201" s="12">
        <v>-1.27862612582581</v>
      </c>
      <c r="I6201" s="20">
        <v>-1.1697671797390801</v>
      </c>
      <c r="J6201" s="28">
        <v>0.242094674782386</v>
      </c>
      <c r="K6201" s="29">
        <v>0.98289565623980701</v>
      </c>
    </row>
    <row r="6202" spans="1:11" x14ac:dyDescent="0.35">
      <c r="A6202" s="9" t="str">
        <f>HYPERLINK("http://www.ensembl.org/id/WBGene00007104", "WBGene00007104")</f>
        <v>WBGene00007104</v>
      </c>
      <c r="B6202" s="9" t="str">
        <f>HYPERLINK("http://www.ncbi.nlm.nih.gov/gene/266924", "266924")</f>
        <v>266924</v>
      </c>
      <c r="C6202" s="9"/>
      <c r="D6202" t="str">
        <f>"B0024.15"</f>
        <v>B0024.15</v>
      </c>
      <c r="E6202" t="s">
        <v>3368</v>
      </c>
      <c r="F6202" t="s">
        <v>11</v>
      </c>
      <c r="G6202" t="s">
        <v>4445</v>
      </c>
      <c r="H6202" s="12">
        <v>2.0614023253199099</v>
      </c>
      <c r="I6202" s="20">
        <v>1.1233196469453199</v>
      </c>
      <c r="J6202" s="28">
        <v>0.26130176253375698</v>
      </c>
      <c r="K6202" s="29">
        <v>0.98289565623980701</v>
      </c>
    </row>
    <row r="6203" spans="1:11" x14ac:dyDescent="0.35">
      <c r="A6203" s="9" t="str">
        <f>HYPERLINK("http://www.ensembl.org/id/WBGene00007097", "WBGene00007097")</f>
        <v>WBGene00007097</v>
      </c>
      <c r="B6203" s="9" t="str">
        <f>HYPERLINK("http://www.ncbi.nlm.nih.gov/gene/179432", "179432")</f>
        <v>179432</v>
      </c>
      <c r="C6203" s="9"/>
      <c r="D6203" t="str">
        <f>"B0024.4"</f>
        <v>B0024.4</v>
      </c>
      <c r="F6203" t="s">
        <v>11</v>
      </c>
      <c r="G6203" t="s">
        <v>548</v>
      </c>
      <c r="H6203" s="12">
        <v>1.42255989913712</v>
      </c>
      <c r="I6203" s="20">
        <v>0.61234834204657296</v>
      </c>
      <c r="J6203" s="28">
        <v>0.54030731193991</v>
      </c>
      <c r="K6203" s="29">
        <v>0.98289565623980701</v>
      </c>
    </row>
    <row r="6204" spans="1:11" x14ac:dyDescent="0.35">
      <c r="A6204" s="9" t="str">
        <f>HYPERLINK("http://www.ensembl.org/id/WBGene00015001", "WBGene00015001")</f>
        <v>WBGene00015001</v>
      </c>
      <c r="B6204" s="9" t="str">
        <f>HYPERLINK("http://www.ncbi.nlm.nih.gov/gene/172279", "172279")</f>
        <v>172279</v>
      </c>
      <c r="C6204" s="9"/>
      <c r="D6204" t="str">
        <f>"B0025.4"</f>
        <v>B0025.4</v>
      </c>
      <c r="F6204" t="s">
        <v>11</v>
      </c>
      <c r="G6204" t="s">
        <v>8419</v>
      </c>
      <c r="H6204" s="12">
        <v>-1.1762842262050399</v>
      </c>
      <c r="I6204" s="20">
        <v>-0.736029436785122</v>
      </c>
      <c r="J6204" s="28">
        <v>0.46171278356731399</v>
      </c>
      <c r="K6204" s="29">
        <v>0.98289565623980701</v>
      </c>
    </row>
    <row r="6205" spans="1:11" x14ac:dyDescent="0.35">
      <c r="A6205" s="9" t="str">
        <f>HYPERLINK("http://www.ensembl.org/id/WBGene00194700", "WBGene00194700")</f>
        <v>WBGene00194700</v>
      </c>
      <c r="B6205" s="9" t="str">
        <f>HYPERLINK("http://www.ncbi.nlm.nih.gov/gene/13180429", "13180429")</f>
        <v>13180429</v>
      </c>
      <c r="C6205" s="9"/>
      <c r="D6205" t="str">
        <f>"B0025.5"</f>
        <v>B0025.5</v>
      </c>
      <c r="F6205" t="s">
        <v>11</v>
      </c>
      <c r="G6205" t="s">
        <v>25</v>
      </c>
      <c r="H6205" s="12">
        <v>-2.01234482263331</v>
      </c>
      <c r="I6205" s="20">
        <v>-0.70585777800136595</v>
      </c>
      <c r="J6205" s="28">
        <v>0.48027658680019097</v>
      </c>
      <c r="K6205" s="29">
        <v>0.98289565623980701</v>
      </c>
    </row>
    <row r="6206" spans="1:11" x14ac:dyDescent="0.35">
      <c r="A6206" s="9" t="str">
        <f>HYPERLINK("http://www.ensembl.org/id/WBGene00015002", "WBGene00015002")</f>
        <v>WBGene00015002</v>
      </c>
      <c r="B6206" s="9" t="str">
        <f>HYPERLINK("http://www.ncbi.nlm.nih.gov/gene/181817", "181817")</f>
        <v>181817</v>
      </c>
      <c r="C6206" s="9"/>
      <c r="D6206" t="str">
        <f>"B0034.1"</f>
        <v>B0034.1</v>
      </c>
      <c r="F6206" t="s">
        <v>11</v>
      </c>
      <c r="H6206" s="12">
        <v>1.2575376367492499</v>
      </c>
      <c r="I6206" s="20">
        <v>0.74563535685986304</v>
      </c>
      <c r="J6206" s="28">
        <v>0.45588771846644999</v>
      </c>
      <c r="K6206" s="29">
        <v>0.98289565623980701</v>
      </c>
    </row>
    <row r="6207" spans="1:11" x14ac:dyDescent="0.35">
      <c r="A6207" s="9" t="str">
        <f>HYPERLINK("http://www.ensembl.org/id/WBGene00197686", "WBGene00197686")</f>
        <v>WBGene00197686</v>
      </c>
      <c r="B6207" s="9"/>
      <c r="C6207" s="9"/>
      <c r="D6207" t="str">
        <f>"B0034.10"</f>
        <v>B0034.10</v>
      </c>
      <c r="F6207" t="s">
        <v>481</v>
      </c>
      <c r="H6207" s="12">
        <v>3.5227018545059199</v>
      </c>
      <c r="I6207" s="20">
        <v>0.36849691206929103</v>
      </c>
      <c r="J6207" s="28">
        <v>0.71250274722433404</v>
      </c>
      <c r="K6207" s="29">
        <v>0.98289565623980701</v>
      </c>
    </row>
    <row r="6208" spans="1:11" x14ac:dyDescent="0.35">
      <c r="A6208" s="9" t="str">
        <f>HYPERLINK("http://www.ensembl.org/id/WBGene00200808", "WBGene00200808")</f>
        <v>WBGene00200808</v>
      </c>
      <c r="B6208" s="9"/>
      <c r="C6208" s="9"/>
      <c r="D6208" t="str">
        <f>"B0034.16"</f>
        <v>B0034.16</v>
      </c>
      <c r="F6208" t="s">
        <v>481</v>
      </c>
      <c r="H6208" s="12">
        <v>-5.3201785866927001</v>
      </c>
      <c r="I6208" s="20">
        <v>-0.49101042295714697</v>
      </c>
      <c r="J6208" s="28">
        <v>0.62341907564475696</v>
      </c>
      <c r="K6208" s="29">
        <v>0.98289565623980701</v>
      </c>
    </row>
    <row r="6209" spans="1:11" x14ac:dyDescent="0.35">
      <c r="A6209" s="9" t="str">
        <f>HYPERLINK("http://www.ensembl.org/id/WBGene00015003", "WBGene00015003")</f>
        <v>WBGene00015003</v>
      </c>
      <c r="B6209" s="9" t="str">
        <f>HYPERLINK("http://www.ncbi.nlm.nih.gov/gene/181818", "181818")</f>
        <v>181818</v>
      </c>
      <c r="C6209" s="9"/>
      <c r="D6209" t="str">
        <f>"B0034.2"</f>
        <v>B0034.2</v>
      </c>
      <c r="F6209" t="s">
        <v>11</v>
      </c>
      <c r="H6209" s="12">
        <v>3.6645215954135</v>
      </c>
      <c r="I6209" s="20">
        <v>0.37967131826092498</v>
      </c>
      <c r="J6209" s="28">
        <v>0.70418941338960395</v>
      </c>
      <c r="K6209" s="29">
        <v>0.98289565623980701</v>
      </c>
    </row>
    <row r="6210" spans="1:11" x14ac:dyDescent="0.35">
      <c r="A6210" s="9" t="str">
        <f>HYPERLINK("http://www.ensembl.org/id/WBGene00015004", "WBGene00015004")</f>
        <v>WBGene00015004</v>
      </c>
      <c r="B6210" s="9" t="str">
        <f>HYPERLINK("http://www.ncbi.nlm.nih.gov/gene/181819", "181819")</f>
        <v>181819</v>
      </c>
      <c r="C6210" s="9"/>
      <c r="D6210" t="str">
        <f>"B0034.4"</f>
        <v>B0034.4</v>
      </c>
      <c r="F6210" t="s">
        <v>11</v>
      </c>
      <c r="H6210" s="12">
        <v>-1.52947859509808</v>
      </c>
      <c r="I6210" s="20">
        <v>-0.291002658521268</v>
      </c>
      <c r="J6210" s="28">
        <v>0.77104928625219005</v>
      </c>
      <c r="K6210" s="29">
        <v>0.98289565623980701</v>
      </c>
    </row>
    <row r="6211" spans="1:11" x14ac:dyDescent="0.35">
      <c r="A6211" s="9" t="str">
        <f>HYPERLINK("http://www.ensembl.org/id/WBGene00015005", "WBGene00015005")</f>
        <v>WBGene00015005</v>
      </c>
      <c r="B6211" s="9" t="str">
        <f>HYPERLINK("http://www.ncbi.nlm.nih.gov/gene/181820", "181820")</f>
        <v>181820</v>
      </c>
      <c r="C6211" s="9"/>
      <c r="D6211" t="str">
        <f>"B0034.5"</f>
        <v>B0034.5</v>
      </c>
      <c r="F6211" t="s">
        <v>11</v>
      </c>
      <c r="G6211" t="s">
        <v>1429</v>
      </c>
      <c r="H6211" s="12">
        <v>1.3756834628238901</v>
      </c>
      <c r="I6211" s="20">
        <v>0.77356349550241299</v>
      </c>
      <c r="J6211" s="28">
        <v>0.43918896640583999</v>
      </c>
      <c r="K6211" s="29">
        <v>0.98289565623980701</v>
      </c>
    </row>
    <row r="6212" spans="1:11" x14ac:dyDescent="0.35">
      <c r="A6212" s="9" t="str">
        <f>HYPERLINK("http://www.ensembl.org/id/WBGene00197204", "WBGene00197204")</f>
        <v>WBGene00197204</v>
      </c>
      <c r="B6212" s="9"/>
      <c r="C6212" s="9"/>
      <c r="D6212" t="str">
        <f>"B0034.9"</f>
        <v>B0034.9</v>
      </c>
      <c r="F6212" t="s">
        <v>481</v>
      </c>
      <c r="H6212" s="12">
        <v>-4.7167679298615104</v>
      </c>
      <c r="I6212" s="20">
        <v>-0.454742638005115</v>
      </c>
      <c r="J6212" s="28">
        <v>0.64929440216969203</v>
      </c>
      <c r="K6212" s="29">
        <v>0.98289565623980701</v>
      </c>
    </row>
    <row r="6213" spans="1:11" x14ac:dyDescent="0.35">
      <c r="A6213" s="9" t="str">
        <f>HYPERLINK("http://www.ensembl.org/id/WBGene00007112", "WBGene00007112")</f>
        <v>WBGene00007112</v>
      </c>
      <c r="B6213" s="9" t="str">
        <f>HYPERLINK("http://www.ncbi.nlm.nih.gov/gene/178041", "178041")</f>
        <v>178041</v>
      </c>
      <c r="C6213" s="9"/>
      <c r="D6213" t="str">
        <f>"B0035.13"</f>
        <v>B0035.13</v>
      </c>
      <c r="F6213" t="s">
        <v>11</v>
      </c>
      <c r="G6213" t="s">
        <v>29</v>
      </c>
      <c r="H6213" s="12">
        <v>-1.2008067378741101</v>
      </c>
      <c r="I6213" s="20">
        <v>-1.01327361623812</v>
      </c>
      <c r="J6213" s="28">
        <v>0.31092948609100102</v>
      </c>
      <c r="K6213" s="29">
        <v>0.98289565623980701</v>
      </c>
    </row>
    <row r="6214" spans="1:11" x14ac:dyDescent="0.35">
      <c r="A6214" s="9" t="str">
        <f>HYPERLINK("http://www.ensembl.org/id/WBGene00007113", "WBGene00007113")</f>
        <v>WBGene00007113</v>
      </c>
      <c r="B6214" s="9" t="str">
        <f>HYPERLINK("http://www.ncbi.nlm.nih.gov/gene/178039", "178039")</f>
        <v>178039</v>
      </c>
      <c r="C6214" s="9"/>
      <c r="D6214" t="str">
        <f>"B0035.15"</f>
        <v>B0035.15</v>
      </c>
      <c r="F6214" t="s">
        <v>11</v>
      </c>
      <c r="G6214" t="s">
        <v>9000</v>
      </c>
      <c r="H6214" s="12">
        <v>-1.21265952025903</v>
      </c>
      <c r="I6214" s="20">
        <v>-0.81852936167718304</v>
      </c>
      <c r="J6214" s="28">
        <v>0.41305498336227697</v>
      </c>
      <c r="K6214" s="29">
        <v>0.98289565623980701</v>
      </c>
    </row>
    <row r="6215" spans="1:11" x14ac:dyDescent="0.35">
      <c r="A6215" s="9" t="str">
        <f>HYPERLINK("http://www.ensembl.org/id/WBGene00044290", "WBGene00044290")</f>
        <v>WBGene00044290</v>
      </c>
      <c r="B6215" s="9" t="str">
        <f>HYPERLINK("http://www.ncbi.nlm.nih.gov/gene/3565734", "3565734")</f>
        <v>3565734</v>
      </c>
      <c r="C6215" s="9"/>
      <c r="D6215" t="str">
        <f>"B0035.18"</f>
        <v>B0035.18</v>
      </c>
      <c r="F6215" t="s">
        <v>11</v>
      </c>
      <c r="G6215" t="s">
        <v>935</v>
      </c>
      <c r="H6215" s="12">
        <v>-1.5512789886631899</v>
      </c>
      <c r="I6215" s="20">
        <v>-1.1451487335013399</v>
      </c>
      <c r="J6215" s="28">
        <v>0.25214755089219398</v>
      </c>
      <c r="K6215" s="29">
        <v>0.98289565623980701</v>
      </c>
    </row>
    <row r="6216" spans="1:11" x14ac:dyDescent="0.35">
      <c r="A6216" s="9" t="str">
        <f>HYPERLINK("http://www.ensembl.org/id/WBGene00196590", "WBGene00196590")</f>
        <v>WBGene00196590</v>
      </c>
      <c r="B6216" s="9"/>
      <c r="C6216" s="9"/>
      <c r="D6216" t="str">
        <f>"B0035.19"</f>
        <v>B0035.19</v>
      </c>
      <c r="F6216" t="s">
        <v>481</v>
      </c>
      <c r="H6216" s="12">
        <v>-2.7497667167578501</v>
      </c>
      <c r="I6216" s="20">
        <v>-0.60687023039203403</v>
      </c>
      <c r="J6216" s="28">
        <v>0.543937035799685</v>
      </c>
      <c r="K6216" s="29">
        <v>0.98289565623980701</v>
      </c>
    </row>
    <row r="6217" spans="1:11" x14ac:dyDescent="0.35">
      <c r="A6217" s="9" t="str">
        <f>HYPERLINK("http://www.ensembl.org/id/WBGene00219550", "WBGene00219550")</f>
        <v>WBGene00219550</v>
      </c>
      <c r="B6217" s="9"/>
      <c r="C6217" s="9"/>
      <c r="D6217" t="str">
        <f>"B0035.20"</f>
        <v>B0035.20</v>
      </c>
      <c r="F6217" t="s">
        <v>2735</v>
      </c>
      <c r="H6217" s="12">
        <v>-1.37618336170519</v>
      </c>
      <c r="I6217" s="20">
        <v>-0.364408531965903</v>
      </c>
      <c r="J6217" s="28">
        <v>0.71555296525811796</v>
      </c>
      <c r="K6217" s="29">
        <v>0.98289565623980701</v>
      </c>
    </row>
    <row r="6218" spans="1:11" x14ac:dyDescent="0.35">
      <c r="A6218" s="9" t="str">
        <f>HYPERLINK("http://www.ensembl.org/id/WBGene00015006", "WBGene00015006")</f>
        <v>WBGene00015006</v>
      </c>
      <c r="B6218" s="9" t="str">
        <f>HYPERLINK("http://www.ncbi.nlm.nih.gov/gene/181822", "181822")</f>
        <v>181822</v>
      </c>
      <c r="C6218" s="9"/>
      <c r="D6218" t="str">
        <f>"B0041.1"</f>
        <v>B0041.1</v>
      </c>
      <c r="F6218" t="s">
        <v>11</v>
      </c>
      <c r="H6218" s="12">
        <v>4.2308484953464003</v>
      </c>
      <c r="I6218" s="20">
        <v>0.790460301805195</v>
      </c>
      <c r="J6218" s="28">
        <v>0.42925899747375101</v>
      </c>
      <c r="K6218" s="29">
        <v>0.98289565623980701</v>
      </c>
    </row>
    <row r="6219" spans="1:11" x14ac:dyDescent="0.35">
      <c r="A6219" s="9" t="str">
        <f>HYPERLINK("http://www.ensembl.org/id/WBGene00206362", "WBGene00206362")</f>
        <v>WBGene00206362</v>
      </c>
      <c r="B6219" s="9" t="str">
        <f>HYPERLINK("http://www.ncbi.nlm.nih.gov/gene/13180049", "13180049")</f>
        <v>13180049</v>
      </c>
      <c r="C6219" s="9"/>
      <c r="D6219" t="str">
        <f>"B0041.11"</f>
        <v>B0041.11</v>
      </c>
      <c r="F6219" t="s">
        <v>11</v>
      </c>
      <c r="H6219" s="12">
        <v>1.0761119885205399</v>
      </c>
      <c r="I6219" s="20">
        <v>0.31700925598282298</v>
      </c>
      <c r="J6219" s="28">
        <v>0.75123657895652196</v>
      </c>
      <c r="K6219" s="29">
        <v>0.98289565623980701</v>
      </c>
    </row>
    <row r="6220" spans="1:11" x14ac:dyDescent="0.35">
      <c r="A6220" s="9" t="str">
        <f>HYPERLINK("http://www.ensembl.org/id/WBGene00015011", "WBGene00015011")</f>
        <v>WBGene00015011</v>
      </c>
      <c r="B6220" s="9" t="str">
        <f>HYPERLINK("http://www.ncbi.nlm.nih.gov/gene/259374", "259374")</f>
        <v>259374</v>
      </c>
      <c r="C6220" s="9"/>
      <c r="D6220" t="str">
        <f>"B0041.8"</f>
        <v>B0041.8</v>
      </c>
      <c r="F6220" t="s">
        <v>11</v>
      </c>
      <c r="H6220" s="12">
        <v>-1.2773474588831499</v>
      </c>
      <c r="I6220" s="20">
        <v>-1.12428717930077</v>
      </c>
      <c r="J6220" s="28">
        <v>0.26089121551250899</v>
      </c>
      <c r="K6220" s="29">
        <v>0.98289565623980701</v>
      </c>
    </row>
    <row r="6221" spans="1:11" x14ac:dyDescent="0.35">
      <c r="A6221" s="9" t="str">
        <f>HYPERLINK("http://www.ensembl.org/id/WBGene00198865", "WBGene00198865")</f>
        <v>WBGene00198865</v>
      </c>
      <c r="B6221" s="9"/>
      <c r="C6221" s="9"/>
      <c r="D6221" t="str">
        <f>"B0198.7"</f>
        <v>B0198.7</v>
      </c>
      <c r="F6221" t="s">
        <v>481</v>
      </c>
      <c r="H6221" s="12">
        <v>2.4578120077400301</v>
      </c>
      <c r="I6221" s="20">
        <v>0.26093350314551</v>
      </c>
      <c r="J6221" s="28">
        <v>0.79414378780213601</v>
      </c>
      <c r="K6221" s="29">
        <v>0.98289565623980701</v>
      </c>
    </row>
    <row r="6222" spans="1:11" x14ac:dyDescent="0.35">
      <c r="A6222" s="9" t="str">
        <f>HYPERLINK("http://www.ensembl.org/id/WBGene00015017", "WBGene00015017")</f>
        <v>WBGene00015017</v>
      </c>
      <c r="B6222" s="9" t="str">
        <f>HYPERLINK("http://www.ncbi.nlm.nih.gov/gene/172974", "172974")</f>
        <v>172974</v>
      </c>
      <c r="C6222" s="9"/>
      <c r="D6222" t="str">
        <f>"B0205.1"</f>
        <v>B0205.1</v>
      </c>
      <c r="F6222" t="s">
        <v>11</v>
      </c>
      <c r="H6222" s="12">
        <v>-1.13666768232853</v>
      </c>
      <c r="I6222" s="20">
        <v>-0.59530786476401898</v>
      </c>
      <c r="J6222" s="28">
        <v>0.55163769972703702</v>
      </c>
      <c r="K6222" s="29">
        <v>0.98289565623980701</v>
      </c>
    </row>
    <row r="6223" spans="1:11" x14ac:dyDescent="0.35">
      <c r="A6223" s="9" t="str">
        <f>HYPERLINK("http://www.ensembl.org/id/WBGene00015024", "WBGene00015024")</f>
        <v>WBGene00015024</v>
      </c>
      <c r="B6223" s="9" t="str">
        <f>HYPERLINK("http://www.ncbi.nlm.nih.gov/gene/172973", "172973")</f>
        <v>172973</v>
      </c>
      <c r="C6223" s="9"/>
      <c r="D6223" t="str">
        <f>"B0205.10"</f>
        <v>B0205.10</v>
      </c>
      <c r="F6223" t="s">
        <v>11</v>
      </c>
      <c r="H6223" s="12">
        <v>1.3343944152851399</v>
      </c>
      <c r="I6223" s="20">
        <v>0.46864816395327802</v>
      </c>
      <c r="J6223" s="28">
        <v>0.63932114430184495</v>
      </c>
      <c r="K6223" s="29">
        <v>0.98289565623980701</v>
      </c>
    </row>
    <row r="6224" spans="1:11" x14ac:dyDescent="0.35">
      <c r="A6224" s="9" t="str">
        <f>HYPERLINK("http://www.ensembl.org/id/WBGene00044413", "WBGene00044413")</f>
        <v>WBGene00044413</v>
      </c>
      <c r="B6224" s="9" t="str">
        <f>HYPERLINK("http://www.ncbi.nlm.nih.gov/gene/3565131", "3565131")</f>
        <v>3565131</v>
      </c>
      <c r="C6224" s="9"/>
      <c r="D6224" t="str">
        <f>"B0205.12"</f>
        <v>B0205.12</v>
      </c>
      <c r="F6224" t="s">
        <v>11</v>
      </c>
      <c r="H6224" s="12">
        <v>-1.0762002469062699</v>
      </c>
      <c r="I6224" s="20">
        <v>-0.25309881202315399</v>
      </c>
      <c r="J6224" s="28">
        <v>0.80019185686724004</v>
      </c>
      <c r="K6224" s="29">
        <v>0.98289565623980701</v>
      </c>
    </row>
    <row r="6225" spans="1:11" x14ac:dyDescent="0.35">
      <c r="A6225" s="9" t="str">
        <f>HYPERLINK("http://www.ensembl.org/id/WBGene00044646", "WBGene00044646")</f>
        <v>WBGene00044646</v>
      </c>
      <c r="B6225" s="9" t="str">
        <f>HYPERLINK("http://www.ncbi.nlm.nih.gov/gene/4363000", "4363000")</f>
        <v>4363000</v>
      </c>
      <c r="C6225" s="9"/>
      <c r="D6225" t="str">
        <f>"B0205.14"</f>
        <v>B0205.14</v>
      </c>
      <c r="F6225" t="s">
        <v>11</v>
      </c>
      <c r="H6225" s="12">
        <v>-1.1871011917627801</v>
      </c>
      <c r="I6225" s="20">
        <v>-0.30549346669889199</v>
      </c>
      <c r="J6225" s="28">
        <v>0.75999034512520602</v>
      </c>
      <c r="K6225" s="29">
        <v>0.98289565623980701</v>
      </c>
    </row>
    <row r="6226" spans="1:11" x14ac:dyDescent="0.35">
      <c r="A6226" s="9" t="str">
        <f>HYPERLINK("http://www.ensembl.org/id/WBGene00198848", "WBGene00198848")</f>
        <v>WBGene00198848</v>
      </c>
      <c r="B6226" s="9"/>
      <c r="C6226" s="9"/>
      <c r="D6226" t="str">
        <f>"B0205.16"</f>
        <v>B0205.16</v>
      </c>
      <c r="F6226" t="s">
        <v>481</v>
      </c>
      <c r="H6226" s="12">
        <v>-2.4295389261469</v>
      </c>
      <c r="I6226" s="20">
        <v>-0.25808529976640998</v>
      </c>
      <c r="J6226" s="28">
        <v>0.79634107645457397</v>
      </c>
      <c r="K6226" s="29">
        <v>0.98289565623980701</v>
      </c>
    </row>
    <row r="6227" spans="1:11" x14ac:dyDescent="0.35">
      <c r="A6227" s="9" t="str">
        <f>HYPERLINK("http://www.ensembl.org/id/WBGene00015019", "WBGene00015019")</f>
        <v>WBGene00015019</v>
      </c>
      <c r="B6227" s="9" t="str">
        <f>HYPERLINK("http://www.ncbi.nlm.nih.gov/gene/172980", "172980")</f>
        <v>172980</v>
      </c>
      <c r="C6227" s="9"/>
      <c r="D6227" t="str">
        <f>"B0205.4"</f>
        <v>B0205.4</v>
      </c>
      <c r="E6227" t="s">
        <v>9929</v>
      </c>
      <c r="F6227" t="s">
        <v>11</v>
      </c>
      <c r="G6227" t="s">
        <v>9930</v>
      </c>
      <c r="H6227" s="12">
        <v>-1.4121129450069301</v>
      </c>
      <c r="I6227" s="20">
        <v>-0.48245130335788899</v>
      </c>
      <c r="J6227" s="28">
        <v>0.62948538366301399</v>
      </c>
      <c r="K6227" s="29">
        <v>0.98289565623980701</v>
      </c>
    </row>
    <row r="6228" spans="1:11" x14ac:dyDescent="0.35">
      <c r="A6228" s="9" t="str">
        <f>HYPERLINK("http://www.ensembl.org/id/WBGene00015020", "WBGene00015020")</f>
        <v>WBGene00015020</v>
      </c>
      <c r="B6228" s="9" t="str">
        <f>HYPERLINK("http://www.ncbi.nlm.nih.gov/gene/181832", "181832")</f>
        <v>181832</v>
      </c>
      <c r="C6228" s="9"/>
      <c r="D6228" t="str">
        <f>"B0205.5"</f>
        <v>B0205.5</v>
      </c>
      <c r="F6228" t="s">
        <v>11</v>
      </c>
      <c r="H6228" s="12">
        <v>4.45898032730413</v>
      </c>
      <c r="I6228" s="20">
        <v>0.72639243901305395</v>
      </c>
      <c r="J6228" s="28">
        <v>0.467598225040115</v>
      </c>
      <c r="K6228" s="29">
        <v>0.98289565623980701</v>
      </c>
    </row>
    <row r="6229" spans="1:11" x14ac:dyDescent="0.35">
      <c r="A6229" s="9" t="str">
        <f>HYPERLINK("http://www.ensembl.org/id/WBGene00015022", "WBGene00015022")</f>
        <v>WBGene00015022</v>
      </c>
      <c r="B6229" s="9" t="str">
        <f>HYPERLINK("http://www.ncbi.nlm.nih.gov/gene/172976", "172976")</f>
        <v>172976</v>
      </c>
      <c r="C6229" s="9"/>
      <c r="D6229" t="str">
        <f>"B0205.8"</f>
        <v>B0205.8</v>
      </c>
      <c r="F6229" t="s">
        <v>11</v>
      </c>
      <c r="G6229" t="s">
        <v>8064</v>
      </c>
      <c r="H6229" s="12">
        <v>-1.159361636926</v>
      </c>
      <c r="I6229" s="20">
        <v>-0.64790044769432398</v>
      </c>
      <c r="J6229" s="28">
        <v>0.517049341165839</v>
      </c>
      <c r="K6229" s="29">
        <v>0.98289565623980701</v>
      </c>
    </row>
    <row r="6230" spans="1:11" x14ac:dyDescent="0.35">
      <c r="A6230" s="9" t="str">
        <f>HYPERLINK("http://www.ensembl.org/id/WBGene00015026", "WBGene00015026")</f>
        <v>WBGene00015026</v>
      </c>
      <c r="B6230" s="9" t="str">
        <f>HYPERLINK("http://www.ncbi.nlm.nih.gov/gene/181834", "181834")</f>
        <v>181834</v>
      </c>
      <c r="C6230" s="9"/>
      <c r="D6230" t="str">
        <f>"B0207.1"</f>
        <v>B0207.1</v>
      </c>
      <c r="E6230" t="s">
        <v>1019</v>
      </c>
      <c r="F6230" t="s">
        <v>11</v>
      </c>
      <c r="G6230" t="s">
        <v>1020</v>
      </c>
      <c r="H6230" s="12">
        <v>-3.3425583046502099</v>
      </c>
      <c r="I6230" s="20">
        <v>-0.72391348148659695</v>
      </c>
      <c r="J6230" s="28">
        <v>0.469118852781929</v>
      </c>
      <c r="K6230" s="29">
        <v>0.98289565623980701</v>
      </c>
    </row>
    <row r="6231" spans="1:11" x14ac:dyDescent="0.35">
      <c r="A6231" s="9" t="str">
        <f>HYPERLINK("http://www.ensembl.org/id/WBGene00015034", "WBGene00015034")</f>
        <v>WBGene00015034</v>
      </c>
      <c r="B6231" s="9" t="str">
        <f>HYPERLINK("http://www.ncbi.nlm.nih.gov/gene/181840", "181840")</f>
        <v>181840</v>
      </c>
      <c r="C6231" s="9"/>
      <c r="D6231" t="str">
        <f>"B0207.11"</f>
        <v>B0207.11</v>
      </c>
      <c r="F6231" t="s">
        <v>11</v>
      </c>
      <c r="H6231" s="12">
        <v>-3.41933832513361</v>
      </c>
      <c r="I6231" s="20">
        <v>-0.44027146715912302</v>
      </c>
      <c r="J6231" s="28">
        <v>0.65974050361005898</v>
      </c>
      <c r="K6231" s="29">
        <v>0.98289565623980701</v>
      </c>
    </row>
    <row r="6232" spans="1:11" x14ac:dyDescent="0.35">
      <c r="A6232" s="9" t="str">
        <f>HYPERLINK("http://www.ensembl.org/id/WBGene00195755", "WBGene00195755")</f>
        <v>WBGene00195755</v>
      </c>
      <c r="B6232" s="9"/>
      <c r="C6232" s="9"/>
      <c r="D6232" t="str">
        <f>"B0207.13"</f>
        <v>B0207.13</v>
      </c>
      <c r="F6232" t="s">
        <v>481</v>
      </c>
      <c r="H6232" s="12">
        <v>2.3893468495514898</v>
      </c>
      <c r="I6232" s="20">
        <v>0.25323547253672701</v>
      </c>
      <c r="J6232" s="28">
        <v>0.80008625651646104</v>
      </c>
      <c r="K6232" s="29">
        <v>0.98289565623980701</v>
      </c>
    </row>
    <row r="6233" spans="1:11" x14ac:dyDescent="0.35">
      <c r="A6233" s="9" t="str">
        <f>HYPERLINK("http://www.ensembl.org/id/WBGene00015030", "WBGene00015030")</f>
        <v>WBGene00015030</v>
      </c>
      <c r="B6233" s="9" t="str">
        <f>HYPERLINK("http://www.ncbi.nlm.nih.gov/gene/181836", "181836")</f>
        <v>181836</v>
      </c>
      <c r="C6233" s="9"/>
      <c r="D6233" t="str">
        <f>"B0207.7"</f>
        <v>B0207.7</v>
      </c>
      <c r="F6233" t="s">
        <v>11</v>
      </c>
      <c r="G6233" t="s">
        <v>961</v>
      </c>
      <c r="H6233" s="12">
        <v>2.9334581415389298</v>
      </c>
      <c r="I6233" s="20">
        <v>0.66787265725581302</v>
      </c>
      <c r="J6233" s="28">
        <v>0.50421488236036704</v>
      </c>
      <c r="K6233" s="29">
        <v>0.98289565623980701</v>
      </c>
    </row>
    <row r="6234" spans="1:11" x14ac:dyDescent="0.35">
      <c r="A6234" s="9" t="str">
        <f>HYPERLINK("http://www.ensembl.org/id/WBGene00015032", "WBGene00015032")</f>
        <v>WBGene00015032</v>
      </c>
      <c r="B6234" s="9" t="str">
        <f>HYPERLINK("http://www.ncbi.nlm.nih.gov/gene/181838", "181838")</f>
        <v>181838</v>
      </c>
      <c r="C6234" s="9"/>
      <c r="D6234" t="str">
        <f>"B0207.9"</f>
        <v>B0207.9</v>
      </c>
      <c r="F6234" t="s">
        <v>11</v>
      </c>
      <c r="G6234" t="s">
        <v>25</v>
      </c>
      <c r="H6234" s="12">
        <v>-6.5816209523590601</v>
      </c>
      <c r="I6234" s="20">
        <v>-0.73756827122545399</v>
      </c>
      <c r="J6234" s="28">
        <v>0.46077684215714998</v>
      </c>
      <c r="K6234" s="29">
        <v>0.98289565623980701</v>
      </c>
    </row>
    <row r="6235" spans="1:11" x14ac:dyDescent="0.35">
      <c r="A6235" s="9" t="str">
        <f>HYPERLINK("http://www.ensembl.org/id/WBGene00015037", "WBGene00015037")</f>
        <v>WBGene00015037</v>
      </c>
      <c r="B6235" s="9" t="str">
        <f>HYPERLINK("http://www.ncbi.nlm.nih.gov/gene/177115", "177115")</f>
        <v>177115</v>
      </c>
      <c r="C6235" s="9"/>
      <c r="D6235" t="str">
        <f>"B0212.3"</f>
        <v>B0212.3</v>
      </c>
      <c r="F6235" t="s">
        <v>11</v>
      </c>
      <c r="H6235" s="12">
        <v>1.30609688106613</v>
      </c>
      <c r="I6235" s="20">
        <v>0.96432234305160902</v>
      </c>
      <c r="J6235" s="28">
        <v>0.33488434243938497</v>
      </c>
      <c r="K6235" s="29">
        <v>0.98289565623980701</v>
      </c>
    </row>
    <row r="6236" spans="1:11" x14ac:dyDescent="0.35">
      <c r="A6236" s="9" t="str">
        <f>HYPERLINK("http://www.ensembl.org/id/WBGene00022895", "WBGene00022895")</f>
        <v>WBGene00022895</v>
      </c>
      <c r="B6236" s="9"/>
      <c r="C6236" s="9"/>
      <c r="D6236" t="str">
        <f>"B0213.18"</f>
        <v>B0213.18</v>
      </c>
      <c r="F6236" t="s">
        <v>2977</v>
      </c>
      <c r="H6236" s="12">
        <v>-2.55408378987496</v>
      </c>
      <c r="I6236" s="20">
        <v>-0.43914520955159098</v>
      </c>
      <c r="J6236" s="28">
        <v>0.66055632256137398</v>
      </c>
      <c r="K6236" s="29">
        <v>0.98289565623980701</v>
      </c>
    </row>
    <row r="6237" spans="1:11" x14ac:dyDescent="0.35">
      <c r="A6237" s="9" t="str">
        <f>HYPERLINK("http://www.ensembl.org/id/WBGene00015051", "WBGene00015051")</f>
        <v>WBGene00015051</v>
      </c>
      <c r="B6237" s="9" t="str">
        <f>HYPERLINK("http://www.ncbi.nlm.nih.gov/gene/177614", "177614")</f>
        <v>177614</v>
      </c>
      <c r="C6237" s="9"/>
      <c r="D6237" t="str">
        <f>"B0218.7"</f>
        <v>B0218.7</v>
      </c>
      <c r="F6237" t="s">
        <v>11</v>
      </c>
      <c r="H6237" s="12">
        <v>1.88760180051243</v>
      </c>
      <c r="I6237" s="20">
        <v>0.68369685272111103</v>
      </c>
      <c r="J6237" s="28">
        <v>0.49416661127523098</v>
      </c>
      <c r="K6237" s="29">
        <v>0.98289565623980701</v>
      </c>
    </row>
    <row r="6238" spans="1:11" x14ac:dyDescent="0.35">
      <c r="A6238" s="9" t="str">
        <f>HYPERLINK("http://www.ensembl.org/id/WBGene00015058", "WBGene00015058")</f>
        <v>WBGene00015058</v>
      </c>
      <c r="B6238" s="9"/>
      <c r="C6238" s="9"/>
      <c r="D6238" t="str">
        <f>"B0222.10"</f>
        <v>B0222.10</v>
      </c>
      <c r="F6238" t="s">
        <v>481</v>
      </c>
      <c r="H6238" s="12">
        <v>-1.3101722763635599</v>
      </c>
      <c r="I6238" s="20">
        <v>-0.41047236377502999</v>
      </c>
      <c r="J6238" s="28">
        <v>0.68145947236802795</v>
      </c>
      <c r="K6238" s="29">
        <v>0.98289565623980701</v>
      </c>
    </row>
    <row r="6239" spans="1:11" x14ac:dyDescent="0.35">
      <c r="A6239" s="9" t="str">
        <f>HYPERLINK("http://www.ensembl.org/id/WBGene00015063", "WBGene00015063")</f>
        <v>WBGene00015063</v>
      </c>
      <c r="B6239" s="9" t="str">
        <f>HYPERLINK("http://www.ncbi.nlm.nih.gov/gene/174251", "174251")</f>
        <v>174251</v>
      </c>
      <c r="C6239" s="9"/>
      <c r="D6239" t="str">
        <f>"B0228.6"</f>
        <v>B0228.6</v>
      </c>
      <c r="F6239" t="s">
        <v>11</v>
      </c>
      <c r="G6239" t="s">
        <v>25</v>
      </c>
      <c r="H6239" s="12">
        <v>-1.10683392955505</v>
      </c>
      <c r="I6239" s="20">
        <v>-0.50122924931060697</v>
      </c>
      <c r="J6239" s="28">
        <v>0.61620979148977895</v>
      </c>
      <c r="K6239" s="29">
        <v>0.98289565623980701</v>
      </c>
    </row>
    <row r="6240" spans="1:11" x14ac:dyDescent="0.35">
      <c r="A6240" s="9" t="str">
        <f>HYPERLINK("http://www.ensembl.org/id/WBGene00015066", "WBGene00015066")</f>
        <v>WBGene00015066</v>
      </c>
      <c r="B6240" s="9" t="str">
        <f>HYPERLINK("http://www.ncbi.nlm.nih.gov/gene/181865", "181865")</f>
        <v>181865</v>
      </c>
      <c r="C6240" s="9"/>
      <c r="D6240" t="str">
        <f>"B0228.9"</f>
        <v>B0228.9</v>
      </c>
      <c r="F6240" t="s">
        <v>11</v>
      </c>
      <c r="H6240" s="12">
        <v>1.3562388510769401</v>
      </c>
      <c r="I6240" s="20">
        <v>0.38277340465930598</v>
      </c>
      <c r="J6240" s="28">
        <v>0.70188778244710204</v>
      </c>
      <c r="K6240" s="29">
        <v>0.98289565623980701</v>
      </c>
    </row>
    <row r="6241" spans="1:11" x14ac:dyDescent="0.35">
      <c r="A6241" s="9" t="str">
        <f>HYPERLINK("http://www.ensembl.org/id/WBGene00015067", "WBGene00015067")</f>
        <v>WBGene00015067</v>
      </c>
      <c r="B6241" s="9" t="str">
        <f>HYPERLINK("http://www.ncbi.nlm.nih.gov/gene/178912", "178912")</f>
        <v>178912</v>
      </c>
      <c r="C6241" s="9"/>
      <c r="D6241" t="str">
        <f>"B0238.1"</f>
        <v>B0238.1</v>
      </c>
      <c r="E6241" t="s">
        <v>383</v>
      </c>
      <c r="F6241" t="s">
        <v>11</v>
      </c>
      <c r="G6241" t="s">
        <v>2185</v>
      </c>
      <c r="H6241" s="12">
        <v>-1.08493418819397</v>
      </c>
      <c r="I6241" s="20">
        <v>-0.38259547707875602</v>
      </c>
      <c r="J6241" s="28">
        <v>0.70201972433365301</v>
      </c>
      <c r="K6241" s="29">
        <v>0.98289565623980701</v>
      </c>
    </row>
    <row r="6242" spans="1:11" x14ac:dyDescent="0.35">
      <c r="A6242" s="9" t="str">
        <f>HYPERLINK("http://www.ensembl.org/id/WBGene00015077", "WBGene00015077")</f>
        <v>WBGene00015077</v>
      </c>
      <c r="B6242" s="9"/>
      <c r="C6242" s="9"/>
      <c r="D6242" t="str">
        <f>"B0238.13"</f>
        <v>B0238.13</v>
      </c>
      <c r="F6242" t="s">
        <v>80</v>
      </c>
      <c r="H6242" s="12">
        <v>-1.81717320015203</v>
      </c>
      <c r="I6242" s="20">
        <v>-1.16348471699197</v>
      </c>
      <c r="J6242" s="28">
        <v>0.24463289529559001</v>
      </c>
      <c r="K6242" s="29">
        <v>0.98289565623980701</v>
      </c>
    </row>
    <row r="6243" spans="1:11" x14ac:dyDescent="0.35">
      <c r="A6243" s="9" t="str">
        <f>HYPERLINK("http://www.ensembl.org/id/WBGene00015071", "WBGene00015071")</f>
        <v>WBGene00015071</v>
      </c>
      <c r="B6243" s="9" t="str">
        <f>HYPERLINK("http://www.ncbi.nlm.nih.gov/gene/181871", "181871")</f>
        <v>181871</v>
      </c>
      <c r="C6243" s="9"/>
      <c r="D6243" t="str">
        <f>"B0238.7"</f>
        <v>B0238.7</v>
      </c>
      <c r="E6243" t="s">
        <v>383</v>
      </c>
      <c r="F6243" t="s">
        <v>11</v>
      </c>
      <c r="G6243" t="s">
        <v>2185</v>
      </c>
      <c r="H6243" s="12">
        <v>4.4368407117627902</v>
      </c>
      <c r="I6243" s="20">
        <v>0.43709475933309699</v>
      </c>
      <c r="J6243" s="28">
        <v>0.66204262779770495</v>
      </c>
      <c r="K6243" s="29">
        <v>0.98289565623980701</v>
      </c>
    </row>
    <row r="6244" spans="1:11" x14ac:dyDescent="0.35">
      <c r="A6244" s="9" t="str">
        <f>HYPERLINK("http://www.ensembl.org/id/WBGene00197623", "WBGene00197623")</f>
        <v>WBGene00197623</v>
      </c>
      <c r="B6244" s="9"/>
      <c r="C6244" s="9"/>
      <c r="D6244" t="str">
        <f>"B0240.5"</f>
        <v>B0240.5</v>
      </c>
      <c r="F6244" t="s">
        <v>481</v>
      </c>
      <c r="H6244" s="12">
        <v>2.3893468495514898</v>
      </c>
      <c r="I6244" s="20">
        <v>0.25323547253672701</v>
      </c>
      <c r="J6244" s="28">
        <v>0.80008625651646104</v>
      </c>
      <c r="K6244" s="29">
        <v>0.98289565623980701</v>
      </c>
    </row>
    <row r="6245" spans="1:11" x14ac:dyDescent="0.35">
      <c r="A6245" s="9" t="str">
        <f>HYPERLINK("http://www.ensembl.org/id/WBGene00015086", "WBGene00015086")</f>
        <v>WBGene00015086</v>
      </c>
      <c r="B6245" s="9" t="str">
        <f>HYPERLINK("http://www.ncbi.nlm.nih.gov/gene/175808", "175808")</f>
        <v>175808</v>
      </c>
      <c r="C6245" s="9"/>
      <c r="D6245" t="str">
        <f>"B0244.11"</f>
        <v>B0244.11</v>
      </c>
      <c r="F6245" t="s">
        <v>11</v>
      </c>
      <c r="H6245" s="12">
        <v>1.9392986999312301</v>
      </c>
      <c r="I6245" s="20">
        <v>0.40347508315901798</v>
      </c>
      <c r="J6245" s="28">
        <v>0.68659876129850095</v>
      </c>
      <c r="K6245" s="29">
        <v>0.98289565623980701</v>
      </c>
    </row>
    <row r="6246" spans="1:11" x14ac:dyDescent="0.35">
      <c r="A6246" s="9" t="str">
        <f>HYPERLINK("http://www.ensembl.org/id/WBGene00271715", "WBGene00271715")</f>
        <v>WBGene00271715</v>
      </c>
      <c r="B6246" s="9" t="str">
        <f>HYPERLINK("http://www.ncbi.nlm.nih.gov/gene/32928577", "32928577")</f>
        <v>32928577</v>
      </c>
      <c r="C6246" s="9"/>
      <c r="D6246" t="str">
        <f>"B0244.17"</f>
        <v>B0244.17</v>
      </c>
      <c r="F6246" t="s">
        <v>11</v>
      </c>
      <c r="G6246" t="s">
        <v>1793</v>
      </c>
      <c r="H6246" s="12">
        <v>2.23770007033042</v>
      </c>
      <c r="I6246" s="20">
        <v>0.69822153308382495</v>
      </c>
      <c r="J6246" s="28">
        <v>0.48503866207628099</v>
      </c>
      <c r="K6246" s="29">
        <v>0.98289565623980701</v>
      </c>
    </row>
    <row r="6247" spans="1:11" x14ac:dyDescent="0.35">
      <c r="A6247" s="9" t="str">
        <f>HYPERLINK("http://www.ensembl.org/id/WBGene00015079", "WBGene00015079")</f>
        <v>WBGene00015079</v>
      </c>
      <c r="B6247" s="9" t="str">
        <f>HYPERLINK("http://www.ncbi.nlm.nih.gov/gene/181875", "181875")</f>
        <v>181875</v>
      </c>
      <c r="C6247" s="9"/>
      <c r="D6247" t="str">
        <f>"B0244.4"</f>
        <v>B0244.4</v>
      </c>
      <c r="E6247" t="s">
        <v>4355</v>
      </c>
      <c r="F6247" t="s">
        <v>11</v>
      </c>
      <c r="G6247" t="s">
        <v>1793</v>
      </c>
      <c r="H6247" s="12">
        <v>2.7612767806951499</v>
      </c>
      <c r="I6247" s="20">
        <v>0.72414136142494201</v>
      </c>
      <c r="J6247" s="28">
        <v>0.46897895392697803</v>
      </c>
      <c r="K6247" s="29">
        <v>0.98289565623980701</v>
      </c>
    </row>
    <row r="6248" spans="1:11" x14ac:dyDescent="0.35">
      <c r="A6248" s="9" t="str">
        <f>HYPERLINK("http://www.ensembl.org/id/WBGene00015080", "WBGene00015080")</f>
        <v>WBGene00015080</v>
      </c>
      <c r="B6248" s="9" t="str">
        <f>HYPERLINK("http://www.ncbi.nlm.nih.gov/gene/181876", "181876")</f>
        <v>181876</v>
      </c>
      <c r="C6248" s="9"/>
      <c r="D6248" t="str">
        <f>"B0244.5"</f>
        <v>B0244.5</v>
      </c>
      <c r="E6248" t="s">
        <v>4422</v>
      </c>
      <c r="F6248" t="s">
        <v>11</v>
      </c>
      <c r="G6248" t="s">
        <v>1793</v>
      </c>
      <c r="H6248" s="12">
        <v>2.21780638877296</v>
      </c>
      <c r="I6248" s="20">
        <v>0.43675823337852299</v>
      </c>
      <c r="J6248" s="28">
        <v>0.66228669205471302</v>
      </c>
      <c r="K6248" s="29">
        <v>0.98289565623980701</v>
      </c>
    </row>
    <row r="6249" spans="1:11" x14ac:dyDescent="0.35">
      <c r="A6249" s="9" t="str">
        <f>HYPERLINK("http://www.ensembl.org/id/WBGene00015081", "WBGene00015081")</f>
        <v>WBGene00015081</v>
      </c>
      <c r="B6249" s="9" t="str">
        <f>HYPERLINK("http://www.ncbi.nlm.nih.gov/gene/181877", "181877")</f>
        <v>181877</v>
      </c>
      <c r="C6249" s="9"/>
      <c r="D6249" t="str">
        <f>"B0244.6"</f>
        <v>B0244.6</v>
      </c>
      <c r="E6249" t="s">
        <v>5421</v>
      </c>
      <c r="F6249" t="s">
        <v>11</v>
      </c>
      <c r="G6249" t="s">
        <v>1793</v>
      </c>
      <c r="H6249" s="12">
        <v>1.16669633951345</v>
      </c>
      <c r="I6249" s="20">
        <v>0.26276114914878701</v>
      </c>
      <c r="J6249" s="28">
        <v>0.79273468201678299</v>
      </c>
      <c r="K6249" s="29">
        <v>0.98289565623980701</v>
      </c>
    </row>
    <row r="6250" spans="1:11" x14ac:dyDescent="0.35">
      <c r="A6250" s="9" t="str">
        <f>HYPERLINK("http://www.ensembl.org/id/WBGene00015082", "WBGene00015082")</f>
        <v>WBGene00015082</v>
      </c>
      <c r="B6250" s="9" t="str">
        <f>HYPERLINK("http://www.ncbi.nlm.nih.gov/gene/181878", "181878")</f>
        <v>181878</v>
      </c>
      <c r="C6250" s="9"/>
      <c r="D6250" t="str">
        <f>"B0244.7"</f>
        <v>B0244.7</v>
      </c>
      <c r="E6250" t="s">
        <v>10088</v>
      </c>
      <c r="F6250" t="s">
        <v>11</v>
      </c>
      <c r="G6250" t="s">
        <v>1793</v>
      </c>
      <c r="H6250" s="12">
        <v>-3.2513023327382999</v>
      </c>
      <c r="I6250" s="20">
        <v>-0.542910413556005</v>
      </c>
      <c r="J6250" s="28">
        <v>0.58719148568717905</v>
      </c>
      <c r="K6250" s="29">
        <v>0.98289565623980701</v>
      </c>
    </row>
    <row r="6251" spans="1:11" x14ac:dyDescent="0.35">
      <c r="A6251" s="9" t="str">
        <f>HYPERLINK("http://www.ensembl.org/id/WBGene00015084", "WBGene00015084")</f>
        <v>WBGene00015084</v>
      </c>
      <c r="B6251" s="9" t="str">
        <f>HYPERLINK("http://www.ncbi.nlm.nih.gov/gene/175805", "175805")</f>
        <v>175805</v>
      </c>
      <c r="C6251" s="9"/>
      <c r="D6251" t="str">
        <f>"B0244.9"</f>
        <v>B0244.9</v>
      </c>
      <c r="F6251" t="s">
        <v>11</v>
      </c>
      <c r="G6251" t="s">
        <v>25</v>
      </c>
      <c r="H6251" s="12">
        <v>3.9050457706800401</v>
      </c>
      <c r="I6251" s="20">
        <v>0.65045698157646403</v>
      </c>
      <c r="J6251" s="28">
        <v>0.51539708062207001</v>
      </c>
      <c r="K6251" s="29">
        <v>0.98289565623980701</v>
      </c>
    </row>
    <row r="6252" spans="1:11" x14ac:dyDescent="0.35">
      <c r="A6252" s="9" t="str">
        <f>HYPERLINK("http://www.ensembl.org/id/WBGene00050926", "WBGene00050926")</f>
        <v>WBGene00050926</v>
      </c>
      <c r="B6252" s="9"/>
      <c r="C6252" s="9"/>
      <c r="D6252" t="str">
        <f>"B0250.11"</f>
        <v>B0250.11</v>
      </c>
      <c r="F6252" t="s">
        <v>80</v>
      </c>
      <c r="H6252" s="12">
        <v>4.4368407117627902</v>
      </c>
      <c r="I6252" s="20">
        <v>0.43709475933309699</v>
      </c>
      <c r="J6252" s="28">
        <v>0.66204262779770495</v>
      </c>
      <c r="K6252" s="29">
        <v>0.98289565623980701</v>
      </c>
    </row>
    <row r="6253" spans="1:11" x14ac:dyDescent="0.35">
      <c r="A6253" s="9" t="str">
        <f>HYPERLINK("http://www.ensembl.org/id/WBGene00050927", "WBGene00050927")</f>
        <v>WBGene00050927</v>
      </c>
      <c r="B6253" s="9"/>
      <c r="C6253" s="9"/>
      <c r="D6253" t="str">
        <f>"B0250.12"</f>
        <v>B0250.12</v>
      </c>
      <c r="F6253" t="s">
        <v>80</v>
      </c>
      <c r="H6253" s="12">
        <v>1.2040219798134499</v>
      </c>
      <c r="I6253" s="20">
        <v>0.69116671977621202</v>
      </c>
      <c r="J6253" s="28">
        <v>0.489460775501317</v>
      </c>
      <c r="K6253" s="29">
        <v>0.98289565623980701</v>
      </c>
    </row>
    <row r="6254" spans="1:11" x14ac:dyDescent="0.35">
      <c r="A6254" s="9" t="str">
        <f>HYPERLINK("http://www.ensembl.org/id/WBGene00219782", "WBGene00219782")</f>
        <v>WBGene00219782</v>
      </c>
      <c r="B6254" s="9"/>
      <c r="C6254" s="9"/>
      <c r="D6254" t="str">
        <f>"B0250.19"</f>
        <v>B0250.19</v>
      </c>
      <c r="F6254" t="s">
        <v>2977</v>
      </c>
      <c r="H6254" s="12">
        <v>2.4578120077400301</v>
      </c>
      <c r="I6254" s="20">
        <v>0.26093350314551</v>
      </c>
      <c r="J6254" s="28">
        <v>0.79414378780213601</v>
      </c>
      <c r="K6254" s="29">
        <v>0.98289565623980701</v>
      </c>
    </row>
    <row r="6255" spans="1:11" x14ac:dyDescent="0.35">
      <c r="A6255" s="9" t="str">
        <f>HYPERLINK("http://www.ensembl.org/id/WBGene00007120", "WBGene00007120")</f>
        <v>WBGene00007120</v>
      </c>
      <c r="B6255" s="9"/>
      <c r="C6255" s="9"/>
      <c r="D6255" t="str">
        <f>"B0250.3"</f>
        <v>B0250.3</v>
      </c>
      <c r="F6255" t="s">
        <v>80</v>
      </c>
      <c r="H6255" s="12">
        <v>-1.4642767735136299</v>
      </c>
      <c r="I6255" s="20">
        <v>-0.69839435049517395</v>
      </c>
      <c r="J6255" s="28">
        <v>0.48493060849064701</v>
      </c>
      <c r="K6255" s="29">
        <v>0.98289565623980701</v>
      </c>
    </row>
    <row r="6256" spans="1:11" x14ac:dyDescent="0.35">
      <c r="A6256" s="9" t="str">
        <f>HYPERLINK("http://www.ensembl.org/id/WBGene00007121", "WBGene00007121")</f>
        <v>WBGene00007121</v>
      </c>
      <c r="B6256" s="9"/>
      <c r="C6256" s="9"/>
      <c r="D6256" t="str">
        <f>"B0250.4"</f>
        <v>B0250.4</v>
      </c>
      <c r="F6256" t="s">
        <v>80</v>
      </c>
      <c r="H6256" s="12">
        <v>1.3301267330497699</v>
      </c>
      <c r="I6256" s="20">
        <v>1.13783869717952</v>
      </c>
      <c r="J6256" s="28">
        <v>0.255187843044273</v>
      </c>
      <c r="K6256" s="29">
        <v>0.98289565623980701</v>
      </c>
    </row>
    <row r="6257" spans="1:11" x14ac:dyDescent="0.35">
      <c r="A6257" s="9" t="str">
        <f>HYPERLINK("http://www.ensembl.org/id/WBGene00007122", "WBGene00007122")</f>
        <v>WBGene00007122</v>
      </c>
      <c r="B6257" s="9" t="str">
        <f>HYPERLINK("http://www.ncbi.nlm.nih.gov/gene/180344", "180344")</f>
        <v>180344</v>
      </c>
      <c r="C6257" s="9" t="str">
        <f>HYPERLINK("http://www.ncbi.nlm.nih.gov/gene/11112", "11112")</f>
        <v>11112</v>
      </c>
      <c r="D6257" t="str">
        <f>"B0250.5"</f>
        <v>B0250.5</v>
      </c>
      <c r="E6257" t="s">
        <v>8554</v>
      </c>
      <c r="F6257" t="s">
        <v>11</v>
      </c>
      <c r="G6257" t="s">
        <v>8555</v>
      </c>
      <c r="H6257" s="12">
        <v>-1.1833125887387299</v>
      </c>
      <c r="I6257" s="20">
        <v>-0.88197243790173496</v>
      </c>
      <c r="J6257" s="28">
        <v>0.37779171232409903</v>
      </c>
      <c r="K6257" s="29">
        <v>0.98289565623980701</v>
      </c>
    </row>
    <row r="6258" spans="1:11" x14ac:dyDescent="0.35">
      <c r="A6258" s="9" t="str">
        <f>HYPERLINK("http://www.ensembl.org/id/WBGene00007125", "WBGene00007125")</f>
        <v>WBGene00007125</v>
      </c>
      <c r="B6258" s="9" t="str">
        <f>HYPERLINK("http://www.ncbi.nlm.nih.gov/gene/181885", "181885")</f>
        <v>181885</v>
      </c>
      <c r="C6258" s="9"/>
      <c r="D6258" t="str">
        <f>"B0250.8"</f>
        <v>B0250.8</v>
      </c>
      <c r="F6258" t="s">
        <v>11</v>
      </c>
      <c r="H6258" s="12">
        <v>-6.3507302933957197</v>
      </c>
      <c r="I6258" s="20">
        <v>-0.54348709410156204</v>
      </c>
      <c r="J6258" s="28">
        <v>0.58679447442024202</v>
      </c>
      <c r="K6258" s="29">
        <v>0.98289565623980701</v>
      </c>
    </row>
    <row r="6259" spans="1:11" x14ac:dyDescent="0.35">
      <c r="A6259" s="9" t="str">
        <f>HYPERLINK("http://www.ensembl.org/id/WBGene00015087", "WBGene00015087")</f>
        <v>WBGene00015087</v>
      </c>
      <c r="B6259" s="9" t="str">
        <f>HYPERLINK("http://www.ncbi.nlm.nih.gov/gene/174133", "174133")</f>
        <v>174133</v>
      </c>
      <c r="C6259" s="9"/>
      <c r="D6259" t="str">
        <f>"B0252.1"</f>
        <v>B0252.1</v>
      </c>
      <c r="F6259" t="s">
        <v>11</v>
      </c>
      <c r="G6259" t="s">
        <v>4907</v>
      </c>
      <c r="H6259" s="12">
        <v>1.3086084264826801</v>
      </c>
      <c r="I6259" s="20">
        <v>0.39903097494369</v>
      </c>
      <c r="J6259" s="28">
        <v>0.68987038099605602</v>
      </c>
      <c r="K6259" s="29">
        <v>0.98289565623980701</v>
      </c>
    </row>
    <row r="6260" spans="1:11" x14ac:dyDescent="0.35">
      <c r="A6260" s="9" t="str">
        <f>HYPERLINK("http://www.ensembl.org/id/WBGene00015088", "WBGene00015088")</f>
        <v>WBGene00015088</v>
      </c>
      <c r="B6260" s="9" t="str">
        <f>HYPERLINK("http://www.ncbi.nlm.nih.gov/gene/174130", "174130")</f>
        <v>174130</v>
      </c>
      <c r="C6260" s="9"/>
      <c r="D6260" t="str">
        <f>"B0252.3"</f>
        <v>B0252.3</v>
      </c>
      <c r="E6260" t="s">
        <v>5029</v>
      </c>
      <c r="F6260" t="s">
        <v>11</v>
      </c>
      <c r="G6260" t="s">
        <v>230</v>
      </c>
      <c r="H6260" s="12">
        <v>1.2555012422037699</v>
      </c>
      <c r="I6260" s="20">
        <v>1.0012226304320899</v>
      </c>
      <c r="J6260" s="28">
        <v>0.31671918802380999</v>
      </c>
      <c r="K6260" s="29">
        <v>0.98289565623980701</v>
      </c>
    </row>
    <row r="6261" spans="1:11" x14ac:dyDescent="0.35">
      <c r="A6261" s="9" t="str">
        <f>HYPERLINK("http://www.ensembl.org/id/WBGene00015089", "WBGene00015089")</f>
        <v>WBGene00015089</v>
      </c>
      <c r="B6261" s="9" t="str">
        <f>HYPERLINK("http://www.ncbi.nlm.nih.gov/gene/181888", "181888")</f>
        <v>181888</v>
      </c>
      <c r="C6261" s="9"/>
      <c r="D6261" t="str">
        <f>"B0252.5"</f>
        <v>B0252.5</v>
      </c>
      <c r="F6261" t="s">
        <v>11</v>
      </c>
      <c r="H6261" s="12">
        <v>1.71955194188342</v>
      </c>
      <c r="I6261" s="20">
        <v>0.57879745634569701</v>
      </c>
      <c r="J6261" s="28">
        <v>0.56272584767876899</v>
      </c>
      <c r="K6261" s="29">
        <v>0.98289565623980701</v>
      </c>
    </row>
    <row r="6262" spans="1:11" x14ac:dyDescent="0.35">
      <c r="A6262" s="9" t="str">
        <f>HYPERLINK("http://www.ensembl.org/id/WBGene00044615", "WBGene00044615")</f>
        <v>WBGene00044615</v>
      </c>
      <c r="B6262" s="9" t="str">
        <f>HYPERLINK("http://www.ncbi.nlm.nih.gov/gene/3896725", "3896725")</f>
        <v>3896725</v>
      </c>
      <c r="C6262" s="9"/>
      <c r="D6262" t="str">
        <f>"B0252.8"</f>
        <v>B0252.8</v>
      </c>
      <c r="F6262" t="s">
        <v>11</v>
      </c>
      <c r="H6262" s="12">
        <v>-1.25476866155027</v>
      </c>
      <c r="I6262" s="20">
        <v>-0.917419532484261</v>
      </c>
      <c r="J6262" s="28">
        <v>0.35892284129031798</v>
      </c>
      <c r="K6262" s="29">
        <v>0.98289565623980701</v>
      </c>
    </row>
    <row r="6263" spans="1:11" x14ac:dyDescent="0.35">
      <c r="A6263" s="9" t="str">
        <f>HYPERLINK("http://www.ensembl.org/id/WBGene00015091", "WBGene00015091")</f>
        <v>WBGene00015091</v>
      </c>
      <c r="B6263" s="9" t="str">
        <f>HYPERLINK("http://www.ncbi.nlm.nih.gov/gene/172168", "172168")</f>
        <v>172168</v>
      </c>
      <c r="C6263" s="9"/>
      <c r="D6263" t="str">
        <f>"B0261.1"</f>
        <v>B0261.1</v>
      </c>
      <c r="F6263" t="s">
        <v>11</v>
      </c>
      <c r="G6263" t="s">
        <v>8193</v>
      </c>
      <c r="H6263" s="12">
        <v>-1.1648369656586499</v>
      </c>
      <c r="I6263" s="20">
        <v>-0.806724480751561</v>
      </c>
      <c r="J6263" s="28">
        <v>0.41982523666995297</v>
      </c>
      <c r="K6263" s="29">
        <v>0.98289565623980701</v>
      </c>
    </row>
    <row r="6264" spans="1:11" x14ac:dyDescent="0.35">
      <c r="A6264" s="9" t="str">
        <f>HYPERLINK("http://www.ensembl.org/id/WBGene00015093", "WBGene00015093")</f>
        <v>WBGene00015093</v>
      </c>
      <c r="B6264" s="9" t="str">
        <f>HYPERLINK("http://www.ncbi.nlm.nih.gov/gene/181890", "181890")</f>
        <v>181890</v>
      </c>
      <c r="C6264" s="9"/>
      <c r="D6264" t="str">
        <f>"B0261.5"</f>
        <v>B0261.5</v>
      </c>
      <c r="F6264" t="s">
        <v>11</v>
      </c>
      <c r="G6264" t="s">
        <v>25</v>
      </c>
      <c r="H6264" s="12">
        <v>1.67015087128465</v>
      </c>
      <c r="I6264" s="20">
        <v>0.26070135037665598</v>
      </c>
      <c r="J6264" s="28">
        <v>0.79432282461114401</v>
      </c>
      <c r="K6264" s="29">
        <v>0.98289565623980701</v>
      </c>
    </row>
    <row r="6265" spans="1:11" x14ac:dyDescent="0.35">
      <c r="A6265" s="9" t="str">
        <f>HYPERLINK("http://www.ensembl.org/id/WBGene00015096", "WBGene00015096")</f>
        <v>WBGene00015096</v>
      </c>
      <c r="B6265" s="9" t="str">
        <f>HYPERLINK("http://www.ncbi.nlm.nih.gov/gene/3564966", "3564966")</f>
        <v>3564966</v>
      </c>
      <c r="C6265" s="9"/>
      <c r="D6265" t="str">
        <f>"B0261.8"</f>
        <v>B0261.8</v>
      </c>
      <c r="F6265" t="s">
        <v>11</v>
      </c>
      <c r="H6265" s="12">
        <v>1.24578893430493</v>
      </c>
      <c r="I6265" s="20">
        <v>1.02448490205215</v>
      </c>
      <c r="J6265" s="28">
        <v>0.30560629843425802</v>
      </c>
      <c r="K6265" s="29">
        <v>0.98289565623980701</v>
      </c>
    </row>
    <row r="6266" spans="1:11" x14ac:dyDescent="0.35">
      <c r="A6266" s="9" t="str">
        <f>HYPERLINK("http://www.ensembl.org/id/WBGene00195057", "WBGene00195057")</f>
        <v>WBGene00195057</v>
      </c>
      <c r="B6266" s="9" t="str">
        <f>HYPERLINK("http://www.ncbi.nlm.nih.gov/gene/13180201", "13180201")</f>
        <v>13180201</v>
      </c>
      <c r="C6266" s="9"/>
      <c r="D6266" t="str">
        <f>"B0261.9"</f>
        <v>B0261.9</v>
      </c>
      <c r="F6266" t="s">
        <v>11</v>
      </c>
      <c r="H6266" s="12">
        <v>-10.626042312456599</v>
      </c>
      <c r="I6266" s="20">
        <v>-1.1120399857057699</v>
      </c>
      <c r="J6266" s="28">
        <v>0.26612095847127998</v>
      </c>
      <c r="K6266" s="29">
        <v>0.98289565623980701</v>
      </c>
    </row>
    <row r="6267" spans="1:11" x14ac:dyDescent="0.35">
      <c r="A6267" s="9" t="str">
        <f>HYPERLINK("http://www.ensembl.org/id/WBGene00007129", "WBGene00007129")</f>
        <v>WBGene00007129</v>
      </c>
      <c r="B6267" s="9" t="str">
        <f>HYPERLINK("http://www.ncbi.nlm.nih.gov/gene/181169", "181169")</f>
        <v>181169</v>
      </c>
      <c r="C6267" s="9" t="str">
        <f>HYPERLINK("http://www.ncbi.nlm.nih.gov/gene/3033", "3033")</f>
        <v>3033</v>
      </c>
      <c r="D6267" t="str">
        <f>"B0272.3"</f>
        <v>B0272.3</v>
      </c>
      <c r="E6267" t="s">
        <v>8439</v>
      </c>
      <c r="F6267" t="s">
        <v>11</v>
      </c>
      <c r="G6267" t="s">
        <v>8440</v>
      </c>
      <c r="H6267" s="12">
        <v>-1.1779711685804599</v>
      </c>
      <c r="I6267" s="20">
        <v>-0.88704041457844296</v>
      </c>
      <c r="J6267" s="28">
        <v>0.37505714215052999</v>
      </c>
      <c r="K6267" s="29">
        <v>0.98289565623980701</v>
      </c>
    </row>
    <row r="6268" spans="1:11" x14ac:dyDescent="0.35">
      <c r="A6268" s="9" t="str">
        <f>HYPERLINK("http://www.ensembl.org/id/WBGene00015097", "WBGene00015097")</f>
        <v>WBGene00015097</v>
      </c>
      <c r="B6268" s="9" t="str">
        <f>HYPERLINK("http://www.ncbi.nlm.nih.gov/gene/177333", "177333")</f>
        <v>177333</v>
      </c>
      <c r="C6268" s="9"/>
      <c r="D6268" t="str">
        <f>"B0273.1"</f>
        <v>B0273.1</v>
      </c>
      <c r="F6268" t="s">
        <v>11</v>
      </c>
      <c r="H6268" s="12">
        <v>1.28110115925817</v>
      </c>
      <c r="I6268" s="20">
        <v>0.49751421408610003</v>
      </c>
      <c r="J6268" s="28">
        <v>0.61882648188758504</v>
      </c>
      <c r="K6268" s="29">
        <v>0.98289565623980701</v>
      </c>
    </row>
    <row r="6269" spans="1:11" x14ac:dyDescent="0.35">
      <c r="A6269" s="9" t="str">
        <f>HYPERLINK("http://www.ensembl.org/id/WBGene00199390", "WBGene00199390")</f>
        <v>WBGene00199390</v>
      </c>
      <c r="B6269" s="9"/>
      <c r="C6269" s="9"/>
      <c r="D6269" t="str">
        <f>"B0273.111"</f>
        <v>B0273.111</v>
      </c>
      <c r="F6269" t="s">
        <v>481</v>
      </c>
      <c r="H6269" s="12">
        <v>7.8691597089380902</v>
      </c>
      <c r="I6269" s="20">
        <v>0.61251365190975104</v>
      </c>
      <c r="J6269" s="28">
        <v>0.54019796842331003</v>
      </c>
      <c r="K6269" s="29">
        <v>0.98289565623980701</v>
      </c>
    </row>
    <row r="6270" spans="1:11" x14ac:dyDescent="0.35">
      <c r="A6270" s="9" t="str">
        <f>HYPERLINK("http://www.ensembl.org/id/WBGene00199932", "WBGene00199932")</f>
        <v>WBGene00199932</v>
      </c>
      <c r="B6270" s="9"/>
      <c r="C6270" s="9"/>
      <c r="D6270" t="str">
        <f>"B0273.112"</f>
        <v>B0273.112</v>
      </c>
      <c r="F6270" t="s">
        <v>481</v>
      </c>
      <c r="H6270" s="12">
        <v>-7.6593953309027301</v>
      </c>
      <c r="I6270" s="20">
        <v>-0.667771458163813</v>
      </c>
      <c r="J6270" s="28">
        <v>0.50427948823086399</v>
      </c>
      <c r="K6270" s="29">
        <v>0.98289565623980701</v>
      </c>
    </row>
    <row r="6271" spans="1:11" x14ac:dyDescent="0.35">
      <c r="A6271" s="9" t="str">
        <f>HYPERLINK("http://www.ensembl.org/id/WBGene00206473", "WBGene00206473")</f>
        <v>WBGene00206473</v>
      </c>
      <c r="B6271" s="9" t="str">
        <f>HYPERLINK("http://www.ncbi.nlm.nih.gov/gene/13194168", "13194168")</f>
        <v>13194168</v>
      </c>
      <c r="C6271" s="9"/>
      <c r="D6271" t="str">
        <f>"B0273.115"</f>
        <v>B0273.115</v>
      </c>
      <c r="F6271" t="s">
        <v>11</v>
      </c>
      <c r="G6271" t="s">
        <v>3419</v>
      </c>
      <c r="H6271" s="12">
        <v>5.9495765472548197</v>
      </c>
      <c r="I6271" s="20">
        <v>0.52429389276509997</v>
      </c>
      <c r="J6271" s="28">
        <v>0.60007414400596704</v>
      </c>
      <c r="K6271" s="29">
        <v>0.98289565623980701</v>
      </c>
    </row>
    <row r="6272" spans="1:11" x14ac:dyDescent="0.35">
      <c r="A6272" s="9" t="str">
        <f>HYPERLINK("http://www.ensembl.org/id/WBGene00015106", "WBGene00015106")</f>
        <v>WBGene00015106</v>
      </c>
      <c r="B6272" s="9" t="str">
        <f>HYPERLINK("http://www.ncbi.nlm.nih.gov/gene/175997", "175997")</f>
        <v>175997</v>
      </c>
      <c r="C6272" s="9"/>
      <c r="D6272" t="str">
        <f>"B0280.11"</f>
        <v>B0280.11</v>
      </c>
      <c r="E6272" t="s">
        <v>10019</v>
      </c>
      <c r="F6272" t="s">
        <v>11</v>
      </c>
      <c r="G6272" t="s">
        <v>10020</v>
      </c>
      <c r="H6272" s="12">
        <v>-1.7807929103276301</v>
      </c>
      <c r="I6272" s="20">
        <v>-0.37465055662121699</v>
      </c>
      <c r="J6272" s="28">
        <v>0.70792036827864901</v>
      </c>
      <c r="K6272" s="29">
        <v>0.98289565623980701</v>
      </c>
    </row>
    <row r="6273" spans="1:11" x14ac:dyDescent="0.35">
      <c r="A6273" s="9" t="str">
        <f>HYPERLINK("http://www.ensembl.org/id/WBGene00044674", "WBGene00044674")</f>
        <v>WBGene00044674</v>
      </c>
      <c r="B6273" s="9" t="str">
        <f>HYPERLINK("http://www.ncbi.nlm.nih.gov/gene/4363051", "4363051")</f>
        <v>4363051</v>
      </c>
      <c r="C6273" s="9"/>
      <c r="D6273" t="str">
        <f>"B0280.17"</f>
        <v>B0280.17</v>
      </c>
      <c r="F6273" t="s">
        <v>11</v>
      </c>
      <c r="G6273" t="s">
        <v>7298</v>
      </c>
      <c r="H6273" s="12">
        <v>-1.2357760519597101</v>
      </c>
      <c r="I6273" s="20">
        <v>-0.27294027388170899</v>
      </c>
      <c r="J6273" s="28">
        <v>0.78489912735334799</v>
      </c>
      <c r="K6273" s="29">
        <v>0.98289565623980701</v>
      </c>
    </row>
    <row r="6274" spans="1:11" x14ac:dyDescent="0.35">
      <c r="A6274" s="9" t="str">
        <f>HYPERLINK("http://www.ensembl.org/id/WBGene00015100", "WBGene00015100")</f>
        <v>WBGene00015100</v>
      </c>
      <c r="B6274" s="9" t="str">
        <f>HYPERLINK("http://www.ncbi.nlm.nih.gov/gene/175996", "175996")</f>
        <v>175996</v>
      </c>
      <c r="C6274" s="9"/>
      <c r="D6274" t="str">
        <f>"B0280.2"</f>
        <v>B0280.2</v>
      </c>
      <c r="F6274" t="s">
        <v>11</v>
      </c>
      <c r="H6274" s="12">
        <v>2.01094115602874</v>
      </c>
      <c r="I6274" s="20">
        <v>0.86045388666097</v>
      </c>
      <c r="J6274" s="28">
        <v>0.38953889244568002</v>
      </c>
      <c r="K6274" s="29">
        <v>0.98289565623980701</v>
      </c>
    </row>
    <row r="6275" spans="1:11" x14ac:dyDescent="0.35">
      <c r="A6275" s="9" t="str">
        <f>HYPERLINK("http://www.ensembl.org/id/WBGene00271637", "WBGene00271637")</f>
        <v>WBGene00271637</v>
      </c>
      <c r="B6275" s="9"/>
      <c r="C6275" s="9"/>
      <c r="D6275" t="str">
        <f>"B0280.21"</f>
        <v>B0280.21</v>
      </c>
      <c r="F6275" t="s">
        <v>481</v>
      </c>
      <c r="H6275" s="12">
        <v>-2.4991590031922399</v>
      </c>
      <c r="I6275" s="20">
        <v>-0.26577412737581302</v>
      </c>
      <c r="J6275" s="28">
        <v>0.79041317015736101</v>
      </c>
      <c r="K6275" s="29">
        <v>0.98289565623980701</v>
      </c>
    </row>
    <row r="6276" spans="1:11" x14ac:dyDescent="0.35">
      <c r="A6276" s="9" t="str">
        <f>HYPERLINK("http://www.ensembl.org/id/WBGene00023224", "WBGene00023224")</f>
        <v>WBGene00023224</v>
      </c>
      <c r="B6276" s="9"/>
      <c r="C6276" s="9"/>
      <c r="D6276" t="str">
        <f>"B0280.6"</f>
        <v>B0280.6</v>
      </c>
      <c r="F6276" t="s">
        <v>80</v>
      </c>
      <c r="H6276" s="12">
        <v>-2.0112209729644599</v>
      </c>
      <c r="I6276" s="20">
        <v>-0.33927677666211198</v>
      </c>
      <c r="J6276" s="28">
        <v>0.73440123577448002</v>
      </c>
      <c r="K6276" s="29">
        <v>0.98289565623980701</v>
      </c>
    </row>
    <row r="6277" spans="1:11" x14ac:dyDescent="0.35">
      <c r="A6277" s="9" t="str">
        <f>HYPERLINK("http://www.ensembl.org/id/WBGene00015103", "WBGene00015103")</f>
        <v>WBGene00015103</v>
      </c>
      <c r="B6277" s="9" t="str">
        <f>HYPERLINK("http://www.ncbi.nlm.nih.gov/gene/175992", "175992")</f>
        <v>175992</v>
      </c>
      <c r="C6277" s="9"/>
      <c r="D6277" t="str">
        <f>"B0280.7"</f>
        <v>B0280.7</v>
      </c>
      <c r="F6277" t="s">
        <v>11</v>
      </c>
      <c r="H6277" s="12">
        <v>2.5074507408526898</v>
      </c>
      <c r="I6277" s="20">
        <v>0.86284855644486202</v>
      </c>
      <c r="J6277" s="28">
        <v>0.38822073812520502</v>
      </c>
      <c r="K6277" s="29">
        <v>0.98289565623980701</v>
      </c>
    </row>
    <row r="6278" spans="1:11" x14ac:dyDescent="0.35">
      <c r="A6278" s="9" t="str">
        <f>HYPERLINK("http://www.ensembl.org/id/WBGene00015108", "WBGene00015108")</f>
        <v>WBGene00015108</v>
      </c>
      <c r="B6278" s="9" t="str">
        <f>HYPERLINK("http://www.ncbi.nlm.nih.gov/gene/181895", "181895")</f>
        <v>181895</v>
      </c>
      <c r="C6278" s="9"/>
      <c r="D6278" t="str">
        <f>"B0281.1"</f>
        <v>B0281.1</v>
      </c>
      <c r="F6278" t="s">
        <v>11</v>
      </c>
      <c r="H6278" s="12">
        <v>2.4578120077400301</v>
      </c>
      <c r="I6278" s="20">
        <v>0.26093350314551</v>
      </c>
      <c r="J6278" s="28">
        <v>0.79414378780213601</v>
      </c>
      <c r="K6278" s="29">
        <v>0.98289565623980701</v>
      </c>
    </row>
    <row r="6279" spans="1:11" x14ac:dyDescent="0.35">
      <c r="A6279" s="9" t="str">
        <f>HYPERLINK("http://www.ensembl.org/id/WBGene00015110", "WBGene00015110")</f>
        <v>WBGene00015110</v>
      </c>
      <c r="B6279" s="9" t="str">
        <f>HYPERLINK("http://www.ncbi.nlm.nih.gov/gene/181897", "181897")</f>
        <v>181897</v>
      </c>
      <c r="C6279" s="9"/>
      <c r="D6279" t="str">
        <f>"B0281.3"</f>
        <v>B0281.3</v>
      </c>
      <c r="F6279" t="s">
        <v>11</v>
      </c>
      <c r="G6279" t="s">
        <v>3465</v>
      </c>
      <c r="H6279" s="12">
        <v>-1.48824933310186</v>
      </c>
      <c r="I6279" s="20">
        <v>-1.15534275072697</v>
      </c>
      <c r="J6279" s="28">
        <v>0.24795009578721899</v>
      </c>
      <c r="K6279" s="29">
        <v>0.98289565623980701</v>
      </c>
    </row>
    <row r="6280" spans="1:11" x14ac:dyDescent="0.35">
      <c r="A6280" s="9" t="str">
        <f>HYPERLINK("http://www.ensembl.org/id/WBGene00015112", "WBGene00015112")</f>
        <v>WBGene00015112</v>
      </c>
      <c r="B6280" s="9" t="str">
        <f>HYPERLINK("http://www.ncbi.nlm.nih.gov/gene/181899", "181899")</f>
        <v>181899</v>
      </c>
      <c r="C6280" s="9"/>
      <c r="D6280" t="str">
        <f>"B0281.5"</f>
        <v>B0281.5</v>
      </c>
      <c r="F6280" t="s">
        <v>11</v>
      </c>
      <c r="G6280" t="s">
        <v>1343</v>
      </c>
      <c r="H6280" s="12">
        <v>1.2226066568618801</v>
      </c>
      <c r="I6280" s="20">
        <v>0.69700483823473502</v>
      </c>
      <c r="J6280" s="28">
        <v>0.48579976596040603</v>
      </c>
      <c r="K6280" s="29">
        <v>0.98289565623980701</v>
      </c>
    </row>
    <row r="6281" spans="1:11" x14ac:dyDescent="0.35">
      <c r="A6281" s="9" t="str">
        <f>HYPERLINK("http://www.ensembl.org/id/WBGene00015113", "WBGene00015113")</f>
        <v>WBGene00015113</v>
      </c>
      <c r="B6281" s="9" t="str">
        <f>HYPERLINK("http://www.ncbi.nlm.nih.gov/gene/181900", "181900")</f>
        <v>181900</v>
      </c>
      <c r="C6281" s="9"/>
      <c r="D6281" t="str">
        <f>"B0281.6"</f>
        <v>B0281.6</v>
      </c>
      <c r="F6281" t="s">
        <v>11</v>
      </c>
      <c r="G6281" t="s">
        <v>817</v>
      </c>
      <c r="H6281" s="12">
        <v>-1.6909338054776999</v>
      </c>
      <c r="I6281" s="20">
        <v>-0.25407275210970098</v>
      </c>
      <c r="J6281" s="28">
        <v>0.79943935345969996</v>
      </c>
      <c r="K6281" s="29">
        <v>0.98289565623980701</v>
      </c>
    </row>
    <row r="6282" spans="1:11" x14ac:dyDescent="0.35">
      <c r="A6282" s="9" t="str">
        <f>HYPERLINK("http://www.ensembl.org/id/WBGene00007133", "WBGene00007133")</f>
        <v>WBGene00007133</v>
      </c>
      <c r="B6282" s="9" t="str">
        <f>HYPERLINK("http://www.ncbi.nlm.nih.gov/gene/175566", "175566")</f>
        <v>175566</v>
      </c>
      <c r="C6282" s="9"/>
      <c r="D6282" t="str">
        <f>"B0284.3"</f>
        <v>B0284.3</v>
      </c>
      <c r="F6282" t="s">
        <v>11</v>
      </c>
      <c r="G6282" t="s">
        <v>91</v>
      </c>
      <c r="H6282" s="12">
        <v>1.2818143582833601</v>
      </c>
      <c r="I6282" s="20">
        <v>0.89531152468885999</v>
      </c>
      <c r="J6282" s="28">
        <v>0.37062058131486297</v>
      </c>
      <c r="K6282" s="29">
        <v>0.98289565623980701</v>
      </c>
    </row>
    <row r="6283" spans="1:11" x14ac:dyDescent="0.35">
      <c r="A6283" s="9" t="str">
        <f>HYPERLINK("http://www.ensembl.org/id/WBGene00014641", "WBGene00014641")</f>
        <v>WBGene00014641</v>
      </c>
      <c r="B6283" s="9"/>
      <c r="C6283" s="9"/>
      <c r="D6283" t="str">
        <f>"B0285.11"</f>
        <v>B0285.11</v>
      </c>
      <c r="F6283" t="s">
        <v>80</v>
      </c>
      <c r="H6283" s="12">
        <v>-2.9395697288267399</v>
      </c>
      <c r="I6283" s="20">
        <v>-0.40844963388868899</v>
      </c>
      <c r="J6283" s="28">
        <v>0.68294360034460899</v>
      </c>
      <c r="K6283" s="29">
        <v>0.98289565623980701</v>
      </c>
    </row>
    <row r="6284" spans="1:11" x14ac:dyDescent="0.35">
      <c r="A6284" s="9" t="str">
        <f>HYPERLINK("http://www.ensembl.org/id/WBGene00007136", "WBGene00007136")</f>
        <v>WBGene00007136</v>
      </c>
      <c r="B6284" s="9" t="str">
        <f>HYPERLINK("http://www.ncbi.nlm.nih.gov/gene/175560", "175560")</f>
        <v>175560</v>
      </c>
      <c r="C6284" s="9"/>
      <c r="D6284" t="str">
        <f>"B0285.3"</f>
        <v>B0285.3</v>
      </c>
      <c r="F6284" t="s">
        <v>11</v>
      </c>
      <c r="H6284" s="12">
        <v>-1.1113444058812201</v>
      </c>
      <c r="I6284" s="20">
        <v>-0.43874515052719298</v>
      </c>
      <c r="J6284" s="28">
        <v>0.66084620756457302</v>
      </c>
      <c r="K6284" s="29">
        <v>0.98289565623980701</v>
      </c>
    </row>
    <row r="6285" spans="1:11" x14ac:dyDescent="0.35">
      <c r="A6285" s="9" t="str">
        <f>HYPERLINK("http://www.ensembl.org/id/WBGene00015115", "WBGene00015115")</f>
        <v>WBGene00015115</v>
      </c>
      <c r="B6285" s="9" t="str">
        <f>HYPERLINK("http://www.ncbi.nlm.nih.gov/gene/173774", "173774")</f>
        <v>173774</v>
      </c>
      <c r="C6285" s="9"/>
      <c r="D6285" t="str">
        <f>"B0286.1"</f>
        <v>B0286.1</v>
      </c>
      <c r="F6285" t="s">
        <v>11</v>
      </c>
      <c r="H6285" s="12">
        <v>1.2924561504652201</v>
      </c>
      <c r="I6285" s="20">
        <v>1.19988918592475</v>
      </c>
      <c r="J6285" s="28">
        <v>0.230182380401145</v>
      </c>
      <c r="K6285" s="29">
        <v>0.98289565623980701</v>
      </c>
    </row>
    <row r="6286" spans="1:11" x14ac:dyDescent="0.35">
      <c r="A6286" s="9" t="str">
        <f>HYPERLINK("http://www.ensembl.org/id/WBGene00199439", "WBGene00199439")</f>
        <v>WBGene00199439</v>
      </c>
      <c r="B6286" s="9"/>
      <c r="C6286" s="9"/>
      <c r="D6286" t="str">
        <f>"B0286.8"</f>
        <v>B0286.8</v>
      </c>
      <c r="F6286" t="s">
        <v>481</v>
      </c>
      <c r="H6286" s="12">
        <v>-2.4295389261469</v>
      </c>
      <c r="I6286" s="20">
        <v>-0.25808529976640998</v>
      </c>
      <c r="J6286" s="28">
        <v>0.79634107645457397</v>
      </c>
      <c r="K6286" s="29">
        <v>0.98289565623980701</v>
      </c>
    </row>
    <row r="6287" spans="1:11" x14ac:dyDescent="0.35">
      <c r="A6287" s="9" t="str">
        <f>HYPERLINK("http://www.ensembl.org/id/WBGene00015117", "WBGene00015117")</f>
        <v>WBGene00015117</v>
      </c>
      <c r="B6287" s="9" t="str">
        <f>HYPERLINK("http://www.ncbi.nlm.nih.gov/gene/181908", "181908")</f>
        <v>181908</v>
      </c>
      <c r="C6287" s="9"/>
      <c r="D6287" t="str">
        <f>"B0294.1"</f>
        <v>B0294.1</v>
      </c>
      <c r="F6287" t="s">
        <v>11</v>
      </c>
      <c r="H6287" s="12">
        <v>1.6353802423283801</v>
      </c>
      <c r="I6287" s="20">
        <v>1.17601911074635</v>
      </c>
      <c r="J6287" s="28">
        <v>0.23958723939870799</v>
      </c>
      <c r="K6287" s="29">
        <v>0.98289565623980701</v>
      </c>
    </row>
    <row r="6288" spans="1:11" x14ac:dyDescent="0.35">
      <c r="A6288" s="9" t="str">
        <f>HYPERLINK("http://www.ensembl.org/id/WBGene00015119", "WBGene00015119")</f>
        <v>WBGene00015119</v>
      </c>
      <c r="B6288" s="9" t="str">
        <f>HYPERLINK("http://www.ncbi.nlm.nih.gov/gene/181911", "181911")</f>
        <v>181911</v>
      </c>
      <c r="C6288" s="9"/>
      <c r="D6288" t="str">
        <f>"B0302.2"</f>
        <v>B0302.2</v>
      </c>
      <c r="F6288" t="s">
        <v>11</v>
      </c>
      <c r="H6288" s="12">
        <v>-1.65567404694524</v>
      </c>
      <c r="I6288" s="20">
        <v>-0.25506407008341597</v>
      </c>
      <c r="J6288" s="28">
        <v>0.79867361443303397</v>
      </c>
      <c r="K6288" s="29">
        <v>0.98289565623980701</v>
      </c>
    </row>
    <row r="6289" spans="1:11" x14ac:dyDescent="0.35">
      <c r="A6289" s="9" t="str">
        <f>HYPERLINK("http://www.ensembl.org/id/WBGene00015121", "WBGene00015121")</f>
        <v>WBGene00015121</v>
      </c>
      <c r="B6289" s="9" t="str">
        <f>HYPERLINK("http://www.ncbi.nlm.nih.gov/gene/181913", "181913")</f>
        <v>181913</v>
      </c>
      <c r="C6289" s="9"/>
      <c r="D6289" t="str">
        <f>"B0302.4"</f>
        <v>B0302.4</v>
      </c>
      <c r="F6289" t="s">
        <v>11</v>
      </c>
      <c r="H6289" s="12">
        <v>-2.5939904834899399</v>
      </c>
      <c r="I6289" s="20">
        <v>-0.456196703708181</v>
      </c>
      <c r="J6289" s="28">
        <v>0.64824853556044104</v>
      </c>
      <c r="K6289" s="29">
        <v>0.98289565623980701</v>
      </c>
    </row>
    <row r="6290" spans="1:11" x14ac:dyDescent="0.35">
      <c r="A6290" s="9" t="str">
        <f>HYPERLINK("http://www.ensembl.org/id/WBGene00015122", "WBGene00015122")</f>
        <v>WBGene00015122</v>
      </c>
      <c r="B6290" s="9" t="str">
        <f>HYPERLINK("http://www.ncbi.nlm.nih.gov/gene/181914", "181914")</f>
        <v>181914</v>
      </c>
      <c r="C6290" s="9"/>
      <c r="D6290" t="str">
        <f>"B0302.5"</f>
        <v>B0302.5</v>
      </c>
      <c r="F6290" t="s">
        <v>11</v>
      </c>
      <c r="H6290" s="12">
        <v>-1.1501878236643801</v>
      </c>
      <c r="I6290" s="20">
        <v>-0.70305585283222705</v>
      </c>
      <c r="J6290" s="28">
        <v>0.48202094295441</v>
      </c>
      <c r="K6290" s="29">
        <v>0.98289565623980701</v>
      </c>
    </row>
    <row r="6291" spans="1:11" x14ac:dyDescent="0.35">
      <c r="A6291" s="9" t="str">
        <f>HYPERLINK("http://www.ensembl.org/id/WBGene00015131", "WBGene00015131")</f>
        <v>WBGene00015131</v>
      </c>
      <c r="B6291" s="9" t="str">
        <f>HYPERLINK("http://www.ncbi.nlm.nih.gov/gene/176222", "176222")</f>
        <v>176222</v>
      </c>
      <c r="C6291" s="9"/>
      <c r="D6291" t="str">
        <f>"B0303.11"</f>
        <v>B0303.11</v>
      </c>
      <c r="E6291" t="s">
        <v>4969</v>
      </c>
      <c r="F6291" t="s">
        <v>11</v>
      </c>
      <c r="G6291" t="s">
        <v>4970</v>
      </c>
      <c r="H6291" s="12">
        <v>1.27338612977664</v>
      </c>
      <c r="I6291" s="20">
        <v>1.0362327480020599</v>
      </c>
      <c r="J6291" s="28">
        <v>0.30009357237724898</v>
      </c>
      <c r="K6291" s="29">
        <v>0.98289565623980701</v>
      </c>
    </row>
    <row r="6292" spans="1:11" x14ac:dyDescent="0.35">
      <c r="A6292" s="9" t="str">
        <f>HYPERLINK("http://www.ensembl.org/id/WBGene00015132", "WBGene00015132")</f>
        <v>WBGene00015132</v>
      </c>
      <c r="B6292" s="9" t="str">
        <f>HYPERLINK("http://www.ncbi.nlm.nih.gov/gene/176223", "176223")</f>
        <v>176223</v>
      </c>
      <c r="C6292" s="9"/>
      <c r="D6292" t="str">
        <f>"B0303.14"</f>
        <v>B0303.14</v>
      </c>
      <c r="F6292" t="s">
        <v>11</v>
      </c>
      <c r="H6292" s="12">
        <v>1.09569299617878</v>
      </c>
      <c r="I6292" s="20">
        <v>0.36149995928202999</v>
      </c>
      <c r="J6292" s="28">
        <v>0.71772573541474805</v>
      </c>
      <c r="K6292" s="29">
        <v>0.98289565623980701</v>
      </c>
    </row>
    <row r="6293" spans="1:11" x14ac:dyDescent="0.35">
      <c r="A6293" s="9" t="str">
        <f>HYPERLINK("http://www.ensembl.org/id/WBGene00044678", "WBGene00044678")</f>
        <v>WBGene00044678</v>
      </c>
      <c r="B6293" s="9" t="str">
        <f>HYPERLINK("http://www.ncbi.nlm.nih.gov/gene/4363049", "4363049")</f>
        <v>4363049</v>
      </c>
      <c r="C6293" s="9"/>
      <c r="D6293" t="str">
        <f>"B0303.16"</f>
        <v>B0303.16</v>
      </c>
      <c r="F6293" t="s">
        <v>11</v>
      </c>
      <c r="G6293" t="s">
        <v>25</v>
      </c>
      <c r="H6293" s="12">
        <v>1.3457994831229201</v>
      </c>
      <c r="I6293" s="20">
        <v>0.30647661815102001</v>
      </c>
      <c r="J6293" s="28">
        <v>0.75924177988046904</v>
      </c>
      <c r="K6293" s="29">
        <v>0.98289565623980701</v>
      </c>
    </row>
    <row r="6294" spans="1:11" x14ac:dyDescent="0.35">
      <c r="A6294" s="9" t="str">
        <f>HYPERLINK("http://www.ensembl.org/id/WBGene00015125", "WBGene00015125")</f>
        <v>WBGene00015125</v>
      </c>
      <c r="B6294" s="9" t="str">
        <f>HYPERLINK("http://www.ncbi.nlm.nih.gov/gene/176216", "176216")</f>
        <v>176216</v>
      </c>
      <c r="C6294" s="9" t="str">
        <f>HYPERLINK("http://www.ncbi.nlm.nih.gov/gene/3032", "3032")</f>
        <v>3032</v>
      </c>
      <c r="D6294" t="str">
        <f>"B0303.3"</f>
        <v>B0303.3</v>
      </c>
      <c r="F6294" t="s">
        <v>11</v>
      </c>
      <c r="G6294" t="s">
        <v>6952</v>
      </c>
      <c r="H6294" s="12">
        <v>-1.0994014152521101</v>
      </c>
      <c r="I6294" s="20">
        <v>-0.52368241769069401</v>
      </c>
      <c r="J6294" s="28">
        <v>0.60049944665699095</v>
      </c>
      <c r="K6294" s="29">
        <v>0.98289565623980701</v>
      </c>
    </row>
    <row r="6295" spans="1:11" x14ac:dyDescent="0.35">
      <c r="A6295" s="9" t="str">
        <f>HYPERLINK("http://www.ensembl.org/id/WBGene00015126", "WBGene00015126")</f>
        <v>WBGene00015126</v>
      </c>
      <c r="B6295" s="9" t="str">
        <f>HYPERLINK("http://www.ncbi.nlm.nih.gov/gene/176218", "176218")</f>
        <v>176218</v>
      </c>
      <c r="C6295" s="9"/>
      <c r="D6295" t="str">
        <f>"B0303.4"</f>
        <v>B0303.4</v>
      </c>
      <c r="F6295" t="s">
        <v>11</v>
      </c>
      <c r="G6295" t="s">
        <v>8404</v>
      </c>
      <c r="H6295" s="12">
        <v>-1.17529255597285</v>
      </c>
      <c r="I6295" s="20">
        <v>-0.86767026669320901</v>
      </c>
      <c r="J6295" s="28">
        <v>0.38557486750619302</v>
      </c>
      <c r="K6295" s="29">
        <v>0.98289565623980701</v>
      </c>
    </row>
    <row r="6296" spans="1:11" x14ac:dyDescent="0.35">
      <c r="A6296" s="9" t="str">
        <f>HYPERLINK("http://www.ensembl.org/id/WBGene00015128", "WBGene00015128")</f>
        <v>WBGene00015128</v>
      </c>
      <c r="B6296" s="9" t="str">
        <f>HYPERLINK("http://www.ncbi.nlm.nih.gov/gene/176220", "176220")</f>
        <v>176220</v>
      </c>
      <c r="C6296" s="9"/>
      <c r="D6296" t="str">
        <f>"B0303.7"</f>
        <v>B0303.7</v>
      </c>
      <c r="F6296" t="s">
        <v>11</v>
      </c>
      <c r="G6296" t="s">
        <v>54</v>
      </c>
      <c r="H6296" s="12">
        <v>-1.1251377894257399</v>
      </c>
      <c r="I6296" s="20">
        <v>-0.62442624354459797</v>
      </c>
      <c r="J6296" s="28">
        <v>0.53234769455143505</v>
      </c>
      <c r="K6296" s="29">
        <v>0.98289565623980701</v>
      </c>
    </row>
    <row r="6297" spans="1:11" x14ac:dyDescent="0.35">
      <c r="A6297" s="9" t="str">
        <f>HYPERLINK("http://www.ensembl.org/id/WBGene00015137", "WBGene00015137")</f>
        <v>WBGene00015137</v>
      </c>
      <c r="B6297" s="9" t="str">
        <f>HYPERLINK("http://www.ncbi.nlm.nih.gov/gene/181922", "181922")</f>
        <v>181922</v>
      </c>
      <c r="C6297" s="9"/>
      <c r="D6297" t="str">
        <f>"B0310.1"</f>
        <v>B0310.1</v>
      </c>
      <c r="F6297" t="s">
        <v>11</v>
      </c>
      <c r="G6297" t="s">
        <v>3703</v>
      </c>
      <c r="H6297" s="12">
        <v>-1.22653791463749</v>
      </c>
      <c r="I6297" s="20">
        <v>-0.93493394976490196</v>
      </c>
      <c r="J6297" s="28">
        <v>0.34982233964130299</v>
      </c>
      <c r="K6297" s="29">
        <v>0.98289565623980701</v>
      </c>
    </row>
    <row r="6298" spans="1:11" x14ac:dyDescent="0.35">
      <c r="A6298" s="9" t="str">
        <f>HYPERLINK("http://www.ensembl.org/id/WBGene00015138", "WBGene00015138")</f>
        <v>WBGene00015138</v>
      </c>
      <c r="B6298" s="9" t="str">
        <f>HYPERLINK("http://www.ncbi.nlm.nih.gov/gene/180403", "180403")</f>
        <v>180403</v>
      </c>
      <c r="C6298" s="9"/>
      <c r="D6298" t="str">
        <f>"B0310.2"</f>
        <v>B0310.2</v>
      </c>
      <c r="E6298" t="s">
        <v>5647</v>
      </c>
      <c r="F6298" t="s">
        <v>11</v>
      </c>
      <c r="G6298" t="s">
        <v>5648</v>
      </c>
      <c r="H6298" s="12">
        <v>1.1299810835588699</v>
      </c>
      <c r="I6298" s="20">
        <v>0.38249954149528698</v>
      </c>
      <c r="J6298" s="28">
        <v>0.70209086892537598</v>
      </c>
      <c r="K6298" s="29">
        <v>0.98289565623980701</v>
      </c>
    </row>
    <row r="6299" spans="1:11" x14ac:dyDescent="0.35">
      <c r="A6299" s="9" t="str">
        <f>HYPERLINK("http://www.ensembl.org/id/WBGene00015139", "WBGene00015139")</f>
        <v>WBGene00015139</v>
      </c>
      <c r="B6299" s="9" t="str">
        <f>HYPERLINK("http://www.ncbi.nlm.nih.gov/gene/181923", "181923")</f>
        <v>181923</v>
      </c>
      <c r="C6299" s="9"/>
      <c r="D6299" t="str">
        <f>"B0310.3"</f>
        <v>B0310.3</v>
      </c>
      <c r="F6299" t="s">
        <v>11</v>
      </c>
      <c r="G6299" t="s">
        <v>25</v>
      </c>
      <c r="H6299" s="12">
        <v>-1.0940836233671101</v>
      </c>
      <c r="I6299" s="20">
        <v>-0.316499687990136</v>
      </c>
      <c r="J6299" s="28">
        <v>0.75162326195556595</v>
      </c>
      <c r="K6299" s="29">
        <v>0.98289565623980701</v>
      </c>
    </row>
    <row r="6300" spans="1:11" x14ac:dyDescent="0.35">
      <c r="A6300" s="9" t="str">
        <f>HYPERLINK("http://www.ensembl.org/id/WBGene00200462", "WBGene00200462")</f>
        <v>WBGene00200462</v>
      </c>
      <c r="B6300" s="9"/>
      <c r="C6300" s="9"/>
      <c r="D6300" t="str">
        <f>"B0310.9"</f>
        <v>B0310.9</v>
      </c>
      <c r="F6300" t="s">
        <v>481</v>
      </c>
      <c r="H6300" s="12">
        <v>2.3893468495514898</v>
      </c>
      <c r="I6300" s="20">
        <v>0.25323547253672701</v>
      </c>
      <c r="J6300" s="28">
        <v>0.80008625651646104</v>
      </c>
      <c r="K6300" s="29">
        <v>0.98289565623980701</v>
      </c>
    </row>
    <row r="6301" spans="1:11" x14ac:dyDescent="0.35">
      <c r="A6301" s="9" t="str">
        <f>HYPERLINK("http://www.ensembl.org/id/WBGene00007149", "WBGene00007149")</f>
        <v>WBGene00007149</v>
      </c>
      <c r="B6301" s="9" t="str">
        <f>HYPERLINK("http://www.ncbi.nlm.nih.gov/gene/3565810", "3565810")</f>
        <v>3565810</v>
      </c>
      <c r="C6301" s="9"/>
      <c r="D6301" t="str">
        <f>"B0334.13"</f>
        <v>B0334.13</v>
      </c>
      <c r="F6301" t="s">
        <v>11</v>
      </c>
      <c r="H6301" s="12">
        <v>-3.8383032682412801</v>
      </c>
      <c r="I6301" s="20">
        <v>-1.0790548367184001</v>
      </c>
      <c r="J6301" s="28">
        <v>0.28056328282718301</v>
      </c>
      <c r="K6301" s="29">
        <v>0.98289565623980701</v>
      </c>
    </row>
    <row r="6302" spans="1:11" x14ac:dyDescent="0.35">
      <c r="A6302" s="9" t="str">
        <f>HYPERLINK("http://www.ensembl.org/id/WBGene00007143", "WBGene00007143")</f>
        <v>WBGene00007143</v>
      </c>
      <c r="B6302" s="9" t="str">
        <f>HYPERLINK("http://www.ncbi.nlm.nih.gov/gene/174758", "174758")</f>
        <v>174758</v>
      </c>
      <c r="C6302" s="9" t="str">
        <f>HYPERLINK("http://www.ncbi.nlm.nih.gov/gene/26061", "26061")</f>
        <v>26061</v>
      </c>
      <c r="D6302" t="str">
        <f>"B0334.3"</f>
        <v>B0334.3</v>
      </c>
      <c r="F6302" t="s">
        <v>11</v>
      </c>
      <c r="G6302" t="s">
        <v>7065</v>
      </c>
      <c r="H6302" s="12">
        <v>-1.10526625521595</v>
      </c>
      <c r="I6302" s="20">
        <v>-0.55906410192767597</v>
      </c>
      <c r="J6302" s="28">
        <v>0.57611797311167801</v>
      </c>
      <c r="K6302" s="29">
        <v>0.98289565623980701</v>
      </c>
    </row>
    <row r="6303" spans="1:11" x14ac:dyDescent="0.35">
      <c r="A6303" s="9" t="str">
        <f>HYPERLINK("http://www.ensembl.org/id/WBGene00007144", "WBGene00007144")</f>
        <v>WBGene00007144</v>
      </c>
      <c r="B6303" s="9" t="str">
        <f>HYPERLINK("http://www.ncbi.nlm.nih.gov/gene/174760", "174760")</f>
        <v>174760</v>
      </c>
      <c r="C6303" s="9" t="str">
        <f>HYPERLINK("http://www.ncbi.nlm.nih.gov/gene/27166", "27166")</f>
        <v>27166</v>
      </c>
      <c r="D6303" t="str">
        <f>"B0334.4"</f>
        <v>B0334.4</v>
      </c>
      <c r="F6303" t="s">
        <v>11</v>
      </c>
      <c r="G6303" t="s">
        <v>3227</v>
      </c>
      <c r="H6303" s="12">
        <v>-1.2782479622623499</v>
      </c>
      <c r="I6303" s="20">
        <v>-1.1583396840082001</v>
      </c>
      <c r="J6303" s="28">
        <v>0.246725442835565</v>
      </c>
      <c r="K6303" s="29">
        <v>0.98289565623980701</v>
      </c>
    </row>
    <row r="6304" spans="1:11" x14ac:dyDescent="0.35">
      <c r="A6304" s="9" t="str">
        <f>HYPERLINK("http://www.ensembl.org/id/WBGene00007145", "WBGene00007145")</f>
        <v>WBGene00007145</v>
      </c>
      <c r="B6304" s="9" t="str">
        <f>HYPERLINK("http://www.ncbi.nlm.nih.gov/gene/174761", "174761")</f>
        <v>174761</v>
      </c>
      <c r="C6304" s="9" t="str">
        <f>HYPERLINK("http://www.ncbi.nlm.nih.gov/gene/137682", "137682")</f>
        <v>137682</v>
      </c>
      <c r="D6304" t="str">
        <f>"B0334.5"</f>
        <v>B0334.5</v>
      </c>
      <c r="F6304" t="s">
        <v>11</v>
      </c>
      <c r="G6304" t="s">
        <v>7444</v>
      </c>
      <c r="H6304" s="12">
        <v>-1.1257150330472501</v>
      </c>
      <c r="I6304" s="20">
        <v>-0.58340372562373999</v>
      </c>
      <c r="J6304" s="28">
        <v>0.55962155038448202</v>
      </c>
      <c r="K6304" s="29">
        <v>0.98289565623980701</v>
      </c>
    </row>
    <row r="6305" spans="1:11" x14ac:dyDescent="0.35">
      <c r="A6305" s="9" t="str">
        <f>HYPERLINK("http://www.ensembl.org/id/WBGene00007147", "WBGene00007147")</f>
        <v>WBGene00007147</v>
      </c>
      <c r="B6305" s="9"/>
      <c r="C6305" s="9"/>
      <c r="D6305" t="str">
        <f>"B0334.9"</f>
        <v>B0334.9</v>
      </c>
      <c r="F6305" t="s">
        <v>80</v>
      </c>
      <c r="H6305" s="12">
        <v>-8.95980644409455</v>
      </c>
      <c r="I6305" s="20">
        <v>-1.10894287490406</v>
      </c>
      <c r="J6305" s="28">
        <v>0.267454826227918</v>
      </c>
      <c r="K6305" s="29">
        <v>0.98289565623980701</v>
      </c>
    </row>
    <row r="6306" spans="1:11" x14ac:dyDescent="0.35">
      <c r="A6306" s="9" t="str">
        <f>HYPERLINK("http://www.ensembl.org/id/WBGene00015149", "WBGene00015149")</f>
        <v>WBGene00015149</v>
      </c>
      <c r="B6306" s="9" t="str">
        <f>HYPERLINK("http://www.ncbi.nlm.nih.gov/gene/175799", "175799")</f>
        <v>175799</v>
      </c>
      <c r="C6306" s="9"/>
      <c r="D6306" t="str">
        <f>"B0336.12"</f>
        <v>B0336.12</v>
      </c>
      <c r="F6306" t="s">
        <v>11</v>
      </c>
      <c r="H6306" s="12">
        <v>2.0759728635007599</v>
      </c>
      <c r="I6306" s="20">
        <v>0.54257484007328505</v>
      </c>
      <c r="J6306" s="28">
        <v>0.58742256588373198</v>
      </c>
      <c r="K6306" s="29">
        <v>0.98289565623980701</v>
      </c>
    </row>
    <row r="6307" spans="1:11" x14ac:dyDescent="0.35">
      <c r="A6307" s="9" t="str">
        <f>HYPERLINK("http://www.ensembl.org/id/WBGene00255704", "WBGene00255704")</f>
        <v>WBGene00255704</v>
      </c>
      <c r="B6307" s="9" t="str">
        <f>HYPERLINK("http://www.ncbi.nlm.nih.gov/gene/25502966", "25502966")</f>
        <v>25502966</v>
      </c>
      <c r="C6307" s="9"/>
      <c r="D6307" t="str">
        <f>"B0348.10"</f>
        <v>B0348.10</v>
      </c>
      <c r="F6307" t="s">
        <v>11</v>
      </c>
      <c r="H6307" s="12">
        <v>-1.7202286449081201</v>
      </c>
      <c r="I6307" s="20">
        <v>-0.81074561471447204</v>
      </c>
      <c r="J6307" s="28">
        <v>0.41751177220647701</v>
      </c>
      <c r="K6307" s="29">
        <v>0.98289565623980701</v>
      </c>
    </row>
    <row r="6308" spans="1:11" x14ac:dyDescent="0.35">
      <c r="A6308" s="9" t="str">
        <f>HYPERLINK("http://www.ensembl.org/id/WBGene00015152", "WBGene00015152")</f>
        <v>WBGene00015152</v>
      </c>
      <c r="B6308" s="9" t="str">
        <f>HYPERLINK("http://www.ncbi.nlm.nih.gov/gene/181936", "181936")</f>
        <v>181936</v>
      </c>
      <c r="C6308" s="9"/>
      <c r="D6308" t="str">
        <f>"B0348.2"</f>
        <v>B0348.2</v>
      </c>
      <c r="F6308" t="s">
        <v>11</v>
      </c>
      <c r="G6308" t="s">
        <v>208</v>
      </c>
      <c r="H6308" s="12">
        <v>1.66062724507242</v>
      </c>
      <c r="I6308" s="20">
        <v>0.88414651977076797</v>
      </c>
      <c r="J6308" s="28">
        <v>0.37661712364185801</v>
      </c>
      <c r="K6308" s="29">
        <v>0.98289565623980701</v>
      </c>
    </row>
    <row r="6309" spans="1:11" x14ac:dyDescent="0.35">
      <c r="A6309" s="9" t="str">
        <f>HYPERLINK("http://www.ensembl.org/id/WBGene00235314", "WBGene00235314")</f>
        <v>WBGene00235314</v>
      </c>
      <c r="B6309" s="9"/>
      <c r="C6309" s="9"/>
      <c r="D6309" t="str">
        <f>"B0348.9"</f>
        <v>B0348.9</v>
      </c>
      <c r="F6309" t="s">
        <v>481</v>
      </c>
      <c r="H6309" s="12">
        <v>2.07458418616535</v>
      </c>
      <c r="I6309" s="20">
        <v>1.0301113298026301</v>
      </c>
      <c r="J6309" s="28">
        <v>0.302957747299057</v>
      </c>
      <c r="K6309" s="29">
        <v>0.98289565623980701</v>
      </c>
    </row>
    <row r="6310" spans="1:11" x14ac:dyDescent="0.35">
      <c r="A6310" s="9" t="str">
        <f>HYPERLINK("http://www.ensembl.org/id/WBGene00199653", "WBGene00199653")</f>
        <v>WBGene00199653</v>
      </c>
      <c r="B6310" s="9"/>
      <c r="C6310" s="9"/>
      <c r="D6310" t="str">
        <f>"B0350.74"</f>
        <v>B0350.74</v>
      </c>
      <c r="F6310" t="s">
        <v>481</v>
      </c>
      <c r="H6310" s="12">
        <v>6.9414640836418</v>
      </c>
      <c r="I6310" s="20">
        <v>0.76143035325409303</v>
      </c>
      <c r="J6310" s="28">
        <v>0.44640006347612299</v>
      </c>
      <c r="K6310" s="29">
        <v>0.98289565623980701</v>
      </c>
    </row>
    <row r="6311" spans="1:11" x14ac:dyDescent="0.35">
      <c r="A6311" s="9" t="str">
        <f>HYPERLINK("http://www.ensembl.org/id/WBGene00200898", "WBGene00200898")</f>
        <v>WBGene00200898</v>
      </c>
      <c r="B6311" s="9"/>
      <c r="C6311" s="9"/>
      <c r="D6311" t="str">
        <f>"B0350.77"</f>
        <v>B0350.77</v>
      </c>
      <c r="F6311" t="s">
        <v>481</v>
      </c>
      <c r="H6311" s="12">
        <v>2.3893468495514898</v>
      </c>
      <c r="I6311" s="20">
        <v>0.25323547253672701</v>
      </c>
      <c r="J6311" s="28">
        <v>0.80008625651646104</v>
      </c>
      <c r="K6311" s="29">
        <v>0.98289565623980701</v>
      </c>
    </row>
    <row r="6312" spans="1:11" x14ac:dyDescent="0.35">
      <c r="A6312" s="9" t="str">
        <f>HYPERLINK("http://www.ensembl.org/id/WBGene00015165", "WBGene00015165")</f>
        <v>WBGene00015165</v>
      </c>
      <c r="B6312" s="9" t="str">
        <f>HYPERLINK("http://www.ncbi.nlm.nih.gov/gene/3565709", "3565709")</f>
        <v>3565709</v>
      </c>
      <c r="C6312" s="9"/>
      <c r="D6312" t="str">
        <f>"B0361.11"</f>
        <v>B0361.11</v>
      </c>
      <c r="E6312" t="s">
        <v>5343</v>
      </c>
      <c r="F6312" t="s">
        <v>11</v>
      </c>
      <c r="G6312" t="s">
        <v>5344</v>
      </c>
      <c r="H6312" s="12">
        <v>1.18541974571136</v>
      </c>
      <c r="I6312" s="20">
        <v>0.28337189020084702</v>
      </c>
      <c r="J6312" s="28">
        <v>0.77689177401853204</v>
      </c>
      <c r="K6312" s="29">
        <v>0.98289565623980701</v>
      </c>
    </row>
    <row r="6313" spans="1:11" x14ac:dyDescent="0.35">
      <c r="A6313" s="9" t="str">
        <f>HYPERLINK("http://www.ensembl.org/id/WBGene00235162", "WBGene00235162")</f>
        <v>WBGene00235162</v>
      </c>
      <c r="B6313" s="9"/>
      <c r="C6313" s="9"/>
      <c r="D6313" t="str">
        <f>"B0361.13"</f>
        <v>B0361.13</v>
      </c>
      <c r="F6313" t="s">
        <v>481</v>
      </c>
      <c r="H6313" s="12">
        <v>-2.4991590031922399</v>
      </c>
      <c r="I6313" s="20">
        <v>-0.26577412737581302</v>
      </c>
      <c r="J6313" s="28">
        <v>0.79041317015736101</v>
      </c>
      <c r="K6313" s="29">
        <v>0.98289565623980701</v>
      </c>
    </row>
    <row r="6314" spans="1:11" x14ac:dyDescent="0.35">
      <c r="A6314" s="9" t="str">
        <f>HYPERLINK("http://www.ensembl.org/id/WBGene00015156", "WBGene00015156")</f>
        <v>WBGene00015156</v>
      </c>
      <c r="B6314" s="9" t="str">
        <f>HYPERLINK("http://www.ncbi.nlm.nih.gov/gene/176034", "176034")</f>
        <v>176034</v>
      </c>
      <c r="C6314" s="9" t="str">
        <f>HYPERLINK("http://www.ncbi.nlm.nih.gov/gene/143884", "143884")</f>
        <v>143884</v>
      </c>
      <c r="D6314" t="str">
        <f>"B0361.2"</f>
        <v>B0361.2</v>
      </c>
      <c r="E6314" t="s">
        <v>8570</v>
      </c>
      <c r="F6314" t="s">
        <v>11</v>
      </c>
      <c r="G6314" t="s">
        <v>8571</v>
      </c>
      <c r="H6314" s="12">
        <v>-1.1840919138322801</v>
      </c>
      <c r="I6314" s="20">
        <v>-0.81827991493626795</v>
      </c>
      <c r="J6314" s="28">
        <v>0.413197372113215</v>
      </c>
      <c r="K6314" s="29">
        <v>0.98289565623980701</v>
      </c>
    </row>
    <row r="6315" spans="1:11" x14ac:dyDescent="0.35">
      <c r="A6315" s="9" t="str">
        <f>HYPERLINK("http://www.ensembl.org/id/WBGene00015157", "WBGene00015157")</f>
        <v>WBGene00015157</v>
      </c>
      <c r="B6315" s="9" t="str">
        <f>HYPERLINK("http://www.ncbi.nlm.nih.gov/gene/176029", "176029")</f>
        <v>176029</v>
      </c>
      <c r="C6315" s="9"/>
      <c r="D6315" t="str">
        <f>"B0361.3"</f>
        <v>B0361.3</v>
      </c>
      <c r="F6315" t="s">
        <v>11</v>
      </c>
      <c r="H6315" s="12">
        <v>-1.2039121566772599</v>
      </c>
      <c r="I6315" s="20">
        <v>-0.92990335796472801</v>
      </c>
      <c r="J6315" s="28">
        <v>0.35242112422497401</v>
      </c>
      <c r="K6315" s="29">
        <v>0.98289565623980701</v>
      </c>
    </row>
    <row r="6316" spans="1:11" x14ac:dyDescent="0.35">
      <c r="A6316" s="9" t="str">
        <f>HYPERLINK("http://www.ensembl.org/id/WBGene00196917", "WBGene00196917")</f>
        <v>WBGene00196917</v>
      </c>
      <c r="B6316" s="9"/>
      <c r="C6316" s="9"/>
      <c r="D6316" t="str">
        <f>"B0379.10"</f>
        <v>B0379.10</v>
      </c>
      <c r="F6316" t="s">
        <v>481</v>
      </c>
      <c r="H6316" s="12">
        <v>-2.4142476029973201</v>
      </c>
      <c r="I6316" s="20">
        <v>-0.288875231112245</v>
      </c>
      <c r="J6316" s="28">
        <v>0.77267685874953995</v>
      </c>
      <c r="K6316" s="29">
        <v>0.98289565623980701</v>
      </c>
    </row>
    <row r="6317" spans="1:11" x14ac:dyDescent="0.35">
      <c r="A6317" s="9" t="str">
        <f>HYPERLINK("http://www.ensembl.org/id/WBGene00219787", "WBGene00219787")</f>
        <v>WBGene00219787</v>
      </c>
      <c r="B6317" s="9"/>
      <c r="C6317" s="9"/>
      <c r="D6317" t="str">
        <f>"B0379.12"</f>
        <v>B0379.12</v>
      </c>
      <c r="F6317" t="s">
        <v>2977</v>
      </c>
      <c r="H6317" s="12">
        <v>4.4368407117627902</v>
      </c>
      <c r="I6317" s="20">
        <v>0.43709475933309699</v>
      </c>
      <c r="J6317" s="28">
        <v>0.66204262779770495</v>
      </c>
      <c r="K6317" s="29">
        <v>0.98289565623980701</v>
      </c>
    </row>
    <row r="6318" spans="1:11" x14ac:dyDescent="0.35">
      <c r="A6318" s="9" t="str">
        <f>HYPERLINK("http://www.ensembl.org/id/WBGene00007156", "WBGene00007156")</f>
        <v>WBGene00007156</v>
      </c>
      <c r="B6318" s="9" t="str">
        <f>HYPERLINK("http://www.ncbi.nlm.nih.gov/gene/181943", "181943")</f>
        <v>181943</v>
      </c>
      <c r="C6318" s="9"/>
      <c r="D6318" t="str">
        <f>"B0379.2"</f>
        <v>B0379.2</v>
      </c>
      <c r="F6318" t="s">
        <v>11</v>
      </c>
      <c r="G6318" t="s">
        <v>25</v>
      </c>
      <c r="H6318" s="12">
        <v>2.2823014849185399</v>
      </c>
      <c r="I6318" s="20">
        <v>0.66245600702552199</v>
      </c>
      <c r="J6318" s="28">
        <v>0.50767902011377497</v>
      </c>
      <c r="K6318" s="29">
        <v>0.98289565623980701</v>
      </c>
    </row>
    <row r="6319" spans="1:11" x14ac:dyDescent="0.35">
      <c r="A6319" s="9" t="str">
        <f>HYPERLINK("http://www.ensembl.org/id/WBGene00206462", "WBGene00206462")</f>
        <v>WBGene00206462</v>
      </c>
      <c r="B6319" s="9" t="str">
        <f>HYPERLINK("http://www.ncbi.nlm.nih.gov/gene/13217036", "13217036")</f>
        <v>13217036</v>
      </c>
      <c r="C6319" s="9"/>
      <c r="D6319" t="str">
        <f>"B0391.14"</f>
        <v>B0391.14</v>
      </c>
      <c r="F6319" t="s">
        <v>11</v>
      </c>
      <c r="H6319" s="12">
        <v>2.1818670914838401</v>
      </c>
      <c r="I6319" s="20">
        <v>0.76634359087193304</v>
      </c>
      <c r="J6319" s="28">
        <v>0.44347188750844202</v>
      </c>
      <c r="K6319" s="29">
        <v>0.98289565623980701</v>
      </c>
    </row>
    <row r="6320" spans="1:11" x14ac:dyDescent="0.35">
      <c r="A6320" s="9" t="str">
        <f>HYPERLINK("http://www.ensembl.org/id/WBGene00014643", "WBGene00014643")</f>
        <v>WBGene00014643</v>
      </c>
      <c r="B6320" s="9"/>
      <c r="C6320" s="9"/>
      <c r="D6320" t="str">
        <f>"B0391.8"</f>
        <v>B0391.8</v>
      </c>
      <c r="F6320" t="s">
        <v>80</v>
      </c>
      <c r="H6320" s="12">
        <v>1.50824891931244</v>
      </c>
      <c r="I6320" s="20">
        <v>0.77600314732005704</v>
      </c>
      <c r="J6320" s="28">
        <v>0.43774712755009298</v>
      </c>
      <c r="K6320" s="29">
        <v>0.98289565623980701</v>
      </c>
    </row>
    <row r="6321" spans="1:11" x14ac:dyDescent="0.35">
      <c r="A6321" s="9" t="str">
        <f>HYPERLINK("http://www.ensembl.org/id/WBGene00197966", "WBGene00197966")</f>
        <v>WBGene00197966</v>
      </c>
      <c r="B6321" s="9"/>
      <c r="C6321" s="9"/>
      <c r="D6321" t="str">
        <f>"B0393.14"</f>
        <v>B0393.14</v>
      </c>
      <c r="F6321" t="s">
        <v>481</v>
      </c>
      <c r="H6321" s="12">
        <v>4.4368407117627902</v>
      </c>
      <c r="I6321" s="20">
        <v>0.43709475933309699</v>
      </c>
      <c r="J6321" s="28">
        <v>0.66204262779770495</v>
      </c>
      <c r="K6321" s="29">
        <v>0.98289565623980701</v>
      </c>
    </row>
    <row r="6322" spans="1:11" x14ac:dyDescent="0.35">
      <c r="A6322" s="9" t="str">
        <f>HYPERLINK("http://www.ensembl.org/id/WBGene00007169", "WBGene00007169")</f>
        <v>WBGene00007169</v>
      </c>
      <c r="B6322" s="9" t="str">
        <f>HYPERLINK("http://www.ncbi.nlm.nih.gov/gene/175631", "175631")</f>
        <v>175631</v>
      </c>
      <c r="C6322" s="9"/>
      <c r="D6322" t="str">
        <f>"B0393.4"</f>
        <v>B0393.4</v>
      </c>
      <c r="F6322" t="s">
        <v>11</v>
      </c>
      <c r="G6322" t="s">
        <v>4452</v>
      </c>
      <c r="H6322" s="12">
        <v>2.0068261194175299</v>
      </c>
      <c r="I6322" s="20">
        <v>0.60583499417470499</v>
      </c>
      <c r="J6322" s="28">
        <v>0.54462432954854301</v>
      </c>
      <c r="K6322" s="29">
        <v>0.98289565623980701</v>
      </c>
    </row>
    <row r="6323" spans="1:11" x14ac:dyDescent="0.35">
      <c r="A6323" s="9" t="str">
        <f>HYPERLINK("http://www.ensembl.org/id/WBGene00007170", "WBGene00007170")</f>
        <v>WBGene00007170</v>
      </c>
      <c r="B6323" s="9" t="str">
        <f>HYPERLINK("http://www.ncbi.nlm.nih.gov/gene/175632", "175632")</f>
        <v>175632</v>
      </c>
      <c r="C6323" s="9"/>
      <c r="D6323" t="str">
        <f>"B0393.5"</f>
        <v>B0393.5</v>
      </c>
      <c r="F6323" t="s">
        <v>11</v>
      </c>
      <c r="G6323" t="s">
        <v>4834</v>
      </c>
      <c r="H6323" s="12">
        <v>1.3428052953454099</v>
      </c>
      <c r="I6323" s="20">
        <v>1.07892561078644</v>
      </c>
      <c r="J6323" s="28">
        <v>0.28062089080022201</v>
      </c>
      <c r="K6323" s="29">
        <v>0.98289565623980701</v>
      </c>
    </row>
    <row r="6324" spans="1:11" x14ac:dyDescent="0.35">
      <c r="A6324" s="9" t="str">
        <f>HYPERLINK("http://www.ensembl.org/id/WBGene00007172", "WBGene00007172")</f>
        <v>WBGene00007172</v>
      </c>
      <c r="B6324" s="9" t="str">
        <f>HYPERLINK("http://www.ncbi.nlm.nih.gov/gene/181958", "181958")</f>
        <v>181958</v>
      </c>
      <c r="C6324" s="9"/>
      <c r="D6324" t="str">
        <f>"B0393.7"</f>
        <v>B0393.7</v>
      </c>
      <c r="F6324" t="s">
        <v>11</v>
      </c>
      <c r="G6324" t="s">
        <v>54</v>
      </c>
      <c r="H6324" s="12">
        <v>-1.25170025337677</v>
      </c>
      <c r="I6324" s="20">
        <v>-0.61577257202740598</v>
      </c>
      <c r="J6324" s="28">
        <v>0.53804463218324805</v>
      </c>
      <c r="K6324" s="29">
        <v>0.98289565623980701</v>
      </c>
    </row>
    <row r="6325" spans="1:11" x14ac:dyDescent="0.35">
      <c r="A6325" s="9" t="str">
        <f>HYPERLINK("http://www.ensembl.org/id/WBGene00007173", "WBGene00007173")</f>
        <v>WBGene00007173</v>
      </c>
      <c r="B6325" s="9" t="str">
        <f>HYPERLINK("http://www.ncbi.nlm.nih.gov/gene/181959", "181959")</f>
        <v>181959</v>
      </c>
      <c r="C6325" s="9"/>
      <c r="D6325" t="str">
        <f>"B0393.8"</f>
        <v>B0393.8</v>
      </c>
      <c r="F6325" t="s">
        <v>11</v>
      </c>
      <c r="G6325" t="s">
        <v>25</v>
      </c>
      <c r="H6325" s="12">
        <v>-3.7261494131482999</v>
      </c>
      <c r="I6325" s="20">
        <v>-0.38454673129429601</v>
      </c>
      <c r="J6325" s="28">
        <v>0.70057326682554</v>
      </c>
      <c r="K6325" s="29">
        <v>0.98289565623980701</v>
      </c>
    </row>
    <row r="6326" spans="1:11" x14ac:dyDescent="0.35">
      <c r="A6326" s="9" t="str">
        <f>HYPERLINK("http://www.ensembl.org/id/WBGene00007175", "WBGene00007175")</f>
        <v>WBGene00007175</v>
      </c>
      <c r="B6326" s="9" t="str">
        <f>HYPERLINK("http://www.ncbi.nlm.nih.gov/gene/181682", "181682")</f>
        <v>181682</v>
      </c>
      <c r="C6326" s="9" t="str">
        <f>HYPERLINK("http://www.ncbi.nlm.nih.gov/gene/1384", "1384")</f>
        <v>1384</v>
      </c>
      <c r="D6326" t="str">
        <f>"B0395.3"</f>
        <v>B0395.3</v>
      </c>
      <c r="F6326" t="s">
        <v>11</v>
      </c>
      <c r="G6326" t="s">
        <v>5909</v>
      </c>
      <c r="H6326" s="12">
        <v>1.0863147495407099</v>
      </c>
      <c r="I6326" s="20">
        <v>0.44552805222226499</v>
      </c>
      <c r="J6326" s="28">
        <v>0.65593819195641101</v>
      </c>
      <c r="K6326" s="29">
        <v>0.98289565623980701</v>
      </c>
    </row>
    <row r="6327" spans="1:11" x14ac:dyDescent="0.35">
      <c r="A6327" s="9" t="str">
        <f>HYPERLINK("http://www.ensembl.org/id/WBGene00199089", "WBGene00199089")</f>
        <v>WBGene00199089</v>
      </c>
      <c r="B6327" s="9"/>
      <c r="C6327" s="9"/>
      <c r="D6327" t="str">
        <f>"B0395.7"</f>
        <v>B0395.7</v>
      </c>
      <c r="F6327" t="s">
        <v>481</v>
      </c>
      <c r="H6327" s="12">
        <v>-4.7167679298615104</v>
      </c>
      <c r="I6327" s="20">
        <v>-0.454742638005115</v>
      </c>
      <c r="J6327" s="28">
        <v>0.64929440216969203</v>
      </c>
      <c r="K6327" s="29">
        <v>0.98289565623980701</v>
      </c>
    </row>
    <row r="6328" spans="1:11" x14ac:dyDescent="0.35">
      <c r="A6328" s="9" t="str">
        <f>HYPERLINK("http://www.ensembl.org/id/WBGene00199788", "WBGene00199788")</f>
        <v>WBGene00199788</v>
      </c>
      <c r="B6328" s="9"/>
      <c r="C6328" s="9"/>
      <c r="D6328" t="str">
        <f>"B0395.8"</f>
        <v>B0395.8</v>
      </c>
      <c r="F6328" t="s">
        <v>481</v>
      </c>
      <c r="H6328" s="12">
        <v>2.4578120077400301</v>
      </c>
      <c r="I6328" s="20">
        <v>0.26093350314551</v>
      </c>
      <c r="J6328" s="28">
        <v>0.79414378780213601</v>
      </c>
      <c r="K6328" s="29">
        <v>0.98289565623980701</v>
      </c>
    </row>
    <row r="6329" spans="1:11" x14ac:dyDescent="0.35">
      <c r="A6329" s="9" t="str">
        <f>HYPERLINK("http://www.ensembl.org/id/WBGene00044980", "WBGene00044980")</f>
        <v>WBGene00044980</v>
      </c>
      <c r="B6329" s="9"/>
      <c r="C6329" s="9"/>
      <c r="D6329" t="str">
        <f>"B0399.3"</f>
        <v>B0399.3</v>
      </c>
      <c r="F6329" t="s">
        <v>481</v>
      </c>
      <c r="H6329" s="12">
        <v>-4.12781216738792</v>
      </c>
      <c r="I6329" s="20">
        <v>-0.65786000008478296</v>
      </c>
      <c r="J6329" s="28">
        <v>0.51062809559817801</v>
      </c>
      <c r="K6329" s="29">
        <v>0.98289565623980701</v>
      </c>
    </row>
    <row r="6330" spans="1:11" x14ac:dyDescent="0.35">
      <c r="A6330" s="9" t="str">
        <f>HYPERLINK("http://www.ensembl.org/id/WBGene00014658", "WBGene00014658")</f>
        <v>WBGene00014658</v>
      </c>
      <c r="B6330" s="9"/>
      <c r="C6330" s="9"/>
      <c r="D6330" t="str">
        <f>"B0399.t15"</f>
        <v>B0399.t15</v>
      </c>
      <c r="F6330" t="s">
        <v>80</v>
      </c>
      <c r="H6330" s="12">
        <v>2.3893468495514898</v>
      </c>
      <c r="I6330" s="20">
        <v>0.25323547253672701</v>
      </c>
      <c r="J6330" s="28">
        <v>0.80008625651646104</v>
      </c>
      <c r="K6330" s="29">
        <v>0.98289565623980701</v>
      </c>
    </row>
    <row r="6331" spans="1:11" x14ac:dyDescent="0.35">
      <c r="A6331" s="9" t="str">
        <f>HYPERLINK("http://www.ensembl.org/id/WBGene00015167", "WBGene00015167")</f>
        <v>WBGene00015167</v>
      </c>
      <c r="B6331" s="9" t="str">
        <f>HYPERLINK("http://www.ncbi.nlm.nih.gov/gene/181980", "181980")</f>
        <v>181980</v>
      </c>
      <c r="C6331" s="9"/>
      <c r="D6331" t="str">
        <f>"B0403.3"</f>
        <v>B0403.3</v>
      </c>
      <c r="F6331" t="s">
        <v>11</v>
      </c>
      <c r="G6331" t="s">
        <v>27</v>
      </c>
      <c r="H6331" s="12">
        <v>1.3142466893773399</v>
      </c>
      <c r="I6331" s="20">
        <v>1.09080869222995</v>
      </c>
      <c r="J6331" s="28">
        <v>0.27535707089334899</v>
      </c>
      <c r="K6331" s="29">
        <v>0.98289565623980701</v>
      </c>
    </row>
    <row r="6332" spans="1:11" x14ac:dyDescent="0.35">
      <c r="A6332" s="9" t="str">
        <f>HYPERLINK("http://www.ensembl.org/id/WBGene00043982", "WBGene00043982")</f>
        <v>WBGene00043982</v>
      </c>
      <c r="B6332" s="9" t="str">
        <f>HYPERLINK("http://www.ncbi.nlm.nih.gov/gene/3565262", "3565262")</f>
        <v>3565262</v>
      </c>
      <c r="C6332" s="9"/>
      <c r="D6332" t="str">
        <f>"B0403.6"</f>
        <v>B0403.6</v>
      </c>
      <c r="F6332" t="s">
        <v>11</v>
      </c>
      <c r="G6332" t="s">
        <v>25</v>
      </c>
      <c r="H6332" s="12">
        <v>-1.2663968746105001</v>
      </c>
      <c r="I6332" s="20">
        <v>-0.79070654615662295</v>
      </c>
      <c r="J6332" s="28">
        <v>0.42911525520254701</v>
      </c>
      <c r="K6332" s="29">
        <v>0.98289565623980701</v>
      </c>
    </row>
    <row r="6333" spans="1:11" x14ac:dyDescent="0.35">
      <c r="A6333" s="9" t="str">
        <f>HYPERLINK("http://www.ensembl.org/id/WBGene00196675", "WBGene00196675")</f>
        <v>WBGene00196675</v>
      </c>
      <c r="B6333" s="9"/>
      <c r="C6333" s="9"/>
      <c r="D6333" t="str">
        <f>"B0403.8"</f>
        <v>B0403.8</v>
      </c>
      <c r="F6333" t="s">
        <v>481</v>
      </c>
      <c r="H6333" s="12">
        <v>-3.7261494131482999</v>
      </c>
      <c r="I6333" s="20">
        <v>-0.38454673129429601</v>
      </c>
      <c r="J6333" s="28">
        <v>0.70057326682554</v>
      </c>
      <c r="K6333" s="29">
        <v>0.98289565623980701</v>
      </c>
    </row>
    <row r="6334" spans="1:11" x14ac:dyDescent="0.35">
      <c r="A6334" s="9" t="str">
        <f>HYPERLINK("http://www.ensembl.org/id/WBGene00015172", "WBGene00015172")</f>
        <v>WBGene00015172</v>
      </c>
      <c r="B6334" s="9" t="str">
        <f>HYPERLINK("http://www.ncbi.nlm.nih.gov/gene/180580", "180580")</f>
        <v>180580</v>
      </c>
      <c r="C6334" s="9"/>
      <c r="D6334" t="str">
        <f>"B0410.3"</f>
        <v>B0410.3</v>
      </c>
      <c r="F6334" t="s">
        <v>11</v>
      </c>
      <c r="G6334" t="s">
        <v>25</v>
      </c>
      <c r="H6334" s="12">
        <v>1.0858859990638401</v>
      </c>
      <c r="I6334" s="20">
        <v>0.35204602370534599</v>
      </c>
      <c r="J6334" s="28">
        <v>0.724803747090913</v>
      </c>
      <c r="K6334" s="29">
        <v>0.98289565623980701</v>
      </c>
    </row>
    <row r="6335" spans="1:11" x14ac:dyDescent="0.35">
      <c r="A6335" s="9" t="str">
        <f>HYPERLINK("http://www.ensembl.org/id/WBGene00206482", "WBGene00206482")</f>
        <v>WBGene00206482</v>
      </c>
      <c r="B6335" s="9" t="str">
        <f>HYPERLINK("http://www.ncbi.nlm.nih.gov/gene/13222158", "13222158")</f>
        <v>13222158</v>
      </c>
      <c r="C6335" s="9"/>
      <c r="D6335" t="str">
        <f>"B0416.10"</f>
        <v>B0416.10</v>
      </c>
      <c r="F6335" t="s">
        <v>11</v>
      </c>
      <c r="G6335" t="s">
        <v>51</v>
      </c>
      <c r="H6335" s="12">
        <v>-1.8501027027238299</v>
      </c>
      <c r="I6335" s="20">
        <v>-0.44041037720048098</v>
      </c>
      <c r="J6335" s="28">
        <v>0.65963991036368297</v>
      </c>
      <c r="K6335" s="29">
        <v>0.98289565623980701</v>
      </c>
    </row>
    <row r="6336" spans="1:11" x14ac:dyDescent="0.35">
      <c r="A6336" s="9" t="str">
        <f>HYPERLINK("http://www.ensembl.org/id/WBGene00015178", "WBGene00015178")</f>
        <v>WBGene00015178</v>
      </c>
      <c r="B6336" s="9" t="str">
        <f>HYPERLINK("http://www.ncbi.nlm.nih.gov/gene/181984", "181984")</f>
        <v>181984</v>
      </c>
      <c r="C6336" s="9"/>
      <c r="D6336" t="str">
        <f>"B0416.2"</f>
        <v>B0416.2</v>
      </c>
      <c r="F6336" t="s">
        <v>11</v>
      </c>
      <c r="H6336" s="12">
        <v>2.5122088070187698</v>
      </c>
      <c r="I6336" s="20">
        <v>0.79256314962163998</v>
      </c>
      <c r="J6336" s="28">
        <v>0.42803238571369501</v>
      </c>
      <c r="K6336" s="29">
        <v>0.98289565623980701</v>
      </c>
    </row>
    <row r="6337" spans="1:11" x14ac:dyDescent="0.35">
      <c r="A6337" s="9" t="str">
        <f>HYPERLINK("http://www.ensembl.org/id/WBGene00015179", "WBGene00015179")</f>
        <v>WBGene00015179</v>
      </c>
      <c r="B6337" s="9" t="str">
        <f>HYPERLINK("http://www.ncbi.nlm.nih.gov/gene/181159", "181159")</f>
        <v>181159</v>
      </c>
      <c r="C6337" s="9"/>
      <c r="D6337" t="str">
        <f>"B0416.3"</f>
        <v>B0416.3</v>
      </c>
      <c r="F6337" t="s">
        <v>11</v>
      </c>
      <c r="G6337" t="s">
        <v>25</v>
      </c>
      <c r="H6337" s="12">
        <v>-1.1900885914961701</v>
      </c>
      <c r="I6337" s="20">
        <v>-0.83576330532811405</v>
      </c>
      <c r="J6337" s="28">
        <v>0.40328807359910201</v>
      </c>
      <c r="K6337" s="29">
        <v>0.98289565623980701</v>
      </c>
    </row>
    <row r="6338" spans="1:11" x14ac:dyDescent="0.35">
      <c r="A6338" s="9" t="str">
        <f>HYPERLINK("http://www.ensembl.org/id/WBGene00015180", "WBGene00015180")</f>
        <v>WBGene00015180</v>
      </c>
      <c r="B6338" s="9" t="str">
        <f>HYPERLINK("http://www.ncbi.nlm.nih.gov/gene/181985", "181985")</f>
        <v>181985</v>
      </c>
      <c r="C6338" s="9"/>
      <c r="D6338" t="str">
        <f>"B0416.4"</f>
        <v>B0416.4</v>
      </c>
      <c r="E6338" t="s">
        <v>9971</v>
      </c>
      <c r="F6338" t="s">
        <v>11</v>
      </c>
      <c r="G6338" t="s">
        <v>51</v>
      </c>
      <c r="H6338" s="12">
        <v>-1.5204650482599</v>
      </c>
      <c r="I6338" s="20">
        <v>-1.15037938888443</v>
      </c>
      <c r="J6338" s="28">
        <v>0.24998764549845701</v>
      </c>
      <c r="K6338" s="29">
        <v>0.98289565623980701</v>
      </c>
    </row>
    <row r="6339" spans="1:11" x14ac:dyDescent="0.35">
      <c r="A6339" s="9" t="str">
        <f>HYPERLINK("http://www.ensembl.org/id/WBGene00015181", "WBGene00015181")</f>
        <v>WBGene00015181</v>
      </c>
      <c r="B6339" s="9" t="str">
        <f>HYPERLINK("http://www.ncbi.nlm.nih.gov/gene/181158", "181158")</f>
        <v>181158</v>
      </c>
      <c r="C6339" s="9" t="str">
        <f>HYPERLINK("http://www.ncbi.nlm.nih.gov/gene/84179", "84179")</f>
        <v>84179</v>
      </c>
      <c r="D6339" t="str">
        <f>"B0416.5"</f>
        <v>B0416.5</v>
      </c>
      <c r="F6339" t="s">
        <v>11</v>
      </c>
      <c r="G6339" t="s">
        <v>230</v>
      </c>
      <c r="H6339" s="12">
        <v>1.1376863491882101</v>
      </c>
      <c r="I6339" s="20">
        <v>0.698131842722434</v>
      </c>
      <c r="J6339" s="28">
        <v>0.485094745854526</v>
      </c>
      <c r="K6339" s="29">
        <v>0.98289565623980701</v>
      </c>
    </row>
    <row r="6340" spans="1:11" x14ac:dyDescent="0.35">
      <c r="A6340" s="9" t="str">
        <f>HYPERLINK("http://www.ensembl.org/id/WBGene00195710", "WBGene00195710")</f>
        <v>WBGene00195710</v>
      </c>
      <c r="B6340" s="9"/>
      <c r="C6340" s="9"/>
      <c r="D6340" t="str">
        <f>"B0416.8"</f>
        <v>B0416.8</v>
      </c>
      <c r="F6340" t="s">
        <v>481</v>
      </c>
      <c r="H6340" s="12">
        <v>2.3893468495514898</v>
      </c>
      <c r="I6340" s="20">
        <v>0.25323547253672701</v>
      </c>
      <c r="J6340" s="28">
        <v>0.80008625651646104</v>
      </c>
      <c r="K6340" s="29">
        <v>0.98289565623980701</v>
      </c>
    </row>
    <row r="6341" spans="1:11" x14ac:dyDescent="0.35">
      <c r="A6341" s="9" t="str">
        <f>HYPERLINK("http://www.ensembl.org/id/WBGene00015183", "WBGene00015183")</f>
        <v>WBGene00015183</v>
      </c>
      <c r="B6341" s="9" t="str">
        <f>HYPERLINK("http://www.ncbi.nlm.nih.gov/gene/24104132", "24104132")</f>
        <v>24104132</v>
      </c>
      <c r="C6341" s="9"/>
      <c r="D6341" t="str">
        <f>"B0432.1"</f>
        <v>B0432.1</v>
      </c>
      <c r="F6341" t="s">
        <v>11</v>
      </c>
      <c r="G6341" t="s">
        <v>25</v>
      </c>
      <c r="H6341" s="12">
        <v>1.3994830279997199</v>
      </c>
      <c r="I6341" s="20">
        <v>0.30185140526618798</v>
      </c>
      <c r="J6341" s="28">
        <v>0.76276534172099397</v>
      </c>
      <c r="K6341" s="29">
        <v>0.98289565623980701</v>
      </c>
    </row>
    <row r="6342" spans="1:11" x14ac:dyDescent="0.35">
      <c r="A6342" s="9" t="str">
        <f>HYPERLINK("http://www.ensembl.org/id/WBGene00015191", "WBGene00015191")</f>
        <v>WBGene00015191</v>
      </c>
      <c r="B6342" s="9" t="str">
        <f>HYPERLINK("http://www.ncbi.nlm.nih.gov/gene/173413", "173413")</f>
        <v>173413</v>
      </c>
      <c r="C6342" s="9"/>
      <c r="D6342" t="str">
        <f>"B0432.10"</f>
        <v>B0432.10</v>
      </c>
      <c r="F6342" t="s">
        <v>11</v>
      </c>
      <c r="H6342" s="12">
        <v>-1.25338023557016</v>
      </c>
      <c r="I6342" s="20">
        <v>-0.87366503061433698</v>
      </c>
      <c r="J6342" s="28">
        <v>0.38230070007827699</v>
      </c>
      <c r="K6342" s="29">
        <v>0.98289565623980701</v>
      </c>
    </row>
    <row r="6343" spans="1:11" x14ac:dyDescent="0.35">
      <c r="A6343" s="9" t="str">
        <f>HYPERLINK("http://www.ensembl.org/id/WBGene00044640", "WBGene00044640")</f>
        <v>WBGene00044640</v>
      </c>
      <c r="B6343" s="9" t="str">
        <f>HYPERLINK("http://www.ncbi.nlm.nih.gov/gene/3896728", "3896728")</f>
        <v>3896728</v>
      </c>
      <c r="C6343" s="9"/>
      <c r="D6343" t="str">
        <f>"B0432.14"</f>
        <v>B0432.14</v>
      </c>
      <c r="F6343" t="s">
        <v>11</v>
      </c>
      <c r="H6343" s="12">
        <v>1.0836587939618201</v>
      </c>
      <c r="I6343" s="20">
        <v>0.381112221006777</v>
      </c>
      <c r="J6343" s="28">
        <v>0.70311997948412996</v>
      </c>
      <c r="K6343" s="29">
        <v>0.98289565623980701</v>
      </c>
    </row>
    <row r="6344" spans="1:11" x14ac:dyDescent="0.35">
      <c r="A6344" s="9" t="str">
        <f>HYPERLINK("http://www.ensembl.org/id/WBGene00015188", "WBGene00015188")</f>
        <v>WBGene00015188</v>
      </c>
      <c r="B6344" s="9" t="str">
        <f>HYPERLINK("http://www.ncbi.nlm.nih.gov/gene/181989", "181989")</f>
        <v>181989</v>
      </c>
      <c r="C6344" s="9"/>
      <c r="D6344" t="str">
        <f>"B0432.7"</f>
        <v>B0432.7</v>
      </c>
      <c r="F6344" t="s">
        <v>11</v>
      </c>
      <c r="H6344" s="12">
        <v>-1.12266032707333</v>
      </c>
      <c r="I6344" s="20">
        <v>-0.50337162844745198</v>
      </c>
      <c r="J6344" s="28">
        <v>0.61470301499601998</v>
      </c>
      <c r="K6344" s="29">
        <v>0.98289565623980701</v>
      </c>
    </row>
    <row r="6345" spans="1:11" x14ac:dyDescent="0.35">
      <c r="A6345" s="9" t="str">
        <f>HYPERLINK("http://www.ensembl.org/id/WBGene00015190", "WBGene00015190")</f>
        <v>WBGene00015190</v>
      </c>
      <c r="B6345" s="9" t="str">
        <f>HYPERLINK("http://www.ncbi.nlm.nih.gov/gene/259415", "259415")</f>
        <v>259415</v>
      </c>
      <c r="C6345" s="9"/>
      <c r="D6345" t="str">
        <f>"B0432.9"</f>
        <v>B0432.9</v>
      </c>
      <c r="F6345" t="s">
        <v>11</v>
      </c>
      <c r="H6345" s="12">
        <v>1.35347968848359</v>
      </c>
      <c r="I6345" s="20">
        <v>0.71428452577270396</v>
      </c>
      <c r="J6345" s="28">
        <v>0.47505125882964</v>
      </c>
      <c r="K6345" s="29">
        <v>0.98289565623980701</v>
      </c>
    </row>
    <row r="6346" spans="1:11" x14ac:dyDescent="0.35">
      <c r="A6346" s="9" t="str">
        <f>HYPERLINK("http://www.ensembl.org/id/WBGene00206372", "WBGene00206372")</f>
        <v>WBGene00206372</v>
      </c>
      <c r="B6346" s="9" t="str">
        <f>HYPERLINK("http://www.ncbi.nlm.nih.gov/gene/13184158", "13184158")</f>
        <v>13184158</v>
      </c>
      <c r="C6346" s="9"/>
      <c r="D6346" t="str">
        <f>"B0454.26"</f>
        <v>B0454.26</v>
      </c>
      <c r="F6346" t="s">
        <v>11</v>
      </c>
      <c r="H6346" s="12">
        <v>-4.6119264567625402</v>
      </c>
      <c r="I6346" s="20">
        <v>-0.60828972222806199</v>
      </c>
      <c r="J6346" s="28">
        <v>0.54299533640928099</v>
      </c>
      <c r="K6346" s="29">
        <v>0.98289565623980701</v>
      </c>
    </row>
    <row r="6347" spans="1:11" x14ac:dyDescent="0.35">
      <c r="A6347" s="9" t="str">
        <f>HYPERLINK("http://www.ensembl.org/id/WBGene00015199", "WBGene00015199")</f>
        <v>WBGene00015199</v>
      </c>
      <c r="B6347" s="9" t="str">
        <f>HYPERLINK("http://www.ncbi.nlm.nih.gov/gene/181994", "181994")</f>
        <v>181994</v>
      </c>
      <c r="C6347" s="9"/>
      <c r="D6347" t="str">
        <f>"B0454.8"</f>
        <v>B0454.8</v>
      </c>
      <c r="F6347" t="s">
        <v>11</v>
      </c>
      <c r="H6347" s="12">
        <v>5.6177655330460103</v>
      </c>
      <c r="I6347" s="20">
        <v>0.68615581608274001</v>
      </c>
      <c r="J6347" s="28">
        <v>0.49261485660610599</v>
      </c>
      <c r="K6347" s="29">
        <v>0.98289565623980701</v>
      </c>
    </row>
    <row r="6348" spans="1:11" x14ac:dyDescent="0.35">
      <c r="A6348" s="9" t="str">
        <f>HYPERLINK("http://www.ensembl.org/id/WBGene00199885", "WBGene00199885")</f>
        <v>WBGene00199885</v>
      </c>
      <c r="B6348" s="9"/>
      <c r="C6348" s="9"/>
      <c r="D6348" t="str">
        <f>"B0457.14"</f>
        <v>B0457.14</v>
      </c>
      <c r="F6348" t="s">
        <v>481</v>
      </c>
      <c r="H6348" s="12">
        <v>2.4578120077400301</v>
      </c>
      <c r="I6348" s="20">
        <v>0.26093350314551</v>
      </c>
      <c r="J6348" s="28">
        <v>0.79414378780213601</v>
      </c>
      <c r="K6348" s="29">
        <v>0.98289565623980701</v>
      </c>
    </row>
    <row r="6349" spans="1:11" x14ac:dyDescent="0.35">
      <c r="A6349" s="9" t="str">
        <f>HYPERLINK("http://www.ensembl.org/id/WBGene00014660", "WBGene00014660")</f>
        <v>WBGene00014660</v>
      </c>
      <c r="B6349" s="9"/>
      <c r="C6349" s="9"/>
      <c r="D6349" t="str">
        <f>"B0457.3"</f>
        <v>B0457.3</v>
      </c>
      <c r="F6349" t="s">
        <v>80</v>
      </c>
      <c r="H6349" s="12">
        <v>4.4957135900354297</v>
      </c>
      <c r="I6349" s="20">
        <v>1.1057810770316701</v>
      </c>
      <c r="J6349" s="28">
        <v>0.26882128735847599</v>
      </c>
      <c r="K6349" s="29">
        <v>0.98289565623980701</v>
      </c>
    </row>
    <row r="6350" spans="1:11" x14ac:dyDescent="0.35">
      <c r="A6350" s="9" t="str">
        <f>HYPERLINK("http://www.ensembl.org/id/WBGene00007180", "WBGene00007180")</f>
        <v>WBGene00007180</v>
      </c>
      <c r="B6350" s="9" t="str">
        <f>HYPERLINK("http://www.ncbi.nlm.nih.gov/gene/3565783", "3565783")</f>
        <v>3565783</v>
      </c>
      <c r="C6350" s="9"/>
      <c r="D6350" t="str">
        <f>"B0457.6"</f>
        <v>B0457.6</v>
      </c>
      <c r="F6350" t="s">
        <v>11</v>
      </c>
      <c r="H6350" s="12">
        <v>-1.2568741455355401</v>
      </c>
      <c r="I6350" s="20">
        <v>-1.0160637844398599</v>
      </c>
      <c r="J6350" s="28">
        <v>0.309599013444254</v>
      </c>
      <c r="K6350" s="29">
        <v>0.98289565623980701</v>
      </c>
    </row>
    <row r="6351" spans="1:11" x14ac:dyDescent="0.35">
      <c r="A6351" s="9" t="str">
        <f>HYPERLINK("http://www.ensembl.org/id/WBGene00007183", "WBGene00007183")</f>
        <v>WBGene00007183</v>
      </c>
      <c r="B6351" s="9" t="str">
        <f>HYPERLINK("http://www.ncbi.nlm.nih.gov/gene/3565552", "3565552")</f>
        <v>3565552</v>
      </c>
      <c r="C6351" s="9"/>
      <c r="D6351" t="str">
        <f>"B0462.4"</f>
        <v>B0462.4</v>
      </c>
      <c r="F6351" t="s">
        <v>11</v>
      </c>
      <c r="H6351" s="12">
        <v>2.3976391054898101</v>
      </c>
      <c r="I6351" s="20">
        <v>0.97685440622417297</v>
      </c>
      <c r="J6351" s="28">
        <v>0.32864123662295203</v>
      </c>
      <c r="K6351" s="29">
        <v>0.98289565623980701</v>
      </c>
    </row>
    <row r="6352" spans="1:11" x14ac:dyDescent="0.35">
      <c r="A6352" s="9" t="str">
        <f>HYPERLINK("http://www.ensembl.org/id/WBGene00007188", "WBGene00007188")</f>
        <v>WBGene00007188</v>
      </c>
      <c r="B6352" s="9" t="str">
        <f>HYPERLINK("http://www.ncbi.nlm.nih.gov/gene/181999", "181999")</f>
        <v>181999</v>
      </c>
      <c r="C6352" s="9" t="str">
        <f>HYPERLINK("http://www.ncbi.nlm.nih.gov/gene/51400", "51400")</f>
        <v>51400</v>
      </c>
      <c r="D6352" t="str">
        <f>"B0464.9"</f>
        <v>B0464.9</v>
      </c>
      <c r="E6352" t="s">
        <v>9520</v>
      </c>
      <c r="F6352" t="s">
        <v>11</v>
      </c>
      <c r="G6352" t="s">
        <v>9521</v>
      </c>
      <c r="H6352" s="12">
        <v>-1.25473567480285</v>
      </c>
      <c r="I6352" s="20">
        <v>-1.03391170631701</v>
      </c>
      <c r="J6352" s="28">
        <v>0.30117744186036799</v>
      </c>
      <c r="K6352" s="29">
        <v>0.98289565623980701</v>
      </c>
    </row>
    <row r="6353" spans="1:11" x14ac:dyDescent="0.35">
      <c r="A6353" s="9" t="str">
        <f>HYPERLINK("http://www.ensembl.org/id/WBGene00007189", "WBGene00007189")</f>
        <v>WBGene00007189</v>
      </c>
      <c r="B6353" s="9" t="str">
        <f>HYPERLINK("http://www.ncbi.nlm.nih.gov/gene/174736", "174736")</f>
        <v>174736</v>
      </c>
      <c r="C6353" s="9" t="str">
        <f>HYPERLINK("http://www.ncbi.nlm.nih.gov/gene/93183", "93183")</f>
        <v>93183</v>
      </c>
      <c r="D6353" t="str">
        <f>"B0491.1"</f>
        <v>B0491.1</v>
      </c>
      <c r="E6353" t="s">
        <v>9252</v>
      </c>
      <c r="F6353" t="s">
        <v>11</v>
      </c>
      <c r="G6353" t="s">
        <v>9253</v>
      </c>
      <c r="H6353" s="12">
        <v>-1.23068693758998</v>
      </c>
      <c r="I6353" s="20">
        <v>-0.94986311507197196</v>
      </c>
      <c r="J6353" s="28">
        <v>0.34218181085066801</v>
      </c>
      <c r="K6353" s="29">
        <v>0.98289565623980701</v>
      </c>
    </row>
    <row r="6354" spans="1:11" x14ac:dyDescent="0.35">
      <c r="A6354" s="9" t="str">
        <f>HYPERLINK("http://www.ensembl.org/id/WBGene00200897", "WBGene00200897")</f>
        <v>WBGene00200897</v>
      </c>
      <c r="B6354" s="9"/>
      <c r="C6354" s="9"/>
      <c r="D6354" t="str">
        <f>"B0491.11"</f>
        <v>B0491.11</v>
      </c>
      <c r="F6354" t="s">
        <v>481</v>
      </c>
      <c r="H6354" s="12">
        <v>-2.4295389261469</v>
      </c>
      <c r="I6354" s="20">
        <v>-0.25808529976640998</v>
      </c>
      <c r="J6354" s="28">
        <v>0.79634107645457397</v>
      </c>
      <c r="K6354" s="29">
        <v>0.98289565623980701</v>
      </c>
    </row>
    <row r="6355" spans="1:11" x14ac:dyDescent="0.35">
      <c r="A6355" s="9" t="str">
        <f>HYPERLINK("http://www.ensembl.org/id/WBGene00007192", "WBGene00007192")</f>
        <v>WBGene00007192</v>
      </c>
      <c r="B6355" s="9" t="str">
        <f>HYPERLINK("http://www.ncbi.nlm.nih.gov/gene/174734", "174734")</f>
        <v>174734</v>
      </c>
      <c r="C6355" s="9"/>
      <c r="D6355" t="str">
        <f>"B0491.5"</f>
        <v>B0491.5</v>
      </c>
      <c r="F6355" t="s">
        <v>11</v>
      </c>
      <c r="H6355" s="12">
        <v>-1.1284781566522399</v>
      </c>
      <c r="I6355" s="20">
        <v>-0.65924463834272695</v>
      </c>
      <c r="J6355" s="28">
        <v>0.50973868657572496</v>
      </c>
      <c r="K6355" s="29">
        <v>0.98289565623980701</v>
      </c>
    </row>
    <row r="6356" spans="1:11" x14ac:dyDescent="0.35">
      <c r="A6356" s="9" t="str">
        <f>HYPERLINK("http://www.ensembl.org/id/WBGene00007193", "WBGene00007193")</f>
        <v>WBGene00007193</v>
      </c>
      <c r="B6356" s="9" t="str">
        <f>HYPERLINK("http://www.ncbi.nlm.nih.gov/gene/174735", "174735")</f>
        <v>174735</v>
      </c>
      <c r="C6356" s="9"/>
      <c r="D6356" t="str">
        <f>"B0491.6"</f>
        <v>B0491.6</v>
      </c>
      <c r="F6356" t="s">
        <v>11</v>
      </c>
      <c r="H6356" s="12">
        <v>-1.1291119328052299</v>
      </c>
      <c r="I6356" s="20">
        <v>-0.59544524632452001</v>
      </c>
      <c r="J6356" s="28">
        <v>0.55154588853634701</v>
      </c>
      <c r="K6356" s="29">
        <v>0.98289565623980701</v>
      </c>
    </row>
    <row r="6357" spans="1:11" x14ac:dyDescent="0.35">
      <c r="A6357" s="9" t="str">
        <f>HYPERLINK("http://www.ensembl.org/id/WBGene00197442", "WBGene00197442")</f>
        <v>WBGene00197442</v>
      </c>
      <c r="B6357" s="9"/>
      <c r="C6357" s="9"/>
      <c r="D6357" t="str">
        <f>"B0491.9"</f>
        <v>B0491.9</v>
      </c>
      <c r="F6357" t="s">
        <v>481</v>
      </c>
      <c r="H6357" s="12">
        <v>4.4368407117627902</v>
      </c>
      <c r="I6357" s="20">
        <v>0.43709475933309699</v>
      </c>
      <c r="J6357" s="28">
        <v>0.66204262779770495</v>
      </c>
      <c r="K6357" s="29">
        <v>0.98289565623980701</v>
      </c>
    </row>
    <row r="6358" spans="1:11" x14ac:dyDescent="0.35">
      <c r="A6358" s="9" t="str">
        <f>HYPERLINK("http://www.ensembl.org/id/WBGene00196022", "WBGene00196022")</f>
        <v>WBGene00196022</v>
      </c>
      <c r="B6358" s="9"/>
      <c r="C6358" s="9"/>
      <c r="D6358" t="str">
        <f>"B0495.13"</f>
        <v>B0495.13</v>
      </c>
      <c r="F6358" t="s">
        <v>481</v>
      </c>
      <c r="H6358" s="12">
        <v>-2.4991590031922399</v>
      </c>
      <c r="I6358" s="20">
        <v>-0.26577412737581302</v>
      </c>
      <c r="J6358" s="28">
        <v>0.79041317015736101</v>
      </c>
      <c r="K6358" s="29">
        <v>0.98289565623980701</v>
      </c>
    </row>
    <row r="6359" spans="1:11" x14ac:dyDescent="0.35">
      <c r="A6359" s="9" t="str">
        <f>HYPERLINK("http://www.ensembl.org/id/WBGene00199462", "WBGene00199462")</f>
        <v>WBGene00199462</v>
      </c>
      <c r="B6359" s="9"/>
      <c r="C6359" s="9"/>
      <c r="D6359" t="str">
        <f>"B0495.20"</f>
        <v>B0495.20</v>
      </c>
      <c r="F6359" t="s">
        <v>481</v>
      </c>
      <c r="H6359" s="12">
        <v>2.4578120077400301</v>
      </c>
      <c r="I6359" s="20">
        <v>0.26093350314551</v>
      </c>
      <c r="J6359" s="28">
        <v>0.79414378780213601</v>
      </c>
      <c r="K6359" s="29">
        <v>0.98289565623980701</v>
      </c>
    </row>
    <row r="6360" spans="1:11" x14ac:dyDescent="0.35">
      <c r="A6360" s="9" t="str">
        <f>HYPERLINK("http://www.ensembl.org/id/WBGene00015206", "WBGene00015206")</f>
        <v>WBGene00015206</v>
      </c>
      <c r="B6360" s="9" t="str">
        <f>HYPERLINK("http://www.ncbi.nlm.nih.gov/gene/174245", "174245")</f>
        <v>174245</v>
      </c>
      <c r="C6360" s="9" t="str">
        <f>HYPERLINK("http://www.ncbi.nlm.nih.gov/gene/79956", "79956")</f>
        <v>79956</v>
      </c>
      <c r="D6360" t="str">
        <f>"B0495.7"</f>
        <v>B0495.7</v>
      </c>
      <c r="E6360" t="s">
        <v>6198</v>
      </c>
      <c r="F6360" t="s">
        <v>11</v>
      </c>
      <c r="G6360" t="s">
        <v>4097</v>
      </c>
      <c r="H6360" s="12">
        <v>-1.0532422580405501</v>
      </c>
      <c r="I6360" s="20">
        <v>-0.27871922676941302</v>
      </c>
      <c r="J6360" s="28">
        <v>0.78046030617373297</v>
      </c>
      <c r="K6360" s="29">
        <v>0.98289565623980701</v>
      </c>
    </row>
    <row r="6361" spans="1:11" x14ac:dyDescent="0.35">
      <c r="A6361" s="9" t="str">
        <f>HYPERLINK("http://www.ensembl.org/id/WBGene00015208", "WBGene00015208")</f>
        <v>WBGene00015208</v>
      </c>
      <c r="B6361" s="9" t="str">
        <f>HYPERLINK("http://www.ncbi.nlm.nih.gov/gene/174247", "174247")</f>
        <v>174247</v>
      </c>
      <c r="C6361" s="9"/>
      <c r="D6361" t="str">
        <f>"B0495.9"</f>
        <v>B0495.9</v>
      </c>
      <c r="F6361" t="s">
        <v>11</v>
      </c>
      <c r="G6361" t="s">
        <v>9662</v>
      </c>
      <c r="H6361" s="12">
        <v>-1.2741915429488799</v>
      </c>
      <c r="I6361" s="20">
        <v>-1.16300069177603</v>
      </c>
      <c r="J6361" s="28">
        <v>0.244829221750618</v>
      </c>
      <c r="K6361" s="29">
        <v>0.98289565623980701</v>
      </c>
    </row>
    <row r="6362" spans="1:11" x14ac:dyDescent="0.35">
      <c r="A6362" s="9" t="str">
        <f>HYPERLINK("http://www.ensembl.org/id/WBGene00015210", "WBGene00015210")</f>
        <v>WBGene00015210</v>
      </c>
      <c r="B6362" s="9" t="str">
        <f>HYPERLINK("http://www.ncbi.nlm.nih.gov/gene/182005", "182005")</f>
        <v>182005</v>
      </c>
      <c r="C6362" s="9"/>
      <c r="D6362" t="str">
        <f>"B0496.1"</f>
        <v>B0496.1</v>
      </c>
      <c r="F6362" t="s">
        <v>11</v>
      </c>
      <c r="G6362" t="s">
        <v>54</v>
      </c>
      <c r="H6362" s="12">
        <v>1.5457941438825</v>
      </c>
      <c r="I6362" s="20">
        <v>0.46066265058823702</v>
      </c>
      <c r="J6362" s="28">
        <v>0.64504065529497201</v>
      </c>
      <c r="K6362" s="29">
        <v>0.98289565623980701</v>
      </c>
    </row>
    <row r="6363" spans="1:11" x14ac:dyDescent="0.35">
      <c r="A6363" s="9" t="str">
        <f>HYPERLINK("http://www.ensembl.org/id/WBGene00194883", "WBGene00194883")</f>
        <v>WBGene00194883</v>
      </c>
      <c r="B6363" s="9" t="str">
        <f>HYPERLINK("http://www.ncbi.nlm.nih.gov/gene/13196689", "13196689")</f>
        <v>13196689</v>
      </c>
      <c r="C6363" s="9"/>
      <c r="D6363" t="str">
        <f>"B0496.11"</f>
        <v>B0496.11</v>
      </c>
      <c r="F6363" t="s">
        <v>11</v>
      </c>
      <c r="H6363" s="12">
        <v>1.79295252154465</v>
      </c>
      <c r="I6363" s="20">
        <v>0.97292316429662995</v>
      </c>
      <c r="J6363" s="28">
        <v>0.33059149122979598</v>
      </c>
      <c r="K6363" s="29">
        <v>0.98289565623980701</v>
      </c>
    </row>
    <row r="6364" spans="1:11" x14ac:dyDescent="0.35">
      <c r="A6364" s="9" t="str">
        <f>HYPERLINK("http://www.ensembl.org/id/WBGene00195826", "WBGene00195826")</f>
        <v>WBGene00195826</v>
      </c>
      <c r="B6364" s="9"/>
      <c r="C6364" s="9"/>
      <c r="D6364" t="str">
        <f>"B0496.13"</f>
        <v>B0496.13</v>
      </c>
      <c r="F6364" t="s">
        <v>481</v>
      </c>
      <c r="H6364" s="12">
        <v>1.9010448940562801</v>
      </c>
      <c r="I6364" s="20">
        <v>0.320982701850414</v>
      </c>
      <c r="J6364" s="28">
        <v>0.74822349979201097</v>
      </c>
      <c r="K6364" s="29">
        <v>0.98289565623980701</v>
      </c>
    </row>
    <row r="6365" spans="1:11" x14ac:dyDescent="0.35">
      <c r="A6365" s="9" t="str">
        <f>HYPERLINK("http://www.ensembl.org/id/WBGene00199083", "WBGene00199083")</f>
        <v>WBGene00199083</v>
      </c>
      <c r="B6365" s="9"/>
      <c r="C6365" s="9"/>
      <c r="D6365" t="str">
        <f>"B0496.16"</f>
        <v>B0496.16</v>
      </c>
      <c r="F6365" t="s">
        <v>481</v>
      </c>
      <c r="H6365" s="12">
        <v>2.4578120077400301</v>
      </c>
      <c r="I6365" s="20">
        <v>0.26093350314551</v>
      </c>
      <c r="J6365" s="28">
        <v>0.79414378780213601</v>
      </c>
      <c r="K6365" s="29">
        <v>0.98289565623980701</v>
      </c>
    </row>
    <row r="6366" spans="1:11" x14ac:dyDescent="0.35">
      <c r="A6366" s="9" t="str">
        <f>HYPERLINK("http://www.ensembl.org/id/WBGene00015211", "WBGene00015211")</f>
        <v>WBGene00015211</v>
      </c>
      <c r="B6366" s="9" t="str">
        <f>HYPERLINK("http://www.ncbi.nlm.nih.gov/gene/182006", "182006")</f>
        <v>182006</v>
      </c>
      <c r="C6366" s="9"/>
      <c r="D6366" t="str">
        <f>"B0496.2"</f>
        <v>B0496.2</v>
      </c>
      <c r="F6366" t="s">
        <v>11</v>
      </c>
      <c r="G6366" t="s">
        <v>54</v>
      </c>
      <c r="H6366" s="12">
        <v>6.1799726883537804</v>
      </c>
      <c r="I6366" s="20">
        <v>0.93775842961825095</v>
      </c>
      <c r="J6366" s="28">
        <v>0.34836856883363498</v>
      </c>
      <c r="K6366" s="29">
        <v>0.98289565623980701</v>
      </c>
    </row>
    <row r="6367" spans="1:11" x14ac:dyDescent="0.35">
      <c r="A6367" s="9" t="str">
        <f>HYPERLINK("http://www.ensembl.org/id/WBGene00015215", "WBGene00015215")</f>
        <v>WBGene00015215</v>
      </c>
      <c r="B6367" s="9" t="str">
        <f>HYPERLINK("http://www.ncbi.nlm.nih.gov/gene/182009", "182009")</f>
        <v>182009</v>
      </c>
      <c r="C6367" s="9"/>
      <c r="D6367" t="str">
        <f>"B0496.6"</f>
        <v>B0496.6</v>
      </c>
      <c r="F6367" t="s">
        <v>11</v>
      </c>
      <c r="G6367" t="s">
        <v>25</v>
      </c>
      <c r="H6367" s="12">
        <v>2.4811108888908602</v>
      </c>
      <c r="I6367" s="20">
        <v>0.51279793577142496</v>
      </c>
      <c r="J6367" s="28">
        <v>0.60809267387245303</v>
      </c>
      <c r="K6367" s="29">
        <v>0.98289565623980701</v>
      </c>
    </row>
    <row r="6368" spans="1:11" x14ac:dyDescent="0.35">
      <c r="A6368" s="9" t="str">
        <f>HYPERLINK("http://www.ensembl.org/id/WBGene00015218", "WBGene00015218")</f>
        <v>WBGene00015218</v>
      </c>
      <c r="B6368" s="9" t="str">
        <f>HYPERLINK("http://www.ncbi.nlm.nih.gov/gene/179256", "179256")</f>
        <v>179256</v>
      </c>
      <c r="C6368" s="9"/>
      <c r="D6368" t="str">
        <f>"B0507.1"</f>
        <v>B0507.1</v>
      </c>
      <c r="F6368" t="s">
        <v>11</v>
      </c>
      <c r="G6368" t="s">
        <v>425</v>
      </c>
      <c r="H6368" s="12">
        <v>-1.12903000024633</v>
      </c>
      <c r="I6368" s="20">
        <v>-0.56654624187223801</v>
      </c>
      <c r="J6368" s="28">
        <v>0.57102250742732796</v>
      </c>
      <c r="K6368" s="29">
        <v>0.98289565623980701</v>
      </c>
    </row>
    <row r="6369" spans="1:11" x14ac:dyDescent="0.35">
      <c r="A6369" s="9" t="str">
        <f>HYPERLINK("http://www.ensembl.org/id/WBGene00015219", "WBGene00015219")</f>
        <v>WBGene00015219</v>
      </c>
      <c r="B6369" s="9" t="str">
        <f>HYPERLINK("http://www.ncbi.nlm.nih.gov/gene/179255", "179255")</f>
        <v>179255</v>
      </c>
      <c r="C6369" s="9" t="str">
        <f>HYPERLINK("http://www.ncbi.nlm.nih.gov/gene/148362", "148362")</f>
        <v>148362</v>
      </c>
      <c r="D6369" t="str">
        <f>"B0507.2"</f>
        <v>B0507.2</v>
      </c>
      <c r="E6369" t="s">
        <v>8987</v>
      </c>
      <c r="F6369" t="s">
        <v>11</v>
      </c>
      <c r="H6369" s="12">
        <v>-1.21207053390497</v>
      </c>
      <c r="I6369" s="20">
        <v>-1.0424385110082699</v>
      </c>
      <c r="J6369" s="28">
        <v>0.29720841953113603</v>
      </c>
      <c r="K6369" s="29">
        <v>0.98289565623980701</v>
      </c>
    </row>
    <row r="6370" spans="1:11" x14ac:dyDescent="0.35">
      <c r="A6370" s="9" t="str">
        <f>HYPERLINK("http://www.ensembl.org/id/WBGene00015220", "WBGene00015220")</f>
        <v>WBGene00015220</v>
      </c>
      <c r="B6370" s="9" t="str">
        <f>HYPERLINK("http://www.ncbi.nlm.nih.gov/gene/179254", "179254")</f>
        <v>179254</v>
      </c>
      <c r="C6370" s="9"/>
      <c r="D6370" t="str">
        <f>"B0507.3"</f>
        <v>B0507.3</v>
      </c>
      <c r="F6370" t="s">
        <v>11</v>
      </c>
      <c r="G6370" t="s">
        <v>54</v>
      </c>
      <c r="H6370" s="12">
        <v>-1.1094603058847301</v>
      </c>
      <c r="I6370" s="20">
        <v>-0.35296633775335901</v>
      </c>
      <c r="J6370" s="28">
        <v>0.72411367692575701</v>
      </c>
      <c r="K6370" s="29">
        <v>0.98289565623980701</v>
      </c>
    </row>
    <row r="6371" spans="1:11" x14ac:dyDescent="0.35">
      <c r="A6371" s="9" t="str">
        <f>HYPERLINK("http://www.ensembl.org/id/WBGene00015223", "WBGene00015223")</f>
        <v>WBGene00015223</v>
      </c>
      <c r="B6371" s="9" t="str">
        <f>HYPERLINK("http://www.ncbi.nlm.nih.gov/gene/182013", "182013")</f>
        <v>182013</v>
      </c>
      <c r="C6371" s="9"/>
      <c r="D6371" t="str">
        <f>"B0507.6"</f>
        <v>B0507.6</v>
      </c>
      <c r="F6371" t="s">
        <v>11</v>
      </c>
      <c r="H6371" s="12">
        <v>1.17288545895965</v>
      </c>
      <c r="I6371" s="20">
        <v>0.50712182194113098</v>
      </c>
      <c r="J6371" s="28">
        <v>0.61206934444158201</v>
      </c>
      <c r="K6371" s="29">
        <v>0.98289565623980701</v>
      </c>
    </row>
    <row r="6372" spans="1:11" x14ac:dyDescent="0.35">
      <c r="A6372" s="9" t="str">
        <f>HYPERLINK("http://www.ensembl.org/id/WBGene00015224", "WBGene00015224")</f>
        <v>WBGene00015224</v>
      </c>
      <c r="B6372" s="9" t="str">
        <f>HYPERLINK("http://www.ncbi.nlm.nih.gov/gene/182014", "182014")</f>
        <v>182014</v>
      </c>
      <c r="C6372" s="9"/>
      <c r="D6372" t="str">
        <f>"B0507.7"</f>
        <v>B0507.7</v>
      </c>
      <c r="F6372" t="s">
        <v>11</v>
      </c>
      <c r="H6372" s="12">
        <v>-1.7044158640616001</v>
      </c>
      <c r="I6372" s="20">
        <v>-0.50056229998538704</v>
      </c>
      <c r="J6372" s="28">
        <v>0.61667920046965996</v>
      </c>
      <c r="K6372" s="29">
        <v>0.98289565623980701</v>
      </c>
    </row>
    <row r="6373" spans="1:11" x14ac:dyDescent="0.35">
      <c r="A6373" s="9" t="str">
        <f>HYPERLINK("http://www.ensembl.org/id/WBGene00015226", "WBGene00015226")</f>
        <v>WBGene00015226</v>
      </c>
      <c r="B6373" s="9" t="str">
        <f>HYPERLINK("http://www.ncbi.nlm.nih.gov/gene/179253", "179253")</f>
        <v>179253</v>
      </c>
      <c r="C6373" s="9"/>
      <c r="D6373" t="str">
        <f>"B0507.9"</f>
        <v>B0507.9</v>
      </c>
      <c r="F6373" t="s">
        <v>11</v>
      </c>
      <c r="H6373" s="12">
        <v>1.5156665771362601</v>
      </c>
      <c r="I6373" s="20">
        <v>0.26570577960286401</v>
      </c>
      <c r="J6373" s="28">
        <v>0.79046581186704801</v>
      </c>
      <c r="K6373" s="29">
        <v>0.98289565623980701</v>
      </c>
    </row>
    <row r="6374" spans="1:11" x14ac:dyDescent="0.35">
      <c r="A6374" s="9" t="str">
        <f>HYPERLINK("http://www.ensembl.org/id/WBGene00015236", "WBGene00015236")</f>
        <v>WBGene00015236</v>
      </c>
      <c r="B6374" s="9" t="str">
        <f>HYPERLINK("http://www.ncbi.nlm.nih.gov/gene/259397", "259397")</f>
        <v>259397</v>
      </c>
      <c r="C6374" s="9"/>
      <c r="D6374" t="str">
        <f>"B0511.11"</f>
        <v>B0511.11</v>
      </c>
      <c r="F6374" t="s">
        <v>11</v>
      </c>
      <c r="H6374" s="12">
        <v>1.3973476141093499</v>
      </c>
      <c r="I6374" s="20">
        <v>0.89531251780903998</v>
      </c>
      <c r="J6374" s="28">
        <v>0.37062005057684599</v>
      </c>
      <c r="K6374" s="29">
        <v>0.98289565623980701</v>
      </c>
    </row>
    <row r="6375" spans="1:11" x14ac:dyDescent="0.35">
      <c r="A6375" s="9" t="str">
        <f>HYPERLINK("http://www.ensembl.org/id/WBGene00015237", "WBGene00015237")</f>
        <v>WBGene00015237</v>
      </c>
      <c r="B6375" s="9" t="str">
        <f>HYPERLINK("http://www.ncbi.nlm.nih.gov/gene/172961", "172961")</f>
        <v>172961</v>
      </c>
      <c r="C6375" s="9"/>
      <c r="D6375" t="str">
        <f>"B0511.12"</f>
        <v>B0511.12</v>
      </c>
      <c r="F6375" t="s">
        <v>11</v>
      </c>
      <c r="G6375" t="s">
        <v>6806</v>
      </c>
      <c r="H6375" s="12">
        <v>-1.0900582092791899</v>
      </c>
      <c r="I6375" s="20">
        <v>-0.45723674766460198</v>
      </c>
      <c r="J6375" s="28">
        <v>0.64750088792979499</v>
      </c>
      <c r="K6375" s="29">
        <v>0.98289565623980701</v>
      </c>
    </row>
    <row r="6376" spans="1:11" x14ac:dyDescent="0.35">
      <c r="A6376" s="9" t="str">
        <f>HYPERLINK("http://www.ensembl.org/id/WBGene00015238", "WBGene00015238")</f>
        <v>WBGene00015238</v>
      </c>
      <c r="B6376" s="9" t="str">
        <f>HYPERLINK("http://www.ncbi.nlm.nih.gov/gene/172956", "172956")</f>
        <v>172956</v>
      </c>
      <c r="C6376" s="9" t="str">
        <f>HYPERLINK("http://www.ncbi.nlm.nih.gov/gene/65258", "65258")</f>
        <v>65258</v>
      </c>
      <c r="D6376" t="str">
        <f>"B0511.13"</f>
        <v>B0511.13</v>
      </c>
      <c r="E6376" t="s">
        <v>5858</v>
      </c>
      <c r="F6376" t="s">
        <v>11</v>
      </c>
      <c r="G6376" t="s">
        <v>5859</v>
      </c>
      <c r="H6376" s="12">
        <v>1.0925007362302801</v>
      </c>
      <c r="I6376" s="20">
        <v>0.31987936959094598</v>
      </c>
      <c r="J6376" s="28">
        <v>0.74905977753296105</v>
      </c>
      <c r="K6376" s="29">
        <v>0.98289565623980701</v>
      </c>
    </row>
    <row r="6377" spans="1:11" x14ac:dyDescent="0.35">
      <c r="A6377" s="9" t="str">
        <f>HYPERLINK("http://www.ensembl.org/id/WBGene00219234", "WBGene00219234")</f>
        <v>WBGene00219234</v>
      </c>
      <c r="B6377" s="9" t="str">
        <f>HYPERLINK("http://www.ncbi.nlm.nih.gov/gene/13181911", "13181911")</f>
        <v>13181911</v>
      </c>
      <c r="C6377" s="9"/>
      <c r="D6377" t="str">
        <f>"B0511.17"</f>
        <v>B0511.17</v>
      </c>
      <c r="F6377" t="s">
        <v>11</v>
      </c>
      <c r="H6377" s="12">
        <v>-5.8112743568295402</v>
      </c>
      <c r="I6377" s="20">
        <v>-0.65308305132984301</v>
      </c>
      <c r="J6377" s="28">
        <v>0.51370273815078205</v>
      </c>
      <c r="K6377" s="29">
        <v>0.98289565623980701</v>
      </c>
    </row>
    <row r="6378" spans="1:11" x14ac:dyDescent="0.35">
      <c r="A6378" s="9" t="str">
        <f>HYPERLINK("http://www.ensembl.org/id/WBGene00015228", "WBGene00015228")</f>
        <v>WBGene00015228</v>
      </c>
      <c r="B6378" s="9" t="str">
        <f>HYPERLINK("http://www.ncbi.nlm.nih.gov/gene/182015", "182015")</f>
        <v>182015</v>
      </c>
      <c r="C6378" s="9"/>
      <c r="D6378" t="str">
        <f>"B0511.2"</f>
        <v>B0511.2</v>
      </c>
      <c r="F6378" t="s">
        <v>11</v>
      </c>
      <c r="H6378" s="12">
        <v>-1.7304498696991699</v>
      </c>
      <c r="I6378" s="20">
        <v>-0.91337762145630097</v>
      </c>
      <c r="J6378" s="28">
        <v>0.36104397108031699</v>
      </c>
      <c r="K6378" s="29">
        <v>0.98289565623980701</v>
      </c>
    </row>
    <row r="6379" spans="1:11" x14ac:dyDescent="0.35">
      <c r="A6379" s="9" t="str">
        <f>HYPERLINK("http://www.ensembl.org/id/WBGene00015232", "WBGene00015232")</f>
        <v>WBGene00015232</v>
      </c>
      <c r="B6379" s="9" t="str">
        <f>HYPERLINK("http://www.ncbi.nlm.nih.gov/gene/172954", "172954")</f>
        <v>172954</v>
      </c>
      <c r="C6379" s="9" t="str">
        <f>HYPERLINK("http://www.ncbi.nlm.nih.gov/gene/8886", "8886")</f>
        <v>8886</v>
      </c>
      <c r="D6379" t="str">
        <f>"B0511.6"</f>
        <v>B0511.6</v>
      </c>
      <c r="E6379" t="s">
        <v>7749</v>
      </c>
      <c r="F6379" t="s">
        <v>11</v>
      </c>
      <c r="G6379" t="s">
        <v>7750</v>
      </c>
      <c r="H6379" s="12">
        <v>-1.14250243443377</v>
      </c>
      <c r="I6379" s="20">
        <v>-0.68931110102202897</v>
      </c>
      <c r="J6379" s="28">
        <v>0.49062751358923701</v>
      </c>
      <c r="K6379" s="29">
        <v>0.98289565623980701</v>
      </c>
    </row>
    <row r="6380" spans="1:11" x14ac:dyDescent="0.35">
      <c r="A6380" s="9" t="str">
        <f>HYPERLINK("http://www.ensembl.org/id/WBGene00015233", "WBGene00015233")</f>
        <v>WBGene00015233</v>
      </c>
      <c r="B6380" s="9" t="str">
        <f>HYPERLINK("http://www.ncbi.nlm.nih.gov/gene/172955", "172955")</f>
        <v>172955</v>
      </c>
      <c r="C6380" s="9" t="str">
        <f>HYPERLINK("http://www.ncbi.nlm.nih.gov/gene/5511", "5511")</f>
        <v>5511</v>
      </c>
      <c r="D6380" t="str">
        <f>"B0511.7"</f>
        <v>B0511.7</v>
      </c>
      <c r="F6380" t="s">
        <v>11</v>
      </c>
      <c r="G6380" t="s">
        <v>8397</v>
      </c>
      <c r="H6380" s="12">
        <v>-1.1750192249203699</v>
      </c>
      <c r="I6380" s="20">
        <v>-0.72662273265828303</v>
      </c>
      <c r="J6380" s="28">
        <v>0.46745709845940697</v>
      </c>
      <c r="K6380" s="29">
        <v>0.98289565623980701</v>
      </c>
    </row>
    <row r="6381" spans="1:11" x14ac:dyDescent="0.35">
      <c r="A6381" s="9" t="str">
        <f>HYPERLINK("http://www.ensembl.org/id/WBGene00007198", "WBGene00007198")</f>
        <v>WBGene00007198</v>
      </c>
      <c r="B6381" s="9"/>
      <c r="C6381" s="9"/>
      <c r="D6381" t="str">
        <f>"B0513.6"</f>
        <v>B0513.6</v>
      </c>
      <c r="F6381" t="s">
        <v>80</v>
      </c>
      <c r="H6381" s="12">
        <v>-2.32806922451122</v>
      </c>
      <c r="I6381" s="20">
        <v>-0.28296842763464503</v>
      </c>
      <c r="J6381" s="28">
        <v>0.77720103937969098</v>
      </c>
      <c r="K6381" s="29">
        <v>0.98289565623980701</v>
      </c>
    </row>
    <row r="6382" spans="1:11" x14ac:dyDescent="0.35">
      <c r="A6382" s="9" t="str">
        <f>HYPERLINK("http://www.ensembl.org/id/WBGene00007199", "WBGene00007199")</f>
        <v>WBGene00007199</v>
      </c>
      <c r="B6382" s="9"/>
      <c r="C6382" s="9"/>
      <c r="D6382" t="str">
        <f>"B0513.7"</f>
        <v>B0513.7</v>
      </c>
      <c r="F6382" t="s">
        <v>80</v>
      </c>
      <c r="H6382" s="12">
        <v>-9.6815265259172598</v>
      </c>
      <c r="I6382" s="20">
        <v>-0.67531719156077197</v>
      </c>
      <c r="J6382" s="28">
        <v>0.49947426381858001</v>
      </c>
      <c r="K6382" s="29">
        <v>0.98289565623980701</v>
      </c>
    </row>
    <row r="6383" spans="1:11" x14ac:dyDescent="0.35">
      <c r="A6383" s="9" t="str">
        <f>HYPERLINK("http://www.ensembl.org/id/WBGene00235301", "WBGene00235301")</f>
        <v>WBGene00235301</v>
      </c>
      <c r="B6383" s="9" t="str">
        <f>HYPERLINK("http://www.ncbi.nlm.nih.gov/gene/24104139", "24104139")</f>
        <v>24104139</v>
      </c>
      <c r="C6383" s="9"/>
      <c r="D6383" t="str">
        <f>"B0513.90"</f>
        <v>B0513.90</v>
      </c>
      <c r="F6383" t="s">
        <v>11</v>
      </c>
      <c r="H6383" s="12">
        <v>11.629353711042601</v>
      </c>
      <c r="I6383" s="20">
        <v>1.1442050093705001</v>
      </c>
      <c r="J6383" s="28">
        <v>0.25253862613488498</v>
      </c>
      <c r="K6383" s="29">
        <v>0.98289565623980701</v>
      </c>
    </row>
    <row r="6384" spans="1:11" x14ac:dyDescent="0.35">
      <c r="A6384" s="9" t="str">
        <f>HYPERLINK("http://www.ensembl.org/id/WBGene00015241", "WBGene00015241")</f>
        <v>WBGene00015241</v>
      </c>
      <c r="B6384" s="9" t="str">
        <f>HYPERLINK("http://www.ncbi.nlm.nih.gov/gene/182024", "182024")</f>
        <v>182024</v>
      </c>
      <c r="C6384" s="9" t="str">
        <f>HYPERLINK("http://www.ncbi.nlm.nih.gov/gene/8228", "8228")</f>
        <v>8228</v>
      </c>
      <c r="D6384" t="str">
        <f>"B0524.2"</f>
        <v>B0524.2</v>
      </c>
      <c r="F6384" t="s">
        <v>11</v>
      </c>
      <c r="G6384" t="s">
        <v>4460</v>
      </c>
      <c r="H6384" s="12">
        <v>1.9638662696056099</v>
      </c>
      <c r="I6384" s="20">
        <v>0.33027268083156702</v>
      </c>
      <c r="J6384" s="28">
        <v>0.74119393338581296</v>
      </c>
      <c r="K6384" s="29">
        <v>0.98289565623980701</v>
      </c>
    </row>
    <row r="6385" spans="1:11" x14ac:dyDescent="0.35">
      <c r="A6385" s="9" t="str">
        <f>HYPERLINK("http://www.ensembl.org/id/WBGene00015244", "WBGene00015244")</f>
        <v>WBGene00015244</v>
      </c>
      <c r="B6385" s="9" t="str">
        <f>HYPERLINK("http://www.ncbi.nlm.nih.gov/gene/175333", "175333")</f>
        <v>175333</v>
      </c>
      <c r="C6385" s="9"/>
      <c r="D6385" t="str">
        <f>"B0524.5"</f>
        <v>B0524.5</v>
      </c>
      <c r="F6385" t="s">
        <v>11</v>
      </c>
      <c r="H6385" s="12">
        <v>-1.8661229562413499</v>
      </c>
      <c r="I6385" s="20">
        <v>-0.47432663632914901</v>
      </c>
      <c r="J6385" s="28">
        <v>0.63526699990042901</v>
      </c>
      <c r="K6385" s="29">
        <v>0.98289565623980701</v>
      </c>
    </row>
    <row r="6386" spans="1:11" x14ac:dyDescent="0.35">
      <c r="A6386" s="9" t="str">
        <f>HYPERLINK("http://www.ensembl.org/id/WBGene00015250", "WBGene00015250")</f>
        <v>WBGene00015250</v>
      </c>
      <c r="B6386" s="9" t="str">
        <f>HYPERLINK("http://www.ncbi.nlm.nih.gov/gene/182030", "182030")</f>
        <v>182030</v>
      </c>
      <c r="C6386" s="9"/>
      <c r="D6386" t="str">
        <f>"B0546.3"</f>
        <v>B0546.3</v>
      </c>
      <c r="F6386" t="s">
        <v>11</v>
      </c>
      <c r="G6386" t="s">
        <v>6939</v>
      </c>
      <c r="H6386" s="12">
        <v>-1.16870420907961</v>
      </c>
      <c r="I6386" s="20">
        <v>-0.78275951946508604</v>
      </c>
      <c r="J6386" s="28">
        <v>0.433768343130912</v>
      </c>
      <c r="K6386" s="29">
        <v>0.98289565623980701</v>
      </c>
    </row>
    <row r="6387" spans="1:11" x14ac:dyDescent="0.35">
      <c r="A6387" s="9" t="str">
        <f>HYPERLINK("http://www.ensembl.org/id/WBGene00015251", "WBGene00015251")</f>
        <v>WBGene00015251</v>
      </c>
      <c r="B6387" s="9" t="str">
        <f>HYPERLINK("http://www.ncbi.nlm.nih.gov/gene/177105", "177105")</f>
        <v>177105</v>
      </c>
      <c r="C6387" s="9"/>
      <c r="D6387" t="str">
        <f>"B0546.4"</f>
        <v>B0546.4</v>
      </c>
      <c r="E6387" t="s">
        <v>6938</v>
      </c>
      <c r="F6387" t="s">
        <v>11</v>
      </c>
      <c r="G6387" t="s">
        <v>6939</v>
      </c>
      <c r="H6387" s="12">
        <v>-1.0986929000726799</v>
      </c>
      <c r="I6387" s="20">
        <v>-0.50917510414166101</v>
      </c>
      <c r="J6387" s="28">
        <v>0.61062949194842697</v>
      </c>
      <c r="K6387" s="29">
        <v>0.98289565623980701</v>
      </c>
    </row>
    <row r="6388" spans="1:11" x14ac:dyDescent="0.35">
      <c r="A6388" s="9" t="str">
        <f>HYPERLINK("http://www.ensembl.org/id/WBGene00015252", "WBGene00015252")</f>
        <v>WBGene00015252</v>
      </c>
      <c r="B6388" s="9" t="str">
        <f>HYPERLINK("http://www.ncbi.nlm.nih.gov/gene/182031", "182031")</f>
        <v>182031</v>
      </c>
      <c r="C6388" s="9"/>
      <c r="D6388" t="str">
        <f>"B0546.5"</f>
        <v>B0546.5</v>
      </c>
      <c r="F6388" t="s">
        <v>11</v>
      </c>
      <c r="G6388" t="s">
        <v>25</v>
      </c>
      <c r="H6388" s="12">
        <v>-2.06772863653257</v>
      </c>
      <c r="I6388" s="20">
        <v>-0.29103030812764402</v>
      </c>
      <c r="J6388" s="28">
        <v>0.77102813974298501</v>
      </c>
      <c r="K6388" s="29">
        <v>0.98289565623980701</v>
      </c>
    </row>
    <row r="6389" spans="1:11" x14ac:dyDescent="0.35">
      <c r="A6389" s="9" t="str">
        <f>HYPERLINK("http://www.ensembl.org/id/WBGene00015255", "WBGene00015255")</f>
        <v>WBGene00015255</v>
      </c>
      <c r="B6389" s="9" t="str">
        <f>HYPERLINK("http://www.ncbi.nlm.nih.gov/gene/182033", "182033")</f>
        <v>182033</v>
      </c>
      <c r="C6389" s="9"/>
      <c r="D6389" t="str">
        <f>"B0554.2"</f>
        <v>B0554.2</v>
      </c>
      <c r="F6389" t="s">
        <v>11</v>
      </c>
      <c r="H6389" s="12">
        <v>5.4058944669092801</v>
      </c>
      <c r="I6389" s="20">
        <v>0.49762513753689303</v>
      </c>
      <c r="J6389" s="28">
        <v>0.61874828254921799</v>
      </c>
      <c r="K6389" s="29">
        <v>0.98289565623980701</v>
      </c>
    </row>
    <row r="6390" spans="1:11" x14ac:dyDescent="0.35">
      <c r="A6390" s="9" t="str">
        <f>HYPERLINK("http://www.ensembl.org/id/WBGene00015257", "WBGene00015257")</f>
        <v>WBGene00015257</v>
      </c>
      <c r="B6390" s="9" t="str">
        <f>HYPERLINK("http://www.ncbi.nlm.nih.gov/gene/182035", "182035")</f>
        <v>182035</v>
      </c>
      <c r="C6390" s="9"/>
      <c r="D6390" t="str">
        <f>"B0554.4"</f>
        <v>B0554.4</v>
      </c>
      <c r="F6390" t="s">
        <v>11</v>
      </c>
      <c r="H6390" s="12">
        <v>2.7019802691837902</v>
      </c>
      <c r="I6390" s="20">
        <v>0.48147123197000302</v>
      </c>
      <c r="J6390" s="28">
        <v>0.63018162106616704</v>
      </c>
      <c r="K6390" s="29">
        <v>0.98289565623980701</v>
      </c>
    </row>
    <row r="6391" spans="1:11" x14ac:dyDescent="0.35">
      <c r="A6391" s="9" t="str">
        <f>HYPERLINK("http://www.ensembl.org/id/WBGene00015261", "WBGene00015261")</f>
        <v>WBGene00015261</v>
      </c>
      <c r="B6391" s="9" t="str">
        <f>HYPERLINK("http://www.ncbi.nlm.nih.gov/gene/182038", "182038")</f>
        <v>182038</v>
      </c>
      <c r="C6391" s="9"/>
      <c r="D6391" t="str">
        <f>"B0563.1"</f>
        <v>B0563.1</v>
      </c>
      <c r="F6391" t="s">
        <v>11</v>
      </c>
      <c r="H6391" s="12">
        <v>-1.23924888491671</v>
      </c>
      <c r="I6391" s="20">
        <v>-0.31011376199183299</v>
      </c>
      <c r="J6391" s="28">
        <v>0.75647444726665303</v>
      </c>
      <c r="K6391" s="29">
        <v>0.98289565623980701</v>
      </c>
    </row>
    <row r="6392" spans="1:11" x14ac:dyDescent="0.35">
      <c r="A6392" s="9" t="str">
        <f>HYPERLINK("http://www.ensembl.org/id/WBGene00015264", "WBGene00015264")</f>
        <v>WBGene00015264</v>
      </c>
      <c r="B6392" s="9" t="str">
        <f>HYPERLINK("http://www.ncbi.nlm.nih.gov/gene/182041", "182041")</f>
        <v>182041</v>
      </c>
      <c r="C6392" s="9"/>
      <c r="D6392" t="str">
        <f>"B0563.7"</f>
        <v>B0563.7</v>
      </c>
      <c r="E6392" t="s">
        <v>9899</v>
      </c>
      <c r="F6392" t="s">
        <v>11</v>
      </c>
      <c r="G6392" t="s">
        <v>3040</v>
      </c>
      <c r="H6392" s="12">
        <v>-1.35714313766756</v>
      </c>
      <c r="I6392" s="20">
        <v>-1.19647836801218</v>
      </c>
      <c r="J6392" s="28">
        <v>0.23150993525761801</v>
      </c>
      <c r="K6392" s="29">
        <v>0.98289565623980701</v>
      </c>
    </row>
    <row r="6393" spans="1:11" x14ac:dyDescent="0.35">
      <c r="A6393" s="9" t="str">
        <f>HYPERLINK("http://www.ensembl.org/id/WBGene00015265", "WBGene00015265")</f>
        <v>WBGene00015265</v>
      </c>
      <c r="B6393" s="9" t="str">
        <f>HYPERLINK("http://www.ncbi.nlm.nih.gov/gene/182042", "182042")</f>
        <v>182042</v>
      </c>
      <c r="C6393" s="9"/>
      <c r="D6393" t="str">
        <f>"B0563.8"</f>
        <v>B0563.8</v>
      </c>
      <c r="F6393" t="s">
        <v>11</v>
      </c>
      <c r="H6393" s="12">
        <v>-2.0191017254418702</v>
      </c>
      <c r="I6393" s="20">
        <v>-0.68749141715240503</v>
      </c>
      <c r="J6393" s="28">
        <v>0.49177310751617598</v>
      </c>
      <c r="K6393" s="29">
        <v>0.98289565623980701</v>
      </c>
    </row>
    <row r="6394" spans="1:11" x14ac:dyDescent="0.35">
      <c r="A6394" s="9" t="str">
        <f>HYPERLINK("http://www.ensembl.org/id/WBGene00044687", "WBGene00044687")</f>
        <v>WBGene00044687</v>
      </c>
      <c r="B6394" s="9" t="str">
        <f>HYPERLINK("http://www.ncbi.nlm.nih.gov/gene/4363127", "4363127")</f>
        <v>4363127</v>
      </c>
      <c r="C6394" s="9"/>
      <c r="D6394" t="str">
        <f>"B0563.9"</f>
        <v>B0563.9</v>
      </c>
      <c r="F6394" t="s">
        <v>11</v>
      </c>
      <c r="H6394" s="12">
        <v>-2.3887119947472999</v>
      </c>
      <c r="I6394" s="20">
        <v>-0.42822747230425001</v>
      </c>
      <c r="J6394" s="28">
        <v>0.66848551687631397</v>
      </c>
      <c r="K6394" s="29">
        <v>0.98289565623980701</v>
      </c>
    </row>
    <row r="6395" spans="1:11" x14ac:dyDescent="0.35">
      <c r="A6395" s="9" t="str">
        <f>HYPERLINK("http://www.ensembl.org/id/WBGene00007206", "WBGene00007206")</f>
        <v>WBGene00007206</v>
      </c>
      <c r="B6395" s="9" t="str">
        <f>HYPERLINK("http://www.ncbi.nlm.nih.gov/gene/182046", "182046")</f>
        <v>182046</v>
      </c>
      <c r="C6395" s="9"/>
      <c r="D6395" t="str">
        <f>"B0564.6"</f>
        <v>B0564.6</v>
      </c>
      <c r="F6395" t="s">
        <v>11</v>
      </c>
      <c r="G6395" t="s">
        <v>10097</v>
      </c>
      <c r="H6395" s="12">
        <v>-5.8112743568295402</v>
      </c>
      <c r="I6395" s="20">
        <v>-0.65308305132984301</v>
      </c>
      <c r="J6395" s="28">
        <v>0.51370273815078205</v>
      </c>
      <c r="K6395" s="29">
        <v>0.98289565623980701</v>
      </c>
    </row>
    <row r="6396" spans="1:11" x14ac:dyDescent="0.35">
      <c r="A6396" s="9" t="str">
        <f>HYPERLINK("http://www.ensembl.org/id/WBGene00007208", "WBGene00007208")</f>
        <v>WBGene00007208</v>
      </c>
      <c r="B6396" s="9" t="str">
        <f>HYPERLINK("http://www.ncbi.nlm.nih.gov/gene/178266", "178266")</f>
        <v>178266</v>
      </c>
      <c r="C6396" s="9"/>
      <c r="D6396" t="str">
        <f>"B0564.9"</f>
        <v>B0564.9</v>
      </c>
      <c r="F6396" t="s">
        <v>11</v>
      </c>
      <c r="G6396" t="s">
        <v>10097</v>
      </c>
      <c r="H6396" s="12">
        <v>-3.5505133547207399</v>
      </c>
      <c r="I6396" s="20">
        <v>-0.38567206318137798</v>
      </c>
      <c r="J6396" s="28">
        <v>0.69973955545800504</v>
      </c>
      <c r="K6396" s="29">
        <v>0.98289565623980701</v>
      </c>
    </row>
    <row r="6397" spans="1:11" x14ac:dyDescent="0.35">
      <c r="A6397" s="9" t="str">
        <f>HYPERLINK("http://www.ensembl.org/id/WBGene00000235", "WBGene00000235")</f>
        <v>WBGene00000235</v>
      </c>
      <c r="B6397" s="9" t="str">
        <f>HYPERLINK("http://www.ncbi.nlm.nih.gov/gene/176330", "176330")</f>
        <v>176330</v>
      </c>
      <c r="C6397" s="9" t="str">
        <f>HYPERLINK("http://www.ncbi.nlm.nih.gov/gene/8815", "8815")</f>
        <v>8815</v>
      </c>
      <c r="D6397" t="str">
        <f>"baf-1"</f>
        <v>baf-1</v>
      </c>
      <c r="E6397" t="s">
        <v>8071</v>
      </c>
      <c r="F6397" t="s">
        <v>11</v>
      </c>
      <c r="G6397" t="s">
        <v>350</v>
      </c>
      <c r="H6397" s="12">
        <v>-1.1594309765436199</v>
      </c>
      <c r="I6397" s="20">
        <v>-0.73161648373576904</v>
      </c>
      <c r="J6397" s="28">
        <v>0.46440268431305898</v>
      </c>
      <c r="K6397" s="29">
        <v>0.98289565623980701</v>
      </c>
    </row>
    <row r="6398" spans="1:11" x14ac:dyDescent="0.35">
      <c r="A6398" s="9" t="str">
        <f>HYPERLINK("http://www.ensembl.org/id/WBGene00000236", "WBGene00000236")</f>
        <v>WBGene00000236</v>
      </c>
      <c r="B6398" s="9" t="str">
        <f>HYPERLINK("http://www.ncbi.nlm.nih.gov/gene/172373", "172373")</f>
        <v>172373</v>
      </c>
      <c r="C6398" s="9"/>
      <c r="D6398" t="str">
        <f>"bag-1"</f>
        <v>bag-1</v>
      </c>
      <c r="E6398" t="s">
        <v>8467</v>
      </c>
      <c r="F6398" t="s">
        <v>11</v>
      </c>
      <c r="G6398" t="s">
        <v>8468</v>
      </c>
      <c r="H6398" s="12">
        <v>-1.17936181369963</v>
      </c>
      <c r="I6398" s="20">
        <v>-0.79711740966900702</v>
      </c>
      <c r="J6398" s="28">
        <v>0.42538284618238698</v>
      </c>
      <c r="K6398" s="29">
        <v>0.98289565623980701</v>
      </c>
    </row>
    <row r="6399" spans="1:11" x14ac:dyDescent="0.35">
      <c r="A6399" s="9" t="str">
        <f>HYPERLINK("http://www.ensembl.org/id/WBGene00000237", "WBGene00000237")</f>
        <v>WBGene00000237</v>
      </c>
      <c r="B6399" s="9" t="str">
        <f>HYPERLINK("http://www.ncbi.nlm.nih.gov/gene/171868", "171868")</f>
        <v>171868</v>
      </c>
      <c r="C6399" s="9"/>
      <c r="D6399" t="str">
        <f>"bam-2"</f>
        <v>bam-2</v>
      </c>
      <c r="E6399" t="s">
        <v>5464</v>
      </c>
      <c r="F6399" t="s">
        <v>11</v>
      </c>
      <c r="G6399" t="s">
        <v>5465</v>
      </c>
      <c r="H6399" s="12">
        <v>1.1609648204229499</v>
      </c>
      <c r="I6399" s="20">
        <v>0.77354652649613698</v>
      </c>
      <c r="J6399" s="28">
        <v>0.43919900466280098</v>
      </c>
      <c r="K6399" s="29">
        <v>0.98289565623980701</v>
      </c>
    </row>
    <row r="6400" spans="1:11" x14ac:dyDescent="0.35">
      <c r="A6400" s="9" t="str">
        <f>HYPERLINK("http://www.ensembl.org/id/WBGene00015467", "WBGene00015467")</f>
        <v>WBGene00015467</v>
      </c>
      <c r="B6400" s="9" t="str">
        <f>HYPERLINK("http://www.ncbi.nlm.nih.gov/gene/175779", "175779")</f>
        <v>175779</v>
      </c>
      <c r="C6400" s="9"/>
      <c r="D6400" t="str">
        <f>"basl-1"</f>
        <v>basl-1</v>
      </c>
      <c r="E6400" t="s">
        <v>10086</v>
      </c>
      <c r="F6400" t="s">
        <v>11</v>
      </c>
      <c r="G6400" t="s">
        <v>10087</v>
      </c>
      <c r="H6400" s="12">
        <v>-3.2508291326741898</v>
      </c>
      <c r="I6400" s="20">
        <v>-0.73586173722591097</v>
      </c>
      <c r="J6400" s="28">
        <v>0.46181484498167702</v>
      </c>
      <c r="K6400" s="29">
        <v>0.98289565623980701</v>
      </c>
    </row>
    <row r="6401" spans="1:11" x14ac:dyDescent="0.35">
      <c r="A6401" s="9" t="str">
        <f>HYPERLINK("http://www.ensembl.org/id/WBGene00017392", "WBGene00017392")</f>
        <v>WBGene00017392</v>
      </c>
      <c r="B6401" s="9"/>
      <c r="C6401" s="9"/>
      <c r="D6401" t="str">
        <f>"basl-2"</f>
        <v>basl-2</v>
      </c>
      <c r="F6401" t="s">
        <v>80</v>
      </c>
      <c r="H6401" s="12">
        <v>4.6387698961716399</v>
      </c>
      <c r="I6401" s="20">
        <v>0.44985450087338802</v>
      </c>
      <c r="J6401" s="28">
        <v>0.65281535672642099</v>
      </c>
      <c r="K6401" s="29">
        <v>0.98289565623980701</v>
      </c>
    </row>
    <row r="6402" spans="1:11" x14ac:dyDescent="0.35">
      <c r="A6402" s="9" t="str">
        <f>HYPERLINK("http://www.ensembl.org/id/WBGene00019131", "WBGene00019131")</f>
        <v>WBGene00019131</v>
      </c>
      <c r="B6402" s="9"/>
      <c r="C6402" s="9"/>
      <c r="D6402" t="str">
        <f>"bath-12"</f>
        <v>bath-12</v>
      </c>
      <c r="F6402" t="s">
        <v>80</v>
      </c>
      <c r="H6402" s="12">
        <v>1.4997318953888401</v>
      </c>
      <c r="I6402" s="20">
        <v>0.427345410528577</v>
      </c>
      <c r="J6402" s="28">
        <v>0.669127762033221</v>
      </c>
      <c r="K6402" s="29">
        <v>0.98289565623980701</v>
      </c>
    </row>
    <row r="6403" spans="1:11" x14ac:dyDescent="0.35">
      <c r="A6403" s="9" t="str">
        <f>HYPERLINK("http://www.ensembl.org/id/WBGene00015016", "WBGene00015016")</f>
        <v>WBGene00015016</v>
      </c>
      <c r="B6403" s="9"/>
      <c r="C6403" s="9"/>
      <c r="D6403" t="str">
        <f>"bath-14"</f>
        <v>bath-14</v>
      </c>
      <c r="F6403" t="s">
        <v>80</v>
      </c>
      <c r="H6403" s="12">
        <v>-1.3816052589558301</v>
      </c>
      <c r="I6403" s="20">
        <v>-0.31516377666338802</v>
      </c>
      <c r="J6403" s="28">
        <v>0.75263730711444099</v>
      </c>
      <c r="K6403" s="29">
        <v>0.98289565623980701</v>
      </c>
    </row>
    <row r="6404" spans="1:11" x14ac:dyDescent="0.35">
      <c r="A6404" s="9" t="str">
        <f>HYPERLINK("http://www.ensembl.org/id/WBGene00018224", "WBGene00018224")</f>
        <v>WBGene00018224</v>
      </c>
      <c r="B6404" s="9"/>
      <c r="C6404" s="9"/>
      <c r="D6404" t="str">
        <f>"bath-18"</f>
        <v>bath-18</v>
      </c>
      <c r="F6404" t="s">
        <v>80</v>
      </c>
      <c r="H6404" s="12">
        <v>-6.2102229019083799</v>
      </c>
      <c r="I6404" s="20">
        <v>-0.67619676343489199</v>
      </c>
      <c r="J6404" s="28">
        <v>0.49891572720914601</v>
      </c>
      <c r="K6404" s="29">
        <v>0.98289565623980701</v>
      </c>
    </row>
    <row r="6405" spans="1:11" x14ac:dyDescent="0.35">
      <c r="A6405" s="9" t="str">
        <f>HYPERLINK("http://www.ensembl.org/id/WBGene00019132", "WBGene00019132")</f>
        <v>WBGene00019132</v>
      </c>
      <c r="B6405" s="9" t="str">
        <f>HYPERLINK("http://www.ncbi.nlm.nih.gov/gene/186640", "186640")</f>
        <v>186640</v>
      </c>
      <c r="C6405" s="9"/>
      <c r="D6405" t="str">
        <f>"bath-19"</f>
        <v>bath-19</v>
      </c>
      <c r="E6405" t="s">
        <v>179</v>
      </c>
      <c r="F6405" t="s">
        <v>11</v>
      </c>
      <c r="G6405" t="s">
        <v>54</v>
      </c>
      <c r="H6405" s="12">
        <v>-1.44000716672533</v>
      </c>
      <c r="I6405" s="20">
        <v>-0.587485731981225</v>
      </c>
      <c r="J6405" s="28">
        <v>0.55687753024959397</v>
      </c>
      <c r="K6405" s="29">
        <v>0.98289565623980701</v>
      </c>
    </row>
    <row r="6406" spans="1:11" x14ac:dyDescent="0.35">
      <c r="A6406" s="9" t="str">
        <f>HYPERLINK("http://www.ensembl.org/id/WBGene00015012", "WBGene00015012")</f>
        <v>WBGene00015012</v>
      </c>
      <c r="B6406" s="9" t="str">
        <f>HYPERLINK("http://www.ncbi.nlm.nih.gov/gene/181824", "181824")</f>
        <v>181824</v>
      </c>
      <c r="C6406" s="9"/>
      <c r="D6406" t="str">
        <f>"bath-20"</f>
        <v>bath-20</v>
      </c>
      <c r="E6406" t="s">
        <v>179</v>
      </c>
      <c r="F6406" t="s">
        <v>11</v>
      </c>
      <c r="G6406" t="s">
        <v>54</v>
      </c>
      <c r="H6406" s="12">
        <v>-4.12601774356372</v>
      </c>
      <c r="I6406" s="20">
        <v>-0.84605680787550397</v>
      </c>
      <c r="J6406" s="28">
        <v>0.39752105425864598</v>
      </c>
      <c r="K6406" s="29">
        <v>0.98289565623980701</v>
      </c>
    </row>
    <row r="6407" spans="1:11" x14ac:dyDescent="0.35">
      <c r="A6407" s="9" t="str">
        <f>HYPERLINK("http://www.ensembl.org/id/WBGene00019138", "WBGene00019138")</f>
        <v>WBGene00019138</v>
      </c>
      <c r="B6407" s="9" t="str">
        <f>HYPERLINK("http://www.ncbi.nlm.nih.gov/gene/186647", "186647")</f>
        <v>186647</v>
      </c>
      <c r="C6407" s="9"/>
      <c r="D6407" t="str">
        <f>"bath-21"</f>
        <v>bath-21</v>
      </c>
      <c r="E6407" t="s">
        <v>179</v>
      </c>
      <c r="F6407" t="s">
        <v>11</v>
      </c>
      <c r="G6407" t="s">
        <v>54</v>
      </c>
      <c r="H6407" s="12">
        <v>-2.2348687078342699</v>
      </c>
      <c r="I6407" s="20">
        <v>-1.17222543290071</v>
      </c>
      <c r="J6407" s="28">
        <v>0.24110656002133801</v>
      </c>
      <c r="K6407" s="29">
        <v>0.98289565623980701</v>
      </c>
    </row>
    <row r="6408" spans="1:11" x14ac:dyDescent="0.35">
      <c r="A6408" s="9" t="str">
        <f>HYPERLINK("http://www.ensembl.org/id/WBGene00018658", "WBGene00018658")</f>
        <v>WBGene00018658</v>
      </c>
      <c r="B6408" s="9"/>
      <c r="C6408" s="9"/>
      <c r="D6408" t="str">
        <f>"bath-22"</f>
        <v>bath-22</v>
      </c>
      <c r="F6408" t="s">
        <v>80</v>
      </c>
      <c r="H6408" s="12">
        <v>-3.1267498874894599</v>
      </c>
      <c r="I6408" s="20">
        <v>-1.0701043477193199</v>
      </c>
      <c r="J6408" s="28">
        <v>0.28457234235204398</v>
      </c>
      <c r="K6408" s="29">
        <v>0.98289565623980701</v>
      </c>
    </row>
    <row r="6409" spans="1:11" x14ac:dyDescent="0.35">
      <c r="A6409" s="9" t="str">
        <f>HYPERLINK("http://www.ensembl.org/id/WBGene00021727", "WBGene00021727")</f>
        <v>WBGene00021727</v>
      </c>
      <c r="B6409" s="9" t="str">
        <f>HYPERLINK("http://www.ncbi.nlm.nih.gov/gene/190086", "190086")</f>
        <v>190086</v>
      </c>
      <c r="C6409" s="9"/>
      <c r="D6409" t="str">
        <f>"bath-23"</f>
        <v>bath-23</v>
      </c>
      <c r="E6409" t="s">
        <v>179</v>
      </c>
      <c r="F6409" t="s">
        <v>11</v>
      </c>
      <c r="G6409" t="s">
        <v>54</v>
      </c>
      <c r="H6409" s="12">
        <v>4.0998653705833101</v>
      </c>
      <c r="I6409" s="20">
        <v>0.55306364318332502</v>
      </c>
      <c r="J6409" s="28">
        <v>0.58021983102034203</v>
      </c>
      <c r="K6409" s="29">
        <v>0.98289565623980701</v>
      </c>
    </row>
    <row r="6410" spans="1:11" x14ac:dyDescent="0.35">
      <c r="A6410" s="9" t="str">
        <f>HYPERLINK("http://www.ensembl.org/id/WBGene00017405", "WBGene00017405")</f>
        <v>WBGene00017405</v>
      </c>
      <c r="B6410" s="9" t="str">
        <f>HYPERLINK("http://www.ncbi.nlm.nih.gov/gene/173717", "173717")</f>
        <v>173717</v>
      </c>
      <c r="C6410" s="9"/>
      <c r="D6410" t="str">
        <f>"bath-31"</f>
        <v>bath-31</v>
      </c>
      <c r="E6410" t="s">
        <v>179</v>
      </c>
      <c r="F6410" t="s">
        <v>11</v>
      </c>
      <c r="G6410" t="s">
        <v>54</v>
      </c>
      <c r="H6410" s="12">
        <v>-1.3921263177513199</v>
      </c>
      <c r="I6410" s="20">
        <v>-0.64593840418692094</v>
      </c>
      <c r="J6410" s="28">
        <v>0.51831924695782094</v>
      </c>
      <c r="K6410" s="29">
        <v>0.98289565623980701</v>
      </c>
    </row>
    <row r="6411" spans="1:11" x14ac:dyDescent="0.35">
      <c r="A6411" s="9" t="str">
        <f>HYPERLINK("http://www.ensembl.org/id/WBGene00015595", "WBGene00015595")</f>
        <v>WBGene00015595</v>
      </c>
      <c r="B6411" s="9" t="str">
        <f>HYPERLINK("http://www.ncbi.nlm.nih.gov/gene/173533", "173533")</f>
        <v>173533</v>
      </c>
      <c r="C6411" s="9"/>
      <c r="D6411" t="str">
        <f>"bath-33"</f>
        <v>bath-33</v>
      </c>
      <c r="E6411" t="s">
        <v>179</v>
      </c>
      <c r="F6411" t="s">
        <v>11</v>
      </c>
      <c r="G6411" t="s">
        <v>54</v>
      </c>
      <c r="H6411" s="12">
        <v>-2.64578188586025</v>
      </c>
      <c r="I6411" s="20">
        <v>-0.86714135002690196</v>
      </c>
      <c r="J6411" s="28">
        <v>0.38586456669803099</v>
      </c>
      <c r="K6411" s="29">
        <v>0.98289565623980701</v>
      </c>
    </row>
    <row r="6412" spans="1:11" x14ac:dyDescent="0.35">
      <c r="A6412" s="9" t="str">
        <f>HYPERLINK("http://www.ensembl.org/id/WBGene00013569", "WBGene00013569")</f>
        <v>WBGene00013569</v>
      </c>
      <c r="B6412" s="9" t="str">
        <f>HYPERLINK("http://www.ncbi.nlm.nih.gov/gene/190718", "190718")</f>
        <v>190718</v>
      </c>
      <c r="C6412" s="9"/>
      <c r="D6412" t="str">
        <f>"bath-36"</f>
        <v>bath-36</v>
      </c>
      <c r="E6412" t="s">
        <v>10001</v>
      </c>
      <c r="F6412" t="s">
        <v>11</v>
      </c>
      <c r="G6412" t="s">
        <v>54</v>
      </c>
      <c r="H6412" s="12">
        <v>-1.6289827798264001</v>
      </c>
      <c r="I6412" s="20">
        <v>-0.97973412121616699</v>
      </c>
      <c r="J6412" s="28">
        <v>0.32721737856809702</v>
      </c>
      <c r="K6412" s="29">
        <v>0.98289565623980701</v>
      </c>
    </row>
    <row r="6413" spans="1:11" x14ac:dyDescent="0.35">
      <c r="A6413" s="9" t="str">
        <f>HYPERLINK("http://www.ensembl.org/id/WBGene00010669", "WBGene00010669")</f>
        <v>WBGene00010669</v>
      </c>
      <c r="B6413" s="9" t="str">
        <f>HYPERLINK("http://www.ncbi.nlm.nih.gov/gene/187161", "187161")</f>
        <v>187161</v>
      </c>
      <c r="C6413" s="9"/>
      <c r="D6413" t="str">
        <f>"bath-37"</f>
        <v>bath-37</v>
      </c>
      <c r="E6413" t="s">
        <v>179</v>
      </c>
      <c r="F6413" t="s">
        <v>11</v>
      </c>
      <c r="G6413" t="s">
        <v>25</v>
      </c>
      <c r="H6413" s="12">
        <v>1.56794176594686</v>
      </c>
      <c r="I6413" s="20">
        <v>0.65881357093539406</v>
      </c>
      <c r="J6413" s="28">
        <v>0.51001549161747495</v>
      </c>
      <c r="K6413" s="29">
        <v>0.98289565623980701</v>
      </c>
    </row>
    <row r="6414" spans="1:11" x14ac:dyDescent="0.35">
      <c r="A6414" s="9" t="str">
        <f>HYPERLINK("http://www.ensembl.org/id/WBGene00009137", "WBGene00009137")</f>
        <v>WBGene00009137</v>
      </c>
      <c r="B6414" s="9" t="str">
        <f>HYPERLINK("http://www.ncbi.nlm.nih.gov/gene/179827", "179827")</f>
        <v>179827</v>
      </c>
      <c r="C6414" s="9"/>
      <c r="D6414" t="str">
        <f>"bath-39"</f>
        <v>bath-39</v>
      </c>
      <c r="E6414" t="s">
        <v>9194</v>
      </c>
      <c r="F6414" t="s">
        <v>11</v>
      </c>
      <c r="G6414" t="s">
        <v>54</v>
      </c>
      <c r="H6414" s="12">
        <v>-1.2272745303863699</v>
      </c>
      <c r="I6414" s="20">
        <v>-0.81772057486650296</v>
      </c>
      <c r="J6414" s="28">
        <v>0.413516759289211</v>
      </c>
      <c r="K6414" s="29">
        <v>0.98289565623980701</v>
      </c>
    </row>
    <row r="6415" spans="1:11" x14ac:dyDescent="0.35">
      <c r="A6415" s="9" t="str">
        <f>HYPERLINK("http://www.ensembl.org/id/WBGene00018665", "WBGene00018665")</f>
        <v>WBGene00018665</v>
      </c>
      <c r="B6415" s="9" t="str">
        <f>HYPERLINK("http://www.ncbi.nlm.nih.gov/gene/186090", "186090")</f>
        <v>186090</v>
      </c>
      <c r="C6415" s="9"/>
      <c r="D6415" t="str">
        <f>"bath-4"</f>
        <v>bath-4</v>
      </c>
      <c r="E6415" t="s">
        <v>179</v>
      </c>
      <c r="F6415" t="s">
        <v>11</v>
      </c>
      <c r="G6415" t="s">
        <v>54</v>
      </c>
      <c r="H6415" s="12">
        <v>-1.53679583236466</v>
      </c>
      <c r="I6415" s="20">
        <v>-1.1191929539183501</v>
      </c>
      <c r="J6415" s="28">
        <v>0.263057830765143</v>
      </c>
      <c r="K6415" s="29">
        <v>0.98289565623980701</v>
      </c>
    </row>
    <row r="6416" spans="1:11" x14ac:dyDescent="0.35">
      <c r="A6416" s="9" t="str">
        <f>HYPERLINK("http://www.ensembl.org/id/WBGene00011815", "WBGene00011815")</f>
        <v>WBGene00011815</v>
      </c>
      <c r="B6416" s="9" t="str">
        <f>HYPERLINK("http://www.ncbi.nlm.nih.gov/gene/176422", "176422")</f>
        <v>176422</v>
      </c>
      <c r="C6416" s="9" t="str">
        <f>HYPERLINK("http://www.ncbi.nlm.nih.gov/gene/8405", "8405")</f>
        <v>8405</v>
      </c>
      <c r="D6416" t="str">
        <f>"bath-43"</f>
        <v>bath-43</v>
      </c>
      <c r="E6416" t="s">
        <v>8163</v>
      </c>
      <c r="F6416" t="s">
        <v>11</v>
      </c>
      <c r="G6416" t="s">
        <v>54</v>
      </c>
      <c r="H6416" s="12">
        <v>-1.1631714111932201</v>
      </c>
      <c r="I6416" s="20">
        <v>-0.81504514916009496</v>
      </c>
      <c r="J6416" s="28">
        <v>0.41504646683326901</v>
      </c>
      <c r="K6416" s="29">
        <v>0.98289565623980701</v>
      </c>
    </row>
    <row r="6417" spans="1:11" x14ac:dyDescent="0.35">
      <c r="A6417" s="9" t="str">
        <f>HYPERLINK("http://www.ensembl.org/id/WBGene00015567", "WBGene00015567")</f>
        <v>WBGene00015567</v>
      </c>
      <c r="B6417" s="9" t="str">
        <f>HYPERLINK("http://www.ncbi.nlm.nih.gov/gene/174210", "174210")</f>
        <v>174210</v>
      </c>
      <c r="C6417" s="9"/>
      <c r="D6417" t="str">
        <f>"bath-44"</f>
        <v>bath-44</v>
      </c>
      <c r="E6417" t="s">
        <v>179</v>
      </c>
      <c r="F6417" t="s">
        <v>11</v>
      </c>
      <c r="G6417" t="s">
        <v>9147</v>
      </c>
      <c r="H6417" s="12">
        <v>-1.22446749789015</v>
      </c>
      <c r="I6417" s="20">
        <v>-1.09975986613873</v>
      </c>
      <c r="J6417" s="28">
        <v>0.27143676308040399</v>
      </c>
      <c r="K6417" s="29">
        <v>0.98289565623980701</v>
      </c>
    </row>
    <row r="6418" spans="1:11" x14ac:dyDescent="0.35">
      <c r="A6418" s="9" t="str">
        <f>HYPERLINK("http://www.ensembl.org/id/WBGene00020325", "WBGene00020325")</f>
        <v>WBGene00020325</v>
      </c>
      <c r="B6418" s="9" t="str">
        <f>HYPERLINK("http://www.ncbi.nlm.nih.gov/gene/188248", "188248")</f>
        <v>188248</v>
      </c>
      <c r="C6418" s="9"/>
      <c r="D6418" t="str">
        <f>"bath-46"</f>
        <v>bath-46</v>
      </c>
      <c r="E6418" t="s">
        <v>179</v>
      </c>
      <c r="F6418" t="s">
        <v>11</v>
      </c>
      <c r="G6418" t="s">
        <v>54</v>
      </c>
      <c r="H6418" s="12">
        <v>-1.4879280982865899</v>
      </c>
      <c r="I6418" s="20">
        <v>-0.85150536242522601</v>
      </c>
      <c r="J6418" s="28">
        <v>0.39448868578225299</v>
      </c>
      <c r="K6418" s="29">
        <v>0.98289565623980701</v>
      </c>
    </row>
    <row r="6419" spans="1:11" x14ac:dyDescent="0.35">
      <c r="A6419" s="9" t="str">
        <f>HYPERLINK("http://www.ensembl.org/id/WBGene00018666", "WBGene00018666")</f>
        <v>WBGene00018666</v>
      </c>
      <c r="B6419" s="9"/>
      <c r="C6419" s="9"/>
      <c r="D6419" t="str">
        <f>"bath-6"</f>
        <v>bath-6</v>
      </c>
      <c r="F6419" t="s">
        <v>80</v>
      </c>
      <c r="H6419" s="12">
        <v>-2.1191788415836998</v>
      </c>
      <c r="I6419" s="20">
        <v>-0.93568558655842604</v>
      </c>
      <c r="J6419" s="28">
        <v>0.34943509382209298</v>
      </c>
      <c r="K6419" s="29">
        <v>0.98289565623980701</v>
      </c>
    </row>
    <row r="6420" spans="1:11" x14ac:dyDescent="0.35">
      <c r="A6420" s="9" t="str">
        <f>HYPERLINK("http://www.ensembl.org/id/WBGene00018667", "WBGene00018667")</f>
        <v>WBGene00018667</v>
      </c>
      <c r="B6420" s="9" t="str">
        <f>HYPERLINK("http://www.ncbi.nlm.nih.gov/gene/186092", "186092")</f>
        <v>186092</v>
      </c>
      <c r="C6420" s="9"/>
      <c r="D6420" t="str">
        <f>"bath-7"</f>
        <v>bath-7</v>
      </c>
      <c r="E6420" t="s">
        <v>179</v>
      </c>
      <c r="F6420" t="s">
        <v>11</v>
      </c>
      <c r="G6420" t="s">
        <v>54</v>
      </c>
      <c r="H6420" s="12">
        <v>-1.7216971807063699</v>
      </c>
      <c r="I6420" s="20">
        <v>-0.82041828777744796</v>
      </c>
      <c r="J6420" s="28">
        <v>0.41197769361859299</v>
      </c>
      <c r="K6420" s="29">
        <v>0.98289565623980701</v>
      </c>
    </row>
    <row r="6421" spans="1:11" x14ac:dyDescent="0.35">
      <c r="A6421" s="9" t="str">
        <f>HYPERLINK("http://www.ensembl.org/id/WBGene00021723", "WBGene00021723")</f>
        <v>WBGene00021723</v>
      </c>
      <c r="B6421" s="9"/>
      <c r="C6421" s="9"/>
      <c r="D6421" t="str">
        <f>"bath-8"</f>
        <v>bath-8</v>
      </c>
      <c r="F6421" t="s">
        <v>80</v>
      </c>
      <c r="H6421" s="12">
        <v>-1.7083982259763</v>
      </c>
      <c r="I6421" s="20">
        <v>-0.52919836642059703</v>
      </c>
      <c r="J6421" s="28">
        <v>0.596667849789976</v>
      </c>
      <c r="K6421" s="29">
        <v>0.98289565623980701</v>
      </c>
    </row>
    <row r="6422" spans="1:11" x14ac:dyDescent="0.35">
      <c r="A6422" s="9" t="str">
        <f>HYPERLINK("http://www.ensembl.org/id/WBGene00021725", "WBGene00021725")</f>
        <v>WBGene00021725</v>
      </c>
      <c r="B6422" s="9" t="str">
        <f>HYPERLINK("http://www.ncbi.nlm.nih.gov/gene/173681", "173681")</f>
        <v>173681</v>
      </c>
      <c r="C6422" s="9"/>
      <c r="D6422" t="str">
        <f>"bath-9"</f>
        <v>bath-9</v>
      </c>
      <c r="E6422" t="s">
        <v>179</v>
      </c>
      <c r="F6422" t="s">
        <v>11</v>
      </c>
      <c r="G6422" t="s">
        <v>54</v>
      </c>
      <c r="H6422" s="12">
        <v>1.1427139614856801</v>
      </c>
      <c r="I6422" s="20">
        <v>0.46924791007303301</v>
      </c>
      <c r="J6422" s="28">
        <v>0.63889244363166697</v>
      </c>
      <c r="K6422" s="29">
        <v>0.98289565623980701</v>
      </c>
    </row>
    <row r="6423" spans="1:11" x14ac:dyDescent="0.35">
      <c r="A6423" s="9" t="str">
        <f>HYPERLINK("http://www.ensembl.org/id/WBGene00001470", "WBGene00001470")</f>
        <v>WBGene00001470</v>
      </c>
      <c r="B6423" s="9" t="str">
        <f>HYPERLINK("http://www.ncbi.nlm.nih.gov/gene/176078", "176078")</f>
        <v>176078</v>
      </c>
      <c r="C6423" s="9"/>
      <c r="D6423" t="str">
        <f>"baz-2"</f>
        <v>baz-2</v>
      </c>
      <c r="E6423" t="s">
        <v>5943</v>
      </c>
      <c r="F6423" t="s">
        <v>11</v>
      </c>
      <c r="G6423" t="s">
        <v>5944</v>
      </c>
      <c r="H6423" s="12">
        <v>1.08154016797404</v>
      </c>
      <c r="I6423" s="20">
        <v>0.39146949685127203</v>
      </c>
      <c r="J6423" s="28">
        <v>0.69545023129932604</v>
      </c>
      <c r="K6423" s="29">
        <v>0.98289565623980701</v>
      </c>
    </row>
    <row r="6424" spans="1:11" x14ac:dyDescent="0.35">
      <c r="A6424" s="9" t="str">
        <f>HYPERLINK("http://www.ensembl.org/id/WBGene00000242", "WBGene00000242")</f>
        <v>WBGene00000242</v>
      </c>
      <c r="B6424" s="9" t="str">
        <f>HYPERLINK("http://www.ncbi.nlm.nih.gov/gene/259580", "259580")</f>
        <v>259580</v>
      </c>
      <c r="C6424" s="9" t="str">
        <f>HYPERLINK("http://www.ncbi.nlm.nih.gov/gene/583", "583")</f>
        <v>583</v>
      </c>
      <c r="D6424" t="str">
        <f>"bbs-2"</f>
        <v>bbs-2</v>
      </c>
      <c r="E6424" t="s">
        <v>5341</v>
      </c>
      <c r="F6424" t="s">
        <v>11</v>
      </c>
      <c r="G6424" t="s">
        <v>5342</v>
      </c>
      <c r="H6424" s="12">
        <v>1.1857288012031599</v>
      </c>
      <c r="I6424" s="20">
        <v>0.38958518422621602</v>
      </c>
      <c r="J6424" s="28">
        <v>0.69684330948305695</v>
      </c>
      <c r="K6424" s="29">
        <v>0.98289565623980701</v>
      </c>
    </row>
    <row r="6425" spans="1:11" x14ac:dyDescent="0.35">
      <c r="A6425" s="9" t="str">
        <f>HYPERLINK("http://www.ensembl.org/id/WBGene00043992", "WBGene00043992")</f>
        <v>WBGene00043992</v>
      </c>
      <c r="B6425" s="9" t="str">
        <f>HYPERLINK("http://www.ncbi.nlm.nih.gov/gene/3565681", "3565681")</f>
        <v>3565681</v>
      </c>
      <c r="C6425" s="9" t="str">
        <f>HYPERLINK("http://www.ncbi.nlm.nih.gov/gene/585", "585")</f>
        <v>585</v>
      </c>
      <c r="D6425" t="str">
        <f>"bbs-4"</f>
        <v>bbs-4</v>
      </c>
      <c r="E6425" t="s">
        <v>4677</v>
      </c>
      <c r="F6425" t="s">
        <v>11</v>
      </c>
      <c r="G6425" t="s">
        <v>54</v>
      </c>
      <c r="H6425" s="12">
        <v>1.5084298649391299</v>
      </c>
      <c r="I6425" s="20">
        <v>0.72359617264974996</v>
      </c>
      <c r="J6425" s="28">
        <v>0.469313691799918</v>
      </c>
      <c r="K6425" s="29">
        <v>0.98289565623980701</v>
      </c>
    </row>
    <row r="6426" spans="1:11" x14ac:dyDescent="0.35">
      <c r="A6426" s="9" t="str">
        <f>HYPERLINK("http://www.ensembl.org/id/WBGene00000244", "WBGene00000244")</f>
        <v>WBGene00000244</v>
      </c>
      <c r="B6426" s="9" t="str">
        <f>HYPERLINK("http://www.ncbi.nlm.nih.gov/gene/188904", "188904")</f>
        <v>188904</v>
      </c>
      <c r="C6426" s="9" t="str">
        <f>HYPERLINK("http://www.ncbi.nlm.nih.gov/gene/123016", "123016")</f>
        <v>123016</v>
      </c>
      <c r="D6426" t="str">
        <f>"bbs-8"</f>
        <v>bbs-8</v>
      </c>
      <c r="E6426" t="s">
        <v>4684</v>
      </c>
      <c r="F6426" t="s">
        <v>11</v>
      </c>
      <c r="G6426" t="s">
        <v>4685</v>
      </c>
      <c r="H6426" s="12">
        <v>1.5026991909454099</v>
      </c>
      <c r="I6426" s="20">
        <v>0.94225688038226096</v>
      </c>
      <c r="J6426" s="28">
        <v>0.34606113868306398</v>
      </c>
      <c r="K6426" s="29">
        <v>0.98289565623980701</v>
      </c>
    </row>
    <row r="6427" spans="1:11" x14ac:dyDescent="0.35">
      <c r="A6427" s="9" t="str">
        <f>HYPERLINK("http://www.ensembl.org/id/WBGene00001149", "WBGene00001149")</f>
        <v>WBGene00001149</v>
      </c>
      <c r="B6427" s="9" t="str">
        <f>HYPERLINK("http://www.ncbi.nlm.nih.gov/gene/181423", "181423")</f>
        <v>181423</v>
      </c>
      <c r="C6427" s="9" t="str">
        <f>HYPERLINK("http://www.ncbi.nlm.nih.gov/gene/586", "586")</f>
        <v>586</v>
      </c>
      <c r="D6427" t="str">
        <f>"bcat-1"</f>
        <v>bcat-1</v>
      </c>
      <c r="E6427" t="s">
        <v>6220</v>
      </c>
      <c r="F6427" t="s">
        <v>11</v>
      </c>
      <c r="G6427" t="s">
        <v>6221</v>
      </c>
      <c r="H6427" s="12">
        <v>-1.05439455460719</v>
      </c>
      <c r="I6427" s="20">
        <v>-0.28154444740240903</v>
      </c>
      <c r="J6427" s="28">
        <v>0.77829284204587901</v>
      </c>
      <c r="K6427" s="29">
        <v>0.98289565623980701</v>
      </c>
    </row>
    <row r="6428" spans="1:11" x14ac:dyDescent="0.35">
      <c r="A6428" s="9" t="str">
        <f>HYPERLINK("http://www.ensembl.org/id/WBGene00017430", "WBGene00017430")</f>
        <v>WBGene00017430</v>
      </c>
      <c r="B6428" s="9" t="str">
        <f>HYPERLINK("http://www.ncbi.nlm.nih.gov/gene/179019", "179019")</f>
        <v>179019</v>
      </c>
      <c r="C6428" s="9"/>
      <c r="D6428" t="str">
        <f>"bcl-11"</f>
        <v>bcl-11</v>
      </c>
      <c r="E6428" t="s">
        <v>5571</v>
      </c>
      <c r="F6428" t="s">
        <v>11</v>
      </c>
      <c r="G6428" t="s">
        <v>485</v>
      </c>
      <c r="H6428" s="12">
        <v>1.1442658642643799</v>
      </c>
      <c r="I6428" s="20">
        <v>0.721689708342238</v>
      </c>
      <c r="J6428" s="28">
        <v>0.47048527095496101</v>
      </c>
      <c r="K6428" s="29">
        <v>0.98289565623980701</v>
      </c>
    </row>
    <row r="6429" spans="1:11" x14ac:dyDescent="0.35">
      <c r="A6429" s="9" t="str">
        <f>HYPERLINK("http://www.ensembl.org/id/WBGene00016192", "WBGene00016192")</f>
        <v>WBGene00016192</v>
      </c>
      <c r="B6429" s="9" t="str">
        <f>HYPERLINK("http://www.ncbi.nlm.nih.gov/gene/175838", "175838")</f>
        <v>175838</v>
      </c>
      <c r="C6429" s="9"/>
      <c r="D6429" t="str">
        <f>"bcl-7"</f>
        <v>bcl-7</v>
      </c>
      <c r="E6429" t="s">
        <v>9389</v>
      </c>
      <c r="F6429" t="s">
        <v>11</v>
      </c>
      <c r="H6429" s="12">
        <v>-1.2429836868820201</v>
      </c>
      <c r="I6429" s="20">
        <v>-0.88776017654127604</v>
      </c>
      <c r="J6429" s="28">
        <v>0.37466976857043</v>
      </c>
      <c r="K6429" s="29">
        <v>0.98289565623980701</v>
      </c>
    </row>
    <row r="6430" spans="1:11" x14ac:dyDescent="0.35">
      <c r="A6430" s="9" t="str">
        <f>HYPERLINK("http://www.ensembl.org/id/WBGene00255598", "WBGene00255598")</f>
        <v>WBGene00255598</v>
      </c>
      <c r="B6430" s="9" t="str">
        <f>HYPERLINK("http://www.ncbi.nlm.nih.gov/gene/25502968", "25502968")</f>
        <v>25502968</v>
      </c>
      <c r="C6430" s="9"/>
      <c r="D6430" t="str">
        <f>"BE0003N10.6"</f>
        <v>BE0003N10.6</v>
      </c>
      <c r="F6430" t="s">
        <v>11</v>
      </c>
      <c r="G6430" t="s">
        <v>25</v>
      </c>
      <c r="H6430" s="12">
        <v>-1.4788260837012299</v>
      </c>
      <c r="I6430" s="20">
        <v>-0.365179751614579</v>
      </c>
      <c r="J6430" s="28">
        <v>0.71497723199765995</v>
      </c>
      <c r="K6430" s="29">
        <v>0.98289565623980701</v>
      </c>
    </row>
    <row r="6431" spans="1:11" x14ac:dyDescent="0.35">
      <c r="A6431" s="9" t="str">
        <f>HYPERLINK("http://www.ensembl.org/id/WBGene00023227", "WBGene00023227")</f>
        <v>WBGene00023227</v>
      </c>
      <c r="B6431" s="9"/>
      <c r="C6431" s="9"/>
      <c r="D6431" t="str">
        <f>"BE0003N10.t1"</f>
        <v>BE0003N10.t1</v>
      </c>
      <c r="F6431" t="s">
        <v>80</v>
      </c>
      <c r="H6431" s="12">
        <v>3.5227018545059199</v>
      </c>
      <c r="I6431" s="20">
        <v>0.36849691206929103</v>
      </c>
      <c r="J6431" s="28">
        <v>0.71250274722433404</v>
      </c>
      <c r="K6431" s="29">
        <v>0.98289565623980701</v>
      </c>
    </row>
    <row r="6432" spans="1:11" x14ac:dyDescent="0.35">
      <c r="A6432" s="9" t="str">
        <f>HYPERLINK("http://www.ensembl.org/id/WBGene00007212", "WBGene00007212")</f>
        <v>WBGene00007212</v>
      </c>
      <c r="B6432" s="9" t="str">
        <f>HYPERLINK("http://www.ncbi.nlm.nih.gov/gene/176696", "176696")</f>
        <v>176696</v>
      </c>
      <c r="C6432" s="9"/>
      <c r="D6432" t="str">
        <f>"BE10.4"</f>
        <v>BE10.4</v>
      </c>
      <c r="F6432" t="s">
        <v>11</v>
      </c>
      <c r="H6432" s="12">
        <v>1.83005847056085</v>
      </c>
      <c r="I6432" s="20">
        <v>0.721713245569644</v>
      </c>
      <c r="J6432" s="28">
        <v>0.47047079678832598</v>
      </c>
      <c r="K6432" s="29">
        <v>0.98289565623980701</v>
      </c>
    </row>
    <row r="6433" spans="1:11" x14ac:dyDescent="0.35">
      <c r="A6433" s="9" t="str">
        <f>HYPERLINK("http://www.ensembl.org/id/WBGene00000247", "WBGene00000247")</f>
        <v>WBGene00000247</v>
      </c>
      <c r="B6433" s="9" t="str">
        <f>HYPERLINK("http://www.ncbi.nlm.nih.gov/gene/177345", "177345")</f>
        <v>177345</v>
      </c>
      <c r="C6433" s="9" t="str">
        <f>HYPERLINK("http://www.ncbi.nlm.nih.gov/gene/8678", "8678")</f>
        <v>8678</v>
      </c>
      <c r="D6433" t="str">
        <f>"bec-1"</f>
        <v>bec-1</v>
      </c>
      <c r="E6433" t="s">
        <v>7825</v>
      </c>
      <c r="F6433" t="s">
        <v>11</v>
      </c>
      <c r="G6433" t="s">
        <v>2085</v>
      </c>
      <c r="H6433" s="12">
        <v>-1.1469580855979999</v>
      </c>
      <c r="I6433" s="20">
        <v>-0.71508954110501899</v>
      </c>
      <c r="J6433" s="28">
        <v>0.474553716230247</v>
      </c>
      <c r="K6433" s="29">
        <v>0.98289565623980701</v>
      </c>
    </row>
    <row r="6434" spans="1:11" x14ac:dyDescent="0.35">
      <c r="A6434" s="9" t="str">
        <f>HYPERLINK("http://www.ensembl.org/id/WBGene00012674", "WBGene00012674")</f>
        <v>WBGene00012674</v>
      </c>
      <c r="B6434" s="9" t="str">
        <f>HYPERLINK("http://www.ncbi.nlm.nih.gov/gene/180257", "180257")</f>
        <v>180257</v>
      </c>
      <c r="C6434" s="9"/>
      <c r="D6434" t="str">
        <f>"bed-1"</f>
        <v>bed-1</v>
      </c>
      <c r="E6434" t="s">
        <v>6098</v>
      </c>
      <c r="F6434" t="s">
        <v>11</v>
      </c>
      <c r="G6434" t="s">
        <v>2818</v>
      </c>
      <c r="H6434" s="12">
        <v>1.0610891945188901</v>
      </c>
      <c r="I6434" s="20">
        <v>0.284260113755466</v>
      </c>
      <c r="J6434" s="28">
        <v>0.77621105044058603</v>
      </c>
      <c r="K6434" s="29">
        <v>0.98289565623980701</v>
      </c>
    </row>
    <row r="6435" spans="1:11" x14ac:dyDescent="0.35">
      <c r="A6435" s="9" t="str">
        <f>HYPERLINK("http://www.ensembl.org/id/WBGene00009133", "WBGene00009133")</f>
        <v>WBGene00009133</v>
      </c>
      <c r="B6435" s="9" t="str">
        <f>HYPERLINK("http://www.ncbi.nlm.nih.gov/gene/184940", "184940")</f>
        <v>184940</v>
      </c>
      <c r="C6435" s="9"/>
      <c r="D6435" t="str">
        <f>"bed-3"</f>
        <v>bed-3</v>
      </c>
      <c r="E6435" t="s">
        <v>4955</v>
      </c>
      <c r="F6435" t="s">
        <v>11</v>
      </c>
      <c r="G6435" t="s">
        <v>350</v>
      </c>
      <c r="H6435" s="12">
        <v>1.28332127585603</v>
      </c>
      <c r="I6435" s="20">
        <v>0.52695961986825002</v>
      </c>
      <c r="J6435" s="28">
        <v>0.59822163017512497</v>
      </c>
      <c r="K6435" s="29">
        <v>0.98289565623980701</v>
      </c>
    </row>
    <row r="6436" spans="1:11" x14ac:dyDescent="0.35">
      <c r="A6436" s="9" t="str">
        <f>HYPERLINK("http://www.ensembl.org/id/WBGene00008185", "WBGene00008185")</f>
        <v>WBGene00008185</v>
      </c>
      <c r="B6436" s="9" t="str">
        <f>HYPERLINK("http://www.ncbi.nlm.nih.gov/gene/183586", "183586")</f>
        <v>183586</v>
      </c>
      <c r="C6436" s="9"/>
      <c r="D6436" t="str">
        <f>"best-10"</f>
        <v>best-10</v>
      </c>
      <c r="E6436" t="s">
        <v>1526</v>
      </c>
      <c r="F6436" t="s">
        <v>11</v>
      </c>
      <c r="G6436" t="s">
        <v>1527</v>
      </c>
      <c r="H6436" s="12">
        <v>3.1290601003477301</v>
      </c>
      <c r="I6436" s="20">
        <v>0.65031923736213704</v>
      </c>
      <c r="J6436" s="28">
        <v>0.51548603332016196</v>
      </c>
      <c r="K6436" s="29">
        <v>0.98289565623980701</v>
      </c>
    </row>
    <row r="6437" spans="1:11" x14ac:dyDescent="0.35">
      <c r="A6437" s="9" t="str">
        <f>HYPERLINK("http://www.ensembl.org/id/WBGene00008821", "WBGene00008821")</f>
        <v>WBGene00008821</v>
      </c>
      <c r="B6437" s="9" t="str">
        <f>HYPERLINK("http://www.ncbi.nlm.nih.gov/gene/184489", "184489")</f>
        <v>184489</v>
      </c>
      <c r="C6437" s="9"/>
      <c r="D6437" t="str">
        <f>"best-12"</f>
        <v>best-12</v>
      </c>
      <c r="E6437" t="s">
        <v>4315</v>
      </c>
      <c r="F6437" t="s">
        <v>11</v>
      </c>
      <c r="H6437" s="12">
        <v>3.24921663643067</v>
      </c>
      <c r="I6437" s="20">
        <v>0.37093133971046299</v>
      </c>
      <c r="J6437" s="28">
        <v>0.710688671961756</v>
      </c>
      <c r="K6437" s="29">
        <v>0.98289565623980701</v>
      </c>
    </row>
    <row r="6438" spans="1:11" x14ac:dyDescent="0.35">
      <c r="A6438" s="9" t="str">
        <f>HYPERLINK("http://www.ensembl.org/id/WBGene00011258", "WBGene00011258")</f>
        <v>WBGene00011258</v>
      </c>
      <c r="B6438" s="9" t="str">
        <f>HYPERLINK("http://www.ncbi.nlm.nih.gov/gene/177975", "177975")</f>
        <v>177975</v>
      </c>
      <c r="C6438" s="9"/>
      <c r="D6438" t="str">
        <f>"best-15"</f>
        <v>best-15</v>
      </c>
      <c r="E6438" t="s">
        <v>5346</v>
      </c>
      <c r="F6438" t="s">
        <v>11</v>
      </c>
      <c r="H6438" s="12">
        <v>1.18527000305431</v>
      </c>
      <c r="I6438" s="20">
        <v>0.59944614063161195</v>
      </c>
      <c r="J6438" s="28">
        <v>0.54887541595627098</v>
      </c>
      <c r="K6438" s="29">
        <v>0.98289565623980701</v>
      </c>
    </row>
    <row r="6439" spans="1:11" x14ac:dyDescent="0.35">
      <c r="A6439" s="9" t="str">
        <f>HYPERLINK("http://www.ensembl.org/id/WBGene00011868", "WBGene00011868")</f>
        <v>WBGene00011868</v>
      </c>
      <c r="B6439" s="9" t="str">
        <f>HYPERLINK("http://www.ncbi.nlm.nih.gov/gene/176436", "176436")</f>
        <v>176436</v>
      </c>
      <c r="C6439" s="9"/>
      <c r="D6439" t="str">
        <f>"best-18"</f>
        <v>best-18</v>
      </c>
      <c r="E6439" t="s">
        <v>4920</v>
      </c>
      <c r="F6439" t="s">
        <v>11</v>
      </c>
      <c r="H6439" s="12">
        <v>1.29934641717663</v>
      </c>
      <c r="I6439" s="20">
        <v>0.82161531885095396</v>
      </c>
      <c r="J6439" s="28">
        <v>0.41129586795704098</v>
      </c>
      <c r="K6439" s="29">
        <v>0.98289565623980701</v>
      </c>
    </row>
    <row r="6440" spans="1:11" x14ac:dyDescent="0.35">
      <c r="A6440" s="9" t="str">
        <f>HYPERLINK("http://www.ensembl.org/id/WBGene00013520", "WBGene00013520")</f>
        <v>WBGene00013520</v>
      </c>
      <c r="B6440" s="9" t="str">
        <f>HYPERLINK("http://www.ncbi.nlm.nih.gov/gene/190674", "190674")</f>
        <v>190674</v>
      </c>
      <c r="C6440" s="9"/>
      <c r="D6440" t="str">
        <f>"best-21"</f>
        <v>best-21</v>
      </c>
      <c r="E6440" t="s">
        <v>1526</v>
      </c>
      <c r="F6440" t="s">
        <v>11</v>
      </c>
      <c r="G6440" t="s">
        <v>1527</v>
      </c>
      <c r="H6440" s="12">
        <v>1.54917040788328</v>
      </c>
      <c r="I6440" s="20">
        <v>1.0219204052356701</v>
      </c>
      <c r="J6440" s="28">
        <v>0.30681857386082501</v>
      </c>
      <c r="K6440" s="29">
        <v>0.98289565623980701</v>
      </c>
    </row>
    <row r="6441" spans="1:11" x14ac:dyDescent="0.35">
      <c r="A6441" s="9" t="str">
        <f>HYPERLINK("http://www.ensembl.org/id/WBGene00014989", "WBGene00014989")</f>
        <v>WBGene00014989</v>
      </c>
      <c r="B6441" s="9" t="str">
        <f>HYPERLINK("http://www.ncbi.nlm.nih.gov/gene/6418643", "6418643")</f>
        <v>6418643</v>
      </c>
      <c r="C6441" s="9" t="str">
        <f>HYPERLINK("http://www.ncbi.nlm.nih.gov/gene/54831", "54831")</f>
        <v>54831</v>
      </c>
      <c r="D6441" t="str">
        <f>"best-23"</f>
        <v>best-23</v>
      </c>
      <c r="E6441" t="s">
        <v>1526</v>
      </c>
      <c r="F6441" t="s">
        <v>11</v>
      </c>
      <c r="G6441" t="s">
        <v>1527</v>
      </c>
      <c r="H6441" s="12">
        <v>1.0800778624738601</v>
      </c>
      <c r="I6441" s="20">
        <v>0.27297677336421799</v>
      </c>
      <c r="J6441" s="28">
        <v>0.78487106992135303</v>
      </c>
      <c r="K6441" s="29">
        <v>0.98289565623980701</v>
      </c>
    </row>
    <row r="6442" spans="1:11" x14ac:dyDescent="0.35">
      <c r="A6442" s="9" t="str">
        <f>HYPERLINK("http://www.ensembl.org/id/WBGene00014102", "WBGene00014102")</f>
        <v>WBGene00014102</v>
      </c>
      <c r="B6442" s="9" t="str">
        <f>HYPERLINK("http://www.ncbi.nlm.nih.gov/gene/191437", "191437")</f>
        <v>191437</v>
      </c>
      <c r="C6442" s="9"/>
      <c r="D6442" t="str">
        <f>"best-25"</f>
        <v>best-25</v>
      </c>
      <c r="E6442" t="s">
        <v>4260</v>
      </c>
      <c r="F6442" t="s">
        <v>11</v>
      </c>
      <c r="H6442" s="12">
        <v>5.2633407700080097</v>
      </c>
      <c r="I6442" s="20">
        <v>0.95524053061655401</v>
      </c>
      <c r="J6442" s="28">
        <v>0.33945607364740898</v>
      </c>
      <c r="K6442" s="29">
        <v>0.98289565623980701</v>
      </c>
    </row>
    <row r="6443" spans="1:11" x14ac:dyDescent="0.35">
      <c r="A6443" s="9" t="str">
        <f>HYPERLINK("http://www.ensembl.org/id/WBGene00014103", "WBGene00014103")</f>
        <v>WBGene00014103</v>
      </c>
      <c r="B6443" s="9" t="str">
        <f>HYPERLINK("http://www.ncbi.nlm.nih.gov/gene/173291", "173291")</f>
        <v>173291</v>
      </c>
      <c r="C6443" s="9"/>
      <c r="D6443" t="str">
        <f>"best-26"</f>
        <v>best-26</v>
      </c>
      <c r="E6443" t="s">
        <v>10000</v>
      </c>
      <c r="F6443" t="s">
        <v>11</v>
      </c>
      <c r="H6443" s="12">
        <v>-1.6276983495231401</v>
      </c>
      <c r="I6443" s="20">
        <v>-0.87125574314435905</v>
      </c>
      <c r="J6443" s="28">
        <v>0.38361452947220098</v>
      </c>
      <c r="K6443" s="29">
        <v>0.98289565623980701</v>
      </c>
    </row>
    <row r="6444" spans="1:11" x14ac:dyDescent="0.35">
      <c r="A6444" s="9" t="str">
        <f>HYPERLINK("http://www.ensembl.org/id/WBGene00015286", "WBGene00015286")</f>
        <v>WBGene00015286</v>
      </c>
      <c r="B6444" s="9" t="str">
        <f>HYPERLINK("http://www.ncbi.nlm.nih.gov/gene/173379", "173379")</f>
        <v>173379</v>
      </c>
      <c r="C6444" s="9"/>
      <c r="D6444" t="str">
        <f>"best-3"</f>
        <v>best-3</v>
      </c>
      <c r="E6444" t="s">
        <v>1526</v>
      </c>
      <c r="F6444" t="s">
        <v>11</v>
      </c>
      <c r="G6444" t="s">
        <v>1527</v>
      </c>
      <c r="H6444" s="12">
        <v>-1.1921466981508499</v>
      </c>
      <c r="I6444" s="20">
        <v>-0.77456683792399295</v>
      </c>
      <c r="J6444" s="28">
        <v>0.438595659201233</v>
      </c>
      <c r="K6444" s="29">
        <v>0.98289565623980701</v>
      </c>
    </row>
    <row r="6445" spans="1:11" x14ac:dyDescent="0.35">
      <c r="A6445" s="9" t="str">
        <f>HYPERLINK("http://www.ensembl.org/id/WBGene00015288", "WBGene00015288")</f>
        <v>WBGene00015288</v>
      </c>
      <c r="B6445" s="9" t="str">
        <f>HYPERLINK("http://www.ncbi.nlm.nih.gov/gene/182063", "182063")</f>
        <v>182063</v>
      </c>
      <c r="C6445" s="9"/>
      <c r="D6445" t="str">
        <f>"best-4"</f>
        <v>best-4</v>
      </c>
      <c r="E6445" t="s">
        <v>1526</v>
      </c>
      <c r="F6445" t="s">
        <v>11</v>
      </c>
      <c r="G6445" t="s">
        <v>1527</v>
      </c>
      <c r="H6445" s="12">
        <v>-1.1464094095655599</v>
      </c>
      <c r="I6445" s="20">
        <v>-0.38772988819152898</v>
      </c>
      <c r="J6445" s="28">
        <v>0.69821593515728397</v>
      </c>
      <c r="K6445" s="29">
        <v>0.98289565623980701</v>
      </c>
    </row>
    <row r="6446" spans="1:11" x14ac:dyDescent="0.35">
      <c r="A6446" s="9" t="str">
        <f>HYPERLINK("http://www.ensembl.org/id/WBGene00015628", "WBGene00015628")</f>
        <v>WBGene00015628</v>
      </c>
      <c r="B6446" s="9" t="str">
        <f>HYPERLINK("http://www.ncbi.nlm.nih.gov/gene/177270", "177270")</f>
        <v>177270</v>
      </c>
      <c r="C6446" s="9"/>
      <c r="D6446" t="str">
        <f>"best-6"</f>
        <v>best-6</v>
      </c>
      <c r="E6446" t="s">
        <v>4295</v>
      </c>
      <c r="F6446" t="s">
        <v>11</v>
      </c>
      <c r="H6446" s="12">
        <v>3.6645215954135</v>
      </c>
      <c r="I6446" s="20">
        <v>0.37967131826092498</v>
      </c>
      <c r="J6446" s="28">
        <v>0.70418941338960395</v>
      </c>
      <c r="K6446" s="29">
        <v>0.98289565623980701</v>
      </c>
    </row>
    <row r="6447" spans="1:11" x14ac:dyDescent="0.35">
      <c r="A6447" s="9" t="str">
        <f>HYPERLINK("http://www.ensembl.org/id/WBGene00007988", "WBGene00007988")</f>
        <v>WBGene00007988</v>
      </c>
      <c r="B6447" s="9" t="str">
        <f>HYPERLINK("http://www.ncbi.nlm.nih.gov/gene/173285", "173285")</f>
        <v>173285</v>
      </c>
      <c r="C6447" s="9"/>
      <c r="D6447" t="str">
        <f>"best-8"</f>
        <v>best-8</v>
      </c>
      <c r="E6447" t="s">
        <v>1526</v>
      </c>
      <c r="F6447" t="s">
        <v>11</v>
      </c>
      <c r="G6447" t="s">
        <v>1527</v>
      </c>
      <c r="H6447" s="12">
        <v>-1.0873187174540899</v>
      </c>
      <c r="I6447" s="20">
        <v>-0.41151203079394999</v>
      </c>
      <c r="J6447" s="28">
        <v>0.68069712136496896</v>
      </c>
      <c r="K6447" s="29">
        <v>0.98289565623980701</v>
      </c>
    </row>
    <row r="6448" spans="1:11" x14ac:dyDescent="0.35">
      <c r="A6448" s="9" t="str">
        <f>HYPERLINK("http://www.ensembl.org/id/WBGene00022473", "WBGene00022473")</f>
        <v>WBGene00022473</v>
      </c>
      <c r="B6448" s="9" t="str">
        <f>HYPERLINK("http://www.ncbi.nlm.nih.gov/gene/172054", "172054")</f>
        <v>172054</v>
      </c>
      <c r="C6448" s="9"/>
      <c r="D6448" t="str">
        <f>"bet-1"</f>
        <v>bet-1</v>
      </c>
      <c r="E6448" t="s">
        <v>6459</v>
      </c>
      <c r="F6448" t="s">
        <v>11</v>
      </c>
      <c r="G6448" t="s">
        <v>54</v>
      </c>
      <c r="H6448" s="12">
        <v>-1.07062760330443</v>
      </c>
      <c r="I6448" s="20">
        <v>-0.36257122778357398</v>
      </c>
      <c r="J6448" s="28">
        <v>0.71692520665336701</v>
      </c>
      <c r="K6448" s="29">
        <v>0.98289565623980701</v>
      </c>
    </row>
    <row r="6449" spans="1:11" x14ac:dyDescent="0.35">
      <c r="A6449" s="9" t="str">
        <f>HYPERLINK("http://www.ensembl.org/id/WBGene00017723", "WBGene00017723")</f>
        <v>WBGene00017723</v>
      </c>
      <c r="B6449" s="9" t="str">
        <f>HYPERLINK("http://www.ncbi.nlm.nih.gov/gene/184865", "184865")</f>
        <v>184865</v>
      </c>
      <c r="C6449" s="9"/>
      <c r="D6449" t="str">
        <f>"bgnt-1.2"</f>
        <v>bgnt-1.2</v>
      </c>
      <c r="E6449" t="s">
        <v>4228</v>
      </c>
      <c r="F6449" t="s">
        <v>11</v>
      </c>
      <c r="G6449" t="s">
        <v>4270</v>
      </c>
      <c r="H6449" s="12">
        <v>2.0977520479320999</v>
      </c>
      <c r="I6449" s="20">
        <v>0.65041800469702304</v>
      </c>
      <c r="J6449" s="28">
        <v>0.515422250370558</v>
      </c>
      <c r="K6449" s="29">
        <v>0.98289565623980701</v>
      </c>
    </row>
    <row r="6450" spans="1:11" x14ac:dyDescent="0.35">
      <c r="A6450" s="9" t="str">
        <f>HYPERLINK("http://www.ensembl.org/id/WBGene00015982", "WBGene00015982")</f>
        <v>WBGene00015982</v>
      </c>
      <c r="B6450" s="9" t="str">
        <f>HYPERLINK("http://www.ncbi.nlm.nih.gov/gene/182795", "182795")</f>
        <v>182795</v>
      </c>
      <c r="C6450" s="9"/>
      <c r="D6450" t="str">
        <f>"bgnt-1.4"</f>
        <v>bgnt-1.4</v>
      </c>
      <c r="E6450" t="s">
        <v>4228</v>
      </c>
      <c r="F6450" t="s">
        <v>11</v>
      </c>
      <c r="G6450" t="s">
        <v>4229</v>
      </c>
      <c r="H6450" s="12">
        <v>7.7332001203887399</v>
      </c>
      <c r="I6450" s="20">
        <v>0.82261633065247097</v>
      </c>
      <c r="J6450" s="28">
        <v>0.41072620892744899</v>
      </c>
      <c r="K6450" s="29">
        <v>0.98289565623980701</v>
      </c>
    </row>
    <row r="6451" spans="1:11" x14ac:dyDescent="0.35">
      <c r="A6451" s="9" t="str">
        <f>HYPERLINK("http://www.ensembl.org/id/WBGene00010694", "WBGene00010694")</f>
        <v>WBGene00010694</v>
      </c>
      <c r="B6451" s="9" t="str">
        <f>HYPERLINK("http://www.ncbi.nlm.nih.gov/gene/3565692", "3565692")</f>
        <v>3565692</v>
      </c>
      <c r="C6451" s="9"/>
      <c r="D6451" t="str">
        <f>"bgnt-1.5"</f>
        <v>bgnt-1.5</v>
      </c>
      <c r="E6451" t="s">
        <v>4228</v>
      </c>
      <c r="F6451" t="s">
        <v>11</v>
      </c>
      <c r="G6451" t="s">
        <v>4270</v>
      </c>
      <c r="H6451" s="12">
        <v>2.2644156519930001</v>
      </c>
      <c r="I6451" s="20">
        <v>0.95299386935479302</v>
      </c>
      <c r="J6451" s="28">
        <v>0.34059317692419899</v>
      </c>
      <c r="K6451" s="29">
        <v>0.98289565623980701</v>
      </c>
    </row>
    <row r="6452" spans="1:11" x14ac:dyDescent="0.35">
      <c r="A6452" s="9" t="str">
        <f>HYPERLINK("http://www.ensembl.org/id/WBGene00010167", "WBGene00010167")</f>
        <v>WBGene00010167</v>
      </c>
      <c r="B6452" s="9" t="str">
        <f>HYPERLINK("http://www.ncbi.nlm.nih.gov/gene/186417", "186417")</f>
        <v>186417</v>
      </c>
      <c r="C6452" s="9"/>
      <c r="D6452" t="str">
        <f>"bgnt-1.6"</f>
        <v>bgnt-1.6</v>
      </c>
      <c r="E6452" t="s">
        <v>4228</v>
      </c>
      <c r="F6452" t="s">
        <v>11</v>
      </c>
      <c r="G6452" t="s">
        <v>4270</v>
      </c>
      <c r="H6452" s="12">
        <v>4.6654079932490999</v>
      </c>
      <c r="I6452" s="20">
        <v>0.52614446217109401</v>
      </c>
      <c r="J6452" s="28">
        <v>0.59878783828128901</v>
      </c>
      <c r="K6452" s="29">
        <v>0.98289565623980701</v>
      </c>
    </row>
    <row r="6453" spans="1:11" x14ac:dyDescent="0.35">
      <c r="A6453" s="9" t="str">
        <f>HYPERLINK("http://www.ensembl.org/id/WBGene00008290", "WBGene00008290")</f>
        <v>WBGene00008290</v>
      </c>
      <c r="B6453" s="9" t="str">
        <f>HYPERLINK("http://www.ncbi.nlm.nih.gov/gene/183769", "183769")</f>
        <v>183769</v>
      </c>
      <c r="C6453" s="9"/>
      <c r="D6453" t="str">
        <f>"bgnt-1.8"</f>
        <v>bgnt-1.8</v>
      </c>
      <c r="E6453" t="s">
        <v>4228</v>
      </c>
      <c r="F6453" t="s">
        <v>11</v>
      </c>
      <c r="G6453" t="s">
        <v>4270</v>
      </c>
      <c r="H6453" s="12">
        <v>2.4578120077400301</v>
      </c>
      <c r="I6453" s="20">
        <v>0.26093350314551</v>
      </c>
      <c r="J6453" s="28">
        <v>0.79414378780213601</v>
      </c>
      <c r="K6453" s="29">
        <v>0.98289565623980701</v>
      </c>
    </row>
    <row r="6454" spans="1:11" x14ac:dyDescent="0.35">
      <c r="A6454" s="9" t="str">
        <f>HYPERLINK("http://www.ensembl.org/id/WBGene00009512", "WBGene00009512")</f>
        <v>WBGene00009512</v>
      </c>
      <c r="B6454" s="9" t="str">
        <f>HYPERLINK("http://www.ncbi.nlm.nih.gov/gene/174706", "174706")</f>
        <v>174706</v>
      </c>
      <c r="C6454" s="9"/>
      <c r="D6454" t="str">
        <f>"bigr-1"</f>
        <v>bigr-1</v>
      </c>
      <c r="F6454" t="s">
        <v>11</v>
      </c>
      <c r="G6454" t="s">
        <v>423</v>
      </c>
      <c r="H6454" s="12">
        <v>-1.12939251781107</v>
      </c>
      <c r="I6454" s="20">
        <v>-0.56367238327489499</v>
      </c>
      <c r="J6454" s="28">
        <v>0.57297711556321795</v>
      </c>
      <c r="K6454" s="29">
        <v>0.98289565623980701</v>
      </c>
    </row>
    <row r="6455" spans="1:11" x14ac:dyDescent="0.35">
      <c r="A6455" s="9" t="str">
        <f>HYPERLINK("http://www.ensembl.org/id/WBGene00000249", "WBGene00000249")</f>
        <v>WBGene00000249</v>
      </c>
      <c r="B6455" s="9" t="str">
        <f>HYPERLINK("http://www.ncbi.nlm.nih.gov/gene/179597", "179597")</f>
        <v>179597</v>
      </c>
      <c r="C6455" s="9"/>
      <c r="D6455" t="str">
        <f>"bir-1"</f>
        <v>bir-1</v>
      </c>
      <c r="E6455" t="s">
        <v>7783</v>
      </c>
      <c r="F6455" t="s">
        <v>11</v>
      </c>
      <c r="H6455" s="12">
        <v>-1.1444643275054001</v>
      </c>
      <c r="I6455" s="20">
        <v>-0.58512628374047604</v>
      </c>
      <c r="J6455" s="28">
        <v>0.55846280688125505</v>
      </c>
      <c r="K6455" s="29">
        <v>0.98289565623980701</v>
      </c>
    </row>
    <row r="6456" spans="1:11" x14ac:dyDescent="0.35">
      <c r="A6456" s="9" t="str">
        <f>HYPERLINK("http://www.ensembl.org/id/WBGene00003847", "WBGene00003847")</f>
        <v>WBGene00003847</v>
      </c>
      <c r="B6456" s="9" t="str">
        <f>HYPERLINK("http://www.ncbi.nlm.nih.gov/gene/172917", "172917")</f>
        <v>172917</v>
      </c>
      <c r="C6456" s="9"/>
      <c r="D6456" t="str">
        <f>"blmp-1"</f>
        <v>blmp-1</v>
      </c>
      <c r="E6456" t="s">
        <v>5649</v>
      </c>
      <c r="F6456" t="s">
        <v>11</v>
      </c>
      <c r="G6456" t="s">
        <v>54</v>
      </c>
      <c r="H6456" s="12">
        <v>1.12958115830294</v>
      </c>
      <c r="I6456" s="20">
        <v>0.52993972990059401</v>
      </c>
      <c r="J6456" s="28">
        <v>0.59615371885319701</v>
      </c>
      <c r="K6456" s="29">
        <v>0.98289565623980701</v>
      </c>
    </row>
    <row r="6457" spans="1:11" x14ac:dyDescent="0.35">
      <c r="A6457" s="9" t="str">
        <f>HYPERLINK("http://www.ensembl.org/id/WBGene00022251", "WBGene00022251")</f>
        <v>WBGene00022251</v>
      </c>
      <c r="B6457" s="9" t="str">
        <f>HYPERLINK("http://www.ncbi.nlm.nih.gov/gene/177395", "177395")</f>
        <v>177395</v>
      </c>
      <c r="C6457" s="9"/>
      <c r="D6457" t="str">
        <f>"blos-2"</f>
        <v>blos-2</v>
      </c>
      <c r="E6457" t="s">
        <v>8342</v>
      </c>
      <c r="F6457" t="s">
        <v>11</v>
      </c>
      <c r="H6457" s="12">
        <v>-1.1725431325898299</v>
      </c>
      <c r="I6457" s="20">
        <v>-0.76647046187364698</v>
      </c>
      <c r="J6457" s="28">
        <v>0.44339642095044002</v>
      </c>
      <c r="K6457" s="29">
        <v>0.98289565623980701</v>
      </c>
    </row>
    <row r="6458" spans="1:11" x14ac:dyDescent="0.35">
      <c r="A6458" s="9" t="str">
        <f>HYPERLINK("http://www.ensembl.org/id/WBGene00021376", "WBGene00021376")</f>
        <v>WBGene00021376</v>
      </c>
      <c r="B6458" s="9" t="str">
        <f>HYPERLINK("http://www.ncbi.nlm.nih.gov/gene/177119", "177119")</f>
        <v>177119</v>
      </c>
      <c r="C6458" s="9"/>
      <c r="D6458" t="str">
        <f>"blos-7"</f>
        <v>blos-7</v>
      </c>
      <c r="E6458" t="s">
        <v>9915</v>
      </c>
      <c r="F6458" t="s">
        <v>11</v>
      </c>
      <c r="G6458" t="s">
        <v>9916</v>
      </c>
      <c r="H6458" s="12">
        <v>-1.3780888268959799</v>
      </c>
      <c r="I6458" s="20">
        <v>-1.1174864039082599</v>
      </c>
      <c r="J6458" s="28">
        <v>0.26378640967105699</v>
      </c>
      <c r="K6458" s="29">
        <v>0.98289565623980701</v>
      </c>
    </row>
    <row r="6459" spans="1:11" x14ac:dyDescent="0.35">
      <c r="A6459" s="9" t="str">
        <f>HYPERLINK("http://www.ensembl.org/id/WBGene00010767", "WBGene00010767")</f>
        <v>WBGene00010767</v>
      </c>
      <c r="B6459" s="9" t="str">
        <f>HYPERLINK("http://www.ncbi.nlm.nih.gov/gene/173350", "173350")</f>
        <v>173350</v>
      </c>
      <c r="C6459" s="9"/>
      <c r="D6459" t="str">
        <f>"blos-9"</f>
        <v>blos-9</v>
      </c>
      <c r="E6459" t="s">
        <v>9060</v>
      </c>
      <c r="F6459" t="s">
        <v>11</v>
      </c>
      <c r="H6459" s="12">
        <v>-1.21754020236376</v>
      </c>
      <c r="I6459" s="20">
        <v>-0.76510270252742596</v>
      </c>
      <c r="J6459" s="28">
        <v>0.444210390727653</v>
      </c>
      <c r="K6459" s="29">
        <v>0.98289565623980701</v>
      </c>
    </row>
    <row r="6460" spans="1:11" x14ac:dyDescent="0.35">
      <c r="A6460" s="9" t="str">
        <f>HYPERLINK("http://www.ensembl.org/id/WBGene00017293", "WBGene00017293")</f>
        <v>WBGene00017293</v>
      </c>
      <c r="B6460" s="9" t="str">
        <f>HYPERLINK("http://www.ncbi.nlm.nih.gov/gene/173908", "173908")</f>
        <v>173908</v>
      </c>
      <c r="C6460" s="9" t="str">
        <f>HYPERLINK("http://www.ncbi.nlm.nih.gov/gene/23184", "23184")</f>
        <v>23184</v>
      </c>
      <c r="D6460" t="str">
        <f>"bmy-1"</f>
        <v>bmy-1</v>
      </c>
      <c r="E6460" t="s">
        <v>9513</v>
      </c>
      <c r="F6460" t="s">
        <v>11</v>
      </c>
      <c r="G6460" t="s">
        <v>9514</v>
      </c>
      <c r="H6460" s="12">
        <v>-1.25364482487335</v>
      </c>
      <c r="I6460" s="20">
        <v>-1.11121679064437</v>
      </c>
      <c r="J6460" s="28">
        <v>0.26647504559764901</v>
      </c>
      <c r="K6460" s="29">
        <v>0.98289565623980701</v>
      </c>
    </row>
    <row r="6461" spans="1:11" x14ac:dyDescent="0.35">
      <c r="A6461" s="9" t="str">
        <f>HYPERLINK("http://www.ensembl.org/id/WBGene00000259", "WBGene00000259")</f>
        <v>WBGene00000259</v>
      </c>
      <c r="B6461" s="9" t="str">
        <f>HYPERLINK("http://www.ncbi.nlm.nih.gov/gene/174039", "174039")</f>
        <v>174039</v>
      </c>
      <c r="C6461" s="9" t="str">
        <f>HYPERLINK("http://www.ncbi.nlm.nih.gov/gene/3141", "3141")</f>
        <v>3141</v>
      </c>
      <c r="D6461" t="str">
        <f>"bpl-1"</f>
        <v>bpl-1</v>
      </c>
      <c r="E6461" t="s">
        <v>8235</v>
      </c>
      <c r="F6461" t="s">
        <v>11</v>
      </c>
      <c r="G6461" t="s">
        <v>8236</v>
      </c>
      <c r="H6461" s="12">
        <v>-1.1671025263816399</v>
      </c>
      <c r="I6461" s="20">
        <v>-0.754548091134015</v>
      </c>
      <c r="J6461" s="28">
        <v>0.45052017969588098</v>
      </c>
      <c r="K6461" s="29">
        <v>0.98289565623980701</v>
      </c>
    </row>
    <row r="6462" spans="1:11" x14ac:dyDescent="0.35">
      <c r="A6462" s="9" t="str">
        <f>HYPERLINK("http://www.ensembl.org/id/WBGene00000262", "WBGene00000262")</f>
        <v>WBGene00000262</v>
      </c>
      <c r="B6462" s="9" t="str">
        <f>HYPERLINK("http://www.ncbi.nlm.nih.gov/gene/181481", "181481")</f>
        <v>181481</v>
      </c>
      <c r="C6462" s="9"/>
      <c r="D6462" t="str">
        <f>"bra-1"</f>
        <v>bra-1</v>
      </c>
      <c r="E6462" t="s">
        <v>5112</v>
      </c>
      <c r="F6462" t="s">
        <v>11</v>
      </c>
      <c r="G6462" t="s">
        <v>5113</v>
      </c>
      <c r="H6462" s="12">
        <v>1.2375063274948901</v>
      </c>
      <c r="I6462" s="20">
        <v>0.94129398038888501</v>
      </c>
      <c r="J6462" s="28">
        <v>0.34655422671393898</v>
      </c>
      <c r="K6462" s="29">
        <v>0.98289565623980701</v>
      </c>
    </row>
    <row r="6463" spans="1:11" x14ac:dyDescent="0.35">
      <c r="A6463" s="9" t="str">
        <f>HYPERLINK("http://www.ensembl.org/id/WBGene00017757", "WBGene00017757")</f>
        <v>WBGene00017757</v>
      </c>
      <c r="B6463" s="9" t="str">
        <f>HYPERLINK("http://www.ncbi.nlm.nih.gov/gene/175255", "175255")</f>
        <v>175255</v>
      </c>
      <c r="C6463" s="9"/>
      <c r="D6463" t="str">
        <f>"bra-2"</f>
        <v>bra-2</v>
      </c>
      <c r="E6463" t="s">
        <v>5112</v>
      </c>
      <c r="F6463" t="s">
        <v>11</v>
      </c>
      <c r="H6463" s="12">
        <v>-1.08581093536012</v>
      </c>
      <c r="I6463" s="20">
        <v>-0.39451018145794903</v>
      </c>
      <c r="J6463" s="28">
        <v>0.69320441176247505</v>
      </c>
      <c r="K6463" s="29">
        <v>0.98289565623980701</v>
      </c>
    </row>
    <row r="6464" spans="1:11" x14ac:dyDescent="0.35">
      <c r="A6464" s="9" t="str">
        <f>HYPERLINK("http://www.ensembl.org/id/WBGene00017144", "WBGene00017144")</f>
        <v>WBGene00017144</v>
      </c>
      <c r="B6464" s="9" t="str">
        <f>HYPERLINK("http://www.ncbi.nlm.nih.gov/gene/173917", "173917")</f>
        <v>173917</v>
      </c>
      <c r="C6464" s="9" t="str">
        <f>HYPERLINK("http://www.ncbi.nlm.nih.gov/gene/8315", "8315")</f>
        <v>8315</v>
      </c>
      <c r="D6464" t="str">
        <f>"brap-2"</f>
        <v>brap-2</v>
      </c>
      <c r="E6464" t="s">
        <v>7872</v>
      </c>
      <c r="F6464" t="s">
        <v>11</v>
      </c>
      <c r="G6464" t="s">
        <v>3112</v>
      </c>
      <c r="H6464" s="12">
        <v>-1.1490409625585301</v>
      </c>
      <c r="I6464" s="20">
        <v>-0.71350587210763805</v>
      </c>
      <c r="J6464" s="28">
        <v>0.47553278077887201</v>
      </c>
      <c r="K6464" s="29">
        <v>0.98289565623980701</v>
      </c>
    </row>
    <row r="6465" spans="1:11" x14ac:dyDescent="0.35">
      <c r="A6465" s="9" t="str">
        <f>HYPERLINK("http://www.ensembl.org/id/WBGene00000265", "WBGene00000265")</f>
        <v>WBGene00000265</v>
      </c>
      <c r="B6465" s="9" t="str">
        <f>HYPERLINK("http://www.ncbi.nlm.nih.gov/gene/175959", "175959")</f>
        <v>175959</v>
      </c>
      <c r="C6465" s="9"/>
      <c r="D6465" t="str">
        <f>"brd-1"</f>
        <v>brd-1</v>
      </c>
      <c r="E6465" t="s">
        <v>8184</v>
      </c>
      <c r="F6465" t="s">
        <v>11</v>
      </c>
      <c r="G6465" t="s">
        <v>54</v>
      </c>
      <c r="H6465" s="12">
        <v>-1.16420590516634</v>
      </c>
      <c r="I6465" s="20">
        <v>-0.58228679842612296</v>
      </c>
      <c r="J6465" s="28">
        <v>0.56037351625166698</v>
      </c>
      <c r="K6465" s="29">
        <v>0.98289565623980701</v>
      </c>
    </row>
    <row r="6466" spans="1:11" x14ac:dyDescent="0.35">
      <c r="A6466" s="9" t="str">
        <f>HYPERLINK("http://www.ensembl.org/id/WBGene00000266", "WBGene00000266")</f>
        <v>WBGene00000266</v>
      </c>
      <c r="B6466" s="9" t="str">
        <f>HYPERLINK("http://www.ncbi.nlm.nih.gov/gene/177717", "177717")</f>
        <v>177717</v>
      </c>
      <c r="C6466" s="9" t="str">
        <f>HYPERLINK("http://www.ncbi.nlm.nih.gov/gene/2762", "2762")</f>
        <v>2762</v>
      </c>
      <c r="D6466" t="str">
        <f>"bre-1"</f>
        <v>bre-1</v>
      </c>
      <c r="E6466" t="s">
        <v>6405</v>
      </c>
      <c r="F6466" t="s">
        <v>11</v>
      </c>
      <c r="G6466" t="s">
        <v>4441</v>
      </c>
      <c r="H6466" s="12">
        <v>-1.0676104203815699</v>
      </c>
      <c r="I6466" s="20">
        <v>-0.32428252003809999</v>
      </c>
      <c r="J6466" s="28">
        <v>0.74572415225560695</v>
      </c>
      <c r="K6466" s="29">
        <v>0.98289565623980701</v>
      </c>
    </row>
    <row r="6467" spans="1:11" x14ac:dyDescent="0.35">
      <c r="A6467" s="9" t="str">
        <f>HYPERLINK("http://www.ensembl.org/id/WBGene00000268", "WBGene00000268")</f>
        <v>WBGene00000268</v>
      </c>
      <c r="B6467" s="9" t="str">
        <f>HYPERLINK("http://www.ncbi.nlm.nih.gov/gene/176332", "176332")</f>
        <v>176332</v>
      </c>
      <c r="C6467" s="9"/>
      <c r="D6467" t="str">
        <f>"bre-3"</f>
        <v>bre-3</v>
      </c>
      <c r="E6467" t="s">
        <v>9189</v>
      </c>
      <c r="F6467" t="s">
        <v>11</v>
      </c>
      <c r="G6467" t="s">
        <v>9190</v>
      </c>
      <c r="H6467" s="12">
        <v>-1.2271285863829</v>
      </c>
      <c r="I6467" s="20">
        <v>-1.1157592561788801</v>
      </c>
      <c r="J6467" s="28">
        <v>0.26452519842140099</v>
      </c>
      <c r="K6467" s="29">
        <v>0.98289565623980701</v>
      </c>
    </row>
    <row r="6468" spans="1:11" x14ac:dyDescent="0.35">
      <c r="A6468" s="9" t="str">
        <f>HYPERLINK("http://www.ensembl.org/id/WBGene00000269", "WBGene00000269")</f>
        <v>WBGene00000269</v>
      </c>
      <c r="B6468" s="9" t="str">
        <f>HYPERLINK("http://www.ncbi.nlm.nih.gov/gene/190668", "190668")</f>
        <v>190668</v>
      </c>
      <c r="C6468" s="9" t="str">
        <f>HYPERLINK("http://www.ncbi.nlm.nih.gov/gene/8704", "8704")</f>
        <v>8704</v>
      </c>
      <c r="D6468" t="str">
        <f>"bre-4"</f>
        <v>bre-4</v>
      </c>
      <c r="E6468" t="s">
        <v>9656</v>
      </c>
      <c r="F6468" t="s">
        <v>11</v>
      </c>
      <c r="G6468" t="s">
        <v>9657</v>
      </c>
      <c r="H6468" s="12">
        <v>-1.27399278341689</v>
      </c>
      <c r="I6468" s="20">
        <v>-1.1475036093678599</v>
      </c>
      <c r="J6468" s="28">
        <v>0.25117354225756999</v>
      </c>
      <c r="K6468" s="29">
        <v>0.98289565623980701</v>
      </c>
    </row>
    <row r="6469" spans="1:11" x14ac:dyDescent="0.35">
      <c r="A6469" s="9" t="str">
        <f>HYPERLINK("http://www.ensembl.org/id/WBGene00000270", "WBGene00000270")</f>
        <v>WBGene00000270</v>
      </c>
      <c r="B6469" s="9" t="str">
        <f>HYPERLINK("http://www.ncbi.nlm.nih.gov/gene/178142", "178142")</f>
        <v>178142</v>
      </c>
      <c r="C6469" s="9"/>
      <c r="D6469" t="str">
        <f>"bre-5"</f>
        <v>bre-5</v>
      </c>
      <c r="E6469" t="s">
        <v>8345</v>
      </c>
      <c r="F6469" t="s">
        <v>11</v>
      </c>
      <c r="G6469" t="s">
        <v>8346</v>
      </c>
      <c r="H6469" s="12">
        <v>-1.1726680940745999</v>
      </c>
      <c r="I6469" s="20">
        <v>-0.62436220425475497</v>
      </c>
      <c r="J6469" s="28">
        <v>0.53238974085061797</v>
      </c>
      <c r="K6469" s="29">
        <v>0.98289565623980701</v>
      </c>
    </row>
    <row r="6470" spans="1:11" x14ac:dyDescent="0.35">
      <c r="A6470" s="9" t="str">
        <f>HYPERLINK("http://www.ensembl.org/id/WBGene00000271", "WBGene00000271")</f>
        <v>WBGene00000271</v>
      </c>
      <c r="B6470" s="9" t="str">
        <f>HYPERLINK("http://www.ncbi.nlm.nih.gov/gene/174199", "174199")</f>
        <v>174199</v>
      </c>
      <c r="C6470" s="9" t="str">
        <f>HYPERLINK("http://www.ncbi.nlm.nih.gov/gene/2972", "2972")</f>
        <v>2972</v>
      </c>
      <c r="D6470" t="str">
        <f>"brf-1"</f>
        <v>brf-1</v>
      </c>
      <c r="E6470" t="s">
        <v>9039</v>
      </c>
      <c r="F6470" t="s">
        <v>11</v>
      </c>
      <c r="G6470" t="s">
        <v>9040</v>
      </c>
      <c r="H6470" s="12">
        <v>-1.2163530396533999</v>
      </c>
      <c r="I6470" s="20">
        <v>-0.89874413424344801</v>
      </c>
      <c r="J6470" s="28">
        <v>0.36878896306977599</v>
      </c>
      <c r="K6470" s="29">
        <v>0.98289565623980701</v>
      </c>
    </row>
    <row r="6471" spans="1:11" x14ac:dyDescent="0.35">
      <c r="A6471" s="9" t="str">
        <f>HYPERLINK("http://www.ensembl.org/id/WBGene00019726", "WBGene00019726")</f>
        <v>WBGene00019726</v>
      </c>
      <c r="B6471" s="9" t="str">
        <f>HYPERLINK("http://www.ncbi.nlm.nih.gov/gene/177142", "177142")</f>
        <v>177142</v>
      </c>
      <c r="C6471" s="9"/>
      <c r="D6471" t="str">
        <f>"bris-1"</f>
        <v>bris-1</v>
      </c>
      <c r="E6471" t="s">
        <v>7540</v>
      </c>
      <c r="F6471" t="s">
        <v>11</v>
      </c>
      <c r="G6471" t="s">
        <v>7541</v>
      </c>
      <c r="H6471" s="12">
        <v>-1.13185761778488</v>
      </c>
      <c r="I6471" s="20">
        <v>-0.65909031411066799</v>
      </c>
      <c r="J6471" s="28">
        <v>0.50983777509235995</v>
      </c>
      <c r="K6471" s="29">
        <v>0.98289565623980701</v>
      </c>
    </row>
    <row r="6472" spans="1:11" x14ac:dyDescent="0.35">
      <c r="A6472" s="9" t="str">
        <f>HYPERLINK("http://www.ensembl.org/id/WBGene00000272", "WBGene00000272")</f>
        <v>WBGene00000272</v>
      </c>
      <c r="B6472" s="9" t="str">
        <f>HYPERLINK("http://www.ncbi.nlm.nih.gov/gene/172158", "172158")</f>
        <v>172158</v>
      </c>
      <c r="C6472" s="9"/>
      <c r="D6472" t="str">
        <f>"bro-1"</f>
        <v>bro-1</v>
      </c>
      <c r="E6472" t="s">
        <v>8405</v>
      </c>
      <c r="F6472" t="s">
        <v>11</v>
      </c>
      <c r="G6472" t="s">
        <v>8406</v>
      </c>
      <c r="H6472" s="12">
        <v>-1.1754102675270299</v>
      </c>
      <c r="I6472" s="20">
        <v>-0.29721208726449999</v>
      </c>
      <c r="J6472" s="28">
        <v>0.76630459430553399</v>
      </c>
      <c r="K6472" s="29">
        <v>0.98289565623980701</v>
      </c>
    </row>
    <row r="6473" spans="1:11" x14ac:dyDescent="0.35">
      <c r="A6473" s="9" t="str">
        <f>HYPERLINK("http://www.ensembl.org/id/WBGene00001963", "WBGene00001963")</f>
        <v>WBGene00001963</v>
      </c>
      <c r="B6473" s="9"/>
      <c r="C6473" s="9"/>
      <c r="D6473" t="str">
        <f>"btb-1"</f>
        <v>btb-1</v>
      </c>
      <c r="F6473" t="s">
        <v>80</v>
      </c>
      <c r="H6473" s="12">
        <v>-2.0518627537662999</v>
      </c>
      <c r="I6473" s="20">
        <v>-0.78577058125795396</v>
      </c>
      <c r="J6473" s="28">
        <v>0.43200190451364101</v>
      </c>
      <c r="K6473" s="29">
        <v>0.98289565623980701</v>
      </c>
    </row>
    <row r="6474" spans="1:11" x14ac:dyDescent="0.35">
      <c r="A6474" s="9" t="str">
        <f>HYPERLINK("http://www.ensembl.org/id/WBGene00019313", "WBGene00019313")</f>
        <v>WBGene00019313</v>
      </c>
      <c r="B6474" s="9" t="str">
        <f>HYPERLINK("http://www.ncbi.nlm.nih.gov/gene/173489", "173489")</f>
        <v>173489</v>
      </c>
      <c r="C6474" s="9"/>
      <c r="D6474" t="str">
        <f>"btb-10"</f>
        <v>btb-10</v>
      </c>
      <c r="E6474" t="s">
        <v>468</v>
      </c>
      <c r="F6474" t="s">
        <v>11</v>
      </c>
      <c r="G6474" t="s">
        <v>54</v>
      </c>
      <c r="H6474" s="12">
        <v>1.33020178587961</v>
      </c>
      <c r="I6474" s="20">
        <v>0.77350566731430204</v>
      </c>
      <c r="J6474" s="28">
        <v>0.43922317603344502</v>
      </c>
      <c r="K6474" s="29">
        <v>0.98289565623980701</v>
      </c>
    </row>
    <row r="6475" spans="1:11" x14ac:dyDescent="0.35">
      <c r="A6475" s="9" t="str">
        <f>HYPERLINK("http://www.ensembl.org/id/WBGene00022555", "WBGene00022555")</f>
        <v>WBGene00022555</v>
      </c>
      <c r="B6475" s="9" t="str">
        <f>HYPERLINK("http://www.ncbi.nlm.nih.gov/gene/191109", "191109")</f>
        <v>191109</v>
      </c>
      <c r="C6475" s="9"/>
      <c r="D6475" t="str">
        <f>"btb-12"</f>
        <v>btb-12</v>
      </c>
      <c r="E6475" t="s">
        <v>468</v>
      </c>
      <c r="F6475" t="s">
        <v>11</v>
      </c>
      <c r="G6475" t="s">
        <v>54</v>
      </c>
      <c r="H6475" s="12">
        <v>-1.55620767490972</v>
      </c>
      <c r="I6475" s="20">
        <v>-0.66699247041697796</v>
      </c>
      <c r="J6475" s="28">
        <v>0.50477694298529596</v>
      </c>
      <c r="K6475" s="29">
        <v>0.98289565623980701</v>
      </c>
    </row>
    <row r="6476" spans="1:11" x14ac:dyDescent="0.35">
      <c r="A6476" s="9" t="str">
        <f>HYPERLINK("http://www.ensembl.org/id/WBGene00022561", "WBGene00022561")</f>
        <v>WBGene00022561</v>
      </c>
      <c r="B6476" s="9" t="str">
        <f>HYPERLINK("http://www.ncbi.nlm.nih.gov/gene/191115", "191115")</f>
        <v>191115</v>
      </c>
      <c r="C6476" s="9"/>
      <c r="D6476" t="str">
        <f>"btb-13"</f>
        <v>btb-13</v>
      </c>
      <c r="E6476" t="s">
        <v>468</v>
      </c>
      <c r="F6476" t="s">
        <v>11</v>
      </c>
      <c r="G6476" t="s">
        <v>54</v>
      </c>
      <c r="H6476" s="12">
        <v>2.0604089089462398</v>
      </c>
      <c r="I6476" s="20">
        <v>0.88249594914743001</v>
      </c>
      <c r="J6476" s="28">
        <v>0.37750866939741501</v>
      </c>
      <c r="K6476" s="29">
        <v>0.98289565623980701</v>
      </c>
    </row>
    <row r="6477" spans="1:11" x14ac:dyDescent="0.35">
      <c r="A6477" s="9" t="str">
        <f>HYPERLINK("http://www.ensembl.org/id/WBGene00013275", "WBGene00013275")</f>
        <v>WBGene00013275</v>
      </c>
      <c r="B6477" s="9" t="str">
        <f>HYPERLINK("http://www.ncbi.nlm.nih.gov/gene/174877", "174877")</f>
        <v>174877</v>
      </c>
      <c r="C6477" s="9"/>
      <c r="D6477" t="str">
        <f>"btb-14"</f>
        <v>btb-14</v>
      </c>
      <c r="E6477" t="s">
        <v>9860</v>
      </c>
      <c r="F6477" t="s">
        <v>11</v>
      </c>
      <c r="G6477" t="s">
        <v>54</v>
      </c>
      <c r="H6477" s="12">
        <v>-1.33381518680992</v>
      </c>
      <c r="I6477" s="20">
        <v>-1.1078754455405</v>
      </c>
      <c r="J6477" s="28">
        <v>0.26791561133903702</v>
      </c>
      <c r="K6477" s="29">
        <v>0.98289565623980701</v>
      </c>
    </row>
    <row r="6478" spans="1:11" x14ac:dyDescent="0.35">
      <c r="A6478" s="9" t="str">
        <f>HYPERLINK("http://www.ensembl.org/id/WBGene00015594", "WBGene00015594")</f>
        <v>WBGene00015594</v>
      </c>
      <c r="B6478" s="9"/>
      <c r="C6478" s="9"/>
      <c r="D6478" t="str">
        <f>"btb-15"</f>
        <v>btb-15</v>
      </c>
      <c r="F6478" t="s">
        <v>80</v>
      </c>
      <c r="H6478" s="12">
        <v>-4.5114499031905204</v>
      </c>
      <c r="I6478" s="20">
        <v>-0.44198655555625299</v>
      </c>
      <c r="J6478" s="28">
        <v>0.65849893477547905</v>
      </c>
      <c r="K6478" s="29">
        <v>0.98289565623980701</v>
      </c>
    </row>
    <row r="6479" spans="1:11" x14ac:dyDescent="0.35">
      <c r="A6479" s="9" t="str">
        <f>HYPERLINK("http://www.ensembl.org/id/WBGene00018201", "WBGene00018201")</f>
        <v>WBGene00018201</v>
      </c>
      <c r="B6479" s="9" t="str">
        <f>HYPERLINK("http://www.ncbi.nlm.nih.gov/gene/353391", "353391")</f>
        <v>353391</v>
      </c>
      <c r="C6479" s="9"/>
      <c r="D6479" t="str">
        <f>"btb-18"</f>
        <v>btb-18</v>
      </c>
      <c r="E6479" t="s">
        <v>468</v>
      </c>
      <c r="F6479" t="s">
        <v>11</v>
      </c>
      <c r="G6479" t="s">
        <v>54</v>
      </c>
      <c r="H6479" s="12">
        <v>2.2747460580676302</v>
      </c>
      <c r="I6479" s="20">
        <v>1.0726216626354701</v>
      </c>
      <c r="J6479" s="28">
        <v>0.2834409012113</v>
      </c>
      <c r="K6479" s="29">
        <v>0.98289565623980701</v>
      </c>
    </row>
    <row r="6480" spans="1:11" x14ac:dyDescent="0.35">
      <c r="A6480" s="9" t="str">
        <f>HYPERLINK("http://www.ensembl.org/id/WBGene00269387", "WBGene00269387")</f>
        <v>WBGene00269387</v>
      </c>
      <c r="B6480" s="9" t="str">
        <f>HYPERLINK("http://www.ncbi.nlm.nih.gov/gene/27219618", "27219618")</f>
        <v>27219618</v>
      </c>
      <c r="C6480" s="9"/>
      <c r="D6480" t="str">
        <f>"btb-22"</f>
        <v>btb-22</v>
      </c>
      <c r="E6480" t="s">
        <v>468</v>
      </c>
      <c r="F6480" t="s">
        <v>11</v>
      </c>
      <c r="G6480" t="s">
        <v>417</v>
      </c>
      <c r="H6480" s="12">
        <v>2.7080814381233802</v>
      </c>
      <c r="I6480" s="20">
        <v>0.952550489653194</v>
      </c>
      <c r="J6480" s="28">
        <v>0.34081787278336301</v>
      </c>
      <c r="K6480" s="29">
        <v>0.98289565623980701</v>
      </c>
    </row>
    <row r="6481" spans="1:11" x14ac:dyDescent="0.35">
      <c r="A6481" s="9" t="str">
        <f>HYPERLINK("http://www.ensembl.org/id/WBGene00015013", "WBGene00015013")</f>
        <v>WBGene00015013</v>
      </c>
      <c r="B6481" s="9"/>
      <c r="C6481" s="9"/>
      <c r="D6481" t="str">
        <f>"btb-3"</f>
        <v>btb-3</v>
      </c>
      <c r="F6481" t="s">
        <v>80</v>
      </c>
      <c r="H6481" s="12">
        <v>-2.76973625532055</v>
      </c>
      <c r="I6481" s="20">
        <v>-0.69980820133256805</v>
      </c>
      <c r="J6481" s="28">
        <v>0.484047092263172</v>
      </c>
      <c r="K6481" s="29">
        <v>0.98289565623980701</v>
      </c>
    </row>
    <row r="6482" spans="1:11" x14ac:dyDescent="0.35">
      <c r="A6482" s="9" t="str">
        <f>HYPERLINK("http://www.ensembl.org/id/WBGene00019142", "WBGene00019142")</f>
        <v>WBGene00019142</v>
      </c>
      <c r="B6482" s="9" t="str">
        <f>HYPERLINK("http://www.ncbi.nlm.nih.gov/gene/186651", "186651")</f>
        <v>186651</v>
      </c>
      <c r="C6482" s="9"/>
      <c r="D6482" t="str">
        <f>"btb-4"</f>
        <v>btb-4</v>
      </c>
      <c r="E6482" t="s">
        <v>468</v>
      </c>
      <c r="F6482" t="s">
        <v>11</v>
      </c>
      <c r="G6482" t="s">
        <v>54</v>
      </c>
      <c r="H6482" s="12">
        <v>-1.5742088203678199</v>
      </c>
      <c r="I6482" s="20">
        <v>-0.95350549697098497</v>
      </c>
      <c r="J6482" s="28">
        <v>0.34033401236713001</v>
      </c>
      <c r="K6482" s="29">
        <v>0.98289565623980701</v>
      </c>
    </row>
    <row r="6483" spans="1:11" x14ac:dyDescent="0.35">
      <c r="A6483" s="9" t="str">
        <f>HYPERLINK("http://www.ensembl.org/id/WBGene00021042", "WBGene00021042")</f>
        <v>WBGene00021042</v>
      </c>
      <c r="B6483" s="9" t="str">
        <f>HYPERLINK("http://www.ncbi.nlm.nih.gov/gene/189221", "189221")</f>
        <v>189221</v>
      </c>
      <c r="C6483" s="9"/>
      <c r="D6483" t="str">
        <f>"btb-5"</f>
        <v>btb-5</v>
      </c>
      <c r="E6483" t="s">
        <v>468</v>
      </c>
      <c r="F6483" t="s">
        <v>11</v>
      </c>
      <c r="G6483" t="s">
        <v>54</v>
      </c>
      <c r="H6483" s="12">
        <v>-2.0720252211781198</v>
      </c>
      <c r="I6483" s="20">
        <v>-1.04776084736883</v>
      </c>
      <c r="J6483" s="28">
        <v>0.29474880545267201</v>
      </c>
      <c r="K6483" s="29">
        <v>0.98289565623980701</v>
      </c>
    </row>
    <row r="6484" spans="1:11" x14ac:dyDescent="0.35">
      <c r="A6484" s="9" t="str">
        <f>HYPERLINK("http://www.ensembl.org/id/WBGene00019888", "WBGene00019888")</f>
        <v>WBGene00019888</v>
      </c>
      <c r="B6484" s="9" t="str">
        <f>HYPERLINK("http://www.ncbi.nlm.nih.gov/gene/173847", "173847")</f>
        <v>173847</v>
      </c>
      <c r="C6484" s="9"/>
      <c r="D6484" t="str">
        <f>"btbd-10"</f>
        <v>btbd-10</v>
      </c>
      <c r="E6484" t="s">
        <v>7464</v>
      </c>
      <c r="F6484" t="s">
        <v>11</v>
      </c>
      <c r="G6484" t="s">
        <v>7465</v>
      </c>
      <c r="H6484" s="12">
        <v>-1.1272288586536401</v>
      </c>
      <c r="I6484" s="20">
        <v>-0.65239450723958903</v>
      </c>
      <c r="J6484" s="28">
        <v>0.51414670683694097</v>
      </c>
      <c r="K6484" s="29">
        <v>0.98289565623980701</v>
      </c>
    </row>
    <row r="6485" spans="1:11" x14ac:dyDescent="0.35">
      <c r="A6485" s="9" t="str">
        <f>HYPERLINK("http://www.ensembl.org/id/WBGene00000274", "WBGene00000274")</f>
        <v>WBGene00000274</v>
      </c>
      <c r="B6485" s="9" t="str">
        <f>HYPERLINK("http://www.ncbi.nlm.nih.gov/gene/174965", "174965")</f>
        <v>174965</v>
      </c>
      <c r="C6485" s="9"/>
      <c r="D6485" t="str">
        <f>"btf-1"</f>
        <v>btf-1</v>
      </c>
      <c r="E6485" t="s">
        <v>7061</v>
      </c>
      <c r="F6485" t="s">
        <v>11</v>
      </c>
      <c r="G6485" t="s">
        <v>7062</v>
      </c>
      <c r="H6485" s="12">
        <v>-1.1050820387068701</v>
      </c>
      <c r="I6485" s="20">
        <v>-0.49053798447826302</v>
      </c>
      <c r="J6485" s="28">
        <v>0.62375325789909097</v>
      </c>
      <c r="K6485" s="29">
        <v>0.98289565623980701</v>
      </c>
    </row>
    <row r="6486" spans="1:11" x14ac:dyDescent="0.35">
      <c r="A6486" s="9" t="str">
        <f>HYPERLINK("http://www.ensembl.org/id/WBGene00000275", "WBGene00000275")</f>
        <v>WBGene00000275</v>
      </c>
      <c r="B6486" s="9" t="str">
        <f>HYPERLINK("http://www.ncbi.nlm.nih.gov/gene/172468", "172468")</f>
        <v>172468</v>
      </c>
      <c r="C6486" s="9"/>
      <c r="D6486" t="str">
        <f>"bub-1"</f>
        <v>bub-1</v>
      </c>
      <c r="E6486" t="s">
        <v>7320</v>
      </c>
      <c r="F6486" t="s">
        <v>11</v>
      </c>
      <c r="G6486" t="s">
        <v>7321</v>
      </c>
      <c r="H6486" s="12">
        <v>-1.1193503182619799</v>
      </c>
      <c r="I6486" s="20">
        <v>-0.47582439488026601</v>
      </c>
      <c r="J6486" s="28">
        <v>0.634199488769152</v>
      </c>
      <c r="K6486" s="29">
        <v>0.98289565623980701</v>
      </c>
    </row>
    <row r="6487" spans="1:11" x14ac:dyDescent="0.35">
      <c r="A6487" s="9" t="str">
        <f>HYPERLINK("http://www.ensembl.org/id/WBGene00013209", "WBGene00013209")</f>
        <v>WBGene00013209</v>
      </c>
      <c r="B6487" s="9" t="str">
        <f>HYPERLINK("http://www.ncbi.nlm.nih.gov/gene/175018", "175018")</f>
        <v>175018</v>
      </c>
      <c r="C6487" s="9"/>
      <c r="D6487" t="str">
        <f>"bub-3"</f>
        <v>bub-3</v>
      </c>
      <c r="E6487" t="s">
        <v>9302</v>
      </c>
      <c r="F6487" t="s">
        <v>11</v>
      </c>
      <c r="G6487" t="s">
        <v>54</v>
      </c>
      <c r="H6487" s="12">
        <v>-1.2360062454980101</v>
      </c>
      <c r="I6487" s="20">
        <v>-0.94422576546761405</v>
      </c>
      <c r="J6487" s="28">
        <v>0.34505429137781202</v>
      </c>
      <c r="K6487" s="29">
        <v>0.98289565623980701</v>
      </c>
    </row>
    <row r="6488" spans="1:11" x14ac:dyDescent="0.35">
      <c r="A6488" s="9" t="str">
        <f>HYPERLINK("http://www.ensembl.org/id/WBGene00007400", "WBGene00007400")</f>
        <v>WBGene00007400</v>
      </c>
      <c r="B6488" s="9" t="str">
        <f>HYPERLINK("http://www.ncbi.nlm.nih.gov/gene/176368", "176368")</f>
        <v>176368</v>
      </c>
      <c r="C6488" s="9" t="str">
        <f>HYPERLINK("http://www.ncbi.nlm.nih.gov/gene/8896", "8896")</f>
        <v>8896</v>
      </c>
      <c r="D6488" t="str">
        <f>"bud-31"</f>
        <v>bud-31</v>
      </c>
      <c r="F6488" t="s">
        <v>11</v>
      </c>
      <c r="G6488" t="s">
        <v>228</v>
      </c>
      <c r="H6488" s="12">
        <v>-1.2502019399609099</v>
      </c>
      <c r="I6488" s="20">
        <v>-1.0039496720163901</v>
      </c>
      <c r="J6488" s="28">
        <v>0.31540287257556399</v>
      </c>
      <c r="K6488" s="29">
        <v>0.98289565623980701</v>
      </c>
    </row>
    <row r="6489" spans="1:11" x14ac:dyDescent="0.35">
      <c r="A6489" s="9" t="str">
        <f>HYPERLINK("http://www.ensembl.org/id/WBGene00044617", "WBGene00044617")</f>
        <v>WBGene00044617</v>
      </c>
      <c r="B6489" s="9" t="str">
        <f>HYPERLINK("http://www.ncbi.nlm.nih.gov/gene/187552", "187552")</f>
        <v>187552</v>
      </c>
      <c r="C6489" s="9"/>
      <c r="D6489" t="str">
        <f>"bus-1"</f>
        <v>bus-1</v>
      </c>
      <c r="F6489" t="s">
        <v>11</v>
      </c>
      <c r="G6489" t="s">
        <v>4360</v>
      </c>
      <c r="H6489" s="12">
        <v>2.69424860795234</v>
      </c>
      <c r="I6489" s="20">
        <v>1.0235075548924</v>
      </c>
      <c r="J6489" s="28">
        <v>0.30606792969369301</v>
      </c>
      <c r="K6489" s="29">
        <v>0.98289565623980701</v>
      </c>
    </row>
    <row r="6490" spans="1:11" x14ac:dyDescent="0.35">
      <c r="A6490" s="9" t="str">
        <f>HYPERLINK("http://www.ensembl.org/id/WBGene00010442", "WBGene00010442")</f>
        <v>WBGene00010442</v>
      </c>
      <c r="B6490" s="9" t="str">
        <f>HYPERLINK("http://www.ncbi.nlm.nih.gov/gene/178283", "178283")</f>
        <v>178283</v>
      </c>
      <c r="C6490" s="9"/>
      <c r="D6490" t="str">
        <f>"bus-12"</f>
        <v>bus-12</v>
      </c>
      <c r="E6490" t="s">
        <v>5470</v>
      </c>
      <c r="F6490" t="s">
        <v>11</v>
      </c>
      <c r="G6490" t="s">
        <v>5471</v>
      </c>
      <c r="H6490" s="12">
        <v>1.16037704547559</v>
      </c>
      <c r="I6490" s="20">
        <v>0.311585621738656</v>
      </c>
      <c r="J6490" s="28">
        <v>0.75535546281382804</v>
      </c>
      <c r="K6490" s="29">
        <v>0.98289565623980701</v>
      </c>
    </row>
    <row r="6491" spans="1:11" x14ac:dyDescent="0.35">
      <c r="A6491" s="9" t="str">
        <f>HYPERLINK("http://www.ensembl.org/id/WBGene00044630", "WBGene00044630")</f>
        <v>WBGene00044630</v>
      </c>
      <c r="B6491" s="9" t="str">
        <f>HYPERLINK("http://www.ncbi.nlm.nih.gov/gene/3565831", "3565831")</f>
        <v>3565831</v>
      </c>
      <c r="C6491" s="9"/>
      <c r="D6491" t="str">
        <f>"bus-17"</f>
        <v>bus-17</v>
      </c>
      <c r="E6491" t="s">
        <v>3368</v>
      </c>
      <c r="F6491" t="s">
        <v>11</v>
      </c>
      <c r="G6491" t="s">
        <v>4251</v>
      </c>
      <c r="H6491" s="12">
        <v>1.1519134389505199</v>
      </c>
      <c r="I6491" s="20">
        <v>0.28036515218323799</v>
      </c>
      <c r="J6491" s="28">
        <v>0.77919736986557597</v>
      </c>
      <c r="K6491" s="29">
        <v>0.98289565623980701</v>
      </c>
    </row>
    <row r="6492" spans="1:11" x14ac:dyDescent="0.35">
      <c r="A6492" s="9" t="str">
        <f>HYPERLINK("http://www.ensembl.org/id/WBGene00044631", "WBGene00044631")</f>
        <v>WBGene00044631</v>
      </c>
      <c r="B6492" s="9" t="str">
        <f>HYPERLINK("http://www.ncbi.nlm.nih.gov/gene/186277", "186277")</f>
        <v>186277</v>
      </c>
      <c r="C6492" s="9" t="str">
        <f>HYPERLINK("http://www.ncbi.nlm.nih.gov/gene/253558", "253558")</f>
        <v>253558</v>
      </c>
      <c r="D6492" t="str">
        <f>"bus-18"</f>
        <v>bus-18</v>
      </c>
      <c r="F6492" t="s">
        <v>11</v>
      </c>
      <c r="G6492" t="s">
        <v>9135</v>
      </c>
      <c r="H6492" s="12">
        <v>-1.2231950184232001</v>
      </c>
      <c r="I6492" s="20">
        <v>-0.57846155538654398</v>
      </c>
      <c r="J6492" s="28">
        <v>0.56295254572604503</v>
      </c>
      <c r="K6492" s="29">
        <v>0.98289565623980701</v>
      </c>
    </row>
    <row r="6493" spans="1:11" x14ac:dyDescent="0.35">
      <c r="A6493" s="9" t="str">
        <f>HYPERLINK("http://www.ensembl.org/id/WBGene00044618", "WBGene00044618")</f>
        <v>WBGene00044618</v>
      </c>
      <c r="B6493" s="9" t="str">
        <f>HYPERLINK("http://www.ncbi.nlm.nih.gov/gene/176977", "176977")</f>
        <v>176977</v>
      </c>
      <c r="C6493" s="9"/>
      <c r="D6493" t="str">
        <f>"bus-2"</f>
        <v>bus-2</v>
      </c>
      <c r="E6493" t="s">
        <v>3368</v>
      </c>
      <c r="F6493" t="s">
        <v>11</v>
      </c>
      <c r="G6493" t="s">
        <v>4251</v>
      </c>
      <c r="H6493" s="12">
        <v>1.57918868721039</v>
      </c>
      <c r="I6493" s="20">
        <v>0.93016037018639597</v>
      </c>
      <c r="J6493" s="28">
        <v>0.35228805723947798</v>
      </c>
      <c r="K6493" s="29">
        <v>0.98289565623980701</v>
      </c>
    </row>
    <row r="6494" spans="1:11" x14ac:dyDescent="0.35">
      <c r="A6494" s="9" t="str">
        <f>HYPERLINK("http://www.ensembl.org/id/WBGene00000276", "WBGene00000276")</f>
        <v>WBGene00000276</v>
      </c>
      <c r="B6494" s="9" t="str">
        <f>HYPERLINK("http://www.ncbi.nlm.nih.gov/gene/175968", "175968")</f>
        <v>175968</v>
      </c>
      <c r="C6494" s="9" t="str">
        <f>HYPERLINK("http://www.ncbi.nlm.nih.gov/gene/705", "705")</f>
        <v>705</v>
      </c>
      <c r="D6494" t="str">
        <f>"byn-1"</f>
        <v>byn-1</v>
      </c>
      <c r="E6494" t="s">
        <v>6788</v>
      </c>
      <c r="F6494" t="s">
        <v>11</v>
      </c>
      <c r="H6494" s="12">
        <v>-1.0889184737276201</v>
      </c>
      <c r="I6494" s="20">
        <v>-0.43982202534182901</v>
      </c>
      <c r="J6494" s="28">
        <v>0.66006601403152798</v>
      </c>
      <c r="K6494" s="29">
        <v>0.98289565623980701</v>
      </c>
    </row>
    <row r="6495" spans="1:11" x14ac:dyDescent="0.35">
      <c r="A6495" s="9" t="str">
        <f>HYPERLINK("http://www.ensembl.org/id/WBGene00007213", "WBGene00007213")</f>
        <v>WBGene00007213</v>
      </c>
      <c r="B6495" s="9" t="str">
        <f>HYPERLINK("http://www.ncbi.nlm.nih.gov/gene/182049", "182049")</f>
        <v>182049</v>
      </c>
      <c r="C6495" s="9"/>
      <c r="D6495" t="str">
        <f>"C01A2.1"</f>
        <v>C01A2.1</v>
      </c>
      <c r="F6495" t="s">
        <v>11</v>
      </c>
      <c r="G6495" t="s">
        <v>25</v>
      </c>
      <c r="H6495" s="12">
        <v>1.41438474696021</v>
      </c>
      <c r="I6495" s="20">
        <v>0.78392258859800701</v>
      </c>
      <c r="J6495" s="28">
        <v>0.43308553451012799</v>
      </c>
      <c r="K6495" s="29">
        <v>0.98289565623980701</v>
      </c>
    </row>
    <row r="6496" spans="1:11" x14ac:dyDescent="0.35">
      <c r="A6496" s="9" t="str">
        <f>HYPERLINK("http://www.ensembl.org/id/WBGene00198708", "WBGene00198708")</f>
        <v>WBGene00198708</v>
      </c>
      <c r="B6496" s="9"/>
      <c r="C6496" s="9"/>
      <c r="D6496" t="str">
        <f>"C01A2.10"</f>
        <v>C01A2.10</v>
      </c>
      <c r="F6496" t="s">
        <v>481</v>
      </c>
      <c r="H6496" s="12">
        <v>2.3893468495514898</v>
      </c>
      <c r="I6496" s="20">
        <v>0.25323547253672701</v>
      </c>
      <c r="J6496" s="28">
        <v>0.80008625651646104</v>
      </c>
      <c r="K6496" s="29">
        <v>0.98289565623980701</v>
      </c>
    </row>
    <row r="6497" spans="1:11" x14ac:dyDescent="0.35">
      <c r="A6497" s="9" t="str">
        <f>HYPERLINK("http://www.ensembl.org/id/WBGene00007216", "WBGene00007216")</f>
        <v>WBGene00007216</v>
      </c>
      <c r="B6497" s="9" t="str">
        <f>HYPERLINK("http://www.ncbi.nlm.nih.gov/gene/182050", "182050")</f>
        <v>182050</v>
      </c>
      <c r="C6497" s="9" t="str">
        <f>HYPERLINK("http://www.ncbi.nlm.nih.gov/gene/25978", "25978")</f>
        <v>25978</v>
      </c>
      <c r="D6497" t="str">
        <f>"C01A2.4"</f>
        <v>C01A2.4</v>
      </c>
      <c r="F6497" t="s">
        <v>11</v>
      </c>
      <c r="G6497" t="s">
        <v>8194</v>
      </c>
      <c r="H6497" s="12">
        <v>-1.1648719083250001</v>
      </c>
      <c r="I6497" s="20">
        <v>-0.81691395225518004</v>
      </c>
      <c r="J6497" s="28">
        <v>0.41397760384576798</v>
      </c>
      <c r="K6497" s="29">
        <v>0.98289565623980701</v>
      </c>
    </row>
    <row r="6498" spans="1:11" x14ac:dyDescent="0.35">
      <c r="A6498" s="9" t="str">
        <f>HYPERLINK("http://www.ensembl.org/id/WBGene00007218", "WBGene00007218")</f>
        <v>WBGene00007218</v>
      </c>
      <c r="B6498" s="9" t="str">
        <f>HYPERLINK("http://www.ncbi.nlm.nih.gov/gene/182051", "182051")</f>
        <v>182051</v>
      </c>
      <c r="C6498" s="9"/>
      <c r="D6498" t="str">
        <f>"C01A2.6"</f>
        <v>C01A2.6</v>
      </c>
      <c r="F6498" t="s">
        <v>11</v>
      </c>
      <c r="H6498" s="12">
        <v>-1.4136749036090299</v>
      </c>
      <c r="I6498" s="20">
        <v>-0.295856967033017</v>
      </c>
      <c r="J6498" s="28">
        <v>0.76733931589701199</v>
      </c>
      <c r="K6498" s="29">
        <v>0.98289565623980701</v>
      </c>
    </row>
    <row r="6499" spans="1:11" x14ac:dyDescent="0.35">
      <c r="A6499" s="9" t="str">
        <f>HYPERLINK("http://www.ensembl.org/id/WBGene00077546", "WBGene00077546")</f>
        <v>WBGene00077546</v>
      </c>
      <c r="B6499" s="9" t="str">
        <f>HYPERLINK("http://www.ncbi.nlm.nih.gov/gene/6418610", "6418610")</f>
        <v>6418610</v>
      </c>
      <c r="C6499" s="9"/>
      <c r="D6499" t="str">
        <f>"C01A2.9"</f>
        <v>C01A2.9</v>
      </c>
      <c r="F6499" t="s">
        <v>11</v>
      </c>
      <c r="G6499" t="s">
        <v>25</v>
      </c>
      <c r="H6499" s="12">
        <v>-1.65209404410838</v>
      </c>
      <c r="I6499" s="20">
        <v>-0.31803787456684401</v>
      </c>
      <c r="J6499" s="28">
        <v>0.75045620752473696</v>
      </c>
      <c r="K6499" s="29">
        <v>0.98289565623980701</v>
      </c>
    </row>
    <row r="6500" spans="1:11" x14ac:dyDescent="0.35">
      <c r="A6500" s="9" t="str">
        <f>HYPERLINK("http://www.ensembl.org/id/WBGene00015279", "WBGene00015279")</f>
        <v>WBGene00015279</v>
      </c>
      <c r="B6500" s="9" t="str">
        <f>HYPERLINK("http://www.ncbi.nlm.nih.gov/gene/177429", "177429")</f>
        <v>177429</v>
      </c>
      <c r="C6500" s="9"/>
      <c r="D6500" t="str">
        <f>"C01B10.4"</f>
        <v>C01B10.4</v>
      </c>
      <c r="F6500" t="s">
        <v>11</v>
      </c>
      <c r="G6500" t="s">
        <v>25</v>
      </c>
      <c r="H6500" s="12">
        <v>1.2018995357133599</v>
      </c>
      <c r="I6500" s="20">
        <v>0.49525470284461198</v>
      </c>
      <c r="J6500" s="28">
        <v>0.62042034109011202</v>
      </c>
      <c r="K6500" s="29">
        <v>0.98289565623980701</v>
      </c>
    </row>
    <row r="6501" spans="1:11" x14ac:dyDescent="0.35">
      <c r="A6501" s="9" t="str">
        <f>HYPERLINK("http://www.ensembl.org/id/WBGene00195911", "WBGene00195911")</f>
        <v>WBGene00195911</v>
      </c>
      <c r="B6501" s="9"/>
      <c r="C6501" s="9"/>
      <c r="D6501" t="str">
        <f>"C01B10.45"</f>
        <v>C01B10.45</v>
      </c>
      <c r="F6501" t="s">
        <v>481</v>
      </c>
      <c r="H6501" s="12">
        <v>2.3893468495514898</v>
      </c>
      <c r="I6501" s="20">
        <v>0.25323547253672701</v>
      </c>
      <c r="J6501" s="28">
        <v>0.80008625651646104</v>
      </c>
      <c r="K6501" s="29">
        <v>0.98289565623980701</v>
      </c>
    </row>
    <row r="6502" spans="1:11" x14ac:dyDescent="0.35">
      <c r="A6502" s="9" t="str">
        <f>HYPERLINK("http://www.ensembl.org/id/WBGene00015283", "WBGene00015283")</f>
        <v>WBGene00015283</v>
      </c>
      <c r="B6502" s="9" t="str">
        <f>HYPERLINK("http://www.ncbi.nlm.nih.gov/gene/177430", "177430")</f>
        <v>177430</v>
      </c>
      <c r="C6502" s="9" t="str">
        <f>HYPERLINK("http://www.ncbi.nlm.nih.gov/gene/22875", "22875")</f>
        <v>22875</v>
      </c>
      <c r="D6502" t="str">
        <f>"C01B10.9"</f>
        <v>C01B10.9</v>
      </c>
      <c r="F6502" t="s">
        <v>11</v>
      </c>
      <c r="G6502" t="s">
        <v>9295</v>
      </c>
      <c r="H6502" s="12">
        <v>-1.2355383351482101</v>
      </c>
      <c r="I6502" s="20">
        <v>-1.1007502811811101</v>
      </c>
      <c r="J6502" s="28">
        <v>0.27100535600605602</v>
      </c>
      <c r="K6502" s="29">
        <v>0.98289565623980701</v>
      </c>
    </row>
    <row r="6503" spans="1:11" x14ac:dyDescent="0.35">
      <c r="A6503" s="9" t="str">
        <f>HYPERLINK("http://www.ensembl.org/id/WBGene00197765", "WBGene00197765")</f>
        <v>WBGene00197765</v>
      </c>
      <c r="B6503" s="9"/>
      <c r="C6503" s="9"/>
      <c r="D6503" t="str">
        <f>"C01B7.11"</f>
        <v>C01B7.11</v>
      </c>
      <c r="F6503" t="s">
        <v>481</v>
      </c>
      <c r="H6503" s="12">
        <v>3.5227018545059199</v>
      </c>
      <c r="I6503" s="20">
        <v>0.36849691206929103</v>
      </c>
      <c r="J6503" s="28">
        <v>0.71250274722433404</v>
      </c>
      <c r="K6503" s="29">
        <v>0.98289565623980701</v>
      </c>
    </row>
    <row r="6504" spans="1:11" x14ac:dyDescent="0.35">
      <c r="A6504" s="9" t="str">
        <f>HYPERLINK("http://www.ensembl.org/id/WBGene00200596", "WBGene00200596")</f>
        <v>WBGene00200596</v>
      </c>
      <c r="B6504" s="9"/>
      <c r="C6504" s="9"/>
      <c r="D6504" t="str">
        <f>"C01B7.15"</f>
        <v>C01B7.15</v>
      </c>
      <c r="F6504" t="s">
        <v>481</v>
      </c>
      <c r="H6504" s="12">
        <v>-5.5794491025289696</v>
      </c>
      <c r="I6504" s="20">
        <v>-0.504738274115201</v>
      </c>
      <c r="J6504" s="28">
        <v>0.61374267489732603</v>
      </c>
      <c r="K6504" s="29">
        <v>0.98289565623980701</v>
      </c>
    </row>
    <row r="6505" spans="1:11" x14ac:dyDescent="0.35">
      <c r="A6505" s="9" t="str">
        <f>HYPERLINK("http://www.ensembl.org/id/WBGene00196436", "WBGene00196436")</f>
        <v>WBGene00196436</v>
      </c>
      <c r="B6505" s="9"/>
      <c r="C6505" s="9"/>
      <c r="D6505" t="str">
        <f>"C01B7.9"</f>
        <v>C01B7.9</v>
      </c>
      <c r="F6505" t="s">
        <v>481</v>
      </c>
      <c r="H6505" s="12">
        <v>2.3893468495514898</v>
      </c>
      <c r="I6505" s="20">
        <v>0.25323547253672701</v>
      </c>
      <c r="J6505" s="28">
        <v>0.80008625651646104</v>
      </c>
      <c r="K6505" s="29">
        <v>0.98289565623980701</v>
      </c>
    </row>
    <row r="6506" spans="1:11" x14ac:dyDescent="0.35">
      <c r="A6506" s="9" t="str">
        <f>HYPERLINK("http://www.ensembl.org/id/WBGene00194939", "WBGene00194939")</f>
        <v>WBGene00194939</v>
      </c>
      <c r="B6506" s="9"/>
      <c r="C6506" s="9"/>
      <c r="D6506" t="str">
        <f>"C01B9.5"</f>
        <v>C01B9.5</v>
      </c>
      <c r="F6506" t="s">
        <v>80</v>
      </c>
      <c r="H6506" s="12">
        <v>-1.3596366793072201</v>
      </c>
      <c r="I6506" s="20">
        <v>-0.33248470995030699</v>
      </c>
      <c r="J6506" s="28">
        <v>0.73952328335024797</v>
      </c>
      <c r="K6506" s="29">
        <v>0.98289565623980701</v>
      </c>
    </row>
    <row r="6507" spans="1:11" x14ac:dyDescent="0.35">
      <c r="A6507" s="9" t="str">
        <f>HYPERLINK("http://www.ensembl.org/id/WBGene00206391", "WBGene00206391")</f>
        <v>WBGene00206391</v>
      </c>
      <c r="B6507" s="9"/>
      <c r="C6507" s="9"/>
      <c r="D6507" t="str">
        <f>"C01B9.7"</f>
        <v>C01B9.7</v>
      </c>
      <c r="F6507" t="s">
        <v>481</v>
      </c>
      <c r="H6507" s="12">
        <v>5.4058944669092801</v>
      </c>
      <c r="I6507" s="20">
        <v>0.49762513753689303</v>
      </c>
      <c r="J6507" s="28">
        <v>0.61874828254921799</v>
      </c>
      <c r="K6507" s="29">
        <v>0.98289565623980701</v>
      </c>
    </row>
    <row r="6508" spans="1:11" x14ac:dyDescent="0.35">
      <c r="A6508" s="9" t="str">
        <f>HYPERLINK("http://www.ensembl.org/id/WBGene00015292", "WBGene00015292")</f>
        <v>WBGene00015292</v>
      </c>
      <c r="B6508" s="9" t="str">
        <f>HYPERLINK("http://www.ncbi.nlm.nih.gov/gene/182065", "182065")</f>
        <v>182065</v>
      </c>
      <c r="C6508" s="9"/>
      <c r="D6508" t="str">
        <f>"C01C4.2"</f>
        <v>C01C4.2</v>
      </c>
      <c r="F6508" t="s">
        <v>11</v>
      </c>
      <c r="H6508" s="12">
        <v>-1.67163683760599</v>
      </c>
      <c r="I6508" s="20">
        <v>-0.91464033105928899</v>
      </c>
      <c r="J6508" s="28">
        <v>0.36038047854607902</v>
      </c>
      <c r="K6508" s="29">
        <v>0.98289565623980701</v>
      </c>
    </row>
    <row r="6509" spans="1:11" x14ac:dyDescent="0.35">
      <c r="A6509" s="9" t="str">
        <f>HYPERLINK("http://www.ensembl.org/id/WBGene00015293", "WBGene00015293")</f>
        <v>WBGene00015293</v>
      </c>
      <c r="B6509" s="9" t="str">
        <f>HYPERLINK("http://www.ncbi.nlm.nih.gov/gene/180660", "180660")</f>
        <v>180660</v>
      </c>
      <c r="C6509" s="9"/>
      <c r="D6509" t="str">
        <f>"C01C4.3"</f>
        <v>C01C4.3</v>
      </c>
      <c r="E6509" t="s">
        <v>5043</v>
      </c>
      <c r="F6509" t="s">
        <v>11</v>
      </c>
      <c r="G6509" t="s">
        <v>3500</v>
      </c>
      <c r="H6509" s="12">
        <v>1.2528881779115899</v>
      </c>
      <c r="I6509" s="20">
        <v>1.0715129399248999</v>
      </c>
      <c r="J6509" s="28">
        <v>0.28393885557132797</v>
      </c>
      <c r="K6509" s="29">
        <v>0.98289565623980701</v>
      </c>
    </row>
    <row r="6510" spans="1:11" x14ac:dyDescent="0.35">
      <c r="A6510" s="9" t="str">
        <f>HYPERLINK("http://www.ensembl.org/id/WBGene00198695", "WBGene00198695")</f>
        <v>WBGene00198695</v>
      </c>
      <c r="B6510" s="9"/>
      <c r="C6510" s="9"/>
      <c r="D6510" t="str">
        <f>"C01C4.4"</f>
        <v>C01C4.4</v>
      </c>
      <c r="F6510" t="s">
        <v>481</v>
      </c>
      <c r="H6510" s="12">
        <v>2.4578120077400301</v>
      </c>
      <c r="I6510" s="20">
        <v>0.26093350314551</v>
      </c>
      <c r="J6510" s="28">
        <v>0.79414378780213601</v>
      </c>
      <c r="K6510" s="29">
        <v>0.98289565623980701</v>
      </c>
    </row>
    <row r="6511" spans="1:11" x14ac:dyDescent="0.35">
      <c r="A6511" s="9" t="str">
        <f>HYPERLINK("http://www.ensembl.org/id/WBGene00015299", "WBGene00015299")</f>
        <v>WBGene00015299</v>
      </c>
      <c r="B6511" s="9" t="str">
        <f>HYPERLINK("http://www.ncbi.nlm.nih.gov/gene/182068", "182068")</f>
        <v>182068</v>
      </c>
      <c r="C6511" s="9"/>
      <c r="D6511" t="str">
        <f>"C01F1.4"</f>
        <v>C01F1.4</v>
      </c>
      <c r="F6511" t="s">
        <v>11</v>
      </c>
      <c r="G6511" t="s">
        <v>1089</v>
      </c>
      <c r="H6511" s="12">
        <v>1.4709868646618101</v>
      </c>
      <c r="I6511" s="20">
        <v>1.1238547229254401</v>
      </c>
      <c r="J6511" s="28">
        <v>0.26107466188060802</v>
      </c>
      <c r="K6511" s="29">
        <v>0.98289565623980701</v>
      </c>
    </row>
    <row r="6512" spans="1:11" x14ac:dyDescent="0.35">
      <c r="A6512" s="9" t="str">
        <f>HYPERLINK("http://www.ensembl.org/id/WBGene00219207", "WBGene00219207")</f>
        <v>WBGene00219207</v>
      </c>
      <c r="B6512" s="9" t="str">
        <f>HYPERLINK("http://www.ncbi.nlm.nih.gov/gene/13197256", "13197256")</f>
        <v>13197256</v>
      </c>
      <c r="C6512" s="9"/>
      <c r="D6512" t="str">
        <f>"C01F6.14"</f>
        <v>C01F6.14</v>
      </c>
      <c r="F6512" t="s">
        <v>11</v>
      </c>
      <c r="G6512" t="s">
        <v>25</v>
      </c>
      <c r="H6512" s="12">
        <v>1.5175416564784401</v>
      </c>
      <c r="I6512" s="20">
        <v>1.0197847119252701</v>
      </c>
      <c r="J6512" s="28">
        <v>0.30783057531895203</v>
      </c>
      <c r="K6512" s="29">
        <v>0.98289565623980701</v>
      </c>
    </row>
    <row r="6513" spans="1:11" x14ac:dyDescent="0.35">
      <c r="A6513" s="9" t="str">
        <f>HYPERLINK("http://www.ensembl.org/id/WBGene00219793", "WBGene00219793")</f>
        <v>WBGene00219793</v>
      </c>
      <c r="B6513" s="9"/>
      <c r="C6513" s="9"/>
      <c r="D6513" t="str">
        <f>"C01F6.15"</f>
        <v>C01F6.15</v>
      </c>
      <c r="F6513" t="s">
        <v>481</v>
      </c>
      <c r="H6513" s="12">
        <v>-4.0271644433061304</v>
      </c>
      <c r="I6513" s="20">
        <v>-0.47804524091721101</v>
      </c>
      <c r="J6513" s="28">
        <v>0.63261800531855095</v>
      </c>
      <c r="K6513" s="29">
        <v>0.98289565623980701</v>
      </c>
    </row>
    <row r="6514" spans="1:11" x14ac:dyDescent="0.35">
      <c r="A6514" s="9" t="str">
        <f>HYPERLINK("http://www.ensembl.org/id/WBGene00235286", "WBGene00235286")</f>
        <v>WBGene00235286</v>
      </c>
      <c r="B6514" s="9"/>
      <c r="C6514" s="9"/>
      <c r="D6514" t="str">
        <f>"C01F6.16"</f>
        <v>C01F6.16</v>
      </c>
      <c r="F6514" t="s">
        <v>481</v>
      </c>
      <c r="H6514" s="12">
        <v>-1.30222996979266</v>
      </c>
      <c r="I6514" s="20">
        <v>-0.287395252711039</v>
      </c>
      <c r="J6514" s="28">
        <v>0.77380969574148495</v>
      </c>
      <c r="K6514" s="29">
        <v>0.98289565623980701</v>
      </c>
    </row>
    <row r="6515" spans="1:11" x14ac:dyDescent="0.35">
      <c r="A6515" s="9" t="str">
        <f>HYPERLINK("http://www.ensembl.org/id/WBGene00007223", "WBGene00007223")</f>
        <v>WBGene00007223</v>
      </c>
      <c r="B6515" s="9" t="str">
        <f>HYPERLINK("http://www.ncbi.nlm.nih.gov/gene/177731", "177731")</f>
        <v>177731</v>
      </c>
      <c r="C6515" s="9"/>
      <c r="D6515" t="str">
        <f>"C01F6.9"</f>
        <v>C01F6.9</v>
      </c>
      <c r="E6515" t="s">
        <v>7956</v>
      </c>
      <c r="F6515" t="s">
        <v>11</v>
      </c>
      <c r="H6515" s="12">
        <v>-1.1528534958499199</v>
      </c>
      <c r="I6515" s="20">
        <v>-0.72681317956260805</v>
      </c>
      <c r="J6515" s="28">
        <v>0.46734040825575701</v>
      </c>
      <c r="K6515" s="29">
        <v>0.98289565623980701</v>
      </c>
    </row>
    <row r="6516" spans="1:11" x14ac:dyDescent="0.35">
      <c r="A6516" s="9" t="str">
        <f>HYPERLINK("http://www.ensembl.org/id/WBGene00007237", "WBGene00007237")</f>
        <v>WBGene00007237</v>
      </c>
      <c r="B6516" s="9" t="str">
        <f>HYPERLINK("http://www.ncbi.nlm.nih.gov/gene/180015", "180015")</f>
        <v>180015</v>
      </c>
      <c r="C6516" s="9"/>
      <c r="D6516" t="str">
        <f>"C01G10.10"</f>
        <v>C01G10.10</v>
      </c>
      <c r="E6516" t="s">
        <v>6526</v>
      </c>
      <c r="F6516" t="s">
        <v>11</v>
      </c>
      <c r="G6516" t="s">
        <v>6527</v>
      </c>
      <c r="H6516" s="12">
        <v>-1.0736510422974701</v>
      </c>
      <c r="I6516" s="20">
        <v>-0.265915482616086</v>
      </c>
      <c r="J6516" s="28">
        <v>0.79030430085815495</v>
      </c>
      <c r="K6516" s="29">
        <v>0.98289565623980701</v>
      </c>
    </row>
    <row r="6517" spans="1:11" x14ac:dyDescent="0.35">
      <c r="A6517" s="9" t="str">
        <f>HYPERLINK("http://www.ensembl.org/id/WBGene00007239", "WBGene00007239")</f>
        <v>WBGene00007239</v>
      </c>
      <c r="B6517" s="9" t="str">
        <f>HYPERLINK("http://www.ncbi.nlm.nih.gov/gene/180020", "180020")</f>
        <v>180020</v>
      </c>
      <c r="C6517" s="9"/>
      <c r="D6517" t="str">
        <f>"C01G10.14"</f>
        <v>C01G10.14</v>
      </c>
      <c r="E6517" t="s">
        <v>899</v>
      </c>
      <c r="F6517" t="s">
        <v>11</v>
      </c>
      <c r="G6517" t="s">
        <v>3403</v>
      </c>
      <c r="H6517" s="12">
        <v>8.0820207067629397</v>
      </c>
      <c r="I6517" s="20">
        <v>0.85865707396196</v>
      </c>
      <c r="J6517" s="28">
        <v>0.39052973976173999</v>
      </c>
      <c r="K6517" s="29">
        <v>0.98289565623980701</v>
      </c>
    </row>
    <row r="6518" spans="1:11" x14ac:dyDescent="0.35">
      <c r="A6518" s="9" t="str">
        <f>HYPERLINK("http://www.ensembl.org/id/WBGene00007241", "WBGene00007241")</f>
        <v>WBGene00007241</v>
      </c>
      <c r="B6518" s="9" t="str">
        <f>HYPERLINK("http://www.ncbi.nlm.nih.gov/gene/3564842", "3564842")</f>
        <v>3564842</v>
      </c>
      <c r="C6518" s="9"/>
      <c r="D6518" t="str">
        <f>"C01G10.16"</f>
        <v>C01G10.16</v>
      </c>
      <c r="F6518" t="s">
        <v>11</v>
      </c>
      <c r="H6518" s="12">
        <v>-3.0241207078754799</v>
      </c>
      <c r="I6518" s="20">
        <v>-1.0080379197970699</v>
      </c>
      <c r="J6518" s="28">
        <v>0.313436258422992</v>
      </c>
      <c r="K6518" s="29">
        <v>0.98289565623980701</v>
      </c>
    </row>
    <row r="6519" spans="1:11" x14ac:dyDescent="0.35">
      <c r="A6519" s="9" t="str">
        <f>HYPERLINK("http://www.ensembl.org/id/WBGene00044658", "WBGene00044658")</f>
        <v>WBGene00044658</v>
      </c>
      <c r="B6519" s="9" t="str">
        <f>HYPERLINK("http://www.ncbi.nlm.nih.gov/gene/4363108", "4363108")</f>
        <v>4363108</v>
      </c>
      <c r="C6519" s="9"/>
      <c r="D6519" t="str">
        <f>"C01G10.17"</f>
        <v>C01G10.17</v>
      </c>
      <c r="F6519" t="s">
        <v>11</v>
      </c>
      <c r="H6519" s="12">
        <v>-2.4142476029973201</v>
      </c>
      <c r="I6519" s="20">
        <v>-0.288875231112245</v>
      </c>
      <c r="J6519" s="28">
        <v>0.77267685874953995</v>
      </c>
      <c r="K6519" s="29">
        <v>0.98289565623980701</v>
      </c>
    </row>
    <row r="6520" spans="1:11" x14ac:dyDescent="0.35">
      <c r="A6520" s="9" t="str">
        <f>HYPERLINK("http://www.ensembl.org/id/WBGene00077583", "WBGene00077583")</f>
        <v>WBGene00077583</v>
      </c>
      <c r="B6520" s="9" t="str">
        <f>HYPERLINK("http://www.ncbi.nlm.nih.gov/gene/6418691", "6418691")</f>
        <v>6418691</v>
      </c>
      <c r="C6520" s="9"/>
      <c r="D6520" t="str">
        <f>"C01G10.18"</f>
        <v>C01G10.18</v>
      </c>
      <c r="F6520" t="s">
        <v>11</v>
      </c>
      <c r="H6520" s="12">
        <v>-3.2076094827519199</v>
      </c>
      <c r="I6520" s="20">
        <v>-0.46481242297130299</v>
      </c>
      <c r="J6520" s="28">
        <v>0.64206579060743396</v>
      </c>
      <c r="K6520" s="29">
        <v>0.98289565623980701</v>
      </c>
    </row>
    <row r="6521" spans="1:11" x14ac:dyDescent="0.35">
      <c r="A6521" s="9" t="str">
        <f>HYPERLINK("http://www.ensembl.org/id/WBGene00007231", "WBGene00007231")</f>
        <v>WBGene00007231</v>
      </c>
      <c r="B6521" s="9" t="str">
        <f>HYPERLINK("http://www.ncbi.nlm.nih.gov/gene/182081", "182081")</f>
        <v>182081</v>
      </c>
      <c r="C6521" s="9"/>
      <c r="D6521" t="str">
        <f>"C01G10.4"</f>
        <v>C01G10.4</v>
      </c>
      <c r="F6521" t="s">
        <v>11</v>
      </c>
      <c r="H6521" s="12">
        <v>-2.7792183191350901</v>
      </c>
      <c r="I6521" s="20">
        <v>-0.497546698196141</v>
      </c>
      <c r="J6521" s="28">
        <v>0.61880358063933305</v>
      </c>
      <c r="K6521" s="29">
        <v>0.98289565623980701</v>
      </c>
    </row>
    <row r="6522" spans="1:11" x14ac:dyDescent="0.35">
      <c r="A6522" s="9" t="str">
        <f>HYPERLINK("http://www.ensembl.org/id/WBGene00007232", "WBGene00007232")</f>
        <v>WBGene00007232</v>
      </c>
      <c r="B6522" s="9" t="str">
        <f>HYPERLINK("http://www.ncbi.nlm.nih.gov/gene/182082", "182082")</f>
        <v>182082</v>
      </c>
      <c r="C6522" s="9"/>
      <c r="D6522" t="str">
        <f>"C01G10.5"</f>
        <v>C01G10.5</v>
      </c>
      <c r="F6522" t="s">
        <v>11</v>
      </c>
      <c r="H6522" s="12">
        <v>3.5227018545059199</v>
      </c>
      <c r="I6522" s="20">
        <v>0.36849691206929103</v>
      </c>
      <c r="J6522" s="28">
        <v>0.71250274722433404</v>
      </c>
      <c r="K6522" s="29">
        <v>0.98289565623980701</v>
      </c>
    </row>
    <row r="6523" spans="1:11" x14ac:dyDescent="0.35">
      <c r="A6523" s="9" t="str">
        <f>HYPERLINK("http://www.ensembl.org/id/WBGene00007236", "WBGene00007236")</f>
        <v>WBGene00007236</v>
      </c>
      <c r="B6523" s="9" t="str">
        <f>HYPERLINK("http://www.ncbi.nlm.nih.gov/gene/180016", "180016")</f>
        <v>180016</v>
      </c>
      <c r="C6523" s="9" t="str">
        <f>HYPERLINK("http://www.ncbi.nlm.nih.gov/gene/84245", "84245")</f>
        <v>84245</v>
      </c>
      <c r="D6523" t="str">
        <f>"C01G10.9"</f>
        <v>C01G10.9</v>
      </c>
      <c r="E6523" t="s">
        <v>5539</v>
      </c>
      <c r="F6523" t="s">
        <v>11</v>
      </c>
      <c r="G6523" t="s">
        <v>5540</v>
      </c>
      <c r="H6523" s="12">
        <v>1.1489171224413499</v>
      </c>
      <c r="I6523" s="20">
        <v>0.53007870289148695</v>
      </c>
      <c r="J6523" s="28">
        <v>0.59605736442375901</v>
      </c>
      <c r="K6523" s="29">
        <v>0.98289565623980701</v>
      </c>
    </row>
    <row r="6524" spans="1:11" x14ac:dyDescent="0.35">
      <c r="A6524" s="9" t="str">
        <f>HYPERLINK("http://www.ensembl.org/id/WBGene00044333", "WBGene00044333")</f>
        <v>WBGene00044333</v>
      </c>
      <c r="B6524" s="9" t="str">
        <f>HYPERLINK("http://www.ncbi.nlm.nih.gov/gene/3565249", "3565249")</f>
        <v>3565249</v>
      </c>
      <c r="C6524" s="9"/>
      <c r="D6524" t="str">
        <f>"C01G12.13"</f>
        <v>C01G12.13</v>
      </c>
      <c r="F6524" t="s">
        <v>11</v>
      </c>
      <c r="H6524" s="12">
        <v>2.31818380917966</v>
      </c>
      <c r="I6524" s="20">
        <v>0.60612883766250703</v>
      </c>
      <c r="J6524" s="28">
        <v>0.54442920289071395</v>
      </c>
      <c r="K6524" s="29">
        <v>0.98289565623980701</v>
      </c>
    </row>
    <row r="6525" spans="1:11" x14ac:dyDescent="0.35">
      <c r="A6525" s="9" t="str">
        <f>HYPERLINK("http://www.ensembl.org/id/WBGene00201201", "WBGene00201201")</f>
        <v>WBGene00201201</v>
      </c>
      <c r="B6525" s="9"/>
      <c r="C6525" s="9"/>
      <c r="D6525" t="str">
        <f>"C01G12.14"</f>
        <v>C01G12.14</v>
      </c>
      <c r="F6525" t="s">
        <v>481</v>
      </c>
      <c r="H6525" s="12">
        <v>-3.7261494131482999</v>
      </c>
      <c r="I6525" s="20">
        <v>-0.38454673129429601</v>
      </c>
      <c r="J6525" s="28">
        <v>0.70057326682554</v>
      </c>
      <c r="K6525" s="29">
        <v>0.98289565623980701</v>
      </c>
    </row>
    <row r="6526" spans="1:11" x14ac:dyDescent="0.35">
      <c r="A6526" s="9" t="str">
        <f>HYPERLINK("http://www.ensembl.org/id/WBGene00219299", "WBGene00219299")</f>
        <v>WBGene00219299</v>
      </c>
      <c r="B6526" s="9" t="str">
        <f>HYPERLINK("http://www.ncbi.nlm.nih.gov/gene/13189118", "13189118")</f>
        <v>13189118</v>
      </c>
      <c r="C6526" s="9"/>
      <c r="D6526" t="str">
        <f>"C01G12.16"</f>
        <v>C01G12.16</v>
      </c>
      <c r="F6526" t="s">
        <v>11</v>
      </c>
      <c r="H6526" s="12">
        <v>-1.3297690287982</v>
      </c>
      <c r="I6526" s="20">
        <v>-0.27742863786660599</v>
      </c>
      <c r="J6526" s="28">
        <v>0.78145099445423105</v>
      </c>
      <c r="K6526" s="29">
        <v>0.98289565623980701</v>
      </c>
    </row>
    <row r="6527" spans="1:11" x14ac:dyDescent="0.35">
      <c r="A6527" s="9" t="str">
        <f>HYPERLINK("http://www.ensembl.org/id/WBGene00007245", "WBGene00007245")</f>
        <v>WBGene00007245</v>
      </c>
      <c r="B6527" s="9" t="str">
        <f>HYPERLINK("http://www.ncbi.nlm.nih.gov/gene/182087", "182087")</f>
        <v>182087</v>
      </c>
      <c r="C6527" s="9"/>
      <c r="D6527" t="str">
        <f>"C01G12.5"</f>
        <v>C01G12.5</v>
      </c>
      <c r="F6527" t="s">
        <v>11</v>
      </c>
      <c r="G6527" t="s">
        <v>489</v>
      </c>
      <c r="H6527" s="12">
        <v>-2.6626386925888701</v>
      </c>
      <c r="I6527" s="20">
        <v>-0.511767118502781</v>
      </c>
      <c r="J6527" s="28">
        <v>0.60881400561950105</v>
      </c>
      <c r="K6527" s="29">
        <v>0.98289565623980701</v>
      </c>
    </row>
    <row r="6528" spans="1:11" x14ac:dyDescent="0.35">
      <c r="A6528" s="9" t="str">
        <f>HYPERLINK("http://www.ensembl.org/id/WBGene00007247", "WBGene00007247")</f>
        <v>WBGene00007247</v>
      </c>
      <c r="B6528" s="9" t="str">
        <f>HYPERLINK("http://www.ncbi.nlm.nih.gov/gene/182089", "182089")</f>
        <v>182089</v>
      </c>
      <c r="C6528" s="9"/>
      <c r="D6528" t="str">
        <f>"C01G12.7"</f>
        <v>C01G12.7</v>
      </c>
      <c r="F6528" t="s">
        <v>11</v>
      </c>
      <c r="G6528" t="s">
        <v>25</v>
      </c>
      <c r="H6528" s="12">
        <v>1.26612869855418</v>
      </c>
      <c r="I6528" s="20">
        <v>0.59822631209444099</v>
      </c>
      <c r="J6528" s="28">
        <v>0.54968893698753196</v>
      </c>
      <c r="K6528" s="29">
        <v>0.98289565623980701</v>
      </c>
    </row>
    <row r="6529" spans="1:11" x14ac:dyDescent="0.35">
      <c r="A6529" s="9" t="str">
        <f>HYPERLINK("http://www.ensembl.org/id/WBGene00007249", "WBGene00007249")</f>
        <v>WBGene00007249</v>
      </c>
      <c r="B6529" s="9" t="str">
        <f>HYPERLINK("http://www.ncbi.nlm.nih.gov/gene/3565827", "3565827")</f>
        <v>3565827</v>
      </c>
      <c r="C6529" s="9"/>
      <c r="D6529" t="str">
        <f>"C01G12.9"</f>
        <v>C01G12.9</v>
      </c>
      <c r="F6529" t="s">
        <v>11</v>
      </c>
      <c r="G6529" t="s">
        <v>25</v>
      </c>
      <c r="H6529" s="12">
        <v>-2.2282189590352801</v>
      </c>
      <c r="I6529" s="20">
        <v>-0.34293873924573798</v>
      </c>
      <c r="J6529" s="28">
        <v>0.73164454730052397</v>
      </c>
      <c r="K6529" s="29">
        <v>0.98289565623980701</v>
      </c>
    </row>
    <row r="6530" spans="1:11" x14ac:dyDescent="0.35">
      <c r="A6530" s="9" t="str">
        <f>HYPERLINK("http://www.ensembl.org/id/WBGene00015305", "WBGene00015305")</f>
        <v>WBGene00015305</v>
      </c>
      <c r="B6530" s="9" t="str">
        <f>HYPERLINK("http://www.ncbi.nlm.nih.gov/gene/182073", "182073")</f>
        <v>182073</v>
      </c>
      <c r="C6530" s="9"/>
      <c r="D6530" t="str">
        <f>"C01G5.3"</f>
        <v>C01G5.3</v>
      </c>
      <c r="F6530" t="s">
        <v>11</v>
      </c>
      <c r="H6530" s="12">
        <v>6.5062916596689204</v>
      </c>
      <c r="I6530" s="20">
        <v>0.72345887658229602</v>
      </c>
      <c r="J6530" s="28">
        <v>0.46939801038277401</v>
      </c>
      <c r="K6530" s="29">
        <v>0.98289565623980701</v>
      </c>
    </row>
    <row r="6531" spans="1:11" x14ac:dyDescent="0.35">
      <c r="A6531" s="9" t="str">
        <f>HYPERLINK("http://www.ensembl.org/id/WBGene00015306", "WBGene00015306")</f>
        <v>WBGene00015306</v>
      </c>
      <c r="B6531" s="9" t="str">
        <f>HYPERLINK("http://www.ncbi.nlm.nih.gov/gene/177414", "177414")</f>
        <v>177414</v>
      </c>
      <c r="C6531" s="9"/>
      <c r="D6531" t="str">
        <f>"C01G5.4"</f>
        <v>C01G5.4</v>
      </c>
      <c r="F6531" t="s">
        <v>11</v>
      </c>
      <c r="G6531" t="s">
        <v>25</v>
      </c>
      <c r="H6531" s="12">
        <v>3.5378795215576102</v>
      </c>
      <c r="I6531" s="20">
        <v>0.73319923604588599</v>
      </c>
      <c r="J6531" s="28">
        <v>0.46343692123691999</v>
      </c>
      <c r="K6531" s="29">
        <v>0.98289565623980701</v>
      </c>
    </row>
    <row r="6532" spans="1:11" x14ac:dyDescent="0.35">
      <c r="A6532" s="9" t="str">
        <f>HYPERLINK("http://www.ensembl.org/id/WBGene00015307", "WBGene00015307")</f>
        <v>WBGene00015307</v>
      </c>
      <c r="B6532" s="9" t="str">
        <f>HYPERLINK("http://www.ncbi.nlm.nih.gov/gene/182074", "182074")</f>
        <v>182074</v>
      </c>
      <c r="C6532" s="9"/>
      <c r="D6532" t="str">
        <f>"C01G5.5"</f>
        <v>C01G5.5</v>
      </c>
      <c r="F6532" t="s">
        <v>11</v>
      </c>
      <c r="G6532" t="s">
        <v>692</v>
      </c>
      <c r="H6532" s="12">
        <v>-1.2176809560086901</v>
      </c>
      <c r="I6532" s="20">
        <v>-0.79418537345913998</v>
      </c>
      <c r="J6532" s="28">
        <v>0.42708752221298801</v>
      </c>
      <c r="K6532" s="29">
        <v>0.98289565623980701</v>
      </c>
    </row>
    <row r="6533" spans="1:11" x14ac:dyDescent="0.35">
      <c r="A6533" s="9" t="str">
        <f>HYPERLINK("http://www.ensembl.org/id/WBGene00015309", "WBGene00015309")</f>
        <v>WBGene00015309</v>
      </c>
      <c r="B6533" s="9" t="str">
        <f>HYPERLINK("http://www.ncbi.nlm.nih.gov/gene/182075", "182075")</f>
        <v>182075</v>
      </c>
      <c r="C6533" s="9"/>
      <c r="D6533" t="str">
        <f>"C01G5.7"</f>
        <v>C01G5.7</v>
      </c>
      <c r="F6533" t="s">
        <v>11</v>
      </c>
      <c r="G6533" t="s">
        <v>4469</v>
      </c>
      <c r="H6533" s="12">
        <v>1.9366167757424699</v>
      </c>
      <c r="I6533" s="20">
        <v>1.00898735452315</v>
      </c>
      <c r="J6533" s="28">
        <v>0.312980698819668</v>
      </c>
      <c r="K6533" s="29">
        <v>0.98289565623980701</v>
      </c>
    </row>
    <row r="6534" spans="1:11" x14ac:dyDescent="0.35">
      <c r="A6534" s="9" t="str">
        <f>HYPERLINK("http://www.ensembl.org/id/WBGene00015311", "WBGene00015311")</f>
        <v>WBGene00015311</v>
      </c>
      <c r="B6534" s="9" t="str">
        <f>HYPERLINK("http://www.ncbi.nlm.nih.gov/gene/182076", "182076")</f>
        <v>182076</v>
      </c>
      <c r="C6534" s="9"/>
      <c r="D6534" t="str">
        <f>"C01G5.9"</f>
        <v>C01G5.9</v>
      </c>
      <c r="F6534" t="s">
        <v>11</v>
      </c>
      <c r="G6534" t="s">
        <v>1212</v>
      </c>
      <c r="H6534" s="12">
        <v>-1.2643001493527</v>
      </c>
      <c r="I6534" s="20">
        <v>-0.46554563886659001</v>
      </c>
      <c r="J6534" s="28">
        <v>0.64154076183828801</v>
      </c>
      <c r="K6534" s="29">
        <v>0.98289565623980701</v>
      </c>
    </row>
    <row r="6535" spans="1:11" x14ac:dyDescent="0.35">
      <c r="A6535" s="9" t="str">
        <f>HYPERLINK("http://www.ensembl.org/id/WBGene00014663", "WBGene00014663")</f>
        <v>WBGene00014663</v>
      </c>
      <c r="B6535" s="9"/>
      <c r="C6535" s="9"/>
      <c r="D6535" t="str">
        <f>"C01G6.10"</f>
        <v>C01G6.10</v>
      </c>
      <c r="F6535" t="s">
        <v>80</v>
      </c>
      <c r="H6535" s="12">
        <v>-1.5669374470736801</v>
      </c>
      <c r="I6535" s="20">
        <v>-0.66032456935688799</v>
      </c>
      <c r="J6535" s="28">
        <v>0.50904556653683797</v>
      </c>
      <c r="K6535" s="29">
        <v>0.98289565623980701</v>
      </c>
    </row>
    <row r="6536" spans="1:11" x14ac:dyDescent="0.35">
      <c r="A6536" s="9" t="str">
        <f>HYPERLINK("http://www.ensembl.org/id/WBGene00202300", "WBGene00202300")</f>
        <v>WBGene00202300</v>
      </c>
      <c r="B6536" s="9"/>
      <c r="C6536" s="9"/>
      <c r="D6536" t="str">
        <f>"C01G6.13"</f>
        <v>C01G6.13</v>
      </c>
      <c r="F6536" t="s">
        <v>481</v>
      </c>
      <c r="H6536" s="12">
        <v>-2.4991590031922399</v>
      </c>
      <c r="I6536" s="20">
        <v>-0.26577412737581302</v>
      </c>
      <c r="J6536" s="28">
        <v>0.79041317015736101</v>
      </c>
      <c r="K6536" s="29">
        <v>0.98289565623980701</v>
      </c>
    </row>
    <row r="6537" spans="1:11" x14ac:dyDescent="0.35">
      <c r="A6537" s="9" t="str">
        <f>HYPERLINK("http://www.ensembl.org/id/WBGene00007224", "WBGene00007224")</f>
        <v>WBGene00007224</v>
      </c>
      <c r="B6537" s="9" t="str">
        <f>HYPERLINK("http://www.ncbi.nlm.nih.gov/gene/174468", "174468")</f>
        <v>174468</v>
      </c>
      <c r="C6537" s="9"/>
      <c r="D6537" t="str">
        <f>"C01G6.2"</f>
        <v>C01G6.2</v>
      </c>
      <c r="F6537" t="s">
        <v>11</v>
      </c>
      <c r="G6537" t="s">
        <v>25</v>
      </c>
      <c r="H6537" s="12">
        <v>-1.37120699787182</v>
      </c>
      <c r="I6537" s="20">
        <v>-0.32747394870569102</v>
      </c>
      <c r="J6537" s="28">
        <v>0.74330944362267104</v>
      </c>
      <c r="K6537" s="29">
        <v>0.98289565623980701</v>
      </c>
    </row>
    <row r="6538" spans="1:11" x14ac:dyDescent="0.35">
      <c r="A6538" s="9" t="str">
        <f>HYPERLINK("http://www.ensembl.org/id/WBGene00007225", "WBGene00007225")</f>
        <v>WBGene00007225</v>
      </c>
      <c r="B6538" s="9" t="str">
        <f>HYPERLINK("http://www.ncbi.nlm.nih.gov/gene/174469", "174469")</f>
        <v>174469</v>
      </c>
      <c r="C6538" s="9"/>
      <c r="D6538" t="str">
        <f>"C01G6.3"</f>
        <v>C01G6.3</v>
      </c>
      <c r="F6538" t="s">
        <v>11</v>
      </c>
      <c r="H6538" s="12">
        <v>1.1038959957746299</v>
      </c>
      <c r="I6538" s="20">
        <v>0.34835295558170398</v>
      </c>
      <c r="J6538" s="28">
        <v>0.72757512847328298</v>
      </c>
      <c r="K6538" s="29">
        <v>0.98289565623980701</v>
      </c>
    </row>
    <row r="6539" spans="1:11" x14ac:dyDescent="0.35">
      <c r="A6539" s="9" t="str">
        <f>HYPERLINK("http://www.ensembl.org/id/WBGene00007226", "WBGene00007226")</f>
        <v>WBGene00007226</v>
      </c>
      <c r="B6539" s="9" t="str">
        <f>HYPERLINK("http://www.ncbi.nlm.nih.gov/gene/182077", "182077")</f>
        <v>182077</v>
      </c>
      <c r="C6539" s="9" t="str">
        <f>HYPERLINK("http://www.ncbi.nlm.nih.gov/gene/26994", "26994")</f>
        <v>26994</v>
      </c>
      <c r="D6539" t="str">
        <f>"C01G6.4"</f>
        <v>C01G6.4</v>
      </c>
      <c r="F6539" t="s">
        <v>11</v>
      </c>
      <c r="G6539" t="s">
        <v>51</v>
      </c>
      <c r="H6539" s="12">
        <v>-1.0571613050572699</v>
      </c>
      <c r="I6539" s="20">
        <v>-0.29089941115509999</v>
      </c>
      <c r="J6539" s="28">
        <v>0.77112825167864396</v>
      </c>
      <c r="K6539" s="29">
        <v>0.98289565623980701</v>
      </c>
    </row>
    <row r="6540" spans="1:11" x14ac:dyDescent="0.35">
      <c r="A6540" s="9" t="str">
        <f>HYPERLINK("http://www.ensembl.org/id/WBGene00007227", "WBGene00007227")</f>
        <v>WBGene00007227</v>
      </c>
      <c r="B6540" s="9" t="str">
        <f>HYPERLINK("http://www.ncbi.nlm.nih.gov/gene/174470", "174470")</f>
        <v>174470</v>
      </c>
      <c r="C6540" s="9"/>
      <c r="D6540" t="str">
        <f>"C01G6.5"</f>
        <v>C01G6.5</v>
      </c>
      <c r="F6540" t="s">
        <v>11</v>
      </c>
      <c r="G6540" t="s">
        <v>8459</v>
      </c>
      <c r="H6540" s="12">
        <v>-1.1790050791958</v>
      </c>
      <c r="I6540" s="20">
        <v>-0.90606928373137197</v>
      </c>
      <c r="J6540" s="28">
        <v>0.36489918205886301</v>
      </c>
      <c r="K6540" s="29">
        <v>0.98289565623980701</v>
      </c>
    </row>
    <row r="6541" spans="1:11" x14ac:dyDescent="0.35">
      <c r="A6541" s="9" t="str">
        <f>HYPERLINK("http://www.ensembl.org/id/WBGene00201710", "WBGene00201710")</f>
        <v>WBGene00201710</v>
      </c>
      <c r="B6541" s="9"/>
      <c r="C6541" s="9"/>
      <c r="D6541" t="str">
        <f>"C01H6.11"</f>
        <v>C01H6.11</v>
      </c>
      <c r="F6541" t="s">
        <v>481</v>
      </c>
      <c r="H6541" s="12">
        <v>2.3893468495514898</v>
      </c>
      <c r="I6541" s="20">
        <v>0.25323547253672701</v>
      </c>
      <c r="J6541" s="28">
        <v>0.80008625651646104</v>
      </c>
      <c r="K6541" s="29">
        <v>0.98289565623980701</v>
      </c>
    </row>
    <row r="6542" spans="1:11" x14ac:dyDescent="0.35">
      <c r="A6542" s="9" t="str">
        <f>HYPERLINK("http://www.ensembl.org/id/WBGene00007253", "WBGene00007253")</f>
        <v>WBGene00007253</v>
      </c>
      <c r="B6542" s="9" t="str">
        <f>HYPERLINK("http://www.ncbi.nlm.nih.gov/gene/182091", "182091")</f>
        <v>182091</v>
      </c>
      <c r="C6542" s="9"/>
      <c r="D6542" t="str">
        <f>"C01H6.3"</f>
        <v>C01H6.3</v>
      </c>
      <c r="F6542" t="s">
        <v>11</v>
      </c>
      <c r="H6542" s="12">
        <v>1.4710877557486799</v>
      </c>
      <c r="I6542" s="20">
        <v>0.804749326385229</v>
      </c>
      <c r="J6542" s="28">
        <v>0.42096434884698702</v>
      </c>
      <c r="K6542" s="29">
        <v>0.98289565623980701</v>
      </c>
    </row>
    <row r="6543" spans="1:11" x14ac:dyDescent="0.35">
      <c r="A6543" s="9" t="str">
        <f>HYPERLINK("http://www.ensembl.org/id/WBGene00007254", "WBGene00007254")</f>
        <v>WBGene00007254</v>
      </c>
      <c r="B6543" s="9" t="str">
        <f>HYPERLINK("http://www.ncbi.nlm.nih.gov/gene/182092", "182092")</f>
        <v>182092</v>
      </c>
      <c r="C6543" s="9"/>
      <c r="D6543" t="str">
        <f>"C01H6.4"</f>
        <v>C01H6.4</v>
      </c>
      <c r="E6543" t="s">
        <v>5392</v>
      </c>
      <c r="F6543" t="s">
        <v>11</v>
      </c>
      <c r="G6543" t="s">
        <v>7657</v>
      </c>
      <c r="H6543" s="12">
        <v>-1.13792118195158</v>
      </c>
      <c r="I6543" s="20">
        <v>-0.42420394570196901</v>
      </c>
      <c r="J6543" s="28">
        <v>0.67141708349524698</v>
      </c>
      <c r="K6543" s="29">
        <v>0.98289565623980701</v>
      </c>
    </row>
    <row r="6544" spans="1:11" x14ac:dyDescent="0.35">
      <c r="A6544" s="9" t="str">
        <f>HYPERLINK("http://www.ensembl.org/id/WBGene00015329", "WBGene00015329")</f>
        <v>WBGene00015329</v>
      </c>
      <c r="B6544" s="9" t="str">
        <f>HYPERLINK("http://www.ncbi.nlm.nih.gov/gene/177283", "177283")</f>
        <v>177283</v>
      </c>
      <c r="C6544" s="9"/>
      <c r="D6544" t="str">
        <f>"C02B10.4"</f>
        <v>C02B10.4</v>
      </c>
      <c r="F6544" t="s">
        <v>11</v>
      </c>
      <c r="G6544" t="s">
        <v>91</v>
      </c>
      <c r="H6544" s="12">
        <v>-1.1544726295457399</v>
      </c>
      <c r="I6544" s="20">
        <v>-0.65165474819227298</v>
      </c>
      <c r="J6544" s="28">
        <v>0.51462392087059305</v>
      </c>
      <c r="K6544" s="29">
        <v>0.98289565623980701</v>
      </c>
    </row>
    <row r="6545" spans="1:11" x14ac:dyDescent="0.35">
      <c r="A6545" s="9" t="str">
        <f>HYPERLINK("http://www.ensembl.org/id/WBGene00015330", "WBGene00015330")</f>
        <v>WBGene00015330</v>
      </c>
      <c r="B6545" s="9" t="str">
        <f>HYPERLINK("http://www.ncbi.nlm.nih.gov/gene/177280", "177280")</f>
        <v>177280</v>
      </c>
      <c r="C6545" s="9"/>
      <c r="D6545" t="str">
        <f>"C02B10.5"</f>
        <v>C02B10.5</v>
      </c>
      <c r="F6545" t="s">
        <v>11</v>
      </c>
      <c r="H6545" s="12">
        <v>-1.14160227806578</v>
      </c>
      <c r="I6545" s="20">
        <v>-0.69231878356035104</v>
      </c>
      <c r="J6545" s="28">
        <v>0.48873715664720202</v>
      </c>
      <c r="K6545" s="29">
        <v>0.98289565623980701</v>
      </c>
    </row>
    <row r="6546" spans="1:11" x14ac:dyDescent="0.35">
      <c r="A6546" s="9" t="str">
        <f>HYPERLINK("http://www.ensembl.org/id/WBGene00200321", "WBGene00200321")</f>
        <v>WBGene00200321</v>
      </c>
      <c r="B6546" s="9"/>
      <c r="C6546" s="9"/>
      <c r="D6546" t="str">
        <f>"C02B4.12"</f>
        <v>C02B4.12</v>
      </c>
      <c r="F6546" t="s">
        <v>481</v>
      </c>
      <c r="H6546" s="12">
        <v>-2.4295389261469</v>
      </c>
      <c r="I6546" s="20">
        <v>-0.25808529976640998</v>
      </c>
      <c r="J6546" s="28">
        <v>0.79634107645457397</v>
      </c>
      <c r="K6546" s="29">
        <v>0.98289565623980701</v>
      </c>
    </row>
    <row r="6547" spans="1:11" x14ac:dyDescent="0.35">
      <c r="A6547" s="9" t="str">
        <f>HYPERLINK("http://www.ensembl.org/id/WBGene00007259", "WBGene00007259")</f>
        <v>WBGene00007259</v>
      </c>
      <c r="B6547" s="9" t="str">
        <f>HYPERLINK("http://www.ncbi.nlm.nih.gov/gene/182100", "182100")</f>
        <v>182100</v>
      </c>
      <c r="C6547" s="9"/>
      <c r="D6547" t="str">
        <f>"C02B4.3"</f>
        <v>C02B4.3</v>
      </c>
      <c r="F6547" t="s">
        <v>11</v>
      </c>
      <c r="H6547" s="12">
        <v>3.5227018545059199</v>
      </c>
      <c r="I6547" s="20">
        <v>0.36849691206929103</v>
      </c>
      <c r="J6547" s="28">
        <v>0.71250274722433404</v>
      </c>
      <c r="K6547" s="29">
        <v>0.98289565623980701</v>
      </c>
    </row>
    <row r="6548" spans="1:11" x14ac:dyDescent="0.35">
      <c r="A6548" s="9" t="str">
        <f>HYPERLINK("http://www.ensembl.org/id/WBGene00197828", "WBGene00197828")</f>
        <v>WBGene00197828</v>
      </c>
      <c r="B6548" s="9"/>
      <c r="C6548" s="9"/>
      <c r="D6548" t="str">
        <f>"C02B4.8"</f>
        <v>C02B4.8</v>
      </c>
      <c r="F6548" t="s">
        <v>481</v>
      </c>
      <c r="H6548" s="12">
        <v>1.7129766872526699</v>
      </c>
      <c r="I6548" s="20">
        <v>0.73977410045289305</v>
      </c>
      <c r="J6548" s="28">
        <v>0.45943707678943102</v>
      </c>
      <c r="K6548" s="29">
        <v>0.98289565623980701</v>
      </c>
    </row>
    <row r="6549" spans="1:11" x14ac:dyDescent="0.35">
      <c r="A6549" s="9" t="str">
        <f>HYPERLINK("http://www.ensembl.org/id/WBGene00198254", "WBGene00198254")</f>
        <v>WBGene00198254</v>
      </c>
      <c r="B6549" s="9"/>
      <c r="C6549" s="9"/>
      <c r="D6549" t="str">
        <f>"C02B4.9"</f>
        <v>C02B4.9</v>
      </c>
      <c r="F6549" t="s">
        <v>481</v>
      </c>
      <c r="H6549" s="12">
        <v>-2.4295389261469</v>
      </c>
      <c r="I6549" s="20">
        <v>-0.25808529976640998</v>
      </c>
      <c r="J6549" s="28">
        <v>0.79634107645457397</v>
      </c>
      <c r="K6549" s="29">
        <v>0.98289565623980701</v>
      </c>
    </row>
    <row r="6550" spans="1:11" x14ac:dyDescent="0.35">
      <c r="A6550" s="9" t="str">
        <f>HYPERLINK("http://www.ensembl.org/id/WBGene00009527", "WBGene00009527")</f>
        <v>WBGene00009527</v>
      </c>
      <c r="B6550" s="9"/>
      <c r="C6550" s="9"/>
      <c r="D6550" t="str">
        <f>"C02B4.t1"</f>
        <v>C02B4.t1</v>
      </c>
      <c r="F6550" t="s">
        <v>4208</v>
      </c>
      <c r="H6550" s="12">
        <v>-2.4295389261469</v>
      </c>
      <c r="I6550" s="20">
        <v>-0.25808529976640998</v>
      </c>
      <c r="J6550" s="28">
        <v>0.79634107645457397</v>
      </c>
      <c r="K6550" s="29">
        <v>0.98289565623980701</v>
      </c>
    </row>
    <row r="6551" spans="1:11" x14ac:dyDescent="0.35">
      <c r="A6551" s="9" t="str">
        <f>HYPERLINK("http://www.ensembl.org/id/WBGene00015320", "WBGene00015320")</f>
        <v>WBGene00015320</v>
      </c>
      <c r="B6551" s="9" t="str">
        <f>HYPERLINK("http://www.ncbi.nlm.nih.gov/gene/181072", "181072")</f>
        <v>181072</v>
      </c>
      <c r="C6551" s="9"/>
      <c r="D6551" t="str">
        <f>"C02B8.1"</f>
        <v>C02B8.1</v>
      </c>
      <c r="F6551" t="s">
        <v>11</v>
      </c>
      <c r="H6551" s="12">
        <v>1.5688448497076699</v>
      </c>
      <c r="I6551" s="20">
        <v>0.38712551970759002</v>
      </c>
      <c r="J6551" s="28">
        <v>0.69866328574787395</v>
      </c>
      <c r="K6551" s="29">
        <v>0.98289565623980701</v>
      </c>
    </row>
    <row r="6552" spans="1:11" x14ac:dyDescent="0.35">
      <c r="A6552" s="9" t="str">
        <f>HYPERLINK("http://www.ensembl.org/id/WBGene00015322", "WBGene00015322")</f>
        <v>WBGene00015322</v>
      </c>
      <c r="B6552" s="9" t="str">
        <f>HYPERLINK("http://www.ncbi.nlm.nih.gov/gene/182104", "182104")</f>
        <v>182104</v>
      </c>
      <c r="C6552" s="9"/>
      <c r="D6552" t="str">
        <f>"C02B8.3"</f>
        <v>C02B8.3</v>
      </c>
      <c r="F6552" t="s">
        <v>11</v>
      </c>
      <c r="H6552" s="12">
        <v>-1.16359270310409</v>
      </c>
      <c r="I6552" s="20">
        <v>-0.60978326701084096</v>
      </c>
      <c r="J6552" s="28">
        <v>0.54200538735119597</v>
      </c>
      <c r="K6552" s="29">
        <v>0.98289565623980701</v>
      </c>
    </row>
    <row r="6553" spans="1:11" x14ac:dyDescent="0.35">
      <c r="A6553" s="9" t="str">
        <f>HYPERLINK("http://www.ensembl.org/id/WBGene00015324", "WBGene00015324")</f>
        <v>WBGene00015324</v>
      </c>
      <c r="B6553" s="9" t="str">
        <f>HYPERLINK("http://www.ncbi.nlm.nih.gov/gene/181070", "181070")</f>
        <v>181070</v>
      </c>
      <c r="C6553" s="9"/>
      <c r="D6553" t="str">
        <f>"C02B8.6"</f>
        <v>C02B8.6</v>
      </c>
      <c r="E6553" t="s">
        <v>7565</v>
      </c>
      <c r="F6553" t="s">
        <v>11</v>
      </c>
      <c r="G6553" t="s">
        <v>5746</v>
      </c>
      <c r="H6553" s="12">
        <v>-1.1333709607309901</v>
      </c>
      <c r="I6553" s="20">
        <v>-0.58825706270238698</v>
      </c>
      <c r="J6553" s="28">
        <v>0.55635976110622898</v>
      </c>
      <c r="K6553" s="29">
        <v>0.98289565623980701</v>
      </c>
    </row>
    <row r="6554" spans="1:11" x14ac:dyDescent="0.35">
      <c r="A6554" s="9" t="str">
        <f>HYPERLINK("http://www.ensembl.org/id/WBGene00201714", "WBGene00201714")</f>
        <v>WBGene00201714</v>
      </c>
      <c r="B6554" s="9"/>
      <c r="C6554" s="9"/>
      <c r="D6554" t="str">
        <f>"C02C6.11"</f>
        <v>C02C6.11</v>
      </c>
      <c r="F6554" t="s">
        <v>481</v>
      </c>
      <c r="H6554" s="12">
        <v>-3.5819448292659501</v>
      </c>
      <c r="I6554" s="20">
        <v>-0.37337717500031398</v>
      </c>
      <c r="J6554" s="28">
        <v>0.70886774492290605</v>
      </c>
      <c r="K6554" s="29">
        <v>0.98289565623980701</v>
      </c>
    </row>
    <row r="6555" spans="1:11" x14ac:dyDescent="0.35">
      <c r="A6555" s="9" t="str">
        <f>HYPERLINK("http://www.ensembl.org/id/WBGene00197114", "WBGene00197114")</f>
        <v>WBGene00197114</v>
      </c>
      <c r="B6555" s="9"/>
      <c r="C6555" s="9"/>
      <c r="D6555" t="str">
        <f>"C02C6.6"</f>
        <v>C02C6.6</v>
      </c>
      <c r="F6555" t="s">
        <v>481</v>
      </c>
      <c r="H6555" s="12">
        <v>-2.4991590031922399</v>
      </c>
      <c r="I6555" s="20">
        <v>-0.26577412737581302</v>
      </c>
      <c r="J6555" s="28">
        <v>0.79041317015736101</v>
      </c>
      <c r="K6555" s="29">
        <v>0.98289565623980701</v>
      </c>
    </row>
    <row r="6556" spans="1:11" x14ac:dyDescent="0.35">
      <c r="A6556" s="9" t="str">
        <f>HYPERLINK("http://www.ensembl.org/id/WBGene00199170", "WBGene00199170")</f>
        <v>WBGene00199170</v>
      </c>
      <c r="B6556" s="9"/>
      <c r="C6556" s="9"/>
      <c r="D6556" t="str">
        <f>"C02D4.10"</f>
        <v>C02D4.10</v>
      </c>
      <c r="F6556" t="s">
        <v>481</v>
      </c>
      <c r="H6556" s="12">
        <v>4.6387698961716399</v>
      </c>
      <c r="I6556" s="20">
        <v>0.44985450087338802</v>
      </c>
      <c r="J6556" s="28">
        <v>0.65281535672642099</v>
      </c>
      <c r="K6556" s="29">
        <v>0.98289565623980701</v>
      </c>
    </row>
    <row r="6557" spans="1:11" x14ac:dyDescent="0.35">
      <c r="A6557" s="9" t="str">
        <f>HYPERLINK("http://www.ensembl.org/id/WBGene00199624", "WBGene00199624")</f>
        <v>WBGene00199624</v>
      </c>
      <c r="B6557" s="9"/>
      <c r="C6557" s="9"/>
      <c r="D6557" t="str">
        <f>"C02D4.11"</f>
        <v>C02D4.11</v>
      </c>
      <c r="F6557" t="s">
        <v>481</v>
      </c>
      <c r="H6557" s="12">
        <v>-2.4991590031922399</v>
      </c>
      <c r="I6557" s="20">
        <v>-0.26577412737581302</v>
      </c>
      <c r="J6557" s="28">
        <v>0.79041317015736101</v>
      </c>
      <c r="K6557" s="29">
        <v>0.98289565623980701</v>
      </c>
    </row>
    <row r="6558" spans="1:11" x14ac:dyDescent="0.35">
      <c r="A6558" s="9" t="str">
        <f>HYPERLINK("http://www.ensembl.org/id/WBGene00202448", "WBGene00202448")</f>
        <v>WBGene00202448</v>
      </c>
      <c r="B6558" s="9"/>
      <c r="C6558" s="9"/>
      <c r="D6558" t="str">
        <f>"C02D4.16"</f>
        <v>C02D4.16</v>
      </c>
      <c r="F6558" t="s">
        <v>481</v>
      </c>
      <c r="H6558" s="12">
        <v>5.7240911494525104</v>
      </c>
      <c r="I6558" s="20">
        <v>0.63713704464777798</v>
      </c>
      <c r="J6558" s="28">
        <v>0.52403558058044697</v>
      </c>
      <c r="K6558" s="29">
        <v>0.98289565623980701</v>
      </c>
    </row>
    <row r="6559" spans="1:11" x14ac:dyDescent="0.35">
      <c r="A6559" s="9" t="str">
        <f>HYPERLINK("http://www.ensembl.org/id/WBGene00196797", "WBGene00196797")</f>
        <v>WBGene00196797</v>
      </c>
      <c r="B6559" s="9"/>
      <c r="C6559" s="9"/>
      <c r="D6559" t="str">
        <f>"C02D4.5"</f>
        <v>C02D4.5</v>
      </c>
      <c r="F6559" t="s">
        <v>481</v>
      </c>
      <c r="H6559" s="12">
        <v>9.3459174239033302</v>
      </c>
      <c r="I6559" s="20">
        <v>0.96691633283494904</v>
      </c>
      <c r="J6559" s="28">
        <v>0.33358586104585303</v>
      </c>
      <c r="K6559" s="29">
        <v>0.98289565623980701</v>
      </c>
    </row>
    <row r="6560" spans="1:11" x14ac:dyDescent="0.35">
      <c r="A6560" s="9" t="str">
        <f>HYPERLINK("http://www.ensembl.org/id/WBGene00197838", "WBGene00197838")</f>
        <v>WBGene00197838</v>
      </c>
      <c r="B6560" s="9"/>
      <c r="C6560" s="9"/>
      <c r="D6560" t="str">
        <f>"C02D4.6"</f>
        <v>C02D4.6</v>
      </c>
      <c r="F6560" t="s">
        <v>481</v>
      </c>
      <c r="H6560" s="12">
        <v>5.4871973923358901</v>
      </c>
      <c r="I6560" s="20">
        <v>0.499843548621418</v>
      </c>
      <c r="J6560" s="28">
        <v>0.61718524397184105</v>
      </c>
      <c r="K6560" s="29">
        <v>0.98289565623980701</v>
      </c>
    </row>
    <row r="6561" spans="1:11" x14ac:dyDescent="0.35">
      <c r="A6561" s="9" t="str">
        <f>HYPERLINK("http://www.ensembl.org/id/WBGene00199038", "WBGene00199038")</f>
        <v>WBGene00199038</v>
      </c>
      <c r="B6561" s="9"/>
      <c r="C6561" s="9"/>
      <c r="D6561" t="str">
        <f>"C02D4.9"</f>
        <v>C02D4.9</v>
      </c>
      <c r="F6561" t="s">
        <v>481</v>
      </c>
      <c r="H6561" s="12">
        <v>2.4578120077400301</v>
      </c>
      <c r="I6561" s="20">
        <v>0.26093350314551</v>
      </c>
      <c r="J6561" s="28">
        <v>0.79414378780213601</v>
      </c>
      <c r="K6561" s="29">
        <v>0.98289565623980701</v>
      </c>
    </row>
    <row r="6562" spans="1:11" x14ac:dyDescent="0.35">
      <c r="A6562" s="9" t="str">
        <f>HYPERLINK("http://www.ensembl.org/id/WBGene00043097", "WBGene00043097")</f>
        <v>WBGene00043097</v>
      </c>
      <c r="B6562" s="9" t="str">
        <f>HYPERLINK("http://www.ncbi.nlm.nih.gov/gene/13190517", "13190517")</f>
        <v>13190517</v>
      </c>
      <c r="C6562" s="9" t="str">
        <f>HYPERLINK("http://www.ncbi.nlm.nih.gov/gene/9446", "9446")</f>
        <v>9446</v>
      </c>
      <c r="D6562" t="str">
        <f>"C02D5.4"</f>
        <v>C02D5.4</v>
      </c>
      <c r="F6562" t="s">
        <v>11</v>
      </c>
      <c r="G6562" t="s">
        <v>5915</v>
      </c>
      <c r="H6562" s="12">
        <v>-1.2439585346861299</v>
      </c>
      <c r="I6562" s="20">
        <v>-1.17440522457837</v>
      </c>
      <c r="J6562" s="28">
        <v>0.240232753585258</v>
      </c>
      <c r="K6562" s="29">
        <v>0.98289565623980701</v>
      </c>
    </row>
    <row r="6563" spans="1:11" x14ac:dyDescent="0.35">
      <c r="A6563" s="9" t="str">
        <f>HYPERLINK("http://www.ensembl.org/id/WBGene00195936", "WBGene00195936")</f>
        <v>WBGene00195936</v>
      </c>
      <c r="B6563" s="9"/>
      <c r="C6563" s="9"/>
      <c r="D6563" t="str">
        <f>"C02D5.5"</f>
        <v>C02D5.5</v>
      </c>
      <c r="F6563" t="s">
        <v>481</v>
      </c>
      <c r="H6563" s="12">
        <v>4.4368407117627902</v>
      </c>
      <c r="I6563" s="20">
        <v>0.43709475933309699</v>
      </c>
      <c r="J6563" s="28">
        <v>0.66204262779770495</v>
      </c>
      <c r="K6563" s="29">
        <v>0.98289565623980701</v>
      </c>
    </row>
    <row r="6564" spans="1:11" x14ac:dyDescent="0.35">
      <c r="A6564" s="9" t="str">
        <f>HYPERLINK("http://www.ensembl.org/id/WBGene00015342", "WBGene00015342")</f>
        <v>WBGene00015342</v>
      </c>
      <c r="B6564" s="9" t="str">
        <f>HYPERLINK("http://www.ncbi.nlm.nih.gov/gene/182116", "182116")</f>
        <v>182116</v>
      </c>
      <c r="C6564" s="9"/>
      <c r="D6564" t="str">
        <f>"C02E7.10"</f>
        <v>C02E7.10</v>
      </c>
      <c r="F6564" t="s">
        <v>11</v>
      </c>
      <c r="G6564" t="s">
        <v>25</v>
      </c>
      <c r="H6564" s="12">
        <v>-4.5114499031905204</v>
      </c>
      <c r="I6564" s="20">
        <v>-0.44198655555625299</v>
      </c>
      <c r="J6564" s="28">
        <v>0.65849893477547905</v>
      </c>
      <c r="K6564" s="29">
        <v>0.98289565623980701</v>
      </c>
    </row>
    <row r="6565" spans="1:11" x14ac:dyDescent="0.35">
      <c r="A6565" s="9" t="str">
        <f>HYPERLINK("http://www.ensembl.org/id/WBGene00015339", "WBGene00015339")</f>
        <v>WBGene00015339</v>
      </c>
      <c r="B6565" s="9" t="str">
        <f>HYPERLINK("http://www.ncbi.nlm.nih.gov/gene/178885", "178885")</f>
        <v>178885</v>
      </c>
      <c r="C6565" s="9"/>
      <c r="D6565" t="str">
        <f>"C02E7.6"</f>
        <v>C02E7.6</v>
      </c>
      <c r="F6565" t="s">
        <v>11</v>
      </c>
      <c r="H6565" s="12">
        <v>1.22360612589766</v>
      </c>
      <c r="I6565" s="20">
        <v>0.50834635055020605</v>
      </c>
      <c r="J6565" s="28">
        <v>0.61121046987405303</v>
      </c>
      <c r="K6565" s="29">
        <v>0.98289565623980701</v>
      </c>
    </row>
    <row r="6566" spans="1:11" x14ac:dyDescent="0.35">
      <c r="A6566" s="9" t="str">
        <f>HYPERLINK("http://www.ensembl.org/id/WBGene00015340", "WBGene00015340")</f>
        <v>WBGene00015340</v>
      </c>
      <c r="B6566" s="9" t="str">
        <f>HYPERLINK("http://www.ncbi.nlm.nih.gov/gene/178884", "178884")</f>
        <v>178884</v>
      </c>
      <c r="C6566" s="9"/>
      <c r="D6566" t="str">
        <f>"C02E7.7"</f>
        <v>C02E7.7</v>
      </c>
      <c r="F6566" t="s">
        <v>11</v>
      </c>
      <c r="H6566" s="12">
        <v>2.9456937049518599</v>
      </c>
      <c r="I6566" s="20">
        <v>0.45596955100575598</v>
      </c>
      <c r="J6566" s="28">
        <v>0.64841187414060197</v>
      </c>
      <c r="K6566" s="29">
        <v>0.98289565623980701</v>
      </c>
    </row>
    <row r="6567" spans="1:11" x14ac:dyDescent="0.35">
      <c r="A6567" s="9" t="str">
        <f>HYPERLINK("http://www.ensembl.org/id/WBGene00015357", "WBGene00015357")</f>
        <v>WBGene00015357</v>
      </c>
      <c r="B6567" s="9" t="str">
        <f>HYPERLINK("http://www.ncbi.nlm.nih.gov/gene/180659", "180659")</f>
        <v>180659</v>
      </c>
      <c r="C6567" s="9"/>
      <c r="D6567" t="str">
        <f>"C02F12.8"</f>
        <v>C02F12.8</v>
      </c>
      <c r="F6567" t="s">
        <v>11</v>
      </c>
      <c r="G6567" t="s">
        <v>54</v>
      </c>
      <c r="H6567" s="12">
        <v>-1.1591768762183601</v>
      </c>
      <c r="I6567" s="20">
        <v>-0.7403311688948</v>
      </c>
      <c r="J6567" s="28">
        <v>0.45909907276608802</v>
      </c>
      <c r="K6567" s="29">
        <v>0.98289565623980701</v>
      </c>
    </row>
    <row r="6568" spans="1:11" x14ac:dyDescent="0.35">
      <c r="A6568" s="9" t="str">
        <f>HYPERLINK("http://www.ensembl.org/id/WBGene00202419", "WBGene00202419")</f>
        <v>WBGene00202419</v>
      </c>
      <c r="B6568" s="9"/>
      <c r="C6568" s="9"/>
      <c r="D6568" t="str">
        <f>"C02F4.11"</f>
        <v>C02F4.11</v>
      </c>
      <c r="F6568" t="s">
        <v>481</v>
      </c>
      <c r="H6568" s="12">
        <v>2.3893468495514898</v>
      </c>
      <c r="I6568" s="20">
        <v>0.25323547253672701</v>
      </c>
      <c r="J6568" s="28">
        <v>0.80008625651646104</v>
      </c>
      <c r="K6568" s="29">
        <v>0.98289565623980701</v>
      </c>
    </row>
    <row r="6569" spans="1:11" x14ac:dyDescent="0.35">
      <c r="A6569" s="9" t="str">
        <f>HYPERLINK("http://www.ensembl.org/id/WBGene00007264", "WBGene00007264")</f>
        <v>WBGene00007264</v>
      </c>
      <c r="B6569" s="9" t="str">
        <f>HYPERLINK("http://www.ncbi.nlm.nih.gov/gene/182119", "182119")</f>
        <v>182119</v>
      </c>
      <c r="C6569" s="9"/>
      <c r="D6569" t="str">
        <f>"C02F4.4"</f>
        <v>C02F4.4</v>
      </c>
      <c r="F6569" t="s">
        <v>11</v>
      </c>
      <c r="H6569" s="12">
        <v>-1.2477433966070299</v>
      </c>
      <c r="I6569" s="20">
        <v>-0.46637509315210002</v>
      </c>
      <c r="J6569" s="28">
        <v>0.64094703633862005</v>
      </c>
      <c r="K6569" s="29">
        <v>0.98289565623980701</v>
      </c>
    </row>
    <row r="6570" spans="1:11" x14ac:dyDescent="0.35">
      <c r="A6570" s="9" t="str">
        <f>HYPERLINK("http://www.ensembl.org/id/WBGene00195947", "WBGene00195947")</f>
        <v>WBGene00195947</v>
      </c>
      <c r="B6570" s="9"/>
      <c r="C6570" s="9"/>
      <c r="D6570" t="str">
        <f>"C02F4.9"</f>
        <v>C02F4.9</v>
      </c>
      <c r="F6570" t="s">
        <v>481</v>
      </c>
      <c r="H6570" s="12">
        <v>5.4058944669092801</v>
      </c>
      <c r="I6570" s="20">
        <v>0.49762513753689303</v>
      </c>
      <c r="J6570" s="28">
        <v>0.61874828254921799</v>
      </c>
      <c r="K6570" s="29">
        <v>0.98289565623980701</v>
      </c>
    </row>
    <row r="6571" spans="1:11" x14ac:dyDescent="0.35">
      <c r="A6571" s="9" t="str">
        <f>HYPERLINK("http://www.ensembl.org/id/WBGene00015351", "WBGene00015351")</f>
        <v>WBGene00015351</v>
      </c>
      <c r="B6571" s="9" t="str">
        <f>HYPERLINK("http://www.ncbi.nlm.nih.gov/gene/182123", "182123")</f>
        <v>182123</v>
      </c>
      <c r="C6571" s="9"/>
      <c r="D6571" t="str">
        <f>"C02F5.10"</f>
        <v>C02F5.10</v>
      </c>
      <c r="F6571" t="s">
        <v>11</v>
      </c>
      <c r="H6571" s="12">
        <v>-1.1650797788574401</v>
      </c>
      <c r="I6571" s="20">
        <v>-0.25795034287467999</v>
      </c>
      <c r="J6571" s="28">
        <v>0.79644523117140598</v>
      </c>
      <c r="K6571" s="29">
        <v>0.98289565623980701</v>
      </c>
    </row>
    <row r="6572" spans="1:11" x14ac:dyDescent="0.35">
      <c r="A6572" s="9" t="str">
        <f>HYPERLINK("http://www.ensembl.org/id/WBGene00015353", "WBGene00015353")</f>
        <v>WBGene00015353</v>
      </c>
      <c r="B6572" s="9" t="str">
        <f>HYPERLINK("http://www.ncbi.nlm.nih.gov/gene/3565859", "3565859")</f>
        <v>3565859</v>
      </c>
      <c r="C6572" s="9" t="str">
        <f>HYPERLINK("http://www.ncbi.nlm.nih.gov/gene/83877", "83877")</f>
        <v>83877</v>
      </c>
      <c r="D6572" t="str">
        <f>"C02F5.13"</f>
        <v>C02F5.13</v>
      </c>
      <c r="E6572" t="s">
        <v>9632</v>
      </c>
      <c r="F6572" t="s">
        <v>11</v>
      </c>
      <c r="G6572" t="s">
        <v>25</v>
      </c>
      <c r="H6572" s="12">
        <v>-1.27014272425375</v>
      </c>
      <c r="I6572" s="20">
        <v>-0.98054723834336299</v>
      </c>
      <c r="J6572" s="28">
        <v>0.32681606385617701</v>
      </c>
      <c r="K6572" s="29">
        <v>0.98289565623980701</v>
      </c>
    </row>
    <row r="6573" spans="1:11" x14ac:dyDescent="0.35">
      <c r="A6573" s="9" t="str">
        <f>HYPERLINK("http://www.ensembl.org/id/WBGene00015346", "WBGene00015346")</f>
        <v>WBGene00015346</v>
      </c>
      <c r="B6573" s="9" t="str">
        <f>HYPERLINK("http://www.ncbi.nlm.nih.gov/gene/176163", "176163")</f>
        <v>176163</v>
      </c>
      <c r="C6573" s="9" t="str">
        <f>HYPERLINK("http://www.ncbi.nlm.nih.gov/gene/1819", "1819")</f>
        <v>1819</v>
      </c>
      <c r="D6573" t="str">
        <f>"C02F5.3"</f>
        <v>C02F5.3</v>
      </c>
      <c r="E6573" t="s">
        <v>9489</v>
      </c>
      <c r="F6573" t="s">
        <v>11</v>
      </c>
      <c r="G6573" t="s">
        <v>8997</v>
      </c>
      <c r="H6573" s="12">
        <v>-1.2508332917634699</v>
      </c>
      <c r="I6573" s="20">
        <v>-1.1564944220178199</v>
      </c>
      <c r="J6573" s="28">
        <v>0.24747897983842301</v>
      </c>
      <c r="K6573" s="29">
        <v>0.98289565623980701</v>
      </c>
    </row>
    <row r="6574" spans="1:11" x14ac:dyDescent="0.35">
      <c r="A6574" s="9" t="str">
        <f>HYPERLINK("http://www.ensembl.org/id/WBGene00015359", "WBGene00015359")</f>
        <v>WBGene00015359</v>
      </c>
      <c r="B6574" s="9"/>
      <c r="C6574" s="9"/>
      <c r="D6574" t="str">
        <f>"C02G6.1"</f>
        <v>C02G6.1</v>
      </c>
      <c r="F6574" t="s">
        <v>80</v>
      </c>
      <c r="H6574" s="12">
        <v>1.20416402248407</v>
      </c>
      <c r="I6574" s="20">
        <v>0.33790676709658102</v>
      </c>
      <c r="J6574" s="28">
        <v>0.73543344780932696</v>
      </c>
      <c r="K6574" s="29">
        <v>0.98289565623980701</v>
      </c>
    </row>
    <row r="6575" spans="1:11" x14ac:dyDescent="0.35">
      <c r="A6575" s="9" t="str">
        <f>HYPERLINK("http://www.ensembl.org/id/WBGene00044803", "WBGene00044803")</f>
        <v>WBGene00044803</v>
      </c>
      <c r="B6575" s="9" t="str">
        <f>HYPERLINK("http://www.ncbi.nlm.nih.gov/gene/4363095", "4363095")</f>
        <v>4363095</v>
      </c>
      <c r="C6575" s="9"/>
      <c r="D6575" t="str">
        <f>"C02G6.3"</f>
        <v>C02G6.3</v>
      </c>
      <c r="F6575" t="s">
        <v>11</v>
      </c>
      <c r="G6575" t="s">
        <v>25</v>
      </c>
      <c r="H6575" s="12">
        <v>1.8140584889867799</v>
      </c>
      <c r="I6575" s="20">
        <v>0.82265412282676997</v>
      </c>
      <c r="J6575" s="28">
        <v>0.41070471121909502</v>
      </c>
      <c r="K6575" s="29">
        <v>0.98289565623980701</v>
      </c>
    </row>
    <row r="6576" spans="1:11" x14ac:dyDescent="0.35">
      <c r="A6576" s="9" t="str">
        <f>HYPERLINK("http://www.ensembl.org/id/WBGene00015361", "WBGene00015361")</f>
        <v>WBGene00015361</v>
      </c>
      <c r="B6576" s="9" t="str">
        <f>HYPERLINK("http://www.ncbi.nlm.nih.gov/gene/182129", "182129")</f>
        <v>182129</v>
      </c>
      <c r="C6576" s="9"/>
      <c r="D6576" t="str">
        <f>"C02H6.1"</f>
        <v>C02H6.1</v>
      </c>
      <c r="E6576" t="s">
        <v>3820</v>
      </c>
      <c r="F6576" t="s">
        <v>11</v>
      </c>
      <c r="G6576" t="s">
        <v>3821</v>
      </c>
      <c r="H6576" s="12">
        <v>-2.5283654188968701</v>
      </c>
      <c r="I6576" s="20">
        <v>-0.80012429855461198</v>
      </c>
      <c r="J6576" s="28">
        <v>0.42363878426489499</v>
      </c>
      <c r="K6576" s="29">
        <v>0.98289565623980701</v>
      </c>
    </row>
    <row r="6577" spans="1:11" x14ac:dyDescent="0.35">
      <c r="A6577" s="9" t="str">
        <f>HYPERLINK("http://www.ensembl.org/id/WBGene00220257", "WBGene00220257")</f>
        <v>WBGene00220257</v>
      </c>
      <c r="B6577" s="9" t="str">
        <f>HYPERLINK("http://www.ncbi.nlm.nih.gov/gene/24104153", "24104153")</f>
        <v>24104153</v>
      </c>
      <c r="C6577" s="9"/>
      <c r="D6577" t="str">
        <f>"C02H6.3"</f>
        <v>C02H6.3</v>
      </c>
      <c r="F6577" t="s">
        <v>11</v>
      </c>
      <c r="G6577" t="s">
        <v>25</v>
      </c>
      <c r="H6577" s="12">
        <v>-1.52990386509733</v>
      </c>
      <c r="I6577" s="20">
        <v>-0.44026877624101401</v>
      </c>
      <c r="J6577" s="28">
        <v>0.65974245232898798</v>
      </c>
      <c r="K6577" s="29">
        <v>0.98289565623980701</v>
      </c>
    </row>
    <row r="6578" spans="1:11" x14ac:dyDescent="0.35">
      <c r="A6578" s="9" t="str">
        <f>HYPERLINK("http://www.ensembl.org/id/WBGene00007266", "WBGene00007266")</f>
        <v>WBGene00007266</v>
      </c>
      <c r="B6578" s="9" t="str">
        <f>HYPERLINK("http://www.ncbi.nlm.nih.gov/gene/181314", "181314")</f>
        <v>181314</v>
      </c>
      <c r="C6578" s="9"/>
      <c r="D6578" t="str">
        <f>"C03A3.1"</f>
        <v>C03A3.1</v>
      </c>
      <c r="F6578" t="s">
        <v>11</v>
      </c>
      <c r="G6578" t="s">
        <v>25</v>
      </c>
      <c r="H6578" s="12">
        <v>1.33137924142508</v>
      </c>
      <c r="I6578" s="20">
        <v>1.0314509036502499</v>
      </c>
      <c r="J6578" s="28">
        <v>0.302329420372354</v>
      </c>
      <c r="K6578" s="29">
        <v>0.98289565623980701</v>
      </c>
    </row>
    <row r="6579" spans="1:11" x14ac:dyDescent="0.35">
      <c r="A6579" s="9" t="str">
        <f>HYPERLINK("http://www.ensembl.org/id/WBGene00197484", "WBGene00197484")</f>
        <v>WBGene00197484</v>
      </c>
      <c r="B6579" s="9"/>
      <c r="C6579" s="9"/>
      <c r="D6579" t="str">
        <f>"C03A3.4"</f>
        <v>C03A3.4</v>
      </c>
      <c r="F6579" t="s">
        <v>481</v>
      </c>
      <c r="H6579" s="12">
        <v>-2.3838754719136599</v>
      </c>
      <c r="I6579" s="20">
        <v>-0.25807578497976902</v>
      </c>
      <c r="J6579" s="28">
        <v>0.79634841949468704</v>
      </c>
      <c r="K6579" s="29">
        <v>0.98289565623980701</v>
      </c>
    </row>
    <row r="6580" spans="1:11" x14ac:dyDescent="0.35">
      <c r="A6580" s="9" t="str">
        <f>HYPERLINK("http://www.ensembl.org/id/WBGene00015371", "WBGene00015371")</f>
        <v>WBGene00015371</v>
      </c>
      <c r="B6580" s="9" t="str">
        <f>HYPERLINK("http://www.ncbi.nlm.nih.gov/gene/182143", "182143")</f>
        <v>182143</v>
      </c>
      <c r="C6580" s="9"/>
      <c r="D6580" t="str">
        <f>"C03A7.13"</f>
        <v>C03A7.13</v>
      </c>
      <c r="F6580" t="s">
        <v>11</v>
      </c>
      <c r="G6580" t="s">
        <v>4654</v>
      </c>
      <c r="H6580" s="12">
        <v>-1.3150571319154301</v>
      </c>
      <c r="I6580" s="20">
        <v>-0.54303174749580796</v>
      </c>
      <c r="J6580" s="28">
        <v>0.58710794394384502</v>
      </c>
      <c r="K6580" s="29">
        <v>0.98289565623980701</v>
      </c>
    </row>
    <row r="6581" spans="1:11" x14ac:dyDescent="0.35">
      <c r="A6581" s="9" t="str">
        <f>HYPERLINK("http://www.ensembl.org/id/WBGene00015372", "WBGene00015372")</f>
        <v>WBGene00015372</v>
      </c>
      <c r="B6581" s="9" t="str">
        <f>HYPERLINK("http://www.ncbi.nlm.nih.gov/gene/182144", "182144")</f>
        <v>182144</v>
      </c>
      <c r="C6581" s="9"/>
      <c r="D6581" t="str">
        <f>"C03B1.1"</f>
        <v>C03B1.1</v>
      </c>
      <c r="F6581" t="s">
        <v>11</v>
      </c>
      <c r="H6581" s="12">
        <v>7.2860099242480398</v>
      </c>
      <c r="I6581" s="20">
        <v>1.16734813315494</v>
      </c>
      <c r="J6581" s="28">
        <v>0.24306980791337901</v>
      </c>
      <c r="K6581" s="29">
        <v>0.98289565623980701</v>
      </c>
    </row>
    <row r="6582" spans="1:11" x14ac:dyDescent="0.35">
      <c r="A6582" s="9" t="str">
        <f>HYPERLINK("http://www.ensembl.org/id/WBGene00015380", "WBGene00015380")</f>
        <v>WBGene00015380</v>
      </c>
      <c r="B6582" s="9" t="str">
        <f>HYPERLINK("http://www.ncbi.nlm.nih.gov/gene/182151", "182151")</f>
        <v>182151</v>
      </c>
      <c r="C6582" s="9"/>
      <c r="D6582" t="str">
        <f>"C03B1.10"</f>
        <v>C03B1.10</v>
      </c>
      <c r="F6582" t="s">
        <v>11</v>
      </c>
      <c r="H6582" s="12">
        <v>-2.4295389261469</v>
      </c>
      <c r="I6582" s="20">
        <v>-0.25808529976640998</v>
      </c>
      <c r="J6582" s="28">
        <v>0.79634107645457397</v>
      </c>
      <c r="K6582" s="29">
        <v>0.98289565623980701</v>
      </c>
    </row>
    <row r="6583" spans="1:11" x14ac:dyDescent="0.35">
      <c r="A6583" s="9" t="str">
        <f>HYPERLINK("http://www.ensembl.org/id/WBGene00015373", "WBGene00015373")</f>
        <v>WBGene00015373</v>
      </c>
      <c r="B6583" s="9" t="str">
        <f>HYPERLINK("http://www.ncbi.nlm.nih.gov/gene/182145", "182145")</f>
        <v>182145</v>
      </c>
      <c r="C6583" s="9"/>
      <c r="D6583" t="str">
        <f>"C03B1.2"</f>
        <v>C03B1.2</v>
      </c>
      <c r="F6583" t="s">
        <v>11</v>
      </c>
      <c r="H6583" s="12">
        <v>1.3226195969780801</v>
      </c>
      <c r="I6583" s="20">
        <v>0.33041937101693603</v>
      </c>
      <c r="J6583" s="28">
        <v>0.74108310674584799</v>
      </c>
      <c r="K6583" s="29">
        <v>0.98289565623980701</v>
      </c>
    </row>
    <row r="6584" spans="1:11" x14ac:dyDescent="0.35">
      <c r="A6584" s="9" t="str">
        <f>HYPERLINK("http://www.ensembl.org/id/WBGene00015374", "WBGene00015374")</f>
        <v>WBGene00015374</v>
      </c>
      <c r="B6584" s="9" t="str">
        <f>HYPERLINK("http://www.ncbi.nlm.nih.gov/gene/182146", "182146")</f>
        <v>182146</v>
      </c>
      <c r="C6584" s="9"/>
      <c r="D6584" t="str">
        <f>"C03B1.3"</f>
        <v>C03B1.3</v>
      </c>
      <c r="F6584" t="s">
        <v>11</v>
      </c>
      <c r="H6584" s="12">
        <v>3.6645215954135</v>
      </c>
      <c r="I6584" s="20">
        <v>0.37967131826092498</v>
      </c>
      <c r="J6584" s="28">
        <v>0.70418941338960395</v>
      </c>
      <c r="K6584" s="29">
        <v>0.98289565623980701</v>
      </c>
    </row>
    <row r="6585" spans="1:11" x14ac:dyDescent="0.35">
      <c r="A6585" s="9" t="str">
        <f>HYPERLINK("http://www.ensembl.org/id/WBGene00015375", "WBGene00015375")</f>
        <v>WBGene00015375</v>
      </c>
      <c r="B6585" s="9" t="str">
        <f>HYPERLINK("http://www.ncbi.nlm.nih.gov/gene/182147", "182147")</f>
        <v>182147</v>
      </c>
      <c r="C6585" s="9"/>
      <c r="D6585" t="str">
        <f>"C03B1.4"</f>
        <v>C03B1.4</v>
      </c>
      <c r="F6585" t="s">
        <v>11</v>
      </c>
      <c r="H6585" s="12">
        <v>3.5227018545059199</v>
      </c>
      <c r="I6585" s="20">
        <v>0.36849691206929103</v>
      </c>
      <c r="J6585" s="28">
        <v>0.71250274722433404</v>
      </c>
      <c r="K6585" s="29">
        <v>0.98289565623980701</v>
      </c>
    </row>
    <row r="6586" spans="1:11" x14ac:dyDescent="0.35">
      <c r="A6586" s="9" t="str">
        <f>HYPERLINK("http://www.ensembl.org/id/WBGene00015376", "WBGene00015376")</f>
        <v>WBGene00015376</v>
      </c>
      <c r="B6586" s="9" t="str">
        <f>HYPERLINK("http://www.ncbi.nlm.nih.gov/gene/182148", "182148")</f>
        <v>182148</v>
      </c>
      <c r="C6586" s="9"/>
      <c r="D6586" t="str">
        <f>"C03B1.5"</f>
        <v>C03B1.5</v>
      </c>
      <c r="E6586" t="s">
        <v>4949</v>
      </c>
      <c r="F6586" t="s">
        <v>11</v>
      </c>
      <c r="G6586" t="s">
        <v>4950</v>
      </c>
      <c r="H6586" s="12">
        <v>1.2845430534417599</v>
      </c>
      <c r="I6586" s="20">
        <v>0.43102438738218601</v>
      </c>
      <c r="J6586" s="28">
        <v>0.66645063816928296</v>
      </c>
      <c r="K6586" s="29">
        <v>0.98289565623980701</v>
      </c>
    </row>
    <row r="6587" spans="1:11" x14ac:dyDescent="0.35">
      <c r="A6587" s="9" t="str">
        <f>HYPERLINK("http://www.ensembl.org/id/WBGene00015378", "WBGene00015378")</f>
        <v>WBGene00015378</v>
      </c>
      <c r="B6587" s="9" t="str">
        <f>HYPERLINK("http://www.ncbi.nlm.nih.gov/gene/182149", "182149")</f>
        <v>182149</v>
      </c>
      <c r="C6587" s="9"/>
      <c r="D6587" t="str">
        <f>"C03B1.7"</f>
        <v>C03B1.7</v>
      </c>
      <c r="F6587" t="s">
        <v>11</v>
      </c>
      <c r="H6587" s="12">
        <v>-1.27210364973663</v>
      </c>
      <c r="I6587" s="20">
        <v>-1.16832117383991</v>
      </c>
      <c r="J6587" s="28">
        <v>0.242677237598248</v>
      </c>
      <c r="K6587" s="29">
        <v>0.98289565623980701</v>
      </c>
    </row>
    <row r="6588" spans="1:11" x14ac:dyDescent="0.35">
      <c r="A6588" s="9" t="str">
        <f>HYPERLINK("http://www.ensembl.org/id/WBGene00015379", "WBGene00015379")</f>
        <v>WBGene00015379</v>
      </c>
      <c r="B6588" s="9" t="str">
        <f>HYPERLINK("http://www.ncbi.nlm.nih.gov/gene/182150", "182150")</f>
        <v>182150</v>
      </c>
      <c r="C6588" s="9"/>
      <c r="D6588" t="str">
        <f>"C03B1.9"</f>
        <v>C03B1.9</v>
      </c>
      <c r="F6588" t="s">
        <v>11</v>
      </c>
      <c r="H6588" s="12">
        <v>2.4578120077400301</v>
      </c>
      <c r="I6588" s="20">
        <v>0.26093350314551</v>
      </c>
      <c r="J6588" s="28">
        <v>0.79414378780213601</v>
      </c>
      <c r="K6588" s="29">
        <v>0.98289565623980701</v>
      </c>
    </row>
    <row r="6589" spans="1:11" x14ac:dyDescent="0.35">
      <c r="A6589" s="9" t="str">
        <f>HYPERLINK("http://www.ensembl.org/id/WBGene00015385", "WBGene00015385")</f>
        <v>WBGene00015385</v>
      </c>
      <c r="B6589" s="9" t="str">
        <f>HYPERLINK("http://www.ncbi.nlm.nih.gov/gene/182154", "182154")</f>
        <v>182154</v>
      </c>
      <c r="C6589" s="9"/>
      <c r="D6589" t="str">
        <f>"C03B8.2"</f>
        <v>C03B8.2</v>
      </c>
      <c r="F6589" t="s">
        <v>11</v>
      </c>
      <c r="H6589" s="12">
        <v>-1.45726454967205</v>
      </c>
      <c r="I6589" s="20">
        <v>-0.34276377973008598</v>
      </c>
      <c r="J6589" s="28">
        <v>0.73177617661667604</v>
      </c>
      <c r="K6589" s="29">
        <v>0.98289565623980701</v>
      </c>
    </row>
    <row r="6590" spans="1:11" x14ac:dyDescent="0.35">
      <c r="A6590" s="9" t="str">
        <f>HYPERLINK("http://www.ensembl.org/id/WBGene00015386", "WBGene00015386")</f>
        <v>WBGene00015386</v>
      </c>
      <c r="B6590" s="9" t="str">
        <f>HYPERLINK("http://www.ncbi.nlm.nih.gov/gene/182155", "182155")</f>
        <v>182155</v>
      </c>
      <c r="C6590" s="9"/>
      <c r="D6590" t="str">
        <f>"C03B8.3"</f>
        <v>C03B8.3</v>
      </c>
      <c r="F6590" t="s">
        <v>11</v>
      </c>
      <c r="G6590" t="s">
        <v>25</v>
      </c>
      <c r="H6590" s="12">
        <v>1.7509795774638801</v>
      </c>
      <c r="I6590" s="20">
        <v>0.59879878302923195</v>
      </c>
      <c r="J6590" s="28">
        <v>0.54930707396329204</v>
      </c>
      <c r="K6590" s="29">
        <v>0.98289565623980701</v>
      </c>
    </row>
    <row r="6591" spans="1:11" x14ac:dyDescent="0.35">
      <c r="A6591" s="9" t="str">
        <f>HYPERLINK("http://www.ensembl.org/id/WBGene00007269", "WBGene00007269")</f>
        <v>WBGene00007269</v>
      </c>
      <c r="B6591" s="9" t="str">
        <f>HYPERLINK("http://www.ncbi.nlm.nih.gov/gene/182156", "182156")</f>
        <v>182156</v>
      </c>
      <c r="C6591" s="9"/>
      <c r="D6591" t="str">
        <f>"C03C10.2"</f>
        <v>C03C10.2</v>
      </c>
      <c r="E6591" t="s">
        <v>9957</v>
      </c>
      <c r="F6591" t="s">
        <v>11</v>
      </c>
      <c r="G6591" t="s">
        <v>9958</v>
      </c>
      <c r="H6591" s="12">
        <v>-1.48240317611807</v>
      </c>
      <c r="I6591" s="20">
        <v>-0.286001700318263</v>
      </c>
      <c r="J6591" s="28">
        <v>0.77487681926216201</v>
      </c>
      <c r="K6591" s="29">
        <v>0.98289565623980701</v>
      </c>
    </row>
    <row r="6592" spans="1:11" x14ac:dyDescent="0.35">
      <c r="A6592" s="9" t="str">
        <f>HYPERLINK("http://www.ensembl.org/id/WBGene00007273", "WBGene00007273")</f>
        <v>WBGene00007273</v>
      </c>
      <c r="B6592" s="9" t="str">
        <f>HYPERLINK("http://www.ncbi.nlm.nih.gov/gene/3565954", "3565954")</f>
        <v>3565954</v>
      </c>
      <c r="C6592" s="9"/>
      <c r="D6592" t="str">
        <f>"C03C10.7"</f>
        <v>C03C10.7</v>
      </c>
      <c r="F6592" t="s">
        <v>11</v>
      </c>
      <c r="H6592" s="12">
        <v>1.48530497849041</v>
      </c>
      <c r="I6592" s="20">
        <v>0.30856075020504597</v>
      </c>
      <c r="J6592" s="28">
        <v>0.75765568158149799</v>
      </c>
      <c r="K6592" s="29">
        <v>0.98289565623980701</v>
      </c>
    </row>
    <row r="6593" spans="1:11" x14ac:dyDescent="0.35">
      <c r="A6593" s="9" t="str">
        <f>HYPERLINK("http://www.ensembl.org/id/WBGene00007275", "WBGene00007275")</f>
        <v>WBGene00007275</v>
      </c>
      <c r="B6593" s="9" t="str">
        <f>HYPERLINK("http://www.ncbi.nlm.nih.gov/gene/182158", "182158")</f>
        <v>182158</v>
      </c>
      <c r="C6593" s="9"/>
      <c r="D6593" t="str">
        <f>"C03D6.1"</f>
        <v>C03D6.1</v>
      </c>
      <c r="F6593" t="s">
        <v>11</v>
      </c>
      <c r="G6593" t="s">
        <v>91</v>
      </c>
      <c r="H6593" s="12">
        <v>-1.3537377563456201</v>
      </c>
      <c r="I6593" s="20">
        <v>-0.82835136206735205</v>
      </c>
      <c r="J6593" s="28">
        <v>0.40747154296081101</v>
      </c>
      <c r="K6593" s="29">
        <v>0.98289565623980701</v>
      </c>
    </row>
    <row r="6594" spans="1:11" x14ac:dyDescent="0.35">
      <c r="A6594" s="9" t="str">
        <f>HYPERLINK("http://www.ensembl.org/id/WBGene00219796", "WBGene00219796")</f>
        <v>WBGene00219796</v>
      </c>
      <c r="B6594" s="9" t="str">
        <f>HYPERLINK("http://www.ncbi.nlm.nih.gov/gene/24104154", "24104154")</f>
        <v>24104154</v>
      </c>
      <c r="C6594" s="9"/>
      <c r="D6594" t="str">
        <f>"C03D6.9"</f>
        <v>C03D6.9</v>
      </c>
      <c r="F6594" t="s">
        <v>11</v>
      </c>
      <c r="G6594" t="s">
        <v>25</v>
      </c>
      <c r="H6594" s="12">
        <v>1.23632442257866</v>
      </c>
      <c r="I6594" s="20">
        <v>0.54105618510452802</v>
      </c>
      <c r="J6594" s="28">
        <v>0.58846885696653195</v>
      </c>
      <c r="K6594" s="29">
        <v>0.98289565623980701</v>
      </c>
    </row>
    <row r="6595" spans="1:11" x14ac:dyDescent="0.35">
      <c r="A6595" s="9" t="str">
        <f>HYPERLINK("http://www.ensembl.org/id/WBGene00195286", "WBGene00195286")</f>
        <v>WBGene00195286</v>
      </c>
      <c r="B6595" s="9"/>
      <c r="C6595" s="9"/>
      <c r="D6595" t="str">
        <f>"C03E10.8"</f>
        <v>C03E10.8</v>
      </c>
      <c r="F6595" t="s">
        <v>481</v>
      </c>
      <c r="H6595" s="12">
        <v>2.15084583900728</v>
      </c>
      <c r="I6595" s="20">
        <v>0.37220651009071098</v>
      </c>
      <c r="J6595" s="28">
        <v>0.70973909941152502</v>
      </c>
      <c r="K6595" s="29">
        <v>0.98289565623980701</v>
      </c>
    </row>
    <row r="6596" spans="1:11" x14ac:dyDescent="0.35">
      <c r="A6596" s="9" t="str">
        <f>HYPERLINK("http://www.ensembl.org/id/WBGene00015388", "WBGene00015388")</f>
        <v>WBGene00015388</v>
      </c>
      <c r="B6596" s="9" t="str">
        <f>HYPERLINK("http://www.ncbi.nlm.nih.gov/gene/182165", "182165")</f>
        <v>182165</v>
      </c>
      <c r="C6596" s="9"/>
      <c r="D6596" t="str">
        <f>"C03F11.2"</f>
        <v>C03F11.2</v>
      </c>
      <c r="F6596" t="s">
        <v>11</v>
      </c>
      <c r="H6596" s="12">
        <v>-1.7275215850666701</v>
      </c>
      <c r="I6596" s="20">
        <v>-0.71373565516174697</v>
      </c>
      <c r="J6596" s="28">
        <v>0.47539065435507799</v>
      </c>
      <c r="K6596" s="29">
        <v>0.98289565623980701</v>
      </c>
    </row>
    <row r="6597" spans="1:11" x14ac:dyDescent="0.35">
      <c r="A6597" s="9" t="str">
        <f>HYPERLINK("http://www.ensembl.org/id/WBGene00015390", "WBGene00015390")</f>
        <v>WBGene00015390</v>
      </c>
      <c r="B6597" s="9" t="str">
        <f>HYPERLINK("http://www.ncbi.nlm.nih.gov/gene/180813", "180813")</f>
        <v>180813</v>
      </c>
      <c r="C6597" s="9"/>
      <c r="D6597" t="str">
        <f>"C03F11.4"</f>
        <v>C03F11.4</v>
      </c>
      <c r="F6597" t="s">
        <v>11</v>
      </c>
      <c r="H6597" s="12">
        <v>-1.1587612284856399</v>
      </c>
      <c r="I6597" s="20">
        <v>-0.58358360568699497</v>
      </c>
      <c r="J6597" s="28">
        <v>0.55950049277652802</v>
      </c>
      <c r="K6597" s="29">
        <v>0.98289565623980701</v>
      </c>
    </row>
    <row r="6598" spans="1:11" x14ac:dyDescent="0.35">
      <c r="A6598" s="9" t="str">
        <f>HYPERLINK("http://www.ensembl.org/id/WBGene00219371", "WBGene00219371")</f>
        <v>WBGene00219371</v>
      </c>
      <c r="B6598" s="9" t="str">
        <f>HYPERLINK("http://www.ncbi.nlm.nih.gov/gene/13221877", "13221877")</f>
        <v>13221877</v>
      </c>
      <c r="C6598" s="9"/>
      <c r="D6598" t="str">
        <f>"C03G5.14"</f>
        <v>C03G5.14</v>
      </c>
      <c r="F6598" t="s">
        <v>11</v>
      </c>
      <c r="G6598" t="s">
        <v>25</v>
      </c>
      <c r="H6598" s="12">
        <v>4.8330720971898202</v>
      </c>
      <c r="I6598" s="20">
        <v>0.53826283632608196</v>
      </c>
      <c r="J6598" s="28">
        <v>0.59039560452453599</v>
      </c>
      <c r="K6598" s="29">
        <v>0.98289565623980701</v>
      </c>
    </row>
    <row r="6599" spans="1:11" x14ac:dyDescent="0.35">
      <c r="A6599" s="9" t="str">
        <f>HYPERLINK("http://www.ensembl.org/id/WBGene00235116", "WBGene00235116")</f>
        <v>WBGene00235116</v>
      </c>
      <c r="B6599" s="9" t="str">
        <f>HYPERLINK("http://www.ncbi.nlm.nih.gov/gene/24104156", "24104156")</f>
        <v>24104156</v>
      </c>
      <c r="C6599" s="9"/>
      <c r="D6599" t="str">
        <f>"C03G6.21"</f>
        <v>C03G6.21</v>
      </c>
      <c r="F6599" t="s">
        <v>11</v>
      </c>
      <c r="G6599" t="s">
        <v>25</v>
      </c>
      <c r="H6599" s="12">
        <v>-2.4295389261469</v>
      </c>
      <c r="I6599" s="20">
        <v>-0.25808529976640998</v>
      </c>
      <c r="J6599" s="28">
        <v>0.79634107645457397</v>
      </c>
      <c r="K6599" s="29">
        <v>0.98289565623980701</v>
      </c>
    </row>
    <row r="6600" spans="1:11" x14ac:dyDescent="0.35">
      <c r="A6600" s="9" t="str">
        <f>HYPERLINK("http://www.ensembl.org/id/WBGene00015394", "WBGene00015394")</f>
        <v>WBGene00015394</v>
      </c>
      <c r="B6600" s="9" t="str">
        <f>HYPERLINK("http://www.ncbi.nlm.nih.gov/gene/182169", "182169")</f>
        <v>182169</v>
      </c>
      <c r="C6600" s="9"/>
      <c r="D6600" t="str">
        <f>"C03G6.6"</f>
        <v>C03G6.6</v>
      </c>
      <c r="F6600" t="s">
        <v>11</v>
      </c>
      <c r="G6600" t="s">
        <v>25</v>
      </c>
      <c r="H6600" s="12">
        <v>-2.4991590031922399</v>
      </c>
      <c r="I6600" s="20">
        <v>-0.26577412737581302</v>
      </c>
      <c r="J6600" s="28">
        <v>0.79041317015736101</v>
      </c>
      <c r="K6600" s="29">
        <v>0.98289565623980701</v>
      </c>
    </row>
    <row r="6601" spans="1:11" x14ac:dyDescent="0.35">
      <c r="A6601" s="9" t="str">
        <f>HYPERLINK("http://www.ensembl.org/id/WBGene00007284", "WBGene00007284")</f>
        <v>WBGene00007284</v>
      </c>
      <c r="B6601" s="9" t="str">
        <f>HYPERLINK("http://www.ncbi.nlm.nih.gov/gene/181659", "181659")</f>
        <v>181659</v>
      </c>
      <c r="C6601" s="9"/>
      <c r="D6601" t="str">
        <f>"C03H12.1"</f>
        <v>C03H12.1</v>
      </c>
      <c r="F6601" t="s">
        <v>11</v>
      </c>
      <c r="G6601" t="s">
        <v>7208</v>
      </c>
      <c r="H6601" s="12">
        <v>-1.1136339925102201</v>
      </c>
      <c r="I6601" s="20">
        <v>-0.544477339558889</v>
      </c>
      <c r="J6601" s="28">
        <v>0.58611303787145996</v>
      </c>
      <c r="K6601" s="29">
        <v>0.98289565623980701</v>
      </c>
    </row>
    <row r="6602" spans="1:11" x14ac:dyDescent="0.35">
      <c r="A6602" s="9" t="str">
        <f>HYPERLINK("http://www.ensembl.org/id/WBGene00255736", "WBGene00255736")</f>
        <v>WBGene00255736</v>
      </c>
      <c r="B6602" s="9"/>
      <c r="C6602" s="9"/>
      <c r="D6602" t="str">
        <f>"C03H5.10"</f>
        <v>C03H5.10</v>
      </c>
      <c r="F6602" t="s">
        <v>481</v>
      </c>
      <c r="H6602" s="12">
        <v>-1.3917634181647101</v>
      </c>
      <c r="I6602" s="20">
        <v>-0.43709941517827999</v>
      </c>
      <c r="J6602" s="28">
        <v>0.66203925141417697</v>
      </c>
      <c r="K6602" s="29">
        <v>0.98289565623980701</v>
      </c>
    </row>
    <row r="6603" spans="1:11" x14ac:dyDescent="0.35">
      <c r="A6603" s="9" t="str">
        <f>HYPERLINK("http://www.ensembl.org/id/WBGene00015405", "WBGene00015405")</f>
        <v>WBGene00015405</v>
      </c>
      <c r="B6603" s="9" t="str">
        <f>HYPERLINK("http://www.ncbi.nlm.nih.gov/gene/173427", "173427")</f>
        <v>173427</v>
      </c>
      <c r="C6603" s="9"/>
      <c r="D6603" t="str">
        <f>"C03H5.3"</f>
        <v>C03H5.3</v>
      </c>
      <c r="F6603" t="s">
        <v>11</v>
      </c>
      <c r="H6603" s="12">
        <v>-1.1724925906700201</v>
      </c>
      <c r="I6603" s="20">
        <v>-0.72010913922953601</v>
      </c>
      <c r="J6603" s="28">
        <v>0.471457800899998</v>
      </c>
      <c r="K6603" s="29">
        <v>0.98289565623980701</v>
      </c>
    </row>
    <row r="6604" spans="1:11" x14ac:dyDescent="0.35">
      <c r="A6604" s="9" t="str">
        <f>HYPERLINK("http://www.ensembl.org/id/WBGene00015408", "WBGene00015408")</f>
        <v>WBGene00015408</v>
      </c>
      <c r="B6604" s="9" t="str">
        <f>HYPERLINK("http://www.ncbi.nlm.nih.gov/gene/182183", "182183")</f>
        <v>182183</v>
      </c>
      <c r="C6604" s="9"/>
      <c r="D6604" t="str">
        <f>"C03H5.6"</f>
        <v>C03H5.6</v>
      </c>
      <c r="F6604" t="s">
        <v>11</v>
      </c>
      <c r="G6604" t="s">
        <v>54</v>
      </c>
      <c r="H6604" s="12">
        <v>1.4409664684785299</v>
      </c>
      <c r="I6604" s="20">
        <v>1.0408947967764</v>
      </c>
      <c r="J6604" s="28">
        <v>0.29792437686625201</v>
      </c>
      <c r="K6604" s="29">
        <v>0.98289565623980701</v>
      </c>
    </row>
    <row r="6605" spans="1:11" x14ac:dyDescent="0.35">
      <c r="A6605" s="9" t="str">
        <f>HYPERLINK("http://www.ensembl.org/id/WBGene00015409", "WBGene00015409")</f>
        <v>WBGene00015409</v>
      </c>
      <c r="B6605" s="9" t="str">
        <f>HYPERLINK("http://www.ncbi.nlm.nih.gov/gene/182184", "182184")</f>
        <v>182184</v>
      </c>
      <c r="C6605" s="9"/>
      <c r="D6605" t="str">
        <f>"C03H5.7"</f>
        <v>C03H5.7</v>
      </c>
      <c r="F6605" t="s">
        <v>11</v>
      </c>
      <c r="G6605" t="s">
        <v>591</v>
      </c>
      <c r="H6605" s="12">
        <v>1.52660784181159</v>
      </c>
      <c r="I6605" s="20">
        <v>0.6154563679367</v>
      </c>
      <c r="J6605" s="28">
        <v>0.53825337561920406</v>
      </c>
      <c r="K6605" s="29">
        <v>0.98289565623980701</v>
      </c>
    </row>
    <row r="6606" spans="1:11" x14ac:dyDescent="0.35">
      <c r="A6606" s="9" t="str">
        <f>HYPERLINK("http://www.ensembl.org/id/WBGene00206366", "WBGene00206366")</f>
        <v>WBGene00206366</v>
      </c>
      <c r="B6606" s="9" t="str">
        <f>HYPERLINK("http://www.ncbi.nlm.nih.gov/gene/13183282", "13183282")</f>
        <v>13183282</v>
      </c>
      <c r="C6606" s="9"/>
      <c r="D6606" t="str">
        <f>"C03H5.9"</f>
        <v>C03H5.9</v>
      </c>
      <c r="F6606" t="s">
        <v>11</v>
      </c>
      <c r="G6606" t="s">
        <v>591</v>
      </c>
      <c r="H6606" s="12">
        <v>2.5554489104163398</v>
      </c>
      <c r="I6606" s="20">
        <v>0.95079247893808605</v>
      </c>
      <c r="J6606" s="28">
        <v>0.34170973129564503</v>
      </c>
      <c r="K6606" s="29">
        <v>0.98289565623980701</v>
      </c>
    </row>
    <row r="6607" spans="1:11" x14ac:dyDescent="0.35">
      <c r="A6607" s="9" t="str">
        <f>HYPERLINK("http://www.ensembl.org/id/WBGene00007285", "WBGene00007285")</f>
        <v>WBGene00007285</v>
      </c>
      <c r="B6607" s="9" t="str">
        <f>HYPERLINK("http://www.ncbi.nlm.nih.gov/gene/181486", "181486")</f>
        <v>181486</v>
      </c>
      <c r="C6607" s="9"/>
      <c r="D6607" t="str">
        <f>"C04A11.1"</f>
        <v>C04A11.1</v>
      </c>
      <c r="F6607" t="s">
        <v>11</v>
      </c>
      <c r="G6607" t="s">
        <v>25</v>
      </c>
      <c r="H6607" s="12">
        <v>-1.0629072346610999</v>
      </c>
      <c r="I6607" s="20">
        <v>-0.25909433434847701</v>
      </c>
      <c r="J6607" s="28">
        <v>0.79556245611788301</v>
      </c>
      <c r="K6607" s="29">
        <v>0.98289565623980701</v>
      </c>
    </row>
    <row r="6608" spans="1:11" x14ac:dyDescent="0.35">
      <c r="A6608" s="9" t="str">
        <f>HYPERLINK("http://www.ensembl.org/id/WBGene00007286", "WBGene00007286")</f>
        <v>WBGene00007286</v>
      </c>
      <c r="B6608" s="9" t="str">
        <f>HYPERLINK("http://www.ncbi.nlm.nih.gov/gene/181487", "181487")</f>
        <v>181487</v>
      </c>
      <c r="C6608" s="9"/>
      <c r="D6608" t="str">
        <f>"C04A11.2"</f>
        <v>C04A11.2</v>
      </c>
      <c r="F6608" t="s">
        <v>11</v>
      </c>
      <c r="H6608" s="12">
        <v>1.13713975304257</v>
      </c>
      <c r="I6608" s="20">
        <v>0.39010985613858501</v>
      </c>
      <c r="J6608" s="28">
        <v>0.69645531495694901</v>
      </c>
      <c r="K6608" s="29">
        <v>0.98289565623980701</v>
      </c>
    </row>
    <row r="6609" spans="1:11" x14ac:dyDescent="0.35">
      <c r="A6609" s="9" t="str">
        <f>HYPERLINK("http://www.ensembl.org/id/WBGene00199448", "WBGene00199448")</f>
        <v>WBGene00199448</v>
      </c>
      <c r="B6609" s="9"/>
      <c r="C6609" s="9"/>
      <c r="D6609" t="str">
        <f>"C04A11.8"</f>
        <v>C04A11.8</v>
      </c>
      <c r="F6609" t="s">
        <v>481</v>
      </c>
      <c r="H6609" s="12">
        <v>-2.4295389261469</v>
      </c>
      <c r="I6609" s="20">
        <v>-0.25808529976640998</v>
      </c>
      <c r="J6609" s="28">
        <v>0.79634107645457397</v>
      </c>
      <c r="K6609" s="29">
        <v>0.98289565623980701</v>
      </c>
    </row>
    <row r="6610" spans="1:11" x14ac:dyDescent="0.35">
      <c r="A6610" s="9" t="str">
        <f>HYPERLINK("http://www.ensembl.org/id/WBGene00200874", "WBGene00200874")</f>
        <v>WBGene00200874</v>
      </c>
      <c r="B6610" s="9"/>
      <c r="C6610" s="9"/>
      <c r="D6610" t="str">
        <f>"C04A2.11"</f>
        <v>C04A2.11</v>
      </c>
      <c r="F6610" t="s">
        <v>481</v>
      </c>
      <c r="H6610" s="12">
        <v>3.44260020334929</v>
      </c>
      <c r="I6610" s="20">
        <v>0.59384384205469698</v>
      </c>
      <c r="J6610" s="28">
        <v>0.55261656260869096</v>
      </c>
      <c r="K6610" s="29">
        <v>0.98289565623980701</v>
      </c>
    </row>
    <row r="6611" spans="1:11" x14ac:dyDescent="0.35">
      <c r="A6611" s="9" t="str">
        <f>HYPERLINK("http://www.ensembl.org/id/WBGene00202026", "WBGene00202026")</f>
        <v>WBGene00202026</v>
      </c>
      <c r="B6611" s="9"/>
      <c r="C6611" s="9"/>
      <c r="D6611" t="str">
        <f>"C04A2.14"</f>
        <v>C04A2.14</v>
      </c>
      <c r="F6611" t="s">
        <v>481</v>
      </c>
      <c r="H6611" s="12">
        <v>2.3893468495514898</v>
      </c>
      <c r="I6611" s="20">
        <v>0.25323547253672701</v>
      </c>
      <c r="J6611" s="28">
        <v>0.80008625651646104</v>
      </c>
      <c r="K6611" s="29">
        <v>0.98289565623980701</v>
      </c>
    </row>
    <row r="6612" spans="1:11" x14ac:dyDescent="0.35">
      <c r="A6612" s="9" t="str">
        <f>HYPERLINK("http://www.ensembl.org/id/WBGene00007289", "WBGene00007289")</f>
        <v>WBGene00007289</v>
      </c>
      <c r="B6612" s="9" t="str">
        <f>HYPERLINK("http://www.ncbi.nlm.nih.gov/gene/182188", "182188")</f>
        <v>182188</v>
      </c>
      <c r="C6612" s="9"/>
      <c r="D6612" t="str">
        <f>"C04B4.1"</f>
        <v>C04B4.1</v>
      </c>
      <c r="F6612" t="s">
        <v>11</v>
      </c>
      <c r="G6612" t="s">
        <v>159</v>
      </c>
      <c r="H6612" s="12">
        <v>1.7971833694842501</v>
      </c>
      <c r="I6612" s="20">
        <v>0.34285347864896298</v>
      </c>
      <c r="J6612" s="28">
        <v>0.73170869140515604</v>
      </c>
      <c r="K6612" s="29">
        <v>0.98289565623980701</v>
      </c>
    </row>
    <row r="6613" spans="1:11" x14ac:dyDescent="0.35">
      <c r="A6613" s="9" t="str">
        <f>HYPERLINK("http://www.ensembl.org/id/WBGene00198645", "WBGene00198645")</f>
        <v>WBGene00198645</v>
      </c>
      <c r="B6613" s="9"/>
      <c r="C6613" s="9"/>
      <c r="D6613" t="str">
        <f>"C04C11.13"</f>
        <v>C04C11.13</v>
      </c>
      <c r="F6613" t="s">
        <v>481</v>
      </c>
      <c r="H6613" s="12">
        <v>2.4578120077400301</v>
      </c>
      <c r="I6613" s="20">
        <v>0.26093350314551</v>
      </c>
      <c r="J6613" s="28">
        <v>0.79414378780213601</v>
      </c>
      <c r="K6613" s="29">
        <v>0.98289565623980701</v>
      </c>
    </row>
    <row r="6614" spans="1:11" x14ac:dyDescent="0.35">
      <c r="A6614" s="9" t="str">
        <f>HYPERLINK("http://www.ensembl.org/id/WBGene00284855", "WBGene00284855")</f>
        <v>WBGene00284855</v>
      </c>
      <c r="B6614" s="9" t="str">
        <f>HYPERLINK("http://www.ncbi.nlm.nih.gov/gene/36312782", "36312782")</f>
        <v>36312782</v>
      </c>
      <c r="C6614" s="9"/>
      <c r="D6614" t="str">
        <f>"C04C11.25"</f>
        <v>C04C11.25</v>
      </c>
      <c r="F6614" t="s">
        <v>11</v>
      </c>
      <c r="G6614" t="s">
        <v>25</v>
      </c>
      <c r="H6614" s="12">
        <v>2.19104943145219</v>
      </c>
      <c r="I6614" s="20">
        <v>0.66546349510835601</v>
      </c>
      <c r="J6614" s="28">
        <v>0.50575408479318595</v>
      </c>
      <c r="K6614" s="29">
        <v>0.98289565623980701</v>
      </c>
    </row>
    <row r="6615" spans="1:11" x14ac:dyDescent="0.35">
      <c r="A6615" s="9" t="str">
        <f>HYPERLINK("http://www.ensembl.org/id/WBGene00195512", "WBGene00195512")</f>
        <v>WBGene00195512</v>
      </c>
      <c r="B6615" s="9"/>
      <c r="C6615" s="9"/>
      <c r="D6615" t="str">
        <f>"C04C11.5"</f>
        <v>C04C11.5</v>
      </c>
      <c r="F6615" t="s">
        <v>481</v>
      </c>
      <c r="H6615" s="12">
        <v>2.3444892507898301</v>
      </c>
      <c r="I6615" s="20">
        <v>0.253126732237689</v>
      </c>
      <c r="J6615" s="28">
        <v>0.80017028205419904</v>
      </c>
      <c r="K6615" s="29">
        <v>0.98289565623980701</v>
      </c>
    </row>
    <row r="6616" spans="1:11" x14ac:dyDescent="0.35">
      <c r="A6616" s="9" t="str">
        <f>HYPERLINK("http://www.ensembl.org/id/WBGene00196793", "WBGene00196793")</f>
        <v>WBGene00196793</v>
      </c>
      <c r="B6616" s="9"/>
      <c r="C6616" s="9"/>
      <c r="D6616" t="str">
        <f>"C04C11.9"</f>
        <v>C04C11.9</v>
      </c>
      <c r="F6616" t="s">
        <v>481</v>
      </c>
      <c r="H6616" s="12">
        <v>3.5227018545059199</v>
      </c>
      <c r="I6616" s="20">
        <v>0.36849691206929103</v>
      </c>
      <c r="J6616" s="28">
        <v>0.71250274722433404</v>
      </c>
      <c r="K6616" s="29">
        <v>0.98289565623980701</v>
      </c>
    </row>
    <row r="6617" spans="1:11" x14ac:dyDescent="0.35">
      <c r="A6617" s="9" t="str">
        <f>HYPERLINK("http://www.ensembl.org/id/WBGene00015417", "WBGene00015417")</f>
        <v>WBGene00015417</v>
      </c>
      <c r="B6617" s="9" t="str">
        <f>HYPERLINK("http://www.ncbi.nlm.nih.gov/gene/182198", "182198")</f>
        <v>182198</v>
      </c>
      <c r="C6617" s="9"/>
      <c r="D6617" t="str">
        <f>"C04C3.7"</f>
        <v>C04C3.7</v>
      </c>
      <c r="F6617" t="s">
        <v>11</v>
      </c>
      <c r="G6617" t="s">
        <v>25</v>
      </c>
      <c r="H6617" s="12">
        <v>19.701629065252199</v>
      </c>
      <c r="I6617" s="20">
        <v>1.16939711584642</v>
      </c>
      <c r="J6617" s="28">
        <v>0.24224367132814401</v>
      </c>
      <c r="K6617" s="29">
        <v>0.98289565623980701</v>
      </c>
    </row>
    <row r="6618" spans="1:11" x14ac:dyDescent="0.35">
      <c r="A6618" s="9" t="str">
        <f>HYPERLINK("http://www.ensembl.org/id/WBGene00015433", "WBGene00015433")</f>
        <v>WBGene00015433</v>
      </c>
      <c r="B6618" s="9" t="str">
        <f>HYPERLINK("http://www.ncbi.nlm.nih.gov/gene/182208", "182208")</f>
        <v>182208</v>
      </c>
      <c r="C6618" s="9"/>
      <c r="D6618" t="str">
        <f>"C04E12.2"</f>
        <v>C04E12.2</v>
      </c>
      <c r="F6618" t="s">
        <v>11</v>
      </c>
      <c r="H6618" s="12">
        <v>1.23822932185089</v>
      </c>
      <c r="I6618" s="20">
        <v>0.54245871260015399</v>
      </c>
      <c r="J6618" s="28">
        <v>0.58750254254953804</v>
      </c>
      <c r="K6618" s="29">
        <v>0.98289565623980701</v>
      </c>
    </row>
    <row r="6619" spans="1:11" x14ac:dyDescent="0.35">
      <c r="A6619" s="9" t="str">
        <f>HYPERLINK("http://www.ensembl.org/id/WBGene00015434", "WBGene00015434")</f>
        <v>WBGene00015434</v>
      </c>
      <c r="B6619" s="9" t="str">
        <f>HYPERLINK("http://www.ncbi.nlm.nih.gov/gene/178767", "178767")</f>
        <v>178767</v>
      </c>
      <c r="C6619" s="9"/>
      <c r="D6619" t="str">
        <f>"C04E12.4"</f>
        <v>C04E12.4</v>
      </c>
      <c r="F6619" t="s">
        <v>11</v>
      </c>
      <c r="G6619" t="s">
        <v>3520</v>
      </c>
      <c r="H6619" s="12">
        <v>1.66848280923764</v>
      </c>
      <c r="I6619" s="20">
        <v>1.12767647277933</v>
      </c>
      <c r="J6619" s="28">
        <v>0.25945657726438298</v>
      </c>
      <c r="K6619" s="29">
        <v>0.98289565623980701</v>
      </c>
    </row>
    <row r="6620" spans="1:11" x14ac:dyDescent="0.35">
      <c r="A6620" s="9" t="str">
        <f>HYPERLINK("http://www.ensembl.org/id/WBGene00015435", "WBGene00015435")</f>
        <v>WBGene00015435</v>
      </c>
      <c r="B6620" s="9" t="str">
        <f>HYPERLINK("http://www.ncbi.nlm.nih.gov/gene/182210", "182210")</f>
        <v>182210</v>
      </c>
      <c r="C6620" s="9"/>
      <c r="D6620" t="str">
        <f>"C04E12.5"</f>
        <v>C04E12.5</v>
      </c>
      <c r="F6620" t="s">
        <v>11</v>
      </c>
      <c r="G6620" t="s">
        <v>3520</v>
      </c>
      <c r="H6620" s="12">
        <v>2.0529187811382901</v>
      </c>
      <c r="I6620" s="20">
        <v>0.46644764213112899</v>
      </c>
      <c r="J6620" s="28">
        <v>0.64089511650998499</v>
      </c>
      <c r="K6620" s="29">
        <v>0.98289565623980701</v>
      </c>
    </row>
    <row r="6621" spans="1:11" x14ac:dyDescent="0.35">
      <c r="A6621" s="9" t="str">
        <f>HYPERLINK("http://www.ensembl.org/id/WBGene00015436", "WBGene00015436")</f>
        <v>WBGene00015436</v>
      </c>
      <c r="B6621" s="9"/>
      <c r="C6621" s="9"/>
      <c r="D6621" t="str">
        <f>"C04E12.6"</f>
        <v>C04E12.6</v>
      </c>
      <c r="F6621" t="s">
        <v>80</v>
      </c>
      <c r="H6621" s="12">
        <v>1.4225767226124499</v>
      </c>
      <c r="I6621" s="20">
        <v>0.50381032143381199</v>
      </c>
      <c r="J6621" s="28">
        <v>0.61439467393013703</v>
      </c>
      <c r="K6621" s="29">
        <v>0.98289565623980701</v>
      </c>
    </row>
    <row r="6622" spans="1:11" x14ac:dyDescent="0.35">
      <c r="A6622" s="9" t="str">
        <f>HYPERLINK("http://www.ensembl.org/id/WBGene00015426", "WBGene00015426")</f>
        <v>WBGene00015426</v>
      </c>
      <c r="B6622" s="9" t="str">
        <f>HYPERLINK("http://www.ncbi.nlm.nih.gov/gene/182204", "182204")</f>
        <v>182204</v>
      </c>
      <c r="C6622" s="9"/>
      <c r="D6622" t="str">
        <f>"C04E6.12"</f>
        <v>C04E6.12</v>
      </c>
      <c r="F6622" t="s">
        <v>11</v>
      </c>
      <c r="G6622" t="s">
        <v>101</v>
      </c>
      <c r="H6622" s="12">
        <v>-1.2319661719664401</v>
      </c>
      <c r="I6622" s="20">
        <v>-0.76229513435366503</v>
      </c>
      <c r="J6622" s="28">
        <v>0.44588387723905798</v>
      </c>
      <c r="K6622" s="29">
        <v>0.98289565623980701</v>
      </c>
    </row>
    <row r="6623" spans="1:11" x14ac:dyDescent="0.35">
      <c r="A6623" s="9" t="str">
        <f>HYPERLINK("http://www.ensembl.org/id/WBGene00015423", "WBGene00015423")</f>
        <v>WBGene00015423</v>
      </c>
      <c r="B6623" s="9" t="str">
        <f>HYPERLINK("http://www.ncbi.nlm.nih.gov/gene/178976", "178976")</f>
        <v>178976</v>
      </c>
      <c r="C6623" s="9"/>
      <c r="D6623" t="str">
        <f>"C04E6.7"</f>
        <v>C04E6.7</v>
      </c>
      <c r="F6623" t="s">
        <v>11</v>
      </c>
      <c r="G6623" t="s">
        <v>8294</v>
      </c>
      <c r="H6623" s="12">
        <v>-1.1696062910880201</v>
      </c>
      <c r="I6623" s="20">
        <v>-0.66932617820237705</v>
      </c>
      <c r="J6623" s="28">
        <v>0.503287431197042</v>
      </c>
      <c r="K6623" s="29">
        <v>0.98289565623980701</v>
      </c>
    </row>
    <row r="6624" spans="1:11" x14ac:dyDescent="0.35">
      <c r="A6624" s="9" t="str">
        <f>HYPERLINK("http://www.ensembl.org/id/WBGene00015428", "WBGene00015428")</f>
        <v>WBGene00015428</v>
      </c>
      <c r="B6624" s="9" t="str">
        <f>HYPERLINK("http://www.ncbi.nlm.nih.gov/gene/182205", "182205")</f>
        <v>182205</v>
      </c>
      <c r="C6624" s="9"/>
      <c r="D6624" t="str">
        <f>"C04E7.1"</f>
        <v>C04E7.1</v>
      </c>
      <c r="F6624" t="s">
        <v>11</v>
      </c>
      <c r="H6624" s="12">
        <v>-5.0935432090725197</v>
      </c>
      <c r="I6624" s="20">
        <v>-0.71051726019922401</v>
      </c>
      <c r="J6624" s="28">
        <v>0.47738343139864797</v>
      </c>
      <c r="K6624" s="29">
        <v>0.98289565623980701</v>
      </c>
    </row>
    <row r="6625" spans="1:11" x14ac:dyDescent="0.35">
      <c r="A6625" s="9" t="str">
        <f>HYPERLINK("http://www.ensembl.org/id/WBGene00015430", "WBGene00015430")</f>
        <v>WBGene00015430</v>
      </c>
      <c r="B6625" s="9" t="str">
        <f>HYPERLINK("http://www.ncbi.nlm.nih.gov/gene/259695", "259695")</f>
        <v>259695</v>
      </c>
      <c r="C6625" s="9"/>
      <c r="D6625" t="str">
        <f>"C04E7.3"</f>
        <v>C04E7.3</v>
      </c>
      <c r="F6625" t="s">
        <v>11</v>
      </c>
      <c r="H6625" s="12">
        <v>1.1770178452237701</v>
      </c>
      <c r="I6625" s="20">
        <v>0.75733852106796995</v>
      </c>
      <c r="J6625" s="28">
        <v>0.44884707826308801</v>
      </c>
      <c r="K6625" s="29">
        <v>0.98289565623980701</v>
      </c>
    </row>
    <row r="6626" spans="1:11" x14ac:dyDescent="0.35">
      <c r="A6626" s="9" t="str">
        <f>HYPERLINK("http://www.ensembl.org/id/WBGene00045270", "WBGene00045270")</f>
        <v>WBGene00045270</v>
      </c>
      <c r="B6626" s="9" t="str">
        <f>HYPERLINK("http://www.ncbi.nlm.nih.gov/gene/6418831", "6418831")</f>
        <v>6418831</v>
      </c>
      <c r="C6626" s="9"/>
      <c r="D6626" t="str">
        <f>"C04E7.5"</f>
        <v>C04E7.5</v>
      </c>
      <c r="F6626" t="s">
        <v>11</v>
      </c>
      <c r="H6626" s="12">
        <v>1.2501890744484101</v>
      </c>
      <c r="I6626" s="20">
        <v>0.50047921225375602</v>
      </c>
      <c r="J6626" s="28">
        <v>0.616737689849154</v>
      </c>
      <c r="K6626" s="29">
        <v>0.98289565623980701</v>
      </c>
    </row>
    <row r="6627" spans="1:11" x14ac:dyDescent="0.35">
      <c r="A6627" s="9" t="str">
        <f>HYPERLINK("http://www.ensembl.org/id/WBGene00196039", "WBGene00196039")</f>
        <v>WBGene00196039</v>
      </c>
      <c r="B6627" s="9"/>
      <c r="C6627" s="9"/>
      <c r="D6627" t="str">
        <f>"C04E7.7"</f>
        <v>C04E7.7</v>
      </c>
      <c r="F6627" t="s">
        <v>481</v>
      </c>
      <c r="H6627" s="12">
        <v>-3.33576734137697</v>
      </c>
      <c r="I6627" s="20">
        <v>-0.37789252555813302</v>
      </c>
      <c r="J6627" s="28">
        <v>0.70551043520482504</v>
      </c>
      <c r="K6627" s="29">
        <v>0.98289565623980701</v>
      </c>
    </row>
    <row r="6628" spans="1:11" x14ac:dyDescent="0.35">
      <c r="A6628" s="9" t="str">
        <f>HYPERLINK("http://www.ensembl.org/id/WBGene00201925", "WBGene00201925")</f>
        <v>WBGene00201925</v>
      </c>
      <c r="B6628" s="9"/>
      <c r="C6628" s="9"/>
      <c r="D6628" t="str">
        <f>"C04F1.5"</f>
        <v>C04F1.5</v>
      </c>
      <c r="F6628" t="s">
        <v>481</v>
      </c>
      <c r="H6628" s="12">
        <v>-3.5819448292659501</v>
      </c>
      <c r="I6628" s="20">
        <v>-0.37337717500031398</v>
      </c>
      <c r="J6628" s="28">
        <v>0.70886774492290605</v>
      </c>
      <c r="K6628" s="29">
        <v>0.98289565623980701</v>
      </c>
    </row>
    <row r="6629" spans="1:11" x14ac:dyDescent="0.35">
      <c r="A6629" s="9" t="str">
        <f>HYPERLINK("http://www.ensembl.org/id/WBGene00077685", "WBGene00077685")</f>
        <v>WBGene00077685</v>
      </c>
      <c r="B6629" s="9" t="str">
        <f>HYPERLINK("http://www.ncbi.nlm.nih.gov/gene/6418571", "6418571")</f>
        <v>6418571</v>
      </c>
      <c r="C6629" s="9"/>
      <c r="D6629" t="str">
        <f>"C04F12.12"</f>
        <v>C04F12.12</v>
      </c>
      <c r="F6629" t="s">
        <v>11</v>
      </c>
      <c r="H6629" s="12">
        <v>4.4688460213603003</v>
      </c>
      <c r="I6629" s="20">
        <v>0.69333989203114799</v>
      </c>
      <c r="J6629" s="28">
        <v>0.48809627395583</v>
      </c>
      <c r="K6629" s="29">
        <v>0.98289565623980701</v>
      </c>
    </row>
    <row r="6630" spans="1:11" x14ac:dyDescent="0.35">
      <c r="A6630" s="9" t="str">
        <f>HYPERLINK("http://www.ensembl.org/id/WBGene00219286", "WBGene00219286")</f>
        <v>WBGene00219286</v>
      </c>
      <c r="B6630" s="9" t="str">
        <f>HYPERLINK("http://www.ncbi.nlm.nih.gov/gene/13181593", "13181593")</f>
        <v>13181593</v>
      </c>
      <c r="C6630" s="9"/>
      <c r="D6630" t="str">
        <f>"C04F12.16"</f>
        <v>C04F12.16</v>
      </c>
      <c r="F6630" t="s">
        <v>11</v>
      </c>
      <c r="H6630" s="12">
        <v>1.33308363679681</v>
      </c>
      <c r="I6630" s="20">
        <v>0.96370842137008805</v>
      </c>
      <c r="J6630" s="28">
        <v>0.33519213103922402</v>
      </c>
      <c r="K6630" s="29">
        <v>0.98289565623980701</v>
      </c>
    </row>
    <row r="6631" spans="1:11" x14ac:dyDescent="0.35">
      <c r="A6631" s="9" t="str">
        <f>HYPERLINK("http://www.ensembl.org/id/WBGene00007299", "WBGene00007299")</f>
        <v>WBGene00007299</v>
      </c>
      <c r="B6631" s="9" t="str">
        <f>HYPERLINK("http://www.ncbi.nlm.nih.gov/gene/182226", "182226")</f>
        <v>182226</v>
      </c>
      <c r="C6631" s="9"/>
      <c r="D6631" t="str">
        <f>"C04F12.5"</f>
        <v>C04F12.5</v>
      </c>
      <c r="F6631" t="s">
        <v>11</v>
      </c>
      <c r="H6631" s="12">
        <v>-1.0760203732282401</v>
      </c>
      <c r="I6631" s="20">
        <v>-0.27995301209375301</v>
      </c>
      <c r="J6631" s="28">
        <v>0.77951355483852203</v>
      </c>
      <c r="K6631" s="29">
        <v>0.98289565623980701</v>
      </c>
    </row>
    <row r="6632" spans="1:11" x14ac:dyDescent="0.35">
      <c r="A6632" s="9" t="str">
        <f>HYPERLINK("http://www.ensembl.org/id/WBGene00007300", "WBGene00007300")</f>
        <v>WBGene00007300</v>
      </c>
      <c r="B6632" s="9"/>
      <c r="C6632" s="9"/>
      <c r="D6632" t="str">
        <f>"C04F12.6"</f>
        <v>C04F12.6</v>
      </c>
      <c r="F6632" t="s">
        <v>80</v>
      </c>
      <c r="H6632" s="12">
        <v>15.6921441712649</v>
      </c>
      <c r="I6632" s="20">
        <v>0.95028393834463598</v>
      </c>
      <c r="J6632" s="28">
        <v>0.34196799785965198</v>
      </c>
      <c r="K6632" s="29">
        <v>0.98289565623980701</v>
      </c>
    </row>
    <row r="6633" spans="1:11" x14ac:dyDescent="0.35">
      <c r="A6633" s="9" t="str">
        <f>HYPERLINK("http://www.ensembl.org/id/WBGene00007301", "WBGene00007301")</f>
        <v>WBGene00007301</v>
      </c>
      <c r="B6633" s="9" t="str">
        <f>HYPERLINK("http://www.ncbi.nlm.nih.gov/gene/172819", "172819")</f>
        <v>172819</v>
      </c>
      <c r="C6633" s="9"/>
      <c r="D6633" t="str">
        <f>"C04F12.7"</f>
        <v>C04F12.7</v>
      </c>
      <c r="F6633" t="s">
        <v>11</v>
      </c>
      <c r="G6633" t="s">
        <v>25</v>
      </c>
      <c r="H6633" s="12">
        <v>1.1866223554187001</v>
      </c>
      <c r="I6633" s="20">
        <v>0.379336241406102</v>
      </c>
      <c r="J6633" s="28">
        <v>0.70443819041297195</v>
      </c>
      <c r="K6633" s="29">
        <v>0.98289565623980701</v>
      </c>
    </row>
    <row r="6634" spans="1:11" x14ac:dyDescent="0.35">
      <c r="A6634" s="9" t="str">
        <f>HYPERLINK("http://www.ensembl.org/id/WBGene00015444", "WBGene00015444")</f>
        <v>WBGene00015444</v>
      </c>
      <c r="B6634" s="9" t="str">
        <f>HYPERLINK("http://www.ncbi.nlm.nih.gov/gene/182219", "182219")</f>
        <v>182219</v>
      </c>
      <c r="C6634" s="9"/>
      <c r="D6634" t="str">
        <f>"C04F5.2"</f>
        <v>C04F5.2</v>
      </c>
      <c r="F6634" t="s">
        <v>11</v>
      </c>
      <c r="G6634" t="s">
        <v>25</v>
      </c>
      <c r="H6634" s="12">
        <v>3.70874790060684</v>
      </c>
      <c r="I6634" s="20">
        <v>0.79548724348786304</v>
      </c>
      <c r="J6634" s="28">
        <v>0.426330128483699</v>
      </c>
      <c r="K6634" s="29">
        <v>0.98289565623980701</v>
      </c>
    </row>
    <row r="6635" spans="1:11" x14ac:dyDescent="0.35">
      <c r="A6635" s="9" t="str">
        <f>HYPERLINK("http://www.ensembl.org/id/WBGene00015450", "WBGene00015450")</f>
        <v>WBGene00015450</v>
      </c>
      <c r="B6635" s="9" t="str">
        <f>HYPERLINK("http://www.ncbi.nlm.nih.gov/gene/178898", "178898")</f>
        <v>178898</v>
      </c>
      <c r="C6635" s="9"/>
      <c r="D6635" t="str">
        <f>"C04F5.8"</f>
        <v>C04F5.8</v>
      </c>
      <c r="F6635" t="s">
        <v>11</v>
      </c>
      <c r="G6635" t="s">
        <v>9731</v>
      </c>
      <c r="H6635" s="12">
        <v>-1.2900966462419201</v>
      </c>
      <c r="I6635" s="20">
        <v>-1.1620979085244501</v>
      </c>
      <c r="J6635" s="28">
        <v>0.245195696900363</v>
      </c>
      <c r="K6635" s="29">
        <v>0.98289565623980701</v>
      </c>
    </row>
    <row r="6636" spans="1:11" x14ac:dyDescent="0.35">
      <c r="A6636" s="9" t="str">
        <f>HYPERLINK("http://www.ensembl.org/id/WBGene00195081", "WBGene00195081")</f>
        <v>WBGene00195081</v>
      </c>
      <c r="B6636" s="9" t="str">
        <f>HYPERLINK("http://www.ncbi.nlm.nih.gov/gene/13219936", "13219936")</f>
        <v>13219936</v>
      </c>
      <c r="C6636" s="9"/>
      <c r="D6636" t="str">
        <f>"C04F6.7"</f>
        <v>C04F6.7</v>
      </c>
      <c r="F6636" t="s">
        <v>11</v>
      </c>
      <c r="H6636" s="12">
        <v>2.54877084403708</v>
      </c>
      <c r="I6636" s="20">
        <v>0.89128195879139704</v>
      </c>
      <c r="J6636" s="28">
        <v>0.37277792486878603</v>
      </c>
      <c r="K6636" s="29">
        <v>0.98289565623980701</v>
      </c>
    </row>
    <row r="6637" spans="1:11" x14ac:dyDescent="0.35">
      <c r="A6637" s="9" t="str">
        <f>HYPERLINK("http://www.ensembl.org/id/WBGene00007309", "WBGene00007309")</f>
        <v>WBGene00007309</v>
      </c>
      <c r="B6637" s="9" t="str">
        <f>HYPERLINK("http://www.ncbi.nlm.nih.gov/gene/182234", "182234")</f>
        <v>182234</v>
      </c>
      <c r="C6637" s="9"/>
      <c r="D6637" t="str">
        <f>"C04G2.10"</f>
        <v>C04G2.10</v>
      </c>
      <c r="F6637" t="s">
        <v>11</v>
      </c>
      <c r="G6637" t="s">
        <v>4367</v>
      </c>
      <c r="H6637" s="12">
        <v>1.1999373014271999</v>
      </c>
      <c r="I6637" s="20">
        <v>0.54299591819984405</v>
      </c>
      <c r="J6637" s="28">
        <v>0.58713261282353701</v>
      </c>
      <c r="K6637" s="29">
        <v>0.98289565623980701</v>
      </c>
    </row>
    <row r="6638" spans="1:11" x14ac:dyDescent="0.35">
      <c r="A6638" s="9" t="str">
        <f>HYPERLINK("http://www.ensembl.org/id/WBGene00045104", "WBGene00045104")</f>
        <v>WBGene00045104</v>
      </c>
      <c r="B6638" s="9"/>
      <c r="C6638" s="9"/>
      <c r="D6638" t="str">
        <f>"C04G2.12"</f>
        <v>C04G2.12</v>
      </c>
      <c r="F6638" t="s">
        <v>80</v>
      </c>
      <c r="H6638" s="12">
        <v>-3.7261494131482999</v>
      </c>
      <c r="I6638" s="20">
        <v>-0.38454673129429601</v>
      </c>
      <c r="J6638" s="28">
        <v>0.70057326682554</v>
      </c>
      <c r="K6638" s="29">
        <v>0.98289565623980701</v>
      </c>
    </row>
    <row r="6639" spans="1:11" x14ac:dyDescent="0.35">
      <c r="A6639" s="9" t="str">
        <f>HYPERLINK("http://www.ensembl.org/id/WBGene00255426", "WBGene00255426")</f>
        <v>WBGene00255426</v>
      </c>
      <c r="B6639" s="9"/>
      <c r="C6639" s="9"/>
      <c r="D6639" t="str">
        <f>"C04G2.14"</f>
        <v>C04G2.14</v>
      </c>
      <c r="F6639" t="s">
        <v>481</v>
      </c>
      <c r="H6639" s="12">
        <v>1.1152661420282799</v>
      </c>
      <c r="I6639" s="20">
        <v>0.26320178561380903</v>
      </c>
      <c r="J6639" s="28">
        <v>0.79239505459215098</v>
      </c>
      <c r="K6639" s="29">
        <v>0.98289565623980701</v>
      </c>
    </row>
    <row r="6640" spans="1:11" x14ac:dyDescent="0.35">
      <c r="A6640" s="9" t="str">
        <f>HYPERLINK("http://www.ensembl.org/id/WBGene00077489", "WBGene00077489")</f>
        <v>WBGene00077489</v>
      </c>
      <c r="B6640" s="9" t="str">
        <f>HYPERLINK("http://www.ncbi.nlm.nih.gov/gene/6418617", "6418617")</f>
        <v>6418617</v>
      </c>
      <c r="C6640" s="9"/>
      <c r="D6640" t="str">
        <f>"C04G6.13"</f>
        <v>C04G6.13</v>
      </c>
      <c r="F6640" t="s">
        <v>11</v>
      </c>
      <c r="H6640" s="12">
        <v>-5.4967879193631202</v>
      </c>
      <c r="I6640" s="20">
        <v>-0.50254160819837501</v>
      </c>
      <c r="J6640" s="28">
        <v>0.61528659178453604</v>
      </c>
      <c r="K6640" s="29">
        <v>0.98289565623980701</v>
      </c>
    </row>
    <row r="6641" spans="1:11" x14ac:dyDescent="0.35">
      <c r="A6641" s="9" t="str">
        <f>HYPERLINK("http://www.ensembl.org/id/WBGene00269376", "WBGene00269376")</f>
        <v>WBGene00269376</v>
      </c>
      <c r="B6641" s="9"/>
      <c r="C6641" s="9"/>
      <c r="D6641" t="str">
        <f>"C04G6.15"</f>
        <v>C04G6.15</v>
      </c>
      <c r="F6641" t="s">
        <v>481</v>
      </c>
      <c r="H6641" s="12">
        <v>-1.75601473456539</v>
      </c>
      <c r="I6641" s="20">
        <v>-0.39197300764701298</v>
      </c>
      <c r="J6641" s="28">
        <v>0.69507815794569905</v>
      </c>
      <c r="K6641" s="29">
        <v>0.98289565623980701</v>
      </c>
    </row>
    <row r="6642" spans="1:11" x14ac:dyDescent="0.35">
      <c r="A6642" s="9" t="str">
        <f>HYPERLINK("http://www.ensembl.org/id/WBGene00015454", "WBGene00015454")</f>
        <v>WBGene00015454</v>
      </c>
      <c r="B6642" s="9" t="str">
        <f>HYPERLINK("http://www.ncbi.nlm.nih.gov/gene/182237", "182237")</f>
        <v>182237</v>
      </c>
      <c r="C6642" s="9"/>
      <c r="D6642" t="str">
        <f>"C04G6.4"</f>
        <v>C04G6.4</v>
      </c>
      <c r="F6642" t="s">
        <v>11</v>
      </c>
      <c r="G6642" t="s">
        <v>9155</v>
      </c>
      <c r="H6642" s="12">
        <v>-1.225008532535</v>
      </c>
      <c r="I6642" s="20">
        <v>-1.0056748768188299</v>
      </c>
      <c r="J6642" s="28">
        <v>0.31457199219043602</v>
      </c>
      <c r="K6642" s="29">
        <v>0.98289565623980701</v>
      </c>
    </row>
    <row r="6643" spans="1:11" x14ac:dyDescent="0.35">
      <c r="A6643" s="9" t="str">
        <f>HYPERLINK("http://www.ensembl.org/id/WBGene00015455", "WBGene00015455")</f>
        <v>WBGene00015455</v>
      </c>
      <c r="B6643" s="9" t="str">
        <f>HYPERLINK("http://www.ncbi.nlm.nih.gov/gene/173877", "173877")</f>
        <v>173877</v>
      </c>
      <c r="C6643" s="9"/>
      <c r="D6643" t="str">
        <f>"C04G6.5"</f>
        <v>C04G6.5</v>
      </c>
      <c r="E6643" t="s">
        <v>7727</v>
      </c>
      <c r="F6643" t="s">
        <v>11</v>
      </c>
      <c r="G6643" t="s">
        <v>394</v>
      </c>
      <c r="H6643" s="12">
        <v>-1.1413909655753101</v>
      </c>
      <c r="I6643" s="20">
        <v>-0.40839673948258698</v>
      </c>
      <c r="J6643" s="28">
        <v>0.68298242678570398</v>
      </c>
      <c r="K6643" s="29">
        <v>0.98289565623980701</v>
      </c>
    </row>
    <row r="6644" spans="1:11" x14ac:dyDescent="0.35">
      <c r="A6644" s="9" t="str">
        <f>HYPERLINK("http://www.ensembl.org/id/WBGene00015457", "WBGene00015457")</f>
        <v>WBGene00015457</v>
      </c>
      <c r="B6644" s="9" t="str">
        <f>HYPERLINK("http://www.ncbi.nlm.nih.gov/gene/173878", "173878")</f>
        <v>173878</v>
      </c>
      <c r="C6644" s="9"/>
      <c r="D6644" t="str">
        <f>"C04G6.7"</f>
        <v>C04G6.7</v>
      </c>
      <c r="F6644" t="s">
        <v>11</v>
      </c>
      <c r="H6644" s="12">
        <v>3.1548638657001602</v>
      </c>
      <c r="I6644" s="20">
        <v>0.88403245578402301</v>
      </c>
      <c r="J6644" s="28">
        <v>0.37667869280298999</v>
      </c>
      <c r="K6644" s="29">
        <v>0.98289565623980701</v>
      </c>
    </row>
    <row r="6645" spans="1:11" x14ac:dyDescent="0.35">
      <c r="A6645" s="9" t="str">
        <f>HYPERLINK("http://www.ensembl.org/id/WBGene00007311", "WBGene00007311")</f>
        <v>WBGene00007311</v>
      </c>
      <c r="B6645" s="9" t="str">
        <f>HYPERLINK("http://www.ncbi.nlm.nih.gov/gene/3565473", "3565473")</f>
        <v>3565473</v>
      </c>
      <c r="C6645" s="9"/>
      <c r="D6645" t="str">
        <f>"C04H4.1"</f>
        <v>C04H4.1</v>
      </c>
      <c r="F6645" t="s">
        <v>11</v>
      </c>
      <c r="H6645" s="12">
        <v>1.96915619264314</v>
      </c>
      <c r="I6645" s="20">
        <v>0.82465292321233497</v>
      </c>
      <c r="J6645" s="28">
        <v>0.40956866588734098</v>
      </c>
      <c r="K6645" s="29">
        <v>0.98289565623980701</v>
      </c>
    </row>
    <row r="6646" spans="1:11" x14ac:dyDescent="0.35">
      <c r="A6646" s="9" t="str">
        <f>HYPERLINK("http://www.ensembl.org/id/WBGene00196523", "WBGene00196523")</f>
        <v>WBGene00196523</v>
      </c>
      <c r="B6646" s="9"/>
      <c r="C6646" s="9"/>
      <c r="D6646" t="str">
        <f>"C04H4.4"</f>
        <v>C04H4.4</v>
      </c>
      <c r="F6646" t="s">
        <v>481</v>
      </c>
      <c r="H6646" s="12">
        <v>3.0652361485906598</v>
      </c>
      <c r="I6646" s="20">
        <v>0.90400746650286501</v>
      </c>
      <c r="J6646" s="28">
        <v>0.36599144226046199</v>
      </c>
      <c r="K6646" s="29">
        <v>0.98289565623980701</v>
      </c>
    </row>
    <row r="6647" spans="1:11" x14ac:dyDescent="0.35">
      <c r="A6647" s="9" t="str">
        <f>HYPERLINK("http://www.ensembl.org/id/WBGene00198436", "WBGene00198436")</f>
        <v>WBGene00198436</v>
      </c>
      <c r="B6647" s="9"/>
      <c r="C6647" s="9"/>
      <c r="D6647" t="str">
        <f>"C04H4.6"</f>
        <v>C04H4.6</v>
      </c>
      <c r="F6647" t="s">
        <v>481</v>
      </c>
      <c r="H6647" s="12">
        <v>6.61045742799383</v>
      </c>
      <c r="I6647" s="20">
        <v>0.55558174612790701</v>
      </c>
      <c r="J6647" s="28">
        <v>0.57849681292850097</v>
      </c>
      <c r="K6647" s="29">
        <v>0.98289565623980701</v>
      </c>
    </row>
    <row r="6648" spans="1:11" x14ac:dyDescent="0.35">
      <c r="A6648" s="9" t="str">
        <f>HYPERLINK("http://www.ensembl.org/id/WBGene00007312", "WBGene00007312")</f>
        <v>WBGene00007312</v>
      </c>
      <c r="B6648" s="9" t="str">
        <f>HYPERLINK("http://www.ncbi.nlm.nih.gov/gene/182240", "182240")</f>
        <v>182240</v>
      </c>
      <c r="C6648" s="9"/>
      <c r="D6648" t="str">
        <f>"C04H5.1"</f>
        <v>C04H5.1</v>
      </c>
      <c r="E6648" t="s">
        <v>7653</v>
      </c>
      <c r="F6648" t="s">
        <v>11</v>
      </c>
      <c r="G6648" t="s">
        <v>7654</v>
      </c>
      <c r="H6648" s="12">
        <v>-1.1377967338808299</v>
      </c>
      <c r="I6648" s="20">
        <v>-0.50351046746036199</v>
      </c>
      <c r="J6648" s="28">
        <v>0.61460542282416497</v>
      </c>
      <c r="K6648" s="29">
        <v>0.98289565623980701</v>
      </c>
    </row>
    <row r="6649" spans="1:11" x14ac:dyDescent="0.35">
      <c r="A6649" s="9" t="str">
        <f>HYPERLINK("http://www.ensembl.org/id/WBGene00202226", "WBGene00202226")</f>
        <v>WBGene00202226</v>
      </c>
      <c r="B6649" s="9"/>
      <c r="C6649" s="9"/>
      <c r="D6649" t="str">
        <f>"C05A9.10"</f>
        <v>C05A9.10</v>
      </c>
      <c r="F6649" t="s">
        <v>481</v>
      </c>
      <c r="H6649" s="12">
        <v>2.3893468495514898</v>
      </c>
      <c r="I6649" s="20">
        <v>0.25323547253672701</v>
      </c>
      <c r="J6649" s="28">
        <v>0.80008625651646104</v>
      </c>
      <c r="K6649" s="29">
        <v>0.98289565623980701</v>
      </c>
    </row>
    <row r="6650" spans="1:11" x14ac:dyDescent="0.35">
      <c r="A6650" s="9" t="str">
        <f>HYPERLINK("http://www.ensembl.org/id/WBGene00199056", "WBGene00199056")</f>
        <v>WBGene00199056</v>
      </c>
      <c r="B6650" s="9"/>
      <c r="C6650" s="9"/>
      <c r="D6650" t="str">
        <f>"C05A9.6"</f>
        <v>C05A9.6</v>
      </c>
      <c r="F6650" t="s">
        <v>481</v>
      </c>
      <c r="H6650" s="12">
        <v>4.0253818717521801</v>
      </c>
      <c r="I6650" s="20">
        <v>0.71794895607040699</v>
      </c>
      <c r="J6650" s="28">
        <v>0.47278876049457003</v>
      </c>
      <c r="K6650" s="29">
        <v>0.98289565623980701</v>
      </c>
    </row>
    <row r="6651" spans="1:11" x14ac:dyDescent="0.35">
      <c r="A6651" s="9" t="str">
        <f>HYPERLINK("http://www.ensembl.org/id/WBGene00196138", "WBGene00196138")</f>
        <v>WBGene00196138</v>
      </c>
      <c r="B6651" s="9"/>
      <c r="C6651" s="9"/>
      <c r="D6651" t="str">
        <f>"C05B10.14"</f>
        <v>C05B10.14</v>
      </c>
      <c r="F6651" t="s">
        <v>481</v>
      </c>
      <c r="H6651" s="12">
        <v>3.4917188327556898</v>
      </c>
      <c r="I6651" s="20">
        <v>0.38080453806645798</v>
      </c>
      <c r="J6651" s="28">
        <v>0.703348291649464</v>
      </c>
      <c r="K6651" s="29">
        <v>0.98289565623980701</v>
      </c>
    </row>
    <row r="6652" spans="1:11" x14ac:dyDescent="0.35">
      <c r="A6652" s="9" t="str">
        <f>HYPERLINK("http://www.ensembl.org/id/WBGene00200701", "WBGene00200701")</f>
        <v>WBGene00200701</v>
      </c>
      <c r="B6652" s="9"/>
      <c r="C6652" s="9"/>
      <c r="D6652" t="str">
        <f>"C05B10.18"</f>
        <v>C05B10.18</v>
      </c>
      <c r="F6652" t="s">
        <v>481</v>
      </c>
      <c r="H6652" s="12">
        <v>-2.4991590031922399</v>
      </c>
      <c r="I6652" s="20">
        <v>-0.26577412737581302</v>
      </c>
      <c r="J6652" s="28">
        <v>0.79041317015736101</v>
      </c>
      <c r="K6652" s="29">
        <v>0.98289565623980701</v>
      </c>
    </row>
    <row r="6653" spans="1:11" x14ac:dyDescent="0.35">
      <c r="A6653" s="9" t="str">
        <f>HYPERLINK("http://www.ensembl.org/id/WBGene00202097", "WBGene00202097")</f>
        <v>WBGene00202097</v>
      </c>
      <c r="B6653" s="9"/>
      <c r="C6653" s="9"/>
      <c r="D6653" t="str">
        <f>"C05B10.20"</f>
        <v>C05B10.20</v>
      </c>
      <c r="F6653" t="s">
        <v>481</v>
      </c>
      <c r="H6653" s="12">
        <v>-2.2462711840042502</v>
      </c>
      <c r="I6653" s="20">
        <v>-0.28752192663158799</v>
      </c>
      <c r="J6653" s="28">
        <v>0.77371271536475705</v>
      </c>
      <c r="K6653" s="29">
        <v>0.98289565623980701</v>
      </c>
    </row>
    <row r="6654" spans="1:11" x14ac:dyDescent="0.35">
      <c r="A6654" s="9" t="str">
        <f>HYPERLINK("http://www.ensembl.org/id/WBGene00202332", "WBGene00202332")</f>
        <v>WBGene00202332</v>
      </c>
      <c r="B6654" s="9"/>
      <c r="C6654" s="9"/>
      <c r="D6654" t="str">
        <f>"C05B10.21"</f>
        <v>C05B10.21</v>
      </c>
      <c r="F6654" t="s">
        <v>481</v>
      </c>
      <c r="H6654" s="12">
        <v>2.3893468495514898</v>
      </c>
      <c r="I6654" s="20">
        <v>0.25323547253672701</v>
      </c>
      <c r="J6654" s="28">
        <v>0.80008625651646104</v>
      </c>
      <c r="K6654" s="29">
        <v>0.98289565623980701</v>
      </c>
    </row>
    <row r="6655" spans="1:11" x14ac:dyDescent="0.35">
      <c r="A6655" s="9" t="str">
        <f>HYPERLINK("http://www.ensembl.org/id/WBGene00007319", "WBGene00007319")</f>
        <v>WBGene00007319</v>
      </c>
      <c r="B6655" s="9" t="str">
        <f>HYPERLINK("http://www.ncbi.nlm.nih.gov/gene/182245", "182245")</f>
        <v>182245</v>
      </c>
      <c r="C6655" s="9"/>
      <c r="D6655" t="str">
        <f>"C05B5.1"</f>
        <v>C05B5.1</v>
      </c>
      <c r="F6655" t="s">
        <v>11</v>
      </c>
      <c r="H6655" s="12">
        <v>-1.25657102378175</v>
      </c>
      <c r="I6655" s="20">
        <v>-0.69039036328257297</v>
      </c>
      <c r="J6655" s="28">
        <v>0.48994873526511401</v>
      </c>
      <c r="K6655" s="29">
        <v>0.98289565623980701</v>
      </c>
    </row>
    <row r="6656" spans="1:11" x14ac:dyDescent="0.35">
      <c r="A6656" s="9" t="str">
        <f>HYPERLINK("http://www.ensembl.org/id/WBGene00045242", "WBGene00045242")</f>
        <v>WBGene00045242</v>
      </c>
      <c r="B6656" s="9" t="str">
        <f>HYPERLINK("http://www.ncbi.nlm.nih.gov/gene/6418646", "6418646")</f>
        <v>6418646</v>
      </c>
      <c r="C6656" s="9"/>
      <c r="D6656" t="str">
        <f>"C05B5.11"</f>
        <v>C05B5.11</v>
      </c>
      <c r="F6656" t="s">
        <v>11</v>
      </c>
      <c r="H6656" s="12">
        <v>2.4578120077400301</v>
      </c>
      <c r="I6656" s="20">
        <v>0.26093350314551</v>
      </c>
      <c r="J6656" s="28">
        <v>0.79414378780213601</v>
      </c>
      <c r="K6656" s="29">
        <v>0.98289565623980701</v>
      </c>
    </row>
    <row r="6657" spans="1:11" x14ac:dyDescent="0.35">
      <c r="A6657" s="9" t="str">
        <f>HYPERLINK("http://www.ensembl.org/id/WBGene00194886", "WBGene00194886")</f>
        <v>WBGene00194886</v>
      </c>
      <c r="B6657" s="9" t="str">
        <f>HYPERLINK("http://www.ncbi.nlm.nih.gov/gene/13191000", "13191000")</f>
        <v>13191000</v>
      </c>
      <c r="C6657" s="9"/>
      <c r="D6657" t="str">
        <f>"C05B5.12"</f>
        <v>C05B5.12</v>
      </c>
      <c r="F6657" t="s">
        <v>11</v>
      </c>
      <c r="H6657" s="12">
        <v>-2.4991590031922399</v>
      </c>
      <c r="I6657" s="20">
        <v>-0.26577412737581302</v>
      </c>
      <c r="J6657" s="28">
        <v>0.79041317015736101</v>
      </c>
      <c r="K6657" s="29">
        <v>0.98289565623980701</v>
      </c>
    </row>
    <row r="6658" spans="1:11" x14ac:dyDescent="0.35">
      <c r="A6658" s="9" t="str">
        <f>HYPERLINK("http://www.ensembl.org/id/WBGene00199190", "WBGene00199190")</f>
        <v>WBGene00199190</v>
      </c>
      <c r="B6658" s="9"/>
      <c r="C6658" s="9"/>
      <c r="D6658" t="str">
        <f>"C05B5.15"</f>
        <v>C05B5.15</v>
      </c>
      <c r="F6658" t="s">
        <v>481</v>
      </c>
      <c r="H6658" s="12">
        <v>2.3893468495514898</v>
      </c>
      <c r="I6658" s="20">
        <v>0.25323547253672701</v>
      </c>
      <c r="J6658" s="28">
        <v>0.80008625651646104</v>
      </c>
      <c r="K6658" s="29">
        <v>0.98289565623980701</v>
      </c>
    </row>
    <row r="6659" spans="1:11" x14ac:dyDescent="0.35">
      <c r="A6659" s="9" t="str">
        <f>HYPERLINK("http://www.ensembl.org/id/WBGene00219314", "WBGene00219314")</f>
        <v>WBGene00219314</v>
      </c>
      <c r="B6659" s="9" t="str">
        <f>HYPERLINK("http://www.ncbi.nlm.nih.gov/gene/13191006", "13191006")</f>
        <v>13191006</v>
      </c>
      <c r="C6659" s="9"/>
      <c r="D6659" t="str">
        <f>"C05B5.17"</f>
        <v>C05B5.17</v>
      </c>
      <c r="F6659" t="s">
        <v>11</v>
      </c>
      <c r="G6659" t="s">
        <v>25</v>
      </c>
      <c r="H6659" s="12">
        <v>2.3893468495514898</v>
      </c>
      <c r="I6659" s="20">
        <v>0.25323547253672701</v>
      </c>
      <c r="J6659" s="28">
        <v>0.80008625651646104</v>
      </c>
      <c r="K6659" s="29">
        <v>0.98289565623980701</v>
      </c>
    </row>
    <row r="6660" spans="1:11" x14ac:dyDescent="0.35">
      <c r="A6660" s="9" t="str">
        <f>HYPERLINK("http://www.ensembl.org/id/WBGene00007320", "WBGene00007320")</f>
        <v>WBGene00007320</v>
      </c>
      <c r="B6660" s="9" t="str">
        <f>HYPERLINK("http://www.ncbi.nlm.nih.gov/gene/176412", "176412")</f>
        <v>176412</v>
      </c>
      <c r="C6660" s="9"/>
      <c r="D6660" t="str">
        <f>"C05B5.2"</f>
        <v>C05B5.2</v>
      </c>
      <c r="F6660" t="s">
        <v>11</v>
      </c>
      <c r="G6660" t="s">
        <v>25</v>
      </c>
      <c r="H6660" s="12">
        <v>-1.8724828764416901</v>
      </c>
      <c r="I6660" s="20">
        <v>-0.60550422000082205</v>
      </c>
      <c r="J6660" s="28">
        <v>0.54484402157731404</v>
      </c>
      <c r="K6660" s="29">
        <v>0.98289565623980701</v>
      </c>
    </row>
    <row r="6661" spans="1:11" x14ac:dyDescent="0.35">
      <c r="A6661" s="9" t="str">
        <f>HYPERLINK("http://www.ensembl.org/id/WBGene00007321", "WBGene00007321")</f>
        <v>WBGene00007321</v>
      </c>
      <c r="B6661" s="9" t="str">
        <f>HYPERLINK("http://www.ncbi.nlm.nih.gov/gene/182246", "182246")</f>
        <v>182246</v>
      </c>
      <c r="C6661" s="9"/>
      <c r="D6661" t="str">
        <f>"C05B5.4"</f>
        <v>C05B5.4</v>
      </c>
      <c r="F6661" t="s">
        <v>11</v>
      </c>
      <c r="H6661" s="12">
        <v>1.33754672595305</v>
      </c>
      <c r="I6661" s="20">
        <v>0.61883032395337301</v>
      </c>
      <c r="J6661" s="28">
        <v>0.53602814324714199</v>
      </c>
      <c r="K6661" s="29">
        <v>0.98289565623980701</v>
      </c>
    </row>
    <row r="6662" spans="1:11" x14ac:dyDescent="0.35">
      <c r="A6662" s="9" t="str">
        <f>HYPERLINK("http://www.ensembl.org/id/WBGene00007322", "WBGene00007322")</f>
        <v>WBGene00007322</v>
      </c>
      <c r="B6662" s="9" t="str">
        <f>HYPERLINK("http://www.ncbi.nlm.nih.gov/gene/176413", "176413")</f>
        <v>176413</v>
      </c>
      <c r="C6662" s="9"/>
      <c r="D6662" t="str">
        <f>"C05B5.5"</f>
        <v>C05B5.5</v>
      </c>
      <c r="E6662" t="s">
        <v>9927</v>
      </c>
      <c r="F6662" t="s">
        <v>11</v>
      </c>
      <c r="G6662" t="s">
        <v>54</v>
      </c>
      <c r="H6662" s="12">
        <v>-1.39411518086069</v>
      </c>
      <c r="I6662" s="20">
        <v>-0.38263863861212299</v>
      </c>
      <c r="J6662" s="28">
        <v>0.70198771714867803</v>
      </c>
      <c r="K6662" s="29">
        <v>0.98289565623980701</v>
      </c>
    </row>
    <row r="6663" spans="1:11" x14ac:dyDescent="0.35">
      <c r="A6663" s="9" t="str">
        <f>HYPERLINK("http://www.ensembl.org/id/WBGene00007329", "WBGene00007329")</f>
        <v>WBGene00007329</v>
      </c>
      <c r="B6663" s="9" t="str">
        <f>HYPERLINK("http://www.ncbi.nlm.nih.gov/gene/174546", "174546")</f>
        <v>174546</v>
      </c>
      <c r="C6663" s="9"/>
      <c r="D6663" t="str">
        <f>"C05C10.2"</f>
        <v>C05C10.2</v>
      </c>
      <c r="E6663" t="s">
        <v>8725</v>
      </c>
      <c r="F6663" t="s">
        <v>11</v>
      </c>
      <c r="G6663" t="s">
        <v>8726</v>
      </c>
      <c r="H6663" s="12">
        <v>-1.19332983703346</v>
      </c>
      <c r="I6663" s="20">
        <v>-0.87166134115368099</v>
      </c>
      <c r="J6663" s="28">
        <v>0.38339315600000601</v>
      </c>
      <c r="K6663" s="29">
        <v>0.98289565623980701</v>
      </c>
    </row>
    <row r="6664" spans="1:11" x14ac:dyDescent="0.35">
      <c r="A6664" s="9" t="str">
        <f>HYPERLINK("http://www.ensembl.org/id/WBGene00007334", "WBGene00007334")</f>
        <v>WBGene00007334</v>
      </c>
      <c r="B6664" s="9" t="str">
        <f>HYPERLINK("http://www.ncbi.nlm.nih.gov/gene/259458", "259458")</f>
        <v>259458</v>
      </c>
      <c r="C6664" s="9"/>
      <c r="D6664" t="str">
        <f>"C05C10.7"</f>
        <v>C05C10.7</v>
      </c>
      <c r="F6664" t="s">
        <v>11</v>
      </c>
      <c r="G6664" t="s">
        <v>25</v>
      </c>
      <c r="H6664" s="12">
        <v>-1.3394598662534001</v>
      </c>
      <c r="I6664" s="20">
        <v>-0.63769735280381301</v>
      </c>
      <c r="J6664" s="28">
        <v>0.52367070909096003</v>
      </c>
      <c r="K6664" s="29">
        <v>0.98289565623980701</v>
      </c>
    </row>
    <row r="6665" spans="1:11" x14ac:dyDescent="0.35">
      <c r="A6665" s="9" t="str">
        <f>HYPERLINK("http://www.ensembl.org/id/WBGene00007336", "WBGene00007336")</f>
        <v>WBGene00007336</v>
      </c>
      <c r="B6665" s="9" t="str">
        <f>HYPERLINK("http://www.ncbi.nlm.nih.gov/gene/182252", "182252")</f>
        <v>182252</v>
      </c>
      <c r="C6665" s="9"/>
      <c r="D6665" t="str">
        <f>"C05C12.4"</f>
        <v>C05C12.4</v>
      </c>
      <c r="F6665" t="s">
        <v>11</v>
      </c>
      <c r="G6665" t="s">
        <v>25</v>
      </c>
      <c r="H6665" s="12">
        <v>-1.06687580586431</v>
      </c>
      <c r="I6665" s="20">
        <v>-0.293611213302444</v>
      </c>
      <c r="J6665" s="28">
        <v>0.76905500629804502</v>
      </c>
      <c r="K6665" s="29">
        <v>0.98289565623980701</v>
      </c>
    </row>
    <row r="6666" spans="1:11" x14ac:dyDescent="0.35">
      <c r="A6666" s="9" t="str">
        <f>HYPERLINK("http://www.ensembl.org/id/WBGene00007337", "WBGene00007337")</f>
        <v>WBGene00007337</v>
      </c>
      <c r="B6666" s="9" t="str">
        <f>HYPERLINK("http://www.ncbi.nlm.nih.gov/gene/178033", "178033")</f>
        <v>178033</v>
      </c>
      <c r="C6666" s="9"/>
      <c r="D6666" t="str">
        <f>"C05C12.5"</f>
        <v>C05C12.5</v>
      </c>
      <c r="F6666" t="s">
        <v>11</v>
      </c>
      <c r="H6666" s="12">
        <v>1.4950797666492099</v>
      </c>
      <c r="I6666" s="20">
        <v>0.39763098509021799</v>
      </c>
      <c r="J6666" s="28">
        <v>0.69090221704063104</v>
      </c>
      <c r="K6666" s="29">
        <v>0.98289565623980701</v>
      </c>
    </row>
    <row r="6667" spans="1:11" x14ac:dyDescent="0.35">
      <c r="A6667" s="9" t="str">
        <f>HYPERLINK("http://www.ensembl.org/id/WBGene00015460", "WBGene00015460")</f>
        <v>WBGene00015460</v>
      </c>
      <c r="B6667" s="9" t="str">
        <f>HYPERLINK("http://www.ncbi.nlm.nih.gov/gene/179119", "179119")</f>
        <v>179119</v>
      </c>
      <c r="C6667" s="9"/>
      <c r="D6667" t="str">
        <f>"C05C8.1"</f>
        <v>C05C8.1</v>
      </c>
      <c r="F6667" t="s">
        <v>11</v>
      </c>
      <c r="G6667" t="s">
        <v>8497</v>
      </c>
      <c r="H6667" s="12">
        <v>-1.18413035484326</v>
      </c>
      <c r="I6667" s="20">
        <v>-0.89456235435091502</v>
      </c>
      <c r="J6667" s="28">
        <v>0.37102108339405698</v>
      </c>
      <c r="K6667" s="29">
        <v>0.98289565623980701</v>
      </c>
    </row>
    <row r="6668" spans="1:11" x14ac:dyDescent="0.35">
      <c r="A6668" s="9" t="str">
        <f>HYPERLINK("http://www.ensembl.org/id/WBGene00197520", "WBGene00197520")</f>
        <v>WBGene00197520</v>
      </c>
      <c r="B6668" s="9"/>
      <c r="C6668" s="9"/>
      <c r="D6668" t="str">
        <f>"C05C8.10"</f>
        <v>C05C8.10</v>
      </c>
      <c r="F6668" t="s">
        <v>481</v>
      </c>
      <c r="H6668" s="12">
        <v>5.9495765472548197</v>
      </c>
      <c r="I6668" s="20">
        <v>0.52429389276509997</v>
      </c>
      <c r="J6668" s="28">
        <v>0.60007414400596704</v>
      </c>
      <c r="K6668" s="29">
        <v>0.98289565623980701</v>
      </c>
    </row>
    <row r="6669" spans="1:11" x14ac:dyDescent="0.35">
      <c r="A6669" s="9" t="str">
        <f>HYPERLINK("http://www.ensembl.org/id/WBGene00007325", "WBGene00007325")</f>
        <v>WBGene00007325</v>
      </c>
      <c r="B6669" s="9" t="str">
        <f>HYPERLINK("http://www.ncbi.nlm.nih.gov/gene/259726", "259726")</f>
        <v>259726</v>
      </c>
      <c r="C6669" s="9"/>
      <c r="D6669" t="str">
        <f>"C05C9.1"</f>
        <v>C05C9.1</v>
      </c>
      <c r="F6669" t="s">
        <v>11</v>
      </c>
      <c r="G6669" t="s">
        <v>554</v>
      </c>
      <c r="H6669" s="12">
        <v>1.3993271434194099</v>
      </c>
      <c r="I6669" s="20">
        <v>0.65722416969867303</v>
      </c>
      <c r="J6669" s="28">
        <v>0.51103678672531005</v>
      </c>
      <c r="K6669" s="29">
        <v>0.98289565623980701</v>
      </c>
    </row>
    <row r="6670" spans="1:11" x14ac:dyDescent="0.35">
      <c r="A6670" s="9" t="str">
        <f>HYPERLINK("http://www.ensembl.org/id/WBGene00007327", "WBGene00007327")</f>
        <v>WBGene00007327</v>
      </c>
      <c r="B6670" s="9" t="str">
        <f>HYPERLINK("http://www.ncbi.nlm.nih.gov/gene/182248", "182248")</f>
        <v>182248</v>
      </c>
      <c r="C6670" s="9"/>
      <c r="D6670" t="str">
        <f>"C05C9.3"</f>
        <v>C05C9.3</v>
      </c>
      <c r="F6670" t="s">
        <v>11</v>
      </c>
      <c r="H6670" s="12">
        <v>1.26325071879719</v>
      </c>
      <c r="I6670" s="20">
        <v>0.78990787701218601</v>
      </c>
      <c r="J6670" s="28">
        <v>0.42958157080621701</v>
      </c>
      <c r="K6670" s="29">
        <v>0.98289565623980701</v>
      </c>
    </row>
    <row r="6671" spans="1:11" x14ac:dyDescent="0.35">
      <c r="A6671" s="9" t="str">
        <f>HYPERLINK("http://www.ensembl.org/id/WBGene00015483", "WBGene00015483")</f>
        <v>WBGene00015483</v>
      </c>
      <c r="B6671" s="9" t="str">
        <f>HYPERLINK("http://www.ncbi.nlm.nih.gov/gene/182258", "182258")</f>
        <v>182258</v>
      </c>
      <c r="C6671" s="9" t="str">
        <f>HYPERLINK("http://www.ncbi.nlm.nih.gov/gene/81888", "81888")</f>
        <v>81888</v>
      </c>
      <c r="D6671" t="str">
        <f>"C05D11.5"</f>
        <v>C05D11.5</v>
      </c>
      <c r="E6671" t="s">
        <v>5988</v>
      </c>
      <c r="F6671" t="s">
        <v>11</v>
      </c>
      <c r="G6671" t="s">
        <v>5989</v>
      </c>
      <c r="H6671" s="12">
        <v>1.07636450845938</v>
      </c>
      <c r="I6671" s="20">
        <v>0.28503385713346302</v>
      </c>
      <c r="J6671" s="28">
        <v>0.77561820309595297</v>
      </c>
      <c r="K6671" s="29">
        <v>0.98289565623980701</v>
      </c>
    </row>
    <row r="6672" spans="1:11" x14ac:dyDescent="0.35">
      <c r="A6672" s="9" t="str">
        <f>HYPERLINK("http://www.ensembl.org/id/WBGene00015485", "WBGene00015485")</f>
        <v>WBGene00015485</v>
      </c>
      <c r="B6672" s="9" t="str">
        <f>HYPERLINK("http://www.ncbi.nlm.nih.gov/gene/182260", "182260")</f>
        <v>182260</v>
      </c>
      <c r="C6672" s="9"/>
      <c r="D6672" t="str">
        <f>"C05D11.8"</f>
        <v>C05D11.8</v>
      </c>
      <c r="E6672" t="s">
        <v>6504</v>
      </c>
      <c r="F6672" t="s">
        <v>11</v>
      </c>
      <c r="H6672" s="12">
        <v>-1.07249922815566</v>
      </c>
      <c r="I6672" s="20">
        <v>-0.33592273740233097</v>
      </c>
      <c r="J6672" s="28">
        <v>0.73692913042601804</v>
      </c>
      <c r="K6672" s="29">
        <v>0.98289565623980701</v>
      </c>
    </row>
    <row r="6673" spans="1:11" x14ac:dyDescent="0.35">
      <c r="A6673" s="9" t="str">
        <f>HYPERLINK("http://www.ensembl.org/id/WBGene00007339", "WBGene00007339")</f>
        <v>WBGene00007339</v>
      </c>
      <c r="B6673" s="9" t="str">
        <f>HYPERLINK("http://www.ncbi.nlm.nih.gov/gene/174740", "174740")</f>
        <v>174740</v>
      </c>
      <c r="C6673" s="9" t="str">
        <f>HYPERLINK("http://www.ncbi.nlm.nih.gov/gene/391059", "391059")</f>
        <v>391059</v>
      </c>
      <c r="D6673" t="str">
        <f>"C05D12.1"</f>
        <v>C05D12.1</v>
      </c>
      <c r="F6673" t="s">
        <v>11</v>
      </c>
      <c r="G6673" t="s">
        <v>25</v>
      </c>
      <c r="H6673" s="12">
        <v>1.27525718092138</v>
      </c>
      <c r="I6673" s="20">
        <v>0.95858686463319498</v>
      </c>
      <c r="J6673" s="28">
        <v>0.33776691237217299</v>
      </c>
      <c r="K6673" s="29">
        <v>0.98289565623980701</v>
      </c>
    </row>
    <row r="6674" spans="1:11" x14ac:dyDescent="0.35">
      <c r="A6674" s="9" t="str">
        <f>HYPERLINK("http://www.ensembl.org/id/WBGene00007341", "WBGene00007341")</f>
        <v>WBGene00007341</v>
      </c>
      <c r="B6674" s="9" t="str">
        <f>HYPERLINK("http://www.ncbi.nlm.nih.gov/gene/3565230", "3565230")</f>
        <v>3565230</v>
      </c>
      <c r="C6674" s="9"/>
      <c r="D6674" t="str">
        <f>"C05D12.4"</f>
        <v>C05D12.4</v>
      </c>
      <c r="F6674" t="s">
        <v>11</v>
      </c>
      <c r="H6674" s="12">
        <v>-1.4774403664225799</v>
      </c>
      <c r="I6674" s="20">
        <v>-0.76376142449815498</v>
      </c>
      <c r="J6674" s="28">
        <v>0.44500942881862199</v>
      </c>
      <c r="K6674" s="29">
        <v>0.98289565623980701</v>
      </c>
    </row>
    <row r="6675" spans="1:11" x14ac:dyDescent="0.35">
      <c r="A6675" s="9" t="str">
        <f>HYPERLINK("http://www.ensembl.org/id/WBGene00007342", "WBGene00007342")</f>
        <v>WBGene00007342</v>
      </c>
      <c r="B6675" s="9" t="str">
        <f>HYPERLINK("http://www.ncbi.nlm.nih.gov/gene/182262", "182262")</f>
        <v>182262</v>
      </c>
      <c r="C6675" s="9"/>
      <c r="D6675" t="str">
        <f>"C05D12.5"</f>
        <v>C05D12.5</v>
      </c>
      <c r="F6675" t="s">
        <v>11</v>
      </c>
      <c r="H6675" s="12">
        <v>-1.3138999151597499</v>
      </c>
      <c r="I6675" s="20">
        <v>-0.53726094433540705</v>
      </c>
      <c r="J6675" s="28">
        <v>0.59108737912063503</v>
      </c>
      <c r="K6675" s="29">
        <v>0.98289565623980701</v>
      </c>
    </row>
    <row r="6676" spans="1:11" x14ac:dyDescent="0.35">
      <c r="A6676" s="9" t="str">
        <f>HYPERLINK("http://www.ensembl.org/id/WBGene00015470", "WBGene00015470")</f>
        <v>WBGene00015470</v>
      </c>
      <c r="B6676" s="9" t="str">
        <f>HYPERLINK("http://www.ncbi.nlm.nih.gov/gene/175774", "175774")</f>
        <v>175774</v>
      </c>
      <c r="C6676" s="9" t="str">
        <f>HYPERLINK("http://www.ncbi.nlm.nih.gov/gene/22884", "22884")</f>
        <v>22884</v>
      </c>
      <c r="D6676" t="str">
        <f>"C05D2.10"</f>
        <v>C05D2.10</v>
      </c>
      <c r="F6676" t="s">
        <v>11</v>
      </c>
      <c r="G6676" t="s">
        <v>8553</v>
      </c>
      <c r="H6676" s="12">
        <v>-1.1832491211437901</v>
      </c>
      <c r="I6676" s="20">
        <v>-0.90056212167085903</v>
      </c>
      <c r="J6676" s="28">
        <v>0.36782118179602002</v>
      </c>
      <c r="K6676" s="29">
        <v>0.98289565623980701</v>
      </c>
    </row>
    <row r="6677" spans="1:11" x14ac:dyDescent="0.35">
      <c r="A6677" s="9" t="str">
        <f>HYPERLINK("http://www.ensembl.org/id/WBGene00022910", "WBGene00022910")</f>
        <v>WBGene00022910</v>
      </c>
      <c r="B6677" s="9"/>
      <c r="C6677" s="9"/>
      <c r="D6677" t="str">
        <f>"C05D2.11"</f>
        <v>C05D2.11</v>
      </c>
      <c r="F6677" t="s">
        <v>481</v>
      </c>
      <c r="H6677" s="12">
        <v>-1.20869680596264</v>
      </c>
      <c r="I6677" s="20">
        <v>-0.84306041854927005</v>
      </c>
      <c r="J6677" s="28">
        <v>0.39919465413399402</v>
      </c>
      <c r="K6677" s="29">
        <v>0.98289565623980701</v>
      </c>
    </row>
    <row r="6678" spans="1:11" x14ac:dyDescent="0.35">
      <c r="A6678" s="9" t="str">
        <f>HYPERLINK("http://www.ensembl.org/id/WBGene00197335", "WBGene00197335")</f>
        <v>WBGene00197335</v>
      </c>
      <c r="B6678" s="9"/>
      <c r="C6678" s="9"/>
      <c r="D6678" t="str">
        <f>"C05D2.14"</f>
        <v>C05D2.14</v>
      </c>
      <c r="F6678" t="s">
        <v>481</v>
      </c>
      <c r="H6678" s="12">
        <v>3.96717629464532</v>
      </c>
      <c r="I6678" s="20">
        <v>0.45862218578449998</v>
      </c>
      <c r="J6678" s="28">
        <v>0.64650550194479495</v>
      </c>
      <c r="K6678" s="29">
        <v>0.98289565623980701</v>
      </c>
    </row>
    <row r="6679" spans="1:11" x14ac:dyDescent="0.35">
      <c r="A6679" s="9" t="str">
        <f>HYPERLINK("http://www.ensembl.org/id/WBGene00197666", "WBGene00197666")</f>
        <v>WBGene00197666</v>
      </c>
      <c r="B6679" s="9"/>
      <c r="C6679" s="9"/>
      <c r="D6679" t="str">
        <f>"C05D2.15"</f>
        <v>C05D2.15</v>
      </c>
      <c r="F6679" t="s">
        <v>2977</v>
      </c>
      <c r="H6679" s="12">
        <v>2.4578120077400301</v>
      </c>
      <c r="I6679" s="20">
        <v>0.26093350314551</v>
      </c>
      <c r="J6679" s="28">
        <v>0.79414378780213601</v>
      </c>
      <c r="K6679" s="29">
        <v>0.98289565623980701</v>
      </c>
    </row>
    <row r="6680" spans="1:11" x14ac:dyDescent="0.35">
      <c r="A6680" s="9" t="str">
        <f>HYPERLINK("http://www.ensembl.org/id/WBGene00200205", "WBGene00200205")</f>
        <v>WBGene00200205</v>
      </c>
      <c r="B6680" s="9"/>
      <c r="C6680" s="9"/>
      <c r="D6680" t="str">
        <f>"C05D2.17"</f>
        <v>C05D2.17</v>
      </c>
      <c r="F6680" t="s">
        <v>481</v>
      </c>
      <c r="H6680" s="12">
        <v>-4.5114499031905204</v>
      </c>
      <c r="I6680" s="20">
        <v>-0.44198655555625299</v>
      </c>
      <c r="J6680" s="28">
        <v>0.65849893477547905</v>
      </c>
      <c r="K6680" s="29">
        <v>0.98289565623980701</v>
      </c>
    </row>
    <row r="6681" spans="1:11" x14ac:dyDescent="0.35">
      <c r="A6681" s="9" t="str">
        <f>HYPERLINK("http://www.ensembl.org/id/WBGene00015472", "WBGene00015472")</f>
        <v>WBGene00015472</v>
      </c>
      <c r="B6681" s="9" t="str">
        <f>HYPERLINK("http://www.ncbi.nlm.nih.gov/gene/182254", "182254")</f>
        <v>182254</v>
      </c>
      <c r="C6681" s="9"/>
      <c r="D6681" t="str">
        <f>"C05D9.3"</f>
        <v>C05D9.3</v>
      </c>
      <c r="E6681" t="s">
        <v>5468</v>
      </c>
      <c r="F6681" t="s">
        <v>11</v>
      </c>
      <c r="G6681" t="s">
        <v>5469</v>
      </c>
      <c r="H6681" s="12">
        <v>1.1607618123447601</v>
      </c>
      <c r="I6681" s="20">
        <v>0.76380381123317698</v>
      </c>
      <c r="J6681" s="28">
        <v>0.44498416528079299</v>
      </c>
      <c r="K6681" s="29">
        <v>0.98289565623980701</v>
      </c>
    </row>
    <row r="6682" spans="1:11" x14ac:dyDescent="0.35">
      <c r="A6682" s="9" t="str">
        <f>HYPERLINK("http://www.ensembl.org/id/WBGene00015473", "WBGene00015473")</f>
        <v>WBGene00015473</v>
      </c>
      <c r="B6682" s="9" t="str">
        <f>HYPERLINK("http://www.ncbi.nlm.nih.gov/gene/182255", "182255")</f>
        <v>182255</v>
      </c>
      <c r="C6682" s="9"/>
      <c r="D6682" t="str">
        <f>"C05D9.4"</f>
        <v>C05D9.4</v>
      </c>
      <c r="F6682" t="s">
        <v>11</v>
      </c>
      <c r="H6682" s="12">
        <v>1.5009846965812199</v>
      </c>
      <c r="I6682" s="20">
        <v>0.40383382744570101</v>
      </c>
      <c r="J6682" s="28">
        <v>0.68633491940788705</v>
      </c>
      <c r="K6682" s="29">
        <v>0.98289565623980701</v>
      </c>
    </row>
    <row r="6683" spans="1:11" x14ac:dyDescent="0.35">
      <c r="A6683" s="9" t="str">
        <f>HYPERLINK("http://www.ensembl.org/id/WBGene00015474", "WBGene00015474")</f>
        <v>WBGene00015474</v>
      </c>
      <c r="B6683" s="9" t="str">
        <f>HYPERLINK("http://www.ncbi.nlm.nih.gov/gene/180465", "180465")</f>
        <v>180465</v>
      </c>
      <c r="C6683" s="9"/>
      <c r="D6683" t="str">
        <f>"C05D9.7"</f>
        <v>C05D9.7</v>
      </c>
      <c r="F6683" t="s">
        <v>11</v>
      </c>
      <c r="G6683" t="s">
        <v>25</v>
      </c>
      <c r="H6683" s="12">
        <v>1.2891151975342701</v>
      </c>
      <c r="I6683" s="20">
        <v>1.09209131516944</v>
      </c>
      <c r="J6683" s="28">
        <v>0.27479296638271</v>
      </c>
      <c r="K6683" s="29">
        <v>0.98289565623980701</v>
      </c>
    </row>
    <row r="6684" spans="1:11" x14ac:dyDescent="0.35">
      <c r="A6684" s="9" t="str">
        <f>HYPERLINK("http://www.ensembl.org/id/WBGene00195517", "WBGene00195517")</f>
        <v>WBGene00195517</v>
      </c>
      <c r="B6684" s="9"/>
      <c r="C6684" s="9"/>
      <c r="D6684" t="str">
        <f>"C05E11.10"</f>
        <v>C05E11.10</v>
      </c>
      <c r="F6684" t="s">
        <v>481</v>
      </c>
      <c r="H6684" s="12">
        <v>-7.7904337984490803</v>
      </c>
      <c r="I6684" s="20">
        <v>-0.60901310058451197</v>
      </c>
      <c r="J6684" s="28">
        <v>0.54251575542982</v>
      </c>
      <c r="K6684" s="29">
        <v>0.98289565623980701</v>
      </c>
    </row>
    <row r="6685" spans="1:11" x14ac:dyDescent="0.35">
      <c r="A6685" s="9" t="str">
        <f>HYPERLINK("http://www.ensembl.org/id/WBGene00198384", "WBGene00198384")</f>
        <v>WBGene00198384</v>
      </c>
      <c r="B6685" s="9"/>
      <c r="C6685" s="9"/>
      <c r="D6685" t="str">
        <f>"C05E11.14"</f>
        <v>C05E11.14</v>
      </c>
      <c r="F6685" t="s">
        <v>481</v>
      </c>
      <c r="H6685" s="12">
        <v>1.60258216448367</v>
      </c>
      <c r="I6685" s="20">
        <v>0.30177476310700702</v>
      </c>
      <c r="J6685" s="28">
        <v>0.76282377060662598</v>
      </c>
      <c r="K6685" s="29">
        <v>0.98289565623980701</v>
      </c>
    </row>
    <row r="6686" spans="1:11" x14ac:dyDescent="0.35">
      <c r="A6686" s="9" t="str">
        <f>HYPERLINK("http://www.ensembl.org/id/WBGene00201960", "WBGene00201960")</f>
        <v>WBGene00201960</v>
      </c>
      <c r="B6686" s="9"/>
      <c r="C6686" s="9"/>
      <c r="D6686" t="str">
        <f>"C05E11.17"</f>
        <v>C05E11.17</v>
      </c>
      <c r="F6686" t="s">
        <v>481</v>
      </c>
      <c r="H6686" s="12">
        <v>4.2409962784174802</v>
      </c>
      <c r="I6686" s="20">
        <v>0.75508774018714298</v>
      </c>
      <c r="J6686" s="28">
        <v>0.450196338705175</v>
      </c>
      <c r="K6686" s="29">
        <v>0.98289565623980701</v>
      </c>
    </row>
    <row r="6687" spans="1:11" x14ac:dyDescent="0.35">
      <c r="A6687" s="9" t="str">
        <f>HYPERLINK("http://www.ensembl.org/id/WBGene00015493", "WBGene00015493")</f>
        <v>WBGene00015493</v>
      </c>
      <c r="B6687" s="9" t="str">
        <f>HYPERLINK("http://www.ncbi.nlm.nih.gov/gene/182272", "182272")</f>
        <v>182272</v>
      </c>
      <c r="C6687" s="9"/>
      <c r="D6687" t="str">
        <f>"C05E11.2"</f>
        <v>C05E11.2</v>
      </c>
      <c r="F6687" t="s">
        <v>11</v>
      </c>
      <c r="G6687" t="s">
        <v>25</v>
      </c>
      <c r="H6687" s="12">
        <v>3.7257614240778798</v>
      </c>
      <c r="I6687" s="20">
        <v>0.48982632408382998</v>
      </c>
      <c r="J6687" s="28">
        <v>0.62425680143886597</v>
      </c>
      <c r="K6687" s="29">
        <v>0.98289565623980701</v>
      </c>
    </row>
    <row r="6688" spans="1:11" x14ac:dyDescent="0.35">
      <c r="A6688" s="9" t="str">
        <f>HYPERLINK("http://www.ensembl.org/id/WBGene00015494", "WBGene00015494")</f>
        <v>WBGene00015494</v>
      </c>
      <c r="B6688" s="9" t="str">
        <f>HYPERLINK("http://www.ncbi.nlm.nih.gov/gene/180730", "180730")</f>
        <v>180730</v>
      </c>
      <c r="C6688" s="9"/>
      <c r="D6688" t="str">
        <f>"C05E11.3"</f>
        <v>C05E11.3</v>
      </c>
      <c r="E6688" t="s">
        <v>5912</v>
      </c>
      <c r="F6688" t="s">
        <v>11</v>
      </c>
      <c r="G6688" t="s">
        <v>3015</v>
      </c>
      <c r="H6688" s="12">
        <v>1.08595963190441</v>
      </c>
      <c r="I6688" s="20">
        <v>0.35736961553416702</v>
      </c>
      <c r="J6688" s="28">
        <v>0.72081512022515204</v>
      </c>
      <c r="K6688" s="29">
        <v>0.98289565623980701</v>
      </c>
    </row>
    <row r="6689" spans="1:11" x14ac:dyDescent="0.35">
      <c r="A6689" s="9" t="str">
        <f>HYPERLINK("http://www.ensembl.org/id/WBGene00195372", "WBGene00195372")</f>
        <v>WBGene00195372</v>
      </c>
      <c r="B6689" s="9"/>
      <c r="C6689" s="9"/>
      <c r="D6689" t="str">
        <f>"C05E11.9"</f>
        <v>C05E11.9</v>
      </c>
      <c r="F6689" t="s">
        <v>481</v>
      </c>
      <c r="H6689" s="12">
        <v>2.3893468495514898</v>
      </c>
      <c r="I6689" s="20">
        <v>0.25323547253672701</v>
      </c>
      <c r="J6689" s="28">
        <v>0.80008625651646104</v>
      </c>
      <c r="K6689" s="29">
        <v>0.98289565623980701</v>
      </c>
    </row>
    <row r="6690" spans="1:11" x14ac:dyDescent="0.35">
      <c r="A6690" s="9" t="str">
        <f>HYPERLINK("http://www.ensembl.org/id/WBGene00206359", "WBGene00206359")</f>
        <v>WBGene00206359</v>
      </c>
      <c r="B6690" s="9" t="str">
        <f>HYPERLINK("http://www.ncbi.nlm.nih.gov/gene/13211494", "13211494")</f>
        <v>13211494</v>
      </c>
      <c r="C6690" s="9"/>
      <c r="D6690" t="str">
        <f>"C05E4.15"</f>
        <v>C05E4.15</v>
      </c>
      <c r="F6690" t="s">
        <v>11</v>
      </c>
      <c r="G6690" t="s">
        <v>178</v>
      </c>
      <c r="H6690" s="12">
        <v>1.39307606653187</v>
      </c>
      <c r="I6690" s="20">
        <v>0.37711764939541098</v>
      </c>
      <c r="J6690" s="28">
        <v>0.70608617557158104</v>
      </c>
      <c r="K6690" s="29">
        <v>0.98289565623980701</v>
      </c>
    </row>
    <row r="6691" spans="1:11" x14ac:dyDescent="0.35">
      <c r="A6691" s="9" t="str">
        <f>HYPERLINK("http://www.ensembl.org/id/WBGene00007344", "WBGene00007344")</f>
        <v>WBGene00007344</v>
      </c>
      <c r="B6691" s="9" t="str">
        <f>HYPERLINK("http://www.ncbi.nlm.nih.gov/gene/182266", "182266")</f>
        <v>182266</v>
      </c>
      <c r="C6691" s="9"/>
      <c r="D6691" t="str">
        <f>"C05E7.2"</f>
        <v>C05E7.2</v>
      </c>
      <c r="F6691" t="s">
        <v>11</v>
      </c>
      <c r="H6691" s="12">
        <v>-1.3915408450617699</v>
      </c>
      <c r="I6691" s="20">
        <v>-0.45098212557547401</v>
      </c>
      <c r="J6691" s="28">
        <v>0.65200243165480998</v>
      </c>
      <c r="K6691" s="29">
        <v>0.98289565623980701</v>
      </c>
    </row>
    <row r="6692" spans="1:11" x14ac:dyDescent="0.35">
      <c r="A6692" s="9" t="str">
        <f>HYPERLINK("http://www.ensembl.org/id/WBGene00201510", "WBGene00201510")</f>
        <v>WBGene00201510</v>
      </c>
      <c r="B6692" s="9"/>
      <c r="C6692" s="9"/>
      <c r="D6692" t="str">
        <f>"C05E7.6"</f>
        <v>C05E7.6</v>
      </c>
      <c r="F6692" t="s">
        <v>481</v>
      </c>
      <c r="H6692" s="12">
        <v>-2.4295389261469</v>
      </c>
      <c r="I6692" s="20">
        <v>-0.25808529976640998</v>
      </c>
      <c r="J6692" s="28">
        <v>0.79634107645457397</v>
      </c>
      <c r="K6692" s="29">
        <v>0.98289565623980701</v>
      </c>
    </row>
    <row r="6693" spans="1:11" x14ac:dyDescent="0.35">
      <c r="A6693" s="9" t="str">
        <f>HYPERLINK("http://www.ensembl.org/id/WBGene00007347", "WBGene00007347")</f>
        <v>WBGene00007347</v>
      </c>
      <c r="B6693" s="9" t="str">
        <f>HYPERLINK("http://www.ncbi.nlm.nih.gov/gene/182275", "182275")</f>
        <v>182275</v>
      </c>
      <c r="C6693" s="9" t="str">
        <f>HYPERLINK("http://www.ncbi.nlm.nih.gov/gene/84179", "84179")</f>
        <v>84179</v>
      </c>
      <c r="D6693" t="str">
        <f>"C05G5.1"</f>
        <v>C05G5.1</v>
      </c>
      <c r="F6693" t="s">
        <v>11</v>
      </c>
      <c r="G6693" t="s">
        <v>2198</v>
      </c>
      <c r="H6693" s="12">
        <v>-1.30871374049919</v>
      </c>
      <c r="I6693" s="20">
        <v>-1.0877841203499099</v>
      </c>
      <c r="J6693" s="28">
        <v>0.27669042138658401</v>
      </c>
      <c r="K6693" s="29">
        <v>0.98289565623980701</v>
      </c>
    </row>
    <row r="6694" spans="1:11" x14ac:dyDescent="0.35">
      <c r="A6694" s="9" t="str">
        <f>HYPERLINK("http://www.ensembl.org/id/WBGene00007348", "WBGene00007348")</f>
        <v>WBGene00007348</v>
      </c>
      <c r="B6694" s="9" t="str">
        <f>HYPERLINK("http://www.ncbi.nlm.nih.gov/gene/181568", "181568")</f>
        <v>181568</v>
      </c>
      <c r="C6694" s="9"/>
      <c r="D6694" t="str">
        <f>"C05G5.2"</f>
        <v>C05G5.2</v>
      </c>
      <c r="F6694" t="s">
        <v>11</v>
      </c>
      <c r="H6694" s="12">
        <v>-1.0597256866662399</v>
      </c>
      <c r="I6694" s="20">
        <v>-0.27395861907339503</v>
      </c>
      <c r="J6694" s="28">
        <v>0.78411642261454695</v>
      </c>
      <c r="K6694" s="29">
        <v>0.98289565623980701</v>
      </c>
    </row>
    <row r="6695" spans="1:11" x14ac:dyDescent="0.35">
      <c r="A6695" s="9" t="str">
        <f>HYPERLINK("http://www.ensembl.org/id/WBGene00050939", "WBGene00050939")</f>
        <v>WBGene00050939</v>
      </c>
      <c r="B6695" s="9" t="str">
        <f>HYPERLINK("http://www.ncbi.nlm.nih.gov/gene/6418832", "6418832")</f>
        <v>6418832</v>
      </c>
      <c r="C6695" s="9"/>
      <c r="D6695" t="str">
        <f>"C05G5.7"</f>
        <v>C05G5.7</v>
      </c>
      <c r="F6695" t="s">
        <v>11</v>
      </c>
      <c r="H6695" s="12">
        <v>1.3065377907993001</v>
      </c>
      <c r="I6695" s="20">
        <v>0.34598601581232402</v>
      </c>
      <c r="J6695" s="28">
        <v>0.72935322424480997</v>
      </c>
      <c r="K6695" s="29">
        <v>0.98289565623980701</v>
      </c>
    </row>
    <row r="6696" spans="1:11" x14ac:dyDescent="0.35">
      <c r="A6696" s="9" t="str">
        <f>HYPERLINK("http://www.ensembl.org/id/WBGene00195629", "WBGene00195629")</f>
        <v>WBGene00195629</v>
      </c>
      <c r="B6696" s="9"/>
      <c r="C6696" s="9"/>
      <c r="D6696" t="str">
        <f>"C05G5.8"</f>
        <v>C05G5.8</v>
      </c>
      <c r="F6696" t="s">
        <v>481</v>
      </c>
      <c r="H6696" s="12">
        <v>-2.4991590031922399</v>
      </c>
      <c r="I6696" s="20">
        <v>-0.26577412737581302</v>
      </c>
      <c r="J6696" s="28">
        <v>0.79041317015736101</v>
      </c>
      <c r="K6696" s="29">
        <v>0.98289565623980701</v>
      </c>
    </row>
    <row r="6697" spans="1:11" x14ac:dyDescent="0.35">
      <c r="A6697" s="9" t="str">
        <f>HYPERLINK("http://www.ensembl.org/id/WBGene00197186", "WBGene00197186")</f>
        <v>WBGene00197186</v>
      </c>
      <c r="B6697" s="9"/>
      <c r="C6697" s="9"/>
      <c r="D6697" t="str">
        <f>"C05G5.9"</f>
        <v>C05G5.9</v>
      </c>
      <c r="F6697" t="s">
        <v>481</v>
      </c>
      <c r="H6697" s="12">
        <v>4.6387698961716399</v>
      </c>
      <c r="I6697" s="20">
        <v>0.44985450087338802</v>
      </c>
      <c r="J6697" s="28">
        <v>0.65281535672642099</v>
      </c>
      <c r="K6697" s="29">
        <v>0.98289565623980701</v>
      </c>
    </row>
    <row r="6698" spans="1:11" x14ac:dyDescent="0.35">
      <c r="A6698" s="9" t="str">
        <f>HYPERLINK("http://www.ensembl.org/id/WBGene00045089", "WBGene00045089")</f>
        <v>WBGene00045089</v>
      </c>
      <c r="B6698" s="9"/>
      <c r="C6698" s="9"/>
      <c r="D6698" t="str">
        <f>"C05H8.3"</f>
        <v>C05H8.3</v>
      </c>
      <c r="F6698" t="s">
        <v>2977</v>
      </c>
      <c r="H6698" s="12">
        <v>4.4368407117627902</v>
      </c>
      <c r="I6698" s="20">
        <v>0.43709475933309699</v>
      </c>
      <c r="J6698" s="28">
        <v>0.66204262779770495</v>
      </c>
      <c r="K6698" s="29">
        <v>0.98289565623980701</v>
      </c>
    </row>
    <row r="6699" spans="1:11" x14ac:dyDescent="0.35">
      <c r="A6699" s="9" t="str">
        <f>HYPERLINK("http://www.ensembl.org/id/WBGene00198115", "WBGene00198115")</f>
        <v>WBGene00198115</v>
      </c>
      <c r="B6699" s="9"/>
      <c r="C6699" s="9"/>
      <c r="D6699" t="str">
        <f>"C06A1.11"</f>
        <v>C06A1.11</v>
      </c>
      <c r="F6699" t="s">
        <v>481</v>
      </c>
      <c r="H6699" s="12">
        <v>2.4578120077400301</v>
      </c>
      <c r="I6699" s="20">
        <v>0.26093350314551</v>
      </c>
      <c r="J6699" s="28">
        <v>0.79414378780213601</v>
      </c>
      <c r="K6699" s="29">
        <v>0.98289565623980701</v>
      </c>
    </row>
    <row r="6700" spans="1:11" x14ac:dyDescent="0.35">
      <c r="A6700" s="9" t="str">
        <f>HYPERLINK("http://www.ensembl.org/id/WBGene00007353", "WBGene00007353")</f>
        <v>WBGene00007353</v>
      </c>
      <c r="B6700" s="9" t="str">
        <f>HYPERLINK("http://www.ncbi.nlm.nih.gov/gene/182279", "182279")</f>
        <v>182279</v>
      </c>
      <c r="C6700" s="9"/>
      <c r="D6700" t="str">
        <f>"C06A1.2"</f>
        <v>C06A1.2</v>
      </c>
      <c r="F6700" t="s">
        <v>11</v>
      </c>
      <c r="G6700" t="s">
        <v>25</v>
      </c>
      <c r="H6700" s="12">
        <v>1.33416568363838</v>
      </c>
      <c r="I6700" s="20">
        <v>1.14836900715214</v>
      </c>
      <c r="J6700" s="28">
        <v>0.25081626252456102</v>
      </c>
      <c r="K6700" s="29">
        <v>0.98289565623980701</v>
      </c>
    </row>
    <row r="6701" spans="1:11" x14ac:dyDescent="0.35">
      <c r="A6701" s="9" t="str">
        <f>HYPERLINK("http://www.ensembl.org/id/WBGene00007356", "WBGene00007356")</f>
        <v>WBGene00007356</v>
      </c>
      <c r="B6701" s="9" t="str">
        <f>HYPERLINK("http://www.ncbi.nlm.nih.gov/gene/174625", "174625")</f>
        <v>174625</v>
      </c>
      <c r="C6701" s="9"/>
      <c r="D6701" t="str">
        <f>"C06A1.6"</f>
        <v>C06A1.6</v>
      </c>
      <c r="F6701" t="s">
        <v>11</v>
      </c>
      <c r="H6701" s="12">
        <v>7.8750041662741399</v>
      </c>
      <c r="I6701" s="20">
        <v>0.66270036837280499</v>
      </c>
      <c r="J6701" s="28">
        <v>0.507522473818947</v>
      </c>
      <c r="K6701" s="29">
        <v>0.98289565623980701</v>
      </c>
    </row>
    <row r="6702" spans="1:11" x14ac:dyDescent="0.35">
      <c r="A6702" s="9" t="str">
        <f>HYPERLINK("http://www.ensembl.org/id/WBGene00044235", "WBGene00044235")</f>
        <v>WBGene00044235</v>
      </c>
      <c r="B6702" s="9" t="str">
        <f>HYPERLINK("http://www.ncbi.nlm.nih.gov/gene/3565016", "3565016")</f>
        <v>3565016</v>
      </c>
      <c r="C6702" s="9"/>
      <c r="D6702" t="str">
        <f>"C06A1.7"</f>
        <v>C06A1.7</v>
      </c>
      <c r="F6702" t="s">
        <v>11</v>
      </c>
      <c r="H6702" s="12">
        <v>6.4774371428223603</v>
      </c>
      <c r="I6702" s="20">
        <v>1.0706957976474001</v>
      </c>
      <c r="J6702" s="28">
        <v>0.28430623294761298</v>
      </c>
      <c r="K6702" s="29">
        <v>0.98289565623980701</v>
      </c>
    </row>
    <row r="6703" spans="1:11" x14ac:dyDescent="0.35">
      <c r="A6703" s="9" t="str">
        <f>HYPERLINK("http://www.ensembl.org/id/WBGene00255703", "WBGene00255703")</f>
        <v>WBGene00255703</v>
      </c>
      <c r="B6703" s="9"/>
      <c r="C6703" s="9"/>
      <c r="D6703" t="str">
        <f>"C06A12.20"</f>
        <v>C06A12.20</v>
      </c>
      <c r="F6703" t="s">
        <v>481</v>
      </c>
      <c r="H6703" s="12">
        <v>-11.359794722088999</v>
      </c>
      <c r="I6703" s="20">
        <v>-0.75222598084001502</v>
      </c>
      <c r="J6703" s="28">
        <v>0.45191517202849601</v>
      </c>
      <c r="K6703" s="29">
        <v>0.98289565623980701</v>
      </c>
    </row>
    <row r="6704" spans="1:11" x14ac:dyDescent="0.35">
      <c r="A6704" s="9" t="str">
        <f>HYPERLINK("http://www.ensembl.org/id/WBGene00007357", "WBGene00007357")</f>
        <v>WBGene00007357</v>
      </c>
      <c r="B6704" s="9" t="str">
        <f>HYPERLINK("http://www.ncbi.nlm.nih.gov/gene/178529", "178529")</f>
        <v>178529</v>
      </c>
      <c r="C6704" s="9"/>
      <c r="D6704" t="str">
        <f>"C06A12.3"</f>
        <v>C06A12.3</v>
      </c>
      <c r="F6704" t="s">
        <v>11</v>
      </c>
      <c r="G6704" t="s">
        <v>9765</v>
      </c>
      <c r="H6704" s="12">
        <v>-1.29697184244837</v>
      </c>
      <c r="I6704" s="20">
        <v>-1.0984181262610899</v>
      </c>
      <c r="J6704" s="28">
        <v>0.272021950879059</v>
      </c>
      <c r="K6704" s="29">
        <v>0.98289565623980701</v>
      </c>
    </row>
    <row r="6705" spans="1:11" x14ac:dyDescent="0.35">
      <c r="A6705" s="9" t="str">
        <f>HYPERLINK("http://www.ensembl.org/id/WBGene00007359", "WBGene00007359")</f>
        <v>WBGene00007359</v>
      </c>
      <c r="B6705" s="9" t="str">
        <f>HYPERLINK("http://www.ncbi.nlm.nih.gov/gene/3565607", "3565607")</f>
        <v>3565607</v>
      </c>
      <c r="C6705" s="9"/>
      <c r="D6705" t="str">
        <f>"C06A12.8"</f>
        <v>C06A12.8</v>
      </c>
      <c r="F6705" t="s">
        <v>11</v>
      </c>
      <c r="H6705" s="12">
        <v>-4.51585610737573</v>
      </c>
      <c r="I6705" s="20">
        <v>-0.50361966967016503</v>
      </c>
      <c r="J6705" s="28">
        <v>0.61452866763025804</v>
      </c>
      <c r="K6705" s="29">
        <v>0.98289565623980701</v>
      </c>
    </row>
    <row r="6706" spans="1:11" x14ac:dyDescent="0.35">
      <c r="A6706" s="9" t="str">
        <f>HYPERLINK("http://www.ensembl.org/id/WBGene00044414", "WBGene00044414")</f>
        <v>WBGene00044414</v>
      </c>
      <c r="B6706" s="9" t="str">
        <f>HYPERLINK("http://www.ncbi.nlm.nih.gov/gene/3565263", "3565263")</f>
        <v>3565263</v>
      </c>
      <c r="C6706" s="9"/>
      <c r="D6706" t="str">
        <f>"C06A5.12"</f>
        <v>C06A5.12</v>
      </c>
      <c r="F6706" t="s">
        <v>11</v>
      </c>
      <c r="G6706" t="s">
        <v>25</v>
      </c>
      <c r="H6706" s="12">
        <v>-2.1289842713610798</v>
      </c>
      <c r="I6706" s="20">
        <v>-1.1153995544069299</v>
      </c>
      <c r="J6706" s="28">
        <v>0.26467924041035801</v>
      </c>
      <c r="K6706" s="29">
        <v>0.98289565623980701</v>
      </c>
    </row>
    <row r="6707" spans="1:11" x14ac:dyDescent="0.35">
      <c r="A6707" s="9" t="str">
        <f>HYPERLINK("http://www.ensembl.org/id/WBGene00015500", "WBGene00015500")</f>
        <v>WBGene00015500</v>
      </c>
      <c r="B6707" s="9" t="str">
        <f>HYPERLINK("http://www.ncbi.nlm.nih.gov/gene/182281", "182281")</f>
        <v>182281</v>
      </c>
      <c r="C6707" s="9"/>
      <c r="D6707" t="str">
        <f>"C06A5.2"</f>
        <v>C06A5.2</v>
      </c>
      <c r="F6707" t="s">
        <v>11</v>
      </c>
      <c r="H6707" s="12">
        <v>9.3811398833853499</v>
      </c>
      <c r="I6707" s="20">
        <v>1.16827250735105</v>
      </c>
      <c r="J6707" s="28">
        <v>0.242696861348358</v>
      </c>
      <c r="K6707" s="29">
        <v>0.98289565623980701</v>
      </c>
    </row>
    <row r="6708" spans="1:11" x14ac:dyDescent="0.35">
      <c r="A6708" s="9" t="str">
        <f>HYPERLINK("http://www.ensembl.org/id/WBGene00015501", "WBGene00015501")</f>
        <v>WBGene00015501</v>
      </c>
      <c r="B6708" s="9" t="str">
        <f>HYPERLINK("http://www.ncbi.nlm.nih.gov/gene/172274", "172274")</f>
        <v>172274</v>
      </c>
      <c r="C6708" s="9"/>
      <c r="D6708" t="str">
        <f>"C06A5.3"</f>
        <v>C06A5.3</v>
      </c>
      <c r="F6708" t="s">
        <v>11</v>
      </c>
      <c r="G6708" t="s">
        <v>9266</v>
      </c>
      <c r="H6708" s="12">
        <v>-1.23199179962843</v>
      </c>
      <c r="I6708" s="20">
        <v>-1.0778871042916101</v>
      </c>
      <c r="J6708" s="28">
        <v>0.28108414105541202</v>
      </c>
      <c r="K6708" s="29">
        <v>0.98289565623980701</v>
      </c>
    </row>
    <row r="6709" spans="1:11" x14ac:dyDescent="0.35">
      <c r="A6709" s="9" t="str">
        <f>HYPERLINK("http://www.ensembl.org/id/WBGene00199496", "WBGene00199496")</f>
        <v>WBGene00199496</v>
      </c>
      <c r="B6709" s="9"/>
      <c r="C6709" s="9"/>
      <c r="D6709" t="str">
        <f>"C06A6.11"</f>
        <v>C06A6.11</v>
      </c>
      <c r="F6709" t="s">
        <v>481</v>
      </c>
      <c r="H6709" s="12">
        <v>5.4058944669092801</v>
      </c>
      <c r="I6709" s="20">
        <v>0.49762513753689303</v>
      </c>
      <c r="J6709" s="28">
        <v>0.61874828254921799</v>
      </c>
      <c r="K6709" s="29">
        <v>0.98289565623980701</v>
      </c>
    </row>
    <row r="6710" spans="1:11" x14ac:dyDescent="0.35">
      <c r="A6710" s="9" t="str">
        <f>HYPERLINK("http://www.ensembl.org/id/WBGene00199573", "WBGene00199573")</f>
        <v>WBGene00199573</v>
      </c>
      <c r="B6710" s="9"/>
      <c r="C6710" s="9"/>
      <c r="D6710" t="str">
        <f>"C06A6.12"</f>
        <v>C06A6.12</v>
      </c>
      <c r="F6710" t="s">
        <v>481</v>
      </c>
      <c r="H6710" s="12">
        <v>-2.4991590031922399</v>
      </c>
      <c r="I6710" s="20">
        <v>-0.26577412737581302</v>
      </c>
      <c r="J6710" s="28">
        <v>0.79041317015736101</v>
      </c>
      <c r="K6710" s="29">
        <v>0.98289565623980701</v>
      </c>
    </row>
    <row r="6711" spans="1:11" x14ac:dyDescent="0.35">
      <c r="A6711" s="9" t="str">
        <f>HYPERLINK("http://www.ensembl.org/id/WBGene00015507", "WBGene00015507")</f>
        <v>WBGene00015507</v>
      </c>
      <c r="B6711" s="9" t="str">
        <f>HYPERLINK("http://www.ncbi.nlm.nih.gov/gene/177573", "177573")</f>
        <v>177573</v>
      </c>
      <c r="C6711" s="9"/>
      <c r="D6711" t="str">
        <f>"C06A6.2"</f>
        <v>C06A6.2</v>
      </c>
      <c r="F6711" t="s">
        <v>11</v>
      </c>
      <c r="H6711" s="12">
        <v>-1.06488791564826</v>
      </c>
      <c r="I6711" s="20">
        <v>-0.30426181951157899</v>
      </c>
      <c r="J6711" s="28">
        <v>0.76092843065738103</v>
      </c>
      <c r="K6711" s="29">
        <v>0.98289565623980701</v>
      </c>
    </row>
    <row r="6712" spans="1:11" x14ac:dyDescent="0.35">
      <c r="A6712" s="9" t="str">
        <f>HYPERLINK("http://www.ensembl.org/id/WBGene00015509", "WBGene00015509")</f>
        <v>WBGene00015509</v>
      </c>
      <c r="B6712" s="9" t="str">
        <f>HYPERLINK("http://www.ncbi.nlm.nih.gov/gene/177571", "177571")</f>
        <v>177571</v>
      </c>
      <c r="C6712" s="9" t="str">
        <f>HYPERLINK("http://www.ncbi.nlm.nih.gov/gene/95", "95")</f>
        <v>95</v>
      </c>
      <c r="D6712" t="str">
        <f>"C06A6.4"</f>
        <v>C06A6.4</v>
      </c>
      <c r="E6712" t="s">
        <v>254</v>
      </c>
      <c r="F6712" t="s">
        <v>11</v>
      </c>
      <c r="G6712" t="s">
        <v>255</v>
      </c>
      <c r="H6712" s="12">
        <v>-1.2430961678057</v>
      </c>
      <c r="I6712" s="20">
        <v>-1.1240981752867201</v>
      </c>
      <c r="J6712" s="28">
        <v>0.26097137933429099</v>
      </c>
      <c r="K6712" s="29">
        <v>0.98289565623980701</v>
      </c>
    </row>
    <row r="6713" spans="1:11" x14ac:dyDescent="0.35">
      <c r="A6713" s="9" t="str">
        <f>HYPERLINK("http://www.ensembl.org/id/WBGene00201117", "WBGene00201117")</f>
        <v>WBGene00201117</v>
      </c>
      <c r="B6713" s="9"/>
      <c r="C6713" s="9"/>
      <c r="D6713" t="str">
        <f>"C06A8.15"</f>
        <v>C06A8.15</v>
      </c>
      <c r="F6713" t="s">
        <v>481</v>
      </c>
      <c r="H6713" s="12">
        <v>-2.4991590031922399</v>
      </c>
      <c r="I6713" s="20">
        <v>-0.26577412737581302</v>
      </c>
      <c r="J6713" s="28">
        <v>0.79041317015736101</v>
      </c>
      <c r="K6713" s="29">
        <v>0.98289565623980701</v>
      </c>
    </row>
    <row r="6714" spans="1:11" x14ac:dyDescent="0.35">
      <c r="A6714" s="9" t="str">
        <f>HYPERLINK("http://www.ensembl.org/id/WBGene00015516", "WBGene00015516")</f>
        <v>WBGene00015516</v>
      </c>
      <c r="B6714" s="9" t="str">
        <f>HYPERLINK("http://www.ncbi.nlm.nih.gov/gene/174253", "174253")</f>
        <v>174253</v>
      </c>
      <c r="C6714" s="9"/>
      <c r="D6714" t="str">
        <f>"C06A8.6"</f>
        <v>C06A8.6</v>
      </c>
      <c r="F6714" t="s">
        <v>11</v>
      </c>
      <c r="G6714" t="s">
        <v>3526</v>
      </c>
      <c r="H6714" s="12">
        <v>1.36475460017267</v>
      </c>
      <c r="I6714" s="20">
        <v>0.49472832380347298</v>
      </c>
      <c r="J6714" s="28">
        <v>0.62079190537970097</v>
      </c>
      <c r="K6714" s="29">
        <v>0.98289565623980701</v>
      </c>
    </row>
    <row r="6715" spans="1:11" x14ac:dyDescent="0.35">
      <c r="A6715" s="9" t="str">
        <f>HYPERLINK("http://www.ensembl.org/id/WBGene00015517", "WBGene00015517")</f>
        <v>WBGene00015517</v>
      </c>
      <c r="B6715" s="9" t="str">
        <f>HYPERLINK("http://www.ncbi.nlm.nih.gov/gene/182287", "182287")</f>
        <v>182287</v>
      </c>
      <c r="C6715" s="9"/>
      <c r="D6715" t="str">
        <f>"C06A8.8"</f>
        <v>C06A8.8</v>
      </c>
      <c r="F6715" t="s">
        <v>11</v>
      </c>
      <c r="G6715" t="s">
        <v>4283</v>
      </c>
      <c r="H6715" s="12">
        <v>-1.0731106367489101</v>
      </c>
      <c r="I6715" s="20">
        <v>-0.385098165666244</v>
      </c>
      <c r="J6715" s="28">
        <v>0.70016468699836898</v>
      </c>
      <c r="K6715" s="29">
        <v>0.98289565623980701</v>
      </c>
    </row>
    <row r="6716" spans="1:11" x14ac:dyDescent="0.35">
      <c r="A6716" s="9" t="str">
        <f>HYPERLINK("http://www.ensembl.org/id/WBGene00007360", "WBGene00007360")</f>
        <v>WBGene00007360</v>
      </c>
      <c r="B6716" s="9" t="str">
        <f>HYPERLINK("http://www.ncbi.nlm.nih.gov/gene/182289", "182289")</f>
        <v>182289</v>
      </c>
      <c r="C6716" s="9"/>
      <c r="D6716" t="str">
        <f>"C06B3.1"</f>
        <v>C06B3.1</v>
      </c>
      <c r="F6716" t="s">
        <v>11</v>
      </c>
      <c r="G6716" t="s">
        <v>591</v>
      </c>
      <c r="H6716" s="12">
        <v>-6.9330863109976404</v>
      </c>
      <c r="I6716" s="20">
        <v>-0.74962652224146198</v>
      </c>
      <c r="J6716" s="28">
        <v>0.45347967252105398</v>
      </c>
      <c r="K6716" s="29">
        <v>0.98289565623980701</v>
      </c>
    </row>
    <row r="6717" spans="1:11" x14ac:dyDescent="0.35">
      <c r="A6717" s="9" t="str">
        <f>HYPERLINK("http://www.ensembl.org/id/WBGene00189947", "WBGene00189947")</f>
        <v>WBGene00189947</v>
      </c>
      <c r="B6717" s="9" t="str">
        <f>HYPERLINK("http://www.ncbi.nlm.nih.gov/gene/13216349", "13216349")</f>
        <v>13216349</v>
      </c>
      <c r="C6717" s="9"/>
      <c r="D6717" t="str">
        <f>"C06B3.16"</f>
        <v>C06B3.16</v>
      </c>
      <c r="F6717" t="s">
        <v>11</v>
      </c>
      <c r="H6717" s="12">
        <v>5.4058944669092801</v>
      </c>
      <c r="I6717" s="20">
        <v>0.49762513753689303</v>
      </c>
      <c r="J6717" s="28">
        <v>0.61874828254921799</v>
      </c>
      <c r="K6717" s="29">
        <v>0.98289565623980701</v>
      </c>
    </row>
    <row r="6718" spans="1:11" x14ac:dyDescent="0.35">
      <c r="A6718" s="9" t="str">
        <f>HYPERLINK("http://www.ensembl.org/id/WBGene00007366", "WBGene00007366")</f>
        <v>WBGene00007366</v>
      </c>
      <c r="B6718" s="9" t="str">
        <f>HYPERLINK("http://www.ncbi.nlm.nih.gov/gene/179886", "179886")</f>
        <v>179886</v>
      </c>
      <c r="C6718" s="9"/>
      <c r="D6718" t="str">
        <f>"C06B3.7"</f>
        <v>C06B3.7</v>
      </c>
      <c r="F6718" t="s">
        <v>11</v>
      </c>
      <c r="H6718" s="12">
        <v>-1.1469603037273</v>
      </c>
      <c r="I6718" s="20">
        <v>-0.50292854363654704</v>
      </c>
      <c r="J6718" s="28">
        <v>0.61501451203582902</v>
      </c>
      <c r="K6718" s="29">
        <v>0.98289565623980701</v>
      </c>
    </row>
    <row r="6719" spans="1:11" x14ac:dyDescent="0.35">
      <c r="A6719" s="9" t="str">
        <f>HYPERLINK("http://www.ensembl.org/id/WBGene00007372", "WBGene00007372")</f>
        <v>WBGene00007372</v>
      </c>
      <c r="B6719" s="9" t="str">
        <f>HYPERLINK("http://www.ncbi.nlm.nih.gov/gene/246012", "246012")</f>
        <v>246012</v>
      </c>
      <c r="C6719" s="9"/>
      <c r="D6719" t="str">
        <f>"C06B8.7"</f>
        <v>C06B8.7</v>
      </c>
      <c r="F6719" t="s">
        <v>11</v>
      </c>
      <c r="G6719" t="s">
        <v>6052</v>
      </c>
      <c r="H6719" s="12">
        <v>1.0687887788800701</v>
      </c>
      <c r="I6719" s="20">
        <v>0.35029807788713302</v>
      </c>
      <c r="J6719" s="28">
        <v>0.72611500762120895</v>
      </c>
      <c r="K6719" s="29">
        <v>0.98289565623980701</v>
      </c>
    </row>
    <row r="6720" spans="1:11" x14ac:dyDescent="0.35">
      <c r="A6720" s="9" t="str">
        <f>HYPERLINK("http://www.ensembl.org/id/WBGene00044169", "WBGene00044169")</f>
        <v>WBGene00044169</v>
      </c>
      <c r="B6720" s="9" t="str">
        <f>HYPERLINK("http://www.ncbi.nlm.nih.gov/gene/6418619", "6418619")</f>
        <v>6418619</v>
      </c>
      <c r="C6720" s="9"/>
      <c r="D6720" t="str">
        <f>"C06C3.10"</f>
        <v>C06C3.10</v>
      </c>
      <c r="F6720" t="s">
        <v>11</v>
      </c>
      <c r="H6720" s="12">
        <v>-1.6674552959501301</v>
      </c>
      <c r="I6720" s="20">
        <v>-0.346058513011402</v>
      </c>
      <c r="J6720" s="28">
        <v>0.72929874112795801</v>
      </c>
      <c r="K6720" s="29">
        <v>0.98289565623980701</v>
      </c>
    </row>
    <row r="6721" spans="1:11" x14ac:dyDescent="0.35">
      <c r="A6721" s="9" t="str">
        <f>HYPERLINK("http://www.ensembl.org/id/WBGene00045404", "WBGene00045404")</f>
        <v>WBGene00045404</v>
      </c>
      <c r="B6721" s="9"/>
      <c r="C6721" s="9"/>
      <c r="D6721" t="str">
        <f>"C06C3.11"</f>
        <v>C06C3.11</v>
      </c>
      <c r="F6721" t="s">
        <v>80</v>
      </c>
      <c r="H6721" s="12">
        <v>-1.4469881956259101</v>
      </c>
      <c r="I6721" s="20">
        <v>-0.733603313459674</v>
      </c>
      <c r="J6721" s="28">
        <v>0.46319054090488299</v>
      </c>
      <c r="K6721" s="29">
        <v>0.98289565623980701</v>
      </c>
    </row>
    <row r="6722" spans="1:11" x14ac:dyDescent="0.35">
      <c r="A6722" s="9" t="str">
        <f>HYPERLINK("http://www.ensembl.org/id/WBGene00175031", "WBGene00175031")</f>
        <v>WBGene00175031</v>
      </c>
      <c r="B6722" s="9" t="str">
        <f>HYPERLINK("http://www.ncbi.nlm.nih.gov/gene/13186434", "13186434")</f>
        <v>13186434</v>
      </c>
      <c r="C6722" s="9"/>
      <c r="D6722" t="str">
        <f>"C06C3.12"</f>
        <v>C06C3.12</v>
      </c>
      <c r="F6722" t="s">
        <v>11</v>
      </c>
      <c r="H6722" s="12">
        <v>2.0844226365430698</v>
      </c>
      <c r="I6722" s="20">
        <v>0.75445200798202205</v>
      </c>
      <c r="J6722" s="28">
        <v>0.45057785260023397</v>
      </c>
      <c r="K6722" s="29">
        <v>0.98289565623980701</v>
      </c>
    </row>
    <row r="6723" spans="1:11" x14ac:dyDescent="0.35">
      <c r="A6723" s="9" t="str">
        <f>HYPERLINK("http://www.ensembl.org/id/WBGene00206526", "WBGene00206526")</f>
        <v>WBGene00206526</v>
      </c>
      <c r="B6723" s="9"/>
      <c r="C6723" s="9"/>
      <c r="D6723" t="str">
        <f>"C06C3.14"</f>
        <v>C06C3.14</v>
      </c>
      <c r="F6723" t="s">
        <v>481</v>
      </c>
      <c r="H6723" s="12">
        <v>-18.201499315204</v>
      </c>
      <c r="I6723" s="20">
        <v>-1.1899108878765601</v>
      </c>
      <c r="J6723" s="28">
        <v>0.23408141862121201</v>
      </c>
      <c r="K6723" s="29">
        <v>0.98289565623980701</v>
      </c>
    </row>
    <row r="6724" spans="1:11" x14ac:dyDescent="0.35">
      <c r="A6724" s="9" t="str">
        <f>HYPERLINK("http://www.ensembl.org/id/WBGene00007377", "WBGene00007377")</f>
        <v>WBGene00007377</v>
      </c>
      <c r="B6724" s="9" t="str">
        <f>HYPERLINK("http://www.ncbi.nlm.nih.gov/gene/182304", "182304")</f>
        <v>182304</v>
      </c>
      <c r="C6724" s="9"/>
      <c r="D6724" t="str">
        <f>"C06C3.7"</f>
        <v>C06C3.7</v>
      </c>
      <c r="F6724" t="s">
        <v>11</v>
      </c>
      <c r="H6724" s="12">
        <v>1.9655956689546299</v>
      </c>
      <c r="I6724" s="20">
        <v>0.49533119023129601</v>
      </c>
      <c r="J6724" s="28">
        <v>0.620366357671157</v>
      </c>
      <c r="K6724" s="29">
        <v>0.98289565623980701</v>
      </c>
    </row>
    <row r="6725" spans="1:11" x14ac:dyDescent="0.35">
      <c r="A6725" s="9" t="str">
        <f>HYPERLINK("http://www.ensembl.org/id/WBGene00014668", "WBGene00014668")</f>
        <v>WBGene00014668</v>
      </c>
      <c r="B6725" s="9" t="str">
        <f>HYPERLINK("http://www.ncbi.nlm.nih.gov/gene/6418618", "6418618")</f>
        <v>6418618</v>
      </c>
      <c r="C6725" s="9"/>
      <c r="D6725" t="str">
        <f>"C06C3.9"</f>
        <v>C06C3.9</v>
      </c>
      <c r="F6725" t="s">
        <v>11</v>
      </c>
      <c r="H6725" s="12">
        <v>1.6863526111521501</v>
      </c>
      <c r="I6725" s="20">
        <v>0.345908436670119</v>
      </c>
      <c r="J6725" s="28">
        <v>0.72941152805875398</v>
      </c>
      <c r="K6725" s="29">
        <v>0.98289565623980701</v>
      </c>
    </row>
    <row r="6726" spans="1:11" x14ac:dyDescent="0.35">
      <c r="A6726" s="9" t="str">
        <f>HYPERLINK("http://www.ensembl.org/id/WBGene00077606", "WBGene00077606")</f>
        <v>WBGene00077606</v>
      </c>
      <c r="B6726" s="9"/>
      <c r="C6726" s="9"/>
      <c r="D6726" t="str">
        <f>"C06C6.10"</f>
        <v>C06C6.10</v>
      </c>
      <c r="F6726" t="s">
        <v>80</v>
      </c>
      <c r="H6726" s="12">
        <v>5.1105984548363699</v>
      </c>
      <c r="I6726" s="20">
        <v>0.61670563370264897</v>
      </c>
      <c r="J6726" s="28">
        <v>0.53742890461166004</v>
      </c>
      <c r="K6726" s="29">
        <v>0.98289565623980701</v>
      </c>
    </row>
    <row r="6727" spans="1:11" x14ac:dyDescent="0.35">
      <c r="A6727" s="9" t="str">
        <f>HYPERLINK("http://www.ensembl.org/id/WBGene00007380", "WBGene00007380")</f>
        <v>WBGene00007380</v>
      </c>
      <c r="B6727" s="9"/>
      <c r="C6727" s="9"/>
      <c r="D6727" t="str">
        <f>"C06C6.6"</f>
        <v>C06C6.6</v>
      </c>
      <c r="F6727" t="s">
        <v>80</v>
      </c>
      <c r="H6727" s="12">
        <v>3.6645215954135</v>
      </c>
      <c r="I6727" s="20">
        <v>0.37967131826092498</v>
      </c>
      <c r="J6727" s="28">
        <v>0.70418941338960395</v>
      </c>
      <c r="K6727" s="29">
        <v>0.98289565623980701</v>
      </c>
    </row>
    <row r="6728" spans="1:11" x14ac:dyDescent="0.35">
      <c r="A6728" s="9" t="str">
        <f>HYPERLINK("http://www.ensembl.org/id/WBGene00007382", "WBGene00007382")</f>
        <v>WBGene00007382</v>
      </c>
      <c r="B6728" s="9" t="str">
        <f>HYPERLINK("http://www.ncbi.nlm.nih.gov/gene/180066", "180066")</f>
        <v>180066</v>
      </c>
      <c r="C6728" s="9"/>
      <c r="D6728" t="str">
        <f>"C06C6.8"</f>
        <v>C06C6.8</v>
      </c>
      <c r="F6728" t="s">
        <v>11</v>
      </c>
      <c r="G6728" t="s">
        <v>25</v>
      </c>
      <c r="H6728" s="12">
        <v>-2.4772140472330402</v>
      </c>
      <c r="I6728" s="20">
        <v>-0.26891282500069902</v>
      </c>
      <c r="J6728" s="28">
        <v>0.78799676746418601</v>
      </c>
      <c r="K6728" s="29">
        <v>0.98289565623980701</v>
      </c>
    </row>
    <row r="6729" spans="1:11" x14ac:dyDescent="0.35">
      <c r="A6729" s="9" t="str">
        <f>HYPERLINK("http://www.ensembl.org/id/WBGene00007383", "WBGene00007383")</f>
        <v>WBGene00007383</v>
      </c>
      <c r="B6729" s="9" t="str">
        <f>HYPERLINK("http://www.ncbi.nlm.nih.gov/gene/182311", "182311")</f>
        <v>182311</v>
      </c>
      <c r="C6729" s="9"/>
      <c r="D6729" t="str">
        <f>"C06C6.9"</f>
        <v>C06C6.9</v>
      </c>
      <c r="F6729" t="s">
        <v>11</v>
      </c>
      <c r="G6729" t="s">
        <v>25</v>
      </c>
      <c r="H6729" s="12">
        <v>-3.7261494131482999</v>
      </c>
      <c r="I6729" s="20">
        <v>-0.38454673129429601</v>
      </c>
      <c r="J6729" s="28">
        <v>0.70057326682554</v>
      </c>
      <c r="K6729" s="29">
        <v>0.98289565623980701</v>
      </c>
    </row>
    <row r="6730" spans="1:11" x14ac:dyDescent="0.35">
      <c r="A6730" s="9" t="str">
        <f>HYPERLINK("http://www.ensembl.org/id/WBGene00015518", "WBGene00015518")</f>
        <v>WBGene00015518</v>
      </c>
      <c r="B6730" s="9" t="str">
        <f>HYPERLINK("http://www.ncbi.nlm.nih.gov/gene/176205", "176205")</f>
        <v>176205</v>
      </c>
      <c r="C6730" s="9"/>
      <c r="D6730" t="str">
        <f>"C06E1.1"</f>
        <v>C06E1.1</v>
      </c>
      <c r="F6730" t="s">
        <v>11</v>
      </c>
      <c r="G6730" t="s">
        <v>4852</v>
      </c>
      <c r="H6730" s="12">
        <v>1.33232533389644</v>
      </c>
      <c r="I6730" s="20">
        <v>1.11808581967378</v>
      </c>
      <c r="J6730" s="28">
        <v>0.26353034213768101</v>
      </c>
      <c r="K6730" s="29">
        <v>0.98289565623980701</v>
      </c>
    </row>
    <row r="6731" spans="1:11" x14ac:dyDescent="0.35">
      <c r="A6731" s="9" t="str">
        <f>HYPERLINK("http://www.ensembl.org/id/WBGene00015526", "WBGene00015526")</f>
        <v>WBGene00015526</v>
      </c>
      <c r="B6731" s="9" t="str">
        <f>HYPERLINK("http://www.ncbi.nlm.nih.gov/gene/182318", "182318")</f>
        <v>182318</v>
      </c>
      <c r="C6731" s="9"/>
      <c r="D6731" t="str">
        <f>"C06E1.11"</f>
        <v>C06E1.11</v>
      </c>
      <c r="F6731" t="s">
        <v>11</v>
      </c>
      <c r="H6731" s="12">
        <v>-1.7999617532091701</v>
      </c>
      <c r="I6731" s="20">
        <v>-0.78576152621520801</v>
      </c>
      <c r="J6731" s="28">
        <v>0.43200721039721801</v>
      </c>
      <c r="K6731" s="29">
        <v>0.98289565623980701</v>
      </c>
    </row>
    <row r="6732" spans="1:11" x14ac:dyDescent="0.35">
      <c r="A6732" s="9" t="str">
        <f>HYPERLINK("http://www.ensembl.org/id/WBGene00015522", "WBGene00015522")</f>
        <v>WBGene00015522</v>
      </c>
      <c r="B6732" s="9" t="str">
        <f>HYPERLINK("http://www.ncbi.nlm.nih.gov/gene/182316", "182316")</f>
        <v>182316</v>
      </c>
      <c r="C6732" s="9"/>
      <c r="D6732" t="str">
        <f>"C06E1.7"</f>
        <v>C06E1.7</v>
      </c>
      <c r="E6732" t="s">
        <v>4701</v>
      </c>
      <c r="F6732" t="s">
        <v>11</v>
      </c>
      <c r="G6732" t="s">
        <v>4220</v>
      </c>
      <c r="H6732" s="12">
        <v>1.47006079670462</v>
      </c>
      <c r="I6732" s="20">
        <v>0.34061018220939898</v>
      </c>
      <c r="J6732" s="28">
        <v>0.73339706306418695</v>
      </c>
      <c r="K6732" s="29">
        <v>0.98289565623980701</v>
      </c>
    </row>
    <row r="6733" spans="1:11" x14ac:dyDescent="0.35">
      <c r="A6733" s="9" t="str">
        <f>HYPERLINK("http://www.ensembl.org/id/WBGene00197960", "WBGene00197960")</f>
        <v>WBGene00197960</v>
      </c>
      <c r="B6733" s="9"/>
      <c r="C6733" s="9"/>
      <c r="D6733" t="str">
        <f>"C06E2.13"</f>
        <v>C06E2.13</v>
      </c>
      <c r="F6733" t="s">
        <v>481</v>
      </c>
      <c r="H6733" s="12">
        <v>-3.7261494131482999</v>
      </c>
      <c r="I6733" s="20">
        <v>-0.38454673129429601</v>
      </c>
      <c r="J6733" s="28">
        <v>0.70057326682554</v>
      </c>
      <c r="K6733" s="29">
        <v>0.98289565623980701</v>
      </c>
    </row>
    <row r="6734" spans="1:11" x14ac:dyDescent="0.35">
      <c r="A6734" s="9" t="str">
        <f>HYPERLINK("http://www.ensembl.org/id/WBGene00015528", "WBGene00015528")</f>
        <v>WBGene00015528</v>
      </c>
      <c r="B6734" s="9" t="str">
        <f>HYPERLINK("http://www.ncbi.nlm.nih.gov/gene/182320", "182320")</f>
        <v>182320</v>
      </c>
      <c r="C6734" s="9"/>
      <c r="D6734" t="str">
        <f>"C06E2.2"</f>
        <v>C06E2.2</v>
      </c>
      <c r="F6734" t="s">
        <v>11</v>
      </c>
      <c r="H6734" s="12">
        <v>3.28624938312884</v>
      </c>
      <c r="I6734" s="20">
        <v>0.36379512681977599</v>
      </c>
      <c r="J6734" s="28">
        <v>0.716011001908614</v>
      </c>
      <c r="K6734" s="29">
        <v>0.98289565623980701</v>
      </c>
    </row>
    <row r="6735" spans="1:11" x14ac:dyDescent="0.35">
      <c r="A6735" s="9" t="str">
        <f>HYPERLINK("http://www.ensembl.org/id/WBGene00201402", "WBGene00201402")</f>
        <v>WBGene00201402</v>
      </c>
      <c r="B6735" s="9"/>
      <c r="C6735" s="9"/>
      <c r="D6735" t="str">
        <f>"C06E4.19"</f>
        <v>C06E4.19</v>
      </c>
      <c r="F6735" t="s">
        <v>481</v>
      </c>
      <c r="H6735" s="12">
        <v>2.3893468495514898</v>
      </c>
      <c r="I6735" s="20">
        <v>0.25323547253672701</v>
      </c>
      <c r="J6735" s="28">
        <v>0.80008625651646104</v>
      </c>
      <c r="K6735" s="29">
        <v>0.98289565623980701</v>
      </c>
    </row>
    <row r="6736" spans="1:11" x14ac:dyDescent="0.35">
      <c r="A6736" s="9" t="str">
        <f>HYPERLINK("http://www.ensembl.org/id/WBGene00236807", "WBGene00236807")</f>
        <v>WBGene00236807</v>
      </c>
      <c r="B6736" s="9"/>
      <c r="C6736" s="9"/>
      <c r="D6736" t="str">
        <f>"C06E4.22"</f>
        <v>C06E4.22</v>
      </c>
      <c r="F6736" t="s">
        <v>80</v>
      </c>
      <c r="H6736" s="12">
        <v>-2.4295389261469</v>
      </c>
      <c r="I6736" s="20">
        <v>-0.25808529976640998</v>
      </c>
      <c r="J6736" s="28">
        <v>0.79634107645457397</v>
      </c>
      <c r="K6736" s="29">
        <v>0.98289565623980701</v>
      </c>
    </row>
    <row r="6737" spans="1:11" x14ac:dyDescent="0.35">
      <c r="A6737" s="9" t="str">
        <f>HYPERLINK("http://www.ensembl.org/id/WBGene00015532", "WBGene00015532")</f>
        <v>WBGene00015532</v>
      </c>
      <c r="B6737" s="9" t="str">
        <f>HYPERLINK("http://www.ncbi.nlm.nih.gov/gene/182326", "182326")</f>
        <v>182326</v>
      </c>
      <c r="C6737" s="9"/>
      <c r="D6737" t="str">
        <f>"C06E4.3"</f>
        <v>C06E4.3</v>
      </c>
      <c r="F6737" t="s">
        <v>11</v>
      </c>
      <c r="G6737" t="s">
        <v>489</v>
      </c>
      <c r="H6737" s="12">
        <v>1.52372802494757</v>
      </c>
      <c r="I6737" s="20">
        <v>1.0698073040927401</v>
      </c>
      <c r="J6737" s="28">
        <v>0.28470605391063503</v>
      </c>
      <c r="K6737" s="29">
        <v>0.98289565623980701</v>
      </c>
    </row>
    <row r="6738" spans="1:11" x14ac:dyDescent="0.35">
      <c r="A6738" s="9" t="str">
        <f>HYPERLINK("http://www.ensembl.org/id/WBGene00015539", "WBGene00015539")</f>
        <v>WBGene00015539</v>
      </c>
      <c r="B6738" s="9" t="str">
        <f>HYPERLINK("http://www.ncbi.nlm.nih.gov/gene/177353", "177353")</f>
        <v>177353</v>
      </c>
      <c r="C6738" s="9"/>
      <c r="D6738" t="str">
        <f>"C06E7.2"</f>
        <v>C06E7.2</v>
      </c>
      <c r="F6738" t="s">
        <v>11</v>
      </c>
      <c r="H6738" s="12">
        <v>1.13902021764515</v>
      </c>
      <c r="I6738" s="20">
        <v>0.60190677032266804</v>
      </c>
      <c r="J6738" s="28">
        <v>0.54723619734265605</v>
      </c>
      <c r="K6738" s="29">
        <v>0.98289565623980701</v>
      </c>
    </row>
    <row r="6739" spans="1:11" x14ac:dyDescent="0.35">
      <c r="A6739" s="9" t="str">
        <f>HYPERLINK("http://www.ensembl.org/id/WBGene00015541", "WBGene00015541")</f>
        <v>WBGene00015541</v>
      </c>
      <c r="B6739" s="9" t="str">
        <f>HYPERLINK("http://www.ncbi.nlm.nih.gov/gene/177356", "177356")</f>
        <v>177356</v>
      </c>
      <c r="C6739" s="9"/>
      <c r="D6739" t="str">
        <f>"C06E7.4"</f>
        <v>C06E7.4</v>
      </c>
      <c r="F6739" t="s">
        <v>11</v>
      </c>
      <c r="H6739" s="12">
        <v>1.2907548596507199</v>
      </c>
      <c r="I6739" s="20">
        <v>1.11232927456669</v>
      </c>
      <c r="J6739" s="28">
        <v>0.26599660140055598</v>
      </c>
      <c r="K6739" s="29">
        <v>0.98289565623980701</v>
      </c>
    </row>
    <row r="6740" spans="1:11" x14ac:dyDescent="0.35">
      <c r="A6740" s="9" t="str">
        <f>HYPERLINK("http://www.ensembl.org/id/WBGene00189995", "WBGene00189995")</f>
        <v>WBGene00189995</v>
      </c>
      <c r="B6740" s="9" t="str">
        <f>HYPERLINK("http://www.ncbi.nlm.nih.gov/gene/13194964", "13194964")</f>
        <v>13194964</v>
      </c>
      <c r="C6740" s="9"/>
      <c r="D6740" t="str">
        <f>"C06E7.88"</f>
        <v>C06E7.88</v>
      </c>
      <c r="F6740" t="s">
        <v>11</v>
      </c>
      <c r="H6740" s="12">
        <v>-1.1278074048422499</v>
      </c>
      <c r="I6740" s="20">
        <v>-0.27045005834610703</v>
      </c>
      <c r="J6740" s="28">
        <v>0.78681403336933498</v>
      </c>
      <c r="K6740" s="29">
        <v>0.98289565623980701</v>
      </c>
    </row>
    <row r="6741" spans="1:11" x14ac:dyDescent="0.35">
      <c r="A6741" s="9" t="str">
        <f>HYPERLINK("http://www.ensembl.org/id/WBGene00196795", "WBGene00196795")</f>
        <v>WBGene00196795</v>
      </c>
      <c r="B6741" s="9"/>
      <c r="C6741" s="9"/>
      <c r="D6741" t="str">
        <f>"C06E7.89"</f>
        <v>C06E7.89</v>
      </c>
      <c r="F6741" t="s">
        <v>481</v>
      </c>
      <c r="H6741" s="12">
        <v>2.4578120077400301</v>
      </c>
      <c r="I6741" s="20">
        <v>0.26093350314551</v>
      </c>
      <c r="J6741" s="28">
        <v>0.79414378780213601</v>
      </c>
      <c r="K6741" s="29">
        <v>0.98289565623980701</v>
      </c>
    </row>
    <row r="6742" spans="1:11" x14ac:dyDescent="0.35">
      <c r="A6742" s="9" t="str">
        <f>HYPERLINK("http://www.ensembl.org/id/WBGene00195582", "WBGene00195582")</f>
        <v>WBGene00195582</v>
      </c>
      <c r="B6742" s="9"/>
      <c r="C6742" s="9"/>
      <c r="D6742" t="str">
        <f>"C06E8.6"</f>
        <v>C06E8.6</v>
      </c>
      <c r="F6742" t="s">
        <v>481</v>
      </c>
      <c r="H6742" s="12">
        <v>-2.4295389261469</v>
      </c>
      <c r="I6742" s="20">
        <v>-0.25808529976640998</v>
      </c>
      <c r="J6742" s="28">
        <v>0.79634107645457397</v>
      </c>
      <c r="K6742" s="29">
        <v>0.98289565623980701</v>
      </c>
    </row>
    <row r="6743" spans="1:11" x14ac:dyDescent="0.35">
      <c r="A6743" s="9" t="str">
        <f>HYPERLINK("http://www.ensembl.org/id/WBGene00015545", "WBGene00015545")</f>
        <v>WBGene00015545</v>
      </c>
      <c r="B6743" s="9" t="str">
        <f>HYPERLINK("http://www.ncbi.nlm.nih.gov/gene/181720", "181720")</f>
        <v>181720</v>
      </c>
      <c r="C6743" s="9"/>
      <c r="D6743" t="str">
        <f>"C06G1.1"</f>
        <v>C06G1.1</v>
      </c>
      <c r="F6743" t="s">
        <v>11</v>
      </c>
      <c r="G6743" t="s">
        <v>554</v>
      </c>
      <c r="H6743" s="12">
        <v>1.39295310958789</v>
      </c>
      <c r="I6743" s="20">
        <v>1.0150366868443399</v>
      </c>
      <c r="J6743" s="28">
        <v>0.31008833984026202</v>
      </c>
      <c r="K6743" s="29">
        <v>0.98289565623980701</v>
      </c>
    </row>
    <row r="6744" spans="1:11" x14ac:dyDescent="0.35">
      <c r="A6744" s="9" t="str">
        <f>HYPERLINK("http://www.ensembl.org/id/WBGene00197243", "WBGene00197243")</f>
        <v>WBGene00197243</v>
      </c>
      <c r="B6744" s="9"/>
      <c r="C6744" s="9"/>
      <c r="D6744" t="str">
        <f>"C06G1.11"</f>
        <v>C06G1.11</v>
      </c>
      <c r="F6744" t="s">
        <v>481</v>
      </c>
      <c r="H6744" s="12">
        <v>2.5494470594118899</v>
      </c>
      <c r="I6744" s="20">
        <v>0.31908451726144499</v>
      </c>
      <c r="J6744" s="28">
        <v>0.74966242392848603</v>
      </c>
      <c r="K6744" s="29">
        <v>0.98289565623980701</v>
      </c>
    </row>
    <row r="6745" spans="1:11" x14ac:dyDescent="0.35">
      <c r="A6745" s="9" t="str">
        <f>HYPERLINK("http://www.ensembl.org/id/WBGene00197975", "WBGene00197975")</f>
        <v>WBGene00197975</v>
      </c>
      <c r="B6745" s="9"/>
      <c r="C6745" s="9"/>
      <c r="D6745" t="str">
        <f>"C06G1.12"</f>
        <v>C06G1.12</v>
      </c>
      <c r="F6745" t="s">
        <v>481</v>
      </c>
      <c r="H6745" s="12">
        <v>-2.4991590031922399</v>
      </c>
      <c r="I6745" s="20">
        <v>-0.26577412737581302</v>
      </c>
      <c r="J6745" s="28">
        <v>0.79041317015736101</v>
      </c>
      <c r="K6745" s="29">
        <v>0.98289565623980701</v>
      </c>
    </row>
    <row r="6746" spans="1:11" x14ac:dyDescent="0.35">
      <c r="A6746" s="9" t="str">
        <f>HYPERLINK("http://www.ensembl.org/id/WBGene00199612", "WBGene00199612")</f>
        <v>WBGene00199612</v>
      </c>
      <c r="B6746" s="9"/>
      <c r="C6746" s="9"/>
      <c r="D6746" t="str">
        <f>"C06G1.15"</f>
        <v>C06G1.15</v>
      </c>
      <c r="F6746" t="s">
        <v>481</v>
      </c>
      <c r="H6746" s="12">
        <v>9.5215001458148301</v>
      </c>
      <c r="I6746" s="20">
        <v>0.67036031720767997</v>
      </c>
      <c r="J6746" s="28">
        <v>0.50262812496729803</v>
      </c>
      <c r="K6746" s="29">
        <v>0.98289565623980701</v>
      </c>
    </row>
    <row r="6747" spans="1:11" x14ac:dyDescent="0.35">
      <c r="A6747" s="9" t="str">
        <f>HYPERLINK("http://www.ensembl.org/id/WBGene00015546", "WBGene00015546")</f>
        <v>WBGene00015546</v>
      </c>
      <c r="B6747" s="9" t="str">
        <f>HYPERLINK("http://www.ncbi.nlm.nih.gov/gene/182337", "182337")</f>
        <v>182337</v>
      </c>
      <c r="C6747" s="9"/>
      <c r="D6747" t="str">
        <f>"C06G1.2"</f>
        <v>C06G1.2</v>
      </c>
      <c r="F6747" t="s">
        <v>11</v>
      </c>
      <c r="H6747" s="12">
        <v>-1.2157885904492001</v>
      </c>
      <c r="I6747" s="20">
        <v>-0.28549525744590298</v>
      </c>
      <c r="J6747" s="28">
        <v>0.77526473729791801</v>
      </c>
      <c r="K6747" s="29">
        <v>0.98289565623980701</v>
      </c>
    </row>
    <row r="6748" spans="1:11" x14ac:dyDescent="0.35">
      <c r="A6748" s="9" t="str">
        <f>HYPERLINK("http://www.ensembl.org/id/WBGene00015552", "WBGene00015552")</f>
        <v>WBGene00015552</v>
      </c>
      <c r="B6748" s="9" t="str">
        <f>HYPERLINK("http://www.ncbi.nlm.nih.gov/gene/177467", "177467")</f>
        <v>177467</v>
      </c>
      <c r="C6748" s="9"/>
      <c r="D6748" t="str">
        <f>"C06G3.6"</f>
        <v>C06G3.6</v>
      </c>
      <c r="F6748" t="s">
        <v>11</v>
      </c>
      <c r="G6748" t="s">
        <v>7572</v>
      </c>
      <c r="H6748" s="12">
        <v>-1.1339361096115199</v>
      </c>
      <c r="I6748" s="20">
        <v>-0.67135229620583003</v>
      </c>
      <c r="J6748" s="28">
        <v>0.50199612681628902</v>
      </c>
      <c r="K6748" s="29">
        <v>0.98289565623980701</v>
      </c>
    </row>
    <row r="6749" spans="1:11" x14ac:dyDescent="0.35">
      <c r="A6749" s="9" t="str">
        <f>HYPERLINK("http://www.ensembl.org/id/WBGene00015558", "WBGene00015558")</f>
        <v>WBGene00015558</v>
      </c>
      <c r="B6749" s="9" t="str">
        <f>HYPERLINK("http://www.ncbi.nlm.nih.gov/gene/182344", "182344")</f>
        <v>182344</v>
      </c>
      <c r="C6749" s="9"/>
      <c r="D6749" t="str">
        <f>"C06G4.4"</f>
        <v>C06G4.4</v>
      </c>
      <c r="F6749" t="s">
        <v>11</v>
      </c>
      <c r="H6749" s="12">
        <v>-1.7140733518061899</v>
      </c>
      <c r="I6749" s="20">
        <v>-0.75529171242550697</v>
      </c>
      <c r="J6749" s="28">
        <v>0.45007397022972701</v>
      </c>
      <c r="K6749" s="29">
        <v>0.98289565623980701</v>
      </c>
    </row>
    <row r="6750" spans="1:11" x14ac:dyDescent="0.35">
      <c r="A6750" s="9" t="str">
        <f>HYPERLINK("http://www.ensembl.org/id/WBGene00044446", "WBGene00044446")</f>
        <v>WBGene00044446</v>
      </c>
      <c r="B6750" s="9" t="str">
        <f>HYPERLINK("http://www.ncbi.nlm.nih.gov/gene/3896759", "3896759")</f>
        <v>3896759</v>
      </c>
      <c r="C6750" s="9"/>
      <c r="D6750" t="str">
        <f>"C06G4.6"</f>
        <v>C06G4.6</v>
      </c>
      <c r="F6750" t="s">
        <v>11</v>
      </c>
      <c r="G6750" t="s">
        <v>25</v>
      </c>
      <c r="H6750" s="12">
        <v>1.4507489785823</v>
      </c>
      <c r="I6750" s="20">
        <v>1.0305220807652999</v>
      </c>
      <c r="J6750" s="28">
        <v>0.30276499238784499</v>
      </c>
      <c r="K6750" s="29">
        <v>0.98289565623980701</v>
      </c>
    </row>
    <row r="6751" spans="1:11" x14ac:dyDescent="0.35">
      <c r="A6751" s="9" t="str">
        <f>HYPERLINK("http://www.ensembl.org/id/WBGene00022917", "WBGene00022917")</f>
        <v>WBGene00022917</v>
      </c>
      <c r="B6751" s="9"/>
      <c r="C6751" s="9"/>
      <c r="D6751" t="str">
        <f>"C06G4.t1"</f>
        <v>C06G4.t1</v>
      </c>
      <c r="F6751" t="s">
        <v>4208</v>
      </c>
      <c r="H6751" s="12">
        <v>-2.4295389261469</v>
      </c>
      <c r="I6751" s="20">
        <v>-0.25808529976640998</v>
      </c>
      <c r="J6751" s="28">
        <v>0.79634107645457397</v>
      </c>
      <c r="K6751" s="29">
        <v>0.98289565623980701</v>
      </c>
    </row>
    <row r="6752" spans="1:11" x14ac:dyDescent="0.35">
      <c r="A6752" s="9" t="str">
        <f>HYPERLINK("http://www.ensembl.org/id/WBGene00007386", "WBGene00007386")</f>
        <v>WBGene00007386</v>
      </c>
      <c r="B6752" s="9" t="str">
        <f>HYPERLINK("http://www.ncbi.nlm.nih.gov/gene/179542", "179542")</f>
        <v>179542</v>
      </c>
      <c r="C6752" s="9"/>
      <c r="D6752" t="str">
        <f>"C06H2.2"</f>
        <v>C06H2.2</v>
      </c>
      <c r="F6752" t="s">
        <v>11</v>
      </c>
      <c r="G6752" t="s">
        <v>2037</v>
      </c>
      <c r="H6752" s="12">
        <v>-1.1679814500685199</v>
      </c>
      <c r="I6752" s="20">
        <v>-0.72101565254246802</v>
      </c>
      <c r="J6752" s="28">
        <v>0.47089988442551101</v>
      </c>
      <c r="K6752" s="29">
        <v>0.98289565623980701</v>
      </c>
    </row>
    <row r="6753" spans="1:11" x14ac:dyDescent="0.35">
      <c r="A6753" s="9" t="str">
        <f>HYPERLINK("http://www.ensembl.org/id/WBGene00219447", "WBGene00219447")</f>
        <v>WBGene00219447</v>
      </c>
      <c r="B6753" s="9" t="str">
        <f>HYPERLINK("http://www.ncbi.nlm.nih.gov/gene/24104181", "24104181")</f>
        <v>24104181</v>
      </c>
      <c r="C6753" s="9"/>
      <c r="D6753" t="str">
        <f>"C06H5.14"</f>
        <v>C06H5.14</v>
      </c>
      <c r="F6753" t="s">
        <v>11</v>
      </c>
      <c r="H6753" s="12">
        <v>-1.7105376742715801</v>
      </c>
      <c r="I6753" s="20">
        <v>-0.46367271258255</v>
      </c>
      <c r="J6753" s="28">
        <v>0.64288225025355406</v>
      </c>
      <c r="K6753" s="29">
        <v>0.98289565623980701</v>
      </c>
    </row>
    <row r="6754" spans="1:11" x14ac:dyDescent="0.35">
      <c r="A6754" s="9" t="str">
        <f>HYPERLINK("http://www.ensembl.org/id/WBGene00007394", "WBGene00007394")</f>
        <v>WBGene00007394</v>
      </c>
      <c r="B6754" s="9" t="str">
        <f>HYPERLINK("http://www.ncbi.nlm.nih.gov/gene/180170", "180170")</f>
        <v>180170</v>
      </c>
      <c r="C6754" s="9"/>
      <c r="D6754" t="str">
        <f>"C06H5.6"</f>
        <v>C06H5.6</v>
      </c>
      <c r="F6754" t="s">
        <v>11</v>
      </c>
      <c r="G6754" t="s">
        <v>230</v>
      </c>
      <c r="H6754" s="12">
        <v>1.15065314208178</v>
      </c>
      <c r="I6754" s="20">
        <v>0.51312199932174696</v>
      </c>
      <c r="J6754" s="28">
        <v>0.60786598367429701</v>
      </c>
      <c r="K6754" s="29">
        <v>0.98289565623980701</v>
      </c>
    </row>
    <row r="6755" spans="1:11" x14ac:dyDescent="0.35">
      <c r="A6755" s="9" t="str">
        <f>HYPERLINK("http://www.ensembl.org/id/WBGene00197381", "WBGene00197381")</f>
        <v>WBGene00197381</v>
      </c>
      <c r="B6755" s="9"/>
      <c r="C6755" s="9"/>
      <c r="D6755" t="str">
        <f>"C07A12.10"</f>
        <v>C07A12.10</v>
      </c>
      <c r="F6755" t="s">
        <v>481</v>
      </c>
      <c r="H6755" s="12">
        <v>-2.4295389261469</v>
      </c>
      <c r="I6755" s="20">
        <v>-0.25808529976640998</v>
      </c>
      <c r="J6755" s="28">
        <v>0.79634107645457397</v>
      </c>
      <c r="K6755" s="29">
        <v>0.98289565623980701</v>
      </c>
    </row>
    <row r="6756" spans="1:11" x14ac:dyDescent="0.35">
      <c r="A6756" s="9" t="str">
        <f>HYPERLINK("http://www.ensembl.org/id/WBGene00197482", "WBGene00197482")</f>
        <v>WBGene00197482</v>
      </c>
      <c r="B6756" s="9"/>
      <c r="C6756" s="9"/>
      <c r="D6756" t="str">
        <f>"C07A12.11"</f>
        <v>C07A12.11</v>
      </c>
      <c r="F6756" t="s">
        <v>481</v>
      </c>
      <c r="H6756" s="12">
        <v>5.2813932092168701</v>
      </c>
      <c r="I6756" s="20">
        <v>0.88070284651011999</v>
      </c>
      <c r="J6756" s="28">
        <v>0.37847867571426302</v>
      </c>
      <c r="K6756" s="29">
        <v>0.98289565623980701</v>
      </c>
    </row>
    <row r="6757" spans="1:11" x14ac:dyDescent="0.35">
      <c r="A6757" s="9" t="str">
        <f>HYPERLINK("http://www.ensembl.org/id/WBGene00219805", "WBGene00219805")</f>
        <v>WBGene00219805</v>
      </c>
      <c r="B6757" s="9"/>
      <c r="C6757" s="9"/>
      <c r="D6757" t="str">
        <f>"C07A12.19"</f>
        <v>C07A12.19</v>
      </c>
      <c r="F6757" t="s">
        <v>481</v>
      </c>
      <c r="H6757" s="12">
        <v>-1.3976314360445099</v>
      </c>
      <c r="I6757" s="20">
        <v>-0.40105241047865697</v>
      </c>
      <c r="J6757" s="28">
        <v>0.68838153734389995</v>
      </c>
      <c r="K6757" s="29">
        <v>0.98289565623980701</v>
      </c>
    </row>
    <row r="6758" spans="1:11" x14ac:dyDescent="0.35">
      <c r="A6758" s="9" t="str">
        <f>HYPERLINK("http://www.ensembl.org/id/WBGene00015561", "WBGene00015561")</f>
        <v>WBGene00015561</v>
      </c>
      <c r="B6758" s="9" t="str">
        <f>HYPERLINK("http://www.ncbi.nlm.nih.gov/gene/180723", "180723")</f>
        <v>180723</v>
      </c>
      <c r="C6758" s="9" t="str">
        <f>HYPERLINK("http://www.ncbi.nlm.nih.gov/gene/146691", "146691")</f>
        <v>146691</v>
      </c>
      <c r="D6758" t="str">
        <f>"C07A12.7"</f>
        <v>C07A12.7</v>
      </c>
      <c r="F6758" t="s">
        <v>11</v>
      </c>
      <c r="G6758" t="s">
        <v>6708</v>
      </c>
      <c r="H6758" s="12">
        <v>-1.08562192365774</v>
      </c>
      <c r="I6758" s="20">
        <v>-0.44749020557039398</v>
      </c>
      <c r="J6758" s="28">
        <v>0.65452115812613398</v>
      </c>
      <c r="K6758" s="29">
        <v>0.98289565623980701</v>
      </c>
    </row>
    <row r="6759" spans="1:11" x14ac:dyDescent="0.35">
      <c r="A6759" s="9" t="str">
        <f>HYPERLINK("http://www.ensembl.org/id/WBGene00007397", "WBGene00007397")</f>
        <v>WBGene00007397</v>
      </c>
      <c r="B6759" s="9" t="str">
        <f>HYPERLINK("http://www.ncbi.nlm.nih.gov/gene/182351", "182351")</f>
        <v>182351</v>
      </c>
      <c r="C6759" s="9"/>
      <c r="D6759" t="str">
        <f>"C07A4.2"</f>
        <v>C07A4.2</v>
      </c>
      <c r="F6759" t="s">
        <v>11</v>
      </c>
      <c r="G6759" t="s">
        <v>1508</v>
      </c>
      <c r="H6759" s="12">
        <v>1.1559281583745</v>
      </c>
      <c r="I6759" s="20">
        <v>0.39158822349093703</v>
      </c>
      <c r="J6759" s="28">
        <v>0.69536249068234401</v>
      </c>
      <c r="K6759" s="29">
        <v>0.98289565623980701</v>
      </c>
    </row>
    <row r="6760" spans="1:11" x14ac:dyDescent="0.35">
      <c r="A6760" s="9" t="str">
        <f>HYPERLINK("http://www.ensembl.org/id/WBGene00196157", "WBGene00196157")</f>
        <v>WBGene00196157</v>
      </c>
      <c r="B6760" s="9"/>
      <c r="C6760" s="9"/>
      <c r="D6760" t="str">
        <f>"C07A4.4"</f>
        <v>C07A4.4</v>
      </c>
      <c r="F6760" t="s">
        <v>481</v>
      </c>
      <c r="H6760" s="12">
        <v>-1.72015738873766</v>
      </c>
      <c r="I6760" s="20">
        <v>-0.27236994838053602</v>
      </c>
      <c r="J6760" s="28">
        <v>0.78533757722282105</v>
      </c>
      <c r="K6760" s="29">
        <v>0.98289565623980701</v>
      </c>
    </row>
    <row r="6761" spans="1:11" x14ac:dyDescent="0.35">
      <c r="A6761" s="9" t="str">
        <f>HYPERLINK("http://www.ensembl.org/id/WBGene00196734", "WBGene00196734")</f>
        <v>WBGene00196734</v>
      </c>
      <c r="B6761" s="9"/>
      <c r="C6761" s="9"/>
      <c r="D6761" t="str">
        <f>"C07A4.5"</f>
        <v>C07A4.5</v>
      </c>
      <c r="F6761" t="s">
        <v>481</v>
      </c>
      <c r="H6761" s="12">
        <v>-2.3838754719136599</v>
      </c>
      <c r="I6761" s="20">
        <v>-0.25807578497976902</v>
      </c>
      <c r="J6761" s="28">
        <v>0.79634841949468704</v>
      </c>
      <c r="K6761" s="29">
        <v>0.98289565623980701</v>
      </c>
    </row>
    <row r="6762" spans="1:11" x14ac:dyDescent="0.35">
      <c r="A6762" s="9" t="str">
        <f>HYPERLINK("http://www.ensembl.org/id/WBGene00197967", "WBGene00197967")</f>
        <v>WBGene00197967</v>
      </c>
      <c r="B6762" s="9"/>
      <c r="C6762" s="9"/>
      <c r="D6762" t="str">
        <f>"C07A4.7"</f>
        <v>C07A4.7</v>
      </c>
      <c r="F6762" t="s">
        <v>481</v>
      </c>
      <c r="H6762" s="12">
        <v>-2.4991590031922399</v>
      </c>
      <c r="I6762" s="20">
        <v>-0.26577412737581302</v>
      </c>
      <c r="J6762" s="28">
        <v>0.79041317015736101</v>
      </c>
      <c r="K6762" s="29">
        <v>0.98289565623980701</v>
      </c>
    </row>
    <row r="6763" spans="1:11" x14ac:dyDescent="0.35">
      <c r="A6763" s="9" t="str">
        <f>HYPERLINK("http://www.ensembl.org/id/WBGene00198851", "WBGene00198851")</f>
        <v>WBGene00198851</v>
      </c>
      <c r="B6763" s="9"/>
      <c r="C6763" s="9"/>
      <c r="D6763" t="str">
        <f>"C07A4.8"</f>
        <v>C07A4.8</v>
      </c>
      <c r="F6763" t="s">
        <v>481</v>
      </c>
      <c r="H6763" s="12">
        <v>-2.4295389261469</v>
      </c>
      <c r="I6763" s="20">
        <v>-0.25808529976640998</v>
      </c>
      <c r="J6763" s="28">
        <v>0.79634107645457397</v>
      </c>
      <c r="K6763" s="29">
        <v>0.98289565623980701</v>
      </c>
    </row>
    <row r="6764" spans="1:11" x14ac:dyDescent="0.35">
      <c r="A6764" s="9" t="str">
        <f>HYPERLINK("http://www.ensembl.org/id/WBGene00198896", "WBGene00198896")</f>
        <v>WBGene00198896</v>
      </c>
      <c r="B6764" s="9"/>
      <c r="C6764" s="9"/>
      <c r="D6764" t="str">
        <f>"C07A4.9"</f>
        <v>C07A4.9</v>
      </c>
      <c r="F6764" t="s">
        <v>481</v>
      </c>
      <c r="H6764" s="12">
        <v>-2.4295389261469</v>
      </c>
      <c r="I6764" s="20">
        <v>-0.25808529976640998</v>
      </c>
      <c r="J6764" s="28">
        <v>0.79634107645457397</v>
      </c>
      <c r="K6764" s="29">
        <v>0.98289565623980701</v>
      </c>
    </row>
    <row r="6765" spans="1:11" x14ac:dyDescent="0.35">
      <c r="A6765" s="9" t="str">
        <f>HYPERLINK("http://www.ensembl.org/id/WBGene00045124", "WBGene00045124")</f>
        <v>WBGene00045124</v>
      </c>
      <c r="B6765" s="9"/>
      <c r="C6765" s="9"/>
      <c r="D6765" t="str">
        <f>"C07A9.14"</f>
        <v>C07A9.14</v>
      </c>
      <c r="F6765" t="s">
        <v>2977</v>
      </c>
      <c r="H6765" s="12">
        <v>2.3893468495514898</v>
      </c>
      <c r="I6765" s="20">
        <v>0.25323547253672701</v>
      </c>
      <c r="J6765" s="28">
        <v>0.80008625651646104</v>
      </c>
      <c r="K6765" s="29">
        <v>0.98289565623980701</v>
      </c>
    </row>
    <row r="6766" spans="1:11" x14ac:dyDescent="0.35">
      <c r="A6766" s="9" t="str">
        <f>HYPERLINK("http://www.ensembl.org/id/WBGene00007401", "WBGene00007401")</f>
        <v>WBGene00007401</v>
      </c>
      <c r="B6766" s="9" t="str">
        <f>HYPERLINK("http://www.ncbi.nlm.nih.gov/gene/182355", "182355")</f>
        <v>182355</v>
      </c>
      <c r="C6766" s="9"/>
      <c r="D6766" t="str">
        <f>"C07A9.5"</f>
        <v>C07A9.5</v>
      </c>
      <c r="E6766" t="s">
        <v>4577</v>
      </c>
      <c r="F6766" t="s">
        <v>11</v>
      </c>
      <c r="G6766" t="s">
        <v>3040</v>
      </c>
      <c r="H6766" s="12">
        <v>1.66159389160488</v>
      </c>
      <c r="I6766" s="20">
        <v>0.31059213711167699</v>
      </c>
      <c r="J6766" s="28">
        <v>0.75611070543715997</v>
      </c>
      <c r="K6766" s="29">
        <v>0.98289565623980701</v>
      </c>
    </row>
    <row r="6767" spans="1:11" x14ac:dyDescent="0.35">
      <c r="A6767" s="9" t="str">
        <f>HYPERLINK("http://www.ensembl.org/id/WBGene00007405", "WBGene00007405")</f>
        <v>WBGene00007405</v>
      </c>
      <c r="B6767" s="9" t="str">
        <f>HYPERLINK("http://www.ncbi.nlm.nih.gov/gene/182357", "182357")</f>
        <v>182357</v>
      </c>
      <c r="C6767" s="9"/>
      <c r="D6767" t="str">
        <f>"C07A9.9"</f>
        <v>C07A9.9</v>
      </c>
      <c r="F6767" t="s">
        <v>11</v>
      </c>
      <c r="H6767" s="12">
        <v>1.2360179987901301</v>
      </c>
      <c r="I6767" s="20">
        <v>0.90589662123574599</v>
      </c>
      <c r="J6767" s="28">
        <v>0.36499057286542402</v>
      </c>
      <c r="K6767" s="29">
        <v>0.98289565623980701</v>
      </c>
    </row>
    <row r="6768" spans="1:11" x14ac:dyDescent="0.35">
      <c r="A6768" s="9" t="str">
        <f>HYPERLINK("http://www.ensembl.org/id/WBGene00007409", "WBGene00007409")</f>
        <v>WBGene00007409</v>
      </c>
      <c r="B6768" s="9" t="str">
        <f>HYPERLINK("http://www.ncbi.nlm.nih.gov/gene/182361", "182361")</f>
        <v>182361</v>
      </c>
      <c r="C6768" s="9"/>
      <c r="D6768" t="str">
        <f>"C07B5.4"</f>
        <v>C07B5.4</v>
      </c>
      <c r="F6768" t="s">
        <v>11</v>
      </c>
      <c r="G6768" t="s">
        <v>7706</v>
      </c>
      <c r="H6768" s="12">
        <v>-1.14037998286035</v>
      </c>
      <c r="I6768" s="20">
        <v>-0.63190290216228895</v>
      </c>
      <c r="J6768" s="28">
        <v>0.527450326858389</v>
      </c>
      <c r="K6768" s="29">
        <v>0.98289565623980701</v>
      </c>
    </row>
    <row r="6769" spans="1:11" x14ac:dyDescent="0.35">
      <c r="A6769" s="9" t="str">
        <f>HYPERLINK("http://www.ensembl.org/id/WBGene00007410", "WBGene00007410")</f>
        <v>WBGene00007410</v>
      </c>
      <c r="B6769" s="9" t="str">
        <f>HYPERLINK("http://www.ncbi.nlm.nih.gov/gene/181173", "181173")</f>
        <v>181173</v>
      </c>
      <c r="C6769" s="9"/>
      <c r="D6769" t="str">
        <f>"C07B5.6"</f>
        <v>C07B5.6</v>
      </c>
      <c r="F6769" t="s">
        <v>11</v>
      </c>
      <c r="H6769" s="12">
        <v>-1.1856546067771101</v>
      </c>
      <c r="I6769" s="20">
        <v>-0.49929566916721502</v>
      </c>
      <c r="J6769" s="28">
        <v>0.61757110567742202</v>
      </c>
      <c r="K6769" s="29">
        <v>0.98289565623980701</v>
      </c>
    </row>
    <row r="6770" spans="1:11" x14ac:dyDescent="0.35">
      <c r="A6770" s="9" t="str">
        <f>HYPERLINK("http://www.ensembl.org/id/WBGene00195209", "WBGene00195209")</f>
        <v>WBGene00195209</v>
      </c>
      <c r="B6770" s="9" t="str">
        <f>HYPERLINK("http://www.ncbi.nlm.nih.gov/gene/13222215", "13222215")</f>
        <v>13222215</v>
      </c>
      <c r="C6770" s="9"/>
      <c r="D6770" t="str">
        <f>"C07B5.8"</f>
        <v>C07B5.8</v>
      </c>
      <c r="F6770" t="s">
        <v>11</v>
      </c>
      <c r="H6770" s="12">
        <v>1.4141908591265799</v>
      </c>
      <c r="I6770" s="20">
        <v>0.85706655768725004</v>
      </c>
      <c r="J6770" s="28">
        <v>0.39140810203072601</v>
      </c>
      <c r="K6770" s="29">
        <v>0.98289565623980701</v>
      </c>
    </row>
    <row r="6771" spans="1:11" x14ac:dyDescent="0.35">
      <c r="A6771" s="9" t="str">
        <f>HYPERLINK("http://www.ensembl.org/id/WBGene00007411", "WBGene00007411")</f>
        <v>WBGene00007411</v>
      </c>
      <c r="B6771" s="9" t="str">
        <f>HYPERLINK("http://www.ncbi.nlm.nih.gov/gene/182362", "182362")</f>
        <v>182362</v>
      </c>
      <c r="C6771" s="9"/>
      <c r="D6771" t="str">
        <f>"C07C7.1"</f>
        <v>C07C7.1</v>
      </c>
      <c r="F6771" t="s">
        <v>11</v>
      </c>
      <c r="G6771" t="s">
        <v>25</v>
      </c>
      <c r="H6771" s="12">
        <v>2.0785927332739398</v>
      </c>
      <c r="I6771" s="20">
        <v>1.04352025331423</v>
      </c>
      <c r="J6771" s="28">
        <v>0.29670740559250303</v>
      </c>
      <c r="K6771" s="29">
        <v>0.98289565623980701</v>
      </c>
    </row>
    <row r="6772" spans="1:11" x14ac:dyDescent="0.35">
      <c r="A6772" s="9" t="str">
        <f>HYPERLINK("http://www.ensembl.org/id/WBGene00235302", "WBGene00235302")</f>
        <v>WBGene00235302</v>
      </c>
      <c r="B6772" s="9" t="str">
        <f>HYPERLINK("http://www.ncbi.nlm.nih.gov/gene/24104183", "24104183")</f>
        <v>24104183</v>
      </c>
      <c r="C6772" s="9"/>
      <c r="D6772" t="str">
        <f>"C07C7.3"</f>
        <v>C07C7.3</v>
      </c>
      <c r="F6772" t="s">
        <v>11</v>
      </c>
      <c r="H6772" s="12">
        <v>-2.4295389261469</v>
      </c>
      <c r="I6772" s="20">
        <v>-0.25808529976640998</v>
      </c>
      <c r="J6772" s="28">
        <v>0.79634107645457397</v>
      </c>
      <c r="K6772" s="29">
        <v>0.98289565623980701</v>
      </c>
    </row>
    <row r="6773" spans="1:11" x14ac:dyDescent="0.35">
      <c r="A6773" s="9" t="str">
        <f>HYPERLINK("http://www.ensembl.org/id/WBGene00015566", "WBGene00015566")</f>
        <v>WBGene00015566</v>
      </c>
      <c r="B6773" s="9" t="str">
        <f>HYPERLINK("http://www.ncbi.nlm.nih.gov/gene/174211", "174211")</f>
        <v>174211</v>
      </c>
      <c r="C6773" s="9"/>
      <c r="D6773" t="str">
        <f>"C07D10.1"</f>
        <v>C07D10.1</v>
      </c>
      <c r="F6773" t="s">
        <v>11</v>
      </c>
      <c r="G6773" t="s">
        <v>54</v>
      </c>
      <c r="H6773" s="12">
        <v>-1.09394012314068</v>
      </c>
      <c r="I6773" s="20">
        <v>-0.442116891938999</v>
      </c>
      <c r="J6773" s="28">
        <v>0.65840462145353396</v>
      </c>
      <c r="K6773" s="29">
        <v>0.98289565623980701</v>
      </c>
    </row>
    <row r="6774" spans="1:11" x14ac:dyDescent="0.35">
      <c r="A6774" s="9" t="str">
        <f>HYPERLINK("http://www.ensembl.org/id/WBGene00015569", "WBGene00015569")</f>
        <v>WBGene00015569</v>
      </c>
      <c r="B6774" s="9" t="str">
        <f>HYPERLINK("http://www.ncbi.nlm.nih.gov/gene/174209", "174209")</f>
        <v>174209</v>
      </c>
      <c r="C6774" s="9"/>
      <c r="D6774" t="str">
        <f>"C07D10.5"</f>
        <v>C07D10.5</v>
      </c>
      <c r="F6774" t="s">
        <v>11</v>
      </c>
      <c r="H6774" s="12">
        <v>1.07221137954102</v>
      </c>
      <c r="I6774" s="20">
        <v>0.2985336629507</v>
      </c>
      <c r="J6774" s="28">
        <v>0.76529588743680199</v>
      </c>
      <c r="K6774" s="29">
        <v>0.98289565623980701</v>
      </c>
    </row>
    <row r="6775" spans="1:11" x14ac:dyDescent="0.35">
      <c r="A6775" s="9" t="str">
        <f>HYPERLINK("http://www.ensembl.org/id/WBGene00044673", "WBGene00044673")</f>
        <v>WBGene00044673</v>
      </c>
      <c r="B6775" s="9" t="str">
        <f>HYPERLINK("http://www.ncbi.nlm.nih.gov/gene/4363039", "4363039")</f>
        <v>4363039</v>
      </c>
      <c r="C6775" s="9"/>
      <c r="D6775" t="str">
        <f>"C07D10.6"</f>
        <v>C07D10.6</v>
      </c>
      <c r="F6775" t="s">
        <v>11</v>
      </c>
      <c r="H6775" s="12">
        <v>-4.5114499031905204</v>
      </c>
      <c r="I6775" s="20">
        <v>-0.44198655555625299</v>
      </c>
      <c r="J6775" s="28">
        <v>0.65849893477547905</v>
      </c>
      <c r="K6775" s="29">
        <v>0.98289565623980701</v>
      </c>
    </row>
    <row r="6776" spans="1:11" x14ac:dyDescent="0.35">
      <c r="A6776" s="9" t="str">
        <f>HYPERLINK("http://www.ensembl.org/id/WBGene00007420", "WBGene00007420")</f>
        <v>WBGene00007420</v>
      </c>
      <c r="B6776" s="9" t="str">
        <f>HYPERLINK("http://www.ncbi.nlm.nih.gov/gene/174599", "174599")</f>
        <v>174599</v>
      </c>
      <c r="C6776" s="9"/>
      <c r="D6776" t="str">
        <f>"C07E3.10"</f>
        <v>C07E3.10</v>
      </c>
      <c r="F6776" t="s">
        <v>11</v>
      </c>
      <c r="G6776" t="s">
        <v>25</v>
      </c>
      <c r="H6776" s="12">
        <v>-1.34512288732787</v>
      </c>
      <c r="I6776" s="20">
        <v>-0.47814443764750397</v>
      </c>
      <c r="J6776" s="28">
        <v>0.63254740558556999</v>
      </c>
      <c r="K6776" s="29">
        <v>0.98289565623980701</v>
      </c>
    </row>
    <row r="6777" spans="1:11" x14ac:dyDescent="0.35">
      <c r="A6777" s="9" t="str">
        <f>HYPERLINK("http://www.ensembl.org/id/WBGene00200273", "WBGene00200273")</f>
        <v>WBGene00200273</v>
      </c>
      <c r="B6777" s="9"/>
      <c r="C6777" s="9"/>
      <c r="D6777" t="str">
        <f>"C07E3.15"</f>
        <v>C07E3.15</v>
      </c>
      <c r="F6777" t="s">
        <v>481</v>
      </c>
      <c r="H6777" s="12">
        <v>2.4578120077400301</v>
      </c>
      <c r="I6777" s="20">
        <v>0.26093350314551</v>
      </c>
      <c r="J6777" s="28">
        <v>0.79414378780213601</v>
      </c>
      <c r="K6777" s="29">
        <v>0.98289565623980701</v>
      </c>
    </row>
    <row r="6778" spans="1:11" x14ac:dyDescent="0.35">
      <c r="A6778" s="9" t="str">
        <f>HYPERLINK("http://www.ensembl.org/id/WBGene00007414", "WBGene00007414")</f>
        <v>WBGene00007414</v>
      </c>
      <c r="B6778" s="9" t="str">
        <f>HYPERLINK("http://www.ncbi.nlm.nih.gov/gene/174601", "174601")</f>
        <v>174601</v>
      </c>
      <c r="C6778" s="9"/>
      <c r="D6778" t="str">
        <f>"C07E3.3"</f>
        <v>C07E3.3</v>
      </c>
      <c r="F6778" t="s">
        <v>11</v>
      </c>
      <c r="G6778" t="s">
        <v>54</v>
      </c>
      <c r="H6778" s="12">
        <v>-1.0694025903057101</v>
      </c>
      <c r="I6778" s="20">
        <v>-0.36848617731664401</v>
      </c>
      <c r="J6778" s="28">
        <v>0.71251075010873999</v>
      </c>
      <c r="K6778" s="29">
        <v>0.98289565623980701</v>
      </c>
    </row>
    <row r="6779" spans="1:11" x14ac:dyDescent="0.35">
      <c r="A6779" s="9" t="str">
        <f>HYPERLINK("http://www.ensembl.org/id/WBGene00007415", "WBGene00007415")</f>
        <v>WBGene00007415</v>
      </c>
      <c r="B6779" s="9" t="str">
        <f>HYPERLINK("http://www.ncbi.nlm.nih.gov/gene/182369", "182369")</f>
        <v>182369</v>
      </c>
      <c r="C6779" s="9"/>
      <c r="D6779" t="str">
        <f>"C07E3.4"</f>
        <v>C07E3.4</v>
      </c>
      <c r="F6779" t="s">
        <v>11</v>
      </c>
      <c r="G6779" t="s">
        <v>4312</v>
      </c>
      <c r="H6779" s="12">
        <v>1.3362486090230901</v>
      </c>
      <c r="I6779" s="20">
        <v>0.28219807697090699</v>
      </c>
      <c r="J6779" s="28">
        <v>0.77779163278076802</v>
      </c>
      <c r="K6779" s="29">
        <v>0.98289565623980701</v>
      </c>
    </row>
    <row r="6780" spans="1:11" x14ac:dyDescent="0.35">
      <c r="A6780" s="9" t="str">
        <f>HYPERLINK("http://www.ensembl.org/id/WBGene00007419", "WBGene00007419")</f>
        <v>WBGene00007419</v>
      </c>
      <c r="B6780" s="9" t="str">
        <f>HYPERLINK("http://www.ncbi.nlm.nih.gov/gene/182374", "182374")</f>
        <v>182374</v>
      </c>
      <c r="C6780" s="9"/>
      <c r="D6780" t="str">
        <f>"C07E3.9"</f>
        <v>C07E3.9</v>
      </c>
      <c r="E6780" t="s">
        <v>7452</v>
      </c>
      <c r="F6780" t="s">
        <v>11</v>
      </c>
      <c r="G6780" t="s">
        <v>7453</v>
      </c>
      <c r="H6780" s="12">
        <v>-1.1262849605892</v>
      </c>
      <c r="I6780" s="20">
        <v>-0.568698944621019</v>
      </c>
      <c r="J6780" s="28">
        <v>0.56956046415720996</v>
      </c>
      <c r="K6780" s="29">
        <v>0.98289565623980701</v>
      </c>
    </row>
    <row r="6781" spans="1:11" x14ac:dyDescent="0.35">
      <c r="A6781" s="9" t="str">
        <f>HYPERLINK("http://www.ensembl.org/id/WBGene00015573", "WBGene00015573")</f>
        <v>WBGene00015573</v>
      </c>
      <c r="B6781" s="9" t="str">
        <f>HYPERLINK("http://www.ncbi.nlm.nih.gov/gene/182378", "182378")</f>
        <v>182378</v>
      </c>
      <c r="C6781" s="9"/>
      <c r="D6781" t="str">
        <f>"C07G1.7"</f>
        <v>C07G1.7</v>
      </c>
      <c r="F6781" t="s">
        <v>11</v>
      </c>
      <c r="H6781" s="12">
        <v>-2.4295389261469</v>
      </c>
      <c r="I6781" s="20">
        <v>-0.25808529976640998</v>
      </c>
      <c r="J6781" s="28">
        <v>0.79634107645457397</v>
      </c>
      <c r="K6781" s="29">
        <v>0.98289565623980701</v>
      </c>
    </row>
    <row r="6782" spans="1:11" x14ac:dyDescent="0.35">
      <c r="A6782" s="9" t="str">
        <f>HYPERLINK("http://www.ensembl.org/id/WBGene00269378", "WBGene00269378")</f>
        <v>WBGene00269378</v>
      </c>
      <c r="B6782" s="9" t="str">
        <f>HYPERLINK("http://www.ncbi.nlm.nih.gov/gene/27219611", "27219611")</f>
        <v>27219611</v>
      </c>
      <c r="C6782" s="9"/>
      <c r="D6782" t="str">
        <f>"C07G3.15"</f>
        <v>C07G3.15</v>
      </c>
      <c r="F6782" t="s">
        <v>11</v>
      </c>
      <c r="H6782" s="12">
        <v>1.3521695833881</v>
      </c>
      <c r="I6782" s="20">
        <v>0.26297858633080701</v>
      </c>
      <c r="J6782" s="28">
        <v>0.79256708400043396</v>
      </c>
      <c r="K6782" s="29">
        <v>0.98289565623980701</v>
      </c>
    </row>
    <row r="6783" spans="1:11" x14ac:dyDescent="0.35">
      <c r="A6783" s="9" t="str">
        <f>HYPERLINK("http://www.ensembl.org/id/WBGene00200843", "WBGene00200843")</f>
        <v>WBGene00200843</v>
      </c>
      <c r="B6783" s="9"/>
      <c r="C6783" s="9"/>
      <c r="D6783" t="str">
        <f>"C07H4.4"</f>
        <v>C07H4.4</v>
      </c>
      <c r="F6783" t="s">
        <v>481</v>
      </c>
      <c r="H6783" s="12">
        <v>2.6998035299075398</v>
      </c>
      <c r="I6783" s="20">
        <v>0.58297164260955003</v>
      </c>
      <c r="J6783" s="28">
        <v>0.55991239013704897</v>
      </c>
      <c r="K6783" s="29">
        <v>0.98289565623980701</v>
      </c>
    </row>
    <row r="6784" spans="1:11" x14ac:dyDescent="0.35">
      <c r="A6784" s="9" t="str">
        <f>HYPERLINK("http://www.ensembl.org/id/WBGene00195915", "WBGene00195915")</f>
        <v>WBGene00195915</v>
      </c>
      <c r="B6784" s="9"/>
      <c r="C6784" s="9"/>
      <c r="D6784" t="str">
        <f>"C07H6.11"</f>
        <v>C07H6.11</v>
      </c>
      <c r="F6784" t="s">
        <v>481</v>
      </c>
      <c r="H6784" s="12">
        <v>7.8691597089380902</v>
      </c>
      <c r="I6784" s="20">
        <v>0.61251365190975104</v>
      </c>
      <c r="J6784" s="28">
        <v>0.54019796842331003</v>
      </c>
      <c r="K6784" s="29">
        <v>0.98289565623980701</v>
      </c>
    </row>
    <row r="6785" spans="1:11" x14ac:dyDescent="0.35">
      <c r="A6785" s="9" t="str">
        <f>HYPERLINK("http://www.ensembl.org/id/WBGene00197539", "WBGene00197539")</f>
        <v>WBGene00197539</v>
      </c>
      <c r="B6785" s="9"/>
      <c r="C6785" s="9"/>
      <c r="D6785" t="str">
        <f>"C07H6.13"</f>
        <v>C07H6.13</v>
      </c>
      <c r="F6785" t="s">
        <v>481</v>
      </c>
      <c r="H6785" s="12">
        <v>4.6387698961716399</v>
      </c>
      <c r="I6785" s="20">
        <v>0.44985450087338802</v>
      </c>
      <c r="J6785" s="28">
        <v>0.65281535672642099</v>
      </c>
      <c r="K6785" s="29">
        <v>0.98289565623980701</v>
      </c>
    </row>
    <row r="6786" spans="1:11" x14ac:dyDescent="0.35">
      <c r="A6786" s="9" t="str">
        <f>HYPERLINK("http://www.ensembl.org/id/WBGene00199514", "WBGene00199514")</f>
        <v>WBGene00199514</v>
      </c>
      <c r="B6786" s="9"/>
      <c r="C6786" s="9"/>
      <c r="D6786" t="str">
        <f>"C07H6.17"</f>
        <v>C07H6.17</v>
      </c>
      <c r="F6786" t="s">
        <v>481</v>
      </c>
      <c r="H6786" s="12">
        <v>3.5227018545059199</v>
      </c>
      <c r="I6786" s="20">
        <v>0.36849691206929103</v>
      </c>
      <c r="J6786" s="28">
        <v>0.71250274722433404</v>
      </c>
      <c r="K6786" s="29">
        <v>0.98289565623980701</v>
      </c>
    </row>
    <row r="6787" spans="1:11" x14ac:dyDescent="0.35">
      <c r="A6787" s="9" t="str">
        <f>HYPERLINK("http://www.ensembl.org/id/WBGene00219807", "WBGene00219807")</f>
        <v>WBGene00219807</v>
      </c>
      <c r="B6787" s="9"/>
      <c r="C6787" s="9"/>
      <c r="D6787" t="str">
        <f>"C07H6.19"</f>
        <v>C07H6.19</v>
      </c>
      <c r="F6787" t="s">
        <v>481</v>
      </c>
      <c r="H6787" s="12">
        <v>3.5227018545059199</v>
      </c>
      <c r="I6787" s="20">
        <v>0.36849691206929103</v>
      </c>
      <c r="J6787" s="28">
        <v>0.71250274722433404</v>
      </c>
      <c r="K6787" s="29">
        <v>0.98289565623980701</v>
      </c>
    </row>
    <row r="6788" spans="1:11" x14ac:dyDescent="0.35">
      <c r="A6788" s="9" t="str">
        <f>HYPERLINK("http://www.ensembl.org/id/WBGene00015581", "WBGene00015581")</f>
        <v>WBGene00015581</v>
      </c>
      <c r="B6788" s="9" t="str">
        <f>HYPERLINK("http://www.ncbi.nlm.nih.gov/gene/176063", "176063")</f>
        <v>176063</v>
      </c>
      <c r="C6788" s="9" t="str">
        <f>HYPERLINK("http://www.ncbi.nlm.nih.gov/gene/23350", "23350")</f>
        <v>23350</v>
      </c>
      <c r="D6788" t="str">
        <f>"C07H6.4"</f>
        <v>C07H6.4</v>
      </c>
      <c r="F6788" t="s">
        <v>11</v>
      </c>
      <c r="G6788" t="s">
        <v>7421</v>
      </c>
      <c r="H6788" s="12">
        <v>-1.1244291231387</v>
      </c>
      <c r="I6788" s="20">
        <v>-0.602026766586788</v>
      </c>
      <c r="J6788" s="28">
        <v>0.54715632039774997</v>
      </c>
      <c r="K6788" s="29">
        <v>0.98289565623980701</v>
      </c>
    </row>
    <row r="6789" spans="1:11" x14ac:dyDescent="0.35">
      <c r="A6789" s="9" t="str">
        <f>HYPERLINK("http://www.ensembl.org/id/WBGene00015582", "WBGene00015582")</f>
        <v>WBGene00015582</v>
      </c>
      <c r="B6789" s="9" t="str">
        <f>HYPERLINK("http://www.ncbi.nlm.nih.gov/gene/176062", "176062")</f>
        <v>176062</v>
      </c>
      <c r="C6789" s="9"/>
      <c r="D6789" t="str">
        <f>"C07H6.9"</f>
        <v>C07H6.9</v>
      </c>
      <c r="F6789" t="s">
        <v>11</v>
      </c>
      <c r="G6789" t="s">
        <v>25</v>
      </c>
      <c r="H6789" s="12">
        <v>-1.4200921898107901</v>
      </c>
      <c r="I6789" s="20">
        <v>-0.41605379696329903</v>
      </c>
      <c r="J6789" s="28">
        <v>0.67737063784637697</v>
      </c>
      <c r="K6789" s="29">
        <v>0.98289565623980701</v>
      </c>
    </row>
    <row r="6790" spans="1:11" x14ac:dyDescent="0.35">
      <c r="A6790" s="9" t="str">
        <f>HYPERLINK("http://www.ensembl.org/id/WBGene00044773", "WBGene00044773")</f>
        <v>WBGene00044773</v>
      </c>
      <c r="B6790" s="9" t="str">
        <f>HYPERLINK("http://www.ncbi.nlm.nih.gov/gene/4363132", "4363132")</f>
        <v>4363132</v>
      </c>
      <c r="C6790" s="9"/>
      <c r="D6790" t="str">
        <f>"C08A9.10"</f>
        <v>C08A9.10</v>
      </c>
      <c r="F6790" t="s">
        <v>11</v>
      </c>
      <c r="H6790" s="12">
        <v>-1.2156628488941199</v>
      </c>
      <c r="I6790" s="20">
        <v>-1.08568695647748</v>
      </c>
      <c r="J6790" s="28">
        <v>0.27761751337152701</v>
      </c>
      <c r="K6790" s="29">
        <v>0.98289565623980701</v>
      </c>
    </row>
    <row r="6791" spans="1:11" x14ac:dyDescent="0.35">
      <c r="A6791" s="9" t="str">
        <f>HYPERLINK("http://www.ensembl.org/id/WBGene00045273", "WBGene00045273")</f>
        <v>WBGene00045273</v>
      </c>
      <c r="B6791" s="9"/>
      <c r="C6791" s="9"/>
      <c r="D6791" t="str">
        <f>"C08A9.11"</f>
        <v>C08A9.11</v>
      </c>
      <c r="F6791" t="s">
        <v>80</v>
      </c>
      <c r="H6791" s="12">
        <v>-1.34895909403312</v>
      </c>
      <c r="I6791" s="20">
        <v>-0.73420124177505997</v>
      </c>
      <c r="J6791" s="28">
        <v>0.46282609678380099</v>
      </c>
      <c r="K6791" s="29">
        <v>0.98289565623980701</v>
      </c>
    </row>
    <row r="6792" spans="1:11" x14ac:dyDescent="0.35">
      <c r="A6792" s="9" t="str">
        <f>HYPERLINK("http://www.ensembl.org/id/WBGene00023233", "WBGene00023233")</f>
        <v>WBGene00023233</v>
      </c>
      <c r="B6792" s="9"/>
      <c r="C6792" s="9"/>
      <c r="D6792" t="str">
        <f>"C08A9.2"</f>
        <v>C08A9.2</v>
      </c>
      <c r="F6792" t="s">
        <v>80</v>
      </c>
      <c r="H6792" s="12">
        <v>7.92898286605097</v>
      </c>
      <c r="I6792" s="20">
        <v>0.86581616308302201</v>
      </c>
      <c r="J6792" s="28">
        <v>0.38659098406082598</v>
      </c>
      <c r="K6792" s="29">
        <v>0.98289565623980701</v>
      </c>
    </row>
    <row r="6793" spans="1:11" x14ac:dyDescent="0.35">
      <c r="A6793" s="9" t="str">
        <f>HYPERLINK("http://www.ensembl.org/id/WBGene00015583", "WBGene00015583")</f>
        <v>WBGene00015583</v>
      </c>
      <c r="B6793" s="9" t="str">
        <f>HYPERLINK("http://www.ncbi.nlm.nih.gov/gene/182383", "182383")</f>
        <v>182383</v>
      </c>
      <c r="C6793" s="9"/>
      <c r="D6793" t="str">
        <f>"C08A9.3"</f>
        <v>C08A9.3</v>
      </c>
      <c r="F6793" t="s">
        <v>11</v>
      </c>
      <c r="G6793" t="s">
        <v>4328</v>
      </c>
      <c r="H6793" s="12">
        <v>2.9914676252904502</v>
      </c>
      <c r="I6793" s="20">
        <v>0.84347818685374598</v>
      </c>
      <c r="J6793" s="28">
        <v>0.39896106024974898</v>
      </c>
      <c r="K6793" s="29">
        <v>0.98289565623980701</v>
      </c>
    </row>
    <row r="6794" spans="1:11" x14ac:dyDescent="0.35">
      <c r="A6794" s="9" t="str">
        <f>HYPERLINK("http://www.ensembl.org/id/WBGene00201642", "WBGene00201642")</f>
        <v>WBGene00201642</v>
      </c>
      <c r="B6794" s="9"/>
      <c r="C6794" s="9"/>
      <c r="D6794" t="str">
        <f>"C08B11.13"</f>
        <v>C08B11.13</v>
      </c>
      <c r="F6794" t="s">
        <v>481</v>
      </c>
      <c r="H6794" s="12">
        <v>-2.4295389261469</v>
      </c>
      <c r="I6794" s="20">
        <v>-0.25808529976640998</v>
      </c>
      <c r="J6794" s="28">
        <v>0.79634107645457397</v>
      </c>
      <c r="K6794" s="29">
        <v>0.98289565623980701</v>
      </c>
    </row>
    <row r="6795" spans="1:11" x14ac:dyDescent="0.35">
      <c r="A6795" s="9" t="str">
        <f>HYPERLINK("http://www.ensembl.org/id/WBGene00007436", "WBGene00007436")</f>
        <v>WBGene00007436</v>
      </c>
      <c r="B6795" s="9" t="str">
        <f>HYPERLINK("http://www.ncbi.nlm.nih.gov/gene/3564855", "3564855")</f>
        <v>3564855</v>
      </c>
      <c r="C6795" s="9" t="str">
        <f>HYPERLINK("http://www.ncbi.nlm.nih.gov/gene/79078", "79078")</f>
        <v>79078</v>
      </c>
      <c r="D6795" t="str">
        <f>"C08B11.9"</f>
        <v>C08B11.9</v>
      </c>
      <c r="F6795" t="s">
        <v>11</v>
      </c>
      <c r="H6795" s="12">
        <v>1.20157817739422</v>
      </c>
      <c r="I6795" s="20">
        <v>0.804399799302146</v>
      </c>
      <c r="J6795" s="28">
        <v>0.42116611706067603</v>
      </c>
      <c r="K6795" s="29">
        <v>0.98289565623980701</v>
      </c>
    </row>
    <row r="6796" spans="1:11" x14ac:dyDescent="0.35">
      <c r="A6796" s="9" t="str">
        <f>HYPERLINK("http://www.ensembl.org/id/WBGene00077449", "WBGene00077449")</f>
        <v>WBGene00077449</v>
      </c>
      <c r="B6796" s="9"/>
      <c r="C6796" s="9"/>
      <c r="D6796" t="str">
        <f>"C08B6.15"</f>
        <v>C08B6.15</v>
      </c>
      <c r="F6796" t="s">
        <v>80</v>
      </c>
      <c r="H6796" s="12">
        <v>2.7244042758469398</v>
      </c>
      <c r="I6796" s="20">
        <v>0.64020879878014003</v>
      </c>
      <c r="J6796" s="28">
        <v>0.52203686324778398</v>
      </c>
      <c r="K6796" s="29">
        <v>0.98289565623980701</v>
      </c>
    </row>
    <row r="6797" spans="1:11" x14ac:dyDescent="0.35">
      <c r="A6797" s="9" t="str">
        <f>HYPERLINK("http://www.ensembl.org/id/WBGene00007423", "WBGene00007423")</f>
        <v>WBGene00007423</v>
      </c>
      <c r="B6797" s="9" t="str">
        <f>HYPERLINK("http://www.ncbi.nlm.nih.gov/gene/266922", "266922")</f>
        <v>266922</v>
      </c>
      <c r="C6797" s="9"/>
      <c r="D6797" t="str">
        <f>"C08B6.2"</f>
        <v>C08B6.2</v>
      </c>
      <c r="F6797" t="s">
        <v>11</v>
      </c>
      <c r="H6797" s="12">
        <v>-3.07712410295286</v>
      </c>
      <c r="I6797" s="20">
        <v>-0.958926006173627</v>
      </c>
      <c r="J6797" s="28">
        <v>0.337596022514911</v>
      </c>
      <c r="K6797" s="29">
        <v>0.98289565623980701</v>
      </c>
    </row>
    <row r="6798" spans="1:11" x14ac:dyDescent="0.35">
      <c r="A6798" s="9" t="str">
        <f>HYPERLINK("http://www.ensembl.org/id/WBGene00007424", "WBGene00007424")</f>
        <v>WBGene00007424</v>
      </c>
      <c r="B6798" s="9" t="str">
        <f>HYPERLINK("http://www.ncbi.nlm.nih.gov/gene/182389", "182389")</f>
        <v>182389</v>
      </c>
      <c r="C6798" s="9"/>
      <c r="D6798" t="str">
        <f>"C08B6.3"</f>
        <v>C08B6.3</v>
      </c>
      <c r="F6798" t="s">
        <v>11</v>
      </c>
      <c r="G6798" t="s">
        <v>1212</v>
      </c>
      <c r="H6798" s="12">
        <v>-1.1947470382991401</v>
      </c>
      <c r="I6798" s="20">
        <v>-0.83341313992976795</v>
      </c>
      <c r="J6798" s="28">
        <v>0.40461176656902798</v>
      </c>
      <c r="K6798" s="29">
        <v>0.98289565623980701</v>
      </c>
    </row>
    <row r="6799" spans="1:11" x14ac:dyDescent="0.35">
      <c r="A6799" s="9" t="str">
        <f>HYPERLINK("http://www.ensembl.org/id/WBGene00007425", "WBGene00007425")</f>
        <v>WBGene00007425</v>
      </c>
      <c r="B6799" s="9" t="str">
        <f>HYPERLINK("http://www.ncbi.nlm.nih.gov/gene/179407", "179407")</f>
        <v>179407</v>
      </c>
      <c r="C6799" s="9"/>
      <c r="D6799" t="str">
        <f>"C08B6.4"</f>
        <v>C08B6.4</v>
      </c>
      <c r="F6799" t="s">
        <v>11</v>
      </c>
      <c r="G6799" t="s">
        <v>3404</v>
      </c>
      <c r="H6799" s="12">
        <v>-1.3179106482459699</v>
      </c>
      <c r="I6799" s="20">
        <v>-0.65245582751083697</v>
      </c>
      <c r="J6799" s="28">
        <v>0.51410715983744604</v>
      </c>
      <c r="K6799" s="29">
        <v>0.98289565623980701</v>
      </c>
    </row>
    <row r="6800" spans="1:11" x14ac:dyDescent="0.35">
      <c r="A6800" s="9" t="str">
        <f>HYPERLINK("http://www.ensembl.org/id/WBGene00007426", "WBGene00007426")</f>
        <v>WBGene00007426</v>
      </c>
      <c r="B6800" s="9" t="str">
        <f>HYPERLINK("http://www.ncbi.nlm.nih.gov/gene/182390", "182390")</f>
        <v>182390</v>
      </c>
      <c r="C6800" s="9"/>
      <c r="D6800" t="str">
        <f>"C08B6.5"</f>
        <v>C08B6.5</v>
      </c>
      <c r="F6800" t="s">
        <v>11</v>
      </c>
      <c r="G6800" t="s">
        <v>25</v>
      </c>
      <c r="H6800" s="12">
        <v>3.4678333039928702</v>
      </c>
      <c r="I6800" s="20">
        <v>1.1416700339030901</v>
      </c>
      <c r="J6800" s="28">
        <v>0.25359120119455802</v>
      </c>
      <c r="K6800" s="29">
        <v>0.98289565623980701</v>
      </c>
    </row>
    <row r="6801" spans="1:11" x14ac:dyDescent="0.35">
      <c r="A6801" s="9" t="str">
        <f>HYPERLINK("http://www.ensembl.org/id/WBGene00007427", "WBGene00007427")</f>
        <v>WBGene00007427</v>
      </c>
      <c r="B6801" s="9" t="str">
        <f>HYPERLINK("http://www.ncbi.nlm.nih.gov/gene/182391", "182391")</f>
        <v>182391</v>
      </c>
      <c r="C6801" s="9"/>
      <c r="D6801" t="str">
        <f>"C08B6.6"</f>
        <v>C08B6.6</v>
      </c>
      <c r="F6801" t="s">
        <v>11</v>
      </c>
      <c r="H6801" s="12">
        <v>-2.4295389261469</v>
      </c>
      <c r="I6801" s="20">
        <v>-0.25808529976640998</v>
      </c>
      <c r="J6801" s="28">
        <v>0.79634107645457397</v>
      </c>
      <c r="K6801" s="29">
        <v>0.98289565623980701</v>
      </c>
    </row>
    <row r="6802" spans="1:11" x14ac:dyDescent="0.35">
      <c r="A6802" s="9" t="str">
        <f>HYPERLINK("http://www.ensembl.org/id/WBGene00007429", "WBGene00007429")</f>
        <v>WBGene00007429</v>
      </c>
      <c r="B6802" s="9" t="str">
        <f>HYPERLINK("http://www.ncbi.nlm.nih.gov/gene/179411", "179411")</f>
        <v>179411</v>
      </c>
      <c r="C6802" s="9" t="str">
        <f>HYPERLINK("http://www.ncbi.nlm.nih.gov/gene/25996", "25996")</f>
        <v>25996</v>
      </c>
      <c r="D6802" t="str">
        <f>"C08B6.8"</f>
        <v>C08B6.8</v>
      </c>
      <c r="E6802" t="s">
        <v>9456</v>
      </c>
      <c r="F6802" t="s">
        <v>11</v>
      </c>
      <c r="G6802" t="s">
        <v>9457</v>
      </c>
      <c r="H6802" s="12">
        <v>-1.24770683337491</v>
      </c>
      <c r="I6802" s="20">
        <v>-0.94222303098954496</v>
      </c>
      <c r="J6802" s="28">
        <v>0.34607846491481098</v>
      </c>
      <c r="K6802" s="29">
        <v>0.98289565623980701</v>
      </c>
    </row>
    <row r="6803" spans="1:11" x14ac:dyDescent="0.35">
      <c r="A6803" s="9" t="str">
        <f>HYPERLINK("http://www.ensembl.org/id/WBGene00197139", "WBGene00197139")</f>
        <v>WBGene00197139</v>
      </c>
      <c r="B6803" s="9"/>
      <c r="C6803" s="9"/>
      <c r="D6803" t="str">
        <f>"C08C3.8"</f>
        <v>C08C3.8</v>
      </c>
      <c r="F6803" t="s">
        <v>481</v>
      </c>
      <c r="H6803" s="12">
        <v>-2.4295389261469</v>
      </c>
      <c r="I6803" s="20">
        <v>-0.25808529976640998</v>
      </c>
      <c r="J6803" s="28">
        <v>0.79634107645457397</v>
      </c>
      <c r="K6803" s="29">
        <v>0.98289565623980701</v>
      </c>
    </row>
    <row r="6804" spans="1:11" x14ac:dyDescent="0.35">
      <c r="A6804" s="9" t="str">
        <f>HYPERLINK("http://www.ensembl.org/id/WBGene00015592", "WBGene00015592")</f>
        <v>WBGene00015592</v>
      </c>
      <c r="B6804" s="9" t="str">
        <f>HYPERLINK("http://www.ncbi.nlm.nih.gov/gene/182394", "182394")</f>
        <v>182394</v>
      </c>
      <c r="C6804" s="9"/>
      <c r="D6804" t="str">
        <f>"C08D8.1"</f>
        <v>C08D8.1</v>
      </c>
      <c r="F6804" t="s">
        <v>11</v>
      </c>
      <c r="G6804" t="s">
        <v>25</v>
      </c>
      <c r="H6804" s="12">
        <v>1.5973221999817599</v>
      </c>
      <c r="I6804" s="20">
        <v>1.08389708355437</v>
      </c>
      <c r="J6804" s="28">
        <v>0.27841043287787298</v>
      </c>
      <c r="K6804" s="29">
        <v>0.98289565623980701</v>
      </c>
    </row>
    <row r="6805" spans="1:11" x14ac:dyDescent="0.35">
      <c r="A6805" s="9" t="str">
        <f>HYPERLINK("http://www.ensembl.org/id/WBGene00044957", "WBGene00044957")</f>
        <v>WBGene00044957</v>
      </c>
      <c r="B6805" s="9"/>
      <c r="C6805" s="9"/>
      <c r="D6805" t="str">
        <f>"C08D8.3"</f>
        <v>C08D8.3</v>
      </c>
      <c r="F6805" t="s">
        <v>2977</v>
      </c>
      <c r="H6805" s="12">
        <v>-3.7261494131482999</v>
      </c>
      <c r="I6805" s="20">
        <v>-0.38454673129429601</v>
      </c>
      <c r="J6805" s="28">
        <v>0.70057326682554</v>
      </c>
      <c r="K6805" s="29">
        <v>0.98289565623980701</v>
      </c>
    </row>
    <row r="6806" spans="1:11" x14ac:dyDescent="0.35">
      <c r="A6806" s="9" t="str">
        <f>HYPERLINK("http://www.ensembl.org/id/WBGene00235325", "WBGene00235325")</f>
        <v>WBGene00235325</v>
      </c>
      <c r="B6806" s="9" t="str">
        <f>HYPERLINK("http://www.ncbi.nlm.nih.gov/gene/24104187", "24104187")</f>
        <v>24104187</v>
      </c>
      <c r="C6806" s="9"/>
      <c r="D6806" t="str">
        <f>"C08D8.7"</f>
        <v>C08D8.7</v>
      </c>
      <c r="F6806" t="s">
        <v>11</v>
      </c>
      <c r="G6806" t="s">
        <v>25</v>
      </c>
      <c r="H6806" s="12">
        <v>1.3512058545954</v>
      </c>
      <c r="I6806" s="20">
        <v>0.60548029282787996</v>
      </c>
      <c r="J6806" s="28">
        <v>0.54485991512096899</v>
      </c>
      <c r="K6806" s="29">
        <v>0.98289565623980701</v>
      </c>
    </row>
    <row r="6807" spans="1:11" x14ac:dyDescent="0.35">
      <c r="A6807" s="9" t="str">
        <f>HYPERLINK("http://www.ensembl.org/id/WBGene00044415", "WBGene00044415")</f>
        <v>WBGene00044415</v>
      </c>
      <c r="B6807" s="9" t="str">
        <f>HYPERLINK("http://www.ncbi.nlm.nih.gov/gene/3565476", "3565476")</f>
        <v>3565476</v>
      </c>
      <c r="C6807" s="9"/>
      <c r="D6807" t="str">
        <f>"C08E3.14"</f>
        <v>C08E3.14</v>
      </c>
      <c r="F6807" t="s">
        <v>11</v>
      </c>
      <c r="H6807" s="12">
        <v>2.3893468495514898</v>
      </c>
      <c r="I6807" s="20">
        <v>0.25323547253672701</v>
      </c>
      <c r="J6807" s="28">
        <v>0.80008625651646104</v>
      </c>
      <c r="K6807" s="29">
        <v>0.98289565623980701</v>
      </c>
    </row>
    <row r="6808" spans="1:11" x14ac:dyDescent="0.35">
      <c r="A6808" s="9" t="str">
        <f>HYPERLINK("http://www.ensembl.org/id/WBGene00007442", "WBGene00007442")</f>
        <v>WBGene00007442</v>
      </c>
      <c r="B6808" s="9" t="str">
        <f>HYPERLINK("http://www.ncbi.nlm.nih.gov/gene/3565450", "3565450")</f>
        <v>3565450</v>
      </c>
      <c r="C6808" s="9"/>
      <c r="D6808" t="str">
        <f>"C08E8.6"</f>
        <v>C08E8.6</v>
      </c>
      <c r="F6808" t="s">
        <v>11</v>
      </c>
      <c r="H6808" s="12">
        <v>3.7529149850132302</v>
      </c>
      <c r="I6808" s="20">
        <v>0.66201079427380405</v>
      </c>
      <c r="J6808" s="28">
        <v>0.50796430388286196</v>
      </c>
      <c r="K6808" s="29">
        <v>0.98289565623980701</v>
      </c>
    </row>
    <row r="6809" spans="1:11" x14ac:dyDescent="0.35">
      <c r="A6809" s="9" t="str">
        <f>HYPERLINK("http://www.ensembl.org/id/WBGene00045487", "WBGene00045487")</f>
        <v>WBGene00045487</v>
      </c>
      <c r="B6809" s="9"/>
      <c r="C6809" s="9"/>
      <c r="D6809" t="str">
        <f>"C08E8.7"</f>
        <v>C08E8.7</v>
      </c>
      <c r="F6809" t="s">
        <v>80</v>
      </c>
      <c r="H6809" s="12">
        <v>3.5227018545059199</v>
      </c>
      <c r="I6809" s="20">
        <v>0.36849691206929103</v>
      </c>
      <c r="J6809" s="28">
        <v>0.71250274722433404</v>
      </c>
      <c r="K6809" s="29">
        <v>0.98289565623980701</v>
      </c>
    </row>
    <row r="6810" spans="1:11" x14ac:dyDescent="0.35">
      <c r="A6810" s="9" t="str">
        <f>HYPERLINK("http://www.ensembl.org/id/WBGene00045496", "WBGene00045496")</f>
        <v>WBGene00045496</v>
      </c>
      <c r="B6810" s="9"/>
      <c r="C6810" s="9"/>
      <c r="D6810" t="str">
        <f>"C08E8.8"</f>
        <v>C08E8.8</v>
      </c>
      <c r="F6810" t="s">
        <v>80</v>
      </c>
      <c r="H6810" s="12">
        <v>-2.4295389261469</v>
      </c>
      <c r="I6810" s="20">
        <v>-0.25808529976640998</v>
      </c>
      <c r="J6810" s="28">
        <v>0.79634107645457397</v>
      </c>
      <c r="K6810" s="29">
        <v>0.98289565623980701</v>
      </c>
    </row>
    <row r="6811" spans="1:11" x14ac:dyDescent="0.35">
      <c r="A6811" s="9" t="str">
        <f>HYPERLINK("http://www.ensembl.org/id/WBGene00050891", "WBGene00050891")</f>
        <v>WBGene00050891</v>
      </c>
      <c r="B6811" s="9" t="str">
        <f>HYPERLINK("http://www.ncbi.nlm.nih.gov/gene/6418692", "6418692")</f>
        <v>6418692</v>
      </c>
      <c r="C6811" s="9"/>
      <c r="D6811" t="str">
        <f>"C08E8.9"</f>
        <v>C08E8.9</v>
      </c>
      <c r="F6811" t="s">
        <v>11</v>
      </c>
      <c r="H6811" s="12">
        <v>9.3459174239033302</v>
      </c>
      <c r="I6811" s="20">
        <v>0.96691633283494904</v>
      </c>
      <c r="J6811" s="28">
        <v>0.33358586104585303</v>
      </c>
      <c r="K6811" s="29">
        <v>0.98289565623980701</v>
      </c>
    </row>
    <row r="6812" spans="1:11" x14ac:dyDescent="0.35">
      <c r="A6812" s="9" t="str">
        <f>HYPERLINK("http://www.ensembl.org/id/WBGene00044417", "WBGene00044417")</f>
        <v>WBGene00044417</v>
      </c>
      <c r="B6812" s="9" t="str">
        <f>HYPERLINK("http://www.ncbi.nlm.nih.gov/gene/3564791", "3564791")</f>
        <v>3564791</v>
      </c>
      <c r="C6812" s="9"/>
      <c r="D6812" t="str">
        <f>"C08F1.11"</f>
        <v>C08F1.11</v>
      </c>
      <c r="F6812" t="s">
        <v>11</v>
      </c>
      <c r="G6812" t="s">
        <v>25</v>
      </c>
      <c r="H6812" s="12">
        <v>1.47313836220723</v>
      </c>
      <c r="I6812" s="20">
        <v>1.09416045227958</v>
      </c>
      <c r="J6812" s="28">
        <v>0.27388461296661998</v>
      </c>
      <c r="K6812" s="29">
        <v>0.98289565623980701</v>
      </c>
    </row>
    <row r="6813" spans="1:11" x14ac:dyDescent="0.35">
      <c r="A6813" s="9" t="str">
        <f>HYPERLINK("http://www.ensembl.org/id/WBGene00015610", "WBGene00015610")</f>
        <v>WBGene00015610</v>
      </c>
      <c r="B6813" s="9" t="str">
        <f>HYPERLINK("http://www.ncbi.nlm.nih.gov/gene/173550", "173550")</f>
        <v>173550</v>
      </c>
      <c r="C6813" s="9"/>
      <c r="D6813" t="str">
        <f>"C08F1.6"</f>
        <v>C08F1.6</v>
      </c>
      <c r="F6813" t="s">
        <v>11</v>
      </c>
      <c r="G6813" t="s">
        <v>25</v>
      </c>
      <c r="H6813" s="12">
        <v>1.24208610072461</v>
      </c>
      <c r="I6813" s="20">
        <v>0.71090483760441203</v>
      </c>
      <c r="J6813" s="28">
        <v>0.47714320804496402</v>
      </c>
      <c r="K6813" s="29">
        <v>0.98289565623980701</v>
      </c>
    </row>
    <row r="6814" spans="1:11" x14ac:dyDescent="0.35">
      <c r="A6814" s="9" t="str">
        <f>HYPERLINK("http://www.ensembl.org/id/WBGene00007457", "WBGene00007457")</f>
        <v>WBGene00007457</v>
      </c>
      <c r="B6814" s="9" t="str">
        <f>HYPERLINK("http://www.ncbi.nlm.nih.gov/gene/178332", "178332")</f>
        <v>178332</v>
      </c>
      <c r="C6814" s="9"/>
      <c r="D6814" t="str">
        <f>"C08F11.10"</f>
        <v>C08F11.10</v>
      </c>
      <c r="F6814" t="s">
        <v>11</v>
      </c>
      <c r="H6814" s="12">
        <v>1.6205304538665299</v>
      </c>
      <c r="I6814" s="20">
        <v>0.516370509284938</v>
      </c>
      <c r="J6814" s="28">
        <v>0.60559565890974199</v>
      </c>
      <c r="K6814" s="29">
        <v>0.98289565623980701</v>
      </c>
    </row>
    <row r="6815" spans="1:11" x14ac:dyDescent="0.35">
      <c r="A6815" s="9" t="str">
        <f>HYPERLINK("http://www.ensembl.org/id/WBGene00194668", "WBGene00194668")</f>
        <v>WBGene00194668</v>
      </c>
      <c r="B6815" s="9"/>
      <c r="C6815" s="9"/>
      <c r="D6815" t="str">
        <f>"C08F11.116"</f>
        <v>C08F11.116</v>
      </c>
      <c r="F6815" t="s">
        <v>2735</v>
      </c>
      <c r="H6815" s="12">
        <v>-2.88484019053976</v>
      </c>
      <c r="I6815" s="20">
        <v>-0.97631832500591198</v>
      </c>
      <c r="J6815" s="28">
        <v>0.32890674167216299</v>
      </c>
      <c r="K6815" s="29">
        <v>0.98289565623980701</v>
      </c>
    </row>
    <row r="6816" spans="1:11" x14ac:dyDescent="0.35">
      <c r="A6816" s="9" t="str">
        <f>HYPERLINK("http://www.ensembl.org/id/WBGene00007459", "WBGene00007459")</f>
        <v>WBGene00007459</v>
      </c>
      <c r="B6816" s="9" t="str">
        <f>HYPERLINK("http://www.ncbi.nlm.nih.gov/gene/178333", "178333")</f>
        <v>178333</v>
      </c>
      <c r="C6816" s="9"/>
      <c r="D6816" t="str">
        <f>"C08F11.12"</f>
        <v>C08F11.12</v>
      </c>
      <c r="E6816" t="s">
        <v>10075</v>
      </c>
      <c r="F6816" t="s">
        <v>11</v>
      </c>
      <c r="G6816" t="s">
        <v>27</v>
      </c>
      <c r="H6816" s="12">
        <v>-2.57823291845795</v>
      </c>
      <c r="I6816" s="20">
        <v>-0.794616038007804</v>
      </c>
      <c r="J6816" s="28">
        <v>0.42683688616431498</v>
      </c>
      <c r="K6816" s="29">
        <v>0.98289565623980701</v>
      </c>
    </row>
    <row r="6817" spans="1:11" x14ac:dyDescent="0.35">
      <c r="A6817" s="9" t="str">
        <f>HYPERLINK("http://www.ensembl.org/id/WBGene00007461", "WBGene00007461")</f>
        <v>WBGene00007461</v>
      </c>
      <c r="B6817" s="9"/>
      <c r="C6817" s="9"/>
      <c r="D6817" t="str">
        <f>"C08F11.14"</f>
        <v>C08F11.14</v>
      </c>
      <c r="F6817" t="s">
        <v>80</v>
      </c>
      <c r="H6817" s="12">
        <v>-10.0989263815726</v>
      </c>
      <c r="I6817" s="20">
        <v>-0.68863184780658804</v>
      </c>
      <c r="J6817" s="28">
        <v>0.49105497404077803</v>
      </c>
      <c r="K6817" s="29">
        <v>0.98289565623980701</v>
      </c>
    </row>
    <row r="6818" spans="1:11" x14ac:dyDescent="0.35">
      <c r="A6818" s="9" t="str">
        <f>HYPERLINK("http://www.ensembl.org/id/WBGene00198087", "WBGene00198087")</f>
        <v>WBGene00198087</v>
      </c>
      <c r="B6818" s="9"/>
      <c r="C6818" s="9"/>
      <c r="D6818" t="str">
        <f>"C08F8.12"</f>
        <v>C08F8.12</v>
      </c>
      <c r="F6818" t="s">
        <v>481</v>
      </c>
      <c r="H6818" s="12">
        <v>3.5227018545059199</v>
      </c>
      <c r="I6818" s="20">
        <v>0.36849691206929103</v>
      </c>
      <c r="J6818" s="28">
        <v>0.71250274722433404</v>
      </c>
      <c r="K6818" s="29">
        <v>0.98289565623980701</v>
      </c>
    </row>
    <row r="6819" spans="1:11" x14ac:dyDescent="0.35">
      <c r="A6819" s="9" t="str">
        <f>HYPERLINK("http://www.ensembl.org/id/WBGene00219217", "WBGene00219217")</f>
        <v>WBGene00219217</v>
      </c>
      <c r="B6819" s="9" t="str">
        <f>HYPERLINK("http://www.ncbi.nlm.nih.gov/gene/13198072", "13198072")</f>
        <v>13198072</v>
      </c>
      <c r="C6819" s="9"/>
      <c r="D6819" t="str">
        <f>"C08F8.15"</f>
        <v>C08F8.15</v>
      </c>
      <c r="F6819" t="s">
        <v>11</v>
      </c>
      <c r="G6819" t="s">
        <v>54</v>
      </c>
      <c r="H6819" s="12">
        <v>1.68533586767037</v>
      </c>
      <c r="I6819" s="20">
        <v>1.0816385574763201</v>
      </c>
      <c r="J6819" s="28">
        <v>0.27941316463242399</v>
      </c>
      <c r="K6819" s="29">
        <v>0.98289565623980701</v>
      </c>
    </row>
    <row r="6820" spans="1:11" x14ac:dyDescent="0.35">
      <c r="A6820" s="9" t="str">
        <f>HYPERLINK("http://www.ensembl.org/id/WBGene00007449", "WBGene00007449")</f>
        <v>WBGene00007449</v>
      </c>
      <c r="B6820" s="9" t="str">
        <f>HYPERLINK("http://www.ncbi.nlm.nih.gov/gene/259594", "259594")</f>
        <v>259594</v>
      </c>
      <c r="C6820" s="9"/>
      <c r="D6820" t="str">
        <f>"C08F8.9"</f>
        <v>C08F8.9</v>
      </c>
      <c r="F6820" t="s">
        <v>11</v>
      </c>
      <c r="H6820" s="12">
        <v>-1.28650705178911</v>
      </c>
      <c r="I6820" s="20">
        <v>-1.02362016610907</v>
      </c>
      <c r="J6820" s="28">
        <v>0.30601471638731098</v>
      </c>
      <c r="K6820" s="29">
        <v>0.98289565623980701</v>
      </c>
    </row>
    <row r="6821" spans="1:11" x14ac:dyDescent="0.35">
      <c r="A6821" s="9" t="str">
        <f>HYPERLINK("http://www.ensembl.org/id/WBGene00015616", "WBGene00015616")</f>
        <v>WBGene00015616</v>
      </c>
      <c r="B6821" s="9"/>
      <c r="C6821" s="9"/>
      <c r="D6821" t="str">
        <f>"C08G5.3"</f>
        <v>C08G5.3</v>
      </c>
      <c r="F6821" t="s">
        <v>80</v>
      </c>
      <c r="H6821" s="12">
        <v>-2.2462711840042502</v>
      </c>
      <c r="I6821" s="20">
        <v>-0.28752192663158799</v>
      </c>
      <c r="J6821" s="28">
        <v>0.77371271536475705</v>
      </c>
      <c r="K6821" s="29">
        <v>0.98289565623980701</v>
      </c>
    </row>
    <row r="6822" spans="1:11" x14ac:dyDescent="0.35">
      <c r="A6822" s="9" t="str">
        <f>HYPERLINK("http://www.ensembl.org/id/WBGene00015618", "WBGene00015618")</f>
        <v>WBGene00015618</v>
      </c>
      <c r="B6822" s="9" t="str">
        <f>HYPERLINK("http://www.ncbi.nlm.nih.gov/gene/182428", "182428")</f>
        <v>182428</v>
      </c>
      <c r="C6822" s="9"/>
      <c r="D6822" t="str">
        <f>"C08G5.6"</f>
        <v>C08G5.6</v>
      </c>
      <c r="F6822" t="s">
        <v>11</v>
      </c>
      <c r="G6822" t="s">
        <v>25</v>
      </c>
      <c r="H6822" s="12">
        <v>-1.5091883419089001</v>
      </c>
      <c r="I6822" s="20">
        <v>-1.0773981326363899</v>
      </c>
      <c r="J6822" s="28">
        <v>0.28130243802146698</v>
      </c>
      <c r="K6822" s="29">
        <v>0.98289565623980701</v>
      </c>
    </row>
    <row r="6823" spans="1:11" x14ac:dyDescent="0.35">
      <c r="A6823" s="9" t="str">
        <f>HYPERLINK("http://www.ensembl.org/id/WBGene00044418", "WBGene00044418")</f>
        <v>WBGene00044418</v>
      </c>
      <c r="B6823" s="9" t="str">
        <f>HYPERLINK("http://www.ncbi.nlm.nih.gov/gene/3565208", "3565208")</f>
        <v>3565208</v>
      </c>
      <c r="C6823" s="9"/>
      <c r="D6823" t="str">
        <f>"C08G5.7"</f>
        <v>C08G5.7</v>
      </c>
      <c r="F6823" t="s">
        <v>11</v>
      </c>
      <c r="G6823" t="s">
        <v>25</v>
      </c>
      <c r="H6823" s="12">
        <v>1.1514393813696999</v>
      </c>
      <c r="I6823" s="20">
        <v>0.65078972682464298</v>
      </c>
      <c r="J6823" s="28">
        <v>0.51518223269822505</v>
      </c>
      <c r="K6823" s="29">
        <v>0.98289565623980701</v>
      </c>
    </row>
    <row r="6824" spans="1:11" x14ac:dyDescent="0.35">
      <c r="A6824" s="9" t="str">
        <f>HYPERLINK("http://www.ensembl.org/id/WBGene00015619", "WBGene00015619")</f>
        <v>WBGene00015619</v>
      </c>
      <c r="B6824" s="9" t="str">
        <f>HYPERLINK("http://www.ncbi.nlm.nih.gov/gene/259578", "259578")</f>
        <v>259578</v>
      </c>
      <c r="C6824" s="9"/>
      <c r="D6824" t="str">
        <f>"C08G9.1"</f>
        <v>C08G9.1</v>
      </c>
      <c r="F6824" t="s">
        <v>11</v>
      </c>
      <c r="G6824" t="s">
        <v>25</v>
      </c>
      <c r="H6824" s="12">
        <v>1.0626204430531101</v>
      </c>
      <c r="I6824" s="20">
        <v>0.29915838258708799</v>
      </c>
      <c r="J6824" s="28">
        <v>0.76481920184961305</v>
      </c>
      <c r="K6824" s="29">
        <v>0.98289565623980701</v>
      </c>
    </row>
    <row r="6825" spans="1:11" x14ac:dyDescent="0.35">
      <c r="A6825" s="9" t="str">
        <f>HYPERLINK("http://www.ensembl.org/id/WBGene00199437", "WBGene00199437")</f>
        <v>WBGene00199437</v>
      </c>
      <c r="B6825" s="9"/>
      <c r="C6825" s="9"/>
      <c r="D6825" t="str">
        <f>"C08G9.6"</f>
        <v>C08G9.6</v>
      </c>
      <c r="F6825" t="s">
        <v>481</v>
      </c>
      <c r="H6825" s="12">
        <v>2.3893468495514898</v>
      </c>
      <c r="I6825" s="20">
        <v>0.25323547253672701</v>
      </c>
      <c r="J6825" s="28">
        <v>0.80008625651646104</v>
      </c>
      <c r="K6825" s="29">
        <v>0.98289565623980701</v>
      </c>
    </row>
    <row r="6826" spans="1:11" x14ac:dyDescent="0.35">
      <c r="A6826" s="9" t="str">
        <f>HYPERLINK("http://www.ensembl.org/id/WBGene00007462", "WBGene00007462")</f>
        <v>WBGene00007462</v>
      </c>
      <c r="B6826" s="9" t="str">
        <f>HYPERLINK("http://www.ncbi.nlm.nih.gov/gene/182429", "182429")</f>
        <v>182429</v>
      </c>
      <c r="C6826" s="9"/>
      <c r="D6826" t="str">
        <f>"C08H9.1"</f>
        <v>C08H9.1</v>
      </c>
      <c r="E6826" t="s">
        <v>4742</v>
      </c>
      <c r="F6826" t="s">
        <v>11</v>
      </c>
      <c r="G6826" t="s">
        <v>1391</v>
      </c>
      <c r="H6826" s="12">
        <v>1.4245481069950801</v>
      </c>
      <c r="I6826" s="20">
        <v>0.479191060230652</v>
      </c>
      <c r="J6826" s="28">
        <v>0.63180271346158501</v>
      </c>
      <c r="K6826" s="29">
        <v>0.98289565623980701</v>
      </c>
    </row>
    <row r="6827" spans="1:11" x14ac:dyDescent="0.35">
      <c r="A6827" s="9" t="str">
        <f>HYPERLINK("http://www.ensembl.org/id/WBGene00007474", "WBGene00007474")</f>
        <v>WBGene00007474</v>
      </c>
      <c r="B6827" s="9" t="str">
        <f>HYPERLINK("http://www.ncbi.nlm.nih.gov/gene/3564883", "3564883")</f>
        <v>3564883</v>
      </c>
      <c r="C6827" s="9"/>
      <c r="D6827" t="str">
        <f>"C08H9.15"</f>
        <v>C08H9.15</v>
      </c>
      <c r="F6827" t="s">
        <v>11</v>
      </c>
      <c r="G6827" t="s">
        <v>25</v>
      </c>
      <c r="H6827" s="12">
        <v>1.22624425161839</v>
      </c>
      <c r="I6827" s="20">
        <v>0.80657996951373501</v>
      </c>
      <c r="J6827" s="28">
        <v>0.419908517801865</v>
      </c>
      <c r="K6827" s="29">
        <v>0.98289565623980701</v>
      </c>
    </row>
    <row r="6828" spans="1:11" x14ac:dyDescent="0.35">
      <c r="A6828" s="9" t="str">
        <f>HYPERLINK("http://www.ensembl.org/id/WBGene00086566", "WBGene00086566")</f>
        <v>WBGene00086566</v>
      </c>
      <c r="B6828" s="9" t="str">
        <f>HYPERLINK("http://www.ncbi.nlm.nih.gov/gene/7040127", "7040127")</f>
        <v>7040127</v>
      </c>
      <c r="C6828" s="9" t="str">
        <f>HYPERLINK("http://www.ncbi.nlm.nih.gov/gene/118924", "118924")</f>
        <v>118924</v>
      </c>
      <c r="D6828" t="str">
        <f>"C08H9.16"</f>
        <v>C08H9.16</v>
      </c>
      <c r="F6828" t="s">
        <v>11</v>
      </c>
      <c r="G6828" t="s">
        <v>37</v>
      </c>
      <c r="H6828" s="12">
        <v>-1.28807597154703</v>
      </c>
      <c r="I6828" s="20">
        <v>-1.06206709969688</v>
      </c>
      <c r="J6828" s="28">
        <v>0.288205224700322</v>
      </c>
      <c r="K6828" s="29">
        <v>0.98289565623980701</v>
      </c>
    </row>
    <row r="6829" spans="1:11" x14ac:dyDescent="0.35">
      <c r="A6829" s="9" t="str">
        <f>HYPERLINK("http://www.ensembl.org/id/WBGene00007468", "WBGene00007468")</f>
        <v>WBGene00007468</v>
      </c>
      <c r="B6829" s="9"/>
      <c r="C6829" s="9"/>
      <c r="D6829" t="str">
        <f>"C08H9.8"</f>
        <v>C08H9.8</v>
      </c>
      <c r="F6829" t="s">
        <v>80</v>
      </c>
      <c r="H6829" s="12">
        <v>2.4578120077400301</v>
      </c>
      <c r="I6829" s="20">
        <v>0.26093350314551</v>
      </c>
      <c r="J6829" s="28">
        <v>0.79414378780213601</v>
      </c>
      <c r="K6829" s="29">
        <v>0.98289565623980701</v>
      </c>
    </row>
    <row r="6830" spans="1:11" x14ac:dyDescent="0.35">
      <c r="A6830" s="9" t="str">
        <f>HYPERLINK("http://www.ensembl.org/id/WBGene00014673", "WBGene00014673")</f>
        <v>WBGene00014673</v>
      </c>
      <c r="B6830" s="9"/>
      <c r="C6830" s="9"/>
      <c r="D6830" t="str">
        <f>"C08H9.9"</f>
        <v>C08H9.9</v>
      </c>
      <c r="F6830" t="s">
        <v>80</v>
      </c>
      <c r="H6830" s="12">
        <v>5.4058944669092801</v>
      </c>
      <c r="I6830" s="20">
        <v>0.49762513753689303</v>
      </c>
      <c r="J6830" s="28">
        <v>0.61874828254921799</v>
      </c>
      <c r="K6830" s="29">
        <v>0.98289565623980701</v>
      </c>
    </row>
    <row r="6831" spans="1:11" x14ac:dyDescent="0.35">
      <c r="A6831" s="9" t="str">
        <f>HYPERLINK("http://www.ensembl.org/id/WBGene00201784", "WBGene00201784")</f>
        <v>WBGene00201784</v>
      </c>
      <c r="B6831" s="9"/>
      <c r="C6831" s="9"/>
      <c r="D6831" t="str">
        <f>"C09B7.11"</f>
        <v>C09B7.11</v>
      </c>
      <c r="F6831" t="s">
        <v>481</v>
      </c>
      <c r="H6831" s="12">
        <v>-3.5819448292659501</v>
      </c>
      <c r="I6831" s="20">
        <v>-0.37337717500031398</v>
      </c>
      <c r="J6831" s="28">
        <v>0.70886774492290605</v>
      </c>
      <c r="K6831" s="29">
        <v>0.98289565623980701</v>
      </c>
    </row>
    <row r="6832" spans="1:11" x14ac:dyDescent="0.35">
      <c r="A6832" s="9" t="str">
        <f>HYPERLINK("http://www.ensembl.org/id/WBGene00022919", "WBGene00022919")</f>
        <v>WBGene00022919</v>
      </c>
      <c r="B6832" s="9"/>
      <c r="C6832" s="9"/>
      <c r="D6832" t="str">
        <f>"C09B7.4"</f>
        <v>C09B7.4</v>
      </c>
      <c r="F6832" t="s">
        <v>481</v>
      </c>
      <c r="H6832" s="12">
        <v>2.3893468495514898</v>
      </c>
      <c r="I6832" s="20">
        <v>0.25323547253672701</v>
      </c>
      <c r="J6832" s="28">
        <v>0.80008625651646104</v>
      </c>
      <c r="K6832" s="29">
        <v>0.98289565623980701</v>
      </c>
    </row>
    <row r="6833" spans="1:11" x14ac:dyDescent="0.35">
      <c r="A6833" s="9" t="str">
        <f>HYPERLINK("http://www.ensembl.org/id/WBGene00195664", "WBGene00195664")</f>
        <v>WBGene00195664</v>
      </c>
      <c r="B6833" s="9"/>
      <c r="C6833" s="9"/>
      <c r="D6833" t="str">
        <f>"C09B8.11"</f>
        <v>C09B8.11</v>
      </c>
      <c r="F6833" t="s">
        <v>481</v>
      </c>
      <c r="H6833" s="12">
        <v>5.6776293866140497</v>
      </c>
      <c r="I6833" s="20">
        <v>0.73672727913151903</v>
      </c>
      <c r="J6833" s="28">
        <v>0.46128821424005101</v>
      </c>
      <c r="K6833" s="29">
        <v>0.98289565623980701</v>
      </c>
    </row>
    <row r="6834" spans="1:11" x14ac:dyDescent="0.35">
      <c r="A6834" s="9" t="str">
        <f>HYPERLINK("http://www.ensembl.org/id/WBGene00015622", "WBGene00015622")</f>
        <v>WBGene00015622</v>
      </c>
      <c r="B6834" s="9" t="str">
        <f>HYPERLINK("http://www.ncbi.nlm.nih.gov/gene/182439", "182439")</f>
        <v>182439</v>
      </c>
      <c r="C6834" s="9"/>
      <c r="D6834" t="str">
        <f>"C09B8.3"</f>
        <v>C09B8.3</v>
      </c>
      <c r="F6834" t="s">
        <v>11</v>
      </c>
      <c r="G6834" t="s">
        <v>603</v>
      </c>
      <c r="H6834" s="12">
        <v>-1.33057578003303</v>
      </c>
      <c r="I6834" s="20">
        <v>-0.27366772290755598</v>
      </c>
      <c r="J6834" s="28">
        <v>0.78433998448540798</v>
      </c>
      <c r="K6834" s="29">
        <v>0.98289565623980701</v>
      </c>
    </row>
    <row r="6835" spans="1:11" x14ac:dyDescent="0.35">
      <c r="A6835" s="9" t="str">
        <f>HYPERLINK("http://www.ensembl.org/id/WBGene00015625", "WBGene00015625")</f>
        <v>WBGene00015625</v>
      </c>
      <c r="B6835" s="9" t="str">
        <f>HYPERLINK("http://www.ncbi.nlm.nih.gov/gene/180869", "180869")</f>
        <v>180869</v>
      </c>
      <c r="C6835" s="9"/>
      <c r="D6835" t="str">
        <f>"C09B8.8"</f>
        <v>C09B8.8</v>
      </c>
      <c r="F6835" t="s">
        <v>11</v>
      </c>
      <c r="G6835" t="s">
        <v>25</v>
      </c>
      <c r="H6835" s="12">
        <v>1.26195035376237</v>
      </c>
      <c r="I6835" s="20">
        <v>0.61988248101271803</v>
      </c>
      <c r="J6835" s="28">
        <v>0.53533516048793905</v>
      </c>
      <c r="K6835" s="29">
        <v>0.98289565623980701</v>
      </c>
    </row>
    <row r="6836" spans="1:11" x14ac:dyDescent="0.35">
      <c r="A6836" s="9" t="str">
        <f>HYPERLINK("http://www.ensembl.org/id/WBGene00015629", "WBGene00015629")</f>
        <v>WBGene00015629</v>
      </c>
      <c r="B6836" s="9" t="str">
        <f>HYPERLINK("http://www.ncbi.nlm.nih.gov/gene/177271", "177271")</f>
        <v>177271</v>
      </c>
      <c r="C6836" s="9"/>
      <c r="D6836" t="str">
        <f>"C09B9.4"</f>
        <v>C09B9.4</v>
      </c>
      <c r="F6836" t="s">
        <v>11</v>
      </c>
      <c r="G6836" t="s">
        <v>1763</v>
      </c>
      <c r="H6836" s="12">
        <v>2.0087717501094899</v>
      </c>
      <c r="I6836" s="20">
        <v>0.74426918076508697</v>
      </c>
      <c r="J6836" s="28">
        <v>0.45671364234774903</v>
      </c>
      <c r="K6836" s="29">
        <v>0.98289565623980701</v>
      </c>
    </row>
    <row r="6837" spans="1:11" x14ac:dyDescent="0.35">
      <c r="A6837" s="9" t="str">
        <f>HYPERLINK("http://www.ensembl.org/id/WBGene00015630", "WBGene00015630")</f>
        <v>WBGene00015630</v>
      </c>
      <c r="B6837" s="9" t="str">
        <f>HYPERLINK("http://www.ncbi.nlm.nih.gov/gene/177273", "177273")</f>
        <v>177273</v>
      </c>
      <c r="C6837" s="9"/>
      <c r="D6837" t="str">
        <f>"C09B9.7"</f>
        <v>C09B9.7</v>
      </c>
      <c r="F6837" t="s">
        <v>11</v>
      </c>
      <c r="G6837" t="s">
        <v>25</v>
      </c>
      <c r="H6837" s="12">
        <v>-2.3134416419896802</v>
      </c>
      <c r="I6837" s="20">
        <v>-0.37592954189938799</v>
      </c>
      <c r="J6837" s="28">
        <v>0.70696927744733995</v>
      </c>
      <c r="K6837" s="29">
        <v>0.98289565623980701</v>
      </c>
    </row>
    <row r="6838" spans="1:11" x14ac:dyDescent="0.35">
      <c r="A6838" s="9" t="str">
        <f>HYPERLINK("http://www.ensembl.org/id/WBGene00220250", "WBGene00220250")</f>
        <v>WBGene00220250</v>
      </c>
      <c r="B6838" s="9" t="str">
        <f>HYPERLINK("http://www.ncbi.nlm.nih.gov/gene/24104191", "24104191")</f>
        <v>24104191</v>
      </c>
      <c r="C6838" s="9"/>
      <c r="D6838" t="str">
        <f>"C09B9.85"</f>
        <v>C09B9.85</v>
      </c>
      <c r="E6838" t="s">
        <v>1526</v>
      </c>
      <c r="F6838" t="s">
        <v>11</v>
      </c>
      <c r="G6838" t="s">
        <v>1527</v>
      </c>
      <c r="H6838" s="12">
        <v>-2.6091840615252302</v>
      </c>
      <c r="I6838" s="20">
        <v>-0.39304473703411003</v>
      </c>
      <c r="J6838" s="28">
        <v>0.69428643946751201</v>
      </c>
      <c r="K6838" s="29">
        <v>0.98289565623980701</v>
      </c>
    </row>
    <row r="6839" spans="1:11" x14ac:dyDescent="0.35">
      <c r="A6839" s="9" t="str">
        <f>HYPERLINK("http://www.ensembl.org/id/WBGene00015632", "WBGene00015632")</f>
        <v>WBGene00015632</v>
      </c>
      <c r="B6839" s="9" t="str">
        <f>HYPERLINK("http://www.ncbi.nlm.nih.gov/gene/172203", "172203")</f>
        <v>172203</v>
      </c>
      <c r="C6839" s="9"/>
      <c r="D6839" t="str">
        <f>"C09D4.1"</f>
        <v>C09D4.1</v>
      </c>
      <c r="E6839" t="s">
        <v>6007</v>
      </c>
      <c r="F6839" t="s">
        <v>11</v>
      </c>
      <c r="G6839" t="s">
        <v>6008</v>
      </c>
      <c r="H6839" s="12">
        <v>1.07330218956817</v>
      </c>
      <c r="I6839" s="20">
        <v>0.32054918669187998</v>
      </c>
      <c r="J6839" s="28">
        <v>0.74855205011230697</v>
      </c>
      <c r="K6839" s="29">
        <v>0.98289565623980701</v>
      </c>
    </row>
    <row r="6840" spans="1:11" x14ac:dyDescent="0.35">
      <c r="A6840" s="9" t="str">
        <f>HYPERLINK("http://www.ensembl.org/id/WBGene00015633", "WBGene00015633")</f>
        <v>WBGene00015633</v>
      </c>
      <c r="B6840" s="9" t="str">
        <f>HYPERLINK("http://www.ncbi.nlm.nih.gov/gene/182446", "182446")</f>
        <v>182446</v>
      </c>
      <c r="C6840" s="9"/>
      <c r="D6840" t="str">
        <f>"C09D4.2"</f>
        <v>C09D4.2</v>
      </c>
      <c r="F6840" t="s">
        <v>11</v>
      </c>
      <c r="H6840" s="12">
        <v>1.20754837824891</v>
      </c>
      <c r="I6840" s="20">
        <v>1.0215881666356399</v>
      </c>
      <c r="J6840" s="28">
        <v>0.30697586069735899</v>
      </c>
      <c r="K6840" s="29">
        <v>0.98289565623980701</v>
      </c>
    </row>
    <row r="6841" spans="1:11" x14ac:dyDescent="0.35">
      <c r="A6841" s="9" t="str">
        <f>HYPERLINK("http://www.ensembl.org/id/WBGene00015634", "WBGene00015634")</f>
        <v>WBGene00015634</v>
      </c>
      <c r="B6841" s="9" t="str">
        <f>HYPERLINK("http://www.ncbi.nlm.nih.gov/gene/172202", "172202")</f>
        <v>172202</v>
      </c>
      <c r="C6841" s="9"/>
      <c r="D6841" t="str">
        <f>"C09D4.3"</f>
        <v>C09D4.3</v>
      </c>
      <c r="F6841" t="s">
        <v>11</v>
      </c>
      <c r="G6841" t="s">
        <v>961</v>
      </c>
      <c r="H6841" s="12">
        <v>1.56303316054651</v>
      </c>
      <c r="I6841" s="20">
        <v>0.56471928174610497</v>
      </c>
      <c r="J6841" s="28">
        <v>0.57226471710832505</v>
      </c>
      <c r="K6841" s="29">
        <v>0.98289565623980701</v>
      </c>
    </row>
    <row r="6842" spans="1:11" x14ac:dyDescent="0.35">
      <c r="A6842" s="9" t="str">
        <f>HYPERLINK("http://www.ensembl.org/id/WBGene00199116", "WBGene00199116")</f>
        <v>WBGene00199116</v>
      </c>
      <c r="B6842" s="9"/>
      <c r="C6842" s="9"/>
      <c r="D6842" t="str">
        <f>"C09D4.8"</f>
        <v>C09D4.8</v>
      </c>
      <c r="F6842" t="s">
        <v>481</v>
      </c>
      <c r="H6842" s="12">
        <v>-4.7167679298615104</v>
      </c>
      <c r="I6842" s="20">
        <v>-0.454742638005115</v>
      </c>
      <c r="J6842" s="28">
        <v>0.64929440216969203</v>
      </c>
      <c r="K6842" s="29">
        <v>0.98289565623980701</v>
      </c>
    </row>
    <row r="6843" spans="1:11" x14ac:dyDescent="0.35">
      <c r="A6843" s="9" t="str">
        <f>HYPERLINK("http://www.ensembl.org/id/WBGene00044295", "WBGene00044295")</f>
        <v>WBGene00044295</v>
      </c>
      <c r="B6843" s="9" t="str">
        <f>HYPERLINK("http://www.ncbi.nlm.nih.gov/gene/3565364", "3565364")</f>
        <v>3565364</v>
      </c>
      <c r="C6843" s="9"/>
      <c r="D6843" t="str">
        <f>"C09E7.10"</f>
        <v>C09E7.10</v>
      </c>
      <c r="F6843" t="s">
        <v>11</v>
      </c>
      <c r="G6843" t="s">
        <v>25</v>
      </c>
      <c r="H6843" s="12">
        <v>2.0826587307122999</v>
      </c>
      <c r="I6843" s="20">
        <v>1.1832556774110901</v>
      </c>
      <c r="J6843" s="28">
        <v>0.23670783292530001</v>
      </c>
      <c r="K6843" s="29">
        <v>0.98289565623980701</v>
      </c>
    </row>
    <row r="6844" spans="1:11" x14ac:dyDescent="0.35">
      <c r="A6844" s="9" t="str">
        <f>HYPERLINK("http://www.ensembl.org/id/WBGene00015638", "WBGene00015638")</f>
        <v>WBGene00015638</v>
      </c>
      <c r="B6844" s="9" t="str">
        <f>HYPERLINK("http://www.ncbi.nlm.nih.gov/gene/175928", "175928")</f>
        <v>175928</v>
      </c>
      <c r="C6844" s="9"/>
      <c r="D6844" t="str">
        <f>"C09E7.4"</f>
        <v>C09E7.4</v>
      </c>
      <c r="F6844" t="s">
        <v>11</v>
      </c>
      <c r="G6844" t="s">
        <v>1659</v>
      </c>
      <c r="H6844" s="12">
        <v>-1.1552089070260601</v>
      </c>
      <c r="I6844" s="20">
        <v>-0.598862630871001</v>
      </c>
      <c r="J6844" s="28">
        <v>0.54926449278550005</v>
      </c>
      <c r="K6844" s="29">
        <v>0.98289565623980701</v>
      </c>
    </row>
    <row r="6845" spans="1:11" x14ac:dyDescent="0.35">
      <c r="A6845" s="9" t="str">
        <f>HYPERLINK("http://www.ensembl.org/id/WBGene00015639", "WBGene00015639")</f>
        <v>WBGene00015639</v>
      </c>
      <c r="B6845" s="9" t="str">
        <f>HYPERLINK("http://www.ncbi.nlm.nih.gov/gene/182451", "182451")</f>
        <v>182451</v>
      </c>
      <c r="C6845" s="9"/>
      <c r="D6845" t="str">
        <f>"C09E7.5"</f>
        <v>C09E7.5</v>
      </c>
      <c r="F6845" t="s">
        <v>11</v>
      </c>
      <c r="H6845" s="12">
        <v>2.0865231571675702</v>
      </c>
      <c r="I6845" s="20">
        <v>0.359519681907297</v>
      </c>
      <c r="J6845" s="28">
        <v>0.71920635666438304</v>
      </c>
      <c r="K6845" s="29">
        <v>0.98289565623980701</v>
      </c>
    </row>
    <row r="6846" spans="1:11" x14ac:dyDescent="0.35">
      <c r="A6846" s="9" t="str">
        <f>HYPERLINK("http://www.ensembl.org/id/WBGene00015640", "WBGene00015640")</f>
        <v>WBGene00015640</v>
      </c>
      <c r="B6846" s="9"/>
      <c r="C6846" s="9"/>
      <c r="D6846" t="str">
        <f>"C09E7.6"</f>
        <v>C09E7.6</v>
      </c>
      <c r="F6846" t="s">
        <v>80</v>
      </c>
      <c r="H6846" s="12">
        <v>1.1655422847691199</v>
      </c>
      <c r="I6846" s="20">
        <v>0.57790238211908296</v>
      </c>
      <c r="J6846" s="28">
        <v>0.56333002694977696</v>
      </c>
      <c r="K6846" s="29">
        <v>0.98289565623980701</v>
      </c>
    </row>
    <row r="6847" spans="1:11" x14ac:dyDescent="0.35">
      <c r="A6847" s="9" t="str">
        <f>HYPERLINK("http://www.ensembl.org/id/WBGene00007476", "WBGene00007476")</f>
        <v>WBGene00007476</v>
      </c>
      <c r="B6847" s="9" t="str">
        <f>HYPERLINK("http://www.ncbi.nlm.nih.gov/gene/182452", "182452")</f>
        <v>182452</v>
      </c>
      <c r="C6847" s="9"/>
      <c r="D6847" t="str">
        <f>"C09E9.1"</f>
        <v>C09E9.1</v>
      </c>
      <c r="F6847" t="s">
        <v>11</v>
      </c>
      <c r="G6847" t="s">
        <v>9341</v>
      </c>
      <c r="H6847" s="12">
        <v>-1.2398960203259399</v>
      </c>
      <c r="I6847" s="20">
        <v>-1.0108045462616</v>
      </c>
      <c r="J6847" s="28">
        <v>0.31210998677213397</v>
      </c>
      <c r="K6847" s="29">
        <v>0.98289565623980701</v>
      </c>
    </row>
    <row r="6848" spans="1:11" x14ac:dyDescent="0.35">
      <c r="A6848" s="9" t="str">
        <f>HYPERLINK("http://www.ensembl.org/id/WBGene00007482", "WBGene00007482")</f>
        <v>WBGene00007482</v>
      </c>
      <c r="B6848" s="9" t="str">
        <f>HYPERLINK("http://www.ncbi.nlm.nih.gov/gene/181294", "181294")</f>
        <v>181294</v>
      </c>
      <c r="C6848" s="9"/>
      <c r="D6848" t="str">
        <f>"C09F12.2"</f>
        <v>C09F12.2</v>
      </c>
      <c r="F6848" t="s">
        <v>11</v>
      </c>
      <c r="G6848" t="s">
        <v>25</v>
      </c>
      <c r="H6848" s="12">
        <v>-1.1547211427467801</v>
      </c>
      <c r="I6848" s="20">
        <v>-0.35024717119112297</v>
      </c>
      <c r="J6848" s="28">
        <v>0.72615320846708298</v>
      </c>
      <c r="K6848" s="29">
        <v>0.98289565623980701</v>
      </c>
    </row>
    <row r="6849" spans="1:11" x14ac:dyDescent="0.35">
      <c r="A6849" s="9" t="str">
        <f>HYPERLINK("http://www.ensembl.org/id/WBGene00007483", "WBGene00007483")</f>
        <v>WBGene00007483</v>
      </c>
      <c r="B6849" s="9" t="str">
        <f>HYPERLINK("http://www.ncbi.nlm.nih.gov/gene/3564890", "3564890")</f>
        <v>3564890</v>
      </c>
      <c r="C6849" s="9"/>
      <c r="D6849" t="str">
        <f>"C09F12.3"</f>
        <v>C09F12.3</v>
      </c>
      <c r="F6849" t="s">
        <v>11</v>
      </c>
      <c r="G6849" t="s">
        <v>1089</v>
      </c>
      <c r="H6849" s="12">
        <v>1.5663541403004699</v>
      </c>
      <c r="I6849" s="20">
        <v>1.1061352879516599</v>
      </c>
      <c r="J6849" s="28">
        <v>0.26866796701930501</v>
      </c>
      <c r="K6849" s="29">
        <v>0.98289565623980701</v>
      </c>
    </row>
    <row r="6850" spans="1:11" x14ac:dyDescent="0.35">
      <c r="A6850" s="9" t="str">
        <f>HYPERLINK("http://www.ensembl.org/id/WBGene00015649", "WBGene00015649")</f>
        <v>WBGene00015649</v>
      </c>
      <c r="B6850" s="9" t="str">
        <f>HYPERLINK("http://www.ncbi.nlm.nih.gov/gene/182454", "182454")</f>
        <v>182454</v>
      </c>
      <c r="C6850" s="9"/>
      <c r="D6850" t="str">
        <f>"C09F5.3"</f>
        <v>C09F5.3</v>
      </c>
      <c r="E6850" t="s">
        <v>4670</v>
      </c>
      <c r="F6850" t="s">
        <v>11</v>
      </c>
      <c r="G6850" t="s">
        <v>4657</v>
      </c>
      <c r="H6850" s="12">
        <v>1.51180184321279</v>
      </c>
      <c r="I6850" s="20">
        <v>0.49957867471277501</v>
      </c>
      <c r="J6850" s="28">
        <v>0.61737177674367005</v>
      </c>
      <c r="K6850" s="29">
        <v>0.98289565623980701</v>
      </c>
    </row>
    <row r="6851" spans="1:11" x14ac:dyDescent="0.35">
      <c r="A6851" s="9" t="str">
        <f>HYPERLINK("http://www.ensembl.org/id/WBGene00007478", "WBGene00007478")</f>
        <v>WBGene00007478</v>
      </c>
      <c r="B6851" s="9" t="str">
        <f>HYPERLINK("http://www.ncbi.nlm.nih.gov/gene/182455", "182455")</f>
        <v>182455</v>
      </c>
      <c r="C6851" s="9"/>
      <c r="D6851" t="str">
        <f>"C09F9.1"</f>
        <v>C09F9.1</v>
      </c>
      <c r="F6851" t="s">
        <v>11</v>
      </c>
      <c r="G6851" t="s">
        <v>25</v>
      </c>
      <c r="H6851" s="12">
        <v>2.3925831074862298</v>
      </c>
      <c r="I6851" s="20">
        <v>0.75168820439427397</v>
      </c>
      <c r="J6851" s="28">
        <v>0.452238585581131</v>
      </c>
      <c r="K6851" s="29">
        <v>0.98289565623980701</v>
      </c>
    </row>
    <row r="6852" spans="1:11" x14ac:dyDescent="0.35">
      <c r="A6852" s="9" t="str">
        <f>HYPERLINK("http://www.ensembl.org/id/WBGene00007481", "WBGene00007481")</f>
        <v>WBGene00007481</v>
      </c>
      <c r="B6852" s="9"/>
      <c r="C6852" s="9"/>
      <c r="D6852" t="str">
        <f>"C09F9.4"</f>
        <v>C09F9.4</v>
      </c>
      <c r="F6852" t="s">
        <v>80</v>
      </c>
      <c r="H6852" s="12">
        <v>2.3893468495514898</v>
      </c>
      <c r="I6852" s="20">
        <v>0.25323547253672701</v>
      </c>
      <c r="J6852" s="28">
        <v>0.80008625651646104</v>
      </c>
      <c r="K6852" s="29">
        <v>0.98289565623980701</v>
      </c>
    </row>
    <row r="6853" spans="1:11" x14ac:dyDescent="0.35">
      <c r="A6853" s="9" t="str">
        <f>HYPERLINK("http://www.ensembl.org/id/WBGene00045322", "WBGene00045322")</f>
        <v>WBGene00045322</v>
      </c>
      <c r="B6853" s="9"/>
      <c r="C6853" s="9"/>
      <c r="D6853" t="str">
        <f>"C09F9.7"</f>
        <v>C09F9.7</v>
      </c>
      <c r="F6853" t="s">
        <v>80</v>
      </c>
      <c r="H6853" s="12">
        <v>-5.4967879193631202</v>
      </c>
      <c r="I6853" s="20">
        <v>-0.50254160819837501</v>
      </c>
      <c r="J6853" s="28">
        <v>0.61528659178453604</v>
      </c>
      <c r="K6853" s="29">
        <v>0.98289565623980701</v>
      </c>
    </row>
    <row r="6854" spans="1:11" x14ac:dyDescent="0.35">
      <c r="A6854" s="9" t="str">
        <f>HYPERLINK("http://www.ensembl.org/id/WBGene00007484", "WBGene00007484")</f>
        <v>WBGene00007484</v>
      </c>
      <c r="B6854" s="9" t="str">
        <f>HYPERLINK("http://www.ncbi.nlm.nih.gov/gene/182459", "182459")</f>
        <v>182459</v>
      </c>
      <c r="C6854" s="9"/>
      <c r="D6854" t="str">
        <f>"C09G1.2"</f>
        <v>C09G1.2</v>
      </c>
      <c r="F6854" t="s">
        <v>11</v>
      </c>
      <c r="H6854" s="12">
        <v>1.9220865230109101</v>
      </c>
      <c r="I6854" s="20">
        <v>0.35867111175208699</v>
      </c>
      <c r="J6854" s="28">
        <v>0.71984114183769998</v>
      </c>
      <c r="K6854" s="29">
        <v>0.98289565623980701</v>
      </c>
    </row>
    <row r="6855" spans="1:11" x14ac:dyDescent="0.35">
      <c r="A6855" s="9" t="str">
        <f>HYPERLINK("http://www.ensembl.org/id/WBGene00007485", "WBGene00007485")</f>
        <v>WBGene00007485</v>
      </c>
      <c r="B6855" s="9" t="str">
        <f>HYPERLINK("http://www.ncbi.nlm.nih.gov/gene/182460", "182460")</f>
        <v>182460</v>
      </c>
      <c r="C6855" s="9"/>
      <c r="D6855" t="str">
        <f>"C09G1.3"</f>
        <v>C09G1.3</v>
      </c>
      <c r="F6855" t="s">
        <v>11</v>
      </c>
      <c r="H6855" s="12">
        <v>3.1515354624752101</v>
      </c>
      <c r="I6855" s="20">
        <v>0.54497436549789602</v>
      </c>
      <c r="J6855" s="28">
        <v>0.58577114832244503</v>
      </c>
      <c r="K6855" s="29">
        <v>0.98289565623980701</v>
      </c>
    </row>
    <row r="6856" spans="1:11" x14ac:dyDescent="0.35">
      <c r="A6856" s="9" t="str">
        <f>HYPERLINK("http://www.ensembl.org/id/WBGene00007487", "WBGene00007487")</f>
        <v>WBGene00007487</v>
      </c>
      <c r="B6856" s="9" t="str">
        <f>HYPERLINK("http://www.ncbi.nlm.nih.gov/gene/266897", "266897")</f>
        <v>266897</v>
      </c>
      <c r="C6856" s="9"/>
      <c r="D6856" t="str">
        <f>"C09G1.5"</f>
        <v>C09G1.5</v>
      </c>
      <c r="F6856" t="s">
        <v>11</v>
      </c>
      <c r="H6856" s="12">
        <v>1.20496475034068</v>
      </c>
      <c r="I6856" s="20">
        <v>0.73333487743382197</v>
      </c>
      <c r="J6856" s="28">
        <v>0.463354207730377</v>
      </c>
      <c r="K6856" s="29">
        <v>0.98289565623980701</v>
      </c>
    </row>
    <row r="6857" spans="1:11" x14ac:dyDescent="0.35">
      <c r="A6857" s="9" t="str">
        <f>HYPERLINK("http://www.ensembl.org/id/WBGene00044001", "WBGene00044001")</f>
        <v>WBGene00044001</v>
      </c>
      <c r="B6857" s="9" t="str">
        <f>HYPERLINK("http://www.ncbi.nlm.nih.gov/gene/3565561", "3565561")</f>
        <v>3565561</v>
      </c>
      <c r="C6857" s="9"/>
      <c r="D6857" t="str">
        <f>"C09G4.4"</f>
        <v>C09G4.4</v>
      </c>
      <c r="E6857" t="s">
        <v>9694</v>
      </c>
      <c r="F6857" t="s">
        <v>11</v>
      </c>
      <c r="H6857" s="12">
        <v>-1.2825207899817099</v>
      </c>
      <c r="I6857" s="20">
        <v>-0.80304252604625304</v>
      </c>
      <c r="J6857" s="28">
        <v>0.421950155284252</v>
      </c>
      <c r="K6857" s="29">
        <v>0.98289565623980701</v>
      </c>
    </row>
    <row r="6858" spans="1:11" x14ac:dyDescent="0.35">
      <c r="A6858" s="9" t="str">
        <f>HYPERLINK("http://www.ensembl.org/id/WBGene00206538", "WBGene00206538")</f>
        <v>WBGene00206538</v>
      </c>
      <c r="B6858" s="9" t="str">
        <f>HYPERLINK("http://www.ncbi.nlm.nih.gov/gene/13186898", "13186898")</f>
        <v>13186898</v>
      </c>
      <c r="C6858" s="9"/>
      <c r="D6858" t="str">
        <f>"C09G5.13"</f>
        <v>C09G5.13</v>
      </c>
      <c r="F6858" t="s">
        <v>11</v>
      </c>
      <c r="H6858" s="12">
        <v>1.7149572244642901</v>
      </c>
      <c r="I6858" s="20">
        <v>1.09728459561067</v>
      </c>
      <c r="J6858" s="28">
        <v>0.27251700265902401</v>
      </c>
      <c r="K6858" s="29">
        <v>0.98289565623980701</v>
      </c>
    </row>
    <row r="6859" spans="1:11" x14ac:dyDescent="0.35">
      <c r="A6859" s="9" t="str">
        <f>HYPERLINK("http://www.ensembl.org/id/WBGene00271803", "WBGene00271803")</f>
        <v>WBGene00271803</v>
      </c>
      <c r="B6859" s="9" t="str">
        <f>HYPERLINK("http://www.ncbi.nlm.nih.gov/gene/34700611", "34700611")</f>
        <v>34700611</v>
      </c>
      <c r="C6859" s="9"/>
      <c r="D6859" t="str">
        <f>"C09G5.14"</f>
        <v>C09G5.14</v>
      </c>
      <c r="F6859" t="s">
        <v>11</v>
      </c>
      <c r="H6859" s="12">
        <v>2.1864718799748899</v>
      </c>
      <c r="I6859" s="20">
        <v>0.52871667746528395</v>
      </c>
      <c r="J6859" s="28">
        <v>0.59700200620613197</v>
      </c>
      <c r="K6859" s="29">
        <v>0.98289565623980701</v>
      </c>
    </row>
    <row r="6860" spans="1:11" x14ac:dyDescent="0.35">
      <c r="A6860" s="9" t="str">
        <f>HYPERLINK("http://www.ensembl.org/id/WBGene00007495", "WBGene00007495")</f>
        <v>WBGene00007495</v>
      </c>
      <c r="B6860" s="9" t="str">
        <f>HYPERLINK("http://www.ncbi.nlm.nih.gov/gene/182465", "182465")</f>
        <v>182465</v>
      </c>
      <c r="C6860" s="9"/>
      <c r="D6860" t="str">
        <f>"C09G9.5"</f>
        <v>C09G9.5</v>
      </c>
      <c r="F6860" t="s">
        <v>11</v>
      </c>
      <c r="G6860" t="s">
        <v>25</v>
      </c>
      <c r="H6860" s="12">
        <v>1.3136706971779799</v>
      </c>
      <c r="I6860" s="20">
        <v>1.0332880381346199</v>
      </c>
      <c r="J6860" s="28">
        <v>0.30146912345222698</v>
      </c>
      <c r="K6860" s="29">
        <v>0.98289565623980701</v>
      </c>
    </row>
    <row r="6861" spans="1:11" x14ac:dyDescent="0.35">
      <c r="A6861" s="9" t="str">
        <f>HYPERLINK("http://www.ensembl.org/id/WBGene00007497", "WBGene00007497")</f>
        <v>WBGene00007497</v>
      </c>
      <c r="B6861" s="9" t="str">
        <f>HYPERLINK("http://www.ncbi.nlm.nih.gov/gene/3565974", "3565974")</f>
        <v>3565974</v>
      </c>
      <c r="C6861" s="9"/>
      <c r="D6861" t="str">
        <f>"C09G9.8"</f>
        <v>C09G9.8</v>
      </c>
      <c r="F6861" t="s">
        <v>11</v>
      </c>
      <c r="H6861" s="12">
        <v>-1.0979927798037701</v>
      </c>
      <c r="I6861" s="20">
        <v>-0.31153740313579797</v>
      </c>
      <c r="J6861" s="28">
        <v>0.75539211299080899</v>
      </c>
      <c r="K6861" s="29">
        <v>0.98289565623980701</v>
      </c>
    </row>
    <row r="6862" spans="1:11" x14ac:dyDescent="0.35">
      <c r="A6862" s="9" t="str">
        <f>HYPERLINK("http://www.ensembl.org/id/WBGene00198692", "WBGene00198692")</f>
        <v>WBGene00198692</v>
      </c>
      <c r="B6862" s="9"/>
      <c r="C6862" s="9"/>
      <c r="D6862" t="str">
        <f>"C09H10.13"</f>
        <v>C09H10.13</v>
      </c>
      <c r="F6862" t="s">
        <v>481</v>
      </c>
      <c r="H6862" s="12">
        <v>-3.5819448292659501</v>
      </c>
      <c r="I6862" s="20">
        <v>-0.37337717500031398</v>
      </c>
      <c r="J6862" s="28">
        <v>0.70886774492290605</v>
      </c>
      <c r="K6862" s="29">
        <v>0.98289565623980701</v>
      </c>
    </row>
    <row r="6863" spans="1:11" x14ac:dyDescent="0.35">
      <c r="A6863" s="9" t="str">
        <f>HYPERLINK("http://www.ensembl.org/id/WBGene00043120", "WBGene00043120")</f>
        <v>WBGene00043120</v>
      </c>
      <c r="B6863" s="9" t="str">
        <f>HYPERLINK("http://www.ncbi.nlm.nih.gov/gene/13187006", "13187006")</f>
        <v>13187006</v>
      </c>
      <c r="C6863" s="9"/>
      <c r="D6863" t="str">
        <f>"C09H10.4"</f>
        <v>C09H10.4</v>
      </c>
      <c r="F6863" t="s">
        <v>11</v>
      </c>
      <c r="G6863" t="s">
        <v>25</v>
      </c>
      <c r="H6863" s="12">
        <v>5.4552761280866902</v>
      </c>
      <c r="I6863" s="20">
        <v>0.76142467042008599</v>
      </c>
      <c r="J6863" s="28">
        <v>0.44640345667389703</v>
      </c>
      <c r="K6863" s="29">
        <v>0.98289565623980701</v>
      </c>
    </row>
    <row r="6864" spans="1:11" x14ac:dyDescent="0.35">
      <c r="A6864" s="9" t="str">
        <f>HYPERLINK("http://www.ensembl.org/id/WBGene00007503", "WBGene00007503")</f>
        <v>WBGene00007503</v>
      </c>
      <c r="B6864" s="9" t="str">
        <f>HYPERLINK("http://www.ncbi.nlm.nih.gov/gene/182481", "182481")</f>
        <v>182481</v>
      </c>
      <c r="C6864" s="9"/>
      <c r="D6864" t="str">
        <f>"C09H10.9"</f>
        <v>C09H10.9</v>
      </c>
      <c r="F6864" t="s">
        <v>11</v>
      </c>
      <c r="H6864" s="12">
        <v>5.9703600199775204</v>
      </c>
      <c r="I6864" s="20">
        <v>1.2042816033444299</v>
      </c>
      <c r="J6864" s="28">
        <v>0.22848075468502099</v>
      </c>
      <c r="K6864" s="29">
        <v>0.98289565623980701</v>
      </c>
    </row>
    <row r="6865" spans="1:11" x14ac:dyDescent="0.35">
      <c r="A6865" s="9" t="str">
        <f>HYPERLINK("http://www.ensembl.org/id/WBGene00015662", "WBGene00015662")</f>
        <v>WBGene00015662</v>
      </c>
      <c r="B6865" s="9" t="str">
        <f>HYPERLINK("http://www.ncbi.nlm.nih.gov/gene/182482", "182482")</f>
        <v>182482</v>
      </c>
      <c r="C6865" s="9"/>
      <c r="D6865" t="str">
        <f>"C10A4.1"</f>
        <v>C10A4.1</v>
      </c>
      <c r="F6865" t="s">
        <v>11</v>
      </c>
      <c r="G6865" t="s">
        <v>7596</v>
      </c>
      <c r="H6865" s="12">
        <v>-1.4562938285747999</v>
      </c>
      <c r="I6865" s="20">
        <v>-0.43401040521247902</v>
      </c>
      <c r="J6865" s="28">
        <v>0.66428088510310701</v>
      </c>
      <c r="K6865" s="29">
        <v>0.98289565623980701</v>
      </c>
    </row>
    <row r="6866" spans="1:11" x14ac:dyDescent="0.35">
      <c r="A6866" s="9" t="str">
        <f>HYPERLINK("http://www.ensembl.org/id/WBGene00050957", "WBGene00050957")</f>
        <v>WBGene00050957</v>
      </c>
      <c r="B6866" s="9" t="str">
        <f>HYPERLINK("http://www.ncbi.nlm.nih.gov/gene/6418835", "6418835")</f>
        <v>6418835</v>
      </c>
      <c r="C6866" s="9"/>
      <c r="D6866" t="str">
        <f>"C10A4.10"</f>
        <v>C10A4.10</v>
      </c>
      <c r="F6866" t="s">
        <v>11</v>
      </c>
      <c r="G6866" t="s">
        <v>25</v>
      </c>
      <c r="H6866" s="12">
        <v>1.0901566216507499</v>
      </c>
      <c r="I6866" s="20">
        <v>0.37634692738172998</v>
      </c>
      <c r="J6866" s="28">
        <v>0.70665899628298301</v>
      </c>
      <c r="K6866" s="29">
        <v>0.98289565623980701</v>
      </c>
    </row>
    <row r="6867" spans="1:11" x14ac:dyDescent="0.35">
      <c r="A6867" s="9" t="str">
        <f>HYPERLINK("http://www.ensembl.org/id/WBGene00206485", "WBGene00206485")</f>
        <v>WBGene00206485</v>
      </c>
      <c r="B6867" s="9" t="str">
        <f>HYPERLINK("http://www.ncbi.nlm.nih.gov/gene/13221416", "13221416")</f>
        <v>13221416</v>
      </c>
      <c r="C6867" s="9"/>
      <c r="D6867" t="str">
        <f>"C10A4.13"</f>
        <v>C10A4.13</v>
      </c>
      <c r="F6867" t="s">
        <v>11</v>
      </c>
      <c r="H6867" s="12">
        <v>-1.2052978353938999</v>
      </c>
      <c r="I6867" s="20">
        <v>-0.32967127239848298</v>
      </c>
      <c r="J6867" s="28">
        <v>0.74164836260772704</v>
      </c>
      <c r="K6867" s="29">
        <v>0.98289565623980701</v>
      </c>
    </row>
    <row r="6868" spans="1:11" x14ac:dyDescent="0.35">
      <c r="A6868" s="9" t="str">
        <f>HYPERLINK("http://www.ensembl.org/id/WBGene00015664", "WBGene00015664")</f>
        <v>WBGene00015664</v>
      </c>
      <c r="B6868" s="9" t="str">
        <f>HYPERLINK("http://www.ncbi.nlm.nih.gov/gene/182484", "182484")</f>
        <v>182484</v>
      </c>
      <c r="C6868" s="9"/>
      <c r="D6868" t="str">
        <f>"C10A4.3"</f>
        <v>C10A4.3</v>
      </c>
      <c r="F6868" t="s">
        <v>11</v>
      </c>
      <c r="G6868" t="s">
        <v>25</v>
      </c>
      <c r="H6868" s="12">
        <v>1.7636936176057101</v>
      </c>
      <c r="I6868" s="20">
        <v>1.14894779949571</v>
      </c>
      <c r="J6868" s="28">
        <v>0.25057750598862799</v>
      </c>
      <c r="K6868" s="29">
        <v>0.98289565623980701</v>
      </c>
    </row>
    <row r="6869" spans="1:11" x14ac:dyDescent="0.35">
      <c r="A6869" s="9" t="str">
        <f>HYPERLINK("http://www.ensembl.org/id/WBGene00015665", "WBGene00015665")</f>
        <v>WBGene00015665</v>
      </c>
      <c r="B6869" s="9" t="str">
        <f>HYPERLINK("http://www.ncbi.nlm.nih.gov/gene/182485", "182485")</f>
        <v>182485</v>
      </c>
      <c r="C6869" s="9"/>
      <c r="D6869" t="str">
        <f>"C10A4.4"</f>
        <v>C10A4.4</v>
      </c>
      <c r="F6869" t="s">
        <v>11</v>
      </c>
      <c r="G6869" t="s">
        <v>25</v>
      </c>
      <c r="H6869" s="12">
        <v>1.2768745517719999</v>
      </c>
      <c r="I6869" s="20">
        <v>0.920312838935338</v>
      </c>
      <c r="J6869" s="28">
        <v>0.35740930169843999</v>
      </c>
      <c r="K6869" s="29">
        <v>0.98289565623980701</v>
      </c>
    </row>
    <row r="6870" spans="1:11" x14ac:dyDescent="0.35">
      <c r="A6870" s="9" t="str">
        <f>HYPERLINK("http://www.ensembl.org/id/WBGene00015667", "WBGene00015667")</f>
        <v>WBGene00015667</v>
      </c>
      <c r="B6870" s="9" t="str">
        <f>HYPERLINK("http://www.ncbi.nlm.nih.gov/gene/182487", "182487")</f>
        <v>182487</v>
      </c>
      <c r="C6870" s="9"/>
      <c r="D6870" t="str">
        <f>"C10A4.6"</f>
        <v>C10A4.6</v>
      </c>
      <c r="F6870" t="s">
        <v>11</v>
      </c>
      <c r="G6870" t="s">
        <v>25</v>
      </c>
      <c r="H6870" s="12">
        <v>-1.35684460147471</v>
      </c>
      <c r="I6870" s="20">
        <v>-0.39190248548585899</v>
      </c>
      <c r="J6870" s="28">
        <v>0.69513026644405196</v>
      </c>
      <c r="K6870" s="29">
        <v>0.98289565623980701</v>
      </c>
    </row>
    <row r="6871" spans="1:11" x14ac:dyDescent="0.35">
      <c r="A6871" s="9" t="str">
        <f>HYPERLINK("http://www.ensembl.org/id/WBGene00015668", "WBGene00015668")</f>
        <v>WBGene00015668</v>
      </c>
      <c r="B6871" s="9" t="str">
        <f>HYPERLINK("http://www.ncbi.nlm.nih.gov/gene/182488", "182488")</f>
        <v>182488</v>
      </c>
      <c r="C6871" s="9"/>
      <c r="D6871" t="str">
        <f>"C10A4.7"</f>
        <v>C10A4.7</v>
      </c>
      <c r="F6871" t="s">
        <v>11</v>
      </c>
      <c r="G6871" t="s">
        <v>25</v>
      </c>
      <c r="H6871" s="12">
        <v>1.3211788876478101</v>
      </c>
      <c r="I6871" s="20">
        <v>0.295699528459275</v>
      </c>
      <c r="J6871" s="28">
        <v>0.767459557326584</v>
      </c>
      <c r="K6871" s="29">
        <v>0.98289565623980701</v>
      </c>
    </row>
    <row r="6872" spans="1:11" x14ac:dyDescent="0.35">
      <c r="A6872" s="9" t="str">
        <f>HYPERLINK("http://www.ensembl.org/id/WBGene00045456", "WBGene00045456")</f>
        <v>WBGene00045456</v>
      </c>
      <c r="B6872" s="9" t="str">
        <f>HYPERLINK("http://www.ncbi.nlm.nih.gov/gene/6418834", "6418834")</f>
        <v>6418834</v>
      </c>
      <c r="C6872" s="9"/>
      <c r="D6872" t="str">
        <f>"C10A4.9"</f>
        <v>C10A4.9</v>
      </c>
      <c r="F6872" t="s">
        <v>11</v>
      </c>
      <c r="G6872" t="s">
        <v>25</v>
      </c>
      <c r="H6872" s="12">
        <v>-1.3966553999662199</v>
      </c>
      <c r="I6872" s="20">
        <v>-0.69960911287563099</v>
      </c>
      <c r="J6872" s="28">
        <v>0.48417144992424199</v>
      </c>
      <c r="K6872" s="29">
        <v>0.98289565623980701</v>
      </c>
    </row>
    <row r="6873" spans="1:11" x14ac:dyDescent="0.35">
      <c r="A6873" s="9" t="str">
        <f>HYPERLINK("http://www.ensembl.org/id/WBGene00015670", "WBGene00015670")</f>
        <v>WBGene00015670</v>
      </c>
      <c r="B6873" s="9" t="str">
        <f>HYPERLINK("http://www.ncbi.nlm.nih.gov/gene/266915", "266915")</f>
        <v>266915</v>
      </c>
      <c r="C6873" s="9"/>
      <c r="D6873" t="str">
        <f>"C10B5.1"</f>
        <v>C10B5.1</v>
      </c>
      <c r="F6873" t="s">
        <v>11</v>
      </c>
      <c r="G6873" t="s">
        <v>9984</v>
      </c>
      <c r="H6873" s="12">
        <v>-1.57172224480317</v>
      </c>
      <c r="I6873" s="20">
        <v>-1.19100543121198</v>
      </c>
      <c r="J6873" s="28">
        <v>0.233651452738353</v>
      </c>
      <c r="K6873" s="29">
        <v>0.98289565623980701</v>
      </c>
    </row>
    <row r="6874" spans="1:11" x14ac:dyDescent="0.35">
      <c r="A6874" s="9" t="str">
        <f>HYPERLINK("http://www.ensembl.org/id/WBGene00015671", "WBGene00015671")</f>
        <v>WBGene00015671</v>
      </c>
      <c r="B6874" s="9" t="str">
        <f>HYPERLINK("http://www.ncbi.nlm.nih.gov/gene/182491", "182491")</f>
        <v>182491</v>
      </c>
      <c r="C6874" s="9"/>
      <c r="D6874" t="str">
        <f>"C10B5.3"</f>
        <v>C10B5.3</v>
      </c>
      <c r="F6874" t="s">
        <v>11</v>
      </c>
      <c r="H6874" s="12">
        <v>-1.1328676458175999</v>
      </c>
      <c r="I6874" s="20">
        <v>-0.68361786254242496</v>
      </c>
      <c r="J6874" s="28">
        <v>0.49421650216818602</v>
      </c>
      <c r="K6874" s="29">
        <v>0.98289565623980701</v>
      </c>
    </row>
    <row r="6875" spans="1:11" x14ac:dyDescent="0.35">
      <c r="A6875" s="9" t="str">
        <f>HYPERLINK("http://www.ensembl.org/id/WBGene00201200", "WBGene00201200")</f>
        <v>WBGene00201200</v>
      </c>
      <c r="B6875" s="9"/>
      <c r="C6875" s="9"/>
      <c r="D6875" t="str">
        <f>"C10C5.11"</f>
        <v>C10C5.11</v>
      </c>
      <c r="F6875" t="s">
        <v>481</v>
      </c>
      <c r="H6875" s="12">
        <v>3.6645215954135</v>
      </c>
      <c r="I6875" s="20">
        <v>0.37967131826092498</v>
      </c>
      <c r="J6875" s="28">
        <v>0.70418941338960395</v>
      </c>
      <c r="K6875" s="29">
        <v>0.98289565623980701</v>
      </c>
    </row>
    <row r="6876" spans="1:11" x14ac:dyDescent="0.35">
      <c r="A6876" s="9" t="str">
        <f>HYPERLINK("http://www.ensembl.org/id/WBGene00007508", "WBGene00007508")</f>
        <v>WBGene00007508</v>
      </c>
      <c r="B6876" s="9" t="str">
        <f>HYPERLINK("http://www.ncbi.nlm.nih.gov/gene/177768", "177768")</f>
        <v>177768</v>
      </c>
      <c r="C6876" s="9" t="str">
        <f>HYPERLINK("http://www.ncbi.nlm.nih.gov/gene/95", "95")</f>
        <v>95</v>
      </c>
      <c r="D6876" t="str">
        <f>"C10C5.4"</f>
        <v>C10C5.4</v>
      </c>
      <c r="E6876" t="s">
        <v>254</v>
      </c>
      <c r="F6876" t="s">
        <v>11</v>
      </c>
      <c r="G6876" t="s">
        <v>255</v>
      </c>
      <c r="H6876" s="12">
        <v>1.2211332325775599</v>
      </c>
      <c r="I6876" s="20">
        <v>1.02779020173449</v>
      </c>
      <c r="J6876" s="28">
        <v>0.30404852630477802</v>
      </c>
      <c r="K6876" s="29">
        <v>0.98289565623980701</v>
      </c>
    </row>
    <row r="6877" spans="1:11" x14ac:dyDescent="0.35">
      <c r="A6877" s="9" t="str">
        <f>HYPERLINK("http://www.ensembl.org/id/WBGene00007512", "WBGene00007512")</f>
        <v>WBGene00007512</v>
      </c>
      <c r="B6877" s="9" t="str">
        <f>HYPERLINK("http://www.ncbi.nlm.nih.gov/gene/182495", "182495")</f>
        <v>182495</v>
      </c>
      <c r="C6877" s="9"/>
      <c r="D6877" t="str">
        <f>"C10C6.3"</f>
        <v>C10C6.3</v>
      </c>
      <c r="F6877" t="s">
        <v>11</v>
      </c>
      <c r="H6877" s="12">
        <v>4.8330720971898202</v>
      </c>
      <c r="I6877" s="20">
        <v>0.53826283632608196</v>
      </c>
      <c r="J6877" s="28">
        <v>0.59039560452453599</v>
      </c>
      <c r="K6877" s="29">
        <v>0.98289565623980701</v>
      </c>
    </row>
    <row r="6878" spans="1:11" x14ac:dyDescent="0.35">
      <c r="A6878" s="9" t="str">
        <f>HYPERLINK("http://www.ensembl.org/id/WBGene00007515", "WBGene00007515")</f>
        <v>WBGene00007515</v>
      </c>
      <c r="B6878" s="9" t="str">
        <f>HYPERLINK("http://www.ncbi.nlm.nih.gov/gene/259598", "259598")</f>
        <v>259598</v>
      </c>
      <c r="C6878" s="9"/>
      <c r="D6878" t="str">
        <f>"C10C6.7"</f>
        <v>C10C6.7</v>
      </c>
      <c r="F6878" t="s">
        <v>11</v>
      </c>
      <c r="G6878" t="s">
        <v>25</v>
      </c>
      <c r="H6878" s="12">
        <v>-1.1911758168703801</v>
      </c>
      <c r="I6878" s="20">
        <v>-0.313172378643367</v>
      </c>
      <c r="J6878" s="28">
        <v>0.75414970231952305</v>
      </c>
      <c r="K6878" s="29">
        <v>0.98289565623980701</v>
      </c>
    </row>
    <row r="6879" spans="1:11" x14ac:dyDescent="0.35">
      <c r="A6879" s="9" t="str">
        <f>HYPERLINK("http://www.ensembl.org/id/WBGene00045154", "WBGene00045154")</f>
        <v>WBGene00045154</v>
      </c>
      <c r="B6879" s="9"/>
      <c r="C6879" s="9"/>
      <c r="D6879" t="str">
        <f>"C10C6.8"</f>
        <v>C10C6.8</v>
      </c>
      <c r="F6879" t="s">
        <v>2977</v>
      </c>
      <c r="H6879" s="12">
        <v>-8.0014360469151899</v>
      </c>
      <c r="I6879" s="20">
        <v>-0.61746222315259702</v>
      </c>
      <c r="J6879" s="28">
        <v>0.536929891129723</v>
      </c>
      <c r="K6879" s="29">
        <v>0.98289565623980701</v>
      </c>
    </row>
    <row r="6880" spans="1:11" x14ac:dyDescent="0.35">
      <c r="A6880" s="9" t="str">
        <f>HYPERLINK("http://www.ensembl.org/id/WBGene00045175", "WBGene00045175")</f>
        <v>WBGene00045175</v>
      </c>
      <c r="B6880" s="9"/>
      <c r="C6880" s="9"/>
      <c r="D6880" t="str">
        <f>"C10C6.9"</f>
        <v>C10C6.9</v>
      </c>
      <c r="F6880" t="s">
        <v>80</v>
      </c>
      <c r="H6880" s="12">
        <v>-6.15299323723832</v>
      </c>
      <c r="I6880" s="20">
        <v>-0.69206744853357904</v>
      </c>
      <c r="J6880" s="28">
        <v>0.48889497264889498</v>
      </c>
      <c r="K6880" s="29">
        <v>0.98289565623980701</v>
      </c>
    </row>
    <row r="6881" spans="1:11" x14ac:dyDescent="0.35">
      <c r="A6881" s="9" t="str">
        <f>HYPERLINK("http://www.ensembl.org/id/WBGene00015674", "WBGene00015674")</f>
        <v>WBGene00015674</v>
      </c>
      <c r="B6881" s="9" t="str">
        <f>HYPERLINK("http://www.ncbi.nlm.nih.gov/gene/182498", "182498")</f>
        <v>182498</v>
      </c>
      <c r="C6881" s="9"/>
      <c r="D6881" t="str">
        <f>"C10E2.4"</f>
        <v>C10E2.4</v>
      </c>
      <c r="F6881" t="s">
        <v>11</v>
      </c>
      <c r="H6881" s="12">
        <v>1.1654384648160601</v>
      </c>
      <c r="I6881" s="20">
        <v>0.26833406010831901</v>
      </c>
      <c r="J6881" s="28">
        <v>0.78844219104414504</v>
      </c>
      <c r="K6881" s="29">
        <v>0.98289565623980701</v>
      </c>
    </row>
    <row r="6882" spans="1:11" x14ac:dyDescent="0.35">
      <c r="A6882" s="9" t="str">
        <f>HYPERLINK("http://www.ensembl.org/id/WBGene00015675", "WBGene00015675")</f>
        <v>WBGene00015675</v>
      </c>
      <c r="B6882" s="9" t="str">
        <f>HYPERLINK("http://www.ncbi.nlm.nih.gov/gene/182499", "182499")</f>
        <v>182499</v>
      </c>
      <c r="C6882" s="9"/>
      <c r="D6882" t="str">
        <f>"C10E2.5"</f>
        <v>C10E2.5</v>
      </c>
      <c r="F6882" t="s">
        <v>11</v>
      </c>
      <c r="G6882" t="s">
        <v>25</v>
      </c>
      <c r="H6882" s="12">
        <v>1.3839096394833801</v>
      </c>
      <c r="I6882" s="20">
        <v>0.47797053698580499</v>
      </c>
      <c r="J6882" s="28">
        <v>0.63267117538600903</v>
      </c>
      <c r="K6882" s="29">
        <v>0.98289565623980701</v>
      </c>
    </row>
    <row r="6883" spans="1:11" x14ac:dyDescent="0.35">
      <c r="A6883" s="9" t="str">
        <f>HYPERLINK("http://www.ensembl.org/id/WBGene00015679", "WBGene00015679")</f>
        <v>WBGene00015679</v>
      </c>
      <c r="B6883" s="9" t="str">
        <f>HYPERLINK("http://www.ncbi.nlm.nih.gov/gene/178984", "178984")</f>
        <v>178984</v>
      </c>
      <c r="C6883" s="9"/>
      <c r="D6883" t="str">
        <f>"C10F3.7"</f>
        <v>C10F3.7</v>
      </c>
      <c r="F6883" t="s">
        <v>11</v>
      </c>
      <c r="H6883" s="12">
        <v>-1.8446493464538301</v>
      </c>
      <c r="I6883" s="20">
        <v>-0.59087622984029697</v>
      </c>
      <c r="J6883" s="28">
        <v>0.55460335378744796</v>
      </c>
      <c r="K6883" s="29">
        <v>0.98289565623980701</v>
      </c>
    </row>
    <row r="6884" spans="1:11" x14ac:dyDescent="0.35">
      <c r="A6884" s="9" t="str">
        <f>HYPERLINK("http://www.ensembl.org/id/WBGene00015690", "WBGene00015690")</f>
        <v>WBGene00015690</v>
      </c>
      <c r="B6884" s="9" t="str">
        <f>HYPERLINK("http://www.ncbi.nlm.nih.gov/gene/182507", "182507")</f>
        <v>182507</v>
      </c>
      <c r="C6884" s="9"/>
      <c r="D6884" t="str">
        <f>"C10G11.10"</f>
        <v>C10G11.10</v>
      </c>
      <c r="F6884" t="s">
        <v>11</v>
      </c>
      <c r="G6884" t="s">
        <v>25</v>
      </c>
      <c r="H6884" s="12">
        <v>-17.512564306685199</v>
      </c>
      <c r="I6884" s="20">
        <v>-1.0277957511909199</v>
      </c>
      <c r="J6884" s="28">
        <v>0.30404591531485903</v>
      </c>
      <c r="K6884" s="29">
        <v>0.98289565623980701</v>
      </c>
    </row>
    <row r="6885" spans="1:11" x14ac:dyDescent="0.35">
      <c r="A6885" s="9" t="str">
        <f>HYPERLINK("http://www.ensembl.org/id/WBGene00195352", "WBGene00195352")</f>
        <v>WBGene00195352</v>
      </c>
      <c r="B6885" s="9"/>
      <c r="C6885" s="9"/>
      <c r="D6885" t="str">
        <f>"C10G11.12"</f>
        <v>C10G11.12</v>
      </c>
      <c r="F6885" t="s">
        <v>481</v>
      </c>
      <c r="H6885" s="12">
        <v>4.4368407117627902</v>
      </c>
      <c r="I6885" s="20">
        <v>0.43709475933309699</v>
      </c>
      <c r="J6885" s="28">
        <v>0.66204262779770495</v>
      </c>
      <c r="K6885" s="29">
        <v>0.98289565623980701</v>
      </c>
    </row>
    <row r="6886" spans="1:11" x14ac:dyDescent="0.35">
      <c r="A6886" s="9" t="str">
        <f>HYPERLINK("http://www.ensembl.org/id/WBGene00199670", "WBGene00199670")</f>
        <v>WBGene00199670</v>
      </c>
      <c r="B6886" s="9"/>
      <c r="C6886" s="9"/>
      <c r="D6886" t="str">
        <f>"C10G11.14"</f>
        <v>C10G11.14</v>
      </c>
      <c r="F6886" t="s">
        <v>481</v>
      </c>
      <c r="H6886" s="12">
        <v>3.5227018545059199</v>
      </c>
      <c r="I6886" s="20">
        <v>0.36849691206929103</v>
      </c>
      <c r="J6886" s="28">
        <v>0.71250274722433404</v>
      </c>
      <c r="K6886" s="29">
        <v>0.98289565623980701</v>
      </c>
    </row>
    <row r="6887" spans="1:11" x14ac:dyDescent="0.35">
      <c r="A6887" s="9" t="str">
        <f>HYPERLINK("http://www.ensembl.org/id/WBGene00015688", "WBGene00015688")</f>
        <v>WBGene00015688</v>
      </c>
      <c r="B6887" s="9" t="str">
        <f>HYPERLINK("http://www.ncbi.nlm.nih.gov/gene/172324", "172324")</f>
        <v>172324</v>
      </c>
      <c r="C6887" s="9"/>
      <c r="D6887" t="str">
        <f>"C10G11.8"</f>
        <v>C10G11.8</v>
      </c>
      <c r="F6887" t="s">
        <v>11</v>
      </c>
      <c r="G6887" t="s">
        <v>4698</v>
      </c>
      <c r="H6887" s="12">
        <v>1.4788835235981901</v>
      </c>
      <c r="I6887" s="20">
        <v>0.93262145338014901</v>
      </c>
      <c r="J6887" s="28">
        <v>0.35101545262945699</v>
      </c>
      <c r="K6887" s="29">
        <v>0.98289565623980701</v>
      </c>
    </row>
    <row r="6888" spans="1:11" x14ac:dyDescent="0.35">
      <c r="A6888" s="9" t="str">
        <f>HYPERLINK("http://www.ensembl.org/id/WBGene00201323", "WBGene00201323")</f>
        <v>WBGene00201323</v>
      </c>
      <c r="B6888" s="9"/>
      <c r="C6888" s="9"/>
      <c r="D6888" t="str">
        <f>"C10G6.52"</f>
        <v>C10G6.52</v>
      </c>
      <c r="F6888" t="s">
        <v>481</v>
      </c>
      <c r="H6888" s="12">
        <v>-5.4967879193631202</v>
      </c>
      <c r="I6888" s="20">
        <v>-0.50254160819837501</v>
      </c>
      <c r="J6888" s="28">
        <v>0.61528659178453604</v>
      </c>
      <c r="K6888" s="29">
        <v>0.98289565623980701</v>
      </c>
    </row>
    <row r="6889" spans="1:11" x14ac:dyDescent="0.35">
      <c r="A6889" s="9" t="str">
        <f>HYPERLINK("http://www.ensembl.org/id/WBGene00015681", "WBGene00015681")</f>
        <v>WBGene00015681</v>
      </c>
      <c r="B6889" s="9" t="str">
        <f>HYPERLINK("http://www.ncbi.nlm.nih.gov/gene/182501", "182501")</f>
        <v>182501</v>
      </c>
      <c r="C6889" s="9"/>
      <c r="D6889" t="str">
        <f>"C10G8.2"</f>
        <v>C10G8.2</v>
      </c>
      <c r="F6889" t="s">
        <v>11</v>
      </c>
      <c r="G6889" t="s">
        <v>50</v>
      </c>
      <c r="H6889" s="12">
        <v>10.8131830636529</v>
      </c>
      <c r="I6889" s="20">
        <v>0.70982715185838596</v>
      </c>
      <c r="J6889" s="28">
        <v>0.477811329444844</v>
      </c>
      <c r="K6889" s="29">
        <v>0.98289565623980701</v>
      </c>
    </row>
    <row r="6890" spans="1:11" x14ac:dyDescent="0.35">
      <c r="A6890" s="9" t="str">
        <f>HYPERLINK("http://www.ensembl.org/id/WBGene00015682", "WBGene00015682")</f>
        <v>WBGene00015682</v>
      </c>
      <c r="B6890" s="9" t="str">
        <f>HYPERLINK("http://www.ncbi.nlm.nih.gov/gene/182502", "182502")</f>
        <v>182502</v>
      </c>
      <c r="C6890" s="9"/>
      <c r="D6890" t="str">
        <f>"C10G8.3"</f>
        <v>C10G8.3</v>
      </c>
      <c r="F6890" t="s">
        <v>11</v>
      </c>
      <c r="G6890" t="s">
        <v>50</v>
      </c>
      <c r="H6890" s="12">
        <v>1.51444907212293</v>
      </c>
      <c r="I6890" s="20">
        <v>0.75763471047812303</v>
      </c>
      <c r="J6890" s="28">
        <v>0.44866969462957201</v>
      </c>
      <c r="K6890" s="29">
        <v>0.98289565623980701</v>
      </c>
    </row>
    <row r="6891" spans="1:11" x14ac:dyDescent="0.35">
      <c r="A6891" s="9" t="str">
        <f>HYPERLINK("http://www.ensembl.org/id/WBGene00015684", "WBGene00015684")</f>
        <v>WBGene00015684</v>
      </c>
      <c r="B6891" s="9" t="str">
        <f>HYPERLINK("http://www.ncbi.nlm.nih.gov/gene/178920", "178920")</f>
        <v>178920</v>
      </c>
      <c r="C6891" s="9"/>
      <c r="D6891" t="str">
        <f>"C10G8.8"</f>
        <v>C10G8.8</v>
      </c>
      <c r="F6891" t="s">
        <v>11</v>
      </c>
      <c r="H6891" s="12">
        <v>1.05786718047715</v>
      </c>
      <c r="I6891" s="20">
        <v>0.27013888233182898</v>
      </c>
      <c r="J6891" s="28">
        <v>0.78705340991276396</v>
      </c>
      <c r="K6891" s="29">
        <v>0.98289565623980701</v>
      </c>
    </row>
    <row r="6892" spans="1:11" x14ac:dyDescent="0.35">
      <c r="A6892" s="9" t="str">
        <f>HYPERLINK("http://www.ensembl.org/id/WBGene00198526", "WBGene00198526")</f>
        <v>WBGene00198526</v>
      </c>
      <c r="B6892" s="9"/>
      <c r="C6892" s="9"/>
      <c r="D6892" t="str">
        <f>"C10G8.9"</f>
        <v>C10G8.9</v>
      </c>
      <c r="F6892" t="s">
        <v>481</v>
      </c>
      <c r="H6892" s="12">
        <v>-3.5819448292659501</v>
      </c>
      <c r="I6892" s="20">
        <v>-0.37337717500031398</v>
      </c>
      <c r="J6892" s="28">
        <v>0.70886774492290605</v>
      </c>
      <c r="K6892" s="29">
        <v>0.98289565623980701</v>
      </c>
    </row>
    <row r="6893" spans="1:11" x14ac:dyDescent="0.35">
      <c r="A6893" s="9" t="str">
        <f>HYPERLINK("http://www.ensembl.org/id/WBGene00195426", "WBGene00195426")</f>
        <v>WBGene00195426</v>
      </c>
      <c r="B6893" s="9"/>
      <c r="C6893" s="9"/>
      <c r="D6893" t="str">
        <f>"C10H11.11"</f>
        <v>C10H11.11</v>
      </c>
      <c r="F6893" t="s">
        <v>481</v>
      </c>
      <c r="H6893" s="12">
        <v>3.5227018545059199</v>
      </c>
      <c r="I6893" s="20">
        <v>0.36849691206929103</v>
      </c>
      <c r="J6893" s="28">
        <v>0.71250274722433404</v>
      </c>
      <c r="K6893" s="29">
        <v>0.98289565623980701</v>
      </c>
    </row>
    <row r="6894" spans="1:11" x14ac:dyDescent="0.35">
      <c r="A6894" s="9" t="str">
        <f>HYPERLINK("http://www.ensembl.org/id/WBGene00201765", "WBGene00201765")</f>
        <v>WBGene00201765</v>
      </c>
      <c r="B6894" s="9"/>
      <c r="C6894" s="9"/>
      <c r="D6894" t="str">
        <f>"C10H11.13"</f>
        <v>C10H11.13</v>
      </c>
      <c r="F6894" t="s">
        <v>481</v>
      </c>
      <c r="H6894" s="12">
        <v>-5.4967879193631202</v>
      </c>
      <c r="I6894" s="20">
        <v>-0.50254160819837501</v>
      </c>
      <c r="J6894" s="28">
        <v>0.61528659178453604</v>
      </c>
      <c r="K6894" s="29">
        <v>0.98289565623980701</v>
      </c>
    </row>
    <row r="6895" spans="1:11" x14ac:dyDescent="0.35">
      <c r="A6895" s="9" t="str">
        <f>HYPERLINK("http://www.ensembl.org/id/WBGene00015696", "WBGene00015696")</f>
        <v>WBGene00015696</v>
      </c>
      <c r="B6895" s="9" t="str">
        <f>HYPERLINK("http://www.ncbi.nlm.nih.gov/gene/3565564", "3565564")</f>
        <v>3565564</v>
      </c>
      <c r="C6895" s="9"/>
      <c r="D6895" t="str">
        <f>"C10H11.7"</f>
        <v>C10H11.7</v>
      </c>
      <c r="E6895" t="s">
        <v>899</v>
      </c>
      <c r="F6895" t="s">
        <v>11</v>
      </c>
      <c r="G6895" t="s">
        <v>3403</v>
      </c>
      <c r="H6895" s="12">
        <v>-2.5743141496578499</v>
      </c>
      <c r="I6895" s="20">
        <v>-0.94213721411920104</v>
      </c>
      <c r="J6895" s="28">
        <v>0.34612239382135801</v>
      </c>
      <c r="K6895" s="29">
        <v>0.98289565623980701</v>
      </c>
    </row>
    <row r="6896" spans="1:11" x14ac:dyDescent="0.35">
      <c r="A6896" s="9" t="str">
        <f>HYPERLINK("http://www.ensembl.org/id/WBGene00015701", "WBGene00015701")</f>
        <v>WBGene00015701</v>
      </c>
      <c r="B6896" s="9" t="str">
        <f>HYPERLINK("http://www.ncbi.nlm.nih.gov/gene/182512", "182512")</f>
        <v>182512</v>
      </c>
      <c r="C6896" s="9"/>
      <c r="D6896" t="str">
        <f>"C11D2.3"</f>
        <v>C11D2.3</v>
      </c>
      <c r="F6896" t="s">
        <v>11</v>
      </c>
      <c r="H6896" s="12">
        <v>1.6301035959628201</v>
      </c>
      <c r="I6896" s="20">
        <v>0.74873346825477805</v>
      </c>
      <c r="J6896" s="28">
        <v>0.45401786719091197</v>
      </c>
      <c r="K6896" s="29">
        <v>0.98289565623980701</v>
      </c>
    </row>
    <row r="6897" spans="1:11" x14ac:dyDescent="0.35">
      <c r="A6897" s="9" t="str">
        <f>HYPERLINK("http://www.ensembl.org/id/WBGene00015703", "WBGene00015703")</f>
        <v>WBGene00015703</v>
      </c>
      <c r="B6897" s="9" t="str">
        <f>HYPERLINK("http://www.ncbi.nlm.nih.gov/gene/177377", "177377")</f>
        <v>177377</v>
      </c>
      <c r="C6897" s="9" t="str">
        <f>HYPERLINK("http://www.ncbi.nlm.nih.gov/gene/28985", "28985")</f>
        <v>28985</v>
      </c>
      <c r="D6897" t="str">
        <f>"C11D2.7"</f>
        <v>C11D2.7</v>
      </c>
      <c r="F6897" t="s">
        <v>11</v>
      </c>
      <c r="G6897" t="s">
        <v>6434</v>
      </c>
      <c r="H6897" s="12">
        <v>-1.0690852755073601</v>
      </c>
      <c r="I6897" s="20">
        <v>-0.33060117743154799</v>
      </c>
      <c r="J6897" s="28">
        <v>0.74094575672141105</v>
      </c>
      <c r="K6897" s="29">
        <v>0.98289565623980701</v>
      </c>
    </row>
    <row r="6898" spans="1:11" x14ac:dyDescent="0.35">
      <c r="A6898" s="9" t="str">
        <f>HYPERLINK("http://www.ensembl.org/id/WBGene00199702", "WBGene00199702")</f>
        <v>WBGene00199702</v>
      </c>
      <c r="B6898" s="9"/>
      <c r="C6898" s="9"/>
      <c r="D6898" t="str">
        <f>"C11E4.11"</f>
        <v>C11E4.11</v>
      </c>
      <c r="F6898" t="s">
        <v>481</v>
      </c>
      <c r="H6898" s="12">
        <v>-2.4991590031922399</v>
      </c>
      <c r="I6898" s="20">
        <v>-0.26577412737581302</v>
      </c>
      <c r="J6898" s="28">
        <v>0.79041317015736101</v>
      </c>
      <c r="K6898" s="29">
        <v>0.98289565623980701</v>
      </c>
    </row>
    <row r="6899" spans="1:11" x14ac:dyDescent="0.35">
      <c r="A6899" s="9" t="str">
        <f>HYPERLINK("http://www.ensembl.org/id/WBGene00200513", "WBGene00200513")</f>
        <v>WBGene00200513</v>
      </c>
      <c r="B6899" s="9"/>
      <c r="C6899" s="9"/>
      <c r="D6899" t="str">
        <f>"C11E4.12"</f>
        <v>C11E4.12</v>
      </c>
      <c r="F6899" t="s">
        <v>481</v>
      </c>
      <c r="H6899" s="12">
        <v>2.3893468495514898</v>
      </c>
      <c r="I6899" s="20">
        <v>0.25323547253672701</v>
      </c>
      <c r="J6899" s="28">
        <v>0.80008625651646104</v>
      </c>
      <c r="K6899" s="29">
        <v>0.98289565623980701</v>
      </c>
    </row>
    <row r="6900" spans="1:11" x14ac:dyDescent="0.35">
      <c r="A6900" s="9" t="str">
        <f>HYPERLINK("http://www.ensembl.org/id/WBGene00007520", "WBGene00007520")</f>
        <v>WBGene00007520</v>
      </c>
      <c r="B6900" s="9" t="str">
        <f>HYPERLINK("http://www.ncbi.nlm.nih.gov/gene/181179", "181179")</f>
        <v>181179</v>
      </c>
      <c r="C6900" s="9"/>
      <c r="D6900" t="str">
        <f>"C11E4.6"</f>
        <v>C11E4.6</v>
      </c>
      <c r="F6900" t="s">
        <v>11</v>
      </c>
      <c r="G6900" t="s">
        <v>3526</v>
      </c>
      <c r="H6900" s="12">
        <v>-1.13515611022068</v>
      </c>
      <c r="I6900" s="20">
        <v>-0.69246451349022498</v>
      </c>
      <c r="J6900" s="28">
        <v>0.488645663812243</v>
      </c>
      <c r="K6900" s="29">
        <v>0.98289565623980701</v>
      </c>
    </row>
    <row r="6901" spans="1:11" x14ac:dyDescent="0.35">
      <c r="A6901" s="9" t="str">
        <f>HYPERLINK("http://www.ensembl.org/id/WBGene00007522", "WBGene00007522")</f>
        <v>WBGene00007522</v>
      </c>
      <c r="B6901" s="9" t="str">
        <f>HYPERLINK("http://www.ncbi.nlm.nih.gov/gene/3565053", "3565053")</f>
        <v>3565053</v>
      </c>
      <c r="C6901" s="9"/>
      <c r="D6901" t="str">
        <f>"C11E4.8"</f>
        <v>C11E4.8</v>
      </c>
      <c r="F6901" t="s">
        <v>11</v>
      </c>
      <c r="H6901" s="12">
        <v>1.34292883909786</v>
      </c>
      <c r="I6901" s="20">
        <v>0.57742938908612895</v>
      </c>
      <c r="J6901" s="28">
        <v>0.56364942571260501</v>
      </c>
      <c r="K6901" s="29">
        <v>0.98289565623980701</v>
      </c>
    </row>
    <row r="6902" spans="1:11" x14ac:dyDescent="0.35">
      <c r="A6902" s="9" t="str">
        <f>HYPERLINK("http://www.ensembl.org/id/WBGene00007525", "WBGene00007525")</f>
        <v>WBGene00007525</v>
      </c>
      <c r="B6902" s="9" t="str">
        <f>HYPERLINK("http://www.ncbi.nlm.nih.gov/gene/182521", "182521")</f>
        <v>182521</v>
      </c>
      <c r="C6902" s="9"/>
      <c r="D6902" t="str">
        <f>"C11G10.1"</f>
        <v>C11G10.1</v>
      </c>
      <c r="F6902" t="s">
        <v>11</v>
      </c>
      <c r="G6902" t="s">
        <v>25</v>
      </c>
      <c r="H6902" s="12">
        <v>1.5377374886767901</v>
      </c>
      <c r="I6902" s="20">
        <v>1.1800410562235999</v>
      </c>
      <c r="J6902" s="28">
        <v>0.23798388616855301</v>
      </c>
      <c r="K6902" s="29">
        <v>0.98289565623980701</v>
      </c>
    </row>
    <row r="6903" spans="1:11" x14ac:dyDescent="0.35">
      <c r="A6903" s="9" t="str">
        <f>HYPERLINK("http://www.ensembl.org/id/WBGene00007531", "WBGene00007531")</f>
        <v>WBGene00007531</v>
      </c>
      <c r="B6903" s="9" t="str">
        <f>HYPERLINK("http://www.ncbi.nlm.nih.gov/gene/182526", "182526")</f>
        <v>182526</v>
      </c>
      <c r="C6903" s="9" t="str">
        <f>HYPERLINK("http://www.ncbi.nlm.nih.gov/gene/10695", "10695")</f>
        <v>10695</v>
      </c>
      <c r="D6903" t="str">
        <f>"C11H1.7"</f>
        <v>C11H1.7</v>
      </c>
      <c r="F6903" t="s">
        <v>11</v>
      </c>
      <c r="G6903" t="s">
        <v>5276</v>
      </c>
      <c r="H6903" s="12">
        <v>1.1985282390832801</v>
      </c>
      <c r="I6903" s="20">
        <v>0.58367115932124802</v>
      </c>
      <c r="J6903" s="28">
        <v>0.55944157459340305</v>
      </c>
      <c r="K6903" s="29">
        <v>0.98289565623980701</v>
      </c>
    </row>
    <row r="6904" spans="1:11" x14ac:dyDescent="0.35">
      <c r="A6904" s="9" t="str">
        <f>HYPERLINK("http://www.ensembl.org/id/WBGene00015711", "WBGene00015711")</f>
        <v>WBGene00015711</v>
      </c>
      <c r="B6904" s="9" t="str">
        <f>HYPERLINK("http://www.ncbi.nlm.nih.gov/gene/182539", "182539")</f>
        <v>182539</v>
      </c>
      <c r="C6904" s="9"/>
      <c r="D6904" t="str">
        <f>"C12D5.10"</f>
        <v>C12D5.10</v>
      </c>
      <c r="F6904" t="s">
        <v>11</v>
      </c>
      <c r="H6904" s="12">
        <v>3.7287515576388399</v>
      </c>
      <c r="I6904" s="20">
        <v>1.0717071867411301</v>
      </c>
      <c r="J6904" s="28">
        <v>0.28385157183206999</v>
      </c>
      <c r="K6904" s="29">
        <v>0.98289565623980701</v>
      </c>
    </row>
    <row r="6905" spans="1:11" x14ac:dyDescent="0.35">
      <c r="A6905" s="9" t="str">
        <f>HYPERLINK("http://www.ensembl.org/id/WBGene00015707", "WBGene00015707")</f>
        <v>WBGene00015707</v>
      </c>
      <c r="B6905" s="9" t="str">
        <f>HYPERLINK("http://www.ncbi.nlm.nih.gov/gene/182535", "182535")</f>
        <v>182535</v>
      </c>
      <c r="C6905" s="9"/>
      <c r="D6905" t="str">
        <f>"C12D5.4"</f>
        <v>C12D5.4</v>
      </c>
      <c r="F6905" t="s">
        <v>11</v>
      </c>
      <c r="H6905" s="12">
        <v>1.5013492768926899</v>
      </c>
      <c r="I6905" s="20">
        <v>0.67639839922489098</v>
      </c>
      <c r="J6905" s="28">
        <v>0.49878773332439802</v>
      </c>
      <c r="K6905" s="29">
        <v>0.98289565623980701</v>
      </c>
    </row>
    <row r="6906" spans="1:11" x14ac:dyDescent="0.35">
      <c r="A6906" s="9" t="str">
        <f>HYPERLINK("http://www.ensembl.org/id/WBGene00015708", "WBGene00015708")</f>
        <v>WBGene00015708</v>
      </c>
      <c r="B6906" s="9" t="str">
        <f>HYPERLINK("http://www.ncbi.nlm.nih.gov/gene/182536", "182536")</f>
        <v>182536</v>
      </c>
      <c r="C6906" s="9"/>
      <c r="D6906" t="str">
        <f>"C12D5.5"</f>
        <v>C12D5.5</v>
      </c>
      <c r="F6906" t="s">
        <v>11</v>
      </c>
      <c r="H6906" s="12">
        <v>1.29029614465178</v>
      </c>
      <c r="I6906" s="20">
        <v>0.51695003368742898</v>
      </c>
      <c r="J6906" s="28">
        <v>0.60519103925956097</v>
      </c>
      <c r="K6906" s="29">
        <v>0.98289565623980701</v>
      </c>
    </row>
    <row r="6907" spans="1:11" x14ac:dyDescent="0.35">
      <c r="A6907" s="9" t="str">
        <f>HYPERLINK("http://www.ensembl.org/id/WBGene00007540", "WBGene00007540")</f>
        <v>WBGene00007540</v>
      </c>
      <c r="B6907" s="9" t="str">
        <f>HYPERLINK("http://www.ncbi.nlm.nih.gov/gene/3565167", "3565167")</f>
        <v>3565167</v>
      </c>
      <c r="C6907" s="9"/>
      <c r="D6907" t="str">
        <f>"C12D8.13"</f>
        <v>C12D8.13</v>
      </c>
      <c r="F6907" t="s">
        <v>11</v>
      </c>
      <c r="G6907" t="s">
        <v>25</v>
      </c>
      <c r="H6907" s="12">
        <v>2.0539558938363598</v>
      </c>
      <c r="I6907" s="20">
        <v>0.89906980048621998</v>
      </c>
      <c r="J6907" s="28">
        <v>0.36861548263237998</v>
      </c>
      <c r="K6907" s="29">
        <v>0.98289565623980701</v>
      </c>
    </row>
    <row r="6908" spans="1:11" x14ac:dyDescent="0.35">
      <c r="A6908" s="9" t="str">
        <f>HYPERLINK("http://www.ensembl.org/id/WBGene00007542", "WBGene00007542")</f>
        <v>WBGene00007542</v>
      </c>
      <c r="B6908" s="9" t="str">
        <f>HYPERLINK("http://www.ncbi.nlm.nih.gov/gene/3565391", "3565391")</f>
        <v>3565391</v>
      </c>
      <c r="C6908" s="9"/>
      <c r="D6908" t="str">
        <f>"C12D8.15"</f>
        <v>C12D8.15</v>
      </c>
      <c r="F6908" t="s">
        <v>11</v>
      </c>
      <c r="G6908" t="s">
        <v>25</v>
      </c>
      <c r="H6908" s="12">
        <v>3.28624938312884</v>
      </c>
      <c r="I6908" s="20">
        <v>0.36379512681977599</v>
      </c>
      <c r="J6908" s="28">
        <v>0.716011001908614</v>
      </c>
      <c r="K6908" s="29">
        <v>0.98289565623980701</v>
      </c>
    </row>
    <row r="6909" spans="1:11" x14ac:dyDescent="0.35">
      <c r="A6909" s="9" t="str">
        <f>HYPERLINK("http://www.ensembl.org/id/WBGene00194780", "WBGene00194780")</f>
        <v>WBGene00194780</v>
      </c>
      <c r="B6909" s="9" t="str">
        <f>HYPERLINK("http://www.ncbi.nlm.nih.gov/gene/13214681", "13214681")</f>
        <v>13214681</v>
      </c>
      <c r="C6909" s="9"/>
      <c r="D6909" t="str">
        <f>"C12D8.20"</f>
        <v>C12D8.20</v>
      </c>
      <c r="F6909" t="s">
        <v>11</v>
      </c>
      <c r="G6909" t="s">
        <v>25</v>
      </c>
      <c r="H6909" s="12">
        <v>5.4058944669092801</v>
      </c>
      <c r="I6909" s="20">
        <v>0.49762513753689303</v>
      </c>
      <c r="J6909" s="28">
        <v>0.61874828254921799</v>
      </c>
      <c r="K6909" s="29">
        <v>0.98289565623980701</v>
      </c>
    </row>
    <row r="6910" spans="1:11" x14ac:dyDescent="0.35">
      <c r="A6910" s="9" t="str">
        <f>HYPERLINK("http://www.ensembl.org/id/WBGene00195157", "WBGene00195157")</f>
        <v>WBGene00195157</v>
      </c>
      <c r="B6910" s="9" t="str">
        <f>HYPERLINK("http://www.ncbi.nlm.nih.gov/gene/13214696", "13214696")</f>
        <v>13214696</v>
      </c>
      <c r="C6910" s="9"/>
      <c r="D6910" t="str">
        <f>"C12D8.21"</f>
        <v>C12D8.21</v>
      </c>
      <c r="F6910" t="s">
        <v>11</v>
      </c>
      <c r="H6910" s="12">
        <v>18.675346917252099</v>
      </c>
      <c r="I6910" s="20">
        <v>1.0483735932338201</v>
      </c>
      <c r="J6910" s="28">
        <v>0.294466515011581</v>
      </c>
      <c r="K6910" s="29">
        <v>0.98289565623980701</v>
      </c>
    </row>
    <row r="6911" spans="1:11" x14ac:dyDescent="0.35">
      <c r="A6911" s="9" t="str">
        <f>HYPERLINK("http://www.ensembl.org/id/WBGene00014676", "WBGene00014676")</f>
        <v>WBGene00014676</v>
      </c>
      <c r="B6911" s="9"/>
      <c r="C6911" s="9"/>
      <c r="D6911" t="str">
        <f>"C12D8.7"</f>
        <v>C12D8.7</v>
      </c>
      <c r="F6911" t="s">
        <v>80</v>
      </c>
      <c r="H6911" s="12">
        <v>2.3893468495514898</v>
      </c>
      <c r="I6911" s="20">
        <v>0.25323547253672701</v>
      </c>
      <c r="J6911" s="28">
        <v>0.80008625651646104</v>
      </c>
      <c r="K6911" s="29">
        <v>0.98289565623980701</v>
      </c>
    </row>
    <row r="6912" spans="1:11" x14ac:dyDescent="0.35">
      <c r="A6912" s="9" t="str">
        <f>HYPERLINK("http://www.ensembl.org/id/WBGene00007538", "WBGene00007538")</f>
        <v>WBGene00007538</v>
      </c>
      <c r="B6912" s="9" t="str">
        <f>HYPERLINK("http://www.ncbi.nlm.nih.gov/gene/182543", "182543")</f>
        <v>182543</v>
      </c>
      <c r="C6912" s="9"/>
      <c r="D6912" t="str">
        <f>"C12D8.9"</f>
        <v>C12D8.9</v>
      </c>
      <c r="F6912" t="s">
        <v>11</v>
      </c>
      <c r="H6912" s="12">
        <v>6.0734792969398299</v>
      </c>
      <c r="I6912" s="20">
        <v>0.67255372242173705</v>
      </c>
      <c r="J6912" s="28">
        <v>0.50123125150075398</v>
      </c>
      <c r="K6912" s="29">
        <v>0.98289565623980701</v>
      </c>
    </row>
    <row r="6913" spans="1:11" x14ac:dyDescent="0.35">
      <c r="A6913" s="9" t="str">
        <f>HYPERLINK("http://www.ensembl.org/id/WBGene00015728", "WBGene00015728")</f>
        <v>WBGene00015728</v>
      </c>
      <c r="B6913" s="9" t="str">
        <f>HYPERLINK("http://www.ncbi.nlm.nih.gov/gene/173514", "173514")</f>
        <v>173514</v>
      </c>
      <c r="C6913" s="9"/>
      <c r="D6913" t="str">
        <f>"C13A10.1"</f>
        <v>C13A10.1</v>
      </c>
      <c r="F6913" t="s">
        <v>11</v>
      </c>
      <c r="G6913" t="s">
        <v>25</v>
      </c>
      <c r="H6913" s="12">
        <v>-1.2263561126258899</v>
      </c>
      <c r="I6913" s="20">
        <v>-0.60145872641055298</v>
      </c>
      <c r="J6913" s="28">
        <v>0.54753449410056498</v>
      </c>
      <c r="K6913" s="29">
        <v>0.98289565623980701</v>
      </c>
    </row>
    <row r="6914" spans="1:11" x14ac:dyDescent="0.35">
      <c r="A6914" s="9" t="str">
        <f>HYPERLINK("http://www.ensembl.org/id/WBGene00015729", "WBGene00015729")</f>
        <v>WBGene00015729</v>
      </c>
      <c r="B6914" s="9" t="str">
        <f>HYPERLINK("http://www.ncbi.nlm.nih.gov/gene/182559", "182559")</f>
        <v>182559</v>
      </c>
      <c r="C6914" s="9"/>
      <c r="D6914" t="str">
        <f>"C13A10.2"</f>
        <v>C13A10.2</v>
      </c>
      <c r="F6914" t="s">
        <v>11</v>
      </c>
      <c r="H6914" s="12">
        <v>-1.21185982517621</v>
      </c>
      <c r="I6914" s="20">
        <v>-0.83740230927422299</v>
      </c>
      <c r="J6914" s="28">
        <v>0.40236646814924398</v>
      </c>
      <c r="K6914" s="29">
        <v>0.98289565623980701</v>
      </c>
    </row>
    <row r="6915" spans="1:11" x14ac:dyDescent="0.35">
      <c r="A6915" s="9" t="str">
        <f>HYPERLINK("http://www.ensembl.org/id/WBGene00015718", "WBGene00015718")</f>
        <v>WBGene00015718</v>
      </c>
      <c r="B6915" s="9" t="str">
        <f>HYPERLINK("http://www.ncbi.nlm.nih.gov/gene/182549", "182549")</f>
        <v>182549</v>
      </c>
      <c r="C6915" s="9"/>
      <c r="D6915" t="str">
        <f>"C13A2.1"</f>
        <v>C13A2.1</v>
      </c>
      <c r="F6915" t="s">
        <v>11</v>
      </c>
      <c r="G6915" t="s">
        <v>1212</v>
      </c>
      <c r="H6915" s="12">
        <v>2.1987967223659299</v>
      </c>
      <c r="I6915" s="20">
        <v>0.37517293522825701</v>
      </c>
      <c r="J6915" s="28">
        <v>0.70753185713437405</v>
      </c>
      <c r="K6915" s="29">
        <v>0.98289565623980701</v>
      </c>
    </row>
    <row r="6916" spans="1:11" x14ac:dyDescent="0.35">
      <c r="A6916" s="9" t="str">
        <f>HYPERLINK("http://www.ensembl.org/id/WBGene00044547", "WBGene00044547")</f>
        <v>WBGene00044547</v>
      </c>
      <c r="B6916" s="9" t="str">
        <f>HYPERLINK("http://www.ncbi.nlm.nih.gov/gene/3896839", "3896839")</f>
        <v>3896839</v>
      </c>
      <c r="C6916" s="9"/>
      <c r="D6916" t="str">
        <f>"C13A2.12"</f>
        <v>C13A2.12</v>
      </c>
      <c r="F6916" t="s">
        <v>11</v>
      </c>
      <c r="G6916" t="s">
        <v>138</v>
      </c>
      <c r="H6916" s="12">
        <v>-1.9766255981929599</v>
      </c>
      <c r="I6916" s="20">
        <v>-0.66646581343056199</v>
      </c>
      <c r="J6916" s="28">
        <v>0.50511340801617199</v>
      </c>
      <c r="K6916" s="29">
        <v>0.98289565623980701</v>
      </c>
    </row>
    <row r="6917" spans="1:11" x14ac:dyDescent="0.35">
      <c r="A6917" s="9" t="str">
        <f>HYPERLINK("http://www.ensembl.org/id/WBGene00015720", "WBGene00015720")</f>
        <v>WBGene00015720</v>
      </c>
      <c r="B6917" s="9" t="str">
        <f>HYPERLINK("http://www.ncbi.nlm.nih.gov/gene/182551", "182551")</f>
        <v>182551</v>
      </c>
      <c r="C6917" s="9"/>
      <c r="D6917" t="str">
        <f>"C13A2.3"</f>
        <v>C13A2.3</v>
      </c>
      <c r="F6917" t="s">
        <v>11</v>
      </c>
      <c r="G6917" t="s">
        <v>25</v>
      </c>
      <c r="H6917" s="12">
        <v>-2.7656488020616301</v>
      </c>
      <c r="I6917" s="20">
        <v>-0.59733651745340999</v>
      </c>
      <c r="J6917" s="28">
        <v>0.55028272834755898</v>
      </c>
      <c r="K6917" s="29">
        <v>0.98289565623980701</v>
      </c>
    </row>
    <row r="6918" spans="1:11" x14ac:dyDescent="0.35">
      <c r="A6918" s="9" t="str">
        <f>HYPERLINK("http://www.ensembl.org/id/WBGene00015722", "WBGene00015722")</f>
        <v>WBGene00015722</v>
      </c>
      <c r="B6918" s="9" t="str">
        <f>HYPERLINK("http://www.ncbi.nlm.nih.gov/gene/182553", "182553")</f>
        <v>182553</v>
      </c>
      <c r="C6918" s="9"/>
      <c r="D6918" t="str">
        <f>"C13A2.5"</f>
        <v>C13A2.5</v>
      </c>
      <c r="F6918" t="s">
        <v>11</v>
      </c>
      <c r="G6918" t="s">
        <v>1686</v>
      </c>
      <c r="H6918" s="12">
        <v>-5.5794491025289696</v>
      </c>
      <c r="I6918" s="20">
        <v>-0.504738274115201</v>
      </c>
      <c r="J6918" s="28">
        <v>0.61374267489732603</v>
      </c>
      <c r="K6918" s="29">
        <v>0.98289565623980701</v>
      </c>
    </row>
    <row r="6919" spans="1:11" x14ac:dyDescent="0.35">
      <c r="A6919" s="9" t="str">
        <f>HYPERLINK("http://www.ensembl.org/id/WBGene00015724", "WBGene00015724")</f>
        <v>WBGene00015724</v>
      </c>
      <c r="B6919" s="9" t="str">
        <f>HYPERLINK("http://www.ncbi.nlm.nih.gov/gene/182555", "182555")</f>
        <v>182555</v>
      </c>
      <c r="C6919" s="9"/>
      <c r="D6919" t="str">
        <f>"C13A2.7"</f>
        <v>C13A2.7</v>
      </c>
      <c r="F6919" t="s">
        <v>11</v>
      </c>
      <c r="G6919" t="s">
        <v>25</v>
      </c>
      <c r="H6919" s="12">
        <v>2.3893468495514898</v>
      </c>
      <c r="I6919" s="20">
        <v>0.25323547253672701</v>
      </c>
      <c r="J6919" s="28">
        <v>0.80008625651646104</v>
      </c>
      <c r="K6919" s="29">
        <v>0.98289565623980701</v>
      </c>
    </row>
    <row r="6920" spans="1:11" x14ac:dyDescent="0.35">
      <c r="A6920" s="9" t="str">
        <f>HYPERLINK("http://www.ensembl.org/id/WBGene00023235", "WBGene00023235")</f>
        <v>WBGene00023235</v>
      </c>
      <c r="B6920" s="9"/>
      <c r="C6920" s="9"/>
      <c r="D6920" t="str">
        <f>"C13A2.8"</f>
        <v>C13A2.8</v>
      </c>
      <c r="F6920" t="s">
        <v>80</v>
      </c>
      <c r="H6920" s="12">
        <v>3.5227018545059199</v>
      </c>
      <c r="I6920" s="20">
        <v>0.36849691206929103</v>
      </c>
      <c r="J6920" s="28">
        <v>0.71250274722433404</v>
      </c>
      <c r="K6920" s="29">
        <v>0.98289565623980701</v>
      </c>
    </row>
    <row r="6921" spans="1:11" x14ac:dyDescent="0.35">
      <c r="A6921" s="9" t="str">
        <f>HYPERLINK("http://www.ensembl.org/id/WBGene00013948", "WBGene00013948")</f>
        <v>WBGene00013948</v>
      </c>
      <c r="B6921" s="9"/>
      <c r="C6921" s="9"/>
      <c r="D6921" t="str">
        <f>"C13B4.t1"</f>
        <v>C13B4.t1</v>
      </c>
      <c r="F6921" t="s">
        <v>4208</v>
      </c>
      <c r="H6921" s="12">
        <v>2.4578120077400301</v>
      </c>
      <c r="I6921" s="20">
        <v>0.26093350314551</v>
      </c>
      <c r="J6921" s="28">
        <v>0.79414378780213601</v>
      </c>
      <c r="K6921" s="29">
        <v>0.98289565623980701</v>
      </c>
    </row>
    <row r="6922" spans="1:11" x14ac:dyDescent="0.35">
      <c r="A6922" s="9" t="str">
        <f>HYPERLINK("http://www.ensembl.org/id/WBGene00007552", "WBGene00007552")</f>
        <v>WBGene00007552</v>
      </c>
      <c r="B6922" s="9" t="str">
        <f>HYPERLINK("http://www.ncbi.nlm.nih.gov/gene/182568", "182568")</f>
        <v>182568</v>
      </c>
      <c r="C6922" s="9"/>
      <c r="D6922" t="str">
        <f>"C13C12.2"</f>
        <v>C13C12.2</v>
      </c>
      <c r="F6922" t="s">
        <v>11</v>
      </c>
      <c r="H6922" s="12">
        <v>1.5430676582507501</v>
      </c>
      <c r="I6922" s="20">
        <v>0.85467498738261705</v>
      </c>
      <c r="J6922" s="28">
        <v>0.39273110135633599</v>
      </c>
      <c r="K6922" s="29">
        <v>0.98289565623980701</v>
      </c>
    </row>
    <row r="6923" spans="1:11" x14ac:dyDescent="0.35">
      <c r="A6923" s="9" t="str">
        <f>HYPERLINK("http://www.ensembl.org/id/WBGene00200967", "WBGene00200967")</f>
        <v>WBGene00200967</v>
      </c>
      <c r="B6923" s="9"/>
      <c r="C6923" s="9"/>
      <c r="D6923" t="str">
        <f>"C13C4.11"</f>
        <v>C13C4.11</v>
      </c>
      <c r="F6923" t="s">
        <v>481</v>
      </c>
      <c r="H6923" s="12">
        <v>-2.3929525098099198</v>
      </c>
      <c r="I6923" s="20">
        <v>-0.82663745326645199</v>
      </c>
      <c r="J6923" s="28">
        <v>0.40844258231868302</v>
      </c>
      <c r="K6923" s="29">
        <v>0.98289565623980701</v>
      </c>
    </row>
    <row r="6924" spans="1:11" x14ac:dyDescent="0.35">
      <c r="A6924" s="9" t="str">
        <f>HYPERLINK("http://www.ensembl.org/id/WBGene00202006", "WBGene00202006")</f>
        <v>WBGene00202006</v>
      </c>
      <c r="B6924" s="9"/>
      <c r="C6924" s="9"/>
      <c r="D6924" t="str">
        <f>"C13C4.12"</f>
        <v>C13C4.12</v>
      </c>
      <c r="F6924" t="s">
        <v>481</v>
      </c>
      <c r="H6924" s="12">
        <v>3.5227018545059199</v>
      </c>
      <c r="I6924" s="20">
        <v>0.36849691206929103</v>
      </c>
      <c r="J6924" s="28">
        <v>0.71250274722433404</v>
      </c>
      <c r="K6924" s="29">
        <v>0.98289565623980701</v>
      </c>
    </row>
    <row r="6925" spans="1:11" x14ac:dyDescent="0.35">
      <c r="A6925" s="9" t="str">
        <f>HYPERLINK("http://www.ensembl.org/id/WBGene00195250", "WBGene00195250")</f>
        <v>WBGene00195250</v>
      </c>
      <c r="B6925" s="9" t="str">
        <f>HYPERLINK("http://www.ncbi.nlm.nih.gov/gene/13215622", "13215622")</f>
        <v>13215622</v>
      </c>
      <c r="C6925" s="9"/>
      <c r="D6925" t="str">
        <f>"C13C4.8"</f>
        <v>C13C4.8</v>
      </c>
      <c r="F6925" t="s">
        <v>11</v>
      </c>
      <c r="G6925" t="s">
        <v>25</v>
      </c>
      <c r="H6925" s="12">
        <v>-3.7930494679524802</v>
      </c>
      <c r="I6925" s="20">
        <v>-0.76892132222015797</v>
      </c>
      <c r="J6925" s="28">
        <v>0.441940018706588</v>
      </c>
      <c r="K6925" s="29">
        <v>0.98289565623980701</v>
      </c>
    </row>
    <row r="6926" spans="1:11" x14ac:dyDescent="0.35">
      <c r="A6926" s="9" t="str">
        <f>HYPERLINK("http://www.ensembl.org/id/WBGene00015745", "WBGene00015745")</f>
        <v>WBGene00015745</v>
      </c>
      <c r="B6926" s="9" t="str">
        <f>HYPERLINK("http://www.ncbi.nlm.nih.gov/gene/182579", "182579")</f>
        <v>182579</v>
      </c>
      <c r="C6926" s="9"/>
      <c r="D6926" t="str">
        <f>"C13F10.6"</f>
        <v>C13F10.6</v>
      </c>
      <c r="F6926" t="s">
        <v>11</v>
      </c>
      <c r="H6926" s="12">
        <v>-1.29387290313721</v>
      </c>
      <c r="I6926" s="20">
        <v>-1.1421688651861199</v>
      </c>
      <c r="J6926" s="28">
        <v>0.25338383494232303</v>
      </c>
      <c r="K6926" s="29">
        <v>0.98289565623980701</v>
      </c>
    </row>
    <row r="6927" spans="1:11" x14ac:dyDescent="0.35">
      <c r="A6927" s="9" t="str">
        <f>HYPERLINK("http://www.ensembl.org/id/WBGene00015746", "WBGene00015746")</f>
        <v>WBGene00015746</v>
      </c>
      <c r="B6927" s="9" t="str">
        <f>HYPERLINK("http://www.ncbi.nlm.nih.gov/gene/179111", "179111")</f>
        <v>179111</v>
      </c>
      <c r="C6927" s="9"/>
      <c r="D6927" t="str">
        <f>"C13F10.7"</f>
        <v>C13F10.7</v>
      </c>
      <c r="F6927" t="s">
        <v>11</v>
      </c>
      <c r="G6927" t="s">
        <v>735</v>
      </c>
      <c r="H6927" s="12">
        <v>-1.2132747751389701</v>
      </c>
      <c r="I6927" s="20">
        <v>-0.91674601122816102</v>
      </c>
      <c r="J6927" s="28">
        <v>0.35927574942985901</v>
      </c>
      <c r="K6927" s="29">
        <v>0.98289565623980701</v>
      </c>
    </row>
    <row r="6928" spans="1:11" x14ac:dyDescent="0.35">
      <c r="A6928" s="9" t="str">
        <f>HYPERLINK("http://www.ensembl.org/id/WBGene00007553", "WBGene00007553")</f>
        <v>WBGene00007553</v>
      </c>
      <c r="B6928" s="9" t="str">
        <f>HYPERLINK("http://www.ncbi.nlm.nih.gov/gene/182580", "182580")</f>
        <v>182580</v>
      </c>
      <c r="C6928" s="9"/>
      <c r="D6928" t="str">
        <f>"C13G3.1"</f>
        <v>C13G3.1</v>
      </c>
      <c r="F6928" t="s">
        <v>11</v>
      </c>
      <c r="H6928" s="12">
        <v>1.1191320956398001</v>
      </c>
      <c r="I6928" s="20">
        <v>0.53944839910708897</v>
      </c>
      <c r="J6928" s="28">
        <v>0.58957749290709405</v>
      </c>
      <c r="K6928" s="29">
        <v>0.98289565623980701</v>
      </c>
    </row>
    <row r="6929" spans="1:11" x14ac:dyDescent="0.35">
      <c r="A6929" s="9" t="str">
        <f>HYPERLINK("http://www.ensembl.org/id/WBGene00303040", "WBGene00303040")</f>
        <v>WBGene00303040</v>
      </c>
      <c r="B6929" s="9" t="str">
        <f>HYPERLINK("http://www.ncbi.nlm.nih.gov/gene/36804980", "36804980")</f>
        <v>36804980</v>
      </c>
      <c r="C6929" s="9"/>
      <c r="D6929" t="str">
        <f>"C13G3.12"</f>
        <v>C13G3.12</v>
      </c>
      <c r="F6929" t="s">
        <v>11</v>
      </c>
      <c r="H6929" s="12">
        <v>-4.5114499031905204</v>
      </c>
      <c r="I6929" s="20">
        <v>-0.44198655555625299</v>
      </c>
      <c r="J6929" s="28">
        <v>0.65849893477547905</v>
      </c>
      <c r="K6929" s="29">
        <v>0.98289565623980701</v>
      </c>
    </row>
    <row r="6930" spans="1:11" x14ac:dyDescent="0.35">
      <c r="A6930" s="9" t="str">
        <f>HYPERLINK("http://www.ensembl.org/id/WBGene00198449", "WBGene00198449")</f>
        <v>WBGene00198449</v>
      </c>
      <c r="B6930" s="9"/>
      <c r="C6930" s="9"/>
      <c r="D6930" t="str">
        <f>"C14A11.11"</f>
        <v>C14A11.11</v>
      </c>
      <c r="F6930" t="s">
        <v>481</v>
      </c>
      <c r="H6930" s="12">
        <v>-4.7167679298615104</v>
      </c>
      <c r="I6930" s="20">
        <v>-0.454742638005115</v>
      </c>
      <c r="J6930" s="28">
        <v>0.64929440216969203</v>
      </c>
      <c r="K6930" s="29">
        <v>0.98289565623980701</v>
      </c>
    </row>
    <row r="6931" spans="1:11" x14ac:dyDescent="0.35">
      <c r="A6931" s="9" t="str">
        <f>HYPERLINK("http://www.ensembl.org/id/WBGene00219814", "WBGene00219814")</f>
        <v>WBGene00219814</v>
      </c>
      <c r="B6931" s="9"/>
      <c r="C6931" s="9"/>
      <c r="D6931" t="str">
        <f>"C14A11.14"</f>
        <v>C14A11.14</v>
      </c>
      <c r="F6931" t="s">
        <v>481</v>
      </c>
      <c r="H6931" s="12">
        <v>9.3459174239033302</v>
      </c>
      <c r="I6931" s="20">
        <v>0.96691633283494904</v>
      </c>
      <c r="J6931" s="28">
        <v>0.33358586104585303</v>
      </c>
      <c r="K6931" s="29">
        <v>0.98289565623980701</v>
      </c>
    </row>
    <row r="6932" spans="1:11" x14ac:dyDescent="0.35">
      <c r="A6932" s="9" t="str">
        <f>HYPERLINK("http://www.ensembl.org/id/WBGene00015748", "WBGene00015748")</f>
        <v>WBGene00015748</v>
      </c>
      <c r="B6932" s="9" t="str">
        <f>HYPERLINK("http://www.ncbi.nlm.nih.gov/gene/182590", "182590")</f>
        <v>182590</v>
      </c>
      <c r="C6932" s="9"/>
      <c r="D6932" t="str">
        <f>"C14A11.2"</f>
        <v>C14A11.2</v>
      </c>
      <c r="F6932" t="s">
        <v>11</v>
      </c>
      <c r="H6932" s="12">
        <v>1.16990494113529</v>
      </c>
      <c r="I6932" s="20">
        <v>0.435660442757896</v>
      </c>
      <c r="J6932" s="28">
        <v>0.66308311009615295</v>
      </c>
      <c r="K6932" s="29">
        <v>0.98289565623980701</v>
      </c>
    </row>
    <row r="6933" spans="1:11" x14ac:dyDescent="0.35">
      <c r="A6933" s="9" t="str">
        <f>HYPERLINK("http://www.ensembl.org/id/WBGene00015750", "WBGene00015750")</f>
        <v>WBGene00015750</v>
      </c>
      <c r="B6933" s="9" t="str">
        <f>HYPERLINK("http://www.ncbi.nlm.nih.gov/gene/182591", "182591")</f>
        <v>182591</v>
      </c>
      <c r="C6933" s="9"/>
      <c r="D6933" t="str">
        <f>"C14A11.5"</f>
        <v>C14A11.5</v>
      </c>
      <c r="F6933" t="s">
        <v>11</v>
      </c>
      <c r="H6933" s="12">
        <v>1.5237598840922499</v>
      </c>
      <c r="I6933" s="20">
        <v>1.20129636643231</v>
      </c>
      <c r="J6933" s="28">
        <v>0.22963625942563801</v>
      </c>
      <c r="K6933" s="29">
        <v>0.98289565623980701</v>
      </c>
    </row>
    <row r="6934" spans="1:11" x14ac:dyDescent="0.35">
      <c r="A6934" s="9" t="str">
        <f>HYPERLINK("http://www.ensembl.org/id/WBGene00015751", "WBGene00015751")</f>
        <v>WBGene00015751</v>
      </c>
      <c r="B6934" s="9" t="str">
        <f>HYPERLINK("http://www.ncbi.nlm.nih.gov/gene/180572", "180572")</f>
        <v>180572</v>
      </c>
      <c r="C6934" s="9"/>
      <c r="D6934" t="str">
        <f>"C14A11.6"</f>
        <v>C14A11.6</v>
      </c>
      <c r="F6934" t="s">
        <v>11</v>
      </c>
      <c r="H6934" s="12">
        <v>1.5273840726826</v>
      </c>
      <c r="I6934" s="20">
        <v>1.0705760895163099</v>
      </c>
      <c r="J6934" s="28">
        <v>0.28436007929246199</v>
      </c>
      <c r="K6934" s="29">
        <v>0.98289565623980701</v>
      </c>
    </row>
    <row r="6935" spans="1:11" x14ac:dyDescent="0.35">
      <c r="A6935" s="9" t="str">
        <f>HYPERLINK("http://www.ensembl.org/id/WBGene00007563", "WBGene00007563")</f>
        <v>WBGene00007563</v>
      </c>
      <c r="B6935" s="9" t="str">
        <f>HYPERLINK("http://www.ncbi.nlm.nih.gov/gene/182582", "182582")</f>
        <v>182582</v>
      </c>
      <c r="C6935" s="9"/>
      <c r="D6935" t="str">
        <f>"C14A4.13"</f>
        <v>C14A4.13</v>
      </c>
      <c r="F6935" t="s">
        <v>11</v>
      </c>
      <c r="G6935" t="s">
        <v>961</v>
      </c>
      <c r="H6935" s="12">
        <v>1.91254495297845</v>
      </c>
      <c r="I6935" s="20">
        <v>0.74969413045140798</v>
      </c>
      <c r="J6935" s="28">
        <v>0.45343894342330499</v>
      </c>
      <c r="K6935" s="29">
        <v>0.98289565623980701</v>
      </c>
    </row>
    <row r="6936" spans="1:11" x14ac:dyDescent="0.35">
      <c r="A6936" s="9" t="str">
        <f>HYPERLINK("http://www.ensembl.org/id/WBGene00007557", "WBGene00007557")</f>
        <v>WBGene00007557</v>
      </c>
      <c r="B6936" s="9" t="str">
        <f>HYPERLINK("http://www.ncbi.nlm.nih.gov/gene/182581", "182581")</f>
        <v>182581</v>
      </c>
      <c r="C6936" s="9"/>
      <c r="D6936" t="str">
        <f>"C14A4.6"</f>
        <v>C14A4.6</v>
      </c>
      <c r="F6936" t="s">
        <v>11</v>
      </c>
      <c r="G6936" t="s">
        <v>25</v>
      </c>
      <c r="H6936" s="12">
        <v>-1.2772151620188501</v>
      </c>
      <c r="I6936" s="20">
        <v>-0.82886950352464595</v>
      </c>
      <c r="J6936" s="28">
        <v>0.40717825371541</v>
      </c>
      <c r="K6936" s="29">
        <v>0.98289565623980701</v>
      </c>
    </row>
    <row r="6937" spans="1:11" x14ac:dyDescent="0.35">
      <c r="A6937" s="9" t="str">
        <f>HYPERLINK("http://www.ensembl.org/id/WBGene00007558", "WBGene00007558")</f>
        <v>WBGene00007558</v>
      </c>
      <c r="B6937" s="9" t="str">
        <f>HYPERLINK("http://www.ncbi.nlm.nih.gov/gene/174635", "174635")</f>
        <v>174635</v>
      </c>
      <c r="C6937" s="9"/>
      <c r="D6937" t="str">
        <f>"C14A4.7"</f>
        <v>C14A4.7</v>
      </c>
      <c r="F6937" t="s">
        <v>11</v>
      </c>
      <c r="G6937" t="s">
        <v>25</v>
      </c>
      <c r="H6937" s="12">
        <v>-1.1873687411726801</v>
      </c>
      <c r="I6937" s="20">
        <v>-0.53814410391752199</v>
      </c>
      <c r="J6937" s="28">
        <v>0.59047756601043799</v>
      </c>
      <c r="K6937" s="29">
        <v>0.98289565623980701</v>
      </c>
    </row>
    <row r="6938" spans="1:11" x14ac:dyDescent="0.35">
      <c r="A6938" s="9" t="str">
        <f>HYPERLINK("http://www.ensembl.org/id/WBGene00007559", "WBGene00007559")</f>
        <v>WBGene00007559</v>
      </c>
      <c r="B6938" s="9" t="str">
        <f>HYPERLINK("http://www.ncbi.nlm.nih.gov/gene/174636", "174636")</f>
        <v>174636</v>
      </c>
      <c r="C6938" s="9"/>
      <c r="D6938" t="str">
        <f>"C14A4.8"</f>
        <v>C14A4.8</v>
      </c>
      <c r="E6938" t="s">
        <v>899</v>
      </c>
      <c r="F6938" t="s">
        <v>11</v>
      </c>
      <c r="G6938" t="s">
        <v>3403</v>
      </c>
      <c r="H6938" s="12">
        <v>3.9762227095681602</v>
      </c>
      <c r="I6938" s="20">
        <v>0.73677622220440098</v>
      </c>
      <c r="J6938" s="28">
        <v>0.46125844531931298</v>
      </c>
      <c r="K6938" s="29">
        <v>0.98289565623980701</v>
      </c>
    </row>
    <row r="6939" spans="1:11" x14ac:dyDescent="0.35">
      <c r="A6939" s="9" t="str">
        <f>HYPERLINK("http://www.ensembl.org/id/WBGene00007560", "WBGene00007560")</f>
        <v>WBGene00007560</v>
      </c>
      <c r="B6939" s="9" t="str">
        <f>HYPERLINK("http://www.ncbi.nlm.nih.gov/gene/174637", "174637")</f>
        <v>174637</v>
      </c>
      <c r="C6939" s="9"/>
      <c r="D6939" t="str">
        <f>"C14A4.9"</f>
        <v>C14A4.9</v>
      </c>
      <c r="F6939" t="s">
        <v>11</v>
      </c>
      <c r="H6939" s="12">
        <v>-1.3419402853861999</v>
      </c>
      <c r="I6939" s="20">
        <v>-0.41366340730743101</v>
      </c>
      <c r="J6939" s="28">
        <v>0.67912062948317098</v>
      </c>
      <c r="K6939" s="29">
        <v>0.98289565623980701</v>
      </c>
    </row>
    <row r="6940" spans="1:11" x14ac:dyDescent="0.35">
      <c r="A6940" s="9" t="str">
        <f>HYPERLINK("http://www.ensembl.org/id/WBGene00206536", "WBGene00206536")</f>
        <v>WBGene00206536</v>
      </c>
      <c r="B6940" s="9"/>
      <c r="C6940" s="9"/>
      <c r="D6940" t="str">
        <f>"C14A6.16"</f>
        <v>C14A6.16</v>
      </c>
      <c r="F6940" t="s">
        <v>80</v>
      </c>
      <c r="H6940" s="12">
        <v>-1.8465795623046899</v>
      </c>
      <c r="I6940" s="20">
        <v>-0.50033090202904495</v>
      </c>
      <c r="J6940" s="28">
        <v>0.61684209846809701</v>
      </c>
      <c r="K6940" s="29">
        <v>0.98289565623980701</v>
      </c>
    </row>
    <row r="6941" spans="1:11" x14ac:dyDescent="0.35">
      <c r="A6941" s="9" t="str">
        <f>HYPERLINK("http://www.ensembl.org/id/WBGene00007567", "WBGene00007567")</f>
        <v>WBGene00007567</v>
      </c>
      <c r="B6941" s="9" t="str">
        <f>HYPERLINK("http://www.ncbi.nlm.nih.gov/gene/182584", "182584")</f>
        <v>182584</v>
      </c>
      <c r="C6941" s="9"/>
      <c r="D6941" t="str">
        <f>"C14A6.3"</f>
        <v>C14A6.3</v>
      </c>
      <c r="F6941" t="s">
        <v>11</v>
      </c>
      <c r="G6941" t="s">
        <v>25</v>
      </c>
      <c r="H6941" s="12">
        <v>-18.077799399640899</v>
      </c>
      <c r="I6941" s="20">
        <v>-1.0473268471963699</v>
      </c>
      <c r="J6941" s="28">
        <v>0.29494885789095598</v>
      </c>
      <c r="K6941" s="29">
        <v>0.98289565623980701</v>
      </c>
    </row>
    <row r="6942" spans="1:11" x14ac:dyDescent="0.35">
      <c r="A6942" s="9" t="str">
        <f>HYPERLINK("http://www.ensembl.org/id/WBGene00007572", "WBGene00007572")</f>
        <v>WBGene00007572</v>
      </c>
      <c r="B6942" s="9" t="str">
        <f>HYPERLINK("http://www.ncbi.nlm.nih.gov/gene/182589", "182589")</f>
        <v>182589</v>
      </c>
      <c r="C6942" s="9"/>
      <c r="D6942" t="str">
        <f>"C14A6.8"</f>
        <v>C14A6.8</v>
      </c>
      <c r="F6942" t="s">
        <v>11</v>
      </c>
      <c r="G6942" t="s">
        <v>25</v>
      </c>
      <c r="H6942" s="12">
        <v>-3.5819448292659501</v>
      </c>
      <c r="I6942" s="20">
        <v>-0.37337717500031398</v>
      </c>
      <c r="J6942" s="28">
        <v>0.70886774492290605</v>
      </c>
      <c r="K6942" s="29">
        <v>0.98289565623980701</v>
      </c>
    </row>
    <row r="6943" spans="1:11" x14ac:dyDescent="0.35">
      <c r="A6943" s="9" t="str">
        <f>HYPERLINK("http://www.ensembl.org/id/WBGene00007579", "WBGene00007579")</f>
        <v>WBGene00007579</v>
      </c>
      <c r="B6943" s="9" t="str">
        <f>HYPERLINK("http://www.ncbi.nlm.nih.gov/gene/182593", "182593")</f>
        <v>182593</v>
      </c>
      <c r="C6943" s="9"/>
      <c r="D6943" t="str">
        <f>"C14B1.8"</f>
        <v>C14B1.8</v>
      </c>
      <c r="F6943" t="s">
        <v>11</v>
      </c>
      <c r="H6943" s="12">
        <v>-1.0923323457012699</v>
      </c>
      <c r="I6943" s="20">
        <v>-0.40804213659656602</v>
      </c>
      <c r="J6943" s="28">
        <v>0.68324274001152097</v>
      </c>
      <c r="K6943" s="29">
        <v>0.98289565623980701</v>
      </c>
    </row>
    <row r="6944" spans="1:11" x14ac:dyDescent="0.35">
      <c r="A6944" s="9" t="str">
        <f>HYPERLINK("http://www.ensembl.org/id/WBGene00015755", "WBGene00015755")</f>
        <v>WBGene00015755</v>
      </c>
      <c r="B6944" s="9" t="str">
        <f>HYPERLINK("http://www.ncbi.nlm.nih.gov/gene/259519", "259519")</f>
        <v>259519</v>
      </c>
      <c r="C6944" s="9"/>
      <c r="D6944" t="str">
        <f>"C14B9.10"</f>
        <v>C14B9.10</v>
      </c>
      <c r="F6944" t="s">
        <v>11</v>
      </c>
      <c r="G6944" t="s">
        <v>6607</v>
      </c>
      <c r="H6944" s="12">
        <v>-1.07933323284759</v>
      </c>
      <c r="I6944" s="20">
        <v>-0.408338360599591</v>
      </c>
      <c r="J6944" s="28">
        <v>0.68302528000840801</v>
      </c>
      <c r="K6944" s="29">
        <v>0.98289565623980701</v>
      </c>
    </row>
    <row r="6945" spans="1:11" x14ac:dyDescent="0.35">
      <c r="A6945" s="9" t="str">
        <f>HYPERLINK("http://www.ensembl.org/id/WBGene00195744", "WBGene00195744")</f>
        <v>WBGene00195744</v>
      </c>
      <c r="B6945" s="9"/>
      <c r="C6945" s="9"/>
      <c r="D6945" t="str">
        <f>"C14B9.11"</f>
        <v>C14B9.11</v>
      </c>
      <c r="F6945" t="s">
        <v>481</v>
      </c>
      <c r="H6945" s="12">
        <v>2.3893468495514898</v>
      </c>
      <c r="I6945" s="20">
        <v>0.25323547253672701</v>
      </c>
      <c r="J6945" s="28">
        <v>0.80008625651646104</v>
      </c>
      <c r="K6945" s="29">
        <v>0.98289565623980701</v>
      </c>
    </row>
    <row r="6946" spans="1:11" x14ac:dyDescent="0.35">
      <c r="A6946" s="9" t="str">
        <f>HYPERLINK("http://www.ensembl.org/id/WBGene00196787", "WBGene00196787")</f>
        <v>WBGene00196787</v>
      </c>
      <c r="B6946" s="9"/>
      <c r="C6946" s="9"/>
      <c r="D6946" t="str">
        <f>"C14B9.12"</f>
        <v>C14B9.12</v>
      </c>
      <c r="F6946" t="s">
        <v>481</v>
      </c>
      <c r="H6946" s="12">
        <v>-3.5819448292659501</v>
      </c>
      <c r="I6946" s="20">
        <v>-0.37337717500031398</v>
      </c>
      <c r="J6946" s="28">
        <v>0.70886774492290605</v>
      </c>
      <c r="K6946" s="29">
        <v>0.98289565623980701</v>
      </c>
    </row>
    <row r="6947" spans="1:11" x14ac:dyDescent="0.35">
      <c r="A6947" s="9" t="str">
        <f>HYPERLINK("http://www.ensembl.org/id/WBGene00015754", "WBGene00015754")</f>
        <v>WBGene00015754</v>
      </c>
      <c r="B6947" s="9" t="str">
        <f>HYPERLINK("http://www.ncbi.nlm.nih.gov/gene/176149", "176149")</f>
        <v>176149</v>
      </c>
      <c r="C6947" s="9" t="str">
        <f>HYPERLINK("http://www.ncbi.nlm.nih.gov/gene/5256", "5256")</f>
        <v>5256</v>
      </c>
      <c r="D6947" t="str">
        <f>"C14B9.8"</f>
        <v>C14B9.8</v>
      </c>
      <c r="E6947" t="s">
        <v>6498</v>
      </c>
      <c r="F6947" t="s">
        <v>11</v>
      </c>
      <c r="G6947" t="s">
        <v>6499</v>
      </c>
      <c r="H6947" s="12">
        <v>-1.0723260614780099</v>
      </c>
      <c r="I6947" s="20">
        <v>-0.36872528734513899</v>
      </c>
      <c r="J6947" s="28">
        <v>0.71233249827109502</v>
      </c>
      <c r="K6947" s="29">
        <v>0.98289565623980701</v>
      </c>
    </row>
    <row r="6948" spans="1:11" x14ac:dyDescent="0.35">
      <c r="A6948" s="9" t="str">
        <f>HYPERLINK("http://www.ensembl.org/id/WBGene00007584", "WBGene00007584")</f>
        <v>WBGene00007584</v>
      </c>
      <c r="B6948" s="9" t="str">
        <f>HYPERLINK("http://www.ncbi.nlm.nih.gov/gene/182608", "182608")</f>
        <v>182608</v>
      </c>
      <c r="C6948" s="9" t="str">
        <f>HYPERLINK("http://www.ncbi.nlm.nih.gov/gene/5250", "5250")</f>
        <v>5250</v>
      </c>
      <c r="D6948" t="str">
        <f>"C14C10.1"</f>
        <v>C14C10.1</v>
      </c>
      <c r="F6948" t="s">
        <v>11</v>
      </c>
      <c r="G6948" t="s">
        <v>3420</v>
      </c>
      <c r="H6948" s="12">
        <v>1.3143247784608201</v>
      </c>
      <c r="I6948" s="20">
        <v>0.405777037417419</v>
      </c>
      <c r="J6948" s="28">
        <v>0.68490643214385205</v>
      </c>
      <c r="K6948" s="29">
        <v>0.98289565623980701</v>
      </c>
    </row>
    <row r="6949" spans="1:11" x14ac:dyDescent="0.35">
      <c r="A6949" s="9" t="str">
        <f>HYPERLINK("http://www.ensembl.org/id/WBGene00195234", "WBGene00195234")</f>
        <v>WBGene00195234</v>
      </c>
      <c r="B6949" s="9"/>
      <c r="C6949" s="9"/>
      <c r="D6949" t="str">
        <f>"C14C10.9"</f>
        <v>C14C10.9</v>
      </c>
      <c r="F6949" t="s">
        <v>2735</v>
      </c>
      <c r="H6949" s="12">
        <v>-5.0154092440769</v>
      </c>
      <c r="I6949" s="20">
        <v>-0.66486144311044404</v>
      </c>
      <c r="J6949" s="28">
        <v>0.506139118892736</v>
      </c>
      <c r="K6949" s="29">
        <v>0.98289565623980701</v>
      </c>
    </row>
    <row r="6950" spans="1:11" x14ac:dyDescent="0.35">
      <c r="A6950" s="9" t="str">
        <f>HYPERLINK("http://www.ensembl.org/id/WBGene00197914", "WBGene00197914")</f>
        <v>WBGene00197914</v>
      </c>
      <c r="B6950" s="9"/>
      <c r="C6950" s="9"/>
      <c r="D6950" t="str">
        <f>"C14C11.10"</f>
        <v>C14C11.10</v>
      </c>
      <c r="F6950" t="s">
        <v>481</v>
      </c>
      <c r="H6950" s="12">
        <v>-2.4991590031922399</v>
      </c>
      <c r="I6950" s="20">
        <v>-0.26577412737581302</v>
      </c>
      <c r="J6950" s="28">
        <v>0.79041317015736101</v>
      </c>
      <c r="K6950" s="29">
        <v>0.98289565623980701</v>
      </c>
    </row>
    <row r="6951" spans="1:11" x14ac:dyDescent="0.35">
      <c r="A6951" s="9" t="str">
        <f>HYPERLINK("http://www.ensembl.org/id/WBGene00015768", "WBGene00015768")</f>
        <v>WBGene00015768</v>
      </c>
      <c r="B6951" s="9" t="str">
        <f>HYPERLINK("http://www.ncbi.nlm.nih.gov/gene/178950", "178950")</f>
        <v>178950</v>
      </c>
      <c r="C6951" s="9"/>
      <c r="D6951" t="str">
        <f>"C14C11.4"</f>
        <v>C14C11.4</v>
      </c>
      <c r="F6951" t="s">
        <v>11</v>
      </c>
      <c r="G6951" t="s">
        <v>394</v>
      </c>
      <c r="H6951" s="12">
        <v>-1.9550820576810199</v>
      </c>
      <c r="I6951" s="20">
        <v>-1.0228107116374601</v>
      </c>
      <c r="J6951" s="28">
        <v>0.30639735243122401</v>
      </c>
      <c r="K6951" s="29">
        <v>0.98289565623980701</v>
      </c>
    </row>
    <row r="6952" spans="1:11" x14ac:dyDescent="0.35">
      <c r="A6952" s="9" t="str">
        <f>HYPERLINK("http://www.ensembl.org/id/WBGene00015763", "WBGene00015763")</f>
        <v>WBGene00015763</v>
      </c>
      <c r="B6952" s="9"/>
      <c r="C6952" s="9"/>
      <c r="D6952" t="str">
        <f>"C14C6.12"</f>
        <v>C14C6.12</v>
      </c>
      <c r="F6952" t="s">
        <v>80</v>
      </c>
      <c r="H6952" s="12">
        <v>-2.0063330589257999</v>
      </c>
      <c r="I6952" s="20">
        <v>-0.978539743742325</v>
      </c>
      <c r="J6952" s="28">
        <v>0.32780744460929301</v>
      </c>
      <c r="K6952" s="29">
        <v>0.98289565623980701</v>
      </c>
    </row>
    <row r="6953" spans="1:11" x14ac:dyDescent="0.35">
      <c r="A6953" s="9" t="str">
        <f>HYPERLINK("http://www.ensembl.org/id/WBGene00015759", "WBGene00015759")</f>
        <v>WBGene00015759</v>
      </c>
      <c r="B6953" s="9" t="str">
        <f>HYPERLINK("http://www.ncbi.nlm.nih.gov/gene/178574", "178574")</f>
        <v>178574</v>
      </c>
      <c r="C6953" s="9"/>
      <c r="D6953" t="str">
        <f>"C14C6.5"</f>
        <v>C14C6.5</v>
      </c>
      <c r="F6953" t="s">
        <v>11</v>
      </c>
      <c r="G6953" t="s">
        <v>264</v>
      </c>
      <c r="H6953" s="12">
        <v>1.07431805664492</v>
      </c>
      <c r="I6953" s="20">
        <v>0.272554246130495</v>
      </c>
      <c r="J6953" s="28">
        <v>0.78519588694903797</v>
      </c>
      <c r="K6953" s="29">
        <v>0.98289565623980701</v>
      </c>
    </row>
    <row r="6954" spans="1:11" x14ac:dyDescent="0.35">
      <c r="A6954" s="9" t="str">
        <f>HYPERLINK("http://www.ensembl.org/id/WBGene00015762", "WBGene00015762")</f>
        <v>WBGene00015762</v>
      </c>
      <c r="B6954" s="9" t="str">
        <f>HYPERLINK("http://www.ncbi.nlm.nih.gov/gene/182604", "182604")</f>
        <v>182604</v>
      </c>
      <c r="C6954" s="9"/>
      <c r="D6954" t="str">
        <f>"C14C6.8"</f>
        <v>C14C6.8</v>
      </c>
      <c r="F6954" t="s">
        <v>11</v>
      </c>
      <c r="G6954" t="s">
        <v>1212</v>
      </c>
      <c r="H6954" s="12">
        <v>-4.7167679298615104</v>
      </c>
      <c r="I6954" s="20">
        <v>-0.454742638005115</v>
      </c>
      <c r="J6954" s="28">
        <v>0.64929440216969203</v>
      </c>
      <c r="K6954" s="29">
        <v>0.98289565623980701</v>
      </c>
    </row>
    <row r="6955" spans="1:11" x14ac:dyDescent="0.35">
      <c r="A6955" s="9" t="str">
        <f>HYPERLINK("http://www.ensembl.org/id/WBGene00196229", "WBGene00196229")</f>
        <v>WBGene00196229</v>
      </c>
      <c r="B6955" s="9"/>
      <c r="C6955" s="9"/>
      <c r="D6955" t="str">
        <f>"C14E2.10"</f>
        <v>C14E2.10</v>
      </c>
      <c r="F6955" t="s">
        <v>481</v>
      </c>
      <c r="H6955" s="12">
        <v>2.3893468495514898</v>
      </c>
      <c r="I6955" s="20">
        <v>0.25323547253672701</v>
      </c>
      <c r="J6955" s="28">
        <v>0.80008625651646104</v>
      </c>
      <c r="K6955" s="29">
        <v>0.98289565623980701</v>
      </c>
    </row>
    <row r="6956" spans="1:11" x14ac:dyDescent="0.35">
      <c r="A6956" s="9" t="str">
        <f>HYPERLINK("http://www.ensembl.org/id/WBGene00015775", "WBGene00015775")</f>
        <v>WBGene00015775</v>
      </c>
      <c r="B6956" s="9" t="str">
        <f>HYPERLINK("http://www.ncbi.nlm.nih.gov/gene/182618", "182618")</f>
        <v>182618</v>
      </c>
      <c r="C6956" s="9"/>
      <c r="D6956" t="str">
        <f>"C14E2.6"</f>
        <v>C14E2.6</v>
      </c>
      <c r="F6956" t="s">
        <v>11</v>
      </c>
      <c r="G6956" t="s">
        <v>29</v>
      </c>
      <c r="H6956" s="12">
        <v>2.3893468495514898</v>
      </c>
      <c r="I6956" s="20">
        <v>0.25323547253672701</v>
      </c>
      <c r="J6956" s="28">
        <v>0.80008625651646104</v>
      </c>
      <c r="K6956" s="29">
        <v>0.98289565623980701</v>
      </c>
    </row>
    <row r="6957" spans="1:11" x14ac:dyDescent="0.35">
      <c r="A6957" s="9" t="str">
        <f>HYPERLINK("http://www.ensembl.org/id/WBGene00044562", "WBGene00044562")</f>
        <v>WBGene00044562</v>
      </c>
      <c r="B6957" s="9" t="str">
        <f>HYPERLINK("http://www.ncbi.nlm.nih.gov/gene/3896891", "3896891")</f>
        <v>3896891</v>
      </c>
      <c r="C6957" s="9"/>
      <c r="D6957" t="str">
        <f>"C14E2.7"</f>
        <v>C14E2.7</v>
      </c>
      <c r="F6957" t="s">
        <v>11</v>
      </c>
      <c r="G6957" t="s">
        <v>25</v>
      </c>
      <c r="H6957" s="12">
        <v>2.4275475824668802</v>
      </c>
      <c r="I6957" s="20">
        <v>0.49711204062497899</v>
      </c>
      <c r="J6957" s="28">
        <v>0.61911004421813198</v>
      </c>
      <c r="K6957" s="29">
        <v>0.98289565623980701</v>
      </c>
    </row>
    <row r="6958" spans="1:11" x14ac:dyDescent="0.35">
      <c r="A6958" s="9" t="str">
        <f>HYPERLINK("http://www.ensembl.org/id/WBGene00196584", "WBGene00196584")</f>
        <v>WBGene00196584</v>
      </c>
      <c r="B6958" s="9"/>
      <c r="C6958" s="9"/>
      <c r="D6958" t="str">
        <f>"C14F11.10"</f>
        <v>C14F11.10</v>
      </c>
      <c r="F6958" t="s">
        <v>481</v>
      </c>
      <c r="H6958" s="12">
        <v>-3.5819448292659501</v>
      </c>
      <c r="I6958" s="20">
        <v>-0.37337717500031398</v>
      </c>
      <c r="J6958" s="28">
        <v>0.70886774492290605</v>
      </c>
      <c r="K6958" s="29">
        <v>0.98289565623980701</v>
      </c>
    </row>
    <row r="6959" spans="1:11" x14ac:dyDescent="0.35">
      <c r="A6959" s="9" t="str">
        <f>HYPERLINK("http://www.ensembl.org/id/WBGene00196876", "WBGene00196876")</f>
        <v>WBGene00196876</v>
      </c>
      <c r="B6959" s="9"/>
      <c r="C6959" s="9"/>
      <c r="D6959" t="str">
        <f>"C14F11.11"</f>
        <v>C14F11.11</v>
      </c>
      <c r="F6959" t="s">
        <v>481</v>
      </c>
      <c r="H6959" s="12">
        <v>-1.4524789393797199</v>
      </c>
      <c r="I6959" s="20">
        <v>-0.255845419267897</v>
      </c>
      <c r="J6959" s="28">
        <v>0.79807020122887395</v>
      </c>
      <c r="K6959" s="29">
        <v>0.98289565623980701</v>
      </c>
    </row>
    <row r="6960" spans="1:11" x14ac:dyDescent="0.35">
      <c r="A6960" s="9" t="str">
        <f>HYPERLINK("http://www.ensembl.org/id/WBGene00197061", "WBGene00197061")</f>
        <v>WBGene00197061</v>
      </c>
      <c r="B6960" s="9"/>
      <c r="C6960" s="9"/>
      <c r="D6960" t="str">
        <f>"C14F11.12"</f>
        <v>C14F11.12</v>
      </c>
      <c r="F6960" t="s">
        <v>481</v>
      </c>
      <c r="H6960" s="12">
        <v>2.4578120077400301</v>
      </c>
      <c r="I6960" s="20">
        <v>0.26093350314551</v>
      </c>
      <c r="J6960" s="28">
        <v>0.79414378780213601</v>
      </c>
      <c r="K6960" s="29">
        <v>0.98289565623980701</v>
      </c>
    </row>
    <row r="6961" spans="1:11" x14ac:dyDescent="0.35">
      <c r="A6961" s="9" t="str">
        <f>HYPERLINK("http://www.ensembl.org/id/WBGene00197710", "WBGene00197710")</f>
        <v>WBGene00197710</v>
      </c>
      <c r="B6961" s="9"/>
      <c r="C6961" s="9"/>
      <c r="D6961" t="str">
        <f>"C14F11.14"</f>
        <v>C14F11.14</v>
      </c>
      <c r="F6961" t="s">
        <v>481</v>
      </c>
      <c r="H6961" s="12">
        <v>2.1984315862700798</v>
      </c>
      <c r="I6961" s="20">
        <v>0.28497317452086202</v>
      </c>
      <c r="J6961" s="28">
        <v>0.77566469379881398</v>
      </c>
      <c r="K6961" s="29">
        <v>0.98289565623980701</v>
      </c>
    </row>
    <row r="6962" spans="1:11" x14ac:dyDescent="0.35">
      <c r="A6962" s="9" t="str">
        <f>HYPERLINK("http://www.ensembl.org/id/WBGene00197921", "WBGene00197921")</f>
        <v>WBGene00197921</v>
      </c>
      <c r="B6962" s="9"/>
      <c r="C6962" s="9"/>
      <c r="D6962" t="str">
        <f>"C14F11.15"</f>
        <v>C14F11.15</v>
      </c>
      <c r="F6962" t="s">
        <v>481</v>
      </c>
      <c r="H6962" s="12">
        <v>-4.7069891493991998</v>
      </c>
      <c r="I6962" s="20">
        <v>-0.56731576878075296</v>
      </c>
      <c r="J6962" s="28">
        <v>0.57049966550338205</v>
      </c>
      <c r="K6962" s="29">
        <v>0.98289565623980701</v>
      </c>
    </row>
    <row r="6963" spans="1:11" x14ac:dyDescent="0.35">
      <c r="A6963" s="9" t="str">
        <f>HYPERLINK("http://www.ensembl.org/id/WBGene00198494", "WBGene00198494")</f>
        <v>WBGene00198494</v>
      </c>
      <c r="B6963" s="9"/>
      <c r="C6963" s="9"/>
      <c r="D6963" t="str">
        <f>"C14F11.18"</f>
        <v>C14F11.18</v>
      </c>
      <c r="F6963" t="s">
        <v>481</v>
      </c>
      <c r="H6963" s="12">
        <v>4.6387698961716399</v>
      </c>
      <c r="I6963" s="20">
        <v>0.44985450087338802</v>
      </c>
      <c r="J6963" s="28">
        <v>0.65281535672642099</v>
      </c>
      <c r="K6963" s="29">
        <v>0.98289565623980701</v>
      </c>
    </row>
    <row r="6964" spans="1:11" x14ac:dyDescent="0.35">
      <c r="A6964" s="9" t="str">
        <f>HYPERLINK("http://www.ensembl.org/id/WBGene00198962", "WBGene00198962")</f>
        <v>WBGene00198962</v>
      </c>
      <c r="B6964" s="9"/>
      <c r="C6964" s="9"/>
      <c r="D6964" t="str">
        <f>"C14F11.20"</f>
        <v>C14F11.20</v>
      </c>
      <c r="F6964" t="s">
        <v>481</v>
      </c>
      <c r="H6964" s="12">
        <v>2.43628531154256</v>
      </c>
      <c r="I6964" s="20">
        <v>0.26397437090349102</v>
      </c>
      <c r="J6964" s="28">
        <v>0.79179966754305298</v>
      </c>
      <c r="K6964" s="29">
        <v>0.98289565623980701</v>
      </c>
    </row>
    <row r="6965" spans="1:11" x14ac:dyDescent="0.35">
      <c r="A6965" s="9" t="str">
        <f>HYPERLINK("http://www.ensembl.org/id/WBGene00199223", "WBGene00199223")</f>
        <v>WBGene00199223</v>
      </c>
      <c r="B6965" s="9"/>
      <c r="C6965" s="9"/>
      <c r="D6965" t="str">
        <f>"C14F11.22"</f>
        <v>C14F11.22</v>
      </c>
      <c r="F6965" t="s">
        <v>481</v>
      </c>
      <c r="H6965" s="12">
        <v>-2.4991590031922399</v>
      </c>
      <c r="I6965" s="20">
        <v>-0.26577412737581302</v>
      </c>
      <c r="J6965" s="28">
        <v>0.79041317015736101</v>
      </c>
      <c r="K6965" s="29">
        <v>0.98289565623980701</v>
      </c>
    </row>
    <row r="6966" spans="1:11" x14ac:dyDescent="0.35">
      <c r="A6966" s="9" t="str">
        <f>HYPERLINK("http://www.ensembl.org/id/WBGene00199410", "WBGene00199410")</f>
        <v>WBGene00199410</v>
      </c>
      <c r="B6966" s="9"/>
      <c r="C6966" s="9"/>
      <c r="D6966" t="str">
        <f>"C14F11.24"</f>
        <v>C14F11.24</v>
      </c>
      <c r="F6966" t="s">
        <v>481</v>
      </c>
      <c r="H6966" s="12">
        <v>-2.4991590031922399</v>
      </c>
      <c r="I6966" s="20">
        <v>-0.26577412737581302</v>
      </c>
      <c r="J6966" s="28">
        <v>0.79041317015736101</v>
      </c>
      <c r="K6966" s="29">
        <v>0.98289565623980701</v>
      </c>
    </row>
    <row r="6967" spans="1:11" x14ac:dyDescent="0.35">
      <c r="A6967" s="9" t="str">
        <f>HYPERLINK("http://www.ensembl.org/id/WBGene00201426", "WBGene00201426")</f>
        <v>WBGene00201426</v>
      </c>
      <c r="B6967" s="9"/>
      <c r="C6967" s="9"/>
      <c r="D6967" t="str">
        <f>"C14F11.29"</f>
        <v>C14F11.29</v>
      </c>
      <c r="F6967" t="s">
        <v>481</v>
      </c>
      <c r="H6967" s="12">
        <v>-2.4295389261469</v>
      </c>
      <c r="I6967" s="20">
        <v>-0.25808529976640998</v>
      </c>
      <c r="J6967" s="28">
        <v>0.79634107645457397</v>
      </c>
      <c r="K6967" s="29">
        <v>0.98289565623980701</v>
      </c>
    </row>
    <row r="6968" spans="1:11" x14ac:dyDescent="0.35">
      <c r="A6968" s="9" t="str">
        <f>HYPERLINK("http://www.ensembl.org/id/WBGene00015780", "WBGene00015780")</f>
        <v>WBGene00015780</v>
      </c>
      <c r="B6968" s="9" t="str">
        <f>HYPERLINK("http://www.ncbi.nlm.nih.gov/gene/182619", "182619")</f>
        <v>182619</v>
      </c>
      <c r="C6968" s="9"/>
      <c r="D6968" t="str">
        <f>"C14F11.4"</f>
        <v>C14F11.4</v>
      </c>
      <c r="F6968" t="s">
        <v>11</v>
      </c>
      <c r="G6968" t="s">
        <v>54</v>
      </c>
      <c r="H6968" s="12">
        <v>-1.06095684941456</v>
      </c>
      <c r="I6968" s="20">
        <v>-0.30195358371236602</v>
      </c>
      <c r="J6968" s="28">
        <v>0.76268744710423797</v>
      </c>
      <c r="K6968" s="29">
        <v>0.98289565623980701</v>
      </c>
    </row>
    <row r="6969" spans="1:11" x14ac:dyDescent="0.35">
      <c r="A6969" s="9" t="str">
        <f>HYPERLINK("http://www.ensembl.org/id/WBGene00015781", "WBGene00015781")</f>
        <v>WBGene00015781</v>
      </c>
      <c r="B6969" s="9" t="str">
        <f>HYPERLINK("http://www.ncbi.nlm.nih.gov/gene/180896", "180896")</f>
        <v>180896</v>
      </c>
      <c r="C6969" s="9"/>
      <c r="D6969" t="str">
        <f>"C14F11.6"</f>
        <v>C14F11.6</v>
      </c>
      <c r="F6969" t="s">
        <v>11</v>
      </c>
      <c r="G6969" t="s">
        <v>5240</v>
      </c>
      <c r="H6969" s="12">
        <v>1.2076878307961001</v>
      </c>
      <c r="I6969" s="20">
        <v>0.73354692633485097</v>
      </c>
      <c r="J6969" s="28">
        <v>0.46322491775128999</v>
      </c>
      <c r="K6969" s="29">
        <v>0.98289565623980701</v>
      </c>
    </row>
    <row r="6970" spans="1:11" x14ac:dyDescent="0.35">
      <c r="A6970" s="9" t="str">
        <f>HYPERLINK("http://www.ensembl.org/id/WBGene00195957", "WBGene00195957")</f>
        <v>WBGene00195957</v>
      </c>
      <c r="B6970" s="9"/>
      <c r="C6970" s="9"/>
      <c r="D6970" t="str">
        <f>"C14F11.9"</f>
        <v>C14F11.9</v>
      </c>
      <c r="F6970" t="s">
        <v>481</v>
      </c>
      <c r="H6970" s="12">
        <v>4.6387698961716399</v>
      </c>
      <c r="I6970" s="20">
        <v>0.44985450087338802</v>
      </c>
      <c r="J6970" s="28">
        <v>0.65281535672642099</v>
      </c>
      <c r="K6970" s="29">
        <v>0.98289565623980701</v>
      </c>
    </row>
    <row r="6971" spans="1:11" x14ac:dyDescent="0.35">
      <c r="A6971" s="9" t="str">
        <f>HYPERLINK("http://www.ensembl.org/id/WBGene00200658", "WBGene00200658")</f>
        <v>WBGene00200658</v>
      </c>
      <c r="B6971" s="9"/>
      <c r="C6971" s="9"/>
      <c r="D6971" t="str">
        <f>"C14F5.10"</f>
        <v>C14F5.10</v>
      </c>
      <c r="F6971" t="s">
        <v>481</v>
      </c>
      <c r="H6971" s="12">
        <v>-2.4295389261469</v>
      </c>
      <c r="I6971" s="20">
        <v>-0.25808529976640998</v>
      </c>
      <c r="J6971" s="28">
        <v>0.79634107645457397</v>
      </c>
      <c r="K6971" s="29">
        <v>0.98289565623980701</v>
      </c>
    </row>
    <row r="6972" spans="1:11" x14ac:dyDescent="0.35">
      <c r="A6972" s="9" t="str">
        <f>HYPERLINK("http://www.ensembl.org/id/WBGene00198523", "WBGene00198523")</f>
        <v>WBGene00198523</v>
      </c>
      <c r="B6972" s="9"/>
      <c r="C6972" s="9"/>
      <c r="D6972" t="str">
        <f>"C14F5.9"</f>
        <v>C14F5.9</v>
      </c>
      <c r="F6972" t="s">
        <v>481</v>
      </c>
      <c r="H6972" s="12">
        <v>-2.3838754719136599</v>
      </c>
      <c r="I6972" s="20">
        <v>-0.25807578497976902</v>
      </c>
      <c r="J6972" s="28">
        <v>0.79634841949468704</v>
      </c>
      <c r="K6972" s="29">
        <v>0.98289565623980701</v>
      </c>
    </row>
    <row r="6973" spans="1:11" x14ac:dyDescent="0.35">
      <c r="A6973" s="9" t="str">
        <f>HYPERLINK("http://www.ensembl.org/id/WBGene00007593", "WBGene00007593")</f>
        <v>WBGene00007593</v>
      </c>
      <c r="B6973" s="9" t="str">
        <f>HYPERLINK("http://www.ncbi.nlm.nih.gov/gene/181232", "181232")</f>
        <v>181232</v>
      </c>
      <c r="C6973" s="9" t="str">
        <f>HYPERLINK("http://www.ncbi.nlm.nih.gov/gene/23042", "23042")</f>
        <v>23042</v>
      </c>
      <c r="D6973" t="str">
        <f>"C14H10.3"</f>
        <v>C14H10.3</v>
      </c>
      <c r="F6973" t="s">
        <v>11</v>
      </c>
      <c r="G6973" t="s">
        <v>7230</v>
      </c>
      <c r="H6973" s="12">
        <v>-1.11444153920004</v>
      </c>
      <c r="I6973" s="20">
        <v>-0.55438818738812801</v>
      </c>
      <c r="J6973" s="28">
        <v>0.57931320858498103</v>
      </c>
      <c r="K6973" s="29">
        <v>0.98289565623980701</v>
      </c>
    </row>
    <row r="6974" spans="1:11" x14ac:dyDescent="0.35">
      <c r="A6974" s="9" t="str">
        <f>HYPERLINK("http://www.ensembl.org/id/WBGene00007597", "WBGene00007597")</f>
        <v>WBGene00007597</v>
      </c>
      <c r="B6974" s="9" t="str">
        <f>HYPERLINK("http://www.ncbi.nlm.nih.gov/gene/182625", "182625")</f>
        <v>182625</v>
      </c>
      <c r="C6974" s="9"/>
      <c r="D6974" t="str">
        <f>"C15A11.2"</f>
        <v>C15A11.2</v>
      </c>
      <c r="F6974" t="s">
        <v>11</v>
      </c>
      <c r="H6974" s="12">
        <v>1.74200217287075</v>
      </c>
      <c r="I6974" s="20">
        <v>0.56465338631234196</v>
      </c>
      <c r="J6974" s="28">
        <v>0.57230954553526103</v>
      </c>
      <c r="K6974" s="29">
        <v>0.98289565623980701</v>
      </c>
    </row>
    <row r="6975" spans="1:11" x14ac:dyDescent="0.35">
      <c r="A6975" s="9" t="str">
        <f>HYPERLINK("http://www.ensembl.org/id/WBGene00007599", "WBGene00007599")</f>
        <v>WBGene00007599</v>
      </c>
      <c r="B6975" s="9" t="str">
        <f>HYPERLINK("http://www.ncbi.nlm.nih.gov/gene/172496", "172496")</f>
        <v>172496</v>
      </c>
      <c r="C6975" s="9"/>
      <c r="D6975" t="str">
        <f>"C15A11.7"</f>
        <v>C15A11.7</v>
      </c>
      <c r="F6975" t="s">
        <v>11</v>
      </c>
      <c r="G6975" t="s">
        <v>25</v>
      </c>
      <c r="H6975" s="12">
        <v>-1.3552724167151899</v>
      </c>
      <c r="I6975" s="20">
        <v>-1.09813726732696</v>
      </c>
      <c r="J6975" s="28">
        <v>0.27214455421436601</v>
      </c>
      <c r="K6975" s="29">
        <v>0.98289565623980701</v>
      </c>
    </row>
    <row r="6976" spans="1:11" x14ac:dyDescent="0.35">
      <c r="A6976" s="9" t="str">
        <f>HYPERLINK("http://www.ensembl.org/id/WBGene00007595", "WBGene00007595")</f>
        <v>WBGene00007595</v>
      </c>
      <c r="B6976" s="9" t="str">
        <f>HYPERLINK("http://www.ncbi.nlm.nih.gov/gene/182623", "182623")</f>
        <v>182623</v>
      </c>
      <c r="C6976" s="9" t="str">
        <f>HYPERLINK("http://www.ncbi.nlm.nih.gov/gene/284339", "284339")</f>
        <v>284339</v>
      </c>
      <c r="D6976" t="str">
        <f>"C15A7.2"</f>
        <v>C15A7.2</v>
      </c>
      <c r="F6976" t="s">
        <v>11</v>
      </c>
      <c r="G6976" t="s">
        <v>5721</v>
      </c>
      <c r="H6976" s="12">
        <v>-1.13002651139647</v>
      </c>
      <c r="I6976" s="20">
        <v>-0.25753561831605898</v>
      </c>
      <c r="J6976" s="28">
        <v>0.79676532286727897</v>
      </c>
      <c r="K6976" s="29">
        <v>0.98289565623980701</v>
      </c>
    </row>
    <row r="6977" spans="1:11" x14ac:dyDescent="0.35">
      <c r="A6977" s="9" t="str">
        <f>HYPERLINK("http://www.ensembl.org/id/WBGene00201481", "WBGene00201481")</f>
        <v>WBGene00201481</v>
      </c>
      <c r="B6977" s="9"/>
      <c r="C6977" s="9"/>
      <c r="D6977" t="str">
        <f>"C15B12.15"</f>
        <v>C15B12.15</v>
      </c>
      <c r="F6977" t="s">
        <v>481</v>
      </c>
      <c r="H6977" s="12">
        <v>2.3893468495514898</v>
      </c>
      <c r="I6977" s="20">
        <v>0.25323547253672701</v>
      </c>
      <c r="J6977" s="28">
        <v>0.80008625651646104</v>
      </c>
      <c r="K6977" s="29">
        <v>0.98289565623980701</v>
      </c>
    </row>
    <row r="6978" spans="1:11" x14ac:dyDescent="0.35">
      <c r="A6978" s="9" t="str">
        <f>HYPERLINK("http://www.ensembl.org/id/WBGene00015788", "WBGene00015788")</f>
        <v>WBGene00015788</v>
      </c>
      <c r="B6978" s="9" t="str">
        <f>HYPERLINK("http://www.ncbi.nlm.nih.gov/gene/259861", "259861")</f>
        <v>259861</v>
      </c>
      <c r="C6978" s="9" t="str">
        <f>HYPERLINK("http://www.ncbi.nlm.nih.gov/gene/51268", "51268")</f>
        <v>51268</v>
      </c>
      <c r="D6978" t="str">
        <f>"C15B12.8"</f>
        <v>C15B12.8</v>
      </c>
      <c r="F6978" t="s">
        <v>11</v>
      </c>
      <c r="G6978" t="s">
        <v>4627</v>
      </c>
      <c r="H6978" s="12">
        <v>1.5804025472927501</v>
      </c>
      <c r="I6978" s="20">
        <v>1.01424801246157</v>
      </c>
      <c r="J6978" s="28">
        <v>0.31046442388393303</v>
      </c>
      <c r="K6978" s="29">
        <v>0.98289565623980701</v>
      </c>
    </row>
    <row r="6979" spans="1:11" x14ac:dyDescent="0.35">
      <c r="A6979" s="9" t="str">
        <f>HYPERLINK("http://www.ensembl.org/id/WBGene00044573", "WBGene00044573")</f>
        <v>WBGene00044573</v>
      </c>
      <c r="B6979" s="9" t="str">
        <f>HYPERLINK("http://www.ncbi.nlm.nih.gov/gene/3896898", "3896898")</f>
        <v>3896898</v>
      </c>
      <c r="C6979" s="9"/>
      <c r="D6979" t="str">
        <f>"C15B12.9"</f>
        <v>C15B12.9</v>
      </c>
      <c r="F6979" t="s">
        <v>11</v>
      </c>
      <c r="H6979" s="12">
        <v>1.8413655117662</v>
      </c>
      <c r="I6979" s="20">
        <v>1.11829239718422</v>
      </c>
      <c r="J6979" s="28">
        <v>0.26344213296979502</v>
      </c>
      <c r="K6979" s="29">
        <v>0.98289565623980701</v>
      </c>
    </row>
    <row r="6980" spans="1:11" x14ac:dyDescent="0.35">
      <c r="A6980" s="9" t="str">
        <f>HYPERLINK("http://www.ensembl.org/id/WBGene00007600", "WBGene00007600")</f>
        <v>WBGene00007600</v>
      </c>
      <c r="B6980" s="9" t="str">
        <f>HYPERLINK("http://www.ncbi.nlm.nih.gov/gene/173098", "173098")</f>
        <v>173098</v>
      </c>
      <c r="C6980" s="9"/>
      <c r="D6980" t="str">
        <f>"C15C6.1"</f>
        <v>C15C6.1</v>
      </c>
      <c r="F6980" t="s">
        <v>11</v>
      </c>
      <c r="G6980" t="s">
        <v>25</v>
      </c>
      <c r="H6980" s="12">
        <v>1.18497050964087</v>
      </c>
      <c r="I6980" s="20">
        <v>0.36259985787402799</v>
      </c>
      <c r="J6980" s="28">
        <v>0.71690381645519097</v>
      </c>
      <c r="K6980" s="29">
        <v>0.98289565623980701</v>
      </c>
    </row>
    <row r="6981" spans="1:11" x14ac:dyDescent="0.35">
      <c r="A6981" s="9" t="str">
        <f>HYPERLINK("http://www.ensembl.org/id/WBGene00007601", "WBGene00007601")</f>
        <v>WBGene00007601</v>
      </c>
      <c r="B6981" s="9" t="str">
        <f>HYPERLINK("http://www.ncbi.nlm.nih.gov/gene/173099", "173099")</f>
        <v>173099</v>
      </c>
      <c r="C6981" s="9"/>
      <c r="D6981" t="str">
        <f>"C15C6.2"</f>
        <v>C15C6.2</v>
      </c>
      <c r="F6981" t="s">
        <v>11</v>
      </c>
      <c r="H6981" s="12">
        <v>1.4200082542364001</v>
      </c>
      <c r="I6981" s="20">
        <v>0.74300477813481403</v>
      </c>
      <c r="J6981" s="28">
        <v>0.45747878760883098</v>
      </c>
      <c r="K6981" s="29">
        <v>0.98289565623980701</v>
      </c>
    </row>
    <row r="6982" spans="1:11" x14ac:dyDescent="0.35">
      <c r="A6982" s="9" t="str">
        <f>HYPERLINK("http://www.ensembl.org/id/WBGene00015791", "WBGene00015791")</f>
        <v>WBGene00015791</v>
      </c>
      <c r="B6982" s="9" t="str">
        <f>HYPERLINK("http://www.ncbi.nlm.nih.gov/gene/180605", "180605")</f>
        <v>180605</v>
      </c>
      <c r="C6982" s="9"/>
      <c r="D6982" t="str">
        <f>"C15C7.5"</f>
        <v>C15C7.5</v>
      </c>
      <c r="F6982" t="s">
        <v>11</v>
      </c>
      <c r="H6982" s="12">
        <v>1.2447469075472399</v>
      </c>
      <c r="I6982" s="20">
        <v>1.06044445491344</v>
      </c>
      <c r="J6982" s="28">
        <v>0.28894244696583898</v>
      </c>
      <c r="K6982" s="29">
        <v>0.98289565623980701</v>
      </c>
    </row>
    <row r="6983" spans="1:11" x14ac:dyDescent="0.35">
      <c r="A6983" s="9" t="str">
        <f>HYPERLINK("http://www.ensembl.org/id/WBGene00015792", "WBGene00015792")</f>
        <v>WBGene00015792</v>
      </c>
      <c r="B6983" s="9" t="str">
        <f>HYPERLINK("http://www.ncbi.nlm.nih.gov/gene/182634", "182634")</f>
        <v>182634</v>
      </c>
      <c r="C6983" s="9"/>
      <c r="D6983" t="str">
        <f>"C15C7.6"</f>
        <v>C15C7.6</v>
      </c>
      <c r="F6983" t="s">
        <v>11</v>
      </c>
      <c r="G6983" t="s">
        <v>25</v>
      </c>
      <c r="H6983" s="12">
        <v>-1.702174954468</v>
      </c>
      <c r="I6983" s="20">
        <v>-0.55193959354339694</v>
      </c>
      <c r="J6983" s="28">
        <v>0.58098974037350204</v>
      </c>
      <c r="K6983" s="29">
        <v>0.98289565623980701</v>
      </c>
    </row>
    <row r="6984" spans="1:11" x14ac:dyDescent="0.35">
      <c r="A6984" s="9" t="str">
        <f>HYPERLINK("http://www.ensembl.org/id/WBGene00015793", "WBGene00015793")</f>
        <v>WBGene00015793</v>
      </c>
      <c r="B6984" s="9" t="str">
        <f>HYPERLINK("http://www.ncbi.nlm.nih.gov/gene/180607", "180607")</f>
        <v>180607</v>
      </c>
      <c r="C6984" s="9" t="str">
        <f>HYPERLINK("http://www.ncbi.nlm.nih.gov/gene/23509", "23509")</f>
        <v>23509</v>
      </c>
      <c r="D6984" t="str">
        <f>"C15C7.7"</f>
        <v>C15C7.7</v>
      </c>
      <c r="E6984" t="s">
        <v>6494</v>
      </c>
      <c r="F6984" t="s">
        <v>11</v>
      </c>
      <c r="G6984" t="s">
        <v>6495</v>
      </c>
      <c r="H6984" s="12">
        <v>-1.0721698311309</v>
      </c>
      <c r="I6984" s="20">
        <v>-0.31911581346382201</v>
      </c>
      <c r="J6984" s="28">
        <v>0.74963869267362204</v>
      </c>
      <c r="K6984" s="29">
        <v>0.98289565623980701</v>
      </c>
    </row>
    <row r="6985" spans="1:11" x14ac:dyDescent="0.35">
      <c r="A6985" s="9" t="str">
        <f>HYPERLINK("http://www.ensembl.org/id/WBGene00196942", "WBGene00196942")</f>
        <v>WBGene00196942</v>
      </c>
      <c r="B6985" s="9"/>
      <c r="C6985" s="9"/>
      <c r="D6985" t="str">
        <f>"C15C8.10"</f>
        <v>C15C8.10</v>
      </c>
      <c r="F6985" t="s">
        <v>481</v>
      </c>
      <c r="H6985" s="12">
        <v>7.8691597089380902</v>
      </c>
      <c r="I6985" s="20">
        <v>0.61251365190975104</v>
      </c>
      <c r="J6985" s="28">
        <v>0.54019796842331003</v>
      </c>
      <c r="K6985" s="29">
        <v>0.98289565623980701</v>
      </c>
    </row>
    <row r="6986" spans="1:11" x14ac:dyDescent="0.35">
      <c r="A6986" s="9" t="str">
        <f>HYPERLINK("http://www.ensembl.org/id/WBGene00007606", "WBGene00007606")</f>
        <v>WBGene00007606</v>
      </c>
      <c r="B6986" s="9" t="str">
        <f>HYPERLINK("http://www.ncbi.nlm.nih.gov/gene/179745", "179745")</f>
        <v>179745</v>
      </c>
      <c r="C6986" s="9"/>
      <c r="D6986" t="str">
        <f>"C15C8.4"</f>
        <v>C15C8.4</v>
      </c>
      <c r="E6986" t="s">
        <v>8280</v>
      </c>
      <c r="F6986" t="s">
        <v>11</v>
      </c>
      <c r="G6986" t="s">
        <v>8281</v>
      </c>
      <c r="H6986" s="12">
        <v>-1.1687401365774199</v>
      </c>
      <c r="I6986" s="20">
        <v>-0.74834295661820804</v>
      </c>
      <c r="J6986" s="28">
        <v>0.45425332027724002</v>
      </c>
      <c r="K6986" s="29">
        <v>0.98289565623980701</v>
      </c>
    </row>
    <row r="6987" spans="1:11" x14ac:dyDescent="0.35">
      <c r="A6987" s="9" t="str">
        <f>HYPERLINK("http://www.ensembl.org/id/WBGene00045460", "WBGene00045460")</f>
        <v>WBGene00045460</v>
      </c>
      <c r="B6987" s="9" t="str">
        <f>HYPERLINK("http://www.ncbi.nlm.nih.gov/gene/6418695", "6418695")</f>
        <v>6418695</v>
      </c>
      <c r="C6987" s="9"/>
      <c r="D6987" t="str">
        <f>"C15C8.8"</f>
        <v>C15C8.8</v>
      </c>
      <c r="F6987" t="s">
        <v>11</v>
      </c>
      <c r="H6987" s="12">
        <v>-15.9583252361485</v>
      </c>
      <c r="I6987" s="20">
        <v>-0.93882533230632104</v>
      </c>
      <c r="J6987" s="28">
        <v>0.34782043040587501</v>
      </c>
      <c r="K6987" s="29">
        <v>0.98289565623980701</v>
      </c>
    </row>
    <row r="6988" spans="1:11" x14ac:dyDescent="0.35">
      <c r="A6988" s="9" t="str">
        <f>HYPERLINK("http://www.ensembl.org/id/WBGene00196089", "WBGene00196089")</f>
        <v>WBGene00196089</v>
      </c>
      <c r="B6988" s="9"/>
      <c r="C6988" s="9"/>
      <c r="D6988" t="str">
        <f>"C15F1.13"</f>
        <v>C15F1.13</v>
      </c>
      <c r="F6988" t="s">
        <v>481</v>
      </c>
      <c r="H6988" s="12">
        <v>-5.5518734612868403</v>
      </c>
      <c r="I6988" s="20">
        <v>-0.90757158089356604</v>
      </c>
      <c r="J6988" s="28">
        <v>0.36410461479878498</v>
      </c>
      <c r="K6988" s="29">
        <v>0.98289565623980701</v>
      </c>
    </row>
    <row r="6989" spans="1:11" x14ac:dyDescent="0.35">
      <c r="A6989" s="9" t="str">
        <f>HYPERLINK("http://www.ensembl.org/id/WBGene00015796", "WBGene00015796")</f>
        <v>WBGene00015796</v>
      </c>
      <c r="B6989" s="9" t="str">
        <f>HYPERLINK("http://www.ncbi.nlm.nih.gov/gene/174139", "174139")</f>
        <v>174139</v>
      </c>
      <c r="C6989" s="9"/>
      <c r="D6989" t="str">
        <f>"C15F1.5"</f>
        <v>C15F1.5</v>
      </c>
      <c r="F6989" t="s">
        <v>11</v>
      </c>
      <c r="G6989" t="s">
        <v>51</v>
      </c>
      <c r="H6989" s="12">
        <v>1.37101405690893</v>
      </c>
      <c r="I6989" s="20">
        <v>0.58333760973899296</v>
      </c>
      <c r="J6989" s="28">
        <v>0.55966604895258298</v>
      </c>
      <c r="K6989" s="29">
        <v>0.98289565623980701</v>
      </c>
    </row>
    <row r="6990" spans="1:11" x14ac:dyDescent="0.35">
      <c r="A6990" s="9" t="str">
        <f>HYPERLINK("http://www.ensembl.org/id/WBGene00044971", "WBGene00044971")</f>
        <v>WBGene00044971</v>
      </c>
      <c r="B6990" s="9"/>
      <c r="C6990" s="9"/>
      <c r="D6990" t="str">
        <f>"C15H11.12"</f>
        <v>C15H11.12</v>
      </c>
      <c r="F6990" t="s">
        <v>481</v>
      </c>
      <c r="H6990" s="12">
        <v>-2.4991590031922399</v>
      </c>
      <c r="I6990" s="20">
        <v>-0.26577412737581302</v>
      </c>
      <c r="J6990" s="28">
        <v>0.79041317015736101</v>
      </c>
      <c r="K6990" s="29">
        <v>0.98289565623980701</v>
      </c>
    </row>
    <row r="6991" spans="1:11" x14ac:dyDescent="0.35">
      <c r="A6991" s="9" t="str">
        <f>HYPERLINK("http://www.ensembl.org/id/WBGene00077576", "WBGene00077576")</f>
        <v>WBGene00077576</v>
      </c>
      <c r="B6991" s="9" t="str">
        <f>HYPERLINK("http://www.ncbi.nlm.nih.gov/gene/6418696", "6418696")</f>
        <v>6418696</v>
      </c>
      <c r="C6991" s="9"/>
      <c r="D6991" t="str">
        <f>"C15H11.13"</f>
        <v>C15H11.13</v>
      </c>
      <c r="F6991" t="s">
        <v>11</v>
      </c>
      <c r="G6991" t="s">
        <v>25</v>
      </c>
      <c r="H6991" s="12">
        <v>-2.4295389261469</v>
      </c>
      <c r="I6991" s="20">
        <v>-0.25808529976640998</v>
      </c>
      <c r="J6991" s="28">
        <v>0.79634107645457397</v>
      </c>
      <c r="K6991" s="29">
        <v>0.98289565623980701</v>
      </c>
    </row>
    <row r="6992" spans="1:11" x14ac:dyDescent="0.35">
      <c r="A6992" s="9" t="str">
        <f>HYPERLINK("http://www.ensembl.org/id/WBGene00304183", "WBGene00304183")</f>
        <v>WBGene00304183</v>
      </c>
      <c r="B6992" s="9"/>
      <c r="C6992" s="9"/>
      <c r="D6992" t="str">
        <f>"C15H11.17"</f>
        <v>C15H11.17</v>
      </c>
      <c r="F6992" t="s">
        <v>481</v>
      </c>
      <c r="H6992" s="12">
        <v>2.3893468495514898</v>
      </c>
      <c r="I6992" s="20">
        <v>0.25323547253672701</v>
      </c>
      <c r="J6992" s="28">
        <v>0.80008625651646104</v>
      </c>
      <c r="K6992" s="29">
        <v>0.98289565623980701</v>
      </c>
    </row>
    <row r="6993" spans="1:11" x14ac:dyDescent="0.35">
      <c r="A6993" s="9" t="str">
        <f>HYPERLINK("http://www.ensembl.org/id/WBGene00014678", "WBGene00014678")</f>
        <v>WBGene00014678</v>
      </c>
      <c r="B6993" s="9"/>
      <c r="C6993" s="9"/>
      <c r="D6993" t="str">
        <f>"C15H7.2"</f>
        <v>C15H7.2</v>
      </c>
      <c r="F6993" t="s">
        <v>80</v>
      </c>
      <c r="H6993" s="12">
        <v>2.43628531154256</v>
      </c>
      <c r="I6993" s="20">
        <v>0.26397437090349102</v>
      </c>
      <c r="J6993" s="28">
        <v>0.79179966754305298</v>
      </c>
      <c r="K6993" s="29">
        <v>0.98289565623980701</v>
      </c>
    </row>
    <row r="6994" spans="1:11" x14ac:dyDescent="0.35">
      <c r="A6994" s="9" t="str">
        <f>HYPERLINK("http://www.ensembl.org/id/WBGene00015799", "WBGene00015799")</f>
        <v>WBGene00015799</v>
      </c>
      <c r="B6994" s="9" t="str">
        <f>HYPERLINK("http://www.ncbi.nlm.nih.gov/gene/182642", "182642")</f>
        <v>182642</v>
      </c>
      <c r="C6994" s="9"/>
      <c r="D6994" t="str">
        <f>"C15H9.3"</f>
        <v>C15H9.3</v>
      </c>
      <c r="F6994" t="s">
        <v>11</v>
      </c>
      <c r="G6994" t="s">
        <v>25</v>
      </c>
      <c r="H6994" s="12">
        <v>2.02327876448958</v>
      </c>
      <c r="I6994" s="20">
        <v>0.79492271066742004</v>
      </c>
      <c r="J6994" s="28">
        <v>0.42665846258363099</v>
      </c>
      <c r="K6994" s="29">
        <v>0.98289565623980701</v>
      </c>
    </row>
    <row r="6995" spans="1:11" x14ac:dyDescent="0.35">
      <c r="A6995" s="9" t="str">
        <f>HYPERLINK("http://www.ensembl.org/id/WBGene00015800", "WBGene00015800")</f>
        <v>WBGene00015800</v>
      </c>
      <c r="B6995" s="9" t="str">
        <f>HYPERLINK("http://www.ncbi.nlm.nih.gov/gene/182643", "182643")</f>
        <v>182643</v>
      </c>
      <c r="C6995" s="9" t="str">
        <f>HYPERLINK("http://www.ncbi.nlm.nih.gov/gene/23023", "23023")</f>
        <v>23023</v>
      </c>
      <c r="D6995" t="str">
        <f>"C15H9.4"</f>
        <v>C15H9.4</v>
      </c>
      <c r="F6995" t="s">
        <v>11</v>
      </c>
      <c r="G6995" t="s">
        <v>1847</v>
      </c>
      <c r="H6995" s="12">
        <v>-1.17267883816136</v>
      </c>
      <c r="I6995" s="20">
        <v>-0.83905222017617098</v>
      </c>
      <c r="J6995" s="28">
        <v>0.40144000644917199</v>
      </c>
      <c r="K6995" s="29">
        <v>0.98289565623980701</v>
      </c>
    </row>
    <row r="6996" spans="1:11" x14ac:dyDescent="0.35">
      <c r="A6996" s="9" t="str">
        <f>HYPERLINK("http://www.ensembl.org/id/WBGene00015801", "WBGene00015801")</f>
        <v>WBGene00015801</v>
      </c>
      <c r="B6996" s="9" t="str">
        <f>HYPERLINK("http://www.ncbi.nlm.nih.gov/gene/180881", "180881")</f>
        <v>180881</v>
      </c>
      <c r="C6996" s="9" t="str">
        <f>HYPERLINK("http://www.ncbi.nlm.nih.gov/gene/57720", "57720")</f>
        <v>57720</v>
      </c>
      <c r="D6996" t="str">
        <f>"C15H9.5"</f>
        <v>C15H9.5</v>
      </c>
      <c r="F6996" t="s">
        <v>11</v>
      </c>
      <c r="G6996" t="s">
        <v>9136</v>
      </c>
      <c r="H6996" s="12">
        <v>-1.2235412199643001</v>
      </c>
      <c r="I6996" s="20">
        <v>-0.99415070229153302</v>
      </c>
      <c r="J6996" s="28">
        <v>0.32014950427955302</v>
      </c>
      <c r="K6996" s="29">
        <v>0.98289565623980701</v>
      </c>
    </row>
    <row r="6997" spans="1:11" x14ac:dyDescent="0.35">
      <c r="A6997" s="9" t="str">
        <f>HYPERLINK("http://www.ensembl.org/id/WBGene00015815", "WBGene00015815")</f>
        <v>WBGene00015815</v>
      </c>
      <c r="B6997" s="9" t="str">
        <f>HYPERLINK("http://www.ncbi.nlm.nih.gov/gene/173758", "173758")</f>
        <v>173758</v>
      </c>
      <c r="C6997" s="9"/>
      <c r="D6997" t="str">
        <f>"C16A11.2"</f>
        <v>C16A11.2</v>
      </c>
      <c r="F6997" t="s">
        <v>11</v>
      </c>
      <c r="G6997" t="s">
        <v>6524</v>
      </c>
      <c r="H6997" s="12">
        <v>-1.2644832400935999</v>
      </c>
      <c r="I6997" s="20">
        <v>-1.0954676581162801</v>
      </c>
      <c r="J6997" s="28">
        <v>0.27331180705114</v>
      </c>
      <c r="K6997" s="29">
        <v>0.98289565623980701</v>
      </c>
    </row>
    <row r="6998" spans="1:11" x14ac:dyDescent="0.35">
      <c r="A6998" s="9" t="str">
        <f>HYPERLINK("http://www.ensembl.org/id/WBGene00015818", "WBGene00015818")</f>
        <v>WBGene00015818</v>
      </c>
      <c r="B6998" s="9" t="str">
        <f>HYPERLINK("http://www.ncbi.nlm.nih.gov/gene/182650", "182650")</f>
        <v>182650</v>
      </c>
      <c r="C6998" s="9"/>
      <c r="D6998" t="str">
        <f>"C16A11.5"</f>
        <v>C16A11.5</v>
      </c>
      <c r="E6998" t="s">
        <v>9890</v>
      </c>
      <c r="F6998" t="s">
        <v>11</v>
      </c>
      <c r="G6998" t="s">
        <v>264</v>
      </c>
      <c r="H6998" s="12">
        <v>-1.3519135450287201</v>
      </c>
      <c r="I6998" s="20">
        <v>-0.69748612997126103</v>
      </c>
      <c r="J6998" s="28">
        <v>0.48549861652131399</v>
      </c>
      <c r="K6998" s="29">
        <v>0.98289565623980701</v>
      </c>
    </row>
    <row r="6999" spans="1:11" x14ac:dyDescent="0.35">
      <c r="A6999" s="9" t="str">
        <f>HYPERLINK("http://www.ensembl.org/id/WBGene00015820", "WBGene00015820")</f>
        <v>WBGene00015820</v>
      </c>
      <c r="B6999" s="9" t="str">
        <f>HYPERLINK("http://www.ncbi.nlm.nih.gov/gene/182651", "182651")</f>
        <v>182651</v>
      </c>
      <c r="C6999" s="9"/>
      <c r="D6999" t="str">
        <f>"C16A11.7"</f>
        <v>C16A11.7</v>
      </c>
      <c r="F6999" t="s">
        <v>11</v>
      </c>
      <c r="H6999" s="12">
        <v>2.2087082603477799</v>
      </c>
      <c r="I6999" s="20">
        <v>0.90734080240992998</v>
      </c>
      <c r="J6999" s="28">
        <v>0.36422660351887898</v>
      </c>
      <c r="K6999" s="29">
        <v>0.98289565623980701</v>
      </c>
    </row>
    <row r="7000" spans="1:11" x14ac:dyDescent="0.35">
      <c r="A7000" s="9" t="str">
        <f>HYPERLINK("http://www.ensembl.org/id/WBGene00200702", "WBGene00200702")</f>
        <v>WBGene00200702</v>
      </c>
      <c r="B7000" s="9"/>
      <c r="C7000" s="9"/>
      <c r="D7000" t="str">
        <f>"C16A3.15"</f>
        <v>C16A3.15</v>
      </c>
      <c r="F7000" t="s">
        <v>481</v>
      </c>
      <c r="H7000" s="12">
        <v>2.4578120077400301</v>
      </c>
      <c r="I7000" s="20">
        <v>0.26093350314551</v>
      </c>
      <c r="J7000" s="28">
        <v>0.79414378780213601</v>
      </c>
      <c r="K7000" s="29">
        <v>0.98289565623980701</v>
      </c>
    </row>
    <row r="7001" spans="1:11" x14ac:dyDescent="0.35">
      <c r="A7001" s="9" t="str">
        <f>HYPERLINK("http://www.ensembl.org/id/WBGene00015809", "WBGene00015809")</f>
        <v>WBGene00015809</v>
      </c>
      <c r="B7001" s="9" t="str">
        <f>HYPERLINK("http://www.ncbi.nlm.nih.gov/gene/175905", "175905")</f>
        <v>175905</v>
      </c>
      <c r="C7001" s="9" t="str">
        <f>HYPERLINK("http://www.ncbi.nlm.nih.gov/gene/90441", "90441")</f>
        <v>90441</v>
      </c>
      <c r="D7001" t="str">
        <f>"C16A3.4"</f>
        <v>C16A3.4</v>
      </c>
      <c r="F7001" t="s">
        <v>11</v>
      </c>
      <c r="G7001" t="s">
        <v>7461</v>
      </c>
      <c r="H7001" s="12">
        <v>-1.1270272215416</v>
      </c>
      <c r="I7001" s="20">
        <v>-0.639093573098231</v>
      </c>
      <c r="J7001" s="28">
        <v>0.52276206062744701</v>
      </c>
      <c r="K7001" s="29">
        <v>0.98289565623980701</v>
      </c>
    </row>
    <row r="7002" spans="1:11" x14ac:dyDescent="0.35">
      <c r="A7002" s="9" t="str">
        <f>HYPERLINK("http://www.ensembl.org/id/WBGene00015811", "WBGene00015811")</f>
        <v>WBGene00015811</v>
      </c>
      <c r="B7002" s="9" t="str">
        <f>HYPERLINK("http://www.ncbi.nlm.nih.gov/gene/175903", "175903")</f>
        <v>175903</v>
      </c>
      <c r="C7002" s="9" t="str">
        <f>HYPERLINK("http://www.ncbi.nlm.nih.gov/gene/84549", "84549")</f>
        <v>84549</v>
      </c>
      <c r="D7002" t="str">
        <f>"C16A3.6"</f>
        <v>C16A3.6</v>
      </c>
      <c r="F7002" t="s">
        <v>11</v>
      </c>
      <c r="G7002" t="s">
        <v>6639</v>
      </c>
      <c r="H7002" s="12">
        <v>-1.08240267333315</v>
      </c>
      <c r="I7002" s="20">
        <v>-0.428964537863888</v>
      </c>
      <c r="J7002" s="28">
        <v>0.66794903209017298</v>
      </c>
      <c r="K7002" s="29">
        <v>0.98289565623980701</v>
      </c>
    </row>
    <row r="7003" spans="1:11" x14ac:dyDescent="0.35">
      <c r="A7003" s="9" t="str">
        <f>HYPERLINK("http://www.ensembl.org/id/WBGene00202132", "WBGene00202132")</f>
        <v>WBGene00202132</v>
      </c>
      <c r="B7003" s="9"/>
      <c r="C7003" s="9"/>
      <c r="D7003" t="str">
        <f>"C16B8.13"</f>
        <v>C16B8.13</v>
      </c>
      <c r="F7003" t="s">
        <v>481</v>
      </c>
      <c r="H7003" s="12">
        <v>-3.7261494131482999</v>
      </c>
      <c r="I7003" s="20">
        <v>-0.38454673129429601</v>
      </c>
      <c r="J7003" s="28">
        <v>0.70057326682554</v>
      </c>
      <c r="K7003" s="29">
        <v>0.98289565623980701</v>
      </c>
    </row>
    <row r="7004" spans="1:11" x14ac:dyDescent="0.35">
      <c r="A7004" s="9" t="str">
        <f>HYPERLINK("http://www.ensembl.org/id/WBGene00015822", "WBGene00015822")</f>
        <v>WBGene00015822</v>
      </c>
      <c r="B7004" s="9" t="str">
        <f>HYPERLINK("http://www.ncbi.nlm.nih.gov/gene/180680", "180680")</f>
        <v>180680</v>
      </c>
      <c r="C7004" s="9"/>
      <c r="D7004" t="str">
        <f>"C16B8.2"</f>
        <v>C16B8.2</v>
      </c>
      <c r="F7004" t="s">
        <v>11</v>
      </c>
      <c r="H7004" s="12">
        <v>1.2693864537633801</v>
      </c>
      <c r="I7004" s="20">
        <v>0.662921298213767</v>
      </c>
      <c r="J7004" s="28">
        <v>0.50738096037323699</v>
      </c>
      <c r="K7004" s="29">
        <v>0.98289565623980701</v>
      </c>
    </row>
    <row r="7005" spans="1:11" x14ac:dyDescent="0.35">
      <c r="A7005" s="9" t="str">
        <f>HYPERLINK("http://www.ensembl.org/id/WBGene00015823", "WBGene00015823")</f>
        <v>WBGene00015823</v>
      </c>
      <c r="B7005" s="9" t="str">
        <f>HYPERLINK("http://www.ncbi.nlm.nih.gov/gene/180681", "180681")</f>
        <v>180681</v>
      </c>
      <c r="C7005" s="9"/>
      <c r="D7005" t="str">
        <f>"C16B8.3"</f>
        <v>C16B8.3</v>
      </c>
      <c r="F7005" t="s">
        <v>11</v>
      </c>
      <c r="G7005" t="s">
        <v>54</v>
      </c>
      <c r="H7005" s="12">
        <v>-1.10213306651604</v>
      </c>
      <c r="I7005" s="20">
        <v>-0.51550993626976205</v>
      </c>
      <c r="J7005" s="28">
        <v>0.60619672802722702</v>
      </c>
      <c r="K7005" s="29">
        <v>0.98289565623980701</v>
      </c>
    </row>
    <row r="7006" spans="1:11" x14ac:dyDescent="0.35">
      <c r="A7006" s="9" t="str">
        <f>HYPERLINK("http://www.ensembl.org/id/WBGene00200488", "WBGene00200488")</f>
        <v>WBGene00200488</v>
      </c>
      <c r="B7006" s="9"/>
      <c r="C7006" s="9"/>
      <c r="D7006" t="str">
        <f>"C16B8.9"</f>
        <v>C16B8.9</v>
      </c>
      <c r="F7006" t="s">
        <v>481</v>
      </c>
      <c r="H7006" s="12">
        <v>-2.4991590031922399</v>
      </c>
      <c r="I7006" s="20">
        <v>-0.26577412737581302</v>
      </c>
      <c r="J7006" s="28">
        <v>0.79041317015736101</v>
      </c>
      <c r="K7006" s="29">
        <v>0.98289565623980701</v>
      </c>
    </row>
    <row r="7007" spans="1:11" x14ac:dyDescent="0.35">
      <c r="A7007" s="9" t="str">
        <f>HYPERLINK("http://www.ensembl.org/id/WBGene00022927", "WBGene00022927")</f>
        <v>WBGene00022927</v>
      </c>
      <c r="B7007" s="9"/>
      <c r="C7007" s="9"/>
      <c r="D7007" t="str">
        <f>"C16B8.t1"</f>
        <v>C16B8.t1</v>
      </c>
      <c r="F7007" t="s">
        <v>4208</v>
      </c>
      <c r="H7007" s="12">
        <v>2.4328545712195901</v>
      </c>
      <c r="I7007" s="20">
        <v>0.31285255054445599</v>
      </c>
      <c r="J7007" s="28">
        <v>0.75439268833751705</v>
      </c>
      <c r="K7007" s="29">
        <v>0.98289565623980701</v>
      </c>
    </row>
    <row r="7008" spans="1:11" x14ac:dyDescent="0.35">
      <c r="A7008" s="9" t="str">
        <f>HYPERLINK("http://www.ensembl.org/id/WBGene00022928", "WBGene00022928")</f>
        <v>WBGene00022928</v>
      </c>
      <c r="B7008" s="9"/>
      <c r="C7008" s="9"/>
      <c r="D7008" t="str">
        <f>"C16B8.t2"</f>
        <v>C16B8.t2</v>
      </c>
      <c r="F7008" t="s">
        <v>4208</v>
      </c>
      <c r="H7008" s="12">
        <v>2.4578120077400301</v>
      </c>
      <c r="I7008" s="20">
        <v>0.26093350314551</v>
      </c>
      <c r="J7008" s="28">
        <v>0.79414378780213601</v>
      </c>
      <c r="K7008" s="29">
        <v>0.98289565623980701</v>
      </c>
    </row>
    <row r="7009" spans="1:11" x14ac:dyDescent="0.35">
      <c r="A7009" s="9" t="str">
        <f>HYPERLINK("http://www.ensembl.org/id/WBGene00022929", "WBGene00022929")</f>
        <v>WBGene00022929</v>
      </c>
      <c r="B7009" s="9"/>
      <c r="C7009" s="9"/>
      <c r="D7009" t="str">
        <f>"C16B8.t3"</f>
        <v>C16B8.t3</v>
      </c>
      <c r="F7009" t="s">
        <v>4208</v>
      </c>
      <c r="H7009" s="12">
        <v>2.3893468495514898</v>
      </c>
      <c r="I7009" s="20">
        <v>0.25323547253672701</v>
      </c>
      <c r="J7009" s="28">
        <v>0.80008625651646104</v>
      </c>
      <c r="K7009" s="29">
        <v>0.98289565623980701</v>
      </c>
    </row>
    <row r="7010" spans="1:11" x14ac:dyDescent="0.35">
      <c r="A7010" s="9" t="str">
        <f>HYPERLINK("http://www.ensembl.org/id/WBGene00007625", "WBGene00007625")</f>
        <v>WBGene00007625</v>
      </c>
      <c r="B7010" s="9" t="str">
        <f>HYPERLINK("http://www.ncbi.nlm.nih.gov/gene/175534", "175534")</f>
        <v>175534</v>
      </c>
      <c r="C7010" s="9" t="str">
        <f>HYPERLINK("http://www.ncbi.nlm.nih.gov/gene/10284", "10284")</f>
        <v>10284</v>
      </c>
      <c r="D7010" t="str">
        <f>"C16C10.4"</f>
        <v>C16C10.4</v>
      </c>
      <c r="E7010" t="s">
        <v>7786</v>
      </c>
      <c r="F7010" t="s">
        <v>11</v>
      </c>
      <c r="G7010" t="s">
        <v>7787</v>
      </c>
      <c r="H7010" s="12">
        <v>-1.1446413424503199</v>
      </c>
      <c r="I7010" s="20">
        <v>-0.62550586864962898</v>
      </c>
      <c r="J7010" s="28">
        <v>0.53163909789986297</v>
      </c>
      <c r="K7010" s="29">
        <v>0.98289565623980701</v>
      </c>
    </row>
    <row r="7011" spans="1:11" x14ac:dyDescent="0.35">
      <c r="A7011" s="9" t="str">
        <f>HYPERLINK("http://www.ensembl.org/id/WBGene00007629", "WBGene00007629")</f>
        <v>WBGene00007629</v>
      </c>
      <c r="B7011" s="9" t="str">
        <f>HYPERLINK("http://www.ncbi.nlm.nih.gov/gene/182682", "182682")</f>
        <v>182682</v>
      </c>
      <c r="C7011" s="9"/>
      <c r="D7011" t="str">
        <f>"C16C10.9"</f>
        <v>C16C10.9</v>
      </c>
      <c r="F7011" t="s">
        <v>11</v>
      </c>
      <c r="H7011" s="12">
        <v>-1.36317277709435</v>
      </c>
      <c r="I7011" s="20">
        <v>-0.67060874701217599</v>
      </c>
      <c r="J7011" s="28">
        <v>0.50246980877967695</v>
      </c>
      <c r="K7011" s="29">
        <v>0.98289565623980701</v>
      </c>
    </row>
    <row r="7012" spans="1:11" x14ac:dyDescent="0.35">
      <c r="A7012" s="9" t="str">
        <f>HYPERLINK("http://www.ensembl.org/id/WBGene00007621", "WBGene00007621")</f>
        <v>WBGene00007621</v>
      </c>
      <c r="B7012" s="9" t="str">
        <f>HYPERLINK("http://www.ncbi.nlm.nih.gov/gene/172821", "172821")</f>
        <v>172821</v>
      </c>
      <c r="C7012" s="9"/>
      <c r="D7012" t="str">
        <f>"C16C2.4"</f>
        <v>C16C2.4</v>
      </c>
      <c r="F7012" t="s">
        <v>11</v>
      </c>
      <c r="H7012" s="12">
        <v>-1.10213026204437</v>
      </c>
      <c r="I7012" s="20">
        <v>-0.53273014607270697</v>
      </c>
      <c r="J7012" s="28">
        <v>0.59422039493941103</v>
      </c>
      <c r="K7012" s="29">
        <v>0.98289565623980701</v>
      </c>
    </row>
    <row r="7013" spans="1:11" x14ac:dyDescent="0.35">
      <c r="A7013" s="9" t="str">
        <f>HYPERLINK("http://www.ensembl.org/id/WBGene00195417", "WBGene00195417")</f>
        <v>WBGene00195417</v>
      </c>
      <c r="B7013" s="9"/>
      <c r="C7013" s="9"/>
      <c r="D7013" t="str">
        <f>"C16C2.5"</f>
        <v>C16C2.5</v>
      </c>
      <c r="F7013" t="s">
        <v>481</v>
      </c>
      <c r="H7013" s="12">
        <v>-3.5819448292659501</v>
      </c>
      <c r="I7013" s="20">
        <v>-0.37337717500031398</v>
      </c>
      <c r="J7013" s="28">
        <v>0.70886774492290605</v>
      </c>
      <c r="K7013" s="29">
        <v>0.98289565623980701</v>
      </c>
    </row>
    <row r="7014" spans="1:11" x14ac:dyDescent="0.35">
      <c r="A7014" s="9" t="str">
        <f>HYPERLINK("http://www.ensembl.org/id/WBGene00199734", "WBGene00199734")</f>
        <v>WBGene00199734</v>
      </c>
      <c r="B7014" s="9"/>
      <c r="C7014" s="9"/>
      <c r="D7014" t="str">
        <f>"C16C2.7"</f>
        <v>C16C2.7</v>
      </c>
      <c r="F7014" t="s">
        <v>481</v>
      </c>
      <c r="H7014" s="12">
        <v>2.4578120077400301</v>
      </c>
      <c r="I7014" s="20">
        <v>0.26093350314551</v>
      </c>
      <c r="J7014" s="28">
        <v>0.79414378780213601</v>
      </c>
      <c r="K7014" s="29">
        <v>0.98289565623980701</v>
      </c>
    </row>
    <row r="7015" spans="1:11" x14ac:dyDescent="0.35">
      <c r="A7015" s="9" t="str">
        <f>HYPERLINK("http://www.ensembl.org/id/WBGene00200428", "WBGene00200428")</f>
        <v>WBGene00200428</v>
      </c>
      <c r="B7015" s="9"/>
      <c r="C7015" s="9"/>
      <c r="D7015" t="str">
        <f>"C16C2.8"</f>
        <v>C16C2.8</v>
      </c>
      <c r="F7015" t="s">
        <v>481</v>
      </c>
      <c r="H7015" s="12">
        <v>-5.9796139264318802</v>
      </c>
      <c r="I7015" s="20">
        <v>-0.78387484565106902</v>
      </c>
      <c r="J7015" s="28">
        <v>0.433113550947751</v>
      </c>
      <c r="K7015" s="29">
        <v>0.98289565623980701</v>
      </c>
    </row>
    <row r="7016" spans="1:11" x14ac:dyDescent="0.35">
      <c r="A7016" s="9" t="str">
        <f>HYPERLINK("http://www.ensembl.org/id/WBGene00201181", "WBGene00201181")</f>
        <v>WBGene00201181</v>
      </c>
      <c r="B7016" s="9"/>
      <c r="C7016" s="9"/>
      <c r="D7016" t="str">
        <f>"C16C2.9"</f>
        <v>C16C2.9</v>
      </c>
      <c r="F7016" t="s">
        <v>481</v>
      </c>
      <c r="H7016" s="12">
        <v>2.3893468495514898</v>
      </c>
      <c r="I7016" s="20">
        <v>0.25323547253672701</v>
      </c>
      <c r="J7016" s="28">
        <v>0.80008625651646104</v>
      </c>
      <c r="K7016" s="29">
        <v>0.98289565623980701</v>
      </c>
    </row>
    <row r="7017" spans="1:11" x14ac:dyDescent="0.35">
      <c r="A7017" s="9" t="str">
        <f>HYPERLINK("http://www.ensembl.org/id/WBGene00015825", "WBGene00015825")</f>
        <v>WBGene00015825</v>
      </c>
      <c r="B7017" s="9" t="str">
        <f>HYPERLINK("http://www.ncbi.nlm.nih.gov/gene/182655", "182655")</f>
        <v>182655</v>
      </c>
      <c r="C7017" s="9"/>
      <c r="D7017" t="str">
        <f>"C16C4.1"</f>
        <v>C16C4.1</v>
      </c>
      <c r="F7017" t="s">
        <v>11</v>
      </c>
      <c r="H7017" s="12">
        <v>3.5227018545059199</v>
      </c>
      <c r="I7017" s="20">
        <v>0.36849691206929103</v>
      </c>
      <c r="J7017" s="28">
        <v>0.71250274722433404</v>
      </c>
      <c r="K7017" s="29">
        <v>0.98289565623980701</v>
      </c>
    </row>
    <row r="7018" spans="1:11" x14ac:dyDescent="0.35">
      <c r="A7018" s="9" t="str">
        <f>HYPERLINK("http://www.ensembl.org/id/WBGene00194998", "WBGene00194998")</f>
        <v>WBGene00194998</v>
      </c>
      <c r="B7018" s="9" t="str">
        <f>HYPERLINK("http://www.ncbi.nlm.nih.gov/gene/13183772", "13183772")</f>
        <v>13183772</v>
      </c>
      <c r="C7018" s="9"/>
      <c r="D7018" t="str">
        <f>"C16C4.18"</f>
        <v>C16C4.18</v>
      </c>
      <c r="F7018" t="s">
        <v>11</v>
      </c>
      <c r="H7018" s="12">
        <v>-1.2992884450054101</v>
      </c>
      <c r="I7018" s="20">
        <v>-0.40116026807223998</v>
      </c>
      <c r="J7018" s="28">
        <v>0.68830213107819205</v>
      </c>
      <c r="K7018" s="29">
        <v>0.98289565623980701</v>
      </c>
    </row>
    <row r="7019" spans="1:11" x14ac:dyDescent="0.35">
      <c r="A7019" s="9" t="str">
        <f>HYPERLINK("http://www.ensembl.org/id/WBGene00015849", "WBGene00015849")</f>
        <v>WBGene00015849</v>
      </c>
      <c r="B7019" s="9" t="str">
        <f>HYPERLINK("http://www.ncbi.nlm.nih.gov/gene/173690", "173690")</f>
        <v>173690</v>
      </c>
      <c r="C7019" s="9"/>
      <c r="D7019" t="str">
        <f>"C16C8.11"</f>
        <v>C16C8.11</v>
      </c>
      <c r="F7019" t="s">
        <v>11</v>
      </c>
      <c r="G7019" t="s">
        <v>54</v>
      </c>
      <c r="H7019" s="12">
        <v>-1.45159942738627</v>
      </c>
      <c r="I7019" s="20">
        <v>-1.06907359323214</v>
      </c>
      <c r="J7019" s="28">
        <v>0.285036509488728</v>
      </c>
      <c r="K7019" s="29">
        <v>0.98289565623980701</v>
      </c>
    </row>
    <row r="7020" spans="1:11" x14ac:dyDescent="0.35">
      <c r="A7020" s="9" t="str">
        <f>HYPERLINK("http://www.ensembl.org/id/WBGene00015851", "WBGene00015851")</f>
        <v>WBGene00015851</v>
      </c>
      <c r="B7020" s="9" t="str">
        <f>HYPERLINK("http://www.ncbi.nlm.nih.gov/gene/182679", "182679")</f>
        <v>182679</v>
      </c>
      <c r="C7020" s="9"/>
      <c r="D7020" t="str">
        <f>"C16C8.13"</f>
        <v>C16C8.13</v>
      </c>
      <c r="F7020" t="s">
        <v>11</v>
      </c>
      <c r="G7020" t="s">
        <v>54</v>
      </c>
      <c r="H7020" s="12">
        <v>-2.3103851109094502</v>
      </c>
      <c r="I7020" s="20">
        <v>-1.0471575545570999</v>
      </c>
      <c r="J7020" s="28">
        <v>0.29502691801451197</v>
      </c>
      <c r="K7020" s="29">
        <v>0.98289565623980701</v>
      </c>
    </row>
    <row r="7021" spans="1:11" x14ac:dyDescent="0.35">
      <c r="A7021" s="9" t="str">
        <f>HYPERLINK("http://www.ensembl.org/id/WBGene00195070", "WBGene00195070")</f>
        <v>WBGene00195070</v>
      </c>
      <c r="B7021" s="9" t="str">
        <f>HYPERLINK("http://www.ncbi.nlm.nih.gov/gene/13184345", "13184345")</f>
        <v>13184345</v>
      </c>
      <c r="C7021" s="9"/>
      <c r="D7021" t="str">
        <f>"C16C8.20"</f>
        <v>C16C8.20</v>
      </c>
      <c r="F7021" t="s">
        <v>11</v>
      </c>
      <c r="G7021" t="s">
        <v>54</v>
      </c>
      <c r="H7021" s="12">
        <v>-2.0616415027033401</v>
      </c>
      <c r="I7021" s="20">
        <v>-1.03277149286704</v>
      </c>
      <c r="J7021" s="28">
        <v>0.30171084739134302</v>
      </c>
      <c r="K7021" s="29">
        <v>0.98289565623980701</v>
      </c>
    </row>
    <row r="7022" spans="1:11" x14ac:dyDescent="0.35">
      <c r="A7022" s="9" t="str">
        <f>HYPERLINK("http://www.ensembl.org/id/WBGene00195072", "WBGene00195072")</f>
        <v>WBGene00195072</v>
      </c>
      <c r="B7022" s="9" t="str">
        <f>HYPERLINK("http://www.ncbi.nlm.nih.gov/gene/13184341", "13184341")</f>
        <v>13184341</v>
      </c>
      <c r="C7022" s="9"/>
      <c r="D7022" t="str">
        <f>"C16C8.22"</f>
        <v>C16C8.22</v>
      </c>
      <c r="F7022" t="s">
        <v>11</v>
      </c>
      <c r="H7022" s="12">
        <v>-7.7904337984490803</v>
      </c>
      <c r="I7022" s="20">
        <v>-0.60901310058451197</v>
      </c>
      <c r="J7022" s="28">
        <v>0.54251575542982</v>
      </c>
      <c r="K7022" s="29">
        <v>0.98289565623980701</v>
      </c>
    </row>
    <row r="7023" spans="1:11" x14ac:dyDescent="0.35">
      <c r="A7023" s="9" t="str">
        <f>HYPERLINK("http://www.ensembl.org/id/WBGene00015847", "WBGene00015847")</f>
        <v>WBGene00015847</v>
      </c>
      <c r="B7023" s="9" t="str">
        <f>HYPERLINK("http://www.ncbi.nlm.nih.gov/gene/182676", "182676")</f>
        <v>182676</v>
      </c>
      <c r="C7023" s="9"/>
      <c r="D7023" t="str">
        <f>"C16C8.9"</f>
        <v>C16C8.9</v>
      </c>
      <c r="F7023" t="s">
        <v>11</v>
      </c>
      <c r="H7023" s="12">
        <v>-3.5819448292659501</v>
      </c>
      <c r="I7023" s="20">
        <v>-0.37337717500031398</v>
      </c>
      <c r="J7023" s="28">
        <v>0.70886774492290605</v>
      </c>
      <c r="K7023" s="29">
        <v>0.98289565623980701</v>
      </c>
    </row>
    <row r="7024" spans="1:11" x14ac:dyDescent="0.35">
      <c r="A7024" s="9" t="str">
        <f>HYPERLINK("http://www.ensembl.org/id/WBGene00007633", "WBGene00007633")</f>
        <v>WBGene00007633</v>
      </c>
      <c r="B7024" s="9" t="str">
        <f>HYPERLINK("http://www.ncbi.nlm.nih.gov/gene/174453", "174453")</f>
        <v>174453</v>
      </c>
      <c r="C7024" s="9"/>
      <c r="D7024" t="str">
        <f>"C16D2.1"</f>
        <v>C16D2.1</v>
      </c>
      <c r="F7024" t="s">
        <v>11</v>
      </c>
      <c r="G7024" t="s">
        <v>4847</v>
      </c>
      <c r="H7024" s="12">
        <v>1.3353779184427499</v>
      </c>
      <c r="I7024" s="20">
        <v>0.30877854160590401</v>
      </c>
      <c r="J7024" s="28">
        <v>0.75748999335010903</v>
      </c>
      <c r="K7024" s="29">
        <v>0.98289565623980701</v>
      </c>
    </row>
    <row r="7025" spans="1:11" x14ac:dyDescent="0.35">
      <c r="A7025" s="9" t="str">
        <f>HYPERLINK("http://www.ensembl.org/id/WBGene00195144", "WBGene00195144")</f>
        <v>WBGene00195144</v>
      </c>
      <c r="B7025" s="9" t="str">
        <f>HYPERLINK("http://www.ncbi.nlm.nih.gov/gene/13186374", "13186374")</f>
        <v>13186374</v>
      </c>
      <c r="C7025" s="9"/>
      <c r="D7025" t="str">
        <f>"C16D2.3"</f>
        <v>C16D2.3</v>
      </c>
      <c r="F7025" t="s">
        <v>11</v>
      </c>
      <c r="H7025" s="12">
        <v>5.4058944669092801</v>
      </c>
      <c r="I7025" s="20">
        <v>0.49762513753689303</v>
      </c>
      <c r="J7025" s="28">
        <v>0.61874828254921799</v>
      </c>
      <c r="K7025" s="29">
        <v>0.98289565623980701</v>
      </c>
    </row>
    <row r="7026" spans="1:11" x14ac:dyDescent="0.35">
      <c r="A7026" s="9" t="str">
        <f>HYPERLINK("http://www.ensembl.org/id/WBGene00219819", "WBGene00219819")</f>
        <v>WBGene00219819</v>
      </c>
      <c r="B7026" s="9"/>
      <c r="C7026" s="9"/>
      <c r="D7026" t="str">
        <f>"C16D2.4"</f>
        <v>C16D2.4</v>
      </c>
      <c r="F7026" t="s">
        <v>2977</v>
      </c>
      <c r="H7026" s="12">
        <v>2.3893468495514898</v>
      </c>
      <c r="I7026" s="20">
        <v>0.25323547253672701</v>
      </c>
      <c r="J7026" s="28">
        <v>0.80008625651646104</v>
      </c>
      <c r="K7026" s="29">
        <v>0.98289565623980701</v>
      </c>
    </row>
    <row r="7027" spans="1:11" x14ac:dyDescent="0.35">
      <c r="A7027" s="9" t="str">
        <f>HYPERLINK("http://www.ensembl.org/id/WBGene00022932", "WBGene00022932")</f>
        <v>WBGene00022932</v>
      </c>
      <c r="B7027" s="9"/>
      <c r="C7027" s="9"/>
      <c r="D7027" t="str">
        <f>"C16D9.10"</f>
        <v>C16D9.10</v>
      </c>
      <c r="F7027" t="s">
        <v>2977</v>
      </c>
      <c r="H7027" s="12">
        <v>2.3893468495514898</v>
      </c>
      <c r="I7027" s="20">
        <v>0.25323547253672701</v>
      </c>
      <c r="J7027" s="28">
        <v>0.80008625651646104</v>
      </c>
      <c r="K7027" s="29">
        <v>0.98289565623980701</v>
      </c>
    </row>
    <row r="7028" spans="1:11" x14ac:dyDescent="0.35">
      <c r="A7028" s="9" t="str">
        <f>HYPERLINK("http://www.ensembl.org/id/WBGene00197083", "WBGene00197083")</f>
        <v>WBGene00197083</v>
      </c>
      <c r="B7028" s="9"/>
      <c r="C7028" s="9"/>
      <c r="D7028" t="str">
        <f>"C16D9.13"</f>
        <v>C16D9.13</v>
      </c>
      <c r="F7028" t="s">
        <v>481</v>
      </c>
      <c r="H7028" s="12">
        <v>2.3893468495514898</v>
      </c>
      <c r="I7028" s="20">
        <v>0.25323547253672701</v>
      </c>
      <c r="J7028" s="28">
        <v>0.80008625651646104</v>
      </c>
      <c r="K7028" s="29">
        <v>0.98289565623980701</v>
      </c>
    </row>
    <row r="7029" spans="1:11" x14ac:dyDescent="0.35">
      <c r="A7029" s="9" t="str">
        <f>HYPERLINK("http://www.ensembl.org/id/WBGene00015858", "WBGene00015858")</f>
        <v>WBGene00015858</v>
      </c>
      <c r="B7029" s="9" t="str">
        <f>HYPERLINK("http://www.ncbi.nlm.nih.gov/gene/179205", "179205")</f>
        <v>179205</v>
      </c>
      <c r="C7029" s="9"/>
      <c r="D7029" t="str">
        <f>"C16D9.3"</f>
        <v>C16D9.3</v>
      </c>
      <c r="F7029" t="s">
        <v>11</v>
      </c>
      <c r="H7029" s="12">
        <v>3.5227018545059199</v>
      </c>
      <c r="I7029" s="20">
        <v>0.36849691206929103</v>
      </c>
      <c r="J7029" s="28">
        <v>0.71250274722433404</v>
      </c>
      <c r="K7029" s="29">
        <v>0.98289565623980701</v>
      </c>
    </row>
    <row r="7030" spans="1:11" x14ac:dyDescent="0.35">
      <c r="A7030" s="9" t="str">
        <f>HYPERLINK("http://www.ensembl.org/id/WBGene00196281", "WBGene00196281")</f>
        <v>WBGene00196281</v>
      </c>
      <c r="B7030" s="9"/>
      <c r="C7030" s="9"/>
      <c r="D7030" t="str">
        <f>"C16E9.12"</f>
        <v>C16E9.12</v>
      </c>
      <c r="F7030" t="s">
        <v>481</v>
      </c>
      <c r="H7030" s="12">
        <v>-3.7261494131482999</v>
      </c>
      <c r="I7030" s="20">
        <v>-0.38454673129429601</v>
      </c>
      <c r="J7030" s="28">
        <v>0.70057326682554</v>
      </c>
      <c r="K7030" s="29">
        <v>0.98289565623980701</v>
      </c>
    </row>
    <row r="7031" spans="1:11" x14ac:dyDescent="0.35">
      <c r="A7031" s="9" t="str">
        <f>HYPERLINK("http://www.ensembl.org/id/WBGene00197458", "WBGene00197458")</f>
        <v>WBGene00197458</v>
      </c>
      <c r="B7031" s="9"/>
      <c r="C7031" s="9"/>
      <c r="D7031" t="str">
        <f>"C16E9.14"</f>
        <v>C16E9.14</v>
      </c>
      <c r="F7031" t="s">
        <v>481</v>
      </c>
      <c r="H7031" s="12">
        <v>2.3893468495514898</v>
      </c>
      <c r="I7031" s="20">
        <v>0.25323547253672701</v>
      </c>
      <c r="J7031" s="28">
        <v>0.80008625651646104</v>
      </c>
      <c r="K7031" s="29">
        <v>0.98289565623980701</v>
      </c>
    </row>
    <row r="7032" spans="1:11" x14ac:dyDescent="0.35">
      <c r="A7032" s="9" t="str">
        <f>HYPERLINK("http://www.ensembl.org/id/WBGene00197642", "WBGene00197642")</f>
        <v>WBGene00197642</v>
      </c>
      <c r="B7032" s="9"/>
      <c r="C7032" s="9"/>
      <c r="D7032" t="str">
        <f>"C16E9.15"</f>
        <v>C16E9.15</v>
      </c>
      <c r="F7032" t="s">
        <v>481</v>
      </c>
      <c r="H7032" s="12">
        <v>-2.4991590031922399</v>
      </c>
      <c r="I7032" s="20">
        <v>-0.26577412737581302</v>
      </c>
      <c r="J7032" s="28">
        <v>0.79041317015736101</v>
      </c>
      <c r="K7032" s="29">
        <v>0.98289565623980701</v>
      </c>
    </row>
    <row r="7033" spans="1:11" x14ac:dyDescent="0.35">
      <c r="A7033" s="9" t="str">
        <f>HYPERLINK("http://www.ensembl.org/id/WBGene00198272", "WBGene00198272")</f>
        <v>WBGene00198272</v>
      </c>
      <c r="B7033" s="9"/>
      <c r="C7033" s="9"/>
      <c r="D7033" t="str">
        <f>"C16E9.17"</f>
        <v>C16E9.17</v>
      </c>
      <c r="F7033" t="s">
        <v>481</v>
      </c>
      <c r="H7033" s="12">
        <v>2.4578120077400301</v>
      </c>
      <c r="I7033" s="20">
        <v>0.26093350314551</v>
      </c>
      <c r="J7033" s="28">
        <v>0.79414378780213601</v>
      </c>
      <c r="K7033" s="29">
        <v>0.98289565623980701</v>
      </c>
    </row>
    <row r="7034" spans="1:11" x14ac:dyDescent="0.35">
      <c r="A7034" s="9" t="str">
        <f>HYPERLINK("http://www.ensembl.org/id/WBGene00201116", "WBGene00201116")</f>
        <v>WBGene00201116</v>
      </c>
      <c r="B7034" s="9"/>
      <c r="C7034" s="9"/>
      <c r="D7034" t="str">
        <f>"C16E9.24"</f>
        <v>C16E9.24</v>
      </c>
      <c r="F7034" t="s">
        <v>481</v>
      </c>
      <c r="H7034" s="12">
        <v>3.5227018545059199</v>
      </c>
      <c r="I7034" s="20">
        <v>0.36849691206929103</v>
      </c>
      <c r="J7034" s="28">
        <v>0.71250274722433404</v>
      </c>
      <c r="K7034" s="29">
        <v>0.98289565623980701</v>
      </c>
    </row>
    <row r="7035" spans="1:11" x14ac:dyDescent="0.35">
      <c r="A7035" s="9" t="str">
        <f>HYPERLINK("http://www.ensembl.org/id/WBGene00201254", "WBGene00201254")</f>
        <v>WBGene00201254</v>
      </c>
      <c r="B7035" s="9"/>
      <c r="C7035" s="9"/>
      <c r="D7035" t="str">
        <f>"C16E9.25"</f>
        <v>C16E9.25</v>
      </c>
      <c r="F7035" t="s">
        <v>481</v>
      </c>
      <c r="H7035" s="12">
        <v>2.3893468495514898</v>
      </c>
      <c r="I7035" s="20">
        <v>0.25323547253672701</v>
      </c>
      <c r="J7035" s="28">
        <v>0.80008625651646104</v>
      </c>
      <c r="K7035" s="29">
        <v>0.98289565623980701</v>
      </c>
    </row>
    <row r="7036" spans="1:11" x14ac:dyDescent="0.35">
      <c r="A7036" s="9" t="str">
        <f>HYPERLINK("http://www.ensembl.org/id/WBGene00202267", "WBGene00202267")</f>
        <v>WBGene00202267</v>
      </c>
      <c r="B7036" s="9"/>
      <c r="C7036" s="9"/>
      <c r="D7036" t="str">
        <f>"C16E9.28"</f>
        <v>C16E9.28</v>
      </c>
      <c r="F7036" t="s">
        <v>481</v>
      </c>
      <c r="H7036" s="12">
        <v>4.4368407117627902</v>
      </c>
      <c r="I7036" s="20">
        <v>0.43709475933309699</v>
      </c>
      <c r="J7036" s="28">
        <v>0.66204262779770495</v>
      </c>
      <c r="K7036" s="29">
        <v>0.98289565623980701</v>
      </c>
    </row>
    <row r="7037" spans="1:11" x14ac:dyDescent="0.35">
      <c r="A7037" s="9" t="str">
        <f>HYPERLINK("http://www.ensembl.org/id/WBGene00015868", "WBGene00015868")</f>
        <v>WBGene00015868</v>
      </c>
      <c r="B7037" s="9" t="str">
        <f>HYPERLINK("http://www.ncbi.nlm.nih.gov/gene/181787", "181787")</f>
        <v>181787</v>
      </c>
      <c r="C7037" s="9"/>
      <c r="D7037" t="str">
        <f>"C16H3.3"</f>
        <v>C16H3.3</v>
      </c>
      <c r="F7037" t="s">
        <v>11</v>
      </c>
      <c r="H7037" s="12">
        <v>1.1709761196580599</v>
      </c>
      <c r="I7037" s="20">
        <v>0.84349699983660897</v>
      </c>
      <c r="J7037" s="28">
        <v>0.39895054296367199</v>
      </c>
      <c r="K7037" s="29">
        <v>0.98289565623980701</v>
      </c>
    </row>
    <row r="7038" spans="1:11" x14ac:dyDescent="0.35">
      <c r="A7038" s="9" t="str">
        <f>HYPERLINK("http://www.ensembl.org/id/WBGene00015884", "WBGene00015884")</f>
        <v>WBGene00015884</v>
      </c>
      <c r="B7038" s="9" t="str">
        <f>HYPERLINK("http://www.ncbi.nlm.nih.gov/gene/182710", "182710")</f>
        <v>182710</v>
      </c>
      <c r="C7038" s="9"/>
      <c r="D7038" t="str">
        <f>"C17B7.10"</f>
        <v>C17B7.10</v>
      </c>
      <c r="F7038" t="s">
        <v>11</v>
      </c>
      <c r="H7038" s="12">
        <v>-1.44648998031218</v>
      </c>
      <c r="I7038" s="20">
        <v>-0.52426176409618597</v>
      </c>
      <c r="J7038" s="28">
        <v>0.60009648724499098</v>
      </c>
      <c r="K7038" s="29">
        <v>0.98289565623980701</v>
      </c>
    </row>
    <row r="7039" spans="1:11" x14ac:dyDescent="0.35">
      <c r="A7039" s="9" t="str">
        <f>HYPERLINK("http://www.ensembl.org/id/WBGene00015886", "WBGene00015886")</f>
        <v>WBGene00015886</v>
      </c>
      <c r="B7039" s="9" t="str">
        <f>HYPERLINK("http://www.ncbi.nlm.nih.gov/gene/182712", "182712")</f>
        <v>182712</v>
      </c>
      <c r="C7039" s="9"/>
      <c r="D7039" t="str">
        <f>"C17B7.12"</f>
        <v>C17B7.12</v>
      </c>
      <c r="F7039" t="s">
        <v>11</v>
      </c>
      <c r="H7039" s="12">
        <v>5.4871973923358901</v>
      </c>
      <c r="I7039" s="20">
        <v>0.499843548621418</v>
      </c>
      <c r="J7039" s="28">
        <v>0.61718524397184105</v>
      </c>
      <c r="K7039" s="29">
        <v>0.98289565623980701</v>
      </c>
    </row>
    <row r="7040" spans="1:11" x14ac:dyDescent="0.35">
      <c r="A7040" s="9" t="str">
        <f>HYPERLINK("http://www.ensembl.org/id/WBGene00194898", "WBGene00194898")</f>
        <v>WBGene00194898</v>
      </c>
      <c r="B7040" s="9" t="str">
        <f>HYPERLINK("http://www.ncbi.nlm.nih.gov/gene/13212243", "13212243")</f>
        <v>13212243</v>
      </c>
      <c r="C7040" s="9"/>
      <c r="D7040" t="str">
        <f>"C17B7.14"</f>
        <v>C17B7.14</v>
      </c>
      <c r="F7040" t="s">
        <v>11</v>
      </c>
      <c r="H7040" s="12">
        <v>2.4578120077400301</v>
      </c>
      <c r="I7040" s="20">
        <v>0.26093350314551</v>
      </c>
      <c r="J7040" s="28">
        <v>0.79414378780213601</v>
      </c>
      <c r="K7040" s="29">
        <v>0.98289565623980701</v>
      </c>
    </row>
    <row r="7041" spans="1:11" x14ac:dyDescent="0.35">
      <c r="A7041" s="9" t="str">
        <f>HYPERLINK("http://www.ensembl.org/id/WBGene00015876", "WBGene00015876")</f>
        <v>WBGene00015876</v>
      </c>
      <c r="B7041" s="9"/>
      <c r="C7041" s="9"/>
      <c r="D7041" t="str">
        <f>"C17B7.2"</f>
        <v>C17B7.2</v>
      </c>
      <c r="F7041" t="s">
        <v>80</v>
      </c>
      <c r="H7041" s="12">
        <v>2.39756182443737</v>
      </c>
      <c r="I7041" s="20">
        <v>0.440322963183987</v>
      </c>
      <c r="J7041" s="28">
        <v>0.65970321147507804</v>
      </c>
      <c r="K7041" s="29">
        <v>0.98289565623980701</v>
      </c>
    </row>
    <row r="7042" spans="1:11" x14ac:dyDescent="0.35">
      <c r="A7042" s="9" t="str">
        <f>HYPERLINK("http://www.ensembl.org/id/WBGene00015878", "WBGene00015878")</f>
        <v>WBGene00015878</v>
      </c>
      <c r="B7042" s="9" t="str">
        <f>HYPERLINK("http://www.ncbi.nlm.nih.gov/gene/182706", "182706")</f>
        <v>182706</v>
      </c>
      <c r="C7042" s="9"/>
      <c r="D7042" t="str">
        <f>"C17B7.4"</f>
        <v>C17B7.4</v>
      </c>
      <c r="F7042" t="s">
        <v>11</v>
      </c>
      <c r="H7042" s="12">
        <v>-1.4844736928018301</v>
      </c>
      <c r="I7042" s="20">
        <v>-0.78998445821082697</v>
      </c>
      <c r="J7042" s="28">
        <v>0.42953684490535299</v>
      </c>
      <c r="K7042" s="29">
        <v>0.98289565623980701</v>
      </c>
    </row>
    <row r="7043" spans="1:11" x14ac:dyDescent="0.35">
      <c r="A7043" s="9" t="str">
        <f>HYPERLINK("http://www.ensembl.org/id/WBGene00200812", "WBGene00200812")</f>
        <v>WBGene00200812</v>
      </c>
      <c r="B7043" s="9"/>
      <c r="C7043" s="9"/>
      <c r="D7043" t="str">
        <f>"C17C3.23"</f>
        <v>C17C3.23</v>
      </c>
      <c r="F7043" t="s">
        <v>481</v>
      </c>
      <c r="H7043" s="12">
        <v>3.5227018545059199</v>
      </c>
      <c r="I7043" s="20">
        <v>0.36849691206929103</v>
      </c>
      <c r="J7043" s="28">
        <v>0.71250274722433404</v>
      </c>
      <c r="K7043" s="29">
        <v>0.98289565623980701</v>
      </c>
    </row>
    <row r="7044" spans="1:11" x14ac:dyDescent="0.35">
      <c r="A7044" s="9" t="str">
        <f>HYPERLINK("http://www.ensembl.org/id/WBGene00219272", "WBGene00219272")</f>
        <v>WBGene00219272</v>
      </c>
      <c r="B7044" s="9" t="str">
        <f>HYPERLINK("http://www.ncbi.nlm.nih.gov/gene/13185022", "13185022")</f>
        <v>13185022</v>
      </c>
      <c r="C7044" s="9"/>
      <c r="D7044" t="str">
        <f>"C17C3.24"</f>
        <v>C17C3.24</v>
      </c>
      <c r="F7044" t="s">
        <v>11</v>
      </c>
      <c r="H7044" s="12">
        <v>14.098189607313399</v>
      </c>
      <c r="I7044" s="20">
        <v>0.90638981510253003</v>
      </c>
      <c r="J7044" s="28">
        <v>0.36472956169230802</v>
      </c>
      <c r="K7044" s="29">
        <v>0.98289565623980701</v>
      </c>
    </row>
    <row r="7045" spans="1:11" x14ac:dyDescent="0.35">
      <c r="A7045" s="9" t="str">
        <f>HYPERLINK("http://www.ensembl.org/id/WBGene00015889", "WBGene00015889")</f>
        <v>WBGene00015889</v>
      </c>
      <c r="B7045" s="9" t="str">
        <f>HYPERLINK("http://www.ncbi.nlm.nih.gov/gene/182714", "182714")</f>
        <v>182714</v>
      </c>
      <c r="C7045" s="9" t="str">
        <f>HYPERLINK("http://www.ncbi.nlm.nih.gov/gene/10005", "10005")</f>
        <v>10005</v>
      </c>
      <c r="D7045" t="str">
        <f>"C17C3.3"</f>
        <v>C17C3.3</v>
      </c>
      <c r="F7045" t="s">
        <v>11</v>
      </c>
      <c r="G7045" t="s">
        <v>4467</v>
      </c>
      <c r="H7045" s="12">
        <v>1.94298645128321</v>
      </c>
      <c r="I7045" s="20">
        <v>0.79263396142694797</v>
      </c>
      <c r="J7045" s="28">
        <v>0.427991116031603</v>
      </c>
      <c r="K7045" s="29">
        <v>0.98289565623980701</v>
      </c>
    </row>
    <row r="7046" spans="1:11" x14ac:dyDescent="0.35">
      <c r="A7046" s="9" t="str">
        <f>HYPERLINK("http://www.ensembl.org/id/WBGene00015890", "WBGene00015890")</f>
        <v>WBGene00015890</v>
      </c>
      <c r="B7046" s="9" t="str">
        <f>HYPERLINK("http://www.ncbi.nlm.nih.gov/gene/182715", "182715")</f>
        <v>182715</v>
      </c>
      <c r="C7046" s="9"/>
      <c r="D7046" t="str">
        <f>"C17C3.5"</f>
        <v>C17C3.5</v>
      </c>
      <c r="F7046" t="s">
        <v>11</v>
      </c>
      <c r="H7046" s="12">
        <v>2.1731156444066499</v>
      </c>
      <c r="I7046" s="20">
        <v>0.41087433510369797</v>
      </c>
      <c r="J7046" s="28">
        <v>0.68116468240702699</v>
      </c>
      <c r="K7046" s="29">
        <v>0.98289565623980701</v>
      </c>
    </row>
    <row r="7047" spans="1:11" x14ac:dyDescent="0.35">
      <c r="A7047" s="9" t="str">
        <f>HYPERLINK("http://www.ensembl.org/id/WBGene00015892", "WBGene00015892")</f>
        <v>WBGene00015892</v>
      </c>
      <c r="B7047" s="9" t="str">
        <f>HYPERLINK("http://www.ncbi.nlm.nih.gov/gene/182718", "182718")</f>
        <v>182718</v>
      </c>
      <c r="C7047" s="9"/>
      <c r="D7047" t="str">
        <f>"C17C3.9"</f>
        <v>C17C3.9</v>
      </c>
      <c r="F7047" t="s">
        <v>11</v>
      </c>
      <c r="H7047" s="12">
        <v>6.9414640836418</v>
      </c>
      <c r="I7047" s="20">
        <v>0.76143035325409303</v>
      </c>
      <c r="J7047" s="28">
        <v>0.44640006347612299</v>
      </c>
      <c r="K7047" s="29">
        <v>0.98289565623980701</v>
      </c>
    </row>
    <row r="7048" spans="1:11" x14ac:dyDescent="0.35">
      <c r="A7048" s="9" t="str">
        <f>HYPERLINK("http://www.ensembl.org/id/WBGene00007638", "WBGene00007638")</f>
        <v>WBGene00007638</v>
      </c>
      <c r="B7048" s="9" t="str">
        <f>HYPERLINK("http://www.ncbi.nlm.nih.gov/gene/173046", "173046")</f>
        <v>173046</v>
      </c>
      <c r="C7048" s="9"/>
      <c r="D7048" t="str">
        <f>"C17D12.3"</f>
        <v>C17D12.3</v>
      </c>
      <c r="F7048" t="s">
        <v>11</v>
      </c>
      <c r="G7048" t="s">
        <v>2981</v>
      </c>
      <c r="H7048" s="12">
        <v>3.5227018545059199</v>
      </c>
      <c r="I7048" s="20">
        <v>0.36849691206929103</v>
      </c>
      <c r="J7048" s="28">
        <v>0.71250274722433404</v>
      </c>
      <c r="K7048" s="29">
        <v>0.98289565623980701</v>
      </c>
    </row>
    <row r="7049" spans="1:11" x14ac:dyDescent="0.35">
      <c r="A7049" s="9" t="str">
        <f>HYPERLINK("http://www.ensembl.org/id/WBGene00007639", "WBGene00007639")</f>
        <v>WBGene00007639</v>
      </c>
      <c r="B7049" s="9" t="str">
        <f>HYPERLINK("http://www.ncbi.nlm.nih.gov/gene/173043", "173043")</f>
        <v>173043</v>
      </c>
      <c r="C7049" s="9"/>
      <c r="D7049" t="str">
        <f>"C17D12.5"</f>
        <v>C17D12.5</v>
      </c>
      <c r="F7049" t="s">
        <v>11</v>
      </c>
      <c r="H7049" s="12">
        <v>2.8690470264930399</v>
      </c>
      <c r="I7049" s="20">
        <v>0.37469152751715201</v>
      </c>
      <c r="J7049" s="28">
        <v>0.70788989404854696</v>
      </c>
      <c r="K7049" s="29">
        <v>0.98289565623980701</v>
      </c>
    </row>
    <row r="7050" spans="1:11" x14ac:dyDescent="0.35">
      <c r="A7050" s="9" t="str">
        <f>HYPERLINK("http://www.ensembl.org/id/WBGene00007641", "WBGene00007641")</f>
        <v>WBGene00007641</v>
      </c>
      <c r="B7050" s="9" t="str">
        <f>HYPERLINK("http://www.ncbi.nlm.nih.gov/gene/182724", "182724")</f>
        <v>182724</v>
      </c>
      <c r="C7050" s="9"/>
      <c r="D7050" t="str">
        <f>"C17E4.1"</f>
        <v>C17E4.1</v>
      </c>
      <c r="F7050" t="s">
        <v>11</v>
      </c>
      <c r="H7050" s="12">
        <v>1.30897555796635</v>
      </c>
      <c r="I7050" s="20">
        <v>0.31783470646839601</v>
      </c>
      <c r="J7050" s="28">
        <v>0.75061032276114403</v>
      </c>
      <c r="K7050" s="29">
        <v>0.98289565623980701</v>
      </c>
    </row>
    <row r="7051" spans="1:11" x14ac:dyDescent="0.35">
      <c r="A7051" s="9" t="str">
        <f>HYPERLINK("http://www.ensembl.org/id/WBGene00007647", "WBGene00007647")</f>
        <v>WBGene00007647</v>
      </c>
      <c r="B7051" s="9" t="str">
        <f>HYPERLINK("http://www.ncbi.nlm.nih.gov/gene/172770", "172770")</f>
        <v>172770</v>
      </c>
      <c r="C7051" s="9"/>
      <c r="D7051" t="str">
        <f>"C17E4.10"</f>
        <v>C17E4.10</v>
      </c>
      <c r="F7051" t="s">
        <v>11</v>
      </c>
      <c r="G7051" t="s">
        <v>54</v>
      </c>
      <c r="H7051" s="12">
        <v>1.0615160413935301</v>
      </c>
      <c r="I7051" s="20">
        <v>0.31330082109593699</v>
      </c>
      <c r="J7051" s="28">
        <v>0.75405212637167296</v>
      </c>
      <c r="K7051" s="29">
        <v>0.98289565623980701</v>
      </c>
    </row>
    <row r="7052" spans="1:11" x14ac:dyDescent="0.35">
      <c r="A7052" s="9" t="str">
        <f>HYPERLINK("http://www.ensembl.org/id/WBGene00195884", "WBGene00195884")</f>
        <v>WBGene00195884</v>
      </c>
      <c r="B7052" s="9"/>
      <c r="C7052" s="9"/>
      <c r="D7052" t="str">
        <f>"C17E4.14"</f>
        <v>C17E4.14</v>
      </c>
      <c r="F7052" t="s">
        <v>481</v>
      </c>
      <c r="H7052" s="12">
        <v>-3.5819448292659501</v>
      </c>
      <c r="I7052" s="20">
        <v>-0.37337717500031398</v>
      </c>
      <c r="J7052" s="28">
        <v>0.70886774492290605</v>
      </c>
      <c r="K7052" s="29">
        <v>0.98289565623980701</v>
      </c>
    </row>
    <row r="7053" spans="1:11" x14ac:dyDescent="0.35">
      <c r="A7053" s="9" t="str">
        <f>HYPERLINK("http://www.ensembl.org/id/WBGene00196780", "WBGene00196780")</f>
        <v>WBGene00196780</v>
      </c>
      <c r="B7053" s="9"/>
      <c r="C7053" s="9"/>
      <c r="D7053" t="str">
        <f>"C17E4.15"</f>
        <v>C17E4.15</v>
      </c>
      <c r="F7053" t="s">
        <v>481</v>
      </c>
      <c r="H7053" s="12">
        <v>2.3893468495514898</v>
      </c>
      <c r="I7053" s="20">
        <v>0.25323547253672701</v>
      </c>
      <c r="J7053" s="28">
        <v>0.80008625651646104</v>
      </c>
      <c r="K7053" s="29">
        <v>0.98289565623980701</v>
      </c>
    </row>
    <row r="7054" spans="1:11" x14ac:dyDescent="0.35">
      <c r="A7054" s="9" t="str">
        <f>HYPERLINK("http://www.ensembl.org/id/WBGene00198214", "WBGene00198214")</f>
        <v>WBGene00198214</v>
      </c>
      <c r="B7054" s="9"/>
      <c r="C7054" s="9"/>
      <c r="D7054" t="str">
        <f>"C17E4.17"</f>
        <v>C17E4.17</v>
      </c>
      <c r="F7054" t="s">
        <v>481</v>
      </c>
      <c r="H7054" s="12">
        <v>2.3893468495514898</v>
      </c>
      <c r="I7054" s="20">
        <v>0.25323547253672701</v>
      </c>
      <c r="J7054" s="28">
        <v>0.80008625651646104</v>
      </c>
      <c r="K7054" s="29">
        <v>0.98289565623980701</v>
      </c>
    </row>
    <row r="7055" spans="1:11" x14ac:dyDescent="0.35">
      <c r="A7055" s="9" t="str">
        <f>HYPERLINK("http://www.ensembl.org/id/WBGene00200265", "WBGene00200265")</f>
        <v>WBGene00200265</v>
      </c>
      <c r="B7055" s="9"/>
      <c r="C7055" s="9"/>
      <c r="D7055" t="str">
        <f>"C17E4.18"</f>
        <v>C17E4.18</v>
      </c>
      <c r="F7055" t="s">
        <v>481</v>
      </c>
      <c r="H7055" s="12">
        <v>3.6645215954135</v>
      </c>
      <c r="I7055" s="20">
        <v>0.37967131826092498</v>
      </c>
      <c r="J7055" s="28">
        <v>0.70418941338960395</v>
      </c>
      <c r="K7055" s="29">
        <v>0.98289565623980701</v>
      </c>
    </row>
    <row r="7056" spans="1:11" x14ac:dyDescent="0.35">
      <c r="A7056" s="9" t="str">
        <f>HYPERLINK("http://www.ensembl.org/id/WBGene00219310", "WBGene00219310")</f>
        <v>WBGene00219310</v>
      </c>
      <c r="B7056" s="9" t="str">
        <f>HYPERLINK("http://www.ncbi.nlm.nih.gov/gene/13181455", "13181455")</f>
        <v>13181455</v>
      </c>
      <c r="C7056" s="9"/>
      <c r="D7056" t="str">
        <f>"C17E4.19"</f>
        <v>C17E4.19</v>
      </c>
      <c r="F7056" t="s">
        <v>11</v>
      </c>
      <c r="H7056" s="12">
        <v>-2.2505269475545102</v>
      </c>
      <c r="I7056" s="20">
        <v>-1.10532654134217</v>
      </c>
      <c r="J7056" s="28">
        <v>0.26901812130692798</v>
      </c>
      <c r="K7056" s="29">
        <v>0.98289565623980701</v>
      </c>
    </row>
    <row r="7057" spans="1:11" x14ac:dyDescent="0.35">
      <c r="A7057" s="9" t="str">
        <f>HYPERLINK("http://www.ensembl.org/id/WBGene00219313", "WBGene00219313")</f>
        <v>WBGene00219313</v>
      </c>
      <c r="B7057" s="9" t="str">
        <f>HYPERLINK("http://www.ncbi.nlm.nih.gov/gene/13181457", "13181457")</f>
        <v>13181457</v>
      </c>
      <c r="C7057" s="9"/>
      <c r="D7057" t="str">
        <f>"C17E4.20"</f>
        <v>C17E4.20</v>
      </c>
      <c r="F7057" t="s">
        <v>11</v>
      </c>
      <c r="H7057" s="12">
        <v>1.2164087807157</v>
      </c>
      <c r="I7057" s="20">
        <v>0.82763289536172802</v>
      </c>
      <c r="J7057" s="28">
        <v>0.40787843281639002</v>
      </c>
      <c r="K7057" s="29">
        <v>0.98289565623980701</v>
      </c>
    </row>
    <row r="7058" spans="1:11" x14ac:dyDescent="0.35">
      <c r="A7058" s="9" t="str">
        <f>HYPERLINK("http://www.ensembl.org/id/WBGene00007645", "WBGene00007645")</f>
        <v>WBGene00007645</v>
      </c>
      <c r="B7058" s="9" t="str">
        <f>HYPERLINK("http://www.ncbi.nlm.nih.gov/gene/172769", "172769")</f>
        <v>172769</v>
      </c>
      <c r="C7058" s="9"/>
      <c r="D7058" t="str">
        <f>"C17E4.6"</f>
        <v>C17E4.6</v>
      </c>
      <c r="F7058" t="s">
        <v>11</v>
      </c>
      <c r="G7058" t="s">
        <v>7590</v>
      </c>
      <c r="H7058" s="12">
        <v>-1.1345158505805</v>
      </c>
      <c r="I7058" s="20">
        <v>-0.58390394836166504</v>
      </c>
      <c r="J7058" s="28">
        <v>0.55928493660612399</v>
      </c>
      <c r="K7058" s="29">
        <v>0.98289565623980701</v>
      </c>
    </row>
    <row r="7059" spans="1:11" x14ac:dyDescent="0.35">
      <c r="A7059" s="9" t="str">
        <f>HYPERLINK("http://www.ensembl.org/id/WBGene00015906", "WBGene00015906")</f>
        <v>WBGene00015906</v>
      </c>
      <c r="B7059" s="9" t="str">
        <f>HYPERLINK("http://www.ncbi.nlm.nih.gov/gene/182735", "182735")</f>
        <v>182735</v>
      </c>
      <c r="C7059" s="9"/>
      <c r="D7059" t="str">
        <f>"C17E7.13"</f>
        <v>C17E7.13</v>
      </c>
      <c r="F7059" t="s">
        <v>11</v>
      </c>
      <c r="G7059" t="s">
        <v>25</v>
      </c>
      <c r="H7059" s="12">
        <v>1.84029095129646</v>
      </c>
      <c r="I7059" s="20">
        <v>0.90654735945730902</v>
      </c>
      <c r="J7059" s="28">
        <v>0.36464620965651101</v>
      </c>
      <c r="K7059" s="29">
        <v>0.98289565623980701</v>
      </c>
    </row>
    <row r="7060" spans="1:11" x14ac:dyDescent="0.35">
      <c r="A7060" s="9" t="str">
        <f>HYPERLINK("http://www.ensembl.org/id/WBGene00015907", "WBGene00015907")</f>
        <v>WBGene00015907</v>
      </c>
      <c r="B7060" s="9" t="str">
        <f>HYPERLINK("http://www.ncbi.nlm.nih.gov/gene/172386", "172386")</f>
        <v>172386</v>
      </c>
      <c r="C7060" s="9"/>
      <c r="D7060" t="str">
        <f>"C17F3.1"</f>
        <v>C17F3.1</v>
      </c>
      <c r="F7060" t="s">
        <v>11</v>
      </c>
      <c r="G7060" t="s">
        <v>25</v>
      </c>
      <c r="H7060" s="12">
        <v>-1.36727291052877</v>
      </c>
      <c r="I7060" s="20">
        <v>-0.39808828215688702</v>
      </c>
      <c r="J7060" s="28">
        <v>0.69056511161667</v>
      </c>
      <c r="K7060" s="29">
        <v>0.98289565623980701</v>
      </c>
    </row>
    <row r="7061" spans="1:11" x14ac:dyDescent="0.35">
      <c r="A7061" s="9" t="str">
        <f>HYPERLINK("http://www.ensembl.org/id/WBGene00015908", "WBGene00015908")</f>
        <v>WBGene00015908</v>
      </c>
      <c r="B7061" s="9" t="str">
        <f>HYPERLINK("http://www.ncbi.nlm.nih.gov/gene/182736", "182736")</f>
        <v>182736</v>
      </c>
      <c r="C7061" s="9"/>
      <c r="D7061" t="str">
        <f>"C17F3.3"</f>
        <v>C17F3.3</v>
      </c>
      <c r="F7061" t="s">
        <v>11</v>
      </c>
      <c r="H7061" s="12">
        <v>-2.29282556778863</v>
      </c>
      <c r="I7061" s="20">
        <v>-0.40513534752526997</v>
      </c>
      <c r="J7061" s="28">
        <v>0.685378025190304</v>
      </c>
      <c r="K7061" s="29">
        <v>0.98289565623980701</v>
      </c>
    </row>
    <row r="7062" spans="1:11" x14ac:dyDescent="0.35">
      <c r="A7062" s="9" t="str">
        <f>HYPERLINK("http://www.ensembl.org/id/WBGene00200196", "WBGene00200196")</f>
        <v>WBGene00200196</v>
      </c>
      <c r="B7062" s="9"/>
      <c r="C7062" s="9"/>
      <c r="D7062" t="str">
        <f>"C17G1.12"</f>
        <v>C17G1.12</v>
      </c>
      <c r="F7062" t="s">
        <v>481</v>
      </c>
      <c r="H7062" s="12">
        <v>2.3893468495514898</v>
      </c>
      <c r="I7062" s="20">
        <v>0.25323547253672701</v>
      </c>
      <c r="J7062" s="28">
        <v>0.80008625651646104</v>
      </c>
      <c r="K7062" s="29">
        <v>0.98289565623980701</v>
      </c>
    </row>
    <row r="7063" spans="1:11" x14ac:dyDescent="0.35">
      <c r="A7063" s="9" t="str">
        <f>HYPERLINK("http://www.ensembl.org/id/WBGene00200358", "WBGene00200358")</f>
        <v>WBGene00200358</v>
      </c>
      <c r="B7063" s="9"/>
      <c r="C7063" s="9"/>
      <c r="D7063" t="str">
        <f>"C17G1.13"</f>
        <v>C17G1.13</v>
      </c>
      <c r="F7063" t="s">
        <v>481</v>
      </c>
      <c r="H7063" s="12">
        <v>-2.4991590031922399</v>
      </c>
      <c r="I7063" s="20">
        <v>-0.26577412737581302</v>
      </c>
      <c r="J7063" s="28">
        <v>0.79041317015736101</v>
      </c>
      <c r="K7063" s="29">
        <v>0.98289565623980701</v>
      </c>
    </row>
    <row r="7064" spans="1:11" x14ac:dyDescent="0.35">
      <c r="A7064" s="9" t="str">
        <f>HYPERLINK("http://www.ensembl.org/id/WBGene00007652", "WBGene00007652")</f>
        <v>WBGene00007652</v>
      </c>
      <c r="B7064" s="9" t="str">
        <f>HYPERLINK("http://www.ncbi.nlm.nih.gov/gene/181207", "181207")</f>
        <v>181207</v>
      </c>
      <c r="C7064" s="9"/>
      <c r="D7064" t="str">
        <f>"C17G1.5"</f>
        <v>C17G1.5</v>
      </c>
      <c r="F7064" t="s">
        <v>11</v>
      </c>
      <c r="H7064" s="12">
        <v>1.19740379329461</v>
      </c>
      <c r="I7064" s="20">
        <v>0.89734568971784201</v>
      </c>
      <c r="J7064" s="28">
        <v>0.36953448320615401</v>
      </c>
      <c r="K7064" s="29">
        <v>0.98289565623980701</v>
      </c>
    </row>
    <row r="7065" spans="1:11" x14ac:dyDescent="0.35">
      <c r="A7065" s="9" t="str">
        <f>HYPERLINK("http://www.ensembl.org/id/WBGene00197154", "WBGene00197154")</f>
        <v>WBGene00197154</v>
      </c>
      <c r="B7065" s="9"/>
      <c r="C7065" s="9"/>
      <c r="D7065" t="str">
        <f>"C17G1.9"</f>
        <v>C17G1.9</v>
      </c>
      <c r="F7065" t="s">
        <v>481</v>
      </c>
      <c r="H7065" s="12">
        <v>-2.4295389261469</v>
      </c>
      <c r="I7065" s="20">
        <v>-0.25808529976640998</v>
      </c>
      <c r="J7065" s="28">
        <v>0.79634107645457397</v>
      </c>
      <c r="K7065" s="29">
        <v>0.98289565623980701</v>
      </c>
    </row>
    <row r="7066" spans="1:11" x14ac:dyDescent="0.35">
      <c r="A7066" s="9" t="str">
        <f>HYPERLINK("http://www.ensembl.org/id/WBGene00199471", "WBGene00199471")</f>
        <v>WBGene00199471</v>
      </c>
      <c r="B7066" s="9"/>
      <c r="C7066" s="9"/>
      <c r="D7066" t="str">
        <f>"C17G10.11"</f>
        <v>C17G10.11</v>
      </c>
      <c r="F7066" t="s">
        <v>481</v>
      </c>
      <c r="H7066" s="12">
        <v>2.3893468495514898</v>
      </c>
      <c r="I7066" s="20">
        <v>0.25323547253672701</v>
      </c>
      <c r="J7066" s="28">
        <v>0.80008625651646104</v>
      </c>
      <c r="K7066" s="29">
        <v>0.98289565623980701</v>
      </c>
    </row>
    <row r="7067" spans="1:11" x14ac:dyDescent="0.35">
      <c r="A7067" s="9" t="str">
        <f>HYPERLINK("http://www.ensembl.org/id/WBGene00270322", "WBGene00270322")</f>
        <v>WBGene00270322</v>
      </c>
      <c r="B7067" s="9" t="str">
        <f>HYPERLINK("http://www.ncbi.nlm.nih.gov/gene/29991187", "29991187")</f>
        <v>29991187</v>
      </c>
      <c r="C7067" s="9"/>
      <c r="D7067" t="str">
        <f>"C17G10.13"</f>
        <v>C17G10.13</v>
      </c>
      <c r="F7067" t="s">
        <v>11</v>
      </c>
      <c r="G7067" t="s">
        <v>9760</v>
      </c>
      <c r="H7067" s="12">
        <v>-1.2956211108717299</v>
      </c>
      <c r="I7067" s="20">
        <v>-1.20281115249036</v>
      </c>
      <c r="J7067" s="28">
        <v>0.22904940806931101</v>
      </c>
      <c r="K7067" s="29">
        <v>0.98289565623980701</v>
      </c>
    </row>
    <row r="7068" spans="1:11" x14ac:dyDescent="0.35">
      <c r="A7068" s="9" t="str">
        <f>HYPERLINK("http://www.ensembl.org/id/WBGene00015925", "WBGene00015925")</f>
        <v>WBGene00015925</v>
      </c>
      <c r="B7068" s="9" t="str">
        <f>HYPERLINK("http://www.ncbi.nlm.nih.gov/gene/182753", "182753")</f>
        <v>182753</v>
      </c>
      <c r="C7068" s="9"/>
      <c r="D7068" t="str">
        <f>"C17H11.5"</f>
        <v>C17H11.5</v>
      </c>
      <c r="F7068" t="s">
        <v>11</v>
      </c>
      <c r="H7068" s="12">
        <v>1.25194621054936</v>
      </c>
      <c r="I7068" s="20">
        <v>0.53128164755993101</v>
      </c>
      <c r="J7068" s="28">
        <v>0.59522362109131799</v>
      </c>
      <c r="K7068" s="29">
        <v>0.98289565623980701</v>
      </c>
    </row>
    <row r="7069" spans="1:11" x14ac:dyDescent="0.35">
      <c r="A7069" s="9" t="str">
        <f>HYPERLINK("http://www.ensembl.org/id/WBGene00015926", "WBGene00015926")</f>
        <v>WBGene00015926</v>
      </c>
      <c r="B7069" s="9" t="str">
        <f>HYPERLINK("http://www.ncbi.nlm.nih.gov/gene/181076", "181076")</f>
        <v>181076</v>
      </c>
      <c r="C7069" s="9"/>
      <c r="D7069" t="str">
        <f>"C17H11.6"</f>
        <v>C17H11.6</v>
      </c>
      <c r="E7069" t="s">
        <v>1143</v>
      </c>
      <c r="F7069" t="s">
        <v>11</v>
      </c>
      <c r="G7069" t="s">
        <v>1144</v>
      </c>
      <c r="H7069" s="12">
        <v>1.0614517774715899</v>
      </c>
      <c r="I7069" s="20">
        <v>0.31948604451506502</v>
      </c>
      <c r="J7069" s="28">
        <v>0.74935797221243095</v>
      </c>
      <c r="K7069" s="29">
        <v>0.98289565623980701</v>
      </c>
    </row>
    <row r="7070" spans="1:11" x14ac:dyDescent="0.35">
      <c r="A7070" s="9" t="str">
        <f>HYPERLINK("http://www.ensembl.org/id/WBGene00199130", "WBGene00199130")</f>
        <v>WBGene00199130</v>
      </c>
      <c r="B7070" s="9"/>
      <c r="C7070" s="9"/>
      <c r="D7070" t="str">
        <f>"C17H11.7"</f>
        <v>C17H11.7</v>
      </c>
      <c r="F7070" t="s">
        <v>481</v>
      </c>
      <c r="H7070" s="12">
        <v>3.5227018545059199</v>
      </c>
      <c r="I7070" s="20">
        <v>0.36849691206929103</v>
      </c>
      <c r="J7070" s="28">
        <v>0.71250274722433404</v>
      </c>
      <c r="K7070" s="29">
        <v>0.98289565623980701</v>
      </c>
    </row>
    <row r="7071" spans="1:11" x14ac:dyDescent="0.35">
      <c r="A7071" s="9" t="str">
        <f>HYPERLINK("http://www.ensembl.org/id/WBGene00015936", "WBGene00015936")</f>
        <v>WBGene00015936</v>
      </c>
      <c r="B7071" s="9" t="str">
        <f>HYPERLINK("http://www.ncbi.nlm.nih.gov/gene/182757", "182757")</f>
        <v>182757</v>
      </c>
      <c r="C7071" s="9"/>
      <c r="D7071" t="str">
        <f>"C17H12.11"</f>
        <v>C17H12.11</v>
      </c>
      <c r="F7071" t="s">
        <v>11</v>
      </c>
      <c r="H7071" s="12">
        <v>1.12421992292819</v>
      </c>
      <c r="I7071" s="20">
        <v>0.55521452819985095</v>
      </c>
      <c r="J7071" s="28">
        <v>0.57874793284482495</v>
      </c>
      <c r="K7071" s="29">
        <v>0.98289565623980701</v>
      </c>
    </row>
    <row r="7072" spans="1:11" x14ac:dyDescent="0.35">
      <c r="A7072" s="9" t="str">
        <f>HYPERLINK("http://www.ensembl.org/id/WBGene00015928", "WBGene00015928")</f>
        <v>WBGene00015928</v>
      </c>
      <c r="B7072" s="9" t="str">
        <f>HYPERLINK("http://www.ncbi.nlm.nih.gov/gene/177441", "177441")</f>
        <v>177441</v>
      </c>
      <c r="C7072" s="9" t="str">
        <f>HYPERLINK("http://www.ncbi.nlm.nih.gov/gene/90231", "90231")</f>
        <v>90231</v>
      </c>
      <c r="D7072" t="str">
        <f>"C17H12.2"</f>
        <v>C17H12.2</v>
      </c>
      <c r="F7072" t="s">
        <v>11</v>
      </c>
      <c r="G7072" t="s">
        <v>25</v>
      </c>
      <c r="H7072" s="12">
        <v>-1.22270989568032</v>
      </c>
      <c r="I7072" s="20">
        <v>-1.0520470371935999</v>
      </c>
      <c r="J7072" s="28">
        <v>0.29277796955317897</v>
      </c>
      <c r="K7072" s="29">
        <v>0.98289565623980701</v>
      </c>
    </row>
    <row r="7073" spans="1:11" x14ac:dyDescent="0.35">
      <c r="A7073" s="9" t="str">
        <f>HYPERLINK("http://www.ensembl.org/id/WBGene00200214", "WBGene00200214")</f>
        <v>WBGene00200214</v>
      </c>
      <c r="B7073" s="9"/>
      <c r="C7073" s="9"/>
      <c r="D7073" t="str">
        <f>"C17H12.35"</f>
        <v>C17H12.35</v>
      </c>
      <c r="F7073" t="s">
        <v>481</v>
      </c>
      <c r="H7073" s="12">
        <v>3.6645215954135</v>
      </c>
      <c r="I7073" s="20">
        <v>0.37967131826092498</v>
      </c>
      <c r="J7073" s="28">
        <v>0.70418941338960395</v>
      </c>
      <c r="K7073" s="29">
        <v>0.98289565623980701</v>
      </c>
    </row>
    <row r="7074" spans="1:11" x14ac:dyDescent="0.35">
      <c r="A7074" s="9" t="str">
        <f>HYPERLINK("http://www.ensembl.org/id/WBGene00236786", "WBGene00236786")</f>
        <v>WBGene00236786</v>
      </c>
      <c r="B7074" s="9" t="str">
        <f>HYPERLINK("http://www.ncbi.nlm.nih.gov/gene/24104222", "24104222")</f>
        <v>24104222</v>
      </c>
      <c r="C7074" s="9"/>
      <c r="D7074" t="str">
        <f>"C17H12.37"</f>
        <v>C17H12.37</v>
      </c>
      <c r="F7074" t="s">
        <v>11</v>
      </c>
      <c r="H7074" s="12">
        <v>2.1673680031365499</v>
      </c>
      <c r="I7074" s="20">
        <v>0.66116644598672003</v>
      </c>
      <c r="J7074" s="28">
        <v>0.50850557697962295</v>
      </c>
      <c r="K7074" s="29">
        <v>0.98289565623980701</v>
      </c>
    </row>
    <row r="7075" spans="1:11" x14ac:dyDescent="0.35">
      <c r="A7075" s="9" t="str">
        <f>HYPERLINK("http://www.ensembl.org/id/WBGene00015932", "WBGene00015932")</f>
        <v>WBGene00015932</v>
      </c>
      <c r="B7075" s="9" t="str">
        <f>HYPERLINK("http://www.ncbi.nlm.nih.gov/gene/182755", "182755")</f>
        <v>182755</v>
      </c>
      <c r="C7075" s="9"/>
      <c r="D7075" t="str">
        <f>"C17H12.6"</f>
        <v>C17H12.6</v>
      </c>
      <c r="F7075" t="s">
        <v>11</v>
      </c>
      <c r="G7075" t="s">
        <v>264</v>
      </c>
      <c r="H7075" s="12">
        <v>1.6629066512295101</v>
      </c>
      <c r="I7075" s="20">
        <v>0.95648398078857599</v>
      </c>
      <c r="J7075" s="28">
        <v>0.33882777380565399</v>
      </c>
      <c r="K7075" s="29">
        <v>0.98289565623980701</v>
      </c>
    </row>
    <row r="7076" spans="1:11" x14ac:dyDescent="0.35">
      <c r="A7076" s="9" t="str">
        <f>HYPERLINK("http://www.ensembl.org/id/WBGene00015947", "WBGene00015947")</f>
        <v>WBGene00015947</v>
      </c>
      <c r="B7076" s="9" t="str">
        <f>HYPERLINK("http://www.ncbi.nlm.nih.gov/gene/182759", "182759")</f>
        <v>182759</v>
      </c>
      <c r="C7076" s="9"/>
      <c r="D7076" t="str">
        <f>"C18A11.1"</f>
        <v>C18A11.1</v>
      </c>
      <c r="F7076" t="s">
        <v>11</v>
      </c>
      <c r="H7076" s="12">
        <v>-1.1462890695913699</v>
      </c>
      <c r="I7076" s="20">
        <v>-0.63466828944868303</v>
      </c>
      <c r="J7076" s="28">
        <v>0.52564477943735499</v>
      </c>
      <c r="K7076" s="29">
        <v>0.98289565623980701</v>
      </c>
    </row>
    <row r="7077" spans="1:11" x14ac:dyDescent="0.35">
      <c r="A7077" s="9" t="str">
        <f>HYPERLINK("http://www.ensembl.org/id/WBGene00201175", "WBGene00201175")</f>
        <v>WBGene00201175</v>
      </c>
      <c r="B7077" s="9"/>
      <c r="C7077" s="9"/>
      <c r="D7077" t="str">
        <f>"C18A11.13"</f>
        <v>C18A11.13</v>
      </c>
      <c r="F7077" t="s">
        <v>481</v>
      </c>
      <c r="H7077" s="12">
        <v>2.4578120077400301</v>
      </c>
      <c r="I7077" s="20">
        <v>0.26093350314551</v>
      </c>
      <c r="J7077" s="28">
        <v>0.79414378780213601</v>
      </c>
      <c r="K7077" s="29">
        <v>0.98289565623980701</v>
      </c>
    </row>
    <row r="7078" spans="1:11" x14ac:dyDescent="0.35">
      <c r="A7078" s="9" t="str">
        <f>HYPERLINK("http://www.ensembl.org/id/WBGene00015949", "WBGene00015949")</f>
        <v>WBGene00015949</v>
      </c>
      <c r="B7078" s="9" t="str">
        <f>HYPERLINK("http://www.ncbi.nlm.nih.gov/gene/181063", "181063")</f>
        <v>181063</v>
      </c>
      <c r="C7078" s="9"/>
      <c r="D7078" t="str">
        <f>"C18A11.3"</f>
        <v>C18A11.3</v>
      </c>
      <c r="F7078" t="s">
        <v>11</v>
      </c>
      <c r="G7078" t="s">
        <v>25</v>
      </c>
      <c r="H7078" s="12">
        <v>-1.1673249504052901</v>
      </c>
      <c r="I7078" s="20">
        <v>-0.61127831411992894</v>
      </c>
      <c r="J7078" s="28">
        <v>0.54101534505836402</v>
      </c>
      <c r="K7078" s="29">
        <v>0.98289565623980701</v>
      </c>
    </row>
    <row r="7079" spans="1:11" x14ac:dyDescent="0.35">
      <c r="A7079" s="9" t="str">
        <f>HYPERLINK("http://www.ensembl.org/id/WBGene00015950", "WBGene00015950")</f>
        <v>WBGene00015950</v>
      </c>
      <c r="B7079" s="9" t="str">
        <f>HYPERLINK("http://www.ncbi.nlm.nih.gov/gene/182761", "182761")</f>
        <v>182761</v>
      </c>
      <c r="C7079" s="9"/>
      <c r="D7079" t="str">
        <f>"C18A11.4"</f>
        <v>C18A11.4</v>
      </c>
      <c r="F7079" t="s">
        <v>11</v>
      </c>
      <c r="H7079" s="12">
        <v>1.702433885641</v>
      </c>
      <c r="I7079" s="20">
        <v>0.385455379900002</v>
      </c>
      <c r="J7079" s="28">
        <v>0.69990005895148399</v>
      </c>
      <c r="K7079" s="29">
        <v>0.98289565623980701</v>
      </c>
    </row>
    <row r="7080" spans="1:11" x14ac:dyDescent="0.35">
      <c r="A7080" s="9" t="str">
        <f>HYPERLINK("http://www.ensembl.org/id/WBGene00022938", "WBGene00022938")</f>
        <v>WBGene00022938</v>
      </c>
      <c r="B7080" s="9"/>
      <c r="C7080" s="9"/>
      <c r="D7080" t="str">
        <f>"C18A11.t1"</f>
        <v>C18A11.t1</v>
      </c>
      <c r="F7080" t="s">
        <v>4208</v>
      </c>
      <c r="H7080" s="12">
        <v>3.5227018545059199</v>
      </c>
      <c r="I7080" s="20">
        <v>0.36849691206929103</v>
      </c>
      <c r="J7080" s="28">
        <v>0.71250274722433404</v>
      </c>
      <c r="K7080" s="29">
        <v>0.98289565623980701</v>
      </c>
    </row>
    <row r="7081" spans="1:11" x14ac:dyDescent="0.35">
      <c r="A7081" s="9" t="str">
        <f>HYPERLINK("http://www.ensembl.org/id/WBGene00044704", "WBGene00044704")</f>
        <v>WBGene00044704</v>
      </c>
      <c r="B7081" s="9"/>
      <c r="C7081" s="9"/>
      <c r="D7081" t="str">
        <f>"C18A3.12"</f>
        <v>C18A3.12</v>
      </c>
      <c r="F7081" t="s">
        <v>2977</v>
      </c>
      <c r="H7081" s="12">
        <v>-2.4295389261469</v>
      </c>
      <c r="I7081" s="20">
        <v>-0.25808529976640998</v>
      </c>
      <c r="J7081" s="28">
        <v>0.79634107645457397</v>
      </c>
      <c r="K7081" s="29">
        <v>0.98289565623980701</v>
      </c>
    </row>
    <row r="7082" spans="1:11" x14ac:dyDescent="0.35">
      <c r="A7082" s="9" t="str">
        <f>HYPERLINK("http://www.ensembl.org/id/WBGene00195841", "WBGene00195841")</f>
        <v>WBGene00195841</v>
      </c>
      <c r="B7082" s="9"/>
      <c r="C7082" s="9"/>
      <c r="D7082" t="str">
        <f>"C18A3.14"</f>
        <v>C18A3.14</v>
      </c>
      <c r="F7082" t="s">
        <v>481</v>
      </c>
      <c r="H7082" s="12">
        <v>-2.4295389261469</v>
      </c>
      <c r="I7082" s="20">
        <v>-0.25808529976640998</v>
      </c>
      <c r="J7082" s="28">
        <v>0.79634107645457397</v>
      </c>
      <c r="K7082" s="29">
        <v>0.98289565623980701</v>
      </c>
    </row>
    <row r="7083" spans="1:11" x14ac:dyDescent="0.35">
      <c r="A7083" s="9" t="str">
        <f>HYPERLINK("http://www.ensembl.org/id/WBGene00197102", "WBGene00197102")</f>
        <v>WBGene00197102</v>
      </c>
      <c r="B7083" s="9"/>
      <c r="C7083" s="9"/>
      <c r="D7083" t="str">
        <f>"C18A3.18"</f>
        <v>C18A3.18</v>
      </c>
      <c r="F7083" t="s">
        <v>481</v>
      </c>
      <c r="H7083" s="12">
        <v>2.4578120077400301</v>
      </c>
      <c r="I7083" s="20">
        <v>0.26093350314551</v>
      </c>
      <c r="J7083" s="28">
        <v>0.79414378780213601</v>
      </c>
      <c r="K7083" s="29">
        <v>0.98289565623980701</v>
      </c>
    </row>
    <row r="7084" spans="1:11" x14ac:dyDescent="0.35">
      <c r="A7084" s="9" t="str">
        <f>HYPERLINK("http://www.ensembl.org/id/WBGene00198413", "WBGene00198413")</f>
        <v>WBGene00198413</v>
      </c>
      <c r="B7084" s="9"/>
      <c r="C7084" s="9"/>
      <c r="D7084" t="str">
        <f>"C18A3.21"</f>
        <v>C18A3.21</v>
      </c>
      <c r="F7084" t="s">
        <v>481</v>
      </c>
      <c r="H7084" s="12">
        <v>2.3893468495514898</v>
      </c>
      <c r="I7084" s="20">
        <v>0.25323547253672701</v>
      </c>
      <c r="J7084" s="28">
        <v>0.80008625651646104</v>
      </c>
      <c r="K7084" s="29">
        <v>0.98289565623980701</v>
      </c>
    </row>
    <row r="7085" spans="1:11" x14ac:dyDescent="0.35">
      <c r="A7085" s="9" t="str">
        <f>HYPERLINK("http://www.ensembl.org/id/WBGene00219823", "WBGene00219823")</f>
        <v>WBGene00219823</v>
      </c>
      <c r="B7085" s="9"/>
      <c r="C7085" s="9"/>
      <c r="D7085" t="str">
        <f>"C18A3.24"</f>
        <v>C18A3.24</v>
      </c>
      <c r="F7085" t="s">
        <v>2977</v>
      </c>
      <c r="H7085" s="12">
        <v>4.4368407117627902</v>
      </c>
      <c r="I7085" s="20">
        <v>0.43709475933309699</v>
      </c>
      <c r="J7085" s="28">
        <v>0.66204262779770495</v>
      </c>
      <c r="K7085" s="29">
        <v>0.98289565623980701</v>
      </c>
    </row>
    <row r="7086" spans="1:11" x14ac:dyDescent="0.35">
      <c r="A7086" s="9" t="str">
        <f>HYPERLINK("http://www.ensembl.org/id/WBGene00015941", "WBGene00015941")</f>
        <v>WBGene00015941</v>
      </c>
      <c r="B7086" s="9" t="str">
        <f>HYPERLINK("http://www.ncbi.nlm.nih.gov/gene/173968", "173968")</f>
        <v>173968</v>
      </c>
      <c r="C7086" s="9" t="str">
        <f>HYPERLINK("http://www.ncbi.nlm.nih.gov/gene/10969", "10969")</f>
        <v>10969</v>
      </c>
      <c r="D7086" t="str">
        <f>"C18A3.3"</f>
        <v>C18A3.3</v>
      </c>
      <c r="E7086" t="s">
        <v>6685</v>
      </c>
      <c r="F7086" t="s">
        <v>11</v>
      </c>
      <c r="G7086" t="s">
        <v>6686</v>
      </c>
      <c r="H7086" s="12">
        <v>-1.0846693597852199</v>
      </c>
      <c r="I7086" s="20">
        <v>-0.38468922099293201</v>
      </c>
      <c r="J7086" s="28">
        <v>0.70046768219044697</v>
      </c>
      <c r="K7086" s="29">
        <v>0.98289565623980701</v>
      </c>
    </row>
    <row r="7087" spans="1:11" x14ac:dyDescent="0.35">
      <c r="A7087" s="9" t="str">
        <f>HYPERLINK("http://www.ensembl.org/id/WBGene00015944", "WBGene00015944")</f>
        <v>WBGene00015944</v>
      </c>
      <c r="B7087" s="9" t="str">
        <f>HYPERLINK("http://www.ncbi.nlm.nih.gov/gene/173972", "173972")</f>
        <v>173972</v>
      </c>
      <c r="C7087" s="9"/>
      <c r="D7087" t="str">
        <f>"C18A3.7"</f>
        <v>C18A3.7</v>
      </c>
      <c r="F7087" t="s">
        <v>11</v>
      </c>
      <c r="H7087" s="12">
        <v>1.9655580282906999</v>
      </c>
      <c r="I7087" s="20">
        <v>0.59756142590550698</v>
      </c>
      <c r="J7087" s="28">
        <v>0.55013260917701601</v>
      </c>
      <c r="K7087" s="29">
        <v>0.98289565623980701</v>
      </c>
    </row>
    <row r="7088" spans="1:11" x14ac:dyDescent="0.35">
      <c r="A7088" s="9" t="str">
        <f>HYPERLINK("http://www.ensembl.org/id/WBGene00015945", "WBGene00015945")</f>
        <v>WBGene00015945</v>
      </c>
      <c r="B7088" s="9" t="str">
        <f>HYPERLINK("http://www.ncbi.nlm.nih.gov/gene/259688", "259688")</f>
        <v>259688</v>
      </c>
      <c r="C7088" s="9"/>
      <c r="D7088" t="str">
        <f>"C18A3.9"</f>
        <v>C18A3.9</v>
      </c>
      <c r="F7088" t="s">
        <v>11</v>
      </c>
      <c r="G7088" t="s">
        <v>25</v>
      </c>
      <c r="H7088" s="12">
        <v>-1.5592548929222301</v>
      </c>
      <c r="I7088" s="20">
        <v>-0.28846190798647398</v>
      </c>
      <c r="J7088" s="28">
        <v>0.77299318481781698</v>
      </c>
      <c r="K7088" s="29">
        <v>0.98289565623980701</v>
      </c>
    </row>
    <row r="7089" spans="1:11" x14ac:dyDescent="0.35">
      <c r="A7089" s="9" t="str">
        <f>HYPERLINK("http://www.ensembl.org/id/WBGene00015963", "WBGene00015963")</f>
        <v>WBGene00015963</v>
      </c>
      <c r="B7089" s="9" t="str">
        <f>HYPERLINK("http://www.ncbi.nlm.nih.gov/gene/182773", "182773")</f>
        <v>182773</v>
      </c>
      <c r="C7089" s="9"/>
      <c r="D7089" t="str">
        <f>"C18B10.6"</f>
        <v>C18B10.6</v>
      </c>
      <c r="F7089" t="s">
        <v>11</v>
      </c>
      <c r="H7089" s="12">
        <v>-1.12540341244433</v>
      </c>
      <c r="I7089" s="20">
        <v>-0.27156160255620498</v>
      </c>
      <c r="J7089" s="28">
        <v>0.78595912693675696</v>
      </c>
      <c r="K7089" s="29">
        <v>0.98289565623980701</v>
      </c>
    </row>
    <row r="7090" spans="1:11" x14ac:dyDescent="0.35">
      <c r="A7090" s="9" t="str">
        <f>HYPERLINK("http://www.ensembl.org/id/WBGene00007666", "WBGene00007666")</f>
        <v>WBGene00007666</v>
      </c>
      <c r="B7090" s="9" t="str">
        <f>HYPERLINK("http://www.ncbi.nlm.nih.gov/gene/181600", "181600")</f>
        <v>181600</v>
      </c>
      <c r="C7090" s="9" t="str">
        <f>HYPERLINK("http://www.ncbi.nlm.nih.gov/gene/26001", "26001")</f>
        <v>26001</v>
      </c>
      <c r="D7090" t="str">
        <f>"C18B12.4"</f>
        <v>C18B12.4</v>
      </c>
      <c r="F7090" t="s">
        <v>11</v>
      </c>
      <c r="G7090" t="s">
        <v>583</v>
      </c>
      <c r="H7090" s="12">
        <v>-1.2032079338524</v>
      </c>
      <c r="I7090" s="20">
        <v>-1.01173706407257</v>
      </c>
      <c r="J7090" s="28">
        <v>0.31166378887058099</v>
      </c>
      <c r="K7090" s="29">
        <v>0.98289565623980701</v>
      </c>
    </row>
    <row r="7091" spans="1:11" x14ac:dyDescent="0.35">
      <c r="A7091" s="9" t="str">
        <f>HYPERLINK("http://www.ensembl.org/id/WBGene00195761", "WBGene00195761")</f>
        <v>WBGene00195761</v>
      </c>
      <c r="B7091" s="9"/>
      <c r="C7091" s="9"/>
      <c r="D7091" t="str">
        <f>"C18B12.9"</f>
        <v>C18B12.9</v>
      </c>
      <c r="F7091" t="s">
        <v>481</v>
      </c>
      <c r="H7091" s="12">
        <v>13.2083681824683</v>
      </c>
      <c r="I7091" s="20">
        <v>0.79736709025154395</v>
      </c>
      <c r="J7091" s="28">
        <v>0.42523786651974499</v>
      </c>
      <c r="K7091" s="29">
        <v>0.98289565623980701</v>
      </c>
    </row>
    <row r="7092" spans="1:11" x14ac:dyDescent="0.35">
      <c r="A7092" s="9" t="str">
        <f>HYPERLINK("http://www.ensembl.org/id/WBGene00015954", "WBGene00015954")</f>
        <v>WBGene00015954</v>
      </c>
      <c r="B7092" s="9" t="str">
        <f>HYPERLINK("http://www.ncbi.nlm.nih.gov/gene/180651", "180651")</f>
        <v>180651</v>
      </c>
      <c r="C7092" s="9"/>
      <c r="D7092" t="str">
        <f>"C18B2.3"</f>
        <v>C18B2.3</v>
      </c>
      <c r="F7092" t="s">
        <v>11</v>
      </c>
      <c r="G7092" t="s">
        <v>54</v>
      </c>
      <c r="H7092" s="12">
        <v>-1.2549106847418099</v>
      </c>
      <c r="I7092" s="20">
        <v>-0.85474376448884404</v>
      </c>
      <c r="J7092" s="28">
        <v>0.39269301654614902</v>
      </c>
      <c r="K7092" s="29">
        <v>0.98289565623980701</v>
      </c>
    </row>
    <row r="7093" spans="1:11" x14ac:dyDescent="0.35">
      <c r="A7093" s="9" t="str">
        <f>HYPERLINK("http://www.ensembl.org/id/WBGene00015955", "WBGene00015955")</f>
        <v>WBGene00015955</v>
      </c>
      <c r="B7093" s="9" t="str">
        <f>HYPERLINK("http://www.ncbi.nlm.nih.gov/gene/180652", "180652")</f>
        <v>180652</v>
      </c>
      <c r="C7093" s="9"/>
      <c r="D7093" t="str">
        <f>"C18B2.4"</f>
        <v>C18B2.4</v>
      </c>
      <c r="F7093" t="s">
        <v>11</v>
      </c>
      <c r="G7093" t="s">
        <v>9099</v>
      </c>
      <c r="H7093" s="12">
        <v>-1.22031542966177</v>
      </c>
      <c r="I7093" s="20">
        <v>-1.09112021542658</v>
      </c>
      <c r="J7093" s="28">
        <v>0.27521998869534298</v>
      </c>
      <c r="K7093" s="29">
        <v>0.98289565623980701</v>
      </c>
    </row>
    <row r="7094" spans="1:11" x14ac:dyDescent="0.35">
      <c r="A7094" s="9" t="str">
        <f>HYPERLINK("http://www.ensembl.org/id/WBGene00015956", "WBGene00015956")</f>
        <v>WBGene00015956</v>
      </c>
      <c r="B7094" s="9" t="str">
        <f>HYPERLINK("http://www.ncbi.nlm.nih.gov/gene/180653", "180653")</f>
        <v>180653</v>
      </c>
      <c r="C7094" s="9"/>
      <c r="D7094" t="str">
        <f>"C18B2.5"</f>
        <v>C18B2.5</v>
      </c>
      <c r="F7094" t="s">
        <v>11</v>
      </c>
      <c r="G7094" t="s">
        <v>8780</v>
      </c>
      <c r="H7094" s="12">
        <v>-1.1959287074304701</v>
      </c>
      <c r="I7094" s="20">
        <v>-0.92705112808651002</v>
      </c>
      <c r="J7094" s="28">
        <v>0.35389998893701802</v>
      </c>
      <c r="K7094" s="29">
        <v>0.98289565623980701</v>
      </c>
    </row>
    <row r="7095" spans="1:11" x14ac:dyDescent="0.35">
      <c r="A7095" s="9" t="str">
        <f>HYPERLINK("http://www.ensembl.org/id/WBGene00219824", "WBGene00219824")</f>
        <v>WBGene00219824</v>
      </c>
      <c r="B7095" s="9"/>
      <c r="C7095" s="9"/>
      <c r="D7095" t="str">
        <f>"C18C4.17"</f>
        <v>C18C4.17</v>
      </c>
      <c r="F7095" t="s">
        <v>481</v>
      </c>
      <c r="H7095" s="12">
        <v>-1.95095021000869</v>
      </c>
      <c r="I7095" s="20">
        <v>-0.27109980765326402</v>
      </c>
      <c r="J7095" s="28">
        <v>0.78631426950972505</v>
      </c>
      <c r="K7095" s="29">
        <v>0.98289565623980701</v>
      </c>
    </row>
    <row r="7096" spans="1:11" x14ac:dyDescent="0.35">
      <c r="A7096" s="9" t="str">
        <f>HYPERLINK("http://www.ensembl.org/id/WBGene00196892", "WBGene00196892")</f>
        <v>WBGene00196892</v>
      </c>
      <c r="B7096" s="9"/>
      <c r="C7096" s="9"/>
      <c r="D7096" t="str">
        <f>"C18D1.12"</f>
        <v>C18D1.12</v>
      </c>
      <c r="F7096" t="s">
        <v>481</v>
      </c>
      <c r="H7096" s="12">
        <v>2.3893468495514898</v>
      </c>
      <c r="I7096" s="20">
        <v>0.25323547253672701</v>
      </c>
      <c r="J7096" s="28">
        <v>0.80008625651646104</v>
      </c>
      <c r="K7096" s="29">
        <v>0.98289565623980701</v>
      </c>
    </row>
    <row r="7097" spans="1:11" x14ac:dyDescent="0.35">
      <c r="A7097" s="9" t="str">
        <f>HYPERLINK("http://www.ensembl.org/id/WBGene00007669", "WBGene00007669")</f>
        <v>WBGene00007669</v>
      </c>
      <c r="B7097" s="9" t="str">
        <f>HYPERLINK("http://www.ncbi.nlm.nih.gov/gene/182781", "182781")</f>
        <v>182781</v>
      </c>
      <c r="C7097" s="9"/>
      <c r="D7097" t="str">
        <f>"C18D1.2"</f>
        <v>C18D1.2</v>
      </c>
      <c r="F7097" t="s">
        <v>11</v>
      </c>
      <c r="G7097" t="s">
        <v>230</v>
      </c>
      <c r="H7097" s="12">
        <v>2.0998083765525499</v>
      </c>
      <c r="I7097" s="20">
        <v>0.60492036504962898</v>
      </c>
      <c r="J7097" s="28">
        <v>0.54523191098202095</v>
      </c>
      <c r="K7097" s="29">
        <v>0.98289565623980701</v>
      </c>
    </row>
    <row r="7098" spans="1:11" x14ac:dyDescent="0.35">
      <c r="A7098" s="9" t="str">
        <f>HYPERLINK("http://www.ensembl.org/id/WBGene00201930", "WBGene00201930")</f>
        <v>WBGene00201930</v>
      </c>
      <c r="B7098" s="9"/>
      <c r="C7098" s="9"/>
      <c r="D7098" t="str">
        <f>"C18D1.20"</f>
        <v>C18D1.20</v>
      </c>
      <c r="F7098" t="s">
        <v>481</v>
      </c>
      <c r="H7098" s="12">
        <v>3.6645215954135</v>
      </c>
      <c r="I7098" s="20">
        <v>0.37967131826092498</v>
      </c>
      <c r="J7098" s="28">
        <v>0.70418941338960395</v>
      </c>
      <c r="K7098" s="29">
        <v>0.98289565623980701</v>
      </c>
    </row>
    <row r="7099" spans="1:11" x14ac:dyDescent="0.35">
      <c r="A7099" s="9" t="str">
        <f>HYPERLINK("http://www.ensembl.org/id/WBGene00007681", "WBGene00007681")</f>
        <v>WBGene00007681</v>
      </c>
      <c r="B7099" s="9" t="str">
        <f>HYPERLINK("http://www.ncbi.nlm.nih.gov/gene/182788", "182788")</f>
        <v>182788</v>
      </c>
      <c r="C7099" s="9"/>
      <c r="D7099" t="str">
        <f>"C18D11.3"</f>
        <v>C18D11.3</v>
      </c>
      <c r="F7099" t="s">
        <v>11</v>
      </c>
      <c r="H7099" s="12">
        <v>-1.2768171667824</v>
      </c>
      <c r="I7099" s="20">
        <v>-1.1490531394008801</v>
      </c>
      <c r="J7099" s="28">
        <v>0.25053406949642698</v>
      </c>
      <c r="K7099" s="29">
        <v>0.98289565623980701</v>
      </c>
    </row>
    <row r="7100" spans="1:11" x14ac:dyDescent="0.35">
      <c r="A7100" s="9" t="str">
        <f>HYPERLINK("http://www.ensembl.org/id/WBGene00044232", "WBGene00044232")</f>
        <v>WBGene00044232</v>
      </c>
      <c r="B7100" s="9" t="str">
        <f>HYPERLINK("http://www.ncbi.nlm.nih.gov/gene/3564800", "3564800")</f>
        <v>3564800</v>
      </c>
      <c r="C7100" s="9"/>
      <c r="D7100" t="str">
        <f>"C18D11.7"</f>
        <v>C18D11.7</v>
      </c>
      <c r="F7100" t="s">
        <v>11</v>
      </c>
      <c r="G7100" t="s">
        <v>54</v>
      </c>
      <c r="H7100" s="12">
        <v>-1.18591500303594</v>
      </c>
      <c r="I7100" s="20">
        <v>-0.77864000590242799</v>
      </c>
      <c r="J7100" s="28">
        <v>0.43619180586812101</v>
      </c>
      <c r="K7100" s="29">
        <v>0.98289565623980701</v>
      </c>
    </row>
    <row r="7101" spans="1:11" x14ac:dyDescent="0.35">
      <c r="A7101" s="9" t="str">
        <f>HYPERLINK("http://www.ensembl.org/id/WBGene00045211", "WBGene00045211")</f>
        <v>WBGene00045211</v>
      </c>
      <c r="B7101" s="9" t="str">
        <f>HYPERLINK("http://www.ncbi.nlm.nih.gov/gene/4926890", "4926890")</f>
        <v>4926890</v>
      </c>
      <c r="C7101" s="9"/>
      <c r="D7101" t="str">
        <f>"C18D11.9"</f>
        <v>C18D11.9</v>
      </c>
      <c r="F7101" t="s">
        <v>11</v>
      </c>
      <c r="G7101" t="s">
        <v>264</v>
      </c>
      <c r="H7101" s="12">
        <v>5.2322000618327396</v>
      </c>
      <c r="I7101" s="20">
        <v>0.486112489888328</v>
      </c>
      <c r="J7101" s="28">
        <v>0.62688741196182496</v>
      </c>
      <c r="K7101" s="29">
        <v>0.98289565623980701</v>
      </c>
    </row>
    <row r="7102" spans="1:11" x14ac:dyDescent="0.35">
      <c r="A7102" s="9" t="str">
        <f>HYPERLINK("http://www.ensembl.org/id/WBGene00007675", "WBGene00007675")</f>
        <v>WBGene00007675</v>
      </c>
      <c r="B7102" s="9" t="str">
        <f>HYPERLINK("http://www.ncbi.nlm.nih.gov/gene/180155", "180155")</f>
        <v>180155</v>
      </c>
      <c r="C7102" s="9"/>
      <c r="D7102" t="str">
        <f>"C18D4.6"</f>
        <v>C18D4.6</v>
      </c>
      <c r="F7102" t="s">
        <v>11</v>
      </c>
      <c r="H7102" s="12">
        <v>1.2236518776525001</v>
      </c>
      <c r="I7102" s="20">
        <v>0.66306958096468804</v>
      </c>
      <c r="J7102" s="28">
        <v>0.50728599160323795</v>
      </c>
      <c r="K7102" s="29">
        <v>0.98289565623980701</v>
      </c>
    </row>
    <row r="7103" spans="1:11" x14ac:dyDescent="0.35">
      <c r="A7103" s="9" t="str">
        <f>HYPERLINK("http://www.ensembl.org/id/WBGene00015970", "WBGene00015970")</f>
        <v>WBGene00015970</v>
      </c>
      <c r="B7103" s="9" t="str">
        <f>HYPERLINK("http://www.ncbi.nlm.nih.gov/gene/172019", "172019")</f>
        <v>172019</v>
      </c>
      <c r="C7103" s="9"/>
      <c r="D7103" t="str">
        <f>"C18E3.1"</f>
        <v>C18E3.1</v>
      </c>
      <c r="F7103" t="s">
        <v>11</v>
      </c>
      <c r="H7103" s="12">
        <v>-1.3001793286591099</v>
      </c>
      <c r="I7103" s="20">
        <v>-0.368779375265885</v>
      </c>
      <c r="J7103" s="28">
        <v>0.71229217896592001</v>
      </c>
      <c r="K7103" s="29">
        <v>0.98289565623980701</v>
      </c>
    </row>
    <row r="7104" spans="1:11" x14ac:dyDescent="0.35">
      <c r="A7104" s="9" t="str">
        <f>HYPERLINK("http://www.ensembl.org/id/WBGene00015972", "WBGene00015972")</f>
        <v>WBGene00015972</v>
      </c>
      <c r="B7104" s="9" t="str">
        <f>HYPERLINK("http://www.ncbi.nlm.nih.gov/gene/172016", "172016")</f>
        <v>172016</v>
      </c>
      <c r="C7104" s="9"/>
      <c r="D7104" t="str">
        <f>"C18E3.3"</f>
        <v>C18E3.3</v>
      </c>
      <c r="F7104" t="s">
        <v>11</v>
      </c>
      <c r="H7104" s="12">
        <v>-1.19630832567949</v>
      </c>
      <c r="I7104" s="20">
        <v>-0.867106762387024</v>
      </c>
      <c r="J7104" s="28">
        <v>0.385883515732377</v>
      </c>
      <c r="K7104" s="29">
        <v>0.98289565623980701</v>
      </c>
    </row>
    <row r="7105" spans="1:11" x14ac:dyDescent="0.35">
      <c r="A7105" s="9" t="str">
        <f>HYPERLINK("http://www.ensembl.org/id/WBGene00015973", "WBGene00015973")</f>
        <v>WBGene00015973</v>
      </c>
      <c r="B7105" s="9" t="str">
        <f>HYPERLINK("http://www.ncbi.nlm.nih.gov/gene/353382", "353382")</f>
        <v>353382</v>
      </c>
      <c r="C7105" s="9"/>
      <c r="D7105" t="str">
        <f>"C18E3.4"</f>
        <v>C18E3.4</v>
      </c>
      <c r="F7105" t="s">
        <v>11</v>
      </c>
      <c r="H7105" s="12">
        <v>1.4747488550515</v>
      </c>
      <c r="I7105" s="20">
        <v>0.431859115649876</v>
      </c>
      <c r="J7105" s="28">
        <v>0.66584381108855994</v>
      </c>
      <c r="K7105" s="29">
        <v>0.98289565623980701</v>
      </c>
    </row>
    <row r="7106" spans="1:11" x14ac:dyDescent="0.35">
      <c r="A7106" s="9" t="str">
        <f>HYPERLINK("http://www.ensembl.org/id/WBGene00007685", "WBGene00007685")</f>
        <v>WBGene00007685</v>
      </c>
      <c r="B7106" s="9" t="str">
        <f>HYPERLINK("http://www.ncbi.nlm.nih.gov/gene/182790", "182790")</f>
        <v>182790</v>
      </c>
      <c r="C7106" s="9"/>
      <c r="D7106" t="str">
        <f>"C18E9.5"</f>
        <v>C18E9.5</v>
      </c>
      <c r="F7106" t="s">
        <v>11</v>
      </c>
      <c r="G7106" t="s">
        <v>25</v>
      </c>
      <c r="H7106" s="12">
        <v>-1.0766505623162199</v>
      </c>
      <c r="I7106" s="20">
        <v>-0.30412560517785803</v>
      </c>
      <c r="J7106" s="28">
        <v>0.76103220008209704</v>
      </c>
      <c r="K7106" s="29">
        <v>0.98289565623980701</v>
      </c>
    </row>
    <row r="7107" spans="1:11" x14ac:dyDescent="0.35">
      <c r="A7107" s="9" t="str">
        <f>HYPERLINK("http://www.ensembl.org/id/WBGene00007687", "WBGene00007687")</f>
        <v>WBGene00007687</v>
      </c>
      <c r="B7107" s="9" t="str">
        <f>HYPERLINK("http://www.ncbi.nlm.nih.gov/gene/174432", "174432")</f>
        <v>174432</v>
      </c>
      <c r="C7107" s="9"/>
      <c r="D7107" t="str">
        <f>"C18E9.7"</f>
        <v>C18E9.7</v>
      </c>
      <c r="F7107" t="s">
        <v>11</v>
      </c>
      <c r="G7107" t="s">
        <v>417</v>
      </c>
      <c r="H7107" s="12">
        <v>1.1125603176968499</v>
      </c>
      <c r="I7107" s="20">
        <v>0.38107603843866</v>
      </c>
      <c r="J7107" s="28">
        <v>0.70314682690444197</v>
      </c>
      <c r="K7107" s="29">
        <v>0.98289565623980701</v>
      </c>
    </row>
    <row r="7108" spans="1:11" x14ac:dyDescent="0.35">
      <c r="A7108" s="9" t="str">
        <f>HYPERLINK("http://www.ensembl.org/id/WBGene00007688", "WBGene00007688")</f>
        <v>WBGene00007688</v>
      </c>
      <c r="B7108" s="9" t="str">
        <f>HYPERLINK("http://www.ncbi.nlm.nih.gov/gene/182791", "182791")</f>
        <v>182791</v>
      </c>
      <c r="C7108" s="9"/>
      <c r="D7108" t="str">
        <f>"C18E9.8"</f>
        <v>C18E9.8</v>
      </c>
      <c r="F7108" t="s">
        <v>11</v>
      </c>
      <c r="G7108" t="s">
        <v>54</v>
      </c>
      <c r="H7108" s="12">
        <v>1.6666609735873299</v>
      </c>
      <c r="I7108" s="20">
        <v>0.52166983191416605</v>
      </c>
      <c r="J7108" s="28">
        <v>0.60190023294079098</v>
      </c>
      <c r="K7108" s="29">
        <v>0.98289565623980701</v>
      </c>
    </row>
    <row r="7109" spans="1:11" x14ac:dyDescent="0.35">
      <c r="A7109" s="9" t="str">
        <f>HYPERLINK("http://www.ensembl.org/id/WBGene00007689", "WBGene00007689")</f>
        <v>WBGene00007689</v>
      </c>
      <c r="B7109" s="9" t="str">
        <f>HYPERLINK("http://www.ncbi.nlm.nih.gov/gene/182792", "182792")</f>
        <v>182792</v>
      </c>
      <c r="C7109" s="9"/>
      <c r="D7109" t="str">
        <f>"C18E9.9"</f>
        <v>C18E9.9</v>
      </c>
      <c r="F7109" t="s">
        <v>11</v>
      </c>
      <c r="G7109" t="s">
        <v>394</v>
      </c>
      <c r="H7109" s="12">
        <v>1.07211268883546</v>
      </c>
      <c r="I7109" s="20">
        <v>0.36207003773487101</v>
      </c>
      <c r="J7109" s="28">
        <v>0.71729969320258902</v>
      </c>
      <c r="K7109" s="29">
        <v>0.98289565623980701</v>
      </c>
    </row>
    <row r="7110" spans="1:11" x14ac:dyDescent="0.35">
      <c r="A7110" s="9" t="str">
        <f>HYPERLINK("http://www.ensembl.org/id/WBGene00015977", "WBGene00015977")</f>
        <v>WBGene00015977</v>
      </c>
      <c r="B7110" s="9" t="str">
        <f>HYPERLINK("http://www.ncbi.nlm.nih.gov/gene/175888", "175888")</f>
        <v>175888</v>
      </c>
      <c r="C7110" s="9"/>
      <c r="D7110" t="str">
        <f>"C18F10.2"</f>
        <v>C18F10.2</v>
      </c>
      <c r="F7110" t="s">
        <v>11</v>
      </c>
      <c r="H7110" s="12">
        <v>1.60228358064412</v>
      </c>
      <c r="I7110" s="20">
        <v>0.96521173973130203</v>
      </c>
      <c r="J7110" s="28">
        <v>0.33443876802533501</v>
      </c>
      <c r="K7110" s="29">
        <v>0.98289565623980701</v>
      </c>
    </row>
    <row r="7111" spans="1:11" x14ac:dyDescent="0.35">
      <c r="A7111" s="9" t="str">
        <f>HYPERLINK("http://www.ensembl.org/id/WBGene00015979", "WBGene00015979")</f>
        <v>WBGene00015979</v>
      </c>
      <c r="B7111" s="9" t="str">
        <f>HYPERLINK("http://www.ncbi.nlm.nih.gov/gene/266894", "266894")</f>
        <v>266894</v>
      </c>
      <c r="C7111" s="9"/>
      <c r="D7111" t="str">
        <f>"C18F10.9"</f>
        <v>C18F10.9</v>
      </c>
      <c r="E7111" t="s">
        <v>899</v>
      </c>
      <c r="F7111" t="s">
        <v>11</v>
      </c>
      <c r="H7111" s="12">
        <v>2.4578120077400301</v>
      </c>
      <c r="I7111" s="20">
        <v>0.26093350314551</v>
      </c>
      <c r="J7111" s="28">
        <v>0.79414378780213601</v>
      </c>
      <c r="K7111" s="29">
        <v>0.98289565623980701</v>
      </c>
    </row>
    <row r="7112" spans="1:11" x14ac:dyDescent="0.35">
      <c r="A7112" s="9" t="str">
        <f>HYPERLINK("http://www.ensembl.org/id/WBGene00015980", "WBGene00015980")</f>
        <v>WBGene00015980</v>
      </c>
      <c r="B7112" s="9" t="str">
        <f>HYPERLINK("http://www.ncbi.nlm.nih.gov/gene/182794", "182794")</f>
        <v>182794</v>
      </c>
      <c r="C7112" s="9"/>
      <c r="D7112" t="str">
        <f>"C18G1.1"</f>
        <v>C18G1.1</v>
      </c>
      <c r="F7112" t="s">
        <v>11</v>
      </c>
      <c r="G7112" t="s">
        <v>25</v>
      </c>
      <c r="H7112" s="12">
        <v>-1.0956815961058599</v>
      </c>
      <c r="I7112" s="20">
        <v>-0.27945860853188798</v>
      </c>
      <c r="J7112" s="28">
        <v>0.77989289869938405</v>
      </c>
      <c r="K7112" s="29">
        <v>0.98289565623980701</v>
      </c>
    </row>
    <row r="7113" spans="1:11" x14ac:dyDescent="0.35">
      <c r="A7113" s="9" t="str">
        <f>HYPERLINK("http://www.ensembl.org/id/WBGene00015984", "WBGene00015984")</f>
        <v>WBGene00015984</v>
      </c>
      <c r="B7113" s="9" t="str">
        <f>HYPERLINK("http://www.ncbi.nlm.nih.gov/gene/182796", "182796")</f>
        <v>182796</v>
      </c>
      <c r="C7113" s="9"/>
      <c r="D7113" t="str">
        <f>"C18G1.6"</f>
        <v>C18G1.6</v>
      </c>
      <c r="F7113" t="s">
        <v>11</v>
      </c>
      <c r="G7113" t="s">
        <v>1686</v>
      </c>
      <c r="H7113" s="12">
        <v>1.34041757635356</v>
      </c>
      <c r="I7113" s="20">
        <v>0.40457597787722199</v>
      </c>
      <c r="J7113" s="28">
        <v>0.68578921918261404</v>
      </c>
      <c r="K7113" s="29">
        <v>0.98289565623980701</v>
      </c>
    </row>
    <row r="7114" spans="1:11" x14ac:dyDescent="0.35">
      <c r="A7114" s="9" t="str">
        <f>HYPERLINK("http://www.ensembl.org/id/WBGene00015985", "WBGene00015985")</f>
        <v>WBGene00015985</v>
      </c>
      <c r="B7114" s="9" t="str">
        <f>HYPERLINK("http://www.ncbi.nlm.nih.gov/gene/182797", "182797")</f>
        <v>182797</v>
      </c>
      <c r="C7114" s="9"/>
      <c r="D7114" t="str">
        <f>"C18G1.7"</f>
        <v>C18G1.7</v>
      </c>
      <c r="F7114" t="s">
        <v>11</v>
      </c>
      <c r="G7114" t="s">
        <v>1212</v>
      </c>
      <c r="H7114" s="12">
        <v>-2.4991590031922399</v>
      </c>
      <c r="I7114" s="20">
        <v>-0.26577412737581302</v>
      </c>
      <c r="J7114" s="28">
        <v>0.79041317015736101</v>
      </c>
      <c r="K7114" s="29">
        <v>0.98289565623980701</v>
      </c>
    </row>
    <row r="7115" spans="1:11" x14ac:dyDescent="0.35">
      <c r="A7115" s="9" t="str">
        <f>HYPERLINK("http://www.ensembl.org/id/WBGene00015986", "WBGene00015986")</f>
        <v>WBGene00015986</v>
      </c>
      <c r="B7115" s="9" t="str">
        <f>HYPERLINK("http://www.ncbi.nlm.nih.gov/gene/182798", "182798")</f>
        <v>182798</v>
      </c>
      <c r="C7115" s="9"/>
      <c r="D7115" t="str">
        <f>"C18G1.8"</f>
        <v>C18G1.8</v>
      </c>
      <c r="F7115" t="s">
        <v>11</v>
      </c>
      <c r="G7115" t="s">
        <v>4220</v>
      </c>
      <c r="H7115" s="12">
        <v>3.1048920425148498</v>
      </c>
      <c r="I7115" s="20">
        <v>0.42268561919513598</v>
      </c>
      <c r="J7115" s="28">
        <v>0.67252464922696797</v>
      </c>
      <c r="K7115" s="29">
        <v>0.98289565623980701</v>
      </c>
    </row>
    <row r="7116" spans="1:11" x14ac:dyDescent="0.35">
      <c r="A7116" s="9" t="str">
        <f>HYPERLINK("http://www.ensembl.org/id/WBGene00015987", "WBGene00015987")</f>
        <v>WBGene00015987</v>
      </c>
      <c r="B7116" s="9" t="str">
        <f>HYPERLINK("http://www.ncbi.nlm.nih.gov/gene/182799", "182799")</f>
        <v>182799</v>
      </c>
      <c r="C7116" s="9"/>
      <c r="D7116" t="str">
        <f>"C18G1.9"</f>
        <v>C18G1.9</v>
      </c>
      <c r="F7116" t="s">
        <v>11</v>
      </c>
      <c r="H7116" s="12">
        <v>-10.8749753877752</v>
      </c>
      <c r="I7116" s="20">
        <v>-1.1195523446475899</v>
      </c>
      <c r="J7116" s="28">
        <v>0.26290457299688302</v>
      </c>
      <c r="K7116" s="29">
        <v>0.98289565623980701</v>
      </c>
    </row>
    <row r="7117" spans="1:11" x14ac:dyDescent="0.35">
      <c r="A7117" s="9" t="str">
        <f>HYPERLINK("http://www.ensembl.org/id/WBGene00015990", "WBGene00015990")</f>
        <v>WBGene00015990</v>
      </c>
      <c r="B7117" s="9"/>
      <c r="C7117" s="9"/>
      <c r="D7117" t="str">
        <f>"C18H2.3"</f>
        <v>C18H2.3</v>
      </c>
      <c r="F7117" t="s">
        <v>80</v>
      </c>
      <c r="H7117" s="12">
        <v>16.217611553187702</v>
      </c>
      <c r="I7117" s="20">
        <v>0.94333696891586505</v>
      </c>
      <c r="J7117" s="28">
        <v>0.34550857211368002</v>
      </c>
      <c r="K7117" s="29">
        <v>0.98289565623980701</v>
      </c>
    </row>
    <row r="7118" spans="1:11" x14ac:dyDescent="0.35">
      <c r="A7118" s="9" t="str">
        <f>HYPERLINK("http://www.ensembl.org/id/WBGene00015996", "WBGene00015996")</f>
        <v>WBGene00015996</v>
      </c>
      <c r="B7118" s="9" t="str">
        <f>HYPERLINK("http://www.ncbi.nlm.nih.gov/gene/176886", "176886")</f>
        <v>176886</v>
      </c>
      <c r="C7118" s="9"/>
      <c r="D7118" t="str">
        <f>"C18H7.6"</f>
        <v>C18H7.6</v>
      </c>
      <c r="F7118" t="s">
        <v>11</v>
      </c>
      <c r="G7118" t="s">
        <v>25</v>
      </c>
      <c r="H7118" s="12">
        <v>3.0290205050197598</v>
      </c>
      <c r="I7118" s="20">
        <v>1.18207138757776</v>
      </c>
      <c r="J7118" s="28">
        <v>0.237177376324889</v>
      </c>
      <c r="K7118" s="29">
        <v>0.98289565623980701</v>
      </c>
    </row>
    <row r="7119" spans="1:11" x14ac:dyDescent="0.35">
      <c r="A7119" s="9" t="str">
        <f>HYPERLINK("http://www.ensembl.org/id/WBGene00015997", "WBGene00015997")</f>
        <v>WBGene00015997</v>
      </c>
      <c r="B7119" s="9" t="str">
        <f>HYPERLINK("http://www.ncbi.nlm.nih.gov/gene/176887", "176887")</f>
        <v>176887</v>
      </c>
      <c r="C7119" s="9"/>
      <c r="D7119" t="str">
        <f>"C18H7.7"</f>
        <v>C18H7.7</v>
      </c>
      <c r="F7119" t="s">
        <v>11</v>
      </c>
      <c r="H7119" s="12">
        <v>4.9201184411617902</v>
      </c>
      <c r="I7119" s="20">
        <v>0.66583620639406405</v>
      </c>
      <c r="J7119" s="28">
        <v>0.50551579969002203</v>
      </c>
      <c r="K7119" s="29">
        <v>0.98289565623980701</v>
      </c>
    </row>
    <row r="7120" spans="1:11" x14ac:dyDescent="0.35">
      <c r="A7120" s="9" t="str">
        <f>HYPERLINK("http://www.ensembl.org/id/WBGene00016000", "WBGene00016000")</f>
        <v>WBGene00016000</v>
      </c>
      <c r="B7120" s="9" t="str">
        <f>HYPERLINK("http://www.ncbi.nlm.nih.gov/gene/182807", "182807")</f>
        <v>182807</v>
      </c>
      <c r="C7120" s="9"/>
      <c r="D7120" t="str">
        <f>"C18H9.1"</f>
        <v>C18H9.1</v>
      </c>
      <c r="F7120" t="s">
        <v>11</v>
      </c>
      <c r="H7120" s="12">
        <v>-2.2386967852741</v>
      </c>
      <c r="I7120" s="20">
        <v>-0.43755166552708102</v>
      </c>
      <c r="J7120" s="28">
        <v>0.66171131565866104</v>
      </c>
      <c r="K7120" s="29">
        <v>0.98289565623980701</v>
      </c>
    </row>
    <row r="7121" spans="1:11" x14ac:dyDescent="0.35">
      <c r="A7121" s="9" t="str">
        <f>HYPERLINK("http://www.ensembl.org/id/WBGene00016002", "WBGene00016002")</f>
        <v>WBGene00016002</v>
      </c>
      <c r="B7121" s="9" t="str">
        <f>HYPERLINK("http://www.ncbi.nlm.nih.gov/gene/174103", "174103")</f>
        <v>174103</v>
      </c>
      <c r="C7121" s="9"/>
      <c r="D7121" t="str">
        <f>"C18H9.3"</f>
        <v>C18H9.3</v>
      </c>
      <c r="E7121" t="s">
        <v>9500</v>
      </c>
      <c r="F7121" t="s">
        <v>11</v>
      </c>
      <c r="G7121" t="s">
        <v>54</v>
      </c>
      <c r="H7121" s="12">
        <v>-1.25228862393382</v>
      </c>
      <c r="I7121" s="20">
        <v>-1.16258339582924</v>
      </c>
      <c r="J7121" s="28">
        <v>0.244998570747512</v>
      </c>
      <c r="K7121" s="29">
        <v>0.98289565623980701</v>
      </c>
    </row>
    <row r="7122" spans="1:11" x14ac:dyDescent="0.35">
      <c r="A7122" s="9" t="str">
        <f>HYPERLINK("http://www.ensembl.org/id/WBGene00016008", "WBGene00016008")</f>
        <v>WBGene00016008</v>
      </c>
      <c r="B7122" s="9" t="str">
        <f>HYPERLINK("http://www.ncbi.nlm.nih.gov/gene/182811", "182811")</f>
        <v>182811</v>
      </c>
      <c r="C7122" s="9"/>
      <c r="D7122" t="str">
        <f>"C23F12.3"</f>
        <v>C23F12.3</v>
      </c>
      <c r="F7122" t="s">
        <v>11</v>
      </c>
      <c r="H7122" s="12">
        <v>1.37115857739572</v>
      </c>
      <c r="I7122" s="20">
        <v>0.41530274027063802</v>
      </c>
      <c r="J7122" s="28">
        <v>0.67792029545516097</v>
      </c>
      <c r="K7122" s="29">
        <v>0.98289565623980701</v>
      </c>
    </row>
    <row r="7123" spans="1:11" x14ac:dyDescent="0.35">
      <c r="A7123" s="9" t="str">
        <f>HYPERLINK("http://www.ensembl.org/id/WBGene00016009", "WBGene00016009")</f>
        <v>WBGene00016009</v>
      </c>
      <c r="B7123" s="9" t="str">
        <f>HYPERLINK("http://www.ncbi.nlm.nih.gov/gene/181167", "181167")</f>
        <v>181167</v>
      </c>
      <c r="C7123" s="9"/>
      <c r="D7123" t="str">
        <f>"C23F12.4"</f>
        <v>C23F12.4</v>
      </c>
      <c r="F7123" t="s">
        <v>11</v>
      </c>
      <c r="H7123" s="12">
        <v>-1.10662283981249</v>
      </c>
      <c r="I7123" s="20">
        <v>-0.38823762588926702</v>
      </c>
      <c r="J7123" s="28">
        <v>0.69784019121322505</v>
      </c>
      <c r="K7123" s="29">
        <v>0.98289565623980701</v>
      </c>
    </row>
    <row r="7124" spans="1:11" x14ac:dyDescent="0.35">
      <c r="A7124" s="9" t="str">
        <f>HYPERLINK("http://www.ensembl.org/id/WBGene00195951", "WBGene00195951")</f>
        <v>WBGene00195951</v>
      </c>
      <c r="B7124" s="9"/>
      <c r="C7124" s="9"/>
      <c r="D7124" t="str">
        <f>"C23F12.7"</f>
        <v>C23F12.7</v>
      </c>
      <c r="F7124" t="s">
        <v>481</v>
      </c>
      <c r="H7124" s="12">
        <v>-2.4991590031922399</v>
      </c>
      <c r="I7124" s="20">
        <v>-0.26577412737581302</v>
      </c>
      <c r="J7124" s="28">
        <v>0.79041317015736101</v>
      </c>
      <c r="K7124" s="29">
        <v>0.98289565623980701</v>
      </c>
    </row>
    <row r="7125" spans="1:11" x14ac:dyDescent="0.35">
      <c r="A7125" s="9" t="str">
        <f>HYPERLINK("http://www.ensembl.org/id/WBGene00016010", "WBGene00016010")</f>
        <v>WBGene00016010</v>
      </c>
      <c r="B7125" s="9" t="str">
        <f>HYPERLINK("http://www.ncbi.nlm.nih.gov/gene/175880", "175880")</f>
        <v>175880</v>
      </c>
      <c r="C7125" s="9"/>
      <c r="D7125" t="str">
        <f>"C23G10.1"</f>
        <v>C23G10.1</v>
      </c>
      <c r="E7125" t="s">
        <v>10047</v>
      </c>
      <c r="F7125" t="s">
        <v>11</v>
      </c>
      <c r="G7125" t="s">
        <v>5045</v>
      </c>
      <c r="H7125" s="12">
        <v>-2.3208084367151098</v>
      </c>
      <c r="I7125" s="20">
        <v>-0.67922327833187002</v>
      </c>
      <c r="J7125" s="28">
        <v>0.49699639990292799</v>
      </c>
      <c r="K7125" s="29">
        <v>0.98289565623980701</v>
      </c>
    </row>
    <row r="7126" spans="1:11" x14ac:dyDescent="0.35">
      <c r="A7126" s="9" t="str">
        <f>HYPERLINK("http://www.ensembl.org/id/WBGene00219827", "WBGene00219827")</f>
        <v>WBGene00219827</v>
      </c>
      <c r="B7126" s="9"/>
      <c r="C7126" s="9"/>
      <c r="D7126" t="str">
        <f>"C23G10.12"</f>
        <v>C23G10.12</v>
      </c>
      <c r="F7126" t="s">
        <v>2977</v>
      </c>
      <c r="H7126" s="12">
        <v>6.61045742799383</v>
      </c>
      <c r="I7126" s="20">
        <v>0.55558174612790701</v>
      </c>
      <c r="J7126" s="28">
        <v>0.57849681292850097</v>
      </c>
      <c r="K7126" s="29">
        <v>0.98289565623980701</v>
      </c>
    </row>
    <row r="7127" spans="1:11" x14ac:dyDescent="0.35">
      <c r="A7127" s="9" t="str">
        <f>HYPERLINK("http://www.ensembl.org/id/WBGene00271647", "WBGene00271647")</f>
        <v>WBGene00271647</v>
      </c>
      <c r="B7127" s="9"/>
      <c r="C7127" s="9"/>
      <c r="D7127" t="str">
        <f>"C23G10.14"</f>
        <v>C23G10.14</v>
      </c>
      <c r="F7127" t="s">
        <v>481</v>
      </c>
      <c r="H7127" s="12">
        <v>-1.10675017816252</v>
      </c>
      <c r="I7127" s="20">
        <v>-0.25390538067582102</v>
      </c>
      <c r="J7127" s="28">
        <v>0.79956865780880104</v>
      </c>
      <c r="K7127" s="29">
        <v>0.98289565623980701</v>
      </c>
    </row>
    <row r="7128" spans="1:11" x14ac:dyDescent="0.35">
      <c r="A7128" s="9" t="str">
        <f>HYPERLINK("http://www.ensembl.org/id/WBGene00016011", "WBGene00016011")</f>
        <v>WBGene00016011</v>
      </c>
      <c r="B7128" s="9" t="str">
        <f>HYPERLINK("http://www.ncbi.nlm.nih.gov/gene/182812", "182812")</f>
        <v>182812</v>
      </c>
      <c r="C7128" s="9" t="str">
        <f>HYPERLINK("http://www.ncbi.nlm.nih.gov/gene/10247", "10247")</f>
        <v>10247</v>
      </c>
      <c r="D7128" t="str">
        <f>"C23G10.2"</f>
        <v>C23G10.2</v>
      </c>
      <c r="E7128" t="s">
        <v>6383</v>
      </c>
      <c r="F7128" t="s">
        <v>11</v>
      </c>
      <c r="G7128" t="s">
        <v>6384</v>
      </c>
      <c r="H7128" s="12">
        <v>-1.06625945331917</v>
      </c>
      <c r="I7128" s="20">
        <v>-0.30711538601739902</v>
      </c>
      <c r="J7128" s="28">
        <v>0.75875554692053504</v>
      </c>
      <c r="K7128" s="29">
        <v>0.98289565623980701</v>
      </c>
    </row>
    <row r="7129" spans="1:11" x14ac:dyDescent="0.35">
      <c r="A7129" s="9" t="str">
        <f>HYPERLINK("http://www.ensembl.org/id/WBGene00016012", "WBGene00016012")</f>
        <v>WBGene00016012</v>
      </c>
      <c r="B7129" s="9" t="str">
        <f>HYPERLINK("http://www.ncbi.nlm.nih.gov/gene/182813", "182813")</f>
        <v>182813</v>
      </c>
      <c r="C7129" s="9"/>
      <c r="D7129" t="str">
        <f>"C23G10.5"</f>
        <v>C23G10.5</v>
      </c>
      <c r="F7129" t="s">
        <v>11</v>
      </c>
      <c r="H7129" s="12">
        <v>1.2861220749504201</v>
      </c>
      <c r="I7129" s="20">
        <v>0.61541033267002399</v>
      </c>
      <c r="J7129" s="28">
        <v>0.53828376937885203</v>
      </c>
      <c r="K7129" s="29">
        <v>0.98289565623980701</v>
      </c>
    </row>
    <row r="7130" spans="1:11" x14ac:dyDescent="0.35">
      <c r="A7130" s="9" t="str">
        <f>HYPERLINK("http://www.ensembl.org/id/WBGene00199372", "WBGene00199372")</f>
        <v>WBGene00199372</v>
      </c>
      <c r="B7130" s="9"/>
      <c r="C7130" s="9"/>
      <c r="D7130" t="str">
        <f>"C23H3.11"</f>
        <v>C23H3.11</v>
      </c>
      <c r="F7130" t="s">
        <v>481</v>
      </c>
      <c r="H7130" s="12">
        <v>2.4578120077400301</v>
      </c>
      <c r="I7130" s="20">
        <v>0.26093350314551</v>
      </c>
      <c r="J7130" s="28">
        <v>0.79414378780213601</v>
      </c>
      <c r="K7130" s="29">
        <v>0.98289565623980701</v>
      </c>
    </row>
    <row r="7131" spans="1:11" x14ac:dyDescent="0.35">
      <c r="A7131" s="9" t="str">
        <f>HYPERLINK("http://www.ensembl.org/id/WBGene00016021", "WBGene00016021")</f>
        <v>WBGene00016021</v>
      </c>
      <c r="B7131" s="9" t="str">
        <f>HYPERLINK("http://www.ncbi.nlm.nih.gov/gene/173387", "173387")</f>
        <v>173387</v>
      </c>
      <c r="C7131" s="9"/>
      <c r="D7131" t="str">
        <f>"C23H3.5"</f>
        <v>C23H3.5</v>
      </c>
      <c r="F7131" t="s">
        <v>11</v>
      </c>
      <c r="H7131" s="12">
        <v>-1.07694187898588</v>
      </c>
      <c r="I7131" s="20">
        <v>-0.32630044094974098</v>
      </c>
      <c r="J7131" s="28">
        <v>0.744197054638292</v>
      </c>
      <c r="K7131" s="29">
        <v>0.98289565623980701</v>
      </c>
    </row>
    <row r="7132" spans="1:11" x14ac:dyDescent="0.35">
      <c r="A7132" s="9" t="str">
        <f>HYPERLINK("http://www.ensembl.org/id/WBGene00007692", "WBGene00007692")</f>
        <v>WBGene00007692</v>
      </c>
      <c r="B7132" s="9" t="str">
        <f>HYPERLINK("http://www.ncbi.nlm.nih.gov/gene/181383", "181383")</f>
        <v>181383</v>
      </c>
      <c r="C7132" s="9"/>
      <c r="D7132" t="str">
        <f>"C23H4.3"</f>
        <v>C23H4.3</v>
      </c>
      <c r="F7132" t="s">
        <v>11</v>
      </c>
      <c r="G7132" t="s">
        <v>25</v>
      </c>
      <c r="H7132" s="12">
        <v>-1.15597329756872</v>
      </c>
      <c r="I7132" s="20">
        <v>-0.460367396365717</v>
      </c>
      <c r="J7132" s="28">
        <v>0.64525253281193795</v>
      </c>
      <c r="K7132" s="29">
        <v>0.98289565623980701</v>
      </c>
    </row>
    <row r="7133" spans="1:11" x14ac:dyDescent="0.35">
      <c r="A7133" s="9" t="str">
        <f>HYPERLINK("http://www.ensembl.org/id/WBGene00007693", "WBGene00007693")</f>
        <v>WBGene00007693</v>
      </c>
      <c r="B7133" s="9" t="str">
        <f>HYPERLINK("http://www.ncbi.nlm.nih.gov/gene/182819", "182819")</f>
        <v>182819</v>
      </c>
      <c r="C7133" s="9"/>
      <c r="D7133" t="str">
        <f>"C23H4.4"</f>
        <v>C23H4.4</v>
      </c>
      <c r="E7133" t="s">
        <v>383</v>
      </c>
      <c r="F7133" t="s">
        <v>11</v>
      </c>
      <c r="G7133" t="s">
        <v>146</v>
      </c>
      <c r="H7133" s="12">
        <v>2.3422364268630198</v>
      </c>
      <c r="I7133" s="20">
        <v>0.98672037163453596</v>
      </c>
      <c r="J7133" s="28">
        <v>0.32377974038076801</v>
      </c>
      <c r="K7133" s="29">
        <v>0.98289565623980701</v>
      </c>
    </row>
    <row r="7134" spans="1:11" x14ac:dyDescent="0.35">
      <c r="A7134" s="9" t="str">
        <f>HYPERLINK("http://www.ensembl.org/id/WBGene00007694", "WBGene00007694")</f>
        <v>WBGene00007694</v>
      </c>
      <c r="B7134" s="9" t="str">
        <f>HYPERLINK("http://www.ncbi.nlm.nih.gov/gene/181384", "181384")</f>
        <v>181384</v>
      </c>
      <c r="C7134" s="9"/>
      <c r="D7134" t="str">
        <f>"C23H4.6"</f>
        <v>C23H4.6</v>
      </c>
      <c r="E7134" t="s">
        <v>5771</v>
      </c>
      <c r="F7134" t="s">
        <v>11</v>
      </c>
      <c r="G7134" t="s">
        <v>5772</v>
      </c>
      <c r="H7134" s="12">
        <v>1.10690083042071</v>
      </c>
      <c r="I7134" s="20">
        <v>0.44041527694921201</v>
      </c>
      <c r="J7134" s="28">
        <v>0.65963636226867195</v>
      </c>
      <c r="K7134" s="29">
        <v>0.98289565623980701</v>
      </c>
    </row>
    <row r="7135" spans="1:11" x14ac:dyDescent="0.35">
      <c r="A7135" s="9" t="str">
        <f>HYPERLINK("http://www.ensembl.org/id/WBGene00007695", "WBGene00007695")</f>
        <v>WBGene00007695</v>
      </c>
      <c r="B7135" s="9" t="str">
        <f>HYPERLINK("http://www.ncbi.nlm.nih.gov/gene/259729", "259729")</f>
        <v>259729</v>
      </c>
      <c r="C7135" s="9"/>
      <c r="D7135" t="str">
        <f>"C23H4.7"</f>
        <v>C23H4.7</v>
      </c>
      <c r="E7135" t="s">
        <v>383</v>
      </c>
      <c r="F7135" t="s">
        <v>11</v>
      </c>
      <c r="G7135" t="s">
        <v>2371</v>
      </c>
      <c r="H7135" s="12">
        <v>1.4972280513881</v>
      </c>
      <c r="I7135" s="20">
        <v>0.83126118258462101</v>
      </c>
      <c r="J7135" s="28">
        <v>0.40582609820811</v>
      </c>
      <c r="K7135" s="29">
        <v>0.98289565623980701</v>
      </c>
    </row>
    <row r="7136" spans="1:11" x14ac:dyDescent="0.35">
      <c r="A7136" s="9" t="str">
        <f>HYPERLINK("http://www.ensembl.org/id/WBGene00077523", "WBGene00077523")</f>
        <v>WBGene00077523</v>
      </c>
      <c r="B7136" s="9" t="str">
        <f>HYPERLINK("http://www.ncbi.nlm.nih.gov/gene/6418668", "6418668")</f>
        <v>6418668</v>
      </c>
      <c r="C7136" s="9"/>
      <c r="D7136" t="str">
        <f>"C23H5.12"</f>
        <v>C23H5.12</v>
      </c>
      <c r="F7136" t="s">
        <v>11</v>
      </c>
      <c r="G7136" t="s">
        <v>25</v>
      </c>
      <c r="H7136" s="12">
        <v>3.5227018545059199</v>
      </c>
      <c r="I7136" s="20">
        <v>0.36849691206929103</v>
      </c>
      <c r="J7136" s="28">
        <v>0.71250274722433404</v>
      </c>
      <c r="K7136" s="29">
        <v>0.98289565623980701</v>
      </c>
    </row>
    <row r="7137" spans="1:11" x14ac:dyDescent="0.35">
      <c r="A7137" s="9" t="str">
        <f>HYPERLINK("http://www.ensembl.org/id/WBGene00023241", "WBGene00023241")</f>
        <v>WBGene00023241</v>
      </c>
      <c r="B7137" s="9"/>
      <c r="C7137" s="9"/>
      <c r="D7137" t="str">
        <f>"C23H5.5"</f>
        <v>C23H5.5</v>
      </c>
      <c r="F7137" t="s">
        <v>80</v>
      </c>
      <c r="H7137" s="12">
        <v>-2.4991590031922399</v>
      </c>
      <c r="I7137" s="20">
        <v>-0.26577412737581302</v>
      </c>
      <c r="J7137" s="28">
        <v>0.79041317015736101</v>
      </c>
      <c r="K7137" s="29">
        <v>0.98289565623980701</v>
      </c>
    </row>
    <row r="7138" spans="1:11" x14ac:dyDescent="0.35">
      <c r="A7138" s="9" t="str">
        <f>HYPERLINK("http://www.ensembl.org/id/WBGene00016030", "WBGene00016030")</f>
        <v>WBGene00016030</v>
      </c>
      <c r="B7138" s="9" t="str">
        <f>HYPERLINK("http://www.ncbi.nlm.nih.gov/gene/175225", "175225")</f>
        <v>175225</v>
      </c>
      <c r="C7138" s="9" t="str">
        <f>HYPERLINK("http://www.ncbi.nlm.nih.gov/gene/51086", "51086")</f>
        <v>51086</v>
      </c>
      <c r="D7138" t="str">
        <f>"C24A1.3"</f>
        <v>C24A1.3</v>
      </c>
      <c r="F7138" t="s">
        <v>11</v>
      </c>
      <c r="G7138" t="s">
        <v>86</v>
      </c>
      <c r="H7138" s="12">
        <v>1.09272101254745</v>
      </c>
      <c r="I7138" s="20">
        <v>0.41539110843928601</v>
      </c>
      <c r="J7138" s="28">
        <v>0.67785561468544997</v>
      </c>
      <c r="K7138" s="29">
        <v>0.98289565623980701</v>
      </c>
    </row>
    <row r="7139" spans="1:11" x14ac:dyDescent="0.35">
      <c r="A7139" s="9" t="str">
        <f>HYPERLINK("http://www.ensembl.org/id/WBGene00016040", "WBGene00016040")</f>
        <v>WBGene00016040</v>
      </c>
      <c r="B7139" s="9" t="str">
        <f>HYPERLINK("http://www.ncbi.nlm.nih.gov/gene/172188", "172188")</f>
        <v>172188</v>
      </c>
      <c r="C7139" s="9"/>
      <c r="D7139" t="str">
        <f>"C24A11.1"</f>
        <v>C24A11.1</v>
      </c>
      <c r="F7139" t="s">
        <v>11</v>
      </c>
      <c r="H7139" s="12">
        <v>1.8463563889291099</v>
      </c>
      <c r="I7139" s="20">
        <v>0.90333751443363697</v>
      </c>
      <c r="J7139" s="28">
        <v>0.36634679212223098</v>
      </c>
      <c r="K7139" s="29">
        <v>0.98289565623980701</v>
      </c>
    </row>
    <row r="7140" spans="1:11" x14ac:dyDescent="0.35">
      <c r="A7140" s="9" t="str">
        <f>HYPERLINK("http://www.ensembl.org/id/WBGene00016041", "WBGene00016041")</f>
        <v>WBGene00016041</v>
      </c>
      <c r="B7140" s="9" t="str">
        <f>HYPERLINK("http://www.ncbi.nlm.nih.gov/gene/182832", "182832")</f>
        <v>182832</v>
      </c>
      <c r="C7140" s="9"/>
      <c r="D7140" t="str">
        <f>"C24A11.2"</f>
        <v>C24A11.2</v>
      </c>
      <c r="F7140" t="s">
        <v>11</v>
      </c>
      <c r="H7140" s="12">
        <v>-4.7167679298615104</v>
      </c>
      <c r="I7140" s="20">
        <v>-0.454742638005115</v>
      </c>
      <c r="J7140" s="28">
        <v>0.64929440216969203</v>
      </c>
      <c r="K7140" s="29">
        <v>0.98289565623980701</v>
      </c>
    </row>
    <row r="7141" spans="1:11" x14ac:dyDescent="0.35">
      <c r="A7141" s="9" t="str">
        <f>HYPERLINK("http://www.ensembl.org/id/WBGene00016042", "WBGene00016042")</f>
        <v>WBGene00016042</v>
      </c>
      <c r="B7141" s="9" t="str">
        <f>HYPERLINK("http://www.ncbi.nlm.nih.gov/gene/182833", "182833")</f>
        <v>182833</v>
      </c>
      <c r="C7141" s="9"/>
      <c r="D7141" t="str">
        <f>"C24A11.5"</f>
        <v>C24A11.5</v>
      </c>
      <c r="F7141" t="s">
        <v>11</v>
      </c>
      <c r="H7141" s="12">
        <v>1.9313057997174701</v>
      </c>
      <c r="I7141" s="20">
        <v>0.437483445789415</v>
      </c>
      <c r="J7141" s="28">
        <v>0.66176077899786301</v>
      </c>
      <c r="K7141" s="29">
        <v>0.98289565623980701</v>
      </c>
    </row>
    <row r="7142" spans="1:11" x14ac:dyDescent="0.35">
      <c r="A7142" s="9" t="str">
        <f>HYPERLINK("http://www.ensembl.org/id/WBGene00016032", "WBGene00016032")</f>
        <v>WBGene00016032</v>
      </c>
      <c r="B7142" s="9" t="str">
        <f>HYPERLINK("http://www.ncbi.nlm.nih.gov/gene/182826", "182826")</f>
        <v>182826</v>
      </c>
      <c r="C7142" s="9"/>
      <c r="D7142" t="str">
        <f>"C24A3.1"</f>
        <v>C24A3.1</v>
      </c>
      <c r="F7142" t="s">
        <v>11</v>
      </c>
      <c r="H7142" s="12">
        <v>-1.4081855762165001</v>
      </c>
      <c r="I7142" s="20">
        <v>-0.55329092803476598</v>
      </c>
      <c r="J7142" s="28">
        <v>0.58006421210407699</v>
      </c>
      <c r="K7142" s="29">
        <v>0.98289565623980701</v>
      </c>
    </row>
    <row r="7143" spans="1:11" x14ac:dyDescent="0.35">
      <c r="A7143" s="9" t="str">
        <f>HYPERLINK("http://www.ensembl.org/id/WBGene00195542", "WBGene00195542")</f>
        <v>WBGene00195542</v>
      </c>
      <c r="B7143" s="9"/>
      <c r="C7143" s="9"/>
      <c r="D7143" t="str">
        <f>"C24A3.10"</f>
        <v>C24A3.10</v>
      </c>
      <c r="F7143" t="s">
        <v>481</v>
      </c>
      <c r="H7143" s="12">
        <v>-1.99319242363313</v>
      </c>
      <c r="I7143" s="20">
        <v>-0.36101094322393201</v>
      </c>
      <c r="J7143" s="28">
        <v>0.71809126646037702</v>
      </c>
      <c r="K7143" s="29">
        <v>0.98289565623980701</v>
      </c>
    </row>
    <row r="7144" spans="1:11" x14ac:dyDescent="0.35">
      <c r="A7144" s="9" t="str">
        <f>HYPERLINK("http://www.ensembl.org/id/WBGene00198289", "WBGene00198289")</f>
        <v>WBGene00198289</v>
      </c>
      <c r="B7144" s="9"/>
      <c r="C7144" s="9"/>
      <c r="D7144" t="str">
        <f>"C24A3.12"</f>
        <v>C24A3.12</v>
      </c>
      <c r="F7144" t="s">
        <v>481</v>
      </c>
      <c r="H7144" s="12">
        <v>4.3653967363455903</v>
      </c>
      <c r="I7144" s="20">
        <v>0.72138825739898504</v>
      </c>
      <c r="J7144" s="28">
        <v>0.47067066929276302</v>
      </c>
      <c r="K7144" s="29">
        <v>0.98289565623980701</v>
      </c>
    </row>
    <row r="7145" spans="1:11" x14ac:dyDescent="0.35">
      <c r="A7145" s="9" t="str">
        <f>HYPERLINK("http://www.ensembl.org/id/WBGene00016034", "WBGene00016034")</f>
        <v>WBGene00016034</v>
      </c>
      <c r="B7145" s="9" t="str">
        <f>HYPERLINK("http://www.ncbi.nlm.nih.gov/gene/181140", "181140")</f>
        <v>181140</v>
      </c>
      <c r="C7145" s="9" t="str">
        <f>HYPERLINK("http://www.ncbi.nlm.nih.gov/gene/23600", "23600")</f>
        <v>23600</v>
      </c>
      <c r="D7145" t="str">
        <f>"C24A3.4"</f>
        <v>C24A3.4</v>
      </c>
      <c r="F7145" t="s">
        <v>11</v>
      </c>
      <c r="G7145" t="s">
        <v>5543</v>
      </c>
      <c r="H7145" s="12">
        <v>1.14827168758405</v>
      </c>
      <c r="I7145" s="20">
        <v>0.57683302546837401</v>
      </c>
      <c r="J7145" s="28">
        <v>0.56405225747035004</v>
      </c>
      <c r="K7145" s="29">
        <v>0.98289565623980701</v>
      </c>
    </row>
    <row r="7146" spans="1:11" x14ac:dyDescent="0.35">
      <c r="A7146" s="9" t="str">
        <f>HYPERLINK("http://www.ensembl.org/id/WBGene00044004", "WBGene00044004")</f>
        <v>WBGene00044004</v>
      </c>
      <c r="B7146" s="9" t="str">
        <f>HYPERLINK("http://www.ncbi.nlm.nih.gov/gene/4363124", "4363124")</f>
        <v>4363124</v>
      </c>
      <c r="C7146" s="9"/>
      <c r="D7146" t="str">
        <f>"C24A8.6"</f>
        <v>C24A8.6</v>
      </c>
      <c r="F7146" t="s">
        <v>11</v>
      </c>
      <c r="G7146" t="s">
        <v>4877</v>
      </c>
      <c r="H7146" s="12">
        <v>-2.4940488160199199</v>
      </c>
      <c r="I7146" s="20">
        <v>-0.44842235721639701</v>
      </c>
      <c r="J7146" s="28">
        <v>0.65384840952172396</v>
      </c>
      <c r="K7146" s="29">
        <v>0.98289565623980701</v>
      </c>
    </row>
    <row r="7147" spans="1:11" x14ac:dyDescent="0.35">
      <c r="A7147" s="9" t="str">
        <f>HYPERLINK("http://www.ensembl.org/id/WBGene00016054", "WBGene00016054")</f>
        <v>WBGene00016054</v>
      </c>
      <c r="B7147" s="9" t="str">
        <f>HYPERLINK("http://www.ncbi.nlm.nih.gov/gene/177290", "177290")</f>
        <v>177290</v>
      </c>
      <c r="C7147" s="9"/>
      <c r="D7147" t="str">
        <f>"C24D10.2"</f>
        <v>C24D10.2</v>
      </c>
      <c r="F7147" t="s">
        <v>11</v>
      </c>
      <c r="G7147" t="s">
        <v>417</v>
      </c>
      <c r="H7147" s="12">
        <v>-1.28747102678841</v>
      </c>
      <c r="I7147" s="20">
        <v>-0.28784383152644499</v>
      </c>
      <c r="J7147" s="28">
        <v>0.77346628386380301</v>
      </c>
      <c r="K7147" s="29">
        <v>0.98289565623980701</v>
      </c>
    </row>
    <row r="7148" spans="1:11" x14ac:dyDescent="0.35">
      <c r="A7148" s="9" t="str">
        <f>HYPERLINK("http://www.ensembl.org/id/WBGene00198105", "WBGene00198105")</f>
        <v>WBGene00198105</v>
      </c>
      <c r="B7148" s="9"/>
      <c r="C7148" s="9"/>
      <c r="D7148" t="str">
        <f>"C24D10.47"</f>
        <v>C24D10.47</v>
      </c>
      <c r="F7148" t="s">
        <v>481</v>
      </c>
      <c r="H7148" s="12">
        <v>2.3893468495514898</v>
      </c>
      <c r="I7148" s="20">
        <v>0.25323547253672701</v>
      </c>
      <c r="J7148" s="28">
        <v>0.80008625651646104</v>
      </c>
      <c r="K7148" s="29">
        <v>0.98289565623980701</v>
      </c>
    </row>
    <row r="7149" spans="1:11" x14ac:dyDescent="0.35">
      <c r="A7149" s="9" t="str">
        <f>HYPERLINK("http://www.ensembl.org/id/WBGene00235380", "WBGene00235380")</f>
        <v>WBGene00235380</v>
      </c>
      <c r="B7149" s="9" t="str">
        <f>HYPERLINK("http://www.ncbi.nlm.nih.gov/gene/24104237", "24104237")</f>
        <v>24104237</v>
      </c>
      <c r="C7149" s="9"/>
      <c r="D7149" t="str">
        <f>"C24D10.49"</f>
        <v>C24D10.49</v>
      </c>
      <c r="F7149" t="s">
        <v>11</v>
      </c>
      <c r="H7149" s="12">
        <v>1.56652479758839</v>
      </c>
      <c r="I7149" s="20">
        <v>0.37895921469448202</v>
      </c>
      <c r="J7149" s="28">
        <v>0.70471815081741995</v>
      </c>
      <c r="K7149" s="29">
        <v>0.98289565623980701</v>
      </c>
    </row>
    <row r="7150" spans="1:11" x14ac:dyDescent="0.35">
      <c r="A7150" s="9" t="str">
        <f>HYPERLINK("http://www.ensembl.org/id/WBGene00016056", "WBGene00016056")</f>
        <v>WBGene00016056</v>
      </c>
      <c r="B7150" s="9" t="str">
        <f>HYPERLINK("http://www.ncbi.nlm.nih.gov/gene/182846", "182846")</f>
        <v>182846</v>
      </c>
      <c r="C7150" s="9"/>
      <c r="D7150" t="str">
        <f>"C24D10.5"</f>
        <v>C24D10.5</v>
      </c>
      <c r="F7150" t="s">
        <v>11</v>
      </c>
      <c r="G7150" t="s">
        <v>25</v>
      </c>
      <c r="H7150" s="12">
        <v>-1.47513775600375</v>
      </c>
      <c r="I7150" s="20">
        <v>-1.1261453980245799</v>
      </c>
      <c r="J7150" s="28">
        <v>0.26010398077714297</v>
      </c>
      <c r="K7150" s="29">
        <v>0.98289565623980701</v>
      </c>
    </row>
    <row r="7151" spans="1:11" x14ac:dyDescent="0.35">
      <c r="A7151" s="9" t="str">
        <f>HYPERLINK("http://www.ensembl.org/id/WBGene00007697", "WBGene00007697")</f>
        <v>WBGene00007697</v>
      </c>
      <c r="B7151" s="9" t="str">
        <f>HYPERLINK("http://www.ncbi.nlm.nih.gov/gene/177903", "177903")</f>
        <v>177903</v>
      </c>
      <c r="C7151" s="9"/>
      <c r="D7151" t="str">
        <f>"C24F3.2"</f>
        <v>C24F3.2</v>
      </c>
      <c r="F7151" t="s">
        <v>11</v>
      </c>
      <c r="G7151" t="s">
        <v>9900</v>
      </c>
      <c r="H7151" s="12">
        <v>-1.35747325203854</v>
      </c>
      <c r="I7151" s="20">
        <v>-1.09801825281357</v>
      </c>
      <c r="J7151" s="28">
        <v>0.27219651902187397</v>
      </c>
      <c r="K7151" s="29">
        <v>0.98289565623980701</v>
      </c>
    </row>
    <row r="7152" spans="1:11" x14ac:dyDescent="0.35">
      <c r="A7152" s="9" t="str">
        <f>HYPERLINK("http://www.ensembl.org/id/WBGene00202030", "WBGene00202030")</f>
        <v>WBGene00202030</v>
      </c>
      <c r="B7152" s="9"/>
      <c r="C7152" s="9"/>
      <c r="D7152" t="str">
        <f>"C24F3.7"</f>
        <v>C24F3.7</v>
      </c>
      <c r="F7152" t="s">
        <v>481</v>
      </c>
      <c r="H7152" s="12">
        <v>5.4058944669092801</v>
      </c>
      <c r="I7152" s="20">
        <v>0.49762513753689303</v>
      </c>
      <c r="J7152" s="28">
        <v>0.61874828254921799</v>
      </c>
      <c r="K7152" s="29">
        <v>0.98289565623980701</v>
      </c>
    </row>
    <row r="7153" spans="1:11" x14ac:dyDescent="0.35">
      <c r="A7153" s="9" t="str">
        <f>HYPERLINK("http://www.ensembl.org/id/WBGene00302991", "WBGene00302991")</f>
        <v>WBGene00302991</v>
      </c>
      <c r="B7153" s="9" t="str">
        <f>HYPERLINK("http://www.ncbi.nlm.nih.gov/gene/36804982", "36804982")</f>
        <v>36804982</v>
      </c>
      <c r="C7153" s="9"/>
      <c r="D7153" t="str">
        <f>"C24G6.13"</f>
        <v>C24G6.13</v>
      </c>
      <c r="E7153" t="s">
        <v>7664</v>
      </c>
      <c r="F7153" t="s">
        <v>11</v>
      </c>
      <c r="G7153" t="s">
        <v>7665</v>
      </c>
      <c r="H7153" s="12">
        <v>-1.13811248080815</v>
      </c>
      <c r="I7153" s="20">
        <v>-0.53882510865501498</v>
      </c>
      <c r="J7153" s="28">
        <v>0.59000753669744599</v>
      </c>
      <c r="K7153" s="29">
        <v>0.98289565623980701</v>
      </c>
    </row>
    <row r="7154" spans="1:11" x14ac:dyDescent="0.35">
      <c r="A7154" s="9" t="str">
        <f>HYPERLINK("http://www.ensembl.org/id/WBGene00219830", "WBGene00219830")</f>
        <v>WBGene00219830</v>
      </c>
      <c r="B7154" s="9"/>
      <c r="C7154" s="9"/>
      <c r="D7154" t="str">
        <f>"C24G7.6"</f>
        <v>C24G7.6</v>
      </c>
      <c r="F7154" t="s">
        <v>2977</v>
      </c>
      <c r="H7154" s="12">
        <v>-4.7167679298615104</v>
      </c>
      <c r="I7154" s="20">
        <v>-0.454742638005115</v>
      </c>
      <c r="J7154" s="28">
        <v>0.64929440216969203</v>
      </c>
      <c r="K7154" s="29">
        <v>0.98289565623980701</v>
      </c>
    </row>
    <row r="7155" spans="1:11" x14ac:dyDescent="0.35">
      <c r="A7155" s="9" t="str">
        <f>HYPERLINK("http://www.ensembl.org/id/WBGene00016067", "WBGene00016067")</f>
        <v>WBGene00016067</v>
      </c>
      <c r="B7155" s="9" t="str">
        <f>HYPERLINK("http://www.ncbi.nlm.nih.gov/gene/182855", "182855")</f>
        <v>182855</v>
      </c>
      <c r="C7155" s="9"/>
      <c r="D7155" t="str">
        <f>"C24H10.1"</f>
        <v>C24H10.1</v>
      </c>
      <c r="F7155" t="s">
        <v>11</v>
      </c>
      <c r="G7155" t="s">
        <v>25</v>
      </c>
      <c r="H7155" s="12">
        <v>1.16933624285618</v>
      </c>
      <c r="I7155" s="20">
        <v>0.47656292617336699</v>
      </c>
      <c r="J7155" s="28">
        <v>0.63367338845621501</v>
      </c>
      <c r="K7155" s="29">
        <v>0.98289565623980701</v>
      </c>
    </row>
    <row r="7156" spans="1:11" x14ac:dyDescent="0.35">
      <c r="A7156" s="9" t="str">
        <f>HYPERLINK("http://www.ensembl.org/id/WBGene00016068", "WBGene00016068")</f>
        <v>WBGene00016068</v>
      </c>
      <c r="B7156" s="9" t="str">
        <f>HYPERLINK("http://www.ncbi.nlm.nih.gov/gene/182856", "182856")</f>
        <v>182856</v>
      </c>
      <c r="C7156" s="9"/>
      <c r="D7156" t="str">
        <f>"C24H10.2"</f>
        <v>C24H10.2</v>
      </c>
      <c r="F7156" t="s">
        <v>11</v>
      </c>
      <c r="H7156" s="12">
        <v>-1.0859910519506599</v>
      </c>
      <c r="I7156" s="20">
        <v>-0.37132821106554598</v>
      </c>
      <c r="J7156" s="28">
        <v>0.71039308822430602</v>
      </c>
      <c r="K7156" s="29">
        <v>0.98289565623980701</v>
      </c>
    </row>
    <row r="7157" spans="1:11" x14ac:dyDescent="0.35">
      <c r="A7157" s="9" t="str">
        <f>HYPERLINK("http://www.ensembl.org/id/WBGene00201418", "WBGene00201418")</f>
        <v>WBGene00201418</v>
      </c>
      <c r="B7157" s="9"/>
      <c r="C7157" s="9"/>
      <c r="D7157" t="str">
        <f>"C24H11.13"</f>
        <v>C24H11.13</v>
      </c>
      <c r="F7157" t="s">
        <v>481</v>
      </c>
      <c r="H7157" s="12">
        <v>-2.4295389261469</v>
      </c>
      <c r="I7157" s="20">
        <v>-0.25808529976640998</v>
      </c>
      <c r="J7157" s="28">
        <v>0.79634107645457397</v>
      </c>
      <c r="K7157" s="29">
        <v>0.98289565623980701</v>
      </c>
    </row>
    <row r="7158" spans="1:11" x14ac:dyDescent="0.35">
      <c r="A7158" s="9" t="str">
        <f>HYPERLINK("http://www.ensembl.org/id/WBGene00007700", "WBGene00007700")</f>
        <v>WBGene00007700</v>
      </c>
      <c r="B7158" s="9" t="str">
        <f>HYPERLINK("http://www.ncbi.nlm.nih.gov/gene/182860", "182860")</f>
        <v>182860</v>
      </c>
      <c r="C7158" s="9"/>
      <c r="D7158" t="str">
        <f>"C24H11.2"</f>
        <v>C24H11.2</v>
      </c>
      <c r="E7158" t="s">
        <v>2496</v>
      </c>
      <c r="F7158" t="s">
        <v>11</v>
      </c>
      <c r="G7158" t="s">
        <v>2497</v>
      </c>
      <c r="H7158" s="12">
        <v>5.4058944669092801</v>
      </c>
      <c r="I7158" s="20">
        <v>0.49762513753689303</v>
      </c>
      <c r="J7158" s="28">
        <v>0.61874828254921799</v>
      </c>
      <c r="K7158" s="29">
        <v>0.98289565623980701</v>
      </c>
    </row>
    <row r="7159" spans="1:11" x14ac:dyDescent="0.35">
      <c r="A7159" s="9" t="str">
        <f>HYPERLINK("http://www.ensembl.org/id/WBGene00007702", "WBGene00007702")</f>
        <v>WBGene00007702</v>
      </c>
      <c r="B7159" s="9" t="str">
        <f>HYPERLINK("http://www.ncbi.nlm.nih.gov/gene/176610", "176610")</f>
        <v>176610</v>
      </c>
      <c r="C7159" s="9"/>
      <c r="D7159" t="str">
        <f>"C24H11.5"</f>
        <v>C24H11.5</v>
      </c>
      <c r="F7159" t="s">
        <v>11</v>
      </c>
      <c r="G7159" t="s">
        <v>8931</v>
      </c>
      <c r="H7159" s="12">
        <v>-1.20876891337769</v>
      </c>
      <c r="I7159" s="20">
        <v>-0.73426261543316496</v>
      </c>
      <c r="J7159" s="28">
        <v>0.46278869789073601</v>
      </c>
      <c r="K7159" s="29">
        <v>0.98289565623980701</v>
      </c>
    </row>
    <row r="7160" spans="1:11" x14ac:dyDescent="0.35">
      <c r="A7160" s="9" t="str">
        <f>HYPERLINK("http://www.ensembl.org/id/WBGene00016071", "WBGene00016071")</f>
        <v>WBGene00016071</v>
      </c>
      <c r="B7160" s="9" t="str">
        <f>HYPERLINK("http://www.ncbi.nlm.nih.gov/gene/182866", "182866")</f>
        <v>182866</v>
      </c>
      <c r="C7160" s="9"/>
      <c r="D7160" t="str">
        <f>"C24H12.1"</f>
        <v>C24H12.1</v>
      </c>
      <c r="F7160" t="s">
        <v>11</v>
      </c>
      <c r="G7160" t="s">
        <v>417</v>
      </c>
      <c r="H7160" s="12">
        <v>1.42286960248146</v>
      </c>
      <c r="I7160" s="20">
        <v>1.0360859190960101</v>
      </c>
      <c r="J7160" s="28">
        <v>0.30016206072121099</v>
      </c>
      <c r="K7160" s="29">
        <v>0.98289565623980701</v>
      </c>
    </row>
    <row r="7161" spans="1:11" x14ac:dyDescent="0.35">
      <c r="A7161" s="9" t="str">
        <f>HYPERLINK("http://www.ensembl.org/id/WBGene00016080", "WBGene00016080")</f>
        <v>WBGene00016080</v>
      </c>
      <c r="B7161" s="9"/>
      <c r="C7161" s="9"/>
      <c r="D7161" t="str">
        <f>"C24H12.11"</f>
        <v>C24H12.11</v>
      </c>
      <c r="F7161" t="s">
        <v>80</v>
      </c>
      <c r="H7161" s="12">
        <v>1.4293014961166</v>
      </c>
      <c r="I7161" s="20">
        <v>0.69596534448293601</v>
      </c>
      <c r="J7161" s="28">
        <v>0.48645053316357401</v>
      </c>
      <c r="K7161" s="29">
        <v>0.98289565623980701</v>
      </c>
    </row>
    <row r="7162" spans="1:11" x14ac:dyDescent="0.35">
      <c r="A7162" s="9" t="str">
        <f>HYPERLINK("http://www.ensembl.org/id/WBGene00235333", "WBGene00235333")</f>
        <v>WBGene00235333</v>
      </c>
      <c r="B7162" s="9" t="str">
        <f>HYPERLINK("http://www.ncbi.nlm.nih.gov/gene/24104244", "24104244")</f>
        <v>24104244</v>
      </c>
      <c r="C7162" s="9"/>
      <c r="D7162" t="str">
        <f>"C24H12.18"</f>
        <v>C24H12.18</v>
      </c>
      <c r="F7162" t="s">
        <v>11</v>
      </c>
      <c r="G7162" t="s">
        <v>25</v>
      </c>
      <c r="H7162" s="12">
        <v>9.0346102393887193</v>
      </c>
      <c r="I7162" s="20">
        <v>0.77516044528280603</v>
      </c>
      <c r="J7162" s="28">
        <v>0.43824485792496798</v>
      </c>
      <c r="K7162" s="29">
        <v>0.98289565623980701</v>
      </c>
    </row>
    <row r="7163" spans="1:11" x14ac:dyDescent="0.35">
      <c r="A7163" s="9" t="str">
        <f>HYPERLINK("http://www.ensembl.org/id/WBGene00235338", "WBGene00235338")</f>
        <v>WBGene00235338</v>
      </c>
      <c r="B7163" s="9"/>
      <c r="C7163" s="9"/>
      <c r="D7163" t="str">
        <f>"C24H12.19"</f>
        <v>C24H12.19</v>
      </c>
      <c r="F7163" t="s">
        <v>80</v>
      </c>
      <c r="H7163" s="12">
        <v>2.6729346149458602</v>
      </c>
      <c r="I7163" s="20">
        <v>0.67657219626340903</v>
      </c>
      <c r="J7163" s="28">
        <v>0.49867742486246702</v>
      </c>
      <c r="K7163" s="29">
        <v>0.98289565623980701</v>
      </c>
    </row>
    <row r="7164" spans="1:11" x14ac:dyDescent="0.35">
      <c r="A7164" s="9" t="str">
        <f>HYPERLINK("http://www.ensembl.org/id/WBGene00016072", "WBGene00016072")</f>
        <v>WBGene00016072</v>
      </c>
      <c r="B7164" s="9" t="str">
        <f>HYPERLINK("http://www.ncbi.nlm.nih.gov/gene/182867", "182867")</f>
        <v>182867</v>
      </c>
      <c r="C7164" s="9"/>
      <c r="D7164" t="str">
        <f>"C24H12.2"</f>
        <v>C24H12.2</v>
      </c>
      <c r="F7164" t="s">
        <v>11</v>
      </c>
      <c r="H7164" s="12">
        <v>2.3492388927756398</v>
      </c>
      <c r="I7164" s="20">
        <v>0.95427355529675895</v>
      </c>
      <c r="J7164" s="28">
        <v>0.33994519034728399</v>
      </c>
      <c r="K7164" s="29">
        <v>0.98289565623980701</v>
      </c>
    </row>
    <row r="7165" spans="1:11" x14ac:dyDescent="0.35">
      <c r="A7165" s="9" t="str">
        <f>HYPERLINK("http://www.ensembl.org/id/WBGene00023244", "WBGene00023244")</f>
        <v>WBGene00023244</v>
      </c>
      <c r="B7165" s="9"/>
      <c r="C7165" s="9"/>
      <c r="D7165" t="str">
        <f>"C24H12.3"</f>
        <v>C24H12.3</v>
      </c>
      <c r="F7165" t="s">
        <v>80</v>
      </c>
      <c r="H7165" s="12">
        <v>1.71439845340674</v>
      </c>
      <c r="I7165" s="20">
        <v>0.63142211199154896</v>
      </c>
      <c r="J7165" s="28">
        <v>0.52776456176599496</v>
      </c>
      <c r="K7165" s="29">
        <v>0.98289565623980701</v>
      </c>
    </row>
    <row r="7166" spans="1:11" x14ac:dyDescent="0.35">
      <c r="A7166" s="9" t="str">
        <f>HYPERLINK("http://www.ensembl.org/id/WBGene00016075", "WBGene00016075")</f>
        <v>WBGene00016075</v>
      </c>
      <c r="B7166" s="9" t="str">
        <f>HYPERLINK("http://www.ncbi.nlm.nih.gov/gene/182868", "182868")</f>
        <v>182868</v>
      </c>
      <c r="C7166" s="9"/>
      <c r="D7166" t="str">
        <f>"C24H12.6"</f>
        <v>C24H12.6</v>
      </c>
      <c r="F7166" t="s">
        <v>11</v>
      </c>
      <c r="H7166" s="12">
        <v>2.3893468495514898</v>
      </c>
      <c r="I7166" s="20">
        <v>0.25323547253672701</v>
      </c>
      <c r="J7166" s="28">
        <v>0.80008625651646104</v>
      </c>
      <c r="K7166" s="29">
        <v>0.98289565623980701</v>
      </c>
    </row>
    <row r="7167" spans="1:11" x14ac:dyDescent="0.35">
      <c r="A7167" s="9" t="str">
        <f>HYPERLINK("http://www.ensembl.org/id/WBGene00016078", "WBGene00016078")</f>
        <v>WBGene00016078</v>
      </c>
      <c r="B7167" s="9"/>
      <c r="C7167" s="9"/>
      <c r="D7167" t="str">
        <f>"C24H12.9"</f>
        <v>C24H12.9</v>
      </c>
      <c r="F7167" t="s">
        <v>80</v>
      </c>
      <c r="H7167" s="12">
        <v>1.44935464087392</v>
      </c>
      <c r="I7167" s="20">
        <v>0.43352831347010701</v>
      </c>
      <c r="J7167" s="28">
        <v>0.66463100131864095</v>
      </c>
      <c r="K7167" s="29">
        <v>0.98289565623980701</v>
      </c>
    </row>
    <row r="7168" spans="1:11" x14ac:dyDescent="0.35">
      <c r="A7168" s="9" t="str">
        <f>HYPERLINK("http://www.ensembl.org/id/WBGene00007705", "WBGene00007705")</f>
        <v>WBGene00007705</v>
      </c>
      <c r="B7168" s="9" t="str">
        <f>HYPERLINK("http://www.ncbi.nlm.nih.gov/gene/172880", "172880")</f>
        <v>172880</v>
      </c>
      <c r="C7168" s="9"/>
      <c r="D7168" t="str">
        <f>"C25A1.1"</f>
        <v>C25A1.1</v>
      </c>
      <c r="F7168" t="s">
        <v>11</v>
      </c>
      <c r="G7168" t="s">
        <v>228</v>
      </c>
      <c r="H7168" s="12">
        <v>-1.23783776419703</v>
      </c>
      <c r="I7168" s="20">
        <v>-1.0511186481283501</v>
      </c>
      <c r="J7168" s="28">
        <v>0.29320410033977501</v>
      </c>
      <c r="K7168" s="29">
        <v>0.98289565623980701</v>
      </c>
    </row>
    <row r="7169" spans="1:11" x14ac:dyDescent="0.35">
      <c r="A7169" s="9" t="str">
        <f>HYPERLINK("http://www.ensembl.org/id/WBGene00007713", "WBGene00007713")</f>
        <v>WBGene00007713</v>
      </c>
      <c r="B7169" s="9" t="str">
        <f>HYPERLINK("http://www.ncbi.nlm.nih.gov/gene/182877", "182877")</f>
        <v>182877</v>
      </c>
      <c r="C7169" s="9"/>
      <c r="D7169" t="str">
        <f>"C25A1.15"</f>
        <v>C25A1.15</v>
      </c>
      <c r="F7169" t="s">
        <v>11</v>
      </c>
      <c r="H7169" s="12">
        <v>-2.4991590031922399</v>
      </c>
      <c r="I7169" s="20">
        <v>-0.26577412737581302</v>
      </c>
      <c r="J7169" s="28">
        <v>0.79041317015736101</v>
      </c>
      <c r="K7169" s="29">
        <v>0.98289565623980701</v>
      </c>
    </row>
    <row r="7170" spans="1:11" x14ac:dyDescent="0.35">
      <c r="A7170" s="9" t="str">
        <f>HYPERLINK("http://www.ensembl.org/id/WBGene00077526", "WBGene00077526")</f>
        <v>WBGene00077526</v>
      </c>
      <c r="B7170" s="9" t="str">
        <f>HYPERLINK("http://www.ncbi.nlm.nih.gov/gene/6418573", "6418573")</f>
        <v>6418573</v>
      </c>
      <c r="C7170" s="9"/>
      <c r="D7170" t="str">
        <f>"C25A1.16"</f>
        <v>C25A1.16</v>
      </c>
      <c r="F7170" t="s">
        <v>11</v>
      </c>
      <c r="H7170" s="12">
        <v>-1.13285385314121</v>
      </c>
      <c r="I7170" s="20">
        <v>-0.59554933675535904</v>
      </c>
      <c r="J7170" s="28">
        <v>0.55147633058874801</v>
      </c>
      <c r="K7170" s="29">
        <v>0.98289565623980701</v>
      </c>
    </row>
    <row r="7171" spans="1:11" x14ac:dyDescent="0.35">
      <c r="A7171" s="9" t="str">
        <f>HYPERLINK("http://www.ensembl.org/id/WBGene00077527", "WBGene00077527")</f>
        <v>WBGene00077527</v>
      </c>
      <c r="B7171" s="9"/>
      <c r="C7171" s="9"/>
      <c r="D7171" t="str">
        <f>"C25A1.17"</f>
        <v>C25A1.17</v>
      </c>
      <c r="F7171" t="s">
        <v>80</v>
      </c>
      <c r="H7171" s="12">
        <v>-2.4295389261469</v>
      </c>
      <c r="I7171" s="20">
        <v>-0.25808529976640998</v>
      </c>
      <c r="J7171" s="28">
        <v>0.79634107645457397</v>
      </c>
      <c r="K7171" s="29">
        <v>0.98289565623980701</v>
      </c>
    </row>
    <row r="7172" spans="1:11" x14ac:dyDescent="0.35">
      <c r="A7172" s="9" t="str">
        <f>HYPERLINK("http://www.ensembl.org/id/WBGene00303030", "WBGene00303030")</f>
        <v>WBGene00303030</v>
      </c>
      <c r="B7172" s="9" t="str">
        <f>HYPERLINK("http://www.ncbi.nlm.nih.gov/gene/36804983", "36804983")</f>
        <v>36804983</v>
      </c>
      <c r="C7172" s="9"/>
      <c r="D7172" t="str">
        <f>"C25A1.20"</f>
        <v>C25A1.20</v>
      </c>
      <c r="F7172" t="s">
        <v>11</v>
      </c>
      <c r="H7172" s="12">
        <v>-1.40120261225701</v>
      </c>
      <c r="I7172" s="20">
        <v>-0.79748031619576198</v>
      </c>
      <c r="J7172" s="28">
        <v>0.425172130192773</v>
      </c>
      <c r="K7172" s="29">
        <v>0.98289565623980701</v>
      </c>
    </row>
    <row r="7173" spans="1:11" x14ac:dyDescent="0.35">
      <c r="A7173" s="9" t="str">
        <f>HYPERLINK("http://www.ensembl.org/id/WBGene00219374", "WBGene00219374")</f>
        <v>WBGene00219374</v>
      </c>
      <c r="B7173" s="9"/>
      <c r="C7173" s="9"/>
      <c r="D7173" t="str">
        <f>"C25A11.10"</f>
        <v>C25A11.10</v>
      </c>
      <c r="F7173" t="s">
        <v>80</v>
      </c>
      <c r="H7173" s="12">
        <v>-1.2054074267949799</v>
      </c>
      <c r="I7173" s="20">
        <v>-0.366645392623902</v>
      </c>
      <c r="J7173" s="28">
        <v>0.71388354422837697</v>
      </c>
      <c r="K7173" s="29">
        <v>0.98289565623980701</v>
      </c>
    </row>
    <row r="7174" spans="1:11" x14ac:dyDescent="0.35">
      <c r="A7174" s="9" t="str">
        <f>HYPERLINK("http://www.ensembl.org/id/WBGene00198694", "WBGene00198694")</f>
        <v>WBGene00198694</v>
      </c>
      <c r="B7174" s="9"/>
      <c r="C7174" s="9"/>
      <c r="D7174" t="str">
        <f>"C25A11.8"</f>
        <v>C25A11.8</v>
      </c>
      <c r="F7174" t="s">
        <v>481</v>
      </c>
      <c r="H7174" s="12">
        <v>2.3893468495514898</v>
      </c>
      <c r="I7174" s="20">
        <v>0.25323547253672701</v>
      </c>
      <c r="J7174" s="28">
        <v>0.80008625651646104</v>
      </c>
      <c r="K7174" s="29">
        <v>0.98289565623980701</v>
      </c>
    </row>
    <row r="7175" spans="1:11" x14ac:dyDescent="0.35">
      <c r="A7175" s="9" t="str">
        <f>HYPERLINK("http://www.ensembl.org/id/WBGene00016081", "WBGene00016081")</f>
        <v>WBGene00016081</v>
      </c>
      <c r="B7175" s="9" t="str">
        <f>HYPERLINK("http://www.ncbi.nlm.nih.gov/gene/178923", "178923")</f>
        <v>178923</v>
      </c>
      <c r="C7175" s="9"/>
      <c r="D7175" t="str">
        <f>"C25A6.1"</f>
        <v>C25A6.1</v>
      </c>
      <c r="E7175" t="s">
        <v>2496</v>
      </c>
      <c r="F7175" t="s">
        <v>11</v>
      </c>
      <c r="G7175" t="s">
        <v>2497</v>
      </c>
      <c r="H7175" s="12">
        <v>1.1711197528178601</v>
      </c>
      <c r="I7175" s="20">
        <v>0.33565941033316099</v>
      </c>
      <c r="J7175" s="28">
        <v>0.73712771750534101</v>
      </c>
      <c r="K7175" s="29">
        <v>0.98289565623980701</v>
      </c>
    </row>
    <row r="7176" spans="1:11" x14ac:dyDescent="0.35">
      <c r="A7176" s="9" t="str">
        <f>HYPERLINK("http://www.ensembl.org/id/WBGene00016085", "WBGene00016085")</f>
        <v>WBGene00016085</v>
      </c>
      <c r="B7176" s="9" t="str">
        <f>HYPERLINK("http://www.ncbi.nlm.nih.gov/gene/182879", "182879")</f>
        <v>182879</v>
      </c>
      <c r="C7176" s="9"/>
      <c r="D7176" t="str">
        <f>"C25A8.5"</f>
        <v>C25A8.5</v>
      </c>
      <c r="E7176" t="s">
        <v>2588</v>
      </c>
      <c r="F7176" t="s">
        <v>11</v>
      </c>
      <c r="G7176" t="s">
        <v>2589</v>
      </c>
      <c r="H7176" s="12">
        <v>1.7866502337991099</v>
      </c>
      <c r="I7176" s="20">
        <v>0.59290926792304199</v>
      </c>
      <c r="J7176" s="28">
        <v>0.55324187522272095</v>
      </c>
      <c r="K7176" s="29">
        <v>0.98289565623980701</v>
      </c>
    </row>
    <row r="7177" spans="1:11" x14ac:dyDescent="0.35">
      <c r="A7177" s="9" t="str">
        <f>HYPERLINK("http://www.ensembl.org/id/WBGene00007714", "WBGene00007714")</f>
        <v>WBGene00007714</v>
      </c>
      <c r="B7177" s="9" t="str">
        <f>HYPERLINK("http://www.ncbi.nlm.nih.gov/gene/180007", "180007")</f>
        <v>180007</v>
      </c>
      <c r="C7177" s="9"/>
      <c r="D7177" t="str">
        <f>"C25D7.1"</f>
        <v>C25D7.1</v>
      </c>
      <c r="E7177" t="s">
        <v>899</v>
      </c>
      <c r="F7177" t="s">
        <v>11</v>
      </c>
      <c r="G7177" t="s">
        <v>3403</v>
      </c>
      <c r="H7177" s="12">
        <v>-4.3892156444622996</v>
      </c>
      <c r="I7177" s="20">
        <v>-1.1013551192375499</v>
      </c>
      <c r="J7177" s="28">
        <v>0.270742130560304</v>
      </c>
      <c r="K7177" s="29">
        <v>0.98289565623980701</v>
      </c>
    </row>
    <row r="7178" spans="1:11" x14ac:dyDescent="0.35">
      <c r="A7178" s="9" t="str">
        <f>HYPERLINK("http://www.ensembl.org/id/WBGene00007720", "WBGene00007720")</f>
        <v>WBGene00007720</v>
      </c>
      <c r="B7178" s="9" t="str">
        <f>HYPERLINK("http://www.ncbi.nlm.nih.gov/gene/180013", "180013")</f>
        <v>180013</v>
      </c>
      <c r="C7178" s="9"/>
      <c r="D7178" t="str">
        <f>"C25D7.10"</f>
        <v>C25D7.10</v>
      </c>
      <c r="F7178" t="s">
        <v>11</v>
      </c>
      <c r="G7178" t="s">
        <v>25</v>
      </c>
      <c r="H7178" s="12">
        <v>-1.2760441765527399</v>
      </c>
      <c r="I7178" s="20">
        <v>-1.13339683838187</v>
      </c>
      <c r="J7178" s="28">
        <v>0.25704764120325402</v>
      </c>
      <c r="K7178" s="29">
        <v>0.98289565623980701</v>
      </c>
    </row>
    <row r="7179" spans="1:11" x14ac:dyDescent="0.35">
      <c r="A7179" s="9" t="str">
        <f>HYPERLINK("http://www.ensembl.org/id/WBGene00007721", "WBGene00007721")</f>
        <v>WBGene00007721</v>
      </c>
      <c r="B7179" s="9"/>
      <c r="C7179" s="9"/>
      <c r="D7179" t="str">
        <f>"C25D7.12"</f>
        <v>C25D7.12</v>
      </c>
      <c r="F7179" t="s">
        <v>80</v>
      </c>
      <c r="H7179" s="12">
        <v>-1.1512831889517601</v>
      </c>
      <c r="I7179" s="20">
        <v>-0.39297164997125</v>
      </c>
      <c r="J7179" s="28">
        <v>0.69434042047651201</v>
      </c>
      <c r="K7179" s="29">
        <v>0.98289565623980701</v>
      </c>
    </row>
    <row r="7180" spans="1:11" x14ac:dyDescent="0.35">
      <c r="A7180" s="9" t="str">
        <f>HYPERLINK("http://www.ensembl.org/id/WBGene00014681", "WBGene00014681")</f>
        <v>WBGene00014681</v>
      </c>
      <c r="B7180" s="9"/>
      <c r="C7180" s="9"/>
      <c r="D7180" t="str">
        <f>"C25D7.14"</f>
        <v>C25D7.14</v>
      </c>
      <c r="F7180" t="s">
        <v>80</v>
      </c>
      <c r="H7180" s="12">
        <v>-2.9828992571527402</v>
      </c>
      <c r="I7180" s="20">
        <v>-0.59365284765219695</v>
      </c>
      <c r="J7180" s="28">
        <v>0.55274432653293704</v>
      </c>
      <c r="K7180" s="29">
        <v>0.98289565623980701</v>
      </c>
    </row>
    <row r="7181" spans="1:11" x14ac:dyDescent="0.35">
      <c r="A7181" s="9" t="str">
        <f>HYPERLINK("http://www.ensembl.org/id/WBGene00007722", "WBGene00007722")</f>
        <v>WBGene00007722</v>
      </c>
      <c r="B7181" s="9" t="str">
        <f>HYPERLINK("http://www.ncbi.nlm.nih.gov/gene/3565209", "3565209")</f>
        <v>3565209</v>
      </c>
      <c r="C7181" s="9"/>
      <c r="D7181" t="str">
        <f>"C25D7.15"</f>
        <v>C25D7.15</v>
      </c>
      <c r="F7181" t="s">
        <v>11</v>
      </c>
      <c r="G7181" t="s">
        <v>25</v>
      </c>
      <c r="H7181" s="12">
        <v>1.37268383360785</v>
      </c>
      <c r="I7181" s="20">
        <v>0.64699904415592802</v>
      </c>
      <c r="J7181" s="28">
        <v>0.51763256210072806</v>
      </c>
      <c r="K7181" s="29">
        <v>0.98289565623980701</v>
      </c>
    </row>
    <row r="7182" spans="1:11" x14ac:dyDescent="0.35">
      <c r="A7182" s="9" t="str">
        <f>HYPERLINK("http://www.ensembl.org/id/WBGene00050940", "WBGene00050940")</f>
        <v>WBGene00050940</v>
      </c>
      <c r="B7182" s="9" t="str">
        <f>HYPERLINK("http://www.ncbi.nlm.nih.gov/gene/6418697", "6418697")</f>
        <v>6418697</v>
      </c>
      <c r="C7182" s="9"/>
      <c r="D7182" t="str">
        <f>"C25D7.16"</f>
        <v>C25D7.16</v>
      </c>
      <c r="F7182" t="s">
        <v>11</v>
      </c>
      <c r="H7182" s="12">
        <v>-3.16969403357621</v>
      </c>
      <c r="I7182" s="20">
        <v>-0.48820986693954799</v>
      </c>
      <c r="J7182" s="28">
        <v>0.62540119633469604</v>
      </c>
      <c r="K7182" s="29">
        <v>0.98289565623980701</v>
      </c>
    </row>
    <row r="7183" spans="1:11" x14ac:dyDescent="0.35">
      <c r="A7183" s="9" t="str">
        <f>HYPERLINK("http://www.ensembl.org/id/WBGene00016099", "WBGene00016099")</f>
        <v>WBGene00016099</v>
      </c>
      <c r="B7183" s="9" t="str">
        <f>HYPERLINK("http://www.ncbi.nlm.nih.gov/gene/182894", "182894")</f>
        <v>182894</v>
      </c>
      <c r="C7183" s="9"/>
      <c r="D7183" t="str">
        <f>"C25E10.10"</f>
        <v>C25E10.10</v>
      </c>
      <c r="F7183" t="s">
        <v>11</v>
      </c>
      <c r="G7183" t="s">
        <v>101</v>
      </c>
      <c r="H7183" s="12">
        <v>-1.11088333601545</v>
      </c>
      <c r="I7183" s="20">
        <v>-0.39337593502470097</v>
      </c>
      <c r="J7183" s="28">
        <v>0.69404184103502697</v>
      </c>
      <c r="K7183" s="29">
        <v>0.98289565623980701</v>
      </c>
    </row>
    <row r="7184" spans="1:11" x14ac:dyDescent="0.35">
      <c r="A7184" s="9" t="str">
        <f>HYPERLINK("http://www.ensembl.org/id/WBGene00016100", "WBGene00016100")</f>
        <v>WBGene00016100</v>
      </c>
      <c r="B7184" s="9" t="str">
        <f>HYPERLINK("http://www.ncbi.nlm.nih.gov/gene/182895", "182895")</f>
        <v>182895</v>
      </c>
      <c r="C7184" s="9"/>
      <c r="D7184" t="str">
        <f>"C25E10.11"</f>
        <v>C25E10.11</v>
      </c>
      <c r="F7184" t="s">
        <v>11</v>
      </c>
      <c r="G7184" t="s">
        <v>25</v>
      </c>
      <c r="H7184" s="12">
        <v>2.3995161630667998</v>
      </c>
      <c r="I7184" s="20">
        <v>0.97063211343150901</v>
      </c>
      <c r="J7184" s="28">
        <v>0.33173150843076199</v>
      </c>
      <c r="K7184" s="29">
        <v>0.98289565623980701</v>
      </c>
    </row>
    <row r="7185" spans="1:11" x14ac:dyDescent="0.35">
      <c r="A7185" s="9" t="str">
        <f>HYPERLINK("http://www.ensembl.org/id/WBGene00201795", "WBGene00201795")</f>
        <v>WBGene00201795</v>
      </c>
      <c r="B7185" s="9"/>
      <c r="C7185" s="9"/>
      <c r="D7185" t="str">
        <f>"C25E10.15"</f>
        <v>C25E10.15</v>
      </c>
      <c r="F7185" t="s">
        <v>481</v>
      </c>
      <c r="H7185" s="12">
        <v>2.3893468495514898</v>
      </c>
      <c r="I7185" s="20">
        <v>0.25323547253672701</v>
      </c>
      <c r="J7185" s="28">
        <v>0.80008625651646104</v>
      </c>
      <c r="K7185" s="29">
        <v>0.98289565623980701</v>
      </c>
    </row>
    <row r="7186" spans="1:11" x14ac:dyDescent="0.35">
      <c r="A7186" s="9" t="str">
        <f>HYPERLINK("http://www.ensembl.org/id/WBGene00202512", "WBGene00202512")</f>
        <v>WBGene00202512</v>
      </c>
      <c r="B7186" s="9" t="str">
        <f>HYPERLINK("http://www.ncbi.nlm.nih.gov/gene/13214248", "13214248")</f>
        <v>13214248</v>
      </c>
      <c r="C7186" s="9"/>
      <c r="D7186" t="str">
        <f>"C25E10.16"</f>
        <v>C25E10.16</v>
      </c>
      <c r="F7186" t="s">
        <v>11</v>
      </c>
      <c r="H7186" s="12">
        <v>1.8999729766828599</v>
      </c>
      <c r="I7186" s="20">
        <v>0.91272800701893197</v>
      </c>
      <c r="J7186" s="28">
        <v>0.36138561018733001</v>
      </c>
      <c r="K7186" s="29">
        <v>0.98289565623980701</v>
      </c>
    </row>
    <row r="7187" spans="1:11" x14ac:dyDescent="0.35">
      <c r="A7187" s="9" t="str">
        <f>HYPERLINK("http://www.ensembl.org/id/WBGene00016094", "WBGene00016094")</f>
        <v>WBGene00016094</v>
      </c>
      <c r="B7187" s="9" t="str">
        <f>HYPERLINK("http://www.ncbi.nlm.nih.gov/gene/182889", "182889")</f>
        <v>182889</v>
      </c>
      <c r="C7187" s="9" t="str">
        <f>HYPERLINK("http://www.ncbi.nlm.nih.gov/gene/256471", "256471")</f>
        <v>256471</v>
      </c>
      <c r="D7187" t="str">
        <f>"C25E10.4"</f>
        <v>C25E10.4</v>
      </c>
      <c r="F7187" t="s">
        <v>11</v>
      </c>
      <c r="G7187" t="s">
        <v>25</v>
      </c>
      <c r="H7187" s="12">
        <v>1.46757586905899</v>
      </c>
      <c r="I7187" s="20">
        <v>0.77767062692766797</v>
      </c>
      <c r="J7187" s="28">
        <v>0.43676321268389801</v>
      </c>
      <c r="K7187" s="29">
        <v>0.98289565623980701</v>
      </c>
    </row>
    <row r="7188" spans="1:11" x14ac:dyDescent="0.35">
      <c r="A7188" s="9" t="str">
        <f>HYPERLINK("http://www.ensembl.org/id/WBGene00196240", "WBGene00196240")</f>
        <v>WBGene00196240</v>
      </c>
      <c r="B7188" s="9"/>
      <c r="C7188" s="9"/>
      <c r="D7188" t="str">
        <f>"C25F6.12"</f>
        <v>C25F6.12</v>
      </c>
      <c r="F7188" t="s">
        <v>481</v>
      </c>
      <c r="H7188" s="12">
        <v>2.4578120077400301</v>
      </c>
      <c r="I7188" s="20">
        <v>0.26093350314551</v>
      </c>
      <c r="J7188" s="28">
        <v>0.79414378780213601</v>
      </c>
      <c r="K7188" s="29">
        <v>0.98289565623980701</v>
      </c>
    </row>
    <row r="7189" spans="1:11" x14ac:dyDescent="0.35">
      <c r="A7189" s="9" t="str">
        <f>HYPERLINK("http://www.ensembl.org/id/WBGene00197615", "WBGene00197615")</f>
        <v>WBGene00197615</v>
      </c>
      <c r="B7189" s="9"/>
      <c r="C7189" s="9"/>
      <c r="D7189" t="str">
        <f>"C25F6.15"</f>
        <v>C25F6.15</v>
      </c>
      <c r="F7189" t="s">
        <v>481</v>
      </c>
      <c r="H7189" s="12">
        <v>-3.7261494131482999</v>
      </c>
      <c r="I7189" s="20">
        <v>-0.38454673129429601</v>
      </c>
      <c r="J7189" s="28">
        <v>0.70057326682554</v>
      </c>
      <c r="K7189" s="29">
        <v>0.98289565623980701</v>
      </c>
    </row>
    <row r="7190" spans="1:11" x14ac:dyDescent="0.35">
      <c r="A7190" s="9" t="str">
        <f>HYPERLINK("http://www.ensembl.org/id/WBGene00197912", "WBGene00197912")</f>
        <v>WBGene00197912</v>
      </c>
      <c r="B7190" s="9"/>
      <c r="C7190" s="9"/>
      <c r="D7190" t="str">
        <f>"C25F6.16"</f>
        <v>C25F6.16</v>
      </c>
      <c r="F7190" t="s">
        <v>481</v>
      </c>
      <c r="H7190" s="12">
        <v>2.3893468495514898</v>
      </c>
      <c r="I7190" s="20">
        <v>0.25323547253672701</v>
      </c>
      <c r="J7190" s="28">
        <v>0.80008625651646104</v>
      </c>
      <c r="K7190" s="29">
        <v>0.98289565623980701</v>
      </c>
    </row>
    <row r="7191" spans="1:11" x14ac:dyDescent="0.35">
      <c r="A7191" s="9" t="str">
        <f>HYPERLINK("http://www.ensembl.org/id/WBGene00198304", "WBGene00198304")</f>
        <v>WBGene00198304</v>
      </c>
      <c r="B7191" s="9"/>
      <c r="C7191" s="9"/>
      <c r="D7191" t="str">
        <f>"C25F6.17"</f>
        <v>C25F6.17</v>
      </c>
      <c r="F7191" t="s">
        <v>481</v>
      </c>
      <c r="H7191" s="12">
        <v>2.43628531154256</v>
      </c>
      <c r="I7191" s="20">
        <v>0.26397437090349102</v>
      </c>
      <c r="J7191" s="28">
        <v>0.79179966754305298</v>
      </c>
      <c r="K7191" s="29">
        <v>0.98289565623980701</v>
      </c>
    </row>
    <row r="7192" spans="1:11" x14ac:dyDescent="0.35">
      <c r="A7192" s="9" t="str">
        <f>HYPERLINK("http://www.ensembl.org/id/WBGene00199708", "WBGene00199708")</f>
        <v>WBGene00199708</v>
      </c>
      <c r="B7192" s="9"/>
      <c r="C7192" s="9"/>
      <c r="D7192" t="str">
        <f>"C25F6.18"</f>
        <v>C25F6.18</v>
      </c>
      <c r="F7192" t="s">
        <v>481</v>
      </c>
      <c r="H7192" s="12">
        <v>2.3893468495514898</v>
      </c>
      <c r="I7192" s="20">
        <v>0.25323547253672701</v>
      </c>
      <c r="J7192" s="28">
        <v>0.80008625651646104</v>
      </c>
      <c r="K7192" s="29">
        <v>0.98289565623980701</v>
      </c>
    </row>
    <row r="7193" spans="1:11" x14ac:dyDescent="0.35">
      <c r="A7193" s="9" t="str">
        <f>HYPERLINK("http://www.ensembl.org/id/WBGene00200299", "WBGene00200299")</f>
        <v>WBGene00200299</v>
      </c>
      <c r="B7193" s="9"/>
      <c r="C7193" s="9"/>
      <c r="D7193" t="str">
        <f>"C25F6.22"</f>
        <v>C25F6.22</v>
      </c>
      <c r="F7193" t="s">
        <v>481</v>
      </c>
      <c r="H7193" s="12">
        <v>-1.4983983792614399</v>
      </c>
      <c r="I7193" s="20">
        <v>-0.256408079218505</v>
      </c>
      <c r="J7193" s="28">
        <v>0.79763575002709697</v>
      </c>
      <c r="K7193" s="29">
        <v>0.98289565623980701</v>
      </c>
    </row>
    <row r="7194" spans="1:11" x14ac:dyDescent="0.35">
      <c r="A7194" s="9" t="str">
        <f>HYPERLINK("http://www.ensembl.org/id/WBGene00044569", "WBGene00044569")</f>
        <v>WBGene00044569</v>
      </c>
      <c r="B7194" s="9" t="str">
        <f>HYPERLINK("http://www.ncbi.nlm.nih.gov/gene/3896879", "3896879")</f>
        <v>3896879</v>
      </c>
      <c r="C7194" s="9"/>
      <c r="D7194" t="str">
        <f>"C25F6.8"</f>
        <v>C25F6.8</v>
      </c>
      <c r="F7194" t="s">
        <v>11</v>
      </c>
      <c r="H7194" s="12">
        <v>6.2226984691015401</v>
      </c>
      <c r="I7194" s="20">
        <v>0.87702329375663202</v>
      </c>
      <c r="J7194" s="28">
        <v>0.380473986022763</v>
      </c>
      <c r="K7194" s="29">
        <v>0.98289565623980701</v>
      </c>
    </row>
    <row r="7195" spans="1:11" x14ac:dyDescent="0.35">
      <c r="A7195" s="9" t="str">
        <f>HYPERLINK("http://www.ensembl.org/id/WBGene00022942", "WBGene00022942")</f>
        <v>WBGene00022942</v>
      </c>
      <c r="B7195" s="9"/>
      <c r="C7195" s="9"/>
      <c r="D7195" t="str">
        <f>"C25F6.t2"</f>
        <v>C25F6.t2</v>
      </c>
      <c r="F7195" t="s">
        <v>4208</v>
      </c>
      <c r="H7195" s="12">
        <v>-2.4295389261469</v>
      </c>
      <c r="I7195" s="20">
        <v>-0.25808529976640998</v>
      </c>
      <c r="J7195" s="28">
        <v>0.79634107645457397</v>
      </c>
      <c r="K7195" s="29">
        <v>0.98289565623980701</v>
      </c>
    </row>
    <row r="7196" spans="1:11" x14ac:dyDescent="0.35">
      <c r="A7196" s="9" t="str">
        <f>HYPERLINK("http://www.ensembl.org/id/WBGene00045411", "WBGene00045411")</f>
        <v>WBGene00045411</v>
      </c>
      <c r="B7196" s="9" t="str">
        <f>HYPERLINK("http://www.ncbi.nlm.nih.gov/gene/6418698", "6418698")</f>
        <v>6418698</v>
      </c>
      <c r="C7196" s="9"/>
      <c r="D7196" t="str">
        <f>"C25F9.11"</f>
        <v>C25F9.11</v>
      </c>
      <c r="F7196" t="s">
        <v>11</v>
      </c>
      <c r="H7196" s="12">
        <v>1.3758995234195299</v>
      </c>
      <c r="I7196" s="20">
        <v>1.1509381652502799</v>
      </c>
      <c r="J7196" s="28">
        <v>0.24975767519780601</v>
      </c>
      <c r="K7196" s="29">
        <v>0.98289565623980701</v>
      </c>
    </row>
    <row r="7197" spans="1:11" x14ac:dyDescent="0.35">
      <c r="A7197" s="9" t="str">
        <f>HYPERLINK("http://www.ensembl.org/id/WBGene00045412", "WBGene00045412")</f>
        <v>WBGene00045412</v>
      </c>
      <c r="B7197" s="9" t="str">
        <f>HYPERLINK("http://www.ncbi.nlm.nih.gov/gene/6418700", "6418700")</f>
        <v>6418700</v>
      </c>
      <c r="C7197" s="9"/>
      <c r="D7197" t="str">
        <f>"C25F9.12"</f>
        <v>C25F9.12</v>
      </c>
      <c r="F7197" t="s">
        <v>11</v>
      </c>
      <c r="H7197" s="12">
        <v>-1.1925563341158301</v>
      </c>
      <c r="I7197" s="20">
        <v>-0.44106060955202497</v>
      </c>
      <c r="J7197" s="28">
        <v>0.65916911924611499</v>
      </c>
      <c r="K7197" s="29">
        <v>0.98289565623980701</v>
      </c>
    </row>
    <row r="7198" spans="1:11" x14ac:dyDescent="0.35">
      <c r="A7198" s="9" t="str">
        <f>HYPERLINK("http://www.ensembl.org/id/WBGene00045413", "WBGene00045413")</f>
        <v>WBGene00045413</v>
      </c>
      <c r="B7198" s="9" t="str">
        <f>HYPERLINK("http://www.ncbi.nlm.nih.gov/gene/6418701", "6418701")</f>
        <v>6418701</v>
      </c>
      <c r="C7198" s="9"/>
      <c r="D7198" t="str">
        <f>"C25F9.13"</f>
        <v>C25F9.13</v>
      </c>
      <c r="F7198" t="s">
        <v>11</v>
      </c>
      <c r="G7198" t="s">
        <v>1015</v>
      </c>
      <c r="H7198" s="12">
        <v>2.4578120077400301</v>
      </c>
      <c r="I7198" s="20">
        <v>0.26093350314551</v>
      </c>
      <c r="J7198" s="28">
        <v>0.79414378780213601</v>
      </c>
      <c r="K7198" s="29">
        <v>0.98289565623980701</v>
      </c>
    </row>
    <row r="7199" spans="1:11" x14ac:dyDescent="0.35">
      <c r="A7199" s="9" t="str">
        <f>HYPERLINK("http://www.ensembl.org/id/WBGene00050967", "WBGene00050967")</f>
        <v>WBGene00050967</v>
      </c>
      <c r="B7199" s="9" t="str">
        <f>HYPERLINK("http://www.ncbi.nlm.nih.gov/gene/7040156", "7040156")</f>
        <v>7040156</v>
      </c>
      <c r="C7199" s="9"/>
      <c r="D7199" t="str">
        <f>"C25F9.15"</f>
        <v>C25F9.15</v>
      </c>
      <c r="F7199" t="s">
        <v>11</v>
      </c>
      <c r="H7199" s="12">
        <v>-1.80895805002915</v>
      </c>
      <c r="I7199" s="20">
        <v>-0.50943902364587601</v>
      </c>
      <c r="J7199" s="28">
        <v>0.61044452892145196</v>
      </c>
      <c r="K7199" s="29">
        <v>0.98289565623980701</v>
      </c>
    </row>
    <row r="7200" spans="1:11" x14ac:dyDescent="0.35">
      <c r="A7200" s="9" t="str">
        <f>HYPERLINK("http://www.ensembl.org/id/WBGene00007724", "WBGene00007724")</f>
        <v>WBGene00007724</v>
      </c>
      <c r="B7200" s="9" t="str">
        <f>HYPERLINK("http://www.ncbi.nlm.nih.gov/gene/182905", "182905")</f>
        <v>182905</v>
      </c>
      <c r="C7200" s="9"/>
      <c r="D7200" t="str">
        <f>"C25F9.4"</f>
        <v>C25F9.4</v>
      </c>
      <c r="F7200" t="s">
        <v>11</v>
      </c>
      <c r="G7200" t="s">
        <v>2012</v>
      </c>
      <c r="H7200" s="12">
        <v>-1.66609836072439</v>
      </c>
      <c r="I7200" s="20">
        <v>-1.1491040165702799</v>
      </c>
      <c r="J7200" s="28">
        <v>0.25051309238014402</v>
      </c>
      <c r="K7200" s="29">
        <v>0.98289565623980701</v>
      </c>
    </row>
    <row r="7201" spans="1:11" x14ac:dyDescent="0.35">
      <c r="A7201" s="9" t="str">
        <f>HYPERLINK("http://www.ensembl.org/id/WBGene00007726", "WBGene00007726")</f>
        <v>WBGene00007726</v>
      </c>
      <c r="B7201" s="9" t="str">
        <f>HYPERLINK("http://www.ncbi.nlm.nih.gov/gene/182906", "182906")</f>
        <v>182906</v>
      </c>
      <c r="C7201" s="9"/>
      <c r="D7201" t="str">
        <f>"C25F9.6"</f>
        <v>C25F9.6</v>
      </c>
      <c r="F7201" t="s">
        <v>11</v>
      </c>
      <c r="H7201" s="12">
        <v>1.70394784350128</v>
      </c>
      <c r="I7201" s="20">
        <v>1.12722590704762</v>
      </c>
      <c r="J7201" s="28">
        <v>0.25964697962711702</v>
      </c>
      <c r="K7201" s="29">
        <v>0.98289565623980701</v>
      </c>
    </row>
    <row r="7202" spans="1:11" x14ac:dyDescent="0.35">
      <c r="A7202" s="9" t="str">
        <f>HYPERLINK("http://www.ensembl.org/id/WBGene00255469", "WBGene00255469")</f>
        <v>WBGene00255469</v>
      </c>
      <c r="B7202" s="9" t="str">
        <f>HYPERLINK("http://www.ncbi.nlm.nih.gov/gene/24104251", "24104251")</f>
        <v>24104251</v>
      </c>
      <c r="C7202" s="9"/>
      <c r="D7202" t="str">
        <f>"C25G4.17"</f>
        <v>C25G4.17</v>
      </c>
      <c r="F7202" t="s">
        <v>11</v>
      </c>
      <c r="G7202" t="s">
        <v>47</v>
      </c>
      <c r="H7202" s="12">
        <v>3.5227018545059199</v>
      </c>
      <c r="I7202" s="20">
        <v>0.36849691206929103</v>
      </c>
      <c r="J7202" s="28">
        <v>0.71250274722433404</v>
      </c>
      <c r="K7202" s="29">
        <v>0.98289565623980701</v>
      </c>
    </row>
    <row r="7203" spans="1:11" x14ac:dyDescent="0.35">
      <c r="A7203" s="9" t="str">
        <f>HYPERLINK("http://www.ensembl.org/id/WBGene00007730", "WBGene00007730")</f>
        <v>WBGene00007730</v>
      </c>
      <c r="B7203" s="9" t="str">
        <f>HYPERLINK("http://www.ncbi.nlm.nih.gov/gene/178194", "178194")</f>
        <v>178194</v>
      </c>
      <c r="C7203" s="9" t="str">
        <f>HYPERLINK("http://www.ncbi.nlm.nih.gov/gene/124641", "124641")</f>
        <v>124641</v>
      </c>
      <c r="D7203" t="str">
        <f>"C25G4.2"</f>
        <v>C25G4.2</v>
      </c>
      <c r="E7203" t="s">
        <v>7242</v>
      </c>
      <c r="F7203" t="s">
        <v>11</v>
      </c>
      <c r="G7203" t="s">
        <v>7243</v>
      </c>
      <c r="H7203" s="12">
        <v>-1.1152546409548201</v>
      </c>
      <c r="I7203" s="20">
        <v>-0.55209101095617596</v>
      </c>
      <c r="J7203" s="28">
        <v>0.58088600029290105</v>
      </c>
      <c r="K7203" s="29">
        <v>0.98289565623980701</v>
      </c>
    </row>
    <row r="7204" spans="1:11" x14ac:dyDescent="0.35">
      <c r="A7204" s="9" t="str">
        <f>HYPERLINK("http://www.ensembl.org/id/WBGene00007731", "WBGene00007731")</f>
        <v>WBGene00007731</v>
      </c>
      <c r="B7204" s="9" t="str">
        <f>HYPERLINK("http://www.ncbi.nlm.nih.gov/gene/178195", "178195")</f>
        <v>178195</v>
      </c>
      <c r="C7204" s="9"/>
      <c r="D7204" t="str">
        <f>"C25G4.3"</f>
        <v>C25G4.3</v>
      </c>
      <c r="F7204" t="s">
        <v>11</v>
      </c>
      <c r="G7204" t="s">
        <v>7681</v>
      </c>
      <c r="H7204" s="12">
        <v>-1.1390994741460201</v>
      </c>
      <c r="I7204" s="20">
        <v>-0.50682366231077303</v>
      </c>
      <c r="J7204" s="28">
        <v>0.61227855202463499</v>
      </c>
      <c r="K7204" s="29">
        <v>0.98289565623980701</v>
      </c>
    </row>
    <row r="7205" spans="1:11" x14ac:dyDescent="0.35">
      <c r="A7205" s="9" t="str">
        <f>HYPERLINK("http://www.ensembl.org/id/WBGene00007734", "WBGene00007734")</f>
        <v>WBGene00007734</v>
      </c>
      <c r="B7205" s="9" t="str">
        <f>HYPERLINK("http://www.ncbi.nlm.nih.gov/gene/182916", "182916")</f>
        <v>182916</v>
      </c>
      <c r="C7205" s="9"/>
      <c r="D7205" t="str">
        <f>"C25G4.7"</f>
        <v>C25G4.7</v>
      </c>
      <c r="F7205" t="s">
        <v>11</v>
      </c>
      <c r="H7205" s="12">
        <v>2.68175592159298</v>
      </c>
      <c r="I7205" s="20">
        <v>0.72021368531778795</v>
      </c>
      <c r="J7205" s="28">
        <v>0.47139343909112003</v>
      </c>
      <c r="K7205" s="29">
        <v>0.98289565623980701</v>
      </c>
    </row>
    <row r="7206" spans="1:11" x14ac:dyDescent="0.35">
      <c r="A7206" s="9" t="str">
        <f>HYPERLINK("http://www.ensembl.org/id/WBGene00016107", "WBGene00016107")</f>
        <v>WBGene00016107</v>
      </c>
      <c r="B7206" s="9" t="str">
        <f>HYPERLINK("http://www.ncbi.nlm.nih.gov/gene/182918", "182918")</f>
        <v>182918</v>
      </c>
      <c r="C7206" s="9"/>
      <c r="D7206" t="str">
        <f>"C25G6.1"</f>
        <v>C25G6.1</v>
      </c>
      <c r="F7206" t="s">
        <v>11</v>
      </c>
      <c r="H7206" s="12">
        <v>1.77096195026092</v>
      </c>
      <c r="I7206" s="20">
        <v>0.795564329342488</v>
      </c>
      <c r="J7206" s="28">
        <v>0.42628530654132402</v>
      </c>
      <c r="K7206" s="29">
        <v>0.98289565623980701</v>
      </c>
    </row>
    <row r="7207" spans="1:11" x14ac:dyDescent="0.35">
      <c r="A7207" s="9" t="str">
        <f>HYPERLINK("http://www.ensembl.org/id/WBGene00016108", "WBGene00016108")</f>
        <v>WBGene00016108</v>
      </c>
      <c r="B7207" s="9" t="str">
        <f>HYPERLINK("http://www.ncbi.nlm.nih.gov/gene/182919", "182919")</f>
        <v>182919</v>
      </c>
      <c r="C7207" s="9"/>
      <c r="D7207" t="str">
        <f>"C25G6.3"</f>
        <v>C25G6.3</v>
      </c>
      <c r="F7207" t="s">
        <v>11</v>
      </c>
      <c r="G7207" t="s">
        <v>4734</v>
      </c>
      <c r="H7207" s="12">
        <v>1.43508289609827</v>
      </c>
      <c r="I7207" s="20">
        <v>0.99256966847297001</v>
      </c>
      <c r="J7207" s="28">
        <v>0.32091971230757499</v>
      </c>
      <c r="K7207" s="29">
        <v>0.98289565623980701</v>
      </c>
    </row>
    <row r="7208" spans="1:11" x14ac:dyDescent="0.35">
      <c r="A7208" s="9" t="str">
        <f>HYPERLINK("http://www.ensembl.org/id/WBGene00016111", "WBGene00016111")</f>
        <v>WBGene00016111</v>
      </c>
      <c r="B7208" s="9" t="str">
        <f>HYPERLINK("http://www.ncbi.nlm.nih.gov/gene/182922", "182922")</f>
        <v>182922</v>
      </c>
      <c r="C7208" s="9"/>
      <c r="D7208" t="str">
        <f>"C25H3.1"</f>
        <v>C25H3.1</v>
      </c>
      <c r="F7208" t="s">
        <v>11</v>
      </c>
      <c r="G7208" t="s">
        <v>961</v>
      </c>
      <c r="H7208" s="12">
        <v>-1.22261332474239</v>
      </c>
      <c r="I7208" s="20">
        <v>-0.81929269015325901</v>
      </c>
      <c r="J7208" s="28">
        <v>0.41261944213871599</v>
      </c>
      <c r="K7208" s="29">
        <v>0.98289565623980701</v>
      </c>
    </row>
    <row r="7209" spans="1:11" x14ac:dyDescent="0.35">
      <c r="A7209" s="9" t="str">
        <f>HYPERLINK("http://www.ensembl.org/id/WBGene00016123", "WBGene00016123")</f>
        <v>WBGene00016123</v>
      </c>
      <c r="B7209" s="9" t="str">
        <f>HYPERLINK("http://www.ncbi.nlm.nih.gov/gene/182923", "182923")</f>
        <v>182923</v>
      </c>
      <c r="C7209" s="9"/>
      <c r="D7209" t="str">
        <f>"C25H3.14"</f>
        <v>C25H3.14</v>
      </c>
      <c r="F7209" t="s">
        <v>11</v>
      </c>
      <c r="G7209" t="s">
        <v>6428</v>
      </c>
      <c r="H7209" s="12">
        <v>-1.06884277523727</v>
      </c>
      <c r="I7209" s="20">
        <v>-0.271793867383543</v>
      </c>
      <c r="J7209" s="28">
        <v>0.78578052090019102</v>
      </c>
      <c r="K7209" s="29">
        <v>0.98289565623980701</v>
      </c>
    </row>
    <row r="7210" spans="1:11" x14ac:dyDescent="0.35">
      <c r="A7210" s="9" t="str">
        <f>HYPERLINK("http://www.ensembl.org/id/WBGene00044391", "WBGene00044391")</f>
        <v>WBGene00044391</v>
      </c>
      <c r="B7210" s="9" t="str">
        <f>HYPERLINK("http://www.ncbi.nlm.nih.gov/gene/3565066", "3565066")</f>
        <v>3565066</v>
      </c>
      <c r="C7210" s="9"/>
      <c r="D7210" t="str">
        <f>"C25H3.15"</f>
        <v>C25H3.15</v>
      </c>
      <c r="F7210" t="s">
        <v>11</v>
      </c>
      <c r="H7210" s="12">
        <v>-1.20589173176419</v>
      </c>
      <c r="I7210" s="20">
        <v>-0.54395794404164</v>
      </c>
      <c r="J7210" s="28">
        <v>0.58647041367074304</v>
      </c>
      <c r="K7210" s="29">
        <v>0.98289565623980701</v>
      </c>
    </row>
    <row r="7211" spans="1:11" x14ac:dyDescent="0.35">
      <c r="A7211" s="9" t="str">
        <f>HYPERLINK("http://www.ensembl.org/id/WBGene00044392", "WBGene00044392")</f>
        <v>WBGene00044392</v>
      </c>
      <c r="B7211" s="9" t="str">
        <f>HYPERLINK("http://www.ncbi.nlm.nih.gov/gene/3565401", "3565401")</f>
        <v>3565401</v>
      </c>
      <c r="C7211" s="9"/>
      <c r="D7211" t="str">
        <f>"C25H3.16"</f>
        <v>C25H3.16</v>
      </c>
      <c r="F7211" t="s">
        <v>11</v>
      </c>
      <c r="G7211" t="s">
        <v>25</v>
      </c>
      <c r="H7211" s="12">
        <v>1.4229026928070301</v>
      </c>
      <c r="I7211" s="20">
        <v>0.45520844473826499</v>
      </c>
      <c r="J7211" s="28">
        <v>0.64895928572050599</v>
      </c>
      <c r="K7211" s="29">
        <v>0.98289565623980701</v>
      </c>
    </row>
    <row r="7212" spans="1:11" x14ac:dyDescent="0.35">
      <c r="A7212" s="9" t="str">
        <f>HYPERLINK("http://www.ensembl.org/id/WBGene00194642", "WBGene00194642")</f>
        <v>WBGene00194642</v>
      </c>
      <c r="B7212" s="9" t="str">
        <f>HYPERLINK("http://www.ncbi.nlm.nih.gov/gene/13185074", "13185074")</f>
        <v>13185074</v>
      </c>
      <c r="C7212" s="9"/>
      <c r="D7212" t="str">
        <f>"C25H3.17"</f>
        <v>C25H3.17</v>
      </c>
      <c r="F7212" t="s">
        <v>11</v>
      </c>
      <c r="G7212" t="s">
        <v>25</v>
      </c>
      <c r="H7212" s="12">
        <v>-1.1549693613519501</v>
      </c>
      <c r="I7212" s="20">
        <v>-0.43471513043744697</v>
      </c>
      <c r="J7212" s="28">
        <v>0.66376921448267501</v>
      </c>
      <c r="K7212" s="29">
        <v>0.98289565623980701</v>
      </c>
    </row>
    <row r="7213" spans="1:11" x14ac:dyDescent="0.35">
      <c r="A7213" s="9" t="str">
        <f>HYPERLINK("http://www.ensembl.org/id/WBGene00016112", "WBGene00016112")</f>
        <v>WBGene00016112</v>
      </c>
      <c r="B7213" s="9" t="str">
        <f>HYPERLINK("http://www.ncbi.nlm.nih.gov/gene/353396", "353396")</f>
        <v>353396</v>
      </c>
      <c r="C7213" s="9"/>
      <c r="D7213" t="str">
        <f>"C25H3.3"</f>
        <v>C25H3.3</v>
      </c>
      <c r="F7213" t="s">
        <v>11</v>
      </c>
      <c r="G7213" t="s">
        <v>6428</v>
      </c>
      <c r="H7213" s="12">
        <v>-1.2248130621364199</v>
      </c>
      <c r="I7213" s="20">
        <v>-0.85261836763978904</v>
      </c>
      <c r="J7213" s="28">
        <v>0.39387097339353999</v>
      </c>
      <c r="K7213" s="29">
        <v>0.98289565623980701</v>
      </c>
    </row>
    <row r="7214" spans="1:11" x14ac:dyDescent="0.35">
      <c r="A7214" s="9" t="str">
        <f>HYPERLINK("http://www.ensembl.org/id/WBGene00016116", "WBGene00016116")</f>
        <v>WBGene00016116</v>
      </c>
      <c r="B7214" s="9" t="str">
        <f>HYPERLINK("http://www.ncbi.nlm.nih.gov/gene/173961", "173961")</f>
        <v>173961</v>
      </c>
      <c r="C7214" s="9"/>
      <c r="D7214" t="str">
        <f>"C25H3.7"</f>
        <v>C25H3.7</v>
      </c>
      <c r="F7214" t="s">
        <v>11</v>
      </c>
      <c r="G7214" t="s">
        <v>318</v>
      </c>
      <c r="H7214" s="12">
        <v>-1.1919277800600101</v>
      </c>
      <c r="I7214" s="20">
        <v>-0.90245750002582703</v>
      </c>
      <c r="J7214" s="28">
        <v>0.36681388819835198</v>
      </c>
      <c r="K7214" s="29">
        <v>0.98289565623980701</v>
      </c>
    </row>
    <row r="7215" spans="1:11" x14ac:dyDescent="0.35">
      <c r="A7215" s="9" t="str">
        <f>HYPERLINK("http://www.ensembl.org/id/WBGene00271646", "WBGene00271646")</f>
        <v>WBGene00271646</v>
      </c>
      <c r="B7215" s="9"/>
      <c r="C7215" s="9"/>
      <c r="D7215" t="str">
        <f>"C26B2.15"</f>
        <v>C26B2.15</v>
      </c>
      <c r="F7215" t="s">
        <v>481</v>
      </c>
      <c r="H7215" s="12">
        <v>2.6224705946786901</v>
      </c>
      <c r="I7215" s="20">
        <v>0.32440394850383503</v>
      </c>
      <c r="J7215" s="28">
        <v>0.74563223077784602</v>
      </c>
      <c r="K7215" s="29">
        <v>0.98289565623980701</v>
      </c>
    </row>
    <row r="7216" spans="1:11" x14ac:dyDescent="0.35">
      <c r="A7216" s="9" t="str">
        <f>HYPERLINK("http://www.ensembl.org/id/WBGene00016125", "WBGene00016125")</f>
        <v>WBGene00016125</v>
      </c>
      <c r="B7216" s="9" t="str">
        <f>HYPERLINK("http://www.ncbi.nlm.nih.gov/gene/182926", "182926")</f>
        <v>182926</v>
      </c>
      <c r="C7216" s="9"/>
      <c r="D7216" t="str">
        <f>"C26B2.2"</f>
        <v>C26B2.2</v>
      </c>
      <c r="F7216" t="s">
        <v>11</v>
      </c>
      <c r="H7216" s="12">
        <v>1.97825558325635</v>
      </c>
      <c r="I7216" s="20">
        <v>1.0002838196825801</v>
      </c>
      <c r="J7216" s="28">
        <v>0.31717317524607602</v>
      </c>
      <c r="K7216" s="29">
        <v>0.98289565623980701</v>
      </c>
    </row>
    <row r="7217" spans="1:11" x14ac:dyDescent="0.35">
      <c r="A7217" s="9" t="str">
        <f>HYPERLINK("http://www.ensembl.org/id/WBGene00016129", "WBGene00016129")</f>
        <v>WBGene00016129</v>
      </c>
      <c r="B7217" s="9" t="str">
        <f>HYPERLINK("http://www.ncbi.nlm.nih.gov/gene/177599", "177599")</f>
        <v>177599</v>
      </c>
      <c r="C7217" s="9"/>
      <c r="D7217" t="str">
        <f>"C26B2.7"</f>
        <v>C26B2.7</v>
      </c>
      <c r="F7217" t="s">
        <v>11</v>
      </c>
      <c r="G7217" t="s">
        <v>25</v>
      </c>
      <c r="H7217" s="12">
        <v>-1.09192377863171</v>
      </c>
      <c r="I7217" s="20">
        <v>-0.33564422910959102</v>
      </c>
      <c r="J7217" s="28">
        <v>0.73713916690100401</v>
      </c>
      <c r="K7217" s="29">
        <v>0.98289565623980701</v>
      </c>
    </row>
    <row r="7218" spans="1:11" x14ac:dyDescent="0.35">
      <c r="A7218" s="9" t="str">
        <f>HYPERLINK("http://www.ensembl.org/id/WBGene00016132", "WBGene00016132")</f>
        <v>WBGene00016132</v>
      </c>
      <c r="B7218" s="9" t="str">
        <f>HYPERLINK("http://www.ncbi.nlm.nih.gov/gene/182931", "182931")</f>
        <v>182931</v>
      </c>
      <c r="C7218" s="9"/>
      <c r="D7218" t="str">
        <f>"C26B9.2"</f>
        <v>C26B9.2</v>
      </c>
      <c r="F7218" t="s">
        <v>11</v>
      </c>
      <c r="H7218" s="12">
        <v>-4.6144817866333998</v>
      </c>
      <c r="I7218" s="20">
        <v>-0.824218680592259</v>
      </c>
      <c r="J7218" s="28">
        <v>0.40981531453860398</v>
      </c>
      <c r="K7218" s="29">
        <v>0.98289565623980701</v>
      </c>
    </row>
    <row r="7219" spans="1:11" x14ac:dyDescent="0.35">
      <c r="A7219" s="9" t="str">
        <f>HYPERLINK("http://www.ensembl.org/id/WBGene00016133", "WBGene00016133")</f>
        <v>WBGene00016133</v>
      </c>
      <c r="B7219" s="9" t="str">
        <f>HYPERLINK("http://www.ncbi.nlm.nih.gov/gene/180804", "180804")</f>
        <v>180804</v>
      </c>
      <c r="C7219" s="9"/>
      <c r="D7219" t="str">
        <f>"C26B9.3"</f>
        <v>C26B9.3</v>
      </c>
      <c r="F7219" t="s">
        <v>11</v>
      </c>
      <c r="H7219" s="12">
        <v>1.28272915224108</v>
      </c>
      <c r="I7219" s="20">
        <v>0.790340045620605</v>
      </c>
      <c r="J7219" s="28">
        <v>0.42932920578996397</v>
      </c>
      <c r="K7219" s="29">
        <v>0.98289565623980701</v>
      </c>
    </row>
    <row r="7220" spans="1:11" x14ac:dyDescent="0.35">
      <c r="A7220" s="9" t="str">
        <f>HYPERLINK("http://www.ensembl.org/id/WBGene00016135", "WBGene00016135")</f>
        <v>WBGene00016135</v>
      </c>
      <c r="B7220" s="9" t="str">
        <f>HYPERLINK("http://www.ncbi.nlm.nih.gov/gene/182932", "182932")</f>
        <v>182932</v>
      </c>
      <c r="C7220" s="9"/>
      <c r="D7220" t="str">
        <f>"C26B9.6"</f>
        <v>C26B9.6</v>
      </c>
      <c r="F7220" t="s">
        <v>11</v>
      </c>
      <c r="G7220" t="s">
        <v>5746</v>
      </c>
      <c r="H7220" s="12">
        <v>1.11154473830795</v>
      </c>
      <c r="I7220" s="20">
        <v>0.458375449448017</v>
      </c>
      <c r="J7220" s="28">
        <v>0.64668272663528703</v>
      </c>
      <c r="K7220" s="29">
        <v>0.98289565623980701</v>
      </c>
    </row>
    <row r="7221" spans="1:11" x14ac:dyDescent="0.35">
      <c r="A7221" s="9" t="str">
        <f>HYPERLINK("http://www.ensembl.org/id/WBGene00016136", "WBGene00016136")</f>
        <v>WBGene00016136</v>
      </c>
      <c r="B7221" s="9" t="str">
        <f>HYPERLINK("http://www.ncbi.nlm.nih.gov/gene/180805", "180805")</f>
        <v>180805</v>
      </c>
      <c r="C7221" s="9"/>
      <c r="D7221" t="str">
        <f>"C26B9.7"</f>
        <v>C26B9.7</v>
      </c>
      <c r="F7221" t="s">
        <v>11</v>
      </c>
      <c r="H7221" s="12">
        <v>-1.6680924557274199</v>
      </c>
      <c r="I7221" s="20">
        <v>-0.350484248277524</v>
      </c>
      <c r="J7221" s="28">
        <v>0.72597530947529798</v>
      </c>
      <c r="K7221" s="29">
        <v>0.98289565623980701</v>
      </c>
    </row>
    <row r="7222" spans="1:11" x14ac:dyDescent="0.35">
      <c r="A7222" s="9" t="str">
        <f>HYPERLINK("http://www.ensembl.org/id/WBGene00077553", "WBGene00077553")</f>
        <v>WBGene00077553</v>
      </c>
      <c r="B7222" s="9" t="str">
        <f>HYPERLINK("http://www.ncbi.nlm.nih.gov/gene/6418574", "6418574")</f>
        <v>6418574</v>
      </c>
      <c r="C7222" s="9"/>
      <c r="D7222" t="str">
        <f>"C26C6.10"</f>
        <v>C26C6.10</v>
      </c>
      <c r="F7222" t="s">
        <v>11</v>
      </c>
      <c r="H7222" s="12">
        <v>1.7455919701304901</v>
      </c>
      <c r="I7222" s="20">
        <v>0.35172769622019101</v>
      </c>
      <c r="J7222" s="28">
        <v>0.72504248758015999</v>
      </c>
      <c r="K7222" s="29">
        <v>0.98289565623980701</v>
      </c>
    </row>
    <row r="7223" spans="1:11" x14ac:dyDescent="0.35">
      <c r="A7223" s="9" t="str">
        <f>HYPERLINK("http://www.ensembl.org/id/WBGene00219834", "WBGene00219834")</f>
        <v>WBGene00219834</v>
      </c>
      <c r="B7223" s="9"/>
      <c r="C7223" s="9"/>
      <c r="D7223" t="str">
        <f>"C26C6.13"</f>
        <v>C26C6.13</v>
      </c>
      <c r="F7223" t="s">
        <v>2977</v>
      </c>
      <c r="H7223" s="12">
        <v>4.2542934820863598</v>
      </c>
      <c r="I7223" s="20">
        <v>0.743282817155419</v>
      </c>
      <c r="J7223" s="28">
        <v>0.45731047235032202</v>
      </c>
      <c r="K7223" s="29">
        <v>0.98289565623980701</v>
      </c>
    </row>
    <row r="7224" spans="1:11" x14ac:dyDescent="0.35">
      <c r="A7224" s="9" t="str">
        <f>HYPERLINK("http://www.ensembl.org/id/WBGene00219835", "WBGene00219835")</f>
        <v>WBGene00219835</v>
      </c>
      <c r="B7224" s="9"/>
      <c r="C7224" s="9"/>
      <c r="D7224" t="str">
        <f>"C26C6.14"</f>
        <v>C26C6.14</v>
      </c>
      <c r="F7224" t="s">
        <v>481</v>
      </c>
      <c r="H7224" s="12">
        <v>7.2474883361933102</v>
      </c>
      <c r="I7224" s="20">
        <v>0.60161888411598596</v>
      </c>
      <c r="J7224" s="28">
        <v>0.54742785575427899</v>
      </c>
      <c r="K7224" s="29">
        <v>0.98289565623980701</v>
      </c>
    </row>
    <row r="7225" spans="1:11" x14ac:dyDescent="0.35">
      <c r="A7225" s="9" t="str">
        <f>HYPERLINK("http://www.ensembl.org/id/WBGene00007739", "WBGene00007739")</f>
        <v>WBGene00007739</v>
      </c>
      <c r="B7225" s="9" t="str">
        <f>HYPERLINK("http://www.ncbi.nlm.nih.gov/gene/182933", "182933")</f>
        <v>182933</v>
      </c>
      <c r="C7225" s="9"/>
      <c r="D7225" t="str">
        <f>"C26C6.4"</f>
        <v>C26C6.4</v>
      </c>
      <c r="F7225" t="s">
        <v>11</v>
      </c>
      <c r="G7225" t="s">
        <v>25</v>
      </c>
      <c r="H7225" s="12">
        <v>1.1960062481748699</v>
      </c>
      <c r="I7225" s="20">
        <v>0.25729138099035298</v>
      </c>
      <c r="J7225" s="28">
        <v>0.79695384552297799</v>
      </c>
      <c r="K7225" s="29">
        <v>0.98289565623980701</v>
      </c>
    </row>
    <row r="7226" spans="1:11" x14ac:dyDescent="0.35">
      <c r="A7226" s="9" t="str">
        <f>HYPERLINK("http://www.ensembl.org/id/WBGene00007740", "WBGene00007740")</f>
        <v>WBGene00007740</v>
      </c>
      <c r="B7226" s="9" t="str">
        <f>HYPERLINK("http://www.ncbi.nlm.nih.gov/gene/182934", "182934")</f>
        <v>182934</v>
      </c>
      <c r="C7226" s="9"/>
      <c r="D7226" t="str">
        <f>"C26C6.6"</f>
        <v>C26C6.6</v>
      </c>
      <c r="F7226" t="s">
        <v>11</v>
      </c>
      <c r="G7226" t="s">
        <v>4204</v>
      </c>
      <c r="H7226" s="12">
        <v>-1.97108087509046</v>
      </c>
      <c r="I7226" s="20">
        <v>-0.41037813081007701</v>
      </c>
      <c r="J7226" s="28">
        <v>0.68152858615770495</v>
      </c>
      <c r="K7226" s="29">
        <v>0.98289565623980701</v>
      </c>
    </row>
    <row r="7227" spans="1:11" x14ac:dyDescent="0.35">
      <c r="A7227" s="9" t="str">
        <f>HYPERLINK("http://www.ensembl.org/id/WBGene00007743", "WBGene00007743")</f>
        <v>WBGene00007743</v>
      </c>
      <c r="B7227" s="9" t="str">
        <f>HYPERLINK("http://www.ncbi.nlm.nih.gov/gene/259317", "259317")</f>
        <v>259317</v>
      </c>
      <c r="C7227" s="9"/>
      <c r="D7227" t="str">
        <f>"C26C6.9"</f>
        <v>C26C6.9</v>
      </c>
      <c r="F7227" t="s">
        <v>11</v>
      </c>
      <c r="G7227" t="s">
        <v>5288</v>
      </c>
      <c r="H7227" s="12">
        <v>-1.14684267686078</v>
      </c>
      <c r="I7227" s="20">
        <v>-0.51107584766707703</v>
      </c>
      <c r="J7227" s="28">
        <v>0.60929794727861097</v>
      </c>
      <c r="K7227" s="29">
        <v>0.98289565623980701</v>
      </c>
    </row>
    <row r="7228" spans="1:11" x14ac:dyDescent="0.35">
      <c r="A7228" s="9" t="str">
        <f>HYPERLINK("http://www.ensembl.org/id/WBGene00007744", "WBGene00007744")</f>
        <v>WBGene00007744</v>
      </c>
      <c r="B7228" s="9" t="str">
        <f>HYPERLINK("http://www.ncbi.nlm.nih.gov/gene/182937", "182937")</f>
        <v>182937</v>
      </c>
      <c r="C7228" s="9" t="str">
        <f>HYPERLINK("http://www.ncbi.nlm.nih.gov/gene/79912", "79912")</f>
        <v>79912</v>
      </c>
      <c r="D7228" t="str">
        <f>"C26D10.3"</f>
        <v>C26D10.3</v>
      </c>
      <c r="F7228" t="s">
        <v>11</v>
      </c>
      <c r="G7228" t="s">
        <v>489</v>
      </c>
      <c r="H7228" s="12">
        <v>-1.0945679692435499</v>
      </c>
      <c r="I7228" s="20">
        <v>-0.268216411792288</v>
      </c>
      <c r="J7228" s="28">
        <v>0.78853274289709496</v>
      </c>
      <c r="K7228" s="29">
        <v>0.98289565623980701</v>
      </c>
    </row>
    <row r="7229" spans="1:11" x14ac:dyDescent="0.35">
      <c r="A7229" s="9" t="str">
        <f>HYPERLINK("http://www.ensembl.org/id/WBGene00007746", "WBGene00007746")</f>
        <v>WBGene00007746</v>
      </c>
      <c r="B7229" s="9" t="str">
        <f>HYPERLINK("http://www.ncbi.nlm.nih.gov/gene/174335", "174335")</f>
        <v>174335</v>
      </c>
      <c r="C7229" s="9"/>
      <c r="D7229" t="str">
        <f>"C26D10.6"</f>
        <v>C26D10.6</v>
      </c>
      <c r="F7229" t="s">
        <v>11</v>
      </c>
      <c r="H7229" s="12">
        <v>-1.06038059759371</v>
      </c>
      <c r="I7229" s="20">
        <v>-0.30401104566549902</v>
      </c>
      <c r="J7229" s="28">
        <v>0.76111947597816898</v>
      </c>
      <c r="K7229" s="29">
        <v>0.98289565623980701</v>
      </c>
    </row>
    <row r="7230" spans="1:11" x14ac:dyDescent="0.35">
      <c r="A7230" s="9" t="str">
        <f>HYPERLINK("http://www.ensembl.org/id/WBGene00023420", "WBGene00023420")</f>
        <v>WBGene00023420</v>
      </c>
      <c r="B7230" s="9" t="str">
        <f>HYPERLINK("http://www.ncbi.nlm.nih.gov/gene/3565188", "3565188")</f>
        <v>3565188</v>
      </c>
      <c r="C7230" s="9"/>
      <c r="D7230" t="str">
        <f>"C26D10.7"</f>
        <v>C26D10.7</v>
      </c>
      <c r="F7230" t="s">
        <v>11</v>
      </c>
      <c r="G7230" t="s">
        <v>4705</v>
      </c>
      <c r="H7230" s="12">
        <v>1.46539438493549</v>
      </c>
      <c r="I7230" s="20">
        <v>0.27721008341842501</v>
      </c>
      <c r="J7230" s="28">
        <v>0.78161879747664498</v>
      </c>
      <c r="K7230" s="29">
        <v>0.98289565623980701</v>
      </c>
    </row>
    <row r="7231" spans="1:11" x14ac:dyDescent="0.35">
      <c r="A7231" s="9" t="str">
        <f>HYPERLINK("http://www.ensembl.org/id/WBGene00007747", "WBGene00007747")</f>
        <v>WBGene00007747</v>
      </c>
      <c r="B7231" s="9" t="str">
        <f>HYPERLINK("http://www.ncbi.nlm.nih.gov/gene/182939", "182939")</f>
        <v>182939</v>
      </c>
      <c r="C7231" s="9"/>
      <c r="D7231" t="str">
        <f>"C26E1.1"</f>
        <v>C26E1.1</v>
      </c>
      <c r="F7231" t="s">
        <v>11</v>
      </c>
      <c r="H7231" s="12">
        <v>2.3893468495514898</v>
      </c>
      <c r="I7231" s="20">
        <v>0.25323547253672701</v>
      </c>
      <c r="J7231" s="28">
        <v>0.80008625651646104</v>
      </c>
      <c r="K7231" s="29">
        <v>0.98289565623980701</v>
      </c>
    </row>
    <row r="7232" spans="1:11" x14ac:dyDescent="0.35">
      <c r="A7232" s="9" t="str">
        <f>HYPERLINK("http://www.ensembl.org/id/WBGene00016137", "WBGene00016137")</f>
        <v>WBGene00016137</v>
      </c>
      <c r="B7232" s="9" t="str">
        <f>HYPERLINK("http://www.ncbi.nlm.nih.gov/gene/182941", "182941")</f>
        <v>182941</v>
      </c>
      <c r="C7232" s="9"/>
      <c r="D7232" t="str">
        <f>"C26E6.1"</f>
        <v>C26E6.1</v>
      </c>
      <c r="F7232" t="s">
        <v>11</v>
      </c>
      <c r="G7232" t="s">
        <v>10112</v>
      </c>
      <c r="H7232" s="12">
        <v>-4.7167679298615104</v>
      </c>
      <c r="I7232" s="20">
        <v>-0.454742638005115</v>
      </c>
      <c r="J7232" s="28">
        <v>0.64929440216969203</v>
      </c>
      <c r="K7232" s="29">
        <v>0.98289565623980701</v>
      </c>
    </row>
    <row r="7233" spans="1:11" x14ac:dyDescent="0.35">
      <c r="A7233" s="9" t="str">
        <f>HYPERLINK("http://www.ensembl.org/id/WBGene00198989", "WBGene00198989")</f>
        <v>WBGene00198989</v>
      </c>
      <c r="B7233" s="9"/>
      <c r="C7233" s="9"/>
      <c r="D7233" t="str">
        <f>"C26E6.13"</f>
        <v>C26E6.13</v>
      </c>
      <c r="F7233" t="s">
        <v>481</v>
      </c>
      <c r="H7233" s="12">
        <v>2.4578120077400301</v>
      </c>
      <c r="I7233" s="20">
        <v>0.26093350314551</v>
      </c>
      <c r="J7233" s="28">
        <v>0.79414378780213601</v>
      </c>
      <c r="K7233" s="29">
        <v>0.98289565623980701</v>
      </c>
    </row>
    <row r="7234" spans="1:11" x14ac:dyDescent="0.35">
      <c r="A7234" s="9" t="str">
        <f>HYPERLINK("http://www.ensembl.org/id/WBGene00007751", "WBGene00007751")</f>
        <v>WBGene00007751</v>
      </c>
      <c r="B7234" s="9" t="str">
        <f>HYPERLINK("http://www.ncbi.nlm.nih.gov/gene/182945", "182945")</f>
        <v>182945</v>
      </c>
      <c r="C7234" s="9"/>
      <c r="D7234" t="str">
        <f>"C26G2.2"</f>
        <v>C26G2.2</v>
      </c>
      <c r="F7234" t="s">
        <v>11</v>
      </c>
      <c r="G7234" t="s">
        <v>25</v>
      </c>
      <c r="H7234" s="12">
        <v>1.1657542198994499</v>
      </c>
      <c r="I7234" s="20">
        <v>0.43925855038323802</v>
      </c>
      <c r="J7234" s="28">
        <v>0.66047420441747495</v>
      </c>
      <c r="K7234" s="29">
        <v>0.98289565623980701</v>
      </c>
    </row>
    <row r="7235" spans="1:11" x14ac:dyDescent="0.35">
      <c r="A7235" s="9" t="str">
        <f>HYPERLINK("http://www.ensembl.org/id/WBGene00197451", "WBGene00197451")</f>
        <v>WBGene00197451</v>
      </c>
      <c r="B7235" s="9"/>
      <c r="C7235" s="9"/>
      <c r="D7235" t="str">
        <f>"C26G2.4"</f>
        <v>C26G2.4</v>
      </c>
      <c r="F7235" t="s">
        <v>481</v>
      </c>
      <c r="H7235" s="12">
        <v>4.4368407117627902</v>
      </c>
      <c r="I7235" s="20">
        <v>0.43709475933309699</v>
      </c>
      <c r="J7235" s="28">
        <v>0.66204262779770495</v>
      </c>
      <c r="K7235" s="29">
        <v>0.98289565623980701</v>
      </c>
    </row>
    <row r="7236" spans="1:11" x14ac:dyDescent="0.35">
      <c r="A7236" s="9" t="str">
        <f>HYPERLINK("http://www.ensembl.org/id/WBGene00016154", "WBGene00016154")</f>
        <v>WBGene00016154</v>
      </c>
      <c r="B7236" s="9" t="str">
        <f>HYPERLINK("http://www.ncbi.nlm.nih.gov/gene/172281", "172281")</f>
        <v>172281</v>
      </c>
      <c r="C7236" s="9"/>
      <c r="D7236" t="str">
        <f>"C27A12.2"</f>
        <v>C27A12.2</v>
      </c>
      <c r="F7236" t="s">
        <v>11</v>
      </c>
      <c r="G7236" t="s">
        <v>462</v>
      </c>
      <c r="H7236" s="12">
        <v>-1.2195347299272301</v>
      </c>
      <c r="I7236" s="20">
        <v>-0.94723904274114501</v>
      </c>
      <c r="J7236" s="28">
        <v>0.34351698466282399</v>
      </c>
      <c r="K7236" s="29">
        <v>0.98289565623980701</v>
      </c>
    </row>
    <row r="7237" spans="1:11" x14ac:dyDescent="0.35">
      <c r="A7237" s="9" t="str">
        <f>HYPERLINK("http://www.ensembl.org/id/WBGene00016159", "WBGene00016159")</f>
        <v>WBGene00016159</v>
      </c>
      <c r="B7237" s="9" t="str">
        <f>HYPERLINK("http://www.ncbi.nlm.nih.gov/gene/172285", "172285")</f>
        <v>172285</v>
      </c>
      <c r="C7237" s="9" t="str">
        <f>HYPERLINK("http://www.ncbi.nlm.nih.gov/gene/84720", "84720")</f>
        <v>84720</v>
      </c>
      <c r="D7237" t="str">
        <f>"C27A12.9"</f>
        <v>C27A12.9</v>
      </c>
      <c r="F7237" t="s">
        <v>11</v>
      </c>
      <c r="G7237" t="s">
        <v>9349</v>
      </c>
      <c r="H7237" s="12">
        <v>-1.2401372416802301</v>
      </c>
      <c r="I7237" s="20">
        <v>-0.89829785508644</v>
      </c>
      <c r="J7237" s="28">
        <v>0.36902677575469101</v>
      </c>
      <c r="K7237" s="29">
        <v>0.98289565623980701</v>
      </c>
    </row>
    <row r="7238" spans="1:11" x14ac:dyDescent="0.35">
      <c r="A7238" s="9" t="str">
        <f>HYPERLINK("http://www.ensembl.org/id/WBGene00022946", "WBGene00022946")</f>
        <v>WBGene00022946</v>
      </c>
      <c r="B7238" s="9"/>
      <c r="C7238" s="9"/>
      <c r="D7238" t="str">
        <f>"C27A12.t1"</f>
        <v>C27A12.t1</v>
      </c>
      <c r="F7238" t="s">
        <v>4208</v>
      </c>
      <c r="H7238" s="12">
        <v>2.3893468495514898</v>
      </c>
      <c r="I7238" s="20">
        <v>0.25323547253672701</v>
      </c>
      <c r="J7238" s="28">
        <v>0.80008625651646104</v>
      </c>
      <c r="K7238" s="29">
        <v>0.98289565623980701</v>
      </c>
    </row>
    <row r="7239" spans="1:11" x14ac:dyDescent="0.35">
      <c r="A7239" s="9" t="str">
        <f>HYPERLINK("http://www.ensembl.org/id/WBGene00016153", "WBGene00016153")</f>
        <v>WBGene00016153</v>
      </c>
      <c r="B7239" s="9" t="str">
        <f>HYPERLINK("http://www.ncbi.nlm.nih.gov/gene/182949", "182949")</f>
        <v>182949</v>
      </c>
      <c r="C7239" s="9"/>
      <c r="D7239" t="str">
        <f>"C27A2.5"</f>
        <v>C27A2.5</v>
      </c>
      <c r="F7239" t="s">
        <v>11</v>
      </c>
      <c r="H7239" s="12">
        <v>3.9354022281346901</v>
      </c>
      <c r="I7239" s="20">
        <v>1.0683608334803101</v>
      </c>
      <c r="J7239" s="28">
        <v>0.28535777721668498</v>
      </c>
      <c r="K7239" s="29">
        <v>0.98289565623980701</v>
      </c>
    </row>
    <row r="7240" spans="1:11" x14ac:dyDescent="0.35">
      <c r="A7240" s="9" t="str">
        <f>HYPERLINK("http://www.ensembl.org/id/WBGene00044387", "WBGene00044387")</f>
        <v>WBGene00044387</v>
      </c>
      <c r="B7240" s="9" t="str">
        <f>HYPERLINK("http://www.ncbi.nlm.nih.gov/gene/3564954", "3564954")</f>
        <v>3564954</v>
      </c>
      <c r="C7240" s="9"/>
      <c r="D7240" t="str">
        <f>"C27A2.8"</f>
        <v>C27A2.8</v>
      </c>
      <c r="F7240" t="s">
        <v>11</v>
      </c>
      <c r="G7240" t="s">
        <v>1674</v>
      </c>
      <c r="H7240" s="12">
        <v>-2.4621238618177701</v>
      </c>
      <c r="I7240" s="20">
        <v>-0.92944173264151597</v>
      </c>
      <c r="J7240" s="28">
        <v>0.35266020864196601</v>
      </c>
      <c r="K7240" s="29">
        <v>0.98289565623980701</v>
      </c>
    </row>
    <row r="7241" spans="1:11" x14ac:dyDescent="0.35">
      <c r="A7241" s="9" t="str">
        <f>HYPERLINK("http://www.ensembl.org/id/WBGene00007754", "WBGene00007754")</f>
        <v>WBGene00007754</v>
      </c>
      <c r="B7241" s="9"/>
      <c r="C7241" s="9"/>
      <c r="D7241" t="str">
        <f>"C27A7.2"</f>
        <v>C27A7.2</v>
      </c>
      <c r="F7241" t="s">
        <v>80</v>
      </c>
      <c r="H7241" s="12">
        <v>1.69708075841897</v>
      </c>
      <c r="I7241" s="20">
        <v>0.426366111658598</v>
      </c>
      <c r="J7241" s="28">
        <v>0.66984109090948996</v>
      </c>
      <c r="K7241" s="29">
        <v>0.98289565623980701</v>
      </c>
    </row>
    <row r="7242" spans="1:11" x14ac:dyDescent="0.35">
      <c r="A7242" s="9" t="str">
        <f>HYPERLINK("http://www.ensembl.org/id/WBGene00007756", "WBGene00007756")</f>
        <v>WBGene00007756</v>
      </c>
      <c r="B7242" s="9" t="str">
        <f>HYPERLINK("http://www.ncbi.nlm.nih.gov/gene/179667", "179667")</f>
        <v>179667</v>
      </c>
      <c r="C7242" s="9"/>
      <c r="D7242" t="str">
        <f>"C27A7.5"</f>
        <v>C27A7.5</v>
      </c>
      <c r="F7242" t="s">
        <v>11</v>
      </c>
      <c r="G7242" t="s">
        <v>5084</v>
      </c>
      <c r="H7242" s="12">
        <v>1.2440157796182301</v>
      </c>
      <c r="I7242" s="20">
        <v>1.19522860473394</v>
      </c>
      <c r="J7242" s="28">
        <v>0.23199772542566199</v>
      </c>
      <c r="K7242" s="29">
        <v>0.98289565623980701</v>
      </c>
    </row>
    <row r="7243" spans="1:11" x14ac:dyDescent="0.35">
      <c r="A7243" s="9" t="str">
        <f>HYPERLINK("http://www.ensembl.org/id/WBGene00007757", "WBGene00007757")</f>
        <v>WBGene00007757</v>
      </c>
      <c r="B7243" s="9" t="str">
        <f>HYPERLINK("http://www.ncbi.nlm.nih.gov/gene/182951", "182951")</f>
        <v>182951</v>
      </c>
      <c r="C7243" s="9"/>
      <c r="D7243" t="str">
        <f>"C27A7.6"</f>
        <v>C27A7.6</v>
      </c>
      <c r="F7243" t="s">
        <v>11</v>
      </c>
      <c r="G7243" t="s">
        <v>230</v>
      </c>
      <c r="H7243" s="12">
        <v>-1.2031594727525201</v>
      </c>
      <c r="I7243" s="20">
        <v>-0.92414197885480598</v>
      </c>
      <c r="J7243" s="28">
        <v>0.35541239951190501</v>
      </c>
      <c r="K7243" s="29">
        <v>0.98289565623980701</v>
      </c>
    </row>
    <row r="7244" spans="1:11" x14ac:dyDescent="0.35">
      <c r="A7244" s="9" t="str">
        <f>HYPERLINK("http://www.ensembl.org/id/WBGene00007759", "WBGene00007759")</f>
        <v>WBGene00007759</v>
      </c>
      <c r="B7244" s="9" t="str">
        <f>HYPERLINK("http://www.ncbi.nlm.nih.gov/gene/3565527", "3565527")</f>
        <v>3565527</v>
      </c>
      <c r="C7244" s="9"/>
      <c r="D7244" t="str">
        <f>"C27A7.9"</f>
        <v>C27A7.9</v>
      </c>
      <c r="F7244" t="s">
        <v>11</v>
      </c>
      <c r="H7244" s="12">
        <v>-1.38650487989127</v>
      </c>
      <c r="I7244" s="20">
        <v>-0.40942505737322599</v>
      </c>
      <c r="J7244" s="28">
        <v>0.68222775405984504</v>
      </c>
      <c r="K7244" s="29">
        <v>0.98289565623980701</v>
      </c>
    </row>
    <row r="7245" spans="1:11" x14ac:dyDescent="0.35">
      <c r="A7245" s="9" t="str">
        <f>HYPERLINK("http://www.ensembl.org/id/WBGene00007760", "WBGene00007760")</f>
        <v>WBGene00007760</v>
      </c>
      <c r="B7245" s="9" t="str">
        <f>HYPERLINK("http://www.ncbi.nlm.nih.gov/gene/177705", "177705")</f>
        <v>177705</v>
      </c>
      <c r="C7245" s="9"/>
      <c r="D7245" t="str">
        <f>"C27B7.2"</f>
        <v>C27B7.2</v>
      </c>
      <c r="F7245" t="s">
        <v>11</v>
      </c>
      <c r="G7245" t="s">
        <v>54</v>
      </c>
      <c r="H7245" s="12">
        <v>-1.3479493208444799</v>
      </c>
      <c r="I7245" s="20">
        <v>-1.17561438691415</v>
      </c>
      <c r="J7245" s="28">
        <v>0.23974900381805</v>
      </c>
      <c r="K7245" s="29">
        <v>0.98289565623980701</v>
      </c>
    </row>
    <row r="7246" spans="1:11" x14ac:dyDescent="0.35">
      <c r="A7246" s="9" t="str">
        <f>HYPERLINK("http://www.ensembl.org/id/WBGene00007763", "WBGene00007763")</f>
        <v>WBGene00007763</v>
      </c>
      <c r="B7246" s="9" t="str">
        <f>HYPERLINK("http://www.ncbi.nlm.nih.gov/gene/182956", "182956")</f>
        <v>182956</v>
      </c>
      <c r="C7246" s="9"/>
      <c r="D7246" t="str">
        <f>"C27B7.6"</f>
        <v>C27B7.6</v>
      </c>
      <c r="E7246" t="s">
        <v>5044</v>
      </c>
      <c r="F7246" t="s">
        <v>11</v>
      </c>
      <c r="G7246" t="s">
        <v>5045</v>
      </c>
      <c r="H7246" s="12">
        <v>1.2527553544974801</v>
      </c>
      <c r="I7246" s="20">
        <v>0.31977533931003999</v>
      </c>
      <c r="J7246" s="28">
        <v>0.74913864319290502</v>
      </c>
      <c r="K7246" s="29">
        <v>0.98289565623980701</v>
      </c>
    </row>
    <row r="7247" spans="1:11" x14ac:dyDescent="0.35">
      <c r="A7247" s="9" t="str">
        <f>HYPERLINK("http://www.ensembl.org/id/WBGene00007764", "WBGene00007764")</f>
        <v>WBGene00007764</v>
      </c>
      <c r="B7247" s="9" t="str">
        <f>HYPERLINK("http://www.ncbi.nlm.nih.gov/gene/177708", "177708")</f>
        <v>177708</v>
      </c>
      <c r="C7247" s="9"/>
      <c r="D7247" t="str">
        <f>"C27B7.7"</f>
        <v>C27B7.7</v>
      </c>
      <c r="E7247" t="s">
        <v>8053</v>
      </c>
      <c r="F7247" t="s">
        <v>11</v>
      </c>
      <c r="G7247" t="s">
        <v>8054</v>
      </c>
      <c r="H7247" s="12">
        <v>-1.1586675384912499</v>
      </c>
      <c r="I7247" s="20">
        <v>-0.719754956138286</v>
      </c>
      <c r="J7247" s="28">
        <v>0.47167588299065299</v>
      </c>
      <c r="K7247" s="29">
        <v>0.98289565623980701</v>
      </c>
    </row>
    <row r="7248" spans="1:11" x14ac:dyDescent="0.35">
      <c r="A7248" s="9" t="str">
        <f>HYPERLINK("http://www.ensembl.org/id/WBGene00007771", "WBGene00007771")</f>
        <v>WBGene00007771</v>
      </c>
      <c r="B7248" s="9" t="str">
        <f>HYPERLINK("http://www.ncbi.nlm.nih.gov/gene/182961", "182961")</f>
        <v>182961</v>
      </c>
      <c r="C7248" s="9"/>
      <c r="D7248" t="str">
        <f>"C27C12.1"</f>
        <v>C27C12.1</v>
      </c>
      <c r="F7248" t="s">
        <v>11</v>
      </c>
      <c r="H7248" s="12">
        <v>-1.2863519473759599</v>
      </c>
      <c r="I7248" s="20">
        <v>-0.94740561603389895</v>
      </c>
      <c r="J7248" s="28">
        <v>0.343432130482419</v>
      </c>
      <c r="K7248" s="29">
        <v>0.98289565623980701</v>
      </c>
    </row>
    <row r="7249" spans="1:11" x14ac:dyDescent="0.35">
      <c r="A7249" s="9" t="str">
        <f>HYPERLINK("http://www.ensembl.org/id/WBGene00007768", "WBGene00007768")</f>
        <v>WBGene00007768</v>
      </c>
      <c r="B7249" s="9" t="str">
        <f>HYPERLINK("http://www.ncbi.nlm.nih.gov/gene/182958", "182958")</f>
        <v>182958</v>
      </c>
      <c r="C7249" s="9"/>
      <c r="D7249" t="str">
        <f>"C27C7.5"</f>
        <v>C27C7.5</v>
      </c>
      <c r="E7249" t="s">
        <v>2043</v>
      </c>
      <c r="F7249" t="s">
        <v>11</v>
      </c>
      <c r="G7249" t="s">
        <v>4290</v>
      </c>
      <c r="H7249" s="12">
        <v>-3.5819448292659501</v>
      </c>
      <c r="I7249" s="20">
        <v>-0.37337717500031398</v>
      </c>
      <c r="J7249" s="28">
        <v>0.70886774492290605</v>
      </c>
      <c r="K7249" s="29">
        <v>0.98289565623980701</v>
      </c>
    </row>
    <row r="7250" spans="1:11" x14ac:dyDescent="0.35">
      <c r="A7250" s="9" t="str">
        <f>HYPERLINK("http://www.ensembl.org/id/WBGene00007769", "WBGene00007769")</f>
        <v>WBGene00007769</v>
      </c>
      <c r="B7250" s="9" t="str">
        <f>HYPERLINK("http://www.ncbi.nlm.nih.gov/gene/182959", "182959")</f>
        <v>182959</v>
      </c>
      <c r="C7250" s="9"/>
      <c r="D7250" t="str">
        <f>"C27C7.7"</f>
        <v>C27C7.7</v>
      </c>
      <c r="F7250" t="s">
        <v>11</v>
      </c>
      <c r="H7250" s="12">
        <v>1.86960812041098</v>
      </c>
      <c r="I7250" s="20">
        <v>0.79477035322663203</v>
      </c>
      <c r="J7250" s="28">
        <v>0.42674709941601902</v>
      </c>
      <c r="K7250" s="29">
        <v>0.98289565623980701</v>
      </c>
    </row>
    <row r="7251" spans="1:11" x14ac:dyDescent="0.35">
      <c r="A7251" s="9" t="str">
        <f>HYPERLINK("http://www.ensembl.org/id/WBGene00044388", "WBGene00044388")</f>
        <v>WBGene00044388</v>
      </c>
      <c r="B7251" s="9" t="str">
        <f>HYPERLINK("http://www.ncbi.nlm.nih.gov/gene/3564833", "3564833")</f>
        <v>3564833</v>
      </c>
      <c r="C7251" s="9" t="str">
        <f>HYPERLINK("http://www.ncbi.nlm.nih.gov/gene/83942", "83942")</f>
        <v>83942</v>
      </c>
      <c r="D7251" t="str">
        <f>"C27D6.11"</f>
        <v>C27D6.11</v>
      </c>
      <c r="F7251" t="s">
        <v>11</v>
      </c>
      <c r="G7251" t="s">
        <v>9961</v>
      </c>
      <c r="H7251" s="12">
        <v>-1.4898743190597299</v>
      </c>
      <c r="I7251" s="20">
        <v>-0.42465556784639302</v>
      </c>
      <c r="J7251" s="28">
        <v>0.67108777855296198</v>
      </c>
      <c r="K7251" s="29">
        <v>0.98289565623980701</v>
      </c>
    </row>
    <row r="7252" spans="1:11" x14ac:dyDescent="0.35">
      <c r="A7252" s="9" t="str">
        <f>HYPERLINK("http://www.ensembl.org/id/WBGene00007778", "WBGene00007778")</f>
        <v>WBGene00007778</v>
      </c>
      <c r="B7252" s="9" t="str">
        <f>HYPERLINK("http://www.ncbi.nlm.nih.gov/gene/178225", "178225")</f>
        <v>178225</v>
      </c>
      <c r="C7252" s="9"/>
      <c r="D7252" t="str">
        <f>"C27D8.2"</f>
        <v>C27D8.2</v>
      </c>
      <c r="F7252" t="s">
        <v>11</v>
      </c>
      <c r="H7252" s="12">
        <v>1.2141351782862699</v>
      </c>
      <c r="I7252" s="20">
        <v>0.30482173960421399</v>
      </c>
      <c r="J7252" s="28">
        <v>0.76050192319243703</v>
      </c>
      <c r="K7252" s="29">
        <v>0.98289565623980701</v>
      </c>
    </row>
    <row r="7253" spans="1:11" x14ac:dyDescent="0.35">
      <c r="A7253" s="9" t="str">
        <f>HYPERLINK("http://www.ensembl.org/id/WBGene00007779", "WBGene00007779")</f>
        <v>WBGene00007779</v>
      </c>
      <c r="B7253" s="9" t="str">
        <f>HYPERLINK("http://www.ncbi.nlm.nih.gov/gene/178224", "178224")</f>
        <v>178224</v>
      </c>
      <c r="C7253" s="9"/>
      <c r="D7253" t="str">
        <f>"C27D8.3"</f>
        <v>C27D8.3</v>
      </c>
      <c r="F7253" t="s">
        <v>11</v>
      </c>
      <c r="H7253" s="12">
        <v>-1.1619356509132299</v>
      </c>
      <c r="I7253" s="20">
        <v>-0.67359898980801203</v>
      </c>
      <c r="J7253" s="28">
        <v>0.50056629559216903</v>
      </c>
      <c r="K7253" s="29">
        <v>0.98289565623980701</v>
      </c>
    </row>
    <row r="7254" spans="1:11" x14ac:dyDescent="0.35">
      <c r="A7254" s="9" t="str">
        <f>HYPERLINK("http://www.ensembl.org/id/WBGene00016164", "WBGene00016164")</f>
        <v>WBGene00016164</v>
      </c>
      <c r="B7254" s="9" t="str">
        <f>HYPERLINK("http://www.ncbi.nlm.nih.gov/gene/182965", "182965")</f>
        <v>182965</v>
      </c>
      <c r="C7254" s="9"/>
      <c r="D7254" t="str">
        <f>"C27D9.2"</f>
        <v>C27D9.2</v>
      </c>
      <c r="F7254" t="s">
        <v>11</v>
      </c>
      <c r="G7254" t="s">
        <v>17</v>
      </c>
      <c r="H7254" s="12">
        <v>-3.5819448292659501</v>
      </c>
      <c r="I7254" s="20">
        <v>-0.37337717500031398</v>
      </c>
      <c r="J7254" s="28">
        <v>0.70886774492290605</v>
      </c>
      <c r="K7254" s="29">
        <v>0.98289565623980701</v>
      </c>
    </row>
    <row r="7255" spans="1:11" x14ac:dyDescent="0.35">
      <c r="A7255" s="9" t="str">
        <f>HYPERLINK("http://www.ensembl.org/id/WBGene00198463", "WBGene00198463")</f>
        <v>WBGene00198463</v>
      </c>
      <c r="B7255" s="9"/>
      <c r="C7255" s="9"/>
      <c r="D7255" t="str">
        <f>"C27F2.13"</f>
        <v>C27F2.13</v>
      </c>
      <c r="F7255" t="s">
        <v>481</v>
      </c>
      <c r="H7255" s="12">
        <v>3.5227018545059199</v>
      </c>
      <c r="I7255" s="20">
        <v>0.36849691206929103</v>
      </c>
      <c r="J7255" s="28">
        <v>0.71250274722433404</v>
      </c>
      <c r="K7255" s="29">
        <v>0.98289565623980701</v>
      </c>
    </row>
    <row r="7256" spans="1:11" x14ac:dyDescent="0.35">
      <c r="A7256" s="9" t="str">
        <f>HYPERLINK("http://www.ensembl.org/id/WBGene00016166", "WBGene00016166")</f>
        <v>WBGene00016166</v>
      </c>
      <c r="B7256" s="9" t="str">
        <f>HYPERLINK("http://www.ncbi.nlm.nih.gov/gene/175671", "175671")</f>
        <v>175671</v>
      </c>
      <c r="C7256" s="9" t="str">
        <f>HYPERLINK("http://www.ncbi.nlm.nih.gov/gene/114049", "114049")</f>
        <v>114049</v>
      </c>
      <c r="D7256" t="str">
        <f>"C27F2.4"</f>
        <v>C27F2.4</v>
      </c>
      <c r="F7256" t="s">
        <v>11</v>
      </c>
      <c r="G7256" t="s">
        <v>9578</v>
      </c>
      <c r="H7256" s="12">
        <v>-1.2606667079490901</v>
      </c>
      <c r="I7256" s="20">
        <v>-1.1325579225403799</v>
      </c>
      <c r="J7256" s="28">
        <v>0.25739994722457998</v>
      </c>
      <c r="K7256" s="29">
        <v>0.98289565623980701</v>
      </c>
    </row>
    <row r="7257" spans="1:11" x14ac:dyDescent="0.35">
      <c r="A7257" s="9" t="str">
        <f>HYPERLINK("http://www.ensembl.org/id/WBGene00271810", "WBGene00271810")</f>
        <v>WBGene00271810</v>
      </c>
      <c r="B7257" s="9" t="str">
        <f>HYPERLINK("http://www.ncbi.nlm.nih.gov/gene/34700613", "34700613")</f>
        <v>34700613</v>
      </c>
      <c r="C7257" s="9"/>
      <c r="D7257" t="str">
        <f>"C27H5.12"</f>
        <v>C27H5.12</v>
      </c>
      <c r="F7257" t="s">
        <v>11</v>
      </c>
      <c r="H7257" s="12">
        <v>2.0284294410961401</v>
      </c>
      <c r="I7257" s="20">
        <v>0.58998411462379197</v>
      </c>
      <c r="J7257" s="28">
        <v>0.55520129953240505</v>
      </c>
      <c r="K7257" s="29">
        <v>0.98289565623980701</v>
      </c>
    </row>
    <row r="7258" spans="1:11" x14ac:dyDescent="0.35">
      <c r="A7258" s="9" t="str">
        <f>HYPERLINK("http://www.ensembl.org/id/WBGene00016172", "WBGene00016172")</f>
        <v>WBGene00016172</v>
      </c>
      <c r="B7258" s="9" t="str">
        <f>HYPERLINK("http://www.ncbi.nlm.nih.gov/gene/174176", "174176")</f>
        <v>174176</v>
      </c>
      <c r="C7258" s="9"/>
      <c r="D7258" t="str">
        <f>"C27H5.2"</f>
        <v>C27H5.2</v>
      </c>
      <c r="F7258" t="s">
        <v>11</v>
      </c>
      <c r="G7258" t="s">
        <v>5556</v>
      </c>
      <c r="H7258" s="12">
        <v>1.1469035554984699</v>
      </c>
      <c r="I7258" s="20">
        <v>0.67865289217515801</v>
      </c>
      <c r="J7258" s="28">
        <v>0.49735782100910703</v>
      </c>
      <c r="K7258" s="29">
        <v>0.98289565623980701</v>
      </c>
    </row>
    <row r="7259" spans="1:11" x14ac:dyDescent="0.35">
      <c r="A7259" s="9" t="str">
        <f>HYPERLINK("http://www.ensembl.org/id/WBGene00016174", "WBGene00016174")</f>
        <v>WBGene00016174</v>
      </c>
      <c r="B7259" s="9" t="str">
        <f>HYPERLINK("http://www.ncbi.nlm.nih.gov/gene/174177", "174177")</f>
        <v>174177</v>
      </c>
      <c r="C7259" s="9" t="str">
        <f>HYPERLINK("http://www.ncbi.nlm.nih.gov/gene/79847", "79847")</f>
        <v>79847</v>
      </c>
      <c r="D7259" t="str">
        <f>"C27H5.4"</f>
        <v>C27H5.4</v>
      </c>
      <c r="F7259" t="s">
        <v>11</v>
      </c>
      <c r="G7259" t="s">
        <v>25</v>
      </c>
      <c r="H7259" s="12">
        <v>1.2133919973823</v>
      </c>
      <c r="I7259" s="20">
        <v>0.57831519937180198</v>
      </c>
      <c r="J7259" s="28">
        <v>0.56305133452227596</v>
      </c>
      <c r="K7259" s="29">
        <v>0.98289565623980701</v>
      </c>
    </row>
    <row r="7260" spans="1:11" x14ac:dyDescent="0.35">
      <c r="A7260" s="9" t="str">
        <f>HYPERLINK("http://www.ensembl.org/id/WBGene00016175", "WBGene00016175")</f>
        <v>WBGene00016175</v>
      </c>
      <c r="B7260" s="9" t="str">
        <f>HYPERLINK("http://www.ncbi.nlm.nih.gov/gene/182969", "182969")</f>
        <v>182969</v>
      </c>
      <c r="C7260" s="9"/>
      <c r="D7260" t="str">
        <f>"C27H5.6"</f>
        <v>C27H5.6</v>
      </c>
      <c r="F7260" t="s">
        <v>11</v>
      </c>
      <c r="G7260" t="s">
        <v>25</v>
      </c>
      <c r="H7260" s="12">
        <v>1.5637341650024399</v>
      </c>
      <c r="I7260" s="20">
        <v>0.98787027607285605</v>
      </c>
      <c r="J7260" s="28">
        <v>0.323216184363253</v>
      </c>
      <c r="K7260" s="29">
        <v>0.98289565623980701</v>
      </c>
    </row>
    <row r="7261" spans="1:11" x14ac:dyDescent="0.35">
      <c r="A7261" s="9" t="str">
        <f>HYPERLINK("http://www.ensembl.org/id/WBGene00007789", "WBGene00007789")</f>
        <v>WBGene00007789</v>
      </c>
      <c r="B7261" s="9" t="str">
        <f>HYPERLINK("http://www.ncbi.nlm.nih.gov/gene/3565701", "3565701")</f>
        <v>3565701</v>
      </c>
      <c r="C7261" s="9"/>
      <c r="D7261" t="str">
        <f>"C28A5.2"</f>
        <v>C28A5.2</v>
      </c>
      <c r="F7261" t="s">
        <v>11</v>
      </c>
      <c r="H7261" s="12">
        <v>-1.4353677575350701</v>
      </c>
      <c r="I7261" s="20">
        <v>-1.1371218701519299</v>
      </c>
      <c r="J7261" s="28">
        <v>0.25548734247674698</v>
      </c>
      <c r="K7261" s="29">
        <v>0.98289565623980701</v>
      </c>
    </row>
    <row r="7262" spans="1:11" x14ac:dyDescent="0.35">
      <c r="A7262" s="9" t="str">
        <f>HYPERLINK("http://www.ensembl.org/id/WBGene00014268", "WBGene00014268")</f>
        <v>WBGene00014268</v>
      </c>
      <c r="B7262" s="9"/>
      <c r="C7262" s="9"/>
      <c r="D7262" t="str">
        <f>"C28A5.t2"</f>
        <v>C28A5.t2</v>
      </c>
      <c r="F7262" t="s">
        <v>4208</v>
      </c>
      <c r="H7262" s="12">
        <v>-2.4295389261469</v>
      </c>
      <c r="I7262" s="20">
        <v>-0.25808529976640998</v>
      </c>
      <c r="J7262" s="28">
        <v>0.79634107645457397</v>
      </c>
      <c r="K7262" s="29">
        <v>0.98289565623980701</v>
      </c>
    </row>
    <row r="7263" spans="1:11" x14ac:dyDescent="0.35">
      <c r="A7263" s="9" t="str">
        <f>HYPERLINK("http://www.ensembl.org/id/WBGene00016177", "WBGene00016177")</f>
        <v>WBGene00016177</v>
      </c>
      <c r="B7263" s="9" t="str">
        <f>HYPERLINK("http://www.ncbi.nlm.nih.gov/gene/182976", "182976")</f>
        <v>182976</v>
      </c>
      <c r="C7263" s="9"/>
      <c r="D7263" t="str">
        <f>"C28C12.1"</f>
        <v>C28C12.1</v>
      </c>
      <c r="F7263" t="s">
        <v>11</v>
      </c>
      <c r="G7263" t="s">
        <v>25</v>
      </c>
      <c r="H7263" s="12">
        <v>2.81431819146353</v>
      </c>
      <c r="I7263" s="20">
        <v>1.07839809678974</v>
      </c>
      <c r="J7263" s="28">
        <v>0.28085613599468001</v>
      </c>
      <c r="K7263" s="29">
        <v>0.98289565623980701</v>
      </c>
    </row>
    <row r="7264" spans="1:11" x14ac:dyDescent="0.35">
      <c r="A7264" s="9" t="str">
        <f>HYPERLINK("http://www.ensembl.org/id/WBGene00016181", "WBGene00016181")</f>
        <v>WBGene00016181</v>
      </c>
      <c r="B7264" s="9" t="str">
        <f>HYPERLINK("http://www.ncbi.nlm.nih.gov/gene/177650", "177650")</f>
        <v>177650</v>
      </c>
      <c r="C7264" s="9"/>
      <c r="D7264" t="str">
        <f>"C28C12.11"</f>
        <v>C28C12.11</v>
      </c>
      <c r="F7264" t="s">
        <v>11</v>
      </c>
      <c r="G7264" t="s">
        <v>25</v>
      </c>
      <c r="H7264" s="12">
        <v>1.3607760258425201</v>
      </c>
      <c r="I7264" s="20">
        <v>0.27370077110642199</v>
      </c>
      <c r="J7264" s="28">
        <v>0.78431458512021501</v>
      </c>
      <c r="K7264" s="29">
        <v>0.98289565623980701</v>
      </c>
    </row>
    <row r="7265" spans="1:11" x14ac:dyDescent="0.35">
      <c r="A7265" s="9" t="str">
        <f>HYPERLINK("http://www.ensembl.org/id/WBGene00016179", "WBGene00016179")</f>
        <v>WBGene00016179</v>
      </c>
      <c r="B7265" s="9" t="str">
        <f>HYPERLINK("http://www.ncbi.nlm.nih.gov/gene/182977", "182977")</f>
        <v>182977</v>
      </c>
      <c r="C7265" s="9"/>
      <c r="D7265" t="str">
        <f>"C28C12.3"</f>
        <v>C28C12.3</v>
      </c>
      <c r="F7265" t="s">
        <v>11</v>
      </c>
      <c r="H7265" s="12">
        <v>1.5296286881518399</v>
      </c>
      <c r="I7265" s="20">
        <v>1.09679156356259</v>
      </c>
      <c r="J7265" s="28">
        <v>0.27273251896092399</v>
      </c>
      <c r="K7265" s="29">
        <v>0.98289565623980701</v>
      </c>
    </row>
    <row r="7266" spans="1:11" x14ac:dyDescent="0.35">
      <c r="A7266" s="9" t="str">
        <f>HYPERLINK("http://www.ensembl.org/id/WBGene00007793", "WBGene00007793")</f>
        <v>WBGene00007793</v>
      </c>
      <c r="B7266" s="9" t="str">
        <f>HYPERLINK("http://www.ncbi.nlm.nih.gov/gene/177809", "177809")</f>
        <v>177809</v>
      </c>
      <c r="C7266" s="9"/>
      <c r="D7266" t="str">
        <f>"C28D4.5"</f>
        <v>C28D4.5</v>
      </c>
      <c r="F7266" t="s">
        <v>11</v>
      </c>
      <c r="H7266" s="12">
        <v>3.5087727532992798</v>
      </c>
      <c r="I7266" s="20">
        <v>0.93571792750517702</v>
      </c>
      <c r="J7266" s="28">
        <v>0.349418437765878</v>
      </c>
      <c r="K7266" s="29">
        <v>0.98289565623980701</v>
      </c>
    </row>
    <row r="7267" spans="1:11" x14ac:dyDescent="0.35">
      <c r="A7267" s="9" t="str">
        <f>HYPERLINK("http://www.ensembl.org/id/WBGene00007795", "WBGene00007795")</f>
        <v>WBGene00007795</v>
      </c>
      <c r="B7267" s="9" t="str">
        <f>HYPERLINK("http://www.ncbi.nlm.nih.gov/gene/182983", "182983")</f>
        <v>182983</v>
      </c>
      <c r="C7267" s="9"/>
      <c r="D7267" t="str">
        <f>"C28D4.8"</f>
        <v>C28D4.8</v>
      </c>
      <c r="F7267" t="s">
        <v>11</v>
      </c>
      <c r="H7267" s="12">
        <v>-2.3542308389442299</v>
      </c>
      <c r="I7267" s="20">
        <v>-0.28969954807757697</v>
      </c>
      <c r="J7267" s="28">
        <v>0.77204610208903102</v>
      </c>
      <c r="K7267" s="29">
        <v>0.98289565623980701</v>
      </c>
    </row>
    <row r="7268" spans="1:11" x14ac:dyDescent="0.35">
      <c r="A7268" s="9" t="str">
        <f>HYPERLINK("http://www.ensembl.org/id/WBGene00016187", "WBGene00016187")</f>
        <v>WBGene00016187</v>
      </c>
      <c r="B7268" s="9" t="str">
        <f>HYPERLINK("http://www.ncbi.nlm.nih.gov/gene/182990", "182990")</f>
        <v>182990</v>
      </c>
      <c r="C7268" s="9"/>
      <c r="D7268" t="str">
        <f>"C28G1.2"</f>
        <v>C28G1.2</v>
      </c>
      <c r="F7268" t="s">
        <v>11</v>
      </c>
      <c r="G7268" t="s">
        <v>4197</v>
      </c>
      <c r="H7268" s="12">
        <v>1.16030057792466</v>
      </c>
      <c r="I7268" s="20">
        <v>0.38621177634850001</v>
      </c>
      <c r="J7268" s="28">
        <v>0.69933983282833601</v>
      </c>
      <c r="K7268" s="29">
        <v>0.98289565623980701</v>
      </c>
    </row>
    <row r="7269" spans="1:11" x14ac:dyDescent="0.35">
      <c r="A7269" s="9" t="str">
        <f>HYPERLINK("http://www.ensembl.org/id/WBGene00016190", "WBGene00016190")</f>
        <v>WBGene00016190</v>
      </c>
      <c r="B7269" s="9" t="str">
        <f>HYPERLINK("http://www.ncbi.nlm.nih.gov/gene/259719", "259719")</f>
        <v>259719</v>
      </c>
      <c r="C7269" s="9"/>
      <c r="D7269" t="str">
        <f>"C28G1.5"</f>
        <v>C28G1.5</v>
      </c>
      <c r="F7269" t="s">
        <v>11</v>
      </c>
      <c r="G7269" t="s">
        <v>3465</v>
      </c>
      <c r="H7269" s="12">
        <v>1.1313456275091101</v>
      </c>
      <c r="I7269" s="20">
        <v>0.54623530782301899</v>
      </c>
      <c r="J7269" s="28">
        <v>0.584904198691376</v>
      </c>
      <c r="K7269" s="29">
        <v>0.98289565623980701</v>
      </c>
    </row>
    <row r="7270" spans="1:11" x14ac:dyDescent="0.35">
      <c r="A7270" s="9" t="str">
        <f>HYPERLINK("http://www.ensembl.org/id/WBGene00016191", "WBGene00016191")</f>
        <v>WBGene00016191</v>
      </c>
      <c r="B7270" s="9" t="str">
        <f>HYPERLINK("http://www.ncbi.nlm.nih.gov/gene/181130", "181130")</f>
        <v>181130</v>
      </c>
      <c r="C7270" s="9"/>
      <c r="D7270" t="str">
        <f>"C28G1.6"</f>
        <v>C28G1.6</v>
      </c>
      <c r="F7270" t="s">
        <v>11</v>
      </c>
      <c r="G7270" t="s">
        <v>3465</v>
      </c>
      <c r="H7270" s="12">
        <v>-1.1306543358791401</v>
      </c>
      <c r="I7270" s="20">
        <v>-0.49752734313839198</v>
      </c>
      <c r="J7270" s="28">
        <v>0.61881722588108901</v>
      </c>
      <c r="K7270" s="29">
        <v>0.98289565623980701</v>
      </c>
    </row>
    <row r="7271" spans="1:11" x14ac:dyDescent="0.35">
      <c r="A7271" s="9" t="str">
        <f>HYPERLINK("http://www.ensembl.org/id/WBGene00200580", "WBGene00200580")</f>
        <v>WBGene00200580</v>
      </c>
      <c r="B7271" s="9"/>
      <c r="C7271" s="9"/>
      <c r="D7271" t="str">
        <f>"C28G1.7"</f>
        <v>C28G1.7</v>
      </c>
      <c r="F7271" t="s">
        <v>481</v>
      </c>
      <c r="H7271" s="12">
        <v>-6.8633771544387203</v>
      </c>
      <c r="I7271" s="20">
        <v>-0.747545353574122</v>
      </c>
      <c r="J7271" s="28">
        <v>0.45473443677569098</v>
      </c>
      <c r="K7271" s="29">
        <v>0.98289565623980701</v>
      </c>
    </row>
    <row r="7272" spans="1:11" x14ac:dyDescent="0.35">
      <c r="A7272" s="9" t="str">
        <f>HYPERLINK("http://www.ensembl.org/id/WBGene00219838", "WBGene00219838")</f>
        <v>WBGene00219838</v>
      </c>
      <c r="B7272" s="9"/>
      <c r="C7272" s="9"/>
      <c r="D7272" t="str">
        <f>"C28H8.14"</f>
        <v>C28H8.14</v>
      </c>
      <c r="F7272" t="s">
        <v>481</v>
      </c>
      <c r="H7272" s="12">
        <v>-1.1694412926239699</v>
      </c>
      <c r="I7272" s="20">
        <v>-0.79442827579498199</v>
      </c>
      <c r="J7272" s="28">
        <v>0.42694614855623803</v>
      </c>
      <c r="K7272" s="29">
        <v>0.98289565623980701</v>
      </c>
    </row>
    <row r="7273" spans="1:11" x14ac:dyDescent="0.35">
      <c r="A7273" s="9" t="str">
        <f>HYPERLINK("http://www.ensembl.org/id/WBGene00016193", "WBGene00016193")</f>
        <v>WBGene00016193</v>
      </c>
      <c r="B7273" s="9" t="str">
        <f>HYPERLINK("http://www.ncbi.nlm.nih.gov/gene/182995", "182995")</f>
        <v>182995</v>
      </c>
      <c r="C7273" s="9"/>
      <c r="D7273" t="str">
        <f>"C28H8.2"</f>
        <v>C28H8.2</v>
      </c>
      <c r="F7273" t="s">
        <v>11</v>
      </c>
      <c r="H7273" s="12">
        <v>-1.0824019902420099</v>
      </c>
      <c r="I7273" s="20">
        <v>-0.35943223167527</v>
      </c>
      <c r="J7273" s="28">
        <v>0.71927176613247501</v>
      </c>
      <c r="K7273" s="29">
        <v>0.98289565623980701</v>
      </c>
    </row>
    <row r="7274" spans="1:11" x14ac:dyDescent="0.35">
      <c r="A7274" s="9" t="str">
        <f>HYPERLINK("http://www.ensembl.org/id/WBGene00016196", "WBGene00016196")</f>
        <v>WBGene00016196</v>
      </c>
      <c r="B7274" s="9" t="str">
        <f>HYPERLINK("http://www.ncbi.nlm.nih.gov/gene/182996", "182996")</f>
        <v>182996</v>
      </c>
      <c r="C7274" s="9"/>
      <c r="D7274" t="str">
        <f>"C28H8.5"</f>
        <v>C28H8.5</v>
      </c>
      <c r="F7274" t="s">
        <v>11</v>
      </c>
      <c r="H7274" s="12">
        <v>-1.36368758625141</v>
      </c>
      <c r="I7274" s="20">
        <v>-0.388555652350279</v>
      </c>
      <c r="J7274" s="28">
        <v>0.69760487804465698</v>
      </c>
      <c r="K7274" s="29">
        <v>0.98289565623980701</v>
      </c>
    </row>
    <row r="7275" spans="1:11" x14ac:dyDescent="0.35">
      <c r="A7275" s="9" t="str">
        <f>HYPERLINK("http://www.ensembl.org/id/WBGene00016198", "WBGene00016198")</f>
        <v>WBGene00016198</v>
      </c>
      <c r="B7275" s="9" t="str">
        <f>HYPERLINK("http://www.ncbi.nlm.nih.gov/gene/182997", "182997")</f>
        <v>182997</v>
      </c>
      <c r="C7275" s="9"/>
      <c r="D7275" t="str">
        <f>"C28H8.7"</f>
        <v>C28H8.7</v>
      </c>
      <c r="F7275" t="s">
        <v>11</v>
      </c>
      <c r="H7275" s="12">
        <v>2.03127478285989</v>
      </c>
      <c r="I7275" s="20">
        <v>0.56104148229783701</v>
      </c>
      <c r="J7275" s="28">
        <v>0.57476925864226602</v>
      </c>
      <c r="K7275" s="29">
        <v>0.98289565623980701</v>
      </c>
    </row>
    <row r="7276" spans="1:11" x14ac:dyDescent="0.35">
      <c r="A7276" s="9" t="str">
        <f>HYPERLINK("http://www.ensembl.org/id/WBGene00016199", "WBGene00016199")</f>
        <v>WBGene00016199</v>
      </c>
      <c r="B7276" s="9" t="str">
        <f>HYPERLINK("http://www.ncbi.nlm.nih.gov/gene/182998", "182998")</f>
        <v>182998</v>
      </c>
      <c r="C7276" s="9"/>
      <c r="D7276" t="str">
        <f>"C28H8.8"</f>
        <v>C28H8.8</v>
      </c>
      <c r="F7276" t="s">
        <v>11</v>
      </c>
      <c r="H7276" s="12">
        <v>2.0551447925252502</v>
      </c>
      <c r="I7276" s="20">
        <v>0.98845275055722004</v>
      </c>
      <c r="J7276" s="28">
        <v>0.32293096389910603</v>
      </c>
      <c r="K7276" s="29">
        <v>0.98289565623980701</v>
      </c>
    </row>
    <row r="7277" spans="1:11" x14ac:dyDescent="0.35">
      <c r="A7277" s="9" t="str">
        <f>HYPERLINK("http://www.ensembl.org/id/WBGene00197836", "WBGene00197836")</f>
        <v>WBGene00197836</v>
      </c>
      <c r="B7277" s="9"/>
      <c r="C7277" s="9"/>
      <c r="D7277" t="str">
        <f>"C29A12.12"</f>
        <v>C29A12.12</v>
      </c>
      <c r="F7277" t="s">
        <v>481</v>
      </c>
      <c r="H7277" s="12">
        <v>-2.4295389261469</v>
      </c>
      <c r="I7277" s="20">
        <v>-0.25808529976640998</v>
      </c>
      <c r="J7277" s="28">
        <v>0.79634107645457397</v>
      </c>
      <c r="K7277" s="29">
        <v>0.98289565623980701</v>
      </c>
    </row>
    <row r="7278" spans="1:11" x14ac:dyDescent="0.35">
      <c r="A7278" s="9" t="str">
        <f>HYPERLINK("http://www.ensembl.org/id/WBGene00199891", "WBGene00199891")</f>
        <v>WBGene00199891</v>
      </c>
      <c r="B7278" s="9"/>
      <c r="C7278" s="9"/>
      <c r="D7278" t="str">
        <f>"C29A12.15"</f>
        <v>C29A12.15</v>
      </c>
      <c r="F7278" t="s">
        <v>481</v>
      </c>
      <c r="H7278" s="12">
        <v>-2.4991590031922399</v>
      </c>
      <c r="I7278" s="20">
        <v>-0.26577412737581302</v>
      </c>
      <c r="J7278" s="28">
        <v>0.79041317015736101</v>
      </c>
      <c r="K7278" s="29">
        <v>0.98289565623980701</v>
      </c>
    </row>
    <row r="7279" spans="1:11" x14ac:dyDescent="0.35">
      <c r="A7279" s="9" t="str">
        <f>HYPERLINK("http://www.ensembl.org/id/WBGene00199893", "WBGene00199893")</f>
        <v>WBGene00199893</v>
      </c>
      <c r="B7279" s="9"/>
      <c r="C7279" s="9"/>
      <c r="D7279" t="str">
        <f>"C29A12.16"</f>
        <v>C29A12.16</v>
      </c>
      <c r="F7279" t="s">
        <v>481</v>
      </c>
      <c r="H7279" s="12">
        <v>-2.4991590031922399</v>
      </c>
      <c r="I7279" s="20">
        <v>-0.26577412737581302</v>
      </c>
      <c r="J7279" s="28">
        <v>0.79041317015736101</v>
      </c>
      <c r="K7279" s="29">
        <v>0.98289565623980701</v>
      </c>
    </row>
    <row r="7280" spans="1:11" x14ac:dyDescent="0.35">
      <c r="A7280" s="9" t="str">
        <f>HYPERLINK("http://www.ensembl.org/id/WBGene00200123", "WBGene00200123")</f>
        <v>WBGene00200123</v>
      </c>
      <c r="B7280" s="9"/>
      <c r="C7280" s="9"/>
      <c r="D7280" t="str">
        <f>"C29A12.17"</f>
        <v>C29A12.17</v>
      </c>
      <c r="F7280" t="s">
        <v>481</v>
      </c>
      <c r="H7280" s="12">
        <v>-2.4991590031922399</v>
      </c>
      <c r="I7280" s="20">
        <v>-0.26577412737581302</v>
      </c>
      <c r="J7280" s="28">
        <v>0.79041317015736101</v>
      </c>
      <c r="K7280" s="29">
        <v>0.98289565623980701</v>
      </c>
    </row>
    <row r="7281" spans="1:11" x14ac:dyDescent="0.35">
      <c r="A7281" s="9" t="str">
        <f>HYPERLINK("http://www.ensembl.org/id/WBGene00201054", "WBGene00201054")</f>
        <v>WBGene00201054</v>
      </c>
      <c r="B7281" s="9"/>
      <c r="C7281" s="9"/>
      <c r="D7281" t="str">
        <f>"C29A12.19"</f>
        <v>C29A12.19</v>
      </c>
      <c r="F7281" t="s">
        <v>481</v>
      </c>
      <c r="H7281" s="12">
        <v>2.4578120077400301</v>
      </c>
      <c r="I7281" s="20">
        <v>0.26093350314551</v>
      </c>
      <c r="J7281" s="28">
        <v>0.79414378780213601</v>
      </c>
      <c r="K7281" s="29">
        <v>0.98289565623980701</v>
      </c>
    </row>
    <row r="7282" spans="1:11" x14ac:dyDescent="0.35">
      <c r="A7282" s="9" t="str">
        <f>HYPERLINK("http://www.ensembl.org/id/WBGene00007798", "WBGene00007798")</f>
        <v>WBGene00007798</v>
      </c>
      <c r="B7282" s="9"/>
      <c r="C7282" s="9"/>
      <c r="D7282" t="str">
        <f>"C29A12.2"</f>
        <v>C29A12.2</v>
      </c>
      <c r="F7282" t="s">
        <v>80</v>
      </c>
      <c r="H7282" s="12">
        <v>1.28290254656439</v>
      </c>
      <c r="I7282" s="20">
        <v>0.25593965099506499</v>
      </c>
      <c r="J7282" s="28">
        <v>0.79799743695555903</v>
      </c>
      <c r="K7282" s="29">
        <v>0.98289565623980701</v>
      </c>
    </row>
    <row r="7283" spans="1:11" x14ac:dyDescent="0.35">
      <c r="A7283" s="9" t="str">
        <f>HYPERLINK("http://www.ensembl.org/id/WBGene00016208", "WBGene00016208")</f>
        <v>WBGene00016208</v>
      </c>
      <c r="B7283" s="9" t="str">
        <f>HYPERLINK("http://www.ncbi.nlm.nih.gov/gene/32091597", "32091597")</f>
        <v>32091597</v>
      </c>
      <c r="C7283" s="9"/>
      <c r="D7283" t="str">
        <f>"C29E4.11"</f>
        <v>C29E4.11</v>
      </c>
      <c r="F7283" t="s">
        <v>11</v>
      </c>
      <c r="H7283" s="12">
        <v>-1.1776828663376999</v>
      </c>
      <c r="I7283" s="20">
        <v>-0.59898375445843099</v>
      </c>
      <c r="J7283" s="28">
        <v>0.549183717943176</v>
      </c>
      <c r="K7283" s="29">
        <v>0.98289565623980701</v>
      </c>
    </row>
    <row r="7284" spans="1:11" x14ac:dyDescent="0.35">
      <c r="A7284" s="9" t="str">
        <f>HYPERLINK("http://www.ensembl.org/id/WBGene00016209", "WBGene00016209")</f>
        <v>WBGene00016209</v>
      </c>
      <c r="B7284" s="9" t="str">
        <f>HYPERLINK("http://www.ncbi.nlm.nih.gov/gene/259333", "259333")</f>
        <v>259333</v>
      </c>
      <c r="C7284" s="9"/>
      <c r="D7284" t="str">
        <f>"C29E4.12"</f>
        <v>C29E4.12</v>
      </c>
      <c r="F7284" t="s">
        <v>11</v>
      </c>
      <c r="G7284" t="s">
        <v>1865</v>
      </c>
      <c r="H7284" s="12">
        <v>-1.18944375672975</v>
      </c>
      <c r="I7284" s="20">
        <v>-0.74543996392644896</v>
      </c>
      <c r="J7284" s="28">
        <v>0.45600579204997999</v>
      </c>
      <c r="K7284" s="29">
        <v>0.98289565623980701</v>
      </c>
    </row>
    <row r="7285" spans="1:11" x14ac:dyDescent="0.35">
      <c r="A7285" s="9" t="str">
        <f>HYPERLINK("http://www.ensembl.org/id/WBGene00044634", "WBGene00044634")</f>
        <v>WBGene00044634</v>
      </c>
      <c r="B7285" s="9" t="str">
        <f>HYPERLINK("http://www.ncbi.nlm.nih.gov/gene/3896749", "3896749")</f>
        <v>3896749</v>
      </c>
      <c r="C7285" s="9"/>
      <c r="D7285" t="str">
        <f>"C29E4.14"</f>
        <v>C29E4.14</v>
      </c>
      <c r="F7285" t="s">
        <v>11</v>
      </c>
      <c r="G7285" t="s">
        <v>325</v>
      </c>
      <c r="H7285" s="12">
        <v>6.4677662992335101</v>
      </c>
      <c r="I7285" s="20">
        <v>0.74692370508457595</v>
      </c>
      <c r="J7285" s="28">
        <v>0.45510961595486299</v>
      </c>
      <c r="K7285" s="29">
        <v>0.98289565623980701</v>
      </c>
    </row>
    <row r="7286" spans="1:11" x14ac:dyDescent="0.35">
      <c r="A7286" s="9" t="str">
        <f>HYPERLINK("http://www.ensembl.org/id/WBGene00045246", "WBGene00045246")</f>
        <v>WBGene00045246</v>
      </c>
      <c r="B7286" s="9" t="str">
        <f>HYPERLINK("http://www.ncbi.nlm.nih.gov/gene/6418648", "6418648")</f>
        <v>6418648</v>
      </c>
      <c r="C7286" s="9"/>
      <c r="D7286" t="str">
        <f>"C29E4.15"</f>
        <v>C29E4.15</v>
      </c>
      <c r="F7286" t="s">
        <v>11</v>
      </c>
      <c r="G7286" t="s">
        <v>25</v>
      </c>
      <c r="H7286" s="12">
        <v>-1.1695501800841099</v>
      </c>
      <c r="I7286" s="20">
        <v>-0.34999761793122403</v>
      </c>
      <c r="J7286" s="28">
        <v>0.72634048534613505</v>
      </c>
      <c r="K7286" s="29">
        <v>0.98289565623980701</v>
      </c>
    </row>
    <row r="7287" spans="1:11" x14ac:dyDescent="0.35">
      <c r="A7287" s="9" t="str">
        <f>HYPERLINK("http://www.ensembl.org/id/WBGene00016206", "WBGene00016206")</f>
        <v>WBGene00016206</v>
      </c>
      <c r="B7287" s="9" t="str">
        <f>HYPERLINK("http://www.ncbi.nlm.nih.gov/gene/183001", "183001")</f>
        <v>183001</v>
      </c>
      <c r="C7287" s="9"/>
      <c r="D7287" t="str">
        <f>"C29E4.9"</f>
        <v>C29E4.9</v>
      </c>
      <c r="F7287" t="s">
        <v>11</v>
      </c>
      <c r="H7287" s="12">
        <v>1.7749739119261301</v>
      </c>
      <c r="I7287" s="20">
        <v>0.41413466607535898</v>
      </c>
      <c r="J7287" s="28">
        <v>0.67877548615398497</v>
      </c>
      <c r="K7287" s="29">
        <v>0.98289565623980701</v>
      </c>
    </row>
    <row r="7288" spans="1:11" x14ac:dyDescent="0.35">
      <c r="A7288" s="9" t="str">
        <f>HYPERLINK("http://www.ensembl.org/id/WBGene00196164", "WBGene00196164")</f>
        <v>WBGene00196164</v>
      </c>
      <c r="B7288" s="9"/>
      <c r="C7288" s="9"/>
      <c r="D7288" t="str">
        <f>"C29E6.10"</f>
        <v>C29E6.10</v>
      </c>
      <c r="F7288" t="s">
        <v>481</v>
      </c>
      <c r="H7288" s="12">
        <v>4.4368407117627902</v>
      </c>
      <c r="I7288" s="20">
        <v>0.43709475933309699</v>
      </c>
      <c r="J7288" s="28">
        <v>0.66204262779770495</v>
      </c>
      <c r="K7288" s="29">
        <v>0.98289565623980701</v>
      </c>
    </row>
    <row r="7289" spans="1:11" x14ac:dyDescent="0.35">
      <c r="A7289" s="9" t="str">
        <f>HYPERLINK("http://www.ensembl.org/id/WBGene00196375", "WBGene00196375")</f>
        <v>WBGene00196375</v>
      </c>
      <c r="B7289" s="9"/>
      <c r="C7289" s="9"/>
      <c r="D7289" t="str">
        <f>"C29E6.11"</f>
        <v>C29E6.11</v>
      </c>
      <c r="F7289" t="s">
        <v>481</v>
      </c>
      <c r="H7289" s="12">
        <v>3.5227018545059199</v>
      </c>
      <c r="I7289" s="20">
        <v>0.36849691206929103</v>
      </c>
      <c r="J7289" s="28">
        <v>0.71250274722433404</v>
      </c>
      <c r="K7289" s="29">
        <v>0.98289565623980701</v>
      </c>
    </row>
    <row r="7290" spans="1:11" x14ac:dyDescent="0.35">
      <c r="A7290" s="9" t="str">
        <f>HYPERLINK("http://www.ensembl.org/id/WBGene00198313", "WBGene00198313")</f>
        <v>WBGene00198313</v>
      </c>
      <c r="B7290" s="9"/>
      <c r="C7290" s="9"/>
      <c r="D7290" t="str">
        <f>"C29E6.13"</f>
        <v>C29E6.13</v>
      </c>
      <c r="F7290" t="s">
        <v>481</v>
      </c>
      <c r="H7290" s="12">
        <v>6.2514608453248997</v>
      </c>
      <c r="I7290" s="20">
        <v>0.54591286118210802</v>
      </c>
      <c r="J7290" s="28">
        <v>0.58512583723197797</v>
      </c>
      <c r="K7290" s="29">
        <v>0.98289565623980701</v>
      </c>
    </row>
    <row r="7291" spans="1:11" x14ac:dyDescent="0.35">
      <c r="A7291" s="9" t="str">
        <f>HYPERLINK("http://www.ensembl.org/id/WBGene00196079", "WBGene00196079")</f>
        <v>WBGene00196079</v>
      </c>
      <c r="B7291" s="9"/>
      <c r="C7291" s="9"/>
      <c r="D7291" t="str">
        <f>"C29E6.9"</f>
        <v>C29E6.9</v>
      </c>
      <c r="F7291" t="s">
        <v>481</v>
      </c>
      <c r="H7291" s="12">
        <v>2.4578120077400301</v>
      </c>
      <c r="I7291" s="20">
        <v>0.26093350314551</v>
      </c>
      <c r="J7291" s="28">
        <v>0.79414378780213601</v>
      </c>
      <c r="K7291" s="29">
        <v>0.98289565623980701</v>
      </c>
    </row>
    <row r="7292" spans="1:11" x14ac:dyDescent="0.35">
      <c r="A7292" s="9" t="str">
        <f>HYPERLINK("http://www.ensembl.org/id/WBGene00007804", "WBGene00007804")</f>
        <v>WBGene00007804</v>
      </c>
      <c r="B7292" s="9" t="str">
        <f>HYPERLINK("http://www.ncbi.nlm.nih.gov/gene/183004", "183004")</f>
        <v>183004</v>
      </c>
      <c r="C7292" s="9"/>
      <c r="D7292" t="str">
        <f>"C29F3.3"</f>
        <v>C29F3.3</v>
      </c>
      <c r="F7292" t="s">
        <v>11</v>
      </c>
      <c r="H7292" s="12">
        <v>2.4578120077400301</v>
      </c>
      <c r="I7292" s="20">
        <v>0.26093350314551</v>
      </c>
      <c r="J7292" s="28">
        <v>0.79414378780213601</v>
      </c>
      <c r="K7292" s="29">
        <v>0.98289565623980701</v>
      </c>
    </row>
    <row r="7293" spans="1:11" x14ac:dyDescent="0.35">
      <c r="A7293" s="9" t="str">
        <f>HYPERLINK("http://www.ensembl.org/id/WBGene00044589", "WBGene00044589")</f>
        <v>WBGene00044589</v>
      </c>
      <c r="B7293" s="9" t="str">
        <f>HYPERLINK("http://www.ncbi.nlm.nih.gov/gene/3896730", "3896730")</f>
        <v>3896730</v>
      </c>
      <c r="C7293" s="9"/>
      <c r="D7293" t="str">
        <f>"C29F5.8"</f>
        <v>C29F5.8</v>
      </c>
      <c r="F7293" t="s">
        <v>11</v>
      </c>
      <c r="H7293" s="12">
        <v>-10.994907597368501</v>
      </c>
      <c r="I7293" s="20">
        <v>-0.714795004154681</v>
      </c>
      <c r="J7293" s="28">
        <v>0.47473572263588099</v>
      </c>
      <c r="K7293" s="29">
        <v>0.98289565623980701</v>
      </c>
    </row>
    <row r="7294" spans="1:11" x14ac:dyDescent="0.35">
      <c r="A7294" s="9" t="str">
        <f>HYPERLINK("http://www.ensembl.org/id/WBGene00007810", "WBGene00007810")</f>
        <v>WBGene00007810</v>
      </c>
      <c r="B7294" s="9" t="str">
        <f>HYPERLINK("http://www.ncbi.nlm.nih.gov/gene/183016", "183016")</f>
        <v>183016</v>
      </c>
      <c r="C7294" s="9"/>
      <c r="D7294" t="str">
        <f>"C29F7.1"</f>
        <v>C29F7.1</v>
      </c>
      <c r="F7294" t="s">
        <v>11</v>
      </c>
      <c r="H7294" s="12">
        <v>-1.1783271194324501</v>
      </c>
      <c r="I7294" s="20">
        <v>-0.49898779072482602</v>
      </c>
      <c r="J7294" s="28">
        <v>0.61778798529645396</v>
      </c>
      <c r="K7294" s="29">
        <v>0.98289565623980701</v>
      </c>
    </row>
    <row r="7295" spans="1:11" x14ac:dyDescent="0.35">
      <c r="A7295" s="9" t="str">
        <f>HYPERLINK("http://www.ensembl.org/id/WBGene00206531", "WBGene00206531")</f>
        <v>WBGene00206531</v>
      </c>
      <c r="B7295" s="9"/>
      <c r="C7295" s="9"/>
      <c r="D7295" t="str">
        <f>"C29F7.11"</f>
        <v>C29F7.11</v>
      </c>
      <c r="F7295" t="s">
        <v>481</v>
      </c>
      <c r="H7295" s="12">
        <v>-1.4123689557043899</v>
      </c>
      <c r="I7295" s="20">
        <v>-0.28884284601746801</v>
      </c>
      <c r="J7295" s="28">
        <v>0.77270164247371498</v>
      </c>
      <c r="K7295" s="29">
        <v>0.98289565623980701</v>
      </c>
    </row>
    <row r="7296" spans="1:11" x14ac:dyDescent="0.35">
      <c r="A7296" s="9" t="str">
        <f>HYPERLINK("http://www.ensembl.org/id/WBGene00007812", "WBGene00007812")</f>
        <v>WBGene00007812</v>
      </c>
      <c r="B7296" s="9" t="str">
        <f>HYPERLINK("http://www.ncbi.nlm.nih.gov/gene/181464", "181464")</f>
        <v>181464</v>
      </c>
      <c r="C7296" s="9" t="str">
        <f>HYPERLINK("http://www.ncbi.nlm.nih.gov/gene/51727", "51727")</f>
        <v>51727</v>
      </c>
      <c r="D7296" t="str">
        <f>"C29F7.3"</f>
        <v>C29F7.3</v>
      </c>
      <c r="E7296" t="s">
        <v>6060</v>
      </c>
      <c r="F7296" t="s">
        <v>11</v>
      </c>
      <c r="G7296" t="s">
        <v>6061</v>
      </c>
      <c r="H7296" s="12">
        <v>1.06782556184905</v>
      </c>
      <c r="I7296" s="20">
        <v>0.33233202744482199</v>
      </c>
      <c r="J7296" s="28">
        <v>0.73963855847064097</v>
      </c>
      <c r="K7296" s="29">
        <v>0.98289565623980701</v>
      </c>
    </row>
    <row r="7297" spans="1:11" x14ac:dyDescent="0.35">
      <c r="A7297" s="9" t="str">
        <f>HYPERLINK("http://www.ensembl.org/id/WBGene00014273", "WBGene00014273")</f>
        <v>WBGene00014273</v>
      </c>
      <c r="B7297" s="9"/>
      <c r="C7297" s="9"/>
      <c r="D7297" t="str">
        <f>"C29F7.t3"</f>
        <v>C29F7.t3</v>
      </c>
      <c r="F7297" t="s">
        <v>4208</v>
      </c>
      <c r="H7297" s="12">
        <v>3.5227018545059199</v>
      </c>
      <c r="I7297" s="20">
        <v>0.36849691206929103</v>
      </c>
      <c r="J7297" s="28">
        <v>0.71250274722433404</v>
      </c>
      <c r="K7297" s="29">
        <v>0.98289565623980701</v>
      </c>
    </row>
    <row r="7298" spans="1:11" x14ac:dyDescent="0.35">
      <c r="A7298" s="9" t="str">
        <f>HYPERLINK("http://www.ensembl.org/id/WBGene00016226", "WBGene00016226")</f>
        <v>WBGene00016226</v>
      </c>
      <c r="B7298" s="9" t="str">
        <f>HYPERLINK("http://www.ncbi.nlm.nih.gov/gene/183028", "183028")</f>
        <v>183028</v>
      </c>
      <c r="C7298" s="9"/>
      <c r="D7298" t="str">
        <f>"C29F9.12"</f>
        <v>C29F9.12</v>
      </c>
      <c r="F7298" t="s">
        <v>11</v>
      </c>
      <c r="H7298" s="12">
        <v>2.3893468495514898</v>
      </c>
      <c r="I7298" s="20">
        <v>0.25323547253672701</v>
      </c>
      <c r="J7298" s="28">
        <v>0.80008625651646104</v>
      </c>
      <c r="K7298" s="29">
        <v>0.98289565623980701</v>
      </c>
    </row>
    <row r="7299" spans="1:11" x14ac:dyDescent="0.35">
      <c r="A7299" s="9" t="str">
        <f>HYPERLINK("http://www.ensembl.org/id/WBGene00219840", "WBGene00219840")</f>
        <v>WBGene00219840</v>
      </c>
      <c r="B7299" s="9"/>
      <c r="C7299" s="9"/>
      <c r="D7299" t="str">
        <f>"C29F9.15"</f>
        <v>C29F9.15</v>
      </c>
      <c r="F7299" t="s">
        <v>481</v>
      </c>
      <c r="H7299" s="12">
        <v>-7.1498616266372901</v>
      </c>
      <c r="I7299" s="20">
        <v>-1.1316412434549701</v>
      </c>
      <c r="J7299" s="28">
        <v>0.25778529312513399</v>
      </c>
      <c r="K7299" s="29">
        <v>0.98289565623980701</v>
      </c>
    </row>
    <row r="7300" spans="1:11" x14ac:dyDescent="0.35">
      <c r="A7300" s="9" t="str">
        <f>HYPERLINK("http://www.ensembl.org/id/WBGene00016220", "WBGene00016220")</f>
        <v>WBGene00016220</v>
      </c>
      <c r="B7300" s="9" t="str">
        <f>HYPERLINK("http://www.ncbi.nlm.nih.gov/gene/183022", "183022")</f>
        <v>183022</v>
      </c>
      <c r="C7300" s="9"/>
      <c r="D7300" t="str">
        <f>"C29F9.5"</f>
        <v>C29F9.5</v>
      </c>
      <c r="F7300" t="s">
        <v>11</v>
      </c>
      <c r="G7300" t="s">
        <v>4660</v>
      </c>
      <c r="H7300" s="12">
        <v>1.52580926758133</v>
      </c>
      <c r="I7300" s="20">
        <v>0.38087379136332999</v>
      </c>
      <c r="J7300" s="28">
        <v>0.70329690079824903</v>
      </c>
      <c r="K7300" s="29">
        <v>0.98289565623980701</v>
      </c>
    </row>
    <row r="7301" spans="1:11" x14ac:dyDescent="0.35">
      <c r="A7301" s="9" t="str">
        <f>HYPERLINK("http://www.ensembl.org/id/WBGene00016230", "WBGene00016230")</f>
        <v>WBGene00016230</v>
      </c>
      <c r="B7301" s="9"/>
      <c r="C7301" s="9"/>
      <c r="D7301" t="str">
        <f>"C29G2.2"</f>
        <v>C29G2.2</v>
      </c>
      <c r="F7301" t="s">
        <v>80</v>
      </c>
      <c r="H7301" s="12">
        <v>-1.5682022465658001</v>
      </c>
      <c r="I7301" s="20">
        <v>-0.69444075586063903</v>
      </c>
      <c r="J7301" s="28">
        <v>0.48740584216859401</v>
      </c>
      <c r="K7301" s="29">
        <v>0.98289565623980701</v>
      </c>
    </row>
    <row r="7302" spans="1:11" x14ac:dyDescent="0.35">
      <c r="A7302" s="9" t="str">
        <f>HYPERLINK("http://www.ensembl.org/id/WBGene00016231", "WBGene00016231")</f>
        <v>WBGene00016231</v>
      </c>
      <c r="B7302" s="9" t="str">
        <f>HYPERLINK("http://www.ncbi.nlm.nih.gov/gene/183032", "183032")</f>
        <v>183032</v>
      </c>
      <c r="C7302" s="9"/>
      <c r="D7302" t="str">
        <f>"C29G2.3"</f>
        <v>C29G2.3</v>
      </c>
      <c r="F7302" t="s">
        <v>11</v>
      </c>
      <c r="H7302" s="12">
        <v>-2.6267281937617</v>
      </c>
      <c r="I7302" s="20">
        <v>-0.62639919744441797</v>
      </c>
      <c r="J7302" s="28">
        <v>0.53105313583914304</v>
      </c>
      <c r="K7302" s="29">
        <v>0.98289565623980701</v>
      </c>
    </row>
    <row r="7303" spans="1:11" x14ac:dyDescent="0.35">
      <c r="A7303" s="9" t="str">
        <f>HYPERLINK("http://www.ensembl.org/id/WBGene00200009", "WBGene00200009")</f>
        <v>WBGene00200009</v>
      </c>
      <c r="B7303" s="9"/>
      <c r="C7303" s="9"/>
      <c r="D7303" t="str">
        <f>"C29H12.10"</f>
        <v>C29H12.10</v>
      </c>
      <c r="F7303" t="s">
        <v>481</v>
      </c>
      <c r="H7303" s="12">
        <v>-5.4967879193631202</v>
      </c>
      <c r="I7303" s="20">
        <v>-0.50254160819837501</v>
      </c>
      <c r="J7303" s="28">
        <v>0.61528659178453604</v>
      </c>
      <c r="K7303" s="29">
        <v>0.98289565623980701</v>
      </c>
    </row>
    <row r="7304" spans="1:11" x14ac:dyDescent="0.35">
      <c r="A7304" s="9" t="str">
        <f>HYPERLINK("http://www.ensembl.org/id/WBGene00201596", "WBGene00201596")</f>
        <v>WBGene00201596</v>
      </c>
      <c r="B7304" s="9"/>
      <c r="C7304" s="9"/>
      <c r="D7304" t="str">
        <f>"C29H12.13"</f>
        <v>C29H12.13</v>
      </c>
      <c r="F7304" t="s">
        <v>481</v>
      </c>
      <c r="H7304" s="12">
        <v>4.6517299344438898</v>
      </c>
      <c r="I7304" s="20">
        <v>0.75389534651193602</v>
      </c>
      <c r="J7304" s="28">
        <v>0.45091206507930298</v>
      </c>
      <c r="K7304" s="29">
        <v>0.98289565623980701</v>
      </c>
    </row>
    <row r="7305" spans="1:11" x14ac:dyDescent="0.35">
      <c r="A7305" s="9" t="str">
        <f>HYPERLINK("http://www.ensembl.org/id/WBGene00196102", "WBGene00196102")</f>
        <v>WBGene00196102</v>
      </c>
      <c r="B7305" s="9"/>
      <c r="C7305" s="9"/>
      <c r="D7305" t="str">
        <f>"C29H12.7"</f>
        <v>C29H12.7</v>
      </c>
      <c r="F7305" t="s">
        <v>481</v>
      </c>
      <c r="H7305" s="12">
        <v>-3.7261494131482999</v>
      </c>
      <c r="I7305" s="20">
        <v>-0.38454673129429601</v>
      </c>
      <c r="J7305" s="28">
        <v>0.70057326682554</v>
      </c>
      <c r="K7305" s="29">
        <v>0.98289565623980701</v>
      </c>
    </row>
    <row r="7306" spans="1:11" x14ac:dyDescent="0.35">
      <c r="A7306" s="9" t="str">
        <f>HYPERLINK("http://www.ensembl.org/id/WBGene00016242", "WBGene00016242")</f>
        <v>WBGene00016242</v>
      </c>
      <c r="B7306" s="9" t="str">
        <f>HYPERLINK("http://www.ncbi.nlm.nih.gov/gene/3565865", "3565865")</f>
        <v>3565865</v>
      </c>
      <c r="C7306" s="9"/>
      <c r="D7306" t="str">
        <f>"C30A5.10"</f>
        <v>C30A5.10</v>
      </c>
      <c r="F7306" t="s">
        <v>11</v>
      </c>
      <c r="G7306" t="s">
        <v>4348</v>
      </c>
      <c r="H7306" s="12">
        <v>2.8050989731157898</v>
      </c>
      <c r="I7306" s="20">
        <v>1.02458829396139</v>
      </c>
      <c r="J7306" s="28">
        <v>0.30555749026318302</v>
      </c>
      <c r="K7306" s="29">
        <v>0.98289565623980701</v>
      </c>
    </row>
    <row r="7307" spans="1:11" x14ac:dyDescent="0.35">
      <c r="A7307" s="9" t="str">
        <f>HYPERLINK("http://www.ensembl.org/id/WBGene00197074", "WBGene00197074")</f>
        <v>WBGene00197074</v>
      </c>
      <c r="B7307" s="9"/>
      <c r="C7307" s="9"/>
      <c r="D7307" t="str">
        <f>"C30B5.11"</f>
        <v>C30B5.11</v>
      </c>
      <c r="F7307" t="s">
        <v>481</v>
      </c>
      <c r="H7307" s="12">
        <v>2.4578120077400301</v>
      </c>
      <c r="I7307" s="20">
        <v>0.26093350314551</v>
      </c>
      <c r="J7307" s="28">
        <v>0.79414378780213601</v>
      </c>
      <c r="K7307" s="29">
        <v>0.98289565623980701</v>
      </c>
    </row>
    <row r="7308" spans="1:11" x14ac:dyDescent="0.35">
      <c r="A7308" s="9" t="str">
        <f>HYPERLINK("http://www.ensembl.org/id/WBGene00269379", "WBGene00269379")</f>
        <v>WBGene00269379</v>
      </c>
      <c r="B7308" s="9" t="str">
        <f>HYPERLINK("http://www.ncbi.nlm.nih.gov/gene/27219614", "27219614")</f>
        <v>27219614</v>
      </c>
      <c r="C7308" s="9"/>
      <c r="D7308" t="str">
        <f>"C30B5.17"</f>
        <v>C30B5.17</v>
      </c>
      <c r="F7308" t="s">
        <v>11</v>
      </c>
      <c r="G7308" t="s">
        <v>25</v>
      </c>
      <c r="H7308" s="12">
        <v>-1.84947596929698</v>
      </c>
      <c r="I7308" s="20">
        <v>-0.41933061820754602</v>
      </c>
      <c r="J7308" s="28">
        <v>0.674974522770316</v>
      </c>
      <c r="K7308" s="29">
        <v>0.98289565623980701</v>
      </c>
    </row>
    <row r="7309" spans="1:11" x14ac:dyDescent="0.35">
      <c r="A7309" s="9" t="str">
        <f>HYPERLINK("http://www.ensembl.org/id/WBGene00016244", "WBGene00016244")</f>
        <v>WBGene00016244</v>
      </c>
      <c r="B7309" s="9" t="str">
        <f>HYPERLINK("http://www.ncbi.nlm.nih.gov/gene/174028", "174028")</f>
        <v>174028</v>
      </c>
      <c r="C7309" s="9" t="str">
        <f>HYPERLINK("http://www.ncbi.nlm.nih.gov/gene/23484", "23484")</f>
        <v>23484</v>
      </c>
      <c r="D7309" t="str">
        <f>"C30B5.2"</f>
        <v>C30B5.2</v>
      </c>
      <c r="E7309" t="s">
        <v>8067</v>
      </c>
      <c r="F7309" t="s">
        <v>11</v>
      </c>
      <c r="G7309" t="s">
        <v>8068</v>
      </c>
      <c r="H7309" s="12">
        <v>-1.1593896088146001</v>
      </c>
      <c r="I7309" s="20">
        <v>-0.77402886061393406</v>
      </c>
      <c r="J7309" s="28">
        <v>0.43891372441849902</v>
      </c>
      <c r="K7309" s="29">
        <v>0.98289565623980701</v>
      </c>
    </row>
    <row r="7310" spans="1:11" x14ac:dyDescent="0.35">
      <c r="A7310" s="9" t="str">
        <f>HYPERLINK("http://www.ensembl.org/id/WBGene00016247", "WBGene00016247")</f>
        <v>WBGene00016247</v>
      </c>
      <c r="B7310" s="9" t="str">
        <f>HYPERLINK("http://www.ncbi.nlm.nih.gov/gene/183042", "183042")</f>
        <v>183042</v>
      </c>
      <c r="C7310" s="9"/>
      <c r="D7310" t="str">
        <f>"C30B5.6"</f>
        <v>C30B5.6</v>
      </c>
      <c r="F7310" t="s">
        <v>11</v>
      </c>
      <c r="G7310" t="s">
        <v>427</v>
      </c>
      <c r="H7310" s="12">
        <v>-1.25965284598427</v>
      </c>
      <c r="I7310" s="20">
        <v>-0.75405797347732495</v>
      </c>
      <c r="J7310" s="28">
        <v>0.45081441140663597</v>
      </c>
      <c r="K7310" s="29">
        <v>0.98289565623980701</v>
      </c>
    </row>
    <row r="7311" spans="1:11" x14ac:dyDescent="0.35">
      <c r="A7311" s="9" t="str">
        <f>HYPERLINK("http://www.ensembl.org/id/WBGene00219841", "WBGene00219841")</f>
        <v>WBGene00219841</v>
      </c>
      <c r="B7311" s="9"/>
      <c r="C7311" s="9"/>
      <c r="D7311" t="str">
        <f>"C30C11.14"</f>
        <v>C30C11.14</v>
      </c>
      <c r="F7311" t="s">
        <v>481</v>
      </c>
      <c r="H7311" s="12">
        <v>2.3893468495514898</v>
      </c>
      <c r="I7311" s="20">
        <v>0.25323547253672701</v>
      </c>
      <c r="J7311" s="28">
        <v>0.80008625651646104</v>
      </c>
      <c r="K7311" s="29">
        <v>0.98289565623980701</v>
      </c>
    </row>
    <row r="7312" spans="1:11" x14ac:dyDescent="0.35">
      <c r="A7312" s="9" t="str">
        <f>HYPERLINK("http://www.ensembl.org/id/WBGene00219842", "WBGene00219842")</f>
        <v>WBGene00219842</v>
      </c>
      <c r="B7312" s="9"/>
      <c r="C7312" s="9"/>
      <c r="D7312" t="str">
        <f>"C30C11.15"</f>
        <v>C30C11.15</v>
      </c>
      <c r="F7312" t="s">
        <v>2977</v>
      </c>
      <c r="H7312" s="12">
        <v>3.5227018545059199</v>
      </c>
      <c r="I7312" s="20">
        <v>0.36849691206929103</v>
      </c>
      <c r="J7312" s="28">
        <v>0.71250274722433404</v>
      </c>
      <c r="K7312" s="29">
        <v>0.98289565623980701</v>
      </c>
    </row>
    <row r="7313" spans="1:11" x14ac:dyDescent="0.35">
      <c r="A7313" s="9" t="str">
        <f>HYPERLINK("http://www.ensembl.org/id/WBGene00197575", "WBGene00197575")</f>
        <v>WBGene00197575</v>
      </c>
      <c r="B7313" s="9"/>
      <c r="C7313" s="9"/>
      <c r="D7313" t="str">
        <f>"C30C11.9"</f>
        <v>C30C11.9</v>
      </c>
      <c r="F7313" t="s">
        <v>481</v>
      </c>
      <c r="H7313" s="12">
        <v>2.3893468495514898</v>
      </c>
      <c r="I7313" s="20">
        <v>0.25323547253672701</v>
      </c>
      <c r="J7313" s="28">
        <v>0.80008625651646104</v>
      </c>
      <c r="K7313" s="29">
        <v>0.98289565623980701</v>
      </c>
    </row>
    <row r="7314" spans="1:11" x14ac:dyDescent="0.35">
      <c r="A7314" s="9" t="str">
        <f>HYPERLINK("http://www.ensembl.org/id/WBGene00016251", "WBGene00016251")</f>
        <v>WBGene00016251</v>
      </c>
      <c r="B7314" s="9" t="str">
        <f>HYPERLINK("http://www.ncbi.nlm.nih.gov/gene/183045", "183045")</f>
        <v>183045</v>
      </c>
      <c r="C7314" s="9"/>
      <c r="D7314" t="str">
        <f>"C30E1.2"</f>
        <v>C30E1.2</v>
      </c>
      <c r="F7314" t="s">
        <v>11</v>
      </c>
      <c r="G7314" t="s">
        <v>1268</v>
      </c>
      <c r="H7314" s="12">
        <v>-2.1911524046595798</v>
      </c>
      <c r="I7314" s="20">
        <v>-0.53463674013688101</v>
      </c>
      <c r="J7314" s="28">
        <v>0.59290107293967498</v>
      </c>
      <c r="K7314" s="29">
        <v>0.98289565623980701</v>
      </c>
    </row>
    <row r="7315" spans="1:11" x14ac:dyDescent="0.35">
      <c r="A7315" s="9" t="str">
        <f>HYPERLINK("http://www.ensembl.org/id/WBGene00016253", "WBGene00016253")</f>
        <v>WBGene00016253</v>
      </c>
      <c r="B7315" s="9" t="str">
        <f>HYPERLINK("http://www.ncbi.nlm.nih.gov/gene/183047", "183047")</f>
        <v>183047</v>
      </c>
      <c r="C7315" s="9"/>
      <c r="D7315" t="str">
        <f>"C30E1.4"</f>
        <v>C30E1.4</v>
      </c>
      <c r="F7315" t="s">
        <v>11</v>
      </c>
      <c r="G7315" t="s">
        <v>4328</v>
      </c>
      <c r="H7315" s="12">
        <v>-8.0854409741300604</v>
      </c>
      <c r="I7315" s="20">
        <v>-0.90837910576140302</v>
      </c>
      <c r="J7315" s="28">
        <v>0.36367796101171102</v>
      </c>
      <c r="K7315" s="29">
        <v>0.98289565623980701</v>
      </c>
    </row>
    <row r="7316" spans="1:11" x14ac:dyDescent="0.35">
      <c r="A7316" s="9" t="str">
        <f>HYPERLINK("http://www.ensembl.org/id/WBGene00016262", "WBGene00016262")</f>
        <v>WBGene00016262</v>
      </c>
      <c r="B7316" s="9" t="str">
        <f>HYPERLINK("http://www.ncbi.nlm.nih.gov/gene/172428", "172428")</f>
        <v>172428</v>
      </c>
      <c r="C7316" s="9"/>
      <c r="D7316" t="str">
        <f>"C30F12.3"</f>
        <v>C30F12.3</v>
      </c>
      <c r="F7316" t="s">
        <v>11</v>
      </c>
      <c r="G7316" t="s">
        <v>3015</v>
      </c>
      <c r="H7316" s="12">
        <v>1.17862967533735</v>
      </c>
      <c r="I7316" s="20">
        <v>0.36868391955068602</v>
      </c>
      <c r="J7316" s="28">
        <v>0.71236333602672197</v>
      </c>
      <c r="K7316" s="29">
        <v>0.98289565623980701</v>
      </c>
    </row>
    <row r="7317" spans="1:11" x14ac:dyDescent="0.35">
      <c r="A7317" s="9" t="str">
        <f>HYPERLINK("http://www.ensembl.org/id/WBGene00197965", "WBGene00197965")</f>
        <v>WBGene00197965</v>
      </c>
      <c r="B7317" s="9"/>
      <c r="C7317" s="9"/>
      <c r="D7317" t="str">
        <f>"C30F12.8"</f>
        <v>C30F12.8</v>
      </c>
      <c r="F7317" t="s">
        <v>481</v>
      </c>
      <c r="H7317" s="12">
        <v>-2.4991590031922399</v>
      </c>
      <c r="I7317" s="20">
        <v>-0.26577412737581302</v>
      </c>
      <c r="J7317" s="28">
        <v>0.79041317015736101</v>
      </c>
      <c r="K7317" s="29">
        <v>0.98289565623980701</v>
      </c>
    </row>
    <row r="7318" spans="1:11" x14ac:dyDescent="0.35">
      <c r="A7318" s="9" t="str">
        <f>HYPERLINK("http://www.ensembl.org/id/WBGene00007816", "WBGene00007816")</f>
        <v>WBGene00007816</v>
      </c>
      <c r="B7318" s="9" t="str">
        <f>HYPERLINK("http://www.ncbi.nlm.nih.gov/gene/183053", "183053")</f>
        <v>183053</v>
      </c>
      <c r="C7318" s="9"/>
      <c r="D7318" t="str">
        <f>"C30F2.2"</f>
        <v>C30F2.2</v>
      </c>
      <c r="F7318" t="s">
        <v>11</v>
      </c>
      <c r="G7318" t="s">
        <v>51</v>
      </c>
      <c r="H7318" s="12">
        <v>1.1872771239809401</v>
      </c>
      <c r="I7318" s="20">
        <v>0.52138028217656596</v>
      </c>
      <c r="J7318" s="28">
        <v>0.60210188455770197</v>
      </c>
      <c r="K7318" s="29">
        <v>0.98289565623980701</v>
      </c>
    </row>
    <row r="7319" spans="1:11" x14ac:dyDescent="0.35">
      <c r="A7319" s="9" t="str">
        <f>HYPERLINK("http://www.ensembl.org/id/WBGene00007817", "WBGene00007817")</f>
        <v>WBGene00007817</v>
      </c>
      <c r="B7319" s="9" t="str">
        <f>HYPERLINK("http://www.ncbi.nlm.nih.gov/gene/181686", "181686")</f>
        <v>181686</v>
      </c>
      <c r="C7319" s="9"/>
      <c r="D7319" t="str">
        <f>"C30F2.3"</f>
        <v>C30F2.3</v>
      </c>
      <c r="F7319" t="s">
        <v>11</v>
      </c>
      <c r="H7319" s="12">
        <v>1.3563678679984901</v>
      </c>
      <c r="I7319" s="20">
        <v>1.1614274148951</v>
      </c>
      <c r="J7319" s="28">
        <v>0.24546812551473501</v>
      </c>
      <c r="K7319" s="29">
        <v>0.98289565623980701</v>
      </c>
    </row>
    <row r="7320" spans="1:11" x14ac:dyDescent="0.35">
      <c r="A7320" s="9" t="str">
        <f>HYPERLINK("http://www.ensembl.org/id/WBGene00007819", "WBGene00007819")</f>
        <v>WBGene00007819</v>
      </c>
      <c r="B7320" s="9" t="str">
        <f>HYPERLINK("http://www.ncbi.nlm.nih.gov/gene/181687", "181687")</f>
        <v>181687</v>
      </c>
      <c r="C7320" s="9"/>
      <c r="D7320" t="str">
        <f>"C30F2.5"</f>
        <v>C30F2.5</v>
      </c>
      <c r="F7320" t="s">
        <v>11</v>
      </c>
      <c r="G7320" t="s">
        <v>25</v>
      </c>
      <c r="H7320" s="12">
        <v>-1.0840330336867201</v>
      </c>
      <c r="I7320" s="20">
        <v>-0.38412500625581097</v>
      </c>
      <c r="J7320" s="28">
        <v>0.70088579828835795</v>
      </c>
      <c r="K7320" s="29">
        <v>0.98289565623980701</v>
      </c>
    </row>
    <row r="7321" spans="1:11" x14ac:dyDescent="0.35">
      <c r="A7321" s="9" t="str">
        <f>HYPERLINK("http://www.ensembl.org/id/WBGene00197887", "WBGene00197887")</f>
        <v>WBGene00197887</v>
      </c>
      <c r="B7321" s="9"/>
      <c r="C7321" s="9"/>
      <c r="D7321" t="str">
        <f>"C30F2.6"</f>
        <v>C30F2.6</v>
      </c>
      <c r="F7321" t="s">
        <v>481</v>
      </c>
      <c r="H7321" s="12">
        <v>-4.95720895490747</v>
      </c>
      <c r="I7321" s="20">
        <v>-0.85474123042128702</v>
      </c>
      <c r="J7321" s="28">
        <v>0.392694419727456</v>
      </c>
      <c r="K7321" s="29">
        <v>0.98289565623980701</v>
      </c>
    </row>
    <row r="7322" spans="1:11" x14ac:dyDescent="0.35">
      <c r="A7322" s="9" t="str">
        <f>HYPERLINK("http://www.ensembl.org/id/WBGene00196879", "WBGene00196879")</f>
        <v>WBGene00196879</v>
      </c>
      <c r="B7322" s="9"/>
      <c r="C7322" s="9"/>
      <c r="D7322" t="str">
        <f>"C30F8.6"</f>
        <v>C30F8.6</v>
      </c>
      <c r="F7322" t="s">
        <v>481</v>
      </c>
      <c r="H7322" s="12">
        <v>-1.9599495047788</v>
      </c>
      <c r="I7322" s="20">
        <v>-0.37693236416618298</v>
      </c>
      <c r="J7322" s="28">
        <v>0.70622386920033497</v>
      </c>
      <c r="K7322" s="29">
        <v>0.98289565623980701</v>
      </c>
    </row>
    <row r="7323" spans="1:11" x14ac:dyDescent="0.35">
      <c r="A7323" s="9" t="str">
        <f>HYPERLINK("http://www.ensembl.org/id/WBGene00016273", "WBGene00016273")</f>
        <v>WBGene00016273</v>
      </c>
      <c r="B7323" s="9" t="str">
        <f>HYPERLINK("http://www.ncbi.nlm.nih.gov/gene/183060", "183060")</f>
        <v>183060</v>
      </c>
      <c r="C7323" s="9"/>
      <c r="D7323" t="str">
        <f>"C30G12.1"</f>
        <v>C30G12.1</v>
      </c>
      <c r="F7323" t="s">
        <v>11</v>
      </c>
      <c r="H7323" s="12">
        <v>1.48346417225356</v>
      </c>
      <c r="I7323" s="20">
        <v>0.590355214710928</v>
      </c>
      <c r="J7323" s="28">
        <v>0.55495252914553705</v>
      </c>
      <c r="K7323" s="29">
        <v>0.98289565623980701</v>
      </c>
    </row>
    <row r="7324" spans="1:11" x14ac:dyDescent="0.35">
      <c r="A7324" s="9" t="str">
        <f>HYPERLINK("http://www.ensembl.org/id/WBGene00284859", "WBGene00284859")</f>
        <v>WBGene00284859</v>
      </c>
      <c r="B7324" s="9"/>
      <c r="C7324" s="9"/>
      <c r="D7324" t="str">
        <f>"C30G12.10"</f>
        <v>C30G12.10</v>
      </c>
      <c r="F7324" t="s">
        <v>481</v>
      </c>
      <c r="H7324" s="12">
        <v>-1.6055504857314999</v>
      </c>
      <c r="I7324" s="20">
        <v>-0.63537790713968201</v>
      </c>
      <c r="J7324" s="28">
        <v>0.52518197349799001</v>
      </c>
      <c r="K7324" s="29">
        <v>0.98289565623980701</v>
      </c>
    </row>
    <row r="7325" spans="1:11" x14ac:dyDescent="0.35">
      <c r="A7325" s="9" t="str">
        <f>HYPERLINK("http://www.ensembl.org/id/WBGene00284861", "WBGene00284861")</f>
        <v>WBGene00284861</v>
      </c>
      <c r="B7325" s="9"/>
      <c r="C7325" s="9"/>
      <c r="D7325" t="str">
        <f>"C30G12.11"</f>
        <v>C30G12.11</v>
      </c>
      <c r="F7325" t="s">
        <v>481</v>
      </c>
      <c r="H7325" s="12">
        <v>3.9762227095681602</v>
      </c>
      <c r="I7325" s="20">
        <v>0.73677622220440098</v>
      </c>
      <c r="J7325" s="28">
        <v>0.46125844531931298</v>
      </c>
      <c r="K7325" s="29">
        <v>0.98289565623980701</v>
      </c>
    </row>
    <row r="7326" spans="1:11" x14ac:dyDescent="0.35">
      <c r="A7326" s="9" t="str">
        <f>HYPERLINK("http://www.ensembl.org/id/WBGene00016276", "WBGene00016276")</f>
        <v>WBGene00016276</v>
      </c>
      <c r="B7326" s="9" t="str">
        <f>HYPERLINK("http://www.ncbi.nlm.nih.gov/gene/183062", "183062")</f>
        <v>183062</v>
      </c>
      <c r="C7326" s="9"/>
      <c r="D7326" t="str">
        <f>"C30G12.4"</f>
        <v>C30G12.4</v>
      </c>
      <c r="F7326" t="s">
        <v>11</v>
      </c>
      <c r="H7326" s="12">
        <v>1.1784927000651499</v>
      </c>
      <c r="I7326" s="20">
        <v>0.56555169319814202</v>
      </c>
      <c r="J7326" s="28">
        <v>0.57169857426463</v>
      </c>
      <c r="K7326" s="29">
        <v>0.98289565623980701</v>
      </c>
    </row>
    <row r="7327" spans="1:11" x14ac:dyDescent="0.35">
      <c r="A7327" s="9" t="str">
        <f>HYPERLINK("http://www.ensembl.org/id/WBGene00016268", "WBGene00016268")</f>
        <v>WBGene00016268</v>
      </c>
      <c r="B7327" s="9" t="str">
        <f>HYPERLINK("http://www.ncbi.nlm.nih.gov/gene/181744", "181744")</f>
        <v>181744</v>
      </c>
      <c r="C7327" s="9"/>
      <c r="D7327" t="str">
        <f>"C30G4.2"</f>
        <v>C30G4.2</v>
      </c>
      <c r="F7327" t="s">
        <v>11</v>
      </c>
      <c r="G7327" t="s">
        <v>54</v>
      </c>
      <c r="H7327" s="12">
        <v>-1.4973579114039</v>
      </c>
      <c r="I7327" s="20">
        <v>-0.49849712822559999</v>
      </c>
      <c r="J7327" s="28">
        <v>0.61813369282920405</v>
      </c>
      <c r="K7327" s="29">
        <v>0.98289565623980701</v>
      </c>
    </row>
    <row r="7328" spans="1:11" x14ac:dyDescent="0.35">
      <c r="A7328" s="9" t="str">
        <f>HYPERLINK("http://www.ensembl.org/id/WBGene00044176", "WBGene00044176")</f>
        <v>WBGene00044176</v>
      </c>
      <c r="B7328" s="9" t="str">
        <f>HYPERLINK("http://www.ncbi.nlm.nih.gov/gene/3565427", "3565427")</f>
        <v>3565427</v>
      </c>
      <c r="C7328" s="9"/>
      <c r="D7328" t="str">
        <f>"C30G7.2"</f>
        <v>C30G7.2</v>
      </c>
      <c r="F7328" t="s">
        <v>11</v>
      </c>
      <c r="G7328" t="s">
        <v>1674</v>
      </c>
      <c r="H7328" s="12">
        <v>1.2779387212361399</v>
      </c>
      <c r="I7328" s="20">
        <v>1.1359467247700299</v>
      </c>
      <c r="J7328" s="28">
        <v>0.25597886153164001</v>
      </c>
      <c r="K7328" s="29">
        <v>0.98289565623980701</v>
      </c>
    </row>
    <row r="7329" spans="1:11" x14ac:dyDescent="0.35">
      <c r="A7329" s="9" t="str">
        <f>HYPERLINK("http://www.ensembl.org/id/WBGene00044178", "WBGene00044178")</f>
        <v>WBGene00044178</v>
      </c>
      <c r="B7329" s="9" t="str">
        <f>HYPERLINK("http://www.ncbi.nlm.nih.gov/gene/3564843", "3564843")</f>
        <v>3564843</v>
      </c>
      <c r="C7329" s="9"/>
      <c r="D7329" t="str">
        <f>"C30G7.4"</f>
        <v>C30G7.4</v>
      </c>
      <c r="F7329" t="s">
        <v>11</v>
      </c>
      <c r="G7329" t="s">
        <v>25</v>
      </c>
      <c r="H7329" s="12">
        <v>-1.2256819636932199</v>
      </c>
      <c r="I7329" s="20">
        <v>-0.95598479443971296</v>
      </c>
      <c r="J7329" s="28">
        <v>0.33907991671190901</v>
      </c>
      <c r="K7329" s="29">
        <v>0.98289565623980701</v>
      </c>
    </row>
    <row r="7330" spans="1:11" x14ac:dyDescent="0.35">
      <c r="A7330" s="9" t="str">
        <f>HYPERLINK("http://www.ensembl.org/id/WBGene00044179", "WBGene00044179")</f>
        <v>WBGene00044179</v>
      </c>
      <c r="B7330" s="9" t="str">
        <f>HYPERLINK("http://www.ncbi.nlm.nih.gov/gene/3564943", "3564943")</f>
        <v>3564943</v>
      </c>
      <c r="C7330" s="9"/>
      <c r="D7330" t="str">
        <f>"C30G7.5"</f>
        <v>C30G7.5</v>
      </c>
      <c r="F7330" t="s">
        <v>11</v>
      </c>
      <c r="G7330" t="s">
        <v>25</v>
      </c>
      <c r="H7330" s="12">
        <v>-2.4295389261469</v>
      </c>
      <c r="I7330" s="20">
        <v>-0.25808529976640998</v>
      </c>
      <c r="J7330" s="28">
        <v>0.79634107645457397</v>
      </c>
      <c r="K7330" s="29">
        <v>0.98289565623980701</v>
      </c>
    </row>
    <row r="7331" spans="1:11" x14ac:dyDescent="0.35">
      <c r="A7331" s="9" t="str">
        <f>HYPERLINK("http://www.ensembl.org/id/WBGene00044238", "WBGene00044238")</f>
        <v>WBGene00044238</v>
      </c>
      <c r="B7331" s="9" t="str">
        <f>HYPERLINK("http://www.ncbi.nlm.nih.gov/gene/3565196", "3565196")</f>
        <v>3565196</v>
      </c>
      <c r="C7331" s="9"/>
      <c r="D7331" t="str">
        <f>"C30H6.12"</f>
        <v>C30H6.12</v>
      </c>
      <c r="F7331" t="s">
        <v>11</v>
      </c>
      <c r="H7331" s="12">
        <v>1.7480922057646</v>
      </c>
      <c r="I7331" s="20">
        <v>0.61125800775327399</v>
      </c>
      <c r="J7331" s="28">
        <v>0.54102878617924199</v>
      </c>
      <c r="K7331" s="29">
        <v>0.98289565623980701</v>
      </c>
    </row>
    <row r="7332" spans="1:11" x14ac:dyDescent="0.35">
      <c r="A7332" s="9" t="str">
        <f>HYPERLINK("http://www.ensembl.org/id/WBGene00016279", "WBGene00016279")</f>
        <v>WBGene00016279</v>
      </c>
      <c r="B7332" s="9" t="str">
        <f>HYPERLINK("http://www.ncbi.nlm.nih.gov/gene/183076", "183076")</f>
        <v>183076</v>
      </c>
      <c r="C7332" s="9"/>
      <c r="D7332" t="str">
        <f>"C31B8.1"</f>
        <v>C31B8.1</v>
      </c>
      <c r="F7332" t="s">
        <v>11</v>
      </c>
      <c r="G7332" t="s">
        <v>25</v>
      </c>
      <c r="H7332" s="12">
        <v>5.6776293866140497</v>
      </c>
      <c r="I7332" s="20">
        <v>0.73672727913151903</v>
      </c>
      <c r="J7332" s="28">
        <v>0.46128821424005101</v>
      </c>
      <c r="K7332" s="29">
        <v>0.98289565623980701</v>
      </c>
    </row>
    <row r="7333" spans="1:11" x14ac:dyDescent="0.35">
      <c r="A7333" s="9" t="str">
        <f>HYPERLINK("http://www.ensembl.org/id/WBGene00016285", "WBGene00016285")</f>
        <v>WBGene00016285</v>
      </c>
      <c r="B7333" s="9" t="str">
        <f>HYPERLINK("http://www.ncbi.nlm.nih.gov/gene/183081", "183081")</f>
        <v>183081</v>
      </c>
      <c r="C7333" s="9"/>
      <c r="D7333" t="str">
        <f>"C31B8.12"</f>
        <v>C31B8.12</v>
      </c>
      <c r="F7333" t="s">
        <v>11</v>
      </c>
      <c r="G7333" t="s">
        <v>25</v>
      </c>
      <c r="H7333" s="12">
        <v>2.8745758543430902</v>
      </c>
      <c r="I7333" s="20">
        <v>0.422626058340482</v>
      </c>
      <c r="J7333" s="28">
        <v>0.67256811128052596</v>
      </c>
      <c r="K7333" s="29">
        <v>0.98289565623980701</v>
      </c>
    </row>
    <row r="7334" spans="1:11" x14ac:dyDescent="0.35">
      <c r="A7334" s="9" t="str">
        <f>HYPERLINK("http://www.ensembl.org/id/WBGene00044602", "WBGene00044602")</f>
        <v>WBGene00044602</v>
      </c>
      <c r="B7334" s="9" t="str">
        <f>HYPERLINK("http://www.ncbi.nlm.nih.gov/gene/3896843", "3896843")</f>
        <v>3896843</v>
      </c>
      <c r="C7334" s="9"/>
      <c r="D7334" t="str">
        <f>"C31B8.16"</f>
        <v>C31B8.16</v>
      </c>
      <c r="F7334" t="s">
        <v>11</v>
      </c>
      <c r="G7334" t="s">
        <v>25</v>
      </c>
      <c r="H7334" s="12">
        <v>-3.5819448292659501</v>
      </c>
      <c r="I7334" s="20">
        <v>-0.37337717500031398</v>
      </c>
      <c r="J7334" s="28">
        <v>0.70886774492290605</v>
      </c>
      <c r="K7334" s="29">
        <v>0.98289565623980701</v>
      </c>
    </row>
    <row r="7335" spans="1:11" x14ac:dyDescent="0.35">
      <c r="A7335" s="9" t="str">
        <f>HYPERLINK("http://www.ensembl.org/id/WBGene00016282", "WBGene00016282")</f>
        <v>WBGene00016282</v>
      </c>
      <c r="B7335" s="9" t="str">
        <f>HYPERLINK("http://www.ncbi.nlm.nih.gov/gene/183079", "183079")</f>
        <v>183079</v>
      </c>
      <c r="C7335" s="9"/>
      <c r="D7335" t="str">
        <f>"C31B8.7"</f>
        <v>C31B8.7</v>
      </c>
      <c r="F7335" t="s">
        <v>11</v>
      </c>
      <c r="G7335" t="s">
        <v>1212</v>
      </c>
      <c r="H7335" s="12">
        <v>1.2981373861072101</v>
      </c>
      <c r="I7335" s="20">
        <v>0.58371672721231505</v>
      </c>
      <c r="J7335" s="28">
        <v>0.55941091141105603</v>
      </c>
      <c r="K7335" s="29">
        <v>0.98289565623980701</v>
      </c>
    </row>
    <row r="7336" spans="1:11" x14ac:dyDescent="0.35">
      <c r="A7336" s="9" t="str">
        <f>HYPERLINK("http://www.ensembl.org/id/WBGene00007836", "WBGene00007836")</f>
        <v>WBGene00007836</v>
      </c>
      <c r="B7336" s="9" t="str">
        <f>HYPERLINK("http://www.ncbi.nlm.nih.gov/gene/175012", "175012")</f>
        <v>175012</v>
      </c>
      <c r="C7336" s="9" t="str">
        <f>HYPERLINK("http://www.ncbi.nlm.nih.gov/gene/26227", "26227")</f>
        <v>26227</v>
      </c>
      <c r="D7336" t="str">
        <f>"C31C9.2"</f>
        <v>C31C9.2</v>
      </c>
      <c r="F7336" t="s">
        <v>11</v>
      </c>
      <c r="G7336" t="s">
        <v>5374</v>
      </c>
      <c r="H7336" s="12">
        <v>1.18069616191004</v>
      </c>
      <c r="I7336" s="20">
        <v>0.88768337700169397</v>
      </c>
      <c r="J7336" s="28">
        <v>0.37471109004441</v>
      </c>
      <c r="K7336" s="29">
        <v>0.98289565623980701</v>
      </c>
    </row>
    <row r="7337" spans="1:11" x14ac:dyDescent="0.35">
      <c r="A7337" s="9" t="str">
        <f>HYPERLINK("http://www.ensembl.org/id/WBGene00007840", "WBGene00007840")</f>
        <v>WBGene00007840</v>
      </c>
      <c r="B7337" s="9" t="str">
        <f>HYPERLINK("http://www.ncbi.nlm.nih.gov/gene/259475", "259475")</f>
        <v>259475</v>
      </c>
      <c r="C7337" s="9"/>
      <c r="D7337" t="str">
        <f>"C31C9.6"</f>
        <v>C31C9.6</v>
      </c>
      <c r="F7337" t="s">
        <v>11</v>
      </c>
      <c r="H7337" s="12">
        <v>-1.31016747905608</v>
      </c>
      <c r="I7337" s="20">
        <v>-0.87794991724751903</v>
      </c>
      <c r="J7337" s="28">
        <v>0.379970898280859</v>
      </c>
      <c r="K7337" s="29">
        <v>0.98289565623980701</v>
      </c>
    </row>
    <row r="7338" spans="1:11" x14ac:dyDescent="0.35">
      <c r="A7338" s="9" t="str">
        <f>HYPERLINK("http://www.ensembl.org/id/WBGene00007841", "WBGene00007841")</f>
        <v>WBGene00007841</v>
      </c>
      <c r="B7338" s="9" t="str">
        <f>HYPERLINK("http://www.ncbi.nlm.nih.gov/gene/259476", "259476")</f>
        <v>259476</v>
      </c>
      <c r="C7338" s="9"/>
      <c r="D7338" t="str">
        <f>"C31C9.7"</f>
        <v>C31C9.7</v>
      </c>
      <c r="F7338" t="s">
        <v>11</v>
      </c>
      <c r="H7338" s="12">
        <v>1.4519268014120299</v>
      </c>
      <c r="I7338" s="20">
        <v>1.0493945248557599</v>
      </c>
      <c r="J7338" s="28">
        <v>0.29399657708667898</v>
      </c>
      <c r="K7338" s="29">
        <v>0.98289565623980701</v>
      </c>
    </row>
    <row r="7339" spans="1:11" x14ac:dyDescent="0.35">
      <c r="A7339" s="9" t="str">
        <f>HYPERLINK("http://www.ensembl.org/id/WBGene00007842", "WBGene00007842")</f>
        <v>WBGene00007842</v>
      </c>
      <c r="B7339" s="9" t="str">
        <f>HYPERLINK("http://www.ncbi.nlm.nih.gov/gene/183085", "183085")</f>
        <v>183085</v>
      </c>
      <c r="C7339" s="9"/>
      <c r="D7339" t="str">
        <f>"C31E10.1"</f>
        <v>C31E10.1</v>
      </c>
      <c r="F7339" t="s">
        <v>11</v>
      </c>
      <c r="H7339" s="12">
        <v>-4.5114499031905204</v>
      </c>
      <c r="I7339" s="20">
        <v>-0.44198655555625299</v>
      </c>
      <c r="J7339" s="28">
        <v>0.65849893477547905</v>
      </c>
      <c r="K7339" s="29">
        <v>0.98289565623980701</v>
      </c>
    </row>
    <row r="7340" spans="1:11" x14ac:dyDescent="0.35">
      <c r="A7340" s="9" t="str">
        <f>HYPERLINK("http://www.ensembl.org/id/WBGene00007845", "WBGene00007845")</f>
        <v>WBGene00007845</v>
      </c>
      <c r="B7340" s="9" t="str">
        <f>HYPERLINK("http://www.ncbi.nlm.nih.gov/gene/183088", "183088")</f>
        <v>183088</v>
      </c>
      <c r="C7340" s="9"/>
      <c r="D7340" t="str">
        <f>"C31E10.4"</f>
        <v>C31E10.4</v>
      </c>
      <c r="F7340" t="s">
        <v>11</v>
      </c>
      <c r="H7340" s="12">
        <v>1.69631185304173</v>
      </c>
      <c r="I7340" s="20">
        <v>0.39853886401948502</v>
      </c>
      <c r="J7340" s="28">
        <v>0.69023301645329904</v>
      </c>
      <c r="K7340" s="29">
        <v>0.98289565623980701</v>
      </c>
    </row>
    <row r="7341" spans="1:11" x14ac:dyDescent="0.35">
      <c r="A7341" s="9" t="str">
        <f>HYPERLINK("http://www.ensembl.org/id/WBGene00007846", "WBGene00007846")</f>
        <v>WBGene00007846</v>
      </c>
      <c r="B7341" s="9" t="str">
        <f>HYPERLINK("http://www.ncbi.nlm.nih.gov/gene/181508", "181508")</f>
        <v>181508</v>
      </c>
      <c r="C7341" s="9"/>
      <c r="D7341" t="str">
        <f>"C31E10.5"</f>
        <v>C31E10.5</v>
      </c>
      <c r="F7341" t="s">
        <v>11</v>
      </c>
      <c r="G7341" t="s">
        <v>6524</v>
      </c>
      <c r="H7341" s="12">
        <v>-1.0735364853320799</v>
      </c>
      <c r="I7341" s="20">
        <v>-0.33573463147028099</v>
      </c>
      <c r="J7341" s="28">
        <v>0.73707098798748305</v>
      </c>
      <c r="K7341" s="29">
        <v>0.98289565623980701</v>
      </c>
    </row>
    <row r="7342" spans="1:11" x14ac:dyDescent="0.35">
      <c r="A7342" s="9" t="str">
        <f>HYPERLINK("http://www.ensembl.org/id/WBGene00016287", "WBGene00016287")</f>
        <v>WBGene00016287</v>
      </c>
      <c r="B7342" s="9" t="str">
        <f>HYPERLINK("http://www.ncbi.nlm.nih.gov/gene/183095", "183095")</f>
        <v>183095</v>
      </c>
      <c r="C7342" s="9"/>
      <c r="D7342" t="str">
        <f>"C31H1.2"</f>
        <v>C31H1.2</v>
      </c>
      <c r="F7342" t="s">
        <v>11</v>
      </c>
      <c r="G7342" t="s">
        <v>25</v>
      </c>
      <c r="H7342" s="12">
        <v>3.5701387746127899</v>
      </c>
      <c r="I7342" s="20">
        <v>0.80058296831654896</v>
      </c>
      <c r="J7342" s="28">
        <v>0.42337311394182803</v>
      </c>
      <c r="K7342" s="29">
        <v>0.98289565623980701</v>
      </c>
    </row>
    <row r="7343" spans="1:11" x14ac:dyDescent="0.35">
      <c r="A7343" s="9" t="str">
        <f>HYPERLINK("http://www.ensembl.org/id/WBGene00200384", "WBGene00200384")</f>
        <v>WBGene00200384</v>
      </c>
      <c r="B7343" s="9"/>
      <c r="C7343" s="9"/>
      <c r="D7343" t="str">
        <f>"C31H2.13"</f>
        <v>C31H2.13</v>
      </c>
      <c r="F7343" t="s">
        <v>481</v>
      </c>
      <c r="H7343" s="12">
        <v>-2.4991590031922399</v>
      </c>
      <c r="I7343" s="20">
        <v>-0.26577412737581302</v>
      </c>
      <c r="J7343" s="28">
        <v>0.79041317015736101</v>
      </c>
      <c r="K7343" s="29">
        <v>0.98289565623980701</v>
      </c>
    </row>
    <row r="7344" spans="1:11" x14ac:dyDescent="0.35">
      <c r="A7344" s="9" t="str">
        <f>HYPERLINK("http://www.ensembl.org/id/WBGene00206484", "WBGene00206484")</f>
        <v>WBGene00206484</v>
      </c>
      <c r="B7344" s="9" t="str">
        <f>HYPERLINK("http://www.ncbi.nlm.nih.gov/gene/13220525", "13220525")</f>
        <v>13220525</v>
      </c>
      <c r="C7344" s="9"/>
      <c r="D7344" t="str">
        <f>"C31H2.14"</f>
        <v>C31H2.14</v>
      </c>
      <c r="F7344" t="s">
        <v>11</v>
      </c>
      <c r="H7344" s="12">
        <v>-1.2599864263360501</v>
      </c>
      <c r="I7344" s="20">
        <v>-0.770019454253137</v>
      </c>
      <c r="J7344" s="28">
        <v>0.441288352712848</v>
      </c>
      <c r="K7344" s="29">
        <v>0.98289565623980701</v>
      </c>
    </row>
    <row r="7345" spans="1:11" x14ac:dyDescent="0.35">
      <c r="A7345" s="9" t="str">
        <f>HYPERLINK("http://www.ensembl.org/id/WBGene00016293", "WBGene00016293")</f>
        <v>WBGene00016293</v>
      </c>
      <c r="B7345" s="9" t="str">
        <f>HYPERLINK("http://www.ncbi.nlm.nih.gov/gene/183100", "183100")</f>
        <v>183100</v>
      </c>
      <c r="C7345" s="9"/>
      <c r="D7345" t="str">
        <f>"C31H2.3"</f>
        <v>C31H2.3</v>
      </c>
      <c r="F7345" t="s">
        <v>11</v>
      </c>
      <c r="H7345" s="12">
        <v>1.6442939078275201</v>
      </c>
      <c r="I7345" s="20">
        <v>0.93245074674584905</v>
      </c>
      <c r="J7345" s="28">
        <v>0.35110362938207801</v>
      </c>
      <c r="K7345" s="29">
        <v>0.98289565623980701</v>
      </c>
    </row>
    <row r="7346" spans="1:11" x14ac:dyDescent="0.35">
      <c r="A7346" s="9" t="str">
        <f>HYPERLINK("http://www.ensembl.org/id/WBGene00195722", "WBGene00195722")</f>
        <v>WBGene00195722</v>
      </c>
      <c r="B7346" s="9"/>
      <c r="C7346" s="9"/>
      <c r="D7346" t="str">
        <f>"C31H2.6"</f>
        <v>C31H2.6</v>
      </c>
      <c r="F7346" t="s">
        <v>481</v>
      </c>
      <c r="H7346" s="12">
        <v>2.3893468495514898</v>
      </c>
      <c r="I7346" s="20">
        <v>0.25323547253672701</v>
      </c>
      <c r="J7346" s="28">
        <v>0.80008625651646104</v>
      </c>
      <c r="K7346" s="29">
        <v>0.98289565623980701</v>
      </c>
    </row>
    <row r="7347" spans="1:11" x14ac:dyDescent="0.35">
      <c r="A7347" s="9" t="str">
        <f>HYPERLINK("http://www.ensembl.org/id/WBGene00007854", "WBGene00007854")</f>
        <v>WBGene00007854</v>
      </c>
      <c r="B7347" s="9" t="str">
        <f>HYPERLINK("http://www.ncbi.nlm.nih.gov/gene/183102", "183102")</f>
        <v>183102</v>
      </c>
      <c r="C7347" s="9"/>
      <c r="D7347" t="str">
        <f>"C31H5.1"</f>
        <v>C31H5.1</v>
      </c>
      <c r="F7347" t="s">
        <v>11</v>
      </c>
      <c r="G7347" t="s">
        <v>4504</v>
      </c>
      <c r="H7347" s="12">
        <v>1.82509257118599</v>
      </c>
      <c r="I7347" s="20">
        <v>1.1818384127788</v>
      </c>
      <c r="J7347" s="28">
        <v>0.237269822838306</v>
      </c>
      <c r="K7347" s="29">
        <v>0.98289565623980701</v>
      </c>
    </row>
    <row r="7348" spans="1:11" x14ac:dyDescent="0.35">
      <c r="A7348" s="9" t="str">
        <f>HYPERLINK("http://www.ensembl.org/id/WBGene00007855", "WBGene00007855")</f>
        <v>WBGene00007855</v>
      </c>
      <c r="B7348" s="9" t="str">
        <f>HYPERLINK("http://www.ncbi.nlm.nih.gov/gene/172724", "172724")</f>
        <v>172724</v>
      </c>
      <c r="C7348" s="9"/>
      <c r="D7348" t="str">
        <f>"C31H5.4"</f>
        <v>C31H5.4</v>
      </c>
      <c r="F7348" t="s">
        <v>11</v>
      </c>
      <c r="H7348" s="12">
        <v>-1.0969878928919501</v>
      </c>
      <c r="I7348" s="20">
        <v>-0.494663751992022</v>
      </c>
      <c r="J7348" s="28">
        <v>0.620837492467885</v>
      </c>
      <c r="K7348" s="29">
        <v>0.98289565623980701</v>
      </c>
    </row>
    <row r="7349" spans="1:11" x14ac:dyDescent="0.35">
      <c r="A7349" s="9" t="str">
        <f>HYPERLINK("http://www.ensembl.org/id/WBGene00196381", "WBGene00196381")</f>
        <v>WBGene00196381</v>
      </c>
      <c r="B7349" s="9"/>
      <c r="C7349" s="9"/>
      <c r="D7349" t="str">
        <f>"C32A3.5"</f>
        <v>C32A3.5</v>
      </c>
      <c r="F7349" t="s">
        <v>481</v>
      </c>
      <c r="H7349" s="12">
        <v>1.96917050030906</v>
      </c>
      <c r="I7349" s="20">
        <v>0.323668101232156</v>
      </c>
      <c r="J7349" s="28">
        <v>0.74618932341488198</v>
      </c>
      <c r="K7349" s="29">
        <v>0.98289565623980701</v>
      </c>
    </row>
    <row r="7350" spans="1:11" x14ac:dyDescent="0.35">
      <c r="A7350" s="9" t="str">
        <f>HYPERLINK("http://www.ensembl.org/id/WBGene00201466", "WBGene00201466")</f>
        <v>WBGene00201466</v>
      </c>
      <c r="B7350" s="9"/>
      <c r="C7350" s="9"/>
      <c r="D7350" t="str">
        <f>"C32A3.6"</f>
        <v>C32A3.6</v>
      </c>
      <c r="F7350" t="s">
        <v>481</v>
      </c>
      <c r="H7350" s="12">
        <v>9.9320123134608593</v>
      </c>
      <c r="I7350" s="20">
        <v>0.68366985730865304</v>
      </c>
      <c r="J7350" s="28">
        <v>0.49418366151259002</v>
      </c>
      <c r="K7350" s="29">
        <v>0.98289565623980701</v>
      </c>
    </row>
    <row r="7351" spans="1:11" x14ac:dyDescent="0.35">
      <c r="A7351" s="9" t="str">
        <f>HYPERLINK("http://www.ensembl.org/id/WBGene00199739", "WBGene00199739")</f>
        <v>WBGene00199739</v>
      </c>
      <c r="B7351" s="9"/>
      <c r="C7351" s="9"/>
      <c r="D7351" t="str">
        <f>"C32A9.3"</f>
        <v>C32A9.3</v>
      </c>
      <c r="F7351" t="s">
        <v>481</v>
      </c>
      <c r="H7351" s="12">
        <v>10.8131830636529</v>
      </c>
      <c r="I7351" s="20">
        <v>0.70982715185838596</v>
      </c>
      <c r="J7351" s="28">
        <v>0.477811329444844</v>
      </c>
      <c r="K7351" s="29">
        <v>0.98289565623980701</v>
      </c>
    </row>
    <row r="7352" spans="1:11" x14ac:dyDescent="0.35">
      <c r="A7352" s="9" t="str">
        <f>HYPERLINK("http://www.ensembl.org/id/WBGene00016308", "WBGene00016308")</f>
        <v>WBGene00016308</v>
      </c>
      <c r="B7352" s="9" t="str">
        <f>HYPERLINK("http://www.ncbi.nlm.nih.gov/gene/183118", "183118")</f>
        <v>183118</v>
      </c>
      <c r="C7352" s="9"/>
      <c r="D7352" t="str">
        <f>"C32B5.15"</f>
        <v>C32B5.15</v>
      </c>
      <c r="F7352" t="s">
        <v>11</v>
      </c>
      <c r="H7352" s="12">
        <v>1.18257324162768</v>
      </c>
      <c r="I7352" s="20">
        <v>0.30197043231262999</v>
      </c>
      <c r="J7352" s="28">
        <v>0.76267460298958001</v>
      </c>
      <c r="K7352" s="29">
        <v>0.98289565623980701</v>
      </c>
    </row>
    <row r="7353" spans="1:11" x14ac:dyDescent="0.35">
      <c r="A7353" s="9" t="str">
        <f>HYPERLINK("http://www.ensembl.org/id/WBGene00016299", "WBGene00016299")</f>
        <v>WBGene00016299</v>
      </c>
      <c r="B7353" s="9" t="str">
        <f>HYPERLINK("http://www.ncbi.nlm.nih.gov/gene/183110", "183110")</f>
        <v>183110</v>
      </c>
      <c r="C7353" s="9"/>
      <c r="D7353" t="str">
        <f>"C32B5.6"</f>
        <v>C32B5.6</v>
      </c>
      <c r="F7353" t="s">
        <v>11</v>
      </c>
      <c r="H7353" s="12">
        <v>2.3502231824397901</v>
      </c>
      <c r="I7353" s="20">
        <v>0.45464979325724197</v>
      </c>
      <c r="J7353" s="28">
        <v>0.649361206175323</v>
      </c>
      <c r="K7353" s="29">
        <v>0.98289565623980701</v>
      </c>
    </row>
    <row r="7354" spans="1:11" x14ac:dyDescent="0.35">
      <c r="A7354" s="9" t="str">
        <f>HYPERLINK("http://www.ensembl.org/id/WBGene00016300", "WBGene00016300")</f>
        <v>WBGene00016300</v>
      </c>
      <c r="B7354" s="9" t="str">
        <f>HYPERLINK("http://www.ncbi.nlm.nih.gov/gene/183111", "183111")</f>
        <v>183111</v>
      </c>
      <c r="C7354" s="9"/>
      <c r="D7354" t="str">
        <f>"C32B5.7"</f>
        <v>C32B5.7</v>
      </c>
      <c r="F7354" t="s">
        <v>11</v>
      </c>
      <c r="G7354" t="s">
        <v>632</v>
      </c>
      <c r="H7354" s="12">
        <v>-1.9669504568564999</v>
      </c>
      <c r="I7354" s="20">
        <v>-0.32405330302666502</v>
      </c>
      <c r="J7354" s="28">
        <v>0.74589767964154696</v>
      </c>
      <c r="K7354" s="29">
        <v>0.98289565623980701</v>
      </c>
    </row>
    <row r="7355" spans="1:11" x14ac:dyDescent="0.35">
      <c r="A7355" s="9" t="str">
        <f>HYPERLINK("http://www.ensembl.org/id/WBGene00196364", "WBGene00196364")</f>
        <v>WBGene00196364</v>
      </c>
      <c r="B7355" s="9"/>
      <c r="C7355" s="9"/>
      <c r="D7355" t="str">
        <f>"C32C4.10"</f>
        <v>C32C4.10</v>
      </c>
      <c r="F7355" t="s">
        <v>481</v>
      </c>
      <c r="H7355" s="12">
        <v>2.3893468495514898</v>
      </c>
      <c r="I7355" s="20">
        <v>0.25323547253672701</v>
      </c>
      <c r="J7355" s="28">
        <v>0.80008625651646104</v>
      </c>
      <c r="K7355" s="29">
        <v>0.98289565623980701</v>
      </c>
    </row>
    <row r="7356" spans="1:11" x14ac:dyDescent="0.35">
      <c r="A7356" s="9" t="str">
        <f>HYPERLINK("http://www.ensembl.org/id/WBGene00016317", "WBGene00016317")</f>
        <v>WBGene00016317</v>
      </c>
      <c r="B7356" s="9" t="str">
        <f>HYPERLINK("http://www.ncbi.nlm.nih.gov/gene/174051", "174051")</f>
        <v>174051</v>
      </c>
      <c r="C7356" s="9"/>
      <c r="D7356" t="str">
        <f>"C32D5.10"</f>
        <v>C32D5.10</v>
      </c>
      <c r="E7356" t="s">
        <v>8233</v>
      </c>
      <c r="F7356" t="s">
        <v>11</v>
      </c>
      <c r="G7356" t="s">
        <v>8234</v>
      </c>
      <c r="H7356" s="12">
        <v>-1.1670309413643001</v>
      </c>
      <c r="I7356" s="20">
        <v>-0.76133196126359204</v>
      </c>
      <c r="J7356" s="28">
        <v>0.44645881501916801</v>
      </c>
      <c r="K7356" s="29">
        <v>0.98289565623980701</v>
      </c>
    </row>
    <row r="7357" spans="1:11" x14ac:dyDescent="0.35">
      <c r="A7357" s="9" t="str">
        <f>HYPERLINK("http://www.ensembl.org/id/WBGene00016318", "WBGene00016318")</f>
        <v>WBGene00016318</v>
      </c>
      <c r="B7357" s="9" t="str">
        <f>HYPERLINK("http://www.ncbi.nlm.nih.gov/gene/174052", "174052")</f>
        <v>174052</v>
      </c>
      <c r="C7357" s="9"/>
      <c r="D7357" t="str">
        <f>"C32D5.11"</f>
        <v>C32D5.11</v>
      </c>
      <c r="F7357" t="s">
        <v>11</v>
      </c>
      <c r="G7357" t="s">
        <v>9004</v>
      </c>
      <c r="H7357" s="12">
        <v>-1.21407769049105</v>
      </c>
      <c r="I7357" s="20">
        <v>-1.04228995251523</v>
      </c>
      <c r="J7357" s="28">
        <v>0.29727726922817399</v>
      </c>
      <c r="K7357" s="29">
        <v>0.98289565623980701</v>
      </c>
    </row>
    <row r="7358" spans="1:11" x14ac:dyDescent="0.35">
      <c r="A7358" s="9" t="str">
        <f>HYPERLINK("http://www.ensembl.org/id/WBGene00044755", "WBGene00044755")</f>
        <v>WBGene00044755</v>
      </c>
      <c r="B7358" s="9" t="str">
        <f>HYPERLINK("http://www.ncbi.nlm.nih.gov/gene/4363038", "4363038")</f>
        <v>4363038</v>
      </c>
      <c r="C7358" s="9"/>
      <c r="D7358" t="str">
        <f>"C32D5.14"</f>
        <v>C32D5.14</v>
      </c>
      <c r="F7358" t="s">
        <v>11</v>
      </c>
      <c r="H7358" s="12">
        <v>-2.4295389261469</v>
      </c>
      <c r="I7358" s="20">
        <v>-0.25808529976640998</v>
      </c>
      <c r="J7358" s="28">
        <v>0.79634107645457397</v>
      </c>
      <c r="K7358" s="29">
        <v>0.98289565623980701</v>
      </c>
    </row>
    <row r="7359" spans="1:11" x14ac:dyDescent="0.35">
      <c r="A7359" s="9" t="str">
        <f>HYPERLINK("http://www.ensembl.org/id/WBGene00199110", "WBGene00199110")</f>
        <v>WBGene00199110</v>
      </c>
      <c r="B7359" s="9"/>
      <c r="C7359" s="9"/>
      <c r="D7359" t="str">
        <f>"C32D5.17"</f>
        <v>C32D5.17</v>
      </c>
      <c r="F7359" t="s">
        <v>481</v>
      </c>
      <c r="H7359" s="12">
        <v>4.8330720971898202</v>
      </c>
      <c r="I7359" s="20">
        <v>0.53826283632608196</v>
      </c>
      <c r="J7359" s="28">
        <v>0.59039560452453599</v>
      </c>
      <c r="K7359" s="29">
        <v>0.98289565623980701</v>
      </c>
    </row>
    <row r="7360" spans="1:11" x14ac:dyDescent="0.35">
      <c r="A7360" s="9" t="str">
        <f>HYPERLINK("http://www.ensembl.org/id/WBGene00200080", "WBGene00200080")</f>
        <v>WBGene00200080</v>
      </c>
      <c r="B7360" s="9"/>
      <c r="C7360" s="9"/>
      <c r="D7360" t="str">
        <f>"C32D5.18"</f>
        <v>C32D5.18</v>
      </c>
      <c r="F7360" t="s">
        <v>481</v>
      </c>
      <c r="H7360" s="12">
        <v>-1.5372767256733899</v>
      </c>
      <c r="I7360" s="20">
        <v>-0.36228712071304697</v>
      </c>
      <c r="J7360" s="28">
        <v>0.71713748160313895</v>
      </c>
      <c r="K7360" s="29">
        <v>0.98289565623980701</v>
      </c>
    </row>
    <row r="7361" spans="1:11" x14ac:dyDescent="0.35">
      <c r="A7361" s="9" t="str">
        <f>HYPERLINK("http://www.ensembl.org/id/WBGene00016312", "WBGene00016312")</f>
        <v>WBGene00016312</v>
      </c>
      <c r="B7361" s="9" t="str">
        <f>HYPERLINK("http://www.ncbi.nlm.nih.gov/gene/174043", "174043")</f>
        <v>174043</v>
      </c>
      <c r="C7361" s="9"/>
      <c r="D7361" t="str">
        <f>"C32D5.4"</f>
        <v>C32D5.4</v>
      </c>
      <c r="F7361" t="s">
        <v>11</v>
      </c>
      <c r="H7361" s="12">
        <v>1.6124754261059</v>
      </c>
      <c r="I7361" s="20">
        <v>0.34843366207459098</v>
      </c>
      <c r="J7361" s="28">
        <v>0.72751452581686304</v>
      </c>
      <c r="K7361" s="29">
        <v>0.98289565623980701</v>
      </c>
    </row>
    <row r="7362" spans="1:11" x14ac:dyDescent="0.35">
      <c r="A7362" s="9" t="str">
        <f>HYPERLINK("http://www.ensembl.org/id/WBGene00016314", "WBGene00016314")</f>
        <v>WBGene00016314</v>
      </c>
      <c r="B7362" s="9" t="str">
        <f>HYPERLINK("http://www.ncbi.nlm.nih.gov/gene/174046", "174046")</f>
        <v>174046</v>
      </c>
      <c r="C7362" s="9" t="str">
        <f>HYPERLINK("http://www.ncbi.nlm.nih.gov/gene/158219", "158219")</f>
        <v>158219</v>
      </c>
      <c r="D7362" t="str">
        <f>"C32D5.6"</f>
        <v>C32D5.6</v>
      </c>
      <c r="F7362" t="s">
        <v>11</v>
      </c>
      <c r="G7362" t="s">
        <v>5379</v>
      </c>
      <c r="H7362" s="12">
        <v>1.1787458957019099</v>
      </c>
      <c r="I7362" s="20">
        <v>0.60549444888843196</v>
      </c>
      <c r="J7362" s="28">
        <v>0.54485051197783696</v>
      </c>
      <c r="K7362" s="29">
        <v>0.98289565623980701</v>
      </c>
    </row>
    <row r="7363" spans="1:11" x14ac:dyDescent="0.35">
      <c r="A7363" s="9" t="str">
        <f>HYPERLINK("http://www.ensembl.org/id/WBGene00016315", "WBGene00016315")</f>
        <v>WBGene00016315</v>
      </c>
      <c r="B7363" s="9" t="str">
        <f>HYPERLINK("http://www.ncbi.nlm.nih.gov/gene/174047", "174047")</f>
        <v>174047</v>
      </c>
      <c r="C7363" s="9"/>
      <c r="D7363" t="str">
        <f>"C32D5.7"</f>
        <v>C32D5.7</v>
      </c>
      <c r="F7363" t="s">
        <v>11</v>
      </c>
      <c r="H7363" s="12">
        <v>1.25937630552471</v>
      </c>
      <c r="I7363" s="20">
        <v>1.1065306550865599</v>
      </c>
      <c r="J7363" s="28">
        <v>0.268496903128774</v>
      </c>
      <c r="K7363" s="29">
        <v>0.98289565623980701</v>
      </c>
    </row>
    <row r="7364" spans="1:11" x14ac:dyDescent="0.35">
      <c r="A7364" s="9" t="str">
        <f>HYPERLINK("http://www.ensembl.org/id/WBGene00016316", "WBGene00016316")</f>
        <v>WBGene00016316</v>
      </c>
      <c r="B7364" s="9" t="str">
        <f>HYPERLINK("http://www.ncbi.nlm.nih.gov/gene/174048", "174048")</f>
        <v>174048</v>
      </c>
      <c r="C7364" s="9" t="str">
        <f>HYPERLINK("http://www.ncbi.nlm.nih.gov/gene/158046", "158046")</f>
        <v>158046</v>
      </c>
      <c r="D7364" t="str">
        <f>"C32D5.8"</f>
        <v>C32D5.8</v>
      </c>
      <c r="F7364" t="s">
        <v>11</v>
      </c>
      <c r="H7364" s="12">
        <v>1.06821389414297</v>
      </c>
      <c r="I7364" s="20">
        <v>0.36681304694268702</v>
      </c>
      <c r="J7364" s="28">
        <v>0.71375847496143996</v>
      </c>
      <c r="K7364" s="29">
        <v>0.98289565623980701</v>
      </c>
    </row>
    <row r="7365" spans="1:11" x14ac:dyDescent="0.35">
      <c r="A7365" s="9" t="str">
        <f>HYPERLINK("http://www.ensembl.org/id/WBGene00016327", "WBGene00016327")</f>
        <v>WBGene00016327</v>
      </c>
      <c r="B7365" s="9" t="str">
        <f>HYPERLINK("http://www.ncbi.nlm.nih.gov/gene/183124", "183124")</f>
        <v>183124</v>
      </c>
      <c r="C7365" s="9"/>
      <c r="D7365" t="str">
        <f>"C32E12.1"</f>
        <v>C32E12.1</v>
      </c>
      <c r="F7365" t="s">
        <v>11</v>
      </c>
      <c r="H7365" s="12">
        <v>2.0775669117445799</v>
      </c>
      <c r="I7365" s="20">
        <v>0.80718873078985698</v>
      </c>
      <c r="J7365" s="28">
        <v>0.41955775729907602</v>
      </c>
      <c r="K7365" s="29">
        <v>0.98289565623980701</v>
      </c>
    </row>
    <row r="7366" spans="1:11" x14ac:dyDescent="0.35">
      <c r="A7366" s="9" t="str">
        <f>HYPERLINK("http://www.ensembl.org/id/WBGene00016320", "WBGene00016320")</f>
        <v>WBGene00016320</v>
      </c>
      <c r="B7366" s="9" t="str">
        <f>HYPERLINK("http://www.ncbi.nlm.nih.gov/gene/183123", "183123")</f>
        <v>183123</v>
      </c>
      <c r="C7366" s="9"/>
      <c r="D7366" t="str">
        <f>"C32E8.1"</f>
        <v>C32E8.1</v>
      </c>
      <c r="F7366" t="s">
        <v>11</v>
      </c>
      <c r="G7366" t="s">
        <v>51</v>
      </c>
      <c r="H7366" s="12">
        <v>-6.2102229019083799</v>
      </c>
      <c r="I7366" s="20">
        <v>-0.67619676343489199</v>
      </c>
      <c r="J7366" s="28">
        <v>0.49891572720914601</v>
      </c>
      <c r="K7366" s="29">
        <v>0.98289565623980701</v>
      </c>
    </row>
    <row r="7367" spans="1:11" x14ac:dyDescent="0.35">
      <c r="A7367" s="9" t="str">
        <f>HYPERLINK("http://www.ensembl.org/id/WBGene00194702", "WBGene00194702")</f>
        <v>WBGene00194702</v>
      </c>
      <c r="B7367" s="9" t="str">
        <f>HYPERLINK("http://www.ncbi.nlm.nih.gov/gene/13179817", "13179817")</f>
        <v>13179817</v>
      </c>
      <c r="C7367" s="9"/>
      <c r="D7367" t="str">
        <f>"C32E8.12"</f>
        <v>C32E8.12</v>
      </c>
      <c r="F7367" t="s">
        <v>11</v>
      </c>
      <c r="H7367" s="12">
        <v>-3.40517997462055</v>
      </c>
      <c r="I7367" s="20">
        <v>-0.44562966553438899</v>
      </c>
      <c r="J7367" s="28">
        <v>0.65586477808227595</v>
      </c>
      <c r="K7367" s="29">
        <v>0.98289565623980701</v>
      </c>
    </row>
    <row r="7368" spans="1:11" x14ac:dyDescent="0.35">
      <c r="A7368" s="9" t="str">
        <f>HYPERLINK("http://www.ensembl.org/id/WBGene00016322", "WBGene00016322")</f>
        <v>WBGene00016322</v>
      </c>
      <c r="B7368" s="9" t="str">
        <f>HYPERLINK("http://www.ncbi.nlm.nih.gov/gene/171947", "171947")</f>
        <v>171947</v>
      </c>
      <c r="C7368" s="9"/>
      <c r="D7368" t="str">
        <f>"C32E8.4"</f>
        <v>C32E8.4</v>
      </c>
      <c r="F7368" t="s">
        <v>11</v>
      </c>
      <c r="H7368" s="12">
        <v>-1.9473211848310701</v>
      </c>
      <c r="I7368" s="20">
        <v>-0.69394453686768398</v>
      </c>
      <c r="J7368" s="28">
        <v>0.48771699190823298</v>
      </c>
      <c r="K7368" s="29">
        <v>0.98289565623980701</v>
      </c>
    </row>
    <row r="7369" spans="1:11" x14ac:dyDescent="0.35">
      <c r="A7369" s="9" t="str">
        <f>HYPERLINK("http://www.ensembl.org/id/WBGene00016324", "WBGene00016324")</f>
        <v>WBGene00016324</v>
      </c>
      <c r="B7369" s="9" t="str">
        <f>HYPERLINK("http://www.ncbi.nlm.nih.gov/gene/171945", "171945")</f>
        <v>171945</v>
      </c>
      <c r="C7369" s="9"/>
      <c r="D7369" t="str">
        <f>"C32E8.6"</f>
        <v>C32E8.6</v>
      </c>
      <c r="F7369" t="s">
        <v>11</v>
      </c>
      <c r="G7369" t="s">
        <v>4734</v>
      </c>
      <c r="H7369" s="12">
        <v>-1.18940864658663</v>
      </c>
      <c r="I7369" s="20">
        <v>-0.48009752974754799</v>
      </c>
      <c r="J7369" s="28">
        <v>0.631158044660314</v>
      </c>
      <c r="K7369" s="29">
        <v>0.98289565623980701</v>
      </c>
    </row>
    <row r="7370" spans="1:11" x14ac:dyDescent="0.35">
      <c r="A7370" s="9" t="str">
        <f>HYPERLINK("http://www.ensembl.org/id/WBGene00007866", "WBGene00007866")</f>
        <v>WBGene00007866</v>
      </c>
      <c r="B7370" s="9" t="str">
        <f>HYPERLINK("http://www.ncbi.nlm.nih.gov/gene/183128", "183128")</f>
        <v>183128</v>
      </c>
      <c r="C7370" s="9"/>
      <c r="D7370" t="str">
        <f>"C32H11.3"</f>
        <v>C32H11.3</v>
      </c>
      <c r="F7370" t="s">
        <v>11</v>
      </c>
      <c r="H7370" s="12">
        <v>1.30867676610084</v>
      </c>
      <c r="I7370" s="20">
        <v>0.55649101229651299</v>
      </c>
      <c r="J7370" s="28">
        <v>0.57787523688259801</v>
      </c>
      <c r="K7370" s="29">
        <v>0.98289565623980701</v>
      </c>
    </row>
    <row r="7371" spans="1:11" x14ac:dyDescent="0.35">
      <c r="A7371" s="9" t="str">
        <f>HYPERLINK("http://www.ensembl.org/id/WBGene00007869", "WBGene00007869")</f>
        <v>WBGene00007869</v>
      </c>
      <c r="B7371" s="9" t="str">
        <f>HYPERLINK("http://www.ncbi.nlm.nih.gov/gene/183130", "183130")</f>
        <v>183130</v>
      </c>
      <c r="C7371" s="9"/>
      <c r="D7371" t="str">
        <f>"C32H11.6"</f>
        <v>C32H11.6</v>
      </c>
      <c r="F7371" t="s">
        <v>11</v>
      </c>
      <c r="H7371" s="12">
        <v>7.8691597089380902</v>
      </c>
      <c r="I7371" s="20">
        <v>0.61251365190975104</v>
      </c>
      <c r="J7371" s="28">
        <v>0.54019796842331003</v>
      </c>
      <c r="K7371" s="29">
        <v>0.98289565623980701</v>
      </c>
    </row>
    <row r="7372" spans="1:11" x14ac:dyDescent="0.35">
      <c r="A7372" s="9" t="str">
        <f>HYPERLINK("http://www.ensembl.org/id/WBGene00007870", "WBGene00007870")</f>
        <v>WBGene00007870</v>
      </c>
      <c r="B7372" s="9"/>
      <c r="C7372" s="9"/>
      <c r="D7372" t="str">
        <f>"C32H11.7"</f>
        <v>C32H11.7</v>
      </c>
      <c r="F7372" t="s">
        <v>80</v>
      </c>
      <c r="H7372" s="12">
        <v>-1.3742281174666899</v>
      </c>
      <c r="I7372" s="20">
        <v>-0.40262787646439402</v>
      </c>
      <c r="J7372" s="28">
        <v>0.68722199905084203</v>
      </c>
      <c r="K7372" s="29">
        <v>0.98289565623980701</v>
      </c>
    </row>
    <row r="7373" spans="1:11" x14ac:dyDescent="0.35">
      <c r="A7373" s="9" t="str">
        <f>HYPERLINK("http://www.ensembl.org/id/WBGene00014691", "WBGene00014691")</f>
        <v>WBGene00014691</v>
      </c>
      <c r="B7373" s="9"/>
      <c r="C7373" s="9"/>
      <c r="D7373" t="str">
        <f>"C33A11.t1"</f>
        <v>C33A11.t1</v>
      </c>
      <c r="F7373" t="s">
        <v>80</v>
      </c>
      <c r="H7373" s="12">
        <v>-2.64522751747859</v>
      </c>
      <c r="I7373" s="20">
        <v>-0.322957783917381</v>
      </c>
      <c r="J7373" s="28">
        <v>0.74672721379852502</v>
      </c>
      <c r="K7373" s="29">
        <v>0.98289565623980701</v>
      </c>
    </row>
    <row r="7374" spans="1:11" x14ac:dyDescent="0.35">
      <c r="A7374" s="9" t="str">
        <f>HYPERLINK("http://www.ensembl.org/id/WBGene00007880", "WBGene00007880")</f>
        <v>WBGene00007880</v>
      </c>
      <c r="B7374" s="9" t="str">
        <f>HYPERLINK("http://www.ncbi.nlm.nih.gov/gene/177786", "177786")</f>
        <v>177786</v>
      </c>
      <c r="C7374" s="9" t="str">
        <f>HYPERLINK("http://www.ncbi.nlm.nih.gov/gene/4698", "4698")</f>
        <v>4698</v>
      </c>
      <c r="D7374" t="str">
        <f>"C33A12.1"</f>
        <v>C33A12.1</v>
      </c>
      <c r="E7374" t="s">
        <v>6578</v>
      </c>
      <c r="F7374" t="s">
        <v>11</v>
      </c>
      <c r="G7374" t="s">
        <v>6579</v>
      </c>
      <c r="H7374" s="12">
        <v>-1.0774941597871699</v>
      </c>
      <c r="I7374" s="20">
        <v>-0.40034396448731102</v>
      </c>
      <c r="J7374" s="28">
        <v>0.68890319051179205</v>
      </c>
      <c r="K7374" s="29">
        <v>0.98289565623980701</v>
      </c>
    </row>
    <row r="7375" spans="1:11" x14ac:dyDescent="0.35">
      <c r="A7375" s="9" t="str">
        <f>HYPERLINK("http://www.ensembl.org/id/WBGene00007890", "WBGene00007890")</f>
        <v>WBGene00007890</v>
      </c>
      <c r="B7375" s="9" t="str">
        <f>HYPERLINK("http://www.ncbi.nlm.nih.gov/gene/259588", "259588")</f>
        <v>259588</v>
      </c>
      <c r="C7375" s="9"/>
      <c r="D7375" t="str">
        <f>"C33A12.19"</f>
        <v>C33A12.19</v>
      </c>
      <c r="F7375" t="s">
        <v>11</v>
      </c>
      <c r="H7375" s="12">
        <v>1.19087477976157</v>
      </c>
      <c r="I7375" s="20">
        <v>0.59599916874111003</v>
      </c>
      <c r="J7375" s="28">
        <v>0.55117578203728701</v>
      </c>
      <c r="K7375" s="29">
        <v>0.98289565623980701</v>
      </c>
    </row>
    <row r="7376" spans="1:11" x14ac:dyDescent="0.35">
      <c r="A7376" s="9" t="str">
        <f>HYPERLINK("http://www.ensembl.org/id/WBGene00007892", "WBGene00007892")</f>
        <v>WBGene00007892</v>
      </c>
      <c r="B7376" s="9" t="str">
        <f>HYPERLINK("http://www.ncbi.nlm.nih.gov/gene/259464", "259464")</f>
        <v>259464</v>
      </c>
      <c r="C7376" s="9"/>
      <c r="D7376" t="str">
        <f>"C33B4.4"</f>
        <v>C33B4.4</v>
      </c>
      <c r="F7376" t="s">
        <v>11</v>
      </c>
      <c r="H7376" s="12">
        <v>1.21822051915521</v>
      </c>
      <c r="I7376" s="20">
        <v>0.70487512915197903</v>
      </c>
      <c r="J7376" s="28">
        <v>0.480887948976295</v>
      </c>
      <c r="K7376" s="29">
        <v>0.98289565623980701</v>
      </c>
    </row>
    <row r="7377" spans="1:11" x14ac:dyDescent="0.35">
      <c r="A7377" s="9" t="str">
        <f>HYPERLINK("http://www.ensembl.org/id/WBGene00219322", "WBGene00219322")</f>
        <v>WBGene00219322</v>
      </c>
      <c r="B7377" s="9" t="str">
        <f>HYPERLINK("http://www.ncbi.nlm.nih.gov/gene/13183881", "13183881")</f>
        <v>13183881</v>
      </c>
      <c r="C7377" s="9"/>
      <c r="D7377" t="str">
        <f>"C33C12.12"</f>
        <v>C33C12.12</v>
      </c>
      <c r="F7377" t="s">
        <v>11</v>
      </c>
      <c r="H7377" s="12">
        <v>10.8131830636529</v>
      </c>
      <c r="I7377" s="20">
        <v>0.70982715185838596</v>
      </c>
      <c r="J7377" s="28">
        <v>0.477811329444844</v>
      </c>
      <c r="K7377" s="29">
        <v>0.98289565623980701</v>
      </c>
    </row>
    <row r="7378" spans="1:11" x14ac:dyDescent="0.35">
      <c r="A7378" s="9" t="str">
        <f>HYPERLINK("http://www.ensembl.org/id/WBGene00016339", "WBGene00016339")</f>
        <v>WBGene00016339</v>
      </c>
      <c r="B7378" s="9" t="str">
        <f>HYPERLINK("http://www.ncbi.nlm.nih.gov/gene/183154", "183154")</f>
        <v>183154</v>
      </c>
      <c r="C7378" s="9"/>
      <c r="D7378" t="str">
        <f>"C33C12.7"</f>
        <v>C33C12.7</v>
      </c>
      <c r="F7378" t="s">
        <v>11</v>
      </c>
      <c r="H7378" s="12">
        <v>-3.33576734137697</v>
      </c>
      <c r="I7378" s="20">
        <v>-0.37789252555813302</v>
      </c>
      <c r="J7378" s="28">
        <v>0.70551043520482504</v>
      </c>
      <c r="K7378" s="29">
        <v>0.98289565623980701</v>
      </c>
    </row>
    <row r="7379" spans="1:11" x14ac:dyDescent="0.35">
      <c r="A7379" s="9" t="str">
        <f>HYPERLINK("http://www.ensembl.org/id/WBGene00014694", "WBGene00014694")</f>
        <v>WBGene00014694</v>
      </c>
      <c r="B7379" s="9"/>
      <c r="C7379" s="9"/>
      <c r="D7379" t="str">
        <f>"C33D3.2"</f>
        <v>C33D3.2</v>
      </c>
      <c r="F7379" t="s">
        <v>80</v>
      </c>
      <c r="H7379" s="12">
        <v>15.311360389193499</v>
      </c>
      <c r="I7379" s="20">
        <v>0.90351699119264905</v>
      </c>
      <c r="J7379" s="28">
        <v>0.36625157460114899</v>
      </c>
      <c r="K7379" s="29">
        <v>0.98289565623980701</v>
      </c>
    </row>
    <row r="7380" spans="1:11" x14ac:dyDescent="0.35">
      <c r="A7380" s="9" t="str">
        <f>HYPERLINK("http://www.ensembl.org/id/WBGene00007895", "WBGene00007895")</f>
        <v>WBGene00007895</v>
      </c>
      <c r="B7380" s="9" t="str">
        <f>HYPERLINK("http://www.ncbi.nlm.nih.gov/gene/183157", "183157")</f>
        <v>183157</v>
      </c>
      <c r="C7380" s="9"/>
      <c r="D7380" t="str">
        <f>"C33D3.4"</f>
        <v>C33D3.4</v>
      </c>
      <c r="F7380" t="s">
        <v>11</v>
      </c>
      <c r="H7380" s="12">
        <v>3.5227018545059199</v>
      </c>
      <c r="I7380" s="20">
        <v>0.36849691206929103</v>
      </c>
      <c r="J7380" s="28">
        <v>0.71250274722433404</v>
      </c>
      <c r="K7380" s="29">
        <v>0.98289565623980701</v>
      </c>
    </row>
    <row r="7381" spans="1:11" x14ac:dyDescent="0.35">
      <c r="A7381" s="9" t="str">
        <f>HYPERLINK("http://www.ensembl.org/id/WBGene00007896", "WBGene00007896")</f>
        <v>WBGene00007896</v>
      </c>
      <c r="B7381" s="9" t="str">
        <f>HYPERLINK("http://www.ncbi.nlm.nih.gov/gene/259722", "259722")</f>
        <v>259722</v>
      </c>
      <c r="C7381" s="9"/>
      <c r="D7381" t="str">
        <f>"C33D3.5"</f>
        <v>C33D3.5</v>
      </c>
      <c r="F7381" t="s">
        <v>11</v>
      </c>
      <c r="H7381" s="12">
        <v>-4.1484999532405498</v>
      </c>
      <c r="I7381" s="20">
        <v>-0.56395795193093501</v>
      </c>
      <c r="J7381" s="28">
        <v>0.57278274871373902</v>
      </c>
      <c r="K7381" s="29">
        <v>0.98289565623980701</v>
      </c>
    </row>
    <row r="7382" spans="1:11" x14ac:dyDescent="0.35">
      <c r="A7382" s="9" t="str">
        <f>HYPERLINK("http://www.ensembl.org/id/WBGene00044239", "WBGene00044239")</f>
        <v>WBGene00044239</v>
      </c>
      <c r="B7382" s="9" t="str">
        <f>HYPERLINK("http://www.ncbi.nlm.nih.gov/gene/3564872", "3564872")</f>
        <v>3564872</v>
      </c>
      <c r="C7382" s="9"/>
      <c r="D7382" t="str">
        <f>"C33D9.10"</f>
        <v>C33D9.10</v>
      </c>
      <c r="F7382" t="s">
        <v>11</v>
      </c>
      <c r="H7382" s="12">
        <v>2.3613804577339801</v>
      </c>
      <c r="I7382" s="20">
        <v>0.67575976741320898</v>
      </c>
      <c r="J7382" s="28">
        <v>0.49919318239472199</v>
      </c>
      <c r="K7382" s="29">
        <v>0.98289565623980701</v>
      </c>
    </row>
    <row r="7383" spans="1:11" x14ac:dyDescent="0.35">
      <c r="A7383" s="9" t="str">
        <f>HYPERLINK("http://www.ensembl.org/id/WBGene00194651", "WBGene00194651")</f>
        <v>WBGene00194651</v>
      </c>
      <c r="B7383" s="9" t="str">
        <f>HYPERLINK("http://www.ncbi.nlm.nih.gov/gene/13197147", "13197147")</f>
        <v>13197147</v>
      </c>
      <c r="C7383" s="9"/>
      <c r="D7383" t="str">
        <f>"C33D9.13"</f>
        <v>C33D9.13</v>
      </c>
      <c r="F7383" t="s">
        <v>11</v>
      </c>
      <c r="H7383" s="12">
        <v>-1.1586448116526</v>
      </c>
      <c r="I7383" s="20">
        <v>-0.75198994032028699</v>
      </c>
      <c r="J7383" s="28">
        <v>0.45205710840979801</v>
      </c>
      <c r="K7383" s="29">
        <v>0.98289565623980701</v>
      </c>
    </row>
    <row r="7384" spans="1:11" x14ac:dyDescent="0.35">
      <c r="A7384" s="9" t="str">
        <f>HYPERLINK("http://www.ensembl.org/id/WBGene00007898", "WBGene00007898")</f>
        <v>WBGene00007898</v>
      </c>
      <c r="B7384" s="9" t="str">
        <f>HYPERLINK("http://www.ncbi.nlm.nih.gov/gene/177691", "177691")</f>
        <v>177691</v>
      </c>
      <c r="C7384" s="9"/>
      <c r="D7384" t="str">
        <f>"C33D9.3"</f>
        <v>C33D9.3</v>
      </c>
      <c r="F7384" t="s">
        <v>11</v>
      </c>
      <c r="H7384" s="12">
        <v>1.11264116196092</v>
      </c>
      <c r="I7384" s="20">
        <v>0.56509474002758597</v>
      </c>
      <c r="J7384" s="28">
        <v>0.57200932602212395</v>
      </c>
      <c r="K7384" s="29">
        <v>0.98289565623980701</v>
      </c>
    </row>
    <row r="7385" spans="1:11" x14ac:dyDescent="0.35">
      <c r="A7385" s="9" t="str">
        <f>HYPERLINK("http://www.ensembl.org/id/WBGene00007899", "WBGene00007899")</f>
        <v>WBGene00007899</v>
      </c>
      <c r="B7385" s="9"/>
      <c r="C7385" s="9"/>
      <c r="D7385" t="str">
        <f>"C33D9.5"</f>
        <v>C33D9.5</v>
      </c>
      <c r="F7385" t="s">
        <v>80</v>
      </c>
      <c r="H7385" s="12">
        <v>1.3303123011108899</v>
      </c>
      <c r="I7385" s="20">
        <v>1.20780595629851</v>
      </c>
      <c r="J7385" s="28">
        <v>0.22712190986268399</v>
      </c>
      <c r="K7385" s="29">
        <v>0.98289565623980701</v>
      </c>
    </row>
    <row r="7386" spans="1:11" x14ac:dyDescent="0.35">
      <c r="A7386" s="9" t="str">
        <f>HYPERLINK("http://www.ensembl.org/id/WBGene00007901", "WBGene00007901")</f>
        <v>WBGene00007901</v>
      </c>
      <c r="B7386" s="9" t="str">
        <f>HYPERLINK("http://www.ncbi.nlm.nih.gov/gene/183160", "183160")</f>
        <v>183160</v>
      </c>
      <c r="C7386" s="9"/>
      <c r="D7386" t="str">
        <f>"C33D9.8"</f>
        <v>C33D9.8</v>
      </c>
      <c r="F7386" t="s">
        <v>11</v>
      </c>
      <c r="H7386" s="12">
        <v>1.4556258025830699</v>
      </c>
      <c r="I7386" s="20">
        <v>0.86947367009925203</v>
      </c>
      <c r="J7386" s="28">
        <v>0.38458810348720401</v>
      </c>
      <c r="K7386" s="29">
        <v>0.98289565623980701</v>
      </c>
    </row>
    <row r="7387" spans="1:11" x14ac:dyDescent="0.35">
      <c r="A7387" s="9" t="str">
        <f>HYPERLINK("http://www.ensembl.org/id/WBGene00016350", "WBGene00016350")</f>
        <v>WBGene00016350</v>
      </c>
      <c r="B7387" s="9" t="str">
        <f>HYPERLINK("http://www.ncbi.nlm.nih.gov/gene/183165", "183165")</f>
        <v>183165</v>
      </c>
      <c r="C7387" s="9" t="str">
        <f>HYPERLINK("http://www.ncbi.nlm.nih.gov/gene/25979", "25979")</f>
        <v>25979</v>
      </c>
      <c r="D7387" t="str">
        <f>"C33E10.10"</f>
        <v>C33E10.10</v>
      </c>
      <c r="F7387" t="s">
        <v>11</v>
      </c>
      <c r="H7387" s="12">
        <v>2.38662096886328</v>
      </c>
      <c r="I7387" s="20">
        <v>0.94446307466824098</v>
      </c>
      <c r="J7387" s="28">
        <v>0.34493306261164702</v>
      </c>
      <c r="K7387" s="29">
        <v>0.98289565623980701</v>
      </c>
    </row>
    <row r="7388" spans="1:11" x14ac:dyDescent="0.35">
      <c r="A7388" s="9" t="str">
        <f>HYPERLINK("http://www.ensembl.org/id/WBGene00023245", "WBGene00023245")</f>
        <v>WBGene00023245</v>
      </c>
      <c r="B7388" s="9"/>
      <c r="C7388" s="9"/>
      <c r="D7388" t="str">
        <f>"C33E10.3"</f>
        <v>C33E10.3</v>
      </c>
      <c r="F7388" t="s">
        <v>80</v>
      </c>
      <c r="H7388" s="12">
        <v>1.3191924733623901</v>
      </c>
      <c r="I7388" s="20">
        <v>0.64781321170279604</v>
      </c>
      <c r="J7388" s="28">
        <v>0.51710576921745299</v>
      </c>
      <c r="K7388" s="29">
        <v>0.98289565623980701</v>
      </c>
    </row>
    <row r="7389" spans="1:11" x14ac:dyDescent="0.35">
      <c r="A7389" s="9" t="str">
        <f>HYPERLINK("http://www.ensembl.org/id/WBGene00023246", "WBGene00023246")</f>
        <v>WBGene00023246</v>
      </c>
      <c r="B7389" s="9"/>
      <c r="C7389" s="9"/>
      <c r="D7389" t="str">
        <f>"C33E10.4"</f>
        <v>C33E10.4</v>
      </c>
      <c r="F7389" t="s">
        <v>80</v>
      </c>
      <c r="H7389" s="12">
        <v>2.3893468495514898</v>
      </c>
      <c r="I7389" s="20">
        <v>0.25323547253672701</v>
      </c>
      <c r="J7389" s="28">
        <v>0.80008625651646104</v>
      </c>
      <c r="K7389" s="29">
        <v>0.98289565623980701</v>
      </c>
    </row>
    <row r="7390" spans="1:11" x14ac:dyDescent="0.35">
      <c r="A7390" s="9" t="str">
        <f>HYPERLINK("http://www.ensembl.org/id/WBGene00016351", "WBGene00016351")</f>
        <v>WBGene00016351</v>
      </c>
      <c r="B7390" s="9" t="str">
        <f>HYPERLINK("http://www.ncbi.nlm.nih.gov/gene/173834", "173834")</f>
        <v>173834</v>
      </c>
      <c r="C7390" s="9"/>
      <c r="D7390" t="str">
        <f>"C33F10.1"</f>
        <v>C33F10.1</v>
      </c>
      <c r="F7390" t="s">
        <v>11</v>
      </c>
      <c r="H7390" s="12">
        <v>-1.74460647588437</v>
      </c>
      <c r="I7390" s="20">
        <v>-1.1319613511764399</v>
      </c>
      <c r="J7390" s="28">
        <v>0.25765068347238401</v>
      </c>
      <c r="K7390" s="29">
        <v>0.98289565623980701</v>
      </c>
    </row>
    <row r="7391" spans="1:11" x14ac:dyDescent="0.35">
      <c r="A7391" s="9" t="str">
        <f>HYPERLINK("http://www.ensembl.org/id/WBGene00016357", "WBGene00016357")</f>
        <v>WBGene00016357</v>
      </c>
      <c r="B7391" s="9" t="str">
        <f>HYPERLINK("http://www.ncbi.nlm.nih.gov/gene/173833", "173833")</f>
        <v>173833</v>
      </c>
      <c r="C7391" s="9"/>
      <c r="D7391" t="str">
        <f>"C33F10.11"</f>
        <v>C33F10.11</v>
      </c>
      <c r="F7391" t="s">
        <v>11</v>
      </c>
      <c r="G7391" t="s">
        <v>25</v>
      </c>
      <c r="H7391" s="12">
        <v>1.3216844891486601</v>
      </c>
      <c r="I7391" s="20">
        <v>0.33075661319980498</v>
      </c>
      <c r="J7391" s="28">
        <v>0.74082833558121797</v>
      </c>
      <c r="K7391" s="29">
        <v>0.98289565623980701</v>
      </c>
    </row>
    <row r="7392" spans="1:11" x14ac:dyDescent="0.35">
      <c r="A7392" s="9" t="str">
        <f>HYPERLINK("http://www.ensembl.org/id/WBGene00050941", "WBGene00050941")</f>
        <v>WBGene00050941</v>
      </c>
      <c r="B7392" s="9" t="str">
        <f>HYPERLINK("http://www.ncbi.nlm.nih.gov/gene/6418622", "6418622")</f>
        <v>6418622</v>
      </c>
      <c r="C7392" s="9" t="str">
        <f>HYPERLINK("http://www.ncbi.nlm.nih.gov/gene/10553", "10553")</f>
        <v>10553</v>
      </c>
      <c r="D7392" t="str">
        <f>"C33F10.14"</f>
        <v>C33F10.14</v>
      </c>
      <c r="F7392" t="s">
        <v>11</v>
      </c>
      <c r="G7392" t="s">
        <v>6697</v>
      </c>
      <c r="H7392" s="12">
        <v>-1.0851213509772999</v>
      </c>
      <c r="I7392" s="20">
        <v>-0.42073454939823102</v>
      </c>
      <c r="J7392" s="28">
        <v>0.67394892955799601</v>
      </c>
      <c r="K7392" s="29">
        <v>0.98289565623980701</v>
      </c>
    </row>
    <row r="7393" spans="1:11" x14ac:dyDescent="0.35">
      <c r="A7393" s="9" t="str">
        <f>HYPERLINK("http://www.ensembl.org/id/WBGene00197302", "WBGene00197302")</f>
        <v>WBGene00197302</v>
      </c>
      <c r="B7393" s="9"/>
      <c r="C7393" s="9"/>
      <c r="D7393" t="str">
        <f>"C33F10.18"</f>
        <v>C33F10.18</v>
      </c>
      <c r="F7393" t="s">
        <v>481</v>
      </c>
      <c r="H7393" s="12">
        <v>5.2322000618327396</v>
      </c>
      <c r="I7393" s="20">
        <v>0.486112489888328</v>
      </c>
      <c r="J7393" s="28">
        <v>0.62688741196182496</v>
      </c>
      <c r="K7393" s="29">
        <v>0.98289565623980701</v>
      </c>
    </row>
    <row r="7394" spans="1:11" x14ac:dyDescent="0.35">
      <c r="A7394" s="9" t="str">
        <f>HYPERLINK("http://www.ensembl.org/id/WBGene00197561", "WBGene00197561")</f>
        <v>WBGene00197561</v>
      </c>
      <c r="B7394" s="9"/>
      <c r="C7394" s="9"/>
      <c r="D7394" t="str">
        <f>"C33F10.19"</f>
        <v>C33F10.19</v>
      </c>
      <c r="F7394" t="s">
        <v>481</v>
      </c>
      <c r="H7394" s="12">
        <v>2.3893468495514898</v>
      </c>
      <c r="I7394" s="20">
        <v>0.25323547253672701</v>
      </c>
      <c r="J7394" s="28">
        <v>0.80008625651646104</v>
      </c>
      <c r="K7394" s="29">
        <v>0.98289565623980701</v>
      </c>
    </row>
    <row r="7395" spans="1:11" x14ac:dyDescent="0.35">
      <c r="A7395" s="9" t="str">
        <f>HYPERLINK("http://www.ensembl.org/id/WBGene00016356", "WBGene00016356")</f>
        <v>WBGene00016356</v>
      </c>
      <c r="B7395" s="9" t="str">
        <f>HYPERLINK("http://www.ncbi.nlm.nih.gov/gene/173829", "173829")</f>
        <v>173829</v>
      </c>
      <c r="C7395" s="9"/>
      <c r="D7395" t="str">
        <f>"C33F10.8"</f>
        <v>C33F10.8</v>
      </c>
      <c r="F7395" t="s">
        <v>11</v>
      </c>
      <c r="G7395" t="s">
        <v>1020</v>
      </c>
      <c r="H7395" s="12">
        <v>2.0177037988192201</v>
      </c>
      <c r="I7395" s="20">
        <v>0.60253347283181102</v>
      </c>
      <c r="J7395" s="28">
        <v>0.54681908897585196</v>
      </c>
      <c r="K7395" s="29">
        <v>0.98289565623980701</v>
      </c>
    </row>
    <row r="7396" spans="1:11" x14ac:dyDescent="0.35">
      <c r="A7396" s="9" t="str">
        <f>HYPERLINK("http://www.ensembl.org/id/WBGene00016379", "WBGene00016379")</f>
        <v>WBGene00016379</v>
      </c>
      <c r="B7396" s="9" t="str">
        <f>HYPERLINK("http://www.ncbi.nlm.nih.gov/gene/183188", "183188")</f>
        <v>183188</v>
      </c>
      <c r="C7396" s="9"/>
      <c r="D7396" t="str">
        <f>"C33H5.13"</f>
        <v>C33H5.13</v>
      </c>
      <c r="F7396" t="s">
        <v>11</v>
      </c>
      <c r="G7396" t="s">
        <v>264</v>
      </c>
      <c r="H7396" s="12">
        <v>-1.1985639445035501</v>
      </c>
      <c r="I7396" s="20">
        <v>-0.84244325375706597</v>
      </c>
      <c r="J7396" s="28">
        <v>0.39953989053012501</v>
      </c>
      <c r="K7396" s="29">
        <v>0.98289565623980701</v>
      </c>
    </row>
    <row r="7397" spans="1:11" x14ac:dyDescent="0.35">
      <c r="A7397" s="9" t="str">
        <f>HYPERLINK("http://www.ensembl.org/id/WBGene00016382", "WBGene00016382")</f>
        <v>WBGene00016382</v>
      </c>
      <c r="B7397" s="9" t="str">
        <f>HYPERLINK("http://www.ncbi.nlm.nih.gov/gene/183190", "183190")</f>
        <v>183190</v>
      </c>
      <c r="C7397" s="9"/>
      <c r="D7397" t="str">
        <f>"C33H5.16"</f>
        <v>C33H5.16</v>
      </c>
      <c r="E7397" t="s">
        <v>1019</v>
      </c>
      <c r="F7397" t="s">
        <v>11</v>
      </c>
      <c r="G7397" t="s">
        <v>1020</v>
      </c>
      <c r="H7397" s="12">
        <v>6.2561501659823202</v>
      </c>
      <c r="I7397" s="20">
        <v>1.0623806544698899</v>
      </c>
      <c r="J7397" s="28">
        <v>0.28806291254459299</v>
      </c>
      <c r="K7397" s="29">
        <v>0.98289565623980701</v>
      </c>
    </row>
    <row r="7398" spans="1:11" x14ac:dyDescent="0.35">
      <c r="A7398" s="9" t="str">
        <f>HYPERLINK("http://www.ensembl.org/id/WBGene00016396", "WBGene00016396")</f>
        <v>WBGene00016396</v>
      </c>
      <c r="B7398" s="9" t="str">
        <f>HYPERLINK("http://www.ncbi.nlm.nih.gov/gene/172971", "172971")</f>
        <v>172971</v>
      </c>
      <c r="C7398" s="9"/>
      <c r="D7398" t="str">
        <f>"C34B2.11"</f>
        <v>C34B2.11</v>
      </c>
      <c r="F7398" t="s">
        <v>11</v>
      </c>
      <c r="G7398" t="s">
        <v>25</v>
      </c>
      <c r="H7398" s="12">
        <v>1.3465618737693901</v>
      </c>
      <c r="I7398" s="20">
        <v>1.1789021777726101</v>
      </c>
      <c r="J7398" s="28">
        <v>0.23843713046371801</v>
      </c>
      <c r="K7398" s="29">
        <v>0.98289565623980701</v>
      </c>
    </row>
    <row r="7399" spans="1:11" x14ac:dyDescent="0.35">
      <c r="A7399" s="9" t="str">
        <f>HYPERLINK("http://www.ensembl.org/id/WBGene00016388", "WBGene00016388")</f>
        <v>WBGene00016388</v>
      </c>
      <c r="B7399" s="9" t="str">
        <f>HYPERLINK("http://www.ncbi.nlm.nih.gov/gene/172964", "172964")</f>
        <v>172964</v>
      </c>
      <c r="C7399" s="9"/>
      <c r="D7399" t="str">
        <f>"C34B2.3"</f>
        <v>C34B2.3</v>
      </c>
      <c r="F7399" t="s">
        <v>11</v>
      </c>
      <c r="G7399" t="s">
        <v>1763</v>
      </c>
      <c r="H7399" s="12">
        <v>5.3987920544653196</v>
      </c>
      <c r="I7399" s="20">
        <v>0.99785218187626401</v>
      </c>
      <c r="J7399" s="28">
        <v>0.31835104231776701</v>
      </c>
      <c r="K7399" s="29">
        <v>0.98289565623980701</v>
      </c>
    </row>
    <row r="7400" spans="1:11" x14ac:dyDescent="0.35">
      <c r="A7400" s="9" t="str">
        <f>HYPERLINK("http://www.ensembl.org/id/WBGene00016389", "WBGene00016389")</f>
        <v>WBGene00016389</v>
      </c>
      <c r="B7400" s="9" t="str">
        <f>HYPERLINK("http://www.ncbi.nlm.nih.gov/gene/183192", "183192")</f>
        <v>183192</v>
      </c>
      <c r="C7400" s="9"/>
      <c r="D7400" t="str">
        <f>"C34B2.4"</f>
        <v>C34B2.4</v>
      </c>
      <c r="F7400" t="s">
        <v>11</v>
      </c>
      <c r="G7400" t="s">
        <v>4204</v>
      </c>
      <c r="H7400" s="12">
        <v>13.2083681824683</v>
      </c>
      <c r="I7400" s="20">
        <v>0.79736709025154395</v>
      </c>
      <c r="J7400" s="28">
        <v>0.42523786651974499</v>
      </c>
      <c r="K7400" s="29">
        <v>0.98289565623980701</v>
      </c>
    </row>
    <row r="7401" spans="1:11" x14ac:dyDescent="0.35">
      <c r="A7401" s="9" t="str">
        <f>HYPERLINK("http://www.ensembl.org/id/WBGene00016393", "WBGene00016393")</f>
        <v>WBGene00016393</v>
      </c>
      <c r="B7401" s="9" t="str">
        <f>HYPERLINK("http://www.ncbi.nlm.nih.gov/gene/172969", "172969")</f>
        <v>172969</v>
      </c>
      <c r="C7401" s="9"/>
      <c r="D7401" t="str">
        <f>"C34B2.8"</f>
        <v>C34B2.8</v>
      </c>
      <c r="F7401" t="s">
        <v>11</v>
      </c>
      <c r="G7401" t="s">
        <v>6742</v>
      </c>
      <c r="H7401" s="12">
        <v>-1.0867678272653101</v>
      </c>
      <c r="I7401" s="20">
        <v>-0.45301710129096101</v>
      </c>
      <c r="J7401" s="28">
        <v>0.65053642730558403</v>
      </c>
      <c r="K7401" s="29">
        <v>0.98289565623980701</v>
      </c>
    </row>
    <row r="7402" spans="1:11" x14ac:dyDescent="0.35">
      <c r="A7402" s="9" t="str">
        <f>HYPERLINK("http://www.ensembl.org/id/WBGene00197209", "WBGene00197209")</f>
        <v>WBGene00197209</v>
      </c>
      <c r="B7402" s="9"/>
      <c r="C7402" s="9"/>
      <c r="D7402" t="str">
        <f>"C34B4.11"</f>
        <v>C34B4.11</v>
      </c>
      <c r="F7402" t="s">
        <v>481</v>
      </c>
      <c r="H7402" s="12">
        <v>-5.24470813550841</v>
      </c>
      <c r="I7402" s="20">
        <v>-0.96772134752877204</v>
      </c>
      <c r="J7402" s="28">
        <v>0.33318355371273201</v>
      </c>
      <c r="K7402" s="29">
        <v>0.98289565623980701</v>
      </c>
    </row>
    <row r="7403" spans="1:11" x14ac:dyDescent="0.35">
      <c r="A7403" s="9" t="str">
        <f>HYPERLINK("http://www.ensembl.org/id/WBGene00007908", "WBGene00007908")</f>
        <v>WBGene00007908</v>
      </c>
      <c r="B7403" s="9" t="str">
        <f>HYPERLINK("http://www.ncbi.nlm.nih.gov/gene/179792", "179792")</f>
        <v>179792</v>
      </c>
      <c r="C7403" s="9"/>
      <c r="D7403" t="str">
        <f>"C34B4.3"</f>
        <v>C34B4.3</v>
      </c>
      <c r="F7403" t="s">
        <v>11</v>
      </c>
      <c r="G7403" t="s">
        <v>25</v>
      </c>
      <c r="H7403" s="12">
        <v>-1.1575814580391199</v>
      </c>
      <c r="I7403" s="20">
        <v>-0.71706971080274595</v>
      </c>
      <c r="J7403" s="28">
        <v>0.47333108400117702</v>
      </c>
      <c r="K7403" s="29">
        <v>0.98289565623980701</v>
      </c>
    </row>
    <row r="7404" spans="1:11" x14ac:dyDescent="0.35">
      <c r="A7404" s="9" t="str">
        <f>HYPERLINK("http://www.ensembl.org/id/WBGene00007909", "WBGene00007909")</f>
        <v>WBGene00007909</v>
      </c>
      <c r="B7404" s="9" t="str">
        <f>HYPERLINK("http://www.ncbi.nlm.nih.gov/gene/3565177", "3565177")</f>
        <v>3565177</v>
      </c>
      <c r="C7404" s="9"/>
      <c r="D7404" t="str">
        <f>"C34B4.4"</f>
        <v>C34B4.4</v>
      </c>
      <c r="F7404" t="s">
        <v>11</v>
      </c>
      <c r="H7404" s="12">
        <v>-1.4068164485635499</v>
      </c>
      <c r="I7404" s="20">
        <v>-0.79421154116646597</v>
      </c>
      <c r="J7404" s="28">
        <v>0.42707229081189402</v>
      </c>
      <c r="K7404" s="29">
        <v>0.98289565623980701</v>
      </c>
    </row>
    <row r="7405" spans="1:11" x14ac:dyDescent="0.35">
      <c r="A7405" s="9" t="str">
        <f>HYPERLINK("http://www.ensembl.org/id/WBGene00195816", "WBGene00195816")</f>
        <v>WBGene00195816</v>
      </c>
      <c r="B7405" s="9"/>
      <c r="C7405" s="9"/>
      <c r="D7405" t="str">
        <f>"C34B4.9"</f>
        <v>C34B4.9</v>
      </c>
      <c r="F7405" t="s">
        <v>481</v>
      </c>
      <c r="H7405" s="12">
        <v>-2.53407309060744</v>
      </c>
      <c r="I7405" s="20">
        <v>-0.94360679493310595</v>
      </c>
      <c r="J7405" s="28">
        <v>0.34537061864818402</v>
      </c>
      <c r="K7405" s="29">
        <v>0.98289565623980701</v>
      </c>
    </row>
    <row r="7406" spans="1:11" x14ac:dyDescent="0.35">
      <c r="A7406" s="9" t="str">
        <f>HYPERLINK("http://www.ensembl.org/id/WBGene00007912", "WBGene00007912")</f>
        <v>WBGene00007912</v>
      </c>
      <c r="B7406" s="9" t="str">
        <f>HYPERLINK("http://www.ncbi.nlm.nih.gov/gene/172620", "172620")</f>
        <v>172620</v>
      </c>
      <c r="C7406" s="9"/>
      <c r="D7406" t="str">
        <f>"C34B7.2"</f>
        <v>C34B7.2</v>
      </c>
      <c r="F7406" t="s">
        <v>11</v>
      </c>
      <c r="G7406" t="s">
        <v>7544</v>
      </c>
      <c r="H7406" s="12">
        <v>-1.13191428704925</v>
      </c>
      <c r="I7406" s="20">
        <v>-0.62368826564274804</v>
      </c>
      <c r="J7406" s="28">
        <v>0.53283233088687998</v>
      </c>
      <c r="K7406" s="29">
        <v>0.98289565623980701</v>
      </c>
    </row>
    <row r="7407" spans="1:11" x14ac:dyDescent="0.35">
      <c r="A7407" s="9" t="str">
        <f>HYPERLINK("http://www.ensembl.org/id/WBGene00007920", "WBGene00007920")</f>
        <v>WBGene00007920</v>
      </c>
      <c r="B7407" s="9" t="str">
        <f>HYPERLINK("http://www.ncbi.nlm.nih.gov/gene/183198", "183198")</f>
        <v>183198</v>
      </c>
      <c r="C7407" s="9"/>
      <c r="D7407" t="str">
        <f>"C34C12.1"</f>
        <v>C34C12.1</v>
      </c>
      <c r="F7407" t="s">
        <v>11</v>
      </c>
      <c r="H7407" s="12">
        <v>5.4058944669092801</v>
      </c>
      <c r="I7407" s="20">
        <v>0.49762513753689303</v>
      </c>
      <c r="J7407" s="28">
        <v>0.61874828254921799</v>
      </c>
      <c r="K7407" s="29">
        <v>0.98289565623980701</v>
      </c>
    </row>
    <row r="7408" spans="1:11" x14ac:dyDescent="0.35">
      <c r="A7408" s="9" t="str">
        <f>HYPERLINK("http://www.ensembl.org/id/WBGene00219295", "WBGene00219295")</f>
        <v>WBGene00219295</v>
      </c>
      <c r="B7408" s="9" t="str">
        <f>HYPERLINK("http://www.ncbi.nlm.nih.gov/gene/13188942", "13188942")</f>
        <v>13188942</v>
      </c>
      <c r="C7408" s="9"/>
      <c r="D7408" t="str">
        <f>"C34C12.12"</f>
        <v>C34C12.12</v>
      </c>
      <c r="F7408" t="s">
        <v>11</v>
      </c>
      <c r="H7408" s="12">
        <v>1.4964231731222699</v>
      </c>
      <c r="I7408" s="20">
        <v>0.34271077734377697</v>
      </c>
      <c r="J7408" s="28">
        <v>0.73181605407314398</v>
      </c>
      <c r="K7408" s="29">
        <v>0.98289565623980701</v>
      </c>
    </row>
    <row r="7409" spans="1:11" x14ac:dyDescent="0.35">
      <c r="A7409" s="9" t="str">
        <f>HYPERLINK("http://www.ensembl.org/id/WBGene00007921", "WBGene00007921")</f>
        <v>WBGene00007921</v>
      </c>
      <c r="B7409" s="9" t="str">
        <f>HYPERLINK("http://www.ncbi.nlm.nih.gov/gene/175448", "175448")</f>
        <v>175448</v>
      </c>
      <c r="C7409" s="9"/>
      <c r="D7409" t="str">
        <f>"C34C12.2"</f>
        <v>C34C12.2</v>
      </c>
      <c r="F7409" t="s">
        <v>11</v>
      </c>
      <c r="H7409" s="12">
        <v>-1.2573329342777</v>
      </c>
      <c r="I7409" s="20">
        <v>-1.0458588264587501</v>
      </c>
      <c r="J7409" s="28">
        <v>0.29562621641366998</v>
      </c>
      <c r="K7409" s="29">
        <v>0.98289565623980701</v>
      </c>
    </row>
    <row r="7410" spans="1:11" x14ac:dyDescent="0.35">
      <c r="A7410" s="9" t="str">
        <f>HYPERLINK("http://www.ensembl.org/id/WBGene00007923", "WBGene00007923")</f>
        <v>WBGene00007923</v>
      </c>
      <c r="B7410" s="9" t="str">
        <f>HYPERLINK("http://www.ncbi.nlm.nih.gov/gene/183200", "183200")</f>
        <v>183200</v>
      </c>
      <c r="C7410" s="9"/>
      <c r="D7410" t="str">
        <f>"C34C12.4"</f>
        <v>C34C12.4</v>
      </c>
      <c r="F7410" t="s">
        <v>11</v>
      </c>
      <c r="G7410" t="s">
        <v>2783</v>
      </c>
      <c r="H7410" s="12">
        <v>-1.2618368808939</v>
      </c>
      <c r="I7410" s="20">
        <v>-1.19418117496913</v>
      </c>
      <c r="J7410" s="28">
        <v>0.23240710524519001</v>
      </c>
      <c r="K7410" s="29">
        <v>0.98289565623980701</v>
      </c>
    </row>
    <row r="7411" spans="1:11" x14ac:dyDescent="0.35">
      <c r="A7411" s="9" t="str">
        <f>HYPERLINK("http://www.ensembl.org/id/WBGene00007928", "WBGene00007928")</f>
        <v>WBGene00007928</v>
      </c>
      <c r="B7411" s="9" t="str">
        <f>HYPERLINK("http://www.ncbi.nlm.nih.gov/gene/3565744", "3565744")</f>
        <v>3565744</v>
      </c>
      <c r="C7411" s="9"/>
      <c r="D7411" t="str">
        <f>"C34C12.9"</f>
        <v>C34C12.9</v>
      </c>
      <c r="F7411" t="s">
        <v>11</v>
      </c>
      <c r="H7411" s="12">
        <v>-1.20634832481329</v>
      </c>
      <c r="I7411" s="20">
        <v>-0.58055987255633501</v>
      </c>
      <c r="J7411" s="28">
        <v>0.56153712351710305</v>
      </c>
      <c r="K7411" s="29">
        <v>0.98289565623980701</v>
      </c>
    </row>
    <row r="7412" spans="1:11" x14ac:dyDescent="0.35">
      <c r="A7412" s="9" t="str">
        <f>HYPERLINK("http://www.ensembl.org/id/WBGene00206355", "WBGene00206355")</f>
        <v>WBGene00206355</v>
      </c>
      <c r="B7412" s="9" t="str">
        <f>HYPERLINK("http://www.ncbi.nlm.nih.gov/gene/13186205", "13186205")</f>
        <v>13186205</v>
      </c>
      <c r="C7412" s="9"/>
      <c r="D7412" t="str">
        <f>"C34C6.10"</f>
        <v>C34C6.10</v>
      </c>
      <c r="F7412" t="s">
        <v>11</v>
      </c>
      <c r="H7412" s="12">
        <v>1.4682761519088201</v>
      </c>
      <c r="I7412" s="20">
        <v>0.32624145296470702</v>
      </c>
      <c r="J7412" s="28">
        <v>0.74424168061208196</v>
      </c>
      <c r="K7412" s="29">
        <v>0.98289565623980701</v>
      </c>
    </row>
    <row r="7413" spans="1:11" x14ac:dyDescent="0.35">
      <c r="A7413" s="9" t="str">
        <f>HYPERLINK("http://www.ensembl.org/id/WBGene00007916", "WBGene00007916")</f>
        <v>WBGene00007916</v>
      </c>
      <c r="B7413" s="9" t="str">
        <f>HYPERLINK("http://www.ncbi.nlm.nih.gov/gene/183196", "183196")</f>
        <v>183196</v>
      </c>
      <c r="C7413" s="9"/>
      <c r="D7413" t="str">
        <f>"C34C6.3"</f>
        <v>C34C6.3</v>
      </c>
      <c r="F7413" t="s">
        <v>11</v>
      </c>
      <c r="H7413" s="12">
        <v>1.24481816084835</v>
      </c>
      <c r="I7413" s="20">
        <v>0.78073858631926396</v>
      </c>
      <c r="J7413" s="28">
        <v>0.43495626107563201</v>
      </c>
      <c r="K7413" s="29">
        <v>0.98289565623980701</v>
      </c>
    </row>
    <row r="7414" spans="1:11" x14ac:dyDescent="0.35">
      <c r="A7414" s="9" t="str">
        <f>HYPERLINK("http://www.ensembl.org/id/WBGene00198705", "WBGene00198705")</f>
        <v>WBGene00198705</v>
      </c>
      <c r="B7414" s="9"/>
      <c r="C7414" s="9"/>
      <c r="D7414" t="str">
        <f>"C34D1.11"</f>
        <v>C34D1.11</v>
      </c>
      <c r="F7414" t="s">
        <v>481</v>
      </c>
      <c r="H7414" s="12">
        <v>-4.5114499031905204</v>
      </c>
      <c r="I7414" s="20">
        <v>-0.44198655555625299</v>
      </c>
      <c r="J7414" s="28">
        <v>0.65849893477547905</v>
      </c>
      <c r="K7414" s="29">
        <v>0.98289565623980701</v>
      </c>
    </row>
    <row r="7415" spans="1:11" x14ac:dyDescent="0.35">
      <c r="A7415" s="9" t="str">
        <f>HYPERLINK("http://www.ensembl.org/id/WBGene00199995", "WBGene00199995")</f>
        <v>WBGene00199995</v>
      </c>
      <c r="B7415" s="9"/>
      <c r="C7415" s="9"/>
      <c r="D7415" t="str">
        <f>"C34D1.12"</f>
        <v>C34D1.12</v>
      </c>
      <c r="F7415" t="s">
        <v>481</v>
      </c>
      <c r="H7415" s="12">
        <v>-2.4295389261469</v>
      </c>
      <c r="I7415" s="20">
        <v>-0.25808529976640998</v>
      </c>
      <c r="J7415" s="28">
        <v>0.79634107645457397</v>
      </c>
      <c r="K7415" s="29">
        <v>0.98289565623980701</v>
      </c>
    </row>
    <row r="7416" spans="1:11" x14ac:dyDescent="0.35">
      <c r="A7416" s="9" t="str">
        <f>HYPERLINK("http://www.ensembl.org/id/WBGene00195658", "WBGene00195658")</f>
        <v>WBGene00195658</v>
      </c>
      <c r="B7416" s="9"/>
      <c r="C7416" s="9"/>
      <c r="D7416" t="str">
        <f>"C34D1.6"</f>
        <v>C34D1.6</v>
      </c>
      <c r="F7416" t="s">
        <v>481</v>
      </c>
      <c r="H7416" s="12">
        <v>2.3444892507898301</v>
      </c>
      <c r="I7416" s="20">
        <v>0.253126732237689</v>
      </c>
      <c r="J7416" s="28">
        <v>0.80017028205419904</v>
      </c>
      <c r="K7416" s="29">
        <v>0.98289565623980701</v>
      </c>
    </row>
    <row r="7417" spans="1:11" x14ac:dyDescent="0.35">
      <c r="A7417" s="9" t="str">
        <f>HYPERLINK("http://www.ensembl.org/id/WBGene00197159", "WBGene00197159")</f>
        <v>WBGene00197159</v>
      </c>
      <c r="B7417" s="9"/>
      <c r="C7417" s="9"/>
      <c r="D7417" t="str">
        <f>"C34D1.8"</f>
        <v>C34D1.8</v>
      </c>
      <c r="F7417" t="s">
        <v>481</v>
      </c>
      <c r="H7417" s="12">
        <v>2.43628531154256</v>
      </c>
      <c r="I7417" s="20">
        <v>0.26397437090349102</v>
      </c>
      <c r="J7417" s="28">
        <v>0.79179966754305298</v>
      </c>
      <c r="K7417" s="29">
        <v>0.98289565623980701</v>
      </c>
    </row>
    <row r="7418" spans="1:11" x14ac:dyDescent="0.35">
      <c r="A7418" s="9" t="str">
        <f>HYPERLINK("http://www.ensembl.org/id/WBGene00016407", "WBGene00016407")</f>
        <v>WBGene00016407</v>
      </c>
      <c r="B7418" s="9" t="str">
        <f>HYPERLINK("http://www.ncbi.nlm.nih.gov/gene/181059", "181059")</f>
        <v>181059</v>
      </c>
      <c r="C7418" s="9"/>
      <c r="D7418" t="str">
        <f>"C34D10.2"</f>
        <v>C34D10.2</v>
      </c>
      <c r="F7418" t="s">
        <v>11</v>
      </c>
      <c r="G7418" t="s">
        <v>7803</v>
      </c>
      <c r="H7418" s="12">
        <v>-1.1456169041730999</v>
      </c>
      <c r="I7418" s="20">
        <v>-0.75276130923017404</v>
      </c>
      <c r="J7418" s="28">
        <v>0.45159336062477001</v>
      </c>
      <c r="K7418" s="29">
        <v>0.98289565623980701</v>
      </c>
    </row>
    <row r="7419" spans="1:11" x14ac:dyDescent="0.35">
      <c r="A7419" s="9" t="str">
        <f>HYPERLINK("http://www.ensembl.org/id/WBGene00196645", "WBGene00196645")</f>
        <v>WBGene00196645</v>
      </c>
      <c r="B7419" s="9"/>
      <c r="C7419" s="9"/>
      <c r="D7419" t="str">
        <f>"C34D10.3"</f>
        <v>C34D10.3</v>
      </c>
      <c r="F7419" t="s">
        <v>481</v>
      </c>
      <c r="H7419" s="12">
        <v>1.8167871176013599</v>
      </c>
      <c r="I7419" s="20">
        <v>0.47844375979335901</v>
      </c>
      <c r="J7419" s="28">
        <v>0.63233439402774405</v>
      </c>
      <c r="K7419" s="29">
        <v>0.98289565623980701</v>
      </c>
    </row>
    <row r="7420" spans="1:11" x14ac:dyDescent="0.35">
      <c r="A7420" s="9" t="str">
        <f>HYPERLINK("http://www.ensembl.org/id/WBGene00201065", "WBGene00201065")</f>
        <v>WBGene00201065</v>
      </c>
      <c r="B7420" s="9"/>
      <c r="C7420" s="9"/>
      <c r="D7420" t="str">
        <f>"C34D10.4"</f>
        <v>C34D10.4</v>
      </c>
      <c r="F7420" t="s">
        <v>481</v>
      </c>
      <c r="H7420" s="12">
        <v>3.5160093597612598</v>
      </c>
      <c r="I7420" s="20">
        <v>0.51737969103749204</v>
      </c>
      <c r="J7420" s="28">
        <v>0.60489113390952498</v>
      </c>
      <c r="K7420" s="29">
        <v>0.98289565623980701</v>
      </c>
    </row>
    <row r="7421" spans="1:11" x14ac:dyDescent="0.35">
      <c r="A7421" s="9" t="str">
        <f>HYPERLINK("http://www.ensembl.org/id/WBGene00016398", "WBGene00016398")</f>
        <v>WBGene00016398</v>
      </c>
      <c r="B7421" s="9" t="str">
        <f>HYPERLINK("http://www.ncbi.nlm.nih.gov/gene/177489", "177489")</f>
        <v>177489</v>
      </c>
      <c r="C7421" s="9"/>
      <c r="D7421" t="str">
        <f>"C34D4.2"</f>
        <v>C34D4.2</v>
      </c>
      <c r="E7421" t="s">
        <v>2496</v>
      </c>
      <c r="F7421" t="s">
        <v>11</v>
      </c>
      <c r="G7421" t="s">
        <v>2497</v>
      </c>
      <c r="H7421" s="12">
        <v>1.7992824948500701</v>
      </c>
      <c r="I7421" s="20">
        <v>0.54139205633572696</v>
      </c>
      <c r="J7421" s="28">
        <v>0.58823738130930403</v>
      </c>
      <c r="K7421" s="29">
        <v>0.98289565623980701</v>
      </c>
    </row>
    <row r="7422" spans="1:11" x14ac:dyDescent="0.35">
      <c r="A7422" s="9" t="str">
        <f>HYPERLINK("http://www.ensembl.org/id/WBGene00016400", "WBGene00016400")</f>
        <v>WBGene00016400</v>
      </c>
      <c r="B7422" s="9" t="str">
        <f>HYPERLINK("http://www.ncbi.nlm.nih.gov/gene/183205", "183205")</f>
        <v>183205</v>
      </c>
      <c r="C7422" s="9" t="str">
        <f>HYPERLINK("http://www.ncbi.nlm.nih.gov/gene/51030", "51030")</f>
        <v>51030</v>
      </c>
      <c r="D7422" t="str">
        <f>"C34D4.4"</f>
        <v>C34D4.4</v>
      </c>
      <c r="E7422" t="s">
        <v>6982</v>
      </c>
      <c r="F7422" t="s">
        <v>11</v>
      </c>
      <c r="G7422" t="s">
        <v>6983</v>
      </c>
      <c r="H7422" s="12">
        <v>-1.1008158231390599</v>
      </c>
      <c r="I7422" s="20">
        <v>-0.49656050249435402</v>
      </c>
      <c r="J7422" s="28">
        <v>0.61949901198302704</v>
      </c>
      <c r="K7422" s="29">
        <v>0.98289565623980701</v>
      </c>
    </row>
    <row r="7423" spans="1:11" x14ac:dyDescent="0.35">
      <c r="A7423" s="9" t="str">
        <f>HYPERLINK("http://www.ensembl.org/id/WBGene00016410", "WBGene00016410")</f>
        <v>WBGene00016410</v>
      </c>
      <c r="B7423" s="9" t="str">
        <f>HYPERLINK("http://www.ncbi.nlm.nih.gov/gene/183213", "183213")</f>
        <v>183213</v>
      </c>
      <c r="C7423" s="9"/>
      <c r="D7423" t="str">
        <f>"C34E10.9"</f>
        <v>C34E10.9</v>
      </c>
      <c r="F7423" t="s">
        <v>11</v>
      </c>
      <c r="H7423" s="12">
        <v>-6.6271668319978403</v>
      </c>
      <c r="I7423" s="20">
        <v>-0.84801151513284301</v>
      </c>
      <c r="J7423" s="28">
        <v>0.39643155781767903</v>
      </c>
      <c r="K7423" s="29">
        <v>0.98289565623980701</v>
      </c>
    </row>
    <row r="7424" spans="1:11" x14ac:dyDescent="0.35">
      <c r="A7424" s="9" t="str">
        <f>HYPERLINK("http://www.ensembl.org/id/WBGene00199820", "WBGene00199820")</f>
        <v>WBGene00199820</v>
      </c>
      <c r="B7424" s="9"/>
      <c r="C7424" s="9"/>
      <c r="D7424" t="str">
        <f>"C34E11.15"</f>
        <v>C34E11.15</v>
      </c>
      <c r="F7424" t="s">
        <v>481</v>
      </c>
      <c r="H7424" s="12">
        <v>3.5227018545059199</v>
      </c>
      <c r="I7424" s="20">
        <v>0.36849691206929103</v>
      </c>
      <c r="J7424" s="28">
        <v>0.71250274722433404</v>
      </c>
      <c r="K7424" s="29">
        <v>0.98289565623980701</v>
      </c>
    </row>
    <row r="7425" spans="1:11" x14ac:dyDescent="0.35">
      <c r="A7425" s="9" t="str">
        <f>HYPERLINK("http://www.ensembl.org/id/WBGene00219847", "WBGene00219847")</f>
        <v>WBGene00219847</v>
      </c>
      <c r="B7425" s="9"/>
      <c r="C7425" s="9"/>
      <c r="D7425" t="str">
        <f>"C34E11.20"</f>
        <v>C34E11.20</v>
      </c>
      <c r="F7425" t="s">
        <v>2977</v>
      </c>
      <c r="H7425" s="12">
        <v>1.98766028945159</v>
      </c>
      <c r="I7425" s="20">
        <v>0.55342289211455298</v>
      </c>
      <c r="J7425" s="28">
        <v>0.57997386703185105</v>
      </c>
      <c r="K7425" s="29">
        <v>0.98289565623980701</v>
      </c>
    </row>
    <row r="7426" spans="1:11" x14ac:dyDescent="0.35">
      <c r="A7426" s="9" t="str">
        <f>HYPERLINK("http://www.ensembl.org/id/WBGene00195666", "WBGene00195666")</f>
        <v>WBGene00195666</v>
      </c>
      <c r="B7426" s="9"/>
      <c r="C7426" s="9"/>
      <c r="D7426" t="str">
        <f>"C34E11.9"</f>
        <v>C34E11.9</v>
      </c>
      <c r="F7426" t="s">
        <v>481</v>
      </c>
      <c r="H7426" s="12">
        <v>1.34501808134485</v>
      </c>
      <c r="I7426" s="20">
        <v>0.43284792359783197</v>
      </c>
      <c r="J7426" s="28">
        <v>0.66512525486344898</v>
      </c>
      <c r="K7426" s="29">
        <v>0.98289565623980701</v>
      </c>
    </row>
    <row r="7427" spans="1:11" x14ac:dyDescent="0.35">
      <c r="A7427" s="9" t="str">
        <f>HYPERLINK("http://www.ensembl.org/id/WBGene00007933", "WBGene00007933")</f>
        <v>WBGene00007933</v>
      </c>
      <c r="B7427" s="9" t="str">
        <f>HYPERLINK("http://www.ncbi.nlm.nih.gov/gene/183211", "183211")</f>
        <v>183211</v>
      </c>
      <c r="C7427" s="9"/>
      <c r="D7427" t="str">
        <f>"C34E7.3"</f>
        <v>C34E7.3</v>
      </c>
      <c r="F7427" t="s">
        <v>11</v>
      </c>
      <c r="H7427" s="12">
        <v>1.23697688854015</v>
      </c>
      <c r="I7427" s="20">
        <v>0.62072623013086503</v>
      </c>
      <c r="J7427" s="28">
        <v>0.53477976798329496</v>
      </c>
      <c r="K7427" s="29">
        <v>0.98289565623980701</v>
      </c>
    </row>
    <row r="7428" spans="1:11" x14ac:dyDescent="0.35">
      <c r="A7428" s="9" t="str">
        <f>HYPERLINK("http://www.ensembl.org/id/WBGene00016413", "WBGene00016413")</f>
        <v>WBGene00016413</v>
      </c>
      <c r="B7428" s="9" t="str">
        <f>HYPERLINK("http://www.ncbi.nlm.nih.gov/gene/173893", "173893")</f>
        <v>173893</v>
      </c>
      <c r="C7428" s="9"/>
      <c r="D7428" t="str">
        <f>"C34F11.1"</f>
        <v>C34F11.1</v>
      </c>
      <c r="F7428" t="s">
        <v>11</v>
      </c>
      <c r="G7428" t="s">
        <v>51</v>
      </c>
      <c r="H7428" s="12">
        <v>6.0190510472095697</v>
      </c>
      <c r="I7428" s="20">
        <v>1.0552353077185399</v>
      </c>
      <c r="J7428" s="28">
        <v>0.29131771985324201</v>
      </c>
      <c r="K7428" s="29">
        <v>0.98289565623980701</v>
      </c>
    </row>
    <row r="7429" spans="1:11" x14ac:dyDescent="0.35">
      <c r="A7429" s="9" t="str">
        <f>HYPERLINK("http://www.ensembl.org/id/WBGene00201571", "WBGene00201571")</f>
        <v>WBGene00201571</v>
      </c>
      <c r="B7429" s="9"/>
      <c r="C7429" s="9"/>
      <c r="D7429" t="str">
        <f>"C34F11.18"</f>
        <v>C34F11.18</v>
      </c>
      <c r="F7429" t="s">
        <v>481</v>
      </c>
      <c r="H7429" s="12">
        <v>-2.3700125250522901</v>
      </c>
      <c r="I7429" s="20">
        <v>-0.29053697296179998</v>
      </c>
      <c r="J7429" s="28">
        <v>0.77140546964177203</v>
      </c>
      <c r="K7429" s="29">
        <v>0.98289565623980701</v>
      </c>
    </row>
    <row r="7430" spans="1:11" x14ac:dyDescent="0.35">
      <c r="A7430" s="9" t="str">
        <f>HYPERLINK("http://www.ensembl.org/id/WBGene00016414", "WBGene00016414")</f>
        <v>WBGene00016414</v>
      </c>
      <c r="B7430" s="9" t="str">
        <f>HYPERLINK("http://www.ncbi.nlm.nih.gov/gene/183217", "183217")</f>
        <v>183217</v>
      </c>
      <c r="C7430" s="9"/>
      <c r="D7430" t="str">
        <f>"C34F11.2"</f>
        <v>C34F11.2</v>
      </c>
      <c r="F7430" t="s">
        <v>11</v>
      </c>
      <c r="H7430" s="12">
        <v>-1.3828098866573499</v>
      </c>
      <c r="I7430" s="20">
        <v>-0.30583516202166899</v>
      </c>
      <c r="J7430" s="28">
        <v>0.75973015495765095</v>
      </c>
      <c r="K7430" s="29">
        <v>0.98289565623980701</v>
      </c>
    </row>
    <row r="7431" spans="1:11" x14ac:dyDescent="0.35">
      <c r="A7431" s="9" t="str">
        <f>HYPERLINK("http://www.ensembl.org/id/WBGene00007945", "WBGene00007945")</f>
        <v>WBGene00007945</v>
      </c>
      <c r="B7431" s="9" t="str">
        <f>HYPERLINK("http://www.ncbi.nlm.nih.gov/gene/3565284", "3565284")</f>
        <v>3565284</v>
      </c>
      <c r="C7431" s="9"/>
      <c r="D7431" t="str">
        <f>"C34F6.11"</f>
        <v>C34F6.11</v>
      </c>
      <c r="F7431" t="s">
        <v>11</v>
      </c>
      <c r="G7431" t="s">
        <v>25</v>
      </c>
      <c r="H7431" s="12">
        <v>-1.1578422156841199</v>
      </c>
      <c r="I7431" s="20">
        <v>-0.50237933485164199</v>
      </c>
      <c r="J7431" s="28">
        <v>0.61540071259436602</v>
      </c>
      <c r="K7431" s="29">
        <v>0.98289565623980701</v>
      </c>
    </row>
    <row r="7432" spans="1:11" x14ac:dyDescent="0.35">
      <c r="A7432" s="9" t="str">
        <f>HYPERLINK("http://www.ensembl.org/id/WBGene00195211", "WBGene00195211")</f>
        <v>WBGene00195211</v>
      </c>
      <c r="B7432" s="9" t="str">
        <f>HYPERLINK("http://www.ncbi.nlm.nih.gov/gene/13222775", "13222775")</f>
        <v>13222775</v>
      </c>
      <c r="C7432" s="9"/>
      <c r="D7432" t="str">
        <f>"C34F6.12"</f>
        <v>C34F6.12</v>
      </c>
      <c r="F7432" t="s">
        <v>11</v>
      </c>
      <c r="G7432" t="s">
        <v>25</v>
      </c>
      <c r="H7432" s="12">
        <v>-1.7257150312988401</v>
      </c>
      <c r="I7432" s="20">
        <v>-0.33504551148643502</v>
      </c>
      <c r="J7432" s="28">
        <v>0.73759075506201699</v>
      </c>
      <c r="K7432" s="29">
        <v>0.98289565623980701</v>
      </c>
    </row>
    <row r="7433" spans="1:11" x14ac:dyDescent="0.35">
      <c r="A7433" s="9" t="str">
        <f>HYPERLINK("http://www.ensembl.org/id/WBGene00196065", "WBGene00196065")</f>
        <v>WBGene00196065</v>
      </c>
      <c r="B7433" s="9"/>
      <c r="C7433" s="9"/>
      <c r="D7433" t="str">
        <f>"C34F6.14"</f>
        <v>C34F6.14</v>
      </c>
      <c r="F7433" t="s">
        <v>481</v>
      </c>
      <c r="H7433" s="12">
        <v>2.4578120077400301</v>
      </c>
      <c r="I7433" s="20">
        <v>0.26093350314551</v>
      </c>
      <c r="J7433" s="28">
        <v>0.79414378780213601</v>
      </c>
      <c r="K7433" s="29">
        <v>0.98289565623980701</v>
      </c>
    </row>
    <row r="7434" spans="1:11" x14ac:dyDescent="0.35">
      <c r="A7434" s="9" t="str">
        <f>HYPERLINK("http://www.ensembl.org/id/WBGene00219848", "WBGene00219848")</f>
        <v>WBGene00219848</v>
      </c>
      <c r="B7434" s="9"/>
      <c r="C7434" s="9"/>
      <c r="D7434" t="str">
        <f>"C34F6.18"</f>
        <v>C34F6.18</v>
      </c>
      <c r="F7434" t="s">
        <v>481</v>
      </c>
      <c r="H7434" s="12">
        <v>3.5227018545059199</v>
      </c>
      <c r="I7434" s="20">
        <v>0.36849691206929103</v>
      </c>
      <c r="J7434" s="28">
        <v>0.71250274722433404</v>
      </c>
      <c r="K7434" s="29">
        <v>0.98289565623980701</v>
      </c>
    </row>
    <row r="7435" spans="1:11" x14ac:dyDescent="0.35">
      <c r="A7435" s="9" t="str">
        <f>HYPERLINK("http://www.ensembl.org/id/WBGene00007939", "WBGene00007939")</f>
        <v>WBGene00007939</v>
      </c>
      <c r="B7435" s="9" t="str">
        <f>HYPERLINK("http://www.ncbi.nlm.nih.gov/gene/183215", "183215")</f>
        <v>183215</v>
      </c>
      <c r="C7435" s="9"/>
      <c r="D7435" t="str">
        <f>"C34F6.5"</f>
        <v>C34F6.5</v>
      </c>
      <c r="F7435" t="s">
        <v>11</v>
      </c>
      <c r="H7435" s="12">
        <v>-1.07939931905696</v>
      </c>
      <c r="I7435" s="20">
        <v>-0.35925913662168402</v>
      </c>
      <c r="J7435" s="28">
        <v>0.719401240751807</v>
      </c>
      <c r="K7435" s="29">
        <v>0.98289565623980701</v>
      </c>
    </row>
    <row r="7436" spans="1:11" x14ac:dyDescent="0.35">
      <c r="A7436" s="9" t="str">
        <f>HYPERLINK("http://www.ensembl.org/id/WBGene00007943", "WBGene00007943")</f>
        <v>WBGene00007943</v>
      </c>
      <c r="B7436" s="9" t="str">
        <f>HYPERLINK("http://www.ncbi.nlm.nih.gov/gene/181312", "181312")</f>
        <v>181312</v>
      </c>
      <c r="C7436" s="9"/>
      <c r="D7436" t="str">
        <f>"C34F6.9"</f>
        <v>C34F6.9</v>
      </c>
      <c r="F7436" t="s">
        <v>11</v>
      </c>
      <c r="G7436" t="s">
        <v>5712</v>
      </c>
      <c r="H7436" s="12">
        <v>1.1174687100364</v>
      </c>
      <c r="I7436" s="20">
        <v>0.49326569011393301</v>
      </c>
      <c r="J7436" s="28">
        <v>0.62182486775438095</v>
      </c>
      <c r="K7436" s="29">
        <v>0.98289565623980701</v>
      </c>
    </row>
    <row r="7437" spans="1:11" x14ac:dyDescent="0.35">
      <c r="A7437" s="9" t="str">
        <f>HYPERLINK("http://www.ensembl.org/id/WBGene00016420", "WBGene00016420")</f>
        <v>WBGene00016420</v>
      </c>
      <c r="B7437" s="9" t="str">
        <f>HYPERLINK("http://www.ncbi.nlm.nih.gov/gene/183218", "183218")</f>
        <v>183218</v>
      </c>
      <c r="C7437" s="9"/>
      <c r="D7437" t="str">
        <f>"C34G6.3"</f>
        <v>C34G6.3</v>
      </c>
      <c r="F7437" t="s">
        <v>11</v>
      </c>
      <c r="H7437" s="12">
        <v>-1.8020581234103501</v>
      </c>
      <c r="I7437" s="20">
        <v>-0.48497825442771397</v>
      </c>
      <c r="J7437" s="28">
        <v>0.627691770853401</v>
      </c>
      <c r="K7437" s="29">
        <v>0.98289565623980701</v>
      </c>
    </row>
    <row r="7438" spans="1:11" x14ac:dyDescent="0.35">
      <c r="A7438" s="9" t="str">
        <f>HYPERLINK("http://www.ensembl.org/id/WBGene00197118", "WBGene00197118")</f>
        <v>WBGene00197118</v>
      </c>
      <c r="B7438" s="9"/>
      <c r="C7438" s="9"/>
      <c r="D7438" t="str">
        <f>"C34H3.10"</f>
        <v>C34H3.10</v>
      </c>
      <c r="F7438" t="s">
        <v>481</v>
      </c>
      <c r="H7438" s="12">
        <v>2.4578120077400301</v>
      </c>
      <c r="I7438" s="20">
        <v>0.26093350314551</v>
      </c>
      <c r="J7438" s="28">
        <v>0.79414378780213601</v>
      </c>
      <c r="K7438" s="29">
        <v>0.98289565623980701</v>
      </c>
    </row>
    <row r="7439" spans="1:11" x14ac:dyDescent="0.35">
      <c r="A7439" s="9" t="str">
        <f>HYPERLINK("http://www.ensembl.org/id/WBGene00198717", "WBGene00198717")</f>
        <v>WBGene00198717</v>
      </c>
      <c r="B7439" s="9"/>
      <c r="C7439" s="9"/>
      <c r="D7439" t="str">
        <f>"C34H3.15"</f>
        <v>C34H3.15</v>
      </c>
      <c r="F7439" t="s">
        <v>481</v>
      </c>
      <c r="H7439" s="12">
        <v>3.5227018545059199</v>
      </c>
      <c r="I7439" s="20">
        <v>0.36849691206929103</v>
      </c>
      <c r="J7439" s="28">
        <v>0.71250274722433404</v>
      </c>
      <c r="K7439" s="29">
        <v>0.98289565623980701</v>
      </c>
    </row>
    <row r="7440" spans="1:11" x14ac:dyDescent="0.35">
      <c r="A7440" s="9" t="str">
        <f>HYPERLINK("http://www.ensembl.org/id/WBGene00199231", "WBGene00199231")</f>
        <v>WBGene00199231</v>
      </c>
      <c r="B7440" s="9"/>
      <c r="C7440" s="9"/>
      <c r="D7440" t="str">
        <f>"C34H3.16"</f>
        <v>C34H3.16</v>
      </c>
      <c r="F7440" t="s">
        <v>481</v>
      </c>
      <c r="H7440" s="12">
        <v>5.2322000618327396</v>
      </c>
      <c r="I7440" s="20">
        <v>0.486112489888328</v>
      </c>
      <c r="J7440" s="28">
        <v>0.62688741196182496</v>
      </c>
      <c r="K7440" s="29">
        <v>0.98289565623980701</v>
      </c>
    </row>
    <row r="7441" spans="1:11" x14ac:dyDescent="0.35">
      <c r="A7441" s="9" t="str">
        <f>HYPERLINK("http://www.ensembl.org/id/WBGene00201756", "WBGene00201756")</f>
        <v>WBGene00201756</v>
      </c>
      <c r="B7441" s="9"/>
      <c r="C7441" s="9"/>
      <c r="D7441" t="str">
        <f>"C34H3.22"</f>
        <v>C34H3.22</v>
      </c>
      <c r="F7441" t="s">
        <v>481</v>
      </c>
      <c r="H7441" s="12">
        <v>4.6387698961716399</v>
      </c>
      <c r="I7441" s="20">
        <v>0.44985450087338802</v>
      </c>
      <c r="J7441" s="28">
        <v>0.65281535672642099</v>
      </c>
      <c r="K7441" s="29">
        <v>0.98289565623980701</v>
      </c>
    </row>
    <row r="7442" spans="1:11" x14ac:dyDescent="0.35">
      <c r="A7442" s="9" t="str">
        <f>HYPERLINK("http://www.ensembl.org/id/WBGene00016427", "WBGene00016427")</f>
        <v>WBGene00016427</v>
      </c>
      <c r="B7442" s="9" t="str">
        <f>HYPERLINK("http://www.ncbi.nlm.nih.gov/gene/176960", "176960")</f>
        <v>176960</v>
      </c>
      <c r="C7442" s="9"/>
      <c r="D7442" t="str">
        <f>"C34H4.5"</f>
        <v>C34H4.5</v>
      </c>
      <c r="F7442" t="s">
        <v>11</v>
      </c>
      <c r="G7442" t="s">
        <v>7573</v>
      </c>
      <c r="H7442" s="12">
        <v>-1.1339532929093701</v>
      </c>
      <c r="I7442" s="20">
        <v>-0.40941949943985601</v>
      </c>
      <c r="J7442" s="28">
        <v>0.68223183212108596</v>
      </c>
      <c r="K7442" s="29">
        <v>0.98289565623980701</v>
      </c>
    </row>
    <row r="7443" spans="1:11" x14ac:dyDescent="0.35">
      <c r="A7443" s="9" t="str">
        <f>HYPERLINK("http://www.ensembl.org/id/WBGene00016430", "WBGene00016430")</f>
        <v>WBGene00016430</v>
      </c>
      <c r="B7443" s="9" t="str">
        <f>HYPERLINK("http://www.ncbi.nlm.nih.gov/gene/183228", "183228")</f>
        <v>183228</v>
      </c>
      <c r="C7443" s="9"/>
      <c r="D7443" t="str">
        <f>"C35A11.3"</f>
        <v>C35A11.3</v>
      </c>
      <c r="F7443" t="s">
        <v>11</v>
      </c>
      <c r="H7443" s="12">
        <v>2.4578120077400301</v>
      </c>
      <c r="I7443" s="20">
        <v>0.26093350314551</v>
      </c>
      <c r="J7443" s="28">
        <v>0.79414378780213601</v>
      </c>
      <c r="K7443" s="29">
        <v>0.98289565623980701</v>
      </c>
    </row>
    <row r="7444" spans="1:11" x14ac:dyDescent="0.35">
      <c r="A7444" s="9" t="str">
        <f>HYPERLINK("http://www.ensembl.org/id/WBGene00016431", "WBGene00016431")</f>
        <v>WBGene00016431</v>
      </c>
      <c r="B7444" s="9" t="str">
        <f>HYPERLINK("http://www.ncbi.nlm.nih.gov/gene/178921", "178921")</f>
        <v>178921</v>
      </c>
      <c r="C7444" s="9"/>
      <c r="D7444" t="str">
        <f>"C35A11.4"</f>
        <v>C35A11.4</v>
      </c>
      <c r="F7444" t="s">
        <v>11</v>
      </c>
      <c r="G7444" t="s">
        <v>230</v>
      </c>
      <c r="H7444" s="12">
        <v>-1.51266566127473</v>
      </c>
      <c r="I7444" s="20">
        <v>-0.69289202763188495</v>
      </c>
      <c r="J7444" s="28">
        <v>0.48837731318987099</v>
      </c>
      <c r="K7444" s="29">
        <v>0.98289565623980701</v>
      </c>
    </row>
    <row r="7445" spans="1:11" x14ac:dyDescent="0.35">
      <c r="A7445" s="9" t="str">
        <f>HYPERLINK("http://www.ensembl.org/id/WBGene00044024", "WBGene00044024")</f>
        <v>WBGene00044024</v>
      </c>
      <c r="B7445" s="9" t="str">
        <f>HYPERLINK("http://www.ncbi.nlm.nih.gov/gene/3565115", "3565115")</f>
        <v>3565115</v>
      </c>
      <c r="C7445" s="9"/>
      <c r="D7445" t="str">
        <f>"C35A5.11"</f>
        <v>C35A5.11</v>
      </c>
      <c r="F7445" t="s">
        <v>11</v>
      </c>
      <c r="H7445" s="12">
        <v>-1.3148413932190099</v>
      </c>
      <c r="I7445" s="20">
        <v>-0.66865505716718299</v>
      </c>
      <c r="J7445" s="28">
        <v>0.50371554279938802</v>
      </c>
      <c r="K7445" s="29">
        <v>0.98289565623980701</v>
      </c>
    </row>
    <row r="7446" spans="1:11" x14ac:dyDescent="0.35">
      <c r="A7446" s="9" t="str">
        <f>HYPERLINK("http://www.ensembl.org/id/WBGene00007948", "WBGene00007948")</f>
        <v>WBGene00007948</v>
      </c>
      <c r="B7446" s="9" t="str">
        <f>HYPERLINK("http://www.ncbi.nlm.nih.gov/gene/183222", "183222")</f>
        <v>183222</v>
      </c>
      <c r="C7446" s="9"/>
      <c r="D7446" t="str">
        <f>"C35A5.4"</f>
        <v>C35A5.4</v>
      </c>
      <c r="E7446" t="s">
        <v>899</v>
      </c>
      <c r="F7446" t="s">
        <v>11</v>
      </c>
      <c r="G7446" t="s">
        <v>3403</v>
      </c>
      <c r="H7446" s="12">
        <v>1.6326134451480401</v>
      </c>
      <c r="I7446" s="20">
        <v>0.32617806908795599</v>
      </c>
      <c r="J7446" s="28">
        <v>0.74428963315162699</v>
      </c>
      <c r="K7446" s="29">
        <v>0.98289565623980701</v>
      </c>
    </row>
    <row r="7447" spans="1:11" x14ac:dyDescent="0.35">
      <c r="A7447" s="9" t="str">
        <f>HYPERLINK("http://www.ensembl.org/id/WBGene00007949", "WBGene00007949")</f>
        <v>WBGene00007949</v>
      </c>
      <c r="B7447" s="9" t="str">
        <f>HYPERLINK("http://www.ncbi.nlm.nih.gov/gene/183223", "183223")</f>
        <v>183223</v>
      </c>
      <c r="C7447" s="9"/>
      <c r="D7447" t="str">
        <f>"C35A5.5"</f>
        <v>C35A5.5</v>
      </c>
      <c r="E7447" t="s">
        <v>4471</v>
      </c>
      <c r="F7447" t="s">
        <v>11</v>
      </c>
      <c r="G7447" t="s">
        <v>1686</v>
      </c>
      <c r="H7447" s="12">
        <v>1.93467573192622</v>
      </c>
      <c r="I7447" s="20">
        <v>1.0211692843662701</v>
      </c>
      <c r="J7447" s="28">
        <v>0.30717424206902399</v>
      </c>
      <c r="K7447" s="29">
        <v>0.98289565623980701</v>
      </c>
    </row>
    <row r="7448" spans="1:11" x14ac:dyDescent="0.35">
      <c r="A7448" s="9" t="str">
        <f>HYPERLINK("http://www.ensembl.org/id/WBGene00007952", "WBGene00007952")</f>
        <v>WBGene00007952</v>
      </c>
      <c r="B7448" s="9" t="str">
        <f>HYPERLINK("http://www.ncbi.nlm.nih.gov/gene/179467", "179467")</f>
        <v>179467</v>
      </c>
      <c r="C7448" s="9" t="str">
        <f>HYPERLINK("http://www.ncbi.nlm.nih.gov/gene/23039", "23039")</f>
        <v>23039</v>
      </c>
      <c r="D7448" t="str">
        <f>"C35A5.8"</f>
        <v>C35A5.8</v>
      </c>
      <c r="F7448" t="s">
        <v>11</v>
      </c>
      <c r="G7448" t="s">
        <v>7894</v>
      </c>
      <c r="H7448" s="12">
        <v>-1.1500808260297899</v>
      </c>
      <c r="I7448" s="20">
        <v>-0.75153802629347999</v>
      </c>
      <c r="J7448" s="28">
        <v>0.45232892459711199</v>
      </c>
      <c r="K7448" s="29">
        <v>0.98289565623980701</v>
      </c>
    </row>
    <row r="7449" spans="1:11" x14ac:dyDescent="0.35">
      <c r="A7449" s="9" t="str">
        <f>HYPERLINK("http://www.ensembl.org/id/WBGene00195006", "WBGene00195006")</f>
        <v>WBGene00195006</v>
      </c>
      <c r="B7449" s="9" t="str">
        <f>HYPERLINK("http://www.ncbi.nlm.nih.gov/gene/13192807", "13192807")</f>
        <v>13192807</v>
      </c>
      <c r="C7449" s="9"/>
      <c r="D7449" t="str">
        <f>"C35B1.9"</f>
        <v>C35B1.9</v>
      </c>
      <c r="F7449" t="s">
        <v>11</v>
      </c>
      <c r="H7449" s="12">
        <v>-1.7496594712484801</v>
      </c>
      <c r="I7449" s="20">
        <v>-0.51095053625268005</v>
      </c>
      <c r="J7449" s="28">
        <v>0.60938569302263201</v>
      </c>
      <c r="K7449" s="29">
        <v>0.98289565623980701</v>
      </c>
    </row>
    <row r="7450" spans="1:11" x14ac:dyDescent="0.35">
      <c r="A7450" s="9" t="str">
        <f>HYPERLINK("http://www.ensembl.org/id/WBGene00016438", "WBGene00016438")</f>
        <v>WBGene00016438</v>
      </c>
      <c r="B7450" s="9" t="str">
        <f>HYPERLINK("http://www.ncbi.nlm.nih.gov/gene/181152", "181152")</f>
        <v>181152</v>
      </c>
      <c r="C7450" s="9" t="str">
        <f>HYPERLINK("http://www.ncbi.nlm.nih.gov/gene/285343", "285343")</f>
        <v>285343</v>
      </c>
      <c r="D7450" t="str">
        <f>"C35B8.3"</f>
        <v>C35B8.3</v>
      </c>
      <c r="F7450" t="s">
        <v>11</v>
      </c>
      <c r="G7450" t="s">
        <v>1865</v>
      </c>
      <c r="H7450" s="12">
        <v>-1.09843279743628</v>
      </c>
      <c r="I7450" s="20">
        <v>-0.46888471984806401</v>
      </c>
      <c r="J7450" s="28">
        <v>0.63915203890362904</v>
      </c>
      <c r="K7450" s="29">
        <v>0.98289565623980701</v>
      </c>
    </row>
    <row r="7451" spans="1:11" x14ac:dyDescent="0.35">
      <c r="A7451" s="9" t="str">
        <f>HYPERLINK("http://www.ensembl.org/id/WBGene00197956", "WBGene00197956")</f>
        <v>WBGene00197956</v>
      </c>
      <c r="B7451" s="9"/>
      <c r="C7451" s="9"/>
      <c r="D7451" t="str">
        <f>"C35C5.16"</f>
        <v>C35C5.16</v>
      </c>
      <c r="F7451" t="s">
        <v>481</v>
      </c>
      <c r="H7451" s="12">
        <v>-2.4295389261469</v>
      </c>
      <c r="I7451" s="20">
        <v>-0.25808529976640998</v>
      </c>
      <c r="J7451" s="28">
        <v>0.79634107645457397</v>
      </c>
      <c r="K7451" s="29">
        <v>0.98289565623980701</v>
      </c>
    </row>
    <row r="7452" spans="1:11" x14ac:dyDescent="0.35">
      <c r="A7452" s="9" t="str">
        <f>HYPERLINK("http://www.ensembl.org/id/WBGene00198722", "WBGene00198722")</f>
        <v>WBGene00198722</v>
      </c>
      <c r="B7452" s="9"/>
      <c r="C7452" s="9"/>
      <c r="D7452" t="str">
        <f>"C35C5.17"</f>
        <v>C35C5.17</v>
      </c>
      <c r="F7452" t="s">
        <v>481</v>
      </c>
      <c r="H7452" s="12">
        <v>2.3893468495514898</v>
      </c>
      <c r="I7452" s="20">
        <v>0.25323547253672701</v>
      </c>
      <c r="J7452" s="28">
        <v>0.80008625651646104</v>
      </c>
      <c r="K7452" s="29">
        <v>0.98289565623980701</v>
      </c>
    </row>
    <row r="7453" spans="1:11" x14ac:dyDescent="0.35">
      <c r="A7453" s="9" t="str">
        <f>HYPERLINK("http://www.ensembl.org/id/WBGene00016439", "WBGene00016439")</f>
        <v>WBGene00016439</v>
      </c>
      <c r="B7453" s="9" t="str">
        <f>HYPERLINK("http://www.ncbi.nlm.nih.gov/gene/175651", "175651")</f>
        <v>175651</v>
      </c>
      <c r="C7453" s="9" t="str">
        <f>HYPERLINK("http://www.ncbi.nlm.nih.gov/gene/56851", "56851")</f>
        <v>56851</v>
      </c>
      <c r="D7453" t="str">
        <f>"C35D10.1"</f>
        <v>C35D10.1</v>
      </c>
      <c r="E7453" t="s">
        <v>7610</v>
      </c>
      <c r="F7453" t="s">
        <v>11</v>
      </c>
      <c r="G7453" t="s">
        <v>7611</v>
      </c>
      <c r="H7453" s="12">
        <v>-1.1357898552919801</v>
      </c>
      <c r="I7453" s="20">
        <v>-0.66947934749203697</v>
      </c>
      <c r="J7453" s="28">
        <v>0.50318975065339</v>
      </c>
      <c r="K7453" s="29">
        <v>0.98289565623980701</v>
      </c>
    </row>
    <row r="7454" spans="1:11" x14ac:dyDescent="0.35">
      <c r="A7454" s="9" t="str">
        <f>HYPERLINK("http://www.ensembl.org/id/WBGene00016441", "WBGene00016441")</f>
        <v>WBGene00016441</v>
      </c>
      <c r="B7454" s="9" t="str">
        <f>HYPERLINK("http://www.ncbi.nlm.nih.gov/gene/183237", "183237")</f>
        <v>183237</v>
      </c>
      <c r="C7454" s="9"/>
      <c r="D7454" t="str">
        <f>"C35D10.3"</f>
        <v>C35D10.3</v>
      </c>
      <c r="F7454" t="s">
        <v>11</v>
      </c>
      <c r="G7454" t="s">
        <v>25</v>
      </c>
      <c r="H7454" s="12">
        <v>-1.7273957528061601</v>
      </c>
      <c r="I7454" s="20">
        <v>-0.25332131589471901</v>
      </c>
      <c r="J7454" s="28">
        <v>0.80001992548118706</v>
      </c>
      <c r="K7454" s="29">
        <v>0.98289565623980701</v>
      </c>
    </row>
    <row r="7455" spans="1:11" x14ac:dyDescent="0.35">
      <c r="A7455" s="9" t="str">
        <f>HYPERLINK("http://www.ensembl.org/id/WBGene00016442", "WBGene00016442")</f>
        <v>WBGene00016442</v>
      </c>
      <c r="B7455" s="9" t="str">
        <f>HYPERLINK("http://www.ncbi.nlm.nih.gov/gene/183238", "183238")</f>
        <v>183238</v>
      </c>
      <c r="C7455" s="9" t="str">
        <f>HYPERLINK("http://www.ncbi.nlm.nih.gov/gene/55245", "55245")</f>
        <v>55245</v>
      </c>
      <c r="D7455" t="str">
        <f>"C35D10.5"</f>
        <v>C35D10.5</v>
      </c>
      <c r="F7455" t="s">
        <v>11</v>
      </c>
      <c r="G7455" t="s">
        <v>9853</v>
      </c>
      <c r="H7455" s="12">
        <v>-1.3309156800231801</v>
      </c>
      <c r="I7455" s="20">
        <v>-1.17881888584047</v>
      </c>
      <c r="J7455" s="28">
        <v>0.23847030240120601</v>
      </c>
      <c r="K7455" s="29">
        <v>0.98289565623980701</v>
      </c>
    </row>
    <row r="7456" spans="1:11" x14ac:dyDescent="0.35">
      <c r="A7456" s="9" t="str">
        <f>HYPERLINK("http://www.ensembl.org/id/WBGene00016443", "WBGene00016443")</f>
        <v>WBGene00016443</v>
      </c>
      <c r="B7456" s="9" t="str">
        <f>HYPERLINK("http://www.ncbi.nlm.nih.gov/gene/175645", "175645")</f>
        <v>175645</v>
      </c>
      <c r="C7456" s="9"/>
      <c r="D7456" t="str">
        <f>"C35D10.6"</f>
        <v>C35D10.6</v>
      </c>
      <c r="F7456" t="s">
        <v>11</v>
      </c>
      <c r="G7456" t="s">
        <v>8565</v>
      </c>
      <c r="H7456" s="12">
        <v>-1.18393206100353</v>
      </c>
      <c r="I7456" s="20">
        <v>-0.83725345359704395</v>
      </c>
      <c r="J7456" s="28">
        <v>0.40245011693265798</v>
      </c>
      <c r="K7456" s="29">
        <v>0.98289565623980701</v>
      </c>
    </row>
    <row r="7457" spans="1:11" x14ac:dyDescent="0.35">
      <c r="A7457" s="9" t="str">
        <f>HYPERLINK("http://www.ensembl.org/id/WBGene00016444", "WBGene00016444")</f>
        <v>WBGene00016444</v>
      </c>
      <c r="B7457" s="9" t="str">
        <f>HYPERLINK("http://www.ncbi.nlm.nih.gov/gene/175644", "175644")</f>
        <v>175644</v>
      </c>
      <c r="C7457" s="9"/>
      <c r="D7457" t="str">
        <f>"C35D10.7"</f>
        <v>C35D10.7</v>
      </c>
      <c r="F7457" t="s">
        <v>11</v>
      </c>
      <c r="H7457" s="12">
        <v>-1.1587114103280001</v>
      </c>
      <c r="I7457" s="20">
        <v>-0.68637390704572898</v>
      </c>
      <c r="J7457" s="28">
        <v>0.49247735423609901</v>
      </c>
      <c r="K7457" s="29">
        <v>0.98289565623980701</v>
      </c>
    </row>
    <row r="7458" spans="1:11" x14ac:dyDescent="0.35">
      <c r="A7458" s="9" t="str">
        <f>HYPERLINK("http://www.ensembl.org/id/WBGene00007960", "WBGene00007960")</f>
        <v>WBGene00007960</v>
      </c>
      <c r="B7458" s="9" t="str">
        <f>HYPERLINK("http://www.ncbi.nlm.nih.gov/gene/183234", "183234")</f>
        <v>183234</v>
      </c>
      <c r="C7458" s="9"/>
      <c r="D7458" t="str">
        <f>"C35D6.3"</f>
        <v>C35D6.3</v>
      </c>
      <c r="F7458" t="s">
        <v>11</v>
      </c>
      <c r="G7458" t="s">
        <v>54</v>
      </c>
      <c r="H7458" s="12">
        <v>2.2474463740853299</v>
      </c>
      <c r="I7458" s="20">
        <v>0.41889359123318998</v>
      </c>
      <c r="J7458" s="28">
        <v>0.675293901002752</v>
      </c>
      <c r="K7458" s="29">
        <v>0.98289565623980701</v>
      </c>
    </row>
    <row r="7459" spans="1:11" x14ac:dyDescent="0.35">
      <c r="A7459" s="9" t="str">
        <f>HYPERLINK("http://www.ensembl.org/id/WBGene00007961", "WBGene00007961")</f>
        <v>WBGene00007961</v>
      </c>
      <c r="B7459" s="9" t="str">
        <f>HYPERLINK("http://www.ncbi.nlm.nih.gov/gene/183235", "183235")</f>
        <v>183235</v>
      </c>
      <c r="C7459" s="9"/>
      <c r="D7459" t="str">
        <f>"C35D6.4"</f>
        <v>C35D6.4</v>
      </c>
      <c r="F7459" t="s">
        <v>11</v>
      </c>
      <c r="G7459" t="s">
        <v>4675</v>
      </c>
      <c r="H7459" s="12">
        <v>1.23022840367251</v>
      </c>
      <c r="I7459" s="20">
        <v>0.36905651859758998</v>
      </c>
      <c r="J7459" s="28">
        <v>0.71208559783229597</v>
      </c>
      <c r="K7459" s="29">
        <v>0.98289565623980701</v>
      </c>
    </row>
    <row r="7460" spans="1:11" x14ac:dyDescent="0.35">
      <c r="A7460" s="9" t="str">
        <f>HYPERLINK("http://www.ensembl.org/id/WBGene00007962", "WBGene00007962")</f>
        <v>WBGene00007962</v>
      </c>
      <c r="B7460" s="9"/>
      <c r="C7460" s="9"/>
      <c r="D7460" t="str">
        <f>"C35D6.5"</f>
        <v>C35D6.5</v>
      </c>
      <c r="F7460" t="s">
        <v>80</v>
      </c>
      <c r="H7460" s="12">
        <v>1.9561173881285501</v>
      </c>
      <c r="I7460" s="20">
        <v>0.257782736541043</v>
      </c>
      <c r="J7460" s="28">
        <v>0.79657458856254804</v>
      </c>
      <c r="K7460" s="29">
        <v>0.98289565623980701</v>
      </c>
    </row>
    <row r="7461" spans="1:11" x14ac:dyDescent="0.35">
      <c r="A7461" s="9" t="str">
        <f>HYPERLINK("http://www.ensembl.org/id/WBGene00016462", "WBGene00016462")</f>
        <v>WBGene00016462</v>
      </c>
      <c r="B7461" s="9" t="str">
        <f>HYPERLINK("http://www.ncbi.nlm.nih.gov/gene/172988", "172988")</f>
        <v>172988</v>
      </c>
      <c r="C7461" s="9"/>
      <c r="D7461" t="str">
        <f>"C35E7.10"</f>
        <v>C35E7.10</v>
      </c>
      <c r="E7461" t="s">
        <v>2588</v>
      </c>
      <c r="F7461" t="s">
        <v>11</v>
      </c>
      <c r="G7461" t="s">
        <v>2589</v>
      </c>
      <c r="H7461" s="12">
        <v>1.4396642442313801</v>
      </c>
      <c r="I7461" s="20">
        <v>0.61614605785749299</v>
      </c>
      <c r="J7461" s="28">
        <v>0.53779812632212398</v>
      </c>
      <c r="K7461" s="29">
        <v>0.98289565623980701</v>
      </c>
    </row>
    <row r="7462" spans="1:11" x14ac:dyDescent="0.35">
      <c r="A7462" s="9" t="str">
        <f>HYPERLINK("http://www.ensembl.org/id/WBGene00016454", "WBGene00016454")</f>
        <v>WBGene00016454</v>
      </c>
      <c r="B7462" s="9" t="str">
        <f>HYPERLINK("http://www.ncbi.nlm.nih.gov/gene/172992", "172992")</f>
        <v>172992</v>
      </c>
      <c r="C7462" s="9"/>
      <c r="D7462" t="str">
        <f>"C35E7.2"</f>
        <v>C35E7.2</v>
      </c>
      <c r="F7462" t="s">
        <v>11</v>
      </c>
      <c r="G7462" t="s">
        <v>3719</v>
      </c>
      <c r="H7462" s="12">
        <v>1.26516306380799</v>
      </c>
      <c r="I7462" s="20">
        <v>1.0150515443467401</v>
      </c>
      <c r="J7462" s="28">
        <v>0.310081257840506</v>
      </c>
      <c r="K7462" s="29">
        <v>0.98289565623980701</v>
      </c>
    </row>
    <row r="7463" spans="1:11" x14ac:dyDescent="0.35">
      <c r="A7463" s="9" t="str">
        <f>HYPERLINK("http://www.ensembl.org/id/WBGene00016455", "WBGene00016455")</f>
        <v>WBGene00016455</v>
      </c>
      <c r="B7463" s="9" t="str">
        <f>HYPERLINK("http://www.ncbi.nlm.nih.gov/gene/172991", "172991")</f>
        <v>172991</v>
      </c>
      <c r="C7463" s="9"/>
      <c r="D7463" t="str">
        <f>"C35E7.3"</f>
        <v>C35E7.3</v>
      </c>
      <c r="F7463" t="s">
        <v>11</v>
      </c>
      <c r="G7463" t="s">
        <v>2085</v>
      </c>
      <c r="H7463" s="12">
        <v>-1.1243222726311899</v>
      </c>
      <c r="I7463" s="20">
        <v>-0.27159273848813598</v>
      </c>
      <c r="J7463" s="28">
        <v>0.78593518350382097</v>
      </c>
      <c r="K7463" s="29">
        <v>0.98289565623980701</v>
      </c>
    </row>
    <row r="7464" spans="1:11" x14ac:dyDescent="0.35">
      <c r="A7464" s="9" t="str">
        <f>HYPERLINK("http://www.ensembl.org/id/WBGene00016456", "WBGene00016456")</f>
        <v>WBGene00016456</v>
      </c>
      <c r="B7464" s="9" t="str">
        <f>HYPERLINK("http://www.ncbi.nlm.nih.gov/gene/172990", "172990")</f>
        <v>172990</v>
      </c>
      <c r="C7464" s="9"/>
      <c r="D7464" t="str">
        <f>"C35E7.4"</f>
        <v>C35E7.4</v>
      </c>
      <c r="F7464" t="s">
        <v>11</v>
      </c>
      <c r="G7464" t="s">
        <v>2085</v>
      </c>
      <c r="H7464" s="12">
        <v>1.0698488394644801</v>
      </c>
      <c r="I7464" s="20">
        <v>0.29929571989834403</v>
      </c>
      <c r="J7464" s="28">
        <v>0.76471442003226497</v>
      </c>
      <c r="K7464" s="29">
        <v>0.98289565623980701</v>
      </c>
    </row>
    <row r="7465" spans="1:11" x14ac:dyDescent="0.35">
      <c r="A7465" s="9" t="str">
        <f>HYPERLINK("http://www.ensembl.org/id/WBGene00016459", "WBGene00016459")</f>
        <v>WBGene00016459</v>
      </c>
      <c r="B7465" s="9" t="str">
        <f>HYPERLINK("http://www.ncbi.nlm.nih.gov/gene/183244", "183244")</f>
        <v>183244</v>
      </c>
      <c r="C7465" s="9"/>
      <c r="D7465" t="str">
        <f>"C35E7.7"</f>
        <v>C35E7.7</v>
      </c>
      <c r="F7465" t="s">
        <v>11</v>
      </c>
      <c r="H7465" s="12">
        <v>12.685338163804801</v>
      </c>
      <c r="I7465" s="20">
        <v>0.81852262355899996</v>
      </c>
      <c r="J7465" s="28">
        <v>0.41305882922107201</v>
      </c>
      <c r="K7465" s="29">
        <v>0.98289565623980701</v>
      </c>
    </row>
    <row r="7466" spans="1:11" x14ac:dyDescent="0.35">
      <c r="A7466" s="9" t="str">
        <f>HYPERLINK("http://www.ensembl.org/id/WBGene00007970", "WBGene00007970")</f>
        <v>WBGene00007970</v>
      </c>
      <c r="B7466" s="9" t="str">
        <f>HYPERLINK("http://www.ncbi.nlm.nih.gov/gene/175494", "175494")</f>
        <v>175494</v>
      </c>
      <c r="C7466" s="9"/>
      <c r="D7466" t="str">
        <f>"C36A4.10"</f>
        <v>C36A4.10</v>
      </c>
      <c r="F7466" t="s">
        <v>11</v>
      </c>
      <c r="H7466" s="12">
        <v>2.12029039686779</v>
      </c>
      <c r="I7466" s="20">
        <v>0.72574827819044896</v>
      </c>
      <c r="J7466" s="28">
        <v>0.46799309953337598</v>
      </c>
      <c r="K7466" s="29">
        <v>0.98289565623980701</v>
      </c>
    </row>
    <row r="7467" spans="1:11" x14ac:dyDescent="0.35">
      <c r="A7467" s="9" t="str">
        <f>HYPERLINK("http://www.ensembl.org/id/WBGene00194650", "WBGene00194650")</f>
        <v>WBGene00194650</v>
      </c>
      <c r="B7467" s="9"/>
      <c r="C7467" s="9"/>
      <c r="D7467" t="str">
        <f>"C36A4.14"</f>
        <v>C36A4.14</v>
      </c>
      <c r="F7467" t="s">
        <v>80</v>
      </c>
      <c r="H7467" s="12">
        <v>1.13704162247073</v>
      </c>
      <c r="I7467" s="20">
        <v>0.53528722799366102</v>
      </c>
      <c r="J7467" s="28">
        <v>0.59245125671810706</v>
      </c>
      <c r="K7467" s="29">
        <v>0.98289565623980701</v>
      </c>
    </row>
    <row r="7468" spans="1:11" x14ac:dyDescent="0.35">
      <c r="A7468" s="9" t="str">
        <f>HYPERLINK("http://www.ensembl.org/id/WBGene00044614", "WBGene00044614")</f>
        <v>WBGene00044614</v>
      </c>
      <c r="B7468" s="9" t="str">
        <f>HYPERLINK("http://www.ncbi.nlm.nih.gov/gene/3896719", "3896719")</f>
        <v>3896719</v>
      </c>
      <c r="C7468" s="9"/>
      <c r="D7468" t="str">
        <f>"C36B1.14"</f>
        <v>C36B1.14</v>
      </c>
      <c r="F7468" t="s">
        <v>11</v>
      </c>
      <c r="G7468" t="s">
        <v>9519</v>
      </c>
      <c r="H7468" s="12">
        <v>-1.25441949295569</v>
      </c>
      <c r="I7468" s="20">
        <v>-0.85589767599984501</v>
      </c>
      <c r="J7468" s="28">
        <v>0.39205438056077302</v>
      </c>
      <c r="K7468" s="29">
        <v>0.98289565623980701</v>
      </c>
    </row>
    <row r="7469" spans="1:11" x14ac:dyDescent="0.35">
      <c r="A7469" s="9" t="str">
        <f>HYPERLINK("http://www.ensembl.org/id/WBGene00007973", "WBGene00007973")</f>
        <v>WBGene00007973</v>
      </c>
      <c r="B7469" s="9" t="str">
        <f>HYPERLINK("http://www.ncbi.nlm.nih.gov/gene/183251", "183251")</f>
        <v>183251</v>
      </c>
      <c r="C7469" s="9"/>
      <c r="D7469" t="str">
        <f>"C36B1.6"</f>
        <v>C36B1.6</v>
      </c>
      <c r="F7469" t="s">
        <v>11</v>
      </c>
      <c r="G7469" t="s">
        <v>25</v>
      </c>
      <c r="H7469" s="12">
        <v>-1.2402787251765699</v>
      </c>
      <c r="I7469" s="20">
        <v>-0.85834712548981895</v>
      </c>
      <c r="J7469" s="28">
        <v>0.39070081471497098</v>
      </c>
      <c r="K7469" s="29">
        <v>0.98289565623980701</v>
      </c>
    </row>
    <row r="7470" spans="1:11" x14ac:dyDescent="0.35">
      <c r="A7470" s="9" t="str">
        <f>HYPERLINK("http://www.ensembl.org/id/WBGene00016464", "WBGene00016464")</f>
        <v>WBGene00016464</v>
      </c>
      <c r="B7470" s="9" t="str">
        <f>HYPERLINK("http://www.ncbi.nlm.nih.gov/gene/183253", "183253")</f>
        <v>183253</v>
      </c>
      <c r="C7470" s="9"/>
      <c r="D7470" t="str">
        <f>"C36B7.1"</f>
        <v>C36B7.1</v>
      </c>
      <c r="F7470" t="s">
        <v>11</v>
      </c>
      <c r="G7470" t="s">
        <v>4708</v>
      </c>
      <c r="H7470" s="12">
        <v>1.4630688432831001</v>
      </c>
      <c r="I7470" s="20">
        <v>0.36513816356722101</v>
      </c>
      <c r="J7470" s="28">
        <v>0.71500827430161695</v>
      </c>
      <c r="K7470" s="29">
        <v>0.98289565623980701</v>
      </c>
    </row>
    <row r="7471" spans="1:11" x14ac:dyDescent="0.35">
      <c r="A7471" s="9" t="str">
        <f>HYPERLINK("http://www.ensembl.org/id/WBGene00016465", "WBGene00016465")</f>
        <v>WBGene00016465</v>
      </c>
      <c r="B7471" s="9" t="str">
        <f>HYPERLINK("http://www.ncbi.nlm.nih.gov/gene/183254", "183254")</f>
        <v>183254</v>
      </c>
      <c r="C7471" s="9"/>
      <c r="D7471" t="str">
        <f>"C36B7.2"</f>
        <v>C36B7.2</v>
      </c>
      <c r="F7471" t="s">
        <v>11</v>
      </c>
      <c r="G7471" t="s">
        <v>4767</v>
      </c>
      <c r="H7471" s="12">
        <v>1.3983360449465101</v>
      </c>
      <c r="I7471" s="20">
        <v>0.29688736329295401</v>
      </c>
      <c r="J7471" s="28">
        <v>0.76655250408235798</v>
      </c>
      <c r="K7471" s="29">
        <v>0.98289565623980701</v>
      </c>
    </row>
    <row r="7472" spans="1:11" x14ac:dyDescent="0.35">
      <c r="A7472" s="9" t="str">
        <f>HYPERLINK("http://www.ensembl.org/id/WBGene00016466", "WBGene00016466")</f>
        <v>WBGene00016466</v>
      </c>
      <c r="B7472" s="9" t="str">
        <f>HYPERLINK("http://www.ncbi.nlm.nih.gov/gene/183255", "183255")</f>
        <v>183255</v>
      </c>
      <c r="C7472" s="9"/>
      <c r="D7472" t="str">
        <f>"C36B7.3"</f>
        <v>C36B7.3</v>
      </c>
      <c r="F7472" t="s">
        <v>11</v>
      </c>
      <c r="G7472" t="s">
        <v>25</v>
      </c>
      <c r="H7472" s="12">
        <v>1.31580344927047</v>
      </c>
      <c r="I7472" s="20">
        <v>0.39848437273520798</v>
      </c>
      <c r="J7472" s="28">
        <v>0.690273175336233</v>
      </c>
      <c r="K7472" s="29">
        <v>0.98289565623980701</v>
      </c>
    </row>
    <row r="7473" spans="1:11" x14ac:dyDescent="0.35">
      <c r="A7473" s="9" t="str">
        <f>HYPERLINK("http://www.ensembl.org/id/WBGene00016481", "WBGene00016481")</f>
        <v>WBGene00016481</v>
      </c>
      <c r="B7473" s="9" t="str">
        <f>HYPERLINK("http://www.ncbi.nlm.nih.gov/gene/183268", "183268")</f>
        <v>183268</v>
      </c>
      <c r="C7473" s="9"/>
      <c r="D7473" t="str">
        <f>"C36C5.12"</f>
        <v>C36C5.12</v>
      </c>
      <c r="E7473" t="s">
        <v>4874</v>
      </c>
      <c r="F7473" t="s">
        <v>11</v>
      </c>
      <c r="G7473" t="s">
        <v>25</v>
      </c>
      <c r="H7473" s="12">
        <v>1.3217873395702999</v>
      </c>
      <c r="I7473" s="20">
        <v>0.49666992372095597</v>
      </c>
      <c r="J7473" s="28">
        <v>0.61942183508139204</v>
      </c>
      <c r="K7473" s="29">
        <v>0.98289565623980701</v>
      </c>
    </row>
    <row r="7474" spans="1:11" x14ac:dyDescent="0.35">
      <c r="A7474" s="9" t="str">
        <f>HYPERLINK("http://www.ensembl.org/id/WBGene00016473", "WBGene00016473")</f>
        <v>WBGene00016473</v>
      </c>
      <c r="B7474" s="9" t="str">
        <f>HYPERLINK("http://www.ncbi.nlm.nih.gov/gene/183260", "183260")</f>
        <v>183260</v>
      </c>
      <c r="C7474" s="9"/>
      <c r="D7474" t="str">
        <f>"C36C5.4"</f>
        <v>C36C5.4</v>
      </c>
      <c r="F7474" t="s">
        <v>11</v>
      </c>
      <c r="H7474" s="12">
        <v>-4.9405101579997703</v>
      </c>
      <c r="I7474" s="20">
        <v>-0.54700106443493901</v>
      </c>
      <c r="J7474" s="28">
        <v>0.58437800083765901</v>
      </c>
      <c r="K7474" s="29">
        <v>0.98289565623980701</v>
      </c>
    </row>
    <row r="7475" spans="1:11" x14ac:dyDescent="0.35">
      <c r="A7475" s="9" t="str">
        <f>HYPERLINK("http://www.ensembl.org/id/WBGene00219849", "WBGene00219849")</f>
        <v>WBGene00219849</v>
      </c>
      <c r="B7475" s="9"/>
      <c r="C7475" s="9"/>
      <c r="D7475" t="str">
        <f>"C36C9.10"</f>
        <v>C36C9.10</v>
      </c>
      <c r="F7475" t="s">
        <v>481</v>
      </c>
      <c r="H7475" s="12">
        <v>-1.23604785585129</v>
      </c>
      <c r="I7475" s="20">
        <v>-0.34890017410546198</v>
      </c>
      <c r="J7475" s="28">
        <v>0.72716425446711297</v>
      </c>
      <c r="K7475" s="29">
        <v>0.98289565623980701</v>
      </c>
    </row>
    <row r="7476" spans="1:11" x14ac:dyDescent="0.35">
      <c r="A7476" s="9" t="str">
        <f>HYPERLINK("http://www.ensembl.org/id/WBGene00016488", "WBGene00016488")</f>
        <v>WBGene00016488</v>
      </c>
      <c r="B7476" s="9" t="str">
        <f>HYPERLINK("http://www.ncbi.nlm.nih.gov/gene/183275", "183275")</f>
        <v>183275</v>
      </c>
      <c r="C7476" s="9"/>
      <c r="D7476" t="str">
        <f>"C36C9.5"</f>
        <v>C36C9.5</v>
      </c>
      <c r="F7476" t="s">
        <v>11</v>
      </c>
      <c r="H7476" s="12">
        <v>1.56787722796323</v>
      </c>
      <c r="I7476" s="20">
        <v>0.65361806231388697</v>
      </c>
      <c r="J7476" s="28">
        <v>0.51335790439173001</v>
      </c>
      <c r="K7476" s="29">
        <v>0.98289565623980701</v>
      </c>
    </row>
    <row r="7477" spans="1:11" x14ac:dyDescent="0.35">
      <c r="A7477" s="9" t="str">
        <f>HYPERLINK("http://www.ensembl.org/id/WBGene00044560", "WBGene00044560")</f>
        <v>WBGene00044560</v>
      </c>
      <c r="B7477" s="9" t="str">
        <f>HYPERLINK("http://www.ncbi.nlm.nih.gov/gene/3896900", "3896900")</f>
        <v>3896900</v>
      </c>
      <c r="C7477" s="9"/>
      <c r="D7477" t="str">
        <f>"C36C9.6"</f>
        <v>C36C9.6</v>
      </c>
      <c r="F7477" t="s">
        <v>11</v>
      </c>
      <c r="G7477" t="s">
        <v>25</v>
      </c>
      <c r="H7477" s="12">
        <v>-2.4991590031922399</v>
      </c>
      <c r="I7477" s="20">
        <v>-0.26577412737581302</v>
      </c>
      <c r="J7477" s="28">
        <v>0.79041317015736101</v>
      </c>
      <c r="K7477" s="29">
        <v>0.98289565623980701</v>
      </c>
    </row>
    <row r="7478" spans="1:11" x14ac:dyDescent="0.35">
      <c r="A7478" s="9" t="str">
        <f>HYPERLINK("http://www.ensembl.org/id/WBGene00016490", "WBGene00016490")</f>
        <v>WBGene00016490</v>
      </c>
      <c r="B7478" s="9" t="str">
        <f>HYPERLINK("http://www.ncbi.nlm.nih.gov/gene/181774", "181774")</f>
        <v>181774</v>
      </c>
      <c r="C7478" s="9"/>
      <c r="D7478" t="str">
        <f>"C36E6.2"</f>
        <v>C36E6.2</v>
      </c>
      <c r="F7478" t="s">
        <v>11</v>
      </c>
      <c r="G7478" t="s">
        <v>7205</v>
      </c>
      <c r="H7478" s="12">
        <v>-1.11358241555338</v>
      </c>
      <c r="I7478" s="20">
        <v>-0.53595147960918599</v>
      </c>
      <c r="J7478" s="28">
        <v>0.59199208437952799</v>
      </c>
      <c r="K7478" s="29">
        <v>0.98289565623980701</v>
      </c>
    </row>
    <row r="7479" spans="1:11" x14ac:dyDescent="0.35">
      <c r="A7479" s="9" t="str">
        <f>HYPERLINK("http://www.ensembl.org/id/WBGene00044683", "WBGene00044683")</f>
        <v>WBGene00044683</v>
      </c>
      <c r="B7479" s="9" t="str">
        <f>HYPERLINK("http://www.ncbi.nlm.nih.gov/gene/4363131", "4363131")</f>
        <v>4363131</v>
      </c>
      <c r="C7479" s="9"/>
      <c r="D7479" t="str">
        <f>"C36E6.8"</f>
        <v>C36E6.8</v>
      </c>
      <c r="F7479" t="s">
        <v>11</v>
      </c>
      <c r="G7479" t="s">
        <v>25</v>
      </c>
      <c r="H7479" s="12">
        <v>1.22674057133958</v>
      </c>
      <c r="I7479" s="20">
        <v>0.76455411080186497</v>
      </c>
      <c r="J7479" s="28">
        <v>0.44453710365650101</v>
      </c>
      <c r="K7479" s="29">
        <v>0.98289565623980701</v>
      </c>
    </row>
    <row r="7480" spans="1:11" x14ac:dyDescent="0.35">
      <c r="A7480" s="9" t="str">
        <f>HYPERLINK("http://www.ensembl.org/id/WBGene00007980", "WBGene00007980")</f>
        <v>WBGene00007980</v>
      </c>
      <c r="B7480" s="9" t="str">
        <f>HYPERLINK("http://www.ncbi.nlm.nih.gov/gene/175517", "175517")</f>
        <v>175517</v>
      </c>
      <c r="C7480" s="9" t="str">
        <f>HYPERLINK("http://www.ncbi.nlm.nih.gov/gene/54700", "54700")</f>
        <v>54700</v>
      </c>
      <c r="D7480" t="str">
        <f>"C36E8.1"</f>
        <v>C36E8.1</v>
      </c>
      <c r="F7480" t="s">
        <v>11</v>
      </c>
      <c r="G7480" t="s">
        <v>7111</v>
      </c>
      <c r="H7480" s="12">
        <v>-1.10724494989509</v>
      </c>
      <c r="I7480" s="20">
        <v>-0.54761993222067995</v>
      </c>
      <c r="J7480" s="28">
        <v>0.58395290021421398</v>
      </c>
      <c r="K7480" s="29">
        <v>0.98289565623980701</v>
      </c>
    </row>
    <row r="7481" spans="1:11" x14ac:dyDescent="0.35">
      <c r="A7481" s="9" t="str">
        <f>HYPERLINK("http://www.ensembl.org/id/WBGene00201111", "WBGene00201111")</f>
        <v>WBGene00201111</v>
      </c>
      <c r="B7481" s="9"/>
      <c r="C7481" s="9"/>
      <c r="D7481" t="str">
        <f>"C36E8.10"</f>
        <v>C36E8.10</v>
      </c>
      <c r="F7481" t="s">
        <v>481</v>
      </c>
      <c r="H7481" s="12">
        <v>-2.4295389261469</v>
      </c>
      <c r="I7481" s="20">
        <v>-0.25808529976640998</v>
      </c>
      <c r="J7481" s="28">
        <v>0.79634107645457397</v>
      </c>
      <c r="K7481" s="29">
        <v>0.98289565623980701</v>
      </c>
    </row>
    <row r="7482" spans="1:11" x14ac:dyDescent="0.35">
      <c r="A7482" s="9" t="str">
        <f>HYPERLINK("http://www.ensembl.org/id/WBGene00044230", "WBGene00044230")</f>
        <v>WBGene00044230</v>
      </c>
      <c r="B7482" s="9" t="str">
        <f>HYPERLINK("http://www.ncbi.nlm.nih.gov/gene/3564839", "3564839")</f>
        <v>3564839</v>
      </c>
      <c r="C7482" s="9"/>
      <c r="D7482" t="str">
        <f>"C36E8.6"</f>
        <v>C36E8.6</v>
      </c>
      <c r="F7482" t="s">
        <v>11</v>
      </c>
      <c r="H7482" s="12">
        <v>3.5227018545059199</v>
      </c>
      <c r="I7482" s="20">
        <v>0.36849691206929103</v>
      </c>
      <c r="J7482" s="28">
        <v>0.71250274722433404</v>
      </c>
      <c r="K7482" s="29">
        <v>0.98289565623980701</v>
      </c>
    </row>
    <row r="7483" spans="1:11" x14ac:dyDescent="0.35">
      <c r="A7483" s="9" t="str">
        <f>HYPERLINK("http://www.ensembl.org/id/WBGene00196802", "WBGene00196802")</f>
        <v>WBGene00196802</v>
      </c>
      <c r="B7483" s="9"/>
      <c r="C7483" s="9"/>
      <c r="D7483" t="str">
        <f>"C36F7.10"</f>
        <v>C36F7.10</v>
      </c>
      <c r="F7483" t="s">
        <v>481</v>
      </c>
      <c r="H7483" s="12">
        <v>-2.4991590031922399</v>
      </c>
      <c r="I7483" s="20">
        <v>-0.26577412737581302</v>
      </c>
      <c r="J7483" s="28">
        <v>0.79041317015736101</v>
      </c>
      <c r="K7483" s="29">
        <v>0.98289565623980701</v>
      </c>
    </row>
    <row r="7484" spans="1:11" x14ac:dyDescent="0.35">
      <c r="A7484" s="9" t="str">
        <f>HYPERLINK("http://www.ensembl.org/id/WBGene00199531", "WBGene00199531")</f>
        <v>WBGene00199531</v>
      </c>
      <c r="B7484" s="9"/>
      <c r="C7484" s="9"/>
      <c r="D7484" t="str">
        <f>"C36F7.19"</f>
        <v>C36F7.19</v>
      </c>
      <c r="F7484" t="s">
        <v>481</v>
      </c>
      <c r="H7484" s="12">
        <v>-2.4295389261469</v>
      </c>
      <c r="I7484" s="20">
        <v>-0.25808529976640998</v>
      </c>
      <c r="J7484" s="28">
        <v>0.79634107645457397</v>
      </c>
      <c r="K7484" s="29">
        <v>0.98289565623980701</v>
      </c>
    </row>
    <row r="7485" spans="1:11" x14ac:dyDescent="0.35">
      <c r="A7485" s="9" t="str">
        <f>HYPERLINK("http://www.ensembl.org/id/WBGene00201107", "WBGene00201107")</f>
        <v>WBGene00201107</v>
      </c>
      <c r="B7485" s="9"/>
      <c r="C7485" s="9"/>
      <c r="D7485" t="str">
        <f>"C36F7.22"</f>
        <v>C36F7.22</v>
      </c>
      <c r="F7485" t="s">
        <v>481</v>
      </c>
      <c r="H7485" s="12">
        <v>2.4578120077400301</v>
      </c>
      <c r="I7485" s="20">
        <v>0.26093350314551</v>
      </c>
      <c r="J7485" s="28">
        <v>0.79414378780213601</v>
      </c>
      <c r="K7485" s="29">
        <v>0.98289565623980701</v>
      </c>
    </row>
    <row r="7486" spans="1:11" x14ac:dyDescent="0.35">
      <c r="A7486" s="9" t="str">
        <f>HYPERLINK("http://www.ensembl.org/id/WBGene00007987", "WBGene00007987")</f>
        <v>WBGene00007987</v>
      </c>
      <c r="B7486" s="9" t="str">
        <f>HYPERLINK("http://www.ncbi.nlm.nih.gov/gene/178230", "178230")</f>
        <v>178230</v>
      </c>
      <c r="C7486" s="9"/>
      <c r="D7486" t="str">
        <f>"C36H8.1"</f>
        <v>C36H8.1</v>
      </c>
      <c r="E7486" t="s">
        <v>899</v>
      </c>
      <c r="F7486" t="s">
        <v>11</v>
      </c>
      <c r="G7486" t="s">
        <v>4545</v>
      </c>
      <c r="H7486" s="12">
        <v>1.72604371556761</v>
      </c>
      <c r="I7486" s="20">
        <v>0.66705222298018496</v>
      </c>
      <c r="J7486" s="28">
        <v>0.50473877636457498</v>
      </c>
      <c r="K7486" s="29">
        <v>0.98289565623980701</v>
      </c>
    </row>
    <row r="7487" spans="1:11" x14ac:dyDescent="0.35">
      <c r="A7487" s="9" t="str">
        <f>HYPERLINK("http://www.ensembl.org/id/WBGene00016493", "WBGene00016493")</f>
        <v>WBGene00016493</v>
      </c>
      <c r="B7487" s="9" t="str">
        <f>HYPERLINK("http://www.ncbi.nlm.nih.gov/gene/172401", "172401")</f>
        <v>172401</v>
      </c>
      <c r="C7487" s="9"/>
      <c r="D7487" t="str">
        <f>"C37A2.7"</f>
        <v>C37A2.7</v>
      </c>
      <c r="E7487" t="s">
        <v>8424</v>
      </c>
      <c r="F7487" t="s">
        <v>11</v>
      </c>
      <c r="G7487" t="s">
        <v>7731</v>
      </c>
      <c r="H7487" s="12">
        <v>-1.1768352611819399</v>
      </c>
      <c r="I7487" s="20">
        <v>-0.871433966537288</v>
      </c>
      <c r="J7487" s="28">
        <v>0.38351724635134299</v>
      </c>
      <c r="K7487" s="29">
        <v>0.98289565623980701</v>
      </c>
    </row>
    <row r="7488" spans="1:11" x14ac:dyDescent="0.35">
      <c r="A7488" s="9" t="str">
        <f>HYPERLINK("http://www.ensembl.org/id/WBGene00077520", "WBGene00077520")</f>
        <v>WBGene00077520</v>
      </c>
      <c r="B7488" s="9" t="str">
        <f>HYPERLINK("http://www.ncbi.nlm.nih.gov/gene/6418575", "6418575")</f>
        <v>6418575</v>
      </c>
      <c r="C7488" s="9"/>
      <c r="D7488" t="str">
        <f>"C37A5.11"</f>
        <v>C37A5.11</v>
      </c>
      <c r="F7488" t="s">
        <v>11</v>
      </c>
      <c r="G7488" t="s">
        <v>25</v>
      </c>
      <c r="H7488" s="12">
        <v>1.76665917732661</v>
      </c>
      <c r="I7488" s="20">
        <v>0.826306372085998</v>
      </c>
      <c r="J7488" s="28">
        <v>0.40863031974877601</v>
      </c>
      <c r="K7488" s="29">
        <v>0.98289565623980701</v>
      </c>
    </row>
    <row r="7489" spans="1:11" x14ac:dyDescent="0.35">
      <c r="A7489" s="9" t="str">
        <f>HYPERLINK("http://www.ensembl.org/id/WBGene00014699", "WBGene00014699")</f>
        <v>WBGene00014699</v>
      </c>
      <c r="B7489" s="9" t="str">
        <f>HYPERLINK("http://www.ncbi.nlm.nih.gov/gene/13182954", "13182954")</f>
        <v>13182954</v>
      </c>
      <c r="C7489" s="9"/>
      <c r="D7489" t="str">
        <f>"C37A5.5"</f>
        <v>C37A5.5</v>
      </c>
      <c r="F7489" t="s">
        <v>11</v>
      </c>
      <c r="G7489" t="s">
        <v>264</v>
      </c>
      <c r="H7489" s="12">
        <v>-9.3414082352043</v>
      </c>
      <c r="I7489" s="20">
        <v>-1.1652055522743501</v>
      </c>
      <c r="J7489" s="28">
        <v>0.243935798708795</v>
      </c>
      <c r="K7489" s="29">
        <v>0.98289565623980701</v>
      </c>
    </row>
    <row r="7490" spans="1:11" x14ac:dyDescent="0.35">
      <c r="A7490" s="9" t="str">
        <f>HYPERLINK("http://www.ensembl.org/id/WBGene00014700", "WBGene00014700")</f>
        <v>WBGene00014700</v>
      </c>
      <c r="B7490" s="9" t="str">
        <f>HYPERLINK("http://www.ncbi.nlm.nih.gov/gene/13182953", "13182953")</f>
        <v>13182953</v>
      </c>
      <c r="C7490" s="9"/>
      <c r="D7490" t="str">
        <f>"C37A5.6"</f>
        <v>C37A5.6</v>
      </c>
      <c r="F7490" t="s">
        <v>11</v>
      </c>
      <c r="G7490" t="s">
        <v>264</v>
      </c>
      <c r="H7490" s="12">
        <v>1.98725080593175</v>
      </c>
      <c r="I7490" s="20">
        <v>0.46131282638100501</v>
      </c>
      <c r="J7490" s="28">
        <v>0.64457418396405297</v>
      </c>
      <c r="K7490" s="29">
        <v>0.98289565623980701</v>
      </c>
    </row>
    <row r="7491" spans="1:11" x14ac:dyDescent="0.35">
      <c r="A7491" s="9" t="str">
        <f>HYPERLINK("http://www.ensembl.org/id/WBGene00014282", "WBGene00014282")</f>
        <v>WBGene00014282</v>
      </c>
      <c r="B7491" s="9"/>
      <c r="C7491" s="9"/>
      <c r="D7491" t="str">
        <f>"C37A5.t1"</f>
        <v>C37A5.t1</v>
      </c>
      <c r="F7491" t="s">
        <v>4208</v>
      </c>
      <c r="H7491" s="12">
        <v>1.4103515095102299</v>
      </c>
      <c r="I7491" s="20">
        <v>0.27869383085912303</v>
      </c>
      <c r="J7491" s="28">
        <v>0.78047979727725003</v>
      </c>
      <c r="K7491" s="29">
        <v>0.98289565623980701</v>
      </c>
    </row>
    <row r="7492" spans="1:11" x14ac:dyDescent="0.35">
      <c r="A7492" s="9" t="str">
        <f>HYPERLINK("http://www.ensembl.org/id/WBGene00016503", "WBGene00016503")</f>
        <v>WBGene00016503</v>
      </c>
      <c r="B7492" s="9" t="str">
        <f>HYPERLINK("http://www.ncbi.nlm.nih.gov/gene/183291", "183291")</f>
        <v>183291</v>
      </c>
      <c r="C7492" s="9"/>
      <c r="D7492" t="str">
        <f>"C37C3.11"</f>
        <v>C37C3.11</v>
      </c>
      <c r="F7492" t="s">
        <v>11</v>
      </c>
      <c r="G7492" t="s">
        <v>25</v>
      </c>
      <c r="H7492" s="12">
        <v>1.4752544882273599</v>
      </c>
      <c r="I7492" s="20">
        <v>0.62203842353415095</v>
      </c>
      <c r="J7492" s="28">
        <v>0.53391660288953402</v>
      </c>
      <c r="K7492" s="29">
        <v>0.98289565623980701</v>
      </c>
    </row>
    <row r="7493" spans="1:11" x14ac:dyDescent="0.35">
      <c r="A7493" s="9" t="str">
        <f>HYPERLINK("http://www.ensembl.org/id/WBGene00219851", "WBGene00219851")</f>
        <v>WBGene00219851</v>
      </c>
      <c r="B7493" s="9"/>
      <c r="C7493" s="9"/>
      <c r="D7493" t="str">
        <f>"C37C3.16"</f>
        <v>C37C3.16</v>
      </c>
      <c r="F7493" t="s">
        <v>481</v>
      </c>
      <c r="H7493" s="12">
        <v>3.9822742124214701</v>
      </c>
      <c r="I7493" s="20">
        <v>0.482462550643251</v>
      </c>
      <c r="J7493" s="28">
        <v>0.62947739556167004</v>
      </c>
      <c r="K7493" s="29">
        <v>0.98289565623980701</v>
      </c>
    </row>
    <row r="7494" spans="1:11" x14ac:dyDescent="0.35">
      <c r="A7494" s="9" t="str">
        <f>HYPERLINK("http://www.ensembl.org/id/WBGene00235308", "WBGene00235308")</f>
        <v>WBGene00235308</v>
      </c>
      <c r="B7494" s="9" t="str">
        <f>HYPERLINK("http://www.ncbi.nlm.nih.gov/gene/24104288", "24104288")</f>
        <v>24104288</v>
      </c>
      <c r="C7494" s="9"/>
      <c r="D7494" t="str">
        <f>"C37C3.17"</f>
        <v>C37C3.17</v>
      </c>
      <c r="F7494" t="s">
        <v>11</v>
      </c>
      <c r="H7494" s="12">
        <v>1.8444977704923</v>
      </c>
      <c r="I7494" s="20">
        <v>0.41548446961628099</v>
      </c>
      <c r="J7494" s="28">
        <v>0.67778728188010795</v>
      </c>
      <c r="K7494" s="29">
        <v>0.98289565623980701</v>
      </c>
    </row>
    <row r="7495" spans="1:11" x14ac:dyDescent="0.35">
      <c r="A7495" s="9" t="str">
        <f>HYPERLINK("http://www.ensembl.org/id/WBGene00303000", "WBGene00303000")</f>
        <v>WBGene00303000</v>
      </c>
      <c r="B7495" s="9" t="str">
        <f>HYPERLINK("http://www.ncbi.nlm.nih.gov/gene/36804988", "36804988")</f>
        <v>36804988</v>
      </c>
      <c r="C7495" s="9"/>
      <c r="D7495" t="str">
        <f>"C37C3.18"</f>
        <v>C37C3.18</v>
      </c>
      <c r="E7495" t="s">
        <v>8757</v>
      </c>
      <c r="F7495" t="s">
        <v>11</v>
      </c>
      <c r="G7495" t="s">
        <v>8773</v>
      </c>
      <c r="H7495" s="12">
        <v>-1.1954306336710201</v>
      </c>
      <c r="I7495" s="20">
        <v>-0.93693953503580296</v>
      </c>
      <c r="J7495" s="28">
        <v>0.34878966130109501</v>
      </c>
      <c r="K7495" s="29">
        <v>0.98289565623980701</v>
      </c>
    </row>
    <row r="7496" spans="1:11" x14ac:dyDescent="0.35">
      <c r="A7496" s="9" t="str">
        <f>HYPERLINK("http://www.ensembl.org/id/WBGene00016496", "WBGene00016496")</f>
        <v>WBGene00016496</v>
      </c>
      <c r="B7496" s="9" t="str">
        <f>HYPERLINK("http://www.ncbi.nlm.nih.gov/gene/179165", "179165")</f>
        <v>179165</v>
      </c>
      <c r="C7496" s="9" t="str">
        <f>HYPERLINK("http://www.ncbi.nlm.nih.gov/gene/1983", "1983")</f>
        <v>1983</v>
      </c>
      <c r="D7496" t="str">
        <f>"C37C3.2"</f>
        <v>C37C3.2</v>
      </c>
      <c r="E7496" t="s">
        <v>8757</v>
      </c>
      <c r="F7496" t="s">
        <v>11</v>
      </c>
      <c r="G7496" t="s">
        <v>8758</v>
      </c>
      <c r="H7496" s="12">
        <v>-1.1946662199991001</v>
      </c>
      <c r="I7496" s="20">
        <v>-0.98899393864436702</v>
      </c>
      <c r="J7496" s="28">
        <v>0.322666107283827</v>
      </c>
      <c r="K7496" s="29">
        <v>0.98289565623980701</v>
      </c>
    </row>
    <row r="7497" spans="1:11" x14ac:dyDescent="0.35">
      <c r="A7497" s="9" t="str">
        <f>HYPERLINK("http://www.ensembl.org/id/WBGene00016499", "WBGene00016499")</f>
        <v>WBGene00016499</v>
      </c>
      <c r="B7497" s="9" t="str">
        <f>HYPERLINK("http://www.ncbi.nlm.nih.gov/gene/183289", "183289")</f>
        <v>183289</v>
      </c>
      <c r="C7497" s="9"/>
      <c r="D7497" t="str">
        <f>"C37C3.7"</f>
        <v>C37C3.7</v>
      </c>
      <c r="F7497" t="s">
        <v>11</v>
      </c>
      <c r="G7497" t="s">
        <v>25</v>
      </c>
      <c r="H7497" s="12">
        <v>1.5794227576462301</v>
      </c>
      <c r="I7497" s="20">
        <v>1.02602992285119</v>
      </c>
      <c r="J7497" s="28">
        <v>0.304877479793495</v>
      </c>
      <c r="K7497" s="29">
        <v>0.98289565623980701</v>
      </c>
    </row>
    <row r="7498" spans="1:11" x14ac:dyDescent="0.35">
      <c r="A7498" s="9" t="str">
        <f>HYPERLINK("http://www.ensembl.org/id/WBGene00007994", "WBGene00007994")</f>
        <v>WBGene00007994</v>
      </c>
      <c r="B7498" s="9" t="str">
        <f>HYPERLINK("http://www.ncbi.nlm.nih.gov/gene/183292", "183292")</f>
        <v>183292</v>
      </c>
      <c r="C7498" s="9"/>
      <c r="D7498" t="str">
        <f>"C37E2.2"</f>
        <v>C37E2.2</v>
      </c>
      <c r="F7498" t="s">
        <v>11</v>
      </c>
      <c r="G7498" t="s">
        <v>25</v>
      </c>
      <c r="H7498" s="12">
        <v>1.1298310602342301</v>
      </c>
      <c r="I7498" s="20">
        <v>0.40323230628191098</v>
      </c>
      <c r="J7498" s="28">
        <v>0.686777335527607</v>
      </c>
      <c r="K7498" s="29">
        <v>0.98289565623980701</v>
      </c>
    </row>
    <row r="7499" spans="1:11" x14ac:dyDescent="0.35">
      <c r="A7499" s="9" t="str">
        <f>HYPERLINK("http://www.ensembl.org/id/WBGene00199132", "WBGene00199132")</f>
        <v>WBGene00199132</v>
      </c>
      <c r="B7499" s="9"/>
      <c r="C7499" s="9"/>
      <c r="D7499" t="str">
        <f>"C37H5.15"</f>
        <v>C37H5.15</v>
      </c>
      <c r="F7499" t="s">
        <v>481</v>
      </c>
      <c r="H7499" s="12">
        <v>-3.40517997462055</v>
      </c>
      <c r="I7499" s="20">
        <v>-0.44562966553438899</v>
      </c>
      <c r="J7499" s="28">
        <v>0.65586477808227595</v>
      </c>
      <c r="K7499" s="29">
        <v>0.98289565623980701</v>
      </c>
    </row>
    <row r="7500" spans="1:11" x14ac:dyDescent="0.35">
      <c r="A7500" s="9" t="str">
        <f>HYPERLINK("http://www.ensembl.org/id/WBGene00016508", "WBGene00016508")</f>
        <v>WBGene00016508</v>
      </c>
      <c r="B7500" s="9" t="str">
        <f>HYPERLINK("http://www.ncbi.nlm.nih.gov/gene/178874", "178874")</f>
        <v>178874</v>
      </c>
      <c r="C7500" s="9" t="str">
        <f>HYPERLINK("http://www.ncbi.nlm.nih.gov/gene/64318", "64318")</f>
        <v>64318</v>
      </c>
      <c r="D7500" t="str">
        <f>"C37H5.5"</f>
        <v>C37H5.5</v>
      </c>
      <c r="E7500" t="s">
        <v>6042</v>
      </c>
      <c r="F7500" t="s">
        <v>11</v>
      </c>
      <c r="G7500" t="s">
        <v>6043</v>
      </c>
      <c r="H7500" s="12">
        <v>1.0701019760753501</v>
      </c>
      <c r="I7500" s="20">
        <v>0.35552101503943001</v>
      </c>
      <c r="J7500" s="28">
        <v>0.72219930416812805</v>
      </c>
      <c r="K7500" s="29">
        <v>0.98289565623980701</v>
      </c>
    </row>
    <row r="7501" spans="1:11" x14ac:dyDescent="0.35">
      <c r="A7501" s="9" t="str">
        <f>HYPERLINK("http://www.ensembl.org/id/WBGene00016512", "WBGene00016512")</f>
        <v>WBGene00016512</v>
      </c>
      <c r="B7501" s="9" t="str">
        <f>HYPERLINK("http://www.ncbi.nlm.nih.gov/gene/178642", "178642")</f>
        <v>178642</v>
      </c>
      <c r="C7501" s="9"/>
      <c r="D7501" t="str">
        <f>"C38C3.3"</f>
        <v>C38C3.3</v>
      </c>
      <c r="F7501" t="s">
        <v>11</v>
      </c>
      <c r="H7501" s="12">
        <v>2.1938327107334601</v>
      </c>
      <c r="I7501" s="20">
        <v>0.81667770346979995</v>
      </c>
      <c r="J7501" s="28">
        <v>0.41411263646315</v>
      </c>
      <c r="K7501" s="29">
        <v>0.98289565623980701</v>
      </c>
    </row>
    <row r="7502" spans="1:11" x14ac:dyDescent="0.35">
      <c r="A7502" s="9" t="str">
        <f>HYPERLINK("http://www.ensembl.org/id/WBGene00016514", "WBGene00016514")</f>
        <v>WBGene00016514</v>
      </c>
      <c r="B7502" s="9" t="str">
        <f>HYPERLINK("http://www.ncbi.nlm.nih.gov/gene/183301", "183301")</f>
        <v>183301</v>
      </c>
      <c r="C7502" s="9"/>
      <c r="D7502" t="str">
        <f>"C38C3.6"</f>
        <v>C38C3.6</v>
      </c>
      <c r="F7502" t="s">
        <v>11</v>
      </c>
      <c r="G7502" t="s">
        <v>25</v>
      </c>
      <c r="H7502" s="12">
        <v>2.2316100336933302</v>
      </c>
      <c r="I7502" s="20">
        <v>0.93395104581450705</v>
      </c>
      <c r="J7502" s="28">
        <v>0.35032914582817798</v>
      </c>
      <c r="K7502" s="29">
        <v>0.98289565623980701</v>
      </c>
    </row>
    <row r="7503" spans="1:11" x14ac:dyDescent="0.35">
      <c r="A7503" s="9" t="str">
        <f>HYPERLINK("http://www.ensembl.org/id/WBGene00016516", "WBGene00016516")</f>
        <v>WBGene00016516</v>
      </c>
      <c r="B7503" s="9"/>
      <c r="C7503" s="9"/>
      <c r="D7503" t="str">
        <f>"C38C3.8"</f>
        <v>C38C3.8</v>
      </c>
      <c r="F7503" t="s">
        <v>80</v>
      </c>
      <c r="H7503" s="12">
        <v>18.858991404291999</v>
      </c>
      <c r="I7503" s="20">
        <v>1.0704631741114501</v>
      </c>
      <c r="J7503" s="28">
        <v>0.284410876501618</v>
      </c>
      <c r="K7503" s="29">
        <v>0.98289565623980701</v>
      </c>
    </row>
    <row r="7504" spans="1:11" x14ac:dyDescent="0.35">
      <c r="A7504" s="9" t="str">
        <f>HYPERLINK("http://www.ensembl.org/id/WBGene00016518", "WBGene00016518")</f>
        <v>WBGene00016518</v>
      </c>
      <c r="B7504" s="9" t="str">
        <f>HYPERLINK("http://www.ncbi.nlm.nih.gov/gene/183305", "183305")</f>
        <v>183305</v>
      </c>
      <c r="C7504" s="9"/>
      <c r="D7504" t="str">
        <f>"C38C5.1"</f>
        <v>C38C5.1</v>
      </c>
      <c r="F7504" t="s">
        <v>11</v>
      </c>
      <c r="H7504" s="12">
        <v>1.7807119253644801</v>
      </c>
      <c r="I7504" s="20">
        <v>0.84496671759925701</v>
      </c>
      <c r="J7504" s="28">
        <v>0.39812942189045503</v>
      </c>
      <c r="K7504" s="29">
        <v>0.98289565623980701</v>
      </c>
    </row>
    <row r="7505" spans="1:11" x14ac:dyDescent="0.35">
      <c r="A7505" s="9" t="str">
        <f>HYPERLINK("http://www.ensembl.org/id/WBGene00007996", "WBGene00007996")</f>
        <v>WBGene00007996</v>
      </c>
      <c r="B7505" s="9" t="str">
        <f>HYPERLINK("http://www.ncbi.nlm.nih.gov/gene/175124", "175124")</f>
        <v>175124</v>
      </c>
      <c r="C7505" s="9"/>
      <c r="D7505" t="str">
        <f>"C38C6.3"</f>
        <v>C38C6.3</v>
      </c>
      <c r="F7505" t="s">
        <v>11</v>
      </c>
      <c r="H7505" s="12">
        <v>-4.1082646955495097</v>
      </c>
      <c r="I7505" s="20">
        <v>-0.53813647299058498</v>
      </c>
      <c r="J7505" s="28">
        <v>0.590482833850832</v>
      </c>
      <c r="K7505" s="29">
        <v>0.98289565623980701</v>
      </c>
    </row>
    <row r="7506" spans="1:11" x14ac:dyDescent="0.35">
      <c r="A7506" s="9" t="str">
        <f>HYPERLINK("http://www.ensembl.org/id/WBGene00007998", "WBGene00007998")</f>
        <v>WBGene00007998</v>
      </c>
      <c r="B7506" s="9" t="str">
        <f>HYPERLINK("http://www.ncbi.nlm.nih.gov/gene/183307", "183307")</f>
        <v>183307</v>
      </c>
      <c r="C7506" s="9"/>
      <c r="D7506" t="str">
        <f>"C38C6.5"</f>
        <v>C38C6.5</v>
      </c>
      <c r="F7506" t="s">
        <v>11</v>
      </c>
      <c r="H7506" s="12">
        <v>3.6645215954135</v>
      </c>
      <c r="I7506" s="20">
        <v>0.37967131826092498</v>
      </c>
      <c r="J7506" s="28">
        <v>0.70418941338960395</v>
      </c>
      <c r="K7506" s="29">
        <v>0.98289565623980701</v>
      </c>
    </row>
    <row r="7507" spans="1:11" x14ac:dyDescent="0.35">
      <c r="A7507" s="9" t="str">
        <f>HYPERLINK("http://www.ensembl.org/id/WBGene00044225", "WBGene00044225")</f>
        <v>WBGene00044225</v>
      </c>
      <c r="B7507" s="9" t="str">
        <f>HYPERLINK("http://www.ncbi.nlm.nih.gov/gene/13189342", "13189342")</f>
        <v>13189342</v>
      </c>
      <c r="C7507" s="9"/>
      <c r="D7507" t="str">
        <f>"C38D4.10"</f>
        <v>C38D4.10</v>
      </c>
      <c r="F7507" t="s">
        <v>11</v>
      </c>
      <c r="G7507" t="s">
        <v>967</v>
      </c>
      <c r="H7507" s="12">
        <v>-2.0529302594524199</v>
      </c>
      <c r="I7507" s="20">
        <v>-0.30640916691298697</v>
      </c>
      <c r="J7507" s="28">
        <v>0.75929312962499995</v>
      </c>
      <c r="K7507" s="29">
        <v>0.98289565623980701</v>
      </c>
    </row>
    <row r="7508" spans="1:11" x14ac:dyDescent="0.35">
      <c r="A7508" s="9" t="str">
        <f>HYPERLINK("http://www.ensembl.org/id/WBGene00008007", "WBGene00008007")</f>
        <v>WBGene00008007</v>
      </c>
      <c r="B7508" s="9" t="str">
        <f>HYPERLINK("http://www.ncbi.nlm.nih.gov/gene/183310", "183310")</f>
        <v>183310</v>
      </c>
      <c r="C7508" s="9"/>
      <c r="D7508" t="str">
        <f>"C38D4.7"</f>
        <v>C38D4.7</v>
      </c>
      <c r="F7508" t="s">
        <v>11</v>
      </c>
      <c r="H7508" s="12">
        <v>1.9032876396934499</v>
      </c>
      <c r="I7508" s="20">
        <v>0.57541912259169103</v>
      </c>
      <c r="J7508" s="28">
        <v>0.56500787439115197</v>
      </c>
      <c r="K7508" s="29">
        <v>0.98289565623980701</v>
      </c>
    </row>
    <row r="7509" spans="1:11" x14ac:dyDescent="0.35">
      <c r="A7509" s="9" t="str">
        <f>HYPERLINK("http://www.ensembl.org/id/WBGene00008008", "WBGene00008008")</f>
        <v>WBGene00008008</v>
      </c>
      <c r="B7509" s="9" t="str">
        <f>HYPERLINK("http://www.ncbi.nlm.nih.gov/gene/175637", "175637")</f>
        <v>175637</v>
      </c>
      <c r="C7509" s="9" t="str">
        <f>HYPERLINK("http://www.ncbi.nlm.nih.gov/gene/29081", "29081")</f>
        <v>29081</v>
      </c>
      <c r="D7509" t="str">
        <f>"C38D4.9"</f>
        <v>C38D4.9</v>
      </c>
      <c r="F7509" t="s">
        <v>11</v>
      </c>
      <c r="G7509" t="s">
        <v>9216</v>
      </c>
      <c r="H7509" s="12">
        <v>-1.22846281121828</v>
      </c>
      <c r="I7509" s="20">
        <v>-0.82384233543377605</v>
      </c>
      <c r="J7509" s="28">
        <v>0.41002914900696802</v>
      </c>
      <c r="K7509" s="29">
        <v>0.98289565623980701</v>
      </c>
    </row>
    <row r="7510" spans="1:11" x14ac:dyDescent="0.35">
      <c r="A7510" s="9" t="str">
        <f>HYPERLINK("http://www.ensembl.org/id/WBGene00235090", "WBGene00235090")</f>
        <v>WBGene00235090</v>
      </c>
      <c r="B7510" s="9"/>
      <c r="C7510" s="9"/>
      <c r="D7510" t="str">
        <f>"C38D9.13"</f>
        <v>C38D9.13</v>
      </c>
      <c r="F7510" t="s">
        <v>481</v>
      </c>
      <c r="H7510" s="12">
        <v>20.658980212134001</v>
      </c>
      <c r="I7510" s="20">
        <v>1.1693177896185201</v>
      </c>
      <c r="J7510" s="28">
        <v>0.24227561835236699</v>
      </c>
      <c r="K7510" s="29">
        <v>0.98289565623980701</v>
      </c>
    </row>
    <row r="7511" spans="1:11" x14ac:dyDescent="0.35">
      <c r="A7511" s="9" t="str">
        <f>HYPERLINK("http://www.ensembl.org/id/WBGene00008010", "WBGene00008010")</f>
        <v>WBGene00008010</v>
      </c>
      <c r="B7511" s="9" t="str">
        <f>HYPERLINK("http://www.ncbi.nlm.nih.gov/gene/183313", "183313")</f>
        <v>183313</v>
      </c>
      <c r="C7511" s="9"/>
      <c r="D7511" t="str">
        <f>"C38D9.2"</f>
        <v>C38D9.2</v>
      </c>
      <c r="F7511" t="s">
        <v>11</v>
      </c>
      <c r="H7511" s="12">
        <v>2.1075890053913802</v>
      </c>
      <c r="I7511" s="20">
        <v>0.94741315290024597</v>
      </c>
      <c r="J7511" s="28">
        <v>0.34342829144037301</v>
      </c>
      <c r="K7511" s="29">
        <v>0.98289565623980701</v>
      </c>
    </row>
    <row r="7512" spans="1:11" x14ac:dyDescent="0.35">
      <c r="A7512" s="9" t="str">
        <f>HYPERLINK("http://www.ensembl.org/id/WBGene00008013", "WBGene00008013")</f>
        <v>WBGene00008013</v>
      </c>
      <c r="B7512" s="9"/>
      <c r="C7512" s="9"/>
      <c r="D7512" t="str">
        <f>"C38D9.5"</f>
        <v>C38D9.5</v>
      </c>
      <c r="F7512" t="s">
        <v>80</v>
      </c>
      <c r="H7512" s="12">
        <v>5.2954185682811996</v>
      </c>
      <c r="I7512" s="20">
        <v>0.58847157202951395</v>
      </c>
      <c r="J7512" s="28">
        <v>0.55621580972939799</v>
      </c>
      <c r="K7512" s="29">
        <v>0.98289565623980701</v>
      </c>
    </row>
    <row r="7513" spans="1:11" x14ac:dyDescent="0.35">
      <c r="A7513" s="9" t="str">
        <f>HYPERLINK("http://www.ensembl.org/id/WBGene00008020", "WBGene00008020")</f>
        <v>WBGene00008020</v>
      </c>
      <c r="B7513" s="9" t="str">
        <f>HYPERLINK("http://www.ncbi.nlm.nih.gov/gene/3565002", "3565002")</f>
        <v>3565002</v>
      </c>
      <c r="C7513" s="9"/>
      <c r="D7513" t="str">
        <f>"C38H2.3"</f>
        <v>C38H2.3</v>
      </c>
      <c r="F7513" t="s">
        <v>11</v>
      </c>
      <c r="G7513" t="s">
        <v>25</v>
      </c>
      <c r="H7513" s="12">
        <v>1.1027732010278899</v>
      </c>
      <c r="I7513" s="20">
        <v>0.353530979428332</v>
      </c>
      <c r="J7513" s="28">
        <v>0.72369040803412799</v>
      </c>
      <c r="K7513" s="29">
        <v>0.98289565623980701</v>
      </c>
    </row>
    <row r="7514" spans="1:11" x14ac:dyDescent="0.35">
      <c r="A7514" s="9" t="str">
        <f>HYPERLINK("http://www.ensembl.org/id/WBGene00200782", "WBGene00200782")</f>
        <v>WBGene00200782</v>
      </c>
      <c r="B7514" s="9"/>
      <c r="C7514" s="9"/>
      <c r="D7514" t="str">
        <f>"C39B10.11"</f>
        <v>C39B10.11</v>
      </c>
      <c r="F7514" t="s">
        <v>481</v>
      </c>
      <c r="H7514" s="12">
        <v>-2.4295389261469</v>
      </c>
      <c r="I7514" s="20">
        <v>-0.25808529976640998</v>
      </c>
      <c r="J7514" s="28">
        <v>0.79634107645457397</v>
      </c>
      <c r="K7514" s="29">
        <v>0.98289565623980701</v>
      </c>
    </row>
    <row r="7515" spans="1:11" x14ac:dyDescent="0.35">
      <c r="A7515" s="9" t="str">
        <f>HYPERLINK("http://www.ensembl.org/id/WBGene00008023", "WBGene00008023")</f>
        <v>WBGene00008023</v>
      </c>
      <c r="B7515" s="9" t="str">
        <f>HYPERLINK("http://www.ncbi.nlm.nih.gov/gene/183332", "183332")</f>
        <v>183332</v>
      </c>
      <c r="C7515" s="9"/>
      <c r="D7515" t="str">
        <f>"C39B10.3"</f>
        <v>C39B10.3</v>
      </c>
      <c r="F7515" t="s">
        <v>11</v>
      </c>
      <c r="H7515" s="12">
        <v>-1.27594808830364</v>
      </c>
      <c r="I7515" s="20">
        <v>-0.94918734137239003</v>
      </c>
      <c r="J7515" s="28">
        <v>0.34252533857579898</v>
      </c>
      <c r="K7515" s="29">
        <v>0.98289565623980701</v>
      </c>
    </row>
    <row r="7516" spans="1:11" x14ac:dyDescent="0.35">
      <c r="A7516" s="9" t="str">
        <f>HYPERLINK("http://www.ensembl.org/id/WBGene00008024", "WBGene00008024")</f>
        <v>WBGene00008024</v>
      </c>
      <c r="B7516" s="9" t="str">
        <f>HYPERLINK("http://www.ncbi.nlm.nih.gov/gene/183333", "183333")</f>
        <v>183333</v>
      </c>
      <c r="C7516" s="9"/>
      <c r="D7516" t="str">
        <f>"C39B10.4"</f>
        <v>C39B10.4</v>
      </c>
      <c r="F7516" t="s">
        <v>11</v>
      </c>
      <c r="H7516" s="12">
        <v>-2.79034805100844</v>
      </c>
      <c r="I7516" s="20">
        <v>-0.81710917407199302</v>
      </c>
      <c r="J7516" s="28">
        <v>0.41386604065833199</v>
      </c>
      <c r="K7516" s="29">
        <v>0.98289565623980701</v>
      </c>
    </row>
    <row r="7517" spans="1:11" x14ac:dyDescent="0.35">
      <c r="A7517" s="9" t="str">
        <f>HYPERLINK("http://www.ensembl.org/id/WBGene00164973", "WBGene00164973")</f>
        <v>WBGene00164973</v>
      </c>
      <c r="B7517" s="9" t="str">
        <f>HYPERLINK("http://www.ncbi.nlm.nih.gov/gene/13222514", "13222514")</f>
        <v>13222514</v>
      </c>
      <c r="C7517" s="9"/>
      <c r="D7517" t="str">
        <f>"C39B10.7"</f>
        <v>C39B10.7</v>
      </c>
      <c r="F7517" t="s">
        <v>11</v>
      </c>
      <c r="G7517" t="s">
        <v>25</v>
      </c>
      <c r="H7517" s="12">
        <v>1.3135503676485301</v>
      </c>
      <c r="I7517" s="20">
        <v>0.34932070865978199</v>
      </c>
      <c r="J7517" s="28">
        <v>0.72684855325306097</v>
      </c>
      <c r="K7517" s="29">
        <v>0.98289565623980701</v>
      </c>
    </row>
    <row r="7518" spans="1:11" x14ac:dyDescent="0.35">
      <c r="A7518" s="9" t="str">
        <f>HYPERLINK("http://www.ensembl.org/id/WBGene00016529", "WBGene00016529")</f>
        <v>WBGene00016529</v>
      </c>
      <c r="B7518" s="9" t="str">
        <f>HYPERLINK("http://www.ncbi.nlm.nih.gov/gene/183335", "183335")</f>
        <v>183335</v>
      </c>
      <c r="C7518" s="9"/>
      <c r="D7518" t="str">
        <f>"C39D10.1"</f>
        <v>C39D10.1</v>
      </c>
      <c r="F7518" t="s">
        <v>11</v>
      </c>
      <c r="H7518" s="12">
        <v>-2.4991590031922399</v>
      </c>
      <c r="I7518" s="20">
        <v>-0.26577412737581302</v>
      </c>
      <c r="J7518" s="28">
        <v>0.79041317015736101</v>
      </c>
      <c r="K7518" s="29">
        <v>0.98289565623980701</v>
      </c>
    </row>
    <row r="7519" spans="1:11" x14ac:dyDescent="0.35">
      <c r="A7519" s="9" t="str">
        <f>HYPERLINK("http://www.ensembl.org/id/WBGene00016533", "WBGene00016533")</f>
        <v>WBGene00016533</v>
      </c>
      <c r="B7519" s="9" t="str">
        <f>HYPERLINK("http://www.ncbi.nlm.nih.gov/gene/183338", "183338")</f>
        <v>183338</v>
      </c>
      <c r="C7519" s="9"/>
      <c r="D7519" t="str">
        <f>"C39D10.6"</f>
        <v>C39D10.6</v>
      </c>
      <c r="F7519" t="s">
        <v>11</v>
      </c>
      <c r="G7519" t="s">
        <v>3015</v>
      </c>
      <c r="H7519" s="12">
        <v>1.13258260667946</v>
      </c>
      <c r="I7519" s="20">
        <v>0.432986317738214</v>
      </c>
      <c r="J7519" s="28">
        <v>0.66502470982870499</v>
      </c>
      <c r="K7519" s="29">
        <v>0.98289565623980701</v>
      </c>
    </row>
    <row r="7520" spans="1:11" x14ac:dyDescent="0.35">
      <c r="A7520" s="9" t="str">
        <f>HYPERLINK("http://www.ensembl.org/id/WBGene00016535", "WBGene00016535")</f>
        <v>WBGene00016535</v>
      </c>
      <c r="B7520" s="9" t="str">
        <f>HYPERLINK("http://www.ncbi.nlm.nih.gov/gene/181046", "181046")</f>
        <v>181046</v>
      </c>
      <c r="C7520" s="9"/>
      <c r="D7520" t="str">
        <f>"C39D10.8"</f>
        <v>C39D10.8</v>
      </c>
      <c r="F7520" t="s">
        <v>11</v>
      </c>
      <c r="H7520" s="12">
        <v>-1.22377130131059</v>
      </c>
      <c r="I7520" s="20">
        <v>-0.84791024107296897</v>
      </c>
      <c r="J7520" s="28">
        <v>0.39648796069243097</v>
      </c>
      <c r="K7520" s="29">
        <v>0.98289565623980701</v>
      </c>
    </row>
    <row r="7521" spans="1:11" x14ac:dyDescent="0.35">
      <c r="A7521" s="9" t="str">
        <f>HYPERLINK("http://www.ensembl.org/id/WBGene00197645", "WBGene00197645")</f>
        <v>WBGene00197645</v>
      </c>
      <c r="B7521" s="9"/>
      <c r="C7521" s="9"/>
      <c r="D7521" t="str">
        <f>"C39E6.10"</f>
        <v>C39E6.10</v>
      </c>
      <c r="F7521" t="s">
        <v>481</v>
      </c>
      <c r="H7521" s="12">
        <v>2.3893468495514898</v>
      </c>
      <c r="I7521" s="20">
        <v>0.25323547253672701</v>
      </c>
      <c r="J7521" s="28">
        <v>0.80008625651646104</v>
      </c>
      <c r="K7521" s="29">
        <v>0.98289565623980701</v>
      </c>
    </row>
    <row r="7522" spans="1:11" x14ac:dyDescent="0.35">
      <c r="A7522" s="9" t="str">
        <f>HYPERLINK("http://www.ensembl.org/id/WBGene00016537", "WBGene00016537")</f>
        <v>WBGene00016537</v>
      </c>
      <c r="B7522" s="9" t="str">
        <f>HYPERLINK("http://www.ncbi.nlm.nih.gov/gene/183341", "183341")</f>
        <v>183341</v>
      </c>
      <c r="C7522" s="9"/>
      <c r="D7522" t="str">
        <f>"C39E6.2"</f>
        <v>C39E6.2</v>
      </c>
      <c r="F7522" t="s">
        <v>11</v>
      </c>
      <c r="H7522" s="12">
        <v>-1.4442629883925</v>
      </c>
      <c r="I7522" s="20">
        <v>-0.87027606434171501</v>
      </c>
      <c r="J7522" s="28">
        <v>0.38414955623719099</v>
      </c>
      <c r="K7522" s="29">
        <v>0.98289565623980701</v>
      </c>
    </row>
    <row r="7523" spans="1:11" x14ac:dyDescent="0.35">
      <c r="A7523" s="9" t="str">
        <f>HYPERLINK("http://www.ensembl.org/id/WBGene00008034", "WBGene00008034")</f>
        <v>WBGene00008034</v>
      </c>
      <c r="B7523" s="9" t="str">
        <f>HYPERLINK("http://www.ncbi.nlm.nih.gov/gene/178257", "178257")</f>
        <v>178257</v>
      </c>
      <c r="C7523" s="9"/>
      <c r="D7523" t="str">
        <f>"C39E9.11"</f>
        <v>C39E9.11</v>
      </c>
      <c r="F7523" t="s">
        <v>11</v>
      </c>
      <c r="G7523" t="s">
        <v>228</v>
      </c>
      <c r="H7523" s="12">
        <v>-1.1983069729343001</v>
      </c>
      <c r="I7523" s="20">
        <v>-0.90967554916799398</v>
      </c>
      <c r="J7523" s="28">
        <v>0.36299364265216799</v>
      </c>
      <c r="K7523" s="29">
        <v>0.98289565623980701</v>
      </c>
    </row>
    <row r="7524" spans="1:11" x14ac:dyDescent="0.35">
      <c r="A7524" s="9" t="str">
        <f>HYPERLINK("http://www.ensembl.org/id/WBGene00008035", "WBGene00008035")</f>
        <v>WBGene00008035</v>
      </c>
      <c r="B7524" s="9" t="str">
        <f>HYPERLINK("http://www.ncbi.nlm.nih.gov/gene/178258", "178258")</f>
        <v>178258</v>
      </c>
      <c r="C7524" s="9"/>
      <c r="D7524" t="str">
        <f>"C39E9.12"</f>
        <v>C39E9.12</v>
      </c>
      <c r="F7524" t="s">
        <v>11</v>
      </c>
      <c r="H7524" s="12">
        <v>-1.32787167209985</v>
      </c>
      <c r="I7524" s="20">
        <v>-1.18828617846011</v>
      </c>
      <c r="J7524" s="28">
        <v>0.23472068119925099</v>
      </c>
      <c r="K7524" s="29">
        <v>0.98289565623980701</v>
      </c>
    </row>
    <row r="7525" spans="1:11" x14ac:dyDescent="0.35">
      <c r="A7525" s="9" t="str">
        <f>HYPERLINK("http://www.ensembl.org/id/WBGene00197611", "WBGene00197611")</f>
        <v>WBGene00197611</v>
      </c>
      <c r="B7525" s="9"/>
      <c r="C7525" s="9"/>
      <c r="D7525" t="str">
        <f>"C39E9.17"</f>
        <v>C39E9.17</v>
      </c>
      <c r="F7525" t="s">
        <v>481</v>
      </c>
      <c r="H7525" s="12">
        <v>4.6387698961716399</v>
      </c>
      <c r="I7525" s="20">
        <v>0.44985450087338802</v>
      </c>
      <c r="J7525" s="28">
        <v>0.65281535672642099</v>
      </c>
      <c r="K7525" s="29">
        <v>0.98289565623980701</v>
      </c>
    </row>
    <row r="7526" spans="1:11" x14ac:dyDescent="0.35">
      <c r="A7526" s="9" t="str">
        <f>HYPERLINK("http://www.ensembl.org/id/WBGene00016538", "WBGene00016538")</f>
        <v>WBGene00016538</v>
      </c>
      <c r="B7526" s="9" t="str">
        <f>HYPERLINK("http://www.ncbi.nlm.nih.gov/gene/183348", "183348")</f>
        <v>183348</v>
      </c>
      <c r="C7526" s="9"/>
      <c r="D7526" t="str">
        <f>"C39F7.1"</f>
        <v>C39F7.1</v>
      </c>
      <c r="F7526" t="s">
        <v>11</v>
      </c>
      <c r="G7526" t="s">
        <v>25</v>
      </c>
      <c r="H7526" s="12">
        <v>1.26837192052689</v>
      </c>
      <c r="I7526" s="20">
        <v>0.52932246821693396</v>
      </c>
      <c r="J7526" s="28">
        <v>0.59658177190555295</v>
      </c>
      <c r="K7526" s="29">
        <v>0.98289565623980701</v>
      </c>
    </row>
    <row r="7527" spans="1:11" x14ac:dyDescent="0.35">
      <c r="A7527" s="9" t="str">
        <f>HYPERLINK("http://www.ensembl.org/id/WBGene00016540", "WBGene00016540")</f>
        <v>WBGene00016540</v>
      </c>
      <c r="B7527" s="9" t="str">
        <f>HYPERLINK("http://www.ncbi.nlm.nih.gov/gene/178621", "178621")</f>
        <v>178621</v>
      </c>
      <c r="C7527" s="9"/>
      <c r="D7527" t="str">
        <f>"C39F7.5"</f>
        <v>C39F7.5</v>
      </c>
      <c r="F7527" t="s">
        <v>11</v>
      </c>
      <c r="G7527" t="s">
        <v>6455</v>
      </c>
      <c r="H7527" s="12">
        <v>-1.07037595604068</v>
      </c>
      <c r="I7527" s="20">
        <v>-0.28894905790755399</v>
      </c>
      <c r="J7527" s="28">
        <v>0.77262036131225698</v>
      </c>
      <c r="K7527" s="29">
        <v>0.98289565623980701</v>
      </c>
    </row>
    <row r="7528" spans="1:11" x14ac:dyDescent="0.35">
      <c r="A7528" s="9" t="str">
        <f>HYPERLINK("http://www.ensembl.org/id/WBGene00023252", "WBGene00023252")</f>
        <v>WBGene00023252</v>
      </c>
      <c r="B7528" s="9"/>
      <c r="C7528" s="9"/>
      <c r="D7528" t="str">
        <f>"C39H7.2"</f>
        <v>C39H7.2</v>
      </c>
      <c r="F7528" t="s">
        <v>80</v>
      </c>
      <c r="H7528" s="12">
        <v>1.7267123940767899</v>
      </c>
      <c r="I7528" s="20">
        <v>0.53806794735413499</v>
      </c>
      <c r="J7528" s="28">
        <v>0.59053013996652204</v>
      </c>
      <c r="K7528" s="29">
        <v>0.98289565623980701</v>
      </c>
    </row>
    <row r="7529" spans="1:11" x14ac:dyDescent="0.35">
      <c r="A7529" s="9" t="str">
        <f>HYPERLINK("http://www.ensembl.org/id/WBGene00016542", "WBGene00016542")</f>
        <v>WBGene00016542</v>
      </c>
      <c r="B7529" s="9" t="str">
        <f>HYPERLINK("http://www.ncbi.nlm.nih.gov/gene/183349", "183349")</f>
        <v>183349</v>
      </c>
      <c r="C7529" s="9"/>
      <c r="D7529" t="str">
        <f>"C39H7.4"</f>
        <v>C39H7.4</v>
      </c>
      <c r="F7529" t="s">
        <v>11</v>
      </c>
      <c r="G7529" t="s">
        <v>394</v>
      </c>
      <c r="H7529" s="12">
        <v>-1.06612606649395</v>
      </c>
      <c r="I7529" s="20">
        <v>-0.299859289271525</v>
      </c>
      <c r="J7529" s="28">
        <v>0.76428448860185005</v>
      </c>
      <c r="K7529" s="29">
        <v>0.98289565623980701</v>
      </c>
    </row>
    <row r="7530" spans="1:11" x14ac:dyDescent="0.35">
      <c r="A7530" s="9" t="str">
        <f>HYPERLINK("http://www.ensembl.org/id/WBGene00016545", "WBGene00016545")</f>
        <v>WBGene00016545</v>
      </c>
      <c r="B7530" s="9" t="str">
        <f>HYPERLINK("http://www.ncbi.nlm.nih.gov/gene/183352", "183352")</f>
        <v>183352</v>
      </c>
      <c r="C7530" s="9"/>
      <c r="D7530" t="str">
        <f>"C40A11.2"</f>
        <v>C40A11.2</v>
      </c>
      <c r="F7530" t="s">
        <v>11</v>
      </c>
      <c r="G7530" t="s">
        <v>817</v>
      </c>
      <c r="H7530" s="12">
        <v>1.1905859435763899</v>
      </c>
      <c r="I7530" s="20">
        <v>0.39792767933038498</v>
      </c>
      <c r="J7530" s="28">
        <v>0.690683496124881</v>
      </c>
      <c r="K7530" s="29">
        <v>0.98289565623980701</v>
      </c>
    </row>
    <row r="7531" spans="1:11" x14ac:dyDescent="0.35">
      <c r="A7531" s="9" t="str">
        <f>HYPERLINK("http://www.ensembl.org/id/WBGene00016546", "WBGene00016546")</f>
        <v>WBGene00016546</v>
      </c>
      <c r="B7531" s="9" t="str">
        <f>HYPERLINK("http://www.ncbi.nlm.nih.gov/gene/183353", "183353")</f>
        <v>183353</v>
      </c>
      <c r="C7531" s="9"/>
      <c r="D7531" t="str">
        <f>"C40A11.3"</f>
        <v>C40A11.3</v>
      </c>
      <c r="F7531" t="s">
        <v>11</v>
      </c>
      <c r="G7531" t="s">
        <v>817</v>
      </c>
      <c r="H7531" s="12">
        <v>1.13448269633351</v>
      </c>
      <c r="I7531" s="20">
        <v>0.30355849472965701</v>
      </c>
      <c r="J7531" s="28">
        <v>0.76146427660905702</v>
      </c>
      <c r="K7531" s="29">
        <v>0.98289565623980701</v>
      </c>
    </row>
    <row r="7532" spans="1:11" x14ac:dyDescent="0.35">
      <c r="A7532" s="9" t="str">
        <f>HYPERLINK("http://www.ensembl.org/id/WBGene00016547", "WBGene00016547")</f>
        <v>WBGene00016547</v>
      </c>
      <c r="B7532" s="9" t="str">
        <f>HYPERLINK("http://www.ncbi.nlm.nih.gov/gene/173571", "173571")</f>
        <v>173571</v>
      </c>
      <c r="C7532" s="9"/>
      <c r="D7532" t="str">
        <f>"C40A11.4"</f>
        <v>C40A11.4</v>
      </c>
      <c r="F7532" t="s">
        <v>11</v>
      </c>
      <c r="G7532" t="s">
        <v>817</v>
      </c>
      <c r="H7532" s="12">
        <v>1.3640029535886999</v>
      </c>
      <c r="I7532" s="20">
        <v>0.84283717592582097</v>
      </c>
      <c r="J7532" s="28">
        <v>0.39931951330708498</v>
      </c>
      <c r="K7532" s="29">
        <v>0.98289565623980701</v>
      </c>
    </row>
    <row r="7533" spans="1:11" x14ac:dyDescent="0.35">
      <c r="A7533" s="9" t="str">
        <f>HYPERLINK("http://www.ensembl.org/id/WBGene00016551", "WBGene00016551")</f>
        <v>WBGene00016551</v>
      </c>
      <c r="B7533" s="9" t="str">
        <f>HYPERLINK("http://www.ncbi.nlm.nih.gov/gene/183356", "183356")</f>
        <v>183356</v>
      </c>
      <c r="C7533" s="9"/>
      <c r="D7533" t="str">
        <f>"C40A11.8"</f>
        <v>C40A11.8</v>
      </c>
      <c r="F7533" t="s">
        <v>11</v>
      </c>
      <c r="G7533" t="s">
        <v>25</v>
      </c>
      <c r="H7533" s="12">
        <v>2.9753392539316201</v>
      </c>
      <c r="I7533" s="20">
        <v>0.428744983571483</v>
      </c>
      <c r="J7533" s="28">
        <v>0.66810882041836495</v>
      </c>
      <c r="K7533" s="29">
        <v>0.98289565623980701</v>
      </c>
    </row>
    <row r="7534" spans="1:11" x14ac:dyDescent="0.35">
      <c r="A7534" s="9" t="str">
        <f>HYPERLINK("http://www.ensembl.org/id/WBGene00008036", "WBGene00008036")</f>
        <v>WBGene00008036</v>
      </c>
      <c r="B7534" s="9" t="str">
        <f>HYPERLINK("http://www.ncbi.nlm.nih.gov/gene/183358", "183358")</f>
        <v>183358</v>
      </c>
      <c r="C7534" s="9"/>
      <c r="D7534" t="str">
        <f>"C40C9.3"</f>
        <v>C40C9.3</v>
      </c>
      <c r="F7534" t="s">
        <v>11</v>
      </c>
      <c r="H7534" s="12">
        <v>-1.2299538266013501</v>
      </c>
      <c r="I7534" s="20">
        <v>-1.08828905742659</v>
      </c>
      <c r="J7534" s="28">
        <v>0.276467519732571</v>
      </c>
      <c r="K7534" s="29">
        <v>0.98289565623980701</v>
      </c>
    </row>
    <row r="7535" spans="1:11" x14ac:dyDescent="0.35">
      <c r="A7535" s="9" t="str">
        <f>HYPERLINK("http://www.ensembl.org/id/WBGene00195496", "WBGene00195496")</f>
        <v>WBGene00195496</v>
      </c>
      <c r="B7535" s="9"/>
      <c r="C7535" s="9"/>
      <c r="D7535" t="str">
        <f>"C40C9.8"</f>
        <v>C40C9.8</v>
      </c>
      <c r="F7535" t="s">
        <v>481</v>
      </c>
      <c r="H7535" s="12">
        <v>-1.5895669896971001</v>
      </c>
      <c r="I7535" s="20">
        <v>-0.358078301442599</v>
      </c>
      <c r="J7535" s="28">
        <v>0.72028471683220996</v>
      </c>
      <c r="K7535" s="29">
        <v>0.98289565623980701</v>
      </c>
    </row>
    <row r="7536" spans="1:11" x14ac:dyDescent="0.35">
      <c r="A7536" s="9" t="str">
        <f>HYPERLINK("http://www.ensembl.org/id/WBGene00196238", "WBGene00196238")</f>
        <v>WBGene00196238</v>
      </c>
      <c r="B7536" s="9"/>
      <c r="C7536" s="9"/>
      <c r="D7536" t="str">
        <f>"C40C9.9"</f>
        <v>C40C9.9</v>
      </c>
      <c r="F7536" t="s">
        <v>481</v>
      </c>
      <c r="H7536" s="12">
        <v>-1.6430948139645301</v>
      </c>
      <c r="I7536" s="20">
        <v>-0.35279386838587501</v>
      </c>
      <c r="J7536" s="28">
        <v>0.72424298091056305</v>
      </c>
      <c r="K7536" s="29">
        <v>0.98289565623980701</v>
      </c>
    </row>
    <row r="7537" spans="1:11" x14ac:dyDescent="0.35">
      <c r="A7537" s="9" t="str">
        <f>HYPERLINK("http://www.ensembl.org/id/WBGene00008038", "WBGene00008038")</f>
        <v>WBGene00008038</v>
      </c>
      <c r="B7537" s="9" t="str">
        <f>HYPERLINK("http://www.ncbi.nlm.nih.gov/gene/183365", "183365")</f>
        <v>183365</v>
      </c>
      <c r="C7537" s="9"/>
      <c r="D7537" t="str">
        <f>"C40H1.2"</f>
        <v>C40H1.2</v>
      </c>
      <c r="F7537" t="s">
        <v>11</v>
      </c>
      <c r="H7537" s="12">
        <v>-1.32638695344326</v>
      </c>
      <c r="I7537" s="20">
        <v>-1.0722657106675599</v>
      </c>
      <c r="J7537" s="28">
        <v>0.28360070339808602</v>
      </c>
      <c r="K7537" s="29">
        <v>0.98289565623980701</v>
      </c>
    </row>
    <row r="7538" spans="1:11" x14ac:dyDescent="0.35">
      <c r="A7538" s="9" t="str">
        <f>HYPERLINK("http://www.ensembl.org/id/WBGene00008039", "WBGene00008039")</f>
        <v>WBGene00008039</v>
      </c>
      <c r="B7538" s="9" t="str">
        <f>HYPERLINK("http://www.ncbi.nlm.nih.gov/gene/183366", "183366")</f>
        <v>183366</v>
      </c>
      <c r="C7538" s="9"/>
      <c r="D7538" t="str">
        <f>"C40H1.3"</f>
        <v>C40H1.3</v>
      </c>
      <c r="F7538" t="s">
        <v>11</v>
      </c>
      <c r="H7538" s="12">
        <v>1.84948610924687</v>
      </c>
      <c r="I7538" s="20">
        <v>0.49981207097359898</v>
      </c>
      <c r="J7538" s="28">
        <v>0.617207410256568</v>
      </c>
      <c r="K7538" s="29">
        <v>0.98289565623980701</v>
      </c>
    </row>
    <row r="7539" spans="1:11" x14ac:dyDescent="0.35">
      <c r="A7539" s="9" t="str">
        <f>HYPERLINK("http://www.ensembl.org/id/WBGene00008044", "WBGene00008044")</f>
        <v>WBGene00008044</v>
      </c>
      <c r="B7539" s="9" t="str">
        <f>HYPERLINK("http://www.ncbi.nlm.nih.gov/gene/3565853", "3565853")</f>
        <v>3565853</v>
      </c>
      <c r="C7539" s="9"/>
      <c r="D7539" t="str">
        <f>"C40H1.9"</f>
        <v>C40H1.9</v>
      </c>
      <c r="F7539" t="s">
        <v>11</v>
      </c>
      <c r="G7539" t="s">
        <v>29</v>
      </c>
      <c r="H7539" s="12">
        <v>3.04661314103957</v>
      </c>
      <c r="I7539" s="20">
        <v>0.57239317493318997</v>
      </c>
      <c r="J7539" s="28">
        <v>0.56705563861538799</v>
      </c>
      <c r="K7539" s="29">
        <v>0.98289565623980701</v>
      </c>
    </row>
    <row r="7540" spans="1:11" x14ac:dyDescent="0.35">
      <c r="A7540" s="9" t="str">
        <f>HYPERLINK("http://www.ensembl.org/id/WBGene00199349", "WBGene00199349")</f>
        <v>WBGene00199349</v>
      </c>
      <c r="B7540" s="9"/>
      <c r="C7540" s="9"/>
      <c r="D7540" t="str">
        <f>"C40H5.14"</f>
        <v>C40H5.14</v>
      </c>
      <c r="F7540" t="s">
        <v>481</v>
      </c>
      <c r="H7540" s="12">
        <v>2.3893468495514898</v>
      </c>
      <c r="I7540" s="20">
        <v>0.25323547253672701</v>
      </c>
      <c r="J7540" s="28">
        <v>0.80008625651646104</v>
      </c>
      <c r="K7540" s="29">
        <v>0.98289565623980701</v>
      </c>
    </row>
    <row r="7541" spans="1:11" x14ac:dyDescent="0.35">
      <c r="A7541" s="9" t="str">
        <f>HYPERLINK("http://www.ensembl.org/id/WBGene00008045", "WBGene00008045")</f>
        <v>WBGene00008045</v>
      </c>
      <c r="B7541" s="9" t="str">
        <f>HYPERLINK("http://www.ncbi.nlm.nih.gov/gene/183369", "183369")</f>
        <v>183369</v>
      </c>
      <c r="C7541" s="9"/>
      <c r="D7541" t="str">
        <f>"C40H5.2"</f>
        <v>C40H5.2</v>
      </c>
      <c r="F7541" t="s">
        <v>11</v>
      </c>
      <c r="G7541" t="s">
        <v>601</v>
      </c>
      <c r="H7541" s="12">
        <v>1.3819127398754201</v>
      </c>
      <c r="I7541" s="20">
        <v>0.985541693671389</v>
      </c>
      <c r="J7541" s="28">
        <v>0.32435806200553202</v>
      </c>
      <c r="K7541" s="29">
        <v>0.98289565623980701</v>
      </c>
    </row>
    <row r="7542" spans="1:11" x14ac:dyDescent="0.35">
      <c r="A7542" s="9" t="str">
        <f>HYPERLINK("http://www.ensembl.org/id/WBGene00008049", "WBGene00008049")</f>
        <v>WBGene00008049</v>
      </c>
      <c r="B7542" s="9" t="str">
        <f>HYPERLINK("http://www.ncbi.nlm.nih.gov/gene/183373", "183373")</f>
        <v>183373</v>
      </c>
      <c r="C7542" s="9"/>
      <c r="D7542" t="str">
        <f>"C40H5.7"</f>
        <v>C40H5.7</v>
      </c>
      <c r="F7542" t="s">
        <v>11</v>
      </c>
      <c r="H7542" s="12">
        <v>1.53204929899153</v>
      </c>
      <c r="I7542" s="20">
        <v>0.59217011312315004</v>
      </c>
      <c r="J7542" s="28">
        <v>0.55373668052738501</v>
      </c>
      <c r="K7542" s="29">
        <v>0.98289565623980701</v>
      </c>
    </row>
    <row r="7543" spans="1:11" x14ac:dyDescent="0.35">
      <c r="A7543" s="9" t="str">
        <f>HYPERLINK("http://www.ensembl.org/id/WBGene00044585", "WBGene00044585")</f>
        <v>WBGene00044585</v>
      </c>
      <c r="B7543" s="9"/>
      <c r="C7543" s="9"/>
      <c r="D7543" t="str">
        <f>"C40H5.8"</f>
        <v>C40H5.8</v>
      </c>
      <c r="F7543" t="s">
        <v>80</v>
      </c>
      <c r="H7543" s="12">
        <v>-1.7622578568204601</v>
      </c>
      <c r="I7543" s="20">
        <v>-0.426457228230605</v>
      </c>
      <c r="J7543" s="28">
        <v>0.66977470831514696</v>
      </c>
      <c r="K7543" s="29">
        <v>0.98289565623980701</v>
      </c>
    </row>
    <row r="7544" spans="1:11" x14ac:dyDescent="0.35">
      <c r="A7544" s="9" t="str">
        <f>HYPERLINK("http://www.ensembl.org/id/WBGene00016559", "WBGene00016559")</f>
        <v>WBGene00016559</v>
      </c>
      <c r="B7544" s="9" t="str">
        <f>HYPERLINK("http://www.ncbi.nlm.nih.gov/gene/180814", "180814")</f>
        <v>180814</v>
      </c>
      <c r="C7544" s="9"/>
      <c r="D7544" t="str">
        <f>"C41A3.2"</f>
        <v>C41A3.2</v>
      </c>
      <c r="F7544" t="s">
        <v>11</v>
      </c>
      <c r="H7544" s="12">
        <v>-1.13166217189246</v>
      </c>
      <c r="I7544" s="20">
        <v>-0.47816216754297303</v>
      </c>
      <c r="J7544" s="28">
        <v>0.63253478731787105</v>
      </c>
      <c r="K7544" s="29">
        <v>0.98289565623980701</v>
      </c>
    </row>
    <row r="7545" spans="1:11" x14ac:dyDescent="0.35">
      <c r="A7545" s="9" t="str">
        <f>HYPERLINK("http://www.ensembl.org/id/WBGene00045160", "WBGene00045160")</f>
        <v>WBGene00045160</v>
      </c>
      <c r="B7545" s="9"/>
      <c r="C7545" s="9"/>
      <c r="D7545" t="str">
        <f>"C41C4.11"</f>
        <v>C41C4.11</v>
      </c>
      <c r="F7545" t="s">
        <v>2977</v>
      </c>
      <c r="H7545" s="12">
        <v>2.4578120077400301</v>
      </c>
      <c r="I7545" s="20">
        <v>0.26093350314551</v>
      </c>
      <c r="J7545" s="28">
        <v>0.79414378780213601</v>
      </c>
      <c r="K7545" s="29">
        <v>0.98289565623980701</v>
      </c>
    </row>
    <row r="7546" spans="1:11" x14ac:dyDescent="0.35">
      <c r="A7546" s="9" t="str">
        <f>HYPERLINK("http://www.ensembl.org/id/WBGene00199336", "WBGene00199336")</f>
        <v>WBGene00199336</v>
      </c>
      <c r="B7546" s="9"/>
      <c r="C7546" s="9"/>
      <c r="D7546" t="str">
        <f>"C41C4.14"</f>
        <v>C41C4.14</v>
      </c>
      <c r="F7546" t="s">
        <v>481</v>
      </c>
      <c r="H7546" s="12">
        <v>2.4578120077400301</v>
      </c>
      <c r="I7546" s="20">
        <v>0.26093350314551</v>
      </c>
      <c r="J7546" s="28">
        <v>0.79414378780213601</v>
      </c>
      <c r="K7546" s="29">
        <v>0.98289565623980701</v>
      </c>
    </row>
    <row r="7547" spans="1:11" x14ac:dyDescent="0.35">
      <c r="A7547" s="9" t="str">
        <f>HYPERLINK("http://www.ensembl.org/id/WBGene00219852", "WBGene00219852")</f>
        <v>WBGene00219852</v>
      </c>
      <c r="B7547" s="9"/>
      <c r="C7547" s="9"/>
      <c r="D7547" t="str">
        <f>"C41C4.16"</f>
        <v>C41C4.16</v>
      </c>
      <c r="F7547" t="s">
        <v>2977</v>
      </c>
      <c r="H7547" s="12">
        <v>2.34541765407553</v>
      </c>
      <c r="I7547" s="20">
        <v>0.28884083622080498</v>
      </c>
      <c r="J7547" s="28">
        <v>0.772703180542197</v>
      </c>
      <c r="K7547" s="29">
        <v>0.98289565623980701</v>
      </c>
    </row>
    <row r="7548" spans="1:11" x14ac:dyDescent="0.35">
      <c r="A7548" s="9" t="str">
        <f>HYPERLINK("http://www.ensembl.org/id/WBGene00008054", "WBGene00008054")</f>
        <v>WBGene00008054</v>
      </c>
      <c r="B7548" s="9" t="str">
        <f>HYPERLINK("http://www.ncbi.nlm.nih.gov/gene/3565682", "3565682")</f>
        <v>3565682</v>
      </c>
      <c r="C7548" s="9"/>
      <c r="D7548" t="str">
        <f>"C41C4.9"</f>
        <v>C41C4.9</v>
      </c>
      <c r="F7548" t="s">
        <v>11</v>
      </c>
      <c r="H7548" s="12">
        <v>-2.4991590031922399</v>
      </c>
      <c r="I7548" s="20">
        <v>-0.26577412737581302</v>
      </c>
      <c r="J7548" s="28">
        <v>0.79041317015736101</v>
      </c>
      <c r="K7548" s="29">
        <v>0.98289565623980701</v>
      </c>
    </row>
    <row r="7549" spans="1:11" x14ac:dyDescent="0.35">
      <c r="A7549" s="9" t="str">
        <f>HYPERLINK("http://www.ensembl.org/id/WBGene00195180", "WBGene00195180")</f>
        <v>WBGene00195180</v>
      </c>
      <c r="B7549" s="9" t="str">
        <f>HYPERLINK("http://www.ncbi.nlm.nih.gov/gene/13179984", "13179984")</f>
        <v>13179984</v>
      </c>
      <c r="C7549" s="9"/>
      <c r="D7549" t="str">
        <f>"C41D11.10"</f>
        <v>C41D11.10</v>
      </c>
      <c r="F7549" t="s">
        <v>11</v>
      </c>
      <c r="H7549" s="12">
        <v>-2.3838754719136599</v>
      </c>
      <c r="I7549" s="20">
        <v>-0.25807578497976902</v>
      </c>
      <c r="J7549" s="28">
        <v>0.79634841949468704</v>
      </c>
      <c r="K7549" s="29">
        <v>0.98289565623980701</v>
      </c>
    </row>
    <row r="7550" spans="1:11" x14ac:dyDescent="0.35">
      <c r="A7550" s="9" t="str">
        <f>HYPERLINK("http://www.ensembl.org/id/WBGene00016562", "WBGene00016562")</f>
        <v>WBGene00016562</v>
      </c>
      <c r="B7550" s="9" t="str">
        <f>HYPERLINK("http://www.ncbi.nlm.nih.gov/gene/3565087", "3565087")</f>
        <v>3565087</v>
      </c>
      <c r="C7550" s="9"/>
      <c r="D7550" t="str">
        <f>"C41D11.3"</f>
        <v>C41D11.3</v>
      </c>
      <c r="F7550" t="s">
        <v>11</v>
      </c>
      <c r="G7550" t="s">
        <v>1791</v>
      </c>
      <c r="H7550" s="12">
        <v>-1.18863635849163</v>
      </c>
      <c r="I7550" s="20">
        <v>-0.87986643971531597</v>
      </c>
      <c r="J7550" s="28">
        <v>0.37893166714369803</v>
      </c>
      <c r="K7550" s="29">
        <v>0.98289565623980701</v>
      </c>
    </row>
    <row r="7551" spans="1:11" x14ac:dyDescent="0.35">
      <c r="A7551" s="9" t="str">
        <f>HYPERLINK("http://www.ensembl.org/id/WBGene00016567", "WBGene00016567")</f>
        <v>WBGene00016567</v>
      </c>
      <c r="B7551" s="9" t="str">
        <f>HYPERLINK("http://www.ncbi.nlm.nih.gov/gene/266651", "266651")</f>
        <v>266651</v>
      </c>
      <c r="C7551" s="9" t="str">
        <f>HYPERLINK("http://www.ncbi.nlm.nih.gov/gene/80213", "80213")</f>
        <v>80213</v>
      </c>
      <c r="D7551" t="str">
        <f>"C41D11.9"</f>
        <v>C41D11.9</v>
      </c>
      <c r="E7551" t="s">
        <v>8313</v>
      </c>
      <c r="F7551" t="s">
        <v>11</v>
      </c>
      <c r="G7551" t="s">
        <v>25</v>
      </c>
      <c r="H7551" s="12">
        <v>-1.17052196053379</v>
      </c>
      <c r="I7551" s="20">
        <v>-0.57498625383614599</v>
      </c>
      <c r="J7551" s="28">
        <v>0.56530059369806096</v>
      </c>
      <c r="K7551" s="29">
        <v>0.98289565623980701</v>
      </c>
    </row>
    <row r="7552" spans="1:11" x14ac:dyDescent="0.35">
      <c r="A7552" s="9" t="str">
        <f>HYPERLINK("http://www.ensembl.org/id/WBGene00201265", "WBGene00201265")</f>
        <v>WBGene00201265</v>
      </c>
      <c r="B7552" s="9"/>
      <c r="C7552" s="9"/>
      <c r="D7552" t="str">
        <f>"C41G11.17"</f>
        <v>C41G11.17</v>
      </c>
      <c r="F7552" t="s">
        <v>481</v>
      </c>
      <c r="H7552" s="12">
        <v>2.3893468495514898</v>
      </c>
      <c r="I7552" s="20">
        <v>0.25323547253672701</v>
      </c>
      <c r="J7552" s="28">
        <v>0.80008625651646104</v>
      </c>
      <c r="K7552" s="29">
        <v>0.98289565623980701</v>
      </c>
    </row>
    <row r="7553" spans="1:11" x14ac:dyDescent="0.35">
      <c r="A7553" s="9" t="str">
        <f>HYPERLINK("http://www.ensembl.org/id/WBGene00196435", "WBGene00196435")</f>
        <v>WBGene00196435</v>
      </c>
      <c r="B7553" s="9"/>
      <c r="C7553" s="9"/>
      <c r="D7553" t="str">
        <f>"C41G11.7"</f>
        <v>C41G11.7</v>
      </c>
      <c r="F7553" t="s">
        <v>481</v>
      </c>
      <c r="H7553" s="12">
        <v>3.6645215954135</v>
      </c>
      <c r="I7553" s="20">
        <v>0.37967131826092498</v>
      </c>
      <c r="J7553" s="28">
        <v>0.70418941338960395</v>
      </c>
      <c r="K7553" s="29">
        <v>0.98289565623980701</v>
      </c>
    </row>
    <row r="7554" spans="1:11" x14ac:dyDescent="0.35">
      <c r="A7554" s="9" t="str">
        <f>HYPERLINK("http://www.ensembl.org/id/WBGene00199339", "WBGene00199339")</f>
        <v>WBGene00199339</v>
      </c>
      <c r="B7554" s="9"/>
      <c r="C7554" s="9"/>
      <c r="D7554" t="str">
        <f>"C41G7.13"</f>
        <v>C41G7.13</v>
      </c>
      <c r="F7554" t="s">
        <v>481</v>
      </c>
      <c r="H7554" s="12">
        <v>7.6616465944663696</v>
      </c>
      <c r="I7554" s="20">
        <v>0.60406875593600395</v>
      </c>
      <c r="J7554" s="28">
        <v>0.54579793098927099</v>
      </c>
      <c r="K7554" s="29">
        <v>0.98289565623980701</v>
      </c>
    </row>
    <row r="7555" spans="1:11" x14ac:dyDescent="0.35">
      <c r="A7555" s="9" t="str">
        <f>HYPERLINK("http://www.ensembl.org/id/WBGene00219284", "WBGene00219284")</f>
        <v>WBGene00219284</v>
      </c>
      <c r="B7555" s="9" t="str">
        <f>HYPERLINK("http://www.ncbi.nlm.nih.gov/gene/13181508", "13181508")</f>
        <v>13181508</v>
      </c>
      <c r="C7555" s="9"/>
      <c r="D7555" t="str">
        <f>"C41G7.15"</f>
        <v>C41G7.15</v>
      </c>
      <c r="F7555" t="s">
        <v>11</v>
      </c>
      <c r="H7555" s="12">
        <v>-2.4991590031922399</v>
      </c>
      <c r="I7555" s="20">
        <v>-0.26577412737581302</v>
      </c>
      <c r="J7555" s="28">
        <v>0.79041317015736101</v>
      </c>
      <c r="K7555" s="29">
        <v>0.98289565623980701</v>
      </c>
    </row>
    <row r="7556" spans="1:11" x14ac:dyDescent="0.35">
      <c r="A7556" s="9" t="str">
        <f>HYPERLINK("http://www.ensembl.org/id/WBGene00008063", "WBGene00008063")</f>
        <v>WBGene00008063</v>
      </c>
      <c r="B7556" s="9" t="str">
        <f>HYPERLINK("http://www.ncbi.nlm.nih.gov/gene/172787", "172787")</f>
        <v>172787</v>
      </c>
      <c r="C7556" s="9"/>
      <c r="D7556" t="str">
        <f>"C41G7.6"</f>
        <v>C41G7.6</v>
      </c>
      <c r="F7556" t="s">
        <v>11</v>
      </c>
      <c r="H7556" s="12">
        <v>1.78801868521805</v>
      </c>
      <c r="I7556" s="20">
        <v>0.73684828436761196</v>
      </c>
      <c r="J7556" s="28">
        <v>0.46121461649793</v>
      </c>
      <c r="K7556" s="29">
        <v>0.98289565623980701</v>
      </c>
    </row>
    <row r="7557" spans="1:11" x14ac:dyDescent="0.35">
      <c r="A7557" s="9" t="str">
        <f>HYPERLINK("http://www.ensembl.org/id/WBGene00008064", "WBGene00008064")</f>
        <v>WBGene00008064</v>
      </c>
      <c r="B7557" s="9" t="str">
        <f>HYPERLINK("http://www.ncbi.nlm.nih.gov/gene/183392", "183392")</f>
        <v>183392</v>
      </c>
      <c r="C7557" s="9"/>
      <c r="D7557" t="str">
        <f>"C41G7.7"</f>
        <v>C41G7.7</v>
      </c>
      <c r="F7557" t="s">
        <v>11</v>
      </c>
      <c r="H7557" s="12">
        <v>1.8237992932526701</v>
      </c>
      <c r="I7557" s="20">
        <v>0.52744899031925596</v>
      </c>
      <c r="J7557" s="28">
        <v>0.59788183051069699</v>
      </c>
      <c r="K7557" s="29">
        <v>0.98289565623980701</v>
      </c>
    </row>
    <row r="7558" spans="1:11" x14ac:dyDescent="0.35">
      <c r="A7558" s="9" t="str">
        <f>HYPERLINK("http://www.ensembl.org/id/WBGene00077771", "WBGene00077771")</f>
        <v>WBGene00077771</v>
      </c>
      <c r="B7558" s="9" t="str">
        <f>HYPERLINK("http://www.ncbi.nlm.nih.gov/gene/7040157", "7040157")</f>
        <v>7040157</v>
      </c>
      <c r="C7558" s="9"/>
      <c r="D7558" t="str">
        <f>"C41G7.9"</f>
        <v>C41G7.9</v>
      </c>
      <c r="F7558" t="s">
        <v>11</v>
      </c>
      <c r="G7558" t="s">
        <v>8022</v>
      </c>
      <c r="H7558" s="12">
        <v>-1.15647856183303</v>
      </c>
      <c r="I7558" s="20">
        <v>-0.77729792082123095</v>
      </c>
      <c r="J7558" s="28">
        <v>0.43698302145314999</v>
      </c>
      <c r="K7558" s="29">
        <v>0.98289565623980701</v>
      </c>
    </row>
    <row r="7559" spans="1:11" x14ac:dyDescent="0.35">
      <c r="A7559" s="9" t="str">
        <f>HYPERLINK("http://www.ensembl.org/id/WBGene00016590", "WBGene00016590")</f>
        <v>WBGene00016590</v>
      </c>
      <c r="B7559" s="9" t="str">
        <f>HYPERLINK("http://www.ncbi.nlm.nih.gov/gene/178177", "178177")</f>
        <v>178177</v>
      </c>
      <c r="C7559" s="9"/>
      <c r="D7559" t="str">
        <f>"C42C1.12"</f>
        <v>C42C1.12</v>
      </c>
      <c r="F7559" t="s">
        <v>11</v>
      </c>
      <c r="H7559" s="12">
        <v>-1.21588558746429</v>
      </c>
      <c r="I7559" s="20">
        <v>-0.81353082002905597</v>
      </c>
      <c r="J7559" s="28">
        <v>0.415913783328273</v>
      </c>
      <c r="K7559" s="29">
        <v>0.98289565623980701</v>
      </c>
    </row>
    <row r="7560" spans="1:11" x14ac:dyDescent="0.35">
      <c r="A7560" s="9" t="str">
        <f>HYPERLINK("http://www.ensembl.org/id/WBGene00016591", "WBGene00016591")</f>
        <v>WBGene00016591</v>
      </c>
      <c r="B7560" s="9" t="str">
        <f>HYPERLINK("http://www.ncbi.nlm.nih.gov/gene/178175", "178175")</f>
        <v>178175</v>
      </c>
      <c r="C7560" s="9" t="str">
        <f>HYPERLINK("http://www.ncbi.nlm.nih.gov/gene/79609", "79609")</f>
        <v>79609</v>
      </c>
      <c r="D7560" t="str">
        <f>"C42C1.13"</f>
        <v>C42C1.13</v>
      </c>
      <c r="E7560" t="s">
        <v>7427</v>
      </c>
      <c r="F7560" t="s">
        <v>11</v>
      </c>
      <c r="G7560" t="s">
        <v>7428</v>
      </c>
      <c r="H7560" s="12">
        <v>-1.12504825523172</v>
      </c>
      <c r="I7560" s="20">
        <v>-0.43933955933155799</v>
      </c>
      <c r="J7560" s="28">
        <v>0.66041551400168896</v>
      </c>
      <c r="K7560" s="29">
        <v>0.98289565623980701</v>
      </c>
    </row>
    <row r="7561" spans="1:11" x14ac:dyDescent="0.35">
      <c r="A7561" s="9" t="str">
        <f>HYPERLINK("http://www.ensembl.org/id/WBGene00302978", "WBGene00302978")</f>
        <v>WBGene00302978</v>
      </c>
      <c r="B7561" s="9" t="str">
        <f>HYPERLINK("http://www.ncbi.nlm.nih.gov/gene/183402", "183402")</f>
        <v>183402</v>
      </c>
      <c r="C7561" s="9" t="str">
        <f>HYPERLINK("http://www.ncbi.nlm.nih.gov/gene/60386", "60386")</f>
        <v>60386</v>
      </c>
      <c r="D7561" t="str">
        <f>"C42C1.19"</f>
        <v>C42C1.19</v>
      </c>
      <c r="F7561" t="s">
        <v>11</v>
      </c>
      <c r="G7561" t="s">
        <v>230</v>
      </c>
      <c r="H7561" s="12">
        <v>-1.22951087410259</v>
      </c>
      <c r="I7561" s="20">
        <v>-0.96692136959974395</v>
      </c>
      <c r="J7561" s="28">
        <v>0.33358334294097802</v>
      </c>
      <c r="K7561" s="29">
        <v>0.98289565623980701</v>
      </c>
    </row>
    <row r="7562" spans="1:11" x14ac:dyDescent="0.35">
      <c r="A7562" s="9" t="str">
        <f>HYPERLINK("http://www.ensembl.org/id/WBGene00016598", "WBGene00016598")</f>
        <v>WBGene00016598</v>
      </c>
      <c r="B7562" s="9" t="str">
        <f>HYPERLINK("http://www.ncbi.nlm.nih.gov/gene/183405", "183405")</f>
        <v>183405</v>
      </c>
      <c r="C7562" s="9"/>
      <c r="D7562" t="str">
        <f>"C42D4.13"</f>
        <v>C42D4.13</v>
      </c>
      <c r="F7562" t="s">
        <v>11</v>
      </c>
      <c r="H7562" s="12">
        <v>3.0760974666440202</v>
      </c>
      <c r="I7562" s="20">
        <v>0.87500186897949495</v>
      </c>
      <c r="J7562" s="28">
        <v>0.381572888775426</v>
      </c>
      <c r="K7562" s="29">
        <v>0.98289565623980701</v>
      </c>
    </row>
    <row r="7563" spans="1:11" x14ac:dyDescent="0.35">
      <c r="A7563" s="9" t="str">
        <f>HYPERLINK("http://www.ensembl.org/id/WBGene00206380", "WBGene00206380")</f>
        <v>WBGene00206380</v>
      </c>
      <c r="B7563" s="9" t="str">
        <f>HYPERLINK("http://www.ncbi.nlm.nih.gov/gene/13196550", "13196550")</f>
        <v>13196550</v>
      </c>
      <c r="C7563" s="9"/>
      <c r="D7563" t="str">
        <f>"C42D4.18"</f>
        <v>C42D4.18</v>
      </c>
      <c r="F7563" t="s">
        <v>11</v>
      </c>
      <c r="H7563" s="12">
        <v>1.3225944087044701</v>
      </c>
      <c r="I7563" s="20">
        <v>1.08934625275716</v>
      </c>
      <c r="J7563" s="28">
        <v>0.27600122333467803</v>
      </c>
      <c r="K7563" s="29">
        <v>0.98289565623980701</v>
      </c>
    </row>
    <row r="7564" spans="1:11" x14ac:dyDescent="0.35">
      <c r="A7564" s="9" t="str">
        <f>HYPERLINK("http://www.ensembl.org/id/WBGene00195953", "WBGene00195953")</f>
        <v>WBGene00195953</v>
      </c>
      <c r="B7564" s="9"/>
      <c r="C7564" s="9"/>
      <c r="D7564" t="str">
        <f>"C42D8.10"</f>
        <v>C42D8.10</v>
      </c>
      <c r="F7564" t="s">
        <v>481</v>
      </c>
      <c r="H7564" s="12">
        <v>-3.5819448292659501</v>
      </c>
      <c r="I7564" s="20">
        <v>-0.37337717500031398</v>
      </c>
      <c r="J7564" s="28">
        <v>0.70886774492290605</v>
      </c>
      <c r="K7564" s="29">
        <v>0.98289565623980701</v>
      </c>
    </row>
    <row r="7565" spans="1:11" x14ac:dyDescent="0.35">
      <c r="A7565" s="9" t="str">
        <f>HYPERLINK("http://www.ensembl.org/id/WBGene00195995", "WBGene00195995")</f>
        <v>WBGene00195995</v>
      </c>
      <c r="B7565" s="9"/>
      <c r="C7565" s="9"/>
      <c r="D7565" t="str">
        <f>"C42D8.11"</f>
        <v>C42D8.11</v>
      </c>
      <c r="F7565" t="s">
        <v>481</v>
      </c>
      <c r="H7565" s="12">
        <v>2.3893468495514898</v>
      </c>
      <c r="I7565" s="20">
        <v>0.25323547253672701</v>
      </c>
      <c r="J7565" s="28">
        <v>0.80008625651646104</v>
      </c>
      <c r="K7565" s="29">
        <v>0.98289565623980701</v>
      </c>
    </row>
    <row r="7566" spans="1:11" x14ac:dyDescent="0.35">
      <c r="A7566" s="9" t="str">
        <f>HYPERLINK("http://www.ensembl.org/id/WBGene00199268", "WBGene00199268")</f>
        <v>WBGene00199268</v>
      </c>
      <c r="B7566" s="9"/>
      <c r="C7566" s="9"/>
      <c r="D7566" t="str">
        <f>"C42D8.16"</f>
        <v>C42D8.16</v>
      </c>
      <c r="F7566" t="s">
        <v>481</v>
      </c>
      <c r="H7566" s="12">
        <v>-2.4991590031922399</v>
      </c>
      <c r="I7566" s="20">
        <v>-0.26577412737581302</v>
      </c>
      <c r="J7566" s="28">
        <v>0.79041317015736101</v>
      </c>
      <c r="K7566" s="29">
        <v>0.98289565623980701</v>
      </c>
    </row>
    <row r="7567" spans="1:11" x14ac:dyDescent="0.35">
      <c r="A7567" s="9" t="str">
        <f>HYPERLINK("http://www.ensembl.org/id/WBGene00044299", "WBGene00044299")</f>
        <v>WBGene00044299</v>
      </c>
      <c r="B7567" s="9" t="str">
        <f>HYPERLINK("http://www.ncbi.nlm.nih.gov/gene/3565346", "3565346")</f>
        <v>3565346</v>
      </c>
      <c r="C7567" s="9"/>
      <c r="D7567" t="str">
        <f>"C42D8.9"</f>
        <v>C42D8.9</v>
      </c>
      <c r="F7567" t="s">
        <v>11</v>
      </c>
      <c r="H7567" s="12">
        <v>-1.2223037869393301</v>
      </c>
      <c r="I7567" s="20">
        <v>-0.31750736071986202</v>
      </c>
      <c r="J7567" s="28">
        <v>0.75085865515531103</v>
      </c>
      <c r="K7567" s="29">
        <v>0.98289565623980701</v>
      </c>
    </row>
    <row r="7568" spans="1:11" x14ac:dyDescent="0.35">
      <c r="A7568" s="9" t="str">
        <f>HYPERLINK("http://www.ensembl.org/id/WBGene00200063", "WBGene00200063")</f>
        <v>WBGene00200063</v>
      </c>
      <c r="B7568" s="9"/>
      <c r="C7568" s="9"/>
      <c r="D7568" t="str">
        <f>"C43C3.11"</f>
        <v>C43C3.11</v>
      </c>
      <c r="F7568" t="s">
        <v>481</v>
      </c>
      <c r="H7568" s="12">
        <v>-2.4295389261469</v>
      </c>
      <c r="I7568" s="20">
        <v>-0.25808529976640998</v>
      </c>
      <c r="J7568" s="28">
        <v>0.79634107645457397</v>
      </c>
      <c r="K7568" s="29">
        <v>0.98289565623980701</v>
      </c>
    </row>
    <row r="7569" spans="1:11" x14ac:dyDescent="0.35">
      <c r="A7569" s="9" t="str">
        <f>HYPERLINK("http://www.ensembl.org/id/WBGene00014701", "WBGene00014701")</f>
        <v>WBGene00014701</v>
      </c>
      <c r="B7569" s="9"/>
      <c r="C7569" s="9"/>
      <c r="D7569" t="str">
        <f>"C43D7.1"</f>
        <v>C43D7.1</v>
      </c>
      <c r="F7569" t="s">
        <v>80</v>
      </c>
      <c r="H7569" s="12">
        <v>6.9646876529727404</v>
      </c>
      <c r="I7569" s="20">
        <v>0.88450475716039301</v>
      </c>
      <c r="J7569" s="28">
        <v>0.37642379557097599</v>
      </c>
      <c r="K7569" s="29">
        <v>0.98289565623980701</v>
      </c>
    </row>
    <row r="7570" spans="1:11" x14ac:dyDescent="0.35">
      <c r="A7570" s="9" t="str">
        <f>HYPERLINK("http://www.ensembl.org/id/WBGene00077441", "WBGene00077441")</f>
        <v>WBGene00077441</v>
      </c>
      <c r="B7570" s="9"/>
      <c r="C7570" s="9"/>
      <c r="D7570" t="str">
        <f>"C43D7.10"</f>
        <v>C43D7.10</v>
      </c>
      <c r="F7570" t="s">
        <v>80</v>
      </c>
      <c r="H7570" s="12">
        <v>1.4699674852727</v>
      </c>
      <c r="I7570" s="20">
        <v>0.57735941971190397</v>
      </c>
      <c r="J7570" s="28">
        <v>0.56369668145285601</v>
      </c>
      <c r="K7570" s="29">
        <v>0.98289565623980701</v>
      </c>
    </row>
    <row r="7571" spans="1:11" x14ac:dyDescent="0.35">
      <c r="A7571" s="9" t="str">
        <f>HYPERLINK("http://www.ensembl.org/id/WBGene00077664", "WBGene00077664")</f>
        <v>WBGene00077664</v>
      </c>
      <c r="B7571" s="9"/>
      <c r="C7571" s="9"/>
      <c r="D7571" t="str">
        <f>"C43D7.11"</f>
        <v>C43D7.11</v>
      </c>
      <c r="F7571" t="s">
        <v>80</v>
      </c>
      <c r="H7571" s="12">
        <v>-1.4016393093841699</v>
      </c>
      <c r="I7571" s="20">
        <v>-0.33397571539677701</v>
      </c>
      <c r="J7571" s="28">
        <v>0.73839788386978999</v>
      </c>
      <c r="K7571" s="29">
        <v>0.98289565623980701</v>
      </c>
    </row>
    <row r="7572" spans="1:11" x14ac:dyDescent="0.35">
      <c r="A7572" s="9" t="str">
        <f>HYPERLINK("http://www.ensembl.org/id/WBGene00198471", "WBGene00198471")</f>
        <v>WBGene00198471</v>
      </c>
      <c r="B7572" s="9"/>
      <c r="C7572" s="9"/>
      <c r="D7572" t="str">
        <f>"C43D7.15"</f>
        <v>C43D7.15</v>
      </c>
      <c r="F7572" t="s">
        <v>481</v>
      </c>
      <c r="H7572" s="12">
        <v>2.3893468495514898</v>
      </c>
      <c r="I7572" s="20">
        <v>0.25323547253672701</v>
      </c>
      <c r="J7572" s="28">
        <v>0.80008625651646104</v>
      </c>
      <c r="K7572" s="29">
        <v>0.98289565623980701</v>
      </c>
    </row>
    <row r="7573" spans="1:11" x14ac:dyDescent="0.35">
      <c r="A7573" s="9" t="str">
        <f>HYPERLINK("http://www.ensembl.org/id/WBGene00014702", "WBGene00014702")</f>
        <v>WBGene00014702</v>
      </c>
      <c r="B7573" s="9"/>
      <c r="C7573" s="9"/>
      <c r="D7573" t="str">
        <f>"C43D7.3"</f>
        <v>C43D7.3</v>
      </c>
      <c r="F7573" t="s">
        <v>80</v>
      </c>
      <c r="H7573" s="12">
        <v>3.5227018545059199</v>
      </c>
      <c r="I7573" s="20">
        <v>0.36849691206929103</v>
      </c>
      <c r="J7573" s="28">
        <v>0.71250274722433404</v>
      </c>
      <c r="K7573" s="29">
        <v>0.98289565623980701</v>
      </c>
    </row>
    <row r="7574" spans="1:11" x14ac:dyDescent="0.35">
      <c r="A7574" s="9" t="str">
        <f>HYPERLINK("http://www.ensembl.org/id/WBGene00008069", "WBGene00008069")</f>
        <v>WBGene00008069</v>
      </c>
      <c r="B7574" s="9" t="str">
        <f>HYPERLINK("http://www.ncbi.nlm.nih.gov/gene/183412", "183412")</f>
        <v>183412</v>
      </c>
      <c r="C7574" s="9"/>
      <c r="D7574" t="str">
        <f>"C43D7.7"</f>
        <v>C43D7.7</v>
      </c>
      <c r="F7574" t="s">
        <v>11</v>
      </c>
      <c r="H7574" s="12">
        <v>16.502878680936099</v>
      </c>
      <c r="I7574" s="20">
        <v>1.1066673867249099</v>
      </c>
      <c r="J7574" s="28">
        <v>0.26843776072780801</v>
      </c>
      <c r="K7574" s="29">
        <v>0.98289565623980701</v>
      </c>
    </row>
    <row r="7575" spans="1:11" x14ac:dyDescent="0.35">
      <c r="A7575" s="9" t="str">
        <f>HYPERLINK("http://www.ensembl.org/id/WBGene00016605", "WBGene00016605")</f>
        <v>WBGene00016605</v>
      </c>
      <c r="B7575" s="9" t="str">
        <f>HYPERLINK("http://www.ncbi.nlm.nih.gov/gene/172022", "172022")</f>
        <v>172022</v>
      </c>
      <c r="C7575" s="9"/>
      <c r="D7575" t="str">
        <f>"C43E11.5"</f>
        <v>C43E11.5</v>
      </c>
      <c r="F7575" t="s">
        <v>11</v>
      </c>
      <c r="G7575" t="s">
        <v>4312</v>
      </c>
      <c r="H7575" s="12">
        <v>1.2534724144119</v>
      </c>
      <c r="I7575" s="20">
        <v>0.33862823511784901</v>
      </c>
      <c r="J7575" s="28">
        <v>0.73488980945732896</v>
      </c>
      <c r="K7575" s="29">
        <v>0.98289565623980701</v>
      </c>
    </row>
    <row r="7576" spans="1:11" x14ac:dyDescent="0.35">
      <c r="A7576" s="9" t="str">
        <f>HYPERLINK("http://www.ensembl.org/id/WBGene00016607", "WBGene00016607")</f>
        <v>WBGene00016607</v>
      </c>
      <c r="B7576" s="9" t="str">
        <f>HYPERLINK("http://www.ncbi.nlm.nih.gov/gene/172028", "172028")</f>
        <v>172028</v>
      </c>
      <c r="C7576" s="9" t="str">
        <f>HYPERLINK("http://www.ncbi.nlm.nih.gov/gene/51388", "51388")</f>
        <v>51388</v>
      </c>
      <c r="D7576" t="str">
        <f>"C43E11.9"</f>
        <v>C43E11.9</v>
      </c>
      <c r="E7576" t="s">
        <v>6354</v>
      </c>
      <c r="F7576" t="s">
        <v>11</v>
      </c>
      <c r="G7576" t="s">
        <v>6355</v>
      </c>
      <c r="H7576" s="12">
        <v>-1.0648652580437801</v>
      </c>
      <c r="I7576" s="20">
        <v>-0.257113692544304</v>
      </c>
      <c r="J7576" s="28">
        <v>0.79709100767087904</v>
      </c>
      <c r="K7576" s="29">
        <v>0.98289565623980701</v>
      </c>
    </row>
    <row r="7577" spans="1:11" x14ac:dyDescent="0.35">
      <c r="A7577" s="9" t="str">
        <f>HYPERLINK("http://www.ensembl.org/id/WBGene00045024", "WBGene00045024")</f>
        <v>WBGene00045024</v>
      </c>
      <c r="B7577" s="9" t="str">
        <f>HYPERLINK("http://www.ncbi.nlm.nih.gov/gene/4926926", "4926926")</f>
        <v>4926926</v>
      </c>
      <c r="C7577" s="9"/>
      <c r="D7577" t="str">
        <f>"C43F9.11"</f>
        <v>C43F9.11</v>
      </c>
      <c r="F7577" t="s">
        <v>11</v>
      </c>
      <c r="H7577" s="12">
        <v>-3.81538510188137</v>
      </c>
      <c r="I7577" s="20">
        <v>-0.63801886283116804</v>
      </c>
      <c r="J7577" s="28">
        <v>0.52346140129125696</v>
      </c>
      <c r="K7577" s="29">
        <v>0.98289565623980701</v>
      </c>
    </row>
    <row r="7578" spans="1:11" x14ac:dyDescent="0.35">
      <c r="A7578" s="9" t="str">
        <f>HYPERLINK("http://www.ensembl.org/id/WBGene00008072", "WBGene00008072")</f>
        <v>WBGene00008072</v>
      </c>
      <c r="B7578" s="9" t="str">
        <f>HYPERLINK("http://www.ncbi.nlm.nih.gov/gene/183414", "183414")</f>
        <v>183414</v>
      </c>
      <c r="C7578" s="9"/>
      <c r="D7578" t="str">
        <f>"C43F9.4"</f>
        <v>C43F9.4</v>
      </c>
      <c r="F7578" t="s">
        <v>11</v>
      </c>
      <c r="G7578" t="s">
        <v>25</v>
      </c>
      <c r="H7578" s="12">
        <v>7.8691597089380902</v>
      </c>
      <c r="I7578" s="20">
        <v>0.61251365190975104</v>
      </c>
      <c r="J7578" s="28">
        <v>0.54019796842331003</v>
      </c>
      <c r="K7578" s="29">
        <v>0.98289565623980701</v>
      </c>
    </row>
    <row r="7579" spans="1:11" x14ac:dyDescent="0.35">
      <c r="A7579" s="9" t="str">
        <f>HYPERLINK("http://www.ensembl.org/id/WBGene00008073", "WBGene00008073")</f>
        <v>WBGene00008073</v>
      </c>
      <c r="B7579" s="9" t="str">
        <f>HYPERLINK("http://www.ncbi.nlm.nih.gov/gene/183415", "183415")</f>
        <v>183415</v>
      </c>
      <c r="C7579" s="9"/>
      <c r="D7579" t="str">
        <f>"C43F9.5"</f>
        <v>C43F9.5</v>
      </c>
      <c r="F7579" t="s">
        <v>11</v>
      </c>
      <c r="H7579" s="12">
        <v>1.4453984219970299</v>
      </c>
      <c r="I7579" s="20">
        <v>0.91890724946772895</v>
      </c>
      <c r="J7579" s="28">
        <v>0.35814408774346701</v>
      </c>
      <c r="K7579" s="29">
        <v>0.98289565623980701</v>
      </c>
    </row>
    <row r="7580" spans="1:11" x14ac:dyDescent="0.35">
      <c r="A7580" s="9" t="str">
        <f>HYPERLINK("http://www.ensembl.org/id/WBGene00195694", "WBGene00195694")</f>
        <v>WBGene00195694</v>
      </c>
      <c r="B7580" s="9"/>
      <c r="C7580" s="9"/>
      <c r="D7580" t="str">
        <f>"C43G2.25"</f>
        <v>C43G2.25</v>
      </c>
      <c r="F7580" t="s">
        <v>481</v>
      </c>
      <c r="H7580" s="12">
        <v>2.4578120077400301</v>
      </c>
      <c r="I7580" s="20">
        <v>0.26093350314551</v>
      </c>
      <c r="J7580" s="28">
        <v>0.79414378780213601</v>
      </c>
      <c r="K7580" s="29">
        <v>0.98289565623980701</v>
      </c>
    </row>
    <row r="7581" spans="1:11" x14ac:dyDescent="0.35">
      <c r="A7581" s="9" t="str">
        <f>HYPERLINK("http://www.ensembl.org/id/WBGene00197805", "WBGene00197805")</f>
        <v>WBGene00197805</v>
      </c>
      <c r="B7581" s="9"/>
      <c r="C7581" s="9"/>
      <c r="D7581" t="str">
        <f>"C43G2.27"</f>
        <v>C43G2.27</v>
      </c>
      <c r="F7581" t="s">
        <v>481</v>
      </c>
      <c r="H7581" s="12">
        <v>-3.5819448292659501</v>
      </c>
      <c r="I7581" s="20">
        <v>-0.37337717500031398</v>
      </c>
      <c r="J7581" s="28">
        <v>0.70886774492290605</v>
      </c>
      <c r="K7581" s="29">
        <v>0.98289565623980701</v>
      </c>
    </row>
    <row r="7582" spans="1:11" x14ac:dyDescent="0.35">
      <c r="A7582" s="9" t="str">
        <f>HYPERLINK("http://www.ensembl.org/id/WBGene00016612", "WBGene00016612")</f>
        <v>WBGene00016612</v>
      </c>
      <c r="B7582" s="9" t="str">
        <f>HYPERLINK("http://www.ncbi.nlm.nih.gov/gene/183418", "183418")</f>
        <v>183418</v>
      </c>
      <c r="C7582" s="9"/>
      <c r="D7582" t="str">
        <f>"C43G2.3"</f>
        <v>C43G2.3</v>
      </c>
      <c r="F7582" t="s">
        <v>11</v>
      </c>
      <c r="H7582" s="12">
        <v>-1.6071618898725799</v>
      </c>
      <c r="I7582" s="20">
        <v>-0.52285235122396201</v>
      </c>
      <c r="J7582" s="28">
        <v>0.60107700532489095</v>
      </c>
      <c r="K7582" s="29">
        <v>0.98289565623980701</v>
      </c>
    </row>
    <row r="7583" spans="1:11" x14ac:dyDescent="0.35">
      <c r="A7583" s="9" t="str">
        <f>HYPERLINK("http://www.ensembl.org/id/WBGene00022959", "WBGene00022959")</f>
        <v>WBGene00022959</v>
      </c>
      <c r="B7583" s="9"/>
      <c r="C7583" s="9"/>
      <c r="D7583" t="str">
        <f>"C43G2.t1"</f>
        <v>C43G2.t1</v>
      </c>
      <c r="F7583" t="s">
        <v>4208</v>
      </c>
      <c r="H7583" s="12">
        <v>2.2989037156497898</v>
      </c>
      <c r="I7583" s="20">
        <v>0.349864412055026</v>
      </c>
      <c r="J7583" s="28">
        <v>0.72644045619796604</v>
      </c>
      <c r="K7583" s="29">
        <v>0.98289565623980701</v>
      </c>
    </row>
    <row r="7584" spans="1:11" x14ac:dyDescent="0.35">
      <c r="A7584" s="9" t="str">
        <f>HYPERLINK("http://www.ensembl.org/id/WBGene00016616", "WBGene00016616")</f>
        <v>WBGene00016616</v>
      </c>
      <c r="B7584" s="9" t="str">
        <f>HYPERLINK("http://www.ncbi.nlm.nih.gov/gene/180545", "180545")</f>
        <v>180545</v>
      </c>
      <c r="C7584" s="9" t="str">
        <f>HYPERLINK("http://www.ncbi.nlm.nih.gov/gene/136319", "136319")</f>
        <v>136319</v>
      </c>
      <c r="D7584" t="str">
        <f>"C43H6.3"</f>
        <v>C43H6.3</v>
      </c>
      <c r="F7584" t="s">
        <v>11</v>
      </c>
      <c r="G7584" t="s">
        <v>5779</v>
      </c>
      <c r="H7584" s="12">
        <v>1.10464365012007</v>
      </c>
      <c r="I7584" s="20">
        <v>0.48253001448698501</v>
      </c>
      <c r="J7584" s="28">
        <v>0.62942948197446902</v>
      </c>
      <c r="K7584" s="29">
        <v>0.98289565623980701</v>
      </c>
    </row>
    <row r="7585" spans="1:11" x14ac:dyDescent="0.35">
      <c r="A7585" s="9" t="str">
        <f>HYPERLINK("http://www.ensembl.org/id/WBGene00016633", "WBGene00016633")</f>
        <v>WBGene00016633</v>
      </c>
      <c r="B7585" s="9" t="str">
        <f>HYPERLINK("http://www.ncbi.nlm.nih.gov/gene/175421", "175421")</f>
        <v>175421</v>
      </c>
      <c r="C7585" s="9" t="str">
        <f>HYPERLINK("http://www.ncbi.nlm.nih.gov/gene/55179", "55179")</f>
        <v>55179</v>
      </c>
      <c r="D7585" t="str">
        <f>"C44B11.1"</f>
        <v>C44B11.1</v>
      </c>
      <c r="F7585" t="s">
        <v>11</v>
      </c>
      <c r="G7585" t="s">
        <v>4792</v>
      </c>
      <c r="H7585" s="12">
        <v>1.3694853466585799</v>
      </c>
      <c r="I7585" s="20">
        <v>0.48099981651326401</v>
      </c>
      <c r="J7585" s="28">
        <v>0.63051662913054995</v>
      </c>
      <c r="K7585" s="29">
        <v>0.98289565623980701</v>
      </c>
    </row>
    <row r="7586" spans="1:11" x14ac:dyDescent="0.35">
      <c r="A7586" s="9" t="str">
        <f>HYPERLINK("http://www.ensembl.org/id/WBGene00016635", "WBGene00016635")</f>
        <v>WBGene00016635</v>
      </c>
      <c r="B7586" s="9" t="str">
        <f>HYPERLINK("http://www.ncbi.nlm.nih.gov/gene/259495", "259495")</f>
        <v>259495</v>
      </c>
      <c r="C7586" s="9"/>
      <c r="D7586" t="str">
        <f>"C44B11.6"</f>
        <v>C44B11.6</v>
      </c>
      <c r="F7586" t="s">
        <v>11</v>
      </c>
      <c r="H7586" s="12">
        <v>1.23266620204654</v>
      </c>
      <c r="I7586" s="20">
        <v>0.88168664464759405</v>
      </c>
      <c r="J7586" s="28">
        <v>0.37794628519453599</v>
      </c>
      <c r="K7586" s="29">
        <v>0.98289565623980701</v>
      </c>
    </row>
    <row r="7587" spans="1:11" x14ac:dyDescent="0.35">
      <c r="A7587" s="9" t="str">
        <f>HYPERLINK("http://www.ensembl.org/id/WBGene00016637", "WBGene00016637")</f>
        <v>WBGene00016637</v>
      </c>
      <c r="B7587" s="9" t="str">
        <f>HYPERLINK("http://www.ncbi.nlm.nih.gov/gene/183436", "183436")</f>
        <v>183436</v>
      </c>
      <c r="C7587" s="9"/>
      <c r="D7587" t="str">
        <f>"C44B12.3"</f>
        <v>C44B12.3</v>
      </c>
      <c r="F7587" t="s">
        <v>11</v>
      </c>
      <c r="H7587" s="12">
        <v>-2.1669479808203098</v>
      </c>
      <c r="I7587" s="20">
        <v>-0.89140726875004495</v>
      </c>
      <c r="J7587" s="28">
        <v>0.37271071961847102</v>
      </c>
      <c r="K7587" s="29">
        <v>0.98289565623980701</v>
      </c>
    </row>
    <row r="7588" spans="1:11" x14ac:dyDescent="0.35">
      <c r="A7588" s="9" t="str">
        <f>HYPERLINK("http://www.ensembl.org/id/WBGene00016639", "WBGene00016639")</f>
        <v>WBGene00016639</v>
      </c>
      <c r="B7588" s="9" t="str">
        <f>HYPERLINK("http://www.ncbi.nlm.nih.gov/gene/183438", "183438")</f>
        <v>183438</v>
      </c>
      <c r="C7588" s="9"/>
      <c r="D7588" t="str">
        <f>"C44B12.6"</f>
        <v>C44B12.6</v>
      </c>
      <c r="F7588" t="s">
        <v>11</v>
      </c>
      <c r="G7588" t="s">
        <v>4522</v>
      </c>
      <c r="H7588" s="12">
        <v>1.77376378247905</v>
      </c>
      <c r="I7588" s="20">
        <v>0.88101490334237498</v>
      </c>
      <c r="J7588" s="28">
        <v>0.37830975359202401</v>
      </c>
      <c r="K7588" s="29">
        <v>0.98289565623980701</v>
      </c>
    </row>
    <row r="7589" spans="1:11" x14ac:dyDescent="0.35">
      <c r="A7589" s="9" t="str">
        <f>HYPERLINK("http://www.ensembl.org/id/WBGene00044462", "WBGene00044462")</f>
        <v>WBGene00044462</v>
      </c>
      <c r="B7589" s="9" t="str">
        <f>HYPERLINK("http://www.ncbi.nlm.nih.gov/gene/3896776", "3896776")</f>
        <v>3896776</v>
      </c>
      <c r="C7589" s="9"/>
      <c r="D7589" t="str">
        <f>"C44B12.9"</f>
        <v>C44B12.9</v>
      </c>
      <c r="F7589" t="s">
        <v>11</v>
      </c>
      <c r="H7589" s="12">
        <v>-2.00342597865605</v>
      </c>
      <c r="I7589" s="20">
        <v>-0.33326616953667099</v>
      </c>
      <c r="J7589" s="28">
        <v>0.73893337391168601</v>
      </c>
      <c r="K7589" s="29">
        <v>0.98289565623980701</v>
      </c>
    </row>
    <row r="7590" spans="1:11" x14ac:dyDescent="0.35">
      <c r="A7590" s="9" t="str">
        <f>HYPERLINK("http://www.ensembl.org/id/WBGene00016629", "WBGene00016629")</f>
        <v>WBGene00016629</v>
      </c>
      <c r="B7590" s="9" t="str">
        <f>HYPERLINK("http://www.ncbi.nlm.nih.gov/gene/183430", "183430")</f>
        <v>183430</v>
      </c>
      <c r="C7590" s="9" t="str">
        <f>HYPERLINK("http://www.ncbi.nlm.nih.gov/gene/79017", "79017")</f>
        <v>79017</v>
      </c>
      <c r="D7590" t="str">
        <f>"C44B7.7"</f>
        <v>C44B7.7</v>
      </c>
      <c r="F7590" t="s">
        <v>11</v>
      </c>
      <c r="G7590" t="s">
        <v>5840</v>
      </c>
      <c r="H7590" s="12">
        <v>1.09476091941622</v>
      </c>
      <c r="I7590" s="20">
        <v>0.31953227254128402</v>
      </c>
      <c r="J7590" s="28">
        <v>0.749322923045739</v>
      </c>
      <c r="K7590" s="29">
        <v>0.98289565623980701</v>
      </c>
    </row>
    <row r="7591" spans="1:11" x14ac:dyDescent="0.35">
      <c r="A7591" s="9" t="str">
        <f>HYPERLINK("http://www.ensembl.org/id/WBGene00008079", "WBGene00008079")</f>
        <v>WBGene00008079</v>
      </c>
      <c r="B7591" s="9" t="str">
        <f>HYPERLINK("http://www.ncbi.nlm.nih.gov/gene/183434", "183434")</f>
        <v>183434</v>
      </c>
      <c r="C7591" s="9"/>
      <c r="D7591" t="str">
        <f>"C44B9.2"</f>
        <v>C44B9.2</v>
      </c>
      <c r="F7591" t="s">
        <v>11</v>
      </c>
      <c r="H7591" s="12">
        <v>-1.5333155635945599</v>
      </c>
      <c r="I7591" s="20">
        <v>-0.77179727415841304</v>
      </c>
      <c r="J7591" s="28">
        <v>0.44023450644635198</v>
      </c>
      <c r="K7591" s="29">
        <v>0.98289565623980701</v>
      </c>
    </row>
    <row r="7592" spans="1:11" x14ac:dyDescent="0.35">
      <c r="A7592" s="9" t="str">
        <f>HYPERLINK("http://www.ensembl.org/id/WBGene00016641", "WBGene00016641")</f>
        <v>WBGene00016641</v>
      </c>
      <c r="B7592" s="9" t="str">
        <f>HYPERLINK("http://www.ncbi.nlm.nih.gov/gene/180451", "180451")</f>
        <v>180451</v>
      </c>
      <c r="C7592" s="9"/>
      <c r="D7592" t="str">
        <f>"C44C1.1"</f>
        <v>C44C1.1</v>
      </c>
      <c r="F7592" t="s">
        <v>11</v>
      </c>
      <c r="G7592" t="s">
        <v>25</v>
      </c>
      <c r="H7592" s="12">
        <v>1.2173910524365199</v>
      </c>
      <c r="I7592" s="20">
        <v>0.87964794048935002</v>
      </c>
      <c r="J7592" s="28">
        <v>0.37905005957104398</v>
      </c>
      <c r="K7592" s="29">
        <v>0.98289565623980701</v>
      </c>
    </row>
    <row r="7593" spans="1:11" x14ac:dyDescent="0.35">
      <c r="A7593" s="9" t="str">
        <f>HYPERLINK("http://www.ensembl.org/id/WBGene00016645", "WBGene00016645")</f>
        <v>WBGene00016645</v>
      </c>
      <c r="B7593" s="9" t="str">
        <f>HYPERLINK("http://www.ncbi.nlm.nih.gov/gene/259696", "259696")</f>
        <v>259696</v>
      </c>
      <c r="C7593" s="9"/>
      <c r="D7593" t="str">
        <f>"C44C1.6"</f>
        <v>C44C1.6</v>
      </c>
      <c r="F7593" t="s">
        <v>11</v>
      </c>
      <c r="H7593" s="12">
        <v>1.6806550575839401</v>
      </c>
      <c r="I7593" s="20">
        <v>1.15569831348147</v>
      </c>
      <c r="J7593" s="28">
        <v>0.24780457825767199</v>
      </c>
      <c r="K7593" s="29">
        <v>0.98289565623980701</v>
      </c>
    </row>
    <row r="7594" spans="1:11" x14ac:dyDescent="0.35">
      <c r="A7594" s="9" t="str">
        <f>HYPERLINK("http://www.ensembl.org/id/WBGene00044133", "WBGene00044133")</f>
        <v>WBGene00044133</v>
      </c>
      <c r="B7594" s="9" t="str">
        <f>HYPERLINK("http://www.ncbi.nlm.nih.gov/gene/3565654", "3565654")</f>
        <v>3565654</v>
      </c>
      <c r="C7594" s="9"/>
      <c r="D7594" t="str">
        <f>"C44C10.12"</f>
        <v>C44C10.12</v>
      </c>
      <c r="F7594" t="s">
        <v>11</v>
      </c>
      <c r="H7594" s="12">
        <v>-2.4295389261469</v>
      </c>
      <c r="I7594" s="20">
        <v>-0.25808529976640998</v>
      </c>
      <c r="J7594" s="28">
        <v>0.79634107645457397</v>
      </c>
      <c r="K7594" s="29">
        <v>0.98289565623980701</v>
      </c>
    </row>
    <row r="7595" spans="1:11" x14ac:dyDescent="0.35">
      <c r="A7595" s="9" t="str">
        <f>HYPERLINK("http://www.ensembl.org/id/WBGene00194841", "WBGene00194841")</f>
        <v>WBGene00194841</v>
      </c>
      <c r="B7595" s="9"/>
      <c r="C7595" s="9"/>
      <c r="D7595" t="str">
        <f>"C44C10.13"</f>
        <v>C44C10.13</v>
      </c>
      <c r="F7595" t="s">
        <v>2735</v>
      </c>
      <c r="H7595" s="12">
        <v>-1.4698225252494801</v>
      </c>
      <c r="I7595" s="20">
        <v>-0.71332746474408704</v>
      </c>
      <c r="J7595" s="28">
        <v>0.47564314615582598</v>
      </c>
      <c r="K7595" s="29">
        <v>0.98289565623980701</v>
      </c>
    </row>
    <row r="7596" spans="1:11" x14ac:dyDescent="0.35">
      <c r="A7596" s="9" t="str">
        <f>HYPERLINK("http://www.ensembl.org/id/WBGene00008086", "WBGene00008086")</f>
        <v>WBGene00008086</v>
      </c>
      <c r="B7596" s="9" t="str">
        <f>HYPERLINK("http://www.ncbi.nlm.nih.gov/gene/183454", "183454")</f>
        <v>183454</v>
      </c>
      <c r="C7596" s="9"/>
      <c r="D7596" t="str">
        <f>"C44C10.5"</f>
        <v>C44C10.5</v>
      </c>
      <c r="F7596" t="s">
        <v>11</v>
      </c>
      <c r="G7596" t="s">
        <v>9932</v>
      </c>
      <c r="H7596" s="12">
        <v>-1.41897167080189</v>
      </c>
      <c r="I7596" s="20">
        <v>-0.49802063799007301</v>
      </c>
      <c r="J7596" s="28">
        <v>0.61846949590820599</v>
      </c>
      <c r="K7596" s="29">
        <v>0.98289565623980701</v>
      </c>
    </row>
    <row r="7597" spans="1:11" x14ac:dyDescent="0.35">
      <c r="A7597" s="9" t="str">
        <f>HYPERLINK("http://www.ensembl.org/id/WBGene00008088", "WBGene00008088")</f>
        <v>WBGene00008088</v>
      </c>
      <c r="B7597" s="9" t="str">
        <f>HYPERLINK("http://www.ncbi.nlm.nih.gov/gene/183456", "183456")</f>
        <v>183456</v>
      </c>
      <c r="C7597" s="9"/>
      <c r="D7597" t="str">
        <f>"C44C10.7"</f>
        <v>C44C10.7</v>
      </c>
      <c r="F7597" t="s">
        <v>11</v>
      </c>
      <c r="G7597" t="s">
        <v>4301</v>
      </c>
      <c r="H7597" s="12">
        <v>3.63645369143347</v>
      </c>
      <c r="I7597" s="20">
        <v>0.57608345993646903</v>
      </c>
      <c r="J7597" s="28">
        <v>0.56455877064110604</v>
      </c>
      <c r="K7597" s="29">
        <v>0.98289565623980701</v>
      </c>
    </row>
    <row r="7598" spans="1:11" x14ac:dyDescent="0.35">
      <c r="A7598" s="9" t="str">
        <f>HYPERLINK("http://www.ensembl.org/id/WBGene00197282", "WBGene00197282")</f>
        <v>WBGene00197282</v>
      </c>
      <c r="B7598" s="9"/>
      <c r="C7598" s="9"/>
      <c r="D7598" t="str">
        <f>"C44C11.3"</f>
        <v>C44C11.3</v>
      </c>
      <c r="F7598" t="s">
        <v>481</v>
      </c>
      <c r="H7598" s="12">
        <v>-3.7261494131482999</v>
      </c>
      <c r="I7598" s="20">
        <v>-0.38454673129429601</v>
      </c>
      <c r="J7598" s="28">
        <v>0.70057326682554</v>
      </c>
      <c r="K7598" s="29">
        <v>0.98289565623980701</v>
      </c>
    </row>
    <row r="7599" spans="1:11" x14ac:dyDescent="0.35">
      <c r="A7599" s="9" t="str">
        <f>HYPERLINK("http://www.ensembl.org/id/WBGene00016657", "WBGene00016657")</f>
        <v>WBGene00016657</v>
      </c>
      <c r="B7599" s="9" t="str">
        <f>HYPERLINK("http://www.ncbi.nlm.nih.gov/gene/181023", "181023")</f>
        <v>181023</v>
      </c>
      <c r="C7599" s="9"/>
      <c r="D7599" t="str">
        <f>"C44E12.1"</f>
        <v>C44E12.1</v>
      </c>
      <c r="F7599" t="s">
        <v>11</v>
      </c>
      <c r="G7599" t="s">
        <v>423</v>
      </c>
      <c r="H7599" s="12">
        <v>-1.1978116515677</v>
      </c>
      <c r="I7599" s="20">
        <v>-0.80810909201150605</v>
      </c>
      <c r="J7599" s="28">
        <v>0.41902778407839603</v>
      </c>
      <c r="K7599" s="29">
        <v>0.98289565623980701</v>
      </c>
    </row>
    <row r="7600" spans="1:11" x14ac:dyDescent="0.35">
      <c r="A7600" s="9" t="str">
        <f>HYPERLINK("http://www.ensembl.org/id/WBGene00200789", "WBGene00200789")</f>
        <v>WBGene00200789</v>
      </c>
      <c r="B7600" s="9"/>
      <c r="C7600" s="9"/>
      <c r="D7600" t="str">
        <f>"C44E12.8"</f>
        <v>C44E12.8</v>
      </c>
      <c r="F7600" t="s">
        <v>481</v>
      </c>
      <c r="H7600" s="12">
        <v>3.5227018545059199</v>
      </c>
      <c r="I7600" s="20">
        <v>0.36849691206929103</v>
      </c>
      <c r="J7600" s="28">
        <v>0.71250274722433404</v>
      </c>
      <c r="K7600" s="29">
        <v>0.98289565623980701</v>
      </c>
    </row>
    <row r="7601" spans="1:11" x14ac:dyDescent="0.35">
      <c r="A7601" s="9" t="str">
        <f>HYPERLINK("http://www.ensembl.org/id/WBGene00008091", "WBGene00008091")</f>
        <v>WBGene00008091</v>
      </c>
      <c r="B7601" s="9" t="str">
        <f>HYPERLINK("http://www.ncbi.nlm.nih.gov/gene/183460", "183460")</f>
        <v>183460</v>
      </c>
      <c r="C7601" s="9"/>
      <c r="D7601" t="str">
        <f>"C44F1.1"</f>
        <v>C44F1.1</v>
      </c>
      <c r="F7601" t="s">
        <v>11</v>
      </c>
      <c r="H7601" s="12">
        <v>1.11229246866141</v>
      </c>
      <c r="I7601" s="20">
        <v>0.29423605483808901</v>
      </c>
      <c r="J7601" s="28">
        <v>0.76857753160685105</v>
      </c>
      <c r="K7601" s="29">
        <v>0.98289565623980701</v>
      </c>
    </row>
    <row r="7602" spans="1:11" x14ac:dyDescent="0.35">
      <c r="A7602" s="9" t="str">
        <f>HYPERLINK("http://www.ensembl.org/id/WBGene00008094", "WBGene00008094")</f>
        <v>WBGene00008094</v>
      </c>
      <c r="B7602" s="9" t="str">
        <f>HYPERLINK("http://www.ncbi.nlm.nih.gov/gene/181552", "181552")</f>
        <v>181552</v>
      </c>
      <c r="C7602" s="9"/>
      <c r="D7602" t="str">
        <f>"C44H4.4"</f>
        <v>C44H4.4</v>
      </c>
      <c r="F7602" t="s">
        <v>11</v>
      </c>
      <c r="H7602" s="12">
        <v>-1.0553113221053301</v>
      </c>
      <c r="I7602" s="20">
        <v>-0.27769054847220298</v>
      </c>
      <c r="J7602" s="28">
        <v>0.781249916588173</v>
      </c>
      <c r="K7602" s="29">
        <v>0.98289565623980701</v>
      </c>
    </row>
    <row r="7603" spans="1:11" x14ac:dyDescent="0.35">
      <c r="A7603" s="9" t="str">
        <f>HYPERLINK("http://www.ensembl.org/id/WBGene00008099", "WBGene00008099")</f>
        <v>WBGene00008099</v>
      </c>
      <c r="B7603" s="9" t="str">
        <f>HYPERLINK("http://www.ncbi.nlm.nih.gov/gene/179760", "179760")</f>
        <v>179760</v>
      </c>
      <c r="C7603" s="9"/>
      <c r="D7603" t="str">
        <f>"C44H9.4"</f>
        <v>C44H9.4</v>
      </c>
      <c r="F7603" t="s">
        <v>11</v>
      </c>
      <c r="G7603" t="s">
        <v>9960</v>
      </c>
      <c r="H7603" s="12">
        <v>-1.48716723753475</v>
      </c>
      <c r="I7603" s="20">
        <v>-0.99431114810834298</v>
      </c>
      <c r="J7603" s="28">
        <v>0.32007140995567102</v>
      </c>
      <c r="K7603" s="29">
        <v>0.98289565623980701</v>
      </c>
    </row>
    <row r="7604" spans="1:11" x14ac:dyDescent="0.35">
      <c r="A7604" s="9" t="str">
        <f>HYPERLINK("http://www.ensembl.org/id/WBGene00008100", "WBGene00008100")</f>
        <v>WBGene00008100</v>
      </c>
      <c r="B7604" s="9" t="str">
        <f>HYPERLINK("http://www.ncbi.nlm.nih.gov/gene/183464", "183464")</f>
        <v>183464</v>
      </c>
      <c r="C7604" s="9"/>
      <c r="D7604" t="str">
        <f>"C44H9.5"</f>
        <v>C44H9.5</v>
      </c>
      <c r="F7604" t="s">
        <v>11</v>
      </c>
      <c r="G7604" t="s">
        <v>25</v>
      </c>
      <c r="H7604" s="12">
        <v>1.1765038882461401</v>
      </c>
      <c r="I7604" s="20">
        <v>0.65866446129555101</v>
      </c>
      <c r="J7604" s="28">
        <v>0.51011125898295995</v>
      </c>
      <c r="K7604" s="29">
        <v>0.98289565623980701</v>
      </c>
    </row>
    <row r="7605" spans="1:11" x14ac:dyDescent="0.35">
      <c r="A7605" s="9" t="str">
        <f>HYPERLINK("http://www.ensembl.org/id/WBGene00008101", "WBGene00008101")</f>
        <v>WBGene00008101</v>
      </c>
      <c r="B7605" s="9" t="str">
        <f>HYPERLINK("http://www.ncbi.nlm.nih.gov/gene/183465", "183465")</f>
        <v>183465</v>
      </c>
      <c r="C7605" s="9"/>
      <c r="D7605" t="str">
        <f>"C44H9.6"</f>
        <v>C44H9.6</v>
      </c>
      <c r="F7605" t="s">
        <v>11</v>
      </c>
      <c r="G7605" t="s">
        <v>25</v>
      </c>
      <c r="H7605" s="12">
        <v>1.2876286942203199</v>
      </c>
      <c r="I7605" s="20">
        <v>0.87833823800655597</v>
      </c>
      <c r="J7605" s="28">
        <v>0.37976019058780602</v>
      </c>
      <c r="K7605" s="29">
        <v>0.98289565623980701</v>
      </c>
    </row>
    <row r="7606" spans="1:11" x14ac:dyDescent="0.35">
      <c r="A7606" s="9" t="str">
        <f>HYPERLINK("http://www.ensembl.org/id/WBGene00008105", "WBGene00008105")</f>
        <v>WBGene00008105</v>
      </c>
      <c r="B7606" s="9" t="str">
        <f>HYPERLINK("http://www.ncbi.nlm.nih.gov/gene/179528", "179528")</f>
        <v>179528</v>
      </c>
      <c r="C7606" s="9"/>
      <c r="D7606" t="str">
        <f>"C45B11.2"</f>
        <v>C45B11.2</v>
      </c>
      <c r="F7606" t="s">
        <v>11</v>
      </c>
      <c r="H7606" s="12">
        <v>-1.19199227823461</v>
      </c>
      <c r="I7606" s="20">
        <v>-0.28986537245947402</v>
      </c>
      <c r="J7606" s="28">
        <v>0.77191923360423298</v>
      </c>
      <c r="K7606" s="29">
        <v>0.98289565623980701</v>
      </c>
    </row>
    <row r="7607" spans="1:11" x14ac:dyDescent="0.35">
      <c r="A7607" s="9" t="str">
        <f>HYPERLINK("http://www.ensembl.org/id/WBGene00008106", "WBGene00008106")</f>
        <v>WBGene00008106</v>
      </c>
      <c r="B7607" s="9" t="str">
        <f>HYPERLINK("http://www.ncbi.nlm.nih.gov/gene/3565384", "3565384")</f>
        <v>3565384</v>
      </c>
      <c r="C7607" s="9"/>
      <c r="D7607" t="str">
        <f>"C45B11.5"</f>
        <v>C45B11.5</v>
      </c>
      <c r="F7607" t="s">
        <v>11</v>
      </c>
      <c r="G7607" t="s">
        <v>25</v>
      </c>
      <c r="H7607" s="12">
        <v>-3.7261494131482999</v>
      </c>
      <c r="I7607" s="20">
        <v>-0.38454673129429601</v>
      </c>
      <c r="J7607" s="28">
        <v>0.70057326682554</v>
      </c>
      <c r="K7607" s="29">
        <v>0.98289565623980701</v>
      </c>
    </row>
    <row r="7608" spans="1:11" x14ac:dyDescent="0.35">
      <c r="A7608" s="9" t="str">
        <f>HYPERLINK("http://www.ensembl.org/id/WBGene00077699", "WBGene00077699")</f>
        <v>WBGene00077699</v>
      </c>
      <c r="B7608" s="9" t="str">
        <f>HYPERLINK("http://www.ncbi.nlm.nih.gov/gene/6418707", "6418707")</f>
        <v>6418707</v>
      </c>
      <c r="C7608" s="9"/>
      <c r="D7608" t="str">
        <f>"C45B11.8"</f>
        <v>C45B11.8</v>
      </c>
      <c r="F7608" t="s">
        <v>11</v>
      </c>
      <c r="G7608" t="s">
        <v>25</v>
      </c>
      <c r="H7608" s="12">
        <v>1.54176440151814</v>
      </c>
      <c r="I7608" s="20">
        <v>0.34274487816897797</v>
      </c>
      <c r="J7608" s="28">
        <v>0.73179039751931796</v>
      </c>
      <c r="K7608" s="29">
        <v>0.98289565623980701</v>
      </c>
    </row>
    <row r="7609" spans="1:11" x14ac:dyDescent="0.35">
      <c r="A7609" s="9" t="str">
        <f>HYPERLINK("http://www.ensembl.org/id/WBGene00185117", "WBGene00185117")</f>
        <v>WBGene00185117</v>
      </c>
      <c r="B7609" s="9" t="str">
        <f>HYPERLINK("http://www.ncbi.nlm.nih.gov/gene/13215055", "13215055")</f>
        <v>13215055</v>
      </c>
      <c r="C7609" s="9"/>
      <c r="D7609" t="str">
        <f>"C45B11.9"</f>
        <v>C45B11.9</v>
      </c>
      <c r="F7609" t="s">
        <v>11</v>
      </c>
      <c r="G7609" t="s">
        <v>25</v>
      </c>
      <c r="H7609" s="12">
        <v>-1.5993227784072801</v>
      </c>
      <c r="I7609" s="20">
        <v>-0.38045526217971198</v>
      </c>
      <c r="J7609" s="28">
        <v>0.70360749974555903</v>
      </c>
      <c r="K7609" s="29">
        <v>0.98289565623980701</v>
      </c>
    </row>
    <row r="7610" spans="1:11" x14ac:dyDescent="0.35">
      <c r="A7610" s="9" t="str">
        <f>HYPERLINK("http://www.ensembl.org/id/WBGene00196764", "WBGene00196764")</f>
        <v>WBGene00196764</v>
      </c>
      <c r="B7610" s="9"/>
      <c r="C7610" s="9"/>
      <c r="D7610" t="str">
        <f>"C45B2.10"</f>
        <v>C45B2.10</v>
      </c>
      <c r="F7610" t="s">
        <v>481</v>
      </c>
      <c r="H7610" s="12">
        <v>-2.4295389261469</v>
      </c>
      <c r="I7610" s="20">
        <v>-0.25808529976640998</v>
      </c>
      <c r="J7610" s="28">
        <v>0.79634107645457397</v>
      </c>
      <c r="K7610" s="29">
        <v>0.98289565623980701</v>
      </c>
    </row>
    <row r="7611" spans="1:11" x14ac:dyDescent="0.35">
      <c r="A7611" s="9" t="str">
        <f>HYPERLINK("http://www.ensembl.org/id/WBGene00196804", "WBGene00196804")</f>
        <v>WBGene00196804</v>
      </c>
      <c r="B7611" s="9"/>
      <c r="C7611" s="9"/>
      <c r="D7611" t="str">
        <f>"C45B2.11"</f>
        <v>C45B2.11</v>
      </c>
      <c r="F7611" t="s">
        <v>481</v>
      </c>
      <c r="H7611" s="12">
        <v>2.3893468495514898</v>
      </c>
      <c r="I7611" s="20">
        <v>0.25323547253672701</v>
      </c>
      <c r="J7611" s="28">
        <v>0.80008625651646104</v>
      </c>
      <c r="K7611" s="29">
        <v>0.98289565623980701</v>
      </c>
    </row>
    <row r="7612" spans="1:11" x14ac:dyDescent="0.35">
      <c r="A7612" s="9" t="str">
        <f>HYPERLINK("http://www.ensembl.org/id/WBGene00199614", "WBGene00199614")</f>
        <v>WBGene00199614</v>
      </c>
      <c r="B7612" s="9"/>
      <c r="C7612" s="9"/>
      <c r="D7612" t="str">
        <f>"C45B2.13"</f>
        <v>C45B2.13</v>
      </c>
      <c r="F7612" t="s">
        <v>481</v>
      </c>
      <c r="H7612" s="12">
        <v>-5.5794491025289696</v>
      </c>
      <c r="I7612" s="20">
        <v>-0.504738274115201</v>
      </c>
      <c r="J7612" s="28">
        <v>0.61374267489732603</v>
      </c>
      <c r="K7612" s="29">
        <v>0.98289565623980701</v>
      </c>
    </row>
    <row r="7613" spans="1:11" x14ac:dyDescent="0.35">
      <c r="A7613" s="9" t="str">
        <f>HYPERLINK("http://www.ensembl.org/id/WBGene00200626", "WBGene00200626")</f>
        <v>WBGene00200626</v>
      </c>
      <c r="B7613" s="9"/>
      <c r="C7613" s="9"/>
      <c r="D7613" t="str">
        <f>"C45B2.16"</f>
        <v>C45B2.16</v>
      </c>
      <c r="F7613" t="s">
        <v>481</v>
      </c>
      <c r="H7613" s="12">
        <v>-5.3201785866927001</v>
      </c>
      <c r="I7613" s="20">
        <v>-0.49101042295714697</v>
      </c>
      <c r="J7613" s="28">
        <v>0.62341907564475696</v>
      </c>
      <c r="K7613" s="29">
        <v>0.98289565623980701</v>
      </c>
    </row>
    <row r="7614" spans="1:11" x14ac:dyDescent="0.35">
      <c r="A7614" s="9" t="str">
        <f>HYPERLINK("http://www.ensembl.org/id/WBGene00016660", "WBGene00016660")</f>
        <v>WBGene00016660</v>
      </c>
      <c r="B7614" s="9" t="str">
        <f>HYPERLINK("http://www.ncbi.nlm.nih.gov/gene/183467", "183467")</f>
        <v>183467</v>
      </c>
      <c r="C7614" s="9"/>
      <c r="D7614" t="str">
        <f>"C45B2.3"</f>
        <v>C45B2.3</v>
      </c>
      <c r="F7614" t="s">
        <v>11</v>
      </c>
      <c r="H7614" s="12">
        <v>13.4058627948307</v>
      </c>
      <c r="I7614" s="20">
        <v>0.82251412515369104</v>
      </c>
      <c r="J7614" s="28">
        <v>0.41078435087257997</v>
      </c>
      <c r="K7614" s="29">
        <v>0.98289565623980701</v>
      </c>
    </row>
    <row r="7615" spans="1:11" x14ac:dyDescent="0.35">
      <c r="A7615" s="9" t="str">
        <f>HYPERLINK("http://www.ensembl.org/id/WBGene00016661", "WBGene00016661")</f>
        <v>WBGene00016661</v>
      </c>
      <c r="B7615" s="9" t="str">
        <f>HYPERLINK("http://www.ncbi.nlm.nih.gov/gene/180874", "180874")</f>
        <v>180874</v>
      </c>
      <c r="C7615" s="9"/>
      <c r="D7615" t="str">
        <f>"C45B2.6"</f>
        <v>C45B2.6</v>
      </c>
      <c r="F7615" t="s">
        <v>11</v>
      </c>
      <c r="G7615" t="s">
        <v>5974</v>
      </c>
      <c r="H7615" s="12">
        <v>1.0774589276603199</v>
      </c>
      <c r="I7615" s="20">
        <v>0.35703564341545302</v>
      </c>
      <c r="J7615" s="28">
        <v>0.72106512231985398</v>
      </c>
      <c r="K7615" s="29">
        <v>0.98289565623980701</v>
      </c>
    </row>
    <row r="7616" spans="1:11" x14ac:dyDescent="0.35">
      <c r="A7616" s="9" t="str">
        <f>HYPERLINK("http://www.ensembl.org/id/WBGene00016662", "WBGene00016662")</f>
        <v>WBGene00016662</v>
      </c>
      <c r="B7616" s="9" t="str">
        <f>HYPERLINK("http://www.ncbi.nlm.nih.gov/gene/180879", "180879")</f>
        <v>180879</v>
      </c>
      <c r="C7616" s="9"/>
      <c r="D7616" t="str">
        <f>"C45B2.8"</f>
        <v>C45B2.8</v>
      </c>
      <c r="F7616" t="s">
        <v>11</v>
      </c>
      <c r="H7616" s="12">
        <v>1.63881248222813</v>
      </c>
      <c r="I7616" s="20">
        <v>0.76029991265904695</v>
      </c>
      <c r="J7616" s="28">
        <v>0.44707533407144101</v>
      </c>
      <c r="K7616" s="29">
        <v>0.98289565623980701</v>
      </c>
    </row>
    <row r="7617" spans="1:11" x14ac:dyDescent="0.35">
      <c r="A7617" s="9" t="str">
        <f>HYPERLINK("http://www.ensembl.org/id/WBGene00016663", "WBGene00016663")</f>
        <v>WBGene00016663</v>
      </c>
      <c r="B7617" s="9" t="str">
        <f>HYPERLINK("http://www.ncbi.nlm.nih.gov/gene/171885", "171885")</f>
        <v>171885</v>
      </c>
      <c r="C7617" s="9"/>
      <c r="D7617" t="str">
        <f>"C45E1.4"</f>
        <v>C45E1.4</v>
      </c>
      <c r="F7617" t="s">
        <v>11</v>
      </c>
      <c r="H7617" s="12">
        <v>1.1191805860656701</v>
      </c>
      <c r="I7617" s="20">
        <v>0.39810824784593501</v>
      </c>
      <c r="J7617" s="28">
        <v>0.69055039491840098</v>
      </c>
      <c r="K7617" s="29">
        <v>0.98289565623980701</v>
      </c>
    </row>
    <row r="7618" spans="1:11" x14ac:dyDescent="0.35">
      <c r="A7618" s="9" t="str">
        <f>HYPERLINK("http://www.ensembl.org/id/WBGene00195056", "WBGene00195056")</f>
        <v>WBGene00195056</v>
      </c>
      <c r="B7618" s="9" t="str">
        <f>HYPERLINK("http://www.ncbi.nlm.nih.gov/gene/13179689", "13179689")</f>
        <v>13179689</v>
      </c>
      <c r="C7618" s="9"/>
      <c r="D7618" t="str">
        <f>"C45E1.5"</f>
        <v>C45E1.5</v>
      </c>
      <c r="F7618" t="s">
        <v>11</v>
      </c>
      <c r="H7618" s="12">
        <v>3.0165489930015599</v>
      </c>
      <c r="I7618" s="20">
        <v>0.57681334846422505</v>
      </c>
      <c r="J7618" s="28">
        <v>0.56406555125763502</v>
      </c>
      <c r="K7618" s="29">
        <v>0.98289565623980701</v>
      </c>
    </row>
    <row r="7619" spans="1:11" x14ac:dyDescent="0.35">
      <c r="A7619" s="9" t="str">
        <f>HYPERLINK("http://www.ensembl.org/id/WBGene00197996", "WBGene00197996")</f>
        <v>WBGene00197996</v>
      </c>
      <c r="B7619" s="9"/>
      <c r="C7619" s="9"/>
      <c r="D7619" t="str">
        <f>"C45E1.8"</f>
        <v>C45E1.8</v>
      </c>
      <c r="F7619" t="s">
        <v>481</v>
      </c>
      <c r="H7619" s="12">
        <v>2.3893468495514898</v>
      </c>
      <c r="I7619" s="20">
        <v>0.25323547253672701</v>
      </c>
      <c r="J7619" s="28">
        <v>0.80008625651646104</v>
      </c>
      <c r="K7619" s="29">
        <v>0.98289565623980701</v>
      </c>
    </row>
    <row r="7620" spans="1:11" x14ac:dyDescent="0.35">
      <c r="A7620" s="9" t="str">
        <f>HYPERLINK("http://www.ensembl.org/id/WBGene00016666", "WBGene00016666")</f>
        <v>WBGene00016666</v>
      </c>
      <c r="B7620" s="9"/>
      <c r="C7620" s="9"/>
      <c r="D7620" t="str">
        <f>"C45E5.3"</f>
        <v>C45E5.3</v>
      </c>
      <c r="F7620" t="s">
        <v>80</v>
      </c>
      <c r="H7620" s="12">
        <v>-1.37385583538398</v>
      </c>
      <c r="I7620" s="20">
        <v>-0.59517635721166695</v>
      </c>
      <c r="J7620" s="28">
        <v>0.55172559239113395</v>
      </c>
      <c r="K7620" s="29">
        <v>0.98289565623980701</v>
      </c>
    </row>
    <row r="7621" spans="1:11" x14ac:dyDescent="0.35">
      <c r="A7621" s="9" t="str">
        <f>HYPERLINK("http://www.ensembl.org/id/WBGene00016675", "WBGene00016675")</f>
        <v>WBGene00016675</v>
      </c>
      <c r="B7621" s="9" t="str">
        <f>HYPERLINK("http://www.ncbi.nlm.nih.gov/gene/175689", "175689")</f>
        <v>175689</v>
      </c>
      <c r="C7621" s="9"/>
      <c r="D7621" t="str">
        <f>"C45G9.4"</f>
        <v>C45G9.4</v>
      </c>
      <c r="F7621" t="s">
        <v>11</v>
      </c>
      <c r="H7621" s="12">
        <v>3.6645215954135</v>
      </c>
      <c r="I7621" s="20">
        <v>0.37967131826092498</v>
      </c>
      <c r="J7621" s="28">
        <v>0.70418941338960395</v>
      </c>
      <c r="K7621" s="29">
        <v>0.98289565623980701</v>
      </c>
    </row>
    <row r="7622" spans="1:11" x14ac:dyDescent="0.35">
      <c r="A7622" s="9" t="str">
        <f>HYPERLINK("http://www.ensembl.org/id/WBGene00016676", "WBGene00016676")</f>
        <v>WBGene00016676</v>
      </c>
      <c r="B7622" s="9" t="str">
        <f>HYPERLINK("http://www.ncbi.nlm.nih.gov/gene/175686", "175686")</f>
        <v>175686</v>
      </c>
      <c r="C7622" s="9"/>
      <c r="D7622" t="str">
        <f>"C45G9.5"</f>
        <v>C45G9.5</v>
      </c>
      <c r="F7622" t="s">
        <v>11</v>
      </c>
      <c r="H7622" s="12">
        <v>-1.18231261380776</v>
      </c>
      <c r="I7622" s="20">
        <v>-0.82611991056175804</v>
      </c>
      <c r="J7622" s="28">
        <v>0.40873607415493901</v>
      </c>
      <c r="K7622" s="29">
        <v>0.98289565623980701</v>
      </c>
    </row>
    <row r="7623" spans="1:11" x14ac:dyDescent="0.35">
      <c r="A7623" s="9" t="str">
        <f>HYPERLINK("http://www.ensembl.org/id/WBGene00016678", "WBGene00016678")</f>
        <v>WBGene00016678</v>
      </c>
      <c r="B7623" s="9" t="str">
        <f>HYPERLINK("http://www.ncbi.nlm.nih.gov/gene/175685", "175685")</f>
        <v>175685</v>
      </c>
      <c r="C7623" s="9"/>
      <c r="D7623" t="str">
        <f>"C45G9.7"</f>
        <v>C45G9.7</v>
      </c>
      <c r="F7623" t="s">
        <v>11</v>
      </c>
      <c r="G7623" t="s">
        <v>54</v>
      </c>
      <c r="H7623" s="12">
        <v>-1.23039355703416</v>
      </c>
      <c r="I7623" s="20">
        <v>-0.84657737414029699</v>
      </c>
      <c r="J7623" s="28">
        <v>0.397230729682641</v>
      </c>
      <c r="K7623" s="29">
        <v>0.98289565623980701</v>
      </c>
    </row>
    <row r="7624" spans="1:11" x14ac:dyDescent="0.35">
      <c r="A7624" s="9" t="str">
        <f>HYPERLINK("http://www.ensembl.org/id/WBGene00016680", "WBGene00016680")</f>
        <v>WBGene00016680</v>
      </c>
      <c r="B7624" s="9" t="str">
        <f>HYPERLINK("http://www.ncbi.nlm.nih.gov/gene/175687", "175687")</f>
        <v>175687</v>
      </c>
      <c r="C7624" s="9"/>
      <c r="D7624" t="str">
        <f>"C45G9.9"</f>
        <v>C45G9.9</v>
      </c>
      <c r="F7624" t="s">
        <v>11</v>
      </c>
      <c r="H7624" s="12">
        <v>-1.7535907926554799</v>
      </c>
      <c r="I7624" s="20">
        <v>-0.534060100274658</v>
      </c>
      <c r="J7624" s="28">
        <v>0.593299953664298</v>
      </c>
      <c r="K7624" s="29">
        <v>0.98289565623980701</v>
      </c>
    </row>
    <row r="7625" spans="1:11" x14ac:dyDescent="0.35">
      <c r="A7625" s="9" t="str">
        <f>HYPERLINK("http://www.ensembl.org/id/WBGene00016694", "WBGene00016694")</f>
        <v>WBGene00016694</v>
      </c>
      <c r="B7625" s="9" t="str">
        <f>HYPERLINK("http://www.ncbi.nlm.nih.gov/gene/183494", "183494")</f>
        <v>183494</v>
      </c>
      <c r="C7625" s="9"/>
      <c r="D7625" t="str">
        <f>"C45H4.13"</f>
        <v>C45H4.13</v>
      </c>
      <c r="F7625" t="s">
        <v>11</v>
      </c>
      <c r="H7625" s="12">
        <v>-2.4295389261469</v>
      </c>
      <c r="I7625" s="20">
        <v>-0.25808529976640998</v>
      </c>
      <c r="J7625" s="28">
        <v>0.79634107645457397</v>
      </c>
      <c r="K7625" s="29">
        <v>0.98289565623980701</v>
      </c>
    </row>
    <row r="7626" spans="1:11" x14ac:dyDescent="0.35">
      <c r="A7626" s="9" t="str">
        <f>HYPERLINK("http://www.ensembl.org/id/WBGene00044087", "WBGene00044087")</f>
        <v>WBGene00044087</v>
      </c>
      <c r="B7626" s="9" t="str">
        <f>HYPERLINK("http://www.ncbi.nlm.nih.gov/gene/3565491", "3565491")</f>
        <v>3565491</v>
      </c>
      <c r="C7626" s="9"/>
      <c r="D7626" t="str">
        <f>"C45H4.18"</f>
        <v>C45H4.18</v>
      </c>
      <c r="F7626" t="s">
        <v>11</v>
      </c>
      <c r="G7626" t="s">
        <v>25</v>
      </c>
      <c r="H7626" s="12">
        <v>2.3893468495514898</v>
      </c>
      <c r="I7626" s="20">
        <v>0.25323547253672701</v>
      </c>
      <c r="J7626" s="28">
        <v>0.80008625651646104</v>
      </c>
      <c r="K7626" s="29">
        <v>0.98289565623980701</v>
      </c>
    </row>
    <row r="7627" spans="1:11" x14ac:dyDescent="0.35">
      <c r="A7627" s="9" t="str">
        <f>HYPERLINK("http://www.ensembl.org/id/WBGene00016698", "WBGene00016698")</f>
        <v>WBGene00016698</v>
      </c>
      <c r="B7627" s="9" t="str">
        <f>HYPERLINK("http://www.ncbi.nlm.nih.gov/gene/183497", "183497")</f>
        <v>183497</v>
      </c>
      <c r="C7627" s="9"/>
      <c r="D7627" t="str">
        <f>"C46A5.1"</f>
        <v>C46A5.1</v>
      </c>
      <c r="F7627" t="s">
        <v>11</v>
      </c>
      <c r="G7627" t="s">
        <v>1020</v>
      </c>
      <c r="H7627" s="12">
        <v>-1.1363727526629199</v>
      </c>
      <c r="I7627" s="20">
        <v>-0.28819729970288699</v>
      </c>
      <c r="J7627" s="28">
        <v>0.77319571566803902</v>
      </c>
      <c r="K7627" s="29">
        <v>0.98289565623980701</v>
      </c>
    </row>
    <row r="7628" spans="1:11" x14ac:dyDescent="0.35">
      <c r="A7628" s="9" t="str">
        <f>HYPERLINK("http://www.ensembl.org/id/WBGene00016705", "WBGene00016705")</f>
        <v>WBGene00016705</v>
      </c>
      <c r="B7628" s="9" t="str">
        <f>HYPERLINK("http://www.ncbi.nlm.nih.gov/gene/180736", "180736")</f>
        <v>180736</v>
      </c>
      <c r="C7628" s="9"/>
      <c r="D7628" t="str">
        <f>"C46C11.2"</f>
        <v>C46C11.2</v>
      </c>
      <c r="F7628" t="s">
        <v>11</v>
      </c>
      <c r="G7628" t="s">
        <v>1449</v>
      </c>
      <c r="H7628" s="12">
        <v>1.2192720334691001</v>
      </c>
      <c r="I7628" s="20">
        <v>0.747425605440875</v>
      </c>
      <c r="J7628" s="28">
        <v>0.45480669397912099</v>
      </c>
      <c r="K7628" s="29">
        <v>0.98289565623980701</v>
      </c>
    </row>
    <row r="7629" spans="1:11" x14ac:dyDescent="0.35">
      <c r="A7629" s="9" t="str">
        <f>HYPERLINK("http://www.ensembl.org/id/WBGene00016706", "WBGene00016706")</f>
        <v>WBGene00016706</v>
      </c>
      <c r="B7629" s="9" t="str">
        <f>HYPERLINK("http://www.ncbi.nlm.nih.gov/gene/180735", "180735")</f>
        <v>180735</v>
      </c>
      <c r="C7629" s="9"/>
      <c r="D7629" t="str">
        <f>"C46C11.3"</f>
        <v>C46C11.3</v>
      </c>
      <c r="F7629" t="s">
        <v>11</v>
      </c>
      <c r="G7629" t="s">
        <v>372</v>
      </c>
      <c r="H7629" s="12">
        <v>1.21527225376949</v>
      </c>
      <c r="I7629" s="20">
        <v>0.90008748034059105</v>
      </c>
      <c r="J7629" s="28">
        <v>0.36807369806962498</v>
      </c>
      <c r="K7629" s="29">
        <v>0.98289565623980701</v>
      </c>
    </row>
    <row r="7630" spans="1:11" x14ac:dyDescent="0.35">
      <c r="A7630" s="9" t="str">
        <f>HYPERLINK("http://www.ensembl.org/id/WBGene00008110", "WBGene00008110")</f>
        <v>WBGene00008110</v>
      </c>
      <c r="B7630" s="9" t="str">
        <f>HYPERLINK("http://www.ncbi.nlm.nih.gov/gene/177744", "177744")</f>
        <v>177744</v>
      </c>
      <c r="C7630" s="9"/>
      <c r="D7630" t="str">
        <f>"C46C2.2"</f>
        <v>C46C2.2</v>
      </c>
      <c r="F7630" t="s">
        <v>11</v>
      </c>
      <c r="G7630" t="s">
        <v>230</v>
      </c>
      <c r="H7630" s="12">
        <v>1.1595323087204099</v>
      </c>
      <c r="I7630" s="20">
        <v>0.79676600825888599</v>
      </c>
      <c r="J7630" s="28">
        <v>0.42558694000244102</v>
      </c>
      <c r="K7630" s="29">
        <v>0.98289565623980701</v>
      </c>
    </row>
    <row r="7631" spans="1:11" x14ac:dyDescent="0.35">
      <c r="A7631" s="9" t="str">
        <f>HYPERLINK("http://www.ensembl.org/id/WBGene00008111", "WBGene00008111")</f>
        <v>WBGene00008111</v>
      </c>
      <c r="B7631" s="9" t="str">
        <f>HYPERLINK("http://www.ncbi.nlm.nih.gov/gene/183502", "183502")</f>
        <v>183502</v>
      </c>
      <c r="C7631" s="9"/>
      <c r="D7631" t="str">
        <f>"C46C2.3"</f>
        <v>C46C2.3</v>
      </c>
      <c r="F7631" t="s">
        <v>11</v>
      </c>
      <c r="H7631" s="12">
        <v>1.8059279164969999</v>
      </c>
      <c r="I7631" s="20">
        <v>0.47067105275468601</v>
      </c>
      <c r="J7631" s="28">
        <v>0.63787565912157096</v>
      </c>
      <c r="K7631" s="29">
        <v>0.98289565623980701</v>
      </c>
    </row>
    <row r="7632" spans="1:11" x14ac:dyDescent="0.35">
      <c r="A7632" s="9" t="str">
        <f>HYPERLINK("http://www.ensembl.org/id/WBGene00008112", "WBGene00008112")</f>
        <v>WBGene00008112</v>
      </c>
      <c r="B7632" s="9"/>
      <c r="C7632" s="9"/>
      <c r="D7632" t="str">
        <f>"C46C2.4"</f>
        <v>C46C2.4</v>
      </c>
      <c r="F7632" t="s">
        <v>80</v>
      </c>
      <c r="H7632" s="12">
        <v>-2.4991590031922399</v>
      </c>
      <c r="I7632" s="20">
        <v>-0.26577412737581302</v>
      </c>
      <c r="J7632" s="28">
        <v>0.79041317015736101</v>
      </c>
      <c r="K7632" s="29">
        <v>0.98289565623980701</v>
      </c>
    </row>
    <row r="7633" spans="1:11" x14ac:dyDescent="0.35">
      <c r="A7633" s="9" t="str">
        <f>HYPERLINK("http://www.ensembl.org/id/WBGene00045121", "WBGene00045121")</f>
        <v>WBGene00045121</v>
      </c>
      <c r="B7633" s="9"/>
      <c r="C7633" s="9"/>
      <c r="D7633" t="str">
        <f>"C46C2.8"</f>
        <v>C46C2.8</v>
      </c>
      <c r="F7633" t="s">
        <v>2977</v>
      </c>
      <c r="H7633" s="12">
        <v>-1.5337753370567799</v>
      </c>
      <c r="I7633" s="20">
        <v>-0.52695476811230102</v>
      </c>
      <c r="J7633" s="28">
        <v>0.59822499948317298</v>
      </c>
      <c r="K7633" s="29">
        <v>0.98289565623980701</v>
      </c>
    </row>
    <row r="7634" spans="1:11" x14ac:dyDescent="0.35">
      <c r="A7634" s="9" t="str">
        <f>HYPERLINK("http://www.ensembl.org/id/WBGene00016707", "WBGene00016707")</f>
        <v>WBGene00016707</v>
      </c>
      <c r="B7634" s="9" t="str">
        <f>HYPERLINK("http://www.ncbi.nlm.nih.gov/gene/183505", "183505")</f>
        <v>183505</v>
      </c>
      <c r="C7634" s="9"/>
      <c r="D7634" t="str">
        <f>"C46E10.1"</f>
        <v>C46E10.1</v>
      </c>
      <c r="F7634" t="s">
        <v>11</v>
      </c>
      <c r="H7634" s="12">
        <v>1.9172504805103301</v>
      </c>
      <c r="I7634" s="20">
        <v>0.78724640256756495</v>
      </c>
      <c r="J7634" s="28">
        <v>0.431137638383217</v>
      </c>
      <c r="K7634" s="29">
        <v>0.98289565623980701</v>
      </c>
    </row>
    <row r="7635" spans="1:11" x14ac:dyDescent="0.35">
      <c r="A7635" s="9" t="str">
        <f>HYPERLINK("http://www.ensembl.org/id/WBGene00016713", "WBGene00016713")</f>
        <v>WBGene00016713</v>
      </c>
      <c r="B7635" s="9"/>
      <c r="C7635" s="9"/>
      <c r="D7635" t="str">
        <f>"C46E10.9"</f>
        <v>C46E10.9</v>
      </c>
      <c r="F7635" t="s">
        <v>80</v>
      </c>
      <c r="H7635" s="12">
        <v>-1.66579693678346</v>
      </c>
      <c r="I7635" s="20">
        <v>-0.50525968470285298</v>
      </c>
      <c r="J7635" s="28">
        <v>0.61337645481818903</v>
      </c>
      <c r="K7635" s="29">
        <v>0.98289565623980701</v>
      </c>
    </row>
    <row r="7636" spans="1:11" x14ac:dyDescent="0.35">
      <c r="A7636" s="9" t="str">
        <f>HYPERLINK("http://www.ensembl.org/id/WBGene00008121", "WBGene00008121")</f>
        <v>WBGene00008121</v>
      </c>
      <c r="B7636" s="9" t="str">
        <f>HYPERLINK("http://www.ncbi.nlm.nih.gov/gene/259497", "259497")</f>
        <v>259497</v>
      </c>
      <c r="C7636" s="9" t="str">
        <f>HYPERLINK("http://www.ncbi.nlm.nih.gov/gene/5412", "5412")</f>
        <v>5412</v>
      </c>
      <c r="D7636" t="str">
        <f>"C46F11.6"</f>
        <v>C46F11.6</v>
      </c>
      <c r="E7636" t="s">
        <v>5349</v>
      </c>
      <c r="F7636" t="s">
        <v>11</v>
      </c>
      <c r="G7636" t="s">
        <v>5350</v>
      </c>
      <c r="H7636" s="12">
        <v>1.18468614383364</v>
      </c>
      <c r="I7636" s="20">
        <v>0.87671897481987804</v>
      </c>
      <c r="J7636" s="28">
        <v>0.38063929783123701</v>
      </c>
      <c r="K7636" s="29">
        <v>0.98289565623980701</v>
      </c>
    </row>
    <row r="7637" spans="1:11" x14ac:dyDescent="0.35">
      <c r="A7637" s="9" t="str">
        <f>HYPERLINK("http://www.ensembl.org/id/WBGene00201171", "WBGene00201171")</f>
        <v>WBGene00201171</v>
      </c>
      <c r="B7637" s="9"/>
      <c r="C7637" s="9"/>
      <c r="D7637" t="str">
        <f>"C46F11.8"</f>
        <v>C46F11.8</v>
      </c>
      <c r="F7637" t="s">
        <v>481</v>
      </c>
      <c r="H7637" s="12">
        <v>2.3444892507898301</v>
      </c>
      <c r="I7637" s="20">
        <v>0.253126732237689</v>
      </c>
      <c r="J7637" s="28">
        <v>0.80017028205419904</v>
      </c>
      <c r="K7637" s="29">
        <v>0.98289565623980701</v>
      </c>
    </row>
    <row r="7638" spans="1:11" x14ac:dyDescent="0.35">
      <c r="A7638" s="9" t="str">
        <f>HYPERLINK("http://www.ensembl.org/id/WBGene00016714", "WBGene00016714")</f>
        <v>WBGene00016714</v>
      </c>
      <c r="B7638" s="9" t="str">
        <f>HYPERLINK("http://www.ncbi.nlm.nih.gov/gene/183512", "183512")</f>
        <v>183512</v>
      </c>
      <c r="C7638" s="9"/>
      <c r="D7638" t="str">
        <f>"C46F2.1"</f>
        <v>C46F2.1</v>
      </c>
      <c r="F7638" t="s">
        <v>11</v>
      </c>
      <c r="H7638" s="12">
        <v>-1.37852558253496</v>
      </c>
      <c r="I7638" s="20">
        <v>-0.92449212392008595</v>
      </c>
      <c r="J7638" s="28">
        <v>0.35523015027538102</v>
      </c>
      <c r="K7638" s="29">
        <v>0.98289565623980701</v>
      </c>
    </row>
    <row r="7639" spans="1:11" x14ac:dyDescent="0.35">
      <c r="A7639" s="9" t="str">
        <f>HYPERLINK("http://www.ensembl.org/id/WBGene00016721", "WBGene00016721")</f>
        <v>WBGene00016721</v>
      </c>
      <c r="B7639" s="9" t="str">
        <f>HYPERLINK("http://www.ncbi.nlm.nih.gov/gene/177368", "177368")</f>
        <v>177368</v>
      </c>
      <c r="C7639" s="9"/>
      <c r="D7639" t="str">
        <f>"C46G7.1"</f>
        <v>C46G7.1</v>
      </c>
      <c r="F7639" t="s">
        <v>11</v>
      </c>
      <c r="G7639" t="s">
        <v>8257</v>
      </c>
      <c r="H7639" s="12">
        <v>-1.1677875629646199</v>
      </c>
      <c r="I7639" s="20">
        <v>-0.79494287672215103</v>
      </c>
      <c r="J7639" s="28">
        <v>0.426646731403025</v>
      </c>
      <c r="K7639" s="29">
        <v>0.98289565623980701</v>
      </c>
    </row>
    <row r="7640" spans="1:11" x14ac:dyDescent="0.35">
      <c r="A7640" s="9" t="str">
        <f>HYPERLINK("http://www.ensembl.org/id/WBGene00198980", "WBGene00198980")</f>
        <v>WBGene00198980</v>
      </c>
      <c r="B7640" s="9"/>
      <c r="C7640" s="9"/>
      <c r="D7640" t="str">
        <f>"C46G7.108"</f>
        <v>C46G7.108</v>
      </c>
      <c r="F7640" t="s">
        <v>481</v>
      </c>
      <c r="H7640" s="12">
        <v>-1.6009858064823099</v>
      </c>
      <c r="I7640" s="20">
        <v>-0.34840948484302903</v>
      </c>
      <c r="J7640" s="28">
        <v>0.727532680366476</v>
      </c>
      <c r="K7640" s="29">
        <v>0.98289565623980701</v>
      </c>
    </row>
    <row r="7641" spans="1:11" x14ac:dyDescent="0.35">
      <c r="A7641" s="9" t="str">
        <f>HYPERLINK("http://www.ensembl.org/id/WBGene00016722", "WBGene00016722")</f>
        <v>WBGene00016722</v>
      </c>
      <c r="B7641" s="9" t="str">
        <f>HYPERLINK("http://www.ncbi.nlm.nih.gov/gene/177367", "177367")</f>
        <v>177367</v>
      </c>
      <c r="C7641" s="9"/>
      <c r="D7641" t="str">
        <f>"C46G7.2"</f>
        <v>C46G7.2</v>
      </c>
      <c r="F7641" t="s">
        <v>11</v>
      </c>
      <c r="G7641" t="s">
        <v>7460</v>
      </c>
      <c r="H7641" s="12">
        <v>-1.1267953123610399</v>
      </c>
      <c r="I7641" s="20">
        <v>-0.55525141618352203</v>
      </c>
      <c r="J7641" s="28">
        <v>0.57872270489063804</v>
      </c>
      <c r="K7641" s="29">
        <v>0.98289565623980701</v>
      </c>
    </row>
    <row r="7642" spans="1:11" x14ac:dyDescent="0.35">
      <c r="A7642" s="9" t="str">
        <f>HYPERLINK("http://www.ensembl.org/id/WBGene00016734", "WBGene00016734")</f>
        <v>WBGene00016734</v>
      </c>
      <c r="B7642" s="9" t="str">
        <f>HYPERLINK("http://www.ncbi.nlm.nih.gov/gene/172132", "172132")</f>
        <v>172132</v>
      </c>
      <c r="C7642" s="9"/>
      <c r="D7642" t="str">
        <f>"C46H11.10"</f>
        <v>C46H11.10</v>
      </c>
      <c r="F7642" t="s">
        <v>11</v>
      </c>
      <c r="H7642" s="12">
        <v>1.2077991540644899</v>
      </c>
      <c r="I7642" s="20">
        <v>0.73171355549338102</v>
      </c>
      <c r="J7642" s="28">
        <v>0.46434342089195402</v>
      </c>
      <c r="K7642" s="29">
        <v>0.98289565623980701</v>
      </c>
    </row>
    <row r="7643" spans="1:11" x14ac:dyDescent="0.35">
      <c r="A7643" s="9" t="str">
        <f>HYPERLINK("http://www.ensembl.org/id/WBGene00016728", "WBGene00016728")</f>
        <v>WBGene00016728</v>
      </c>
      <c r="B7643" s="9" t="str">
        <f>HYPERLINK("http://www.ncbi.nlm.nih.gov/gene/172131", "172131")</f>
        <v>172131</v>
      </c>
      <c r="C7643" s="9"/>
      <c r="D7643" t="str">
        <f>"C46H11.2"</f>
        <v>C46H11.2</v>
      </c>
      <c r="E7643" t="s">
        <v>5392</v>
      </c>
      <c r="F7643" t="s">
        <v>11</v>
      </c>
      <c r="G7643" t="s">
        <v>7657</v>
      </c>
      <c r="H7643" s="12">
        <v>-1.18881349967904</v>
      </c>
      <c r="I7643" s="20">
        <v>-0.76724870138299905</v>
      </c>
      <c r="J7643" s="28">
        <v>0.442933662062789</v>
      </c>
      <c r="K7643" s="29">
        <v>0.98289565623980701</v>
      </c>
    </row>
    <row r="7644" spans="1:11" x14ac:dyDescent="0.35">
      <c r="A7644" s="9" t="str">
        <f>HYPERLINK("http://www.ensembl.org/id/WBGene00016729", "WBGene00016729")</f>
        <v>WBGene00016729</v>
      </c>
      <c r="B7644" s="9" t="str">
        <f>HYPERLINK("http://www.ncbi.nlm.nih.gov/gene/183522", "183522")</f>
        <v>183522</v>
      </c>
      <c r="C7644" s="9" t="str">
        <f>HYPERLINK("http://www.ncbi.nlm.nih.gov/gene/10092", "10092")</f>
        <v>10092</v>
      </c>
      <c r="D7644" t="str">
        <f>"C46H11.3"</f>
        <v>C46H11.3</v>
      </c>
      <c r="E7644" t="s">
        <v>4336</v>
      </c>
      <c r="F7644" t="s">
        <v>11</v>
      </c>
      <c r="G7644" t="s">
        <v>4337</v>
      </c>
      <c r="H7644" s="12">
        <v>2.9066754133950901</v>
      </c>
      <c r="I7644" s="20">
        <v>0.87532564215025899</v>
      </c>
      <c r="J7644" s="28">
        <v>0.38139674579972499</v>
      </c>
      <c r="K7644" s="29">
        <v>0.98289565623980701</v>
      </c>
    </row>
    <row r="7645" spans="1:11" x14ac:dyDescent="0.35">
      <c r="A7645" s="9" t="str">
        <f>HYPERLINK("http://www.ensembl.org/id/WBGene00016730", "WBGene00016730")</f>
        <v>WBGene00016730</v>
      </c>
      <c r="B7645" s="9" t="str">
        <f>HYPERLINK("http://www.ncbi.nlm.nih.gov/gene/183523", "183523")</f>
        <v>183523</v>
      </c>
      <c r="C7645" s="9"/>
      <c r="D7645" t="str">
        <f>"C46H11.6"</f>
        <v>C46H11.6</v>
      </c>
      <c r="F7645" t="s">
        <v>11</v>
      </c>
      <c r="H7645" s="12">
        <v>1.46420964866082</v>
      </c>
      <c r="I7645" s="20">
        <v>0.32704366457362599</v>
      </c>
      <c r="J7645" s="28">
        <v>0.74363485990776601</v>
      </c>
      <c r="K7645" s="29">
        <v>0.98289565623980701</v>
      </c>
    </row>
    <row r="7646" spans="1:11" x14ac:dyDescent="0.35">
      <c r="A7646" s="9" t="str">
        <f>HYPERLINK("http://www.ensembl.org/id/WBGene00016724", "WBGene00016724")</f>
        <v>WBGene00016724</v>
      </c>
      <c r="B7646" s="9" t="str">
        <f>HYPERLINK("http://www.ncbi.nlm.nih.gov/gene/183519", "183519")</f>
        <v>183519</v>
      </c>
      <c r="C7646" s="9"/>
      <c r="D7646" t="str">
        <f>"C46H3.1"</f>
        <v>C46H3.1</v>
      </c>
      <c r="F7646" t="s">
        <v>11</v>
      </c>
      <c r="H7646" s="12">
        <v>1.8024304055814599</v>
      </c>
      <c r="I7646" s="20">
        <v>0.351770451446968</v>
      </c>
      <c r="J7646" s="28">
        <v>0.72501042029381502</v>
      </c>
      <c r="K7646" s="29">
        <v>0.98289565623980701</v>
      </c>
    </row>
    <row r="7647" spans="1:11" x14ac:dyDescent="0.35">
      <c r="A7647" s="9" t="str">
        <f>HYPERLINK("http://www.ensembl.org/id/WBGene00016725", "WBGene00016725")</f>
        <v>WBGene00016725</v>
      </c>
      <c r="B7647" s="9" t="str">
        <f>HYPERLINK("http://www.ncbi.nlm.nih.gov/gene/3564865", "3564865")</f>
        <v>3564865</v>
      </c>
      <c r="C7647" s="9"/>
      <c r="D7647" t="str">
        <f>"C46H3.2"</f>
        <v>C46H3.2</v>
      </c>
      <c r="F7647" t="s">
        <v>11</v>
      </c>
      <c r="G7647" t="s">
        <v>54</v>
      </c>
      <c r="H7647" s="12">
        <v>1.1001988419479201</v>
      </c>
      <c r="I7647" s="20">
        <v>0.454926950011739</v>
      </c>
      <c r="J7647" s="28">
        <v>0.64916179365208404</v>
      </c>
      <c r="K7647" s="29">
        <v>0.98289565623980701</v>
      </c>
    </row>
    <row r="7648" spans="1:11" x14ac:dyDescent="0.35">
      <c r="A7648" s="9" t="str">
        <f>HYPERLINK("http://www.ensembl.org/id/WBGene00014707", "WBGene00014707")</f>
        <v>WBGene00014707</v>
      </c>
      <c r="B7648" s="9"/>
      <c r="C7648" s="9"/>
      <c r="D7648" t="str">
        <f>"C47A10.t4"</f>
        <v>C47A10.t4</v>
      </c>
      <c r="F7648" t="s">
        <v>80</v>
      </c>
      <c r="H7648" s="12">
        <v>2.3893468495514898</v>
      </c>
      <c r="I7648" s="20">
        <v>0.25323547253672701</v>
      </c>
      <c r="J7648" s="28">
        <v>0.80008625651646104</v>
      </c>
      <c r="K7648" s="29">
        <v>0.98289565623980701</v>
      </c>
    </row>
    <row r="7649" spans="1:11" x14ac:dyDescent="0.35">
      <c r="A7649" s="9" t="str">
        <f>HYPERLINK("http://www.ensembl.org/id/WBGene00008124", "WBGene00008124")</f>
        <v>WBGene00008124</v>
      </c>
      <c r="B7649" s="9" t="str">
        <f>HYPERLINK("http://www.ncbi.nlm.nih.gov/gene/178340", "178340")</f>
        <v>178340</v>
      </c>
      <c r="C7649" s="9"/>
      <c r="D7649" t="str">
        <f>"C47A4.3"</f>
        <v>C47A4.3</v>
      </c>
      <c r="E7649" t="s">
        <v>2496</v>
      </c>
      <c r="F7649" t="s">
        <v>11</v>
      </c>
      <c r="G7649" t="s">
        <v>2497</v>
      </c>
      <c r="H7649" s="12">
        <v>-2.7920015675445899</v>
      </c>
      <c r="I7649" s="20">
        <v>-0.55834738977773002</v>
      </c>
      <c r="J7649" s="28">
        <v>0.57660719046345799</v>
      </c>
      <c r="K7649" s="29">
        <v>0.98289565623980701</v>
      </c>
    </row>
    <row r="7650" spans="1:11" x14ac:dyDescent="0.35">
      <c r="A7650" s="9" t="str">
        <f>HYPERLINK("http://www.ensembl.org/id/WBGene00014703", "WBGene00014703")</f>
        <v>WBGene00014703</v>
      </c>
      <c r="B7650" s="9"/>
      <c r="C7650" s="9"/>
      <c r="D7650" t="str">
        <f>"C47A4.4"</f>
        <v>C47A4.4</v>
      </c>
      <c r="F7650" t="s">
        <v>80</v>
      </c>
      <c r="H7650" s="12">
        <v>3.6645215954135</v>
      </c>
      <c r="I7650" s="20">
        <v>0.37967131826092498</v>
      </c>
      <c r="J7650" s="28">
        <v>0.70418941338960395</v>
      </c>
      <c r="K7650" s="29">
        <v>0.98289565623980701</v>
      </c>
    </row>
    <row r="7651" spans="1:11" x14ac:dyDescent="0.35">
      <c r="A7651" s="9" t="str">
        <f>HYPERLINK("http://www.ensembl.org/id/WBGene00008125", "WBGene00008125")</f>
        <v>WBGene00008125</v>
      </c>
      <c r="B7651" s="9" t="str">
        <f>HYPERLINK("http://www.ncbi.nlm.nih.gov/gene/183526", "183526")</f>
        <v>183526</v>
      </c>
      <c r="C7651" s="9"/>
      <c r="D7651" t="str">
        <f>"C47A4.5"</f>
        <v>C47A4.5</v>
      </c>
      <c r="F7651" t="s">
        <v>11</v>
      </c>
      <c r="H7651" s="12">
        <v>-4.5114499031905204</v>
      </c>
      <c r="I7651" s="20">
        <v>-0.44198655555625299</v>
      </c>
      <c r="J7651" s="28">
        <v>0.65849893477547905</v>
      </c>
      <c r="K7651" s="29">
        <v>0.98289565623980701</v>
      </c>
    </row>
    <row r="7652" spans="1:11" x14ac:dyDescent="0.35">
      <c r="A7652" s="9" t="str">
        <f>HYPERLINK("http://www.ensembl.org/id/WBGene00008131", "WBGene00008131")</f>
        <v>WBGene00008131</v>
      </c>
      <c r="B7652" s="9" t="str">
        <f>HYPERLINK("http://www.ncbi.nlm.nih.gov/gene/3565732", "3565732")</f>
        <v>3565732</v>
      </c>
      <c r="C7652" s="9" t="str">
        <f>HYPERLINK("http://www.ncbi.nlm.nih.gov/gene/139596", "139596")</f>
        <v>139596</v>
      </c>
      <c r="D7652" t="str">
        <f>"C47B2.2"</f>
        <v>C47B2.2</v>
      </c>
      <c r="F7652" t="s">
        <v>11</v>
      </c>
      <c r="G7652" t="s">
        <v>9430</v>
      </c>
      <c r="H7652" s="12">
        <v>-1.2453225208647101</v>
      </c>
      <c r="I7652" s="20">
        <v>-0.97409453252371003</v>
      </c>
      <c r="J7652" s="28">
        <v>0.33000960399471502</v>
      </c>
      <c r="K7652" s="29">
        <v>0.98289565623980701</v>
      </c>
    </row>
    <row r="7653" spans="1:11" x14ac:dyDescent="0.35">
      <c r="A7653" s="9" t="str">
        <f>HYPERLINK("http://www.ensembl.org/id/WBGene00008134", "WBGene00008134")</f>
        <v>WBGene00008134</v>
      </c>
      <c r="B7653" s="9" t="str">
        <f>HYPERLINK("http://www.ncbi.nlm.nih.gov/gene/173173", "173173")</f>
        <v>173173</v>
      </c>
      <c r="C7653" s="9"/>
      <c r="D7653" t="str">
        <f>"C47B2.9"</f>
        <v>C47B2.9</v>
      </c>
      <c r="F7653" t="s">
        <v>11</v>
      </c>
      <c r="G7653" t="s">
        <v>7933</v>
      </c>
      <c r="H7653" s="12">
        <v>-1.15172618309537</v>
      </c>
      <c r="I7653" s="20">
        <v>-0.60527842513686303</v>
      </c>
      <c r="J7653" s="28">
        <v>0.54499401421709603</v>
      </c>
      <c r="K7653" s="29">
        <v>0.98289565623980701</v>
      </c>
    </row>
    <row r="7654" spans="1:11" x14ac:dyDescent="0.35">
      <c r="A7654" s="9" t="str">
        <f>HYPERLINK("http://www.ensembl.org/id/WBGene00016736", "WBGene00016736")</f>
        <v>WBGene00016736</v>
      </c>
      <c r="B7654" s="9" t="str">
        <f>HYPERLINK("http://www.ncbi.nlm.nih.gov/gene/183538", "183538")</f>
        <v>183538</v>
      </c>
      <c r="C7654" s="9"/>
      <c r="D7654" t="str">
        <f>"C47C12.2"</f>
        <v>C47C12.2</v>
      </c>
      <c r="F7654" t="s">
        <v>11</v>
      </c>
      <c r="H7654" s="12">
        <v>-7.8743420930190302</v>
      </c>
      <c r="I7654" s="20">
        <v>-1.0020124847477401</v>
      </c>
      <c r="J7654" s="28">
        <v>0.31633756308165101</v>
      </c>
      <c r="K7654" s="29">
        <v>0.98289565623980701</v>
      </c>
    </row>
    <row r="7655" spans="1:11" x14ac:dyDescent="0.35">
      <c r="A7655" s="9" t="str">
        <f>HYPERLINK("http://www.ensembl.org/id/WBGene00008136", "WBGene00008136")</f>
        <v>WBGene00008136</v>
      </c>
      <c r="B7655" s="9" t="str">
        <f>HYPERLINK("http://www.ncbi.nlm.nih.gov/gene/174789", "174789")</f>
        <v>174789</v>
      </c>
      <c r="C7655" s="9" t="str">
        <f>HYPERLINK("http://www.ncbi.nlm.nih.gov/gene/54808", "54808")</f>
        <v>54808</v>
      </c>
      <c r="D7655" t="str">
        <f>"C47D12.2"</f>
        <v>C47D12.2</v>
      </c>
      <c r="F7655" t="s">
        <v>11</v>
      </c>
      <c r="G7655" t="s">
        <v>7924</v>
      </c>
      <c r="H7655" s="12">
        <v>-1.15157482245193</v>
      </c>
      <c r="I7655" s="20">
        <v>-0.75188752510849999</v>
      </c>
      <c r="J7655" s="28">
        <v>0.45211870077814997</v>
      </c>
      <c r="K7655" s="29">
        <v>0.98289565623980701</v>
      </c>
    </row>
    <row r="7656" spans="1:11" x14ac:dyDescent="0.35">
      <c r="A7656" s="9" t="str">
        <f>HYPERLINK("http://www.ensembl.org/id/WBGene00008138", "WBGene00008138")</f>
        <v>WBGene00008138</v>
      </c>
      <c r="B7656" s="9" t="str">
        <f>HYPERLINK("http://www.ncbi.nlm.nih.gov/gene/183548", "183548")</f>
        <v>183548</v>
      </c>
      <c r="C7656" s="9"/>
      <c r="D7656" t="str">
        <f>"C47D12.4"</f>
        <v>C47D12.4</v>
      </c>
      <c r="F7656" t="s">
        <v>11</v>
      </c>
      <c r="G7656" t="s">
        <v>54</v>
      </c>
      <c r="H7656" s="12">
        <v>1.30987921153474</v>
      </c>
      <c r="I7656" s="20">
        <v>0.66108152119585295</v>
      </c>
      <c r="J7656" s="28">
        <v>0.50856003511443104</v>
      </c>
      <c r="K7656" s="29">
        <v>0.98289565623980701</v>
      </c>
    </row>
    <row r="7657" spans="1:11" x14ac:dyDescent="0.35">
      <c r="A7657" s="9" t="str">
        <f>HYPERLINK("http://www.ensembl.org/id/WBGene00008153", "WBGene00008153")</f>
        <v>WBGene00008153</v>
      </c>
      <c r="B7657" s="9" t="str">
        <f>HYPERLINK("http://www.ncbi.nlm.nih.gov/gene/183556", "183556")</f>
        <v>183556</v>
      </c>
      <c r="C7657" s="9"/>
      <c r="D7657" t="str">
        <f>"C47E12.10"</f>
        <v>C47E12.10</v>
      </c>
      <c r="F7657" t="s">
        <v>11</v>
      </c>
      <c r="G7657" t="s">
        <v>25</v>
      </c>
      <c r="H7657" s="12">
        <v>-2.69281482323029</v>
      </c>
      <c r="I7657" s="20">
        <v>-0.85376061257396396</v>
      </c>
      <c r="J7657" s="28">
        <v>0.39323764230945801</v>
      </c>
      <c r="K7657" s="29">
        <v>0.98289565623980701</v>
      </c>
    </row>
    <row r="7658" spans="1:11" x14ac:dyDescent="0.35">
      <c r="A7658" s="9" t="str">
        <f>HYPERLINK("http://www.ensembl.org/id/WBGene00008154", "WBGene00008154")</f>
        <v>WBGene00008154</v>
      </c>
      <c r="B7658" s="9" t="str">
        <f>HYPERLINK("http://www.ncbi.nlm.nih.gov/gene/183557", "183557")</f>
        <v>183557</v>
      </c>
      <c r="C7658" s="9"/>
      <c r="D7658" t="str">
        <f>"C47E12.11"</f>
        <v>C47E12.11</v>
      </c>
      <c r="F7658" t="s">
        <v>11</v>
      </c>
      <c r="H7658" s="12">
        <v>-2.4871267985007699</v>
      </c>
      <c r="I7658" s="20">
        <v>-0.55761150974329499</v>
      </c>
      <c r="J7658" s="28">
        <v>0.57710969527112899</v>
      </c>
      <c r="K7658" s="29">
        <v>0.98289565623980701</v>
      </c>
    </row>
    <row r="7659" spans="1:11" x14ac:dyDescent="0.35">
      <c r="A7659" s="9" t="str">
        <f>HYPERLINK("http://www.ensembl.org/id/WBGene00008155", "WBGene00008155")</f>
        <v>WBGene00008155</v>
      </c>
      <c r="B7659" s="9" t="str">
        <f>HYPERLINK("http://www.ncbi.nlm.nih.gov/gene/3565389", "3565389")</f>
        <v>3565389</v>
      </c>
      <c r="C7659" s="9"/>
      <c r="D7659" t="str">
        <f>"C47E12.12"</f>
        <v>C47E12.12</v>
      </c>
      <c r="F7659" t="s">
        <v>11</v>
      </c>
      <c r="G7659" t="s">
        <v>25</v>
      </c>
      <c r="H7659" s="12">
        <v>-1.32694100918862</v>
      </c>
      <c r="I7659" s="20">
        <v>-0.67162643695415203</v>
      </c>
      <c r="J7659" s="28">
        <v>0.50182154363434395</v>
      </c>
      <c r="K7659" s="29">
        <v>0.98289565623980701</v>
      </c>
    </row>
    <row r="7660" spans="1:11" x14ac:dyDescent="0.35">
      <c r="A7660" s="9" t="str">
        <f>HYPERLINK("http://www.ensembl.org/id/WBGene00008156", "WBGene00008156")</f>
        <v>WBGene00008156</v>
      </c>
      <c r="B7660" s="9" t="str">
        <f>HYPERLINK("http://www.ncbi.nlm.nih.gov/gene/3565731", "3565731")</f>
        <v>3565731</v>
      </c>
      <c r="C7660" s="9"/>
      <c r="D7660" t="str">
        <f>"C47E12.13"</f>
        <v>C47E12.13</v>
      </c>
      <c r="F7660" t="s">
        <v>11</v>
      </c>
      <c r="H7660" s="12">
        <v>-1.7572289454477701</v>
      </c>
      <c r="I7660" s="20">
        <v>-0.85785390472420398</v>
      </c>
      <c r="J7660" s="28">
        <v>0.39097314000525502</v>
      </c>
      <c r="K7660" s="29">
        <v>0.98289565623980701</v>
      </c>
    </row>
    <row r="7661" spans="1:11" x14ac:dyDescent="0.35">
      <c r="A7661" s="9" t="str">
        <f>HYPERLINK("http://www.ensembl.org/id/WBGene00044240", "WBGene00044240")</f>
        <v>WBGene00044240</v>
      </c>
      <c r="B7661" s="9" t="str">
        <f>HYPERLINK("http://www.ncbi.nlm.nih.gov/gene/3564863", "3564863")</f>
        <v>3564863</v>
      </c>
      <c r="C7661" s="9"/>
      <c r="D7661" t="str">
        <f>"C47E12.14"</f>
        <v>C47E12.14</v>
      </c>
      <c r="F7661" t="s">
        <v>11</v>
      </c>
      <c r="H7661" s="12">
        <v>2.71529099150866</v>
      </c>
      <c r="I7661" s="20">
        <v>0.60589973417441101</v>
      </c>
      <c r="J7661" s="28">
        <v>0.54458133599186698</v>
      </c>
      <c r="K7661" s="29">
        <v>0.98289565623980701</v>
      </c>
    </row>
    <row r="7662" spans="1:11" x14ac:dyDescent="0.35">
      <c r="A7662" s="9" t="str">
        <f>HYPERLINK("http://www.ensembl.org/id/WBGene00008141", "WBGene00008141")</f>
        <v>WBGene00008141</v>
      </c>
      <c r="B7662" s="9" t="str">
        <f>HYPERLINK("http://www.ncbi.nlm.nih.gov/gene/183550", "183550")</f>
        <v>183550</v>
      </c>
      <c r="C7662" s="9"/>
      <c r="D7662" t="str">
        <f>"C47E8.1"</f>
        <v>C47E8.1</v>
      </c>
      <c r="F7662" t="s">
        <v>11</v>
      </c>
      <c r="H7662" s="12">
        <v>4.0458077609626297</v>
      </c>
      <c r="I7662" s="20">
        <v>0.61140932056362796</v>
      </c>
      <c r="J7662" s="28">
        <v>0.54092863373095001</v>
      </c>
      <c r="K7662" s="29">
        <v>0.98289565623980701</v>
      </c>
    </row>
    <row r="7663" spans="1:11" x14ac:dyDescent="0.35">
      <c r="A7663" s="9" t="str">
        <f>HYPERLINK("http://www.ensembl.org/id/WBGene00044216", "WBGene00044216")</f>
        <v>WBGene00044216</v>
      </c>
      <c r="B7663" s="9"/>
      <c r="C7663" s="9"/>
      <c r="D7663" t="str">
        <f>"C47E8.10"</f>
        <v>C47E8.10</v>
      </c>
      <c r="F7663" t="s">
        <v>80</v>
      </c>
      <c r="H7663" s="12">
        <v>8.1964621563264597</v>
      </c>
      <c r="I7663" s="20">
        <v>0.76830348642536495</v>
      </c>
      <c r="J7663" s="28">
        <v>0.442306903852348</v>
      </c>
      <c r="K7663" s="29">
        <v>0.98289565623980701</v>
      </c>
    </row>
    <row r="7664" spans="1:11" x14ac:dyDescent="0.35">
      <c r="A7664" s="9" t="str">
        <f>HYPERLINK("http://www.ensembl.org/id/WBGene00044180", "WBGene00044180")</f>
        <v>WBGene00044180</v>
      </c>
      <c r="B7664" s="9" t="str">
        <f>HYPERLINK("http://www.ncbi.nlm.nih.gov/gene/3565399", "3565399")</f>
        <v>3565399</v>
      </c>
      <c r="C7664" s="9"/>
      <c r="D7664" t="str">
        <f>"C47E8.11"</f>
        <v>C47E8.11</v>
      </c>
      <c r="F7664" t="s">
        <v>11</v>
      </c>
      <c r="H7664" s="12">
        <v>1.2926726889405</v>
      </c>
      <c r="I7664" s="20">
        <v>0.369636581142673</v>
      </c>
      <c r="J7664" s="28">
        <v>0.71165329076815298</v>
      </c>
      <c r="K7664" s="29">
        <v>0.98289565623980701</v>
      </c>
    </row>
    <row r="7665" spans="1:11" x14ac:dyDescent="0.35">
      <c r="A7665" s="9" t="str">
        <f>HYPERLINK("http://www.ensembl.org/id/WBGene00195235", "WBGene00195235")</f>
        <v>WBGene00195235</v>
      </c>
      <c r="B7665" s="9"/>
      <c r="C7665" s="9"/>
      <c r="D7665" t="str">
        <f>"C47E8.12"</f>
        <v>C47E8.12</v>
      </c>
      <c r="F7665" t="s">
        <v>481</v>
      </c>
      <c r="H7665" s="12">
        <v>-2.4295389261469</v>
      </c>
      <c r="I7665" s="20">
        <v>-0.25808529976640998</v>
      </c>
      <c r="J7665" s="28">
        <v>0.79634107645457397</v>
      </c>
      <c r="K7665" s="29">
        <v>0.98289565623980701</v>
      </c>
    </row>
    <row r="7666" spans="1:11" x14ac:dyDescent="0.35">
      <c r="A7666" s="9" t="str">
        <f>HYPERLINK("http://www.ensembl.org/id/WBGene00008146", "WBGene00008146")</f>
        <v>WBGene00008146</v>
      </c>
      <c r="B7666" s="9" t="str">
        <f>HYPERLINK("http://www.ncbi.nlm.nih.gov/gene/3565778", "3565778")</f>
        <v>3565778</v>
      </c>
      <c r="C7666" s="9"/>
      <c r="D7666" t="str">
        <f>"C47E8.9"</f>
        <v>C47E8.9</v>
      </c>
      <c r="F7666" t="s">
        <v>11</v>
      </c>
      <c r="H7666" s="12">
        <v>1.4181470265456599</v>
      </c>
      <c r="I7666" s="20">
        <v>0.44427165455739598</v>
      </c>
      <c r="J7666" s="28">
        <v>0.656846192124664</v>
      </c>
      <c r="K7666" s="29">
        <v>0.98289565623980701</v>
      </c>
    </row>
    <row r="7667" spans="1:11" x14ac:dyDescent="0.35">
      <c r="A7667" s="9" t="str">
        <f>HYPERLINK("http://www.ensembl.org/id/WBGene00008157", "WBGene00008157")</f>
        <v>WBGene00008157</v>
      </c>
      <c r="B7667" s="9" t="str">
        <f>HYPERLINK("http://www.ncbi.nlm.nih.gov/gene/173107", "173107")</f>
        <v>173107</v>
      </c>
      <c r="C7667" s="9"/>
      <c r="D7667" t="str">
        <f>"C47F8.1"</f>
        <v>C47F8.1</v>
      </c>
      <c r="F7667" t="s">
        <v>11</v>
      </c>
      <c r="G7667" t="s">
        <v>54</v>
      </c>
      <c r="H7667" s="12">
        <v>-1.23667976939643</v>
      </c>
      <c r="I7667" s="20">
        <v>-0.505097579514314</v>
      </c>
      <c r="J7667" s="28">
        <v>0.61349030135325699</v>
      </c>
      <c r="K7667" s="29">
        <v>0.98289565623980701</v>
      </c>
    </row>
    <row r="7668" spans="1:11" x14ac:dyDescent="0.35">
      <c r="A7668" s="9" t="str">
        <f>HYPERLINK("http://www.ensembl.org/id/WBGene00008162", "WBGene00008162")</f>
        <v>WBGene00008162</v>
      </c>
      <c r="B7668" s="9" t="str">
        <f>HYPERLINK("http://www.ncbi.nlm.nih.gov/gene/183562", "183562")</f>
        <v>183562</v>
      </c>
      <c r="C7668" s="9"/>
      <c r="D7668" t="str">
        <f>"C47F8.6"</f>
        <v>C47F8.6</v>
      </c>
      <c r="E7668" t="s">
        <v>3368</v>
      </c>
      <c r="F7668" t="s">
        <v>11</v>
      </c>
      <c r="G7668" t="s">
        <v>4251</v>
      </c>
      <c r="H7668" s="12">
        <v>-2.4295389261469</v>
      </c>
      <c r="I7668" s="20">
        <v>-0.25808529976640998</v>
      </c>
      <c r="J7668" s="28">
        <v>0.79634107645457397</v>
      </c>
      <c r="K7668" s="29">
        <v>0.98289565623980701</v>
      </c>
    </row>
    <row r="7669" spans="1:11" x14ac:dyDescent="0.35">
      <c r="A7669" s="9" t="str">
        <f>HYPERLINK("http://www.ensembl.org/id/WBGene00008163", "WBGene00008163")</f>
        <v>WBGene00008163</v>
      </c>
      <c r="B7669" s="9" t="str">
        <f>HYPERLINK("http://www.ncbi.nlm.nih.gov/gene/183563", "183563")</f>
        <v>183563</v>
      </c>
      <c r="C7669" s="9"/>
      <c r="D7669" t="str">
        <f>"C47F8.7"</f>
        <v>C47F8.7</v>
      </c>
      <c r="F7669" t="s">
        <v>11</v>
      </c>
      <c r="H7669" s="12">
        <v>-2.6655819123521201</v>
      </c>
      <c r="I7669" s="20">
        <v>-0.56403837095759901</v>
      </c>
      <c r="J7669" s="28">
        <v>0.57272801868762202</v>
      </c>
      <c r="K7669" s="29">
        <v>0.98289565623980701</v>
      </c>
    </row>
    <row r="7670" spans="1:11" x14ac:dyDescent="0.35">
      <c r="A7670" s="9" t="str">
        <f>HYPERLINK("http://www.ensembl.org/id/WBGene00008164", "WBGene00008164")</f>
        <v>WBGene00008164</v>
      </c>
      <c r="B7670" s="9" t="str">
        <f>HYPERLINK("http://www.ncbi.nlm.nih.gov/gene/174722", "174722")</f>
        <v>174722</v>
      </c>
      <c r="C7670" s="9" t="str">
        <f>HYPERLINK("http://www.ncbi.nlm.nih.gov/gene/29928", "29928")</f>
        <v>29928</v>
      </c>
      <c r="D7670" t="str">
        <f>"C47G2.3"</f>
        <v>C47G2.3</v>
      </c>
      <c r="E7670" t="s">
        <v>9498</v>
      </c>
      <c r="F7670" t="s">
        <v>11</v>
      </c>
      <c r="G7670" t="s">
        <v>9499</v>
      </c>
      <c r="H7670" s="12">
        <v>-1.25189665891969</v>
      </c>
      <c r="I7670" s="20">
        <v>-1.0451663186692599</v>
      </c>
      <c r="J7670" s="28">
        <v>0.29594610727071702</v>
      </c>
      <c r="K7670" s="29">
        <v>0.98289565623980701</v>
      </c>
    </row>
    <row r="7671" spans="1:11" x14ac:dyDescent="0.35">
      <c r="A7671" s="9" t="str">
        <f>HYPERLINK("http://www.ensembl.org/id/WBGene00044161", "WBGene00044161")</f>
        <v>WBGene00044161</v>
      </c>
      <c r="B7671" s="9"/>
      <c r="C7671" s="9"/>
      <c r="D7671" t="str">
        <f>"C47G2.8"</f>
        <v>C47G2.8</v>
      </c>
      <c r="F7671" t="s">
        <v>481</v>
      </c>
      <c r="H7671" s="12">
        <v>1.5987499431545</v>
      </c>
      <c r="I7671" s="20">
        <v>0.42273319872902498</v>
      </c>
      <c r="J7671" s="28">
        <v>0.67248993082947595</v>
      </c>
      <c r="K7671" s="29">
        <v>0.98289565623980701</v>
      </c>
    </row>
    <row r="7672" spans="1:11" x14ac:dyDescent="0.35">
      <c r="A7672" s="9" t="str">
        <f>HYPERLINK("http://www.ensembl.org/id/WBGene00197672", "WBGene00197672")</f>
        <v>WBGene00197672</v>
      </c>
      <c r="B7672" s="9"/>
      <c r="C7672" s="9"/>
      <c r="D7672" t="str">
        <f>"C48A7.9"</f>
        <v>C48A7.9</v>
      </c>
      <c r="F7672" t="s">
        <v>481</v>
      </c>
      <c r="H7672" s="12">
        <v>-3.5819448292659501</v>
      </c>
      <c r="I7672" s="20">
        <v>-0.37337717500031398</v>
      </c>
      <c r="J7672" s="28">
        <v>0.70886774492290605</v>
      </c>
      <c r="K7672" s="29">
        <v>0.98289565623980701</v>
      </c>
    </row>
    <row r="7673" spans="1:11" x14ac:dyDescent="0.35">
      <c r="A7673" s="9" t="str">
        <f>HYPERLINK("http://www.ensembl.org/id/WBGene00008173", "WBGene00008173")</f>
        <v>WBGene00008173</v>
      </c>
      <c r="B7673" s="9" t="str">
        <f>HYPERLINK("http://www.ncbi.nlm.nih.gov/gene/183568", "183568")</f>
        <v>183568</v>
      </c>
      <c r="C7673" s="9"/>
      <c r="D7673" t="str">
        <f>"C48B4.10"</f>
        <v>C48B4.10</v>
      </c>
      <c r="F7673" t="s">
        <v>11</v>
      </c>
      <c r="G7673" t="s">
        <v>25</v>
      </c>
      <c r="H7673" s="12">
        <v>-1.28133346300322</v>
      </c>
      <c r="I7673" s="20">
        <v>-0.69623589840366296</v>
      </c>
      <c r="J7673" s="28">
        <v>0.48628110957439602</v>
      </c>
      <c r="K7673" s="29">
        <v>0.98289565623980701</v>
      </c>
    </row>
    <row r="7674" spans="1:11" x14ac:dyDescent="0.35">
      <c r="A7674" s="9" t="str">
        <f>HYPERLINK("http://www.ensembl.org/id/WBGene00008168", "WBGene00008168")</f>
        <v>WBGene00008168</v>
      </c>
      <c r="B7674" s="9" t="str">
        <f>HYPERLINK("http://www.ncbi.nlm.nih.gov/gene/183565", "183565")</f>
        <v>183565</v>
      </c>
      <c r="C7674" s="9"/>
      <c r="D7674" t="str">
        <f>"C48B4.3"</f>
        <v>C48B4.3</v>
      </c>
      <c r="F7674" t="s">
        <v>11</v>
      </c>
      <c r="H7674" s="12">
        <v>1.3158972925039001</v>
      </c>
      <c r="I7674" s="20">
        <v>0.79791753455048797</v>
      </c>
      <c r="J7674" s="28">
        <v>0.42491834718683502</v>
      </c>
      <c r="K7674" s="29">
        <v>0.98289565623980701</v>
      </c>
    </row>
    <row r="7675" spans="1:11" x14ac:dyDescent="0.35">
      <c r="A7675" s="9" t="str">
        <f>HYPERLINK("http://www.ensembl.org/id/WBGene00008171", "WBGene00008171")</f>
        <v>WBGene00008171</v>
      </c>
      <c r="B7675" s="9" t="str">
        <f>HYPERLINK("http://www.ncbi.nlm.nih.gov/gene/176351", "176351")</f>
        <v>176351</v>
      </c>
      <c r="C7675" s="9"/>
      <c r="D7675" t="str">
        <f>"C48B4.8"</f>
        <v>C48B4.8</v>
      </c>
      <c r="F7675" t="s">
        <v>11</v>
      </c>
      <c r="G7675" t="s">
        <v>25</v>
      </c>
      <c r="H7675" s="12">
        <v>-1.4917762116405899</v>
      </c>
      <c r="I7675" s="20">
        <v>-1.20172151412627</v>
      </c>
      <c r="J7675" s="28">
        <v>0.22947144281457801</v>
      </c>
      <c r="K7675" s="29">
        <v>0.98289565623980701</v>
      </c>
    </row>
    <row r="7676" spans="1:11" x14ac:dyDescent="0.35">
      <c r="A7676" s="9" t="str">
        <f>HYPERLINK("http://www.ensembl.org/id/WBGene00016740", "WBGene00016740")</f>
        <v>WBGene00016740</v>
      </c>
      <c r="B7676" s="9" t="str">
        <f>HYPERLINK("http://www.ncbi.nlm.nih.gov/gene/172420", "172420")</f>
        <v>172420</v>
      </c>
      <c r="C7676" s="9" t="str">
        <f>HYPERLINK("http://www.ncbi.nlm.nih.gov/gene/55272", "55272")</f>
        <v>55272</v>
      </c>
      <c r="D7676" t="str">
        <f>"C48B6.2"</f>
        <v>C48B6.2</v>
      </c>
      <c r="E7676" t="s">
        <v>8584</v>
      </c>
      <c r="F7676" t="s">
        <v>11</v>
      </c>
      <c r="G7676" t="s">
        <v>8585</v>
      </c>
      <c r="H7676" s="12">
        <v>-1.1848607306568</v>
      </c>
      <c r="I7676" s="20">
        <v>-0.70143050088992798</v>
      </c>
      <c r="J7676" s="28">
        <v>0.48303439282504002</v>
      </c>
      <c r="K7676" s="29">
        <v>0.98289565623980701</v>
      </c>
    </row>
    <row r="7677" spans="1:11" x14ac:dyDescent="0.35">
      <c r="A7677" s="9" t="str">
        <f>HYPERLINK("http://www.ensembl.org/id/WBGene00016745", "WBGene00016745")</f>
        <v>WBGene00016745</v>
      </c>
      <c r="B7677" s="9" t="str">
        <f>HYPERLINK("http://www.ncbi.nlm.nih.gov/gene/183573", "183573")</f>
        <v>183573</v>
      </c>
      <c r="C7677" s="9"/>
      <c r="D7677" t="str">
        <f>"C48B6.9"</f>
        <v>C48B6.9</v>
      </c>
      <c r="F7677" t="s">
        <v>11</v>
      </c>
      <c r="G7677" t="s">
        <v>25</v>
      </c>
      <c r="H7677" s="12">
        <v>-1.15833656985482</v>
      </c>
      <c r="I7677" s="20">
        <v>-0.55964561091904397</v>
      </c>
      <c r="J7677" s="28">
        <v>0.57572118748796997</v>
      </c>
      <c r="K7677" s="29">
        <v>0.98289565623980701</v>
      </c>
    </row>
    <row r="7678" spans="1:11" x14ac:dyDescent="0.35">
      <c r="A7678" s="9" t="str">
        <f>HYPERLINK("http://www.ensembl.org/id/WBGene00008177", "WBGene00008177")</f>
        <v>WBGene00008177</v>
      </c>
      <c r="B7678" s="9" t="str">
        <f>HYPERLINK("http://www.ncbi.nlm.nih.gov/gene/178271", "178271")</f>
        <v>178271</v>
      </c>
      <c r="C7678" s="9"/>
      <c r="D7678" t="str">
        <f>"C48D1.1"</f>
        <v>C48D1.1</v>
      </c>
      <c r="F7678" t="s">
        <v>11</v>
      </c>
      <c r="G7678" t="s">
        <v>4517</v>
      </c>
      <c r="H7678" s="12">
        <v>1.1227991923612499</v>
      </c>
      <c r="I7678" s="20">
        <v>0.49871328206592302</v>
      </c>
      <c r="J7678" s="28">
        <v>0.61798138625144095</v>
      </c>
      <c r="K7678" s="29">
        <v>0.98289565623980701</v>
      </c>
    </row>
    <row r="7679" spans="1:11" x14ac:dyDescent="0.35">
      <c r="A7679" s="9" t="str">
        <f>HYPERLINK("http://www.ensembl.org/id/WBGene00008178", "WBGene00008178")</f>
        <v>WBGene00008178</v>
      </c>
      <c r="B7679" s="9" t="str">
        <f>HYPERLINK("http://www.ncbi.nlm.nih.gov/gene/3564995", "3564995")</f>
        <v>3564995</v>
      </c>
      <c r="C7679" s="9"/>
      <c r="D7679" t="str">
        <f>"C48D1.5"</f>
        <v>C48D1.5</v>
      </c>
      <c r="F7679" t="s">
        <v>11</v>
      </c>
      <c r="G7679" t="s">
        <v>25</v>
      </c>
      <c r="H7679" s="12">
        <v>1.1997458157829901</v>
      </c>
      <c r="I7679" s="20">
        <v>0.312187599195693</v>
      </c>
      <c r="J7679" s="28">
        <v>0.75489795589731801</v>
      </c>
      <c r="K7679" s="29">
        <v>0.98289565623980701</v>
      </c>
    </row>
    <row r="7680" spans="1:11" x14ac:dyDescent="0.35">
      <c r="A7680" s="9" t="str">
        <f>HYPERLINK("http://www.ensembl.org/id/WBGene00044909", "WBGene00044909")</f>
        <v>WBGene00044909</v>
      </c>
      <c r="B7680" s="9"/>
      <c r="C7680" s="9"/>
      <c r="D7680" t="str">
        <f>"C48D1.7"</f>
        <v>C48D1.7</v>
      </c>
      <c r="F7680" t="s">
        <v>80</v>
      </c>
      <c r="H7680" s="12">
        <v>7.2474883361933102</v>
      </c>
      <c r="I7680" s="20">
        <v>0.60161888411598596</v>
      </c>
      <c r="J7680" s="28">
        <v>0.54742785575427899</v>
      </c>
      <c r="K7680" s="29">
        <v>0.98289565623980701</v>
      </c>
    </row>
    <row r="7681" spans="1:11" x14ac:dyDescent="0.35">
      <c r="A7681" s="9" t="str">
        <f>HYPERLINK("http://www.ensembl.org/id/WBGene00194643", "WBGene00194643")</f>
        <v>WBGene00194643</v>
      </c>
      <c r="B7681" s="9" t="str">
        <f>HYPERLINK("http://www.ncbi.nlm.nih.gov/gene/13198834", "13198834")</f>
        <v>13198834</v>
      </c>
      <c r="C7681" s="9"/>
      <c r="D7681" t="str">
        <f>"C48D1.9"</f>
        <v>C48D1.9</v>
      </c>
      <c r="F7681" t="s">
        <v>11</v>
      </c>
      <c r="G7681" t="s">
        <v>25</v>
      </c>
      <c r="H7681" s="12">
        <v>4.0949094418915903</v>
      </c>
      <c r="I7681" s="20">
        <v>1.17380703220538</v>
      </c>
      <c r="J7681" s="28">
        <v>0.24047232665155699</v>
      </c>
      <c r="K7681" s="29">
        <v>0.98289565623980701</v>
      </c>
    </row>
    <row r="7682" spans="1:11" x14ac:dyDescent="0.35">
      <c r="A7682" s="9" t="str">
        <f>HYPERLINK("http://www.ensembl.org/id/WBGene00196329", "WBGene00196329")</f>
        <v>WBGene00196329</v>
      </c>
      <c r="B7682" s="9"/>
      <c r="C7682" s="9"/>
      <c r="D7682" t="str">
        <f>"C48D5.4"</f>
        <v>C48D5.4</v>
      </c>
      <c r="F7682" t="s">
        <v>481</v>
      </c>
      <c r="H7682" s="12">
        <v>7.6616465944663696</v>
      </c>
      <c r="I7682" s="20">
        <v>0.60406875593600395</v>
      </c>
      <c r="J7682" s="28">
        <v>0.54579793098927099</v>
      </c>
      <c r="K7682" s="29">
        <v>0.98289565623980701</v>
      </c>
    </row>
    <row r="7683" spans="1:11" x14ac:dyDescent="0.35">
      <c r="A7683" s="9" t="str">
        <f>HYPERLINK("http://www.ensembl.org/id/WBGene00196486", "WBGene00196486")</f>
        <v>WBGene00196486</v>
      </c>
      <c r="B7683" s="9"/>
      <c r="C7683" s="9"/>
      <c r="D7683" t="str">
        <f>"C48D5.5"</f>
        <v>C48D5.5</v>
      </c>
      <c r="F7683" t="s">
        <v>481</v>
      </c>
      <c r="H7683" s="12">
        <v>-2.4991590031922399</v>
      </c>
      <c r="I7683" s="20">
        <v>-0.26577412737581302</v>
      </c>
      <c r="J7683" s="28">
        <v>0.79041317015736101</v>
      </c>
      <c r="K7683" s="29">
        <v>0.98289565623980701</v>
      </c>
    </row>
    <row r="7684" spans="1:11" x14ac:dyDescent="0.35">
      <c r="A7684" s="9" t="str">
        <f>HYPERLINK("http://www.ensembl.org/id/WBGene00197446", "WBGene00197446")</f>
        <v>WBGene00197446</v>
      </c>
      <c r="B7684" s="9"/>
      <c r="C7684" s="9"/>
      <c r="D7684" t="str">
        <f>"C48D5.6"</f>
        <v>C48D5.6</v>
      </c>
      <c r="F7684" t="s">
        <v>481</v>
      </c>
      <c r="H7684" s="12">
        <v>-2.4295389261469</v>
      </c>
      <c r="I7684" s="20">
        <v>-0.25808529976640998</v>
      </c>
      <c r="J7684" s="28">
        <v>0.79634107645457397</v>
      </c>
      <c r="K7684" s="29">
        <v>0.98289565623980701</v>
      </c>
    </row>
    <row r="7685" spans="1:11" x14ac:dyDescent="0.35">
      <c r="A7685" s="9" t="str">
        <f>HYPERLINK("http://www.ensembl.org/id/WBGene00199419", "WBGene00199419")</f>
        <v>WBGene00199419</v>
      </c>
      <c r="B7685" s="9"/>
      <c r="C7685" s="9"/>
      <c r="D7685" t="str">
        <f>"C48D5.7"</f>
        <v>C48D5.7</v>
      </c>
      <c r="F7685" t="s">
        <v>481</v>
      </c>
      <c r="H7685" s="12">
        <v>-5.4967879193631202</v>
      </c>
      <c r="I7685" s="20">
        <v>-0.50254160819837501</v>
      </c>
      <c r="J7685" s="28">
        <v>0.61528659178453604</v>
      </c>
      <c r="K7685" s="29">
        <v>0.98289565623980701</v>
      </c>
    </row>
    <row r="7686" spans="1:11" x14ac:dyDescent="0.35">
      <c r="A7686" s="9" t="str">
        <f>HYPERLINK("http://www.ensembl.org/id/WBGene00016752", "WBGene00016752")</f>
        <v>WBGene00016752</v>
      </c>
      <c r="B7686" s="9" t="str">
        <f>HYPERLINK("http://www.ncbi.nlm.nih.gov/gene/172316", "172316")</f>
        <v>172316</v>
      </c>
      <c r="C7686" s="9"/>
      <c r="D7686" t="str">
        <f>"C48E7.7"</f>
        <v>C48E7.7</v>
      </c>
      <c r="F7686" t="s">
        <v>11</v>
      </c>
      <c r="H7686" s="12">
        <v>-3.1385421493005201</v>
      </c>
      <c r="I7686" s="20">
        <v>-0.82075663518284903</v>
      </c>
      <c r="J7686" s="28">
        <v>0.41178490392021699</v>
      </c>
      <c r="K7686" s="29">
        <v>0.98289565623980701</v>
      </c>
    </row>
    <row r="7687" spans="1:11" x14ac:dyDescent="0.35">
      <c r="A7687" s="9" t="str">
        <f>HYPERLINK("http://www.ensembl.org/id/WBGene00008191", "WBGene00008191")</f>
        <v>WBGene00008191</v>
      </c>
      <c r="B7687" s="9" t="str">
        <f>HYPERLINK("http://www.ncbi.nlm.nih.gov/gene/183591", "183591")</f>
        <v>183591</v>
      </c>
      <c r="C7687" s="9"/>
      <c r="D7687" t="str">
        <f>"C49A1.10"</f>
        <v>C49A1.10</v>
      </c>
      <c r="F7687" t="s">
        <v>11</v>
      </c>
      <c r="G7687" t="s">
        <v>25</v>
      </c>
      <c r="H7687" s="12">
        <v>1.1026239624636001</v>
      </c>
      <c r="I7687" s="20">
        <v>0.43493471136081502</v>
      </c>
      <c r="J7687" s="28">
        <v>0.66360981825094101</v>
      </c>
      <c r="K7687" s="29">
        <v>0.98289565623980701</v>
      </c>
    </row>
    <row r="7688" spans="1:11" x14ac:dyDescent="0.35">
      <c r="A7688" s="9" t="str">
        <f>HYPERLINK("http://www.ensembl.org/id/WBGene00016755", "WBGene00016755")</f>
        <v>WBGene00016755</v>
      </c>
      <c r="B7688" s="9" t="str">
        <f>HYPERLINK("http://www.ncbi.nlm.nih.gov/gene/183592", "183592")</f>
        <v>183592</v>
      </c>
      <c r="C7688" s="9"/>
      <c r="D7688" t="str">
        <f>"C49A9.1"</f>
        <v>C49A9.1</v>
      </c>
      <c r="F7688" t="s">
        <v>11</v>
      </c>
      <c r="H7688" s="12">
        <v>-1.68356841790796</v>
      </c>
      <c r="I7688" s="20">
        <v>-0.75353014183019895</v>
      </c>
      <c r="J7688" s="28">
        <v>0.451131405545522</v>
      </c>
      <c r="K7688" s="29">
        <v>0.98289565623980701</v>
      </c>
    </row>
    <row r="7689" spans="1:11" x14ac:dyDescent="0.35">
      <c r="A7689" s="9" t="str">
        <f>HYPERLINK("http://www.ensembl.org/id/WBGene00016756", "WBGene00016756")</f>
        <v>WBGene00016756</v>
      </c>
      <c r="B7689" s="9" t="str">
        <f>HYPERLINK("http://www.ncbi.nlm.nih.gov/gene/183593", "183593")</f>
        <v>183593</v>
      </c>
      <c r="C7689" s="9"/>
      <c r="D7689" t="str">
        <f>"C49A9.2"</f>
        <v>C49A9.2</v>
      </c>
      <c r="F7689" t="s">
        <v>11</v>
      </c>
      <c r="H7689" s="12">
        <v>-1.1725120972749199</v>
      </c>
      <c r="I7689" s="20">
        <v>-0.67612528696066398</v>
      </c>
      <c r="J7689" s="28">
        <v>0.49896110306458402</v>
      </c>
      <c r="K7689" s="29">
        <v>0.98289565623980701</v>
      </c>
    </row>
    <row r="7690" spans="1:11" x14ac:dyDescent="0.35">
      <c r="A7690" s="9" t="str">
        <f>HYPERLINK("http://www.ensembl.org/id/WBGene00016757", "WBGene00016757")</f>
        <v>WBGene00016757</v>
      </c>
      <c r="B7690" s="9" t="str">
        <f>HYPERLINK("http://www.ncbi.nlm.nih.gov/gene/177385", "177385")</f>
        <v>177385</v>
      </c>
      <c r="C7690" s="9"/>
      <c r="D7690" t="str">
        <f>"C49A9.3"</f>
        <v>C49A9.3</v>
      </c>
      <c r="F7690" t="s">
        <v>11</v>
      </c>
      <c r="H7690" s="12">
        <v>-1.2013397249498501</v>
      </c>
      <c r="I7690" s="20">
        <v>-0.49856574798222802</v>
      </c>
      <c r="J7690" s="28">
        <v>0.61808534011578997</v>
      </c>
      <c r="K7690" s="29">
        <v>0.98289565623980701</v>
      </c>
    </row>
    <row r="7691" spans="1:11" x14ac:dyDescent="0.35">
      <c r="A7691" s="9" t="str">
        <f>HYPERLINK("http://www.ensembl.org/id/WBGene00016759", "WBGene00016759")</f>
        <v>WBGene00016759</v>
      </c>
      <c r="B7691" s="9" t="str">
        <f>HYPERLINK("http://www.ncbi.nlm.nih.gov/gene/177382", "177382")</f>
        <v>177382</v>
      </c>
      <c r="C7691" s="9"/>
      <c r="D7691" t="str">
        <f>"C49A9.5"</f>
        <v>C49A9.5</v>
      </c>
      <c r="F7691" t="s">
        <v>11</v>
      </c>
      <c r="H7691" s="12">
        <v>1.2393212261934701</v>
      </c>
      <c r="I7691" s="20">
        <v>0.81205879570327699</v>
      </c>
      <c r="J7691" s="28">
        <v>0.41675789495219701</v>
      </c>
      <c r="K7691" s="29">
        <v>0.98289565623980701</v>
      </c>
    </row>
    <row r="7692" spans="1:11" x14ac:dyDescent="0.35">
      <c r="A7692" s="9" t="str">
        <f>HYPERLINK("http://www.ensembl.org/id/WBGene00016760", "WBGene00016760")</f>
        <v>WBGene00016760</v>
      </c>
      <c r="B7692" s="9" t="str">
        <f>HYPERLINK("http://www.ncbi.nlm.nih.gov/gene/177381", "177381")</f>
        <v>177381</v>
      </c>
      <c r="C7692" s="9"/>
      <c r="D7692" t="str">
        <f>"C49A9.6"</f>
        <v>C49A9.6</v>
      </c>
      <c r="F7692" t="s">
        <v>11</v>
      </c>
      <c r="H7692" s="12">
        <v>1.0812746528008399</v>
      </c>
      <c r="I7692" s="20">
        <v>0.31986734247329601</v>
      </c>
      <c r="J7692" s="28">
        <v>0.74906889519184405</v>
      </c>
      <c r="K7692" s="29">
        <v>0.98289565623980701</v>
      </c>
    </row>
    <row r="7693" spans="1:11" x14ac:dyDescent="0.35">
      <c r="A7693" s="9" t="str">
        <f>HYPERLINK("http://www.ensembl.org/id/WBGene00016763", "WBGene00016763")</f>
        <v>WBGene00016763</v>
      </c>
      <c r="B7693" s="9" t="str">
        <f>HYPERLINK("http://www.ncbi.nlm.nih.gov/gene/177383", "177383")</f>
        <v>177383</v>
      </c>
      <c r="C7693" s="9"/>
      <c r="D7693" t="str">
        <f>"C49A9.9"</f>
        <v>C49A9.9</v>
      </c>
      <c r="F7693" t="s">
        <v>11</v>
      </c>
      <c r="H7693" s="12">
        <v>-1.0616783820695701</v>
      </c>
      <c r="I7693" s="20">
        <v>-0.27347910710872098</v>
      </c>
      <c r="J7693" s="28">
        <v>0.78448495053510503</v>
      </c>
      <c r="K7693" s="29">
        <v>0.98289565623980701</v>
      </c>
    </row>
    <row r="7694" spans="1:11" x14ac:dyDescent="0.35">
      <c r="A7694" s="9" t="str">
        <f>HYPERLINK("http://www.ensembl.org/id/WBGene00008200", "WBGene00008200")</f>
        <v>WBGene00008200</v>
      </c>
      <c r="B7694" s="9" t="str">
        <f>HYPERLINK("http://www.ncbi.nlm.nih.gov/gene/178518", "178518")</f>
        <v>178518</v>
      </c>
      <c r="C7694" s="9"/>
      <c r="D7694" t="str">
        <f>"C49C3.10"</f>
        <v>C49C3.10</v>
      </c>
      <c r="F7694" t="s">
        <v>11</v>
      </c>
      <c r="G7694" t="s">
        <v>8852</v>
      </c>
      <c r="H7694" s="12">
        <v>-1.20180689621438</v>
      </c>
      <c r="I7694" s="20">
        <v>-0.69743557325251504</v>
      </c>
      <c r="J7694" s="28">
        <v>0.48553024565592001</v>
      </c>
      <c r="K7694" s="29">
        <v>0.98289565623980701</v>
      </c>
    </row>
    <row r="7695" spans="1:11" x14ac:dyDescent="0.35">
      <c r="A7695" s="9" t="str">
        <f>HYPERLINK("http://www.ensembl.org/id/WBGene00008201", "WBGene00008201")</f>
        <v>WBGene00008201</v>
      </c>
      <c r="B7695" s="9" t="str">
        <f>HYPERLINK("http://www.ncbi.nlm.nih.gov/gene/178520", "178520")</f>
        <v>178520</v>
      </c>
      <c r="C7695" s="9"/>
      <c r="D7695" t="str">
        <f>"C49C3.11"</f>
        <v>C49C3.11</v>
      </c>
      <c r="F7695" t="s">
        <v>11</v>
      </c>
      <c r="G7695" t="s">
        <v>47</v>
      </c>
      <c r="H7695" s="12">
        <v>-2.5023738931196702</v>
      </c>
      <c r="I7695" s="20">
        <v>-0.98067023719399804</v>
      </c>
      <c r="J7695" s="28">
        <v>0.32675538550935301</v>
      </c>
      <c r="K7695" s="29">
        <v>0.98289565623980701</v>
      </c>
    </row>
    <row r="7696" spans="1:11" x14ac:dyDescent="0.35">
      <c r="A7696" s="9" t="str">
        <f>HYPERLINK("http://www.ensembl.org/id/WBGene00185097", "WBGene00185097")</f>
        <v>WBGene00185097</v>
      </c>
      <c r="B7696" s="9" t="str">
        <f>HYPERLINK("http://www.ncbi.nlm.nih.gov/gene/13211194", "13211194")</f>
        <v>13211194</v>
      </c>
      <c r="C7696" s="9"/>
      <c r="D7696" t="str">
        <f>"C49C3.20"</f>
        <v>C49C3.20</v>
      </c>
      <c r="F7696" t="s">
        <v>11</v>
      </c>
      <c r="G7696" t="s">
        <v>25</v>
      </c>
      <c r="H7696" s="12">
        <v>2.2111091198496999</v>
      </c>
      <c r="I7696" s="20">
        <v>0.39347269154616199</v>
      </c>
      <c r="J7696" s="28">
        <v>0.69397038981090498</v>
      </c>
      <c r="K7696" s="29">
        <v>0.98289565623980701</v>
      </c>
    </row>
    <row r="7697" spans="1:11" x14ac:dyDescent="0.35">
      <c r="A7697" s="9" t="str">
        <f>HYPERLINK("http://www.ensembl.org/id/WBGene00008193", "WBGene00008193")</f>
        <v>WBGene00008193</v>
      </c>
      <c r="B7697" s="9"/>
      <c r="C7697" s="9"/>
      <c r="D7697" t="str">
        <f>"C49C3.3"</f>
        <v>C49C3.3</v>
      </c>
      <c r="F7697" t="s">
        <v>80</v>
      </c>
      <c r="H7697" s="12">
        <v>-1.6963726563957899</v>
      </c>
      <c r="I7697" s="20">
        <v>-0.28549314299331102</v>
      </c>
      <c r="J7697" s="28">
        <v>0.77526635701442104</v>
      </c>
      <c r="K7697" s="29">
        <v>0.98289565623980701</v>
      </c>
    </row>
    <row r="7698" spans="1:11" x14ac:dyDescent="0.35">
      <c r="A7698" s="9" t="str">
        <f>HYPERLINK("http://www.ensembl.org/id/WBGene00008197", "WBGene00008197")</f>
        <v>WBGene00008197</v>
      </c>
      <c r="B7698" s="9" t="str">
        <f>HYPERLINK("http://www.ncbi.nlm.nih.gov/gene/178516", "178516")</f>
        <v>178516</v>
      </c>
      <c r="C7698" s="9"/>
      <c r="D7698" t="str">
        <f>"C49C3.7"</f>
        <v>C49C3.7</v>
      </c>
      <c r="F7698" t="s">
        <v>11</v>
      </c>
      <c r="H7698" s="12">
        <v>-1.2209095126774301</v>
      </c>
      <c r="I7698" s="20">
        <v>-0.83973129437618399</v>
      </c>
      <c r="J7698" s="28">
        <v>0.40105906344044501</v>
      </c>
      <c r="K7698" s="29">
        <v>0.98289565623980701</v>
      </c>
    </row>
    <row r="7699" spans="1:11" x14ac:dyDescent="0.35">
      <c r="A7699" s="9" t="str">
        <f>HYPERLINK("http://www.ensembl.org/id/WBGene00008198", "WBGene00008198")</f>
        <v>WBGene00008198</v>
      </c>
      <c r="B7699" s="9" t="str">
        <f>HYPERLINK("http://www.ncbi.nlm.nih.gov/gene/178517", "178517")</f>
        <v>178517</v>
      </c>
      <c r="C7699" s="9"/>
      <c r="D7699" t="str">
        <f>"C49C3.8"</f>
        <v>C49C3.8</v>
      </c>
      <c r="F7699" t="s">
        <v>11</v>
      </c>
      <c r="H7699" s="12">
        <v>1.0900230416713801</v>
      </c>
      <c r="I7699" s="20">
        <v>0.37929023872902801</v>
      </c>
      <c r="J7699" s="28">
        <v>0.70447234746179099</v>
      </c>
      <c r="K7699" s="29">
        <v>0.98289565623980701</v>
      </c>
    </row>
    <row r="7700" spans="1:11" x14ac:dyDescent="0.35">
      <c r="A7700" s="9" t="str">
        <f>HYPERLINK("http://www.ensembl.org/id/WBGene00008199", "WBGene00008199")</f>
        <v>WBGene00008199</v>
      </c>
      <c r="B7700" s="9" t="str">
        <f>HYPERLINK("http://www.ncbi.nlm.nih.gov/gene/178519", "178519")</f>
        <v>178519</v>
      </c>
      <c r="C7700" s="9"/>
      <c r="D7700" t="str">
        <f>"C49C3.9"</f>
        <v>C49C3.9</v>
      </c>
      <c r="F7700" t="s">
        <v>11</v>
      </c>
      <c r="G7700" t="s">
        <v>1876</v>
      </c>
      <c r="H7700" s="12">
        <v>1.4280639484417099</v>
      </c>
      <c r="I7700" s="20">
        <v>1.1194185044865099</v>
      </c>
      <c r="J7700" s="28">
        <v>0.26296164028699298</v>
      </c>
      <c r="K7700" s="29">
        <v>0.98289565623980701</v>
      </c>
    </row>
    <row r="7701" spans="1:11" x14ac:dyDescent="0.35">
      <c r="A7701" s="9" t="str">
        <f>HYPERLINK("http://www.ensembl.org/id/WBGene00016765", "WBGene00016765")</f>
        <v>WBGene00016765</v>
      </c>
      <c r="B7701" s="9" t="str">
        <f>HYPERLINK("http://www.ncbi.nlm.nih.gov/gene/177670", "177670")</f>
        <v>177670</v>
      </c>
      <c r="C7701" s="9"/>
      <c r="D7701" t="str">
        <f>"C49C8.1"</f>
        <v>C49C8.1</v>
      </c>
      <c r="F7701" t="s">
        <v>11</v>
      </c>
      <c r="G7701" t="s">
        <v>1763</v>
      </c>
      <c r="H7701" s="12">
        <v>-1.57071462030917</v>
      </c>
      <c r="I7701" s="20">
        <v>-0.302999123750951</v>
      </c>
      <c r="J7701" s="28">
        <v>0.76189052937498103</v>
      </c>
      <c r="K7701" s="29">
        <v>0.98289565623980701</v>
      </c>
    </row>
    <row r="7702" spans="1:11" x14ac:dyDescent="0.35">
      <c r="A7702" s="9" t="str">
        <f>HYPERLINK("http://www.ensembl.org/id/WBGene00016770", "WBGene00016770")</f>
        <v>WBGene00016770</v>
      </c>
      <c r="B7702" s="9" t="str">
        <f>HYPERLINK("http://www.ncbi.nlm.nih.gov/gene/183603", "183603")</f>
        <v>183603</v>
      </c>
      <c r="C7702" s="9"/>
      <c r="D7702" t="str">
        <f>"C49C8.6"</f>
        <v>C49C8.6</v>
      </c>
      <c r="F7702" t="s">
        <v>11</v>
      </c>
      <c r="H7702" s="12">
        <v>2.5494470594118899</v>
      </c>
      <c r="I7702" s="20">
        <v>0.31908451726144499</v>
      </c>
      <c r="J7702" s="28">
        <v>0.74966242392848603</v>
      </c>
      <c r="K7702" s="29">
        <v>0.98289565623980701</v>
      </c>
    </row>
    <row r="7703" spans="1:11" x14ac:dyDescent="0.35">
      <c r="A7703" s="9" t="str">
        <f>HYPERLINK("http://www.ensembl.org/id/WBGene00235271", "WBGene00235271")</f>
        <v>WBGene00235271</v>
      </c>
      <c r="B7703" s="9" t="str">
        <f>HYPERLINK("http://www.ncbi.nlm.nih.gov/gene/24104336", "24104336")</f>
        <v>24104336</v>
      </c>
      <c r="C7703" s="9"/>
      <c r="D7703" t="str">
        <f>"C49C8.8"</f>
        <v>C49C8.8</v>
      </c>
      <c r="F7703" t="s">
        <v>11</v>
      </c>
      <c r="H7703" s="12">
        <v>-3.42398818733197</v>
      </c>
      <c r="I7703" s="20">
        <v>-0.86937837174986698</v>
      </c>
      <c r="J7703" s="28">
        <v>0.38464020897809797</v>
      </c>
      <c r="K7703" s="29">
        <v>0.98289565623980701</v>
      </c>
    </row>
    <row r="7704" spans="1:11" x14ac:dyDescent="0.35">
      <c r="A7704" s="9" t="str">
        <f>HYPERLINK("http://www.ensembl.org/id/WBGene00268214", "WBGene00268214")</f>
        <v>WBGene00268214</v>
      </c>
      <c r="B7704" s="9"/>
      <c r="C7704" s="9"/>
      <c r="D7704" t="str">
        <f>"C49F5.12"</f>
        <v>C49F5.12</v>
      </c>
      <c r="F7704" t="s">
        <v>80</v>
      </c>
      <c r="H7704" s="12">
        <v>5.6249299872216199</v>
      </c>
      <c r="I7704" s="20">
        <v>0.64392120861024604</v>
      </c>
      <c r="J7704" s="28">
        <v>0.51962652812965604</v>
      </c>
      <c r="K7704" s="29">
        <v>0.98289565623980701</v>
      </c>
    </row>
    <row r="7705" spans="1:11" x14ac:dyDescent="0.35">
      <c r="A7705" s="9" t="str">
        <f>HYPERLINK("http://www.ensembl.org/id/WBGene00268215", "WBGene00268215")</f>
        <v>WBGene00268215</v>
      </c>
      <c r="B7705" s="9" t="str">
        <f>HYPERLINK("http://www.ncbi.nlm.nih.gov/gene/26591683", "26591683")</f>
        <v>26591683</v>
      </c>
      <c r="C7705" s="9"/>
      <c r="D7705" t="str">
        <f>"C49F5.13"</f>
        <v>C49F5.13</v>
      </c>
      <c r="F7705" t="s">
        <v>11</v>
      </c>
      <c r="H7705" s="12">
        <v>2.60118610749366</v>
      </c>
      <c r="I7705" s="20">
        <v>0.71362728363573302</v>
      </c>
      <c r="J7705" s="28">
        <v>0.47545768188347398</v>
      </c>
      <c r="K7705" s="29">
        <v>0.98289565623980701</v>
      </c>
    </row>
    <row r="7706" spans="1:11" x14ac:dyDescent="0.35">
      <c r="A7706" s="9" t="str">
        <f>HYPERLINK("http://www.ensembl.org/id/WBGene00008209", "WBGene00008209")</f>
        <v>WBGene00008209</v>
      </c>
      <c r="B7706" s="9" t="str">
        <f>HYPERLINK("http://www.ncbi.nlm.nih.gov/gene/183614", "183614")</f>
        <v>183614</v>
      </c>
      <c r="C7706" s="9"/>
      <c r="D7706" t="str">
        <f>"C49F5.5"</f>
        <v>C49F5.5</v>
      </c>
      <c r="F7706" t="s">
        <v>11</v>
      </c>
      <c r="G7706" t="s">
        <v>10119</v>
      </c>
      <c r="H7706" s="12">
        <v>-5.8160083839468903</v>
      </c>
      <c r="I7706" s="20">
        <v>-0.77682473011537101</v>
      </c>
      <c r="J7706" s="28">
        <v>0.43726218421366903</v>
      </c>
      <c r="K7706" s="29">
        <v>0.98289565623980701</v>
      </c>
    </row>
    <row r="7707" spans="1:11" x14ac:dyDescent="0.35">
      <c r="A7707" s="9" t="str">
        <f>HYPERLINK("http://www.ensembl.org/id/WBGene00201078", "WBGene00201078")</f>
        <v>WBGene00201078</v>
      </c>
      <c r="B7707" s="9"/>
      <c r="C7707" s="9"/>
      <c r="D7707" t="str">
        <f>"C49F8.12"</f>
        <v>C49F8.12</v>
      </c>
      <c r="F7707" t="s">
        <v>481</v>
      </c>
      <c r="H7707" s="12">
        <v>-2.4295389261469</v>
      </c>
      <c r="I7707" s="20">
        <v>-0.25808529976640998</v>
      </c>
      <c r="J7707" s="28">
        <v>0.79634107645457397</v>
      </c>
      <c r="K7707" s="29">
        <v>0.98289565623980701</v>
      </c>
    </row>
    <row r="7708" spans="1:11" x14ac:dyDescent="0.35">
      <c r="A7708" s="9" t="str">
        <f>HYPERLINK("http://www.ensembl.org/id/WBGene00303047", "WBGene00303047")</f>
        <v>WBGene00303047</v>
      </c>
      <c r="B7708" s="9" t="str">
        <f>HYPERLINK("http://www.ncbi.nlm.nih.gov/gene/36804992", "36804992")</f>
        <v>36804992</v>
      </c>
      <c r="C7708" s="9"/>
      <c r="D7708" t="str">
        <f>"C49F8.14"</f>
        <v>C49F8.14</v>
      </c>
      <c r="F7708" t="s">
        <v>11</v>
      </c>
      <c r="H7708" s="12">
        <v>-14.334629591232201</v>
      </c>
      <c r="I7708" s="20">
        <v>-0.94785060332692395</v>
      </c>
      <c r="J7708" s="28">
        <v>0.343205514958076</v>
      </c>
      <c r="K7708" s="29">
        <v>0.98289565623980701</v>
      </c>
    </row>
    <row r="7709" spans="1:11" x14ac:dyDescent="0.35">
      <c r="A7709" s="9" t="str">
        <f>HYPERLINK("http://www.ensembl.org/id/WBGene00195731", "WBGene00195731")</f>
        <v>WBGene00195731</v>
      </c>
      <c r="B7709" s="9"/>
      <c r="C7709" s="9"/>
      <c r="D7709" t="str">
        <f>"C49F8.6"</f>
        <v>C49F8.6</v>
      </c>
      <c r="F7709" t="s">
        <v>481</v>
      </c>
      <c r="H7709" s="12">
        <v>-2.4295389261469</v>
      </c>
      <c r="I7709" s="20">
        <v>-0.25808529976640998</v>
      </c>
      <c r="J7709" s="28">
        <v>0.79634107645457397</v>
      </c>
      <c r="K7709" s="29">
        <v>0.98289565623980701</v>
      </c>
    </row>
    <row r="7710" spans="1:11" x14ac:dyDescent="0.35">
      <c r="A7710" s="9" t="str">
        <f>HYPERLINK("http://www.ensembl.org/id/WBGene00077593", "WBGene00077593")</f>
        <v>WBGene00077593</v>
      </c>
      <c r="B7710" s="9" t="str">
        <f>HYPERLINK("http://www.ncbi.nlm.nih.gov/gene/6418710", "6418710")</f>
        <v>6418710</v>
      </c>
      <c r="C7710" s="9"/>
      <c r="D7710" t="str">
        <f>"C49G7.12"</f>
        <v>C49G7.12</v>
      </c>
      <c r="F7710" t="s">
        <v>11</v>
      </c>
      <c r="H7710" s="12">
        <v>1.6090894126517901</v>
      </c>
      <c r="I7710" s="20">
        <v>1.1951401769010399</v>
      </c>
      <c r="J7710" s="28">
        <v>0.232032266962127</v>
      </c>
      <c r="K7710" s="29">
        <v>0.98289565623980701</v>
      </c>
    </row>
    <row r="7711" spans="1:11" x14ac:dyDescent="0.35">
      <c r="A7711" s="9" t="str">
        <f>HYPERLINK("http://www.ensembl.org/id/WBGene00269425", "WBGene00269425")</f>
        <v>WBGene00269425</v>
      </c>
      <c r="B7711" s="9" t="str">
        <f>HYPERLINK("http://www.ncbi.nlm.nih.gov/gene/183621", "183621")</f>
        <v>183621</v>
      </c>
      <c r="C7711" s="9"/>
      <c r="D7711" t="str">
        <f>"C49G7.13"</f>
        <v>C49G7.13</v>
      </c>
      <c r="F7711" t="s">
        <v>11</v>
      </c>
      <c r="H7711" s="12">
        <v>1.44452301354027</v>
      </c>
      <c r="I7711" s="20">
        <v>0.40731150924210602</v>
      </c>
      <c r="J7711" s="28">
        <v>0.68377921073310799</v>
      </c>
      <c r="K7711" s="29">
        <v>0.98289565623980701</v>
      </c>
    </row>
    <row r="7712" spans="1:11" x14ac:dyDescent="0.35">
      <c r="A7712" s="9" t="str">
        <f>HYPERLINK("http://www.ensembl.org/id/WBGene00016781", "WBGene00016781")</f>
        <v>WBGene00016781</v>
      </c>
      <c r="B7712" s="9" t="str">
        <f>HYPERLINK("http://www.ncbi.nlm.nih.gov/gene/178810", "178810")</f>
        <v>178810</v>
      </c>
      <c r="C7712" s="9"/>
      <c r="D7712" t="str">
        <f>"C49G7.3"</f>
        <v>C49G7.3</v>
      </c>
      <c r="F7712" t="s">
        <v>11</v>
      </c>
      <c r="H7712" s="12">
        <v>1.98535435294073</v>
      </c>
      <c r="I7712" s="20">
        <v>0.731445522913581</v>
      </c>
      <c r="J7712" s="28">
        <v>0.46450706808922099</v>
      </c>
      <c r="K7712" s="29">
        <v>0.98289565623980701</v>
      </c>
    </row>
    <row r="7713" spans="1:11" x14ac:dyDescent="0.35">
      <c r="A7713" s="9" t="str">
        <f>HYPERLINK("http://www.ensembl.org/id/WBGene00045474", "WBGene00045474")</f>
        <v>WBGene00045474</v>
      </c>
      <c r="B7713" s="9" t="str">
        <f>HYPERLINK("http://www.ncbi.nlm.nih.gov/gene/6418605", "6418605")</f>
        <v>6418605</v>
      </c>
      <c r="C7713" s="9"/>
      <c r="D7713" t="str">
        <f>"C49G9.2"</f>
        <v>C49G9.2</v>
      </c>
      <c r="F7713" t="s">
        <v>11</v>
      </c>
      <c r="G7713" t="s">
        <v>25</v>
      </c>
      <c r="H7713" s="12">
        <v>-1.3569263981572599</v>
      </c>
      <c r="I7713" s="20">
        <v>-0.82600282267153102</v>
      </c>
      <c r="J7713" s="28">
        <v>0.40880249060766299</v>
      </c>
      <c r="K7713" s="29">
        <v>0.98289565623980701</v>
      </c>
    </row>
    <row r="7714" spans="1:11" x14ac:dyDescent="0.35">
      <c r="A7714" s="9" t="str">
        <f>HYPERLINK("http://www.ensembl.org/id/WBGene00016795", "WBGene00016795")</f>
        <v>WBGene00016795</v>
      </c>
      <c r="B7714" s="9" t="str">
        <f>HYPERLINK("http://www.ncbi.nlm.nih.gov/gene/183629", "183629")</f>
        <v>183629</v>
      </c>
      <c r="C7714" s="9"/>
      <c r="D7714" t="str">
        <f>"C49H3.12"</f>
        <v>C49H3.12</v>
      </c>
      <c r="F7714" t="s">
        <v>11</v>
      </c>
      <c r="H7714" s="12">
        <v>-1.3424108871338301</v>
      </c>
      <c r="I7714" s="20">
        <v>-0.377811737762764</v>
      </c>
      <c r="J7714" s="28">
        <v>0.70557045344008995</v>
      </c>
      <c r="K7714" s="29">
        <v>0.98289565623980701</v>
      </c>
    </row>
    <row r="7715" spans="1:11" x14ac:dyDescent="0.35">
      <c r="A7715" s="9" t="str">
        <f>HYPERLINK("http://www.ensembl.org/id/WBGene00016790", "WBGene00016790")</f>
        <v>WBGene00016790</v>
      </c>
      <c r="B7715" s="9" t="str">
        <f>HYPERLINK("http://www.ncbi.nlm.nih.gov/gene/177582", "177582")</f>
        <v>177582</v>
      </c>
      <c r="C7715" s="9"/>
      <c r="D7715" t="str">
        <f>"C49H3.3"</f>
        <v>C49H3.3</v>
      </c>
      <c r="F7715" t="s">
        <v>11</v>
      </c>
      <c r="G7715" t="s">
        <v>8260</v>
      </c>
      <c r="H7715" s="12">
        <v>-1.1678467704490301</v>
      </c>
      <c r="I7715" s="20">
        <v>-0.73757900174635804</v>
      </c>
      <c r="J7715" s="28">
        <v>0.460770319425097</v>
      </c>
      <c r="K7715" s="29">
        <v>0.98289565623980701</v>
      </c>
    </row>
    <row r="7716" spans="1:11" x14ac:dyDescent="0.35">
      <c r="A7716" s="9" t="str">
        <f>HYPERLINK("http://www.ensembl.org/id/WBGene00016792", "WBGene00016792")</f>
        <v>WBGene00016792</v>
      </c>
      <c r="B7716" s="9" t="str">
        <f>HYPERLINK("http://www.ncbi.nlm.nih.gov/gene/177577", "177577")</f>
        <v>177577</v>
      </c>
      <c r="C7716" s="9"/>
      <c r="D7716" t="str">
        <f>"C49H3.6"</f>
        <v>C49H3.6</v>
      </c>
      <c r="F7716" t="s">
        <v>11</v>
      </c>
      <c r="G7716" t="s">
        <v>7738</v>
      </c>
      <c r="H7716" s="12">
        <v>-1.14209037659346</v>
      </c>
      <c r="I7716" s="20">
        <v>-0.67249655894836102</v>
      </c>
      <c r="J7716" s="28">
        <v>0.50126763002953401</v>
      </c>
      <c r="K7716" s="29">
        <v>0.98289565623980701</v>
      </c>
    </row>
    <row r="7717" spans="1:11" x14ac:dyDescent="0.35">
      <c r="A7717" s="9" t="str">
        <f>HYPERLINK("http://www.ensembl.org/id/WBGene00016794", "WBGene00016794")</f>
        <v>WBGene00016794</v>
      </c>
      <c r="B7717" s="9" t="str">
        <f>HYPERLINK("http://www.ncbi.nlm.nih.gov/gene/177578", "177578")</f>
        <v>177578</v>
      </c>
      <c r="C7717" s="9"/>
      <c r="D7717" t="str">
        <f>"C49H3.9"</f>
        <v>C49H3.9</v>
      </c>
      <c r="F7717" t="s">
        <v>11</v>
      </c>
      <c r="G7717" t="s">
        <v>9364</v>
      </c>
      <c r="H7717" s="12">
        <v>-1.24122448515791</v>
      </c>
      <c r="I7717" s="20">
        <v>-1.0891228123325301</v>
      </c>
      <c r="J7717" s="28">
        <v>0.276099731312338</v>
      </c>
      <c r="K7717" s="29">
        <v>0.98289565623980701</v>
      </c>
    </row>
    <row r="7718" spans="1:11" x14ac:dyDescent="0.35">
      <c r="A7718" s="9" t="str">
        <f>HYPERLINK("http://www.ensembl.org/id/WBGene00016797", "WBGene00016797")</f>
        <v>WBGene00016797</v>
      </c>
      <c r="B7718" s="9" t="str">
        <f>HYPERLINK("http://www.ncbi.nlm.nih.gov/gene/183630", "183630")</f>
        <v>183630</v>
      </c>
      <c r="C7718" s="9"/>
      <c r="D7718" t="str">
        <f>"C50A2.3"</f>
        <v>C50A2.3</v>
      </c>
      <c r="F7718" t="s">
        <v>11</v>
      </c>
      <c r="G7718" t="s">
        <v>25</v>
      </c>
      <c r="H7718" s="12">
        <v>1.44911147650153</v>
      </c>
      <c r="I7718" s="20">
        <v>0.88744053277644697</v>
      </c>
      <c r="J7718" s="28">
        <v>0.37484176927831903</v>
      </c>
      <c r="K7718" s="29">
        <v>0.98289565623980701</v>
      </c>
    </row>
    <row r="7719" spans="1:11" x14ac:dyDescent="0.35">
      <c r="A7719" s="9" t="str">
        <f>HYPERLINK("http://www.ensembl.org/id/WBGene00198949", "WBGene00198949")</f>
        <v>WBGene00198949</v>
      </c>
      <c r="B7719" s="9"/>
      <c r="C7719" s="9"/>
      <c r="D7719" t="str">
        <f>"C50A2.6"</f>
        <v>C50A2.6</v>
      </c>
      <c r="F7719" t="s">
        <v>481</v>
      </c>
      <c r="H7719" s="12">
        <v>-2.4991590031922399</v>
      </c>
      <c r="I7719" s="20">
        <v>-0.26577412737581302</v>
      </c>
      <c r="J7719" s="28">
        <v>0.79041317015736101</v>
      </c>
      <c r="K7719" s="29">
        <v>0.98289565623980701</v>
      </c>
    </row>
    <row r="7720" spans="1:11" x14ac:dyDescent="0.35">
      <c r="A7720" s="9" t="str">
        <f>HYPERLINK("http://www.ensembl.org/id/WBGene00008217", "WBGene00008217")</f>
        <v>WBGene00008217</v>
      </c>
      <c r="B7720" s="9" t="str">
        <f>HYPERLINK("http://www.ncbi.nlm.nih.gov/gene/183632", "183632")</f>
        <v>183632</v>
      </c>
      <c r="C7720" s="9"/>
      <c r="D7720" t="str">
        <f>"C50B6.1"</f>
        <v>C50B6.1</v>
      </c>
      <c r="F7720" t="s">
        <v>11</v>
      </c>
      <c r="H7720" s="12">
        <v>2.3893468495514898</v>
      </c>
      <c r="I7720" s="20">
        <v>0.25323547253672701</v>
      </c>
      <c r="J7720" s="28">
        <v>0.80008625651646104</v>
      </c>
      <c r="K7720" s="29">
        <v>0.98289565623980701</v>
      </c>
    </row>
    <row r="7721" spans="1:11" x14ac:dyDescent="0.35">
      <c r="A7721" s="9" t="str">
        <f>HYPERLINK("http://www.ensembl.org/id/WBGene00014710", "WBGene00014710")</f>
        <v>WBGene00014710</v>
      </c>
      <c r="B7721" s="9"/>
      <c r="C7721" s="9"/>
      <c r="D7721" t="str">
        <f>"C50B6.13"</f>
        <v>C50B6.13</v>
      </c>
      <c r="F7721" t="s">
        <v>80</v>
      </c>
      <c r="H7721" s="12">
        <v>-7.6593953309027301</v>
      </c>
      <c r="I7721" s="20">
        <v>-0.667771458163813</v>
      </c>
      <c r="J7721" s="28">
        <v>0.50427948823086399</v>
      </c>
      <c r="K7721" s="29">
        <v>0.98289565623980701</v>
      </c>
    </row>
    <row r="7722" spans="1:11" x14ac:dyDescent="0.35">
      <c r="A7722" s="9" t="str">
        <f>HYPERLINK("http://www.ensembl.org/id/WBGene00008222", "WBGene00008222")</f>
        <v>WBGene00008222</v>
      </c>
      <c r="B7722" s="9" t="str">
        <f>HYPERLINK("http://www.ncbi.nlm.nih.gov/gene/183636", "183636")</f>
        <v>183636</v>
      </c>
      <c r="C7722" s="9"/>
      <c r="D7722" t="str">
        <f>"C50B6.9"</f>
        <v>C50B6.9</v>
      </c>
      <c r="F7722" t="s">
        <v>11</v>
      </c>
      <c r="G7722" t="s">
        <v>4967</v>
      </c>
      <c r="H7722" s="12">
        <v>1.27520496110086</v>
      </c>
      <c r="I7722" s="20">
        <v>0.552120659098712</v>
      </c>
      <c r="J7722" s="28">
        <v>0.58086568858024201</v>
      </c>
      <c r="K7722" s="29">
        <v>0.98289565623980701</v>
      </c>
    </row>
    <row r="7723" spans="1:11" x14ac:dyDescent="0.35">
      <c r="A7723" s="9" t="str">
        <f>HYPERLINK("http://www.ensembl.org/id/WBGene00008226", "WBGene00008226")</f>
        <v>WBGene00008226</v>
      </c>
      <c r="B7723" s="9" t="str">
        <f>HYPERLINK("http://www.ncbi.nlm.nih.gov/gene/179842", "179842")</f>
        <v>179842</v>
      </c>
      <c r="C7723" s="9"/>
      <c r="D7723" t="str">
        <f>"C50B8.4"</f>
        <v>C50B8.4</v>
      </c>
      <c r="F7723" t="s">
        <v>11</v>
      </c>
      <c r="G7723" t="s">
        <v>25</v>
      </c>
      <c r="H7723" s="12">
        <v>-1.0931736509905201</v>
      </c>
      <c r="I7723" s="20">
        <v>-0.312939521450459</v>
      </c>
      <c r="J7723" s="28">
        <v>0.754326610702997</v>
      </c>
      <c r="K7723" s="29">
        <v>0.98289565623980701</v>
      </c>
    </row>
    <row r="7724" spans="1:11" x14ac:dyDescent="0.35">
      <c r="A7724" s="9" t="str">
        <f>HYPERLINK("http://www.ensembl.org/id/WBGene00008227", "WBGene00008227")</f>
        <v>WBGene00008227</v>
      </c>
      <c r="B7724" s="9" t="str">
        <f>HYPERLINK("http://www.ncbi.nlm.nih.gov/gene/179843", "179843")</f>
        <v>179843</v>
      </c>
      <c r="C7724" s="9"/>
      <c r="D7724" t="str">
        <f>"C50B8.5"</f>
        <v>C50B8.5</v>
      </c>
      <c r="F7724" t="s">
        <v>11</v>
      </c>
      <c r="G7724" t="s">
        <v>25</v>
      </c>
      <c r="H7724" s="12">
        <v>1.32717250400725</v>
      </c>
      <c r="I7724" s="20">
        <v>0.96720126950123597</v>
      </c>
      <c r="J7724" s="28">
        <v>0.33344342768934399</v>
      </c>
      <c r="K7724" s="29">
        <v>0.98289565623980701</v>
      </c>
    </row>
    <row r="7725" spans="1:11" x14ac:dyDescent="0.35">
      <c r="A7725" s="9" t="str">
        <f>HYPERLINK("http://www.ensembl.org/id/WBGene00016804", "WBGene00016804")</f>
        <v>WBGene00016804</v>
      </c>
      <c r="B7725" s="9" t="str">
        <f>HYPERLINK("http://www.ncbi.nlm.nih.gov/gene/259520", "259520")</f>
        <v>259520</v>
      </c>
      <c r="C7725" s="9"/>
      <c r="D7725" t="str">
        <f>"C50C3.12"</f>
        <v>C50C3.12</v>
      </c>
      <c r="F7725" t="s">
        <v>11</v>
      </c>
      <c r="H7725" s="12">
        <v>3.5227018545059199</v>
      </c>
      <c r="I7725" s="20">
        <v>0.36849691206929103</v>
      </c>
      <c r="J7725" s="28">
        <v>0.71250274722433404</v>
      </c>
      <c r="K7725" s="29">
        <v>0.98289565623980701</v>
      </c>
    </row>
    <row r="7726" spans="1:11" x14ac:dyDescent="0.35">
      <c r="A7726" s="9" t="str">
        <f>HYPERLINK("http://www.ensembl.org/id/WBGene00220258", "WBGene00220258")</f>
        <v>WBGene00220258</v>
      </c>
      <c r="B7726" s="9" t="str">
        <f>HYPERLINK("http://www.ncbi.nlm.nih.gov/gene/24104339", "24104339")</f>
        <v>24104339</v>
      </c>
      <c r="C7726" s="9"/>
      <c r="D7726" t="str">
        <f>"C50C3.19"</f>
        <v>C50C3.19</v>
      </c>
      <c r="F7726" t="s">
        <v>11</v>
      </c>
      <c r="H7726" s="12">
        <v>7.2474883361933102</v>
      </c>
      <c r="I7726" s="20">
        <v>0.60161888411598596</v>
      </c>
      <c r="J7726" s="28">
        <v>0.54742785575427899</v>
      </c>
      <c r="K7726" s="29">
        <v>0.98289565623980701</v>
      </c>
    </row>
    <row r="7727" spans="1:11" x14ac:dyDescent="0.35">
      <c r="A7727" s="9" t="str">
        <f>HYPERLINK("http://www.ensembl.org/id/WBGene00016805", "WBGene00016805")</f>
        <v>WBGene00016805</v>
      </c>
      <c r="B7727" s="9" t="str">
        <f>HYPERLINK("http://www.ncbi.nlm.nih.gov/gene/173396", "173396")</f>
        <v>173396</v>
      </c>
      <c r="C7727" s="9"/>
      <c r="D7727" t="str">
        <f>"C50D2.1"</f>
        <v>C50D2.1</v>
      </c>
      <c r="F7727" t="s">
        <v>11</v>
      </c>
      <c r="H7727" s="12">
        <v>1.3573756198826401</v>
      </c>
      <c r="I7727" s="20">
        <v>0.41125837014406103</v>
      </c>
      <c r="J7727" s="28">
        <v>0.68088309168722705</v>
      </c>
      <c r="K7727" s="29">
        <v>0.98289565623980701</v>
      </c>
    </row>
    <row r="7728" spans="1:11" x14ac:dyDescent="0.35">
      <c r="A7728" s="9" t="str">
        <f>HYPERLINK("http://www.ensembl.org/id/WBGene00016806", "WBGene00016806")</f>
        <v>WBGene00016806</v>
      </c>
      <c r="B7728" s="9" t="str">
        <f>HYPERLINK("http://www.ncbi.nlm.nih.gov/gene/183650", "183650")</f>
        <v>183650</v>
      </c>
      <c r="C7728" s="9" t="str">
        <f>HYPERLINK("http://www.ncbi.nlm.nih.gov/gene/6542", "6542")</f>
        <v>6542</v>
      </c>
      <c r="D7728" t="str">
        <f>"C50D2.2"</f>
        <v>C50D2.2</v>
      </c>
      <c r="F7728" t="s">
        <v>11</v>
      </c>
      <c r="G7728" t="s">
        <v>1584</v>
      </c>
      <c r="H7728" s="12">
        <v>1.18004985869326</v>
      </c>
      <c r="I7728" s="20">
        <v>0.71355337393442297</v>
      </c>
      <c r="J7728" s="28">
        <v>0.47550339782944101</v>
      </c>
      <c r="K7728" s="29">
        <v>0.98289565623980701</v>
      </c>
    </row>
    <row r="7729" spans="1:11" x14ac:dyDescent="0.35">
      <c r="A7729" s="9" t="str">
        <f>HYPERLINK("http://www.ensembl.org/id/WBGene00016807", "WBGene00016807")</f>
        <v>WBGene00016807</v>
      </c>
      <c r="B7729" s="9" t="str">
        <f>HYPERLINK("http://www.ncbi.nlm.nih.gov/gene/183651", "183651")</f>
        <v>183651</v>
      </c>
      <c r="C7729" s="9"/>
      <c r="D7729" t="str">
        <f>"C50D2.3"</f>
        <v>C50D2.3</v>
      </c>
      <c r="F7729" t="s">
        <v>11</v>
      </c>
      <c r="G7729" t="s">
        <v>54</v>
      </c>
      <c r="H7729" s="12">
        <v>2.2495991218070102</v>
      </c>
      <c r="I7729" s="20">
        <v>0.444125434205421</v>
      </c>
      <c r="J7729" s="28">
        <v>0.65695189871255599</v>
      </c>
      <c r="K7729" s="29">
        <v>0.98289565623980701</v>
      </c>
    </row>
    <row r="7730" spans="1:11" x14ac:dyDescent="0.35">
      <c r="A7730" s="9" t="str">
        <f>HYPERLINK("http://www.ensembl.org/id/WBGene00016808", "WBGene00016808")</f>
        <v>WBGene00016808</v>
      </c>
      <c r="B7730" s="9" t="str">
        <f>HYPERLINK("http://www.ncbi.nlm.nih.gov/gene/173394", "173394")</f>
        <v>173394</v>
      </c>
      <c r="C7730" s="9" t="str">
        <f>HYPERLINK("http://www.ncbi.nlm.nih.gov/gene/51639", "51639")</f>
        <v>51639</v>
      </c>
      <c r="D7730" t="str">
        <f>"C50D2.5"</f>
        <v>C50D2.5</v>
      </c>
      <c r="E7730" t="s">
        <v>6997</v>
      </c>
      <c r="F7730" t="s">
        <v>11</v>
      </c>
      <c r="G7730" t="s">
        <v>6998</v>
      </c>
      <c r="H7730" s="12">
        <v>-1.1016208694938201</v>
      </c>
      <c r="I7730" s="20">
        <v>-0.49233753187569901</v>
      </c>
      <c r="J7730" s="28">
        <v>0.62248075188282204</v>
      </c>
      <c r="K7730" s="29">
        <v>0.98289565623980701</v>
      </c>
    </row>
    <row r="7731" spans="1:11" x14ac:dyDescent="0.35">
      <c r="A7731" s="9" t="str">
        <f>HYPERLINK("http://www.ensembl.org/id/WBGene00016810", "WBGene00016810")</f>
        <v>WBGene00016810</v>
      </c>
      <c r="B7731" s="9" t="str">
        <f>HYPERLINK("http://www.ncbi.nlm.nih.gov/gene/173393", "173393")</f>
        <v>173393</v>
      </c>
      <c r="C7731" s="9" t="str">
        <f>HYPERLINK("http://www.ncbi.nlm.nih.gov/gene/83440", "83440")</f>
        <v>83440</v>
      </c>
      <c r="D7731" t="str">
        <f>"C50D2.7"</f>
        <v>C50D2.7</v>
      </c>
      <c r="E7731" t="s">
        <v>6136</v>
      </c>
      <c r="F7731" t="s">
        <v>11</v>
      </c>
      <c r="G7731" t="s">
        <v>6137</v>
      </c>
      <c r="H7731" s="12">
        <v>1.0519978296971799</v>
      </c>
      <c r="I7731" s="20">
        <v>0.26434048205963001</v>
      </c>
      <c r="J7731" s="28">
        <v>0.791517569110464</v>
      </c>
      <c r="K7731" s="29">
        <v>0.98289565623980701</v>
      </c>
    </row>
    <row r="7732" spans="1:11" x14ac:dyDescent="0.35">
      <c r="A7732" s="9" t="str">
        <f>HYPERLINK("http://www.ensembl.org/id/WBGene00016812", "WBGene00016812")</f>
        <v>WBGene00016812</v>
      </c>
      <c r="B7732" s="9" t="str">
        <f>HYPERLINK("http://www.ncbi.nlm.nih.gov/gene/259414", "259414")</f>
        <v>259414</v>
      </c>
      <c r="C7732" s="9" t="str">
        <f>HYPERLINK("http://www.ncbi.nlm.nih.gov/gene/27349", "27349")</f>
        <v>27349</v>
      </c>
      <c r="D7732" t="str">
        <f>"C50D2.9"</f>
        <v>C50D2.9</v>
      </c>
      <c r="F7732" t="s">
        <v>11</v>
      </c>
      <c r="G7732" t="s">
        <v>4270</v>
      </c>
      <c r="H7732" s="12">
        <v>-1.28668395774029</v>
      </c>
      <c r="I7732" s="20">
        <v>-1.1465783414823001</v>
      </c>
      <c r="J7732" s="28">
        <v>0.25155593203974302</v>
      </c>
      <c r="K7732" s="29">
        <v>0.98289565623980701</v>
      </c>
    </row>
    <row r="7733" spans="1:11" x14ac:dyDescent="0.35">
      <c r="A7733" s="9" t="str">
        <f>HYPERLINK("http://www.ensembl.org/id/WBGene00016825", "WBGene00016825")</f>
        <v>WBGene00016825</v>
      </c>
      <c r="B7733" s="9" t="str">
        <f>HYPERLINK("http://www.ncbi.nlm.nih.gov/gene/174873", "174873")</f>
        <v>174873</v>
      </c>
      <c r="C7733" s="9"/>
      <c r="D7733" t="str">
        <f>"C50E10.1"</f>
        <v>C50E10.1</v>
      </c>
      <c r="F7733" t="s">
        <v>11</v>
      </c>
      <c r="H7733" s="12">
        <v>2.4781362160170399</v>
      </c>
      <c r="I7733" s="20">
        <v>0.877164220022425</v>
      </c>
      <c r="J7733" s="28">
        <v>0.38039744715141799</v>
      </c>
      <c r="K7733" s="29">
        <v>0.98289565623980701</v>
      </c>
    </row>
    <row r="7734" spans="1:11" x14ac:dyDescent="0.35">
      <c r="A7734" s="9" t="str">
        <f>HYPERLINK("http://www.ensembl.org/id/WBGene00199687", "WBGene00199687")</f>
        <v>WBGene00199687</v>
      </c>
      <c r="B7734" s="9"/>
      <c r="C7734" s="9"/>
      <c r="D7734" t="str">
        <f>"C50E10.13"</f>
        <v>C50E10.13</v>
      </c>
      <c r="F7734" t="s">
        <v>481</v>
      </c>
      <c r="H7734" s="12">
        <v>2.2823775214898601</v>
      </c>
      <c r="I7734" s="20">
        <v>0.28531617361358103</v>
      </c>
      <c r="J7734" s="28">
        <v>0.77540192285876297</v>
      </c>
      <c r="K7734" s="29">
        <v>0.98289565623980701</v>
      </c>
    </row>
    <row r="7735" spans="1:11" x14ac:dyDescent="0.35">
      <c r="A7735" s="9" t="str">
        <f>HYPERLINK("http://www.ensembl.org/id/WBGene00016826", "WBGene00016826")</f>
        <v>WBGene00016826</v>
      </c>
      <c r="B7735" s="9" t="str">
        <f>HYPERLINK("http://www.ncbi.nlm.nih.gov/gene/183664", "183664")</f>
        <v>183664</v>
      </c>
      <c r="C7735" s="9"/>
      <c r="D7735" t="str">
        <f>"C50E10.2"</f>
        <v>C50E10.2</v>
      </c>
      <c r="F7735" t="s">
        <v>11</v>
      </c>
      <c r="H7735" s="12">
        <v>2.7900019182595401</v>
      </c>
      <c r="I7735" s="20">
        <v>0.45158847159461601</v>
      </c>
      <c r="J7735" s="28">
        <v>0.65156547664535802</v>
      </c>
      <c r="K7735" s="29">
        <v>0.98289565623980701</v>
      </c>
    </row>
    <row r="7736" spans="1:11" x14ac:dyDescent="0.35">
      <c r="A7736" s="9" t="str">
        <f>HYPERLINK("http://www.ensembl.org/id/WBGene00044550", "WBGene00044550")</f>
        <v>WBGene00044550</v>
      </c>
      <c r="B7736" s="9" t="str">
        <f>HYPERLINK("http://www.ncbi.nlm.nih.gov/gene/3896829", "3896829")</f>
        <v>3896829</v>
      </c>
      <c r="C7736" s="9"/>
      <c r="D7736" t="str">
        <f>"C50E3.15"</f>
        <v>C50E3.15</v>
      </c>
      <c r="F7736" t="s">
        <v>11</v>
      </c>
      <c r="H7736" s="12">
        <v>4.4368407117627902</v>
      </c>
      <c r="I7736" s="20">
        <v>0.43709475933309699</v>
      </c>
      <c r="J7736" s="28">
        <v>0.66204262779770495</v>
      </c>
      <c r="K7736" s="29">
        <v>0.98289565623980701</v>
      </c>
    </row>
    <row r="7737" spans="1:11" x14ac:dyDescent="0.35">
      <c r="A7737" s="9" t="str">
        <f>HYPERLINK("http://www.ensembl.org/id/WBGene00016818", "WBGene00016818")</f>
        <v>WBGene00016818</v>
      </c>
      <c r="B7737" s="9" t="str">
        <f>HYPERLINK("http://www.ncbi.nlm.nih.gov/gene/183659", "183659")</f>
        <v>183659</v>
      </c>
      <c r="C7737" s="9"/>
      <c r="D7737" t="str">
        <f>"C50E3.7"</f>
        <v>C50E3.7</v>
      </c>
      <c r="F7737" t="s">
        <v>11</v>
      </c>
      <c r="G7737" t="s">
        <v>25</v>
      </c>
      <c r="H7737" s="12">
        <v>6.2591358680996398</v>
      </c>
      <c r="I7737" s="20">
        <v>0.82854044611465305</v>
      </c>
      <c r="J7737" s="28">
        <v>0.40736449906946898</v>
      </c>
      <c r="K7737" s="29">
        <v>0.98289565623980701</v>
      </c>
    </row>
    <row r="7738" spans="1:11" x14ac:dyDescent="0.35">
      <c r="A7738" s="9" t="str">
        <f>HYPERLINK("http://www.ensembl.org/id/WBGene00016835", "WBGene00016835")</f>
        <v>WBGene00016835</v>
      </c>
      <c r="B7738" s="9" t="str">
        <f>HYPERLINK("http://www.ncbi.nlm.nih.gov/gene/183673", "183673")</f>
        <v>183673</v>
      </c>
      <c r="C7738" s="9"/>
      <c r="D7738" t="str">
        <f>"C50F2.1"</f>
        <v>C50F2.1</v>
      </c>
      <c r="F7738" t="s">
        <v>11</v>
      </c>
      <c r="H7738" s="12">
        <v>-1.6666641184036699</v>
      </c>
      <c r="I7738" s="20">
        <v>-0.35212198457590099</v>
      </c>
      <c r="J7738" s="28">
        <v>0.72474678161373896</v>
      </c>
      <c r="K7738" s="29">
        <v>0.98289565623980701</v>
      </c>
    </row>
    <row r="7739" spans="1:11" x14ac:dyDescent="0.35">
      <c r="A7739" s="9" t="str">
        <f>HYPERLINK("http://www.ensembl.org/id/WBGene00271639", "WBGene00271639")</f>
        <v>WBGene00271639</v>
      </c>
      <c r="B7739" s="9"/>
      <c r="C7739" s="9"/>
      <c r="D7739" t="str">
        <f>"C50F2.12"</f>
        <v>C50F2.12</v>
      </c>
      <c r="F7739" t="s">
        <v>481</v>
      </c>
      <c r="H7739" s="12">
        <v>-2.6091840615252302</v>
      </c>
      <c r="I7739" s="20">
        <v>-0.39304473703411003</v>
      </c>
      <c r="J7739" s="28">
        <v>0.69428643946751201</v>
      </c>
      <c r="K7739" s="29">
        <v>0.98289565623980701</v>
      </c>
    </row>
    <row r="7740" spans="1:11" x14ac:dyDescent="0.35">
      <c r="A7740" s="9" t="str">
        <f>HYPERLINK("http://www.ensembl.org/id/WBGene00016838", "WBGene00016838")</f>
        <v>WBGene00016838</v>
      </c>
      <c r="B7740" s="9" t="str">
        <f>HYPERLINK("http://www.ncbi.nlm.nih.gov/gene/183674", "183674")</f>
        <v>183674</v>
      </c>
      <c r="C7740" s="9"/>
      <c r="D7740" t="str">
        <f>"C50F2.4"</f>
        <v>C50F2.4</v>
      </c>
      <c r="F7740" t="s">
        <v>11</v>
      </c>
      <c r="H7740" s="12">
        <v>-1.1680142684577699</v>
      </c>
      <c r="I7740" s="20">
        <v>-0.72679551395892406</v>
      </c>
      <c r="J7740" s="28">
        <v>0.467351231605595</v>
      </c>
      <c r="K7740" s="29">
        <v>0.98289565623980701</v>
      </c>
    </row>
    <row r="7741" spans="1:11" x14ac:dyDescent="0.35">
      <c r="A7741" s="9" t="str">
        <f>HYPERLINK("http://www.ensembl.org/id/WBGene00016840", "WBGene00016840")</f>
        <v>WBGene00016840</v>
      </c>
      <c r="B7741" s="9" t="str">
        <f>HYPERLINK("http://www.ncbi.nlm.nih.gov/gene/183675", "183675")</f>
        <v>183675</v>
      </c>
      <c r="C7741" s="9"/>
      <c r="D7741" t="str">
        <f>"C50F2.7"</f>
        <v>C50F2.7</v>
      </c>
      <c r="F7741" t="s">
        <v>11</v>
      </c>
      <c r="G7741" t="s">
        <v>5596</v>
      </c>
      <c r="H7741" s="12">
        <v>1.13743284880113</v>
      </c>
      <c r="I7741" s="20">
        <v>0.37612706144744801</v>
      </c>
      <c r="J7741" s="28">
        <v>0.70682243685961699</v>
      </c>
      <c r="K7741" s="29">
        <v>0.98289565623980701</v>
      </c>
    </row>
    <row r="7742" spans="1:11" x14ac:dyDescent="0.35">
      <c r="A7742" s="9" t="str">
        <f>HYPERLINK("http://www.ensembl.org/id/WBGene00008235", "WBGene00008235")</f>
        <v>WBGene00008235</v>
      </c>
      <c r="B7742" s="9" t="str">
        <f>HYPERLINK("http://www.ncbi.nlm.nih.gov/gene/179334", "179334")</f>
        <v>179334</v>
      </c>
      <c r="C7742" s="9"/>
      <c r="D7742" t="str">
        <f>"C50F4.10"</f>
        <v>C50F4.10</v>
      </c>
      <c r="F7742" t="s">
        <v>11</v>
      </c>
      <c r="G7742" t="s">
        <v>1763</v>
      </c>
      <c r="H7742" s="12">
        <v>1.45851246982167</v>
      </c>
      <c r="I7742" s="20">
        <v>0.33964379345180901</v>
      </c>
      <c r="J7742" s="28">
        <v>0.7341247941722</v>
      </c>
      <c r="K7742" s="29">
        <v>0.98289565623980701</v>
      </c>
    </row>
    <row r="7743" spans="1:11" x14ac:dyDescent="0.35">
      <c r="A7743" s="9" t="str">
        <f>HYPERLINK("http://www.ensembl.org/id/WBGene00014711", "WBGene00014711")</f>
        <v>WBGene00014711</v>
      </c>
      <c r="B7743" s="9"/>
      <c r="C7743" s="9"/>
      <c r="D7743" t="str">
        <f>"C50F4.15"</f>
        <v>C50F4.15</v>
      </c>
      <c r="F7743" t="s">
        <v>80</v>
      </c>
      <c r="H7743" s="12">
        <v>-2.2961609353748198</v>
      </c>
      <c r="I7743" s="20">
        <v>-0.43429687327941802</v>
      </c>
      <c r="J7743" s="28">
        <v>0.66407287409038296</v>
      </c>
      <c r="K7743" s="29">
        <v>0.98289565623980701</v>
      </c>
    </row>
    <row r="7744" spans="1:11" x14ac:dyDescent="0.35">
      <c r="A7744" s="9" t="str">
        <f>HYPERLINK("http://www.ensembl.org/id/WBGene00195366", "WBGene00195366")</f>
        <v>WBGene00195366</v>
      </c>
      <c r="B7744" s="9"/>
      <c r="C7744" s="9"/>
      <c r="D7744" t="str">
        <f>"C50F4.17"</f>
        <v>C50F4.17</v>
      </c>
      <c r="F7744" t="s">
        <v>481</v>
      </c>
      <c r="H7744" s="12">
        <v>-6.9330863109976404</v>
      </c>
      <c r="I7744" s="20">
        <v>-0.74962652224146198</v>
      </c>
      <c r="J7744" s="28">
        <v>0.45347967252105398</v>
      </c>
      <c r="K7744" s="29">
        <v>0.98289565623980701</v>
      </c>
    </row>
    <row r="7745" spans="1:11" x14ac:dyDescent="0.35">
      <c r="A7745" s="9" t="str">
        <f>HYPERLINK("http://www.ensembl.org/id/WBGene00196091", "WBGene00196091")</f>
        <v>WBGene00196091</v>
      </c>
      <c r="B7745" s="9"/>
      <c r="C7745" s="9"/>
      <c r="D7745" t="str">
        <f>"C50F4.18"</f>
        <v>C50F4.18</v>
      </c>
      <c r="F7745" t="s">
        <v>481</v>
      </c>
      <c r="H7745" s="12">
        <v>-1.57656788027622</v>
      </c>
      <c r="I7745" s="20">
        <v>-0.28131484635777299</v>
      </c>
      <c r="J7745" s="28">
        <v>0.77846892417633495</v>
      </c>
      <c r="K7745" s="29">
        <v>0.98289565623980701</v>
      </c>
    </row>
    <row r="7746" spans="1:11" x14ac:dyDescent="0.35">
      <c r="A7746" s="9" t="str">
        <f>HYPERLINK("http://www.ensembl.org/id/WBGene00008232", "WBGene00008232")</f>
        <v>WBGene00008232</v>
      </c>
      <c r="B7746" s="9" t="str">
        <f>HYPERLINK("http://www.ncbi.nlm.nih.gov/gene/183678", "183678")</f>
        <v>183678</v>
      </c>
      <c r="C7746" s="9"/>
      <c r="D7746" t="str">
        <f>"C50F4.4"</f>
        <v>C50F4.4</v>
      </c>
      <c r="F7746" t="s">
        <v>11</v>
      </c>
      <c r="H7746" s="12">
        <v>-1.3450931321428199</v>
      </c>
      <c r="I7746" s="20">
        <v>-0.96015949348252905</v>
      </c>
      <c r="J7746" s="28">
        <v>0.33697494981437798</v>
      </c>
      <c r="K7746" s="29">
        <v>0.98289565623980701</v>
      </c>
    </row>
    <row r="7747" spans="1:11" x14ac:dyDescent="0.35">
      <c r="A7747" s="9" t="str">
        <f>HYPERLINK("http://www.ensembl.org/id/WBGene00001910", "WBGene00001910")</f>
        <v>WBGene00001910</v>
      </c>
      <c r="B7747" s="9" t="str">
        <f>HYPERLINK("http://www.ncbi.nlm.nih.gov/gene/3565041", "3565041")</f>
        <v>3565041</v>
      </c>
      <c r="C7747" s="9"/>
      <c r="D7747" t="str">
        <f>"C50F4.6"</f>
        <v>C50F4.6</v>
      </c>
      <c r="F7747" t="s">
        <v>11</v>
      </c>
      <c r="H7747" s="12">
        <v>-1.0721530963774299</v>
      </c>
      <c r="I7747" s="20">
        <v>-0.28409284514250699</v>
      </c>
      <c r="J7747" s="28">
        <v>0.77633922992344995</v>
      </c>
      <c r="K7747" s="29">
        <v>0.98289565623980701</v>
      </c>
    </row>
    <row r="7748" spans="1:11" x14ac:dyDescent="0.35">
      <c r="A7748" s="9" t="str">
        <f>HYPERLINK("http://www.ensembl.org/id/WBGene00008233", "WBGene00008233")</f>
        <v>WBGene00008233</v>
      </c>
      <c r="B7748" s="9" t="str">
        <f>HYPERLINK("http://www.ncbi.nlm.nih.gov/gene/179332", "179332")</f>
        <v>179332</v>
      </c>
      <c r="C7748" s="9"/>
      <c r="D7748" t="str">
        <f>"C50F4.8"</f>
        <v>C50F4.8</v>
      </c>
      <c r="F7748" t="s">
        <v>11</v>
      </c>
      <c r="G7748" t="s">
        <v>84</v>
      </c>
      <c r="H7748" s="12">
        <v>1.30587597435878</v>
      </c>
      <c r="I7748" s="20">
        <v>1.1147951374401299</v>
      </c>
      <c r="J7748" s="28">
        <v>0.26493822068723499</v>
      </c>
      <c r="K7748" s="29">
        <v>0.98289565623980701</v>
      </c>
    </row>
    <row r="7749" spans="1:11" x14ac:dyDescent="0.35">
      <c r="A7749" s="9" t="str">
        <f>HYPERLINK("http://www.ensembl.org/id/WBGene00008234", "WBGene00008234")</f>
        <v>WBGene00008234</v>
      </c>
      <c r="B7749" s="9" t="str">
        <f>HYPERLINK("http://www.ncbi.nlm.nih.gov/gene/183680", "183680")</f>
        <v>183680</v>
      </c>
      <c r="C7749" s="9"/>
      <c r="D7749" t="str">
        <f>"C50F4.9"</f>
        <v>C50F4.9</v>
      </c>
      <c r="F7749" t="s">
        <v>11</v>
      </c>
      <c r="G7749" t="s">
        <v>264</v>
      </c>
      <c r="H7749" s="12">
        <v>-1.09853679535511</v>
      </c>
      <c r="I7749" s="20">
        <v>-0.38324044839493399</v>
      </c>
      <c r="J7749" s="28">
        <v>0.70154148973979102</v>
      </c>
      <c r="K7749" s="29">
        <v>0.98289565623980701</v>
      </c>
    </row>
    <row r="7750" spans="1:11" x14ac:dyDescent="0.35">
      <c r="A7750" s="9" t="str">
        <f>HYPERLINK("http://www.ensembl.org/id/WBGene00016843", "WBGene00016843")</f>
        <v>WBGene00016843</v>
      </c>
      <c r="B7750" s="9" t="str">
        <f>HYPERLINK("http://www.ncbi.nlm.nih.gov/gene/183682", "183682")</f>
        <v>183682</v>
      </c>
      <c r="C7750" s="9"/>
      <c r="D7750" t="str">
        <f>"C50F7.3"</f>
        <v>C50F7.3</v>
      </c>
      <c r="F7750" t="s">
        <v>11</v>
      </c>
      <c r="H7750" s="12">
        <v>1.52625427210904</v>
      </c>
      <c r="I7750" s="20">
        <v>0.29627854866480602</v>
      </c>
      <c r="J7750" s="28">
        <v>0.76701736661933395</v>
      </c>
      <c r="K7750" s="29">
        <v>0.98289565623980701</v>
      </c>
    </row>
    <row r="7751" spans="1:11" x14ac:dyDescent="0.35">
      <c r="A7751" s="9" t="str">
        <f>HYPERLINK("http://www.ensembl.org/id/WBGene00016846", "WBGene00016846")</f>
        <v>WBGene00016846</v>
      </c>
      <c r="B7751" s="9" t="str">
        <f>HYPERLINK("http://www.ncbi.nlm.nih.gov/gene/177553", "177553")</f>
        <v>177553</v>
      </c>
      <c r="C7751" s="9"/>
      <c r="D7751" t="str">
        <f>"C50F7.6"</f>
        <v>C50F7.6</v>
      </c>
      <c r="F7751" t="s">
        <v>11</v>
      </c>
      <c r="H7751" s="12">
        <v>-1.1707020965802399</v>
      </c>
      <c r="I7751" s="20">
        <v>-0.57122467204164495</v>
      </c>
      <c r="J7751" s="28">
        <v>0.567847356019483</v>
      </c>
      <c r="K7751" s="29">
        <v>0.98289565623980701</v>
      </c>
    </row>
    <row r="7752" spans="1:11" x14ac:dyDescent="0.35">
      <c r="A7752" s="9" t="str">
        <f>HYPERLINK("http://www.ensembl.org/id/WBGene00016847", "WBGene00016847")</f>
        <v>WBGene00016847</v>
      </c>
      <c r="B7752" s="9" t="str">
        <f>HYPERLINK("http://www.ncbi.nlm.nih.gov/gene/183685", "183685")</f>
        <v>183685</v>
      </c>
      <c r="C7752" s="9"/>
      <c r="D7752" t="str">
        <f>"C50F7.9"</f>
        <v>C50F7.9</v>
      </c>
      <c r="F7752" t="s">
        <v>11</v>
      </c>
      <c r="G7752" t="s">
        <v>25</v>
      </c>
      <c r="H7752" s="12">
        <v>5.8131679998567103</v>
      </c>
      <c r="I7752" s="20">
        <v>0.65600307487084597</v>
      </c>
      <c r="J7752" s="28">
        <v>0.511822145791759</v>
      </c>
      <c r="K7752" s="29">
        <v>0.98289565623980701</v>
      </c>
    </row>
    <row r="7753" spans="1:11" x14ac:dyDescent="0.35">
      <c r="A7753" s="9" t="str">
        <f>HYPERLINK("http://www.ensembl.org/id/WBGene00016858", "WBGene00016858")</f>
        <v>WBGene00016858</v>
      </c>
      <c r="B7753" s="9" t="str">
        <f>HYPERLINK("http://www.ncbi.nlm.nih.gov/gene/183700", "183700")</f>
        <v>183700</v>
      </c>
      <c r="C7753" s="9"/>
      <c r="D7753" t="str">
        <f>"C50H11.13"</f>
        <v>C50H11.13</v>
      </c>
      <c r="F7753" t="s">
        <v>11</v>
      </c>
      <c r="G7753" t="s">
        <v>25</v>
      </c>
      <c r="H7753" s="12">
        <v>2.0938015050603398</v>
      </c>
      <c r="I7753" s="20">
        <v>0.49054865179316298</v>
      </c>
      <c r="J7753" s="28">
        <v>0.62374571145358904</v>
      </c>
      <c r="K7753" s="29">
        <v>0.98289565623980701</v>
      </c>
    </row>
    <row r="7754" spans="1:11" x14ac:dyDescent="0.35">
      <c r="A7754" s="9" t="str">
        <f>HYPERLINK("http://www.ensembl.org/id/WBGene00016855", "WBGene00016855")</f>
        <v>WBGene00016855</v>
      </c>
      <c r="B7754" s="9" t="str">
        <f>HYPERLINK("http://www.ncbi.nlm.nih.gov/gene/183697", "183697")</f>
        <v>183697</v>
      </c>
      <c r="C7754" s="9"/>
      <c r="D7754" t="str">
        <f>"C50H11.8"</f>
        <v>C50H11.8</v>
      </c>
      <c r="F7754" t="s">
        <v>11</v>
      </c>
      <c r="H7754" s="12">
        <v>2.0125942542241302</v>
      </c>
      <c r="I7754" s="20">
        <v>0.69072238759390003</v>
      </c>
      <c r="J7754" s="28">
        <v>0.48974001753108698</v>
      </c>
      <c r="K7754" s="29">
        <v>0.98289565623980701</v>
      </c>
    </row>
    <row r="7755" spans="1:11" x14ac:dyDescent="0.35">
      <c r="A7755" s="9" t="str">
        <f>HYPERLINK("http://www.ensembl.org/id/WBGene00008241", "WBGene00008241")</f>
        <v>WBGene00008241</v>
      </c>
      <c r="B7755" s="9" t="str">
        <f>HYPERLINK("http://www.ncbi.nlm.nih.gov/gene/183689", "183689")</f>
        <v>183689</v>
      </c>
      <c r="C7755" s="9"/>
      <c r="D7755" t="str">
        <f>"C50H2.5"</f>
        <v>C50H2.5</v>
      </c>
      <c r="F7755" t="s">
        <v>11</v>
      </c>
      <c r="H7755" s="12">
        <v>1.3454075857922001</v>
      </c>
      <c r="I7755" s="20">
        <v>0.29264240073492498</v>
      </c>
      <c r="J7755" s="28">
        <v>0.76979550072936598</v>
      </c>
      <c r="K7755" s="29">
        <v>0.98289565623980701</v>
      </c>
    </row>
    <row r="7756" spans="1:11" x14ac:dyDescent="0.35">
      <c r="A7756" s="9" t="str">
        <f>HYPERLINK("http://www.ensembl.org/id/WBGene00202084", "WBGene00202084")</f>
        <v>WBGene00202084</v>
      </c>
      <c r="B7756" s="9"/>
      <c r="C7756" s="9"/>
      <c r="D7756" t="str">
        <f>"C51E3.11"</f>
        <v>C51E3.11</v>
      </c>
      <c r="F7756" t="s">
        <v>481</v>
      </c>
      <c r="H7756" s="12">
        <v>5.4871973923358901</v>
      </c>
      <c r="I7756" s="20">
        <v>0.499843548621418</v>
      </c>
      <c r="J7756" s="28">
        <v>0.61718524397184105</v>
      </c>
      <c r="K7756" s="29">
        <v>0.98289565623980701</v>
      </c>
    </row>
    <row r="7757" spans="1:11" x14ac:dyDescent="0.35">
      <c r="A7757" s="9" t="str">
        <f>HYPERLINK("http://www.ensembl.org/id/WBGene00008252", "WBGene00008252")</f>
        <v>WBGene00008252</v>
      </c>
      <c r="B7757" s="9" t="str">
        <f>HYPERLINK("http://www.ncbi.nlm.nih.gov/gene/183708", "183708")</f>
        <v>183708</v>
      </c>
      <c r="C7757" s="9"/>
      <c r="D7757" t="str">
        <f>"C51E3.6"</f>
        <v>C51E3.6</v>
      </c>
      <c r="F7757" t="s">
        <v>11</v>
      </c>
      <c r="G7757" t="s">
        <v>230</v>
      </c>
      <c r="H7757" s="12">
        <v>-1.1969909773781799</v>
      </c>
      <c r="I7757" s="20">
        <v>-0.89082586655996499</v>
      </c>
      <c r="J7757" s="28">
        <v>0.373022596041997</v>
      </c>
      <c r="K7757" s="29">
        <v>0.98289565623980701</v>
      </c>
    </row>
    <row r="7758" spans="1:11" x14ac:dyDescent="0.35">
      <c r="A7758" s="9" t="str">
        <f>HYPERLINK("http://www.ensembl.org/id/WBGene00008254", "WBGene00008254")</f>
        <v>WBGene00008254</v>
      </c>
      <c r="B7758" s="9" t="str">
        <f>HYPERLINK("http://www.ncbi.nlm.nih.gov/gene/266923", "266923")</f>
        <v>266923</v>
      </c>
      <c r="C7758" s="9"/>
      <c r="D7758" t="str">
        <f>"C51E3.9"</f>
        <v>C51E3.9</v>
      </c>
      <c r="F7758" t="s">
        <v>11</v>
      </c>
      <c r="H7758" s="12">
        <v>-1.2993859726984101</v>
      </c>
      <c r="I7758" s="20">
        <v>-0.97429900263731595</v>
      </c>
      <c r="J7758" s="28">
        <v>0.32990809973174001</v>
      </c>
      <c r="K7758" s="29">
        <v>0.98289565623980701</v>
      </c>
    </row>
    <row r="7759" spans="1:11" x14ac:dyDescent="0.35">
      <c r="A7759" s="9" t="str">
        <f>HYPERLINK("http://www.ensembl.org/id/WBGene00014290", "WBGene00014290")</f>
        <v>WBGene00014290</v>
      </c>
      <c r="B7759" s="9"/>
      <c r="C7759" s="9"/>
      <c r="D7759" t="str">
        <f>"C51F7.3"</f>
        <v>C51F7.3</v>
      </c>
      <c r="F7759" t="s">
        <v>2977</v>
      </c>
      <c r="H7759" s="12">
        <v>3.96717629464532</v>
      </c>
      <c r="I7759" s="20">
        <v>0.45862218578449998</v>
      </c>
      <c r="J7759" s="28">
        <v>0.64650550194479495</v>
      </c>
      <c r="K7759" s="29">
        <v>0.98289565623980701</v>
      </c>
    </row>
    <row r="7760" spans="1:11" x14ac:dyDescent="0.35">
      <c r="A7760" s="9" t="str">
        <f>HYPERLINK("http://www.ensembl.org/id/WBGene00016862", "WBGene00016862")</f>
        <v>WBGene00016862</v>
      </c>
      <c r="B7760" s="9" t="str">
        <f>HYPERLINK("http://www.ncbi.nlm.nih.gov/gene/178909", "178909")</f>
        <v>178909</v>
      </c>
      <c r="C7760" s="9"/>
      <c r="D7760" t="str">
        <f>"C52A10.1"</f>
        <v>C52A10.1</v>
      </c>
      <c r="E7760" t="s">
        <v>383</v>
      </c>
      <c r="F7760" t="s">
        <v>11</v>
      </c>
      <c r="G7760" t="s">
        <v>2185</v>
      </c>
      <c r="H7760" s="12">
        <v>-1.16775703096176</v>
      </c>
      <c r="I7760" s="20">
        <v>-0.80021059099254799</v>
      </c>
      <c r="J7760" s="28">
        <v>0.423588794581784</v>
      </c>
      <c r="K7760" s="29">
        <v>0.98289565623980701</v>
      </c>
    </row>
    <row r="7761" spans="1:11" x14ac:dyDescent="0.35">
      <c r="A7761" s="9" t="str">
        <f>HYPERLINK("http://www.ensembl.org/id/WBGene00016863", "WBGene00016863")</f>
        <v>WBGene00016863</v>
      </c>
      <c r="B7761" s="9" t="str">
        <f>HYPERLINK("http://www.ncbi.nlm.nih.gov/gene/178910", "178910")</f>
        <v>178910</v>
      </c>
      <c r="C7761" s="9"/>
      <c r="D7761" t="str">
        <f>"C52A10.2"</f>
        <v>C52A10.2</v>
      </c>
      <c r="E7761" t="s">
        <v>383</v>
      </c>
      <c r="F7761" t="s">
        <v>11</v>
      </c>
      <c r="G7761" t="s">
        <v>2185</v>
      </c>
      <c r="H7761" s="12">
        <v>1.4103738132607699</v>
      </c>
      <c r="I7761" s="20">
        <v>0.46759667986176801</v>
      </c>
      <c r="J7761" s="28">
        <v>0.64007303966996798</v>
      </c>
      <c r="K7761" s="29">
        <v>0.98289565623980701</v>
      </c>
    </row>
    <row r="7762" spans="1:11" x14ac:dyDescent="0.35">
      <c r="A7762" s="9" t="str">
        <f>HYPERLINK("http://www.ensembl.org/id/WBGene00008257", "WBGene00008257")</f>
        <v>WBGene00008257</v>
      </c>
      <c r="B7762" s="9" t="str">
        <f>HYPERLINK("http://www.ncbi.nlm.nih.gov/gene/183712", "183712")</f>
        <v>183712</v>
      </c>
      <c r="C7762" s="9"/>
      <c r="D7762" t="str">
        <f>"C52A11.3"</f>
        <v>C52A11.3</v>
      </c>
      <c r="E7762" t="s">
        <v>4327</v>
      </c>
      <c r="F7762" t="s">
        <v>11</v>
      </c>
      <c r="G7762" t="s">
        <v>54</v>
      </c>
      <c r="H7762" s="12">
        <v>3.0502559519766699</v>
      </c>
      <c r="I7762" s="20">
        <v>1.0673594314232799</v>
      </c>
      <c r="J7762" s="28">
        <v>0.28580956039738298</v>
      </c>
      <c r="K7762" s="29">
        <v>0.98289565623980701</v>
      </c>
    </row>
    <row r="7763" spans="1:11" x14ac:dyDescent="0.35">
      <c r="A7763" s="9" t="str">
        <f>HYPERLINK("http://www.ensembl.org/id/WBGene00016874", "WBGene00016874")</f>
        <v>WBGene00016874</v>
      </c>
      <c r="B7763" s="9" t="str">
        <f>HYPERLINK("http://www.ncbi.nlm.nih.gov/gene/183717", "183717")</f>
        <v>183717</v>
      </c>
      <c r="C7763" s="9"/>
      <c r="D7763" t="str">
        <f>"C52B11.5"</f>
        <v>C52B11.5</v>
      </c>
      <c r="F7763" t="s">
        <v>11</v>
      </c>
      <c r="G7763" t="s">
        <v>8660</v>
      </c>
      <c r="H7763" s="12">
        <v>-1.1892186169502099</v>
      </c>
      <c r="I7763" s="20">
        <v>-0.76906316562981702</v>
      </c>
      <c r="J7763" s="28">
        <v>0.44185581341105001</v>
      </c>
      <c r="K7763" s="29">
        <v>0.98289565623980701</v>
      </c>
    </row>
    <row r="7764" spans="1:11" x14ac:dyDescent="0.35">
      <c r="A7764" s="9" t="str">
        <f>HYPERLINK("http://www.ensembl.org/id/WBGene00016869", "WBGene00016869")</f>
        <v>WBGene00016869</v>
      </c>
      <c r="B7764" s="9" t="str">
        <f>HYPERLINK("http://www.ncbi.nlm.nih.gov/gene/260086", "260086")</f>
        <v>260086</v>
      </c>
      <c r="C7764" s="9"/>
      <c r="D7764" t="str">
        <f>"C52B9.10"</f>
        <v>C52B9.10</v>
      </c>
      <c r="F7764" t="s">
        <v>11</v>
      </c>
      <c r="H7764" s="12">
        <v>1.90364511966964</v>
      </c>
      <c r="I7764" s="20">
        <v>0.95959059160460503</v>
      </c>
      <c r="J7764" s="28">
        <v>0.33726130603727</v>
      </c>
      <c r="K7764" s="29">
        <v>0.98289565623980701</v>
      </c>
    </row>
    <row r="7765" spans="1:11" x14ac:dyDescent="0.35">
      <c r="A7765" s="9" t="str">
        <f>HYPERLINK("http://www.ensembl.org/id/WBGene00196543", "WBGene00196543")</f>
        <v>WBGene00196543</v>
      </c>
      <c r="B7765" s="9"/>
      <c r="C7765" s="9"/>
      <c r="D7765" t="str">
        <f>"C52B9.14"</f>
        <v>C52B9.14</v>
      </c>
      <c r="F7765" t="s">
        <v>481</v>
      </c>
      <c r="H7765" s="12">
        <v>2.4578120077400301</v>
      </c>
      <c r="I7765" s="20">
        <v>0.26093350314551</v>
      </c>
      <c r="J7765" s="28">
        <v>0.79414378780213601</v>
      </c>
      <c r="K7765" s="29">
        <v>0.98289565623980701</v>
      </c>
    </row>
    <row r="7766" spans="1:11" x14ac:dyDescent="0.35">
      <c r="A7766" s="9" t="str">
        <f>HYPERLINK("http://www.ensembl.org/id/WBGene00196704", "WBGene00196704")</f>
        <v>WBGene00196704</v>
      </c>
      <c r="B7766" s="9"/>
      <c r="C7766" s="9"/>
      <c r="D7766" t="str">
        <f>"C52B9.15"</f>
        <v>C52B9.15</v>
      </c>
      <c r="F7766" t="s">
        <v>481</v>
      </c>
      <c r="H7766" s="12">
        <v>6.0220976301463596</v>
      </c>
      <c r="I7766" s="20">
        <v>0.87436986952148898</v>
      </c>
      <c r="J7766" s="28">
        <v>0.38191686051275597</v>
      </c>
      <c r="K7766" s="29">
        <v>0.98289565623980701</v>
      </c>
    </row>
    <row r="7767" spans="1:11" x14ac:dyDescent="0.35">
      <c r="A7767" s="9" t="str">
        <f>HYPERLINK("http://www.ensembl.org/id/WBGene00197027", "WBGene00197027")</f>
        <v>WBGene00197027</v>
      </c>
      <c r="B7767" s="9"/>
      <c r="C7767" s="9"/>
      <c r="D7767" t="str">
        <f>"C52B9.16"</f>
        <v>C52B9.16</v>
      </c>
      <c r="F7767" t="s">
        <v>481</v>
      </c>
      <c r="H7767" s="12">
        <v>3.96717629464532</v>
      </c>
      <c r="I7767" s="20">
        <v>0.45862218578449998</v>
      </c>
      <c r="J7767" s="28">
        <v>0.64650550194479495</v>
      </c>
      <c r="K7767" s="29">
        <v>0.98289565623980701</v>
      </c>
    </row>
    <row r="7768" spans="1:11" x14ac:dyDescent="0.35">
      <c r="A7768" s="9" t="str">
        <f>HYPERLINK("http://www.ensembl.org/id/WBGene00016867", "WBGene00016867")</f>
        <v>WBGene00016867</v>
      </c>
      <c r="B7768" s="9" t="str">
        <f>HYPERLINK("http://www.ncbi.nlm.nih.gov/gene/180699", "180699")</f>
        <v>180699</v>
      </c>
      <c r="C7768" s="9" t="str">
        <f>HYPERLINK("http://www.ncbi.nlm.nih.gov/gene/84910", "84910")</f>
        <v>84910</v>
      </c>
      <c r="D7768" t="str">
        <f>"C52B9.4"</f>
        <v>C52B9.4</v>
      </c>
      <c r="F7768" t="s">
        <v>11</v>
      </c>
      <c r="G7768" t="s">
        <v>6167</v>
      </c>
      <c r="H7768" s="12">
        <v>-1.05058670864558</v>
      </c>
      <c r="I7768" s="20">
        <v>-0.26589326176143802</v>
      </c>
      <c r="J7768" s="28">
        <v>0.79032141469530404</v>
      </c>
      <c r="K7768" s="29">
        <v>0.98289565623980701</v>
      </c>
    </row>
    <row r="7769" spans="1:11" x14ac:dyDescent="0.35">
      <c r="A7769" s="9" t="str">
        <f>HYPERLINK("http://www.ensembl.org/id/WBGene00023259", "WBGene00023259")</f>
        <v>WBGene00023259</v>
      </c>
      <c r="B7769" s="9"/>
      <c r="C7769" s="9"/>
      <c r="D7769" t="str">
        <f>"C52D10.10"</f>
        <v>C52D10.10</v>
      </c>
      <c r="F7769" t="s">
        <v>80</v>
      </c>
      <c r="H7769" s="12">
        <v>-1.86094819483574</v>
      </c>
      <c r="I7769" s="20">
        <v>-0.56121596152670306</v>
      </c>
      <c r="J7769" s="28">
        <v>0.57465032310680897</v>
      </c>
      <c r="K7769" s="29">
        <v>0.98289565623980701</v>
      </c>
    </row>
    <row r="7770" spans="1:11" x14ac:dyDescent="0.35">
      <c r="A7770" s="9" t="str">
        <f>HYPERLINK("http://www.ensembl.org/id/WBGene00219861", "WBGene00219861")</f>
        <v>WBGene00219861</v>
      </c>
      <c r="B7770" s="9"/>
      <c r="C7770" s="9"/>
      <c r="D7770" t="str">
        <f>"C52D10.131"</f>
        <v>C52D10.131</v>
      </c>
      <c r="F7770" t="s">
        <v>481</v>
      </c>
      <c r="H7770" s="12">
        <v>2.3893468495514898</v>
      </c>
      <c r="I7770" s="20">
        <v>0.25323547253672701</v>
      </c>
      <c r="J7770" s="28">
        <v>0.80008625651646104</v>
      </c>
      <c r="K7770" s="29">
        <v>0.98289565623980701</v>
      </c>
    </row>
    <row r="7771" spans="1:11" x14ac:dyDescent="0.35">
      <c r="A7771" s="9" t="str">
        <f>HYPERLINK("http://www.ensembl.org/id/WBGene00016877", "WBGene00016877")</f>
        <v>WBGene00016877</v>
      </c>
      <c r="B7771" s="9" t="str">
        <f>HYPERLINK("http://www.ncbi.nlm.nih.gov/gene/3565402", "3565402")</f>
        <v>3565402</v>
      </c>
      <c r="C7771" s="9"/>
      <c r="D7771" t="str">
        <f>"C52D10.3"</f>
        <v>C52D10.3</v>
      </c>
      <c r="F7771" t="s">
        <v>11</v>
      </c>
      <c r="H7771" s="12">
        <v>-1.0973556886748399</v>
      </c>
      <c r="I7771" s="20">
        <v>-0.30596572877700501</v>
      </c>
      <c r="J7771" s="28">
        <v>0.75963073968635997</v>
      </c>
      <c r="K7771" s="29">
        <v>0.98289565623980701</v>
      </c>
    </row>
    <row r="7772" spans="1:11" x14ac:dyDescent="0.35">
      <c r="A7772" s="9" t="str">
        <f>HYPERLINK("http://www.ensembl.org/id/WBGene00304189", "WBGene00304189")</f>
        <v>WBGene00304189</v>
      </c>
      <c r="B7772" s="9"/>
      <c r="C7772" s="9"/>
      <c r="D7772" t="str">
        <f>"C52E12.11"</f>
        <v>C52E12.11</v>
      </c>
      <c r="F7772" t="s">
        <v>80</v>
      </c>
      <c r="H7772" s="12">
        <v>1.3188957047386101</v>
      </c>
      <c r="I7772" s="20">
        <v>0.58577430928454</v>
      </c>
      <c r="J7772" s="28">
        <v>0.55802719018204305</v>
      </c>
      <c r="K7772" s="29">
        <v>0.98289565623980701</v>
      </c>
    </row>
    <row r="7773" spans="1:11" x14ac:dyDescent="0.35">
      <c r="A7773" s="9" t="str">
        <f>HYPERLINK("http://www.ensembl.org/id/WBGene00200997", "WBGene00200997")</f>
        <v>WBGene00200997</v>
      </c>
      <c r="B7773" s="9"/>
      <c r="C7773" s="9"/>
      <c r="D7773" t="str">
        <f>"C52E12.9"</f>
        <v>C52E12.9</v>
      </c>
      <c r="F7773" t="s">
        <v>481</v>
      </c>
      <c r="H7773" s="12">
        <v>-2.4991590031922399</v>
      </c>
      <c r="I7773" s="20">
        <v>-0.26577412737581302</v>
      </c>
      <c r="J7773" s="28">
        <v>0.79041317015736101</v>
      </c>
      <c r="K7773" s="29">
        <v>0.98289565623980701</v>
      </c>
    </row>
    <row r="7774" spans="1:11" x14ac:dyDescent="0.35">
      <c r="A7774" s="9" t="str">
        <f>HYPERLINK("http://www.ensembl.org/id/WBGene00016881", "WBGene00016881")</f>
        <v>WBGene00016881</v>
      </c>
      <c r="B7774" s="9" t="str">
        <f>HYPERLINK("http://www.ncbi.nlm.nih.gov/gene/183724", "183724")</f>
        <v>183724</v>
      </c>
      <c r="C7774" s="9"/>
      <c r="D7774" t="str">
        <f>"C52E2.2"</f>
        <v>C52E2.2</v>
      </c>
      <c r="F7774" t="s">
        <v>11</v>
      </c>
      <c r="H7774" s="12">
        <v>7.8750041662741399</v>
      </c>
      <c r="I7774" s="20">
        <v>0.66270036837280499</v>
      </c>
      <c r="J7774" s="28">
        <v>0.507522473818947</v>
      </c>
      <c r="K7774" s="29">
        <v>0.98289565623980701</v>
      </c>
    </row>
    <row r="7775" spans="1:11" x14ac:dyDescent="0.35">
      <c r="A7775" s="9" t="str">
        <f>HYPERLINK("http://www.ensembl.org/id/WBGene00016882", "WBGene00016882")</f>
        <v>WBGene00016882</v>
      </c>
      <c r="B7775" s="9" t="str">
        <f>HYPERLINK("http://www.ncbi.nlm.nih.gov/gene/183725", "183725")</f>
        <v>183725</v>
      </c>
      <c r="C7775" s="9"/>
      <c r="D7775" t="str">
        <f>"C52E2.3"</f>
        <v>C52E2.3</v>
      </c>
      <c r="F7775" t="s">
        <v>11</v>
      </c>
      <c r="H7775" s="12">
        <v>2.25078876948769</v>
      </c>
      <c r="I7775" s="20">
        <v>0.43435377400469499</v>
      </c>
      <c r="J7775" s="28">
        <v>0.66403156025291799</v>
      </c>
      <c r="K7775" s="29">
        <v>0.98289565623980701</v>
      </c>
    </row>
    <row r="7776" spans="1:11" x14ac:dyDescent="0.35">
      <c r="A7776" s="9" t="str">
        <f>HYPERLINK("http://www.ensembl.org/id/WBGene00016883", "WBGene00016883")</f>
        <v>WBGene00016883</v>
      </c>
      <c r="B7776" s="9" t="str">
        <f>HYPERLINK("http://www.ncbi.nlm.nih.gov/gene/173555", "173555")</f>
        <v>173555</v>
      </c>
      <c r="C7776" s="9"/>
      <c r="D7776" t="str">
        <f>"C52E2.4"</f>
        <v>C52E2.4</v>
      </c>
      <c r="F7776" t="s">
        <v>11</v>
      </c>
      <c r="H7776" s="12">
        <v>-1.14204694803194</v>
      </c>
      <c r="I7776" s="20">
        <v>-0.43363156173971401</v>
      </c>
      <c r="J7776" s="28">
        <v>0.66455601172606205</v>
      </c>
      <c r="K7776" s="29">
        <v>0.98289565623980701</v>
      </c>
    </row>
    <row r="7777" spans="1:11" x14ac:dyDescent="0.35">
      <c r="A7777" s="9" t="str">
        <f>HYPERLINK("http://www.ensembl.org/id/WBGene00016884", "WBGene00016884")</f>
        <v>WBGene00016884</v>
      </c>
      <c r="B7777" s="9" t="str">
        <f>HYPERLINK("http://www.ncbi.nlm.nih.gov/gene/259418", "259418")</f>
        <v>259418</v>
      </c>
      <c r="C7777" s="9"/>
      <c r="D7777" t="str">
        <f>"C52E2.5"</f>
        <v>C52E2.5</v>
      </c>
      <c r="F7777" t="s">
        <v>11</v>
      </c>
      <c r="G7777" t="s">
        <v>54</v>
      </c>
      <c r="H7777" s="12">
        <v>-1.3674299863472901</v>
      </c>
      <c r="I7777" s="20">
        <v>-0.95748685648036203</v>
      </c>
      <c r="J7777" s="28">
        <v>0.33832157730153301</v>
      </c>
      <c r="K7777" s="29">
        <v>0.98289565623980701</v>
      </c>
    </row>
    <row r="7778" spans="1:11" x14ac:dyDescent="0.35">
      <c r="A7778" s="9" t="str">
        <f>HYPERLINK("http://www.ensembl.org/id/WBGene00194785", "WBGene00194785")</f>
        <v>WBGene00194785</v>
      </c>
      <c r="B7778" s="9" t="str">
        <f>HYPERLINK("http://www.ncbi.nlm.nih.gov/gene/13215577", "13215577")</f>
        <v>13215577</v>
      </c>
      <c r="C7778" s="9"/>
      <c r="D7778" t="str">
        <f>"C52E4.12"</f>
        <v>C52E4.12</v>
      </c>
      <c r="F7778" t="s">
        <v>11</v>
      </c>
      <c r="H7778" s="12">
        <v>3.6645215954135</v>
      </c>
      <c r="I7778" s="20">
        <v>0.37967131826092498</v>
      </c>
      <c r="J7778" s="28">
        <v>0.70418941338960395</v>
      </c>
      <c r="K7778" s="29">
        <v>0.98289565623980701</v>
      </c>
    </row>
    <row r="7779" spans="1:11" x14ac:dyDescent="0.35">
      <c r="A7779" s="9" t="str">
        <f>HYPERLINK("http://www.ensembl.org/id/WBGene00198215", "WBGene00198215")</f>
        <v>WBGene00198215</v>
      </c>
      <c r="B7779" s="9"/>
      <c r="C7779" s="9"/>
      <c r="D7779" t="str">
        <f>"C52E4.15"</f>
        <v>C52E4.15</v>
      </c>
      <c r="F7779" t="s">
        <v>481</v>
      </c>
      <c r="H7779" s="12">
        <v>-2.2828330549870399</v>
      </c>
      <c r="I7779" s="20">
        <v>-0.45245403847355098</v>
      </c>
      <c r="J7779" s="28">
        <v>0.65094192495908798</v>
      </c>
      <c r="K7779" s="29">
        <v>0.98289565623980701</v>
      </c>
    </row>
    <row r="7780" spans="1:11" x14ac:dyDescent="0.35">
      <c r="A7780" s="9" t="str">
        <f>HYPERLINK("http://www.ensembl.org/id/WBGene00008261", "WBGene00008261")</f>
        <v>WBGene00008261</v>
      </c>
      <c r="B7780" s="9" t="str">
        <f>HYPERLINK("http://www.ncbi.nlm.nih.gov/gene/3565528", "3565528")</f>
        <v>3565528</v>
      </c>
      <c r="C7780" s="9"/>
      <c r="D7780" t="str">
        <f>"C52G5.3"</f>
        <v>C52G5.3</v>
      </c>
      <c r="F7780" t="s">
        <v>11</v>
      </c>
      <c r="H7780" s="12">
        <v>6.5528410538133803</v>
      </c>
      <c r="I7780" s="20">
        <v>0.81231691941903905</v>
      </c>
      <c r="J7780" s="28">
        <v>0.41660980452572299</v>
      </c>
      <c r="K7780" s="29">
        <v>0.98289565623980701</v>
      </c>
    </row>
    <row r="7781" spans="1:11" x14ac:dyDescent="0.35">
      <c r="A7781" s="9" t="str">
        <f>HYPERLINK("http://www.ensembl.org/id/WBGene00201035", "WBGene00201035")</f>
        <v>WBGene00201035</v>
      </c>
      <c r="B7781" s="9"/>
      <c r="C7781" s="9"/>
      <c r="D7781" t="str">
        <f>"C52G5.9"</f>
        <v>C52G5.9</v>
      </c>
      <c r="F7781" t="s">
        <v>481</v>
      </c>
      <c r="H7781" s="12">
        <v>-2.4991590031922399</v>
      </c>
      <c r="I7781" s="20">
        <v>-0.26577412737581302</v>
      </c>
      <c r="J7781" s="28">
        <v>0.79041317015736101</v>
      </c>
      <c r="K7781" s="29">
        <v>0.98289565623980701</v>
      </c>
    </row>
    <row r="7782" spans="1:11" x14ac:dyDescent="0.35">
      <c r="A7782" s="9" t="str">
        <f>HYPERLINK("http://www.ensembl.org/id/WBGene00303231", "WBGene00303231")</f>
        <v>WBGene00303231</v>
      </c>
      <c r="B7782" s="9" t="str">
        <f>HYPERLINK("http://www.ncbi.nlm.nih.gov/gene/36804993", "36804993")</f>
        <v>36804993</v>
      </c>
      <c r="C7782" s="9"/>
      <c r="D7782" t="str">
        <f>"C53A3.4"</f>
        <v>C53A3.4</v>
      </c>
      <c r="F7782" t="s">
        <v>11</v>
      </c>
      <c r="H7782" s="12">
        <v>1.39167813582956</v>
      </c>
      <c r="I7782" s="20">
        <v>0.976509728287834</v>
      </c>
      <c r="J7782" s="28">
        <v>0.32881192937693399</v>
      </c>
      <c r="K7782" s="29">
        <v>0.98289565623980701</v>
      </c>
    </row>
    <row r="7783" spans="1:11" x14ac:dyDescent="0.35">
      <c r="A7783" s="9" t="str">
        <f>HYPERLINK("http://www.ensembl.org/id/WBGene00008269", "WBGene00008269")</f>
        <v>WBGene00008269</v>
      </c>
      <c r="B7783" s="9" t="str">
        <f>HYPERLINK("http://www.ncbi.nlm.nih.gov/gene/183741", "183741")</f>
        <v>183741</v>
      </c>
      <c r="C7783" s="9"/>
      <c r="D7783" t="str">
        <f>"C53A5.11"</f>
        <v>C53A5.11</v>
      </c>
      <c r="F7783" t="s">
        <v>11</v>
      </c>
      <c r="G7783" t="s">
        <v>54</v>
      </c>
      <c r="H7783" s="12">
        <v>3.6195245652599799</v>
      </c>
      <c r="I7783" s="20">
        <v>0.58604860460974495</v>
      </c>
      <c r="J7783" s="28">
        <v>0.55784285276201095</v>
      </c>
      <c r="K7783" s="29">
        <v>0.98289565623980701</v>
      </c>
    </row>
    <row r="7784" spans="1:11" x14ac:dyDescent="0.35">
      <c r="A7784" s="9" t="str">
        <f>HYPERLINK("http://www.ensembl.org/id/WBGene00194707", "WBGene00194707")</f>
        <v>WBGene00194707</v>
      </c>
      <c r="B7784" s="9" t="str">
        <f>HYPERLINK("http://www.ncbi.nlm.nih.gov/gene/13216595", "13216595")</f>
        <v>13216595</v>
      </c>
      <c r="C7784" s="9" t="str">
        <f>HYPERLINK("http://www.ncbi.nlm.nih.gov/gene/57570", "57570")</f>
        <v>57570</v>
      </c>
      <c r="D7784" t="str">
        <f>"C53A5.17"</f>
        <v>C53A5.17</v>
      </c>
      <c r="E7784" t="s">
        <v>9652</v>
      </c>
      <c r="F7784" t="s">
        <v>11</v>
      </c>
      <c r="G7784" t="s">
        <v>9653</v>
      </c>
      <c r="H7784" s="12">
        <v>-1.2733675893975001</v>
      </c>
      <c r="I7784" s="20">
        <v>-1.03459994193056</v>
      </c>
      <c r="J7784" s="28">
        <v>0.30085578113738498</v>
      </c>
      <c r="K7784" s="29">
        <v>0.98289565623980701</v>
      </c>
    </row>
    <row r="7785" spans="1:11" x14ac:dyDescent="0.35">
      <c r="A7785" s="9" t="str">
        <f>HYPERLINK("http://www.ensembl.org/id/WBGene00008263", "WBGene00008263")</f>
        <v>WBGene00008263</v>
      </c>
      <c r="B7785" s="9" t="str">
        <f>HYPERLINK("http://www.ncbi.nlm.nih.gov/gene/179957", "179957")</f>
        <v>179957</v>
      </c>
      <c r="C7785" s="9"/>
      <c r="D7785" t="str">
        <f>"C53A5.2"</f>
        <v>C53A5.2</v>
      </c>
      <c r="F7785" t="s">
        <v>11</v>
      </c>
      <c r="H7785" s="12">
        <v>-1.50533547493896</v>
      </c>
      <c r="I7785" s="20">
        <v>-0.79539781735345205</v>
      </c>
      <c r="J7785" s="28">
        <v>0.42638212918516999</v>
      </c>
      <c r="K7785" s="29">
        <v>0.98289565623980701</v>
      </c>
    </row>
    <row r="7786" spans="1:11" x14ac:dyDescent="0.35">
      <c r="A7786" s="9" t="str">
        <f>HYPERLINK("http://www.ensembl.org/id/WBGene00008266", "WBGene00008266")</f>
        <v>WBGene00008266</v>
      </c>
      <c r="B7786" s="9" t="str">
        <f>HYPERLINK("http://www.ncbi.nlm.nih.gov/gene/183737", "183737")</f>
        <v>183737</v>
      </c>
      <c r="C7786" s="9"/>
      <c r="D7786" t="str">
        <f>"C53A5.6"</f>
        <v>C53A5.6</v>
      </c>
      <c r="F7786" t="s">
        <v>11</v>
      </c>
      <c r="G7786" t="s">
        <v>463</v>
      </c>
      <c r="H7786" s="12">
        <v>-1.15241701876145</v>
      </c>
      <c r="I7786" s="20">
        <v>-0.71935377908809195</v>
      </c>
      <c r="J7786" s="28">
        <v>0.471922967952283</v>
      </c>
      <c r="K7786" s="29">
        <v>0.98289565623980701</v>
      </c>
    </row>
    <row r="7787" spans="1:11" x14ac:dyDescent="0.35">
      <c r="A7787" s="9" t="str">
        <f>HYPERLINK("http://www.ensembl.org/id/WBGene00008267", "WBGene00008267")</f>
        <v>WBGene00008267</v>
      </c>
      <c r="B7787" s="9" t="str">
        <f>HYPERLINK("http://www.ncbi.nlm.nih.gov/gene/183739", "183739")</f>
        <v>183739</v>
      </c>
      <c r="C7787" s="9"/>
      <c r="D7787" t="str">
        <f>"C53A5.9"</f>
        <v>C53A5.9</v>
      </c>
      <c r="F7787" t="s">
        <v>11</v>
      </c>
      <c r="G7787" t="s">
        <v>54</v>
      </c>
      <c r="H7787" s="12">
        <v>1.80761725397742</v>
      </c>
      <c r="I7787" s="20">
        <v>0.56607790883891296</v>
      </c>
      <c r="J7787" s="28">
        <v>0.57134081992913199</v>
      </c>
      <c r="K7787" s="29">
        <v>0.98289565623980701</v>
      </c>
    </row>
    <row r="7788" spans="1:11" x14ac:dyDescent="0.35">
      <c r="A7788" s="9" t="str">
        <f>HYPERLINK("http://www.ensembl.org/id/WBGene00008272", "WBGene00008272")</f>
        <v>WBGene00008272</v>
      </c>
      <c r="B7788" s="9" t="str">
        <f>HYPERLINK("http://www.ncbi.nlm.nih.gov/gene/353430", "353430")</f>
        <v>353430</v>
      </c>
      <c r="C7788" s="9"/>
      <c r="D7788" t="str">
        <f>"C53B4.2"</f>
        <v>C53B4.2</v>
      </c>
      <c r="F7788" t="s">
        <v>11</v>
      </c>
      <c r="H7788" s="12">
        <v>-1.19047870427778</v>
      </c>
      <c r="I7788" s="20">
        <v>-0.70066458369072204</v>
      </c>
      <c r="J7788" s="28">
        <v>0.48351236325831998</v>
      </c>
      <c r="K7788" s="29">
        <v>0.98289565623980701</v>
      </c>
    </row>
    <row r="7789" spans="1:11" x14ac:dyDescent="0.35">
      <c r="A7789" s="9" t="str">
        <f>HYPERLINK("http://www.ensembl.org/id/WBGene00016900", "WBGene00016900")</f>
        <v>WBGene00016900</v>
      </c>
      <c r="B7789" s="9" t="str">
        <f>HYPERLINK("http://www.ncbi.nlm.nih.gov/gene/183755", "183755")</f>
        <v>183755</v>
      </c>
      <c r="C7789" s="9"/>
      <c r="D7789" t="str">
        <f>"C53C11.2"</f>
        <v>C53C11.2</v>
      </c>
      <c r="F7789" t="s">
        <v>11</v>
      </c>
      <c r="G7789" t="s">
        <v>25</v>
      </c>
      <c r="H7789" s="12">
        <v>-1.2039963771714</v>
      </c>
      <c r="I7789" s="20">
        <v>-0.36772534421340097</v>
      </c>
      <c r="J7789" s="28">
        <v>0.71307804072453995</v>
      </c>
      <c r="K7789" s="29">
        <v>0.98289565623980701</v>
      </c>
    </row>
    <row r="7790" spans="1:11" x14ac:dyDescent="0.35">
      <c r="A7790" s="9" t="str">
        <f>HYPERLINK("http://www.ensembl.org/id/WBGene00008279", "WBGene00008279")</f>
        <v>WBGene00008279</v>
      </c>
      <c r="B7790" s="9" t="str">
        <f>HYPERLINK("http://www.ncbi.nlm.nih.gov/gene/183748", "183748")</f>
        <v>183748</v>
      </c>
      <c r="C7790" s="9"/>
      <c r="D7790" t="str">
        <f>"C53C7.3"</f>
        <v>C53C7.3</v>
      </c>
      <c r="F7790" t="s">
        <v>11</v>
      </c>
      <c r="G7790" t="s">
        <v>54</v>
      </c>
      <c r="H7790" s="12">
        <v>1.9095113640199799</v>
      </c>
      <c r="I7790" s="20">
        <v>0.52393116532545903</v>
      </c>
      <c r="J7790" s="28">
        <v>0.60032641739310999</v>
      </c>
      <c r="K7790" s="29">
        <v>0.98289565623980701</v>
      </c>
    </row>
    <row r="7791" spans="1:11" x14ac:dyDescent="0.35">
      <c r="A7791" s="9" t="str">
        <f>HYPERLINK("http://www.ensembl.org/id/WBGene00014294", "WBGene00014294")</f>
        <v>WBGene00014294</v>
      </c>
      <c r="B7791" s="9"/>
      <c r="C7791" s="9"/>
      <c r="D7791" t="str">
        <f>"C53C7.5"</f>
        <v>C53C7.5</v>
      </c>
      <c r="F7791" t="s">
        <v>80</v>
      </c>
      <c r="H7791" s="12">
        <v>1.22814331136195</v>
      </c>
      <c r="I7791" s="20">
        <v>1.12185501195711</v>
      </c>
      <c r="J7791" s="28">
        <v>0.261924091507795</v>
      </c>
      <c r="K7791" s="29">
        <v>0.98289565623980701</v>
      </c>
    </row>
    <row r="7792" spans="1:11" x14ac:dyDescent="0.35">
      <c r="A7792" s="9" t="str">
        <f>HYPERLINK("http://www.ensembl.org/id/WBGene00199175", "WBGene00199175")</f>
        <v>WBGene00199175</v>
      </c>
      <c r="B7792" s="9"/>
      <c r="C7792" s="9"/>
      <c r="D7792" t="str">
        <f>"C53C7.7"</f>
        <v>C53C7.7</v>
      </c>
      <c r="F7792" t="s">
        <v>481</v>
      </c>
      <c r="H7792" s="12">
        <v>2.4578120077400301</v>
      </c>
      <c r="I7792" s="20">
        <v>0.26093350314551</v>
      </c>
      <c r="J7792" s="28">
        <v>0.79414378780213601</v>
      </c>
      <c r="K7792" s="29">
        <v>0.98289565623980701</v>
      </c>
    </row>
    <row r="7793" spans="1:11" x14ac:dyDescent="0.35">
      <c r="A7793" s="9" t="str">
        <f>HYPERLINK("http://www.ensembl.org/id/WBGene00016906", "WBGene00016906")</f>
        <v>WBGene00016906</v>
      </c>
      <c r="B7793" s="9" t="str">
        <f>HYPERLINK("http://www.ncbi.nlm.nih.gov/gene/171619", "171619")</f>
        <v>171619</v>
      </c>
      <c r="C7793" s="9" t="str">
        <f>HYPERLINK("http://www.ncbi.nlm.nih.gov/gene/2678", "2678")</f>
        <v>2678</v>
      </c>
      <c r="D7793" t="str">
        <f>"C53D5.5"</f>
        <v>C53D5.5</v>
      </c>
      <c r="F7793" t="s">
        <v>11</v>
      </c>
      <c r="G7793" t="s">
        <v>412</v>
      </c>
      <c r="H7793" s="12">
        <v>1.17417172271829</v>
      </c>
      <c r="I7793" s="20">
        <v>0.69951950789056605</v>
      </c>
      <c r="J7793" s="28">
        <v>0.484227426006129</v>
      </c>
      <c r="K7793" s="29">
        <v>0.98289565623980701</v>
      </c>
    </row>
    <row r="7794" spans="1:11" x14ac:dyDescent="0.35">
      <c r="A7794" s="9" t="str">
        <f>HYPERLINK("http://www.ensembl.org/id/WBGene00023424", "WBGene00023424")</f>
        <v>WBGene00023424</v>
      </c>
      <c r="B7794" s="9" t="str">
        <f>HYPERLINK("http://www.ncbi.nlm.nih.gov/gene/3565065", "3565065")</f>
        <v>3565065</v>
      </c>
      <c r="C7794" s="9"/>
      <c r="D7794" t="str">
        <f>"C53D6.10"</f>
        <v>C53D6.10</v>
      </c>
      <c r="F7794" t="s">
        <v>11</v>
      </c>
      <c r="G7794" t="s">
        <v>25</v>
      </c>
      <c r="H7794" s="12">
        <v>1.3187503041572901</v>
      </c>
      <c r="I7794" s="20">
        <v>0.302338530197095</v>
      </c>
      <c r="J7794" s="28">
        <v>0.76239400896560106</v>
      </c>
      <c r="K7794" s="29">
        <v>0.98289565623980701</v>
      </c>
    </row>
    <row r="7795" spans="1:11" x14ac:dyDescent="0.35">
      <c r="A7795" s="9" t="str">
        <f>HYPERLINK("http://www.ensembl.org/id/WBGene00008283", "WBGene00008283")</f>
        <v>WBGene00008283</v>
      </c>
      <c r="B7795" s="9" t="str">
        <f>HYPERLINK("http://www.ncbi.nlm.nih.gov/gene/177720", "177720")</f>
        <v>177720</v>
      </c>
      <c r="C7795" s="9"/>
      <c r="D7795" t="str">
        <f>"C53D6.6"</f>
        <v>C53D6.6</v>
      </c>
      <c r="F7795" t="s">
        <v>11</v>
      </c>
      <c r="G7795" t="s">
        <v>7596</v>
      </c>
      <c r="H7795" s="12">
        <v>-1.1348298483200701</v>
      </c>
      <c r="I7795" s="20">
        <v>-0.50363841165242595</v>
      </c>
      <c r="J7795" s="28">
        <v>0.61451549483694001</v>
      </c>
      <c r="K7795" s="29">
        <v>0.98289565623980701</v>
      </c>
    </row>
    <row r="7796" spans="1:11" x14ac:dyDescent="0.35">
      <c r="A7796" s="9" t="str">
        <f>HYPERLINK("http://www.ensembl.org/id/WBGene00008284", "WBGene00008284")</f>
        <v>WBGene00008284</v>
      </c>
      <c r="B7796" s="9" t="str">
        <f>HYPERLINK("http://www.ncbi.nlm.nih.gov/gene/183761", "183761")</f>
        <v>183761</v>
      </c>
      <c r="C7796" s="9"/>
      <c r="D7796" t="str">
        <f>"C53D6.7"</f>
        <v>C53D6.7</v>
      </c>
      <c r="E7796" t="s">
        <v>2043</v>
      </c>
      <c r="F7796" t="s">
        <v>11</v>
      </c>
      <c r="G7796" t="s">
        <v>4290</v>
      </c>
      <c r="H7796" s="12">
        <v>1.2750023414085301</v>
      </c>
      <c r="I7796" s="20">
        <v>0.84450328487897397</v>
      </c>
      <c r="J7796" s="28">
        <v>0.398388228539027</v>
      </c>
      <c r="K7796" s="29">
        <v>0.98289565623980701</v>
      </c>
    </row>
    <row r="7797" spans="1:11" x14ac:dyDescent="0.35">
      <c r="A7797" s="9" t="str">
        <f>HYPERLINK("http://www.ensembl.org/id/WBGene00200325", "WBGene00200325")</f>
        <v>WBGene00200325</v>
      </c>
      <c r="B7797" s="9"/>
      <c r="C7797" s="9"/>
      <c r="D7797" t="str">
        <f>"C54A12.8"</f>
        <v>C54A12.8</v>
      </c>
      <c r="F7797" t="s">
        <v>481</v>
      </c>
      <c r="H7797" s="12">
        <v>5.4871973923358901</v>
      </c>
      <c r="I7797" s="20">
        <v>0.499843548621418</v>
      </c>
      <c r="J7797" s="28">
        <v>0.61718524397184105</v>
      </c>
      <c r="K7797" s="29">
        <v>0.98289565623980701</v>
      </c>
    </row>
    <row r="7798" spans="1:11" x14ac:dyDescent="0.35">
      <c r="A7798" s="9" t="str">
        <f>HYPERLINK("http://www.ensembl.org/id/WBGene00219296", "WBGene00219296")</f>
        <v>WBGene00219296</v>
      </c>
      <c r="B7798" s="9" t="str">
        <f>HYPERLINK("http://www.ncbi.nlm.nih.gov/gene/13188971", "13188971")</f>
        <v>13188971</v>
      </c>
      <c r="C7798" s="9"/>
      <c r="D7798" t="str">
        <f>"C54C6.11"</f>
        <v>C54C6.11</v>
      </c>
      <c r="F7798" t="s">
        <v>11</v>
      </c>
      <c r="H7798" s="12">
        <v>-1.95438098042265</v>
      </c>
      <c r="I7798" s="20">
        <v>-0.37080017003607302</v>
      </c>
      <c r="J7798" s="28">
        <v>0.71078637470648898</v>
      </c>
      <c r="K7798" s="29">
        <v>0.98289565623980701</v>
      </c>
    </row>
    <row r="7799" spans="1:11" x14ac:dyDescent="0.35">
      <c r="A7799" s="9" t="str">
        <f>HYPERLINK("http://www.ensembl.org/id/WBGene00008288", "WBGene00008288")</f>
        <v>WBGene00008288</v>
      </c>
      <c r="B7799" s="9" t="str">
        <f>HYPERLINK("http://www.ncbi.nlm.nih.gov/gene/353416", "353416")</f>
        <v>353416</v>
      </c>
      <c r="C7799" s="9" t="str">
        <f>HYPERLINK("http://www.ncbi.nlm.nih.gov/gene/29105", "29105")</f>
        <v>29105</v>
      </c>
      <c r="D7799" t="str">
        <f>"C54C6.6"</f>
        <v>C54C6.6</v>
      </c>
      <c r="E7799" t="s">
        <v>8143</v>
      </c>
      <c r="F7799" t="s">
        <v>11</v>
      </c>
      <c r="G7799" t="s">
        <v>8144</v>
      </c>
      <c r="H7799" s="12">
        <v>-1.16222776555195</v>
      </c>
      <c r="I7799" s="20">
        <v>-0.595030667426238</v>
      </c>
      <c r="J7799" s="28">
        <v>0.55182297173914996</v>
      </c>
      <c r="K7799" s="29">
        <v>0.98289565623980701</v>
      </c>
    </row>
    <row r="7800" spans="1:11" x14ac:dyDescent="0.35">
      <c r="A7800" s="9" t="str">
        <f>HYPERLINK("http://www.ensembl.org/id/WBGene00044166", "WBGene00044166")</f>
        <v>WBGene00044166</v>
      </c>
      <c r="B7800" s="9" t="str">
        <f>HYPERLINK("http://www.ncbi.nlm.nih.gov/gene/3565711", "3565711")</f>
        <v>3565711</v>
      </c>
      <c r="C7800" s="9"/>
      <c r="D7800" t="str">
        <f>"C54C6.7"</f>
        <v>C54C6.7</v>
      </c>
      <c r="F7800" t="s">
        <v>11</v>
      </c>
      <c r="H7800" s="12">
        <v>-1.1804018672115399</v>
      </c>
      <c r="I7800" s="20">
        <v>-0.481554862864505</v>
      </c>
      <c r="J7800" s="28">
        <v>0.63012219730042696</v>
      </c>
      <c r="K7800" s="29">
        <v>0.98289565623980701</v>
      </c>
    </row>
    <row r="7801" spans="1:11" x14ac:dyDescent="0.35">
      <c r="A7801" s="9" t="str">
        <f>HYPERLINK("http://www.ensembl.org/id/WBGene00008291", "WBGene00008291")</f>
        <v>WBGene00008291</v>
      </c>
      <c r="B7801" s="9" t="str">
        <f>HYPERLINK("http://www.ncbi.nlm.nih.gov/gene/183770", "183770")</f>
        <v>183770</v>
      </c>
      <c r="C7801" s="9"/>
      <c r="D7801" t="str">
        <f>"C54C8.3"</f>
        <v>C54C8.3</v>
      </c>
      <c r="E7801" t="s">
        <v>3368</v>
      </c>
      <c r="F7801" t="s">
        <v>11</v>
      </c>
      <c r="G7801" t="s">
        <v>4251</v>
      </c>
      <c r="H7801" s="12">
        <v>5.9495765472548197</v>
      </c>
      <c r="I7801" s="20">
        <v>0.52429389276509997</v>
      </c>
      <c r="J7801" s="28">
        <v>0.60007414400596704</v>
      </c>
      <c r="K7801" s="29">
        <v>0.98289565623980701</v>
      </c>
    </row>
    <row r="7802" spans="1:11" x14ac:dyDescent="0.35">
      <c r="A7802" s="9" t="str">
        <f>HYPERLINK("http://www.ensembl.org/id/WBGene00014714", "WBGene00014714")</f>
        <v>WBGene00014714</v>
      </c>
      <c r="B7802" s="9"/>
      <c r="C7802" s="9"/>
      <c r="D7802" t="str">
        <f>"C54C8.8"</f>
        <v>C54C8.8</v>
      </c>
      <c r="F7802" t="s">
        <v>80</v>
      </c>
      <c r="H7802" s="12">
        <v>-1.4515030785455101</v>
      </c>
      <c r="I7802" s="20">
        <v>-0.45042402820808197</v>
      </c>
      <c r="J7802" s="28">
        <v>0.65240472254965398</v>
      </c>
      <c r="K7802" s="29">
        <v>0.98289565623980701</v>
      </c>
    </row>
    <row r="7803" spans="1:11" x14ac:dyDescent="0.35">
      <c r="A7803" s="9" t="str">
        <f>HYPERLINK("http://www.ensembl.org/id/WBGene00016914", "WBGene00016914")</f>
        <v>WBGene00016914</v>
      </c>
      <c r="B7803" s="9" t="str">
        <f>HYPERLINK("http://www.ncbi.nlm.nih.gov/gene/259713", "259713")</f>
        <v>259713</v>
      </c>
      <c r="C7803" s="9"/>
      <c r="D7803" t="str">
        <f>"C54D1.7"</f>
        <v>C54D1.7</v>
      </c>
      <c r="F7803" t="s">
        <v>11</v>
      </c>
      <c r="H7803" s="12">
        <v>1.16566190700256</v>
      </c>
      <c r="I7803" s="20">
        <v>0.30325408120019598</v>
      </c>
      <c r="J7803" s="28">
        <v>0.76169623732450997</v>
      </c>
      <c r="K7803" s="29">
        <v>0.98289565623980701</v>
      </c>
    </row>
    <row r="7804" spans="1:11" x14ac:dyDescent="0.35">
      <c r="A7804" s="9" t="str">
        <f>HYPERLINK("http://www.ensembl.org/id/WBGene00008304", "WBGene00008304")</f>
        <v>WBGene00008304</v>
      </c>
      <c r="B7804" s="9" t="str">
        <f>HYPERLINK("http://www.ncbi.nlm.nih.gov/gene/183787", "183787")</f>
        <v>183787</v>
      </c>
      <c r="C7804" s="9"/>
      <c r="D7804" t="str">
        <f>"C54D10.10"</f>
        <v>C54D10.10</v>
      </c>
      <c r="F7804" t="s">
        <v>11</v>
      </c>
      <c r="G7804" t="s">
        <v>50</v>
      </c>
      <c r="H7804" s="12">
        <v>-1.1420572885951401</v>
      </c>
      <c r="I7804" s="20">
        <v>-0.33216518109077298</v>
      </c>
      <c r="J7804" s="28">
        <v>0.73976453396919095</v>
      </c>
      <c r="K7804" s="29">
        <v>0.98289565623980701</v>
      </c>
    </row>
    <row r="7805" spans="1:11" x14ac:dyDescent="0.35">
      <c r="A7805" s="9" t="str">
        <f>HYPERLINK("http://www.ensembl.org/id/WBGene00008298", "WBGene00008298")</f>
        <v>WBGene00008298</v>
      </c>
      <c r="B7805" s="9" t="str">
        <f>HYPERLINK("http://www.ncbi.nlm.nih.gov/gene/179704", "179704")</f>
        <v>179704</v>
      </c>
      <c r="C7805" s="9"/>
      <c r="D7805" t="str">
        <f>"C54D10.3"</f>
        <v>C54D10.3</v>
      </c>
      <c r="F7805" t="s">
        <v>11</v>
      </c>
      <c r="H7805" s="12">
        <v>1.25450001922021</v>
      </c>
      <c r="I7805" s="20">
        <v>0.87383231772855596</v>
      </c>
      <c r="J7805" s="28">
        <v>0.382209577842333</v>
      </c>
      <c r="K7805" s="29">
        <v>0.98289565623980701</v>
      </c>
    </row>
    <row r="7806" spans="1:11" x14ac:dyDescent="0.35">
      <c r="A7806" s="9" t="str">
        <f>HYPERLINK("http://www.ensembl.org/id/WBGene00008299", "WBGene00008299")</f>
        <v>WBGene00008299</v>
      </c>
      <c r="B7806" s="9" t="str">
        <f>HYPERLINK("http://www.ncbi.nlm.nih.gov/gene/183781", "183781")</f>
        <v>183781</v>
      </c>
      <c r="C7806" s="9"/>
      <c r="D7806" t="str">
        <f>"C54D10.4"</f>
        <v>C54D10.4</v>
      </c>
      <c r="F7806" t="s">
        <v>11</v>
      </c>
      <c r="G7806" t="s">
        <v>25</v>
      </c>
      <c r="H7806" s="12">
        <v>-3.3673523105458498</v>
      </c>
      <c r="I7806" s="20">
        <v>-0.62690113120374202</v>
      </c>
      <c r="J7806" s="28">
        <v>0.53072404573560605</v>
      </c>
      <c r="K7806" s="29">
        <v>0.98289565623980701</v>
      </c>
    </row>
    <row r="7807" spans="1:11" x14ac:dyDescent="0.35">
      <c r="A7807" s="9" t="str">
        <f>HYPERLINK("http://www.ensembl.org/id/WBGene00008300", "WBGene00008300")</f>
        <v>WBGene00008300</v>
      </c>
      <c r="B7807" s="9" t="str">
        <f>HYPERLINK("http://www.ncbi.nlm.nih.gov/gene/183782", "183782")</f>
        <v>183782</v>
      </c>
      <c r="C7807" s="9"/>
      <c r="D7807" t="str">
        <f>"C54D10.5"</f>
        <v>C54D10.5</v>
      </c>
      <c r="F7807" t="s">
        <v>11</v>
      </c>
      <c r="G7807" t="s">
        <v>25</v>
      </c>
      <c r="H7807" s="12">
        <v>1.3647305180576501</v>
      </c>
      <c r="I7807" s="20">
        <v>0.99461340684703203</v>
      </c>
      <c r="J7807" s="28">
        <v>0.31992432439867602</v>
      </c>
      <c r="K7807" s="29">
        <v>0.98289565623980701</v>
      </c>
    </row>
    <row r="7808" spans="1:11" x14ac:dyDescent="0.35">
      <c r="A7808" s="9" t="str">
        <f>HYPERLINK("http://www.ensembl.org/id/WBGene00200502", "WBGene00200502")</f>
        <v>WBGene00200502</v>
      </c>
      <c r="B7808" s="9"/>
      <c r="C7808" s="9"/>
      <c r="D7808" t="str">
        <f>"C54D2.14"</f>
        <v>C54D2.14</v>
      </c>
      <c r="F7808" t="s">
        <v>481</v>
      </c>
      <c r="H7808" s="12">
        <v>-2.4991590031922399</v>
      </c>
      <c r="I7808" s="20">
        <v>-0.26577412737581302</v>
      </c>
      <c r="J7808" s="28">
        <v>0.79041317015736101</v>
      </c>
      <c r="K7808" s="29">
        <v>0.98289565623980701</v>
      </c>
    </row>
    <row r="7809" spans="1:11" x14ac:dyDescent="0.35">
      <c r="A7809" s="9" t="str">
        <f>HYPERLINK("http://www.ensembl.org/id/WBGene00045210", "WBGene00045210")</f>
        <v>WBGene00045210</v>
      </c>
      <c r="B7809" s="9" t="str">
        <f>HYPERLINK("http://www.ncbi.nlm.nih.gov/gene/4926915", "4926915")</f>
        <v>4926915</v>
      </c>
      <c r="C7809" s="9"/>
      <c r="D7809" t="str">
        <f>"C54D2.6"</f>
        <v>C54D2.6</v>
      </c>
      <c r="F7809" t="s">
        <v>11</v>
      </c>
      <c r="H7809" s="12">
        <v>1.66787692372883</v>
      </c>
      <c r="I7809" s="20">
        <v>0.87251118261268901</v>
      </c>
      <c r="J7809" s="28">
        <v>0.38292957031673802</v>
      </c>
      <c r="K7809" s="29">
        <v>0.98289565623980701</v>
      </c>
    </row>
    <row r="7810" spans="1:11" x14ac:dyDescent="0.35">
      <c r="A7810" s="9" t="str">
        <f>HYPERLINK("http://www.ensembl.org/id/WBGene00196233", "WBGene00196233")</f>
        <v>WBGene00196233</v>
      </c>
      <c r="B7810" s="9"/>
      <c r="C7810" s="9"/>
      <c r="D7810" t="str">
        <f>"C54D2.8"</f>
        <v>C54D2.8</v>
      </c>
      <c r="F7810" t="s">
        <v>481</v>
      </c>
      <c r="H7810" s="12">
        <v>-2.4991590031922399</v>
      </c>
      <c r="I7810" s="20">
        <v>-0.26577412737581302</v>
      </c>
      <c r="J7810" s="28">
        <v>0.79041317015736101</v>
      </c>
      <c r="K7810" s="29">
        <v>0.98289565623980701</v>
      </c>
    </row>
    <row r="7811" spans="1:11" x14ac:dyDescent="0.35">
      <c r="A7811" s="9" t="str">
        <f>HYPERLINK("http://www.ensembl.org/id/WBGene00008306", "WBGene00008306")</f>
        <v>WBGene00008306</v>
      </c>
      <c r="B7811" s="9"/>
      <c r="C7811" s="9"/>
      <c r="D7811" t="str">
        <f>"C54E10.1"</f>
        <v>C54E10.1</v>
      </c>
      <c r="F7811" t="s">
        <v>80</v>
      </c>
      <c r="H7811" s="12">
        <v>5.38728793203307</v>
      </c>
      <c r="I7811" s="20">
        <v>0.93688444066362497</v>
      </c>
      <c r="J7811" s="28">
        <v>0.34881800356694598</v>
      </c>
      <c r="K7811" s="29">
        <v>0.98289565623980701</v>
      </c>
    </row>
    <row r="7812" spans="1:11" x14ac:dyDescent="0.35">
      <c r="A7812" s="9" t="str">
        <f>HYPERLINK("http://www.ensembl.org/id/WBGene00008310", "WBGene00008310")</f>
        <v>WBGene00008310</v>
      </c>
      <c r="B7812" s="9" t="str">
        <f>HYPERLINK("http://www.ncbi.nlm.nih.gov/gene/180228", "180228")</f>
        <v>180228</v>
      </c>
      <c r="C7812" s="9"/>
      <c r="D7812" t="str">
        <f>"C54E10.6"</f>
        <v>C54E10.6</v>
      </c>
      <c r="F7812" t="s">
        <v>11</v>
      </c>
      <c r="H7812" s="12">
        <v>1.08806670036474</v>
      </c>
      <c r="I7812" s="20">
        <v>0.32372571349666102</v>
      </c>
      <c r="J7812" s="28">
        <v>0.74614570173491201</v>
      </c>
      <c r="K7812" s="29">
        <v>0.98289565623980701</v>
      </c>
    </row>
    <row r="7813" spans="1:11" x14ac:dyDescent="0.35">
      <c r="A7813" s="9" t="str">
        <f>HYPERLINK("http://www.ensembl.org/id/WBGene00014715", "WBGene00014715")</f>
        <v>WBGene00014715</v>
      </c>
      <c r="B7813" s="9"/>
      <c r="C7813" s="9"/>
      <c r="D7813" t="str">
        <f>"C54E10.t1"</f>
        <v>C54E10.t1</v>
      </c>
      <c r="F7813" t="s">
        <v>80</v>
      </c>
      <c r="H7813" s="12">
        <v>2.3893468495514898</v>
      </c>
      <c r="I7813" s="20">
        <v>0.25323547253672701</v>
      </c>
      <c r="J7813" s="28">
        <v>0.80008625651646104</v>
      </c>
      <c r="K7813" s="29">
        <v>0.98289565623980701</v>
      </c>
    </row>
    <row r="7814" spans="1:11" x14ac:dyDescent="0.35">
      <c r="A7814" s="9" t="str">
        <f>HYPERLINK("http://www.ensembl.org/id/WBGene00014721", "WBGene00014721")</f>
        <v>WBGene00014721</v>
      </c>
      <c r="B7814" s="9"/>
      <c r="C7814" s="9"/>
      <c r="D7814" t="str">
        <f>"C54E10.t7"</f>
        <v>C54E10.t7</v>
      </c>
      <c r="F7814" t="s">
        <v>80</v>
      </c>
      <c r="H7814" s="12">
        <v>-2.4991590031922399</v>
      </c>
      <c r="I7814" s="20">
        <v>-0.26577412737581302</v>
      </c>
      <c r="J7814" s="28">
        <v>0.79041317015736101</v>
      </c>
      <c r="K7814" s="29">
        <v>0.98289565623980701</v>
      </c>
    </row>
    <row r="7815" spans="1:11" x14ac:dyDescent="0.35">
      <c r="A7815" s="9" t="str">
        <f>HYPERLINK("http://www.ensembl.org/id/WBGene00016917", "WBGene00016917")</f>
        <v>WBGene00016917</v>
      </c>
      <c r="B7815" s="9" t="str">
        <f>HYPERLINK("http://www.ncbi.nlm.nih.gov/gene/183788", "183788")</f>
        <v>183788</v>
      </c>
      <c r="C7815" s="9"/>
      <c r="D7815" t="str">
        <f>"C54E4.1"</f>
        <v>C54E4.1</v>
      </c>
      <c r="F7815" t="s">
        <v>11</v>
      </c>
      <c r="H7815" s="12">
        <v>2.1108872521259601</v>
      </c>
      <c r="I7815" s="20">
        <v>1.1627446350152</v>
      </c>
      <c r="J7815" s="28">
        <v>0.24493312616401799</v>
      </c>
      <c r="K7815" s="29">
        <v>0.98289565623980701</v>
      </c>
    </row>
    <row r="7816" spans="1:11" x14ac:dyDescent="0.35">
      <c r="A7816" s="9" t="str">
        <f>HYPERLINK("http://www.ensembl.org/id/WBGene00235274", "WBGene00235274")</f>
        <v>WBGene00235274</v>
      </c>
      <c r="B7816" s="9" t="str">
        <f>HYPERLINK("http://www.ncbi.nlm.nih.gov/gene/24104349", "24104349")</f>
        <v>24104349</v>
      </c>
      <c r="C7816" s="9"/>
      <c r="D7816" t="str">
        <f>"C54E4.12"</f>
        <v>C54E4.12</v>
      </c>
      <c r="F7816" t="s">
        <v>11</v>
      </c>
      <c r="G7816" t="s">
        <v>25</v>
      </c>
      <c r="H7816" s="12">
        <v>1.72517376439082</v>
      </c>
      <c r="I7816" s="20">
        <v>1.19730249754134</v>
      </c>
      <c r="J7816" s="28">
        <v>0.23118867132069101</v>
      </c>
      <c r="K7816" s="29">
        <v>0.98289565623980701</v>
      </c>
    </row>
    <row r="7817" spans="1:11" x14ac:dyDescent="0.35">
      <c r="A7817" s="9" t="str">
        <f>HYPERLINK("http://www.ensembl.org/id/WBGene00044113", "WBGene00044113")</f>
        <v>WBGene00044113</v>
      </c>
      <c r="B7817" s="9" t="str">
        <f>HYPERLINK("http://www.ncbi.nlm.nih.gov/gene/3565380", "3565380")</f>
        <v>3565380</v>
      </c>
      <c r="C7817" s="9"/>
      <c r="D7817" t="str">
        <f>"C54F6.15"</f>
        <v>C54F6.15</v>
      </c>
      <c r="F7817" t="s">
        <v>11</v>
      </c>
      <c r="H7817" s="12">
        <v>1.4183926029434999</v>
      </c>
      <c r="I7817" s="20">
        <v>0.33461394301912201</v>
      </c>
      <c r="J7817" s="28">
        <v>0.73791632566294996</v>
      </c>
      <c r="K7817" s="29">
        <v>0.98289565623980701</v>
      </c>
    </row>
    <row r="7818" spans="1:11" x14ac:dyDescent="0.35">
      <c r="A7818" s="9" t="str">
        <f>HYPERLINK("http://www.ensembl.org/id/WBGene00195192", "WBGene00195192")</f>
        <v>WBGene00195192</v>
      </c>
      <c r="B7818" s="9"/>
      <c r="C7818" s="9"/>
      <c r="D7818" t="str">
        <f>"C54F6.16"</f>
        <v>C54F6.16</v>
      </c>
      <c r="F7818" t="s">
        <v>80</v>
      </c>
      <c r="H7818" s="12">
        <v>-2.4295389261469</v>
      </c>
      <c r="I7818" s="20">
        <v>-0.25808529976640998</v>
      </c>
      <c r="J7818" s="28">
        <v>0.79634107645457397</v>
      </c>
      <c r="K7818" s="29">
        <v>0.98289565623980701</v>
      </c>
    </row>
    <row r="7819" spans="1:11" x14ac:dyDescent="0.35">
      <c r="A7819" s="9" t="str">
        <f>HYPERLINK("http://www.ensembl.org/id/WBGene00235092", "WBGene00235092")</f>
        <v>WBGene00235092</v>
      </c>
      <c r="B7819" s="9" t="str">
        <f>HYPERLINK("http://www.ncbi.nlm.nih.gov/gene/24104350", "24104350")</f>
        <v>24104350</v>
      </c>
      <c r="C7819" s="9"/>
      <c r="D7819" t="str">
        <f>"C54F6.17"</f>
        <v>C54F6.17</v>
      </c>
      <c r="F7819" t="s">
        <v>11</v>
      </c>
      <c r="H7819" s="12">
        <v>1.9684909828708901</v>
      </c>
      <c r="I7819" s="20">
        <v>1.05957403886571</v>
      </c>
      <c r="J7819" s="28">
        <v>0.28933842952297101</v>
      </c>
      <c r="K7819" s="29">
        <v>0.98289565623980701</v>
      </c>
    </row>
    <row r="7820" spans="1:11" x14ac:dyDescent="0.35">
      <c r="A7820" s="9" t="str">
        <f>HYPERLINK("http://www.ensembl.org/id/WBGene00016921", "WBGene00016921")</f>
        <v>WBGene00016921</v>
      </c>
      <c r="B7820" s="9" t="str">
        <f>HYPERLINK("http://www.ncbi.nlm.nih.gov/gene/183803", "183803")</f>
        <v>183803</v>
      </c>
      <c r="C7820" s="9"/>
      <c r="D7820" t="str">
        <f>"C54F6.3"</f>
        <v>C54F6.3</v>
      </c>
      <c r="F7820" t="s">
        <v>11</v>
      </c>
      <c r="G7820" t="s">
        <v>3419</v>
      </c>
      <c r="H7820" s="12">
        <v>4.3595216294978503</v>
      </c>
      <c r="I7820" s="20">
        <v>0.87894364470826203</v>
      </c>
      <c r="J7820" s="28">
        <v>0.37943183269229602</v>
      </c>
      <c r="K7820" s="29">
        <v>0.98289565623980701</v>
      </c>
    </row>
    <row r="7821" spans="1:11" x14ac:dyDescent="0.35">
      <c r="A7821" s="9" t="str">
        <f>HYPERLINK("http://www.ensembl.org/id/WBGene00016924", "WBGene00016924")</f>
        <v>WBGene00016924</v>
      </c>
      <c r="B7821" s="9" t="str">
        <f>HYPERLINK("http://www.ncbi.nlm.nih.gov/gene/34700616", "34700616")</f>
        <v>34700616</v>
      </c>
      <c r="C7821" s="9"/>
      <c r="D7821" t="str">
        <f>"C54F6.6"</f>
        <v>C54F6.6</v>
      </c>
      <c r="F7821" t="s">
        <v>11</v>
      </c>
      <c r="H7821" s="12">
        <v>-1.33234735270805</v>
      </c>
      <c r="I7821" s="20">
        <v>-0.56942646850970702</v>
      </c>
      <c r="J7821" s="28">
        <v>0.56906675860780898</v>
      </c>
      <c r="K7821" s="29">
        <v>0.98289565623980701</v>
      </c>
    </row>
    <row r="7822" spans="1:11" x14ac:dyDescent="0.35">
      <c r="A7822" s="9" t="str">
        <f>HYPERLINK("http://www.ensembl.org/id/WBGene00008319", "WBGene00008319")</f>
        <v>WBGene00008319</v>
      </c>
      <c r="B7822" s="9" t="str">
        <f>HYPERLINK("http://www.ncbi.nlm.nih.gov/gene/183818", "183818")</f>
        <v>183818</v>
      </c>
      <c r="C7822" s="9"/>
      <c r="D7822" t="str">
        <f>"C54G10.1"</f>
        <v>C54G10.1</v>
      </c>
      <c r="F7822" t="s">
        <v>11</v>
      </c>
      <c r="H7822" s="12">
        <v>-1.44213154876986</v>
      </c>
      <c r="I7822" s="20">
        <v>-0.42740882999288499</v>
      </c>
      <c r="J7822" s="28">
        <v>0.66908157708873295</v>
      </c>
      <c r="K7822" s="29">
        <v>0.98289565623980701</v>
      </c>
    </row>
    <row r="7823" spans="1:11" x14ac:dyDescent="0.35">
      <c r="A7823" s="9" t="str">
        <f>HYPERLINK("http://www.ensembl.org/id/WBGene00200556", "WBGene00200556")</f>
        <v>WBGene00200556</v>
      </c>
      <c r="B7823" s="9"/>
      <c r="C7823" s="9"/>
      <c r="D7823" t="str">
        <f>"C54G4.14"</f>
        <v>C54G4.14</v>
      </c>
      <c r="F7823" t="s">
        <v>481</v>
      </c>
      <c r="H7823" s="12">
        <v>-2.4295389261469</v>
      </c>
      <c r="I7823" s="20">
        <v>-0.25808529976640998</v>
      </c>
      <c r="J7823" s="28">
        <v>0.79634107645457397</v>
      </c>
      <c r="K7823" s="29">
        <v>0.98289565623980701</v>
      </c>
    </row>
    <row r="7824" spans="1:11" x14ac:dyDescent="0.35">
      <c r="A7824" s="9" t="str">
        <f>HYPERLINK("http://www.ensembl.org/id/WBGene00008313", "WBGene00008313")</f>
        <v>WBGene00008313</v>
      </c>
      <c r="B7824" s="9" t="str">
        <f>HYPERLINK("http://www.ncbi.nlm.nih.gov/gene/183812", "183812")</f>
        <v>183812</v>
      </c>
      <c r="C7824" s="9"/>
      <c r="D7824" t="str">
        <f>"C54G4.3"</f>
        <v>C54G4.3</v>
      </c>
      <c r="F7824" t="s">
        <v>11</v>
      </c>
      <c r="H7824" s="12">
        <v>1.6051436463525099</v>
      </c>
      <c r="I7824" s="20">
        <v>0.46800224744355701</v>
      </c>
      <c r="J7824" s="28">
        <v>0.63978298251332599</v>
      </c>
      <c r="K7824" s="29">
        <v>0.98289565623980701</v>
      </c>
    </row>
    <row r="7825" spans="1:11" x14ac:dyDescent="0.35">
      <c r="A7825" s="9" t="str">
        <f>HYPERLINK("http://www.ensembl.org/id/WBGene00008315", "WBGene00008315")</f>
        <v>WBGene00008315</v>
      </c>
      <c r="B7825" s="9" t="str">
        <f>HYPERLINK("http://www.ncbi.nlm.nih.gov/gene/172578", "172578")</f>
        <v>172578</v>
      </c>
      <c r="C7825" s="9"/>
      <c r="D7825" t="str">
        <f>"C54G4.5"</f>
        <v>C54G4.5</v>
      </c>
      <c r="F7825" t="s">
        <v>11</v>
      </c>
      <c r="G7825" t="s">
        <v>25</v>
      </c>
      <c r="H7825" s="12">
        <v>1.29319456837215</v>
      </c>
      <c r="I7825" s="20">
        <v>0.74064889094170105</v>
      </c>
      <c r="J7825" s="28">
        <v>0.45890635575724098</v>
      </c>
      <c r="K7825" s="29">
        <v>0.98289565623980701</v>
      </c>
    </row>
    <row r="7826" spans="1:11" x14ac:dyDescent="0.35">
      <c r="A7826" s="9" t="str">
        <f>HYPERLINK("http://www.ensembl.org/id/WBGene00008317", "WBGene00008317")</f>
        <v>WBGene00008317</v>
      </c>
      <c r="B7826" s="9" t="str">
        <f>HYPERLINK("http://www.ncbi.nlm.nih.gov/gene/3565589", "3565589")</f>
        <v>3565589</v>
      </c>
      <c r="C7826" s="9" t="str">
        <f>HYPERLINK("http://www.ncbi.nlm.nih.gov/gene/80167", "80167")</f>
        <v>80167</v>
      </c>
      <c r="D7826" t="str">
        <f>"C54G4.7"</f>
        <v>C54G4.7</v>
      </c>
      <c r="F7826" t="s">
        <v>11</v>
      </c>
      <c r="H7826" s="12">
        <v>1.0892164029636899</v>
      </c>
      <c r="I7826" s="20">
        <v>0.43783134738660101</v>
      </c>
      <c r="J7826" s="28">
        <v>0.66150854522742597</v>
      </c>
      <c r="K7826" s="29">
        <v>0.98289565623980701</v>
      </c>
    </row>
    <row r="7827" spans="1:11" x14ac:dyDescent="0.35">
      <c r="A7827" s="9" t="str">
        <f>HYPERLINK("http://www.ensembl.org/id/WBGene00016931", "WBGene00016931")</f>
        <v>WBGene00016931</v>
      </c>
      <c r="B7827" s="9" t="str">
        <f>HYPERLINK("http://www.ncbi.nlm.nih.gov/gene/183814", "183814")</f>
        <v>183814</v>
      </c>
      <c r="C7827" s="9"/>
      <c r="D7827" t="str">
        <f>"C54G6.2"</f>
        <v>C54G6.2</v>
      </c>
      <c r="F7827" t="s">
        <v>11</v>
      </c>
      <c r="G7827" t="s">
        <v>4781</v>
      </c>
      <c r="H7827" s="12">
        <v>1.38112048350467</v>
      </c>
      <c r="I7827" s="20">
        <v>0.39422856903447401</v>
      </c>
      <c r="J7827" s="28">
        <v>0.693412295045575</v>
      </c>
      <c r="K7827" s="29">
        <v>0.98289565623980701</v>
      </c>
    </row>
    <row r="7828" spans="1:11" x14ac:dyDescent="0.35">
      <c r="A7828" s="9" t="str">
        <f>HYPERLINK("http://www.ensembl.org/id/WBGene00016932", "WBGene00016932")</f>
        <v>WBGene00016932</v>
      </c>
      <c r="B7828" s="9" t="str">
        <f>HYPERLINK("http://www.ncbi.nlm.nih.gov/gene/183815", "183815")</f>
        <v>183815</v>
      </c>
      <c r="C7828" s="9"/>
      <c r="D7828" t="str">
        <f>"C54G6.3"</f>
        <v>C54G6.3</v>
      </c>
      <c r="F7828" t="s">
        <v>11</v>
      </c>
      <c r="G7828" t="s">
        <v>25</v>
      </c>
      <c r="H7828" s="12">
        <v>1.1163158165632601</v>
      </c>
      <c r="I7828" s="20">
        <v>0.261218111217495</v>
      </c>
      <c r="J7828" s="28">
        <v>0.79392431212776204</v>
      </c>
      <c r="K7828" s="29">
        <v>0.98289565623980701</v>
      </c>
    </row>
    <row r="7829" spans="1:11" x14ac:dyDescent="0.35">
      <c r="A7829" s="9" t="str">
        <f>HYPERLINK("http://www.ensembl.org/id/WBGene00198961", "WBGene00198961")</f>
        <v>WBGene00198961</v>
      </c>
      <c r="B7829" s="9"/>
      <c r="C7829" s="9"/>
      <c r="D7829" t="str">
        <f>"C54G7.13"</f>
        <v>C54G7.13</v>
      </c>
      <c r="F7829" t="s">
        <v>481</v>
      </c>
      <c r="H7829" s="12">
        <v>-3.5819448292659501</v>
      </c>
      <c r="I7829" s="20">
        <v>-0.37337717500031398</v>
      </c>
      <c r="J7829" s="28">
        <v>0.70886774492290605</v>
      </c>
      <c r="K7829" s="29">
        <v>0.98289565623980701</v>
      </c>
    </row>
    <row r="7830" spans="1:11" x14ac:dyDescent="0.35">
      <c r="A7830" s="9" t="str">
        <f>HYPERLINK("http://www.ensembl.org/id/WBGene00202379", "WBGene00202379")</f>
        <v>WBGene00202379</v>
      </c>
      <c r="B7830" s="9"/>
      <c r="C7830" s="9"/>
      <c r="D7830" t="str">
        <f>"C54G7.17"</f>
        <v>C54G7.17</v>
      </c>
      <c r="F7830" t="s">
        <v>481</v>
      </c>
      <c r="H7830" s="12">
        <v>2.4578120077400301</v>
      </c>
      <c r="I7830" s="20">
        <v>0.26093350314551</v>
      </c>
      <c r="J7830" s="28">
        <v>0.79414378780213601</v>
      </c>
      <c r="K7830" s="29">
        <v>0.98289565623980701</v>
      </c>
    </row>
    <row r="7831" spans="1:11" x14ac:dyDescent="0.35">
      <c r="A7831" s="9" t="str">
        <f>HYPERLINK("http://www.ensembl.org/id/WBGene00198888", "WBGene00198888")</f>
        <v>WBGene00198888</v>
      </c>
      <c r="B7831" s="9"/>
      <c r="C7831" s="9"/>
      <c r="D7831" t="str">
        <f>"C54H2.10"</f>
        <v>C54H2.10</v>
      </c>
      <c r="F7831" t="s">
        <v>481</v>
      </c>
      <c r="H7831" s="12">
        <v>-2.4991590031922399</v>
      </c>
      <c r="I7831" s="20">
        <v>-0.26577412737581302</v>
      </c>
      <c r="J7831" s="28">
        <v>0.79041317015736101</v>
      </c>
      <c r="K7831" s="29">
        <v>0.98289565623980701</v>
      </c>
    </row>
    <row r="7832" spans="1:11" x14ac:dyDescent="0.35">
      <c r="A7832" s="9" t="str">
        <f>HYPERLINK("http://www.ensembl.org/id/WBGene00016938", "WBGene00016938")</f>
        <v>WBGene00016938</v>
      </c>
      <c r="B7832" s="9" t="str">
        <f>HYPERLINK("http://www.ncbi.nlm.nih.gov/gene/183821", "183821")</f>
        <v>183821</v>
      </c>
      <c r="C7832" s="9"/>
      <c r="D7832" t="str">
        <f>"C54H2.4"</f>
        <v>C54H2.4</v>
      </c>
      <c r="F7832" t="s">
        <v>11</v>
      </c>
      <c r="H7832" s="12">
        <v>1.5315618840709999</v>
      </c>
      <c r="I7832" s="20">
        <v>0.62771116911713798</v>
      </c>
      <c r="J7832" s="28">
        <v>0.53019316723587595</v>
      </c>
      <c r="K7832" s="29">
        <v>0.98289565623980701</v>
      </c>
    </row>
    <row r="7833" spans="1:11" x14ac:dyDescent="0.35">
      <c r="A7833" s="9" t="str">
        <f>HYPERLINK("http://www.ensembl.org/id/WBGene00008325", "WBGene00008325")</f>
        <v>WBGene00008325</v>
      </c>
      <c r="B7833" s="9"/>
      <c r="C7833" s="9"/>
      <c r="D7833" t="str">
        <f>"C55A1.9"</f>
        <v>C55A1.9</v>
      </c>
      <c r="F7833" t="s">
        <v>80</v>
      </c>
      <c r="H7833" s="12">
        <v>-2.4991590031922399</v>
      </c>
      <c r="I7833" s="20">
        <v>-0.26577412737581302</v>
      </c>
      <c r="J7833" s="28">
        <v>0.79041317015736101</v>
      </c>
      <c r="K7833" s="29">
        <v>0.98289565623980701</v>
      </c>
    </row>
    <row r="7834" spans="1:11" x14ac:dyDescent="0.35">
      <c r="A7834" s="9" t="str">
        <f>HYPERLINK("http://www.ensembl.org/id/WBGene00008340", "WBGene00008340")</f>
        <v>WBGene00008340</v>
      </c>
      <c r="B7834" s="9" t="str">
        <f>HYPERLINK("http://www.ncbi.nlm.nih.gov/gene/3565906", "3565906")</f>
        <v>3565906</v>
      </c>
      <c r="C7834" s="9"/>
      <c r="D7834" t="str">
        <f>"C55A6.11"</f>
        <v>C55A6.11</v>
      </c>
      <c r="F7834" t="s">
        <v>11</v>
      </c>
      <c r="G7834" t="s">
        <v>25</v>
      </c>
      <c r="H7834" s="12">
        <v>-1.2161757645826801</v>
      </c>
      <c r="I7834" s="20">
        <v>-0.34680579033901998</v>
      </c>
      <c r="J7834" s="28">
        <v>0.72873722674986097</v>
      </c>
      <c r="K7834" s="29">
        <v>0.98289565623980701</v>
      </c>
    </row>
    <row r="7835" spans="1:11" x14ac:dyDescent="0.35">
      <c r="A7835" s="9" t="str">
        <f>HYPERLINK("http://www.ensembl.org/id/WBGene00198484", "WBGene00198484")</f>
        <v>WBGene00198484</v>
      </c>
      <c r="B7835" s="9"/>
      <c r="C7835" s="9"/>
      <c r="D7835" t="str">
        <f>"C55A6.17"</f>
        <v>C55A6.17</v>
      </c>
      <c r="F7835" t="s">
        <v>481</v>
      </c>
      <c r="H7835" s="12">
        <v>-4.5114499031905204</v>
      </c>
      <c r="I7835" s="20">
        <v>-0.44198655555625299</v>
      </c>
      <c r="J7835" s="28">
        <v>0.65849893477547905</v>
      </c>
      <c r="K7835" s="29">
        <v>0.98289565623980701</v>
      </c>
    </row>
    <row r="7836" spans="1:11" x14ac:dyDescent="0.35">
      <c r="A7836" s="9" t="str">
        <f>HYPERLINK("http://www.ensembl.org/id/WBGene00201657", "WBGene00201657")</f>
        <v>WBGene00201657</v>
      </c>
      <c r="B7836" s="9"/>
      <c r="C7836" s="9"/>
      <c r="D7836" t="str">
        <f>"C55A6.20"</f>
        <v>C55A6.20</v>
      </c>
      <c r="F7836" t="s">
        <v>481</v>
      </c>
      <c r="H7836" s="12">
        <v>-2.4295389261469</v>
      </c>
      <c r="I7836" s="20">
        <v>-0.25808529976640998</v>
      </c>
      <c r="J7836" s="28">
        <v>0.79634107645457397</v>
      </c>
      <c r="K7836" s="29">
        <v>0.98289565623980701</v>
      </c>
    </row>
    <row r="7837" spans="1:11" x14ac:dyDescent="0.35">
      <c r="A7837" s="9" t="str">
        <f>HYPERLINK("http://www.ensembl.org/id/WBGene00201803", "WBGene00201803")</f>
        <v>WBGene00201803</v>
      </c>
      <c r="B7837" s="9"/>
      <c r="C7837" s="9"/>
      <c r="D7837" t="str">
        <f>"C55A6.21"</f>
        <v>C55A6.21</v>
      </c>
      <c r="F7837" t="s">
        <v>481</v>
      </c>
      <c r="H7837" s="12">
        <v>3.5227018545059199</v>
      </c>
      <c r="I7837" s="20">
        <v>0.36849691206929103</v>
      </c>
      <c r="J7837" s="28">
        <v>0.71250274722433404</v>
      </c>
      <c r="K7837" s="29">
        <v>0.98289565623980701</v>
      </c>
    </row>
    <row r="7838" spans="1:11" x14ac:dyDescent="0.35">
      <c r="A7838" s="9" t="str">
        <f>HYPERLINK("http://www.ensembl.org/id/WBGene00008333", "WBGene00008333")</f>
        <v>WBGene00008333</v>
      </c>
      <c r="B7838" s="9" t="str">
        <f>HYPERLINK("http://www.ncbi.nlm.nih.gov/gene/183833", "183833")</f>
        <v>183833</v>
      </c>
      <c r="C7838" s="9"/>
      <c r="D7838" t="str">
        <f>"C55A6.4"</f>
        <v>C55A6.4</v>
      </c>
      <c r="F7838" t="s">
        <v>11</v>
      </c>
      <c r="G7838" t="s">
        <v>489</v>
      </c>
      <c r="H7838" s="12">
        <v>-1.1389845514189201</v>
      </c>
      <c r="I7838" s="20">
        <v>-0.29573944580416101</v>
      </c>
      <c r="J7838" s="28">
        <v>0.76742907050295395</v>
      </c>
      <c r="K7838" s="29">
        <v>0.98289565623980701</v>
      </c>
    </row>
    <row r="7839" spans="1:11" x14ac:dyDescent="0.35">
      <c r="A7839" s="9" t="str">
        <f>HYPERLINK("http://www.ensembl.org/id/WBGene00008337", "WBGene00008337")</f>
        <v>WBGene00008337</v>
      </c>
      <c r="B7839" s="9"/>
      <c r="C7839" s="9"/>
      <c r="D7839" t="str">
        <f>"C55A6.8"</f>
        <v>C55A6.8</v>
      </c>
      <c r="F7839" t="s">
        <v>80</v>
      </c>
      <c r="H7839" s="12">
        <v>-1.8324059032765001</v>
      </c>
      <c r="I7839" s="20">
        <v>-1.19359685144268</v>
      </c>
      <c r="J7839" s="28">
        <v>0.23263570621153401</v>
      </c>
      <c r="K7839" s="29">
        <v>0.98289565623980701</v>
      </c>
    </row>
    <row r="7840" spans="1:11" x14ac:dyDescent="0.35">
      <c r="A7840" s="9" t="str">
        <f>HYPERLINK("http://www.ensembl.org/id/WBGene00016940", "WBGene00016940")</f>
        <v>WBGene00016940</v>
      </c>
      <c r="B7840" s="9" t="str">
        <f>HYPERLINK("http://www.ncbi.nlm.nih.gov/gene/183839", "183839")</f>
        <v>183839</v>
      </c>
      <c r="C7840" s="9"/>
      <c r="D7840" t="str">
        <f>"C55B6.4"</f>
        <v>C55B6.4</v>
      </c>
      <c r="F7840" t="s">
        <v>11</v>
      </c>
      <c r="H7840" s="12">
        <v>3.1706514592375101</v>
      </c>
      <c r="I7840" s="20">
        <v>0.44390112599266301</v>
      </c>
      <c r="J7840" s="28">
        <v>0.65711407043763304</v>
      </c>
      <c r="K7840" s="29">
        <v>0.98289565623980701</v>
      </c>
    </row>
    <row r="7841" spans="1:11" x14ac:dyDescent="0.35">
      <c r="A7841" s="9" t="str">
        <f>HYPERLINK("http://www.ensembl.org/id/WBGene00016941", "WBGene00016941")</f>
        <v>WBGene00016941</v>
      </c>
      <c r="B7841" s="9" t="str">
        <f>HYPERLINK("http://www.ncbi.nlm.nih.gov/gene/183840", "183840")</f>
        <v>183840</v>
      </c>
      <c r="C7841" s="9"/>
      <c r="D7841" t="str">
        <f>"C55B6.5"</f>
        <v>C55B6.5</v>
      </c>
      <c r="F7841" t="s">
        <v>11</v>
      </c>
      <c r="G7841" t="s">
        <v>4313</v>
      </c>
      <c r="H7841" s="12">
        <v>3.28624938312884</v>
      </c>
      <c r="I7841" s="20">
        <v>0.36379512681977599</v>
      </c>
      <c r="J7841" s="28">
        <v>0.716011001908614</v>
      </c>
      <c r="K7841" s="29">
        <v>0.98289565623980701</v>
      </c>
    </row>
    <row r="7842" spans="1:11" x14ac:dyDescent="0.35">
      <c r="A7842" s="9" t="str">
        <f>HYPERLINK("http://www.ensembl.org/id/WBGene00206379", "WBGene00206379")</f>
        <v>WBGene00206379</v>
      </c>
      <c r="B7842" s="9" t="str">
        <f>HYPERLINK("http://www.ncbi.nlm.nih.gov/gene/13221340", "13221340")</f>
        <v>13221340</v>
      </c>
      <c r="C7842" s="9"/>
      <c r="D7842" t="str">
        <f>"C55B6.7"</f>
        <v>C55B6.7</v>
      </c>
      <c r="F7842" t="s">
        <v>11</v>
      </c>
      <c r="H7842" s="12">
        <v>5.7240911494525104</v>
      </c>
      <c r="I7842" s="20">
        <v>0.63713704464777798</v>
      </c>
      <c r="J7842" s="28">
        <v>0.52403558058044697</v>
      </c>
      <c r="K7842" s="29">
        <v>0.98289565623980701</v>
      </c>
    </row>
    <row r="7843" spans="1:11" x14ac:dyDescent="0.35">
      <c r="A7843" s="9" t="str">
        <f>HYPERLINK("http://www.ensembl.org/id/WBGene00016942", "WBGene00016942")</f>
        <v>WBGene00016942</v>
      </c>
      <c r="B7843" s="9" t="str">
        <f>HYPERLINK("http://www.ncbi.nlm.nih.gov/gene/172359", "172359")</f>
        <v>172359</v>
      </c>
      <c r="C7843" s="9"/>
      <c r="D7843" t="str">
        <f>"C55B7.3"</f>
        <v>C55B7.3</v>
      </c>
      <c r="E7843" t="s">
        <v>1019</v>
      </c>
      <c r="F7843" t="s">
        <v>11</v>
      </c>
      <c r="G7843" t="s">
        <v>1020</v>
      </c>
      <c r="H7843" s="12">
        <v>1.34867502462785</v>
      </c>
      <c r="I7843" s="20">
        <v>0.99913919235373405</v>
      </c>
      <c r="J7843" s="28">
        <v>0.31772726766040899</v>
      </c>
      <c r="K7843" s="29">
        <v>0.98289565623980701</v>
      </c>
    </row>
    <row r="7844" spans="1:11" x14ac:dyDescent="0.35">
      <c r="A7844" s="9" t="str">
        <f>HYPERLINK("http://www.ensembl.org/id/WBGene00016949", "WBGene00016949")</f>
        <v>WBGene00016949</v>
      </c>
      <c r="B7844" s="9" t="str">
        <f>HYPERLINK("http://www.ncbi.nlm.nih.gov/gene/183849", "183849")</f>
        <v>183849</v>
      </c>
      <c r="C7844" s="9"/>
      <c r="D7844" t="str">
        <f>"C55C2.3"</f>
        <v>C55C2.3</v>
      </c>
      <c r="F7844" t="s">
        <v>11</v>
      </c>
      <c r="G7844" t="s">
        <v>25</v>
      </c>
      <c r="H7844" s="12">
        <v>3.3435994199633701</v>
      </c>
      <c r="I7844" s="20">
        <v>0.58182563549334598</v>
      </c>
      <c r="J7844" s="28">
        <v>0.56068413470957101</v>
      </c>
      <c r="K7844" s="29">
        <v>0.98289565623980701</v>
      </c>
    </row>
    <row r="7845" spans="1:11" x14ac:dyDescent="0.35">
      <c r="A7845" s="9" t="str">
        <f>HYPERLINK("http://www.ensembl.org/id/WBGene00016951", "WBGene00016951")</f>
        <v>WBGene00016951</v>
      </c>
      <c r="B7845" s="9" t="str">
        <f>HYPERLINK("http://www.ncbi.nlm.nih.gov/gene/183851", "183851")</f>
        <v>183851</v>
      </c>
      <c r="C7845" s="9"/>
      <c r="D7845" t="str">
        <f>"C55C3.1"</f>
        <v>C55C3.1</v>
      </c>
      <c r="F7845" t="s">
        <v>11</v>
      </c>
      <c r="G7845" t="s">
        <v>4885</v>
      </c>
      <c r="H7845" s="12">
        <v>1.3147579926412101</v>
      </c>
      <c r="I7845" s="20">
        <v>0.45046448167720299</v>
      </c>
      <c r="J7845" s="28">
        <v>0.65237555925060298</v>
      </c>
      <c r="K7845" s="29">
        <v>0.98289565623980701</v>
      </c>
    </row>
    <row r="7846" spans="1:11" x14ac:dyDescent="0.35">
      <c r="A7846" s="9" t="str">
        <f>HYPERLINK("http://www.ensembl.org/id/WBGene00016953", "WBGene00016953")</f>
        <v>WBGene00016953</v>
      </c>
      <c r="B7846" s="9" t="str">
        <f>HYPERLINK("http://www.ncbi.nlm.nih.gov/gene/177347", "177347")</f>
        <v>177347</v>
      </c>
      <c r="C7846" s="9"/>
      <c r="D7846" t="str">
        <f>"C55C3.3"</f>
        <v>C55C3.3</v>
      </c>
      <c r="F7846" t="s">
        <v>11</v>
      </c>
      <c r="G7846" t="s">
        <v>25</v>
      </c>
      <c r="H7846" s="12">
        <v>1.84618251907873</v>
      </c>
      <c r="I7846" s="20">
        <v>1.1026557654409801</v>
      </c>
      <c r="J7846" s="28">
        <v>0.270176683223462</v>
      </c>
      <c r="K7846" s="29">
        <v>0.98289565623980701</v>
      </c>
    </row>
    <row r="7847" spans="1:11" x14ac:dyDescent="0.35">
      <c r="A7847" s="9" t="str">
        <f>HYPERLINK("http://www.ensembl.org/id/WBGene00016954", "WBGene00016954")</f>
        <v>WBGene00016954</v>
      </c>
      <c r="B7847" s="9" t="str">
        <f>HYPERLINK("http://www.ncbi.nlm.nih.gov/gene/177346", "177346")</f>
        <v>177346</v>
      </c>
      <c r="C7847" s="9"/>
      <c r="D7847" t="str">
        <f>"C55C3.4"</f>
        <v>C55C3.4</v>
      </c>
      <c r="E7847" t="s">
        <v>2588</v>
      </c>
      <c r="F7847" t="s">
        <v>11</v>
      </c>
      <c r="G7847" t="s">
        <v>2589</v>
      </c>
      <c r="H7847" s="12">
        <v>2.6353662261299799</v>
      </c>
      <c r="I7847" s="20">
        <v>0.60079035935774605</v>
      </c>
      <c r="J7847" s="28">
        <v>0.54797962606180395</v>
      </c>
      <c r="K7847" s="29">
        <v>0.98289565623980701</v>
      </c>
    </row>
    <row r="7848" spans="1:11" x14ac:dyDescent="0.35">
      <c r="A7848" s="9" t="str">
        <f>HYPERLINK("http://www.ensembl.org/id/WBGene00016956", "WBGene00016956")</f>
        <v>WBGene00016956</v>
      </c>
      <c r="B7848" s="9" t="str">
        <f>HYPERLINK("http://www.ncbi.nlm.nih.gov/gene/259887", "259887")</f>
        <v>259887</v>
      </c>
      <c r="C7848" s="9"/>
      <c r="D7848" t="str">
        <f>"C55C3.6"</f>
        <v>C55C3.6</v>
      </c>
      <c r="F7848" t="s">
        <v>11</v>
      </c>
      <c r="G7848" t="s">
        <v>25</v>
      </c>
      <c r="H7848" s="12">
        <v>1.3721145454355399</v>
      </c>
      <c r="I7848" s="20">
        <v>0.27391151068186897</v>
      </c>
      <c r="J7848" s="28">
        <v>0.78415262552759601</v>
      </c>
      <c r="K7848" s="29">
        <v>0.98289565623980701</v>
      </c>
    </row>
    <row r="7849" spans="1:11" x14ac:dyDescent="0.35">
      <c r="A7849" s="9" t="str">
        <f>HYPERLINK("http://www.ensembl.org/id/WBGene00044501", "WBGene00044501")</f>
        <v>WBGene00044501</v>
      </c>
      <c r="B7849" s="9" t="str">
        <f>HYPERLINK("http://www.ncbi.nlm.nih.gov/gene/3896784", "3896784")</f>
        <v>3896784</v>
      </c>
      <c r="C7849" s="9"/>
      <c r="D7849" t="str">
        <f>"C55C3.8"</f>
        <v>C55C3.8</v>
      </c>
      <c r="F7849" t="s">
        <v>11</v>
      </c>
      <c r="G7849" t="s">
        <v>4367</v>
      </c>
      <c r="H7849" s="12">
        <v>2.5964443813758602</v>
      </c>
      <c r="I7849" s="20">
        <v>0.32033355057255902</v>
      </c>
      <c r="J7849" s="28">
        <v>0.74871549235374901</v>
      </c>
      <c r="K7849" s="29">
        <v>0.98289565623980701</v>
      </c>
    </row>
    <row r="7850" spans="1:11" x14ac:dyDescent="0.35">
      <c r="A7850" s="9" t="str">
        <f>HYPERLINK("http://www.ensembl.org/id/WBGene00016959", "WBGene00016959")</f>
        <v>WBGene00016959</v>
      </c>
      <c r="B7850" s="9"/>
      <c r="C7850" s="9"/>
      <c r="D7850" t="str">
        <f>"C55H1.1"</f>
        <v>C55H1.1</v>
      </c>
      <c r="F7850" t="s">
        <v>80</v>
      </c>
      <c r="H7850" s="12">
        <v>2.3893468495514898</v>
      </c>
      <c r="I7850" s="20">
        <v>0.25323547253672701</v>
      </c>
      <c r="J7850" s="28">
        <v>0.80008625651646104</v>
      </c>
      <c r="K7850" s="29">
        <v>0.98289565623980701</v>
      </c>
    </row>
    <row r="7851" spans="1:11" x14ac:dyDescent="0.35">
      <c r="A7851" s="9" t="str">
        <f>HYPERLINK("http://www.ensembl.org/id/WBGene00201579", "WBGene00201579")</f>
        <v>WBGene00201579</v>
      </c>
      <c r="B7851" s="9"/>
      <c r="C7851" s="9"/>
      <c r="D7851" t="str">
        <f>"C55H1.5"</f>
        <v>C55H1.5</v>
      </c>
      <c r="F7851" t="s">
        <v>481</v>
      </c>
      <c r="H7851" s="12">
        <v>-3.5819448292659501</v>
      </c>
      <c r="I7851" s="20">
        <v>-0.37337717500031398</v>
      </c>
      <c r="J7851" s="28">
        <v>0.70886774492290605</v>
      </c>
      <c r="K7851" s="29">
        <v>0.98289565623980701</v>
      </c>
    </row>
    <row r="7852" spans="1:11" x14ac:dyDescent="0.35">
      <c r="A7852" s="9" t="str">
        <f>HYPERLINK("http://www.ensembl.org/id/WBGene00008344", "WBGene00008344")</f>
        <v>WBGene00008344</v>
      </c>
      <c r="B7852" s="9" t="str">
        <f>HYPERLINK("http://www.ncbi.nlm.nih.gov/gene/183857", "183857")</f>
        <v>183857</v>
      </c>
      <c r="C7852" s="9"/>
      <c r="D7852" t="str">
        <f>"C56A3.5"</f>
        <v>C56A3.5</v>
      </c>
      <c r="F7852" t="s">
        <v>11</v>
      </c>
      <c r="H7852" s="12">
        <v>-1.2475736030929501</v>
      </c>
      <c r="I7852" s="20">
        <v>-0.97481097220510005</v>
      </c>
      <c r="J7852" s="28">
        <v>0.32965403346633798</v>
      </c>
      <c r="K7852" s="29">
        <v>0.98289565623980701</v>
      </c>
    </row>
    <row r="7853" spans="1:11" x14ac:dyDescent="0.35">
      <c r="A7853" s="9" t="str">
        <f>HYPERLINK("http://www.ensembl.org/id/WBGene00008345", "WBGene00008345")</f>
        <v>WBGene00008345</v>
      </c>
      <c r="B7853" s="9" t="str">
        <f>HYPERLINK("http://www.ncbi.nlm.nih.gov/gene/179837", "179837")</f>
        <v>179837</v>
      </c>
      <c r="C7853" s="9" t="str">
        <f>HYPERLINK("http://www.ncbi.nlm.nih.gov/gene/286097", "286097")</f>
        <v>286097</v>
      </c>
      <c r="D7853" t="str">
        <f>"C56A3.6"</f>
        <v>C56A3.6</v>
      </c>
      <c r="F7853" t="s">
        <v>11</v>
      </c>
      <c r="G7853" t="s">
        <v>6783</v>
      </c>
      <c r="H7853" s="12">
        <v>-1.08887056217992</v>
      </c>
      <c r="I7853" s="20">
        <v>-0.42458097369662601</v>
      </c>
      <c r="J7853" s="28">
        <v>0.671142165293933</v>
      </c>
      <c r="K7853" s="29">
        <v>0.98289565623980701</v>
      </c>
    </row>
    <row r="7854" spans="1:11" x14ac:dyDescent="0.35">
      <c r="A7854" s="9" t="str">
        <f>HYPERLINK("http://www.ensembl.org/id/WBGene00200308", "WBGene00200308")</f>
        <v>WBGene00200308</v>
      </c>
      <c r="B7854" s="9"/>
      <c r="C7854" s="9"/>
      <c r="D7854" t="str">
        <f>"C56C10.15"</f>
        <v>C56C10.15</v>
      </c>
      <c r="F7854" t="s">
        <v>481</v>
      </c>
      <c r="H7854" s="12">
        <v>1.9704489231026301</v>
      </c>
      <c r="I7854" s="20">
        <v>0.32359003488573401</v>
      </c>
      <c r="J7854" s="28">
        <v>0.74624843339748903</v>
      </c>
      <c r="K7854" s="29">
        <v>0.98289565623980701</v>
      </c>
    </row>
    <row r="7855" spans="1:11" x14ac:dyDescent="0.35">
      <c r="A7855" s="9" t="str">
        <f>HYPERLINK("http://www.ensembl.org/id/WBGene00016963", "WBGene00016963")</f>
        <v>WBGene00016963</v>
      </c>
      <c r="B7855" s="9" t="str">
        <f>HYPERLINK("http://www.ncbi.nlm.nih.gov/gene/174087", "174087")</f>
        <v>174087</v>
      </c>
      <c r="C7855" s="9"/>
      <c r="D7855" t="str">
        <f>"C56C10.6"</f>
        <v>C56C10.6</v>
      </c>
      <c r="F7855" t="s">
        <v>11</v>
      </c>
      <c r="G7855" t="s">
        <v>1763</v>
      </c>
      <c r="H7855" s="12">
        <v>10.505186814297099</v>
      </c>
      <c r="I7855" s="20">
        <v>1.06405376973518</v>
      </c>
      <c r="J7855" s="28">
        <v>0.28730434197069299</v>
      </c>
      <c r="K7855" s="29">
        <v>0.98289565623980701</v>
      </c>
    </row>
    <row r="7856" spans="1:11" x14ac:dyDescent="0.35">
      <c r="A7856" s="9" t="str">
        <f>HYPERLINK("http://www.ensembl.org/id/WBGene00016964", "WBGene00016964")</f>
        <v>WBGene00016964</v>
      </c>
      <c r="B7856" s="9" t="str">
        <f>HYPERLINK("http://www.ncbi.nlm.nih.gov/gene/174089", "174089")</f>
        <v>174089</v>
      </c>
      <c r="C7856" s="9" t="str">
        <f>HYPERLINK("http://www.ncbi.nlm.nih.gov/gene/80006", "80006")</f>
        <v>80006</v>
      </c>
      <c r="D7856" t="str">
        <f>"C56C10.7"</f>
        <v>C56C10.7</v>
      </c>
      <c r="E7856" t="s">
        <v>8907</v>
      </c>
      <c r="F7856" t="s">
        <v>11</v>
      </c>
      <c r="G7856" t="s">
        <v>8908</v>
      </c>
      <c r="H7856" s="12">
        <v>-1.2066658497273699</v>
      </c>
      <c r="I7856" s="20">
        <v>-0.88958710353061798</v>
      </c>
      <c r="J7856" s="28">
        <v>0.373687633551815</v>
      </c>
      <c r="K7856" s="29">
        <v>0.98289565623980701</v>
      </c>
    </row>
    <row r="7857" spans="1:11" x14ac:dyDescent="0.35">
      <c r="A7857" s="9" t="str">
        <f>HYPERLINK("http://www.ensembl.org/id/WBGene00016976", "WBGene00016976")</f>
        <v>WBGene00016976</v>
      </c>
      <c r="B7857" s="9" t="str">
        <f>HYPERLINK("http://www.ncbi.nlm.nih.gov/gene/183863", "183863")</f>
        <v>183863</v>
      </c>
      <c r="C7857" s="9"/>
      <c r="D7857" t="str">
        <f>"C56E10.3"</f>
        <v>C56E10.3</v>
      </c>
      <c r="F7857" t="s">
        <v>11</v>
      </c>
      <c r="H7857" s="12">
        <v>1.44132359006202</v>
      </c>
      <c r="I7857" s="20">
        <v>1.1990231069873001</v>
      </c>
      <c r="J7857" s="28">
        <v>0.230518960849246</v>
      </c>
      <c r="K7857" s="29">
        <v>0.98289565623980701</v>
      </c>
    </row>
    <row r="7858" spans="1:11" x14ac:dyDescent="0.35">
      <c r="A7858" s="9" t="str">
        <f>HYPERLINK("http://www.ensembl.org/id/WBGene00195432", "WBGene00195432")</f>
        <v>WBGene00195432</v>
      </c>
      <c r="B7858" s="9"/>
      <c r="C7858" s="9"/>
      <c r="D7858" t="str">
        <f>"C56E6.10"</f>
        <v>C56E6.10</v>
      </c>
      <c r="F7858" t="s">
        <v>481</v>
      </c>
      <c r="H7858" s="12">
        <v>2.4578120077400301</v>
      </c>
      <c r="I7858" s="20">
        <v>0.26093350314551</v>
      </c>
      <c r="J7858" s="28">
        <v>0.79414378780213601</v>
      </c>
      <c r="K7858" s="29">
        <v>0.98289565623980701</v>
      </c>
    </row>
    <row r="7859" spans="1:11" x14ac:dyDescent="0.35">
      <c r="A7859" s="9" t="str">
        <f>HYPERLINK("http://www.ensembl.org/id/WBGene00196562", "WBGene00196562")</f>
        <v>WBGene00196562</v>
      </c>
      <c r="B7859" s="9"/>
      <c r="C7859" s="9"/>
      <c r="D7859" t="str">
        <f>"C56E6.14"</f>
        <v>C56E6.14</v>
      </c>
      <c r="F7859" t="s">
        <v>481</v>
      </c>
      <c r="H7859" s="12">
        <v>-3.5819448292659501</v>
      </c>
      <c r="I7859" s="20">
        <v>-0.37337717500031398</v>
      </c>
      <c r="J7859" s="28">
        <v>0.70886774492290605</v>
      </c>
      <c r="K7859" s="29">
        <v>0.98289565623980701</v>
      </c>
    </row>
    <row r="7860" spans="1:11" x14ac:dyDescent="0.35">
      <c r="A7860" s="9" t="str">
        <f>HYPERLINK("http://www.ensembl.org/id/WBGene00016970", "WBGene00016970")</f>
        <v>WBGene00016970</v>
      </c>
      <c r="B7860" s="9" t="str">
        <f>HYPERLINK("http://www.ncbi.nlm.nih.gov/gene/174077", "174077")</f>
        <v>174077</v>
      </c>
      <c r="C7860" s="9"/>
      <c r="D7860" t="str">
        <f>"C56E6.2"</f>
        <v>C56E6.2</v>
      </c>
      <c r="F7860" t="s">
        <v>11</v>
      </c>
      <c r="G7860" t="s">
        <v>8660</v>
      </c>
      <c r="H7860" s="12">
        <v>-1.2506976915602599</v>
      </c>
      <c r="I7860" s="20">
        <v>-0.87630331795699601</v>
      </c>
      <c r="J7860" s="28">
        <v>0.38086516178010899</v>
      </c>
      <c r="K7860" s="29">
        <v>0.98289565623980701</v>
      </c>
    </row>
    <row r="7861" spans="1:11" x14ac:dyDescent="0.35">
      <c r="A7861" s="9" t="str">
        <f>HYPERLINK("http://www.ensembl.org/id/WBGene00016972", "WBGene00016972")</f>
        <v>WBGene00016972</v>
      </c>
      <c r="B7861" s="9" t="str">
        <f>HYPERLINK("http://www.ncbi.nlm.nih.gov/gene/183861", "183861")</f>
        <v>183861</v>
      </c>
      <c r="C7861" s="9"/>
      <c r="D7861" t="str">
        <f>"C56E6.4"</f>
        <v>C56E6.4</v>
      </c>
      <c r="F7861" t="s">
        <v>11</v>
      </c>
      <c r="G7861" t="s">
        <v>192</v>
      </c>
      <c r="H7861" s="12">
        <v>-1.1240812868288801</v>
      </c>
      <c r="I7861" s="20">
        <v>-0.37697651829050799</v>
      </c>
      <c r="J7861" s="28">
        <v>0.70619105544948402</v>
      </c>
      <c r="K7861" s="29">
        <v>0.98289565623980701</v>
      </c>
    </row>
    <row r="7862" spans="1:11" x14ac:dyDescent="0.35">
      <c r="A7862" s="9" t="str">
        <f>HYPERLINK("http://www.ensembl.org/id/WBGene00043984", "WBGene00043984")</f>
        <v>WBGene00043984</v>
      </c>
      <c r="B7862" s="9" t="str">
        <f>HYPERLINK("http://www.ncbi.nlm.nih.gov/gene/259439", "259439")</f>
        <v>259439</v>
      </c>
      <c r="C7862" s="9"/>
      <c r="D7862" t="str">
        <f>"C56E6.7"</f>
        <v>C56E6.7</v>
      </c>
      <c r="F7862" t="s">
        <v>11</v>
      </c>
      <c r="H7862" s="12">
        <v>-1.62569470158987</v>
      </c>
      <c r="I7862" s="20">
        <v>-0.584637539406477</v>
      </c>
      <c r="J7862" s="28">
        <v>0.55879146062106599</v>
      </c>
      <c r="K7862" s="29">
        <v>0.98289565623980701</v>
      </c>
    </row>
    <row r="7863" spans="1:11" x14ac:dyDescent="0.35">
      <c r="A7863" s="9" t="str">
        <f>HYPERLINK("http://www.ensembl.org/id/WBGene00016983", "WBGene00016983")</f>
        <v>WBGene00016983</v>
      </c>
      <c r="B7863" s="9" t="str">
        <f>HYPERLINK("http://www.ncbi.nlm.nih.gov/gene/175899", "175899")</f>
        <v>175899</v>
      </c>
      <c r="C7863" s="9"/>
      <c r="D7863" t="str">
        <f>"C56G2.15"</f>
        <v>C56G2.15</v>
      </c>
      <c r="F7863" t="s">
        <v>11</v>
      </c>
      <c r="G7863" t="s">
        <v>9197</v>
      </c>
      <c r="H7863" s="12">
        <v>-1.2274323373898799</v>
      </c>
      <c r="I7863" s="20">
        <v>-0.75805179507912401</v>
      </c>
      <c r="J7863" s="28">
        <v>0.44841997606857797</v>
      </c>
      <c r="K7863" s="29">
        <v>0.98289565623980701</v>
      </c>
    </row>
    <row r="7864" spans="1:11" x14ac:dyDescent="0.35">
      <c r="A7864" s="9" t="str">
        <f>HYPERLINK("http://www.ensembl.org/id/WBGene00197633", "WBGene00197633")</f>
        <v>WBGene00197633</v>
      </c>
      <c r="B7864" s="9"/>
      <c r="C7864" s="9"/>
      <c r="D7864" t="str">
        <f>"C56G2.18"</f>
        <v>C56G2.18</v>
      </c>
      <c r="F7864" t="s">
        <v>481</v>
      </c>
      <c r="H7864" s="12">
        <v>11.7711088571319</v>
      </c>
      <c r="I7864" s="20">
        <v>0.79663765182635704</v>
      </c>
      <c r="J7864" s="28">
        <v>0.42566150362591298</v>
      </c>
      <c r="K7864" s="29">
        <v>0.98289565623980701</v>
      </c>
    </row>
    <row r="7865" spans="1:11" x14ac:dyDescent="0.35">
      <c r="A7865" s="9" t="str">
        <f>HYPERLINK("http://www.ensembl.org/id/WBGene00219864", "WBGene00219864")</f>
        <v>WBGene00219864</v>
      </c>
      <c r="B7865" s="9"/>
      <c r="C7865" s="9"/>
      <c r="D7865" t="str">
        <f>"C56G2.20"</f>
        <v>C56G2.20</v>
      </c>
      <c r="F7865" t="s">
        <v>2977</v>
      </c>
      <c r="H7865" s="12">
        <v>-2.4295389261469</v>
      </c>
      <c r="I7865" s="20">
        <v>-0.25808529976640998</v>
      </c>
      <c r="J7865" s="28">
        <v>0.79634107645457397</v>
      </c>
      <c r="K7865" s="29">
        <v>0.98289565623980701</v>
      </c>
    </row>
    <row r="7866" spans="1:11" x14ac:dyDescent="0.35">
      <c r="A7866" s="9" t="str">
        <f>HYPERLINK("http://www.ensembl.org/id/WBGene00219865", "WBGene00219865")</f>
        <v>WBGene00219865</v>
      </c>
      <c r="B7866" s="9"/>
      <c r="C7866" s="9"/>
      <c r="D7866" t="str">
        <f>"C56G2.21"</f>
        <v>C56G2.21</v>
      </c>
      <c r="F7866" t="s">
        <v>481</v>
      </c>
      <c r="H7866" s="12">
        <v>3.5239874560944902</v>
      </c>
      <c r="I7866" s="20">
        <v>0.509496243098849</v>
      </c>
      <c r="J7866" s="28">
        <v>0.61040443102240705</v>
      </c>
      <c r="K7866" s="29">
        <v>0.98289565623980701</v>
      </c>
    </row>
    <row r="7867" spans="1:11" x14ac:dyDescent="0.35">
      <c r="A7867" s="9" t="str">
        <f>HYPERLINK("http://www.ensembl.org/id/WBGene00016978", "WBGene00016978")</f>
        <v>WBGene00016978</v>
      </c>
      <c r="B7867" s="9" t="str">
        <f>HYPERLINK("http://www.ncbi.nlm.nih.gov/gene/183866", "183866")</f>
        <v>183866</v>
      </c>
      <c r="C7867" s="9"/>
      <c r="D7867" t="str">
        <f>"C56G2.3"</f>
        <v>C56G2.3</v>
      </c>
      <c r="F7867" t="s">
        <v>11</v>
      </c>
      <c r="G7867" t="s">
        <v>7066</v>
      </c>
      <c r="H7867" s="12">
        <v>-1.1053035927881101</v>
      </c>
      <c r="I7867" s="20">
        <v>-0.366749392432967</v>
      </c>
      <c r="J7867" s="28">
        <v>0.71380595999554797</v>
      </c>
      <c r="K7867" s="29">
        <v>0.98289565623980701</v>
      </c>
    </row>
    <row r="7868" spans="1:11" x14ac:dyDescent="0.35">
      <c r="A7868" s="9" t="str">
        <f>HYPERLINK("http://www.ensembl.org/id/WBGene00016980", "WBGene00016980")</f>
        <v>WBGene00016980</v>
      </c>
      <c r="B7868" s="9" t="str">
        <f>HYPERLINK("http://www.ncbi.nlm.nih.gov/gene/183867", "183867")</f>
        <v>183867</v>
      </c>
      <c r="C7868" s="9"/>
      <c r="D7868" t="str">
        <f>"C56G2.5"</f>
        <v>C56G2.5</v>
      </c>
      <c r="E7868" t="s">
        <v>9867</v>
      </c>
      <c r="F7868" t="s">
        <v>11</v>
      </c>
      <c r="G7868" t="s">
        <v>9868</v>
      </c>
      <c r="H7868" s="12">
        <v>-1.33796338842358</v>
      </c>
      <c r="I7868" s="20">
        <v>-0.82879798691471396</v>
      </c>
      <c r="J7868" s="28">
        <v>0.40721872754928501</v>
      </c>
      <c r="K7868" s="29">
        <v>0.98289565623980701</v>
      </c>
    </row>
    <row r="7869" spans="1:11" x14ac:dyDescent="0.35">
      <c r="A7869" s="9" t="str">
        <f>HYPERLINK("http://www.ensembl.org/id/WBGene00016985", "WBGene00016985")</f>
        <v>WBGene00016985</v>
      </c>
      <c r="B7869" s="9" t="str">
        <f>HYPERLINK("http://www.ncbi.nlm.nih.gov/gene/183870", "183870")</f>
        <v>183870</v>
      </c>
      <c r="C7869" s="9"/>
      <c r="D7869" t="str">
        <f>"C56G3.2"</f>
        <v>C56G3.2</v>
      </c>
      <c r="F7869" t="s">
        <v>11</v>
      </c>
      <c r="G7869" t="s">
        <v>692</v>
      </c>
      <c r="H7869" s="12">
        <v>-10.1961806841897</v>
      </c>
      <c r="I7869" s="20">
        <v>-1.0351825675633901</v>
      </c>
      <c r="J7869" s="28">
        <v>0.30058365831026701</v>
      </c>
      <c r="K7869" s="29">
        <v>0.98289565623980701</v>
      </c>
    </row>
    <row r="7870" spans="1:11" x14ac:dyDescent="0.35">
      <c r="A7870" s="9" t="str">
        <f>HYPERLINK("http://www.ensembl.org/id/WBGene00014299", "WBGene00014299")</f>
        <v>WBGene00014299</v>
      </c>
      <c r="B7870" s="9"/>
      <c r="C7870" s="9"/>
      <c r="D7870" t="str">
        <f>"C56G7.t1"</f>
        <v>C56G7.t1</v>
      </c>
      <c r="F7870" t="s">
        <v>4208</v>
      </c>
      <c r="H7870" s="12">
        <v>-2.4295389261469</v>
      </c>
      <c r="I7870" s="20">
        <v>-0.25808529976640998</v>
      </c>
      <c r="J7870" s="28">
        <v>0.79634107645457397</v>
      </c>
      <c r="K7870" s="29">
        <v>0.98289565623980701</v>
      </c>
    </row>
    <row r="7871" spans="1:11" x14ac:dyDescent="0.35">
      <c r="A7871" s="9" t="str">
        <f>HYPERLINK("http://www.ensembl.org/id/WBGene00012230", "WBGene00012230")</f>
        <v>WBGene00012230</v>
      </c>
      <c r="B7871" s="9" t="str">
        <f>HYPERLINK("http://www.ncbi.nlm.nih.gov/gene/175066", "175066")</f>
        <v>175066</v>
      </c>
      <c r="C7871" s="9" t="str">
        <f>HYPERLINK("http://www.ncbi.nlm.nih.gov/gene/58509", "58509")</f>
        <v>58509</v>
      </c>
      <c r="D7871" t="str">
        <f>"cacn-1"</f>
        <v>cacn-1</v>
      </c>
      <c r="E7871" t="s">
        <v>8511</v>
      </c>
      <c r="F7871" t="s">
        <v>11</v>
      </c>
      <c r="G7871" t="s">
        <v>54</v>
      </c>
      <c r="H7871" s="12">
        <v>-1.18140881902758</v>
      </c>
      <c r="I7871" s="20">
        <v>-0.79800783746806503</v>
      </c>
      <c r="J7871" s="28">
        <v>0.42486594196745697</v>
      </c>
      <c r="K7871" s="29">
        <v>0.98289565623980701</v>
      </c>
    </row>
    <row r="7872" spans="1:11" x14ac:dyDescent="0.35">
      <c r="A7872" s="9" t="str">
        <f>HYPERLINK("http://www.ensembl.org/id/WBGene00000281", "WBGene00000281")</f>
        <v>WBGene00000281</v>
      </c>
      <c r="B7872" s="9" t="str">
        <f>HYPERLINK("http://www.ncbi.nlm.nih.gov/gene/181713", "181713")</f>
        <v>181713</v>
      </c>
      <c r="C7872" s="9" t="str">
        <f>HYPERLINK("http://www.ncbi.nlm.nih.gov/gene/766", "766")</f>
        <v>766</v>
      </c>
      <c r="D7872" t="str">
        <f>"cah-3"</f>
        <v>cah-3</v>
      </c>
      <c r="E7872" t="s">
        <v>5013</v>
      </c>
      <c r="F7872" t="s">
        <v>11</v>
      </c>
      <c r="G7872" t="s">
        <v>1733</v>
      </c>
      <c r="H7872" s="12">
        <v>1.26244863343198</v>
      </c>
      <c r="I7872" s="20">
        <v>1.1291283694237</v>
      </c>
      <c r="J7872" s="28">
        <v>0.25884368530546797</v>
      </c>
      <c r="K7872" s="29">
        <v>0.98289565623980701</v>
      </c>
    </row>
    <row r="7873" spans="1:11" x14ac:dyDescent="0.35">
      <c r="A7873" s="9" t="str">
        <f>HYPERLINK("http://www.ensembl.org/id/WBGene00022214", "WBGene00022214")</f>
        <v>WBGene00022214</v>
      </c>
      <c r="B7873" s="9"/>
      <c r="C7873" s="9"/>
      <c r="D7873" t="str">
        <f>"cal-6"</f>
        <v>cal-6</v>
      </c>
      <c r="F7873" t="s">
        <v>80</v>
      </c>
      <c r="H7873" s="12">
        <v>-1.9960486343517501</v>
      </c>
      <c r="I7873" s="20">
        <v>-0.56143508545072196</v>
      </c>
      <c r="J7873" s="28">
        <v>0.57450097155915603</v>
      </c>
      <c r="K7873" s="29">
        <v>0.98289565623980701</v>
      </c>
    </row>
    <row r="7874" spans="1:11" x14ac:dyDescent="0.35">
      <c r="A7874" s="9" t="str">
        <f>HYPERLINK("http://www.ensembl.org/id/WBGene00009585", "WBGene00009585")</f>
        <v>WBGene00009585</v>
      </c>
      <c r="B7874" s="9" t="str">
        <f>HYPERLINK("http://www.ncbi.nlm.nih.gov/gene/185545", "185545")</f>
        <v>185545</v>
      </c>
      <c r="C7874" s="9"/>
      <c r="D7874" t="str">
        <f>"cal-7"</f>
        <v>cal-7</v>
      </c>
      <c r="E7874" t="s">
        <v>312</v>
      </c>
      <c r="F7874" t="s">
        <v>11</v>
      </c>
      <c r="G7874" t="s">
        <v>325</v>
      </c>
      <c r="H7874" s="12">
        <v>1.78964520463032</v>
      </c>
      <c r="I7874" s="20">
        <v>0.42342279413696998</v>
      </c>
      <c r="J7874" s="28">
        <v>0.67198681712566399</v>
      </c>
      <c r="K7874" s="29">
        <v>0.98289565623980701</v>
      </c>
    </row>
    <row r="7875" spans="1:11" x14ac:dyDescent="0.35">
      <c r="A7875" s="9" t="str">
        <f>HYPERLINK("http://www.ensembl.org/id/WBGene00009260", "WBGene00009260")</f>
        <v>WBGene00009260</v>
      </c>
      <c r="B7875" s="9" t="str">
        <f>HYPERLINK("http://www.ncbi.nlm.nih.gov/gene/172774", "172774")</f>
        <v>172774</v>
      </c>
      <c r="C7875" s="9" t="str">
        <f>HYPERLINK("http://www.ncbi.nlm.nih.gov/gene/10518", "10518")</f>
        <v>10518</v>
      </c>
      <c r="D7875" t="str">
        <f>"calm-1"</f>
        <v>calm-1</v>
      </c>
      <c r="E7875" t="s">
        <v>5716</v>
      </c>
      <c r="F7875" t="s">
        <v>11</v>
      </c>
      <c r="G7875" t="s">
        <v>5717</v>
      </c>
      <c r="H7875" s="12">
        <v>1.11696037239238</v>
      </c>
      <c r="I7875" s="20">
        <v>0.42735939499396097</v>
      </c>
      <c r="J7875" s="28">
        <v>0.66911757780055303</v>
      </c>
      <c r="K7875" s="29">
        <v>0.98289565623980701</v>
      </c>
    </row>
    <row r="7876" spans="1:11" x14ac:dyDescent="0.35">
      <c r="A7876" s="9" t="str">
        <f>HYPERLINK("http://www.ensembl.org/id/WBGene00019760", "WBGene00019760")</f>
        <v>WBGene00019760</v>
      </c>
      <c r="B7876" s="9" t="str">
        <f>HYPERLINK("http://www.ncbi.nlm.nih.gov/gene/180769", "180769")</f>
        <v>180769</v>
      </c>
      <c r="C7876" s="9" t="str">
        <f>HYPERLINK("http://www.ncbi.nlm.nih.gov/gene/813", "813")</f>
        <v>813</v>
      </c>
      <c r="D7876" t="str">
        <f>"calu-1"</f>
        <v>calu-1</v>
      </c>
      <c r="E7876" t="s">
        <v>5547</v>
      </c>
      <c r="F7876" t="s">
        <v>11</v>
      </c>
      <c r="G7876" t="s">
        <v>5632</v>
      </c>
      <c r="H7876" s="12">
        <v>1.13211029627037</v>
      </c>
      <c r="I7876" s="20">
        <v>0.68472404065780401</v>
      </c>
      <c r="J7876" s="28">
        <v>0.493518075709523</v>
      </c>
      <c r="K7876" s="29">
        <v>0.98289565623980701</v>
      </c>
    </row>
    <row r="7877" spans="1:11" x14ac:dyDescent="0.35">
      <c r="A7877" s="9" t="str">
        <f>HYPERLINK("http://www.ensembl.org/id/WBGene00017240", "WBGene00017240")</f>
        <v>WBGene00017240</v>
      </c>
      <c r="B7877" s="9" t="str">
        <f>HYPERLINK("http://www.ncbi.nlm.nih.gov/gene/184174", "184174")</f>
        <v>184174</v>
      </c>
      <c r="C7877" s="9"/>
      <c r="D7877" t="str">
        <f>"calu-2"</f>
        <v>calu-2</v>
      </c>
      <c r="E7877" t="s">
        <v>5547</v>
      </c>
      <c r="F7877" t="s">
        <v>11</v>
      </c>
      <c r="G7877" t="s">
        <v>5548</v>
      </c>
      <c r="H7877" s="12">
        <v>1.14784389865515</v>
      </c>
      <c r="I7877" s="20">
        <v>0.67614985574614095</v>
      </c>
      <c r="J7877" s="28">
        <v>0.49894550566208601</v>
      </c>
      <c r="K7877" s="29">
        <v>0.98289565623980701</v>
      </c>
    </row>
    <row r="7878" spans="1:11" x14ac:dyDescent="0.35">
      <c r="A7878" s="9" t="str">
        <f>HYPERLINK("http://www.ensembl.org/id/WBGene00000289", "WBGene00000289")</f>
        <v>WBGene00000289</v>
      </c>
      <c r="B7878" s="9" t="str">
        <f>HYPERLINK("http://www.ncbi.nlm.nih.gov/gene/174473", "174473")</f>
        <v>174473</v>
      </c>
      <c r="C7878" s="9" t="str">
        <f>HYPERLINK("http://www.ncbi.nlm.nih.gov/gene/4920", "4920")</f>
        <v>4920</v>
      </c>
      <c r="D7878" t="str">
        <f>"cam-1"</f>
        <v>cam-1</v>
      </c>
      <c r="E7878" t="s">
        <v>6341</v>
      </c>
      <c r="F7878" t="s">
        <v>11</v>
      </c>
      <c r="G7878" t="s">
        <v>6342</v>
      </c>
      <c r="H7878" s="12">
        <v>-1.06382218377048</v>
      </c>
      <c r="I7878" s="20">
        <v>-0.279857688333147</v>
      </c>
      <c r="J7878" s="28">
        <v>0.77958669036509698</v>
      </c>
      <c r="K7878" s="29">
        <v>0.98289565623980701</v>
      </c>
    </row>
    <row r="7879" spans="1:11" x14ac:dyDescent="0.35">
      <c r="A7879" s="9" t="str">
        <f>HYPERLINK("http://www.ensembl.org/id/WBGene00020251", "WBGene00020251")</f>
        <v>WBGene00020251</v>
      </c>
      <c r="B7879" s="9" t="str">
        <f>HYPERLINK("http://www.ncbi.nlm.nih.gov/gene/173786", "173786")</f>
        <v>173786</v>
      </c>
      <c r="C7879" s="9"/>
      <c r="D7879" t="str">
        <f>"camt-1"</f>
        <v>camt-1</v>
      </c>
      <c r="E7879" t="s">
        <v>7023</v>
      </c>
      <c r="F7879" t="s">
        <v>11</v>
      </c>
      <c r="G7879" t="s">
        <v>7024</v>
      </c>
      <c r="H7879" s="12">
        <v>-1.10273469297017</v>
      </c>
      <c r="I7879" s="20">
        <v>-0.52190355355331297</v>
      </c>
      <c r="J7879" s="28">
        <v>0.60173748399553695</v>
      </c>
      <c r="K7879" s="29">
        <v>0.98289565623980701</v>
      </c>
    </row>
    <row r="7880" spans="1:11" x14ac:dyDescent="0.35">
      <c r="A7880" s="9" t="str">
        <f>HYPERLINK("http://www.ensembl.org/id/WBGene00013606", "WBGene00013606")</f>
        <v>WBGene00013606</v>
      </c>
      <c r="B7880" s="9" t="str">
        <f>HYPERLINK("http://www.ncbi.nlm.nih.gov/gene/180125", "180125")</f>
        <v>180125</v>
      </c>
      <c r="C7880" s="9" t="str">
        <f>HYPERLINK("http://www.ncbi.nlm.nih.gov/gene/55832", "55832")</f>
        <v>55832</v>
      </c>
      <c r="D7880" t="str">
        <f>"cand-1"</f>
        <v>cand-1</v>
      </c>
      <c r="E7880" t="s">
        <v>8296</v>
      </c>
      <c r="F7880" t="s">
        <v>11</v>
      </c>
      <c r="G7880" t="s">
        <v>8297</v>
      </c>
      <c r="H7880" s="12">
        <v>-1.1697547249064799</v>
      </c>
      <c r="I7880" s="20">
        <v>-0.83217020628776195</v>
      </c>
      <c r="J7880" s="28">
        <v>0.40531287835934898</v>
      </c>
      <c r="K7880" s="29">
        <v>0.98289565623980701</v>
      </c>
    </row>
    <row r="7881" spans="1:11" x14ac:dyDescent="0.35">
      <c r="A7881" s="9" t="str">
        <f>HYPERLINK("http://www.ensembl.org/id/WBGene00000293", "WBGene00000293")</f>
        <v>WBGene00000293</v>
      </c>
      <c r="B7881" s="9" t="str">
        <f>HYPERLINK("http://www.ncbi.nlm.nih.gov/gene/174673", "174673")</f>
        <v>174673</v>
      </c>
      <c r="C7881" s="9" t="str">
        <f>HYPERLINK("http://www.ncbi.nlm.nih.gov/gene/832", "832")</f>
        <v>832</v>
      </c>
      <c r="D7881" t="str">
        <f>"cap-2"</f>
        <v>cap-2</v>
      </c>
      <c r="E7881" t="s">
        <v>6330</v>
      </c>
      <c r="F7881" t="s">
        <v>11</v>
      </c>
      <c r="G7881" t="s">
        <v>6331</v>
      </c>
      <c r="H7881" s="12">
        <v>-1.0632603489983501</v>
      </c>
      <c r="I7881" s="20">
        <v>-0.34043507720718602</v>
      </c>
      <c r="J7881" s="28">
        <v>0.73352890669722304</v>
      </c>
      <c r="K7881" s="29">
        <v>0.98289565623980701</v>
      </c>
    </row>
    <row r="7882" spans="1:11" x14ac:dyDescent="0.35">
      <c r="A7882" s="9" t="str">
        <f>HYPERLINK("http://www.ensembl.org/id/WBGene00010093", "WBGene00010093")</f>
        <v>WBGene00010093</v>
      </c>
      <c r="B7882" s="9" t="str">
        <f>HYPERLINK("http://www.ncbi.nlm.nih.gov/gene/179684", "179684")</f>
        <v>179684</v>
      </c>
      <c r="C7882" s="9"/>
      <c r="D7882" t="str">
        <f>"capg-2"</f>
        <v>capg-2</v>
      </c>
      <c r="E7882" t="s">
        <v>9451</v>
      </c>
      <c r="F7882" t="s">
        <v>11</v>
      </c>
      <c r="G7882" t="s">
        <v>9452</v>
      </c>
      <c r="H7882" s="12">
        <v>-1.24744529266486</v>
      </c>
      <c r="I7882" s="20">
        <v>-0.91654832511460105</v>
      </c>
      <c r="J7882" s="28">
        <v>0.35937937334241699</v>
      </c>
      <c r="K7882" s="29">
        <v>0.98289565623980701</v>
      </c>
    </row>
    <row r="7883" spans="1:11" x14ac:dyDescent="0.35">
      <c r="A7883" s="9" t="str">
        <f>HYPERLINK("http://www.ensembl.org/id/WBGene00000800", "WBGene00000800")</f>
        <v>WBGene00000800</v>
      </c>
      <c r="B7883" s="9" t="str">
        <f>HYPERLINK("http://www.ncbi.nlm.nih.gov/gene/171821", "171821")</f>
        <v>171821</v>
      </c>
      <c r="C7883" s="9" t="str">
        <f>HYPERLINK("http://www.ncbi.nlm.nih.gov/gene/833", "833")</f>
        <v>833</v>
      </c>
      <c r="D7883" t="str">
        <f>"cars-1"</f>
        <v>cars-1</v>
      </c>
      <c r="E7883" t="s">
        <v>8282</v>
      </c>
      <c r="F7883" t="s">
        <v>11</v>
      </c>
      <c r="G7883" t="s">
        <v>8283</v>
      </c>
      <c r="H7883" s="12">
        <v>-1.1688372124292701</v>
      </c>
      <c r="I7883" s="20">
        <v>-0.84850803855506596</v>
      </c>
      <c r="J7883" s="28">
        <v>0.39615509758767198</v>
      </c>
      <c r="K7883" s="29">
        <v>0.98289565623980701</v>
      </c>
    </row>
    <row r="7884" spans="1:11" x14ac:dyDescent="0.35">
      <c r="A7884" s="9" t="str">
        <f>HYPERLINK("http://www.ensembl.org/id/WBGene00000294", "WBGene00000294")</f>
        <v>WBGene00000294</v>
      </c>
      <c r="B7884" s="9" t="str">
        <f>HYPERLINK("http://www.ncbi.nlm.nih.gov/gene/181729", "181729")</f>
        <v>181729</v>
      </c>
      <c r="C7884" s="9" t="str">
        <f>HYPERLINK("http://www.ncbi.nlm.nih.gov/gene/10487", "10487")</f>
        <v>10487</v>
      </c>
      <c r="D7884" t="str">
        <f>"cas-1"</f>
        <v>cas-1</v>
      </c>
      <c r="E7884" t="s">
        <v>1145</v>
      </c>
      <c r="F7884" t="s">
        <v>11</v>
      </c>
      <c r="G7884" t="s">
        <v>8874</v>
      </c>
      <c r="H7884" s="12">
        <v>-1.2038971035952999</v>
      </c>
      <c r="I7884" s="20">
        <v>-1.02619787586824</v>
      </c>
      <c r="J7884" s="28">
        <v>0.304798322410536</v>
      </c>
      <c r="K7884" s="29">
        <v>0.98289565623980701</v>
      </c>
    </row>
    <row r="7885" spans="1:11" x14ac:dyDescent="0.35">
      <c r="A7885" s="9" t="str">
        <f>HYPERLINK("http://www.ensembl.org/id/WBGene00007248", "WBGene00007248")</f>
        <v>WBGene00007248</v>
      </c>
      <c r="B7885" s="9" t="str">
        <f>HYPERLINK("http://www.ncbi.nlm.nih.gov/gene/175120", "175120")</f>
        <v>175120</v>
      </c>
      <c r="C7885" s="9"/>
      <c r="D7885" t="str">
        <f>"catp-4"</f>
        <v>catp-4</v>
      </c>
      <c r="E7885" t="s">
        <v>6871</v>
      </c>
      <c r="F7885" t="s">
        <v>11</v>
      </c>
      <c r="G7885" t="s">
        <v>8338</v>
      </c>
      <c r="H7885" s="12">
        <v>-1.1723555142520801</v>
      </c>
      <c r="I7885" s="20">
        <v>-0.291897728081152</v>
      </c>
      <c r="J7885" s="28">
        <v>0.77036482061302902</v>
      </c>
      <c r="K7885" s="29">
        <v>0.98289565623980701</v>
      </c>
    </row>
    <row r="7886" spans="1:11" x14ac:dyDescent="0.35">
      <c r="A7886" s="9" t="str">
        <f>HYPERLINK("http://www.ensembl.org/id/WBGene00019493", "WBGene00019493")</f>
        <v>WBGene00019493</v>
      </c>
      <c r="B7886" s="9" t="str">
        <f>HYPERLINK("http://www.ncbi.nlm.nih.gov/gene/181067", "181067")</f>
        <v>181067</v>
      </c>
      <c r="C7886" s="9" t="str">
        <f>HYPERLINK("http://www.ncbi.nlm.nih.gov/gene/79572", "79572")</f>
        <v>79572</v>
      </c>
      <c r="D7886" t="str">
        <f>"catp-5"</f>
        <v>catp-5</v>
      </c>
      <c r="E7886" t="s">
        <v>5630</v>
      </c>
      <c r="F7886" t="s">
        <v>11</v>
      </c>
      <c r="G7886" t="s">
        <v>5631</v>
      </c>
      <c r="H7886" s="12">
        <v>1.13255156704858</v>
      </c>
      <c r="I7886" s="20">
        <v>0.60532203926828898</v>
      </c>
      <c r="J7886" s="28">
        <v>0.54496504030984905</v>
      </c>
      <c r="K7886" s="29">
        <v>0.98289565623980701</v>
      </c>
    </row>
    <row r="7887" spans="1:11" x14ac:dyDescent="0.35">
      <c r="A7887" s="9" t="str">
        <f>HYPERLINK("http://www.ensembl.org/id/WBGene00022010", "WBGene00022010")</f>
        <v>WBGene00022010</v>
      </c>
      <c r="B7887" s="9" t="str">
        <f>HYPERLINK("http://www.ncbi.nlm.nih.gov/gene/177664", "177664")</f>
        <v>177664</v>
      </c>
      <c r="C7887" s="9" t="str">
        <f>HYPERLINK("http://www.ncbi.nlm.nih.gov/gene/79572", "79572")</f>
        <v>79572</v>
      </c>
      <c r="D7887" t="str">
        <f>"catp-7"</f>
        <v>catp-7</v>
      </c>
      <c r="E7887" t="s">
        <v>5718</v>
      </c>
      <c r="F7887" t="s">
        <v>11</v>
      </c>
      <c r="G7887" t="s">
        <v>5719</v>
      </c>
      <c r="H7887" s="12">
        <v>1.11678353933093</v>
      </c>
      <c r="I7887" s="20">
        <v>0.59705633075049303</v>
      </c>
      <c r="J7887" s="28">
        <v>0.55046977218942605</v>
      </c>
      <c r="K7887" s="29">
        <v>0.98289565623980701</v>
      </c>
    </row>
    <row r="7888" spans="1:11" x14ac:dyDescent="0.35">
      <c r="A7888" s="9" t="str">
        <f>HYPERLINK("http://www.ensembl.org/id/WBGene00007514", "WBGene00007514")</f>
        <v>WBGene00007514</v>
      </c>
      <c r="B7888" s="9" t="str">
        <f>HYPERLINK("http://www.ncbi.nlm.nih.gov/gene/178070", "178070")</f>
        <v>178070</v>
      </c>
      <c r="C7888" s="9" t="str">
        <f>HYPERLINK("http://www.ncbi.nlm.nih.gov/gene/57130", "57130")</f>
        <v>57130</v>
      </c>
      <c r="D7888" t="str">
        <f>"catp-8"</f>
        <v>catp-8</v>
      </c>
      <c r="E7888" t="s">
        <v>7397</v>
      </c>
      <c r="F7888" t="s">
        <v>11</v>
      </c>
      <c r="G7888" t="s">
        <v>7398</v>
      </c>
      <c r="H7888" s="12">
        <v>-1.12365351106569</v>
      </c>
      <c r="I7888" s="20">
        <v>-0.63275449188770105</v>
      </c>
      <c r="J7888" s="28">
        <v>0.52689397902037105</v>
      </c>
      <c r="K7888" s="29">
        <v>0.98289565623980701</v>
      </c>
    </row>
    <row r="7889" spans="1:11" x14ac:dyDescent="0.35">
      <c r="A7889" s="9" t="str">
        <f>HYPERLINK("http://www.ensembl.org/id/WBGene00000366", "WBGene00000366")</f>
        <v>WBGene00000366</v>
      </c>
      <c r="B7889" s="9" t="str">
        <f>HYPERLINK("http://www.ncbi.nlm.nih.gov/gene/176380", "176380")</f>
        <v>176380</v>
      </c>
      <c r="C7889" s="9"/>
      <c r="D7889" t="str">
        <f>"cbp-1"</f>
        <v>cbp-1</v>
      </c>
      <c r="F7889" t="s">
        <v>11</v>
      </c>
      <c r="G7889" t="s">
        <v>6624</v>
      </c>
      <c r="H7889" s="12">
        <v>-1.0805835705118101</v>
      </c>
      <c r="I7889" s="20">
        <v>-0.43229293653411199</v>
      </c>
      <c r="J7889" s="28">
        <v>0.66552852024220299</v>
      </c>
      <c r="K7889" s="29">
        <v>0.98289565623980701</v>
      </c>
    </row>
    <row r="7890" spans="1:11" x14ac:dyDescent="0.35">
      <c r="A7890" s="9" t="str">
        <f>HYPERLINK("http://www.ensembl.org/id/WBGene00009595", "WBGene00009595")</f>
        <v>WBGene00009595</v>
      </c>
      <c r="B7890" s="9" t="str">
        <f>HYPERLINK("http://www.ncbi.nlm.nih.gov/gene/176402", "176402")</f>
        <v>176402</v>
      </c>
      <c r="C7890" s="9"/>
      <c r="D7890" t="str">
        <f>"cbp-3"</f>
        <v>cbp-3</v>
      </c>
      <c r="E7890" t="s">
        <v>1398</v>
      </c>
      <c r="F7890" t="s">
        <v>11</v>
      </c>
      <c r="G7890" t="s">
        <v>51</v>
      </c>
      <c r="H7890" s="12">
        <v>-1.13052384116538</v>
      </c>
      <c r="I7890" s="20">
        <v>-0.59264783102478202</v>
      </c>
      <c r="J7890" s="28">
        <v>0.55341686164583104</v>
      </c>
      <c r="K7890" s="29">
        <v>0.98289565623980701</v>
      </c>
    </row>
    <row r="7891" spans="1:11" x14ac:dyDescent="0.35">
      <c r="A7891" s="9" t="str">
        <f>HYPERLINK("http://www.ensembl.org/id/WBGene00013866", "WBGene00013866")</f>
        <v>WBGene00013866</v>
      </c>
      <c r="B7891" s="9" t="str">
        <f>HYPERLINK("http://www.ncbi.nlm.nih.gov/gene/181215", "181215")</f>
        <v>181215</v>
      </c>
      <c r="C7891" s="9"/>
      <c r="D7891" t="str">
        <f>"cbs-1"</f>
        <v>cbs-1</v>
      </c>
      <c r="E7891" t="s">
        <v>5411</v>
      </c>
      <c r="F7891" t="s">
        <v>11</v>
      </c>
      <c r="G7891" t="s">
        <v>5412</v>
      </c>
      <c r="H7891" s="12">
        <v>1.16929871435501</v>
      </c>
      <c r="I7891" s="20">
        <v>0.80180539493409797</v>
      </c>
      <c r="J7891" s="28">
        <v>0.42266553743556901</v>
      </c>
      <c r="K7891" s="29">
        <v>0.98289565623980701</v>
      </c>
    </row>
    <row r="7892" spans="1:11" x14ac:dyDescent="0.35">
      <c r="A7892" s="9" t="str">
        <f>HYPERLINK("http://www.ensembl.org/id/WBGene00195049", "WBGene00195049")</f>
        <v>WBGene00195049</v>
      </c>
      <c r="B7892" s="9" t="str">
        <f>HYPERLINK("http://www.ncbi.nlm.nih.gov/gene/13192689", "13192689")</f>
        <v>13192689</v>
      </c>
      <c r="C7892" s="9"/>
      <c r="D7892" t="str">
        <f>"CC8.3"</f>
        <v>CC8.3</v>
      </c>
      <c r="F7892" t="s">
        <v>11</v>
      </c>
      <c r="H7892" s="12">
        <v>-2.4991590031922399</v>
      </c>
      <c r="I7892" s="20">
        <v>-0.26577412737581302</v>
      </c>
      <c r="J7892" s="28">
        <v>0.79041317015736101</v>
      </c>
      <c r="K7892" s="29">
        <v>0.98289565623980701</v>
      </c>
    </row>
    <row r="7893" spans="1:11" x14ac:dyDescent="0.35">
      <c r="A7893" s="9" t="str">
        <f>HYPERLINK("http://www.ensembl.org/id/WBGene00000367", "WBGene00000367")</f>
        <v>WBGene00000367</v>
      </c>
      <c r="B7893" s="9" t="str">
        <f>HYPERLINK("http://www.ncbi.nlm.nih.gov/gene/181045", "181045")</f>
        <v>181045</v>
      </c>
      <c r="C7893" s="9"/>
      <c r="D7893" t="str">
        <f>"cca-1"</f>
        <v>cca-1</v>
      </c>
      <c r="E7893" t="s">
        <v>5522</v>
      </c>
      <c r="F7893" t="s">
        <v>11</v>
      </c>
      <c r="G7893" t="s">
        <v>5523</v>
      </c>
      <c r="H7893" s="12">
        <v>1.1510854098782899</v>
      </c>
      <c r="I7893" s="20">
        <v>0.67601786114951701</v>
      </c>
      <c r="J7893" s="28">
        <v>0.499029304986219</v>
      </c>
      <c r="K7893" s="29">
        <v>0.98289565623980701</v>
      </c>
    </row>
    <row r="7894" spans="1:11" x14ac:dyDescent="0.35">
      <c r="A7894" s="9" t="str">
        <f>HYPERLINK("http://www.ensembl.org/id/WBGene00000368", "WBGene00000368")</f>
        <v>WBGene00000368</v>
      </c>
      <c r="B7894" s="9" t="str">
        <f>HYPERLINK("http://www.ncbi.nlm.nih.gov/gene/171933", "171933")</f>
        <v>171933</v>
      </c>
      <c r="C7894" s="9" t="str">
        <f>HYPERLINK("http://www.ncbi.nlm.nih.gov/gene/785", "785")</f>
        <v>785</v>
      </c>
      <c r="D7894" t="str">
        <f>"ccb-1"</f>
        <v>ccb-1</v>
      </c>
      <c r="E7894" t="s">
        <v>5650</v>
      </c>
      <c r="F7894" t="s">
        <v>11</v>
      </c>
      <c r="G7894" t="s">
        <v>5651</v>
      </c>
      <c r="H7894" s="12">
        <v>1.1289441503411799</v>
      </c>
      <c r="I7894" s="20">
        <v>0.61157861765783905</v>
      </c>
      <c r="J7894" s="28">
        <v>0.54081658864595195</v>
      </c>
      <c r="K7894" s="29">
        <v>0.98289565623980701</v>
      </c>
    </row>
    <row r="7895" spans="1:11" x14ac:dyDescent="0.35">
      <c r="A7895" s="9" t="str">
        <f>HYPERLINK("http://www.ensembl.org/id/WBGene00021125", "WBGene00021125")</f>
        <v>WBGene00021125</v>
      </c>
      <c r="B7895" s="9" t="str">
        <f>HYPERLINK("http://www.ncbi.nlm.nih.gov/gene/189330", "189330")</f>
        <v>189330</v>
      </c>
      <c r="C7895" s="9"/>
      <c r="D7895" t="str">
        <f>"ccb-2"</f>
        <v>ccb-2</v>
      </c>
      <c r="E7895" t="s">
        <v>5650</v>
      </c>
      <c r="F7895" t="s">
        <v>11</v>
      </c>
      <c r="G7895" t="s">
        <v>10004</v>
      </c>
      <c r="H7895" s="12">
        <v>-1.6728828483375</v>
      </c>
      <c r="I7895" s="20">
        <v>-0.68271618047404004</v>
      </c>
      <c r="J7895" s="28">
        <v>0.494786203374254</v>
      </c>
      <c r="K7895" s="29">
        <v>0.98289565623980701</v>
      </c>
    </row>
    <row r="7896" spans="1:11" x14ac:dyDescent="0.35">
      <c r="A7896" s="9" t="str">
        <f>HYPERLINK("http://www.ensembl.org/id/WBGene00009532", "WBGene00009532")</f>
        <v>WBGene00009532</v>
      </c>
      <c r="B7896" s="9" t="str">
        <f>HYPERLINK("http://www.ncbi.nlm.nih.gov/gene/179584", "179584")</f>
        <v>179584</v>
      </c>
      <c r="C7896" s="9"/>
      <c r="D7896" t="str">
        <f>"ccch-1"</f>
        <v>ccch-1</v>
      </c>
      <c r="E7896" t="s">
        <v>2000</v>
      </c>
      <c r="F7896" t="s">
        <v>11</v>
      </c>
      <c r="G7896" t="s">
        <v>5726</v>
      </c>
      <c r="H7896" s="12">
        <v>1.11521895998305</v>
      </c>
      <c r="I7896" s="20">
        <v>0.57891322190928296</v>
      </c>
      <c r="J7896" s="28">
        <v>0.562647728230942</v>
      </c>
      <c r="K7896" s="29">
        <v>0.98289565623980701</v>
      </c>
    </row>
    <row r="7897" spans="1:11" x14ac:dyDescent="0.35">
      <c r="A7897" s="9" t="str">
        <f>HYPERLINK("http://www.ensembl.org/id/WBGene00009537", "WBGene00009537")</f>
        <v>WBGene00009537</v>
      </c>
      <c r="B7897" s="9" t="str">
        <f>HYPERLINK("http://www.ncbi.nlm.nih.gov/gene/178454", "178454")</f>
        <v>178454</v>
      </c>
      <c r="C7897" s="9"/>
      <c r="D7897" t="str">
        <f>"ccch-2"</f>
        <v>ccch-2</v>
      </c>
      <c r="E7897" t="s">
        <v>2000</v>
      </c>
      <c r="F7897" t="s">
        <v>11</v>
      </c>
      <c r="G7897" t="s">
        <v>4675</v>
      </c>
      <c r="H7897" s="12">
        <v>-1.4873845735160001</v>
      </c>
      <c r="I7897" s="20">
        <v>-0.69976598327870798</v>
      </c>
      <c r="J7897" s="28">
        <v>0.484073461699014</v>
      </c>
      <c r="K7897" s="29">
        <v>0.98289565623980701</v>
      </c>
    </row>
    <row r="7898" spans="1:11" x14ac:dyDescent="0.35">
      <c r="A7898" s="9" t="str">
        <f>HYPERLINK("http://www.ensembl.org/id/WBGene00013319", "WBGene00013319")</f>
        <v>WBGene00013319</v>
      </c>
      <c r="B7898" s="9" t="str">
        <f>HYPERLINK("http://www.ncbi.nlm.nih.gov/gene/178412", "178412")</f>
        <v>178412</v>
      </c>
      <c r="C7898" s="9"/>
      <c r="D7898" t="str">
        <f>"ccch-5"</f>
        <v>ccch-5</v>
      </c>
      <c r="E7898" t="s">
        <v>2000</v>
      </c>
      <c r="F7898" t="s">
        <v>11</v>
      </c>
      <c r="G7898" t="s">
        <v>4675</v>
      </c>
      <c r="H7898" s="12">
        <v>-1.22643945243323</v>
      </c>
      <c r="I7898" s="20">
        <v>-0.50824156678001198</v>
      </c>
      <c r="J7898" s="28">
        <v>0.61128394347479598</v>
      </c>
      <c r="K7898" s="29">
        <v>0.98289565623980701</v>
      </c>
    </row>
    <row r="7899" spans="1:11" x14ac:dyDescent="0.35">
      <c r="A7899" s="9" t="str">
        <f>HYPERLINK("http://www.ensembl.org/id/WBGene00013042", "WBGene00013042")</f>
        <v>WBGene00013042</v>
      </c>
      <c r="B7899" s="9" t="str">
        <f>HYPERLINK("http://www.ncbi.nlm.nih.gov/gene/176674", "176674")</f>
        <v>176674</v>
      </c>
      <c r="C7899" s="9" t="str">
        <f>HYPERLINK("http://www.ncbi.nlm.nih.gov/gene/55088", "55088")</f>
        <v>55088</v>
      </c>
      <c r="D7899" t="str">
        <f>"cccp-1"</f>
        <v>cccp-1</v>
      </c>
      <c r="E7899" t="s">
        <v>5303</v>
      </c>
      <c r="F7899" t="s">
        <v>11</v>
      </c>
      <c r="G7899" t="s">
        <v>5304</v>
      </c>
      <c r="H7899" s="12">
        <v>1.19189111665134</v>
      </c>
      <c r="I7899" s="20">
        <v>0.84229589303576202</v>
      </c>
      <c r="J7899" s="28">
        <v>0.39962234933760099</v>
      </c>
      <c r="K7899" s="29">
        <v>0.98289565623980701</v>
      </c>
    </row>
    <row r="7900" spans="1:11" x14ac:dyDescent="0.35">
      <c r="A7900" s="9" t="str">
        <f>HYPERLINK("http://www.ensembl.org/id/WBGene00009258", "WBGene00009258")</f>
        <v>WBGene00009258</v>
      </c>
      <c r="B7900" s="9" t="str">
        <f>HYPERLINK("http://www.ncbi.nlm.nih.gov/gene/185121", "185121")</f>
        <v>185121</v>
      </c>
      <c r="C7900" s="9"/>
      <c r="D7900" t="str">
        <f>"ccdc-149"</f>
        <v>ccdc-149</v>
      </c>
      <c r="E7900" t="s">
        <v>5309</v>
      </c>
      <c r="F7900" t="s">
        <v>11</v>
      </c>
      <c r="H7900" s="12">
        <v>1.1911126706250299</v>
      </c>
      <c r="I7900" s="20">
        <v>0.56893071132467499</v>
      </c>
      <c r="J7900" s="28">
        <v>0.569403162590565</v>
      </c>
      <c r="K7900" s="29">
        <v>0.98289565623980701</v>
      </c>
    </row>
    <row r="7901" spans="1:11" x14ac:dyDescent="0.35">
      <c r="A7901" s="9" t="str">
        <f>HYPERLINK("http://www.ensembl.org/id/WBGene00014204", "WBGene00014204")</f>
        <v>WBGene00014204</v>
      </c>
      <c r="B7901" s="9" t="str">
        <f>HYPERLINK("http://www.ncbi.nlm.nih.gov/gene/175505", "175505")</f>
        <v>175505</v>
      </c>
      <c r="C7901" s="9" t="str">
        <f>HYPERLINK("http://www.ncbi.nlm.nih.gov/gene/57003", "57003")</f>
        <v>57003</v>
      </c>
      <c r="D7901" t="str">
        <f>"ccdc-47"</f>
        <v>ccdc-47</v>
      </c>
      <c r="E7901" t="s">
        <v>8103</v>
      </c>
      <c r="F7901" t="s">
        <v>11</v>
      </c>
      <c r="G7901" t="s">
        <v>8104</v>
      </c>
      <c r="H7901" s="12">
        <v>-1.1607686208953201</v>
      </c>
      <c r="I7901" s="20">
        <v>-0.771327145310576</v>
      </c>
      <c r="J7901" s="28">
        <v>0.44051304634822902</v>
      </c>
      <c r="K7901" s="29">
        <v>0.98289565623980701</v>
      </c>
    </row>
    <row r="7902" spans="1:11" x14ac:dyDescent="0.35">
      <c r="A7902" s="9" t="str">
        <f>HYPERLINK("http://www.ensembl.org/id/WBGene00007627", "WBGene00007627")</f>
        <v>WBGene00007627</v>
      </c>
      <c r="B7902" s="9" t="str">
        <f>HYPERLINK("http://www.ncbi.nlm.nih.gov/gene/175533", "175533")</f>
        <v>175533</v>
      </c>
      <c r="C7902" s="9"/>
      <c r="D7902" t="str">
        <f>"ccdc-55"</f>
        <v>ccdc-55</v>
      </c>
      <c r="E7902" t="s">
        <v>8330</v>
      </c>
      <c r="F7902" t="s">
        <v>11</v>
      </c>
      <c r="H7902" s="12">
        <v>-1.17184776528771</v>
      </c>
      <c r="I7902" s="20">
        <v>-0.80933099628661997</v>
      </c>
      <c r="J7902" s="28">
        <v>0.41832478163112502</v>
      </c>
      <c r="K7902" s="29">
        <v>0.98289565623980701</v>
      </c>
    </row>
    <row r="7903" spans="1:11" x14ac:dyDescent="0.35">
      <c r="A7903" s="9" t="str">
        <f>HYPERLINK("http://www.ensembl.org/id/WBGene00021643", "WBGene00021643")</f>
        <v>WBGene00021643</v>
      </c>
      <c r="B7903" s="9" t="str">
        <f>HYPERLINK("http://www.ncbi.nlm.nih.gov/gene/3565260", "3565260")</f>
        <v>3565260</v>
      </c>
      <c r="C7903" s="9"/>
      <c r="D7903" t="str">
        <f>"ccep-290"</f>
        <v>ccep-290</v>
      </c>
      <c r="E7903" t="s">
        <v>9405</v>
      </c>
      <c r="F7903" t="s">
        <v>11</v>
      </c>
      <c r="G7903" t="s">
        <v>9406</v>
      </c>
      <c r="H7903" s="12">
        <v>-1.24437507116706</v>
      </c>
      <c r="I7903" s="20">
        <v>-0.69053629295121599</v>
      </c>
      <c r="J7903" s="28">
        <v>0.489856994793752</v>
      </c>
      <c r="K7903" s="29">
        <v>0.98289565623980701</v>
      </c>
    </row>
    <row r="7904" spans="1:11" x14ac:dyDescent="0.35">
      <c r="A7904" s="9" t="str">
        <f>HYPERLINK("http://www.ensembl.org/id/WBGene00000369", "WBGene00000369")</f>
        <v>WBGene00000369</v>
      </c>
      <c r="B7904" s="9" t="str">
        <f>HYPERLINK("http://www.ncbi.nlm.nih.gov/gene/176625", "176625")</f>
        <v>176625</v>
      </c>
      <c r="C7904" s="9" t="str">
        <f>HYPERLINK("http://www.ncbi.nlm.nih.gov/gene/29883", "29883")</f>
        <v>29883</v>
      </c>
      <c r="D7904" t="str">
        <f>"ccf-1"</f>
        <v>ccf-1</v>
      </c>
      <c r="E7904" t="s">
        <v>9187</v>
      </c>
      <c r="F7904" t="s">
        <v>11</v>
      </c>
      <c r="G7904" t="s">
        <v>9188</v>
      </c>
      <c r="H7904" s="12">
        <v>-1.2271123486548501</v>
      </c>
      <c r="I7904" s="20">
        <v>-1.0828974523271899</v>
      </c>
      <c r="J7904" s="28">
        <v>0.27885394284383003</v>
      </c>
      <c r="K7904" s="29">
        <v>0.98289565623980701</v>
      </c>
    </row>
    <row r="7905" spans="1:11" x14ac:dyDescent="0.35">
      <c r="A7905" s="9" t="str">
        <f>HYPERLINK("http://www.ensembl.org/id/WBGene00019462", "WBGene00019462")</f>
        <v>WBGene00019462</v>
      </c>
      <c r="B7905" s="9" t="str">
        <f>HYPERLINK("http://www.ncbi.nlm.nih.gov/gene/187085", "187085")</f>
        <v>187085</v>
      </c>
      <c r="C7905" s="9"/>
      <c r="D7905" t="str">
        <f>"ccm-2"</f>
        <v>ccm-2</v>
      </c>
      <c r="F7905" t="s">
        <v>11</v>
      </c>
      <c r="H7905" s="12">
        <v>-1.10921627161727</v>
      </c>
      <c r="I7905" s="20">
        <v>-0.365232734888363</v>
      </c>
      <c r="J7905" s="28">
        <v>0.71493768470959895</v>
      </c>
      <c r="K7905" s="29">
        <v>0.98289565623980701</v>
      </c>
    </row>
    <row r="7906" spans="1:11" x14ac:dyDescent="0.35">
      <c r="A7906" s="9" t="str">
        <f>HYPERLINK("http://www.ensembl.org/id/WBGene00007561", "WBGene00007561")</f>
        <v>WBGene00007561</v>
      </c>
      <c r="B7906" s="9" t="str">
        <f>HYPERLINK("http://www.ncbi.nlm.nih.gov/gene/174638", "174638")</f>
        <v>174638</v>
      </c>
      <c r="C7906" s="9" t="str">
        <f>HYPERLINK("http://www.ncbi.nlm.nih.gov/gene/11235", "11235")</f>
        <v>11235</v>
      </c>
      <c r="D7906" t="str">
        <f>"ccm-3"</f>
        <v>ccm-3</v>
      </c>
      <c r="E7906" t="s">
        <v>9243</v>
      </c>
      <c r="F7906" t="s">
        <v>11</v>
      </c>
      <c r="H7906" s="12">
        <v>-1.23028967213198</v>
      </c>
      <c r="I7906" s="20">
        <v>-1.0199024274586701</v>
      </c>
      <c r="J7906" s="28">
        <v>0.30777473818259299</v>
      </c>
      <c r="K7906" s="29">
        <v>0.98289565623980701</v>
      </c>
    </row>
    <row r="7907" spans="1:11" x14ac:dyDescent="0.35">
      <c r="A7907" s="9" t="str">
        <f>HYPERLINK("http://www.ensembl.org/id/WBGene00000376", "WBGene00000376")</f>
        <v>WBGene00000376</v>
      </c>
      <c r="B7907" s="9" t="str">
        <f>HYPERLINK("http://www.ncbi.nlm.nih.gov/gene/178184", "178184")</f>
        <v>178184</v>
      </c>
      <c r="C7907" s="9" t="str">
        <f>HYPERLINK("http://www.ncbi.nlm.nih.gov/gene/246175", "246175")</f>
        <v>246175</v>
      </c>
      <c r="D7907" t="str">
        <f>"ccr-4"</f>
        <v>ccr-4</v>
      </c>
      <c r="E7907" t="s">
        <v>7728</v>
      </c>
      <c r="F7907" t="s">
        <v>11</v>
      </c>
      <c r="G7907" t="s">
        <v>7729</v>
      </c>
      <c r="H7907" s="12">
        <v>-1.14158460421386</v>
      </c>
      <c r="I7907" s="20">
        <v>-0.68666490512535505</v>
      </c>
      <c r="J7907" s="28">
        <v>0.492293917312839</v>
      </c>
      <c r="K7907" s="29">
        <v>0.98289565623980701</v>
      </c>
    </row>
    <row r="7908" spans="1:11" x14ac:dyDescent="0.35">
      <c r="A7908" s="9" t="str">
        <f>HYPERLINK("http://www.ensembl.org/id/WBGene00000377", "WBGene00000377")</f>
        <v>WBGene00000377</v>
      </c>
      <c r="B7908" s="9" t="str">
        <f>HYPERLINK("http://www.ncbi.nlm.nih.gov/gene/174318", "174318")</f>
        <v>174318</v>
      </c>
      <c r="C7908" s="9" t="str">
        <f>HYPERLINK("http://www.ncbi.nlm.nih.gov/gene/6950", "6950")</f>
        <v>6950</v>
      </c>
      <c r="D7908" t="str">
        <f>"cct-1"</f>
        <v>cct-1</v>
      </c>
      <c r="E7908" t="s">
        <v>9121</v>
      </c>
      <c r="F7908" t="s">
        <v>11</v>
      </c>
      <c r="G7908" t="s">
        <v>9122</v>
      </c>
      <c r="H7908" s="12">
        <v>-1.22216461937364</v>
      </c>
      <c r="I7908" s="20">
        <v>-1.1036632697457101</v>
      </c>
      <c r="J7908" s="28">
        <v>0.26973923438320901</v>
      </c>
      <c r="K7908" s="29">
        <v>0.98289565623980701</v>
      </c>
    </row>
    <row r="7909" spans="1:11" x14ac:dyDescent="0.35">
      <c r="A7909" s="9" t="str">
        <f>HYPERLINK("http://www.ensembl.org/id/WBGene00018782", "WBGene00018782")</f>
        <v>WBGene00018782</v>
      </c>
      <c r="B7909" s="9" t="str">
        <f>HYPERLINK("http://www.ncbi.nlm.nih.gov/gene/173581", "173581")</f>
        <v>173581</v>
      </c>
      <c r="C7909" s="9" t="str">
        <f>HYPERLINK("http://www.ncbi.nlm.nih.gov/gene/7203", "7203")</f>
        <v>7203</v>
      </c>
      <c r="D7909" t="str">
        <f>"cct-3"</f>
        <v>cct-3</v>
      </c>
      <c r="E7909" t="s">
        <v>8848</v>
      </c>
      <c r="F7909" t="s">
        <v>11</v>
      </c>
      <c r="G7909" t="s">
        <v>8849</v>
      </c>
      <c r="H7909" s="12">
        <v>-1.2013340427578101</v>
      </c>
      <c r="I7909" s="20">
        <v>-0.98568585924205698</v>
      </c>
      <c r="J7909" s="28">
        <v>0.324287290686193</v>
      </c>
      <c r="K7909" s="29">
        <v>0.98289565623980701</v>
      </c>
    </row>
    <row r="7910" spans="1:11" x14ac:dyDescent="0.35">
      <c r="A7910" s="9" t="str">
        <f>HYPERLINK("http://www.ensembl.org/id/WBGene00010283", "WBGene00010283")</f>
        <v>WBGene00010283</v>
      </c>
      <c r="B7910" s="9" t="str">
        <f>HYPERLINK("http://www.ncbi.nlm.nih.gov/gene/186547", "186547")</f>
        <v>186547</v>
      </c>
      <c r="C7910" s="9" t="str">
        <f>HYPERLINK("http://www.ncbi.nlm.nih.gov/gene/51622,221960", "51622,221960")</f>
        <v>51622,221960</v>
      </c>
      <c r="D7910" t="str">
        <f>"ccz-1"</f>
        <v>ccz-1</v>
      </c>
      <c r="F7910" t="s">
        <v>11</v>
      </c>
      <c r="G7910" t="s">
        <v>9677</v>
      </c>
      <c r="H7910" s="12">
        <v>-1.27784131336165</v>
      </c>
      <c r="I7910" s="20">
        <v>-1.1012246912561301</v>
      </c>
      <c r="J7910" s="28">
        <v>0.27079887797661301</v>
      </c>
      <c r="K7910" s="29">
        <v>0.98289565623980701</v>
      </c>
    </row>
    <row r="7911" spans="1:11" x14ac:dyDescent="0.35">
      <c r="A7911" s="9" t="str">
        <f>HYPERLINK("http://www.ensembl.org/id/WBGene00016988", "WBGene00016988")</f>
        <v>WBGene00016988</v>
      </c>
      <c r="B7911" s="9" t="str">
        <f>HYPERLINK("http://www.ncbi.nlm.nih.gov/gene/183875", "183875")</f>
        <v>183875</v>
      </c>
      <c r="C7911" s="9"/>
      <c r="D7911" t="str">
        <f>"CD4.1"</f>
        <v>CD4.1</v>
      </c>
      <c r="F7911" t="s">
        <v>11</v>
      </c>
      <c r="G7911" t="s">
        <v>25</v>
      </c>
      <c r="H7911" s="12">
        <v>1.45093573720667</v>
      </c>
      <c r="I7911" s="20">
        <v>1.1891197132651701</v>
      </c>
      <c r="J7911" s="28">
        <v>0.23439256206008599</v>
      </c>
      <c r="K7911" s="29">
        <v>0.98289565623980701</v>
      </c>
    </row>
    <row r="7912" spans="1:11" x14ac:dyDescent="0.35">
      <c r="A7912" s="9" t="str">
        <f>HYPERLINK("http://www.ensembl.org/id/WBGene00022970", "WBGene00022970")</f>
        <v>WBGene00022970</v>
      </c>
      <c r="B7912" s="9"/>
      <c r="C7912" s="9"/>
      <c r="D7912" t="str">
        <f>"CD4.10"</f>
        <v>CD4.10</v>
      </c>
      <c r="F7912" t="s">
        <v>481</v>
      </c>
      <c r="H7912" s="12">
        <v>1.20306534087095</v>
      </c>
      <c r="I7912" s="20">
        <v>0.32364729545743198</v>
      </c>
      <c r="J7912" s="28">
        <v>0.74620507690717597</v>
      </c>
      <c r="K7912" s="29">
        <v>0.98289565623980701</v>
      </c>
    </row>
    <row r="7913" spans="1:11" x14ac:dyDescent="0.35">
      <c r="A7913" s="9" t="str">
        <f>HYPERLINK("http://www.ensembl.org/id/WBGene00044542", "WBGene00044542")</f>
        <v>WBGene00044542</v>
      </c>
      <c r="B7913" s="9" t="str">
        <f>HYPERLINK("http://www.ncbi.nlm.nih.gov/gene/183877", "183877")</f>
        <v>183877</v>
      </c>
      <c r="C7913" s="9"/>
      <c r="D7913" t="str">
        <f>"CD4.11"</f>
        <v>CD4.11</v>
      </c>
      <c r="F7913" t="s">
        <v>11</v>
      </c>
      <c r="G7913" t="s">
        <v>9843</v>
      </c>
      <c r="H7913" s="12">
        <v>-1.3225063790806899</v>
      </c>
      <c r="I7913" s="20">
        <v>-0.40002308182482399</v>
      </c>
      <c r="J7913" s="28">
        <v>0.68913951616410096</v>
      </c>
      <c r="K7913" s="29">
        <v>0.98289565623980701</v>
      </c>
    </row>
    <row r="7914" spans="1:11" x14ac:dyDescent="0.35">
      <c r="A7914" s="9" t="str">
        <f>HYPERLINK("http://www.ensembl.org/id/WBGene00196854", "WBGene00196854")</f>
        <v>WBGene00196854</v>
      </c>
      <c r="B7914" s="9"/>
      <c r="C7914" s="9"/>
      <c r="D7914" t="str">
        <f>"CD4.13"</f>
        <v>CD4.13</v>
      </c>
      <c r="F7914" t="s">
        <v>481</v>
      </c>
      <c r="H7914" s="12">
        <v>2.8779361739145002</v>
      </c>
      <c r="I7914" s="20">
        <v>0.49755661991149702</v>
      </c>
      <c r="J7914" s="28">
        <v>0.618796585918863</v>
      </c>
      <c r="K7914" s="29">
        <v>0.98289565623980701</v>
      </c>
    </row>
    <row r="7915" spans="1:11" x14ac:dyDescent="0.35">
      <c r="A7915" s="9" t="str">
        <f>HYPERLINK("http://www.ensembl.org/id/WBGene00197622", "WBGene00197622")</f>
        <v>WBGene00197622</v>
      </c>
      <c r="B7915" s="9"/>
      <c r="C7915" s="9"/>
      <c r="D7915" t="str">
        <f>"CD4.14"</f>
        <v>CD4.14</v>
      </c>
      <c r="F7915" t="s">
        <v>481</v>
      </c>
      <c r="H7915" s="12">
        <v>-2.4991590031922399</v>
      </c>
      <c r="I7915" s="20">
        <v>-0.26577412737581302</v>
      </c>
      <c r="J7915" s="28">
        <v>0.79041317015736101</v>
      </c>
      <c r="K7915" s="29">
        <v>0.98289565623980701</v>
      </c>
    </row>
    <row r="7916" spans="1:11" x14ac:dyDescent="0.35">
      <c r="A7916" s="9" t="str">
        <f>HYPERLINK("http://www.ensembl.org/id/WBGene00201695", "WBGene00201695")</f>
        <v>WBGene00201695</v>
      </c>
      <c r="B7916" s="9"/>
      <c r="C7916" s="9"/>
      <c r="D7916" t="str">
        <f>"CD4.16"</f>
        <v>CD4.16</v>
      </c>
      <c r="F7916" t="s">
        <v>481</v>
      </c>
      <c r="H7916" s="12">
        <v>4.4368407117627902</v>
      </c>
      <c r="I7916" s="20">
        <v>0.43709475933309699</v>
      </c>
      <c r="J7916" s="28">
        <v>0.66204262779770495</v>
      </c>
      <c r="K7916" s="29">
        <v>0.98289565623980701</v>
      </c>
    </row>
    <row r="7917" spans="1:11" x14ac:dyDescent="0.35">
      <c r="A7917" s="9" t="str">
        <f>HYPERLINK("http://www.ensembl.org/id/WBGene00235161", "WBGene00235161")</f>
        <v>WBGene00235161</v>
      </c>
      <c r="B7917" s="9"/>
      <c r="C7917" s="9"/>
      <c r="D7917" t="str">
        <f>"CD4.19"</f>
        <v>CD4.19</v>
      </c>
      <c r="F7917" t="s">
        <v>481</v>
      </c>
      <c r="H7917" s="12">
        <v>-4.7167679298615104</v>
      </c>
      <c r="I7917" s="20">
        <v>-0.454742638005115</v>
      </c>
      <c r="J7917" s="28">
        <v>0.64929440216969203</v>
      </c>
      <c r="K7917" s="29">
        <v>0.98289565623980701</v>
      </c>
    </row>
    <row r="7918" spans="1:11" x14ac:dyDescent="0.35">
      <c r="A7918" s="9" t="str">
        <f>HYPERLINK("http://www.ensembl.org/id/WBGene00016993", "WBGene00016993")</f>
        <v>WBGene00016993</v>
      </c>
      <c r="B7918" s="9" t="str">
        <f>HYPERLINK("http://www.ncbi.nlm.nih.gov/gene/178947", "178947")</f>
        <v>178947</v>
      </c>
      <c r="C7918" s="9"/>
      <c r="D7918" t="str">
        <f>"CD4.8"</f>
        <v>CD4.8</v>
      </c>
      <c r="F7918" t="s">
        <v>11</v>
      </c>
      <c r="H7918" s="12">
        <v>-1.26837482347043</v>
      </c>
      <c r="I7918" s="20">
        <v>-0.62195229208883396</v>
      </c>
      <c r="J7918" s="28">
        <v>0.53397323884833003</v>
      </c>
      <c r="K7918" s="29">
        <v>0.98289565623980701</v>
      </c>
    </row>
    <row r="7919" spans="1:11" x14ac:dyDescent="0.35">
      <c r="A7919" s="9" t="str">
        <f>HYPERLINK("http://www.ensembl.org/id/WBGene00021549", "WBGene00021549")</f>
        <v>WBGene00021549</v>
      </c>
      <c r="B7919" s="9" t="str">
        <f>HYPERLINK("http://www.ncbi.nlm.nih.gov/gene/171906", "171906")</f>
        <v>171906</v>
      </c>
      <c r="C7919" s="9"/>
      <c r="D7919" t="str">
        <f>"cdap-2"</f>
        <v>cdap-2</v>
      </c>
      <c r="E7919" t="s">
        <v>7582</v>
      </c>
      <c r="F7919" t="s">
        <v>11</v>
      </c>
      <c r="G7919" t="s">
        <v>54</v>
      </c>
      <c r="H7919" s="12">
        <v>-1.1342689866354501</v>
      </c>
      <c r="I7919" s="20">
        <v>-0.64311365828968103</v>
      </c>
      <c r="J7919" s="28">
        <v>0.52015035260500797</v>
      </c>
      <c r="K7919" s="29">
        <v>0.98289565623980701</v>
      </c>
    </row>
    <row r="7920" spans="1:11" x14ac:dyDescent="0.35">
      <c r="A7920" s="9" t="str">
        <f>HYPERLINK("http://www.ensembl.org/id/WBGene00000387", "WBGene00000387")</f>
        <v>WBGene00000387</v>
      </c>
      <c r="B7920" s="9" t="str">
        <f>HYPERLINK("http://www.ncbi.nlm.nih.gov/gene/178645", "178645")</f>
        <v>178645</v>
      </c>
      <c r="C7920" s="9"/>
      <c r="D7920" t="str">
        <f>"cdc-25.2"</f>
        <v>cdc-25.2</v>
      </c>
      <c r="E7920" t="s">
        <v>5483</v>
      </c>
      <c r="F7920" t="s">
        <v>11</v>
      </c>
      <c r="G7920" t="s">
        <v>5484</v>
      </c>
      <c r="H7920" s="12">
        <v>1.1595130841688099</v>
      </c>
      <c r="I7920" s="20">
        <v>0.63490551467105205</v>
      </c>
      <c r="J7920" s="28">
        <v>0.52549004018837497</v>
      </c>
      <c r="K7920" s="29">
        <v>0.98289565623980701</v>
      </c>
    </row>
    <row r="7921" spans="1:11" x14ac:dyDescent="0.35">
      <c r="A7921" s="9" t="str">
        <f>HYPERLINK("http://www.ensembl.org/id/WBGene00000389", "WBGene00000389")</f>
        <v>WBGene00000389</v>
      </c>
      <c r="B7921" s="9" t="str">
        <f>HYPERLINK("http://www.ncbi.nlm.nih.gov/gene/191612", "191612")</f>
        <v>191612</v>
      </c>
      <c r="C7921" s="9"/>
      <c r="D7921" t="str">
        <f>"cdc-25.4"</f>
        <v>cdc-25.4</v>
      </c>
      <c r="E7921" t="s">
        <v>960</v>
      </c>
      <c r="F7921" t="s">
        <v>11</v>
      </c>
      <c r="G7921" t="s">
        <v>4310</v>
      </c>
      <c r="H7921" s="12">
        <v>3.4762328012032402</v>
      </c>
      <c r="I7921" s="20">
        <v>0.65543425799545096</v>
      </c>
      <c r="J7921" s="28">
        <v>0.51218820083057803</v>
      </c>
      <c r="K7921" s="29">
        <v>0.98289565623980701</v>
      </c>
    </row>
    <row r="7922" spans="1:11" x14ac:dyDescent="0.35">
      <c r="A7922" s="9" t="str">
        <f>HYPERLINK("http://www.ensembl.org/id/WBGene00015235", "WBGene00015235")</f>
        <v>WBGene00015235</v>
      </c>
      <c r="B7922" s="9" t="str">
        <f>HYPERLINK("http://www.ncbi.nlm.nih.gov/gene/172958", "172958")</f>
        <v>172958</v>
      </c>
      <c r="C7922" s="9"/>
      <c r="D7922" t="str">
        <f>"cdc-26"</f>
        <v>cdc-26</v>
      </c>
      <c r="E7922" t="s">
        <v>9649</v>
      </c>
      <c r="F7922" t="s">
        <v>11</v>
      </c>
      <c r="H7922" s="12">
        <v>-1.2724043418104101</v>
      </c>
      <c r="I7922" s="20">
        <v>-1.04206132851831</v>
      </c>
      <c r="J7922" s="28">
        <v>0.29738324625408902</v>
      </c>
      <c r="K7922" s="29">
        <v>0.98289565623980701</v>
      </c>
    </row>
    <row r="7923" spans="1:11" x14ac:dyDescent="0.35">
      <c r="A7923" s="9" t="str">
        <f>HYPERLINK("http://www.ensembl.org/id/WBGene00021097", "WBGene00021097")</f>
        <v>WBGene00021097</v>
      </c>
      <c r="B7923" s="9" t="str">
        <f>HYPERLINK("http://www.ncbi.nlm.nih.gov/gene/173449", "173449")</f>
        <v>173449</v>
      </c>
      <c r="C7923" s="9" t="str">
        <f>HYPERLINK("http://www.ncbi.nlm.nih.gov/gene/11140", "11140")</f>
        <v>11140</v>
      </c>
      <c r="D7923" t="str">
        <f>"cdc-37"</f>
        <v>cdc-37</v>
      </c>
      <c r="E7923" t="s">
        <v>8887</v>
      </c>
      <c r="F7923" t="s">
        <v>11</v>
      </c>
      <c r="G7923" t="s">
        <v>8888</v>
      </c>
      <c r="H7923" s="12">
        <v>-1.2050220671123999</v>
      </c>
      <c r="I7923" s="20">
        <v>-0.99192146556336203</v>
      </c>
      <c r="J7923" s="28">
        <v>0.32123583701955599</v>
      </c>
      <c r="K7923" s="29">
        <v>0.98289565623980701</v>
      </c>
    </row>
    <row r="7924" spans="1:11" x14ac:dyDescent="0.35">
      <c r="A7924" s="9" t="str">
        <f>HYPERLINK("http://www.ensembl.org/id/WBGene00008053", "WBGene00008053")</f>
        <v>WBGene00008053</v>
      </c>
      <c r="B7924" s="9" t="str">
        <f>HYPERLINK("http://www.ncbi.nlm.nih.gov/gene/174309", "174309")</f>
        <v>174309</v>
      </c>
      <c r="C7924" s="9" t="str">
        <f>HYPERLINK("http://www.ncbi.nlm.nih.gov/gene/7415", "7415")</f>
        <v>7415</v>
      </c>
      <c r="D7924" t="str">
        <f>"cdc-48.2"</f>
        <v>cdc-48.2</v>
      </c>
      <c r="E7924" t="s">
        <v>9052</v>
      </c>
      <c r="F7924" t="s">
        <v>11</v>
      </c>
      <c r="G7924" t="s">
        <v>9053</v>
      </c>
      <c r="H7924" s="12">
        <v>-1.2170095188114001</v>
      </c>
      <c r="I7924" s="20">
        <v>-1.09109047243878</v>
      </c>
      <c r="J7924" s="28">
        <v>0.27523307474317399</v>
      </c>
      <c r="K7924" s="29">
        <v>0.98289565623980701</v>
      </c>
    </row>
    <row r="7925" spans="1:11" x14ac:dyDescent="0.35">
      <c r="A7925" s="9" t="str">
        <f>HYPERLINK("http://www.ensembl.org/id/WBGene00010562", "WBGene00010562")</f>
        <v>WBGene00010562</v>
      </c>
      <c r="B7925" s="9" t="str">
        <f>HYPERLINK("http://www.ncbi.nlm.nih.gov/gene/172586", "172586")</f>
        <v>172586</v>
      </c>
      <c r="C7925" s="9"/>
      <c r="D7925" t="str">
        <f>"cdc-48.3"</f>
        <v>cdc-48.3</v>
      </c>
      <c r="E7925" t="s">
        <v>9256</v>
      </c>
      <c r="F7925" t="s">
        <v>11</v>
      </c>
      <c r="G7925" t="s">
        <v>1460</v>
      </c>
      <c r="H7925" s="12">
        <v>-1.2311335165703099</v>
      </c>
      <c r="I7925" s="20">
        <v>-0.95009740135020604</v>
      </c>
      <c r="J7925" s="28">
        <v>0.34206276351645798</v>
      </c>
      <c r="K7925" s="29">
        <v>0.98289565623980701</v>
      </c>
    </row>
    <row r="7926" spans="1:11" x14ac:dyDescent="0.35">
      <c r="A7926" s="9" t="str">
        <f>HYPERLINK("http://www.ensembl.org/id/WBGene00008386", "WBGene00008386")</f>
        <v>WBGene00008386</v>
      </c>
      <c r="B7926" s="9" t="str">
        <f>HYPERLINK("http://www.ncbi.nlm.nih.gov/gene/172639", "172639")</f>
        <v>172639</v>
      </c>
      <c r="C7926" s="9" t="str">
        <f>HYPERLINK("http://www.ncbi.nlm.nih.gov/gene/988", "988")</f>
        <v>988</v>
      </c>
      <c r="D7926" t="str">
        <f>"cdc-5L"</f>
        <v>cdc-5L</v>
      </c>
      <c r="E7926" t="s">
        <v>960</v>
      </c>
      <c r="F7926" t="s">
        <v>11</v>
      </c>
      <c r="G7926" t="s">
        <v>6322</v>
      </c>
      <c r="H7926" s="12">
        <v>-1.06262978271132</v>
      </c>
      <c r="I7926" s="20">
        <v>-0.31259047117663602</v>
      </c>
      <c r="J7926" s="28">
        <v>0.75459181849360002</v>
      </c>
      <c r="K7926" s="29">
        <v>0.98289565623980701</v>
      </c>
    </row>
    <row r="7927" spans="1:11" x14ac:dyDescent="0.35">
      <c r="A7927" s="9" t="str">
        <f>HYPERLINK("http://www.ensembl.org/id/WBGene00000382", "WBGene00000382")</f>
        <v>WBGene00000382</v>
      </c>
      <c r="B7927" s="9" t="str">
        <f>HYPERLINK("http://www.ncbi.nlm.nih.gov/gene/172029", "172029")</f>
        <v>172029</v>
      </c>
      <c r="C7927" s="9"/>
      <c r="D7927" t="str">
        <f>"cdc-6"</f>
        <v>cdc-6</v>
      </c>
      <c r="E7927" t="s">
        <v>9771</v>
      </c>
      <c r="F7927" t="s">
        <v>11</v>
      </c>
      <c r="G7927" t="s">
        <v>9772</v>
      </c>
      <c r="H7927" s="12">
        <v>-1.29916684183636</v>
      </c>
      <c r="I7927" s="20">
        <v>-1.17709346047815</v>
      </c>
      <c r="J7927" s="28">
        <v>0.239158204966996</v>
      </c>
      <c r="K7927" s="29">
        <v>0.98289565623980701</v>
      </c>
    </row>
    <row r="7928" spans="1:11" x14ac:dyDescent="0.35">
      <c r="A7928" s="9" t="str">
        <f>HYPERLINK("http://www.ensembl.org/id/WBGene00018064", "WBGene00018064")</f>
        <v>WBGene00018064</v>
      </c>
      <c r="B7928" s="9" t="str">
        <f>HYPERLINK("http://www.ncbi.nlm.nih.gov/gene/177160", "177160")</f>
        <v>177160</v>
      </c>
      <c r="C7928" s="9" t="str">
        <f>HYPERLINK("http://www.ncbi.nlm.nih.gov/gene/79577", "79577")</f>
        <v>79577</v>
      </c>
      <c r="D7928" t="str">
        <f>"cdc-73"</f>
        <v>cdc-73</v>
      </c>
      <c r="E7928" t="s">
        <v>8885</v>
      </c>
      <c r="F7928" t="s">
        <v>11</v>
      </c>
      <c r="G7928" t="s">
        <v>8886</v>
      </c>
      <c r="H7928" s="12">
        <v>-1.2049656863631499</v>
      </c>
      <c r="I7928" s="20">
        <v>-0.86432471021046897</v>
      </c>
      <c r="J7928" s="28">
        <v>0.38740953955958302</v>
      </c>
      <c r="K7928" s="29">
        <v>0.98289565623980701</v>
      </c>
    </row>
    <row r="7929" spans="1:11" x14ac:dyDescent="0.35">
      <c r="A7929" s="9" t="str">
        <f>HYPERLINK("http://www.ensembl.org/id/WBGene00000392", "WBGene00000392")</f>
        <v>WBGene00000392</v>
      </c>
      <c r="B7929" s="9" t="str">
        <f>HYPERLINK("http://www.ncbi.nlm.nih.gov/gene/186044", "186044")</f>
        <v>186044</v>
      </c>
      <c r="C7929" s="9"/>
      <c r="D7929" t="str">
        <f>"cdd-2"</f>
        <v>cdd-2</v>
      </c>
      <c r="E7929" t="s">
        <v>3908</v>
      </c>
      <c r="F7929" t="s">
        <v>11</v>
      </c>
      <c r="G7929" t="s">
        <v>7770</v>
      </c>
      <c r="H7929" s="12">
        <v>-1.14397266716658</v>
      </c>
      <c r="I7929" s="20">
        <v>-0.60294009207682597</v>
      </c>
      <c r="J7929" s="28">
        <v>0.54654854353835203</v>
      </c>
      <c r="K7929" s="29">
        <v>0.98289565623980701</v>
      </c>
    </row>
    <row r="7930" spans="1:11" x14ac:dyDescent="0.35">
      <c r="A7930" s="9" t="str">
        <f>HYPERLINK("http://www.ensembl.org/id/WBGene00000393", "WBGene00000393")</f>
        <v>WBGene00000393</v>
      </c>
      <c r="B7930" s="9" t="str">
        <f>HYPERLINK("http://www.ncbi.nlm.nih.gov/gene/180923", "180923")</f>
        <v>180923</v>
      </c>
      <c r="C7930" s="9"/>
      <c r="D7930" t="str">
        <f>"cdf-1"</f>
        <v>cdf-1</v>
      </c>
      <c r="E7930" t="s">
        <v>5657</v>
      </c>
      <c r="F7930" t="s">
        <v>11</v>
      </c>
      <c r="G7930" t="s">
        <v>5658</v>
      </c>
      <c r="H7930" s="12">
        <v>1.12810978275054</v>
      </c>
      <c r="I7930" s="20">
        <v>0.61298226576552295</v>
      </c>
      <c r="J7930" s="28">
        <v>0.53988806593158101</v>
      </c>
      <c r="K7930" s="29">
        <v>0.98289565623980701</v>
      </c>
    </row>
    <row r="7931" spans="1:11" x14ac:dyDescent="0.35">
      <c r="A7931" s="9" t="str">
        <f>HYPERLINK("http://www.ensembl.org/id/WBGene00011821", "WBGene00011821")</f>
        <v>WBGene00011821</v>
      </c>
      <c r="B7931" s="9" t="str">
        <f>HYPERLINK("http://www.ncbi.nlm.nih.gov/gene/188574", "188574")</f>
        <v>188574</v>
      </c>
      <c r="C7931" s="9" t="str">
        <f>HYPERLINK("http://www.ncbi.nlm.nih.gov/gene/7780", "7780")</f>
        <v>7780</v>
      </c>
      <c r="D7931" t="str">
        <f>"cdf-2"</f>
        <v>cdf-2</v>
      </c>
      <c r="E7931" t="s">
        <v>7275</v>
      </c>
      <c r="F7931" t="s">
        <v>11</v>
      </c>
      <c r="G7931" t="s">
        <v>7276</v>
      </c>
      <c r="H7931" s="12">
        <v>-1.1167647585505101</v>
      </c>
      <c r="I7931" s="20">
        <v>-0.44066833531074401</v>
      </c>
      <c r="J7931" s="28">
        <v>0.65945312346434104</v>
      </c>
      <c r="K7931" s="29">
        <v>0.98289565623980701</v>
      </c>
    </row>
    <row r="7932" spans="1:11" x14ac:dyDescent="0.35">
      <c r="A7932" s="9" t="str">
        <f>HYPERLINK("http://www.ensembl.org/id/WBGene00000402", "WBGene00000402")</f>
        <v>WBGene00000402</v>
      </c>
      <c r="B7932" s="9" t="str">
        <f>HYPERLINK("http://www.ncbi.nlm.nih.gov/gene/183476", "183476")</f>
        <v>183476</v>
      </c>
      <c r="C7932" s="9"/>
      <c r="D7932" t="str">
        <f>"cdh-10"</f>
        <v>cdh-10</v>
      </c>
      <c r="E7932" t="s">
        <v>527</v>
      </c>
      <c r="F7932" t="s">
        <v>11</v>
      </c>
      <c r="G7932" t="s">
        <v>9550</v>
      </c>
      <c r="H7932" s="12">
        <v>-1.25762942676404</v>
      </c>
      <c r="I7932" s="20">
        <v>-0.35556528010869498</v>
      </c>
      <c r="J7932" s="28">
        <v>0.72216614898546305</v>
      </c>
      <c r="K7932" s="29">
        <v>0.98289565623980701</v>
      </c>
    </row>
    <row r="7933" spans="1:11" x14ac:dyDescent="0.35">
      <c r="A7933" s="9" t="str">
        <f>HYPERLINK("http://www.ensembl.org/id/WBGene00000397", "WBGene00000397")</f>
        <v>WBGene00000397</v>
      </c>
      <c r="B7933" s="9" t="str">
        <f>HYPERLINK("http://www.ncbi.nlm.nih.gov/gene/177671", "177671")</f>
        <v>177671</v>
      </c>
      <c r="C7933" s="9" t="str">
        <f>HYPERLINK("http://www.ncbi.nlm.nih.gov/gene/65217", "65217")</f>
        <v>65217</v>
      </c>
      <c r="D7933" t="str">
        <f>"cdh-5"</f>
        <v>cdh-5</v>
      </c>
      <c r="E7933" t="s">
        <v>527</v>
      </c>
      <c r="F7933" t="s">
        <v>11</v>
      </c>
      <c r="G7933" t="s">
        <v>528</v>
      </c>
      <c r="H7933" s="12">
        <v>1.40719964478849</v>
      </c>
      <c r="I7933" s="20">
        <v>1.19126689597844</v>
      </c>
      <c r="J7933" s="28">
        <v>0.233548825281607</v>
      </c>
      <c r="K7933" s="29">
        <v>0.98289565623980701</v>
      </c>
    </row>
    <row r="7934" spans="1:11" x14ac:dyDescent="0.35">
      <c r="A7934" s="9" t="str">
        <f>HYPERLINK("http://www.ensembl.org/id/WBGene00007135", "WBGene00007135")</f>
        <v>WBGene00007135</v>
      </c>
      <c r="B7934" s="9" t="str">
        <f>HYPERLINK("http://www.ncbi.nlm.nih.gov/gene/175559", "175559")</f>
        <v>175559</v>
      </c>
      <c r="C7934" s="9"/>
      <c r="D7934" t="str">
        <f>"cdk-12"</f>
        <v>cdk-12</v>
      </c>
      <c r="E7934" t="s">
        <v>7858</v>
      </c>
      <c r="F7934" t="s">
        <v>11</v>
      </c>
      <c r="G7934" t="s">
        <v>444</v>
      </c>
      <c r="H7934" s="12">
        <v>-1.14847826841075</v>
      </c>
      <c r="I7934" s="20">
        <v>-0.70905497829979203</v>
      </c>
      <c r="J7934" s="28">
        <v>0.47829036013381598</v>
      </c>
      <c r="K7934" s="29">
        <v>0.98289565623980701</v>
      </c>
    </row>
    <row r="7935" spans="1:11" x14ac:dyDescent="0.35">
      <c r="A7935" s="9" t="str">
        <f>HYPERLINK("http://www.ensembl.org/id/WBGene00019362", "WBGene00019362")</f>
        <v>WBGene00019362</v>
      </c>
      <c r="B7935" s="9" t="str">
        <f>HYPERLINK("http://www.ncbi.nlm.nih.gov/gene/171911", "171911")</f>
        <v>171911</v>
      </c>
      <c r="C7935" s="9"/>
      <c r="D7935" t="str">
        <f>"cdk-2"</f>
        <v>cdk-2</v>
      </c>
      <c r="E7935" t="s">
        <v>9862</v>
      </c>
      <c r="F7935" t="s">
        <v>11</v>
      </c>
      <c r="G7935" t="s">
        <v>9863</v>
      </c>
      <c r="H7935" s="12">
        <v>-1.33462040373506</v>
      </c>
      <c r="I7935" s="20">
        <v>-1.1600227780066701</v>
      </c>
      <c r="J7935" s="28">
        <v>0.24603953232432699</v>
      </c>
      <c r="K7935" s="29">
        <v>0.98289565623980701</v>
      </c>
    </row>
    <row r="7936" spans="1:11" x14ac:dyDescent="0.35">
      <c r="A7936" s="9" t="str">
        <f>HYPERLINK("http://www.ensembl.org/id/WBGene00000407", "WBGene00000407")</f>
        <v>WBGene00000407</v>
      </c>
      <c r="B7936" s="9" t="str">
        <f>HYPERLINK("http://www.ncbi.nlm.nih.gov/gene/176774", "176774")</f>
        <v>176774</v>
      </c>
      <c r="C7936" s="9" t="str">
        <f>HYPERLINK("http://www.ncbi.nlm.nih.gov/gene/1020", "1020")</f>
        <v>1020</v>
      </c>
      <c r="D7936" t="str">
        <f>"cdk-5"</f>
        <v>cdk-5</v>
      </c>
      <c r="E7936" t="s">
        <v>9681</v>
      </c>
      <c r="F7936" t="s">
        <v>11</v>
      </c>
      <c r="G7936" t="s">
        <v>444</v>
      </c>
      <c r="H7936" s="12">
        <v>-1.2794633828539901</v>
      </c>
      <c r="I7936" s="20">
        <v>-1.1858760399703601</v>
      </c>
      <c r="J7936" s="28">
        <v>0.23567125657117899</v>
      </c>
      <c r="K7936" s="29">
        <v>0.98289565623980701</v>
      </c>
    </row>
    <row r="7937" spans="1:11" x14ac:dyDescent="0.35">
      <c r="A7937" s="9" t="str">
        <f>HYPERLINK("http://www.ensembl.org/id/WBGene00000408", "WBGene00000408")</f>
        <v>WBGene00000408</v>
      </c>
      <c r="B7937" s="9" t="str">
        <f>HYPERLINK("http://www.ncbi.nlm.nih.gov/gene/171784", "171784")</f>
        <v>171784</v>
      </c>
      <c r="C7937" s="9" t="str">
        <f>HYPERLINK("http://www.ncbi.nlm.nih.gov/gene/1022", "1022")</f>
        <v>1022</v>
      </c>
      <c r="D7937" t="str">
        <f>"cdk-7"</f>
        <v>cdk-7</v>
      </c>
      <c r="E7937" t="s">
        <v>8972</v>
      </c>
      <c r="F7937" t="s">
        <v>11</v>
      </c>
      <c r="G7937" t="s">
        <v>8973</v>
      </c>
      <c r="H7937" s="12">
        <v>-1.21164595074596</v>
      </c>
      <c r="I7937" s="20">
        <v>-0.93254194800664603</v>
      </c>
      <c r="J7937" s="28">
        <v>0.35105651856437398</v>
      </c>
      <c r="K7937" s="29">
        <v>0.98289565623980701</v>
      </c>
    </row>
    <row r="7938" spans="1:11" x14ac:dyDescent="0.35">
      <c r="A7938" s="9" t="str">
        <f>HYPERLINK("http://www.ensembl.org/id/WBGene00000409", "WBGene00000409")</f>
        <v>WBGene00000409</v>
      </c>
      <c r="B7938" s="9" t="str">
        <f>HYPERLINK("http://www.ncbi.nlm.nih.gov/gene/172677", "172677")</f>
        <v>172677</v>
      </c>
      <c r="C7938" s="9" t="str">
        <f>HYPERLINK("http://www.ncbi.nlm.nih.gov/gene/1024", "1024")</f>
        <v>1024</v>
      </c>
      <c r="D7938" t="str">
        <f>"cdk-8"</f>
        <v>cdk-8</v>
      </c>
      <c r="E7938" t="s">
        <v>7655</v>
      </c>
      <c r="F7938" t="s">
        <v>11</v>
      </c>
      <c r="G7938" t="s">
        <v>444</v>
      </c>
      <c r="H7938" s="12">
        <v>-1.1378114998587101</v>
      </c>
      <c r="I7938" s="20">
        <v>-0.63288558704275399</v>
      </c>
      <c r="J7938" s="28">
        <v>0.52680836051194402</v>
      </c>
      <c r="K7938" s="29">
        <v>0.98289565623980701</v>
      </c>
    </row>
    <row r="7939" spans="1:11" x14ac:dyDescent="0.35">
      <c r="A7939" s="9" t="str">
        <f>HYPERLINK("http://www.ensembl.org/id/WBGene00011955", "WBGene00011955")</f>
        <v>WBGene00011955</v>
      </c>
      <c r="B7939" s="9" t="str">
        <f>HYPERLINK("http://www.ncbi.nlm.nih.gov/gene/188812", "188812")</f>
        <v>188812</v>
      </c>
      <c r="C7939" s="9"/>
      <c r="D7939" t="str">
        <f>"cdka-1"</f>
        <v>cdka-1</v>
      </c>
      <c r="E7939" t="s">
        <v>5032</v>
      </c>
      <c r="F7939" t="s">
        <v>11</v>
      </c>
      <c r="G7939" t="s">
        <v>5033</v>
      </c>
      <c r="H7939" s="12">
        <v>1.25491456610342</v>
      </c>
      <c r="I7939" s="20">
        <v>1.1037590422141501</v>
      </c>
      <c r="J7939" s="28">
        <v>0.269697676187657</v>
      </c>
      <c r="K7939" s="29">
        <v>0.98289565623980701</v>
      </c>
    </row>
    <row r="7940" spans="1:11" x14ac:dyDescent="0.35">
      <c r="A7940" s="9" t="str">
        <f>HYPERLINK("http://www.ensembl.org/id/WBGene00012779", "WBGene00012779")</f>
        <v>WBGene00012779</v>
      </c>
      <c r="B7940" s="9" t="str">
        <f>HYPERLINK("http://www.ncbi.nlm.nih.gov/gene/189841", "189841")</f>
        <v>189841</v>
      </c>
      <c r="C7940" s="9" t="str">
        <f>HYPERLINK("http://www.ncbi.nlm.nih.gov/gene/8814", "8814")</f>
        <v>8814</v>
      </c>
      <c r="D7940" t="str">
        <f>"cdkl-1"</f>
        <v>cdkl-1</v>
      </c>
      <c r="E7940" t="s">
        <v>4608</v>
      </c>
      <c r="F7940" t="s">
        <v>11</v>
      </c>
      <c r="G7940" t="s">
        <v>4609</v>
      </c>
      <c r="H7940" s="12">
        <v>1.6119040255242501</v>
      </c>
      <c r="I7940" s="20">
        <v>1.07936084425829</v>
      </c>
      <c r="J7940" s="28">
        <v>0.28042689894013001</v>
      </c>
      <c r="K7940" s="29">
        <v>0.98289565623980701</v>
      </c>
    </row>
    <row r="7941" spans="1:11" x14ac:dyDescent="0.35">
      <c r="A7941" s="9" t="str">
        <f>HYPERLINK("http://www.ensembl.org/id/WBGene00018986", "WBGene00018986")</f>
        <v>WBGene00018986</v>
      </c>
      <c r="B7941" s="9" t="str">
        <f>HYPERLINK("http://www.ncbi.nlm.nih.gov/gene/180434", "180434")</f>
        <v>180434</v>
      </c>
      <c r="C7941" s="9" t="str">
        <f>HYPERLINK("http://www.ncbi.nlm.nih.gov/gene/1036", "1036")</f>
        <v>1036</v>
      </c>
      <c r="D7941" t="str">
        <f>"cdo-1"</f>
        <v>cdo-1</v>
      </c>
      <c r="E7941" t="s">
        <v>5444</v>
      </c>
      <c r="F7941" t="s">
        <v>11</v>
      </c>
      <c r="G7941" t="s">
        <v>5445</v>
      </c>
      <c r="H7941" s="12">
        <v>1.1638860803859099</v>
      </c>
      <c r="I7941" s="20">
        <v>0.52672125524373303</v>
      </c>
      <c r="J7941" s="28">
        <v>0.59838717297309796</v>
      </c>
      <c r="K7941" s="29">
        <v>0.98289565623980701</v>
      </c>
    </row>
    <row r="7942" spans="1:11" x14ac:dyDescent="0.35">
      <c r="A7942" s="9" t="str">
        <f>HYPERLINK("http://www.ensembl.org/id/WBGene00000412", "WBGene00000412")</f>
        <v>WBGene00000412</v>
      </c>
      <c r="B7942" s="9" t="str">
        <f>HYPERLINK("http://www.ncbi.nlm.nih.gov/gene/180064", "180064")</f>
        <v>180064</v>
      </c>
      <c r="C7942" s="9"/>
      <c r="D7942" t="str">
        <f>"cdr-1"</f>
        <v>cdr-1</v>
      </c>
      <c r="E7942" t="s">
        <v>4687</v>
      </c>
      <c r="F7942" t="s">
        <v>11</v>
      </c>
      <c r="G7942" t="s">
        <v>4688</v>
      </c>
      <c r="H7942" s="12">
        <v>1.4984513360703899</v>
      </c>
      <c r="I7942" s="20">
        <v>0.40954234999338301</v>
      </c>
      <c r="J7942" s="28">
        <v>0.68214169429159599</v>
      </c>
      <c r="K7942" s="29">
        <v>0.98289565623980701</v>
      </c>
    </row>
    <row r="7943" spans="1:11" x14ac:dyDescent="0.35">
      <c r="A7943" s="9" t="str">
        <f>HYPERLINK("http://www.ensembl.org/id/WBGene00008297", "WBGene00008297")</f>
        <v>WBGene00008297</v>
      </c>
      <c r="B7943" s="9" t="str">
        <f>HYPERLINK("http://www.ncbi.nlm.nih.gov/gene/183780", "183780")</f>
        <v>183780</v>
      </c>
      <c r="C7943" s="9"/>
      <c r="D7943" t="str">
        <f>"cdr-3"</f>
        <v>cdr-3</v>
      </c>
      <c r="E7943" t="s">
        <v>10014</v>
      </c>
      <c r="F7943" t="s">
        <v>11</v>
      </c>
      <c r="G7943" t="s">
        <v>10015</v>
      </c>
      <c r="H7943" s="12">
        <v>-1.7422690998207599</v>
      </c>
      <c r="I7943" s="20">
        <v>-1.09104624060785</v>
      </c>
      <c r="J7943" s="28">
        <v>0.27525253624511897</v>
      </c>
      <c r="K7943" s="29">
        <v>0.98289565623980701</v>
      </c>
    </row>
    <row r="7944" spans="1:11" x14ac:dyDescent="0.35">
      <c r="A7944" s="9" t="str">
        <f>HYPERLINK("http://www.ensembl.org/id/WBGene00010471", "WBGene00010471")</f>
        <v>WBGene00010471</v>
      </c>
      <c r="B7944" s="9" t="str">
        <f>HYPERLINK("http://www.ncbi.nlm.nih.gov/gene/179703", "179703")</f>
        <v>179703</v>
      </c>
      <c r="C7944" s="9"/>
      <c r="D7944" t="str">
        <f>"cdr-6"</f>
        <v>cdr-6</v>
      </c>
      <c r="E7944" t="s">
        <v>7204</v>
      </c>
      <c r="F7944" t="s">
        <v>11</v>
      </c>
      <c r="G7944" t="s">
        <v>318</v>
      </c>
      <c r="H7944" s="12">
        <v>-1.1135546268159899</v>
      </c>
      <c r="I7944" s="20">
        <v>-0.55259701344021395</v>
      </c>
      <c r="J7944" s="28">
        <v>0.58053938750756295</v>
      </c>
      <c r="K7944" s="29">
        <v>0.98289565623980701</v>
      </c>
    </row>
    <row r="7945" spans="1:11" x14ac:dyDescent="0.35">
      <c r="A7945" s="9" t="str">
        <f>HYPERLINK("http://www.ensembl.org/id/WBGene00010472", "WBGene00010472")</f>
        <v>WBGene00010472</v>
      </c>
      <c r="B7945" s="9" t="str">
        <f>HYPERLINK("http://www.ncbi.nlm.nih.gov/gene/24104698", "24104698")</f>
        <v>24104698</v>
      </c>
      <c r="C7945" s="9"/>
      <c r="D7945" t="str">
        <f>"cdr-7"</f>
        <v>cdr-7</v>
      </c>
      <c r="E7945" t="s">
        <v>5130</v>
      </c>
      <c r="F7945" t="s">
        <v>11</v>
      </c>
      <c r="G7945" t="s">
        <v>318</v>
      </c>
      <c r="H7945" s="12">
        <v>1.23331938531275</v>
      </c>
      <c r="I7945" s="20">
        <v>0.48692999883370103</v>
      </c>
      <c r="J7945" s="28">
        <v>0.626307938996157</v>
      </c>
      <c r="K7945" s="29">
        <v>0.98289565623980701</v>
      </c>
    </row>
    <row r="7946" spans="1:11" x14ac:dyDescent="0.35">
      <c r="A7946" s="9" t="str">
        <f>HYPERLINK("http://www.ensembl.org/id/WBGene00008349", "WBGene00008349")</f>
        <v>WBGene00008349</v>
      </c>
      <c r="B7946" s="9"/>
      <c r="C7946" s="9"/>
      <c r="D7946" t="str">
        <f>"CE7X_3.1"</f>
        <v>CE7X_3.1</v>
      </c>
      <c r="F7946" t="s">
        <v>80</v>
      </c>
      <c r="H7946" s="12">
        <v>1.4644393957209101</v>
      </c>
      <c r="I7946" s="20">
        <v>0.36937617695053299</v>
      </c>
      <c r="J7946" s="28">
        <v>0.71184735247245301</v>
      </c>
      <c r="K7946" s="29">
        <v>0.98289565623980701</v>
      </c>
    </row>
    <row r="7947" spans="1:11" x14ac:dyDescent="0.35">
      <c r="A7947" s="9" t="str">
        <f>HYPERLINK("http://www.ensembl.org/id/WBGene00016754", "WBGene00016754")</f>
        <v>WBGene00016754</v>
      </c>
      <c r="B7947" s="9" t="str">
        <f>HYPERLINK("http://www.ncbi.nlm.nih.gov/gene/172319", "172319")</f>
        <v>172319</v>
      </c>
      <c r="C7947" s="9"/>
      <c r="D7947" t="str">
        <f>"cebp-2"</f>
        <v>cebp-2</v>
      </c>
      <c r="E7947" t="s">
        <v>2861</v>
      </c>
      <c r="F7947" t="s">
        <v>11</v>
      </c>
      <c r="G7947" t="s">
        <v>7562</v>
      </c>
      <c r="H7947" s="12">
        <v>-1.1331540931666699</v>
      </c>
      <c r="I7947" s="20">
        <v>-0.538722152650011</v>
      </c>
      <c r="J7947" s="28">
        <v>0.59007858584776796</v>
      </c>
      <c r="K7947" s="29">
        <v>0.98289565623980701</v>
      </c>
    </row>
    <row r="7948" spans="1:11" x14ac:dyDescent="0.35">
      <c r="A7948" s="9" t="str">
        <f>HYPERLINK("http://www.ensembl.org/id/WBGene00000414", "WBGene00000414")</f>
        <v>WBGene00000414</v>
      </c>
      <c r="B7948" s="9" t="str">
        <f>HYPERLINK("http://www.ncbi.nlm.nih.gov/gene/176190", "176190")</f>
        <v>176190</v>
      </c>
      <c r="C7948" s="9"/>
      <c r="D7948" t="str">
        <f>"cec-1"</f>
        <v>cec-1</v>
      </c>
      <c r="E7948" t="s">
        <v>5770</v>
      </c>
      <c r="F7948" t="s">
        <v>11</v>
      </c>
      <c r="H7948" s="12">
        <v>1.1070270733754199</v>
      </c>
      <c r="I7948" s="20">
        <v>0.53372975418422797</v>
      </c>
      <c r="J7948" s="28">
        <v>0.59352852025910297</v>
      </c>
      <c r="K7948" s="29">
        <v>0.98289565623980701</v>
      </c>
    </row>
    <row r="7949" spans="1:11" x14ac:dyDescent="0.35">
      <c r="A7949" s="9" t="str">
        <f>HYPERLINK("http://www.ensembl.org/id/WBGene00016796", "WBGene00016796")</f>
        <v>WBGene00016796</v>
      </c>
      <c r="B7949" s="9" t="str">
        <f>HYPERLINK("http://www.ncbi.nlm.nih.gov/gene/176934", "176934")</f>
        <v>176934</v>
      </c>
      <c r="C7949" s="9"/>
      <c r="D7949" t="str">
        <f>"cec-2"</f>
        <v>cec-2</v>
      </c>
      <c r="E7949" t="s">
        <v>1624</v>
      </c>
      <c r="F7949" t="s">
        <v>11</v>
      </c>
      <c r="H7949" s="12">
        <v>-1.2933095260181</v>
      </c>
      <c r="I7949" s="20">
        <v>-1.13229880797977</v>
      </c>
      <c r="J7949" s="28">
        <v>0.25750883109766998</v>
      </c>
      <c r="K7949" s="29">
        <v>0.98289565623980701</v>
      </c>
    </row>
    <row r="7950" spans="1:11" x14ac:dyDescent="0.35">
      <c r="A7950" s="9" t="str">
        <f>HYPERLINK("http://www.ensembl.org/id/WBGene00017993", "WBGene00017993")</f>
        <v>WBGene00017993</v>
      </c>
      <c r="B7950" s="9" t="str">
        <f>HYPERLINK("http://www.ncbi.nlm.nih.gov/gene/177537", "177537")</f>
        <v>177537</v>
      </c>
      <c r="C7950" s="9"/>
      <c r="D7950" t="str">
        <f>"cec-5"</f>
        <v>cec-5</v>
      </c>
      <c r="E7950" t="s">
        <v>5913</v>
      </c>
      <c r="F7950" t="s">
        <v>11</v>
      </c>
      <c r="G7950" t="s">
        <v>967</v>
      </c>
      <c r="H7950" s="12">
        <v>1.0857541282296801</v>
      </c>
      <c r="I7950" s="20">
        <v>0.37377130093331401</v>
      </c>
      <c r="J7950" s="28">
        <v>0.70857447299175202</v>
      </c>
      <c r="K7950" s="29">
        <v>0.98289565623980701</v>
      </c>
    </row>
    <row r="7951" spans="1:11" x14ac:dyDescent="0.35">
      <c r="A7951" s="9" t="str">
        <f>HYPERLINK("http://www.ensembl.org/id/WBGene00020463", "WBGene00020463")</f>
        <v>WBGene00020463</v>
      </c>
      <c r="B7951" s="9" t="str">
        <f>HYPERLINK("http://www.ncbi.nlm.nih.gov/gene/177338", "177338")</f>
        <v>177338</v>
      </c>
      <c r="C7951" s="9"/>
      <c r="D7951" t="str">
        <f>"cec-6"</f>
        <v>cec-6</v>
      </c>
      <c r="E7951" t="s">
        <v>1624</v>
      </c>
      <c r="F7951" t="s">
        <v>11</v>
      </c>
      <c r="H7951" s="12">
        <v>-1.2829812442156301</v>
      </c>
      <c r="I7951" s="20">
        <v>-1.07414603576926</v>
      </c>
      <c r="J7951" s="28">
        <v>0.28275723434394601</v>
      </c>
      <c r="K7951" s="29">
        <v>0.98289565623980701</v>
      </c>
    </row>
    <row r="7952" spans="1:11" x14ac:dyDescent="0.35">
      <c r="A7952" s="9" t="str">
        <f>HYPERLINK("http://www.ensembl.org/id/WBGene00000424", "WBGene00000424")</f>
        <v>WBGene00000424</v>
      </c>
      <c r="B7952" s="9" t="str">
        <f>HYPERLINK("http://www.ncbi.nlm.nih.gov/gene/177111", "177111")</f>
        <v>177111</v>
      </c>
      <c r="C7952" s="9" t="str">
        <f>HYPERLINK("http://www.ncbi.nlm.nih.gov/gene/5881", "5881")</f>
        <v>5881</v>
      </c>
      <c r="D7952" t="str">
        <f>"ced-10"</f>
        <v>ced-10</v>
      </c>
      <c r="E7952" t="s">
        <v>8252</v>
      </c>
      <c r="F7952" t="s">
        <v>11</v>
      </c>
      <c r="G7952" t="s">
        <v>4103</v>
      </c>
      <c r="H7952" s="12">
        <v>-1.16759632025104</v>
      </c>
      <c r="I7952" s="20">
        <v>-0.81371123990067495</v>
      </c>
      <c r="J7952" s="28">
        <v>0.41581039357994898</v>
      </c>
      <c r="K7952" s="29">
        <v>0.98289565623980701</v>
      </c>
    </row>
    <row r="7953" spans="1:11" x14ac:dyDescent="0.35">
      <c r="A7953" s="9" t="str">
        <f>HYPERLINK("http://www.ensembl.org/id/WBGene00000426", "WBGene00000426")</f>
        <v>WBGene00000426</v>
      </c>
      <c r="B7953" s="9" t="str">
        <f>HYPERLINK("http://www.ncbi.nlm.nih.gov/gene/172890", "172890")</f>
        <v>172890</v>
      </c>
      <c r="C7953" s="9" t="str">
        <f>HYPERLINK("http://www.ncbi.nlm.nih.gov/gene/9844", "9844")</f>
        <v>9844</v>
      </c>
      <c r="D7953" t="str">
        <f>"ced-12"</f>
        <v>ced-12</v>
      </c>
      <c r="E7953" t="s">
        <v>7011</v>
      </c>
      <c r="F7953" t="s">
        <v>11</v>
      </c>
      <c r="G7953" t="s">
        <v>7012</v>
      </c>
      <c r="H7953" s="12">
        <v>-1.1021762139692799</v>
      </c>
      <c r="I7953" s="20">
        <v>-0.52698748228224501</v>
      </c>
      <c r="J7953" s="28">
        <v>0.59820228125331498</v>
      </c>
      <c r="K7953" s="29">
        <v>0.98289565623980701</v>
      </c>
    </row>
    <row r="7954" spans="1:11" x14ac:dyDescent="0.35">
      <c r="A7954" s="9" t="str">
        <f>HYPERLINK("http://www.ensembl.org/id/WBGene00000427", "WBGene00000427")</f>
        <v>WBGene00000427</v>
      </c>
      <c r="B7954" s="9" t="str">
        <f>HYPERLINK("http://www.ncbi.nlm.nih.gov/gene/191625", "191625")</f>
        <v>191625</v>
      </c>
      <c r="C7954" s="9"/>
      <c r="D7954" t="str">
        <f>"ced-13"</f>
        <v>ced-13</v>
      </c>
      <c r="F7954" t="s">
        <v>11</v>
      </c>
      <c r="G7954" t="s">
        <v>10111</v>
      </c>
      <c r="H7954" s="12">
        <v>-4.7069891493991998</v>
      </c>
      <c r="I7954" s="20">
        <v>-0.56731576878075296</v>
      </c>
      <c r="J7954" s="28">
        <v>0.57049966550338205</v>
      </c>
      <c r="K7954" s="29">
        <v>0.98289565623980701</v>
      </c>
    </row>
    <row r="7955" spans="1:11" x14ac:dyDescent="0.35">
      <c r="A7955" s="9" t="str">
        <f>HYPERLINK("http://www.ensembl.org/id/WBGene00000421", "WBGene00000421")</f>
        <v>WBGene00000421</v>
      </c>
      <c r="B7955" s="9" t="str">
        <f>HYPERLINK("http://www.ncbi.nlm.nih.gov/gene/176352", "176352")</f>
        <v>176352</v>
      </c>
      <c r="C7955" s="9"/>
      <c r="D7955" t="str">
        <f>"ced-7"</f>
        <v>ced-7</v>
      </c>
      <c r="E7955" t="s">
        <v>6196</v>
      </c>
      <c r="F7955" t="s">
        <v>11</v>
      </c>
      <c r="G7955" t="s">
        <v>6197</v>
      </c>
      <c r="H7955" s="12">
        <v>-1.05300340817525</v>
      </c>
      <c r="I7955" s="20">
        <v>-0.28275696353315999</v>
      </c>
      <c r="J7955" s="28">
        <v>0.77736314664449002</v>
      </c>
      <c r="K7955" s="29">
        <v>0.98289565623980701</v>
      </c>
    </row>
    <row r="7956" spans="1:11" x14ac:dyDescent="0.35">
      <c r="A7956" s="9" t="str">
        <f>HYPERLINK("http://www.ensembl.org/id/WBGene00000422", "WBGene00000422")</f>
        <v>WBGene00000422</v>
      </c>
      <c r="B7956" s="9" t="str">
        <f>HYPERLINK("http://www.ncbi.nlm.nih.gov/gene/184190", "184190")</f>
        <v>184190</v>
      </c>
      <c r="C7956" s="9" t="str">
        <f>HYPERLINK("http://www.ncbi.nlm.nih.gov/gene/286046", "286046")</f>
        <v>286046</v>
      </c>
      <c r="D7956" t="str">
        <f>"ced-8"</f>
        <v>ced-8</v>
      </c>
      <c r="E7956" t="s">
        <v>9837</v>
      </c>
      <c r="F7956" t="s">
        <v>11</v>
      </c>
      <c r="G7956" t="s">
        <v>1268</v>
      </c>
      <c r="H7956" s="12">
        <v>-1.31978738102283</v>
      </c>
      <c r="I7956" s="20">
        <v>-0.70199209153273601</v>
      </c>
      <c r="J7956" s="28">
        <v>0.48268409544185098</v>
      </c>
      <c r="K7956" s="29">
        <v>0.98289565623980701</v>
      </c>
    </row>
    <row r="7957" spans="1:11" x14ac:dyDescent="0.35">
      <c r="A7957" s="9" t="str">
        <f>HYPERLINK("http://www.ensembl.org/id/WBGene00000423", "WBGene00000423")</f>
        <v>WBGene00000423</v>
      </c>
      <c r="B7957" s="9" t="str">
        <f>HYPERLINK("http://www.ncbi.nlm.nih.gov/gene/3565776", "3565776")</f>
        <v>3565776</v>
      </c>
      <c r="C7957" s="9"/>
      <c r="D7957" t="str">
        <f>"ced-9"</f>
        <v>ced-9</v>
      </c>
      <c r="E7957" t="s">
        <v>8518</v>
      </c>
      <c r="F7957" t="s">
        <v>11</v>
      </c>
      <c r="G7957" t="s">
        <v>8519</v>
      </c>
      <c r="H7957" s="12">
        <v>-1.1817477506173</v>
      </c>
      <c r="I7957" s="20">
        <v>-0.77971206046804298</v>
      </c>
      <c r="J7957" s="28">
        <v>0.43556037830806599</v>
      </c>
      <c r="K7957" s="29">
        <v>0.98289565623980701</v>
      </c>
    </row>
    <row r="7958" spans="1:11" x14ac:dyDescent="0.35">
      <c r="A7958" s="9" t="str">
        <f>HYPERLINK("http://www.ensembl.org/id/WBGene00017825", "WBGene00017825")</f>
        <v>WBGene00017825</v>
      </c>
      <c r="B7958" s="9" t="str">
        <f>HYPERLINK("http://www.ncbi.nlm.nih.gov/gene/175658", "175658")</f>
        <v>175658</v>
      </c>
      <c r="C7958" s="9"/>
      <c r="D7958" t="str">
        <f>"cee-1"</f>
        <v>cee-1</v>
      </c>
      <c r="E7958" t="s">
        <v>9257</v>
      </c>
      <c r="F7958" t="s">
        <v>11</v>
      </c>
      <c r="G7958" t="s">
        <v>9258</v>
      </c>
      <c r="H7958" s="12">
        <v>-1.2312386494416201</v>
      </c>
      <c r="I7958" s="20">
        <v>-1.06589795513281</v>
      </c>
      <c r="J7958" s="28">
        <v>0.28646977348083702</v>
      </c>
      <c r="K7958" s="29">
        <v>0.98289565623980701</v>
      </c>
    </row>
    <row r="7959" spans="1:11" x14ac:dyDescent="0.35">
      <c r="A7959" s="9" t="str">
        <f>HYPERLINK("http://www.ensembl.org/id/WBGene00010628", "WBGene00010628")</f>
        <v>WBGene00010628</v>
      </c>
      <c r="B7959" s="9" t="str">
        <f>HYPERLINK("http://www.ncbi.nlm.nih.gov/gene/179444", "179444")</f>
        <v>179444</v>
      </c>
      <c r="C7959" s="9" t="str">
        <f>HYPERLINK("http://www.ncbi.nlm.nih.gov/gene/253152", "253152")</f>
        <v>253152</v>
      </c>
      <c r="D7959" t="str">
        <f>"ceeh-2"</f>
        <v>ceeh-2</v>
      </c>
      <c r="E7959" t="s">
        <v>9763</v>
      </c>
      <c r="F7959" t="s">
        <v>11</v>
      </c>
      <c r="G7959" t="s">
        <v>2319</v>
      </c>
      <c r="H7959" s="12">
        <v>-1.2962309005880199</v>
      </c>
      <c r="I7959" s="20">
        <v>-1.13807062883662</v>
      </c>
      <c r="J7959" s="28">
        <v>0.255090991339948</v>
      </c>
      <c r="K7959" s="29">
        <v>0.98289565623980701</v>
      </c>
    </row>
    <row r="7960" spans="1:11" x14ac:dyDescent="0.35">
      <c r="A7960" s="9" t="str">
        <f>HYPERLINK("http://www.ensembl.org/id/WBGene00000428", "WBGene00000428")</f>
        <v>WBGene00000428</v>
      </c>
      <c r="B7960" s="9" t="str">
        <f>HYPERLINK("http://www.ncbi.nlm.nih.gov/gene/191614", "191614")</f>
        <v>191614</v>
      </c>
      <c r="C7960" s="9"/>
      <c r="D7960" t="str">
        <f>"ceh-1"</f>
        <v>ceh-1</v>
      </c>
      <c r="E7960" t="s">
        <v>5107</v>
      </c>
      <c r="F7960" t="s">
        <v>11</v>
      </c>
      <c r="G7960" t="s">
        <v>1012</v>
      </c>
      <c r="H7960" s="12">
        <v>1.2385917062709699</v>
      </c>
      <c r="I7960" s="20">
        <v>0.452347407563364</v>
      </c>
      <c r="J7960" s="28">
        <v>0.65101872835630903</v>
      </c>
      <c r="K7960" s="29">
        <v>0.98289565623980701</v>
      </c>
    </row>
    <row r="7961" spans="1:11" x14ac:dyDescent="0.35">
      <c r="A7961" s="9" t="str">
        <f>HYPERLINK("http://www.ensembl.org/id/WBGene00000435", "WBGene00000435")</f>
        <v>WBGene00000435</v>
      </c>
      <c r="B7961" s="9" t="str">
        <f>HYPERLINK("http://www.ncbi.nlm.nih.gov/gene/175811", "175811")</f>
        <v>175811</v>
      </c>
      <c r="C7961" s="9"/>
      <c r="D7961" t="str">
        <f>"ceh-10"</f>
        <v>ceh-10</v>
      </c>
      <c r="E7961" t="s">
        <v>4927</v>
      </c>
      <c r="F7961" t="s">
        <v>11</v>
      </c>
      <c r="G7961" t="s">
        <v>1012</v>
      </c>
      <c r="H7961" s="12">
        <v>1.2962417246860001</v>
      </c>
      <c r="I7961" s="20">
        <v>0.74447230795518604</v>
      </c>
      <c r="J7961" s="28">
        <v>0.45659078829607103</v>
      </c>
      <c r="K7961" s="29">
        <v>0.98289565623980701</v>
      </c>
    </row>
    <row r="7962" spans="1:11" x14ac:dyDescent="0.35">
      <c r="A7962" s="9" t="str">
        <f>HYPERLINK("http://www.ensembl.org/id/WBGene00012584", "WBGene00012584")</f>
        <v>WBGene00012584</v>
      </c>
      <c r="B7962" s="9" t="str">
        <f>HYPERLINK("http://www.ncbi.nlm.nih.gov/gene/174894", "174894")</f>
        <v>174894</v>
      </c>
      <c r="C7962" s="9"/>
      <c r="D7962" t="str">
        <f>"ceh-100"</f>
        <v>ceh-100</v>
      </c>
      <c r="E7962" t="s">
        <v>349</v>
      </c>
      <c r="F7962" t="s">
        <v>11</v>
      </c>
      <c r="G7962" t="s">
        <v>6309</v>
      </c>
      <c r="H7962" s="12">
        <v>-1.0617991044673101</v>
      </c>
      <c r="I7962" s="20">
        <v>-0.304524010173223</v>
      </c>
      <c r="J7962" s="28">
        <v>0.76072870332929599</v>
      </c>
      <c r="K7962" s="29">
        <v>0.98289565623980701</v>
      </c>
    </row>
    <row r="7963" spans="1:11" x14ac:dyDescent="0.35">
      <c r="A7963" s="9" t="str">
        <f>HYPERLINK("http://www.ensembl.org/id/WBGene00000438", "WBGene00000438")</f>
        <v>WBGene00000438</v>
      </c>
      <c r="B7963" s="9" t="str">
        <f>HYPERLINK("http://www.ncbi.nlm.nih.gov/gene/181012", "181012")</f>
        <v>181012</v>
      </c>
      <c r="C7963" s="9"/>
      <c r="D7963" t="str">
        <f>"ceh-14"</f>
        <v>ceh-14</v>
      </c>
      <c r="E7963" t="s">
        <v>6440</v>
      </c>
      <c r="F7963" t="s">
        <v>11</v>
      </c>
      <c r="G7963" t="s">
        <v>1012</v>
      </c>
      <c r="H7963" s="12">
        <v>-1.06923625296516</v>
      </c>
      <c r="I7963" s="20">
        <v>-0.32975023377835</v>
      </c>
      <c r="J7963" s="28">
        <v>0.74158869358954504</v>
      </c>
      <c r="K7963" s="29">
        <v>0.98289565623980701</v>
      </c>
    </row>
    <row r="7964" spans="1:11" x14ac:dyDescent="0.35">
      <c r="A7964" s="9" t="str">
        <f>HYPERLINK("http://www.ensembl.org/id/WBGene00000439", "WBGene00000439")</f>
        <v>WBGene00000439</v>
      </c>
      <c r="B7964" s="9" t="str">
        <f>HYPERLINK("http://www.ncbi.nlm.nih.gov/gene/191618", "191618")</f>
        <v>191618</v>
      </c>
      <c r="C7964" s="9"/>
      <c r="D7964" t="str">
        <f>"ceh-16"</f>
        <v>ceh-16</v>
      </c>
      <c r="E7964" t="s">
        <v>4776</v>
      </c>
      <c r="F7964" t="s">
        <v>11</v>
      </c>
      <c r="G7964" t="s">
        <v>1012</v>
      </c>
      <c r="H7964" s="12">
        <v>1.38915098168981</v>
      </c>
      <c r="I7964" s="20">
        <v>0.78808210122458999</v>
      </c>
      <c r="J7964" s="28">
        <v>0.430648683980352</v>
      </c>
      <c r="K7964" s="29">
        <v>0.98289565623980701</v>
      </c>
    </row>
    <row r="7965" spans="1:11" x14ac:dyDescent="0.35">
      <c r="A7965" s="9" t="str">
        <f>HYPERLINK("http://www.ensembl.org/id/WBGene00000440", "WBGene00000440")</f>
        <v>WBGene00000440</v>
      </c>
      <c r="B7965" s="9" t="str">
        <f>HYPERLINK("http://www.ncbi.nlm.nih.gov/gene/172059", "172059")</f>
        <v>172059</v>
      </c>
      <c r="C7965" s="9"/>
      <c r="D7965" t="str">
        <f>"ceh-17"</f>
        <v>ceh-17</v>
      </c>
      <c r="E7965" t="s">
        <v>4530</v>
      </c>
      <c r="F7965" t="s">
        <v>11</v>
      </c>
      <c r="G7965" t="s">
        <v>4531</v>
      </c>
      <c r="H7965" s="12">
        <v>1.7667611571858901</v>
      </c>
      <c r="I7965" s="20">
        <v>0.90237932060057802</v>
      </c>
      <c r="J7965" s="28">
        <v>0.36685540240354098</v>
      </c>
      <c r="K7965" s="29">
        <v>0.98289565623980701</v>
      </c>
    </row>
    <row r="7966" spans="1:11" x14ac:dyDescent="0.35">
      <c r="A7966" s="9" t="str">
        <f>HYPERLINK("http://www.ensembl.org/id/WBGene00000442", "WBGene00000442")</f>
        <v>WBGene00000442</v>
      </c>
      <c r="B7966" s="9" t="str">
        <f>HYPERLINK("http://www.ncbi.nlm.nih.gov/gene/177590", "177590")</f>
        <v>177590</v>
      </c>
      <c r="C7966" s="9"/>
      <c r="D7966" t="str">
        <f>"ceh-19"</f>
        <v>ceh-19</v>
      </c>
      <c r="E7966" t="s">
        <v>9563</v>
      </c>
      <c r="F7966" t="s">
        <v>11</v>
      </c>
      <c r="G7966" t="s">
        <v>1012</v>
      </c>
      <c r="H7966" s="12">
        <v>-1.2591287379545</v>
      </c>
      <c r="I7966" s="20">
        <v>-0.62300156903071602</v>
      </c>
      <c r="J7966" s="28">
        <v>0.53328349076529502</v>
      </c>
      <c r="K7966" s="29">
        <v>0.98289565623980701</v>
      </c>
    </row>
    <row r="7967" spans="1:11" x14ac:dyDescent="0.35">
      <c r="A7967" s="9" t="str">
        <f>HYPERLINK("http://www.ensembl.org/id/WBGene00000429", "WBGene00000429")</f>
        <v>WBGene00000429</v>
      </c>
      <c r="B7967" s="9" t="str">
        <f>HYPERLINK("http://www.ncbi.nlm.nih.gov/gene/191615", "191615")</f>
        <v>191615</v>
      </c>
      <c r="C7967" s="9"/>
      <c r="D7967" t="str">
        <f>"ceh-2"</f>
        <v>ceh-2</v>
      </c>
      <c r="E7967" t="s">
        <v>4791</v>
      </c>
      <c r="F7967" t="s">
        <v>11</v>
      </c>
      <c r="G7967" t="s">
        <v>1012</v>
      </c>
      <c r="H7967" s="12">
        <v>1.37261334559593</v>
      </c>
      <c r="I7967" s="20">
        <v>0.53844783120757</v>
      </c>
      <c r="J7967" s="28">
        <v>0.59026791221086505</v>
      </c>
      <c r="K7967" s="29">
        <v>0.98289565623980701</v>
      </c>
    </row>
    <row r="7968" spans="1:11" x14ac:dyDescent="0.35">
      <c r="A7968" s="9" t="str">
        <f>HYPERLINK("http://www.ensembl.org/id/WBGene00000444", "WBGene00000444")</f>
        <v>WBGene00000444</v>
      </c>
      <c r="B7968" s="9" t="str">
        <f>HYPERLINK("http://www.ncbi.nlm.nih.gov/gene/180504", "180504")</f>
        <v>180504</v>
      </c>
      <c r="C7968" s="9"/>
      <c r="D7968" t="str">
        <f>"ceh-21"</f>
        <v>ceh-21</v>
      </c>
      <c r="E7968" t="s">
        <v>8451</v>
      </c>
      <c r="F7968" t="s">
        <v>11</v>
      </c>
      <c r="G7968" t="s">
        <v>350</v>
      </c>
      <c r="H7968" s="12">
        <v>-1.1787290190341799</v>
      </c>
      <c r="I7968" s="20">
        <v>-0.69303211612464699</v>
      </c>
      <c r="J7968" s="28">
        <v>0.48828939693216</v>
      </c>
      <c r="K7968" s="29">
        <v>0.98289565623980701</v>
      </c>
    </row>
    <row r="7969" spans="1:11" x14ac:dyDescent="0.35">
      <c r="A7969" s="9" t="str">
        <f>HYPERLINK("http://www.ensembl.org/id/WBGene00000445", "WBGene00000445")</f>
        <v>WBGene00000445</v>
      </c>
      <c r="B7969" s="9" t="str">
        <f>HYPERLINK("http://www.ncbi.nlm.nih.gov/gene/179485", "179485")</f>
        <v>179485</v>
      </c>
      <c r="C7969" s="9"/>
      <c r="D7969" t="str">
        <f>"ceh-22"</f>
        <v>ceh-22</v>
      </c>
      <c r="E7969" t="s">
        <v>4856</v>
      </c>
      <c r="F7969" t="s">
        <v>11</v>
      </c>
      <c r="G7969" t="s">
        <v>4857</v>
      </c>
      <c r="H7969" s="12">
        <v>1.33034824102362</v>
      </c>
      <c r="I7969" s="20">
        <v>0.75608117770767402</v>
      </c>
      <c r="J7969" s="28">
        <v>0.44960052629816599</v>
      </c>
      <c r="K7969" s="29">
        <v>0.98289565623980701</v>
      </c>
    </row>
    <row r="7970" spans="1:11" x14ac:dyDescent="0.35">
      <c r="A7970" s="9" t="str">
        <f>HYPERLINK("http://www.ensembl.org/id/WBGene00000450", "WBGene00000450")</f>
        <v>WBGene00000450</v>
      </c>
      <c r="B7970" s="9" t="str">
        <f>HYPERLINK("http://www.ncbi.nlm.nih.gov/gene/191619", "191619")</f>
        <v>191619</v>
      </c>
      <c r="C7970" s="9"/>
      <c r="D7970" t="str">
        <f>"ceh-28"</f>
        <v>ceh-28</v>
      </c>
      <c r="E7970" t="s">
        <v>4483</v>
      </c>
      <c r="F7970" t="s">
        <v>11</v>
      </c>
      <c r="G7970" t="s">
        <v>4484</v>
      </c>
      <c r="H7970" s="12">
        <v>1.88210398482228</v>
      </c>
      <c r="I7970" s="20">
        <v>0.40011805567480502</v>
      </c>
      <c r="J7970" s="28">
        <v>0.68906956607272596</v>
      </c>
      <c r="K7970" s="29">
        <v>0.98289565623980701</v>
      </c>
    </row>
    <row r="7971" spans="1:11" x14ac:dyDescent="0.35">
      <c r="A7971" s="9" t="str">
        <f>HYPERLINK("http://www.ensembl.org/id/WBGene00000452", "WBGene00000452")</f>
        <v>WBGene00000452</v>
      </c>
      <c r="B7971" s="9" t="str">
        <f>HYPERLINK("http://www.ncbi.nlm.nih.gov/gene/191621", "191621")</f>
        <v>191621</v>
      </c>
      <c r="C7971" s="9"/>
      <c r="D7971" t="str">
        <f>"ceh-31"</f>
        <v>ceh-31</v>
      </c>
      <c r="E7971" t="s">
        <v>4815</v>
      </c>
      <c r="F7971" t="s">
        <v>11</v>
      </c>
      <c r="G7971" t="s">
        <v>1012</v>
      </c>
      <c r="H7971" s="12">
        <v>1.3568081672001699</v>
      </c>
      <c r="I7971" s="20">
        <v>0.727270140725777</v>
      </c>
      <c r="J7971" s="28">
        <v>0.46706048590090299</v>
      </c>
      <c r="K7971" s="29">
        <v>0.98289565623980701</v>
      </c>
    </row>
    <row r="7972" spans="1:11" x14ac:dyDescent="0.35">
      <c r="A7972" s="9" t="str">
        <f>HYPERLINK("http://www.ensembl.org/id/WBGene00000454", "WBGene00000454")</f>
        <v>WBGene00000454</v>
      </c>
      <c r="B7972" s="9" t="str">
        <f>HYPERLINK("http://www.ncbi.nlm.nih.gov/gene/191622", "191622")</f>
        <v>191622</v>
      </c>
      <c r="C7972" s="9"/>
      <c r="D7972" t="str">
        <f>"ceh-33"</f>
        <v>ceh-33</v>
      </c>
      <c r="E7972" t="s">
        <v>5021</v>
      </c>
      <c r="F7972" t="s">
        <v>11</v>
      </c>
      <c r="G7972" t="s">
        <v>1012</v>
      </c>
      <c r="H7972" s="12">
        <v>1.25884602807417</v>
      </c>
      <c r="I7972" s="20">
        <v>0.42530012615420998</v>
      </c>
      <c r="J7972" s="28">
        <v>0.67061790161040002</v>
      </c>
      <c r="K7972" s="29">
        <v>0.98289565623980701</v>
      </c>
    </row>
    <row r="7973" spans="1:11" x14ac:dyDescent="0.35">
      <c r="A7973" s="9" t="str">
        <f>HYPERLINK("http://www.ensembl.org/id/WBGene00000458", "WBGene00000458")</f>
        <v>WBGene00000458</v>
      </c>
      <c r="B7973" s="9" t="str">
        <f>HYPERLINK("http://www.ncbi.nlm.nih.gov/gene/181530", "181530")</f>
        <v>181530</v>
      </c>
      <c r="C7973" s="9"/>
      <c r="D7973" t="str">
        <f>"ceh-37"</f>
        <v>ceh-37</v>
      </c>
      <c r="E7973" t="s">
        <v>8512</v>
      </c>
      <c r="F7973" t="s">
        <v>11</v>
      </c>
      <c r="G7973" t="s">
        <v>4857</v>
      </c>
      <c r="H7973" s="12">
        <v>-1.1815171466161001</v>
      </c>
      <c r="I7973" s="20">
        <v>-0.63123985679697003</v>
      </c>
      <c r="J7973" s="28">
        <v>0.52788370508306104</v>
      </c>
      <c r="K7973" s="29">
        <v>0.98289565623980701</v>
      </c>
    </row>
    <row r="7974" spans="1:11" x14ac:dyDescent="0.35">
      <c r="A7974" s="9" t="str">
        <f>HYPERLINK("http://www.ensembl.org/id/WBGene00000459", "WBGene00000459")</f>
        <v>WBGene00000459</v>
      </c>
      <c r="B7974" s="9" t="str">
        <f>HYPERLINK("http://www.ncbi.nlm.nih.gov/gene/174136", "174136")</f>
        <v>174136</v>
      </c>
      <c r="C7974" s="9"/>
      <c r="D7974" t="str">
        <f>"ceh-38"</f>
        <v>ceh-38</v>
      </c>
      <c r="E7974" t="s">
        <v>7765</v>
      </c>
      <c r="F7974" t="s">
        <v>11</v>
      </c>
      <c r="G7974" t="s">
        <v>4292</v>
      </c>
      <c r="H7974" s="12">
        <v>-1.1430266610753701</v>
      </c>
      <c r="I7974" s="20">
        <v>-0.69327606309407197</v>
      </c>
      <c r="J7974" s="28">
        <v>0.488136321899098</v>
      </c>
      <c r="K7974" s="29">
        <v>0.98289565623980701</v>
      </c>
    </row>
    <row r="7975" spans="1:11" x14ac:dyDescent="0.35">
      <c r="A7975" s="9" t="str">
        <f>HYPERLINK("http://www.ensembl.org/id/WBGene00000460", "WBGene00000460")</f>
        <v>WBGene00000460</v>
      </c>
      <c r="B7975" s="9" t="str">
        <f>HYPERLINK("http://www.ncbi.nlm.nih.gov/gene/180505", "180505")</f>
        <v>180505</v>
      </c>
      <c r="C7975" s="9"/>
      <c r="D7975" t="str">
        <f>"ceh-39"</f>
        <v>ceh-39</v>
      </c>
      <c r="E7975" t="s">
        <v>7903</v>
      </c>
      <c r="F7975" t="s">
        <v>11</v>
      </c>
      <c r="G7975" t="s">
        <v>350</v>
      </c>
      <c r="H7975" s="12">
        <v>-1.15076115035381</v>
      </c>
      <c r="I7975" s="20">
        <v>-0.54319947469203</v>
      </c>
      <c r="J7975" s="28">
        <v>0.58699246823549001</v>
      </c>
      <c r="K7975" s="29">
        <v>0.98289565623980701</v>
      </c>
    </row>
    <row r="7976" spans="1:11" x14ac:dyDescent="0.35">
      <c r="A7976" s="9" t="str">
        <f>HYPERLINK("http://www.ensembl.org/id/WBGene00000462", "WBGene00000462")</f>
        <v>WBGene00000462</v>
      </c>
      <c r="B7976" s="9" t="str">
        <f>HYPERLINK("http://www.ncbi.nlm.nih.gov/gene/180503", "180503")</f>
        <v>180503</v>
      </c>
      <c r="C7976" s="9"/>
      <c r="D7976" t="str">
        <f>"ceh-41"</f>
        <v>ceh-41</v>
      </c>
      <c r="E7976" t="s">
        <v>349</v>
      </c>
      <c r="F7976" t="s">
        <v>11</v>
      </c>
      <c r="G7976" t="s">
        <v>7411</v>
      </c>
      <c r="H7976" s="12">
        <v>-1.1241007206019</v>
      </c>
      <c r="I7976" s="20">
        <v>-0.41223764038854199</v>
      </c>
      <c r="J7976" s="28">
        <v>0.68016525072026002</v>
      </c>
      <c r="K7976" s="29">
        <v>0.98289565623980701</v>
      </c>
    </row>
    <row r="7977" spans="1:11" x14ac:dyDescent="0.35">
      <c r="A7977" s="9" t="str">
        <f>HYPERLINK("http://www.ensembl.org/id/WBGene00022837", "WBGene00022837")</f>
        <v>WBGene00022837</v>
      </c>
      <c r="B7977" s="9" t="str">
        <f>HYPERLINK("http://www.ncbi.nlm.nih.gov/gene/171689", "171689")</f>
        <v>171689</v>
      </c>
      <c r="C7977" s="9"/>
      <c r="D7977" t="str">
        <f>"ceh-45"</f>
        <v>ceh-45</v>
      </c>
      <c r="E7977" t="s">
        <v>349</v>
      </c>
      <c r="F7977" t="s">
        <v>11</v>
      </c>
      <c r="G7977" t="s">
        <v>5183</v>
      </c>
      <c r="H7977" s="12">
        <v>1.2199799806015801</v>
      </c>
      <c r="I7977" s="20">
        <v>0.45973343169536401</v>
      </c>
      <c r="J7977" s="28">
        <v>0.64570756978281196</v>
      </c>
      <c r="K7977" s="29">
        <v>0.98289565623980701</v>
      </c>
    </row>
    <row r="7978" spans="1:11" x14ac:dyDescent="0.35">
      <c r="A7978" s="9" t="str">
        <f>HYPERLINK("http://www.ensembl.org/id/WBGene00017538", "WBGene00017538")</f>
        <v>WBGene00017538</v>
      </c>
      <c r="B7978" s="9" t="str">
        <f>HYPERLINK("http://www.ncbi.nlm.nih.gov/gene/179001", "179001")</f>
        <v>179001</v>
      </c>
      <c r="C7978" s="9"/>
      <c r="D7978" t="str">
        <f>"ceh-49"</f>
        <v>ceh-49</v>
      </c>
      <c r="E7978" t="s">
        <v>1619</v>
      </c>
      <c r="F7978" t="s">
        <v>11</v>
      </c>
      <c r="G7978" t="s">
        <v>1620</v>
      </c>
      <c r="H7978" s="12">
        <v>-1.1972398289047601</v>
      </c>
      <c r="I7978" s="20">
        <v>-0.52756490381959897</v>
      </c>
      <c r="J7978" s="28">
        <v>0.59780135756226804</v>
      </c>
      <c r="K7978" s="29">
        <v>0.98289565623980701</v>
      </c>
    </row>
    <row r="7979" spans="1:11" x14ac:dyDescent="0.35">
      <c r="A7979" s="9" t="str">
        <f>HYPERLINK("http://www.ensembl.org/id/WBGene00000430", "WBGene00000430")</f>
        <v>WBGene00000430</v>
      </c>
      <c r="B7979" s="9" t="str">
        <f>HYPERLINK("http://www.ncbi.nlm.nih.gov/gene/191616", "191616")</f>
        <v>191616</v>
      </c>
      <c r="C7979" s="9"/>
      <c r="D7979" t="str">
        <f>"ceh-5"</f>
        <v>ceh-5</v>
      </c>
      <c r="E7979" t="s">
        <v>4497</v>
      </c>
      <c r="F7979" t="s">
        <v>11</v>
      </c>
      <c r="G7979" t="s">
        <v>1012</v>
      </c>
      <c r="H7979" s="12">
        <v>1.8509216444599601</v>
      </c>
      <c r="I7979" s="20">
        <v>1.1790062073133001</v>
      </c>
      <c r="J7979" s="28">
        <v>0.238395704117628</v>
      </c>
      <c r="K7979" s="29">
        <v>0.98289565623980701</v>
      </c>
    </row>
    <row r="7980" spans="1:11" x14ac:dyDescent="0.35">
      <c r="A7980" s="9" t="str">
        <f>HYPERLINK("http://www.ensembl.org/id/WBGene00020485", "WBGene00020485")</f>
        <v>WBGene00020485</v>
      </c>
      <c r="B7980" s="9" t="str">
        <f>HYPERLINK("http://www.ncbi.nlm.nih.gov/gene/188474", "188474")</f>
        <v>188474</v>
      </c>
      <c r="C7980" s="9"/>
      <c r="D7980" t="str">
        <f>"ceh-54"</f>
        <v>ceh-54</v>
      </c>
      <c r="E7980" t="s">
        <v>349</v>
      </c>
      <c r="F7980" t="s">
        <v>11</v>
      </c>
      <c r="G7980" t="s">
        <v>5183</v>
      </c>
      <c r="H7980" s="12">
        <v>-3.67108137998266</v>
      </c>
      <c r="I7980" s="20">
        <v>-0.73707369766119402</v>
      </c>
      <c r="J7980" s="28">
        <v>0.46107753323869799</v>
      </c>
      <c r="K7980" s="29">
        <v>0.98289565623980701</v>
      </c>
    </row>
    <row r="7981" spans="1:11" x14ac:dyDescent="0.35">
      <c r="A7981" s="9" t="str">
        <f>HYPERLINK("http://www.ensembl.org/id/WBGene00007416", "WBGene00007416")</f>
        <v>WBGene00007416</v>
      </c>
      <c r="B7981" s="9" t="str">
        <f>HYPERLINK("http://www.ncbi.nlm.nih.gov/gene/182370", "182370")</f>
        <v>182370</v>
      </c>
      <c r="C7981" s="9"/>
      <c r="D7981" t="str">
        <f>"ceh-57"</f>
        <v>ceh-57</v>
      </c>
      <c r="E7981" t="s">
        <v>349</v>
      </c>
      <c r="F7981" t="s">
        <v>11</v>
      </c>
      <c r="G7981" t="s">
        <v>4292</v>
      </c>
      <c r="H7981" s="12">
        <v>-1.3995869471399001</v>
      </c>
      <c r="I7981" s="20">
        <v>-0.39194513826135502</v>
      </c>
      <c r="J7981" s="28">
        <v>0.69509875033359703</v>
      </c>
      <c r="K7981" s="29">
        <v>0.98289565623980701</v>
      </c>
    </row>
    <row r="7982" spans="1:11" x14ac:dyDescent="0.35">
      <c r="A7982" s="9" t="str">
        <f>HYPERLINK("http://www.ensembl.org/id/WBGene00011069", "WBGene00011069")</f>
        <v>WBGene00011069</v>
      </c>
      <c r="B7982" s="9" t="str">
        <f>HYPERLINK("http://www.ncbi.nlm.nih.gov/gene/187642", "187642")</f>
        <v>187642</v>
      </c>
      <c r="C7982" s="9"/>
      <c r="D7982" t="str">
        <f>"ceh-62"</f>
        <v>ceh-62</v>
      </c>
      <c r="E7982" t="s">
        <v>7587</v>
      </c>
      <c r="F7982" t="s">
        <v>11</v>
      </c>
      <c r="G7982" t="s">
        <v>1012</v>
      </c>
      <c r="H7982" s="12">
        <v>-1.1343367608005299</v>
      </c>
      <c r="I7982" s="20">
        <v>-0.46353410956442398</v>
      </c>
      <c r="J7982" s="28">
        <v>0.642981571394453</v>
      </c>
      <c r="K7982" s="29">
        <v>0.98289565623980701</v>
      </c>
    </row>
    <row r="7983" spans="1:11" x14ac:dyDescent="0.35">
      <c r="A7983" s="9" t="str">
        <f>HYPERLINK("http://www.ensembl.org/id/WBGene00045215", "WBGene00045215")</f>
        <v>WBGene00045215</v>
      </c>
      <c r="B7983" s="9" t="str">
        <f>HYPERLINK("http://www.ncbi.nlm.nih.gov/gene/6418830", "6418830")</f>
        <v>6418830</v>
      </c>
      <c r="C7983" s="9"/>
      <c r="D7983" t="str">
        <f>"ceh-63"</f>
        <v>ceh-63</v>
      </c>
      <c r="E7983" t="s">
        <v>349</v>
      </c>
      <c r="F7983" t="s">
        <v>11</v>
      </c>
      <c r="G7983" t="s">
        <v>5383</v>
      </c>
      <c r="H7983" s="12">
        <v>1.1777897537295301</v>
      </c>
      <c r="I7983" s="20">
        <v>0.318517023176355</v>
      </c>
      <c r="J7983" s="28">
        <v>0.75009278389775003</v>
      </c>
      <c r="K7983" s="29">
        <v>0.98289565623980701</v>
      </c>
    </row>
    <row r="7984" spans="1:11" x14ac:dyDescent="0.35">
      <c r="A7984" s="9" t="str">
        <f>HYPERLINK("http://www.ensembl.org/id/WBGene00013876", "WBGene00013876")</f>
        <v>WBGene00013876</v>
      </c>
      <c r="B7984" s="9" t="str">
        <f>HYPERLINK("http://www.ncbi.nlm.nih.gov/gene/191149", "191149")</f>
        <v>191149</v>
      </c>
      <c r="C7984" s="9"/>
      <c r="D7984" t="str">
        <f>"ceh-74"</f>
        <v>ceh-74</v>
      </c>
      <c r="E7984" t="s">
        <v>349</v>
      </c>
      <c r="F7984" t="s">
        <v>11</v>
      </c>
      <c r="G7984" t="s">
        <v>4292</v>
      </c>
      <c r="H7984" s="12">
        <v>-1.1078339505875701</v>
      </c>
      <c r="I7984" s="20">
        <v>-0.30590350967749402</v>
      </c>
      <c r="J7984" s="28">
        <v>0.75967811364444704</v>
      </c>
      <c r="K7984" s="29">
        <v>0.98289565623980701</v>
      </c>
    </row>
    <row r="7985" spans="1:11" x14ac:dyDescent="0.35">
      <c r="A7985" s="9" t="str">
        <f>HYPERLINK("http://www.ensembl.org/id/WBGene00008242", "WBGene00008242")</f>
        <v>WBGene00008242</v>
      </c>
      <c r="B7985" s="9" t="str">
        <f>HYPERLINK("http://www.ncbi.nlm.nih.gov/gene/183690", "183690")</f>
        <v>183690</v>
      </c>
      <c r="C7985" s="9"/>
      <c r="D7985" t="str">
        <f>"ceh-75"</f>
        <v>ceh-75</v>
      </c>
      <c r="E7985" t="s">
        <v>349</v>
      </c>
      <c r="F7985" t="s">
        <v>11</v>
      </c>
      <c r="G7985" t="s">
        <v>4292</v>
      </c>
      <c r="H7985" s="12">
        <v>3.7257614240778798</v>
      </c>
      <c r="I7985" s="20">
        <v>0.48982632408382998</v>
      </c>
      <c r="J7985" s="28">
        <v>0.62425680143886597</v>
      </c>
      <c r="K7985" s="29">
        <v>0.98289565623980701</v>
      </c>
    </row>
    <row r="7986" spans="1:11" x14ac:dyDescent="0.35">
      <c r="A7986" s="9" t="str">
        <f>HYPERLINK("http://www.ensembl.org/id/WBGene00022395", "WBGene00022395")</f>
        <v>WBGene00022395</v>
      </c>
      <c r="B7986" s="9" t="str">
        <f>HYPERLINK("http://www.ncbi.nlm.nih.gov/gene/190815", "190815")</f>
        <v>190815</v>
      </c>
      <c r="C7986" s="9"/>
      <c r="D7986" t="str">
        <f>"ceh-76"</f>
        <v>ceh-76</v>
      </c>
      <c r="E7986" t="s">
        <v>349</v>
      </c>
      <c r="F7986" t="s">
        <v>11</v>
      </c>
      <c r="G7986" t="s">
        <v>4292</v>
      </c>
      <c r="H7986" s="12">
        <v>-2.19476551809433</v>
      </c>
      <c r="I7986" s="20">
        <v>-0.609327096799261</v>
      </c>
      <c r="J7986" s="28">
        <v>0.54230764986562996</v>
      </c>
      <c r="K7986" s="29">
        <v>0.98289565623980701</v>
      </c>
    </row>
    <row r="7987" spans="1:11" x14ac:dyDescent="0.35">
      <c r="A7987" s="9" t="str">
        <f>HYPERLINK("http://www.ensembl.org/id/WBGene00018434", "WBGene00018434")</f>
        <v>WBGene00018434</v>
      </c>
      <c r="B7987" s="9" t="str">
        <f>HYPERLINK("http://www.ncbi.nlm.nih.gov/gene/185767", "185767")</f>
        <v>185767</v>
      </c>
      <c r="C7987" s="9"/>
      <c r="D7987" t="str">
        <f>"ceh-81"</f>
        <v>ceh-81</v>
      </c>
      <c r="E7987" t="s">
        <v>349</v>
      </c>
      <c r="F7987" t="s">
        <v>11</v>
      </c>
      <c r="G7987" t="s">
        <v>350</v>
      </c>
      <c r="H7987" s="12">
        <v>-3.5819448292659501</v>
      </c>
      <c r="I7987" s="20">
        <v>-0.37337717500031398</v>
      </c>
      <c r="J7987" s="28">
        <v>0.70886774492290605</v>
      </c>
      <c r="K7987" s="29">
        <v>0.98289565623980701</v>
      </c>
    </row>
    <row r="7988" spans="1:11" x14ac:dyDescent="0.35">
      <c r="A7988" s="9" t="str">
        <f>HYPERLINK("http://www.ensembl.org/id/WBGene00018433", "WBGene00018433")</f>
        <v>WBGene00018433</v>
      </c>
      <c r="B7988" s="9" t="str">
        <f>HYPERLINK("http://www.ncbi.nlm.nih.gov/gene/185766", "185766")</f>
        <v>185766</v>
      </c>
      <c r="C7988" s="9"/>
      <c r="D7988" t="str">
        <f>"ceh-82"</f>
        <v>ceh-82</v>
      </c>
      <c r="E7988" t="s">
        <v>349</v>
      </c>
      <c r="F7988" t="s">
        <v>11</v>
      </c>
      <c r="G7988" t="s">
        <v>350</v>
      </c>
      <c r="H7988" s="12">
        <v>-1.7483171883720801</v>
      </c>
      <c r="I7988" s="20">
        <v>-0.66709770020020998</v>
      </c>
      <c r="J7988" s="28">
        <v>0.50470972906018496</v>
      </c>
      <c r="K7988" s="29">
        <v>0.98289565623980701</v>
      </c>
    </row>
    <row r="7989" spans="1:11" x14ac:dyDescent="0.35">
      <c r="A7989" s="9" t="str">
        <f>HYPERLINK("http://www.ensembl.org/id/WBGene00018446", "WBGene00018446")</f>
        <v>WBGene00018446</v>
      </c>
      <c r="B7989" s="9" t="str">
        <f>HYPERLINK("http://www.ncbi.nlm.nih.gov/gene/173541", "173541")</f>
        <v>173541</v>
      </c>
      <c r="C7989" s="9"/>
      <c r="D7989" t="str">
        <f>"ceh-83"</f>
        <v>ceh-83</v>
      </c>
      <c r="E7989" t="s">
        <v>349</v>
      </c>
      <c r="F7989" t="s">
        <v>11</v>
      </c>
      <c r="G7989" t="s">
        <v>7411</v>
      </c>
      <c r="H7989" s="12">
        <v>-1.25097878005622</v>
      </c>
      <c r="I7989" s="20">
        <v>-0.78323840098846198</v>
      </c>
      <c r="J7989" s="28">
        <v>0.43348712850164001</v>
      </c>
      <c r="K7989" s="29">
        <v>0.98289565623980701</v>
      </c>
    </row>
    <row r="7990" spans="1:11" x14ac:dyDescent="0.35">
      <c r="A7990" s="9" t="str">
        <f>HYPERLINK("http://www.ensembl.org/id/WBGene00016557", "WBGene00016557")</f>
        <v>WBGene00016557</v>
      </c>
      <c r="B7990" s="9" t="str">
        <f>HYPERLINK("http://www.ncbi.nlm.nih.gov/gene/183364", "183364")</f>
        <v>183364</v>
      </c>
      <c r="C7990" s="9"/>
      <c r="D7990" t="str">
        <f>"ceh-84"</f>
        <v>ceh-84</v>
      </c>
      <c r="E7990" t="s">
        <v>349</v>
      </c>
      <c r="F7990" t="s">
        <v>11</v>
      </c>
      <c r="G7990" t="s">
        <v>4292</v>
      </c>
      <c r="H7990" s="12">
        <v>2.1309374161820398</v>
      </c>
      <c r="I7990" s="20">
        <v>0.36593451108123298</v>
      </c>
      <c r="J7990" s="28">
        <v>0.71441394361051802</v>
      </c>
      <c r="K7990" s="29">
        <v>0.98289565623980701</v>
      </c>
    </row>
    <row r="7991" spans="1:11" x14ac:dyDescent="0.35">
      <c r="A7991" s="9" t="str">
        <f>HYPERLINK("http://www.ensembl.org/id/WBGene00008195", "WBGene00008195")</f>
        <v>WBGene00008195</v>
      </c>
      <c r="B7991" s="9" t="str">
        <f>HYPERLINK("http://www.ncbi.nlm.nih.gov/gene/178514", "178514")</f>
        <v>178514</v>
      </c>
      <c r="C7991" s="9"/>
      <c r="D7991" t="str">
        <f>"ceh-88"</f>
        <v>ceh-88</v>
      </c>
      <c r="E7991" t="s">
        <v>349</v>
      </c>
      <c r="F7991" t="s">
        <v>11</v>
      </c>
      <c r="G7991" t="s">
        <v>5669</v>
      </c>
      <c r="H7991" s="12">
        <v>1.12593244918673</v>
      </c>
      <c r="I7991" s="20">
        <v>0.53654129563068198</v>
      </c>
      <c r="J7991" s="28">
        <v>0.59158450357627801</v>
      </c>
      <c r="K7991" s="29">
        <v>0.98289565623980701</v>
      </c>
    </row>
    <row r="7992" spans="1:11" x14ac:dyDescent="0.35">
      <c r="A7992" s="9" t="str">
        <f>HYPERLINK("http://www.ensembl.org/id/WBGene00009231", "WBGene00009231")</f>
        <v>WBGene00009231</v>
      </c>
      <c r="B7992" s="9" t="str">
        <f>HYPERLINK("http://www.ncbi.nlm.nih.gov/gene/181523", "181523")</f>
        <v>181523</v>
      </c>
      <c r="C7992" s="9"/>
      <c r="D7992" t="str">
        <f>"ceh-89"</f>
        <v>ceh-89</v>
      </c>
      <c r="E7992" t="s">
        <v>349</v>
      </c>
      <c r="F7992" t="s">
        <v>11</v>
      </c>
      <c r="G7992" t="s">
        <v>4818</v>
      </c>
      <c r="H7992" s="12">
        <v>1.3558348819006201</v>
      </c>
      <c r="I7992" s="20">
        <v>1.12001564351934</v>
      </c>
      <c r="J7992" s="28">
        <v>0.26270709584122498</v>
      </c>
      <c r="K7992" s="29">
        <v>0.98289565623980701</v>
      </c>
    </row>
    <row r="7993" spans="1:11" x14ac:dyDescent="0.35">
      <c r="A7993" s="9" t="str">
        <f>HYPERLINK("http://www.ensembl.org/id/WBGene00000434", "WBGene00000434")</f>
        <v>WBGene00000434</v>
      </c>
      <c r="B7993" s="9" t="str">
        <f>HYPERLINK("http://www.ncbi.nlm.nih.gov/gene/267057", "267057")</f>
        <v>267057</v>
      </c>
      <c r="C7993" s="9"/>
      <c r="D7993" t="str">
        <f>"ceh-9"</f>
        <v>ceh-9</v>
      </c>
      <c r="E7993" t="s">
        <v>4472</v>
      </c>
      <c r="F7993" t="s">
        <v>11</v>
      </c>
      <c r="G7993" t="s">
        <v>1012</v>
      </c>
      <c r="H7993" s="12">
        <v>1.93400661549611</v>
      </c>
      <c r="I7993" s="20">
        <v>1.07620747992869</v>
      </c>
      <c r="J7993" s="28">
        <v>0.281834475238951</v>
      </c>
      <c r="K7993" s="29">
        <v>0.98289565623980701</v>
      </c>
    </row>
    <row r="7994" spans="1:11" x14ac:dyDescent="0.35">
      <c r="A7994" s="9" t="str">
        <f>HYPERLINK("http://www.ensembl.org/id/WBGene00010995", "WBGene00010995")</f>
        <v>WBGene00010995</v>
      </c>
      <c r="B7994" s="9" t="str">
        <f>HYPERLINK("http://www.ncbi.nlm.nih.gov/gene/3565071", "3565071")</f>
        <v>3565071</v>
      </c>
      <c r="C7994" s="9"/>
      <c r="D7994" t="str">
        <f>"ceh-90"</f>
        <v>ceh-90</v>
      </c>
      <c r="E7994" t="s">
        <v>349</v>
      </c>
      <c r="F7994" t="s">
        <v>11</v>
      </c>
      <c r="G7994" t="s">
        <v>4292</v>
      </c>
      <c r="H7994" s="12">
        <v>-2.7051084476080298</v>
      </c>
      <c r="I7994" s="20">
        <v>-0.68014323057196102</v>
      </c>
      <c r="J7994" s="28">
        <v>0.49641377375734103</v>
      </c>
      <c r="K7994" s="29">
        <v>0.98289565623980701</v>
      </c>
    </row>
    <row r="7995" spans="1:11" x14ac:dyDescent="0.35">
      <c r="A7995" s="9" t="str">
        <f>HYPERLINK("http://www.ensembl.org/id/WBGene00013425", "WBGene00013425")</f>
        <v>WBGene00013425</v>
      </c>
      <c r="B7995" s="9" t="str">
        <f>HYPERLINK("http://www.ncbi.nlm.nih.gov/gene/176594", "176594")</f>
        <v>176594</v>
      </c>
      <c r="C7995" s="9"/>
      <c r="D7995" t="str">
        <f>"ceh-91"</f>
        <v>ceh-91</v>
      </c>
      <c r="E7995" t="s">
        <v>349</v>
      </c>
      <c r="F7995" t="s">
        <v>11</v>
      </c>
      <c r="G7995" t="s">
        <v>350</v>
      </c>
      <c r="H7995" s="12">
        <v>-1.20215404061327</v>
      </c>
      <c r="I7995" s="20">
        <v>-0.70511522481660205</v>
      </c>
      <c r="J7995" s="28">
        <v>0.48073853258320098</v>
      </c>
      <c r="K7995" s="29">
        <v>0.98289565623980701</v>
      </c>
    </row>
    <row r="7996" spans="1:11" x14ac:dyDescent="0.35">
      <c r="A7996" s="9" t="str">
        <f>HYPERLINK("http://www.ensembl.org/id/WBGene00000466", "WBGene00000466")</f>
        <v>WBGene00000466</v>
      </c>
      <c r="B7996" s="9" t="str">
        <f>HYPERLINK("http://www.ncbi.nlm.nih.gov/gene/172814", "172814")</f>
        <v>172814</v>
      </c>
      <c r="C7996" s="9" t="str">
        <f>HYPERLINK("http://www.ncbi.nlm.nih.gov/gene/8732", "8732")</f>
        <v>8732</v>
      </c>
      <c r="D7996" t="str">
        <f>"cel-1"</f>
        <v>cel-1</v>
      </c>
      <c r="E7996" t="s">
        <v>9507</v>
      </c>
      <c r="F7996" t="s">
        <v>11</v>
      </c>
      <c r="G7996" t="s">
        <v>9508</v>
      </c>
      <c r="H7996" s="12">
        <v>-1.2534298734449101</v>
      </c>
      <c r="I7996" s="20">
        <v>-1.08113882987249</v>
      </c>
      <c r="J7996" s="28">
        <v>0.27963536311616699</v>
      </c>
      <c r="K7996" s="29">
        <v>0.98289565623980701</v>
      </c>
    </row>
    <row r="7997" spans="1:11" x14ac:dyDescent="0.35">
      <c r="A7997" s="9" t="str">
        <f>HYPERLINK("http://www.ensembl.org/id/WBGene00013024", "WBGene00013024")</f>
        <v>WBGene00013024</v>
      </c>
      <c r="B7997" s="9" t="str">
        <f>HYPERLINK("http://www.ncbi.nlm.nih.gov/gene/179935", "179935")</f>
        <v>179935</v>
      </c>
      <c r="C7997" s="9" t="str">
        <f>HYPERLINK("http://www.ncbi.nlm.nih.gov/gene/10390", "10390")</f>
        <v>10390</v>
      </c>
      <c r="D7997" t="str">
        <f>"cept-2"</f>
        <v>cept-2</v>
      </c>
      <c r="E7997" t="s">
        <v>8657</v>
      </c>
      <c r="F7997" t="s">
        <v>11</v>
      </c>
      <c r="G7997" t="s">
        <v>8658</v>
      </c>
      <c r="H7997" s="12">
        <v>-1.1890926225040199</v>
      </c>
      <c r="I7997" s="20">
        <v>-0.88665324854637995</v>
      </c>
      <c r="J7997" s="28">
        <v>0.37526561600166197</v>
      </c>
      <c r="K7997" s="29">
        <v>0.98289565623980701</v>
      </c>
    </row>
    <row r="7998" spans="1:11" x14ac:dyDescent="0.35">
      <c r="A7998" s="9" t="str">
        <f>HYPERLINK("http://www.ensembl.org/id/WBGene00000468", "WBGene00000468")</f>
        <v>WBGene00000468</v>
      </c>
      <c r="B7998" s="9" t="str">
        <f>HYPERLINK("http://www.ncbi.nlm.nih.gov/gene/185718", "185718")</f>
        <v>185718</v>
      </c>
      <c r="C7998" s="9"/>
      <c r="D7998" t="str">
        <f>"ces-1"</f>
        <v>ces-1</v>
      </c>
      <c r="E7998" t="s">
        <v>9996</v>
      </c>
      <c r="F7998" t="s">
        <v>11</v>
      </c>
      <c r="G7998" t="s">
        <v>9997</v>
      </c>
      <c r="H7998" s="12">
        <v>-1.61270379896986</v>
      </c>
      <c r="I7998" s="20">
        <v>-0.83133772877017698</v>
      </c>
      <c r="J7998" s="28">
        <v>0.40578286652869899</v>
      </c>
      <c r="K7998" s="29">
        <v>0.98289565623980701</v>
      </c>
    </row>
    <row r="7999" spans="1:11" x14ac:dyDescent="0.35">
      <c r="A7999" s="9" t="str">
        <f>HYPERLINK("http://www.ensembl.org/id/WBGene00023408", "WBGene00023408")</f>
        <v>WBGene00023408</v>
      </c>
      <c r="B7999" s="9" t="str">
        <f>HYPERLINK("http://www.ncbi.nlm.nih.gov/gene/188309", "188309")</f>
        <v>188309</v>
      </c>
      <c r="C7999" s="9"/>
      <c r="D7999" t="str">
        <f>"cex-2"</f>
        <v>cex-2</v>
      </c>
      <c r="E7999" t="s">
        <v>5495</v>
      </c>
      <c r="F7999" t="s">
        <v>11</v>
      </c>
      <c r="G7999" t="s">
        <v>325</v>
      </c>
      <c r="H7999" s="12">
        <v>1.1582092112325499</v>
      </c>
      <c r="I7999" s="20">
        <v>0.66557438455056095</v>
      </c>
      <c r="J7999" s="28">
        <v>0.50568318378833599</v>
      </c>
      <c r="K7999" s="29">
        <v>0.98289565623980701</v>
      </c>
    </row>
    <row r="8000" spans="1:11" x14ac:dyDescent="0.35">
      <c r="A8000" s="9" t="str">
        <f>HYPERLINK("http://www.ensembl.org/id/WBGene00000472", "WBGene00000472")</f>
        <v>WBGene00000472</v>
      </c>
      <c r="B8000" s="9" t="str">
        <f>HYPERLINK("http://www.ncbi.nlm.nih.gov/gene/174690", "174690")</f>
        <v>174690</v>
      </c>
      <c r="C8000" s="9"/>
      <c r="D8000" t="str">
        <f>"cey-1"</f>
        <v>cey-1</v>
      </c>
      <c r="E8000" t="s">
        <v>170</v>
      </c>
      <c r="F8000" t="s">
        <v>11</v>
      </c>
      <c r="G8000" t="s">
        <v>6647</v>
      </c>
      <c r="H8000" s="12">
        <v>-1.0826841134435701</v>
      </c>
      <c r="I8000" s="20">
        <v>-0.443702947665433</v>
      </c>
      <c r="J8000" s="28">
        <v>0.65725736405450397</v>
      </c>
      <c r="K8000" s="29">
        <v>0.98289565623980701</v>
      </c>
    </row>
    <row r="8001" spans="1:11" x14ac:dyDescent="0.35">
      <c r="A8001" s="9" t="str">
        <f>HYPERLINK("http://www.ensembl.org/id/WBGene00022435", "WBGene00022435")</f>
        <v>WBGene00022435</v>
      </c>
      <c r="B8001" s="9" t="str">
        <f>HYPERLINK("http://www.ncbi.nlm.nih.gov/gene/190931", "190931")</f>
        <v>190931</v>
      </c>
      <c r="C8001" s="9"/>
      <c r="D8001" t="str">
        <f>"cfap-36"</f>
        <v>cfap-36</v>
      </c>
      <c r="E8001" t="s">
        <v>5836</v>
      </c>
      <c r="F8001" t="s">
        <v>11</v>
      </c>
      <c r="H8001" s="12">
        <v>1.0949640358236901</v>
      </c>
      <c r="I8001" s="20">
        <v>0.32888734522887703</v>
      </c>
      <c r="J8001" s="28">
        <v>0.74224083976138799</v>
      </c>
      <c r="K8001" s="29">
        <v>0.98289565623980701</v>
      </c>
    </row>
    <row r="8002" spans="1:11" x14ac:dyDescent="0.35">
      <c r="A8002" s="9" t="str">
        <f>HYPERLINK("http://www.ensembl.org/id/WBGene00000476", "WBGene00000476")</f>
        <v>WBGene00000476</v>
      </c>
      <c r="B8002" s="9" t="str">
        <f>HYPERLINK("http://www.ncbi.nlm.nih.gov/gene/188793", "188793")</f>
        <v>188793</v>
      </c>
      <c r="C8002" s="9"/>
      <c r="D8002" t="str">
        <f>"cfi-1"</f>
        <v>cfi-1</v>
      </c>
      <c r="E8002" t="s">
        <v>4802</v>
      </c>
      <c r="F8002" t="s">
        <v>11</v>
      </c>
      <c r="G8002" t="s">
        <v>350</v>
      </c>
      <c r="H8002" s="12">
        <v>1.3677513984354599</v>
      </c>
      <c r="I8002" s="20">
        <v>1.1201758276510001</v>
      </c>
      <c r="J8002" s="28">
        <v>0.26263884256776998</v>
      </c>
      <c r="K8002" s="29">
        <v>0.98289565623980701</v>
      </c>
    </row>
    <row r="8003" spans="1:11" x14ac:dyDescent="0.35">
      <c r="A8003" s="9" t="str">
        <f>HYPERLINK("http://www.ensembl.org/id/WBGene00009668", "WBGene00009668")</f>
        <v>WBGene00009668</v>
      </c>
      <c r="B8003" s="9" t="str">
        <f>HYPERLINK("http://www.ncbi.nlm.nih.gov/gene/172657", "172657")</f>
        <v>172657</v>
      </c>
      <c r="C8003" s="9" t="str">
        <f>HYPERLINK("http://www.ncbi.nlm.nih.gov/gene/11051", "11051")</f>
        <v>11051</v>
      </c>
      <c r="D8003" t="str">
        <f>"cfim-1"</f>
        <v>cfim-1</v>
      </c>
      <c r="E8003" t="s">
        <v>9725</v>
      </c>
      <c r="F8003" t="s">
        <v>11</v>
      </c>
      <c r="G8003" t="s">
        <v>9726</v>
      </c>
      <c r="H8003" s="12">
        <v>-1.28793284190339</v>
      </c>
      <c r="I8003" s="20">
        <v>-1.2026191601626599</v>
      </c>
      <c r="J8003" s="28">
        <v>0.22912372971115</v>
      </c>
      <c r="K8003" s="29">
        <v>0.98289565623980701</v>
      </c>
    </row>
    <row r="8004" spans="1:11" x14ac:dyDescent="0.35">
      <c r="A8004" s="9" t="str">
        <f>HYPERLINK("http://www.ensembl.org/id/WBGene00009924", "WBGene00009924")</f>
        <v>WBGene00009924</v>
      </c>
      <c r="B8004" s="9" t="str">
        <f>HYPERLINK("http://www.ncbi.nlm.nih.gov/gene/178363", "178363")</f>
        <v>178363</v>
      </c>
      <c r="C8004" s="9"/>
      <c r="D8004" t="str">
        <f>"cfp-1"</f>
        <v>cfp-1</v>
      </c>
      <c r="E8004" t="s">
        <v>8566</v>
      </c>
      <c r="F8004" t="s">
        <v>11</v>
      </c>
      <c r="G8004" t="s">
        <v>8567</v>
      </c>
      <c r="H8004" s="12">
        <v>-1.18395250348194</v>
      </c>
      <c r="I8004" s="20">
        <v>-0.81037134117885101</v>
      </c>
      <c r="J8004" s="28">
        <v>0.41772678403242403</v>
      </c>
      <c r="K8004" s="29">
        <v>0.98289565623980701</v>
      </c>
    </row>
    <row r="8005" spans="1:11" x14ac:dyDescent="0.35">
      <c r="A8005" s="9" t="str">
        <f>HYPERLINK("http://www.ensembl.org/id/WBGene00000477", "WBGene00000477")</f>
        <v>WBGene00000477</v>
      </c>
      <c r="B8005" s="9" t="str">
        <f>HYPERLINK("http://www.ncbi.nlm.nih.gov/gene/178939", "178939")</f>
        <v>178939</v>
      </c>
      <c r="C8005" s="9"/>
      <c r="D8005" t="str">
        <f>"cft-1"</f>
        <v>cft-1</v>
      </c>
      <c r="E8005" t="s">
        <v>4859</v>
      </c>
      <c r="F8005" t="s">
        <v>11</v>
      </c>
      <c r="G8005" t="s">
        <v>4860</v>
      </c>
      <c r="H8005" s="12">
        <v>1.3282747756195099</v>
      </c>
      <c r="I8005" s="20">
        <v>0.40708459889246201</v>
      </c>
      <c r="J8005" s="28">
        <v>0.68394585452004197</v>
      </c>
      <c r="K8005" s="29">
        <v>0.98289565623980701</v>
      </c>
    </row>
    <row r="8006" spans="1:11" x14ac:dyDescent="0.35">
      <c r="A8006" s="9" t="str">
        <f>HYPERLINK("http://www.ensembl.org/id/WBGene00006496", "WBGene00006496")</f>
        <v>WBGene00006496</v>
      </c>
      <c r="B8006" s="9" t="str">
        <f>HYPERLINK("http://www.ncbi.nlm.nih.gov/gene/180571", "180571")</f>
        <v>180571</v>
      </c>
      <c r="C8006" s="9"/>
      <c r="D8006" t="str">
        <f>"cgef-1"</f>
        <v>cgef-1</v>
      </c>
      <c r="E8006" t="s">
        <v>5707</v>
      </c>
      <c r="F8006" t="s">
        <v>11</v>
      </c>
      <c r="G8006" t="s">
        <v>5708</v>
      </c>
      <c r="H8006" s="12">
        <v>1.11820243324897</v>
      </c>
      <c r="I8006" s="20">
        <v>0.57954395276855297</v>
      </c>
      <c r="J8006" s="28">
        <v>0.56222219842310905</v>
      </c>
      <c r="K8006" s="29">
        <v>0.98289565623980701</v>
      </c>
    </row>
    <row r="8007" spans="1:11" x14ac:dyDescent="0.35">
      <c r="A8007" s="9" t="str">
        <f>HYPERLINK("http://www.ensembl.org/id/WBGene00011517", "WBGene00011517")</f>
        <v>WBGene00011517</v>
      </c>
      <c r="B8007" s="9" t="str">
        <f>HYPERLINK("http://www.ncbi.nlm.nih.gov/gene/188169", "188169")</f>
        <v>188169</v>
      </c>
      <c r="C8007" s="9" t="str">
        <f>HYPERLINK("http://www.ncbi.nlm.nih.gov/gene/7357", "7357")</f>
        <v>7357</v>
      </c>
      <c r="D8007" t="str">
        <f>"cgt-1"</f>
        <v>cgt-1</v>
      </c>
      <c r="E8007" t="s">
        <v>8231</v>
      </c>
      <c r="F8007" t="s">
        <v>11</v>
      </c>
      <c r="G8007" t="s">
        <v>1389</v>
      </c>
      <c r="H8007" s="12">
        <v>-1.1669641914476301</v>
      </c>
      <c r="I8007" s="20">
        <v>-0.56991883700711399</v>
      </c>
      <c r="J8007" s="28">
        <v>0.56873274805440399</v>
      </c>
      <c r="K8007" s="29">
        <v>0.98289565623980701</v>
      </c>
    </row>
    <row r="8008" spans="1:11" x14ac:dyDescent="0.35">
      <c r="A8008" s="9" t="str">
        <f>HYPERLINK("http://www.ensembl.org/id/WBGene00011532", "WBGene00011532")</f>
        <v>WBGene00011532</v>
      </c>
      <c r="B8008" s="9" t="str">
        <f>HYPERLINK("http://www.ncbi.nlm.nih.gov/gene/172730", "172730")</f>
        <v>172730</v>
      </c>
      <c r="C8008" s="9"/>
      <c r="D8008" t="str">
        <f>"chaf-1"</f>
        <v>chaf-1</v>
      </c>
      <c r="E8008" t="s">
        <v>3563</v>
      </c>
      <c r="F8008" t="s">
        <v>11</v>
      </c>
      <c r="G8008" t="s">
        <v>9038</v>
      </c>
      <c r="H8008" s="12">
        <v>-1.21632910956491</v>
      </c>
      <c r="I8008" s="20">
        <v>-0.94808146205600097</v>
      </c>
      <c r="J8008" s="28">
        <v>0.34308798481840103</v>
      </c>
      <c r="K8008" s="29">
        <v>0.98289565623980701</v>
      </c>
    </row>
    <row r="8009" spans="1:11" x14ac:dyDescent="0.35">
      <c r="A8009" s="9" t="str">
        <f>HYPERLINK("http://www.ensembl.org/id/WBGene00019946", "WBGene00019946")</f>
        <v>WBGene00019946</v>
      </c>
      <c r="B8009" s="9" t="str">
        <f>HYPERLINK("http://www.ncbi.nlm.nih.gov/gene/177213", "177213")</f>
        <v>177213</v>
      </c>
      <c r="C8009" s="9" t="str">
        <f>HYPERLINK("http://www.ncbi.nlm.nih.gov/gene/55754", "55754")</f>
        <v>55754</v>
      </c>
      <c r="D8009" t="str">
        <f>"chat-1"</f>
        <v>chat-1</v>
      </c>
      <c r="E8009" t="s">
        <v>6222</v>
      </c>
      <c r="F8009" t="s">
        <v>11</v>
      </c>
      <c r="G8009" t="s">
        <v>427</v>
      </c>
      <c r="H8009" s="12">
        <v>-1.0544037801393999</v>
      </c>
      <c r="I8009" s="20">
        <v>-0.29170682786676799</v>
      </c>
      <c r="J8009" s="28">
        <v>0.77051078829122799</v>
      </c>
      <c r="K8009" s="29">
        <v>0.98289565623980701</v>
      </c>
    </row>
    <row r="8010" spans="1:11" x14ac:dyDescent="0.35">
      <c r="A8010" s="9" t="str">
        <f>HYPERLINK("http://www.ensembl.org/id/WBGene00007053", "WBGene00007053")</f>
        <v>WBGene00007053</v>
      </c>
      <c r="B8010" s="9" t="str">
        <f>HYPERLINK("http://www.ncbi.nlm.nih.gov/gene/172079", "172079")</f>
        <v>172079</v>
      </c>
      <c r="C8010" s="9"/>
      <c r="D8010" t="str">
        <f>"chd-7"</f>
        <v>chd-7</v>
      </c>
      <c r="E8010" t="s">
        <v>5088</v>
      </c>
      <c r="F8010" t="s">
        <v>11</v>
      </c>
      <c r="G8010" t="s">
        <v>5089</v>
      </c>
      <c r="H8010" s="12">
        <v>1.24344158356743</v>
      </c>
      <c r="I8010" s="20">
        <v>1.1948039102316399</v>
      </c>
      <c r="J8010" s="28">
        <v>0.232163652240236</v>
      </c>
      <c r="K8010" s="29">
        <v>0.98289565623980701</v>
      </c>
    </row>
    <row r="8011" spans="1:11" x14ac:dyDescent="0.35">
      <c r="A8011" s="9" t="str">
        <f>HYPERLINK("http://www.ensembl.org/id/WBGene00015687", "WBGene00015687")</f>
        <v>WBGene00015687</v>
      </c>
      <c r="B8011" s="9" t="str">
        <f>HYPERLINK("http://www.ncbi.nlm.nih.gov/gene/172326", "172326")</f>
        <v>172326</v>
      </c>
      <c r="C8011" s="9"/>
      <c r="D8011" t="str">
        <f>"chdp-1"</f>
        <v>chdp-1</v>
      </c>
      <c r="E8011" t="s">
        <v>5505</v>
      </c>
      <c r="F8011" t="s">
        <v>11</v>
      </c>
      <c r="G8011" t="s">
        <v>54</v>
      </c>
      <c r="H8011" s="12">
        <v>1.1554605984478601</v>
      </c>
      <c r="I8011" s="20">
        <v>0.75609849333271195</v>
      </c>
      <c r="J8011" s="28">
        <v>0.44959014524843299</v>
      </c>
      <c r="K8011" s="29">
        <v>0.98289565623980701</v>
      </c>
    </row>
    <row r="8012" spans="1:11" x14ac:dyDescent="0.35">
      <c r="A8012" s="9" t="str">
        <f>HYPERLINK("http://www.ensembl.org/id/WBGene00018051", "WBGene00018051")</f>
        <v>WBGene00018051</v>
      </c>
      <c r="B8012" s="9" t="str">
        <f>HYPERLINK("http://www.ncbi.nlm.nih.gov/gene/173801", "173801")</f>
        <v>173801</v>
      </c>
      <c r="C8012" s="9"/>
      <c r="D8012" t="str">
        <f>"che-10"</f>
        <v>che-10</v>
      </c>
      <c r="E8012" t="s">
        <v>5275</v>
      </c>
      <c r="F8012" t="s">
        <v>11</v>
      </c>
      <c r="H8012" s="12">
        <v>1.19857774008268</v>
      </c>
      <c r="I8012" s="20">
        <v>0.900599650872006</v>
      </c>
      <c r="J8012" s="28">
        <v>0.36780122030420798</v>
      </c>
      <c r="K8012" s="29">
        <v>0.98289565623980701</v>
      </c>
    </row>
    <row r="8013" spans="1:11" x14ac:dyDescent="0.35">
      <c r="A8013" s="9" t="str">
        <f>HYPERLINK("http://www.ensembl.org/id/WBGene00000485", "WBGene00000485")</f>
        <v>WBGene00000485</v>
      </c>
      <c r="B8013" s="9" t="str">
        <f>HYPERLINK("http://www.ncbi.nlm.nih.gov/gene/172593", "172593")</f>
        <v>172593</v>
      </c>
      <c r="C8013" s="9" t="str">
        <f>HYPERLINK("http://www.ncbi.nlm.nih.gov/gene/79659", "79659")</f>
        <v>79659</v>
      </c>
      <c r="D8013" t="str">
        <f>"che-3"</f>
        <v>che-3</v>
      </c>
      <c r="E8013" t="s">
        <v>6411</v>
      </c>
      <c r="F8013" t="s">
        <v>11</v>
      </c>
      <c r="G8013" t="s">
        <v>6412</v>
      </c>
      <c r="H8013" s="12">
        <v>-1.0682510924665201</v>
      </c>
      <c r="I8013" s="20">
        <v>-0.272296940217644</v>
      </c>
      <c r="J8013" s="28">
        <v>0.78539370872269598</v>
      </c>
      <c r="K8013" s="29">
        <v>0.98289565623980701</v>
      </c>
    </row>
    <row r="8014" spans="1:11" x14ac:dyDescent="0.35">
      <c r="A8014" s="9" t="str">
        <f>HYPERLINK("http://www.ensembl.org/id/WBGene00000487", "WBGene00000487")</f>
        <v>WBGene00000487</v>
      </c>
      <c r="B8014" s="9" t="str">
        <f>HYPERLINK("http://www.ncbi.nlm.nih.gov/gene/182823", "182823")</f>
        <v>182823</v>
      </c>
      <c r="C8014" s="9"/>
      <c r="D8014" t="str">
        <f>"che-6"</f>
        <v>che-6</v>
      </c>
      <c r="F8014" t="s">
        <v>11</v>
      </c>
      <c r="G8014" t="s">
        <v>4368</v>
      </c>
      <c r="H8014" s="12">
        <v>2.5740334730846999</v>
      </c>
      <c r="I8014" s="20">
        <v>0.737500398254745</v>
      </c>
      <c r="J8014" s="28">
        <v>0.46081810110802401</v>
      </c>
      <c r="K8014" s="29">
        <v>0.98289565623980701</v>
      </c>
    </row>
    <row r="8015" spans="1:11" x14ac:dyDescent="0.35">
      <c r="A8015" s="9" t="str">
        <f>HYPERLINK("http://www.ensembl.org/id/WBGene00011923", "WBGene00011923")</f>
        <v>WBGene00011923</v>
      </c>
      <c r="B8015" s="9" t="str">
        <f>HYPERLINK("http://www.ncbi.nlm.nih.gov/gene/174383", "174383")</f>
        <v>174383</v>
      </c>
      <c r="C8015" s="9" t="str">
        <f>HYPERLINK("http://www.ncbi.nlm.nih.gov/gene/3373", "3373")</f>
        <v>3373</v>
      </c>
      <c r="D8015" t="str">
        <f>"chhy-1"</f>
        <v>chhy-1</v>
      </c>
      <c r="E8015" t="s">
        <v>8855</v>
      </c>
      <c r="F8015" t="s">
        <v>11</v>
      </c>
      <c r="G8015" t="s">
        <v>8856</v>
      </c>
      <c r="H8015" s="12">
        <v>-1.2020048299441799</v>
      </c>
      <c r="I8015" s="20">
        <v>-0.95253013258201003</v>
      </c>
      <c r="J8015" s="28">
        <v>0.34082819161412198</v>
      </c>
      <c r="K8015" s="29">
        <v>0.98289565623980701</v>
      </c>
    </row>
    <row r="8016" spans="1:11" x14ac:dyDescent="0.35">
      <c r="A8016" s="9" t="str">
        <f>HYPERLINK("http://www.ensembl.org/id/WBGene00007465", "WBGene00007465")</f>
        <v>WBGene00007465</v>
      </c>
      <c r="B8016" s="9" t="str">
        <f>HYPERLINK("http://www.ncbi.nlm.nih.gov/gene/182430", "182430")</f>
        <v>182430</v>
      </c>
      <c r="C8016" s="9"/>
      <c r="D8016" t="str">
        <f>"chil-1"</f>
        <v>chil-1</v>
      </c>
      <c r="E8016" t="s">
        <v>1756</v>
      </c>
      <c r="F8016" t="s">
        <v>11</v>
      </c>
      <c r="G8016" t="s">
        <v>1509</v>
      </c>
      <c r="H8016" s="12">
        <v>5.5441271052942396</v>
      </c>
      <c r="I8016" s="20">
        <v>0.758514566132516</v>
      </c>
      <c r="J8016" s="28">
        <v>0.44814299631846199</v>
      </c>
      <c r="K8016" s="29">
        <v>0.98289565623980701</v>
      </c>
    </row>
    <row r="8017" spans="1:11" x14ac:dyDescent="0.35">
      <c r="A8017" s="9" t="str">
        <f>HYPERLINK("http://www.ensembl.org/id/WBGene00016642", "WBGene00016642")</f>
        <v>WBGene00016642</v>
      </c>
      <c r="B8017" s="9" t="str">
        <f>HYPERLINK("http://www.ncbi.nlm.nih.gov/gene/180447", "180447")</f>
        <v>180447</v>
      </c>
      <c r="C8017" s="9"/>
      <c r="D8017" t="str">
        <f>"chil-10"</f>
        <v>chil-10</v>
      </c>
      <c r="E8017" t="s">
        <v>1756</v>
      </c>
      <c r="F8017" t="s">
        <v>11</v>
      </c>
      <c r="G8017" t="s">
        <v>5933</v>
      </c>
      <c r="H8017" s="12">
        <v>1.0835970168334501</v>
      </c>
      <c r="I8017" s="20">
        <v>0.408105988733243</v>
      </c>
      <c r="J8017" s="28">
        <v>0.68319586351203299</v>
      </c>
      <c r="K8017" s="29">
        <v>0.98289565623980701</v>
      </c>
    </row>
    <row r="8018" spans="1:11" x14ac:dyDescent="0.35">
      <c r="A8018" s="9" t="str">
        <f>HYPERLINK("http://www.ensembl.org/id/WBGene00016665", "WBGene00016665")</f>
        <v>WBGene00016665</v>
      </c>
      <c r="B8018" s="9" t="str">
        <f>HYPERLINK("http://www.ncbi.nlm.nih.gov/gene/183470", "183470")</f>
        <v>183470</v>
      </c>
      <c r="C8018" s="9"/>
      <c r="D8018" t="str">
        <f>"chil-11"</f>
        <v>chil-11</v>
      </c>
      <c r="E8018" t="s">
        <v>1756</v>
      </c>
      <c r="F8018" t="s">
        <v>11</v>
      </c>
      <c r="G8018" t="s">
        <v>3396</v>
      </c>
      <c r="H8018" s="12">
        <v>-1.54327875290642</v>
      </c>
      <c r="I8018" s="20">
        <v>-0.30279077899864998</v>
      </c>
      <c r="J8018" s="28">
        <v>0.76204931104920404</v>
      </c>
      <c r="K8018" s="29">
        <v>0.98289565623980701</v>
      </c>
    </row>
    <row r="8019" spans="1:11" x14ac:dyDescent="0.35">
      <c r="A8019" s="9" t="str">
        <f>HYPERLINK("http://www.ensembl.org/id/WBGene00011161", "WBGene00011161")</f>
        <v>WBGene00011161</v>
      </c>
      <c r="B8019" s="9" t="str">
        <f>HYPERLINK("http://www.ncbi.nlm.nih.gov/gene/187735", "187735")</f>
        <v>187735</v>
      </c>
      <c r="C8019" s="9"/>
      <c r="D8019" t="str">
        <f>"chil-18"</f>
        <v>chil-18</v>
      </c>
      <c r="E8019" t="s">
        <v>1756</v>
      </c>
      <c r="F8019" t="s">
        <v>11</v>
      </c>
      <c r="G8019" t="s">
        <v>1509</v>
      </c>
      <c r="H8019" s="12">
        <v>2.3893468495514898</v>
      </c>
      <c r="I8019" s="20">
        <v>0.25323547253672701</v>
      </c>
      <c r="J8019" s="28">
        <v>0.80008625651646104</v>
      </c>
      <c r="K8019" s="29">
        <v>0.98289565623980701</v>
      </c>
    </row>
    <row r="8020" spans="1:11" x14ac:dyDescent="0.35">
      <c r="A8020" s="9" t="str">
        <f>HYPERLINK("http://www.ensembl.org/id/WBGene00007466", "WBGene00007466")</f>
        <v>WBGene00007466</v>
      </c>
      <c r="B8020" s="9" t="str">
        <f>HYPERLINK("http://www.ncbi.nlm.nih.gov/gene/182431", "182431")</f>
        <v>182431</v>
      </c>
      <c r="C8020" s="9"/>
      <c r="D8020" t="str">
        <f>"chil-2"</f>
        <v>chil-2</v>
      </c>
      <c r="E8020" t="s">
        <v>1756</v>
      </c>
      <c r="F8020" t="s">
        <v>11</v>
      </c>
      <c r="G8020" t="s">
        <v>3396</v>
      </c>
      <c r="H8020" s="12">
        <v>4.8330720971898202</v>
      </c>
      <c r="I8020" s="20">
        <v>0.53826283632608196</v>
      </c>
      <c r="J8020" s="28">
        <v>0.59039560452453599</v>
      </c>
      <c r="K8020" s="29">
        <v>0.98289565623980701</v>
      </c>
    </row>
    <row r="8021" spans="1:11" x14ac:dyDescent="0.35">
      <c r="A8021" s="9" t="str">
        <f>HYPERLINK("http://www.ensembl.org/id/WBGene00011163", "WBGene00011163")</f>
        <v>WBGene00011163</v>
      </c>
      <c r="B8021" s="9" t="str">
        <f>HYPERLINK("http://www.ncbi.nlm.nih.gov/gene/187737", "187737")</f>
        <v>187737</v>
      </c>
      <c r="C8021" s="9"/>
      <c r="D8021" t="str">
        <f>"chil-20"</f>
        <v>chil-20</v>
      </c>
      <c r="E8021" t="s">
        <v>1756</v>
      </c>
      <c r="F8021" t="s">
        <v>11</v>
      </c>
      <c r="G8021" t="s">
        <v>3396</v>
      </c>
      <c r="H8021" s="12">
        <v>-6.3507302933957197</v>
      </c>
      <c r="I8021" s="20">
        <v>-0.54348709410156204</v>
      </c>
      <c r="J8021" s="28">
        <v>0.58679447442024202</v>
      </c>
      <c r="K8021" s="29">
        <v>0.98289565623980701</v>
      </c>
    </row>
    <row r="8022" spans="1:11" x14ac:dyDescent="0.35">
      <c r="A8022" s="9" t="str">
        <f>HYPERLINK("http://www.ensembl.org/id/WBGene00011164", "WBGene00011164")</f>
        <v>WBGene00011164</v>
      </c>
      <c r="B8022" s="9" t="str">
        <f>HYPERLINK("http://www.ncbi.nlm.nih.gov/gene/174502", "174502")</f>
        <v>174502</v>
      </c>
      <c r="C8022" s="9"/>
      <c r="D8022" t="str">
        <f>"chil-21"</f>
        <v>chil-21</v>
      </c>
      <c r="E8022" t="s">
        <v>1756</v>
      </c>
      <c r="F8022" t="s">
        <v>11</v>
      </c>
      <c r="G8022" t="s">
        <v>1509</v>
      </c>
      <c r="H8022" s="12">
        <v>-4.7167679298615104</v>
      </c>
      <c r="I8022" s="20">
        <v>-0.454742638005115</v>
      </c>
      <c r="J8022" s="28">
        <v>0.64929440216969203</v>
      </c>
      <c r="K8022" s="29">
        <v>0.98289565623980701</v>
      </c>
    </row>
    <row r="8023" spans="1:11" x14ac:dyDescent="0.35">
      <c r="A8023" s="9" t="str">
        <f>HYPERLINK("http://www.ensembl.org/id/WBGene00011847", "WBGene00011847")</f>
        <v>WBGene00011847</v>
      </c>
      <c r="B8023" s="9" t="str">
        <f>HYPERLINK("http://www.ncbi.nlm.nih.gov/gene/188615", "188615")</f>
        <v>188615</v>
      </c>
      <c r="C8023" s="9"/>
      <c r="D8023" t="str">
        <f>"chil-26"</f>
        <v>chil-26</v>
      </c>
      <c r="E8023" t="s">
        <v>1756</v>
      </c>
      <c r="F8023" t="s">
        <v>11</v>
      </c>
      <c r="G8023" t="s">
        <v>1509</v>
      </c>
      <c r="H8023" s="12">
        <v>1.5867381187052101</v>
      </c>
      <c r="I8023" s="20">
        <v>0.36569852064194502</v>
      </c>
      <c r="J8023" s="28">
        <v>0.714590050137066</v>
      </c>
      <c r="K8023" s="29">
        <v>0.98289565623980701</v>
      </c>
    </row>
    <row r="8024" spans="1:11" x14ac:dyDescent="0.35">
      <c r="A8024" s="9" t="str">
        <f>HYPERLINK("http://www.ensembl.org/id/WBGene00011848", "WBGene00011848")</f>
        <v>WBGene00011848</v>
      </c>
      <c r="B8024" s="9" t="str">
        <f>HYPERLINK("http://www.ncbi.nlm.nih.gov/gene/188616", "188616")</f>
        <v>188616</v>
      </c>
      <c r="C8024" s="9"/>
      <c r="D8024" t="str">
        <f>"chil-27"</f>
        <v>chil-27</v>
      </c>
      <c r="E8024" t="s">
        <v>1756</v>
      </c>
      <c r="F8024" t="s">
        <v>11</v>
      </c>
      <c r="G8024" t="s">
        <v>10046</v>
      </c>
      <c r="H8024" s="12">
        <v>-2.2668949833030698</v>
      </c>
      <c r="I8024" s="20">
        <v>-0.66010567689496003</v>
      </c>
      <c r="J8024" s="28">
        <v>0.50918601592673396</v>
      </c>
      <c r="K8024" s="29">
        <v>0.98289565623980701</v>
      </c>
    </row>
    <row r="8025" spans="1:11" x14ac:dyDescent="0.35">
      <c r="A8025" s="9" t="str">
        <f>HYPERLINK("http://www.ensembl.org/id/WBGene00007467", "WBGene00007467")</f>
        <v>WBGene00007467</v>
      </c>
      <c r="B8025" s="9" t="str">
        <f>HYPERLINK("http://www.ncbi.nlm.nih.gov/gene/182432", "182432")</f>
        <v>182432</v>
      </c>
      <c r="C8025" s="9"/>
      <c r="D8025" t="str">
        <f>"chil-3"</f>
        <v>chil-3</v>
      </c>
      <c r="E8025" t="s">
        <v>1756</v>
      </c>
      <c r="F8025" t="s">
        <v>11</v>
      </c>
      <c r="G8025" t="s">
        <v>1509</v>
      </c>
      <c r="H8025" s="12">
        <v>2.8503853279618698</v>
      </c>
      <c r="I8025" s="20">
        <v>0.85521171032723098</v>
      </c>
      <c r="J8025" s="28">
        <v>0.39243395446243201</v>
      </c>
      <c r="K8025" s="29">
        <v>0.98289565623980701</v>
      </c>
    </row>
    <row r="8026" spans="1:11" x14ac:dyDescent="0.35">
      <c r="A8026" s="9" t="str">
        <f>HYPERLINK("http://www.ensembl.org/id/WBGene00007469", "WBGene00007469")</f>
        <v>WBGene00007469</v>
      </c>
      <c r="B8026" s="9" t="str">
        <f>HYPERLINK("http://www.ncbi.nlm.nih.gov/gene/182434", "182434")</f>
        <v>182434</v>
      </c>
      <c r="C8026" s="9"/>
      <c r="D8026" t="str">
        <f>"chil-4"</f>
        <v>chil-4</v>
      </c>
      <c r="E8026" t="s">
        <v>1756</v>
      </c>
      <c r="F8026" t="s">
        <v>11</v>
      </c>
      <c r="G8026" t="s">
        <v>1509</v>
      </c>
      <c r="H8026" s="12">
        <v>4.5694365620207202</v>
      </c>
      <c r="I8026" s="20">
        <v>0.91504328911122701</v>
      </c>
      <c r="J8026" s="28">
        <v>0.36016890485805098</v>
      </c>
      <c r="K8026" s="29">
        <v>0.98289565623980701</v>
      </c>
    </row>
    <row r="8027" spans="1:11" x14ac:dyDescent="0.35">
      <c r="A8027" s="9" t="str">
        <f>HYPERLINK("http://www.ensembl.org/id/WBGene00007470", "WBGene00007470")</f>
        <v>WBGene00007470</v>
      </c>
      <c r="B8027" s="9" t="str">
        <f>HYPERLINK("http://www.ncbi.nlm.nih.gov/gene/182435", "182435")</f>
        <v>182435</v>
      </c>
      <c r="C8027" s="9"/>
      <c r="D8027" t="str">
        <f>"chil-5"</f>
        <v>chil-5</v>
      </c>
      <c r="E8027" t="s">
        <v>1756</v>
      </c>
      <c r="F8027" t="s">
        <v>11</v>
      </c>
      <c r="G8027" t="s">
        <v>1509</v>
      </c>
      <c r="H8027" s="12">
        <v>3.7315168653414799</v>
      </c>
      <c r="I8027" s="20">
        <v>0.84829134104808401</v>
      </c>
      <c r="J8027" s="28">
        <v>0.396275738689087</v>
      </c>
      <c r="K8027" s="29">
        <v>0.98289565623980701</v>
      </c>
    </row>
    <row r="8028" spans="1:11" x14ac:dyDescent="0.35">
      <c r="A8028" s="9" t="str">
        <f>HYPERLINK("http://www.ensembl.org/id/WBGene00007471", "WBGene00007471")</f>
        <v>WBGene00007471</v>
      </c>
      <c r="B8028" s="9" t="str">
        <f>HYPERLINK("http://www.ncbi.nlm.nih.gov/gene/182436", "182436")</f>
        <v>182436</v>
      </c>
      <c r="C8028" s="9"/>
      <c r="D8028" t="str">
        <f>"chil-6"</f>
        <v>chil-6</v>
      </c>
      <c r="E8028" t="s">
        <v>1756</v>
      </c>
      <c r="F8028" t="s">
        <v>11</v>
      </c>
      <c r="G8028" t="s">
        <v>1509</v>
      </c>
      <c r="H8028" s="12">
        <v>2.20839511103213</v>
      </c>
      <c r="I8028" s="20">
        <v>0.52611242602057895</v>
      </c>
      <c r="J8028" s="28">
        <v>0.59881009553680897</v>
      </c>
      <c r="K8028" s="29">
        <v>0.98289565623980701</v>
      </c>
    </row>
    <row r="8029" spans="1:11" x14ac:dyDescent="0.35">
      <c r="A8029" s="9" t="str">
        <f>HYPERLINK("http://www.ensembl.org/id/WBGene00007472", "WBGene00007472")</f>
        <v>WBGene00007472</v>
      </c>
      <c r="B8029" s="9" t="str">
        <f>HYPERLINK("http://www.ncbi.nlm.nih.gov/gene/182437", "182437")</f>
        <v>182437</v>
      </c>
      <c r="C8029" s="9"/>
      <c r="D8029" t="str">
        <f>"chil-7"</f>
        <v>chil-7</v>
      </c>
      <c r="E8029" t="s">
        <v>1756</v>
      </c>
      <c r="F8029" t="s">
        <v>11</v>
      </c>
      <c r="G8029" t="s">
        <v>1509</v>
      </c>
      <c r="H8029" s="12">
        <v>5.3484184281713896</v>
      </c>
      <c r="I8029" s="20">
        <v>1.1843548892015601</v>
      </c>
      <c r="J8029" s="28">
        <v>0.23627260936056099</v>
      </c>
      <c r="K8029" s="29">
        <v>0.98289565623980701</v>
      </c>
    </row>
    <row r="8030" spans="1:11" x14ac:dyDescent="0.35">
      <c r="A8030" s="9" t="str">
        <f>HYPERLINK("http://www.ensembl.org/id/WBGene00007473", "WBGene00007473")</f>
        <v>WBGene00007473</v>
      </c>
      <c r="B8030" s="9" t="str">
        <f>HYPERLINK("http://www.ncbi.nlm.nih.gov/gene/174541", "174541")</f>
        <v>174541</v>
      </c>
      <c r="C8030" s="9"/>
      <c r="D8030" t="str">
        <f>"chil-8"</f>
        <v>chil-8</v>
      </c>
      <c r="E8030" t="s">
        <v>1756</v>
      </c>
      <c r="F8030" t="s">
        <v>11</v>
      </c>
      <c r="G8030" t="s">
        <v>3396</v>
      </c>
      <c r="H8030" s="12">
        <v>2.3109292920800999</v>
      </c>
      <c r="I8030" s="20">
        <v>0.894303763251179</v>
      </c>
      <c r="J8030" s="28">
        <v>0.37115938701873002</v>
      </c>
      <c r="K8030" s="29">
        <v>0.98289565623980701</v>
      </c>
    </row>
    <row r="8031" spans="1:11" x14ac:dyDescent="0.35">
      <c r="A8031" s="9" t="str">
        <f>HYPERLINK("http://www.ensembl.org/id/WBGene00014162", "WBGene00014162")</f>
        <v>WBGene00014162</v>
      </c>
      <c r="B8031" s="9" t="str">
        <f>HYPERLINK("http://www.ncbi.nlm.nih.gov/gene/191470", "191470")</f>
        <v>191470</v>
      </c>
      <c r="C8031" s="9"/>
      <c r="D8031" t="str">
        <f>"chil-9"</f>
        <v>chil-9</v>
      </c>
      <c r="E8031" t="s">
        <v>1756</v>
      </c>
      <c r="F8031" t="s">
        <v>11</v>
      </c>
      <c r="G8031" t="s">
        <v>1509</v>
      </c>
      <c r="H8031" s="12">
        <v>2.3444892507898301</v>
      </c>
      <c r="I8031" s="20">
        <v>0.253126732237689</v>
      </c>
      <c r="J8031" s="28">
        <v>0.80017028205419904</v>
      </c>
      <c r="K8031" s="29">
        <v>0.98289565623980701</v>
      </c>
    </row>
    <row r="8032" spans="1:11" x14ac:dyDescent="0.35">
      <c r="A8032" s="9" t="str">
        <f>HYPERLINK("http://www.ensembl.org/id/WBGene00000499", "WBGene00000499")</f>
        <v>WBGene00000499</v>
      </c>
      <c r="B8032" s="9" t="str">
        <f>HYPERLINK("http://www.ncbi.nlm.nih.gov/gene/180304", "180304")</f>
        <v>180304</v>
      </c>
      <c r="C8032" s="9" t="str">
        <f>HYPERLINK("http://www.ncbi.nlm.nih.gov/gene/11200", "11200")</f>
        <v>11200</v>
      </c>
      <c r="D8032" t="str">
        <f>"chk-2"</f>
        <v>chk-2</v>
      </c>
      <c r="E8032" t="s">
        <v>10003</v>
      </c>
      <c r="F8032" t="s">
        <v>11</v>
      </c>
      <c r="G8032" t="s">
        <v>86</v>
      </c>
      <c r="H8032" s="12">
        <v>-1.6585620225225</v>
      </c>
      <c r="I8032" s="20">
        <v>-0.89386501892964898</v>
      </c>
      <c r="J8032" s="28">
        <v>0.37139411610596601</v>
      </c>
      <c r="K8032" s="29">
        <v>0.98289565623980701</v>
      </c>
    </row>
    <row r="8033" spans="1:11" x14ac:dyDescent="0.35">
      <c r="A8033" s="9" t="str">
        <f>HYPERLINK("http://www.ensembl.org/id/WBGene00000500", "WBGene00000500")</f>
        <v>WBGene00000500</v>
      </c>
      <c r="B8033" s="9" t="str">
        <f>HYPERLINK("http://www.ncbi.nlm.nih.gov/gene/172303", "172303")</f>
        <v>172303</v>
      </c>
      <c r="C8033" s="9" t="str">
        <f>HYPERLINK("http://www.ncbi.nlm.nih.gov/gene/10273", "10273")</f>
        <v>10273</v>
      </c>
      <c r="D8033" t="str">
        <f>"chn-1"</f>
        <v>chn-1</v>
      </c>
      <c r="E8033" t="s">
        <v>9365</v>
      </c>
      <c r="F8033" t="s">
        <v>11</v>
      </c>
      <c r="G8033" t="s">
        <v>9366</v>
      </c>
      <c r="H8033" s="12">
        <v>-1.2413118052875201</v>
      </c>
      <c r="I8033" s="20">
        <v>-1.13289010982877</v>
      </c>
      <c r="J8033" s="28">
        <v>0.257260403815123</v>
      </c>
      <c r="K8033" s="29">
        <v>0.98289565623980701</v>
      </c>
    </row>
    <row r="8034" spans="1:11" x14ac:dyDescent="0.35">
      <c r="A8034" s="9" t="str">
        <f>HYPERLINK("http://www.ensembl.org/id/WBGene00008050", "WBGene00008050")</f>
        <v>WBGene00008050</v>
      </c>
      <c r="B8034" s="9" t="str">
        <f>HYPERLINK("http://www.ncbi.nlm.nih.gov/gene/174304", "174304")</f>
        <v>174304</v>
      </c>
      <c r="C8034" s="9"/>
      <c r="D8034" t="str">
        <f>"chst-1"</f>
        <v>chst-1</v>
      </c>
      <c r="E8034" t="s">
        <v>4641</v>
      </c>
      <c r="F8034" t="s">
        <v>11</v>
      </c>
      <c r="G8034" t="s">
        <v>4642</v>
      </c>
      <c r="H8034" s="12">
        <v>1.5461924001445999</v>
      </c>
      <c r="I8034" s="20">
        <v>1.15858924498405</v>
      </c>
      <c r="J8034" s="28">
        <v>0.24662365486110999</v>
      </c>
      <c r="K8034" s="29">
        <v>0.98289565623980701</v>
      </c>
    </row>
    <row r="8035" spans="1:11" x14ac:dyDescent="0.35">
      <c r="A8035" s="9" t="str">
        <f>HYPERLINK("http://www.ensembl.org/id/WBGene00011757", "WBGene00011757")</f>
        <v>WBGene00011757</v>
      </c>
      <c r="B8035" s="9" t="str">
        <f>HYPERLINK("http://www.ncbi.nlm.nih.gov/gene/174363", "174363")</f>
        <v>174363</v>
      </c>
      <c r="C8035" s="9"/>
      <c r="D8035" t="str">
        <f>"cht-2"</f>
        <v>cht-2</v>
      </c>
      <c r="E8035" t="s">
        <v>3679</v>
      </c>
      <c r="F8035" t="s">
        <v>11</v>
      </c>
      <c r="G8035" t="s">
        <v>2969</v>
      </c>
      <c r="H8035" s="12">
        <v>1.66043408794653</v>
      </c>
      <c r="I8035" s="20">
        <v>1.05725271390155</v>
      </c>
      <c r="J8035" s="28">
        <v>0.29039626769431998</v>
      </c>
      <c r="K8035" s="29">
        <v>0.98289565623980701</v>
      </c>
    </row>
    <row r="8036" spans="1:11" x14ac:dyDescent="0.35">
      <c r="A8036" s="9" t="str">
        <f>HYPERLINK("http://www.ensembl.org/id/WBGene00006477", "WBGene00006477")</f>
        <v>WBGene00006477</v>
      </c>
      <c r="B8036" s="9" t="str">
        <f>HYPERLINK("http://www.ncbi.nlm.nih.gov/gene/181125", "181125")</f>
        <v>181125</v>
      </c>
      <c r="C8036" s="9" t="str">
        <f>HYPERLINK("http://www.ncbi.nlm.nih.gov/gene/51092", "51092")</f>
        <v>51092</v>
      </c>
      <c r="D8036" t="str">
        <f>"chup-1"</f>
        <v>chup-1</v>
      </c>
      <c r="E8036" t="s">
        <v>7763</v>
      </c>
      <c r="F8036" t="s">
        <v>11</v>
      </c>
      <c r="G8036" t="s">
        <v>7764</v>
      </c>
      <c r="H8036" s="12">
        <v>-1.14298756902303</v>
      </c>
      <c r="I8036" s="20">
        <v>-0.59909872705171596</v>
      </c>
      <c r="J8036" s="28">
        <v>0.54910705049424602</v>
      </c>
      <c r="K8036" s="29">
        <v>0.98289565623980701</v>
      </c>
    </row>
    <row r="8037" spans="1:11" x14ac:dyDescent="0.35">
      <c r="A8037" s="9" t="str">
        <f>HYPERLINK("http://www.ensembl.org/id/WBGene00000506", "WBGene00000506")</f>
        <v>WBGene00000506</v>
      </c>
      <c r="B8037" s="9" t="str">
        <f>HYPERLINK("http://www.ncbi.nlm.nih.gov/gene/175357", "175357")</f>
        <v>175357</v>
      </c>
      <c r="C8037" s="9" t="str">
        <f>HYPERLINK("http://www.ncbi.nlm.nih.gov/gene/892", "892")</f>
        <v>892</v>
      </c>
      <c r="D8037" t="str">
        <f>"cic-1"</f>
        <v>cic-1</v>
      </c>
      <c r="E8037" t="s">
        <v>8532</v>
      </c>
      <c r="F8037" t="s">
        <v>11</v>
      </c>
      <c r="G8037" t="s">
        <v>8533</v>
      </c>
      <c r="H8037" s="12">
        <v>-1.1821786306208499</v>
      </c>
      <c r="I8037" s="20">
        <v>-0.76368108817066804</v>
      </c>
      <c r="J8037" s="28">
        <v>0.44505731349211097</v>
      </c>
      <c r="K8037" s="29">
        <v>0.98289565623980701</v>
      </c>
    </row>
    <row r="8038" spans="1:11" x14ac:dyDescent="0.35">
      <c r="A8038" s="9" t="str">
        <f>HYPERLINK("http://www.ensembl.org/id/WBGene00009451", "WBGene00009451")</f>
        <v>WBGene00009451</v>
      </c>
      <c r="B8038" s="9" t="str">
        <f>HYPERLINK("http://www.ncbi.nlm.nih.gov/gene/172691", "172691")</f>
        <v>172691</v>
      </c>
      <c r="C8038" s="9"/>
      <c r="D8038" t="str">
        <f>"cids-2"</f>
        <v>cids-2</v>
      </c>
      <c r="E8038" t="s">
        <v>7234</v>
      </c>
      <c r="F8038" t="s">
        <v>11</v>
      </c>
      <c r="G8038" t="s">
        <v>7235</v>
      </c>
      <c r="H8038" s="12">
        <v>-1.11481561945984</v>
      </c>
      <c r="I8038" s="20">
        <v>-0.50025137849198298</v>
      </c>
      <c r="J8038" s="28">
        <v>0.61689808527523504</v>
      </c>
      <c r="K8038" s="29">
        <v>0.98289565623980701</v>
      </c>
    </row>
    <row r="8039" spans="1:11" x14ac:dyDescent="0.35">
      <c r="A8039" s="9" t="str">
        <f>HYPERLINK("http://www.ensembl.org/id/WBGene00019543", "WBGene00019543")</f>
        <v>WBGene00019543</v>
      </c>
      <c r="B8039" s="9" t="str">
        <f>HYPERLINK("http://www.ncbi.nlm.nih.gov/gene/177236", "177236")</f>
        <v>177236</v>
      </c>
      <c r="C8039" s="9" t="str">
        <f>HYPERLINK("http://www.ncbi.nlm.nih.gov/gene/10480", "10480")</f>
        <v>10480</v>
      </c>
      <c r="D8039" t="str">
        <f>"cif-1"</f>
        <v>cif-1</v>
      </c>
      <c r="E8039" t="s">
        <v>7033</v>
      </c>
      <c r="F8039" t="s">
        <v>11</v>
      </c>
      <c r="G8039" t="s">
        <v>7034</v>
      </c>
      <c r="H8039" s="12">
        <v>-1.10350370118575</v>
      </c>
      <c r="I8039" s="20">
        <v>-0.53040237919725697</v>
      </c>
      <c r="J8039" s="28">
        <v>0.59583297678448799</v>
      </c>
      <c r="K8039" s="29">
        <v>0.98289565623980701</v>
      </c>
    </row>
    <row r="8040" spans="1:11" x14ac:dyDescent="0.35">
      <c r="A8040" s="9" t="str">
        <f>HYPERLINK("http://www.ensembl.org/id/WBGene00021017", "WBGene00021017")</f>
        <v>WBGene00021017</v>
      </c>
      <c r="B8040" s="9" t="str">
        <f>HYPERLINK("http://www.ncbi.nlm.nih.gov/gene/172121", "172121")</f>
        <v>172121</v>
      </c>
      <c r="C8040" s="9"/>
      <c r="D8040" t="str">
        <f>"cil-7"</f>
        <v>cil-7</v>
      </c>
      <c r="E8040" t="s">
        <v>4487</v>
      </c>
      <c r="F8040" t="s">
        <v>11</v>
      </c>
      <c r="G8040" t="s">
        <v>4488</v>
      </c>
      <c r="H8040" s="12">
        <v>1.8651402834825901</v>
      </c>
      <c r="I8040" s="20">
        <v>1.1306098370581401</v>
      </c>
      <c r="J8040" s="28">
        <v>0.25821934530176099</v>
      </c>
      <c r="K8040" s="29">
        <v>0.98289565623980701</v>
      </c>
    </row>
    <row r="8041" spans="1:11" x14ac:dyDescent="0.35">
      <c r="A8041" s="9" t="str">
        <f>HYPERLINK("http://www.ensembl.org/id/WBGene00044026", "WBGene00044026")</f>
        <v>WBGene00044026</v>
      </c>
      <c r="B8041" s="9" t="str">
        <f>HYPERLINK("http://www.ncbi.nlm.nih.gov/gene/3565570", "3565570")</f>
        <v>3565570</v>
      </c>
      <c r="C8041" s="9" t="str">
        <f>HYPERLINK("http://www.ncbi.nlm.nih.gov/gene/55847", "55847")</f>
        <v>55847</v>
      </c>
      <c r="D8041" t="str">
        <f>"cisd-1"</f>
        <v>cisd-1</v>
      </c>
      <c r="E8041" t="s">
        <v>3924</v>
      </c>
      <c r="F8041" t="s">
        <v>11</v>
      </c>
      <c r="G8041" t="s">
        <v>7599</v>
      </c>
      <c r="H8041" s="12">
        <v>-1.1350067169218101</v>
      </c>
      <c r="I8041" s="20">
        <v>-0.64638887526297795</v>
      </c>
      <c r="J8041" s="28">
        <v>0.51802754319142397</v>
      </c>
      <c r="K8041" s="29">
        <v>0.98289565623980701</v>
      </c>
    </row>
    <row r="8042" spans="1:11" x14ac:dyDescent="0.35">
      <c r="A8042" s="9" t="str">
        <f>HYPERLINK("http://www.ensembl.org/id/WBGene00022053", "WBGene00022053")</f>
        <v>WBGene00022053</v>
      </c>
      <c r="B8042" s="9" t="str">
        <f>HYPERLINK("http://www.ncbi.nlm.nih.gov/gene/175307", "175307")</f>
        <v>175307</v>
      </c>
      <c r="C8042" s="9"/>
      <c r="D8042" t="str">
        <f>"cisd-3.2"</f>
        <v>cisd-3.2</v>
      </c>
      <c r="E8042" t="s">
        <v>3924</v>
      </c>
      <c r="F8042" t="s">
        <v>11</v>
      </c>
      <c r="G8042" t="s">
        <v>3925</v>
      </c>
      <c r="H8042" s="12">
        <v>-1.0853692995000399</v>
      </c>
      <c r="I8042" s="20">
        <v>-0.42106716789382898</v>
      </c>
      <c r="J8042" s="28">
        <v>0.67370603533518303</v>
      </c>
      <c r="K8042" s="29">
        <v>0.98289565623980701</v>
      </c>
    </row>
    <row r="8043" spans="1:11" x14ac:dyDescent="0.35">
      <c r="A8043" s="9" t="str">
        <f>HYPERLINK("http://www.ensembl.org/id/WBGene00000508", "WBGene00000508")</f>
        <v>WBGene00000508</v>
      </c>
      <c r="B8043" s="9" t="str">
        <f>HYPERLINK("http://www.ncbi.nlm.nih.gov/gene/176126", "176126")</f>
        <v>176126</v>
      </c>
      <c r="C8043" s="9"/>
      <c r="D8043" t="str">
        <f>"cit-1.2"</f>
        <v>cit-1.2</v>
      </c>
      <c r="E8043" t="s">
        <v>9418</v>
      </c>
      <c r="F8043" t="s">
        <v>11</v>
      </c>
      <c r="G8043" t="s">
        <v>9419</v>
      </c>
      <c r="H8043" s="12">
        <v>-1.24502543490231</v>
      </c>
      <c r="I8043" s="20">
        <v>-1.13135104678597</v>
      </c>
      <c r="J8043" s="28">
        <v>0.25790736692114702</v>
      </c>
      <c r="K8043" s="29">
        <v>0.98289565623980701</v>
      </c>
    </row>
    <row r="8044" spans="1:11" x14ac:dyDescent="0.35">
      <c r="A8044" s="9" t="str">
        <f>HYPERLINK("http://www.ensembl.org/id/WBGene00000509", "WBGene00000509")</f>
        <v>WBGene00000509</v>
      </c>
      <c r="B8044" s="9" t="str">
        <f>HYPERLINK("http://www.ncbi.nlm.nih.gov/gene/177807", "177807")</f>
        <v>177807</v>
      </c>
      <c r="C8044" s="9" t="str">
        <f>HYPERLINK("http://www.ncbi.nlm.nih.gov/gene/1120", "1120")</f>
        <v>1120</v>
      </c>
      <c r="D8044" t="str">
        <f>"cka-1"</f>
        <v>cka-1</v>
      </c>
      <c r="E8044" t="s">
        <v>8640</v>
      </c>
      <c r="F8044" t="s">
        <v>11</v>
      </c>
      <c r="G8044" t="s">
        <v>8641</v>
      </c>
      <c r="H8044" s="12">
        <v>-1.18812725728705</v>
      </c>
      <c r="I8044" s="20">
        <v>-0.86789367624400104</v>
      </c>
      <c r="J8044" s="28">
        <v>0.38545254115175898</v>
      </c>
      <c r="K8044" s="29">
        <v>0.98289565623980701</v>
      </c>
    </row>
    <row r="8045" spans="1:11" x14ac:dyDescent="0.35">
      <c r="A8045" s="9" t="str">
        <f>HYPERLINK("http://www.ensembl.org/id/WBGene00000511", "WBGene00000511")</f>
        <v>WBGene00000511</v>
      </c>
      <c r="B8045" s="9" t="str">
        <f>HYPERLINK("http://www.ncbi.nlm.nih.gov/gene/181904", "181904")</f>
        <v>181904</v>
      </c>
      <c r="C8045" s="9"/>
      <c r="D8045" t="str">
        <f>"ckb-1"</f>
        <v>ckb-1</v>
      </c>
      <c r="E8045" t="s">
        <v>5796</v>
      </c>
      <c r="F8045" t="s">
        <v>11</v>
      </c>
      <c r="H8045" s="12">
        <v>1.10168969940503</v>
      </c>
      <c r="I8045" s="20">
        <v>0.360387847035952</v>
      </c>
      <c r="J8045" s="28">
        <v>0.71855711357876095</v>
      </c>
      <c r="K8045" s="29">
        <v>0.98289565623980701</v>
      </c>
    </row>
    <row r="8046" spans="1:11" x14ac:dyDescent="0.35">
      <c r="A8046" s="9" t="str">
        <f>HYPERLINK("http://www.ensembl.org/id/WBGene00000514", "WBGene00000514")</f>
        <v>WBGene00000514</v>
      </c>
      <c r="B8046" s="9" t="str">
        <f>HYPERLINK("http://www.ncbi.nlm.nih.gov/gene/184864", "184864")</f>
        <v>184864</v>
      </c>
      <c r="C8046" s="9"/>
      <c r="D8046" t="str">
        <f>"ckb-4"</f>
        <v>ckb-4</v>
      </c>
      <c r="E8046" t="s">
        <v>7355</v>
      </c>
      <c r="F8046" t="s">
        <v>11</v>
      </c>
      <c r="G8046" t="s">
        <v>7356</v>
      </c>
      <c r="H8046" s="12">
        <v>-1.12146002483854</v>
      </c>
      <c r="I8046" s="20">
        <v>-0.50127401421412199</v>
      </c>
      <c r="J8046" s="28">
        <v>0.616178290893446</v>
      </c>
      <c r="K8046" s="29">
        <v>0.98289565623980701</v>
      </c>
    </row>
    <row r="8047" spans="1:11" x14ac:dyDescent="0.35">
      <c r="A8047" s="9" t="str">
        <f>HYPERLINK("http://www.ensembl.org/id/WBGene00000515", "WBGene00000515")</f>
        <v>WBGene00000515</v>
      </c>
      <c r="B8047" s="9" t="str">
        <f>HYPERLINK("http://www.ncbi.nlm.nih.gov/gene/188971", "188971")</f>
        <v>188971</v>
      </c>
      <c r="C8047" s="9" t="str">
        <f>HYPERLINK("http://www.ncbi.nlm.nih.gov/gene/55500", "55500")</f>
        <v>55500</v>
      </c>
      <c r="D8047" t="str">
        <f>"ckc-1"</f>
        <v>ckc-1</v>
      </c>
      <c r="E8047" t="s">
        <v>9068</v>
      </c>
      <c r="F8047" t="s">
        <v>11</v>
      </c>
      <c r="G8047" t="s">
        <v>2770</v>
      </c>
      <c r="H8047" s="12">
        <v>-1.21821596842285</v>
      </c>
      <c r="I8047" s="20">
        <v>-0.89750667103266801</v>
      </c>
      <c r="J8047" s="28">
        <v>0.36944861530572598</v>
      </c>
      <c r="K8047" s="29">
        <v>0.98289565623980701</v>
      </c>
    </row>
    <row r="8048" spans="1:11" x14ac:dyDescent="0.35">
      <c r="A8048" s="9" t="str">
        <f>HYPERLINK("http://www.ensembl.org/id/WBGene00000517", "WBGene00000517")</f>
        <v>WBGene00000517</v>
      </c>
      <c r="B8048" s="9" t="str">
        <f>HYPERLINK("http://www.ncbi.nlm.nih.gov/gene/174261", "174261")</f>
        <v>174261</v>
      </c>
      <c r="C8048" s="9"/>
      <c r="D8048" t="str">
        <f>"cki-2"</f>
        <v>cki-2</v>
      </c>
      <c r="E8048" t="s">
        <v>9805</v>
      </c>
      <c r="F8048" t="s">
        <v>11</v>
      </c>
      <c r="G8048" t="s">
        <v>9806</v>
      </c>
      <c r="H8048" s="12">
        <v>-1.3074098562315</v>
      </c>
      <c r="I8048" s="20">
        <v>-1.185999002502</v>
      </c>
      <c r="J8048" s="28">
        <v>0.235622693449308</v>
      </c>
      <c r="K8048" s="29">
        <v>0.98289565623980701</v>
      </c>
    </row>
    <row r="8049" spans="1:11" x14ac:dyDescent="0.35">
      <c r="A8049" s="9" t="str">
        <f>HYPERLINK("http://www.ensembl.org/id/WBGene00000519", "WBGene00000519")</f>
        <v>WBGene00000519</v>
      </c>
      <c r="B8049" s="9" t="str">
        <f>HYPERLINK("http://www.ncbi.nlm.nih.gov/gene/176546", "176546")</f>
        <v>176546</v>
      </c>
      <c r="C8049" s="9" t="str">
        <f>HYPERLINK("http://www.ncbi.nlm.nih.gov/gene/2547", "2547")</f>
        <v>2547</v>
      </c>
      <c r="D8049" t="str">
        <f>"cku-70"</f>
        <v>cku-70</v>
      </c>
      <c r="E8049" t="s">
        <v>8455</v>
      </c>
      <c r="F8049" t="s">
        <v>11</v>
      </c>
      <c r="G8049" t="s">
        <v>8456</v>
      </c>
      <c r="H8049" s="12">
        <v>-1.1788970810575501</v>
      </c>
      <c r="I8049" s="20">
        <v>-0.81642083072162197</v>
      </c>
      <c r="J8049" s="28">
        <v>0.414259486676816</v>
      </c>
      <c r="K8049" s="29">
        <v>0.98289565623980701</v>
      </c>
    </row>
    <row r="8050" spans="1:11" x14ac:dyDescent="0.35">
      <c r="A8050" s="9" t="str">
        <f>HYPERLINK("http://www.ensembl.org/id/WBGene00000521", "WBGene00000521")</f>
        <v>WBGene00000521</v>
      </c>
      <c r="B8050" s="9" t="str">
        <f>HYPERLINK("http://www.ncbi.nlm.nih.gov/gene/179743", "179743")</f>
        <v>179743</v>
      </c>
      <c r="C8050" s="9"/>
      <c r="D8050" t="str">
        <f>"cky-1"</f>
        <v>cky-1</v>
      </c>
      <c r="E8050" t="s">
        <v>4553</v>
      </c>
      <c r="F8050" t="s">
        <v>11</v>
      </c>
      <c r="G8050" t="s">
        <v>4554</v>
      </c>
      <c r="H8050" s="12">
        <v>1.7098543372805199</v>
      </c>
      <c r="I8050" s="20">
        <v>1.13436547044856</v>
      </c>
      <c r="J8050" s="28">
        <v>0.25664127681788301</v>
      </c>
      <c r="K8050" s="29">
        <v>0.98289565623980701</v>
      </c>
    </row>
    <row r="8051" spans="1:11" x14ac:dyDescent="0.35">
      <c r="A8051" s="9" t="str">
        <f>HYPERLINK("http://www.ensembl.org/id/WBGene00009432", "WBGene00009432")</f>
        <v>WBGene00009432</v>
      </c>
      <c r="B8051" s="9" t="str">
        <f>HYPERLINK("http://www.ncbi.nlm.nih.gov/gene/179869", "179869")</f>
        <v>179869</v>
      </c>
      <c r="C8051" s="9"/>
      <c r="D8051" t="str">
        <f>"cld-9"</f>
        <v>cld-9</v>
      </c>
      <c r="E8051" t="s">
        <v>6866</v>
      </c>
      <c r="F8051" t="s">
        <v>11</v>
      </c>
      <c r="G8051" t="s">
        <v>264</v>
      </c>
      <c r="H8051" s="12">
        <v>-1.09339497694976</v>
      </c>
      <c r="I8051" s="20">
        <v>-0.305703914676411</v>
      </c>
      <c r="J8051" s="28">
        <v>0.75983009244020905</v>
      </c>
      <c r="K8051" s="29">
        <v>0.98289565623980701</v>
      </c>
    </row>
    <row r="8052" spans="1:11" x14ac:dyDescent="0.35">
      <c r="A8052" s="9" t="str">
        <f>HYPERLINK("http://www.ensembl.org/id/WBGene00000527", "WBGene00000527")</f>
        <v>WBGene00000527</v>
      </c>
      <c r="B8052" s="9" t="str">
        <f>HYPERLINK("http://www.ncbi.nlm.nih.gov/gene/172678", "172678")</f>
        <v>172678</v>
      </c>
      <c r="C8052" s="9"/>
      <c r="D8052" t="str">
        <f>"cle-1"</f>
        <v>cle-1</v>
      </c>
      <c r="E8052" t="s">
        <v>9165</v>
      </c>
      <c r="F8052" t="s">
        <v>11</v>
      </c>
      <c r="G8052" t="s">
        <v>9166</v>
      </c>
      <c r="H8052" s="12">
        <v>-1.22563211513312</v>
      </c>
      <c r="I8052" s="20">
        <v>-0.98383749277544597</v>
      </c>
      <c r="J8052" s="28">
        <v>0.325195421467737</v>
      </c>
      <c r="K8052" s="29">
        <v>0.98289565623980701</v>
      </c>
    </row>
    <row r="8053" spans="1:11" x14ac:dyDescent="0.35">
      <c r="A8053" s="9" t="str">
        <f>HYPERLINK("http://www.ensembl.org/id/WBGene00017772", "WBGene00017772")</f>
        <v>WBGene00017772</v>
      </c>
      <c r="B8053" s="9" t="str">
        <f>HYPERLINK("http://www.ncbi.nlm.nih.gov/gene/178958", "178958")</f>
        <v>178958</v>
      </c>
      <c r="C8053" s="9"/>
      <c r="D8053" t="str">
        <f>"clec-1"</f>
        <v>clec-1</v>
      </c>
      <c r="E8053" t="s">
        <v>46</v>
      </c>
      <c r="F8053" t="s">
        <v>11</v>
      </c>
      <c r="G8053" t="s">
        <v>47</v>
      </c>
      <c r="H8053" s="12">
        <v>1.2192996619259799</v>
      </c>
      <c r="I8053" s="20">
        <v>0.92676254716547002</v>
      </c>
      <c r="J8053" s="28">
        <v>0.35404983462825901</v>
      </c>
      <c r="K8053" s="29">
        <v>0.98289565623980701</v>
      </c>
    </row>
    <row r="8054" spans="1:11" x14ac:dyDescent="0.35">
      <c r="A8054" s="9" t="str">
        <f>HYPERLINK("http://www.ensembl.org/id/WBGene00015403", "WBGene00015403")</f>
        <v>WBGene00015403</v>
      </c>
      <c r="B8054" s="9" t="str">
        <f>HYPERLINK("http://www.ncbi.nlm.nih.gov/gene/173430", "173430")</f>
        <v>173430</v>
      </c>
      <c r="C8054" s="9"/>
      <c r="D8054" t="str">
        <f>"clec-10"</f>
        <v>clec-10</v>
      </c>
      <c r="E8054" t="s">
        <v>46</v>
      </c>
      <c r="F8054" t="s">
        <v>11</v>
      </c>
      <c r="G8054" t="s">
        <v>47</v>
      </c>
      <c r="H8054" s="12">
        <v>-1.4404318544932</v>
      </c>
      <c r="I8054" s="20">
        <v>-1.09887990839704</v>
      </c>
      <c r="J8054" s="28">
        <v>0.27182045135282201</v>
      </c>
      <c r="K8054" s="29">
        <v>0.98289565623980701</v>
      </c>
    </row>
    <row r="8055" spans="1:11" x14ac:dyDescent="0.35">
      <c r="A8055" s="9" t="str">
        <f>HYPERLINK("http://www.ensembl.org/id/WBGene00013179", "WBGene00013179")</f>
        <v>WBGene00013179</v>
      </c>
      <c r="B8055" s="9" t="str">
        <f>HYPERLINK("http://www.ncbi.nlm.nih.gov/gene/190246", "190246")</f>
        <v>190246</v>
      </c>
      <c r="C8055" s="9"/>
      <c r="D8055" t="str">
        <f>"clec-100"</f>
        <v>clec-100</v>
      </c>
      <c r="E8055" t="s">
        <v>46</v>
      </c>
      <c r="F8055" t="s">
        <v>11</v>
      </c>
      <c r="G8055" t="s">
        <v>47</v>
      </c>
      <c r="H8055" s="12">
        <v>-1.6084939711950299</v>
      </c>
      <c r="I8055" s="20">
        <v>-0.33289592051136702</v>
      </c>
      <c r="J8055" s="28">
        <v>0.73921284894758599</v>
      </c>
      <c r="K8055" s="29">
        <v>0.98289565623980701</v>
      </c>
    </row>
    <row r="8056" spans="1:11" x14ac:dyDescent="0.35">
      <c r="A8056" s="9" t="str">
        <f>HYPERLINK("http://www.ensembl.org/id/WBGene00012502", "WBGene00012502")</f>
        <v>WBGene00012502</v>
      </c>
      <c r="B8056" s="9" t="str">
        <f>HYPERLINK("http://www.ncbi.nlm.nih.gov/gene/189545", "189545")</f>
        <v>189545</v>
      </c>
      <c r="C8056" s="9"/>
      <c r="D8056" t="str">
        <f>"clec-107"</f>
        <v>clec-107</v>
      </c>
      <c r="E8056" t="s">
        <v>46</v>
      </c>
      <c r="F8056" t="s">
        <v>11</v>
      </c>
      <c r="G8056" t="s">
        <v>47</v>
      </c>
      <c r="H8056" s="12">
        <v>-2.4295389261469</v>
      </c>
      <c r="I8056" s="20">
        <v>-0.25808529976640998</v>
      </c>
      <c r="J8056" s="28">
        <v>0.79634107645457397</v>
      </c>
      <c r="K8056" s="29">
        <v>0.98289565623980701</v>
      </c>
    </row>
    <row r="8057" spans="1:11" x14ac:dyDescent="0.35">
      <c r="A8057" s="9" t="str">
        <f>HYPERLINK("http://www.ensembl.org/id/WBGene00008909", "WBGene00008909")</f>
        <v>WBGene00008909</v>
      </c>
      <c r="B8057" s="9" t="str">
        <f>HYPERLINK("http://www.ncbi.nlm.nih.gov/gene/184613", "184613")</f>
        <v>184613</v>
      </c>
      <c r="C8057" s="9"/>
      <c r="D8057" t="str">
        <f>"clec-110"</f>
        <v>clec-110</v>
      </c>
      <c r="E8057" t="s">
        <v>46</v>
      </c>
      <c r="F8057" t="s">
        <v>11</v>
      </c>
      <c r="G8057" t="s">
        <v>47</v>
      </c>
      <c r="H8057" s="12">
        <v>-2.4991590031922399</v>
      </c>
      <c r="I8057" s="20">
        <v>-0.26577412737581302</v>
      </c>
      <c r="J8057" s="28">
        <v>0.79041317015736101</v>
      </c>
      <c r="K8057" s="29">
        <v>0.98289565623980701</v>
      </c>
    </row>
    <row r="8058" spans="1:11" x14ac:dyDescent="0.35">
      <c r="A8058" s="9" t="str">
        <f>HYPERLINK("http://www.ensembl.org/id/WBGene00013502", "WBGene00013502")</f>
        <v>WBGene00013502</v>
      </c>
      <c r="B8058" s="9" t="str">
        <f>HYPERLINK("http://www.ncbi.nlm.nih.gov/gene/190575", "190575")</f>
        <v>190575</v>
      </c>
      <c r="C8058" s="9"/>
      <c r="D8058" t="str">
        <f>"clec-111"</f>
        <v>clec-111</v>
      </c>
      <c r="E8058" t="s">
        <v>46</v>
      </c>
      <c r="F8058" t="s">
        <v>11</v>
      </c>
      <c r="G8058" t="s">
        <v>47</v>
      </c>
      <c r="H8058" s="12">
        <v>2.3893468495514898</v>
      </c>
      <c r="I8058" s="20">
        <v>0.25323547253672701</v>
      </c>
      <c r="J8058" s="28">
        <v>0.80008625651646104</v>
      </c>
      <c r="K8058" s="29">
        <v>0.98289565623980701</v>
      </c>
    </row>
    <row r="8059" spans="1:11" x14ac:dyDescent="0.35">
      <c r="A8059" s="9" t="str">
        <f>HYPERLINK("http://www.ensembl.org/id/WBGene00008188", "WBGene00008188")</f>
        <v>WBGene00008188</v>
      </c>
      <c r="B8059" s="9" t="str">
        <f>HYPERLINK("http://www.ncbi.nlm.nih.gov/gene/183588", "183588")</f>
        <v>183588</v>
      </c>
      <c r="C8059" s="9"/>
      <c r="D8059" t="str">
        <f>"clec-115"</f>
        <v>clec-115</v>
      </c>
      <c r="E8059" t="s">
        <v>46</v>
      </c>
      <c r="F8059" t="s">
        <v>11</v>
      </c>
      <c r="H8059" s="12">
        <v>9.5215001458148301</v>
      </c>
      <c r="I8059" s="20">
        <v>0.67036031720767997</v>
      </c>
      <c r="J8059" s="28">
        <v>0.50262812496729803</v>
      </c>
      <c r="K8059" s="29">
        <v>0.98289565623980701</v>
      </c>
    </row>
    <row r="8060" spans="1:11" x14ac:dyDescent="0.35">
      <c r="A8060" s="9" t="str">
        <f>HYPERLINK("http://www.ensembl.org/id/WBGene00015193", "WBGene00015193")</f>
        <v>WBGene00015193</v>
      </c>
      <c r="B8060" s="9" t="str">
        <f>HYPERLINK("http://www.ncbi.nlm.nih.gov/gene/173417", "173417")</f>
        <v>173417</v>
      </c>
      <c r="C8060" s="9"/>
      <c r="D8060" t="str">
        <f>"clec-117"</f>
        <v>clec-117</v>
      </c>
      <c r="E8060" t="s">
        <v>46</v>
      </c>
      <c r="F8060" t="s">
        <v>11</v>
      </c>
      <c r="G8060" t="s">
        <v>47</v>
      </c>
      <c r="H8060" s="12">
        <v>-1.9642226249201999</v>
      </c>
      <c r="I8060" s="20">
        <v>-0.34796636753763199</v>
      </c>
      <c r="J8060" s="28">
        <v>0.727865441779879</v>
      </c>
      <c r="K8060" s="29">
        <v>0.98289565623980701</v>
      </c>
    </row>
    <row r="8061" spans="1:11" x14ac:dyDescent="0.35">
      <c r="A8061" s="9" t="str">
        <f>HYPERLINK("http://www.ensembl.org/id/WBGene00018575", "WBGene00018575")</f>
        <v>WBGene00018575</v>
      </c>
      <c r="B8061" s="9" t="str">
        <f>HYPERLINK("http://www.ncbi.nlm.nih.gov/gene/173504", "173504")</f>
        <v>173504</v>
      </c>
      <c r="C8061" s="9"/>
      <c r="D8061" t="str">
        <f>"clec-119"</f>
        <v>clec-119</v>
      </c>
      <c r="E8061" t="s">
        <v>46</v>
      </c>
      <c r="F8061" t="s">
        <v>11</v>
      </c>
      <c r="G8061" t="s">
        <v>47</v>
      </c>
      <c r="H8061" s="12">
        <v>2.5836148554087499</v>
      </c>
      <c r="I8061" s="20">
        <v>0.85285872889417103</v>
      </c>
      <c r="J8061" s="28">
        <v>0.39373765100767399</v>
      </c>
      <c r="K8061" s="29">
        <v>0.98289565623980701</v>
      </c>
    </row>
    <row r="8062" spans="1:11" x14ac:dyDescent="0.35">
      <c r="A8062" s="9" t="str">
        <f>HYPERLINK("http://www.ensembl.org/id/WBGene00012103", "WBGene00012103")</f>
        <v>WBGene00012103</v>
      </c>
      <c r="B8062" s="9" t="str">
        <f>HYPERLINK("http://www.ncbi.nlm.nih.gov/gene/189004", "189004")</f>
        <v>189004</v>
      </c>
      <c r="C8062" s="9"/>
      <c r="D8062" t="str">
        <f>"clec-12"</f>
        <v>clec-12</v>
      </c>
      <c r="E8062" t="s">
        <v>46</v>
      </c>
      <c r="F8062" t="s">
        <v>11</v>
      </c>
      <c r="G8062" t="s">
        <v>47</v>
      </c>
      <c r="H8062" s="12">
        <v>1.2945219579238001</v>
      </c>
      <c r="I8062" s="20">
        <v>0.63342999799300004</v>
      </c>
      <c r="J8062" s="28">
        <v>0.52645288063960105</v>
      </c>
      <c r="K8062" s="29">
        <v>0.98289565623980701</v>
      </c>
    </row>
    <row r="8063" spans="1:11" x14ac:dyDescent="0.35">
      <c r="A8063" s="9" t="str">
        <f>HYPERLINK("http://www.ensembl.org/id/WBGene00021291", "WBGene00021291")</f>
        <v>WBGene00021291</v>
      </c>
      <c r="B8063" s="9" t="str">
        <f>HYPERLINK("http://www.ncbi.nlm.nih.gov/gene/189537", "189537")</f>
        <v>189537</v>
      </c>
      <c r="C8063" s="9"/>
      <c r="D8063" t="str">
        <f>"clec-121"</f>
        <v>clec-121</v>
      </c>
      <c r="E8063" t="s">
        <v>46</v>
      </c>
      <c r="F8063" t="s">
        <v>11</v>
      </c>
      <c r="G8063" t="s">
        <v>47</v>
      </c>
      <c r="H8063" s="12">
        <v>-5.4967879193631202</v>
      </c>
      <c r="I8063" s="20">
        <v>-0.50254160819837501</v>
      </c>
      <c r="J8063" s="28">
        <v>0.61528659178453604</v>
      </c>
      <c r="K8063" s="29">
        <v>0.98289565623980701</v>
      </c>
    </row>
    <row r="8064" spans="1:11" x14ac:dyDescent="0.35">
      <c r="A8064" s="9" t="str">
        <f>HYPERLINK("http://www.ensembl.org/id/WBGene00021288", "WBGene00021288")</f>
        <v>WBGene00021288</v>
      </c>
      <c r="B8064" s="9" t="str">
        <f>HYPERLINK("http://www.ncbi.nlm.nih.gov/gene/173658", "173658")</f>
        <v>173658</v>
      </c>
      <c r="C8064" s="9"/>
      <c r="D8064" t="str">
        <f>"clec-123"</f>
        <v>clec-123</v>
      </c>
      <c r="E8064" t="s">
        <v>46</v>
      </c>
      <c r="F8064" t="s">
        <v>11</v>
      </c>
      <c r="G8064" t="s">
        <v>47</v>
      </c>
      <c r="H8064" s="12">
        <v>1.2878428391110599</v>
      </c>
      <c r="I8064" s="20">
        <v>0.42979281095126898</v>
      </c>
      <c r="J8064" s="28">
        <v>0.66734636285347504</v>
      </c>
      <c r="K8064" s="29">
        <v>0.98289565623980701</v>
      </c>
    </row>
    <row r="8065" spans="1:11" x14ac:dyDescent="0.35">
      <c r="A8065" s="9" t="str">
        <f>HYPERLINK("http://www.ensembl.org/id/WBGene00015909", "WBGene00015909")</f>
        <v>WBGene00015909</v>
      </c>
      <c r="B8065" s="9" t="str">
        <f>HYPERLINK("http://www.ncbi.nlm.nih.gov/gene/182737", "182737")</f>
        <v>182737</v>
      </c>
      <c r="C8065" s="9"/>
      <c r="D8065" t="str">
        <f>"clec-124"</f>
        <v>clec-124</v>
      </c>
      <c r="E8065" t="s">
        <v>46</v>
      </c>
      <c r="F8065" t="s">
        <v>11</v>
      </c>
      <c r="G8065" t="s">
        <v>47</v>
      </c>
      <c r="H8065" s="12">
        <v>2.3893468495514898</v>
      </c>
      <c r="I8065" s="20">
        <v>0.25323547253672701</v>
      </c>
      <c r="J8065" s="28">
        <v>0.80008625651646104</v>
      </c>
      <c r="K8065" s="29">
        <v>0.98289565623980701</v>
      </c>
    </row>
    <row r="8066" spans="1:11" x14ac:dyDescent="0.35">
      <c r="A8066" s="9" t="str">
        <f>HYPERLINK("http://www.ensembl.org/id/WBGene00018047", "WBGene00018047")</f>
        <v>WBGene00018047</v>
      </c>
      <c r="B8066" s="9" t="str">
        <f>HYPERLINK("http://www.ncbi.nlm.nih.gov/gene/173799", "173799")</f>
        <v>173799</v>
      </c>
      <c r="C8066" s="9"/>
      <c r="D8066" t="str">
        <f>"clec-136"</f>
        <v>clec-136</v>
      </c>
      <c r="E8066" t="s">
        <v>46</v>
      </c>
      <c r="F8066" t="s">
        <v>11</v>
      </c>
      <c r="G8066" t="s">
        <v>47</v>
      </c>
      <c r="H8066" s="12">
        <v>1.41377486787022</v>
      </c>
      <c r="I8066" s="20">
        <v>0.44038956531888201</v>
      </c>
      <c r="J8066" s="28">
        <v>0.65965498112657095</v>
      </c>
      <c r="K8066" s="29">
        <v>0.98289565623980701</v>
      </c>
    </row>
    <row r="8067" spans="1:11" x14ac:dyDescent="0.35">
      <c r="A8067" s="9" t="str">
        <f>HYPERLINK("http://www.ensembl.org/id/WBGene00018048", "WBGene00018048")</f>
        <v>WBGene00018048</v>
      </c>
      <c r="B8067" s="9" t="str">
        <f>HYPERLINK("http://www.ncbi.nlm.nih.gov/gene/185281", "185281")</f>
        <v>185281</v>
      </c>
      <c r="C8067" s="9"/>
      <c r="D8067" t="str">
        <f>"clec-137"</f>
        <v>clec-137</v>
      </c>
      <c r="E8067" t="s">
        <v>46</v>
      </c>
      <c r="F8067" t="s">
        <v>11</v>
      </c>
      <c r="G8067" t="s">
        <v>47</v>
      </c>
      <c r="H8067" s="12">
        <v>2.3893468495514898</v>
      </c>
      <c r="I8067" s="20">
        <v>0.25323547253672701</v>
      </c>
      <c r="J8067" s="28">
        <v>0.80008625651646104</v>
      </c>
      <c r="K8067" s="29">
        <v>0.98289565623980701</v>
      </c>
    </row>
    <row r="8068" spans="1:11" x14ac:dyDescent="0.35">
      <c r="A8068" s="9" t="str">
        <f>HYPERLINK("http://www.ensembl.org/id/WBGene00018049", "WBGene00018049")</f>
        <v>WBGene00018049</v>
      </c>
      <c r="B8068" s="9" t="str">
        <f>HYPERLINK("http://www.ncbi.nlm.nih.gov/gene/185282", "185282")</f>
        <v>185282</v>
      </c>
      <c r="C8068" s="9"/>
      <c r="D8068" t="str">
        <f>"clec-138"</f>
        <v>clec-138</v>
      </c>
      <c r="E8068" t="s">
        <v>46</v>
      </c>
      <c r="F8068" t="s">
        <v>11</v>
      </c>
      <c r="G8068" t="s">
        <v>47</v>
      </c>
      <c r="H8068" s="12">
        <v>2.3893468495514898</v>
      </c>
      <c r="I8068" s="20">
        <v>0.25323547253672701</v>
      </c>
      <c r="J8068" s="28">
        <v>0.80008625651646104</v>
      </c>
      <c r="K8068" s="29">
        <v>0.98289565623980701</v>
      </c>
    </row>
    <row r="8069" spans="1:11" x14ac:dyDescent="0.35">
      <c r="A8069" s="9" t="str">
        <f>HYPERLINK("http://www.ensembl.org/id/WBGene00020220", "WBGene00020220")</f>
        <v>WBGene00020220</v>
      </c>
      <c r="B8069" s="9" t="str">
        <f>HYPERLINK("http://www.ncbi.nlm.nih.gov/gene/188082", "188082")</f>
        <v>188082</v>
      </c>
      <c r="C8069" s="9"/>
      <c r="D8069" t="str">
        <f>"clec-140"</f>
        <v>clec-140</v>
      </c>
      <c r="E8069" t="s">
        <v>46</v>
      </c>
      <c r="F8069" t="s">
        <v>11</v>
      </c>
      <c r="G8069" t="s">
        <v>47</v>
      </c>
      <c r="H8069" s="12">
        <v>2.4096925097268902</v>
      </c>
      <c r="I8069" s="20">
        <v>0.89268043479829895</v>
      </c>
      <c r="J8069" s="28">
        <v>0.37202833084438902</v>
      </c>
      <c r="K8069" s="29">
        <v>0.98289565623980701</v>
      </c>
    </row>
    <row r="8070" spans="1:11" x14ac:dyDescent="0.35">
      <c r="A8070" s="9" t="str">
        <f>HYPERLINK("http://www.ensembl.org/id/WBGene00017139", "WBGene00017139")</f>
        <v>WBGene00017139</v>
      </c>
      <c r="B8070" s="9" t="str">
        <f>HYPERLINK("http://www.ncbi.nlm.nih.gov/gene/184044", "184044")</f>
        <v>184044</v>
      </c>
      <c r="C8070" s="9"/>
      <c r="D8070" t="str">
        <f>"clec-141"</f>
        <v>clec-141</v>
      </c>
      <c r="E8070" t="s">
        <v>4446</v>
      </c>
      <c r="F8070" t="s">
        <v>11</v>
      </c>
      <c r="H8070" s="12">
        <v>2.0603217049889402</v>
      </c>
      <c r="I8070" s="20">
        <v>0.47614147999596801</v>
      </c>
      <c r="J8070" s="28">
        <v>0.63397358728184305</v>
      </c>
      <c r="K8070" s="29">
        <v>0.98289565623980701</v>
      </c>
    </row>
    <row r="8071" spans="1:11" x14ac:dyDescent="0.35">
      <c r="A8071" s="9" t="str">
        <f>HYPERLINK("http://www.ensembl.org/id/WBGene00012086", "WBGene00012086")</f>
        <v>WBGene00012086</v>
      </c>
      <c r="B8071" s="9" t="str">
        <f>HYPERLINK("http://www.ncbi.nlm.nih.gov/gene/188994", "188994")</f>
        <v>188994</v>
      </c>
      <c r="C8071" s="9"/>
      <c r="D8071" t="str">
        <f>"clec-144"</f>
        <v>clec-144</v>
      </c>
      <c r="E8071" t="s">
        <v>46</v>
      </c>
      <c r="F8071" t="s">
        <v>11</v>
      </c>
      <c r="G8071" t="s">
        <v>47</v>
      </c>
      <c r="H8071" s="12">
        <v>7.6616465944663696</v>
      </c>
      <c r="I8071" s="20">
        <v>0.60406875593600395</v>
      </c>
      <c r="J8071" s="28">
        <v>0.54579793098927099</v>
      </c>
      <c r="K8071" s="29">
        <v>0.98289565623980701</v>
      </c>
    </row>
    <row r="8072" spans="1:11" x14ac:dyDescent="0.35">
      <c r="A8072" s="9" t="str">
        <f>HYPERLINK("http://www.ensembl.org/id/WBGene00007313", "WBGene00007313")</f>
        <v>WBGene00007313</v>
      </c>
      <c r="B8072" s="9" t="str">
        <f>HYPERLINK("http://www.ncbi.nlm.nih.gov/gene/175114", "175114")</f>
        <v>175114</v>
      </c>
      <c r="C8072" s="9"/>
      <c r="D8072" t="str">
        <f>"clec-147"</f>
        <v>clec-147</v>
      </c>
      <c r="E8072" t="s">
        <v>46</v>
      </c>
      <c r="F8072" t="s">
        <v>11</v>
      </c>
      <c r="G8072" t="s">
        <v>47</v>
      </c>
      <c r="H8072" s="12">
        <v>-1.1722576566829599</v>
      </c>
      <c r="I8072" s="20">
        <v>-0.85477570189598895</v>
      </c>
      <c r="J8072" s="28">
        <v>0.39267533220606099</v>
      </c>
      <c r="K8072" s="29">
        <v>0.98289565623980701</v>
      </c>
    </row>
    <row r="8073" spans="1:11" x14ac:dyDescent="0.35">
      <c r="A8073" s="9" t="str">
        <f>HYPERLINK("http://www.ensembl.org/id/WBGene00008658", "WBGene00008658")</f>
        <v>WBGene00008658</v>
      </c>
      <c r="B8073" s="9"/>
      <c r="C8073" s="9"/>
      <c r="D8073" t="str">
        <f>"clec-152"</f>
        <v>clec-152</v>
      </c>
      <c r="F8073" t="s">
        <v>80</v>
      </c>
      <c r="H8073" s="12">
        <v>-8.3918544013310896</v>
      </c>
      <c r="I8073" s="20">
        <v>-0.87570492467372796</v>
      </c>
      <c r="J8073" s="28">
        <v>0.38119046744110602</v>
      </c>
      <c r="K8073" s="29">
        <v>0.98289565623980701</v>
      </c>
    </row>
    <row r="8074" spans="1:11" x14ac:dyDescent="0.35">
      <c r="A8074" s="9" t="str">
        <f>HYPERLINK("http://www.ensembl.org/id/WBGene00008657", "WBGene00008657")</f>
        <v>WBGene00008657</v>
      </c>
      <c r="B8074" s="9"/>
      <c r="C8074" s="9"/>
      <c r="D8074" t="str">
        <f>"clec-154"</f>
        <v>clec-154</v>
      </c>
      <c r="F8074" t="s">
        <v>80</v>
      </c>
      <c r="H8074" s="12">
        <v>2.2868869913454102</v>
      </c>
      <c r="I8074" s="20">
        <v>0.53791124789108302</v>
      </c>
      <c r="J8074" s="28">
        <v>0.59063832272075101</v>
      </c>
      <c r="K8074" s="29">
        <v>0.98289565623980701</v>
      </c>
    </row>
    <row r="8075" spans="1:11" x14ac:dyDescent="0.35">
      <c r="A8075" s="9" t="str">
        <f>HYPERLINK("http://www.ensembl.org/id/WBGene00011405", "WBGene00011405")</f>
        <v>WBGene00011405</v>
      </c>
      <c r="B8075" s="9"/>
      <c r="C8075" s="9"/>
      <c r="D8075" t="str">
        <f>"clec-155"</f>
        <v>clec-155</v>
      </c>
      <c r="F8075" t="s">
        <v>80</v>
      </c>
      <c r="H8075" s="12">
        <v>2.7902752670922402</v>
      </c>
      <c r="I8075" s="20">
        <v>1.0182997775196301</v>
      </c>
      <c r="J8075" s="28">
        <v>0.30853551411265301</v>
      </c>
      <c r="K8075" s="29">
        <v>0.98289565623980701</v>
      </c>
    </row>
    <row r="8076" spans="1:11" x14ac:dyDescent="0.35">
      <c r="A8076" s="9" t="str">
        <f>HYPERLINK("http://www.ensembl.org/id/WBGene00017810", "WBGene00017810")</f>
        <v>WBGene00017810</v>
      </c>
      <c r="B8076" s="9" t="str">
        <f>HYPERLINK("http://www.ncbi.nlm.nih.gov/gene/175641", "175641")</f>
        <v>175641</v>
      </c>
      <c r="C8076" s="9"/>
      <c r="D8076" t="str">
        <f>"clec-157"</f>
        <v>clec-157</v>
      </c>
      <c r="E8076" t="s">
        <v>46</v>
      </c>
      <c r="F8076" t="s">
        <v>11</v>
      </c>
      <c r="G8076" t="s">
        <v>47</v>
      </c>
      <c r="H8076" s="12">
        <v>2.0952547638940802</v>
      </c>
      <c r="I8076" s="20">
        <v>0.69012555670865705</v>
      </c>
      <c r="J8076" s="28">
        <v>0.49011523276104901</v>
      </c>
      <c r="K8076" s="29">
        <v>0.98289565623980701</v>
      </c>
    </row>
    <row r="8077" spans="1:11" x14ac:dyDescent="0.35">
      <c r="A8077" s="9" t="str">
        <f>HYPERLINK("http://www.ensembl.org/id/WBGene00020067", "WBGene00020067")</f>
        <v>WBGene00020067</v>
      </c>
      <c r="B8077" s="9" t="str">
        <f>HYPERLINK("http://www.ncbi.nlm.nih.gov/gene/187871", "187871")</f>
        <v>187871</v>
      </c>
      <c r="C8077" s="9"/>
      <c r="D8077" t="str">
        <f>"clec-158"</f>
        <v>clec-158</v>
      </c>
      <c r="E8077" t="s">
        <v>10099</v>
      </c>
      <c r="F8077" t="s">
        <v>11</v>
      </c>
      <c r="H8077" s="12">
        <v>-3.5882319084027099</v>
      </c>
      <c r="I8077" s="20">
        <v>-0.47992806806208699</v>
      </c>
      <c r="J8077" s="28">
        <v>0.63127854220295099</v>
      </c>
      <c r="K8077" s="29">
        <v>0.98289565623980701</v>
      </c>
    </row>
    <row r="8078" spans="1:11" x14ac:dyDescent="0.35">
      <c r="A8078" s="9" t="str">
        <f>HYPERLINK("http://www.ensembl.org/id/WBGene00020065", "WBGene00020065")</f>
        <v>WBGene00020065</v>
      </c>
      <c r="B8078" s="9"/>
      <c r="C8078" s="9"/>
      <c r="D8078" t="str">
        <f>"clec-159"</f>
        <v>clec-159</v>
      </c>
      <c r="F8078" t="s">
        <v>80</v>
      </c>
      <c r="H8078" s="12">
        <v>3.6645215954135</v>
      </c>
      <c r="I8078" s="20">
        <v>0.37967131826092498</v>
      </c>
      <c r="J8078" s="28">
        <v>0.70418941338960395</v>
      </c>
      <c r="K8078" s="29">
        <v>0.98289565623980701</v>
      </c>
    </row>
    <row r="8079" spans="1:11" x14ac:dyDescent="0.35">
      <c r="A8079" s="9" t="str">
        <f>HYPERLINK("http://www.ensembl.org/id/WBGene00010228", "WBGene00010228")</f>
        <v>WBGene00010228</v>
      </c>
      <c r="B8079" s="9" t="str">
        <f>HYPERLINK("http://www.ncbi.nlm.nih.gov/gene/176357", "176357")</f>
        <v>176357</v>
      </c>
      <c r="C8079" s="9"/>
      <c r="D8079" t="str">
        <f>"clec-161"</f>
        <v>clec-161</v>
      </c>
      <c r="E8079" t="s">
        <v>10059</v>
      </c>
      <c r="F8079" t="s">
        <v>11</v>
      </c>
      <c r="H8079" s="12">
        <v>-2.4703018886837098</v>
      </c>
      <c r="I8079" s="20">
        <v>-0.36490693701166099</v>
      </c>
      <c r="J8079" s="28">
        <v>0.71518087587669499</v>
      </c>
      <c r="K8079" s="29">
        <v>0.98289565623980701</v>
      </c>
    </row>
    <row r="8080" spans="1:11" x14ac:dyDescent="0.35">
      <c r="A8080" s="9" t="str">
        <f>HYPERLINK("http://www.ensembl.org/id/WBGene00007399", "WBGene00007399")</f>
        <v>WBGene00007399</v>
      </c>
      <c r="B8080" s="9" t="str">
        <f>HYPERLINK("http://www.ncbi.nlm.nih.gov/gene/182353", "182353")</f>
        <v>182353</v>
      </c>
      <c r="C8080" s="9"/>
      <c r="D8080" t="str">
        <f>"clec-162"</f>
        <v>clec-162</v>
      </c>
      <c r="E8080" t="s">
        <v>4201</v>
      </c>
      <c r="F8080" t="s">
        <v>11</v>
      </c>
      <c r="H8080" s="12">
        <v>16.217611553187702</v>
      </c>
      <c r="I8080" s="20">
        <v>0.94333696891586505</v>
      </c>
      <c r="J8080" s="28">
        <v>0.34550857211368002</v>
      </c>
      <c r="K8080" s="29">
        <v>0.98289565623980701</v>
      </c>
    </row>
    <row r="8081" spans="1:11" x14ac:dyDescent="0.35">
      <c r="A8081" s="9" t="str">
        <f>HYPERLINK("http://www.ensembl.org/id/WBGene00012661", "WBGene00012661")</f>
        <v>WBGene00012661</v>
      </c>
      <c r="B8081" s="9" t="str">
        <f>HYPERLINK("http://www.ncbi.nlm.nih.gov/gene/189714", "189714")</f>
        <v>189714</v>
      </c>
      <c r="C8081" s="9"/>
      <c r="D8081" t="str">
        <f>"clec-163"</f>
        <v>clec-163</v>
      </c>
      <c r="E8081" t="s">
        <v>46</v>
      </c>
      <c r="F8081" t="s">
        <v>11</v>
      </c>
      <c r="G8081" t="s">
        <v>47</v>
      </c>
      <c r="H8081" s="12">
        <v>-2.4295389261469</v>
      </c>
      <c r="I8081" s="20">
        <v>-0.25808529976640998</v>
      </c>
      <c r="J8081" s="28">
        <v>0.79634107645457397</v>
      </c>
      <c r="K8081" s="29">
        <v>0.98289565623980701</v>
      </c>
    </row>
    <row r="8082" spans="1:11" x14ac:dyDescent="0.35">
      <c r="A8082" s="9" t="str">
        <f>HYPERLINK("http://www.ensembl.org/id/WBGene00009518", "WBGene00009518")</f>
        <v>WBGene00009518</v>
      </c>
      <c r="B8082" s="9" t="str">
        <f>HYPERLINK("http://www.ncbi.nlm.nih.gov/gene/185435", "185435")</f>
        <v>185435</v>
      </c>
      <c r="C8082" s="9"/>
      <c r="D8082" t="str">
        <f>"clec-166"</f>
        <v>clec-166</v>
      </c>
      <c r="E8082" t="s">
        <v>46</v>
      </c>
      <c r="F8082" t="s">
        <v>11</v>
      </c>
      <c r="G8082" t="s">
        <v>47</v>
      </c>
      <c r="H8082" s="12">
        <v>-1.36532575860751</v>
      </c>
      <c r="I8082" s="20">
        <v>-0.88071521026500499</v>
      </c>
      <c r="J8082" s="28">
        <v>0.37847198210218702</v>
      </c>
      <c r="K8082" s="29">
        <v>0.98289565623980701</v>
      </c>
    </row>
    <row r="8083" spans="1:11" x14ac:dyDescent="0.35">
      <c r="A8083" s="9" t="str">
        <f>HYPERLINK("http://www.ensembl.org/id/WBGene00009517", "WBGene00009517")</f>
        <v>WBGene00009517</v>
      </c>
      <c r="B8083" s="9" t="str">
        <f>HYPERLINK("http://www.ncbi.nlm.nih.gov/gene/185434", "185434")</f>
        <v>185434</v>
      </c>
      <c r="C8083" s="9"/>
      <c r="D8083" t="str">
        <f>"clec-167"</f>
        <v>clec-167</v>
      </c>
      <c r="E8083" t="s">
        <v>46</v>
      </c>
      <c r="F8083" t="s">
        <v>11</v>
      </c>
      <c r="G8083" t="s">
        <v>2771</v>
      </c>
      <c r="H8083" s="12">
        <v>-2.4295389261469</v>
      </c>
      <c r="I8083" s="20">
        <v>-0.25808529976640998</v>
      </c>
      <c r="J8083" s="28">
        <v>0.79634107645457397</v>
      </c>
      <c r="K8083" s="29">
        <v>0.98289565623980701</v>
      </c>
    </row>
    <row r="8084" spans="1:11" x14ac:dyDescent="0.35">
      <c r="A8084" s="9" t="str">
        <f>HYPERLINK("http://www.ensembl.org/id/WBGene00009526", "WBGene00009526")</f>
        <v>WBGene00009526</v>
      </c>
      <c r="B8084" s="9" t="str">
        <f>HYPERLINK("http://www.ncbi.nlm.nih.gov/gene/3565430", "3565430")</f>
        <v>3565430</v>
      </c>
      <c r="C8084" s="9"/>
      <c r="D8084" t="str">
        <f>"clec-169"</f>
        <v>clec-169</v>
      </c>
      <c r="E8084" t="s">
        <v>46</v>
      </c>
      <c r="F8084" t="s">
        <v>11</v>
      </c>
      <c r="G8084" t="s">
        <v>47</v>
      </c>
      <c r="H8084" s="12">
        <v>-1.5449749075244401</v>
      </c>
      <c r="I8084" s="20">
        <v>-0.60351367171571302</v>
      </c>
      <c r="J8084" s="28">
        <v>0.54616702322523103</v>
      </c>
      <c r="K8084" s="29">
        <v>0.98289565623980701</v>
      </c>
    </row>
    <row r="8085" spans="1:11" x14ac:dyDescent="0.35">
      <c r="A8085" s="9" t="str">
        <f>HYPERLINK("http://www.ensembl.org/id/WBGene00008477", "WBGene00008477")</f>
        <v>WBGene00008477</v>
      </c>
      <c r="B8085" s="9" t="str">
        <f>HYPERLINK("http://www.ncbi.nlm.nih.gov/gene/173111", "173111")</f>
        <v>173111</v>
      </c>
      <c r="C8085" s="9"/>
      <c r="D8085" t="str">
        <f>"clec-17"</f>
        <v>clec-17</v>
      </c>
      <c r="E8085" t="s">
        <v>46</v>
      </c>
      <c r="F8085" t="s">
        <v>11</v>
      </c>
      <c r="G8085" t="s">
        <v>47</v>
      </c>
      <c r="H8085" s="12">
        <v>-2.6876333349466499</v>
      </c>
      <c r="I8085" s="20">
        <v>-0.96466680086480505</v>
      </c>
      <c r="J8085" s="28">
        <v>0.334711728871873</v>
      </c>
      <c r="K8085" s="29">
        <v>0.98289565623980701</v>
      </c>
    </row>
    <row r="8086" spans="1:11" x14ac:dyDescent="0.35">
      <c r="A8086" s="9" t="str">
        <f>HYPERLINK("http://www.ensembl.org/id/WBGene00009515", "WBGene00009515")</f>
        <v>WBGene00009515</v>
      </c>
      <c r="B8086" s="9" t="str">
        <f>HYPERLINK("http://www.ncbi.nlm.nih.gov/gene/3565354", "3565354")</f>
        <v>3565354</v>
      </c>
      <c r="C8086" s="9"/>
      <c r="D8086" t="str">
        <f>"clec-170"</f>
        <v>clec-170</v>
      </c>
      <c r="E8086" t="s">
        <v>46</v>
      </c>
      <c r="F8086" t="s">
        <v>11</v>
      </c>
      <c r="G8086" t="s">
        <v>47</v>
      </c>
      <c r="H8086" s="12">
        <v>1.43613680334487</v>
      </c>
      <c r="I8086" s="20">
        <v>0.89191584026450799</v>
      </c>
      <c r="J8086" s="28">
        <v>0.37243804360545002</v>
      </c>
      <c r="K8086" s="29">
        <v>0.98289565623980701</v>
      </c>
    </row>
    <row r="8087" spans="1:11" x14ac:dyDescent="0.35">
      <c r="A8087" s="9" t="str">
        <f>HYPERLINK("http://www.ensembl.org/id/WBGene00022312", "WBGene00022312")</f>
        <v>WBGene00022312</v>
      </c>
      <c r="B8087" s="9" t="str">
        <f>HYPERLINK("http://www.ncbi.nlm.nih.gov/gene/190737", "190737")</f>
        <v>190737</v>
      </c>
      <c r="C8087" s="9"/>
      <c r="D8087" t="str">
        <f>"clec-171"</f>
        <v>clec-171</v>
      </c>
      <c r="E8087" t="s">
        <v>46</v>
      </c>
      <c r="F8087" t="s">
        <v>11</v>
      </c>
      <c r="H8087" s="12">
        <v>2.0036172596529398</v>
      </c>
      <c r="I8087" s="20">
        <v>0.52724725351279</v>
      </c>
      <c r="J8087" s="28">
        <v>0.59802189802268202</v>
      </c>
      <c r="K8087" s="29">
        <v>0.98289565623980701</v>
      </c>
    </row>
    <row r="8088" spans="1:11" x14ac:dyDescent="0.35">
      <c r="A8088" s="9" t="str">
        <f>HYPERLINK("http://www.ensembl.org/id/WBGene00017110", "WBGene00017110")</f>
        <v>WBGene00017110</v>
      </c>
      <c r="B8088" s="9" t="str">
        <f>HYPERLINK("http://www.ncbi.nlm.nih.gov/gene/184028", "184028")</f>
        <v>184028</v>
      </c>
      <c r="C8088" s="9"/>
      <c r="D8088" t="str">
        <f>"clec-176"</f>
        <v>clec-176</v>
      </c>
      <c r="E8088" t="s">
        <v>46</v>
      </c>
      <c r="F8088" t="s">
        <v>11</v>
      </c>
      <c r="G8088" t="s">
        <v>25</v>
      </c>
      <c r="H8088" s="12">
        <v>-2.14111773179759</v>
      </c>
      <c r="I8088" s="20">
        <v>-0.76350280640129997</v>
      </c>
      <c r="J8088" s="28">
        <v>0.445163589290693</v>
      </c>
      <c r="K8088" s="29">
        <v>0.98289565623980701</v>
      </c>
    </row>
    <row r="8089" spans="1:11" x14ac:dyDescent="0.35">
      <c r="A8089" s="9" t="str">
        <f>HYPERLINK("http://www.ensembl.org/id/WBGene00016597", "WBGene00016597")</f>
        <v>WBGene00016597</v>
      </c>
      <c r="B8089" s="9" t="str">
        <f>HYPERLINK("http://www.ncbi.nlm.nih.gov/gene/183404", "183404")</f>
        <v>183404</v>
      </c>
      <c r="C8089" s="9"/>
      <c r="D8089" t="str">
        <f>"clec-179"</f>
        <v>clec-179</v>
      </c>
      <c r="E8089" t="s">
        <v>46</v>
      </c>
      <c r="F8089" t="s">
        <v>11</v>
      </c>
      <c r="G8089" t="s">
        <v>47</v>
      </c>
      <c r="H8089" s="12">
        <v>2.4578120077400301</v>
      </c>
      <c r="I8089" s="20">
        <v>0.26093350314551</v>
      </c>
      <c r="J8089" s="28">
        <v>0.79414378780213601</v>
      </c>
      <c r="K8089" s="29">
        <v>0.98289565623980701</v>
      </c>
    </row>
    <row r="8090" spans="1:11" x14ac:dyDescent="0.35">
      <c r="A8090" s="9" t="str">
        <f>HYPERLINK("http://www.ensembl.org/id/WBGene00017991", "WBGene00017991")</f>
        <v>WBGene00017991</v>
      </c>
      <c r="B8090" s="9" t="str">
        <f>HYPERLINK("http://www.ncbi.nlm.nih.gov/gene/177534", "177534")</f>
        <v>177534</v>
      </c>
      <c r="C8090" s="9"/>
      <c r="D8090" t="str">
        <f>"clec-180"</f>
        <v>clec-180</v>
      </c>
      <c r="E8090" t="s">
        <v>5640</v>
      </c>
      <c r="F8090" t="s">
        <v>11</v>
      </c>
      <c r="H8090" s="12">
        <v>1.13141028663668</v>
      </c>
      <c r="I8090" s="20">
        <v>0.38092751367590499</v>
      </c>
      <c r="J8090" s="28">
        <v>0.703257035970977</v>
      </c>
      <c r="K8090" s="29">
        <v>0.98289565623980701</v>
      </c>
    </row>
    <row r="8091" spans="1:11" x14ac:dyDescent="0.35">
      <c r="A8091" s="9" t="str">
        <f>HYPERLINK("http://www.ensembl.org/id/WBGene00007897", "WBGene00007897")</f>
        <v>WBGene00007897</v>
      </c>
      <c r="B8091" s="9" t="str">
        <f>HYPERLINK("http://www.ncbi.nlm.nih.gov/gene/183158", "183158")</f>
        <v>183158</v>
      </c>
      <c r="C8091" s="9"/>
      <c r="D8091" t="str">
        <f>"clec-182"</f>
        <v>clec-182</v>
      </c>
      <c r="E8091" t="s">
        <v>46</v>
      </c>
      <c r="F8091" t="s">
        <v>11</v>
      </c>
      <c r="G8091" t="s">
        <v>47</v>
      </c>
      <c r="H8091" s="12">
        <v>-2.04329311075877</v>
      </c>
      <c r="I8091" s="20">
        <v>-0.49201631958268999</v>
      </c>
      <c r="J8091" s="28">
        <v>0.62270780678191295</v>
      </c>
      <c r="K8091" s="29">
        <v>0.98289565623980701</v>
      </c>
    </row>
    <row r="8092" spans="1:11" x14ac:dyDescent="0.35">
      <c r="A8092" s="9" t="str">
        <f>HYPERLINK("http://www.ensembl.org/id/WBGene00011855", "WBGene00011855")</f>
        <v>WBGene00011855</v>
      </c>
      <c r="B8092" s="9" t="str">
        <f>HYPERLINK("http://www.ncbi.nlm.nih.gov/gene/188635", "188635")</f>
        <v>188635</v>
      </c>
      <c r="C8092" s="9"/>
      <c r="D8092" t="str">
        <f>"clec-183"</f>
        <v>clec-183</v>
      </c>
      <c r="E8092" t="s">
        <v>46</v>
      </c>
      <c r="F8092" t="s">
        <v>11</v>
      </c>
      <c r="G8092" t="s">
        <v>47</v>
      </c>
      <c r="H8092" s="12">
        <v>-2.3838754719136599</v>
      </c>
      <c r="I8092" s="20">
        <v>-0.25807578497976902</v>
      </c>
      <c r="J8092" s="28">
        <v>0.79634841949468704</v>
      </c>
      <c r="K8092" s="29">
        <v>0.98289565623980701</v>
      </c>
    </row>
    <row r="8093" spans="1:11" x14ac:dyDescent="0.35">
      <c r="A8093" s="9" t="str">
        <f>HYPERLINK("http://www.ensembl.org/id/WBGene00014137", "WBGene00014137")</f>
        <v>WBGene00014137</v>
      </c>
      <c r="B8093" s="9" t="str">
        <f>HYPERLINK("http://www.ncbi.nlm.nih.gov/gene/191451", "191451")</f>
        <v>191451</v>
      </c>
      <c r="C8093" s="9"/>
      <c r="D8093" t="str">
        <f>"clec-187"</f>
        <v>clec-187</v>
      </c>
      <c r="E8093" t="s">
        <v>46</v>
      </c>
      <c r="F8093" t="s">
        <v>11</v>
      </c>
      <c r="G8093" t="s">
        <v>734</v>
      </c>
      <c r="H8093" s="12">
        <v>-1.07053580409738</v>
      </c>
      <c r="I8093" s="20">
        <v>-0.29890883615548203</v>
      </c>
      <c r="J8093" s="28">
        <v>0.76500960489020498</v>
      </c>
      <c r="K8093" s="29">
        <v>0.98289565623980701</v>
      </c>
    </row>
    <row r="8094" spans="1:11" x14ac:dyDescent="0.35">
      <c r="A8094" s="9" t="str">
        <f>HYPERLINK("http://www.ensembl.org/id/WBGene00010954", "WBGene00010954")</f>
        <v>WBGene00010954</v>
      </c>
      <c r="B8094" s="9" t="str">
        <f>HYPERLINK("http://www.ncbi.nlm.nih.gov/gene/3565781", "3565781")</f>
        <v>3565781</v>
      </c>
      <c r="C8094" s="9"/>
      <c r="D8094" t="str">
        <f>"clec-189"</f>
        <v>clec-189</v>
      </c>
      <c r="E8094" t="s">
        <v>46</v>
      </c>
      <c r="F8094" t="s">
        <v>11</v>
      </c>
      <c r="G8094" t="s">
        <v>47</v>
      </c>
      <c r="H8094" s="12">
        <v>3.6645215954135</v>
      </c>
      <c r="I8094" s="20">
        <v>0.37967131826092498</v>
      </c>
      <c r="J8094" s="28">
        <v>0.70418941338960395</v>
      </c>
      <c r="K8094" s="29">
        <v>0.98289565623980701</v>
      </c>
    </row>
    <row r="8095" spans="1:11" x14ac:dyDescent="0.35">
      <c r="A8095" s="9" t="str">
        <f>HYPERLINK("http://www.ensembl.org/id/WBGene00013774", "WBGene00013774")</f>
        <v>WBGene00013774</v>
      </c>
      <c r="B8095" s="9" t="str">
        <f>HYPERLINK("http://www.ncbi.nlm.nih.gov/gene/190984", "190984")</f>
        <v>190984</v>
      </c>
      <c r="C8095" s="9"/>
      <c r="D8095" t="str">
        <f>"clec-193"</f>
        <v>clec-193</v>
      </c>
      <c r="E8095" t="s">
        <v>46</v>
      </c>
      <c r="F8095" t="s">
        <v>11</v>
      </c>
      <c r="G8095" t="s">
        <v>47</v>
      </c>
      <c r="H8095" s="12">
        <v>1.7250831504461099</v>
      </c>
      <c r="I8095" s="20">
        <v>0.415172331042514</v>
      </c>
      <c r="J8095" s="28">
        <v>0.67801575236655398</v>
      </c>
      <c r="K8095" s="29">
        <v>0.98289565623980701</v>
      </c>
    </row>
    <row r="8096" spans="1:11" x14ac:dyDescent="0.35">
      <c r="A8096" s="9" t="str">
        <f>HYPERLINK("http://www.ensembl.org/id/WBGene00013778", "WBGene00013778")</f>
        <v>WBGene00013778</v>
      </c>
      <c r="B8096" s="9" t="str">
        <f>HYPERLINK("http://www.ncbi.nlm.nih.gov/gene/178467", "178467")</f>
        <v>178467</v>
      </c>
      <c r="C8096" s="9"/>
      <c r="D8096" t="str">
        <f>"clec-194"</f>
        <v>clec-194</v>
      </c>
      <c r="E8096" t="s">
        <v>46</v>
      </c>
      <c r="F8096" t="s">
        <v>11</v>
      </c>
      <c r="G8096" t="s">
        <v>47</v>
      </c>
      <c r="H8096" s="12">
        <v>-1.2995935076555001</v>
      </c>
      <c r="I8096" s="20">
        <v>-0.40615581647282001</v>
      </c>
      <c r="J8096" s="28">
        <v>0.68462811609334395</v>
      </c>
      <c r="K8096" s="29">
        <v>0.98289565623980701</v>
      </c>
    </row>
    <row r="8097" spans="1:11" x14ac:dyDescent="0.35">
      <c r="A8097" s="9" t="str">
        <f>HYPERLINK("http://www.ensembl.org/id/WBGene00013798", "WBGene00013798")</f>
        <v>WBGene00013798</v>
      </c>
      <c r="B8097" s="9" t="str">
        <f>HYPERLINK("http://www.ncbi.nlm.nih.gov/gene/191002", "191002")</f>
        <v>191002</v>
      </c>
      <c r="C8097" s="9"/>
      <c r="D8097" t="str">
        <f>"clec-195"</f>
        <v>clec-195</v>
      </c>
      <c r="E8097" t="s">
        <v>46</v>
      </c>
      <c r="F8097" t="s">
        <v>11</v>
      </c>
      <c r="G8097" t="s">
        <v>47</v>
      </c>
      <c r="H8097" s="12">
        <v>-2.3838754719136599</v>
      </c>
      <c r="I8097" s="20">
        <v>-0.25807578497976902</v>
      </c>
      <c r="J8097" s="28">
        <v>0.79634841949468704</v>
      </c>
      <c r="K8097" s="29">
        <v>0.98289565623980701</v>
      </c>
    </row>
    <row r="8098" spans="1:11" x14ac:dyDescent="0.35">
      <c r="A8098" s="9" t="str">
        <f>HYPERLINK("http://www.ensembl.org/id/WBGene00008202", "WBGene00008202")</f>
        <v>WBGene00008202</v>
      </c>
      <c r="B8098" s="9" t="str">
        <f>HYPERLINK("http://www.ncbi.nlm.nih.gov/gene/178521", "178521")</f>
        <v>178521</v>
      </c>
      <c r="C8098" s="9"/>
      <c r="D8098" t="str">
        <f>"clec-197"</f>
        <v>clec-197</v>
      </c>
      <c r="E8098" t="s">
        <v>46</v>
      </c>
      <c r="F8098" t="s">
        <v>11</v>
      </c>
      <c r="G8098" t="s">
        <v>47</v>
      </c>
      <c r="H8098" s="12">
        <v>13.4058627948307</v>
      </c>
      <c r="I8098" s="20">
        <v>0.82251412515369104</v>
      </c>
      <c r="J8098" s="28">
        <v>0.41078435087257997</v>
      </c>
      <c r="K8098" s="29">
        <v>0.98289565623980701</v>
      </c>
    </row>
    <row r="8099" spans="1:11" x14ac:dyDescent="0.35">
      <c r="A8099" s="9" t="str">
        <f>HYPERLINK("http://www.ensembl.org/id/WBGene00015198", "WBGene00015198")</f>
        <v>WBGene00015198</v>
      </c>
      <c r="B8099" s="9" t="str">
        <f>HYPERLINK("http://www.ncbi.nlm.nih.gov/gene/181993", "181993")</f>
        <v>181993</v>
      </c>
      <c r="C8099" s="9"/>
      <c r="D8099" t="str">
        <f>"clec-2"</f>
        <v>clec-2</v>
      </c>
      <c r="E8099" t="s">
        <v>46</v>
      </c>
      <c r="F8099" t="s">
        <v>11</v>
      </c>
      <c r="G8099" t="s">
        <v>47</v>
      </c>
      <c r="H8099" s="12">
        <v>1.7964696710425401</v>
      </c>
      <c r="I8099" s="20">
        <v>0.45856982519931799</v>
      </c>
      <c r="J8099" s="28">
        <v>0.64654310959965</v>
      </c>
      <c r="K8099" s="29">
        <v>0.98289565623980701</v>
      </c>
    </row>
    <row r="8100" spans="1:11" x14ac:dyDescent="0.35">
      <c r="A8100" s="9" t="str">
        <f>HYPERLINK("http://www.ensembl.org/id/WBGene00007822", "WBGene00007822")</f>
        <v>WBGene00007822</v>
      </c>
      <c r="B8100" s="9" t="str">
        <f>HYPERLINK("http://www.ncbi.nlm.nih.gov/gene/183067", "183067")</f>
        <v>183067</v>
      </c>
      <c r="C8100" s="9"/>
      <c r="D8100" t="str">
        <f>"clec-202"</f>
        <v>clec-202</v>
      </c>
      <c r="E8100" t="s">
        <v>46</v>
      </c>
      <c r="F8100" t="s">
        <v>11</v>
      </c>
      <c r="G8100" t="s">
        <v>47</v>
      </c>
      <c r="H8100" s="12">
        <v>-8.3542518161552408</v>
      </c>
      <c r="I8100" s="20">
        <v>-1.0412314844363599</v>
      </c>
      <c r="J8100" s="28">
        <v>0.297768126740733</v>
      </c>
      <c r="K8100" s="29">
        <v>0.98289565623980701</v>
      </c>
    </row>
    <row r="8101" spans="1:11" x14ac:dyDescent="0.35">
      <c r="A8101" s="9" t="str">
        <f>HYPERLINK("http://www.ensembl.org/id/WBGene00021744", "WBGene00021744")</f>
        <v>WBGene00021744</v>
      </c>
      <c r="B8101" s="9" t="str">
        <f>HYPERLINK("http://www.ncbi.nlm.nih.gov/gene/190095", "190095")</f>
        <v>190095</v>
      </c>
      <c r="C8101" s="9"/>
      <c r="D8101" t="str">
        <f>"clec-203"</f>
        <v>clec-203</v>
      </c>
      <c r="E8101" t="s">
        <v>46</v>
      </c>
      <c r="F8101" t="s">
        <v>11</v>
      </c>
      <c r="G8101" t="s">
        <v>2771</v>
      </c>
      <c r="H8101" s="12">
        <v>-7.2634930199243302</v>
      </c>
      <c r="I8101" s="20">
        <v>-1.0163005343767999</v>
      </c>
      <c r="J8101" s="28">
        <v>0.30948629421582202</v>
      </c>
      <c r="K8101" s="29">
        <v>0.98289565623980701</v>
      </c>
    </row>
    <row r="8102" spans="1:11" x14ac:dyDescent="0.35">
      <c r="A8102" s="9" t="str">
        <f>HYPERLINK("http://www.ensembl.org/id/WBGene00018097", "WBGene00018097")</f>
        <v>WBGene00018097</v>
      </c>
      <c r="B8102" s="9" t="str">
        <f>HYPERLINK("http://www.ncbi.nlm.nih.gov/gene/178689", "178689")</f>
        <v>178689</v>
      </c>
      <c r="C8102" s="9"/>
      <c r="D8102" t="str">
        <f>"clec-208"</f>
        <v>clec-208</v>
      </c>
      <c r="E8102" t="s">
        <v>46</v>
      </c>
      <c r="F8102" t="s">
        <v>11</v>
      </c>
      <c r="G8102" t="s">
        <v>47</v>
      </c>
      <c r="H8102" s="12">
        <v>2.4578120077400301</v>
      </c>
      <c r="I8102" s="20">
        <v>0.26093350314551</v>
      </c>
      <c r="J8102" s="28">
        <v>0.79414378780213601</v>
      </c>
      <c r="K8102" s="29">
        <v>0.98289565623980701</v>
      </c>
    </row>
    <row r="8103" spans="1:11" x14ac:dyDescent="0.35">
      <c r="A8103" s="9" t="str">
        <f>HYPERLINK("http://www.ensembl.org/id/WBGene00021224", "WBGene00021224")</f>
        <v>WBGene00021224</v>
      </c>
      <c r="B8103" s="9" t="str">
        <f>HYPERLINK("http://www.ncbi.nlm.nih.gov/gene/178716", "178716")</f>
        <v>178716</v>
      </c>
      <c r="C8103" s="9"/>
      <c r="D8103" t="str">
        <f>"clec-209"</f>
        <v>clec-209</v>
      </c>
      <c r="E8103" t="s">
        <v>46</v>
      </c>
      <c r="F8103" t="s">
        <v>11</v>
      </c>
      <c r="G8103" t="s">
        <v>47</v>
      </c>
      <c r="H8103" s="12">
        <v>1.4394732472829701</v>
      </c>
      <c r="I8103" s="20">
        <v>0.30777631316792697</v>
      </c>
      <c r="J8103" s="28">
        <v>0.758252546614542</v>
      </c>
      <c r="K8103" s="29">
        <v>0.98289565623980701</v>
      </c>
    </row>
    <row r="8104" spans="1:11" x14ac:dyDescent="0.35">
      <c r="A8104" s="9" t="str">
        <f>HYPERLINK("http://www.ensembl.org/id/WBGene00020327", "WBGene00020327")</f>
        <v>WBGene00020327</v>
      </c>
      <c r="B8104" s="9" t="str">
        <f>HYPERLINK("http://www.ncbi.nlm.nih.gov/gene/188250", "188250")</f>
        <v>188250</v>
      </c>
      <c r="C8104" s="9"/>
      <c r="D8104" t="str">
        <f>"clec-21"</f>
        <v>clec-21</v>
      </c>
      <c r="E8104" t="s">
        <v>46</v>
      </c>
      <c r="F8104" t="s">
        <v>11</v>
      </c>
      <c r="G8104" t="s">
        <v>47</v>
      </c>
      <c r="H8104" s="12">
        <v>3.2063144781678199</v>
      </c>
      <c r="I8104" s="20">
        <v>0.92615250761122003</v>
      </c>
      <c r="J8104" s="28">
        <v>0.35436672968514399</v>
      </c>
      <c r="K8104" s="29">
        <v>0.98289565623980701</v>
      </c>
    </row>
    <row r="8105" spans="1:11" x14ac:dyDescent="0.35">
      <c r="A8105" s="9" t="str">
        <f>HYPERLINK("http://www.ensembl.org/id/WBGene00017602", "WBGene00017602")</f>
        <v>WBGene00017602</v>
      </c>
      <c r="B8105" s="9"/>
      <c r="C8105" s="9"/>
      <c r="D8105" t="str">
        <f>"clec-211"</f>
        <v>clec-211</v>
      </c>
      <c r="F8105" t="s">
        <v>80</v>
      </c>
      <c r="H8105" s="12">
        <v>-2.4991590031922399</v>
      </c>
      <c r="I8105" s="20">
        <v>-0.26577412737581302</v>
      </c>
      <c r="J8105" s="28">
        <v>0.79041317015736101</v>
      </c>
      <c r="K8105" s="29">
        <v>0.98289565623980701</v>
      </c>
    </row>
    <row r="8106" spans="1:11" x14ac:dyDescent="0.35">
      <c r="A8106" s="9" t="str">
        <f>HYPERLINK("http://www.ensembl.org/id/WBGene00016815", "WBGene00016815")</f>
        <v>WBGene00016815</v>
      </c>
      <c r="B8106" s="9" t="str">
        <f>HYPERLINK("http://www.ncbi.nlm.nih.gov/gene/183655", "183655")</f>
        <v>183655</v>
      </c>
      <c r="C8106" s="9"/>
      <c r="D8106" t="str">
        <f>"clec-213"</f>
        <v>clec-213</v>
      </c>
      <c r="E8106" t="s">
        <v>46</v>
      </c>
      <c r="F8106" t="s">
        <v>11</v>
      </c>
      <c r="G8106" t="s">
        <v>47</v>
      </c>
      <c r="H8106" s="12">
        <v>2.3893468495514898</v>
      </c>
      <c r="I8106" s="20">
        <v>0.25323547253672701</v>
      </c>
      <c r="J8106" s="28">
        <v>0.80008625651646104</v>
      </c>
      <c r="K8106" s="29">
        <v>0.98289565623980701</v>
      </c>
    </row>
    <row r="8107" spans="1:11" x14ac:dyDescent="0.35">
      <c r="A8107" s="9" t="str">
        <f>HYPERLINK("http://www.ensembl.org/id/WBGene00017822", "WBGene00017822")</f>
        <v>WBGene00017822</v>
      </c>
      <c r="B8107" s="9" t="str">
        <f>HYPERLINK("http://www.ncbi.nlm.nih.gov/gene/184976", "184976")</f>
        <v>184976</v>
      </c>
      <c r="C8107" s="9"/>
      <c r="D8107" t="str">
        <f>"clec-216"</f>
        <v>clec-216</v>
      </c>
      <c r="E8107" t="s">
        <v>46</v>
      </c>
      <c r="F8107" t="s">
        <v>11</v>
      </c>
      <c r="G8107" t="s">
        <v>47</v>
      </c>
      <c r="H8107" s="12">
        <v>-1.50314104332232</v>
      </c>
      <c r="I8107" s="20">
        <v>-0.37230438077597799</v>
      </c>
      <c r="J8107" s="28">
        <v>0.70966623730829403</v>
      </c>
      <c r="K8107" s="29">
        <v>0.98289565623980701</v>
      </c>
    </row>
    <row r="8108" spans="1:11" x14ac:dyDescent="0.35">
      <c r="A8108" s="9" t="str">
        <f>HYPERLINK("http://www.ensembl.org/id/WBGene00009855", "WBGene00009855")</f>
        <v>WBGene00009855</v>
      </c>
      <c r="B8108" s="9" t="str">
        <f>HYPERLINK("http://www.ncbi.nlm.nih.gov/gene/186003", "186003")</f>
        <v>186003</v>
      </c>
      <c r="C8108" s="9"/>
      <c r="D8108" t="str">
        <f>"clec-22"</f>
        <v>clec-22</v>
      </c>
      <c r="E8108" t="s">
        <v>46</v>
      </c>
      <c r="F8108" t="s">
        <v>11</v>
      </c>
      <c r="G8108" t="s">
        <v>2771</v>
      </c>
      <c r="H8108" s="12">
        <v>-8.0854409741300604</v>
      </c>
      <c r="I8108" s="20">
        <v>-0.90837910576140302</v>
      </c>
      <c r="J8108" s="28">
        <v>0.36367796101171102</v>
      </c>
      <c r="K8108" s="29">
        <v>0.98289565623980701</v>
      </c>
    </row>
    <row r="8109" spans="1:11" x14ac:dyDescent="0.35">
      <c r="A8109" s="9" t="str">
        <f>HYPERLINK("http://www.ensembl.org/id/WBGene00008374", "WBGene00008374")</f>
        <v>WBGene00008374</v>
      </c>
      <c r="B8109" s="9"/>
      <c r="C8109" s="9"/>
      <c r="D8109" t="str">
        <f>"clec-220"</f>
        <v>clec-220</v>
      </c>
      <c r="F8109" t="s">
        <v>80</v>
      </c>
      <c r="H8109" s="12">
        <v>1.87458224060711</v>
      </c>
      <c r="I8109" s="20">
        <v>0.58565148268109202</v>
      </c>
      <c r="J8109" s="28">
        <v>0.55810974417021497</v>
      </c>
      <c r="K8109" s="29">
        <v>0.98289565623980701</v>
      </c>
    </row>
    <row r="8110" spans="1:11" x14ac:dyDescent="0.35">
      <c r="A8110" s="9" t="str">
        <f>HYPERLINK("http://www.ensembl.org/id/WBGene00007282", "WBGene00007282")</f>
        <v>WBGene00007282</v>
      </c>
      <c r="B8110" s="9" t="str">
        <f>HYPERLINK("http://www.ncbi.nlm.nih.gov/gene/179561", "179561")</f>
        <v>179561</v>
      </c>
      <c r="C8110" s="9"/>
      <c r="D8110" t="str">
        <f>"clec-223"</f>
        <v>clec-223</v>
      </c>
      <c r="E8110" t="s">
        <v>46</v>
      </c>
      <c r="F8110" t="s">
        <v>11</v>
      </c>
      <c r="G8110" t="s">
        <v>47</v>
      </c>
      <c r="H8110" s="12">
        <v>-1.2543530253556101</v>
      </c>
      <c r="I8110" s="20">
        <v>-1.1655975424453899</v>
      </c>
      <c r="J8110" s="28">
        <v>0.24377720192473401</v>
      </c>
      <c r="K8110" s="29">
        <v>0.98289565623980701</v>
      </c>
    </row>
    <row r="8111" spans="1:11" x14ac:dyDescent="0.35">
      <c r="A8111" s="9" t="str">
        <f>HYPERLINK("http://www.ensembl.org/id/WBGene00044790", "WBGene00044790")</f>
        <v>WBGene00044790</v>
      </c>
      <c r="B8111" s="9" t="str">
        <f>HYPERLINK("http://www.ncbi.nlm.nih.gov/gene/4363112", "4363112")</f>
        <v>4363112</v>
      </c>
      <c r="C8111" s="9"/>
      <c r="D8111" t="str">
        <f>"clec-224"</f>
        <v>clec-224</v>
      </c>
      <c r="E8111" t="s">
        <v>46</v>
      </c>
      <c r="F8111" t="s">
        <v>11</v>
      </c>
      <c r="G8111" t="s">
        <v>47</v>
      </c>
      <c r="H8111" s="12">
        <v>2.3152928934269101</v>
      </c>
      <c r="I8111" s="20">
        <v>1.1765121369495299</v>
      </c>
      <c r="J8111" s="28">
        <v>0.23939028532652901</v>
      </c>
      <c r="K8111" s="29">
        <v>0.98289565623980701</v>
      </c>
    </row>
    <row r="8112" spans="1:11" x14ac:dyDescent="0.35">
      <c r="A8112" s="9" t="str">
        <f>HYPERLINK("http://www.ensembl.org/id/WBGene00011186", "WBGene00011186")</f>
        <v>WBGene00011186</v>
      </c>
      <c r="B8112" s="9" t="str">
        <f>HYPERLINK("http://www.ncbi.nlm.nih.gov/gene/187762", "187762")</f>
        <v>187762</v>
      </c>
      <c r="C8112" s="9"/>
      <c r="D8112" t="str">
        <f>"clec-226"</f>
        <v>clec-226</v>
      </c>
      <c r="E8112" t="s">
        <v>46</v>
      </c>
      <c r="F8112" t="s">
        <v>11</v>
      </c>
      <c r="H8112" s="12">
        <v>2.3893468495514898</v>
      </c>
      <c r="I8112" s="20">
        <v>0.25323547253672701</v>
      </c>
      <c r="J8112" s="28">
        <v>0.80008625651646104</v>
      </c>
      <c r="K8112" s="29">
        <v>0.98289565623980701</v>
      </c>
    </row>
    <row r="8113" spans="1:11" x14ac:dyDescent="0.35">
      <c r="A8113" s="9" t="str">
        <f>HYPERLINK("http://www.ensembl.org/id/WBGene00044086", "WBGene00044086")</f>
        <v>WBGene00044086</v>
      </c>
      <c r="B8113" s="9" t="str">
        <f>HYPERLINK("http://www.ncbi.nlm.nih.gov/gene/3565978", "3565978")</f>
        <v>3565978</v>
      </c>
      <c r="C8113" s="9"/>
      <c r="D8113" t="str">
        <f>"clec-228"</f>
        <v>clec-228</v>
      </c>
      <c r="E8113" t="s">
        <v>46</v>
      </c>
      <c r="F8113" t="s">
        <v>11</v>
      </c>
      <c r="G8113" t="s">
        <v>47</v>
      </c>
      <c r="H8113" s="12">
        <v>2.4578120077400301</v>
      </c>
      <c r="I8113" s="20">
        <v>0.26093350314551</v>
      </c>
      <c r="J8113" s="28">
        <v>0.79414378780213601</v>
      </c>
      <c r="K8113" s="29">
        <v>0.98289565623980701</v>
      </c>
    </row>
    <row r="8114" spans="1:11" x14ac:dyDescent="0.35">
      <c r="A8114" s="9" t="str">
        <f>HYPERLINK("http://www.ensembl.org/id/WBGene00011851", "WBGene00011851")</f>
        <v>WBGene00011851</v>
      </c>
      <c r="B8114" s="9"/>
      <c r="C8114" s="9"/>
      <c r="D8114" t="str">
        <f>"clec-23"</f>
        <v>clec-23</v>
      </c>
      <c r="F8114" t="s">
        <v>80</v>
      </c>
      <c r="H8114" s="12">
        <v>-5.9398129925505998</v>
      </c>
      <c r="I8114" s="20">
        <v>-0.65353789074873603</v>
      </c>
      <c r="J8114" s="28">
        <v>0.51340957016126498</v>
      </c>
      <c r="K8114" s="29">
        <v>0.98289565623980701</v>
      </c>
    </row>
    <row r="8115" spans="1:11" x14ac:dyDescent="0.35">
      <c r="A8115" s="9" t="str">
        <f>HYPERLINK("http://www.ensembl.org/id/WBGene00007806", "WBGene00007806")</f>
        <v>WBGene00007806</v>
      </c>
      <c r="B8115" s="9" t="str">
        <f>HYPERLINK("http://www.ncbi.nlm.nih.gov/gene/183006", "183006")</f>
        <v>183006</v>
      </c>
      <c r="C8115" s="9"/>
      <c r="D8115" t="str">
        <f>"clec-230"</f>
        <v>clec-230</v>
      </c>
      <c r="E8115" t="s">
        <v>46</v>
      </c>
      <c r="F8115" t="s">
        <v>11</v>
      </c>
      <c r="G8115" t="s">
        <v>47</v>
      </c>
      <c r="H8115" s="12">
        <v>1.58371848702678</v>
      </c>
      <c r="I8115" s="20">
        <v>0.32660988111023997</v>
      </c>
      <c r="J8115" s="28">
        <v>0.74396296903168602</v>
      </c>
      <c r="K8115" s="29">
        <v>0.98289565623980701</v>
      </c>
    </row>
    <row r="8116" spans="1:11" x14ac:dyDescent="0.35">
      <c r="A8116" s="9" t="str">
        <f>HYPERLINK("http://www.ensembl.org/id/WBGene00009487", "WBGene00009487")</f>
        <v>WBGene00009487</v>
      </c>
      <c r="B8116" s="9" t="str">
        <f>HYPERLINK("http://www.ncbi.nlm.nih.gov/gene/185374", "185374")</f>
        <v>185374</v>
      </c>
      <c r="C8116" s="9"/>
      <c r="D8116" t="str">
        <f>"clec-232"</f>
        <v>clec-232</v>
      </c>
      <c r="E8116" t="s">
        <v>46</v>
      </c>
      <c r="F8116" t="s">
        <v>11</v>
      </c>
      <c r="G8116" t="s">
        <v>47</v>
      </c>
      <c r="H8116" s="12">
        <v>1.4105607098021999</v>
      </c>
      <c r="I8116" s="20">
        <v>0.28853343542566201</v>
      </c>
      <c r="J8116" s="28">
        <v>0.77293844045863103</v>
      </c>
      <c r="K8116" s="29">
        <v>0.98289565623980701</v>
      </c>
    </row>
    <row r="8117" spans="1:11" x14ac:dyDescent="0.35">
      <c r="A8117" s="9" t="str">
        <f>HYPERLINK("http://www.ensembl.org/id/WBGene00009030", "WBGene00009030")</f>
        <v>WBGene00009030</v>
      </c>
      <c r="B8117" s="9" t="str">
        <f>HYPERLINK("http://www.ncbi.nlm.nih.gov/gene/180089", "180089")</f>
        <v>180089</v>
      </c>
      <c r="C8117" s="9"/>
      <c r="D8117" t="str">
        <f>"clec-233"</f>
        <v>clec-233</v>
      </c>
      <c r="E8117" t="s">
        <v>46</v>
      </c>
      <c r="F8117" t="s">
        <v>11</v>
      </c>
      <c r="G8117" t="s">
        <v>47</v>
      </c>
      <c r="H8117" s="12">
        <v>1.30095118432991</v>
      </c>
      <c r="I8117" s="20">
        <v>0.86954931523732304</v>
      </c>
      <c r="J8117" s="28">
        <v>0.38454674669377897</v>
      </c>
      <c r="K8117" s="29">
        <v>0.98289565623980701</v>
      </c>
    </row>
    <row r="8118" spans="1:11" x14ac:dyDescent="0.35">
      <c r="A8118" s="9" t="str">
        <f>HYPERLINK("http://www.ensembl.org/id/WBGene00013495", "WBGene00013495")</f>
        <v>WBGene00013495</v>
      </c>
      <c r="B8118" s="9"/>
      <c r="C8118" s="9"/>
      <c r="D8118" t="str">
        <f>"clec-236"</f>
        <v>clec-236</v>
      </c>
      <c r="F8118" t="s">
        <v>80</v>
      </c>
      <c r="H8118" s="12">
        <v>3.6645215954135</v>
      </c>
      <c r="I8118" s="20">
        <v>0.37967131826092498</v>
      </c>
      <c r="J8118" s="28">
        <v>0.70418941338960395</v>
      </c>
      <c r="K8118" s="29">
        <v>0.98289565623980701</v>
      </c>
    </row>
    <row r="8119" spans="1:11" x14ac:dyDescent="0.35">
      <c r="A8119" s="9" t="str">
        <f>HYPERLINK("http://www.ensembl.org/id/WBGene00013614", "WBGene00013614")</f>
        <v>WBGene00013614</v>
      </c>
      <c r="B8119" s="9"/>
      <c r="C8119" s="9"/>
      <c r="D8119" t="str">
        <f>"clec-237"</f>
        <v>clec-237</v>
      </c>
      <c r="F8119" t="s">
        <v>80</v>
      </c>
      <c r="H8119" s="12">
        <v>-3.5819448292659501</v>
      </c>
      <c r="I8119" s="20">
        <v>-0.37337717500031398</v>
      </c>
      <c r="J8119" s="28">
        <v>0.70886774492290605</v>
      </c>
      <c r="K8119" s="29">
        <v>0.98289565623980701</v>
      </c>
    </row>
    <row r="8120" spans="1:11" x14ac:dyDescent="0.35">
      <c r="A8120" s="9" t="str">
        <f>HYPERLINK("http://www.ensembl.org/id/WBGene00013622", "WBGene00013622")</f>
        <v>WBGene00013622</v>
      </c>
      <c r="B8120" s="9"/>
      <c r="C8120" s="9"/>
      <c r="D8120" t="str">
        <f>"clec-238"</f>
        <v>clec-238</v>
      </c>
      <c r="F8120" t="s">
        <v>11</v>
      </c>
      <c r="H8120" s="12">
        <v>13.4058627948307</v>
      </c>
      <c r="I8120" s="20">
        <v>0.82251412515369104</v>
      </c>
      <c r="J8120" s="28">
        <v>0.41078435087257997</v>
      </c>
      <c r="K8120" s="29">
        <v>0.98289565623980701</v>
      </c>
    </row>
    <row r="8121" spans="1:11" x14ac:dyDescent="0.35">
      <c r="A8121" s="9" t="str">
        <f>HYPERLINK("http://www.ensembl.org/id/WBGene00013621", "WBGene00013621")</f>
        <v>WBGene00013621</v>
      </c>
      <c r="B8121" s="9" t="str">
        <f>HYPERLINK("http://www.ncbi.nlm.nih.gov/gene/190840", "190840")</f>
        <v>190840</v>
      </c>
      <c r="C8121" s="9"/>
      <c r="D8121" t="str">
        <f>"clec-239"</f>
        <v>clec-239</v>
      </c>
      <c r="E8121" t="s">
        <v>46</v>
      </c>
      <c r="F8121" t="s">
        <v>11</v>
      </c>
      <c r="G8121" t="s">
        <v>47</v>
      </c>
      <c r="H8121" s="12">
        <v>-2.4295389261469</v>
      </c>
      <c r="I8121" s="20">
        <v>-0.25808529976640998</v>
      </c>
      <c r="J8121" s="28">
        <v>0.79634107645457397</v>
      </c>
      <c r="K8121" s="29">
        <v>0.98289565623980701</v>
      </c>
    </row>
    <row r="8122" spans="1:11" x14ac:dyDescent="0.35">
      <c r="A8122" s="9" t="str">
        <f>HYPERLINK("http://www.ensembl.org/id/WBGene00009856", "WBGene00009856")</f>
        <v>WBGene00009856</v>
      </c>
      <c r="B8122" s="9" t="str">
        <f>HYPERLINK("http://www.ncbi.nlm.nih.gov/gene/186004", "186004")</f>
        <v>186004</v>
      </c>
      <c r="C8122" s="9"/>
      <c r="D8122" t="str">
        <f>"clec-24"</f>
        <v>clec-24</v>
      </c>
      <c r="E8122" t="s">
        <v>46</v>
      </c>
      <c r="F8122" t="s">
        <v>11</v>
      </c>
      <c r="G8122" t="s">
        <v>2771</v>
      </c>
      <c r="H8122" s="12">
        <v>-3.1274145164045701</v>
      </c>
      <c r="I8122" s="20">
        <v>-0.45633627912503499</v>
      </c>
      <c r="J8122" s="28">
        <v>0.64814817952986103</v>
      </c>
      <c r="K8122" s="29">
        <v>0.98289565623980701</v>
      </c>
    </row>
    <row r="8123" spans="1:11" x14ac:dyDescent="0.35">
      <c r="A8123" s="9" t="str">
        <f>HYPERLINK("http://www.ensembl.org/id/WBGene00012080", "WBGene00012080")</f>
        <v>WBGene00012080</v>
      </c>
      <c r="B8123" s="9"/>
      <c r="C8123" s="9"/>
      <c r="D8123" t="str">
        <f>"clec-244"</f>
        <v>clec-244</v>
      </c>
      <c r="F8123" t="s">
        <v>80</v>
      </c>
      <c r="H8123" s="12">
        <v>-5.19077631658425</v>
      </c>
      <c r="I8123" s="20">
        <v>-0.64548693371462496</v>
      </c>
      <c r="J8123" s="28">
        <v>0.51861168305995897</v>
      </c>
      <c r="K8123" s="29">
        <v>0.98289565623980701</v>
      </c>
    </row>
    <row r="8124" spans="1:11" x14ac:dyDescent="0.35">
      <c r="A8124" s="9" t="str">
        <f>HYPERLINK("http://www.ensembl.org/id/WBGene00007851", "WBGene00007851")</f>
        <v>WBGene00007851</v>
      </c>
      <c r="B8124" s="9" t="str">
        <f>HYPERLINK("http://www.ncbi.nlm.nih.gov/gene/183091", "183091")</f>
        <v>183091</v>
      </c>
      <c r="C8124" s="9"/>
      <c r="D8124" t="str">
        <f>"clec-245"</f>
        <v>clec-245</v>
      </c>
      <c r="E8124" t="s">
        <v>46</v>
      </c>
      <c r="F8124" t="s">
        <v>11</v>
      </c>
      <c r="G8124" t="s">
        <v>47</v>
      </c>
      <c r="H8124" s="12">
        <v>2.4323401707909</v>
      </c>
      <c r="I8124" s="20">
        <v>0.901591000290073</v>
      </c>
      <c r="J8124" s="28">
        <v>0.36727417352466502</v>
      </c>
      <c r="K8124" s="29">
        <v>0.98289565623980701</v>
      </c>
    </row>
    <row r="8125" spans="1:11" x14ac:dyDescent="0.35">
      <c r="A8125" s="9" t="str">
        <f>HYPERLINK("http://www.ensembl.org/id/WBGene00008892", "WBGene00008892")</f>
        <v>WBGene00008892</v>
      </c>
      <c r="B8125" s="9" t="str">
        <f>HYPERLINK("http://www.ncbi.nlm.nih.gov/gene/184589", "184589")</f>
        <v>184589</v>
      </c>
      <c r="C8125" s="9"/>
      <c r="D8125" t="str">
        <f>"clec-246"</f>
        <v>clec-246</v>
      </c>
      <c r="E8125" t="s">
        <v>46</v>
      </c>
      <c r="F8125" t="s">
        <v>11</v>
      </c>
      <c r="G8125" t="s">
        <v>47</v>
      </c>
      <c r="H8125" s="12">
        <v>4.2725442514304204</v>
      </c>
      <c r="I8125" s="20">
        <v>1.0138307852041</v>
      </c>
      <c r="J8125" s="28">
        <v>0.31066350288807498</v>
      </c>
      <c r="K8125" s="29">
        <v>0.98289565623980701</v>
      </c>
    </row>
    <row r="8126" spans="1:11" x14ac:dyDescent="0.35">
      <c r="A8126" s="9" t="str">
        <f>HYPERLINK("http://www.ensembl.org/id/WBGene00013058", "WBGene00013058")</f>
        <v>WBGene00013058</v>
      </c>
      <c r="B8126" s="9" t="str">
        <f>HYPERLINK("http://www.ncbi.nlm.nih.gov/gene/190117", "190117")</f>
        <v>190117</v>
      </c>
      <c r="C8126" s="9"/>
      <c r="D8126" t="str">
        <f>"clec-247"</f>
        <v>clec-247</v>
      </c>
      <c r="E8126" t="s">
        <v>46</v>
      </c>
      <c r="F8126" t="s">
        <v>11</v>
      </c>
      <c r="G8126" t="s">
        <v>47</v>
      </c>
      <c r="H8126" s="12">
        <v>5.8948039669313497</v>
      </c>
      <c r="I8126" s="20">
        <v>0.86942481743520295</v>
      </c>
      <c r="J8126" s="28">
        <v>0.384614813715276</v>
      </c>
      <c r="K8126" s="29">
        <v>0.98289565623980701</v>
      </c>
    </row>
    <row r="8127" spans="1:11" x14ac:dyDescent="0.35">
      <c r="A8127" s="9" t="str">
        <f>HYPERLINK("http://www.ensembl.org/id/WBGene00045364", "WBGene00045364")</f>
        <v>WBGene00045364</v>
      </c>
      <c r="B8127" s="9" t="str">
        <f>HYPERLINK("http://www.ncbi.nlm.nih.gov/gene/6418824", "6418824")</f>
        <v>6418824</v>
      </c>
      <c r="C8127" s="9"/>
      <c r="D8127" t="str">
        <f>"clec-250"</f>
        <v>clec-250</v>
      </c>
      <c r="E8127" t="s">
        <v>46</v>
      </c>
      <c r="F8127" t="s">
        <v>11</v>
      </c>
      <c r="G8127" t="s">
        <v>47</v>
      </c>
      <c r="H8127" s="12">
        <v>2.4346653425282598</v>
      </c>
      <c r="I8127" s="20">
        <v>0.74427234455162805</v>
      </c>
      <c r="J8127" s="28">
        <v>0.45671172870476601</v>
      </c>
      <c r="K8127" s="29">
        <v>0.98289565623980701</v>
      </c>
    </row>
    <row r="8128" spans="1:11" x14ac:dyDescent="0.35">
      <c r="A8128" s="9" t="str">
        <f>HYPERLINK("http://www.ensembl.org/id/WBGene00008702", "WBGene00008702")</f>
        <v>WBGene00008702</v>
      </c>
      <c r="B8128" s="9" t="str">
        <f>HYPERLINK("http://www.ncbi.nlm.nih.gov/gene/184354", "184354")</f>
        <v>184354</v>
      </c>
      <c r="C8128" s="9"/>
      <c r="D8128" t="str">
        <f>"clec-252"</f>
        <v>clec-252</v>
      </c>
      <c r="E8128" t="s">
        <v>46</v>
      </c>
      <c r="F8128" t="s">
        <v>11</v>
      </c>
      <c r="H8128" s="12">
        <v>2.4230542257316801</v>
      </c>
      <c r="I8128" s="20">
        <v>0.441778245643631</v>
      </c>
      <c r="J8128" s="28">
        <v>0.65864968217018705</v>
      </c>
      <c r="K8128" s="29">
        <v>0.98289565623980701</v>
      </c>
    </row>
    <row r="8129" spans="1:11" x14ac:dyDescent="0.35">
      <c r="A8129" s="9" t="str">
        <f>HYPERLINK("http://www.ensembl.org/id/WBGene00010928", "WBGene00010928")</f>
        <v>WBGene00010928</v>
      </c>
      <c r="B8129" s="9" t="str">
        <f>HYPERLINK("http://www.ncbi.nlm.nih.gov/gene/187486", "187486")</f>
        <v>187486</v>
      </c>
      <c r="C8129" s="9"/>
      <c r="D8129" t="str">
        <f>"clec-258"</f>
        <v>clec-258</v>
      </c>
      <c r="E8129" t="s">
        <v>46</v>
      </c>
      <c r="F8129" t="s">
        <v>11</v>
      </c>
      <c r="G8129" t="s">
        <v>47</v>
      </c>
      <c r="H8129" s="12">
        <v>2.21225826737694</v>
      </c>
      <c r="I8129" s="20">
        <v>0.56696460148712402</v>
      </c>
      <c r="J8129" s="28">
        <v>0.57073823183198502</v>
      </c>
      <c r="K8129" s="29">
        <v>0.98289565623980701</v>
      </c>
    </row>
    <row r="8130" spans="1:11" x14ac:dyDescent="0.35">
      <c r="A8130" s="9" t="str">
        <f>HYPERLINK("http://www.ensembl.org/id/WBGene00013357", "WBGene00013357")</f>
        <v>WBGene00013357</v>
      </c>
      <c r="B8130" s="9" t="str">
        <f>HYPERLINK("http://www.ncbi.nlm.nih.gov/gene/190430", "190430")</f>
        <v>190430</v>
      </c>
      <c r="C8130" s="9"/>
      <c r="D8130" t="str">
        <f>"clec-260"</f>
        <v>clec-260</v>
      </c>
      <c r="E8130" t="s">
        <v>46</v>
      </c>
      <c r="F8130" t="s">
        <v>11</v>
      </c>
      <c r="G8130" t="s">
        <v>47</v>
      </c>
      <c r="H8130" s="12">
        <v>9.9320123134608593</v>
      </c>
      <c r="I8130" s="20">
        <v>0.68366985730865304</v>
      </c>
      <c r="J8130" s="28">
        <v>0.49418366151259002</v>
      </c>
      <c r="K8130" s="29">
        <v>0.98289565623980701</v>
      </c>
    </row>
    <row r="8131" spans="1:11" x14ac:dyDescent="0.35">
      <c r="A8131" s="9" t="str">
        <f>HYPERLINK("http://www.ensembl.org/id/WBGene00013834", "WBGene00013834")</f>
        <v>WBGene00013834</v>
      </c>
      <c r="B8131" s="9" t="str">
        <f>HYPERLINK("http://www.ncbi.nlm.nih.gov/gene/180330", "180330")</f>
        <v>180330</v>
      </c>
      <c r="C8131" s="9"/>
      <c r="D8131" t="str">
        <f>"clec-261"</f>
        <v>clec-261</v>
      </c>
      <c r="E8131" t="s">
        <v>46</v>
      </c>
      <c r="F8131" t="s">
        <v>11</v>
      </c>
      <c r="G8131" t="s">
        <v>47</v>
      </c>
      <c r="H8131" s="12">
        <v>-4.9405101579997703</v>
      </c>
      <c r="I8131" s="20">
        <v>-0.54700106443493901</v>
      </c>
      <c r="J8131" s="28">
        <v>0.58437800083765901</v>
      </c>
      <c r="K8131" s="29">
        <v>0.98289565623980701</v>
      </c>
    </row>
    <row r="8132" spans="1:11" x14ac:dyDescent="0.35">
      <c r="A8132" s="9" t="str">
        <f>HYPERLINK("http://www.ensembl.org/id/WBGene00013831", "WBGene00013831")</f>
        <v>WBGene00013831</v>
      </c>
      <c r="B8132" s="9" t="str">
        <f>HYPERLINK("http://www.ncbi.nlm.nih.gov/gene/191051", "191051")</f>
        <v>191051</v>
      </c>
      <c r="C8132" s="9"/>
      <c r="D8132" t="str">
        <f>"clec-262"</f>
        <v>clec-262</v>
      </c>
      <c r="E8132" t="s">
        <v>46</v>
      </c>
      <c r="F8132" t="s">
        <v>11</v>
      </c>
      <c r="H8132" s="12">
        <v>-5.5794491025289696</v>
      </c>
      <c r="I8132" s="20">
        <v>-0.504738274115201</v>
      </c>
      <c r="J8132" s="28">
        <v>0.61374267489732603</v>
      </c>
      <c r="K8132" s="29">
        <v>0.98289565623980701</v>
      </c>
    </row>
    <row r="8133" spans="1:11" x14ac:dyDescent="0.35">
      <c r="A8133" s="9" t="str">
        <f>HYPERLINK("http://www.ensembl.org/id/WBGene00009171", "WBGene00009171")</f>
        <v>WBGene00009171</v>
      </c>
      <c r="B8133" s="9" t="str">
        <f>HYPERLINK("http://www.ncbi.nlm.nih.gov/gene/184987", "184987")</f>
        <v>184987</v>
      </c>
      <c r="C8133" s="9"/>
      <c r="D8133" t="str">
        <f>"clec-263"</f>
        <v>clec-263</v>
      </c>
      <c r="E8133" t="s">
        <v>46</v>
      </c>
      <c r="F8133" t="s">
        <v>11</v>
      </c>
      <c r="G8133" t="s">
        <v>47</v>
      </c>
      <c r="H8133" s="12">
        <v>-2.4295389261469</v>
      </c>
      <c r="I8133" s="20">
        <v>-0.25808529976640998</v>
      </c>
      <c r="J8133" s="28">
        <v>0.79634107645457397</v>
      </c>
      <c r="K8133" s="29">
        <v>0.98289565623980701</v>
      </c>
    </row>
    <row r="8134" spans="1:11" x14ac:dyDescent="0.35">
      <c r="A8134" s="9" t="str">
        <f>HYPERLINK("http://www.ensembl.org/id/WBGene00009291", "WBGene00009291")</f>
        <v>WBGene00009291</v>
      </c>
      <c r="B8134" s="9" t="str">
        <f>HYPERLINK("http://www.ncbi.nlm.nih.gov/gene/185147", "185147")</f>
        <v>185147</v>
      </c>
      <c r="C8134" s="9"/>
      <c r="D8134" t="str">
        <f>"clec-264"</f>
        <v>clec-264</v>
      </c>
      <c r="E8134" t="s">
        <v>46</v>
      </c>
      <c r="F8134" t="s">
        <v>11</v>
      </c>
      <c r="G8134" t="s">
        <v>151</v>
      </c>
      <c r="H8134" s="12">
        <v>-1.2079557735523601</v>
      </c>
      <c r="I8134" s="20">
        <v>-0.83842455525628301</v>
      </c>
      <c r="J8134" s="28">
        <v>0.40179230326884802</v>
      </c>
      <c r="K8134" s="29">
        <v>0.98289565623980701</v>
      </c>
    </row>
    <row r="8135" spans="1:11" x14ac:dyDescent="0.35">
      <c r="A8135" s="9" t="str">
        <f>HYPERLINK("http://www.ensembl.org/id/WBGene00013607", "WBGene00013607")</f>
        <v>WBGene00013607</v>
      </c>
      <c r="B8135" s="9" t="str">
        <f>HYPERLINK("http://www.ncbi.nlm.nih.gov/gene/190826", "190826")</f>
        <v>190826</v>
      </c>
      <c r="C8135" s="9"/>
      <c r="D8135" t="str">
        <f>"clec-27"</f>
        <v>clec-27</v>
      </c>
      <c r="E8135" t="s">
        <v>46</v>
      </c>
      <c r="F8135" t="s">
        <v>11</v>
      </c>
      <c r="G8135" t="s">
        <v>2771</v>
      </c>
      <c r="H8135" s="12">
        <v>-10.0989263815726</v>
      </c>
      <c r="I8135" s="20">
        <v>-0.68863184780658804</v>
      </c>
      <c r="J8135" s="28">
        <v>0.49105497404077803</v>
      </c>
      <c r="K8135" s="29">
        <v>0.98289565623980701</v>
      </c>
    </row>
    <row r="8136" spans="1:11" x14ac:dyDescent="0.35">
      <c r="A8136" s="9" t="str">
        <f>HYPERLINK("http://www.ensembl.org/id/WBGene00014842", "WBGene00014842")</f>
        <v>WBGene00014842</v>
      </c>
      <c r="B8136" s="9"/>
      <c r="C8136" s="9"/>
      <c r="D8136" t="str">
        <f>"clec-30"</f>
        <v>clec-30</v>
      </c>
      <c r="F8136" t="s">
        <v>80</v>
      </c>
      <c r="H8136" s="12">
        <v>2.3893468495514898</v>
      </c>
      <c r="I8136" s="20">
        <v>0.25323547253672701</v>
      </c>
      <c r="J8136" s="28">
        <v>0.80008625651646104</v>
      </c>
      <c r="K8136" s="29">
        <v>0.98289565623980701</v>
      </c>
    </row>
    <row r="8137" spans="1:11" x14ac:dyDescent="0.35">
      <c r="A8137" s="9" t="str">
        <f>HYPERLINK("http://www.ensembl.org/id/WBGene00009854", "WBGene00009854")</f>
        <v>WBGene00009854</v>
      </c>
      <c r="B8137" s="9" t="str">
        <f>HYPERLINK("http://www.ncbi.nlm.nih.gov/gene/186002", "186002")</f>
        <v>186002</v>
      </c>
      <c r="C8137" s="9"/>
      <c r="D8137" t="str">
        <f>"clec-31"</f>
        <v>clec-31</v>
      </c>
      <c r="E8137" t="s">
        <v>46</v>
      </c>
      <c r="F8137" t="s">
        <v>11</v>
      </c>
      <c r="G8137" t="s">
        <v>2771</v>
      </c>
      <c r="H8137" s="12">
        <v>-2.64522751747859</v>
      </c>
      <c r="I8137" s="20">
        <v>-0.322957783917381</v>
      </c>
      <c r="J8137" s="28">
        <v>0.74672721379852502</v>
      </c>
      <c r="K8137" s="29">
        <v>0.98289565623980701</v>
      </c>
    </row>
    <row r="8138" spans="1:11" x14ac:dyDescent="0.35">
      <c r="A8138" s="9" t="str">
        <f>HYPERLINK("http://www.ensembl.org/id/WBGene00013609", "WBGene00013609")</f>
        <v>WBGene00013609</v>
      </c>
      <c r="B8138" s="9" t="str">
        <f>HYPERLINK("http://www.ncbi.nlm.nih.gov/gene/190828", "190828")</f>
        <v>190828</v>
      </c>
      <c r="C8138" s="9"/>
      <c r="D8138" t="str">
        <f>"clec-37"</f>
        <v>clec-37</v>
      </c>
      <c r="E8138" t="s">
        <v>46</v>
      </c>
      <c r="F8138" t="s">
        <v>11</v>
      </c>
      <c r="G8138" t="s">
        <v>2771</v>
      </c>
      <c r="H8138" s="12">
        <v>-3.48513252025516</v>
      </c>
      <c r="I8138" s="20">
        <v>-0.85674134194010698</v>
      </c>
      <c r="J8138" s="28">
        <v>0.39158784992037099</v>
      </c>
      <c r="K8138" s="29">
        <v>0.98289565623980701</v>
      </c>
    </row>
    <row r="8139" spans="1:11" x14ac:dyDescent="0.35">
      <c r="A8139" s="9" t="str">
        <f>HYPERLINK("http://www.ensembl.org/id/WBGene00012025", "WBGene00012025")</f>
        <v>WBGene00012025</v>
      </c>
      <c r="B8139" s="9" t="str">
        <f>HYPERLINK("http://www.ncbi.nlm.nih.gov/gene/188900", "188900")</f>
        <v>188900</v>
      </c>
      <c r="C8139" s="9"/>
      <c r="D8139" t="str">
        <f>"clec-38"</f>
        <v>clec-38</v>
      </c>
      <c r="E8139" t="s">
        <v>46</v>
      </c>
      <c r="F8139" t="s">
        <v>11</v>
      </c>
      <c r="G8139" t="s">
        <v>10036</v>
      </c>
      <c r="H8139" s="12">
        <v>-2.00282366455441</v>
      </c>
      <c r="I8139" s="20">
        <v>-0.261094718881763</v>
      </c>
      <c r="J8139" s="28">
        <v>0.79401946419414404</v>
      </c>
      <c r="K8139" s="29">
        <v>0.98289565623980701</v>
      </c>
    </row>
    <row r="8140" spans="1:11" x14ac:dyDescent="0.35">
      <c r="A8140" s="9" t="str">
        <f>HYPERLINK("http://www.ensembl.org/id/WBGene00012022", "WBGene00012022")</f>
        <v>WBGene00012022</v>
      </c>
      <c r="B8140" s="9" t="str">
        <f>HYPERLINK("http://www.ncbi.nlm.nih.gov/gene/188899", "188899")</f>
        <v>188899</v>
      </c>
      <c r="C8140" s="9"/>
      <c r="D8140" t="str">
        <f>"clec-39"</f>
        <v>clec-39</v>
      </c>
      <c r="E8140" t="s">
        <v>46</v>
      </c>
      <c r="F8140" t="s">
        <v>11</v>
      </c>
      <c r="G8140" t="s">
        <v>2771</v>
      </c>
      <c r="H8140" s="12">
        <v>2.4121899892336698</v>
      </c>
      <c r="I8140" s="20">
        <v>0.46879392251304303</v>
      </c>
      <c r="J8140" s="28">
        <v>0.63921694447254895</v>
      </c>
      <c r="K8140" s="29">
        <v>0.98289565623980701</v>
      </c>
    </row>
    <row r="8141" spans="1:11" x14ac:dyDescent="0.35">
      <c r="A8141" s="9" t="str">
        <f>HYPERLINK("http://www.ensembl.org/id/WBGene00012583", "WBGene00012583")</f>
        <v>WBGene00012583</v>
      </c>
      <c r="B8141" s="9" t="str">
        <f>HYPERLINK("http://www.ncbi.nlm.nih.gov/gene/189654", "189654")</f>
        <v>189654</v>
      </c>
      <c r="C8141" s="9"/>
      <c r="D8141" t="str">
        <f>"clec-4"</f>
        <v>clec-4</v>
      </c>
      <c r="E8141" t="s">
        <v>46</v>
      </c>
      <c r="F8141" t="s">
        <v>11</v>
      </c>
      <c r="G8141" t="s">
        <v>47</v>
      </c>
      <c r="H8141" s="12">
        <v>-1.5943040385265299</v>
      </c>
      <c r="I8141" s="20">
        <v>-0.40362803893292198</v>
      </c>
      <c r="J8141" s="28">
        <v>0.68648626385066602</v>
      </c>
      <c r="K8141" s="29">
        <v>0.98289565623980701</v>
      </c>
    </row>
    <row r="8142" spans="1:11" x14ac:dyDescent="0.35">
      <c r="A8142" s="9" t="str">
        <f>HYPERLINK("http://www.ensembl.org/id/WBGene00011853", "WBGene00011853")</f>
        <v>WBGene00011853</v>
      </c>
      <c r="B8142" s="9" t="str">
        <f>HYPERLINK("http://www.ncbi.nlm.nih.gov/gene/188627", "188627")</f>
        <v>188627</v>
      </c>
      <c r="C8142" s="9"/>
      <c r="D8142" t="str">
        <f>"clec-40"</f>
        <v>clec-40</v>
      </c>
      <c r="E8142" t="s">
        <v>46</v>
      </c>
      <c r="F8142" t="s">
        <v>11</v>
      </c>
      <c r="G8142" t="s">
        <v>2771</v>
      </c>
      <c r="H8142" s="12">
        <v>-7.85004945636007</v>
      </c>
      <c r="I8142" s="20">
        <v>-1.0856375281620201</v>
      </c>
      <c r="J8142" s="28">
        <v>0.27763938960553802</v>
      </c>
      <c r="K8142" s="29">
        <v>0.98289565623980701</v>
      </c>
    </row>
    <row r="8143" spans="1:11" x14ac:dyDescent="0.35">
      <c r="A8143" s="9" t="str">
        <f>HYPERLINK("http://www.ensembl.org/id/WBGene00007153", "WBGene00007153")</f>
        <v>WBGene00007153</v>
      </c>
      <c r="B8143" s="9" t="str">
        <f>HYPERLINK("http://www.ncbi.nlm.nih.gov/gene/179797", "179797")</f>
        <v>179797</v>
      </c>
      <c r="C8143" s="9"/>
      <c r="D8143" t="str">
        <f>"clec-41"</f>
        <v>clec-41</v>
      </c>
      <c r="E8143" t="s">
        <v>46</v>
      </c>
      <c r="F8143" t="s">
        <v>11</v>
      </c>
      <c r="G8143" t="s">
        <v>9240</v>
      </c>
      <c r="H8143" s="12">
        <v>-1.23004305196457</v>
      </c>
      <c r="I8143" s="20">
        <v>-0.63679124176477597</v>
      </c>
      <c r="J8143" s="28">
        <v>0.52426083170635096</v>
      </c>
      <c r="K8143" s="29">
        <v>0.98289565623980701</v>
      </c>
    </row>
    <row r="8144" spans="1:11" x14ac:dyDescent="0.35">
      <c r="A8144" s="9" t="str">
        <f>HYPERLINK("http://www.ensembl.org/id/WBGene00008891", "WBGene00008891")</f>
        <v>WBGene00008891</v>
      </c>
      <c r="B8144" s="9" t="str">
        <f>HYPERLINK("http://www.ncbi.nlm.nih.gov/gene/180189", "180189")</f>
        <v>180189</v>
      </c>
      <c r="C8144" s="9"/>
      <c r="D8144" t="str">
        <f>"clec-42"</f>
        <v>clec-42</v>
      </c>
      <c r="E8144" t="s">
        <v>46</v>
      </c>
      <c r="F8144" t="s">
        <v>11</v>
      </c>
      <c r="G8144" t="s">
        <v>47</v>
      </c>
      <c r="H8144" s="12">
        <v>-4.2980330950074004</v>
      </c>
      <c r="I8144" s="20">
        <v>-0.78007922612931302</v>
      </c>
      <c r="J8144" s="28">
        <v>0.43534424331567501</v>
      </c>
      <c r="K8144" s="29">
        <v>0.98289565623980701</v>
      </c>
    </row>
    <row r="8145" spans="1:11" x14ac:dyDescent="0.35">
      <c r="A8145" s="9" t="str">
        <f>HYPERLINK("http://www.ensembl.org/id/WBGene00019917", "WBGene00019917")</f>
        <v>WBGene00019917</v>
      </c>
      <c r="B8145" s="9" t="str">
        <f>HYPERLINK("http://www.ncbi.nlm.nih.gov/gene/187664", "187664")</f>
        <v>187664</v>
      </c>
      <c r="C8145" s="9"/>
      <c r="D8145" t="str">
        <f>"clec-43"</f>
        <v>clec-43</v>
      </c>
      <c r="E8145" t="s">
        <v>46</v>
      </c>
      <c r="F8145" t="s">
        <v>11</v>
      </c>
      <c r="G8145" t="s">
        <v>47</v>
      </c>
      <c r="H8145" s="12">
        <v>1.28085910612645</v>
      </c>
      <c r="I8145" s="20">
        <v>0.28373224793913399</v>
      </c>
      <c r="J8145" s="28">
        <v>0.77661557960628602</v>
      </c>
      <c r="K8145" s="29">
        <v>0.98289565623980701</v>
      </c>
    </row>
    <row r="8146" spans="1:11" x14ac:dyDescent="0.35">
      <c r="A8146" s="9" t="str">
        <f>HYPERLINK("http://www.ensembl.org/id/WBGene00019928", "WBGene00019928")</f>
        <v>WBGene00019928</v>
      </c>
      <c r="B8146" s="9" t="str">
        <f>HYPERLINK("http://www.ncbi.nlm.nih.gov/gene/187671", "187671")</f>
        <v>187671</v>
      </c>
      <c r="C8146" s="9"/>
      <c r="D8146" t="str">
        <f>"clec-44"</f>
        <v>clec-44</v>
      </c>
      <c r="E8146" t="s">
        <v>46</v>
      </c>
      <c r="F8146" t="s">
        <v>11</v>
      </c>
      <c r="H8146" s="12">
        <v>1.39518425795309</v>
      </c>
      <c r="I8146" s="20">
        <v>0.32344928931332201</v>
      </c>
      <c r="J8146" s="28">
        <v>0.74635500637338204</v>
      </c>
      <c r="K8146" s="29">
        <v>0.98289565623980701</v>
      </c>
    </row>
    <row r="8147" spans="1:11" x14ac:dyDescent="0.35">
      <c r="A8147" s="9" t="str">
        <f>HYPERLINK("http://www.ensembl.org/id/WBGene00017199", "WBGene00017199")</f>
        <v>WBGene00017199</v>
      </c>
      <c r="B8147" s="9" t="str">
        <f>HYPERLINK("http://www.ncbi.nlm.nih.gov/gene/184130", "184130")</f>
        <v>184130</v>
      </c>
      <c r="C8147" s="9"/>
      <c r="D8147" t="str">
        <f>"clec-45"</f>
        <v>clec-45</v>
      </c>
      <c r="E8147" t="s">
        <v>46</v>
      </c>
      <c r="F8147" t="s">
        <v>11</v>
      </c>
      <c r="G8147" t="s">
        <v>47</v>
      </c>
      <c r="H8147" s="12">
        <v>3.5227018545059199</v>
      </c>
      <c r="I8147" s="20">
        <v>0.36849691206929103</v>
      </c>
      <c r="J8147" s="28">
        <v>0.71250274722433404</v>
      </c>
      <c r="K8147" s="29">
        <v>0.98289565623980701</v>
      </c>
    </row>
    <row r="8148" spans="1:11" x14ac:dyDescent="0.35">
      <c r="A8148" s="9" t="str">
        <f>HYPERLINK("http://www.ensembl.org/id/WBGene00011668", "WBGene00011668")</f>
        <v>WBGene00011668</v>
      </c>
      <c r="B8148" s="9" t="str">
        <f>HYPERLINK("http://www.ncbi.nlm.nih.gov/gene/180025", "180025")</f>
        <v>180025</v>
      </c>
      <c r="C8148" s="9"/>
      <c r="D8148" t="str">
        <f>"clec-47"</f>
        <v>clec-47</v>
      </c>
      <c r="E8148" t="s">
        <v>46</v>
      </c>
      <c r="F8148" t="s">
        <v>11</v>
      </c>
      <c r="G8148" t="s">
        <v>2771</v>
      </c>
      <c r="H8148" s="12">
        <v>1.1566231064144199</v>
      </c>
      <c r="I8148" s="20">
        <v>0.78057917814925004</v>
      </c>
      <c r="J8148" s="28">
        <v>0.435050042098581</v>
      </c>
      <c r="K8148" s="29">
        <v>0.98289565623980701</v>
      </c>
    </row>
    <row r="8149" spans="1:11" x14ac:dyDescent="0.35">
      <c r="A8149" s="9" t="str">
        <f>HYPERLINK("http://www.ensembl.org/id/WBGene00016450", "WBGene00016450")</f>
        <v>WBGene00016450</v>
      </c>
      <c r="B8149" s="9" t="str">
        <f>HYPERLINK("http://www.ncbi.nlm.nih.gov/gene/175652", "175652")</f>
        <v>175652</v>
      </c>
      <c r="C8149" s="9"/>
      <c r="D8149" t="str">
        <f>"clec-5"</f>
        <v>clec-5</v>
      </c>
      <c r="E8149" t="s">
        <v>46</v>
      </c>
      <c r="F8149" t="s">
        <v>11</v>
      </c>
      <c r="G8149" t="s">
        <v>47</v>
      </c>
      <c r="H8149" s="12">
        <v>-1.27088467996913</v>
      </c>
      <c r="I8149" s="20">
        <v>-1.1775587195665</v>
      </c>
      <c r="J8149" s="28">
        <v>0.238972575101734</v>
      </c>
      <c r="K8149" s="29">
        <v>0.98289565623980701</v>
      </c>
    </row>
    <row r="8150" spans="1:11" x14ac:dyDescent="0.35">
      <c r="A8150" s="9" t="str">
        <f>HYPERLINK("http://www.ensembl.org/id/WBGene00020191", "WBGene00020191")</f>
        <v>WBGene00020191</v>
      </c>
      <c r="B8150" s="9" t="str">
        <f>HYPERLINK("http://www.ncbi.nlm.nih.gov/gene/171967", "171967")</f>
        <v>171967</v>
      </c>
      <c r="C8150" s="9"/>
      <c r="D8150" t="str">
        <f>"clec-53"</f>
        <v>clec-53</v>
      </c>
      <c r="E8150" t="s">
        <v>46</v>
      </c>
      <c r="F8150" t="s">
        <v>11</v>
      </c>
      <c r="G8150" t="s">
        <v>274</v>
      </c>
      <c r="H8150" s="12">
        <v>-1.7740038451352</v>
      </c>
      <c r="I8150" s="20">
        <v>-1.1044158257097301</v>
      </c>
      <c r="J8150" s="28">
        <v>0.26941279889095698</v>
      </c>
      <c r="K8150" s="29">
        <v>0.98289565623980701</v>
      </c>
    </row>
    <row r="8151" spans="1:11" x14ac:dyDescent="0.35">
      <c r="A8151" s="9" t="str">
        <f>HYPERLINK("http://www.ensembl.org/id/WBGene00008594", "WBGene00008594")</f>
        <v>WBGene00008594</v>
      </c>
      <c r="B8151" s="9" t="str">
        <f>HYPERLINK("http://www.ncbi.nlm.nih.gov/gene/179951", "179951")</f>
        <v>179951</v>
      </c>
      <c r="C8151" s="9"/>
      <c r="D8151" t="str">
        <f>"clec-57"</f>
        <v>clec-57</v>
      </c>
      <c r="E8151" t="s">
        <v>46</v>
      </c>
      <c r="F8151" t="s">
        <v>11</v>
      </c>
      <c r="G8151" t="s">
        <v>47</v>
      </c>
      <c r="H8151" s="12">
        <v>-1.2222351180942199</v>
      </c>
      <c r="I8151" s="20">
        <v>-0.302154223773974</v>
      </c>
      <c r="J8151" s="28">
        <v>0.76253449834934495</v>
      </c>
      <c r="K8151" s="29">
        <v>0.98289565623980701</v>
      </c>
    </row>
    <row r="8152" spans="1:11" x14ac:dyDescent="0.35">
      <c r="A8152" s="9" t="str">
        <f>HYPERLINK("http://www.ensembl.org/id/WBGene00014045", "WBGene00014045")</f>
        <v>WBGene00014045</v>
      </c>
      <c r="B8152" s="9" t="str">
        <f>HYPERLINK("http://www.ncbi.nlm.nih.gov/gene/191383", "191383")</f>
        <v>191383</v>
      </c>
      <c r="C8152" s="9"/>
      <c r="D8152" t="str">
        <f>"clec-59"</f>
        <v>clec-59</v>
      </c>
      <c r="E8152" t="s">
        <v>46</v>
      </c>
      <c r="F8152" t="s">
        <v>11</v>
      </c>
      <c r="G8152" t="s">
        <v>47</v>
      </c>
      <c r="H8152" s="12">
        <v>-3.5819448292659501</v>
      </c>
      <c r="I8152" s="20">
        <v>-0.37337717500031398</v>
      </c>
      <c r="J8152" s="28">
        <v>0.70886774492290605</v>
      </c>
      <c r="K8152" s="29">
        <v>0.98289565623980701</v>
      </c>
    </row>
    <row r="8153" spans="1:11" x14ac:dyDescent="0.35">
      <c r="A8153" s="9" t="str">
        <f>HYPERLINK("http://www.ensembl.org/id/WBGene00016451", "WBGene00016451")</f>
        <v>WBGene00016451</v>
      </c>
      <c r="B8153" s="9" t="str">
        <f>HYPERLINK("http://www.ncbi.nlm.nih.gov/gene/183242", "183242")</f>
        <v>183242</v>
      </c>
      <c r="C8153" s="9"/>
      <c r="D8153" t="str">
        <f>"clec-6"</f>
        <v>clec-6</v>
      </c>
      <c r="E8153" t="s">
        <v>46</v>
      </c>
      <c r="F8153" t="s">
        <v>11</v>
      </c>
      <c r="G8153" t="s">
        <v>47</v>
      </c>
      <c r="H8153" s="12">
        <v>1.6131699898291101</v>
      </c>
      <c r="I8153" s="20">
        <v>0.31828881369904</v>
      </c>
      <c r="J8153" s="28">
        <v>0.75026586882854396</v>
      </c>
      <c r="K8153" s="29">
        <v>0.98289565623980701</v>
      </c>
    </row>
    <row r="8154" spans="1:11" x14ac:dyDescent="0.35">
      <c r="A8154" s="9" t="str">
        <f>HYPERLINK("http://www.ensembl.org/id/WBGene00009395", "WBGene00009395")</f>
        <v>WBGene00009395</v>
      </c>
      <c r="B8154" s="9" t="str">
        <f>HYPERLINK("http://www.ncbi.nlm.nih.gov/gene/185264", "185264")</f>
        <v>185264</v>
      </c>
      <c r="C8154" s="9"/>
      <c r="D8154" t="str">
        <f>"clec-64"</f>
        <v>clec-64</v>
      </c>
      <c r="E8154" t="s">
        <v>46</v>
      </c>
      <c r="F8154" t="s">
        <v>11</v>
      </c>
      <c r="G8154" t="s">
        <v>47</v>
      </c>
      <c r="H8154" s="12">
        <v>4.6387698961716399</v>
      </c>
      <c r="I8154" s="20">
        <v>0.44985450087338802</v>
      </c>
      <c r="J8154" s="28">
        <v>0.65281535672642099</v>
      </c>
      <c r="K8154" s="29">
        <v>0.98289565623980701</v>
      </c>
    </row>
    <row r="8155" spans="1:11" x14ac:dyDescent="0.35">
      <c r="A8155" s="9" t="str">
        <f>HYPERLINK("http://www.ensembl.org/id/WBGene00018970", "WBGene00018970")</f>
        <v>WBGene00018970</v>
      </c>
      <c r="B8155" s="9" t="str">
        <f>HYPERLINK("http://www.ncbi.nlm.nih.gov/gene/186388", "186388")</f>
        <v>186388</v>
      </c>
      <c r="C8155" s="9"/>
      <c r="D8155" t="str">
        <f>"clec-68"</f>
        <v>clec-68</v>
      </c>
      <c r="E8155" t="s">
        <v>46</v>
      </c>
      <c r="F8155" t="s">
        <v>11</v>
      </c>
      <c r="G8155" t="s">
        <v>734</v>
      </c>
      <c r="H8155" s="12">
        <v>3.7495657430089002</v>
      </c>
      <c r="I8155" s="20">
        <v>0.41509078773660102</v>
      </c>
      <c r="J8155" s="28">
        <v>0.67807544303981004</v>
      </c>
      <c r="K8155" s="29">
        <v>0.98289565623980701</v>
      </c>
    </row>
    <row r="8156" spans="1:11" x14ac:dyDescent="0.35">
      <c r="A8156" s="9" t="str">
        <f>HYPERLINK("http://www.ensembl.org/id/WBGene00021581", "WBGene00021581")</f>
        <v>WBGene00021581</v>
      </c>
      <c r="B8156" s="9" t="str">
        <f>HYPERLINK("http://www.ncbi.nlm.nih.gov/gene/189944", "189944")</f>
        <v>189944</v>
      </c>
      <c r="C8156" s="9"/>
      <c r="D8156" t="str">
        <f>"clec-70"</f>
        <v>clec-70</v>
      </c>
      <c r="E8156" t="s">
        <v>46</v>
      </c>
      <c r="F8156" t="s">
        <v>11</v>
      </c>
      <c r="G8156" t="s">
        <v>151</v>
      </c>
      <c r="H8156" s="12">
        <v>1.25973035097637</v>
      </c>
      <c r="I8156" s="20">
        <v>0.27999298501328901</v>
      </c>
      <c r="J8156" s="28">
        <v>0.77948288687977496</v>
      </c>
      <c r="K8156" s="29">
        <v>0.98289565623980701</v>
      </c>
    </row>
    <row r="8157" spans="1:11" x14ac:dyDescent="0.35">
      <c r="A8157" s="9" t="str">
        <f>HYPERLINK("http://www.ensembl.org/id/WBGene00044343", "WBGene00044343")</f>
        <v>WBGene00044343</v>
      </c>
      <c r="B8157" s="9"/>
      <c r="C8157" s="9"/>
      <c r="D8157" t="str">
        <f>"clec-77"</f>
        <v>clec-77</v>
      </c>
      <c r="F8157" t="s">
        <v>80</v>
      </c>
      <c r="H8157" s="12">
        <v>-1.81475919274473</v>
      </c>
      <c r="I8157" s="20">
        <v>-0.39468343008712597</v>
      </c>
      <c r="J8157" s="28">
        <v>0.69307653294814897</v>
      </c>
      <c r="K8157" s="29">
        <v>0.98289565623980701</v>
      </c>
    </row>
    <row r="8158" spans="1:11" x14ac:dyDescent="0.35">
      <c r="A8158" s="9" t="str">
        <f>HYPERLINK("http://www.ensembl.org/id/WBGene00018548", "WBGene00018548")</f>
        <v>WBGene00018548</v>
      </c>
      <c r="B8158" s="9" t="str">
        <f>HYPERLINK("http://www.ncbi.nlm.nih.gov/gene/177154", "177154")</f>
        <v>177154</v>
      </c>
      <c r="C8158" s="9"/>
      <c r="D8158" t="str">
        <f>"clec-79"</f>
        <v>clec-79</v>
      </c>
      <c r="E8158" t="s">
        <v>46</v>
      </c>
      <c r="F8158" t="s">
        <v>11</v>
      </c>
      <c r="G8158" t="s">
        <v>47</v>
      </c>
      <c r="H8158" s="12">
        <v>1.29174345424937</v>
      </c>
      <c r="I8158" s="20">
        <v>0.346551698479246</v>
      </c>
      <c r="J8158" s="28">
        <v>0.72892813852734795</v>
      </c>
      <c r="K8158" s="29">
        <v>0.98289565623980701</v>
      </c>
    </row>
    <row r="8159" spans="1:11" x14ac:dyDescent="0.35">
      <c r="A8159" s="9" t="str">
        <f>HYPERLINK("http://www.ensembl.org/id/WBGene00021895", "WBGene00021895")</f>
        <v>WBGene00021895</v>
      </c>
      <c r="B8159" s="9" t="str">
        <f>HYPERLINK("http://www.ncbi.nlm.nih.gov/gene/177067", "177067")</f>
        <v>177067</v>
      </c>
      <c r="C8159" s="9"/>
      <c r="D8159" t="str">
        <f>"clec-84"</f>
        <v>clec-84</v>
      </c>
      <c r="E8159" t="s">
        <v>46</v>
      </c>
      <c r="F8159" t="s">
        <v>11</v>
      </c>
      <c r="G8159" t="s">
        <v>47</v>
      </c>
      <c r="H8159" s="12">
        <v>-1.19578335909189</v>
      </c>
      <c r="I8159" s="20">
        <v>-0.88233155808638897</v>
      </c>
      <c r="J8159" s="28">
        <v>0.377597535408217</v>
      </c>
      <c r="K8159" s="29">
        <v>0.98289565623980701</v>
      </c>
    </row>
    <row r="8160" spans="1:11" x14ac:dyDescent="0.35">
      <c r="A8160" s="9" t="str">
        <f>HYPERLINK("http://www.ensembl.org/id/WBGene00016912", "WBGene00016912")</f>
        <v>WBGene00016912</v>
      </c>
      <c r="B8160" s="9" t="str">
        <f>HYPERLINK("http://www.ncbi.nlm.nih.gov/gene/183775", "183775")</f>
        <v>183775</v>
      </c>
      <c r="C8160" s="9"/>
      <c r="D8160" t="str">
        <f>"clec-86"</f>
        <v>clec-86</v>
      </c>
      <c r="E8160" t="s">
        <v>46</v>
      </c>
      <c r="F8160" t="s">
        <v>11</v>
      </c>
      <c r="G8160" t="s">
        <v>734</v>
      </c>
      <c r="H8160" s="12">
        <v>-1.3055071272440699</v>
      </c>
      <c r="I8160" s="20">
        <v>-0.65174158861475795</v>
      </c>
      <c r="J8160" s="28">
        <v>0.51456788872211801</v>
      </c>
      <c r="K8160" s="29">
        <v>0.98289565623980701</v>
      </c>
    </row>
    <row r="8161" spans="1:11" x14ac:dyDescent="0.35">
      <c r="A8161" s="9" t="str">
        <f>HYPERLINK("http://www.ensembl.org/id/WBGene00015631", "WBGene00015631")</f>
        <v>WBGene00015631</v>
      </c>
      <c r="B8161" s="9" t="str">
        <f>HYPERLINK("http://www.ncbi.nlm.nih.gov/gene/24104193", "24104193")</f>
        <v>24104193</v>
      </c>
      <c r="C8161" s="9"/>
      <c r="D8161" t="str">
        <f>"clec-89"</f>
        <v>clec-89</v>
      </c>
      <c r="E8161" t="s">
        <v>46</v>
      </c>
      <c r="F8161" t="s">
        <v>11</v>
      </c>
      <c r="G8161" t="s">
        <v>47</v>
      </c>
      <c r="H8161" s="12">
        <v>1.33805622738507</v>
      </c>
      <c r="I8161" s="20">
        <v>0.69047636369766197</v>
      </c>
      <c r="J8161" s="28">
        <v>0.48989466893353301</v>
      </c>
      <c r="K8161" s="29">
        <v>0.98289565623980701</v>
      </c>
    </row>
    <row r="8162" spans="1:11" x14ac:dyDescent="0.35">
      <c r="A8162" s="9" t="str">
        <f>HYPERLINK("http://www.ensembl.org/id/WBGene00019009", "WBGene00019009")</f>
        <v>WBGene00019009</v>
      </c>
      <c r="B8162" s="9" t="str">
        <f>HYPERLINK("http://www.ncbi.nlm.nih.gov/gene/186446", "186446")</f>
        <v>186446</v>
      </c>
      <c r="C8162" s="9"/>
      <c r="D8162" t="str">
        <f>"clec-90"</f>
        <v>clec-90</v>
      </c>
      <c r="E8162" t="s">
        <v>46</v>
      </c>
      <c r="F8162" t="s">
        <v>11</v>
      </c>
      <c r="G8162" t="s">
        <v>2771</v>
      </c>
      <c r="H8162" s="12">
        <v>1.1157798941603001</v>
      </c>
      <c r="I8162" s="20">
        <v>0.39670536670750201</v>
      </c>
      <c r="J8162" s="28">
        <v>0.69158474218866794</v>
      </c>
      <c r="K8162" s="29">
        <v>0.98289565623980701</v>
      </c>
    </row>
    <row r="8163" spans="1:11" x14ac:dyDescent="0.35">
      <c r="A8163" s="9" t="str">
        <f>HYPERLINK("http://www.ensembl.org/id/WBGene00013927", "WBGene00013927")</f>
        <v>WBGene00013927</v>
      </c>
      <c r="B8163" s="9" t="str">
        <f>HYPERLINK("http://www.ncbi.nlm.nih.gov/gene/173010", "173010")</f>
        <v>173010</v>
      </c>
      <c r="C8163" s="9"/>
      <c r="D8163" t="str">
        <f>"clec-95"</f>
        <v>clec-95</v>
      </c>
      <c r="E8163" t="s">
        <v>46</v>
      </c>
      <c r="F8163" t="s">
        <v>11</v>
      </c>
      <c r="G8163" t="s">
        <v>47</v>
      </c>
      <c r="H8163" s="12">
        <v>2.3967428901046</v>
      </c>
      <c r="I8163" s="20">
        <v>0.596618043365022</v>
      </c>
      <c r="J8163" s="28">
        <v>0.55076242183794399</v>
      </c>
      <c r="K8163" s="29">
        <v>0.98289565623980701</v>
      </c>
    </row>
    <row r="8164" spans="1:11" x14ac:dyDescent="0.35">
      <c r="A8164" s="9" t="str">
        <f>HYPERLINK("http://www.ensembl.org/id/WBGene00013933", "WBGene00013933")</f>
        <v>WBGene00013933</v>
      </c>
      <c r="B8164" s="9" t="str">
        <f>HYPERLINK("http://www.ncbi.nlm.nih.gov/gene/173011", "173011")</f>
        <v>173011</v>
      </c>
      <c r="C8164" s="9"/>
      <c r="D8164" t="str">
        <f>"clec-99"</f>
        <v>clec-99</v>
      </c>
      <c r="E8164" t="s">
        <v>46</v>
      </c>
      <c r="F8164" t="s">
        <v>11</v>
      </c>
      <c r="G8164" t="s">
        <v>47</v>
      </c>
      <c r="H8164" s="12">
        <v>1.8488549380963799</v>
      </c>
      <c r="I8164" s="20">
        <v>0.59166011314422595</v>
      </c>
      <c r="J8164" s="28">
        <v>0.55407821122794798</v>
      </c>
      <c r="K8164" s="29">
        <v>0.98289565623980701</v>
      </c>
    </row>
    <row r="8165" spans="1:11" x14ac:dyDescent="0.35">
      <c r="A8165" s="9" t="str">
        <f>HYPERLINK("http://www.ensembl.org/id/WBGene00000530", "WBGene00000530")</f>
        <v>WBGene00000530</v>
      </c>
      <c r="B8165" s="9" t="str">
        <f>HYPERLINK("http://www.ncbi.nlm.nih.gov/gene/174187", "174187")</f>
        <v>174187</v>
      </c>
      <c r="C8165" s="9" t="str">
        <f>HYPERLINK("http://www.ncbi.nlm.nih.gov/gene/1181", "1181")</f>
        <v>1181</v>
      </c>
      <c r="D8165" t="str">
        <f>"clh-3"</f>
        <v>clh-3</v>
      </c>
      <c r="E8165" t="s">
        <v>6595</v>
      </c>
      <c r="F8165" t="s">
        <v>11</v>
      </c>
      <c r="G8165" t="s">
        <v>6596</v>
      </c>
      <c r="H8165" s="12">
        <v>-1.0787549263537</v>
      </c>
      <c r="I8165" s="20">
        <v>-0.37114961451641998</v>
      </c>
      <c r="J8165" s="28">
        <v>0.71052609882472895</v>
      </c>
      <c r="K8165" s="29">
        <v>0.98289565623980701</v>
      </c>
    </row>
    <row r="8166" spans="1:11" x14ac:dyDescent="0.35">
      <c r="A8166" s="9" t="str">
        <f>HYPERLINK("http://www.ensembl.org/id/WBGene00000532", "WBGene00000532")</f>
        <v>WBGene00000532</v>
      </c>
      <c r="B8166" s="9" t="str">
        <f>HYPERLINK("http://www.ncbi.nlm.nih.gov/gene/174449", "174449")</f>
        <v>174449</v>
      </c>
      <c r="C8166" s="9" t="str">
        <f>HYPERLINK("http://www.ncbi.nlm.nih.gov/gene/1182", "1182")</f>
        <v>1182</v>
      </c>
      <c r="D8166" t="str">
        <f>"clh-5"</f>
        <v>clh-5</v>
      </c>
      <c r="E8166" t="s">
        <v>1074</v>
      </c>
      <c r="F8166" t="s">
        <v>11</v>
      </c>
      <c r="G8166" t="s">
        <v>6397</v>
      </c>
      <c r="H8166" s="12">
        <v>-1.06714876785392</v>
      </c>
      <c r="I8166" s="20">
        <v>-0.34555615414009</v>
      </c>
      <c r="J8166" s="28">
        <v>0.72967630208433398</v>
      </c>
      <c r="K8166" s="29">
        <v>0.98289565623980701</v>
      </c>
    </row>
    <row r="8167" spans="1:11" x14ac:dyDescent="0.35">
      <c r="A8167" s="9" t="str">
        <f>HYPERLINK("http://www.ensembl.org/id/WBGene00000533", "WBGene00000533")</f>
        <v>WBGene00000533</v>
      </c>
      <c r="B8167" s="9" t="str">
        <f>HYPERLINK("http://www.ncbi.nlm.nih.gov/gene/179655", "179655")</f>
        <v>179655</v>
      </c>
      <c r="C8167" s="9" t="str">
        <f>HYPERLINK("http://www.ncbi.nlm.nih.gov/gene/1186", "1186")</f>
        <v>1186</v>
      </c>
      <c r="D8167" t="str">
        <f>"clh-6"</f>
        <v>clh-6</v>
      </c>
      <c r="E8167" t="s">
        <v>1074</v>
      </c>
      <c r="F8167" t="s">
        <v>11</v>
      </c>
      <c r="G8167" t="s">
        <v>9340</v>
      </c>
      <c r="H8167" s="12">
        <v>-1.23986915229259</v>
      </c>
      <c r="I8167" s="20">
        <v>-1.06288604121122</v>
      </c>
      <c r="J8167" s="28">
        <v>0.28783363395941097</v>
      </c>
      <c r="K8167" s="29">
        <v>0.98289565623980701</v>
      </c>
    </row>
    <row r="8168" spans="1:11" x14ac:dyDescent="0.35">
      <c r="A8168" s="9" t="str">
        <f>HYPERLINK("http://www.ensembl.org/id/WBGene00016626", "WBGene00016626")</f>
        <v>WBGene00016626</v>
      </c>
      <c r="B8168" s="9" t="str">
        <f>HYPERLINK("http://www.ncbi.nlm.nih.gov/gene/183429", "183429")</f>
        <v>183429</v>
      </c>
      <c r="C8168" s="9" t="str">
        <f>HYPERLINK("http://www.ncbi.nlm.nih.gov/gene/254228", "254228")</f>
        <v>254228</v>
      </c>
      <c r="D8168" t="str">
        <f>"clhm-1"</f>
        <v>clhm-1</v>
      </c>
      <c r="E8168" t="s">
        <v>8386</v>
      </c>
      <c r="F8168" t="s">
        <v>11</v>
      </c>
      <c r="H8168" s="12">
        <v>-1.1745245274588401</v>
      </c>
      <c r="I8168" s="20">
        <v>-0.38131821659289999</v>
      </c>
      <c r="J8168" s="28">
        <v>0.70296713807131395</v>
      </c>
      <c r="K8168" s="29">
        <v>0.98289565623980701</v>
      </c>
    </row>
    <row r="8169" spans="1:11" x14ac:dyDescent="0.35">
      <c r="A8169" s="9" t="str">
        <f>HYPERLINK("http://www.ensembl.org/id/WBGene00020246", "WBGene00020246")</f>
        <v>WBGene00020246</v>
      </c>
      <c r="B8169" s="9" t="str">
        <f>HYPERLINK("http://www.ncbi.nlm.nih.gov/gene/179150", "179150")</f>
        <v>179150</v>
      </c>
      <c r="C8169" s="9"/>
      <c r="D8169" t="str">
        <f>"clic-1"</f>
        <v>clic-1</v>
      </c>
      <c r="E8169" t="s">
        <v>7615</v>
      </c>
      <c r="F8169" t="s">
        <v>11</v>
      </c>
      <c r="G8169" t="s">
        <v>7616</v>
      </c>
      <c r="H8169" s="12">
        <v>-1.1360293874921501</v>
      </c>
      <c r="I8169" s="20">
        <v>-0.70118007494689105</v>
      </c>
      <c r="J8169" s="28">
        <v>0.48319064283194901</v>
      </c>
      <c r="K8169" s="29">
        <v>0.98289565623980701</v>
      </c>
    </row>
    <row r="8170" spans="1:11" x14ac:dyDescent="0.35">
      <c r="A8170" s="9" t="str">
        <f>HYPERLINK("http://www.ensembl.org/id/WBGene00000536", "WBGene00000536")</f>
        <v>WBGene00000536</v>
      </c>
      <c r="B8170" s="9" t="str">
        <f>HYPERLINK("http://www.ncbi.nlm.nih.gov/gene/175729", "175729")</f>
        <v>175729</v>
      </c>
      <c r="C8170" s="9" t="str">
        <f>HYPERLINK("http://www.ncbi.nlm.nih.gov/gene/10229", "10229")</f>
        <v>10229</v>
      </c>
      <c r="D8170" t="str">
        <f>"clk-1"</f>
        <v>clk-1</v>
      </c>
      <c r="E8170" t="s">
        <v>5928</v>
      </c>
      <c r="F8170" t="s">
        <v>11</v>
      </c>
      <c r="G8170" t="s">
        <v>5929</v>
      </c>
      <c r="H8170" s="12">
        <v>1.0838754730456699</v>
      </c>
      <c r="I8170" s="20">
        <v>0.35593894085299899</v>
      </c>
      <c r="J8170" s="28">
        <v>0.72188629243694202</v>
      </c>
      <c r="K8170" s="29">
        <v>0.98289565623980701</v>
      </c>
    </row>
    <row r="8171" spans="1:11" x14ac:dyDescent="0.35">
      <c r="A8171" s="9" t="str">
        <f>HYPERLINK("http://www.ensembl.org/id/WBGene00000539", "WBGene00000539")</f>
        <v>WBGene00000539</v>
      </c>
      <c r="B8171" s="9" t="str">
        <f>HYPERLINK("http://www.ncbi.nlm.nih.gov/gene/179559", "179559")</f>
        <v>179559</v>
      </c>
      <c r="C8171" s="9" t="str">
        <f>HYPERLINK("http://www.ncbi.nlm.nih.gov/gene/1201", "1201")</f>
        <v>1201</v>
      </c>
      <c r="D8171" t="str">
        <f>"cln-3.1"</f>
        <v>cln-3.1</v>
      </c>
      <c r="E8171" t="s">
        <v>4812</v>
      </c>
      <c r="F8171" t="s">
        <v>11</v>
      </c>
      <c r="G8171" t="s">
        <v>4813</v>
      </c>
      <c r="H8171" s="12">
        <v>1.3587133302171499</v>
      </c>
      <c r="I8171" s="20">
        <v>0.86643846378848299</v>
      </c>
      <c r="J8171" s="28">
        <v>0.38624975847281001</v>
      </c>
      <c r="K8171" s="29">
        <v>0.98289565623980701</v>
      </c>
    </row>
    <row r="8172" spans="1:11" x14ac:dyDescent="0.35">
      <c r="A8172" s="9" t="str">
        <f>HYPERLINK("http://www.ensembl.org/id/WBGene00000540", "WBGene00000540")</f>
        <v>WBGene00000540</v>
      </c>
      <c r="B8172" s="9" t="str">
        <f>HYPERLINK("http://www.ncbi.nlm.nih.gov/gene/172171", "172171")</f>
        <v>172171</v>
      </c>
      <c r="C8172" s="9" t="str">
        <f>HYPERLINK("http://www.ncbi.nlm.nih.gov/gene/1201", "1201")</f>
        <v>1201</v>
      </c>
      <c r="D8172" t="str">
        <f>"cln-3.2"</f>
        <v>cln-3.2</v>
      </c>
      <c r="E8172" t="s">
        <v>4812</v>
      </c>
      <c r="F8172" t="s">
        <v>11</v>
      </c>
      <c r="G8172" t="s">
        <v>5731</v>
      </c>
      <c r="H8172" s="12">
        <v>-1.19325747111512</v>
      </c>
      <c r="I8172" s="20">
        <v>-0.83565913139195003</v>
      </c>
      <c r="J8172" s="28">
        <v>0.40334669289900399</v>
      </c>
      <c r="K8172" s="29">
        <v>0.98289565623980701</v>
      </c>
    </row>
    <row r="8173" spans="1:11" x14ac:dyDescent="0.35">
      <c r="A8173" s="9" t="str">
        <f>HYPERLINK("http://www.ensembl.org/id/WBGene00000541", "WBGene00000541")</f>
        <v>WBGene00000541</v>
      </c>
      <c r="B8173" s="9" t="str">
        <f>HYPERLINK("http://www.ncbi.nlm.nih.gov/gene/179249", "179249")</f>
        <v>179249</v>
      </c>
      <c r="C8173" s="9" t="str">
        <f>HYPERLINK("http://www.ncbi.nlm.nih.gov/gene/1201", "1201")</f>
        <v>1201</v>
      </c>
      <c r="D8173" t="str">
        <f>"cln-3.3"</f>
        <v>cln-3.3</v>
      </c>
      <c r="E8173" t="s">
        <v>4812</v>
      </c>
      <c r="F8173" t="s">
        <v>11</v>
      </c>
      <c r="G8173" t="s">
        <v>5731</v>
      </c>
      <c r="H8173" s="12">
        <v>1.1142523304976499</v>
      </c>
      <c r="I8173" s="20">
        <v>0.42059706047202</v>
      </c>
      <c r="J8173" s="28">
        <v>0.67404934059828003</v>
      </c>
      <c r="K8173" s="29">
        <v>0.98289565623980701</v>
      </c>
    </row>
    <row r="8174" spans="1:11" x14ac:dyDescent="0.35">
      <c r="A8174" s="9" t="str">
        <f>HYPERLINK("http://www.ensembl.org/id/WBGene00000543", "WBGene00000543")</f>
        <v>WBGene00000543</v>
      </c>
      <c r="B8174" s="9" t="str">
        <f>HYPERLINK("http://www.ncbi.nlm.nih.gov/gene/175618", "175618")</f>
        <v>175618</v>
      </c>
      <c r="C8174" s="9" t="str">
        <f>HYPERLINK("http://www.ncbi.nlm.nih.gov/gene/23473", "23473")</f>
        <v>23473</v>
      </c>
      <c r="D8174" t="str">
        <f>"clp-2"</f>
        <v>clp-2</v>
      </c>
      <c r="E8174" t="s">
        <v>6616</v>
      </c>
      <c r="F8174" t="s">
        <v>11</v>
      </c>
      <c r="G8174" t="s">
        <v>7043</v>
      </c>
      <c r="H8174" s="12">
        <v>-1.10419023770736</v>
      </c>
      <c r="I8174" s="20">
        <v>-0.48201783853928298</v>
      </c>
      <c r="J8174" s="28">
        <v>0.62979327415890896</v>
      </c>
      <c r="K8174" s="29">
        <v>0.98289565623980701</v>
      </c>
    </row>
    <row r="8175" spans="1:11" x14ac:dyDescent="0.35">
      <c r="A8175" s="9" t="str">
        <f>HYPERLINK("http://www.ensembl.org/id/WBGene00000544", "WBGene00000544")</f>
        <v>WBGene00000544</v>
      </c>
      <c r="B8175" s="9" t="str">
        <f>HYPERLINK("http://www.ncbi.nlm.nih.gov/gene/173089", "173089")</f>
        <v>173089</v>
      </c>
      <c r="C8175" s="9" t="str">
        <f>HYPERLINK("http://www.ncbi.nlm.nih.gov/gene/388743", "388743")</f>
        <v>388743</v>
      </c>
      <c r="D8175" t="str">
        <f>"clp-3"</f>
        <v>clp-3</v>
      </c>
      <c r="E8175" t="s">
        <v>6616</v>
      </c>
      <c r="F8175" t="s">
        <v>11</v>
      </c>
      <c r="G8175" t="s">
        <v>9992</v>
      </c>
      <c r="H8175" s="12">
        <v>-1.6051647932292401</v>
      </c>
      <c r="I8175" s="20">
        <v>-0.75668493434370399</v>
      </c>
      <c r="J8175" s="28">
        <v>0.44923864285730902</v>
      </c>
      <c r="K8175" s="29">
        <v>0.98289565623980701</v>
      </c>
    </row>
    <row r="8176" spans="1:11" x14ac:dyDescent="0.35">
      <c r="A8176" s="9" t="str">
        <f>HYPERLINK("http://www.ensembl.org/id/WBGene00000547", "WBGene00000547")</f>
        <v>WBGene00000547</v>
      </c>
      <c r="B8176" s="9" t="str">
        <f>HYPERLINK("http://www.ncbi.nlm.nih.gov/gene/176953", "176953")</f>
        <v>176953</v>
      </c>
      <c r="C8176" s="9" t="str">
        <f>HYPERLINK("http://www.ncbi.nlm.nih.gov/gene/388743", "388743")</f>
        <v>388743</v>
      </c>
      <c r="D8176" t="str">
        <f>"clp-7"</f>
        <v>clp-7</v>
      </c>
      <c r="E8176" t="s">
        <v>6616</v>
      </c>
      <c r="F8176" t="s">
        <v>11</v>
      </c>
      <c r="G8176" t="s">
        <v>6617</v>
      </c>
      <c r="H8176" s="12">
        <v>-1.08003035525321</v>
      </c>
      <c r="I8176" s="20">
        <v>-0.41638763113690502</v>
      </c>
      <c r="J8176" s="28">
        <v>0.67712637785764995</v>
      </c>
      <c r="K8176" s="29">
        <v>0.98289565623980701</v>
      </c>
    </row>
    <row r="8177" spans="1:11" x14ac:dyDescent="0.35">
      <c r="A8177" s="9" t="str">
        <f>HYPERLINK("http://www.ensembl.org/id/WBGene00009695", "WBGene00009695")</f>
        <v>WBGene00009695</v>
      </c>
      <c r="B8177" s="9" t="str">
        <f>HYPERLINK("http://www.ncbi.nlm.nih.gov/gene/185746", "185746")</f>
        <v>185746</v>
      </c>
      <c r="C8177" s="9"/>
      <c r="D8177" t="str">
        <f>"clp-8"</f>
        <v>clp-8</v>
      </c>
      <c r="E8177" t="s">
        <v>6616</v>
      </c>
      <c r="F8177" t="s">
        <v>11</v>
      </c>
      <c r="G8177" t="s">
        <v>6617</v>
      </c>
      <c r="H8177" s="12">
        <v>-1.88577461958533</v>
      </c>
      <c r="I8177" s="20">
        <v>-0.44291653689532201</v>
      </c>
      <c r="J8177" s="28">
        <v>0.657826105612489</v>
      </c>
      <c r="K8177" s="29">
        <v>0.98289565623980701</v>
      </c>
    </row>
    <row r="8178" spans="1:11" x14ac:dyDescent="0.35">
      <c r="A8178" s="9" t="str">
        <f>HYPERLINK("http://www.ensembl.org/id/WBGene00011705", "WBGene00011705")</f>
        <v>WBGene00011705</v>
      </c>
      <c r="B8178" s="9" t="str">
        <f>HYPERLINK("http://www.ncbi.nlm.nih.gov/gene/266916", "266916")</f>
        <v>266916</v>
      </c>
      <c r="C8178" s="9" t="str">
        <f>HYPERLINK("http://www.ncbi.nlm.nih.gov/gene/6650", "6650")</f>
        <v>6650</v>
      </c>
      <c r="D8178" t="str">
        <f>"clp-9"</f>
        <v>clp-9</v>
      </c>
      <c r="E8178" t="s">
        <v>6616</v>
      </c>
      <c r="F8178" t="s">
        <v>11</v>
      </c>
      <c r="G8178" t="s">
        <v>8756</v>
      </c>
      <c r="H8178" s="12">
        <v>-1.1945632679156299</v>
      </c>
      <c r="I8178" s="20">
        <v>-0.84110577062990399</v>
      </c>
      <c r="J8178" s="28">
        <v>0.40028868259233702</v>
      </c>
      <c r="K8178" s="29">
        <v>0.98289565623980701</v>
      </c>
    </row>
    <row r="8179" spans="1:11" x14ac:dyDescent="0.35">
      <c r="A8179" s="9" t="str">
        <f>HYPERLINK("http://www.ensembl.org/id/WBGene00010304", "WBGene00010304")</f>
        <v>WBGene00010304</v>
      </c>
      <c r="B8179" s="9" t="str">
        <f>HYPERLINK("http://www.ncbi.nlm.nih.gov/gene/175442", "175442")</f>
        <v>175442</v>
      </c>
      <c r="C8179" s="9" t="str">
        <f>HYPERLINK("http://www.ncbi.nlm.nih.gov/gene/10978", "10978")</f>
        <v>10978</v>
      </c>
      <c r="D8179" t="str">
        <f>"clpf-1"</f>
        <v>clpf-1</v>
      </c>
      <c r="F8179" t="s">
        <v>11</v>
      </c>
      <c r="G8179" t="s">
        <v>9770</v>
      </c>
      <c r="H8179" s="12">
        <v>-1.2987565565805399</v>
      </c>
      <c r="I8179" s="20">
        <v>-1.13555997184369</v>
      </c>
      <c r="J8179" s="28">
        <v>0.25614076930469298</v>
      </c>
      <c r="K8179" s="29">
        <v>0.98289565623980701</v>
      </c>
    </row>
    <row r="8180" spans="1:11" x14ac:dyDescent="0.35">
      <c r="A8180" s="9" t="str">
        <f>HYPERLINK("http://www.ensembl.org/id/WBGene00014172", "WBGene00014172")</f>
        <v>WBGene00014172</v>
      </c>
      <c r="B8180" s="9" t="str">
        <f>HYPERLINK("http://www.ncbi.nlm.nih.gov/gene/174594", "174594")</f>
        <v>174594</v>
      </c>
      <c r="C8180" s="9" t="str">
        <f>HYPERLINK("http://www.ncbi.nlm.nih.gov/gene/8192", "8192")</f>
        <v>8192</v>
      </c>
      <c r="D8180" t="str">
        <f>"clpp-1"</f>
        <v>clpp-1</v>
      </c>
      <c r="E8180" t="s">
        <v>9534</v>
      </c>
      <c r="F8180" t="s">
        <v>11</v>
      </c>
      <c r="G8180" t="s">
        <v>9535</v>
      </c>
      <c r="H8180" s="12">
        <v>-1.25617841918846</v>
      </c>
      <c r="I8180" s="20">
        <v>-1.0578705604509799</v>
      </c>
      <c r="J8180" s="28">
        <v>0.29011445843244499</v>
      </c>
      <c r="K8180" s="29">
        <v>0.98289565623980701</v>
      </c>
    </row>
    <row r="8181" spans="1:11" x14ac:dyDescent="0.35">
      <c r="A8181" s="9" t="str">
        <f>HYPERLINK("http://www.ensembl.org/id/WBGene00012233", "WBGene00012233")</f>
        <v>WBGene00012233</v>
      </c>
      <c r="B8181" s="9" t="str">
        <f>HYPERLINK("http://www.ncbi.nlm.nih.gov/gene/189180", "189180")</f>
        <v>189180</v>
      </c>
      <c r="C8181" s="9"/>
      <c r="D8181" t="str">
        <f>"clpr-1"</f>
        <v>clpr-1</v>
      </c>
      <c r="E8181" t="s">
        <v>10064</v>
      </c>
      <c r="F8181" t="s">
        <v>11</v>
      </c>
      <c r="G8181" t="s">
        <v>6617</v>
      </c>
      <c r="H8181" s="12">
        <v>-2.4991590031922399</v>
      </c>
      <c r="I8181" s="20">
        <v>-0.26577412737581302</v>
      </c>
      <c r="J8181" s="28">
        <v>0.79041317015736101</v>
      </c>
      <c r="K8181" s="29">
        <v>0.98289565623980701</v>
      </c>
    </row>
    <row r="8182" spans="1:11" x14ac:dyDescent="0.35">
      <c r="A8182" s="9" t="str">
        <f>HYPERLINK("http://www.ensembl.org/id/WBGene00000548", "WBGene00000548")</f>
        <v>WBGene00000548</v>
      </c>
      <c r="B8182" s="9" t="str">
        <f>HYPERLINK("http://www.ncbi.nlm.nih.gov/gene/3565419", "3565419")</f>
        <v>3565419</v>
      </c>
      <c r="C8182" s="9"/>
      <c r="D8182" t="str">
        <f>"clr-1"</f>
        <v>clr-1</v>
      </c>
      <c r="E8182" t="s">
        <v>7381</v>
      </c>
      <c r="F8182" t="s">
        <v>11</v>
      </c>
      <c r="G8182" t="s">
        <v>7382</v>
      </c>
      <c r="H8182" s="12">
        <v>-1.12293353605679</v>
      </c>
      <c r="I8182" s="20">
        <v>-0.616392257308088</v>
      </c>
      <c r="J8182" s="28">
        <v>0.53763566226494597</v>
      </c>
      <c r="K8182" s="29">
        <v>0.98289565623980701</v>
      </c>
    </row>
    <row r="8183" spans="1:11" x14ac:dyDescent="0.35">
      <c r="A8183" s="9" t="str">
        <f>HYPERLINK("http://www.ensembl.org/id/WBGene00000549", "WBGene00000549")</f>
        <v>WBGene00000549</v>
      </c>
      <c r="B8183" s="9" t="str">
        <f>HYPERLINK("http://www.ncbi.nlm.nih.gov/gene/176280", "176280")</f>
        <v>176280</v>
      </c>
      <c r="C8183" s="9" t="str">
        <f>HYPERLINK("http://www.ncbi.nlm.nih.gov/gene/23122", "23122")</f>
        <v>23122</v>
      </c>
      <c r="D8183" t="str">
        <f>"cls-2"</f>
        <v>cls-2</v>
      </c>
      <c r="F8183" t="s">
        <v>11</v>
      </c>
      <c r="H8183" s="12">
        <v>-1.0923261356123799</v>
      </c>
      <c r="I8183" s="20">
        <v>-0.482088222493187</v>
      </c>
      <c r="J8183" s="28">
        <v>0.62974327598940805</v>
      </c>
      <c r="K8183" s="29">
        <v>0.98289565623980701</v>
      </c>
    </row>
    <row r="8184" spans="1:11" x14ac:dyDescent="0.35">
      <c r="A8184" s="9" t="str">
        <f>HYPERLINK("http://www.ensembl.org/id/WBGene00009127", "WBGene00009127")</f>
        <v>WBGene00009127</v>
      </c>
      <c r="B8184" s="9" t="str">
        <f>HYPERLINK("http://www.ncbi.nlm.nih.gov/gene/172742", "172742")</f>
        <v>172742</v>
      </c>
      <c r="C8184" s="9"/>
      <c r="D8184" t="str">
        <f>"clsp-1"</f>
        <v>clsp-1</v>
      </c>
      <c r="E8184" t="s">
        <v>8504</v>
      </c>
      <c r="F8184" t="s">
        <v>11</v>
      </c>
      <c r="G8184" t="s">
        <v>8505</v>
      </c>
      <c r="H8184" s="12">
        <v>-1.1811916930353099</v>
      </c>
      <c r="I8184" s="20">
        <v>-0.78190965249292699</v>
      </c>
      <c r="J8184" s="28">
        <v>0.43426767191631599</v>
      </c>
      <c r="K8184" s="29">
        <v>0.98289565623980701</v>
      </c>
    </row>
    <row r="8185" spans="1:11" x14ac:dyDescent="0.35">
      <c r="A8185" s="9" t="str">
        <f>HYPERLINK("http://www.ensembl.org/id/WBGene00000550", "WBGene00000550")</f>
        <v>WBGene00000550</v>
      </c>
      <c r="B8185" s="9" t="str">
        <f>HYPERLINK("http://www.ncbi.nlm.nih.gov/gene/176341", "176341")</f>
        <v>176341</v>
      </c>
      <c r="C8185" s="9" t="str">
        <f>HYPERLINK("http://www.ncbi.nlm.nih.gov/gene/23277", "23277")</f>
        <v>23277</v>
      </c>
      <c r="D8185" t="str">
        <f>"clu-1"</f>
        <v>clu-1</v>
      </c>
      <c r="E8185" t="s">
        <v>9314</v>
      </c>
      <c r="F8185" t="s">
        <v>11</v>
      </c>
      <c r="G8185" t="s">
        <v>9315</v>
      </c>
      <c r="H8185" s="12">
        <v>-1.2370719826433201</v>
      </c>
      <c r="I8185" s="20">
        <v>-1.0960610251296801</v>
      </c>
      <c r="J8185" s="28">
        <v>0.273052069417205</v>
      </c>
      <c r="K8185" s="29">
        <v>0.98289565623980701</v>
      </c>
    </row>
    <row r="8186" spans="1:11" x14ac:dyDescent="0.35">
      <c r="A8186" s="9" t="str">
        <f>HYPERLINK("http://www.ensembl.org/id/WBGene00000555", "WBGene00000555")</f>
        <v>WBGene00000555</v>
      </c>
      <c r="B8186" s="9" t="str">
        <f>HYPERLINK("http://www.ncbi.nlm.nih.gov/gene/187726", "187726")</f>
        <v>187726</v>
      </c>
      <c r="C8186" s="9"/>
      <c r="D8186" t="str">
        <f>"cnc-1"</f>
        <v>cnc-1</v>
      </c>
      <c r="E8186" t="s">
        <v>251</v>
      </c>
      <c r="F8186" t="s">
        <v>11</v>
      </c>
      <c r="G8186" t="s">
        <v>2964</v>
      </c>
      <c r="H8186" s="12">
        <v>-1.36588681772071</v>
      </c>
      <c r="I8186" s="20">
        <v>-0.26038004782239499</v>
      </c>
      <c r="J8186" s="28">
        <v>0.79457063183760901</v>
      </c>
      <c r="K8186" s="29">
        <v>0.98289565623980701</v>
      </c>
    </row>
    <row r="8187" spans="1:11" x14ac:dyDescent="0.35">
      <c r="A8187" s="9" t="str">
        <f>HYPERLINK("http://www.ensembl.org/id/WBGene00000558", "WBGene00000558")</f>
        <v>WBGene00000558</v>
      </c>
      <c r="B8187" s="9" t="str">
        <f>HYPERLINK("http://www.ncbi.nlm.nih.gov/gene/178635", "178635")</f>
        <v>178635</v>
      </c>
      <c r="C8187" s="9"/>
      <c r="D8187" t="str">
        <f>"cnc-4"</f>
        <v>cnc-4</v>
      </c>
      <c r="E8187" t="s">
        <v>251</v>
      </c>
      <c r="F8187" t="s">
        <v>11</v>
      </c>
      <c r="G8187" t="s">
        <v>2964</v>
      </c>
      <c r="H8187" s="12">
        <v>1.3924682597820399</v>
      </c>
      <c r="I8187" s="20">
        <v>1.0027779192382</v>
      </c>
      <c r="J8187" s="28">
        <v>0.31596802484729403</v>
      </c>
      <c r="K8187" s="29">
        <v>0.98289565623980701</v>
      </c>
    </row>
    <row r="8188" spans="1:11" x14ac:dyDescent="0.35">
      <c r="A8188" s="9" t="str">
        <f>HYPERLINK("http://www.ensembl.org/id/WBGene00000560", "WBGene00000560")</f>
        <v>WBGene00000560</v>
      </c>
      <c r="B8188" s="9" t="str">
        <f>HYPERLINK("http://www.ncbi.nlm.nih.gov/gene/175324", "175324")</f>
        <v>175324</v>
      </c>
      <c r="C8188" s="9"/>
      <c r="D8188" t="str">
        <f>"cnc-6"</f>
        <v>cnc-6</v>
      </c>
      <c r="E8188" t="s">
        <v>251</v>
      </c>
      <c r="F8188" t="s">
        <v>11</v>
      </c>
      <c r="G8188" t="s">
        <v>264</v>
      </c>
      <c r="H8188" s="12">
        <v>6.4017502572409999</v>
      </c>
      <c r="I8188" s="20">
        <v>1.1027448077775099</v>
      </c>
      <c r="J8188" s="28">
        <v>0.27013800229653201</v>
      </c>
      <c r="K8188" s="29">
        <v>0.98289565623980701</v>
      </c>
    </row>
    <row r="8189" spans="1:11" x14ac:dyDescent="0.35">
      <c r="A8189" s="9" t="str">
        <f>HYPERLINK("http://www.ensembl.org/id/WBGene00010005", "WBGene00010005")</f>
        <v>WBGene00010005</v>
      </c>
      <c r="B8189" s="9" t="str">
        <f>HYPERLINK("http://www.ncbi.nlm.nih.gov/gene/180337", "180337")</f>
        <v>180337</v>
      </c>
      <c r="C8189" s="9"/>
      <c r="D8189" t="str">
        <f>"cnc-7"</f>
        <v>cnc-7</v>
      </c>
      <c r="E8189" t="s">
        <v>251</v>
      </c>
      <c r="F8189" t="s">
        <v>11</v>
      </c>
      <c r="G8189" t="s">
        <v>25</v>
      </c>
      <c r="H8189" s="12">
        <v>1.47096989874444</v>
      </c>
      <c r="I8189" s="20">
        <v>0.44452663330987302</v>
      </c>
      <c r="J8189" s="28">
        <v>0.65666187761986705</v>
      </c>
      <c r="K8189" s="29">
        <v>0.98289565623980701</v>
      </c>
    </row>
    <row r="8190" spans="1:11" x14ac:dyDescent="0.35">
      <c r="A8190" s="9" t="str">
        <f>HYPERLINK("http://www.ensembl.org/id/WBGene00022295", "WBGene00022295")</f>
        <v>WBGene00022295</v>
      </c>
      <c r="B8190" s="9" t="str">
        <f>HYPERLINK("http://www.ncbi.nlm.nih.gov/gene/190732", "190732")</f>
        <v>190732</v>
      </c>
      <c r="C8190" s="9"/>
      <c r="D8190" t="str">
        <f>"cng-2"</f>
        <v>cng-2</v>
      </c>
      <c r="E8190" t="s">
        <v>2925</v>
      </c>
      <c r="F8190" t="s">
        <v>11</v>
      </c>
      <c r="G8190" t="s">
        <v>4368</v>
      </c>
      <c r="H8190" s="12">
        <v>1.96574050698615</v>
      </c>
      <c r="I8190" s="20">
        <v>0.96555699912689097</v>
      </c>
      <c r="J8190" s="28">
        <v>0.33426590125875</v>
      </c>
      <c r="K8190" s="29">
        <v>0.98289565623980701</v>
      </c>
    </row>
    <row r="8191" spans="1:11" x14ac:dyDescent="0.35">
      <c r="A8191" s="9" t="str">
        <f>HYPERLINK("http://www.ensembl.org/id/WBGene00000563", "WBGene00000563")</f>
        <v>WBGene00000563</v>
      </c>
      <c r="B8191" s="9" t="str">
        <f>HYPERLINK("http://www.ncbi.nlm.nih.gov/gene/3565463", "3565463")</f>
        <v>3565463</v>
      </c>
      <c r="C8191" s="9"/>
      <c r="D8191" t="str">
        <f>"cng-3"</f>
        <v>cng-3</v>
      </c>
      <c r="E8191" t="s">
        <v>2925</v>
      </c>
      <c r="F8191" t="s">
        <v>11</v>
      </c>
      <c r="G8191" t="s">
        <v>4235</v>
      </c>
      <c r="H8191" s="12">
        <v>7.2236714458131299</v>
      </c>
      <c r="I8191" s="20">
        <v>0.781254597473658</v>
      </c>
      <c r="J8191" s="28">
        <v>0.43465276788107499</v>
      </c>
      <c r="K8191" s="29">
        <v>0.98289565623980701</v>
      </c>
    </row>
    <row r="8192" spans="1:11" x14ac:dyDescent="0.35">
      <c r="A8192" s="9" t="str">
        <f>HYPERLINK("http://www.ensembl.org/id/WBGene00011648", "WBGene00011648")</f>
        <v>WBGene00011648</v>
      </c>
      <c r="B8192" s="9" t="str">
        <f>HYPERLINK("http://www.ncbi.nlm.nih.gov/gene/179801", "179801")</f>
        <v>179801</v>
      </c>
      <c r="C8192" s="9" t="str">
        <f>HYPERLINK("http://www.ncbi.nlm.nih.gov/gene/10175", "10175")</f>
        <v>10175</v>
      </c>
      <c r="D8192" t="str">
        <f>"cni-1"</f>
        <v>cni-1</v>
      </c>
      <c r="F8192" t="s">
        <v>11</v>
      </c>
      <c r="G8192" t="s">
        <v>6655</v>
      </c>
      <c r="H8192" s="12">
        <v>-1.08331056235569</v>
      </c>
      <c r="I8192" s="20">
        <v>-0.36939639772694199</v>
      </c>
      <c r="J8192" s="28">
        <v>0.71183228262117804</v>
      </c>
      <c r="K8192" s="29">
        <v>0.98289565623980701</v>
      </c>
    </row>
    <row r="8193" spans="1:11" x14ac:dyDescent="0.35">
      <c r="A8193" s="9" t="str">
        <f>HYPERLINK("http://www.ensembl.org/id/WBGene00000564", "WBGene00000564")</f>
        <v>WBGene00000564</v>
      </c>
      <c r="B8193" s="9" t="str">
        <f>HYPERLINK("http://www.ncbi.nlm.nih.gov/gene/187518", "187518")</f>
        <v>187518</v>
      </c>
      <c r="C8193" s="9"/>
      <c r="D8193" t="str">
        <f>"cnk-1"</f>
        <v>cnk-1</v>
      </c>
      <c r="E8193" t="s">
        <v>6996</v>
      </c>
      <c r="F8193" t="s">
        <v>11</v>
      </c>
      <c r="G8193" t="s">
        <v>54</v>
      </c>
      <c r="H8193" s="12">
        <v>-1.1015883845757699</v>
      </c>
      <c r="I8193" s="20">
        <v>-0.489674462382653</v>
      </c>
      <c r="J8193" s="28">
        <v>0.624364275676484</v>
      </c>
      <c r="K8193" s="29">
        <v>0.98289565623980701</v>
      </c>
    </row>
    <row r="8194" spans="1:11" x14ac:dyDescent="0.35">
      <c r="A8194" s="9" t="str">
        <f>HYPERLINK("http://www.ensembl.org/id/WBGene00016879", "WBGene00016879")</f>
        <v>WBGene00016879</v>
      </c>
      <c r="B8194" s="9" t="str">
        <f>HYPERLINK("http://www.ncbi.nlm.nih.gov/gene/178499", "178499")</f>
        <v>178499</v>
      </c>
      <c r="C8194" s="9" t="str">
        <f>HYPERLINK("http://www.ncbi.nlm.nih.gov/gene/54805", "54805")</f>
        <v>54805</v>
      </c>
      <c r="D8194" t="str">
        <f>"cnnm-1"</f>
        <v>cnnm-1</v>
      </c>
      <c r="E8194" t="s">
        <v>5144</v>
      </c>
      <c r="F8194" t="s">
        <v>11</v>
      </c>
      <c r="H8194" s="12">
        <v>1.2304198073550801</v>
      </c>
      <c r="I8194" s="20">
        <v>0.98925364362004597</v>
      </c>
      <c r="J8194" s="28">
        <v>0.32253905839191999</v>
      </c>
      <c r="K8194" s="29">
        <v>0.98289565623980701</v>
      </c>
    </row>
    <row r="8195" spans="1:11" x14ac:dyDescent="0.35">
      <c r="A8195" s="9" t="str">
        <f>HYPERLINK("http://www.ensembl.org/id/WBGene00019869", "WBGene00019869")</f>
        <v>WBGene00019869</v>
      </c>
      <c r="B8195" s="9" t="str">
        <f>HYPERLINK("http://www.ncbi.nlm.nih.gov/gene/181129", "181129")</f>
        <v>181129</v>
      </c>
      <c r="C8195" s="9"/>
      <c r="D8195" t="str">
        <f>"cnnm-2"</f>
        <v>cnnm-2</v>
      </c>
      <c r="E8195" t="s">
        <v>9966</v>
      </c>
      <c r="F8195" t="s">
        <v>11</v>
      </c>
      <c r="H8195" s="12">
        <v>-1.50342014706245</v>
      </c>
      <c r="I8195" s="20">
        <v>-1.2092454293283099</v>
      </c>
      <c r="J8195" s="28">
        <v>0.22656856917361901</v>
      </c>
      <c r="K8195" s="29">
        <v>0.98289565623980701</v>
      </c>
    </row>
    <row r="8196" spans="1:11" x14ac:dyDescent="0.35">
      <c r="A8196" s="9" t="str">
        <f>HYPERLINK("http://www.ensembl.org/id/WBGene00011260", "WBGene00011260")</f>
        <v>WBGene00011260</v>
      </c>
      <c r="B8196" s="9" t="str">
        <f>HYPERLINK("http://www.ncbi.nlm.nih.gov/gene/187872", "187872")</f>
        <v>187872</v>
      </c>
      <c r="C8196" s="9"/>
      <c r="D8196" t="str">
        <f>"cnnm-5"</f>
        <v>cnnm-5</v>
      </c>
      <c r="E8196" t="s">
        <v>4780</v>
      </c>
      <c r="F8196" t="s">
        <v>11</v>
      </c>
      <c r="H8196" s="12">
        <v>1.3818875114772899</v>
      </c>
      <c r="I8196" s="20">
        <v>0.53546545258595801</v>
      </c>
      <c r="J8196" s="28">
        <v>0.59232804067742395</v>
      </c>
      <c r="K8196" s="29">
        <v>0.98289565623980701</v>
      </c>
    </row>
    <row r="8197" spans="1:11" x14ac:dyDescent="0.35">
      <c r="A8197" s="9" t="str">
        <f>HYPERLINK("http://www.ensembl.org/id/WBGene00012901", "WBGene00012901")</f>
        <v>WBGene00012901</v>
      </c>
      <c r="B8197" s="9" t="str">
        <f>HYPERLINK("http://www.ncbi.nlm.nih.gov/gene/174907", "174907")</f>
        <v>174907</v>
      </c>
      <c r="C8197" s="9"/>
      <c r="D8197" t="str">
        <f>"cnp-2"</f>
        <v>cnp-2</v>
      </c>
      <c r="E8197" t="s">
        <v>6132</v>
      </c>
      <c r="F8197" t="s">
        <v>11</v>
      </c>
      <c r="H8197" s="12">
        <v>1.0527200992724499</v>
      </c>
      <c r="I8197" s="20">
        <v>0.28394243256503499</v>
      </c>
      <c r="J8197" s="28">
        <v>0.77645449767214603</v>
      </c>
      <c r="K8197" s="29">
        <v>0.98289565623980701</v>
      </c>
    </row>
    <row r="8198" spans="1:11" x14ac:dyDescent="0.35">
      <c r="A8198" s="9" t="str">
        <f>HYPERLINK("http://www.ensembl.org/id/WBGene00000566", "WBGene00000566")</f>
        <v>WBGene00000566</v>
      </c>
      <c r="B8198" s="9" t="str">
        <f>HYPERLINK("http://www.ncbi.nlm.nih.gov/gene/176490", "176490")</f>
        <v>176490</v>
      </c>
      <c r="C8198" s="9" t="str">
        <f>HYPERLINK("http://www.ncbi.nlm.nih.gov/gene/116987", "116987")</f>
        <v>116987</v>
      </c>
      <c r="D8198" t="str">
        <f>"cnt-2"</f>
        <v>cnt-2</v>
      </c>
      <c r="E8198" t="s">
        <v>5724</v>
      </c>
      <c r="F8198" t="s">
        <v>11</v>
      </c>
      <c r="G8198" t="s">
        <v>5725</v>
      </c>
      <c r="H8198" s="12">
        <v>1.11526704618593</v>
      </c>
      <c r="I8198" s="20">
        <v>0.59352289999764096</v>
      </c>
      <c r="J8198" s="28">
        <v>0.55283126208619704</v>
      </c>
      <c r="K8198" s="29">
        <v>0.98289565623980701</v>
      </c>
    </row>
    <row r="8199" spans="1:11" x14ac:dyDescent="0.35">
      <c r="A8199" s="9" t="str">
        <f>HYPERLINK("http://www.ensembl.org/id/WBGene00195063", "WBGene00195063")</f>
        <v>WBGene00195063</v>
      </c>
      <c r="B8199" s="9" t="str">
        <f>HYPERLINK("http://www.ncbi.nlm.nih.gov/gene/13191872", "13191872")</f>
        <v>13191872</v>
      </c>
      <c r="C8199" s="9"/>
      <c r="D8199" t="str">
        <f>"coa-1"</f>
        <v>coa-1</v>
      </c>
      <c r="E8199" t="s">
        <v>3936</v>
      </c>
      <c r="F8199" t="s">
        <v>11</v>
      </c>
      <c r="G8199" t="s">
        <v>6580</v>
      </c>
      <c r="H8199" s="12">
        <v>-1.07766550614757</v>
      </c>
      <c r="I8199" s="20">
        <v>-0.306771264606578</v>
      </c>
      <c r="J8199" s="28">
        <v>0.75901748184000795</v>
      </c>
      <c r="K8199" s="29">
        <v>0.98289565623980701</v>
      </c>
    </row>
    <row r="8200" spans="1:11" x14ac:dyDescent="0.35">
      <c r="A8200" s="9" t="str">
        <f>HYPERLINK("http://www.ensembl.org/id/WBGene00018046", "WBGene00018046")</f>
        <v>WBGene00018046</v>
      </c>
      <c r="B8200" s="9" t="str">
        <f>HYPERLINK("http://www.ncbi.nlm.nih.gov/gene/173796", "173796")</f>
        <v>173796</v>
      </c>
      <c r="C8200" s="9"/>
      <c r="D8200" t="str">
        <f>"coa-3"</f>
        <v>coa-3</v>
      </c>
      <c r="E8200" t="s">
        <v>3936</v>
      </c>
      <c r="F8200" t="s">
        <v>11</v>
      </c>
      <c r="G8200" t="s">
        <v>9319</v>
      </c>
      <c r="H8200" s="12">
        <v>-1.2376699485854199</v>
      </c>
      <c r="I8200" s="20">
        <v>-0.87983230718896799</v>
      </c>
      <c r="J8200" s="28">
        <v>0.378950160137905</v>
      </c>
      <c r="K8200" s="29">
        <v>0.98289565623980701</v>
      </c>
    </row>
    <row r="8201" spans="1:11" x14ac:dyDescent="0.35">
      <c r="A8201" s="9" t="str">
        <f>HYPERLINK("http://www.ensembl.org/id/WBGene00011857", "WBGene00011857")</f>
        <v>WBGene00011857</v>
      </c>
      <c r="B8201" s="9" t="str">
        <f>HYPERLINK("http://www.ncbi.nlm.nih.gov/gene/177761", "177761")</f>
        <v>177761</v>
      </c>
      <c r="C8201" s="9"/>
      <c r="D8201" t="str">
        <f>"coa-4"</f>
        <v>coa-4</v>
      </c>
      <c r="E8201" t="s">
        <v>3936</v>
      </c>
      <c r="F8201" t="s">
        <v>11</v>
      </c>
      <c r="H8201" s="12">
        <v>-1.20608298485426</v>
      </c>
      <c r="I8201" s="20">
        <v>-0.77438959451637401</v>
      </c>
      <c r="J8201" s="28">
        <v>0.43870043516217899</v>
      </c>
      <c r="K8201" s="29">
        <v>0.98289565623980701</v>
      </c>
    </row>
    <row r="8202" spans="1:11" x14ac:dyDescent="0.35">
      <c r="A8202" s="9" t="str">
        <f>HYPERLINK("http://www.ensembl.org/id/WBGene00013925", "WBGene00013925")</f>
        <v>WBGene00013925</v>
      </c>
      <c r="B8202" s="9" t="str">
        <f>HYPERLINK("http://www.ncbi.nlm.nih.gov/gene/174784", "174784")</f>
        <v>174784</v>
      </c>
      <c r="C8202" s="9" t="str">
        <f>HYPERLINK("http://www.ncbi.nlm.nih.gov/gene/65260", "65260")</f>
        <v>65260</v>
      </c>
      <c r="D8202" t="str">
        <f>"coa-7"</f>
        <v>coa-7</v>
      </c>
      <c r="E8202" t="s">
        <v>8969</v>
      </c>
      <c r="F8202" t="s">
        <v>11</v>
      </c>
      <c r="G8202" t="s">
        <v>54</v>
      </c>
      <c r="H8202" s="12">
        <v>-1.2116088644095899</v>
      </c>
      <c r="I8202" s="20">
        <v>-0.85840193191178404</v>
      </c>
      <c r="J8202" s="28">
        <v>0.39067056119296001</v>
      </c>
      <c r="K8202" s="29">
        <v>0.98289565623980701</v>
      </c>
    </row>
    <row r="8203" spans="1:11" x14ac:dyDescent="0.35">
      <c r="A8203" s="9" t="str">
        <f>HYPERLINK("http://www.ensembl.org/id/WBGene00016608", "WBGene00016608")</f>
        <v>WBGene00016608</v>
      </c>
      <c r="B8203" s="9" t="str">
        <f>HYPERLINK("http://www.ncbi.nlm.nih.gov/gene/172025", "172025")</f>
        <v>172025</v>
      </c>
      <c r="C8203" s="9"/>
      <c r="D8203" t="str">
        <f>"cogc-5"</f>
        <v>cogc-5</v>
      </c>
      <c r="E8203" t="s">
        <v>3760</v>
      </c>
      <c r="F8203" t="s">
        <v>11</v>
      </c>
      <c r="G8203" t="s">
        <v>8461</v>
      </c>
      <c r="H8203" s="12">
        <v>-1.1790472578998299</v>
      </c>
      <c r="I8203" s="20">
        <v>-0.84702533424272597</v>
      </c>
      <c r="J8203" s="28">
        <v>0.39698100062776998</v>
      </c>
      <c r="K8203" s="29">
        <v>0.98289565623980701</v>
      </c>
    </row>
    <row r="8204" spans="1:11" x14ac:dyDescent="0.35">
      <c r="A8204" s="9" t="str">
        <f>HYPERLINK("http://www.ensembl.org/id/WBGene00019481", "WBGene00019481")</f>
        <v>WBGene00019481</v>
      </c>
      <c r="B8204" s="9" t="str">
        <f>HYPERLINK("http://www.ncbi.nlm.nih.gov/gene/179201", "179201")</f>
        <v>179201</v>
      </c>
      <c r="C8204" s="9"/>
      <c r="D8204" t="str">
        <f>"cogc-6"</f>
        <v>cogc-6</v>
      </c>
      <c r="E8204" t="s">
        <v>9587</v>
      </c>
      <c r="F8204" t="s">
        <v>11</v>
      </c>
      <c r="G8204" t="s">
        <v>9588</v>
      </c>
      <c r="H8204" s="12">
        <v>-1.2618727413217501</v>
      </c>
      <c r="I8204" s="20">
        <v>-1.18565833204564</v>
      </c>
      <c r="J8204" s="28">
        <v>0.235757256038994</v>
      </c>
      <c r="K8204" s="29">
        <v>0.98289565623980701</v>
      </c>
    </row>
    <row r="8205" spans="1:11" x14ac:dyDescent="0.35">
      <c r="A8205" s="9" t="str">
        <f>HYPERLINK("http://www.ensembl.org/id/WBGene00019820", "WBGene00019820")</f>
        <v>WBGene00019820</v>
      </c>
      <c r="B8205" s="9" t="str">
        <f>HYPERLINK("http://www.ncbi.nlm.nih.gov/gene/176841", "176841")</f>
        <v>176841</v>
      </c>
      <c r="C8205" s="9" t="str">
        <f>HYPERLINK("http://www.ncbi.nlm.nih.gov/gene/84342", "84342")</f>
        <v>84342</v>
      </c>
      <c r="D8205" t="str">
        <f>"cogc-8"</f>
        <v>cogc-8</v>
      </c>
      <c r="E8205" t="s">
        <v>6252</v>
      </c>
      <c r="F8205" t="s">
        <v>11</v>
      </c>
      <c r="G8205" t="s">
        <v>6253</v>
      </c>
      <c r="H8205" s="12">
        <v>-1.0569768943259501</v>
      </c>
      <c r="I8205" s="20">
        <v>-0.28653825541285199</v>
      </c>
      <c r="J8205" s="28">
        <v>0.77446589758260798</v>
      </c>
      <c r="K8205" s="29">
        <v>0.98289565623980701</v>
      </c>
    </row>
    <row r="8206" spans="1:11" x14ac:dyDescent="0.35">
      <c r="A8206" s="9" t="str">
        <f>HYPERLINK("http://www.ensembl.org/id/WBGene00000591", "WBGene00000591")</f>
        <v>WBGene00000591</v>
      </c>
      <c r="B8206" s="9" t="str">
        <f>HYPERLINK("http://www.ncbi.nlm.nih.gov/gene/181003", "181003")</f>
        <v>181003</v>
      </c>
      <c r="C8206" s="9" t="str">
        <f>HYPERLINK("http://www.ncbi.nlm.nih.gov/gene/642636", "642636")</f>
        <v>642636</v>
      </c>
      <c r="D8206" t="str">
        <f>"coh-1"</f>
        <v>coh-1</v>
      </c>
      <c r="E8206" t="s">
        <v>1228</v>
      </c>
      <c r="F8206" t="s">
        <v>11</v>
      </c>
      <c r="G8206" t="s">
        <v>6306</v>
      </c>
      <c r="H8206" s="12">
        <v>-1.0613272088346</v>
      </c>
      <c r="I8206" s="20">
        <v>-0.28442463707209398</v>
      </c>
      <c r="J8206" s="28">
        <v>0.77608498064892595</v>
      </c>
      <c r="K8206" s="29">
        <v>0.98289565623980701</v>
      </c>
    </row>
    <row r="8207" spans="1:11" x14ac:dyDescent="0.35">
      <c r="A8207" s="9" t="str">
        <f>HYPERLINK("http://www.ensembl.org/id/WBGene00021560", "WBGene00021560")</f>
        <v>WBGene00021560</v>
      </c>
      <c r="B8207" s="9" t="str">
        <f>HYPERLINK("http://www.ncbi.nlm.nih.gov/gene/178818", "178818")</f>
        <v>178818</v>
      </c>
      <c r="C8207" s="9"/>
      <c r="D8207" t="str">
        <f>"coh-4"</f>
        <v>coh-4</v>
      </c>
      <c r="E8207" t="s">
        <v>1228</v>
      </c>
      <c r="F8207" t="s">
        <v>11</v>
      </c>
      <c r="G8207" t="s">
        <v>1229</v>
      </c>
      <c r="H8207" s="12">
        <v>-1.3989391108017699</v>
      </c>
      <c r="I8207" s="20">
        <v>-1.1522061484819699</v>
      </c>
      <c r="J8207" s="28">
        <v>0.249236371719742</v>
      </c>
      <c r="K8207" s="29">
        <v>0.98289565623980701</v>
      </c>
    </row>
    <row r="8208" spans="1:11" x14ac:dyDescent="0.35">
      <c r="A8208" s="9" t="str">
        <f>HYPERLINK("http://www.ensembl.org/id/WBGene00000679", "WBGene00000679")</f>
        <v>WBGene00000679</v>
      </c>
      <c r="B8208" s="9" t="str">
        <f>HYPERLINK("http://www.ncbi.nlm.nih.gov/gene/186529", "186529")</f>
        <v>186529</v>
      </c>
      <c r="C8208" s="9"/>
      <c r="D8208" t="str">
        <f>"col-105"</f>
        <v>col-105</v>
      </c>
      <c r="E8208" t="s">
        <v>40</v>
      </c>
      <c r="F8208" t="s">
        <v>11</v>
      </c>
      <c r="G8208" t="s">
        <v>94</v>
      </c>
      <c r="H8208" s="12">
        <v>3.3054997365195802</v>
      </c>
      <c r="I8208" s="20">
        <v>1.06932941876863</v>
      </c>
      <c r="J8208" s="28">
        <v>0.28492125894132397</v>
      </c>
      <c r="K8208" s="29">
        <v>0.98289565623980701</v>
      </c>
    </row>
    <row r="8209" spans="1:11" x14ac:dyDescent="0.35">
      <c r="A8209" s="9" t="str">
        <f>HYPERLINK("http://www.ensembl.org/id/WBGene00000682", "WBGene00000682")</f>
        <v>WBGene00000682</v>
      </c>
      <c r="B8209" s="9" t="str">
        <f>HYPERLINK("http://www.ncbi.nlm.nih.gov/gene/176985", "176985")</f>
        <v>176985</v>
      </c>
      <c r="C8209" s="9"/>
      <c r="D8209" t="str">
        <f>"col-108"</f>
        <v>col-108</v>
      </c>
      <c r="E8209" t="s">
        <v>40</v>
      </c>
      <c r="F8209" t="s">
        <v>11</v>
      </c>
      <c r="G8209" t="s">
        <v>41</v>
      </c>
      <c r="H8209" s="12">
        <v>-1.79997062549088</v>
      </c>
      <c r="I8209" s="20">
        <v>-0.52542033938680299</v>
      </c>
      <c r="J8209" s="28">
        <v>0.59929101731300205</v>
      </c>
      <c r="K8209" s="29">
        <v>0.98289565623980701</v>
      </c>
    </row>
    <row r="8210" spans="1:11" x14ac:dyDescent="0.35">
      <c r="A8210" s="9" t="str">
        <f>HYPERLINK("http://www.ensembl.org/id/WBGene00000683", "WBGene00000683")</f>
        <v>WBGene00000683</v>
      </c>
      <c r="B8210" s="9" t="str">
        <f>HYPERLINK("http://www.ncbi.nlm.nih.gov/gene/176988", "176988")</f>
        <v>176988</v>
      </c>
      <c r="C8210" s="9"/>
      <c r="D8210" t="str">
        <f>"col-109"</f>
        <v>col-109</v>
      </c>
      <c r="E8210" t="s">
        <v>40</v>
      </c>
      <c r="F8210" t="s">
        <v>11</v>
      </c>
      <c r="G8210" t="s">
        <v>9704</v>
      </c>
      <c r="H8210" s="12">
        <v>-1.2839464017479101</v>
      </c>
      <c r="I8210" s="20">
        <v>-0.50942493033382397</v>
      </c>
      <c r="J8210" s="28">
        <v>0.61045440532606599</v>
      </c>
      <c r="K8210" s="29">
        <v>0.98289565623980701</v>
      </c>
    </row>
    <row r="8211" spans="1:11" x14ac:dyDescent="0.35">
      <c r="A8211" s="9" t="str">
        <f>HYPERLINK("http://www.ensembl.org/id/WBGene00000688", "WBGene00000688")</f>
        <v>WBGene00000688</v>
      </c>
      <c r="B8211" s="9" t="str">
        <f>HYPERLINK("http://www.ncbi.nlm.nih.gov/gene/177500", "177500")</f>
        <v>177500</v>
      </c>
      <c r="C8211" s="9"/>
      <c r="D8211" t="str">
        <f>"col-114"</f>
        <v>col-114</v>
      </c>
      <c r="E8211" t="s">
        <v>40</v>
      </c>
      <c r="F8211" t="s">
        <v>11</v>
      </c>
      <c r="G8211" t="s">
        <v>41</v>
      </c>
      <c r="H8211" s="12">
        <v>-5.1378819527527098</v>
      </c>
      <c r="I8211" s="20">
        <v>-0.83984993454339496</v>
      </c>
      <c r="J8211" s="28">
        <v>0.40099253166789001</v>
      </c>
      <c r="K8211" s="29">
        <v>0.98289565623980701</v>
      </c>
    </row>
    <row r="8212" spans="1:11" x14ac:dyDescent="0.35">
      <c r="A8212" s="9" t="str">
        <f>HYPERLINK("http://www.ensembl.org/id/WBGene00000689", "WBGene00000689")</f>
        <v>WBGene00000689</v>
      </c>
      <c r="B8212" s="9" t="str">
        <f>HYPERLINK("http://www.ncbi.nlm.nih.gov/gene/189843", "189843")</f>
        <v>189843</v>
      </c>
      <c r="C8212" s="9"/>
      <c r="D8212" t="str">
        <f>"col-115"</f>
        <v>col-115</v>
      </c>
      <c r="E8212" t="s">
        <v>40</v>
      </c>
      <c r="F8212" t="s">
        <v>11</v>
      </c>
      <c r="G8212" t="s">
        <v>4335</v>
      </c>
      <c r="H8212" s="12">
        <v>-1.84588239158312</v>
      </c>
      <c r="I8212" s="20">
        <v>-0.952560728381176</v>
      </c>
      <c r="J8212" s="28">
        <v>0.34081268293258699</v>
      </c>
      <c r="K8212" s="29">
        <v>0.98289565623980701</v>
      </c>
    </row>
    <row r="8213" spans="1:11" x14ac:dyDescent="0.35">
      <c r="A8213" s="9" t="str">
        <f>HYPERLINK("http://www.ensembl.org/id/WBGene00000690", "WBGene00000690")</f>
        <v>WBGene00000690</v>
      </c>
      <c r="B8213" s="9" t="str">
        <f>HYPERLINK("http://www.ncbi.nlm.nih.gov/gene/184617", "184617")</f>
        <v>184617</v>
      </c>
      <c r="C8213" s="9"/>
      <c r="D8213" t="str">
        <f>"col-116"</f>
        <v>col-116</v>
      </c>
      <c r="E8213" t="s">
        <v>40</v>
      </c>
      <c r="F8213" t="s">
        <v>11</v>
      </c>
      <c r="G8213" t="s">
        <v>152</v>
      </c>
      <c r="H8213" s="12">
        <v>-1.14335643867246</v>
      </c>
      <c r="I8213" s="20">
        <v>-0.65903540004200201</v>
      </c>
      <c r="J8213" s="28">
        <v>0.50987303675388695</v>
      </c>
      <c r="K8213" s="29">
        <v>0.98289565623980701</v>
      </c>
    </row>
    <row r="8214" spans="1:11" x14ac:dyDescent="0.35">
      <c r="A8214" s="9" t="str">
        <f>HYPERLINK("http://www.ensembl.org/id/WBGene00000691", "WBGene00000691")</f>
        <v>WBGene00000691</v>
      </c>
      <c r="B8214" s="9" t="str">
        <f>HYPERLINK("http://www.ncbi.nlm.nih.gov/gene/177694", "177694")</f>
        <v>177694</v>
      </c>
      <c r="C8214" s="9"/>
      <c r="D8214" t="str">
        <f>"col-117"</f>
        <v>col-117</v>
      </c>
      <c r="E8214" t="s">
        <v>7991</v>
      </c>
      <c r="F8214" t="s">
        <v>11</v>
      </c>
      <c r="G8214" t="s">
        <v>7992</v>
      </c>
      <c r="H8214" s="12">
        <v>-1.8678951164295301</v>
      </c>
      <c r="I8214" s="20">
        <v>-0.59546437516798401</v>
      </c>
      <c r="J8214" s="28">
        <v>0.55153310545206402</v>
      </c>
      <c r="K8214" s="29">
        <v>0.98289565623980701</v>
      </c>
    </row>
    <row r="8215" spans="1:11" x14ac:dyDescent="0.35">
      <c r="A8215" s="9" t="str">
        <f>HYPERLINK("http://www.ensembl.org/id/WBGene00000694", "WBGene00000694")</f>
        <v>WBGene00000694</v>
      </c>
      <c r="B8215" s="9" t="str">
        <f>HYPERLINK("http://www.ncbi.nlm.nih.gov/gene/177748", "177748")</f>
        <v>177748</v>
      </c>
      <c r="C8215" s="9"/>
      <c r="D8215" t="str">
        <f>"col-120"</f>
        <v>col-120</v>
      </c>
      <c r="E8215" t="s">
        <v>40</v>
      </c>
      <c r="F8215" t="s">
        <v>11</v>
      </c>
      <c r="G8215" t="s">
        <v>41</v>
      </c>
      <c r="H8215" s="12">
        <v>1.9084731191266999</v>
      </c>
      <c r="I8215" s="20">
        <v>0.65300727955886395</v>
      </c>
      <c r="J8215" s="28">
        <v>0.51375158551702804</v>
      </c>
      <c r="K8215" s="29">
        <v>0.98289565623980701</v>
      </c>
    </row>
    <row r="8216" spans="1:11" x14ac:dyDescent="0.35">
      <c r="A8216" s="9" t="str">
        <f>HYPERLINK("http://www.ensembl.org/id/WBGene00000697", "WBGene00000697")</f>
        <v>WBGene00000697</v>
      </c>
      <c r="B8216" s="9" t="str">
        <f>HYPERLINK("http://www.ncbi.nlm.nih.gov/gene/177823", "177823")</f>
        <v>177823</v>
      </c>
      <c r="C8216" s="9"/>
      <c r="D8216" t="str">
        <f>"col-123"</f>
        <v>col-123</v>
      </c>
      <c r="E8216" t="s">
        <v>40</v>
      </c>
      <c r="F8216" t="s">
        <v>11</v>
      </c>
      <c r="G8216" t="s">
        <v>10062</v>
      </c>
      <c r="H8216" s="12">
        <v>-2.4991590031922399</v>
      </c>
      <c r="I8216" s="20">
        <v>-0.26577412737581302</v>
      </c>
      <c r="J8216" s="28">
        <v>0.79041317015736101</v>
      </c>
      <c r="K8216" s="29">
        <v>0.98289565623980701</v>
      </c>
    </row>
    <row r="8217" spans="1:11" x14ac:dyDescent="0.35">
      <c r="A8217" s="9" t="str">
        <f>HYPERLINK("http://www.ensembl.org/id/WBGene00000701", "WBGene00000701")</f>
        <v>WBGene00000701</v>
      </c>
      <c r="B8217" s="9" t="str">
        <f>HYPERLINK("http://www.ncbi.nlm.nih.gov/gene/186228", "186228")</f>
        <v>186228</v>
      </c>
      <c r="C8217" s="9"/>
      <c r="D8217" t="str">
        <f>"col-127"</f>
        <v>col-127</v>
      </c>
      <c r="E8217" t="s">
        <v>40</v>
      </c>
      <c r="F8217" t="s">
        <v>11</v>
      </c>
      <c r="G8217" t="s">
        <v>152</v>
      </c>
      <c r="H8217" s="12">
        <v>5.4058944669092801</v>
      </c>
      <c r="I8217" s="20">
        <v>0.49762513753689303</v>
      </c>
      <c r="J8217" s="28">
        <v>0.61874828254921799</v>
      </c>
      <c r="K8217" s="29">
        <v>0.98289565623980701</v>
      </c>
    </row>
    <row r="8218" spans="1:11" x14ac:dyDescent="0.35">
      <c r="A8218" s="9" t="str">
        <f>HYPERLINK("http://www.ensembl.org/id/WBGene00000702", "WBGene00000702")</f>
        <v>WBGene00000702</v>
      </c>
      <c r="B8218" s="9" t="str">
        <f>HYPERLINK("http://www.ncbi.nlm.nih.gov/gene/178076", "178076")</f>
        <v>178076</v>
      </c>
      <c r="C8218" s="9"/>
      <c r="D8218" t="str">
        <f>"col-128"</f>
        <v>col-128</v>
      </c>
      <c r="E8218" t="s">
        <v>40</v>
      </c>
      <c r="F8218" t="s">
        <v>11</v>
      </c>
      <c r="G8218" t="s">
        <v>4335</v>
      </c>
      <c r="H8218" s="12">
        <v>2.9169563287025899</v>
      </c>
      <c r="I8218" s="20">
        <v>0.91789973955507898</v>
      </c>
      <c r="J8218" s="28">
        <v>0.35867135802433903</v>
      </c>
      <c r="K8218" s="29">
        <v>0.98289565623980701</v>
      </c>
    </row>
    <row r="8219" spans="1:11" x14ac:dyDescent="0.35">
      <c r="A8219" s="9" t="str">
        <f>HYPERLINK("http://www.ensembl.org/id/WBGene00000704", "WBGene00000704")</f>
        <v>WBGene00000704</v>
      </c>
      <c r="B8219" s="9" t="str">
        <f>HYPERLINK("http://www.ncbi.nlm.nih.gov/gene/178193", "178193")</f>
        <v>178193</v>
      </c>
      <c r="C8219" s="9"/>
      <c r="D8219" t="str">
        <f>"col-130"</f>
        <v>col-130</v>
      </c>
      <c r="E8219" t="s">
        <v>40</v>
      </c>
      <c r="F8219" t="s">
        <v>11</v>
      </c>
      <c r="G8219" t="s">
        <v>41</v>
      </c>
      <c r="H8219" s="12">
        <v>-1.45862194537666</v>
      </c>
      <c r="I8219" s="20">
        <v>-1.04362289433128</v>
      </c>
      <c r="J8219" s="28">
        <v>0.29665989629343598</v>
      </c>
      <c r="K8219" s="29">
        <v>0.98289565623980701</v>
      </c>
    </row>
    <row r="8220" spans="1:11" x14ac:dyDescent="0.35">
      <c r="A8220" s="9" t="str">
        <f>HYPERLINK("http://www.ensembl.org/id/WBGene00000708", "WBGene00000708")</f>
        <v>WBGene00000708</v>
      </c>
      <c r="B8220" s="9" t="str">
        <f>HYPERLINK("http://www.ncbi.nlm.nih.gov/gene/3565413", "3565413")</f>
        <v>3565413</v>
      </c>
      <c r="C8220" s="9"/>
      <c r="D8220" t="str">
        <f>"col-135"</f>
        <v>col-135</v>
      </c>
      <c r="E8220" t="s">
        <v>40</v>
      </c>
      <c r="F8220" t="s">
        <v>11</v>
      </c>
      <c r="G8220" t="s">
        <v>4224</v>
      </c>
      <c r="H8220" s="12">
        <v>1.09536215056298</v>
      </c>
      <c r="I8220" s="20">
        <v>0.47063059560500897</v>
      </c>
      <c r="J8220" s="28">
        <v>0.63790455491214104</v>
      </c>
      <c r="K8220" s="29">
        <v>0.98289565623980701</v>
      </c>
    </row>
    <row r="8221" spans="1:11" x14ac:dyDescent="0.35">
      <c r="A8221" s="9" t="str">
        <f>HYPERLINK("http://www.ensembl.org/id/WBGene00000709", "WBGene00000709")</f>
        <v>WBGene00000709</v>
      </c>
      <c r="B8221" s="9"/>
      <c r="C8221" s="9"/>
      <c r="D8221" t="str">
        <f>"col-136"</f>
        <v>col-136</v>
      </c>
      <c r="F8221" t="s">
        <v>80</v>
      </c>
      <c r="H8221" s="12">
        <v>-2.8607010747828001</v>
      </c>
      <c r="I8221" s="20">
        <v>-0.44950101976867601</v>
      </c>
      <c r="J8221" s="28">
        <v>0.65307027261219397</v>
      </c>
      <c r="K8221" s="29">
        <v>0.98289565623980701</v>
      </c>
    </row>
    <row r="8222" spans="1:11" x14ac:dyDescent="0.35">
      <c r="A8222" s="9" t="str">
        <f>HYPERLINK("http://www.ensembl.org/id/WBGene00000710", "WBGene00000710")</f>
        <v>WBGene00000710</v>
      </c>
      <c r="B8222" s="9" t="str">
        <f>HYPERLINK("http://www.ncbi.nlm.nih.gov/gene/190149", "190149")</f>
        <v>190149</v>
      </c>
      <c r="C8222" s="9"/>
      <c r="D8222" t="str">
        <f>"col-137"</f>
        <v>col-137</v>
      </c>
      <c r="E8222" t="s">
        <v>40</v>
      </c>
      <c r="F8222" t="s">
        <v>11</v>
      </c>
      <c r="G8222" t="s">
        <v>41</v>
      </c>
      <c r="H8222" s="12">
        <v>2.6224705946786901</v>
      </c>
      <c r="I8222" s="20">
        <v>0.32440394850383503</v>
      </c>
      <c r="J8222" s="28">
        <v>0.74563223077784602</v>
      </c>
      <c r="K8222" s="29">
        <v>0.98289565623980701</v>
      </c>
    </row>
    <row r="8223" spans="1:11" x14ac:dyDescent="0.35">
      <c r="A8223" s="9" t="str">
        <f>HYPERLINK("http://www.ensembl.org/id/WBGene00000712", "WBGene00000712")</f>
        <v>WBGene00000712</v>
      </c>
      <c r="B8223" s="9" t="str">
        <f>HYPERLINK("http://www.ncbi.nlm.nih.gov/gene/178857", "178857")</f>
        <v>178857</v>
      </c>
      <c r="C8223" s="9"/>
      <c r="D8223" t="str">
        <f>"col-139"</f>
        <v>col-139</v>
      </c>
      <c r="E8223" t="s">
        <v>40</v>
      </c>
      <c r="F8223" t="s">
        <v>11</v>
      </c>
      <c r="G8223" t="s">
        <v>41</v>
      </c>
      <c r="H8223" s="12">
        <v>1.2087942581258699</v>
      </c>
      <c r="I8223" s="20">
        <v>0.86931206581990905</v>
      </c>
      <c r="J8223" s="28">
        <v>0.38467646507026998</v>
      </c>
      <c r="K8223" s="29">
        <v>0.98289565623980701</v>
      </c>
    </row>
    <row r="8224" spans="1:11" x14ac:dyDescent="0.35">
      <c r="A8224" s="9" t="str">
        <f>HYPERLINK("http://www.ensembl.org/id/WBGene00000718", "WBGene00000718")</f>
        <v>WBGene00000718</v>
      </c>
      <c r="B8224" s="9" t="str">
        <f>HYPERLINK("http://www.ncbi.nlm.nih.gov/gene/179297", "179297")</f>
        <v>179297</v>
      </c>
      <c r="C8224" s="9"/>
      <c r="D8224" t="str">
        <f>"col-145"</f>
        <v>col-145</v>
      </c>
      <c r="E8224" t="s">
        <v>4508</v>
      </c>
      <c r="F8224" t="s">
        <v>11</v>
      </c>
      <c r="G8224" t="s">
        <v>152</v>
      </c>
      <c r="H8224" s="12">
        <v>1.8107392811310801</v>
      </c>
      <c r="I8224" s="20">
        <v>0.71676755343126297</v>
      </c>
      <c r="J8224" s="28">
        <v>0.47351753537263702</v>
      </c>
      <c r="K8224" s="29">
        <v>0.98289565623980701</v>
      </c>
    </row>
    <row r="8225" spans="1:11" x14ac:dyDescent="0.35">
      <c r="A8225" s="9" t="str">
        <f>HYPERLINK("http://www.ensembl.org/id/WBGene00000719", "WBGene00000719")</f>
        <v>WBGene00000719</v>
      </c>
      <c r="B8225" s="9" t="str">
        <f>HYPERLINK("http://www.ncbi.nlm.nih.gov/gene/188178", "188178")</f>
        <v>188178</v>
      </c>
      <c r="C8225" s="9"/>
      <c r="D8225" t="str">
        <f>"col-146"</f>
        <v>col-146</v>
      </c>
      <c r="E8225" t="s">
        <v>40</v>
      </c>
      <c r="F8225" t="s">
        <v>11</v>
      </c>
      <c r="G8225" t="s">
        <v>41</v>
      </c>
      <c r="H8225" s="12">
        <v>1.53482234504807</v>
      </c>
      <c r="I8225" s="20">
        <v>0.464283354022901</v>
      </c>
      <c r="J8225" s="28">
        <v>0.64244474847383803</v>
      </c>
      <c r="K8225" s="29">
        <v>0.98289565623980701</v>
      </c>
    </row>
    <row r="8226" spans="1:11" x14ac:dyDescent="0.35">
      <c r="A8226" s="9" t="str">
        <f>HYPERLINK("http://www.ensembl.org/id/WBGene00000720", "WBGene00000720")</f>
        <v>WBGene00000720</v>
      </c>
      <c r="B8226" s="9" t="str">
        <f>HYPERLINK("http://www.ncbi.nlm.nih.gov/gene/179351", "179351")</f>
        <v>179351</v>
      </c>
      <c r="C8226" s="9"/>
      <c r="D8226" t="str">
        <f>"col-147"</f>
        <v>col-147</v>
      </c>
      <c r="E8226" t="s">
        <v>40</v>
      </c>
      <c r="F8226" t="s">
        <v>11</v>
      </c>
      <c r="G8226" t="s">
        <v>41</v>
      </c>
      <c r="H8226" s="12">
        <v>1.2087905749640899</v>
      </c>
      <c r="I8226" s="20">
        <v>0.50344286769789504</v>
      </c>
      <c r="J8226" s="28">
        <v>0.61465293893072603</v>
      </c>
      <c r="K8226" s="29">
        <v>0.98289565623980701</v>
      </c>
    </row>
    <row r="8227" spans="1:11" x14ac:dyDescent="0.35">
      <c r="A8227" s="9" t="str">
        <f>HYPERLINK("http://www.ensembl.org/id/WBGene00000725", "WBGene00000725")</f>
        <v>WBGene00000725</v>
      </c>
      <c r="B8227" s="9" t="str">
        <f>HYPERLINK("http://www.ncbi.nlm.nih.gov/gene/185212", "185212")</f>
        <v>185212</v>
      </c>
      <c r="C8227" s="9"/>
      <c r="D8227" t="str">
        <f>"col-152"</f>
        <v>col-152</v>
      </c>
      <c r="E8227" t="s">
        <v>40</v>
      </c>
      <c r="F8227" t="s">
        <v>11</v>
      </c>
      <c r="G8227" t="s">
        <v>41</v>
      </c>
      <c r="H8227" s="12">
        <v>3.5604265844901599</v>
      </c>
      <c r="I8227" s="20">
        <v>1.0817913089917199</v>
      </c>
      <c r="J8227" s="28">
        <v>0.27934526928115</v>
      </c>
      <c r="K8227" s="29">
        <v>0.98289565623980701</v>
      </c>
    </row>
    <row r="8228" spans="1:11" x14ac:dyDescent="0.35">
      <c r="A8228" s="9" t="str">
        <f>HYPERLINK("http://www.ensembl.org/id/WBGene00000726", "WBGene00000726")</f>
        <v>WBGene00000726</v>
      </c>
      <c r="B8228" s="9" t="str">
        <f>HYPERLINK("http://www.ncbi.nlm.nih.gov/gene/179517", "179517")</f>
        <v>179517</v>
      </c>
      <c r="C8228" s="9"/>
      <c r="D8228" t="str">
        <f>"col-153"</f>
        <v>col-153</v>
      </c>
      <c r="E8228" t="s">
        <v>40</v>
      </c>
      <c r="F8228" t="s">
        <v>11</v>
      </c>
      <c r="G8228" t="s">
        <v>5189</v>
      </c>
      <c r="H8228" s="12">
        <v>1.21884842581872</v>
      </c>
      <c r="I8228" s="20">
        <v>1.0651395314638801</v>
      </c>
      <c r="J8228" s="28">
        <v>0.28681279243785901</v>
      </c>
      <c r="K8228" s="29">
        <v>0.98289565623980701</v>
      </c>
    </row>
    <row r="8229" spans="1:11" x14ac:dyDescent="0.35">
      <c r="A8229" s="9" t="str">
        <f>HYPERLINK("http://www.ensembl.org/id/WBGene00000731", "WBGene00000731")</f>
        <v>WBGene00000731</v>
      </c>
      <c r="B8229" s="9" t="str">
        <f>HYPERLINK("http://www.ncbi.nlm.nih.gov/gene/179619", "179619")</f>
        <v>179619</v>
      </c>
      <c r="C8229" s="9"/>
      <c r="D8229" t="str">
        <f>"col-158"</f>
        <v>col-158</v>
      </c>
      <c r="E8229" t="s">
        <v>40</v>
      </c>
      <c r="F8229" t="s">
        <v>11</v>
      </c>
      <c r="G8229" t="s">
        <v>10076</v>
      </c>
      <c r="H8229" s="12">
        <v>-2.63036387914631</v>
      </c>
      <c r="I8229" s="20">
        <v>-0.90829414376954698</v>
      </c>
      <c r="J8229" s="28">
        <v>0.36372283574651798</v>
      </c>
      <c r="K8229" s="29">
        <v>0.98289565623980701</v>
      </c>
    </row>
    <row r="8230" spans="1:11" x14ac:dyDescent="0.35">
      <c r="A8230" s="9" t="str">
        <f>HYPERLINK("http://www.ensembl.org/id/WBGene00000736", "WBGene00000736")</f>
        <v>WBGene00000736</v>
      </c>
      <c r="B8230" s="9" t="str">
        <f>HYPERLINK("http://www.ncbi.nlm.nih.gov/gene/3564794", "3564794")</f>
        <v>3564794</v>
      </c>
      <c r="C8230" s="9"/>
      <c r="D8230" t="str">
        <f>"col-163"</f>
        <v>col-163</v>
      </c>
      <c r="E8230" t="s">
        <v>40</v>
      </c>
      <c r="F8230" t="s">
        <v>11</v>
      </c>
      <c r="G8230" t="s">
        <v>52</v>
      </c>
      <c r="H8230" s="12">
        <v>3.17250653687534</v>
      </c>
      <c r="I8230" s="20">
        <v>0.91768905701438197</v>
      </c>
      <c r="J8230" s="28">
        <v>0.35878167830994401</v>
      </c>
      <c r="K8230" s="29">
        <v>0.98289565623980701</v>
      </c>
    </row>
    <row r="8231" spans="1:11" x14ac:dyDescent="0.35">
      <c r="A8231" s="9" t="str">
        <f>HYPERLINK("http://www.ensembl.org/id/WBGene00000737", "WBGene00000737")</f>
        <v>WBGene00000737</v>
      </c>
      <c r="B8231" s="9" t="str">
        <f>HYPERLINK("http://www.ncbi.nlm.nih.gov/gene/180523", "180523")</f>
        <v>180523</v>
      </c>
      <c r="C8231" s="9"/>
      <c r="D8231" t="str">
        <f>"col-164"</f>
        <v>col-164</v>
      </c>
      <c r="E8231" t="s">
        <v>40</v>
      </c>
      <c r="F8231" t="s">
        <v>11</v>
      </c>
      <c r="G8231" t="s">
        <v>41</v>
      </c>
      <c r="H8231" s="12">
        <v>-1.48691827907134</v>
      </c>
      <c r="I8231" s="20">
        <v>-0.35462535190183397</v>
      </c>
      <c r="J8231" s="28">
        <v>0.72287028093726302</v>
      </c>
      <c r="K8231" s="29">
        <v>0.98289565623980701</v>
      </c>
    </row>
    <row r="8232" spans="1:11" x14ac:dyDescent="0.35">
      <c r="A8232" s="9" t="str">
        <f>HYPERLINK("http://www.ensembl.org/id/WBGene00000740", "WBGene00000740")</f>
        <v>WBGene00000740</v>
      </c>
      <c r="B8232" s="9" t="str">
        <f>HYPERLINK("http://www.ncbi.nlm.nih.gov/gene/180907", "180907")</f>
        <v>180907</v>
      </c>
      <c r="C8232" s="9"/>
      <c r="D8232" t="str">
        <f>"col-167"</f>
        <v>col-167</v>
      </c>
      <c r="E8232" t="s">
        <v>40</v>
      </c>
      <c r="F8232" t="s">
        <v>11</v>
      </c>
      <c r="G8232" t="s">
        <v>41</v>
      </c>
      <c r="H8232" s="12">
        <v>-2.1306007442413799</v>
      </c>
      <c r="I8232" s="20">
        <v>-1.13228533537637</v>
      </c>
      <c r="J8232" s="28">
        <v>0.257514493364006</v>
      </c>
      <c r="K8232" s="29">
        <v>0.98289565623980701</v>
      </c>
    </row>
    <row r="8233" spans="1:11" x14ac:dyDescent="0.35">
      <c r="A8233" s="9" t="str">
        <f>HYPERLINK("http://www.ensembl.org/id/WBGene00000741", "WBGene00000741")</f>
        <v>WBGene00000741</v>
      </c>
      <c r="B8233" s="9" t="str">
        <f>HYPERLINK("http://www.ncbi.nlm.nih.gov/gene/180908", "180908")</f>
        <v>180908</v>
      </c>
      <c r="C8233" s="9"/>
      <c r="D8233" t="str">
        <f>"col-168"</f>
        <v>col-168</v>
      </c>
      <c r="E8233" t="s">
        <v>40</v>
      </c>
      <c r="F8233" t="s">
        <v>11</v>
      </c>
      <c r="G8233" t="s">
        <v>41</v>
      </c>
      <c r="H8233" s="12">
        <v>-2.92556351508853</v>
      </c>
      <c r="I8233" s="20">
        <v>-0.72560543031425595</v>
      </c>
      <c r="J8233" s="28">
        <v>0.46808069116462803</v>
      </c>
      <c r="K8233" s="29">
        <v>0.98289565623980701</v>
      </c>
    </row>
    <row r="8234" spans="1:11" x14ac:dyDescent="0.35">
      <c r="A8234" s="9" t="str">
        <f>HYPERLINK("http://www.ensembl.org/id/WBGene00000742", "WBGene00000742")</f>
        <v>WBGene00000742</v>
      </c>
      <c r="B8234" s="9" t="str">
        <f>HYPERLINK("http://www.ncbi.nlm.nih.gov/gene/180909", "180909")</f>
        <v>180909</v>
      </c>
      <c r="C8234" s="9"/>
      <c r="D8234" t="str">
        <f>"col-169"</f>
        <v>col-169</v>
      </c>
      <c r="E8234" t="s">
        <v>40</v>
      </c>
      <c r="F8234" t="s">
        <v>11</v>
      </c>
      <c r="G8234" t="s">
        <v>41</v>
      </c>
      <c r="H8234" s="12">
        <v>-1.8527947811016099</v>
      </c>
      <c r="I8234" s="20">
        <v>-0.64886398722484695</v>
      </c>
      <c r="J8234" s="28">
        <v>0.51642629389625805</v>
      </c>
      <c r="K8234" s="29">
        <v>0.98289565623980701</v>
      </c>
    </row>
    <row r="8235" spans="1:11" x14ac:dyDescent="0.35">
      <c r="A8235" s="9" t="str">
        <f>HYPERLINK("http://www.ensembl.org/id/WBGene00000744", "WBGene00000744")</f>
        <v>WBGene00000744</v>
      </c>
      <c r="B8235" s="9" t="str">
        <f>HYPERLINK("http://www.ncbi.nlm.nih.gov/gene/353463", "353463")</f>
        <v>353463</v>
      </c>
      <c r="C8235" s="9"/>
      <c r="D8235" t="str">
        <f>"col-171"</f>
        <v>col-171</v>
      </c>
      <c r="E8235" t="s">
        <v>40</v>
      </c>
      <c r="F8235" t="s">
        <v>11</v>
      </c>
      <c r="G8235" t="s">
        <v>41</v>
      </c>
      <c r="H8235" s="12">
        <v>3.5227018545059199</v>
      </c>
      <c r="I8235" s="20">
        <v>0.36849691206929103</v>
      </c>
      <c r="J8235" s="28">
        <v>0.71250274722433404</v>
      </c>
      <c r="K8235" s="29">
        <v>0.98289565623980701</v>
      </c>
    </row>
    <row r="8236" spans="1:11" x14ac:dyDescent="0.35">
      <c r="A8236" s="9" t="str">
        <f>HYPERLINK("http://www.ensembl.org/id/WBGene00000750", "WBGene00000750")</f>
        <v>WBGene00000750</v>
      </c>
      <c r="B8236" s="9" t="str">
        <f>HYPERLINK("http://www.ncbi.nlm.nih.gov/gene/181290", "181290")</f>
        <v>181290</v>
      </c>
      <c r="C8236" s="9"/>
      <c r="D8236" t="str">
        <f>"col-177"</f>
        <v>col-177</v>
      </c>
      <c r="E8236" t="s">
        <v>40</v>
      </c>
      <c r="F8236" t="s">
        <v>11</v>
      </c>
      <c r="G8236" t="s">
        <v>52</v>
      </c>
      <c r="H8236" s="12">
        <v>1.34350183422419</v>
      </c>
      <c r="I8236" s="20">
        <v>0.60255471375097502</v>
      </c>
      <c r="J8236" s="28">
        <v>0.54680495461990397</v>
      </c>
      <c r="K8236" s="29">
        <v>0.98289565623980701</v>
      </c>
    </row>
    <row r="8237" spans="1:11" x14ac:dyDescent="0.35">
      <c r="A8237" s="9" t="str">
        <f>HYPERLINK("http://www.ensembl.org/id/WBGene00000753", "WBGene00000753")</f>
        <v>WBGene00000753</v>
      </c>
      <c r="B8237" s="9" t="str">
        <f>HYPERLINK("http://www.ncbi.nlm.nih.gov/gene/181356", "181356")</f>
        <v>181356</v>
      </c>
      <c r="C8237" s="9"/>
      <c r="D8237" t="str">
        <f>"col-180"</f>
        <v>col-180</v>
      </c>
      <c r="E8237" t="s">
        <v>40</v>
      </c>
      <c r="F8237" t="s">
        <v>11</v>
      </c>
      <c r="G8237" t="s">
        <v>41</v>
      </c>
      <c r="H8237" s="12">
        <v>1.40898956598976</v>
      </c>
      <c r="I8237" s="20">
        <v>0.56657123898228801</v>
      </c>
      <c r="J8237" s="28">
        <v>0.57100551998364302</v>
      </c>
      <c r="K8237" s="29">
        <v>0.98289565623980701</v>
      </c>
    </row>
    <row r="8238" spans="1:11" x14ac:dyDescent="0.35">
      <c r="A8238" s="9" t="str">
        <f>HYPERLINK("http://www.ensembl.org/id/WBGene00000756", "WBGene00000756")</f>
        <v>WBGene00000756</v>
      </c>
      <c r="B8238" s="9" t="str">
        <f>HYPERLINK("http://www.ncbi.nlm.nih.gov/gene/184081", "184081")</f>
        <v>184081</v>
      </c>
      <c r="C8238" s="9"/>
      <c r="D8238" t="str">
        <f>"col-183"</f>
        <v>col-183</v>
      </c>
      <c r="E8238" t="s">
        <v>40</v>
      </c>
      <c r="F8238" t="s">
        <v>11</v>
      </c>
      <c r="G8238" t="s">
        <v>41</v>
      </c>
      <c r="H8238" s="12">
        <v>-3.8117711228402902</v>
      </c>
      <c r="I8238" s="20">
        <v>-0.42004545650932301</v>
      </c>
      <c r="J8238" s="28">
        <v>0.67445224688133198</v>
      </c>
      <c r="K8238" s="29">
        <v>0.98289565623980701</v>
      </c>
    </row>
    <row r="8239" spans="1:11" x14ac:dyDescent="0.35">
      <c r="A8239" s="9" t="str">
        <f>HYPERLINK("http://www.ensembl.org/id/WBGene00000609", "WBGene00000609")</f>
        <v>WBGene00000609</v>
      </c>
      <c r="B8239" s="9" t="str">
        <f>HYPERLINK("http://www.ncbi.nlm.nih.gov/gene/173840", "173840")</f>
        <v>173840</v>
      </c>
      <c r="C8239" s="9"/>
      <c r="D8239" t="str">
        <f>"col-20"</f>
        <v>col-20</v>
      </c>
      <c r="E8239" t="s">
        <v>40</v>
      </c>
      <c r="F8239" t="s">
        <v>11</v>
      </c>
      <c r="G8239" t="s">
        <v>41</v>
      </c>
      <c r="H8239" s="12">
        <v>1.22777558700191</v>
      </c>
      <c r="I8239" s="20">
        <v>1.00440086439224</v>
      </c>
      <c r="J8239" s="28">
        <v>0.31518543355079098</v>
      </c>
      <c r="K8239" s="29">
        <v>0.98289565623980701</v>
      </c>
    </row>
    <row r="8240" spans="1:11" x14ac:dyDescent="0.35">
      <c r="A8240" s="9" t="str">
        <f>HYPERLINK("http://www.ensembl.org/id/WBGene00000594", "WBGene00000594")</f>
        <v>WBGene00000594</v>
      </c>
      <c r="B8240" s="9" t="str">
        <f>HYPERLINK("http://www.ncbi.nlm.nih.gov/gene/177695", "177695")</f>
        <v>177695</v>
      </c>
      <c r="C8240" s="9"/>
      <c r="D8240" t="str">
        <f>"col-3"</f>
        <v>col-3</v>
      </c>
      <c r="E8240" t="s">
        <v>7991</v>
      </c>
      <c r="F8240" t="s">
        <v>11</v>
      </c>
      <c r="G8240" t="s">
        <v>7992</v>
      </c>
      <c r="H8240" s="12">
        <v>-1.15474428735887</v>
      </c>
      <c r="I8240" s="20">
        <v>-0.316696075347705</v>
      </c>
      <c r="J8240" s="28">
        <v>0.75147422704768396</v>
      </c>
      <c r="K8240" s="29">
        <v>0.98289565623980701</v>
      </c>
    </row>
    <row r="8241" spans="1:11" x14ac:dyDescent="0.35">
      <c r="A8241" s="9" t="str">
        <f>HYPERLINK("http://www.ensembl.org/id/WBGene00000610", "WBGene00000610")</f>
        <v>WBGene00000610</v>
      </c>
      <c r="B8241" s="9" t="str">
        <f>HYPERLINK("http://www.ncbi.nlm.nih.gov/gene/177191", "177191")</f>
        <v>177191</v>
      </c>
      <c r="C8241" s="9"/>
      <c r="D8241" t="str">
        <f>"col-33"</f>
        <v>col-33</v>
      </c>
      <c r="E8241" t="s">
        <v>40</v>
      </c>
      <c r="F8241" t="s">
        <v>11</v>
      </c>
      <c r="G8241" t="s">
        <v>41</v>
      </c>
      <c r="H8241" s="12">
        <v>-2.90904186496926</v>
      </c>
      <c r="I8241" s="20">
        <v>-0.68888638004120395</v>
      </c>
      <c r="J8241" s="28">
        <v>0.49089477107074297</v>
      </c>
      <c r="K8241" s="29">
        <v>0.98289565623980701</v>
      </c>
    </row>
    <row r="8242" spans="1:11" x14ac:dyDescent="0.35">
      <c r="A8242" s="9" t="str">
        <f>HYPERLINK("http://www.ensembl.org/id/WBGene00000616", "WBGene00000616")</f>
        <v>WBGene00000616</v>
      </c>
      <c r="B8242" s="9" t="str">
        <f>HYPERLINK("http://www.ncbi.nlm.nih.gov/gene/174651", "174651")</f>
        <v>174651</v>
      </c>
      <c r="C8242" s="9"/>
      <c r="D8242" t="str">
        <f>"col-39"</f>
        <v>col-39</v>
      </c>
      <c r="E8242" t="s">
        <v>4879</v>
      </c>
      <c r="F8242" t="s">
        <v>11</v>
      </c>
      <c r="G8242" t="s">
        <v>152</v>
      </c>
      <c r="H8242" s="12">
        <v>1.31626559178297</v>
      </c>
      <c r="I8242" s="20">
        <v>0.51358883769958297</v>
      </c>
      <c r="J8242" s="28">
        <v>0.60753948533589797</v>
      </c>
      <c r="K8242" s="29">
        <v>0.98289565623980701</v>
      </c>
    </row>
    <row r="8243" spans="1:11" x14ac:dyDescent="0.35">
      <c r="A8243" s="9" t="str">
        <f>HYPERLINK("http://www.ensembl.org/id/WBGene00000617", "WBGene00000617")</f>
        <v>WBGene00000617</v>
      </c>
      <c r="B8243" s="9" t="str">
        <f>HYPERLINK("http://www.ncbi.nlm.nih.gov/gene/173495", "173495")</f>
        <v>173495</v>
      </c>
      <c r="C8243" s="9"/>
      <c r="D8243" t="str">
        <f>"col-40"</f>
        <v>col-40</v>
      </c>
      <c r="E8243" t="s">
        <v>9917</v>
      </c>
      <c r="F8243" t="s">
        <v>11</v>
      </c>
      <c r="G8243" t="s">
        <v>152</v>
      </c>
      <c r="H8243" s="12">
        <v>-1.38124293248188</v>
      </c>
      <c r="I8243" s="20">
        <v>-0.41580491956848398</v>
      </c>
      <c r="J8243" s="28">
        <v>0.67755275868488096</v>
      </c>
      <c r="K8243" s="29">
        <v>0.98289565623980701</v>
      </c>
    </row>
    <row r="8244" spans="1:11" x14ac:dyDescent="0.35">
      <c r="A8244" s="9" t="str">
        <f>HYPERLINK("http://www.ensembl.org/id/WBGene00000620", "WBGene00000620")</f>
        <v>WBGene00000620</v>
      </c>
      <c r="B8244" s="9" t="str">
        <f>HYPERLINK("http://www.ncbi.nlm.nih.gov/gene/179187", "179187")</f>
        <v>179187</v>
      </c>
      <c r="C8244" s="9"/>
      <c r="D8244" t="str">
        <f>"col-43"</f>
        <v>col-43</v>
      </c>
      <c r="E8244" t="s">
        <v>9705</v>
      </c>
      <c r="F8244" t="s">
        <v>11</v>
      </c>
      <c r="G8244" t="s">
        <v>7992</v>
      </c>
      <c r="H8244" s="12">
        <v>-1.2843128712773</v>
      </c>
      <c r="I8244" s="20">
        <v>-0.30671192048114798</v>
      </c>
      <c r="J8244" s="28">
        <v>0.75906265560868103</v>
      </c>
      <c r="K8244" s="29">
        <v>0.98289565623980701</v>
      </c>
    </row>
    <row r="8245" spans="1:11" x14ac:dyDescent="0.35">
      <c r="A8245" s="9" t="str">
        <f>HYPERLINK("http://www.ensembl.org/id/WBGene00000621", "WBGene00000621")</f>
        <v>WBGene00000621</v>
      </c>
      <c r="B8245" s="9" t="str">
        <f>HYPERLINK("http://www.ncbi.nlm.nih.gov/gene/186211", "186211")</f>
        <v>186211</v>
      </c>
      <c r="C8245" s="9"/>
      <c r="D8245" t="str">
        <f>"col-44"</f>
        <v>col-44</v>
      </c>
      <c r="E8245" t="s">
        <v>40</v>
      </c>
      <c r="F8245" t="s">
        <v>11</v>
      </c>
      <c r="G8245" t="s">
        <v>41</v>
      </c>
      <c r="H8245" s="12">
        <v>-3.4009518427823999</v>
      </c>
      <c r="I8245" s="20">
        <v>-0.67299105704866902</v>
      </c>
      <c r="J8245" s="28">
        <v>0.50095298036758795</v>
      </c>
      <c r="K8245" s="29">
        <v>0.98289565623980701</v>
      </c>
    </row>
    <row r="8246" spans="1:11" x14ac:dyDescent="0.35">
      <c r="A8246" s="9" t="str">
        <f>HYPERLINK("http://www.ensembl.org/id/WBGene00000622", "WBGene00000622")</f>
        <v>WBGene00000622</v>
      </c>
      <c r="B8246" s="9" t="str">
        <f>HYPERLINK("http://www.ncbi.nlm.nih.gov/gene/171605", "171605")</f>
        <v>171605</v>
      </c>
      <c r="C8246" s="9"/>
      <c r="D8246" t="str">
        <f>"col-45"</f>
        <v>col-45</v>
      </c>
      <c r="E8246" t="s">
        <v>40</v>
      </c>
      <c r="F8246" t="s">
        <v>11</v>
      </c>
      <c r="G8246" t="s">
        <v>41</v>
      </c>
      <c r="H8246" s="12">
        <v>1.5493841232780501</v>
      </c>
      <c r="I8246" s="20">
        <v>0.32774803356107601</v>
      </c>
      <c r="J8246" s="28">
        <v>0.74310218199159495</v>
      </c>
      <c r="K8246" s="29">
        <v>0.98289565623980701</v>
      </c>
    </row>
    <row r="8247" spans="1:11" x14ac:dyDescent="0.35">
      <c r="A8247" s="9" t="str">
        <f>HYPERLINK("http://www.ensembl.org/id/WBGene00000623", "WBGene00000623")</f>
        <v>WBGene00000623</v>
      </c>
      <c r="B8247" s="9" t="str">
        <f>HYPERLINK("http://www.ncbi.nlm.nih.gov/gene/4363005", "4363005")</f>
        <v>4363005</v>
      </c>
      <c r="C8247" s="9"/>
      <c r="D8247" t="str">
        <f>"col-46"</f>
        <v>col-46</v>
      </c>
      <c r="E8247" t="s">
        <v>40</v>
      </c>
      <c r="F8247" t="s">
        <v>11</v>
      </c>
      <c r="G8247" t="s">
        <v>52</v>
      </c>
      <c r="H8247" s="12">
        <v>1.3369574528396599</v>
      </c>
      <c r="I8247" s="20">
        <v>0.25295339924331001</v>
      </c>
      <c r="J8247" s="28">
        <v>0.80030422428266701</v>
      </c>
      <c r="K8247" s="29">
        <v>0.98289565623980701</v>
      </c>
    </row>
    <row r="8248" spans="1:11" x14ac:dyDescent="0.35">
      <c r="A8248" s="9" t="str">
        <f>HYPERLINK("http://www.ensembl.org/id/WBGene00000626", "WBGene00000626")</f>
        <v>WBGene00000626</v>
      </c>
      <c r="B8248" s="9" t="str">
        <f>HYPERLINK("http://www.ncbi.nlm.nih.gov/gene/187239", "187239")</f>
        <v>187239</v>
      </c>
      <c r="C8248" s="9"/>
      <c r="D8248" t="str">
        <f>"col-49"</f>
        <v>col-49</v>
      </c>
      <c r="E8248" t="s">
        <v>40</v>
      </c>
      <c r="F8248" t="s">
        <v>11</v>
      </c>
      <c r="G8248" t="s">
        <v>152</v>
      </c>
      <c r="H8248" s="12">
        <v>8.2293021837602005</v>
      </c>
      <c r="I8248" s="20">
        <v>0.87810977803884005</v>
      </c>
      <c r="J8248" s="28">
        <v>0.37988414711806501</v>
      </c>
      <c r="K8248" s="29">
        <v>0.98289565623980701</v>
      </c>
    </row>
    <row r="8249" spans="1:11" x14ac:dyDescent="0.35">
      <c r="A8249" s="9" t="str">
        <f>HYPERLINK("http://www.ensembl.org/id/WBGene00000628", "WBGene00000628")</f>
        <v>WBGene00000628</v>
      </c>
      <c r="B8249" s="9" t="str">
        <f>HYPERLINK("http://www.ncbi.nlm.nih.gov/gene/189052", "189052")</f>
        <v>189052</v>
      </c>
      <c r="C8249" s="9"/>
      <c r="D8249" t="str">
        <f>"col-51"</f>
        <v>col-51</v>
      </c>
      <c r="E8249" t="s">
        <v>40</v>
      </c>
      <c r="F8249" t="s">
        <v>11</v>
      </c>
      <c r="G8249" t="s">
        <v>41</v>
      </c>
      <c r="H8249" s="12">
        <v>2.3893468495514898</v>
      </c>
      <c r="I8249" s="20">
        <v>0.25323547253672701</v>
      </c>
      <c r="J8249" s="28">
        <v>0.80008625651646104</v>
      </c>
      <c r="K8249" s="29">
        <v>0.98289565623980701</v>
      </c>
    </row>
    <row r="8250" spans="1:11" x14ac:dyDescent="0.35">
      <c r="A8250" s="9" t="str">
        <f>HYPERLINK("http://www.ensembl.org/id/WBGene00000629", "WBGene00000629")</f>
        <v>WBGene00000629</v>
      </c>
      <c r="B8250" s="9" t="str">
        <f>HYPERLINK("http://www.ncbi.nlm.nih.gov/gene/183885", "183885")</f>
        <v>183885</v>
      </c>
      <c r="C8250" s="9"/>
      <c r="D8250" t="str">
        <f>"col-52"</f>
        <v>col-52</v>
      </c>
      <c r="E8250" t="s">
        <v>40</v>
      </c>
      <c r="F8250" t="s">
        <v>11</v>
      </c>
      <c r="G8250" t="s">
        <v>593</v>
      </c>
      <c r="H8250" s="12">
        <v>2.4578120077400301</v>
      </c>
      <c r="I8250" s="20">
        <v>0.26093350314551</v>
      </c>
      <c r="J8250" s="28">
        <v>0.79414378780213601</v>
      </c>
      <c r="K8250" s="29">
        <v>0.98289565623980701</v>
      </c>
    </row>
    <row r="8251" spans="1:11" x14ac:dyDescent="0.35">
      <c r="A8251" s="9" t="str">
        <f>HYPERLINK("http://www.ensembl.org/id/WBGene00000631", "WBGene00000631")</f>
        <v>WBGene00000631</v>
      </c>
      <c r="B8251" s="9" t="str">
        <f>HYPERLINK("http://www.ncbi.nlm.nih.gov/gene/185226", "185226")</f>
        <v>185226</v>
      </c>
      <c r="C8251" s="9"/>
      <c r="D8251" t="str">
        <f>"col-54"</f>
        <v>col-54</v>
      </c>
      <c r="E8251" t="s">
        <v>40</v>
      </c>
      <c r="F8251" t="s">
        <v>11</v>
      </c>
      <c r="G8251" t="s">
        <v>41</v>
      </c>
      <c r="H8251" s="12">
        <v>-5.7516277214804203</v>
      </c>
      <c r="I8251" s="20">
        <v>-0.95722195581476099</v>
      </c>
      <c r="J8251" s="28">
        <v>0.33845523737698002</v>
      </c>
      <c r="K8251" s="29">
        <v>0.98289565623980701</v>
      </c>
    </row>
    <row r="8252" spans="1:11" x14ac:dyDescent="0.35">
      <c r="A8252" s="9" t="str">
        <f>HYPERLINK("http://www.ensembl.org/id/WBGene00000636", "WBGene00000636")</f>
        <v>WBGene00000636</v>
      </c>
      <c r="B8252" s="9" t="str">
        <f>HYPERLINK("http://www.ncbi.nlm.nih.gov/gene/172445", "172445")</f>
        <v>172445</v>
      </c>
      <c r="C8252" s="9"/>
      <c r="D8252" t="str">
        <f>"col-60"</f>
        <v>col-60</v>
      </c>
      <c r="E8252" t="s">
        <v>40</v>
      </c>
      <c r="F8252" t="s">
        <v>11</v>
      </c>
      <c r="G8252" t="s">
        <v>41</v>
      </c>
      <c r="H8252" s="12">
        <v>2.2779999742259198</v>
      </c>
      <c r="I8252" s="20">
        <v>0.61476138333776797</v>
      </c>
      <c r="J8252" s="28">
        <v>0.53871231533160902</v>
      </c>
      <c r="K8252" s="29">
        <v>0.98289565623980701</v>
      </c>
    </row>
    <row r="8253" spans="1:11" x14ac:dyDescent="0.35">
      <c r="A8253" s="9" t="str">
        <f>HYPERLINK("http://www.ensembl.org/id/WBGene00000640", "WBGene00000640")</f>
        <v>WBGene00000640</v>
      </c>
      <c r="B8253" s="9" t="str">
        <f>HYPERLINK("http://www.ncbi.nlm.nih.gov/gene/186127", "186127")</f>
        <v>186127</v>
      </c>
      <c r="C8253" s="9"/>
      <c r="D8253" t="str">
        <f>"col-64"</f>
        <v>col-64</v>
      </c>
      <c r="E8253" t="s">
        <v>40</v>
      </c>
      <c r="F8253" t="s">
        <v>11</v>
      </c>
      <c r="G8253" t="s">
        <v>41</v>
      </c>
      <c r="H8253" s="12">
        <v>-1.46832107558533</v>
      </c>
      <c r="I8253" s="20">
        <v>-0.83186034123596098</v>
      </c>
      <c r="J8253" s="28">
        <v>0.405487779486084</v>
      </c>
      <c r="K8253" s="29">
        <v>0.98289565623980701</v>
      </c>
    </row>
    <row r="8254" spans="1:11" x14ac:dyDescent="0.35">
      <c r="A8254" s="9" t="str">
        <f>HYPERLINK("http://www.ensembl.org/id/WBGene00000642", "WBGene00000642")</f>
        <v>WBGene00000642</v>
      </c>
      <c r="B8254" s="9"/>
      <c r="C8254" s="9"/>
      <c r="D8254" t="str">
        <f>"col-66"</f>
        <v>col-66</v>
      </c>
      <c r="F8254" t="s">
        <v>80</v>
      </c>
      <c r="H8254" s="12">
        <v>3.28624938312884</v>
      </c>
      <c r="I8254" s="20">
        <v>0.36379512681977599</v>
      </c>
      <c r="J8254" s="28">
        <v>0.716011001908614</v>
      </c>
      <c r="K8254" s="29">
        <v>0.98289565623980701</v>
      </c>
    </row>
    <row r="8255" spans="1:11" x14ac:dyDescent="0.35">
      <c r="A8255" s="9" t="str">
        <f>HYPERLINK("http://www.ensembl.org/id/WBGene00000644", "WBGene00000644")</f>
        <v>WBGene00000644</v>
      </c>
      <c r="B8255" s="9" t="str">
        <f>HYPERLINK("http://www.ncbi.nlm.nih.gov/gene/173395", "173395")</f>
        <v>173395</v>
      </c>
      <c r="C8255" s="9"/>
      <c r="D8255" t="str">
        <f>"col-68"</f>
        <v>col-68</v>
      </c>
      <c r="E8255" t="s">
        <v>40</v>
      </c>
      <c r="F8255" t="s">
        <v>11</v>
      </c>
      <c r="G8255" t="s">
        <v>41</v>
      </c>
      <c r="H8255" s="12">
        <v>1.4446728652973999</v>
      </c>
      <c r="I8255" s="20">
        <v>0.71058933315775596</v>
      </c>
      <c r="J8255" s="28">
        <v>0.47733875503553003</v>
      </c>
      <c r="K8255" s="29">
        <v>0.98289565623980701</v>
      </c>
    </row>
    <row r="8256" spans="1:11" x14ac:dyDescent="0.35">
      <c r="A8256" s="9" t="str">
        <f>HYPERLINK("http://www.ensembl.org/id/WBGene00000596", "WBGene00000596")</f>
        <v>WBGene00000596</v>
      </c>
      <c r="B8256" s="9" t="str">
        <f>HYPERLINK("http://www.ncbi.nlm.nih.gov/gene/172494", "172494")</f>
        <v>172494</v>
      </c>
      <c r="C8256" s="9"/>
      <c r="D8256" t="str">
        <f>"col-7"</f>
        <v>col-7</v>
      </c>
      <c r="E8256" t="s">
        <v>4735</v>
      </c>
      <c r="F8256" t="s">
        <v>11</v>
      </c>
      <c r="G8256" t="s">
        <v>152</v>
      </c>
      <c r="H8256" s="12">
        <v>1.4317212929657299</v>
      </c>
      <c r="I8256" s="20">
        <v>0.38761784741551403</v>
      </c>
      <c r="J8256" s="28">
        <v>0.69829885928033897</v>
      </c>
      <c r="K8256" s="29">
        <v>0.98289565623980701</v>
      </c>
    </row>
    <row r="8257" spans="1:11" x14ac:dyDescent="0.35">
      <c r="A8257" s="9" t="str">
        <f>HYPERLINK("http://www.ensembl.org/id/WBGene00000647", "WBGene00000647")</f>
        <v>WBGene00000647</v>
      </c>
      <c r="B8257" s="9" t="str">
        <f>HYPERLINK("http://www.ncbi.nlm.nih.gov/gene/173695", "173695")</f>
        <v>173695</v>
      </c>
      <c r="C8257" s="9"/>
      <c r="D8257" t="str">
        <f>"col-71"</f>
        <v>col-71</v>
      </c>
      <c r="E8257" t="s">
        <v>40</v>
      </c>
      <c r="F8257" t="s">
        <v>11</v>
      </c>
      <c r="G8257" t="s">
        <v>94</v>
      </c>
      <c r="H8257" s="12">
        <v>1.2788156371397701</v>
      </c>
      <c r="I8257" s="20">
        <v>0.60260072660422903</v>
      </c>
      <c r="J8257" s="28">
        <v>0.54677433688329102</v>
      </c>
      <c r="K8257" s="29">
        <v>0.98289565623980701</v>
      </c>
    </row>
    <row r="8258" spans="1:11" x14ac:dyDescent="0.35">
      <c r="A8258" s="9" t="str">
        <f>HYPERLINK("http://www.ensembl.org/id/WBGene00000653", "WBGene00000653")</f>
        <v>WBGene00000653</v>
      </c>
      <c r="B8258" s="9" t="str">
        <f>HYPERLINK("http://www.ncbi.nlm.nih.gov/gene/174336", "174336")</f>
        <v>174336</v>
      </c>
      <c r="C8258" s="9"/>
      <c r="D8258" t="str">
        <f>"col-77"</f>
        <v>col-77</v>
      </c>
      <c r="E8258" t="s">
        <v>40</v>
      </c>
      <c r="F8258" t="s">
        <v>11</v>
      </c>
      <c r="G8258" t="s">
        <v>41</v>
      </c>
      <c r="H8258" s="12">
        <v>-1.59033585535303</v>
      </c>
      <c r="I8258" s="20">
        <v>-0.812100054491254</v>
      </c>
      <c r="J8258" s="28">
        <v>0.41673422192557102</v>
      </c>
      <c r="K8258" s="29">
        <v>0.98289565623980701</v>
      </c>
    </row>
    <row r="8259" spans="1:11" x14ac:dyDescent="0.35">
      <c r="A8259" s="9" t="str">
        <f>HYPERLINK("http://www.ensembl.org/id/WBGene00000655", "WBGene00000655")</f>
        <v>WBGene00000655</v>
      </c>
      <c r="B8259" s="9" t="str">
        <f>HYPERLINK("http://www.ncbi.nlm.nih.gov/gene/174650", "174650")</f>
        <v>174650</v>
      </c>
      <c r="C8259" s="9"/>
      <c r="D8259" t="str">
        <f>"col-79"</f>
        <v>col-79</v>
      </c>
      <c r="E8259" t="s">
        <v>4218</v>
      </c>
      <c r="F8259" t="s">
        <v>11</v>
      </c>
      <c r="G8259" t="s">
        <v>152</v>
      </c>
      <c r="H8259" s="12">
        <v>9.5215001458148301</v>
      </c>
      <c r="I8259" s="20">
        <v>0.67036031720767997</v>
      </c>
      <c r="J8259" s="28">
        <v>0.50262812496729803</v>
      </c>
      <c r="K8259" s="29">
        <v>0.98289565623980701</v>
      </c>
    </row>
    <row r="8260" spans="1:11" x14ac:dyDescent="0.35">
      <c r="A8260" s="9" t="str">
        <f>HYPERLINK("http://www.ensembl.org/id/WBGene00000657", "WBGene00000657")</f>
        <v>WBGene00000657</v>
      </c>
      <c r="B8260" s="9" t="str">
        <f>HYPERLINK("http://www.ncbi.nlm.nih.gov/gene/174686", "174686")</f>
        <v>174686</v>
      </c>
      <c r="C8260" s="9"/>
      <c r="D8260" t="str">
        <f>"col-81"</f>
        <v>col-81</v>
      </c>
      <c r="E8260" t="s">
        <v>40</v>
      </c>
      <c r="F8260" t="s">
        <v>11</v>
      </c>
      <c r="G8260" t="s">
        <v>41</v>
      </c>
      <c r="H8260" s="12">
        <v>1.3275152198631699</v>
      </c>
      <c r="I8260" s="20">
        <v>1.2034302444782501</v>
      </c>
      <c r="J8260" s="28">
        <v>0.22880986989021199</v>
      </c>
      <c r="K8260" s="29">
        <v>0.98289565623980701</v>
      </c>
    </row>
    <row r="8261" spans="1:11" x14ac:dyDescent="0.35">
      <c r="A8261" s="9" t="str">
        <f>HYPERLINK("http://www.ensembl.org/id/WBGene00000658", "WBGene00000658")</f>
        <v>WBGene00000658</v>
      </c>
      <c r="B8261" s="9" t="str">
        <f>HYPERLINK("http://www.ncbi.nlm.nih.gov/gene/185221", "185221")</f>
        <v>185221</v>
      </c>
      <c r="C8261" s="9"/>
      <c r="D8261" t="str">
        <f>"col-83"</f>
        <v>col-83</v>
      </c>
      <c r="E8261" t="s">
        <v>40</v>
      </c>
      <c r="F8261" t="s">
        <v>11</v>
      </c>
      <c r="G8261" t="s">
        <v>94</v>
      </c>
      <c r="H8261" s="12">
        <v>1.82419162004873</v>
      </c>
      <c r="I8261" s="20">
        <v>0.718719201682677</v>
      </c>
      <c r="J8261" s="28">
        <v>0.47231394981658897</v>
      </c>
      <c r="K8261" s="29">
        <v>0.98289565623980701</v>
      </c>
    </row>
    <row r="8262" spans="1:11" x14ac:dyDescent="0.35">
      <c r="A8262" s="9" t="str">
        <f>HYPERLINK("http://www.ensembl.org/id/WBGene00000661", "WBGene00000661")</f>
        <v>WBGene00000661</v>
      </c>
      <c r="B8262" s="9" t="str">
        <f>HYPERLINK("http://www.ncbi.nlm.nih.gov/gene/190749", "190749")</f>
        <v>190749</v>
      </c>
      <c r="C8262" s="9"/>
      <c r="D8262" t="str">
        <f>"col-86"</f>
        <v>col-86</v>
      </c>
      <c r="E8262" t="s">
        <v>40</v>
      </c>
      <c r="F8262" t="s">
        <v>11</v>
      </c>
      <c r="G8262" t="s">
        <v>41</v>
      </c>
      <c r="H8262" s="12">
        <v>1.8734533504817901</v>
      </c>
      <c r="I8262" s="20">
        <v>0.45397284991959103</v>
      </c>
      <c r="J8262" s="28">
        <v>0.64984836822417602</v>
      </c>
      <c r="K8262" s="29">
        <v>0.98289565623980701</v>
      </c>
    </row>
    <row r="8263" spans="1:11" x14ac:dyDescent="0.35">
      <c r="A8263" s="9" t="str">
        <f>HYPERLINK("http://www.ensembl.org/id/WBGene00000662", "WBGene00000662")</f>
        <v>WBGene00000662</v>
      </c>
      <c r="B8263" s="9" t="str">
        <f>HYPERLINK("http://www.ncbi.nlm.nih.gov/gene/3565880", "3565880")</f>
        <v>3565880</v>
      </c>
      <c r="C8263" s="9"/>
      <c r="D8263" t="str">
        <f>"col-87"</f>
        <v>col-87</v>
      </c>
      <c r="E8263" t="s">
        <v>40</v>
      </c>
      <c r="F8263" t="s">
        <v>11</v>
      </c>
      <c r="G8263" t="s">
        <v>4224</v>
      </c>
      <c r="H8263" s="12">
        <v>8.4812861841413305</v>
      </c>
      <c r="I8263" s="20">
        <v>0.72035110111219103</v>
      </c>
      <c r="J8263" s="28">
        <v>0.47130884904435499</v>
      </c>
      <c r="K8263" s="29">
        <v>0.98289565623980701</v>
      </c>
    </row>
    <row r="8264" spans="1:11" x14ac:dyDescent="0.35">
      <c r="A8264" s="9" t="str">
        <f>HYPERLINK("http://www.ensembl.org/id/WBGene00000598", "WBGene00000598")</f>
        <v>WBGene00000598</v>
      </c>
      <c r="B8264" s="9" t="str">
        <f>HYPERLINK("http://www.ncbi.nlm.nih.gov/gene/186210", "186210")</f>
        <v>186210</v>
      </c>
      <c r="C8264" s="9"/>
      <c r="D8264" t="str">
        <f>"col-9"</f>
        <v>col-9</v>
      </c>
      <c r="E8264" t="s">
        <v>40</v>
      </c>
      <c r="F8264" t="s">
        <v>11</v>
      </c>
      <c r="G8264" t="s">
        <v>41</v>
      </c>
      <c r="H8264" s="12">
        <v>3.5403753733024699</v>
      </c>
      <c r="I8264" s="20">
        <v>0.91420156220085702</v>
      </c>
      <c r="J8264" s="28">
        <v>0.36061094344494399</v>
      </c>
      <c r="K8264" s="29">
        <v>0.98289565623980701</v>
      </c>
    </row>
    <row r="8265" spans="1:11" x14ac:dyDescent="0.35">
      <c r="A8265" s="9" t="str">
        <f>HYPERLINK("http://www.ensembl.org/id/WBGene00000666", "WBGene00000666")</f>
        <v>WBGene00000666</v>
      </c>
      <c r="B8265" s="9" t="str">
        <f>HYPERLINK("http://www.ncbi.nlm.nih.gov/gene/184269", "184269")</f>
        <v>184269</v>
      </c>
      <c r="C8265" s="9"/>
      <c r="D8265" t="str">
        <f>"col-91"</f>
        <v>col-91</v>
      </c>
      <c r="E8265" t="s">
        <v>9989</v>
      </c>
      <c r="F8265" t="s">
        <v>11</v>
      </c>
      <c r="G8265" t="s">
        <v>152</v>
      </c>
      <c r="H8265" s="12">
        <v>-1.58659709983874</v>
      </c>
      <c r="I8265" s="20">
        <v>-0.43669628449404402</v>
      </c>
      <c r="J8265" s="28">
        <v>0.66233162417437597</v>
      </c>
      <c r="K8265" s="29">
        <v>0.98289565623980701</v>
      </c>
    </row>
    <row r="8266" spans="1:11" x14ac:dyDescent="0.35">
      <c r="A8266" s="9" t="str">
        <f>HYPERLINK("http://www.ensembl.org/id/WBGene00018741", "WBGene00018741")</f>
        <v>WBGene00018741</v>
      </c>
      <c r="B8266" s="9" t="str">
        <f>HYPERLINK("http://www.ncbi.nlm.nih.gov/gene/186152", "186152")</f>
        <v>186152</v>
      </c>
      <c r="C8266" s="9"/>
      <c r="D8266" t="str">
        <f>"comt-1"</f>
        <v>comt-1</v>
      </c>
      <c r="E8266" t="s">
        <v>168</v>
      </c>
      <c r="F8266" t="s">
        <v>11</v>
      </c>
      <c r="G8266" t="s">
        <v>169</v>
      </c>
      <c r="H8266" s="12">
        <v>1.3496365947126301</v>
      </c>
      <c r="I8266" s="20">
        <v>0.36639707250048797</v>
      </c>
      <c r="J8266" s="28">
        <v>0.71406880390015803</v>
      </c>
      <c r="K8266" s="29">
        <v>0.98289565623980701</v>
      </c>
    </row>
    <row r="8267" spans="1:11" x14ac:dyDescent="0.35">
      <c r="A8267" s="9" t="str">
        <f>HYPERLINK("http://www.ensembl.org/id/WBGene00021492", "WBGene00021492")</f>
        <v>WBGene00021492</v>
      </c>
      <c r="B8267" s="9" t="str">
        <f>HYPERLINK("http://www.ncbi.nlm.nih.gov/gene/178684", "178684")</f>
        <v>178684</v>
      </c>
      <c r="C8267" s="9" t="str">
        <f>HYPERLINK("http://www.ncbi.nlm.nih.gov/gene/118881", "118881")</f>
        <v>118881</v>
      </c>
      <c r="D8267" t="str">
        <f>"comt-5"</f>
        <v>comt-5</v>
      </c>
      <c r="E8267" t="s">
        <v>168</v>
      </c>
      <c r="F8267" t="s">
        <v>11</v>
      </c>
      <c r="G8267" t="s">
        <v>169</v>
      </c>
      <c r="H8267" s="12">
        <v>1.2857536085749299</v>
      </c>
      <c r="I8267" s="20">
        <v>0.74031269489796203</v>
      </c>
      <c r="J8267" s="28">
        <v>0.45911027972069801</v>
      </c>
      <c r="K8267" s="29">
        <v>0.98289565623980701</v>
      </c>
    </row>
    <row r="8268" spans="1:11" x14ac:dyDescent="0.35">
      <c r="A8268" s="9" t="str">
        <f>HYPERLINK("http://www.ensembl.org/id/WBGene00022119", "WBGene00022119")</f>
        <v>WBGene00022119</v>
      </c>
      <c r="B8268" s="9" t="str">
        <f>HYPERLINK("http://www.ncbi.nlm.nih.gov/gene/171860", "171860")</f>
        <v>171860</v>
      </c>
      <c r="C8268" s="9" t="str">
        <f>HYPERLINK("http://www.ncbi.nlm.nih.gov/gene/1314", "1314")</f>
        <v>1314</v>
      </c>
      <c r="D8268" t="str">
        <f>"copa-1"</f>
        <v>copa-1</v>
      </c>
      <c r="E8268" t="s">
        <v>7490</v>
      </c>
      <c r="F8268" t="s">
        <v>11</v>
      </c>
      <c r="G8268" t="s">
        <v>7491</v>
      </c>
      <c r="H8268" s="12">
        <v>-1.1288976156769499</v>
      </c>
      <c r="I8268" s="20">
        <v>-0.65021460235211603</v>
      </c>
      <c r="J8268" s="28">
        <v>0.51555361002448297</v>
      </c>
      <c r="K8268" s="29">
        <v>0.98289565623980701</v>
      </c>
    </row>
    <row r="8269" spans="1:11" x14ac:dyDescent="0.35">
      <c r="A8269" s="9" t="str">
        <f>HYPERLINK("http://www.ensembl.org/id/WBGene00021292", "WBGene00021292")</f>
        <v>WBGene00021292</v>
      </c>
      <c r="B8269" s="9" t="str">
        <f>HYPERLINK("http://www.ncbi.nlm.nih.gov/gene/173656", "173656")</f>
        <v>173656</v>
      </c>
      <c r="C8269" s="9" t="str">
        <f>HYPERLINK("http://www.ncbi.nlm.nih.gov/gene/1315", "1315")</f>
        <v>1315</v>
      </c>
      <c r="D8269" t="str">
        <f>"copb-1"</f>
        <v>copb-1</v>
      </c>
      <c r="E8269" t="s">
        <v>9042</v>
      </c>
      <c r="F8269" t="s">
        <v>11</v>
      </c>
      <c r="G8269" t="s">
        <v>9043</v>
      </c>
      <c r="H8269" s="12">
        <v>-1.2167273337042099</v>
      </c>
      <c r="I8269" s="20">
        <v>-1.0503850895575699</v>
      </c>
      <c r="J8269" s="28">
        <v>0.29354109812228701</v>
      </c>
      <c r="K8269" s="29">
        <v>0.98289565623980701</v>
      </c>
    </row>
    <row r="8270" spans="1:11" x14ac:dyDescent="0.35">
      <c r="A8270" s="9" t="str">
        <f>HYPERLINK("http://www.ensembl.org/id/WBGene00009542", "WBGene00009542")</f>
        <v>WBGene00009542</v>
      </c>
      <c r="B8270" s="9" t="str">
        <f>HYPERLINK("http://www.ncbi.nlm.nih.gov/gene/177779", "177779")</f>
        <v>177779</v>
      </c>
      <c r="C8270" s="9" t="str">
        <f>HYPERLINK("http://www.ncbi.nlm.nih.gov/gene/9276", "9276")</f>
        <v>9276</v>
      </c>
      <c r="D8270" t="str">
        <f>"copb-2"</f>
        <v>copb-2</v>
      </c>
      <c r="E8270" t="s">
        <v>7916</v>
      </c>
      <c r="F8270" t="s">
        <v>11</v>
      </c>
      <c r="G8270" t="s">
        <v>7917</v>
      </c>
      <c r="H8270" s="12">
        <v>-1.15140992412669</v>
      </c>
      <c r="I8270" s="20">
        <v>-0.74504533664013695</v>
      </c>
      <c r="J8270" s="28">
        <v>0.45624431298421902</v>
      </c>
      <c r="K8270" s="29">
        <v>0.98289565623980701</v>
      </c>
    </row>
    <row r="8271" spans="1:11" x14ac:dyDescent="0.35">
      <c r="A8271" s="9" t="str">
        <f>HYPERLINK("http://www.ensembl.org/id/WBGene00015734", "WBGene00015734")</f>
        <v>WBGene00015734</v>
      </c>
      <c r="B8271" s="9" t="str">
        <f>HYPERLINK("http://www.ncbi.nlm.nih.gov/gene/175940", "175940")</f>
        <v>175940</v>
      </c>
      <c r="C8271" s="9" t="str">
        <f>HYPERLINK("http://www.ncbi.nlm.nih.gov/gene/372", "372")</f>
        <v>372</v>
      </c>
      <c r="D8271" t="str">
        <f>"copd-1"</f>
        <v>copd-1</v>
      </c>
      <c r="E8271" t="s">
        <v>8146</v>
      </c>
      <c r="F8271" t="s">
        <v>11</v>
      </c>
      <c r="G8271" t="s">
        <v>8147</v>
      </c>
      <c r="H8271" s="12">
        <v>-1.1624368809483101</v>
      </c>
      <c r="I8271" s="20">
        <v>-0.80117157437761399</v>
      </c>
      <c r="J8271" s="28">
        <v>0.42303232492273302</v>
      </c>
      <c r="K8271" s="29">
        <v>0.98289565623980701</v>
      </c>
    </row>
    <row r="8272" spans="1:11" x14ac:dyDescent="0.35">
      <c r="A8272" s="9" t="str">
        <f>HYPERLINK("http://www.ensembl.org/id/WBGene00009732", "WBGene00009732")</f>
        <v>WBGene00009732</v>
      </c>
      <c r="B8272" s="9" t="str">
        <f>HYPERLINK("http://www.ncbi.nlm.nih.gov/gene/176766", "176766")</f>
        <v>176766</v>
      </c>
      <c r="C8272" s="9" t="str">
        <f>HYPERLINK("http://www.ncbi.nlm.nih.gov/gene/11316", "11316")</f>
        <v>11316</v>
      </c>
      <c r="D8272" t="str">
        <f>"cope-1"</f>
        <v>cope-1</v>
      </c>
      <c r="E8272" t="s">
        <v>6408</v>
      </c>
      <c r="F8272" t="s">
        <v>11</v>
      </c>
      <c r="G8272" t="s">
        <v>6409</v>
      </c>
      <c r="H8272" s="12">
        <v>-1.06772329338031</v>
      </c>
      <c r="I8272" s="20">
        <v>-0.34493432595725998</v>
      </c>
      <c r="J8272" s="28">
        <v>0.73014374410284599</v>
      </c>
      <c r="K8272" s="29">
        <v>0.98289565623980701</v>
      </c>
    </row>
    <row r="8273" spans="1:11" x14ac:dyDescent="0.35">
      <c r="A8273" s="9" t="str">
        <f>HYPERLINK("http://www.ensembl.org/id/WBGene00010333", "WBGene00010333")</f>
        <v>WBGene00010333</v>
      </c>
      <c r="B8273" s="9" t="str">
        <f>HYPERLINK("http://www.ncbi.nlm.nih.gov/gene/174675", "174675")</f>
        <v>174675</v>
      </c>
      <c r="C8273" s="9" t="str">
        <f>HYPERLINK("http://www.ncbi.nlm.nih.gov/gene/22818", "22818")</f>
        <v>22818</v>
      </c>
      <c r="D8273" t="str">
        <f>"copz-1"</f>
        <v>copz-1</v>
      </c>
      <c r="E8273" t="s">
        <v>8629</v>
      </c>
      <c r="F8273" t="s">
        <v>11</v>
      </c>
      <c r="G8273" t="s">
        <v>8630</v>
      </c>
      <c r="H8273" s="12">
        <v>-1.1877769543754</v>
      </c>
      <c r="I8273" s="20">
        <v>-0.94061949629671204</v>
      </c>
      <c r="J8273" s="28">
        <v>0.34689988716718401</v>
      </c>
      <c r="K8273" s="29">
        <v>0.98289565623980701</v>
      </c>
    </row>
    <row r="8274" spans="1:11" x14ac:dyDescent="0.35">
      <c r="A8274" s="9" t="str">
        <f>HYPERLINK("http://www.ensembl.org/id/WBGene00000761", "WBGene00000761")</f>
        <v>WBGene00000761</v>
      </c>
      <c r="B8274" s="9" t="str">
        <f>HYPERLINK("http://www.ncbi.nlm.nih.gov/gene/172190", "172190")</f>
        <v>172190</v>
      </c>
      <c r="C8274" s="9" t="str">
        <f>HYPERLINK("http://www.ncbi.nlm.nih.gov/gene/23590", "23590")</f>
        <v>23590</v>
      </c>
      <c r="D8274" t="str">
        <f>"coq-1"</f>
        <v>coq-1</v>
      </c>
      <c r="E8274" t="s">
        <v>9537</v>
      </c>
      <c r="F8274" t="s">
        <v>11</v>
      </c>
      <c r="G8274" t="s">
        <v>9538</v>
      </c>
      <c r="H8274" s="12">
        <v>-1.2562708977472601</v>
      </c>
      <c r="I8274" s="20">
        <v>-1.0271955153124299</v>
      </c>
      <c r="J8274" s="28">
        <v>0.30432840942993999</v>
      </c>
      <c r="K8274" s="29">
        <v>0.98289565623980701</v>
      </c>
    </row>
    <row r="8275" spans="1:11" x14ac:dyDescent="0.35">
      <c r="A8275" s="9" t="str">
        <f>HYPERLINK("http://www.ensembl.org/id/WBGene00000763", "WBGene00000763")</f>
        <v>WBGene00000763</v>
      </c>
      <c r="B8275" s="9" t="str">
        <f>HYPERLINK("http://www.ncbi.nlm.nih.gov/gene/178403", "178403")</f>
        <v>178403</v>
      </c>
      <c r="C8275" s="9" t="str">
        <f>HYPERLINK("http://www.ncbi.nlm.nih.gov/gene/51805", "51805")</f>
        <v>51805</v>
      </c>
      <c r="D8275" t="str">
        <f>"coq-3"</f>
        <v>coq-3</v>
      </c>
      <c r="E8275" t="s">
        <v>6250</v>
      </c>
      <c r="F8275" t="s">
        <v>11</v>
      </c>
      <c r="G8275" t="s">
        <v>6251</v>
      </c>
      <c r="H8275" s="12">
        <v>-1.0569679448465401</v>
      </c>
      <c r="I8275" s="20">
        <v>-0.27406348956327897</v>
      </c>
      <c r="J8275" s="28">
        <v>0.78403583106681496</v>
      </c>
      <c r="K8275" s="29">
        <v>0.98289565623980701</v>
      </c>
    </row>
    <row r="8276" spans="1:11" x14ac:dyDescent="0.35">
      <c r="A8276" s="9" t="str">
        <f>HYPERLINK("http://www.ensembl.org/id/WBGene00000764", "WBGene00000764")</f>
        <v>WBGene00000764</v>
      </c>
      <c r="B8276" s="9" t="str">
        <f>HYPERLINK("http://www.ncbi.nlm.nih.gov/gene/171966", "171966")</f>
        <v>171966</v>
      </c>
      <c r="C8276" s="9" t="str">
        <f>HYPERLINK("http://www.ncbi.nlm.nih.gov/gene/51117", "51117")</f>
        <v>51117</v>
      </c>
      <c r="D8276" t="str">
        <f>"coq-4"</f>
        <v>coq-4</v>
      </c>
      <c r="E8276" t="s">
        <v>7627</v>
      </c>
      <c r="F8276" t="s">
        <v>11</v>
      </c>
      <c r="G8276" t="s">
        <v>7628</v>
      </c>
      <c r="H8276" s="12">
        <v>-1.13679943735679</v>
      </c>
      <c r="I8276" s="20">
        <v>-0.56299826944051501</v>
      </c>
      <c r="J8276" s="28">
        <v>0.57343606235433897</v>
      </c>
      <c r="K8276" s="29">
        <v>0.98289565623980701</v>
      </c>
    </row>
    <row r="8277" spans="1:11" x14ac:dyDescent="0.35">
      <c r="A8277" s="9" t="str">
        <f>HYPERLINK("http://www.ensembl.org/id/WBGene00000765", "WBGene00000765")</f>
        <v>WBGene00000765</v>
      </c>
      <c r="B8277" s="9" t="str">
        <f>HYPERLINK("http://www.ncbi.nlm.nih.gov/gene/176099", "176099")</f>
        <v>176099</v>
      </c>
      <c r="C8277" s="9" t="str">
        <f>HYPERLINK("http://www.ncbi.nlm.nih.gov/gene/84274", "84274")</f>
        <v>84274</v>
      </c>
      <c r="D8277" t="str">
        <f>"coq-5"</f>
        <v>coq-5</v>
      </c>
      <c r="E8277" t="s">
        <v>6995</v>
      </c>
      <c r="F8277" t="s">
        <v>11</v>
      </c>
      <c r="G8277" t="s">
        <v>2778</v>
      </c>
      <c r="H8277" s="12">
        <v>-1.10154136864906</v>
      </c>
      <c r="I8277" s="20">
        <v>-0.46238876433717302</v>
      </c>
      <c r="J8277" s="28">
        <v>0.64380255516177398</v>
      </c>
      <c r="K8277" s="29">
        <v>0.98289565623980701</v>
      </c>
    </row>
    <row r="8278" spans="1:11" x14ac:dyDescent="0.35">
      <c r="A8278" s="9" t="str">
        <f>HYPERLINK("http://www.ensembl.org/id/WBGene00000766", "WBGene00000766")</f>
        <v>WBGene00000766</v>
      </c>
      <c r="B8278" s="9" t="str">
        <f>HYPERLINK("http://www.ncbi.nlm.nih.gov/gene/179316", "179316")</f>
        <v>179316</v>
      </c>
      <c r="C8278" s="9" t="str">
        <f>HYPERLINK("http://www.ncbi.nlm.nih.gov/gene/51004", "51004")</f>
        <v>51004</v>
      </c>
      <c r="D8278" t="str">
        <f>"coq-6"</f>
        <v>coq-6</v>
      </c>
      <c r="E8278" t="s">
        <v>8347</v>
      </c>
      <c r="F8278" t="s">
        <v>11</v>
      </c>
      <c r="G8278" t="s">
        <v>8348</v>
      </c>
      <c r="H8278" s="12">
        <v>-1.1726943211163501</v>
      </c>
      <c r="I8278" s="20">
        <v>-0.81381344010752499</v>
      </c>
      <c r="J8278" s="28">
        <v>0.41575183440527003</v>
      </c>
      <c r="K8278" s="29">
        <v>0.98289565623980701</v>
      </c>
    </row>
    <row r="8279" spans="1:11" x14ac:dyDescent="0.35">
      <c r="A8279" s="9" t="str">
        <f>HYPERLINK("http://www.ensembl.org/id/WBGene00000767", "WBGene00000767")</f>
        <v>WBGene00000767</v>
      </c>
      <c r="B8279" s="9" t="str">
        <f>HYPERLINK("http://www.ncbi.nlm.nih.gov/gene/175647", "175647")</f>
        <v>175647</v>
      </c>
      <c r="C8279" s="9" t="str">
        <f>HYPERLINK("http://www.ncbi.nlm.nih.gov/gene/56997", "56997")</f>
        <v>56997</v>
      </c>
      <c r="D8279" t="str">
        <f>"coq-8"</f>
        <v>coq-8</v>
      </c>
      <c r="E8279" t="s">
        <v>8058</v>
      </c>
      <c r="F8279" t="s">
        <v>11</v>
      </c>
      <c r="H8279" s="12">
        <v>-1.1590754100021501</v>
      </c>
      <c r="I8279" s="20">
        <v>-0.74165621902663303</v>
      </c>
      <c r="J8279" s="28">
        <v>0.45829565216805601</v>
      </c>
      <c r="K8279" s="29">
        <v>0.98289565623980701</v>
      </c>
    </row>
    <row r="8280" spans="1:11" x14ac:dyDescent="0.35">
      <c r="A8280" s="9" t="str">
        <f>HYPERLINK("http://www.ensembl.org/id/WBGene00011875", "WBGene00011875")</f>
        <v>WBGene00011875</v>
      </c>
      <c r="B8280" s="9" t="str">
        <f>HYPERLINK("http://www.ncbi.nlm.nih.gov/gene/259528", "259528")</f>
        <v>259528</v>
      </c>
      <c r="C8280" s="9"/>
      <c r="D8280" t="str">
        <f>"cox-14"</f>
        <v>cox-14</v>
      </c>
      <c r="E8280" t="s">
        <v>2659</v>
      </c>
      <c r="F8280" t="s">
        <v>11</v>
      </c>
      <c r="G8280" t="s">
        <v>25</v>
      </c>
      <c r="H8280" s="12">
        <v>-1.11809151603829</v>
      </c>
      <c r="I8280" s="20">
        <v>-0.49950382484163403</v>
      </c>
      <c r="J8280" s="28">
        <v>0.61742449291718904</v>
      </c>
      <c r="K8280" s="29">
        <v>0.98289565623980701</v>
      </c>
    </row>
    <row r="8281" spans="1:11" x14ac:dyDescent="0.35">
      <c r="A8281" s="9" t="str">
        <f>HYPERLINK("http://www.ensembl.org/id/WBGene00016062", "WBGene00016062")</f>
        <v>WBGene00016062</v>
      </c>
      <c r="B8281" s="9" t="str">
        <f>HYPERLINK("http://www.ncbi.nlm.nih.gov/gene/178937", "178937")</f>
        <v>178937</v>
      </c>
      <c r="C8281" s="9"/>
      <c r="D8281" t="str">
        <f>"cox-16"</f>
        <v>cox-16</v>
      </c>
      <c r="E8281" t="s">
        <v>8508</v>
      </c>
      <c r="F8281" t="s">
        <v>11</v>
      </c>
      <c r="G8281" t="s">
        <v>8509</v>
      </c>
      <c r="H8281" s="12">
        <v>-1.1812153094303399</v>
      </c>
      <c r="I8281" s="20">
        <v>-0.87223006313274698</v>
      </c>
      <c r="J8281" s="28">
        <v>0.383082882026753</v>
      </c>
      <c r="K8281" s="29">
        <v>0.98289565623980701</v>
      </c>
    </row>
    <row r="8282" spans="1:11" x14ac:dyDescent="0.35">
      <c r="A8282" s="9" t="str">
        <f>HYPERLINK("http://www.ensembl.org/id/WBGene00018240", "WBGene00018240")</f>
        <v>WBGene00018240</v>
      </c>
      <c r="B8282" s="9" t="str">
        <f>HYPERLINK("http://www.ncbi.nlm.nih.gov/gene/175186", "175186")</f>
        <v>175186</v>
      </c>
      <c r="C8282" s="9"/>
      <c r="D8282" t="str">
        <f>"cox-17"</f>
        <v>cox-17</v>
      </c>
      <c r="E8282" t="s">
        <v>2659</v>
      </c>
      <c r="F8282" t="s">
        <v>11</v>
      </c>
      <c r="G8282" t="s">
        <v>8240</v>
      </c>
      <c r="H8282" s="12">
        <v>-1.16723411978307</v>
      </c>
      <c r="I8282" s="20">
        <v>-0.55014854005101699</v>
      </c>
      <c r="J8282" s="28">
        <v>0.58221749594323302</v>
      </c>
      <c r="K8282" s="29">
        <v>0.98289565623980701</v>
      </c>
    </row>
    <row r="8283" spans="1:11" x14ac:dyDescent="0.35">
      <c r="A8283" s="9" t="str">
        <f>HYPERLINK("http://www.ensembl.org/id/WBGene00012553", "WBGene00012553")</f>
        <v>WBGene00012553</v>
      </c>
      <c r="B8283" s="9" t="str">
        <f>HYPERLINK("http://www.ncbi.nlm.nih.gov/gene/176707", "176707")</f>
        <v>176707</v>
      </c>
      <c r="C8283" s="9" t="str">
        <f>HYPERLINK("http://www.ncbi.nlm.nih.gov/gene/9377", "9377")</f>
        <v>9377</v>
      </c>
      <c r="D8283" t="str">
        <f>"cox-5A"</f>
        <v>cox-5A</v>
      </c>
      <c r="E8283" t="s">
        <v>6191</v>
      </c>
      <c r="F8283" t="s">
        <v>11</v>
      </c>
      <c r="G8283" t="s">
        <v>6192</v>
      </c>
      <c r="H8283" s="12">
        <v>-1.0527295105788601</v>
      </c>
      <c r="I8283" s="20">
        <v>-0.27988739368631399</v>
      </c>
      <c r="J8283" s="28">
        <v>0.779563899231145</v>
      </c>
      <c r="K8283" s="29">
        <v>0.98289565623980701</v>
      </c>
    </row>
    <row r="8284" spans="1:11" x14ac:dyDescent="0.35">
      <c r="A8284" s="9" t="str">
        <f>HYPERLINK("http://www.ensembl.org/id/WBGene00006519", "WBGene00006519")</f>
        <v>WBGene00006519</v>
      </c>
      <c r="B8284" s="9" t="str">
        <f>HYPERLINK("http://www.ncbi.nlm.nih.gov/gene/175693", "175693")</f>
        <v>175693</v>
      </c>
      <c r="C8284" s="9"/>
      <c r="D8284" t="str">
        <f>"cox-6A"</f>
        <v>cox-6A</v>
      </c>
      <c r="E8284" t="s">
        <v>7209</v>
      </c>
      <c r="F8284" t="s">
        <v>11</v>
      </c>
      <c r="G8284" t="s">
        <v>7210</v>
      </c>
      <c r="H8284" s="12">
        <v>-1.1137758802291</v>
      </c>
      <c r="I8284" s="20">
        <v>-0.576258945865323</v>
      </c>
      <c r="J8284" s="28">
        <v>0.56444016774786798</v>
      </c>
      <c r="K8284" s="29">
        <v>0.98289565623980701</v>
      </c>
    </row>
    <row r="8285" spans="1:11" x14ac:dyDescent="0.35">
      <c r="A8285" s="9" t="str">
        <f>HYPERLINK("http://www.ensembl.org/id/WBGene00017926", "WBGene00017926")</f>
        <v>WBGene00017926</v>
      </c>
      <c r="B8285" s="9" t="str">
        <f>HYPERLINK("http://www.ncbi.nlm.nih.gov/gene/176828", "176828")</f>
        <v>176828</v>
      </c>
      <c r="C8285" s="9"/>
      <c r="D8285" t="str">
        <f>"cox-6C"</f>
        <v>cox-6C</v>
      </c>
      <c r="E8285" t="s">
        <v>2659</v>
      </c>
      <c r="F8285" t="s">
        <v>11</v>
      </c>
      <c r="G8285" t="s">
        <v>935</v>
      </c>
      <c r="H8285" s="12">
        <v>1.0637149771371399</v>
      </c>
      <c r="I8285" s="20">
        <v>0.327974669996833</v>
      </c>
      <c r="J8285" s="28">
        <v>0.74293081468555699</v>
      </c>
      <c r="K8285" s="29">
        <v>0.98289565623980701</v>
      </c>
    </row>
    <row r="8286" spans="1:11" x14ac:dyDescent="0.35">
      <c r="A8286" s="9" t="str">
        <f>HYPERLINK("http://www.ensembl.org/id/WBGene00009161", "WBGene00009161")</f>
        <v>WBGene00009161</v>
      </c>
      <c r="B8286" s="9" t="str">
        <f>HYPERLINK("http://www.ncbi.nlm.nih.gov/gene/3565338", "3565338")</f>
        <v>3565338</v>
      </c>
      <c r="C8286" s="9"/>
      <c r="D8286" t="str">
        <f>"cox-7C"</f>
        <v>cox-7C</v>
      </c>
      <c r="E8286" t="s">
        <v>2659</v>
      </c>
      <c r="F8286" t="s">
        <v>11</v>
      </c>
      <c r="G8286" t="s">
        <v>6310</v>
      </c>
      <c r="H8286" s="12">
        <v>-1.06192730652898</v>
      </c>
      <c r="I8286" s="20">
        <v>-0.33203236469360298</v>
      </c>
      <c r="J8286" s="28">
        <v>0.73986482051548397</v>
      </c>
      <c r="K8286" s="29">
        <v>0.98289565623980701</v>
      </c>
    </row>
    <row r="8287" spans="1:11" x14ac:dyDescent="0.35">
      <c r="A8287" s="9" t="str">
        <f>HYPERLINK("http://www.ensembl.org/id/WBGene00000771", "WBGene00000771")</f>
        <v>WBGene00000771</v>
      </c>
      <c r="B8287" s="9" t="str">
        <f>HYPERLINK("http://www.ncbi.nlm.nih.gov/gene/174027", "174027")</f>
        <v>174027</v>
      </c>
      <c r="C8287" s="9"/>
      <c r="D8287" t="str">
        <f>"cpb-2"</f>
        <v>cpb-2</v>
      </c>
      <c r="E8287" t="s">
        <v>4478</v>
      </c>
      <c r="F8287" t="s">
        <v>11</v>
      </c>
      <c r="G8287" t="s">
        <v>367</v>
      </c>
      <c r="H8287" s="12">
        <v>1.9112844722647699</v>
      </c>
      <c r="I8287" s="20">
        <v>0.61815535284985401</v>
      </c>
      <c r="J8287" s="28">
        <v>0.53647293749923897</v>
      </c>
      <c r="K8287" s="29">
        <v>0.98289565623980701</v>
      </c>
    </row>
    <row r="8288" spans="1:11" x14ac:dyDescent="0.35">
      <c r="A8288" s="9" t="str">
        <f>HYPERLINK("http://www.ensembl.org/id/WBGene00012073", "WBGene00012073")</f>
        <v>WBGene00012073</v>
      </c>
      <c r="B8288" s="9" t="str">
        <f>HYPERLINK("http://www.ncbi.nlm.nih.gov/gene/181684", "181684")</f>
        <v>181684</v>
      </c>
      <c r="C8288" s="9" t="str">
        <f>HYPERLINK("http://www.ncbi.nlm.nih.gov/gene/1362", "1362")</f>
        <v>1362</v>
      </c>
      <c r="D8288" t="str">
        <f>"cpd-2"</f>
        <v>cpd-2</v>
      </c>
      <c r="E8288" t="s">
        <v>5655</v>
      </c>
      <c r="F8288" t="s">
        <v>11</v>
      </c>
      <c r="G8288" t="s">
        <v>5656</v>
      </c>
      <c r="H8288" s="12">
        <v>1.1282777505570201</v>
      </c>
      <c r="I8288" s="20">
        <v>0.52678766421635104</v>
      </c>
      <c r="J8288" s="28">
        <v>0.59834105025200501</v>
      </c>
      <c r="K8288" s="29">
        <v>0.98289565623980701</v>
      </c>
    </row>
    <row r="8289" spans="1:11" x14ac:dyDescent="0.35">
      <c r="A8289" s="9" t="str">
        <f>HYPERLINK("http://www.ensembl.org/id/WBGene00000774", "WBGene00000774")</f>
        <v>WBGene00000774</v>
      </c>
      <c r="B8289" s="9" t="str">
        <f>HYPERLINK("http://www.ncbi.nlm.nih.gov/gene/176742", "176742")</f>
        <v>176742</v>
      </c>
      <c r="C8289" s="9"/>
      <c r="D8289" t="str">
        <f>"cpf-2"</f>
        <v>cpf-2</v>
      </c>
      <c r="E8289" t="s">
        <v>3551</v>
      </c>
      <c r="F8289" t="s">
        <v>11</v>
      </c>
      <c r="G8289" t="s">
        <v>7972</v>
      </c>
      <c r="H8289" s="12">
        <v>-1.154161652407</v>
      </c>
      <c r="I8289" s="20">
        <v>-0.67928760042692804</v>
      </c>
      <c r="J8289" s="28">
        <v>0.49695565145024201</v>
      </c>
      <c r="K8289" s="29">
        <v>0.98289565623980701</v>
      </c>
    </row>
    <row r="8290" spans="1:11" x14ac:dyDescent="0.35">
      <c r="A8290" s="9" t="str">
        <f>HYPERLINK("http://www.ensembl.org/id/WBGene00019357", "WBGene00019357")</f>
        <v>WBGene00019357</v>
      </c>
      <c r="B8290" s="9" t="str">
        <f>HYPERLINK("http://www.ncbi.nlm.nih.gov/gene/178860", "178860")</f>
        <v>178860</v>
      </c>
      <c r="C8290" s="9"/>
      <c r="D8290" t="str">
        <f>"cpg-8"</f>
        <v>cpg-8</v>
      </c>
      <c r="E8290" t="s">
        <v>8224</v>
      </c>
      <c r="F8290" t="s">
        <v>11</v>
      </c>
      <c r="H8290" s="12">
        <v>-1.1666587622692099</v>
      </c>
      <c r="I8290" s="20">
        <v>-0.78173863484932804</v>
      </c>
      <c r="J8290" s="28">
        <v>0.43436819133013699</v>
      </c>
      <c r="K8290" s="29">
        <v>0.98289565623980701</v>
      </c>
    </row>
    <row r="8291" spans="1:11" x14ac:dyDescent="0.35">
      <c r="A8291" s="9" t="str">
        <f>HYPERLINK("http://www.ensembl.org/id/WBGene00022072", "WBGene00022072")</f>
        <v>WBGene00022072</v>
      </c>
      <c r="B8291" s="9" t="str">
        <f>HYPERLINK("http://www.ncbi.nlm.nih.gov/gene/177087", "177087")</f>
        <v>177087</v>
      </c>
      <c r="C8291" s="9"/>
      <c r="D8291" t="str">
        <f>"cpg-9"</f>
        <v>cpg-9</v>
      </c>
      <c r="E8291" t="s">
        <v>9685</v>
      </c>
      <c r="F8291" t="s">
        <v>11</v>
      </c>
      <c r="H8291" s="12">
        <v>-1.2806427894244701</v>
      </c>
      <c r="I8291" s="20">
        <v>-1.0186538065972099</v>
      </c>
      <c r="J8291" s="28">
        <v>0.30836735002593602</v>
      </c>
      <c r="K8291" s="29">
        <v>0.98289565623980701</v>
      </c>
    </row>
    <row r="8292" spans="1:11" x14ac:dyDescent="0.35">
      <c r="A8292" s="9" t="str">
        <f>HYPERLINK("http://www.ensembl.org/id/WBGene00000775", "WBGene00000775")</f>
        <v>WBGene00000775</v>
      </c>
      <c r="B8292" s="9" t="str">
        <f>HYPERLINK("http://www.ncbi.nlm.nih.gov/gene/185473", "185473")</f>
        <v>185473</v>
      </c>
      <c r="C8292" s="9"/>
      <c r="D8292" t="str">
        <f>"cpin-1"</f>
        <v>cpin-1</v>
      </c>
      <c r="E8292" t="s">
        <v>5357</v>
      </c>
      <c r="F8292" t="s">
        <v>11</v>
      </c>
      <c r="G8292" t="s">
        <v>5358</v>
      </c>
      <c r="H8292" s="12">
        <v>1.1836919660245699</v>
      </c>
      <c r="I8292" s="20">
        <v>0.76165925065165896</v>
      </c>
      <c r="J8292" s="28">
        <v>0.44626340194935199</v>
      </c>
      <c r="K8292" s="29">
        <v>0.98289565623980701</v>
      </c>
    </row>
    <row r="8293" spans="1:11" x14ac:dyDescent="0.35">
      <c r="A8293" s="9" t="str">
        <f>HYPERLINK("http://www.ensembl.org/id/WBGene00000778", "WBGene00000778")</f>
        <v>WBGene00000778</v>
      </c>
      <c r="B8293" s="9" t="str">
        <f>HYPERLINK("http://www.ncbi.nlm.nih.gov/gene/173424", "173424")</f>
        <v>173424</v>
      </c>
      <c r="C8293" s="9" t="str">
        <f>HYPERLINK("http://www.ncbi.nlm.nih.gov/gene/29114", "29114")</f>
        <v>29114</v>
      </c>
      <c r="D8293" t="str">
        <f>"cpn-2"</f>
        <v>cpn-2</v>
      </c>
      <c r="E8293" t="s">
        <v>7133</v>
      </c>
      <c r="F8293" t="s">
        <v>11</v>
      </c>
      <c r="G8293" t="s">
        <v>54</v>
      </c>
      <c r="H8293" s="12">
        <v>-1.10889239676915</v>
      </c>
      <c r="I8293" s="20">
        <v>-0.36591064601228601</v>
      </c>
      <c r="J8293" s="28">
        <v>0.71443175209179499</v>
      </c>
      <c r="K8293" s="29">
        <v>0.98289565623980701</v>
      </c>
    </row>
    <row r="8294" spans="1:11" x14ac:dyDescent="0.35">
      <c r="A8294" s="9" t="str">
        <f>HYPERLINK("http://www.ensembl.org/id/WBGene00000779", "WBGene00000779")</f>
        <v>WBGene00000779</v>
      </c>
      <c r="B8294" s="9" t="str">
        <f>HYPERLINK("http://www.ncbi.nlm.nih.gov/gene/171986", "171986")</f>
        <v>171986</v>
      </c>
      <c r="C8294" s="9"/>
      <c r="D8294" t="str">
        <f>"cpn-3"</f>
        <v>cpn-3</v>
      </c>
      <c r="E8294" t="s">
        <v>5062</v>
      </c>
      <c r="F8294" t="s">
        <v>11</v>
      </c>
      <c r="G8294" t="s">
        <v>8727</v>
      </c>
      <c r="H8294" s="12">
        <v>-1.19335924198178</v>
      </c>
      <c r="I8294" s="20">
        <v>-0.82711240607562297</v>
      </c>
      <c r="J8294" s="28">
        <v>0.40817335312991598</v>
      </c>
      <c r="K8294" s="29">
        <v>0.98289565623980701</v>
      </c>
    </row>
    <row r="8295" spans="1:11" x14ac:dyDescent="0.35">
      <c r="A8295" s="9" t="str">
        <f>HYPERLINK("http://www.ensembl.org/id/WBGene00000780", "WBGene00000780")</f>
        <v>WBGene00000780</v>
      </c>
      <c r="B8295" s="9" t="str">
        <f>HYPERLINK("http://www.ncbi.nlm.nih.gov/gene/172996", "172996")</f>
        <v>172996</v>
      </c>
      <c r="C8295" s="9"/>
      <c r="D8295" t="str">
        <f>"cpn-4"</f>
        <v>cpn-4</v>
      </c>
      <c r="E8295" t="s">
        <v>5062</v>
      </c>
      <c r="F8295" t="s">
        <v>11</v>
      </c>
      <c r="G8295" t="s">
        <v>54</v>
      </c>
      <c r="H8295" s="12">
        <v>1.2490597105527199</v>
      </c>
      <c r="I8295" s="20">
        <v>1.14173461958808</v>
      </c>
      <c r="J8295" s="28">
        <v>0.25356434599813199</v>
      </c>
      <c r="K8295" s="29">
        <v>0.98289565623980701</v>
      </c>
    </row>
    <row r="8296" spans="1:11" x14ac:dyDescent="0.35">
      <c r="A8296" s="9" t="str">
        <f>HYPERLINK("http://www.ensembl.org/id/WBGene00006495", "WBGene00006495")</f>
        <v>WBGene00006495</v>
      </c>
      <c r="B8296" s="9" t="str">
        <f>HYPERLINK("http://www.ncbi.nlm.nih.gov/gene/173753", "173753")</f>
        <v>173753</v>
      </c>
      <c r="C8296" s="9"/>
      <c r="D8296" t="str">
        <f>"cpna-1"</f>
        <v>cpna-1</v>
      </c>
      <c r="E8296" t="s">
        <v>9063</v>
      </c>
      <c r="F8296" t="s">
        <v>11</v>
      </c>
      <c r="H8296" s="12">
        <v>-1.2176678962612399</v>
      </c>
      <c r="I8296" s="20">
        <v>-1.0076494318784901</v>
      </c>
      <c r="J8296" s="28">
        <v>0.31362278920598202</v>
      </c>
      <c r="K8296" s="29">
        <v>0.98289565623980701</v>
      </c>
    </row>
    <row r="8297" spans="1:11" x14ac:dyDescent="0.35">
      <c r="A8297" s="9" t="str">
        <f>HYPERLINK("http://www.ensembl.org/id/WBGene00007044", "WBGene00007044")</f>
        <v>WBGene00007044</v>
      </c>
      <c r="B8297" s="9" t="str">
        <f>HYPERLINK("http://www.ncbi.nlm.nih.gov/gene/174248", "174248")</f>
        <v>174248</v>
      </c>
      <c r="C8297" s="9"/>
      <c r="D8297" t="str">
        <f>"cpna-5"</f>
        <v>cpna-5</v>
      </c>
      <c r="E8297" t="s">
        <v>5195</v>
      </c>
      <c r="F8297" t="s">
        <v>11</v>
      </c>
      <c r="H8297" s="12">
        <v>1.2178741300589899</v>
      </c>
      <c r="I8297" s="20">
        <v>0.95573430877876298</v>
      </c>
      <c r="J8297" s="28">
        <v>0.33920648431574602</v>
      </c>
      <c r="K8297" s="29">
        <v>0.98289565623980701</v>
      </c>
    </row>
    <row r="8298" spans="1:11" x14ac:dyDescent="0.35">
      <c r="A8298" s="9" t="str">
        <f>HYPERLINK("http://www.ensembl.org/id/WBGene00000782", "WBGene00000782")</f>
        <v>WBGene00000782</v>
      </c>
      <c r="B8298" s="9" t="str">
        <f>HYPERLINK("http://www.ncbi.nlm.nih.gov/gene/185355", "185355")</f>
        <v>185355</v>
      </c>
      <c r="C8298" s="9"/>
      <c r="D8298" t="str">
        <f>"cpr-2"</f>
        <v>cpr-2</v>
      </c>
      <c r="E8298" t="s">
        <v>10028</v>
      </c>
      <c r="F8298" t="s">
        <v>11</v>
      </c>
      <c r="G8298" t="s">
        <v>180</v>
      </c>
      <c r="H8298" s="12">
        <v>-4.1158526890092704</v>
      </c>
      <c r="I8298" s="20">
        <v>-1.1297269879062499</v>
      </c>
      <c r="J8298" s="28">
        <v>0.25859128163267397</v>
      </c>
      <c r="K8298" s="29">
        <v>0.98289565623980701</v>
      </c>
    </row>
    <row r="8299" spans="1:11" x14ac:dyDescent="0.35">
      <c r="A8299" s="9" t="str">
        <f>HYPERLINK("http://www.ensembl.org/id/WBGene00000783", "WBGene00000783")</f>
        <v>WBGene00000783</v>
      </c>
      <c r="B8299" s="9" t="str">
        <f>HYPERLINK("http://www.ncbi.nlm.nih.gov/gene/180033", "180033")</f>
        <v>180033</v>
      </c>
      <c r="C8299" s="9"/>
      <c r="D8299" t="str">
        <f>"cpr-3"</f>
        <v>cpr-3</v>
      </c>
      <c r="E8299" t="s">
        <v>5168</v>
      </c>
      <c r="F8299" t="s">
        <v>11</v>
      </c>
      <c r="G8299" t="s">
        <v>187</v>
      </c>
      <c r="H8299" s="12">
        <v>1.2242479145246301</v>
      </c>
      <c r="I8299" s="20">
        <v>0.93536756239936503</v>
      </c>
      <c r="J8299" s="28">
        <v>0.34959890771970598</v>
      </c>
      <c r="K8299" s="29">
        <v>0.98289565623980701</v>
      </c>
    </row>
    <row r="8300" spans="1:11" x14ac:dyDescent="0.35">
      <c r="A8300" s="9" t="str">
        <f>HYPERLINK("http://www.ensembl.org/id/WBGene00000786", "WBGene00000786")</f>
        <v>WBGene00000786</v>
      </c>
      <c r="B8300" s="9" t="str">
        <f>HYPERLINK("http://www.ncbi.nlm.nih.gov/gene/180931", "180931")</f>
        <v>180931</v>
      </c>
      <c r="C8300" s="9"/>
      <c r="D8300" t="str">
        <f>"cpr-6"</f>
        <v>cpr-6</v>
      </c>
      <c r="E8300" t="s">
        <v>6599</v>
      </c>
      <c r="F8300" t="s">
        <v>11</v>
      </c>
      <c r="G8300" t="s">
        <v>187</v>
      </c>
      <c r="H8300" s="12">
        <v>-1.07885162835392</v>
      </c>
      <c r="I8300" s="20">
        <v>-0.42848059090773299</v>
      </c>
      <c r="J8300" s="28">
        <v>0.66830126140525004</v>
      </c>
      <c r="K8300" s="29">
        <v>0.98289565623980701</v>
      </c>
    </row>
    <row r="8301" spans="1:11" x14ac:dyDescent="0.35">
      <c r="A8301" s="9" t="str">
        <f>HYPERLINK("http://www.ensembl.org/id/WBGene00021070", "WBGene00021070")</f>
        <v>WBGene00021070</v>
      </c>
      <c r="B8301" s="9" t="str">
        <f>HYPERLINK("http://www.ncbi.nlm.nih.gov/gene/178613", "178613")</f>
        <v>178613</v>
      </c>
      <c r="C8301" s="9"/>
      <c r="D8301" t="str">
        <f>"cpr-8"</f>
        <v>cpr-8</v>
      </c>
      <c r="E8301" t="s">
        <v>10028</v>
      </c>
      <c r="F8301" t="s">
        <v>11</v>
      </c>
      <c r="G8301" t="s">
        <v>180</v>
      </c>
      <c r="H8301" s="12">
        <v>-1.8724834004529001</v>
      </c>
      <c r="I8301" s="20">
        <v>-0.94005592326794296</v>
      </c>
      <c r="J8301" s="28">
        <v>0.34718887600538101</v>
      </c>
      <c r="K8301" s="29">
        <v>0.98289565623980701</v>
      </c>
    </row>
    <row r="8302" spans="1:11" x14ac:dyDescent="0.35">
      <c r="A8302" s="9" t="str">
        <f>HYPERLINK("http://www.ensembl.org/id/WBGene00012907", "WBGene00012907")</f>
        <v>WBGene00012907</v>
      </c>
      <c r="B8302" s="9" t="str">
        <f>HYPERLINK("http://www.ncbi.nlm.nih.gov/gene/174912", "174912")</f>
        <v>174912</v>
      </c>
      <c r="C8302" s="9"/>
      <c r="D8302" t="str">
        <f>"cpt-1"</f>
        <v>cpt-1</v>
      </c>
      <c r="E8302" t="s">
        <v>2671</v>
      </c>
      <c r="F8302" t="s">
        <v>11</v>
      </c>
      <c r="G8302" t="s">
        <v>7134</v>
      </c>
      <c r="H8302" s="12">
        <v>-1.1091166769188501</v>
      </c>
      <c r="I8302" s="20">
        <v>-0.57412601210791403</v>
      </c>
      <c r="J8302" s="28">
        <v>0.56588253214497497</v>
      </c>
      <c r="K8302" s="29">
        <v>0.98289565623980701</v>
      </c>
    </row>
    <row r="8303" spans="1:11" x14ac:dyDescent="0.35">
      <c r="A8303" s="9" t="str">
        <f>HYPERLINK("http://www.ensembl.org/id/WBGene00011122", "WBGene00011122")</f>
        <v>WBGene00011122</v>
      </c>
      <c r="B8303" s="9" t="str">
        <f>HYPERLINK("http://www.ncbi.nlm.nih.gov/gene/178025", "178025")</f>
        <v>178025</v>
      </c>
      <c r="C8303" s="9" t="str">
        <f>HYPERLINK("http://www.ncbi.nlm.nih.gov/gene/1376", "1376")</f>
        <v>1376</v>
      </c>
      <c r="D8303" t="str">
        <f>"cpt-2"</f>
        <v>cpt-2</v>
      </c>
      <c r="E8303" t="s">
        <v>2671</v>
      </c>
      <c r="F8303" t="s">
        <v>11</v>
      </c>
      <c r="G8303" t="s">
        <v>6400</v>
      </c>
      <c r="H8303" s="12">
        <v>-1.0672409118469399</v>
      </c>
      <c r="I8303" s="20">
        <v>-0.35738270204809203</v>
      </c>
      <c r="J8303" s="28">
        <v>0.72080532463777602</v>
      </c>
      <c r="K8303" s="29">
        <v>0.98289565623980701</v>
      </c>
    </row>
    <row r="8304" spans="1:11" x14ac:dyDescent="0.35">
      <c r="A8304" s="9" t="str">
        <f>HYPERLINK("http://www.ensembl.org/id/WBGene00019644", "WBGene00019644")</f>
        <v>WBGene00019644</v>
      </c>
      <c r="B8304" s="9" t="str">
        <f>HYPERLINK("http://www.ncbi.nlm.nih.gov/gene/178889", "178889")</f>
        <v>178889</v>
      </c>
      <c r="C8304" s="9"/>
      <c r="D8304" t="str">
        <f>"cpt-4"</f>
        <v>cpt-4</v>
      </c>
      <c r="E8304" t="s">
        <v>2671</v>
      </c>
      <c r="F8304" t="s">
        <v>11</v>
      </c>
      <c r="G8304" t="s">
        <v>2672</v>
      </c>
      <c r="H8304" s="12">
        <v>-1.2737785178388199</v>
      </c>
      <c r="I8304" s="20">
        <v>-0.87140486628536795</v>
      </c>
      <c r="J8304" s="28">
        <v>0.38353312967256498</v>
      </c>
      <c r="K8304" s="29">
        <v>0.98289565623980701</v>
      </c>
    </row>
    <row r="8305" spans="1:11" x14ac:dyDescent="0.35">
      <c r="A8305" s="9" t="str">
        <f>HYPERLINK("http://www.ensembl.org/id/WBGene00000793", "WBGene00000793")</f>
        <v>WBGene00000793</v>
      </c>
      <c r="B8305" s="9" t="str">
        <f>HYPERLINK("http://www.ncbi.nlm.nih.gov/gene/176597", "176597")</f>
        <v>176597</v>
      </c>
      <c r="C8305" s="9"/>
      <c r="D8305" t="str">
        <f>"crh-1"</f>
        <v>crh-1</v>
      </c>
      <c r="E8305" t="s">
        <v>5599</v>
      </c>
      <c r="F8305" t="s">
        <v>11</v>
      </c>
      <c r="G8305" t="s">
        <v>5600</v>
      </c>
      <c r="H8305" s="12">
        <v>1.13700426535399</v>
      </c>
      <c r="I8305" s="20">
        <v>0.66405321726852995</v>
      </c>
      <c r="J8305" s="28">
        <v>0.50665625100963396</v>
      </c>
      <c r="K8305" s="29">
        <v>0.98289565623980701</v>
      </c>
    </row>
    <row r="8306" spans="1:11" x14ac:dyDescent="0.35">
      <c r="A8306" s="9" t="str">
        <f>HYPERLINK("http://www.ensembl.org/id/WBGene00016162", "WBGene00016162")</f>
        <v>WBGene00016162</v>
      </c>
      <c r="B8306" s="9" t="str">
        <f>HYPERLINK("http://www.ncbi.nlm.nih.gov/gene/259434", "259434")</f>
        <v>259434</v>
      </c>
      <c r="C8306" s="9"/>
      <c r="D8306" t="str">
        <f>"crh-2"</f>
        <v>crh-2</v>
      </c>
      <c r="E8306" t="s">
        <v>9163</v>
      </c>
      <c r="F8306" t="s">
        <v>11</v>
      </c>
      <c r="G8306" t="s">
        <v>9164</v>
      </c>
      <c r="H8306" s="12">
        <v>-1.2255396450011999</v>
      </c>
      <c r="I8306" s="20">
        <v>-1.10287065256254</v>
      </c>
      <c r="J8306" s="28">
        <v>0.27008334047605698</v>
      </c>
      <c r="K8306" s="29">
        <v>0.98289565623980701</v>
      </c>
    </row>
    <row r="8307" spans="1:11" x14ac:dyDescent="0.35">
      <c r="A8307" s="9" t="str">
        <f>HYPERLINK("http://www.ensembl.org/id/WBGene00010614", "WBGene00010614")</f>
        <v>WBGene00010614</v>
      </c>
      <c r="B8307" s="9" t="str">
        <f>HYPERLINK("http://www.ncbi.nlm.nih.gov/gene/187082", "187082")</f>
        <v>187082</v>
      </c>
      <c r="C8307" s="9"/>
      <c r="D8307" t="str">
        <f>"cri-1"</f>
        <v>cri-1</v>
      </c>
      <c r="E8307" t="s">
        <v>5095</v>
      </c>
      <c r="F8307" t="s">
        <v>11</v>
      </c>
      <c r="H8307" s="12">
        <v>1.2419039853324001</v>
      </c>
      <c r="I8307" s="20">
        <v>0.42294917724505898</v>
      </c>
      <c r="J8307" s="28">
        <v>0.67233234184956503</v>
      </c>
      <c r="K8307" s="29">
        <v>0.98289565623980701</v>
      </c>
    </row>
    <row r="8308" spans="1:11" x14ac:dyDescent="0.35">
      <c r="A8308" s="9" t="str">
        <f>HYPERLINK("http://www.ensembl.org/id/WBGene00019478", "WBGene00019478")</f>
        <v>WBGene00019478</v>
      </c>
      <c r="B8308" s="9" t="str">
        <f>HYPERLINK("http://www.ncbi.nlm.nih.gov/gene/179197", "179197")</f>
        <v>179197</v>
      </c>
      <c r="C8308" s="9"/>
      <c r="D8308" t="str">
        <f>"cri-2"</f>
        <v>cri-2</v>
      </c>
      <c r="E8308" t="s">
        <v>6018</v>
      </c>
      <c r="F8308" t="s">
        <v>11</v>
      </c>
      <c r="G8308" t="s">
        <v>6019</v>
      </c>
      <c r="H8308" s="12">
        <v>1.0722562670270399</v>
      </c>
      <c r="I8308" s="20">
        <v>0.36207428547175702</v>
      </c>
      <c r="J8308" s="28">
        <v>0.71729651903041503</v>
      </c>
      <c r="K8308" s="29">
        <v>0.98289565623980701</v>
      </c>
    </row>
    <row r="8309" spans="1:11" x14ac:dyDescent="0.35">
      <c r="A8309" s="9" t="str">
        <f>HYPERLINK("http://www.ensembl.org/id/WBGene00000794", "WBGene00000794")</f>
        <v>WBGene00000794</v>
      </c>
      <c r="B8309" s="9" t="str">
        <f>HYPERLINK("http://www.ncbi.nlm.nih.gov/gene/171917", "171917")</f>
        <v>171917</v>
      </c>
      <c r="C8309" s="9" t="str">
        <f>HYPERLINK("http://www.ncbi.nlm.nih.gov/gene/2237", "2237")</f>
        <v>2237</v>
      </c>
      <c r="D8309" t="str">
        <f>"crn-1"</f>
        <v>crn-1</v>
      </c>
      <c r="E8309" t="s">
        <v>9259</v>
      </c>
      <c r="F8309" t="s">
        <v>11</v>
      </c>
      <c r="G8309" t="s">
        <v>9260</v>
      </c>
      <c r="H8309" s="12">
        <v>-1.2313079489100001</v>
      </c>
      <c r="I8309" s="20">
        <v>-0.931149276970069</v>
      </c>
      <c r="J8309" s="28">
        <v>0.35177635161083198</v>
      </c>
      <c r="K8309" s="29">
        <v>0.98289565623980701</v>
      </c>
    </row>
    <row r="8310" spans="1:11" x14ac:dyDescent="0.35">
      <c r="A8310" s="9" t="str">
        <f>HYPERLINK("http://www.ensembl.org/id/WBGene00000795", "WBGene00000795")</f>
        <v>WBGene00000795</v>
      </c>
      <c r="B8310" s="9" t="str">
        <f>HYPERLINK("http://www.ncbi.nlm.nih.gov/gene/178945", "178945")</f>
        <v>178945</v>
      </c>
      <c r="C8310" s="9"/>
      <c r="D8310" t="str">
        <f>"crn-2"</f>
        <v>crn-2</v>
      </c>
      <c r="E8310" t="s">
        <v>8309</v>
      </c>
      <c r="F8310" t="s">
        <v>11</v>
      </c>
      <c r="G8310" t="s">
        <v>8310</v>
      </c>
      <c r="H8310" s="12">
        <v>-1.17049279760154</v>
      </c>
      <c r="I8310" s="20">
        <v>-0.67750912332952096</v>
      </c>
      <c r="J8310" s="28">
        <v>0.49808298352158997</v>
      </c>
      <c r="K8310" s="29">
        <v>0.98289565623980701</v>
      </c>
    </row>
    <row r="8311" spans="1:11" x14ac:dyDescent="0.35">
      <c r="A8311" s="9" t="str">
        <f>HYPERLINK("http://www.ensembl.org/id/WBGene00000796", "WBGene00000796")</f>
        <v>WBGene00000796</v>
      </c>
      <c r="B8311" s="9" t="str">
        <f>HYPERLINK("http://www.ncbi.nlm.nih.gov/gene/3565889", "3565889")</f>
        <v>3565889</v>
      </c>
      <c r="C8311" s="9"/>
      <c r="D8311" t="str">
        <f>"crn-3"</f>
        <v>crn-3</v>
      </c>
      <c r="E8311" t="s">
        <v>9126</v>
      </c>
      <c r="F8311" t="s">
        <v>11</v>
      </c>
      <c r="G8311" t="s">
        <v>9127</v>
      </c>
      <c r="H8311" s="12">
        <v>-1.22267742724009</v>
      </c>
      <c r="I8311" s="20">
        <v>-0.94234947696051197</v>
      </c>
      <c r="J8311" s="28">
        <v>0.34601374479881503</v>
      </c>
      <c r="K8311" s="29">
        <v>0.98289565623980701</v>
      </c>
    </row>
    <row r="8312" spans="1:11" x14ac:dyDescent="0.35">
      <c r="A8312" s="9" t="str">
        <f>HYPERLINK("http://www.ensembl.org/id/WBGene00000798", "WBGene00000798")</f>
        <v>WBGene00000798</v>
      </c>
      <c r="B8312" s="9" t="str">
        <f>HYPERLINK("http://www.ncbi.nlm.nih.gov/gene/174634", "174634")</f>
        <v>174634</v>
      </c>
      <c r="C8312" s="9" t="str">
        <f>HYPERLINK("http://www.ncbi.nlm.nih.gov/gene/56915", "56915")</f>
        <v>56915</v>
      </c>
      <c r="D8312" t="str">
        <f>"crn-5"</f>
        <v>crn-5</v>
      </c>
      <c r="E8312" t="s">
        <v>9546</v>
      </c>
      <c r="F8312" t="s">
        <v>11</v>
      </c>
      <c r="G8312" t="s">
        <v>9547</v>
      </c>
      <c r="H8312" s="12">
        <v>-1.2570744615827201</v>
      </c>
      <c r="I8312" s="20">
        <v>-0.920830621169616</v>
      </c>
      <c r="J8312" s="28">
        <v>0.357138865218177</v>
      </c>
      <c r="K8312" s="29">
        <v>0.98289565623980701</v>
      </c>
    </row>
    <row r="8313" spans="1:11" x14ac:dyDescent="0.35">
      <c r="A8313" s="9" t="str">
        <f>HYPERLINK("http://www.ensembl.org/id/WBGene00000799", "WBGene00000799")</f>
        <v>WBGene00000799</v>
      </c>
      <c r="B8313" s="9" t="str">
        <f>HYPERLINK("http://www.ncbi.nlm.nih.gov/gene/176316", "176316")</f>
        <v>176316</v>
      </c>
      <c r="C8313" s="9" t="str">
        <f>HYPERLINK("http://www.ncbi.nlm.nih.gov/gene/58511", "58511")</f>
        <v>58511</v>
      </c>
      <c r="D8313" t="str">
        <f>"crn-6"</f>
        <v>crn-6</v>
      </c>
      <c r="E8313" t="s">
        <v>4866</v>
      </c>
      <c r="F8313" t="s">
        <v>11</v>
      </c>
      <c r="G8313" t="s">
        <v>4867</v>
      </c>
      <c r="H8313" s="12">
        <v>1.32627917196165</v>
      </c>
      <c r="I8313" s="20">
        <v>1.0104543199095199</v>
      </c>
      <c r="J8313" s="28">
        <v>0.31227767431563802</v>
      </c>
      <c r="K8313" s="29">
        <v>0.98289565623980701</v>
      </c>
    </row>
    <row r="8314" spans="1:11" x14ac:dyDescent="0.35">
      <c r="A8314" s="9" t="str">
        <f>HYPERLINK("http://www.ensembl.org/id/WBGene00012532", "WBGene00012532")</f>
        <v>WBGene00012532</v>
      </c>
      <c r="B8314" s="9" t="str">
        <f>HYPERLINK("http://www.ncbi.nlm.nih.gov/gene/179462", "179462")</f>
        <v>179462</v>
      </c>
      <c r="C8314" s="9"/>
      <c r="D8314" t="str">
        <f>"crp-1"</f>
        <v>crp-1</v>
      </c>
      <c r="E8314" t="s">
        <v>5005</v>
      </c>
      <c r="F8314" t="s">
        <v>11</v>
      </c>
      <c r="G8314" t="s">
        <v>5006</v>
      </c>
      <c r="H8314" s="12">
        <v>1.2644762749906899</v>
      </c>
      <c r="I8314" s="20">
        <v>1.00726788605081</v>
      </c>
      <c r="J8314" s="28">
        <v>0.313806057861856</v>
      </c>
      <c r="K8314" s="29">
        <v>0.98289565623980701</v>
      </c>
    </row>
    <row r="8315" spans="1:11" x14ac:dyDescent="0.35">
      <c r="A8315" s="9" t="str">
        <f>HYPERLINK("http://www.ensembl.org/id/WBGene00021237", "WBGene00021237")</f>
        <v>WBGene00021237</v>
      </c>
      <c r="B8315" s="9" t="str">
        <f>HYPERLINK("http://www.ncbi.nlm.nih.gov/gene/259368", "259368")</f>
        <v>259368</v>
      </c>
      <c r="C8315" s="9"/>
      <c r="D8315" t="str">
        <f>"crtc-1"</f>
        <v>crtc-1</v>
      </c>
      <c r="E8315" t="s">
        <v>8129</v>
      </c>
      <c r="F8315" t="s">
        <v>11</v>
      </c>
      <c r="G8315" t="s">
        <v>8130</v>
      </c>
      <c r="H8315" s="12">
        <v>-1.1616949807742001</v>
      </c>
      <c r="I8315" s="20">
        <v>-0.76464402608951398</v>
      </c>
      <c r="J8315" s="28">
        <v>0.44448354535767898</v>
      </c>
      <c r="K8315" s="29">
        <v>0.98289565623980701</v>
      </c>
    </row>
    <row r="8316" spans="1:11" x14ac:dyDescent="0.35">
      <c r="A8316" s="9" t="str">
        <f>HYPERLINK("http://www.ensembl.org/id/WBGene00000803", "WBGene00000803")</f>
        <v>WBGene00000803</v>
      </c>
      <c r="B8316" s="9" t="str">
        <f>HYPERLINK("http://www.ncbi.nlm.nih.gov/gene/181674", "181674")</f>
        <v>181674</v>
      </c>
      <c r="C8316" s="9"/>
      <c r="D8316" t="str">
        <f>"csb-1"</f>
        <v>csb-1</v>
      </c>
      <c r="E8316" t="s">
        <v>9807</v>
      </c>
      <c r="F8316" t="s">
        <v>11</v>
      </c>
      <c r="G8316" t="s">
        <v>9808</v>
      </c>
      <c r="H8316" s="12">
        <v>-1.3074156674833699</v>
      </c>
      <c r="I8316" s="20">
        <v>-1.1956943586804401</v>
      </c>
      <c r="J8316" s="28">
        <v>0.23181585362316501</v>
      </c>
      <c r="K8316" s="29">
        <v>0.98289565623980701</v>
      </c>
    </row>
    <row r="8317" spans="1:11" x14ac:dyDescent="0.35">
      <c r="A8317" s="9" t="str">
        <f>HYPERLINK("http://www.ensembl.org/id/WBGene00000812", "WBGene00000812")</f>
        <v>WBGene00000812</v>
      </c>
      <c r="B8317" s="9" t="str">
        <f>HYPERLINK("http://www.ncbi.nlm.nih.gov/gene/266817", "266817")</f>
        <v>266817</v>
      </c>
      <c r="C8317" s="9" t="str">
        <f>HYPERLINK("http://www.ncbi.nlm.nih.gov/gene/1445", "1445")</f>
        <v>1445</v>
      </c>
      <c r="D8317" t="str">
        <f>"csk-1"</f>
        <v>csk-1</v>
      </c>
      <c r="E8317" t="s">
        <v>6922</v>
      </c>
      <c r="F8317" t="s">
        <v>11</v>
      </c>
      <c r="G8317" t="s">
        <v>5790</v>
      </c>
      <c r="H8317" s="12">
        <v>-1.0976561914113701</v>
      </c>
      <c r="I8317" s="20">
        <v>-0.496678920720099</v>
      </c>
      <c r="J8317" s="28">
        <v>0.61941548951096004</v>
      </c>
      <c r="K8317" s="29">
        <v>0.98289565623980701</v>
      </c>
    </row>
    <row r="8318" spans="1:11" x14ac:dyDescent="0.35">
      <c r="A8318" s="9" t="str">
        <f>HYPERLINK("http://www.ensembl.org/id/WBGene00000813", "WBGene00000813")</f>
        <v>WBGene00000813</v>
      </c>
      <c r="B8318" s="9" t="str">
        <f>HYPERLINK("http://www.ncbi.nlm.nih.gov/gene/180168", "180168")</f>
        <v>180168</v>
      </c>
      <c r="C8318" s="9"/>
      <c r="D8318" t="str">
        <f>"csn-1"</f>
        <v>csn-1</v>
      </c>
      <c r="E8318" t="s">
        <v>7432</v>
      </c>
      <c r="F8318" t="s">
        <v>11</v>
      </c>
      <c r="G8318" t="s">
        <v>7433</v>
      </c>
      <c r="H8318" s="12">
        <v>-1.1253739994626599</v>
      </c>
      <c r="I8318" s="20">
        <v>-0.59904945544866794</v>
      </c>
      <c r="J8318" s="28">
        <v>0.54913990574839799</v>
      </c>
      <c r="K8318" s="29">
        <v>0.98289565623980701</v>
      </c>
    </row>
    <row r="8319" spans="1:11" x14ac:dyDescent="0.35">
      <c r="A8319" s="9" t="str">
        <f>HYPERLINK("http://www.ensembl.org/id/WBGene00000815", "WBGene00000815")</f>
        <v>WBGene00000815</v>
      </c>
      <c r="B8319" s="9" t="str">
        <f>HYPERLINK("http://www.ncbi.nlm.nih.gov/gene/176834", "176834")</f>
        <v>176834</v>
      </c>
      <c r="C8319" s="9"/>
      <c r="D8319" t="str">
        <f>"csn-3"</f>
        <v>csn-3</v>
      </c>
      <c r="E8319" t="s">
        <v>7762</v>
      </c>
      <c r="F8319" t="s">
        <v>11</v>
      </c>
      <c r="G8319" t="s">
        <v>3556</v>
      </c>
      <c r="H8319" s="12">
        <v>-1.1429537937805001</v>
      </c>
      <c r="I8319" s="20">
        <v>-0.67123202942814297</v>
      </c>
      <c r="J8319" s="28">
        <v>0.50207272738382003</v>
      </c>
      <c r="K8319" s="29">
        <v>0.98289565623980701</v>
      </c>
    </row>
    <row r="8320" spans="1:11" x14ac:dyDescent="0.35">
      <c r="A8320" s="9" t="str">
        <f>HYPERLINK("http://www.ensembl.org/id/WBGene00000818", "WBGene00000818")</f>
        <v>WBGene00000818</v>
      </c>
      <c r="B8320" s="9" t="str">
        <f>HYPERLINK("http://www.ncbi.nlm.nih.gov/gene/178289", "178289")</f>
        <v>178289</v>
      </c>
      <c r="C8320" s="9" t="str">
        <f>HYPERLINK("http://www.ncbi.nlm.nih.gov/gene/10980", "10980")</f>
        <v>10980</v>
      </c>
      <c r="D8320" t="str">
        <f>"csn-6"</f>
        <v>csn-6</v>
      </c>
      <c r="E8320" t="s">
        <v>8353</v>
      </c>
      <c r="F8320" t="s">
        <v>11</v>
      </c>
      <c r="G8320" t="s">
        <v>8354</v>
      </c>
      <c r="H8320" s="12">
        <v>-1.1730599930565699</v>
      </c>
      <c r="I8320" s="20">
        <v>-0.77940801907498802</v>
      </c>
      <c r="J8320" s="28">
        <v>0.43573940153763402</v>
      </c>
      <c r="K8320" s="29">
        <v>0.98289565623980701</v>
      </c>
    </row>
    <row r="8321" spans="1:11" x14ac:dyDescent="0.35">
      <c r="A8321" s="9" t="str">
        <f>HYPERLINK("http://www.ensembl.org/id/WBGene00013709", "WBGene00013709")</f>
        <v>WBGene00013709</v>
      </c>
      <c r="B8321" s="9" t="str">
        <f>HYPERLINK("http://www.ncbi.nlm.nih.gov/gene/172891", "172891")</f>
        <v>172891</v>
      </c>
      <c r="C8321" s="9" t="str">
        <f>HYPERLINK("http://www.ncbi.nlm.nih.gov/gene/1455", "1455")</f>
        <v>1455</v>
      </c>
      <c r="D8321" t="str">
        <f>"csnk-1"</f>
        <v>csnk-1</v>
      </c>
      <c r="E8321" t="s">
        <v>7135</v>
      </c>
      <c r="F8321" t="s">
        <v>11</v>
      </c>
      <c r="G8321" t="s">
        <v>444</v>
      </c>
      <c r="H8321" s="12">
        <v>-1.10928715103114</v>
      </c>
      <c r="I8321" s="20">
        <v>-0.56920092746806505</v>
      </c>
      <c r="J8321" s="28">
        <v>0.56921979132674605</v>
      </c>
      <c r="K8321" s="29">
        <v>0.98289565623980701</v>
      </c>
    </row>
    <row r="8322" spans="1:11" x14ac:dyDescent="0.35">
      <c r="A8322" s="9" t="str">
        <f>HYPERLINK("http://www.ensembl.org/id/WBGene00000819", "WBGene00000819")</f>
        <v>WBGene00000819</v>
      </c>
      <c r="B8322" s="9" t="str">
        <f>HYPERLINK("http://www.ncbi.nlm.nih.gov/gene/175007", "175007")</f>
        <v>175007</v>
      </c>
      <c r="C8322" s="9"/>
      <c r="D8322" t="str">
        <f>"csp-1"</f>
        <v>csp-1</v>
      </c>
      <c r="E8322" t="s">
        <v>9715</v>
      </c>
      <c r="F8322" t="s">
        <v>11</v>
      </c>
      <c r="G8322" t="s">
        <v>4223</v>
      </c>
      <c r="H8322" s="12">
        <v>-1.2855856619247901</v>
      </c>
      <c r="I8322" s="20">
        <v>-0.284227219769839</v>
      </c>
      <c r="J8322" s="28">
        <v>0.77623625692425002</v>
      </c>
      <c r="K8322" s="29">
        <v>0.98289565623980701</v>
      </c>
    </row>
    <row r="8323" spans="1:11" x14ac:dyDescent="0.35">
      <c r="A8323" s="9" t="str">
        <f>HYPERLINK("http://www.ensembl.org/id/WBGene00000820", "WBGene00000820")</f>
        <v>WBGene00000820</v>
      </c>
      <c r="B8323" s="9" t="str">
        <f>HYPERLINK("http://www.ncbi.nlm.nih.gov/gene/177391", "177391")</f>
        <v>177391</v>
      </c>
      <c r="C8323" s="9"/>
      <c r="D8323" t="str">
        <f>"csp-2"</f>
        <v>csp-2</v>
      </c>
      <c r="E8323" t="s">
        <v>4356</v>
      </c>
      <c r="F8323" t="s">
        <v>11</v>
      </c>
      <c r="G8323" t="s">
        <v>4223</v>
      </c>
      <c r="H8323" s="12">
        <v>2.7395614974313598</v>
      </c>
      <c r="I8323" s="20">
        <v>1.2062239078444099</v>
      </c>
      <c r="J8323" s="28">
        <v>0.227731167938721</v>
      </c>
      <c r="K8323" s="29">
        <v>0.98289565623980701</v>
      </c>
    </row>
    <row r="8324" spans="1:11" x14ac:dyDescent="0.35">
      <c r="A8324" s="9" t="str">
        <f>HYPERLINK("http://www.ensembl.org/id/WBGene00000821", "WBGene00000821")</f>
        <v>WBGene00000821</v>
      </c>
      <c r="B8324" s="9" t="str">
        <f>HYPERLINK("http://www.ncbi.nlm.nih.gov/gene/190006", "190006")</f>
        <v>190006</v>
      </c>
      <c r="C8324" s="9"/>
      <c r="D8324" t="str">
        <f>"csp-3"</f>
        <v>csp-3</v>
      </c>
      <c r="E8324" t="s">
        <v>4222</v>
      </c>
      <c r="F8324" t="s">
        <v>11</v>
      </c>
      <c r="G8324" t="s">
        <v>4223</v>
      </c>
      <c r="H8324" s="12">
        <v>9.0772675303053596</v>
      </c>
      <c r="I8324" s="20">
        <v>1.10816595108518</v>
      </c>
      <c r="J8324" s="28">
        <v>0.26779015266961897</v>
      </c>
      <c r="K8324" s="29">
        <v>0.98289565623980701</v>
      </c>
    </row>
    <row r="8325" spans="1:11" x14ac:dyDescent="0.35">
      <c r="A8325" s="9" t="str">
        <f>HYPERLINK("http://www.ensembl.org/id/WBGene00017472", "WBGene00017472")</f>
        <v>WBGene00017472</v>
      </c>
      <c r="B8325" s="9" t="str">
        <f>HYPERLINK("http://www.ncbi.nlm.nih.gov/gene/180708", "180708")</f>
        <v>180708</v>
      </c>
      <c r="C8325" s="9" t="str">
        <f>HYPERLINK("http://www.ncbi.nlm.nih.gov/gene/6788", "6788")</f>
        <v>6788</v>
      </c>
      <c r="D8325" t="str">
        <f>"cst-1"</f>
        <v>cst-1</v>
      </c>
      <c r="E8325" t="s">
        <v>4953</v>
      </c>
      <c r="F8325" t="s">
        <v>11</v>
      </c>
      <c r="G8325" t="s">
        <v>2720</v>
      </c>
      <c r="H8325" s="12">
        <v>1.28428293506168</v>
      </c>
      <c r="I8325" s="20">
        <v>1.1251087425619799</v>
      </c>
      <c r="J8325" s="28">
        <v>0.26054295707363301</v>
      </c>
      <c r="K8325" s="29">
        <v>0.98289565623980701</v>
      </c>
    </row>
    <row r="8326" spans="1:11" x14ac:dyDescent="0.35">
      <c r="A8326" s="9" t="str">
        <f>HYPERLINK("http://www.ensembl.org/id/WBGene00016038", "WBGene00016038")</f>
        <v>WBGene00016038</v>
      </c>
      <c r="B8326" s="9" t="str">
        <f>HYPERLINK("http://www.ncbi.nlm.nih.gov/gene/180707", "180707")</f>
        <v>180707</v>
      </c>
      <c r="C8326" s="9" t="str">
        <f>HYPERLINK("http://www.ncbi.nlm.nih.gov/gene/6788", "6788")</f>
        <v>6788</v>
      </c>
      <c r="D8326" t="str">
        <f>"cst-2"</f>
        <v>cst-2</v>
      </c>
      <c r="E8326" t="s">
        <v>5060</v>
      </c>
      <c r="F8326" t="s">
        <v>11</v>
      </c>
      <c r="G8326" t="s">
        <v>5061</v>
      </c>
      <c r="H8326" s="12">
        <v>1.2491389805572699</v>
      </c>
      <c r="I8326" s="20">
        <v>0.70141236949441499</v>
      </c>
      <c r="J8326" s="28">
        <v>0.48304570475171299</v>
      </c>
      <c r="K8326" s="29">
        <v>0.98289565623980701</v>
      </c>
    </row>
    <row r="8327" spans="1:11" x14ac:dyDescent="0.35">
      <c r="A8327" s="9" t="str">
        <f>HYPERLINK("http://www.ensembl.org/id/WBGene00006424", "WBGene00006424")</f>
        <v>WBGene00006424</v>
      </c>
      <c r="B8327" s="9" t="str">
        <f>HYPERLINK("http://www.ncbi.nlm.nih.gov/gene/180853", "180853")</f>
        <v>180853</v>
      </c>
      <c r="C8327" s="9" t="str">
        <f>HYPERLINK("http://www.ncbi.nlm.nih.gov/gene/1487", "1487")</f>
        <v>1487</v>
      </c>
      <c r="D8327" t="str">
        <f>"ctbp-1"</f>
        <v>ctbp-1</v>
      </c>
      <c r="E8327" t="s">
        <v>5037</v>
      </c>
      <c r="F8327" t="s">
        <v>11</v>
      </c>
      <c r="G8327" t="s">
        <v>5038</v>
      </c>
      <c r="H8327" s="12">
        <v>1.2540214535599301</v>
      </c>
      <c r="I8327" s="20">
        <v>1.00588207427322</v>
      </c>
      <c r="J8327" s="28">
        <v>0.31447230016372302</v>
      </c>
      <c r="K8327" s="29">
        <v>0.98289565623980701</v>
      </c>
    </row>
    <row r="8328" spans="1:11" x14ac:dyDescent="0.35">
      <c r="A8328" s="9" t="str">
        <f>HYPERLINK("http://www.ensembl.org/id/WBGene00007068", "WBGene00007068")</f>
        <v>WBGene00007068</v>
      </c>
      <c r="B8328" s="9" t="str">
        <f>HYPERLINK("http://www.ncbi.nlm.nih.gov/gene/181791", "181791")</f>
        <v>181791</v>
      </c>
      <c r="C8328" s="9"/>
      <c r="D8328" t="str">
        <f>"cTel55X.1"</f>
        <v>cTel55X.1</v>
      </c>
      <c r="F8328" t="s">
        <v>11</v>
      </c>
      <c r="G8328" t="s">
        <v>25</v>
      </c>
      <c r="H8328" s="12">
        <v>1.07291865398629</v>
      </c>
      <c r="I8328" s="20">
        <v>0.34186816842414902</v>
      </c>
      <c r="J8328" s="28">
        <v>0.732450105784614</v>
      </c>
      <c r="K8328" s="29">
        <v>0.98289565623980701</v>
      </c>
    </row>
    <row r="8329" spans="1:11" x14ac:dyDescent="0.35">
      <c r="A8329" s="9" t="str">
        <f>HYPERLINK("http://www.ensembl.org/id/WBGene00010676", "WBGene00010676")</f>
        <v>WBGene00010676</v>
      </c>
      <c r="B8329" s="9" t="str">
        <f>HYPERLINK("http://www.ncbi.nlm.nih.gov/gene/177879", "177879")</f>
        <v>177879</v>
      </c>
      <c r="C8329" s="9"/>
      <c r="D8329" t="str">
        <f>"ctf-18"</f>
        <v>ctf-18</v>
      </c>
      <c r="E8329" t="s">
        <v>2303</v>
      </c>
      <c r="F8329" t="s">
        <v>11</v>
      </c>
      <c r="G8329" t="s">
        <v>7348</v>
      </c>
      <c r="H8329" s="12">
        <v>-1.1207570504294599</v>
      </c>
      <c r="I8329" s="20">
        <v>-0.57503315332584004</v>
      </c>
      <c r="J8329" s="28">
        <v>0.56526887528511305</v>
      </c>
      <c r="K8329" s="29">
        <v>0.98289565623980701</v>
      </c>
    </row>
    <row r="8330" spans="1:11" x14ac:dyDescent="0.35">
      <c r="A8330" s="9" t="str">
        <f>HYPERLINK("http://www.ensembl.org/id/WBGene00022856", "WBGene00022856")</f>
        <v>WBGene00022856</v>
      </c>
      <c r="B8330" s="9" t="str">
        <f>HYPERLINK("http://www.ncbi.nlm.nih.gov/gene/174155", "174155")</f>
        <v>174155</v>
      </c>
      <c r="C8330" s="9" t="str">
        <f>HYPERLINK("http://www.ncbi.nlm.nih.gov/gene/1491", "1491")</f>
        <v>1491</v>
      </c>
      <c r="D8330" t="str">
        <f>"cth-2"</f>
        <v>cth-2</v>
      </c>
      <c r="E8330" t="s">
        <v>7003</v>
      </c>
      <c r="F8330" t="s">
        <v>11</v>
      </c>
      <c r="G8330" t="s">
        <v>7004</v>
      </c>
      <c r="H8330" s="12">
        <v>-1.10182091295644</v>
      </c>
      <c r="I8330" s="20">
        <v>-0.53029268692356202</v>
      </c>
      <c r="J8330" s="28">
        <v>0.595909016313805</v>
      </c>
      <c r="K8330" s="29">
        <v>0.98289565623980701</v>
      </c>
    </row>
    <row r="8331" spans="1:11" x14ac:dyDescent="0.35">
      <c r="A8331" s="9" t="str">
        <f>HYPERLINK("http://www.ensembl.org/id/WBGene00000830", "WBGene00000830")</f>
        <v>WBGene00000830</v>
      </c>
      <c r="B8331" s="9" t="str">
        <f>HYPERLINK("http://www.ncbi.nlm.nih.gov/gene/259738", "259738")</f>
        <v>259738</v>
      </c>
      <c r="C8331" s="9" t="str">
        <f>HYPERLINK("http://www.ncbi.nlm.nih.gov/gene/847", "847")</f>
        <v>847</v>
      </c>
      <c r="D8331" t="str">
        <f>"ctl-1"</f>
        <v>ctl-1</v>
      </c>
      <c r="E8331" t="s">
        <v>9700</v>
      </c>
      <c r="F8331" t="s">
        <v>11</v>
      </c>
      <c r="G8331" t="s">
        <v>9203</v>
      </c>
      <c r="H8331" s="12">
        <v>-1.2833143095889901</v>
      </c>
      <c r="I8331" s="20">
        <v>-1.10079796438843</v>
      </c>
      <c r="J8331" s="28">
        <v>0.27098459791500501</v>
      </c>
      <c r="K8331" s="29">
        <v>0.98289565623980701</v>
      </c>
    </row>
    <row r="8332" spans="1:11" x14ac:dyDescent="0.35">
      <c r="A8332" s="9" t="str">
        <f>HYPERLINK("http://www.ensembl.org/id/WBGene00000831", "WBGene00000831")</f>
        <v>WBGene00000831</v>
      </c>
      <c r="B8332" s="9" t="str">
        <f>HYPERLINK("http://www.ncbi.nlm.nih.gov/gene/175085", "175085")</f>
        <v>175085</v>
      </c>
      <c r="C8332" s="9" t="str">
        <f>HYPERLINK("http://www.ncbi.nlm.nih.gov/gene/847", "847")</f>
        <v>847</v>
      </c>
      <c r="D8332" t="str">
        <f>"ctl-2"</f>
        <v>ctl-2</v>
      </c>
      <c r="E8332" t="s">
        <v>9202</v>
      </c>
      <c r="F8332" t="s">
        <v>11</v>
      </c>
      <c r="G8332" t="s">
        <v>9203</v>
      </c>
      <c r="H8332" s="12">
        <v>-1.22788050404945</v>
      </c>
      <c r="I8332" s="20">
        <v>-1.1330352818792699</v>
      </c>
      <c r="J8332" s="28">
        <v>0.257199437225276</v>
      </c>
      <c r="K8332" s="29">
        <v>0.98289565623980701</v>
      </c>
    </row>
    <row r="8333" spans="1:11" x14ac:dyDescent="0.35">
      <c r="A8333" s="9" t="str">
        <f>HYPERLINK("http://www.ensembl.org/id/WBGene00013220", "WBGene00013220")</f>
        <v>WBGene00013220</v>
      </c>
      <c r="B8333" s="9" t="str">
        <f>HYPERLINK("http://www.ncbi.nlm.nih.gov/gene/175086", "175086")</f>
        <v>175086</v>
      </c>
      <c r="C8333" s="9" t="str">
        <f>HYPERLINK("http://www.ncbi.nlm.nih.gov/gene/847", "847")</f>
        <v>847</v>
      </c>
      <c r="D8333" t="str">
        <f>"ctl-3"</f>
        <v>ctl-3</v>
      </c>
      <c r="E8333" t="s">
        <v>9952</v>
      </c>
      <c r="F8333" t="s">
        <v>11</v>
      </c>
      <c r="G8333" t="s">
        <v>9953</v>
      </c>
      <c r="H8333" s="12">
        <v>-1.46172945413685</v>
      </c>
      <c r="I8333" s="20">
        <v>-1.0424269837503</v>
      </c>
      <c r="J8333" s="28">
        <v>0.29721376147774398</v>
      </c>
      <c r="K8333" s="29">
        <v>0.98289565623980701</v>
      </c>
    </row>
    <row r="8334" spans="1:11" x14ac:dyDescent="0.35">
      <c r="A8334" s="9" t="str">
        <f>HYPERLINK("http://www.ensembl.org/id/WBGene00000832", "WBGene00000832")</f>
        <v>WBGene00000832</v>
      </c>
      <c r="B8334" s="9" t="str">
        <f>HYPERLINK("http://www.ncbi.nlm.nih.gov/gene/171818", "171818")</f>
        <v>171818</v>
      </c>
      <c r="C8334" s="9" t="str">
        <f>HYPERLINK("http://www.ncbi.nlm.nih.gov/gene/8727", "8727")</f>
        <v>8727</v>
      </c>
      <c r="D8334" t="str">
        <f>"ctn-1"</f>
        <v>ctn-1</v>
      </c>
      <c r="E8334" t="s">
        <v>5251</v>
      </c>
      <c r="F8334" t="s">
        <v>11</v>
      </c>
      <c r="G8334" t="s">
        <v>5252</v>
      </c>
      <c r="H8334" s="12">
        <v>1.2042162110224801</v>
      </c>
      <c r="I8334" s="20">
        <v>0.95923212654304701</v>
      </c>
      <c r="J8334" s="28">
        <v>0.33744181939281198</v>
      </c>
      <c r="K8334" s="29">
        <v>0.98289565623980701</v>
      </c>
    </row>
    <row r="8335" spans="1:11" x14ac:dyDescent="0.35">
      <c r="A8335" s="9" t="str">
        <f>HYPERLINK("http://www.ensembl.org/id/WBGene00000833", "WBGene00000833")</f>
        <v>WBGene00000833</v>
      </c>
      <c r="B8335" s="9" t="str">
        <f>HYPERLINK("http://www.ncbi.nlm.nih.gov/gene/176437", "176437")</f>
        <v>176437</v>
      </c>
      <c r="C8335" s="9" t="str">
        <f>HYPERLINK("http://www.ncbi.nlm.nih.gov/gene/1431", "1431")</f>
        <v>1431</v>
      </c>
      <c r="D8335" t="str">
        <f>"cts-1"</f>
        <v>cts-1</v>
      </c>
      <c r="E8335" t="s">
        <v>7144</v>
      </c>
      <c r="F8335" t="s">
        <v>11</v>
      </c>
      <c r="G8335" t="s">
        <v>7145</v>
      </c>
      <c r="H8335" s="12">
        <v>-1.10991840916511</v>
      </c>
      <c r="I8335" s="20">
        <v>-0.57503047565759202</v>
      </c>
      <c r="J8335" s="28">
        <v>0.56527068618557097</v>
      </c>
      <c r="K8335" s="29">
        <v>0.98289565623980701</v>
      </c>
    </row>
    <row r="8336" spans="1:11" x14ac:dyDescent="0.35">
      <c r="A8336" s="9" t="str">
        <f>HYPERLINK("http://www.ensembl.org/id/WBGene00019605", "WBGene00019605")</f>
        <v>WBGene00019605</v>
      </c>
      <c r="B8336" s="9" t="str">
        <f>HYPERLINK("http://www.ncbi.nlm.nih.gov/gene/174057", "174057")</f>
        <v>174057</v>
      </c>
      <c r="C8336" s="9"/>
      <c r="D8336" t="str">
        <f>"ctsa-1"</f>
        <v>ctsa-1</v>
      </c>
      <c r="E8336" t="s">
        <v>9362</v>
      </c>
      <c r="F8336" t="s">
        <v>11</v>
      </c>
      <c r="G8336" t="s">
        <v>9363</v>
      </c>
      <c r="H8336" s="12">
        <v>-1.24090017843145</v>
      </c>
      <c r="I8336" s="20">
        <v>-0.39197960580130697</v>
      </c>
      <c r="J8336" s="28">
        <v>0.69507328267372603</v>
      </c>
      <c r="K8336" s="29">
        <v>0.98289565623980701</v>
      </c>
    </row>
    <row r="8337" spans="1:11" x14ac:dyDescent="0.35">
      <c r="A8337" s="9" t="str">
        <f>HYPERLINK("http://www.ensembl.org/id/WBGene00000837", "WBGene00000837")</f>
        <v>WBGene00000837</v>
      </c>
      <c r="B8337" s="9" t="str">
        <f>HYPERLINK("http://www.ncbi.nlm.nih.gov/gene/176806", "176806")</f>
        <v>176806</v>
      </c>
      <c r="C8337" s="9" t="str">
        <f>HYPERLINK("http://www.ncbi.nlm.nih.gov/gene/8453", "8453")</f>
        <v>8453</v>
      </c>
      <c r="D8337" t="str">
        <f>"cul-2"</f>
        <v>cul-2</v>
      </c>
      <c r="E8337" t="s">
        <v>7359</v>
      </c>
      <c r="F8337" t="s">
        <v>11</v>
      </c>
      <c r="G8337" t="s">
        <v>3187</v>
      </c>
      <c r="H8337" s="12">
        <v>-1.1215156169077301</v>
      </c>
      <c r="I8337" s="20">
        <v>-0.612692808447032</v>
      </c>
      <c r="J8337" s="28">
        <v>0.540079478582974</v>
      </c>
      <c r="K8337" s="29">
        <v>0.98289565623980701</v>
      </c>
    </row>
    <row r="8338" spans="1:11" x14ac:dyDescent="0.35">
      <c r="A8338" s="9" t="str">
        <f>HYPERLINK("http://www.ensembl.org/id/WBGene00000839", "WBGene00000839")</f>
        <v>WBGene00000839</v>
      </c>
      <c r="B8338" s="9" t="str">
        <f>HYPERLINK("http://www.ncbi.nlm.nih.gov/gene/174198", "174198")</f>
        <v>174198</v>
      </c>
      <c r="C8338" s="9"/>
      <c r="D8338" t="str">
        <f>"cul-4"</f>
        <v>cul-4</v>
      </c>
      <c r="E8338" t="s">
        <v>7109</v>
      </c>
      <c r="F8338" t="s">
        <v>11</v>
      </c>
      <c r="G8338" t="s">
        <v>3187</v>
      </c>
      <c r="H8338" s="12">
        <v>-1.10710446269739</v>
      </c>
      <c r="I8338" s="20">
        <v>-0.50447836225321196</v>
      </c>
      <c r="J8338" s="28">
        <v>0.61392526366428501</v>
      </c>
      <c r="K8338" s="29">
        <v>0.98289565623980701</v>
      </c>
    </row>
    <row r="8339" spans="1:11" x14ac:dyDescent="0.35">
      <c r="A8339" s="9" t="str">
        <f>HYPERLINK("http://www.ensembl.org/id/WBGene00013093", "WBGene00013093")</f>
        <v>WBGene00013093</v>
      </c>
      <c r="B8339" s="9" t="str">
        <f>HYPERLINK("http://www.ncbi.nlm.nih.gov/gene/175037", "175037")</f>
        <v>175037</v>
      </c>
      <c r="C8339" s="9"/>
      <c r="D8339" t="str">
        <f>"cup-14"</f>
        <v>cup-14</v>
      </c>
      <c r="F8339" t="s">
        <v>11</v>
      </c>
      <c r="G8339" t="s">
        <v>8273</v>
      </c>
      <c r="H8339" s="12">
        <v>-1.16831426386652</v>
      </c>
      <c r="I8339" s="20">
        <v>-0.81887403920624802</v>
      </c>
      <c r="J8339" s="28">
        <v>0.41285828297581201</v>
      </c>
      <c r="K8339" s="29">
        <v>0.98289565623980701</v>
      </c>
    </row>
    <row r="8340" spans="1:11" x14ac:dyDescent="0.35">
      <c r="A8340" s="9" t="str">
        <f>HYPERLINK("http://www.ensembl.org/id/WBGene00000843", "WBGene00000843")</f>
        <v>WBGene00000843</v>
      </c>
      <c r="B8340" s="9" t="str">
        <f>HYPERLINK("http://www.ncbi.nlm.nih.gov/gene/172915", "172915")</f>
        <v>172915</v>
      </c>
      <c r="C8340" s="9" t="str">
        <f>HYPERLINK("http://www.ncbi.nlm.nih.gov/gene/79139", "79139")</f>
        <v>79139</v>
      </c>
      <c r="D8340" t="str">
        <f>"cup-2"</f>
        <v>cup-2</v>
      </c>
      <c r="E8340" t="s">
        <v>7969</v>
      </c>
      <c r="F8340" t="s">
        <v>11</v>
      </c>
      <c r="H8340" s="12">
        <v>-1.15389884466388</v>
      </c>
      <c r="I8340" s="20">
        <v>-0.75152912236617397</v>
      </c>
      <c r="J8340" s="28">
        <v>0.452334281037996</v>
      </c>
      <c r="K8340" s="29">
        <v>0.98289565623980701</v>
      </c>
    </row>
    <row r="8341" spans="1:11" x14ac:dyDescent="0.35">
      <c r="A8341" s="9" t="str">
        <f>HYPERLINK("http://www.ensembl.org/id/WBGene00022025", "WBGene00022025")</f>
        <v>WBGene00022025</v>
      </c>
      <c r="B8341" s="9" t="str">
        <f>HYPERLINK("http://www.ncbi.nlm.nih.gov/gene/171656", "171656")</f>
        <v>171656</v>
      </c>
      <c r="C8341" s="9"/>
      <c r="D8341" t="str">
        <f>"cus-2"</f>
        <v>cus-2</v>
      </c>
      <c r="F8341" t="s">
        <v>11</v>
      </c>
      <c r="G8341" t="s">
        <v>6262</v>
      </c>
      <c r="H8341" s="12">
        <v>-1.05747953016</v>
      </c>
      <c r="I8341" s="20">
        <v>-0.26239289376040598</v>
      </c>
      <c r="J8341" s="28">
        <v>0.79301855076683503</v>
      </c>
      <c r="K8341" s="29">
        <v>0.98289565623980701</v>
      </c>
    </row>
    <row r="8342" spans="1:11" x14ac:dyDescent="0.35">
      <c r="A8342" s="9" t="str">
        <f>HYPERLINK("http://www.ensembl.org/id/WBGene00000851", "WBGene00000851")</f>
        <v>WBGene00000851</v>
      </c>
      <c r="B8342" s="9" t="str">
        <f>HYPERLINK("http://www.ncbi.nlm.nih.gov/gene/174720", "174720")</f>
        <v>174720</v>
      </c>
      <c r="C8342" s="9"/>
      <c r="D8342" t="str">
        <f>"cut-1"</f>
        <v>cut-1</v>
      </c>
      <c r="E8342" t="s">
        <v>4288</v>
      </c>
      <c r="F8342" t="s">
        <v>11</v>
      </c>
      <c r="H8342" s="12">
        <v>3.808102476447</v>
      </c>
      <c r="I8342" s="20">
        <v>0.80157955568520201</v>
      </c>
      <c r="J8342" s="28">
        <v>0.422796207648721</v>
      </c>
      <c r="K8342" s="29">
        <v>0.98289565623980701</v>
      </c>
    </row>
    <row r="8343" spans="1:11" x14ac:dyDescent="0.35">
      <c r="A8343" s="9" t="str">
        <f>HYPERLINK("http://www.ensembl.org/id/WBGene00009983", "WBGene00009983")</f>
        <v>WBGene00009983</v>
      </c>
      <c r="B8343" s="9" t="str">
        <f>HYPERLINK("http://www.ncbi.nlm.nih.gov/gene/179823", "179823")</f>
        <v>179823</v>
      </c>
      <c r="C8343" s="9"/>
      <c r="D8343" t="str">
        <f>"cut-2"</f>
        <v>cut-2</v>
      </c>
      <c r="E8343" t="s">
        <v>7878</v>
      </c>
      <c r="F8343" t="s">
        <v>11</v>
      </c>
      <c r="H8343" s="12">
        <v>-1.14931749818759</v>
      </c>
      <c r="I8343" s="20">
        <v>-0.40761567164478502</v>
      </c>
      <c r="J8343" s="28">
        <v>0.68355585691698995</v>
      </c>
      <c r="K8343" s="29">
        <v>0.98289565623980701</v>
      </c>
    </row>
    <row r="8344" spans="1:11" x14ac:dyDescent="0.35">
      <c r="A8344" s="9" t="str">
        <f>HYPERLINK("http://www.ensembl.org/id/WBGene00009041", "WBGene00009041")</f>
        <v>WBGene00009041</v>
      </c>
      <c r="B8344" s="9" t="str">
        <f>HYPERLINK("http://www.ncbi.nlm.nih.gov/gene/174347", "174347")</f>
        <v>174347</v>
      </c>
      <c r="C8344" s="9"/>
      <c r="D8344" t="str">
        <f>"cut-3"</f>
        <v>cut-3</v>
      </c>
      <c r="E8344" t="s">
        <v>614</v>
      </c>
      <c r="F8344" t="s">
        <v>11</v>
      </c>
      <c r="G8344" t="s">
        <v>615</v>
      </c>
      <c r="H8344" s="12">
        <v>-1.1297409842211299</v>
      </c>
      <c r="I8344" s="20">
        <v>-0.30026340325856199</v>
      </c>
      <c r="J8344" s="28">
        <v>0.76397624597582403</v>
      </c>
      <c r="K8344" s="29">
        <v>0.98289565623980701</v>
      </c>
    </row>
    <row r="8345" spans="1:11" x14ac:dyDescent="0.35">
      <c r="A8345" s="9" t="str">
        <f>HYPERLINK("http://www.ensembl.org/id/WBGene00011104", "WBGene00011104")</f>
        <v>WBGene00011104</v>
      </c>
      <c r="B8345" s="9" t="str">
        <f>HYPERLINK("http://www.ncbi.nlm.nih.gov/gene/187677", "187677")</f>
        <v>187677</v>
      </c>
      <c r="C8345" s="9"/>
      <c r="D8345" t="str">
        <f>"cut-5"</f>
        <v>cut-5</v>
      </c>
      <c r="E8345" t="s">
        <v>614</v>
      </c>
      <c r="F8345" t="s">
        <v>11</v>
      </c>
      <c r="G8345" t="s">
        <v>615</v>
      </c>
      <c r="H8345" s="12">
        <v>1.48260132806538</v>
      </c>
      <c r="I8345" s="20">
        <v>0.68392361062697005</v>
      </c>
      <c r="J8345" s="28">
        <v>0.49402340395328898</v>
      </c>
      <c r="K8345" s="29">
        <v>0.98289565623980701</v>
      </c>
    </row>
    <row r="8346" spans="1:11" x14ac:dyDescent="0.35">
      <c r="A8346" s="9" t="str">
        <f>HYPERLINK("http://www.ensembl.org/id/WBGene00000853", "WBGene00000853")</f>
        <v>WBGene00000853</v>
      </c>
      <c r="B8346" s="9" t="str">
        <f>HYPERLINK("http://www.ncbi.nlm.nih.gov/gene/176520", "176520")</f>
        <v>176520</v>
      </c>
      <c r="C8346" s="9"/>
      <c r="D8346" t="str">
        <f>"cut-6"</f>
        <v>cut-6</v>
      </c>
      <c r="E8346" t="s">
        <v>614</v>
      </c>
      <c r="F8346" t="s">
        <v>11</v>
      </c>
      <c r="G8346" t="s">
        <v>4666</v>
      </c>
      <c r="H8346" s="12">
        <v>1.51889396497296</v>
      </c>
      <c r="I8346" s="20">
        <v>0.88371388465612699</v>
      </c>
      <c r="J8346" s="28">
        <v>0.376850683179975</v>
      </c>
      <c r="K8346" s="29">
        <v>0.98289565623980701</v>
      </c>
    </row>
    <row r="8347" spans="1:11" x14ac:dyDescent="0.35">
      <c r="A8347" s="9" t="str">
        <f>HYPERLINK("http://www.ensembl.org/id/WBGene00022591", "WBGene00022591")</f>
        <v>WBGene00022591</v>
      </c>
      <c r="B8347" s="9" t="str">
        <f>HYPERLINK("http://www.ncbi.nlm.nih.gov/gene/172340", "172340")</f>
        <v>172340</v>
      </c>
      <c r="C8347" s="9"/>
      <c r="D8347" t="str">
        <f>"cuti-1"</f>
        <v>cuti-1</v>
      </c>
      <c r="E8347" t="s">
        <v>4987</v>
      </c>
      <c r="F8347" t="s">
        <v>11</v>
      </c>
      <c r="G8347" t="s">
        <v>4988</v>
      </c>
      <c r="H8347" s="12">
        <v>1.26891561629939</v>
      </c>
      <c r="I8347" s="20">
        <v>0.74619372168967502</v>
      </c>
      <c r="J8347" s="28">
        <v>0.45555040017917497</v>
      </c>
      <c r="K8347" s="29">
        <v>0.98289565623980701</v>
      </c>
    </row>
    <row r="8348" spans="1:11" x14ac:dyDescent="0.35">
      <c r="A8348" s="9" t="str">
        <f>HYPERLINK("http://www.ensembl.org/id/WBGene00009979", "WBGene00009979")</f>
        <v>WBGene00009979</v>
      </c>
      <c r="B8348" s="9" t="str">
        <f>HYPERLINK("http://www.ncbi.nlm.nih.gov/gene/186168", "186168")</f>
        <v>186168</v>
      </c>
      <c r="C8348" s="9"/>
      <c r="D8348" t="str">
        <f>"cutl-1"</f>
        <v>cutl-1</v>
      </c>
      <c r="E8348" t="s">
        <v>166</v>
      </c>
      <c r="F8348" t="s">
        <v>11</v>
      </c>
      <c r="G8348" t="s">
        <v>25</v>
      </c>
      <c r="H8348" s="12">
        <v>2.2823775214898601</v>
      </c>
      <c r="I8348" s="20">
        <v>0.28531617361358103</v>
      </c>
      <c r="J8348" s="28">
        <v>0.77540192285876297</v>
      </c>
      <c r="K8348" s="29">
        <v>0.98289565623980701</v>
      </c>
    </row>
    <row r="8349" spans="1:11" x14ac:dyDescent="0.35">
      <c r="A8349" s="9" t="str">
        <f>HYPERLINK("http://www.ensembl.org/id/WBGene00011443", "WBGene00011443")</f>
        <v>WBGene00011443</v>
      </c>
      <c r="B8349" s="9" t="str">
        <f>HYPERLINK("http://www.ncbi.nlm.nih.gov/gene/188066", "188066")</f>
        <v>188066</v>
      </c>
      <c r="C8349" s="9"/>
      <c r="D8349" t="str">
        <f>"cutl-11"</f>
        <v>cutl-11</v>
      </c>
      <c r="E8349" t="s">
        <v>166</v>
      </c>
      <c r="F8349" t="s">
        <v>11</v>
      </c>
      <c r="G8349" t="s">
        <v>25</v>
      </c>
      <c r="H8349" s="12">
        <v>-1.5081095252674499</v>
      </c>
      <c r="I8349" s="20">
        <v>-0.64842941151606903</v>
      </c>
      <c r="J8349" s="28">
        <v>0.51670725255749295</v>
      </c>
      <c r="K8349" s="29">
        <v>0.98289565623980701</v>
      </c>
    </row>
    <row r="8350" spans="1:11" x14ac:dyDescent="0.35">
      <c r="A8350" s="9" t="str">
        <f>HYPERLINK("http://www.ensembl.org/id/WBGene00021025", "WBGene00021025")</f>
        <v>WBGene00021025</v>
      </c>
      <c r="B8350" s="9" t="str">
        <f>HYPERLINK("http://www.ncbi.nlm.nih.gov/gene/171637", "171637")</f>
        <v>171637</v>
      </c>
      <c r="C8350" s="9"/>
      <c r="D8350" t="str">
        <f>"cutl-13"</f>
        <v>cutl-13</v>
      </c>
      <c r="E8350" t="s">
        <v>166</v>
      </c>
      <c r="F8350" t="s">
        <v>11</v>
      </c>
      <c r="G8350" t="s">
        <v>25</v>
      </c>
      <c r="H8350" s="12">
        <v>-1.15175649293689</v>
      </c>
      <c r="I8350" s="20">
        <v>-0.28705588047064301</v>
      </c>
      <c r="J8350" s="28">
        <v>0.77406953337231399</v>
      </c>
      <c r="K8350" s="29">
        <v>0.98289565623980701</v>
      </c>
    </row>
    <row r="8351" spans="1:11" x14ac:dyDescent="0.35">
      <c r="A8351" s="9" t="str">
        <f>HYPERLINK("http://www.ensembl.org/id/WBGene00015231", "WBGene00015231")</f>
        <v>WBGene00015231</v>
      </c>
      <c r="B8351" s="9" t="str">
        <f>HYPERLINK("http://www.ncbi.nlm.nih.gov/gene/182018", "182018")</f>
        <v>182018</v>
      </c>
      <c r="C8351" s="9"/>
      <c r="D8351" t="str">
        <f>"cutl-14"</f>
        <v>cutl-14</v>
      </c>
      <c r="E8351" t="s">
        <v>166</v>
      </c>
      <c r="F8351" t="s">
        <v>11</v>
      </c>
      <c r="H8351" s="12">
        <v>1.6000872153804</v>
      </c>
      <c r="I8351" s="20">
        <v>0.72348986715516095</v>
      </c>
      <c r="J8351" s="28">
        <v>0.46937897719612898</v>
      </c>
      <c r="K8351" s="29">
        <v>0.98289565623980701</v>
      </c>
    </row>
    <row r="8352" spans="1:11" x14ac:dyDescent="0.35">
      <c r="A8352" s="9" t="str">
        <f>HYPERLINK("http://www.ensembl.org/id/WBGene00009541", "WBGene00009541")</f>
        <v>WBGene00009541</v>
      </c>
      <c r="B8352" s="9" t="str">
        <f>HYPERLINK("http://www.ncbi.nlm.nih.gov/gene/185474", "185474")</f>
        <v>185474</v>
      </c>
      <c r="C8352" s="9"/>
      <c r="D8352" t="str">
        <f>"cutl-17"</f>
        <v>cutl-17</v>
      </c>
      <c r="E8352" t="s">
        <v>166</v>
      </c>
      <c r="F8352" t="s">
        <v>11</v>
      </c>
      <c r="G8352" t="s">
        <v>25</v>
      </c>
      <c r="H8352" s="12">
        <v>1.7983589814532399</v>
      </c>
      <c r="I8352" s="20">
        <v>0.93146927911834898</v>
      </c>
      <c r="J8352" s="28">
        <v>0.351610868710165</v>
      </c>
      <c r="K8352" s="29">
        <v>0.98289565623980701</v>
      </c>
    </row>
    <row r="8353" spans="1:11" x14ac:dyDescent="0.35">
      <c r="A8353" s="9" t="str">
        <f>HYPERLINK("http://www.ensembl.org/id/WBGene00022533", "WBGene00022533")</f>
        <v>WBGene00022533</v>
      </c>
      <c r="B8353" s="9" t="str">
        <f>HYPERLINK("http://www.ncbi.nlm.nih.gov/gene/191090", "191090")</f>
        <v>191090</v>
      </c>
      <c r="C8353" s="9"/>
      <c r="D8353" t="str">
        <f>"cutl-19"</f>
        <v>cutl-19</v>
      </c>
      <c r="E8353" t="s">
        <v>8075</v>
      </c>
      <c r="F8353" t="s">
        <v>11</v>
      </c>
      <c r="H8353" s="12">
        <v>-1.1597266503108501</v>
      </c>
      <c r="I8353" s="20">
        <v>-0.37295506041544502</v>
      </c>
      <c r="J8353" s="28">
        <v>0.70918189127618503</v>
      </c>
      <c r="K8353" s="29">
        <v>0.98289565623980701</v>
      </c>
    </row>
    <row r="8354" spans="1:11" x14ac:dyDescent="0.35">
      <c r="A8354" s="9" t="str">
        <f>HYPERLINK("http://www.ensembl.org/id/WBGene00013145", "WBGene00013145")</f>
        <v>WBGene00013145</v>
      </c>
      <c r="B8354" s="9" t="str">
        <f>HYPERLINK("http://www.ncbi.nlm.nih.gov/gene/174532", "174532")</f>
        <v>174532</v>
      </c>
      <c r="C8354" s="9"/>
      <c r="D8354" t="str">
        <f>"cutl-2"</f>
        <v>cutl-2</v>
      </c>
      <c r="E8354" t="s">
        <v>166</v>
      </c>
      <c r="F8354" t="s">
        <v>11</v>
      </c>
      <c r="H8354" s="12">
        <v>-1.23508438935367</v>
      </c>
      <c r="I8354" s="20">
        <v>-0.76428265395769501</v>
      </c>
      <c r="J8354" s="28">
        <v>0.444698820040975</v>
      </c>
      <c r="K8354" s="29">
        <v>0.98289565623980701</v>
      </c>
    </row>
    <row r="8355" spans="1:11" x14ac:dyDescent="0.35">
      <c r="A8355" s="9" t="str">
        <f>HYPERLINK("http://www.ensembl.org/id/WBGene00018861", "WBGene00018861")</f>
        <v>WBGene00018861</v>
      </c>
      <c r="B8355" s="9" t="str">
        <f>HYPERLINK("http://www.ncbi.nlm.nih.gov/gene/180453", "180453")</f>
        <v>180453</v>
      </c>
      <c r="C8355" s="9"/>
      <c r="D8355" t="str">
        <f>"cutl-21"</f>
        <v>cutl-21</v>
      </c>
      <c r="E8355" t="s">
        <v>166</v>
      </c>
      <c r="F8355" t="s">
        <v>11</v>
      </c>
      <c r="G8355" t="s">
        <v>25</v>
      </c>
      <c r="H8355" s="12">
        <v>1.56746975518349</v>
      </c>
      <c r="I8355" s="20">
        <v>1.1828862559195299</v>
      </c>
      <c r="J8355" s="28">
        <v>0.236854229387989</v>
      </c>
      <c r="K8355" s="29">
        <v>0.98289565623980701</v>
      </c>
    </row>
    <row r="8356" spans="1:11" x14ac:dyDescent="0.35">
      <c r="A8356" s="9" t="str">
        <f>HYPERLINK("http://www.ensembl.org/id/WBGene00021343", "WBGene00021343")</f>
        <v>WBGene00021343</v>
      </c>
      <c r="B8356" s="9" t="str">
        <f>HYPERLINK("http://www.ncbi.nlm.nih.gov/gene/189610", "189610")</f>
        <v>189610</v>
      </c>
      <c r="C8356" s="9"/>
      <c r="D8356" t="str">
        <f>"cutl-23"</f>
        <v>cutl-23</v>
      </c>
      <c r="E8356" t="s">
        <v>166</v>
      </c>
      <c r="F8356" t="s">
        <v>11</v>
      </c>
      <c r="H8356" s="12">
        <v>-1.54983674793074</v>
      </c>
      <c r="I8356" s="20">
        <v>-1.1128786360042699</v>
      </c>
      <c r="J8356" s="28">
        <v>0.265760556639904</v>
      </c>
      <c r="K8356" s="29">
        <v>0.98289565623980701</v>
      </c>
    </row>
    <row r="8357" spans="1:11" x14ac:dyDescent="0.35">
      <c r="A8357" s="9" t="str">
        <f>HYPERLINK("http://www.ensembl.org/id/WBGene00021396", "WBGene00021396")</f>
        <v>WBGene00021396</v>
      </c>
      <c r="B8357" s="9" t="str">
        <f>HYPERLINK("http://www.ncbi.nlm.nih.gov/gene/176831", "176831")</f>
        <v>176831</v>
      </c>
      <c r="C8357" s="9"/>
      <c r="D8357" t="str">
        <f>"cutl-24"</f>
        <v>cutl-24</v>
      </c>
      <c r="E8357" t="s">
        <v>166</v>
      </c>
      <c r="F8357" t="s">
        <v>11</v>
      </c>
      <c r="G8357" t="s">
        <v>25</v>
      </c>
      <c r="H8357" s="12">
        <v>1.16555643189528</v>
      </c>
      <c r="I8357" s="20">
        <v>0.52548432198877004</v>
      </c>
      <c r="J8357" s="28">
        <v>0.59924654931548904</v>
      </c>
      <c r="K8357" s="29">
        <v>0.98289565623980701</v>
      </c>
    </row>
    <row r="8358" spans="1:11" x14ac:dyDescent="0.35">
      <c r="A8358" s="9" t="str">
        <f>HYPERLINK("http://www.ensembl.org/id/WBGene00007802", "WBGene00007802")</f>
        <v>WBGene00007802</v>
      </c>
      <c r="B8358" s="9" t="str">
        <f>HYPERLINK("http://www.ncbi.nlm.nih.gov/gene/183003", "183003")</f>
        <v>183003</v>
      </c>
      <c r="C8358" s="9"/>
      <c r="D8358" t="str">
        <f>"cutl-27"</f>
        <v>cutl-27</v>
      </c>
      <c r="E8358" t="s">
        <v>166</v>
      </c>
      <c r="F8358" t="s">
        <v>11</v>
      </c>
      <c r="G8358" t="s">
        <v>25</v>
      </c>
      <c r="H8358" s="12">
        <v>-2.4776259695220002</v>
      </c>
      <c r="I8358" s="20">
        <v>-0.53628417372137804</v>
      </c>
      <c r="J8358" s="28">
        <v>0.59176216678320903</v>
      </c>
      <c r="K8358" s="29">
        <v>0.98289565623980701</v>
      </c>
    </row>
    <row r="8359" spans="1:11" x14ac:dyDescent="0.35">
      <c r="A8359" s="9" t="str">
        <f>HYPERLINK("http://www.ensembl.org/id/WBGene00017421", "WBGene00017421")</f>
        <v>WBGene00017421</v>
      </c>
      <c r="B8359" s="9" t="str">
        <f>HYPERLINK("http://www.ncbi.nlm.nih.gov/gene/181081", "181081")</f>
        <v>181081</v>
      </c>
      <c r="C8359" s="9"/>
      <c r="D8359" t="str">
        <f>"cutl-29"</f>
        <v>cutl-29</v>
      </c>
      <c r="E8359" t="s">
        <v>166</v>
      </c>
      <c r="F8359" t="s">
        <v>11</v>
      </c>
      <c r="G8359" t="s">
        <v>25</v>
      </c>
      <c r="H8359" s="12">
        <v>1.08206544282532</v>
      </c>
      <c r="I8359" s="20">
        <v>0.25436546409169503</v>
      </c>
      <c r="J8359" s="28">
        <v>0.79921322932987504</v>
      </c>
      <c r="K8359" s="29">
        <v>0.98289565623980701</v>
      </c>
    </row>
    <row r="8360" spans="1:11" x14ac:dyDescent="0.35">
      <c r="A8360" s="9" t="str">
        <f>HYPERLINK("http://www.ensembl.org/id/WBGene00012304", "WBGene00012304")</f>
        <v>WBGene00012304</v>
      </c>
      <c r="B8360" s="9" t="str">
        <f>HYPERLINK("http://www.ncbi.nlm.nih.gov/gene/189246", "189246")</f>
        <v>189246</v>
      </c>
      <c r="C8360" s="9"/>
      <c r="D8360" t="str">
        <f>"cutl-4"</f>
        <v>cutl-4</v>
      </c>
      <c r="E8360" t="s">
        <v>166</v>
      </c>
      <c r="F8360" t="s">
        <v>11</v>
      </c>
      <c r="G8360" t="s">
        <v>25</v>
      </c>
      <c r="H8360" s="12">
        <v>1.7398818631900601</v>
      </c>
      <c r="I8360" s="20">
        <v>0.25758420064897097</v>
      </c>
      <c r="J8360" s="28">
        <v>0.79672782440079903</v>
      </c>
      <c r="K8360" s="29">
        <v>0.98289565623980701</v>
      </c>
    </row>
    <row r="8361" spans="1:11" x14ac:dyDescent="0.35">
      <c r="A8361" s="9" t="str">
        <f>HYPERLINK("http://www.ensembl.org/id/WBGene00017351", "WBGene00017351")</f>
        <v>WBGene00017351</v>
      </c>
      <c r="B8361" s="9" t="str">
        <f>HYPERLINK("http://www.ncbi.nlm.nih.gov/gene/184302", "184302")</f>
        <v>184302</v>
      </c>
      <c r="C8361" s="9"/>
      <c r="D8361" t="str">
        <f>"cutl-5"</f>
        <v>cutl-5</v>
      </c>
      <c r="E8361" t="s">
        <v>166</v>
      </c>
      <c r="F8361" t="s">
        <v>11</v>
      </c>
      <c r="G8361" t="s">
        <v>25</v>
      </c>
      <c r="H8361" s="12">
        <v>-9.4168116491312706</v>
      </c>
      <c r="I8361" s="20">
        <v>-1.0568794096159799</v>
      </c>
      <c r="J8361" s="28">
        <v>0.29056662673001599</v>
      </c>
      <c r="K8361" s="29">
        <v>0.98289565623980701</v>
      </c>
    </row>
    <row r="8362" spans="1:11" x14ac:dyDescent="0.35">
      <c r="A8362" s="9" t="str">
        <f>HYPERLINK("http://www.ensembl.org/id/WBGene00012165", "WBGene00012165")</f>
        <v>WBGene00012165</v>
      </c>
      <c r="B8362" s="9" t="str">
        <f>HYPERLINK("http://www.ncbi.nlm.nih.gov/gene/189075", "189075")</f>
        <v>189075</v>
      </c>
      <c r="C8362" s="9"/>
      <c r="D8362" t="str">
        <f>"cutl-6"</f>
        <v>cutl-6</v>
      </c>
      <c r="E8362" t="s">
        <v>166</v>
      </c>
      <c r="F8362" t="s">
        <v>11</v>
      </c>
      <c r="G8362" t="s">
        <v>25</v>
      </c>
      <c r="H8362" s="12">
        <v>1.1966245682988801</v>
      </c>
      <c r="I8362" s="20">
        <v>0.42387021640338002</v>
      </c>
      <c r="J8362" s="28">
        <v>0.671660466195241</v>
      </c>
      <c r="K8362" s="29">
        <v>0.98289565623980701</v>
      </c>
    </row>
    <row r="8363" spans="1:11" x14ac:dyDescent="0.35">
      <c r="A8363" s="9" t="str">
        <f>HYPERLINK("http://www.ensembl.org/id/WBGene00009961", "WBGene00009961")</f>
        <v>WBGene00009961</v>
      </c>
      <c r="B8363" s="9" t="str">
        <f>HYPERLINK("http://www.ncbi.nlm.nih.gov/gene/186153", "186153")</f>
        <v>186153</v>
      </c>
      <c r="C8363" s="9"/>
      <c r="D8363" t="str">
        <f>"cutl-7"</f>
        <v>cutl-7</v>
      </c>
      <c r="E8363" t="s">
        <v>166</v>
      </c>
      <c r="F8363" t="s">
        <v>11</v>
      </c>
      <c r="G8363" t="s">
        <v>25</v>
      </c>
      <c r="H8363" s="12">
        <v>-2.2402294109016201</v>
      </c>
      <c r="I8363" s="20">
        <v>-0.403421150209408</v>
      </c>
      <c r="J8363" s="28">
        <v>0.68663843010137604</v>
      </c>
      <c r="K8363" s="29">
        <v>0.98289565623980701</v>
      </c>
    </row>
    <row r="8364" spans="1:11" x14ac:dyDescent="0.35">
      <c r="A8364" s="9" t="str">
        <f>HYPERLINK("http://www.ensembl.org/id/WBGene00013960", "WBGene00013960")</f>
        <v>WBGene00013960</v>
      </c>
      <c r="B8364" s="9" t="str">
        <f>HYPERLINK("http://www.ncbi.nlm.nih.gov/gene/3565740", "3565740")</f>
        <v>3565740</v>
      </c>
      <c r="C8364" s="9"/>
      <c r="D8364" t="str">
        <f>"cutl-8"</f>
        <v>cutl-8</v>
      </c>
      <c r="E8364" t="s">
        <v>166</v>
      </c>
      <c r="F8364" t="s">
        <v>11</v>
      </c>
      <c r="G8364" t="s">
        <v>25</v>
      </c>
      <c r="H8364" s="12">
        <v>1.91549692833983</v>
      </c>
      <c r="I8364" s="20">
        <v>1.0576739217445701</v>
      </c>
      <c r="J8364" s="28">
        <v>0.29020412837800302</v>
      </c>
      <c r="K8364" s="29">
        <v>0.98289565623980701</v>
      </c>
    </row>
    <row r="8365" spans="1:11" x14ac:dyDescent="0.35">
      <c r="A8365" s="9" t="str">
        <f>HYPERLINK("http://www.ensembl.org/id/WBGene00010893", "WBGene00010893")</f>
        <v>WBGene00010893</v>
      </c>
      <c r="B8365" s="9" t="str">
        <f>HYPERLINK("http://www.ncbi.nlm.nih.gov/gene/174640", "174640")</f>
        <v>174640</v>
      </c>
      <c r="C8365" s="9"/>
      <c r="D8365" t="str">
        <f>"cutl-9"</f>
        <v>cutl-9</v>
      </c>
      <c r="E8365" t="s">
        <v>166</v>
      </c>
      <c r="F8365" t="s">
        <v>11</v>
      </c>
      <c r="G8365" t="s">
        <v>25</v>
      </c>
      <c r="H8365" s="12">
        <v>1.23108214658349</v>
      </c>
      <c r="I8365" s="20">
        <v>0.66011488757084102</v>
      </c>
      <c r="J8365" s="28">
        <v>0.50918010561197802</v>
      </c>
      <c r="K8365" s="29">
        <v>0.98289565623980701</v>
      </c>
    </row>
    <row r="8366" spans="1:11" x14ac:dyDescent="0.35">
      <c r="A8366" s="9" t="str">
        <f>HYPERLINK("http://www.ensembl.org/id/WBGene00000854", "WBGene00000854")</f>
        <v>WBGene00000854</v>
      </c>
      <c r="B8366" s="9" t="str">
        <f>HYPERLINK("http://www.ncbi.nlm.nih.gov/gene/176066", "176066")</f>
        <v>176066</v>
      </c>
      <c r="C8366" s="9"/>
      <c r="D8366" t="str">
        <f>"cux-7"</f>
        <v>cux-7</v>
      </c>
      <c r="E8366" t="s">
        <v>7238</v>
      </c>
      <c r="F8366" t="s">
        <v>11</v>
      </c>
      <c r="H8366" s="12">
        <v>-1.11489773305948</v>
      </c>
      <c r="I8366" s="20">
        <v>-0.50861574866887704</v>
      </c>
      <c r="J8366" s="28">
        <v>0.61102158788249605</v>
      </c>
      <c r="K8366" s="29">
        <v>0.98289565623980701</v>
      </c>
    </row>
    <row r="8367" spans="1:11" x14ac:dyDescent="0.35">
      <c r="A8367" s="9" t="str">
        <f>HYPERLINK("http://www.ensembl.org/id/WBGene00011687", "WBGene00011687")</f>
        <v>WBGene00011687</v>
      </c>
      <c r="B8367" s="9" t="str">
        <f>HYPERLINK("http://www.ncbi.nlm.nih.gov/gene/180069", "180069")</f>
        <v>180069</v>
      </c>
      <c r="C8367" s="9" t="str">
        <f>HYPERLINK("http://www.ncbi.nlm.nih.gov/gene/51503", "51503")</f>
        <v>51503</v>
      </c>
      <c r="D8367" t="str">
        <f>"cwc-15"</f>
        <v>cwc-15</v>
      </c>
      <c r="E8367" t="s">
        <v>8165</v>
      </c>
      <c r="F8367" t="s">
        <v>11</v>
      </c>
      <c r="G8367" t="s">
        <v>8166</v>
      </c>
      <c r="H8367" s="12">
        <v>-1.1636082833910499</v>
      </c>
      <c r="I8367" s="20">
        <v>-0.75413384963643004</v>
      </c>
      <c r="J8367" s="28">
        <v>0.450768853652118</v>
      </c>
      <c r="K8367" s="29">
        <v>0.98289565623980701</v>
      </c>
    </row>
    <row r="8368" spans="1:11" x14ac:dyDescent="0.35">
      <c r="A8368" s="9" t="str">
        <f>HYPERLINK("http://www.ensembl.org/id/WBGene00000857", "WBGene00000857")</f>
        <v>WBGene00000857</v>
      </c>
      <c r="B8368" s="9" t="str">
        <f>HYPERLINK("http://www.ncbi.nlm.nih.gov/gene/173399", "173399")</f>
        <v>173399</v>
      </c>
      <c r="C8368" s="9" t="str">
        <f>HYPERLINK("http://www.ncbi.nlm.nih.gov/gene/54361", "54361")</f>
        <v>54361</v>
      </c>
      <c r="D8368" t="str">
        <f>"cwn-1"</f>
        <v>cwn-1</v>
      </c>
      <c r="F8368" t="s">
        <v>11</v>
      </c>
      <c r="G8368" t="s">
        <v>5160</v>
      </c>
      <c r="H8368" s="12">
        <v>1.2256888642883199</v>
      </c>
      <c r="I8368" s="20">
        <v>0.94398658639592803</v>
      </c>
      <c r="J8368" s="28">
        <v>0.34517650285170198</v>
      </c>
      <c r="K8368" s="29">
        <v>0.98289565623980701</v>
      </c>
    </row>
    <row r="8369" spans="1:11" x14ac:dyDescent="0.35">
      <c r="A8369" s="9" t="str">
        <f>HYPERLINK("http://www.ensembl.org/id/WBGene00000859", "WBGene00000859")</f>
        <v>WBGene00000859</v>
      </c>
      <c r="B8369" s="9" t="str">
        <f>HYPERLINK("http://www.ncbi.nlm.nih.gov/gene/178876", "178876")</f>
        <v>178876</v>
      </c>
      <c r="C8369" s="9"/>
      <c r="D8369" t="str">
        <f>"cwp-1"</f>
        <v>cwp-1</v>
      </c>
      <c r="E8369" t="s">
        <v>1227</v>
      </c>
      <c r="F8369" t="s">
        <v>11</v>
      </c>
      <c r="H8369" s="12">
        <v>-2.4295389261469</v>
      </c>
      <c r="I8369" s="20">
        <v>-0.25808529976640998</v>
      </c>
      <c r="J8369" s="28">
        <v>0.79634107645457397</v>
      </c>
      <c r="K8369" s="29">
        <v>0.98289565623980701</v>
      </c>
    </row>
    <row r="8370" spans="1:11" x14ac:dyDescent="0.35">
      <c r="A8370" s="9" t="str">
        <f>HYPERLINK("http://www.ensembl.org/id/WBGene00000860", "WBGene00000860")</f>
        <v>WBGene00000860</v>
      </c>
      <c r="B8370" s="9" t="str">
        <f>HYPERLINK("http://www.ncbi.nlm.nih.gov/gene/183297", "183297")</f>
        <v>183297</v>
      </c>
      <c r="C8370" s="9"/>
      <c r="D8370" t="str">
        <f>"cwp-2"</f>
        <v>cwp-2</v>
      </c>
      <c r="E8370" t="s">
        <v>1227</v>
      </c>
      <c r="F8370" t="s">
        <v>11</v>
      </c>
      <c r="H8370" s="12">
        <v>18.675346917252099</v>
      </c>
      <c r="I8370" s="20">
        <v>1.0483735932338201</v>
      </c>
      <c r="J8370" s="28">
        <v>0.294466515011581</v>
      </c>
      <c r="K8370" s="29">
        <v>0.98289565623980701</v>
      </c>
    </row>
    <row r="8371" spans="1:11" x14ac:dyDescent="0.35">
      <c r="A8371" s="9" t="str">
        <f>HYPERLINK("http://www.ensembl.org/id/WBGene00000861", "WBGene00000861")</f>
        <v>WBGene00000861</v>
      </c>
      <c r="B8371" s="9" t="str">
        <f>HYPERLINK("http://www.ncbi.nlm.nih.gov/gene/183296", "183296")</f>
        <v>183296</v>
      </c>
      <c r="C8371" s="9"/>
      <c r="D8371" t="str">
        <f>"cwp-3"</f>
        <v>cwp-3</v>
      </c>
      <c r="E8371" t="s">
        <v>1227</v>
      </c>
      <c r="F8371" t="s">
        <v>11</v>
      </c>
      <c r="H8371" s="12">
        <v>3.5227018545059199</v>
      </c>
      <c r="I8371" s="20">
        <v>0.36849691206929103</v>
      </c>
      <c r="J8371" s="28">
        <v>0.71250274722433404</v>
      </c>
      <c r="K8371" s="29">
        <v>0.98289565623980701</v>
      </c>
    </row>
    <row r="8372" spans="1:11" x14ac:dyDescent="0.35">
      <c r="A8372" s="9" t="str">
        <f>HYPERLINK("http://www.ensembl.org/id/WBGene00009844", "WBGene00009844")</f>
        <v>WBGene00009844</v>
      </c>
      <c r="B8372" s="9" t="str">
        <f>HYPERLINK("http://www.ncbi.nlm.nih.gov/gene/185977", "185977")</f>
        <v>185977</v>
      </c>
      <c r="C8372" s="9"/>
      <c r="D8372" t="str">
        <f>"cwp-5"</f>
        <v>cwp-5</v>
      </c>
      <c r="E8372" t="s">
        <v>1227</v>
      </c>
      <c r="F8372" t="s">
        <v>11</v>
      </c>
      <c r="G8372" t="s">
        <v>4674</v>
      </c>
      <c r="H8372" s="12">
        <v>1.5095017363657</v>
      </c>
      <c r="I8372" s="20">
        <v>0.64619864962750895</v>
      </c>
      <c r="J8372" s="28">
        <v>0.51815071396006995</v>
      </c>
      <c r="K8372" s="29">
        <v>0.98289565623980701</v>
      </c>
    </row>
    <row r="8373" spans="1:11" x14ac:dyDescent="0.35">
      <c r="A8373" s="9" t="str">
        <f>HYPERLINK("http://www.ensembl.org/id/WBGene00000864", "WBGene00000864")</f>
        <v>WBGene00000864</v>
      </c>
      <c r="B8373" s="9" t="str">
        <f>HYPERLINK("http://www.ncbi.nlm.nih.gov/gene/186646", "186646")</f>
        <v>186646</v>
      </c>
      <c r="C8373" s="9"/>
      <c r="D8373" t="str">
        <f>"cya-2"</f>
        <v>cya-2</v>
      </c>
      <c r="E8373" t="s">
        <v>4345</v>
      </c>
      <c r="F8373" t="s">
        <v>11</v>
      </c>
      <c r="G8373" t="s">
        <v>4346</v>
      </c>
      <c r="H8373" s="12">
        <v>2.8255991326296499</v>
      </c>
      <c r="I8373" s="20">
        <v>0.655182811055116</v>
      </c>
      <c r="J8373" s="28">
        <v>0.51235005989802895</v>
      </c>
      <c r="K8373" s="29">
        <v>0.98289565623980701</v>
      </c>
    </row>
    <row r="8374" spans="1:11" x14ac:dyDescent="0.35">
      <c r="A8374" s="9" t="str">
        <f>HYPERLINK("http://www.ensembl.org/id/WBGene00000865", "WBGene00000865")</f>
        <v>WBGene00000865</v>
      </c>
      <c r="B8374" s="9" t="str">
        <f>HYPERLINK("http://www.ncbi.nlm.nih.gov/gene/177965", "177965")</f>
        <v>177965</v>
      </c>
      <c r="C8374" s="9"/>
      <c r="D8374" t="str">
        <f>"cyb-1"</f>
        <v>cyb-1</v>
      </c>
      <c r="E8374" t="s">
        <v>9689</v>
      </c>
      <c r="F8374" t="s">
        <v>11</v>
      </c>
      <c r="H8374" s="12">
        <v>-1.2811823013283099</v>
      </c>
      <c r="I8374" s="20">
        <v>-0.99412152688563904</v>
      </c>
      <c r="J8374" s="28">
        <v>0.32016370626010898</v>
      </c>
      <c r="K8374" s="29">
        <v>0.98289565623980701</v>
      </c>
    </row>
    <row r="8375" spans="1:11" x14ac:dyDescent="0.35">
      <c r="A8375" s="9" t="str">
        <f>HYPERLINK("http://www.ensembl.org/id/WBGene00000868", "WBGene00000868")</f>
        <v>WBGene00000868</v>
      </c>
      <c r="B8375" s="9" t="str">
        <f>HYPERLINK("http://www.ncbi.nlm.nih.gov/gene/180040", "180040")</f>
        <v>180040</v>
      </c>
      <c r="C8375" s="9"/>
      <c r="D8375" t="str">
        <f>"cyb-3"</f>
        <v>cyb-3</v>
      </c>
      <c r="E8375" t="s">
        <v>9438</v>
      </c>
      <c r="F8375" t="s">
        <v>11</v>
      </c>
      <c r="G8375" t="s">
        <v>9439</v>
      </c>
      <c r="H8375" s="12">
        <v>-1.24635926868191</v>
      </c>
      <c r="I8375" s="20">
        <v>-0.90350119104251303</v>
      </c>
      <c r="J8375" s="28">
        <v>0.36625995641005299</v>
      </c>
      <c r="K8375" s="29">
        <v>0.98289565623980701</v>
      </c>
    </row>
    <row r="8376" spans="1:11" x14ac:dyDescent="0.35">
      <c r="A8376" s="9" t="str">
        <f>HYPERLINK("http://www.ensembl.org/id/WBGene00000869", "WBGene00000869")</f>
        <v>WBGene00000869</v>
      </c>
      <c r="B8376" s="9" t="str">
        <f>HYPERLINK("http://www.ncbi.nlm.nih.gov/gene/172582", "172582")</f>
        <v>172582</v>
      </c>
      <c r="C8376" s="9" t="str">
        <f>HYPERLINK("http://www.ncbi.nlm.nih.gov/gene/1537", "1537")</f>
        <v>1537</v>
      </c>
      <c r="D8376" t="str">
        <f>"cyc-1"</f>
        <v>cyc-1</v>
      </c>
      <c r="E8376" t="s">
        <v>7780</v>
      </c>
      <c r="F8376" t="s">
        <v>11</v>
      </c>
      <c r="G8376" t="s">
        <v>7781</v>
      </c>
      <c r="H8376" s="12">
        <v>-1.14433210366305</v>
      </c>
      <c r="I8376" s="20">
        <v>-0.733173393690282</v>
      </c>
      <c r="J8376" s="28">
        <v>0.46345268072177698</v>
      </c>
      <c r="K8376" s="29">
        <v>0.98289565623980701</v>
      </c>
    </row>
    <row r="8377" spans="1:11" x14ac:dyDescent="0.35">
      <c r="A8377" s="9" t="str">
        <f>HYPERLINK("http://www.ensembl.org/id/WBGene00021714", "WBGene00021714")</f>
        <v>WBGene00021714</v>
      </c>
      <c r="B8377" s="9" t="str">
        <f>HYPERLINK("http://www.ncbi.nlm.nih.gov/gene/190078", "190078")</f>
        <v>190078</v>
      </c>
      <c r="C8377" s="9" t="str">
        <f>HYPERLINK("http://www.ncbi.nlm.nih.gov/gene/902", "902")</f>
        <v>902</v>
      </c>
      <c r="D8377" t="str">
        <f>"cyh-1"</f>
        <v>cyh-1</v>
      </c>
      <c r="E8377" t="s">
        <v>9809</v>
      </c>
      <c r="F8377" t="s">
        <v>11</v>
      </c>
      <c r="G8377" t="s">
        <v>9810</v>
      </c>
      <c r="H8377" s="12">
        <v>-1.3075069615442101</v>
      </c>
      <c r="I8377" s="20">
        <v>-1.14879553149195</v>
      </c>
      <c r="J8377" s="28">
        <v>0.25064030238861001</v>
      </c>
      <c r="K8377" s="29">
        <v>0.98289565623980701</v>
      </c>
    </row>
    <row r="8378" spans="1:11" x14ac:dyDescent="0.35">
      <c r="A8378" s="9" t="str">
        <f>HYPERLINK("http://www.ensembl.org/id/WBGene00000872", "WBGene00000872")</f>
        <v>WBGene00000872</v>
      </c>
      <c r="B8378" s="9" t="str">
        <f>HYPERLINK("http://www.ncbi.nlm.nih.gov/gene/175983", "175983")</f>
        <v>175983</v>
      </c>
      <c r="C8378" s="9"/>
      <c r="D8378" t="str">
        <f>"cyk-1"</f>
        <v>cyk-1</v>
      </c>
      <c r="E8378" t="s">
        <v>5884</v>
      </c>
      <c r="F8378" t="s">
        <v>11</v>
      </c>
      <c r="G8378" t="s">
        <v>5885</v>
      </c>
      <c r="H8378" s="12">
        <v>1.08964817226807</v>
      </c>
      <c r="I8378" s="20">
        <v>0.46814538756573398</v>
      </c>
      <c r="J8378" s="28">
        <v>0.63968062352546196</v>
      </c>
      <c r="K8378" s="29">
        <v>0.98289565623980701</v>
      </c>
    </row>
    <row r="8379" spans="1:11" x14ac:dyDescent="0.35">
      <c r="A8379" s="9" t="str">
        <f>HYPERLINK("http://www.ensembl.org/id/WBGene00000874", "WBGene00000874")</f>
        <v>WBGene00000874</v>
      </c>
      <c r="B8379" s="9" t="str">
        <f>HYPERLINK("http://www.ncbi.nlm.nih.gov/gene/175853", "175853")</f>
        <v>175853</v>
      </c>
      <c r="C8379" s="9" t="str">
        <f>HYPERLINK("http://www.ncbi.nlm.nih.gov/gene/84669", "84669")</f>
        <v>84669</v>
      </c>
      <c r="D8379" t="str">
        <f>"cyk-3"</f>
        <v>cyk-3</v>
      </c>
      <c r="E8379" t="s">
        <v>6679</v>
      </c>
      <c r="F8379" t="s">
        <v>11</v>
      </c>
      <c r="G8379" t="s">
        <v>6680</v>
      </c>
      <c r="H8379" s="12">
        <v>-1.08430510033996</v>
      </c>
      <c r="I8379" s="20">
        <v>-0.420032723487407</v>
      </c>
      <c r="J8379" s="28">
        <v>0.67446154852384299</v>
      </c>
      <c r="K8379" s="29">
        <v>0.98289565623980701</v>
      </c>
    </row>
    <row r="8380" spans="1:11" x14ac:dyDescent="0.35">
      <c r="A8380" s="9" t="str">
        <f>HYPERLINK("http://www.ensembl.org/id/WBGene00000875", "WBGene00000875")</f>
        <v>WBGene00000875</v>
      </c>
      <c r="B8380" s="9" t="str">
        <f>HYPERLINK("http://www.ncbi.nlm.nih.gov/gene/176815", "176815")</f>
        <v>176815</v>
      </c>
      <c r="C8380" s="9"/>
      <c r="D8380" t="str">
        <f>"cyk-4"</f>
        <v>cyk-4</v>
      </c>
      <c r="E8380" t="s">
        <v>5884</v>
      </c>
      <c r="F8380" t="s">
        <v>11</v>
      </c>
      <c r="G8380" t="s">
        <v>9766</v>
      </c>
      <c r="H8380" s="12">
        <v>-1.2983726550268999</v>
      </c>
      <c r="I8380" s="20">
        <v>-1.15355589600986</v>
      </c>
      <c r="J8380" s="28">
        <v>0.248682288891974</v>
      </c>
      <c r="K8380" s="29">
        <v>0.98289565623980701</v>
      </c>
    </row>
    <row r="8381" spans="1:11" x14ac:dyDescent="0.35">
      <c r="A8381" s="9" t="str">
        <f>HYPERLINK("http://www.ensembl.org/id/WBGene00000876", "WBGene00000876")</f>
        <v>WBGene00000876</v>
      </c>
      <c r="B8381" s="9" t="str">
        <f>HYPERLINK("http://www.ncbi.nlm.nih.gov/gene/179643", "179643")</f>
        <v>179643</v>
      </c>
      <c r="C8381" s="9"/>
      <c r="D8381" t="str">
        <f>"cyl-1"</f>
        <v>cyl-1</v>
      </c>
      <c r="E8381" t="s">
        <v>7603</v>
      </c>
      <c r="F8381" t="s">
        <v>11</v>
      </c>
      <c r="G8381" t="s">
        <v>7604</v>
      </c>
      <c r="H8381" s="12">
        <v>-1.13528722993872</v>
      </c>
      <c r="I8381" s="20">
        <v>-0.69818605325754401</v>
      </c>
      <c r="J8381" s="28">
        <v>0.48506084734816601</v>
      </c>
      <c r="K8381" s="29">
        <v>0.98289565623980701</v>
      </c>
    </row>
    <row r="8382" spans="1:11" x14ac:dyDescent="0.35">
      <c r="A8382" s="9" t="str">
        <f>HYPERLINK("http://www.ensembl.org/id/WBGene00009594", "WBGene00009594")</f>
        <v>WBGene00009594</v>
      </c>
      <c r="B8382" s="9" t="str">
        <f>HYPERLINK("http://www.ncbi.nlm.nih.gov/gene/176401", "176401")</f>
        <v>176401</v>
      </c>
      <c r="C8382" s="9"/>
      <c r="D8382" t="str">
        <f>"cyld-1"</f>
        <v>cyld-1</v>
      </c>
      <c r="E8382" t="s">
        <v>7349</v>
      </c>
      <c r="F8382" t="s">
        <v>11</v>
      </c>
      <c r="G8382" t="s">
        <v>7350</v>
      </c>
      <c r="H8382" s="12">
        <v>-1.12088243932875</v>
      </c>
      <c r="I8382" s="20">
        <v>-0.63387551767645001</v>
      </c>
      <c r="J8382" s="28">
        <v>0.52616206423314604</v>
      </c>
      <c r="K8382" s="29">
        <v>0.98289565623980701</v>
      </c>
    </row>
    <row r="8383" spans="1:11" x14ac:dyDescent="0.35">
      <c r="A8383" s="9" t="str">
        <f>HYPERLINK("http://www.ensembl.org/id/WBGene00000886", "WBGene00000886")</f>
        <v>WBGene00000886</v>
      </c>
      <c r="B8383" s="9" t="str">
        <f>HYPERLINK("http://www.ncbi.nlm.nih.gov/gene/174132", "174132")</f>
        <v>174132</v>
      </c>
      <c r="C8383" s="9" t="str">
        <f>HYPERLINK("http://www.ncbi.nlm.nih.gov/gene/53938", "53938")</f>
        <v>53938</v>
      </c>
      <c r="D8383" t="str">
        <f>"cyn-10"</f>
        <v>cyn-10</v>
      </c>
      <c r="E8383" t="s">
        <v>9884</v>
      </c>
      <c r="F8383" t="s">
        <v>11</v>
      </c>
      <c r="G8383" t="s">
        <v>772</v>
      </c>
      <c r="H8383" s="12">
        <v>-1.3471542004305499</v>
      </c>
      <c r="I8383" s="20">
        <v>-1.2081857602322501</v>
      </c>
      <c r="J8383" s="28">
        <v>0.226975817826336</v>
      </c>
      <c r="K8383" s="29">
        <v>0.98289565623980701</v>
      </c>
    </row>
    <row r="8384" spans="1:11" x14ac:dyDescent="0.35">
      <c r="A8384" s="9" t="str">
        <f>HYPERLINK("http://www.ensembl.org/id/WBGene00000887", "WBGene00000887")</f>
        <v>WBGene00000887</v>
      </c>
      <c r="B8384" s="9" t="str">
        <f>HYPERLINK("http://www.ncbi.nlm.nih.gov/gene/174394", "174394")</f>
        <v>174394</v>
      </c>
      <c r="C8384" s="9" t="str">
        <f>HYPERLINK("http://www.ncbi.nlm.nih.gov/gene/10465", "10465")</f>
        <v>10465</v>
      </c>
      <c r="D8384" t="str">
        <f>"cyn-11"</f>
        <v>cyn-11</v>
      </c>
      <c r="E8384" t="s">
        <v>8433</v>
      </c>
      <c r="F8384" t="s">
        <v>11</v>
      </c>
      <c r="G8384" t="s">
        <v>772</v>
      </c>
      <c r="H8384" s="12">
        <v>-1.17757543614798</v>
      </c>
      <c r="I8384" s="20">
        <v>-0.70862754358503499</v>
      </c>
      <c r="J8384" s="28">
        <v>0.47855563917024402</v>
      </c>
      <c r="K8384" s="29">
        <v>0.98289565623980701</v>
      </c>
    </row>
    <row r="8385" spans="1:11" x14ac:dyDescent="0.35">
      <c r="A8385" s="9" t="str">
        <f>HYPERLINK("http://www.ensembl.org/id/WBGene00000888", "WBGene00000888")</f>
        <v>WBGene00000888</v>
      </c>
      <c r="B8385" s="9" t="str">
        <f>HYPERLINK("http://www.ncbi.nlm.nih.gov/gene/191627", "191627")</f>
        <v>191627</v>
      </c>
      <c r="C8385" s="9" t="str">
        <f>HYPERLINK("http://www.ncbi.nlm.nih.gov/gene/51645", "51645")</f>
        <v>51645</v>
      </c>
      <c r="D8385" t="str">
        <f>"cyn-12"</f>
        <v>cyn-12</v>
      </c>
      <c r="E8385" t="s">
        <v>8860</v>
      </c>
      <c r="F8385" t="s">
        <v>11</v>
      </c>
      <c r="G8385" t="s">
        <v>9857</v>
      </c>
      <c r="H8385" s="12">
        <v>-1.3321760222198</v>
      </c>
      <c r="I8385" s="20">
        <v>-1.1777991150623</v>
      </c>
      <c r="J8385" s="28">
        <v>0.23887670153613899</v>
      </c>
      <c r="K8385" s="29">
        <v>0.98289565623980701</v>
      </c>
    </row>
    <row r="8386" spans="1:11" x14ac:dyDescent="0.35">
      <c r="A8386" s="9" t="str">
        <f>HYPERLINK("http://www.ensembl.org/id/WBGene00000891", "WBGene00000891")</f>
        <v>WBGene00000891</v>
      </c>
      <c r="B8386" s="9" t="str">
        <f>HYPERLINK("http://www.ncbi.nlm.nih.gov/gene/173225", "173225")</f>
        <v>173225</v>
      </c>
      <c r="C8386" s="9" t="str">
        <f>HYPERLINK("http://www.ncbi.nlm.nih.gov/gene/23398", "23398")</f>
        <v>23398</v>
      </c>
      <c r="D8386" t="str">
        <f>"cyn-15"</f>
        <v>cyn-15</v>
      </c>
      <c r="E8386" t="s">
        <v>4591</v>
      </c>
      <c r="F8386" t="s">
        <v>11</v>
      </c>
      <c r="G8386" t="s">
        <v>8447</v>
      </c>
      <c r="H8386" s="12">
        <v>-1.1782741240323</v>
      </c>
      <c r="I8386" s="20">
        <v>-0.77072047574472002</v>
      </c>
      <c r="J8386" s="28">
        <v>0.44087263259401299</v>
      </c>
      <c r="K8386" s="29">
        <v>0.98289565623980701</v>
      </c>
    </row>
    <row r="8387" spans="1:11" x14ac:dyDescent="0.35">
      <c r="A8387" s="9" t="str">
        <f>HYPERLINK("http://www.ensembl.org/id/WBGene00000893", "WBGene00000893")</f>
        <v>WBGene00000893</v>
      </c>
      <c r="B8387" s="9" t="str">
        <f>HYPERLINK("http://www.ncbi.nlm.nih.gov/gene/178969", "178969")</f>
        <v>178969</v>
      </c>
      <c r="C8387" s="9"/>
      <c r="D8387" t="str">
        <f>"cyn-17"</f>
        <v>cyn-17</v>
      </c>
      <c r="E8387" t="s">
        <v>4591</v>
      </c>
      <c r="F8387" t="s">
        <v>11</v>
      </c>
      <c r="H8387" s="12">
        <v>1.6353779742841901</v>
      </c>
      <c r="I8387" s="20">
        <v>0.90584689623363601</v>
      </c>
      <c r="J8387" s="28">
        <v>0.36501689511815499</v>
      </c>
      <c r="K8387" s="29">
        <v>0.98289565623980701</v>
      </c>
    </row>
    <row r="8388" spans="1:11" x14ac:dyDescent="0.35">
      <c r="A8388" s="9" t="str">
        <f>HYPERLINK("http://www.ensembl.org/id/WBGene00000878", "WBGene00000878")</f>
        <v>WBGene00000878</v>
      </c>
      <c r="B8388" s="9" t="str">
        <f>HYPERLINK("http://www.ncbi.nlm.nih.gov/gene/176807", "176807")</f>
        <v>176807</v>
      </c>
      <c r="C8388" s="9"/>
      <c r="D8388" t="str">
        <f>"cyn-2"</f>
        <v>cyn-2</v>
      </c>
      <c r="E8388" t="s">
        <v>4771</v>
      </c>
      <c r="F8388" t="s">
        <v>11</v>
      </c>
      <c r="G8388" t="s">
        <v>772</v>
      </c>
      <c r="H8388" s="12">
        <v>1.39425062779886</v>
      </c>
      <c r="I8388" s="20">
        <v>0.95111103975232503</v>
      </c>
      <c r="J8388" s="28">
        <v>0.34154801113809902</v>
      </c>
      <c r="K8388" s="29">
        <v>0.98289565623980701</v>
      </c>
    </row>
    <row r="8389" spans="1:11" x14ac:dyDescent="0.35">
      <c r="A8389" s="9" t="str">
        <f>HYPERLINK("http://www.ensembl.org/id/WBGene00000880", "WBGene00000880")</f>
        <v>WBGene00000880</v>
      </c>
      <c r="B8389" s="9" t="str">
        <f>HYPERLINK("http://www.ncbi.nlm.nih.gov/gene/174674", "174674")</f>
        <v>174674</v>
      </c>
      <c r="C8389" s="9" t="str">
        <f>HYPERLINK("http://www.ncbi.nlm.nih.gov/gene/23759", "23759")</f>
        <v>23759</v>
      </c>
      <c r="D8389" t="str">
        <f>"cyn-4"</f>
        <v>cyn-4</v>
      </c>
      <c r="E8389" t="s">
        <v>7542</v>
      </c>
      <c r="F8389" t="s">
        <v>11</v>
      </c>
      <c r="G8389" t="s">
        <v>7543</v>
      </c>
      <c r="H8389" s="12">
        <v>-1.13187060037538</v>
      </c>
      <c r="I8389" s="20">
        <v>-0.61934298165303903</v>
      </c>
      <c r="J8389" s="28">
        <v>0.53569043482421896</v>
      </c>
      <c r="K8389" s="29">
        <v>0.98289565623980701</v>
      </c>
    </row>
    <row r="8390" spans="1:11" x14ac:dyDescent="0.35">
      <c r="A8390" s="9" t="str">
        <f>HYPERLINK("http://www.ensembl.org/id/WBGene00000881", "WBGene00000881")</f>
        <v>WBGene00000881</v>
      </c>
      <c r="B8390" s="9" t="str">
        <f>HYPERLINK("http://www.ncbi.nlm.nih.gov/gene/173374", "173374")</f>
        <v>173374</v>
      </c>
      <c r="C8390" s="9" t="str">
        <f>HYPERLINK("http://www.ncbi.nlm.nih.gov/gene/5479", "5479")</f>
        <v>5479</v>
      </c>
      <c r="D8390" t="str">
        <f>"cyn-5"</f>
        <v>cyn-5</v>
      </c>
      <c r="E8390" t="s">
        <v>6229</v>
      </c>
      <c r="F8390" t="s">
        <v>11</v>
      </c>
      <c r="G8390" t="s">
        <v>772</v>
      </c>
      <c r="H8390" s="12">
        <v>-1.05459589748643</v>
      </c>
      <c r="I8390" s="20">
        <v>-0.28642453633818199</v>
      </c>
      <c r="J8390" s="28">
        <v>0.77455298426758101</v>
      </c>
      <c r="K8390" s="29">
        <v>0.98289565623980701</v>
      </c>
    </row>
    <row r="8391" spans="1:11" x14ac:dyDescent="0.35">
      <c r="A8391" s="9" t="str">
        <f>HYPERLINK("http://www.ensembl.org/id/WBGene00000882", "WBGene00000882")</f>
        <v>WBGene00000882</v>
      </c>
      <c r="B8391" s="9" t="str">
        <f>HYPERLINK("http://www.ncbi.nlm.nih.gov/gene/175231", "175231")</f>
        <v>175231</v>
      </c>
      <c r="C8391" s="9" t="str">
        <f>HYPERLINK("http://www.ncbi.nlm.nih.gov/gene/5479", "5479")</f>
        <v>5479</v>
      </c>
      <c r="D8391" t="str">
        <f>"cyn-6"</f>
        <v>cyn-6</v>
      </c>
      <c r="E8391" t="s">
        <v>5141</v>
      </c>
      <c r="F8391" t="s">
        <v>11</v>
      </c>
      <c r="G8391" t="s">
        <v>772</v>
      </c>
      <c r="H8391" s="12">
        <v>1.23112501438896</v>
      </c>
      <c r="I8391" s="20">
        <v>1.11382534682652</v>
      </c>
      <c r="J8391" s="28">
        <v>0.26535412082787602</v>
      </c>
      <c r="K8391" s="29">
        <v>0.98289565623980701</v>
      </c>
    </row>
    <row r="8392" spans="1:11" x14ac:dyDescent="0.35">
      <c r="A8392" s="9" t="str">
        <f>HYPERLINK("http://www.ensembl.org/id/WBGene00000884", "WBGene00000884")</f>
        <v>WBGene00000884</v>
      </c>
      <c r="B8392" s="9" t="str">
        <f>HYPERLINK("http://www.ncbi.nlm.nih.gov/gene/181136", "181136")</f>
        <v>181136</v>
      </c>
      <c r="C8392" s="9"/>
      <c r="D8392" t="str">
        <f>"cyn-8"</f>
        <v>cyn-8</v>
      </c>
      <c r="E8392" t="s">
        <v>5594</v>
      </c>
      <c r="F8392" t="s">
        <v>11</v>
      </c>
      <c r="G8392" t="s">
        <v>772</v>
      </c>
      <c r="H8392" s="12">
        <v>1.13758849061249</v>
      </c>
      <c r="I8392" s="20">
        <v>0.54009154888604105</v>
      </c>
      <c r="J8392" s="28">
        <v>0.58913389858421505</v>
      </c>
      <c r="K8392" s="29">
        <v>0.98289565623980701</v>
      </c>
    </row>
    <row r="8393" spans="1:11" x14ac:dyDescent="0.35">
      <c r="A8393" s="9" t="str">
        <f>HYPERLINK("http://www.ensembl.org/id/WBGene00011677", "WBGene00011677")</f>
        <v>WBGene00011677</v>
      </c>
      <c r="B8393" s="9" t="str">
        <f>HYPERLINK("http://www.ncbi.nlm.nih.gov/gene/188361", "188361")</f>
        <v>188361</v>
      </c>
      <c r="C8393" s="9" t="str">
        <f t="shared" ref="C8393:C8399" si="0">HYPERLINK("http://www.ncbi.nlm.nih.gov/gene/100861540", "100861540")</f>
        <v>100861540</v>
      </c>
      <c r="D8393" t="str">
        <f>"cyp-13A1"</f>
        <v>cyp-13A1</v>
      </c>
      <c r="E8393" t="s">
        <v>4690</v>
      </c>
      <c r="F8393" t="s">
        <v>11</v>
      </c>
      <c r="G8393" t="s">
        <v>185</v>
      </c>
      <c r="H8393" s="12">
        <v>1.4940772039008501</v>
      </c>
      <c r="I8393" s="20">
        <v>0.70805768916936995</v>
      </c>
      <c r="J8393" s="28">
        <v>0.478909433206957</v>
      </c>
      <c r="K8393" s="29">
        <v>0.98289565623980701</v>
      </c>
    </row>
    <row r="8394" spans="1:11" x14ac:dyDescent="0.35">
      <c r="A8394" s="9" t="str">
        <f>HYPERLINK("http://www.ensembl.org/id/WBGene00014254", "WBGene00014254")</f>
        <v>WBGene00014254</v>
      </c>
      <c r="B8394" s="9" t="str">
        <f>HYPERLINK("http://www.ncbi.nlm.nih.gov/gene/174522", "174522")</f>
        <v>174522</v>
      </c>
      <c r="C8394" s="9" t="str">
        <f t="shared" si="0"/>
        <v>100861540</v>
      </c>
      <c r="D8394" t="str">
        <f>"cyp-13A10"</f>
        <v>cyp-13A10</v>
      </c>
      <c r="E8394" t="s">
        <v>4819</v>
      </c>
      <c r="F8394" t="s">
        <v>11</v>
      </c>
      <c r="G8394" t="s">
        <v>185</v>
      </c>
      <c r="H8394" s="12">
        <v>1.3555088922088101</v>
      </c>
      <c r="I8394" s="20">
        <v>0.63448821367297303</v>
      </c>
      <c r="J8394" s="28">
        <v>0.52576225632417695</v>
      </c>
      <c r="K8394" s="29">
        <v>0.98289565623980701</v>
      </c>
    </row>
    <row r="8395" spans="1:11" x14ac:dyDescent="0.35">
      <c r="A8395" s="9" t="str">
        <f>HYPERLINK("http://www.ensembl.org/id/WBGene00008810", "WBGene00008810")</f>
        <v>WBGene00008810</v>
      </c>
      <c r="B8395" s="9" t="str">
        <f>HYPERLINK("http://www.ncbi.nlm.nih.gov/gene/184473", "184473")</f>
        <v>184473</v>
      </c>
      <c r="C8395" s="9" t="str">
        <f t="shared" si="0"/>
        <v>100861540</v>
      </c>
      <c r="D8395" t="str">
        <f>"cyp-13A12"</f>
        <v>cyp-13A12</v>
      </c>
      <c r="E8395" t="s">
        <v>176</v>
      </c>
      <c r="F8395" t="s">
        <v>11</v>
      </c>
      <c r="G8395" t="s">
        <v>1626</v>
      </c>
      <c r="H8395" s="12">
        <v>-1.3354465664889199</v>
      </c>
      <c r="I8395" s="20">
        <v>-0.67789036485514798</v>
      </c>
      <c r="J8395" s="28">
        <v>0.49784120955379402</v>
      </c>
      <c r="K8395" s="29">
        <v>0.98289565623980701</v>
      </c>
    </row>
    <row r="8396" spans="1:11" x14ac:dyDescent="0.35">
      <c r="A8396" s="9" t="str">
        <f>HYPERLINK("http://www.ensembl.org/id/WBGene00011676", "WBGene00011676")</f>
        <v>WBGene00011676</v>
      </c>
      <c r="B8396" s="9" t="str">
        <f>HYPERLINK("http://www.ncbi.nlm.nih.gov/gene/188360", "188360")</f>
        <v>188360</v>
      </c>
      <c r="C8396" s="9" t="str">
        <f t="shared" si="0"/>
        <v>100861540</v>
      </c>
      <c r="D8396" t="str">
        <f>"cyp-13A2"</f>
        <v>cyp-13A2</v>
      </c>
      <c r="E8396" t="s">
        <v>4954</v>
      </c>
      <c r="F8396" t="s">
        <v>11</v>
      </c>
      <c r="G8396" t="s">
        <v>185</v>
      </c>
      <c r="H8396" s="12">
        <v>1.2834799834225199</v>
      </c>
      <c r="I8396" s="20">
        <v>0.55290563854607599</v>
      </c>
      <c r="J8396" s="28">
        <v>0.58032802622242496</v>
      </c>
      <c r="K8396" s="29">
        <v>0.98289565623980701</v>
      </c>
    </row>
    <row r="8397" spans="1:11" x14ac:dyDescent="0.35">
      <c r="A8397" s="9" t="str">
        <f>HYPERLINK("http://www.ensembl.org/id/WBGene00011675", "WBGene00011675")</f>
        <v>WBGene00011675</v>
      </c>
      <c r="B8397" s="9" t="str">
        <f>HYPERLINK("http://www.ncbi.nlm.nih.gov/gene/188359", "188359")</f>
        <v>188359</v>
      </c>
      <c r="C8397" s="9" t="str">
        <f t="shared" si="0"/>
        <v>100861540</v>
      </c>
      <c r="D8397" t="str">
        <f>"cyp-13A3"</f>
        <v>cyp-13A3</v>
      </c>
      <c r="E8397" t="s">
        <v>9943</v>
      </c>
      <c r="F8397" t="s">
        <v>11</v>
      </c>
      <c r="G8397" t="s">
        <v>185</v>
      </c>
      <c r="H8397" s="12">
        <v>-1.4453702566799</v>
      </c>
      <c r="I8397" s="20">
        <v>-0.424973731393744</v>
      </c>
      <c r="J8397" s="28">
        <v>0.67085582423404599</v>
      </c>
      <c r="K8397" s="29">
        <v>0.98289565623980701</v>
      </c>
    </row>
    <row r="8398" spans="1:11" x14ac:dyDescent="0.35">
      <c r="A8398" s="9" t="str">
        <f>HYPERLINK("http://www.ensembl.org/id/WBGene00011671", "WBGene00011671")</f>
        <v>WBGene00011671</v>
      </c>
      <c r="B8398" s="9" t="str">
        <f>HYPERLINK("http://www.ncbi.nlm.nih.gov/gene/188355", "188355")</f>
        <v>188355</v>
      </c>
      <c r="C8398" s="9" t="str">
        <f t="shared" si="0"/>
        <v>100861540</v>
      </c>
      <c r="D8398" t="str">
        <f>"cyp-13A4"</f>
        <v>cyp-13A4</v>
      </c>
      <c r="E8398" t="s">
        <v>4536</v>
      </c>
      <c r="F8398" t="s">
        <v>11</v>
      </c>
      <c r="G8398" t="s">
        <v>185</v>
      </c>
      <c r="H8398" s="12">
        <v>1.7528511781647</v>
      </c>
      <c r="I8398" s="20">
        <v>1.0316492395171299</v>
      </c>
      <c r="J8398" s="28">
        <v>0.30223646469766102</v>
      </c>
      <c r="K8398" s="29">
        <v>0.98289565623980701</v>
      </c>
    </row>
    <row r="8399" spans="1:11" x14ac:dyDescent="0.35">
      <c r="A8399" s="9" t="str">
        <f>HYPERLINK("http://www.ensembl.org/id/WBGene00011674", "WBGene00011674")</f>
        <v>WBGene00011674</v>
      </c>
      <c r="B8399" s="9" t="str">
        <f>HYPERLINK("http://www.ncbi.nlm.nih.gov/gene/188358", "188358")</f>
        <v>188358</v>
      </c>
      <c r="C8399" s="9" t="str">
        <f t="shared" si="0"/>
        <v>100861540</v>
      </c>
      <c r="D8399" t="str">
        <f>"cyp-13A8"</f>
        <v>cyp-13A8</v>
      </c>
      <c r="E8399" t="s">
        <v>10089</v>
      </c>
      <c r="F8399" t="s">
        <v>11</v>
      </c>
      <c r="G8399" t="s">
        <v>185</v>
      </c>
      <c r="H8399" s="12">
        <v>-3.29493980667799</v>
      </c>
      <c r="I8399" s="20">
        <v>-1.1362334107493599</v>
      </c>
      <c r="J8399" s="28">
        <v>0.25585889104169601</v>
      </c>
      <c r="K8399" s="29">
        <v>0.98289565623980701</v>
      </c>
    </row>
    <row r="8400" spans="1:11" x14ac:dyDescent="0.35">
      <c r="A8400" s="9" t="str">
        <f>HYPERLINK("http://www.ensembl.org/id/WBGene00010705", "WBGene00010705")</f>
        <v>WBGene00010705</v>
      </c>
      <c r="B8400" s="9" t="str">
        <f>HYPERLINK("http://www.ncbi.nlm.nih.gov/gene/187183", "187183")</f>
        <v>187183</v>
      </c>
      <c r="C8400" s="9" t="str">
        <f>HYPERLINK("http://www.ncbi.nlm.nih.gov/gene/1573", "1573")</f>
        <v>1573</v>
      </c>
      <c r="D8400" t="str">
        <f>"cyp-14A1"</f>
        <v>cyp-14A1</v>
      </c>
      <c r="E8400" t="s">
        <v>176</v>
      </c>
      <c r="F8400" t="s">
        <v>11</v>
      </c>
      <c r="G8400" t="s">
        <v>332</v>
      </c>
      <c r="H8400" s="12">
        <v>2.5888565704545301</v>
      </c>
      <c r="I8400" s="20">
        <v>1.1466219519894101</v>
      </c>
      <c r="J8400" s="28">
        <v>0.25153789980799701</v>
      </c>
      <c r="K8400" s="29">
        <v>0.98289565623980701</v>
      </c>
    </row>
    <row r="8401" spans="1:11" x14ac:dyDescent="0.35">
      <c r="A8401" s="9" t="str">
        <f>HYPERLINK("http://www.ensembl.org/id/WBGene00010706", "WBGene00010706")</f>
        <v>WBGene00010706</v>
      </c>
      <c r="B8401" s="9" t="str">
        <f>HYPERLINK("http://www.ncbi.nlm.nih.gov/gene/187184", "187184")</f>
        <v>187184</v>
      </c>
      <c r="C8401" s="9" t="str">
        <f>HYPERLINK("http://www.ncbi.nlm.nih.gov/gene/1573", "1573")</f>
        <v>1573</v>
      </c>
      <c r="D8401" t="str">
        <f>"cyp-14A2"</f>
        <v>cyp-14A2</v>
      </c>
      <c r="E8401" t="s">
        <v>176</v>
      </c>
      <c r="F8401" t="s">
        <v>11</v>
      </c>
      <c r="G8401" t="s">
        <v>1626</v>
      </c>
      <c r="H8401" s="12">
        <v>1.18377013850511</v>
      </c>
      <c r="I8401" s="20">
        <v>0.48158635166834302</v>
      </c>
      <c r="J8401" s="28">
        <v>0.63009982361363903</v>
      </c>
      <c r="K8401" s="29">
        <v>0.98289565623980701</v>
      </c>
    </row>
    <row r="8402" spans="1:11" x14ac:dyDescent="0.35">
      <c r="A8402" s="9" t="str">
        <f>HYPERLINK("http://www.ensembl.org/id/WBGene00010707", "WBGene00010707")</f>
        <v>WBGene00010707</v>
      </c>
      <c r="B8402" s="9" t="str">
        <f>HYPERLINK("http://www.ncbi.nlm.nih.gov/gene/187185", "187185")</f>
        <v>187185</v>
      </c>
      <c r="C8402" s="9" t="str">
        <f>HYPERLINK("http://www.ncbi.nlm.nih.gov/gene/1573", "1573")</f>
        <v>1573</v>
      </c>
      <c r="D8402" t="str">
        <f>"cyp-14A3"</f>
        <v>cyp-14A3</v>
      </c>
      <c r="E8402" t="s">
        <v>176</v>
      </c>
      <c r="F8402" t="s">
        <v>11</v>
      </c>
      <c r="G8402" t="s">
        <v>1626</v>
      </c>
      <c r="H8402" s="12">
        <v>1.4960656667480201</v>
      </c>
      <c r="I8402" s="20">
        <v>0.27134365823231799</v>
      </c>
      <c r="J8402" s="28">
        <v>0.78612673109787401</v>
      </c>
      <c r="K8402" s="29">
        <v>0.98289565623980701</v>
      </c>
    </row>
    <row r="8403" spans="1:11" x14ac:dyDescent="0.35">
      <c r="A8403" s="9" t="str">
        <f>HYPERLINK("http://www.ensembl.org/id/WBGene00000373", "WBGene00000373")</f>
        <v>WBGene00000373</v>
      </c>
      <c r="B8403" s="9" t="str">
        <f>HYPERLINK("http://www.ncbi.nlm.nih.gov/gene/178926", "178926")</f>
        <v>178926</v>
      </c>
      <c r="C8403" s="9" t="str">
        <f>HYPERLINK("http://www.ncbi.nlm.nih.gov/gene/1573", "1573")</f>
        <v>1573</v>
      </c>
      <c r="D8403" t="str">
        <f>"cyp-14A5"</f>
        <v>cyp-14A5</v>
      </c>
      <c r="E8403" t="s">
        <v>176</v>
      </c>
      <c r="F8403" t="s">
        <v>11</v>
      </c>
      <c r="G8403" t="s">
        <v>1626</v>
      </c>
      <c r="H8403" s="12">
        <v>1.28992350112265</v>
      </c>
      <c r="I8403" s="20">
        <v>0.72686883757572096</v>
      </c>
      <c r="J8403" s="28">
        <v>0.46730630865146</v>
      </c>
      <c r="K8403" s="29">
        <v>0.98289565623980701</v>
      </c>
    </row>
    <row r="8404" spans="1:11" x14ac:dyDescent="0.35">
      <c r="A8404" s="9" t="str">
        <f>HYPERLINK("http://www.ensembl.org/id/WBGene00015135", "WBGene00015135")</f>
        <v>WBGene00015135</v>
      </c>
      <c r="B8404" s="9" t="str">
        <f>HYPERLINK("http://www.ncbi.nlm.nih.gov/gene/173787", "173787")</f>
        <v>173787</v>
      </c>
      <c r="C8404" s="9" t="str">
        <f>HYPERLINK("http://www.ncbi.nlm.nih.gov/gene/1573", "1573")</f>
        <v>1573</v>
      </c>
      <c r="D8404" t="str">
        <f>"cyp-23A1"</f>
        <v>cyp-23A1</v>
      </c>
      <c r="E8404" t="s">
        <v>176</v>
      </c>
      <c r="F8404" t="s">
        <v>11</v>
      </c>
      <c r="G8404" t="s">
        <v>4623</v>
      </c>
      <c r="H8404" s="12">
        <v>1.5837278920917399</v>
      </c>
      <c r="I8404" s="20">
        <v>1.1048839241650299</v>
      </c>
      <c r="J8404" s="28">
        <v>0.26920988907486099</v>
      </c>
      <c r="K8404" s="29">
        <v>0.98289565623980701</v>
      </c>
    </row>
    <row r="8405" spans="1:11" x14ac:dyDescent="0.35">
      <c r="A8405" s="9" t="str">
        <f>HYPERLINK("http://www.ensembl.org/id/WBGene00007964", "WBGene00007964")</f>
        <v>WBGene00007964</v>
      </c>
      <c r="B8405" s="9" t="str">
        <f>HYPERLINK("http://www.ncbi.nlm.nih.gov/gene/175495", "175495")</f>
        <v>175495</v>
      </c>
      <c r="C8405" s="9" t="str">
        <f>HYPERLINK("http://www.ncbi.nlm.nih.gov/gene/1576", "1576")</f>
        <v>1576</v>
      </c>
      <c r="D8405" t="str">
        <f>"cyp-25A2"</f>
        <v>cyp-25A2</v>
      </c>
      <c r="E8405" t="s">
        <v>176</v>
      </c>
      <c r="F8405" t="s">
        <v>11</v>
      </c>
      <c r="G8405" t="s">
        <v>1626</v>
      </c>
      <c r="H8405" s="12">
        <v>-1.1044247303099199</v>
      </c>
      <c r="I8405" s="20">
        <v>-0.43394966474837399</v>
      </c>
      <c r="J8405" s="28">
        <v>0.66432499346657503</v>
      </c>
      <c r="K8405" s="29">
        <v>0.98289565623980701</v>
      </c>
    </row>
    <row r="8406" spans="1:11" x14ac:dyDescent="0.35">
      <c r="A8406" s="9" t="str">
        <f>HYPERLINK("http://www.ensembl.org/id/WBGene00014697", "WBGene00014697")</f>
        <v>WBGene00014697</v>
      </c>
      <c r="B8406" s="9" t="str">
        <f>HYPERLINK("http://www.ncbi.nlm.nih.gov/gene/4363046", "4363046")</f>
        <v>4363046</v>
      </c>
      <c r="C8406" s="9" t="str">
        <f>HYPERLINK("http://www.ncbi.nlm.nih.gov/gene/1576", "1576")</f>
        <v>1576</v>
      </c>
      <c r="D8406" t="str">
        <f>"cyp-25A3"</f>
        <v>cyp-25A3</v>
      </c>
      <c r="E8406" t="s">
        <v>176</v>
      </c>
      <c r="F8406" t="s">
        <v>11</v>
      </c>
      <c r="G8406" t="s">
        <v>332</v>
      </c>
      <c r="H8406" s="12">
        <v>1.23859114530287</v>
      </c>
      <c r="I8406" s="20">
        <v>0.92764500173949704</v>
      </c>
      <c r="J8406" s="28">
        <v>0.35359174606434302</v>
      </c>
      <c r="K8406" s="29">
        <v>0.98289565623980701</v>
      </c>
    </row>
    <row r="8407" spans="1:11" x14ac:dyDescent="0.35">
      <c r="A8407" s="9" t="str">
        <f>HYPERLINK("http://www.ensembl.org/id/WBGene00007967", "WBGene00007967")</f>
        <v>WBGene00007967</v>
      </c>
      <c r="B8407" s="9" t="str">
        <f>HYPERLINK("http://www.ncbi.nlm.nih.gov/gene/183248", "183248")</f>
        <v>183248</v>
      </c>
      <c r="C8407" s="9" t="str">
        <f>HYPERLINK("http://www.ncbi.nlm.nih.gov/gene/1576", "1576")</f>
        <v>1576</v>
      </c>
      <c r="D8407" t="str">
        <f>"cyp-25A4"</f>
        <v>cyp-25A4</v>
      </c>
      <c r="E8407" t="s">
        <v>176</v>
      </c>
      <c r="F8407" t="s">
        <v>11</v>
      </c>
      <c r="G8407" t="s">
        <v>332</v>
      </c>
      <c r="H8407" s="12">
        <v>1.32563590511211</v>
      </c>
      <c r="I8407" s="20">
        <v>0.93821995954285597</v>
      </c>
      <c r="J8407" s="28">
        <v>0.34813138306319702</v>
      </c>
      <c r="K8407" s="29">
        <v>0.98289565623980701</v>
      </c>
    </row>
    <row r="8408" spans="1:11" x14ac:dyDescent="0.35">
      <c r="A8408" s="9" t="str">
        <f>HYPERLINK("http://www.ensembl.org/id/WBGene00008083", "WBGene00008083")</f>
        <v>WBGene00008083</v>
      </c>
      <c r="B8408" s="9"/>
      <c r="C8408" s="9"/>
      <c r="D8408" t="str">
        <f>"cyp-29A1"</f>
        <v>cyp-29A1</v>
      </c>
      <c r="F8408" t="s">
        <v>80</v>
      </c>
      <c r="H8408" s="12">
        <v>1.30032518564243</v>
      </c>
      <c r="I8408" s="20">
        <v>0.30521345989640503</v>
      </c>
      <c r="J8408" s="28">
        <v>0.76020358168804703</v>
      </c>
      <c r="K8408" s="29">
        <v>0.98289565623980701</v>
      </c>
    </row>
    <row r="8409" spans="1:11" x14ac:dyDescent="0.35">
      <c r="A8409" s="9" t="str">
        <f>HYPERLINK("http://www.ensembl.org/id/WBGene00007140", "WBGene00007140")</f>
        <v>WBGene00007140</v>
      </c>
      <c r="B8409" s="9" t="str">
        <f>HYPERLINK("http://www.ncbi.nlm.nih.gov/gene/181926", "181926")</f>
        <v>181926</v>
      </c>
      <c r="C8409" s="9"/>
      <c r="D8409" t="str">
        <f>"cyp-29A4"</f>
        <v>cyp-29A4</v>
      </c>
      <c r="E8409" t="s">
        <v>176</v>
      </c>
      <c r="F8409" t="s">
        <v>11</v>
      </c>
      <c r="G8409" t="s">
        <v>1626</v>
      </c>
      <c r="H8409" s="12">
        <v>2.47187594994785</v>
      </c>
      <c r="I8409" s="20">
        <v>1.0408971319876199</v>
      </c>
      <c r="J8409" s="28">
        <v>0.29792329295200998</v>
      </c>
      <c r="K8409" s="29">
        <v>0.98289565623980701</v>
      </c>
    </row>
    <row r="8410" spans="1:11" x14ac:dyDescent="0.35">
      <c r="A8410" s="9" t="str">
        <f>HYPERLINK("http://www.ensembl.org/id/WBGene00000374", "WBGene00000374")</f>
        <v>WBGene00000374</v>
      </c>
      <c r="B8410" s="9"/>
      <c r="C8410" s="9"/>
      <c r="D8410" t="str">
        <f>"cyp-31A1"</f>
        <v>cyp-31A1</v>
      </c>
      <c r="F8410" t="s">
        <v>80</v>
      </c>
      <c r="H8410" s="12">
        <v>1.1862960412678001</v>
      </c>
      <c r="I8410" s="20">
        <v>0.76685737802967702</v>
      </c>
      <c r="J8410" s="28">
        <v>0.443166317295701</v>
      </c>
      <c r="K8410" s="29">
        <v>0.98289565623980701</v>
      </c>
    </row>
    <row r="8411" spans="1:11" x14ac:dyDescent="0.35">
      <c r="A8411" s="9" t="str">
        <f>HYPERLINK("http://www.ensembl.org/id/WBGene00016147", "WBGene00016147")</f>
        <v>WBGene00016147</v>
      </c>
      <c r="B8411" s="9" t="str">
        <f>HYPERLINK("http://www.ncbi.nlm.nih.gov/gene/179156", "179156")</f>
        <v>179156</v>
      </c>
      <c r="C8411" s="9" t="str">
        <f>HYPERLINK("http://www.ncbi.nlm.nih.gov/gene/285440", "285440")</f>
        <v>285440</v>
      </c>
      <c r="D8411" t="str">
        <f>"cyp-32A1"</f>
        <v>cyp-32A1</v>
      </c>
      <c r="E8411" t="s">
        <v>176</v>
      </c>
      <c r="F8411" t="s">
        <v>11</v>
      </c>
      <c r="G8411" t="s">
        <v>1626</v>
      </c>
      <c r="H8411" s="12">
        <v>1.33092478365558</v>
      </c>
      <c r="I8411" s="20">
        <v>0.92473309934112002</v>
      </c>
      <c r="J8411" s="28">
        <v>0.35510475770901201</v>
      </c>
      <c r="K8411" s="29">
        <v>0.98289565623980701</v>
      </c>
    </row>
    <row r="8412" spans="1:11" x14ac:dyDescent="0.35">
      <c r="A8412" s="9" t="str">
        <f>HYPERLINK("http://www.ensembl.org/id/WBGene00016697", "WBGene00016697")</f>
        <v>WBGene00016697</v>
      </c>
      <c r="B8412" s="9" t="str">
        <f>HYPERLINK("http://www.ncbi.nlm.nih.gov/gene/178695", "178695")</f>
        <v>178695</v>
      </c>
      <c r="C8412" s="9" t="str">
        <f>HYPERLINK("http://www.ncbi.nlm.nih.gov/gene/1573", "1573")</f>
        <v>1573</v>
      </c>
      <c r="D8412" t="str">
        <f>"cyp-33C2"</f>
        <v>cyp-33C2</v>
      </c>
      <c r="E8412" t="s">
        <v>176</v>
      </c>
      <c r="F8412" t="s">
        <v>11</v>
      </c>
      <c r="G8412" t="s">
        <v>438</v>
      </c>
      <c r="H8412" s="12">
        <v>1.7915237333313201</v>
      </c>
      <c r="I8412" s="20">
        <v>0.84434946639576003</v>
      </c>
      <c r="J8412" s="28">
        <v>0.39847415174314399</v>
      </c>
      <c r="K8412" s="29">
        <v>0.98289565623980701</v>
      </c>
    </row>
    <row r="8413" spans="1:11" x14ac:dyDescent="0.35">
      <c r="A8413" s="9" t="str">
        <f>HYPERLINK("http://www.ensembl.org/id/WBGene00018262", "WBGene00018262")</f>
        <v>WBGene00018262</v>
      </c>
      <c r="B8413" s="9" t="str">
        <f>HYPERLINK("http://www.ncbi.nlm.nih.gov/gene/3565571", "3565571")</f>
        <v>3565571</v>
      </c>
      <c r="C8413" s="9" t="str">
        <f>HYPERLINK("http://www.ncbi.nlm.nih.gov/gene/1573", "1573")</f>
        <v>1573</v>
      </c>
      <c r="D8413" t="str">
        <f>"cyp-33C3"</f>
        <v>cyp-33C3</v>
      </c>
      <c r="E8413" t="s">
        <v>176</v>
      </c>
      <c r="F8413" t="s">
        <v>11</v>
      </c>
      <c r="G8413" t="s">
        <v>438</v>
      </c>
      <c r="H8413" s="12">
        <v>1.13774147606356</v>
      </c>
      <c r="I8413" s="20">
        <v>0.35234492339092699</v>
      </c>
      <c r="J8413" s="28">
        <v>0.72457960149204004</v>
      </c>
      <c r="K8413" s="29">
        <v>0.98289565623980701</v>
      </c>
    </row>
    <row r="8414" spans="1:11" x14ac:dyDescent="0.35">
      <c r="A8414" s="9" t="str">
        <f>HYPERLINK("http://www.ensembl.org/id/WBGene00019967", "WBGene00019967")</f>
        <v>WBGene00019967</v>
      </c>
      <c r="B8414" s="9" t="str">
        <f>HYPERLINK("http://www.ncbi.nlm.nih.gov/gene/187705", "187705")</f>
        <v>187705</v>
      </c>
      <c r="C8414" s="9" t="str">
        <f>HYPERLINK("http://www.ncbi.nlm.nih.gov/gene/1573", "1573")</f>
        <v>1573</v>
      </c>
      <c r="D8414" t="str">
        <f>"cyp-33C8"</f>
        <v>cyp-33C8</v>
      </c>
      <c r="E8414" t="s">
        <v>176</v>
      </c>
      <c r="F8414" t="s">
        <v>11</v>
      </c>
      <c r="G8414" t="s">
        <v>438</v>
      </c>
      <c r="H8414" s="12">
        <v>1.0734817942055599</v>
      </c>
      <c r="I8414" s="20">
        <v>0.33735530132382702</v>
      </c>
      <c r="J8414" s="28">
        <v>0.73584907598544502</v>
      </c>
      <c r="K8414" s="29">
        <v>0.98289565623980701</v>
      </c>
    </row>
    <row r="8415" spans="1:11" x14ac:dyDescent="0.35">
      <c r="A8415" s="9" t="str">
        <f>HYPERLINK("http://www.ensembl.org/id/WBGene00010589", "WBGene00010589")</f>
        <v>WBGene00010589</v>
      </c>
      <c r="B8415" s="9" t="str">
        <f>HYPERLINK("http://www.ncbi.nlm.nih.gov/gene/187025", "187025")</f>
        <v>187025</v>
      </c>
      <c r="C8415" s="9" t="str">
        <f>HYPERLINK("http://www.ncbi.nlm.nih.gov/gene/1573", "1573")</f>
        <v>1573</v>
      </c>
      <c r="D8415" t="str">
        <f>"cyp-33D1"</f>
        <v>cyp-33D1</v>
      </c>
      <c r="E8415" t="s">
        <v>176</v>
      </c>
      <c r="F8415" t="s">
        <v>11</v>
      </c>
      <c r="G8415" t="s">
        <v>438</v>
      </c>
      <c r="H8415" s="12">
        <v>1.50308486253387</v>
      </c>
      <c r="I8415" s="20">
        <v>0.65106913603247696</v>
      </c>
      <c r="J8415" s="28">
        <v>0.51500185887642003</v>
      </c>
      <c r="K8415" s="29">
        <v>0.98289565623980701</v>
      </c>
    </row>
    <row r="8416" spans="1:11" x14ac:dyDescent="0.35">
      <c r="A8416" s="9" t="str">
        <f>HYPERLINK("http://www.ensembl.org/id/WBGene00018333", "WBGene00018333")</f>
        <v>WBGene00018333</v>
      </c>
      <c r="B8416" s="9" t="str">
        <f>HYPERLINK("http://www.ncbi.nlm.nih.gov/gene/185652", "185652")</f>
        <v>185652</v>
      </c>
      <c r="C8416" s="9"/>
      <c r="D8416" t="str">
        <f>"cyp-33E3"</f>
        <v>cyp-33E3</v>
      </c>
      <c r="E8416" t="s">
        <v>176</v>
      </c>
      <c r="F8416" t="s">
        <v>11</v>
      </c>
      <c r="G8416" t="s">
        <v>3456</v>
      </c>
      <c r="H8416" s="12">
        <v>-1.33157820412739</v>
      </c>
      <c r="I8416" s="20">
        <v>-0.42430460195229602</v>
      </c>
      <c r="J8416" s="28">
        <v>0.67134368348667794</v>
      </c>
      <c r="K8416" s="29">
        <v>0.98289565623980701</v>
      </c>
    </row>
    <row r="8417" spans="1:11" x14ac:dyDescent="0.35">
      <c r="A8417" s="9" t="str">
        <f>HYPERLINK("http://www.ensembl.org/id/WBGene00011698", "WBGene00011698")</f>
        <v>WBGene00011698</v>
      </c>
      <c r="B8417" s="9" t="str">
        <f>HYPERLINK("http://www.ncbi.nlm.nih.gov/gene/188399", "188399")</f>
        <v>188399</v>
      </c>
      <c r="C8417" s="9"/>
      <c r="D8417" t="str">
        <f>"cyp-34A1"</f>
        <v>cyp-34A1</v>
      </c>
      <c r="E8417" t="s">
        <v>176</v>
      </c>
      <c r="F8417" t="s">
        <v>11</v>
      </c>
      <c r="G8417" t="s">
        <v>438</v>
      </c>
      <c r="H8417" s="12">
        <v>2.1795031933973998</v>
      </c>
      <c r="I8417" s="20">
        <v>1.04048675138305</v>
      </c>
      <c r="J8417" s="28">
        <v>0.29811381612346599</v>
      </c>
      <c r="K8417" s="29">
        <v>0.98289565623980701</v>
      </c>
    </row>
    <row r="8418" spans="1:11" x14ac:dyDescent="0.35">
      <c r="A8418" s="9" t="str">
        <f>HYPERLINK("http://www.ensembl.org/id/WBGene00015045", "WBGene00015045")</f>
        <v>WBGene00015045</v>
      </c>
      <c r="B8418" s="9" t="str">
        <f>HYPERLINK("http://www.ncbi.nlm.nih.gov/gene/181852", "181852")</f>
        <v>181852</v>
      </c>
      <c r="C8418" s="9"/>
      <c r="D8418" t="str">
        <f>"cyp-34A10"</f>
        <v>cyp-34A10</v>
      </c>
      <c r="E8418" t="s">
        <v>176</v>
      </c>
      <c r="F8418" t="s">
        <v>11</v>
      </c>
      <c r="G8418" t="s">
        <v>438</v>
      </c>
      <c r="H8418" s="12">
        <v>-1.58572389376139</v>
      </c>
      <c r="I8418" s="20">
        <v>-0.94326097917778695</v>
      </c>
      <c r="J8418" s="28">
        <v>0.345547429589107</v>
      </c>
      <c r="K8418" s="29">
        <v>0.98289565623980701</v>
      </c>
    </row>
    <row r="8419" spans="1:11" x14ac:dyDescent="0.35">
      <c r="A8419" s="9" t="str">
        <f>HYPERLINK("http://www.ensembl.org/id/WBGene00008055", "WBGene00008055")</f>
        <v>WBGene00008055</v>
      </c>
      <c r="B8419" s="9"/>
      <c r="C8419" s="9"/>
      <c r="D8419" t="str">
        <f>"cyp-34A3"</f>
        <v>cyp-34A3</v>
      </c>
      <c r="F8419" t="s">
        <v>80</v>
      </c>
      <c r="H8419" s="12">
        <v>3.0250841133984201</v>
      </c>
      <c r="I8419" s="20">
        <v>0.53439098800024198</v>
      </c>
      <c r="J8419" s="28">
        <v>0.59307105273236704</v>
      </c>
      <c r="K8419" s="29">
        <v>0.98289565623980701</v>
      </c>
    </row>
    <row r="8420" spans="1:11" x14ac:dyDescent="0.35">
      <c r="A8420" s="9" t="str">
        <f>HYPERLINK("http://www.ensembl.org/id/WBGene00015041", "WBGene00015041")</f>
        <v>WBGene00015041</v>
      </c>
      <c r="B8420" s="9" t="str">
        <f>HYPERLINK("http://www.ncbi.nlm.nih.gov/gene/181848", "181848")</f>
        <v>181848</v>
      </c>
      <c r="C8420" s="9"/>
      <c r="D8420" t="str">
        <f>"cyp-34A6"</f>
        <v>cyp-34A6</v>
      </c>
      <c r="E8420" t="s">
        <v>176</v>
      </c>
      <c r="F8420" t="s">
        <v>11</v>
      </c>
      <c r="G8420" t="s">
        <v>438</v>
      </c>
      <c r="H8420" s="12">
        <v>-1.2176054699494501</v>
      </c>
      <c r="I8420" s="20">
        <v>-0.86168112033951905</v>
      </c>
      <c r="J8420" s="28">
        <v>0.38886301762527398</v>
      </c>
      <c r="K8420" s="29">
        <v>0.98289565623980701</v>
      </c>
    </row>
    <row r="8421" spans="1:11" x14ac:dyDescent="0.35">
      <c r="A8421" s="9" t="str">
        <f>HYPERLINK("http://www.ensembl.org/id/WBGene00015042", "WBGene00015042")</f>
        <v>WBGene00015042</v>
      </c>
      <c r="B8421" s="9" t="str">
        <f>HYPERLINK("http://www.ncbi.nlm.nih.gov/gene/181849", "181849")</f>
        <v>181849</v>
      </c>
      <c r="C8421" s="9"/>
      <c r="D8421" t="str">
        <f>"cyp-34A7"</f>
        <v>cyp-34A7</v>
      </c>
      <c r="E8421" t="s">
        <v>176</v>
      </c>
      <c r="F8421" t="s">
        <v>11</v>
      </c>
      <c r="G8421" t="s">
        <v>438</v>
      </c>
      <c r="H8421" s="12">
        <v>2.0903861811993298</v>
      </c>
      <c r="I8421" s="20">
        <v>0.96991690282907495</v>
      </c>
      <c r="J8421" s="28">
        <v>0.33208791402205501</v>
      </c>
      <c r="K8421" s="29">
        <v>0.98289565623980701</v>
      </c>
    </row>
    <row r="8422" spans="1:11" x14ac:dyDescent="0.35">
      <c r="A8422" s="9" t="str">
        <f>HYPERLINK("http://www.ensembl.org/id/WBGene00015043", "WBGene00015043")</f>
        <v>WBGene00015043</v>
      </c>
      <c r="B8422" s="9" t="str">
        <f>HYPERLINK("http://www.ncbi.nlm.nih.gov/gene/181850", "181850")</f>
        <v>181850</v>
      </c>
      <c r="C8422" s="9"/>
      <c r="D8422" t="str">
        <f>"cyp-34A8"</f>
        <v>cyp-34A8</v>
      </c>
      <c r="E8422" t="s">
        <v>176</v>
      </c>
      <c r="F8422" t="s">
        <v>11</v>
      </c>
      <c r="G8422" t="s">
        <v>438</v>
      </c>
      <c r="H8422" s="12">
        <v>-1.0793770466811099</v>
      </c>
      <c r="I8422" s="20">
        <v>-0.39369532577163402</v>
      </c>
      <c r="J8422" s="28">
        <v>0.69380599274421595</v>
      </c>
      <c r="K8422" s="29">
        <v>0.98289565623980701</v>
      </c>
    </row>
    <row r="8423" spans="1:11" x14ac:dyDescent="0.35">
      <c r="A8423" s="9" t="str">
        <f>HYPERLINK("http://www.ensembl.org/id/WBGene00015399", "WBGene00015399")</f>
        <v>WBGene00015399</v>
      </c>
      <c r="B8423" s="9" t="str">
        <f>HYPERLINK("http://www.ncbi.nlm.nih.gov/gene/182176", "182176")</f>
        <v>182176</v>
      </c>
      <c r="C8423" s="9"/>
      <c r="D8423" t="str">
        <f>"cyp-35A1"</f>
        <v>cyp-35A1</v>
      </c>
      <c r="E8423" t="s">
        <v>176</v>
      </c>
      <c r="F8423" t="s">
        <v>11</v>
      </c>
      <c r="G8423" t="s">
        <v>4814</v>
      </c>
      <c r="H8423" s="12">
        <v>-2.4991590031922399</v>
      </c>
      <c r="I8423" s="20">
        <v>-0.26577412737581302</v>
      </c>
      <c r="J8423" s="28">
        <v>0.79041317015736101</v>
      </c>
      <c r="K8423" s="29">
        <v>0.98289565623980701</v>
      </c>
    </row>
    <row r="8424" spans="1:11" x14ac:dyDescent="0.35">
      <c r="A8424" s="9" t="str">
        <f>HYPERLINK("http://www.ensembl.org/id/WBGene00015400", "WBGene00015400")</f>
        <v>WBGene00015400</v>
      </c>
      <c r="B8424" s="9" t="str">
        <f>HYPERLINK("http://www.ncbi.nlm.nih.gov/gene/182177", "182177")</f>
        <v>182177</v>
      </c>
      <c r="C8424" s="9"/>
      <c r="D8424" t="str">
        <f>"cyp-35A2"</f>
        <v>cyp-35A2</v>
      </c>
      <c r="E8424" t="s">
        <v>176</v>
      </c>
      <c r="F8424" t="s">
        <v>11</v>
      </c>
      <c r="G8424" t="s">
        <v>4814</v>
      </c>
      <c r="H8424" s="12">
        <v>1.24254693662043</v>
      </c>
      <c r="I8424" s="20">
        <v>1.0293072179912199</v>
      </c>
      <c r="J8424" s="28">
        <v>0.30333533255359402</v>
      </c>
      <c r="K8424" s="29">
        <v>0.98289565623980701</v>
      </c>
    </row>
    <row r="8425" spans="1:11" x14ac:dyDescent="0.35">
      <c r="A8425" s="9" t="str">
        <f>HYPERLINK("http://www.ensembl.org/id/WBGene00019565", "WBGene00019565")</f>
        <v>WBGene00019565</v>
      </c>
      <c r="B8425" s="9" t="str">
        <f>HYPERLINK("http://www.ncbi.nlm.nih.gov/gene/187209", "187209")</f>
        <v>187209</v>
      </c>
      <c r="C8425" s="9"/>
      <c r="D8425" t="str">
        <f>"cyp-35A3"</f>
        <v>cyp-35A3</v>
      </c>
      <c r="E8425" t="s">
        <v>176</v>
      </c>
      <c r="F8425" t="s">
        <v>11</v>
      </c>
      <c r="G8425" t="s">
        <v>4814</v>
      </c>
      <c r="H8425" s="12">
        <v>1.17789670293339</v>
      </c>
      <c r="I8425" s="20">
        <v>0.31525133242754599</v>
      </c>
      <c r="J8425" s="28">
        <v>0.75257083339714703</v>
      </c>
      <c r="K8425" s="29">
        <v>0.98289565623980701</v>
      </c>
    </row>
    <row r="8426" spans="1:11" x14ac:dyDescent="0.35">
      <c r="A8426" s="9" t="str">
        <f>HYPERLINK("http://www.ensembl.org/id/WBGene00016786", "WBGene00016786")</f>
        <v>WBGene00016786</v>
      </c>
      <c r="B8426" s="9" t="str">
        <f>HYPERLINK("http://www.ncbi.nlm.nih.gov/gene/183622", "183622")</f>
        <v>183622</v>
      </c>
      <c r="C8426" s="9"/>
      <c r="D8426" t="str">
        <f>"cyp-35A4"</f>
        <v>cyp-35A4</v>
      </c>
      <c r="E8426" t="s">
        <v>176</v>
      </c>
      <c r="F8426" t="s">
        <v>11</v>
      </c>
      <c r="G8426" t="s">
        <v>4814</v>
      </c>
      <c r="H8426" s="12">
        <v>1.3577159532769401</v>
      </c>
      <c r="I8426" s="20">
        <v>0.29450966039512599</v>
      </c>
      <c r="J8426" s="28">
        <v>0.76836848265347801</v>
      </c>
      <c r="K8426" s="29">
        <v>0.98289565623980701</v>
      </c>
    </row>
    <row r="8427" spans="1:11" x14ac:dyDescent="0.35">
      <c r="A8427" s="9" t="str">
        <f>HYPERLINK("http://www.ensembl.org/id/WBGene00019473", "WBGene00019473")</f>
        <v>WBGene00019473</v>
      </c>
      <c r="B8427" s="9" t="str">
        <f>HYPERLINK("http://www.ncbi.nlm.nih.gov/gene/178802", "178802")</f>
        <v>178802</v>
      </c>
      <c r="C8427" s="9"/>
      <c r="D8427" t="str">
        <f>"cyp-35A5"</f>
        <v>cyp-35A5</v>
      </c>
      <c r="E8427" t="s">
        <v>176</v>
      </c>
      <c r="F8427" t="s">
        <v>11</v>
      </c>
      <c r="G8427" t="s">
        <v>4790</v>
      </c>
      <c r="H8427" s="12">
        <v>1.3730686748372001</v>
      </c>
      <c r="I8427" s="20">
        <v>0.54276260393185705</v>
      </c>
      <c r="J8427" s="28">
        <v>0.587293264100478</v>
      </c>
      <c r="K8427" s="29">
        <v>0.98289565623980701</v>
      </c>
    </row>
    <row r="8428" spans="1:11" x14ac:dyDescent="0.35">
      <c r="A8428" s="9" t="str">
        <f>HYPERLINK("http://www.ensembl.org/id/WBGene00019472", "WBGene00019472")</f>
        <v>WBGene00019472</v>
      </c>
      <c r="B8428" s="9" t="str">
        <f>HYPERLINK("http://www.ncbi.nlm.nih.gov/gene/178803", "178803")</f>
        <v>178803</v>
      </c>
      <c r="C8428" s="9"/>
      <c r="D8428" t="str">
        <f>"cyp-35B1"</f>
        <v>cyp-35B1</v>
      </c>
      <c r="E8428" t="s">
        <v>176</v>
      </c>
      <c r="F8428" t="s">
        <v>11</v>
      </c>
      <c r="G8428" t="s">
        <v>438</v>
      </c>
      <c r="H8428" s="12">
        <v>-1.2996146526744301</v>
      </c>
      <c r="I8428" s="20">
        <v>-0.725095199932417</v>
      </c>
      <c r="J8428" s="28">
        <v>0.46839362896664899</v>
      </c>
      <c r="K8428" s="29">
        <v>0.98289565623980701</v>
      </c>
    </row>
    <row r="8429" spans="1:11" x14ac:dyDescent="0.35">
      <c r="A8429" s="9" t="str">
        <f>HYPERLINK("http://www.ensembl.org/id/WBGene00007362", "WBGene00007362")</f>
        <v>WBGene00007362</v>
      </c>
      <c r="B8429" s="9" t="str">
        <f>HYPERLINK("http://www.ncbi.nlm.nih.gov/gene/179885", "179885")</f>
        <v>179885</v>
      </c>
      <c r="C8429" s="9"/>
      <c r="D8429" t="str">
        <f>"cyp-35C1"</f>
        <v>cyp-35C1</v>
      </c>
      <c r="E8429" t="s">
        <v>176</v>
      </c>
      <c r="F8429" t="s">
        <v>11</v>
      </c>
      <c r="G8429" t="s">
        <v>4814</v>
      </c>
      <c r="H8429" s="12">
        <v>-1.3025433990844399</v>
      </c>
      <c r="I8429" s="20">
        <v>-1.02408918948576</v>
      </c>
      <c r="J8429" s="28">
        <v>0.305793150045085</v>
      </c>
      <c r="K8429" s="29">
        <v>0.98289565623980701</v>
      </c>
    </row>
    <row r="8430" spans="1:11" x14ac:dyDescent="0.35">
      <c r="A8430" s="9" t="str">
        <f>HYPERLINK("http://www.ensembl.org/id/WBGene00008829", "WBGene00008829")</f>
        <v>WBGene00008829</v>
      </c>
      <c r="B8430" s="9" t="str">
        <f>HYPERLINK("http://www.ncbi.nlm.nih.gov/gene/184495", "184495")</f>
        <v>184495</v>
      </c>
      <c r="C8430" s="9"/>
      <c r="D8430" t="str">
        <f>"cyp-35D1"</f>
        <v>cyp-35D1</v>
      </c>
      <c r="E8430" t="s">
        <v>176</v>
      </c>
      <c r="F8430" t="s">
        <v>11</v>
      </c>
      <c r="G8430" t="s">
        <v>438</v>
      </c>
      <c r="H8430" s="12">
        <v>2.2452007301188899</v>
      </c>
      <c r="I8430" s="20">
        <v>1.1367994260332399</v>
      </c>
      <c r="J8430" s="28">
        <v>0.255622143358117</v>
      </c>
      <c r="K8430" s="29">
        <v>0.98289565623980701</v>
      </c>
    </row>
    <row r="8431" spans="1:11" x14ac:dyDescent="0.35">
      <c r="A8431" s="9" t="str">
        <f>HYPERLINK("http://www.ensembl.org/id/WBGene00014735", "WBGene00014735")</f>
        <v>WBGene00014735</v>
      </c>
      <c r="B8431" s="9"/>
      <c r="C8431" s="9"/>
      <c r="D8431" t="str">
        <f>"cyp-35D2"</f>
        <v>cyp-35D2</v>
      </c>
      <c r="F8431" t="s">
        <v>80</v>
      </c>
      <c r="H8431" s="12">
        <v>-2.4991590031922399</v>
      </c>
      <c r="I8431" s="20">
        <v>-0.26577412737581302</v>
      </c>
      <c r="J8431" s="28">
        <v>0.79041317015736101</v>
      </c>
      <c r="K8431" s="29">
        <v>0.98289565623980701</v>
      </c>
    </row>
    <row r="8432" spans="1:11" x14ac:dyDescent="0.35">
      <c r="A8432" s="9" t="str">
        <f>HYPERLINK("http://www.ensembl.org/id/WBGene00008499", "WBGene00008499")</f>
        <v>WBGene00008499</v>
      </c>
      <c r="B8432" s="9" t="str">
        <f>HYPERLINK("http://www.ncbi.nlm.nih.gov/gene/175053", "175053")</f>
        <v>175053</v>
      </c>
      <c r="C8432" s="9" t="str">
        <f>HYPERLINK("http://www.ncbi.nlm.nih.gov/gene/285440", "285440")</f>
        <v>285440</v>
      </c>
      <c r="D8432" t="str">
        <f>"cyp-37A1"</f>
        <v>cyp-37A1</v>
      </c>
      <c r="E8432" t="s">
        <v>176</v>
      </c>
      <c r="F8432" t="s">
        <v>11</v>
      </c>
      <c r="G8432" t="s">
        <v>332</v>
      </c>
      <c r="H8432" s="12">
        <v>-1.3196732642176501</v>
      </c>
      <c r="I8432" s="20">
        <v>-1.12175061661779</v>
      </c>
      <c r="J8432" s="28">
        <v>0.26196848855231097</v>
      </c>
      <c r="K8432" s="29">
        <v>0.98289565623980701</v>
      </c>
    </row>
    <row r="8433" spans="1:11" x14ac:dyDescent="0.35">
      <c r="A8433" s="9" t="str">
        <f>HYPERLINK("http://www.ensembl.org/id/WBGene00010759", "WBGene00010759")</f>
        <v>WBGene00010759</v>
      </c>
      <c r="B8433" s="9" t="str">
        <f>HYPERLINK("http://www.ncbi.nlm.nih.gov/gene/175107", "175107")</f>
        <v>175107</v>
      </c>
      <c r="C8433" s="9"/>
      <c r="D8433" t="str">
        <f>"cysl-2"</f>
        <v>cysl-2</v>
      </c>
      <c r="E8433" t="s">
        <v>6625</v>
      </c>
      <c r="F8433" t="s">
        <v>11</v>
      </c>
      <c r="G8433" t="s">
        <v>3091</v>
      </c>
      <c r="H8433" s="12">
        <v>-1.08064080546451</v>
      </c>
      <c r="I8433" s="20">
        <v>-0.38914263274761202</v>
      </c>
      <c r="J8433" s="28">
        <v>0.69717063767325105</v>
      </c>
      <c r="K8433" s="29">
        <v>0.98289565623980701</v>
      </c>
    </row>
    <row r="8434" spans="1:11" x14ac:dyDescent="0.35">
      <c r="A8434" s="9" t="str">
        <f>HYPERLINK("http://www.ensembl.org/id/WBGene00019096", "WBGene00019096")</f>
        <v>WBGene00019096</v>
      </c>
      <c r="B8434" s="9" t="str">
        <f>HYPERLINK("http://www.ncbi.nlm.nih.gov/gene/186587", "186587")</f>
        <v>186587</v>
      </c>
      <c r="C8434" s="9"/>
      <c r="D8434" t="str">
        <f>"cysl-4"</f>
        <v>cysl-4</v>
      </c>
      <c r="E8434" t="s">
        <v>10108</v>
      </c>
      <c r="F8434" t="s">
        <v>11</v>
      </c>
      <c r="G8434" t="s">
        <v>10109</v>
      </c>
      <c r="H8434" s="12">
        <v>-4.51585610737573</v>
      </c>
      <c r="I8434" s="20">
        <v>-0.50361966967016503</v>
      </c>
      <c r="J8434" s="28">
        <v>0.61452866763025804</v>
      </c>
      <c r="K8434" s="29">
        <v>0.98289565623980701</v>
      </c>
    </row>
    <row r="8435" spans="1:11" x14ac:dyDescent="0.35">
      <c r="A8435" s="9" t="str">
        <f>HYPERLINK("http://www.ensembl.org/id/WBGene00007848", "WBGene00007848")</f>
        <v>WBGene00007848</v>
      </c>
      <c r="B8435" s="9" t="str">
        <f>HYPERLINK("http://www.ncbi.nlm.nih.gov/gene/181510", "181510")</f>
        <v>181510</v>
      </c>
      <c r="C8435" s="9" t="str">
        <f>HYPERLINK("http://www.ncbi.nlm.nih.gov/gene/1528", "1528")</f>
        <v>1528</v>
      </c>
      <c r="D8435" t="str">
        <f>"cytb-5.1"</f>
        <v>cytb-5.1</v>
      </c>
      <c r="E8435" t="s">
        <v>6563</v>
      </c>
      <c r="F8435" t="s">
        <v>11</v>
      </c>
      <c r="G8435" t="s">
        <v>6564</v>
      </c>
      <c r="H8435" s="12">
        <v>-1.0765449028317999</v>
      </c>
      <c r="I8435" s="20">
        <v>-0.38754546695038</v>
      </c>
      <c r="J8435" s="28">
        <v>0.69835243175057204</v>
      </c>
      <c r="K8435" s="29">
        <v>0.98289565623980701</v>
      </c>
    </row>
    <row r="8436" spans="1:11" x14ac:dyDescent="0.35">
      <c r="A8436" s="9" t="str">
        <f>HYPERLINK("http://www.ensembl.org/id/WBGene00022697", "WBGene00022697")</f>
        <v>WBGene00022697</v>
      </c>
      <c r="B8436" s="9" t="str">
        <f>HYPERLINK("http://www.ncbi.nlm.nih.gov/gene/176188", "176188")</f>
        <v>176188</v>
      </c>
      <c r="C8436" s="9" t="str">
        <f>HYPERLINK("http://www.ncbi.nlm.nih.gov/gene/219771", "219771")</f>
        <v>219771</v>
      </c>
      <c r="D8436" t="str">
        <f>"cyy-1"</f>
        <v>cyy-1</v>
      </c>
      <c r="E8436" t="s">
        <v>8094</v>
      </c>
      <c r="F8436" t="s">
        <v>11</v>
      </c>
      <c r="G8436" t="s">
        <v>8095</v>
      </c>
      <c r="H8436" s="12">
        <v>-1.1604382541140399</v>
      </c>
      <c r="I8436" s="20">
        <v>-0.729733980610203</v>
      </c>
      <c r="J8436" s="28">
        <v>0.46555280602367299</v>
      </c>
      <c r="K8436" s="29">
        <v>0.98289565623980701</v>
      </c>
    </row>
    <row r="8437" spans="1:11" x14ac:dyDescent="0.35">
      <c r="A8437" s="9" t="str">
        <f>HYPERLINK("http://www.ensembl.org/id/WBGene00016998", "WBGene00016998")</f>
        <v>WBGene00016998</v>
      </c>
      <c r="B8437" s="9" t="str">
        <f>HYPERLINK("http://www.ncbi.nlm.nih.gov/gene/183882", "183882")</f>
        <v>183882</v>
      </c>
      <c r="C8437" s="9"/>
      <c r="D8437" t="str">
        <f>"D1005.4"</f>
        <v>D1005.4</v>
      </c>
      <c r="F8437" t="s">
        <v>11</v>
      </c>
      <c r="G8437" t="s">
        <v>25</v>
      </c>
      <c r="H8437" s="12">
        <v>-2.2007963420860399</v>
      </c>
      <c r="I8437" s="20">
        <v>-1.1945805218669201</v>
      </c>
      <c r="J8437" s="28">
        <v>0.23225096317458299</v>
      </c>
      <c r="K8437" s="29">
        <v>0.98289565623980701</v>
      </c>
    </row>
    <row r="8438" spans="1:11" x14ac:dyDescent="0.35">
      <c r="A8438" s="9" t="str">
        <f>HYPERLINK("http://www.ensembl.org/id/WBGene00016999", "WBGene00016999")</f>
        <v>WBGene00016999</v>
      </c>
      <c r="B8438" s="9" t="str">
        <f>HYPERLINK("http://www.ncbi.nlm.nih.gov/gene/183883", "183883")</f>
        <v>183883</v>
      </c>
      <c r="C8438" s="9"/>
      <c r="D8438" t="str">
        <f>"D1005.5"</f>
        <v>D1005.5</v>
      </c>
      <c r="F8438" t="s">
        <v>11</v>
      </c>
      <c r="H8438" s="12">
        <v>-1.4001749932821399</v>
      </c>
      <c r="I8438" s="20">
        <v>-0.38970232386614001</v>
      </c>
      <c r="J8438" s="28">
        <v>0.69675667791762097</v>
      </c>
      <c r="K8438" s="29">
        <v>0.98289565623980701</v>
      </c>
    </row>
    <row r="8439" spans="1:11" x14ac:dyDescent="0.35">
      <c r="A8439" s="9" t="str">
        <f>HYPERLINK("http://www.ensembl.org/id/WBGene00017000", "WBGene00017000")</f>
        <v>WBGene00017000</v>
      </c>
      <c r="B8439" s="9" t="str">
        <f>HYPERLINK("http://www.ncbi.nlm.nih.gov/gene/183884", "183884")</f>
        <v>183884</v>
      </c>
      <c r="C8439" s="9"/>
      <c r="D8439" t="str">
        <f>"D1005.6"</f>
        <v>D1005.6</v>
      </c>
      <c r="F8439" t="s">
        <v>11</v>
      </c>
      <c r="H8439" s="12">
        <v>1.72784388170068</v>
      </c>
      <c r="I8439" s="20">
        <v>0.92702854534745205</v>
      </c>
      <c r="J8439" s="28">
        <v>0.35391171358245399</v>
      </c>
      <c r="K8439" s="29">
        <v>0.98289565623980701</v>
      </c>
    </row>
    <row r="8440" spans="1:11" x14ac:dyDescent="0.35">
      <c r="A8440" s="9" t="str">
        <f>HYPERLINK("http://www.ensembl.org/id/WBGene00017007", "WBGene00017007")</f>
        <v>WBGene00017007</v>
      </c>
      <c r="B8440" s="9" t="str">
        <f>HYPERLINK("http://www.ncbi.nlm.nih.gov/gene/183889", "183889")</f>
        <v>183889</v>
      </c>
      <c r="C8440" s="9"/>
      <c r="D8440" t="str">
        <f>"D1007.10"</f>
        <v>D1007.10</v>
      </c>
      <c r="F8440" t="s">
        <v>11</v>
      </c>
      <c r="G8440" t="s">
        <v>25</v>
      </c>
      <c r="H8440" s="12">
        <v>-1.25706375502294</v>
      </c>
      <c r="I8440" s="20">
        <v>-0.80276192380695</v>
      </c>
      <c r="J8440" s="28">
        <v>0.42211235376949902</v>
      </c>
      <c r="K8440" s="29">
        <v>0.98289565623980701</v>
      </c>
    </row>
    <row r="8441" spans="1:11" x14ac:dyDescent="0.35">
      <c r="A8441" s="9" t="str">
        <f>HYPERLINK("http://www.ensembl.org/id/WBGene00017009", "WBGene00017009")</f>
        <v>WBGene00017009</v>
      </c>
      <c r="B8441" s="9" t="str">
        <f>HYPERLINK("http://www.ncbi.nlm.nih.gov/gene/183890", "183890")</f>
        <v>183890</v>
      </c>
      <c r="C8441" s="9"/>
      <c r="D8441" t="str">
        <f>"D1007.13"</f>
        <v>D1007.13</v>
      </c>
      <c r="F8441" t="s">
        <v>11</v>
      </c>
      <c r="H8441" s="12">
        <v>1.8167022607076799</v>
      </c>
      <c r="I8441" s="20">
        <v>0.67911808521244499</v>
      </c>
      <c r="J8441" s="28">
        <v>0.49706304424368097</v>
      </c>
      <c r="K8441" s="29">
        <v>0.98289565623980701</v>
      </c>
    </row>
    <row r="8442" spans="1:11" x14ac:dyDescent="0.35">
      <c r="A8442" s="9" t="str">
        <f>HYPERLINK("http://www.ensembl.org/id/WBGene00017010", "WBGene00017010")</f>
        <v>WBGene00017010</v>
      </c>
      <c r="B8442" s="9" t="str">
        <f>HYPERLINK("http://www.ncbi.nlm.nih.gov/gene/172058", "172058")</f>
        <v>172058</v>
      </c>
      <c r="C8442" s="9" t="str">
        <f>HYPERLINK("http://www.ncbi.nlm.nih.gov/gene/9772", "9772")</f>
        <v>9772</v>
      </c>
      <c r="D8442" t="str">
        <f>"D1007.15"</f>
        <v>D1007.15</v>
      </c>
      <c r="F8442" t="s">
        <v>11</v>
      </c>
      <c r="G8442" t="s">
        <v>25</v>
      </c>
      <c r="H8442" s="12">
        <v>1.1887065038358899</v>
      </c>
      <c r="I8442" s="20">
        <v>0.79903293095526395</v>
      </c>
      <c r="J8442" s="28">
        <v>0.42427131734256202</v>
      </c>
      <c r="K8442" s="29">
        <v>0.98289565623980701</v>
      </c>
    </row>
    <row r="8443" spans="1:11" x14ac:dyDescent="0.35">
      <c r="A8443" s="9" t="str">
        <f>HYPERLINK("http://www.ensembl.org/id/WBGene00017002", "WBGene00017002")</f>
        <v>WBGene00017002</v>
      </c>
      <c r="B8443" s="9" t="str">
        <f>HYPERLINK("http://www.ncbi.nlm.nih.gov/gene/183887", "183887")</f>
        <v>183887</v>
      </c>
      <c r="C8443" s="9"/>
      <c r="D8443" t="str">
        <f>"D1007.4"</f>
        <v>D1007.4</v>
      </c>
      <c r="F8443" t="s">
        <v>11</v>
      </c>
      <c r="G8443" t="s">
        <v>9593</v>
      </c>
      <c r="H8443" s="12">
        <v>-1.26243558682685</v>
      </c>
      <c r="I8443" s="20">
        <v>-0.821056632984141</v>
      </c>
      <c r="J8443" s="28">
        <v>0.41161401052525898</v>
      </c>
      <c r="K8443" s="29">
        <v>0.98289565623980701</v>
      </c>
    </row>
    <row r="8444" spans="1:11" x14ac:dyDescent="0.35">
      <c r="A8444" s="9" t="str">
        <f>HYPERLINK("http://www.ensembl.org/id/WBGene00017003", "WBGene00017003")</f>
        <v>WBGene00017003</v>
      </c>
      <c r="B8444" s="9" t="str">
        <f>HYPERLINK("http://www.ncbi.nlm.nih.gov/gene/172060", "172060")</f>
        <v>172060</v>
      </c>
      <c r="C8444" s="9" t="str">
        <f>HYPERLINK("http://www.ncbi.nlm.nih.gov/gene/55254", "55254")</f>
        <v>55254</v>
      </c>
      <c r="D8444" t="str">
        <f>"D1007.5"</f>
        <v>D1007.5</v>
      </c>
      <c r="F8444" t="s">
        <v>11</v>
      </c>
      <c r="G8444" t="s">
        <v>25</v>
      </c>
      <c r="H8444" s="12">
        <v>-1.30250547842072</v>
      </c>
      <c r="I8444" s="20">
        <v>-1.0867244493995201</v>
      </c>
      <c r="J8444" s="28">
        <v>0.27715860540980602</v>
      </c>
      <c r="K8444" s="29">
        <v>0.98289565623980701</v>
      </c>
    </row>
    <row r="8445" spans="1:11" x14ac:dyDescent="0.35">
      <c r="A8445" s="9" t="str">
        <f>HYPERLINK("http://www.ensembl.org/id/WBGene00303233", "WBGene00303233")</f>
        <v>WBGene00303233</v>
      </c>
      <c r="B8445" s="9" t="str">
        <f>HYPERLINK("http://www.ncbi.nlm.nih.gov/gene/36804997", "36804997")</f>
        <v>36804997</v>
      </c>
      <c r="C8445" s="9"/>
      <c r="D8445" t="str">
        <f>"D1014.13"</f>
        <v>D1014.13</v>
      </c>
      <c r="F8445" t="s">
        <v>11</v>
      </c>
      <c r="H8445" s="12">
        <v>-1.4240843360898801</v>
      </c>
      <c r="I8445" s="20">
        <v>-0.74827077816788201</v>
      </c>
      <c r="J8445" s="28">
        <v>0.45429684671824999</v>
      </c>
      <c r="K8445" s="29">
        <v>0.98289565623980701</v>
      </c>
    </row>
    <row r="8446" spans="1:11" x14ac:dyDescent="0.35">
      <c r="A8446" s="9" t="str">
        <f>HYPERLINK("http://www.ensembl.org/id/WBGene00017015", "WBGene00017015")</f>
        <v>WBGene00017015</v>
      </c>
      <c r="B8446" s="9" t="str">
        <f>HYPERLINK("http://www.ncbi.nlm.nih.gov/gene/183895", "183895")</f>
        <v>183895</v>
      </c>
      <c r="C8446" s="9"/>
      <c r="D8446" t="str">
        <f>"D1014.2"</f>
        <v>D1014.2</v>
      </c>
      <c r="F8446" t="s">
        <v>11</v>
      </c>
      <c r="G8446" t="s">
        <v>1089</v>
      </c>
      <c r="H8446" s="12">
        <v>1.2260913108126901</v>
      </c>
      <c r="I8446" s="20">
        <v>0.48878468883822901</v>
      </c>
      <c r="J8446" s="28">
        <v>0.62499413898127398</v>
      </c>
      <c r="K8446" s="29">
        <v>0.98289565623980701</v>
      </c>
    </row>
    <row r="8447" spans="1:11" x14ac:dyDescent="0.35">
      <c r="A8447" s="9" t="str">
        <f>HYPERLINK("http://www.ensembl.org/id/WBGene00198210", "WBGene00198210")</f>
        <v>WBGene00198210</v>
      </c>
      <c r="B8447" s="9"/>
      <c r="C8447" s="9"/>
      <c r="D8447" t="str">
        <f>"D1022.14"</f>
        <v>D1022.14</v>
      </c>
      <c r="F8447" t="s">
        <v>481</v>
      </c>
      <c r="H8447" s="12">
        <v>-2.4991590031922399</v>
      </c>
      <c r="I8447" s="20">
        <v>-0.26577412737581302</v>
      </c>
      <c r="J8447" s="28">
        <v>0.79041317015736101</v>
      </c>
      <c r="K8447" s="29">
        <v>0.98289565623980701</v>
      </c>
    </row>
    <row r="8448" spans="1:11" x14ac:dyDescent="0.35">
      <c r="A8448" s="9" t="str">
        <f>HYPERLINK("http://www.ensembl.org/id/WBGene00199426", "WBGene00199426")</f>
        <v>WBGene00199426</v>
      </c>
      <c r="B8448" s="9"/>
      <c r="C8448" s="9"/>
      <c r="D8448" t="str">
        <f>"D1022.15"</f>
        <v>D1022.15</v>
      </c>
      <c r="F8448" t="s">
        <v>481</v>
      </c>
      <c r="H8448" s="12">
        <v>2.4578120077400301</v>
      </c>
      <c r="I8448" s="20">
        <v>0.26093350314551</v>
      </c>
      <c r="J8448" s="28">
        <v>0.79414378780213601</v>
      </c>
      <c r="K8448" s="29">
        <v>0.98289565623980701</v>
      </c>
    </row>
    <row r="8449" spans="1:11" x14ac:dyDescent="0.35">
      <c r="A8449" s="9" t="str">
        <f>HYPERLINK("http://www.ensembl.org/id/WBGene00017022", "WBGene00017022")</f>
        <v>WBGene00017022</v>
      </c>
      <c r="B8449" s="9" t="str">
        <f>HYPERLINK("http://www.ncbi.nlm.nih.gov/gene/183900", "183900")</f>
        <v>183900</v>
      </c>
      <c r="C8449" s="9"/>
      <c r="D8449" t="str">
        <f>"D1022.3"</f>
        <v>D1022.3</v>
      </c>
      <c r="F8449" t="s">
        <v>11</v>
      </c>
      <c r="G8449" t="s">
        <v>423</v>
      </c>
      <c r="H8449" s="12">
        <v>-1.3110761840727601</v>
      </c>
      <c r="I8449" s="20">
        <v>-0.37774491619193101</v>
      </c>
      <c r="J8449" s="28">
        <v>0.70562009738165099</v>
      </c>
      <c r="K8449" s="29">
        <v>0.98289565623980701</v>
      </c>
    </row>
    <row r="8450" spans="1:11" x14ac:dyDescent="0.35">
      <c r="A8450" s="9" t="str">
        <f>HYPERLINK("http://www.ensembl.org/id/WBGene00017023", "WBGene00017023")</f>
        <v>WBGene00017023</v>
      </c>
      <c r="B8450" s="9" t="str">
        <f>HYPERLINK("http://www.ncbi.nlm.nih.gov/gene/174215", "174215")</f>
        <v>174215</v>
      </c>
      <c r="C8450" s="9"/>
      <c r="D8450" t="str">
        <f>"D1022.4"</f>
        <v>D1022.4</v>
      </c>
      <c r="F8450" t="s">
        <v>11</v>
      </c>
      <c r="G8450" t="s">
        <v>423</v>
      </c>
      <c r="H8450" s="12">
        <v>-1.1458868835505001</v>
      </c>
      <c r="I8450" s="20">
        <v>-0.65103988194460205</v>
      </c>
      <c r="J8450" s="28">
        <v>0.51502074244168095</v>
      </c>
      <c r="K8450" s="29">
        <v>0.98289565623980701</v>
      </c>
    </row>
    <row r="8451" spans="1:11" x14ac:dyDescent="0.35">
      <c r="A8451" s="9" t="str">
        <f>HYPERLINK("http://www.ensembl.org/id/WBGene00044300", "WBGene00044300")</f>
        <v>WBGene00044300</v>
      </c>
      <c r="B8451" s="9" t="str">
        <f>HYPERLINK("http://www.ncbi.nlm.nih.gov/gene/3565772", "3565772")</f>
        <v>3565772</v>
      </c>
      <c r="C8451" s="9"/>
      <c r="D8451" t="str">
        <f>"D1022.9"</f>
        <v>D1022.9</v>
      </c>
      <c r="F8451" t="s">
        <v>11</v>
      </c>
      <c r="G8451" t="s">
        <v>25</v>
      </c>
      <c r="H8451" s="12">
        <v>1.3854544202899299</v>
      </c>
      <c r="I8451" s="20">
        <v>0.465154481891628</v>
      </c>
      <c r="J8451" s="28">
        <v>0.64182083258915601</v>
      </c>
      <c r="K8451" s="29">
        <v>0.98289565623980701</v>
      </c>
    </row>
    <row r="8452" spans="1:11" x14ac:dyDescent="0.35">
      <c r="A8452" s="9" t="str">
        <f>HYPERLINK("http://www.ensembl.org/id/WBGene00044134", "WBGene00044134")</f>
        <v>WBGene00044134</v>
      </c>
      <c r="B8452" s="9" t="str">
        <f>HYPERLINK("http://www.ncbi.nlm.nih.gov/gene/3564955", "3564955")</f>
        <v>3564955</v>
      </c>
      <c r="C8452" s="9"/>
      <c r="D8452" t="str">
        <f>"D1025.10"</f>
        <v>D1025.10</v>
      </c>
      <c r="F8452" t="s">
        <v>11</v>
      </c>
      <c r="H8452" s="12">
        <v>1.1384022639031799</v>
      </c>
      <c r="I8452" s="20">
        <v>0.52571922820703898</v>
      </c>
      <c r="J8452" s="28">
        <v>0.59908330198822202</v>
      </c>
      <c r="K8452" s="29">
        <v>0.98289565623980701</v>
      </c>
    </row>
    <row r="8453" spans="1:11" x14ac:dyDescent="0.35">
      <c r="A8453" s="9" t="str">
        <f>HYPERLINK("http://www.ensembl.org/id/WBGene00017025", "WBGene00017025")</f>
        <v>WBGene00017025</v>
      </c>
      <c r="B8453" s="9" t="str">
        <f>HYPERLINK("http://www.ncbi.nlm.nih.gov/gene/171936", "171936")</f>
        <v>171936</v>
      </c>
      <c r="C8453" s="9"/>
      <c r="D8453" t="str">
        <f>"D1037.1"</f>
        <v>D1037.1</v>
      </c>
      <c r="F8453" t="s">
        <v>11</v>
      </c>
      <c r="G8453" t="s">
        <v>6267</v>
      </c>
      <c r="H8453" s="12">
        <v>-1.05784553946241</v>
      </c>
      <c r="I8453" s="20">
        <v>-0.278786827388734</v>
      </c>
      <c r="J8453" s="28">
        <v>0.78040842405661004</v>
      </c>
      <c r="K8453" s="29">
        <v>0.98289565623980701</v>
      </c>
    </row>
    <row r="8454" spans="1:11" x14ac:dyDescent="0.35">
      <c r="A8454" s="9" t="str">
        <f>HYPERLINK("http://www.ensembl.org/id/WBGene00017027", "WBGene00017027")</f>
        <v>WBGene00017027</v>
      </c>
      <c r="B8454" s="9" t="str">
        <f>HYPERLINK("http://www.ncbi.nlm.nih.gov/gene/175763", "175763")</f>
        <v>175763</v>
      </c>
      <c r="C8454" s="9"/>
      <c r="D8454" t="str">
        <f>"D1044.1"</f>
        <v>D1044.1</v>
      </c>
      <c r="E8454" t="s">
        <v>9820</v>
      </c>
      <c r="F8454" t="s">
        <v>11</v>
      </c>
      <c r="G8454" t="s">
        <v>9821</v>
      </c>
      <c r="H8454" s="12">
        <v>-1.3121173751348501</v>
      </c>
      <c r="I8454" s="20">
        <v>-0.82776808686302705</v>
      </c>
      <c r="J8454" s="28">
        <v>0.40780185121194601</v>
      </c>
      <c r="K8454" s="29">
        <v>0.98289565623980701</v>
      </c>
    </row>
    <row r="8455" spans="1:11" x14ac:dyDescent="0.35">
      <c r="A8455" s="9" t="str">
        <f>HYPERLINK("http://www.ensembl.org/id/WBGene00219476", "WBGene00219476")</f>
        <v>WBGene00219476</v>
      </c>
      <c r="B8455" s="9" t="str">
        <f>HYPERLINK("http://www.ncbi.nlm.nih.gov/gene/24104364", "24104364")</f>
        <v>24104364</v>
      </c>
      <c r="C8455" s="9"/>
      <c r="D8455" t="str">
        <f>"D1046.16"</f>
        <v>D1046.16</v>
      </c>
      <c r="F8455" t="s">
        <v>11</v>
      </c>
      <c r="G8455" t="s">
        <v>25</v>
      </c>
      <c r="H8455" s="12">
        <v>5.2322000618327396</v>
      </c>
      <c r="I8455" s="20">
        <v>0.486112489888328</v>
      </c>
      <c r="J8455" s="28">
        <v>0.62688741196182496</v>
      </c>
      <c r="K8455" s="29">
        <v>0.98289565623980701</v>
      </c>
    </row>
    <row r="8456" spans="1:11" x14ac:dyDescent="0.35">
      <c r="A8456" s="9" t="str">
        <f>HYPERLINK("http://www.ensembl.org/id/WBGene00196924", "WBGene00196924")</f>
        <v>WBGene00196924</v>
      </c>
      <c r="B8456" s="9"/>
      <c r="C8456" s="9"/>
      <c r="D8456" t="str">
        <f>"D1053.5"</f>
        <v>D1053.5</v>
      </c>
      <c r="F8456" t="s">
        <v>481</v>
      </c>
      <c r="H8456" s="12">
        <v>-3.5819448292659501</v>
      </c>
      <c r="I8456" s="20">
        <v>-0.37337717500031398</v>
      </c>
      <c r="J8456" s="28">
        <v>0.70886774492290605</v>
      </c>
      <c r="K8456" s="29">
        <v>0.98289565623980701</v>
      </c>
    </row>
    <row r="8457" spans="1:11" x14ac:dyDescent="0.35">
      <c r="A8457" s="9" t="str">
        <f>HYPERLINK("http://www.ensembl.org/id/WBGene00008370", "WBGene00008370")</f>
        <v>WBGene00008370</v>
      </c>
      <c r="B8457" s="9" t="str">
        <f>HYPERLINK("http://www.ncbi.nlm.nih.gov/gene/179492", "179492")</f>
        <v>179492</v>
      </c>
      <c r="C8457" s="9" t="str">
        <f>HYPERLINK("http://www.ncbi.nlm.nih.gov/gene/8228", "8228")</f>
        <v>8228</v>
      </c>
      <c r="D8457" t="str">
        <f>"D1054.1"</f>
        <v>D1054.1</v>
      </c>
      <c r="F8457" t="s">
        <v>11</v>
      </c>
      <c r="G8457" t="s">
        <v>4460</v>
      </c>
      <c r="H8457" s="12">
        <v>-1.0941247907695499</v>
      </c>
      <c r="I8457" s="20">
        <v>-0.40300005594428201</v>
      </c>
      <c r="J8457" s="28">
        <v>0.68694818333571706</v>
      </c>
      <c r="K8457" s="29">
        <v>0.98289565623980701</v>
      </c>
    </row>
    <row r="8458" spans="1:11" x14ac:dyDescent="0.35">
      <c r="A8458" s="9" t="str">
        <f>HYPERLINK("http://www.ensembl.org/id/WBGene00008377", "WBGene00008377")</f>
        <v>WBGene00008377</v>
      </c>
      <c r="B8458" s="9" t="str">
        <f>HYPERLINK("http://www.ncbi.nlm.nih.gov/gene/179496", "179496")</f>
        <v>179496</v>
      </c>
      <c r="C8458" s="9"/>
      <c r="D8458" t="str">
        <f>"D1054.10"</f>
        <v>D1054.10</v>
      </c>
      <c r="F8458" t="s">
        <v>11</v>
      </c>
      <c r="H8458" s="12">
        <v>-1.2060187466587799</v>
      </c>
      <c r="I8458" s="20">
        <v>-0.97573964455019202</v>
      </c>
      <c r="J8458" s="28">
        <v>0.32919350085874799</v>
      </c>
      <c r="K8458" s="29">
        <v>0.98289565623980701</v>
      </c>
    </row>
    <row r="8459" spans="1:11" x14ac:dyDescent="0.35">
      <c r="A8459" s="9" t="str">
        <f>HYPERLINK("http://www.ensembl.org/id/WBGene00194677", "WBGene00194677")</f>
        <v>WBGene00194677</v>
      </c>
      <c r="B8459" s="9" t="str">
        <f>HYPERLINK("http://www.ncbi.nlm.nih.gov/gene/13214951", "13214951")</f>
        <v>13214951</v>
      </c>
      <c r="C8459" s="9"/>
      <c r="D8459" t="str">
        <f>"D1054.19"</f>
        <v>D1054.19</v>
      </c>
      <c r="F8459" t="s">
        <v>11</v>
      </c>
      <c r="H8459" s="12">
        <v>-1.22093448829127</v>
      </c>
      <c r="I8459" s="20">
        <v>-0.33234063539384201</v>
      </c>
      <c r="J8459" s="28">
        <v>0.739632059323171</v>
      </c>
      <c r="K8459" s="29">
        <v>0.98289565623980701</v>
      </c>
    </row>
    <row r="8460" spans="1:11" x14ac:dyDescent="0.35">
      <c r="A8460" s="9" t="str">
        <f>HYPERLINK("http://www.ensembl.org/id/WBGene00198983", "WBGene00198983")</f>
        <v>WBGene00198983</v>
      </c>
      <c r="B8460" s="9"/>
      <c r="C8460" s="9"/>
      <c r="D8460" t="str">
        <f>"D1054.21"</f>
        <v>D1054.21</v>
      </c>
      <c r="F8460" t="s">
        <v>481</v>
      </c>
      <c r="H8460" s="12">
        <v>2.43628531154256</v>
      </c>
      <c r="I8460" s="20">
        <v>0.26397437090349102</v>
      </c>
      <c r="J8460" s="28">
        <v>0.79179966754305298</v>
      </c>
      <c r="K8460" s="29">
        <v>0.98289565623980701</v>
      </c>
    </row>
    <row r="8461" spans="1:11" x14ac:dyDescent="0.35">
      <c r="A8461" s="9" t="str">
        <f>HYPERLINK("http://www.ensembl.org/id/WBGene00008371", "WBGene00008371")</f>
        <v>WBGene00008371</v>
      </c>
      <c r="B8461" s="9" t="str">
        <f>HYPERLINK("http://www.ncbi.nlm.nih.gov/gene/179494", "179494")</f>
        <v>179494</v>
      </c>
      <c r="C8461" s="9" t="str">
        <f>HYPERLINK("http://www.ncbi.nlm.nih.gov/gene/10910", "10910")</f>
        <v>10910</v>
      </c>
      <c r="D8461" t="str">
        <f>"D1054.3"</f>
        <v>D1054.3</v>
      </c>
      <c r="F8461" t="s">
        <v>11</v>
      </c>
      <c r="G8461" t="s">
        <v>8086</v>
      </c>
      <c r="H8461" s="12">
        <v>-1.16024305467582</v>
      </c>
      <c r="I8461" s="20">
        <v>-0.73561668363953303</v>
      </c>
      <c r="J8461" s="28">
        <v>0.46196400645904701</v>
      </c>
      <c r="K8461" s="29">
        <v>0.98289565623980701</v>
      </c>
    </row>
    <row r="8462" spans="1:11" x14ac:dyDescent="0.35">
      <c r="A8462" s="9" t="str">
        <f>HYPERLINK("http://www.ensembl.org/id/WBGene00008372", "WBGene00008372")</f>
        <v>WBGene00008372</v>
      </c>
      <c r="B8462" s="9" t="str">
        <f>HYPERLINK("http://www.ncbi.nlm.nih.gov/gene/183914", "183914")</f>
        <v>183914</v>
      </c>
      <c r="C8462" s="9"/>
      <c r="D8462" t="str">
        <f>"D1054.5"</f>
        <v>D1054.5</v>
      </c>
      <c r="F8462" t="s">
        <v>11</v>
      </c>
      <c r="H8462" s="12">
        <v>-1.2581519302401101</v>
      </c>
      <c r="I8462" s="20">
        <v>-0.89213960545376403</v>
      </c>
      <c r="J8462" s="28">
        <v>0.37231810869801701</v>
      </c>
      <c r="K8462" s="29">
        <v>0.98289565623980701</v>
      </c>
    </row>
    <row r="8463" spans="1:11" x14ac:dyDescent="0.35">
      <c r="A8463" s="9" t="str">
        <f>HYPERLINK("http://www.ensembl.org/id/WBGene00008375", "WBGene00008375")</f>
        <v>WBGene00008375</v>
      </c>
      <c r="B8463" s="9" t="str">
        <f>HYPERLINK("http://www.ncbi.nlm.nih.gov/gene/183917", "183917")</f>
        <v>183917</v>
      </c>
      <c r="C8463" s="9"/>
      <c r="D8463" t="str">
        <f>"D1054.8"</f>
        <v>D1054.8</v>
      </c>
      <c r="F8463" t="s">
        <v>11</v>
      </c>
      <c r="G8463" t="s">
        <v>489</v>
      </c>
      <c r="H8463" s="12">
        <v>-1.0937351372737301</v>
      </c>
      <c r="I8463" s="20">
        <v>-0.40449446168668102</v>
      </c>
      <c r="J8463" s="28">
        <v>0.68584914970509203</v>
      </c>
      <c r="K8463" s="29">
        <v>0.98289565623980701</v>
      </c>
    </row>
    <row r="8464" spans="1:11" x14ac:dyDescent="0.35">
      <c r="A8464" s="9" t="str">
        <f>HYPERLINK("http://www.ensembl.org/id/WBGene00008376", "WBGene00008376")</f>
        <v>WBGene00008376</v>
      </c>
      <c r="B8464" s="9" t="str">
        <f>HYPERLINK("http://www.ncbi.nlm.nih.gov/gene/179495", "179495")</f>
        <v>179495</v>
      </c>
      <c r="C8464" s="9"/>
      <c r="D8464" t="str">
        <f>"D1054.9"</f>
        <v>D1054.9</v>
      </c>
      <c r="F8464" t="s">
        <v>11</v>
      </c>
      <c r="H8464" s="12">
        <v>1.3606725219399001</v>
      </c>
      <c r="I8464" s="20">
        <v>1.0751998327218999</v>
      </c>
      <c r="J8464" s="28">
        <v>0.28228527031977302</v>
      </c>
      <c r="K8464" s="29">
        <v>0.98289565623980701</v>
      </c>
    </row>
    <row r="8465" spans="1:11" x14ac:dyDescent="0.35">
      <c r="A8465" s="9" t="str">
        <f>HYPERLINK("http://www.ensembl.org/id/WBGene00268212", "WBGene00268212")</f>
        <v>WBGene00268212</v>
      </c>
      <c r="B8465" s="9"/>
      <c r="C8465" s="9"/>
      <c r="D8465" t="str">
        <f>"D1065.6"</f>
        <v>D1065.6</v>
      </c>
      <c r="F8465" t="s">
        <v>481</v>
      </c>
      <c r="H8465" s="12">
        <v>1.26836612120738</v>
      </c>
      <c r="I8465" s="20">
        <v>0.67425008904101402</v>
      </c>
      <c r="J8465" s="28">
        <v>0.50015232971110801</v>
      </c>
      <c r="K8465" s="29">
        <v>0.98289565623980701</v>
      </c>
    </row>
    <row r="8466" spans="1:11" x14ac:dyDescent="0.35">
      <c r="A8466" s="9" t="str">
        <f>HYPERLINK("http://www.ensembl.org/id/WBGene00269427", "WBGene00269427")</f>
        <v>WBGene00269427</v>
      </c>
      <c r="B8466" s="9"/>
      <c r="C8466" s="9"/>
      <c r="D8466" t="str">
        <f>"D1065.7"</f>
        <v>D1065.7</v>
      </c>
      <c r="F8466" t="s">
        <v>481</v>
      </c>
      <c r="H8466" s="12">
        <v>-1.3080282333081501</v>
      </c>
      <c r="I8466" s="20">
        <v>-0.34334166133979499</v>
      </c>
      <c r="J8466" s="28">
        <v>0.73134144230325504</v>
      </c>
      <c r="K8466" s="29">
        <v>0.98289565623980701</v>
      </c>
    </row>
    <row r="8467" spans="1:11" x14ac:dyDescent="0.35">
      <c r="A8467" s="9" t="str">
        <f>HYPERLINK("http://www.ensembl.org/id/WBGene00017040", "WBGene00017040")</f>
        <v>WBGene00017040</v>
      </c>
      <c r="B8467" s="9" t="str">
        <f>HYPERLINK("http://www.ncbi.nlm.nih.gov/gene/183926", "183926")</f>
        <v>183926</v>
      </c>
      <c r="C8467" s="9"/>
      <c r="D8467" t="str">
        <f>"D1079.1"</f>
        <v>D1079.1</v>
      </c>
      <c r="F8467" t="s">
        <v>11</v>
      </c>
      <c r="G8467" t="s">
        <v>25</v>
      </c>
      <c r="H8467" s="12">
        <v>1.3708854384590099</v>
      </c>
      <c r="I8467" s="20">
        <v>0.989565609896084</v>
      </c>
      <c r="J8467" s="28">
        <v>0.32238648617540799</v>
      </c>
      <c r="K8467" s="29">
        <v>0.98289565623980701</v>
      </c>
    </row>
    <row r="8468" spans="1:11" x14ac:dyDescent="0.35">
      <c r="A8468" s="9" t="str">
        <f>HYPERLINK("http://www.ensembl.org/id/WBGene00050879", "WBGene00050879")</f>
        <v>WBGene00050879</v>
      </c>
      <c r="B8468" s="9" t="str">
        <f>HYPERLINK("http://www.ncbi.nlm.nih.gov/gene/6418578", "6418578")</f>
        <v>6418578</v>
      </c>
      <c r="C8468" s="9"/>
      <c r="D8468" t="str">
        <f>"D1081.11"</f>
        <v>D1081.11</v>
      </c>
      <c r="F8468" t="s">
        <v>11</v>
      </c>
      <c r="G8468" t="s">
        <v>25</v>
      </c>
      <c r="H8468" s="12">
        <v>2.4578120077400301</v>
      </c>
      <c r="I8468" s="20">
        <v>0.26093350314551</v>
      </c>
      <c r="J8468" s="28">
        <v>0.79414378780213601</v>
      </c>
      <c r="K8468" s="29">
        <v>0.98289565623980701</v>
      </c>
    </row>
    <row r="8469" spans="1:11" x14ac:dyDescent="0.35">
      <c r="A8469" s="9" t="str">
        <f>HYPERLINK("http://www.ensembl.org/id/WBGene00086554", "WBGene00086554")</f>
        <v>WBGene00086554</v>
      </c>
      <c r="B8469" s="9" t="str">
        <f>HYPERLINK("http://www.ncbi.nlm.nih.gov/gene/7040133", "7040133")</f>
        <v>7040133</v>
      </c>
      <c r="C8469" s="9"/>
      <c r="D8469" t="str">
        <f>"D1081.12"</f>
        <v>D1081.12</v>
      </c>
      <c r="F8469" t="s">
        <v>11</v>
      </c>
      <c r="G8469" t="s">
        <v>4428</v>
      </c>
      <c r="H8469" s="12">
        <v>2.1964037792670399</v>
      </c>
      <c r="I8469" s="20">
        <v>0.68797896258786295</v>
      </c>
      <c r="J8469" s="28">
        <v>0.49146602936371298</v>
      </c>
      <c r="K8469" s="29">
        <v>0.98289565623980701</v>
      </c>
    </row>
    <row r="8470" spans="1:11" x14ac:dyDescent="0.35">
      <c r="A8470" s="9" t="str">
        <f>HYPERLINK("http://www.ensembl.org/id/WBGene00199998", "WBGene00199998")</f>
        <v>WBGene00199998</v>
      </c>
      <c r="B8470" s="9"/>
      <c r="C8470" s="9"/>
      <c r="D8470" t="str">
        <f>"D1081.16"</f>
        <v>D1081.16</v>
      </c>
      <c r="F8470" t="s">
        <v>481</v>
      </c>
      <c r="H8470" s="12">
        <v>3.5227018545059199</v>
      </c>
      <c r="I8470" s="20">
        <v>0.36849691206929103</v>
      </c>
      <c r="J8470" s="28">
        <v>0.71250274722433404</v>
      </c>
      <c r="K8470" s="29">
        <v>0.98289565623980701</v>
      </c>
    </row>
    <row r="8471" spans="1:11" x14ac:dyDescent="0.35">
      <c r="A8471" s="9" t="str">
        <f>HYPERLINK("http://www.ensembl.org/id/WBGene00008383", "WBGene00008383")</f>
        <v>WBGene00008383</v>
      </c>
      <c r="B8471" s="9" t="str">
        <f>HYPERLINK("http://www.ncbi.nlm.nih.gov/gene/183929", "183929")</f>
        <v>183929</v>
      </c>
      <c r="C8471" s="9"/>
      <c r="D8471" t="str">
        <f>"D1081.5"</f>
        <v>D1081.5</v>
      </c>
      <c r="F8471" t="s">
        <v>11</v>
      </c>
      <c r="H8471" s="12">
        <v>2.4365504573550298</v>
      </c>
      <c r="I8471" s="20">
        <v>0.63748408786153699</v>
      </c>
      <c r="J8471" s="28">
        <v>0.52380957141060602</v>
      </c>
      <c r="K8471" s="29">
        <v>0.98289565623980701</v>
      </c>
    </row>
    <row r="8472" spans="1:11" x14ac:dyDescent="0.35">
      <c r="A8472" s="9" t="str">
        <f>HYPERLINK("http://www.ensembl.org/id/WBGene00044082", "WBGene00044082")</f>
        <v>WBGene00044082</v>
      </c>
      <c r="B8472" s="9" t="str">
        <f>HYPERLINK("http://www.ncbi.nlm.nih.gov/gene/259660", "259660")</f>
        <v>259660</v>
      </c>
      <c r="C8472" s="9"/>
      <c r="D8472" t="str">
        <f>"D1086.12"</f>
        <v>D1086.12</v>
      </c>
      <c r="F8472" t="s">
        <v>11</v>
      </c>
      <c r="H8472" s="12">
        <v>-1.0888668000894699</v>
      </c>
      <c r="I8472" s="20">
        <v>-0.369001849163338</v>
      </c>
      <c r="J8472" s="28">
        <v>0.71212634645915496</v>
      </c>
      <c r="K8472" s="29">
        <v>0.98289565623980701</v>
      </c>
    </row>
    <row r="8473" spans="1:11" x14ac:dyDescent="0.35">
      <c r="A8473" s="9" t="str">
        <f>HYPERLINK("http://www.ensembl.org/id/WBGene00045355", "WBGene00045355")</f>
        <v>WBGene00045355</v>
      </c>
      <c r="B8473" s="9" t="str">
        <f>HYPERLINK("http://www.ncbi.nlm.nih.gov/gene/6418749", "6418749")</f>
        <v>6418749</v>
      </c>
      <c r="C8473" s="9"/>
      <c r="D8473" t="str">
        <f>"D1086.17"</f>
        <v>D1086.17</v>
      </c>
      <c r="F8473" t="s">
        <v>11</v>
      </c>
      <c r="H8473" s="12">
        <v>-1.09946742594376</v>
      </c>
      <c r="I8473" s="20">
        <v>-0.29739808705166698</v>
      </c>
      <c r="J8473" s="28">
        <v>0.76616260396682001</v>
      </c>
      <c r="K8473" s="29">
        <v>0.98289565623980701</v>
      </c>
    </row>
    <row r="8474" spans="1:11" x14ac:dyDescent="0.35">
      <c r="A8474" s="9" t="str">
        <f>HYPERLINK("http://www.ensembl.org/id/WBGene00045405", "WBGene00045405")</f>
        <v>WBGene00045405</v>
      </c>
      <c r="B8474" s="9" t="str">
        <f>HYPERLINK("http://www.ncbi.nlm.nih.gov/gene/6418714", "6418714")</f>
        <v>6418714</v>
      </c>
      <c r="C8474" s="9"/>
      <c r="D8474" t="str">
        <f>"D1086.18"</f>
        <v>D1086.18</v>
      </c>
      <c r="F8474" t="s">
        <v>11</v>
      </c>
      <c r="H8474" s="12">
        <v>1.4273981821607999</v>
      </c>
      <c r="I8474" s="20">
        <v>0.91935278762001704</v>
      </c>
      <c r="J8474" s="28">
        <v>0.35791107537561301</v>
      </c>
      <c r="K8474" s="29">
        <v>0.98289565623980701</v>
      </c>
    </row>
    <row r="8475" spans="1:11" x14ac:dyDescent="0.35">
      <c r="A8475" s="9" t="str">
        <f>HYPERLINK("http://www.ensembl.org/id/WBGene00077448", "WBGene00077448")</f>
        <v>WBGene00077448</v>
      </c>
      <c r="B8475" s="9"/>
      <c r="C8475" s="9"/>
      <c r="D8475" t="str">
        <f>"D1086.20"</f>
        <v>D1086.20</v>
      </c>
      <c r="F8475" t="s">
        <v>80</v>
      </c>
      <c r="H8475" s="12">
        <v>1.6386321674322899</v>
      </c>
      <c r="I8475" s="20">
        <v>0.87661777352122205</v>
      </c>
      <c r="J8475" s="28">
        <v>0.38069428206676897</v>
      </c>
      <c r="K8475" s="29">
        <v>0.98289565623980701</v>
      </c>
    </row>
    <row r="8476" spans="1:11" x14ac:dyDescent="0.35">
      <c r="A8476" s="9" t="str">
        <f>HYPERLINK("http://www.ensembl.org/id/WBGene00304203", "WBGene00304203")</f>
        <v>WBGene00304203</v>
      </c>
      <c r="B8476" s="9"/>
      <c r="C8476" s="9"/>
      <c r="D8476" t="str">
        <f>"D1086.21"</f>
        <v>D1086.21</v>
      </c>
      <c r="F8476" t="s">
        <v>11</v>
      </c>
      <c r="H8476" s="12">
        <v>2.0142277897278702</v>
      </c>
      <c r="I8476" s="20">
        <v>0.76255692582913304</v>
      </c>
      <c r="J8476" s="28">
        <v>0.44572768146033898</v>
      </c>
      <c r="K8476" s="29">
        <v>0.98289565623980701</v>
      </c>
    </row>
    <row r="8477" spans="1:11" x14ac:dyDescent="0.35">
      <c r="A8477" s="9" t="str">
        <f>HYPERLINK("http://www.ensembl.org/id/WBGene00008390", "WBGene00008390")</f>
        <v>WBGene00008390</v>
      </c>
      <c r="B8477" s="9" t="str">
        <f>HYPERLINK("http://www.ncbi.nlm.nih.gov/gene/179907", "179907")</f>
        <v>179907</v>
      </c>
      <c r="C8477" s="9"/>
      <c r="D8477" t="str">
        <f>"D1086.3"</f>
        <v>D1086.3</v>
      </c>
      <c r="F8477" t="s">
        <v>11</v>
      </c>
      <c r="H8477" s="12">
        <v>1.2660257876171499</v>
      </c>
      <c r="I8477" s="20">
        <v>0.53662735794602801</v>
      </c>
      <c r="J8477" s="28">
        <v>0.59152504267898498</v>
      </c>
      <c r="K8477" s="29">
        <v>0.98289565623980701</v>
      </c>
    </row>
    <row r="8478" spans="1:11" x14ac:dyDescent="0.35">
      <c r="A8478" s="9" t="str">
        <f>HYPERLINK("http://www.ensembl.org/id/WBGene00008394", "WBGene00008394")</f>
        <v>WBGene00008394</v>
      </c>
      <c r="B8478" s="9" t="str">
        <f>HYPERLINK("http://www.ncbi.nlm.nih.gov/gene/183934", "183934")</f>
        <v>183934</v>
      </c>
      <c r="C8478" s="9"/>
      <c r="D8478" t="str">
        <f>"D1086.7"</f>
        <v>D1086.7</v>
      </c>
      <c r="F8478" t="s">
        <v>11</v>
      </c>
      <c r="G8478" t="s">
        <v>25</v>
      </c>
      <c r="H8478" s="12">
        <v>1.06771570744925</v>
      </c>
      <c r="I8478" s="20">
        <v>0.35357625629255801</v>
      </c>
      <c r="J8478" s="28">
        <v>0.72365647107210895</v>
      </c>
      <c r="K8478" s="29">
        <v>0.98289565623980701</v>
      </c>
    </row>
    <row r="8479" spans="1:11" x14ac:dyDescent="0.35">
      <c r="A8479" s="9" t="str">
        <f>HYPERLINK("http://www.ensembl.org/id/WBGene00008395", "WBGene00008395")</f>
        <v>WBGene00008395</v>
      </c>
      <c r="B8479" s="9" t="str">
        <f>HYPERLINK("http://www.ncbi.nlm.nih.gov/gene/179908", "179908")</f>
        <v>179908</v>
      </c>
      <c r="C8479" s="9"/>
      <c r="D8479" t="str">
        <f>"D1086.8"</f>
        <v>D1086.8</v>
      </c>
      <c r="F8479" t="s">
        <v>11</v>
      </c>
      <c r="H8479" s="12">
        <v>-1.2378275691879601</v>
      </c>
      <c r="I8479" s="20">
        <v>-0.73342450368908696</v>
      </c>
      <c r="J8479" s="28">
        <v>0.46329955855821497</v>
      </c>
      <c r="K8479" s="29">
        <v>0.98289565623980701</v>
      </c>
    </row>
    <row r="8480" spans="1:11" x14ac:dyDescent="0.35">
      <c r="A8480" s="9" t="str">
        <f>HYPERLINK("http://www.ensembl.org/id/WBGene00008396", "WBGene00008396")</f>
        <v>WBGene00008396</v>
      </c>
      <c r="B8480" s="9" t="str">
        <f>HYPERLINK("http://www.ncbi.nlm.nih.gov/gene/179910", "179910")</f>
        <v>179910</v>
      </c>
      <c r="C8480" s="9"/>
      <c r="D8480" t="str">
        <f>"D1086.9"</f>
        <v>D1086.9</v>
      </c>
      <c r="F8480" t="s">
        <v>11</v>
      </c>
      <c r="H8480" s="12">
        <v>-3.7261494131482999</v>
      </c>
      <c r="I8480" s="20">
        <v>-0.38454673129429601</v>
      </c>
      <c r="J8480" s="28">
        <v>0.70057326682554</v>
      </c>
      <c r="K8480" s="29">
        <v>0.98289565623980701</v>
      </c>
    </row>
    <row r="8481" spans="1:11" x14ac:dyDescent="0.35">
      <c r="A8481" s="9" t="str">
        <f>HYPERLINK("http://www.ensembl.org/id/WBGene00008398", "WBGene00008398")</f>
        <v>WBGene00008398</v>
      </c>
      <c r="B8481" s="9" t="str">
        <f>HYPERLINK("http://www.ncbi.nlm.nih.gov/gene/183935", "183935")</f>
        <v>183935</v>
      </c>
      <c r="C8481" s="9" t="str">
        <f>HYPERLINK("http://www.ncbi.nlm.nih.gov/gene/9141", "9141")</f>
        <v>9141</v>
      </c>
      <c r="D8481" t="str">
        <f>"D2005.3"</f>
        <v>D2005.3</v>
      </c>
      <c r="F8481" t="s">
        <v>11</v>
      </c>
      <c r="G8481" t="s">
        <v>8114</v>
      </c>
      <c r="H8481" s="12">
        <v>-1.1610753770531901</v>
      </c>
      <c r="I8481" s="20">
        <v>-0.72760189266612996</v>
      </c>
      <c r="J8481" s="28">
        <v>0.46685732168689298</v>
      </c>
      <c r="K8481" s="29">
        <v>0.98289565623980701</v>
      </c>
    </row>
    <row r="8482" spans="1:11" x14ac:dyDescent="0.35">
      <c r="A8482" s="9" t="str">
        <f>HYPERLINK("http://www.ensembl.org/id/WBGene00017041", "WBGene00017041")</f>
        <v>WBGene00017041</v>
      </c>
      <c r="B8482" s="9" t="str">
        <f>HYPERLINK("http://www.ncbi.nlm.nih.gov/gene/183937", "183937")</f>
        <v>183937</v>
      </c>
      <c r="C8482" s="9"/>
      <c r="D8482" t="str">
        <f>"D2007.1"</f>
        <v>D2007.1</v>
      </c>
      <c r="F8482" t="s">
        <v>11</v>
      </c>
      <c r="G8482" t="s">
        <v>264</v>
      </c>
      <c r="H8482" s="12">
        <v>-1.1168412007455399</v>
      </c>
      <c r="I8482" s="20">
        <v>-0.45477938315223398</v>
      </c>
      <c r="J8482" s="28">
        <v>0.64926796394085495</v>
      </c>
      <c r="K8482" s="29">
        <v>0.98289565623980701</v>
      </c>
    </row>
    <row r="8483" spans="1:11" x14ac:dyDescent="0.35">
      <c r="A8483" s="9" t="str">
        <f>HYPERLINK("http://www.ensembl.org/id/WBGene00195783", "WBGene00195783")</f>
        <v>WBGene00195783</v>
      </c>
      <c r="B8483" s="9"/>
      <c r="C8483" s="9"/>
      <c r="D8483" t="str">
        <f>"D2007.6"</f>
        <v>D2007.6</v>
      </c>
      <c r="F8483" t="s">
        <v>481</v>
      </c>
      <c r="H8483" s="12">
        <v>2.3893468495514898</v>
      </c>
      <c r="I8483" s="20">
        <v>0.25323547253672701</v>
      </c>
      <c r="J8483" s="28">
        <v>0.80008625651646104</v>
      </c>
      <c r="K8483" s="29">
        <v>0.98289565623980701</v>
      </c>
    </row>
    <row r="8484" spans="1:11" x14ac:dyDescent="0.35">
      <c r="A8484" s="9" t="str">
        <f>HYPERLINK("http://www.ensembl.org/id/WBGene00008404", "WBGene00008404")</f>
        <v>WBGene00008404</v>
      </c>
      <c r="B8484" s="9" t="str">
        <f>HYPERLINK("http://www.ncbi.nlm.nih.gov/gene/174477", "174477")</f>
        <v>174477</v>
      </c>
      <c r="C8484" s="9"/>
      <c r="D8484" t="str">
        <f>"D2013.6"</f>
        <v>D2013.6</v>
      </c>
      <c r="F8484" t="s">
        <v>11</v>
      </c>
      <c r="G8484" t="s">
        <v>5958</v>
      </c>
      <c r="H8484" s="12">
        <v>1.08015184593291</v>
      </c>
      <c r="I8484" s="20">
        <v>0.39320045116882801</v>
      </c>
      <c r="J8484" s="28">
        <v>0.69417143651339897</v>
      </c>
      <c r="K8484" s="29">
        <v>0.98289565623980701</v>
      </c>
    </row>
    <row r="8485" spans="1:11" x14ac:dyDescent="0.35">
      <c r="A8485" s="9" t="str">
        <f>HYPERLINK("http://www.ensembl.org/id/WBGene00017048", "WBGene00017048")</f>
        <v>WBGene00017048</v>
      </c>
      <c r="B8485" s="9" t="str">
        <f>HYPERLINK("http://www.ncbi.nlm.nih.gov/gene/183943", "183943")</f>
        <v>183943</v>
      </c>
      <c r="C8485" s="9"/>
      <c r="D8485" t="str">
        <f>"D2021.4"</f>
        <v>D2021.4</v>
      </c>
      <c r="F8485" t="s">
        <v>11</v>
      </c>
      <c r="G8485" t="s">
        <v>4467</v>
      </c>
      <c r="H8485" s="12">
        <v>-1.2904577150001499</v>
      </c>
      <c r="I8485" s="20">
        <v>-0.97681943517779202</v>
      </c>
      <c r="J8485" s="28">
        <v>0.32865855250184101</v>
      </c>
      <c r="K8485" s="29">
        <v>0.98289565623980701</v>
      </c>
    </row>
    <row r="8486" spans="1:11" x14ac:dyDescent="0.35">
      <c r="A8486" s="9" t="str">
        <f>HYPERLINK("http://www.ensembl.org/id/WBGene00196059", "WBGene00196059")</f>
        <v>WBGene00196059</v>
      </c>
      <c r="B8486" s="9"/>
      <c r="C8486" s="9"/>
      <c r="D8486" t="str">
        <f>"D2023.12"</f>
        <v>D2023.12</v>
      </c>
      <c r="F8486" t="s">
        <v>481</v>
      </c>
      <c r="H8486" s="12">
        <v>2.4578120077400301</v>
      </c>
      <c r="I8486" s="20">
        <v>0.26093350314551</v>
      </c>
      <c r="J8486" s="28">
        <v>0.79414378780213601</v>
      </c>
      <c r="K8486" s="29">
        <v>0.98289565623980701</v>
      </c>
    </row>
    <row r="8487" spans="1:11" x14ac:dyDescent="0.35">
      <c r="A8487" s="9" t="str">
        <f>HYPERLINK("http://www.ensembl.org/id/WBGene00197524", "WBGene00197524")</f>
        <v>WBGene00197524</v>
      </c>
      <c r="B8487" s="9"/>
      <c r="C8487" s="9"/>
      <c r="D8487" t="str">
        <f>"D2023.14"</f>
        <v>D2023.14</v>
      </c>
      <c r="F8487" t="s">
        <v>481</v>
      </c>
      <c r="H8487" s="12">
        <v>-2.4991590031922399</v>
      </c>
      <c r="I8487" s="20">
        <v>-0.26577412737581302</v>
      </c>
      <c r="J8487" s="28">
        <v>0.79041317015736101</v>
      </c>
      <c r="K8487" s="29">
        <v>0.98289565623980701</v>
      </c>
    </row>
    <row r="8488" spans="1:11" x14ac:dyDescent="0.35">
      <c r="A8488" s="9" t="str">
        <f>HYPERLINK("http://www.ensembl.org/id/WBGene00198661", "WBGene00198661")</f>
        <v>WBGene00198661</v>
      </c>
      <c r="B8488" s="9"/>
      <c r="C8488" s="9"/>
      <c r="D8488" t="str">
        <f>"D2023.15"</f>
        <v>D2023.15</v>
      </c>
      <c r="F8488" t="s">
        <v>481</v>
      </c>
      <c r="H8488" s="12">
        <v>-2.4295389261469</v>
      </c>
      <c r="I8488" s="20">
        <v>-0.25808529976640998</v>
      </c>
      <c r="J8488" s="28">
        <v>0.79634107645457397</v>
      </c>
      <c r="K8488" s="29">
        <v>0.98289565623980701</v>
      </c>
    </row>
    <row r="8489" spans="1:11" x14ac:dyDescent="0.35">
      <c r="A8489" s="9" t="str">
        <f>HYPERLINK("http://www.ensembl.org/id/WBGene00200685", "WBGene00200685")</f>
        <v>WBGene00200685</v>
      </c>
      <c r="B8489" s="9"/>
      <c r="C8489" s="9"/>
      <c r="D8489" t="str">
        <f>"D2023.17"</f>
        <v>D2023.17</v>
      </c>
      <c r="F8489" t="s">
        <v>481</v>
      </c>
      <c r="H8489" s="12">
        <v>2.3893468495514898</v>
      </c>
      <c r="I8489" s="20">
        <v>0.25323547253672701</v>
      </c>
      <c r="J8489" s="28">
        <v>0.80008625651646104</v>
      </c>
      <c r="K8489" s="29">
        <v>0.98289565623980701</v>
      </c>
    </row>
    <row r="8490" spans="1:11" x14ac:dyDescent="0.35">
      <c r="A8490" s="9" t="str">
        <f>HYPERLINK("http://www.ensembl.org/id/WBGene00008408", "WBGene00008408")</f>
        <v>WBGene00008408</v>
      </c>
      <c r="B8490" s="9" t="str">
        <f>HYPERLINK("http://www.ncbi.nlm.nih.gov/gene/183946", "183946")</f>
        <v>183946</v>
      </c>
      <c r="C8490" s="9" t="str">
        <f>HYPERLINK("http://www.ncbi.nlm.nih.gov/gene/112483", "112483")</f>
        <v>112483</v>
      </c>
      <c r="D8490" t="str">
        <f>"D2023.4"</f>
        <v>D2023.4</v>
      </c>
      <c r="F8490" t="s">
        <v>11</v>
      </c>
      <c r="G8490" t="s">
        <v>6422</v>
      </c>
      <c r="H8490" s="12">
        <v>-1.06868826481052</v>
      </c>
      <c r="I8490" s="20">
        <v>-0.27398034183677</v>
      </c>
      <c r="J8490" s="28">
        <v>0.78409972877564305</v>
      </c>
      <c r="K8490" s="29">
        <v>0.98289565623980701</v>
      </c>
    </row>
    <row r="8491" spans="1:11" x14ac:dyDescent="0.35">
      <c r="A8491" s="9" t="str">
        <f>HYPERLINK("http://www.ensembl.org/id/WBGene00050970", "WBGene00050970")</f>
        <v>WBGene00050970</v>
      </c>
      <c r="B8491" s="9"/>
      <c r="C8491" s="9"/>
      <c r="D8491" t="str">
        <f>"D2023.8"</f>
        <v>D2023.8</v>
      </c>
      <c r="F8491" t="s">
        <v>80</v>
      </c>
      <c r="H8491" s="12">
        <v>-2.4211369201967901</v>
      </c>
      <c r="I8491" s="20">
        <v>-1.02249370177086</v>
      </c>
      <c r="J8491" s="28">
        <v>0.306547292065949</v>
      </c>
      <c r="K8491" s="29">
        <v>0.98289565623980701</v>
      </c>
    </row>
    <row r="8492" spans="1:11" x14ac:dyDescent="0.35">
      <c r="A8492" s="9" t="str">
        <f>HYPERLINK("http://www.ensembl.org/id/WBGene00017050", "WBGene00017050")</f>
        <v>WBGene00017050</v>
      </c>
      <c r="B8492" s="9" t="str">
        <f>HYPERLINK("http://www.ncbi.nlm.nih.gov/gene/183947", "183947")</f>
        <v>183947</v>
      </c>
      <c r="C8492" s="9"/>
      <c r="D8492" t="str">
        <f>"D2024.1"</f>
        <v>D2024.1</v>
      </c>
      <c r="F8492" t="s">
        <v>11</v>
      </c>
      <c r="G8492" t="s">
        <v>961</v>
      </c>
      <c r="H8492" s="12">
        <v>11.336410087402101</v>
      </c>
      <c r="I8492" s="20">
        <v>1.1240592911516201</v>
      </c>
      <c r="J8492" s="28">
        <v>0.26098787369384602</v>
      </c>
      <c r="K8492" s="29">
        <v>0.98289565623980701</v>
      </c>
    </row>
    <row r="8493" spans="1:11" x14ac:dyDescent="0.35">
      <c r="A8493" s="9" t="str">
        <f>HYPERLINK("http://www.ensembl.org/id/WBGene00044505", "WBGene00044505")</f>
        <v>WBGene00044505</v>
      </c>
      <c r="B8493" s="9"/>
      <c r="C8493" s="9"/>
      <c r="D8493" t="str">
        <f>"D2024.10"</f>
        <v>D2024.10</v>
      </c>
      <c r="F8493" t="s">
        <v>80</v>
      </c>
      <c r="H8493" s="12">
        <v>2.2601570097622798</v>
      </c>
      <c r="I8493" s="20">
        <v>0.31681166613803102</v>
      </c>
      <c r="J8493" s="28">
        <v>0.75138651156509595</v>
      </c>
      <c r="K8493" s="29">
        <v>0.98289565623980701</v>
      </c>
    </row>
    <row r="8494" spans="1:11" x14ac:dyDescent="0.35">
      <c r="A8494" s="9" t="str">
        <f>HYPERLINK("http://www.ensembl.org/id/WBGene00198262", "WBGene00198262")</f>
        <v>WBGene00198262</v>
      </c>
      <c r="B8494" s="9"/>
      <c r="C8494" s="9"/>
      <c r="D8494" t="str">
        <f>"D2024.15"</f>
        <v>D2024.15</v>
      </c>
      <c r="F8494" t="s">
        <v>481</v>
      </c>
      <c r="H8494" s="12">
        <v>3.5227018545059199</v>
      </c>
      <c r="I8494" s="20">
        <v>0.36849691206929103</v>
      </c>
      <c r="J8494" s="28">
        <v>0.71250274722433404</v>
      </c>
      <c r="K8494" s="29">
        <v>0.98289565623980701</v>
      </c>
    </row>
    <row r="8495" spans="1:11" x14ac:dyDescent="0.35">
      <c r="A8495" s="9" t="str">
        <f>HYPERLINK("http://www.ensembl.org/id/WBGene00199989", "WBGene00199989")</f>
        <v>WBGene00199989</v>
      </c>
      <c r="B8495" s="9"/>
      <c r="C8495" s="9"/>
      <c r="D8495" t="str">
        <f>"D2024.16"</f>
        <v>D2024.16</v>
      </c>
      <c r="F8495" t="s">
        <v>481</v>
      </c>
      <c r="H8495" s="12">
        <v>3.5227018545059199</v>
      </c>
      <c r="I8495" s="20">
        <v>0.36849691206929103</v>
      </c>
      <c r="J8495" s="28">
        <v>0.71250274722433404</v>
      </c>
      <c r="K8495" s="29">
        <v>0.98289565623980701</v>
      </c>
    </row>
    <row r="8496" spans="1:11" x14ac:dyDescent="0.35">
      <c r="A8496" s="9" t="str">
        <f>HYPERLINK("http://www.ensembl.org/id/WBGene00017052", "WBGene00017052")</f>
        <v>WBGene00017052</v>
      </c>
      <c r="B8496" s="9" t="str">
        <f>HYPERLINK("http://www.ncbi.nlm.nih.gov/gene/183949", "183949")</f>
        <v>183949</v>
      </c>
      <c r="C8496" s="9"/>
      <c r="D8496" t="str">
        <f>"D2024.4"</f>
        <v>D2024.4</v>
      </c>
      <c r="F8496" t="s">
        <v>11</v>
      </c>
      <c r="H8496" s="12">
        <v>-1.88170436498418</v>
      </c>
      <c r="I8496" s="20">
        <v>-0.44327783939995802</v>
      </c>
      <c r="J8496" s="28">
        <v>0.65756478275249397</v>
      </c>
      <c r="K8496" s="29">
        <v>0.98289565623980701</v>
      </c>
    </row>
    <row r="8497" spans="1:11" x14ac:dyDescent="0.35">
      <c r="A8497" s="9" t="str">
        <f>HYPERLINK("http://www.ensembl.org/id/WBGene00017053", "WBGene00017053")</f>
        <v>WBGene00017053</v>
      </c>
      <c r="B8497" s="9" t="str">
        <f>HYPERLINK("http://www.ncbi.nlm.nih.gov/gene/177496", "177496")</f>
        <v>177496</v>
      </c>
      <c r="C8497" s="9"/>
      <c r="D8497" t="str">
        <f>"D2024.5"</f>
        <v>D2024.5</v>
      </c>
      <c r="F8497" t="s">
        <v>11</v>
      </c>
      <c r="G8497" t="s">
        <v>8178</v>
      </c>
      <c r="H8497" s="12">
        <v>-1.16404048291745</v>
      </c>
      <c r="I8497" s="20">
        <v>-0.75798773601212499</v>
      </c>
      <c r="J8497" s="28">
        <v>0.44845832463878599</v>
      </c>
      <c r="K8497" s="29">
        <v>0.98289565623980701</v>
      </c>
    </row>
    <row r="8498" spans="1:11" x14ac:dyDescent="0.35">
      <c r="A8498" s="9" t="str">
        <f>HYPERLINK("http://www.ensembl.org/id/WBGene00008420", "WBGene00008420")</f>
        <v>WBGene00008420</v>
      </c>
      <c r="B8498" s="9" t="str">
        <f>HYPERLINK("http://www.ncbi.nlm.nih.gov/gene/266841", "266841")</f>
        <v>266841</v>
      </c>
      <c r="C8498" s="9"/>
      <c r="D8498" t="str">
        <f>"D2030.11"</f>
        <v>D2030.11</v>
      </c>
      <c r="F8498" t="s">
        <v>11</v>
      </c>
      <c r="H8498" s="12">
        <v>-1.2117310893206099</v>
      </c>
      <c r="I8498" s="20">
        <v>-0.84333512988099202</v>
      </c>
      <c r="J8498" s="28">
        <v>0.39904104085838299</v>
      </c>
      <c r="K8498" s="29">
        <v>0.98289565623980701</v>
      </c>
    </row>
    <row r="8499" spans="1:11" x14ac:dyDescent="0.35">
      <c r="A8499" s="9" t="str">
        <f>HYPERLINK("http://www.ensembl.org/id/WBGene00008412", "WBGene00008412")</f>
        <v>WBGene00008412</v>
      </c>
      <c r="B8499" s="9" t="str">
        <f>HYPERLINK("http://www.ncbi.nlm.nih.gov/gene/172511", "172511")</f>
        <v>172511</v>
      </c>
      <c r="C8499" s="9" t="str">
        <f>HYPERLINK("http://www.ncbi.nlm.nih.gov/gene/10845", "10845")</f>
        <v>10845</v>
      </c>
      <c r="D8499" t="str">
        <f>"D2030.2"</f>
        <v>D2030.2</v>
      </c>
      <c r="F8499" t="s">
        <v>11</v>
      </c>
      <c r="G8499" t="s">
        <v>4453</v>
      </c>
      <c r="H8499" s="12">
        <v>-1.2117406883559001</v>
      </c>
      <c r="I8499" s="20">
        <v>-1.0625946317255099</v>
      </c>
      <c r="J8499" s="28">
        <v>0.28796582254501901</v>
      </c>
      <c r="K8499" s="29">
        <v>0.98289565623980701</v>
      </c>
    </row>
    <row r="8500" spans="1:11" x14ac:dyDescent="0.35">
      <c r="A8500" s="9" t="str">
        <f>HYPERLINK("http://www.ensembl.org/id/WBGene00008418", "WBGene00008418")</f>
        <v>WBGene00008418</v>
      </c>
      <c r="B8500" s="9" t="str">
        <f>HYPERLINK("http://www.ncbi.nlm.nih.gov/gene/172517", "172517")</f>
        <v>172517</v>
      </c>
      <c r="C8500" s="9"/>
      <c r="D8500" t="str">
        <f>"D2030.8"</f>
        <v>D2030.8</v>
      </c>
      <c r="F8500" t="s">
        <v>11</v>
      </c>
      <c r="H8500" s="12">
        <v>-1.23268075953971</v>
      </c>
      <c r="I8500" s="20">
        <v>-0.89843560507888698</v>
      </c>
      <c r="J8500" s="28">
        <v>0.36895336153471198</v>
      </c>
      <c r="K8500" s="29">
        <v>0.98289565623980701</v>
      </c>
    </row>
    <row r="8501" spans="1:11" x14ac:dyDescent="0.35">
      <c r="A8501" s="9" t="str">
        <f>HYPERLINK("http://www.ensembl.org/id/WBGene00008422", "WBGene00008422")</f>
        <v>WBGene00008422</v>
      </c>
      <c r="B8501" s="9" t="str">
        <f>HYPERLINK("http://www.ncbi.nlm.nih.gov/gene/176464", "176464")</f>
        <v>176464</v>
      </c>
      <c r="C8501" s="9"/>
      <c r="D8501" t="str">
        <f>"D2045.2"</f>
        <v>D2045.2</v>
      </c>
      <c r="F8501" t="s">
        <v>11</v>
      </c>
      <c r="G8501" t="s">
        <v>7741</v>
      </c>
      <c r="H8501" s="12">
        <v>-1.1421333707824299</v>
      </c>
      <c r="I8501" s="20">
        <v>-0.70748792407679695</v>
      </c>
      <c r="J8501" s="28">
        <v>0.47926331453495902</v>
      </c>
      <c r="K8501" s="29">
        <v>0.98289565623980701</v>
      </c>
    </row>
    <row r="8502" spans="1:11" x14ac:dyDescent="0.35">
      <c r="A8502" s="9" t="str">
        <f>HYPERLINK("http://www.ensembl.org/id/WBGene00008425", "WBGene00008425")</f>
        <v>WBGene00008425</v>
      </c>
      <c r="B8502" s="9" t="str">
        <f>HYPERLINK("http://www.ncbi.nlm.nih.gov/gene/176468", "176468")</f>
        <v>176468</v>
      </c>
      <c r="C8502" s="9" t="str">
        <f>HYPERLINK("http://www.ncbi.nlm.nih.gov/gene/83892", "83892")</f>
        <v>83892</v>
      </c>
      <c r="D8502" t="str">
        <f>"D2045.8"</f>
        <v>D2045.8</v>
      </c>
      <c r="F8502" t="s">
        <v>11</v>
      </c>
      <c r="G8502" t="s">
        <v>1343</v>
      </c>
      <c r="H8502" s="12">
        <v>-1.3493545522967401</v>
      </c>
      <c r="I8502" s="20">
        <v>-1.1768896803508899</v>
      </c>
      <c r="J8502" s="28">
        <v>0.239239541532421</v>
      </c>
      <c r="K8502" s="29">
        <v>0.98289565623980701</v>
      </c>
    </row>
    <row r="8503" spans="1:11" x14ac:dyDescent="0.35">
      <c r="A8503" s="9" t="str">
        <f>HYPERLINK("http://www.ensembl.org/id/WBGene00017055", "WBGene00017055")</f>
        <v>WBGene00017055</v>
      </c>
      <c r="B8503" s="9" t="str">
        <f>HYPERLINK("http://www.ncbi.nlm.nih.gov/gene/24104374", "24104374")</f>
        <v>24104374</v>
      </c>
      <c r="C8503" s="9"/>
      <c r="D8503" t="str">
        <f>"D2062.1"</f>
        <v>D2062.1</v>
      </c>
      <c r="F8503" t="s">
        <v>11</v>
      </c>
      <c r="G8503" t="s">
        <v>1508</v>
      </c>
      <c r="H8503" s="12">
        <v>2.6088760997689802</v>
      </c>
      <c r="I8503" s="20">
        <v>0.52892037962870597</v>
      </c>
      <c r="J8503" s="28">
        <v>0.596860683909755</v>
      </c>
      <c r="K8503" s="29">
        <v>0.98289565623980701</v>
      </c>
    </row>
    <row r="8504" spans="1:11" x14ac:dyDescent="0.35">
      <c r="A8504" s="9" t="str">
        <f>HYPERLINK("http://www.ensembl.org/id/WBGene00194711", "WBGene00194711")</f>
        <v>WBGene00194711</v>
      </c>
      <c r="B8504" s="9" t="str">
        <f>HYPERLINK("http://www.ncbi.nlm.nih.gov/gene/13184004", "13184004")</f>
        <v>13184004</v>
      </c>
      <c r="C8504" s="9"/>
      <c r="D8504" t="str">
        <f>"D2062.13"</f>
        <v>D2062.13</v>
      </c>
      <c r="F8504" t="s">
        <v>11</v>
      </c>
      <c r="H8504" s="12">
        <v>-2.4295389261469</v>
      </c>
      <c r="I8504" s="20">
        <v>-0.25808529976640998</v>
      </c>
      <c r="J8504" s="28">
        <v>0.79634107645457397</v>
      </c>
      <c r="K8504" s="29">
        <v>0.98289565623980701</v>
      </c>
    </row>
    <row r="8505" spans="1:11" x14ac:dyDescent="0.35">
      <c r="A8505" s="9" t="str">
        <f>HYPERLINK("http://www.ensembl.org/id/WBGene00017057", "WBGene00017057")</f>
        <v>WBGene00017057</v>
      </c>
      <c r="B8505" s="9" t="str">
        <f>HYPERLINK("http://www.ncbi.nlm.nih.gov/gene/183955", "183955")</f>
        <v>183955</v>
      </c>
      <c r="C8505" s="9"/>
      <c r="D8505" t="str">
        <f>"D2062.5"</f>
        <v>D2062.5</v>
      </c>
      <c r="F8505" t="s">
        <v>11</v>
      </c>
      <c r="G8505" t="s">
        <v>25</v>
      </c>
      <c r="H8505" s="12">
        <v>3.5227018545059199</v>
      </c>
      <c r="I8505" s="20">
        <v>0.36849691206929103</v>
      </c>
      <c r="J8505" s="28">
        <v>0.71250274722433404</v>
      </c>
      <c r="K8505" s="29">
        <v>0.98289565623980701</v>
      </c>
    </row>
    <row r="8506" spans="1:11" x14ac:dyDescent="0.35">
      <c r="A8506" s="9" t="str">
        <f>HYPERLINK("http://www.ensembl.org/id/WBGene00017060", "WBGene00017060")</f>
        <v>WBGene00017060</v>
      </c>
      <c r="B8506" s="9" t="str">
        <f>HYPERLINK("http://www.ncbi.nlm.nih.gov/gene/183957", "183957")</f>
        <v>183957</v>
      </c>
      <c r="C8506" s="9"/>
      <c r="D8506" t="str">
        <f>"D2063.1"</f>
        <v>D2063.1</v>
      </c>
      <c r="F8506" t="s">
        <v>11</v>
      </c>
      <c r="G8506" t="s">
        <v>6735</v>
      </c>
      <c r="H8506" s="12">
        <v>-1.08637338404814</v>
      </c>
      <c r="I8506" s="20">
        <v>-0.34052119585606799</v>
      </c>
      <c r="J8506" s="28">
        <v>0.73346406350357496</v>
      </c>
      <c r="K8506" s="29">
        <v>0.98289565623980701</v>
      </c>
    </row>
    <row r="8507" spans="1:11" x14ac:dyDescent="0.35">
      <c r="A8507" s="9" t="str">
        <f>HYPERLINK("http://www.ensembl.org/id/WBGene00008432", "WBGene00008432")</f>
        <v>WBGene00008432</v>
      </c>
      <c r="B8507" s="9" t="str">
        <f>HYPERLINK("http://www.ncbi.nlm.nih.gov/gene/183960", "183960")</f>
        <v>183960</v>
      </c>
      <c r="C8507" s="9"/>
      <c r="D8507" t="str">
        <f>"D2085.7"</f>
        <v>D2085.7</v>
      </c>
      <c r="F8507" t="s">
        <v>11</v>
      </c>
      <c r="H8507" s="12">
        <v>1.18603620437403</v>
      </c>
      <c r="I8507" s="20">
        <v>0.72349858605653605</v>
      </c>
      <c r="J8507" s="28">
        <v>0.46937362246796099</v>
      </c>
      <c r="K8507" s="29">
        <v>0.98289565623980701</v>
      </c>
    </row>
    <row r="8508" spans="1:11" x14ac:dyDescent="0.35">
      <c r="A8508" s="9" t="str">
        <f>HYPERLINK("http://www.ensembl.org/id/WBGene00271706", "WBGene00271706")</f>
        <v>WBGene00271706</v>
      </c>
      <c r="B8508" s="9" t="str">
        <f>HYPERLINK("http://www.ncbi.nlm.nih.gov/gene/32928585", "32928585")</f>
        <v>32928585</v>
      </c>
      <c r="C8508" s="9"/>
      <c r="D8508" t="str">
        <f>"D2089.8"</f>
        <v>D2089.8</v>
      </c>
      <c r="F8508" t="s">
        <v>11</v>
      </c>
      <c r="H8508" s="12">
        <v>-1.34993617060625</v>
      </c>
      <c r="I8508" s="20">
        <v>-0.735382645425114</v>
      </c>
      <c r="J8508" s="28">
        <v>0.46210648810335703</v>
      </c>
      <c r="K8508" s="29">
        <v>0.98289565623980701</v>
      </c>
    </row>
    <row r="8509" spans="1:11" x14ac:dyDescent="0.35">
      <c r="A8509" s="9" t="str">
        <f>HYPERLINK("http://www.ensembl.org/id/WBGene00044610", "WBGene00044610")</f>
        <v>WBGene00044610</v>
      </c>
      <c r="B8509" s="9" t="str">
        <f>HYPERLINK("http://www.ncbi.nlm.nih.gov/gene/3896720", "3896720")</f>
        <v>3896720</v>
      </c>
      <c r="C8509" s="9"/>
      <c r="D8509" t="str">
        <f>"D2092.10"</f>
        <v>D2092.10</v>
      </c>
      <c r="F8509" t="s">
        <v>11</v>
      </c>
      <c r="H8509" s="12">
        <v>16.217611553187702</v>
      </c>
      <c r="I8509" s="20">
        <v>0.94333696891586505</v>
      </c>
      <c r="J8509" s="28">
        <v>0.34550857211368002</v>
      </c>
      <c r="K8509" s="29">
        <v>0.98289565623980701</v>
      </c>
    </row>
    <row r="8510" spans="1:11" x14ac:dyDescent="0.35">
      <c r="A8510" s="9" t="str">
        <f>HYPERLINK("http://www.ensembl.org/id/WBGene00017065", "WBGene00017065")</f>
        <v>WBGene00017065</v>
      </c>
      <c r="B8510" s="9" t="str">
        <f>HYPERLINK("http://www.ncbi.nlm.nih.gov/gene/172378", "172378")</f>
        <v>172378</v>
      </c>
      <c r="C8510" s="9"/>
      <c r="D8510" t="str">
        <f>"D2092.4"</f>
        <v>D2092.4</v>
      </c>
      <c r="F8510" t="s">
        <v>11</v>
      </c>
      <c r="G8510" t="s">
        <v>6860</v>
      </c>
      <c r="H8510" s="12">
        <v>-1.0928402937382999</v>
      </c>
      <c r="I8510" s="20">
        <v>-0.439618349741077</v>
      </c>
      <c r="J8510" s="28">
        <v>0.66021354826792999</v>
      </c>
      <c r="K8510" s="29">
        <v>0.98289565623980701</v>
      </c>
    </row>
    <row r="8511" spans="1:11" x14ac:dyDescent="0.35">
      <c r="A8511" s="9" t="str">
        <f>HYPERLINK("http://www.ensembl.org/id/WBGene00044953", "WBGene00044953")</f>
        <v>WBGene00044953</v>
      </c>
      <c r="B8511" s="9" t="str">
        <f>HYPERLINK("http://www.ncbi.nlm.nih.gov/gene/4926939", "4926939")</f>
        <v>4926939</v>
      </c>
      <c r="C8511" s="9"/>
      <c r="D8511" t="str">
        <f>"D2096.13"</f>
        <v>D2096.13</v>
      </c>
      <c r="F8511" t="s">
        <v>11</v>
      </c>
      <c r="H8511" s="12">
        <v>1.3633911098996401</v>
      </c>
      <c r="I8511" s="20">
        <v>1.0535883736184899</v>
      </c>
      <c r="J8511" s="28">
        <v>0.29207141442777601</v>
      </c>
      <c r="K8511" s="29">
        <v>0.98289565623980701</v>
      </c>
    </row>
    <row r="8512" spans="1:11" x14ac:dyDescent="0.35">
      <c r="A8512" s="9" t="str">
        <f>HYPERLINK("http://www.ensembl.org/id/WBGene00044954", "WBGene00044954")</f>
        <v>WBGene00044954</v>
      </c>
      <c r="B8512" s="9"/>
      <c r="C8512" s="9"/>
      <c r="D8512" t="str">
        <f>"D2096.14"</f>
        <v>D2096.14</v>
      </c>
      <c r="F8512" t="s">
        <v>2977</v>
      </c>
      <c r="H8512" s="12">
        <v>4.4368407117627902</v>
      </c>
      <c r="I8512" s="20">
        <v>0.43709475933309699</v>
      </c>
      <c r="J8512" s="28">
        <v>0.66204262779770495</v>
      </c>
      <c r="K8512" s="29">
        <v>0.98289565623980701</v>
      </c>
    </row>
    <row r="8513" spans="1:11" x14ac:dyDescent="0.35">
      <c r="A8513" s="9" t="str">
        <f>HYPERLINK("http://www.ensembl.org/id/WBGene00017072", "WBGene00017072")</f>
        <v>WBGene00017072</v>
      </c>
      <c r="B8513" s="9" t="str">
        <f>HYPERLINK("http://www.ncbi.nlm.nih.gov/gene/183966", "183966")</f>
        <v>183966</v>
      </c>
      <c r="C8513" s="9"/>
      <c r="D8513" t="str">
        <f>"D2096.5"</f>
        <v>D2096.5</v>
      </c>
      <c r="F8513" t="s">
        <v>11</v>
      </c>
      <c r="H8513" s="12">
        <v>1.23049369914989</v>
      </c>
      <c r="I8513" s="20">
        <v>0.26885760932028102</v>
      </c>
      <c r="J8513" s="28">
        <v>0.78803925904661098</v>
      </c>
      <c r="K8513" s="29">
        <v>0.98289565623980701</v>
      </c>
    </row>
    <row r="8514" spans="1:11" x14ac:dyDescent="0.35">
      <c r="A8514" s="9" t="str">
        <f>HYPERLINK("http://www.ensembl.org/id/WBGene00017076", "WBGene00017076")</f>
        <v>WBGene00017076</v>
      </c>
      <c r="B8514" s="9" t="str">
        <f>HYPERLINK("http://www.ncbi.nlm.nih.gov/gene/183967", "183967")</f>
        <v>183967</v>
      </c>
      <c r="C8514" s="9"/>
      <c r="D8514" t="str">
        <f>"D2096.9"</f>
        <v>D2096.9</v>
      </c>
      <c r="F8514" t="s">
        <v>11</v>
      </c>
      <c r="H8514" s="12">
        <v>1.49230927595927</v>
      </c>
      <c r="I8514" s="20">
        <v>1.0968126463579999</v>
      </c>
      <c r="J8514" s="28">
        <v>0.27272330077242801</v>
      </c>
      <c r="K8514" s="29">
        <v>0.98289565623980701</v>
      </c>
    </row>
    <row r="8515" spans="1:11" x14ac:dyDescent="0.35">
      <c r="A8515" s="9" t="str">
        <f>HYPERLINK("http://www.ensembl.org/id/WBGene00000897", "WBGene00000897")</f>
        <v>WBGene00000897</v>
      </c>
      <c r="B8515" s="9" t="str">
        <f>HYPERLINK("http://www.ncbi.nlm.nih.gov/gene/176829", "176829")</f>
        <v>176829</v>
      </c>
      <c r="C8515" s="9"/>
      <c r="D8515" t="str">
        <f>"daf-1"</f>
        <v>daf-1</v>
      </c>
      <c r="E8515" t="s">
        <v>6605</v>
      </c>
      <c r="F8515" t="s">
        <v>11</v>
      </c>
      <c r="G8515" t="s">
        <v>6606</v>
      </c>
      <c r="H8515" s="12">
        <v>-1.07932769926479</v>
      </c>
      <c r="I8515" s="20">
        <v>-0.391745814121294</v>
      </c>
      <c r="J8515" s="28">
        <v>0.69524603534334495</v>
      </c>
      <c r="K8515" s="29">
        <v>0.98289565623980701</v>
      </c>
    </row>
    <row r="8516" spans="1:11" x14ac:dyDescent="0.35">
      <c r="A8516" s="9" t="str">
        <f>HYPERLINK("http://www.ensembl.org/id/WBGene00000907", "WBGene00000907")</f>
        <v>WBGene00000907</v>
      </c>
      <c r="B8516" s="9" t="str">
        <f>HYPERLINK("http://www.ncbi.nlm.nih.gov/gene/179605", "179605")</f>
        <v>179605</v>
      </c>
      <c r="C8516" s="9"/>
      <c r="D8516" t="str">
        <f>"daf-11"</f>
        <v>daf-11</v>
      </c>
      <c r="E8516" t="s">
        <v>4558</v>
      </c>
      <c r="F8516" t="s">
        <v>11</v>
      </c>
      <c r="G8516" t="s">
        <v>4559</v>
      </c>
      <c r="H8516" s="12">
        <v>1.7032301084644601</v>
      </c>
      <c r="I8516" s="20">
        <v>0.89795646974732202</v>
      </c>
      <c r="J8516" s="28">
        <v>0.36920875712347301</v>
      </c>
      <c r="K8516" s="29">
        <v>0.98289565623980701</v>
      </c>
    </row>
    <row r="8517" spans="1:11" x14ac:dyDescent="0.35">
      <c r="A8517" s="9" t="str">
        <f>HYPERLINK("http://www.ensembl.org/id/WBGene00000908", "WBGene00000908")</f>
        <v>WBGene00000908</v>
      </c>
      <c r="B8517" s="9" t="str">
        <f>HYPERLINK("http://www.ncbi.nlm.nih.gov/gene/181263", "181263")</f>
        <v>181263</v>
      </c>
      <c r="C8517" s="9"/>
      <c r="D8517" t="str">
        <f>"daf-12"</f>
        <v>daf-12</v>
      </c>
      <c r="E8517" t="s">
        <v>6512</v>
      </c>
      <c r="F8517" t="s">
        <v>11</v>
      </c>
      <c r="G8517" t="s">
        <v>852</v>
      </c>
      <c r="H8517" s="12">
        <v>-1.07275993342918</v>
      </c>
      <c r="I8517" s="20">
        <v>-0.37897292738334498</v>
      </c>
      <c r="J8517" s="28">
        <v>0.70470796778746903</v>
      </c>
      <c r="K8517" s="29">
        <v>0.98289565623980701</v>
      </c>
    </row>
    <row r="8518" spans="1:11" x14ac:dyDescent="0.35">
      <c r="A8518" s="9" t="str">
        <f>HYPERLINK("http://www.ensembl.org/id/WBGene00000910", "WBGene00000910")</f>
        <v>WBGene00000910</v>
      </c>
      <c r="B8518" s="9" t="str">
        <f>HYPERLINK("http://www.ncbi.nlm.nih.gov/gene/177908", "177908")</f>
        <v>177908</v>
      </c>
      <c r="C8518" s="9"/>
      <c r="D8518" t="str">
        <f>"daf-14"</f>
        <v>daf-14</v>
      </c>
      <c r="E8518" t="s">
        <v>5963</v>
      </c>
      <c r="F8518" t="s">
        <v>11</v>
      </c>
      <c r="G8518" t="s">
        <v>5964</v>
      </c>
      <c r="H8518" s="12">
        <v>1.0790402085322699</v>
      </c>
      <c r="I8518" s="20">
        <v>0.39694548542512798</v>
      </c>
      <c r="J8518" s="28">
        <v>0.69140766125263897</v>
      </c>
      <c r="K8518" s="29">
        <v>0.98289565623980701</v>
      </c>
    </row>
    <row r="8519" spans="1:11" x14ac:dyDescent="0.35">
      <c r="A8519" s="9" t="str">
        <f>HYPERLINK("http://www.ensembl.org/id/WBGene00000911", "WBGene00000911")</f>
        <v>WBGene00000911</v>
      </c>
      <c r="B8519" s="9" t="str">
        <f>HYPERLINK("http://www.ncbi.nlm.nih.gov/gene/177770", "177770")</f>
        <v>177770</v>
      </c>
      <c r="C8519" s="9"/>
      <c r="D8519" t="str">
        <f>"daf-15"</f>
        <v>daf-15</v>
      </c>
      <c r="E8519" t="s">
        <v>6234</v>
      </c>
      <c r="F8519" t="s">
        <v>11</v>
      </c>
      <c r="G8519" t="s">
        <v>6235</v>
      </c>
      <c r="H8519" s="12">
        <v>-1.05490358226654</v>
      </c>
      <c r="I8519" s="20">
        <v>-0.29242786006196098</v>
      </c>
      <c r="J8519" s="28">
        <v>0.76995950944693003</v>
      </c>
      <c r="K8519" s="29">
        <v>0.98289565623980701</v>
      </c>
    </row>
    <row r="8520" spans="1:11" x14ac:dyDescent="0.35">
      <c r="A8520" s="9" t="str">
        <f>HYPERLINK("http://www.ensembl.org/id/WBGene00000898", "WBGene00000898")</f>
        <v>WBGene00000898</v>
      </c>
      <c r="B8520" s="9" t="str">
        <f>HYPERLINK("http://www.ncbi.nlm.nih.gov/gene/175410", "175410")</f>
        <v>175410</v>
      </c>
      <c r="C8520" s="9" t="str">
        <f>HYPERLINK("http://www.ncbi.nlm.nih.gov/gene/3480", "3480")</f>
        <v>3480</v>
      </c>
      <c r="D8520" t="str">
        <f>"daf-2"</f>
        <v>daf-2</v>
      </c>
      <c r="E8520" t="s">
        <v>9367</v>
      </c>
      <c r="F8520" t="s">
        <v>11</v>
      </c>
      <c r="G8520" t="s">
        <v>9368</v>
      </c>
      <c r="H8520" s="12">
        <v>-1.24132878748092</v>
      </c>
      <c r="I8520" s="20">
        <v>-1.19220183356603</v>
      </c>
      <c r="J8520" s="28">
        <v>0.23318211465986999</v>
      </c>
      <c r="K8520" s="29">
        <v>0.98289565623980701</v>
      </c>
    </row>
    <row r="8521" spans="1:11" x14ac:dyDescent="0.35">
      <c r="A8521" s="9" t="str">
        <f>HYPERLINK("http://www.ensembl.org/id/WBGene00000899", "WBGene00000899")</f>
        <v>WBGene00000899</v>
      </c>
      <c r="B8521" s="9" t="str">
        <f>HYPERLINK("http://www.ncbi.nlm.nih.gov/gene/180431", "180431")</f>
        <v>180431</v>
      </c>
      <c r="C8521" s="9"/>
      <c r="D8521" t="str">
        <f>"daf-3"</f>
        <v>daf-3</v>
      </c>
      <c r="E8521" t="s">
        <v>5531</v>
      </c>
      <c r="F8521" t="s">
        <v>11</v>
      </c>
      <c r="G8521" t="s">
        <v>5855</v>
      </c>
      <c r="H8521" s="12">
        <v>1.0931809459224899</v>
      </c>
      <c r="I8521" s="20">
        <v>0.47111320611809399</v>
      </c>
      <c r="J8521" s="28">
        <v>0.63755989491915299</v>
      </c>
      <c r="K8521" s="29">
        <v>0.98289565623980701</v>
      </c>
    </row>
    <row r="8522" spans="1:11" x14ac:dyDescent="0.35">
      <c r="A8522" s="9" t="str">
        <f>HYPERLINK("http://www.ensembl.org/id/WBGene00007536", "WBGene00007536")</f>
        <v>WBGene00007536</v>
      </c>
      <c r="B8522" s="9" t="str">
        <f>HYPERLINK("http://www.ncbi.nlm.nih.gov/gene/179422", "179422")</f>
        <v>179422</v>
      </c>
      <c r="C8522" s="9"/>
      <c r="D8522" t="str">
        <f>"daf-36"</f>
        <v>daf-36</v>
      </c>
      <c r="E8522" t="s">
        <v>9968</v>
      </c>
      <c r="F8522" t="s">
        <v>11</v>
      </c>
      <c r="G8522" t="s">
        <v>9969</v>
      </c>
      <c r="H8522" s="12">
        <v>-1.5177928861057901</v>
      </c>
      <c r="I8522" s="20">
        <v>-0.90283873547888605</v>
      </c>
      <c r="J8522" s="28">
        <v>0.36661148960141199</v>
      </c>
      <c r="K8522" s="29">
        <v>0.98289565623980701</v>
      </c>
    </row>
    <row r="8523" spans="1:11" x14ac:dyDescent="0.35">
      <c r="A8523" s="9" t="str">
        <f>HYPERLINK("http://www.ensembl.org/id/WBGene00000900", "WBGene00000900")</f>
        <v>WBGene00000900</v>
      </c>
      <c r="B8523" s="9" t="str">
        <f>HYPERLINK("http://www.ncbi.nlm.nih.gov/gene/175781", "175781")</f>
        <v>175781</v>
      </c>
      <c r="C8523" s="9"/>
      <c r="D8523" t="str">
        <f>"daf-4"</f>
        <v>daf-4</v>
      </c>
      <c r="E8523" t="s">
        <v>8528</v>
      </c>
      <c r="F8523" t="s">
        <v>11</v>
      </c>
      <c r="G8523" t="s">
        <v>8529</v>
      </c>
      <c r="H8523" s="12">
        <v>-1.1818856271393801</v>
      </c>
      <c r="I8523" s="20">
        <v>-0.89128549010287805</v>
      </c>
      <c r="J8523" s="28">
        <v>0.372776030880831</v>
      </c>
      <c r="K8523" s="29">
        <v>0.98289565623980701</v>
      </c>
    </row>
    <row r="8524" spans="1:11" x14ac:dyDescent="0.35">
      <c r="A8524" s="9" t="str">
        <f>HYPERLINK("http://www.ensembl.org/id/WBGene00000901", "WBGene00000901")</f>
        <v>WBGene00000901</v>
      </c>
      <c r="B8524" s="9" t="str">
        <f>HYPERLINK("http://www.ncbi.nlm.nih.gov/gene/175054", "175054")</f>
        <v>175054</v>
      </c>
      <c r="C8524" s="9"/>
      <c r="D8524" t="str">
        <f>"daf-5"</f>
        <v>daf-5</v>
      </c>
      <c r="E8524" t="s">
        <v>6368</v>
      </c>
      <c r="F8524" t="s">
        <v>11</v>
      </c>
      <c r="G8524" t="s">
        <v>6369</v>
      </c>
      <c r="H8524" s="12">
        <v>-1.0652866245457899</v>
      </c>
      <c r="I8524" s="20">
        <v>-0.34748840197268799</v>
      </c>
      <c r="J8524" s="28">
        <v>0.72822443021074301</v>
      </c>
      <c r="K8524" s="29">
        <v>0.98289565623980701</v>
      </c>
    </row>
    <row r="8525" spans="1:11" x14ac:dyDescent="0.35">
      <c r="A8525" s="9" t="str">
        <f>HYPERLINK("http://www.ensembl.org/id/WBGene00000902", "WBGene00000902")</f>
        <v>WBGene00000902</v>
      </c>
      <c r="B8525" s="9" t="str">
        <f>HYPERLINK("http://www.ncbi.nlm.nih.gov/gene/181584", "181584")</f>
        <v>181584</v>
      </c>
      <c r="C8525" s="9"/>
      <c r="D8525" t="str">
        <f>"daf-6"</f>
        <v>daf-6</v>
      </c>
      <c r="F8525" t="s">
        <v>11</v>
      </c>
      <c r="G8525" t="s">
        <v>8134</v>
      </c>
      <c r="H8525" s="12">
        <v>-1.1618797947741</v>
      </c>
      <c r="I8525" s="20">
        <v>-0.52355619419835897</v>
      </c>
      <c r="J8525" s="28">
        <v>0.600587256547503</v>
      </c>
      <c r="K8525" s="29">
        <v>0.98289565623980701</v>
      </c>
    </row>
    <row r="8526" spans="1:11" x14ac:dyDescent="0.35">
      <c r="A8526" s="9" t="str">
        <f>HYPERLINK("http://www.ensembl.org/id/WBGene00018364", "WBGene00018364")</f>
        <v>WBGene00018364</v>
      </c>
      <c r="B8526" s="9" t="str">
        <f>HYPERLINK("http://www.ncbi.nlm.nih.gov/gene/3565075", "3565075")</f>
        <v>3565075</v>
      </c>
      <c r="C8526" s="9" t="str">
        <f>HYPERLINK("http://www.ncbi.nlm.nih.gov/gene/221955", "221955")</f>
        <v>221955</v>
      </c>
      <c r="D8526" t="str">
        <f>"dagl-2"</f>
        <v>dagl-2</v>
      </c>
      <c r="E8526" t="s">
        <v>8938</v>
      </c>
      <c r="F8526" t="s">
        <v>11</v>
      </c>
      <c r="G8526" t="s">
        <v>8939</v>
      </c>
      <c r="H8526" s="12">
        <v>-1.2093449711745199</v>
      </c>
      <c r="I8526" s="20">
        <v>-0.99606884284117103</v>
      </c>
      <c r="J8526" s="28">
        <v>0.319216697159872</v>
      </c>
      <c r="K8526" s="29">
        <v>0.98289565623980701</v>
      </c>
    </row>
    <row r="8527" spans="1:11" x14ac:dyDescent="0.35">
      <c r="A8527" s="9" t="str">
        <f>HYPERLINK("http://www.ensembl.org/id/WBGene00000928", "WBGene00000928")</f>
        <v>WBGene00000928</v>
      </c>
      <c r="B8527" s="9" t="str">
        <f>HYPERLINK("http://www.ncbi.nlm.nih.gov/gene/173793", "173793")</f>
        <v>173793</v>
      </c>
      <c r="C8527" s="9"/>
      <c r="D8527" t="str">
        <f>"dao-2"</f>
        <v>dao-2</v>
      </c>
      <c r="E8527" t="s">
        <v>3429</v>
      </c>
      <c r="F8527" t="s">
        <v>11</v>
      </c>
      <c r="H8527" s="12">
        <v>-1.14063999236177</v>
      </c>
      <c r="I8527" s="20">
        <v>-0.56133084790613796</v>
      </c>
      <c r="J8527" s="28">
        <v>0.57457201599985297</v>
      </c>
      <c r="K8527" s="29">
        <v>0.98289565623980701</v>
      </c>
    </row>
    <row r="8528" spans="1:11" x14ac:dyDescent="0.35">
      <c r="A8528" s="9" t="str">
        <f>HYPERLINK("http://www.ensembl.org/id/WBGene00000930", "WBGene00000930")</f>
        <v>WBGene00000930</v>
      </c>
      <c r="B8528" s="9" t="str">
        <f>HYPERLINK("http://www.ncbi.nlm.nih.gov/gene/191146", "191146")</f>
        <v>191146</v>
      </c>
      <c r="C8528" s="9"/>
      <c r="D8528" t="str">
        <f>"dao-4"</f>
        <v>dao-4</v>
      </c>
      <c r="E8528" t="s">
        <v>3429</v>
      </c>
      <c r="F8528" t="s">
        <v>11</v>
      </c>
      <c r="H8528" s="12">
        <v>3.17819837723887</v>
      </c>
      <c r="I8528" s="20">
        <v>0.83088783422742096</v>
      </c>
      <c r="J8528" s="28">
        <v>0.40603699695454998</v>
      </c>
      <c r="K8528" s="29">
        <v>0.98289565623980701</v>
      </c>
    </row>
    <row r="8529" spans="1:11" x14ac:dyDescent="0.35">
      <c r="A8529" s="9" t="str">
        <f>HYPERLINK("http://www.ensembl.org/id/WBGene00000932", "WBGene00000932")</f>
        <v>WBGene00000932</v>
      </c>
      <c r="B8529" s="9" t="str">
        <f>HYPERLINK("http://www.ncbi.nlm.nih.gov/gene/3564991", "3564991")</f>
        <v>3564991</v>
      </c>
      <c r="C8529" s="9"/>
      <c r="D8529" t="str">
        <f>"dao-6"</f>
        <v>dao-6</v>
      </c>
      <c r="E8529" t="s">
        <v>3429</v>
      </c>
      <c r="F8529" t="s">
        <v>11</v>
      </c>
      <c r="H8529" s="12">
        <v>1.53297258216215</v>
      </c>
      <c r="I8529" s="20">
        <v>1.18078532603873</v>
      </c>
      <c r="J8529" s="28">
        <v>0.23768801484875901</v>
      </c>
      <c r="K8529" s="29">
        <v>0.98289565623980701</v>
      </c>
    </row>
    <row r="8530" spans="1:11" x14ac:dyDescent="0.35">
      <c r="A8530" s="9" t="str">
        <f>HYPERLINK("http://www.ensembl.org/id/WBGene00000933", "WBGene00000933")</f>
        <v>WBGene00000933</v>
      </c>
      <c r="B8530" s="9" t="str">
        <f>HYPERLINK("http://www.ncbi.nlm.nih.gov/gene/174631", "174631")</f>
        <v>174631</v>
      </c>
      <c r="C8530" s="9" t="str">
        <f>HYPERLINK("http://www.ncbi.nlm.nih.gov/gene/7818", "7818")</f>
        <v>7818</v>
      </c>
      <c r="D8530" t="str">
        <f>"dap-3"</f>
        <v>dap-3</v>
      </c>
      <c r="E8530" t="s">
        <v>8161</v>
      </c>
      <c r="F8530" t="s">
        <v>11</v>
      </c>
      <c r="G8530" t="s">
        <v>8162</v>
      </c>
      <c r="H8530" s="12">
        <v>-1.16311909794186</v>
      </c>
      <c r="I8530" s="20">
        <v>-0.69668820772139095</v>
      </c>
      <c r="J8530" s="28">
        <v>0.48599794019727699</v>
      </c>
      <c r="K8530" s="29">
        <v>0.98289565623980701</v>
      </c>
    </row>
    <row r="8531" spans="1:11" x14ac:dyDescent="0.35">
      <c r="A8531" s="9" t="str">
        <f>HYPERLINK("http://www.ensembl.org/id/WBGene00003400", "WBGene00003400")</f>
        <v>WBGene00003400</v>
      </c>
      <c r="B8531" s="9" t="str">
        <f>HYPERLINK("http://www.ncbi.nlm.nih.gov/gene/187322", "187322")</f>
        <v>187322</v>
      </c>
      <c r="C8531" s="9" t="str">
        <f>HYPERLINK("http://www.ncbi.nlm.nih.gov/gene/1612", "1612")</f>
        <v>1612</v>
      </c>
      <c r="D8531" t="str">
        <f>"dapk-1"</f>
        <v>dapk-1</v>
      </c>
      <c r="E8531" t="s">
        <v>6076</v>
      </c>
      <c r="F8531" t="s">
        <v>11</v>
      </c>
      <c r="G8531" t="s">
        <v>6077</v>
      </c>
      <c r="H8531" s="12">
        <v>1.06514170116355</v>
      </c>
      <c r="I8531" s="20">
        <v>0.33999930313418603</v>
      </c>
      <c r="J8531" s="28">
        <v>0.73385705271975799</v>
      </c>
      <c r="K8531" s="29">
        <v>0.98289565623980701</v>
      </c>
    </row>
    <row r="8532" spans="1:11" x14ac:dyDescent="0.35">
      <c r="A8532" s="9" t="str">
        <f>HYPERLINK("http://www.ensembl.org/id/WBGene00001095", "WBGene00001095")</f>
        <v>WBGene00001095</v>
      </c>
      <c r="B8532" s="9" t="str">
        <f>HYPERLINK("http://www.ncbi.nlm.nih.gov/gene/3565124", "3565124")</f>
        <v>3565124</v>
      </c>
      <c r="C8532" s="9" t="str">
        <f>HYPERLINK("http://www.ncbi.nlm.nih.gov/gene/55157", "55157")</f>
        <v>55157</v>
      </c>
      <c r="D8532" t="str">
        <f>"dars-2"</f>
        <v>dars-2</v>
      </c>
      <c r="E8532" t="s">
        <v>9480</v>
      </c>
      <c r="F8532" t="s">
        <v>11</v>
      </c>
      <c r="G8532" t="s">
        <v>9481</v>
      </c>
      <c r="H8532" s="12">
        <v>-1.2500852609809201</v>
      </c>
      <c r="I8532" s="20">
        <v>-0.92882344983351905</v>
      </c>
      <c r="J8532" s="28">
        <v>0.35298058964756202</v>
      </c>
      <c r="K8532" s="29">
        <v>0.98289565623980701</v>
      </c>
    </row>
    <row r="8533" spans="1:11" x14ac:dyDescent="0.35">
      <c r="A8533" s="9" t="str">
        <f>HYPERLINK("http://www.ensembl.org/id/WBGene00000934", "WBGene00000934")</f>
        <v>WBGene00000934</v>
      </c>
      <c r="B8533" s="9" t="str">
        <f>HYPERLINK("http://www.ncbi.nlm.nih.gov/gene/176304", "176304")</f>
        <v>176304</v>
      </c>
      <c r="C8533" s="9" t="str">
        <f>HYPERLINK("http://www.ncbi.nlm.nih.gov/gene/6530", "6530")</f>
        <v>6530</v>
      </c>
      <c r="D8533" t="str">
        <f>"dat-1"</f>
        <v>dat-1</v>
      </c>
      <c r="E8533" t="s">
        <v>4633</v>
      </c>
      <c r="F8533" t="s">
        <v>11</v>
      </c>
      <c r="G8533" t="s">
        <v>1268</v>
      </c>
      <c r="H8533" s="12">
        <v>1.5648255370030699</v>
      </c>
      <c r="I8533" s="20">
        <v>1.1817202514365901</v>
      </c>
      <c r="J8533" s="28">
        <v>0.23731672006072199</v>
      </c>
      <c r="K8533" s="29">
        <v>0.98289565623980701</v>
      </c>
    </row>
    <row r="8534" spans="1:11" x14ac:dyDescent="0.35">
      <c r="A8534" s="9" t="str">
        <f>HYPERLINK("http://www.ensembl.org/id/WBGene00000936", "WBGene00000936")</f>
        <v>WBGene00000936</v>
      </c>
      <c r="B8534" s="9" t="str">
        <f>HYPERLINK("http://www.ncbi.nlm.nih.gov/gene/179068", "179068")</f>
        <v>179068</v>
      </c>
      <c r="C8534" s="9" t="str">
        <f>HYPERLINK("http://www.ncbi.nlm.nih.gov/gene/27302", "27302")</f>
        <v>27302</v>
      </c>
      <c r="D8534" t="str">
        <f>"dbl-1"</f>
        <v>dbl-1</v>
      </c>
      <c r="E8534" t="s">
        <v>9616</v>
      </c>
      <c r="F8534" t="s">
        <v>11</v>
      </c>
      <c r="G8534" t="s">
        <v>9617</v>
      </c>
      <c r="H8534" s="12">
        <v>-1.2651379472689901</v>
      </c>
      <c r="I8534" s="20">
        <v>-1.1746331916171</v>
      </c>
      <c r="J8534" s="28">
        <v>0.24014149819932801</v>
      </c>
      <c r="K8534" s="29">
        <v>0.98289565623980701</v>
      </c>
    </row>
    <row r="8535" spans="1:11" x14ac:dyDescent="0.35">
      <c r="A8535" s="9" t="str">
        <f>HYPERLINK("http://www.ensembl.org/id/WBGene00000937", "WBGene00000937")</f>
        <v>WBGene00000937</v>
      </c>
      <c r="B8535" s="9" t="str">
        <f>HYPERLINK("http://www.ncbi.nlm.nih.gov/gene/172357", "172357")</f>
        <v>172357</v>
      </c>
      <c r="C8535" s="9" t="str">
        <f>HYPERLINK("http://www.ncbi.nlm.nih.gov/gene/51163", "51163")</f>
        <v>51163</v>
      </c>
      <c r="D8535" t="str">
        <f>"dbr-1"</f>
        <v>dbr-1</v>
      </c>
      <c r="E8535" t="s">
        <v>6050</v>
      </c>
      <c r="F8535" t="s">
        <v>11</v>
      </c>
      <c r="G8535" t="s">
        <v>6051</v>
      </c>
      <c r="H8535" s="12">
        <v>1.06914935574454</v>
      </c>
      <c r="I8535" s="20">
        <v>0.32616876860285499</v>
      </c>
      <c r="J8535" s="28">
        <v>0.74429666943892103</v>
      </c>
      <c r="K8535" s="29">
        <v>0.98289565623980701</v>
      </c>
    </row>
    <row r="8536" spans="1:11" x14ac:dyDescent="0.35">
      <c r="A8536" s="9" t="str">
        <f>HYPERLINK("http://www.ensembl.org/id/WBGene00021929", "WBGene00021929")</f>
        <v>WBGene00021929</v>
      </c>
      <c r="B8536" s="9" t="str">
        <f>HYPERLINK("http://www.ncbi.nlm.nih.gov/gene/176924", "176924")</f>
        <v>176924</v>
      </c>
      <c r="C8536" s="9"/>
      <c r="D8536" t="str">
        <f>"dcap-1"</f>
        <v>dcap-1</v>
      </c>
      <c r="E8536" t="s">
        <v>9589</v>
      </c>
      <c r="F8536" t="s">
        <v>11</v>
      </c>
      <c r="G8536" t="s">
        <v>9590</v>
      </c>
      <c r="H8536" s="12">
        <v>-1.26202037813629</v>
      </c>
      <c r="I8536" s="20">
        <v>-1.11278814333337</v>
      </c>
      <c r="J8536" s="28">
        <v>0.26579942880459001</v>
      </c>
      <c r="K8536" s="29">
        <v>0.98289565623980701</v>
      </c>
    </row>
    <row r="8537" spans="1:11" x14ac:dyDescent="0.35">
      <c r="A8537" s="9" t="str">
        <f>HYPERLINK("http://www.ensembl.org/id/WBGene00003582", "WBGene00003582")</f>
        <v>WBGene00003582</v>
      </c>
      <c r="B8537" s="9" t="str">
        <f>HYPERLINK("http://www.ncbi.nlm.nih.gov/gene/178321", "178321")</f>
        <v>178321</v>
      </c>
      <c r="C8537" s="9"/>
      <c r="D8537" t="str">
        <f>"dcap-2"</f>
        <v>dcap-2</v>
      </c>
      <c r="E8537" t="s">
        <v>7312</v>
      </c>
      <c r="F8537" t="s">
        <v>11</v>
      </c>
      <c r="G8537" t="s">
        <v>7313</v>
      </c>
      <c r="H8537" s="12">
        <v>-1.11894634864886</v>
      </c>
      <c r="I8537" s="20">
        <v>-0.59944151486791197</v>
      </c>
      <c r="J8537" s="28">
        <v>0.54887849982126202</v>
      </c>
      <c r="K8537" s="29">
        <v>0.98289565623980701</v>
      </c>
    </row>
    <row r="8538" spans="1:11" x14ac:dyDescent="0.35">
      <c r="A8538" s="9" t="str">
        <f>HYPERLINK("http://www.ensembl.org/id/WBGene00010428", "WBGene00010428")</f>
        <v>WBGene00010428</v>
      </c>
      <c r="B8538" s="9" t="str">
        <f>HYPERLINK("http://www.ncbi.nlm.nih.gov/gene/175556", "175556")</f>
        <v>175556</v>
      </c>
      <c r="C8538" s="9" t="str">
        <f>HYPERLINK("http://www.ncbi.nlm.nih.gov/gene/55208", "55208")</f>
        <v>55208</v>
      </c>
      <c r="D8538" t="str">
        <f>"dcn-1"</f>
        <v>dcn-1</v>
      </c>
      <c r="E8538" t="s">
        <v>6944</v>
      </c>
      <c r="F8538" t="s">
        <v>11</v>
      </c>
      <c r="G8538" t="s">
        <v>54</v>
      </c>
      <c r="H8538" s="12">
        <v>-1.0990469596166501</v>
      </c>
      <c r="I8538" s="20">
        <v>-0.51066583403584298</v>
      </c>
      <c r="J8538" s="28">
        <v>0.60958506851132899</v>
      </c>
      <c r="K8538" s="29">
        <v>0.98289565623980701</v>
      </c>
    </row>
    <row r="8539" spans="1:11" x14ac:dyDescent="0.35">
      <c r="A8539" s="9" t="str">
        <f>HYPERLINK("http://www.ensembl.org/id/WBGene00000939", "WBGene00000939")</f>
        <v>WBGene00000939</v>
      </c>
      <c r="B8539" s="9" t="str">
        <f>HYPERLINK("http://www.ncbi.nlm.nih.gov/gene/176138", "176138")</f>
        <v>176138</v>
      </c>
      <c r="C8539" s="9" t="str">
        <f>HYPERLINK("http://www.ncbi.nlm.nih.gov/gene/23405", "23405")</f>
        <v>23405</v>
      </c>
      <c r="D8539" t="str">
        <f>"dcr-1"</f>
        <v>dcr-1</v>
      </c>
      <c r="E8539" t="s">
        <v>7325</v>
      </c>
      <c r="F8539" t="s">
        <v>11</v>
      </c>
      <c r="G8539" t="s">
        <v>7326</v>
      </c>
      <c r="H8539" s="12">
        <v>-1.1194233468310599</v>
      </c>
      <c r="I8539" s="20">
        <v>-0.57818274551822302</v>
      </c>
      <c r="J8539" s="28">
        <v>0.56314074671168002</v>
      </c>
      <c r="K8539" s="29">
        <v>0.98289565623980701</v>
      </c>
    </row>
    <row r="8540" spans="1:11" x14ac:dyDescent="0.35">
      <c r="A8540" s="9" t="str">
        <f>HYPERLINK("http://www.ensembl.org/id/WBGene00000940", "WBGene00000940")</f>
        <v>WBGene00000940</v>
      </c>
      <c r="B8540" s="9" t="str">
        <f>HYPERLINK("http://www.ncbi.nlm.nih.gov/gene/180315", "180315")</f>
        <v>180315</v>
      </c>
      <c r="C8540" s="9" t="str">
        <f>HYPERLINK("http://www.ncbi.nlm.nih.gov/gene/28960", "28960")</f>
        <v>28960</v>
      </c>
      <c r="D8540" t="str">
        <f>"dcs-1"</f>
        <v>dcs-1</v>
      </c>
      <c r="E8540" t="s">
        <v>8964</v>
      </c>
      <c r="F8540" t="s">
        <v>11</v>
      </c>
      <c r="G8540" t="s">
        <v>8965</v>
      </c>
      <c r="H8540" s="12">
        <v>-1.2113284549368999</v>
      </c>
      <c r="I8540" s="20">
        <v>-0.93431554174780096</v>
      </c>
      <c r="J8540" s="28">
        <v>0.35014114966841697</v>
      </c>
      <c r="K8540" s="29">
        <v>0.98289565623980701</v>
      </c>
    </row>
    <row r="8541" spans="1:11" x14ac:dyDescent="0.35">
      <c r="A8541" s="9" t="str">
        <f>HYPERLINK("http://www.ensembl.org/id/WBGene00015776", "WBGene00015776")</f>
        <v>WBGene00015776</v>
      </c>
      <c r="B8541" s="9" t="str">
        <f>HYPERLINK("http://www.ncbi.nlm.nih.gov/gene/181053", "181053")</f>
        <v>181053</v>
      </c>
      <c r="C8541" s="9"/>
      <c r="D8541" t="str">
        <f>"dct-1"</f>
        <v>dct-1</v>
      </c>
      <c r="E8541" t="s">
        <v>6142</v>
      </c>
      <c r="F8541" t="s">
        <v>11</v>
      </c>
      <c r="G8541" t="s">
        <v>6143</v>
      </c>
      <c r="H8541" s="12">
        <v>1.0511219906920299</v>
      </c>
      <c r="I8541" s="20">
        <v>0.26781034036378198</v>
      </c>
      <c r="J8541" s="28">
        <v>0.788845310924288</v>
      </c>
      <c r="K8541" s="29">
        <v>0.98289565623980701</v>
      </c>
    </row>
    <row r="8542" spans="1:11" x14ac:dyDescent="0.35">
      <c r="A8542" s="9" t="str">
        <f>HYPERLINK("http://www.ensembl.org/id/WBGene00012618", "WBGene00012618")</f>
        <v>WBGene00012618</v>
      </c>
      <c r="B8542" s="9"/>
      <c r="C8542" s="9"/>
      <c r="D8542" t="str">
        <f>"dct-10"</f>
        <v>dct-10</v>
      </c>
      <c r="F8542" t="s">
        <v>80</v>
      </c>
      <c r="H8542" s="12">
        <v>1.9889697573457601</v>
      </c>
      <c r="I8542" s="20">
        <v>0.44660898768005403</v>
      </c>
      <c r="J8542" s="28">
        <v>0.65515740513554199</v>
      </c>
      <c r="K8542" s="29">
        <v>0.98289565623980701</v>
      </c>
    </row>
    <row r="8543" spans="1:11" x14ac:dyDescent="0.35">
      <c r="A8543" s="9" t="str">
        <f>HYPERLINK("http://www.ensembl.org/id/WBGene00013285", "WBGene00013285")</f>
        <v>WBGene00013285</v>
      </c>
      <c r="B8543" s="9" t="str">
        <f>HYPERLINK("http://www.ncbi.nlm.nih.gov/gene/190351", "190351")</f>
        <v>190351</v>
      </c>
      <c r="C8543" s="9"/>
      <c r="D8543" t="str">
        <f>"dct-12"</f>
        <v>dct-12</v>
      </c>
      <c r="E8543" t="s">
        <v>1725</v>
      </c>
      <c r="F8543" t="s">
        <v>11</v>
      </c>
      <c r="G8543" t="s">
        <v>25</v>
      </c>
      <c r="H8543" s="12">
        <v>1.94531048999612</v>
      </c>
      <c r="I8543" s="20">
        <v>0.34949819462736098</v>
      </c>
      <c r="J8543" s="28">
        <v>0.72671532595018395</v>
      </c>
      <c r="K8543" s="29">
        <v>0.98289565623980701</v>
      </c>
    </row>
    <row r="8544" spans="1:11" x14ac:dyDescent="0.35">
      <c r="A8544" s="9" t="str">
        <f>HYPERLINK("http://www.ensembl.org/id/WBGene00012616", "WBGene00012616")</f>
        <v>WBGene00012616</v>
      </c>
      <c r="B8544" s="9" t="str">
        <f>HYPERLINK("http://www.ncbi.nlm.nih.gov/gene/189684", "189684")</f>
        <v>189684</v>
      </c>
      <c r="C8544" s="9"/>
      <c r="D8544" t="str">
        <f>"dct-14"</f>
        <v>dct-14</v>
      </c>
      <c r="E8544" t="s">
        <v>1725</v>
      </c>
      <c r="F8544" t="s">
        <v>11</v>
      </c>
      <c r="G8544" t="s">
        <v>4267</v>
      </c>
      <c r="H8544" s="12">
        <v>4.77173817001158</v>
      </c>
      <c r="I8544" s="20">
        <v>0.86222809863481598</v>
      </c>
      <c r="J8544" s="28">
        <v>0.38856201021242598</v>
      </c>
      <c r="K8544" s="29">
        <v>0.98289565623980701</v>
      </c>
    </row>
    <row r="8545" spans="1:11" x14ac:dyDescent="0.35">
      <c r="A8545" s="9" t="str">
        <f>HYPERLINK("http://www.ensembl.org/id/WBGene00010266", "WBGene00010266")</f>
        <v>WBGene00010266</v>
      </c>
      <c r="B8545" s="9" t="str">
        <f>HYPERLINK("http://www.ncbi.nlm.nih.gov/gene/174934", "174934")</f>
        <v>174934</v>
      </c>
      <c r="C8545" s="9"/>
      <c r="D8545" t="str">
        <f>"dct-18"</f>
        <v>dct-18</v>
      </c>
      <c r="E8545" t="s">
        <v>1725</v>
      </c>
      <c r="F8545" t="s">
        <v>11</v>
      </c>
      <c r="H8545" s="12">
        <v>1.09512919525715</v>
      </c>
      <c r="I8545" s="20">
        <v>0.45997754122215501</v>
      </c>
      <c r="J8545" s="28">
        <v>0.64553234105859902</v>
      </c>
      <c r="K8545" s="29">
        <v>0.98289565623980701</v>
      </c>
    </row>
    <row r="8546" spans="1:11" x14ac:dyDescent="0.35">
      <c r="A8546" s="9" t="str">
        <f>HYPERLINK("http://www.ensembl.org/id/WBGene00007876", "WBGene00007876")</f>
        <v>WBGene00007876</v>
      </c>
      <c r="B8546" s="9" t="str">
        <f>HYPERLINK("http://www.ncbi.nlm.nih.gov/gene/183136", "183136")</f>
        <v>183136</v>
      </c>
      <c r="C8546" s="9"/>
      <c r="D8546" t="str">
        <f>"dct-19"</f>
        <v>dct-19</v>
      </c>
      <c r="E8546" t="s">
        <v>1725</v>
      </c>
      <c r="F8546" t="s">
        <v>11</v>
      </c>
      <c r="H8546" s="12">
        <v>-2.4991590031922399</v>
      </c>
      <c r="I8546" s="20">
        <v>-0.26577412737581302</v>
      </c>
      <c r="J8546" s="28">
        <v>0.79041317015736101</v>
      </c>
      <c r="K8546" s="29">
        <v>0.98289565623980701</v>
      </c>
    </row>
    <row r="8547" spans="1:11" x14ac:dyDescent="0.35">
      <c r="A8547" s="9" t="str">
        <f>HYPERLINK("http://www.ensembl.org/id/WBGene00017218", "WBGene00017218")</f>
        <v>WBGene00017218</v>
      </c>
      <c r="B8547" s="9" t="str">
        <f>HYPERLINK("http://www.ncbi.nlm.nih.gov/gene/184148", "184148")</f>
        <v>184148</v>
      </c>
      <c r="C8547" s="9"/>
      <c r="D8547" t="str">
        <f>"dct-5"</f>
        <v>dct-5</v>
      </c>
      <c r="F8547" t="s">
        <v>11</v>
      </c>
      <c r="H8547" s="12">
        <v>4.0676548361944</v>
      </c>
      <c r="I8547" s="20">
        <v>0.88095932599757898</v>
      </c>
      <c r="J8547" s="28">
        <v>0.37833983523596099</v>
      </c>
      <c r="K8547" s="29">
        <v>0.98289565623980701</v>
      </c>
    </row>
    <row r="8548" spans="1:11" x14ac:dyDescent="0.35">
      <c r="A8548" s="9" t="str">
        <f>HYPERLINK("http://www.ensembl.org/id/WBGene00017773", "WBGene00017773")</f>
        <v>WBGene00017773</v>
      </c>
      <c r="B8548" s="9" t="str">
        <f>HYPERLINK("http://www.ncbi.nlm.nih.gov/gene/175846", "175846")</f>
        <v>175846</v>
      </c>
      <c r="C8548" s="9"/>
      <c r="D8548" t="str">
        <f>"dct-6"</f>
        <v>dct-6</v>
      </c>
      <c r="F8548" t="s">
        <v>11</v>
      </c>
      <c r="G8548" t="s">
        <v>54</v>
      </c>
      <c r="H8548" s="12">
        <v>-1.2172004286451401</v>
      </c>
      <c r="I8548" s="20">
        <v>-0.99974552508048797</v>
      </c>
      <c r="J8548" s="28">
        <v>0.31743367449362198</v>
      </c>
      <c r="K8548" s="29">
        <v>0.98289565623980701</v>
      </c>
    </row>
    <row r="8549" spans="1:11" x14ac:dyDescent="0.35">
      <c r="A8549" s="9" t="str">
        <f>HYPERLINK("http://www.ensembl.org/id/WBGene00044472", "WBGene00044472")</f>
        <v>WBGene00044472</v>
      </c>
      <c r="B8549" s="9" t="str">
        <f>HYPERLINK("http://www.ncbi.nlm.nih.gov/gene/3896783", "3896783")</f>
        <v>3896783</v>
      </c>
      <c r="C8549" s="9"/>
      <c r="D8549" t="str">
        <f>"dct-8"</f>
        <v>dct-8</v>
      </c>
      <c r="E8549" t="s">
        <v>1725</v>
      </c>
      <c r="F8549" t="s">
        <v>11</v>
      </c>
      <c r="H8549" s="12">
        <v>-1.3158237614992001</v>
      </c>
      <c r="I8549" s="20">
        <v>-0.34102503127880401</v>
      </c>
      <c r="J8549" s="28">
        <v>0.733084737822427</v>
      </c>
      <c r="K8549" s="29">
        <v>0.98289565623980701</v>
      </c>
    </row>
    <row r="8550" spans="1:11" x14ac:dyDescent="0.35">
      <c r="A8550" s="9" t="str">
        <f>HYPERLINK("http://www.ensembl.org/id/WBGene00015308", "WBGene00015308")</f>
        <v>WBGene00015308</v>
      </c>
      <c r="B8550" s="9" t="str">
        <f>HYPERLINK("http://www.ncbi.nlm.nih.gov/gene/177413", "177413")</f>
        <v>177413</v>
      </c>
      <c r="C8550" s="9"/>
      <c r="D8550" t="str">
        <f>"ddi-1"</f>
        <v>ddi-1</v>
      </c>
      <c r="F8550" t="s">
        <v>11</v>
      </c>
      <c r="G8550" t="s">
        <v>552</v>
      </c>
      <c r="H8550" s="12">
        <v>-1.1176884968576599</v>
      </c>
      <c r="I8550" s="20">
        <v>-0.59612138347198895</v>
      </c>
      <c r="J8550" s="28">
        <v>0.55109413999876</v>
      </c>
      <c r="K8550" s="29">
        <v>0.98289565623980701</v>
      </c>
    </row>
    <row r="8551" spans="1:11" x14ac:dyDescent="0.35">
      <c r="A8551" s="9" t="str">
        <f>HYPERLINK("http://www.ensembl.org/id/WBGene00019125", "WBGene00019125")</f>
        <v>WBGene00019125</v>
      </c>
      <c r="B8551" s="9" t="str">
        <f>HYPERLINK("http://www.ncbi.nlm.nih.gov/gene/173954", "173954")</f>
        <v>173954</v>
      </c>
      <c r="C8551" s="9"/>
      <c r="D8551" t="str">
        <f>"ddl-1"</f>
        <v>ddl-1</v>
      </c>
      <c r="E8551" t="s">
        <v>7804</v>
      </c>
      <c r="F8551" t="s">
        <v>11</v>
      </c>
      <c r="G8551" t="s">
        <v>7805</v>
      </c>
      <c r="H8551" s="12">
        <v>-1.14562773783192</v>
      </c>
      <c r="I8551" s="20">
        <v>-0.49116971160048301</v>
      </c>
      <c r="J8551" s="28">
        <v>0.62330641931636199</v>
      </c>
      <c r="K8551" s="29">
        <v>0.98289565623980701</v>
      </c>
    </row>
    <row r="8552" spans="1:11" x14ac:dyDescent="0.35">
      <c r="A8552" s="9" t="str">
        <f>HYPERLINK("http://www.ensembl.org/id/WBGene00013000", "WBGene00013000")</f>
        <v>WBGene00013000</v>
      </c>
      <c r="B8552" s="9" t="str">
        <f>HYPERLINK("http://www.ncbi.nlm.nih.gov/gene/190025", "190025")</f>
        <v>190025</v>
      </c>
      <c r="C8552" s="9"/>
      <c r="D8552" t="str">
        <f>"ddl-2"</f>
        <v>ddl-2</v>
      </c>
      <c r="E8552" t="s">
        <v>9788</v>
      </c>
      <c r="F8552" t="s">
        <v>11</v>
      </c>
      <c r="G8552" t="s">
        <v>9789</v>
      </c>
      <c r="H8552" s="12">
        <v>-1.30217257071371</v>
      </c>
      <c r="I8552" s="20">
        <v>-1.1443808333262999</v>
      </c>
      <c r="J8552" s="28">
        <v>0.25246573341671302</v>
      </c>
      <c r="K8552" s="29">
        <v>0.98289565623980701</v>
      </c>
    </row>
    <row r="8553" spans="1:11" x14ac:dyDescent="0.35">
      <c r="A8553" s="9" t="str">
        <f>HYPERLINK("http://www.ensembl.org/id/WBGene00009399", "WBGene00009399")</f>
        <v>WBGene00009399</v>
      </c>
      <c r="B8553" s="9" t="str">
        <f>HYPERLINK("http://www.ncbi.nlm.nih.gov/gene/185266", "185266")</f>
        <v>185266</v>
      </c>
      <c r="C8553" s="9"/>
      <c r="D8553" t="str">
        <f>"ddn-2"</f>
        <v>ddn-2</v>
      </c>
      <c r="E8553" t="s">
        <v>5099</v>
      </c>
      <c r="F8553" t="s">
        <v>11</v>
      </c>
      <c r="G8553" t="s">
        <v>25</v>
      </c>
      <c r="H8553" s="12">
        <v>1.2412768793150299</v>
      </c>
      <c r="I8553" s="20">
        <v>0.35024771153659401</v>
      </c>
      <c r="J8553" s="28">
        <v>0.72615280298337004</v>
      </c>
      <c r="K8553" s="29">
        <v>0.98289565623980701</v>
      </c>
    </row>
    <row r="8554" spans="1:11" x14ac:dyDescent="0.35">
      <c r="A8554" s="9" t="str">
        <f>HYPERLINK("http://www.ensembl.org/id/WBGene00000941", "WBGene00000941")</f>
        <v>WBGene00000941</v>
      </c>
      <c r="B8554" s="9" t="str">
        <f>HYPERLINK("http://www.ncbi.nlm.nih.gov/gene/175331", "175331")</f>
        <v>175331</v>
      </c>
      <c r="C8554" s="9"/>
      <c r="D8554" t="str">
        <f>"ddp-1"</f>
        <v>ddp-1</v>
      </c>
      <c r="E8554" t="s">
        <v>6476</v>
      </c>
      <c r="F8554" t="s">
        <v>11</v>
      </c>
      <c r="G8554" t="s">
        <v>6477</v>
      </c>
      <c r="H8554" s="12">
        <v>-1.0711175614528301</v>
      </c>
      <c r="I8554" s="20">
        <v>-0.329765364715007</v>
      </c>
      <c r="J8554" s="28">
        <v>0.74157725971984001</v>
      </c>
      <c r="K8554" s="29">
        <v>0.98289565623980701</v>
      </c>
    </row>
    <row r="8555" spans="1:11" x14ac:dyDescent="0.35">
      <c r="A8555" s="9" t="str">
        <f>HYPERLINK("http://www.ensembl.org/id/WBGene00017381", "WBGene00017381")</f>
        <v>WBGene00017381</v>
      </c>
      <c r="B8555" s="9" t="str">
        <f>HYPERLINK("http://www.ncbi.nlm.nih.gov/gene/180622", "180622")</f>
        <v>180622</v>
      </c>
      <c r="C8555" s="9" t="str">
        <f>HYPERLINK("http://www.ncbi.nlm.nih.gov/gene/4921", "4921")</f>
        <v>4921</v>
      </c>
      <c r="D8555" t="str">
        <f>"ddr-2"</f>
        <v>ddr-2</v>
      </c>
      <c r="E8555" t="s">
        <v>4990</v>
      </c>
      <c r="F8555" t="s">
        <v>11</v>
      </c>
      <c r="G8555" t="s">
        <v>859</v>
      </c>
      <c r="H8555" s="12">
        <v>1.2681508667371599</v>
      </c>
      <c r="I8555" s="20">
        <v>1.0289218436346099</v>
      </c>
      <c r="J8555" s="28">
        <v>0.30351640288111598</v>
      </c>
      <c r="K8555" s="29">
        <v>0.98289565623980701</v>
      </c>
    </row>
    <row r="8556" spans="1:11" x14ac:dyDescent="0.35">
      <c r="A8556" s="9" t="str">
        <f>HYPERLINK("http://www.ensembl.org/id/WBGene00018967", "WBGene00018967")</f>
        <v>WBGene00018967</v>
      </c>
      <c r="B8556" s="9" t="str">
        <f>HYPERLINK("http://www.ncbi.nlm.nih.gov/gene/175771", "175771")</f>
        <v>175771</v>
      </c>
      <c r="C8556" s="9" t="str">
        <f>HYPERLINK("http://www.ncbi.nlm.nih.gov/gene/1665", "1665")</f>
        <v>1665</v>
      </c>
      <c r="D8556" t="str">
        <f>"ddx-15"</f>
        <v>ddx-15</v>
      </c>
      <c r="E8556" t="s">
        <v>7346</v>
      </c>
      <c r="F8556" t="s">
        <v>11</v>
      </c>
      <c r="G8556" t="s">
        <v>7347</v>
      </c>
      <c r="H8556" s="12">
        <v>-1.1206771646686</v>
      </c>
      <c r="I8556" s="20">
        <v>-0.53701072211714296</v>
      </c>
      <c r="J8556" s="28">
        <v>0.59126020776176902</v>
      </c>
      <c r="K8556" s="29">
        <v>0.98289565623980701</v>
      </c>
    </row>
    <row r="8557" spans="1:11" x14ac:dyDescent="0.35">
      <c r="A8557" s="9" t="str">
        <f>HYPERLINK("http://www.ensembl.org/id/WBGene00010260", "WBGene00010260")</f>
        <v>WBGene00010260</v>
      </c>
      <c r="B8557" s="9" t="str">
        <f>HYPERLINK("http://www.ncbi.nlm.nih.gov/gene/179897", "179897")</f>
        <v>179897</v>
      </c>
      <c r="C8557" s="9" t="str">
        <f>HYPERLINK("http://www.ncbi.nlm.nih.gov/gene/10521", "10521")</f>
        <v>10521</v>
      </c>
      <c r="D8557" t="str">
        <f>"ddx-17"</f>
        <v>ddx-17</v>
      </c>
      <c r="E8557" t="s">
        <v>6648</v>
      </c>
      <c r="F8557" t="s">
        <v>11</v>
      </c>
      <c r="G8557" t="s">
        <v>8131</v>
      </c>
      <c r="H8557" s="12">
        <v>-1.1617226349199199</v>
      </c>
      <c r="I8557" s="20">
        <v>-0.81586846680949399</v>
      </c>
      <c r="J8557" s="28">
        <v>0.41457536898110198</v>
      </c>
      <c r="K8557" s="29">
        <v>0.98289565623980701</v>
      </c>
    </row>
    <row r="8558" spans="1:11" x14ac:dyDescent="0.35">
      <c r="A8558" s="9" t="str">
        <f>HYPERLINK("http://www.ensembl.org/id/WBGene00011580", "WBGene00011580")</f>
        <v>WBGene00011580</v>
      </c>
      <c r="B8558" s="9" t="str">
        <f>HYPERLINK("http://www.ncbi.nlm.nih.gov/gene/174418", "174418")</f>
        <v>174418</v>
      </c>
      <c r="C8558" s="9" t="str">
        <f>HYPERLINK("http://www.ncbi.nlm.nih.gov/gene/55308", "55308")</f>
        <v>55308</v>
      </c>
      <c r="D8558" t="str">
        <f>"ddx-19"</f>
        <v>ddx-19</v>
      </c>
      <c r="E8558" t="s">
        <v>6648</v>
      </c>
      <c r="F8558" t="s">
        <v>11</v>
      </c>
      <c r="G8558" t="s">
        <v>9326</v>
      </c>
      <c r="H8558" s="12">
        <v>-1.23835452316322</v>
      </c>
      <c r="I8558" s="20">
        <v>-1.0795986687057899</v>
      </c>
      <c r="J8558" s="28">
        <v>0.28032093454302098</v>
      </c>
      <c r="K8558" s="29">
        <v>0.98289565623980701</v>
      </c>
    </row>
    <row r="8559" spans="1:11" x14ac:dyDescent="0.35">
      <c r="A8559" s="9" t="str">
        <f>HYPERLINK("http://www.ensembl.org/id/WBGene00017162", "WBGene00017162")</f>
        <v>WBGene00017162</v>
      </c>
      <c r="B8559" s="9" t="str">
        <f>HYPERLINK("http://www.ncbi.nlm.nih.gov/gene/175818", "175818")</f>
        <v>175818</v>
      </c>
      <c r="C8559" s="9" t="str">
        <f>HYPERLINK("http://www.ncbi.nlm.nih.gov/gene/9416", "9416")</f>
        <v>9416</v>
      </c>
      <c r="D8559" t="str">
        <f>"ddx-23"</f>
        <v>ddx-23</v>
      </c>
      <c r="E8559" t="s">
        <v>6648</v>
      </c>
      <c r="F8559" t="s">
        <v>11</v>
      </c>
      <c r="G8559" t="s">
        <v>6649</v>
      </c>
      <c r="H8559" s="12">
        <v>-1.08282507883052</v>
      </c>
      <c r="I8559" s="20">
        <v>-0.37461415156125499</v>
      </c>
      <c r="J8559" s="28">
        <v>0.70794744682378297</v>
      </c>
      <c r="K8559" s="29">
        <v>0.98289565623980701</v>
      </c>
    </row>
    <row r="8560" spans="1:11" x14ac:dyDescent="0.35">
      <c r="A8560" s="9" t="str">
        <f>HYPERLINK("http://www.ensembl.org/id/WBGene00011032", "WBGene00011032")</f>
        <v>WBGene00011032</v>
      </c>
      <c r="B8560" s="9" t="str">
        <f>HYPERLINK("http://www.ncbi.nlm.nih.gov/gene/172651", "172651")</f>
        <v>172651</v>
      </c>
      <c r="C8560" s="9" t="str">
        <f>HYPERLINK("http://www.ncbi.nlm.nih.gov/gene/11056", "11056")</f>
        <v>11056</v>
      </c>
      <c r="D8560" t="str">
        <f>"ddx-52"</f>
        <v>ddx-52</v>
      </c>
      <c r="E8560" t="s">
        <v>6648</v>
      </c>
      <c r="F8560" t="s">
        <v>11</v>
      </c>
      <c r="G8560" t="s">
        <v>9478</v>
      </c>
      <c r="H8560" s="12">
        <v>-1.24971398730122</v>
      </c>
      <c r="I8560" s="20">
        <v>-0.98572421418843603</v>
      </c>
      <c r="J8560" s="28">
        <v>0.32426846381935098</v>
      </c>
      <c r="K8560" s="29">
        <v>0.98289565623980701</v>
      </c>
    </row>
    <row r="8561" spans="1:11" x14ac:dyDescent="0.35">
      <c r="A8561" s="9" t="str">
        <f>HYPERLINK("http://www.ensembl.org/id/WBGene00000942", "WBGene00000942")</f>
        <v>WBGene00000942</v>
      </c>
      <c r="B8561" s="9" t="str">
        <f>HYPERLINK("http://www.ncbi.nlm.nih.gov/gene/177482", "177482")</f>
        <v>177482</v>
      </c>
      <c r="C8561" s="9"/>
      <c r="D8561" t="str">
        <f>"deb-1"</f>
        <v>deb-1</v>
      </c>
      <c r="E8561" t="s">
        <v>6078</v>
      </c>
      <c r="F8561" t="s">
        <v>11</v>
      </c>
      <c r="G8561" t="s">
        <v>6079</v>
      </c>
      <c r="H8561" s="12">
        <v>1.0647966082568101</v>
      </c>
      <c r="I8561" s="20">
        <v>0.29382685850784301</v>
      </c>
      <c r="J8561" s="28">
        <v>0.76889021040453398</v>
      </c>
      <c r="K8561" s="29">
        <v>0.98289565623980701</v>
      </c>
    </row>
    <row r="8562" spans="1:11" x14ac:dyDescent="0.35">
      <c r="A8562" s="9" t="str">
        <f>HYPERLINK("http://www.ensembl.org/id/WBGene00018380", "WBGene00018380")</f>
        <v>WBGene00018380</v>
      </c>
      <c r="B8562" s="9" t="str">
        <f>HYPERLINK("http://www.ncbi.nlm.nih.gov/gene/185697", "185697")</f>
        <v>185697</v>
      </c>
      <c r="C8562" s="9"/>
      <c r="D8562" t="str">
        <f>"decr-1.1"</f>
        <v>decr-1.1</v>
      </c>
      <c r="E8562" t="s">
        <v>10021</v>
      </c>
      <c r="F8562" t="s">
        <v>11</v>
      </c>
      <c r="H8562" s="12">
        <v>-1.7956420691035699</v>
      </c>
      <c r="I8562" s="20">
        <v>-0.43480141250214999</v>
      </c>
      <c r="J8562" s="28">
        <v>0.66370657955821299</v>
      </c>
      <c r="K8562" s="29">
        <v>0.98289565623980701</v>
      </c>
    </row>
    <row r="8563" spans="1:11" x14ac:dyDescent="0.35">
      <c r="A8563" s="9" t="str">
        <f>HYPERLINK("http://www.ensembl.org/id/WBGene00011467", "WBGene00011467")</f>
        <v>WBGene00011467</v>
      </c>
      <c r="B8563" s="9" t="str">
        <f>HYPERLINK("http://www.ncbi.nlm.nih.gov/gene/174316", "174316")</f>
        <v>174316</v>
      </c>
      <c r="C8563" s="9"/>
      <c r="D8563" t="str">
        <f>"decr-1.3"</f>
        <v>decr-1.3</v>
      </c>
      <c r="E8563" t="s">
        <v>4650</v>
      </c>
      <c r="F8563" t="s">
        <v>11</v>
      </c>
      <c r="G8563" t="s">
        <v>336</v>
      </c>
      <c r="H8563" s="12">
        <v>1.53389281815553</v>
      </c>
      <c r="I8563" s="20">
        <v>0.34049630741995501</v>
      </c>
      <c r="J8563" s="28">
        <v>0.73348280310156999</v>
      </c>
      <c r="K8563" s="29">
        <v>0.98289565623980701</v>
      </c>
    </row>
    <row r="8564" spans="1:11" x14ac:dyDescent="0.35">
      <c r="A8564" s="9" t="str">
        <f>HYPERLINK("http://www.ensembl.org/id/WBGene00000950", "WBGene00000950")</f>
        <v>WBGene00000950</v>
      </c>
      <c r="B8564" s="9" t="str">
        <f>HYPERLINK("http://www.ncbi.nlm.nih.gov/gene/181035", "181035")</f>
        <v>181035</v>
      </c>
      <c r="C8564" s="9" t="str">
        <f>HYPERLINK("http://www.ncbi.nlm.nih.gov/gene/6340", "6340")</f>
        <v>6340</v>
      </c>
      <c r="D8564" t="str">
        <f>"deg-1"</f>
        <v>deg-1</v>
      </c>
      <c r="E8564" t="s">
        <v>5328</v>
      </c>
      <c r="F8564" t="s">
        <v>11</v>
      </c>
      <c r="G8564" t="s">
        <v>4758</v>
      </c>
      <c r="H8564" s="12">
        <v>1.1877560776295499</v>
      </c>
      <c r="I8564" s="20">
        <v>0.64236991316373704</v>
      </c>
      <c r="J8564" s="28">
        <v>0.52063303001184003</v>
      </c>
      <c r="K8564" s="29">
        <v>0.98289565623980701</v>
      </c>
    </row>
    <row r="8565" spans="1:11" x14ac:dyDescent="0.35">
      <c r="A8565" s="9" t="str">
        <f>HYPERLINK("http://www.ensembl.org/id/WBGene00000951", "WBGene00000951")</f>
        <v>WBGene00000951</v>
      </c>
      <c r="B8565" s="9" t="str">
        <f>HYPERLINK("http://www.ncbi.nlm.nih.gov/gene/3565200", "3565200")</f>
        <v>3565200</v>
      </c>
      <c r="C8565" s="9"/>
      <c r="D8565" t="str">
        <f>"deg-3"</f>
        <v>deg-3</v>
      </c>
      <c r="E8565" t="s">
        <v>4938</v>
      </c>
      <c r="F8565" t="s">
        <v>11</v>
      </c>
      <c r="G8565" t="s">
        <v>774</v>
      </c>
      <c r="H8565" s="12">
        <v>1.2899591291880199</v>
      </c>
      <c r="I8565" s="20">
        <v>0.73891287634649006</v>
      </c>
      <c r="J8565" s="28">
        <v>0.45995990293605399</v>
      </c>
      <c r="K8565" s="29">
        <v>0.98289565623980701</v>
      </c>
    </row>
    <row r="8566" spans="1:11" x14ac:dyDescent="0.35">
      <c r="A8566" s="9" t="str">
        <f>HYPERLINK("http://www.ensembl.org/id/WBGene00000953", "WBGene00000953")</f>
        <v>WBGene00000953</v>
      </c>
      <c r="B8566" s="9" t="str">
        <f>HYPERLINK("http://www.ncbi.nlm.nih.gov/gene/177796", "177796")</f>
        <v>177796</v>
      </c>
      <c r="C8566" s="9"/>
      <c r="D8566" t="str">
        <f>"del-2"</f>
        <v>del-2</v>
      </c>
      <c r="E8566" t="s">
        <v>210</v>
      </c>
      <c r="F8566" t="s">
        <v>11</v>
      </c>
      <c r="H8566" s="12">
        <v>1.34610504982194</v>
      </c>
      <c r="I8566" s="20">
        <v>0.76369795541985497</v>
      </c>
      <c r="J8566" s="28">
        <v>0.44504725948142398</v>
      </c>
      <c r="K8566" s="29">
        <v>0.98289565623980701</v>
      </c>
    </row>
    <row r="8567" spans="1:11" x14ac:dyDescent="0.35">
      <c r="A8567" s="9" t="str">
        <f>HYPERLINK("http://www.ensembl.org/id/WBGene00009144", "WBGene00009144")</f>
        <v>WBGene00009144</v>
      </c>
      <c r="B8567" s="9" t="str">
        <f>HYPERLINK("http://www.ncbi.nlm.nih.gov/gene/184955", "184955")</f>
        <v>184955</v>
      </c>
      <c r="C8567" s="9"/>
      <c r="D8567" t="str">
        <f>"del-3"</f>
        <v>del-3</v>
      </c>
      <c r="E8567" t="s">
        <v>210</v>
      </c>
      <c r="F8567" t="s">
        <v>11</v>
      </c>
      <c r="G8567" t="s">
        <v>2755</v>
      </c>
      <c r="H8567" s="12">
        <v>-1.4564977565895301</v>
      </c>
      <c r="I8567" s="20">
        <v>-0.63502713849748704</v>
      </c>
      <c r="J8567" s="28">
        <v>0.52541071541976703</v>
      </c>
      <c r="K8567" s="29">
        <v>0.98289565623980701</v>
      </c>
    </row>
    <row r="8568" spans="1:11" x14ac:dyDescent="0.35">
      <c r="A8568" s="9" t="str">
        <f>HYPERLINK("http://www.ensembl.org/id/WBGene00010334", "WBGene00010334")</f>
        <v>WBGene00010334</v>
      </c>
      <c r="B8568" s="9" t="str">
        <f>HYPERLINK("http://www.ncbi.nlm.nih.gov/gene/186631", "186631")</f>
        <v>186631</v>
      </c>
      <c r="C8568" s="9"/>
      <c r="D8568" t="str">
        <f>"del-5"</f>
        <v>del-5</v>
      </c>
      <c r="E8568" t="s">
        <v>210</v>
      </c>
      <c r="F8568" t="s">
        <v>11</v>
      </c>
      <c r="G8568" t="s">
        <v>211</v>
      </c>
      <c r="H8568" s="12">
        <v>-1.21065518546119</v>
      </c>
      <c r="I8568" s="20">
        <v>-0.64368576195525995</v>
      </c>
      <c r="J8568" s="28">
        <v>0.51977922451676195</v>
      </c>
      <c r="K8568" s="29">
        <v>0.98289565623980701</v>
      </c>
    </row>
    <row r="8569" spans="1:11" x14ac:dyDescent="0.35">
      <c r="A8569" s="9" t="str">
        <f>HYPERLINK("http://www.ensembl.org/id/WBGene00016699", "WBGene00016699")</f>
        <v>WBGene00016699</v>
      </c>
      <c r="B8569" s="9" t="str">
        <f>HYPERLINK("http://www.ncbi.nlm.nih.gov/gene/183498", "183498")</f>
        <v>183498</v>
      </c>
      <c r="C8569" s="9"/>
      <c r="D8569" t="str">
        <f>"del-7"</f>
        <v>del-7</v>
      </c>
      <c r="E8569" t="s">
        <v>210</v>
      </c>
      <c r="F8569" t="s">
        <v>11</v>
      </c>
      <c r="G8569" t="s">
        <v>211</v>
      </c>
      <c r="H8569" s="12">
        <v>1.57884114986881</v>
      </c>
      <c r="I8569" s="20">
        <v>0.44424967405551102</v>
      </c>
      <c r="J8569" s="28">
        <v>0.65686208197657503</v>
      </c>
      <c r="K8569" s="29">
        <v>0.98289565623980701</v>
      </c>
    </row>
    <row r="8570" spans="1:11" x14ac:dyDescent="0.35">
      <c r="A8570" s="9" t="str">
        <f>HYPERLINK("http://www.ensembl.org/id/WBGene00007518", "WBGene00007518")</f>
        <v>WBGene00007518</v>
      </c>
      <c r="B8570" s="9" t="str">
        <f>HYPERLINK("http://www.ncbi.nlm.nih.gov/gene/182514", "182514")</f>
        <v>182514</v>
      </c>
      <c r="C8570" s="9"/>
      <c r="D8570" t="str">
        <f>"del-8"</f>
        <v>del-8</v>
      </c>
      <c r="E8570" t="s">
        <v>210</v>
      </c>
      <c r="F8570" t="s">
        <v>11</v>
      </c>
      <c r="G8570" t="s">
        <v>211</v>
      </c>
      <c r="H8570" s="12">
        <v>1.9094868158227301</v>
      </c>
      <c r="I8570" s="20">
        <v>0.95283736557666499</v>
      </c>
      <c r="J8570" s="28">
        <v>0.34067247903223602</v>
      </c>
      <c r="K8570" s="29">
        <v>0.98289565623980701</v>
      </c>
    </row>
    <row r="8571" spans="1:11" x14ac:dyDescent="0.35">
      <c r="A8571" s="9" t="str">
        <f>HYPERLINK("http://www.ensembl.org/id/WBGene00015957", "WBGene00015957")</f>
        <v>WBGene00015957</v>
      </c>
      <c r="B8571" s="9" t="str">
        <f>HYPERLINK("http://www.ncbi.nlm.nih.gov/gene/182767", "182767")</f>
        <v>182767</v>
      </c>
      <c r="C8571" s="9"/>
      <c r="D8571" t="str">
        <f>"del-9"</f>
        <v>del-9</v>
      </c>
      <c r="E8571" t="s">
        <v>210</v>
      </c>
      <c r="F8571" t="s">
        <v>11</v>
      </c>
      <c r="G8571" t="s">
        <v>211</v>
      </c>
      <c r="H8571" s="12">
        <v>-1.3105007813044001</v>
      </c>
      <c r="I8571" s="20">
        <v>-0.67183735383586296</v>
      </c>
      <c r="J8571" s="28">
        <v>0.50168724567522005</v>
      </c>
      <c r="K8571" s="29">
        <v>0.98289565623980701</v>
      </c>
    </row>
    <row r="8572" spans="1:11" x14ac:dyDescent="0.35">
      <c r="A8572" s="9" t="str">
        <f>HYPERLINK("http://www.ensembl.org/id/WBGene00018681", "WBGene00018681")</f>
        <v>WBGene00018681</v>
      </c>
      <c r="B8572" s="9" t="str">
        <f>HYPERLINK("http://www.ncbi.nlm.nih.gov/gene/186100", "186100")</f>
        <v>186100</v>
      </c>
      <c r="C8572" s="9"/>
      <c r="D8572" t="str">
        <f>"denn-4"</f>
        <v>denn-4</v>
      </c>
      <c r="E8572" t="s">
        <v>5824</v>
      </c>
      <c r="F8572" t="s">
        <v>11</v>
      </c>
      <c r="G8572" t="s">
        <v>5825</v>
      </c>
      <c r="H8572" s="12">
        <v>1.09621542281092</v>
      </c>
      <c r="I8572" s="20">
        <v>0.47792712150057198</v>
      </c>
      <c r="J8572" s="28">
        <v>0.63270207696509395</v>
      </c>
      <c r="K8572" s="29">
        <v>0.98289565623980701</v>
      </c>
    </row>
    <row r="8573" spans="1:11" x14ac:dyDescent="0.35">
      <c r="A8573" s="9" t="str">
        <f>HYPERLINK("http://www.ensembl.org/id/WBGene00009717", "WBGene00009717")</f>
        <v>WBGene00009717</v>
      </c>
      <c r="B8573" s="9" t="str">
        <f>HYPERLINK("http://www.ncbi.nlm.nih.gov/gene/174437", "174437")</f>
        <v>174437</v>
      </c>
      <c r="C8573" s="9"/>
      <c r="D8573" t="str">
        <f>"dep-1"</f>
        <v>dep-1</v>
      </c>
      <c r="E8573" t="s">
        <v>5278</v>
      </c>
      <c r="F8573" t="s">
        <v>11</v>
      </c>
      <c r="G8573" t="s">
        <v>1054</v>
      </c>
      <c r="H8573" s="12">
        <v>1.1975398558702299</v>
      </c>
      <c r="I8573" s="20">
        <v>0.91148096155924496</v>
      </c>
      <c r="J8573" s="28">
        <v>0.36204201240752598</v>
      </c>
      <c r="K8573" s="29">
        <v>0.98289565623980701</v>
      </c>
    </row>
    <row r="8574" spans="1:11" x14ac:dyDescent="0.35">
      <c r="A8574" s="9" t="str">
        <f>HYPERLINK("http://www.ensembl.org/id/WBGene00010296", "WBGene00010296")</f>
        <v>WBGene00010296</v>
      </c>
      <c r="B8574" s="9" t="str">
        <f>HYPERLINK("http://www.ncbi.nlm.nih.gov/gene/180160", "180160")</f>
        <v>180160</v>
      </c>
      <c r="C8574" s="9" t="str">
        <f>HYPERLINK("http://www.ncbi.nlm.nih.gov/gene/80168", "80168")</f>
        <v>80168</v>
      </c>
      <c r="D8574" t="str">
        <f>"dgat-2"</f>
        <v>dgat-2</v>
      </c>
      <c r="E8574" t="s">
        <v>6900</v>
      </c>
      <c r="F8574" t="s">
        <v>11</v>
      </c>
      <c r="G8574" t="s">
        <v>6901</v>
      </c>
      <c r="H8574" s="12">
        <v>-1.09610653318183</v>
      </c>
      <c r="I8574" s="20">
        <v>-0.33356449186267301</v>
      </c>
      <c r="J8574" s="28">
        <v>0.73870821638281803</v>
      </c>
      <c r="K8574" s="29">
        <v>0.98289565623980701</v>
      </c>
    </row>
    <row r="8575" spans="1:11" x14ac:dyDescent="0.35">
      <c r="A8575" s="9" t="str">
        <f>HYPERLINK("http://www.ensembl.org/id/WBGene00000960", "WBGene00000960")</f>
        <v>WBGene00000960</v>
      </c>
      <c r="B8575" s="9" t="str">
        <f>HYPERLINK("http://www.ncbi.nlm.nih.gov/gene/186262", "186262")</f>
        <v>186262</v>
      </c>
      <c r="C8575" s="9" t="str">
        <f>HYPERLINK("http://www.ncbi.nlm.nih.gov/gene/1607", "1607")</f>
        <v>1607</v>
      </c>
      <c r="D8575" t="str">
        <f>"dgk-3"</f>
        <v>dgk-3</v>
      </c>
      <c r="E8575" t="s">
        <v>4634</v>
      </c>
      <c r="F8575" t="s">
        <v>11</v>
      </c>
      <c r="G8575" t="s">
        <v>4635</v>
      </c>
      <c r="H8575" s="12">
        <v>1.5637018360968999</v>
      </c>
      <c r="I8575" s="20">
        <v>1.0997977101221099</v>
      </c>
      <c r="J8575" s="28">
        <v>0.27142027027972199</v>
      </c>
      <c r="K8575" s="29">
        <v>0.98289565623980701</v>
      </c>
    </row>
    <row r="8576" spans="1:11" x14ac:dyDescent="0.35">
      <c r="A8576" s="9" t="str">
        <f>HYPERLINK("http://www.ensembl.org/id/WBGene00006483", "WBGene00006483")</f>
        <v>WBGene00006483</v>
      </c>
      <c r="B8576" s="9" t="str">
        <f>HYPERLINK("http://www.ncbi.nlm.nih.gov/gene/177667", "177667")</f>
        <v>177667</v>
      </c>
      <c r="C8576" s="9"/>
      <c r="D8576" t="str">
        <f>"dgk-4"</f>
        <v>dgk-4</v>
      </c>
      <c r="E8576" t="s">
        <v>1880</v>
      </c>
      <c r="F8576" t="s">
        <v>11</v>
      </c>
      <c r="G8576" t="s">
        <v>7718</v>
      </c>
      <c r="H8576" s="12">
        <v>-1.14120853096861</v>
      </c>
      <c r="I8576" s="20">
        <v>-0.70976908849638398</v>
      </c>
      <c r="J8576" s="28">
        <v>0.47784734089054798</v>
      </c>
      <c r="K8576" s="29">
        <v>0.98289565623980701</v>
      </c>
    </row>
    <row r="8577" spans="1:11" x14ac:dyDescent="0.35">
      <c r="A8577" s="9" t="str">
        <f>HYPERLINK("http://www.ensembl.org/id/WBGene00018943", "WBGene00018943")</f>
        <v>WBGene00018943</v>
      </c>
      <c r="B8577" s="9" t="str">
        <f>HYPERLINK("http://www.ncbi.nlm.nih.gov/gene/186365", "186365")</f>
        <v>186365</v>
      </c>
      <c r="C8577" s="9"/>
      <c r="D8577" t="str">
        <f>"dgn-2"</f>
        <v>dgn-2</v>
      </c>
      <c r="E8577" t="s">
        <v>4011</v>
      </c>
      <c r="F8577" t="s">
        <v>11</v>
      </c>
      <c r="G8577" t="s">
        <v>4364</v>
      </c>
      <c r="H8577" s="12">
        <v>2.6220817856285401</v>
      </c>
      <c r="I8577" s="20">
        <v>0.74457701879811899</v>
      </c>
      <c r="J8577" s="28">
        <v>0.456527465028714</v>
      </c>
      <c r="K8577" s="29">
        <v>0.98289565623980701</v>
      </c>
    </row>
    <row r="8578" spans="1:11" x14ac:dyDescent="0.35">
      <c r="A8578" s="9" t="str">
        <f>HYPERLINK("http://www.ensembl.org/id/WBGene00196842", "WBGene00196842")</f>
        <v>WBGene00196842</v>
      </c>
      <c r="B8578" s="9"/>
      <c r="C8578" s="9"/>
      <c r="D8578" t="str">
        <f>"DH11.7"</f>
        <v>DH11.7</v>
      </c>
      <c r="F8578" t="s">
        <v>481</v>
      </c>
      <c r="H8578" s="12">
        <v>9.5215001458148301</v>
      </c>
      <c r="I8578" s="20">
        <v>0.67036031720767997</v>
      </c>
      <c r="J8578" s="28">
        <v>0.50262812496729803</v>
      </c>
      <c r="K8578" s="29">
        <v>0.98289565623980701</v>
      </c>
    </row>
    <row r="8579" spans="1:11" x14ac:dyDescent="0.35">
      <c r="A8579" s="9" t="str">
        <f>HYPERLINK("http://www.ensembl.org/id/WBGene00000962", "WBGene00000962")</f>
        <v>WBGene00000962</v>
      </c>
      <c r="B8579" s="9" t="str">
        <f>HYPERLINK("http://www.ncbi.nlm.nih.gov/gene/172041", "172041")</f>
        <v>172041</v>
      </c>
      <c r="C8579" s="9" t="str">
        <f>HYPERLINK("http://www.ncbi.nlm.nih.gov/gene/1778", "1778")</f>
        <v>1778</v>
      </c>
      <c r="D8579" t="str">
        <f>"dhc-1"</f>
        <v>dhc-1</v>
      </c>
      <c r="E8579" t="s">
        <v>6387</v>
      </c>
      <c r="F8579" t="s">
        <v>11</v>
      </c>
      <c r="G8579" t="s">
        <v>6388</v>
      </c>
      <c r="H8579" s="12">
        <v>-1.0664939548621699</v>
      </c>
      <c r="I8579" s="20">
        <v>-0.35885760069938299</v>
      </c>
      <c r="J8579" s="28">
        <v>0.71970161950381895</v>
      </c>
      <c r="K8579" s="29">
        <v>0.98289565623980701</v>
      </c>
    </row>
    <row r="8580" spans="1:11" x14ac:dyDescent="0.35">
      <c r="A8580" s="9" t="str">
        <f>HYPERLINK("http://www.ensembl.org/id/WBGene00007154", "WBGene00007154")</f>
        <v>WBGene00007154</v>
      </c>
      <c r="B8580" s="9" t="str">
        <f>HYPERLINK("http://www.ncbi.nlm.nih.gov/gene/179798", "179798")</f>
        <v>179798</v>
      </c>
      <c r="C8580" s="9"/>
      <c r="D8580" t="str">
        <f>"dhc-3"</f>
        <v>dhc-3</v>
      </c>
      <c r="E8580" t="s">
        <v>4589</v>
      </c>
      <c r="F8580" t="s">
        <v>11</v>
      </c>
      <c r="G8580" t="s">
        <v>4590</v>
      </c>
      <c r="H8580" s="12">
        <v>1.6376663439093899</v>
      </c>
      <c r="I8580" s="20">
        <v>0.93199644122054004</v>
      </c>
      <c r="J8580" s="28">
        <v>0.35133836460467599</v>
      </c>
      <c r="K8580" s="29">
        <v>0.98289565623980701</v>
      </c>
    </row>
    <row r="8581" spans="1:11" x14ac:dyDescent="0.35">
      <c r="A8581" s="9" t="str">
        <f>HYPERLINK("http://www.ensembl.org/id/WBGene00012272", "WBGene00012272")</f>
        <v>WBGene00012272</v>
      </c>
      <c r="B8581" s="9" t="str">
        <f>HYPERLINK("http://www.ncbi.nlm.nih.gov/gene/189209", "189209")</f>
        <v>189209</v>
      </c>
      <c r="C8581" s="9"/>
      <c r="D8581" t="str">
        <f>"dhc-4"</f>
        <v>dhc-4</v>
      </c>
      <c r="E8581" t="s">
        <v>4589</v>
      </c>
      <c r="F8581" t="s">
        <v>11</v>
      </c>
      <c r="H8581" s="12">
        <v>1.51787723987031</v>
      </c>
      <c r="I8581" s="20">
        <v>0.51587110219461496</v>
      </c>
      <c r="J8581" s="28">
        <v>0.60594443839395196</v>
      </c>
      <c r="K8581" s="29">
        <v>0.98289565623980701</v>
      </c>
    </row>
    <row r="8582" spans="1:11" x14ac:dyDescent="0.35">
      <c r="A8582" s="9" t="str">
        <f>HYPERLINK("http://www.ensembl.org/id/WBGene00008606", "WBGene00008606")</f>
        <v>WBGene00008606</v>
      </c>
      <c r="B8582" s="9" t="str">
        <f>HYPERLINK("http://www.ncbi.nlm.nih.gov/gene/181606", "181606")</f>
        <v>181606</v>
      </c>
      <c r="C8582" s="9" t="str">
        <f>HYPERLINK("http://www.ncbi.nlm.nih.gov/gene/254359", "254359")</f>
        <v>254359</v>
      </c>
      <c r="D8582" t="str">
        <f>"dhhc-1"</f>
        <v>dhhc-1</v>
      </c>
      <c r="E8582" t="s">
        <v>2394</v>
      </c>
      <c r="F8582" t="s">
        <v>11</v>
      </c>
      <c r="G8582" t="s">
        <v>2395</v>
      </c>
      <c r="H8582" s="12">
        <v>1.06806193561257</v>
      </c>
      <c r="I8582" s="20">
        <v>0.28798666626385699</v>
      </c>
      <c r="J8582" s="28">
        <v>0.77335694528113097</v>
      </c>
      <c r="K8582" s="29">
        <v>0.98289565623980701</v>
      </c>
    </row>
    <row r="8583" spans="1:11" x14ac:dyDescent="0.35">
      <c r="A8583" s="9" t="str">
        <f>HYPERLINK("http://www.ensembl.org/id/WBGene00020694", "WBGene00020694")</f>
        <v>WBGene00020694</v>
      </c>
      <c r="B8583" s="9" t="str">
        <f>HYPERLINK("http://www.ncbi.nlm.nih.gov/gene/188748", "188748")</f>
        <v>188748</v>
      </c>
      <c r="C8583" s="9"/>
      <c r="D8583" t="str">
        <f>"dhhc-11"</f>
        <v>dhhc-11</v>
      </c>
      <c r="E8583" t="s">
        <v>2394</v>
      </c>
      <c r="F8583" t="s">
        <v>11</v>
      </c>
      <c r="G8583" t="s">
        <v>2395</v>
      </c>
      <c r="H8583" s="12">
        <v>1.19602794555199</v>
      </c>
      <c r="I8583" s="20">
        <v>0.29743002898741899</v>
      </c>
      <c r="J8583" s="28">
        <v>0.76613822060923997</v>
      </c>
      <c r="K8583" s="29">
        <v>0.98289565623980701</v>
      </c>
    </row>
    <row r="8584" spans="1:11" x14ac:dyDescent="0.35">
      <c r="A8584" s="9" t="str">
        <f>HYPERLINK("http://www.ensembl.org/id/WBGene00010323", "WBGene00010323")</f>
        <v>WBGene00010323</v>
      </c>
      <c r="B8584" s="9" t="str">
        <f>HYPERLINK("http://www.ncbi.nlm.nih.gov/gene/186602", "186602")</f>
        <v>186602</v>
      </c>
      <c r="C8584" s="9"/>
      <c r="D8584" t="str">
        <f>"dhhc-12"</f>
        <v>dhhc-12</v>
      </c>
      <c r="E8584" t="s">
        <v>2394</v>
      </c>
      <c r="F8584" t="s">
        <v>11</v>
      </c>
      <c r="G8584" t="s">
        <v>2395</v>
      </c>
      <c r="H8584" s="12">
        <v>-2.2434166367633601</v>
      </c>
      <c r="I8584" s="20">
        <v>-0.52728651921023895</v>
      </c>
      <c r="J8584" s="28">
        <v>0.59799463436044797</v>
      </c>
      <c r="K8584" s="29">
        <v>0.98289565623980701</v>
      </c>
    </row>
    <row r="8585" spans="1:11" x14ac:dyDescent="0.35">
      <c r="A8585" s="9" t="str">
        <f>HYPERLINK("http://www.ensembl.org/id/WBGene00044071", "WBGene00044071")</f>
        <v>WBGene00044071</v>
      </c>
      <c r="B8585" s="9" t="str">
        <f>HYPERLINK("http://www.ncbi.nlm.nih.gov/gene/181109", "181109")</f>
        <v>181109</v>
      </c>
      <c r="C8585" s="9" t="str">
        <f>HYPERLINK("http://www.ncbi.nlm.nih.gov/gene/23390", "23390")</f>
        <v>23390</v>
      </c>
      <c r="D8585" t="str">
        <f>"dhhc-14"</f>
        <v>dhhc-14</v>
      </c>
      <c r="E8585" t="s">
        <v>2394</v>
      </c>
      <c r="F8585" t="s">
        <v>11</v>
      </c>
      <c r="G8585" t="s">
        <v>7939</v>
      </c>
      <c r="H8585" s="12">
        <v>-1.1519098175314599</v>
      </c>
      <c r="I8585" s="20">
        <v>-0.73009916066698</v>
      </c>
      <c r="J8585" s="28">
        <v>0.46532957435997402</v>
      </c>
      <c r="K8585" s="29">
        <v>0.98289565623980701</v>
      </c>
    </row>
    <row r="8586" spans="1:11" x14ac:dyDescent="0.35">
      <c r="A8586" s="9" t="str">
        <f>HYPERLINK("http://www.ensembl.org/id/WBGene00012948", "WBGene00012948")</f>
        <v>WBGene00012948</v>
      </c>
      <c r="B8586" s="9" t="str">
        <f>HYPERLINK("http://www.ncbi.nlm.nih.gov/gene/173062", "173062")</f>
        <v>173062</v>
      </c>
      <c r="C8586" s="9" t="str">
        <f>HYPERLINK("http://www.ncbi.nlm.nih.gov/gene/79683", "79683")</f>
        <v>79683</v>
      </c>
      <c r="D8586" t="str">
        <f>"dhhc-2"</f>
        <v>dhhc-2</v>
      </c>
      <c r="E8586" t="s">
        <v>2394</v>
      </c>
      <c r="F8586" t="s">
        <v>11</v>
      </c>
      <c r="G8586" t="s">
        <v>2395</v>
      </c>
      <c r="H8586" s="12">
        <v>1.25122451633697</v>
      </c>
      <c r="I8586" s="20">
        <v>0.88244665321500804</v>
      </c>
      <c r="J8586" s="28">
        <v>0.37753531628671499</v>
      </c>
      <c r="K8586" s="29">
        <v>0.98289565623980701</v>
      </c>
    </row>
    <row r="8587" spans="1:11" x14ac:dyDescent="0.35">
      <c r="A8587" s="9" t="str">
        <f>HYPERLINK("http://www.ensembl.org/id/WBGene00014075", "WBGene00014075")</f>
        <v>WBGene00014075</v>
      </c>
      <c r="B8587" s="9" t="str">
        <f>HYPERLINK("http://www.ncbi.nlm.nih.gov/gene/191420", "191420")</f>
        <v>191420</v>
      </c>
      <c r="C8587" s="9" t="str">
        <f>HYPERLINK("http://www.ncbi.nlm.nih.gov/gene/51201", "51201")</f>
        <v>51201</v>
      </c>
      <c r="D8587" t="str">
        <f>"dhhc-4"</f>
        <v>dhhc-4</v>
      </c>
      <c r="E8587" t="s">
        <v>6172</v>
      </c>
      <c r="F8587" t="s">
        <v>11</v>
      </c>
      <c r="G8587" t="s">
        <v>6173</v>
      </c>
      <c r="H8587" s="12">
        <v>-1.05106294780855</v>
      </c>
      <c r="I8587" s="20">
        <v>-0.25554858832884397</v>
      </c>
      <c r="J8587" s="28">
        <v>0.79829942092445405</v>
      </c>
      <c r="K8587" s="29">
        <v>0.98289565623980701</v>
      </c>
    </row>
    <row r="8588" spans="1:11" x14ac:dyDescent="0.35">
      <c r="A8588" s="9" t="str">
        <f>HYPERLINK("http://www.ensembl.org/id/WBGene00020066", "WBGene00020066")</f>
        <v>WBGene00020066</v>
      </c>
      <c r="B8588" s="9" t="str">
        <f>HYPERLINK("http://www.ncbi.nlm.nih.gov/gene/187870", "187870")</f>
        <v>187870</v>
      </c>
      <c r="C8588" s="9"/>
      <c r="D8588" t="str">
        <f>"dhhc-5"</f>
        <v>dhhc-5</v>
      </c>
      <c r="E8588" t="s">
        <v>2394</v>
      </c>
      <c r="F8588" t="s">
        <v>11</v>
      </c>
      <c r="G8588" t="s">
        <v>2395</v>
      </c>
      <c r="H8588" s="12">
        <v>-1.6386726333450401</v>
      </c>
      <c r="I8588" s="20">
        <v>-0.42781349937327501</v>
      </c>
      <c r="J8588" s="28">
        <v>0.66878690788711803</v>
      </c>
      <c r="K8588" s="29">
        <v>0.98289565623980701</v>
      </c>
    </row>
    <row r="8589" spans="1:11" x14ac:dyDescent="0.35">
      <c r="A8589" s="9" t="str">
        <f>HYPERLINK("http://www.ensembl.org/id/WBGene00007637", "WBGene00007637")</f>
        <v>WBGene00007637</v>
      </c>
      <c r="B8589" s="9" t="str">
        <f>HYPERLINK("http://www.ncbi.nlm.nih.gov/gene/173045", "173045")</f>
        <v>173045</v>
      </c>
      <c r="C8589" s="9"/>
      <c r="D8589" t="str">
        <f>"dhhc-7"</f>
        <v>dhhc-7</v>
      </c>
      <c r="E8589" t="s">
        <v>2394</v>
      </c>
      <c r="F8589" t="s">
        <v>11</v>
      </c>
      <c r="G8589" t="s">
        <v>2395</v>
      </c>
      <c r="H8589" s="12">
        <v>-1.1248139185422801</v>
      </c>
      <c r="I8589" s="20">
        <v>-0.57280041558639005</v>
      </c>
      <c r="J8589" s="28">
        <v>0.56677983766978302</v>
      </c>
      <c r="K8589" s="29">
        <v>0.98289565623980701</v>
      </c>
    </row>
    <row r="8590" spans="1:11" x14ac:dyDescent="0.35">
      <c r="A8590" s="9" t="str">
        <f>HYPERLINK("http://www.ensembl.org/id/WBGene00012718", "WBGene00012718")</f>
        <v>WBGene00012718</v>
      </c>
      <c r="B8590" s="9" t="str">
        <f>HYPERLINK("http://www.ncbi.nlm.nih.gov/gene/176731", "176731")</f>
        <v>176731</v>
      </c>
      <c r="C8590" s="9"/>
      <c r="D8590" t="str">
        <f>"dhhc-8"</f>
        <v>dhhc-8</v>
      </c>
      <c r="E8590" t="s">
        <v>2394</v>
      </c>
      <c r="F8590" t="s">
        <v>11</v>
      </c>
      <c r="G8590" t="s">
        <v>2395</v>
      </c>
      <c r="H8590" s="12">
        <v>-1.1151403776801501</v>
      </c>
      <c r="I8590" s="20">
        <v>-0.50446044413823399</v>
      </c>
      <c r="J8590" s="28">
        <v>0.61393785206949703</v>
      </c>
      <c r="K8590" s="29">
        <v>0.98289565623980701</v>
      </c>
    </row>
    <row r="8591" spans="1:11" x14ac:dyDescent="0.35">
      <c r="A8591" s="9" t="str">
        <f>HYPERLINK("http://www.ensembl.org/id/WBGene00020932", "WBGene00020932")</f>
        <v>WBGene00020932</v>
      </c>
      <c r="B8591" s="9" t="str">
        <f>HYPERLINK("http://www.ncbi.nlm.nih.gov/gene/172392", "172392")</f>
        <v>172392</v>
      </c>
      <c r="C8591" s="9" t="str">
        <f>HYPERLINK("http://www.ncbi.nlm.nih.gov/gene/1723", "1723")</f>
        <v>1723</v>
      </c>
      <c r="D8591" t="str">
        <f>"dhod-1"</f>
        <v>dhod-1</v>
      </c>
      <c r="E8591" t="s">
        <v>8428</v>
      </c>
      <c r="F8591" t="s">
        <v>11</v>
      </c>
      <c r="G8591" t="s">
        <v>8429</v>
      </c>
      <c r="H8591" s="12">
        <v>-1.17713788925073</v>
      </c>
      <c r="I8591" s="20">
        <v>-0.82187848217392101</v>
      </c>
      <c r="J8591" s="28">
        <v>0.411146060701992</v>
      </c>
      <c r="K8591" s="29">
        <v>0.98289565623980701</v>
      </c>
    </row>
    <row r="8592" spans="1:11" x14ac:dyDescent="0.35">
      <c r="A8592" s="9" t="str">
        <f>HYPERLINK("http://www.ensembl.org/id/WBGene00000963", "WBGene00000963")</f>
        <v>WBGene00000963</v>
      </c>
      <c r="B8592" s="9" t="str">
        <f>HYPERLINK("http://www.ncbi.nlm.nih.gov/gene/172464", "172464")</f>
        <v>172464</v>
      </c>
      <c r="C8592" s="9" t="str">
        <f>HYPERLINK("http://www.ncbi.nlm.nih.gov/gene/1807", "1807")</f>
        <v>1807</v>
      </c>
      <c r="D8592" t="str">
        <f>"dhp-1"</f>
        <v>dhp-1</v>
      </c>
      <c r="E8592" t="s">
        <v>9621</v>
      </c>
      <c r="F8592" t="s">
        <v>11</v>
      </c>
      <c r="G8592" t="s">
        <v>8870</v>
      </c>
      <c r="H8592" s="12">
        <v>-1.2660884492732001</v>
      </c>
      <c r="I8592" s="20">
        <v>-0.87163392129765005</v>
      </c>
      <c r="J8592" s="28">
        <v>0.38340811916141598</v>
      </c>
      <c r="K8592" s="29">
        <v>0.98289565623980701</v>
      </c>
    </row>
    <row r="8593" spans="1:11" x14ac:dyDescent="0.35">
      <c r="A8593" s="9" t="str">
        <f>HYPERLINK("http://www.ensembl.org/id/WBGene00000964", "WBGene00000964")</f>
        <v>WBGene00000964</v>
      </c>
      <c r="B8593" s="9" t="str">
        <f>HYPERLINK("http://www.ncbi.nlm.nih.gov/gene/177852", "177852")</f>
        <v>177852</v>
      </c>
      <c r="C8593" s="9" t="str">
        <f>HYPERLINK("http://www.ncbi.nlm.nih.gov/gene/1807", "1807")</f>
        <v>1807</v>
      </c>
      <c r="D8593" t="str">
        <f>"dhp-2"</f>
        <v>dhp-2</v>
      </c>
      <c r="E8593" t="s">
        <v>8869</v>
      </c>
      <c r="F8593" t="s">
        <v>11</v>
      </c>
      <c r="G8593" t="s">
        <v>8870</v>
      </c>
      <c r="H8593" s="12">
        <v>-1.2036878855513899</v>
      </c>
      <c r="I8593" s="20">
        <v>-0.81767280611329096</v>
      </c>
      <c r="J8593" s="28">
        <v>0.41354404236118703</v>
      </c>
      <c r="K8593" s="29">
        <v>0.98289565623980701</v>
      </c>
    </row>
    <row r="8594" spans="1:11" x14ac:dyDescent="0.35">
      <c r="A8594" s="9" t="str">
        <f>HYPERLINK("http://www.ensembl.org/id/WBGene00010063", "WBGene00010063")</f>
        <v>WBGene00010063</v>
      </c>
      <c r="B8594" s="9" t="str">
        <f>HYPERLINK("http://www.ncbi.nlm.nih.gov/gene/179772", "179772")</f>
        <v>179772</v>
      </c>
      <c r="C8594" s="9"/>
      <c r="D8594" t="str">
        <f>"dhrs-4"</f>
        <v>dhrs-4</v>
      </c>
      <c r="E8594" t="s">
        <v>5241</v>
      </c>
      <c r="F8594" t="s">
        <v>11</v>
      </c>
      <c r="G8594" t="s">
        <v>336</v>
      </c>
      <c r="H8594" s="12">
        <v>1.20737051134604</v>
      </c>
      <c r="I8594" s="20">
        <v>0.97401269544027602</v>
      </c>
      <c r="J8594" s="28">
        <v>0.33005023570931602</v>
      </c>
      <c r="K8594" s="29">
        <v>0.98289565623980701</v>
      </c>
    </row>
    <row r="8595" spans="1:11" x14ac:dyDescent="0.35">
      <c r="A8595" s="9" t="str">
        <f>HYPERLINK("http://www.ensembl.org/id/WBGene00000975", "WBGene00000975")</f>
        <v>WBGene00000975</v>
      </c>
      <c r="B8595" s="9" t="str">
        <f>HYPERLINK("http://www.ncbi.nlm.nih.gov/gene/177888", "177888")</f>
        <v>177888</v>
      </c>
      <c r="C8595" s="9"/>
      <c r="D8595" t="str">
        <f>"dhs-12"</f>
        <v>dhs-12</v>
      </c>
      <c r="E8595" t="s">
        <v>488</v>
      </c>
      <c r="F8595" t="s">
        <v>11</v>
      </c>
      <c r="G8595" t="s">
        <v>489</v>
      </c>
      <c r="H8595" s="12">
        <v>-1.1469861952593501</v>
      </c>
      <c r="I8595" s="20">
        <v>-0.66554816486511104</v>
      </c>
      <c r="J8595" s="28">
        <v>0.50569994777984995</v>
      </c>
      <c r="K8595" s="29">
        <v>0.98289565623980701</v>
      </c>
    </row>
    <row r="8596" spans="1:11" x14ac:dyDescent="0.35">
      <c r="A8596" s="9" t="str">
        <f>HYPERLINK("http://www.ensembl.org/id/WBGene00000976", "WBGene00000976")</f>
        <v>WBGene00000976</v>
      </c>
      <c r="B8596" s="9" t="str">
        <f>HYPERLINK("http://www.ncbi.nlm.nih.gov/gene/178658", "178658")</f>
        <v>178658</v>
      </c>
      <c r="C8596" s="9" t="str">
        <f>HYPERLINK("http://www.ncbi.nlm.nih.gov/gene/10901", "10901")</f>
        <v>10901</v>
      </c>
      <c r="D8596" t="str">
        <f>"dhs-13"</f>
        <v>dhs-13</v>
      </c>
      <c r="E8596" t="s">
        <v>488</v>
      </c>
      <c r="F8596" t="s">
        <v>11</v>
      </c>
      <c r="G8596" t="s">
        <v>489</v>
      </c>
      <c r="H8596" s="12">
        <v>1.10194943299072</v>
      </c>
      <c r="I8596" s="20">
        <v>0.51578213802306405</v>
      </c>
      <c r="J8596" s="28">
        <v>0.60600657925857304</v>
      </c>
      <c r="K8596" s="29">
        <v>0.98289565623980701</v>
      </c>
    </row>
    <row r="8597" spans="1:11" x14ac:dyDescent="0.35">
      <c r="A8597" s="9" t="str">
        <f>HYPERLINK("http://www.ensembl.org/id/WBGene00000978", "WBGene00000978")</f>
        <v>WBGene00000978</v>
      </c>
      <c r="B8597" s="9" t="str">
        <f>HYPERLINK("http://www.ncbi.nlm.nih.gov/gene/178739", "178739")</f>
        <v>178739</v>
      </c>
      <c r="C8597" s="9"/>
      <c r="D8597" t="str">
        <f>"dhs-15"</f>
        <v>dhs-15</v>
      </c>
      <c r="E8597" t="s">
        <v>488</v>
      </c>
      <c r="F8597" t="s">
        <v>11</v>
      </c>
      <c r="G8597" t="s">
        <v>489</v>
      </c>
      <c r="H8597" s="12">
        <v>1.2853449619398101</v>
      </c>
      <c r="I8597" s="20">
        <v>0.82159001323953196</v>
      </c>
      <c r="J8597" s="28">
        <v>0.41131027503114798</v>
      </c>
      <c r="K8597" s="29">
        <v>0.98289565623980701</v>
      </c>
    </row>
    <row r="8598" spans="1:11" x14ac:dyDescent="0.35">
      <c r="A8598" s="9" t="str">
        <f>HYPERLINK("http://www.ensembl.org/id/WBGene00000980", "WBGene00000980")</f>
        <v>WBGene00000980</v>
      </c>
      <c r="B8598" s="9" t="str">
        <f>HYPERLINK("http://www.ncbi.nlm.nih.gov/gene/178990", "178990")</f>
        <v>178990</v>
      </c>
      <c r="C8598" s="9"/>
      <c r="D8598" t="str">
        <f>"dhs-17"</f>
        <v>dhs-17</v>
      </c>
      <c r="E8598" t="s">
        <v>488</v>
      </c>
      <c r="F8598" t="s">
        <v>11</v>
      </c>
      <c r="G8598" t="s">
        <v>489</v>
      </c>
      <c r="H8598" s="12">
        <v>1.25976334088973</v>
      </c>
      <c r="I8598" s="20">
        <v>1.1011553609428699</v>
      </c>
      <c r="J8598" s="28">
        <v>0.27082904595797103</v>
      </c>
      <c r="K8598" s="29">
        <v>0.98289565623980701</v>
      </c>
    </row>
    <row r="8599" spans="1:11" x14ac:dyDescent="0.35">
      <c r="A8599" s="9" t="str">
        <f>HYPERLINK("http://www.ensembl.org/id/WBGene00000982", "WBGene00000982")</f>
        <v>WBGene00000982</v>
      </c>
      <c r="B8599" s="9" t="str">
        <f>HYPERLINK("http://www.ncbi.nlm.nih.gov/gene/179578", "179578")</f>
        <v>179578</v>
      </c>
      <c r="C8599" s="9" t="str">
        <f>HYPERLINK("http://www.ncbi.nlm.nih.gov/gene/195814", "195814")</f>
        <v>195814</v>
      </c>
      <c r="D8599" t="str">
        <f>"dhs-19"</f>
        <v>dhs-19</v>
      </c>
      <c r="E8599" t="s">
        <v>488</v>
      </c>
      <c r="F8599" t="s">
        <v>11</v>
      </c>
      <c r="G8599" t="s">
        <v>5147</v>
      </c>
      <c r="H8599" s="12">
        <v>1.2296530690963401</v>
      </c>
      <c r="I8599" s="20">
        <v>1.0668408788041299</v>
      </c>
      <c r="J8599" s="28">
        <v>0.28604369561097198</v>
      </c>
      <c r="K8599" s="29">
        <v>0.98289565623980701</v>
      </c>
    </row>
    <row r="8600" spans="1:11" x14ac:dyDescent="0.35">
      <c r="A8600" s="9" t="str">
        <f>HYPERLINK("http://www.ensembl.org/id/WBGene00000987", "WBGene00000987")</f>
        <v>WBGene00000987</v>
      </c>
      <c r="B8600" s="9" t="str">
        <f>HYPERLINK("http://www.ncbi.nlm.nih.gov/gene/180306", "180306")</f>
        <v>180306</v>
      </c>
      <c r="C8600" s="9"/>
      <c r="D8600" t="str">
        <f>"dhs-24"</f>
        <v>dhs-24</v>
      </c>
      <c r="E8600" t="s">
        <v>488</v>
      </c>
      <c r="F8600" t="s">
        <v>11</v>
      </c>
      <c r="G8600" t="s">
        <v>9311</v>
      </c>
      <c r="H8600" s="12">
        <v>-1.23672290136426</v>
      </c>
      <c r="I8600" s="20">
        <v>-1.01907326625081</v>
      </c>
      <c r="J8600" s="28">
        <v>0.30816818484434699</v>
      </c>
      <c r="K8600" s="29">
        <v>0.98289565623980701</v>
      </c>
    </row>
    <row r="8601" spans="1:11" x14ac:dyDescent="0.35">
      <c r="A8601" s="9" t="str">
        <f>HYPERLINK("http://www.ensembl.org/id/WBGene00000988", "WBGene00000988")</f>
        <v>WBGene00000988</v>
      </c>
      <c r="B8601" s="9" t="str">
        <f>HYPERLINK("http://www.ncbi.nlm.nih.gov/gene/180486", "180486")</f>
        <v>180486</v>
      </c>
      <c r="C8601" s="9" t="str">
        <f>HYPERLINK("http://www.ncbi.nlm.nih.gov/gene/7923", "7923")</f>
        <v>7923</v>
      </c>
      <c r="D8601" t="str">
        <f>"dhs-25"</f>
        <v>dhs-25</v>
      </c>
      <c r="E8601" t="s">
        <v>488</v>
      </c>
      <c r="F8601" t="s">
        <v>11</v>
      </c>
      <c r="G8601" t="s">
        <v>7331</v>
      </c>
      <c r="H8601" s="12">
        <v>-1.1196541265223701</v>
      </c>
      <c r="I8601" s="20">
        <v>-0.51975517347001698</v>
      </c>
      <c r="J8601" s="28">
        <v>0.60323422638003499</v>
      </c>
      <c r="K8601" s="29">
        <v>0.98289565623980701</v>
      </c>
    </row>
    <row r="8602" spans="1:11" x14ac:dyDescent="0.35">
      <c r="A8602" s="9" t="str">
        <f>HYPERLINK("http://www.ensembl.org/id/WBGene00000989", "WBGene00000989")</f>
        <v>WBGene00000989</v>
      </c>
      <c r="B8602" s="9" t="str">
        <f>HYPERLINK("http://www.ncbi.nlm.nih.gov/gene/180624", "180624")</f>
        <v>180624</v>
      </c>
      <c r="C8602" s="9" t="str">
        <f>HYPERLINK("http://www.ncbi.nlm.nih.gov/gene/115817", "115817")</f>
        <v>115817</v>
      </c>
      <c r="D8602" t="str">
        <f>"dhs-26"</f>
        <v>dhs-26</v>
      </c>
      <c r="E8602" t="s">
        <v>488</v>
      </c>
      <c r="F8602" t="s">
        <v>11</v>
      </c>
      <c r="G8602" t="s">
        <v>3319</v>
      </c>
      <c r="H8602" s="12">
        <v>1.24823750627331</v>
      </c>
      <c r="I8602" s="20">
        <v>0.65940715982921105</v>
      </c>
      <c r="J8602" s="28">
        <v>0.50963434566315502</v>
      </c>
      <c r="K8602" s="29">
        <v>0.98289565623980701</v>
      </c>
    </row>
    <row r="8603" spans="1:11" x14ac:dyDescent="0.35">
      <c r="A8603" s="9" t="str">
        <f>HYPERLINK("http://www.ensembl.org/id/WBGene00000990", "WBGene00000990")</f>
        <v>WBGene00000990</v>
      </c>
      <c r="B8603" s="9" t="str">
        <f>HYPERLINK("http://www.ncbi.nlm.nih.gov/gene/180632", "180632")</f>
        <v>180632</v>
      </c>
      <c r="C8603" s="9"/>
      <c r="D8603" t="str">
        <f>"dhs-27"</f>
        <v>dhs-27</v>
      </c>
      <c r="E8603" t="s">
        <v>5420</v>
      </c>
      <c r="F8603" t="s">
        <v>11</v>
      </c>
      <c r="G8603" t="s">
        <v>489</v>
      </c>
      <c r="H8603" s="12">
        <v>1.1671632897194999</v>
      </c>
      <c r="I8603" s="20">
        <v>0.56644287750775602</v>
      </c>
      <c r="J8603" s="28">
        <v>0.57109275395431802</v>
      </c>
      <c r="K8603" s="29">
        <v>0.98289565623980701</v>
      </c>
    </row>
    <row r="8604" spans="1:11" x14ac:dyDescent="0.35">
      <c r="A8604" s="9" t="str">
        <f>HYPERLINK("http://www.ensembl.org/id/WBGene00000967", "WBGene00000967")</f>
        <v>WBGene00000967</v>
      </c>
      <c r="B8604" s="9" t="str">
        <f>HYPERLINK("http://www.ncbi.nlm.nih.gov/gene/172603", "172603")</f>
        <v>172603</v>
      </c>
      <c r="C8604" s="9" t="str">
        <f>HYPERLINK("http://www.ncbi.nlm.nih.gov/gene/195814", "195814")</f>
        <v>195814</v>
      </c>
      <c r="D8604" t="str">
        <f>"dhs-3"</f>
        <v>dhs-3</v>
      </c>
      <c r="F8604" t="s">
        <v>11</v>
      </c>
      <c r="G8604" t="s">
        <v>489</v>
      </c>
      <c r="H8604" s="12">
        <v>1.2218767517159601</v>
      </c>
      <c r="I8604" s="20">
        <v>0.91455951748592401</v>
      </c>
      <c r="J8604" s="28">
        <v>0.36042291921499903</v>
      </c>
      <c r="K8604" s="29">
        <v>0.98289565623980701</v>
      </c>
    </row>
    <row r="8605" spans="1:11" x14ac:dyDescent="0.35">
      <c r="A8605" s="9" t="str">
        <f>HYPERLINK("http://www.ensembl.org/id/WBGene00000972", "WBGene00000972")</f>
        <v>WBGene00000972</v>
      </c>
      <c r="B8605" s="9" t="str">
        <f>HYPERLINK("http://www.ncbi.nlm.nih.gov/gene/175108", "175108")</f>
        <v>175108</v>
      </c>
      <c r="C8605" s="9" t="str">
        <f>HYPERLINK("http://www.ncbi.nlm.nih.gov/gene/51741", "51741")</f>
        <v>51741</v>
      </c>
      <c r="D8605" t="str">
        <f>"dhs-8"</f>
        <v>dhs-8</v>
      </c>
      <c r="E8605" t="s">
        <v>488</v>
      </c>
      <c r="F8605" t="s">
        <v>11</v>
      </c>
      <c r="G8605" t="s">
        <v>489</v>
      </c>
      <c r="H8605" s="12">
        <v>-1.1427926681782501</v>
      </c>
      <c r="I8605" s="20">
        <v>-0.328627908133239</v>
      </c>
      <c r="J8605" s="28">
        <v>0.74243695101594898</v>
      </c>
      <c r="K8605" s="29">
        <v>0.98289565623980701</v>
      </c>
    </row>
    <row r="8606" spans="1:11" x14ac:dyDescent="0.35">
      <c r="A8606" s="9" t="str">
        <f>HYPERLINK("http://www.ensembl.org/id/WBGene00000994", "WBGene00000994")</f>
        <v>WBGene00000994</v>
      </c>
      <c r="B8606" s="9" t="str">
        <f>HYPERLINK("http://www.ncbi.nlm.nih.gov/gene/24104403", "24104403")</f>
        <v>24104403</v>
      </c>
      <c r="C8606" s="9"/>
      <c r="D8606" t="str">
        <f>"dic-1"</f>
        <v>dic-1</v>
      </c>
      <c r="E8606" t="s">
        <v>6887</v>
      </c>
      <c r="F8606" t="s">
        <v>11</v>
      </c>
      <c r="G8606" t="s">
        <v>3314</v>
      </c>
      <c r="H8606" s="12">
        <v>-1.0942779898942601</v>
      </c>
      <c r="I8606" s="20">
        <v>-0.40435837555784998</v>
      </c>
      <c r="J8606" s="28">
        <v>0.68594920432822404</v>
      </c>
      <c r="K8606" s="29">
        <v>0.98289565623980701</v>
      </c>
    </row>
    <row r="8607" spans="1:11" x14ac:dyDescent="0.35">
      <c r="A8607" s="9" t="str">
        <f>HYPERLINK("http://www.ensembl.org/id/WBGene00017735", "WBGene00017735")</f>
        <v>WBGene00017735</v>
      </c>
      <c r="B8607" s="9" t="str">
        <f>HYPERLINK("http://www.ncbi.nlm.nih.gov/gene/171801", "171801")</f>
        <v>171801</v>
      </c>
      <c r="C8607" s="9"/>
      <c r="D8607" t="str">
        <f>"did-2"</f>
        <v>did-2</v>
      </c>
      <c r="E8607" t="s">
        <v>7030</v>
      </c>
      <c r="F8607" t="s">
        <v>11</v>
      </c>
      <c r="G8607" t="s">
        <v>7031</v>
      </c>
      <c r="H8607" s="12">
        <v>-1.1031792791513999</v>
      </c>
      <c r="I8607" s="20">
        <v>-0.54344151440335997</v>
      </c>
      <c r="J8607" s="28">
        <v>0.58682584888459199</v>
      </c>
      <c r="K8607" s="29">
        <v>0.98289565623980701</v>
      </c>
    </row>
    <row r="8608" spans="1:11" x14ac:dyDescent="0.35">
      <c r="A8608" s="9" t="str">
        <f>HYPERLINK("http://www.ensembl.org/id/WBGene00000995", "WBGene00000995")</f>
        <v>WBGene00000995</v>
      </c>
      <c r="B8608" s="9" t="str">
        <f>HYPERLINK("http://www.ncbi.nlm.nih.gov/gene/174569", "174569")</f>
        <v>174569</v>
      </c>
      <c r="C8608" s="9"/>
      <c r="D8608" t="str">
        <f>"die-1"</f>
        <v>die-1</v>
      </c>
      <c r="E8608" t="s">
        <v>6044</v>
      </c>
      <c r="F8608" t="s">
        <v>11</v>
      </c>
      <c r="G8608" t="s">
        <v>6045</v>
      </c>
      <c r="H8608" s="12">
        <v>1.07005369931121</v>
      </c>
      <c r="I8608" s="20">
        <v>0.32578849274365401</v>
      </c>
      <c r="J8608" s="28">
        <v>0.74458438562888896</v>
      </c>
      <c r="K8608" s="29">
        <v>0.98289565623980701</v>
      </c>
    </row>
    <row r="8609" spans="1:11" x14ac:dyDescent="0.35">
      <c r="A8609" s="9" t="str">
        <f>HYPERLINK("http://www.ensembl.org/id/WBGene00000996", "WBGene00000996")</f>
        <v>WBGene00000996</v>
      </c>
      <c r="B8609" s="9" t="str">
        <f>HYPERLINK("http://www.ncbi.nlm.nih.gov/gene/177530", "177530")</f>
        <v>177530</v>
      </c>
      <c r="C8609" s="9" t="str">
        <f>HYPERLINK("http://www.ncbi.nlm.nih.gov/gene/788", "788")</f>
        <v>788</v>
      </c>
      <c r="D8609" t="str">
        <f>"dif-1"</f>
        <v>dif-1</v>
      </c>
      <c r="F8609" t="s">
        <v>11</v>
      </c>
      <c r="G8609" t="s">
        <v>7561</v>
      </c>
      <c r="H8609" s="12">
        <v>-1.1331313100140299</v>
      </c>
      <c r="I8609" s="20">
        <v>-0.67353757711645001</v>
      </c>
      <c r="J8609" s="28">
        <v>0.50060535087097302</v>
      </c>
      <c r="K8609" s="29">
        <v>0.98289565623980701</v>
      </c>
    </row>
    <row r="8610" spans="1:11" x14ac:dyDescent="0.35">
      <c r="A8610" s="9" t="str">
        <f>HYPERLINK("http://www.ensembl.org/id/WBGene00017885", "WBGene00017885")</f>
        <v>WBGene00017885</v>
      </c>
      <c r="B8610" s="9" t="str">
        <f>HYPERLINK("http://www.ncbi.nlm.nih.gov/gene/3565539", "3565539")</f>
        <v>3565539</v>
      </c>
      <c r="C8610" s="9"/>
      <c r="D8610" t="str">
        <f>"dip-2"</f>
        <v>dip-2</v>
      </c>
      <c r="E8610" t="s">
        <v>5604</v>
      </c>
      <c r="F8610" t="s">
        <v>11</v>
      </c>
      <c r="H8610" s="12">
        <v>1.1367074714202401</v>
      </c>
      <c r="I8610" s="20">
        <v>0.70617267509757597</v>
      </c>
      <c r="J8610" s="28">
        <v>0.48008076093880803</v>
      </c>
      <c r="K8610" s="29">
        <v>0.98289565623980701</v>
      </c>
    </row>
    <row r="8611" spans="1:11" x14ac:dyDescent="0.35">
      <c r="A8611" s="9" t="str">
        <f>HYPERLINK("http://www.ensembl.org/id/WBGene00001001", "WBGene00001001")</f>
        <v>WBGene00001001</v>
      </c>
      <c r="B8611" s="9" t="str">
        <f>HYPERLINK("http://www.ncbi.nlm.nih.gov/gene/177875", "177875")</f>
        <v>177875</v>
      </c>
      <c r="C8611" s="9" t="str">
        <f>HYPERLINK("http://www.ncbi.nlm.nih.gov/gene/22894", "22894")</f>
        <v>22894</v>
      </c>
      <c r="D8611" t="str">
        <f>"dis-3"</f>
        <v>dis-3</v>
      </c>
      <c r="E8611" t="s">
        <v>8389</v>
      </c>
      <c r="F8611" t="s">
        <v>11</v>
      </c>
      <c r="G8611" t="s">
        <v>8390</v>
      </c>
      <c r="H8611" s="12">
        <v>-1.17476186590922</v>
      </c>
      <c r="I8611" s="20">
        <v>-0.75294747165190101</v>
      </c>
      <c r="J8611" s="28">
        <v>0.45148147990431098</v>
      </c>
      <c r="K8611" s="29">
        <v>0.98289565623980701</v>
      </c>
    </row>
    <row r="8612" spans="1:11" x14ac:dyDescent="0.35">
      <c r="A8612" s="9" t="str">
        <f>HYPERLINK("http://www.ensembl.org/id/WBGene00018612", "WBGene00018612")</f>
        <v>WBGene00018612</v>
      </c>
      <c r="B8612" s="9" t="str">
        <f>HYPERLINK("http://www.ncbi.nlm.nih.gov/gene/175748", "175748")</f>
        <v>175748</v>
      </c>
      <c r="C8612" s="9" t="str">
        <f>HYPERLINK("http://www.ncbi.nlm.nih.gov/gene/129563", "129563")</f>
        <v>129563</v>
      </c>
      <c r="D8612" t="str">
        <f>"disl-2"</f>
        <v>disl-2</v>
      </c>
      <c r="E8612" t="s">
        <v>8349</v>
      </c>
      <c r="F8612" t="s">
        <v>11</v>
      </c>
      <c r="G8612" t="s">
        <v>8350</v>
      </c>
      <c r="H8612" s="12">
        <v>-1.17276627669277</v>
      </c>
      <c r="I8612" s="20">
        <v>-0.73589486974810003</v>
      </c>
      <c r="J8612" s="28">
        <v>0.46179467963637399</v>
      </c>
      <c r="K8612" s="29">
        <v>0.98289565623980701</v>
      </c>
    </row>
    <row r="8613" spans="1:11" x14ac:dyDescent="0.35">
      <c r="A8613" s="9" t="str">
        <f>HYPERLINK("http://www.ensembl.org/id/WBGene00001002", "WBGene00001002")</f>
        <v>WBGene00001002</v>
      </c>
      <c r="B8613" s="9" t="str">
        <f>HYPERLINK("http://www.ncbi.nlm.nih.gov/gene/176439", "176439")</f>
        <v>176439</v>
      </c>
      <c r="C8613" s="9"/>
      <c r="D8613" t="str">
        <f>"div-1"</f>
        <v>div-1</v>
      </c>
      <c r="E8613" t="s">
        <v>6775</v>
      </c>
      <c r="F8613" t="s">
        <v>11</v>
      </c>
      <c r="G8613" t="s">
        <v>6776</v>
      </c>
      <c r="H8613" s="12">
        <v>-1.0884633641518</v>
      </c>
      <c r="I8613" s="20">
        <v>-0.33998992260555699</v>
      </c>
      <c r="J8613" s="28">
        <v>0.73386411696794895</v>
      </c>
      <c r="K8613" s="29">
        <v>0.98289565623980701</v>
      </c>
    </row>
    <row r="8614" spans="1:11" x14ac:dyDescent="0.35">
      <c r="A8614" s="9" t="str">
        <f>HYPERLINK("http://www.ensembl.org/id/WBGene00015184", "WBGene00015184")</f>
        <v>WBGene00015184</v>
      </c>
      <c r="B8614" s="9" t="str">
        <f>HYPERLINK("http://www.ncbi.nlm.nih.gov/gene/173416", "173416")</f>
        <v>173416</v>
      </c>
      <c r="C8614" s="9" t="str">
        <f>HYPERLINK("http://www.ncbi.nlm.nih.gov/gene/11315", "11315")</f>
        <v>11315</v>
      </c>
      <c r="D8614" t="str">
        <f>"djr-1.1"</f>
        <v>djr-1.1</v>
      </c>
      <c r="E8614" t="s">
        <v>9090</v>
      </c>
      <c r="F8614" t="s">
        <v>11</v>
      </c>
      <c r="H8614" s="12">
        <v>-1.2196738066433499</v>
      </c>
      <c r="I8614" s="20">
        <v>-0.99162305898432201</v>
      </c>
      <c r="J8614" s="28">
        <v>0.32138143648334599</v>
      </c>
      <c r="K8614" s="29">
        <v>0.98289565623980701</v>
      </c>
    </row>
    <row r="8615" spans="1:11" x14ac:dyDescent="0.35">
      <c r="A8615" s="9" t="str">
        <f>HYPERLINK("http://www.ensembl.org/id/WBGene00012352", "WBGene00012352")</f>
        <v>WBGene00012352</v>
      </c>
      <c r="B8615" s="9" t="str">
        <f>HYPERLINK("http://www.ncbi.nlm.nih.gov/gene/173234", "173234")</f>
        <v>173234</v>
      </c>
      <c r="C8615" s="9"/>
      <c r="D8615" t="str">
        <f>"dkf-1"</f>
        <v>dkf-1</v>
      </c>
      <c r="E8615" t="s">
        <v>5905</v>
      </c>
      <c r="F8615" t="s">
        <v>11</v>
      </c>
      <c r="G8615" t="s">
        <v>5906</v>
      </c>
      <c r="H8615" s="12">
        <v>1.08658525879583</v>
      </c>
      <c r="I8615" s="20">
        <v>0.409974458131872</v>
      </c>
      <c r="J8615" s="28">
        <v>0.68182468422045694</v>
      </c>
      <c r="K8615" s="29">
        <v>0.98289565623980701</v>
      </c>
    </row>
    <row r="8616" spans="1:11" x14ac:dyDescent="0.35">
      <c r="A8616" s="9" t="str">
        <f>HYPERLINK("http://www.ensembl.org/id/WBGene00012019", "WBGene00012019")</f>
        <v>WBGene00012019</v>
      </c>
      <c r="B8616" s="9" t="str">
        <f>HYPERLINK("http://www.ncbi.nlm.nih.gov/gene/180121", "180121")</f>
        <v>180121</v>
      </c>
      <c r="C8616" s="9" t="str">
        <f>HYPERLINK("http://www.ncbi.nlm.nih.gov/gene/23683", "23683")</f>
        <v>23683</v>
      </c>
      <c r="D8616" t="str">
        <f>"dkf-2"</f>
        <v>dkf-2</v>
      </c>
      <c r="E8616" t="s">
        <v>6583</v>
      </c>
      <c r="F8616" t="s">
        <v>11</v>
      </c>
      <c r="G8616" t="s">
        <v>5906</v>
      </c>
      <c r="H8616" s="12">
        <v>-1.0778141016938001</v>
      </c>
      <c r="I8616" s="20">
        <v>-0.41178835214806098</v>
      </c>
      <c r="J8616" s="28">
        <v>0.68049455952559501</v>
      </c>
      <c r="K8616" s="29">
        <v>0.98289565623980701</v>
      </c>
    </row>
    <row r="8617" spans="1:11" x14ac:dyDescent="0.35">
      <c r="A8617" s="9" t="str">
        <f>HYPERLINK("http://www.ensembl.org/id/WBGene00200170", "WBGene00200170")</f>
        <v>WBGene00200170</v>
      </c>
      <c r="B8617" s="9"/>
      <c r="C8617" s="9"/>
      <c r="D8617" t="str">
        <f>"DL2.2"</f>
        <v>DL2.2</v>
      </c>
      <c r="F8617" t="s">
        <v>481</v>
      </c>
      <c r="H8617" s="12">
        <v>-4.7167679298615104</v>
      </c>
      <c r="I8617" s="20">
        <v>-0.454742638005115</v>
      </c>
      <c r="J8617" s="28">
        <v>0.64929440216969203</v>
      </c>
      <c r="K8617" s="29">
        <v>0.98289565623980701</v>
      </c>
    </row>
    <row r="8618" spans="1:11" x14ac:dyDescent="0.35">
      <c r="A8618" s="9" t="str">
        <f>HYPERLINK("http://www.ensembl.org/id/WBGene00009082", "WBGene00009082")</f>
        <v>WBGene00009082</v>
      </c>
      <c r="B8618" s="9" t="str">
        <f>HYPERLINK("http://www.ncbi.nlm.nih.gov/gene/179945", "179945")</f>
        <v>179945</v>
      </c>
      <c r="C8618" s="9" t="str">
        <f>HYPERLINK("http://www.ncbi.nlm.nih.gov/gene/1737", "1737")</f>
        <v>1737</v>
      </c>
      <c r="D8618" t="str">
        <f>"dlat-1"</f>
        <v>dlat-1</v>
      </c>
      <c r="E8618" t="s">
        <v>7418</v>
      </c>
      <c r="F8618" t="s">
        <v>11</v>
      </c>
      <c r="G8618" t="s">
        <v>7419</v>
      </c>
      <c r="H8618" s="12">
        <v>-1.1243134239535599</v>
      </c>
      <c r="I8618" s="20">
        <v>-0.57934731229967795</v>
      </c>
      <c r="J8618" s="28">
        <v>0.56235484749130105</v>
      </c>
      <c r="K8618" s="29">
        <v>0.98289565623980701</v>
      </c>
    </row>
    <row r="8619" spans="1:11" x14ac:dyDescent="0.35">
      <c r="A8619" s="9" t="str">
        <f>HYPERLINK("http://www.ensembl.org/id/WBGene00001005", "WBGene00001005")</f>
        <v>WBGene00001005</v>
      </c>
      <c r="B8619" s="9" t="str">
        <f>HYPERLINK("http://www.ncbi.nlm.nih.gov/gene/175922", "175922")</f>
        <v>175922</v>
      </c>
      <c r="C8619" s="9" t="str">
        <f>HYPERLINK("http://www.ncbi.nlm.nih.gov/gene/140735", "140735")</f>
        <v>140735</v>
      </c>
      <c r="D8619" t="str">
        <f>"dlc-1"</f>
        <v>dlc-1</v>
      </c>
      <c r="E8619" t="s">
        <v>8701</v>
      </c>
      <c r="F8619" t="s">
        <v>11</v>
      </c>
      <c r="G8619" t="s">
        <v>8702</v>
      </c>
      <c r="H8619" s="12">
        <v>-1.1922876218871901</v>
      </c>
      <c r="I8619" s="20">
        <v>-0.95813258859615702</v>
      </c>
      <c r="J8619" s="28">
        <v>0.337995904353804</v>
      </c>
      <c r="K8619" s="29">
        <v>0.98289565623980701</v>
      </c>
    </row>
    <row r="8620" spans="1:11" x14ac:dyDescent="0.35">
      <c r="A8620" s="9" t="str">
        <f>HYPERLINK("http://www.ensembl.org/id/WBGene00010888", "WBGene00010888")</f>
        <v>WBGene00010888</v>
      </c>
      <c r="B8620" s="9" t="str">
        <f>HYPERLINK("http://www.ncbi.nlm.nih.gov/gene/187460", "187460")</f>
        <v>187460</v>
      </c>
      <c r="C8620" s="9"/>
      <c r="D8620" t="str">
        <f>"dlc-2"</f>
        <v>dlc-2</v>
      </c>
      <c r="E8620" t="s">
        <v>9352</v>
      </c>
      <c r="F8620" t="s">
        <v>11</v>
      </c>
      <c r="G8620" t="s">
        <v>8702</v>
      </c>
      <c r="H8620" s="12">
        <v>-1.2403320179200901</v>
      </c>
      <c r="I8620" s="20">
        <v>-0.87861739449062004</v>
      </c>
      <c r="J8620" s="28">
        <v>0.379608761187892</v>
      </c>
      <c r="K8620" s="29">
        <v>0.98289565623980701</v>
      </c>
    </row>
    <row r="8621" spans="1:11" x14ac:dyDescent="0.35">
      <c r="A8621" s="9" t="str">
        <f>HYPERLINK("http://www.ensembl.org/id/WBGene00012424", "WBGene00012424")</f>
        <v>WBGene00012424</v>
      </c>
      <c r="B8621" s="9" t="str">
        <f>HYPERLINK("http://www.ncbi.nlm.nih.gov/gene/259606", "259606")</f>
        <v>259606</v>
      </c>
      <c r="C8621" s="9"/>
      <c r="D8621" t="str">
        <f>"dlc-3"</f>
        <v>dlc-3</v>
      </c>
      <c r="E8621" t="s">
        <v>4373</v>
      </c>
      <c r="F8621" t="s">
        <v>11</v>
      </c>
      <c r="G8621" t="s">
        <v>4374</v>
      </c>
      <c r="H8621" s="12">
        <v>-1.2346075996268699</v>
      </c>
      <c r="I8621" s="20">
        <v>-0.75968776431386098</v>
      </c>
      <c r="J8621" s="28">
        <v>0.44744124427971699</v>
      </c>
      <c r="K8621" s="29">
        <v>0.98289565623980701</v>
      </c>
    </row>
    <row r="8622" spans="1:11" x14ac:dyDescent="0.35">
      <c r="A8622" s="9" t="str">
        <f>HYPERLINK("http://www.ensembl.org/id/WBGene00012425", "WBGene00012425")</f>
        <v>WBGene00012425</v>
      </c>
      <c r="B8622" s="9" t="str">
        <f>HYPERLINK("http://www.ncbi.nlm.nih.gov/gene/3565151", "3565151")</f>
        <v>3565151</v>
      </c>
      <c r="C8622" s="9"/>
      <c r="D8622" t="str">
        <f>"dlc-4"</f>
        <v>dlc-4</v>
      </c>
      <c r="E8622" t="s">
        <v>4373</v>
      </c>
      <c r="F8622" t="s">
        <v>11</v>
      </c>
      <c r="G8622" t="s">
        <v>4374</v>
      </c>
      <c r="H8622" s="12">
        <v>2.4648567666515899</v>
      </c>
      <c r="I8622" s="20">
        <v>0.60853716300139904</v>
      </c>
      <c r="J8622" s="28">
        <v>0.54283126587197295</v>
      </c>
      <c r="K8622" s="29">
        <v>0.98289565623980701</v>
      </c>
    </row>
    <row r="8623" spans="1:11" x14ac:dyDescent="0.35">
      <c r="A8623" s="9" t="str">
        <f>HYPERLINK("http://www.ensembl.org/id/WBGene00043067", "WBGene00043067")</f>
        <v>WBGene00043067</v>
      </c>
      <c r="B8623" s="9" t="str">
        <f>HYPERLINK("http://www.ncbi.nlm.nih.gov/gene/3565343", "3565343")</f>
        <v>3565343</v>
      </c>
      <c r="C8623" s="9"/>
      <c r="D8623" t="str">
        <f>"dlc-5"</f>
        <v>dlc-5</v>
      </c>
      <c r="E8623" t="s">
        <v>4763</v>
      </c>
      <c r="F8623" t="s">
        <v>11</v>
      </c>
      <c r="G8623" t="s">
        <v>4764</v>
      </c>
      <c r="H8623" s="12">
        <v>1.4024887231922001</v>
      </c>
      <c r="I8623" s="20">
        <v>0.863530686970579</v>
      </c>
      <c r="J8623" s="28">
        <v>0.38784575481940398</v>
      </c>
      <c r="K8623" s="29">
        <v>0.98289565623980701</v>
      </c>
    </row>
    <row r="8624" spans="1:11" x14ac:dyDescent="0.35">
      <c r="A8624" s="9" t="str">
        <f>HYPERLINK("http://www.ensembl.org/id/WBGene00010794", "WBGene00010794")</f>
        <v>WBGene00010794</v>
      </c>
      <c r="B8624" s="9" t="str">
        <f>HYPERLINK("http://www.ncbi.nlm.nih.gov/gene/178387", "178387")</f>
        <v>178387</v>
      </c>
      <c r="C8624" s="9" t="str">
        <f>HYPERLINK("http://www.ncbi.nlm.nih.gov/gene/1738", "1738")</f>
        <v>1738</v>
      </c>
      <c r="D8624" t="str">
        <f>"dld-1"</f>
        <v>dld-1</v>
      </c>
      <c r="E8624" t="s">
        <v>8029</v>
      </c>
      <c r="F8624" t="s">
        <v>11</v>
      </c>
      <c r="G8624" t="s">
        <v>8030</v>
      </c>
      <c r="H8624" s="12">
        <v>-1.1571499699560299</v>
      </c>
      <c r="I8624" s="20">
        <v>-0.77998841840654498</v>
      </c>
      <c r="J8624" s="28">
        <v>0.43539769224467101</v>
      </c>
      <c r="K8624" s="29">
        <v>0.98289565623980701</v>
      </c>
    </row>
    <row r="8625" spans="1:11" x14ac:dyDescent="0.35">
      <c r="A8625" s="9" t="str">
        <f>HYPERLINK("http://www.ensembl.org/id/WBGene00001006", "WBGene00001006")</f>
        <v>WBGene00001006</v>
      </c>
      <c r="B8625" s="9" t="str">
        <f>HYPERLINK("http://www.ncbi.nlm.nih.gov/gene/180819", "180819")</f>
        <v>180819</v>
      </c>
      <c r="C8625" s="9" t="str">
        <f>HYPERLINK("http://www.ncbi.nlm.nih.gov/gene/1740", "1740")</f>
        <v>1740</v>
      </c>
      <c r="D8625" t="str">
        <f>"dlg-1"</f>
        <v>dlg-1</v>
      </c>
      <c r="E8625" t="s">
        <v>5823</v>
      </c>
      <c r="F8625" t="s">
        <v>11</v>
      </c>
      <c r="G8625" t="s">
        <v>54</v>
      </c>
      <c r="H8625" s="12">
        <v>1.0962522960707599</v>
      </c>
      <c r="I8625" s="20">
        <v>0.50872847236686003</v>
      </c>
      <c r="J8625" s="28">
        <v>0.61094256206025899</v>
      </c>
      <c r="K8625" s="29">
        <v>0.98289565623980701</v>
      </c>
    </row>
    <row r="8626" spans="1:11" x14ac:dyDescent="0.35">
      <c r="A8626" s="9" t="str">
        <f>HYPERLINK("http://www.ensembl.org/id/WBGene00001007", "WBGene00001007")</f>
        <v>WBGene00001007</v>
      </c>
      <c r="B8626" s="9" t="str">
        <f>HYPERLINK("http://www.ncbi.nlm.nih.gov/gene/178260", "178260")</f>
        <v>178260</v>
      </c>
      <c r="C8626" s="9" t="str">
        <f>HYPERLINK("http://www.ncbi.nlm.nih.gov/gene/1783", "1783")</f>
        <v>1783</v>
      </c>
      <c r="D8626" t="str">
        <f>"dli-1"</f>
        <v>dli-1</v>
      </c>
      <c r="E8626" t="s">
        <v>6720</v>
      </c>
      <c r="F8626" t="s">
        <v>11</v>
      </c>
      <c r="G8626" t="s">
        <v>6721</v>
      </c>
      <c r="H8626" s="12">
        <v>-1.08602043906127</v>
      </c>
      <c r="I8626" s="20">
        <v>-0.431725708420094</v>
      </c>
      <c r="J8626" s="28">
        <v>0.66594078021381398</v>
      </c>
      <c r="K8626" s="29">
        <v>0.98289565623980701</v>
      </c>
    </row>
    <row r="8627" spans="1:11" x14ac:dyDescent="0.35">
      <c r="A8627" s="9" t="str">
        <f>HYPERLINK("http://www.ensembl.org/id/WBGene00001008", "WBGene00001008")</f>
        <v>WBGene00001008</v>
      </c>
      <c r="B8627" s="9" t="str">
        <f>HYPERLINK("http://www.ncbi.nlm.nih.gov/gene/173128", "173128")</f>
        <v>173128</v>
      </c>
      <c r="C8627" s="9"/>
      <c r="D8627" t="str">
        <f>"dlk-1"</f>
        <v>dlk-1</v>
      </c>
      <c r="E8627" t="s">
        <v>7931</v>
      </c>
      <c r="F8627" t="s">
        <v>11</v>
      </c>
      <c r="G8627" t="s">
        <v>7932</v>
      </c>
      <c r="H8627" s="12">
        <v>-1.151681115888</v>
      </c>
      <c r="I8627" s="20">
        <v>-0.78059226882962296</v>
      </c>
      <c r="J8627" s="28">
        <v>0.43504234031322397</v>
      </c>
      <c r="K8627" s="29">
        <v>0.98289565623980701</v>
      </c>
    </row>
    <row r="8628" spans="1:11" x14ac:dyDescent="0.35">
      <c r="A8628" s="9" t="str">
        <f>HYPERLINK("http://www.ensembl.org/id/WBGene00020950", "WBGene00020950")</f>
        <v>WBGene00020950</v>
      </c>
      <c r="B8628" s="9" t="str">
        <f>HYPERLINK("http://www.ncbi.nlm.nih.gov/gene/179063", "179063")</f>
        <v>179063</v>
      </c>
      <c r="C8628" s="9" t="str">
        <f>HYPERLINK("http://www.ncbi.nlm.nih.gov/gene/1743", "1743")</f>
        <v>1743</v>
      </c>
      <c r="D8628" t="str">
        <f>"dlst-1"</f>
        <v>dlst-1</v>
      </c>
      <c r="E8628" t="s">
        <v>6313</v>
      </c>
      <c r="F8628" t="s">
        <v>11</v>
      </c>
      <c r="G8628" t="s">
        <v>6314</v>
      </c>
      <c r="H8628" s="12">
        <v>-1.0621917347622001</v>
      </c>
      <c r="I8628" s="20">
        <v>-0.31517801632787701</v>
      </c>
      <c r="J8628" s="28">
        <v>0.75262649601162201</v>
      </c>
      <c r="K8628" s="29">
        <v>0.98289565623980701</v>
      </c>
    </row>
    <row r="8629" spans="1:11" x14ac:dyDescent="0.35">
      <c r="A8629" s="9" t="str">
        <f>HYPERLINK("http://www.ensembl.org/id/WBGene00007929", "WBGene00007929")</f>
        <v>WBGene00007929</v>
      </c>
      <c r="B8629" s="9" t="str">
        <f>HYPERLINK("http://www.ncbi.nlm.nih.gov/gene/183202", "183202")</f>
        <v>183202</v>
      </c>
      <c r="C8629" s="9"/>
      <c r="D8629" t="str">
        <f>"dmd-10"</f>
        <v>dmd-10</v>
      </c>
      <c r="E8629" t="s">
        <v>780</v>
      </c>
      <c r="F8629" t="s">
        <v>11</v>
      </c>
      <c r="G8629" t="s">
        <v>781</v>
      </c>
      <c r="H8629" s="12">
        <v>-1.3125933987107099</v>
      </c>
      <c r="I8629" s="20">
        <v>-0.94003291101655995</v>
      </c>
      <c r="J8629" s="28">
        <v>0.34720067947633898</v>
      </c>
      <c r="K8629" s="29">
        <v>0.98289565623980701</v>
      </c>
    </row>
    <row r="8630" spans="1:11" x14ac:dyDescent="0.35">
      <c r="A8630" s="9" t="str">
        <f>HYPERLINK("http://www.ensembl.org/id/WBGene00012832", "WBGene00012832")</f>
        <v>WBGene00012832</v>
      </c>
      <c r="B8630" s="9" t="str">
        <f>HYPERLINK("http://www.ncbi.nlm.nih.gov/gene/189878", "189878")</f>
        <v>189878</v>
      </c>
      <c r="C8630" s="9"/>
      <c r="D8630" t="str">
        <f>"dmd-3"</f>
        <v>dmd-3</v>
      </c>
      <c r="E8630" t="s">
        <v>780</v>
      </c>
      <c r="F8630" t="s">
        <v>11</v>
      </c>
      <c r="G8630" t="s">
        <v>4395</v>
      </c>
      <c r="H8630" s="12">
        <v>2.4090404009889999</v>
      </c>
      <c r="I8630" s="20">
        <v>0.39278149808262902</v>
      </c>
      <c r="J8630" s="28">
        <v>0.69448087107453704</v>
      </c>
      <c r="K8630" s="29">
        <v>0.98289565623980701</v>
      </c>
    </row>
    <row r="8631" spans="1:11" x14ac:dyDescent="0.35">
      <c r="A8631" s="9" t="str">
        <f>HYPERLINK("http://www.ensembl.org/id/WBGene00007776", "WBGene00007776")</f>
        <v>WBGene00007776</v>
      </c>
      <c r="B8631" s="9" t="str">
        <f>HYPERLINK("http://www.ncbi.nlm.nih.gov/gene/181581", "181581")</f>
        <v>181581</v>
      </c>
      <c r="C8631" s="9"/>
      <c r="D8631" t="str">
        <f>"dmd-4"</f>
        <v>dmd-4</v>
      </c>
      <c r="E8631" t="s">
        <v>780</v>
      </c>
      <c r="F8631" t="s">
        <v>11</v>
      </c>
      <c r="G8631" t="s">
        <v>781</v>
      </c>
      <c r="H8631" s="12">
        <v>1.42793898475488</v>
      </c>
      <c r="I8631" s="20">
        <v>1.1031361583882</v>
      </c>
      <c r="J8631" s="28">
        <v>0.269968040505211</v>
      </c>
      <c r="K8631" s="29">
        <v>0.98289565623980701</v>
      </c>
    </row>
    <row r="8632" spans="1:11" x14ac:dyDescent="0.35">
      <c r="A8632" s="9" t="str">
        <f>HYPERLINK("http://www.ensembl.org/id/WBGene00007058", "WBGene00007058")</f>
        <v>WBGene00007058</v>
      </c>
      <c r="B8632" s="9" t="str">
        <f>HYPERLINK("http://www.ncbi.nlm.nih.gov/gene/178392", "178392")</f>
        <v>178392</v>
      </c>
      <c r="C8632" s="9"/>
      <c r="D8632" t="str">
        <f>"dmd-6"</f>
        <v>dmd-6</v>
      </c>
      <c r="E8632" t="s">
        <v>780</v>
      </c>
      <c r="F8632" t="s">
        <v>11</v>
      </c>
      <c r="G8632" t="s">
        <v>781</v>
      </c>
      <c r="H8632" s="12">
        <v>1.09041800935421</v>
      </c>
      <c r="I8632" s="20">
        <v>0.46811850064934002</v>
      </c>
      <c r="J8632" s="28">
        <v>0.63969984973979599</v>
      </c>
      <c r="K8632" s="29">
        <v>0.98289565623980701</v>
      </c>
    </row>
    <row r="8633" spans="1:11" x14ac:dyDescent="0.35">
      <c r="A8633" s="9" t="str">
        <f>HYPERLINK("http://www.ensembl.org/id/WBGene00020708", "WBGene00020708")</f>
        <v>WBGene00020708</v>
      </c>
      <c r="B8633" s="9" t="str">
        <f>HYPERLINK("http://www.ncbi.nlm.nih.gov/gene/188771", "188771")</f>
        <v>188771</v>
      </c>
      <c r="C8633" s="9"/>
      <c r="D8633" t="str">
        <f>"dmd-8"</f>
        <v>dmd-8</v>
      </c>
      <c r="E8633" t="s">
        <v>780</v>
      </c>
      <c r="F8633" t="s">
        <v>11</v>
      </c>
      <c r="G8633" t="s">
        <v>781</v>
      </c>
      <c r="H8633" s="12">
        <v>2.43859660387833</v>
      </c>
      <c r="I8633" s="20">
        <v>0.94554142661073604</v>
      </c>
      <c r="J8633" s="28">
        <v>0.34438253165362498</v>
      </c>
      <c r="K8633" s="29">
        <v>0.98289565623980701</v>
      </c>
    </row>
    <row r="8634" spans="1:11" x14ac:dyDescent="0.35">
      <c r="A8634" s="9" t="str">
        <f>HYPERLINK("http://www.ensembl.org/id/WBGene00021871", "WBGene00021871")</f>
        <v>WBGene00021871</v>
      </c>
      <c r="B8634" s="9" t="str">
        <f>HYPERLINK("http://www.ncbi.nlm.nih.gov/gene/177071", "177071")</f>
        <v>177071</v>
      </c>
      <c r="C8634" s="9"/>
      <c r="D8634" t="str">
        <f>"dml-1"</f>
        <v>dml-1</v>
      </c>
      <c r="E8634" t="s">
        <v>4630</v>
      </c>
      <c r="F8634" t="s">
        <v>11</v>
      </c>
      <c r="H8634" s="12">
        <v>1.5719218727944999</v>
      </c>
      <c r="I8634" s="20">
        <v>0.780417905723232</v>
      </c>
      <c r="J8634" s="28">
        <v>0.435144931752807</v>
      </c>
      <c r="K8634" s="29">
        <v>0.98289565623980701</v>
      </c>
    </row>
    <row r="8635" spans="1:11" x14ac:dyDescent="0.35">
      <c r="A8635" s="9" t="str">
        <f>HYPERLINK("http://www.ensembl.org/id/WBGene00019262", "WBGene00019262")</f>
        <v>WBGene00019262</v>
      </c>
      <c r="B8635" s="9" t="str">
        <f>HYPERLINK("http://www.ncbi.nlm.nih.gov/gene/186799", "186799")</f>
        <v>186799</v>
      </c>
      <c r="C8635" s="9"/>
      <c r="D8635" t="str">
        <f>"dmsr-12"</f>
        <v>dmsr-12</v>
      </c>
      <c r="E8635" t="s">
        <v>996</v>
      </c>
      <c r="F8635" t="s">
        <v>11</v>
      </c>
      <c r="G8635" t="s">
        <v>1015</v>
      </c>
      <c r="H8635" s="12">
        <v>2.29526665748419</v>
      </c>
      <c r="I8635" s="20">
        <v>0.985580105670669</v>
      </c>
      <c r="J8635" s="28">
        <v>0.32433920445493403</v>
      </c>
      <c r="K8635" s="29">
        <v>0.98289565623980701</v>
      </c>
    </row>
    <row r="8636" spans="1:11" x14ac:dyDescent="0.35">
      <c r="A8636" s="9" t="str">
        <f>HYPERLINK("http://www.ensembl.org/id/WBGene00020524", "WBGene00020524")</f>
        <v>WBGene00020524</v>
      </c>
      <c r="B8636" s="9" t="str">
        <f>HYPERLINK("http://www.ncbi.nlm.nih.gov/gene/188522", "188522")</f>
        <v>188522</v>
      </c>
      <c r="C8636" s="9"/>
      <c r="D8636" t="str">
        <f>"dmsr-13"</f>
        <v>dmsr-13</v>
      </c>
      <c r="E8636" t="s">
        <v>996</v>
      </c>
      <c r="F8636" t="s">
        <v>11</v>
      </c>
      <c r="G8636" t="s">
        <v>1015</v>
      </c>
      <c r="H8636" s="12">
        <v>-2.7219174382296298</v>
      </c>
      <c r="I8636" s="20">
        <v>-0.65985232483772305</v>
      </c>
      <c r="J8636" s="28">
        <v>0.50934860118933201</v>
      </c>
      <c r="K8636" s="29">
        <v>0.98289565623980701</v>
      </c>
    </row>
    <row r="8637" spans="1:11" x14ac:dyDescent="0.35">
      <c r="A8637" s="9" t="str">
        <f>HYPERLINK("http://www.ensembl.org/id/WBGene00020523", "WBGene00020523")</f>
        <v>WBGene00020523</v>
      </c>
      <c r="B8637" s="9" t="str">
        <f>HYPERLINK("http://www.ncbi.nlm.nih.gov/gene/188521", "188521")</f>
        <v>188521</v>
      </c>
      <c r="C8637" s="9"/>
      <c r="D8637" t="str">
        <f>"dmsr-14"</f>
        <v>dmsr-14</v>
      </c>
      <c r="E8637" t="s">
        <v>996</v>
      </c>
      <c r="F8637" t="s">
        <v>11</v>
      </c>
      <c r="G8637" t="s">
        <v>1780</v>
      </c>
      <c r="H8637" s="12">
        <v>-4.1082646955495097</v>
      </c>
      <c r="I8637" s="20">
        <v>-0.53813647299058498</v>
      </c>
      <c r="J8637" s="28">
        <v>0.590482833850832</v>
      </c>
      <c r="K8637" s="29">
        <v>0.98289565623980701</v>
      </c>
    </row>
    <row r="8638" spans="1:11" x14ac:dyDescent="0.35">
      <c r="A8638" s="9" t="str">
        <f>HYPERLINK("http://www.ensembl.org/id/WBGene00194821", "WBGene00194821")</f>
        <v>WBGene00194821</v>
      </c>
      <c r="B8638" s="9" t="str">
        <f>HYPERLINK("http://www.ncbi.nlm.nih.gov/gene/13213403", "13213403")</f>
        <v>13213403</v>
      </c>
      <c r="C8638" s="9"/>
      <c r="D8638" t="str">
        <f>"dmsr-16"</f>
        <v>dmsr-16</v>
      </c>
      <c r="E8638" t="s">
        <v>996</v>
      </c>
      <c r="F8638" t="s">
        <v>11</v>
      </c>
      <c r="G8638" t="s">
        <v>1780</v>
      </c>
      <c r="H8638" s="12">
        <v>-1.88264058287908</v>
      </c>
      <c r="I8638" s="20">
        <v>-0.80196865614948498</v>
      </c>
      <c r="J8638" s="28">
        <v>0.42257108950224198</v>
      </c>
      <c r="K8638" s="29">
        <v>0.98289565623980701</v>
      </c>
    </row>
    <row r="8639" spans="1:11" x14ac:dyDescent="0.35">
      <c r="A8639" s="9" t="str">
        <f>HYPERLINK("http://www.ensembl.org/id/WBGene00021275", "WBGene00021275")</f>
        <v>WBGene00021275</v>
      </c>
      <c r="B8639" s="9" t="str">
        <f>HYPERLINK("http://www.ncbi.nlm.nih.gov/gene/189527", "189527")</f>
        <v>189527</v>
      </c>
      <c r="C8639" s="9"/>
      <c r="D8639" t="str">
        <f>"dmsr-2"</f>
        <v>dmsr-2</v>
      </c>
      <c r="E8639" t="s">
        <v>996</v>
      </c>
      <c r="F8639" t="s">
        <v>11</v>
      </c>
      <c r="G8639" t="s">
        <v>1780</v>
      </c>
      <c r="H8639" s="12">
        <v>1.12094695113646</v>
      </c>
      <c r="I8639" s="20">
        <v>0.40653089011184601</v>
      </c>
      <c r="J8639" s="28">
        <v>0.68435256486461504</v>
      </c>
      <c r="K8639" s="29">
        <v>0.98289565623980701</v>
      </c>
    </row>
    <row r="8640" spans="1:11" x14ac:dyDescent="0.35">
      <c r="A8640" s="9" t="str">
        <f>HYPERLINK("http://www.ensembl.org/id/WBGene00017038", "WBGene00017038")</f>
        <v>WBGene00017038</v>
      </c>
      <c r="B8640" s="9" t="str">
        <f>HYPERLINK("http://www.ncbi.nlm.nih.gov/gene/183924", "183924")</f>
        <v>183924</v>
      </c>
      <c r="C8640" s="9"/>
      <c r="D8640" t="str">
        <f>"dmsr-4"</f>
        <v>dmsr-4</v>
      </c>
      <c r="E8640" t="s">
        <v>996</v>
      </c>
      <c r="F8640" t="s">
        <v>11</v>
      </c>
      <c r="G8640" t="s">
        <v>1780</v>
      </c>
      <c r="H8640" s="12">
        <v>-1.1072234886011501</v>
      </c>
      <c r="I8640" s="20">
        <v>-0.27572852267699799</v>
      </c>
      <c r="J8640" s="28">
        <v>0.78275658659811198</v>
      </c>
      <c r="K8640" s="29">
        <v>0.98289565623980701</v>
      </c>
    </row>
    <row r="8641" spans="1:11" x14ac:dyDescent="0.35">
      <c r="A8641" s="9" t="str">
        <f>HYPERLINK("http://www.ensembl.org/id/WBGene00012962", "WBGene00012962")</f>
        <v>WBGene00012962</v>
      </c>
      <c r="B8641" s="9" t="str">
        <f>HYPERLINK("http://www.ncbi.nlm.nih.gov/gene/190009", "190009")</f>
        <v>190009</v>
      </c>
      <c r="C8641" s="9"/>
      <c r="D8641" t="str">
        <f>"dmsr-5"</f>
        <v>dmsr-5</v>
      </c>
      <c r="E8641" t="s">
        <v>996</v>
      </c>
      <c r="F8641" t="s">
        <v>11</v>
      </c>
      <c r="G8641" t="s">
        <v>1015</v>
      </c>
      <c r="H8641" s="12">
        <v>1.33914289725631</v>
      </c>
      <c r="I8641" s="20">
        <v>0.75702428584631998</v>
      </c>
      <c r="J8641" s="28">
        <v>0.44903531278186598</v>
      </c>
      <c r="K8641" s="29">
        <v>0.98289565623980701</v>
      </c>
    </row>
    <row r="8642" spans="1:11" x14ac:dyDescent="0.35">
      <c r="A8642" s="9" t="str">
        <f>HYPERLINK("http://www.ensembl.org/id/WBGene00013222", "WBGene00013222")</f>
        <v>WBGene00013222</v>
      </c>
      <c r="B8642" s="9" t="str">
        <f>HYPERLINK("http://www.ncbi.nlm.nih.gov/gene/190297", "190297")</f>
        <v>190297</v>
      </c>
      <c r="C8642" s="9"/>
      <c r="D8642" t="str">
        <f>"dmsr-6"</f>
        <v>dmsr-6</v>
      </c>
      <c r="E8642" t="s">
        <v>996</v>
      </c>
      <c r="F8642" t="s">
        <v>11</v>
      </c>
      <c r="G8642" t="s">
        <v>1780</v>
      </c>
      <c r="H8642" s="12">
        <v>1.1624392207569201</v>
      </c>
      <c r="I8642" s="20">
        <v>0.46814226392201802</v>
      </c>
      <c r="J8642" s="28">
        <v>0.63968285715867901</v>
      </c>
      <c r="K8642" s="29">
        <v>0.98289565623980701</v>
      </c>
    </row>
    <row r="8643" spans="1:11" x14ac:dyDescent="0.35">
      <c r="A8643" s="9" t="str">
        <f>HYPERLINK("http://www.ensembl.org/id/WBGene00016428", "WBGene00016428")</f>
        <v>WBGene00016428</v>
      </c>
      <c r="B8643" s="9" t="str">
        <f>HYPERLINK("http://www.ncbi.nlm.nih.gov/gene/178922", "178922")</f>
        <v>178922</v>
      </c>
      <c r="C8643" s="9"/>
      <c r="D8643" t="str">
        <f>"dmsr-7"</f>
        <v>dmsr-7</v>
      </c>
      <c r="E8643" t="s">
        <v>996</v>
      </c>
      <c r="F8643" t="s">
        <v>11</v>
      </c>
      <c r="G8643" t="s">
        <v>1780</v>
      </c>
      <c r="H8643" s="12">
        <v>1.3089616443677401</v>
      </c>
      <c r="I8643" s="20">
        <v>0.962258785753769</v>
      </c>
      <c r="J8643" s="28">
        <v>0.33591962626416699</v>
      </c>
      <c r="K8643" s="29">
        <v>0.98289565623980701</v>
      </c>
    </row>
    <row r="8644" spans="1:11" x14ac:dyDescent="0.35">
      <c r="A8644" s="9" t="str">
        <f>HYPERLINK("http://www.ensembl.org/id/WBGene00022606", "WBGene00022606")</f>
        <v>WBGene00022606</v>
      </c>
      <c r="B8644" s="9" t="str">
        <f>HYPERLINK("http://www.ncbi.nlm.nih.gov/gene/260186", "260186")</f>
        <v>260186</v>
      </c>
      <c r="C8644" s="9"/>
      <c r="D8644" t="str">
        <f>"dmsr-9"</f>
        <v>dmsr-9</v>
      </c>
      <c r="E8644" t="s">
        <v>996</v>
      </c>
      <c r="F8644" t="s">
        <v>11</v>
      </c>
      <c r="G8644" t="s">
        <v>1015</v>
      </c>
      <c r="H8644" s="12">
        <v>-1.9445881001983401</v>
      </c>
      <c r="I8644" s="20">
        <v>-0.46456885630582401</v>
      </c>
      <c r="J8644" s="28">
        <v>0.64224023929343799</v>
      </c>
      <c r="K8644" s="29">
        <v>0.98289565623980701</v>
      </c>
    </row>
    <row r="8645" spans="1:11" x14ac:dyDescent="0.35">
      <c r="A8645" s="9" t="str">
        <f>HYPERLINK("http://www.ensembl.org/id/WBGene00001018", "WBGene00001018")</f>
        <v>WBGene00001018</v>
      </c>
      <c r="B8645" s="9" t="str">
        <f>HYPERLINK("http://www.ncbi.nlm.nih.gov/gene/175837", "175837")</f>
        <v>175837</v>
      </c>
      <c r="C8645" s="9" t="str">
        <f>HYPERLINK("http://www.ncbi.nlm.nih.gov/gene/10540", "10540")</f>
        <v>10540</v>
      </c>
      <c r="D8645" t="str">
        <f>"dnc-2"</f>
        <v>dnc-2</v>
      </c>
      <c r="E8645" t="s">
        <v>7227</v>
      </c>
      <c r="F8645" t="s">
        <v>11</v>
      </c>
      <c r="G8645" t="s">
        <v>7228</v>
      </c>
      <c r="H8645" s="12">
        <v>-1.1144019019987601</v>
      </c>
      <c r="I8645" s="20">
        <v>-0.56977132059802704</v>
      </c>
      <c r="J8645" s="28">
        <v>0.56883280969053895</v>
      </c>
      <c r="K8645" s="29">
        <v>0.98289565623980701</v>
      </c>
    </row>
    <row r="8646" spans="1:11" x14ac:dyDescent="0.35">
      <c r="A8646" s="9" t="str">
        <f>HYPERLINK("http://www.ensembl.org/id/WBGene00021149", "WBGene00021149")</f>
        <v>WBGene00021149</v>
      </c>
      <c r="B8646" s="9" t="str">
        <f>HYPERLINK("http://www.ncbi.nlm.nih.gov/gene/189346", "189346")</f>
        <v>189346</v>
      </c>
      <c r="C8646" s="9"/>
      <c r="D8646" t="str">
        <f>"dnc-3"</f>
        <v>dnc-3</v>
      </c>
      <c r="E8646" t="s">
        <v>6319</v>
      </c>
      <c r="F8646" t="s">
        <v>11</v>
      </c>
      <c r="G8646" t="s">
        <v>2749</v>
      </c>
      <c r="H8646" s="12">
        <v>-1.06241167110052</v>
      </c>
      <c r="I8646" s="20">
        <v>-0.26663883666445798</v>
      </c>
      <c r="J8646" s="28">
        <v>0.78974725049190597</v>
      </c>
      <c r="K8646" s="29">
        <v>0.98289565623980701</v>
      </c>
    </row>
    <row r="8647" spans="1:11" x14ac:dyDescent="0.35">
      <c r="A8647" s="9" t="str">
        <f>HYPERLINK("http://www.ensembl.org/id/WBGene00016124", "WBGene00016124")</f>
        <v>WBGene00016124</v>
      </c>
      <c r="B8647" s="9" t="str">
        <f>HYPERLINK("http://www.ncbi.nlm.nih.gov/gene/177600", "177600")</f>
        <v>177600</v>
      </c>
      <c r="C8647" s="9" t="str">
        <f>HYPERLINK("http://www.ncbi.nlm.nih.gov/gene/51164", "51164")</f>
        <v>51164</v>
      </c>
      <c r="D8647" t="str">
        <f>"dnc-4"</f>
        <v>dnc-4</v>
      </c>
      <c r="E8647" t="s">
        <v>6319</v>
      </c>
      <c r="F8647" t="s">
        <v>11</v>
      </c>
      <c r="G8647" t="s">
        <v>2749</v>
      </c>
      <c r="H8647" s="12">
        <v>-1.2356943893776899</v>
      </c>
      <c r="I8647" s="20">
        <v>-0.97743592975003402</v>
      </c>
      <c r="J8647" s="28">
        <v>0.32835338252846502</v>
      </c>
      <c r="K8647" s="29">
        <v>0.98289565623980701</v>
      </c>
    </row>
    <row r="8648" spans="1:11" x14ac:dyDescent="0.35">
      <c r="A8648" s="9" t="str">
        <f>HYPERLINK("http://www.ensembl.org/id/WBGene00001019", "WBGene00001019")</f>
        <v>WBGene00001019</v>
      </c>
      <c r="B8648" s="9" t="str">
        <f>HYPERLINK("http://www.ncbi.nlm.nih.gov/gene/178040", "178040")</f>
        <v>178040</v>
      </c>
      <c r="C8648" s="9" t="str">
        <f>HYPERLINK("http://www.ncbi.nlm.nih.gov/gene/54788", "54788")</f>
        <v>54788</v>
      </c>
      <c r="D8648" t="str">
        <f>"dnj-1"</f>
        <v>dnj-1</v>
      </c>
      <c r="E8648" t="s">
        <v>6975</v>
      </c>
      <c r="F8648" t="s">
        <v>11</v>
      </c>
      <c r="H8648" s="12">
        <v>-1.1006611098552701</v>
      </c>
      <c r="I8648" s="20">
        <v>-0.50620859527502504</v>
      </c>
      <c r="J8648" s="28">
        <v>0.61271022167796596</v>
      </c>
      <c r="K8648" s="29">
        <v>0.98289565623980701</v>
      </c>
    </row>
    <row r="8649" spans="1:11" x14ac:dyDescent="0.35">
      <c r="A8649" s="9" t="str">
        <f>HYPERLINK("http://www.ensembl.org/id/WBGene00001028", "WBGene00001028")</f>
        <v>WBGene00001028</v>
      </c>
      <c r="B8649" s="9" t="str">
        <f>HYPERLINK("http://www.ncbi.nlm.nih.gov/gene/176211", "176211")</f>
        <v>176211</v>
      </c>
      <c r="C8649" s="9"/>
      <c r="D8649" t="str">
        <f>"dnj-10"</f>
        <v>dnj-10</v>
      </c>
      <c r="E8649" t="s">
        <v>7379</v>
      </c>
      <c r="F8649" t="s">
        <v>11</v>
      </c>
      <c r="G8649" t="s">
        <v>7380</v>
      </c>
      <c r="H8649" s="12">
        <v>-1.12285124618911</v>
      </c>
      <c r="I8649" s="20">
        <v>-0.55084099723131696</v>
      </c>
      <c r="J8649" s="28">
        <v>0.58174267736480401</v>
      </c>
      <c r="K8649" s="29">
        <v>0.98289565623980701</v>
      </c>
    </row>
    <row r="8650" spans="1:11" x14ac:dyDescent="0.35">
      <c r="A8650" s="9" t="str">
        <f>HYPERLINK("http://www.ensembl.org/id/WBGene00001029", "WBGene00001029")</f>
        <v>WBGene00001029</v>
      </c>
      <c r="B8650" s="9" t="str">
        <f>HYPERLINK("http://www.ncbi.nlm.nih.gov/gene/177419", "177419")</f>
        <v>177419</v>
      </c>
      <c r="C8650" s="9" t="str">
        <f>HYPERLINK("http://www.ncbi.nlm.nih.gov/gene/27000", "27000")</f>
        <v>27000</v>
      </c>
      <c r="D8650" t="str">
        <f>"dnj-11"</f>
        <v>dnj-11</v>
      </c>
      <c r="E8650" t="s">
        <v>847</v>
      </c>
      <c r="F8650" t="s">
        <v>11</v>
      </c>
      <c r="G8650" t="s">
        <v>8609</v>
      </c>
      <c r="H8650" s="12">
        <v>-1.18647226096334</v>
      </c>
      <c r="I8650" s="20">
        <v>-0.83347760224386502</v>
      </c>
      <c r="J8650" s="28">
        <v>0.404575424578758</v>
      </c>
      <c r="K8650" s="29">
        <v>0.98289565623980701</v>
      </c>
    </row>
    <row r="8651" spans="1:11" x14ac:dyDescent="0.35">
      <c r="A8651" s="9" t="str">
        <f>HYPERLINK("http://www.ensembl.org/id/WBGene00001030", "WBGene00001030")</f>
        <v>WBGene00001030</v>
      </c>
      <c r="B8651" s="9" t="str">
        <f>HYPERLINK("http://www.ncbi.nlm.nih.gov/gene/173341", "173341")</f>
        <v>173341</v>
      </c>
      <c r="C8651" s="9" t="str">
        <f>HYPERLINK("http://www.ncbi.nlm.nih.gov/gene/55466", "55466")</f>
        <v>55466</v>
      </c>
      <c r="D8651" t="str">
        <f>"dnj-12"</f>
        <v>dnj-12</v>
      </c>
      <c r="E8651" t="s">
        <v>847</v>
      </c>
      <c r="F8651" t="s">
        <v>11</v>
      </c>
      <c r="G8651" t="s">
        <v>6821</v>
      </c>
      <c r="H8651" s="12">
        <v>-1.0909069181073601</v>
      </c>
      <c r="I8651" s="20">
        <v>-0.46788902857520998</v>
      </c>
      <c r="J8651" s="28">
        <v>0.63986394977695504</v>
      </c>
      <c r="K8651" s="29">
        <v>0.98289565623980701</v>
      </c>
    </row>
    <row r="8652" spans="1:11" x14ac:dyDescent="0.35">
      <c r="A8652" s="9" t="str">
        <f>HYPERLINK("http://www.ensembl.org/id/WBGene00001031", "WBGene00001031")</f>
        <v>WBGene00001031</v>
      </c>
      <c r="B8652" s="9" t="str">
        <f>HYPERLINK("http://www.ncbi.nlm.nih.gov/gene/3564910", "3564910")</f>
        <v>3564910</v>
      </c>
      <c r="C8652" s="9" t="str">
        <f>HYPERLINK("http://www.ncbi.nlm.nih.gov/gene/11080", "11080")</f>
        <v>11080</v>
      </c>
      <c r="D8652" t="str">
        <f>"dnj-13"</f>
        <v>dnj-13</v>
      </c>
      <c r="E8652" t="s">
        <v>847</v>
      </c>
      <c r="F8652" t="s">
        <v>11</v>
      </c>
      <c r="G8652" t="s">
        <v>6139</v>
      </c>
      <c r="H8652" s="12">
        <v>1.0518764510195899</v>
      </c>
      <c r="I8652" s="20">
        <v>0.28429776542422103</v>
      </c>
      <c r="J8652" s="28">
        <v>0.77618219845931102</v>
      </c>
      <c r="K8652" s="29">
        <v>0.98289565623980701</v>
      </c>
    </row>
    <row r="8653" spans="1:11" x14ac:dyDescent="0.35">
      <c r="A8653" s="9" t="str">
        <f>HYPERLINK("http://www.ensembl.org/id/WBGene00001033", "WBGene00001033")</f>
        <v>WBGene00001033</v>
      </c>
      <c r="B8653" s="9" t="str">
        <f>HYPERLINK("http://www.ncbi.nlm.nih.gov/gene/187149", "187149")</f>
        <v>187149</v>
      </c>
      <c r="C8653" s="9" t="str">
        <f>HYPERLINK("http://www.ncbi.nlm.nih.gov/gene/150274", "150274")</f>
        <v>150274</v>
      </c>
      <c r="D8653" t="str">
        <f>"dnj-15"</f>
        <v>dnj-15</v>
      </c>
      <c r="E8653" t="s">
        <v>847</v>
      </c>
      <c r="F8653" t="s">
        <v>11</v>
      </c>
      <c r="G8653" t="s">
        <v>9774</v>
      </c>
      <c r="H8653" s="12">
        <v>-1.29931902202632</v>
      </c>
      <c r="I8653" s="20">
        <v>-1.16033479605153</v>
      </c>
      <c r="J8653" s="28">
        <v>0.245912522776669</v>
      </c>
      <c r="K8653" s="29">
        <v>0.98289565623980701</v>
      </c>
    </row>
    <row r="8654" spans="1:11" x14ac:dyDescent="0.35">
      <c r="A8654" s="9" t="str">
        <f>HYPERLINK("http://www.ensembl.org/id/WBGene00001038", "WBGene00001038")</f>
        <v>WBGene00001038</v>
      </c>
      <c r="B8654" s="9" t="str">
        <f>HYPERLINK("http://www.ncbi.nlm.nih.gov/gene/174514", "174514")</f>
        <v>174514</v>
      </c>
      <c r="C8654" s="9" t="str">
        <f>HYPERLINK("http://www.ncbi.nlm.nih.gov/gene/51726", "51726")</f>
        <v>51726</v>
      </c>
      <c r="D8654" t="str">
        <f>"dnj-20"</f>
        <v>dnj-20</v>
      </c>
      <c r="E8654" t="s">
        <v>8139</v>
      </c>
      <c r="F8654" t="s">
        <v>11</v>
      </c>
      <c r="G8654" t="s">
        <v>8140</v>
      </c>
      <c r="H8654" s="12">
        <v>-1.16212825463725</v>
      </c>
      <c r="I8654" s="20">
        <v>-0.82469950296610794</v>
      </c>
      <c r="J8654" s="28">
        <v>0.40954221395538498</v>
      </c>
      <c r="K8654" s="29">
        <v>0.98289565623980701</v>
      </c>
    </row>
    <row r="8655" spans="1:11" x14ac:dyDescent="0.35">
      <c r="A8655" s="9" t="str">
        <f>HYPERLINK("http://www.ensembl.org/id/WBGene00001040", "WBGene00001040")</f>
        <v>WBGene00001040</v>
      </c>
      <c r="B8655" s="9" t="str">
        <f>HYPERLINK("http://www.ncbi.nlm.nih.gov/gene/179227", "179227")</f>
        <v>179227</v>
      </c>
      <c r="C8655" s="9"/>
      <c r="D8655" t="str">
        <f>"dnj-22"</f>
        <v>dnj-22</v>
      </c>
      <c r="E8655" t="s">
        <v>847</v>
      </c>
      <c r="F8655" t="s">
        <v>11</v>
      </c>
      <c r="H8655" s="12">
        <v>-1.13695931636443</v>
      </c>
      <c r="I8655" s="20">
        <v>-0.55185915588157397</v>
      </c>
      <c r="J8655" s="28">
        <v>0.58104485387290605</v>
      </c>
      <c r="K8655" s="29">
        <v>0.98289565623980701</v>
      </c>
    </row>
    <row r="8656" spans="1:11" x14ac:dyDescent="0.35">
      <c r="A8656" s="9" t="str">
        <f>HYPERLINK("http://www.ensembl.org/id/WBGene00001041", "WBGene00001041")</f>
        <v>WBGene00001041</v>
      </c>
      <c r="B8656" s="9" t="str">
        <f>HYPERLINK("http://www.ncbi.nlm.nih.gov/gene/174451", "174451")</f>
        <v>174451</v>
      </c>
      <c r="C8656" s="9" t="str">
        <f>HYPERLINK("http://www.ncbi.nlm.nih.gov/gene/23234", "23234")</f>
        <v>23234</v>
      </c>
      <c r="D8656" t="str">
        <f>"dnj-23"</f>
        <v>dnj-23</v>
      </c>
      <c r="E8656" t="s">
        <v>847</v>
      </c>
      <c r="F8656" t="s">
        <v>11</v>
      </c>
      <c r="G8656" t="s">
        <v>7930</v>
      </c>
      <c r="H8656" s="12">
        <v>-1.15167397902066</v>
      </c>
      <c r="I8656" s="20">
        <v>-0.64697933769296201</v>
      </c>
      <c r="J8656" s="28">
        <v>0.51764531626454302</v>
      </c>
      <c r="K8656" s="29">
        <v>0.98289565623980701</v>
      </c>
    </row>
    <row r="8657" spans="1:11" x14ac:dyDescent="0.35">
      <c r="A8657" s="9" t="str">
        <f>HYPERLINK("http://www.ensembl.org/id/WBGene00001043", "WBGene00001043")</f>
        <v>WBGene00001043</v>
      </c>
      <c r="B8657" s="9" t="str">
        <f>HYPERLINK("http://www.ncbi.nlm.nih.gov/gene/180356", "180356")</f>
        <v>180356</v>
      </c>
      <c r="C8657" s="9"/>
      <c r="D8657" t="str">
        <f>"dnj-25"</f>
        <v>dnj-25</v>
      </c>
      <c r="E8657" t="s">
        <v>847</v>
      </c>
      <c r="F8657" t="s">
        <v>11</v>
      </c>
      <c r="G8657" t="s">
        <v>6955</v>
      </c>
      <c r="H8657" s="12">
        <v>-1.0997409295634499</v>
      </c>
      <c r="I8657" s="20">
        <v>-0.49650975040373202</v>
      </c>
      <c r="J8657" s="28">
        <v>0.61953480983507603</v>
      </c>
      <c r="K8657" s="29">
        <v>0.98289565623980701</v>
      </c>
    </row>
    <row r="8658" spans="1:11" x14ac:dyDescent="0.35">
      <c r="A8658" s="9" t="str">
        <f>HYPERLINK("http://www.ensembl.org/id/WBGene00001047", "WBGene00001047")</f>
        <v>WBGene00001047</v>
      </c>
      <c r="B8658" s="9" t="str">
        <f>HYPERLINK("http://www.ncbi.nlm.nih.gov/gene/173278", "173278")</f>
        <v>173278</v>
      </c>
      <c r="C8658" s="9" t="str">
        <f>HYPERLINK("http://www.ncbi.nlm.nih.gov/gene/11231", "11231")</f>
        <v>11231</v>
      </c>
      <c r="D8658" t="str">
        <f>"dnj-29"</f>
        <v>dnj-29</v>
      </c>
      <c r="E8658" t="s">
        <v>847</v>
      </c>
      <c r="F8658" t="s">
        <v>11</v>
      </c>
      <c r="G8658" t="s">
        <v>6153</v>
      </c>
      <c r="H8658" s="12">
        <v>1.0476770380273499</v>
      </c>
      <c r="I8658" s="20">
        <v>0.25710688942882298</v>
      </c>
      <c r="J8658" s="28">
        <v>0.79709625929015604</v>
      </c>
      <c r="K8658" s="29">
        <v>0.98289565623980701</v>
      </c>
    </row>
    <row r="8659" spans="1:11" x14ac:dyDescent="0.35">
      <c r="A8659" s="9" t="str">
        <f>HYPERLINK("http://www.ensembl.org/id/WBGene00001021", "WBGene00001021")</f>
        <v>WBGene00001021</v>
      </c>
      <c r="B8659" s="9" t="str">
        <f>HYPERLINK("http://www.ncbi.nlm.nih.gov/gene/182084", "182084")</f>
        <v>182084</v>
      </c>
      <c r="C8659" s="9"/>
      <c r="D8659" t="str">
        <f>"dnj-3"</f>
        <v>dnj-3</v>
      </c>
      <c r="E8659" t="s">
        <v>847</v>
      </c>
      <c r="F8659" t="s">
        <v>11</v>
      </c>
      <c r="G8659" t="s">
        <v>25</v>
      </c>
      <c r="H8659" s="12">
        <v>-1.32922024311103</v>
      </c>
      <c r="I8659" s="20">
        <v>-0.828609960549337</v>
      </c>
      <c r="J8659" s="28">
        <v>0.40732514990907298</v>
      </c>
      <c r="K8659" s="29">
        <v>0.98289565623980701</v>
      </c>
    </row>
    <row r="8660" spans="1:11" x14ac:dyDescent="0.35">
      <c r="A8660" s="9" t="str">
        <f>HYPERLINK("http://www.ensembl.org/id/WBGene00001048", "WBGene00001048")</f>
        <v>WBGene00001048</v>
      </c>
      <c r="B8660" s="9" t="str">
        <f>HYPERLINK("http://www.ncbi.nlm.nih.gov/gene/171833", "171833")</f>
        <v>171833</v>
      </c>
      <c r="C8660" s="9" t="str">
        <f>HYPERLINK("http://www.ncbi.nlm.nih.gov/gene/22826", "22826")</f>
        <v>22826</v>
      </c>
      <c r="D8660" t="str">
        <f>"dnj-30"</f>
        <v>dnj-30</v>
      </c>
      <c r="E8660" t="s">
        <v>847</v>
      </c>
      <c r="F8660" t="s">
        <v>11</v>
      </c>
      <c r="G8660" t="s">
        <v>228</v>
      </c>
      <c r="H8660" s="12">
        <v>-1.15644688682498</v>
      </c>
      <c r="I8660" s="20">
        <v>-0.68451863776535204</v>
      </c>
      <c r="J8660" s="28">
        <v>0.49364772445514299</v>
      </c>
      <c r="K8660" s="29">
        <v>0.98289565623980701</v>
      </c>
    </row>
    <row r="8661" spans="1:11" x14ac:dyDescent="0.35">
      <c r="A8661" s="9" t="str">
        <f>HYPERLINK("http://www.ensembl.org/id/WBGene00001022", "WBGene00001022")</f>
        <v>WBGene00001022</v>
      </c>
      <c r="B8661" s="9" t="str">
        <f>HYPERLINK("http://www.ncbi.nlm.nih.gov/gene/172173", "172173")</f>
        <v>172173</v>
      </c>
      <c r="C8661" s="9"/>
      <c r="D8661" t="str">
        <f>"dnj-4"</f>
        <v>dnj-4</v>
      </c>
      <c r="E8661" t="s">
        <v>847</v>
      </c>
      <c r="F8661" t="s">
        <v>11</v>
      </c>
      <c r="G8661" t="s">
        <v>25</v>
      </c>
      <c r="H8661" s="12">
        <v>-1.1392438487152401</v>
      </c>
      <c r="I8661" s="20">
        <v>-0.55105564659741701</v>
      </c>
      <c r="J8661" s="28">
        <v>0.58159552883833998</v>
      </c>
      <c r="K8661" s="29">
        <v>0.98289565623980701</v>
      </c>
    </row>
    <row r="8662" spans="1:11" x14ac:dyDescent="0.35">
      <c r="A8662" s="9" t="str">
        <f>HYPERLINK("http://www.ensembl.org/id/WBGene00001025", "WBGene00001025")</f>
        <v>WBGene00001025</v>
      </c>
      <c r="B8662" s="9" t="str">
        <f>HYPERLINK("http://www.ncbi.nlm.nih.gov/gene/180983", "180983")</f>
        <v>180983</v>
      </c>
      <c r="C8662" s="9" t="str">
        <f>HYPERLINK("http://www.ncbi.nlm.nih.gov/gene/5611", "5611")</f>
        <v>5611</v>
      </c>
      <c r="D8662" t="str">
        <f>"dnj-7"</f>
        <v>dnj-7</v>
      </c>
      <c r="E8662" t="s">
        <v>847</v>
      </c>
      <c r="F8662" t="s">
        <v>11</v>
      </c>
      <c r="G8662" t="s">
        <v>6135</v>
      </c>
      <c r="H8662" s="12">
        <v>1.05253492312174</v>
      </c>
      <c r="I8662" s="20">
        <v>0.26837109160446698</v>
      </c>
      <c r="J8662" s="28">
        <v>0.78841368914012899</v>
      </c>
      <c r="K8662" s="29">
        <v>0.98289565623980701</v>
      </c>
    </row>
    <row r="8663" spans="1:11" x14ac:dyDescent="0.35">
      <c r="A8663" s="9" t="str">
        <f>HYPERLINK("http://www.ensembl.org/id/WBGene00001027", "WBGene00001027")</f>
        <v>WBGene00001027</v>
      </c>
      <c r="B8663" s="9" t="str">
        <f>HYPERLINK("http://www.ncbi.nlm.nih.gov/gene/3565947", "3565947")</f>
        <v>3565947</v>
      </c>
      <c r="C8663" s="9" t="str">
        <f>HYPERLINK("http://www.ncbi.nlm.nih.gov/gene/55735", "55735")</f>
        <v>55735</v>
      </c>
      <c r="D8663" t="str">
        <f>"dnj-9"</f>
        <v>dnj-9</v>
      </c>
      <c r="E8663" t="s">
        <v>847</v>
      </c>
      <c r="F8663" t="s">
        <v>11</v>
      </c>
      <c r="G8663" t="s">
        <v>8326</v>
      </c>
      <c r="H8663" s="12">
        <v>-1.17154229272433</v>
      </c>
      <c r="I8663" s="20">
        <v>-0.75112211292128706</v>
      </c>
      <c r="J8663" s="28">
        <v>0.45257916878835802</v>
      </c>
      <c r="K8663" s="29">
        <v>0.98289565623980701</v>
      </c>
    </row>
    <row r="8664" spans="1:11" x14ac:dyDescent="0.35">
      <c r="A8664" s="9" t="str">
        <f>HYPERLINK("http://www.ensembl.org/id/WBGene00016074", "WBGene00016074")</f>
        <v>WBGene00016074</v>
      </c>
      <c r="B8664" s="9" t="str">
        <f>HYPERLINK("http://www.ncbi.nlm.nih.gov/gene/173431", "173431")</f>
        <v>173431</v>
      </c>
      <c r="C8664" s="9"/>
      <c r="D8664" t="str">
        <f>"dnsn-1"</f>
        <v>dnsn-1</v>
      </c>
      <c r="E8664" t="s">
        <v>9879</v>
      </c>
      <c r="F8664" t="s">
        <v>11</v>
      </c>
      <c r="G8664" t="s">
        <v>9880</v>
      </c>
      <c r="H8664" s="12">
        <v>-1.3432240495987</v>
      </c>
      <c r="I8664" s="20">
        <v>-1.19859330548053</v>
      </c>
      <c r="J8664" s="28">
        <v>0.23068612254516499</v>
      </c>
      <c r="K8664" s="29">
        <v>0.98289565623980701</v>
      </c>
    </row>
    <row r="8665" spans="1:11" x14ac:dyDescent="0.35">
      <c r="A8665" s="9" t="str">
        <f>HYPERLINK("http://www.ensembl.org/id/WBGene00008316", "WBGene00008316")</f>
        <v>WBGene00008316</v>
      </c>
      <c r="B8665" s="9" t="str">
        <f>HYPERLINK("http://www.ncbi.nlm.nih.gov/gene/183813", "183813")</f>
        <v>183813</v>
      </c>
      <c r="C8665" s="9" t="str">
        <f>HYPERLINK("http://www.ncbi.nlm.nih.gov/gene/8623", "8623")</f>
        <v>8623</v>
      </c>
      <c r="D8665" t="str">
        <f>"dod-18"</f>
        <v>dod-18</v>
      </c>
      <c r="E8665" t="s">
        <v>24</v>
      </c>
      <c r="F8665" t="s">
        <v>11</v>
      </c>
      <c r="G8665" t="s">
        <v>9734</v>
      </c>
      <c r="H8665" s="12">
        <v>-1.29031621225982</v>
      </c>
      <c r="I8665" s="20">
        <v>-0.953765487058154</v>
      </c>
      <c r="J8665" s="28">
        <v>0.34020236303336099</v>
      </c>
      <c r="K8665" s="29">
        <v>0.98289565623980701</v>
      </c>
    </row>
    <row r="8666" spans="1:11" x14ac:dyDescent="0.35">
      <c r="A8666" s="9" t="str">
        <f>HYPERLINK("http://www.ensembl.org/id/WBGene00001049", "WBGene00001049")</f>
        <v>WBGene00001049</v>
      </c>
      <c r="B8666" s="9" t="str">
        <f>HYPERLINK("http://www.ncbi.nlm.nih.gov/gene/173370", "173370")</f>
        <v>173370</v>
      </c>
      <c r="C8666" s="9"/>
      <c r="D8666" t="str">
        <f>"dog-1"</f>
        <v>dog-1</v>
      </c>
      <c r="E8666" t="s">
        <v>9379</v>
      </c>
      <c r="F8666" t="s">
        <v>11</v>
      </c>
      <c r="G8666" t="s">
        <v>9380</v>
      </c>
      <c r="H8666" s="12">
        <v>-1.2421226389901101</v>
      </c>
      <c r="I8666" s="20">
        <v>-0.88384099287069995</v>
      </c>
      <c r="J8666" s="28">
        <v>0.376782054112201</v>
      </c>
      <c r="K8666" s="29">
        <v>0.98289565623980701</v>
      </c>
    </row>
    <row r="8667" spans="1:11" x14ac:dyDescent="0.35">
      <c r="A8667" s="9" t="str">
        <f>HYPERLINK("http://www.ensembl.org/id/WBGene00007555", "WBGene00007555")</f>
        <v>WBGene00007555</v>
      </c>
      <c r="B8667" s="9" t="str">
        <f>HYPERLINK("http://www.ncbi.nlm.nih.gov/gene/3565578", "3565578")</f>
        <v>3565578</v>
      </c>
      <c r="C8667" s="9" t="str">
        <f>HYPERLINK("http://www.ncbi.nlm.nih.gov/gene/83475", "83475")</f>
        <v>83475</v>
      </c>
      <c r="D8667" t="str">
        <f>"dohh-1"</f>
        <v>dohh-1</v>
      </c>
      <c r="E8667" t="s">
        <v>8035</v>
      </c>
      <c r="F8667" t="s">
        <v>11</v>
      </c>
      <c r="G8667" t="s">
        <v>8036</v>
      </c>
      <c r="H8667" s="12">
        <v>-1.1575170001033399</v>
      </c>
      <c r="I8667" s="20">
        <v>-0.71645024654535705</v>
      </c>
      <c r="J8667" s="28">
        <v>0.47371337848419398</v>
      </c>
      <c r="K8667" s="29">
        <v>0.98289565623980701</v>
      </c>
    </row>
    <row r="8668" spans="1:11" x14ac:dyDescent="0.35">
      <c r="A8668" s="9" t="str">
        <f>HYPERLINK("http://www.ensembl.org/id/WBGene00044233", "WBGene00044233")</f>
        <v>WBGene00044233</v>
      </c>
      <c r="B8668" s="9" t="str">
        <f>HYPERLINK("http://www.ncbi.nlm.nih.gov/gene/3565503", "3565503")</f>
        <v>3565503</v>
      </c>
      <c r="C8668" s="9"/>
      <c r="D8668" t="str">
        <f>"dolk-1"</f>
        <v>dolk-1</v>
      </c>
      <c r="F8668" t="s">
        <v>11</v>
      </c>
      <c r="G8668" t="s">
        <v>7136</v>
      </c>
      <c r="H8668" s="12">
        <v>-1.1093825531543999</v>
      </c>
      <c r="I8668" s="20">
        <v>-0.364532692541367</v>
      </c>
      <c r="J8668" s="28">
        <v>0.71546026558702502</v>
      </c>
      <c r="K8668" s="29">
        <v>0.98289565623980701</v>
      </c>
    </row>
    <row r="8669" spans="1:11" x14ac:dyDescent="0.35">
      <c r="A8669" s="9" t="str">
        <f>HYPERLINK("http://www.ensembl.org/id/WBGene00001050", "WBGene00001050")</f>
        <v>WBGene00001050</v>
      </c>
      <c r="B8669" s="9" t="str">
        <f>HYPERLINK("http://www.ncbi.nlm.nih.gov/gene/172124", "172124")</f>
        <v>172124</v>
      </c>
      <c r="C8669" s="9" t="str">
        <f>HYPERLINK("http://www.ncbi.nlm.nih.gov/gene/1797", "1797")</f>
        <v>1797</v>
      </c>
      <c r="D8669" t="str">
        <f>"dom-3"</f>
        <v>dom-3</v>
      </c>
      <c r="E8669" t="s">
        <v>7711</v>
      </c>
      <c r="F8669" t="s">
        <v>11</v>
      </c>
      <c r="H8669" s="12">
        <v>-1.1408404594283701</v>
      </c>
      <c r="I8669" s="20">
        <v>-0.56507995961890201</v>
      </c>
      <c r="J8669" s="28">
        <v>0.57201937880357101</v>
      </c>
      <c r="K8669" s="29">
        <v>0.98289565623980701</v>
      </c>
    </row>
    <row r="8670" spans="1:11" x14ac:dyDescent="0.35">
      <c r="A8670" s="9" t="str">
        <f>HYPERLINK("http://www.ensembl.org/id/WBGene00020506", "WBGene00020506")</f>
        <v>WBGene00020506</v>
      </c>
      <c r="B8670" s="9" t="str">
        <f>HYPERLINK("http://www.ncbi.nlm.nih.gov/gene/188499", "188499")</f>
        <v>188499</v>
      </c>
      <c r="C8670" s="9" t="str">
        <f>HYPERLINK("http://www.ncbi.nlm.nih.gov/gene/1813", "1813")</f>
        <v>1813</v>
      </c>
      <c r="D8670" t="str">
        <f>"dop-3"</f>
        <v>dop-3</v>
      </c>
      <c r="E8670" t="s">
        <v>4833</v>
      </c>
      <c r="F8670" t="s">
        <v>11</v>
      </c>
      <c r="G8670" t="s">
        <v>1429</v>
      </c>
      <c r="H8670" s="12">
        <v>1.34355519939847</v>
      </c>
      <c r="I8670" s="20">
        <v>0.94591831943633498</v>
      </c>
      <c r="J8670" s="28">
        <v>0.34419024889013</v>
      </c>
      <c r="K8670" s="29">
        <v>0.98289565623980701</v>
      </c>
    </row>
    <row r="8671" spans="1:11" x14ac:dyDescent="0.35">
      <c r="A8671" s="9" t="str">
        <f>HYPERLINK("http://www.ensembl.org/id/WBGene00016872", "WBGene00016872")</f>
        <v>WBGene00016872</v>
      </c>
      <c r="B8671" s="9" t="str">
        <f>HYPERLINK("http://www.ncbi.nlm.nih.gov/gene/183715", "183715")</f>
        <v>183715</v>
      </c>
      <c r="C8671" s="9" t="str">
        <f>HYPERLINK("http://www.ncbi.nlm.nih.gov/gene/148", "148")</f>
        <v>148</v>
      </c>
      <c r="D8671" t="str">
        <f>"dop-4"</f>
        <v>dop-4</v>
      </c>
      <c r="E8671" t="s">
        <v>4700</v>
      </c>
      <c r="F8671" t="s">
        <v>11</v>
      </c>
      <c r="G8671" t="s">
        <v>1429</v>
      </c>
      <c r="H8671" s="12">
        <v>1.4715443723969599</v>
      </c>
      <c r="I8671" s="20">
        <v>1.1911568511009001</v>
      </c>
      <c r="J8671" s="28">
        <v>0.233592015068116</v>
      </c>
      <c r="K8671" s="29">
        <v>0.98289565623980701</v>
      </c>
    </row>
    <row r="8672" spans="1:11" x14ac:dyDescent="0.35">
      <c r="A8672" s="9" t="str">
        <f>HYPERLINK("http://www.ensembl.org/id/WBGene00013980", "WBGene00013980")</f>
        <v>WBGene00013980</v>
      </c>
      <c r="B8672" s="9" t="str">
        <f>HYPERLINK("http://www.ncbi.nlm.nih.gov/gene/191338", "191338")</f>
        <v>191338</v>
      </c>
      <c r="C8672" s="9"/>
      <c r="D8672" t="str">
        <f>"dos-1"</f>
        <v>dos-1</v>
      </c>
      <c r="E8672" t="s">
        <v>4916</v>
      </c>
      <c r="F8672" t="s">
        <v>11</v>
      </c>
      <c r="H8672" s="12">
        <v>1.3042583095507201</v>
      </c>
      <c r="I8672" s="20">
        <v>0.48879122282126303</v>
      </c>
      <c r="J8672" s="28">
        <v>0.62498951262983604</v>
      </c>
      <c r="K8672" s="29">
        <v>0.98289565623980701</v>
      </c>
    </row>
    <row r="8673" spans="1:11" x14ac:dyDescent="0.35">
      <c r="A8673" s="9" t="str">
        <f>HYPERLINK("http://www.ensembl.org/id/WBGene00021474", "WBGene00021474")</f>
        <v>WBGene00021474</v>
      </c>
      <c r="B8673" s="9" t="str">
        <f>HYPERLINK("http://www.ncbi.nlm.nih.gov/gene/171797", "171797")</f>
        <v>171797</v>
      </c>
      <c r="C8673" s="9"/>
      <c r="D8673" t="str">
        <f>"dot-1.1"</f>
        <v>dot-1.1</v>
      </c>
      <c r="E8673" t="s">
        <v>2966</v>
      </c>
      <c r="F8673" t="s">
        <v>11</v>
      </c>
      <c r="G8673" t="s">
        <v>6240</v>
      </c>
      <c r="H8673" s="12">
        <v>-1.0554349634856699</v>
      </c>
      <c r="I8673" s="20">
        <v>-0.29097492990927498</v>
      </c>
      <c r="J8673" s="28">
        <v>0.77107049335602595</v>
      </c>
      <c r="K8673" s="29">
        <v>0.98289565623980701</v>
      </c>
    </row>
    <row r="8674" spans="1:11" x14ac:dyDescent="0.35">
      <c r="A8674" s="9" t="str">
        <f>HYPERLINK("http://www.ensembl.org/id/WBGene00012302", "WBGene00012302")</f>
        <v>WBGene00012302</v>
      </c>
      <c r="B8674" s="9" t="str">
        <f>HYPERLINK("http://www.ncbi.nlm.nih.gov/gene/189244", "189244")</f>
        <v>189244</v>
      </c>
      <c r="C8674" s="9"/>
      <c r="D8674" t="str">
        <f>"dot-1.3"</f>
        <v>dot-1.3</v>
      </c>
      <c r="E8674" t="s">
        <v>2966</v>
      </c>
      <c r="F8674" t="s">
        <v>11</v>
      </c>
      <c r="G8674" t="s">
        <v>2967</v>
      </c>
      <c r="H8674" s="12">
        <v>5.6219459676202197</v>
      </c>
      <c r="I8674" s="20">
        <v>0.96539744761342505</v>
      </c>
      <c r="J8674" s="28">
        <v>0.33434577940897697</v>
      </c>
      <c r="K8674" s="29">
        <v>0.98289565623980701</v>
      </c>
    </row>
    <row r="8675" spans="1:11" x14ac:dyDescent="0.35">
      <c r="A8675" s="9" t="str">
        <f>HYPERLINK("http://www.ensembl.org/id/WBGene00001056", "WBGene00001056")</f>
        <v>WBGene00001056</v>
      </c>
      <c r="B8675" s="9" t="str">
        <f>HYPERLINK("http://www.ncbi.nlm.nih.gov/gene/172409", "172409")</f>
        <v>172409</v>
      </c>
      <c r="C8675" s="9" t="str">
        <f>HYPERLINK("http://www.ncbi.nlm.nih.gov/gene/54878", "54878")</f>
        <v>54878</v>
      </c>
      <c r="D8675" t="str">
        <f>"dpf-3"</f>
        <v>dpf-3</v>
      </c>
      <c r="E8675" t="s">
        <v>2168</v>
      </c>
      <c r="F8675" t="s">
        <v>11</v>
      </c>
      <c r="G8675" t="s">
        <v>9390</v>
      </c>
      <c r="H8675" s="12">
        <v>-1.2430487518648099</v>
      </c>
      <c r="I8675" s="20">
        <v>-1.17133662757871</v>
      </c>
      <c r="J8675" s="28">
        <v>0.241463494236797</v>
      </c>
      <c r="K8675" s="29">
        <v>0.98289565623980701</v>
      </c>
    </row>
    <row r="8676" spans="1:11" x14ac:dyDescent="0.35">
      <c r="A8676" s="9" t="str">
        <f>HYPERLINK("http://www.ensembl.org/id/WBGene00001059", "WBGene00001059")</f>
        <v>WBGene00001059</v>
      </c>
      <c r="B8676" s="9" t="str">
        <f>HYPERLINK("http://www.ncbi.nlm.nih.gov/gene/176132", "176132")</f>
        <v>176132</v>
      </c>
      <c r="C8676" s="9"/>
      <c r="D8676" t="str">
        <f>"dpf-6"</f>
        <v>dpf-6</v>
      </c>
      <c r="E8676" t="s">
        <v>4760</v>
      </c>
      <c r="F8676" t="s">
        <v>11</v>
      </c>
      <c r="G8676" t="s">
        <v>1681</v>
      </c>
      <c r="H8676" s="12">
        <v>1.4048644523899301</v>
      </c>
      <c r="I8676" s="20">
        <v>0.92033950199667103</v>
      </c>
      <c r="J8676" s="28">
        <v>0.35739537249428899</v>
      </c>
      <c r="K8676" s="29">
        <v>0.98289565623980701</v>
      </c>
    </row>
    <row r="8677" spans="1:11" x14ac:dyDescent="0.35">
      <c r="A8677" s="9" t="str">
        <f>HYPERLINK("http://www.ensembl.org/id/WBGene00016200", "WBGene00016200")</f>
        <v>WBGene00016200</v>
      </c>
      <c r="B8677" s="9" t="str">
        <f>HYPERLINK("http://www.ncbi.nlm.nih.gov/gene/175832", "175832")</f>
        <v>175832</v>
      </c>
      <c r="C8677" s="9" t="str">
        <f>HYPERLINK("http://www.ncbi.nlm.nih.gov/gene/8110", "8110")</f>
        <v>8110</v>
      </c>
      <c r="D8677" t="str">
        <f>"dpff-1"</f>
        <v>dpff-1</v>
      </c>
      <c r="E8677" t="s">
        <v>7245</v>
      </c>
      <c r="F8677" t="s">
        <v>11</v>
      </c>
      <c r="G8677" t="s">
        <v>7246</v>
      </c>
      <c r="H8677" s="12">
        <v>-1.11535403959512</v>
      </c>
      <c r="I8677" s="20">
        <v>-0.54797066767580205</v>
      </c>
      <c r="J8677" s="28">
        <v>0.583712043779686</v>
      </c>
      <c r="K8677" s="29">
        <v>0.98289565623980701</v>
      </c>
    </row>
    <row r="8678" spans="1:11" x14ac:dyDescent="0.35">
      <c r="A8678" s="9" t="str">
        <f>HYPERLINK("http://www.ensembl.org/id/WBGene00007576", "WBGene00007576")</f>
        <v>WBGene00007576</v>
      </c>
      <c r="B8678" s="9" t="str">
        <f>HYPERLINK("http://www.ncbi.nlm.nih.gov/gene/175475", "175475")</f>
        <v>175475</v>
      </c>
      <c r="C8678" s="9" t="str">
        <f>HYPERLINK("http://www.ncbi.nlm.nih.gov/gene/1801", "1801")</f>
        <v>1801</v>
      </c>
      <c r="D8678" t="str">
        <f>"dph-1"</f>
        <v>dph-1</v>
      </c>
      <c r="E8678" t="s">
        <v>9800</v>
      </c>
      <c r="F8678" t="s">
        <v>11</v>
      </c>
      <c r="G8678" t="s">
        <v>1706</v>
      </c>
      <c r="H8678" s="12">
        <v>-1.30563737567608</v>
      </c>
      <c r="I8678" s="20">
        <v>-1.1796227801450501</v>
      </c>
      <c r="J8678" s="28">
        <v>0.23815027853658399</v>
      </c>
      <c r="K8678" s="29">
        <v>0.98289565623980701</v>
      </c>
    </row>
    <row r="8679" spans="1:11" x14ac:dyDescent="0.35">
      <c r="A8679" s="9" t="str">
        <f>HYPERLINK("http://www.ensembl.org/id/WBGene00010484", "WBGene00010484")</f>
        <v>WBGene00010484</v>
      </c>
      <c r="B8679" s="9" t="str">
        <f>HYPERLINK("http://www.ncbi.nlm.nih.gov/gene/186854", "186854")</f>
        <v>186854</v>
      </c>
      <c r="C8679" s="9" t="str">
        <f>HYPERLINK("http://www.ncbi.nlm.nih.gov/gene/285381", "285381")</f>
        <v>285381</v>
      </c>
      <c r="D8679" t="str">
        <f>"dph-3"</f>
        <v>dph-3</v>
      </c>
      <c r="E8679" t="s">
        <v>8457</v>
      </c>
      <c r="F8679" t="s">
        <v>11</v>
      </c>
      <c r="G8679" t="s">
        <v>8458</v>
      </c>
      <c r="H8679" s="12">
        <v>-1.17890133391652</v>
      </c>
      <c r="I8679" s="20">
        <v>-0.77604612786613902</v>
      </c>
      <c r="J8679" s="28">
        <v>0.43772175040105699</v>
      </c>
      <c r="K8679" s="29">
        <v>0.98289565623980701</v>
      </c>
    </row>
    <row r="8680" spans="1:11" x14ac:dyDescent="0.35">
      <c r="A8680" s="9" t="str">
        <f>HYPERLINK("http://www.ensembl.org/id/WBGene00001061", "WBGene00001061")</f>
        <v>WBGene00001061</v>
      </c>
      <c r="B8680" s="9" t="str">
        <f>HYPERLINK("http://www.ncbi.nlm.nih.gov/gene/174458", "174458")</f>
        <v>174458</v>
      </c>
      <c r="C8680" s="9"/>
      <c r="D8680" t="str">
        <f>"dpl-1"</f>
        <v>dpl-1</v>
      </c>
      <c r="E8680" t="s">
        <v>9801</v>
      </c>
      <c r="F8680" t="s">
        <v>11</v>
      </c>
      <c r="G8680" t="s">
        <v>9802</v>
      </c>
      <c r="H8680" s="12">
        <v>-1.30582664856922</v>
      </c>
      <c r="I8680" s="20">
        <v>-1.1893796799088101</v>
      </c>
      <c r="J8680" s="28">
        <v>0.23429029326866499</v>
      </c>
      <c r="K8680" s="29">
        <v>0.98289565623980701</v>
      </c>
    </row>
    <row r="8681" spans="1:11" x14ac:dyDescent="0.35">
      <c r="A8681" s="9" t="str">
        <f>HYPERLINK("http://www.ensembl.org/id/WBGene00001062", "WBGene00001062")</f>
        <v>WBGene00001062</v>
      </c>
      <c r="B8681" s="9" t="str">
        <f>HYPERLINK("http://www.ncbi.nlm.nih.gov/gene/187759", "187759")</f>
        <v>187759</v>
      </c>
      <c r="C8681" s="9"/>
      <c r="D8681" t="str">
        <f>"dpr-1"</f>
        <v>dpr-1</v>
      </c>
      <c r="E8681" t="s">
        <v>4272</v>
      </c>
      <c r="F8681" t="s">
        <v>11</v>
      </c>
      <c r="G8681" t="s">
        <v>1073</v>
      </c>
      <c r="H8681" s="12">
        <v>4.6387698961716399</v>
      </c>
      <c r="I8681" s="20">
        <v>0.44985450087338802</v>
      </c>
      <c r="J8681" s="28">
        <v>0.65281535672642099</v>
      </c>
      <c r="K8681" s="29">
        <v>0.98289565623980701</v>
      </c>
    </row>
    <row r="8682" spans="1:11" x14ac:dyDescent="0.35">
      <c r="A8682" s="9" t="str">
        <f>HYPERLINK("http://www.ensembl.org/id/WBGene00008532", "WBGene00008532")</f>
        <v>WBGene00008532</v>
      </c>
      <c r="B8682" s="9" t="str">
        <f>HYPERLINK("http://www.ncbi.nlm.nih.gov/gene/172631", "172631")</f>
        <v>172631</v>
      </c>
      <c r="C8682" s="9" t="str">
        <f>HYPERLINK("http://www.ncbi.nlm.nih.gov/gene/10072", "10072")</f>
        <v>10072</v>
      </c>
      <c r="D8682" t="str">
        <f>"dpt-1"</f>
        <v>dpt-1</v>
      </c>
      <c r="E8682" t="s">
        <v>6927</v>
      </c>
      <c r="F8682" t="s">
        <v>11</v>
      </c>
      <c r="G8682" t="s">
        <v>6928</v>
      </c>
      <c r="H8682" s="12">
        <v>-1.09788710754152</v>
      </c>
      <c r="I8682" s="20">
        <v>-0.50108275469383701</v>
      </c>
      <c r="J8682" s="28">
        <v>0.61631288316671395</v>
      </c>
      <c r="K8682" s="29">
        <v>0.98289565623980701</v>
      </c>
    </row>
    <row r="8683" spans="1:11" x14ac:dyDescent="0.35">
      <c r="A8683" s="9" t="str">
        <f>HYPERLINK("http://www.ensembl.org/id/WBGene00001063", "WBGene00001063")</f>
        <v>WBGene00001063</v>
      </c>
      <c r="B8683" s="9" t="str">
        <f>HYPERLINK("http://www.ncbi.nlm.nih.gov/gene/175342", "175342")</f>
        <v>175342</v>
      </c>
      <c r="C8683" s="9"/>
      <c r="D8683" t="str">
        <f>"dpy-1"</f>
        <v>dpy-1</v>
      </c>
      <c r="E8683" t="s">
        <v>578</v>
      </c>
      <c r="F8683" t="s">
        <v>11</v>
      </c>
      <c r="G8683" t="s">
        <v>8197</v>
      </c>
      <c r="H8683" s="12">
        <v>-1.1650856327013299</v>
      </c>
      <c r="I8683" s="20">
        <v>-0.318806766303946</v>
      </c>
      <c r="J8683" s="28">
        <v>0.74987304704508695</v>
      </c>
      <c r="K8683" s="29">
        <v>0.98289565623980701</v>
      </c>
    </row>
    <row r="8684" spans="1:11" x14ac:dyDescent="0.35">
      <c r="A8684" s="9" t="str">
        <f>HYPERLINK("http://www.ensembl.org/id/WBGene00001072", "WBGene00001072")</f>
        <v>WBGene00001072</v>
      </c>
      <c r="B8684" s="9" t="str">
        <f>HYPERLINK("http://www.ncbi.nlm.nih.gov/gene/36805042", "36805042")</f>
        <v>36805042</v>
      </c>
      <c r="C8684" s="9"/>
      <c r="D8684" t="str">
        <f>"dpy-10"</f>
        <v>dpy-10</v>
      </c>
      <c r="E8684" t="s">
        <v>9308</v>
      </c>
      <c r="F8684" t="s">
        <v>11</v>
      </c>
      <c r="G8684" t="s">
        <v>152</v>
      </c>
      <c r="H8684" s="12">
        <v>-1.2366013643786999</v>
      </c>
      <c r="I8684" s="20">
        <v>-0.88264797262153105</v>
      </c>
      <c r="J8684" s="28">
        <v>0.37742650049142501</v>
      </c>
      <c r="K8684" s="29">
        <v>0.98289565623980701</v>
      </c>
    </row>
    <row r="8685" spans="1:11" x14ac:dyDescent="0.35">
      <c r="A8685" s="9" t="str">
        <f>HYPERLINK("http://www.ensembl.org/id/WBGene00001075", "WBGene00001075")</f>
        <v>WBGene00001075</v>
      </c>
      <c r="B8685" s="9" t="str">
        <f>HYPERLINK("http://www.ncbi.nlm.nih.gov/gene/172410", "172410")</f>
        <v>172410</v>
      </c>
      <c r="C8685" s="9"/>
      <c r="D8685" t="str">
        <f>"dpy-14"</f>
        <v>dpy-14</v>
      </c>
      <c r="E8685" t="s">
        <v>7250</v>
      </c>
      <c r="F8685" t="s">
        <v>11</v>
      </c>
      <c r="G8685" t="s">
        <v>7251</v>
      </c>
      <c r="H8685" s="12">
        <v>-1.11546461093965</v>
      </c>
      <c r="I8685" s="20">
        <v>-0.50830778954559996</v>
      </c>
      <c r="J8685" s="28">
        <v>0.61123750810876498</v>
      </c>
      <c r="K8685" s="29">
        <v>0.98289565623980701</v>
      </c>
    </row>
    <row r="8686" spans="1:11" x14ac:dyDescent="0.35">
      <c r="A8686" s="9" t="str">
        <f>HYPERLINK("http://www.ensembl.org/id/WBGene00001076", "WBGene00001076")</f>
        <v>WBGene00001076</v>
      </c>
      <c r="B8686" s="9" t="str">
        <f>HYPERLINK("http://www.ncbi.nlm.nih.gov/gene/175696", "175696")</f>
        <v>175696</v>
      </c>
      <c r="C8686" s="9"/>
      <c r="D8686" t="str">
        <f>"dpy-17"</f>
        <v>dpy-17</v>
      </c>
      <c r="E8686" t="s">
        <v>578</v>
      </c>
      <c r="F8686" t="s">
        <v>11</v>
      </c>
      <c r="G8686" t="s">
        <v>7899</v>
      </c>
      <c r="H8686" s="12">
        <v>-1.1505063130890401</v>
      </c>
      <c r="I8686" s="20">
        <v>-0.65697147081415797</v>
      </c>
      <c r="J8686" s="28">
        <v>0.51119926080399702</v>
      </c>
      <c r="K8686" s="29">
        <v>0.98289565623980701</v>
      </c>
    </row>
    <row r="8687" spans="1:11" x14ac:dyDescent="0.35">
      <c r="A8687" s="9" t="str">
        <f>HYPERLINK("http://www.ensembl.org/id/WBGene00001078", "WBGene00001078")</f>
        <v>WBGene00001078</v>
      </c>
      <c r="B8687" s="9" t="str">
        <f>HYPERLINK("http://www.ncbi.nlm.nih.gov/gene/191628", "191628")</f>
        <v>191628</v>
      </c>
      <c r="C8687" s="9" t="str">
        <f>HYPERLINK("http://www.ncbi.nlm.nih.gov/gene/23333", "23333")</f>
        <v>23333</v>
      </c>
      <c r="D8687" t="str">
        <f>"dpy-19"</f>
        <v>dpy-19</v>
      </c>
      <c r="E8687" t="s">
        <v>5662</v>
      </c>
      <c r="F8687" t="s">
        <v>11</v>
      </c>
      <c r="G8687" t="s">
        <v>5663</v>
      </c>
      <c r="H8687" s="12">
        <v>1.12679315820024</v>
      </c>
      <c r="I8687" s="20">
        <v>0.477386229901541</v>
      </c>
      <c r="J8687" s="28">
        <v>0.633087117870064</v>
      </c>
      <c r="K8687" s="29">
        <v>0.98289565623980701</v>
      </c>
    </row>
    <row r="8688" spans="1:11" x14ac:dyDescent="0.35">
      <c r="A8688" s="9" t="str">
        <f>HYPERLINK("http://www.ensembl.org/id/WBGene00001064", "WBGene00001064")</f>
        <v>WBGene00001064</v>
      </c>
      <c r="B8688" s="9" t="str">
        <f>HYPERLINK("http://www.ncbi.nlm.nih.gov/gene/174107", "174107")</f>
        <v>174107</v>
      </c>
      <c r="C8688" s="9"/>
      <c r="D8688" t="str">
        <f>"dpy-2"</f>
        <v>dpy-2</v>
      </c>
      <c r="E8688" t="s">
        <v>4913</v>
      </c>
      <c r="F8688" t="s">
        <v>11</v>
      </c>
      <c r="G8688" t="s">
        <v>152</v>
      </c>
      <c r="H8688" s="12">
        <v>1.3056358628932301</v>
      </c>
      <c r="I8688" s="20">
        <v>1.20246674316396</v>
      </c>
      <c r="J8688" s="28">
        <v>0.22918274367253599</v>
      </c>
      <c r="K8688" s="29">
        <v>0.98289565623980701</v>
      </c>
    </row>
    <row r="8689" spans="1:11" x14ac:dyDescent="0.35">
      <c r="A8689" s="9" t="str">
        <f>HYPERLINK("http://www.ensembl.org/id/WBGene00001079", "WBGene00001079")</f>
        <v>WBGene00001079</v>
      </c>
      <c r="B8689" s="9" t="str">
        <f>HYPERLINK("http://www.ncbi.nlm.nih.gov/gene/178105", "178105")</f>
        <v>178105</v>
      </c>
      <c r="C8689" s="9"/>
      <c r="D8689" t="str">
        <f>"dpy-20"</f>
        <v>dpy-20</v>
      </c>
      <c r="F8689" t="s">
        <v>11</v>
      </c>
      <c r="G8689" t="s">
        <v>350</v>
      </c>
      <c r="H8689" s="12">
        <v>1.60129436471585</v>
      </c>
      <c r="I8689" s="20">
        <v>0.50860423977835101</v>
      </c>
      <c r="J8689" s="28">
        <v>0.61102965653433705</v>
      </c>
      <c r="K8689" s="29">
        <v>0.98289565623980701</v>
      </c>
    </row>
    <row r="8690" spans="1:11" x14ac:dyDescent="0.35">
      <c r="A8690" s="9" t="str">
        <f>HYPERLINK("http://www.ensembl.org/id/WBGene00001080", "WBGene00001080")</f>
        <v>WBGene00001080</v>
      </c>
      <c r="B8690" s="9" t="str">
        <f>HYPERLINK("http://www.ncbi.nlm.nih.gov/gene/180176", "180176")</f>
        <v>180176</v>
      </c>
      <c r="C8690" s="9"/>
      <c r="D8690" t="str">
        <f>"dpy-21"</f>
        <v>dpy-21</v>
      </c>
      <c r="E8690" t="s">
        <v>6113</v>
      </c>
      <c r="F8690" t="s">
        <v>11</v>
      </c>
      <c r="G8690" t="s">
        <v>228</v>
      </c>
      <c r="H8690" s="12">
        <v>1.0578747511032101</v>
      </c>
      <c r="I8690" s="20">
        <v>0.30363293919923301</v>
      </c>
      <c r="J8690" s="28">
        <v>0.76140755376970304</v>
      </c>
      <c r="K8690" s="29">
        <v>0.98289565623980701</v>
      </c>
    </row>
    <row r="8691" spans="1:11" x14ac:dyDescent="0.35">
      <c r="A8691" s="9" t="str">
        <f>HYPERLINK("http://www.ensembl.org/id/WBGene00001086", "WBGene00001086")</f>
        <v>WBGene00001086</v>
      </c>
      <c r="B8691" s="9" t="str">
        <f>HYPERLINK("http://www.ncbi.nlm.nih.gov/gene/175492", "175492")</f>
        <v>175492</v>
      </c>
      <c r="C8691" s="9"/>
      <c r="D8691" t="str">
        <f>"dpy-27"</f>
        <v>dpy-27</v>
      </c>
      <c r="E8691" t="s">
        <v>5148</v>
      </c>
      <c r="F8691" t="s">
        <v>11</v>
      </c>
      <c r="G8691" t="s">
        <v>5149</v>
      </c>
      <c r="H8691" s="12">
        <v>1.2291545160829001</v>
      </c>
      <c r="I8691" s="20">
        <v>1.0873729448859299</v>
      </c>
      <c r="J8691" s="28">
        <v>0.27687202296528202</v>
      </c>
      <c r="K8691" s="29">
        <v>0.98289565623980701</v>
      </c>
    </row>
    <row r="8692" spans="1:11" x14ac:dyDescent="0.35">
      <c r="A8692" s="9" t="str">
        <f>HYPERLINK("http://www.ensembl.org/id/WBGene00001087", "WBGene00001087")</f>
        <v>WBGene00001087</v>
      </c>
      <c r="B8692" s="9" t="str">
        <f>HYPERLINK("http://www.ncbi.nlm.nih.gov/gene/176509", "176509")</f>
        <v>176509</v>
      </c>
      <c r="C8692" s="9"/>
      <c r="D8692" t="str">
        <f>"dpy-28"</f>
        <v>dpy-28</v>
      </c>
      <c r="E8692" t="s">
        <v>5926</v>
      </c>
      <c r="F8692" t="s">
        <v>11</v>
      </c>
      <c r="G8692" t="s">
        <v>5927</v>
      </c>
      <c r="H8692" s="12">
        <v>1.08390654489145</v>
      </c>
      <c r="I8692" s="20">
        <v>0.43637240632900498</v>
      </c>
      <c r="J8692" s="28">
        <v>0.66256655589883195</v>
      </c>
      <c r="K8692" s="29">
        <v>0.98289565623980701</v>
      </c>
    </row>
    <row r="8693" spans="1:11" x14ac:dyDescent="0.35">
      <c r="A8693" s="9" t="str">
        <f>HYPERLINK("http://www.ensembl.org/id/WBGene00001088", "WBGene00001088")</f>
        <v>WBGene00001088</v>
      </c>
      <c r="B8693" s="9" t="str">
        <f>HYPERLINK("http://www.ncbi.nlm.nih.gov/gene/179671", "179671")</f>
        <v>179671</v>
      </c>
      <c r="C8693" s="9"/>
      <c r="D8693" t="str">
        <f>"dpy-30"</f>
        <v>dpy-30</v>
      </c>
      <c r="E8693" t="s">
        <v>6164</v>
      </c>
      <c r="F8693" t="s">
        <v>11</v>
      </c>
      <c r="G8693" t="s">
        <v>6165</v>
      </c>
      <c r="H8693" s="12">
        <v>-1.0502620888807701</v>
      </c>
      <c r="I8693" s="20">
        <v>-0.25914155441562098</v>
      </c>
      <c r="J8693" s="28">
        <v>0.79552602378864601</v>
      </c>
      <c r="K8693" s="29">
        <v>0.98289565623980701</v>
      </c>
    </row>
    <row r="8694" spans="1:11" x14ac:dyDescent="0.35">
      <c r="A8694" s="9" t="str">
        <f>HYPERLINK("http://www.ensembl.org/id/WBGene00001069", "WBGene00001069")</f>
        <v>WBGene00001069</v>
      </c>
      <c r="B8694" s="9" t="str">
        <f>HYPERLINK("http://www.ncbi.nlm.nih.gov/gene/181013", "181013")</f>
        <v>181013</v>
      </c>
      <c r="C8694" s="9"/>
      <c r="D8694" t="str">
        <f>"dpy-7"</f>
        <v>dpy-7</v>
      </c>
      <c r="E8694" t="s">
        <v>7073</v>
      </c>
      <c r="F8694" t="s">
        <v>11</v>
      </c>
      <c r="G8694" t="s">
        <v>152</v>
      </c>
      <c r="H8694" s="12">
        <v>-1.1056450178264701</v>
      </c>
      <c r="I8694" s="20">
        <v>-0.44073478258308102</v>
      </c>
      <c r="J8694" s="28">
        <v>0.65940501257932904</v>
      </c>
      <c r="K8694" s="29">
        <v>0.98289565623980701</v>
      </c>
    </row>
    <row r="8695" spans="1:11" x14ac:dyDescent="0.35">
      <c r="A8695" s="9" t="str">
        <f>HYPERLINK("http://www.ensembl.org/id/WBGene00022154", "WBGene00022154")</f>
        <v>WBGene00022154</v>
      </c>
      <c r="B8695" s="9" t="str">
        <f>HYPERLINK("http://www.ncbi.nlm.nih.gov/gene/190602", "190602")</f>
        <v>190602</v>
      </c>
      <c r="C8695" s="9" t="str">
        <f>HYPERLINK("http://www.ncbi.nlm.nih.gov/gene/285704", "285704")</f>
        <v>285704</v>
      </c>
      <c r="D8695" t="str">
        <f>"drag-1"</f>
        <v>drag-1</v>
      </c>
      <c r="E8695" t="s">
        <v>4947</v>
      </c>
      <c r="F8695" t="s">
        <v>11</v>
      </c>
      <c r="G8695" t="s">
        <v>4948</v>
      </c>
      <c r="H8695" s="12">
        <v>1.2856662557988401</v>
      </c>
      <c r="I8695" s="20">
        <v>0.74579803662758903</v>
      </c>
      <c r="J8695" s="28">
        <v>0.45578942617512302</v>
      </c>
      <c r="K8695" s="29">
        <v>0.98289565623980701</v>
      </c>
    </row>
    <row r="8696" spans="1:11" x14ac:dyDescent="0.35">
      <c r="A8696" s="9" t="str">
        <f>HYPERLINK("http://www.ensembl.org/id/WBGene00009584", "WBGene00009584")</f>
        <v>WBGene00009584</v>
      </c>
      <c r="B8696" s="9" t="str">
        <f>HYPERLINK("http://www.ncbi.nlm.nih.gov/gene/179365", "179365")</f>
        <v>179365</v>
      </c>
      <c r="C8696" s="9"/>
      <c r="D8696" t="str">
        <f>"drap-1"</f>
        <v>drap-1</v>
      </c>
      <c r="E8696" t="s">
        <v>6743</v>
      </c>
      <c r="F8696" t="s">
        <v>11</v>
      </c>
      <c r="G8696" t="s">
        <v>6744</v>
      </c>
      <c r="H8696" s="12">
        <v>-1.0867709191788399</v>
      </c>
      <c r="I8696" s="20">
        <v>-0.45226895777870202</v>
      </c>
      <c r="J8696" s="28">
        <v>0.65107523600676898</v>
      </c>
      <c r="K8696" s="29">
        <v>0.98289565623980701</v>
      </c>
    </row>
    <row r="8697" spans="1:11" x14ac:dyDescent="0.35">
      <c r="A8697" s="9" t="str">
        <f>HYPERLINK("http://www.ensembl.org/id/WBGene00009902", "WBGene00009902")</f>
        <v>WBGene00009902</v>
      </c>
      <c r="B8697" s="9" t="str">
        <f>HYPERLINK("http://www.ncbi.nlm.nih.gov/gene/174339", "174339")</f>
        <v>174339</v>
      </c>
      <c r="C8697" s="9" t="str">
        <f>HYPERLINK("http://www.ncbi.nlm.nih.gov/gene/10826", "10826")</f>
        <v>10826</v>
      </c>
      <c r="D8697" t="str">
        <f>"drd-1"</f>
        <v>drd-1</v>
      </c>
      <c r="E8697" t="s">
        <v>3610</v>
      </c>
      <c r="F8697" t="s">
        <v>11</v>
      </c>
      <c r="G8697" t="s">
        <v>9812</v>
      </c>
      <c r="H8697" s="12">
        <v>-1.30820403696844</v>
      </c>
      <c r="I8697" s="20">
        <v>-0.70101803079469904</v>
      </c>
      <c r="J8697" s="28">
        <v>0.48329176279331298</v>
      </c>
      <c r="K8697" s="29">
        <v>0.98289565623980701</v>
      </c>
    </row>
    <row r="8698" spans="1:11" x14ac:dyDescent="0.35">
      <c r="A8698" s="9" t="str">
        <f>HYPERLINK("http://www.ensembl.org/id/WBGene00016361", "WBGene00016361")</f>
        <v>WBGene00016361</v>
      </c>
      <c r="B8698" s="9" t="str">
        <f>HYPERLINK("http://www.ncbi.nlm.nih.gov/gene/183175", "183175")</f>
        <v>183175</v>
      </c>
      <c r="C8698" s="9"/>
      <c r="D8698" t="str">
        <f>"drd-10"</f>
        <v>drd-10</v>
      </c>
      <c r="E8698" t="s">
        <v>3610</v>
      </c>
      <c r="F8698" t="s">
        <v>11</v>
      </c>
      <c r="H8698" s="12">
        <v>1.84799483007169</v>
      </c>
      <c r="I8698" s="20">
        <v>1.0407077555587201</v>
      </c>
      <c r="J8698" s="28">
        <v>0.29801120268315501</v>
      </c>
      <c r="K8698" s="29">
        <v>0.98289565623980701</v>
      </c>
    </row>
    <row r="8699" spans="1:11" x14ac:dyDescent="0.35">
      <c r="A8699" s="9" t="str">
        <f>HYPERLINK("http://www.ensembl.org/id/WBGene00018643", "WBGene00018643")</f>
        <v>WBGene00018643</v>
      </c>
      <c r="B8699" s="9" t="str">
        <f>HYPERLINK("http://www.ncbi.nlm.nih.gov/gene/177176", "177176")</f>
        <v>177176</v>
      </c>
      <c r="C8699" s="9"/>
      <c r="D8699" t="str">
        <f>"drd-50"</f>
        <v>drd-50</v>
      </c>
      <c r="E8699" t="s">
        <v>3610</v>
      </c>
      <c r="F8699" t="s">
        <v>11</v>
      </c>
      <c r="G8699" t="s">
        <v>10105</v>
      </c>
      <c r="H8699" s="12">
        <v>-3.88516794278459</v>
      </c>
      <c r="I8699" s="20">
        <v>-0.59321012057769795</v>
      </c>
      <c r="J8699" s="28">
        <v>0.55304054038730399</v>
      </c>
      <c r="K8699" s="29">
        <v>0.98289565623980701</v>
      </c>
    </row>
    <row r="8700" spans="1:11" x14ac:dyDescent="0.35">
      <c r="A8700" s="9" t="str">
        <f>HYPERLINK("http://www.ensembl.org/id/WBGene00001089", "WBGene00001089")</f>
        <v>WBGene00001089</v>
      </c>
      <c r="B8700" s="9" t="str">
        <f>HYPERLINK("http://www.ncbi.nlm.nih.gov/gene/179045", "179045")</f>
        <v>179045</v>
      </c>
      <c r="C8700" s="9" t="str">
        <f>HYPERLINK("http://www.ncbi.nlm.nih.gov/gene/80204", "80204")</f>
        <v>80204</v>
      </c>
      <c r="D8700" t="str">
        <f>"dre-1"</f>
        <v>dre-1</v>
      </c>
      <c r="E8700" t="s">
        <v>5561</v>
      </c>
      <c r="F8700" t="s">
        <v>11</v>
      </c>
      <c r="G8700" t="s">
        <v>5562</v>
      </c>
      <c r="H8700" s="12">
        <v>1.1458309156478701</v>
      </c>
      <c r="I8700" s="20">
        <v>0.717960864780124</v>
      </c>
      <c r="J8700" s="28">
        <v>0.472781417482942</v>
      </c>
      <c r="K8700" s="29">
        <v>0.98289565623980701</v>
      </c>
    </row>
    <row r="8701" spans="1:11" x14ac:dyDescent="0.35">
      <c r="A8701" s="9" t="str">
        <f>HYPERLINK("http://www.ensembl.org/id/WBGene00008400", "WBGene00008400")</f>
        <v>WBGene00008400</v>
      </c>
      <c r="B8701" s="9" t="str">
        <f>HYPERLINK("http://www.ncbi.nlm.nih.gov/gene/172546", "172546")</f>
        <v>172546</v>
      </c>
      <c r="C8701" s="9"/>
      <c r="D8701" t="str">
        <f>"drh-3"</f>
        <v>drh-3</v>
      </c>
      <c r="E8701" t="s">
        <v>3451</v>
      </c>
      <c r="F8701" t="s">
        <v>11</v>
      </c>
      <c r="G8701" t="s">
        <v>8464</v>
      </c>
      <c r="H8701" s="12">
        <v>-1.1793238522146099</v>
      </c>
      <c r="I8701" s="20">
        <v>-0.79816275941258097</v>
      </c>
      <c r="J8701" s="28">
        <v>0.42477604537999403</v>
      </c>
      <c r="K8701" s="29">
        <v>0.98289565623980701</v>
      </c>
    </row>
    <row r="8702" spans="1:11" x14ac:dyDescent="0.35">
      <c r="A8702" s="9" t="str">
        <f>HYPERLINK("http://www.ensembl.org/id/WBGene00022550", "WBGene00022550")</f>
        <v>WBGene00022550</v>
      </c>
      <c r="B8702" s="9" t="str">
        <f>HYPERLINK("http://www.ncbi.nlm.nih.gov/gene/191105", "191105")</f>
        <v>191105</v>
      </c>
      <c r="C8702" s="9"/>
      <c r="D8702" t="str">
        <f>"droe-8"</f>
        <v>droe-8</v>
      </c>
      <c r="E8702" t="s">
        <v>2050</v>
      </c>
      <c r="F8702" t="s">
        <v>11</v>
      </c>
      <c r="H8702" s="12">
        <v>-1.60950847315053</v>
      </c>
      <c r="I8702" s="20">
        <v>-1.0022487083602001</v>
      </c>
      <c r="J8702" s="28">
        <v>0.31622348825035201</v>
      </c>
      <c r="K8702" s="29">
        <v>0.98289565623980701</v>
      </c>
    </row>
    <row r="8703" spans="1:11" x14ac:dyDescent="0.35">
      <c r="A8703" s="9" t="str">
        <f>HYPERLINK("http://www.ensembl.org/id/WBGene00009741", "WBGene00009741")</f>
        <v>WBGene00009741</v>
      </c>
      <c r="B8703" s="9" t="str">
        <f>HYPERLINK("http://www.ncbi.nlm.nih.gov/gene/174994", "174994")</f>
        <v>174994</v>
      </c>
      <c r="C8703" s="9"/>
      <c r="D8703" t="str">
        <f>"drr-1"</f>
        <v>drr-1</v>
      </c>
      <c r="E8703" t="s">
        <v>9180</v>
      </c>
      <c r="F8703" t="s">
        <v>11</v>
      </c>
      <c r="G8703" t="s">
        <v>25</v>
      </c>
      <c r="H8703" s="12">
        <v>-1.2681424268724499</v>
      </c>
      <c r="I8703" s="20">
        <v>-1.07646096319074</v>
      </c>
      <c r="J8703" s="28">
        <v>0.281721150356116</v>
      </c>
      <c r="K8703" s="29">
        <v>0.98289565623980701</v>
      </c>
    </row>
    <row r="8704" spans="1:11" x14ac:dyDescent="0.35">
      <c r="A8704" s="9" t="str">
        <f>HYPERLINK("http://www.ensembl.org/id/WBGene00011730", "WBGene00011730")</f>
        <v>WBGene00011730</v>
      </c>
      <c r="B8704" s="9" t="str">
        <f>HYPERLINK("http://www.ncbi.nlm.nih.gov/gene/259546", "259546")</f>
        <v>259546</v>
      </c>
      <c r="C8704" s="9"/>
      <c r="D8704" t="str">
        <f>"drr-2"</f>
        <v>drr-2</v>
      </c>
      <c r="E8704" t="s">
        <v>9180</v>
      </c>
      <c r="F8704" t="s">
        <v>11</v>
      </c>
      <c r="G8704" t="s">
        <v>9181</v>
      </c>
      <c r="H8704" s="12">
        <v>-1.22668563488463</v>
      </c>
      <c r="I8704" s="20">
        <v>-0.95372078243896596</v>
      </c>
      <c r="J8704" s="28">
        <v>0.34022499747013601</v>
      </c>
      <c r="K8704" s="29">
        <v>0.98289565623980701</v>
      </c>
    </row>
    <row r="8705" spans="1:11" x14ac:dyDescent="0.35">
      <c r="A8705" s="9" t="str">
        <f>HYPERLINK("http://www.ensembl.org/id/WBGene00016701", "WBGene00016701")</f>
        <v>WBGene00016701</v>
      </c>
      <c r="B8705" s="9" t="str">
        <f>HYPERLINK("http://www.ncbi.nlm.nih.gov/gene/183499", "183499")</f>
        <v>183499</v>
      </c>
      <c r="C8705" s="9"/>
      <c r="D8705" t="str">
        <f>"dsb-3"</f>
        <v>dsb-3</v>
      </c>
      <c r="E8705" t="s">
        <v>531</v>
      </c>
      <c r="F8705" t="s">
        <v>11</v>
      </c>
      <c r="H8705" s="12">
        <v>-1.3998257386394299</v>
      </c>
      <c r="I8705" s="20">
        <v>-1.06596199026989</v>
      </c>
      <c r="J8705" s="28">
        <v>0.286440824435024</v>
      </c>
      <c r="K8705" s="29">
        <v>0.98289565623980701</v>
      </c>
    </row>
    <row r="8706" spans="1:11" x14ac:dyDescent="0.35">
      <c r="A8706" s="9" t="str">
        <f>HYPERLINK("http://www.ensembl.org/id/WBGene00013697", "WBGene00013697")</f>
        <v>WBGene00013697</v>
      </c>
      <c r="B8706" s="9" t="str">
        <f>HYPERLINK("http://www.ncbi.nlm.nih.gov/gene/172849", "172849")</f>
        <v>172849</v>
      </c>
      <c r="C8706" s="9"/>
      <c r="D8706" t="str">
        <f>"dsbn-1"</f>
        <v>dsbn-1</v>
      </c>
      <c r="E8706" t="s">
        <v>9536</v>
      </c>
      <c r="F8706" t="s">
        <v>11</v>
      </c>
      <c r="H8706" s="12">
        <v>-1.2561881059764299</v>
      </c>
      <c r="I8706" s="20">
        <v>-1.1458370833197999</v>
      </c>
      <c r="J8706" s="28">
        <v>0.25186256809500901</v>
      </c>
      <c r="K8706" s="29">
        <v>0.98289565623980701</v>
      </c>
    </row>
    <row r="8707" spans="1:11" x14ac:dyDescent="0.35">
      <c r="A8707" s="9" t="str">
        <f>HYPERLINK("http://www.ensembl.org/id/WBGene00001096", "WBGene00001096")</f>
        <v>WBGene00001096</v>
      </c>
      <c r="B8707" s="9" t="str">
        <f>HYPERLINK("http://www.ncbi.nlm.nih.gov/gene/181599", "181599")</f>
        <v>181599</v>
      </c>
      <c r="C8707" s="9"/>
      <c r="D8707" t="str">
        <f>"dsc-1"</f>
        <v>dsc-1</v>
      </c>
      <c r="E8707" t="s">
        <v>4552</v>
      </c>
      <c r="F8707" t="s">
        <v>11</v>
      </c>
      <c r="G8707" t="s">
        <v>1012</v>
      </c>
      <c r="H8707" s="12">
        <v>1.7111954982481801</v>
      </c>
      <c r="I8707" s="20">
        <v>1.14083196694662</v>
      </c>
      <c r="J8707" s="28">
        <v>0.25393985509149702</v>
      </c>
      <c r="K8707" s="29">
        <v>0.98289565623980701</v>
      </c>
    </row>
    <row r="8708" spans="1:11" x14ac:dyDescent="0.35">
      <c r="A8708" s="9" t="str">
        <f>HYPERLINK("http://www.ensembl.org/id/WBGene00001101", "WBGene00001101")</f>
        <v>WBGene00001101</v>
      </c>
      <c r="B8708" s="9" t="str">
        <f>HYPERLINK("http://www.ncbi.nlm.nih.gov/gene/173894", "173894")</f>
        <v>173894</v>
      </c>
      <c r="C8708" s="9" t="str">
        <f>HYPERLINK("http://www.ncbi.nlm.nih.gov/gene/1856", "1856")</f>
        <v>1856</v>
      </c>
      <c r="D8708" t="str">
        <f>"dsh-1"</f>
        <v>dsh-1</v>
      </c>
      <c r="E8708" t="s">
        <v>5249</v>
      </c>
      <c r="F8708" t="s">
        <v>11</v>
      </c>
      <c r="G8708" t="s">
        <v>5250</v>
      </c>
      <c r="H8708" s="12">
        <v>1.20438480645364</v>
      </c>
      <c r="I8708" s="20">
        <v>0.97811385508985205</v>
      </c>
      <c r="J8708" s="28">
        <v>0.32801801603639902</v>
      </c>
      <c r="K8708" s="29">
        <v>0.98289565623980701</v>
      </c>
    </row>
    <row r="8709" spans="1:11" x14ac:dyDescent="0.35">
      <c r="A8709" s="9" t="str">
        <f>HYPERLINK("http://www.ensembl.org/id/WBGene00001102", "WBGene00001102")</f>
        <v>WBGene00001102</v>
      </c>
      <c r="B8709" s="9" t="str">
        <f>HYPERLINK("http://www.ncbi.nlm.nih.gov/gene/266854", "266854")</f>
        <v>266854</v>
      </c>
      <c r="C8709" s="9" t="str">
        <f>HYPERLINK("http://www.ncbi.nlm.nih.gov/gene/1856", "1856")</f>
        <v>1856</v>
      </c>
      <c r="D8709" t="str">
        <f>"dsh-2"</f>
        <v>dsh-2</v>
      </c>
      <c r="E8709" t="s">
        <v>5249</v>
      </c>
      <c r="F8709" t="s">
        <v>11</v>
      </c>
      <c r="G8709" t="s">
        <v>6574</v>
      </c>
      <c r="H8709" s="12">
        <v>-1.0772805600034501</v>
      </c>
      <c r="I8709" s="20">
        <v>-0.30562574231941497</v>
      </c>
      <c r="J8709" s="28">
        <v>0.75988961820540901</v>
      </c>
      <c r="K8709" s="29">
        <v>0.98289565623980701</v>
      </c>
    </row>
    <row r="8710" spans="1:11" x14ac:dyDescent="0.35">
      <c r="A8710" s="9" t="str">
        <f>HYPERLINK("http://www.ensembl.org/id/WBGene00001103", "WBGene00001103")</f>
        <v>WBGene00001103</v>
      </c>
      <c r="B8710" s="9" t="str">
        <f>HYPERLINK("http://www.ncbi.nlm.nih.gov/gene/176939", "176939")</f>
        <v>176939</v>
      </c>
      <c r="C8710" s="9"/>
      <c r="D8710" t="str">
        <f>"dsl-1"</f>
        <v>dsl-1</v>
      </c>
      <c r="E8710" t="s">
        <v>3247</v>
      </c>
      <c r="F8710" t="s">
        <v>11</v>
      </c>
      <c r="G8710" t="s">
        <v>8556</v>
      </c>
      <c r="H8710" s="12">
        <v>-1.1833790958942401</v>
      </c>
      <c r="I8710" s="20">
        <v>-0.329761738119979</v>
      </c>
      <c r="J8710" s="28">
        <v>0.74158000019369896</v>
      </c>
      <c r="K8710" s="29">
        <v>0.98289565623980701</v>
      </c>
    </row>
    <row r="8711" spans="1:11" x14ac:dyDescent="0.35">
      <c r="A8711" s="9" t="str">
        <f>HYPERLINK("http://www.ensembl.org/id/WBGene00001106", "WBGene00001106")</f>
        <v>WBGene00001106</v>
      </c>
      <c r="B8711" s="9" t="str">
        <f>HYPERLINK("http://www.ncbi.nlm.nih.gov/gene/184563", "184563")</f>
        <v>184563</v>
      </c>
      <c r="C8711" s="9"/>
      <c r="D8711" t="str">
        <f>"dsl-4"</f>
        <v>dsl-4</v>
      </c>
      <c r="E8711" t="s">
        <v>3247</v>
      </c>
      <c r="F8711" t="s">
        <v>11</v>
      </c>
      <c r="G8711" t="s">
        <v>9982</v>
      </c>
      <c r="H8711" s="12">
        <v>-1.5666124406508899</v>
      </c>
      <c r="I8711" s="20">
        <v>-0.55517483699987802</v>
      </c>
      <c r="J8711" s="28">
        <v>0.57877507851564403</v>
      </c>
      <c r="K8711" s="29">
        <v>0.98289565623980701</v>
      </c>
    </row>
    <row r="8712" spans="1:11" x14ac:dyDescent="0.35">
      <c r="A8712" s="9" t="str">
        <f>HYPERLINK("http://www.ensembl.org/id/WBGene00001109", "WBGene00001109")</f>
        <v>WBGene00001109</v>
      </c>
      <c r="B8712" s="9" t="str">
        <f>HYPERLINK("http://www.ncbi.nlm.nih.gov/gene/3565725", "3565725")</f>
        <v>3565725</v>
      </c>
      <c r="C8712" s="9"/>
      <c r="D8712" t="str">
        <f>"dsl-7"</f>
        <v>dsl-7</v>
      </c>
      <c r="E8712" t="s">
        <v>3247</v>
      </c>
      <c r="F8712" t="s">
        <v>11</v>
      </c>
      <c r="G8712" t="s">
        <v>3248</v>
      </c>
      <c r="H8712" s="12">
        <v>1.30037938862879</v>
      </c>
      <c r="I8712" s="20">
        <v>0.46629205071826102</v>
      </c>
      <c r="J8712" s="28">
        <v>0.64100646798638805</v>
      </c>
      <c r="K8712" s="29">
        <v>0.98289565623980701</v>
      </c>
    </row>
    <row r="8713" spans="1:11" x14ac:dyDescent="0.35">
      <c r="A8713" s="9" t="str">
        <f>HYPERLINK("http://www.ensembl.org/id/WBGene00022492", "WBGene00022492")</f>
        <v>WBGene00022492</v>
      </c>
      <c r="B8713" s="9" t="str">
        <f>HYPERLINK("http://www.ncbi.nlm.nih.gov/gene/175284", "175284")</f>
        <v>175284</v>
      </c>
      <c r="C8713" s="9"/>
      <c r="D8713" t="str">
        <f>"dss-1"</f>
        <v>dss-1</v>
      </c>
      <c r="E8713" t="s">
        <v>8650</v>
      </c>
      <c r="F8713" t="s">
        <v>11</v>
      </c>
      <c r="G8713" t="s">
        <v>8651</v>
      </c>
      <c r="H8713" s="12">
        <v>-1.18870809305643</v>
      </c>
      <c r="I8713" s="20">
        <v>-0.91165080921453701</v>
      </c>
      <c r="J8713" s="28">
        <v>0.361952566473346</v>
      </c>
      <c r="K8713" s="29">
        <v>0.98289565623980701</v>
      </c>
    </row>
    <row r="8714" spans="1:11" x14ac:dyDescent="0.35">
      <c r="A8714" s="9" t="str">
        <f>HYPERLINK("http://www.ensembl.org/id/WBGene00001111", "WBGene00001111")</f>
        <v>WBGene00001111</v>
      </c>
      <c r="B8714" s="9"/>
      <c r="C8714" s="9"/>
      <c r="D8714" t="str">
        <f>"duo-2"</f>
        <v>duo-2</v>
      </c>
      <c r="F8714" t="s">
        <v>80</v>
      </c>
      <c r="H8714" s="12">
        <v>1.7628574958032499</v>
      </c>
      <c r="I8714" s="20">
        <v>0.54934550381382896</v>
      </c>
      <c r="J8714" s="28">
        <v>0.58276836524257003</v>
      </c>
      <c r="K8714" s="29">
        <v>0.98289565623980701</v>
      </c>
    </row>
    <row r="8715" spans="1:11" x14ac:dyDescent="0.35">
      <c r="A8715" s="9" t="str">
        <f>HYPERLINK("http://www.ensembl.org/id/WBGene00018771", "WBGene00018771")</f>
        <v>WBGene00018771</v>
      </c>
      <c r="B8715" s="9" t="str">
        <f>HYPERLINK("http://www.ncbi.nlm.nih.gov/gene/186188", "186188")</f>
        <v>186188</v>
      </c>
      <c r="C8715" s="9" t="str">
        <f>HYPERLINK("http://www.ncbi.nlm.nih.gov/gene/50506", "50506")</f>
        <v>50506</v>
      </c>
      <c r="D8715" t="str">
        <f>"duox-2"</f>
        <v>duox-2</v>
      </c>
      <c r="E8715" t="s">
        <v>4749</v>
      </c>
      <c r="F8715" t="s">
        <v>11</v>
      </c>
      <c r="G8715" t="s">
        <v>4750</v>
      </c>
      <c r="H8715" s="12">
        <v>1.4182613907578501</v>
      </c>
      <c r="I8715" s="20">
        <v>0.52860710811357503</v>
      </c>
      <c r="J8715" s="28">
        <v>0.59707802834861201</v>
      </c>
      <c r="K8715" s="29">
        <v>0.98289565623980701</v>
      </c>
    </row>
    <row r="8716" spans="1:11" x14ac:dyDescent="0.35">
      <c r="A8716" s="9" t="str">
        <f>HYPERLINK("http://www.ensembl.org/id/WBGene00013201", "WBGene00013201")</f>
        <v>WBGene00013201</v>
      </c>
      <c r="B8716" s="9" t="str">
        <f>HYPERLINK("http://www.ncbi.nlm.nih.gov/gene/173331", "173331")</f>
        <v>173331</v>
      </c>
      <c r="C8716" s="9" t="str">
        <f>HYPERLINK("http://www.ncbi.nlm.nih.gov/gene/54920", "54920")</f>
        <v>54920</v>
      </c>
      <c r="D8716" t="str">
        <f>"dus-2"</f>
        <v>dus-2</v>
      </c>
      <c r="E8716" t="s">
        <v>6791</v>
      </c>
      <c r="F8716" t="s">
        <v>11</v>
      </c>
      <c r="G8716" t="s">
        <v>6792</v>
      </c>
      <c r="H8716" s="12">
        <v>-1.08923329709869</v>
      </c>
      <c r="I8716" s="20">
        <v>-0.37713043385450301</v>
      </c>
      <c r="J8716" s="28">
        <v>0.70607667523074102</v>
      </c>
      <c r="K8716" s="29">
        <v>0.98289565623980701</v>
      </c>
    </row>
    <row r="8717" spans="1:11" x14ac:dyDescent="0.35">
      <c r="A8717" s="9" t="str">
        <f>HYPERLINK("http://www.ensembl.org/id/WBGene00022861", "WBGene00022861")</f>
        <v>WBGene00022861</v>
      </c>
      <c r="B8717" s="9" t="str">
        <f>HYPERLINK("http://www.ncbi.nlm.nih.gov/gene/180398", "180398")</f>
        <v>180398</v>
      </c>
      <c r="C8717" s="9"/>
      <c r="D8717" t="str">
        <f>"dve-1"</f>
        <v>dve-1</v>
      </c>
      <c r="F8717" t="s">
        <v>11</v>
      </c>
      <c r="G8717" t="s">
        <v>5404</v>
      </c>
      <c r="H8717" s="12">
        <v>1.17096333191457</v>
      </c>
      <c r="I8717" s="20">
        <v>0.83151533354095597</v>
      </c>
      <c r="J8717" s="28">
        <v>0.40568256967743599</v>
      </c>
      <c r="K8717" s="29">
        <v>0.98289565623980701</v>
      </c>
    </row>
    <row r="8718" spans="1:11" x14ac:dyDescent="0.35">
      <c r="A8718" s="9" t="str">
        <f>HYPERLINK("http://www.ensembl.org/id/WBGene00013128", "WBGene00013128")</f>
        <v>WBGene00013128</v>
      </c>
      <c r="B8718" s="9" t="str">
        <f>HYPERLINK("http://www.ncbi.nlm.nih.gov/gene/173005", "173005")</f>
        <v>173005</v>
      </c>
      <c r="C8718" s="9" t="str">
        <f>HYPERLINK("http://www.ncbi.nlm.nih.gov/gene/22944", "22944")</f>
        <v>22944</v>
      </c>
      <c r="D8718" t="str">
        <f>"dxbp-1"</f>
        <v>dxbp-1</v>
      </c>
      <c r="E8718" t="s">
        <v>6540</v>
      </c>
      <c r="F8718" t="s">
        <v>11</v>
      </c>
      <c r="G8718" t="s">
        <v>6541</v>
      </c>
      <c r="H8718" s="12">
        <v>-1.07496567415365</v>
      </c>
      <c r="I8718" s="20">
        <v>-0.33531048604330699</v>
      </c>
      <c r="J8718" s="28">
        <v>0.73739088443168699</v>
      </c>
      <c r="K8718" s="29">
        <v>0.98289565623980701</v>
      </c>
    </row>
    <row r="8719" spans="1:11" x14ac:dyDescent="0.35">
      <c r="A8719" s="9" t="str">
        <f>HYPERLINK("http://www.ensembl.org/id/WBGene00201188", "WBGene00201188")</f>
        <v>WBGene00201188</v>
      </c>
      <c r="B8719" s="9"/>
      <c r="C8719" s="9"/>
      <c r="D8719" t="str">
        <f>"DY3.11"</f>
        <v>DY3.11</v>
      </c>
      <c r="F8719" t="s">
        <v>481</v>
      </c>
      <c r="H8719" s="12">
        <v>1.3712845593504599</v>
      </c>
      <c r="I8719" s="20">
        <v>0.272211506724651</v>
      </c>
      <c r="J8719" s="28">
        <v>0.78545939471392801</v>
      </c>
      <c r="K8719" s="29">
        <v>0.98289565623980701</v>
      </c>
    </row>
    <row r="8720" spans="1:11" x14ac:dyDescent="0.35">
      <c r="A8720" s="9" t="str">
        <f>HYPERLINK("http://www.ensembl.org/id/WBGene00202469", "WBGene00202469")</f>
        <v>WBGene00202469</v>
      </c>
      <c r="B8720" s="9"/>
      <c r="C8720" s="9"/>
      <c r="D8720" t="str">
        <f>"DY3.12"</f>
        <v>DY3.12</v>
      </c>
      <c r="F8720" t="s">
        <v>481</v>
      </c>
      <c r="H8720" s="12">
        <v>-2.4991590031922399</v>
      </c>
      <c r="I8720" s="20">
        <v>-0.26577412737581302</v>
      </c>
      <c r="J8720" s="28">
        <v>0.79041317015736101</v>
      </c>
      <c r="K8720" s="29">
        <v>0.98289565623980701</v>
      </c>
    </row>
    <row r="8721" spans="1:11" x14ac:dyDescent="0.35">
      <c r="A8721" s="9" t="str">
        <f>HYPERLINK("http://www.ensembl.org/id/WBGene00014727", "WBGene00014727")</f>
        <v>WBGene00014727</v>
      </c>
      <c r="B8721" s="9"/>
      <c r="C8721" s="9"/>
      <c r="D8721" t="str">
        <f>"DY3.t1"</f>
        <v>DY3.t1</v>
      </c>
      <c r="F8721" t="s">
        <v>80</v>
      </c>
      <c r="H8721" s="12">
        <v>-2.4991590031922399</v>
      </c>
      <c r="I8721" s="20">
        <v>-0.26577412737581302</v>
      </c>
      <c r="J8721" s="28">
        <v>0.79041317015736101</v>
      </c>
      <c r="K8721" s="29">
        <v>0.98289565623980701</v>
      </c>
    </row>
    <row r="8722" spans="1:11" x14ac:dyDescent="0.35">
      <c r="A8722" s="9" t="str">
        <f>HYPERLINK("http://www.ensembl.org/id/WBGene00014301", "WBGene00014301")</f>
        <v>WBGene00014301</v>
      </c>
      <c r="B8722" s="9"/>
      <c r="C8722" s="9"/>
      <c r="D8722" t="str">
        <f>"DY3.t2"</f>
        <v>DY3.t2</v>
      </c>
      <c r="F8722" t="s">
        <v>4208</v>
      </c>
      <c r="H8722" s="12">
        <v>-2.4858197414385601</v>
      </c>
      <c r="I8722" s="20">
        <v>-0.55014801743682495</v>
      </c>
      <c r="J8722" s="28">
        <v>0.58221785436864804</v>
      </c>
      <c r="K8722" s="29">
        <v>0.98289565623980701</v>
      </c>
    </row>
    <row r="8723" spans="1:11" x14ac:dyDescent="0.35">
      <c r="A8723" s="9" t="str">
        <f>HYPERLINK("http://www.ensembl.org/id/WBGene00001116", "WBGene00001116")</f>
        <v>WBGene00001116</v>
      </c>
      <c r="B8723" s="9" t="str">
        <f>HYPERLINK("http://www.ncbi.nlm.nih.gov/gene/181515", "181515")</f>
        <v>181515</v>
      </c>
      <c r="C8723" s="9"/>
      <c r="D8723" t="str">
        <f>"dyc-1"</f>
        <v>dyc-1</v>
      </c>
      <c r="E8723" t="s">
        <v>4966</v>
      </c>
      <c r="F8723" t="s">
        <v>11</v>
      </c>
      <c r="H8723" s="12">
        <v>1.2761523987113099</v>
      </c>
      <c r="I8723" s="20">
        <v>1.0491885796670599</v>
      </c>
      <c r="J8723" s="28">
        <v>0.29409133376507002</v>
      </c>
      <c r="K8723" s="29">
        <v>0.98289565623980701</v>
      </c>
    </row>
    <row r="8724" spans="1:11" x14ac:dyDescent="0.35">
      <c r="A8724" s="9" t="str">
        <f>HYPERLINK("http://www.ensembl.org/id/WBGene00015927", "WBGene00015927")</f>
        <v>WBGene00015927</v>
      </c>
      <c r="B8724" s="9" t="str">
        <f>HYPERLINK("http://www.ncbi.nlm.nih.gov/gene/177440", "177440")</f>
        <v>177440</v>
      </c>
      <c r="C8724" s="9"/>
      <c r="D8724" t="str">
        <f>"dyci-1"</f>
        <v>dyci-1</v>
      </c>
      <c r="E8724" t="s">
        <v>6891</v>
      </c>
      <c r="F8724" t="s">
        <v>11</v>
      </c>
      <c r="G8724" t="s">
        <v>6892</v>
      </c>
      <c r="H8724" s="12">
        <v>-1.09470443192877</v>
      </c>
      <c r="I8724" s="20">
        <v>-0.49219428984150099</v>
      </c>
      <c r="J8724" s="28">
        <v>0.62258200075121495</v>
      </c>
      <c r="K8724" s="29">
        <v>0.98289565623980701</v>
      </c>
    </row>
    <row r="8725" spans="1:11" x14ac:dyDescent="0.35">
      <c r="A8725" s="9" t="str">
        <f>HYPERLINK("http://www.ensembl.org/id/WBGene00012673", "WBGene00012673")</f>
        <v>WBGene00012673</v>
      </c>
      <c r="B8725" s="9" t="str">
        <f>HYPERLINK("http://www.ncbi.nlm.nih.gov/gene/189733", "189733")</f>
        <v>189733</v>
      </c>
      <c r="C8725" s="9"/>
      <c r="D8725" t="str">
        <f>"dyf-17"</f>
        <v>dyf-17</v>
      </c>
      <c r="F8725" t="s">
        <v>11</v>
      </c>
      <c r="G8725" t="s">
        <v>9999</v>
      </c>
      <c r="H8725" s="12">
        <v>-1.6192117325364099</v>
      </c>
      <c r="I8725" s="20">
        <v>-0.99263917269739799</v>
      </c>
      <c r="J8725" s="28">
        <v>0.32088582757951001</v>
      </c>
      <c r="K8725" s="29">
        <v>0.98289565623980701</v>
      </c>
    </row>
    <row r="8726" spans="1:11" x14ac:dyDescent="0.35">
      <c r="A8726" s="9" t="str">
        <f>HYPERLINK("http://www.ensembl.org/id/WBGene00010349", "WBGene00010349")</f>
        <v>WBGene00010349</v>
      </c>
      <c r="B8726" s="9" t="str">
        <f>HYPERLINK("http://www.ncbi.nlm.nih.gov/gene/186662", "186662")</f>
        <v>186662</v>
      </c>
      <c r="C8726" s="9"/>
      <c r="D8726" t="str">
        <f>"dyf-18"</f>
        <v>dyf-18</v>
      </c>
      <c r="F8726" t="s">
        <v>11</v>
      </c>
      <c r="G8726" t="s">
        <v>4605</v>
      </c>
      <c r="H8726" s="12">
        <v>1.6178150613981599</v>
      </c>
      <c r="I8726" s="20">
        <v>0.71140277383811301</v>
      </c>
      <c r="J8726" s="28">
        <v>0.476834680601047</v>
      </c>
      <c r="K8726" s="29">
        <v>0.98289565623980701</v>
      </c>
    </row>
    <row r="8727" spans="1:11" x14ac:dyDescent="0.35">
      <c r="A8727" s="9" t="str">
        <f>HYPERLINK("http://www.ensembl.org/id/WBGene00001119", "WBGene00001119")</f>
        <v>WBGene00001119</v>
      </c>
      <c r="B8727" s="9" t="str">
        <f>HYPERLINK("http://www.ncbi.nlm.nih.gov/gene/177107", "177107")</f>
        <v>177107</v>
      </c>
      <c r="C8727" s="9" t="str">
        <f>HYPERLINK("http://www.ncbi.nlm.nih.gov/gene/23059", "23059")</f>
        <v>23059</v>
      </c>
      <c r="D8727" t="str">
        <f>"dyf-3"</f>
        <v>dyf-3</v>
      </c>
      <c r="E8727" t="s">
        <v>5754</v>
      </c>
      <c r="F8727" t="s">
        <v>11</v>
      </c>
      <c r="H8727" s="12">
        <v>1.1090514579762101</v>
      </c>
      <c r="I8727" s="20">
        <v>0.285082076088022</v>
      </c>
      <c r="J8727" s="28">
        <v>0.77558126173497699</v>
      </c>
      <c r="K8727" s="29">
        <v>0.98289565623980701</v>
      </c>
    </row>
    <row r="8728" spans="1:11" x14ac:dyDescent="0.35">
      <c r="A8728" s="9" t="str">
        <f>HYPERLINK("http://www.ensembl.org/id/WBGene00001122", "WBGene00001122")</f>
        <v>WBGene00001122</v>
      </c>
      <c r="B8728" s="9" t="str">
        <f>HYPERLINK("http://www.ncbi.nlm.nih.gov/gene/3565899", "3565899")</f>
        <v>3565899</v>
      </c>
      <c r="C8728" s="9" t="str">
        <f>HYPERLINK("http://www.ncbi.nlm.nih.gov/gene/56912", "56912")</f>
        <v>56912</v>
      </c>
      <c r="D8728" t="str">
        <f>"dyf-6"</f>
        <v>dyf-6</v>
      </c>
      <c r="E8728" t="s">
        <v>5749</v>
      </c>
      <c r="F8728" t="s">
        <v>11</v>
      </c>
      <c r="G8728" t="s">
        <v>5750</v>
      </c>
      <c r="H8728" s="12">
        <v>1.10939510305883</v>
      </c>
      <c r="I8728" s="20">
        <v>0.33734462151674699</v>
      </c>
      <c r="J8728" s="28">
        <v>0.735857125895506</v>
      </c>
      <c r="K8728" s="29">
        <v>0.98289565623980701</v>
      </c>
    </row>
    <row r="8729" spans="1:11" x14ac:dyDescent="0.35">
      <c r="A8729" s="9" t="str">
        <f>HYPERLINK("http://www.ensembl.org/id/WBGene00001123", "WBGene00001123")</f>
        <v>WBGene00001123</v>
      </c>
      <c r="B8729" s="9" t="str">
        <f>HYPERLINK("http://www.ncbi.nlm.nih.gov/gene/181183", "181183")</f>
        <v>181183</v>
      </c>
      <c r="C8729" s="9"/>
      <c r="D8729" t="str">
        <f>"dyf-7"</f>
        <v>dyf-7</v>
      </c>
      <c r="F8729" t="s">
        <v>11</v>
      </c>
      <c r="H8729" s="12">
        <v>-1.1723908122081701</v>
      </c>
      <c r="I8729" s="20">
        <v>-0.777669802983464</v>
      </c>
      <c r="J8729" s="28">
        <v>0.436763698546553</v>
      </c>
      <c r="K8729" s="29">
        <v>0.98289565623980701</v>
      </c>
    </row>
    <row r="8730" spans="1:11" x14ac:dyDescent="0.35">
      <c r="A8730" s="9" t="str">
        <f>HYPERLINK("http://www.ensembl.org/id/WBGene00008764", "WBGene00008764")</f>
        <v>WBGene00008764</v>
      </c>
      <c r="B8730" s="9" t="str">
        <f>HYPERLINK("http://www.ncbi.nlm.nih.gov/gene/172476", "172476")</f>
        <v>172476</v>
      </c>
      <c r="C8730" s="9"/>
      <c r="D8730" t="str">
        <f>"dylt-1"</f>
        <v>dylt-1</v>
      </c>
      <c r="E8730" t="s">
        <v>7880</v>
      </c>
      <c r="F8730" t="s">
        <v>11</v>
      </c>
      <c r="H8730" s="12">
        <v>-1.14940963268898</v>
      </c>
      <c r="I8730" s="20">
        <v>-0.69993677040287305</v>
      </c>
      <c r="J8730" s="28">
        <v>0.48396679270081899</v>
      </c>
      <c r="K8730" s="29">
        <v>0.98289565623980701</v>
      </c>
    </row>
    <row r="8731" spans="1:11" x14ac:dyDescent="0.35">
      <c r="A8731" s="9" t="str">
        <f>HYPERLINK("http://www.ensembl.org/id/WBGene00011469", "WBGene00011469")</f>
        <v>WBGene00011469</v>
      </c>
      <c r="B8731" s="9" t="str">
        <f>HYPERLINK("http://www.ncbi.nlm.nih.gov/gene/188123", "188123")</f>
        <v>188123</v>
      </c>
      <c r="C8731" s="9"/>
      <c r="D8731" t="str">
        <f>"dylt-3"</f>
        <v>dylt-3</v>
      </c>
      <c r="E8731" t="s">
        <v>7880</v>
      </c>
      <c r="F8731" t="s">
        <v>11</v>
      </c>
      <c r="H8731" s="12">
        <v>-4.7167679298615104</v>
      </c>
      <c r="I8731" s="20">
        <v>-0.454742638005115</v>
      </c>
      <c r="J8731" s="28">
        <v>0.64929440216969203</v>
      </c>
      <c r="K8731" s="29">
        <v>0.98289565623980701</v>
      </c>
    </row>
    <row r="8732" spans="1:11" x14ac:dyDescent="0.35">
      <c r="A8732" s="9" t="str">
        <f>HYPERLINK("http://www.ensembl.org/id/WBGene00001130", "WBGene00001130")</f>
        <v>WBGene00001130</v>
      </c>
      <c r="B8732" s="9" t="str">
        <f>HYPERLINK("http://www.ncbi.nlm.nih.gov/gene/181644", "181644")</f>
        <v>181644</v>
      </c>
      <c r="C8732" s="9" t="str">
        <f>HYPERLINK("http://www.ncbi.nlm.nih.gov/gene/1759", "1759")</f>
        <v>1759</v>
      </c>
      <c r="D8732" t="str">
        <f>"dyn-1"</f>
        <v>dyn-1</v>
      </c>
      <c r="E8732" t="s">
        <v>8661</v>
      </c>
      <c r="F8732" t="s">
        <v>11</v>
      </c>
      <c r="G8732" t="s">
        <v>2097</v>
      </c>
      <c r="H8732" s="12">
        <v>-1.1892962501804201</v>
      </c>
      <c r="I8732" s="20">
        <v>-0.93121072415228501</v>
      </c>
      <c r="J8732" s="28">
        <v>0.35174457156730798</v>
      </c>
      <c r="K8732" s="29">
        <v>0.98289565623980701</v>
      </c>
    </row>
    <row r="8733" spans="1:11" x14ac:dyDescent="0.35">
      <c r="A8733" s="9" t="str">
        <f>HYPERLINK("http://www.ensembl.org/id/WBGene00012004", "WBGene00012004")</f>
        <v>WBGene00012004</v>
      </c>
      <c r="B8733" s="9" t="str">
        <f>HYPERLINK("http://www.ncbi.nlm.nih.gov/gene/188872", "188872")</f>
        <v>188872</v>
      </c>
      <c r="C8733" s="9" t="str">
        <f>HYPERLINK("http://www.ncbi.nlm.nih.gov/gene/83658", "83658")</f>
        <v>83658</v>
      </c>
      <c r="D8733" t="str">
        <f>"dyrb-1"</f>
        <v>dyrb-1</v>
      </c>
      <c r="E8733" t="s">
        <v>6923</v>
      </c>
      <c r="F8733" t="s">
        <v>11</v>
      </c>
      <c r="G8733" t="s">
        <v>6924</v>
      </c>
      <c r="H8733" s="12">
        <v>-1.09768432920697</v>
      </c>
      <c r="I8733" s="20">
        <v>-0.475979315544593</v>
      </c>
      <c r="J8733" s="28">
        <v>0.63408911411765101</v>
      </c>
      <c r="K8733" s="29">
        <v>0.98289565623980701</v>
      </c>
    </row>
    <row r="8734" spans="1:11" x14ac:dyDescent="0.35">
      <c r="A8734" s="9" t="str">
        <f>HYPERLINK("http://www.ensembl.org/id/WBGene00017153", "WBGene00017153")</f>
        <v>WBGene00017153</v>
      </c>
      <c r="B8734" s="9" t="str">
        <f>HYPERLINK("http://www.ncbi.nlm.nih.gov/gene/3565761", "3565761")</f>
        <v>3565761</v>
      </c>
      <c r="C8734" s="9"/>
      <c r="D8734" t="str">
        <f>"E_BE45912.2"</f>
        <v>E_BE45912.2</v>
      </c>
      <c r="F8734" t="s">
        <v>11</v>
      </c>
      <c r="G8734" t="s">
        <v>25</v>
      </c>
      <c r="H8734" s="12">
        <v>1.30722435588089</v>
      </c>
      <c r="I8734" s="20">
        <v>0.64273747315049801</v>
      </c>
      <c r="J8734" s="28">
        <v>0.52039446125572797</v>
      </c>
      <c r="K8734" s="29">
        <v>0.98289565623980701</v>
      </c>
    </row>
    <row r="8735" spans="1:11" x14ac:dyDescent="0.35">
      <c r="A8735" s="9" t="str">
        <f>HYPERLINK("http://www.ensembl.org/id/WBGene00017084", "WBGene00017084")</f>
        <v>WBGene00017084</v>
      </c>
      <c r="B8735" s="9" t="str">
        <f>HYPERLINK("http://www.ncbi.nlm.nih.gov/gene/171998", "171998")</f>
        <v>171998</v>
      </c>
      <c r="C8735" s="9" t="str">
        <f>HYPERLINK("http://www.ncbi.nlm.nih.gov/gene/2730", "2730")</f>
        <v>2730</v>
      </c>
      <c r="D8735" t="str">
        <f>"E01A2.1"</f>
        <v>E01A2.1</v>
      </c>
      <c r="F8735" t="s">
        <v>11</v>
      </c>
      <c r="G8735" t="s">
        <v>9322</v>
      </c>
      <c r="H8735" s="12">
        <v>-1.2379245606212801</v>
      </c>
      <c r="I8735" s="20">
        <v>-1.06920010097924</v>
      </c>
      <c r="J8735" s="28">
        <v>0.28497951324325999</v>
      </c>
      <c r="K8735" s="29">
        <v>0.98289565623980701</v>
      </c>
    </row>
    <row r="8736" spans="1:11" x14ac:dyDescent="0.35">
      <c r="A8736" s="9" t="str">
        <f>HYPERLINK("http://www.ensembl.org/id/WBGene00017085", "WBGene00017085")</f>
        <v>WBGene00017085</v>
      </c>
      <c r="B8736" s="9" t="str">
        <f>HYPERLINK("http://www.ncbi.nlm.nih.gov/gene/171996", "171996")</f>
        <v>171996</v>
      </c>
      <c r="C8736" s="9" t="str">
        <f>HYPERLINK("http://www.ncbi.nlm.nih.gov/gene/51593", "51593")</f>
        <v>51593</v>
      </c>
      <c r="D8736" t="str">
        <f>"E01A2.2"</f>
        <v>E01A2.2</v>
      </c>
      <c r="E8736" t="s">
        <v>7037</v>
      </c>
      <c r="F8736" t="s">
        <v>11</v>
      </c>
      <c r="G8736" t="s">
        <v>7038</v>
      </c>
      <c r="H8736" s="12">
        <v>-1.1036986666850399</v>
      </c>
      <c r="I8736" s="20">
        <v>-0.46674153429632698</v>
      </c>
      <c r="J8736" s="28">
        <v>0.64068480994390198</v>
      </c>
      <c r="K8736" s="29">
        <v>0.98289565623980701</v>
      </c>
    </row>
    <row r="8737" spans="1:11" x14ac:dyDescent="0.35">
      <c r="A8737" s="9" t="str">
        <f>HYPERLINK("http://www.ensembl.org/id/WBGene00017087", "WBGene00017087")</f>
        <v>WBGene00017087</v>
      </c>
      <c r="B8737" s="9" t="str">
        <f>HYPERLINK("http://www.ncbi.nlm.nih.gov/gene/183978", "183978")</f>
        <v>183978</v>
      </c>
      <c r="C8737" s="9" t="str">
        <f>HYPERLINK("http://www.ncbi.nlm.nih.gov/gene/89978", "89978")</f>
        <v>89978</v>
      </c>
      <c r="D8737" t="str">
        <f>"E01A2.5"</f>
        <v>E01A2.5</v>
      </c>
      <c r="E8737" t="s">
        <v>9896</v>
      </c>
      <c r="F8737" t="s">
        <v>11</v>
      </c>
      <c r="G8737" t="s">
        <v>9897</v>
      </c>
      <c r="H8737" s="12">
        <v>-1.3549267086861401</v>
      </c>
      <c r="I8737" s="20">
        <v>-1.12967555985873</v>
      </c>
      <c r="J8737" s="28">
        <v>0.25861295924111299</v>
      </c>
      <c r="K8737" s="29">
        <v>0.98289565623980701</v>
      </c>
    </row>
    <row r="8738" spans="1:11" x14ac:dyDescent="0.35">
      <c r="A8738" s="9" t="str">
        <f>HYPERLINK("http://www.ensembl.org/id/WBGene00017090", "WBGene00017090")</f>
        <v>WBGene00017090</v>
      </c>
      <c r="B8738" s="9" t="str">
        <f>HYPERLINK("http://www.ncbi.nlm.nih.gov/gene/266828", "266828")</f>
        <v>266828</v>
      </c>
      <c r="C8738" s="9"/>
      <c r="D8738" t="str">
        <f>"E01A2.8"</f>
        <v>E01A2.8</v>
      </c>
      <c r="F8738" t="s">
        <v>11</v>
      </c>
      <c r="H8738" s="12">
        <v>2.0261437073464901</v>
      </c>
      <c r="I8738" s="20">
        <v>0.43625339138457297</v>
      </c>
      <c r="J8738" s="28">
        <v>0.66265289419385698</v>
      </c>
      <c r="K8738" s="29">
        <v>0.98289565623980701</v>
      </c>
    </row>
    <row r="8739" spans="1:11" x14ac:dyDescent="0.35">
      <c r="A8739" s="9" t="str">
        <f>HYPERLINK("http://www.ensembl.org/id/WBGene00008442", "WBGene00008442")</f>
        <v>WBGene00008442</v>
      </c>
      <c r="B8739" s="9" t="str">
        <f>HYPERLINK("http://www.ncbi.nlm.nih.gov/gene/183980", "183980")</f>
        <v>183980</v>
      </c>
      <c r="C8739" s="9"/>
      <c r="D8739" t="str">
        <f>"E01B7.2"</f>
        <v>E01B7.2</v>
      </c>
      <c r="F8739" t="s">
        <v>11</v>
      </c>
      <c r="G8739" t="s">
        <v>3801</v>
      </c>
      <c r="H8739" s="12">
        <v>-1.2972846363821899</v>
      </c>
      <c r="I8739" s="20">
        <v>-0.98379722199160402</v>
      </c>
      <c r="J8739" s="28">
        <v>0.32521522552027399</v>
      </c>
      <c r="K8739" s="29">
        <v>0.98289565623980701</v>
      </c>
    </row>
    <row r="8740" spans="1:11" x14ac:dyDescent="0.35">
      <c r="A8740" s="9" t="str">
        <f>HYPERLINK("http://www.ensembl.org/id/WBGene00008446", "WBGene00008446")</f>
        <v>WBGene00008446</v>
      </c>
      <c r="B8740" s="9" t="str">
        <f>HYPERLINK("http://www.ncbi.nlm.nih.gov/gene/174988", "174988")</f>
        <v>174988</v>
      </c>
      <c r="C8740" s="9"/>
      <c r="D8740" t="str">
        <f>"E01G4.3"</f>
        <v>E01G4.3</v>
      </c>
      <c r="F8740" t="s">
        <v>11</v>
      </c>
      <c r="H8740" s="12">
        <v>1.10021431490675</v>
      </c>
      <c r="I8740" s="20">
        <v>0.47132863374371903</v>
      </c>
      <c r="J8740" s="28">
        <v>0.63740607092136603</v>
      </c>
      <c r="K8740" s="29">
        <v>0.98289565623980701</v>
      </c>
    </row>
    <row r="8741" spans="1:11" x14ac:dyDescent="0.35">
      <c r="A8741" s="9" t="str">
        <f>HYPERLINK("http://www.ensembl.org/id/WBGene00008447", "WBGene00008447")</f>
        <v>WBGene00008447</v>
      </c>
      <c r="B8741" s="9" t="str">
        <f>HYPERLINK("http://www.ncbi.nlm.nih.gov/gene/174989", "174989")</f>
        <v>174989</v>
      </c>
      <c r="C8741" s="9"/>
      <c r="D8741" t="str">
        <f>"E01G4.5"</f>
        <v>E01G4.5</v>
      </c>
      <c r="F8741" t="s">
        <v>11</v>
      </c>
      <c r="H8741" s="12">
        <v>-1.0906655028326799</v>
      </c>
      <c r="I8741" s="20">
        <v>-0.31773742104455599</v>
      </c>
      <c r="J8741" s="28">
        <v>0.750684123137218</v>
      </c>
      <c r="K8741" s="29">
        <v>0.98289565623980701</v>
      </c>
    </row>
    <row r="8742" spans="1:11" x14ac:dyDescent="0.35">
      <c r="A8742" s="9" t="str">
        <f>HYPERLINK("http://www.ensembl.org/id/WBGene00045410", "WBGene00045410")</f>
        <v>WBGene00045410</v>
      </c>
      <c r="B8742" s="9"/>
      <c r="C8742" s="9"/>
      <c r="D8742" t="str">
        <f>"E01G4.7"</f>
        <v>E01G4.7</v>
      </c>
      <c r="F8742" t="s">
        <v>80</v>
      </c>
      <c r="H8742" s="12">
        <v>1.34156828338967</v>
      </c>
      <c r="I8742" s="20">
        <v>1.1711277838132901</v>
      </c>
      <c r="J8742" s="28">
        <v>0.24154741748310901</v>
      </c>
      <c r="K8742" s="29">
        <v>0.98289565623980701</v>
      </c>
    </row>
    <row r="8743" spans="1:11" x14ac:dyDescent="0.35">
      <c r="A8743" s="9" t="str">
        <f>HYPERLINK("http://www.ensembl.org/id/WBGene00200852", "WBGene00200852")</f>
        <v>WBGene00200852</v>
      </c>
      <c r="B8743" s="9"/>
      <c r="C8743" s="9"/>
      <c r="D8743" t="str">
        <f>"E01G6.10"</f>
        <v>E01G6.10</v>
      </c>
      <c r="F8743" t="s">
        <v>481</v>
      </c>
      <c r="H8743" s="12">
        <v>-4.1042428419027104</v>
      </c>
      <c r="I8743" s="20">
        <v>-0.64247511527277501</v>
      </c>
      <c r="J8743" s="28">
        <v>0.52056474169798705</v>
      </c>
      <c r="K8743" s="29">
        <v>0.98289565623980701</v>
      </c>
    </row>
    <row r="8744" spans="1:11" x14ac:dyDescent="0.35">
      <c r="A8744" s="9" t="str">
        <f>HYPERLINK("http://www.ensembl.org/id/WBGene00201135", "WBGene00201135")</f>
        <v>WBGene00201135</v>
      </c>
      <c r="B8744" s="9"/>
      <c r="C8744" s="9"/>
      <c r="D8744" t="str">
        <f>"E01G6.11"</f>
        <v>E01G6.11</v>
      </c>
      <c r="F8744" t="s">
        <v>481</v>
      </c>
      <c r="H8744" s="12">
        <v>3.6645215954135</v>
      </c>
      <c r="I8744" s="20">
        <v>0.37967131826092498</v>
      </c>
      <c r="J8744" s="28">
        <v>0.70418941338960395</v>
      </c>
      <c r="K8744" s="29">
        <v>0.98289565623980701</v>
      </c>
    </row>
    <row r="8745" spans="1:11" x14ac:dyDescent="0.35">
      <c r="A8745" s="9" t="str">
        <f>HYPERLINK("http://www.ensembl.org/id/WBGene00200675", "WBGene00200675")</f>
        <v>WBGene00200675</v>
      </c>
      <c r="B8745" s="9"/>
      <c r="C8745" s="9"/>
      <c r="D8745" t="str">
        <f>"E01G6.8"</f>
        <v>E01G6.8</v>
      </c>
      <c r="F8745" t="s">
        <v>481</v>
      </c>
      <c r="H8745" s="12">
        <v>-2.3838754719136599</v>
      </c>
      <c r="I8745" s="20">
        <v>-0.25807578497976902</v>
      </c>
      <c r="J8745" s="28">
        <v>0.79634841949468704</v>
      </c>
      <c r="K8745" s="29">
        <v>0.98289565623980701</v>
      </c>
    </row>
    <row r="8746" spans="1:11" x14ac:dyDescent="0.35">
      <c r="A8746" s="9" t="str">
        <f>HYPERLINK("http://www.ensembl.org/id/WBGene00197036", "WBGene00197036")</f>
        <v>WBGene00197036</v>
      </c>
      <c r="B8746" s="9"/>
      <c r="C8746" s="9"/>
      <c r="D8746" t="str">
        <f>"E02A10.7"</f>
        <v>E02A10.7</v>
      </c>
      <c r="F8746" t="s">
        <v>481</v>
      </c>
      <c r="H8746" s="12">
        <v>4.4368407117627902</v>
      </c>
      <c r="I8746" s="20">
        <v>0.43709475933309699</v>
      </c>
      <c r="J8746" s="28">
        <v>0.66204262779770495</v>
      </c>
      <c r="K8746" s="29">
        <v>0.98289565623980701</v>
      </c>
    </row>
    <row r="8747" spans="1:11" x14ac:dyDescent="0.35">
      <c r="A8747" s="9" t="str">
        <f>HYPERLINK("http://www.ensembl.org/id/WBGene00199184", "WBGene00199184")</f>
        <v>WBGene00199184</v>
      </c>
      <c r="B8747" s="9"/>
      <c r="C8747" s="9"/>
      <c r="D8747" t="str">
        <f>"E02A10.8"</f>
        <v>E02A10.8</v>
      </c>
      <c r="F8747" t="s">
        <v>481</v>
      </c>
      <c r="H8747" s="12">
        <v>-10.0989263815726</v>
      </c>
      <c r="I8747" s="20">
        <v>-0.68863184780658804</v>
      </c>
      <c r="J8747" s="28">
        <v>0.49105497404077803</v>
      </c>
      <c r="K8747" s="29">
        <v>0.98289565623980701</v>
      </c>
    </row>
    <row r="8748" spans="1:11" x14ac:dyDescent="0.35">
      <c r="A8748" s="9" t="str">
        <f>HYPERLINK("http://www.ensembl.org/id/WBGene00017095", "WBGene00017095")</f>
        <v>WBGene00017095</v>
      </c>
      <c r="B8748" s="9" t="str">
        <f>HYPERLINK("http://www.ncbi.nlm.nih.gov/gene/183989", "183989")</f>
        <v>183989</v>
      </c>
      <c r="C8748" s="9"/>
      <c r="D8748" t="str">
        <f>"E02C12.10"</f>
        <v>E02C12.10</v>
      </c>
      <c r="F8748" t="s">
        <v>11</v>
      </c>
      <c r="H8748" s="12">
        <v>-6.0808845114530197</v>
      </c>
      <c r="I8748" s="20">
        <v>-0.87191720935452199</v>
      </c>
      <c r="J8748" s="28">
        <v>0.38325354460014099</v>
      </c>
      <c r="K8748" s="29">
        <v>0.98289565623980701</v>
      </c>
    </row>
    <row r="8749" spans="1:11" x14ac:dyDescent="0.35">
      <c r="A8749" s="9" t="str">
        <f>HYPERLINK("http://www.ensembl.org/id/WBGene00017096", "WBGene00017096")</f>
        <v>WBGene00017096</v>
      </c>
      <c r="B8749" s="9" t="str">
        <f>HYPERLINK("http://www.ncbi.nlm.nih.gov/gene/183990", "183990")</f>
        <v>183990</v>
      </c>
      <c r="C8749" s="9"/>
      <c r="D8749" t="str">
        <f>"E02C12.11"</f>
        <v>E02C12.11</v>
      </c>
      <c r="F8749" t="s">
        <v>11</v>
      </c>
      <c r="H8749" s="12">
        <v>-6.3507302933957197</v>
      </c>
      <c r="I8749" s="20">
        <v>-0.54348709410156204</v>
      </c>
      <c r="J8749" s="28">
        <v>0.58679447442024202</v>
      </c>
      <c r="K8749" s="29">
        <v>0.98289565623980701</v>
      </c>
    </row>
    <row r="8750" spans="1:11" x14ac:dyDescent="0.35">
      <c r="A8750" s="9" t="str">
        <f>HYPERLINK("http://www.ensembl.org/id/WBGene00017097", "WBGene00017097")</f>
        <v>WBGene00017097</v>
      </c>
      <c r="B8750" s="9" t="str">
        <f>HYPERLINK("http://www.ncbi.nlm.nih.gov/gene/183991", "183991")</f>
        <v>183991</v>
      </c>
      <c r="C8750" s="9"/>
      <c r="D8750" t="str">
        <f>"E02C12.12"</f>
        <v>E02C12.12</v>
      </c>
      <c r="F8750" t="s">
        <v>11</v>
      </c>
      <c r="H8750" s="12">
        <v>-2.0958830325964701</v>
      </c>
      <c r="I8750" s="20">
        <v>-0.58263319377277001</v>
      </c>
      <c r="J8750" s="28">
        <v>0.56014025488653396</v>
      </c>
      <c r="K8750" s="29">
        <v>0.98289565623980701</v>
      </c>
    </row>
    <row r="8751" spans="1:11" x14ac:dyDescent="0.35">
      <c r="A8751" s="9" t="str">
        <f>HYPERLINK("http://www.ensembl.org/id/WBGene00017092", "WBGene00017092")</f>
        <v>WBGene00017092</v>
      </c>
      <c r="B8751" s="9" t="str">
        <f>HYPERLINK("http://www.ncbi.nlm.nih.gov/gene/183987", "183987")</f>
        <v>183987</v>
      </c>
      <c r="C8751" s="9"/>
      <c r="D8751" t="str">
        <f>"E02C12.6"</f>
        <v>E02C12.6</v>
      </c>
      <c r="F8751" t="s">
        <v>11</v>
      </c>
      <c r="H8751" s="12">
        <v>-1.63125649173034</v>
      </c>
      <c r="I8751" s="20">
        <v>-0.57973741797076495</v>
      </c>
      <c r="J8751" s="28">
        <v>0.562091706067541</v>
      </c>
      <c r="K8751" s="29">
        <v>0.98289565623980701</v>
      </c>
    </row>
    <row r="8752" spans="1:11" x14ac:dyDescent="0.35">
      <c r="A8752" s="9" t="str">
        <f>HYPERLINK("http://www.ensembl.org/id/WBGene00017093", "WBGene00017093")</f>
        <v>WBGene00017093</v>
      </c>
      <c r="B8752" s="9" t="str">
        <f>HYPERLINK("http://www.ncbi.nlm.nih.gov/gene/179320", "179320")</f>
        <v>179320</v>
      </c>
      <c r="C8752" s="9"/>
      <c r="D8752" t="str">
        <f>"E02C12.8"</f>
        <v>E02C12.8</v>
      </c>
      <c r="F8752" t="s">
        <v>11</v>
      </c>
      <c r="H8752" s="12">
        <v>1.3604883232330001</v>
      </c>
      <c r="I8752" s="20">
        <v>0.78831227966183104</v>
      </c>
      <c r="J8752" s="28">
        <v>0.43051406666348402</v>
      </c>
      <c r="K8752" s="29">
        <v>0.98289565623980701</v>
      </c>
    </row>
    <row r="8753" spans="1:11" x14ac:dyDescent="0.35">
      <c r="A8753" s="9" t="str">
        <f>HYPERLINK("http://www.ensembl.org/id/WBGene00008455", "WBGene00008455")</f>
        <v>WBGene00008455</v>
      </c>
      <c r="B8753" s="9" t="str">
        <f>HYPERLINK("http://www.ncbi.nlm.nih.gov/gene/183993", "183993")</f>
        <v>183993</v>
      </c>
      <c r="C8753" s="9" t="str">
        <f>HYPERLINK("http://www.ncbi.nlm.nih.gov/gene/27292", "27292")</f>
        <v>27292</v>
      </c>
      <c r="D8753" t="str">
        <f>"E02H1.1"</f>
        <v>E02H1.1</v>
      </c>
      <c r="E8753" t="s">
        <v>8013</v>
      </c>
      <c r="F8753" t="s">
        <v>11</v>
      </c>
      <c r="G8753" t="s">
        <v>8014</v>
      </c>
      <c r="H8753" s="12">
        <v>-1.15615423303461</v>
      </c>
      <c r="I8753" s="20">
        <v>-0.62167944347653403</v>
      </c>
      <c r="J8753" s="28">
        <v>0.53415267120007803</v>
      </c>
      <c r="K8753" s="29">
        <v>0.98289565623980701</v>
      </c>
    </row>
    <row r="8754" spans="1:11" x14ac:dyDescent="0.35">
      <c r="A8754" s="9" t="str">
        <f>HYPERLINK("http://www.ensembl.org/id/WBGene00008457", "WBGene00008457")</f>
        <v>WBGene00008457</v>
      </c>
      <c r="B8754" s="9" t="str">
        <f>HYPERLINK("http://www.ncbi.nlm.nih.gov/gene/174510", "174510")</f>
        <v>174510</v>
      </c>
      <c r="C8754" s="9"/>
      <c r="D8754" t="str">
        <f>"E02H1.5"</f>
        <v>E02H1.5</v>
      </c>
      <c r="F8754" t="s">
        <v>11</v>
      </c>
      <c r="H8754" s="12">
        <v>-1.30921228571207</v>
      </c>
      <c r="I8754" s="20">
        <v>-1.18105131065977</v>
      </c>
      <c r="J8754" s="28">
        <v>0.237582340402895</v>
      </c>
      <c r="K8754" s="29">
        <v>0.98289565623980701</v>
      </c>
    </row>
    <row r="8755" spans="1:11" x14ac:dyDescent="0.35">
      <c r="A8755" s="9" t="str">
        <f>HYPERLINK("http://www.ensembl.org/id/WBGene00008458", "WBGene00008458")</f>
        <v>WBGene00008458</v>
      </c>
      <c r="B8755" s="9" t="str">
        <f>HYPERLINK("http://www.ncbi.nlm.nih.gov/gene/174511", "174511")</f>
        <v>174511</v>
      </c>
      <c r="C8755" s="9" t="str">
        <f>HYPERLINK("http://www.ncbi.nlm.nih.gov/gene/102157402", "102157402")</f>
        <v>102157402</v>
      </c>
      <c r="D8755" t="str">
        <f>"E02H1.6"</f>
        <v>E02H1.6</v>
      </c>
      <c r="E8755" t="s">
        <v>7644</v>
      </c>
      <c r="F8755" t="s">
        <v>11</v>
      </c>
      <c r="G8755" t="s">
        <v>7645</v>
      </c>
      <c r="H8755" s="12">
        <v>-1.1373402558994701</v>
      </c>
      <c r="I8755" s="20">
        <v>-0.47815954649168602</v>
      </c>
      <c r="J8755" s="28">
        <v>0.63253665269871195</v>
      </c>
      <c r="K8755" s="29">
        <v>0.98289565623980701</v>
      </c>
    </row>
    <row r="8756" spans="1:11" x14ac:dyDescent="0.35">
      <c r="A8756" s="9" t="str">
        <f>HYPERLINK("http://www.ensembl.org/id/WBGene00008460", "WBGene00008460")</f>
        <v>WBGene00008460</v>
      </c>
      <c r="B8756" s="9"/>
      <c r="C8756" s="9"/>
      <c r="D8756" t="str">
        <f>"E02H4.2"</f>
        <v>E02H4.2</v>
      </c>
      <c r="F8756" t="s">
        <v>11</v>
      </c>
      <c r="H8756" s="12">
        <v>-1.19500793323709</v>
      </c>
      <c r="I8756" s="20">
        <v>-0.34941589037908399</v>
      </c>
      <c r="J8756" s="28">
        <v>0.72677710542957197</v>
      </c>
      <c r="K8756" s="29">
        <v>0.98289565623980701</v>
      </c>
    </row>
    <row r="8757" spans="1:11" x14ac:dyDescent="0.35">
      <c r="A8757" s="9" t="str">
        <f>HYPERLINK("http://www.ensembl.org/id/WBGene00008463", "WBGene00008463")</f>
        <v>WBGene00008463</v>
      </c>
      <c r="B8757" s="9" t="str">
        <f>HYPERLINK("http://www.ncbi.nlm.nih.gov/gene/183996", "183996")</f>
        <v>183996</v>
      </c>
      <c r="C8757" s="9"/>
      <c r="D8757" t="str">
        <f>"E02H4.5"</f>
        <v>E02H4.5</v>
      </c>
      <c r="F8757" t="s">
        <v>11</v>
      </c>
      <c r="H8757" s="12">
        <v>-1.7173815017170699</v>
      </c>
      <c r="I8757" s="20">
        <v>-0.58525053170418795</v>
      </c>
      <c r="J8757" s="28">
        <v>0.55837927192459602</v>
      </c>
      <c r="K8757" s="29">
        <v>0.98289565623980701</v>
      </c>
    </row>
    <row r="8758" spans="1:11" x14ac:dyDescent="0.35">
      <c r="A8758" s="9" t="str">
        <f>HYPERLINK("http://www.ensembl.org/id/WBGene00017099", "WBGene00017099")</f>
        <v>WBGene00017099</v>
      </c>
      <c r="B8758" s="9" t="str">
        <f>HYPERLINK("http://www.ncbi.nlm.nih.gov/gene/183998", "183998")</f>
        <v>183998</v>
      </c>
      <c r="C8758" s="9"/>
      <c r="D8758" t="str">
        <f>"E02H9.1"</f>
        <v>E02H9.1</v>
      </c>
      <c r="F8758" t="s">
        <v>11</v>
      </c>
      <c r="H8758" s="12">
        <v>-2.4772140472330402</v>
      </c>
      <c r="I8758" s="20">
        <v>-0.26891282500069902</v>
      </c>
      <c r="J8758" s="28">
        <v>0.78799676746418601</v>
      </c>
      <c r="K8758" s="29">
        <v>0.98289565623980701</v>
      </c>
    </row>
    <row r="8759" spans="1:11" x14ac:dyDescent="0.35">
      <c r="A8759" s="9" t="str">
        <f>HYPERLINK("http://www.ensembl.org/id/WBGene00017100", "WBGene00017100")</f>
        <v>WBGene00017100</v>
      </c>
      <c r="B8759" s="9" t="str">
        <f>HYPERLINK("http://www.ncbi.nlm.nih.gov/gene/183999", "183999")</f>
        <v>183999</v>
      </c>
      <c r="C8759" s="9"/>
      <c r="D8759" t="str">
        <f>"E02H9.2"</f>
        <v>E02H9.2</v>
      </c>
      <c r="F8759" t="s">
        <v>11</v>
      </c>
      <c r="H8759" s="12">
        <v>-1.29056643925229</v>
      </c>
      <c r="I8759" s="20">
        <v>-0.61372098756941296</v>
      </c>
      <c r="J8759" s="28">
        <v>0.53939971712169898</v>
      </c>
      <c r="K8759" s="29">
        <v>0.98289565623980701</v>
      </c>
    </row>
    <row r="8760" spans="1:11" x14ac:dyDescent="0.35">
      <c r="A8760" s="9" t="str">
        <f>HYPERLINK("http://www.ensembl.org/id/WBGene00017101", "WBGene00017101")</f>
        <v>WBGene00017101</v>
      </c>
      <c r="B8760" s="9" t="str">
        <f>HYPERLINK("http://www.ncbi.nlm.nih.gov/gene/175366", "175366")</f>
        <v>175366</v>
      </c>
      <c r="C8760" s="9"/>
      <c r="D8760" t="str">
        <f>"E02H9.3"</f>
        <v>E02H9.3</v>
      </c>
      <c r="F8760" t="s">
        <v>11</v>
      </c>
      <c r="H8760" s="12">
        <v>-1.0829137220179601</v>
      </c>
      <c r="I8760" s="20">
        <v>-0.30771341533921098</v>
      </c>
      <c r="J8760" s="28">
        <v>0.758300410766935</v>
      </c>
      <c r="K8760" s="29">
        <v>0.98289565623980701</v>
      </c>
    </row>
    <row r="8761" spans="1:11" x14ac:dyDescent="0.35">
      <c r="A8761" s="9" t="str">
        <f>HYPERLINK("http://www.ensembl.org/id/WBGene00017104", "WBGene00017104")</f>
        <v>WBGene00017104</v>
      </c>
      <c r="B8761" s="9" t="str">
        <f>HYPERLINK("http://www.ncbi.nlm.nih.gov/gene/184001", "184001")</f>
        <v>184001</v>
      </c>
      <c r="C8761" s="9"/>
      <c r="D8761" t="str">
        <f>"E02H9.6"</f>
        <v>E02H9.6</v>
      </c>
      <c r="F8761" t="s">
        <v>11</v>
      </c>
      <c r="G8761" t="s">
        <v>25</v>
      </c>
      <c r="H8761" s="12">
        <v>1.63654481171207</v>
      </c>
      <c r="I8761" s="20">
        <v>0.61504834750577098</v>
      </c>
      <c r="J8761" s="28">
        <v>0.53852279202513598</v>
      </c>
      <c r="K8761" s="29">
        <v>0.98289565623980701</v>
      </c>
    </row>
    <row r="8762" spans="1:11" x14ac:dyDescent="0.35">
      <c r="A8762" s="9" t="str">
        <f>HYPERLINK("http://www.ensembl.org/id/WBGene00017106", "WBGene00017106")</f>
        <v>WBGene00017106</v>
      </c>
      <c r="B8762" s="9" t="str">
        <f>HYPERLINK("http://www.ncbi.nlm.nih.gov/gene/184004", "184004")</f>
        <v>184004</v>
      </c>
      <c r="C8762" s="9"/>
      <c r="D8762" t="str">
        <f>"E02H9.9"</f>
        <v>E02H9.9</v>
      </c>
      <c r="F8762" t="s">
        <v>11</v>
      </c>
      <c r="H8762" s="12">
        <v>1.7798517350835601</v>
      </c>
      <c r="I8762" s="20">
        <v>0.29826325870262899</v>
      </c>
      <c r="J8762" s="28">
        <v>0.76550224406528999</v>
      </c>
      <c r="K8762" s="29">
        <v>0.98289565623980701</v>
      </c>
    </row>
    <row r="8763" spans="1:11" x14ac:dyDescent="0.35">
      <c r="A8763" s="9" t="str">
        <f>HYPERLINK("http://www.ensembl.org/id/WBGene00017111", "WBGene00017111")</f>
        <v>WBGene00017111</v>
      </c>
      <c r="B8763" s="9" t="str">
        <f>HYPERLINK("http://www.ncbi.nlm.nih.gov/gene/184029", "184029")</f>
        <v>184029</v>
      </c>
      <c r="C8763" s="9"/>
      <c r="D8763" t="str">
        <f>"E03H12.4"</f>
        <v>E03H12.4</v>
      </c>
      <c r="F8763" t="s">
        <v>11</v>
      </c>
      <c r="H8763" s="12">
        <v>3.9822742124214701</v>
      </c>
      <c r="I8763" s="20">
        <v>0.482462550643251</v>
      </c>
      <c r="J8763" s="28">
        <v>0.62947739556167004</v>
      </c>
      <c r="K8763" s="29">
        <v>0.98289565623980701</v>
      </c>
    </row>
    <row r="8764" spans="1:11" x14ac:dyDescent="0.35">
      <c r="A8764" s="9" t="str">
        <f>HYPERLINK("http://www.ensembl.org/id/WBGene00017114", "WBGene00017114")</f>
        <v>WBGene00017114</v>
      </c>
      <c r="B8764" s="9" t="str">
        <f>HYPERLINK("http://www.ncbi.nlm.nih.gov/gene/177263", "177263")</f>
        <v>177263</v>
      </c>
      <c r="C8764" s="9"/>
      <c r="D8764" t="str">
        <f>"E03H12.7"</f>
        <v>E03H12.7</v>
      </c>
      <c r="F8764" t="s">
        <v>11</v>
      </c>
      <c r="G8764" t="s">
        <v>25</v>
      </c>
      <c r="H8764" s="12">
        <v>1.8899973043287499</v>
      </c>
      <c r="I8764" s="20">
        <v>0.58243383059058895</v>
      </c>
      <c r="J8764" s="28">
        <v>0.56027449957891995</v>
      </c>
      <c r="K8764" s="29">
        <v>0.98289565623980701</v>
      </c>
    </row>
    <row r="8765" spans="1:11" x14ac:dyDescent="0.35">
      <c r="A8765" s="9" t="str">
        <f>HYPERLINK("http://www.ensembl.org/id/WBGene00023265", "WBGene00023265")</f>
        <v>WBGene00023265</v>
      </c>
      <c r="B8765" s="9"/>
      <c r="C8765" s="9"/>
      <c r="D8765" t="str">
        <f>"E03H12.8"</f>
        <v>E03H12.8</v>
      </c>
      <c r="F8765" t="s">
        <v>80</v>
      </c>
      <c r="H8765" s="12">
        <v>-2.4991590031922399</v>
      </c>
      <c r="I8765" s="20">
        <v>-0.26577412737581302</v>
      </c>
      <c r="J8765" s="28">
        <v>0.79041317015736101</v>
      </c>
      <c r="K8765" s="29">
        <v>0.98289565623980701</v>
      </c>
    </row>
    <row r="8766" spans="1:11" x14ac:dyDescent="0.35">
      <c r="A8766" s="9" t="str">
        <f>HYPERLINK("http://www.ensembl.org/id/WBGene00008470", "WBGene00008470")</f>
        <v>WBGene00008470</v>
      </c>
      <c r="B8766" s="9" t="str">
        <f>HYPERLINK("http://www.ncbi.nlm.nih.gov/gene/184017", "184017")</f>
        <v>184017</v>
      </c>
      <c r="C8766" s="9"/>
      <c r="D8766" t="str">
        <f>"E03H4.2"</f>
        <v>E03H4.2</v>
      </c>
      <c r="F8766" t="s">
        <v>11</v>
      </c>
      <c r="G8766" t="s">
        <v>25</v>
      </c>
      <c r="H8766" s="12">
        <v>2.4578120077400301</v>
      </c>
      <c r="I8766" s="20">
        <v>0.26093350314551</v>
      </c>
      <c r="J8766" s="28">
        <v>0.79414378780213601</v>
      </c>
      <c r="K8766" s="29">
        <v>0.98289565623980701</v>
      </c>
    </row>
    <row r="8767" spans="1:11" x14ac:dyDescent="0.35">
      <c r="A8767" s="9" t="str">
        <f>HYPERLINK("http://www.ensembl.org/id/WBGene00008472", "WBGene00008472")</f>
        <v>WBGene00008472</v>
      </c>
      <c r="B8767" s="9" t="str">
        <f>HYPERLINK("http://www.ncbi.nlm.nih.gov/gene/184019", "184019")</f>
        <v>184019</v>
      </c>
      <c r="C8767" s="9"/>
      <c r="D8767" t="str">
        <f>"E03H4.4"</f>
        <v>E03H4.4</v>
      </c>
      <c r="F8767" t="s">
        <v>11</v>
      </c>
      <c r="G8767" t="s">
        <v>25</v>
      </c>
      <c r="H8767" s="12">
        <v>-2.4991590031922399</v>
      </c>
      <c r="I8767" s="20">
        <v>-0.26577412737581302</v>
      </c>
      <c r="J8767" s="28">
        <v>0.79041317015736101</v>
      </c>
      <c r="K8767" s="29">
        <v>0.98289565623980701</v>
      </c>
    </row>
    <row r="8768" spans="1:11" x14ac:dyDescent="0.35">
      <c r="A8768" s="9" t="str">
        <f>HYPERLINK("http://www.ensembl.org/id/WBGene00017118", "WBGene00017118")</f>
        <v>WBGene00017118</v>
      </c>
      <c r="B8768" s="9"/>
      <c r="C8768" s="9"/>
      <c r="D8768" t="str">
        <f>"E04A4.3"</f>
        <v>E04A4.3</v>
      </c>
      <c r="F8768" t="s">
        <v>80</v>
      </c>
      <c r="H8768" s="12">
        <v>4.4368407117627902</v>
      </c>
      <c r="I8768" s="20">
        <v>0.43709475933309699</v>
      </c>
      <c r="J8768" s="28">
        <v>0.66204262779770495</v>
      </c>
      <c r="K8768" s="29">
        <v>0.98289565623980701</v>
      </c>
    </row>
    <row r="8769" spans="1:11" x14ac:dyDescent="0.35">
      <c r="A8769" s="9" t="str">
        <f>HYPERLINK("http://www.ensembl.org/id/WBGene00008481", "WBGene00008481")</f>
        <v>WBGene00008481</v>
      </c>
      <c r="B8769" s="9" t="str">
        <f>HYPERLINK("http://www.ncbi.nlm.nih.gov/gene/184036", "184036")</f>
        <v>184036</v>
      </c>
      <c r="C8769" s="9"/>
      <c r="D8769" t="str">
        <f>"E04D5.2"</f>
        <v>E04D5.2</v>
      </c>
      <c r="F8769" t="s">
        <v>11</v>
      </c>
      <c r="G8769" t="s">
        <v>1089</v>
      </c>
      <c r="H8769" s="12">
        <v>1.31076083534551</v>
      </c>
      <c r="I8769" s="20">
        <v>0.89173346171896894</v>
      </c>
      <c r="J8769" s="28">
        <v>0.37253581357700599</v>
      </c>
      <c r="K8769" s="29">
        <v>0.98289565623980701</v>
      </c>
    </row>
    <row r="8770" spans="1:11" x14ac:dyDescent="0.35">
      <c r="A8770" s="9" t="str">
        <f>HYPERLINK("http://www.ensembl.org/id/WBGene00008483", "WBGene00008483")</f>
        <v>WBGene00008483</v>
      </c>
      <c r="B8770" s="9" t="str">
        <f>HYPERLINK("http://www.ncbi.nlm.nih.gov/gene/184038", "184038")</f>
        <v>184038</v>
      </c>
      <c r="C8770" s="9"/>
      <c r="D8770" t="str">
        <f>"E04D5.4"</f>
        <v>E04D5.4</v>
      </c>
      <c r="F8770" t="s">
        <v>11</v>
      </c>
      <c r="H8770" s="12">
        <v>1.3223008936134699</v>
      </c>
      <c r="I8770" s="20">
        <v>0.36809540370914001</v>
      </c>
      <c r="J8770" s="28">
        <v>0.71280209797560901</v>
      </c>
      <c r="K8770" s="29">
        <v>0.98289565623980701</v>
      </c>
    </row>
    <row r="8771" spans="1:11" x14ac:dyDescent="0.35">
      <c r="A8771" s="9" t="str">
        <f>HYPERLINK("http://www.ensembl.org/id/WBGene00017129", "WBGene00017129")</f>
        <v>WBGene00017129</v>
      </c>
      <c r="B8771" s="9" t="str">
        <f>HYPERLINK("http://www.ncbi.nlm.nih.gov/gene/174186", "174186")</f>
        <v>174186</v>
      </c>
      <c r="C8771" s="9"/>
      <c r="D8771" t="str">
        <f>"E04F6.10"</f>
        <v>E04F6.10</v>
      </c>
      <c r="F8771" t="s">
        <v>11</v>
      </c>
      <c r="G8771" t="s">
        <v>25</v>
      </c>
      <c r="H8771" s="12">
        <v>1.27510844415914</v>
      </c>
      <c r="I8771" s="20">
        <v>0.62007016622189604</v>
      </c>
      <c r="J8771" s="28">
        <v>0.53521159275313301</v>
      </c>
      <c r="K8771" s="29">
        <v>0.98289565623980701</v>
      </c>
    </row>
    <row r="8772" spans="1:11" x14ac:dyDescent="0.35">
      <c r="A8772" s="9" t="str">
        <f>HYPERLINK("http://www.ensembl.org/id/WBGene00017126", "WBGene00017126")</f>
        <v>WBGene00017126</v>
      </c>
      <c r="B8772" s="9" t="str">
        <f>HYPERLINK("http://www.ncbi.nlm.nih.gov/gene/174182", "174182")</f>
        <v>174182</v>
      </c>
      <c r="C8772" s="9"/>
      <c r="D8772" t="str">
        <f>"E04F6.6"</f>
        <v>E04F6.6</v>
      </c>
      <c r="F8772" t="s">
        <v>11</v>
      </c>
      <c r="H8772" s="12">
        <v>1.3594067035861701</v>
      </c>
      <c r="I8772" s="20">
        <v>0.83401295229461003</v>
      </c>
      <c r="J8772" s="28">
        <v>0.40427368513274903</v>
      </c>
      <c r="K8772" s="29">
        <v>0.98289565623980701</v>
      </c>
    </row>
    <row r="8773" spans="1:11" x14ac:dyDescent="0.35">
      <c r="A8773" s="9" t="str">
        <f>HYPERLINK("http://www.ensembl.org/id/WBGene00022356", "WBGene00022356")</f>
        <v>WBGene00022356</v>
      </c>
      <c r="B8773" s="9" t="str">
        <f>HYPERLINK("http://www.ncbi.nlm.nih.gov/gene/190782", "190782")</f>
        <v>190782</v>
      </c>
      <c r="C8773" s="9"/>
      <c r="D8773" t="str">
        <f>"eak-3"</f>
        <v>eak-3</v>
      </c>
      <c r="E8773" t="s">
        <v>4405</v>
      </c>
      <c r="F8773" t="s">
        <v>11</v>
      </c>
      <c r="H8773" s="12">
        <v>2.3893468495514898</v>
      </c>
      <c r="I8773" s="20">
        <v>0.25323547253672701</v>
      </c>
      <c r="J8773" s="28">
        <v>0.80008625651646104</v>
      </c>
      <c r="K8773" s="29">
        <v>0.98289565623980701</v>
      </c>
    </row>
    <row r="8774" spans="1:11" x14ac:dyDescent="0.35">
      <c r="A8774" s="9" t="str">
        <f>HYPERLINK("http://www.ensembl.org/id/WBGene00008663", "WBGene00008663")</f>
        <v>WBGene00008663</v>
      </c>
      <c r="B8774" s="9" t="str">
        <f>HYPERLINK("http://www.ncbi.nlm.nih.gov/gene/184324", "184324")</f>
        <v>184324</v>
      </c>
      <c r="C8774" s="9"/>
      <c r="D8774" t="str">
        <f>"eak-6"</f>
        <v>eak-6</v>
      </c>
      <c r="E8774" t="s">
        <v>10022</v>
      </c>
      <c r="F8774" t="s">
        <v>11</v>
      </c>
      <c r="G8774" t="s">
        <v>161</v>
      </c>
      <c r="H8774" s="12">
        <v>-1.8020937382780999</v>
      </c>
      <c r="I8774" s="20">
        <v>-0.61309051867906605</v>
      </c>
      <c r="J8774" s="28">
        <v>0.53981648905139301</v>
      </c>
      <c r="K8774" s="29">
        <v>0.98289565623980701</v>
      </c>
    </row>
    <row r="8775" spans="1:11" x14ac:dyDescent="0.35">
      <c r="A8775" s="9" t="str">
        <f>HYPERLINK("http://www.ensembl.org/id/WBGene00010671", "WBGene00010671")</f>
        <v>WBGene00010671</v>
      </c>
      <c r="B8775" s="9" t="str">
        <f>HYPERLINK("http://www.ncbi.nlm.nih.gov/gene/3564920", "3564920")</f>
        <v>3564920</v>
      </c>
      <c r="C8775" s="9"/>
      <c r="D8775" t="str">
        <f>"eak-7"</f>
        <v>eak-7</v>
      </c>
      <c r="E8775" t="s">
        <v>4405</v>
      </c>
      <c r="F8775" t="s">
        <v>11</v>
      </c>
      <c r="G8775" t="s">
        <v>2947</v>
      </c>
      <c r="H8775" s="12">
        <v>-1.1978462398929199</v>
      </c>
      <c r="I8775" s="20">
        <v>-0.88061886676272905</v>
      </c>
      <c r="J8775" s="28">
        <v>0.37852414343056801</v>
      </c>
      <c r="K8775" s="29">
        <v>0.98289565623980701</v>
      </c>
    </row>
    <row r="8776" spans="1:11" x14ac:dyDescent="0.35">
      <c r="A8776" s="9" t="str">
        <f>HYPERLINK("http://www.ensembl.org/id/WBGene00001338", "WBGene00001338")</f>
        <v>WBGene00001338</v>
      </c>
      <c r="B8776" s="9" t="str">
        <f>HYPERLINK("http://www.ncbi.nlm.nih.gov/gene/176860", "176860")</f>
        <v>176860</v>
      </c>
      <c r="C8776" s="9" t="str">
        <f>HYPERLINK("http://www.ncbi.nlm.nih.gov/gene/124454", "124454")</f>
        <v>124454</v>
      </c>
      <c r="D8776" t="str">
        <f>"ears-2"</f>
        <v>ears-2</v>
      </c>
      <c r="E8776" t="s">
        <v>3824</v>
      </c>
      <c r="F8776" t="s">
        <v>11</v>
      </c>
      <c r="G8776" t="s">
        <v>5661</v>
      </c>
      <c r="H8776" s="12">
        <v>1.1268592714841299</v>
      </c>
      <c r="I8776" s="20">
        <v>0.53009934404411096</v>
      </c>
      <c r="J8776" s="28">
        <v>0.59604305385634804</v>
      </c>
      <c r="K8776" s="29">
        <v>0.98289565623980701</v>
      </c>
    </row>
    <row r="8777" spans="1:11" x14ac:dyDescent="0.35">
      <c r="A8777" s="9" t="str">
        <f>HYPERLINK("http://www.ensembl.org/id/WBGene00018270", "WBGene00018270")</f>
        <v>WBGene00018270</v>
      </c>
      <c r="B8777" s="9" t="str">
        <f>HYPERLINK("http://www.ncbi.nlm.nih.gov/gene/173819", "173819")</f>
        <v>173819</v>
      </c>
      <c r="C8777" s="9" t="str">
        <f>HYPERLINK("http://www.ncbi.nlm.nih.gov/gene/51026", "51026")</f>
        <v>51026</v>
      </c>
      <c r="D8777" t="str">
        <f>"eas-1"</f>
        <v>eas-1</v>
      </c>
      <c r="E8777" t="s">
        <v>7078</v>
      </c>
      <c r="F8777" t="s">
        <v>11</v>
      </c>
      <c r="G8777" t="s">
        <v>7079</v>
      </c>
      <c r="H8777" s="12">
        <v>-1.10589073080075</v>
      </c>
      <c r="I8777" s="20">
        <v>-0.49758025159015601</v>
      </c>
      <c r="J8777" s="28">
        <v>0.61877992593611497</v>
      </c>
      <c r="K8777" s="29">
        <v>0.98289565623980701</v>
      </c>
    </row>
    <row r="8778" spans="1:11" x14ac:dyDescent="0.35">
      <c r="A8778" s="9" t="str">
        <f>HYPERLINK("http://www.ensembl.org/id/WBGene00020770", "WBGene00020770")</f>
        <v>WBGene00020770</v>
      </c>
      <c r="B8778" s="9" t="str">
        <f>HYPERLINK("http://www.ncbi.nlm.nih.gov/gene/3565805", "3565805")</f>
        <v>3565805</v>
      </c>
      <c r="C8778" s="9" t="str">
        <f>HYPERLINK("http://www.ncbi.nlm.nih.gov/gene/7813", "7813")</f>
        <v>7813</v>
      </c>
      <c r="D8778" t="str">
        <f>"eat-17"</f>
        <v>eat-17</v>
      </c>
      <c r="F8778" t="s">
        <v>11</v>
      </c>
      <c r="G8778" t="s">
        <v>5862</v>
      </c>
      <c r="H8778" s="12">
        <v>1.09219056395972</v>
      </c>
      <c r="I8778" s="20">
        <v>0.46188758010478098</v>
      </c>
      <c r="J8778" s="28">
        <v>0.64416194099539503</v>
      </c>
      <c r="K8778" s="29">
        <v>0.98289565623980701</v>
      </c>
    </row>
    <row r="8779" spans="1:11" x14ac:dyDescent="0.35">
      <c r="A8779" s="9" t="str">
        <f>HYPERLINK("http://www.ensembl.org/id/WBGene00001133", "WBGene00001133")</f>
        <v>WBGene00001133</v>
      </c>
      <c r="B8779" s="9" t="str">
        <f>HYPERLINK("http://www.ncbi.nlm.nih.gov/gene/175072", "175072")</f>
        <v>175072</v>
      </c>
      <c r="C8779" s="9"/>
      <c r="D8779" t="str">
        <f>"eat-2"</f>
        <v>eat-2</v>
      </c>
      <c r="E8779" t="s">
        <v>4534</v>
      </c>
      <c r="F8779" t="s">
        <v>11</v>
      </c>
      <c r="G8779" t="s">
        <v>870</v>
      </c>
      <c r="H8779" s="12">
        <v>1.7605342472120999</v>
      </c>
      <c r="I8779" s="20">
        <v>1.02649049271927</v>
      </c>
      <c r="J8779" s="28">
        <v>0.30466044271508802</v>
      </c>
      <c r="K8779" s="29">
        <v>0.98289565623980701</v>
      </c>
    </row>
    <row r="8780" spans="1:11" x14ac:dyDescent="0.35">
      <c r="A8780" s="9" t="str">
        <f>HYPERLINK("http://www.ensembl.org/id/WBGene00001134", "WBGene00001134")</f>
        <v>WBGene00001134</v>
      </c>
      <c r="B8780" s="9" t="str">
        <f>HYPERLINK("http://www.ncbi.nlm.nih.gov/gene/174476", "174476")</f>
        <v>174476</v>
      </c>
      <c r="C8780" s="9" t="str">
        <f>HYPERLINK("http://www.ncbi.nlm.nih.gov/gene/4976", "4976")</f>
        <v>4976</v>
      </c>
      <c r="D8780" t="str">
        <f>"eat-3"</f>
        <v>eat-3</v>
      </c>
      <c r="F8780" t="s">
        <v>11</v>
      </c>
      <c r="G8780" t="s">
        <v>7089</v>
      </c>
      <c r="H8780" s="12">
        <v>-1.1064674842078399</v>
      </c>
      <c r="I8780" s="20">
        <v>-0.53719041821513902</v>
      </c>
      <c r="J8780" s="28">
        <v>0.59113608920463701</v>
      </c>
      <c r="K8780" s="29">
        <v>0.98289565623980701</v>
      </c>
    </row>
    <row r="8781" spans="1:11" x14ac:dyDescent="0.35">
      <c r="A8781" s="9" t="str">
        <f>HYPERLINK("http://www.ensembl.org/id/WBGene00001137", "WBGene00001137")</f>
        <v>WBGene00001137</v>
      </c>
      <c r="B8781" s="9" t="str">
        <f>HYPERLINK("http://www.ncbi.nlm.nih.gov/gene/179796", "179796")</f>
        <v>179796</v>
      </c>
      <c r="C8781" s="9" t="str">
        <f>HYPERLINK("http://www.ncbi.nlm.nih.gov/gene/478", "478")</f>
        <v>478</v>
      </c>
      <c r="D8781" t="str">
        <f>"eat-6"</f>
        <v>eat-6</v>
      </c>
      <c r="E8781" t="s">
        <v>6871</v>
      </c>
      <c r="F8781" t="s">
        <v>11</v>
      </c>
      <c r="G8781" t="s">
        <v>6872</v>
      </c>
      <c r="H8781" s="12">
        <v>-1.09355826065979</v>
      </c>
      <c r="I8781" s="20">
        <v>-0.46801806523894601</v>
      </c>
      <c r="J8781" s="28">
        <v>0.63977167092754506</v>
      </c>
      <c r="K8781" s="29">
        <v>0.98289565623980701</v>
      </c>
    </row>
    <row r="8782" spans="1:11" x14ac:dyDescent="0.35">
      <c r="A8782" s="9" t="str">
        <f>HYPERLINK("http://www.ensembl.org/id/WBGene00004140", "WBGene00004140")</f>
        <v>WBGene00004140</v>
      </c>
      <c r="B8782" s="9" t="str">
        <f>HYPERLINK("http://www.ncbi.nlm.nih.gov/gene/177915", "177915")</f>
        <v>177915</v>
      </c>
      <c r="C8782" s="9"/>
      <c r="D8782" t="str">
        <f>"ebax-1"</f>
        <v>ebax-1</v>
      </c>
      <c r="E8782" t="s">
        <v>5116</v>
      </c>
      <c r="F8782" t="s">
        <v>11</v>
      </c>
      <c r="G8782" t="s">
        <v>5117</v>
      </c>
      <c r="H8782" s="12">
        <v>1.2357809988145001</v>
      </c>
      <c r="I8782" s="20">
        <v>1.09522721571175</v>
      </c>
      <c r="J8782" s="28">
        <v>0.27341710524037099</v>
      </c>
      <c r="K8782" s="29">
        <v>0.98289565623980701</v>
      </c>
    </row>
    <row r="8783" spans="1:11" x14ac:dyDescent="0.35">
      <c r="A8783" s="9" t="str">
        <f>HYPERLINK("http://www.ensembl.org/id/WBGene00013344", "WBGene00013344")</f>
        <v>WBGene00013344</v>
      </c>
      <c r="B8783" s="9" t="str">
        <f>HYPERLINK("http://www.ncbi.nlm.nih.gov/gene/3565059", "3565059")</f>
        <v>3565059</v>
      </c>
      <c r="C8783" s="9"/>
      <c r="D8783" t="str">
        <f>"ebp-1"</f>
        <v>ebp-1</v>
      </c>
      <c r="E8783" t="s">
        <v>3919</v>
      </c>
      <c r="F8783" t="s">
        <v>11</v>
      </c>
      <c r="G8783" t="s">
        <v>5693</v>
      </c>
      <c r="H8783" s="12">
        <v>1.12189382337523</v>
      </c>
      <c r="I8783" s="20">
        <v>0.43778893114240303</v>
      </c>
      <c r="J8783" s="28">
        <v>0.66153929557185198</v>
      </c>
      <c r="K8783" s="29">
        <v>0.98289565623980701</v>
      </c>
    </row>
    <row r="8784" spans="1:11" x14ac:dyDescent="0.35">
      <c r="A8784" s="9" t="str">
        <f>HYPERLINK("http://www.ensembl.org/id/WBGene00007062", "WBGene00007062")</f>
        <v>WBGene00007062</v>
      </c>
      <c r="B8784" s="9" t="str">
        <f>HYPERLINK("http://www.ncbi.nlm.nih.gov/gene/180181", "180181")</f>
        <v>180181</v>
      </c>
      <c r="C8784" s="9"/>
      <c r="D8784" t="str">
        <f>"ebp-3"</f>
        <v>ebp-3</v>
      </c>
      <c r="E8784" t="s">
        <v>3919</v>
      </c>
      <c r="F8784" t="s">
        <v>11</v>
      </c>
      <c r="G8784" t="s">
        <v>4257</v>
      </c>
      <c r="H8784" s="12">
        <v>5.4058944669092801</v>
      </c>
      <c r="I8784" s="20">
        <v>0.49762513753689303</v>
      </c>
      <c r="J8784" s="28">
        <v>0.61874828254921799</v>
      </c>
      <c r="K8784" s="29">
        <v>0.98289565623980701</v>
      </c>
    </row>
    <row r="8785" spans="1:11" x14ac:dyDescent="0.35">
      <c r="A8785" s="9" t="str">
        <f>HYPERLINK("http://www.ensembl.org/id/WBGene00001150", "WBGene00001150")</f>
        <v>WBGene00001150</v>
      </c>
      <c r="B8785" s="9" t="str">
        <f>HYPERLINK("http://www.ncbi.nlm.nih.gov/gene/180037", "180037")</f>
        <v>180037</v>
      </c>
      <c r="C8785" s="9" t="str">
        <f>HYPERLINK("http://www.ncbi.nlm.nih.gov/gene/3030", "3030")</f>
        <v>3030</v>
      </c>
      <c r="D8785" t="str">
        <f>"ech-1.1"</f>
        <v>ech-1.1</v>
      </c>
      <c r="E8785" t="s">
        <v>667</v>
      </c>
      <c r="F8785" t="s">
        <v>11</v>
      </c>
      <c r="G8785" t="s">
        <v>4782</v>
      </c>
      <c r="H8785" s="12">
        <v>1.3810095089150101</v>
      </c>
      <c r="I8785" s="20">
        <v>1.0700308953036699</v>
      </c>
      <c r="J8785" s="28">
        <v>0.28460540235165299</v>
      </c>
      <c r="K8785" s="29">
        <v>0.98289565623980701</v>
      </c>
    </row>
    <row r="8786" spans="1:11" x14ac:dyDescent="0.35">
      <c r="A8786" s="9" t="str">
        <f>HYPERLINK("http://www.ensembl.org/id/WBGene00020347", "WBGene00020347")</f>
        <v>WBGene00020347</v>
      </c>
      <c r="B8786" s="9" t="str">
        <f>HYPERLINK("http://www.ncbi.nlm.nih.gov/gene/172310", "172310")</f>
        <v>172310</v>
      </c>
      <c r="C8786" s="9" t="str">
        <f>HYPERLINK("http://www.ncbi.nlm.nih.gov/gene/3030", "3030")</f>
        <v>3030</v>
      </c>
      <c r="D8786" t="str">
        <f>"ech-1.2"</f>
        <v>ech-1.2</v>
      </c>
      <c r="E8786" t="s">
        <v>667</v>
      </c>
      <c r="F8786" t="s">
        <v>11</v>
      </c>
      <c r="G8786" t="s">
        <v>4782</v>
      </c>
      <c r="H8786" s="12">
        <v>-1.1694990211754299</v>
      </c>
      <c r="I8786" s="20">
        <v>-0.87325170746632896</v>
      </c>
      <c r="J8786" s="28">
        <v>0.38252589663632203</v>
      </c>
      <c r="K8786" s="29">
        <v>0.98289565623980701</v>
      </c>
    </row>
    <row r="8787" spans="1:11" x14ac:dyDescent="0.35">
      <c r="A8787" s="9" t="str">
        <f>HYPERLINK("http://www.ensembl.org/id/WBGene00001152", "WBGene00001152")</f>
        <v>WBGene00001152</v>
      </c>
      <c r="B8787" s="9" t="str">
        <f>HYPERLINK("http://www.ncbi.nlm.nih.gov/gene/179180", "179180")</f>
        <v>179180</v>
      </c>
      <c r="C8787" s="9"/>
      <c r="D8787" t="str">
        <f>"ech-3"</f>
        <v>ech-3</v>
      </c>
      <c r="E8787" t="s">
        <v>667</v>
      </c>
      <c r="F8787" t="s">
        <v>11</v>
      </c>
      <c r="G8787" t="s">
        <v>2319</v>
      </c>
      <c r="H8787" s="12">
        <v>-1.1582610859533999</v>
      </c>
      <c r="I8787" s="20">
        <v>-0.67191929976641696</v>
      </c>
      <c r="J8787" s="28">
        <v>0.50163507304404098</v>
      </c>
      <c r="K8787" s="29">
        <v>0.98289565623980701</v>
      </c>
    </row>
    <row r="8788" spans="1:11" x14ac:dyDescent="0.35">
      <c r="A8788" s="9" t="str">
        <f>HYPERLINK("http://www.ensembl.org/id/WBGene00001153", "WBGene00001153")</f>
        <v>WBGene00001153</v>
      </c>
      <c r="B8788" s="9" t="str">
        <f>HYPERLINK("http://www.ncbi.nlm.nih.gov/gene/174665", "174665")</f>
        <v>174665</v>
      </c>
      <c r="C8788" s="9" t="str">
        <f>HYPERLINK("http://www.ncbi.nlm.nih.gov/gene/10455", "10455")</f>
        <v>10455</v>
      </c>
      <c r="D8788" t="str">
        <f>"ech-4"</f>
        <v>ech-4</v>
      </c>
      <c r="E8788" t="s">
        <v>667</v>
      </c>
      <c r="F8788" t="s">
        <v>11</v>
      </c>
      <c r="G8788" t="s">
        <v>7082</v>
      </c>
      <c r="H8788" s="12">
        <v>-1.10599387170408</v>
      </c>
      <c r="I8788" s="20">
        <v>-0.52838154061727305</v>
      </c>
      <c r="J8788" s="28">
        <v>0.59723454696429401</v>
      </c>
      <c r="K8788" s="29">
        <v>0.98289565623980701</v>
      </c>
    </row>
    <row r="8789" spans="1:11" x14ac:dyDescent="0.35">
      <c r="A8789" s="9" t="str">
        <f>HYPERLINK("http://www.ensembl.org/id/WBGene00001154", "WBGene00001154")</f>
        <v>WBGene00001154</v>
      </c>
      <c r="B8789" s="9" t="str">
        <f>HYPERLINK("http://www.ncbi.nlm.nih.gov/gene/176908", "176908")</f>
        <v>176908</v>
      </c>
      <c r="C8789" s="9" t="str">
        <f>HYPERLINK("http://www.ncbi.nlm.nih.gov/gene/549", "549")</f>
        <v>549</v>
      </c>
      <c r="D8789" t="str">
        <f>"ech-5"</f>
        <v>ech-5</v>
      </c>
      <c r="E8789" t="s">
        <v>667</v>
      </c>
      <c r="F8789" t="s">
        <v>11</v>
      </c>
      <c r="G8789" t="s">
        <v>689</v>
      </c>
      <c r="H8789" s="12">
        <v>-1.1570212557203501</v>
      </c>
      <c r="I8789" s="20">
        <v>-0.66878051863707499</v>
      </c>
      <c r="J8789" s="28">
        <v>0.50363549566782895</v>
      </c>
      <c r="K8789" s="29">
        <v>0.98289565623980701</v>
      </c>
    </row>
    <row r="8790" spans="1:11" x14ac:dyDescent="0.35">
      <c r="A8790" s="9" t="str">
        <f>HYPERLINK("http://www.ensembl.org/id/WBGene00001155", "WBGene00001155")</f>
        <v>WBGene00001155</v>
      </c>
      <c r="B8790" s="9" t="str">
        <f>HYPERLINK("http://www.ncbi.nlm.nih.gov/gene/176376", "176376")</f>
        <v>176376</v>
      </c>
      <c r="C8790" s="9" t="str">
        <f>HYPERLINK("http://www.ncbi.nlm.nih.gov/gene/1892", "1892")</f>
        <v>1892</v>
      </c>
      <c r="D8790" t="str">
        <f>"ech-6"</f>
        <v>ech-6</v>
      </c>
      <c r="E8790" t="s">
        <v>5565</v>
      </c>
      <c r="F8790" t="s">
        <v>11</v>
      </c>
      <c r="G8790" t="s">
        <v>2319</v>
      </c>
      <c r="H8790" s="12">
        <v>1.1451996198691401</v>
      </c>
      <c r="I8790" s="20">
        <v>0.652765686190792</v>
      </c>
      <c r="J8790" s="28">
        <v>0.51390734830839602</v>
      </c>
      <c r="K8790" s="29">
        <v>0.98289565623980701</v>
      </c>
    </row>
    <row r="8791" spans="1:11" x14ac:dyDescent="0.35">
      <c r="A8791" s="9" t="str">
        <f>HYPERLINK("http://www.ensembl.org/id/WBGene00001157", "WBGene00001157")</f>
        <v>WBGene00001157</v>
      </c>
      <c r="B8791" s="9" t="str">
        <f>HYPERLINK("http://www.ncbi.nlm.nih.gov/gene/177905", "177905")</f>
        <v>177905</v>
      </c>
      <c r="C8791" s="9"/>
      <c r="D8791" t="str">
        <f>"ech-8"</f>
        <v>ech-8</v>
      </c>
      <c r="E8791" t="s">
        <v>667</v>
      </c>
      <c r="F8791" t="s">
        <v>11</v>
      </c>
      <c r="G8791" t="s">
        <v>668</v>
      </c>
      <c r="H8791" s="12">
        <v>1.09473508590119</v>
      </c>
      <c r="I8791" s="20">
        <v>0.45272698234532299</v>
      </c>
      <c r="J8791" s="28">
        <v>0.65074534765952197</v>
      </c>
      <c r="K8791" s="29">
        <v>0.98289565623980701</v>
      </c>
    </row>
    <row r="8792" spans="1:11" x14ac:dyDescent="0.35">
      <c r="A8792" s="9" t="str">
        <f>HYPERLINK("http://www.ensembl.org/id/WBGene00021551", "WBGene00021551")</f>
        <v>WBGene00021551</v>
      </c>
      <c r="B8792" s="9" t="str">
        <f>HYPERLINK("http://www.ncbi.nlm.nih.gov/gene/171907", "171907")</f>
        <v>171907</v>
      </c>
      <c r="C8792" s="9"/>
      <c r="D8792" t="str">
        <f>"edc-4"</f>
        <v>edc-4</v>
      </c>
      <c r="F8792" t="s">
        <v>11</v>
      </c>
      <c r="G8792" t="s">
        <v>6490</v>
      </c>
      <c r="H8792" s="12">
        <v>-1.07185167893537</v>
      </c>
      <c r="I8792" s="20">
        <v>-0.36962450460311702</v>
      </c>
      <c r="J8792" s="28">
        <v>0.71166229018669802</v>
      </c>
      <c r="K8792" s="29">
        <v>0.98289565623980701</v>
      </c>
    </row>
    <row r="8793" spans="1:11" x14ac:dyDescent="0.35">
      <c r="A8793" s="9" t="str">
        <f>HYPERLINK("http://www.ensembl.org/id/WBGene00011696", "WBGene00011696")</f>
        <v>WBGene00011696</v>
      </c>
      <c r="B8793" s="9" t="str">
        <f>HYPERLINK("http://www.ncbi.nlm.nih.gov/gene/179832", "179832")</f>
        <v>179832</v>
      </c>
      <c r="C8793" s="9"/>
      <c r="D8793" t="str">
        <f>"eea-1"</f>
        <v>eea-1</v>
      </c>
      <c r="E8793" t="s">
        <v>6406</v>
      </c>
      <c r="F8793" t="s">
        <v>11</v>
      </c>
      <c r="G8793" t="s">
        <v>6407</v>
      </c>
      <c r="H8793" s="12">
        <v>-1.06769573523371</v>
      </c>
      <c r="I8793" s="20">
        <v>-0.34075006011069803</v>
      </c>
      <c r="J8793" s="28">
        <v>0.73329174898847804</v>
      </c>
      <c r="K8793" s="29">
        <v>0.98289565623980701</v>
      </c>
    </row>
    <row r="8794" spans="1:11" x14ac:dyDescent="0.35">
      <c r="A8794" s="9" t="str">
        <f>HYPERLINK("http://www.ensembl.org/id/WBGene00017140", "WBGene00017140")</f>
        <v>WBGene00017140</v>
      </c>
      <c r="B8794" s="9" t="str">
        <f>HYPERLINK("http://www.ncbi.nlm.nih.gov/gene/173922", "173922")</f>
        <v>173922</v>
      </c>
      <c r="C8794" s="9"/>
      <c r="D8794" t="str">
        <f>"EEED8.12"</f>
        <v>EEED8.12</v>
      </c>
      <c r="E8794" t="s">
        <v>4830</v>
      </c>
      <c r="F8794" t="s">
        <v>11</v>
      </c>
      <c r="G8794" t="s">
        <v>2343</v>
      </c>
      <c r="H8794" s="12">
        <v>1.34506193707869</v>
      </c>
      <c r="I8794" s="20">
        <v>1.0142339498039801</v>
      </c>
      <c r="J8794" s="28">
        <v>0.31047113247631503</v>
      </c>
      <c r="K8794" s="29">
        <v>0.98289565623980701</v>
      </c>
    </row>
    <row r="8795" spans="1:11" x14ac:dyDescent="0.35">
      <c r="A8795" s="9" t="str">
        <f>HYPERLINK("http://www.ensembl.org/id/WBGene00017143", "WBGene00017143")</f>
        <v>WBGene00017143</v>
      </c>
      <c r="B8795" s="9" t="str">
        <f>HYPERLINK("http://www.ncbi.nlm.nih.gov/gene/173924", "173924")</f>
        <v>173924</v>
      </c>
      <c r="C8795" s="9"/>
      <c r="D8795" t="str">
        <f>"EEED8.15"</f>
        <v>EEED8.15</v>
      </c>
      <c r="F8795" t="s">
        <v>11</v>
      </c>
      <c r="H8795" s="12">
        <v>1.26531210372216</v>
      </c>
      <c r="I8795" s="20">
        <v>0.97700936443703601</v>
      </c>
      <c r="J8795" s="28">
        <v>0.32856451633535999</v>
      </c>
      <c r="K8795" s="29">
        <v>0.98289565623980701</v>
      </c>
    </row>
    <row r="8796" spans="1:11" x14ac:dyDescent="0.35">
      <c r="A8796" s="9" t="str">
        <f>HYPERLINK("http://www.ensembl.org/id/WBGene00194696", "WBGene00194696")</f>
        <v>WBGene00194696</v>
      </c>
      <c r="B8796" s="9" t="str">
        <f>HYPERLINK("http://www.ncbi.nlm.nih.gov/gene/13184965", "13184965")</f>
        <v>13184965</v>
      </c>
      <c r="C8796" s="9"/>
      <c r="D8796" t="str">
        <f>"EEED8.18"</f>
        <v>EEED8.18</v>
      </c>
      <c r="F8796" t="s">
        <v>11</v>
      </c>
      <c r="H8796" s="12">
        <v>-3.50992746011157</v>
      </c>
      <c r="I8796" s="20">
        <v>-1.0210891620463201</v>
      </c>
      <c r="J8796" s="28">
        <v>0.307212197426597</v>
      </c>
      <c r="K8796" s="29">
        <v>0.98289565623980701</v>
      </c>
    </row>
    <row r="8797" spans="1:11" x14ac:dyDescent="0.35">
      <c r="A8797" s="9" t="str">
        <f>HYPERLINK("http://www.ensembl.org/id/WBGene00017133", "WBGene00017133")</f>
        <v>WBGene00017133</v>
      </c>
      <c r="B8797" s="9" t="str">
        <f>HYPERLINK("http://www.ncbi.nlm.nih.gov/gene/173923", "173923")</f>
        <v>173923</v>
      </c>
      <c r="C8797" s="9"/>
      <c r="D8797" t="str">
        <f>"EEED8.2"</f>
        <v>EEED8.2</v>
      </c>
      <c r="F8797" t="s">
        <v>11</v>
      </c>
      <c r="G8797" t="s">
        <v>2037</v>
      </c>
      <c r="H8797" s="12">
        <v>1.2759927425712501</v>
      </c>
      <c r="I8797" s="20">
        <v>0.99497596973754798</v>
      </c>
      <c r="J8797" s="28">
        <v>0.31974795187645799</v>
      </c>
      <c r="K8797" s="29">
        <v>0.98289565623980701</v>
      </c>
    </row>
    <row r="8798" spans="1:11" x14ac:dyDescent="0.35">
      <c r="A8798" s="9" t="str">
        <f>HYPERLINK("http://www.ensembl.org/id/WBGene00017135", "WBGene00017135")</f>
        <v>WBGene00017135</v>
      </c>
      <c r="B8798" s="9" t="str">
        <f>HYPERLINK("http://www.ncbi.nlm.nih.gov/gene/173921", "173921")</f>
        <v>173921</v>
      </c>
      <c r="C8798" s="9"/>
      <c r="D8798" t="str">
        <f>"EEED8.4"</f>
        <v>EEED8.4</v>
      </c>
      <c r="E8798" t="s">
        <v>5426</v>
      </c>
      <c r="F8798" t="s">
        <v>11</v>
      </c>
      <c r="G8798" t="s">
        <v>2343</v>
      </c>
      <c r="H8798" s="12">
        <v>1.1659236746859101</v>
      </c>
      <c r="I8798" s="20">
        <v>0.48146626896594502</v>
      </c>
      <c r="J8798" s="28">
        <v>0.63018514759404498</v>
      </c>
      <c r="K8798" s="29">
        <v>0.98289565623980701</v>
      </c>
    </row>
    <row r="8799" spans="1:11" x14ac:dyDescent="0.35">
      <c r="A8799" s="9" t="str">
        <f>HYPERLINK("http://www.ensembl.org/id/WBGene00001168", "WBGene00001168")</f>
        <v>WBGene00001168</v>
      </c>
      <c r="B8799" s="9" t="str">
        <f>HYPERLINK("http://www.ncbi.nlm.nih.gov/gene/175975", "175975")</f>
        <v>175975</v>
      </c>
      <c r="C8799" s="9"/>
      <c r="D8799" t="str">
        <f>"eef-1A.1"</f>
        <v>eef-1A.1</v>
      </c>
      <c r="E8799" t="s">
        <v>5961</v>
      </c>
      <c r="F8799" t="s">
        <v>11</v>
      </c>
      <c r="G8799" t="s">
        <v>5962</v>
      </c>
      <c r="H8799" s="12">
        <v>-1.17810245902056</v>
      </c>
      <c r="I8799" s="20">
        <v>-0.92610880263719098</v>
      </c>
      <c r="J8799" s="28">
        <v>0.35438943982625998</v>
      </c>
      <c r="K8799" s="29">
        <v>0.98289565623980701</v>
      </c>
    </row>
    <row r="8800" spans="1:11" x14ac:dyDescent="0.35">
      <c r="A8800" s="9" t="str">
        <f>HYPERLINK("http://www.ensembl.org/id/WBGene00001169", "WBGene00001169")</f>
        <v>WBGene00001169</v>
      </c>
      <c r="B8800" s="9" t="str">
        <f>HYPERLINK("http://www.ncbi.nlm.nih.gov/gene/181044", "181044")</f>
        <v>181044</v>
      </c>
      <c r="C8800" s="9"/>
      <c r="D8800" t="str">
        <f>"eef-1A.2"</f>
        <v>eef-1A.2</v>
      </c>
      <c r="E8800" t="s">
        <v>5961</v>
      </c>
      <c r="F8800" t="s">
        <v>11</v>
      </c>
      <c r="G8800" t="s">
        <v>5962</v>
      </c>
      <c r="H8800" s="12">
        <v>1.0800209067092701</v>
      </c>
      <c r="I8800" s="20">
        <v>0.42279371126523502</v>
      </c>
      <c r="J8800" s="28">
        <v>0.67244577633458302</v>
      </c>
      <c r="K8800" s="29">
        <v>0.98289565623980701</v>
      </c>
    </row>
    <row r="8801" spans="1:11" x14ac:dyDescent="0.35">
      <c r="A8801" s="9" t="str">
        <f>HYPERLINK("http://www.ensembl.org/id/WBGene00018846", "WBGene00018846")</f>
        <v>WBGene00018846</v>
      </c>
      <c r="B8801" s="9" t="str">
        <f>HYPERLINK("http://www.ncbi.nlm.nih.gov/gene/176120", "176120")</f>
        <v>176120</v>
      </c>
      <c r="C8801" s="9" t="str">
        <f>HYPERLINK("http://www.ncbi.nlm.nih.gov/gene/1933", "1933")</f>
        <v>1933</v>
      </c>
      <c r="D8801" t="str">
        <f>"eef-1B.1"</f>
        <v>eef-1B.1</v>
      </c>
      <c r="E8801" t="s">
        <v>9078</v>
      </c>
      <c r="F8801" t="s">
        <v>11</v>
      </c>
      <c r="G8801" t="s">
        <v>2556</v>
      </c>
      <c r="H8801" s="12">
        <v>-1.21921552519757</v>
      </c>
      <c r="I8801" s="20">
        <v>-1.10899696669688</v>
      </c>
      <c r="J8801" s="28">
        <v>0.26743149053728899</v>
      </c>
      <c r="K8801" s="29">
        <v>0.98289565623980701</v>
      </c>
    </row>
    <row r="8802" spans="1:11" x14ac:dyDescent="0.35">
      <c r="A8802" s="9" t="str">
        <f>HYPERLINK("http://www.ensembl.org/id/WBGene00001167", "WBGene00001167")</f>
        <v>WBGene00001167</v>
      </c>
      <c r="B8802" s="9" t="str">
        <f>HYPERLINK("http://www.ncbi.nlm.nih.gov/gene/172743", "172743")</f>
        <v>172743</v>
      </c>
      <c r="C8802" s="9" t="str">
        <f>HYPERLINK("http://www.ncbi.nlm.nih.gov/gene/1938", "1938")</f>
        <v>1938</v>
      </c>
      <c r="D8802" t="str">
        <f>"eef-2"</f>
        <v>eef-2</v>
      </c>
      <c r="E8802" t="s">
        <v>8978</v>
      </c>
      <c r="F8802" t="s">
        <v>11</v>
      </c>
      <c r="G8802" t="s">
        <v>2097</v>
      </c>
      <c r="H8802" s="12">
        <v>-1.21183638785226</v>
      </c>
      <c r="I8802" s="20">
        <v>-1.0769030865439</v>
      </c>
      <c r="J8802" s="28">
        <v>0.28152356405036999</v>
      </c>
      <c r="K8802" s="29">
        <v>0.98289565623980701</v>
      </c>
    </row>
    <row r="8803" spans="1:11" x14ac:dyDescent="0.35">
      <c r="A8803" s="9" t="str">
        <f>HYPERLINK("http://www.ensembl.org/id/WBGene00022069", "WBGene00022069")</f>
        <v>WBGene00022069</v>
      </c>
      <c r="B8803" s="9" t="str">
        <f>HYPERLINK("http://www.ncbi.nlm.nih.gov/gene/177084", "177084")</f>
        <v>177084</v>
      </c>
      <c r="C8803" s="9"/>
      <c r="D8803" t="str">
        <f>"eel-1"</f>
        <v>eel-1</v>
      </c>
      <c r="E8803" t="s">
        <v>7486</v>
      </c>
      <c r="F8803" t="s">
        <v>11</v>
      </c>
      <c r="G8803" t="s">
        <v>7487</v>
      </c>
      <c r="H8803" s="12">
        <v>-1.12884089295917</v>
      </c>
      <c r="I8803" s="20">
        <v>-0.67142382180486904</v>
      </c>
      <c r="J8803" s="28">
        <v>0.50195057351494299</v>
      </c>
      <c r="K8803" s="29">
        <v>0.98289565623980701</v>
      </c>
    </row>
    <row r="8804" spans="1:11" x14ac:dyDescent="0.35">
      <c r="A8804" s="9" t="str">
        <f>HYPERLINK("http://www.ensembl.org/id/WBGene00013028", "WBGene00013028")</f>
        <v>WBGene00013028</v>
      </c>
      <c r="B8804" s="9" t="str">
        <f>HYPERLINK("http://www.ncbi.nlm.nih.gov/gene/190059", "190059")</f>
        <v>190059</v>
      </c>
      <c r="C8804" s="9"/>
      <c r="D8804" t="str">
        <f>"efhc-1"</f>
        <v>efhc-1</v>
      </c>
      <c r="E8804" t="s">
        <v>4429</v>
      </c>
      <c r="F8804" t="s">
        <v>11</v>
      </c>
      <c r="G8804" t="s">
        <v>4430</v>
      </c>
      <c r="H8804" s="12">
        <v>2.1919310191019301</v>
      </c>
      <c r="I8804" s="20">
        <v>0.69308635041314803</v>
      </c>
      <c r="J8804" s="28">
        <v>0.48825536305435802</v>
      </c>
      <c r="K8804" s="29">
        <v>0.98289565623980701</v>
      </c>
    </row>
    <row r="8805" spans="1:11" x14ac:dyDescent="0.35">
      <c r="A8805" s="9" t="str">
        <f>HYPERLINK("http://www.ensembl.org/id/WBGene00001161", "WBGene00001161")</f>
        <v>WBGene00001161</v>
      </c>
      <c r="B8805" s="9" t="str">
        <f>HYPERLINK("http://www.ncbi.nlm.nih.gov/gene/180133", "180133")</f>
        <v>180133</v>
      </c>
      <c r="C8805" s="9"/>
      <c r="D8805" t="str">
        <f>"efl-1"</f>
        <v>efl-1</v>
      </c>
      <c r="E8805" t="s">
        <v>6986</v>
      </c>
      <c r="F8805" t="s">
        <v>11</v>
      </c>
      <c r="G8805" t="s">
        <v>6987</v>
      </c>
      <c r="H8805" s="12">
        <v>-1.1009689458340199</v>
      </c>
      <c r="I8805" s="20">
        <v>-0.41767947202773398</v>
      </c>
      <c r="J8805" s="28">
        <v>0.67618148303210002</v>
      </c>
      <c r="K8805" s="29">
        <v>0.98289565623980701</v>
      </c>
    </row>
    <row r="8806" spans="1:11" x14ac:dyDescent="0.35">
      <c r="A8806" s="9" t="str">
        <f>HYPERLINK("http://www.ensembl.org/id/WBGene00009899", "WBGene00009899")</f>
        <v>WBGene00009899</v>
      </c>
      <c r="B8806" s="9" t="str">
        <f>HYPERLINK("http://www.ncbi.nlm.nih.gov/gene/174341", "174341")</f>
        <v>174341</v>
      </c>
      <c r="C8806" s="9"/>
      <c r="D8806" t="str">
        <f>"efl-3"</f>
        <v>efl-3</v>
      </c>
      <c r="E8806" t="s">
        <v>3614</v>
      </c>
      <c r="F8806" t="s">
        <v>11</v>
      </c>
      <c r="G8806" t="s">
        <v>5202</v>
      </c>
      <c r="H8806" s="12">
        <v>1.2169372234939699</v>
      </c>
      <c r="I8806" s="20">
        <v>0.98362557521728999</v>
      </c>
      <c r="J8806" s="28">
        <v>0.32529964543387802</v>
      </c>
      <c r="K8806" s="29">
        <v>0.98289565623980701</v>
      </c>
    </row>
    <row r="8807" spans="1:11" x14ac:dyDescent="0.35">
      <c r="A8807" s="9" t="str">
        <f>HYPERLINK("http://www.ensembl.org/id/WBGene00001165", "WBGene00001165")</f>
        <v>WBGene00001165</v>
      </c>
      <c r="B8807" s="9" t="str">
        <f>HYPERLINK("http://www.ncbi.nlm.nih.gov/gene/176882", "176882")</f>
        <v>176882</v>
      </c>
      <c r="C8807" s="9"/>
      <c r="D8807" t="str">
        <f>"efn-4"</f>
        <v>efn-4</v>
      </c>
      <c r="E8807" t="s">
        <v>9069</v>
      </c>
      <c r="F8807" t="s">
        <v>11</v>
      </c>
      <c r="G8807" t="s">
        <v>427</v>
      </c>
      <c r="H8807" s="12">
        <v>-1.2184791657224301</v>
      </c>
      <c r="I8807" s="20">
        <v>-0.94347537731678799</v>
      </c>
      <c r="J8807" s="28">
        <v>0.34543780391099599</v>
      </c>
      <c r="K8807" s="29">
        <v>0.98289565623980701</v>
      </c>
    </row>
    <row r="8808" spans="1:11" x14ac:dyDescent="0.35">
      <c r="A8808" s="9" t="str">
        <f>HYPERLINK("http://www.ensembl.org/id/WBGene00001166", "WBGene00001166")</f>
        <v>WBGene00001166</v>
      </c>
      <c r="B8808" s="9" t="str">
        <f>HYPERLINK("http://www.ncbi.nlm.nih.gov/gene/175851", "175851")</f>
        <v>175851</v>
      </c>
      <c r="C8808" s="9" t="str">
        <f>HYPERLINK("http://www.ncbi.nlm.nih.gov/gene/9343", "9343")</f>
        <v>9343</v>
      </c>
      <c r="D8808" t="str">
        <f>"eftu-2"</f>
        <v>eftu-2</v>
      </c>
      <c r="E8808" t="s">
        <v>8046</v>
      </c>
      <c r="F8808" t="s">
        <v>11</v>
      </c>
      <c r="G8808" t="s">
        <v>8047</v>
      </c>
      <c r="H8808" s="12">
        <v>-1.1579441982195899</v>
      </c>
      <c r="I8808" s="20">
        <v>-0.71244075997188405</v>
      </c>
      <c r="J8808" s="28">
        <v>0.47619188291815001</v>
      </c>
      <c r="K8808" s="29">
        <v>0.98289565623980701</v>
      </c>
    </row>
    <row r="8809" spans="1:11" x14ac:dyDescent="0.35">
      <c r="A8809" s="9" t="str">
        <f>HYPERLINK("http://www.ensembl.org/id/WBGene00015680", "WBGene00015680")</f>
        <v>WBGene00015680</v>
      </c>
      <c r="B8809" s="9" t="str">
        <f>HYPERLINK("http://www.ncbi.nlm.nih.gov/gene/177352", "177352")</f>
        <v>177352</v>
      </c>
      <c r="C8809" s="9"/>
      <c r="D8809" t="str">
        <f>"egal-1"</f>
        <v>egal-1</v>
      </c>
      <c r="E8809" t="s">
        <v>6225</v>
      </c>
      <c r="F8809" t="s">
        <v>11</v>
      </c>
      <c r="G8809" t="s">
        <v>1502</v>
      </c>
      <c r="H8809" s="12">
        <v>-1.0545693623229</v>
      </c>
      <c r="I8809" s="20">
        <v>-0.28174446608320602</v>
      </c>
      <c r="J8809" s="28">
        <v>0.77813945604712398</v>
      </c>
      <c r="K8809" s="29">
        <v>0.98289565623980701</v>
      </c>
    </row>
    <row r="8810" spans="1:11" x14ac:dyDescent="0.35">
      <c r="A8810" s="9" t="str">
        <f>HYPERLINK("http://www.ensembl.org/id/WBGene00271775", "WBGene00271775")</f>
        <v>WBGene00271775</v>
      </c>
      <c r="B8810" s="9" t="str">
        <f>HYPERLINK("http://www.ncbi.nlm.nih.gov/gene/34700619", "34700619")</f>
        <v>34700619</v>
      </c>
      <c r="C8810" s="9"/>
      <c r="D8810" t="str">
        <f>"EGAP1.5"</f>
        <v>EGAP1.5</v>
      </c>
      <c r="F8810" t="s">
        <v>11</v>
      </c>
      <c r="H8810" s="12">
        <v>-1.1146795264453999</v>
      </c>
      <c r="I8810" s="20">
        <v>-0.314403161536284</v>
      </c>
      <c r="J8810" s="28">
        <v>0.75321485525148302</v>
      </c>
      <c r="K8810" s="29">
        <v>0.98289565623980701</v>
      </c>
    </row>
    <row r="8811" spans="1:11" x14ac:dyDescent="0.35">
      <c r="A8811" s="9" t="str">
        <f>HYPERLINK("http://www.ensembl.org/id/WBGene00017147", "WBGene00017147")</f>
        <v>WBGene00017147</v>
      </c>
      <c r="B8811" s="9" t="str">
        <f>HYPERLINK("http://www.ncbi.nlm.nih.gov/gene/173895", "173895")</f>
        <v>173895</v>
      </c>
      <c r="C8811" s="9"/>
      <c r="D8811" t="str">
        <f>"EGAP2.1"</f>
        <v>EGAP2.1</v>
      </c>
      <c r="F8811" t="s">
        <v>11</v>
      </c>
      <c r="H8811" s="12">
        <v>-1.0703516148324499</v>
      </c>
      <c r="I8811" s="20">
        <v>-0.26358284695520301</v>
      </c>
      <c r="J8811" s="28">
        <v>0.79210137737927899</v>
      </c>
      <c r="K8811" s="29">
        <v>0.98289565623980701</v>
      </c>
    </row>
    <row r="8812" spans="1:11" x14ac:dyDescent="0.35">
      <c r="A8812" s="9" t="str">
        <f>HYPERLINK("http://www.ensembl.org/id/WBGene00198610", "WBGene00198610")</f>
        <v>WBGene00198610</v>
      </c>
      <c r="B8812" s="9"/>
      <c r="C8812" s="9"/>
      <c r="D8812" t="str">
        <f>"EGAP3.2"</f>
        <v>EGAP3.2</v>
      </c>
      <c r="F8812" t="s">
        <v>481</v>
      </c>
      <c r="H8812" s="12">
        <v>2.4578120077400301</v>
      </c>
      <c r="I8812" s="20">
        <v>0.26093350314551</v>
      </c>
      <c r="J8812" s="28">
        <v>0.79414378780213601</v>
      </c>
      <c r="K8812" s="29">
        <v>0.98289565623980701</v>
      </c>
    </row>
    <row r="8813" spans="1:11" x14ac:dyDescent="0.35">
      <c r="A8813" s="9" t="str">
        <f>HYPERLINK("http://www.ensembl.org/id/WBGene00017150", "WBGene00017150")</f>
        <v>WBGene00017150</v>
      </c>
      <c r="B8813" s="9" t="str">
        <f>HYPERLINK("http://www.ncbi.nlm.nih.gov/gene/180786", "180786")</f>
        <v>180786</v>
      </c>
      <c r="C8813" s="9"/>
      <c r="D8813" t="str">
        <f>"EGAP5.1"</f>
        <v>EGAP5.1</v>
      </c>
      <c r="F8813" t="s">
        <v>11</v>
      </c>
      <c r="H8813" s="12">
        <v>1.67995856950574</v>
      </c>
      <c r="I8813" s="20">
        <v>0.72826044287747704</v>
      </c>
      <c r="J8813" s="28">
        <v>0.46645417216479002</v>
      </c>
      <c r="K8813" s="29">
        <v>0.98289565623980701</v>
      </c>
    </row>
    <row r="8814" spans="1:11" x14ac:dyDescent="0.35">
      <c r="A8814" s="9" t="str">
        <f>HYPERLINK("http://www.ensembl.org/id/WBGene00017151", "WBGene00017151")</f>
        <v>WBGene00017151</v>
      </c>
      <c r="B8814" s="9" t="str">
        <f>HYPERLINK("http://www.ncbi.nlm.nih.gov/gene/179048", "179048")</f>
        <v>179048</v>
      </c>
      <c r="C8814" s="9"/>
      <c r="D8814" t="str">
        <f>"EGAP9.3"</f>
        <v>EGAP9.3</v>
      </c>
      <c r="F8814" t="s">
        <v>11</v>
      </c>
      <c r="G8814" t="s">
        <v>4254</v>
      </c>
      <c r="H8814" s="12">
        <v>1.1519705683178001</v>
      </c>
      <c r="I8814" s="20">
        <v>0.458549076660001</v>
      </c>
      <c r="J8814" s="28">
        <v>0.64655801235490296</v>
      </c>
      <c r="K8814" s="29">
        <v>0.98289565623980701</v>
      </c>
    </row>
    <row r="8815" spans="1:11" x14ac:dyDescent="0.35">
      <c r="A8815" s="9" t="str">
        <f>HYPERLINK("http://www.ensembl.org/id/WBGene00044545", "WBGene00044545")</f>
        <v>WBGene00044545</v>
      </c>
      <c r="B8815" s="9" t="str">
        <f>HYPERLINK("http://www.ncbi.nlm.nih.gov/gene/3896841", "3896841")</f>
        <v>3896841</v>
      </c>
      <c r="C8815" s="9"/>
      <c r="D8815" t="str">
        <f>"EGAP9.4"</f>
        <v>EGAP9.4</v>
      </c>
      <c r="F8815" t="s">
        <v>11</v>
      </c>
      <c r="H8815" s="12">
        <v>1.6045684652327199</v>
      </c>
      <c r="I8815" s="20">
        <v>0.27785120472385</v>
      </c>
      <c r="J8815" s="28">
        <v>0.781126582440966</v>
      </c>
      <c r="K8815" s="29">
        <v>0.98289565623980701</v>
      </c>
    </row>
    <row r="8816" spans="1:11" x14ac:dyDescent="0.35">
      <c r="A8816" s="9" t="str">
        <f>HYPERLINK("http://www.ensembl.org/id/WBGene00018906", "WBGene00018906")</f>
        <v>WBGene00018906</v>
      </c>
      <c r="B8816" s="9" t="str">
        <f>HYPERLINK("http://www.ncbi.nlm.nih.gov/gene/3564809", "3564809")</f>
        <v>3564809</v>
      </c>
      <c r="C8816" s="9"/>
      <c r="D8816" t="str">
        <f>"egas-4"</f>
        <v>egas-4</v>
      </c>
      <c r="E8816" t="s">
        <v>1210</v>
      </c>
      <c r="F8816" t="s">
        <v>11</v>
      </c>
      <c r="G8816" t="s">
        <v>1211</v>
      </c>
      <c r="H8816" s="12">
        <v>1.1940529785057401</v>
      </c>
      <c r="I8816" s="20">
        <v>0.44927407934400498</v>
      </c>
      <c r="J8816" s="28">
        <v>0.65323395396996498</v>
      </c>
      <c r="K8816" s="29">
        <v>0.98289565623980701</v>
      </c>
    </row>
    <row r="8817" spans="1:11" x14ac:dyDescent="0.35">
      <c r="A8817" s="9" t="str">
        <f>HYPERLINK("http://www.ensembl.org/id/WBGene00001170", "WBGene00001170")</f>
        <v>WBGene00001170</v>
      </c>
      <c r="B8817" s="9" t="str">
        <f>HYPERLINK("http://www.ncbi.nlm.nih.gov/gene/179943", "179943")</f>
        <v>179943</v>
      </c>
      <c r="C8817" s="9"/>
      <c r="D8817" t="str">
        <f>"egl-1"</f>
        <v>egl-1</v>
      </c>
      <c r="E8817" t="s">
        <v>4892</v>
      </c>
      <c r="F8817" t="s">
        <v>11</v>
      </c>
      <c r="H8817" s="12">
        <v>1.31238115879791</v>
      </c>
      <c r="I8817" s="20">
        <v>0.36275862961356098</v>
      </c>
      <c r="J8817" s="28">
        <v>0.716785198472492</v>
      </c>
      <c r="K8817" s="29">
        <v>0.98289565623980701</v>
      </c>
    </row>
    <row r="8818" spans="1:11" x14ac:dyDescent="0.35">
      <c r="A8818" s="9" t="str">
        <f>HYPERLINK("http://www.ensembl.org/id/WBGene00001179", "WBGene00001179")</f>
        <v>WBGene00001179</v>
      </c>
      <c r="B8818" s="9" t="str">
        <f>HYPERLINK("http://www.ncbi.nlm.nih.gov/gene/179707", "179707")</f>
        <v>179707</v>
      </c>
      <c r="C8818" s="9" t="str">
        <f>HYPERLINK("http://www.ncbi.nlm.nih.gov/gene/9628", "9628")</f>
        <v>9628</v>
      </c>
      <c r="D8818" t="str">
        <f>"egl-10"</f>
        <v>egl-10</v>
      </c>
      <c r="E8818" t="s">
        <v>5870</v>
      </c>
      <c r="F8818" t="s">
        <v>11</v>
      </c>
      <c r="G8818" t="s">
        <v>5871</v>
      </c>
      <c r="H8818" s="12">
        <v>1.0913659080357401</v>
      </c>
      <c r="I8818" s="20">
        <v>0.46124920819582199</v>
      </c>
      <c r="J8818" s="28">
        <v>0.64461982092424797</v>
      </c>
      <c r="K8818" s="29">
        <v>0.98289565623980701</v>
      </c>
    </row>
    <row r="8819" spans="1:11" x14ac:dyDescent="0.35">
      <c r="A8819" s="9" t="str">
        <f>HYPERLINK("http://www.ensembl.org/id/WBGene00001182", "WBGene00001182")</f>
        <v>WBGene00001182</v>
      </c>
      <c r="B8819" s="9" t="str">
        <f>HYPERLINK("http://www.ncbi.nlm.nih.gov/gene/180833", "180833")</f>
        <v>180833</v>
      </c>
      <c r="C8819" s="9"/>
      <c r="D8819" t="str">
        <f>"egl-13"</f>
        <v>egl-13</v>
      </c>
      <c r="E8819" t="s">
        <v>5150</v>
      </c>
      <c r="F8819" t="s">
        <v>11</v>
      </c>
      <c r="H8819" s="12">
        <v>1.2288674128925401</v>
      </c>
      <c r="I8819" s="20">
        <v>0.95405011095206604</v>
      </c>
      <c r="J8819" s="28">
        <v>0.340058277480421</v>
      </c>
      <c r="K8819" s="29">
        <v>0.98289565623980701</v>
      </c>
    </row>
    <row r="8820" spans="1:11" x14ac:dyDescent="0.35">
      <c r="A8820" s="9" t="str">
        <f>HYPERLINK("http://www.ensembl.org/id/WBGene00001193", "WBGene00001193")</f>
        <v>WBGene00001193</v>
      </c>
      <c r="B8820" s="9" t="str">
        <f>HYPERLINK("http://www.ncbi.nlm.nih.gov/gene/173392", "173392")</f>
        <v>173392</v>
      </c>
      <c r="C8820" s="9"/>
      <c r="D8820" t="str">
        <f>"egl-26"</f>
        <v>egl-26</v>
      </c>
      <c r="F8820" t="s">
        <v>11</v>
      </c>
      <c r="G8820" t="s">
        <v>9479</v>
      </c>
      <c r="H8820" s="12">
        <v>-1.2498667747733301</v>
      </c>
      <c r="I8820" s="20">
        <v>-1.09847413754081</v>
      </c>
      <c r="J8820" s="28">
        <v>0.27199750480118101</v>
      </c>
      <c r="K8820" s="29">
        <v>0.98289565623980701</v>
      </c>
    </row>
    <row r="8821" spans="1:11" x14ac:dyDescent="0.35">
      <c r="A8821" s="9" t="str">
        <f>HYPERLINK("http://www.ensembl.org/id/WBGene00001194", "WBGene00001194")</f>
        <v>WBGene00001194</v>
      </c>
      <c r="B8821" s="9" t="str">
        <f>HYPERLINK("http://www.ncbi.nlm.nih.gov/gene/174121", "174121")</f>
        <v>174121</v>
      </c>
      <c r="C8821" s="9"/>
      <c r="D8821" t="str">
        <f>"egl-27"</f>
        <v>egl-27</v>
      </c>
      <c r="E8821" t="s">
        <v>6176</v>
      </c>
      <c r="F8821" t="s">
        <v>11</v>
      </c>
      <c r="G8821" t="s">
        <v>6177</v>
      </c>
      <c r="H8821" s="12">
        <v>-1.0511558281225499</v>
      </c>
      <c r="I8821" s="20">
        <v>-0.27160726178139699</v>
      </c>
      <c r="J8821" s="28">
        <v>0.78592401520659705</v>
      </c>
      <c r="K8821" s="29">
        <v>0.98289565623980701</v>
      </c>
    </row>
    <row r="8822" spans="1:11" x14ac:dyDescent="0.35">
      <c r="A8822" s="9" t="str">
        <f>HYPERLINK("http://www.ensembl.org/id/WBGene00001196", "WBGene00001196")</f>
        <v>WBGene00001196</v>
      </c>
      <c r="B8822" s="9" t="str">
        <f>HYPERLINK("http://www.ncbi.nlm.nih.gov/gene/171751", "171751")</f>
        <v>171751</v>
      </c>
      <c r="C8822" s="9" t="str">
        <f>HYPERLINK("http://www.ncbi.nlm.nih.gov/gene/2767", "2767")</f>
        <v>2767</v>
      </c>
      <c r="D8822" t="str">
        <f>"egl-30"</f>
        <v>egl-30</v>
      </c>
      <c r="E8822" t="s">
        <v>5566</v>
      </c>
      <c r="F8822" t="s">
        <v>11</v>
      </c>
      <c r="G8822" t="s">
        <v>5567</v>
      </c>
      <c r="H8822" s="12">
        <v>1.14517700923752</v>
      </c>
      <c r="I8822" s="20">
        <v>0.743147985236154</v>
      </c>
      <c r="J8822" s="28">
        <v>0.45739209061273101</v>
      </c>
      <c r="K8822" s="29">
        <v>0.98289565623980701</v>
      </c>
    </row>
    <row r="8823" spans="1:11" x14ac:dyDescent="0.35">
      <c r="A8823" s="9" t="str">
        <f>HYPERLINK("http://www.ensembl.org/id/WBGene00001208", "WBGene00001208")</f>
        <v>WBGene00001208</v>
      </c>
      <c r="B8823" s="9" t="str">
        <f>HYPERLINK("http://www.ncbi.nlm.nih.gov/gene/174005", "174005")</f>
        <v>174005</v>
      </c>
      <c r="C8823" s="9" t="str">
        <f>HYPERLINK("http://www.ncbi.nlm.nih.gov/gene/7003", "7003")</f>
        <v>7003</v>
      </c>
      <c r="D8823" t="str">
        <f>"egl-44"</f>
        <v>egl-44</v>
      </c>
      <c r="E8823" t="s">
        <v>6542</v>
      </c>
      <c r="F8823" t="s">
        <v>11</v>
      </c>
      <c r="G8823" t="s">
        <v>6543</v>
      </c>
      <c r="H8823" s="12">
        <v>-1.0750024598855401</v>
      </c>
      <c r="I8823" s="20">
        <v>-0.39884470340786699</v>
      </c>
      <c r="J8823" s="28">
        <v>0.690007635710008</v>
      </c>
      <c r="K8823" s="29">
        <v>0.98289565623980701</v>
      </c>
    </row>
    <row r="8824" spans="1:11" x14ac:dyDescent="0.35">
      <c r="A8824" s="9" t="str">
        <f>HYPERLINK("http://www.ensembl.org/id/WBGene00001209", "WBGene00001209")</f>
        <v>WBGene00001209</v>
      </c>
      <c r="B8824" s="9" t="str">
        <f>HYPERLINK("http://www.ncbi.nlm.nih.gov/gene/176094", "176094")</f>
        <v>176094</v>
      </c>
      <c r="C8824" s="9" t="str">
        <f>HYPERLINK("http://www.ncbi.nlm.nih.gov/gene/8661", "8661")</f>
        <v>8661</v>
      </c>
      <c r="D8824" t="str">
        <f>"egl-45"</f>
        <v>egl-45</v>
      </c>
      <c r="E8824" t="s">
        <v>8493</v>
      </c>
      <c r="F8824" t="s">
        <v>11</v>
      </c>
      <c r="G8824" t="s">
        <v>8494</v>
      </c>
      <c r="H8824" s="12">
        <v>-1.1805893521902799</v>
      </c>
      <c r="I8824" s="20">
        <v>-0.91910226348342805</v>
      </c>
      <c r="J8824" s="28">
        <v>0.35804208545925598</v>
      </c>
      <c r="K8824" s="29">
        <v>0.98289565623980701</v>
      </c>
    </row>
    <row r="8825" spans="1:11" x14ac:dyDescent="0.35">
      <c r="A8825" s="9" t="str">
        <f>HYPERLINK("http://www.ensembl.org/id/WBGene00001210", "WBGene00001210")</f>
        <v>WBGene00001210</v>
      </c>
      <c r="B8825" s="9" t="str">
        <f>HYPERLINK("http://www.ncbi.nlm.nih.gov/gene/179058", "179058")</f>
        <v>179058</v>
      </c>
      <c r="C8825" s="9"/>
      <c r="D8825" t="str">
        <f>"egl-46"</f>
        <v>egl-46</v>
      </c>
      <c r="E8825" t="s">
        <v>8006</v>
      </c>
      <c r="F8825" t="s">
        <v>11</v>
      </c>
      <c r="G8825" t="s">
        <v>8007</v>
      </c>
      <c r="H8825" s="12">
        <v>-1.1557879246415499</v>
      </c>
      <c r="I8825" s="20">
        <v>-0.58379199362940004</v>
      </c>
      <c r="J8825" s="28">
        <v>0.55936026551926699</v>
      </c>
      <c r="K8825" s="29">
        <v>0.98289565623980701</v>
      </c>
    </row>
    <row r="8826" spans="1:11" x14ac:dyDescent="0.35">
      <c r="A8826" s="9" t="str">
        <f>HYPERLINK("http://www.ensembl.org/id/WBGene00001174", "WBGene00001174")</f>
        <v>WBGene00001174</v>
      </c>
      <c r="B8826" s="9" t="str">
        <f>HYPERLINK("http://www.ncbi.nlm.nih.gov/gene/176093", "176093")</f>
        <v>176093</v>
      </c>
      <c r="C8826" s="9"/>
      <c r="D8826" t="str">
        <f>"egl-5"</f>
        <v>egl-5</v>
      </c>
      <c r="E8826" t="s">
        <v>5081</v>
      </c>
      <c r="F8826" t="s">
        <v>11</v>
      </c>
      <c r="G8826" t="s">
        <v>1012</v>
      </c>
      <c r="H8826" s="12">
        <v>1.2453386636147601</v>
      </c>
      <c r="I8826" s="20">
        <v>0.864637503192354</v>
      </c>
      <c r="J8826" s="28">
        <v>0.38723778157383099</v>
      </c>
      <c r="K8826" s="29">
        <v>0.98289565623980701</v>
      </c>
    </row>
    <row r="8827" spans="1:11" x14ac:dyDescent="0.35">
      <c r="A8827" s="9" t="str">
        <f>HYPERLINK("http://www.ensembl.org/id/WBGene00001175", "WBGene00001175")</f>
        <v>WBGene00001175</v>
      </c>
      <c r="B8827" s="9" t="str">
        <f>HYPERLINK("http://www.ncbi.nlm.nih.gov/gene/183513", "183513")</f>
        <v>183513</v>
      </c>
      <c r="C8827" s="9"/>
      <c r="D8827" t="str">
        <f>"egl-6"</f>
        <v>egl-6</v>
      </c>
      <c r="E8827" t="s">
        <v>8818</v>
      </c>
      <c r="F8827" t="s">
        <v>11</v>
      </c>
      <c r="G8827" t="s">
        <v>8819</v>
      </c>
      <c r="H8827" s="12">
        <v>-1.1994172428593299</v>
      </c>
      <c r="I8827" s="20">
        <v>-0.68995898330879701</v>
      </c>
      <c r="J8827" s="28">
        <v>0.49021998160598002</v>
      </c>
      <c r="K8827" s="29">
        <v>0.98289565623980701</v>
      </c>
    </row>
    <row r="8828" spans="1:11" x14ac:dyDescent="0.35">
      <c r="A8828" s="9" t="str">
        <f>HYPERLINK("http://www.ensembl.org/id/WBGene00001215", "WBGene00001215")</f>
        <v>WBGene00001215</v>
      </c>
      <c r="B8828" s="9" t="str">
        <f>HYPERLINK("http://www.ncbi.nlm.nih.gov/gene/190251", "190251")</f>
        <v>190251</v>
      </c>
      <c r="C8828" s="9"/>
      <c r="D8828" t="str">
        <f>"ego-2"</f>
        <v>ego-2</v>
      </c>
      <c r="E8828" t="s">
        <v>6961</v>
      </c>
      <c r="F8828" t="s">
        <v>11</v>
      </c>
      <c r="G8828" t="s">
        <v>6962</v>
      </c>
      <c r="H8828" s="12">
        <v>-1.10012774093263</v>
      </c>
      <c r="I8828" s="20">
        <v>-0.51303144327841899</v>
      </c>
      <c r="J8828" s="28">
        <v>0.60792932599685001</v>
      </c>
      <c r="K8828" s="29">
        <v>0.98289565623980701</v>
      </c>
    </row>
    <row r="8829" spans="1:11" x14ac:dyDescent="0.35">
      <c r="A8829" s="9" t="str">
        <f>HYPERLINK("http://www.ensembl.org/id/WBGene00007772", "WBGene00007772")</f>
        <v>WBGene00007772</v>
      </c>
      <c r="B8829" s="9" t="str">
        <f>HYPERLINK("http://www.ncbi.nlm.nih.gov/gene/181580", "181580")</f>
        <v>181580</v>
      </c>
      <c r="C8829" s="9"/>
      <c r="D8829" t="str">
        <f>"egrh-1"</f>
        <v>egrh-1</v>
      </c>
      <c r="E8829" t="s">
        <v>1583</v>
      </c>
      <c r="F8829" t="s">
        <v>11</v>
      </c>
      <c r="G8829" t="s">
        <v>9581</v>
      </c>
      <c r="H8829" s="12">
        <v>-1.26081100455252</v>
      </c>
      <c r="I8829" s="20">
        <v>-1.1828786962555899</v>
      </c>
      <c r="J8829" s="28">
        <v>0.236857225842941</v>
      </c>
      <c r="K8829" s="29">
        <v>0.98289565623980701</v>
      </c>
    </row>
    <row r="8830" spans="1:11" x14ac:dyDescent="0.35">
      <c r="A8830" s="9" t="str">
        <f>HYPERLINK("http://www.ensembl.org/id/WBGene00009098", "WBGene00009098")</f>
        <v>WBGene00009098</v>
      </c>
      <c r="B8830" s="9" t="str">
        <f>HYPERLINK("http://www.ncbi.nlm.nih.gov/gene/179343", "179343")</f>
        <v>179343</v>
      </c>
      <c r="C8830" s="9"/>
      <c r="D8830" t="str">
        <f>"ehbp-1"</f>
        <v>ehbp-1</v>
      </c>
      <c r="E8830" t="s">
        <v>8486</v>
      </c>
      <c r="F8830" t="s">
        <v>11</v>
      </c>
      <c r="G8830" t="s">
        <v>8487</v>
      </c>
      <c r="H8830" s="12">
        <v>-1.18009023325843</v>
      </c>
      <c r="I8830" s="20">
        <v>-0.87066946516312504</v>
      </c>
      <c r="J8830" s="28">
        <v>0.38393465550244998</v>
      </c>
      <c r="K8830" s="29">
        <v>0.98289565623980701</v>
      </c>
    </row>
    <row r="8831" spans="1:11" x14ac:dyDescent="0.35">
      <c r="A8831" s="9" t="str">
        <f>HYPERLINK("http://www.ensembl.org/id/WBGene00001223", "WBGene00001223")</f>
        <v>WBGene00001223</v>
      </c>
      <c r="B8831" s="9" t="str">
        <f>HYPERLINK("http://www.ncbi.nlm.nih.gov/gene/191363", "191363")</f>
        <v>191363</v>
      </c>
      <c r="C8831" s="9"/>
      <c r="D8831" t="str">
        <f>"ehn-3"</f>
        <v>ehn-3</v>
      </c>
      <c r="E8831" t="s">
        <v>4714</v>
      </c>
      <c r="F8831" t="s">
        <v>11</v>
      </c>
      <c r="G8831" t="s">
        <v>4715</v>
      </c>
      <c r="H8831" s="12">
        <v>1.4559304231869299</v>
      </c>
      <c r="I8831" s="20">
        <v>0.26343892372054101</v>
      </c>
      <c r="J8831" s="28">
        <v>0.792212292997722</v>
      </c>
      <c r="K8831" s="29">
        <v>0.98289565623980701</v>
      </c>
    </row>
    <row r="8832" spans="1:11" x14ac:dyDescent="0.35">
      <c r="A8832" s="9" t="str">
        <f>HYPERLINK("http://www.ensembl.org/id/WBGene00001224", "WBGene00001224")</f>
        <v>WBGene00001224</v>
      </c>
      <c r="B8832" s="9" t="str">
        <f>HYPERLINK("http://www.ncbi.nlm.nih.gov/gene/173985", "173985")</f>
        <v>173985</v>
      </c>
      <c r="C8832" s="9" t="str">
        <f>HYPERLINK("http://www.ncbi.nlm.nih.gov/gene/58513", "58513")</f>
        <v>58513</v>
      </c>
      <c r="D8832" t="str">
        <f>"ehs-1"</f>
        <v>ehs-1</v>
      </c>
      <c r="E8832" t="s">
        <v>8616</v>
      </c>
      <c r="F8832" t="s">
        <v>11</v>
      </c>
      <c r="G8832" t="s">
        <v>8617</v>
      </c>
      <c r="H8832" s="12">
        <v>-1.1865910741227801</v>
      </c>
      <c r="I8832" s="20">
        <v>-0.88613914041492803</v>
      </c>
      <c r="J8832" s="28">
        <v>0.375542553863078</v>
      </c>
      <c r="K8832" s="29">
        <v>0.98289565623980701</v>
      </c>
    </row>
    <row r="8833" spans="1:11" x14ac:dyDescent="0.35">
      <c r="A8833" s="9" t="str">
        <f>HYPERLINK("http://www.ensembl.org/id/WBGene00019162", "WBGene00019162")</f>
        <v>WBGene00019162</v>
      </c>
      <c r="B8833" s="9" t="str">
        <f>HYPERLINK("http://www.ncbi.nlm.nih.gov/gene/177254", "177254")</f>
        <v>177254</v>
      </c>
      <c r="C8833" s="9" t="str">
        <f>HYPERLINK("http://www.ncbi.nlm.nih.gov/gene/9086", "9086")</f>
        <v>9086</v>
      </c>
      <c r="D8833" t="str">
        <f>"eif-1.A"</f>
        <v>eif-1.A</v>
      </c>
      <c r="E8833" t="s">
        <v>1914</v>
      </c>
      <c r="F8833" t="s">
        <v>11</v>
      </c>
      <c r="G8833" t="s">
        <v>7467</v>
      </c>
      <c r="H8833" s="12">
        <v>-1.12777444177992</v>
      </c>
      <c r="I8833" s="20">
        <v>-0.66634791880762401</v>
      </c>
      <c r="J8833" s="28">
        <v>0.50518874346492104</v>
      </c>
      <c r="K8833" s="29">
        <v>0.98289565623980701</v>
      </c>
    </row>
    <row r="8834" spans="1:11" x14ac:dyDescent="0.35">
      <c r="A8834" s="9" t="str">
        <f>HYPERLINK("http://www.ensembl.org/id/WBGene00021351", "WBGene00021351")</f>
        <v>WBGene00021351</v>
      </c>
      <c r="B8834" s="9" t="str">
        <f>HYPERLINK("http://www.ncbi.nlm.nih.gov/gene/171769", "171769")</f>
        <v>171769</v>
      </c>
      <c r="C8834" s="9" t="str">
        <f>HYPERLINK("http://www.ncbi.nlm.nih.gov/gene/1965", "1965")</f>
        <v>1965</v>
      </c>
      <c r="D8834" t="str">
        <f>"eif-2alpha"</f>
        <v>eif-2alpha</v>
      </c>
      <c r="E8834" t="s">
        <v>1914</v>
      </c>
      <c r="F8834" t="s">
        <v>11</v>
      </c>
      <c r="G8834" t="s">
        <v>7794</v>
      </c>
      <c r="H8834" s="12">
        <v>-1.14509586847102</v>
      </c>
      <c r="I8834" s="20">
        <v>-0.73631247438082503</v>
      </c>
      <c r="J8834" s="28">
        <v>0.46154055636587599</v>
      </c>
      <c r="K8834" s="29">
        <v>0.98289565623980701</v>
      </c>
    </row>
    <row r="8835" spans="1:11" x14ac:dyDescent="0.35">
      <c r="A8835" s="9" t="str">
        <f>HYPERLINK("http://www.ensembl.org/id/WBGene00014221", "WBGene00014221")</f>
        <v>WBGene00014221</v>
      </c>
      <c r="B8835" s="9" t="str">
        <f>HYPERLINK("http://www.ncbi.nlm.nih.gov/gene/176348", "176348")</f>
        <v>176348</v>
      </c>
      <c r="C8835" s="9" t="str">
        <f>HYPERLINK("http://www.ncbi.nlm.nih.gov/gene/1967", "1967")</f>
        <v>1967</v>
      </c>
      <c r="D8835" t="str">
        <f>"eif-2Balpha"</f>
        <v>eif-2Balpha</v>
      </c>
      <c r="E8835" t="s">
        <v>7742</v>
      </c>
      <c r="F8835" t="s">
        <v>11</v>
      </c>
      <c r="G8835" t="s">
        <v>7743</v>
      </c>
      <c r="H8835" s="12">
        <v>-1.1422945850661901</v>
      </c>
      <c r="I8835" s="20">
        <v>-0.59964693733205898</v>
      </c>
      <c r="J8835" s="28">
        <v>0.54874155875417596</v>
      </c>
      <c r="K8835" s="29">
        <v>0.98289565623980701</v>
      </c>
    </row>
    <row r="8836" spans="1:11" x14ac:dyDescent="0.35">
      <c r="A8836" s="9" t="str">
        <f>HYPERLINK("http://www.ensembl.org/id/WBGene00010560", "WBGene00010560")</f>
        <v>WBGene00010560</v>
      </c>
      <c r="B8836" s="9" t="str">
        <f>HYPERLINK("http://www.ncbi.nlm.nih.gov/gene/172584", "172584")</f>
        <v>172584</v>
      </c>
      <c r="C8836" s="9"/>
      <c r="D8836" t="str">
        <f>"eif-2beta"</f>
        <v>eif-2beta</v>
      </c>
      <c r="E8836" t="s">
        <v>7557</v>
      </c>
      <c r="F8836" t="s">
        <v>11</v>
      </c>
      <c r="G8836" t="s">
        <v>7558</v>
      </c>
      <c r="H8836" s="12">
        <v>-1.13310161342502</v>
      </c>
      <c r="I8836" s="20">
        <v>-0.68288318577990603</v>
      </c>
      <c r="J8836" s="28">
        <v>0.49468065952211299</v>
      </c>
      <c r="K8836" s="29">
        <v>0.98289565623980701</v>
      </c>
    </row>
    <row r="8837" spans="1:11" x14ac:dyDescent="0.35">
      <c r="A8837" s="9" t="str">
        <f>HYPERLINK("http://www.ensembl.org/id/WBGene00004090", "WBGene00004090")</f>
        <v>WBGene00004090</v>
      </c>
      <c r="B8837" s="9" t="str">
        <f>HYPERLINK("http://www.ncbi.nlm.nih.gov/gene/174138", "174138")</f>
        <v>174138</v>
      </c>
      <c r="C8837" s="9" t="str">
        <f>HYPERLINK("http://www.ncbi.nlm.nih.gov/gene/8891", "8891")</f>
        <v>8891</v>
      </c>
      <c r="D8837" t="str">
        <f>"eif-2Bgamma"</f>
        <v>eif-2Bgamma</v>
      </c>
      <c r="E8837" t="s">
        <v>8751</v>
      </c>
      <c r="F8837" t="s">
        <v>11</v>
      </c>
      <c r="G8837" t="s">
        <v>8752</v>
      </c>
      <c r="H8837" s="12">
        <v>-1.19420658631804</v>
      </c>
      <c r="I8837" s="20">
        <v>-0.80392325991047098</v>
      </c>
      <c r="J8837" s="28">
        <v>0.42144129588307999</v>
      </c>
      <c r="K8837" s="29">
        <v>0.98289565623980701</v>
      </c>
    </row>
    <row r="8838" spans="1:11" x14ac:dyDescent="0.35">
      <c r="A8838" s="9" t="str">
        <f>HYPERLINK("http://www.ensembl.org/id/WBGene00021466", "WBGene00021466")</f>
        <v>WBGene00021466</v>
      </c>
      <c r="B8838" s="9" t="str">
        <f>HYPERLINK("http://www.ncbi.nlm.nih.gov/gene/171792", "171792")</f>
        <v>171792</v>
      </c>
      <c r="C8838" s="9" t="str">
        <f>HYPERLINK("http://www.ncbi.nlm.nih.gov/gene/1968", "1968")</f>
        <v>1968</v>
      </c>
      <c r="D8838" t="str">
        <f>"eif-2gamma"</f>
        <v>eif-2gamma</v>
      </c>
      <c r="E8838" t="s">
        <v>1914</v>
      </c>
      <c r="F8838" t="s">
        <v>11</v>
      </c>
      <c r="G8838" t="s">
        <v>8411</v>
      </c>
      <c r="H8838" s="12">
        <v>-1.17578872213012</v>
      </c>
      <c r="I8838" s="20">
        <v>-0.87287775034958004</v>
      </c>
      <c r="J8838" s="28">
        <v>0.382729714906688</v>
      </c>
      <c r="K8838" s="29">
        <v>0.98289565623980701</v>
      </c>
    </row>
    <row r="8839" spans="1:11" x14ac:dyDescent="0.35">
      <c r="A8839" s="9" t="str">
        <f>HYPERLINK("http://www.ensembl.org/id/WBGene00001225", "WBGene00001225")</f>
        <v>WBGene00001225</v>
      </c>
      <c r="B8839" s="9" t="str">
        <f>HYPERLINK("http://www.ncbi.nlm.nih.gov/gene/175138", "175138")</f>
        <v>175138</v>
      </c>
      <c r="C8839" s="9"/>
      <c r="D8839" t="str">
        <f>"eif-3.B"</f>
        <v>eif-3.B</v>
      </c>
      <c r="E8839" t="s">
        <v>7960</v>
      </c>
      <c r="F8839" t="s">
        <v>11</v>
      </c>
      <c r="G8839" t="s">
        <v>7961</v>
      </c>
      <c r="H8839" s="12">
        <v>-1.1529945127914401</v>
      </c>
      <c r="I8839" s="20">
        <v>-0.78833999210338201</v>
      </c>
      <c r="J8839" s="28">
        <v>0.43049786099536502</v>
      </c>
      <c r="K8839" s="29">
        <v>0.98289565623980701</v>
      </c>
    </row>
    <row r="8840" spans="1:11" x14ac:dyDescent="0.35">
      <c r="A8840" s="9" t="str">
        <f>HYPERLINK("http://www.ensembl.org/id/WBGene00001226", "WBGene00001226")</f>
        <v>WBGene00001226</v>
      </c>
      <c r="B8840" s="9" t="str">
        <f>HYPERLINK("http://www.ncbi.nlm.nih.gov/gene/172858", "172858")</f>
        <v>172858</v>
      </c>
      <c r="C8840" s="9" t="str">
        <f>HYPERLINK("http://www.ncbi.nlm.nih.gov/gene/8663", "8663")</f>
        <v>8663</v>
      </c>
      <c r="D8840" t="str">
        <f>"eif-3.C"</f>
        <v>eif-3.C</v>
      </c>
      <c r="E8840" t="s">
        <v>9119</v>
      </c>
      <c r="F8840" t="s">
        <v>11</v>
      </c>
      <c r="G8840" t="s">
        <v>9120</v>
      </c>
      <c r="H8840" s="12">
        <v>-1.22191026769141</v>
      </c>
      <c r="I8840" s="20">
        <v>-1.0877900555692399</v>
      </c>
      <c r="J8840" s="28">
        <v>0.276687800605872</v>
      </c>
      <c r="K8840" s="29">
        <v>0.98289565623980701</v>
      </c>
    </row>
    <row r="8841" spans="1:11" x14ac:dyDescent="0.35">
      <c r="A8841" s="9" t="str">
        <f>HYPERLINK("http://www.ensembl.org/id/WBGene00001227", "WBGene00001227")</f>
        <v>WBGene00001227</v>
      </c>
      <c r="B8841" s="9" t="str">
        <f>HYPERLINK("http://www.ncbi.nlm.nih.gov/gene/176268", "176268")</f>
        <v>176268</v>
      </c>
      <c r="C8841" s="9" t="str">
        <f>HYPERLINK("http://www.ncbi.nlm.nih.gov/gene/8664", "8664")</f>
        <v>8664</v>
      </c>
      <c r="D8841" t="str">
        <f>"eif-3.D"</f>
        <v>eif-3.D</v>
      </c>
      <c r="E8841" t="s">
        <v>7231</v>
      </c>
      <c r="F8841" t="s">
        <v>11</v>
      </c>
      <c r="G8841" t="s">
        <v>7034</v>
      </c>
      <c r="H8841" s="12">
        <v>-1.11452881922057</v>
      </c>
      <c r="I8841" s="20">
        <v>-0.57621758154056102</v>
      </c>
      <c r="J8841" s="28">
        <v>0.56446812291820303</v>
      </c>
      <c r="K8841" s="29">
        <v>0.98289565623980701</v>
      </c>
    </row>
    <row r="8842" spans="1:11" x14ac:dyDescent="0.35">
      <c r="A8842" s="9" t="str">
        <f>HYPERLINK("http://www.ensembl.org/id/WBGene00001228", "WBGene00001228")</f>
        <v>WBGene00001228</v>
      </c>
      <c r="B8842" s="9" t="str">
        <f>HYPERLINK("http://www.ncbi.nlm.nih.gov/gene/172959", "172959")</f>
        <v>172959</v>
      </c>
      <c r="C8842" s="9" t="str">
        <f>HYPERLINK("http://www.ncbi.nlm.nih.gov/gene/3646", "3646")</f>
        <v>3646</v>
      </c>
      <c r="D8842" t="str">
        <f>"eif-3.E"</f>
        <v>eif-3.E</v>
      </c>
      <c r="E8842" t="s">
        <v>9075</v>
      </c>
      <c r="F8842" t="s">
        <v>11</v>
      </c>
      <c r="G8842" t="s">
        <v>7034</v>
      </c>
      <c r="H8842" s="12">
        <v>-1.2185897678401201</v>
      </c>
      <c r="I8842" s="20">
        <v>-1.04253648056966</v>
      </c>
      <c r="J8842" s="28">
        <v>0.29716302119795801</v>
      </c>
      <c r="K8842" s="29">
        <v>0.98289565623980701</v>
      </c>
    </row>
    <row r="8843" spans="1:11" x14ac:dyDescent="0.35">
      <c r="A8843" s="9" t="str">
        <f>HYPERLINK("http://www.ensembl.org/id/WBGene00001229", "WBGene00001229")</f>
        <v>WBGene00001229</v>
      </c>
      <c r="B8843" s="9" t="str">
        <f>HYPERLINK("http://www.ncbi.nlm.nih.gov/gene/174478", "174478")</f>
        <v>174478</v>
      </c>
      <c r="C8843" s="9" t="str">
        <f>HYPERLINK("http://www.ncbi.nlm.nih.gov/gene/8665", "8665")</f>
        <v>8665</v>
      </c>
      <c r="D8843" t="str">
        <f>"eif-3.F"</f>
        <v>eif-3.F</v>
      </c>
      <c r="E8843" t="s">
        <v>6837</v>
      </c>
      <c r="F8843" t="s">
        <v>11</v>
      </c>
      <c r="G8843" t="s">
        <v>6838</v>
      </c>
      <c r="H8843" s="12">
        <v>-1.0919128597668799</v>
      </c>
      <c r="I8843" s="20">
        <v>-0.46855596947616401</v>
      </c>
      <c r="J8843" s="28">
        <v>0.63938705593321499</v>
      </c>
      <c r="K8843" s="29">
        <v>0.98289565623980701</v>
      </c>
    </row>
    <row r="8844" spans="1:11" x14ac:dyDescent="0.35">
      <c r="A8844" s="9" t="str">
        <f>HYPERLINK("http://www.ensembl.org/id/WBGene00001230", "WBGene00001230")</f>
        <v>WBGene00001230</v>
      </c>
      <c r="B8844" s="9" t="str">
        <f>HYPERLINK("http://www.ncbi.nlm.nih.gov/gene/174346", "174346")</f>
        <v>174346</v>
      </c>
      <c r="C8844" s="9" t="str">
        <f>HYPERLINK("http://www.ncbi.nlm.nih.gov/gene/8666", "8666")</f>
        <v>8666</v>
      </c>
      <c r="D8844" t="str">
        <f>"eif-3.G"</f>
        <v>eif-3.G</v>
      </c>
      <c r="E8844" t="s">
        <v>6876</v>
      </c>
      <c r="F8844" t="s">
        <v>11</v>
      </c>
      <c r="G8844" t="s">
        <v>6877</v>
      </c>
      <c r="H8844" s="12">
        <v>-1.0939065364142599</v>
      </c>
      <c r="I8844" s="20">
        <v>-0.48263224606507898</v>
      </c>
      <c r="J8844" s="28">
        <v>0.62935687892049297</v>
      </c>
      <c r="K8844" s="29">
        <v>0.98289565623980701</v>
      </c>
    </row>
    <row r="8845" spans="1:11" x14ac:dyDescent="0.35">
      <c r="A8845" s="9" t="str">
        <f>HYPERLINK("http://www.ensembl.org/id/WBGene00001231", "WBGene00001231")</f>
        <v>WBGene00001231</v>
      </c>
      <c r="B8845" s="9" t="str">
        <f>HYPERLINK("http://www.ncbi.nlm.nih.gov/gene/172044", "172044")</f>
        <v>172044</v>
      </c>
      <c r="C8845" s="9" t="str">
        <f>HYPERLINK("http://www.ncbi.nlm.nih.gov/gene/8667", "8667")</f>
        <v>8667</v>
      </c>
      <c r="D8845" t="str">
        <f>"eif-3.H"</f>
        <v>eif-3.H</v>
      </c>
      <c r="E8845" t="s">
        <v>7739</v>
      </c>
      <c r="F8845" t="s">
        <v>11</v>
      </c>
      <c r="G8845" t="s">
        <v>7740</v>
      </c>
      <c r="H8845" s="12">
        <v>-1.14210263951585</v>
      </c>
      <c r="I8845" s="20">
        <v>-0.68017997145593101</v>
      </c>
      <c r="J8845" s="28">
        <v>0.49639051250735799</v>
      </c>
      <c r="K8845" s="29">
        <v>0.98289565623980701</v>
      </c>
    </row>
    <row r="8846" spans="1:11" x14ac:dyDescent="0.35">
      <c r="A8846" s="9" t="str">
        <f>HYPERLINK("http://www.ensembl.org/id/WBGene00001232", "WBGene00001232")</f>
        <v>WBGene00001232</v>
      </c>
      <c r="B8846" s="9" t="str">
        <f>HYPERLINK("http://www.ncbi.nlm.nih.gov/gene/171809", "171809")</f>
        <v>171809</v>
      </c>
      <c r="C8846" s="9" t="str">
        <f>HYPERLINK("http://www.ncbi.nlm.nih.gov/gene/8668", "8668")</f>
        <v>8668</v>
      </c>
      <c r="D8846" t="str">
        <f>"eif-3.I"</f>
        <v>eif-3.I</v>
      </c>
      <c r="E8846" t="s">
        <v>8835</v>
      </c>
      <c r="F8846" t="s">
        <v>11</v>
      </c>
      <c r="G8846" t="s">
        <v>8836</v>
      </c>
      <c r="H8846" s="12">
        <v>-1.2003848307954901</v>
      </c>
      <c r="I8846" s="20">
        <v>-0.97861755298123398</v>
      </c>
      <c r="J8846" s="28">
        <v>0.32776898299402102</v>
      </c>
      <c r="K8846" s="29">
        <v>0.98289565623980701</v>
      </c>
    </row>
    <row r="8847" spans="1:11" x14ac:dyDescent="0.35">
      <c r="A8847" s="9" t="str">
        <f>HYPERLINK("http://www.ensembl.org/id/WBGene00012738", "WBGene00012738")</f>
        <v>WBGene00012738</v>
      </c>
      <c r="B8847" s="9" t="str">
        <f>HYPERLINK("http://www.ncbi.nlm.nih.gov/gene/173213", "173213")</f>
        <v>173213</v>
      </c>
      <c r="C8847" s="9"/>
      <c r="D8847" t="str">
        <f>"eif-3.J"</f>
        <v>eif-3.J</v>
      </c>
      <c r="E8847" t="s">
        <v>1914</v>
      </c>
      <c r="F8847" t="s">
        <v>11</v>
      </c>
      <c r="G8847" t="s">
        <v>6800</v>
      </c>
      <c r="H8847" s="12">
        <v>-1.0896489633377799</v>
      </c>
      <c r="I8847" s="20">
        <v>-0.44915271307280802</v>
      </c>
      <c r="J8847" s="28">
        <v>0.65332149655116101</v>
      </c>
      <c r="K8847" s="29">
        <v>0.98289565623980701</v>
      </c>
    </row>
    <row r="8848" spans="1:11" x14ac:dyDescent="0.35">
      <c r="A8848" s="9" t="str">
        <f>HYPERLINK("http://www.ensembl.org/id/WBGene00001233", "WBGene00001233")</f>
        <v>WBGene00001233</v>
      </c>
      <c r="B8848" s="9" t="str">
        <f>HYPERLINK("http://www.ncbi.nlm.nih.gov/gene/179779", "179779")</f>
        <v>179779</v>
      </c>
      <c r="C8848" s="9" t="str">
        <f>HYPERLINK("http://www.ncbi.nlm.nih.gov/gene/27335", "27335")</f>
        <v>27335</v>
      </c>
      <c r="D8848" t="str">
        <f>"eif-3.K"</f>
        <v>eif-3.K</v>
      </c>
      <c r="E8848" t="s">
        <v>7559</v>
      </c>
      <c r="F8848" t="s">
        <v>11</v>
      </c>
      <c r="G8848" t="s">
        <v>7560</v>
      </c>
      <c r="H8848" s="12">
        <v>-1.1331245386365201</v>
      </c>
      <c r="I8848" s="20">
        <v>-0.64047692642791398</v>
      </c>
      <c r="J8848" s="28">
        <v>0.52186258514424</v>
      </c>
      <c r="K8848" s="29">
        <v>0.98289565623980701</v>
      </c>
    </row>
    <row r="8849" spans="1:11" x14ac:dyDescent="0.35">
      <c r="A8849" s="9" t="str">
        <f>HYPERLINK("http://www.ensembl.org/id/WBGene00015920", "WBGene00015920")</f>
        <v>WBGene00015920</v>
      </c>
      <c r="B8849" s="9" t="str">
        <f>HYPERLINK("http://www.ncbi.nlm.nih.gov/gene/24104220", "24104220")</f>
        <v>24104220</v>
      </c>
      <c r="C8849" s="9"/>
      <c r="D8849" t="str">
        <f>"eif-3.L"</f>
        <v>eif-3.L</v>
      </c>
      <c r="E8849" t="s">
        <v>8407</v>
      </c>
      <c r="F8849" t="s">
        <v>11</v>
      </c>
      <c r="G8849" t="s">
        <v>8408</v>
      </c>
      <c r="H8849" s="12">
        <v>-1.1756165985874401</v>
      </c>
      <c r="I8849" s="20">
        <v>-0.84954601442975797</v>
      </c>
      <c r="J8849" s="28">
        <v>0.39557753719654198</v>
      </c>
      <c r="K8849" s="29">
        <v>0.98289565623980701</v>
      </c>
    </row>
    <row r="8850" spans="1:11" x14ac:dyDescent="0.35">
      <c r="A8850" s="9" t="str">
        <f>HYPERLINK("http://www.ensembl.org/id/WBGene00013599", "WBGene00013599")</f>
        <v>WBGene00013599</v>
      </c>
      <c r="B8850" s="9" t="str">
        <f>HYPERLINK("http://www.ncbi.nlm.nih.gov/gene/190778", "190778")</f>
        <v>190778</v>
      </c>
      <c r="C8850" s="9" t="str">
        <f>HYPERLINK("http://www.ncbi.nlm.nih.gov/gene/7260", "7260")</f>
        <v>7260</v>
      </c>
      <c r="D8850" t="str">
        <f>"eipr-1"</f>
        <v>eipr-1</v>
      </c>
      <c r="E8850" t="s">
        <v>9570</v>
      </c>
      <c r="F8850" t="s">
        <v>11</v>
      </c>
      <c r="G8850" t="s">
        <v>54</v>
      </c>
      <c r="H8850" s="12">
        <v>-1.2600348904134699</v>
      </c>
      <c r="I8850" s="20">
        <v>-1.10191001363219</v>
      </c>
      <c r="J8850" s="28">
        <v>0.270500794763818</v>
      </c>
      <c r="K8850" s="29">
        <v>0.98289565623980701</v>
      </c>
    </row>
    <row r="8851" spans="1:11" x14ac:dyDescent="0.35">
      <c r="A8851" s="9" t="str">
        <f>HYPERLINK("http://www.ensembl.org/id/WBGene00009052", "WBGene00009052")</f>
        <v>WBGene00009052</v>
      </c>
      <c r="B8851" s="9" t="str">
        <f>HYPERLINK("http://www.ncbi.nlm.nih.gov/gene/172444", "172444")</f>
        <v>172444</v>
      </c>
      <c r="C8851" s="9"/>
      <c r="D8851" t="str">
        <f>"ekl-1"</f>
        <v>ekl-1</v>
      </c>
      <c r="F8851" t="s">
        <v>11</v>
      </c>
      <c r="G8851" t="s">
        <v>9137</v>
      </c>
      <c r="H8851" s="12">
        <v>-1.22366946726432</v>
      </c>
      <c r="I8851" s="20">
        <v>-1.0081895449821201</v>
      </c>
      <c r="J8851" s="28">
        <v>0.31336347606530401</v>
      </c>
      <c r="K8851" s="29">
        <v>0.98289565623980701</v>
      </c>
    </row>
    <row r="8852" spans="1:11" x14ac:dyDescent="0.35">
      <c r="A8852" s="9" t="str">
        <f>HYPERLINK("http://www.ensembl.org/id/WBGene00011806", "WBGene00011806")</f>
        <v>WBGene00011806</v>
      </c>
      <c r="B8852" s="9" t="str">
        <f>HYPERLINK("http://www.ncbi.nlm.nih.gov/gene/176419", "176419")</f>
        <v>176419</v>
      </c>
      <c r="C8852" s="9"/>
      <c r="D8852" t="str">
        <f>"ekl-6"</f>
        <v>ekl-6</v>
      </c>
      <c r="F8852" t="s">
        <v>11</v>
      </c>
      <c r="G8852" t="s">
        <v>8596</v>
      </c>
      <c r="H8852" s="12">
        <v>-1.18581767163017</v>
      </c>
      <c r="I8852" s="20">
        <v>-0.80312695195748895</v>
      </c>
      <c r="J8852" s="28">
        <v>0.42190136113282301</v>
      </c>
      <c r="K8852" s="29">
        <v>0.98289565623980701</v>
      </c>
    </row>
    <row r="8853" spans="1:11" x14ac:dyDescent="0.35">
      <c r="A8853" s="9" t="str">
        <f>HYPERLINK("http://www.ensembl.org/id/WBGene00001235", "WBGene00001235")</f>
        <v>WBGene00001235</v>
      </c>
      <c r="B8853" s="9" t="str">
        <f>HYPERLINK("http://www.ncbi.nlm.nih.gov/gene/176605", "176605")</f>
        <v>176605</v>
      </c>
      <c r="C8853" s="9"/>
      <c r="D8853" t="str">
        <f>"elb-1"</f>
        <v>elb-1</v>
      </c>
      <c r="E8853" t="s">
        <v>9112</v>
      </c>
      <c r="F8853" t="s">
        <v>11</v>
      </c>
      <c r="G8853" t="s">
        <v>9113</v>
      </c>
      <c r="H8853" s="12">
        <v>-1.22137106165244</v>
      </c>
      <c r="I8853" s="20">
        <v>-0.955211682116898</v>
      </c>
      <c r="J8853" s="28">
        <v>0.33947065929752801</v>
      </c>
      <c r="K8853" s="29">
        <v>0.98289565623980701</v>
      </c>
    </row>
    <row r="8854" spans="1:11" x14ac:dyDescent="0.35">
      <c r="A8854" s="9" t="str">
        <f>HYPERLINK("http://www.ensembl.org/id/WBGene00022207", "WBGene00022207")</f>
        <v>WBGene00022207</v>
      </c>
      <c r="B8854" s="9" t="str">
        <f>HYPERLINK("http://www.ncbi.nlm.nih.gov/gene/190623", "190623")</f>
        <v>190623</v>
      </c>
      <c r="C8854" s="9"/>
      <c r="D8854" t="str">
        <f>"elk-2"</f>
        <v>elk-2</v>
      </c>
      <c r="E8854" t="s">
        <v>10058</v>
      </c>
      <c r="F8854" t="s">
        <v>11</v>
      </c>
      <c r="H8854" s="12">
        <v>-2.4295389261469</v>
      </c>
      <c r="I8854" s="20">
        <v>-0.25808529976640998</v>
      </c>
      <c r="J8854" s="28">
        <v>0.79634107645457397</v>
      </c>
      <c r="K8854" s="29">
        <v>0.98289565623980701</v>
      </c>
    </row>
    <row r="8855" spans="1:11" x14ac:dyDescent="0.35">
      <c r="A8855" s="9" t="str">
        <f>HYPERLINK("http://www.ensembl.org/id/WBGene00018330", "WBGene00018330")</f>
        <v>WBGene00018330</v>
      </c>
      <c r="B8855" s="9" t="str">
        <f>HYPERLINK("http://www.ncbi.nlm.nih.gov/gene/177102", "177102")</f>
        <v>177102</v>
      </c>
      <c r="C8855" s="9"/>
      <c r="D8855" t="str">
        <f>"elks-1"</f>
        <v>elks-1</v>
      </c>
      <c r="E8855" t="s">
        <v>5018</v>
      </c>
      <c r="F8855" t="s">
        <v>11</v>
      </c>
      <c r="G8855" t="s">
        <v>5019</v>
      </c>
      <c r="H8855" s="12">
        <v>1.26048190942745</v>
      </c>
      <c r="I8855" s="20">
        <v>1.1905793539239899</v>
      </c>
      <c r="J8855" s="28">
        <v>0.233818760691724</v>
      </c>
      <c r="K8855" s="29">
        <v>0.98289565623980701</v>
      </c>
    </row>
    <row r="8856" spans="1:11" x14ac:dyDescent="0.35">
      <c r="A8856" s="9" t="str">
        <f>HYPERLINK("http://www.ensembl.org/id/WBGene00001241", "WBGene00001241")</f>
        <v>WBGene00001241</v>
      </c>
      <c r="B8856" s="9" t="str">
        <f>HYPERLINK("http://www.ncbi.nlm.nih.gov/gene/183948", "183948")</f>
        <v>183948</v>
      </c>
      <c r="C8856" s="9" t="str">
        <f>HYPERLINK("http://www.ncbi.nlm.nih.gov/gene/79071", "79071")</f>
        <v>79071</v>
      </c>
      <c r="D8856" t="str">
        <f>"elo-3"</f>
        <v>elo-3</v>
      </c>
      <c r="E8856" t="s">
        <v>8055</v>
      </c>
      <c r="F8856" t="s">
        <v>11</v>
      </c>
      <c r="G8856" t="s">
        <v>1268</v>
      </c>
      <c r="H8856" s="12">
        <v>-1.15872989141635</v>
      </c>
      <c r="I8856" s="20">
        <v>-0.77235135988189396</v>
      </c>
      <c r="J8856" s="28">
        <v>0.43990635386837201</v>
      </c>
      <c r="K8856" s="29">
        <v>0.98289565623980701</v>
      </c>
    </row>
    <row r="8857" spans="1:11" x14ac:dyDescent="0.35">
      <c r="A8857" s="9" t="str">
        <f>HYPERLINK("http://www.ensembl.org/id/WBGene00001247", "WBGene00001247")</f>
        <v>WBGene00001247</v>
      </c>
      <c r="B8857" s="9" t="str">
        <f>HYPERLINK("http://www.ncbi.nlm.nih.gov/gene/190207", "190207")</f>
        <v>190207</v>
      </c>
      <c r="C8857" s="9"/>
      <c r="D8857" t="str">
        <f>"elo-9"</f>
        <v>elo-9</v>
      </c>
      <c r="E8857" t="s">
        <v>1769</v>
      </c>
      <c r="F8857" t="s">
        <v>11</v>
      </c>
      <c r="G8857" t="s">
        <v>2566</v>
      </c>
      <c r="H8857" s="12">
        <v>1.2216601908027001</v>
      </c>
      <c r="I8857" s="20">
        <v>0.89508622173468</v>
      </c>
      <c r="J8857" s="28">
        <v>0.37074099872142402</v>
      </c>
      <c r="K8857" s="29">
        <v>0.98289565623980701</v>
      </c>
    </row>
    <row r="8858" spans="1:11" x14ac:dyDescent="0.35">
      <c r="A8858" s="9" t="str">
        <f>HYPERLINK("http://www.ensembl.org/id/WBGene00001248", "WBGene00001248")</f>
        <v>WBGene00001248</v>
      </c>
      <c r="B8858" s="9" t="str">
        <f>HYPERLINK("http://www.ncbi.nlm.nih.gov/gene/180358", "180358")</f>
        <v>180358</v>
      </c>
      <c r="C8858" s="9" t="str">
        <f>HYPERLINK("http://www.ncbi.nlm.nih.gov/gene/24139", "24139")</f>
        <v>24139</v>
      </c>
      <c r="D8858" t="str">
        <f>"elp-1"</f>
        <v>elp-1</v>
      </c>
      <c r="E8858" t="s">
        <v>9241</v>
      </c>
      <c r="F8858" t="s">
        <v>11</v>
      </c>
      <c r="G8858" t="s">
        <v>9242</v>
      </c>
      <c r="H8858" s="12">
        <v>-1.2302524685370599</v>
      </c>
      <c r="I8858" s="20">
        <v>-0.90406498782220601</v>
      </c>
      <c r="J8858" s="28">
        <v>0.36596094235611198</v>
      </c>
      <c r="K8858" s="29">
        <v>0.98289565623980701</v>
      </c>
    </row>
    <row r="8859" spans="1:11" x14ac:dyDescent="0.35">
      <c r="A8859" s="9" t="str">
        <f>HYPERLINK("http://www.ensembl.org/id/WBGene00014123", "WBGene00014123")</f>
        <v>WBGene00014123</v>
      </c>
      <c r="B8859" s="9" t="str">
        <f>HYPERLINK("http://www.ncbi.nlm.nih.gov/gene/179669", "179669")</f>
        <v>179669</v>
      </c>
      <c r="C8859" s="9" t="str">
        <f>HYPERLINK("http://www.ncbi.nlm.nih.gov/gene/55140", "55140")</f>
        <v>55140</v>
      </c>
      <c r="D8859" t="str">
        <f>"elpc-3"</f>
        <v>elpc-3</v>
      </c>
      <c r="E8859" t="s">
        <v>9082</v>
      </c>
      <c r="F8859" t="s">
        <v>11</v>
      </c>
      <c r="G8859" t="s">
        <v>9083</v>
      </c>
      <c r="H8859" s="12">
        <v>-1.21928064486417</v>
      </c>
      <c r="I8859" s="20">
        <v>-0.94765408451362798</v>
      </c>
      <c r="J8859" s="28">
        <v>0.34330558291887803</v>
      </c>
      <c r="K8859" s="29">
        <v>0.98289565623980701</v>
      </c>
    </row>
    <row r="8860" spans="1:11" x14ac:dyDescent="0.35">
      <c r="A8860" s="9" t="str">
        <f>HYPERLINK("http://www.ensembl.org/id/WBGene00001250", "WBGene00001250")</f>
        <v>WBGene00001250</v>
      </c>
      <c r="B8860" s="9" t="str">
        <f>HYPERLINK("http://www.ncbi.nlm.nih.gov/gene/181250", "181250")</f>
        <v>181250</v>
      </c>
      <c r="C8860" s="9"/>
      <c r="D8860" t="str">
        <f>"elt-2"</f>
        <v>elt-2</v>
      </c>
      <c r="E8860" t="s">
        <v>8868</v>
      </c>
      <c r="F8860" t="s">
        <v>11</v>
      </c>
      <c r="G8860" t="s">
        <v>8128</v>
      </c>
      <c r="H8860" s="12">
        <v>-1.2034133767233901</v>
      </c>
      <c r="I8860" s="20">
        <v>-0.86456515981137105</v>
      </c>
      <c r="J8860" s="28">
        <v>0.38727750197261102</v>
      </c>
      <c r="K8860" s="29">
        <v>0.98289565623980701</v>
      </c>
    </row>
    <row r="8861" spans="1:11" x14ac:dyDescent="0.35">
      <c r="A8861" s="9" t="str">
        <f>HYPERLINK("http://www.ensembl.org/id/WBGene00015981", "WBGene00015981")</f>
        <v>WBGene00015981</v>
      </c>
      <c r="B8861" s="9" t="str">
        <f>HYPERLINK("http://www.ncbi.nlm.nih.gov/gene/178868", "178868")</f>
        <v>178868</v>
      </c>
      <c r="C8861" s="9"/>
      <c r="D8861" t="str">
        <f>"elt-7"</f>
        <v>elt-7</v>
      </c>
      <c r="E8861" t="s">
        <v>8127</v>
      </c>
      <c r="F8861" t="s">
        <v>11</v>
      </c>
      <c r="G8861" t="s">
        <v>8128</v>
      </c>
      <c r="H8861" s="12">
        <v>-1.16162568799216</v>
      </c>
      <c r="I8861" s="20">
        <v>-0.63547653426280404</v>
      </c>
      <c r="J8861" s="28">
        <v>0.52511766633163803</v>
      </c>
      <c r="K8861" s="29">
        <v>0.98289565623980701</v>
      </c>
    </row>
    <row r="8862" spans="1:11" x14ac:dyDescent="0.35">
      <c r="A8862" s="9" t="str">
        <f>HYPERLINK("http://www.ensembl.org/id/WBGene00001281", "WBGene00001281")</f>
        <v>WBGene00001281</v>
      </c>
      <c r="B8862" s="9" t="str">
        <f>HYPERLINK("http://www.ncbi.nlm.nih.gov/gene/174314", "174314")</f>
        <v>174314</v>
      </c>
      <c r="C8862" s="9"/>
      <c r="D8862" t="str">
        <f>"emb-27"</f>
        <v>emb-27</v>
      </c>
      <c r="E8862" t="s">
        <v>8644</v>
      </c>
      <c r="F8862" t="s">
        <v>11</v>
      </c>
      <c r="G8862" t="s">
        <v>54</v>
      </c>
      <c r="H8862" s="12">
        <v>-1.1884090666100999</v>
      </c>
      <c r="I8862" s="20">
        <v>-0.74694348796828902</v>
      </c>
      <c r="J8862" s="28">
        <v>0.45509767384433503</v>
      </c>
      <c r="K8862" s="29">
        <v>0.98289565623980701</v>
      </c>
    </row>
    <row r="8863" spans="1:11" x14ac:dyDescent="0.35">
      <c r="A8863" s="9" t="str">
        <f>HYPERLINK("http://www.ensembl.org/id/WBGene00001258", "WBGene00001258")</f>
        <v>WBGene00001258</v>
      </c>
      <c r="B8863" s="9" t="str">
        <f>HYPERLINK("http://www.ncbi.nlm.nih.gov/gene/180232", "180232")</f>
        <v>180232</v>
      </c>
      <c r="C8863" s="9" t="str">
        <f>HYPERLINK("http://www.ncbi.nlm.nih.gov/gene/9716", "9716")</f>
        <v>9716</v>
      </c>
      <c r="D8863" t="str">
        <f>"emb-4"</f>
        <v>emb-4</v>
      </c>
      <c r="F8863" t="s">
        <v>11</v>
      </c>
      <c r="G8863" t="s">
        <v>9335</v>
      </c>
      <c r="H8863" s="12">
        <v>-1.2393071219054701</v>
      </c>
      <c r="I8863" s="20">
        <v>-1.0844164186882199</v>
      </c>
      <c r="J8863" s="28">
        <v>0.27818020717984299</v>
      </c>
      <c r="K8863" s="29">
        <v>0.98289565623980701</v>
      </c>
    </row>
    <row r="8864" spans="1:11" x14ac:dyDescent="0.35">
      <c r="A8864" s="9" t="str">
        <f>HYPERLINK("http://www.ensembl.org/id/WBGene00001263", "WBGene00001263")</f>
        <v>WBGene00001263</v>
      </c>
      <c r="B8864" s="9" t="str">
        <f>HYPERLINK("http://www.ncbi.nlm.nih.gov/gene/176314", "176314")</f>
        <v>176314</v>
      </c>
      <c r="C8864" s="9" t="str">
        <f>HYPERLINK("http://www.ncbi.nlm.nih.gov/gene/1284", "1284")</f>
        <v>1284</v>
      </c>
      <c r="D8864" t="str">
        <f>"emb-9"</f>
        <v>emb-9</v>
      </c>
      <c r="E8864" t="s">
        <v>6748</v>
      </c>
      <c r="F8864" t="s">
        <v>11</v>
      </c>
      <c r="G8864" t="s">
        <v>6365</v>
      </c>
      <c r="H8864" s="12">
        <v>-1.0870911498637299</v>
      </c>
      <c r="I8864" s="20">
        <v>-0.445904701910319</v>
      </c>
      <c r="J8864" s="28">
        <v>0.65566608569844798</v>
      </c>
      <c r="K8864" s="29">
        <v>0.98289565623980701</v>
      </c>
    </row>
    <row r="8865" spans="1:11" x14ac:dyDescent="0.35">
      <c r="A8865" s="9" t="str">
        <f>HYPERLINK("http://www.ensembl.org/id/WBGene00021973", "WBGene00021973")</f>
        <v>WBGene00021973</v>
      </c>
      <c r="B8865" s="9" t="str">
        <f>HYPERLINK("http://www.ncbi.nlm.nih.gov/gene/173509", "173509")</f>
        <v>173509</v>
      </c>
      <c r="C8865" s="9" t="str">
        <f>HYPERLINK("http://www.ncbi.nlm.nih.gov/gene/9694", "9694")</f>
        <v>9694</v>
      </c>
      <c r="D8865" t="str">
        <f>"emc-2"</f>
        <v>emc-2</v>
      </c>
      <c r="E8865" t="s">
        <v>6419</v>
      </c>
      <c r="F8865" t="s">
        <v>11</v>
      </c>
      <c r="G8865" t="s">
        <v>6420</v>
      </c>
      <c r="H8865" s="12">
        <v>-1.0684899007084501</v>
      </c>
      <c r="I8865" s="20">
        <v>-0.34508067315749602</v>
      </c>
      <c r="J8865" s="28">
        <v>0.73003372264241995</v>
      </c>
      <c r="K8865" s="29">
        <v>0.98289565623980701</v>
      </c>
    </row>
    <row r="8866" spans="1:11" x14ac:dyDescent="0.35">
      <c r="A8866" s="9" t="str">
        <f>HYPERLINK("http://www.ensembl.org/id/WBGene00013378", "WBGene00013378")</f>
        <v>WBGene00013378</v>
      </c>
      <c r="B8866" s="9" t="str">
        <f>HYPERLINK("http://www.ncbi.nlm.nih.gov/gene/178300", "178300")</f>
        <v>178300</v>
      </c>
      <c r="C8866" s="9"/>
      <c r="D8866" t="str">
        <f>"emc-3"</f>
        <v>emc-3</v>
      </c>
      <c r="E8866" t="s">
        <v>8923</v>
      </c>
      <c r="F8866" t="s">
        <v>11</v>
      </c>
      <c r="G8866" t="s">
        <v>7611</v>
      </c>
      <c r="H8866" s="12">
        <v>-1.2081890432514</v>
      </c>
      <c r="I8866" s="20">
        <v>-1.0197976267940201</v>
      </c>
      <c r="J8866" s="28">
        <v>0.307824448958188</v>
      </c>
      <c r="K8866" s="29">
        <v>0.98289565623980701</v>
      </c>
    </row>
    <row r="8867" spans="1:11" x14ac:dyDescent="0.35">
      <c r="A8867" s="9" t="str">
        <f>HYPERLINK("http://www.ensembl.org/id/WBGene00195248", "WBGene00195248")</f>
        <v>WBGene00195248</v>
      </c>
      <c r="B8867" s="9" t="str">
        <f>HYPERLINK("http://www.ncbi.nlm.nih.gov/gene/13187162", "13187162")</f>
        <v>13187162</v>
      </c>
      <c r="C8867" s="9"/>
      <c r="D8867" t="str">
        <f>"emc-5"</f>
        <v>emc-5</v>
      </c>
      <c r="E8867" t="s">
        <v>6419</v>
      </c>
      <c r="F8867" t="s">
        <v>11</v>
      </c>
      <c r="G8867" t="s">
        <v>7973</v>
      </c>
      <c r="H8867" s="12">
        <v>-1.1542935414509901</v>
      </c>
      <c r="I8867" s="20">
        <v>-0.60036481293647603</v>
      </c>
      <c r="J8867" s="28">
        <v>0.54826313282083705</v>
      </c>
      <c r="K8867" s="29">
        <v>0.98289565623980701</v>
      </c>
    </row>
    <row r="8868" spans="1:11" x14ac:dyDescent="0.35">
      <c r="A8868" s="9" t="str">
        <f>HYPERLINK("http://www.ensembl.org/id/WBGene00017999", "WBGene00017999")</f>
        <v>WBGene00017999</v>
      </c>
      <c r="B8868" s="9" t="str">
        <f>HYPERLINK("http://www.ncbi.nlm.nih.gov/gene/177550", "177550")</f>
        <v>177550</v>
      </c>
      <c r="C8868" s="9"/>
      <c r="D8868" t="str">
        <f>"emc-6"</f>
        <v>emc-6</v>
      </c>
      <c r="E8868" t="s">
        <v>6419</v>
      </c>
      <c r="F8868" t="s">
        <v>11</v>
      </c>
      <c r="G8868" t="s">
        <v>6865</v>
      </c>
      <c r="H8868" s="12">
        <v>-1.09320353855201</v>
      </c>
      <c r="I8868" s="20">
        <v>-0.43066606153120701</v>
      </c>
      <c r="J8868" s="28">
        <v>0.66671119932851697</v>
      </c>
      <c r="K8868" s="29">
        <v>0.98289565623980701</v>
      </c>
    </row>
    <row r="8869" spans="1:11" x14ac:dyDescent="0.35">
      <c r="A8869" s="9" t="str">
        <f>HYPERLINK("http://www.ensembl.org/id/WBGene00018923", "WBGene00018923")</f>
        <v>WBGene00018923</v>
      </c>
      <c r="B8869" s="9" t="str">
        <f>HYPERLINK("http://www.ncbi.nlm.nih.gov/gene/171652", "171652")</f>
        <v>171652</v>
      </c>
      <c r="C8869" s="9"/>
      <c r="D8869" t="str">
        <f>"eme-1"</f>
        <v>eme-1</v>
      </c>
      <c r="E8869" t="s">
        <v>9447</v>
      </c>
      <c r="F8869" t="s">
        <v>11</v>
      </c>
      <c r="G8869" t="s">
        <v>9448</v>
      </c>
      <c r="H8869" s="12">
        <v>-1.24719574530278</v>
      </c>
      <c r="I8869" s="20">
        <v>-0.95711124641284395</v>
      </c>
      <c r="J8869" s="28">
        <v>0.33851110770663101</v>
      </c>
      <c r="K8869" s="29">
        <v>0.98289565623980701</v>
      </c>
    </row>
    <row r="8870" spans="1:11" x14ac:dyDescent="0.35">
      <c r="A8870" s="9" t="str">
        <f>HYPERLINK("http://www.ensembl.org/id/WBGene00001303", "WBGene00001303")</f>
        <v>WBGene00001303</v>
      </c>
      <c r="B8870" s="9" t="str">
        <f>HYPERLINK("http://www.ncbi.nlm.nih.gov/gene/179510", "179510")</f>
        <v>179510</v>
      </c>
      <c r="C8870" s="9" t="str">
        <f>HYPERLINK("http://www.ncbi.nlm.nih.gov/gene/23480", "23480")</f>
        <v>23480</v>
      </c>
      <c r="D8870" t="str">
        <f>"emo-1"</f>
        <v>emo-1</v>
      </c>
      <c r="E8870" t="s">
        <v>5131</v>
      </c>
      <c r="F8870" t="s">
        <v>11</v>
      </c>
      <c r="G8870" t="s">
        <v>5132</v>
      </c>
      <c r="H8870" s="12">
        <v>1.23326466902356</v>
      </c>
      <c r="I8870" s="20">
        <v>1.0534076161531301</v>
      </c>
      <c r="J8870" s="28">
        <v>0.29215421506830502</v>
      </c>
      <c r="K8870" s="29">
        <v>0.98289565623980701</v>
      </c>
    </row>
    <row r="8871" spans="1:11" x14ac:dyDescent="0.35">
      <c r="A8871" s="9" t="str">
        <f>HYPERLINK("http://www.ensembl.org/id/WBGene00001309", "WBGene00001309")</f>
        <v>WBGene00001309</v>
      </c>
      <c r="B8871" s="9" t="str">
        <f>HYPERLINK("http://www.ncbi.nlm.nih.gov/gene/171752", "171752")</f>
        <v>171752</v>
      </c>
      <c r="C8871" s="9"/>
      <c r="D8871" t="str">
        <f>"emr-1"</f>
        <v>emr-1</v>
      </c>
      <c r="E8871" t="s">
        <v>9186</v>
      </c>
      <c r="F8871" t="s">
        <v>11</v>
      </c>
      <c r="H8871" s="12">
        <v>-1.2270571035305999</v>
      </c>
      <c r="I8871" s="20">
        <v>-0.92670925986183295</v>
      </c>
      <c r="J8871" s="28">
        <v>0.354077508453437</v>
      </c>
      <c r="K8871" s="29">
        <v>0.98289565623980701</v>
      </c>
    </row>
    <row r="8872" spans="1:11" x14ac:dyDescent="0.35">
      <c r="A8872" s="9" t="str">
        <f>HYPERLINK("http://www.ensembl.org/id/WBGene00008980", "WBGene00008980")</f>
        <v>WBGene00008980</v>
      </c>
      <c r="B8872" s="9" t="str">
        <f>HYPERLINK("http://www.ncbi.nlm.nih.gov/gene/181594", "181594")</f>
        <v>181594</v>
      </c>
      <c r="C8872" s="9"/>
      <c r="D8872" t="str">
        <f>"emre-1"</f>
        <v>emre-1</v>
      </c>
      <c r="E8872" t="s">
        <v>6259</v>
      </c>
      <c r="F8872" t="s">
        <v>11</v>
      </c>
      <c r="G8872" t="s">
        <v>6260</v>
      </c>
      <c r="H8872" s="12">
        <v>-1.0572850738794499</v>
      </c>
      <c r="I8872" s="20">
        <v>-0.27821719032617898</v>
      </c>
      <c r="J8872" s="28">
        <v>0.78084563962985598</v>
      </c>
      <c r="K8872" s="29">
        <v>0.98289565623980701</v>
      </c>
    </row>
    <row r="8873" spans="1:11" x14ac:dyDescent="0.35">
      <c r="A8873" s="9" t="str">
        <f>HYPERLINK("http://www.ensembl.org/id/WBGene00001310", "WBGene00001310")</f>
        <v>WBGene00001310</v>
      </c>
      <c r="B8873" s="9" t="str">
        <f>HYPERLINK("http://www.ncbi.nlm.nih.gov/gene/179893", "179893")</f>
        <v>179893</v>
      </c>
      <c r="C8873" s="9"/>
      <c r="D8873" t="str">
        <f>"end-1"</f>
        <v>end-1</v>
      </c>
      <c r="E8873" t="s">
        <v>9840</v>
      </c>
      <c r="F8873" t="s">
        <v>11</v>
      </c>
      <c r="G8873" t="s">
        <v>9841</v>
      </c>
      <c r="H8873" s="12">
        <v>-1.321684362024</v>
      </c>
      <c r="I8873" s="20">
        <v>-0.34288785638326602</v>
      </c>
      <c r="J8873" s="28">
        <v>0.73168282777874005</v>
      </c>
      <c r="K8873" s="29">
        <v>0.98289565623980701</v>
      </c>
    </row>
    <row r="8874" spans="1:11" x14ac:dyDescent="0.35">
      <c r="A8874" s="9" t="str">
        <f>HYPERLINK("http://www.ensembl.org/id/WBGene00010488", "WBGene00010488")</f>
        <v>WBGene00010488</v>
      </c>
      <c r="B8874" s="9" t="str">
        <f>HYPERLINK("http://www.ncbi.nlm.nih.gov/gene/186864", "186864")</f>
        <v>186864</v>
      </c>
      <c r="C8874" s="9" t="str">
        <f>HYPERLINK("http://www.ncbi.nlm.nih.gov/gene/8909", "8909")</f>
        <v>8909</v>
      </c>
      <c r="D8874" t="str">
        <f>"endu-1"</f>
        <v>endu-1</v>
      </c>
      <c r="E8874" t="s">
        <v>6973</v>
      </c>
      <c r="F8874" t="s">
        <v>11</v>
      </c>
      <c r="G8874" t="s">
        <v>6974</v>
      </c>
      <c r="H8874" s="12">
        <v>-1.1004032393108201</v>
      </c>
      <c r="I8874" s="20">
        <v>-0.52411809094349504</v>
      </c>
      <c r="J8874" s="28">
        <v>0.60019640646438099</v>
      </c>
      <c r="K8874" s="29">
        <v>0.98289565623980701</v>
      </c>
    </row>
    <row r="8875" spans="1:11" x14ac:dyDescent="0.35">
      <c r="A8875" s="9" t="str">
        <f>HYPERLINK("http://www.ensembl.org/id/WBGene00011480", "WBGene00011480")</f>
        <v>WBGene00011480</v>
      </c>
      <c r="B8875" s="9" t="str">
        <f>HYPERLINK("http://www.ncbi.nlm.nih.gov/gene/178014", "178014")</f>
        <v>178014</v>
      </c>
      <c r="C8875" s="9" t="str">
        <f>HYPERLINK("http://www.ncbi.nlm.nih.gov/gene/7184", "7184")</f>
        <v>7184</v>
      </c>
      <c r="D8875" t="str">
        <f>"enpl-1"</f>
        <v>enpl-1</v>
      </c>
      <c r="E8875" t="s">
        <v>7374</v>
      </c>
      <c r="F8875" t="s">
        <v>11</v>
      </c>
      <c r="G8875" t="s">
        <v>6569</v>
      </c>
      <c r="H8875" s="12">
        <v>-1.12251924116253</v>
      </c>
      <c r="I8875" s="20">
        <v>-0.65210270777519397</v>
      </c>
      <c r="J8875" s="28">
        <v>0.51433491739445503</v>
      </c>
      <c r="K8875" s="29">
        <v>0.98289565623980701</v>
      </c>
    </row>
    <row r="8876" spans="1:11" x14ac:dyDescent="0.35">
      <c r="A8876" s="9" t="str">
        <f>HYPERLINK("http://www.ensembl.org/id/WBGene00010730", "WBGene00010730")</f>
        <v>WBGene00010730</v>
      </c>
      <c r="B8876" s="9" t="str">
        <f>HYPERLINK("http://www.ncbi.nlm.nih.gov/gene/172837", "172837")</f>
        <v>172837</v>
      </c>
      <c r="C8876" s="9"/>
      <c r="D8876" t="str">
        <f>"ensa-1"</f>
        <v>ensa-1</v>
      </c>
      <c r="E8876" t="s">
        <v>7189</v>
      </c>
      <c r="F8876" t="s">
        <v>11</v>
      </c>
      <c r="G8876" t="s">
        <v>7190</v>
      </c>
      <c r="H8876" s="12">
        <v>-1.1121731852073899</v>
      </c>
      <c r="I8876" s="20">
        <v>-0.58418714827471097</v>
      </c>
      <c r="J8876" s="28">
        <v>0.55909440709460601</v>
      </c>
      <c r="K8876" s="29">
        <v>0.98289565623980701</v>
      </c>
    </row>
    <row r="8877" spans="1:11" x14ac:dyDescent="0.35">
      <c r="A8877" s="9" t="str">
        <f>HYPERLINK("http://www.ensembl.org/id/WBGene00010701", "WBGene00010701")</f>
        <v>WBGene00010701</v>
      </c>
      <c r="B8877" s="9" t="str">
        <f>HYPERLINK("http://www.ncbi.nlm.nih.gov/gene/181648", "181648")</f>
        <v>181648</v>
      </c>
      <c r="C8877" s="9"/>
      <c r="D8877" t="str">
        <f>"ent-2"</f>
        <v>ent-2</v>
      </c>
      <c r="E8877" t="s">
        <v>381</v>
      </c>
      <c r="F8877" t="s">
        <v>11</v>
      </c>
      <c r="G8877" t="s">
        <v>382</v>
      </c>
      <c r="H8877" s="12">
        <v>1.2144879411854901</v>
      </c>
      <c r="I8877" s="20">
        <v>1.0268838165293199</v>
      </c>
      <c r="J8877" s="28">
        <v>0.30447517560765403</v>
      </c>
      <c r="K8877" s="29">
        <v>0.98289565623980701</v>
      </c>
    </row>
    <row r="8878" spans="1:11" x14ac:dyDescent="0.35">
      <c r="A8878" s="9" t="str">
        <f>HYPERLINK("http://www.ensembl.org/id/WBGene00010362", "WBGene00010362")</f>
        <v>WBGene00010362</v>
      </c>
      <c r="B8878" s="9" t="str">
        <f>HYPERLINK("http://www.ncbi.nlm.nih.gov/gene/176463", "176463")</f>
        <v>176463</v>
      </c>
      <c r="C8878" s="9"/>
      <c r="D8878" t="str">
        <f>"enu-3.1"</f>
        <v>enu-3.1</v>
      </c>
      <c r="E8878" t="s">
        <v>4691</v>
      </c>
      <c r="F8878" t="s">
        <v>11</v>
      </c>
      <c r="G8878" t="s">
        <v>7027</v>
      </c>
      <c r="H8878" s="12">
        <v>-1.1028293601297099</v>
      </c>
      <c r="I8878" s="20">
        <v>-0.39639432200753499</v>
      </c>
      <c r="J8878" s="28">
        <v>0.69181415415938796</v>
      </c>
      <c r="K8878" s="29">
        <v>0.98289565623980701</v>
      </c>
    </row>
    <row r="8879" spans="1:11" x14ac:dyDescent="0.35">
      <c r="A8879" s="9" t="str">
        <f>HYPERLINK("http://www.ensembl.org/id/WBGene00008003", "WBGene00008003")</f>
        <v>WBGene00008003</v>
      </c>
      <c r="B8879" s="9" t="str">
        <f>HYPERLINK("http://www.ncbi.nlm.nih.gov/gene/175633", "175633")</f>
        <v>175633</v>
      </c>
      <c r="C8879" s="9"/>
      <c r="D8879" t="str">
        <f>"enu-3.2"</f>
        <v>enu-3.2</v>
      </c>
      <c r="E8879" t="s">
        <v>4691</v>
      </c>
      <c r="F8879" t="s">
        <v>11</v>
      </c>
      <c r="G8879" t="s">
        <v>5326</v>
      </c>
      <c r="H8879" s="12">
        <v>-1.26496777068024</v>
      </c>
      <c r="I8879" s="20">
        <v>-0.89959400506578202</v>
      </c>
      <c r="J8879" s="28">
        <v>0.36833634869284898</v>
      </c>
      <c r="K8879" s="29">
        <v>0.98289565623980701</v>
      </c>
    </row>
    <row r="8880" spans="1:11" x14ac:dyDescent="0.35">
      <c r="A8880" s="9" t="str">
        <f>HYPERLINK("http://www.ensembl.org/id/WBGene00021034", "WBGene00021034")</f>
        <v>WBGene00021034</v>
      </c>
      <c r="B8880" s="9" t="str">
        <f>HYPERLINK("http://www.ncbi.nlm.nih.gov/gene/189215", "189215")</f>
        <v>189215</v>
      </c>
      <c r="C8880" s="9"/>
      <c r="D8880" t="str">
        <f>"enu-3.4"</f>
        <v>enu-3.4</v>
      </c>
      <c r="E8880" t="s">
        <v>4691</v>
      </c>
      <c r="F8880" t="s">
        <v>11</v>
      </c>
      <c r="H8880" s="12">
        <v>1.4937072953728801</v>
      </c>
      <c r="I8880" s="20">
        <v>0.38465832989846599</v>
      </c>
      <c r="J8880" s="28">
        <v>0.700490571949966</v>
      </c>
      <c r="K8880" s="29">
        <v>0.98289565623980701</v>
      </c>
    </row>
    <row r="8881" spans="1:11" x14ac:dyDescent="0.35">
      <c r="A8881" s="9" t="str">
        <f>HYPERLINK("http://www.ensembl.org/id/WBGene00012552", "WBGene00012552")</f>
        <v>WBGene00012552</v>
      </c>
      <c r="B8881" s="9" t="str">
        <f>HYPERLINK("http://www.ncbi.nlm.nih.gov/gene/176705", "176705")</f>
        <v>176705</v>
      </c>
      <c r="C8881" s="9"/>
      <c r="D8881" t="str">
        <f>"enu-3.5"</f>
        <v>enu-3.5</v>
      </c>
      <c r="E8881" t="s">
        <v>4691</v>
      </c>
      <c r="F8881" t="s">
        <v>11</v>
      </c>
      <c r="G8881" t="s">
        <v>5326</v>
      </c>
      <c r="H8881" s="12">
        <v>1.1881850772585301</v>
      </c>
      <c r="I8881" s="20">
        <v>0.56011869445333495</v>
      </c>
      <c r="J8881" s="28">
        <v>0.57539847990197401</v>
      </c>
      <c r="K8881" s="29">
        <v>0.98289565623980701</v>
      </c>
    </row>
    <row r="8882" spans="1:11" x14ac:dyDescent="0.35">
      <c r="A8882" s="9" t="str">
        <f>HYPERLINK("http://www.ensembl.org/id/WBGene00004255", "WBGene00004255")</f>
        <v>WBGene00004255</v>
      </c>
      <c r="B8882" s="9" t="str">
        <f>HYPERLINK("http://www.ncbi.nlm.nih.gov/gene/176432", "176432")</f>
        <v>176432</v>
      </c>
      <c r="C8882" s="9" t="str">
        <f>HYPERLINK("http://www.ncbi.nlm.nih.gov/gene/11069", "11069")</f>
        <v>11069</v>
      </c>
      <c r="D8882" t="str">
        <f>"epac-1"</f>
        <v>epac-1</v>
      </c>
      <c r="E8882" t="s">
        <v>4644</v>
      </c>
      <c r="F8882" t="s">
        <v>11</v>
      </c>
      <c r="G8882" t="s">
        <v>4645</v>
      </c>
      <c r="H8882" s="12">
        <v>1.54121420152207</v>
      </c>
      <c r="I8882" s="20">
        <v>0.84509642460382695</v>
      </c>
      <c r="J8882" s="28">
        <v>0.398057004420727</v>
      </c>
      <c r="K8882" s="29">
        <v>0.98289565623980701</v>
      </c>
    </row>
    <row r="8883" spans="1:11" x14ac:dyDescent="0.35">
      <c r="A8883" s="9" t="str">
        <f>HYPERLINK("http://www.ensembl.org/id/WBGene00018150", "WBGene00018150")</f>
        <v>WBGene00018150</v>
      </c>
      <c r="B8883" s="9" t="str">
        <f>HYPERLINK("http://www.ncbi.nlm.nih.gov/gene/176009", "176009")</f>
        <v>176009</v>
      </c>
      <c r="C8883" s="9" t="str">
        <f>HYPERLINK("http://www.ncbi.nlm.nih.gov/gene/9538", "9538")</f>
        <v>9538</v>
      </c>
      <c r="D8883" t="str">
        <f>"epg-4"</f>
        <v>epg-4</v>
      </c>
      <c r="E8883" t="s">
        <v>6193</v>
      </c>
      <c r="F8883" t="s">
        <v>11</v>
      </c>
      <c r="H8883" s="12">
        <v>-1.05281424510001</v>
      </c>
      <c r="I8883" s="20">
        <v>-0.27032902290074801</v>
      </c>
      <c r="J8883" s="28">
        <v>0.78690713920225297</v>
      </c>
      <c r="K8883" s="29">
        <v>0.98289565623980701</v>
      </c>
    </row>
    <row r="8884" spans="1:11" x14ac:dyDescent="0.35">
      <c r="A8884" s="9" t="str">
        <f>HYPERLINK("http://www.ensembl.org/id/WBGene00016968", "WBGene00016968")</f>
        <v>WBGene00016968</v>
      </c>
      <c r="B8884" s="9" t="str">
        <f>HYPERLINK("http://www.ncbi.nlm.nih.gov/gene/3565794", "3565794")</f>
        <v>3565794</v>
      </c>
      <c r="C8884" s="9" t="str">
        <f>HYPERLINK("http://www.ncbi.nlm.nih.gov/gene/57724", "57724")</f>
        <v>57724</v>
      </c>
      <c r="D8884" t="str">
        <f>"epg-5"</f>
        <v>epg-5</v>
      </c>
      <c r="E8884" t="s">
        <v>6888</v>
      </c>
      <c r="F8884" t="s">
        <v>11</v>
      </c>
      <c r="G8884" t="s">
        <v>2085</v>
      </c>
      <c r="H8884" s="12">
        <v>-1.0945226213904</v>
      </c>
      <c r="I8884" s="20">
        <v>-0.45211972089803698</v>
      </c>
      <c r="J8884" s="28">
        <v>0.65118273738121402</v>
      </c>
      <c r="K8884" s="29">
        <v>0.98289565623980701</v>
      </c>
    </row>
    <row r="8885" spans="1:11" x14ac:dyDescent="0.35">
      <c r="A8885" s="9" t="str">
        <f>HYPERLINK("http://www.ensembl.org/id/WBGene00012641", "WBGene00012641")</f>
        <v>WBGene00012641</v>
      </c>
      <c r="B8885" s="9" t="str">
        <f>HYPERLINK("http://www.ncbi.nlm.nih.gov/gene/189705", "189705")</f>
        <v>189705</v>
      </c>
      <c r="C8885" s="9" t="str">
        <f>HYPERLINK("http://www.ncbi.nlm.nih.gov/gene/11152", "11152")</f>
        <v>11152</v>
      </c>
      <c r="D8885" t="str">
        <f>"epg-6"</f>
        <v>epg-6</v>
      </c>
      <c r="E8885" t="s">
        <v>6012</v>
      </c>
      <c r="F8885" t="s">
        <v>11</v>
      </c>
      <c r="G8885" t="s">
        <v>7962</v>
      </c>
      <c r="H8885" s="12">
        <v>-1.1530149142255099</v>
      </c>
      <c r="I8885" s="20">
        <v>-0.73800176843342602</v>
      </c>
      <c r="J8885" s="28">
        <v>0.460513374496207</v>
      </c>
      <c r="K8885" s="29">
        <v>0.98289565623980701</v>
      </c>
    </row>
    <row r="8886" spans="1:11" x14ac:dyDescent="0.35">
      <c r="A8886" s="9" t="str">
        <f>HYPERLINK("http://www.ensembl.org/id/WBGene00020334", "WBGene00020334")</f>
        <v>WBGene00020334</v>
      </c>
      <c r="B8886" s="9" t="str">
        <f>HYPERLINK("http://www.ncbi.nlm.nih.gov/gene/180996", "180996")</f>
        <v>180996</v>
      </c>
      <c r="C8886" s="9"/>
      <c r="D8886" t="str">
        <f>"epg-7"</f>
        <v>epg-7</v>
      </c>
      <c r="E8886" t="s">
        <v>6012</v>
      </c>
      <c r="F8886" t="s">
        <v>11</v>
      </c>
      <c r="G8886" t="s">
        <v>6013</v>
      </c>
      <c r="H8886" s="12">
        <v>1.07285451264827</v>
      </c>
      <c r="I8886" s="20">
        <v>0.37809494307180802</v>
      </c>
      <c r="J8886" s="28">
        <v>0.70536006482071201</v>
      </c>
      <c r="K8886" s="29">
        <v>0.98289565623980701</v>
      </c>
    </row>
    <row r="8887" spans="1:11" x14ac:dyDescent="0.35">
      <c r="A8887" s="9" t="str">
        <f>HYPERLINK("http://www.ensembl.org/id/WBGene00013695", "WBGene00013695")</f>
        <v>WBGene00013695</v>
      </c>
      <c r="B8887" s="9" t="str">
        <f>HYPERLINK("http://www.ncbi.nlm.nih.gov/gene/172847", "172847")</f>
        <v>172847</v>
      </c>
      <c r="C8887" s="9"/>
      <c r="D8887" t="str">
        <f>"epg-8"</f>
        <v>epg-8</v>
      </c>
      <c r="E8887" t="s">
        <v>6012</v>
      </c>
      <c r="F8887" t="s">
        <v>11</v>
      </c>
      <c r="G8887" t="s">
        <v>6316</v>
      </c>
      <c r="H8887" s="12">
        <v>-1.0623047055567201</v>
      </c>
      <c r="I8887" s="20">
        <v>-0.31630535867687898</v>
      </c>
      <c r="J8887" s="28">
        <v>0.75177074416854295</v>
      </c>
      <c r="K8887" s="29">
        <v>0.98289565623980701</v>
      </c>
    </row>
    <row r="8888" spans="1:11" x14ac:dyDescent="0.35">
      <c r="A8888" s="9" t="str">
        <f>HYPERLINK("http://www.ensembl.org/id/WBGene00019487", "WBGene00019487")</f>
        <v>WBGene00019487</v>
      </c>
      <c r="B8888" s="9" t="str">
        <f>HYPERLINK("http://www.ncbi.nlm.nih.gov/gene/173742", "173742")</f>
        <v>173742</v>
      </c>
      <c r="C8888" s="9" t="str">
        <f>HYPERLINK("http://www.ncbi.nlm.nih.gov/gene/27237", "27237")</f>
        <v>27237</v>
      </c>
      <c r="D8888" t="str">
        <f>"ephx-1"</f>
        <v>ephx-1</v>
      </c>
      <c r="E8888" t="s">
        <v>5324</v>
      </c>
      <c r="F8888" t="s">
        <v>11</v>
      </c>
      <c r="G8888" t="s">
        <v>5325</v>
      </c>
      <c r="H8888" s="12">
        <v>1.1884229872844001</v>
      </c>
      <c r="I8888" s="20">
        <v>0.88697790082987604</v>
      </c>
      <c r="J8888" s="28">
        <v>0.375090798527066</v>
      </c>
      <c r="K8888" s="29">
        <v>0.98289565623980701</v>
      </c>
    </row>
    <row r="8889" spans="1:11" x14ac:dyDescent="0.35">
      <c r="A8889" s="9" t="str">
        <f>HYPERLINK("http://www.ensembl.org/id/WBGene00001329", "WBGene00001329")</f>
        <v>WBGene00001329</v>
      </c>
      <c r="B8889" s="9" t="str">
        <f>HYPERLINK("http://www.ncbi.nlm.nih.gov/gene/181577", "181577")</f>
        <v>181577</v>
      </c>
      <c r="C8889" s="9"/>
      <c r="D8889" t="str">
        <f>"epn-1"</f>
        <v>epn-1</v>
      </c>
      <c r="E8889" t="s">
        <v>8059</v>
      </c>
      <c r="F8889" t="s">
        <v>11</v>
      </c>
      <c r="G8889" t="s">
        <v>8060</v>
      </c>
      <c r="H8889" s="12">
        <v>-1.1591802583236499</v>
      </c>
      <c r="I8889" s="20">
        <v>-0.81747902869239697</v>
      </c>
      <c r="J8889" s="28">
        <v>0.41365472905608802</v>
      </c>
      <c r="K8889" s="29">
        <v>0.98289565623980701</v>
      </c>
    </row>
    <row r="8890" spans="1:11" x14ac:dyDescent="0.35">
      <c r="A8890" s="9" t="str">
        <f>HYPERLINK("http://www.ensembl.org/id/WBGene00001330", "WBGene00001330")</f>
        <v>WBGene00001330</v>
      </c>
      <c r="B8890" s="9" t="str">
        <f>HYPERLINK("http://www.ncbi.nlm.nih.gov/gene/178411", "178411")</f>
        <v>178411</v>
      </c>
      <c r="C8890" s="9" t="str">
        <f>HYPERLINK("http://www.ncbi.nlm.nih.gov/gene/54869", "54869")</f>
        <v>54869</v>
      </c>
      <c r="D8890" t="str">
        <f>"eps-8"</f>
        <v>eps-8</v>
      </c>
      <c r="E8890" t="s">
        <v>6036</v>
      </c>
      <c r="F8890" t="s">
        <v>11</v>
      </c>
      <c r="G8890" t="s">
        <v>6037</v>
      </c>
      <c r="H8890" s="12">
        <v>1.07063392678504</v>
      </c>
      <c r="I8890" s="20">
        <v>0.36873211724317001</v>
      </c>
      <c r="J8890" s="28">
        <v>0.71232740694684704</v>
      </c>
      <c r="K8890" s="29">
        <v>0.98289565623980701</v>
      </c>
    </row>
    <row r="8891" spans="1:11" x14ac:dyDescent="0.35">
      <c r="A8891" s="9" t="str">
        <f>HYPERLINK("http://www.ensembl.org/id/WBGene00018797", "WBGene00018797")</f>
        <v>WBGene00018797</v>
      </c>
      <c r="B8891" s="9" t="str">
        <f>HYPERLINK("http://www.ncbi.nlm.nih.gov/gene/172097", "172097")</f>
        <v>172097</v>
      </c>
      <c r="C8891" s="9" t="str">
        <f>HYPERLINK("http://www.ncbi.nlm.nih.gov/gene/85465", "85465")</f>
        <v>85465</v>
      </c>
      <c r="D8891" t="str">
        <f>"ept-1"</f>
        <v>ept-1</v>
      </c>
      <c r="E8891" t="s">
        <v>7186</v>
      </c>
      <c r="F8891" t="s">
        <v>11</v>
      </c>
      <c r="G8891" t="s">
        <v>7187</v>
      </c>
      <c r="H8891" s="12">
        <v>-1.1120310962781701</v>
      </c>
      <c r="I8891" s="20">
        <v>-0.57214577311119696</v>
      </c>
      <c r="J8891" s="28">
        <v>0.567223221203766</v>
      </c>
      <c r="K8891" s="29">
        <v>0.98289565623980701</v>
      </c>
    </row>
    <row r="8892" spans="1:11" x14ac:dyDescent="0.35">
      <c r="A8892" s="9" t="str">
        <f>HYPERLINK("http://www.ensembl.org/id/WBGene00016195", "WBGene00016195")</f>
        <v>WBGene00016195</v>
      </c>
      <c r="B8892" s="9" t="str">
        <f>HYPERLINK("http://www.ncbi.nlm.nih.gov/gene/175833", "175833")</f>
        <v>175833</v>
      </c>
      <c r="C8892" s="9" t="str">
        <f>HYPERLINK("http://www.ncbi.nlm.nih.gov/gene/11014", "11014")</f>
        <v>11014</v>
      </c>
      <c r="D8892" t="str">
        <f>"erd-2.2"</f>
        <v>erd-2.2</v>
      </c>
      <c r="E8892" t="s">
        <v>6656</v>
      </c>
      <c r="F8892" t="s">
        <v>11</v>
      </c>
      <c r="G8892" t="s">
        <v>6657</v>
      </c>
      <c r="H8892" s="12">
        <v>-1.0833887855467601</v>
      </c>
      <c r="I8892" s="20">
        <v>-0.42044971206092102</v>
      </c>
      <c r="J8892" s="28">
        <v>0.67415695867290104</v>
      </c>
      <c r="K8892" s="29">
        <v>0.98289565623980701</v>
      </c>
    </row>
    <row r="8893" spans="1:11" x14ac:dyDescent="0.35">
      <c r="A8893" s="9" t="str">
        <f>HYPERLINK("http://www.ensembl.org/id/WBGene00020269", "WBGene00020269")</f>
        <v>WBGene00020269</v>
      </c>
      <c r="B8893" s="9" t="str">
        <f>HYPERLINK("http://www.ncbi.nlm.nih.gov/gene/179028", "179028")</f>
        <v>179028</v>
      </c>
      <c r="C8893" s="9" t="str">
        <f>HYPERLINK("http://www.ncbi.nlm.nih.gov/gene/2107", "2107")</f>
        <v>2107</v>
      </c>
      <c r="D8893" t="str">
        <f>"erfa-1"</f>
        <v>erfa-1</v>
      </c>
      <c r="E8893" t="s">
        <v>6530</v>
      </c>
      <c r="F8893" t="s">
        <v>11</v>
      </c>
      <c r="G8893" t="s">
        <v>6531</v>
      </c>
      <c r="H8893" s="12">
        <v>-1.07415246074826</v>
      </c>
      <c r="I8893" s="20">
        <v>-0.38028805150867701</v>
      </c>
      <c r="J8893" s="28">
        <v>0.70373160398688295</v>
      </c>
      <c r="K8893" s="29">
        <v>0.98289565623980701</v>
      </c>
    </row>
    <row r="8894" spans="1:11" x14ac:dyDescent="0.35">
      <c r="A8894" s="9" t="str">
        <f>HYPERLINK("http://www.ensembl.org/id/WBGene00011892", "WBGene00011892")</f>
        <v>WBGene00011892</v>
      </c>
      <c r="B8894" s="9" t="str">
        <f>HYPERLINK("http://www.ncbi.nlm.nih.gov/gene/179476", "179476")</f>
        <v>179476</v>
      </c>
      <c r="C8894" s="9" t="str">
        <f>HYPERLINK("http://www.ncbi.nlm.nih.gov/gene/2079", "2079")</f>
        <v>2079</v>
      </c>
      <c r="D8894" t="str">
        <f>"erh-1"</f>
        <v>erh-1</v>
      </c>
      <c r="E8894" t="s">
        <v>8767</v>
      </c>
      <c r="F8894" t="s">
        <v>11</v>
      </c>
      <c r="H8894" s="12">
        <v>-1.2435168149162401</v>
      </c>
      <c r="I8894" s="20">
        <v>-0.98263837971374302</v>
      </c>
      <c r="J8894" s="28">
        <v>0.32578544809862398</v>
      </c>
      <c r="K8894" s="29">
        <v>0.98289565623980701</v>
      </c>
    </row>
    <row r="8895" spans="1:11" x14ac:dyDescent="0.35">
      <c r="A8895" s="9" t="str">
        <f>HYPERLINK("http://www.ensembl.org/id/WBGene00009444", "WBGene00009444")</f>
        <v>WBGene00009444</v>
      </c>
      <c r="B8895" s="9" t="str">
        <f>HYPERLINK("http://www.ncbi.nlm.nih.gov/gene/185323", "185323")</f>
        <v>185323</v>
      </c>
      <c r="C8895" s="9"/>
      <c r="D8895" t="str">
        <f>"erh-2"</f>
        <v>erh-2</v>
      </c>
      <c r="E8895" t="s">
        <v>8767</v>
      </c>
      <c r="F8895" t="s">
        <v>11</v>
      </c>
      <c r="G8895" t="s">
        <v>1996</v>
      </c>
      <c r="H8895" s="12">
        <v>-1.19511033789314</v>
      </c>
      <c r="I8895" s="20">
        <v>-0.71352550833401296</v>
      </c>
      <c r="J8895" s="28">
        <v>0.47552063438321601</v>
      </c>
      <c r="K8895" s="29">
        <v>0.98289565623980701</v>
      </c>
    </row>
    <row r="8896" spans="1:11" x14ac:dyDescent="0.35">
      <c r="A8896" s="9" t="str">
        <f>HYPERLINK("http://www.ensembl.org/id/WBGene00001332", "WBGene00001332")</f>
        <v>WBGene00001332</v>
      </c>
      <c r="B8896" s="9" t="str">
        <f>HYPERLINK("http://www.ncbi.nlm.nih.gov/gene/176868", "176868")</f>
        <v>176868</v>
      </c>
      <c r="C8896" s="9" t="str">
        <f>HYPERLINK("http://www.ncbi.nlm.nih.gov/gene/90459", "90459")</f>
        <v>90459</v>
      </c>
      <c r="D8896" t="str">
        <f>"eri-1"</f>
        <v>eri-1</v>
      </c>
      <c r="E8896" t="s">
        <v>8414</v>
      </c>
      <c r="F8896" t="s">
        <v>11</v>
      </c>
      <c r="G8896" t="s">
        <v>8415</v>
      </c>
      <c r="H8896" s="12">
        <v>-1.17614458254257</v>
      </c>
      <c r="I8896" s="20">
        <v>-0.78582840075166704</v>
      </c>
      <c r="J8896" s="28">
        <v>0.431968025552461</v>
      </c>
      <c r="K8896" s="29">
        <v>0.98289565623980701</v>
      </c>
    </row>
    <row r="8897" spans="1:11" x14ac:dyDescent="0.35">
      <c r="A8897" s="9" t="str">
        <f>HYPERLINK("http://www.ensembl.org/id/WBGene00007091", "WBGene00007091")</f>
        <v>WBGene00007091</v>
      </c>
      <c r="B8897" s="9" t="str">
        <f>HYPERLINK("http://www.ncbi.nlm.nih.gov/gene/178166", "178166")</f>
        <v>178166</v>
      </c>
      <c r="C8897" s="9"/>
      <c r="D8897" t="str">
        <f>"eri-12"</f>
        <v>eri-12</v>
      </c>
      <c r="E8897" t="s">
        <v>1926</v>
      </c>
      <c r="F8897" t="s">
        <v>11</v>
      </c>
      <c r="G8897" t="s">
        <v>7738</v>
      </c>
      <c r="H8897" s="12">
        <v>-1.1992709936598001</v>
      </c>
      <c r="I8897" s="20">
        <v>-1.0166587664820499</v>
      </c>
      <c r="J8897" s="28">
        <v>0.30931578756176697</v>
      </c>
      <c r="K8897" s="29">
        <v>0.98289565623980701</v>
      </c>
    </row>
    <row r="8898" spans="1:11" x14ac:dyDescent="0.35">
      <c r="A8898" s="9" t="str">
        <f>HYPERLINK("http://www.ensembl.org/id/WBGene00021103", "WBGene00021103")</f>
        <v>WBGene00021103</v>
      </c>
      <c r="B8898" s="9" t="str">
        <f>HYPERLINK("http://www.ncbi.nlm.nih.gov/gene/173497", "173497")</f>
        <v>173497</v>
      </c>
      <c r="C8898" s="9"/>
      <c r="D8898" t="str">
        <f>"eri-3"</f>
        <v>eri-3</v>
      </c>
      <c r="E8898" t="s">
        <v>1926</v>
      </c>
      <c r="F8898" t="s">
        <v>11</v>
      </c>
      <c r="G8898" t="s">
        <v>9707</v>
      </c>
      <c r="H8898" s="12">
        <v>-1.2845260625541199</v>
      </c>
      <c r="I8898" s="20">
        <v>-1.0907482422859001</v>
      </c>
      <c r="J8898" s="28">
        <v>0.27538367659302998</v>
      </c>
      <c r="K8898" s="29">
        <v>0.98289565623980701</v>
      </c>
    </row>
    <row r="8899" spans="1:11" x14ac:dyDescent="0.35">
      <c r="A8899" s="9" t="str">
        <f>HYPERLINK("http://www.ensembl.org/id/WBGene00016561", "WBGene00016561")</f>
        <v>WBGene00016561</v>
      </c>
      <c r="B8899" s="9" t="str">
        <f>HYPERLINK("http://www.ncbi.nlm.nih.gov/gene/172050", "172050")</f>
        <v>172050</v>
      </c>
      <c r="C8899" s="9"/>
      <c r="D8899" t="str">
        <f>"eri-6"</f>
        <v>eri-6</v>
      </c>
      <c r="E8899" t="s">
        <v>1926</v>
      </c>
      <c r="F8899" t="s">
        <v>11</v>
      </c>
      <c r="H8899" s="12">
        <v>1.2288680772143601</v>
      </c>
      <c r="I8899" s="20">
        <v>0.88562479798792504</v>
      </c>
      <c r="J8899" s="28">
        <v>0.375819744213921</v>
      </c>
      <c r="K8899" s="29">
        <v>0.98289565623980701</v>
      </c>
    </row>
    <row r="8900" spans="1:11" x14ac:dyDescent="0.35">
      <c r="A8900" s="9" t="str">
        <f>HYPERLINK("http://www.ensembl.org/id/WBGene00016566", "WBGene00016566")</f>
        <v>WBGene00016566</v>
      </c>
      <c r="B8900" s="9" t="str">
        <f>HYPERLINK("http://www.ncbi.nlm.nih.gov/gene/172047", "172047")</f>
        <v>172047</v>
      </c>
      <c r="C8900" s="9"/>
      <c r="D8900" t="str">
        <f>"eri-7"</f>
        <v>eri-7</v>
      </c>
      <c r="E8900" t="s">
        <v>1926</v>
      </c>
      <c r="F8900" t="s">
        <v>11</v>
      </c>
      <c r="G8900" t="s">
        <v>6334</v>
      </c>
      <c r="H8900" s="12">
        <v>-1.0633624955526599</v>
      </c>
      <c r="I8900" s="20">
        <v>-0.25660733996729601</v>
      </c>
      <c r="J8900" s="28">
        <v>0.79748190822647302</v>
      </c>
      <c r="K8900" s="29">
        <v>0.98289565623980701</v>
      </c>
    </row>
    <row r="8901" spans="1:11" x14ac:dyDescent="0.35">
      <c r="A8901" s="9" t="str">
        <f>HYPERLINK("http://www.ensembl.org/id/WBGene00016143", "WBGene00016143")</f>
        <v>WBGene00016143</v>
      </c>
      <c r="B8901" s="9" t="str">
        <f>HYPERLINK("http://www.ncbi.nlm.nih.gov/gene/175665", "175665")</f>
        <v>175665</v>
      </c>
      <c r="C8901" s="9"/>
      <c r="D8901" t="str">
        <f>"eri-9"</f>
        <v>eri-9</v>
      </c>
      <c r="E8901" t="s">
        <v>1926</v>
      </c>
      <c r="F8901" t="s">
        <v>11</v>
      </c>
      <c r="H8901" s="12">
        <v>-1.2591239863460899</v>
      </c>
      <c r="I8901" s="20">
        <v>-1.0840840712380799</v>
      </c>
      <c r="J8901" s="28">
        <v>0.27832752470753402</v>
      </c>
      <c r="K8901" s="29">
        <v>0.98289565623980701</v>
      </c>
    </row>
    <row r="8902" spans="1:11" x14ac:dyDescent="0.35">
      <c r="A8902" s="9" t="str">
        <f>HYPERLINK("http://www.ensembl.org/id/WBGene00016278", "WBGene00016278")</f>
        <v>WBGene00016278</v>
      </c>
      <c r="B8902" s="9" t="str">
        <f>HYPERLINK("http://www.ncbi.nlm.nih.gov/gene/172191", "172191")</f>
        <v>172191</v>
      </c>
      <c r="C8902" s="9" t="str">
        <f>HYPERLINK("http://www.ncbi.nlm.nih.gov/gene/23071", "23071")</f>
        <v>23071</v>
      </c>
      <c r="D8902" t="str">
        <f>"erp-44.1"</f>
        <v>erp-44.1</v>
      </c>
      <c r="E8902" t="s">
        <v>7855</v>
      </c>
      <c r="F8902" t="s">
        <v>11</v>
      </c>
      <c r="H8902" s="12">
        <v>-1.2198752920414</v>
      </c>
      <c r="I8902" s="20">
        <v>-1.06373930813471</v>
      </c>
      <c r="J8902" s="28">
        <v>0.28744681214814199</v>
      </c>
      <c r="K8902" s="29">
        <v>0.98289565623980701</v>
      </c>
    </row>
    <row r="8903" spans="1:11" x14ac:dyDescent="0.35">
      <c r="A8903" s="9" t="str">
        <f>HYPERLINK("http://www.ensembl.org/id/WBGene00018358", "WBGene00018358")</f>
        <v>WBGene00018358</v>
      </c>
      <c r="B8903" s="9" t="str">
        <f>HYPERLINK("http://www.ncbi.nlm.nih.gov/gene/185676", "185676")</f>
        <v>185676</v>
      </c>
      <c r="C8903" s="9"/>
      <c r="D8903" t="str">
        <f>"erp-44.3"</f>
        <v>erp-44.3</v>
      </c>
      <c r="E8903" t="s">
        <v>7855</v>
      </c>
      <c r="F8903" t="s">
        <v>11</v>
      </c>
      <c r="G8903" t="s">
        <v>25</v>
      </c>
      <c r="H8903" s="12">
        <v>-1.1482540167575599</v>
      </c>
      <c r="I8903" s="20">
        <v>-0.43563730449725402</v>
      </c>
      <c r="J8903" s="28">
        <v>0.66309990039431099</v>
      </c>
      <c r="K8903" s="29">
        <v>0.98289565623980701</v>
      </c>
    </row>
    <row r="8904" spans="1:11" x14ac:dyDescent="0.35">
      <c r="A8904" s="9" t="str">
        <f>HYPERLINK("http://www.ensembl.org/id/WBGene00010725", "WBGene00010725")</f>
        <v>WBGene00010725</v>
      </c>
      <c r="B8904" s="9" t="str">
        <f>HYPERLINK("http://www.ncbi.nlm.nih.gov/gene/181652", "181652")</f>
        <v>181652</v>
      </c>
      <c r="C8904" s="9" t="str">
        <f>HYPERLINK("http://www.ncbi.nlm.nih.gov/gene/51614", "51614")</f>
        <v>51614</v>
      </c>
      <c r="D8904" t="str">
        <f>"erv-46"</f>
        <v>erv-46</v>
      </c>
      <c r="E8904" t="s">
        <v>5720</v>
      </c>
      <c r="F8904" t="s">
        <v>11</v>
      </c>
      <c r="G8904" t="s">
        <v>1972</v>
      </c>
      <c r="H8904" s="12">
        <v>1.1164664752731199</v>
      </c>
      <c r="I8904" s="20">
        <v>0.56038700513060402</v>
      </c>
      <c r="J8904" s="28">
        <v>0.57521549336712097</v>
      </c>
      <c r="K8904" s="29">
        <v>0.98289565623980701</v>
      </c>
    </row>
    <row r="8905" spans="1:11" x14ac:dyDescent="0.35">
      <c r="A8905" s="9" t="str">
        <f>HYPERLINK("http://www.ensembl.org/id/WBGene00016870", "WBGene00016870")</f>
        <v>WBGene00016870</v>
      </c>
      <c r="B8905" s="9" t="str">
        <f>HYPERLINK("http://www.ncbi.nlm.nih.gov/gene/259701", "259701")</f>
        <v>259701</v>
      </c>
      <c r="C8905" s="9"/>
      <c r="D8905" t="str">
        <f>"ets-10"</f>
        <v>ets-10</v>
      </c>
      <c r="E8905" t="s">
        <v>2173</v>
      </c>
      <c r="F8905" t="s">
        <v>11</v>
      </c>
      <c r="H8905" s="12">
        <v>-1.58710336749244</v>
      </c>
      <c r="I8905" s="20">
        <v>-0.98781683582275304</v>
      </c>
      <c r="J8905" s="28">
        <v>0.32324236068916501</v>
      </c>
      <c r="K8905" s="29">
        <v>0.98289565623980701</v>
      </c>
    </row>
    <row r="8906" spans="1:11" x14ac:dyDescent="0.35">
      <c r="A8906" s="9" t="str">
        <f>HYPERLINK("http://www.ensembl.org/id/WBGene00017606", "WBGene00017606")</f>
        <v>WBGene00017606</v>
      </c>
      <c r="B8906" s="9" t="str">
        <f>HYPERLINK("http://www.ncbi.nlm.nih.gov/gene/179141", "179141")</f>
        <v>179141</v>
      </c>
      <c r="C8906" s="9"/>
      <c r="D8906" t="str">
        <f>"ets-6"</f>
        <v>ets-6</v>
      </c>
      <c r="E8906" t="s">
        <v>2173</v>
      </c>
      <c r="F8906" t="s">
        <v>11</v>
      </c>
      <c r="G8906" t="s">
        <v>1755</v>
      </c>
      <c r="H8906" s="12">
        <v>-1.17894003691648</v>
      </c>
      <c r="I8906" s="20">
        <v>-0.77416456167204795</v>
      </c>
      <c r="J8906" s="28">
        <v>0.438833482171061</v>
      </c>
      <c r="K8906" s="29">
        <v>0.98289565623980701</v>
      </c>
    </row>
    <row r="8907" spans="1:11" x14ac:dyDescent="0.35">
      <c r="A8907" s="9" t="str">
        <f>HYPERLINK("http://www.ensembl.org/id/WBGene00016798", "WBGene00016798")</f>
        <v>WBGene00016798</v>
      </c>
      <c r="B8907" s="9" t="str">
        <f>HYPERLINK("http://www.ncbi.nlm.nih.gov/gene/183631", "183631")</f>
        <v>183631</v>
      </c>
      <c r="C8907" s="9"/>
      <c r="D8907" t="str">
        <f>"ets-8"</f>
        <v>ets-8</v>
      </c>
      <c r="E8907" t="s">
        <v>2173</v>
      </c>
      <c r="F8907" t="s">
        <v>11</v>
      </c>
      <c r="G8907" t="s">
        <v>4661</v>
      </c>
      <c r="H8907" s="12">
        <v>1.5249933650952601</v>
      </c>
      <c r="I8907" s="20">
        <v>0.27513106996636499</v>
      </c>
      <c r="J8907" s="28">
        <v>0.78321554197285403</v>
      </c>
      <c r="K8907" s="29">
        <v>0.98289565623980701</v>
      </c>
    </row>
    <row r="8908" spans="1:11" x14ac:dyDescent="0.35">
      <c r="A8908" s="9" t="str">
        <f>HYPERLINK("http://www.ensembl.org/id/WBGene00009304", "WBGene00009304")</f>
        <v>WBGene00009304</v>
      </c>
      <c r="B8908" s="9" t="str">
        <f>HYPERLINK("http://www.ncbi.nlm.nih.gov/gene/173355", "173355")</f>
        <v>173355</v>
      </c>
      <c r="C8908" s="9"/>
      <c r="D8908" t="str">
        <f>"eva-1"</f>
        <v>eva-1</v>
      </c>
      <c r="F8908" t="s">
        <v>11</v>
      </c>
      <c r="G8908" t="s">
        <v>813</v>
      </c>
      <c r="H8908" s="12">
        <v>1.2244983053123399</v>
      </c>
      <c r="I8908" s="20">
        <v>0.89656731598113404</v>
      </c>
      <c r="J8908" s="28">
        <v>0.36994984500655598</v>
      </c>
      <c r="K8908" s="29">
        <v>0.98289565623980701</v>
      </c>
    </row>
    <row r="8909" spans="1:11" x14ac:dyDescent="0.35">
      <c r="A8909" s="9" t="str">
        <f>HYPERLINK("http://www.ensembl.org/id/WBGene00001362", "WBGene00001362")</f>
        <v>WBGene00001362</v>
      </c>
      <c r="B8909" s="9" t="str">
        <f>HYPERLINK("http://www.ncbi.nlm.nih.gov/gene/181635", "181635")</f>
        <v>181635</v>
      </c>
      <c r="C8909" s="9"/>
      <c r="D8909" t="str">
        <f>"exc-1"</f>
        <v>exc-1</v>
      </c>
      <c r="F8909" t="s">
        <v>11</v>
      </c>
      <c r="G8909" t="s">
        <v>4746</v>
      </c>
      <c r="H8909" s="12">
        <v>1.4193271667176599</v>
      </c>
      <c r="I8909" s="20">
        <v>0.36123794733274101</v>
      </c>
      <c r="J8909" s="28">
        <v>0.71792157678485602</v>
      </c>
      <c r="K8909" s="29">
        <v>0.98289565623980701</v>
      </c>
    </row>
    <row r="8910" spans="1:11" x14ac:dyDescent="0.35">
      <c r="A8910" s="9" t="str">
        <f>HYPERLINK("http://www.ensembl.org/id/WBGene00016606", "WBGene00016606")</f>
        <v>WBGene00016606</v>
      </c>
      <c r="B8910" s="9" t="str">
        <f>HYPERLINK("http://www.ncbi.nlm.nih.gov/gene/172023", "172023")</f>
        <v>172023</v>
      </c>
      <c r="C8910" s="9"/>
      <c r="D8910" t="str">
        <f>"exoc-7"</f>
        <v>exoc-7</v>
      </c>
      <c r="E8910" t="s">
        <v>8246</v>
      </c>
      <c r="F8910" t="s">
        <v>11</v>
      </c>
      <c r="G8910" t="s">
        <v>8247</v>
      </c>
      <c r="H8910" s="12">
        <v>-1.1673948059749999</v>
      </c>
      <c r="I8910" s="20">
        <v>-0.80590712289666599</v>
      </c>
      <c r="J8910" s="28">
        <v>0.420296403889235</v>
      </c>
      <c r="K8910" s="29">
        <v>0.98289565623980701</v>
      </c>
    </row>
    <row r="8911" spans="1:11" x14ac:dyDescent="0.35">
      <c r="A8911" s="9" t="str">
        <f>HYPERLINK("http://www.ensembl.org/id/WBGene00013687", "WBGene00013687")</f>
        <v>WBGene00013687</v>
      </c>
      <c r="B8911" s="9" t="str">
        <f>HYPERLINK("http://www.ncbi.nlm.nih.gov/gene/173320", "173320")</f>
        <v>173320</v>
      </c>
      <c r="C8911" s="9" t="str">
        <f>HYPERLINK("http://www.ncbi.nlm.nih.gov/gene/149371", "149371")</f>
        <v>149371</v>
      </c>
      <c r="D8911" t="str">
        <f>"exoc-8"</f>
        <v>exoc-8</v>
      </c>
      <c r="E8911" t="s">
        <v>8898</v>
      </c>
      <c r="F8911" t="s">
        <v>11</v>
      </c>
      <c r="G8911" t="s">
        <v>8899</v>
      </c>
      <c r="H8911" s="12">
        <v>-1.2059479666894499</v>
      </c>
      <c r="I8911" s="20">
        <v>-0.99751829947319304</v>
      </c>
      <c r="J8911" s="28">
        <v>0.31851299586877901</v>
      </c>
      <c r="K8911" s="29">
        <v>0.98289565623980701</v>
      </c>
    </row>
    <row r="8912" spans="1:11" x14ac:dyDescent="0.35">
      <c r="A8912" s="9" t="str">
        <f>HYPERLINK("http://www.ensembl.org/id/WBGene00012966", "WBGene00012966")</f>
        <v>WBGene00012966</v>
      </c>
      <c r="B8912" s="9" t="str">
        <f>HYPERLINK("http://www.ncbi.nlm.nih.gov/gene/176532", "176532")</f>
        <v>176532</v>
      </c>
      <c r="C8912" s="9" t="str">
        <f>HYPERLINK("http://www.ncbi.nlm.nih.gov/gene/51013", "51013")</f>
        <v>51013</v>
      </c>
      <c r="D8912" t="str">
        <f>"exos-1"</f>
        <v>exos-1</v>
      </c>
      <c r="E8912" t="s">
        <v>2299</v>
      </c>
      <c r="F8912" t="s">
        <v>11</v>
      </c>
      <c r="G8912" t="s">
        <v>9641</v>
      </c>
      <c r="H8912" s="12">
        <v>-1.27131835941439</v>
      </c>
      <c r="I8912" s="20">
        <v>-1.01870146062718</v>
      </c>
      <c r="J8912" s="28">
        <v>0.30834471895487398</v>
      </c>
      <c r="K8912" s="29">
        <v>0.98289565623980701</v>
      </c>
    </row>
    <row r="8913" spans="1:11" x14ac:dyDescent="0.35">
      <c r="A8913" s="9" t="str">
        <f>HYPERLINK("http://www.ensembl.org/id/WBGene00009289", "WBGene00009289")</f>
        <v>WBGene00009289</v>
      </c>
      <c r="B8913" s="9" t="str">
        <f>HYPERLINK("http://www.ncbi.nlm.nih.gov/gene/180369", "180369")</f>
        <v>180369</v>
      </c>
      <c r="C8913" s="9"/>
      <c r="D8913" t="str">
        <f>"exos-7"</f>
        <v>exos-7</v>
      </c>
      <c r="E8913" t="s">
        <v>2299</v>
      </c>
      <c r="F8913" t="s">
        <v>11</v>
      </c>
      <c r="G8913" t="s">
        <v>8925</v>
      </c>
      <c r="H8913" s="12">
        <v>-1.2082436462369901</v>
      </c>
      <c r="I8913" s="20">
        <v>-0.85370171211959101</v>
      </c>
      <c r="J8913" s="28">
        <v>0.39327028526264202</v>
      </c>
      <c r="K8913" s="29">
        <v>0.98289565623980701</v>
      </c>
    </row>
    <row r="8914" spans="1:11" x14ac:dyDescent="0.35">
      <c r="A8914" s="9" t="str">
        <f>HYPERLINK("http://www.ensembl.org/id/WBGene00018305", "WBGene00018305")</f>
        <v>WBGene00018305</v>
      </c>
      <c r="B8914" s="9" t="str">
        <f>HYPERLINK("http://www.ncbi.nlm.nih.gov/gene/174111", "174111")</f>
        <v>174111</v>
      </c>
      <c r="C8914" s="9"/>
      <c r="D8914" t="str">
        <f>"exos-8"</f>
        <v>exos-8</v>
      </c>
      <c r="E8914" t="s">
        <v>2299</v>
      </c>
      <c r="F8914" t="s">
        <v>11</v>
      </c>
      <c r="G8914" t="s">
        <v>8483</v>
      </c>
      <c r="H8914" s="12">
        <v>-1.17989624389722</v>
      </c>
      <c r="I8914" s="20">
        <v>-0.65554366807119802</v>
      </c>
      <c r="J8914" s="28">
        <v>0.51211778072995995</v>
      </c>
      <c r="K8914" s="29">
        <v>0.98289565623980701</v>
      </c>
    </row>
    <row r="8915" spans="1:11" x14ac:dyDescent="0.35">
      <c r="A8915" s="9" t="str">
        <f>HYPERLINK("http://www.ensembl.org/id/WBGene00018154", "WBGene00018154")</f>
        <v>WBGene00018154</v>
      </c>
      <c r="B8915" s="9" t="str">
        <f>HYPERLINK("http://www.ncbi.nlm.nih.gov/gene/176012", "176012")</f>
        <v>176012</v>
      </c>
      <c r="C8915" s="9" t="str">
        <f>HYPERLINK("http://www.ncbi.nlm.nih.gov/gene/5393", "5393")</f>
        <v>5393</v>
      </c>
      <c r="D8915" t="str">
        <f>"exos-9"</f>
        <v>exos-9</v>
      </c>
      <c r="E8915" t="s">
        <v>2299</v>
      </c>
      <c r="F8915" t="s">
        <v>11</v>
      </c>
      <c r="G8915" t="s">
        <v>7549</v>
      </c>
      <c r="H8915" s="12">
        <v>-1.1323476435415201</v>
      </c>
      <c r="I8915" s="20">
        <v>-0.58765329692815105</v>
      </c>
      <c r="J8915" s="28">
        <v>0.55676502940845796</v>
      </c>
      <c r="K8915" s="29">
        <v>0.98289565623980701</v>
      </c>
    </row>
    <row r="8916" spans="1:11" x14ac:dyDescent="0.35">
      <c r="A8916" s="9" t="str">
        <f>HYPERLINK("http://www.ensembl.org/id/WBGene00001377", "WBGene00001377")</f>
        <v>WBGene00001377</v>
      </c>
      <c r="B8916" s="9" t="str">
        <f>HYPERLINK("http://www.ncbi.nlm.nih.gov/gene/173293", "173293")</f>
        <v>173293</v>
      </c>
      <c r="C8916" s="9" t="str">
        <f>HYPERLINK("http://www.ncbi.nlm.nih.gov/gene/2138", "2138")</f>
        <v>2138</v>
      </c>
      <c r="D8916" t="str">
        <f>"eya-1"</f>
        <v>eya-1</v>
      </c>
      <c r="E8916" t="s">
        <v>6085</v>
      </c>
      <c r="F8916" t="s">
        <v>11</v>
      </c>
      <c r="G8916" t="s">
        <v>6086</v>
      </c>
      <c r="H8916" s="12">
        <v>1.06408723896365</v>
      </c>
      <c r="I8916" s="20">
        <v>0.29326769476546699</v>
      </c>
      <c r="J8916" s="28">
        <v>0.769317544436669</v>
      </c>
      <c r="K8916" s="29">
        <v>0.98289565623980701</v>
      </c>
    </row>
    <row r="8917" spans="1:11" x14ac:dyDescent="0.35">
      <c r="A8917" s="9" t="str">
        <f>HYPERLINK("http://www.ensembl.org/id/WBGene00013147", "WBGene00013147")</f>
        <v>WBGene00013147</v>
      </c>
      <c r="B8917" s="9" t="str">
        <f>HYPERLINK("http://www.ncbi.nlm.nih.gov/gene/190204", "190204")</f>
        <v>190204</v>
      </c>
      <c r="C8917" s="9"/>
      <c r="D8917" t="str">
        <f>"eyg-1"</f>
        <v>eyg-1</v>
      </c>
      <c r="E8917" t="s">
        <v>4423</v>
      </c>
      <c r="F8917" t="s">
        <v>11</v>
      </c>
      <c r="G8917" t="s">
        <v>2171</v>
      </c>
      <c r="H8917" s="12">
        <v>2.21270768181085</v>
      </c>
      <c r="I8917" s="20">
        <v>1.1453869193122601</v>
      </c>
      <c r="J8917" s="28">
        <v>0.25204891447479799</v>
      </c>
      <c r="K8917" s="29">
        <v>0.98289565623980701</v>
      </c>
    </row>
    <row r="8918" spans="1:11" x14ac:dyDescent="0.35">
      <c r="A8918" s="9" t="str">
        <f>HYPERLINK("http://www.ensembl.org/id/WBGene00008488", "WBGene00008488")</f>
        <v>WBGene00008488</v>
      </c>
      <c r="B8918" s="9" t="str">
        <f>HYPERLINK("http://www.ncbi.nlm.nih.gov/gene/177941", "177941")</f>
        <v>177941</v>
      </c>
      <c r="C8918" s="9"/>
      <c r="D8918" t="str">
        <f>"F01D4.5"</f>
        <v>F01D4.5</v>
      </c>
      <c r="F8918" t="s">
        <v>11</v>
      </c>
      <c r="G8918" t="s">
        <v>51</v>
      </c>
      <c r="H8918" s="12">
        <v>-1.1446985140163799</v>
      </c>
      <c r="I8918" s="20">
        <v>-0.52752732593683604</v>
      </c>
      <c r="J8918" s="28">
        <v>0.59782744546861499</v>
      </c>
      <c r="K8918" s="29">
        <v>0.98289565623980701</v>
      </c>
    </row>
    <row r="8919" spans="1:11" x14ac:dyDescent="0.35">
      <c r="A8919" s="9" t="str">
        <f>HYPERLINK("http://www.ensembl.org/id/WBGene00008492", "WBGene00008492")</f>
        <v>WBGene00008492</v>
      </c>
      <c r="B8919" s="9" t="str">
        <f>HYPERLINK("http://www.ncbi.nlm.nih.gov/gene/175049", "175049")</f>
        <v>175049</v>
      </c>
      <c r="C8919" s="9"/>
      <c r="D8919" t="str">
        <f>"F01D5.1"</f>
        <v>F01D5.1</v>
      </c>
      <c r="F8919" t="s">
        <v>11</v>
      </c>
      <c r="G8919" t="s">
        <v>264</v>
      </c>
      <c r="H8919" s="12">
        <v>-1.66999627286807</v>
      </c>
      <c r="I8919" s="20">
        <v>-0.48220351234797298</v>
      </c>
      <c r="J8919" s="28">
        <v>0.62966138198664101</v>
      </c>
      <c r="K8919" s="29">
        <v>0.98289565623980701</v>
      </c>
    </row>
    <row r="8920" spans="1:11" x14ac:dyDescent="0.35">
      <c r="A8920" s="9" t="str">
        <f>HYPERLINK("http://www.ensembl.org/id/WBGene00008493", "WBGene00008493")</f>
        <v>WBGene00008493</v>
      </c>
      <c r="B8920" s="9" t="str">
        <f>HYPERLINK("http://www.ncbi.nlm.nih.gov/gene/184056", "184056")</f>
        <v>184056</v>
      </c>
      <c r="C8920" s="9"/>
      <c r="D8920" t="str">
        <f>"F01D5.2"</f>
        <v>F01D5.2</v>
      </c>
      <c r="F8920" t="s">
        <v>11</v>
      </c>
      <c r="H8920" s="12">
        <v>6.9318611662251302</v>
      </c>
      <c r="I8920" s="20">
        <v>0.62474731658329397</v>
      </c>
      <c r="J8920" s="28">
        <v>0.53213691286130105</v>
      </c>
      <c r="K8920" s="29">
        <v>0.98289565623980701</v>
      </c>
    </row>
    <row r="8921" spans="1:11" x14ac:dyDescent="0.35">
      <c r="A8921" s="9" t="str">
        <f>HYPERLINK("http://www.ensembl.org/id/WBGene00008494", "WBGene00008494")</f>
        <v>WBGene00008494</v>
      </c>
      <c r="B8921" s="9" t="str">
        <f>HYPERLINK("http://www.ncbi.nlm.nih.gov/gene/184057", "184057")</f>
        <v>184057</v>
      </c>
      <c r="C8921" s="9"/>
      <c r="D8921" t="str">
        <f>"F01D5.3"</f>
        <v>F01D5.3</v>
      </c>
      <c r="F8921" t="s">
        <v>11</v>
      </c>
      <c r="G8921" t="s">
        <v>264</v>
      </c>
      <c r="H8921" s="12">
        <v>7.1548281671064702</v>
      </c>
      <c r="I8921" s="20">
        <v>0.82341670396658395</v>
      </c>
      <c r="J8921" s="28">
        <v>0.41027106722413098</v>
      </c>
      <c r="K8921" s="29">
        <v>0.98289565623980701</v>
      </c>
    </row>
    <row r="8922" spans="1:11" x14ac:dyDescent="0.35">
      <c r="A8922" s="9" t="str">
        <f>HYPERLINK("http://www.ensembl.org/id/WBGene00014730", "WBGene00014730")</f>
        <v>WBGene00014730</v>
      </c>
      <c r="B8922" s="9"/>
      <c r="C8922" s="9"/>
      <c r="D8922" t="str">
        <f>"F01D5.4"</f>
        <v>F01D5.4</v>
      </c>
      <c r="F8922" t="s">
        <v>80</v>
      </c>
      <c r="H8922" s="12">
        <v>-6.3507302933957197</v>
      </c>
      <c r="I8922" s="20">
        <v>-0.54348709410156204</v>
      </c>
      <c r="J8922" s="28">
        <v>0.58679447442024202</v>
      </c>
      <c r="K8922" s="29">
        <v>0.98289565623980701</v>
      </c>
    </row>
    <row r="8923" spans="1:11" x14ac:dyDescent="0.35">
      <c r="A8923" s="9" t="str">
        <f>HYPERLINK("http://www.ensembl.org/id/WBGene00008495", "WBGene00008495")</f>
        <v>WBGene00008495</v>
      </c>
      <c r="B8923" s="9" t="str">
        <f>HYPERLINK("http://www.ncbi.nlm.nih.gov/gene/184058", "184058")</f>
        <v>184058</v>
      </c>
      <c r="C8923" s="9"/>
      <c r="D8923" t="str">
        <f>"F01D5.5"</f>
        <v>F01D5.5</v>
      </c>
      <c r="F8923" t="s">
        <v>11</v>
      </c>
      <c r="G8923" t="s">
        <v>264</v>
      </c>
      <c r="H8923" s="12">
        <v>-1.30040912083051</v>
      </c>
      <c r="I8923" s="20">
        <v>-0.30185478851793801</v>
      </c>
      <c r="J8923" s="28">
        <v>0.76276276249770103</v>
      </c>
      <c r="K8923" s="29">
        <v>0.98289565623980701</v>
      </c>
    </row>
    <row r="8924" spans="1:11" x14ac:dyDescent="0.35">
      <c r="A8924" s="9" t="str">
        <f>HYPERLINK("http://www.ensembl.org/id/WBGene00008496", "WBGene00008496")</f>
        <v>WBGene00008496</v>
      </c>
      <c r="B8924" s="9" t="str">
        <f>HYPERLINK("http://www.ncbi.nlm.nih.gov/gene/175050", "175050")</f>
        <v>175050</v>
      </c>
      <c r="C8924" s="9"/>
      <c r="D8924" t="str">
        <f>"F01D5.6"</f>
        <v>F01D5.6</v>
      </c>
      <c r="F8924" t="s">
        <v>11</v>
      </c>
      <c r="G8924" t="s">
        <v>5101</v>
      </c>
      <c r="H8924" s="12">
        <v>1.24008256347351</v>
      </c>
      <c r="I8924" s="20">
        <v>0.56052720008867296</v>
      </c>
      <c r="J8924" s="28">
        <v>0.57511989205200698</v>
      </c>
      <c r="K8924" s="29">
        <v>0.98289565623980701</v>
      </c>
    </row>
    <row r="8925" spans="1:11" x14ac:dyDescent="0.35">
      <c r="A8925" s="9" t="str">
        <f>HYPERLINK("http://www.ensembl.org/id/WBGene00199831", "WBGene00199831")</f>
        <v>WBGene00199831</v>
      </c>
      <c r="B8925" s="9"/>
      <c r="C8925" s="9"/>
      <c r="D8925" t="str">
        <f>"F01E11.12"</f>
        <v>F01E11.12</v>
      </c>
      <c r="F8925" t="s">
        <v>481</v>
      </c>
      <c r="H8925" s="12">
        <v>2.3893468495514898</v>
      </c>
      <c r="I8925" s="20">
        <v>0.25323547253672701</v>
      </c>
      <c r="J8925" s="28">
        <v>0.80008625651646104</v>
      </c>
      <c r="K8925" s="29">
        <v>0.98289565623980701</v>
      </c>
    </row>
    <row r="8926" spans="1:11" x14ac:dyDescent="0.35">
      <c r="A8926" s="9" t="str">
        <f>HYPERLINK("http://www.ensembl.org/id/WBGene00201259", "WBGene00201259")</f>
        <v>WBGene00201259</v>
      </c>
      <c r="B8926" s="9"/>
      <c r="C8926" s="9"/>
      <c r="D8926" t="str">
        <f>"F01E11.15"</f>
        <v>F01E11.15</v>
      </c>
      <c r="F8926" t="s">
        <v>481</v>
      </c>
      <c r="H8926" s="12">
        <v>-2.3838754719136599</v>
      </c>
      <c r="I8926" s="20">
        <v>-0.25807578497976902</v>
      </c>
      <c r="J8926" s="28">
        <v>0.79634841949468704</v>
      </c>
      <c r="K8926" s="29">
        <v>0.98289565623980701</v>
      </c>
    </row>
    <row r="8927" spans="1:11" x14ac:dyDescent="0.35">
      <c r="A8927" s="9" t="str">
        <f>HYPERLINK("http://www.ensembl.org/id/WBGene00219372", "WBGene00219372")</f>
        <v>WBGene00219372</v>
      </c>
      <c r="B8927" s="9" t="str">
        <f>HYPERLINK("http://www.ncbi.nlm.nih.gov/gene/13221278", "13221278")</f>
        <v>13221278</v>
      </c>
      <c r="C8927" s="9"/>
      <c r="D8927" t="str">
        <f>"F01E11.17"</f>
        <v>F01E11.17</v>
      </c>
      <c r="F8927" t="s">
        <v>11</v>
      </c>
      <c r="H8927" s="12">
        <v>1.61911576992669</v>
      </c>
      <c r="I8927" s="20">
        <v>0.92389840504398102</v>
      </c>
      <c r="J8927" s="28">
        <v>0.35553921358349899</v>
      </c>
      <c r="K8927" s="29">
        <v>0.98289565623980701</v>
      </c>
    </row>
    <row r="8928" spans="1:11" x14ac:dyDescent="0.35">
      <c r="A8928" s="9" t="str">
        <f>HYPERLINK("http://www.ensembl.org/id/WBGene00219373", "WBGene00219373")</f>
        <v>WBGene00219373</v>
      </c>
      <c r="B8928" s="9" t="str">
        <f>HYPERLINK("http://www.ncbi.nlm.nih.gov/gene/13221279", "13221279")</f>
        <v>13221279</v>
      </c>
      <c r="C8928" s="9"/>
      <c r="D8928" t="str">
        <f>"F01E11.18"</f>
        <v>F01E11.18</v>
      </c>
      <c r="F8928" t="s">
        <v>11</v>
      </c>
      <c r="H8928" s="12">
        <v>1.36690942007976</v>
      </c>
      <c r="I8928" s="20">
        <v>1.06374546577178</v>
      </c>
      <c r="J8928" s="28">
        <v>0.28744402190754698</v>
      </c>
      <c r="K8928" s="29">
        <v>0.98289565623980701</v>
      </c>
    </row>
    <row r="8929" spans="1:11" x14ac:dyDescent="0.35">
      <c r="A8929" s="9" t="str">
        <f>HYPERLINK("http://www.ensembl.org/id/WBGene00017156", "WBGene00017156")</f>
        <v>WBGene00017156</v>
      </c>
      <c r="B8929" s="9" t="str">
        <f>HYPERLINK("http://www.ncbi.nlm.nih.gov/gene/184061", "184061")</f>
        <v>184061</v>
      </c>
      <c r="C8929" s="9"/>
      <c r="D8929" t="str">
        <f>"F01E11.3"</f>
        <v>F01E11.3</v>
      </c>
      <c r="F8929" t="s">
        <v>11</v>
      </c>
      <c r="G8929" t="s">
        <v>25</v>
      </c>
      <c r="H8929" s="12">
        <v>1.46756254132856</v>
      </c>
      <c r="I8929" s="20">
        <v>0.50304498406257403</v>
      </c>
      <c r="J8929" s="28">
        <v>0.61493264547766302</v>
      </c>
      <c r="K8929" s="29">
        <v>0.98289565623980701</v>
      </c>
    </row>
    <row r="8930" spans="1:11" x14ac:dyDescent="0.35">
      <c r="A8930" s="9" t="str">
        <f>HYPERLINK("http://www.ensembl.org/id/WBGene00017165", "WBGene00017165")</f>
        <v>WBGene00017165</v>
      </c>
      <c r="B8930" s="9" t="str">
        <f>HYPERLINK("http://www.ncbi.nlm.nih.gov/gene/175825", "175825")</f>
        <v>175825</v>
      </c>
      <c r="C8930" s="9"/>
      <c r="D8930" t="str">
        <f>"F01F1.11"</f>
        <v>F01F1.11</v>
      </c>
      <c r="F8930" t="s">
        <v>11</v>
      </c>
      <c r="G8930" t="s">
        <v>2783</v>
      </c>
      <c r="H8930" s="12">
        <v>-1.24443600832436</v>
      </c>
      <c r="I8930" s="20">
        <v>-0.96867330747415403</v>
      </c>
      <c r="J8930" s="28">
        <v>0.33270821455181299</v>
      </c>
      <c r="K8930" s="29">
        <v>0.98289565623980701</v>
      </c>
    </row>
    <row r="8931" spans="1:11" x14ac:dyDescent="0.35">
      <c r="A8931" s="9" t="str">
        <f>HYPERLINK("http://www.ensembl.org/id/WBGene00017168", "WBGene00017168")</f>
        <v>WBGene00017168</v>
      </c>
      <c r="B8931" s="9" t="str">
        <f>HYPERLINK("http://www.ncbi.nlm.nih.gov/gene/175830", "175830")</f>
        <v>175830</v>
      </c>
      <c r="C8931" s="9"/>
      <c r="D8931" t="str">
        <f>"F01F1.14"</f>
        <v>F01F1.14</v>
      </c>
      <c r="F8931" t="s">
        <v>11</v>
      </c>
      <c r="G8931" t="s">
        <v>25</v>
      </c>
      <c r="H8931" s="12">
        <v>1.64116342159266</v>
      </c>
      <c r="I8931" s="20">
        <v>0.77134462800773795</v>
      </c>
      <c r="J8931" s="28">
        <v>0.44050268646691598</v>
      </c>
      <c r="K8931" s="29">
        <v>0.98289565623980701</v>
      </c>
    </row>
    <row r="8932" spans="1:11" x14ac:dyDescent="0.35">
      <c r="A8932" s="9" t="str">
        <f>HYPERLINK("http://www.ensembl.org/id/WBGene00017169", "WBGene00017169")</f>
        <v>WBGene00017169</v>
      </c>
      <c r="B8932" s="9" t="str">
        <f>HYPERLINK("http://www.ncbi.nlm.nih.gov/gene/175824", "175824")</f>
        <v>175824</v>
      </c>
      <c r="C8932" s="9"/>
      <c r="D8932" t="str">
        <f>"F01F1.15"</f>
        <v>F01F1.15</v>
      </c>
      <c r="F8932" t="s">
        <v>11</v>
      </c>
      <c r="G8932" t="s">
        <v>2783</v>
      </c>
      <c r="H8932" s="12">
        <v>1.08432259615675</v>
      </c>
      <c r="I8932" s="20">
        <v>0.35019853054143602</v>
      </c>
      <c r="J8932" s="28">
        <v>0.72618970948758899</v>
      </c>
      <c r="K8932" s="29">
        <v>0.98289565623980701</v>
      </c>
    </row>
    <row r="8933" spans="1:11" x14ac:dyDescent="0.35">
      <c r="A8933" s="9" t="str">
        <f>HYPERLINK("http://www.ensembl.org/id/WBGene00197884", "WBGene00197884")</f>
        <v>WBGene00197884</v>
      </c>
      <c r="B8933" s="9"/>
      <c r="C8933" s="9"/>
      <c r="D8933" t="str">
        <f>"F01F1.16"</f>
        <v>F01F1.16</v>
      </c>
      <c r="F8933" t="s">
        <v>481</v>
      </c>
      <c r="H8933" s="12">
        <v>2.4578120077400301</v>
      </c>
      <c r="I8933" s="20">
        <v>0.26093350314551</v>
      </c>
      <c r="J8933" s="28">
        <v>0.79414378780213601</v>
      </c>
      <c r="K8933" s="29">
        <v>0.98289565623980701</v>
      </c>
    </row>
    <row r="8934" spans="1:11" x14ac:dyDescent="0.35">
      <c r="A8934" s="9" t="str">
        <f>HYPERLINK("http://www.ensembl.org/id/WBGene00017160", "WBGene00017160")</f>
        <v>WBGene00017160</v>
      </c>
      <c r="B8934" s="9" t="str">
        <f>HYPERLINK("http://www.ncbi.nlm.nih.gov/gene/175826", "175826")</f>
        <v>175826</v>
      </c>
      <c r="C8934" s="9"/>
      <c r="D8934" t="str">
        <f>"F01F1.3"</f>
        <v>F01F1.3</v>
      </c>
      <c r="F8934" t="s">
        <v>11</v>
      </c>
      <c r="H8934" s="12">
        <v>1.18479974059292</v>
      </c>
      <c r="I8934" s="20">
        <v>0.74734867313012099</v>
      </c>
      <c r="J8934" s="28">
        <v>0.45485311910568199</v>
      </c>
      <c r="K8934" s="29">
        <v>0.98289565623980701</v>
      </c>
    </row>
    <row r="8935" spans="1:11" x14ac:dyDescent="0.35">
      <c r="A8935" s="9" t="str">
        <f>HYPERLINK("http://www.ensembl.org/id/WBGene00008507", "WBGene00008507")</f>
        <v>WBGene00008507</v>
      </c>
      <c r="B8935" s="9" t="str">
        <f>HYPERLINK("http://www.ncbi.nlm.nih.gov/gene/184066", "184066")</f>
        <v>184066</v>
      </c>
      <c r="C8935" s="9"/>
      <c r="D8935" t="str">
        <f>"F01G10.4"</f>
        <v>F01G10.4</v>
      </c>
      <c r="F8935" t="s">
        <v>11</v>
      </c>
      <c r="H8935" s="12">
        <v>-3.5819448292659501</v>
      </c>
      <c r="I8935" s="20">
        <v>-0.37337717500031398</v>
      </c>
      <c r="J8935" s="28">
        <v>0.70886774492290605</v>
      </c>
      <c r="K8935" s="29">
        <v>0.98289565623980701</v>
      </c>
    </row>
    <row r="8936" spans="1:11" x14ac:dyDescent="0.35">
      <c r="A8936" s="9" t="str">
        <f>HYPERLINK("http://www.ensembl.org/id/WBGene00008508", "WBGene00008508")</f>
        <v>WBGene00008508</v>
      </c>
      <c r="B8936" s="9" t="str">
        <f>HYPERLINK("http://www.ncbi.nlm.nih.gov/gene/177904", "177904")</f>
        <v>177904</v>
      </c>
      <c r="C8936" s="9"/>
      <c r="D8936" t="str">
        <f>"F01G10.5"</f>
        <v>F01G10.5</v>
      </c>
      <c r="F8936" t="s">
        <v>11</v>
      </c>
      <c r="H8936" s="12">
        <v>2.4243876877869202</v>
      </c>
      <c r="I8936" s="20">
        <v>0.85061689414941499</v>
      </c>
      <c r="J8936" s="28">
        <v>0.39498220167271397</v>
      </c>
      <c r="K8936" s="29">
        <v>0.98289565623980701</v>
      </c>
    </row>
    <row r="8937" spans="1:11" x14ac:dyDescent="0.35">
      <c r="A8937" s="9" t="str">
        <f>HYPERLINK("http://www.ensembl.org/id/WBGene00017170", "WBGene00017170")</f>
        <v>WBGene00017170</v>
      </c>
      <c r="B8937" s="9" t="str">
        <f>HYPERLINK("http://www.ncbi.nlm.nih.gov/gene/184069", "184069")</f>
        <v>184069</v>
      </c>
      <c r="C8937" s="9"/>
      <c r="D8937" t="str">
        <f>"F01G12.1"</f>
        <v>F01G12.1</v>
      </c>
      <c r="F8937" t="s">
        <v>11</v>
      </c>
      <c r="G8937" t="s">
        <v>10061</v>
      </c>
      <c r="H8937" s="12">
        <v>-2.4772140472330402</v>
      </c>
      <c r="I8937" s="20">
        <v>-0.26891282500069902</v>
      </c>
      <c r="J8937" s="28">
        <v>0.78799676746418601</v>
      </c>
      <c r="K8937" s="29">
        <v>0.98289565623980701</v>
      </c>
    </row>
    <row r="8938" spans="1:11" x14ac:dyDescent="0.35">
      <c r="A8938" s="9" t="str">
        <f>HYPERLINK("http://www.ensembl.org/id/WBGene00197356", "WBGene00197356")</f>
        <v>WBGene00197356</v>
      </c>
      <c r="B8938" s="9"/>
      <c r="C8938" s="9"/>
      <c r="D8938" t="str">
        <f>"F01G12.11"</f>
        <v>F01G12.11</v>
      </c>
      <c r="F8938" t="s">
        <v>481</v>
      </c>
      <c r="H8938" s="12">
        <v>-2.45690086664343</v>
      </c>
      <c r="I8938" s="20">
        <v>-0.33785622843309998</v>
      </c>
      <c r="J8938" s="28">
        <v>0.73547153451736302</v>
      </c>
      <c r="K8938" s="29">
        <v>0.98289565623980701</v>
      </c>
    </row>
    <row r="8939" spans="1:11" x14ac:dyDescent="0.35">
      <c r="A8939" s="9" t="str">
        <f>HYPERLINK("http://www.ensembl.org/id/WBGene00200268", "WBGene00200268")</f>
        <v>WBGene00200268</v>
      </c>
      <c r="B8939" s="9"/>
      <c r="C8939" s="9"/>
      <c r="D8939" t="str">
        <f>"F01G12.16"</f>
        <v>F01G12.16</v>
      </c>
      <c r="F8939" t="s">
        <v>481</v>
      </c>
      <c r="H8939" s="12">
        <v>-4.2912371281592003</v>
      </c>
      <c r="I8939" s="20">
        <v>-0.56372227087147897</v>
      </c>
      <c r="J8939" s="28">
        <v>0.572943158267888</v>
      </c>
      <c r="K8939" s="29">
        <v>0.98289565623980701</v>
      </c>
    </row>
    <row r="8940" spans="1:11" x14ac:dyDescent="0.35">
      <c r="A8940" s="9" t="str">
        <f>HYPERLINK("http://www.ensembl.org/id/WBGene00219876", "WBGene00219876")</f>
        <v>WBGene00219876</v>
      </c>
      <c r="B8940" s="9"/>
      <c r="C8940" s="9"/>
      <c r="D8940" t="str">
        <f>"F01G12.19"</f>
        <v>F01G12.19</v>
      </c>
      <c r="F8940" t="s">
        <v>481</v>
      </c>
      <c r="H8940" s="12">
        <v>3.1760445752631101</v>
      </c>
      <c r="I8940" s="20">
        <v>0.63706284877250696</v>
      </c>
      <c r="J8940" s="28">
        <v>0.52408390654745796</v>
      </c>
      <c r="K8940" s="29">
        <v>0.98289565623980701</v>
      </c>
    </row>
    <row r="8941" spans="1:11" x14ac:dyDescent="0.35">
      <c r="A8941" s="9" t="str">
        <f>HYPERLINK("http://www.ensembl.org/id/WBGene00008513", "WBGene00008513")</f>
        <v>WBGene00008513</v>
      </c>
      <c r="B8941" s="9" t="str">
        <f>HYPERLINK("http://www.ncbi.nlm.nih.gov/gene/184071", "184071")</f>
        <v>184071</v>
      </c>
      <c r="C8941" s="9"/>
      <c r="D8941" t="str">
        <f>"F02A9.1"</f>
        <v>F02A9.1</v>
      </c>
      <c r="F8941" t="s">
        <v>11</v>
      </c>
      <c r="G8941" t="s">
        <v>25</v>
      </c>
      <c r="H8941" s="12">
        <v>1.2832895168396199</v>
      </c>
      <c r="I8941" s="20">
        <v>0.89333300136031402</v>
      </c>
      <c r="J8941" s="28">
        <v>0.37167887008140199</v>
      </c>
      <c r="K8941" s="29">
        <v>0.98289565623980701</v>
      </c>
    </row>
    <row r="8942" spans="1:11" x14ac:dyDescent="0.35">
      <c r="A8942" s="9" t="str">
        <f>HYPERLINK("http://www.ensembl.org/id/WBGene00303021", "WBGene00303021")</f>
        <v>WBGene00303021</v>
      </c>
      <c r="B8942" s="9" t="str">
        <f>HYPERLINK("http://www.ncbi.nlm.nih.gov/gene/176285", "176285")</f>
        <v>176285</v>
      </c>
      <c r="C8942" s="9" t="str">
        <f>HYPERLINK("http://www.ncbi.nlm.nih.gov/gene/64087", "64087")</f>
        <v>64087</v>
      </c>
      <c r="D8942" t="str">
        <f>"F02A9.10"</f>
        <v>F02A9.10</v>
      </c>
      <c r="E8942" t="s">
        <v>6268</v>
      </c>
      <c r="F8942" t="s">
        <v>11</v>
      </c>
      <c r="G8942" t="s">
        <v>6269</v>
      </c>
      <c r="H8942" s="12">
        <v>-1.05792340500439</v>
      </c>
      <c r="I8942" s="20">
        <v>-0.30020308777231902</v>
      </c>
      <c r="J8942" s="28">
        <v>0.76402224993846202</v>
      </c>
      <c r="K8942" s="29">
        <v>0.98289565623980701</v>
      </c>
    </row>
    <row r="8943" spans="1:11" x14ac:dyDescent="0.35">
      <c r="A8943" s="9" t="str">
        <f>HYPERLINK("http://www.ensembl.org/id/WBGene00044406", "WBGene00044406")</f>
        <v>WBGene00044406</v>
      </c>
      <c r="B8943" s="9" t="str">
        <f>HYPERLINK("http://www.ncbi.nlm.nih.gov/gene/3564852", "3564852")</f>
        <v>3564852</v>
      </c>
      <c r="C8943" s="9"/>
      <c r="D8943" t="str">
        <f>"F02A9.7"</f>
        <v>F02A9.7</v>
      </c>
      <c r="F8943" t="s">
        <v>11</v>
      </c>
      <c r="G8943" t="s">
        <v>25</v>
      </c>
      <c r="H8943" s="12">
        <v>1.21760669930596</v>
      </c>
      <c r="I8943" s="20">
        <v>0.56835187634815099</v>
      </c>
      <c r="J8943" s="28">
        <v>0.56979606041906194</v>
      </c>
      <c r="K8943" s="29">
        <v>0.98289565623980701</v>
      </c>
    </row>
    <row r="8944" spans="1:11" x14ac:dyDescent="0.35">
      <c r="A8944" s="9" t="str">
        <f>HYPERLINK("http://www.ensembl.org/id/WBGene00008516", "WBGene00008516")</f>
        <v>WBGene00008516</v>
      </c>
      <c r="B8944" s="9" t="str">
        <f>HYPERLINK("http://www.ncbi.nlm.nih.gov/gene/184076", "184076")</f>
        <v>184076</v>
      </c>
      <c r="C8944" s="9"/>
      <c r="D8944" t="str">
        <f>"F02C12.2"</f>
        <v>F02C12.2</v>
      </c>
      <c r="F8944" t="s">
        <v>11</v>
      </c>
      <c r="G8944" t="s">
        <v>489</v>
      </c>
      <c r="H8944" s="12">
        <v>2.0887480511315202</v>
      </c>
      <c r="I8944" s="20">
        <v>1.1753155217531699</v>
      </c>
      <c r="J8944" s="28">
        <v>0.23986850690752601</v>
      </c>
      <c r="K8944" s="29">
        <v>0.98289565623980701</v>
      </c>
    </row>
    <row r="8945" spans="1:11" x14ac:dyDescent="0.35">
      <c r="A8945" s="9" t="str">
        <f>HYPERLINK("http://www.ensembl.org/id/WBGene00008517", "WBGene00008517")</f>
        <v>WBGene00008517</v>
      </c>
      <c r="B8945" s="9" t="str">
        <f>HYPERLINK("http://www.ncbi.nlm.nih.gov/gene/181460", "181460")</f>
        <v>181460</v>
      </c>
      <c r="C8945" s="9"/>
      <c r="D8945" t="str">
        <f>"F02C12.3"</f>
        <v>F02C12.3</v>
      </c>
      <c r="F8945" t="s">
        <v>11</v>
      </c>
      <c r="H8945" s="12">
        <v>1.5972263163062199</v>
      </c>
      <c r="I8945" s="20">
        <v>0.72422282379702396</v>
      </c>
      <c r="J8945" s="28">
        <v>0.468928948576114</v>
      </c>
      <c r="K8945" s="29">
        <v>0.98289565623980701</v>
      </c>
    </row>
    <row r="8946" spans="1:11" x14ac:dyDescent="0.35">
      <c r="A8946" s="9" t="str">
        <f>HYPERLINK("http://www.ensembl.org/id/WBGene00201329", "WBGene00201329")</f>
        <v>WBGene00201329</v>
      </c>
      <c r="B8946" s="9"/>
      <c r="C8946" s="9"/>
      <c r="D8946" t="str">
        <f>"F02C12.9"</f>
        <v>F02C12.9</v>
      </c>
      <c r="F8946" t="s">
        <v>481</v>
      </c>
      <c r="H8946" s="12">
        <v>2.3893468495514898</v>
      </c>
      <c r="I8946" s="20">
        <v>0.25323547253672701</v>
      </c>
      <c r="J8946" s="28">
        <v>0.80008625651646104</v>
      </c>
      <c r="K8946" s="29">
        <v>0.98289565623980701</v>
      </c>
    </row>
    <row r="8947" spans="1:11" x14ac:dyDescent="0.35">
      <c r="A8947" s="9" t="str">
        <f>HYPERLINK("http://www.ensembl.org/id/WBGene00017172", "WBGene00017172")</f>
        <v>WBGene00017172</v>
      </c>
      <c r="B8947" s="9" t="str">
        <f>HYPERLINK("http://www.ncbi.nlm.nih.gov/gene/184073", "184073")</f>
        <v>184073</v>
      </c>
      <c r="C8947" s="9"/>
      <c r="D8947" t="str">
        <f>"F02C9.1"</f>
        <v>F02C9.1</v>
      </c>
      <c r="F8947" t="s">
        <v>11</v>
      </c>
      <c r="G8947" t="s">
        <v>25</v>
      </c>
      <c r="H8947" s="12">
        <v>-2.3838754719136599</v>
      </c>
      <c r="I8947" s="20">
        <v>-0.25807578497976902</v>
      </c>
      <c r="J8947" s="28">
        <v>0.79634841949468704</v>
      </c>
      <c r="K8947" s="29">
        <v>0.98289565623980701</v>
      </c>
    </row>
    <row r="8948" spans="1:11" x14ac:dyDescent="0.35">
      <c r="A8948" s="9" t="str">
        <f>HYPERLINK("http://www.ensembl.org/id/WBGene00008523", "WBGene00008523")</f>
        <v>WBGene00008523</v>
      </c>
      <c r="B8948" s="9" t="str">
        <f>HYPERLINK("http://www.ncbi.nlm.nih.gov/gene/184082", "184082")</f>
        <v>184082</v>
      </c>
      <c r="C8948" s="9"/>
      <c r="D8948" t="str">
        <f>"F02D10.2"</f>
        <v>F02D10.2</v>
      </c>
      <c r="F8948" t="s">
        <v>11</v>
      </c>
      <c r="H8948" s="12">
        <v>10.8131830636529</v>
      </c>
      <c r="I8948" s="20">
        <v>0.70982715185838596</v>
      </c>
      <c r="J8948" s="28">
        <v>0.477811329444844</v>
      </c>
      <c r="K8948" s="29">
        <v>0.98289565623980701</v>
      </c>
    </row>
    <row r="8949" spans="1:11" x14ac:dyDescent="0.35">
      <c r="A8949" s="9" t="str">
        <f>HYPERLINK("http://www.ensembl.org/id/WBGene00008526", "WBGene00008526")</f>
        <v>WBGene00008526</v>
      </c>
      <c r="B8949" s="9" t="str">
        <f>HYPERLINK("http://www.ncbi.nlm.nih.gov/gene/184085", "184085")</f>
        <v>184085</v>
      </c>
      <c r="C8949" s="9"/>
      <c r="D8949" t="str">
        <f>"F02D10.6"</f>
        <v>F02D10.6</v>
      </c>
      <c r="F8949" t="s">
        <v>11</v>
      </c>
      <c r="G8949" t="s">
        <v>25</v>
      </c>
      <c r="H8949" s="12">
        <v>-1.5628062395803299</v>
      </c>
      <c r="I8949" s="20">
        <v>-0.96822791013293796</v>
      </c>
      <c r="J8949" s="28">
        <v>0.33293055886515399</v>
      </c>
      <c r="K8949" s="29">
        <v>0.98289565623980701</v>
      </c>
    </row>
    <row r="8950" spans="1:11" x14ac:dyDescent="0.35">
      <c r="A8950" s="9" t="str">
        <f>HYPERLINK("http://www.ensembl.org/id/WBGene00008520", "WBGene00008520")</f>
        <v>WBGene00008520</v>
      </c>
      <c r="B8950" s="9" t="str">
        <f>HYPERLINK("http://www.ncbi.nlm.nih.gov/gene/184078", "184078")</f>
        <v>184078</v>
      </c>
      <c r="C8950" s="9"/>
      <c r="D8950" t="str">
        <f>"F02D8.1"</f>
        <v>F02D8.1</v>
      </c>
      <c r="F8950" t="s">
        <v>11</v>
      </c>
      <c r="H8950" s="12">
        <v>2.07858236141894</v>
      </c>
      <c r="I8950" s="20">
        <v>0.45550377214716797</v>
      </c>
      <c r="J8950" s="28">
        <v>0.64874685441809699</v>
      </c>
      <c r="K8950" s="29">
        <v>0.98289565623980701</v>
      </c>
    </row>
    <row r="8951" spans="1:11" x14ac:dyDescent="0.35">
      <c r="A8951" s="9" t="str">
        <f>HYPERLINK("http://www.ensembl.org/id/WBGene00206370", "WBGene00206370")</f>
        <v>WBGene00206370</v>
      </c>
      <c r="B8951" s="9" t="str">
        <f>HYPERLINK("http://www.ncbi.nlm.nih.gov/gene/13216740", "13216740")</f>
        <v>13216740</v>
      </c>
      <c r="C8951" s="9"/>
      <c r="D8951" t="str">
        <f>"F02D8.9"</f>
        <v>F02D8.9</v>
      </c>
      <c r="F8951" t="s">
        <v>11</v>
      </c>
      <c r="G8951" t="s">
        <v>25</v>
      </c>
      <c r="H8951" s="12">
        <v>1.9613723024009899</v>
      </c>
      <c r="I8951" s="20">
        <v>0.37039813019145301</v>
      </c>
      <c r="J8951" s="28">
        <v>0.71108586678740504</v>
      </c>
      <c r="K8951" s="29">
        <v>0.98289565623980701</v>
      </c>
    </row>
    <row r="8952" spans="1:11" x14ac:dyDescent="0.35">
      <c r="A8952" s="9" t="str">
        <f>HYPERLINK("http://www.ensembl.org/id/WBGene00017181", "WBGene00017181")</f>
        <v>WBGene00017181</v>
      </c>
      <c r="B8952" s="9" t="str">
        <f>HYPERLINK("http://www.ncbi.nlm.nih.gov/gene/184097", "184097")</f>
        <v>184097</v>
      </c>
      <c r="C8952" s="9"/>
      <c r="D8952" t="str">
        <f>"F02E11.3"</f>
        <v>F02E11.3</v>
      </c>
      <c r="F8952" t="s">
        <v>11</v>
      </c>
      <c r="H8952" s="12">
        <v>-1.5480372034758301</v>
      </c>
      <c r="I8952" s="20">
        <v>-0.43641890851994197</v>
      </c>
      <c r="J8952" s="28">
        <v>0.66253282253100299</v>
      </c>
      <c r="K8952" s="29">
        <v>0.98289565623980701</v>
      </c>
    </row>
    <row r="8953" spans="1:11" x14ac:dyDescent="0.35">
      <c r="A8953" s="9" t="str">
        <f>HYPERLINK("http://www.ensembl.org/id/WBGene00017182", "WBGene00017182")</f>
        <v>WBGene00017182</v>
      </c>
      <c r="B8953" s="9" t="str">
        <f>HYPERLINK("http://www.ncbi.nlm.nih.gov/gene/184098", "184098")</f>
        <v>184098</v>
      </c>
      <c r="C8953" s="9"/>
      <c r="D8953" t="str">
        <f>"F02E11.4"</f>
        <v>F02E11.4</v>
      </c>
      <c r="F8953" t="s">
        <v>11</v>
      </c>
      <c r="H8953" s="12">
        <v>2.1309374161820398</v>
      </c>
      <c r="I8953" s="20">
        <v>0.36593451108123298</v>
      </c>
      <c r="J8953" s="28">
        <v>0.71441394361051802</v>
      </c>
      <c r="K8953" s="29">
        <v>0.98289565623980701</v>
      </c>
    </row>
    <row r="8954" spans="1:11" x14ac:dyDescent="0.35">
      <c r="A8954" s="9" t="str">
        <f>HYPERLINK("http://www.ensembl.org/id/WBGene00195073", "WBGene00195073")</f>
        <v>WBGene00195073</v>
      </c>
      <c r="B8954" s="9" t="str">
        <f>HYPERLINK("http://www.ncbi.nlm.nih.gov/gene/13184261", "13184261")</f>
        <v>13184261</v>
      </c>
      <c r="C8954" s="9"/>
      <c r="D8954" t="str">
        <f>"F02E11.7"</f>
        <v>F02E11.7</v>
      </c>
      <c r="F8954" t="s">
        <v>11</v>
      </c>
      <c r="G8954" t="s">
        <v>25</v>
      </c>
      <c r="H8954" s="12">
        <v>1.46858503060435</v>
      </c>
      <c r="I8954" s="20">
        <v>1.04704185693631</v>
      </c>
      <c r="J8954" s="28">
        <v>0.29508027366154099</v>
      </c>
      <c r="K8954" s="29">
        <v>0.98289565623980701</v>
      </c>
    </row>
    <row r="8955" spans="1:11" x14ac:dyDescent="0.35">
      <c r="A8955" s="9" t="str">
        <f>HYPERLINK("http://www.ensembl.org/id/WBGene00022978", "WBGene00022978")</f>
        <v>WBGene00022978</v>
      </c>
      <c r="B8955" s="9"/>
      <c r="C8955" s="9"/>
      <c r="D8955" t="str">
        <f>"F02E11.t1"</f>
        <v>F02E11.t1</v>
      </c>
      <c r="F8955" t="s">
        <v>4208</v>
      </c>
      <c r="H8955" s="12">
        <v>-2.4991590031922399</v>
      </c>
      <c r="I8955" s="20">
        <v>-0.26577412737581302</v>
      </c>
      <c r="J8955" s="28">
        <v>0.79041317015736101</v>
      </c>
      <c r="K8955" s="29">
        <v>0.98289565623980701</v>
      </c>
    </row>
    <row r="8956" spans="1:11" x14ac:dyDescent="0.35">
      <c r="A8956" s="9" t="str">
        <f>HYPERLINK("http://www.ensembl.org/id/WBGene00202457", "WBGene00202457")</f>
        <v>WBGene00202457</v>
      </c>
      <c r="B8956" s="9"/>
      <c r="C8956" s="9"/>
      <c r="D8956" t="str">
        <f>"F02E8.12"</f>
        <v>F02E8.12</v>
      </c>
      <c r="F8956" t="s">
        <v>481</v>
      </c>
      <c r="H8956" s="12">
        <v>5.2322000618327396</v>
      </c>
      <c r="I8956" s="20">
        <v>0.486112489888328</v>
      </c>
      <c r="J8956" s="28">
        <v>0.62688741196182496</v>
      </c>
      <c r="K8956" s="29">
        <v>0.98289565623980701</v>
      </c>
    </row>
    <row r="8957" spans="1:11" x14ac:dyDescent="0.35">
      <c r="A8957" s="9" t="str">
        <f>HYPERLINK("http://www.ensembl.org/id/WBGene00198358", "WBGene00198358")</f>
        <v>WBGene00198358</v>
      </c>
      <c r="B8957" s="9"/>
      <c r="C8957" s="9"/>
      <c r="D8957" t="str">
        <f>"F02E8.8"</f>
        <v>F02E8.8</v>
      </c>
      <c r="F8957" t="s">
        <v>481</v>
      </c>
      <c r="H8957" s="12">
        <v>3.6645215954135</v>
      </c>
      <c r="I8957" s="20">
        <v>0.37967131826092498</v>
      </c>
      <c r="J8957" s="28">
        <v>0.70418941338960395</v>
      </c>
      <c r="K8957" s="29">
        <v>0.98289565623980701</v>
      </c>
    </row>
    <row r="8958" spans="1:11" x14ac:dyDescent="0.35">
      <c r="A8958" s="9" t="str">
        <f>HYPERLINK("http://www.ensembl.org/id/WBGene00008528", "WBGene00008528")</f>
        <v>WBGene00008528</v>
      </c>
      <c r="B8958" s="9" t="str">
        <f>HYPERLINK("http://www.ncbi.nlm.nih.gov/gene/184093", "184093")</f>
        <v>184093</v>
      </c>
      <c r="C8958" s="9"/>
      <c r="D8958" t="str">
        <f>"F02E9.1"</f>
        <v>F02E9.1</v>
      </c>
      <c r="F8958" t="s">
        <v>11</v>
      </c>
      <c r="G8958" t="s">
        <v>6879</v>
      </c>
      <c r="H8958" s="12">
        <v>-1.09393489184585</v>
      </c>
      <c r="I8958" s="20">
        <v>-0.40622903956454298</v>
      </c>
      <c r="J8958" s="28">
        <v>0.68457431879039898</v>
      </c>
      <c r="K8958" s="29">
        <v>0.98289565623980701</v>
      </c>
    </row>
    <row r="8959" spans="1:11" x14ac:dyDescent="0.35">
      <c r="A8959" s="9" t="str">
        <f>HYPERLINK("http://www.ensembl.org/id/WBGene00008530", "WBGene00008530")</f>
        <v>WBGene00008530</v>
      </c>
      <c r="B8959" s="9" t="str">
        <f>HYPERLINK("http://www.ncbi.nlm.nih.gov/gene/172629", "172629")</f>
        <v>172629</v>
      </c>
      <c r="C8959" s="9"/>
      <c r="D8959" t="str">
        <f>"F02E9.5"</f>
        <v>F02E9.5</v>
      </c>
      <c r="F8959" t="s">
        <v>11</v>
      </c>
      <c r="G8959" t="s">
        <v>8334</v>
      </c>
      <c r="H8959" s="12">
        <v>-1.1720626579464499</v>
      </c>
      <c r="I8959" s="20">
        <v>-0.85036571985982301</v>
      </c>
      <c r="J8959" s="28">
        <v>0.39512178866311098</v>
      </c>
      <c r="K8959" s="29">
        <v>0.98289565623980701</v>
      </c>
    </row>
    <row r="8960" spans="1:11" x14ac:dyDescent="0.35">
      <c r="A8960" s="9" t="str">
        <f>HYPERLINK("http://www.ensembl.org/id/WBGene00008531", "WBGene00008531")</f>
        <v>WBGene00008531</v>
      </c>
      <c r="B8960" s="9" t="str">
        <f>HYPERLINK("http://www.ncbi.nlm.nih.gov/gene/172627", "172627")</f>
        <v>172627</v>
      </c>
      <c r="C8960" s="9" t="str">
        <f>HYPERLINK("http://www.ncbi.nlm.nih.gov/gene/54", "54")</f>
        <v>54</v>
      </c>
      <c r="D8960" t="str">
        <f>"F02E9.7"</f>
        <v>F02E9.7</v>
      </c>
      <c r="F8960" t="s">
        <v>11</v>
      </c>
      <c r="G8960" t="s">
        <v>6787</v>
      </c>
      <c r="H8960" s="12">
        <v>-1.08891416132915</v>
      </c>
      <c r="I8960" s="20">
        <v>-0.41902636283257599</v>
      </c>
      <c r="J8960" s="28">
        <v>0.67519686566006898</v>
      </c>
      <c r="K8960" s="29">
        <v>0.98289565623980701</v>
      </c>
    </row>
    <row r="8961" spans="1:11" x14ac:dyDescent="0.35">
      <c r="A8961" s="9" t="str">
        <f>HYPERLINK("http://www.ensembl.org/id/WBGene00219878", "WBGene00219878")</f>
        <v>WBGene00219878</v>
      </c>
      <c r="B8961" s="9"/>
      <c r="C8961" s="9"/>
      <c r="D8961" t="str">
        <f>"F02G3.8"</f>
        <v>F02G3.8</v>
      </c>
      <c r="F8961" t="s">
        <v>481</v>
      </c>
      <c r="H8961" s="12">
        <v>2.3893468495514898</v>
      </c>
      <c r="I8961" s="20">
        <v>0.25323547253672701</v>
      </c>
      <c r="J8961" s="28">
        <v>0.80008625651646104</v>
      </c>
      <c r="K8961" s="29">
        <v>0.98289565623980701</v>
      </c>
    </row>
    <row r="8962" spans="1:11" x14ac:dyDescent="0.35">
      <c r="A8962" s="9" t="str">
        <f>HYPERLINK("http://www.ensembl.org/id/WBGene00008539", "WBGene00008539")</f>
        <v>WBGene00008539</v>
      </c>
      <c r="B8962" s="9" t="str">
        <f>HYPERLINK("http://www.ncbi.nlm.nih.gov/gene/184104", "184104")</f>
        <v>184104</v>
      </c>
      <c r="C8962" s="9"/>
      <c r="D8962" t="str">
        <f>"F02H6.6"</f>
        <v>F02H6.6</v>
      </c>
      <c r="F8962" t="s">
        <v>11</v>
      </c>
      <c r="H8962" s="12">
        <v>-1.8091713901452</v>
      </c>
      <c r="I8962" s="20">
        <v>-0.87709809809796901</v>
      </c>
      <c r="J8962" s="28">
        <v>0.380433357642743</v>
      </c>
      <c r="K8962" s="29">
        <v>0.98289565623980701</v>
      </c>
    </row>
    <row r="8963" spans="1:11" x14ac:dyDescent="0.35">
      <c r="A8963" s="9" t="str">
        <f>HYPERLINK("http://www.ensembl.org/id/WBGene00008545", "WBGene00008545")</f>
        <v>WBGene00008545</v>
      </c>
      <c r="B8963" s="9" t="str">
        <f>HYPERLINK("http://www.ncbi.nlm.nih.gov/gene/184110", "184110")</f>
        <v>184110</v>
      </c>
      <c r="C8963" s="9"/>
      <c r="D8963" t="str">
        <f>"F07A11.1"</f>
        <v>F07A11.1</v>
      </c>
      <c r="F8963" t="s">
        <v>11</v>
      </c>
      <c r="H8963" s="12">
        <v>-1.4274986614437</v>
      </c>
      <c r="I8963" s="20">
        <v>-0.62776181594893499</v>
      </c>
      <c r="J8963" s="28">
        <v>0.53015998353648697</v>
      </c>
      <c r="K8963" s="29">
        <v>0.98289565623980701</v>
      </c>
    </row>
    <row r="8964" spans="1:11" x14ac:dyDescent="0.35">
      <c r="A8964" s="9" t="str">
        <f>HYPERLINK("http://www.ensembl.org/id/WBGene00008548", "WBGene00008548")</f>
        <v>WBGene00008548</v>
      </c>
      <c r="B8964" s="9" t="str">
        <f>HYPERLINK("http://www.ncbi.nlm.nih.gov/gene/174781", "174781")</f>
        <v>174781</v>
      </c>
      <c r="C8964" s="9" t="str">
        <f>HYPERLINK("http://www.ncbi.nlm.nih.gov/gene/64080", "64080")</f>
        <v>64080</v>
      </c>
      <c r="D8964" t="str">
        <f>"F07A11.5"</f>
        <v>F07A11.5</v>
      </c>
      <c r="E8964" t="s">
        <v>9131</v>
      </c>
      <c r="F8964" t="s">
        <v>11</v>
      </c>
      <c r="G8964" t="s">
        <v>9132</v>
      </c>
      <c r="H8964" s="12">
        <v>-1.22300880688922</v>
      </c>
      <c r="I8964" s="20">
        <v>-0.97458934914943596</v>
      </c>
      <c r="J8964" s="28">
        <v>0.32976399893958103</v>
      </c>
      <c r="K8964" s="29">
        <v>0.98289565623980701</v>
      </c>
    </row>
    <row r="8965" spans="1:11" x14ac:dyDescent="0.35">
      <c r="A8965" s="9" t="str">
        <f>HYPERLINK("http://www.ensembl.org/id/WBGene00195441", "WBGene00195441")</f>
        <v>WBGene00195441</v>
      </c>
      <c r="B8965" s="9"/>
      <c r="C8965" s="9"/>
      <c r="D8965" t="str">
        <f>"F07A11.9"</f>
        <v>F07A11.9</v>
      </c>
      <c r="F8965" t="s">
        <v>481</v>
      </c>
      <c r="H8965" s="12">
        <v>2.3893468495514898</v>
      </c>
      <c r="I8965" s="20">
        <v>0.25323547253672701</v>
      </c>
      <c r="J8965" s="28">
        <v>0.80008625651646104</v>
      </c>
      <c r="K8965" s="29">
        <v>0.98289565623980701</v>
      </c>
    </row>
    <row r="8966" spans="1:11" x14ac:dyDescent="0.35">
      <c r="A8966" s="9" t="str">
        <f>HYPERLINK("http://www.ensembl.org/id/WBGene00008541", "WBGene00008541")</f>
        <v>WBGene00008541</v>
      </c>
      <c r="B8966" s="9" t="str">
        <f>HYPERLINK("http://www.ncbi.nlm.nih.gov/gene/172489", "172489")</f>
        <v>172489</v>
      </c>
      <c r="C8966" s="9"/>
      <c r="D8966" t="str">
        <f>"F07A5.2"</f>
        <v>F07A5.2</v>
      </c>
      <c r="F8966" t="s">
        <v>11</v>
      </c>
      <c r="H8966" s="12">
        <v>1.2894241255579</v>
      </c>
      <c r="I8966" s="20">
        <v>0.46589047912717002</v>
      </c>
      <c r="J8966" s="28">
        <v>0.64129389642930001</v>
      </c>
      <c r="K8966" s="29">
        <v>0.98289565623980701</v>
      </c>
    </row>
    <row r="8967" spans="1:11" x14ac:dyDescent="0.35">
      <c r="A8967" s="9" t="str">
        <f>HYPERLINK("http://www.ensembl.org/id/WBGene00008543", "WBGene00008543")</f>
        <v>WBGene00008543</v>
      </c>
      <c r="B8967" s="9" t="str">
        <f>HYPERLINK("http://www.ncbi.nlm.nih.gov/gene/172490", "172490")</f>
        <v>172490</v>
      </c>
      <c r="C8967" s="9"/>
      <c r="D8967" t="str">
        <f>"F07A5.4"</f>
        <v>F07A5.4</v>
      </c>
      <c r="F8967" t="s">
        <v>11</v>
      </c>
      <c r="H8967" s="12">
        <v>1.0961530679720799</v>
      </c>
      <c r="I8967" s="20">
        <v>0.34872273640573198</v>
      </c>
      <c r="J8967" s="28">
        <v>0.72729747334719297</v>
      </c>
      <c r="K8967" s="29">
        <v>0.98289565623980701</v>
      </c>
    </row>
    <row r="8968" spans="1:11" x14ac:dyDescent="0.35">
      <c r="A8968" s="9" t="str">
        <f>HYPERLINK("http://www.ensembl.org/id/WBGene00008550", "WBGene00008550")</f>
        <v>WBGene00008550</v>
      </c>
      <c r="B8968" s="9" t="str">
        <f>HYPERLINK("http://www.ncbi.nlm.nih.gov/gene/3565686", "3565686")</f>
        <v>3565686</v>
      </c>
      <c r="C8968" s="9"/>
      <c r="D8968" t="str">
        <f>"F07B10.4"</f>
        <v>F07B10.4</v>
      </c>
      <c r="F8968" t="s">
        <v>11</v>
      </c>
      <c r="G8968" t="s">
        <v>25</v>
      </c>
      <c r="H8968" s="12">
        <v>1.3830593927174</v>
      </c>
      <c r="I8968" s="20">
        <v>0.255819081300798</v>
      </c>
      <c r="J8968" s="28">
        <v>0.798090539310915</v>
      </c>
      <c r="K8968" s="29">
        <v>0.98289565623980701</v>
      </c>
    </row>
    <row r="8969" spans="1:11" x14ac:dyDescent="0.35">
      <c r="A8969" s="9" t="str">
        <f>HYPERLINK("http://www.ensembl.org/id/WBGene00077514", "WBGene00077514")</f>
        <v>WBGene00077514</v>
      </c>
      <c r="B8969" s="9" t="str">
        <f>HYPERLINK("http://www.ncbi.nlm.nih.gov/gene/6418715", "6418715")</f>
        <v>6418715</v>
      </c>
      <c r="C8969" s="9"/>
      <c r="D8969" t="str">
        <f>"F07B10.7"</f>
        <v>F07B10.7</v>
      </c>
      <c r="F8969" t="s">
        <v>11</v>
      </c>
      <c r="G8969" t="s">
        <v>25</v>
      </c>
      <c r="H8969" s="12">
        <v>4.6658751466477</v>
      </c>
      <c r="I8969" s="20">
        <v>0.61006514994220495</v>
      </c>
      <c r="J8969" s="28">
        <v>0.54181865118905304</v>
      </c>
      <c r="K8969" s="29">
        <v>0.98289565623980701</v>
      </c>
    </row>
    <row r="8970" spans="1:11" x14ac:dyDescent="0.35">
      <c r="A8970" s="9" t="str">
        <f>HYPERLINK("http://www.ensembl.org/id/WBGene00017190", "WBGene00017190")</f>
        <v>WBGene00017190</v>
      </c>
      <c r="B8970" s="9" t="str">
        <f>HYPERLINK("http://www.ncbi.nlm.nih.gov/gene/184118", "184118")</f>
        <v>184118</v>
      </c>
      <c r="C8970" s="9" t="str">
        <f>HYPERLINK("http://www.ncbi.nlm.nih.gov/gene/23077", "23077")</f>
        <v>23077</v>
      </c>
      <c r="D8970" t="str">
        <f>"F07B7.12"</f>
        <v>F07B7.12</v>
      </c>
      <c r="F8970" t="s">
        <v>11</v>
      </c>
      <c r="G8970" t="s">
        <v>228</v>
      </c>
      <c r="H8970" s="12">
        <v>1.6498744707370001</v>
      </c>
      <c r="I8970" s="20">
        <v>0.73124071291201598</v>
      </c>
      <c r="J8970" s="28">
        <v>0.46463213639023898</v>
      </c>
      <c r="K8970" s="29">
        <v>0.98289565623980701</v>
      </c>
    </row>
    <row r="8971" spans="1:11" x14ac:dyDescent="0.35">
      <c r="A8971" s="9" t="str">
        <f>HYPERLINK("http://www.ensembl.org/id/WBGene00304202", "WBGene00304202")</f>
        <v>WBGene00304202</v>
      </c>
      <c r="B8971" s="9"/>
      <c r="C8971" s="9"/>
      <c r="D8971" t="str">
        <f>"F07C3.17"</f>
        <v>F07C3.17</v>
      </c>
      <c r="F8971" t="s">
        <v>80</v>
      </c>
      <c r="H8971" s="12">
        <v>-3.0211510347772701</v>
      </c>
      <c r="I8971" s="20">
        <v>-0.63411539322073696</v>
      </c>
      <c r="J8971" s="28">
        <v>0.52600551762981296</v>
      </c>
      <c r="K8971" s="29">
        <v>0.98289565623980701</v>
      </c>
    </row>
    <row r="8972" spans="1:11" x14ac:dyDescent="0.35">
      <c r="A8972" s="9" t="str">
        <f>HYPERLINK("http://www.ensembl.org/id/WBGene00017197", "WBGene00017197")</f>
        <v>WBGene00017197</v>
      </c>
      <c r="B8972" s="9" t="str">
        <f>HYPERLINK("http://www.ncbi.nlm.nih.gov/gene/184127", "184127")</f>
        <v>184127</v>
      </c>
      <c r="C8972" s="9"/>
      <c r="D8972" t="str">
        <f>"F07C3.9"</f>
        <v>F07C3.9</v>
      </c>
      <c r="F8972" t="s">
        <v>11</v>
      </c>
      <c r="G8972" t="s">
        <v>25</v>
      </c>
      <c r="H8972" s="12">
        <v>1.37640114558537</v>
      </c>
      <c r="I8972" s="20">
        <v>1.1581289920258</v>
      </c>
      <c r="J8972" s="28">
        <v>0.24681140029575999</v>
      </c>
      <c r="K8972" s="29">
        <v>0.98289565623980701</v>
      </c>
    </row>
    <row r="8973" spans="1:11" x14ac:dyDescent="0.35">
      <c r="A8973" s="9" t="str">
        <f>HYPERLINK("http://www.ensembl.org/id/WBGene00017204", "WBGene00017204")</f>
        <v>WBGene00017204</v>
      </c>
      <c r="B8973" s="9" t="str">
        <f>HYPERLINK("http://www.ncbi.nlm.nih.gov/gene/184134", "184134")</f>
        <v>184134</v>
      </c>
      <c r="C8973" s="9"/>
      <c r="D8973" t="str">
        <f>"F07C4.11"</f>
        <v>F07C4.11</v>
      </c>
      <c r="F8973" t="s">
        <v>11</v>
      </c>
      <c r="H8973" s="12">
        <v>-2.2747253724340402</v>
      </c>
      <c r="I8973" s="20">
        <v>-0.31719583161315601</v>
      </c>
      <c r="J8973" s="28">
        <v>0.75109501263425704</v>
      </c>
      <c r="K8973" s="29">
        <v>0.98289565623980701</v>
      </c>
    </row>
    <row r="8974" spans="1:11" x14ac:dyDescent="0.35">
      <c r="A8974" s="9" t="str">
        <f>HYPERLINK("http://www.ensembl.org/id/WBGene00017205", "WBGene00017205")</f>
        <v>WBGene00017205</v>
      </c>
      <c r="B8974" s="9" t="str">
        <f>HYPERLINK("http://www.ncbi.nlm.nih.gov/gene/179147", "179147")</f>
        <v>179147</v>
      </c>
      <c r="C8974" s="9"/>
      <c r="D8974" t="str">
        <f>"F07C4.12"</f>
        <v>F07C4.12</v>
      </c>
      <c r="E8974" t="s">
        <v>383</v>
      </c>
      <c r="F8974" t="s">
        <v>11</v>
      </c>
      <c r="H8974" s="12">
        <v>-3.4968801714060702</v>
      </c>
      <c r="I8974" s="20">
        <v>-0.98205465284055005</v>
      </c>
      <c r="J8974" s="28">
        <v>0.32607292413308903</v>
      </c>
      <c r="K8974" s="29">
        <v>0.98289565623980701</v>
      </c>
    </row>
    <row r="8975" spans="1:11" x14ac:dyDescent="0.35">
      <c r="A8975" s="9" t="str">
        <f>HYPERLINK("http://www.ensembl.org/id/WBGene00008555", "WBGene00008555")</f>
        <v>WBGene00008555</v>
      </c>
      <c r="B8975" s="9" t="str">
        <f>HYPERLINK("http://www.ncbi.nlm.nih.gov/gene/178235", "178235")</f>
        <v>178235</v>
      </c>
      <c r="C8975" s="9"/>
      <c r="D8975" t="str">
        <f>"F07C6.4"</f>
        <v>F07C6.4</v>
      </c>
      <c r="F8975" t="s">
        <v>11</v>
      </c>
      <c r="G8975" t="s">
        <v>6182</v>
      </c>
      <c r="H8975" s="12">
        <v>-1.0517928372982399</v>
      </c>
      <c r="I8975" s="20">
        <v>-0.278041799160479</v>
      </c>
      <c r="J8975" s="28">
        <v>0.78098027219799304</v>
      </c>
      <c r="K8975" s="29">
        <v>0.98289565623980701</v>
      </c>
    </row>
    <row r="8976" spans="1:11" x14ac:dyDescent="0.35">
      <c r="A8976" s="9" t="str">
        <f>HYPERLINK("http://www.ensembl.org/id/WBGene00045067", "WBGene00045067")</f>
        <v>WBGene00045067</v>
      </c>
      <c r="B8976" s="9" t="str">
        <f>HYPERLINK("http://www.ncbi.nlm.nih.gov/gene/4927049", "4927049")</f>
        <v>4927049</v>
      </c>
      <c r="C8976" s="9"/>
      <c r="D8976" t="str">
        <f>"F07C6.6"</f>
        <v>F07C6.6</v>
      </c>
      <c r="F8976" t="s">
        <v>11</v>
      </c>
      <c r="G8976" t="s">
        <v>25</v>
      </c>
      <c r="H8976" s="12">
        <v>-1.72294527310317</v>
      </c>
      <c r="I8976" s="20">
        <v>-0.690291249780005</v>
      </c>
      <c r="J8976" s="28">
        <v>0.49001104945186402</v>
      </c>
      <c r="K8976" s="29">
        <v>0.98289565623980701</v>
      </c>
    </row>
    <row r="8977" spans="1:11" x14ac:dyDescent="0.35">
      <c r="A8977" s="9" t="str">
        <f>HYPERLINK("http://www.ensembl.org/id/WBGene00008556", "WBGene00008556")</f>
        <v>WBGene00008556</v>
      </c>
      <c r="B8977" s="9" t="str">
        <f>HYPERLINK("http://www.ncbi.nlm.nih.gov/gene/184140", "184140")</f>
        <v>184140</v>
      </c>
      <c r="C8977" s="9"/>
      <c r="D8977" t="str">
        <f>"F07D3.3"</f>
        <v>F07D3.3</v>
      </c>
      <c r="F8977" t="s">
        <v>11</v>
      </c>
      <c r="G8977" t="s">
        <v>91</v>
      </c>
      <c r="H8977" s="12">
        <v>-2.4772140472330402</v>
      </c>
      <c r="I8977" s="20">
        <v>-0.26891282500069902</v>
      </c>
      <c r="J8977" s="28">
        <v>0.78799676746418601</v>
      </c>
      <c r="K8977" s="29">
        <v>0.98289565623980701</v>
      </c>
    </row>
    <row r="8978" spans="1:11" x14ac:dyDescent="0.35">
      <c r="A8978" s="9" t="str">
        <f>HYPERLINK("http://www.ensembl.org/id/WBGene00219315", "WBGene00219315")</f>
        <v>WBGene00219315</v>
      </c>
      <c r="B8978" s="9" t="str">
        <f>HYPERLINK("http://www.ncbi.nlm.nih.gov/gene/13183846", "13183846")</f>
        <v>13183846</v>
      </c>
      <c r="C8978" s="9"/>
      <c r="D8978" t="str">
        <f>"F07E5.12"</f>
        <v>F07E5.12</v>
      </c>
      <c r="F8978" t="s">
        <v>11</v>
      </c>
      <c r="H8978" s="12">
        <v>3.6975798015445598</v>
      </c>
      <c r="I8978" s="20">
        <v>1.0084059650973001</v>
      </c>
      <c r="J8978" s="28">
        <v>0.31325961044384498</v>
      </c>
      <c r="K8978" s="29">
        <v>0.98289565623980701</v>
      </c>
    </row>
    <row r="8979" spans="1:11" x14ac:dyDescent="0.35">
      <c r="A8979" s="9" t="str">
        <f>HYPERLINK("http://www.ensembl.org/id/WBGene00304173", "WBGene00304173")</f>
        <v>WBGene00304173</v>
      </c>
      <c r="B8979" s="9"/>
      <c r="C8979" s="9"/>
      <c r="D8979" t="str">
        <f>"F07E5.13"</f>
        <v>F07E5.13</v>
      </c>
      <c r="F8979" t="s">
        <v>11</v>
      </c>
      <c r="G8979" t="s">
        <v>54</v>
      </c>
      <c r="H8979" s="12">
        <v>1.4011111426796501</v>
      </c>
      <c r="I8979" s="20">
        <v>0.585478763485762</v>
      </c>
      <c r="J8979" s="28">
        <v>0.55822584192120905</v>
      </c>
      <c r="K8979" s="29">
        <v>0.98289565623980701</v>
      </c>
    </row>
    <row r="8980" spans="1:11" x14ac:dyDescent="0.35">
      <c r="A8980" s="9" t="str">
        <f>HYPERLINK("http://www.ensembl.org/id/WBGene00017209", "WBGene00017209")</f>
        <v>WBGene00017209</v>
      </c>
      <c r="B8980" s="9" t="str">
        <f>HYPERLINK("http://www.ncbi.nlm.nih.gov/gene/184142", "184142")</f>
        <v>184142</v>
      </c>
      <c r="C8980" s="9"/>
      <c r="D8980" t="str">
        <f>"F07E5.4"</f>
        <v>F07E5.4</v>
      </c>
      <c r="F8980" t="s">
        <v>11</v>
      </c>
      <c r="H8980" s="12">
        <v>2.3893468495514898</v>
      </c>
      <c r="I8980" s="20">
        <v>0.25323547253672701</v>
      </c>
      <c r="J8980" s="28">
        <v>0.80008625651646104</v>
      </c>
      <c r="K8980" s="29">
        <v>0.98289565623980701</v>
      </c>
    </row>
    <row r="8981" spans="1:11" x14ac:dyDescent="0.35">
      <c r="A8981" s="9" t="str">
        <f>HYPERLINK("http://www.ensembl.org/id/WBGene00017212", "WBGene00017212")</f>
        <v>WBGene00017212</v>
      </c>
      <c r="B8981" s="9" t="str">
        <f>HYPERLINK("http://www.ncbi.nlm.nih.gov/gene/184144", "184144")</f>
        <v>184144</v>
      </c>
      <c r="C8981" s="9"/>
      <c r="D8981" t="str">
        <f>"F07E5.7"</f>
        <v>F07E5.7</v>
      </c>
      <c r="F8981" t="s">
        <v>11</v>
      </c>
      <c r="H8981" s="12">
        <v>2.3893468495514898</v>
      </c>
      <c r="I8981" s="20">
        <v>0.25323547253672701</v>
      </c>
      <c r="J8981" s="28">
        <v>0.80008625651646104</v>
      </c>
      <c r="K8981" s="29">
        <v>0.98289565623980701</v>
      </c>
    </row>
    <row r="8982" spans="1:11" x14ac:dyDescent="0.35">
      <c r="A8982" s="9" t="str">
        <f>HYPERLINK("http://www.ensembl.org/id/WBGene00017213", "WBGene00017213")</f>
        <v>WBGene00017213</v>
      </c>
      <c r="B8982" s="9" t="str">
        <f>HYPERLINK("http://www.ncbi.nlm.nih.gov/gene/184145", "184145")</f>
        <v>184145</v>
      </c>
      <c r="C8982" s="9"/>
      <c r="D8982" t="str">
        <f>"F07E5.8"</f>
        <v>F07E5.8</v>
      </c>
      <c r="F8982" t="s">
        <v>11</v>
      </c>
      <c r="G8982" t="s">
        <v>25</v>
      </c>
      <c r="H8982" s="12">
        <v>-3.09447293197525</v>
      </c>
      <c r="I8982" s="20">
        <v>-0.45065767769930198</v>
      </c>
      <c r="J8982" s="28">
        <v>0.652236289690723</v>
      </c>
      <c r="K8982" s="29">
        <v>0.98289565623980701</v>
      </c>
    </row>
    <row r="8983" spans="1:11" x14ac:dyDescent="0.35">
      <c r="A8983" s="9" t="str">
        <f>HYPERLINK("http://www.ensembl.org/id/WBGene00017214", "WBGene00017214")</f>
        <v>WBGene00017214</v>
      </c>
      <c r="B8983" s="9" t="str">
        <f>HYPERLINK("http://www.ncbi.nlm.nih.gov/gene/184146", "184146")</f>
        <v>184146</v>
      </c>
      <c r="C8983" s="9"/>
      <c r="D8983" t="str">
        <f>"F07E5.9"</f>
        <v>F07E5.9</v>
      </c>
      <c r="F8983" t="s">
        <v>11</v>
      </c>
      <c r="H8983" s="12">
        <v>-5.0952189085392501</v>
      </c>
      <c r="I8983" s="20">
        <v>-0.72165538921031003</v>
      </c>
      <c r="J8983" s="28">
        <v>0.47050637587086003</v>
      </c>
      <c r="K8983" s="29">
        <v>0.98289565623980701</v>
      </c>
    </row>
    <row r="8984" spans="1:11" x14ac:dyDescent="0.35">
      <c r="A8984" s="9" t="str">
        <f>HYPERLINK("http://www.ensembl.org/id/WBGene00017216", "WBGene00017216")</f>
        <v>WBGene00017216</v>
      </c>
      <c r="B8984" s="9" t="str">
        <f>HYPERLINK("http://www.ncbi.nlm.nih.gov/gene/184147", "184147")</f>
        <v>184147</v>
      </c>
      <c r="C8984" s="9"/>
      <c r="D8984" t="str">
        <f>"F07F6.2"</f>
        <v>F07F6.2</v>
      </c>
      <c r="F8984" t="s">
        <v>11</v>
      </c>
      <c r="G8984" t="s">
        <v>25</v>
      </c>
      <c r="H8984" s="12">
        <v>1.3686477822816201</v>
      </c>
      <c r="I8984" s="20">
        <v>0.50093263631178497</v>
      </c>
      <c r="J8984" s="28">
        <v>0.616418532822679</v>
      </c>
      <c r="K8984" s="29">
        <v>0.98289565623980701</v>
      </c>
    </row>
    <row r="8985" spans="1:11" x14ac:dyDescent="0.35">
      <c r="A8985" s="9" t="str">
        <f>HYPERLINK("http://www.ensembl.org/id/WBGene00017217", "WBGene00017217")</f>
        <v>WBGene00017217</v>
      </c>
      <c r="B8985" s="9" t="str">
        <f>HYPERLINK("http://www.ncbi.nlm.nih.gov/gene/173927", "173927")</f>
        <v>173927</v>
      </c>
      <c r="C8985" s="9" t="str">
        <f>HYPERLINK("http://www.ncbi.nlm.nih.gov/gene/84364", "84364")</f>
        <v>84364</v>
      </c>
      <c r="D8985" t="str">
        <f>"F07F6.4"</f>
        <v>F07F6.4</v>
      </c>
      <c r="F8985" t="s">
        <v>11</v>
      </c>
      <c r="G8985" t="s">
        <v>6650</v>
      </c>
      <c r="H8985" s="12">
        <v>-1.0828435669177601</v>
      </c>
      <c r="I8985" s="20">
        <v>-0.42382148782116502</v>
      </c>
      <c r="J8985" s="28">
        <v>0.67169600594408396</v>
      </c>
      <c r="K8985" s="29">
        <v>0.98289565623980701</v>
      </c>
    </row>
    <row r="8986" spans="1:11" x14ac:dyDescent="0.35">
      <c r="A8986" s="9" t="str">
        <f>HYPERLINK("http://www.ensembl.org/id/WBGene00017220", "WBGene00017220")</f>
        <v>WBGene00017220</v>
      </c>
      <c r="B8986" s="9" t="str">
        <f>HYPERLINK("http://www.ncbi.nlm.nih.gov/gene/173926", "173926")</f>
        <v>173926</v>
      </c>
      <c r="C8986" s="9"/>
      <c r="D8986" t="str">
        <f>"F07F6.8"</f>
        <v>F07F6.8</v>
      </c>
      <c r="F8986" t="s">
        <v>11</v>
      </c>
      <c r="G8986" t="s">
        <v>6361</v>
      </c>
      <c r="H8986" s="12">
        <v>-1.0651777011819501</v>
      </c>
      <c r="I8986" s="20">
        <v>-0.34043218773267497</v>
      </c>
      <c r="J8986" s="28">
        <v>0.73353108236528897</v>
      </c>
      <c r="K8986" s="29">
        <v>0.98289565623980701</v>
      </c>
    </row>
    <row r="8987" spans="1:11" x14ac:dyDescent="0.35">
      <c r="A8987" s="9" t="str">
        <f>HYPERLINK("http://www.ensembl.org/id/WBGene00017228", "WBGene00017228")</f>
        <v>WBGene00017228</v>
      </c>
      <c r="B8987" s="9" t="str">
        <f>HYPERLINK("http://www.ncbi.nlm.nih.gov/gene/184156", "184156")</f>
        <v>184156</v>
      </c>
      <c r="C8987" s="9"/>
      <c r="D8987" t="str">
        <f>"F07G11.1"</f>
        <v>F07G11.1</v>
      </c>
      <c r="F8987" t="s">
        <v>11</v>
      </c>
      <c r="G8987" t="s">
        <v>25</v>
      </c>
      <c r="H8987" s="12">
        <v>18.675346917252099</v>
      </c>
      <c r="I8987" s="20">
        <v>1.0483735932338201</v>
      </c>
      <c r="J8987" s="28">
        <v>0.294466515011581</v>
      </c>
      <c r="K8987" s="29">
        <v>0.98289565623980701</v>
      </c>
    </row>
    <row r="8988" spans="1:11" x14ac:dyDescent="0.35">
      <c r="A8988" s="9" t="str">
        <f>HYPERLINK("http://www.ensembl.org/id/WBGene00017229", "WBGene00017229")</f>
        <v>WBGene00017229</v>
      </c>
      <c r="B8988" s="9" t="str">
        <f>HYPERLINK("http://www.ncbi.nlm.nih.gov/gene/184157", "184157")</f>
        <v>184157</v>
      </c>
      <c r="C8988" s="9"/>
      <c r="D8988" t="str">
        <f>"F07G11.2"</f>
        <v>F07G11.2</v>
      </c>
      <c r="F8988" t="s">
        <v>11</v>
      </c>
      <c r="H8988" s="12">
        <v>5.4058944669092801</v>
      </c>
      <c r="I8988" s="20">
        <v>0.49762513753689303</v>
      </c>
      <c r="J8988" s="28">
        <v>0.61874828254921799</v>
      </c>
      <c r="K8988" s="29">
        <v>0.98289565623980701</v>
      </c>
    </row>
    <row r="8989" spans="1:11" x14ac:dyDescent="0.35">
      <c r="A8989" s="9" t="str">
        <f>HYPERLINK("http://www.ensembl.org/id/WBGene00017230", "WBGene00017230")</f>
        <v>WBGene00017230</v>
      </c>
      <c r="B8989" s="9" t="str">
        <f>HYPERLINK("http://www.ncbi.nlm.nih.gov/gene/184158", "184158")</f>
        <v>184158</v>
      </c>
      <c r="C8989" s="9"/>
      <c r="D8989" t="str">
        <f>"F07G11.3"</f>
        <v>F07G11.3</v>
      </c>
      <c r="F8989" t="s">
        <v>11</v>
      </c>
      <c r="G8989" t="s">
        <v>1686</v>
      </c>
      <c r="H8989" s="12">
        <v>6.2514608453248997</v>
      </c>
      <c r="I8989" s="20">
        <v>0.54591286118210802</v>
      </c>
      <c r="J8989" s="28">
        <v>0.58512583723197797</v>
      </c>
      <c r="K8989" s="29">
        <v>0.98289565623980701</v>
      </c>
    </row>
    <row r="8990" spans="1:11" x14ac:dyDescent="0.35">
      <c r="A8990" s="9" t="str">
        <f>HYPERLINK("http://www.ensembl.org/id/WBGene00045271", "WBGene00045271")</f>
        <v>WBGene00045271</v>
      </c>
      <c r="B8990" s="9" t="str">
        <f>HYPERLINK("http://www.ncbi.nlm.nih.gov/gene/6418842", "6418842")</f>
        <v>6418842</v>
      </c>
      <c r="C8990" s="9"/>
      <c r="D8990" t="str">
        <f>"F07G6.10"</f>
        <v>F07G6.10</v>
      </c>
      <c r="F8990" t="s">
        <v>11</v>
      </c>
      <c r="H8990" s="12">
        <v>-1.0893158348354599</v>
      </c>
      <c r="I8990" s="20">
        <v>-0.356287264337663</v>
      </c>
      <c r="J8990" s="28">
        <v>0.72162544597294997</v>
      </c>
      <c r="K8990" s="29">
        <v>0.98289565623980701</v>
      </c>
    </row>
    <row r="8991" spans="1:11" x14ac:dyDescent="0.35">
      <c r="A8991" s="9" t="str">
        <f>HYPERLINK("http://www.ensembl.org/id/WBGene00017224", "WBGene00017224")</f>
        <v>WBGene00017224</v>
      </c>
      <c r="B8991" s="9" t="str">
        <f>HYPERLINK("http://www.ncbi.nlm.nih.gov/gene/184152", "184152")</f>
        <v>184152</v>
      </c>
      <c r="C8991" s="9"/>
      <c r="D8991" t="str">
        <f>"F07G6.5"</f>
        <v>F07G6.5</v>
      </c>
      <c r="F8991" t="s">
        <v>11</v>
      </c>
      <c r="H8991" s="12">
        <v>5.4058944669092801</v>
      </c>
      <c r="I8991" s="20">
        <v>0.49762513753689303</v>
      </c>
      <c r="J8991" s="28">
        <v>0.61874828254921799</v>
      </c>
      <c r="K8991" s="29">
        <v>0.98289565623980701</v>
      </c>
    </row>
    <row r="8992" spans="1:11" x14ac:dyDescent="0.35">
      <c r="A8992" s="9" t="str">
        <f>HYPERLINK("http://www.ensembl.org/id/WBGene00017227", "WBGene00017227")</f>
        <v>WBGene00017227</v>
      </c>
      <c r="B8992" s="9" t="str">
        <f>HYPERLINK("http://www.ncbi.nlm.nih.gov/gene/184155", "184155")</f>
        <v>184155</v>
      </c>
      <c r="C8992" s="9"/>
      <c r="D8992" t="str">
        <f>"F07G6.8"</f>
        <v>F07G6.8</v>
      </c>
      <c r="F8992" t="s">
        <v>11</v>
      </c>
      <c r="H8992" s="12">
        <v>-2.4200267424717801</v>
      </c>
      <c r="I8992" s="20">
        <v>-0.48533504267141198</v>
      </c>
      <c r="J8992" s="28">
        <v>0.62743870174494698</v>
      </c>
      <c r="K8992" s="29">
        <v>0.98289565623980701</v>
      </c>
    </row>
    <row r="8993" spans="1:11" x14ac:dyDescent="0.35">
      <c r="A8993" s="9" t="str">
        <f>HYPERLINK("http://www.ensembl.org/id/WBGene00014307", "WBGene00014307")</f>
        <v>WBGene00014307</v>
      </c>
      <c r="B8993" s="9"/>
      <c r="C8993" s="9"/>
      <c r="D8993" t="str">
        <f>"F07H5.3"</f>
        <v>F07H5.3</v>
      </c>
      <c r="F8993" t="s">
        <v>80</v>
      </c>
      <c r="H8993" s="12">
        <v>-1.08449815156039</v>
      </c>
      <c r="I8993" s="20">
        <v>-0.41979590732786698</v>
      </c>
      <c r="J8993" s="28">
        <v>0.67463455495554403</v>
      </c>
      <c r="K8993" s="29">
        <v>0.98289565623980701</v>
      </c>
    </row>
    <row r="8994" spans="1:11" x14ac:dyDescent="0.35">
      <c r="A8994" s="9" t="str">
        <f>HYPERLINK("http://www.ensembl.org/id/WBGene00014308", "WBGene00014308")</f>
        <v>WBGene00014308</v>
      </c>
      <c r="B8994" s="9"/>
      <c r="C8994" s="9"/>
      <c r="D8994" t="str">
        <f>"F07H5.4"</f>
        <v>F07H5.4</v>
      </c>
      <c r="F8994" t="s">
        <v>80</v>
      </c>
      <c r="H8994" s="12">
        <v>1.2211123087322799</v>
      </c>
      <c r="I8994" s="20">
        <v>1.0692846374934699</v>
      </c>
      <c r="J8994" s="28">
        <v>0.28494143082976803</v>
      </c>
      <c r="K8994" s="29">
        <v>0.98289565623980701</v>
      </c>
    </row>
    <row r="8995" spans="1:11" x14ac:dyDescent="0.35">
      <c r="A8995" s="9" t="str">
        <f>HYPERLINK("http://www.ensembl.org/id/WBGene00014309", "WBGene00014309")</f>
        <v>WBGene00014309</v>
      </c>
      <c r="B8995" s="9"/>
      <c r="C8995" s="9"/>
      <c r="D8995" t="str">
        <f>"F07H5.5"</f>
        <v>F07H5.5</v>
      </c>
      <c r="F8995" t="s">
        <v>80</v>
      </c>
      <c r="H8995" s="12">
        <v>-1.1445460724888601</v>
      </c>
      <c r="I8995" s="20">
        <v>-0.75532781930774495</v>
      </c>
      <c r="J8995" s="28">
        <v>0.45005231069594398</v>
      </c>
      <c r="K8995" s="29">
        <v>0.98289565623980701</v>
      </c>
    </row>
    <row r="8996" spans="1:11" x14ac:dyDescent="0.35">
      <c r="A8996" s="9" t="str">
        <f>HYPERLINK("http://www.ensembl.org/id/WBGene00008559", "WBGene00008559")</f>
        <v>WBGene00008559</v>
      </c>
      <c r="B8996" s="9" t="str">
        <f>HYPERLINK("http://www.ncbi.nlm.nih.gov/gene/174407", "174407")</f>
        <v>174407</v>
      </c>
      <c r="C8996" s="9"/>
      <c r="D8996" t="str">
        <f>"F07H5.8"</f>
        <v>F07H5.8</v>
      </c>
      <c r="F8996" t="s">
        <v>11</v>
      </c>
      <c r="H8996" s="12">
        <v>1.3806779314655999</v>
      </c>
      <c r="I8996" s="20">
        <v>0.66590508713330598</v>
      </c>
      <c r="J8996" s="28">
        <v>0.50547176871427402</v>
      </c>
      <c r="K8996" s="29">
        <v>0.98289565623980701</v>
      </c>
    </row>
    <row r="8997" spans="1:11" x14ac:dyDescent="0.35">
      <c r="A8997" s="9" t="str">
        <f>HYPERLINK("http://www.ensembl.org/id/WBGene00219881", "WBGene00219881")</f>
        <v>WBGene00219881</v>
      </c>
      <c r="B8997" s="9"/>
      <c r="C8997" s="9"/>
      <c r="D8997" t="str">
        <f>"F08B1.8"</f>
        <v>F08B1.8</v>
      </c>
      <c r="F8997" t="s">
        <v>481</v>
      </c>
      <c r="H8997" s="12">
        <v>1.67196801442218</v>
      </c>
      <c r="I8997" s="20">
        <v>0.53457451492702401</v>
      </c>
      <c r="J8997" s="28">
        <v>0.59294411024389304</v>
      </c>
      <c r="K8997" s="29">
        <v>0.98289565623980701</v>
      </c>
    </row>
    <row r="8998" spans="1:11" x14ac:dyDescent="0.35">
      <c r="A8998" s="9" t="str">
        <f>HYPERLINK("http://www.ensembl.org/id/WBGene00008572", "WBGene00008572")</f>
        <v>WBGene00008572</v>
      </c>
      <c r="B8998" s="9" t="str">
        <f>HYPERLINK("http://www.ncbi.nlm.nih.gov/gene/181333", "181333")</f>
        <v>181333</v>
      </c>
      <c r="C8998" s="9"/>
      <c r="D8998" t="str">
        <f>"F08B12.4"</f>
        <v>F08B12.4</v>
      </c>
      <c r="F8998" t="s">
        <v>11</v>
      </c>
      <c r="G8998" t="s">
        <v>228</v>
      </c>
      <c r="H8998" s="12">
        <v>-1.2407616452304899</v>
      </c>
      <c r="I8998" s="20">
        <v>-1.0789971781841301</v>
      </c>
      <c r="J8998" s="28">
        <v>0.280588985586604</v>
      </c>
      <c r="K8998" s="29">
        <v>0.98289565623980701</v>
      </c>
    </row>
    <row r="8999" spans="1:11" x14ac:dyDescent="0.35">
      <c r="A8999" s="9" t="str">
        <f>HYPERLINK("http://www.ensembl.org/id/WBGene00197422", "WBGene00197422")</f>
        <v>WBGene00197422</v>
      </c>
      <c r="B8999" s="9"/>
      <c r="C8999" s="9"/>
      <c r="D8999" t="str">
        <f>"F08B12.7"</f>
        <v>F08B12.7</v>
      </c>
      <c r="F8999" t="s">
        <v>481</v>
      </c>
      <c r="H8999" s="12">
        <v>2.4578120077400301</v>
      </c>
      <c r="I8999" s="20">
        <v>0.26093350314551</v>
      </c>
      <c r="J8999" s="28">
        <v>0.79414378780213601</v>
      </c>
      <c r="K8999" s="29">
        <v>0.98289565623980701</v>
      </c>
    </row>
    <row r="9000" spans="1:11" x14ac:dyDescent="0.35">
      <c r="A9000" s="9" t="str">
        <f>HYPERLINK("http://www.ensembl.org/id/WBGene00017235", "WBGene00017235")</f>
        <v>WBGene00017235</v>
      </c>
      <c r="B9000" s="9"/>
      <c r="C9000" s="9"/>
      <c r="D9000" t="str">
        <f>"F08B4.3"</f>
        <v>F08B4.3</v>
      </c>
      <c r="F9000" t="s">
        <v>80</v>
      </c>
      <c r="H9000" s="12">
        <v>-1.1898506925722701</v>
      </c>
      <c r="I9000" s="20">
        <v>-0.369908428109466</v>
      </c>
      <c r="J9000" s="28">
        <v>0.71145072146252997</v>
      </c>
      <c r="K9000" s="29">
        <v>0.98289565623980701</v>
      </c>
    </row>
    <row r="9001" spans="1:11" x14ac:dyDescent="0.35">
      <c r="A9001" s="9" t="str">
        <f>HYPERLINK("http://www.ensembl.org/id/WBGene00017238", "WBGene00017238")</f>
        <v>WBGene00017238</v>
      </c>
      <c r="B9001" s="9" t="str">
        <f>HYPERLINK("http://www.ncbi.nlm.nih.gov/gene/177674", "177674")</f>
        <v>177674</v>
      </c>
      <c r="C9001" s="9"/>
      <c r="D9001" t="str">
        <f>"F08B4.7"</f>
        <v>F08B4.7</v>
      </c>
      <c r="E9001" t="s">
        <v>7534</v>
      </c>
      <c r="F9001" t="s">
        <v>11</v>
      </c>
      <c r="G9001" t="s">
        <v>7535</v>
      </c>
      <c r="H9001" s="12">
        <v>-1.1310135331680999</v>
      </c>
      <c r="I9001" s="20">
        <v>-0.56509966304018999</v>
      </c>
      <c r="J9001" s="28">
        <v>0.57200597769155204</v>
      </c>
      <c r="K9001" s="29">
        <v>0.98289565623980701</v>
      </c>
    </row>
    <row r="9002" spans="1:11" x14ac:dyDescent="0.35">
      <c r="A9002" s="9" t="str">
        <f>HYPERLINK("http://www.ensembl.org/id/WBGene00017239", "WBGene00017239")</f>
        <v>WBGene00017239</v>
      </c>
      <c r="B9002" s="9" t="str">
        <f>HYPERLINK("http://www.ncbi.nlm.nih.gov/gene/184173", "184173")</f>
        <v>184173</v>
      </c>
      <c r="C9002" s="9"/>
      <c r="D9002" t="str">
        <f>"F08B6.1"</f>
        <v>F08B6.1</v>
      </c>
      <c r="F9002" t="s">
        <v>11</v>
      </c>
      <c r="H9002" s="12">
        <v>-1.2127215399512901</v>
      </c>
      <c r="I9002" s="20">
        <v>-0.68326242749516097</v>
      </c>
      <c r="J9002" s="28">
        <v>0.494441031410292</v>
      </c>
      <c r="K9002" s="29">
        <v>0.98289565623980701</v>
      </c>
    </row>
    <row r="9003" spans="1:11" x14ac:dyDescent="0.35">
      <c r="A9003" s="9" t="str">
        <f>HYPERLINK("http://www.ensembl.org/id/WBGene00196271", "WBGene00196271")</f>
        <v>WBGene00196271</v>
      </c>
      <c r="B9003" s="9"/>
      <c r="C9003" s="9"/>
      <c r="D9003" t="str">
        <f>"F08C6.10"</f>
        <v>F08C6.10</v>
      </c>
      <c r="F9003" t="s">
        <v>481</v>
      </c>
      <c r="H9003" s="12">
        <v>2.3893468495514898</v>
      </c>
      <c r="I9003" s="20">
        <v>0.25323547253672701</v>
      </c>
      <c r="J9003" s="28">
        <v>0.80008625651646104</v>
      </c>
      <c r="K9003" s="29">
        <v>0.98289565623980701</v>
      </c>
    </row>
    <row r="9004" spans="1:11" x14ac:dyDescent="0.35">
      <c r="A9004" s="9" t="str">
        <f>HYPERLINK("http://www.ensembl.org/id/WBGene00017243", "WBGene00017243")</f>
        <v>WBGene00017243</v>
      </c>
      <c r="B9004" s="9" t="str">
        <f>HYPERLINK("http://www.ncbi.nlm.nih.gov/gene/184175", "184175")</f>
        <v>184175</v>
      </c>
      <c r="C9004" s="9"/>
      <c r="D9004" t="str">
        <f>"F08C6.5"</f>
        <v>F08C6.5</v>
      </c>
      <c r="F9004" t="s">
        <v>11</v>
      </c>
      <c r="G9004" t="s">
        <v>25</v>
      </c>
      <c r="H9004" s="12">
        <v>-1.1326957331515699</v>
      </c>
      <c r="I9004" s="20">
        <v>-0.43956502409287501</v>
      </c>
      <c r="J9004" s="28">
        <v>0.66025217735878206</v>
      </c>
      <c r="K9004" s="29">
        <v>0.98289565623980701</v>
      </c>
    </row>
    <row r="9005" spans="1:11" x14ac:dyDescent="0.35">
      <c r="A9005" s="9" t="str">
        <f>HYPERLINK("http://www.ensembl.org/id/WBGene00195886", "WBGene00195886")</f>
        <v>WBGene00195886</v>
      </c>
      <c r="B9005" s="9"/>
      <c r="C9005" s="9"/>
      <c r="D9005" t="str">
        <f>"F08C6.8"</f>
        <v>F08C6.8</v>
      </c>
      <c r="F9005" t="s">
        <v>481</v>
      </c>
      <c r="H9005" s="12">
        <v>-3.5819448292659501</v>
      </c>
      <c r="I9005" s="20">
        <v>-0.37337717500031398</v>
      </c>
      <c r="J9005" s="28">
        <v>0.70886774492290605</v>
      </c>
      <c r="K9005" s="29">
        <v>0.98289565623980701</v>
      </c>
    </row>
    <row r="9006" spans="1:11" x14ac:dyDescent="0.35">
      <c r="A9006" s="9" t="str">
        <f>HYPERLINK("http://www.ensembl.org/id/WBGene00017246", "WBGene00017246")</f>
        <v>WBGene00017246</v>
      </c>
      <c r="B9006" s="9" t="str">
        <f>HYPERLINK("http://www.ncbi.nlm.nih.gov/gene/184176", "184176")</f>
        <v>184176</v>
      </c>
      <c r="C9006" s="9"/>
      <c r="D9006" t="str">
        <f>"F08D12.2"</f>
        <v>F08D12.2</v>
      </c>
      <c r="F9006" t="s">
        <v>11</v>
      </c>
      <c r="H9006" s="12">
        <v>1.3001631934412801</v>
      </c>
      <c r="I9006" s="20">
        <v>1.0024116294481</v>
      </c>
      <c r="J9006" s="28">
        <v>0.31614482770312402</v>
      </c>
      <c r="K9006" s="29">
        <v>0.98289565623980701</v>
      </c>
    </row>
    <row r="9007" spans="1:11" x14ac:dyDescent="0.35">
      <c r="A9007" s="9" t="str">
        <f>HYPERLINK("http://www.ensembl.org/id/WBGene00017247", "WBGene00017247")</f>
        <v>WBGene00017247</v>
      </c>
      <c r="B9007" s="9" t="str">
        <f>HYPERLINK("http://www.ncbi.nlm.nih.gov/gene/3565148", "3565148")</f>
        <v>3565148</v>
      </c>
      <c r="C9007" s="9"/>
      <c r="D9007" t="str">
        <f>"F08D12.3"</f>
        <v>F08D12.3</v>
      </c>
      <c r="F9007" t="s">
        <v>11</v>
      </c>
      <c r="H9007" s="12">
        <v>1.12225098768889</v>
      </c>
      <c r="I9007" s="20">
        <v>0.42155956167513098</v>
      </c>
      <c r="J9007" s="28">
        <v>0.67334652787509297</v>
      </c>
      <c r="K9007" s="29">
        <v>0.98289565623980701</v>
      </c>
    </row>
    <row r="9008" spans="1:11" x14ac:dyDescent="0.35">
      <c r="A9008" s="9" t="str">
        <f>HYPERLINK("http://www.ensembl.org/id/WBGene00017248", "WBGene00017248")</f>
        <v>WBGene00017248</v>
      </c>
      <c r="B9008" s="9" t="str">
        <f>HYPERLINK("http://www.ncbi.nlm.nih.gov/gene/173624", "173624")</f>
        <v>173624</v>
      </c>
      <c r="C9008" s="9"/>
      <c r="D9008" t="str">
        <f>"F08D12.4"</f>
        <v>F08D12.4</v>
      </c>
      <c r="F9008" t="s">
        <v>11</v>
      </c>
      <c r="H9008" s="12">
        <v>6.0036142350513604</v>
      </c>
      <c r="I9008" s="20">
        <v>1.10864398620996</v>
      </c>
      <c r="J9008" s="28">
        <v>0.26758379476240801</v>
      </c>
      <c r="K9008" s="29">
        <v>0.98289565623980701</v>
      </c>
    </row>
    <row r="9009" spans="1:11" x14ac:dyDescent="0.35">
      <c r="A9009" s="9" t="str">
        <f>HYPERLINK("http://www.ensembl.org/id/WBGene00043239", "WBGene00043239")</f>
        <v>WBGene00043239</v>
      </c>
      <c r="B9009" s="9"/>
      <c r="C9009" s="9"/>
      <c r="D9009" t="str">
        <f>"F08D12.5"</f>
        <v>F08D12.5</v>
      </c>
      <c r="F9009" t="s">
        <v>80</v>
      </c>
      <c r="H9009" s="12">
        <v>-1.5719127149121099</v>
      </c>
      <c r="I9009" s="20">
        <v>-0.31701985464856403</v>
      </c>
      <c r="J9009" s="28">
        <v>0.75122853687735303</v>
      </c>
      <c r="K9009" s="29">
        <v>0.98289565623980701</v>
      </c>
    </row>
    <row r="9010" spans="1:11" x14ac:dyDescent="0.35">
      <c r="A9010" s="9" t="str">
        <f>HYPERLINK("http://www.ensembl.org/id/WBGene00198516", "WBGene00198516")</f>
        <v>WBGene00198516</v>
      </c>
      <c r="B9010" s="9"/>
      <c r="C9010" s="9"/>
      <c r="D9010" t="str">
        <f>"F08F1.15"</f>
        <v>F08F1.15</v>
      </c>
      <c r="F9010" t="s">
        <v>481</v>
      </c>
      <c r="H9010" s="12">
        <v>-5.19077631658425</v>
      </c>
      <c r="I9010" s="20">
        <v>-0.64548693371462496</v>
      </c>
      <c r="J9010" s="28">
        <v>0.51861168305995897</v>
      </c>
      <c r="K9010" s="29">
        <v>0.98289565623980701</v>
      </c>
    </row>
    <row r="9011" spans="1:11" x14ac:dyDescent="0.35">
      <c r="A9011" s="9" t="str">
        <f>HYPERLINK("http://www.ensembl.org/id/WBGene00017257", "WBGene00017257")</f>
        <v>WBGene00017257</v>
      </c>
      <c r="B9011" s="9" t="str">
        <f>HYPERLINK("http://www.ncbi.nlm.nih.gov/gene/184189", "184189")</f>
        <v>184189</v>
      </c>
      <c r="C9011" s="9"/>
      <c r="D9011" t="str">
        <f>"F08F1.3"</f>
        <v>F08F1.3</v>
      </c>
      <c r="F9011" t="s">
        <v>11</v>
      </c>
      <c r="G9011" t="s">
        <v>25</v>
      </c>
      <c r="H9011" s="12">
        <v>-1.4616687649856801</v>
      </c>
      <c r="I9011" s="20">
        <v>-1.0978375720998901</v>
      </c>
      <c r="J9011" s="28">
        <v>0.272275421864699</v>
      </c>
      <c r="K9011" s="29">
        <v>0.98289565623980701</v>
      </c>
    </row>
    <row r="9012" spans="1:11" x14ac:dyDescent="0.35">
      <c r="A9012" s="9" t="str">
        <f>HYPERLINK("http://www.ensembl.org/id/WBGene00017259", "WBGene00017259")</f>
        <v>WBGene00017259</v>
      </c>
      <c r="B9012" s="9" t="str">
        <f>HYPERLINK("http://www.ncbi.nlm.nih.gov/gene/184192", "184192")</f>
        <v>184192</v>
      </c>
      <c r="C9012" s="9"/>
      <c r="D9012" t="str">
        <f>"F08F1.9"</f>
        <v>F08F1.9</v>
      </c>
      <c r="F9012" t="s">
        <v>11</v>
      </c>
      <c r="G9012" t="s">
        <v>4346</v>
      </c>
      <c r="H9012" s="12">
        <v>1.7541665868988401</v>
      </c>
      <c r="I9012" s="20">
        <v>0.53861730787080797</v>
      </c>
      <c r="J9012" s="28">
        <v>0.59015094247662603</v>
      </c>
      <c r="K9012" s="29">
        <v>0.98289565623980701</v>
      </c>
    </row>
    <row r="9013" spans="1:11" x14ac:dyDescent="0.35">
      <c r="A9013" s="9" t="str">
        <f>HYPERLINK("http://www.ensembl.org/id/WBGene00022980", "WBGene00022980")</f>
        <v>WBGene00022980</v>
      </c>
      <c r="B9013" s="9"/>
      <c r="C9013" s="9"/>
      <c r="D9013" t="str">
        <f>"F08F1.t2"</f>
        <v>F08F1.t2</v>
      </c>
      <c r="F9013" t="s">
        <v>4208</v>
      </c>
      <c r="H9013" s="12">
        <v>4.4368407117627902</v>
      </c>
      <c r="I9013" s="20">
        <v>0.43709475933309699</v>
      </c>
      <c r="J9013" s="28">
        <v>0.66204262779770495</v>
      </c>
      <c r="K9013" s="29">
        <v>0.98289565623980701</v>
      </c>
    </row>
    <row r="9014" spans="1:11" x14ac:dyDescent="0.35">
      <c r="A9014" s="9" t="str">
        <f>HYPERLINK("http://www.ensembl.org/id/WBGene00017260", "WBGene00017260")</f>
        <v>WBGene00017260</v>
      </c>
      <c r="B9014" s="9" t="str">
        <f>HYPERLINK("http://www.ncbi.nlm.nih.gov/gene/184196", "184196")</f>
        <v>184196</v>
      </c>
      <c r="C9014" s="9"/>
      <c r="D9014" t="str">
        <f>"F08F3.1"</f>
        <v>F08F3.1</v>
      </c>
      <c r="F9014" t="s">
        <v>11</v>
      </c>
      <c r="H9014" s="12">
        <v>1.22193273025065</v>
      </c>
      <c r="I9014" s="20">
        <v>0.60511335411714295</v>
      </c>
      <c r="J9014" s="28">
        <v>0.545103681756271</v>
      </c>
      <c r="K9014" s="29">
        <v>0.98289565623980701</v>
      </c>
    </row>
    <row r="9015" spans="1:11" x14ac:dyDescent="0.35">
      <c r="A9015" s="9" t="str">
        <f>HYPERLINK("http://www.ensembl.org/id/WBGene00017264", "WBGene00017264")</f>
        <v>WBGene00017264</v>
      </c>
      <c r="B9015" s="9" t="str">
        <f>HYPERLINK("http://www.ncbi.nlm.nih.gov/gene/184197", "184197")</f>
        <v>184197</v>
      </c>
      <c r="C9015" s="9"/>
      <c r="D9015" t="str">
        <f>"F08F3.8"</f>
        <v>F08F3.8</v>
      </c>
      <c r="F9015" t="s">
        <v>11</v>
      </c>
      <c r="G9015" t="s">
        <v>25</v>
      </c>
      <c r="H9015" s="12">
        <v>7.3088293689036803</v>
      </c>
      <c r="I9015" s="20">
        <v>0.93528831145381397</v>
      </c>
      <c r="J9015" s="28">
        <v>0.34963973738127302</v>
      </c>
      <c r="K9015" s="29">
        <v>0.98289565623980701</v>
      </c>
    </row>
    <row r="9016" spans="1:11" x14ac:dyDescent="0.35">
      <c r="A9016" s="9" t="str">
        <f>HYPERLINK("http://www.ensembl.org/id/WBGene00017275", "WBGene00017275")</f>
        <v>WBGene00017275</v>
      </c>
      <c r="B9016" s="9" t="str">
        <f>HYPERLINK("http://www.ncbi.nlm.nih.gov/gene/184199", "184199")</f>
        <v>184199</v>
      </c>
      <c r="C9016" s="9"/>
      <c r="D9016" t="str">
        <f>"F08F8.10"</f>
        <v>F08F8.10</v>
      </c>
      <c r="F9016" t="s">
        <v>11</v>
      </c>
      <c r="H9016" s="12">
        <v>-1.13869899381895</v>
      </c>
      <c r="I9016" s="20">
        <v>-0.66260506846327305</v>
      </c>
      <c r="J9016" s="28">
        <v>0.50758352320816502</v>
      </c>
      <c r="K9016" s="29">
        <v>0.98289565623980701</v>
      </c>
    </row>
    <row r="9017" spans="1:11" x14ac:dyDescent="0.35">
      <c r="A9017" s="9" t="str">
        <f>HYPERLINK("http://www.ensembl.org/id/WBGene00269381", "WBGene00269381")</f>
        <v>WBGene00269381</v>
      </c>
      <c r="B9017" s="9" t="str">
        <f>HYPERLINK("http://www.ncbi.nlm.nih.gov/gene/27307933", "27307933")</f>
        <v>27307933</v>
      </c>
      <c r="C9017" s="9"/>
      <c r="D9017" t="str">
        <f>"F08F8.11"</f>
        <v>F08F8.11</v>
      </c>
      <c r="F9017" t="s">
        <v>11</v>
      </c>
      <c r="H9017" s="12">
        <v>2.3893468495514898</v>
      </c>
      <c r="I9017" s="20">
        <v>0.25323547253672701</v>
      </c>
      <c r="J9017" s="28">
        <v>0.80008625651646104</v>
      </c>
      <c r="K9017" s="29">
        <v>0.98289565623980701</v>
      </c>
    </row>
    <row r="9018" spans="1:11" x14ac:dyDescent="0.35">
      <c r="A9018" s="9" t="str">
        <f>HYPERLINK("http://www.ensembl.org/id/WBGene00017272", "WBGene00017272")</f>
        <v>WBGene00017272</v>
      </c>
      <c r="B9018" s="9" t="str">
        <f>HYPERLINK("http://www.ncbi.nlm.nih.gov/gene/176043", "176043")</f>
        <v>176043</v>
      </c>
      <c r="C9018" s="9" t="str">
        <f>HYPERLINK("http://www.ncbi.nlm.nih.gov/gene/6120", "6120")</f>
        <v>6120</v>
      </c>
      <c r="D9018" t="str">
        <f>"F08F8.7"</f>
        <v>F08F8.7</v>
      </c>
      <c r="E9018" t="s">
        <v>7842</v>
      </c>
      <c r="F9018" t="s">
        <v>11</v>
      </c>
      <c r="G9018" t="s">
        <v>7843</v>
      </c>
      <c r="H9018" s="12">
        <v>-1.1478894809023099</v>
      </c>
      <c r="I9018" s="20">
        <v>-0.71133079192721804</v>
      </c>
      <c r="J9018" s="28">
        <v>0.47687927472708802</v>
      </c>
      <c r="K9018" s="29">
        <v>0.98289565623980701</v>
      </c>
    </row>
    <row r="9019" spans="1:11" x14ac:dyDescent="0.35">
      <c r="A9019" s="9" t="str">
        <f>HYPERLINK("http://www.ensembl.org/id/WBGene00017274", "WBGene00017274")</f>
        <v>WBGene00017274</v>
      </c>
      <c r="B9019" s="9" t="str">
        <f>HYPERLINK("http://www.ncbi.nlm.nih.gov/gene/176045", "176045")</f>
        <v>176045</v>
      </c>
      <c r="C9019" s="9"/>
      <c r="D9019" t="str">
        <f>"F08F8.9"</f>
        <v>F08F8.9</v>
      </c>
      <c r="F9019" t="s">
        <v>11</v>
      </c>
      <c r="G9019" t="s">
        <v>54</v>
      </c>
      <c r="H9019" s="12">
        <v>-1.1175499567288101</v>
      </c>
      <c r="I9019" s="20">
        <v>-0.60056286248915802</v>
      </c>
      <c r="J9019" s="28">
        <v>0.54813117959612301</v>
      </c>
      <c r="K9019" s="29">
        <v>0.98289565623980701</v>
      </c>
    </row>
    <row r="9020" spans="1:11" x14ac:dyDescent="0.35">
      <c r="A9020" s="9" t="str">
        <f>HYPERLINK("http://www.ensembl.org/id/WBGene00008585", "WBGene00008585")</f>
        <v>WBGene00008585</v>
      </c>
      <c r="B9020" s="9" t="str">
        <f>HYPERLINK("http://www.ncbi.nlm.nih.gov/gene/181320", "181320")</f>
        <v>181320</v>
      </c>
      <c r="C9020" s="9"/>
      <c r="D9020" t="str">
        <f>"F08G12.1"</f>
        <v>F08G12.1</v>
      </c>
      <c r="F9020" t="s">
        <v>11</v>
      </c>
      <c r="G9020" t="s">
        <v>5427</v>
      </c>
      <c r="H9020" s="12">
        <v>1.1658477101167799</v>
      </c>
      <c r="I9020" s="20">
        <v>0.75171031120593401</v>
      </c>
      <c r="J9020" s="28">
        <v>0.45222528818094798</v>
      </c>
      <c r="K9020" s="29">
        <v>0.98289565623980701</v>
      </c>
    </row>
    <row r="9021" spans="1:11" x14ac:dyDescent="0.35">
      <c r="A9021" s="9" t="str">
        <f>HYPERLINK("http://www.ensembl.org/id/WBGene00044135", "WBGene00044135")</f>
        <v>WBGene00044135</v>
      </c>
      <c r="B9021" s="9" t="str">
        <f>HYPERLINK("http://www.ncbi.nlm.nih.gov/gene/3564885", "3564885")</f>
        <v>3564885</v>
      </c>
      <c r="C9021" s="9"/>
      <c r="D9021" t="str">
        <f>"F08G12.11"</f>
        <v>F08G12.11</v>
      </c>
      <c r="F9021" t="s">
        <v>11</v>
      </c>
      <c r="H9021" s="12">
        <v>1.8127920508798401</v>
      </c>
      <c r="I9021" s="20">
        <v>0.63378158824045905</v>
      </c>
      <c r="J9021" s="28">
        <v>0.52622337056615198</v>
      </c>
      <c r="K9021" s="29">
        <v>0.98289565623980701</v>
      </c>
    </row>
    <row r="9022" spans="1:11" x14ac:dyDescent="0.35">
      <c r="A9022" s="9" t="str">
        <f>HYPERLINK("http://www.ensembl.org/id/WBGene00008587", "WBGene00008587")</f>
        <v>WBGene00008587</v>
      </c>
      <c r="B9022" s="9" t="str">
        <f>HYPERLINK("http://www.ncbi.nlm.nih.gov/gene/184210", "184210")</f>
        <v>184210</v>
      </c>
      <c r="C9022" s="9"/>
      <c r="D9022" t="str">
        <f>"F08G12.3"</f>
        <v>F08G12.3</v>
      </c>
      <c r="F9022" t="s">
        <v>11</v>
      </c>
      <c r="H9022" s="12">
        <v>-1.1414639990161399</v>
      </c>
      <c r="I9022" s="20">
        <v>-0.52728671363032098</v>
      </c>
      <c r="J9022" s="28">
        <v>0.59799449936861904</v>
      </c>
      <c r="K9022" s="29">
        <v>0.98289565623980701</v>
      </c>
    </row>
    <row r="9023" spans="1:11" x14ac:dyDescent="0.35">
      <c r="A9023" s="9" t="str">
        <f>HYPERLINK("http://www.ensembl.org/id/WBGene00008588", "WBGene00008588")</f>
        <v>WBGene00008588</v>
      </c>
      <c r="B9023" s="9" t="str">
        <f>HYPERLINK("http://www.ncbi.nlm.nih.gov/gene/184211", "184211")</f>
        <v>184211</v>
      </c>
      <c r="C9023" s="9"/>
      <c r="D9023" t="str">
        <f>"F08G12.5"</f>
        <v>F08G12.5</v>
      </c>
      <c r="F9023" t="s">
        <v>11</v>
      </c>
      <c r="G9023" t="s">
        <v>583</v>
      </c>
      <c r="H9023" s="12">
        <v>1.1657368812357201</v>
      </c>
      <c r="I9023" s="20">
        <v>0.560905488937403</v>
      </c>
      <c r="J9023" s="28">
        <v>0.57486196796953104</v>
      </c>
      <c r="K9023" s="29">
        <v>0.98289565623980701</v>
      </c>
    </row>
    <row r="9024" spans="1:11" x14ac:dyDescent="0.35">
      <c r="A9024" s="9" t="str">
        <f>HYPERLINK("http://www.ensembl.org/id/WBGene00014311", "WBGene00014311")</f>
        <v>WBGene00014311</v>
      </c>
      <c r="B9024" s="9"/>
      <c r="C9024" s="9"/>
      <c r="D9024" t="str">
        <f>"F08G2.10"</f>
        <v>F08G2.10</v>
      </c>
      <c r="F9024" t="s">
        <v>4205</v>
      </c>
      <c r="H9024" s="12">
        <v>-2.4295389261469</v>
      </c>
      <c r="I9024" s="20">
        <v>-0.25808529976640998</v>
      </c>
      <c r="J9024" s="28">
        <v>0.79634107645457397</v>
      </c>
      <c r="K9024" s="29">
        <v>0.98289565623980701</v>
      </c>
    </row>
    <row r="9025" spans="1:11" x14ac:dyDescent="0.35">
      <c r="A9025" s="9" t="str">
        <f>HYPERLINK("http://www.ensembl.org/id/WBGene00014312", "WBGene00014312")</f>
        <v>WBGene00014312</v>
      </c>
      <c r="B9025" s="9"/>
      <c r="C9025" s="9"/>
      <c r="D9025" t="str">
        <f>"F08G2.11"</f>
        <v>F08G2.11</v>
      </c>
      <c r="F9025" t="s">
        <v>4205</v>
      </c>
      <c r="H9025" s="12">
        <v>3.75996079489062</v>
      </c>
      <c r="I9025" s="20">
        <v>0.57897145739173195</v>
      </c>
      <c r="J9025" s="28">
        <v>0.56260843248119896</v>
      </c>
      <c r="K9025" s="29">
        <v>0.98289565623980701</v>
      </c>
    </row>
    <row r="9026" spans="1:11" x14ac:dyDescent="0.35">
      <c r="A9026" s="9" t="str">
        <f>HYPERLINK("http://www.ensembl.org/id/WBGene00044973", "WBGene00044973")</f>
        <v>WBGene00044973</v>
      </c>
      <c r="B9026" s="9"/>
      <c r="C9026" s="9"/>
      <c r="D9026" t="str">
        <f>"F08G2.12"</f>
        <v>F08G2.12</v>
      </c>
      <c r="F9026" t="s">
        <v>481</v>
      </c>
      <c r="H9026" s="12">
        <v>2.3893468495514898</v>
      </c>
      <c r="I9026" s="20">
        <v>0.25323547253672701</v>
      </c>
      <c r="J9026" s="28">
        <v>0.80008625651646104</v>
      </c>
      <c r="K9026" s="29">
        <v>0.98289565623980701</v>
      </c>
    </row>
    <row r="9027" spans="1:11" x14ac:dyDescent="0.35">
      <c r="A9027" s="9" t="str">
        <f>HYPERLINK("http://www.ensembl.org/id/WBGene00045119", "WBGene00045119")</f>
        <v>WBGene00045119</v>
      </c>
      <c r="B9027" s="9"/>
      <c r="C9027" s="9"/>
      <c r="D9027" t="str">
        <f>"F08G2.13"</f>
        <v>F08G2.13</v>
      </c>
      <c r="F9027" t="s">
        <v>481</v>
      </c>
      <c r="H9027" s="12">
        <v>-2.4991590031922399</v>
      </c>
      <c r="I9027" s="20">
        <v>-0.26577412737581302</v>
      </c>
      <c r="J9027" s="28">
        <v>0.79041317015736101</v>
      </c>
      <c r="K9027" s="29">
        <v>0.98289565623980701</v>
      </c>
    </row>
    <row r="9028" spans="1:11" x14ac:dyDescent="0.35">
      <c r="A9028" s="9" t="str">
        <f>HYPERLINK("http://www.ensembl.org/id/WBGene00197500", "WBGene00197500")</f>
        <v>WBGene00197500</v>
      </c>
      <c r="B9028" s="9"/>
      <c r="C9028" s="9"/>
      <c r="D9028" t="str">
        <f>"F08G2.14"</f>
        <v>F08G2.14</v>
      </c>
      <c r="F9028" t="s">
        <v>481</v>
      </c>
      <c r="H9028" s="12">
        <v>2.3893468495514898</v>
      </c>
      <c r="I9028" s="20">
        <v>0.25323547253672701</v>
      </c>
      <c r="J9028" s="28">
        <v>0.80008625651646104</v>
      </c>
      <c r="K9028" s="29">
        <v>0.98289565623980701</v>
      </c>
    </row>
    <row r="9029" spans="1:11" x14ac:dyDescent="0.35">
      <c r="A9029" s="9" t="str">
        <f>HYPERLINK("http://www.ensembl.org/id/WBGene00008576", "WBGene00008576")</f>
        <v>WBGene00008576</v>
      </c>
      <c r="B9029" s="9" t="str">
        <f>HYPERLINK("http://www.ncbi.nlm.nih.gov/gene/175035", "175035")</f>
        <v>175035</v>
      </c>
      <c r="C9029" s="9"/>
      <c r="D9029" t="str">
        <f>"F08G2.4"</f>
        <v>F08G2.4</v>
      </c>
      <c r="F9029" t="s">
        <v>11</v>
      </c>
      <c r="H9029" s="12">
        <v>1.08295329467115</v>
      </c>
      <c r="I9029" s="20">
        <v>0.37474722304706098</v>
      </c>
      <c r="J9029" s="28">
        <v>0.70784846835800397</v>
      </c>
      <c r="K9029" s="29">
        <v>0.98289565623980701</v>
      </c>
    </row>
    <row r="9030" spans="1:11" x14ac:dyDescent="0.35">
      <c r="A9030" s="9" t="str">
        <f>HYPERLINK("http://www.ensembl.org/id/WBGene00008577", "WBGene00008577")</f>
        <v>WBGene00008577</v>
      </c>
      <c r="B9030" s="9" t="str">
        <f>HYPERLINK("http://www.ncbi.nlm.nih.gov/gene/184201", "184201")</f>
        <v>184201</v>
      </c>
      <c r="C9030" s="9"/>
      <c r="D9030" t="str">
        <f>"F08G2.5"</f>
        <v>F08G2.5</v>
      </c>
      <c r="F9030" t="s">
        <v>11</v>
      </c>
      <c r="G9030" t="s">
        <v>6609</v>
      </c>
      <c r="H9030" s="12">
        <v>-1.14074760916273</v>
      </c>
      <c r="I9030" s="20">
        <v>-0.48371147244980001</v>
      </c>
      <c r="J9030" s="28">
        <v>0.628590650104624</v>
      </c>
      <c r="K9030" s="29">
        <v>0.98289565623980701</v>
      </c>
    </row>
    <row r="9031" spans="1:11" x14ac:dyDescent="0.35">
      <c r="A9031" s="9" t="str">
        <f>HYPERLINK("http://www.ensembl.org/id/WBGene00014310", "WBGene00014310")</f>
        <v>WBGene00014310</v>
      </c>
      <c r="B9031" s="9"/>
      <c r="C9031" s="9"/>
      <c r="D9031" t="str">
        <f>"F08G2.9"</f>
        <v>F08G2.9</v>
      </c>
      <c r="F9031" t="s">
        <v>4205</v>
      </c>
      <c r="H9031" s="12">
        <v>5.2322000618327396</v>
      </c>
      <c r="I9031" s="20">
        <v>0.486112489888328</v>
      </c>
      <c r="J9031" s="28">
        <v>0.62688741196182496</v>
      </c>
      <c r="K9031" s="29">
        <v>0.98289565623980701</v>
      </c>
    </row>
    <row r="9032" spans="1:11" x14ac:dyDescent="0.35">
      <c r="A9032" s="9" t="str">
        <f>HYPERLINK("http://www.ensembl.org/id/WBGene00198430", "WBGene00198430")</f>
        <v>WBGene00198430</v>
      </c>
      <c r="B9032" s="9"/>
      <c r="C9032" s="9"/>
      <c r="D9032" t="str">
        <f>"F08G5.14"</f>
        <v>F08G5.14</v>
      </c>
      <c r="F9032" t="s">
        <v>481</v>
      </c>
      <c r="H9032" s="12">
        <v>3.6645215954135</v>
      </c>
      <c r="I9032" s="20">
        <v>0.37967131826092498</v>
      </c>
      <c r="J9032" s="28">
        <v>0.70418941338960395</v>
      </c>
      <c r="K9032" s="29">
        <v>0.98289565623980701</v>
      </c>
    </row>
    <row r="9033" spans="1:11" x14ac:dyDescent="0.35">
      <c r="A9033" s="9" t="str">
        <f>HYPERLINK("http://www.ensembl.org/id/WBGene00201477", "WBGene00201477")</f>
        <v>WBGene00201477</v>
      </c>
      <c r="B9033" s="9"/>
      <c r="C9033" s="9"/>
      <c r="D9033" t="str">
        <f>"F08G5.20"</f>
        <v>F08G5.20</v>
      </c>
      <c r="F9033" t="s">
        <v>481</v>
      </c>
      <c r="H9033" s="12">
        <v>7.8691597089380902</v>
      </c>
      <c r="I9033" s="20">
        <v>0.61251365190975104</v>
      </c>
      <c r="J9033" s="28">
        <v>0.54019796842331003</v>
      </c>
      <c r="K9033" s="29">
        <v>0.98289565623980701</v>
      </c>
    </row>
    <row r="9034" spans="1:11" x14ac:dyDescent="0.35">
      <c r="A9034" s="9" t="str">
        <f>HYPERLINK("http://www.ensembl.org/id/WBGene00014314", "WBGene00014314")</f>
        <v>WBGene00014314</v>
      </c>
      <c r="B9034" s="9"/>
      <c r="C9034" s="9"/>
      <c r="D9034" t="str">
        <f>"F08G5.t2"</f>
        <v>F08G5.t2</v>
      </c>
      <c r="F9034" t="s">
        <v>4208</v>
      </c>
      <c r="H9034" s="12">
        <v>-3.7261494131482999</v>
      </c>
      <c r="I9034" s="20">
        <v>-0.38454673129429601</v>
      </c>
      <c r="J9034" s="28">
        <v>0.70057326682554</v>
      </c>
      <c r="K9034" s="29">
        <v>0.98289565623980701</v>
      </c>
    </row>
    <row r="9035" spans="1:11" x14ac:dyDescent="0.35">
      <c r="A9035" s="9" t="str">
        <f>HYPERLINK("http://www.ensembl.org/id/WBGene00014317", "WBGene00014317")</f>
        <v>WBGene00014317</v>
      </c>
      <c r="B9035" s="9"/>
      <c r="C9035" s="9"/>
      <c r="D9035" t="str">
        <f>"F08H9.11"</f>
        <v>F08H9.11</v>
      </c>
      <c r="F9035" t="s">
        <v>4205</v>
      </c>
      <c r="H9035" s="12">
        <v>2.3893468495514898</v>
      </c>
      <c r="I9035" s="20">
        <v>0.25323547253672701</v>
      </c>
      <c r="J9035" s="28">
        <v>0.80008625651646104</v>
      </c>
      <c r="K9035" s="29">
        <v>0.98289565623980701</v>
      </c>
    </row>
    <row r="9036" spans="1:11" x14ac:dyDescent="0.35">
      <c r="A9036" s="9" t="str">
        <f>HYPERLINK("http://www.ensembl.org/id/WBGene00008590", "WBGene00008590")</f>
        <v>WBGene00008590</v>
      </c>
      <c r="B9036" s="9" t="str">
        <f>HYPERLINK("http://www.ncbi.nlm.nih.gov/gene/179950", "179950")</f>
        <v>179950</v>
      </c>
      <c r="C9036" s="9"/>
      <c r="D9036" t="str">
        <f>"F08H9.2"</f>
        <v>F08H9.2</v>
      </c>
      <c r="F9036" t="s">
        <v>11</v>
      </c>
      <c r="H9036" s="12">
        <v>1.6331900810657101</v>
      </c>
      <c r="I9036" s="20">
        <v>0.77493245650510101</v>
      </c>
      <c r="J9036" s="28">
        <v>0.43837957226719998</v>
      </c>
      <c r="K9036" s="29">
        <v>0.98289565623980701</v>
      </c>
    </row>
    <row r="9037" spans="1:11" x14ac:dyDescent="0.35">
      <c r="A9037" s="9" t="str">
        <f>HYPERLINK("http://www.ensembl.org/id/WBGene00008592", "WBGene00008592")</f>
        <v>WBGene00008592</v>
      </c>
      <c r="B9037" s="9" t="str">
        <f>HYPERLINK("http://www.ncbi.nlm.nih.gov/gene/184215", "184215")</f>
        <v>184215</v>
      </c>
      <c r="C9037" s="9"/>
      <c r="D9037" t="str">
        <f>"F08H9.4"</f>
        <v>F08H9.4</v>
      </c>
      <c r="F9037" t="s">
        <v>11</v>
      </c>
      <c r="G9037" t="s">
        <v>4575</v>
      </c>
      <c r="H9037" s="12">
        <v>1.66574406584941</v>
      </c>
      <c r="I9037" s="20">
        <v>0.87474467455257299</v>
      </c>
      <c r="J9037" s="28">
        <v>0.38171284635165398</v>
      </c>
      <c r="K9037" s="29">
        <v>0.98289565623980701</v>
      </c>
    </row>
    <row r="9038" spans="1:11" x14ac:dyDescent="0.35">
      <c r="A9038" s="9" t="str">
        <f>HYPERLINK("http://www.ensembl.org/id/WBGene00303113", "WBGene00303113")</f>
        <v>WBGene00303113</v>
      </c>
      <c r="B9038" s="9"/>
      <c r="C9038" s="9"/>
      <c r="D9038" t="str">
        <f>"F09A5.15"</f>
        <v>F09A5.15</v>
      </c>
      <c r="F9038" t="s">
        <v>1486</v>
      </c>
      <c r="H9038" s="12">
        <v>3.6645215954135</v>
      </c>
      <c r="I9038" s="20">
        <v>0.37967131826092498</v>
      </c>
      <c r="J9038" s="28">
        <v>0.70418941338960395</v>
      </c>
      <c r="K9038" s="29">
        <v>0.98289565623980701</v>
      </c>
    </row>
    <row r="9039" spans="1:11" x14ac:dyDescent="0.35">
      <c r="A9039" s="9" t="str">
        <f>HYPERLINK("http://www.ensembl.org/id/WBGene00008599", "WBGene00008599")</f>
        <v>WBGene00008599</v>
      </c>
      <c r="B9039" s="9" t="str">
        <f>HYPERLINK("http://www.ncbi.nlm.nih.gov/gene/181440", "181440")</f>
        <v>181440</v>
      </c>
      <c r="C9039" s="9" t="str">
        <f>HYPERLINK("http://www.ncbi.nlm.nih.gov/gene/5156", "5156")</f>
        <v>5156</v>
      </c>
      <c r="D9039" t="str">
        <f>"F09A5.2"</f>
        <v>F09A5.2</v>
      </c>
      <c r="E9039" t="s">
        <v>4864</v>
      </c>
      <c r="F9039" t="s">
        <v>11</v>
      </c>
      <c r="G9039" t="s">
        <v>4865</v>
      </c>
      <c r="H9039" s="12">
        <v>1.32634071868082</v>
      </c>
      <c r="I9039" s="20">
        <v>0.64285291105698505</v>
      </c>
      <c r="J9039" s="28">
        <v>0.52031954667081004</v>
      </c>
      <c r="K9039" s="29">
        <v>0.98289565623980701</v>
      </c>
    </row>
    <row r="9040" spans="1:11" x14ac:dyDescent="0.35">
      <c r="A9040" s="9" t="str">
        <f>HYPERLINK("http://www.ensembl.org/id/WBGene00008600", "WBGene00008600")</f>
        <v>WBGene00008600</v>
      </c>
      <c r="B9040" s="9" t="str">
        <f>HYPERLINK("http://www.ncbi.nlm.nih.gov/gene/184220", "184220")</f>
        <v>184220</v>
      </c>
      <c r="C9040" s="9"/>
      <c r="D9040" t="str">
        <f>"F09A5.3"</f>
        <v>F09A5.3</v>
      </c>
      <c r="F9040" t="s">
        <v>11</v>
      </c>
      <c r="H9040" s="12">
        <v>1.33558925696395</v>
      </c>
      <c r="I9040" s="20">
        <v>0.71073849195115801</v>
      </c>
      <c r="J9040" s="28">
        <v>0.47724630221051501</v>
      </c>
      <c r="K9040" s="29">
        <v>0.98289565623980701</v>
      </c>
    </row>
    <row r="9041" spans="1:11" x14ac:dyDescent="0.35">
      <c r="A9041" s="9" t="str">
        <f>HYPERLINK("http://www.ensembl.org/id/WBGene00202012", "WBGene00202012")</f>
        <v>WBGene00202012</v>
      </c>
      <c r="B9041" s="9"/>
      <c r="C9041" s="9"/>
      <c r="D9041" t="str">
        <f>"F09B9.7"</f>
        <v>F09B9.7</v>
      </c>
      <c r="F9041" t="s">
        <v>481</v>
      </c>
      <c r="H9041" s="12">
        <v>5.4058944669092801</v>
      </c>
      <c r="I9041" s="20">
        <v>0.49762513753689303</v>
      </c>
      <c r="J9041" s="28">
        <v>0.61874828254921799</v>
      </c>
      <c r="K9041" s="29">
        <v>0.98289565623980701</v>
      </c>
    </row>
    <row r="9042" spans="1:11" x14ac:dyDescent="0.35">
      <c r="A9042" s="9" t="str">
        <f>HYPERLINK("http://www.ensembl.org/id/WBGene00014319", "WBGene00014319")</f>
        <v>WBGene00014319</v>
      </c>
      <c r="B9042" s="9"/>
      <c r="C9042" s="9"/>
      <c r="D9042" t="str">
        <f>"F09B9.t2"</f>
        <v>F09B9.t2</v>
      </c>
      <c r="F9042" t="s">
        <v>4208</v>
      </c>
      <c r="H9042" s="12">
        <v>-2.4991590031922399</v>
      </c>
      <c r="I9042" s="20">
        <v>-0.26577412737581302</v>
      </c>
      <c r="J9042" s="28">
        <v>0.79041317015736101</v>
      </c>
      <c r="K9042" s="29">
        <v>0.98289565623980701</v>
      </c>
    </row>
    <row r="9043" spans="1:11" x14ac:dyDescent="0.35">
      <c r="A9043" s="9" t="str">
        <f>HYPERLINK("http://www.ensembl.org/id/WBGene00017278", "WBGene00017278")</f>
        <v>WBGene00017278</v>
      </c>
      <c r="B9043" s="9" t="str">
        <f>HYPERLINK("http://www.ncbi.nlm.nih.gov/gene/184238", "184238")</f>
        <v>184238</v>
      </c>
      <c r="C9043" s="9"/>
      <c r="D9043" t="str">
        <f>"F09C12.6"</f>
        <v>F09C12.6</v>
      </c>
      <c r="F9043" t="s">
        <v>11</v>
      </c>
      <c r="G9043" t="s">
        <v>1089</v>
      </c>
      <c r="H9043" s="12">
        <v>1.13687080544953</v>
      </c>
      <c r="I9043" s="20">
        <v>0.26101736129731101</v>
      </c>
      <c r="J9043" s="28">
        <v>0.79407911884681304</v>
      </c>
      <c r="K9043" s="29">
        <v>0.98289565623980701</v>
      </c>
    </row>
    <row r="9044" spans="1:11" x14ac:dyDescent="0.35">
      <c r="A9044" s="9" t="str">
        <f>HYPERLINK("http://www.ensembl.org/id/WBGene00008610", "WBGene00008610")</f>
        <v>WBGene00008610</v>
      </c>
      <c r="B9044" s="9" t="str">
        <f>HYPERLINK("http://www.ncbi.nlm.nih.gov/gene/184226", "184226")</f>
        <v>184226</v>
      </c>
      <c r="C9044" s="9"/>
      <c r="D9044" t="str">
        <f>"F09C3.2"</f>
        <v>F09C3.2</v>
      </c>
      <c r="F9044" t="s">
        <v>11</v>
      </c>
      <c r="G9044" t="s">
        <v>4875</v>
      </c>
      <c r="H9044" s="12">
        <v>1.2162576745242399</v>
      </c>
      <c r="I9044" s="20">
        <v>0.95956126674118603</v>
      </c>
      <c r="J9044" s="28">
        <v>0.33727607091748601</v>
      </c>
      <c r="K9044" s="29">
        <v>0.98289565623980701</v>
      </c>
    </row>
    <row r="9045" spans="1:11" x14ac:dyDescent="0.35">
      <c r="A9045" s="9" t="str">
        <f>HYPERLINK("http://www.ensembl.org/id/WBGene00196421", "WBGene00196421")</f>
        <v>WBGene00196421</v>
      </c>
      <c r="B9045" s="9"/>
      <c r="C9045" s="9"/>
      <c r="D9045" t="str">
        <f>"F09C3.7"</f>
        <v>F09C3.7</v>
      </c>
      <c r="F9045" t="s">
        <v>481</v>
      </c>
      <c r="H9045" s="12">
        <v>17.773353809564401</v>
      </c>
      <c r="I9045" s="20">
        <v>1.0649016812688099</v>
      </c>
      <c r="J9045" s="28">
        <v>0.28692042414116298</v>
      </c>
      <c r="K9045" s="29">
        <v>0.98289565623980701</v>
      </c>
    </row>
    <row r="9046" spans="1:11" x14ac:dyDescent="0.35">
      <c r="A9046" s="9" t="str">
        <f>HYPERLINK("http://www.ensembl.org/id/WBGene00008615", "WBGene00008615")</f>
        <v>WBGene00008615</v>
      </c>
      <c r="B9046" s="9" t="str">
        <f>HYPERLINK("http://www.ncbi.nlm.nih.gov/gene/180128", "180128")</f>
        <v>180128</v>
      </c>
      <c r="C9046" s="9"/>
      <c r="D9046" t="str">
        <f>"F09C6.1"</f>
        <v>F09C6.1</v>
      </c>
      <c r="F9046" t="s">
        <v>11</v>
      </c>
      <c r="G9046" t="s">
        <v>4564</v>
      </c>
      <c r="H9046" s="12">
        <v>1.6948451646776099</v>
      </c>
      <c r="I9046" s="20">
        <v>0.82208341693765197</v>
      </c>
      <c r="J9046" s="28">
        <v>0.41102942283174898</v>
      </c>
      <c r="K9046" s="29">
        <v>0.98289565623980701</v>
      </c>
    </row>
    <row r="9047" spans="1:11" x14ac:dyDescent="0.35">
      <c r="A9047" s="9" t="str">
        <f>HYPERLINK("http://www.ensembl.org/id/WBGene00044181", "WBGene00044181")</f>
        <v>WBGene00044181</v>
      </c>
      <c r="B9047" s="9" t="str">
        <f>HYPERLINK("http://www.ncbi.nlm.nih.gov/gene/3565912", "3565912")</f>
        <v>3565912</v>
      </c>
      <c r="C9047" s="9"/>
      <c r="D9047" t="str">
        <f>"F09C6.11"</f>
        <v>F09C6.11</v>
      </c>
      <c r="F9047" t="s">
        <v>11</v>
      </c>
      <c r="H9047" s="12">
        <v>3.0795856318795001</v>
      </c>
      <c r="I9047" s="20">
        <v>0.76366579029927295</v>
      </c>
      <c r="J9047" s="28">
        <v>0.44506643216047498</v>
      </c>
      <c r="K9047" s="29">
        <v>0.98289565623980701</v>
      </c>
    </row>
    <row r="9048" spans="1:11" x14ac:dyDescent="0.35">
      <c r="A9048" s="9" t="str">
        <f>HYPERLINK("http://www.ensembl.org/id/WBGene00044182", "WBGene00044182")</f>
        <v>WBGene00044182</v>
      </c>
      <c r="B9048" s="9" t="str">
        <f>HYPERLINK("http://www.ncbi.nlm.nih.gov/gene/3565652", "3565652")</f>
        <v>3565652</v>
      </c>
      <c r="C9048" s="9"/>
      <c r="D9048" t="str">
        <f>"F09C6.12"</f>
        <v>F09C6.12</v>
      </c>
      <c r="F9048" t="s">
        <v>11</v>
      </c>
      <c r="H9048" s="12">
        <v>-1.2528365991827699</v>
      </c>
      <c r="I9048" s="20">
        <v>-0.32208528575697998</v>
      </c>
      <c r="J9048" s="28">
        <v>0.747388085084294</v>
      </c>
      <c r="K9048" s="29">
        <v>0.98289565623980701</v>
      </c>
    </row>
    <row r="9049" spans="1:11" x14ac:dyDescent="0.35">
      <c r="A9049" s="9" t="str">
        <f>HYPERLINK("http://www.ensembl.org/id/WBGene00044183", "WBGene00044183")</f>
        <v>WBGene00044183</v>
      </c>
      <c r="B9049" s="9" t="str">
        <f>HYPERLINK("http://www.ncbi.nlm.nih.gov/gene/3565125", "3565125")</f>
        <v>3565125</v>
      </c>
      <c r="C9049" s="9"/>
      <c r="D9049" t="str">
        <f>"F09C6.13"</f>
        <v>F09C6.13</v>
      </c>
      <c r="F9049" t="s">
        <v>11</v>
      </c>
      <c r="H9049" s="12">
        <v>1.55226969200012</v>
      </c>
      <c r="I9049" s="20">
        <v>0.49429566634278299</v>
      </c>
      <c r="J9049" s="28">
        <v>0.62109738525930502</v>
      </c>
      <c r="K9049" s="29">
        <v>0.98289565623980701</v>
      </c>
    </row>
    <row r="9050" spans="1:11" x14ac:dyDescent="0.35">
      <c r="A9050" s="9" t="str">
        <f>HYPERLINK("http://www.ensembl.org/id/WBGene00077492", "WBGene00077492")</f>
        <v>WBGene00077492</v>
      </c>
      <c r="B9050" s="9" t="str">
        <f>HYPERLINK("http://www.ncbi.nlm.nih.gov/gene/6418716", "6418716")</f>
        <v>6418716</v>
      </c>
      <c r="C9050" s="9"/>
      <c r="D9050" t="str">
        <f>"F09C6.15"</f>
        <v>F09C6.15</v>
      </c>
      <c r="F9050" t="s">
        <v>11</v>
      </c>
      <c r="H9050" s="12">
        <v>-2.4991590031922399</v>
      </c>
      <c r="I9050" s="20">
        <v>-0.26577412737581302</v>
      </c>
      <c r="J9050" s="28">
        <v>0.79041317015736101</v>
      </c>
      <c r="K9050" s="29">
        <v>0.98289565623980701</v>
      </c>
    </row>
    <row r="9051" spans="1:11" x14ac:dyDescent="0.35">
      <c r="A9051" s="9" t="str">
        <f>HYPERLINK("http://www.ensembl.org/id/WBGene00077493", "WBGene00077493")</f>
        <v>WBGene00077493</v>
      </c>
      <c r="B9051" s="9" t="str">
        <f>HYPERLINK("http://www.ncbi.nlm.nih.gov/gene/6418717", "6418717")</f>
        <v>6418717</v>
      </c>
      <c r="C9051" s="9"/>
      <c r="D9051" t="str">
        <f>"F09C6.16"</f>
        <v>F09C6.16</v>
      </c>
      <c r="F9051" t="s">
        <v>11</v>
      </c>
      <c r="G9051" t="s">
        <v>1015</v>
      </c>
      <c r="H9051" s="12">
        <v>2.4578120077400301</v>
      </c>
      <c r="I9051" s="20">
        <v>0.26093350314551</v>
      </c>
      <c r="J9051" s="28">
        <v>0.79414378780213601</v>
      </c>
      <c r="K9051" s="29">
        <v>0.98289565623980701</v>
      </c>
    </row>
    <row r="9052" spans="1:11" x14ac:dyDescent="0.35">
      <c r="A9052" s="9" t="str">
        <f>HYPERLINK("http://www.ensembl.org/id/WBGene00008617", "WBGene00008617")</f>
        <v>WBGene00008617</v>
      </c>
      <c r="B9052" s="9" t="str">
        <f>HYPERLINK("http://www.ncbi.nlm.nih.gov/gene/184232", "184232")</f>
        <v>184232</v>
      </c>
      <c r="C9052" s="9"/>
      <c r="D9052" t="str">
        <f>"F09C6.3"</f>
        <v>F09C6.3</v>
      </c>
      <c r="F9052" t="s">
        <v>11</v>
      </c>
      <c r="H9052" s="12">
        <v>1.30411602720589</v>
      </c>
      <c r="I9052" s="20">
        <v>0.394036561283301</v>
      </c>
      <c r="J9052" s="28">
        <v>0.69355404635051698</v>
      </c>
      <c r="K9052" s="29">
        <v>0.98289565623980701</v>
      </c>
    </row>
    <row r="9053" spans="1:11" x14ac:dyDescent="0.35">
      <c r="A9053" s="9" t="str">
        <f>HYPERLINK("http://www.ensembl.org/id/WBGene00008621", "WBGene00008621")</f>
        <v>WBGene00008621</v>
      </c>
      <c r="B9053" s="9" t="str">
        <f>HYPERLINK("http://www.ncbi.nlm.nih.gov/gene/181691", "181691")</f>
        <v>181691</v>
      </c>
      <c r="C9053" s="9"/>
      <c r="D9053" t="str">
        <f>"F09C8.1"</f>
        <v>F09C8.1</v>
      </c>
      <c r="F9053" t="s">
        <v>11</v>
      </c>
      <c r="G9053" t="s">
        <v>588</v>
      </c>
      <c r="H9053" s="12">
        <v>-1.2103790992246699</v>
      </c>
      <c r="I9053" s="20">
        <v>-0.89442004986215196</v>
      </c>
      <c r="J9053" s="28">
        <v>0.37109718888684601</v>
      </c>
      <c r="K9053" s="29">
        <v>0.98289565623980701</v>
      </c>
    </row>
    <row r="9054" spans="1:11" x14ac:dyDescent="0.35">
      <c r="A9054" s="9" t="str">
        <f>HYPERLINK("http://www.ensembl.org/id/WBGene00017281", "WBGene00017281")</f>
        <v>WBGene00017281</v>
      </c>
      <c r="B9054" s="9" t="str">
        <f>HYPERLINK("http://www.ncbi.nlm.nih.gov/gene/184240", "184240")</f>
        <v>184240</v>
      </c>
      <c r="C9054" s="9"/>
      <c r="D9054" t="str">
        <f>"F09D12.2"</f>
        <v>F09D12.2</v>
      </c>
      <c r="F9054" t="s">
        <v>11</v>
      </c>
      <c r="H9054" s="12">
        <v>1.2300499369470199</v>
      </c>
      <c r="I9054" s="20">
        <v>0.36041423592668398</v>
      </c>
      <c r="J9054" s="28">
        <v>0.718537382257044</v>
      </c>
      <c r="K9054" s="29">
        <v>0.98289565623980701</v>
      </c>
    </row>
    <row r="9055" spans="1:11" x14ac:dyDescent="0.35">
      <c r="A9055" s="9" t="str">
        <f>HYPERLINK("http://www.ensembl.org/id/WBGene00022982", "WBGene00022982")</f>
        <v>WBGene00022982</v>
      </c>
      <c r="B9055" s="9"/>
      <c r="C9055" s="9"/>
      <c r="D9055" t="str">
        <f>"F09E10.10"</f>
        <v>F09E10.10</v>
      </c>
      <c r="F9055" t="s">
        <v>481</v>
      </c>
      <c r="H9055" s="12">
        <v>-1.78801600010898</v>
      </c>
      <c r="I9055" s="20">
        <v>-0.37733307245956699</v>
      </c>
      <c r="J9055" s="28">
        <v>0.70592609728380695</v>
      </c>
      <c r="K9055" s="29">
        <v>0.98289565623980701</v>
      </c>
    </row>
    <row r="9056" spans="1:11" x14ac:dyDescent="0.35">
      <c r="A9056" s="9" t="str">
        <f>HYPERLINK("http://www.ensembl.org/id/WBGene00219885", "WBGene00219885")</f>
        <v>WBGene00219885</v>
      </c>
      <c r="B9056" s="9"/>
      <c r="C9056" s="9"/>
      <c r="D9056" t="str">
        <f>"F09E10.14"</f>
        <v>F09E10.14</v>
      </c>
      <c r="F9056" t="s">
        <v>481</v>
      </c>
      <c r="H9056" s="12">
        <v>2.4262533138323099</v>
      </c>
      <c r="I9056" s="20">
        <v>0.45067382688494501</v>
      </c>
      <c r="J9056" s="28">
        <v>0.65222464874762698</v>
      </c>
      <c r="K9056" s="29">
        <v>0.98289565623980701</v>
      </c>
    </row>
    <row r="9057" spans="1:11" x14ac:dyDescent="0.35">
      <c r="A9057" s="9" t="str">
        <f>HYPERLINK("http://www.ensembl.org/id/WBGene00017297", "WBGene00017297")</f>
        <v>WBGene00017297</v>
      </c>
      <c r="B9057" s="9" t="str">
        <f>HYPERLINK("http://www.ncbi.nlm.nih.gov/gene/180488", "180488")</f>
        <v>180488</v>
      </c>
      <c r="C9057" s="9"/>
      <c r="D9057" t="str">
        <f>"F09E10.7"</f>
        <v>F09E10.7</v>
      </c>
      <c r="F9057" t="s">
        <v>11</v>
      </c>
      <c r="H9057" s="12">
        <v>1.36804074048102</v>
      </c>
      <c r="I9057" s="20">
        <v>1.09283705678256</v>
      </c>
      <c r="J9057" s="28">
        <v>0.27446534820756702</v>
      </c>
      <c r="K9057" s="29">
        <v>0.98289565623980701</v>
      </c>
    </row>
    <row r="9058" spans="1:11" x14ac:dyDescent="0.35">
      <c r="A9058" s="9" t="str">
        <f>HYPERLINK("http://www.ensembl.org/id/WBGene00017288", "WBGene00017288")</f>
        <v>WBGene00017288</v>
      </c>
      <c r="B9058" s="9" t="str">
        <f>HYPERLINK("http://www.ncbi.nlm.nih.gov/gene/173905", "173905")</f>
        <v>173905</v>
      </c>
      <c r="C9058" s="9"/>
      <c r="D9058" t="str">
        <f>"F09E5.10"</f>
        <v>F09E5.10</v>
      </c>
      <c r="F9058" t="s">
        <v>11</v>
      </c>
      <c r="H9058" s="12">
        <v>-1.08769965177322</v>
      </c>
      <c r="I9058" s="20">
        <v>-0.37786560400074998</v>
      </c>
      <c r="J9058" s="28">
        <v>0.70553043535353299</v>
      </c>
      <c r="K9058" s="29">
        <v>0.98289565623980701</v>
      </c>
    </row>
    <row r="9059" spans="1:11" x14ac:dyDescent="0.35">
      <c r="A9059" s="9" t="str">
        <f>HYPERLINK("http://www.ensembl.org/id/WBGene00017289", "WBGene00017289")</f>
        <v>WBGene00017289</v>
      </c>
      <c r="B9059" s="9" t="str">
        <f>HYPERLINK("http://www.ncbi.nlm.nih.gov/gene/184242", "184242")</f>
        <v>184242</v>
      </c>
      <c r="C9059" s="9"/>
      <c r="D9059" t="str">
        <f>"F09E5.11"</f>
        <v>F09E5.11</v>
      </c>
      <c r="F9059" t="s">
        <v>11</v>
      </c>
      <c r="G9059" t="s">
        <v>7660</v>
      </c>
      <c r="H9059" s="12">
        <v>-1.1379925673114799</v>
      </c>
      <c r="I9059" s="20">
        <v>-0.61332770224297495</v>
      </c>
      <c r="J9059" s="28">
        <v>0.53965967976793106</v>
      </c>
      <c r="K9059" s="29">
        <v>0.98289565623980701</v>
      </c>
    </row>
    <row r="9060" spans="1:11" x14ac:dyDescent="0.35">
      <c r="A9060" s="9" t="str">
        <f>HYPERLINK("http://www.ensembl.org/id/WBGene00017290", "WBGene00017290")</f>
        <v>WBGene00017290</v>
      </c>
      <c r="B9060" s="9" t="str">
        <f>HYPERLINK("http://www.ncbi.nlm.nih.gov/gene/184243", "184243")</f>
        <v>184243</v>
      </c>
      <c r="C9060" s="9"/>
      <c r="D9060" t="str">
        <f>"F09E5.12"</f>
        <v>F09E5.12</v>
      </c>
      <c r="F9060" t="s">
        <v>11</v>
      </c>
      <c r="H9060" s="12">
        <v>-1.1124415772409399</v>
      </c>
      <c r="I9060" s="20">
        <v>-0.38223851439700601</v>
      </c>
      <c r="J9060" s="28">
        <v>0.70228445646956905</v>
      </c>
      <c r="K9060" s="29">
        <v>0.98289565623980701</v>
      </c>
    </row>
    <row r="9061" spans="1:11" x14ac:dyDescent="0.35">
      <c r="A9061" s="9" t="str">
        <f>HYPERLINK("http://www.ensembl.org/id/WBGene00017292", "WBGene00017292")</f>
        <v>WBGene00017292</v>
      </c>
      <c r="B9061" s="9" t="str">
        <f>HYPERLINK("http://www.ncbi.nlm.nih.gov/gene/173909", "173909")</f>
        <v>173909</v>
      </c>
      <c r="C9061" s="9"/>
      <c r="D9061" t="str">
        <f>"F09E5.16"</f>
        <v>F09E5.16</v>
      </c>
      <c r="F9061" t="s">
        <v>11</v>
      </c>
      <c r="G9061" t="s">
        <v>25</v>
      </c>
      <c r="H9061" s="12">
        <v>1.07637364452089</v>
      </c>
      <c r="I9061" s="20">
        <v>0.348145135737078</v>
      </c>
      <c r="J9061" s="28">
        <v>0.72773118862481301</v>
      </c>
      <c r="K9061" s="29">
        <v>0.98289565623980701</v>
      </c>
    </row>
    <row r="9062" spans="1:11" x14ac:dyDescent="0.35">
      <c r="A9062" s="9" t="str">
        <f>HYPERLINK("http://www.ensembl.org/id/WBGene00195720", "WBGene00195720")</f>
        <v>WBGene00195720</v>
      </c>
      <c r="B9062" s="9"/>
      <c r="C9062" s="9"/>
      <c r="D9062" t="str">
        <f>"F09E5.18"</f>
        <v>F09E5.18</v>
      </c>
      <c r="F9062" t="s">
        <v>481</v>
      </c>
      <c r="H9062" s="12">
        <v>-5.4967879193631202</v>
      </c>
      <c r="I9062" s="20">
        <v>-0.50254160819837501</v>
      </c>
      <c r="J9062" s="28">
        <v>0.61528659178453604</v>
      </c>
      <c r="K9062" s="29">
        <v>0.98289565623980701</v>
      </c>
    </row>
    <row r="9063" spans="1:11" x14ac:dyDescent="0.35">
      <c r="A9063" s="9" t="str">
        <f>HYPERLINK("http://www.ensembl.org/id/WBGene00017283", "WBGene00017283")</f>
        <v>WBGene00017283</v>
      </c>
      <c r="B9063" s="9" t="str">
        <f>HYPERLINK("http://www.ncbi.nlm.nih.gov/gene/173911", "173911")</f>
        <v>173911</v>
      </c>
      <c r="C9063" s="9" t="str">
        <f>HYPERLINK("http://www.ncbi.nlm.nih.gov/gene/51071", "51071")</f>
        <v>51071</v>
      </c>
      <c r="D9063" t="str">
        <f>"F09E5.3"</f>
        <v>F09E5.3</v>
      </c>
      <c r="E9063" t="s">
        <v>8115</v>
      </c>
      <c r="F9063" t="s">
        <v>11</v>
      </c>
      <c r="G9063" t="s">
        <v>8116</v>
      </c>
      <c r="H9063" s="12">
        <v>-1.16111247329886</v>
      </c>
      <c r="I9063" s="20">
        <v>-0.78579978009809603</v>
      </c>
      <c r="J9063" s="28">
        <v>0.43198479544830598</v>
      </c>
      <c r="K9063" s="29">
        <v>0.98289565623980701</v>
      </c>
    </row>
    <row r="9064" spans="1:11" x14ac:dyDescent="0.35">
      <c r="A9064" s="9" t="str">
        <f>HYPERLINK("http://www.ensembl.org/id/WBGene00017285", "WBGene00017285")</f>
        <v>WBGene00017285</v>
      </c>
      <c r="B9064" s="9" t="str">
        <f>HYPERLINK("http://www.ncbi.nlm.nih.gov/gene/173907", "173907")</f>
        <v>173907</v>
      </c>
      <c r="C9064" s="9"/>
      <c r="D9064" t="str">
        <f>"F09E5.7"</f>
        <v>F09E5.7</v>
      </c>
      <c r="F9064" t="s">
        <v>11</v>
      </c>
      <c r="G9064" t="s">
        <v>8272</v>
      </c>
      <c r="H9064" s="12">
        <v>-1.1681846904103499</v>
      </c>
      <c r="I9064" s="20">
        <v>-0.82672127230943404</v>
      </c>
      <c r="J9064" s="28">
        <v>0.408395061424697</v>
      </c>
      <c r="K9064" s="29">
        <v>0.98289565623980701</v>
      </c>
    </row>
    <row r="9065" spans="1:11" x14ac:dyDescent="0.35">
      <c r="A9065" s="9" t="str">
        <f>HYPERLINK("http://www.ensembl.org/id/WBGene00017287", "WBGene00017287")</f>
        <v>WBGene00017287</v>
      </c>
      <c r="B9065" s="9" t="str">
        <f>HYPERLINK("http://www.ncbi.nlm.nih.gov/gene/184241", "184241")</f>
        <v>184241</v>
      </c>
      <c r="C9065" s="9"/>
      <c r="D9065" t="str">
        <f>"F09E5.9"</f>
        <v>F09E5.9</v>
      </c>
      <c r="F9065" t="s">
        <v>11</v>
      </c>
      <c r="H9065" s="12">
        <v>-9.6815265259172598</v>
      </c>
      <c r="I9065" s="20">
        <v>-0.67531719156077197</v>
      </c>
      <c r="J9065" s="28">
        <v>0.49947426381858001</v>
      </c>
      <c r="K9065" s="29">
        <v>0.98289565623980701</v>
      </c>
    </row>
    <row r="9066" spans="1:11" x14ac:dyDescent="0.35">
      <c r="A9066" s="9" t="str">
        <f>HYPERLINK("http://www.ensembl.org/id/WBGene00017302", "WBGene00017302")</f>
        <v>WBGene00017302</v>
      </c>
      <c r="B9066" s="9" t="str">
        <f>HYPERLINK("http://www.ncbi.nlm.nih.gov/gene/175764", "175764")</f>
        <v>175764</v>
      </c>
      <c r="C9066" s="9"/>
      <c r="D9066" t="str">
        <f>"F09F7.5"</f>
        <v>F09F7.5</v>
      </c>
      <c r="F9066" t="s">
        <v>11</v>
      </c>
      <c r="G9066" t="s">
        <v>9472</v>
      </c>
      <c r="H9066" s="12">
        <v>-1.2487037974083099</v>
      </c>
      <c r="I9066" s="20">
        <v>-1.05817818025015</v>
      </c>
      <c r="J9066" s="28">
        <v>0.289974216998449</v>
      </c>
      <c r="K9066" s="29">
        <v>0.98289565623980701</v>
      </c>
    </row>
    <row r="9067" spans="1:11" x14ac:dyDescent="0.35">
      <c r="A9067" s="9" t="str">
        <f>HYPERLINK("http://www.ensembl.org/id/WBGene00199500", "WBGene00199500")</f>
        <v>WBGene00199500</v>
      </c>
      <c r="B9067" s="9"/>
      <c r="C9067" s="9"/>
      <c r="D9067" t="str">
        <f>"F09F9.12"</f>
        <v>F09F9.12</v>
      </c>
      <c r="F9067" t="s">
        <v>481</v>
      </c>
      <c r="H9067" s="12">
        <v>2.4578120077400301</v>
      </c>
      <c r="I9067" s="20">
        <v>0.26093350314551</v>
      </c>
      <c r="J9067" s="28">
        <v>0.79414378780213601</v>
      </c>
      <c r="K9067" s="29">
        <v>0.98289565623980701</v>
      </c>
    </row>
    <row r="9068" spans="1:11" x14ac:dyDescent="0.35">
      <c r="A9068" s="9" t="str">
        <f>HYPERLINK("http://www.ensembl.org/id/WBGene00017307", "WBGene00017307")</f>
        <v>WBGene00017307</v>
      </c>
      <c r="B9068" s="9" t="str">
        <f>HYPERLINK("http://www.ncbi.nlm.nih.gov/gene/184263", "184263")</f>
        <v>184263</v>
      </c>
      <c r="C9068" s="9"/>
      <c r="D9068" t="str">
        <f>"F09F9.2"</f>
        <v>F09F9.2</v>
      </c>
      <c r="F9068" t="s">
        <v>11</v>
      </c>
      <c r="H9068" s="12">
        <v>1.58293988034485</v>
      </c>
      <c r="I9068" s="20">
        <v>0.80009667228623105</v>
      </c>
      <c r="J9068" s="28">
        <v>0.42365478904326798</v>
      </c>
      <c r="K9068" s="29">
        <v>0.98289565623980701</v>
      </c>
    </row>
    <row r="9069" spans="1:11" x14ac:dyDescent="0.35">
      <c r="A9069" s="9" t="str">
        <f>HYPERLINK("http://www.ensembl.org/id/WBGene00045395", "WBGene00045395")</f>
        <v>WBGene00045395</v>
      </c>
      <c r="B9069" s="9" t="str">
        <f>HYPERLINK("http://www.ncbi.nlm.nih.gov/gene/6418844", "6418844")</f>
        <v>6418844</v>
      </c>
      <c r="C9069" s="9"/>
      <c r="D9069" t="str">
        <f>"F09F9.5"</f>
        <v>F09F9.5</v>
      </c>
      <c r="F9069" t="s">
        <v>11</v>
      </c>
      <c r="G9069" t="s">
        <v>25</v>
      </c>
      <c r="H9069" s="12">
        <v>1.2021040599553201</v>
      </c>
      <c r="I9069" s="20">
        <v>0.271884208033849</v>
      </c>
      <c r="J9069" s="28">
        <v>0.78571105416938902</v>
      </c>
      <c r="K9069" s="29">
        <v>0.98289565623980701</v>
      </c>
    </row>
    <row r="9070" spans="1:11" x14ac:dyDescent="0.35">
      <c r="A9070" s="9" t="str">
        <f>HYPERLINK("http://www.ensembl.org/id/WBGene00017310", "WBGene00017310")</f>
        <v>WBGene00017310</v>
      </c>
      <c r="B9070" s="9" t="str">
        <f>HYPERLINK("http://www.ncbi.nlm.nih.gov/gene/179108", "179108")</f>
        <v>179108</v>
      </c>
      <c r="C9070" s="9"/>
      <c r="D9070" t="str">
        <f>"F09G2.1"</f>
        <v>F09G2.1</v>
      </c>
      <c r="F9070" t="s">
        <v>11</v>
      </c>
      <c r="G9070" t="s">
        <v>1778</v>
      </c>
      <c r="H9070" s="12">
        <v>1.2240688538833799</v>
      </c>
      <c r="I9070" s="20">
        <v>0.748634431046039</v>
      </c>
      <c r="J9070" s="28">
        <v>0.45407757366417001</v>
      </c>
      <c r="K9070" s="29">
        <v>0.98289565623980701</v>
      </c>
    </row>
    <row r="9071" spans="1:11" x14ac:dyDescent="0.35">
      <c r="A9071" s="9" t="str">
        <f>HYPERLINK("http://www.ensembl.org/id/WBGene00017316", "WBGene00017316")</f>
        <v>WBGene00017316</v>
      </c>
      <c r="B9071" s="9" t="str">
        <f>HYPERLINK("http://www.ncbi.nlm.nih.gov/gene/179105", "179105")</f>
        <v>179105</v>
      </c>
      <c r="C9071" s="9" t="str">
        <f>HYPERLINK("http://www.ncbi.nlm.nih.gov/gene/23646", "23646")</f>
        <v>23646</v>
      </c>
      <c r="D9071" t="str">
        <f>"F09G2.8"</f>
        <v>F09G2.8</v>
      </c>
      <c r="E9071" t="s">
        <v>9781</v>
      </c>
      <c r="F9071" t="s">
        <v>11</v>
      </c>
      <c r="G9071" t="s">
        <v>9782</v>
      </c>
      <c r="H9071" s="12">
        <v>-1.3010808787267001</v>
      </c>
      <c r="I9071" s="20">
        <v>-1.18690464548375</v>
      </c>
      <c r="J9071" s="28">
        <v>0.23526523473733801</v>
      </c>
      <c r="K9071" s="29">
        <v>0.98289565623980701</v>
      </c>
    </row>
    <row r="9072" spans="1:11" x14ac:dyDescent="0.35">
      <c r="A9072" s="9" t="str">
        <f>HYPERLINK("http://www.ensembl.org/id/WBGene00044444", "WBGene00044444")</f>
        <v>WBGene00044444</v>
      </c>
      <c r="B9072" s="9" t="str">
        <f>HYPERLINK("http://www.ncbi.nlm.nih.gov/gene/3896737", "3896737")</f>
        <v>3896737</v>
      </c>
      <c r="C9072" s="9"/>
      <c r="D9072" t="str">
        <f>"F09G8.10"</f>
        <v>F09G8.10</v>
      </c>
      <c r="F9072" t="s">
        <v>11</v>
      </c>
      <c r="H9072" s="12">
        <v>2.7629348392115398</v>
      </c>
      <c r="I9072" s="20">
        <v>0.89696543232478598</v>
      </c>
      <c r="J9072" s="28">
        <v>0.36973736286088599</v>
      </c>
      <c r="K9072" s="29">
        <v>0.98289565623980701</v>
      </c>
    </row>
    <row r="9073" spans="1:11" x14ac:dyDescent="0.35">
      <c r="A9073" s="9" t="str">
        <f>HYPERLINK("http://www.ensembl.org/id/WBGene00201048", "WBGene00201048")</f>
        <v>WBGene00201048</v>
      </c>
      <c r="B9073" s="9"/>
      <c r="C9073" s="9"/>
      <c r="D9073" t="str">
        <f>"F09G8.12"</f>
        <v>F09G8.12</v>
      </c>
      <c r="F9073" t="s">
        <v>481</v>
      </c>
      <c r="H9073" s="12">
        <v>2.3893468495514898</v>
      </c>
      <c r="I9073" s="20">
        <v>0.25323547253672701</v>
      </c>
      <c r="J9073" s="28">
        <v>0.80008625651646104</v>
      </c>
      <c r="K9073" s="29">
        <v>0.98289565623980701</v>
      </c>
    </row>
    <row r="9074" spans="1:11" x14ac:dyDescent="0.35">
      <c r="A9074" s="9" t="str">
        <f>HYPERLINK("http://www.ensembl.org/id/WBGene00017320", "WBGene00017320")</f>
        <v>WBGene00017320</v>
      </c>
      <c r="B9074" s="9" t="str">
        <f>HYPERLINK("http://www.ncbi.nlm.nih.gov/gene/184268", "184268")</f>
        <v>184268</v>
      </c>
      <c r="C9074" s="9"/>
      <c r="D9074" t="str">
        <f>"F09G8.5"</f>
        <v>F09G8.5</v>
      </c>
      <c r="F9074" t="s">
        <v>11</v>
      </c>
      <c r="G9074" t="s">
        <v>4795</v>
      </c>
      <c r="H9074" s="12">
        <v>1.36929544974699</v>
      </c>
      <c r="I9074" s="20">
        <v>1.1114058550544399</v>
      </c>
      <c r="J9074" s="28">
        <v>0.26639369322732698</v>
      </c>
      <c r="K9074" s="29">
        <v>0.98289565623980701</v>
      </c>
    </row>
    <row r="9075" spans="1:11" x14ac:dyDescent="0.35">
      <c r="A9075" s="9" t="str">
        <f>HYPERLINK("http://www.ensembl.org/id/WBGene00017321", "WBGene00017321")</f>
        <v>WBGene00017321</v>
      </c>
      <c r="B9075" s="9" t="str">
        <f>HYPERLINK("http://www.ncbi.nlm.nih.gov/gene/184270", "184270")</f>
        <v>184270</v>
      </c>
      <c r="C9075" s="9"/>
      <c r="D9075" t="str">
        <f>"F09G8.7"</f>
        <v>F09G8.7</v>
      </c>
      <c r="F9075" t="s">
        <v>11</v>
      </c>
      <c r="H9075" s="12">
        <v>-1.0972930023771199</v>
      </c>
      <c r="I9075" s="20">
        <v>-0.457646738619015</v>
      </c>
      <c r="J9075" s="28">
        <v>0.64720625883347005</v>
      </c>
      <c r="K9075" s="29">
        <v>0.98289565623980701</v>
      </c>
    </row>
    <row r="9076" spans="1:11" x14ac:dyDescent="0.35">
      <c r="A9076" s="9" t="str">
        <f>HYPERLINK("http://www.ensembl.org/id/WBGene00014733", "WBGene00014733")</f>
        <v>WBGene00014733</v>
      </c>
      <c r="B9076" s="9"/>
      <c r="C9076" s="9"/>
      <c r="D9076" t="str">
        <f>"F10A3.10"</f>
        <v>F10A3.10</v>
      </c>
      <c r="F9076" t="s">
        <v>80</v>
      </c>
      <c r="H9076" s="12">
        <v>-3.7261494131482999</v>
      </c>
      <c r="I9076" s="20">
        <v>-0.38454673129429601</v>
      </c>
      <c r="J9076" s="28">
        <v>0.70057326682554</v>
      </c>
      <c r="K9076" s="29">
        <v>0.98289565623980701</v>
      </c>
    </row>
    <row r="9077" spans="1:11" x14ac:dyDescent="0.35">
      <c r="A9077" s="9" t="str">
        <f>HYPERLINK("http://www.ensembl.org/id/WBGene00008635", "WBGene00008635")</f>
        <v>WBGene00008635</v>
      </c>
      <c r="B9077" s="9"/>
      <c r="C9077" s="9"/>
      <c r="D9077" t="str">
        <f>"F10A3.7"</f>
        <v>F10A3.7</v>
      </c>
      <c r="F9077" t="s">
        <v>80</v>
      </c>
      <c r="H9077" s="12">
        <v>-2.4991590031922399</v>
      </c>
      <c r="I9077" s="20">
        <v>-0.26577412737581302</v>
      </c>
      <c r="J9077" s="28">
        <v>0.79041317015736101</v>
      </c>
      <c r="K9077" s="29">
        <v>0.98289565623980701</v>
      </c>
    </row>
    <row r="9078" spans="1:11" x14ac:dyDescent="0.35">
      <c r="A9078" s="9" t="str">
        <f>HYPERLINK("http://www.ensembl.org/id/WBGene00008640", "WBGene00008640")</f>
        <v>WBGene00008640</v>
      </c>
      <c r="B9078" s="9" t="str">
        <f>HYPERLINK("http://www.ncbi.nlm.nih.gov/gene/184285", "184285")</f>
        <v>184285</v>
      </c>
      <c r="C9078" s="9"/>
      <c r="D9078" t="str">
        <f>"F10B5.3"</f>
        <v>F10B5.3</v>
      </c>
      <c r="F9078" t="s">
        <v>11</v>
      </c>
      <c r="G9078" t="s">
        <v>4774</v>
      </c>
      <c r="H9078" s="12">
        <v>1.39129200303133</v>
      </c>
      <c r="I9078" s="20">
        <v>0.487758523214394</v>
      </c>
      <c r="J9078" s="28">
        <v>0.62572089329332603</v>
      </c>
      <c r="K9078" s="29">
        <v>0.98289565623980701</v>
      </c>
    </row>
    <row r="9079" spans="1:11" x14ac:dyDescent="0.35">
      <c r="A9079" s="9" t="str">
        <f>HYPERLINK("http://www.ensembl.org/id/WBGene00199724", "WBGene00199724")</f>
        <v>WBGene00199724</v>
      </c>
      <c r="B9079" s="9"/>
      <c r="C9079" s="9"/>
      <c r="D9079" t="str">
        <f>"F10C1.16"</f>
        <v>F10C1.16</v>
      </c>
      <c r="F9079" t="s">
        <v>481</v>
      </c>
      <c r="H9079" s="12">
        <v>-2.4295389261469</v>
      </c>
      <c r="I9079" s="20">
        <v>-0.25808529976640998</v>
      </c>
      <c r="J9079" s="28">
        <v>0.79634107645457397</v>
      </c>
      <c r="K9079" s="29">
        <v>0.98289565623980701</v>
      </c>
    </row>
    <row r="9080" spans="1:11" x14ac:dyDescent="0.35">
      <c r="A9080" s="9" t="str">
        <f>HYPERLINK("http://www.ensembl.org/id/WBGene00271819", "WBGene00271819")</f>
        <v>WBGene00271819</v>
      </c>
      <c r="B9080" s="9" t="str">
        <f>HYPERLINK("http://www.ncbi.nlm.nih.gov/gene/34700622", "34700622")</f>
        <v>34700622</v>
      </c>
      <c r="C9080" s="9"/>
      <c r="D9080" t="str">
        <f>"F10C1.23"</f>
        <v>F10C1.23</v>
      </c>
      <c r="F9080" t="s">
        <v>11</v>
      </c>
      <c r="H9080" s="12">
        <v>1.94791668713449</v>
      </c>
      <c r="I9080" s="20">
        <v>0.478803969292037</v>
      </c>
      <c r="J9080" s="28">
        <v>0.63207809264092096</v>
      </c>
      <c r="K9080" s="29">
        <v>0.98289565623980701</v>
      </c>
    </row>
    <row r="9081" spans="1:11" x14ac:dyDescent="0.35">
      <c r="A9081" s="9" t="str">
        <f>HYPERLINK("http://www.ensembl.org/id/WBGene00017325", "WBGene00017325")</f>
        <v>WBGene00017325</v>
      </c>
      <c r="B9081" s="9" t="str">
        <f>HYPERLINK("http://www.ncbi.nlm.nih.gov/gene/173975", "173975")</f>
        <v>173975</v>
      </c>
      <c r="C9081" s="9"/>
      <c r="D9081" t="str">
        <f>"F10C1.3"</f>
        <v>F10C1.3</v>
      </c>
      <c r="F9081" t="s">
        <v>11</v>
      </c>
      <c r="H9081" s="12">
        <v>1.8819887740966199</v>
      </c>
      <c r="I9081" s="20">
        <v>0.449711877456756</v>
      </c>
      <c r="J9081" s="28">
        <v>0.65291820593226302</v>
      </c>
      <c r="K9081" s="29">
        <v>0.98289565623980701</v>
      </c>
    </row>
    <row r="9082" spans="1:11" x14ac:dyDescent="0.35">
      <c r="A9082" s="9" t="str">
        <f>HYPERLINK("http://www.ensembl.org/id/WBGene00022983", "WBGene00022983")</f>
        <v>WBGene00022983</v>
      </c>
      <c r="B9082" s="9"/>
      <c r="C9082" s="9"/>
      <c r="D9082" t="str">
        <f>"F10C1.t1"</f>
        <v>F10C1.t1</v>
      </c>
      <c r="F9082" t="s">
        <v>4208</v>
      </c>
      <c r="H9082" s="12">
        <v>6.4116684774139099</v>
      </c>
      <c r="I9082" s="20">
        <v>0.95039085173336002</v>
      </c>
      <c r="J9082" s="28">
        <v>0.341913690643046</v>
      </c>
      <c r="K9082" s="29">
        <v>0.98289565623980701</v>
      </c>
    </row>
    <row r="9083" spans="1:11" x14ac:dyDescent="0.35">
      <c r="A9083" s="9" t="str">
        <f>HYPERLINK("http://www.ensembl.org/id/WBGene00022984", "WBGene00022984")</f>
        <v>WBGene00022984</v>
      </c>
      <c r="B9083" s="9"/>
      <c r="C9083" s="9"/>
      <c r="D9083" t="str">
        <f>"F10C1.t2"</f>
        <v>F10C1.t2</v>
      </c>
      <c r="F9083" t="s">
        <v>4208</v>
      </c>
      <c r="H9083" s="12">
        <v>2.3893468495514898</v>
      </c>
      <c r="I9083" s="20">
        <v>0.25323547253672701</v>
      </c>
      <c r="J9083" s="28">
        <v>0.80008625651646104</v>
      </c>
      <c r="K9083" s="29">
        <v>0.98289565623980701</v>
      </c>
    </row>
    <row r="9084" spans="1:11" x14ac:dyDescent="0.35">
      <c r="A9084" s="9" t="str">
        <f>HYPERLINK("http://www.ensembl.org/id/WBGene00196303", "WBGene00196303")</f>
        <v>WBGene00196303</v>
      </c>
      <c r="B9084" s="9"/>
      <c r="C9084" s="9"/>
      <c r="D9084" t="str">
        <f>"F10C2.10"</f>
        <v>F10C2.10</v>
      </c>
      <c r="F9084" t="s">
        <v>481</v>
      </c>
      <c r="H9084" s="12">
        <v>-4.7167679298615104</v>
      </c>
      <c r="I9084" s="20">
        <v>-0.454742638005115</v>
      </c>
      <c r="J9084" s="28">
        <v>0.64929440216969203</v>
      </c>
      <c r="K9084" s="29">
        <v>0.98289565623980701</v>
      </c>
    </row>
    <row r="9085" spans="1:11" x14ac:dyDescent="0.35">
      <c r="A9085" s="9" t="str">
        <f>HYPERLINK("http://www.ensembl.org/id/WBGene00198873", "WBGene00198873")</f>
        <v>WBGene00198873</v>
      </c>
      <c r="B9085" s="9"/>
      <c r="C9085" s="9"/>
      <c r="D9085" t="str">
        <f>"F10C2.11"</f>
        <v>F10C2.11</v>
      </c>
      <c r="F9085" t="s">
        <v>481</v>
      </c>
      <c r="H9085" s="12">
        <v>-2.4991590031922399</v>
      </c>
      <c r="I9085" s="20">
        <v>-0.26577412737581302</v>
      </c>
      <c r="J9085" s="28">
        <v>0.79041317015736101</v>
      </c>
      <c r="K9085" s="29">
        <v>0.98289565623980701</v>
      </c>
    </row>
    <row r="9086" spans="1:11" x14ac:dyDescent="0.35">
      <c r="A9086" s="9" t="str">
        <f>HYPERLINK("http://www.ensembl.org/id/WBGene00008647", "WBGene00008647")</f>
        <v>WBGene00008647</v>
      </c>
      <c r="B9086" s="9" t="str">
        <f>HYPERLINK("http://www.ncbi.nlm.nih.gov/gene/184290", "184290")</f>
        <v>184290</v>
      </c>
      <c r="C9086" s="9"/>
      <c r="D9086" t="str">
        <f>"F10C2.7"</f>
        <v>F10C2.7</v>
      </c>
      <c r="F9086" t="s">
        <v>11</v>
      </c>
      <c r="G9086" t="s">
        <v>230</v>
      </c>
      <c r="H9086" s="12">
        <v>4.35853294839883</v>
      </c>
      <c r="I9086" s="20">
        <v>1.1831342917363501</v>
      </c>
      <c r="J9086" s="28">
        <v>0.23675592927733699</v>
      </c>
      <c r="K9086" s="29">
        <v>0.98289565623980701</v>
      </c>
    </row>
    <row r="9087" spans="1:11" x14ac:dyDescent="0.35">
      <c r="A9087" s="9" t="str">
        <f>HYPERLINK("http://www.ensembl.org/id/WBGene00195537", "WBGene00195537")</f>
        <v>WBGene00195537</v>
      </c>
      <c r="B9087" s="9"/>
      <c r="C9087" s="9"/>
      <c r="D9087" t="str">
        <f>"F10C2.9"</f>
        <v>F10C2.9</v>
      </c>
      <c r="F9087" t="s">
        <v>481</v>
      </c>
      <c r="H9087" s="12">
        <v>-2.4295389261469</v>
      </c>
      <c r="I9087" s="20">
        <v>-0.25808529976640998</v>
      </c>
      <c r="J9087" s="28">
        <v>0.79634107645457397</v>
      </c>
      <c r="K9087" s="29">
        <v>0.98289565623980701</v>
      </c>
    </row>
    <row r="9088" spans="1:11" x14ac:dyDescent="0.35">
      <c r="A9088" s="9" t="str">
        <f>HYPERLINK("http://www.ensembl.org/id/WBGene00008648", "WBGene00008648")</f>
        <v>WBGene00008648</v>
      </c>
      <c r="B9088" s="9" t="str">
        <f>HYPERLINK("http://www.ncbi.nlm.nih.gov/gene/172633", "172633")</f>
        <v>172633</v>
      </c>
      <c r="C9088" s="9"/>
      <c r="D9088" t="str">
        <f>"F10D11.2"</f>
        <v>F10D11.2</v>
      </c>
      <c r="F9088" t="s">
        <v>11</v>
      </c>
      <c r="H9088" s="12">
        <v>-1.24547483055204</v>
      </c>
      <c r="I9088" s="20">
        <v>-0.99240626835430701</v>
      </c>
      <c r="J9088" s="28">
        <v>0.32099938240866499</v>
      </c>
      <c r="K9088" s="29">
        <v>0.98289565623980701</v>
      </c>
    </row>
    <row r="9089" spans="1:11" x14ac:dyDescent="0.35">
      <c r="A9089" s="9" t="str">
        <f>HYPERLINK("http://www.ensembl.org/id/WBGene00008651", "WBGene00008651")</f>
        <v>WBGene00008651</v>
      </c>
      <c r="B9089" s="9" t="str">
        <f>HYPERLINK("http://www.ncbi.nlm.nih.gov/gene/172634", "172634")</f>
        <v>172634</v>
      </c>
      <c r="C9089" s="9"/>
      <c r="D9089" t="str">
        <f>"F10D11.5"</f>
        <v>F10D11.5</v>
      </c>
      <c r="F9089" t="s">
        <v>11</v>
      </c>
      <c r="G9089" t="s">
        <v>54</v>
      </c>
      <c r="H9089" s="12">
        <v>-1.4438501231735501</v>
      </c>
      <c r="I9089" s="20">
        <v>-0.61785018615529097</v>
      </c>
      <c r="J9089" s="28">
        <v>0.53667409799991805</v>
      </c>
      <c r="K9089" s="29">
        <v>0.98289565623980701</v>
      </c>
    </row>
    <row r="9090" spans="1:11" x14ac:dyDescent="0.35">
      <c r="A9090" s="9" t="str">
        <f>HYPERLINK("http://www.ensembl.org/id/WBGene00271437", "WBGene00271437")</f>
        <v>WBGene00271437</v>
      </c>
      <c r="B9090" s="9" t="str">
        <f>HYPERLINK("http://www.ncbi.nlm.nih.gov/gene/13213535", "13213535")</f>
        <v>13213535</v>
      </c>
      <c r="C9090" s="9"/>
      <c r="D9090" t="str">
        <f>"F10D2.16"</f>
        <v>F10D2.16</v>
      </c>
      <c r="F9090" t="s">
        <v>11</v>
      </c>
      <c r="G9090" t="s">
        <v>25</v>
      </c>
      <c r="H9090" s="12">
        <v>2.6332782403384201</v>
      </c>
      <c r="I9090" s="20">
        <v>0.55032415732920104</v>
      </c>
      <c r="J9090" s="28">
        <v>0.58209705787090504</v>
      </c>
      <c r="K9090" s="29">
        <v>0.98289565623980701</v>
      </c>
    </row>
    <row r="9091" spans="1:11" x14ac:dyDescent="0.35">
      <c r="A9091" s="9" t="str">
        <f>HYPERLINK("http://www.ensembl.org/id/WBGene00017334", "WBGene00017334")</f>
        <v>WBGene00017334</v>
      </c>
      <c r="B9091" s="9" t="str">
        <f>HYPERLINK("http://www.ncbi.nlm.nih.gov/gene/266913", "266913")</f>
        <v>266913</v>
      </c>
      <c r="C9091" s="9"/>
      <c r="D9091" t="str">
        <f>"F10D2.8"</f>
        <v>F10D2.8</v>
      </c>
      <c r="F9091" t="s">
        <v>11</v>
      </c>
      <c r="G9091" t="s">
        <v>4722</v>
      </c>
      <c r="H9091" s="12">
        <v>1.45049794185298</v>
      </c>
      <c r="I9091" s="20">
        <v>0.458308480896159</v>
      </c>
      <c r="J9091" s="28">
        <v>0.64673083197110104</v>
      </c>
      <c r="K9091" s="29">
        <v>0.98289565623980701</v>
      </c>
    </row>
    <row r="9092" spans="1:11" x14ac:dyDescent="0.35">
      <c r="A9092" s="9" t="str">
        <f>HYPERLINK("http://www.ensembl.org/id/WBGene00017339", "WBGene00017339")</f>
        <v>WBGene00017339</v>
      </c>
      <c r="B9092" s="9" t="str">
        <f>HYPERLINK("http://www.ncbi.nlm.nih.gov/gene/181765", "181765")</f>
        <v>181765</v>
      </c>
      <c r="C9092" s="9" t="str">
        <f>HYPERLINK("http://www.ncbi.nlm.nih.gov/gene/10227", "10227")</f>
        <v>10227</v>
      </c>
      <c r="D9092" t="str">
        <f>"F10D7.2"</f>
        <v>F10D7.2</v>
      </c>
      <c r="F9092" t="s">
        <v>11</v>
      </c>
      <c r="G9092" t="s">
        <v>1977</v>
      </c>
      <c r="H9092" s="12">
        <v>1.28082079372615</v>
      </c>
      <c r="I9092" s="20">
        <v>1.06875309112842</v>
      </c>
      <c r="J9092" s="28">
        <v>0.28518094160616497</v>
      </c>
      <c r="K9092" s="29">
        <v>0.98289565623980701</v>
      </c>
    </row>
    <row r="9093" spans="1:11" x14ac:dyDescent="0.35">
      <c r="A9093" s="9" t="str">
        <f>HYPERLINK("http://www.ensembl.org/id/WBGene00017341", "WBGene00017341")</f>
        <v>WBGene00017341</v>
      </c>
      <c r="B9093" s="9" t="str">
        <f>HYPERLINK("http://www.ncbi.nlm.nih.gov/gene/32928586", "32928586")</f>
        <v>32928586</v>
      </c>
      <c r="C9093" s="9"/>
      <c r="D9093" t="str">
        <f>"F10D7.4"</f>
        <v>F10D7.4</v>
      </c>
      <c r="F9093" t="s">
        <v>11</v>
      </c>
      <c r="H9093" s="12">
        <v>-1.11094649941582</v>
      </c>
      <c r="I9093" s="20">
        <v>-0.28838204712248999</v>
      </c>
      <c r="J9093" s="28">
        <v>0.77305430859539404</v>
      </c>
      <c r="K9093" s="29">
        <v>0.98289565623980701</v>
      </c>
    </row>
    <row r="9094" spans="1:11" x14ac:dyDescent="0.35">
      <c r="A9094" s="9" t="str">
        <f>HYPERLINK("http://www.ensembl.org/id/WBGene00017342", "WBGene00017342")</f>
        <v>WBGene00017342</v>
      </c>
      <c r="B9094" s="9" t="str">
        <f>HYPERLINK("http://www.ncbi.nlm.nih.gov/gene/181767", "181767")</f>
        <v>181767</v>
      </c>
      <c r="C9094" s="9" t="str">
        <f>HYPERLINK("http://www.ncbi.nlm.nih.gov/gene/54492", "54492")</f>
        <v>54492</v>
      </c>
      <c r="D9094" t="str">
        <f>"F10D7.5"</f>
        <v>F10D7.5</v>
      </c>
      <c r="F9094" t="s">
        <v>11</v>
      </c>
      <c r="G9094" t="s">
        <v>8678</v>
      </c>
      <c r="H9094" s="12">
        <v>-1.1902961575737301</v>
      </c>
      <c r="I9094" s="20">
        <v>-0.88620796444380601</v>
      </c>
      <c r="J9094" s="28">
        <v>0.37550547267408801</v>
      </c>
      <c r="K9094" s="29">
        <v>0.98289565623980701</v>
      </c>
    </row>
    <row r="9095" spans="1:11" x14ac:dyDescent="0.35">
      <c r="A9095" s="9" t="str">
        <f>HYPERLINK("http://www.ensembl.org/id/WBGene00200306", "WBGene00200306")</f>
        <v>WBGene00200306</v>
      </c>
      <c r="B9095" s="9"/>
      <c r="C9095" s="9"/>
      <c r="D9095" t="str">
        <f>"F10D7.9"</f>
        <v>F10D7.9</v>
      </c>
      <c r="F9095" t="s">
        <v>481</v>
      </c>
      <c r="H9095" s="12">
        <v>2.4578120077400301</v>
      </c>
      <c r="I9095" s="20">
        <v>0.26093350314551</v>
      </c>
      <c r="J9095" s="28">
        <v>0.79414378780213601</v>
      </c>
      <c r="K9095" s="29">
        <v>0.98289565623980701</v>
      </c>
    </row>
    <row r="9096" spans="1:11" x14ac:dyDescent="0.35">
      <c r="A9096" s="9" t="str">
        <f>HYPERLINK("http://www.ensembl.org/id/WBGene00017343", "WBGene00017343")</f>
        <v>WBGene00017343</v>
      </c>
      <c r="B9096" s="9" t="str">
        <f>HYPERLINK("http://www.ncbi.nlm.nih.gov/gene/174172", "174172")</f>
        <v>174172</v>
      </c>
      <c r="C9096" s="9"/>
      <c r="D9096" t="str">
        <f>"F10E7.1"</f>
        <v>F10E7.1</v>
      </c>
      <c r="F9096" t="s">
        <v>11</v>
      </c>
      <c r="G9096" t="s">
        <v>178</v>
      </c>
      <c r="H9096" s="12">
        <v>-1.2359421853029899</v>
      </c>
      <c r="I9096" s="20">
        <v>-0.37391089212687101</v>
      </c>
      <c r="J9096" s="28">
        <v>0.70847061254198995</v>
      </c>
      <c r="K9096" s="29">
        <v>0.98289565623980701</v>
      </c>
    </row>
    <row r="9097" spans="1:11" x14ac:dyDescent="0.35">
      <c r="A9097" s="9" t="str">
        <f>HYPERLINK("http://www.ensembl.org/id/WBGene00017352", "WBGene00017352")</f>
        <v>WBGene00017352</v>
      </c>
      <c r="B9097" s="9" t="str">
        <f>HYPERLINK("http://www.ncbi.nlm.nih.gov/gene/174170", "174170")</f>
        <v>174170</v>
      </c>
      <c r="C9097" s="9"/>
      <c r="D9097" t="str">
        <f>"F10E7.11"</f>
        <v>F10E7.11</v>
      </c>
      <c r="F9097" t="s">
        <v>11</v>
      </c>
      <c r="G9097" t="s">
        <v>9334</v>
      </c>
      <c r="H9097" s="12">
        <v>-1.23925663096852</v>
      </c>
      <c r="I9097" s="20">
        <v>-0.40047474461063498</v>
      </c>
      <c r="J9097" s="28">
        <v>0.68880688146229996</v>
      </c>
      <c r="K9097" s="29">
        <v>0.98289565623980701</v>
      </c>
    </row>
    <row r="9098" spans="1:11" x14ac:dyDescent="0.35">
      <c r="A9098" s="9" t="str">
        <f>HYPERLINK("http://www.ensembl.org/id/WBGene00195030", "WBGene00195030")</f>
        <v>WBGene00195030</v>
      </c>
      <c r="B9098" s="9"/>
      <c r="C9098" s="9"/>
      <c r="D9098" t="str">
        <f>"F10E7.12"</f>
        <v>F10E7.12</v>
      </c>
      <c r="F9098" t="s">
        <v>481</v>
      </c>
      <c r="H9098" s="12">
        <v>-2.0281220891434302</v>
      </c>
      <c r="I9098" s="20">
        <v>-0.43105784723118601</v>
      </c>
      <c r="J9098" s="28">
        <v>0.66642630947210002</v>
      </c>
      <c r="K9098" s="29">
        <v>0.98289565623980701</v>
      </c>
    </row>
    <row r="9099" spans="1:11" x14ac:dyDescent="0.35">
      <c r="A9099" s="9" t="str">
        <f>HYPERLINK("http://www.ensembl.org/id/WBGene00017344", "WBGene00017344")</f>
        <v>WBGene00017344</v>
      </c>
      <c r="B9099" s="9" t="str">
        <f>HYPERLINK("http://www.ncbi.nlm.nih.gov/gene/174171", "174171")</f>
        <v>174171</v>
      </c>
      <c r="C9099" s="9"/>
      <c r="D9099" t="str">
        <f>"F10E7.2"</f>
        <v>F10E7.2</v>
      </c>
      <c r="F9099" t="s">
        <v>11</v>
      </c>
      <c r="G9099" t="s">
        <v>25</v>
      </c>
      <c r="H9099" s="12">
        <v>-1.1145861508252799</v>
      </c>
      <c r="I9099" s="20">
        <v>-0.45860991142625102</v>
      </c>
      <c r="J9099" s="28">
        <v>0.646514317842937</v>
      </c>
      <c r="K9099" s="29">
        <v>0.98289565623980701</v>
      </c>
    </row>
    <row r="9100" spans="1:11" x14ac:dyDescent="0.35">
      <c r="A9100" s="9" t="str">
        <f>HYPERLINK("http://www.ensembl.org/id/WBGene00017345", "WBGene00017345")</f>
        <v>WBGene00017345</v>
      </c>
      <c r="B9100" s="9"/>
      <c r="C9100" s="9"/>
      <c r="D9100" t="str">
        <f>"F10E7.3"</f>
        <v>F10E7.3</v>
      </c>
      <c r="F9100" t="s">
        <v>80</v>
      </c>
      <c r="H9100" s="12">
        <v>5.9495765472548197</v>
      </c>
      <c r="I9100" s="20">
        <v>0.52429389276509997</v>
      </c>
      <c r="J9100" s="28">
        <v>0.60007414400596704</v>
      </c>
      <c r="K9100" s="29">
        <v>0.98289565623980701</v>
      </c>
    </row>
    <row r="9101" spans="1:11" x14ac:dyDescent="0.35">
      <c r="A9101" s="9" t="str">
        <f>HYPERLINK("http://www.ensembl.org/id/WBGene00017347", "WBGene00017347")</f>
        <v>WBGene00017347</v>
      </c>
      <c r="B9101" s="9" t="str">
        <f>HYPERLINK("http://www.ncbi.nlm.nih.gov/gene/174168", "174168")</f>
        <v>174168</v>
      </c>
      <c r="C9101" s="9" t="str">
        <f>HYPERLINK("http://www.ncbi.nlm.nih.gov/gene/51154", "51154")</f>
        <v>51154</v>
      </c>
      <c r="D9101" t="str">
        <f>"F10E7.5"</f>
        <v>F10E7.5</v>
      </c>
      <c r="E9101" t="s">
        <v>6869</v>
      </c>
      <c r="F9101" t="s">
        <v>11</v>
      </c>
      <c r="G9101" t="s">
        <v>6870</v>
      </c>
      <c r="H9101" s="12">
        <v>-1.0934569180260401</v>
      </c>
      <c r="I9101" s="20">
        <v>-0.42179324812041302</v>
      </c>
      <c r="J9101" s="28">
        <v>0.67317593439963996</v>
      </c>
      <c r="K9101" s="29">
        <v>0.98289565623980701</v>
      </c>
    </row>
    <row r="9102" spans="1:11" x14ac:dyDescent="0.35">
      <c r="A9102" s="9" t="str">
        <f>HYPERLINK("http://www.ensembl.org/id/WBGene00017348", "WBGene00017348")</f>
        <v>WBGene00017348</v>
      </c>
      <c r="B9102" s="9" t="str">
        <f>HYPERLINK("http://www.ncbi.nlm.nih.gov/gene/184301", "184301")</f>
        <v>184301</v>
      </c>
      <c r="C9102" s="9"/>
      <c r="D9102" t="str">
        <f>"F10E7.6"</f>
        <v>F10E7.6</v>
      </c>
      <c r="F9102" t="s">
        <v>11</v>
      </c>
      <c r="G9102" t="s">
        <v>25</v>
      </c>
      <c r="H9102" s="12">
        <v>-1.15198571239161</v>
      </c>
      <c r="I9102" s="20">
        <v>-0.60299236004787404</v>
      </c>
      <c r="J9102" s="28">
        <v>0.54651377168361603</v>
      </c>
      <c r="K9102" s="29">
        <v>0.98289565623980701</v>
      </c>
    </row>
    <row r="9103" spans="1:11" x14ac:dyDescent="0.35">
      <c r="A9103" s="9" t="str">
        <f>HYPERLINK("http://www.ensembl.org/id/WBGene00017350", "WBGene00017350")</f>
        <v>WBGene00017350</v>
      </c>
      <c r="B9103" s="9" t="str">
        <f>HYPERLINK("http://www.ncbi.nlm.nih.gov/gene/174167", "174167")</f>
        <v>174167</v>
      </c>
      <c r="C9103" s="9" t="str">
        <f>HYPERLINK("http://www.ncbi.nlm.nih.gov/gene/84561", "84561")</f>
        <v>84561</v>
      </c>
      <c r="D9103" t="str">
        <f>"F10E7.9"</f>
        <v>F10E7.9</v>
      </c>
      <c r="F9103" t="s">
        <v>11</v>
      </c>
      <c r="G9103" t="s">
        <v>5031</v>
      </c>
      <c r="H9103" s="12">
        <v>1.2552211372326101</v>
      </c>
      <c r="I9103" s="20">
        <v>1.1000773981701599</v>
      </c>
      <c r="J9103" s="28">
        <v>0.27129840060856603</v>
      </c>
      <c r="K9103" s="29">
        <v>0.98289565623980701</v>
      </c>
    </row>
    <row r="9104" spans="1:11" x14ac:dyDescent="0.35">
      <c r="A9104" s="9" t="str">
        <f>HYPERLINK("http://www.ensembl.org/id/WBGene00017360", "WBGene00017360")</f>
        <v>WBGene00017360</v>
      </c>
      <c r="B9104" s="9" t="str">
        <f>HYPERLINK("http://www.ncbi.nlm.nih.gov/gene/176173", "176173")</f>
        <v>176173</v>
      </c>
      <c r="C9104" s="9"/>
      <c r="D9104" t="str">
        <f>"F10E9.11"</f>
        <v>F10E9.11</v>
      </c>
      <c r="F9104" t="s">
        <v>11</v>
      </c>
      <c r="H9104" s="12">
        <v>-1.2787855711229399</v>
      </c>
      <c r="I9104" s="20">
        <v>-0.82729900169187198</v>
      </c>
      <c r="J9104" s="28">
        <v>0.40806760947619802</v>
      </c>
      <c r="K9104" s="29">
        <v>0.98289565623980701</v>
      </c>
    </row>
    <row r="9105" spans="1:11" x14ac:dyDescent="0.35">
      <c r="A9105" s="9" t="str">
        <f>HYPERLINK("http://www.ensembl.org/id/WBGene00017361", "WBGene00017361")</f>
        <v>WBGene00017361</v>
      </c>
      <c r="B9105" s="9" t="str">
        <f>HYPERLINK("http://www.ncbi.nlm.nih.gov/gene/176174", "176174")</f>
        <v>176174</v>
      </c>
      <c r="C9105" s="9"/>
      <c r="D9105" t="str">
        <f>"F10E9.12"</f>
        <v>F10E9.12</v>
      </c>
      <c r="F9105" t="s">
        <v>11</v>
      </c>
      <c r="H9105" s="12">
        <v>-1.21867066443785</v>
      </c>
      <c r="I9105" s="20">
        <v>-0.92671319374382199</v>
      </c>
      <c r="J9105" s="28">
        <v>0.35407546541420198</v>
      </c>
      <c r="K9105" s="29">
        <v>0.98289565623980701</v>
      </c>
    </row>
    <row r="9106" spans="1:11" x14ac:dyDescent="0.35">
      <c r="A9106" s="9" t="str">
        <f>HYPERLINK("http://www.ensembl.org/id/WBGene00197192", "WBGene00197192")</f>
        <v>WBGene00197192</v>
      </c>
      <c r="B9106" s="9"/>
      <c r="C9106" s="9"/>
      <c r="D9106" t="str">
        <f>"F10E9.14"</f>
        <v>F10E9.14</v>
      </c>
      <c r="F9106" t="s">
        <v>481</v>
      </c>
      <c r="H9106" s="12">
        <v>1.64574744434391</v>
      </c>
      <c r="I9106" s="20">
        <v>0.27426801228333803</v>
      </c>
      <c r="J9106" s="28">
        <v>0.78387866479735602</v>
      </c>
      <c r="K9106" s="29">
        <v>0.98289565623980701</v>
      </c>
    </row>
    <row r="9107" spans="1:11" x14ac:dyDescent="0.35">
      <c r="A9107" s="9" t="str">
        <f>HYPERLINK("http://www.ensembl.org/id/WBGene00199613", "WBGene00199613")</f>
        <v>WBGene00199613</v>
      </c>
      <c r="B9107" s="9"/>
      <c r="C9107" s="9"/>
      <c r="D9107" t="str">
        <f>"F10E9.16"</f>
        <v>F10E9.16</v>
      </c>
      <c r="F9107" t="s">
        <v>481</v>
      </c>
      <c r="H9107" s="12">
        <v>3.5227018545059199</v>
      </c>
      <c r="I9107" s="20">
        <v>0.36849691206929103</v>
      </c>
      <c r="J9107" s="28">
        <v>0.71250274722433404</v>
      </c>
      <c r="K9107" s="29">
        <v>0.98289565623980701</v>
      </c>
    </row>
    <row r="9108" spans="1:11" x14ac:dyDescent="0.35">
      <c r="A9108" s="9" t="str">
        <f>HYPERLINK("http://www.ensembl.org/id/WBGene00200438", "WBGene00200438")</f>
        <v>WBGene00200438</v>
      </c>
      <c r="B9108" s="9"/>
      <c r="C9108" s="9"/>
      <c r="D9108" t="str">
        <f>"F10E9.17"</f>
        <v>F10E9.17</v>
      </c>
      <c r="F9108" t="s">
        <v>481</v>
      </c>
      <c r="H9108" s="12">
        <v>-2.4991590031922399</v>
      </c>
      <c r="I9108" s="20">
        <v>-0.26577412737581302</v>
      </c>
      <c r="J9108" s="28">
        <v>0.79041317015736101</v>
      </c>
      <c r="K9108" s="29">
        <v>0.98289565623980701</v>
      </c>
    </row>
    <row r="9109" spans="1:11" x14ac:dyDescent="0.35">
      <c r="A9109" s="9" t="str">
        <f>HYPERLINK("http://www.ensembl.org/id/WBGene00201223", "WBGene00201223")</f>
        <v>WBGene00201223</v>
      </c>
      <c r="B9109" s="9"/>
      <c r="C9109" s="9"/>
      <c r="D9109" t="str">
        <f>"F10E9.19"</f>
        <v>F10E9.19</v>
      </c>
      <c r="F9109" t="s">
        <v>481</v>
      </c>
      <c r="H9109" s="12">
        <v>-3.7261494131482999</v>
      </c>
      <c r="I9109" s="20">
        <v>-0.38454673129429601</v>
      </c>
      <c r="J9109" s="28">
        <v>0.70057326682554</v>
      </c>
      <c r="K9109" s="29">
        <v>0.98289565623980701</v>
      </c>
    </row>
    <row r="9110" spans="1:11" x14ac:dyDescent="0.35">
      <c r="A9110" s="9" t="str">
        <f>HYPERLINK("http://www.ensembl.org/id/WBGene00017354", "WBGene00017354")</f>
        <v>WBGene00017354</v>
      </c>
      <c r="B9110" s="9" t="str">
        <f>HYPERLINK("http://www.ncbi.nlm.nih.gov/gene/176171", "176171")</f>
        <v>176171</v>
      </c>
      <c r="C9110" s="9"/>
      <c r="D9110" t="str">
        <f>"F10E9.2"</f>
        <v>F10E9.2</v>
      </c>
      <c r="F9110" t="s">
        <v>11</v>
      </c>
      <c r="H9110" s="12">
        <v>-1.85137512302138</v>
      </c>
      <c r="I9110" s="20">
        <v>-0.79395411314831199</v>
      </c>
      <c r="J9110" s="28">
        <v>0.42722214534106701</v>
      </c>
      <c r="K9110" s="29">
        <v>0.98289565623980701</v>
      </c>
    </row>
    <row r="9111" spans="1:11" x14ac:dyDescent="0.35">
      <c r="A9111" s="9" t="str">
        <f>HYPERLINK("http://www.ensembl.org/id/WBGene00202149", "WBGene00202149")</f>
        <v>WBGene00202149</v>
      </c>
      <c r="B9111" s="9"/>
      <c r="C9111" s="9"/>
      <c r="D9111" t="str">
        <f>"F10E9.22"</f>
        <v>F10E9.22</v>
      </c>
      <c r="F9111" t="s">
        <v>481</v>
      </c>
      <c r="H9111" s="12">
        <v>-1.64591551009227</v>
      </c>
      <c r="I9111" s="20">
        <v>-0.286176571091937</v>
      </c>
      <c r="J9111" s="28">
        <v>0.77474288723458196</v>
      </c>
      <c r="K9111" s="29">
        <v>0.98289565623980701</v>
      </c>
    </row>
    <row r="9112" spans="1:11" x14ac:dyDescent="0.35">
      <c r="A9112" s="9" t="str">
        <f>HYPERLINK("http://www.ensembl.org/id/WBGene00017356", "WBGene00017356")</f>
        <v>WBGene00017356</v>
      </c>
      <c r="B9112" s="9" t="str">
        <f>HYPERLINK("http://www.ncbi.nlm.nih.gov/gene/184304", "184304")</f>
        <v>184304</v>
      </c>
      <c r="C9112" s="9"/>
      <c r="D9112" t="str">
        <f>"F10E9.4"</f>
        <v>F10E9.4</v>
      </c>
      <c r="F9112" t="s">
        <v>11</v>
      </c>
      <c r="G9112" t="s">
        <v>9128</v>
      </c>
      <c r="H9112" s="12">
        <v>-1.22272997430855</v>
      </c>
      <c r="I9112" s="20">
        <v>-0.82021034378880397</v>
      </c>
      <c r="J9112" s="28">
        <v>0.41209620625799398</v>
      </c>
      <c r="K9112" s="29">
        <v>0.98289565623980701</v>
      </c>
    </row>
    <row r="9113" spans="1:11" x14ac:dyDescent="0.35">
      <c r="A9113" s="9" t="str">
        <f>HYPERLINK("http://www.ensembl.org/id/WBGene00017357", "WBGene00017357")</f>
        <v>WBGene00017357</v>
      </c>
      <c r="B9113" s="9" t="str">
        <f>HYPERLINK("http://www.ncbi.nlm.nih.gov/gene/184305", "184305")</f>
        <v>184305</v>
      </c>
      <c r="C9113" s="9"/>
      <c r="D9113" t="str">
        <f>"F10E9.5"</f>
        <v>F10E9.5</v>
      </c>
      <c r="F9113" t="s">
        <v>11</v>
      </c>
      <c r="G9113" t="s">
        <v>8897</v>
      </c>
      <c r="H9113" s="12">
        <v>-1.2058283847584601</v>
      </c>
      <c r="I9113" s="20">
        <v>-0.73742892663813797</v>
      </c>
      <c r="J9113" s="28">
        <v>0.46086154985371602</v>
      </c>
      <c r="K9113" s="29">
        <v>0.98289565623980701</v>
      </c>
    </row>
    <row r="9114" spans="1:11" x14ac:dyDescent="0.35">
      <c r="A9114" s="9" t="str">
        <f>HYPERLINK("http://www.ensembl.org/id/WBGene00200939", "WBGene00200939")</f>
        <v>WBGene00200939</v>
      </c>
      <c r="B9114" s="9"/>
      <c r="C9114" s="9"/>
      <c r="D9114" t="str">
        <f>"F10F2.15"</f>
        <v>F10F2.15</v>
      </c>
      <c r="F9114" t="s">
        <v>481</v>
      </c>
      <c r="H9114" s="12">
        <v>3.6645215954135</v>
      </c>
      <c r="I9114" s="20">
        <v>0.37967131826092498</v>
      </c>
      <c r="J9114" s="28">
        <v>0.70418941338960395</v>
      </c>
      <c r="K9114" s="29">
        <v>0.98289565623980701</v>
      </c>
    </row>
    <row r="9115" spans="1:11" x14ac:dyDescent="0.35">
      <c r="A9115" s="9" t="str">
        <f>HYPERLINK("http://www.ensembl.org/id/WBGene00201981", "WBGene00201981")</f>
        <v>WBGene00201981</v>
      </c>
      <c r="B9115" s="9"/>
      <c r="C9115" s="9"/>
      <c r="D9115" t="str">
        <f>"F10F2.16"</f>
        <v>F10F2.16</v>
      </c>
      <c r="F9115" t="s">
        <v>481</v>
      </c>
      <c r="H9115" s="12">
        <v>3.6645215954135</v>
      </c>
      <c r="I9115" s="20">
        <v>0.37967131826092498</v>
      </c>
      <c r="J9115" s="28">
        <v>0.70418941338960395</v>
      </c>
      <c r="K9115" s="29">
        <v>0.98289565623980701</v>
      </c>
    </row>
    <row r="9116" spans="1:11" x14ac:dyDescent="0.35">
      <c r="A9116" s="9" t="str">
        <f>HYPERLINK("http://www.ensembl.org/id/WBGene00235324", "WBGene00235324")</f>
        <v>WBGene00235324</v>
      </c>
      <c r="B9116" s="9" t="str">
        <f>HYPERLINK("http://www.ncbi.nlm.nih.gov/gene/24104419", "24104419")</f>
        <v>24104419</v>
      </c>
      <c r="C9116" s="9"/>
      <c r="D9116" t="str">
        <f>"F10G2.10"</f>
        <v>F10G2.10</v>
      </c>
      <c r="F9116" t="s">
        <v>11</v>
      </c>
      <c r="H9116" s="12">
        <v>-2.4295389261469</v>
      </c>
      <c r="I9116" s="20">
        <v>-0.25808529976640998</v>
      </c>
      <c r="J9116" s="28">
        <v>0.79634107645457397</v>
      </c>
      <c r="K9116" s="29">
        <v>0.98289565623980701</v>
      </c>
    </row>
    <row r="9117" spans="1:11" x14ac:dyDescent="0.35">
      <c r="A9117" s="9" t="str">
        <f>HYPERLINK("http://www.ensembl.org/id/WBGene00017365", "WBGene00017365")</f>
        <v>WBGene00017365</v>
      </c>
      <c r="B9117" s="9" t="str">
        <f>HYPERLINK("http://www.ncbi.nlm.nih.gov/gene/184315", "184315")</f>
        <v>184315</v>
      </c>
      <c r="C9117" s="9"/>
      <c r="D9117" t="str">
        <f>"F10G2.4"</f>
        <v>F10G2.4</v>
      </c>
      <c r="F9117" t="s">
        <v>11</v>
      </c>
      <c r="H9117" s="12">
        <v>-1.4888506998773601</v>
      </c>
      <c r="I9117" s="20">
        <v>-0.77358320925016999</v>
      </c>
      <c r="J9117" s="28">
        <v>0.43917730462348797</v>
      </c>
      <c r="K9117" s="29">
        <v>0.98289565623980701</v>
      </c>
    </row>
    <row r="9118" spans="1:11" x14ac:dyDescent="0.35">
      <c r="A9118" s="9" t="str">
        <f>HYPERLINK("http://www.ensembl.org/id/WBGene00017366", "WBGene00017366")</f>
        <v>WBGene00017366</v>
      </c>
      <c r="B9118" s="9" t="str">
        <f>HYPERLINK("http://www.ncbi.nlm.nih.gov/gene/184317", "184317")</f>
        <v>184317</v>
      </c>
      <c r="C9118" s="9"/>
      <c r="D9118" t="str">
        <f>"F10G2.7"</f>
        <v>F10G2.7</v>
      </c>
      <c r="F9118" t="s">
        <v>11</v>
      </c>
      <c r="H9118" s="12">
        <v>1.35597317882357</v>
      </c>
      <c r="I9118" s="20">
        <v>0.33688843575300398</v>
      </c>
      <c r="J9118" s="28">
        <v>0.73620100321552595</v>
      </c>
      <c r="K9118" s="29">
        <v>0.98289565623980701</v>
      </c>
    </row>
    <row r="9119" spans="1:11" x14ac:dyDescent="0.35">
      <c r="A9119" s="9" t="str">
        <f>HYPERLINK("http://www.ensembl.org/id/WBGene00017369", "WBGene00017369")</f>
        <v>WBGene00017369</v>
      </c>
      <c r="B9119" s="9" t="str">
        <f>HYPERLINK("http://www.ncbi.nlm.nih.gov/gene/173806", "173806")</f>
        <v>173806</v>
      </c>
      <c r="C9119" s="9"/>
      <c r="D9119" t="str">
        <f>"F10G7.5"</f>
        <v>F10G7.5</v>
      </c>
      <c r="F9119" t="s">
        <v>11</v>
      </c>
      <c r="G9119" t="s">
        <v>230</v>
      </c>
      <c r="H9119" s="12">
        <v>-1.0986522992904999</v>
      </c>
      <c r="I9119" s="20">
        <v>-0.46697352132877701</v>
      </c>
      <c r="J9119" s="28">
        <v>0.64051882250014902</v>
      </c>
      <c r="K9119" s="29">
        <v>0.98289565623980701</v>
      </c>
    </row>
    <row r="9120" spans="1:11" x14ac:dyDescent="0.35">
      <c r="A9120" s="9" t="str">
        <f>HYPERLINK("http://www.ensembl.org/id/WBGene00017370", "WBGene00017370")</f>
        <v>WBGene00017370</v>
      </c>
      <c r="B9120" s="9"/>
      <c r="C9120" s="9"/>
      <c r="D9120" t="str">
        <f>"F10G7.6"</f>
        <v>F10G7.6</v>
      </c>
      <c r="F9120" t="s">
        <v>80</v>
      </c>
      <c r="H9120" s="12">
        <v>1.82429469740368</v>
      </c>
      <c r="I9120" s="20">
        <v>0.62592112889925799</v>
      </c>
      <c r="J9120" s="28">
        <v>0.53136667506942903</v>
      </c>
      <c r="K9120" s="29">
        <v>0.98289565623980701</v>
      </c>
    </row>
    <row r="9121" spans="1:11" x14ac:dyDescent="0.35">
      <c r="A9121" s="9" t="str">
        <f>HYPERLINK("http://www.ensembl.org/id/WBGene00017372", "WBGene00017372")</f>
        <v>WBGene00017372</v>
      </c>
      <c r="B9121" s="9" t="str">
        <f>HYPERLINK("http://www.ncbi.nlm.nih.gov/gene/173810", "173810")</f>
        <v>173810</v>
      </c>
      <c r="C9121" s="9"/>
      <c r="D9121" t="str">
        <f>"F10G7.9"</f>
        <v>F10G7.9</v>
      </c>
      <c r="F9121" t="s">
        <v>11</v>
      </c>
      <c r="G9121" t="s">
        <v>51</v>
      </c>
      <c r="H9121" s="12">
        <v>-1.1664681424783501</v>
      </c>
      <c r="I9121" s="20">
        <v>-0.79937622495401806</v>
      </c>
      <c r="J9121" s="28">
        <v>0.42407229205573699</v>
      </c>
      <c r="K9121" s="29">
        <v>0.98289565623980701</v>
      </c>
    </row>
    <row r="9122" spans="1:11" x14ac:dyDescent="0.35">
      <c r="A9122" s="9" t="str">
        <f>HYPERLINK("http://www.ensembl.org/id/WBGene00008661", "WBGene00008661")</f>
        <v>WBGene00008661</v>
      </c>
      <c r="B9122" s="9" t="str">
        <f>HYPERLINK("http://www.ncbi.nlm.nih.gov/gene/184322", "184322")</f>
        <v>184322</v>
      </c>
      <c r="C9122" s="9"/>
      <c r="D9122" t="str">
        <f>"F10G8.1"</f>
        <v>F10G8.1</v>
      </c>
      <c r="E9122" t="s">
        <v>1019</v>
      </c>
      <c r="F9122" t="s">
        <v>11</v>
      </c>
      <c r="G9122" t="s">
        <v>1020</v>
      </c>
      <c r="H9122" s="12">
        <v>-1.53599038618077</v>
      </c>
      <c r="I9122" s="20">
        <v>-0.275611428696029</v>
      </c>
      <c r="J9122" s="28">
        <v>0.78284653071442301</v>
      </c>
      <c r="K9122" s="29">
        <v>0.98289565623980701</v>
      </c>
    </row>
    <row r="9123" spans="1:11" x14ac:dyDescent="0.35">
      <c r="A9123" s="9" t="str">
        <f>HYPERLINK("http://www.ensembl.org/id/WBGene00196146", "WBGene00196146")</f>
        <v>WBGene00196146</v>
      </c>
      <c r="B9123" s="9"/>
      <c r="C9123" s="9"/>
      <c r="D9123" t="str">
        <f>"F10G8.10"</f>
        <v>F10G8.10</v>
      </c>
      <c r="F9123" t="s">
        <v>481</v>
      </c>
      <c r="H9123" s="12">
        <v>2.93566879702884</v>
      </c>
      <c r="I9123" s="20">
        <v>0.64700505563453503</v>
      </c>
      <c r="J9123" s="28">
        <v>0.517628671461135</v>
      </c>
      <c r="K9123" s="29">
        <v>0.98289565623980701</v>
      </c>
    </row>
    <row r="9124" spans="1:11" x14ac:dyDescent="0.35">
      <c r="A9124" s="9" t="str">
        <f>HYPERLINK("http://www.ensembl.org/id/WBGene00196679", "WBGene00196679")</f>
        <v>WBGene00196679</v>
      </c>
      <c r="B9124" s="9"/>
      <c r="C9124" s="9"/>
      <c r="D9124" t="str">
        <f>"F10G8.11"</f>
        <v>F10G8.11</v>
      </c>
      <c r="F9124" t="s">
        <v>481</v>
      </c>
      <c r="H9124" s="12">
        <v>2.4578120077400301</v>
      </c>
      <c r="I9124" s="20">
        <v>0.26093350314551</v>
      </c>
      <c r="J9124" s="28">
        <v>0.79414378780213601</v>
      </c>
      <c r="K9124" s="29">
        <v>0.98289565623980701</v>
      </c>
    </row>
    <row r="9125" spans="1:11" x14ac:dyDescent="0.35">
      <c r="A9125" s="9" t="str">
        <f>HYPERLINK("http://www.ensembl.org/id/WBGene00008666", "WBGene00008666")</f>
        <v>WBGene00008666</v>
      </c>
      <c r="B9125" s="9" t="str">
        <f>HYPERLINK("http://www.ncbi.nlm.nih.gov/gene/172870", "172870")</f>
        <v>172870</v>
      </c>
      <c r="C9125" s="9"/>
      <c r="D9125" t="str">
        <f>"F10G8.8"</f>
        <v>F10G8.8</v>
      </c>
      <c r="F9125" t="s">
        <v>11</v>
      </c>
      <c r="G9125" t="s">
        <v>5056</v>
      </c>
      <c r="H9125" s="12">
        <v>1.25031773881693</v>
      </c>
      <c r="I9125" s="20">
        <v>1.1473370484194001</v>
      </c>
      <c r="J9125" s="28">
        <v>0.25124234772714599</v>
      </c>
      <c r="K9125" s="29">
        <v>0.98289565623980701</v>
      </c>
    </row>
    <row r="9126" spans="1:11" x14ac:dyDescent="0.35">
      <c r="A9126" s="9" t="str">
        <f>HYPERLINK("http://www.ensembl.org/id/WBGene00008667", "WBGene00008667")</f>
        <v>WBGene00008667</v>
      </c>
      <c r="B9126" s="9" t="str">
        <f>HYPERLINK("http://www.ncbi.nlm.nih.gov/gene/172869", "172869")</f>
        <v>172869</v>
      </c>
      <c r="C9126" s="9"/>
      <c r="D9126" t="str">
        <f>"F10G8.9"</f>
        <v>F10G8.9</v>
      </c>
      <c r="F9126" t="s">
        <v>11</v>
      </c>
      <c r="G9126" t="s">
        <v>6756</v>
      </c>
      <c r="H9126" s="12">
        <v>-1.08773754543829</v>
      </c>
      <c r="I9126" s="20">
        <v>-0.35519776604557901</v>
      </c>
      <c r="J9126" s="28">
        <v>0.722441438194388</v>
      </c>
      <c r="K9126" s="29">
        <v>0.98289565623980701</v>
      </c>
    </row>
    <row r="9127" spans="1:11" x14ac:dyDescent="0.35">
      <c r="A9127" s="9" t="str">
        <f>HYPERLINK("http://www.ensembl.org/id/WBGene00197130", "WBGene00197130")</f>
        <v>WBGene00197130</v>
      </c>
      <c r="B9127" s="9"/>
      <c r="C9127" s="9"/>
      <c r="D9127" t="str">
        <f>"F11A1.11"</f>
        <v>F11A1.11</v>
      </c>
      <c r="F9127" t="s">
        <v>481</v>
      </c>
      <c r="H9127" s="12">
        <v>-3.5819448292659501</v>
      </c>
      <c r="I9127" s="20">
        <v>-0.37337717500031398</v>
      </c>
      <c r="J9127" s="28">
        <v>0.70886774492290605</v>
      </c>
      <c r="K9127" s="29">
        <v>0.98289565623980701</v>
      </c>
    </row>
    <row r="9128" spans="1:11" x14ac:dyDescent="0.35">
      <c r="A9128" s="9" t="str">
        <f>HYPERLINK("http://www.ensembl.org/id/WBGene00008668", "WBGene00008668")</f>
        <v>WBGene00008668</v>
      </c>
      <c r="B9128" s="9" t="str">
        <f>HYPERLINK("http://www.ncbi.nlm.nih.gov/gene/184325", "184325")</f>
        <v>184325</v>
      </c>
      <c r="C9128" s="9"/>
      <c r="D9128" t="str">
        <f>"F11A1.2"</f>
        <v>F11A1.2</v>
      </c>
      <c r="F9128" t="s">
        <v>11</v>
      </c>
      <c r="H9128" s="12">
        <v>7.8691597089380902</v>
      </c>
      <c r="I9128" s="20">
        <v>0.61251365190975104</v>
      </c>
      <c r="J9128" s="28">
        <v>0.54019796842331003</v>
      </c>
      <c r="K9128" s="29">
        <v>0.98289565623980701</v>
      </c>
    </row>
    <row r="9129" spans="1:11" x14ac:dyDescent="0.35">
      <c r="A9129" s="9" t="str">
        <f>HYPERLINK("http://www.ensembl.org/id/WBGene00045153", "WBGene00045153")</f>
        <v>WBGene00045153</v>
      </c>
      <c r="B9129" s="9"/>
      <c r="C9129" s="9"/>
      <c r="D9129" t="str">
        <f>"F11A10.9"</f>
        <v>F11A10.9</v>
      </c>
      <c r="F9129" t="s">
        <v>2977</v>
      </c>
      <c r="H9129" s="12">
        <v>2.4578120077400301</v>
      </c>
      <c r="I9129" s="20">
        <v>0.26093350314551</v>
      </c>
      <c r="J9129" s="28">
        <v>0.79414378780213601</v>
      </c>
      <c r="K9129" s="29">
        <v>0.98289565623980701</v>
      </c>
    </row>
    <row r="9130" spans="1:11" x14ac:dyDescent="0.35">
      <c r="A9130" s="9" t="str">
        <f>HYPERLINK("http://www.ensembl.org/id/WBGene00014734", "WBGene00014734")</f>
        <v>WBGene00014734</v>
      </c>
      <c r="B9130" s="9"/>
      <c r="C9130" s="9"/>
      <c r="D9130" t="str">
        <f>"F11A3.3"</f>
        <v>F11A3.3</v>
      </c>
      <c r="F9130" t="s">
        <v>80</v>
      </c>
      <c r="H9130" s="12">
        <v>7.2474883361933102</v>
      </c>
      <c r="I9130" s="20">
        <v>0.60161888411598596</v>
      </c>
      <c r="J9130" s="28">
        <v>0.54742785575427899</v>
      </c>
      <c r="K9130" s="29">
        <v>0.98289565623980701</v>
      </c>
    </row>
    <row r="9131" spans="1:11" x14ac:dyDescent="0.35">
      <c r="A9131" s="9" t="str">
        <f>HYPERLINK("http://www.ensembl.org/id/WBGene00077496", "WBGene00077496")</f>
        <v>WBGene00077496</v>
      </c>
      <c r="B9131" s="9"/>
      <c r="C9131" s="9"/>
      <c r="D9131" t="str">
        <f>"F11A3.4"</f>
        <v>F11A3.4</v>
      </c>
      <c r="F9131" t="s">
        <v>80</v>
      </c>
      <c r="H9131" s="12">
        <v>2.3893468495514898</v>
      </c>
      <c r="I9131" s="20">
        <v>0.25323547253672701</v>
      </c>
      <c r="J9131" s="28">
        <v>0.80008625651646104</v>
      </c>
      <c r="K9131" s="29">
        <v>0.98289565623980701</v>
      </c>
    </row>
    <row r="9132" spans="1:11" x14ac:dyDescent="0.35">
      <c r="A9132" s="9" t="str">
        <f>HYPERLINK("http://www.ensembl.org/id/WBGene00008680", "WBGene00008680")</f>
        <v>WBGene00008680</v>
      </c>
      <c r="B9132" s="9" t="str">
        <f>HYPERLINK("http://www.ncbi.nlm.nih.gov/gene/3565598", "3565598")</f>
        <v>3565598</v>
      </c>
      <c r="C9132" s="9"/>
      <c r="D9132" t="str">
        <f>"F11A5.15"</f>
        <v>F11A5.15</v>
      </c>
      <c r="F9132" t="s">
        <v>11</v>
      </c>
      <c r="G9132" t="s">
        <v>25</v>
      </c>
      <c r="H9132" s="12">
        <v>1.8333763198611499</v>
      </c>
      <c r="I9132" s="20">
        <v>1.0887713209013601</v>
      </c>
      <c r="J9132" s="28">
        <v>0.276254741543841</v>
      </c>
      <c r="K9132" s="29">
        <v>0.98289565623980701</v>
      </c>
    </row>
    <row r="9133" spans="1:11" x14ac:dyDescent="0.35">
      <c r="A9133" s="9" t="str">
        <f>HYPERLINK("http://www.ensembl.org/id/WBGene00045510", "WBGene00045510")</f>
        <v>WBGene00045510</v>
      </c>
      <c r="B9133" s="9" t="str">
        <f>HYPERLINK("http://www.ncbi.nlm.nih.gov/gene/6418719", "6418719")</f>
        <v>6418719</v>
      </c>
      <c r="C9133" s="9"/>
      <c r="D9133" t="str">
        <f>"F11A5.17"</f>
        <v>F11A5.17</v>
      </c>
      <c r="F9133" t="s">
        <v>11</v>
      </c>
      <c r="H9133" s="12">
        <v>1.7859493871377601</v>
      </c>
      <c r="I9133" s="20">
        <v>0.38525264775586798</v>
      </c>
      <c r="J9133" s="28">
        <v>0.70005024057853804</v>
      </c>
      <c r="K9133" s="29">
        <v>0.98289565623980701</v>
      </c>
    </row>
    <row r="9134" spans="1:11" x14ac:dyDescent="0.35">
      <c r="A9134" s="9" t="str">
        <f>HYPERLINK("http://www.ensembl.org/id/WBGene00045511", "WBGene00045511")</f>
        <v>WBGene00045511</v>
      </c>
      <c r="B9134" s="9" t="str">
        <f>HYPERLINK("http://www.ncbi.nlm.nih.gov/gene/13217335", "13217335")</f>
        <v>13217335</v>
      </c>
      <c r="C9134" s="9"/>
      <c r="D9134" t="str">
        <f>"F11A5.18"</f>
        <v>F11A5.18</v>
      </c>
      <c r="F9134" t="s">
        <v>11</v>
      </c>
      <c r="H9134" s="12">
        <v>-2.2350343253842202</v>
      </c>
      <c r="I9134" s="20">
        <v>-0.40769206310661799</v>
      </c>
      <c r="J9134" s="28">
        <v>0.68349976516697497</v>
      </c>
      <c r="K9134" s="29">
        <v>0.98289565623980701</v>
      </c>
    </row>
    <row r="9135" spans="1:11" x14ac:dyDescent="0.35">
      <c r="A9135" s="9" t="str">
        <f>HYPERLINK("http://www.ensembl.org/id/WBGene00077611", "WBGene00077611")</f>
        <v>WBGene00077611</v>
      </c>
      <c r="B9135" s="9"/>
      <c r="C9135" s="9"/>
      <c r="D9135" t="str">
        <f>"F11A5.19"</f>
        <v>F11A5.19</v>
      </c>
      <c r="F9135" t="s">
        <v>80</v>
      </c>
      <c r="H9135" s="12">
        <v>2.3893468495514898</v>
      </c>
      <c r="I9135" s="20">
        <v>0.25323547253672701</v>
      </c>
      <c r="J9135" s="28">
        <v>0.80008625651646104</v>
      </c>
      <c r="K9135" s="29">
        <v>0.98289565623980701</v>
      </c>
    </row>
    <row r="9136" spans="1:11" x14ac:dyDescent="0.35">
      <c r="A9136" s="9" t="str">
        <f>HYPERLINK("http://www.ensembl.org/id/WBGene00008672", "WBGene00008672")</f>
        <v>WBGene00008672</v>
      </c>
      <c r="B9136" s="9" t="str">
        <f>HYPERLINK("http://www.ncbi.nlm.nih.gov/gene/184331", "184331")</f>
        <v>184331</v>
      </c>
      <c r="C9136" s="9"/>
      <c r="D9136" t="str">
        <f>"F11A5.4"</f>
        <v>F11A5.4</v>
      </c>
      <c r="F9136" t="s">
        <v>11</v>
      </c>
      <c r="G9136" t="s">
        <v>4278</v>
      </c>
      <c r="H9136" s="12">
        <v>4.4368407117627902</v>
      </c>
      <c r="I9136" s="20">
        <v>0.43709475933309699</v>
      </c>
      <c r="J9136" s="28">
        <v>0.66204262779770495</v>
      </c>
      <c r="K9136" s="29">
        <v>0.98289565623980701</v>
      </c>
    </row>
    <row r="9137" spans="1:11" x14ac:dyDescent="0.35">
      <c r="A9137" s="9" t="str">
        <f>HYPERLINK("http://www.ensembl.org/id/WBGene00008673", "WBGene00008673")</f>
        <v>WBGene00008673</v>
      </c>
      <c r="B9137" s="9" t="str">
        <f>HYPERLINK("http://www.ncbi.nlm.nih.gov/gene/184332", "184332")</f>
        <v>184332</v>
      </c>
      <c r="C9137" s="9"/>
      <c r="D9137" t="str">
        <f>"F11A5.5"</f>
        <v>F11A5.5</v>
      </c>
      <c r="F9137" t="s">
        <v>11</v>
      </c>
      <c r="G9137" t="s">
        <v>9995</v>
      </c>
      <c r="H9137" s="12">
        <v>-1.6122649062345999</v>
      </c>
      <c r="I9137" s="20">
        <v>-0.312839548518974</v>
      </c>
      <c r="J9137" s="28">
        <v>0.75440256700343</v>
      </c>
      <c r="K9137" s="29">
        <v>0.98289565623980701</v>
      </c>
    </row>
    <row r="9138" spans="1:11" x14ac:dyDescent="0.35">
      <c r="A9138" s="9" t="str">
        <f>HYPERLINK("http://www.ensembl.org/id/WBGene00199697", "WBGene00199697")</f>
        <v>WBGene00199697</v>
      </c>
      <c r="B9138" s="9"/>
      <c r="C9138" s="9"/>
      <c r="D9138" t="str">
        <f>"F11A6.10"</f>
        <v>F11A6.10</v>
      </c>
      <c r="F9138" t="s">
        <v>481</v>
      </c>
      <c r="H9138" s="12">
        <v>-3.7261494131482999</v>
      </c>
      <c r="I9138" s="20">
        <v>-0.38454673129429601</v>
      </c>
      <c r="J9138" s="28">
        <v>0.70057326682554</v>
      </c>
      <c r="K9138" s="29">
        <v>0.98289565623980701</v>
      </c>
    </row>
    <row r="9139" spans="1:11" x14ac:dyDescent="0.35">
      <c r="A9139" s="9" t="str">
        <f>HYPERLINK("http://www.ensembl.org/id/WBGene00206532", "WBGene00206532")</f>
        <v>WBGene00206532</v>
      </c>
      <c r="B9139" s="9" t="str">
        <f>HYPERLINK("http://www.ncbi.nlm.nih.gov/gene/13182245", "13182245")</f>
        <v>13182245</v>
      </c>
      <c r="C9139" s="9"/>
      <c r="D9139" t="str">
        <f>"F11A6.15"</f>
        <v>F11A6.15</v>
      </c>
      <c r="F9139" t="s">
        <v>11</v>
      </c>
      <c r="H9139" s="12">
        <v>-1.1728667985714101</v>
      </c>
      <c r="I9139" s="20">
        <v>-0.45468123515925601</v>
      </c>
      <c r="J9139" s="28">
        <v>0.64933858266275102</v>
      </c>
      <c r="K9139" s="29">
        <v>0.98289565623980701</v>
      </c>
    </row>
    <row r="9140" spans="1:11" x14ac:dyDescent="0.35">
      <c r="A9140" s="9" t="str">
        <f>HYPERLINK("http://www.ensembl.org/id/WBGene00196824", "WBGene00196824")</f>
        <v>WBGene00196824</v>
      </c>
      <c r="B9140" s="9"/>
      <c r="C9140" s="9"/>
      <c r="D9140" t="str">
        <f>"F11A6.7"</f>
        <v>F11A6.7</v>
      </c>
      <c r="F9140" t="s">
        <v>481</v>
      </c>
      <c r="H9140" s="12">
        <v>2.3893468495514898</v>
      </c>
      <c r="I9140" s="20">
        <v>0.25323547253672701</v>
      </c>
      <c r="J9140" s="28">
        <v>0.80008625651646104</v>
      </c>
      <c r="K9140" s="29">
        <v>0.98289565623980701</v>
      </c>
    </row>
    <row r="9141" spans="1:11" x14ac:dyDescent="0.35">
      <c r="A9141" s="9" t="str">
        <f>HYPERLINK("http://www.ensembl.org/id/WBGene00008690", "WBGene00008690")</f>
        <v>WBGene00008690</v>
      </c>
      <c r="B9141" s="9" t="str">
        <f>HYPERLINK("http://www.ncbi.nlm.nih.gov/gene/184341", "184341")</f>
        <v>184341</v>
      </c>
      <c r="C9141" s="9"/>
      <c r="D9141" t="str">
        <f>"F11C1.1"</f>
        <v>F11C1.1</v>
      </c>
      <c r="F9141" t="s">
        <v>11</v>
      </c>
      <c r="G9141" t="s">
        <v>5123</v>
      </c>
      <c r="H9141" s="12">
        <v>1.2346342273347599</v>
      </c>
      <c r="I9141" s="20">
        <v>0.88180977662079396</v>
      </c>
      <c r="J9141" s="28">
        <v>0.37787968380596498</v>
      </c>
      <c r="K9141" s="29">
        <v>0.98289565623980701</v>
      </c>
    </row>
    <row r="9142" spans="1:11" x14ac:dyDescent="0.35">
      <c r="A9142" s="9" t="str">
        <f>HYPERLINK("http://www.ensembl.org/id/WBGene00197743", "WBGene00197743")</f>
        <v>WBGene00197743</v>
      </c>
      <c r="B9142" s="9"/>
      <c r="C9142" s="9"/>
      <c r="D9142" t="str">
        <f>"F11C1.13"</f>
        <v>F11C1.13</v>
      </c>
      <c r="F9142" t="s">
        <v>481</v>
      </c>
      <c r="H9142" s="12">
        <v>-2.4991590031922399</v>
      </c>
      <c r="I9142" s="20">
        <v>-0.26577412737581302</v>
      </c>
      <c r="J9142" s="28">
        <v>0.79041317015736101</v>
      </c>
      <c r="K9142" s="29">
        <v>0.98289565623980701</v>
      </c>
    </row>
    <row r="9143" spans="1:11" x14ac:dyDescent="0.35">
      <c r="A9143" s="9" t="str">
        <f>HYPERLINK("http://www.ensembl.org/id/WBGene00195213", "WBGene00195213")</f>
        <v>WBGene00195213</v>
      </c>
      <c r="B9143" s="9" t="str">
        <f>HYPERLINK("http://www.ncbi.nlm.nih.gov/gene/13223342", "13223342")</f>
        <v>13223342</v>
      </c>
      <c r="C9143" s="9"/>
      <c r="D9143" t="str">
        <f>"F11C1.9"</f>
        <v>F11C1.9</v>
      </c>
      <c r="F9143" t="s">
        <v>11</v>
      </c>
      <c r="H9143" s="12">
        <v>-6.7722002596562296</v>
      </c>
      <c r="I9143" s="20">
        <v>-1.13424252038191</v>
      </c>
      <c r="J9143" s="28">
        <v>0.25669283259030201</v>
      </c>
      <c r="K9143" s="29">
        <v>0.98289565623980701</v>
      </c>
    </row>
    <row r="9144" spans="1:11" x14ac:dyDescent="0.35">
      <c r="A9144" s="9" t="str">
        <f>HYPERLINK("http://www.ensembl.org/id/WBGene00017376", "WBGene00017376")</f>
        <v>WBGene00017376</v>
      </c>
      <c r="B9144" s="9" t="str">
        <f>HYPERLINK("http://www.ncbi.nlm.nih.gov/gene/181769", "181769")</f>
        <v>181769</v>
      </c>
      <c r="C9144" s="9"/>
      <c r="D9144" t="str">
        <f>"F11C7.2"</f>
        <v>F11C7.2</v>
      </c>
      <c r="F9144" t="s">
        <v>11</v>
      </c>
      <c r="H9144" s="12">
        <v>1.2257217282910799</v>
      </c>
      <c r="I9144" s="20">
        <v>0.60624365136180502</v>
      </c>
      <c r="J9144" s="28">
        <v>0.544352970337871</v>
      </c>
      <c r="K9144" s="29">
        <v>0.98289565623980701</v>
      </c>
    </row>
    <row r="9145" spans="1:11" x14ac:dyDescent="0.35">
      <c r="A9145" s="9" t="str">
        <f>HYPERLINK("http://www.ensembl.org/id/WBGene00198620", "WBGene00198620")</f>
        <v>WBGene00198620</v>
      </c>
      <c r="B9145" s="9"/>
      <c r="C9145" s="9"/>
      <c r="D9145" t="str">
        <f>"F11C7.9"</f>
        <v>F11C7.9</v>
      </c>
      <c r="F9145" t="s">
        <v>481</v>
      </c>
      <c r="H9145" s="12">
        <v>2.2723204043556202</v>
      </c>
      <c r="I9145" s="20">
        <v>0.35902834113172899</v>
      </c>
      <c r="J9145" s="28">
        <v>0.71957388766183406</v>
      </c>
      <c r="K9145" s="29">
        <v>0.98289565623980701</v>
      </c>
    </row>
    <row r="9146" spans="1:11" x14ac:dyDescent="0.35">
      <c r="A9146" s="9" t="str">
        <f>HYPERLINK("http://www.ensembl.org/id/WBGene00045362", "WBGene00045362")</f>
        <v>WBGene00045362</v>
      </c>
      <c r="B9146" s="9" t="str">
        <f>HYPERLINK("http://www.ncbi.nlm.nih.gov/gene/6418721", "6418721")</f>
        <v>6418721</v>
      </c>
      <c r="C9146" s="9"/>
      <c r="D9146" t="str">
        <f>"F11D11.12"</f>
        <v>F11D11.12</v>
      </c>
      <c r="F9146" t="s">
        <v>11</v>
      </c>
      <c r="H9146" s="12">
        <v>-4.0189630156007201</v>
      </c>
      <c r="I9146" s="20">
        <v>-0.60390139752616501</v>
      </c>
      <c r="J9146" s="28">
        <v>0.54590919961613804</v>
      </c>
      <c r="K9146" s="29">
        <v>0.98289565623980701</v>
      </c>
    </row>
    <row r="9147" spans="1:11" x14ac:dyDescent="0.35">
      <c r="A9147" s="9" t="str">
        <f>HYPERLINK("http://www.ensembl.org/id/WBGene00008698", "WBGene00008698")</f>
        <v>WBGene00008698</v>
      </c>
      <c r="B9147" s="9" t="str">
        <f>HYPERLINK("http://www.ncbi.nlm.nih.gov/gene/184350", "184350")</f>
        <v>184350</v>
      </c>
      <c r="C9147" s="9"/>
      <c r="D9147" t="str">
        <f>"F11D11.3"</f>
        <v>F11D11.3</v>
      </c>
      <c r="F9147" t="s">
        <v>11</v>
      </c>
      <c r="G9147" t="s">
        <v>264</v>
      </c>
      <c r="H9147" s="12">
        <v>-2.4295389261469</v>
      </c>
      <c r="I9147" s="20">
        <v>-0.25808529976640998</v>
      </c>
      <c r="J9147" s="28">
        <v>0.79634107645457397</v>
      </c>
      <c r="K9147" s="29">
        <v>0.98289565623980701</v>
      </c>
    </row>
    <row r="9148" spans="1:11" x14ac:dyDescent="0.35">
      <c r="A9148" s="9" t="str">
        <f>HYPERLINK("http://www.ensembl.org/id/WBGene00008699", "WBGene00008699")</f>
        <v>WBGene00008699</v>
      </c>
      <c r="B9148" s="9" t="str">
        <f>HYPERLINK("http://www.ncbi.nlm.nih.gov/gene/34700625", "34700625")</f>
        <v>34700625</v>
      </c>
      <c r="C9148" s="9"/>
      <c r="D9148" t="str">
        <f>"F11D11.4"</f>
        <v>F11D11.4</v>
      </c>
      <c r="F9148" t="s">
        <v>11</v>
      </c>
      <c r="H9148" s="12">
        <v>4.4368407117627902</v>
      </c>
      <c r="I9148" s="20">
        <v>0.43709475933309699</v>
      </c>
      <c r="J9148" s="28">
        <v>0.66204262779770495</v>
      </c>
      <c r="K9148" s="29">
        <v>0.98289565623980701</v>
      </c>
    </row>
    <row r="9149" spans="1:11" x14ac:dyDescent="0.35">
      <c r="A9149" s="9" t="str">
        <f>HYPERLINK("http://www.ensembl.org/id/WBGene00200086", "WBGene00200086")</f>
        <v>WBGene00200086</v>
      </c>
      <c r="B9149" s="9"/>
      <c r="C9149" s="9"/>
      <c r="D9149" t="str">
        <f>"F11D5.23"</f>
        <v>F11D5.23</v>
      </c>
      <c r="F9149" t="s">
        <v>481</v>
      </c>
      <c r="H9149" s="12">
        <v>-2.4295389261469</v>
      </c>
      <c r="I9149" s="20">
        <v>-0.25808529976640998</v>
      </c>
      <c r="J9149" s="28">
        <v>0.79634107645457397</v>
      </c>
      <c r="K9149" s="29">
        <v>0.98289565623980701</v>
      </c>
    </row>
    <row r="9150" spans="1:11" x14ac:dyDescent="0.35">
      <c r="A9150" s="9" t="str">
        <f>HYPERLINK("http://www.ensembl.org/id/WBGene00200180", "WBGene00200180")</f>
        <v>WBGene00200180</v>
      </c>
      <c r="B9150" s="9"/>
      <c r="C9150" s="9"/>
      <c r="D9150" t="str">
        <f>"F11D5.24"</f>
        <v>F11D5.24</v>
      </c>
      <c r="F9150" t="s">
        <v>481</v>
      </c>
      <c r="H9150" s="12">
        <v>-2.9395697288267399</v>
      </c>
      <c r="I9150" s="20">
        <v>-0.40844963388868899</v>
      </c>
      <c r="J9150" s="28">
        <v>0.68294360034460899</v>
      </c>
      <c r="K9150" s="29">
        <v>0.98289565623980701</v>
      </c>
    </row>
    <row r="9151" spans="1:11" x14ac:dyDescent="0.35">
      <c r="A9151" s="9" t="str">
        <f>HYPERLINK("http://www.ensembl.org/id/WBGene00200183", "WBGene00200183")</f>
        <v>WBGene00200183</v>
      </c>
      <c r="B9151" s="9"/>
      <c r="C9151" s="9"/>
      <c r="D9151" t="str">
        <f>"F11D5.25"</f>
        <v>F11D5.25</v>
      </c>
      <c r="F9151" t="s">
        <v>481</v>
      </c>
      <c r="H9151" s="12">
        <v>3.5227018545059199</v>
      </c>
      <c r="I9151" s="20">
        <v>0.36849691206929103</v>
      </c>
      <c r="J9151" s="28">
        <v>0.71250274722433404</v>
      </c>
      <c r="K9151" s="29">
        <v>0.98289565623980701</v>
      </c>
    </row>
    <row r="9152" spans="1:11" x14ac:dyDescent="0.35">
      <c r="A9152" s="9" t="str">
        <f>HYPERLINK("http://www.ensembl.org/id/WBGene00017382", "WBGene00017382")</f>
        <v>WBGene00017382</v>
      </c>
      <c r="B9152" s="9" t="str">
        <f>HYPERLINK("http://www.ncbi.nlm.nih.gov/gene/184346", "184346")</f>
        <v>184346</v>
      </c>
      <c r="C9152" s="9"/>
      <c r="D9152" t="str">
        <f>"F11D5.5"</f>
        <v>F11D5.5</v>
      </c>
      <c r="F9152" t="s">
        <v>11</v>
      </c>
      <c r="G9152" t="s">
        <v>230</v>
      </c>
      <c r="H9152" s="12">
        <v>-1.5912665211606301</v>
      </c>
      <c r="I9152" s="20">
        <v>-0.69121930808464405</v>
      </c>
      <c r="J9152" s="28">
        <v>0.48942773187896699</v>
      </c>
      <c r="K9152" s="29">
        <v>0.98289565623980701</v>
      </c>
    </row>
    <row r="9153" spans="1:11" x14ac:dyDescent="0.35">
      <c r="A9153" s="9" t="str">
        <f>HYPERLINK("http://www.ensembl.org/id/WBGene00043980", "WBGene00043980")</f>
        <v>WBGene00043980</v>
      </c>
      <c r="B9153" s="9" t="str">
        <f>HYPERLINK("http://www.ncbi.nlm.nih.gov/gene/184345", "184345")</f>
        <v>184345</v>
      </c>
      <c r="C9153" s="9"/>
      <c r="D9153" t="str">
        <f>"F11D5.7"</f>
        <v>F11D5.7</v>
      </c>
      <c r="F9153" t="s">
        <v>11</v>
      </c>
      <c r="G9153" t="s">
        <v>230</v>
      </c>
      <c r="H9153" s="12">
        <v>-1.2108557781753599</v>
      </c>
      <c r="I9153" s="20">
        <v>-0.32557110554368202</v>
      </c>
      <c r="J9153" s="28">
        <v>0.74474887650017896</v>
      </c>
      <c r="K9153" s="29">
        <v>0.98289565623980701</v>
      </c>
    </row>
    <row r="9154" spans="1:11" x14ac:dyDescent="0.35">
      <c r="A9154" s="9" t="str">
        <f>HYPERLINK("http://www.ensembl.org/id/WBGene00008713", "WBGene00008713")</f>
        <v>WBGene00008713</v>
      </c>
      <c r="B9154" s="9" t="str">
        <f>HYPERLINK("http://www.ncbi.nlm.nih.gov/gene/259610", "259610")</f>
        <v>259610</v>
      </c>
      <c r="C9154" s="9"/>
      <c r="D9154" t="str">
        <f>"F11E6.10"</f>
        <v>F11E6.10</v>
      </c>
      <c r="F9154" t="s">
        <v>11</v>
      </c>
      <c r="G9154" t="s">
        <v>25</v>
      </c>
      <c r="H9154" s="12">
        <v>2.6112772241062499</v>
      </c>
      <c r="I9154" s="20">
        <v>1.1638273277776401</v>
      </c>
      <c r="J9154" s="28">
        <v>0.24449399504594099</v>
      </c>
      <c r="K9154" s="29">
        <v>0.98289565623980701</v>
      </c>
    </row>
    <row r="9155" spans="1:11" x14ac:dyDescent="0.35">
      <c r="A9155" s="9" t="str">
        <f>HYPERLINK("http://www.ensembl.org/id/WBGene00195804", "WBGene00195804")</f>
        <v>WBGene00195804</v>
      </c>
      <c r="B9155" s="9"/>
      <c r="C9155" s="9"/>
      <c r="D9155" t="str">
        <f>"F11E6.19"</f>
        <v>F11E6.19</v>
      </c>
      <c r="F9155" t="s">
        <v>481</v>
      </c>
      <c r="H9155" s="12">
        <v>2.3893468495514898</v>
      </c>
      <c r="I9155" s="20">
        <v>0.25323547253672701</v>
      </c>
      <c r="J9155" s="28">
        <v>0.80008625651646104</v>
      </c>
      <c r="K9155" s="29">
        <v>0.98289565623980701</v>
      </c>
    </row>
    <row r="9156" spans="1:11" x14ac:dyDescent="0.35">
      <c r="A9156" s="9" t="str">
        <f>HYPERLINK("http://www.ensembl.org/id/WBGene00198753", "WBGene00198753")</f>
        <v>WBGene00198753</v>
      </c>
      <c r="B9156" s="9"/>
      <c r="C9156" s="9"/>
      <c r="D9156" t="str">
        <f>"F11E6.21"</f>
        <v>F11E6.21</v>
      </c>
      <c r="F9156" t="s">
        <v>481</v>
      </c>
      <c r="H9156" s="12">
        <v>2.3444892507898301</v>
      </c>
      <c r="I9156" s="20">
        <v>0.253126732237689</v>
      </c>
      <c r="J9156" s="28">
        <v>0.80017028205419904</v>
      </c>
      <c r="K9156" s="29">
        <v>0.98289565623980701</v>
      </c>
    </row>
    <row r="9157" spans="1:11" x14ac:dyDescent="0.35">
      <c r="A9157" s="9" t="str">
        <f>HYPERLINK("http://www.ensembl.org/id/WBGene00008709", "WBGene00008709")</f>
        <v>WBGene00008709</v>
      </c>
      <c r="B9157" s="9" t="str">
        <f>HYPERLINK("http://www.ncbi.nlm.nih.gov/gene/184359", "184359")</f>
        <v>184359</v>
      </c>
      <c r="C9157" s="9"/>
      <c r="D9157" t="str">
        <f>"F11E6.6"</f>
        <v>F11E6.6</v>
      </c>
      <c r="F9157" t="s">
        <v>11</v>
      </c>
      <c r="G9157" t="s">
        <v>5573</v>
      </c>
      <c r="H9157" s="12">
        <v>1.1437871407676901</v>
      </c>
      <c r="I9157" s="20">
        <v>0.26854092168848498</v>
      </c>
      <c r="J9157" s="28">
        <v>0.78828298023349697</v>
      </c>
      <c r="K9157" s="29">
        <v>0.98289565623980701</v>
      </c>
    </row>
    <row r="9158" spans="1:11" x14ac:dyDescent="0.35">
      <c r="A9158" s="9" t="str">
        <f>HYPERLINK("http://www.ensembl.org/id/WBGene00008710", "WBGene00008710")</f>
        <v>WBGene00008710</v>
      </c>
      <c r="B9158" s="9" t="str">
        <f>HYPERLINK("http://www.ncbi.nlm.nih.gov/gene/178531", "178531")</f>
        <v>178531</v>
      </c>
      <c r="C9158" s="9"/>
      <c r="D9158" t="str">
        <f>"F11E6.7"</f>
        <v>F11E6.7</v>
      </c>
      <c r="F9158" t="s">
        <v>11</v>
      </c>
      <c r="G9158" t="s">
        <v>9780</v>
      </c>
      <c r="H9158" s="12">
        <v>-1.3009372518745601</v>
      </c>
      <c r="I9158" s="20">
        <v>-1.1398294162895599</v>
      </c>
      <c r="J9158" s="28">
        <v>0.25435737586729601</v>
      </c>
      <c r="K9158" s="29">
        <v>0.98289565623980701</v>
      </c>
    </row>
    <row r="9159" spans="1:11" x14ac:dyDescent="0.35">
      <c r="A9159" s="9" t="str">
        <f>HYPERLINK("http://www.ensembl.org/id/WBGene00008712", "WBGene00008712")</f>
        <v>WBGene00008712</v>
      </c>
      <c r="B9159" s="9" t="str">
        <f>HYPERLINK("http://www.ncbi.nlm.nih.gov/gene/3565677", "3565677")</f>
        <v>3565677</v>
      </c>
      <c r="C9159" s="9"/>
      <c r="D9159" t="str">
        <f>"F11E6.9"</f>
        <v>F11E6.9</v>
      </c>
      <c r="F9159" t="s">
        <v>11</v>
      </c>
      <c r="H9159" s="12">
        <v>1.7502780810081899</v>
      </c>
      <c r="I9159" s="20">
        <v>0.90503756611603703</v>
      </c>
      <c r="J9159" s="28">
        <v>0.365445485960182</v>
      </c>
      <c r="K9159" s="29">
        <v>0.98289565623980701</v>
      </c>
    </row>
    <row r="9160" spans="1:11" x14ac:dyDescent="0.35">
      <c r="A9160" s="9" t="str">
        <f>HYPERLINK("http://www.ensembl.org/id/WBGene00008716", "WBGene00008716")</f>
        <v>WBGene00008716</v>
      </c>
      <c r="B9160" s="9" t="str">
        <f>HYPERLINK("http://www.ncbi.nlm.nih.gov/gene/184360", "184360")</f>
        <v>184360</v>
      </c>
      <c r="C9160" s="9"/>
      <c r="D9160" t="str">
        <f>"F11F1.4"</f>
        <v>F11F1.4</v>
      </c>
      <c r="F9160" t="s">
        <v>11</v>
      </c>
      <c r="H9160" s="12">
        <v>-13.631801325966601</v>
      </c>
      <c r="I9160" s="20">
        <v>-0.81817789633815496</v>
      </c>
      <c r="J9160" s="28">
        <v>0.41325561456537002</v>
      </c>
      <c r="K9160" s="29">
        <v>0.98289565623980701</v>
      </c>
    </row>
    <row r="9161" spans="1:11" x14ac:dyDescent="0.35">
      <c r="A9161" s="9" t="str">
        <f>HYPERLINK("http://www.ensembl.org/id/WBGene00044399", "WBGene00044399")</f>
        <v>WBGene00044399</v>
      </c>
      <c r="B9161" s="9" t="str">
        <f>HYPERLINK("http://www.ncbi.nlm.nih.gov/gene/3564921", "3564921")</f>
        <v>3564921</v>
      </c>
      <c r="C9161" s="9"/>
      <c r="D9161" t="str">
        <f>"F11F1.8"</f>
        <v>F11F1.8</v>
      </c>
      <c r="F9161" t="s">
        <v>11</v>
      </c>
      <c r="H9161" s="12">
        <v>2.3893468495514898</v>
      </c>
      <c r="I9161" s="20">
        <v>0.25323547253672701</v>
      </c>
      <c r="J9161" s="28">
        <v>0.80008625651646104</v>
      </c>
      <c r="K9161" s="29">
        <v>0.98289565623980701</v>
      </c>
    </row>
    <row r="9162" spans="1:11" x14ac:dyDescent="0.35">
      <c r="A9162" s="9" t="str">
        <f>HYPERLINK("http://www.ensembl.org/id/WBGene00017388", "WBGene00017388")</f>
        <v>WBGene00017388</v>
      </c>
      <c r="B9162" s="9" t="str">
        <f>HYPERLINK("http://www.ncbi.nlm.nih.gov/gene/184367", "184367")</f>
        <v>184367</v>
      </c>
      <c r="C9162" s="9"/>
      <c r="D9162" t="str">
        <f>"F11G11.13"</f>
        <v>F11G11.13</v>
      </c>
      <c r="F9162" t="s">
        <v>11</v>
      </c>
      <c r="G9162" t="s">
        <v>280</v>
      </c>
      <c r="H9162" s="12">
        <v>2.7624846749232699</v>
      </c>
      <c r="I9162" s="20">
        <v>0.73195378150421198</v>
      </c>
      <c r="J9162" s="28">
        <v>0.46419677825599698</v>
      </c>
      <c r="K9162" s="29">
        <v>0.98289565623980701</v>
      </c>
    </row>
    <row r="9163" spans="1:11" x14ac:dyDescent="0.35">
      <c r="A9163" s="9" t="str">
        <f>HYPERLINK("http://www.ensembl.org/id/WBGene00044384", "WBGene00044384")</f>
        <v>WBGene00044384</v>
      </c>
      <c r="B9163" s="9" t="str">
        <f>HYPERLINK("http://www.ncbi.nlm.nih.gov/gene/3565823", "3565823")</f>
        <v>3565823</v>
      </c>
      <c r="C9163" s="9"/>
      <c r="D9163" t="str">
        <f>"F11G11.14"</f>
        <v>F11G11.14</v>
      </c>
      <c r="F9163" t="s">
        <v>11</v>
      </c>
      <c r="G9163" t="s">
        <v>25</v>
      </c>
      <c r="H9163" s="12">
        <v>-3.5819448292659501</v>
      </c>
      <c r="I9163" s="20">
        <v>-0.37337717500031398</v>
      </c>
      <c r="J9163" s="28">
        <v>0.70886774492290605</v>
      </c>
      <c r="K9163" s="29">
        <v>0.98289565623980701</v>
      </c>
    </row>
    <row r="9164" spans="1:11" x14ac:dyDescent="0.35">
      <c r="A9164" s="9" t="str">
        <f>HYPERLINK("http://www.ensembl.org/id/WBGene00017384", "WBGene00017384")</f>
        <v>WBGene00017384</v>
      </c>
      <c r="B9164" s="9" t="str">
        <f>HYPERLINK("http://www.ncbi.nlm.nih.gov/gene/184365", "184365")</f>
        <v>184365</v>
      </c>
      <c r="C9164" s="9"/>
      <c r="D9164" t="str">
        <f>"F11G11.4"</f>
        <v>F11G11.4</v>
      </c>
      <c r="F9164" t="s">
        <v>11</v>
      </c>
      <c r="G9164" t="s">
        <v>417</v>
      </c>
      <c r="H9164" s="12">
        <v>2.0332671049876798</v>
      </c>
      <c r="I9164" s="20">
        <v>0.55830128017580904</v>
      </c>
      <c r="J9164" s="28">
        <v>0.57663867091693599</v>
      </c>
      <c r="K9164" s="29">
        <v>0.98289565623980701</v>
      </c>
    </row>
    <row r="9165" spans="1:11" x14ac:dyDescent="0.35">
      <c r="A9165" s="9" t="str">
        <f>HYPERLINK("http://www.ensembl.org/id/WBGene00017385", "WBGene00017385")</f>
        <v>WBGene00017385</v>
      </c>
      <c r="B9165" s="9" t="str">
        <f>HYPERLINK("http://www.ncbi.nlm.nih.gov/gene/173836", "173836")</f>
        <v>173836</v>
      </c>
      <c r="C9165" s="9"/>
      <c r="D9165" t="str">
        <f>"F11G11.5"</f>
        <v>F11G11.5</v>
      </c>
      <c r="F9165" t="s">
        <v>11</v>
      </c>
      <c r="G9165" t="s">
        <v>8875</v>
      </c>
      <c r="H9165" s="12">
        <v>-1.24889100365809</v>
      </c>
      <c r="I9165" s="20">
        <v>-1.20230991091072</v>
      </c>
      <c r="J9165" s="28">
        <v>0.22924347845684201</v>
      </c>
      <c r="K9165" s="29">
        <v>0.98289565623980701</v>
      </c>
    </row>
    <row r="9166" spans="1:11" x14ac:dyDescent="0.35">
      <c r="A9166" s="9" t="str">
        <f>HYPERLINK("http://www.ensembl.org/id/WBGene00198750", "WBGene00198750")</f>
        <v>WBGene00198750</v>
      </c>
      <c r="B9166" s="9"/>
      <c r="C9166" s="9"/>
      <c r="D9166" t="str">
        <f>"F11H8.7"</f>
        <v>F11H8.7</v>
      </c>
      <c r="F9166" t="s">
        <v>481</v>
      </c>
      <c r="H9166" s="12">
        <v>2.3893468495514898</v>
      </c>
      <c r="I9166" s="20">
        <v>0.25323547253672701</v>
      </c>
      <c r="J9166" s="28">
        <v>0.80008625651646104</v>
      </c>
      <c r="K9166" s="29">
        <v>0.98289565623980701</v>
      </c>
    </row>
    <row r="9167" spans="1:11" x14ac:dyDescent="0.35">
      <c r="A9167" s="9" t="str">
        <f>HYPERLINK("http://www.ensembl.org/id/WBGene00017390", "WBGene00017390")</f>
        <v>WBGene00017390</v>
      </c>
      <c r="B9167" s="9" t="str">
        <f>HYPERLINK("http://www.ncbi.nlm.nih.gov/gene/184370", "184370")</f>
        <v>184370</v>
      </c>
      <c r="C9167" s="9"/>
      <c r="D9167" t="str">
        <f>"F12A10.1"</f>
        <v>F12A10.1</v>
      </c>
      <c r="F9167" t="s">
        <v>11</v>
      </c>
      <c r="G9167" t="s">
        <v>25</v>
      </c>
      <c r="H9167" s="12">
        <v>1.2783991797163801</v>
      </c>
      <c r="I9167" s="20">
        <v>0.825290813635423</v>
      </c>
      <c r="J9167" s="28">
        <v>0.40920650597247898</v>
      </c>
      <c r="K9167" s="29">
        <v>0.98289565623980701</v>
      </c>
    </row>
    <row r="9168" spans="1:11" x14ac:dyDescent="0.35">
      <c r="A9168" s="9" t="str">
        <f>HYPERLINK("http://www.ensembl.org/id/WBGene00017391", "WBGene00017391")</f>
        <v>WBGene00017391</v>
      </c>
      <c r="B9168" s="9"/>
      <c r="C9168" s="9"/>
      <c r="D9168" t="str">
        <f>"F12A10.2"</f>
        <v>F12A10.2</v>
      </c>
      <c r="F9168" t="s">
        <v>80</v>
      </c>
      <c r="H9168" s="12">
        <v>-8.0014360469151899</v>
      </c>
      <c r="I9168" s="20">
        <v>-0.61746222315259702</v>
      </c>
      <c r="J9168" s="28">
        <v>0.536929891129723</v>
      </c>
      <c r="K9168" s="29">
        <v>0.98289565623980701</v>
      </c>
    </row>
    <row r="9169" spans="1:11" x14ac:dyDescent="0.35">
      <c r="A9169" s="9" t="str">
        <f>HYPERLINK("http://www.ensembl.org/id/WBGene00017395", "WBGene00017395")</f>
        <v>WBGene00017395</v>
      </c>
      <c r="B9169" s="9" t="str">
        <f>HYPERLINK("http://www.ncbi.nlm.nih.gov/gene/184374", "184374")</f>
        <v>184374</v>
      </c>
      <c r="C9169" s="9"/>
      <c r="D9169" t="str">
        <f>"F12A10.6"</f>
        <v>F12A10.6</v>
      </c>
      <c r="F9169" t="s">
        <v>11</v>
      </c>
      <c r="H9169" s="12">
        <v>-2.4295389261469</v>
      </c>
      <c r="I9169" s="20">
        <v>-0.25808529976640998</v>
      </c>
      <c r="J9169" s="28">
        <v>0.79634107645457397</v>
      </c>
      <c r="K9169" s="29">
        <v>0.98289565623980701</v>
      </c>
    </row>
    <row r="9170" spans="1:11" x14ac:dyDescent="0.35">
      <c r="A9170" s="9" t="str">
        <f>HYPERLINK("http://www.ensembl.org/id/WBGene00077704", "WBGene00077704")</f>
        <v>WBGene00077704</v>
      </c>
      <c r="B9170" s="9" t="str">
        <f>HYPERLINK("http://www.ncbi.nlm.nih.gov/gene/7040168", "7040168")</f>
        <v>7040168</v>
      </c>
      <c r="C9170" s="9"/>
      <c r="D9170" t="str">
        <f>"F12A10.9"</f>
        <v>F12A10.9</v>
      </c>
      <c r="F9170" t="s">
        <v>11</v>
      </c>
      <c r="H9170" s="12">
        <v>-1.68325342480358</v>
      </c>
      <c r="I9170" s="20">
        <v>-0.416121208355058</v>
      </c>
      <c r="J9170" s="28">
        <v>0.67732131150416697</v>
      </c>
      <c r="K9170" s="29">
        <v>0.98289565623980701</v>
      </c>
    </row>
    <row r="9171" spans="1:11" x14ac:dyDescent="0.35">
      <c r="A9171" s="9" t="str">
        <f>HYPERLINK("http://www.ensembl.org/id/WBGene00017401", "WBGene00017401")</f>
        <v>WBGene00017401</v>
      </c>
      <c r="B9171" s="9" t="str">
        <f>HYPERLINK("http://www.ncbi.nlm.nih.gov/gene/184379", "184379")</f>
        <v>184379</v>
      </c>
      <c r="C9171" s="9"/>
      <c r="D9171" t="str">
        <f>"F12D9.2"</f>
        <v>F12D9.2</v>
      </c>
      <c r="F9171" t="s">
        <v>11</v>
      </c>
      <c r="H9171" s="12">
        <v>4.4368407117627902</v>
      </c>
      <c r="I9171" s="20">
        <v>0.43709475933309699</v>
      </c>
      <c r="J9171" s="28">
        <v>0.66204262779770495</v>
      </c>
      <c r="K9171" s="29">
        <v>0.98289565623980701</v>
      </c>
    </row>
    <row r="9172" spans="1:11" x14ac:dyDescent="0.35">
      <c r="A9172" s="9" t="str">
        <f>HYPERLINK("http://www.ensembl.org/id/WBGene00044811", "WBGene00044811")</f>
        <v>WBGene00044811</v>
      </c>
      <c r="B9172" s="9" t="str">
        <f>HYPERLINK("http://www.ncbi.nlm.nih.gov/gene/4363044", "4363044")</f>
        <v>4363044</v>
      </c>
      <c r="C9172" s="9"/>
      <c r="D9172" t="str">
        <f>"F12E12.11"</f>
        <v>F12E12.11</v>
      </c>
      <c r="F9172" t="s">
        <v>11</v>
      </c>
      <c r="G9172" t="s">
        <v>489</v>
      </c>
      <c r="H9172" s="12">
        <v>-1.13063298780594</v>
      </c>
      <c r="I9172" s="20">
        <v>-0.55317571600120097</v>
      </c>
      <c r="J9172" s="28">
        <v>0.58014309380658002</v>
      </c>
      <c r="K9172" s="29">
        <v>0.98289565623980701</v>
      </c>
    </row>
    <row r="9173" spans="1:11" x14ac:dyDescent="0.35">
      <c r="A9173" s="9" t="str">
        <f>HYPERLINK("http://www.ensembl.org/id/WBGene00017403", "WBGene00017403")</f>
        <v>WBGene00017403</v>
      </c>
      <c r="B9173" s="9" t="str">
        <f>HYPERLINK("http://www.ncbi.nlm.nih.gov/gene/184386", "184386")</f>
        <v>184386</v>
      </c>
      <c r="C9173" s="9"/>
      <c r="D9173" t="str">
        <f>"F12E12.2"</f>
        <v>F12E12.2</v>
      </c>
      <c r="F9173" t="s">
        <v>11</v>
      </c>
      <c r="H9173" s="12">
        <v>-2.4295389261469</v>
      </c>
      <c r="I9173" s="20">
        <v>-0.25808529976640998</v>
      </c>
      <c r="J9173" s="28">
        <v>0.79634107645457397</v>
      </c>
      <c r="K9173" s="29">
        <v>0.98289565623980701</v>
      </c>
    </row>
    <row r="9174" spans="1:11" x14ac:dyDescent="0.35">
      <c r="A9174" s="9" t="str">
        <f>HYPERLINK("http://www.ensembl.org/id/WBGene00017404", "WBGene00017404")</f>
        <v>WBGene00017404</v>
      </c>
      <c r="B9174" s="9"/>
      <c r="C9174" s="9"/>
      <c r="D9174" t="str">
        <f>"F12E12.3"</f>
        <v>F12E12.3</v>
      </c>
      <c r="F9174" t="s">
        <v>80</v>
      </c>
      <c r="H9174" s="12">
        <v>-5.5706771292581099</v>
      </c>
      <c r="I9174" s="20">
        <v>-1.1227153826212299</v>
      </c>
      <c r="J9174" s="28">
        <v>0.26155839275140802</v>
      </c>
      <c r="K9174" s="29">
        <v>0.98289565623980701</v>
      </c>
    </row>
    <row r="9175" spans="1:11" x14ac:dyDescent="0.35">
      <c r="A9175" s="9" t="str">
        <f>HYPERLINK("http://www.ensembl.org/id/WBGene00017407", "WBGene00017407")</f>
        <v>WBGene00017407</v>
      </c>
      <c r="B9175" s="9" t="str">
        <f>HYPERLINK("http://www.ncbi.nlm.nih.gov/gene/184389", "184389")</f>
        <v>184389</v>
      </c>
      <c r="C9175" s="9"/>
      <c r="D9175" t="str">
        <f>"F12E12.6"</f>
        <v>F12E12.6</v>
      </c>
      <c r="F9175" t="s">
        <v>11</v>
      </c>
      <c r="H9175" s="12">
        <v>1.46096751876546</v>
      </c>
      <c r="I9175" s="20">
        <v>0.287750920864208</v>
      </c>
      <c r="J9175" s="28">
        <v>0.77353740847262098</v>
      </c>
      <c r="K9175" s="29">
        <v>0.98289565623980701</v>
      </c>
    </row>
    <row r="9176" spans="1:11" x14ac:dyDescent="0.35">
      <c r="A9176" s="9" t="str">
        <f>HYPERLINK("http://www.ensembl.org/id/WBGene00197882", "WBGene00197882")</f>
        <v>WBGene00197882</v>
      </c>
      <c r="B9176" s="9"/>
      <c r="C9176" s="9"/>
      <c r="D9176" t="str">
        <f>"F12F3.5"</f>
        <v>F12F3.5</v>
      </c>
      <c r="F9176" t="s">
        <v>481</v>
      </c>
      <c r="H9176" s="12">
        <v>2.4578120077400301</v>
      </c>
      <c r="I9176" s="20">
        <v>0.26093350314551</v>
      </c>
      <c r="J9176" s="28">
        <v>0.79414378780213601</v>
      </c>
      <c r="K9176" s="29">
        <v>0.98289565623980701</v>
      </c>
    </row>
    <row r="9177" spans="1:11" x14ac:dyDescent="0.35">
      <c r="A9177" s="9" t="str">
        <f>HYPERLINK("http://www.ensembl.org/id/WBGene00198766", "WBGene00198766")</f>
        <v>WBGene00198766</v>
      </c>
      <c r="B9177" s="9"/>
      <c r="C9177" s="9"/>
      <c r="D9177" t="str">
        <f>"F12F3.7"</f>
        <v>F12F3.7</v>
      </c>
      <c r="F9177" t="s">
        <v>481</v>
      </c>
      <c r="H9177" s="12">
        <v>3.3459711568032202</v>
      </c>
      <c r="I9177" s="20">
        <v>0.69429196898383605</v>
      </c>
      <c r="J9177" s="28">
        <v>0.48749912641541399</v>
      </c>
      <c r="K9177" s="29">
        <v>0.98289565623980701</v>
      </c>
    </row>
    <row r="9178" spans="1:11" x14ac:dyDescent="0.35">
      <c r="A9178" s="9" t="str">
        <f>HYPERLINK("http://www.ensembl.org/id/WBGene00196989", "WBGene00196989")</f>
        <v>WBGene00196989</v>
      </c>
      <c r="B9178" s="9"/>
      <c r="C9178" s="9"/>
      <c r="D9178" t="str">
        <f>"F12F6.14"</f>
        <v>F12F6.14</v>
      </c>
      <c r="F9178" t="s">
        <v>481</v>
      </c>
      <c r="H9178" s="12">
        <v>2.4578120077400301</v>
      </c>
      <c r="I9178" s="20">
        <v>0.26093350314551</v>
      </c>
      <c r="J9178" s="28">
        <v>0.79414378780213601</v>
      </c>
      <c r="K9178" s="29">
        <v>0.98289565623980701</v>
      </c>
    </row>
    <row r="9179" spans="1:11" x14ac:dyDescent="0.35">
      <c r="A9179" s="9" t="str">
        <f>HYPERLINK("http://www.ensembl.org/id/WBGene00198307", "WBGene00198307")</f>
        <v>WBGene00198307</v>
      </c>
      <c r="B9179" s="9"/>
      <c r="C9179" s="9"/>
      <c r="D9179" t="str">
        <f>"F12F6.15"</f>
        <v>F12F6.15</v>
      </c>
      <c r="F9179" t="s">
        <v>481</v>
      </c>
      <c r="H9179" s="12">
        <v>9.9320123134608593</v>
      </c>
      <c r="I9179" s="20">
        <v>0.68366985730865304</v>
      </c>
      <c r="J9179" s="28">
        <v>0.49418366151259002</v>
      </c>
      <c r="K9179" s="29">
        <v>0.98289565623980701</v>
      </c>
    </row>
    <row r="9180" spans="1:11" x14ac:dyDescent="0.35">
      <c r="A9180" s="9" t="str">
        <f>HYPERLINK("http://www.ensembl.org/id/WBGene00198599", "WBGene00198599")</f>
        <v>WBGene00198599</v>
      </c>
      <c r="B9180" s="9"/>
      <c r="C9180" s="9"/>
      <c r="D9180" t="str">
        <f>"F12F6.16"</f>
        <v>F12F6.16</v>
      </c>
      <c r="F9180" t="s">
        <v>481</v>
      </c>
      <c r="H9180" s="12">
        <v>-4.7167679298615104</v>
      </c>
      <c r="I9180" s="20">
        <v>-0.454742638005115</v>
      </c>
      <c r="J9180" s="28">
        <v>0.64929440216969203</v>
      </c>
      <c r="K9180" s="29">
        <v>0.98289565623980701</v>
      </c>
    </row>
    <row r="9181" spans="1:11" x14ac:dyDescent="0.35">
      <c r="A9181" s="9" t="str">
        <f>HYPERLINK("http://www.ensembl.org/id/WBGene00201183", "WBGene00201183")</f>
        <v>WBGene00201183</v>
      </c>
      <c r="B9181" s="9"/>
      <c r="C9181" s="9"/>
      <c r="D9181" t="str">
        <f>"F12F6.18"</f>
        <v>F12F6.18</v>
      </c>
      <c r="F9181" t="s">
        <v>481</v>
      </c>
      <c r="H9181" s="12">
        <v>2.39756182443737</v>
      </c>
      <c r="I9181" s="20">
        <v>0.440322963183987</v>
      </c>
      <c r="J9181" s="28">
        <v>0.65970321147507804</v>
      </c>
      <c r="K9181" s="29">
        <v>0.98289565623980701</v>
      </c>
    </row>
    <row r="9182" spans="1:11" x14ac:dyDescent="0.35">
      <c r="A9182" s="9" t="str">
        <f>HYPERLINK("http://www.ensembl.org/id/WBGene00008723", "WBGene00008723")</f>
        <v>WBGene00008723</v>
      </c>
      <c r="B9182" s="9"/>
      <c r="C9182" s="9"/>
      <c r="D9182" t="str">
        <f>"F12F6.8"</f>
        <v>F12F6.8</v>
      </c>
      <c r="F9182" t="s">
        <v>80</v>
      </c>
      <c r="H9182" s="12">
        <v>-1.1736010344022201</v>
      </c>
      <c r="I9182" s="20">
        <v>-0.29552234603456801</v>
      </c>
      <c r="J9182" s="28">
        <v>0.76759488453108005</v>
      </c>
      <c r="K9182" s="29">
        <v>0.98289565623980701</v>
      </c>
    </row>
    <row r="9183" spans="1:11" x14ac:dyDescent="0.35">
      <c r="A9183" s="9" t="str">
        <f>HYPERLINK("http://www.ensembl.org/id/WBGene00195154", "WBGene00195154")</f>
        <v>WBGene00195154</v>
      </c>
      <c r="B9183" s="9" t="str">
        <f>HYPERLINK("http://www.ncbi.nlm.nih.gov/gene/13212585", "13212585")</f>
        <v>13212585</v>
      </c>
      <c r="C9183" s="9"/>
      <c r="D9183" t="str">
        <f>"F13A2.10"</f>
        <v>F13A2.10</v>
      </c>
      <c r="F9183" t="s">
        <v>11</v>
      </c>
      <c r="H9183" s="12">
        <v>-15.2952101761945</v>
      </c>
      <c r="I9183" s="20">
        <v>-0.983791108715803</v>
      </c>
      <c r="J9183" s="28">
        <v>0.325218231928046</v>
      </c>
      <c r="K9183" s="29">
        <v>0.98289565623980701</v>
      </c>
    </row>
    <row r="9184" spans="1:11" x14ac:dyDescent="0.35">
      <c r="A9184" s="9" t="str">
        <f>HYPERLINK("http://www.ensembl.org/id/WBGene00269436", "WBGene00269436")</f>
        <v>WBGene00269436</v>
      </c>
      <c r="B9184" s="9"/>
      <c r="C9184" s="9"/>
      <c r="D9184" t="str">
        <f>"F13A2.14"</f>
        <v>F13A2.14</v>
      </c>
      <c r="F9184" t="s">
        <v>80</v>
      </c>
      <c r="H9184" s="12">
        <v>-3.9513749210412099</v>
      </c>
      <c r="I9184" s="20">
        <v>-0.83831322628020699</v>
      </c>
      <c r="J9184" s="28">
        <v>0.40185480954781599</v>
      </c>
      <c r="K9184" s="29">
        <v>0.98289565623980701</v>
      </c>
    </row>
    <row r="9185" spans="1:11" x14ac:dyDescent="0.35">
      <c r="A9185" s="9" t="str">
        <f>HYPERLINK("http://www.ensembl.org/id/WBGene00017412", "WBGene00017412")</f>
        <v>WBGene00017412</v>
      </c>
      <c r="B9185" s="9" t="str">
        <f>HYPERLINK("http://www.ncbi.nlm.nih.gov/gene/184394", "184394")</f>
        <v>184394</v>
      </c>
      <c r="C9185" s="9"/>
      <c r="D9185" t="str">
        <f>"F13A2.3"</f>
        <v>F13A2.3</v>
      </c>
      <c r="F9185" t="s">
        <v>11</v>
      </c>
      <c r="H9185" s="12">
        <v>-2.4991590031922399</v>
      </c>
      <c r="I9185" s="20">
        <v>-0.26577412737581302</v>
      </c>
      <c r="J9185" s="28">
        <v>0.79041317015736101</v>
      </c>
      <c r="K9185" s="29">
        <v>0.98289565623980701</v>
      </c>
    </row>
    <row r="9186" spans="1:11" x14ac:dyDescent="0.35">
      <c r="A9186" s="9" t="str">
        <f>HYPERLINK("http://www.ensembl.org/id/WBGene00017413", "WBGene00017413")</f>
        <v>WBGene00017413</v>
      </c>
      <c r="B9186" s="9" t="str">
        <f>HYPERLINK("http://www.ncbi.nlm.nih.gov/gene/184395", "184395")</f>
        <v>184395</v>
      </c>
      <c r="C9186" s="9"/>
      <c r="D9186" t="str">
        <f>"F13A2.4"</f>
        <v>F13A2.4</v>
      </c>
      <c r="F9186" t="s">
        <v>11</v>
      </c>
      <c r="G9186" t="s">
        <v>54</v>
      </c>
      <c r="H9186" s="12">
        <v>-1.79219704308168</v>
      </c>
      <c r="I9186" s="20">
        <v>-1.05452740139238</v>
      </c>
      <c r="J9186" s="28">
        <v>0.29164152213591998</v>
      </c>
      <c r="K9186" s="29">
        <v>0.98289565623980701</v>
      </c>
    </row>
    <row r="9187" spans="1:11" x14ac:dyDescent="0.35">
      <c r="A9187" s="9" t="str">
        <f>HYPERLINK("http://www.ensembl.org/id/WBGene00044531", "WBGene00044531")</f>
        <v>WBGene00044531</v>
      </c>
      <c r="B9187" s="9" t="str">
        <f>HYPERLINK("http://www.ncbi.nlm.nih.gov/gene/3896833", "3896833")</f>
        <v>3896833</v>
      </c>
      <c r="C9187" s="9"/>
      <c r="D9187" t="str">
        <f>"F13A2.9"</f>
        <v>F13A2.9</v>
      </c>
      <c r="F9187" t="s">
        <v>11</v>
      </c>
      <c r="H9187" s="12">
        <v>-11.973997965956601</v>
      </c>
      <c r="I9187" s="20">
        <v>-0.77726113562491606</v>
      </c>
      <c r="J9187" s="28">
        <v>0.437004719503373</v>
      </c>
      <c r="K9187" s="29">
        <v>0.98289565623980701</v>
      </c>
    </row>
    <row r="9188" spans="1:11" x14ac:dyDescent="0.35">
      <c r="A9188" s="9" t="str">
        <f>HYPERLINK("http://www.ensembl.org/id/WBGene00008724", "WBGene00008724")</f>
        <v>WBGene00008724</v>
      </c>
      <c r="B9188" s="9" t="str">
        <f>HYPERLINK("http://www.ncbi.nlm.nih.gov/gene/180101", "180101")</f>
        <v>180101</v>
      </c>
      <c r="C9188" s="9"/>
      <c r="D9188" t="str">
        <f>"F13A7.1"</f>
        <v>F13A7.1</v>
      </c>
      <c r="E9188" t="s">
        <v>899</v>
      </c>
      <c r="F9188" t="s">
        <v>11</v>
      </c>
      <c r="G9188" t="s">
        <v>3403</v>
      </c>
      <c r="H9188" s="12">
        <v>1.86129874635327</v>
      </c>
      <c r="I9188" s="20">
        <v>0.866529111450561</v>
      </c>
      <c r="J9188" s="28">
        <v>0.38620006906854998</v>
      </c>
      <c r="K9188" s="29">
        <v>0.98289565623980701</v>
      </c>
    </row>
    <row r="9189" spans="1:11" x14ac:dyDescent="0.35">
      <c r="A9189" s="9" t="str">
        <f>HYPERLINK("http://www.ensembl.org/id/WBGene00008726", "WBGene00008726")</f>
        <v>WBGene00008726</v>
      </c>
      <c r="B9189" s="9" t="str">
        <f>HYPERLINK("http://www.ncbi.nlm.nih.gov/gene/184406", "184406")</f>
        <v>184406</v>
      </c>
      <c r="C9189" s="9"/>
      <c r="D9189" t="str">
        <f>"F13A7.11"</f>
        <v>F13A7.11</v>
      </c>
      <c r="F9189" t="s">
        <v>11</v>
      </c>
      <c r="G9189" t="s">
        <v>264</v>
      </c>
      <c r="H9189" s="12">
        <v>1.12033190255061</v>
      </c>
      <c r="I9189" s="20">
        <v>0.373014935370866</v>
      </c>
      <c r="J9189" s="28">
        <v>0.70913732809188201</v>
      </c>
      <c r="K9189" s="29">
        <v>0.98289565623980701</v>
      </c>
    </row>
    <row r="9190" spans="1:11" x14ac:dyDescent="0.35">
      <c r="A9190" s="9" t="str">
        <f>HYPERLINK("http://www.ensembl.org/id/WBGene00008727", "WBGene00008727")</f>
        <v>WBGene00008727</v>
      </c>
      <c r="B9190" s="9" t="str">
        <f>HYPERLINK("http://www.ncbi.nlm.nih.gov/gene/3564887", "3564887")</f>
        <v>3564887</v>
      </c>
      <c r="C9190" s="9"/>
      <c r="D9190" t="str">
        <f>"F13A7.12"</f>
        <v>F13A7.12</v>
      </c>
      <c r="F9190" t="s">
        <v>11</v>
      </c>
      <c r="G9190" t="s">
        <v>25</v>
      </c>
      <c r="H9190" s="12">
        <v>1.5081651864604499</v>
      </c>
      <c r="I9190" s="20">
        <v>0.471880950136227</v>
      </c>
      <c r="J9190" s="28">
        <v>0.63701176614494104</v>
      </c>
      <c r="K9190" s="29">
        <v>0.98289565623980701</v>
      </c>
    </row>
    <row r="9191" spans="1:11" x14ac:dyDescent="0.35">
      <c r="A9191" s="9" t="str">
        <f>HYPERLINK("http://www.ensembl.org/id/WBGene00008729", "WBGene00008729")</f>
        <v>WBGene00008729</v>
      </c>
      <c r="B9191" s="9" t="str">
        <f>HYPERLINK("http://www.ncbi.nlm.nih.gov/gene/177934", "177934")</f>
        <v>177934</v>
      </c>
      <c r="C9191" s="9" t="str">
        <f>HYPERLINK("http://www.ncbi.nlm.nih.gov/gene/55677", "55677")</f>
        <v>55677</v>
      </c>
      <c r="D9191" t="str">
        <f>"F13B12.1"</f>
        <v>F13B12.1</v>
      </c>
      <c r="E9191" t="s">
        <v>8275</v>
      </c>
      <c r="F9191" t="s">
        <v>11</v>
      </c>
      <c r="G9191" t="s">
        <v>7462</v>
      </c>
      <c r="H9191" s="12">
        <v>-1.1683587199535701</v>
      </c>
      <c r="I9191" s="20">
        <v>-0.78525554932701502</v>
      </c>
      <c r="J9191" s="28">
        <v>0.43230375208393101</v>
      </c>
      <c r="K9191" s="29">
        <v>0.98289565623980701</v>
      </c>
    </row>
    <row r="9192" spans="1:11" x14ac:dyDescent="0.35">
      <c r="A9192" s="9" t="str">
        <f>HYPERLINK("http://www.ensembl.org/id/WBGene00196336", "WBGene00196336")</f>
        <v>WBGene00196336</v>
      </c>
      <c r="B9192" s="9"/>
      <c r="C9192" s="9"/>
      <c r="D9192" t="str">
        <f>"F13B12.13"</f>
        <v>F13B12.13</v>
      </c>
      <c r="F9192" t="s">
        <v>481</v>
      </c>
      <c r="H9192" s="12">
        <v>-2.4295389261469</v>
      </c>
      <c r="I9192" s="20">
        <v>-0.25808529976640998</v>
      </c>
      <c r="J9192" s="28">
        <v>0.79634107645457397</v>
      </c>
      <c r="K9192" s="29">
        <v>0.98289565623980701</v>
      </c>
    </row>
    <row r="9193" spans="1:11" x14ac:dyDescent="0.35">
      <c r="A9193" s="9" t="str">
        <f>HYPERLINK("http://www.ensembl.org/id/WBGene00008730", "WBGene00008730")</f>
        <v>WBGene00008730</v>
      </c>
      <c r="B9193" s="9" t="str">
        <f>HYPERLINK("http://www.ncbi.nlm.nih.gov/gene/177935", "177935")</f>
        <v>177935</v>
      </c>
      <c r="C9193" s="9"/>
      <c r="D9193" t="str">
        <f>"F13B12.2"</f>
        <v>F13B12.2</v>
      </c>
      <c r="F9193" t="s">
        <v>11</v>
      </c>
      <c r="G9193" t="s">
        <v>230</v>
      </c>
      <c r="H9193" s="12">
        <v>1.5095030980072</v>
      </c>
      <c r="I9193" s="20">
        <v>1.1868957294820499</v>
      </c>
      <c r="J9193" s="28">
        <v>0.23526875202529801</v>
      </c>
      <c r="K9193" s="29">
        <v>0.98289565623980701</v>
      </c>
    </row>
    <row r="9194" spans="1:11" x14ac:dyDescent="0.35">
      <c r="A9194" s="9" t="str">
        <f>HYPERLINK("http://www.ensembl.org/id/WBGene00008733", "WBGene00008733")</f>
        <v>WBGene00008733</v>
      </c>
      <c r="B9194" s="9" t="str">
        <f>HYPERLINK("http://www.ncbi.nlm.nih.gov/gene/177933", "177933")</f>
        <v>177933</v>
      </c>
      <c r="C9194" s="9" t="str">
        <f>HYPERLINK("http://www.ncbi.nlm.nih.gov/gene/63898", "63898")</f>
        <v>63898</v>
      </c>
      <c r="D9194" t="str">
        <f>"F13B12.6"</f>
        <v>F13B12.6</v>
      </c>
      <c r="F9194" t="s">
        <v>11</v>
      </c>
      <c r="G9194" t="s">
        <v>318</v>
      </c>
      <c r="H9194" s="12">
        <v>-1.2287447947330901</v>
      </c>
      <c r="I9194" s="20">
        <v>-1.0521261182164201</v>
      </c>
      <c r="J9194" s="28">
        <v>0.29274169057369298</v>
      </c>
      <c r="K9194" s="29">
        <v>0.98289565623980701</v>
      </c>
    </row>
    <row r="9195" spans="1:11" x14ac:dyDescent="0.35">
      <c r="A9195" s="9" t="str">
        <f>HYPERLINK("http://www.ensembl.org/id/WBGene00008734", "WBGene00008734")</f>
        <v>WBGene00008734</v>
      </c>
      <c r="B9195" s="9" t="str">
        <f>HYPERLINK("http://www.ncbi.nlm.nih.gov/gene/3565678", "3565678")</f>
        <v>3565678</v>
      </c>
      <c r="C9195" s="9"/>
      <c r="D9195" t="str">
        <f>"F13B12.7"</f>
        <v>F13B12.7</v>
      </c>
      <c r="F9195" t="s">
        <v>11</v>
      </c>
      <c r="G9195" t="s">
        <v>25</v>
      </c>
      <c r="H9195" s="12">
        <v>-2.4295389261469</v>
      </c>
      <c r="I9195" s="20">
        <v>-0.25808529976640998</v>
      </c>
      <c r="J9195" s="28">
        <v>0.79634107645457397</v>
      </c>
      <c r="K9195" s="29">
        <v>0.98289565623980701</v>
      </c>
    </row>
    <row r="9196" spans="1:11" x14ac:dyDescent="0.35">
      <c r="A9196" s="9" t="str">
        <f>HYPERLINK("http://www.ensembl.org/id/WBGene00017420", "WBGene00017420")</f>
        <v>WBGene00017420</v>
      </c>
      <c r="B9196" s="9" t="str">
        <f>HYPERLINK("http://www.ncbi.nlm.nih.gov/gene/181083", "181083")</f>
        <v>181083</v>
      </c>
      <c r="C9196" s="9"/>
      <c r="D9196" t="str">
        <f>"F13B9.2"</f>
        <v>F13B9.2</v>
      </c>
      <c r="F9196" t="s">
        <v>11</v>
      </c>
      <c r="H9196" s="12">
        <v>1.46736650670038</v>
      </c>
      <c r="I9196" s="20">
        <v>0.59532032300413695</v>
      </c>
      <c r="J9196" s="28">
        <v>0.55162937365772902</v>
      </c>
      <c r="K9196" s="29">
        <v>0.98289565623980701</v>
      </c>
    </row>
    <row r="9197" spans="1:11" x14ac:dyDescent="0.35">
      <c r="A9197" s="9" t="str">
        <f>HYPERLINK("http://www.ensembl.org/id/WBGene00017423", "WBGene00017423")</f>
        <v>WBGene00017423</v>
      </c>
      <c r="B9197" s="9" t="str">
        <f>HYPERLINK("http://www.ncbi.nlm.nih.gov/gene/180410", "180410")</f>
        <v>180410</v>
      </c>
      <c r="C9197" s="9"/>
      <c r="D9197" t="str">
        <f>"F13C5.2"</f>
        <v>F13C5.2</v>
      </c>
      <c r="F9197" t="s">
        <v>11</v>
      </c>
      <c r="G9197" t="s">
        <v>54</v>
      </c>
      <c r="H9197" s="12">
        <v>1.2378809433554001</v>
      </c>
      <c r="I9197" s="20">
        <v>1.06408070897101</v>
      </c>
      <c r="J9197" s="28">
        <v>0.28729213907949402</v>
      </c>
      <c r="K9197" s="29">
        <v>0.98289565623980701</v>
      </c>
    </row>
    <row r="9198" spans="1:11" x14ac:dyDescent="0.35">
      <c r="A9198" s="9" t="str">
        <f>HYPERLINK("http://www.ensembl.org/id/WBGene00197052", "WBGene00197052")</f>
        <v>WBGene00197052</v>
      </c>
      <c r="B9198" s="9"/>
      <c r="C9198" s="9"/>
      <c r="D9198" t="str">
        <f>"F13D11.10"</f>
        <v>F13D11.10</v>
      </c>
      <c r="F9198" t="s">
        <v>481</v>
      </c>
      <c r="H9198" s="12">
        <v>-2.4991590031922399</v>
      </c>
      <c r="I9198" s="20">
        <v>-0.26577412737581302</v>
      </c>
      <c r="J9198" s="28">
        <v>0.79041317015736101</v>
      </c>
      <c r="K9198" s="29">
        <v>0.98289565623980701</v>
      </c>
    </row>
    <row r="9199" spans="1:11" x14ac:dyDescent="0.35">
      <c r="A9199" s="9" t="str">
        <f>HYPERLINK("http://www.ensembl.org/id/WBGene00201564", "WBGene00201564")</f>
        <v>WBGene00201564</v>
      </c>
      <c r="B9199" s="9"/>
      <c r="C9199" s="9"/>
      <c r="D9199" t="str">
        <f>"F13D11.19"</f>
        <v>F13D11.19</v>
      </c>
      <c r="F9199" t="s">
        <v>481</v>
      </c>
      <c r="H9199" s="12">
        <v>3.5227018545059199</v>
      </c>
      <c r="I9199" s="20">
        <v>0.36849691206929103</v>
      </c>
      <c r="J9199" s="28">
        <v>0.71250274722433404</v>
      </c>
      <c r="K9199" s="29">
        <v>0.98289565623980701</v>
      </c>
    </row>
    <row r="9200" spans="1:11" x14ac:dyDescent="0.35">
      <c r="A9200" s="9" t="str">
        <f>HYPERLINK("http://www.ensembl.org/id/WBGene00201836", "WBGene00201836")</f>
        <v>WBGene00201836</v>
      </c>
      <c r="B9200" s="9"/>
      <c r="C9200" s="9"/>
      <c r="D9200" t="str">
        <f>"F13D11.21"</f>
        <v>F13D11.21</v>
      </c>
      <c r="F9200" t="s">
        <v>481</v>
      </c>
      <c r="H9200" s="12">
        <v>2.3893468495514898</v>
      </c>
      <c r="I9200" s="20">
        <v>0.25323547253672701</v>
      </c>
      <c r="J9200" s="28">
        <v>0.80008625651646104</v>
      </c>
      <c r="K9200" s="29">
        <v>0.98289565623980701</v>
      </c>
    </row>
    <row r="9201" spans="1:11" x14ac:dyDescent="0.35">
      <c r="A9201" s="9" t="str">
        <f>HYPERLINK("http://www.ensembl.org/id/WBGene00017428", "WBGene00017428")</f>
        <v>WBGene00017428</v>
      </c>
      <c r="B9201" s="9" t="str">
        <f>HYPERLINK("http://www.ncbi.nlm.nih.gov/gene/180847", "180847")</f>
        <v>180847</v>
      </c>
      <c r="C9201" s="9"/>
      <c r="D9201" t="str">
        <f>"F13D11.3"</f>
        <v>F13D11.3</v>
      </c>
      <c r="F9201" t="s">
        <v>11</v>
      </c>
      <c r="G9201" t="s">
        <v>9227</v>
      </c>
      <c r="H9201" s="12">
        <v>-1.2294034846302699</v>
      </c>
      <c r="I9201" s="20">
        <v>-1.0103414176791901</v>
      </c>
      <c r="J9201" s="28">
        <v>0.31233174428553201</v>
      </c>
      <c r="K9201" s="29">
        <v>0.98289565623980701</v>
      </c>
    </row>
    <row r="9202" spans="1:11" x14ac:dyDescent="0.35">
      <c r="A9202" s="9" t="str">
        <f>HYPERLINK("http://www.ensembl.org/id/WBGene00195700", "WBGene00195700")</f>
        <v>WBGene00195700</v>
      </c>
      <c r="B9202" s="9"/>
      <c r="C9202" s="9"/>
      <c r="D9202" t="str">
        <f>"F13D12.11"</f>
        <v>F13D12.11</v>
      </c>
      <c r="F9202" t="s">
        <v>481</v>
      </c>
      <c r="H9202" s="12">
        <v>-2.4295389261469</v>
      </c>
      <c r="I9202" s="20">
        <v>-0.25808529976640998</v>
      </c>
      <c r="J9202" s="28">
        <v>0.79634107645457397</v>
      </c>
      <c r="K9202" s="29">
        <v>0.98289565623980701</v>
      </c>
    </row>
    <row r="9203" spans="1:11" x14ac:dyDescent="0.35">
      <c r="A9203" s="9" t="str">
        <f>HYPERLINK("http://www.ensembl.org/id/WBGene00008742", "WBGene00008742")</f>
        <v>WBGene00008742</v>
      </c>
      <c r="B9203" s="9" t="str">
        <f>HYPERLINK("http://www.ncbi.nlm.nih.gov/gene/174801", "174801")</f>
        <v>174801</v>
      </c>
      <c r="C9203" s="9"/>
      <c r="D9203" t="str">
        <f>"F13D12.8"</f>
        <v>F13D12.8</v>
      </c>
      <c r="F9203" t="s">
        <v>11</v>
      </c>
      <c r="G9203" t="s">
        <v>25</v>
      </c>
      <c r="H9203" s="12">
        <v>1.0906317330959201</v>
      </c>
      <c r="I9203" s="20">
        <v>0.38336016163348802</v>
      </c>
      <c r="J9203" s="28">
        <v>0.70145273753336701</v>
      </c>
      <c r="K9203" s="29">
        <v>0.98289565623980701</v>
      </c>
    </row>
    <row r="9204" spans="1:11" x14ac:dyDescent="0.35">
      <c r="A9204" s="9" t="str">
        <f>HYPERLINK("http://www.ensembl.org/id/WBGene00008760", "WBGene00008760")</f>
        <v>WBGene00008760</v>
      </c>
      <c r="B9204" s="9" t="str">
        <f>HYPERLINK("http://www.ncbi.nlm.nih.gov/gene/177980", "177980")</f>
        <v>177980</v>
      </c>
      <c r="C9204" s="9"/>
      <c r="D9204" t="str">
        <f>"F13E9.11"</f>
        <v>F13E9.11</v>
      </c>
      <c r="F9204" t="s">
        <v>11</v>
      </c>
      <c r="G9204" t="s">
        <v>25</v>
      </c>
      <c r="H9204" s="12">
        <v>1.13401285874279</v>
      </c>
      <c r="I9204" s="20">
        <v>0.56487445683955495</v>
      </c>
      <c r="J9204" s="28">
        <v>0.572159158639169</v>
      </c>
      <c r="K9204" s="29">
        <v>0.98289565623980701</v>
      </c>
    </row>
    <row r="9205" spans="1:11" x14ac:dyDescent="0.35">
      <c r="A9205" s="9" t="str">
        <f>HYPERLINK("http://www.ensembl.org/id/WBGene00008757", "WBGene00008757")</f>
        <v>WBGene00008757</v>
      </c>
      <c r="B9205" s="9" t="str">
        <f>HYPERLINK("http://www.ncbi.nlm.nih.gov/gene/184426", "184426")</f>
        <v>184426</v>
      </c>
      <c r="C9205" s="9"/>
      <c r="D9205" t="str">
        <f>"F13E9.8"</f>
        <v>F13E9.8</v>
      </c>
      <c r="F9205" t="s">
        <v>11</v>
      </c>
      <c r="H9205" s="12">
        <v>3.4139537649139799</v>
      </c>
      <c r="I9205" s="20">
        <v>1.0236163496786099</v>
      </c>
      <c r="J9205" s="28">
        <v>0.30601651970301802</v>
      </c>
      <c r="K9205" s="29">
        <v>0.98289565623980701</v>
      </c>
    </row>
    <row r="9206" spans="1:11" x14ac:dyDescent="0.35">
      <c r="A9206" s="9" t="str">
        <f>HYPERLINK("http://www.ensembl.org/id/WBGene00008758", "WBGene00008758")</f>
        <v>WBGene00008758</v>
      </c>
      <c r="B9206" s="9" t="str">
        <f>HYPERLINK("http://www.ncbi.nlm.nih.gov/gene/184427", "184427")</f>
        <v>184427</v>
      </c>
      <c r="C9206" s="9"/>
      <c r="D9206" t="str">
        <f>"F13E9.9"</f>
        <v>F13E9.9</v>
      </c>
      <c r="F9206" t="s">
        <v>11</v>
      </c>
      <c r="H9206" s="12">
        <v>4.3766251216555503</v>
      </c>
      <c r="I9206" s="20">
        <v>1.0643533043341</v>
      </c>
      <c r="J9206" s="28">
        <v>0.28716867895339798</v>
      </c>
      <c r="K9206" s="29">
        <v>0.98289565623980701</v>
      </c>
    </row>
    <row r="9207" spans="1:11" x14ac:dyDescent="0.35">
      <c r="A9207" s="9" t="str">
        <f>HYPERLINK("http://www.ensembl.org/id/WBGene00008768", "WBGene00008768")</f>
        <v>WBGene00008768</v>
      </c>
      <c r="B9207" s="9" t="str">
        <f>HYPERLINK("http://www.ncbi.nlm.nih.gov/gene/3565846", "3565846")</f>
        <v>3565846</v>
      </c>
      <c r="C9207" s="9"/>
      <c r="D9207" t="str">
        <f>"F13G3.10"</f>
        <v>F13G3.10</v>
      </c>
      <c r="F9207" t="s">
        <v>11</v>
      </c>
      <c r="G9207" t="s">
        <v>7171</v>
      </c>
      <c r="H9207" s="12">
        <v>-1.11128006230451</v>
      </c>
      <c r="I9207" s="20">
        <v>-0.52502803850183799</v>
      </c>
      <c r="J9207" s="28">
        <v>0.59956369965286305</v>
      </c>
      <c r="K9207" s="29">
        <v>0.98289565623980701</v>
      </c>
    </row>
    <row r="9208" spans="1:11" x14ac:dyDescent="0.35">
      <c r="A9208" s="9" t="str">
        <f>HYPERLINK("http://www.ensembl.org/id/WBGene00008770", "WBGene00008770")</f>
        <v>WBGene00008770</v>
      </c>
      <c r="B9208" s="9" t="str">
        <f>HYPERLINK("http://www.ncbi.nlm.nih.gov/gene/3565139", "3565139")</f>
        <v>3565139</v>
      </c>
      <c r="C9208" s="9"/>
      <c r="D9208" t="str">
        <f>"F13G3.12"</f>
        <v>F13G3.12</v>
      </c>
      <c r="F9208" t="s">
        <v>11</v>
      </c>
      <c r="H9208" s="12">
        <v>-1.4818055887589401</v>
      </c>
      <c r="I9208" s="20">
        <v>-1.03893783553476</v>
      </c>
      <c r="J9208" s="28">
        <v>0.2988336484761</v>
      </c>
      <c r="K9208" s="29">
        <v>0.98289565623980701</v>
      </c>
    </row>
    <row r="9209" spans="1:11" x14ac:dyDescent="0.35">
      <c r="A9209" s="9" t="str">
        <f>HYPERLINK("http://www.ensembl.org/id/WBGene00008763", "WBGene00008763")</f>
        <v>WBGene00008763</v>
      </c>
      <c r="B9209" s="9" t="str">
        <f>HYPERLINK("http://www.ncbi.nlm.nih.gov/gene/172475", "172475")</f>
        <v>172475</v>
      </c>
      <c r="C9209" s="9"/>
      <c r="D9209" t="str">
        <f>"F13G3.3"</f>
        <v>F13G3.3</v>
      </c>
      <c r="E9209" t="s">
        <v>4652</v>
      </c>
      <c r="F9209" t="s">
        <v>11</v>
      </c>
      <c r="G9209" t="s">
        <v>1686</v>
      </c>
      <c r="H9209" s="12">
        <v>1.5325381053329299</v>
      </c>
      <c r="I9209" s="20">
        <v>0.58869926808581696</v>
      </c>
      <c r="J9209" s="28">
        <v>0.55606302897730697</v>
      </c>
      <c r="K9209" s="29">
        <v>0.98289565623980701</v>
      </c>
    </row>
    <row r="9210" spans="1:11" x14ac:dyDescent="0.35">
      <c r="A9210" s="9" t="str">
        <f>HYPERLINK("http://www.ensembl.org/id/WBGene00008766", "WBGene00008766")</f>
        <v>WBGene00008766</v>
      </c>
      <c r="B9210" s="9" t="str">
        <f>HYPERLINK("http://www.ncbi.nlm.nih.gov/gene/184431", "184431")</f>
        <v>184431</v>
      </c>
      <c r="C9210" s="9" t="str">
        <f>HYPERLINK("http://www.ncbi.nlm.nih.gov/gene/146712", "146712")</f>
        <v>146712</v>
      </c>
      <c r="D9210" t="str">
        <f>"F13G3.6"</f>
        <v>F13G3.6</v>
      </c>
      <c r="F9210" t="s">
        <v>11</v>
      </c>
      <c r="H9210" s="12">
        <v>-1.16985263876208</v>
      </c>
      <c r="I9210" s="20">
        <v>-0.694621096402121</v>
      </c>
      <c r="J9210" s="28">
        <v>0.487292787781616</v>
      </c>
      <c r="K9210" s="29">
        <v>0.98289565623980701</v>
      </c>
    </row>
    <row r="9211" spans="1:11" x14ac:dyDescent="0.35">
      <c r="A9211" s="9" t="str">
        <f>HYPERLINK("http://www.ensembl.org/id/WBGene00008767", "WBGene00008767")</f>
        <v>WBGene00008767</v>
      </c>
      <c r="B9211" s="9" t="str">
        <f>HYPERLINK("http://www.ncbi.nlm.nih.gov/gene/172478", "172478")</f>
        <v>172478</v>
      </c>
      <c r="C9211" s="9" t="str">
        <f>HYPERLINK("http://www.ncbi.nlm.nih.gov/gene/9673", "9673")</f>
        <v>9673</v>
      </c>
      <c r="D9211" t="str">
        <f>"F13G3.7"</f>
        <v>F13G3.7</v>
      </c>
      <c r="F9211" t="s">
        <v>11</v>
      </c>
      <c r="G9211" t="s">
        <v>8437</v>
      </c>
      <c r="H9211" s="12">
        <v>-1.17774228029024</v>
      </c>
      <c r="I9211" s="20">
        <v>-0.82158114678347405</v>
      </c>
      <c r="J9211" s="28">
        <v>0.41131532298199802</v>
      </c>
      <c r="K9211" s="29">
        <v>0.98289565623980701</v>
      </c>
    </row>
    <row r="9212" spans="1:11" x14ac:dyDescent="0.35">
      <c r="A9212" s="9" t="str">
        <f>HYPERLINK("http://www.ensembl.org/id/WBGene00008773", "WBGene00008773")</f>
        <v>WBGene00008773</v>
      </c>
      <c r="B9212" s="9" t="str">
        <f>HYPERLINK("http://www.ncbi.nlm.nih.gov/gene/184441", "184441")</f>
        <v>184441</v>
      </c>
      <c r="C9212" s="9"/>
      <c r="D9212" t="str">
        <f>"F13H10.1"</f>
        <v>F13H10.1</v>
      </c>
      <c r="F9212" t="s">
        <v>11</v>
      </c>
      <c r="H9212" s="12">
        <v>1.3902974550157801</v>
      </c>
      <c r="I9212" s="20">
        <v>1.0603035905542999</v>
      </c>
      <c r="J9212" s="28">
        <v>0.289006506287106</v>
      </c>
      <c r="K9212" s="29">
        <v>0.98289565623980701</v>
      </c>
    </row>
    <row r="9213" spans="1:11" x14ac:dyDescent="0.35">
      <c r="A9213" s="9" t="str">
        <f>HYPERLINK("http://www.ensembl.org/id/WBGene00198693", "WBGene00198693")</f>
        <v>WBGene00198693</v>
      </c>
      <c r="B9213" s="9"/>
      <c r="C9213" s="9"/>
      <c r="D9213" t="str">
        <f>"F13H10.10"</f>
        <v>F13H10.10</v>
      </c>
      <c r="F9213" t="s">
        <v>481</v>
      </c>
      <c r="H9213" s="12">
        <v>-2.4991590031922399</v>
      </c>
      <c r="I9213" s="20">
        <v>-0.26577412737581302</v>
      </c>
      <c r="J9213" s="28">
        <v>0.79041317015736101</v>
      </c>
      <c r="K9213" s="29">
        <v>0.98289565623980701</v>
      </c>
    </row>
    <row r="9214" spans="1:11" x14ac:dyDescent="0.35">
      <c r="A9214" s="9" t="str">
        <f>HYPERLINK("http://www.ensembl.org/id/WBGene00008774", "WBGene00008774")</f>
        <v>WBGene00008774</v>
      </c>
      <c r="B9214" s="9" t="str">
        <f>HYPERLINK("http://www.ncbi.nlm.nih.gov/gene/177997", "177997")</f>
        <v>177997</v>
      </c>
      <c r="C9214" s="9" t="str">
        <f>HYPERLINK("http://www.ncbi.nlm.nih.gov/gene/153129", "153129")</f>
        <v>153129</v>
      </c>
      <c r="D9214" t="str">
        <f>"F13H10.3"</f>
        <v>F13H10.3</v>
      </c>
      <c r="E9214" t="s">
        <v>7940</v>
      </c>
      <c r="F9214" t="s">
        <v>11</v>
      </c>
      <c r="G9214" t="s">
        <v>7941</v>
      </c>
      <c r="H9214" s="12">
        <v>-1.1521152332479401</v>
      </c>
      <c r="I9214" s="20">
        <v>-0.70261372347987805</v>
      </c>
      <c r="J9214" s="28">
        <v>0.482296507742148</v>
      </c>
      <c r="K9214" s="29">
        <v>0.98289565623980701</v>
      </c>
    </row>
    <row r="9215" spans="1:11" x14ac:dyDescent="0.35">
      <c r="A9215" s="9" t="str">
        <f>HYPERLINK("http://www.ensembl.org/id/WBGene00008776", "WBGene00008776")</f>
        <v>WBGene00008776</v>
      </c>
      <c r="B9215" s="9" t="str">
        <f>HYPERLINK("http://www.ncbi.nlm.nih.gov/gene/184442", "184442")</f>
        <v>184442</v>
      </c>
      <c r="C9215" s="9"/>
      <c r="D9215" t="str">
        <f>"F13H10.5"</f>
        <v>F13H10.5</v>
      </c>
      <c r="F9215" t="s">
        <v>11</v>
      </c>
      <c r="G9215" t="s">
        <v>2996</v>
      </c>
      <c r="H9215" s="12">
        <v>1.41166629836631</v>
      </c>
      <c r="I9215" s="20">
        <v>0.98206867150148303</v>
      </c>
      <c r="J9215" s="28">
        <v>0.32606601823764397</v>
      </c>
      <c r="K9215" s="29">
        <v>0.98289565623980701</v>
      </c>
    </row>
    <row r="9216" spans="1:11" x14ac:dyDescent="0.35">
      <c r="A9216" s="9" t="str">
        <f>HYPERLINK("http://www.ensembl.org/id/WBGene00044784", "WBGene00044784")</f>
        <v>WBGene00044784</v>
      </c>
      <c r="B9216" s="9" t="str">
        <f>HYPERLINK("http://www.ncbi.nlm.nih.gov/gene/4363079", "4363079")</f>
        <v>4363079</v>
      </c>
      <c r="C9216" s="9"/>
      <c r="D9216" t="str">
        <f>"F13H10.8"</f>
        <v>F13H10.8</v>
      </c>
      <c r="F9216" t="s">
        <v>11</v>
      </c>
      <c r="G9216" t="s">
        <v>9539</v>
      </c>
      <c r="H9216" s="12">
        <v>-1.25635475984033</v>
      </c>
      <c r="I9216" s="20">
        <v>-1.1637681992328801</v>
      </c>
      <c r="J9216" s="28">
        <v>0.24451796281157501</v>
      </c>
      <c r="K9216" s="29">
        <v>0.98289565623980701</v>
      </c>
    </row>
    <row r="9217" spans="1:11" x14ac:dyDescent="0.35">
      <c r="A9217" s="9" t="str">
        <f>HYPERLINK("http://www.ensembl.org/id/WBGene00045056", "WBGene00045056")</f>
        <v>WBGene00045056</v>
      </c>
      <c r="B9217" s="9" t="str">
        <f>HYPERLINK("http://www.ncbi.nlm.nih.gov/gene/4927046", "4927046")</f>
        <v>4927046</v>
      </c>
      <c r="C9217" s="9"/>
      <c r="D9217" t="str">
        <f>"F13H10.9"</f>
        <v>F13H10.9</v>
      </c>
      <c r="F9217" t="s">
        <v>11</v>
      </c>
      <c r="G9217" t="s">
        <v>25</v>
      </c>
      <c r="H9217" s="12">
        <v>1.6861047619279399</v>
      </c>
      <c r="I9217" s="20">
        <v>1.18082499634988</v>
      </c>
      <c r="J9217" s="28">
        <v>0.23767225191355701</v>
      </c>
      <c r="K9217" s="29">
        <v>0.98289565623980701</v>
      </c>
    </row>
    <row r="9218" spans="1:11" x14ac:dyDescent="0.35">
      <c r="A9218" s="9" t="str">
        <f>HYPERLINK("http://www.ensembl.org/id/WBGene00197375", "WBGene00197375")</f>
        <v>WBGene00197375</v>
      </c>
      <c r="B9218" s="9"/>
      <c r="C9218" s="9"/>
      <c r="D9218" t="str">
        <f>"F13H6.11"</f>
        <v>F13H6.11</v>
      </c>
      <c r="F9218" t="s">
        <v>481</v>
      </c>
      <c r="H9218" s="12">
        <v>2.4578120077400301</v>
      </c>
      <c r="I9218" s="20">
        <v>0.26093350314551</v>
      </c>
      <c r="J9218" s="28">
        <v>0.79414378780213601</v>
      </c>
      <c r="K9218" s="29">
        <v>0.98289565623980701</v>
      </c>
    </row>
    <row r="9219" spans="1:11" x14ac:dyDescent="0.35">
      <c r="A9219" s="9" t="str">
        <f>HYPERLINK("http://www.ensembl.org/id/WBGene00199421", "WBGene00199421")</f>
        <v>WBGene00199421</v>
      </c>
      <c r="B9219" s="9"/>
      <c r="C9219" s="9"/>
      <c r="D9219" t="str">
        <f>"F13H6.22"</f>
        <v>F13H6.22</v>
      </c>
      <c r="F9219" t="s">
        <v>481</v>
      </c>
      <c r="H9219" s="12">
        <v>2.4578120077400301</v>
      </c>
      <c r="I9219" s="20">
        <v>0.26093350314551</v>
      </c>
      <c r="J9219" s="28">
        <v>0.79414378780213601</v>
      </c>
      <c r="K9219" s="29">
        <v>0.98289565623980701</v>
      </c>
    </row>
    <row r="9220" spans="1:11" x14ac:dyDescent="0.35">
      <c r="A9220" s="9" t="str">
        <f>HYPERLINK("http://www.ensembl.org/id/WBGene00199728", "WBGene00199728")</f>
        <v>WBGene00199728</v>
      </c>
      <c r="B9220" s="9"/>
      <c r="C9220" s="9"/>
      <c r="D9220" t="str">
        <f>"F13H6.24"</f>
        <v>F13H6.24</v>
      </c>
      <c r="F9220" t="s">
        <v>481</v>
      </c>
      <c r="H9220" s="12">
        <v>-2.4991590031922399</v>
      </c>
      <c r="I9220" s="20">
        <v>-0.26577412737581302</v>
      </c>
      <c r="J9220" s="28">
        <v>0.79041317015736101</v>
      </c>
      <c r="K9220" s="29">
        <v>0.98289565623980701</v>
      </c>
    </row>
    <row r="9221" spans="1:11" x14ac:dyDescent="0.35">
      <c r="A9221" s="9" t="str">
        <f>HYPERLINK("http://www.ensembl.org/id/WBGene00200379", "WBGene00200379")</f>
        <v>WBGene00200379</v>
      </c>
      <c r="B9221" s="9"/>
      <c r="C9221" s="9"/>
      <c r="D9221" t="str">
        <f>"F13H6.26"</f>
        <v>F13H6.26</v>
      </c>
      <c r="F9221" t="s">
        <v>481</v>
      </c>
      <c r="H9221" s="12">
        <v>-4.5114499031905204</v>
      </c>
      <c r="I9221" s="20">
        <v>-0.44198655555625299</v>
      </c>
      <c r="J9221" s="28">
        <v>0.65849893477547905</v>
      </c>
      <c r="K9221" s="29">
        <v>0.98289565623980701</v>
      </c>
    </row>
    <row r="9222" spans="1:11" x14ac:dyDescent="0.35">
      <c r="A9222" s="9" t="str">
        <f>HYPERLINK("http://www.ensembl.org/id/WBGene00017433", "WBGene00017433")</f>
        <v>WBGene00017433</v>
      </c>
      <c r="B9222" s="9" t="str">
        <f>HYPERLINK("http://www.ncbi.nlm.nih.gov/gene/179021", "179021")</f>
        <v>179021</v>
      </c>
      <c r="C9222" s="9"/>
      <c r="D9222" t="str">
        <f>"F13H6.5"</f>
        <v>F13H6.5</v>
      </c>
      <c r="F9222" t="s">
        <v>11</v>
      </c>
      <c r="G9222" t="s">
        <v>25</v>
      </c>
      <c r="H9222" s="12">
        <v>-1.1108867786852901</v>
      </c>
      <c r="I9222" s="20">
        <v>-0.364200234622234</v>
      </c>
      <c r="J9222" s="28">
        <v>0.71570849179926999</v>
      </c>
      <c r="K9222" s="29">
        <v>0.98289565623980701</v>
      </c>
    </row>
    <row r="9223" spans="1:11" x14ac:dyDescent="0.35">
      <c r="A9223" s="9" t="str">
        <f>HYPERLINK("http://www.ensembl.org/id/WBGene00196113", "WBGene00196113")</f>
        <v>WBGene00196113</v>
      </c>
      <c r="B9223" s="9"/>
      <c r="C9223" s="9"/>
      <c r="D9223" t="str">
        <f>"F13H6.6"</f>
        <v>F13H6.6</v>
      </c>
      <c r="F9223" t="s">
        <v>481</v>
      </c>
      <c r="H9223" s="12">
        <v>-3.5819448292659501</v>
      </c>
      <c r="I9223" s="20">
        <v>-0.37337717500031398</v>
      </c>
      <c r="J9223" s="28">
        <v>0.70886774492290605</v>
      </c>
      <c r="K9223" s="29">
        <v>0.98289565623980701</v>
      </c>
    </row>
    <row r="9224" spans="1:11" x14ac:dyDescent="0.35">
      <c r="A9224" s="9" t="str">
        <f>HYPERLINK("http://www.ensembl.org/id/WBGene00196935", "WBGene00196935")</f>
        <v>WBGene00196935</v>
      </c>
      <c r="B9224" s="9"/>
      <c r="C9224" s="9"/>
      <c r="D9224" t="str">
        <f>"F13H6.8"</f>
        <v>F13H6.8</v>
      </c>
      <c r="F9224" t="s">
        <v>481</v>
      </c>
      <c r="H9224" s="12">
        <v>1.94531048999612</v>
      </c>
      <c r="I9224" s="20">
        <v>0.34949819462736098</v>
      </c>
      <c r="J9224" s="28">
        <v>0.72671532595018395</v>
      </c>
      <c r="K9224" s="29">
        <v>0.98289565623980701</v>
      </c>
    </row>
    <row r="9225" spans="1:11" x14ac:dyDescent="0.35">
      <c r="A9225" s="9" t="str">
        <f>HYPERLINK("http://www.ensembl.org/id/WBGene00017444", "WBGene00017444")</f>
        <v>WBGene00017444</v>
      </c>
      <c r="B9225" s="9" t="str">
        <f>HYPERLINK("http://www.ncbi.nlm.nih.gov/gene/353397", "353397")</f>
        <v>353397</v>
      </c>
      <c r="C9225" s="9"/>
      <c r="D9225" t="str">
        <f>"F13H8.12"</f>
        <v>F13H8.12</v>
      </c>
      <c r="E9225" t="s">
        <v>899</v>
      </c>
      <c r="F9225" t="s">
        <v>11</v>
      </c>
      <c r="H9225" s="12">
        <v>-1.3376206061054401</v>
      </c>
      <c r="I9225" s="20">
        <v>-0.49802840133663701</v>
      </c>
      <c r="J9225" s="28">
        <v>0.61846402410653301</v>
      </c>
      <c r="K9225" s="29">
        <v>0.98289565623980701</v>
      </c>
    </row>
    <row r="9226" spans="1:11" x14ac:dyDescent="0.35">
      <c r="A9226" s="9" t="str">
        <f>HYPERLINK("http://www.ensembl.org/id/WBGene00199174", "WBGene00199174")</f>
        <v>WBGene00199174</v>
      </c>
      <c r="B9226" s="9"/>
      <c r="C9226" s="9"/>
      <c r="D9226" t="str">
        <f>"F13H8.14"</f>
        <v>F13H8.14</v>
      </c>
      <c r="F9226" t="s">
        <v>481</v>
      </c>
      <c r="H9226" s="12">
        <v>-2.55408378987496</v>
      </c>
      <c r="I9226" s="20">
        <v>-0.43914520955159098</v>
      </c>
      <c r="J9226" s="28">
        <v>0.66055632256137398</v>
      </c>
      <c r="K9226" s="29">
        <v>0.98289565623980701</v>
      </c>
    </row>
    <row r="9227" spans="1:11" x14ac:dyDescent="0.35">
      <c r="A9227" s="9" t="str">
        <f>HYPERLINK("http://www.ensembl.org/id/WBGene00017435", "WBGene00017435")</f>
        <v>WBGene00017435</v>
      </c>
      <c r="B9227" s="9" t="str">
        <f>HYPERLINK("http://www.ncbi.nlm.nih.gov/gene/174038", "174038")</f>
        <v>174038</v>
      </c>
      <c r="C9227" s="9" t="str">
        <f>HYPERLINK("http://www.ncbi.nlm.nih.gov/gene/10885", "10885")</f>
        <v>10885</v>
      </c>
      <c r="D9227" t="str">
        <f>"F13H8.2"</f>
        <v>F13H8.2</v>
      </c>
      <c r="F9227" t="s">
        <v>11</v>
      </c>
      <c r="G9227" t="s">
        <v>8329</v>
      </c>
      <c r="H9227" s="12">
        <v>-1.17181506148697</v>
      </c>
      <c r="I9227" s="20">
        <v>-0.69810290155169397</v>
      </c>
      <c r="J9227" s="28">
        <v>0.485112843645571</v>
      </c>
      <c r="K9227" s="29">
        <v>0.98289565623980701</v>
      </c>
    </row>
    <row r="9228" spans="1:11" x14ac:dyDescent="0.35">
      <c r="A9228" s="9" t="str">
        <f>HYPERLINK("http://www.ensembl.org/id/WBGene00017436", "WBGene00017436")</f>
        <v>WBGene00017436</v>
      </c>
      <c r="B9228" s="9" t="str">
        <f>HYPERLINK("http://www.ncbi.nlm.nih.gov/gene/174037", "174037")</f>
        <v>174037</v>
      </c>
      <c r="C9228" s="9"/>
      <c r="D9228" t="str">
        <f>"F13H8.3"</f>
        <v>F13H8.3</v>
      </c>
      <c r="F9228" t="s">
        <v>11</v>
      </c>
      <c r="H9228" s="12">
        <v>-1.21277622160246</v>
      </c>
      <c r="I9228" s="20">
        <v>-1.00883500434564</v>
      </c>
      <c r="J9228" s="28">
        <v>0.31305377039421001</v>
      </c>
      <c r="K9228" s="29">
        <v>0.98289565623980701</v>
      </c>
    </row>
    <row r="9229" spans="1:11" x14ac:dyDescent="0.35">
      <c r="A9229" s="9" t="str">
        <f>HYPERLINK("http://www.ensembl.org/id/WBGene00017438", "WBGene00017438")</f>
        <v>WBGene00017438</v>
      </c>
      <c r="B9229" s="9" t="str">
        <f>HYPERLINK("http://www.ncbi.nlm.nih.gov/gene/174035", "174035")</f>
        <v>174035</v>
      </c>
      <c r="C9229" s="9"/>
      <c r="D9229" t="str">
        <f>"F13H8.5"</f>
        <v>F13H8.5</v>
      </c>
      <c r="F9229" t="s">
        <v>11</v>
      </c>
      <c r="H9229" s="12">
        <v>-1.5103280763491</v>
      </c>
      <c r="I9229" s="20">
        <v>-0.64048160071148497</v>
      </c>
      <c r="J9229" s="28">
        <v>0.52185954721015204</v>
      </c>
      <c r="K9229" s="29">
        <v>0.98289565623980701</v>
      </c>
    </row>
    <row r="9230" spans="1:11" x14ac:dyDescent="0.35">
      <c r="A9230" s="9" t="str">
        <f>HYPERLINK("http://www.ensembl.org/id/WBGene00017441", "WBGene00017441")</f>
        <v>WBGene00017441</v>
      </c>
      <c r="B9230" s="9" t="str">
        <f>HYPERLINK("http://www.ncbi.nlm.nih.gov/gene/184439", "184439")</f>
        <v>184439</v>
      </c>
      <c r="C9230" s="9"/>
      <c r="D9230" t="str">
        <f>"F13H8.8"</f>
        <v>F13H8.8</v>
      </c>
      <c r="F9230" t="s">
        <v>11</v>
      </c>
      <c r="H9230" s="12">
        <v>1.23318667120629</v>
      </c>
      <c r="I9230" s="20">
        <v>0.327823283611553</v>
      </c>
      <c r="J9230" s="28">
        <v>0.74304528152720695</v>
      </c>
      <c r="K9230" s="29">
        <v>0.98289565623980701</v>
      </c>
    </row>
    <row r="9231" spans="1:11" x14ac:dyDescent="0.35">
      <c r="A9231" s="9" t="str">
        <f>HYPERLINK("http://www.ensembl.org/id/WBGene00017442", "WBGene00017442")</f>
        <v>WBGene00017442</v>
      </c>
      <c r="B9231" s="9" t="str">
        <f>HYPERLINK("http://www.ncbi.nlm.nih.gov/gene/184440", "184440")</f>
        <v>184440</v>
      </c>
      <c r="C9231" s="9" t="str">
        <f>HYPERLINK("http://www.ncbi.nlm.nih.gov/gene/51540", "51540")</f>
        <v>51540</v>
      </c>
      <c r="D9231" t="str">
        <f>"F13H8.9"</f>
        <v>F13H8.9</v>
      </c>
      <c r="F9231" t="s">
        <v>11</v>
      </c>
      <c r="G9231" t="s">
        <v>2319</v>
      </c>
      <c r="H9231" s="12">
        <v>1.3326907674162101</v>
      </c>
      <c r="I9231" s="20">
        <v>1.20216211591441</v>
      </c>
      <c r="J9231" s="28">
        <v>0.229300723959622</v>
      </c>
      <c r="K9231" s="29">
        <v>0.98289565623980701</v>
      </c>
    </row>
    <row r="9232" spans="1:11" x14ac:dyDescent="0.35">
      <c r="A9232" s="9" t="str">
        <f>HYPERLINK("http://www.ensembl.org/id/WBGene00008779", "WBGene00008779")</f>
        <v>WBGene00008779</v>
      </c>
      <c r="B9232" s="9" t="str">
        <f>HYPERLINK("http://www.ncbi.nlm.nih.gov/gene/172750", "172750")</f>
        <v>172750</v>
      </c>
      <c r="C9232" s="9"/>
      <c r="D9232" t="str">
        <f>"F14B4.1"</f>
        <v>F14B4.1</v>
      </c>
      <c r="F9232" t="s">
        <v>11</v>
      </c>
      <c r="G9232" t="s">
        <v>2694</v>
      </c>
      <c r="H9232" s="12">
        <v>1.1688797449486501</v>
      </c>
      <c r="I9232" s="20">
        <v>0.71991148299013297</v>
      </c>
      <c r="J9232" s="28">
        <v>0.47157949744129801</v>
      </c>
      <c r="K9232" s="29">
        <v>0.98289565623980701</v>
      </c>
    </row>
    <row r="9233" spans="1:11" x14ac:dyDescent="0.35">
      <c r="A9233" s="9" t="str">
        <f>HYPERLINK("http://www.ensembl.org/id/WBGene00008785", "WBGene00008785")</f>
        <v>WBGene00008785</v>
      </c>
      <c r="B9233" s="9" t="str">
        <f>HYPERLINK("http://www.ncbi.nlm.nih.gov/gene/184446", "184446")</f>
        <v>184446</v>
      </c>
      <c r="C9233" s="9"/>
      <c r="D9233" t="str">
        <f>"F14B6.4"</f>
        <v>F14B6.4</v>
      </c>
      <c r="E9233" t="s">
        <v>3368</v>
      </c>
      <c r="F9233" t="s">
        <v>11</v>
      </c>
      <c r="G9233" t="s">
        <v>4251</v>
      </c>
      <c r="H9233" s="12">
        <v>-2.0242555574139698</v>
      </c>
      <c r="I9233" s="20">
        <v>-0.64676166872034002</v>
      </c>
      <c r="J9233" s="28">
        <v>0.517786203998023</v>
      </c>
      <c r="K9233" s="29">
        <v>0.98289565623980701</v>
      </c>
    </row>
    <row r="9234" spans="1:11" x14ac:dyDescent="0.35">
      <c r="A9234" s="9" t="str">
        <f>HYPERLINK("http://www.ensembl.org/id/WBGene00008787", "WBGene00008787")</f>
        <v>WBGene00008787</v>
      </c>
      <c r="B9234" s="9" t="str">
        <f>HYPERLINK("http://www.ncbi.nlm.nih.gov/gene/173105", "173105")</f>
        <v>173105</v>
      </c>
      <c r="C9234" s="9"/>
      <c r="D9234" t="str">
        <f>"F14B6.6"</f>
        <v>F14B6.6</v>
      </c>
      <c r="E9234" t="s">
        <v>3368</v>
      </c>
      <c r="F9234" t="s">
        <v>11</v>
      </c>
      <c r="G9234" t="s">
        <v>4251</v>
      </c>
      <c r="H9234" s="12">
        <v>-1.1151789200959501</v>
      </c>
      <c r="I9234" s="20">
        <v>-0.31577660412080899</v>
      </c>
      <c r="J9234" s="28">
        <v>0.752172077379755</v>
      </c>
      <c r="K9234" s="29">
        <v>0.98289565623980701</v>
      </c>
    </row>
    <row r="9235" spans="1:11" x14ac:dyDescent="0.35">
      <c r="A9235" s="9" t="str">
        <f>HYPERLINK("http://www.ensembl.org/id/WBGene00197121", "WBGene00197121")</f>
        <v>WBGene00197121</v>
      </c>
      <c r="B9235" s="9"/>
      <c r="C9235" s="9"/>
      <c r="D9235" t="str">
        <f>"F14B6.8"</f>
        <v>F14B6.8</v>
      </c>
      <c r="F9235" t="s">
        <v>481</v>
      </c>
      <c r="H9235" s="12">
        <v>-2.4295389261469</v>
      </c>
      <c r="I9235" s="20">
        <v>-0.25808529976640998</v>
      </c>
      <c r="J9235" s="28">
        <v>0.79634107645457397</v>
      </c>
      <c r="K9235" s="29">
        <v>0.98289565623980701</v>
      </c>
    </row>
    <row r="9236" spans="1:11" x14ac:dyDescent="0.35">
      <c r="A9236" s="9" t="str">
        <f>HYPERLINK("http://www.ensembl.org/id/WBGene00017447", "WBGene00017447")</f>
        <v>WBGene00017447</v>
      </c>
      <c r="B9236" s="9" t="str">
        <f>HYPERLINK("http://www.ncbi.nlm.nih.gov/gene/180965", "180965")</f>
        <v>180965</v>
      </c>
      <c r="C9236" s="9"/>
      <c r="D9236" t="str">
        <f>"F14B8.5"</f>
        <v>F14B8.5</v>
      </c>
      <c r="F9236" t="s">
        <v>11</v>
      </c>
      <c r="G9236" t="s">
        <v>25</v>
      </c>
      <c r="H9236" s="12">
        <v>1.13411476209669</v>
      </c>
      <c r="I9236" s="20">
        <v>0.58798560367562702</v>
      </c>
      <c r="J9236" s="28">
        <v>0.556541955917775</v>
      </c>
      <c r="K9236" s="29">
        <v>0.98289565623980701</v>
      </c>
    </row>
    <row r="9237" spans="1:11" x14ac:dyDescent="0.35">
      <c r="A9237" s="9" t="str">
        <f>HYPERLINK("http://www.ensembl.org/id/WBGene00022992", "WBGene00022992")</f>
        <v>WBGene00022992</v>
      </c>
      <c r="B9237" s="9"/>
      <c r="C9237" s="9"/>
      <c r="D9237" t="str">
        <f>"F14B8.t1"</f>
        <v>F14B8.t1</v>
      </c>
      <c r="F9237" t="s">
        <v>4208</v>
      </c>
      <c r="H9237" s="12">
        <v>-2.4295389261469</v>
      </c>
      <c r="I9237" s="20">
        <v>-0.25808529976640998</v>
      </c>
      <c r="J9237" s="28">
        <v>0.79634107645457397</v>
      </c>
      <c r="K9237" s="29">
        <v>0.98289565623980701</v>
      </c>
    </row>
    <row r="9238" spans="1:11" x14ac:dyDescent="0.35">
      <c r="A9238" s="9" t="str">
        <f>HYPERLINK("http://www.ensembl.org/id/WBGene00196730", "WBGene00196730")</f>
        <v>WBGene00196730</v>
      </c>
      <c r="B9238" s="9"/>
      <c r="C9238" s="9"/>
      <c r="D9238" t="str">
        <f>"F14D1.1"</f>
        <v>F14D1.1</v>
      </c>
      <c r="F9238" t="s">
        <v>481</v>
      </c>
      <c r="H9238" s="12">
        <v>-2.4703018886837098</v>
      </c>
      <c r="I9238" s="20">
        <v>-0.36490693701166099</v>
      </c>
      <c r="J9238" s="28">
        <v>0.71518087587669499</v>
      </c>
      <c r="K9238" s="29">
        <v>0.98289565623980701</v>
      </c>
    </row>
    <row r="9239" spans="1:11" x14ac:dyDescent="0.35">
      <c r="A9239" s="9" t="str">
        <f>HYPERLINK("http://www.ensembl.org/id/WBGene00017459", "WBGene00017459")</f>
        <v>WBGene00017459</v>
      </c>
      <c r="B9239" s="9" t="str">
        <f>HYPERLINK("http://www.ncbi.nlm.nih.gov/gene/184461", "184461")</f>
        <v>184461</v>
      </c>
      <c r="C9239" s="9"/>
      <c r="D9239" t="str">
        <f>"F14D2.11"</f>
        <v>F14D2.11</v>
      </c>
      <c r="F9239" t="s">
        <v>11</v>
      </c>
      <c r="G9239" t="s">
        <v>54</v>
      </c>
      <c r="H9239" s="12">
        <v>-1.68264013649898</v>
      </c>
      <c r="I9239" s="20">
        <v>-1.0095527991254301</v>
      </c>
      <c r="J9239" s="28">
        <v>0.31270959335003501</v>
      </c>
      <c r="K9239" s="29">
        <v>0.98289565623980701</v>
      </c>
    </row>
    <row r="9240" spans="1:11" x14ac:dyDescent="0.35">
      <c r="A9240" s="9" t="str">
        <f>HYPERLINK("http://www.ensembl.org/id/WBGene00206522", "WBGene00206522")</f>
        <v>WBGene00206522</v>
      </c>
      <c r="B9240" s="9" t="str">
        <f>HYPERLINK("http://www.ncbi.nlm.nih.gov/gene/13184298", "13184298")</f>
        <v>13184298</v>
      </c>
      <c r="C9240" s="9"/>
      <c r="D9240" t="str">
        <f>"F14D2.19"</f>
        <v>F14D2.19</v>
      </c>
      <c r="F9240" t="s">
        <v>11</v>
      </c>
      <c r="H9240" s="12">
        <v>1.2870512324382299</v>
      </c>
      <c r="I9240" s="20">
        <v>0.99175556766371598</v>
      </c>
      <c r="J9240" s="28">
        <v>0.321316777118556</v>
      </c>
      <c r="K9240" s="29">
        <v>0.98289565623980701</v>
      </c>
    </row>
    <row r="9241" spans="1:11" x14ac:dyDescent="0.35">
      <c r="A9241" s="9" t="str">
        <f>HYPERLINK("http://www.ensembl.org/id/WBGene00017455", "WBGene00017455")</f>
        <v>WBGene00017455</v>
      </c>
      <c r="B9241" s="9" t="str">
        <f>HYPERLINK("http://www.ncbi.nlm.nih.gov/gene/184458", "184458")</f>
        <v>184458</v>
      </c>
      <c r="C9241" s="9"/>
      <c r="D9241" t="str">
        <f>"F14D2.7"</f>
        <v>F14D2.7</v>
      </c>
      <c r="F9241" t="s">
        <v>11</v>
      </c>
      <c r="H9241" s="12">
        <v>3.6645215954135</v>
      </c>
      <c r="I9241" s="20">
        <v>0.37967131826092498</v>
      </c>
      <c r="J9241" s="28">
        <v>0.70418941338960395</v>
      </c>
      <c r="K9241" s="29">
        <v>0.98289565623980701</v>
      </c>
    </row>
    <row r="9242" spans="1:11" x14ac:dyDescent="0.35">
      <c r="A9242" s="9" t="str">
        <f>HYPERLINK("http://www.ensembl.org/id/WBGene00017456", "WBGene00017456")</f>
        <v>WBGene00017456</v>
      </c>
      <c r="B9242" s="9" t="str">
        <f>HYPERLINK("http://www.ncbi.nlm.nih.gov/gene/353392", "353392")</f>
        <v>353392</v>
      </c>
      <c r="C9242" s="9"/>
      <c r="D9242" t="str">
        <f>"F14D2.8"</f>
        <v>F14D2.8</v>
      </c>
      <c r="F9242" t="s">
        <v>11</v>
      </c>
      <c r="H9242" s="12">
        <v>-1.26668464856336</v>
      </c>
      <c r="I9242" s="20">
        <v>-0.37212312395696601</v>
      </c>
      <c r="J9242" s="28">
        <v>0.70980118024831995</v>
      </c>
      <c r="K9242" s="29">
        <v>0.98289565623980701</v>
      </c>
    </row>
    <row r="9243" spans="1:11" x14ac:dyDescent="0.35">
      <c r="A9243" s="9" t="str">
        <f>HYPERLINK("http://www.ensembl.org/id/WBGene00008788", "WBGene00008788")</f>
        <v>WBGene00008788</v>
      </c>
      <c r="B9243" s="9" t="str">
        <f>HYPERLINK("http://www.ncbi.nlm.nih.gov/gene/184462", "184462")</f>
        <v>184462</v>
      </c>
      <c r="C9243" s="9"/>
      <c r="D9243" t="str">
        <f>"F14D7.1"</f>
        <v>F14D7.1</v>
      </c>
      <c r="F9243" t="s">
        <v>11</v>
      </c>
      <c r="H9243" s="12">
        <v>-2.4991590031922399</v>
      </c>
      <c r="I9243" s="20">
        <v>-0.26577412737581302</v>
      </c>
      <c r="J9243" s="28">
        <v>0.79041317015736101</v>
      </c>
      <c r="K9243" s="29">
        <v>0.98289565623980701</v>
      </c>
    </row>
    <row r="9244" spans="1:11" x14ac:dyDescent="0.35">
      <c r="A9244" s="9" t="str">
        <f>HYPERLINK("http://www.ensembl.org/id/WBGene00045332", "WBGene00045332")</f>
        <v>WBGene00045332</v>
      </c>
      <c r="B9244" s="9"/>
      <c r="C9244" s="9"/>
      <c r="D9244" t="str">
        <f>"F14D7.13"</f>
        <v>F14D7.13</v>
      </c>
      <c r="F9244" t="s">
        <v>80</v>
      </c>
      <c r="H9244" s="12">
        <v>-2.4991590031922399</v>
      </c>
      <c r="I9244" s="20">
        <v>-0.26577412737581302</v>
      </c>
      <c r="J9244" s="28">
        <v>0.79041317015736101</v>
      </c>
      <c r="K9244" s="29">
        <v>0.98289565623980701</v>
      </c>
    </row>
    <row r="9245" spans="1:11" x14ac:dyDescent="0.35">
      <c r="A9245" s="9" t="str">
        <f>HYPERLINK("http://www.ensembl.org/id/WBGene00045490", "WBGene00045490")</f>
        <v>WBGene00045490</v>
      </c>
      <c r="B9245" s="9" t="str">
        <f>HYPERLINK("http://www.ncbi.nlm.nih.gov/gene/6418723", "6418723")</f>
        <v>6418723</v>
      </c>
      <c r="C9245" s="9"/>
      <c r="D9245" t="str">
        <f>"F14D7.14"</f>
        <v>F14D7.14</v>
      </c>
      <c r="F9245" t="s">
        <v>11</v>
      </c>
      <c r="H9245" s="12">
        <v>2.3893468495514898</v>
      </c>
      <c r="I9245" s="20">
        <v>0.25323547253672701</v>
      </c>
      <c r="J9245" s="28">
        <v>0.80008625651646104</v>
      </c>
      <c r="K9245" s="29">
        <v>0.98289565623980701</v>
      </c>
    </row>
    <row r="9246" spans="1:11" x14ac:dyDescent="0.35">
      <c r="A9246" s="9" t="str">
        <f>HYPERLINK("http://www.ensembl.org/id/WBGene00206501", "WBGene00206501")</f>
        <v>WBGene00206501</v>
      </c>
      <c r="B9246" s="9" t="str">
        <f>HYPERLINK("http://www.ncbi.nlm.nih.gov/gene/13216482", "13216482")</f>
        <v>13216482</v>
      </c>
      <c r="C9246" s="9"/>
      <c r="D9246" t="str">
        <f>"F14D7.18"</f>
        <v>F14D7.18</v>
      </c>
      <c r="F9246" t="s">
        <v>11</v>
      </c>
      <c r="H9246" s="12">
        <v>-2.4295389261469</v>
      </c>
      <c r="I9246" s="20">
        <v>-0.25808529976640998</v>
      </c>
      <c r="J9246" s="28">
        <v>0.79634107645457397</v>
      </c>
      <c r="K9246" s="29">
        <v>0.98289565623980701</v>
      </c>
    </row>
    <row r="9247" spans="1:11" x14ac:dyDescent="0.35">
      <c r="A9247" s="9" t="str">
        <f>HYPERLINK("http://www.ensembl.org/id/WBGene00008790", "WBGene00008790")</f>
        <v>WBGene00008790</v>
      </c>
      <c r="B9247" s="9" t="str">
        <f>HYPERLINK("http://www.ncbi.nlm.nih.gov/gene/184463", "184463")</f>
        <v>184463</v>
      </c>
      <c r="C9247" s="9"/>
      <c r="D9247" t="str">
        <f>"F14D7.3"</f>
        <v>F14D7.3</v>
      </c>
      <c r="F9247" t="s">
        <v>11</v>
      </c>
      <c r="H9247" s="12">
        <v>5.2322000618327396</v>
      </c>
      <c r="I9247" s="20">
        <v>0.486112489888328</v>
      </c>
      <c r="J9247" s="28">
        <v>0.62688741196182496</v>
      </c>
      <c r="K9247" s="29">
        <v>0.98289565623980701</v>
      </c>
    </row>
    <row r="9248" spans="1:11" x14ac:dyDescent="0.35">
      <c r="A9248" s="9" t="str">
        <f>HYPERLINK("http://www.ensembl.org/id/WBGene00008792", "WBGene00008792")</f>
        <v>WBGene00008792</v>
      </c>
      <c r="B9248" s="9" t="str">
        <f>HYPERLINK("http://www.ncbi.nlm.nih.gov/gene/184465", "184465")</f>
        <v>184465</v>
      </c>
      <c r="C9248" s="9"/>
      <c r="D9248" t="str">
        <f>"F14D7.5"</f>
        <v>F14D7.5</v>
      </c>
      <c r="F9248" t="s">
        <v>11</v>
      </c>
      <c r="H9248" s="12">
        <v>2.0006742362199099</v>
      </c>
      <c r="I9248" s="20">
        <v>0.80431708172080196</v>
      </c>
      <c r="J9248" s="28">
        <v>0.42121387496401202</v>
      </c>
      <c r="K9248" s="29">
        <v>0.98289565623980701</v>
      </c>
    </row>
    <row r="9249" spans="1:11" x14ac:dyDescent="0.35">
      <c r="A9249" s="9" t="str">
        <f>HYPERLINK("http://www.ensembl.org/id/WBGene00008794", "WBGene00008794")</f>
        <v>WBGene00008794</v>
      </c>
      <c r="B9249" s="9" t="str">
        <f>HYPERLINK("http://www.ncbi.nlm.nih.gov/gene/184467", "184467")</f>
        <v>184467</v>
      </c>
      <c r="C9249" s="9"/>
      <c r="D9249" t="str">
        <f>"F14D7.7"</f>
        <v>F14D7.7</v>
      </c>
      <c r="F9249" t="s">
        <v>11</v>
      </c>
      <c r="H9249" s="12">
        <v>1.9150539584797299</v>
      </c>
      <c r="I9249" s="20">
        <v>0.99150557588199795</v>
      </c>
      <c r="J9249" s="28">
        <v>0.32143877102497098</v>
      </c>
      <c r="K9249" s="29">
        <v>0.98289565623980701</v>
      </c>
    </row>
    <row r="9250" spans="1:11" x14ac:dyDescent="0.35">
      <c r="A9250" s="9" t="str">
        <f>HYPERLINK("http://www.ensembl.org/id/WBGene00008796", "WBGene00008796")</f>
        <v>WBGene00008796</v>
      </c>
      <c r="B9250" s="9" t="str">
        <f>HYPERLINK("http://www.ncbi.nlm.nih.gov/gene/3565526", "3565526")</f>
        <v>3565526</v>
      </c>
      <c r="C9250" s="9"/>
      <c r="D9250" t="str">
        <f>"F14D7.9"</f>
        <v>F14D7.9</v>
      </c>
      <c r="F9250" t="s">
        <v>11</v>
      </c>
      <c r="G9250" t="s">
        <v>25</v>
      </c>
      <c r="H9250" s="12">
        <v>5.4058944669092801</v>
      </c>
      <c r="I9250" s="20">
        <v>0.49762513753689303</v>
      </c>
      <c r="J9250" s="28">
        <v>0.61874828254921799</v>
      </c>
      <c r="K9250" s="29">
        <v>0.98289565623980701</v>
      </c>
    </row>
    <row r="9251" spans="1:11" x14ac:dyDescent="0.35">
      <c r="A9251" s="9" t="str">
        <f>HYPERLINK("http://www.ensembl.org/id/WBGene00008800", "WBGene00008800")</f>
        <v>WBGene00008800</v>
      </c>
      <c r="B9251" s="9" t="str">
        <f>HYPERLINK("http://www.ncbi.nlm.nih.gov/gene/174342", "174342")</f>
        <v>174342</v>
      </c>
      <c r="C9251" s="9" t="str">
        <f>HYPERLINK("http://www.ncbi.nlm.nih.gov/gene/2734", "2734")</f>
        <v>2734</v>
      </c>
      <c r="D9251" t="str">
        <f>"F14E5.2"</f>
        <v>F14E5.2</v>
      </c>
      <c r="E9251" t="s">
        <v>7905</v>
      </c>
      <c r="F9251" t="s">
        <v>11</v>
      </c>
      <c r="G9251" t="s">
        <v>7906</v>
      </c>
      <c r="H9251" s="12">
        <v>-1.15099827924974</v>
      </c>
      <c r="I9251" s="20">
        <v>-0.77882520631158403</v>
      </c>
      <c r="J9251" s="28">
        <v>0.43608268731414002</v>
      </c>
      <c r="K9251" s="29">
        <v>0.98289565623980701</v>
      </c>
    </row>
    <row r="9252" spans="1:11" x14ac:dyDescent="0.35">
      <c r="A9252" s="9" t="str">
        <f>HYPERLINK("http://www.ensembl.org/id/WBGene00195147", "WBGene00195147")</f>
        <v>WBGene00195147</v>
      </c>
      <c r="B9252" s="9" t="str">
        <f>HYPERLINK("http://www.ncbi.nlm.nih.gov/gene/13186110", "13186110")</f>
        <v>13186110</v>
      </c>
      <c r="C9252" s="9"/>
      <c r="D9252" t="str">
        <f>"F14E5.8"</f>
        <v>F14E5.8</v>
      </c>
      <c r="F9252" t="s">
        <v>11</v>
      </c>
      <c r="H9252" s="12">
        <v>1.90987493913557</v>
      </c>
      <c r="I9252" s="20">
        <v>0.790734920831068</v>
      </c>
      <c r="J9252" s="28">
        <v>0.42909869361500202</v>
      </c>
      <c r="K9252" s="29">
        <v>0.98289565623980701</v>
      </c>
    </row>
    <row r="9253" spans="1:11" x14ac:dyDescent="0.35">
      <c r="A9253" s="9" t="str">
        <f>HYPERLINK("http://www.ensembl.org/id/WBGene00201425", "WBGene00201425")</f>
        <v>WBGene00201425</v>
      </c>
      <c r="B9253" s="9"/>
      <c r="C9253" s="9"/>
      <c r="D9253" t="str">
        <f>"F14F3.16"</f>
        <v>F14F3.16</v>
      </c>
      <c r="F9253" t="s">
        <v>481</v>
      </c>
      <c r="H9253" s="12">
        <v>-2.4991590031922399</v>
      </c>
      <c r="I9253" s="20">
        <v>-0.26577412737581302</v>
      </c>
      <c r="J9253" s="28">
        <v>0.79041317015736101</v>
      </c>
      <c r="K9253" s="29">
        <v>0.98289565623980701</v>
      </c>
    </row>
    <row r="9254" spans="1:11" x14ac:dyDescent="0.35">
      <c r="A9254" s="9" t="str">
        <f>HYPERLINK("http://www.ensembl.org/id/WBGene00008807", "WBGene00008807")</f>
        <v>WBGene00008807</v>
      </c>
      <c r="B9254" s="9" t="str">
        <f>HYPERLINK("http://www.ncbi.nlm.nih.gov/gene/3565964", "3565964")</f>
        <v>3565964</v>
      </c>
      <c r="C9254" s="9"/>
      <c r="D9254" t="str">
        <f>"F14F3.4"</f>
        <v>F14F3.4</v>
      </c>
      <c r="F9254" t="s">
        <v>11</v>
      </c>
      <c r="H9254" s="12">
        <v>1.8413178697252801</v>
      </c>
      <c r="I9254" s="20">
        <v>0.74317969830257002</v>
      </c>
      <c r="J9254" s="28">
        <v>0.45737289289919703</v>
      </c>
      <c r="K9254" s="29">
        <v>0.98289565623980701</v>
      </c>
    </row>
    <row r="9255" spans="1:11" x14ac:dyDescent="0.35">
      <c r="A9255" s="9" t="str">
        <f>HYPERLINK("http://www.ensembl.org/id/WBGene00045480", "WBGene00045480")</f>
        <v>WBGene00045480</v>
      </c>
      <c r="B9255" s="9" t="str">
        <f>HYPERLINK("http://www.ncbi.nlm.nih.gov/gene/6418847", "6418847")</f>
        <v>6418847</v>
      </c>
      <c r="C9255" s="9"/>
      <c r="D9255" t="str">
        <f>"F14F3.5"</f>
        <v>F14F3.5</v>
      </c>
      <c r="F9255" t="s">
        <v>11</v>
      </c>
      <c r="H9255" s="12">
        <v>-1.25142582897419</v>
      </c>
      <c r="I9255" s="20">
        <v>-0.392115173129369</v>
      </c>
      <c r="J9255" s="28">
        <v>0.69497311690789498</v>
      </c>
      <c r="K9255" s="29">
        <v>0.98289565623980701</v>
      </c>
    </row>
    <row r="9256" spans="1:11" x14ac:dyDescent="0.35">
      <c r="A9256" s="9" t="str">
        <f>HYPERLINK("http://www.ensembl.org/id/WBGene00196814", "WBGene00196814")</f>
        <v>WBGene00196814</v>
      </c>
      <c r="B9256" s="9"/>
      <c r="C9256" s="9"/>
      <c r="D9256" t="str">
        <f>"F14F3.8"</f>
        <v>F14F3.8</v>
      </c>
      <c r="F9256" t="s">
        <v>481</v>
      </c>
      <c r="H9256" s="12">
        <v>7.8691597089380902</v>
      </c>
      <c r="I9256" s="20">
        <v>0.61251365190975104</v>
      </c>
      <c r="J9256" s="28">
        <v>0.54019796842331003</v>
      </c>
      <c r="K9256" s="29">
        <v>0.98289565623980701</v>
      </c>
    </row>
    <row r="9257" spans="1:11" x14ac:dyDescent="0.35">
      <c r="A9257" s="9" t="str">
        <f>HYPERLINK("http://www.ensembl.org/id/WBGene00008812", "WBGene00008812")</f>
        <v>WBGene00008812</v>
      </c>
      <c r="B9257" s="9" t="str">
        <f>HYPERLINK("http://www.ncbi.nlm.nih.gov/gene/176726", "176726")</f>
        <v>176726</v>
      </c>
      <c r="C9257" s="9"/>
      <c r="D9257" t="str">
        <f>"F14F7.5"</f>
        <v>F14F7.5</v>
      </c>
      <c r="F9257" t="s">
        <v>11</v>
      </c>
      <c r="G9257" t="s">
        <v>25</v>
      </c>
      <c r="H9257" s="12">
        <v>1.4219138800554001</v>
      </c>
      <c r="I9257" s="20">
        <v>0.93093266634657101</v>
      </c>
      <c r="J9257" s="28">
        <v>0.35188839558061802</v>
      </c>
      <c r="K9257" s="29">
        <v>0.98289565623980701</v>
      </c>
    </row>
    <row r="9258" spans="1:11" x14ac:dyDescent="0.35">
      <c r="A9258" s="9" t="str">
        <f>HYPERLINK("http://www.ensembl.org/id/WBGene00206390", "WBGene00206390")</f>
        <v>WBGene00206390</v>
      </c>
      <c r="B9258" s="9" t="str">
        <f>HYPERLINK("http://www.ncbi.nlm.nih.gov/gene/13191692", "13191692")</f>
        <v>13191692</v>
      </c>
      <c r="C9258" s="9"/>
      <c r="D9258" t="str">
        <f>"F14F7.7"</f>
        <v>F14F7.7</v>
      </c>
      <c r="F9258" t="s">
        <v>11</v>
      </c>
      <c r="H9258" s="12">
        <v>1.78885093125673</v>
      </c>
      <c r="I9258" s="20">
        <v>0.90045106746256098</v>
      </c>
      <c r="J9258" s="28">
        <v>0.367880254622449</v>
      </c>
      <c r="K9258" s="29">
        <v>0.98289565623980701</v>
      </c>
    </row>
    <row r="9259" spans="1:11" x14ac:dyDescent="0.35">
      <c r="A9259" s="9" t="str">
        <f>HYPERLINK("http://www.ensembl.org/id/WBGene00017465", "WBGene00017465")</f>
        <v>WBGene00017465</v>
      </c>
      <c r="B9259" s="9" t="str">
        <f>HYPERLINK("http://www.ncbi.nlm.nih.gov/gene/184484", "184484")</f>
        <v>184484</v>
      </c>
      <c r="C9259" s="9"/>
      <c r="D9259" t="str">
        <f>"F14F9.2"</f>
        <v>F14F9.2</v>
      </c>
      <c r="F9259" t="s">
        <v>11</v>
      </c>
      <c r="H9259" s="12">
        <v>5.2322000618327396</v>
      </c>
      <c r="I9259" s="20">
        <v>0.486112489888328</v>
      </c>
      <c r="J9259" s="28">
        <v>0.62688741196182496</v>
      </c>
      <c r="K9259" s="29">
        <v>0.98289565623980701</v>
      </c>
    </row>
    <row r="9260" spans="1:11" x14ac:dyDescent="0.35">
      <c r="A9260" s="9" t="str">
        <f>HYPERLINK("http://www.ensembl.org/id/WBGene00017466", "WBGene00017466")</f>
        <v>WBGene00017466</v>
      </c>
      <c r="B9260" s="9" t="str">
        <f>HYPERLINK("http://www.ncbi.nlm.nih.gov/gene/178902", "178902")</f>
        <v>178902</v>
      </c>
      <c r="C9260" s="9"/>
      <c r="D9260" t="str">
        <f>"F14F9.3"</f>
        <v>F14F9.3</v>
      </c>
      <c r="F9260" t="s">
        <v>11</v>
      </c>
      <c r="H9260" s="12">
        <v>1.2210553668952699</v>
      </c>
      <c r="I9260" s="20">
        <v>0.33852358886667899</v>
      </c>
      <c r="J9260" s="28">
        <v>0.73496865394867805</v>
      </c>
      <c r="K9260" s="29">
        <v>0.98289565623980701</v>
      </c>
    </row>
    <row r="9261" spans="1:11" x14ac:dyDescent="0.35">
      <c r="A9261" s="9" t="str">
        <f>HYPERLINK("http://www.ensembl.org/id/WBGene00017468", "WBGene00017468")</f>
        <v>WBGene00017468</v>
      </c>
      <c r="B9261" s="9" t="str">
        <f>HYPERLINK("http://www.ncbi.nlm.nih.gov/gene/184485", "184485")</f>
        <v>184485</v>
      </c>
      <c r="C9261" s="9"/>
      <c r="D9261" t="str">
        <f>"F14F9.5"</f>
        <v>F14F9.5</v>
      </c>
      <c r="F9261" t="s">
        <v>11</v>
      </c>
      <c r="G9261" t="s">
        <v>27</v>
      </c>
      <c r="H9261" s="12">
        <v>1.0839322421622899</v>
      </c>
      <c r="I9261" s="20">
        <v>0.33281806064714398</v>
      </c>
      <c r="J9261" s="28">
        <v>0.739271624286303</v>
      </c>
      <c r="K9261" s="29">
        <v>0.98289565623980701</v>
      </c>
    </row>
    <row r="9262" spans="1:11" x14ac:dyDescent="0.35">
      <c r="A9262" s="9" t="str">
        <f>HYPERLINK("http://www.ensembl.org/id/WBGene00044536", "WBGene00044536")</f>
        <v>WBGene00044536</v>
      </c>
      <c r="B9262" s="9" t="str">
        <f>HYPERLINK("http://www.ncbi.nlm.nih.gov/gene/3896842", "3896842")</f>
        <v>3896842</v>
      </c>
      <c r="C9262" s="9"/>
      <c r="D9262" t="str">
        <f>"F14F9.8"</f>
        <v>F14F9.8</v>
      </c>
      <c r="F9262" t="s">
        <v>11</v>
      </c>
      <c r="H9262" s="12">
        <v>1.15042160636429</v>
      </c>
      <c r="I9262" s="20">
        <v>0.57589394746729194</v>
      </c>
      <c r="J9262" s="28">
        <v>0.56468686689639103</v>
      </c>
      <c r="K9262" s="29">
        <v>0.98289565623980701</v>
      </c>
    </row>
    <row r="9263" spans="1:11" x14ac:dyDescent="0.35">
      <c r="A9263" s="9" t="str">
        <f>HYPERLINK("http://www.ensembl.org/id/WBGene00199403", "WBGene00199403")</f>
        <v>WBGene00199403</v>
      </c>
      <c r="B9263" s="9"/>
      <c r="C9263" s="9"/>
      <c r="D9263" t="str">
        <f>"F14H12.13"</f>
        <v>F14H12.13</v>
      </c>
      <c r="F9263" t="s">
        <v>481</v>
      </c>
      <c r="H9263" s="12">
        <v>2.4578120077400301</v>
      </c>
      <c r="I9263" s="20">
        <v>0.26093350314551</v>
      </c>
      <c r="J9263" s="28">
        <v>0.79414378780213601</v>
      </c>
      <c r="K9263" s="29">
        <v>0.98289565623980701</v>
      </c>
    </row>
    <row r="9264" spans="1:11" x14ac:dyDescent="0.35">
      <c r="A9264" s="9" t="str">
        <f>HYPERLINK("http://www.ensembl.org/id/WBGene00219368", "WBGene00219368")</f>
        <v>WBGene00219368</v>
      </c>
      <c r="B9264" s="9" t="str">
        <f>HYPERLINK("http://www.ncbi.nlm.nih.gov/gene/13220267", "13220267")</f>
        <v>13220267</v>
      </c>
      <c r="C9264" s="9"/>
      <c r="D9264" t="str">
        <f>"F14H12.17"</f>
        <v>F14H12.17</v>
      </c>
      <c r="F9264" t="s">
        <v>11</v>
      </c>
      <c r="G9264" t="s">
        <v>25</v>
      </c>
      <c r="H9264" s="12">
        <v>3.10797487719022</v>
      </c>
      <c r="I9264" s="20">
        <v>0.78573987020518699</v>
      </c>
      <c r="J9264" s="28">
        <v>0.43201990008378899</v>
      </c>
      <c r="K9264" s="29">
        <v>0.98289565623980701</v>
      </c>
    </row>
    <row r="9265" spans="1:11" x14ac:dyDescent="0.35">
      <c r="A9265" s="9" t="str">
        <f>HYPERLINK("http://www.ensembl.org/id/WBGene00017473", "WBGene00017473")</f>
        <v>WBGene00017473</v>
      </c>
      <c r="B9265" s="9" t="str">
        <f>HYPERLINK("http://www.ncbi.nlm.nih.gov/gene/180711", "180711")</f>
        <v>180711</v>
      </c>
      <c r="C9265" s="9"/>
      <c r="D9265" t="str">
        <f>"F14H12.6"</f>
        <v>F14H12.6</v>
      </c>
      <c r="F9265" t="s">
        <v>11</v>
      </c>
      <c r="G9265" t="s">
        <v>25</v>
      </c>
      <c r="H9265" s="12">
        <v>1.92663246734738</v>
      </c>
      <c r="I9265" s="20">
        <v>0.85988642608427102</v>
      </c>
      <c r="J9265" s="28">
        <v>0.389851651648213</v>
      </c>
      <c r="K9265" s="29">
        <v>0.98289565623980701</v>
      </c>
    </row>
    <row r="9266" spans="1:11" x14ac:dyDescent="0.35">
      <c r="A9266" s="9" t="str">
        <f>HYPERLINK("http://www.ensembl.org/id/WBGene00017474", "WBGene00017474")</f>
        <v>WBGene00017474</v>
      </c>
      <c r="B9266" s="9" t="str">
        <f>HYPERLINK("http://www.ncbi.nlm.nih.gov/gene/184503", "184503")</f>
        <v>184503</v>
      </c>
      <c r="C9266" s="9"/>
      <c r="D9266" t="str">
        <f>"F14H12.7"</f>
        <v>F14H12.7</v>
      </c>
      <c r="F9266" t="s">
        <v>11</v>
      </c>
      <c r="G9266" t="s">
        <v>25</v>
      </c>
      <c r="H9266" s="12">
        <v>-1.6097574343168299</v>
      </c>
      <c r="I9266" s="20">
        <v>-1.09905578559482</v>
      </c>
      <c r="J9266" s="28">
        <v>0.27174373387960898</v>
      </c>
      <c r="K9266" s="29">
        <v>0.98289565623980701</v>
      </c>
    </row>
    <row r="9267" spans="1:11" x14ac:dyDescent="0.35">
      <c r="A9267" s="9" t="str">
        <f>HYPERLINK("http://www.ensembl.org/id/WBGene00017475", "WBGene00017475")</f>
        <v>WBGene00017475</v>
      </c>
      <c r="B9267" s="9" t="str">
        <f>HYPERLINK("http://www.ncbi.nlm.nih.gov/gene/184504", "184504")</f>
        <v>184504</v>
      </c>
      <c r="C9267" s="9"/>
      <c r="D9267" t="str">
        <f>"F14H12.8"</f>
        <v>F14H12.8</v>
      </c>
      <c r="F9267" t="s">
        <v>11</v>
      </c>
      <c r="G9267" t="s">
        <v>25</v>
      </c>
      <c r="H9267" s="12">
        <v>-1.53975263574474</v>
      </c>
      <c r="I9267" s="20">
        <v>-1.00610980170735</v>
      </c>
      <c r="J9267" s="28">
        <v>0.31436275420415899</v>
      </c>
      <c r="K9267" s="29">
        <v>0.98289565623980701</v>
      </c>
    </row>
    <row r="9268" spans="1:11" x14ac:dyDescent="0.35">
      <c r="A9268" s="9" t="str">
        <f>HYPERLINK("http://www.ensembl.org/id/WBGene00045513", "WBGene00045513")</f>
        <v>WBGene00045513</v>
      </c>
      <c r="B9268" s="9" t="str">
        <f>HYPERLINK("http://www.ncbi.nlm.nih.gov/gene/6418725", "6418725")</f>
        <v>6418725</v>
      </c>
      <c r="C9268" s="9"/>
      <c r="D9268" t="str">
        <f>"F14H3.14"</f>
        <v>F14H3.14</v>
      </c>
      <c r="F9268" t="s">
        <v>11</v>
      </c>
      <c r="H9268" s="12">
        <v>2.3893468495514898</v>
      </c>
      <c r="I9268" s="20">
        <v>0.25323547253672701</v>
      </c>
      <c r="J9268" s="28">
        <v>0.80008625651646104</v>
      </c>
      <c r="K9268" s="29">
        <v>0.98289565623980701</v>
      </c>
    </row>
    <row r="9269" spans="1:11" x14ac:dyDescent="0.35">
      <c r="A9269" s="9" t="str">
        <f>HYPERLINK("http://www.ensembl.org/id/WBGene00219414", "WBGene00219414")</f>
        <v>WBGene00219414</v>
      </c>
      <c r="B9269" s="9" t="str">
        <f>HYPERLINK("http://www.ncbi.nlm.nih.gov/gene/24104428", "24104428")</f>
        <v>24104428</v>
      </c>
      <c r="C9269" s="9"/>
      <c r="D9269" t="str">
        <f>"F14H3.15"</f>
        <v>F14H3.15</v>
      </c>
      <c r="F9269" t="s">
        <v>11</v>
      </c>
      <c r="H9269" s="12">
        <v>-10.0989263815726</v>
      </c>
      <c r="I9269" s="20">
        <v>-0.68863184780658804</v>
      </c>
      <c r="J9269" s="28">
        <v>0.49105497404077803</v>
      </c>
      <c r="K9269" s="29">
        <v>0.98289565623980701</v>
      </c>
    </row>
    <row r="9270" spans="1:11" x14ac:dyDescent="0.35">
      <c r="A9270" s="9" t="str">
        <f>HYPERLINK("http://www.ensembl.org/id/WBGene00008822", "WBGene00008822")</f>
        <v>WBGene00008822</v>
      </c>
      <c r="B9270" s="9" t="str">
        <f>HYPERLINK("http://www.ncbi.nlm.nih.gov/gene/180075", "180075")</f>
        <v>180075</v>
      </c>
      <c r="C9270" s="9"/>
      <c r="D9270" t="str">
        <f>"F14H3.3"</f>
        <v>F14H3.3</v>
      </c>
      <c r="F9270" t="s">
        <v>11</v>
      </c>
      <c r="H9270" s="12">
        <v>-1.37907791158505</v>
      </c>
      <c r="I9270" s="20">
        <v>-1.0347756313804799</v>
      </c>
      <c r="J9270" s="28">
        <v>0.30077370583177698</v>
      </c>
      <c r="K9270" s="29">
        <v>0.98289565623980701</v>
      </c>
    </row>
    <row r="9271" spans="1:11" x14ac:dyDescent="0.35">
      <c r="A9271" s="9" t="str">
        <f>HYPERLINK("http://www.ensembl.org/id/WBGene00008828", "WBGene00008828")</f>
        <v>WBGene00008828</v>
      </c>
      <c r="B9271" s="9"/>
      <c r="C9271" s="9"/>
      <c r="D9271" t="str">
        <f>"F14H3.9"</f>
        <v>F14H3.9</v>
      </c>
      <c r="F9271" t="s">
        <v>80</v>
      </c>
      <c r="H9271" s="12">
        <v>2.3893468495514898</v>
      </c>
      <c r="I9271" s="20">
        <v>0.25323547253672701</v>
      </c>
      <c r="J9271" s="28">
        <v>0.80008625651646104</v>
      </c>
      <c r="K9271" s="29">
        <v>0.98289565623980701</v>
      </c>
    </row>
    <row r="9272" spans="1:11" x14ac:dyDescent="0.35">
      <c r="A9272" s="9" t="str">
        <f>HYPERLINK("http://www.ensembl.org/id/WBGene00008833", "WBGene00008833")</f>
        <v>WBGene00008833</v>
      </c>
      <c r="B9272" s="9" t="str">
        <f>HYPERLINK("http://www.ncbi.nlm.nih.gov/gene/184498", "184498")</f>
        <v>184498</v>
      </c>
      <c r="C9272" s="9"/>
      <c r="D9272" t="str">
        <f>"F14H8.2"</f>
        <v>F14H8.2</v>
      </c>
      <c r="F9272" t="s">
        <v>11</v>
      </c>
      <c r="H9272" s="12">
        <v>1.5090691571689001</v>
      </c>
      <c r="I9272" s="20">
        <v>0.471997988498152</v>
      </c>
      <c r="J9272" s="28">
        <v>0.63692822435572505</v>
      </c>
      <c r="K9272" s="29">
        <v>0.98289565623980701</v>
      </c>
    </row>
    <row r="9273" spans="1:11" x14ac:dyDescent="0.35">
      <c r="A9273" s="9" t="str">
        <f>HYPERLINK("http://www.ensembl.org/id/WBGene00008834", "WBGene00008834")</f>
        <v>WBGene00008834</v>
      </c>
      <c r="B9273" s="9" t="str">
        <f>HYPERLINK("http://www.ncbi.nlm.nih.gov/gene/184499", "184499")</f>
        <v>184499</v>
      </c>
      <c r="C9273" s="9"/>
      <c r="D9273" t="str">
        <f>"F14H8.4"</f>
        <v>F14H8.4</v>
      </c>
      <c r="F9273" t="s">
        <v>11</v>
      </c>
      <c r="H9273" s="12">
        <v>8.2389439272484495</v>
      </c>
      <c r="I9273" s="20">
        <v>1.0270300167184001</v>
      </c>
      <c r="J9273" s="28">
        <v>0.30440633008217299</v>
      </c>
      <c r="K9273" s="29">
        <v>0.98289565623980701</v>
      </c>
    </row>
    <row r="9274" spans="1:11" x14ac:dyDescent="0.35">
      <c r="A9274" s="9" t="str">
        <f>HYPERLINK("http://www.ensembl.org/id/WBGene00008835", "WBGene00008835")</f>
        <v>WBGene00008835</v>
      </c>
      <c r="B9274" s="9" t="str">
        <f>HYPERLINK("http://www.ncbi.nlm.nih.gov/gene/184500", "184500")</f>
        <v>184500</v>
      </c>
      <c r="C9274" s="9"/>
      <c r="D9274" t="str">
        <f>"F14H8.5"</f>
        <v>F14H8.5</v>
      </c>
      <c r="F9274" t="s">
        <v>11</v>
      </c>
      <c r="H9274" s="12">
        <v>2.3893468495514898</v>
      </c>
      <c r="I9274" s="20">
        <v>0.25323547253672701</v>
      </c>
      <c r="J9274" s="28">
        <v>0.80008625651646104</v>
      </c>
      <c r="K9274" s="29">
        <v>0.98289565623980701</v>
      </c>
    </row>
    <row r="9275" spans="1:11" x14ac:dyDescent="0.35">
      <c r="A9275" s="9" t="str">
        <f>HYPERLINK("http://www.ensembl.org/id/WBGene00077582", "WBGene00077582")</f>
        <v>WBGene00077582</v>
      </c>
      <c r="B9275" s="9" t="str">
        <f>HYPERLINK("http://www.ncbi.nlm.nih.gov/gene/6418726", "6418726")</f>
        <v>6418726</v>
      </c>
      <c r="C9275" s="9"/>
      <c r="D9275" t="str">
        <f>"F14H8.8"</f>
        <v>F14H8.8</v>
      </c>
      <c r="F9275" t="s">
        <v>11</v>
      </c>
      <c r="H9275" s="12">
        <v>3.1706514592375101</v>
      </c>
      <c r="I9275" s="20">
        <v>0.44390112599266301</v>
      </c>
      <c r="J9275" s="28">
        <v>0.65711407043763304</v>
      </c>
      <c r="K9275" s="29">
        <v>0.98289565623980701</v>
      </c>
    </row>
    <row r="9276" spans="1:11" x14ac:dyDescent="0.35">
      <c r="A9276" s="9" t="str">
        <f>HYPERLINK("http://www.ensembl.org/id/WBGene00201095", "WBGene00201095")</f>
        <v>WBGene00201095</v>
      </c>
      <c r="B9276" s="9"/>
      <c r="C9276" s="9"/>
      <c r="D9276" t="str">
        <f>"F15A2.12"</f>
        <v>F15A2.12</v>
      </c>
      <c r="F9276" t="s">
        <v>481</v>
      </c>
      <c r="H9276" s="12">
        <v>2.4578120077400301</v>
      </c>
      <c r="I9276" s="20">
        <v>0.26093350314551</v>
      </c>
      <c r="J9276" s="28">
        <v>0.79414378780213601</v>
      </c>
      <c r="K9276" s="29">
        <v>0.98289565623980701</v>
      </c>
    </row>
    <row r="9277" spans="1:11" x14ac:dyDescent="0.35">
      <c r="A9277" s="9" t="str">
        <f>HYPERLINK("http://www.ensembl.org/id/WBGene00008844", "WBGene00008844")</f>
        <v>WBGene00008844</v>
      </c>
      <c r="B9277" s="9" t="str">
        <f>HYPERLINK("http://www.ncbi.nlm.nih.gov/gene/174889", "174889")</f>
        <v>174889</v>
      </c>
      <c r="C9277" s="9"/>
      <c r="D9277" t="str">
        <f>"F15A4.10"</f>
        <v>F15A4.10</v>
      </c>
      <c r="F9277" t="s">
        <v>11</v>
      </c>
      <c r="H9277" s="12">
        <v>-1.3021480901787099</v>
      </c>
      <c r="I9277" s="20">
        <v>-0.81898069833748</v>
      </c>
      <c r="J9277" s="28">
        <v>0.412797426046426</v>
      </c>
      <c r="K9277" s="29">
        <v>0.98289565623980701</v>
      </c>
    </row>
    <row r="9278" spans="1:11" x14ac:dyDescent="0.35">
      <c r="A9278" s="9" t="str">
        <f>HYPERLINK("http://www.ensembl.org/id/WBGene00008838", "WBGene00008838")</f>
        <v>WBGene00008838</v>
      </c>
      <c r="B9278" s="9" t="str">
        <f>HYPERLINK("http://www.ncbi.nlm.nih.gov/gene/184511", "184511")</f>
        <v>184511</v>
      </c>
      <c r="C9278" s="9"/>
      <c r="D9278" t="str">
        <f>"F15A4.2"</f>
        <v>F15A4.2</v>
      </c>
      <c r="F9278" t="s">
        <v>11</v>
      </c>
      <c r="G9278" t="s">
        <v>54</v>
      </c>
      <c r="H9278" s="12">
        <v>1.1805603512332401</v>
      </c>
      <c r="I9278" s="20">
        <v>0.40204207833190297</v>
      </c>
      <c r="J9278" s="28">
        <v>0.687653058996195</v>
      </c>
      <c r="K9278" s="29">
        <v>0.98289565623980701</v>
      </c>
    </row>
    <row r="9279" spans="1:11" x14ac:dyDescent="0.35">
      <c r="A9279" s="9" t="str">
        <f>HYPERLINK("http://www.ensembl.org/id/WBGene00017476", "WBGene00017476")</f>
        <v>WBGene00017476</v>
      </c>
      <c r="B9279" s="9" t="str">
        <f>HYPERLINK("http://www.ncbi.nlm.nih.gov/gene/184517", "184517")</f>
        <v>184517</v>
      </c>
      <c r="C9279" s="9"/>
      <c r="D9279" t="str">
        <f>"F15A8.1"</f>
        <v>F15A8.1</v>
      </c>
      <c r="F9279" t="s">
        <v>11</v>
      </c>
      <c r="G9279" t="s">
        <v>25</v>
      </c>
      <c r="H9279" s="12">
        <v>-1.5953414978890399</v>
      </c>
      <c r="I9279" s="20">
        <v>-0.33483460100914297</v>
      </c>
      <c r="J9279" s="28">
        <v>0.73774985777548097</v>
      </c>
      <c r="K9279" s="29">
        <v>0.98289565623980701</v>
      </c>
    </row>
    <row r="9280" spans="1:11" x14ac:dyDescent="0.35">
      <c r="A9280" s="9" t="str">
        <f>HYPERLINK("http://www.ensembl.org/id/WBGene00200138", "WBGene00200138")</f>
        <v>WBGene00200138</v>
      </c>
      <c r="B9280" s="9"/>
      <c r="C9280" s="9"/>
      <c r="D9280" t="str">
        <f>"F15A8.11"</f>
        <v>F15A8.11</v>
      </c>
      <c r="F9280" t="s">
        <v>481</v>
      </c>
      <c r="H9280" s="12">
        <v>3.6645215954135</v>
      </c>
      <c r="I9280" s="20">
        <v>0.37967131826092498</v>
      </c>
      <c r="J9280" s="28">
        <v>0.70418941338960395</v>
      </c>
      <c r="K9280" s="29">
        <v>0.98289565623980701</v>
      </c>
    </row>
    <row r="9281" spans="1:11" x14ac:dyDescent="0.35">
      <c r="A9281" s="9" t="str">
        <f>HYPERLINK("http://www.ensembl.org/id/WBGene00219893", "WBGene00219893")</f>
        <v>WBGene00219893</v>
      </c>
      <c r="B9281" s="9"/>
      <c r="C9281" s="9"/>
      <c r="D9281" t="str">
        <f>"F15A8.19"</f>
        <v>F15A8.19</v>
      </c>
      <c r="F9281" t="s">
        <v>481</v>
      </c>
      <c r="H9281" s="12">
        <v>-2.4991590031922399</v>
      </c>
      <c r="I9281" s="20">
        <v>-0.26577412737581302</v>
      </c>
      <c r="J9281" s="28">
        <v>0.79041317015736101</v>
      </c>
      <c r="K9281" s="29">
        <v>0.98289565623980701</v>
      </c>
    </row>
    <row r="9282" spans="1:11" x14ac:dyDescent="0.35">
      <c r="A9282" s="9" t="str">
        <f>HYPERLINK("http://www.ensembl.org/id/WBGene00023268", "WBGene00023268")</f>
        <v>WBGene00023268</v>
      </c>
      <c r="B9282" s="9"/>
      <c r="C9282" s="9"/>
      <c r="D9282" t="str">
        <f>"F15A8.3"</f>
        <v>F15A8.3</v>
      </c>
      <c r="F9282" t="s">
        <v>80</v>
      </c>
      <c r="H9282" s="12">
        <v>3.5227018545059199</v>
      </c>
      <c r="I9282" s="20">
        <v>0.36849691206929103</v>
      </c>
      <c r="J9282" s="28">
        <v>0.71250274722433404</v>
      </c>
      <c r="K9282" s="29">
        <v>0.98289565623980701</v>
      </c>
    </row>
    <row r="9283" spans="1:11" x14ac:dyDescent="0.35">
      <c r="A9283" s="9" t="str">
        <f>HYPERLINK("http://www.ensembl.org/id/WBGene00017478", "WBGene00017478")</f>
        <v>WBGene00017478</v>
      </c>
      <c r="B9283" s="9" t="str">
        <f>HYPERLINK("http://www.ncbi.nlm.nih.gov/gene/180715", "180715")</f>
        <v>180715</v>
      </c>
      <c r="C9283" s="9"/>
      <c r="D9283" t="str">
        <f>"F15A8.6"</f>
        <v>F15A8.6</v>
      </c>
      <c r="E9283" t="s">
        <v>383</v>
      </c>
      <c r="F9283" t="s">
        <v>11</v>
      </c>
      <c r="G9283" t="s">
        <v>1888</v>
      </c>
      <c r="H9283" s="12">
        <v>-1.1037899975099099</v>
      </c>
      <c r="I9283" s="20">
        <v>-0.50506237923366604</v>
      </c>
      <c r="J9283" s="28">
        <v>0.61351502375560096</v>
      </c>
      <c r="K9283" s="29">
        <v>0.98289565623980701</v>
      </c>
    </row>
    <row r="9284" spans="1:11" x14ac:dyDescent="0.35">
      <c r="A9284" s="9" t="str">
        <f>HYPERLINK("http://www.ensembl.org/id/WBGene00022994", "WBGene00022994")</f>
        <v>WBGene00022994</v>
      </c>
      <c r="B9284" s="9"/>
      <c r="C9284" s="9"/>
      <c r="D9284" t="str">
        <f>"F15A8.t2"</f>
        <v>F15A8.t2</v>
      </c>
      <c r="F9284" t="s">
        <v>4208</v>
      </c>
      <c r="H9284" s="12">
        <v>-2.4295389261469</v>
      </c>
      <c r="I9284" s="20">
        <v>-0.25808529976640998</v>
      </c>
      <c r="J9284" s="28">
        <v>0.79634107645457397</v>
      </c>
      <c r="K9284" s="29">
        <v>0.98289565623980701</v>
      </c>
    </row>
    <row r="9285" spans="1:11" x14ac:dyDescent="0.35">
      <c r="A9285" s="9" t="str">
        <f>HYPERLINK("http://www.ensembl.org/id/WBGene00017481", "WBGene00017481")</f>
        <v>WBGene00017481</v>
      </c>
      <c r="B9285" s="9" t="str">
        <f>HYPERLINK("http://www.ncbi.nlm.nih.gov/gene/177423", "177423")</f>
        <v>177423</v>
      </c>
      <c r="C9285" s="9"/>
      <c r="D9285" t="str">
        <f>"F15B10.3"</f>
        <v>F15B10.3</v>
      </c>
      <c r="F9285" t="s">
        <v>11</v>
      </c>
      <c r="H9285" s="12">
        <v>-1.14510846621687</v>
      </c>
      <c r="I9285" s="20">
        <v>-0.41070538028486703</v>
      </c>
      <c r="J9285" s="28">
        <v>0.68128858129678005</v>
      </c>
      <c r="K9285" s="29">
        <v>0.98289565623980701</v>
      </c>
    </row>
    <row r="9286" spans="1:11" x14ac:dyDescent="0.35">
      <c r="A9286" s="9" t="str">
        <f>HYPERLINK("http://www.ensembl.org/id/WBGene00045418", "WBGene00045418")</f>
        <v>WBGene00045418</v>
      </c>
      <c r="B9286" s="9" t="str">
        <f>HYPERLINK("http://www.ncbi.nlm.nih.gov/gene/6418727", "6418727")</f>
        <v>6418727</v>
      </c>
      <c r="C9286" s="9"/>
      <c r="D9286" t="str">
        <f>"F15B9.10"</f>
        <v>F15B9.10</v>
      </c>
      <c r="F9286" t="s">
        <v>11</v>
      </c>
      <c r="G9286" t="s">
        <v>603</v>
      </c>
      <c r="H9286" s="12">
        <v>1.1586512489388601</v>
      </c>
      <c r="I9286" s="20">
        <v>0.76259947301526099</v>
      </c>
      <c r="J9286" s="28">
        <v>0.445702298969124</v>
      </c>
      <c r="K9286" s="29">
        <v>0.98289565623980701</v>
      </c>
    </row>
    <row r="9287" spans="1:11" x14ac:dyDescent="0.35">
      <c r="A9287" s="9" t="str">
        <f>HYPERLINK("http://www.ensembl.org/id/WBGene00138724", "WBGene00138724")</f>
        <v>WBGene00138724</v>
      </c>
      <c r="B9287" s="9" t="str">
        <f>HYPERLINK("http://www.ncbi.nlm.nih.gov/gene/13216019", "13216019")</f>
        <v>13216019</v>
      </c>
      <c r="C9287" s="9"/>
      <c r="D9287" t="str">
        <f>"F15B9.11"</f>
        <v>F15B9.11</v>
      </c>
      <c r="F9287" t="s">
        <v>11</v>
      </c>
      <c r="H9287" s="12">
        <v>2.2981509264426698</v>
      </c>
      <c r="I9287" s="20">
        <v>1.15349172520767</v>
      </c>
      <c r="J9287" s="28">
        <v>0.24870861203116101</v>
      </c>
      <c r="K9287" s="29">
        <v>0.98289565623980701</v>
      </c>
    </row>
    <row r="9288" spans="1:11" x14ac:dyDescent="0.35">
      <c r="A9288" s="9" t="str">
        <f>HYPERLINK("http://www.ensembl.org/id/WBGene00008851", "WBGene00008851")</f>
        <v>WBGene00008851</v>
      </c>
      <c r="B9288" s="9" t="str">
        <f>HYPERLINK("http://www.ncbi.nlm.nih.gov/gene/179784", "179784")</f>
        <v>179784</v>
      </c>
      <c r="C9288" s="9"/>
      <c r="D9288" t="str">
        <f>"F15B9.8"</f>
        <v>F15B9.8</v>
      </c>
      <c r="F9288" t="s">
        <v>11</v>
      </c>
      <c r="H9288" s="12">
        <v>1.35636457363096</v>
      </c>
      <c r="I9288" s="20">
        <v>1.12377170950377</v>
      </c>
      <c r="J9288" s="28">
        <v>0.26110988606405999</v>
      </c>
      <c r="K9288" s="29">
        <v>0.98289565623980701</v>
      </c>
    </row>
    <row r="9289" spans="1:11" x14ac:dyDescent="0.35">
      <c r="A9289" s="9" t="str">
        <f>HYPERLINK("http://www.ensembl.org/id/WBGene00008855", "WBGene00008855")</f>
        <v>WBGene00008855</v>
      </c>
      <c r="B9289" s="9" t="str">
        <f>HYPERLINK("http://www.ncbi.nlm.nih.gov/gene/184527", "184527")</f>
        <v>184527</v>
      </c>
      <c r="C9289" s="9"/>
      <c r="D9289" t="str">
        <f>"F15D3.5"</f>
        <v>F15D3.5</v>
      </c>
      <c r="F9289" t="s">
        <v>11</v>
      </c>
      <c r="H9289" s="12">
        <v>-2.8168299036705799</v>
      </c>
      <c r="I9289" s="20">
        <v>-0.37699042193643401</v>
      </c>
      <c r="J9289" s="28">
        <v>0.70618072287494404</v>
      </c>
      <c r="K9289" s="29">
        <v>0.98289565623980701</v>
      </c>
    </row>
    <row r="9290" spans="1:11" x14ac:dyDescent="0.35">
      <c r="A9290" s="9" t="str">
        <f>HYPERLINK("http://www.ensembl.org/id/WBGene00014332", "WBGene00014332")</f>
        <v>WBGene00014332</v>
      </c>
      <c r="B9290" s="9"/>
      <c r="C9290" s="9"/>
      <c r="D9290" t="str">
        <f>"F15D3.t1"</f>
        <v>F15D3.t1</v>
      </c>
      <c r="F9290" t="s">
        <v>4208</v>
      </c>
      <c r="H9290" s="12">
        <v>-3.7261494131482999</v>
      </c>
      <c r="I9290" s="20">
        <v>-0.38454673129429601</v>
      </c>
      <c r="J9290" s="28">
        <v>0.70057326682554</v>
      </c>
      <c r="K9290" s="29">
        <v>0.98289565623980701</v>
      </c>
    </row>
    <row r="9291" spans="1:11" x14ac:dyDescent="0.35">
      <c r="A9291" s="9" t="str">
        <f>HYPERLINK("http://www.ensembl.org/id/WBGene00008859", "WBGene00008859")</f>
        <v>WBGene00008859</v>
      </c>
      <c r="B9291" s="9" t="str">
        <f>HYPERLINK("http://www.ncbi.nlm.nih.gov/gene/174966", "174966")</f>
        <v>174966</v>
      </c>
      <c r="C9291" s="9"/>
      <c r="D9291" t="str">
        <f>"F15D4.2"</f>
        <v>F15D4.2</v>
      </c>
      <c r="F9291" t="s">
        <v>11</v>
      </c>
      <c r="G9291" t="s">
        <v>8915</v>
      </c>
      <c r="H9291" s="12">
        <v>-1.2078251565508999</v>
      </c>
      <c r="I9291" s="20">
        <v>-0.94217391483554103</v>
      </c>
      <c r="J9291" s="28">
        <v>0.34610360661045603</v>
      </c>
      <c r="K9291" s="29">
        <v>0.98289565623980701</v>
      </c>
    </row>
    <row r="9292" spans="1:11" x14ac:dyDescent="0.35">
      <c r="A9292" s="9" t="str">
        <f>HYPERLINK("http://www.ensembl.org/id/WBGene00235372", "WBGene00235372")</f>
        <v>WBGene00235372</v>
      </c>
      <c r="B9292" s="9"/>
      <c r="C9292" s="9"/>
      <c r="D9292" t="str">
        <f>"F15E6.12"</f>
        <v>F15E6.12</v>
      </c>
      <c r="F9292" t="s">
        <v>481</v>
      </c>
      <c r="H9292" s="12">
        <v>-4.5114499031905204</v>
      </c>
      <c r="I9292" s="20">
        <v>-0.44198655555625299</v>
      </c>
      <c r="J9292" s="28">
        <v>0.65849893477547905</v>
      </c>
      <c r="K9292" s="29">
        <v>0.98289565623980701</v>
      </c>
    </row>
    <row r="9293" spans="1:11" x14ac:dyDescent="0.35">
      <c r="A9293" s="9" t="str">
        <f>HYPERLINK("http://www.ensembl.org/id/WBGene00017487", "WBGene00017487")</f>
        <v>WBGene00017487</v>
      </c>
      <c r="B9293" s="9" t="str">
        <f>HYPERLINK("http://www.ncbi.nlm.nih.gov/gene/177192", "177192")</f>
        <v>177192</v>
      </c>
      <c r="C9293" s="9"/>
      <c r="D9293" t="str">
        <f>"F15E6.6"</f>
        <v>F15E6.6</v>
      </c>
      <c r="F9293" t="s">
        <v>11</v>
      </c>
      <c r="G9293" t="s">
        <v>9844</v>
      </c>
      <c r="H9293" s="12">
        <v>-1.32257418684062</v>
      </c>
      <c r="I9293" s="20">
        <v>-1.08632341156774</v>
      </c>
      <c r="J9293" s="28">
        <v>0.27733593272961599</v>
      </c>
      <c r="K9293" s="29">
        <v>0.98289565623980701</v>
      </c>
    </row>
    <row r="9294" spans="1:11" x14ac:dyDescent="0.35">
      <c r="A9294" s="9" t="str">
        <f>HYPERLINK("http://www.ensembl.org/id/WBGene00008865", "WBGene00008865")</f>
        <v>WBGene00008865</v>
      </c>
      <c r="B9294" s="9" t="str">
        <f>HYPERLINK("http://www.ncbi.nlm.nih.gov/gene/181184", "181184")</f>
        <v>181184</v>
      </c>
      <c r="C9294" s="9"/>
      <c r="D9294" t="str">
        <f>"F15G9.1"</f>
        <v>F15G9.1</v>
      </c>
      <c r="F9294" t="s">
        <v>11</v>
      </c>
      <c r="G9294" t="s">
        <v>7305</v>
      </c>
      <c r="H9294" s="12">
        <v>-1.1185494177425199</v>
      </c>
      <c r="I9294" s="20">
        <v>-0.61229635480594402</v>
      </c>
      <c r="J9294" s="28">
        <v>0.54034170097045497</v>
      </c>
      <c r="K9294" s="29">
        <v>0.98289565623980701</v>
      </c>
    </row>
    <row r="9295" spans="1:11" x14ac:dyDescent="0.35">
      <c r="A9295" s="9" t="str">
        <f>HYPERLINK("http://www.ensembl.org/id/WBGene00008866", "WBGene00008866")</f>
        <v>WBGene00008866</v>
      </c>
      <c r="B9295" s="9" t="str">
        <f>HYPERLINK("http://www.ncbi.nlm.nih.gov/gene/184545", "184545")</f>
        <v>184545</v>
      </c>
      <c r="C9295" s="9"/>
      <c r="D9295" t="str">
        <f>"F15G9.2"</f>
        <v>F15G9.2</v>
      </c>
      <c r="F9295" t="s">
        <v>11</v>
      </c>
      <c r="H9295" s="12">
        <v>2.0581239675135099</v>
      </c>
      <c r="I9295" s="20">
        <v>0.60991992146483898</v>
      </c>
      <c r="J9295" s="28">
        <v>0.54191485523440497</v>
      </c>
      <c r="K9295" s="29">
        <v>0.98289565623980701</v>
      </c>
    </row>
    <row r="9296" spans="1:11" x14ac:dyDescent="0.35">
      <c r="A9296" s="9" t="str">
        <f>HYPERLINK("http://www.ensembl.org/id/WBGene00008868", "WBGene00008868")</f>
        <v>WBGene00008868</v>
      </c>
      <c r="B9296" s="9" t="str">
        <f>HYPERLINK("http://www.ncbi.nlm.nih.gov/gene/181185", "181185")</f>
        <v>181185</v>
      </c>
      <c r="C9296" s="9"/>
      <c r="D9296" t="str">
        <f>"F15G9.5"</f>
        <v>F15G9.5</v>
      </c>
      <c r="F9296" t="s">
        <v>11</v>
      </c>
      <c r="G9296" t="s">
        <v>25</v>
      </c>
      <c r="H9296" s="12">
        <v>1.1256997540273701</v>
      </c>
      <c r="I9296" s="20">
        <v>0.49751274423380998</v>
      </c>
      <c r="J9296" s="28">
        <v>0.61882751813996995</v>
      </c>
      <c r="K9296" s="29">
        <v>0.98289565623980701</v>
      </c>
    </row>
    <row r="9297" spans="1:11" x14ac:dyDescent="0.35">
      <c r="A9297" s="9" t="str">
        <f>HYPERLINK("http://www.ensembl.org/id/WBGene00014334", "WBGene00014334")</f>
        <v>WBGene00014334</v>
      </c>
      <c r="B9297" s="9"/>
      <c r="C9297" s="9"/>
      <c r="D9297" t="str">
        <f>"F15G9.t2"</f>
        <v>F15G9.t2</v>
      </c>
      <c r="F9297" t="s">
        <v>4208</v>
      </c>
      <c r="H9297" s="12">
        <v>2.4578120077400301</v>
      </c>
      <c r="I9297" s="20">
        <v>0.26093350314551</v>
      </c>
      <c r="J9297" s="28">
        <v>0.79414378780213601</v>
      </c>
      <c r="K9297" s="29">
        <v>0.98289565623980701</v>
      </c>
    </row>
    <row r="9298" spans="1:11" x14ac:dyDescent="0.35">
      <c r="A9298" s="9" t="str">
        <f>HYPERLINK("http://www.ensembl.org/id/WBGene00195181", "WBGene00195181")</f>
        <v>WBGene00195181</v>
      </c>
      <c r="B9298" s="9" t="str">
        <f>HYPERLINK("http://www.ncbi.nlm.nih.gov/gene/13214768", "13214768")</f>
        <v>13214768</v>
      </c>
      <c r="C9298" s="9"/>
      <c r="D9298" t="str">
        <f>"F15H10.12"</f>
        <v>F15H10.12</v>
      </c>
      <c r="F9298" t="s">
        <v>11</v>
      </c>
      <c r="H9298" s="12">
        <v>2.3893468495514898</v>
      </c>
      <c r="I9298" s="20">
        <v>0.25323547253672701</v>
      </c>
      <c r="J9298" s="28">
        <v>0.80008625651646104</v>
      </c>
      <c r="K9298" s="29">
        <v>0.98289565623980701</v>
      </c>
    </row>
    <row r="9299" spans="1:11" x14ac:dyDescent="0.35">
      <c r="A9299" s="9" t="str">
        <f>HYPERLINK("http://www.ensembl.org/id/WBGene00008872", "WBGene00008872")</f>
        <v>WBGene00008872</v>
      </c>
      <c r="B9299" s="9" t="str">
        <f>HYPERLINK("http://www.ncbi.nlm.nih.gov/gene/184553", "184553")</f>
        <v>184553</v>
      </c>
      <c r="C9299" s="9"/>
      <c r="D9299" t="str">
        <f>"F15H10.5"</f>
        <v>F15H10.5</v>
      </c>
      <c r="F9299" t="s">
        <v>11</v>
      </c>
      <c r="H9299" s="12">
        <v>2.3893468495514898</v>
      </c>
      <c r="I9299" s="20">
        <v>0.25323547253672701</v>
      </c>
      <c r="J9299" s="28">
        <v>0.80008625651646104</v>
      </c>
      <c r="K9299" s="29">
        <v>0.98289565623980701</v>
      </c>
    </row>
    <row r="9300" spans="1:11" x14ac:dyDescent="0.35">
      <c r="A9300" s="9" t="str">
        <f>HYPERLINK("http://www.ensembl.org/id/WBGene00008873", "WBGene00008873")</f>
        <v>WBGene00008873</v>
      </c>
      <c r="B9300" s="9"/>
      <c r="C9300" s="9"/>
      <c r="D9300" t="str">
        <f>"F15H10.6"</f>
        <v>F15H10.6</v>
      </c>
      <c r="F9300" t="s">
        <v>80</v>
      </c>
      <c r="H9300" s="12">
        <v>3.5227018545059199</v>
      </c>
      <c r="I9300" s="20">
        <v>0.36849691206929103</v>
      </c>
      <c r="J9300" s="28">
        <v>0.71250274722433404</v>
      </c>
      <c r="K9300" s="29">
        <v>0.98289565623980701</v>
      </c>
    </row>
    <row r="9301" spans="1:11" x14ac:dyDescent="0.35">
      <c r="A9301" s="9" t="str">
        <f>HYPERLINK("http://www.ensembl.org/id/WBGene00008870", "WBGene00008870")</f>
        <v>WBGene00008870</v>
      </c>
      <c r="B9301" s="9" t="str">
        <f>HYPERLINK("http://www.ncbi.nlm.nih.gov/gene/184548", "184548")</f>
        <v>184548</v>
      </c>
      <c r="C9301" s="9"/>
      <c r="D9301" t="str">
        <f>"F15H9.1"</f>
        <v>F15H9.1</v>
      </c>
      <c r="F9301" t="s">
        <v>11</v>
      </c>
      <c r="H9301" s="12">
        <v>-4.7167679298615104</v>
      </c>
      <c r="I9301" s="20">
        <v>-0.454742638005115</v>
      </c>
      <c r="J9301" s="28">
        <v>0.64929440216969203</v>
      </c>
      <c r="K9301" s="29">
        <v>0.98289565623980701</v>
      </c>
    </row>
    <row r="9302" spans="1:11" x14ac:dyDescent="0.35">
      <c r="A9302" s="9" t="str">
        <f>HYPERLINK("http://www.ensembl.org/id/WBGene00194652", "WBGene00194652")</f>
        <v>WBGene00194652</v>
      </c>
      <c r="B9302" s="9"/>
      <c r="C9302" s="9"/>
      <c r="D9302" t="str">
        <f>"F15H9.8"</f>
        <v>F15H9.8</v>
      </c>
      <c r="F9302" t="s">
        <v>80</v>
      </c>
      <c r="H9302" s="12">
        <v>-1.74949426676058</v>
      </c>
      <c r="I9302" s="20">
        <v>-0.984726601058041</v>
      </c>
      <c r="J9302" s="28">
        <v>0.32475838261317802</v>
      </c>
      <c r="K9302" s="29">
        <v>0.98289565623980701</v>
      </c>
    </row>
    <row r="9303" spans="1:11" x14ac:dyDescent="0.35">
      <c r="A9303" s="9" t="str">
        <f>HYPERLINK("http://www.ensembl.org/id/WBGene00219894", "WBGene00219894")</f>
        <v>WBGene00219894</v>
      </c>
      <c r="B9303" s="9"/>
      <c r="C9303" s="9"/>
      <c r="D9303" t="str">
        <f>"F16A11.12"</f>
        <v>F16A11.12</v>
      </c>
      <c r="F9303" t="s">
        <v>2977</v>
      </c>
      <c r="H9303" s="12">
        <v>7.8691597089380902</v>
      </c>
      <c r="I9303" s="20">
        <v>0.61251365190975104</v>
      </c>
      <c r="J9303" s="28">
        <v>0.54019796842331003</v>
      </c>
      <c r="K9303" s="29">
        <v>0.98289565623980701</v>
      </c>
    </row>
    <row r="9304" spans="1:11" x14ac:dyDescent="0.35">
      <c r="A9304" s="9" t="str">
        <f>HYPERLINK("http://www.ensembl.org/id/WBGene00219895", "WBGene00219895")</f>
        <v>WBGene00219895</v>
      </c>
      <c r="B9304" s="9"/>
      <c r="C9304" s="9"/>
      <c r="D9304" t="str">
        <f>"F16A11.13"</f>
        <v>F16A11.13</v>
      </c>
      <c r="F9304" t="s">
        <v>481</v>
      </c>
      <c r="H9304" s="12">
        <v>-1.8687474872374099</v>
      </c>
      <c r="I9304" s="20">
        <v>-0.37097647969421599</v>
      </c>
      <c r="J9304" s="28">
        <v>0.71065505019567698</v>
      </c>
      <c r="K9304" s="29">
        <v>0.98289565623980701</v>
      </c>
    </row>
    <row r="9305" spans="1:11" x14ac:dyDescent="0.35">
      <c r="A9305" s="9" t="str">
        <f>HYPERLINK("http://www.ensembl.org/id/WBGene00023472", "WBGene00023472")</f>
        <v>WBGene00023472</v>
      </c>
      <c r="B9305" s="9"/>
      <c r="C9305" s="9"/>
      <c r="D9305" t="str">
        <f>"F16A11.5"</f>
        <v>F16A11.5</v>
      </c>
      <c r="F9305" t="s">
        <v>481</v>
      </c>
      <c r="H9305" s="12">
        <v>-1.3878167399582</v>
      </c>
      <c r="I9305" s="20">
        <v>-0.334964952086373</v>
      </c>
      <c r="J9305" s="28">
        <v>0.73765152463356498</v>
      </c>
      <c r="K9305" s="29">
        <v>0.98289565623980701</v>
      </c>
    </row>
    <row r="9306" spans="1:11" x14ac:dyDescent="0.35">
      <c r="A9306" s="9" t="str">
        <f>HYPERLINK("http://www.ensembl.org/id/WBGene00200365", "WBGene00200365")</f>
        <v>WBGene00200365</v>
      </c>
      <c r="B9306" s="9"/>
      <c r="C9306" s="9"/>
      <c r="D9306" t="str">
        <f>"F16A11.8"</f>
        <v>F16A11.8</v>
      </c>
      <c r="F9306" t="s">
        <v>481</v>
      </c>
      <c r="H9306" s="12">
        <v>3.6645215954135</v>
      </c>
      <c r="I9306" s="20">
        <v>0.37967131826092498</v>
      </c>
      <c r="J9306" s="28">
        <v>0.70418941338960395</v>
      </c>
      <c r="K9306" s="29">
        <v>0.98289565623980701</v>
      </c>
    </row>
    <row r="9307" spans="1:11" x14ac:dyDescent="0.35">
      <c r="A9307" s="9" t="str">
        <f>HYPERLINK("http://www.ensembl.org/id/WBGene00201192", "WBGene00201192")</f>
        <v>WBGene00201192</v>
      </c>
      <c r="B9307" s="9"/>
      <c r="C9307" s="9"/>
      <c r="D9307" t="str">
        <f>"F16A11.9"</f>
        <v>F16A11.9</v>
      </c>
      <c r="F9307" t="s">
        <v>481</v>
      </c>
      <c r="H9307" s="12">
        <v>-9.6815265259172598</v>
      </c>
      <c r="I9307" s="20">
        <v>-0.67531719156077197</v>
      </c>
      <c r="J9307" s="28">
        <v>0.49947426381858001</v>
      </c>
      <c r="K9307" s="29">
        <v>0.98289565623980701</v>
      </c>
    </row>
    <row r="9308" spans="1:11" x14ac:dyDescent="0.35">
      <c r="A9308" s="9" t="str">
        <f>HYPERLINK("http://www.ensembl.org/id/WBGene00008881", "WBGene00008881")</f>
        <v>WBGene00008881</v>
      </c>
      <c r="B9308" s="9" t="str">
        <f>HYPERLINK("http://www.ncbi.nlm.nih.gov/gene/184565", "184565")</f>
        <v>184565</v>
      </c>
      <c r="C9308" s="9"/>
      <c r="D9308" t="str">
        <f>"F16B12.5"</f>
        <v>F16B12.5</v>
      </c>
      <c r="F9308" t="s">
        <v>11</v>
      </c>
      <c r="H9308" s="12">
        <v>-13.631801325966601</v>
      </c>
      <c r="I9308" s="20">
        <v>-0.81817789633815496</v>
      </c>
      <c r="J9308" s="28">
        <v>0.41325561456537002</v>
      </c>
      <c r="K9308" s="29">
        <v>0.98289565623980701</v>
      </c>
    </row>
    <row r="9309" spans="1:11" x14ac:dyDescent="0.35">
      <c r="A9309" s="9" t="str">
        <f>HYPERLINK("http://www.ensembl.org/id/WBGene00008882", "WBGene00008882")</f>
        <v>WBGene00008882</v>
      </c>
      <c r="B9309" s="9" t="str">
        <f>HYPERLINK("http://www.ncbi.nlm.nih.gov/gene/181520", "181520")</f>
        <v>181520</v>
      </c>
      <c r="C9309" s="9"/>
      <c r="D9309" t="str">
        <f>"F16B12.6"</f>
        <v>F16B12.6</v>
      </c>
      <c r="F9309" t="s">
        <v>11</v>
      </c>
      <c r="H9309" s="12">
        <v>1.0864802152202999</v>
      </c>
      <c r="I9309" s="20">
        <v>0.42301143637407801</v>
      </c>
      <c r="J9309" s="28">
        <v>0.67228691707494104</v>
      </c>
      <c r="K9309" s="29">
        <v>0.98289565623980701</v>
      </c>
    </row>
    <row r="9310" spans="1:11" x14ac:dyDescent="0.35">
      <c r="A9310" s="9" t="str">
        <f>HYPERLINK("http://www.ensembl.org/id/WBGene00044774", "WBGene00044774")</f>
        <v>WBGene00044774</v>
      </c>
      <c r="B9310" s="9" t="str">
        <f>HYPERLINK("http://www.ncbi.nlm.nih.gov/gene/4363103", "4363103")</f>
        <v>4363103</v>
      </c>
      <c r="C9310" s="9"/>
      <c r="D9310" t="str">
        <f>"F16B3.3"</f>
        <v>F16B3.3</v>
      </c>
      <c r="F9310" t="s">
        <v>11</v>
      </c>
      <c r="G9310" t="s">
        <v>25</v>
      </c>
      <c r="H9310" s="12">
        <v>1.1385756179064299</v>
      </c>
      <c r="I9310" s="20">
        <v>0.41880915906698202</v>
      </c>
      <c r="J9310" s="28">
        <v>0.67535561056231397</v>
      </c>
      <c r="K9310" s="29">
        <v>0.98289565623980701</v>
      </c>
    </row>
    <row r="9311" spans="1:11" x14ac:dyDescent="0.35">
      <c r="A9311" s="9" t="str">
        <f>HYPERLINK("http://www.ensembl.org/id/WBGene00017504", "WBGene00017504")</f>
        <v>WBGene00017504</v>
      </c>
      <c r="B9311" s="9" t="str">
        <f>HYPERLINK("http://www.ncbi.nlm.nih.gov/gene/178649", "178649")</f>
        <v>178649</v>
      </c>
      <c r="C9311" s="9"/>
      <c r="D9311" t="str">
        <f>"F16B4.2"</f>
        <v>F16B4.2</v>
      </c>
      <c r="F9311" t="s">
        <v>11</v>
      </c>
      <c r="H9311" s="12">
        <v>1.25846401578773</v>
      </c>
      <c r="I9311" s="20">
        <v>0.84626887500967496</v>
      </c>
      <c r="J9311" s="28">
        <v>0.39740276703508098</v>
      </c>
      <c r="K9311" s="29">
        <v>0.98289565623980701</v>
      </c>
    </row>
    <row r="9312" spans="1:11" x14ac:dyDescent="0.35">
      <c r="A9312" s="9" t="str">
        <f>HYPERLINK("http://www.ensembl.org/id/WBGene00017508", "WBGene00017508")</f>
        <v>WBGene00017508</v>
      </c>
      <c r="B9312" s="9" t="str">
        <f>HYPERLINK("http://www.ncbi.nlm.nih.gov/gene/184559", "184559")</f>
        <v>184559</v>
      </c>
      <c r="C9312" s="9"/>
      <c r="D9312" t="str">
        <f>"F16B4.6"</f>
        <v>F16B4.6</v>
      </c>
      <c r="F9312" t="s">
        <v>11</v>
      </c>
      <c r="G9312" t="s">
        <v>25</v>
      </c>
      <c r="H9312" s="12">
        <v>1.8825511323479001</v>
      </c>
      <c r="I9312" s="20">
        <v>0.72236144173143801</v>
      </c>
      <c r="J9312" s="28">
        <v>0.47007228660759998</v>
      </c>
      <c r="K9312" s="29">
        <v>0.98289565623980701</v>
      </c>
    </row>
    <row r="9313" spans="1:11" x14ac:dyDescent="0.35">
      <c r="A9313" s="9" t="str">
        <f>HYPERLINK("http://www.ensembl.org/id/WBGene00017509", "WBGene00017509")</f>
        <v>WBGene00017509</v>
      </c>
      <c r="B9313" s="9" t="str">
        <f>HYPERLINK("http://www.ncbi.nlm.nih.gov/gene/178646", "178646")</f>
        <v>178646</v>
      </c>
      <c r="C9313" s="9"/>
      <c r="D9313" t="str">
        <f>"F16B4.7"</f>
        <v>F16B4.7</v>
      </c>
      <c r="F9313" t="s">
        <v>11</v>
      </c>
      <c r="H9313" s="12">
        <v>-2.0198142431419899</v>
      </c>
      <c r="I9313" s="20">
        <v>-0.94170944848132798</v>
      </c>
      <c r="J9313" s="28">
        <v>0.34634141629326898</v>
      </c>
      <c r="K9313" s="29">
        <v>0.98289565623980701</v>
      </c>
    </row>
    <row r="9314" spans="1:11" x14ac:dyDescent="0.35">
      <c r="A9314" s="9" t="str">
        <f>HYPERLINK("http://www.ensembl.org/id/WBGene00008886", "WBGene00008886")</f>
        <v>WBGene00008886</v>
      </c>
      <c r="B9314" s="9" t="str">
        <f>HYPERLINK("http://www.ncbi.nlm.nih.gov/gene/172879", "172879")</f>
        <v>172879</v>
      </c>
      <c r="C9314" s="9"/>
      <c r="D9314" t="str">
        <f>"F16C3.2"</f>
        <v>F16C3.2</v>
      </c>
      <c r="F9314" t="s">
        <v>11</v>
      </c>
      <c r="H9314" s="12">
        <v>1.23371815219527</v>
      </c>
      <c r="I9314" s="20">
        <v>0.74355402462069198</v>
      </c>
      <c r="J9314" s="28">
        <v>0.45714632618969803</v>
      </c>
      <c r="K9314" s="29">
        <v>0.98289565623980701</v>
      </c>
    </row>
    <row r="9315" spans="1:11" x14ac:dyDescent="0.35">
      <c r="A9315" s="9" t="str">
        <f>HYPERLINK("http://www.ensembl.org/id/WBGene00044243", "WBGene00044243")</f>
        <v>WBGene00044243</v>
      </c>
      <c r="B9315" s="9" t="str">
        <f>HYPERLINK("http://www.ncbi.nlm.nih.gov/gene/3565653", "3565653")</f>
        <v>3565653</v>
      </c>
      <c r="C9315" s="9"/>
      <c r="D9315" t="str">
        <f>"F16C3.4"</f>
        <v>F16C3.4</v>
      </c>
      <c r="F9315" t="s">
        <v>11</v>
      </c>
      <c r="H9315" s="12">
        <v>-1.9451502736266399</v>
      </c>
      <c r="I9315" s="20">
        <v>-0.39506725060138798</v>
      </c>
      <c r="J9315" s="28">
        <v>0.69279325731071095</v>
      </c>
      <c r="K9315" s="29">
        <v>0.98289565623980701</v>
      </c>
    </row>
    <row r="9316" spans="1:11" x14ac:dyDescent="0.35">
      <c r="A9316" s="9" t="str">
        <f>HYPERLINK("http://www.ensembl.org/id/WBGene00008889", "WBGene00008889")</f>
        <v>WBGene00008889</v>
      </c>
      <c r="B9316" s="9" t="str">
        <f>HYPERLINK("http://www.ncbi.nlm.nih.gov/gene/184571", "184571")</f>
        <v>184571</v>
      </c>
      <c r="C9316" s="9"/>
      <c r="D9316" t="str">
        <f>"F16D3.6"</f>
        <v>F16D3.6</v>
      </c>
      <c r="F9316" t="s">
        <v>11</v>
      </c>
      <c r="G9316" t="s">
        <v>25</v>
      </c>
      <c r="H9316" s="12">
        <v>-2.1572339084592298</v>
      </c>
      <c r="I9316" s="20">
        <v>-0.36322353423111903</v>
      </c>
      <c r="J9316" s="28">
        <v>0.71643790865586399</v>
      </c>
      <c r="K9316" s="29">
        <v>0.98289565623980701</v>
      </c>
    </row>
    <row r="9317" spans="1:11" x14ac:dyDescent="0.35">
      <c r="A9317" s="9" t="str">
        <f>HYPERLINK("http://www.ensembl.org/id/WBGene00197888", "WBGene00197888")</f>
        <v>WBGene00197888</v>
      </c>
      <c r="B9317" s="9"/>
      <c r="C9317" s="9"/>
      <c r="D9317" t="str">
        <f>"F16D3.8"</f>
        <v>F16D3.8</v>
      </c>
      <c r="F9317" t="s">
        <v>481</v>
      </c>
      <c r="H9317" s="12">
        <v>1.89769864397592</v>
      </c>
      <c r="I9317" s="20">
        <v>0.413636705413304</v>
      </c>
      <c r="J9317" s="28">
        <v>0.67914018759185202</v>
      </c>
      <c r="K9317" s="29">
        <v>0.98289565623980701</v>
      </c>
    </row>
    <row r="9318" spans="1:11" x14ac:dyDescent="0.35">
      <c r="A9318" s="9" t="str">
        <f>HYPERLINK("http://www.ensembl.org/id/WBGene00017513", "WBGene00017513")</f>
        <v>WBGene00017513</v>
      </c>
      <c r="B9318" s="9" t="str">
        <f>HYPERLINK("http://www.ncbi.nlm.nih.gov/gene/184573", "184573")</f>
        <v>184573</v>
      </c>
      <c r="C9318" s="9"/>
      <c r="D9318" t="str">
        <f>"F16F9.1"</f>
        <v>F16F9.1</v>
      </c>
      <c r="F9318" t="s">
        <v>11</v>
      </c>
      <c r="G9318" t="s">
        <v>208</v>
      </c>
      <c r="H9318" s="12">
        <v>-1.13340597954916</v>
      </c>
      <c r="I9318" s="20">
        <v>-0.63288968897827802</v>
      </c>
      <c r="J9318" s="28">
        <v>0.52680568164423702</v>
      </c>
      <c r="K9318" s="29">
        <v>0.98289565623980701</v>
      </c>
    </row>
    <row r="9319" spans="1:11" x14ac:dyDescent="0.35">
      <c r="A9319" s="9" t="str">
        <f>HYPERLINK("http://www.ensembl.org/id/WBGene00201522", "WBGene00201522")</f>
        <v>WBGene00201522</v>
      </c>
      <c r="B9319" s="9"/>
      <c r="C9319" s="9"/>
      <c r="D9319" t="str">
        <f>"F16F9.17"</f>
        <v>F16F9.17</v>
      </c>
      <c r="F9319" t="s">
        <v>481</v>
      </c>
      <c r="H9319" s="12">
        <v>-2.4295389261469</v>
      </c>
      <c r="I9319" s="20">
        <v>-0.25808529976640998</v>
      </c>
      <c r="J9319" s="28">
        <v>0.79634107645457397</v>
      </c>
      <c r="K9319" s="29">
        <v>0.98289565623980701</v>
      </c>
    </row>
    <row r="9320" spans="1:11" x14ac:dyDescent="0.35">
      <c r="A9320" s="9" t="str">
        <f>HYPERLINK("http://www.ensembl.org/id/WBGene00017515", "WBGene00017515")</f>
        <v>WBGene00017515</v>
      </c>
      <c r="B9320" s="9" t="str">
        <f>HYPERLINK("http://www.ncbi.nlm.nih.gov/gene/184575", "184575")</f>
        <v>184575</v>
      </c>
      <c r="C9320" s="9"/>
      <c r="D9320" t="str">
        <f>"F16F9.4"</f>
        <v>F16F9.4</v>
      </c>
      <c r="F9320" t="s">
        <v>11</v>
      </c>
      <c r="G9320" t="s">
        <v>146</v>
      </c>
      <c r="H9320" s="12">
        <v>-1.1971757036333801</v>
      </c>
      <c r="I9320" s="20">
        <v>-0.611655975846504</v>
      </c>
      <c r="J9320" s="28">
        <v>0.54076539490769604</v>
      </c>
      <c r="K9320" s="29">
        <v>0.98289565623980701</v>
      </c>
    </row>
    <row r="9321" spans="1:11" x14ac:dyDescent="0.35">
      <c r="A9321" s="9" t="str">
        <f>HYPERLINK("http://www.ensembl.org/id/WBGene00197416", "WBGene00197416")</f>
        <v>WBGene00197416</v>
      </c>
      <c r="B9321" s="9"/>
      <c r="C9321" s="9"/>
      <c r="D9321" t="str">
        <f>"F16F9.9"</f>
        <v>F16F9.9</v>
      </c>
      <c r="F9321" t="s">
        <v>481</v>
      </c>
      <c r="H9321" s="12">
        <v>3.7495657430089002</v>
      </c>
      <c r="I9321" s="20">
        <v>0.41509078773660102</v>
      </c>
      <c r="J9321" s="28">
        <v>0.67807544303981004</v>
      </c>
      <c r="K9321" s="29">
        <v>0.98289565623980701</v>
      </c>
    </row>
    <row r="9322" spans="1:11" x14ac:dyDescent="0.35">
      <c r="A9322" s="9" t="str">
        <f>HYPERLINK("http://www.ensembl.org/id/WBGene00017516", "WBGene00017516")</f>
        <v>WBGene00017516</v>
      </c>
      <c r="B9322" s="9" t="str">
        <f>HYPERLINK("http://www.ncbi.nlm.nih.gov/gene/184576", "184576")</f>
        <v>184576</v>
      </c>
      <c r="C9322" s="9"/>
      <c r="D9322" t="str">
        <f>"F16G10.1"</f>
        <v>F16G10.1</v>
      </c>
      <c r="F9322" t="s">
        <v>11</v>
      </c>
      <c r="H9322" s="12">
        <v>4.6387698961716399</v>
      </c>
      <c r="I9322" s="20">
        <v>0.44985450087338802</v>
      </c>
      <c r="J9322" s="28">
        <v>0.65281535672642099</v>
      </c>
      <c r="K9322" s="29">
        <v>0.98289565623980701</v>
      </c>
    </row>
    <row r="9323" spans="1:11" x14ac:dyDescent="0.35">
      <c r="A9323" s="9" t="str">
        <f>HYPERLINK("http://www.ensembl.org/id/WBGene00017526", "WBGene00017526")</f>
        <v>WBGene00017526</v>
      </c>
      <c r="B9323" s="9" t="str">
        <f>HYPERLINK("http://www.ncbi.nlm.nih.gov/gene/184585", "184585")</f>
        <v>184585</v>
      </c>
      <c r="C9323" s="9"/>
      <c r="D9323" t="str">
        <f>"F16G10.11"</f>
        <v>F16G10.11</v>
      </c>
      <c r="F9323" t="s">
        <v>11</v>
      </c>
      <c r="H9323" s="12">
        <v>2.4863997797316602</v>
      </c>
      <c r="I9323" s="20">
        <v>0.48805654860814801</v>
      </c>
      <c r="J9323" s="28">
        <v>0.62550978727589801</v>
      </c>
      <c r="K9323" s="29">
        <v>0.98289565623980701</v>
      </c>
    </row>
    <row r="9324" spans="1:11" x14ac:dyDescent="0.35">
      <c r="A9324" s="9" t="str">
        <f>HYPERLINK("http://www.ensembl.org/id/WBGene00017529", "WBGene00017529")</f>
        <v>WBGene00017529</v>
      </c>
      <c r="B9324" s="9"/>
      <c r="C9324" s="9"/>
      <c r="D9324" t="str">
        <f>"F16G10.15"</f>
        <v>F16G10.15</v>
      </c>
      <c r="F9324" t="s">
        <v>80</v>
      </c>
      <c r="H9324" s="12">
        <v>-1.3846132632291299</v>
      </c>
      <c r="I9324" s="20">
        <v>-0.83164722820817605</v>
      </c>
      <c r="J9324" s="28">
        <v>0.40560809578981599</v>
      </c>
      <c r="K9324" s="29">
        <v>0.98289565623980701</v>
      </c>
    </row>
    <row r="9325" spans="1:11" x14ac:dyDescent="0.35">
      <c r="A9325" s="9" t="str">
        <f>HYPERLINK("http://www.ensembl.org/id/WBGene00017517", "WBGene00017517")</f>
        <v>WBGene00017517</v>
      </c>
      <c r="B9325" s="9" t="str">
        <f>HYPERLINK("http://www.ncbi.nlm.nih.gov/gene/184577", "184577")</f>
        <v>184577</v>
      </c>
      <c r="C9325" s="9"/>
      <c r="D9325" t="str">
        <f>"F16G10.2"</f>
        <v>F16G10.2</v>
      </c>
      <c r="F9325" t="s">
        <v>11</v>
      </c>
      <c r="H9325" s="12">
        <v>2.3893468495514898</v>
      </c>
      <c r="I9325" s="20">
        <v>0.25323547253672701</v>
      </c>
      <c r="J9325" s="28">
        <v>0.80008625651646104</v>
      </c>
      <c r="K9325" s="29">
        <v>0.98289565623980701</v>
      </c>
    </row>
    <row r="9326" spans="1:11" x14ac:dyDescent="0.35">
      <c r="A9326" s="9" t="str">
        <f>HYPERLINK("http://www.ensembl.org/id/WBGene00017520", "WBGene00017520")</f>
        <v>WBGene00017520</v>
      </c>
      <c r="B9326" s="9" t="str">
        <f>HYPERLINK("http://www.ncbi.nlm.nih.gov/gene/184580", "184580")</f>
        <v>184580</v>
      </c>
      <c r="C9326" s="9"/>
      <c r="D9326" t="str">
        <f>"F16G10.5"</f>
        <v>F16G10.5</v>
      </c>
      <c r="F9326" t="s">
        <v>11</v>
      </c>
      <c r="G9326" t="s">
        <v>54</v>
      </c>
      <c r="H9326" s="12">
        <v>4.4368407117627902</v>
      </c>
      <c r="I9326" s="20">
        <v>0.43709475933309699</v>
      </c>
      <c r="J9326" s="28">
        <v>0.66204262779770495</v>
      </c>
      <c r="K9326" s="29">
        <v>0.98289565623980701</v>
      </c>
    </row>
    <row r="9327" spans="1:11" x14ac:dyDescent="0.35">
      <c r="A9327" s="9" t="str">
        <f>HYPERLINK("http://www.ensembl.org/id/WBGene00017523", "WBGene00017523")</f>
        <v>WBGene00017523</v>
      </c>
      <c r="B9327" s="9" t="str">
        <f>HYPERLINK("http://www.ncbi.nlm.nih.gov/gene/184583", "184583")</f>
        <v>184583</v>
      </c>
      <c r="C9327" s="9"/>
      <c r="D9327" t="str">
        <f>"F16G10.8"</f>
        <v>F16G10.8</v>
      </c>
      <c r="F9327" t="s">
        <v>11</v>
      </c>
      <c r="H9327" s="12">
        <v>2.3893468495514898</v>
      </c>
      <c r="I9327" s="20">
        <v>0.25323547253672701</v>
      </c>
      <c r="J9327" s="28">
        <v>0.80008625651646104</v>
      </c>
      <c r="K9327" s="29">
        <v>0.98289565623980701</v>
      </c>
    </row>
    <row r="9328" spans="1:11" x14ac:dyDescent="0.35">
      <c r="A9328" s="9" t="str">
        <f>HYPERLINK("http://www.ensembl.org/id/WBGene00017530", "WBGene00017530")</f>
        <v>WBGene00017530</v>
      </c>
      <c r="B9328" s="9" t="str">
        <f>HYPERLINK("http://www.ncbi.nlm.nih.gov/gene/180739", "180739")</f>
        <v>180739</v>
      </c>
      <c r="C9328" s="9" t="str">
        <f>HYPERLINK("http://www.ncbi.nlm.nih.gov/gene/126321", "126321")</f>
        <v>126321</v>
      </c>
      <c r="D9328" t="str">
        <f>"F16H11.1"</f>
        <v>F16H11.1</v>
      </c>
      <c r="F9328" t="s">
        <v>11</v>
      </c>
      <c r="G9328" t="s">
        <v>8620</v>
      </c>
      <c r="H9328" s="12">
        <v>-1.18668937054179</v>
      </c>
      <c r="I9328" s="20">
        <v>-0.76885165484119899</v>
      </c>
      <c r="J9328" s="28">
        <v>0.44198138008755899</v>
      </c>
      <c r="K9328" s="29">
        <v>0.98289565623980701</v>
      </c>
    </row>
    <row r="9329" spans="1:11" x14ac:dyDescent="0.35">
      <c r="A9329" s="9" t="str">
        <f>HYPERLINK("http://www.ensembl.org/id/WBGene00008900", "WBGene00008900")</f>
        <v>WBGene00008900</v>
      </c>
      <c r="B9329" s="9" t="str">
        <f>HYPERLINK("http://www.ncbi.nlm.nih.gov/gene/180190", "180190")</f>
        <v>180190</v>
      </c>
      <c r="C9329" s="9"/>
      <c r="D9329" t="str">
        <f>"F16H6.10"</f>
        <v>F16H6.10</v>
      </c>
      <c r="F9329" t="s">
        <v>11</v>
      </c>
      <c r="G9329" t="s">
        <v>264</v>
      </c>
      <c r="H9329" s="12">
        <v>-1.1234348788947199</v>
      </c>
      <c r="I9329" s="20">
        <v>-0.436619816588936</v>
      </c>
      <c r="J9329" s="28">
        <v>0.66238708875512597</v>
      </c>
      <c r="K9329" s="29">
        <v>0.98289565623980701</v>
      </c>
    </row>
    <row r="9330" spans="1:11" x14ac:dyDescent="0.35">
      <c r="A9330" s="9" t="str">
        <f>HYPERLINK("http://www.ensembl.org/id/WBGene00008893", "WBGene00008893")</f>
        <v>WBGene00008893</v>
      </c>
      <c r="B9330" s="9" t="str">
        <f>HYPERLINK("http://www.ncbi.nlm.nih.gov/gene/184590", "184590")</f>
        <v>184590</v>
      </c>
      <c r="C9330" s="9"/>
      <c r="D9330" t="str">
        <f>"F16H6.3"</f>
        <v>F16H6.3</v>
      </c>
      <c r="F9330" t="s">
        <v>11</v>
      </c>
      <c r="H9330" s="12">
        <v>2.3893468495514898</v>
      </c>
      <c r="I9330" s="20">
        <v>0.25323547253672701</v>
      </c>
      <c r="J9330" s="28">
        <v>0.80008625651646104</v>
      </c>
      <c r="K9330" s="29">
        <v>0.98289565623980701</v>
      </c>
    </row>
    <row r="9331" spans="1:11" x14ac:dyDescent="0.35">
      <c r="A9331" s="9" t="str">
        <f>HYPERLINK("http://www.ensembl.org/id/WBGene00008894", "WBGene00008894")</f>
        <v>WBGene00008894</v>
      </c>
      <c r="B9331" s="9" t="str">
        <f>HYPERLINK("http://www.ncbi.nlm.nih.gov/gene/184591", "184591")</f>
        <v>184591</v>
      </c>
      <c r="C9331" s="9"/>
      <c r="D9331" t="str">
        <f>"F16H6.4"</f>
        <v>F16H6.4</v>
      </c>
      <c r="F9331" t="s">
        <v>11</v>
      </c>
      <c r="G9331" t="s">
        <v>4311</v>
      </c>
      <c r="H9331" s="12">
        <v>3.4324224811205402</v>
      </c>
      <c r="I9331" s="20">
        <v>0.90501664253563197</v>
      </c>
      <c r="J9331" s="28">
        <v>0.36545657046742602</v>
      </c>
      <c r="K9331" s="29">
        <v>0.98289565623980701</v>
      </c>
    </row>
    <row r="9332" spans="1:11" x14ac:dyDescent="0.35">
      <c r="A9332" s="9" t="str">
        <f>HYPERLINK("http://www.ensembl.org/id/WBGene00008897", "WBGene00008897")</f>
        <v>WBGene00008897</v>
      </c>
      <c r="B9332" s="9" t="str">
        <f>HYPERLINK("http://www.ncbi.nlm.nih.gov/gene/184594", "184594")</f>
        <v>184594</v>
      </c>
      <c r="C9332" s="9" t="str">
        <f>HYPERLINK("http://www.ncbi.nlm.nih.gov/gene/54858", "54858")</f>
        <v>54858</v>
      </c>
      <c r="D9332" t="str">
        <f>"F16H6.7"</f>
        <v>F16H6.7</v>
      </c>
      <c r="F9332" t="s">
        <v>11</v>
      </c>
      <c r="G9332" t="s">
        <v>4777</v>
      </c>
      <c r="H9332" s="12">
        <v>1.38434885934888</v>
      </c>
      <c r="I9332" s="20">
        <v>0.858650984239679</v>
      </c>
      <c r="J9332" s="28">
        <v>0.39053310052381102</v>
      </c>
      <c r="K9332" s="29">
        <v>0.98289565623980701</v>
      </c>
    </row>
    <row r="9333" spans="1:11" x14ac:dyDescent="0.35">
      <c r="A9333" s="9" t="str">
        <f>HYPERLINK("http://www.ensembl.org/id/WBGene00008898", "WBGene00008898")</f>
        <v>WBGene00008898</v>
      </c>
      <c r="B9333" s="9" t="str">
        <f>HYPERLINK("http://www.ncbi.nlm.nih.gov/gene/184595", "184595")</f>
        <v>184595</v>
      </c>
      <c r="C9333" s="9"/>
      <c r="D9333" t="str">
        <f>"F16H6.8"</f>
        <v>F16H6.8</v>
      </c>
      <c r="F9333" t="s">
        <v>11</v>
      </c>
      <c r="H9333" s="12">
        <v>2.7701616966061802</v>
      </c>
      <c r="I9333" s="20">
        <v>1.0406235852722201</v>
      </c>
      <c r="J9333" s="28">
        <v>0.29805028062245997</v>
      </c>
      <c r="K9333" s="29">
        <v>0.98289565623980701</v>
      </c>
    </row>
    <row r="9334" spans="1:11" x14ac:dyDescent="0.35">
      <c r="A9334" s="9" t="str">
        <f>HYPERLINK("http://www.ensembl.org/id/WBGene00219896", "WBGene00219896")</f>
        <v>WBGene00219896</v>
      </c>
      <c r="B9334" s="9"/>
      <c r="C9334" s="9"/>
      <c r="D9334" t="str">
        <f>"F16H9.5"</f>
        <v>F16H9.5</v>
      </c>
      <c r="F9334" t="s">
        <v>481</v>
      </c>
      <c r="H9334" s="12">
        <v>4.52143183124769</v>
      </c>
      <c r="I9334" s="20">
        <v>0.95431059957372499</v>
      </c>
      <c r="J9334" s="28">
        <v>0.33992644424533403</v>
      </c>
      <c r="K9334" s="29">
        <v>0.98289565623980701</v>
      </c>
    </row>
    <row r="9335" spans="1:11" x14ac:dyDescent="0.35">
      <c r="A9335" s="9" t="str">
        <f>HYPERLINK("http://www.ensembl.org/id/WBGene00008904", "WBGene00008904")</f>
        <v>WBGene00008904</v>
      </c>
      <c r="B9335" s="9" t="str">
        <f>HYPERLINK("http://www.ncbi.nlm.nih.gov/gene/181390", "181390")</f>
        <v>181390</v>
      </c>
      <c r="C9335" s="9"/>
      <c r="D9335" t="str">
        <f>"F17A2.13"</f>
        <v>F17A2.13</v>
      </c>
      <c r="F9335" t="s">
        <v>11</v>
      </c>
      <c r="H9335" s="12">
        <v>-1.1165268791238301</v>
      </c>
      <c r="I9335" s="20">
        <v>-0.30277393752127502</v>
      </c>
      <c r="J9335" s="28">
        <v>0.76206214654964899</v>
      </c>
      <c r="K9335" s="29">
        <v>0.98289565623980701</v>
      </c>
    </row>
    <row r="9336" spans="1:11" x14ac:dyDescent="0.35">
      <c r="A9336" s="9" t="str">
        <f>HYPERLINK("http://www.ensembl.org/id/WBGene00304215", "WBGene00304215")</f>
        <v>WBGene00304215</v>
      </c>
      <c r="B9336" s="9"/>
      <c r="C9336" s="9"/>
      <c r="D9336" t="str">
        <f>"F17A2.16"</f>
        <v>F17A2.16</v>
      </c>
      <c r="F9336" t="s">
        <v>11</v>
      </c>
      <c r="H9336" s="12">
        <v>5.9552056329236898</v>
      </c>
      <c r="I9336" s="20">
        <v>1.00517179645191</v>
      </c>
      <c r="J9336" s="28">
        <v>0.31481413327178298</v>
      </c>
      <c r="K9336" s="29">
        <v>0.98289565623980701</v>
      </c>
    </row>
    <row r="9337" spans="1:11" x14ac:dyDescent="0.35">
      <c r="A9337" s="9" t="str">
        <f>HYPERLINK("http://www.ensembl.org/id/WBGene00017536", "WBGene00017536")</f>
        <v>WBGene00017536</v>
      </c>
      <c r="B9337" s="9" t="str">
        <f>HYPERLINK("http://www.ncbi.nlm.nih.gov/gene/178999", "178999")</f>
        <v>178999</v>
      </c>
      <c r="C9337" s="9"/>
      <c r="D9337" t="str">
        <f>"F17A9.4"</f>
        <v>F17A9.4</v>
      </c>
      <c r="F9337" t="s">
        <v>11</v>
      </c>
      <c r="G9337" t="s">
        <v>260</v>
      </c>
      <c r="H9337" s="12">
        <v>1.14553170679794</v>
      </c>
      <c r="I9337" s="20">
        <v>0.70339163638303503</v>
      </c>
      <c r="J9337" s="28">
        <v>0.48181171725184602</v>
      </c>
      <c r="K9337" s="29">
        <v>0.98289565623980701</v>
      </c>
    </row>
    <row r="9338" spans="1:11" x14ac:dyDescent="0.35">
      <c r="A9338" s="9" t="str">
        <f>HYPERLINK("http://www.ensembl.org/id/WBGene00138716", "WBGene00138716")</f>
        <v>WBGene00138716</v>
      </c>
      <c r="B9338" s="9" t="str">
        <f>HYPERLINK("http://www.ncbi.nlm.nih.gov/gene/13182703", "13182703")</f>
        <v>13182703</v>
      </c>
      <c r="C9338" s="9"/>
      <c r="D9338" t="str">
        <f>"F17B5.10"</f>
        <v>F17B5.10</v>
      </c>
      <c r="F9338" t="s">
        <v>11</v>
      </c>
      <c r="G9338" t="s">
        <v>2771</v>
      </c>
      <c r="H9338" s="12">
        <v>2.4578120077400301</v>
      </c>
      <c r="I9338" s="20">
        <v>0.26093350314551</v>
      </c>
      <c r="J9338" s="28">
        <v>0.79414378780213601</v>
      </c>
      <c r="K9338" s="29">
        <v>0.98289565623980701</v>
      </c>
    </row>
    <row r="9339" spans="1:11" x14ac:dyDescent="0.35">
      <c r="A9339" s="9" t="str">
        <f>HYPERLINK("http://www.ensembl.org/id/WBGene00008908", "WBGene00008908")</f>
        <v>WBGene00008908</v>
      </c>
      <c r="B9339" s="9" t="str">
        <f>HYPERLINK("http://www.ncbi.nlm.nih.gov/gene/173184", "173184")</f>
        <v>173184</v>
      </c>
      <c r="C9339" s="9"/>
      <c r="D9339" t="str">
        <f>"F17B5.4"</f>
        <v>F17B5.4</v>
      </c>
      <c r="F9339" t="s">
        <v>11</v>
      </c>
      <c r="G9339" t="s">
        <v>3419</v>
      </c>
      <c r="H9339" s="12">
        <v>-6.7350978273547204</v>
      </c>
      <c r="I9339" s="20">
        <v>-0.57518224984572797</v>
      </c>
      <c r="J9339" s="28">
        <v>0.565168046075332</v>
      </c>
      <c r="K9339" s="29">
        <v>0.98289565623980701</v>
      </c>
    </row>
    <row r="9340" spans="1:11" x14ac:dyDescent="0.35">
      <c r="A9340" s="9" t="str">
        <f>HYPERLINK("http://www.ensembl.org/id/WBGene00045458", "WBGene00045458")</f>
        <v>WBGene00045458</v>
      </c>
      <c r="B9340" s="9" t="str">
        <f>HYPERLINK("http://www.ncbi.nlm.nih.gov/gene/6418584", "6418584")</f>
        <v>6418584</v>
      </c>
      <c r="C9340" s="9"/>
      <c r="D9340" t="str">
        <f>"F17B5.8"</f>
        <v>F17B5.8</v>
      </c>
      <c r="F9340" t="s">
        <v>11</v>
      </c>
      <c r="H9340" s="12">
        <v>-1.3016200641356599</v>
      </c>
      <c r="I9340" s="20">
        <v>-0.389134746675731</v>
      </c>
      <c r="J9340" s="28">
        <v>0.69717647102843405</v>
      </c>
      <c r="K9340" s="29">
        <v>0.98289565623980701</v>
      </c>
    </row>
    <row r="9341" spans="1:11" x14ac:dyDescent="0.35">
      <c r="A9341" s="9" t="str">
        <f>HYPERLINK("http://www.ensembl.org/id/WBGene00008922", "WBGene00008922")</f>
        <v>WBGene00008922</v>
      </c>
      <c r="B9341" s="9" t="str">
        <f>HYPERLINK("http://www.ncbi.nlm.nih.gov/gene/179515", "179515")</f>
        <v>179515</v>
      </c>
      <c r="C9341" s="9"/>
      <c r="D9341" t="str">
        <f>"F17C11.11"</f>
        <v>F17C11.11</v>
      </c>
      <c r="F9341" t="s">
        <v>11</v>
      </c>
      <c r="H9341" s="12">
        <v>-1.2222154337408899</v>
      </c>
      <c r="I9341" s="20">
        <v>-0.92340652427322301</v>
      </c>
      <c r="J9341" s="28">
        <v>0.355795393003765</v>
      </c>
      <c r="K9341" s="29">
        <v>0.98289565623980701</v>
      </c>
    </row>
    <row r="9342" spans="1:11" x14ac:dyDescent="0.35">
      <c r="A9342" s="9" t="str">
        <f>HYPERLINK("http://www.ensembl.org/id/WBGene00008923", "WBGene00008923")</f>
        <v>WBGene00008923</v>
      </c>
      <c r="B9342" s="9" t="str">
        <f>HYPERLINK("http://www.ncbi.nlm.nih.gov/gene/179514", "179514")</f>
        <v>179514</v>
      </c>
      <c r="C9342" s="9"/>
      <c r="D9342" t="str">
        <f>"F17C11.12"</f>
        <v>F17C11.12</v>
      </c>
      <c r="F9342" t="s">
        <v>11</v>
      </c>
      <c r="G9342" t="s">
        <v>230</v>
      </c>
      <c r="H9342" s="12">
        <v>1.1444239130748299</v>
      </c>
      <c r="I9342" s="20">
        <v>0.61682573663482099</v>
      </c>
      <c r="J9342" s="28">
        <v>0.53734967438823</v>
      </c>
      <c r="K9342" s="29">
        <v>0.98289565623980701</v>
      </c>
    </row>
    <row r="9343" spans="1:11" x14ac:dyDescent="0.35">
      <c r="A9343" s="9" t="str">
        <f>HYPERLINK("http://www.ensembl.org/id/WBGene00195064", "WBGene00195064")</f>
        <v>WBGene00195064</v>
      </c>
      <c r="B9343" s="9"/>
      <c r="C9343" s="9"/>
      <c r="D9343" t="str">
        <f>"F17C11.20"</f>
        <v>F17C11.20</v>
      </c>
      <c r="F9343" t="s">
        <v>2735</v>
      </c>
      <c r="H9343" s="12">
        <v>-2.1698582219276599</v>
      </c>
      <c r="I9343" s="20">
        <v>-0.96885165746777702</v>
      </c>
      <c r="J9343" s="28">
        <v>0.33261920834118802</v>
      </c>
      <c r="K9343" s="29">
        <v>0.98289565623980701</v>
      </c>
    </row>
    <row r="9344" spans="1:11" x14ac:dyDescent="0.35">
      <c r="A9344" s="9" t="str">
        <f>HYPERLINK("http://www.ensembl.org/id/WBGene00201626", "WBGene00201626")</f>
        <v>WBGene00201626</v>
      </c>
      <c r="B9344" s="9"/>
      <c r="C9344" s="9"/>
      <c r="D9344" t="str">
        <f>"F17C11.21"</f>
        <v>F17C11.21</v>
      </c>
      <c r="F9344" t="s">
        <v>481</v>
      </c>
      <c r="H9344" s="12">
        <v>-1.76016272080514</v>
      </c>
      <c r="I9344" s="20">
        <v>-0.359471620006176</v>
      </c>
      <c r="J9344" s="28">
        <v>0.71924230489526697</v>
      </c>
      <c r="K9344" s="29">
        <v>0.98289565623980701</v>
      </c>
    </row>
    <row r="9345" spans="1:11" x14ac:dyDescent="0.35">
      <c r="A9345" s="9" t="str">
        <f>HYPERLINK("http://www.ensembl.org/id/WBGene00219325", "WBGene00219325")</f>
        <v>WBGene00219325</v>
      </c>
      <c r="B9345" s="9" t="str">
        <f>HYPERLINK("http://www.ncbi.nlm.nih.gov/gene/13215029", "13215029")</f>
        <v>13215029</v>
      </c>
      <c r="C9345" s="9"/>
      <c r="D9345" t="str">
        <f>"F17C11.22"</f>
        <v>F17C11.22</v>
      </c>
      <c r="F9345" t="s">
        <v>11</v>
      </c>
      <c r="H9345" s="12">
        <v>-1.3040887590097801</v>
      </c>
      <c r="I9345" s="20">
        <v>-0.64103947373009296</v>
      </c>
      <c r="J9345" s="28">
        <v>0.52149703687743099</v>
      </c>
      <c r="K9345" s="29">
        <v>0.98289565623980701</v>
      </c>
    </row>
    <row r="9346" spans="1:11" x14ac:dyDescent="0.35">
      <c r="A9346" s="9" t="str">
        <f>HYPERLINK("http://www.ensembl.org/id/WBGene00219899", "WBGene00219899")</f>
        <v>WBGene00219899</v>
      </c>
      <c r="B9346" s="9"/>
      <c r="C9346" s="9"/>
      <c r="D9346" t="str">
        <f>"F17C11.24"</f>
        <v>F17C11.24</v>
      </c>
      <c r="F9346" t="s">
        <v>2977</v>
      </c>
      <c r="H9346" s="12">
        <v>-1.3831933892696699</v>
      </c>
      <c r="I9346" s="20">
        <v>-0.44753563143203701</v>
      </c>
      <c r="J9346" s="28">
        <v>0.654488367052805</v>
      </c>
      <c r="K9346" s="29">
        <v>0.98289565623980701</v>
      </c>
    </row>
    <row r="9347" spans="1:11" x14ac:dyDescent="0.35">
      <c r="A9347" s="9" t="str">
        <f>HYPERLINK("http://www.ensembl.org/id/WBGene00008915", "WBGene00008915")</f>
        <v>WBGene00008915</v>
      </c>
      <c r="B9347" s="9" t="str">
        <f>HYPERLINK("http://www.ncbi.nlm.nih.gov/gene/179518", "179518")</f>
        <v>179518</v>
      </c>
      <c r="C9347" s="9"/>
      <c r="D9347" t="str">
        <f>"F17C11.4"</f>
        <v>F17C11.4</v>
      </c>
      <c r="F9347" t="s">
        <v>11</v>
      </c>
      <c r="H9347" s="12">
        <v>1.0707425038402001</v>
      </c>
      <c r="I9347" s="20">
        <v>0.35589217731679301</v>
      </c>
      <c r="J9347" s="28">
        <v>0.721921314367863</v>
      </c>
      <c r="K9347" s="29">
        <v>0.98289565623980701</v>
      </c>
    </row>
    <row r="9348" spans="1:11" x14ac:dyDescent="0.35">
      <c r="A9348" s="9" t="str">
        <f>HYPERLINK("http://www.ensembl.org/id/WBGene00008917", "WBGene00008917")</f>
        <v>WBGene00008917</v>
      </c>
      <c r="B9348" s="9" t="str">
        <f>HYPERLINK("http://www.ncbi.nlm.nih.gov/gene/184616", "184616")</f>
        <v>184616</v>
      </c>
      <c r="C9348" s="9"/>
      <c r="D9348" t="str">
        <f>"F17C11.6"</f>
        <v>F17C11.6</v>
      </c>
      <c r="F9348" t="s">
        <v>11</v>
      </c>
      <c r="G9348" t="s">
        <v>25</v>
      </c>
      <c r="H9348" s="12">
        <v>-1.1322921064178699</v>
      </c>
      <c r="I9348" s="20">
        <v>-0.435356634517718</v>
      </c>
      <c r="J9348" s="28">
        <v>0.66330358227504804</v>
      </c>
      <c r="K9348" s="29">
        <v>0.98289565623980701</v>
      </c>
    </row>
    <row r="9349" spans="1:11" x14ac:dyDescent="0.35">
      <c r="A9349" s="9" t="str">
        <f>HYPERLINK("http://www.ensembl.org/id/WBGene00008910", "WBGene00008910")</f>
        <v>WBGene00008910</v>
      </c>
      <c r="B9349" s="9" t="str">
        <f>HYPERLINK("http://www.ncbi.nlm.nih.gov/gene/175623", "175623")</f>
        <v>175623</v>
      </c>
      <c r="C9349" s="9"/>
      <c r="D9349" t="str">
        <f>"F17C8.3"</f>
        <v>F17C8.3</v>
      </c>
      <c r="F9349" t="s">
        <v>11</v>
      </c>
      <c r="H9349" s="12">
        <v>-1.25608710697351</v>
      </c>
      <c r="I9349" s="20">
        <v>-0.96646513829177505</v>
      </c>
      <c r="J9349" s="28">
        <v>0.33381148321082099</v>
      </c>
      <c r="K9349" s="29">
        <v>0.98289565623980701</v>
      </c>
    </row>
    <row r="9350" spans="1:11" x14ac:dyDescent="0.35">
      <c r="A9350" s="9" t="str">
        <f>HYPERLINK("http://www.ensembl.org/id/WBGene00200930", "WBGene00200930")</f>
        <v>WBGene00200930</v>
      </c>
      <c r="B9350" s="9"/>
      <c r="C9350" s="9"/>
      <c r="D9350" t="str">
        <f>"F17E5.5"</f>
        <v>F17E5.5</v>
      </c>
      <c r="F9350" t="s">
        <v>481</v>
      </c>
      <c r="H9350" s="12">
        <v>2.3893468495514898</v>
      </c>
      <c r="I9350" s="20">
        <v>0.25323547253672701</v>
      </c>
      <c r="J9350" s="28">
        <v>0.80008625651646104</v>
      </c>
      <c r="K9350" s="29">
        <v>0.98289565623980701</v>
      </c>
    </row>
    <row r="9351" spans="1:11" x14ac:dyDescent="0.35">
      <c r="A9351" s="9" t="str">
        <f>HYPERLINK("http://www.ensembl.org/id/WBGene00201967", "WBGene00201967")</f>
        <v>WBGene00201967</v>
      </c>
      <c r="B9351" s="9"/>
      <c r="C9351" s="9"/>
      <c r="D9351" t="str">
        <f>"F17E5.6"</f>
        <v>F17E5.6</v>
      </c>
      <c r="F9351" t="s">
        <v>481</v>
      </c>
      <c r="H9351" s="12">
        <v>-2.4295389261469</v>
      </c>
      <c r="I9351" s="20">
        <v>-0.25808529976640998</v>
      </c>
      <c r="J9351" s="28">
        <v>0.79634107645457397</v>
      </c>
      <c r="K9351" s="29">
        <v>0.98289565623980701</v>
      </c>
    </row>
    <row r="9352" spans="1:11" x14ac:dyDescent="0.35">
      <c r="A9352" s="9" t="str">
        <f>HYPERLINK("http://www.ensembl.org/id/WBGene00023270", "WBGene00023270")</f>
        <v>WBGene00023270</v>
      </c>
      <c r="B9352" s="9"/>
      <c r="C9352" s="9"/>
      <c r="D9352" t="str">
        <f>"F17E9.14"</f>
        <v>F17E9.14</v>
      </c>
      <c r="F9352" t="s">
        <v>80</v>
      </c>
      <c r="H9352" s="12">
        <v>2.3893468495514898</v>
      </c>
      <c r="I9352" s="20">
        <v>0.25323547253672701</v>
      </c>
      <c r="J9352" s="28">
        <v>0.80008625651646104</v>
      </c>
      <c r="K9352" s="29">
        <v>0.98289565623980701</v>
      </c>
    </row>
    <row r="9353" spans="1:11" x14ac:dyDescent="0.35">
      <c r="A9353" s="9" t="str">
        <f>HYPERLINK("http://www.ensembl.org/id/WBGene00194833", "WBGene00194833")</f>
        <v>WBGene00194833</v>
      </c>
      <c r="B9353" s="9" t="str">
        <f>HYPERLINK("http://www.ncbi.nlm.nih.gov/gene/13197018", "13197018")</f>
        <v>13197018</v>
      </c>
      <c r="C9353" s="9"/>
      <c r="D9353" t="str">
        <f>"F17E9.15"</f>
        <v>F17E9.15</v>
      </c>
      <c r="F9353" t="s">
        <v>11</v>
      </c>
      <c r="H9353" s="12">
        <v>5.9495765472548197</v>
      </c>
      <c r="I9353" s="20">
        <v>0.52429389276509997</v>
      </c>
      <c r="J9353" s="28">
        <v>0.60007414400596704</v>
      </c>
      <c r="K9353" s="29">
        <v>0.98289565623980701</v>
      </c>
    </row>
    <row r="9354" spans="1:11" x14ac:dyDescent="0.35">
      <c r="A9354" s="9" t="str">
        <f>HYPERLINK("http://www.ensembl.org/id/WBGene00195009", "WBGene00195009")</f>
        <v>WBGene00195009</v>
      </c>
      <c r="B9354" s="9" t="str">
        <f>HYPERLINK("http://www.ncbi.nlm.nih.gov/gene/13197020", "13197020")</f>
        <v>13197020</v>
      </c>
      <c r="C9354" s="9"/>
      <c r="D9354" t="str">
        <f>"F17E9.16"</f>
        <v>F17E9.16</v>
      </c>
      <c r="F9354" t="s">
        <v>11</v>
      </c>
      <c r="H9354" s="12">
        <v>-1.3413173823390601</v>
      </c>
      <c r="I9354" s="20">
        <v>-1.1776600446620999</v>
      </c>
      <c r="J9354" s="28">
        <v>0.23893216172509299</v>
      </c>
      <c r="K9354" s="29">
        <v>0.98289565623980701</v>
      </c>
    </row>
    <row r="9355" spans="1:11" x14ac:dyDescent="0.35">
      <c r="A9355" s="9" t="str">
        <f>HYPERLINK("http://www.ensembl.org/id/WBGene00249825", "WBGene00249825")</f>
        <v>WBGene00249825</v>
      </c>
      <c r="B9355" s="9"/>
      <c r="C9355" s="9"/>
      <c r="D9355" t="str">
        <f>"F17E9.19"</f>
        <v>F17E9.19</v>
      </c>
      <c r="F9355" t="s">
        <v>80</v>
      </c>
      <c r="H9355" s="12">
        <v>-1.1493040358923901</v>
      </c>
      <c r="I9355" s="20">
        <v>-0.49301613400303801</v>
      </c>
      <c r="J9355" s="28">
        <v>0.62200118738818799</v>
      </c>
      <c r="K9355" s="29">
        <v>0.98289565623980701</v>
      </c>
    </row>
    <row r="9356" spans="1:11" x14ac:dyDescent="0.35">
      <c r="A9356" s="9" t="str">
        <f>HYPERLINK("http://www.ensembl.org/id/WBGene00017539", "WBGene00017539")</f>
        <v>WBGene00017539</v>
      </c>
      <c r="B9356" s="9" t="str">
        <f>HYPERLINK("http://www.ncbi.nlm.nih.gov/gene/184618", "184618")</f>
        <v>184618</v>
      </c>
      <c r="C9356" s="9"/>
      <c r="D9356" t="str">
        <f>"F17E9.2"</f>
        <v>F17E9.2</v>
      </c>
      <c r="F9356" t="s">
        <v>11</v>
      </c>
      <c r="H9356" s="12">
        <v>-1.2574602116184199</v>
      </c>
      <c r="I9356" s="20">
        <v>-1.06166942007456</v>
      </c>
      <c r="J9356" s="28">
        <v>0.28838578652887598</v>
      </c>
      <c r="K9356" s="29">
        <v>0.98289565623980701</v>
      </c>
    </row>
    <row r="9357" spans="1:11" x14ac:dyDescent="0.35">
      <c r="A9357" s="9" t="str">
        <f>HYPERLINK("http://www.ensembl.org/id/WBGene00017542", "WBGene00017542")</f>
        <v>WBGene00017542</v>
      </c>
      <c r="B9357" s="9" t="str">
        <f>HYPERLINK("http://www.ncbi.nlm.nih.gov/gene/177629", "177629")</f>
        <v>177629</v>
      </c>
      <c r="C9357" s="9"/>
      <c r="D9357" t="str">
        <f>"F17E9.5"</f>
        <v>F17E9.5</v>
      </c>
      <c r="F9357" t="s">
        <v>11</v>
      </c>
      <c r="G9357" t="s">
        <v>417</v>
      </c>
      <c r="H9357" s="12">
        <v>1.2344505807919199</v>
      </c>
      <c r="I9357" s="20">
        <v>0.42745179382792498</v>
      </c>
      <c r="J9357" s="28">
        <v>0.66905028957712598</v>
      </c>
      <c r="K9357" s="29">
        <v>0.98289565623980701</v>
      </c>
    </row>
    <row r="9358" spans="1:11" x14ac:dyDescent="0.35">
      <c r="A9358" s="9" t="str">
        <f>HYPERLINK("http://www.ensembl.org/id/WBGene00008928", "WBGene00008928")</f>
        <v>WBGene00008928</v>
      </c>
      <c r="B9358" s="9" t="str">
        <f>HYPERLINK("http://www.ncbi.nlm.nih.gov/gene/184625", "184625")</f>
        <v>184625</v>
      </c>
      <c r="C9358" s="9"/>
      <c r="D9358" t="str">
        <f>"F17H10.4"</f>
        <v>F17H10.4</v>
      </c>
      <c r="F9358" t="s">
        <v>11</v>
      </c>
      <c r="G9358" t="s">
        <v>25</v>
      </c>
      <c r="H9358" s="12">
        <v>4.4368407117627902</v>
      </c>
      <c r="I9358" s="20">
        <v>0.43709475933309699</v>
      </c>
      <c r="J9358" s="28">
        <v>0.66204262779770495</v>
      </c>
      <c r="K9358" s="29">
        <v>0.98289565623980701</v>
      </c>
    </row>
    <row r="9359" spans="1:11" x14ac:dyDescent="0.35">
      <c r="A9359" s="9" t="str">
        <f>HYPERLINK("http://www.ensembl.org/id/WBGene00219901", "WBGene00219901")</f>
        <v>WBGene00219901</v>
      </c>
      <c r="B9359" s="9"/>
      <c r="C9359" s="9"/>
      <c r="D9359" t="str">
        <f>"F18A1.11"</f>
        <v>F18A1.11</v>
      </c>
      <c r="F9359" t="s">
        <v>2977</v>
      </c>
      <c r="H9359" s="12">
        <v>4.4454298908329104</v>
      </c>
      <c r="I9359" s="20">
        <v>0.49336101450555597</v>
      </c>
      <c r="J9359" s="28">
        <v>0.62175752365155801</v>
      </c>
      <c r="K9359" s="29">
        <v>0.98289565623980701</v>
      </c>
    </row>
    <row r="9360" spans="1:11" x14ac:dyDescent="0.35">
      <c r="A9360" s="9" t="str">
        <f>HYPERLINK("http://www.ensembl.org/id/WBGene00008929", "WBGene00008929")</f>
        <v>WBGene00008929</v>
      </c>
      <c r="B9360" s="9" t="str">
        <f>HYPERLINK("http://www.ncbi.nlm.nih.gov/gene/174945", "174945")</f>
        <v>174945</v>
      </c>
      <c r="C9360" s="9"/>
      <c r="D9360" t="str">
        <f>"F18A11.2"</f>
        <v>F18A11.2</v>
      </c>
      <c r="F9360" t="s">
        <v>11</v>
      </c>
      <c r="H9360" s="12">
        <v>1.4328417520863099</v>
      </c>
      <c r="I9360" s="20">
        <v>1.1505935000526299</v>
      </c>
      <c r="J9360" s="28">
        <v>0.24989950831740901</v>
      </c>
      <c r="K9360" s="29">
        <v>0.98289565623980701</v>
      </c>
    </row>
    <row r="9361" spans="1:11" x14ac:dyDescent="0.35">
      <c r="A9361" s="9" t="str">
        <f>HYPERLINK("http://www.ensembl.org/id/WBGene00197909", "WBGene00197909")</f>
        <v>WBGene00197909</v>
      </c>
      <c r="B9361" s="9"/>
      <c r="C9361" s="9"/>
      <c r="D9361" t="str">
        <f>"F18A11.9"</f>
        <v>F18A11.9</v>
      </c>
      <c r="F9361" t="s">
        <v>481</v>
      </c>
      <c r="H9361" s="12">
        <v>3.6645215954135</v>
      </c>
      <c r="I9361" s="20">
        <v>0.37967131826092498</v>
      </c>
      <c r="J9361" s="28">
        <v>0.70418941338960395</v>
      </c>
      <c r="K9361" s="29">
        <v>0.98289565623980701</v>
      </c>
    </row>
    <row r="9362" spans="1:11" x14ac:dyDescent="0.35">
      <c r="A9362" s="9" t="str">
        <f>HYPERLINK("http://www.ensembl.org/id/WBGene00017551", "WBGene00017551")</f>
        <v>WBGene00017551</v>
      </c>
      <c r="B9362" s="9" t="str">
        <f>HYPERLINK("http://www.ncbi.nlm.nih.gov/gene/184629", "184629")</f>
        <v>184629</v>
      </c>
      <c r="C9362" s="9"/>
      <c r="D9362" t="str">
        <f>"F18A12.2"</f>
        <v>F18A12.2</v>
      </c>
      <c r="F9362" t="s">
        <v>11</v>
      </c>
      <c r="G9362" t="s">
        <v>25</v>
      </c>
      <c r="H9362" s="12">
        <v>5.4552761280866902</v>
      </c>
      <c r="I9362" s="20">
        <v>0.76142467042008599</v>
      </c>
      <c r="J9362" s="28">
        <v>0.44640345667389703</v>
      </c>
      <c r="K9362" s="29">
        <v>0.98289565623980701</v>
      </c>
    </row>
    <row r="9363" spans="1:11" x14ac:dyDescent="0.35">
      <c r="A9363" s="9" t="str">
        <f>HYPERLINK("http://www.ensembl.org/id/WBGene00017556", "WBGene00017556")</f>
        <v>WBGene00017556</v>
      </c>
      <c r="B9363" s="9" t="str">
        <f>HYPERLINK("http://www.ncbi.nlm.nih.gov/gene/184632", "184632")</f>
        <v>184632</v>
      </c>
      <c r="C9363" s="9"/>
      <c r="D9363" t="str">
        <f>"F18A12.7"</f>
        <v>F18A12.7</v>
      </c>
      <c r="F9363" t="s">
        <v>11</v>
      </c>
      <c r="H9363" s="12">
        <v>-2.1288613950464801</v>
      </c>
      <c r="I9363" s="20">
        <v>-1.00018040640664</v>
      </c>
      <c r="J9363" s="28">
        <v>0.31722320960035999</v>
      </c>
      <c r="K9363" s="29">
        <v>0.98289565623980701</v>
      </c>
    </row>
    <row r="9364" spans="1:11" x14ac:dyDescent="0.35">
      <c r="A9364" s="9" t="str">
        <f>HYPERLINK("http://www.ensembl.org/id/WBGene00008935", "WBGene00008935")</f>
        <v>WBGene00008935</v>
      </c>
      <c r="B9364" s="9" t="str">
        <f>HYPERLINK("http://www.ncbi.nlm.nih.gov/gene/3565959", "3565959")</f>
        <v>3565959</v>
      </c>
      <c r="C9364" s="9"/>
      <c r="D9364" t="str">
        <f>"F18C12.4"</f>
        <v>F18C12.4</v>
      </c>
      <c r="F9364" t="s">
        <v>11</v>
      </c>
      <c r="G9364" t="s">
        <v>25</v>
      </c>
      <c r="H9364" s="12">
        <v>-6.5816209523590601</v>
      </c>
      <c r="I9364" s="20">
        <v>-0.73756827122545399</v>
      </c>
      <c r="J9364" s="28">
        <v>0.46077684215714998</v>
      </c>
      <c r="K9364" s="29">
        <v>0.98289565623980701</v>
      </c>
    </row>
    <row r="9365" spans="1:11" x14ac:dyDescent="0.35">
      <c r="A9365" s="9" t="str">
        <f>HYPERLINK("http://www.ensembl.org/id/WBGene00017563", "WBGene00017563")</f>
        <v>WBGene00017563</v>
      </c>
      <c r="B9365" s="9" t="str">
        <f>HYPERLINK("http://www.ncbi.nlm.nih.gov/gene/174082", "174082")</f>
        <v>174082</v>
      </c>
      <c r="C9365" s="9"/>
      <c r="D9365" t="str">
        <f>"F18C5.10"</f>
        <v>F18C5.10</v>
      </c>
      <c r="F9365" t="s">
        <v>11</v>
      </c>
      <c r="G9365" t="s">
        <v>25</v>
      </c>
      <c r="H9365" s="12">
        <v>-1.1198910431954201</v>
      </c>
      <c r="I9365" s="20">
        <v>-0.58130912909927002</v>
      </c>
      <c r="J9365" s="28">
        <v>0.56103212897397103</v>
      </c>
      <c r="K9365" s="29">
        <v>0.98289565623980701</v>
      </c>
    </row>
    <row r="9366" spans="1:11" x14ac:dyDescent="0.35">
      <c r="A9366" s="9" t="str">
        <f>HYPERLINK("http://www.ensembl.org/id/WBGene00197385", "WBGene00197385")</f>
        <v>WBGene00197385</v>
      </c>
      <c r="B9366" s="9"/>
      <c r="C9366" s="9"/>
      <c r="D9366" t="str">
        <f>"F18C5.13"</f>
        <v>F18C5.13</v>
      </c>
      <c r="F9366" t="s">
        <v>481</v>
      </c>
      <c r="H9366" s="12">
        <v>10.8131830636529</v>
      </c>
      <c r="I9366" s="20">
        <v>0.70982715185838596</v>
      </c>
      <c r="J9366" s="28">
        <v>0.477811329444844</v>
      </c>
      <c r="K9366" s="29">
        <v>0.98289565623980701</v>
      </c>
    </row>
    <row r="9367" spans="1:11" x14ac:dyDescent="0.35">
      <c r="A9367" s="9" t="str">
        <f>HYPERLINK("http://www.ensembl.org/id/WBGene00219902", "WBGene00219902")</f>
        <v>WBGene00219902</v>
      </c>
      <c r="B9367" s="9"/>
      <c r="C9367" s="9"/>
      <c r="D9367" t="str">
        <f>"F18C5.15"</f>
        <v>F18C5.15</v>
      </c>
      <c r="F9367" t="s">
        <v>2977</v>
      </c>
      <c r="H9367" s="12">
        <v>2.4578120077400301</v>
      </c>
      <c r="I9367" s="20">
        <v>0.26093350314551</v>
      </c>
      <c r="J9367" s="28">
        <v>0.79414378780213601</v>
      </c>
      <c r="K9367" s="29">
        <v>0.98289565623980701</v>
      </c>
    </row>
    <row r="9368" spans="1:11" x14ac:dyDescent="0.35">
      <c r="A9368" s="9" t="str">
        <f>HYPERLINK("http://www.ensembl.org/id/WBGene00017562", "WBGene00017562")</f>
        <v>WBGene00017562</v>
      </c>
      <c r="B9368" s="9" t="str">
        <f>HYPERLINK("http://www.ncbi.nlm.nih.gov/gene/174085", "174085")</f>
        <v>174085</v>
      </c>
      <c r="C9368" s="9"/>
      <c r="D9368" t="str">
        <f>"F18C5.9"</f>
        <v>F18C5.9</v>
      </c>
      <c r="F9368" t="s">
        <v>11</v>
      </c>
      <c r="H9368" s="12">
        <v>-1.2420300557169801</v>
      </c>
      <c r="I9368" s="20">
        <v>-0.26579827970543501</v>
      </c>
      <c r="J9368" s="28">
        <v>0.790394568171636</v>
      </c>
      <c r="K9368" s="29">
        <v>0.98289565623980701</v>
      </c>
    </row>
    <row r="9369" spans="1:11" x14ac:dyDescent="0.35">
      <c r="A9369" s="9" t="str">
        <f>HYPERLINK("http://www.ensembl.org/id/WBGene00022995", "WBGene00022995")</f>
        <v>WBGene00022995</v>
      </c>
      <c r="B9369" s="9"/>
      <c r="C9369" s="9"/>
      <c r="D9369" t="str">
        <f>"F18C5.t1"</f>
        <v>F18C5.t1</v>
      </c>
      <c r="F9369" t="s">
        <v>4208</v>
      </c>
      <c r="H9369" s="12">
        <v>-3.5819448292659501</v>
      </c>
      <c r="I9369" s="20">
        <v>-0.37337717500031398</v>
      </c>
      <c r="J9369" s="28">
        <v>0.70886774492290605</v>
      </c>
      <c r="K9369" s="29">
        <v>0.98289565623980701</v>
      </c>
    </row>
    <row r="9370" spans="1:11" x14ac:dyDescent="0.35">
      <c r="A9370" s="9" t="str">
        <f>HYPERLINK("http://www.ensembl.org/id/WBGene00198686", "WBGene00198686")</f>
        <v>WBGene00198686</v>
      </c>
      <c r="B9370" s="9"/>
      <c r="C9370" s="9"/>
      <c r="D9370" t="str">
        <f>"F18E2.12"</f>
        <v>F18E2.12</v>
      </c>
      <c r="F9370" t="s">
        <v>481</v>
      </c>
      <c r="H9370" s="12">
        <v>2.3893468495514898</v>
      </c>
      <c r="I9370" s="20">
        <v>0.25323547253672701</v>
      </c>
      <c r="J9370" s="28">
        <v>0.80008625651646104</v>
      </c>
      <c r="K9370" s="29">
        <v>0.98289565623980701</v>
      </c>
    </row>
    <row r="9371" spans="1:11" x14ac:dyDescent="0.35">
      <c r="A9371" s="9" t="str">
        <f>HYPERLINK("http://www.ensembl.org/id/WBGene00201860", "WBGene00201860")</f>
        <v>WBGene00201860</v>
      </c>
      <c r="B9371" s="9"/>
      <c r="C9371" s="9"/>
      <c r="D9371" t="str">
        <f>"F18E2.14"</f>
        <v>F18E2.14</v>
      </c>
      <c r="F9371" t="s">
        <v>481</v>
      </c>
      <c r="H9371" s="12">
        <v>-2.4991590031922399</v>
      </c>
      <c r="I9371" s="20">
        <v>-0.26577412737581302</v>
      </c>
      <c r="J9371" s="28">
        <v>0.79041317015736101</v>
      </c>
      <c r="K9371" s="29">
        <v>0.98289565623980701</v>
      </c>
    </row>
    <row r="9372" spans="1:11" x14ac:dyDescent="0.35">
      <c r="A9372" s="9" t="str">
        <f>HYPERLINK("http://www.ensembl.org/id/WBGene00219330", "WBGene00219330")</f>
        <v>WBGene00219330</v>
      </c>
      <c r="B9372" s="9" t="str">
        <f>HYPERLINK("http://www.ncbi.nlm.nih.gov/gene/13215914", "13215914")</f>
        <v>13215914</v>
      </c>
      <c r="C9372" s="9"/>
      <c r="D9372" t="str">
        <f>"F18E2.15"</f>
        <v>F18E2.15</v>
      </c>
      <c r="F9372" t="s">
        <v>11</v>
      </c>
      <c r="H9372" s="12">
        <v>-2.4705518730954901</v>
      </c>
      <c r="I9372" s="20">
        <v>-0.38954327493699897</v>
      </c>
      <c r="J9372" s="28">
        <v>0.69687430479622203</v>
      </c>
      <c r="K9372" s="29">
        <v>0.98289565623980701</v>
      </c>
    </row>
    <row r="9373" spans="1:11" x14ac:dyDescent="0.35">
      <c r="A9373" s="9" t="str">
        <f>HYPERLINK("http://www.ensembl.org/id/WBGene00195750", "WBGene00195750")</f>
        <v>WBGene00195750</v>
      </c>
      <c r="B9373" s="9"/>
      <c r="C9373" s="9"/>
      <c r="D9373" t="str">
        <f>"F18E2.7"</f>
        <v>F18E2.7</v>
      </c>
      <c r="F9373" t="s">
        <v>481</v>
      </c>
      <c r="H9373" s="12">
        <v>3.6645215954135</v>
      </c>
      <c r="I9373" s="20">
        <v>0.37967131826092498</v>
      </c>
      <c r="J9373" s="28">
        <v>0.70418941338960395</v>
      </c>
      <c r="K9373" s="29">
        <v>0.98289565623980701</v>
      </c>
    </row>
    <row r="9374" spans="1:11" x14ac:dyDescent="0.35">
      <c r="A9374" s="9" t="str">
        <f>HYPERLINK("http://www.ensembl.org/id/WBGene00017567", "WBGene00017567")</f>
        <v>WBGene00017567</v>
      </c>
      <c r="B9374" s="9" t="str">
        <f>HYPERLINK("http://www.ncbi.nlm.nih.gov/gene/259628", "259628")</f>
        <v>259628</v>
      </c>
      <c r="C9374" s="9"/>
      <c r="D9374" t="str">
        <f>"F18E3.11"</f>
        <v>F18E3.11</v>
      </c>
      <c r="F9374" t="s">
        <v>11</v>
      </c>
      <c r="H9374" s="12">
        <v>1.2242441867853899</v>
      </c>
      <c r="I9374" s="20">
        <v>0.52930414420204797</v>
      </c>
      <c r="J9374" s="28">
        <v>0.59659448121621295</v>
      </c>
      <c r="K9374" s="29">
        <v>0.98289565623980701</v>
      </c>
    </row>
    <row r="9375" spans="1:11" x14ac:dyDescent="0.35">
      <c r="A9375" s="9" t="str">
        <f>HYPERLINK("http://www.ensembl.org/id/WBGene00045275", "WBGene00045275")</f>
        <v>WBGene00045275</v>
      </c>
      <c r="B9375" s="9" t="str">
        <f>HYPERLINK("http://www.ncbi.nlm.nih.gov/gene/6418729", "6418729")</f>
        <v>6418729</v>
      </c>
      <c r="C9375" s="9"/>
      <c r="D9375" t="str">
        <f>"F18E3.12"</f>
        <v>F18E3.12</v>
      </c>
      <c r="F9375" t="s">
        <v>11</v>
      </c>
      <c r="H9375" s="12">
        <v>1.3630430784304099</v>
      </c>
      <c r="I9375" s="20">
        <v>0.71360774670351801</v>
      </c>
      <c r="J9375" s="28">
        <v>0.47546976598061602</v>
      </c>
      <c r="K9375" s="29">
        <v>0.98289565623980701</v>
      </c>
    </row>
    <row r="9376" spans="1:11" x14ac:dyDescent="0.35">
      <c r="A9376" s="9" t="str">
        <f>HYPERLINK("http://www.ensembl.org/id/WBGene00017569", "WBGene00017569")</f>
        <v>WBGene00017569</v>
      </c>
      <c r="B9376" s="9" t="str">
        <f>HYPERLINK("http://www.ncbi.nlm.nih.gov/gene/181112", "181112")</f>
        <v>181112</v>
      </c>
      <c r="C9376" s="9"/>
      <c r="D9376" t="str">
        <f>"F18E9.3"</f>
        <v>F18E9.3</v>
      </c>
      <c r="F9376" t="s">
        <v>11</v>
      </c>
      <c r="H9376" s="12">
        <v>1.2621286609220099</v>
      </c>
      <c r="I9376" s="20">
        <v>0.64161707340996998</v>
      </c>
      <c r="J9376" s="28">
        <v>0.52112184457715105</v>
      </c>
      <c r="K9376" s="29">
        <v>0.98289565623980701</v>
      </c>
    </row>
    <row r="9377" spans="1:11" x14ac:dyDescent="0.35">
      <c r="A9377" s="9" t="str">
        <f>HYPERLINK("http://www.ensembl.org/id/WBGene00044780", "WBGene00044780")</f>
        <v>WBGene00044780</v>
      </c>
      <c r="B9377" s="9" t="str">
        <f>HYPERLINK("http://www.ncbi.nlm.nih.gov/gene/4363130", "4363130")</f>
        <v>4363130</v>
      </c>
      <c r="C9377" s="9"/>
      <c r="D9377" t="str">
        <f>"F18E9.8"</f>
        <v>F18E9.8</v>
      </c>
      <c r="F9377" t="s">
        <v>11</v>
      </c>
      <c r="H9377" s="12">
        <v>2.3144626125605101</v>
      </c>
      <c r="I9377" s="20">
        <v>0.58491093091173996</v>
      </c>
      <c r="J9377" s="28">
        <v>0.55860760826085998</v>
      </c>
      <c r="K9377" s="29">
        <v>0.98289565623980701</v>
      </c>
    </row>
    <row r="9378" spans="1:11" x14ac:dyDescent="0.35">
      <c r="A9378" s="9" t="str">
        <f>HYPERLINK("http://www.ensembl.org/id/WBGene00017577", "WBGene00017577")</f>
        <v>WBGene00017577</v>
      </c>
      <c r="B9378" s="9" t="str">
        <f>HYPERLINK("http://www.ncbi.nlm.nih.gov/gene/184653", "184653")</f>
        <v>184653</v>
      </c>
      <c r="C9378" s="9"/>
      <c r="D9378" t="str">
        <f>"F18F11.4"</f>
        <v>F18F11.4</v>
      </c>
      <c r="F9378" t="s">
        <v>11</v>
      </c>
      <c r="G9378" t="s">
        <v>1212</v>
      </c>
      <c r="H9378" s="12">
        <v>1.40519980504703</v>
      </c>
      <c r="I9378" s="20">
        <v>0.276087040417063</v>
      </c>
      <c r="J9378" s="28">
        <v>0.78248121423391104</v>
      </c>
      <c r="K9378" s="29">
        <v>0.98289565623980701</v>
      </c>
    </row>
    <row r="9379" spans="1:11" x14ac:dyDescent="0.35">
      <c r="A9379" s="9" t="str">
        <f>HYPERLINK("http://www.ensembl.org/id/WBGene00017579", "WBGene00017579")</f>
        <v>WBGene00017579</v>
      </c>
      <c r="B9379" s="9" t="str">
        <f>HYPERLINK("http://www.ncbi.nlm.nih.gov/gene/184654", "184654")</f>
        <v>184654</v>
      </c>
      <c r="C9379" s="9"/>
      <c r="D9379" t="str">
        <f>"F18G5.1"</f>
        <v>F18G5.1</v>
      </c>
      <c r="F9379" t="s">
        <v>11</v>
      </c>
      <c r="H9379" s="12">
        <v>3.4917188327556898</v>
      </c>
      <c r="I9379" s="20">
        <v>0.38080453806645798</v>
      </c>
      <c r="J9379" s="28">
        <v>0.703348291649464</v>
      </c>
      <c r="K9379" s="29">
        <v>0.98289565623980701</v>
      </c>
    </row>
    <row r="9380" spans="1:11" x14ac:dyDescent="0.35">
      <c r="A9380" s="9" t="str">
        <f>HYPERLINK("http://www.ensembl.org/id/WBGene00017581", "WBGene00017581")</f>
        <v>WBGene00017581</v>
      </c>
      <c r="B9380" s="9" t="str">
        <f>HYPERLINK("http://www.ncbi.nlm.nih.gov/gene/184655", "184655")</f>
        <v>184655</v>
      </c>
      <c r="C9380" s="9"/>
      <c r="D9380" t="str">
        <f>"F18G5.5"</f>
        <v>F18G5.5</v>
      </c>
      <c r="F9380" t="s">
        <v>11</v>
      </c>
      <c r="H9380" s="12">
        <v>4.3593112263157199</v>
      </c>
      <c r="I9380" s="20">
        <v>0.72723062935163796</v>
      </c>
      <c r="J9380" s="28">
        <v>0.46708468585338098</v>
      </c>
      <c r="K9380" s="29">
        <v>0.98289565623980701</v>
      </c>
    </row>
    <row r="9381" spans="1:11" x14ac:dyDescent="0.35">
      <c r="A9381" s="9" t="str">
        <f>HYPERLINK("http://www.ensembl.org/id/WBGene00017582", "WBGene00017582")</f>
        <v>WBGene00017582</v>
      </c>
      <c r="B9381" s="9" t="str">
        <f>HYPERLINK("http://www.ncbi.nlm.nih.gov/gene/184656", "184656")</f>
        <v>184656</v>
      </c>
      <c r="C9381" s="9"/>
      <c r="D9381" t="str">
        <f>"F18G5.6"</f>
        <v>F18G5.6</v>
      </c>
      <c r="F9381" t="s">
        <v>11</v>
      </c>
      <c r="G9381" t="s">
        <v>264</v>
      </c>
      <c r="H9381" s="12">
        <v>-1.15070962605114</v>
      </c>
      <c r="I9381" s="20">
        <v>-0.75890949904990801</v>
      </c>
      <c r="J9381" s="28">
        <v>0.44790669622221702</v>
      </c>
      <c r="K9381" s="29">
        <v>0.98289565623980701</v>
      </c>
    </row>
    <row r="9382" spans="1:11" x14ac:dyDescent="0.35">
      <c r="A9382" s="9" t="str">
        <f>HYPERLINK("http://www.ensembl.org/id/WBGene00219903", "WBGene00219903")</f>
        <v>WBGene00219903</v>
      </c>
      <c r="B9382" s="9"/>
      <c r="C9382" s="9"/>
      <c r="D9382" t="str">
        <f>"F18H3.7"</f>
        <v>F18H3.7</v>
      </c>
      <c r="F9382" t="s">
        <v>481</v>
      </c>
      <c r="H9382" s="12">
        <v>-2.4991590031922399</v>
      </c>
      <c r="I9382" s="20">
        <v>-0.26577412737581302</v>
      </c>
      <c r="J9382" s="28">
        <v>0.79041317015736101</v>
      </c>
      <c r="K9382" s="29">
        <v>0.98289565623980701</v>
      </c>
    </row>
    <row r="9383" spans="1:11" x14ac:dyDescent="0.35">
      <c r="A9383" s="9" t="str">
        <f>HYPERLINK("http://www.ensembl.org/id/WBGene00194713", "WBGene00194713")</f>
        <v>WBGene00194713</v>
      </c>
      <c r="B9383" s="9" t="str">
        <f>HYPERLINK("http://www.ncbi.nlm.nih.gov/gene/13184428", "13184428")</f>
        <v>13184428</v>
      </c>
      <c r="C9383" s="9"/>
      <c r="D9383" t="str">
        <f>"F19B10.13"</f>
        <v>F19B10.13</v>
      </c>
      <c r="F9383" t="s">
        <v>11</v>
      </c>
      <c r="H9383" s="12">
        <v>1.3094184356234699</v>
      </c>
      <c r="I9383" s="20">
        <v>0.52848388401171498</v>
      </c>
      <c r="J9383" s="28">
        <v>0.59716352978196297</v>
      </c>
      <c r="K9383" s="29">
        <v>0.98289565623980701</v>
      </c>
    </row>
    <row r="9384" spans="1:11" x14ac:dyDescent="0.35">
      <c r="A9384" s="9" t="str">
        <f>HYPERLINK("http://www.ensembl.org/id/WBGene00271651", "WBGene00271651")</f>
        <v>WBGene00271651</v>
      </c>
      <c r="B9384" s="9"/>
      <c r="C9384" s="9"/>
      <c r="D9384" t="str">
        <f>"F19B10.14"</f>
        <v>F19B10.14</v>
      </c>
      <c r="F9384" t="s">
        <v>481</v>
      </c>
      <c r="H9384" s="12">
        <v>-1.2862788615963601</v>
      </c>
      <c r="I9384" s="20">
        <v>-0.29126735277669402</v>
      </c>
      <c r="J9384" s="28">
        <v>0.77084685420602805</v>
      </c>
      <c r="K9384" s="29">
        <v>0.98289565623980701</v>
      </c>
    </row>
    <row r="9385" spans="1:11" x14ac:dyDescent="0.35">
      <c r="A9385" s="9" t="str">
        <f>HYPERLINK("http://www.ensembl.org/id/WBGene00017584", "WBGene00017584")</f>
        <v>WBGene00017584</v>
      </c>
      <c r="B9385" s="9" t="str">
        <f>HYPERLINK("http://www.ncbi.nlm.nih.gov/gene/173711", "173711")</f>
        <v>173711</v>
      </c>
      <c r="C9385" s="9"/>
      <c r="D9385" t="str">
        <f>"F19B10.2"</f>
        <v>F19B10.2</v>
      </c>
      <c r="F9385" t="s">
        <v>11</v>
      </c>
      <c r="H9385" s="12">
        <v>-1.3953032402491701</v>
      </c>
      <c r="I9385" s="20">
        <v>-1.1463942777988501</v>
      </c>
      <c r="J9385" s="28">
        <v>0.25163204929792699</v>
      </c>
      <c r="K9385" s="29">
        <v>0.98289565623980701</v>
      </c>
    </row>
    <row r="9386" spans="1:11" x14ac:dyDescent="0.35">
      <c r="A9386" s="9" t="str">
        <f>HYPERLINK("http://www.ensembl.org/id/WBGene00017586", "WBGene00017586")</f>
        <v>WBGene00017586</v>
      </c>
      <c r="B9386" s="9" t="str">
        <f>HYPERLINK("http://www.ncbi.nlm.nih.gov/gene/184669", "184669")</f>
        <v>184669</v>
      </c>
      <c r="C9386" s="9"/>
      <c r="D9386" t="str">
        <f>"F19B10.4"</f>
        <v>F19B10.4</v>
      </c>
      <c r="F9386" t="s">
        <v>11</v>
      </c>
      <c r="H9386" s="12">
        <v>1.3634131216129901</v>
      </c>
      <c r="I9386" s="20">
        <v>0.71438051726787699</v>
      </c>
      <c r="J9386" s="28">
        <v>0.47499191591287399</v>
      </c>
      <c r="K9386" s="29">
        <v>0.98289565623980701</v>
      </c>
    </row>
    <row r="9387" spans="1:11" x14ac:dyDescent="0.35">
      <c r="A9387" s="9" t="str">
        <f>HYPERLINK("http://www.ensembl.org/id/WBGene00017588", "WBGene00017588")</f>
        <v>WBGene00017588</v>
      </c>
      <c r="B9387" s="9" t="str">
        <f>HYPERLINK("http://www.ncbi.nlm.nih.gov/gene/184671", "184671")</f>
        <v>184671</v>
      </c>
      <c r="C9387" s="9"/>
      <c r="D9387" t="str">
        <f>"F19B10.6"</f>
        <v>F19B10.6</v>
      </c>
      <c r="F9387" t="s">
        <v>11</v>
      </c>
      <c r="H9387" s="12">
        <v>-2.4991590031922399</v>
      </c>
      <c r="I9387" s="20">
        <v>-0.26577412737581302</v>
      </c>
      <c r="J9387" s="28">
        <v>0.79041317015736101</v>
      </c>
      <c r="K9387" s="29">
        <v>0.98289565623980701</v>
      </c>
    </row>
    <row r="9388" spans="1:11" x14ac:dyDescent="0.35">
      <c r="A9388" s="9" t="str">
        <f>HYPERLINK("http://www.ensembl.org/id/WBGene00194812", "WBGene00194812")</f>
        <v>WBGene00194812</v>
      </c>
      <c r="B9388" s="9"/>
      <c r="C9388" s="9"/>
      <c r="D9388" t="str">
        <f>"F19B2.12"</f>
        <v>F19B2.12</v>
      </c>
      <c r="F9388" t="s">
        <v>80</v>
      </c>
      <c r="H9388" s="12">
        <v>-1.4293908809593401</v>
      </c>
      <c r="I9388" s="20">
        <v>-0.61741359702263898</v>
      </c>
      <c r="J9388" s="28">
        <v>0.53696195580292305</v>
      </c>
      <c r="K9388" s="29">
        <v>0.98289565623980701</v>
      </c>
    </row>
    <row r="9389" spans="1:11" x14ac:dyDescent="0.35">
      <c r="A9389" s="9" t="str">
        <f>HYPERLINK("http://www.ensembl.org/id/WBGene00008945", "WBGene00008945")</f>
        <v>WBGene00008945</v>
      </c>
      <c r="B9389" s="9" t="str">
        <f>HYPERLINK("http://www.ncbi.nlm.nih.gov/gene/184664", "184664")</f>
        <v>184664</v>
      </c>
      <c r="C9389" s="9"/>
      <c r="D9389" t="str">
        <f>"F19B2.6"</f>
        <v>F19B2.6</v>
      </c>
      <c r="F9389" t="s">
        <v>11</v>
      </c>
      <c r="H9389" s="12">
        <v>-1.1943055742551001</v>
      </c>
      <c r="I9389" s="20">
        <v>-0.61163247726938696</v>
      </c>
      <c r="J9389" s="28">
        <v>0.54078094542940602</v>
      </c>
      <c r="K9389" s="29">
        <v>0.98289565623980701</v>
      </c>
    </row>
    <row r="9390" spans="1:11" x14ac:dyDescent="0.35">
      <c r="A9390" s="9" t="str">
        <f>HYPERLINK("http://www.ensembl.org/id/WBGene00008946", "WBGene00008946")</f>
        <v>WBGene00008946</v>
      </c>
      <c r="B9390" s="9" t="str">
        <f>HYPERLINK("http://www.ncbi.nlm.nih.gov/gene/184665", "184665")</f>
        <v>184665</v>
      </c>
      <c r="C9390" s="9"/>
      <c r="D9390" t="str">
        <f>"F19B2.7"</f>
        <v>F19B2.7</v>
      </c>
      <c r="F9390" t="s">
        <v>11</v>
      </c>
      <c r="G9390" t="s">
        <v>4289</v>
      </c>
      <c r="H9390" s="12">
        <v>3.4917188327556898</v>
      </c>
      <c r="I9390" s="20">
        <v>0.38080453806645798</v>
      </c>
      <c r="J9390" s="28">
        <v>0.703348291649464</v>
      </c>
      <c r="K9390" s="29">
        <v>0.98289565623980701</v>
      </c>
    </row>
    <row r="9391" spans="1:11" x14ac:dyDescent="0.35">
      <c r="A9391" s="9" t="str">
        <f>HYPERLINK("http://www.ensembl.org/id/WBGene00008948", "WBGene00008948")</f>
        <v>WBGene00008948</v>
      </c>
      <c r="B9391" s="9" t="str">
        <f>HYPERLINK("http://www.ncbi.nlm.nih.gov/gene/178181", "178181")</f>
        <v>178181</v>
      </c>
      <c r="C9391" s="9"/>
      <c r="D9391" t="str">
        <f>"F19B6.1"</f>
        <v>F19B6.1</v>
      </c>
      <c r="E9391" t="s">
        <v>8582</v>
      </c>
      <c r="F9391" t="s">
        <v>11</v>
      </c>
      <c r="G9391" t="s">
        <v>8583</v>
      </c>
      <c r="H9391" s="12">
        <v>-1.1847359437195</v>
      </c>
      <c r="I9391" s="20">
        <v>-0.91234257126207097</v>
      </c>
      <c r="J9391" s="28">
        <v>0.36158841071012698</v>
      </c>
      <c r="K9391" s="29">
        <v>0.98289565623980701</v>
      </c>
    </row>
    <row r="9392" spans="1:11" x14ac:dyDescent="0.35">
      <c r="A9392" s="9" t="str">
        <f>HYPERLINK("http://www.ensembl.org/id/WBGene00235298", "WBGene00235298")</f>
        <v>WBGene00235298</v>
      </c>
      <c r="B9392" s="9" t="str">
        <f>HYPERLINK("http://www.ncbi.nlm.nih.gov/gene/24104449", "24104449")</f>
        <v>24104449</v>
      </c>
      <c r="C9392" s="9"/>
      <c r="D9392" t="str">
        <f>"F19B6.10"</f>
        <v>F19B6.10</v>
      </c>
      <c r="F9392" t="s">
        <v>11</v>
      </c>
      <c r="H9392" s="12">
        <v>-1.3272901802225601</v>
      </c>
      <c r="I9392" s="20">
        <v>-0.334290886359141</v>
      </c>
      <c r="J9392" s="28">
        <v>0.73816006690041802</v>
      </c>
      <c r="K9392" s="29">
        <v>0.98289565623980701</v>
      </c>
    </row>
    <row r="9393" spans="1:11" x14ac:dyDescent="0.35">
      <c r="A9393" s="9" t="str">
        <f>HYPERLINK("http://www.ensembl.org/id/WBGene00008949", "WBGene00008949")</f>
        <v>WBGene00008949</v>
      </c>
      <c r="B9393" s="9" t="str">
        <f>HYPERLINK("http://www.ncbi.nlm.nih.gov/gene/184667", "184667")</f>
        <v>184667</v>
      </c>
      <c r="C9393" s="9"/>
      <c r="D9393" t="str">
        <f>"F19B6.3"</f>
        <v>F19B6.3</v>
      </c>
      <c r="F9393" t="s">
        <v>11</v>
      </c>
      <c r="H9393" s="12">
        <v>-4.6119264567625402</v>
      </c>
      <c r="I9393" s="20">
        <v>-0.60828972222806199</v>
      </c>
      <c r="J9393" s="28">
        <v>0.54299533640928099</v>
      </c>
      <c r="K9393" s="29">
        <v>0.98289565623980701</v>
      </c>
    </row>
    <row r="9394" spans="1:11" x14ac:dyDescent="0.35">
      <c r="A9394" s="9" t="str">
        <f>HYPERLINK("http://www.ensembl.org/id/WBGene00200846", "WBGene00200846")</f>
        <v>WBGene00200846</v>
      </c>
      <c r="B9394" s="9"/>
      <c r="C9394" s="9"/>
      <c r="D9394" t="str">
        <f>"F19C6.11"</f>
        <v>F19C6.11</v>
      </c>
      <c r="F9394" t="s">
        <v>481</v>
      </c>
      <c r="H9394" s="12">
        <v>1.49501967693238</v>
      </c>
      <c r="I9394" s="20">
        <v>0.34431497531037702</v>
      </c>
      <c r="J9394" s="28">
        <v>0.73060942337678103</v>
      </c>
      <c r="K9394" s="29">
        <v>0.98289565623980701</v>
      </c>
    </row>
    <row r="9395" spans="1:11" x14ac:dyDescent="0.35">
      <c r="A9395" s="9" t="str">
        <f>HYPERLINK("http://www.ensembl.org/id/WBGene00219904", "WBGene00219904")</f>
        <v>WBGene00219904</v>
      </c>
      <c r="B9395" s="9"/>
      <c r="C9395" s="9"/>
      <c r="D9395" t="str">
        <f>"F19C6.12"</f>
        <v>F19C6.12</v>
      </c>
      <c r="F9395" t="s">
        <v>481</v>
      </c>
      <c r="H9395" s="12">
        <v>-1.07874156142115</v>
      </c>
      <c r="I9395" s="20">
        <v>-0.26134740235847298</v>
      </c>
      <c r="J9395" s="28">
        <v>0.79382461458051001</v>
      </c>
      <c r="K9395" s="29">
        <v>0.98289565623980701</v>
      </c>
    </row>
    <row r="9396" spans="1:11" x14ac:dyDescent="0.35">
      <c r="A9396" s="9" t="str">
        <f>HYPERLINK("http://www.ensembl.org/id/WBGene00008951", "WBGene00008951")</f>
        <v>WBGene00008951</v>
      </c>
      <c r="B9396" s="9" t="str">
        <f>HYPERLINK("http://www.ncbi.nlm.nih.gov/gene/181213", "181213")</f>
        <v>181213</v>
      </c>
      <c r="C9396" s="9"/>
      <c r="D9396" t="str">
        <f>"F19C6.2"</f>
        <v>F19C6.2</v>
      </c>
      <c r="F9396" t="s">
        <v>11</v>
      </c>
      <c r="G9396" t="s">
        <v>228</v>
      </c>
      <c r="H9396" s="12">
        <v>-1.1148003641869699</v>
      </c>
      <c r="I9396" s="20">
        <v>-0.57492433581560598</v>
      </c>
      <c r="J9396" s="28">
        <v>0.56534247054572395</v>
      </c>
      <c r="K9396" s="29">
        <v>0.98289565623980701</v>
      </c>
    </row>
    <row r="9397" spans="1:11" x14ac:dyDescent="0.35">
      <c r="A9397" s="9" t="str">
        <f>HYPERLINK("http://www.ensembl.org/id/WBGene00008954", "WBGene00008954")</f>
        <v>WBGene00008954</v>
      </c>
      <c r="B9397" s="9" t="str">
        <f>HYPERLINK("http://www.ncbi.nlm.nih.gov/gene/184677", "184677")</f>
        <v>184677</v>
      </c>
      <c r="C9397" s="9"/>
      <c r="D9397" t="str">
        <f>"F19C6.5"</f>
        <v>F19C6.5</v>
      </c>
      <c r="F9397" t="s">
        <v>11</v>
      </c>
      <c r="G9397" t="s">
        <v>25</v>
      </c>
      <c r="H9397" s="12">
        <v>1.26478772201399</v>
      </c>
      <c r="I9397" s="20">
        <v>0.60163039058513901</v>
      </c>
      <c r="J9397" s="28">
        <v>0.54742019475861603</v>
      </c>
      <c r="K9397" s="29">
        <v>0.98289565623980701</v>
      </c>
    </row>
    <row r="9398" spans="1:11" x14ac:dyDescent="0.35">
      <c r="A9398" s="9" t="str">
        <f>HYPERLINK("http://www.ensembl.org/id/WBGene00017591", "WBGene00017591")</f>
        <v>WBGene00017591</v>
      </c>
      <c r="B9398" s="9" t="str">
        <f>HYPERLINK("http://www.ncbi.nlm.nih.gov/gene/177224", "177224")</f>
        <v>177224</v>
      </c>
      <c r="C9398" s="9"/>
      <c r="D9398" t="str">
        <f>"F19C7.1"</f>
        <v>F19C7.1</v>
      </c>
      <c r="F9398" t="s">
        <v>11</v>
      </c>
      <c r="G9398" t="s">
        <v>264</v>
      </c>
      <c r="H9398" s="12">
        <v>-1.09851618306729</v>
      </c>
      <c r="I9398" s="20">
        <v>-0.512557379783945</v>
      </c>
      <c r="J9398" s="28">
        <v>0.60826097289843895</v>
      </c>
      <c r="K9398" s="29">
        <v>0.98289565623980701</v>
      </c>
    </row>
    <row r="9399" spans="1:11" x14ac:dyDescent="0.35">
      <c r="A9399" s="9" t="str">
        <f>HYPERLINK("http://www.ensembl.org/id/WBGene00017592", "WBGene00017592")</f>
        <v>WBGene00017592</v>
      </c>
      <c r="B9399" s="9" t="str">
        <f>HYPERLINK("http://www.ncbi.nlm.nih.gov/gene/184678", "184678")</f>
        <v>184678</v>
      </c>
      <c r="C9399" s="9"/>
      <c r="D9399" t="str">
        <f>"F19C7.2"</f>
        <v>F19C7.2</v>
      </c>
      <c r="F9399" t="s">
        <v>11</v>
      </c>
      <c r="G9399" t="s">
        <v>9824</v>
      </c>
      <c r="H9399" s="12">
        <v>-1.4238726457740001</v>
      </c>
      <c r="I9399" s="20">
        <v>-0.94216968346810004</v>
      </c>
      <c r="J9399" s="28">
        <v>0.34610577262748499</v>
      </c>
      <c r="K9399" s="29">
        <v>0.98289565623980701</v>
      </c>
    </row>
    <row r="9400" spans="1:11" x14ac:dyDescent="0.35">
      <c r="A9400" s="9" t="str">
        <f>HYPERLINK("http://www.ensembl.org/id/WBGene00017593", "WBGene00017593")</f>
        <v>WBGene00017593</v>
      </c>
      <c r="B9400" s="9" t="str">
        <f>HYPERLINK("http://www.ncbi.nlm.nih.gov/gene/184679", "184679")</f>
        <v>184679</v>
      </c>
      <c r="C9400" s="9"/>
      <c r="D9400" t="str">
        <f>"F19C7.3"</f>
        <v>F19C7.3</v>
      </c>
      <c r="F9400" t="s">
        <v>11</v>
      </c>
      <c r="G9400" t="s">
        <v>54</v>
      </c>
      <c r="H9400" s="12">
        <v>-1.1908348375117701</v>
      </c>
      <c r="I9400" s="20">
        <v>-0.287425748716789</v>
      </c>
      <c r="J9400" s="28">
        <v>0.77378634796006596</v>
      </c>
      <c r="K9400" s="29">
        <v>0.98289565623980701</v>
      </c>
    </row>
    <row r="9401" spans="1:11" x14ac:dyDescent="0.35">
      <c r="A9401" s="9" t="str">
        <f>HYPERLINK("http://www.ensembl.org/id/WBGene00017594", "WBGene00017594")</f>
        <v>WBGene00017594</v>
      </c>
      <c r="B9401" s="9" t="str">
        <f>HYPERLINK("http://www.ncbi.nlm.nih.gov/gene/184680", "184680")</f>
        <v>184680</v>
      </c>
      <c r="C9401" s="9"/>
      <c r="D9401" t="str">
        <f>"F19C7.4"</f>
        <v>F19C7.4</v>
      </c>
      <c r="F9401" t="s">
        <v>11</v>
      </c>
      <c r="G9401" t="s">
        <v>9824</v>
      </c>
      <c r="H9401" s="12">
        <v>-1.31246516616725</v>
      </c>
      <c r="I9401" s="20">
        <v>-0.46432992411996099</v>
      </c>
      <c r="J9401" s="28">
        <v>0.64241138782720097</v>
      </c>
      <c r="K9401" s="29">
        <v>0.98289565623980701</v>
      </c>
    </row>
    <row r="9402" spans="1:11" x14ac:dyDescent="0.35">
      <c r="A9402" s="9" t="str">
        <f>HYPERLINK("http://www.ensembl.org/id/WBGene00008955", "WBGene00008955")</f>
        <v>WBGene00008955</v>
      </c>
      <c r="B9402" s="9" t="str">
        <f>HYPERLINK("http://www.ncbi.nlm.nih.gov/gene/184683", "184683")</f>
        <v>184683</v>
      </c>
      <c r="C9402" s="9"/>
      <c r="D9402" t="str">
        <f>"F19D8.2"</f>
        <v>F19D8.2</v>
      </c>
      <c r="F9402" t="s">
        <v>11</v>
      </c>
      <c r="H9402" s="12">
        <v>-1.3333318551609501</v>
      </c>
      <c r="I9402" s="20">
        <v>-0.54752295388809202</v>
      </c>
      <c r="J9402" s="28">
        <v>0.58401950516977597</v>
      </c>
      <c r="K9402" s="29">
        <v>0.98289565623980701</v>
      </c>
    </row>
    <row r="9403" spans="1:11" x14ac:dyDescent="0.35">
      <c r="A9403" s="9" t="str">
        <f>HYPERLINK("http://www.ensembl.org/id/WBGene00202258", "WBGene00202258")</f>
        <v>WBGene00202258</v>
      </c>
      <c r="B9403" s="9"/>
      <c r="C9403" s="9"/>
      <c r="D9403" t="str">
        <f>"F19D8.8"</f>
        <v>F19D8.8</v>
      </c>
      <c r="F9403" t="s">
        <v>481</v>
      </c>
      <c r="H9403" s="12">
        <v>-3.7261494131482999</v>
      </c>
      <c r="I9403" s="20">
        <v>-0.38454673129429601</v>
      </c>
      <c r="J9403" s="28">
        <v>0.70057326682554</v>
      </c>
      <c r="K9403" s="29">
        <v>0.98289565623980701</v>
      </c>
    </row>
    <row r="9404" spans="1:11" x14ac:dyDescent="0.35">
      <c r="A9404" s="9" t="str">
        <f>HYPERLINK("http://www.ensembl.org/id/WBGene00017598", "WBGene00017598")</f>
        <v>WBGene00017598</v>
      </c>
      <c r="B9404" s="9" t="str">
        <f>HYPERLINK("http://www.ncbi.nlm.nih.gov/gene/184684", "184684")</f>
        <v>184684</v>
      </c>
      <c r="C9404" s="9"/>
      <c r="D9404" t="str">
        <f>"F19F10.1"</f>
        <v>F19F10.1</v>
      </c>
      <c r="F9404" t="s">
        <v>11</v>
      </c>
      <c r="G9404" t="s">
        <v>2723</v>
      </c>
      <c r="H9404" s="12">
        <v>-1.8355970359767499</v>
      </c>
      <c r="I9404" s="20">
        <v>-0.74687858649175198</v>
      </c>
      <c r="J9404" s="28">
        <v>0.45513685284762401</v>
      </c>
      <c r="K9404" s="29">
        <v>0.98289565623980701</v>
      </c>
    </row>
    <row r="9405" spans="1:11" x14ac:dyDescent="0.35">
      <c r="A9405" s="9" t="str">
        <f>HYPERLINK("http://www.ensembl.org/id/WBGene00017607", "WBGene00017607")</f>
        <v>WBGene00017607</v>
      </c>
      <c r="B9405" s="9" t="str">
        <f>HYPERLINK("http://www.ncbi.nlm.nih.gov/gene/179143", "179143")</f>
        <v>179143</v>
      </c>
      <c r="C9405" s="9"/>
      <c r="D9405" t="str">
        <f>"F19F10.11"</f>
        <v>F19F10.11</v>
      </c>
      <c r="F9405" t="s">
        <v>11</v>
      </c>
      <c r="G9405" t="s">
        <v>1755</v>
      </c>
      <c r="H9405" s="12">
        <v>-1.23670417556402</v>
      </c>
      <c r="I9405" s="20">
        <v>-1.01914953277336</v>
      </c>
      <c r="J9405" s="28">
        <v>0.30813198160114003</v>
      </c>
      <c r="K9405" s="29">
        <v>0.98289565623980701</v>
      </c>
    </row>
    <row r="9406" spans="1:11" x14ac:dyDescent="0.35">
      <c r="A9406" s="9" t="str">
        <f>HYPERLINK("http://www.ensembl.org/id/WBGene00017608", "WBGene00017608")</f>
        <v>WBGene00017608</v>
      </c>
      <c r="B9406" s="9" t="str">
        <f>HYPERLINK("http://www.ncbi.nlm.nih.gov/gene/179142", "179142")</f>
        <v>179142</v>
      </c>
      <c r="C9406" s="9" t="str">
        <f>HYPERLINK("http://www.ncbi.nlm.nih.gov/gene/55756", "55756")</f>
        <v>55756</v>
      </c>
      <c r="D9406" t="str">
        <f>"F19F10.12"</f>
        <v>F19F10.12</v>
      </c>
      <c r="F9406" t="s">
        <v>11</v>
      </c>
      <c r="G9406" t="s">
        <v>8847</v>
      </c>
      <c r="H9406" s="12">
        <v>-1.2013191781866399</v>
      </c>
      <c r="I9406" s="20">
        <v>-0.86370620836769396</v>
      </c>
      <c r="J9406" s="28">
        <v>0.387749302268031</v>
      </c>
      <c r="K9406" s="29">
        <v>0.98289565623980701</v>
      </c>
    </row>
    <row r="9407" spans="1:11" x14ac:dyDescent="0.35">
      <c r="A9407" s="9" t="str">
        <f>HYPERLINK("http://www.ensembl.org/id/WBGene00219905", "WBGene00219905")</f>
        <v>WBGene00219905</v>
      </c>
      <c r="B9407" s="9"/>
      <c r="C9407" s="9"/>
      <c r="D9407" t="str">
        <f>"F19F10.13"</f>
        <v>F19F10.13</v>
      </c>
      <c r="F9407" t="s">
        <v>481</v>
      </c>
      <c r="H9407" s="12">
        <v>-1.55160049777276</v>
      </c>
      <c r="I9407" s="20">
        <v>-0.55291626205828603</v>
      </c>
      <c r="J9407" s="28">
        <v>0.58032075137336203</v>
      </c>
      <c r="K9407" s="29">
        <v>0.98289565623980701</v>
      </c>
    </row>
    <row r="9408" spans="1:11" x14ac:dyDescent="0.35">
      <c r="A9408" s="9" t="str">
        <f>HYPERLINK("http://www.ensembl.org/id/WBGene00271807", "WBGene00271807")</f>
        <v>WBGene00271807</v>
      </c>
      <c r="B9408" s="9" t="str">
        <f>HYPERLINK("http://www.ncbi.nlm.nih.gov/gene/34700627", "34700627")</f>
        <v>34700627</v>
      </c>
      <c r="C9408" s="9"/>
      <c r="D9408" t="str">
        <f>"F19F10.14"</f>
        <v>F19F10.14</v>
      </c>
      <c r="F9408" t="s">
        <v>11</v>
      </c>
      <c r="H9408" s="12">
        <v>-2.4295389261469</v>
      </c>
      <c r="I9408" s="20">
        <v>-0.25808529976640998</v>
      </c>
      <c r="J9408" s="28">
        <v>0.79634107645457397</v>
      </c>
      <c r="K9408" s="29">
        <v>0.98289565623980701</v>
      </c>
    </row>
    <row r="9409" spans="1:11" x14ac:dyDescent="0.35">
      <c r="A9409" s="9" t="str">
        <f>HYPERLINK("http://www.ensembl.org/id/WBGene00017605", "WBGene00017605")</f>
        <v>WBGene00017605</v>
      </c>
      <c r="B9409" s="9" t="str">
        <f>HYPERLINK("http://www.ncbi.nlm.nih.gov/gene/179140", "179140")</f>
        <v>179140</v>
      </c>
      <c r="C9409" s="9"/>
      <c r="D9409" t="str">
        <f>"F19F10.9"</f>
        <v>F19F10.9</v>
      </c>
      <c r="F9409" t="s">
        <v>11</v>
      </c>
      <c r="G9409" t="s">
        <v>6147</v>
      </c>
      <c r="H9409" s="12">
        <v>1.0508154876990199</v>
      </c>
      <c r="I9409" s="20">
        <v>0.26160090213051701</v>
      </c>
      <c r="J9409" s="28">
        <v>0.79362914843366505</v>
      </c>
      <c r="K9409" s="29">
        <v>0.98289565623980701</v>
      </c>
    </row>
    <row r="9410" spans="1:11" x14ac:dyDescent="0.35">
      <c r="A9410" s="9" t="str">
        <f>HYPERLINK("http://www.ensembl.org/id/WBGene00017609", "WBGene00017609")</f>
        <v>WBGene00017609</v>
      </c>
      <c r="B9410" s="9" t="str">
        <f>HYPERLINK("http://www.ncbi.nlm.nih.gov/gene/184691", "184691")</f>
        <v>184691</v>
      </c>
      <c r="C9410" s="9"/>
      <c r="D9410" t="str">
        <f>"F19G12.1"</f>
        <v>F19G12.1</v>
      </c>
      <c r="F9410" t="s">
        <v>11</v>
      </c>
      <c r="G9410" t="s">
        <v>51</v>
      </c>
      <c r="H9410" s="12">
        <v>-2.4991590031922399</v>
      </c>
      <c r="I9410" s="20">
        <v>-0.26577412737581302</v>
      </c>
      <c r="J9410" s="28">
        <v>0.79041317015736101</v>
      </c>
      <c r="K9410" s="29">
        <v>0.98289565623980701</v>
      </c>
    </row>
    <row r="9411" spans="1:11" x14ac:dyDescent="0.35">
      <c r="A9411" s="9" t="str">
        <f>HYPERLINK("http://www.ensembl.org/id/WBGene00195186", "WBGene00195186")</f>
        <v>WBGene00195186</v>
      </c>
      <c r="B9411" s="9"/>
      <c r="C9411" s="9"/>
      <c r="D9411" t="str">
        <f>"F19G12.10"</f>
        <v>F19G12.10</v>
      </c>
      <c r="F9411" t="s">
        <v>1510</v>
      </c>
      <c r="H9411" s="12">
        <v>-1.3406939518885499</v>
      </c>
      <c r="I9411" s="20">
        <v>-1.1494978274655001</v>
      </c>
      <c r="J9411" s="28">
        <v>0.250350762075428</v>
      </c>
      <c r="K9411" s="29">
        <v>0.98289565623980701</v>
      </c>
    </row>
    <row r="9412" spans="1:11" x14ac:dyDescent="0.35">
      <c r="A9412" s="9" t="str">
        <f>HYPERLINK("http://www.ensembl.org/id/WBGene00199810", "WBGene00199810")</f>
        <v>WBGene00199810</v>
      </c>
      <c r="B9412" s="9"/>
      <c r="C9412" s="9"/>
      <c r="D9412" t="str">
        <f>"F19G12.12"</f>
        <v>F19G12.12</v>
      </c>
      <c r="F9412" t="s">
        <v>481</v>
      </c>
      <c r="H9412" s="12">
        <v>2.3893468495514898</v>
      </c>
      <c r="I9412" s="20">
        <v>0.25323547253672701</v>
      </c>
      <c r="J9412" s="28">
        <v>0.80008625651646104</v>
      </c>
      <c r="K9412" s="29">
        <v>0.98289565623980701</v>
      </c>
    </row>
    <row r="9413" spans="1:11" x14ac:dyDescent="0.35">
      <c r="A9413" s="9" t="str">
        <f>HYPERLINK("http://www.ensembl.org/id/WBGene00017611", "WBGene00017611")</f>
        <v>WBGene00017611</v>
      </c>
      <c r="B9413" s="9" t="str">
        <f>HYPERLINK("http://www.ncbi.nlm.nih.gov/gene/184693", "184693")</f>
        <v>184693</v>
      </c>
      <c r="C9413" s="9"/>
      <c r="D9413" t="str">
        <f>"F19G12.3"</f>
        <v>F19G12.3</v>
      </c>
      <c r="F9413" t="s">
        <v>11</v>
      </c>
      <c r="G9413" t="s">
        <v>54</v>
      </c>
      <c r="H9413" s="12">
        <v>5.0071523697463203</v>
      </c>
      <c r="I9413" s="20">
        <v>1.04991134414672</v>
      </c>
      <c r="J9413" s="28">
        <v>0.29375887544365198</v>
      </c>
      <c r="K9413" s="29">
        <v>0.98289565623980701</v>
      </c>
    </row>
    <row r="9414" spans="1:11" x14ac:dyDescent="0.35">
      <c r="A9414" s="9" t="str">
        <f>HYPERLINK("http://www.ensembl.org/id/WBGene00195184", "WBGene00195184")</f>
        <v>WBGene00195184</v>
      </c>
      <c r="B9414" s="9" t="str">
        <f>HYPERLINK("http://www.ncbi.nlm.nih.gov/gene/13219279", "13219279")</f>
        <v>13219279</v>
      </c>
      <c r="C9414" s="9"/>
      <c r="D9414" t="str">
        <f>"F19G12.8"</f>
        <v>F19G12.8</v>
      </c>
      <c r="F9414" t="s">
        <v>11</v>
      </c>
      <c r="H9414" s="12">
        <v>-1.67426927397502</v>
      </c>
      <c r="I9414" s="20">
        <v>-0.74690455251240195</v>
      </c>
      <c r="J9414" s="28">
        <v>0.45512117774044197</v>
      </c>
      <c r="K9414" s="29">
        <v>0.98289565623980701</v>
      </c>
    </row>
    <row r="9415" spans="1:11" x14ac:dyDescent="0.35">
      <c r="A9415" s="9" t="str">
        <f>HYPERLINK("http://www.ensembl.org/id/WBGene00195185", "WBGene00195185")</f>
        <v>WBGene00195185</v>
      </c>
      <c r="B9415" s="9" t="str">
        <f>HYPERLINK("http://www.ncbi.nlm.nih.gov/gene/13219280", "13219280")</f>
        <v>13219280</v>
      </c>
      <c r="C9415" s="9"/>
      <c r="D9415" t="str">
        <f>"F19G12.9"</f>
        <v>F19G12.9</v>
      </c>
      <c r="F9415" t="s">
        <v>11</v>
      </c>
      <c r="H9415" s="12">
        <v>-1.3755003895592499</v>
      </c>
      <c r="I9415" s="20">
        <v>-1.0716264001045199</v>
      </c>
      <c r="J9415" s="28">
        <v>0.28388787065638199</v>
      </c>
      <c r="K9415" s="29">
        <v>0.98289565623980701</v>
      </c>
    </row>
    <row r="9416" spans="1:11" x14ac:dyDescent="0.35">
      <c r="A9416" s="9" t="str">
        <f>HYPERLINK("http://www.ensembl.org/id/WBGene00008958", "WBGene00008958")</f>
        <v>WBGene00008958</v>
      </c>
      <c r="B9416" s="9" t="str">
        <f>HYPERLINK("http://www.ncbi.nlm.nih.gov/gene/184698", "184698")</f>
        <v>184698</v>
      </c>
      <c r="C9416" s="9"/>
      <c r="D9416" t="str">
        <f>"F19H6.3"</f>
        <v>F19H6.3</v>
      </c>
      <c r="F9416" t="s">
        <v>11</v>
      </c>
      <c r="G9416" t="s">
        <v>9780</v>
      </c>
      <c r="H9416" s="12">
        <v>-2.8272233353420702</v>
      </c>
      <c r="I9416" s="20">
        <v>-1.0896367897483601</v>
      </c>
      <c r="J9416" s="28">
        <v>0.27587317040839199</v>
      </c>
      <c r="K9416" s="29">
        <v>0.98289565623980701</v>
      </c>
    </row>
    <row r="9417" spans="1:11" x14ac:dyDescent="0.35">
      <c r="A9417" s="9" t="str">
        <f>HYPERLINK("http://www.ensembl.org/id/WBGene00008960", "WBGene00008960")</f>
        <v>WBGene00008960</v>
      </c>
      <c r="B9417" s="9" t="str">
        <f>HYPERLINK("http://www.ncbi.nlm.nih.gov/gene/181397", "181397")</f>
        <v>181397</v>
      </c>
      <c r="C9417" s="9"/>
      <c r="D9417" t="str">
        <f>"F19H6.5"</f>
        <v>F19H6.5</v>
      </c>
      <c r="F9417" t="s">
        <v>11</v>
      </c>
      <c r="H9417" s="12">
        <v>-5.4967879193631202</v>
      </c>
      <c r="I9417" s="20">
        <v>-0.50254160819837501</v>
      </c>
      <c r="J9417" s="28">
        <v>0.61528659178453604</v>
      </c>
      <c r="K9417" s="29">
        <v>0.98289565623980701</v>
      </c>
    </row>
    <row r="9418" spans="1:11" x14ac:dyDescent="0.35">
      <c r="A9418" s="9" t="str">
        <f>HYPERLINK("http://www.ensembl.org/id/WBGene00008961", "WBGene00008961")</f>
        <v>WBGene00008961</v>
      </c>
      <c r="B9418" s="9" t="str">
        <f>HYPERLINK("http://www.ncbi.nlm.nih.gov/gene/184700", "184700")</f>
        <v>184700</v>
      </c>
      <c r="C9418" s="9"/>
      <c r="D9418" t="str">
        <f>"F19H6.6"</f>
        <v>F19H6.6</v>
      </c>
      <c r="F9418" t="s">
        <v>11</v>
      </c>
      <c r="H9418" s="12">
        <v>1.4690065363226501</v>
      </c>
      <c r="I9418" s="20">
        <v>0.43067658274992099</v>
      </c>
      <c r="J9418" s="28">
        <v>0.66670354811854604</v>
      </c>
      <c r="K9418" s="29">
        <v>0.98289565623980701</v>
      </c>
    </row>
    <row r="9419" spans="1:11" x14ac:dyDescent="0.35">
      <c r="A9419" s="9" t="str">
        <f>HYPERLINK("http://www.ensembl.org/id/WBGene00008963", "WBGene00008963")</f>
        <v>WBGene00008963</v>
      </c>
      <c r="B9419" s="9" t="str">
        <f>HYPERLINK("http://www.ncbi.nlm.nih.gov/gene/184702", "184702")</f>
        <v>184702</v>
      </c>
      <c r="C9419" s="9"/>
      <c r="D9419" t="str">
        <f>"F19H8.2"</f>
        <v>F19H8.2</v>
      </c>
      <c r="F9419" t="s">
        <v>11</v>
      </c>
      <c r="H9419" s="12">
        <v>-1.2540579378896901</v>
      </c>
      <c r="I9419" s="20">
        <v>-1.1048830502139699</v>
      </c>
      <c r="J9419" s="28">
        <v>0.269210267814604</v>
      </c>
      <c r="K9419" s="29">
        <v>0.98289565623980701</v>
      </c>
    </row>
    <row r="9420" spans="1:11" x14ac:dyDescent="0.35">
      <c r="A9420" s="9" t="str">
        <f>HYPERLINK("http://www.ensembl.org/id/WBGene00219907", "WBGene00219907")</f>
        <v>WBGene00219907</v>
      </c>
      <c r="B9420" s="9"/>
      <c r="C9420" s="9"/>
      <c r="D9420" t="str">
        <f>"F19H8.7"</f>
        <v>F19H8.7</v>
      </c>
      <c r="F9420" t="s">
        <v>2977</v>
      </c>
      <c r="H9420" s="12">
        <v>5.8900450117562801</v>
      </c>
      <c r="I9420" s="20">
        <v>1.0351608110561401</v>
      </c>
      <c r="J9420" s="28">
        <v>0.30059381701889898</v>
      </c>
      <c r="K9420" s="29">
        <v>0.98289565623980701</v>
      </c>
    </row>
    <row r="9421" spans="1:11" x14ac:dyDescent="0.35">
      <c r="A9421" s="9" t="str">
        <f>HYPERLINK("http://www.ensembl.org/id/WBGene00017619", "WBGene00017619")</f>
        <v>WBGene00017619</v>
      </c>
      <c r="B9421" s="9" t="str">
        <f>HYPERLINK("http://www.ncbi.nlm.nih.gov/gene/184706", "184706")</f>
        <v>184706</v>
      </c>
      <c r="C9421" s="9"/>
      <c r="D9421" t="str">
        <f>"F20A1.8"</f>
        <v>F20A1.8</v>
      </c>
      <c r="F9421" t="s">
        <v>11</v>
      </c>
      <c r="H9421" s="12">
        <v>2.3893468495514898</v>
      </c>
      <c r="I9421" s="20">
        <v>0.25323547253672701</v>
      </c>
      <c r="J9421" s="28">
        <v>0.80008625651646104</v>
      </c>
      <c r="K9421" s="29">
        <v>0.98289565623980701</v>
      </c>
    </row>
    <row r="9422" spans="1:11" x14ac:dyDescent="0.35">
      <c r="A9422" s="9" t="str">
        <f>HYPERLINK("http://www.ensembl.org/id/WBGene00008966", "WBGene00008966")</f>
        <v>WBGene00008966</v>
      </c>
      <c r="B9422" s="9"/>
      <c r="C9422" s="9"/>
      <c r="D9422" t="str">
        <f>"F20B10.2"</f>
        <v>F20B10.2</v>
      </c>
      <c r="F9422" t="s">
        <v>80</v>
      </c>
      <c r="H9422" s="12">
        <v>-1.65496185008981</v>
      </c>
      <c r="I9422" s="20">
        <v>-0.49286766464123599</v>
      </c>
      <c r="J9422" s="28">
        <v>0.62210609618886203</v>
      </c>
      <c r="K9422" s="29">
        <v>0.98289565623980701</v>
      </c>
    </row>
    <row r="9423" spans="1:11" x14ac:dyDescent="0.35">
      <c r="A9423" s="9" t="str">
        <f>HYPERLINK("http://www.ensembl.org/id/WBGene00008967", "WBGene00008967")</f>
        <v>WBGene00008967</v>
      </c>
      <c r="B9423" s="9" t="str">
        <f>HYPERLINK("http://www.ncbi.nlm.nih.gov/gene/184715", "184715")</f>
        <v>184715</v>
      </c>
      <c r="C9423" s="9"/>
      <c r="D9423" t="str">
        <f>"F20B10.3"</f>
        <v>F20B10.3</v>
      </c>
      <c r="F9423" t="s">
        <v>11</v>
      </c>
      <c r="G9423" t="s">
        <v>54</v>
      </c>
      <c r="H9423" s="12">
        <v>1.86776075567806</v>
      </c>
      <c r="I9423" s="20">
        <v>0.90059221168069303</v>
      </c>
      <c r="J9423" s="28">
        <v>0.36780517709891503</v>
      </c>
      <c r="K9423" s="29">
        <v>0.98289565623980701</v>
      </c>
    </row>
    <row r="9424" spans="1:11" x14ac:dyDescent="0.35">
      <c r="A9424" s="9" t="str">
        <f>HYPERLINK("http://www.ensembl.org/id/WBGene00017628", "WBGene00017628")</f>
        <v>WBGene00017628</v>
      </c>
      <c r="B9424" s="9" t="str">
        <f>HYPERLINK("http://www.ncbi.nlm.nih.gov/gene/184713", "184713")</f>
        <v>184713</v>
      </c>
      <c r="C9424" s="9"/>
      <c r="D9424" t="str">
        <f>"F20B6.4"</f>
        <v>F20B6.4</v>
      </c>
      <c r="F9424" t="s">
        <v>11</v>
      </c>
      <c r="G9424" t="s">
        <v>25</v>
      </c>
      <c r="H9424" s="12">
        <v>1.7739658993492899</v>
      </c>
      <c r="I9424" s="20">
        <v>1.0742678633451199</v>
      </c>
      <c r="J9424" s="28">
        <v>0.28270264410490598</v>
      </c>
      <c r="K9424" s="29">
        <v>0.98289565623980701</v>
      </c>
    </row>
    <row r="9425" spans="1:11" x14ac:dyDescent="0.35">
      <c r="A9425" s="9" t="str">
        <f>HYPERLINK("http://www.ensembl.org/id/WBGene00017629", "WBGene00017629")</f>
        <v>WBGene00017629</v>
      </c>
      <c r="B9425" s="9" t="str">
        <f>HYPERLINK("http://www.ncbi.nlm.nih.gov/gene/180693", "180693")</f>
        <v>180693</v>
      </c>
      <c r="C9425" s="9"/>
      <c r="D9425" t="str">
        <f>"F20B6.5"</f>
        <v>F20B6.5</v>
      </c>
      <c r="F9425" t="s">
        <v>11</v>
      </c>
      <c r="H9425" s="12">
        <v>3.9536106107363702</v>
      </c>
      <c r="I9425" s="20">
        <v>0.54979560316716403</v>
      </c>
      <c r="J9425" s="28">
        <v>0.58245957473176702</v>
      </c>
      <c r="K9425" s="29">
        <v>0.98289565623980701</v>
      </c>
    </row>
    <row r="9426" spans="1:11" x14ac:dyDescent="0.35">
      <c r="A9426" s="9" t="str">
        <f>HYPERLINK("http://www.ensembl.org/id/WBGene00017630", "WBGene00017630")</f>
        <v>WBGene00017630</v>
      </c>
      <c r="B9426" s="9" t="str">
        <f>HYPERLINK("http://www.ncbi.nlm.nih.gov/gene/184714", "184714")</f>
        <v>184714</v>
      </c>
      <c r="C9426" s="9"/>
      <c r="D9426" t="str">
        <f>"F20B6.6"</f>
        <v>F20B6.6</v>
      </c>
      <c r="F9426" t="s">
        <v>11</v>
      </c>
      <c r="G9426" t="s">
        <v>93</v>
      </c>
      <c r="H9426" s="12">
        <v>-2.4991590031922399</v>
      </c>
      <c r="I9426" s="20">
        <v>-0.26577412737581302</v>
      </c>
      <c r="J9426" s="28">
        <v>0.79041317015736101</v>
      </c>
      <c r="K9426" s="29">
        <v>0.98289565623980701</v>
      </c>
    </row>
    <row r="9427" spans="1:11" x14ac:dyDescent="0.35">
      <c r="A9427" s="9" t="str">
        <f>HYPERLINK("http://www.ensembl.org/id/WBGene00017631", "WBGene00017631")</f>
        <v>WBGene00017631</v>
      </c>
      <c r="B9427" s="9" t="str">
        <f>HYPERLINK("http://www.ncbi.nlm.nih.gov/gene/259700", "259700")</f>
        <v>259700</v>
      </c>
      <c r="C9427" s="9"/>
      <c r="D9427" t="str">
        <f>"F20B6.7"</f>
        <v>F20B6.7</v>
      </c>
      <c r="F9427" t="s">
        <v>11</v>
      </c>
      <c r="H9427" s="12">
        <v>-1.2818143888765301</v>
      </c>
      <c r="I9427" s="20">
        <v>-0.26814180074020599</v>
      </c>
      <c r="J9427" s="28">
        <v>0.78859017120082198</v>
      </c>
      <c r="K9427" s="29">
        <v>0.98289565623980701</v>
      </c>
    </row>
    <row r="9428" spans="1:11" x14ac:dyDescent="0.35">
      <c r="A9428" s="9" t="str">
        <f>HYPERLINK("http://www.ensembl.org/id/WBGene00017632", "WBGene00017632")</f>
        <v>WBGene00017632</v>
      </c>
      <c r="B9428" s="9" t="str">
        <f>HYPERLINK("http://www.ncbi.nlm.nih.gov/gene/180694", "180694")</f>
        <v>180694</v>
      </c>
      <c r="C9428" s="9"/>
      <c r="D9428" t="str">
        <f>"F20B6.9"</f>
        <v>F20B6.9</v>
      </c>
      <c r="F9428" t="s">
        <v>11</v>
      </c>
      <c r="H9428" s="12">
        <v>-1.7696008547220501</v>
      </c>
      <c r="I9428" s="20">
        <v>-0.54441228725488</v>
      </c>
      <c r="J9428" s="28">
        <v>0.586157792290672</v>
      </c>
      <c r="K9428" s="29">
        <v>0.98289565623980701</v>
      </c>
    </row>
    <row r="9429" spans="1:11" x14ac:dyDescent="0.35">
      <c r="A9429" s="9" t="str">
        <f>HYPERLINK("http://www.ensembl.org/id/WBGene00008970", "WBGene00008970")</f>
        <v>WBGene00008970</v>
      </c>
      <c r="B9429" s="9" t="str">
        <f>HYPERLINK("http://www.ncbi.nlm.nih.gov/gene/177686", "177686")</f>
        <v>177686</v>
      </c>
      <c r="C9429" s="9"/>
      <c r="D9429" t="str">
        <f>"F20C5.5"</f>
        <v>F20C5.5</v>
      </c>
      <c r="F9429" t="s">
        <v>11</v>
      </c>
      <c r="H9429" s="12">
        <v>1.0878288165311301</v>
      </c>
      <c r="I9429" s="20">
        <v>0.27319507368102502</v>
      </c>
      <c r="J9429" s="28">
        <v>0.78470326663152201</v>
      </c>
      <c r="K9429" s="29">
        <v>0.98289565623980701</v>
      </c>
    </row>
    <row r="9430" spans="1:11" x14ac:dyDescent="0.35">
      <c r="A9430" s="9" t="str">
        <f>HYPERLINK("http://www.ensembl.org/id/WBGene00008971", "WBGene00008971")</f>
        <v>WBGene00008971</v>
      </c>
      <c r="B9430" s="9" t="str">
        <f>HYPERLINK("http://www.ncbi.nlm.nih.gov/gene/177687", "177687")</f>
        <v>177687</v>
      </c>
      <c r="C9430" s="9"/>
      <c r="D9430" t="str">
        <f>"F20C5.6"</f>
        <v>F20C5.6</v>
      </c>
      <c r="F9430" t="s">
        <v>11</v>
      </c>
      <c r="G9430" t="s">
        <v>54</v>
      </c>
      <c r="H9430" s="12">
        <v>1.17819111468685</v>
      </c>
      <c r="I9430" s="20">
        <v>0.819701672120562</v>
      </c>
      <c r="J9430" s="28">
        <v>0.41238619655742298</v>
      </c>
      <c r="K9430" s="29">
        <v>0.98289565623980701</v>
      </c>
    </row>
    <row r="9431" spans="1:11" x14ac:dyDescent="0.35">
      <c r="A9431" s="9" t="str">
        <f>HYPERLINK("http://www.ensembl.org/id/WBGene00008973", "WBGene00008973")</f>
        <v>WBGene00008973</v>
      </c>
      <c r="B9431" s="9" t="str">
        <f>HYPERLINK("http://www.ncbi.nlm.nih.gov/gene/181591", "181591")</f>
        <v>181591</v>
      </c>
      <c r="C9431" s="9"/>
      <c r="D9431" t="str">
        <f>"F20D1.1"</f>
        <v>F20D1.1</v>
      </c>
      <c r="F9431" t="s">
        <v>11</v>
      </c>
      <c r="G9431" t="s">
        <v>5997</v>
      </c>
      <c r="H9431" s="12">
        <v>1.07432678469078</v>
      </c>
      <c r="I9431" s="20">
        <v>0.376707615717294</v>
      </c>
      <c r="J9431" s="28">
        <v>0.70639090259574999</v>
      </c>
      <c r="K9431" s="29">
        <v>0.98289565623980701</v>
      </c>
    </row>
    <row r="9432" spans="1:11" x14ac:dyDescent="0.35">
      <c r="A9432" s="9" t="str">
        <f>HYPERLINK("http://www.ensembl.org/id/WBGene00196961", "WBGene00196961")</f>
        <v>WBGene00196961</v>
      </c>
      <c r="B9432" s="9"/>
      <c r="C9432" s="9"/>
      <c r="D9432" t="str">
        <f>"F20D1.13"</f>
        <v>F20D1.13</v>
      </c>
      <c r="F9432" t="s">
        <v>481</v>
      </c>
      <c r="H9432" s="12">
        <v>-2.5127021875492099</v>
      </c>
      <c r="I9432" s="20">
        <v>-0.52545931495248199</v>
      </c>
      <c r="J9432" s="28">
        <v>0.59926392906258197</v>
      </c>
      <c r="K9432" s="29">
        <v>0.98289565623980701</v>
      </c>
    </row>
    <row r="9433" spans="1:11" x14ac:dyDescent="0.35">
      <c r="A9433" s="9" t="str">
        <f>HYPERLINK("http://www.ensembl.org/id/WBGene00197707", "WBGene00197707")</f>
        <v>WBGene00197707</v>
      </c>
      <c r="B9433" s="9"/>
      <c r="C9433" s="9"/>
      <c r="D9433" t="str">
        <f>"F20D1.15"</f>
        <v>F20D1.15</v>
      </c>
      <c r="F9433" t="s">
        <v>481</v>
      </c>
      <c r="H9433" s="12">
        <v>-2.8776549544873098</v>
      </c>
      <c r="I9433" s="20">
        <v>-0.46400113904575802</v>
      </c>
      <c r="J9433" s="28">
        <v>0.64264692955617497</v>
      </c>
      <c r="K9433" s="29">
        <v>0.98289565623980701</v>
      </c>
    </row>
    <row r="9434" spans="1:11" x14ac:dyDescent="0.35">
      <c r="A9434" s="9" t="str">
        <f>HYPERLINK("http://www.ensembl.org/id/WBGene00008975", "WBGene00008975")</f>
        <v>WBGene00008975</v>
      </c>
      <c r="B9434" s="9" t="str">
        <f>HYPERLINK("http://www.ncbi.nlm.nih.gov/gene/181593", "181593")</f>
        <v>181593</v>
      </c>
      <c r="C9434" s="9"/>
      <c r="D9434" t="str">
        <f>"F20D1.3"</f>
        <v>F20D1.3</v>
      </c>
      <c r="F9434" t="s">
        <v>11</v>
      </c>
      <c r="G9434" t="s">
        <v>54</v>
      </c>
      <c r="H9434" s="12">
        <v>-1.09853660253901</v>
      </c>
      <c r="I9434" s="20">
        <v>-0.51394136574013605</v>
      </c>
      <c r="J9434" s="28">
        <v>0.60729298545250598</v>
      </c>
      <c r="K9434" s="29">
        <v>0.98289565623980701</v>
      </c>
    </row>
    <row r="9435" spans="1:11" x14ac:dyDescent="0.35">
      <c r="A9435" s="9" t="str">
        <f>HYPERLINK("http://www.ensembl.org/id/WBGene00017642", "WBGene00017642")</f>
        <v>WBGene00017642</v>
      </c>
      <c r="B9435" s="9" t="str">
        <f>HYPERLINK("http://www.ncbi.nlm.nih.gov/gene/177589", "177589")</f>
        <v>177589</v>
      </c>
      <c r="C9435" s="9"/>
      <c r="D9435" t="str">
        <f>"F20D12.2"</f>
        <v>F20D12.2</v>
      </c>
      <c r="F9435" t="s">
        <v>11</v>
      </c>
      <c r="G9435" t="s">
        <v>3213</v>
      </c>
      <c r="H9435" s="12">
        <v>-1.12542034563584</v>
      </c>
      <c r="I9435" s="20">
        <v>-0.61511635714693302</v>
      </c>
      <c r="J9435" s="28">
        <v>0.53847788047629896</v>
      </c>
      <c r="K9435" s="29">
        <v>0.98289565623980701</v>
      </c>
    </row>
    <row r="9436" spans="1:11" x14ac:dyDescent="0.35">
      <c r="A9436" s="9" t="str">
        <f>HYPERLINK("http://www.ensembl.org/id/WBGene00017640", "WBGene00017640")</f>
        <v>WBGene00017640</v>
      </c>
      <c r="B9436" s="9" t="str">
        <f>HYPERLINK("http://www.ncbi.nlm.nih.gov/gene/179196", "179196")</f>
        <v>179196</v>
      </c>
      <c r="C9436" s="9"/>
      <c r="D9436" t="str">
        <f>"F20D6.11"</f>
        <v>F20D6.11</v>
      </c>
      <c r="F9436" t="s">
        <v>11</v>
      </c>
      <c r="G9436" t="s">
        <v>9393</v>
      </c>
      <c r="H9436" s="12">
        <v>-1.24320298971731</v>
      </c>
      <c r="I9436" s="20">
        <v>-1.16230031448803</v>
      </c>
      <c r="J9436" s="28">
        <v>0.24511349892576401</v>
      </c>
      <c r="K9436" s="29">
        <v>0.98289565623980701</v>
      </c>
    </row>
    <row r="9437" spans="1:11" x14ac:dyDescent="0.35">
      <c r="A9437" s="9" t="str">
        <f>HYPERLINK("http://www.ensembl.org/id/WBGene00043069", "WBGene00043069")</f>
        <v>WBGene00043069</v>
      </c>
      <c r="B9437" s="9" t="str">
        <f>HYPERLINK("http://www.ncbi.nlm.nih.gov/gene/3564987", "3564987")</f>
        <v>3564987</v>
      </c>
      <c r="C9437" s="9"/>
      <c r="D9437" t="str">
        <f>"F20D6.12"</f>
        <v>F20D6.12</v>
      </c>
      <c r="F9437" t="s">
        <v>11</v>
      </c>
      <c r="G9437" t="s">
        <v>25</v>
      </c>
      <c r="H9437" s="12">
        <v>-6.3507302933957197</v>
      </c>
      <c r="I9437" s="20">
        <v>-0.54348709410156204</v>
      </c>
      <c r="J9437" s="28">
        <v>0.58679447442024202</v>
      </c>
      <c r="K9437" s="29">
        <v>0.98289565623980701</v>
      </c>
    </row>
    <row r="9438" spans="1:11" x14ac:dyDescent="0.35">
      <c r="A9438" s="9" t="str">
        <f>HYPERLINK("http://www.ensembl.org/id/WBGene00017634", "WBGene00017634")</f>
        <v>WBGene00017634</v>
      </c>
      <c r="B9438" s="9" t="str">
        <f>HYPERLINK("http://www.ncbi.nlm.nih.gov/gene/184723", "184723")</f>
        <v>184723</v>
      </c>
      <c r="C9438" s="9"/>
      <c r="D9438" t="str">
        <f>"F20D6.2"</f>
        <v>F20D6.2</v>
      </c>
      <c r="F9438" t="s">
        <v>11</v>
      </c>
      <c r="H9438" s="12">
        <v>-1.3478304218864601</v>
      </c>
      <c r="I9438" s="20">
        <v>-0.41978151588879697</v>
      </c>
      <c r="J9438" s="28">
        <v>0.674645069199309</v>
      </c>
      <c r="K9438" s="29">
        <v>0.98289565623980701</v>
      </c>
    </row>
    <row r="9439" spans="1:11" x14ac:dyDescent="0.35">
      <c r="A9439" s="9" t="str">
        <f>HYPERLINK("http://www.ensembl.org/id/WBGene00017636", "WBGene00017636")</f>
        <v>WBGene00017636</v>
      </c>
      <c r="B9439" s="9" t="str">
        <f>HYPERLINK("http://www.ncbi.nlm.nih.gov/gene/184725", "184725")</f>
        <v>184725</v>
      </c>
      <c r="C9439" s="9"/>
      <c r="D9439" t="str">
        <f>"F20D6.6"</f>
        <v>F20D6.6</v>
      </c>
      <c r="F9439" t="s">
        <v>11</v>
      </c>
      <c r="G9439" t="s">
        <v>4723</v>
      </c>
      <c r="H9439" s="12">
        <v>1.44856367811222</v>
      </c>
      <c r="I9439" s="20">
        <v>0.35441481930146801</v>
      </c>
      <c r="J9439" s="28">
        <v>0.72302803021335005</v>
      </c>
      <c r="K9439" s="29">
        <v>0.98289565623980701</v>
      </c>
    </row>
    <row r="9440" spans="1:11" x14ac:dyDescent="0.35">
      <c r="A9440" s="9" t="str">
        <f>HYPERLINK("http://www.ensembl.org/id/WBGene00008986", "WBGene00008986")</f>
        <v>WBGene00008986</v>
      </c>
      <c r="B9440" s="9" t="str">
        <f>HYPERLINK("http://www.ncbi.nlm.nih.gov/gene/184743", "184743")</f>
        <v>184743</v>
      </c>
      <c r="C9440" s="9"/>
      <c r="D9440" t="str">
        <f>"F20G2.2"</f>
        <v>F20G2.2</v>
      </c>
      <c r="F9440" t="s">
        <v>11</v>
      </c>
      <c r="G9440" t="s">
        <v>489</v>
      </c>
      <c r="H9440" s="12">
        <v>1.18965187776613</v>
      </c>
      <c r="I9440" s="20">
        <v>0.84389513383663595</v>
      </c>
      <c r="J9440" s="28">
        <v>0.39872800766139099</v>
      </c>
      <c r="K9440" s="29">
        <v>0.98289565623980701</v>
      </c>
    </row>
    <row r="9441" spans="1:11" x14ac:dyDescent="0.35">
      <c r="A9441" s="9" t="str">
        <f>HYPERLINK("http://www.ensembl.org/id/WBGene00044920", "WBGene00044920")</f>
        <v>WBGene00044920</v>
      </c>
      <c r="B9441" s="9"/>
      <c r="C9441" s="9"/>
      <c r="D9441" t="str">
        <f>"F20G2.7"</f>
        <v>F20G2.7</v>
      </c>
      <c r="F9441" t="s">
        <v>80</v>
      </c>
      <c r="H9441" s="12">
        <v>1.1823155858034999</v>
      </c>
      <c r="I9441" s="20">
        <v>0.58339797804798299</v>
      </c>
      <c r="J9441" s="28">
        <v>0.55962541865893101</v>
      </c>
      <c r="K9441" s="29">
        <v>0.98289565623980701</v>
      </c>
    </row>
    <row r="9442" spans="1:11" x14ac:dyDescent="0.35">
      <c r="A9442" s="9" t="str">
        <f>HYPERLINK("http://www.ensembl.org/id/WBGene00195065", "WBGene00195065")</f>
        <v>WBGene00195065</v>
      </c>
      <c r="B9442" s="9"/>
      <c r="C9442" s="9"/>
      <c r="D9442" t="str">
        <f>"F20G2.9"</f>
        <v>F20G2.9</v>
      </c>
      <c r="F9442" t="s">
        <v>2735</v>
      </c>
      <c r="H9442" s="12">
        <v>2.2251097742427999</v>
      </c>
      <c r="I9442" s="20">
        <v>0.320308511099687</v>
      </c>
      <c r="J9442" s="28">
        <v>0.74873447185206399</v>
      </c>
      <c r="K9442" s="29">
        <v>0.98289565623980701</v>
      </c>
    </row>
    <row r="9443" spans="1:11" x14ac:dyDescent="0.35">
      <c r="A9443" s="9" t="str">
        <f>HYPERLINK("http://www.ensembl.org/id/WBGene00017647", "WBGene00017647")</f>
        <v>WBGene00017647</v>
      </c>
      <c r="B9443" s="9" t="str">
        <f>HYPERLINK("http://www.ncbi.nlm.nih.gov/gene/175937", "175937")</f>
        <v>175937</v>
      </c>
      <c r="C9443" s="9"/>
      <c r="D9443" t="str">
        <f>"F20H11.4"</f>
        <v>F20H11.4</v>
      </c>
      <c r="E9443" t="s">
        <v>4323</v>
      </c>
      <c r="F9443" t="s">
        <v>11</v>
      </c>
      <c r="G9443" t="s">
        <v>4544</v>
      </c>
      <c r="H9443" s="12">
        <v>1.31998491755971</v>
      </c>
      <c r="I9443" s="20">
        <v>0.66684525868689903</v>
      </c>
      <c r="J9443" s="28">
        <v>0.50487098015740495</v>
      </c>
      <c r="K9443" s="29">
        <v>0.98289565623980701</v>
      </c>
    </row>
    <row r="9444" spans="1:11" x14ac:dyDescent="0.35">
      <c r="A9444" s="9" t="str">
        <f>HYPERLINK("http://www.ensembl.org/id/WBGene00008992", "WBGene00008992")</f>
        <v>WBGene00008992</v>
      </c>
      <c r="B9444" s="9" t="str">
        <f>HYPERLINK("http://www.ncbi.nlm.nih.gov/gene/180045", "180045")</f>
        <v>180045</v>
      </c>
      <c r="C9444" s="9"/>
      <c r="D9444" t="str">
        <f>"F21A3.2"</f>
        <v>F21A3.2</v>
      </c>
      <c r="F9444" t="s">
        <v>11</v>
      </c>
      <c r="G9444" t="s">
        <v>25</v>
      </c>
      <c r="H9444" s="12">
        <v>-1.51163240342969</v>
      </c>
      <c r="I9444" s="20">
        <v>-0.51362092990603503</v>
      </c>
      <c r="J9444" s="28">
        <v>0.60751704350047098</v>
      </c>
      <c r="K9444" s="29">
        <v>0.98289565623980701</v>
      </c>
    </row>
    <row r="9445" spans="1:11" x14ac:dyDescent="0.35">
      <c r="A9445" s="9" t="str">
        <f>HYPERLINK("http://www.ensembl.org/id/WBGene00008994", "WBGene00008994")</f>
        <v>WBGene00008994</v>
      </c>
      <c r="B9445" s="9" t="str">
        <f>HYPERLINK("http://www.ncbi.nlm.nih.gov/gene/184749", "184749")</f>
        <v>184749</v>
      </c>
      <c r="C9445" s="9"/>
      <c r="D9445" t="str">
        <f>"F21A3.4"</f>
        <v>F21A3.4</v>
      </c>
      <c r="F9445" t="s">
        <v>11</v>
      </c>
      <c r="H9445" s="12">
        <v>1.8460560926232501</v>
      </c>
      <c r="I9445" s="20">
        <v>0.56646352207281303</v>
      </c>
      <c r="J9445" s="28">
        <v>0.57107872355823397</v>
      </c>
      <c r="K9445" s="29">
        <v>0.98289565623980701</v>
      </c>
    </row>
    <row r="9446" spans="1:11" x14ac:dyDescent="0.35">
      <c r="A9446" s="9" t="str">
        <f>HYPERLINK("http://www.ensembl.org/id/WBGene00017651", "WBGene00017651")</f>
        <v>WBGene00017651</v>
      </c>
      <c r="B9446" s="9" t="str">
        <f>HYPERLINK("http://www.ncbi.nlm.nih.gov/gene/184756", "184756")</f>
        <v>184756</v>
      </c>
      <c r="C9446" s="9"/>
      <c r="D9446" t="str">
        <f>"F21A9.2"</f>
        <v>F21A9.2</v>
      </c>
      <c r="F9446" t="s">
        <v>11</v>
      </c>
      <c r="G9446" t="s">
        <v>5627</v>
      </c>
      <c r="H9446" s="12">
        <v>1.1329877830039701</v>
      </c>
      <c r="I9446" s="20">
        <v>0.37475375410598499</v>
      </c>
      <c r="J9446" s="28">
        <v>0.70784361068860202</v>
      </c>
      <c r="K9446" s="29">
        <v>0.98289565623980701</v>
      </c>
    </row>
    <row r="9447" spans="1:11" x14ac:dyDescent="0.35">
      <c r="A9447" s="9" t="str">
        <f>HYPERLINK("http://www.ensembl.org/id/WBGene00017652", "WBGene00017652")</f>
        <v>WBGene00017652</v>
      </c>
      <c r="B9447" s="9" t="str">
        <f>HYPERLINK("http://www.ncbi.nlm.nih.gov/gene/184763", "184763")</f>
        <v>184763</v>
      </c>
      <c r="C9447" s="9"/>
      <c r="D9447" t="str">
        <f>"F21C10.1"</f>
        <v>F21C10.1</v>
      </c>
      <c r="F9447" t="s">
        <v>11</v>
      </c>
      <c r="G9447" t="s">
        <v>25</v>
      </c>
      <c r="H9447" s="12">
        <v>-4.3745823608778798</v>
      </c>
      <c r="I9447" s="20">
        <v>-0.78522120740297996</v>
      </c>
      <c r="J9447" s="28">
        <v>0.43232388338507799</v>
      </c>
      <c r="K9447" s="29">
        <v>0.98289565623980701</v>
      </c>
    </row>
    <row r="9448" spans="1:11" x14ac:dyDescent="0.35">
      <c r="A9448" s="9" t="str">
        <f>HYPERLINK("http://www.ensembl.org/id/WBGene00199420", "WBGene00199420")</f>
        <v>WBGene00199420</v>
      </c>
      <c r="B9448" s="9"/>
      <c r="C9448" s="9"/>
      <c r="D9448" t="str">
        <f>"F21C10.16"</f>
        <v>F21C10.16</v>
      </c>
      <c r="F9448" t="s">
        <v>481</v>
      </c>
      <c r="H9448" s="12">
        <v>3.6645215954135</v>
      </c>
      <c r="I9448" s="20">
        <v>0.37967131826092498</v>
      </c>
      <c r="J9448" s="28">
        <v>0.70418941338960395</v>
      </c>
      <c r="K9448" s="29">
        <v>0.98289565623980701</v>
      </c>
    </row>
    <row r="9449" spans="1:11" x14ac:dyDescent="0.35">
      <c r="A9449" s="9" t="str">
        <f>HYPERLINK("http://www.ensembl.org/id/WBGene00235330", "WBGene00235330")</f>
        <v>WBGene00235330</v>
      </c>
      <c r="B9449" s="9" t="str">
        <f>HYPERLINK("http://www.ncbi.nlm.nih.gov/gene/24104465", "24104465")</f>
        <v>24104465</v>
      </c>
      <c r="C9449" s="9"/>
      <c r="D9449" t="str">
        <f>"F21C10.18"</f>
        <v>F21C10.18</v>
      </c>
      <c r="F9449" t="s">
        <v>11</v>
      </c>
      <c r="H9449" s="12">
        <v>1.1675796386366</v>
      </c>
      <c r="I9449" s="20">
        <v>0.41757121194216801</v>
      </c>
      <c r="J9449" s="28">
        <v>0.67626064846225198</v>
      </c>
      <c r="K9449" s="29">
        <v>0.98289565623980701</v>
      </c>
    </row>
    <row r="9450" spans="1:11" x14ac:dyDescent="0.35">
      <c r="A9450" s="9" t="str">
        <f>HYPERLINK("http://www.ensembl.org/id/WBGene00271808", "WBGene00271808")</f>
        <v>WBGene00271808</v>
      </c>
      <c r="B9450" s="9" t="str">
        <f>HYPERLINK("http://www.ncbi.nlm.nih.gov/gene/34700628", "34700628")</f>
        <v>34700628</v>
      </c>
      <c r="C9450" s="9"/>
      <c r="D9450" t="str">
        <f>"F21C10.19"</f>
        <v>F21C10.19</v>
      </c>
      <c r="F9450" t="s">
        <v>11</v>
      </c>
      <c r="H9450" s="12">
        <v>-2.2648351072081998</v>
      </c>
      <c r="I9450" s="20">
        <v>-1.20866131783144</v>
      </c>
      <c r="J9450" s="28">
        <v>0.22679298852545801</v>
      </c>
      <c r="K9450" s="29">
        <v>0.98289565623980701</v>
      </c>
    </row>
    <row r="9451" spans="1:11" x14ac:dyDescent="0.35">
      <c r="A9451" s="9" t="str">
        <f>HYPERLINK("http://www.ensembl.org/id/WBGene00017653", "WBGene00017653")</f>
        <v>WBGene00017653</v>
      </c>
      <c r="B9451" s="9" t="str">
        <f>HYPERLINK("http://www.ncbi.nlm.nih.gov/gene/179294", "179294")</f>
        <v>179294</v>
      </c>
      <c r="C9451" s="9"/>
      <c r="D9451" t="str">
        <f>"F21C10.3"</f>
        <v>F21C10.3</v>
      </c>
      <c r="E9451" t="s">
        <v>3368</v>
      </c>
      <c r="F9451" t="s">
        <v>11</v>
      </c>
      <c r="G9451" t="s">
        <v>25</v>
      </c>
      <c r="H9451" s="12">
        <v>-1.1871953599314899</v>
      </c>
      <c r="I9451" s="20">
        <v>-0.74180877295805503</v>
      </c>
      <c r="J9451" s="28">
        <v>0.45820320444937201</v>
      </c>
      <c r="K9451" s="29">
        <v>0.98289565623980701</v>
      </c>
    </row>
    <row r="9452" spans="1:11" x14ac:dyDescent="0.35">
      <c r="A9452" s="9" t="str">
        <f>HYPERLINK("http://www.ensembl.org/id/WBGene00017654", "WBGene00017654")</f>
        <v>WBGene00017654</v>
      </c>
      <c r="B9452" s="9" t="str">
        <f>HYPERLINK("http://www.ncbi.nlm.nih.gov/gene/184764", "184764")</f>
        <v>184764</v>
      </c>
      <c r="C9452" s="9"/>
      <c r="D9452" t="str">
        <f>"F21C10.4"</f>
        <v>F21C10.4</v>
      </c>
      <c r="F9452" t="s">
        <v>11</v>
      </c>
      <c r="G9452" t="s">
        <v>25</v>
      </c>
      <c r="H9452" s="12">
        <v>-1.21346240298567</v>
      </c>
      <c r="I9452" s="20">
        <v>-0.38653522410824298</v>
      </c>
      <c r="J9452" s="28">
        <v>0.69910032070878003</v>
      </c>
      <c r="K9452" s="29">
        <v>0.98289565623980701</v>
      </c>
    </row>
    <row r="9453" spans="1:11" x14ac:dyDescent="0.35">
      <c r="A9453" s="9" t="str">
        <f>HYPERLINK("http://www.ensembl.org/id/WBGene00017655", "WBGene00017655")</f>
        <v>WBGene00017655</v>
      </c>
      <c r="B9453" s="9" t="str">
        <f>HYPERLINK("http://www.ncbi.nlm.nih.gov/gene/184765", "184765")</f>
        <v>184765</v>
      </c>
      <c r="C9453" s="9"/>
      <c r="D9453" t="str">
        <f>"F21C10.5"</f>
        <v>F21C10.5</v>
      </c>
      <c r="F9453" t="s">
        <v>11</v>
      </c>
      <c r="H9453" s="12">
        <v>4.4368407117627902</v>
      </c>
      <c r="I9453" s="20">
        <v>0.43709475933309699</v>
      </c>
      <c r="J9453" s="28">
        <v>0.66204262779770495</v>
      </c>
      <c r="K9453" s="29">
        <v>0.98289565623980701</v>
      </c>
    </row>
    <row r="9454" spans="1:11" x14ac:dyDescent="0.35">
      <c r="A9454" s="9" t="str">
        <f>HYPERLINK("http://www.ensembl.org/id/WBGene00017657", "WBGene00017657")</f>
        <v>WBGene00017657</v>
      </c>
      <c r="B9454" s="9" t="str">
        <f>HYPERLINK("http://www.ncbi.nlm.nih.gov/gene/179292", "179292")</f>
        <v>179292</v>
      </c>
      <c r="C9454" s="9"/>
      <c r="D9454" t="str">
        <f>"F21C10.7"</f>
        <v>F21C10.7</v>
      </c>
      <c r="F9454" t="s">
        <v>11</v>
      </c>
      <c r="H9454" s="12">
        <v>-1.08278953467425</v>
      </c>
      <c r="I9454" s="20">
        <v>-0.36719970997700202</v>
      </c>
      <c r="J9454" s="28">
        <v>0.71347005563885302</v>
      </c>
      <c r="K9454" s="29">
        <v>0.98289565623980701</v>
      </c>
    </row>
    <row r="9455" spans="1:11" x14ac:dyDescent="0.35">
      <c r="A9455" s="9" t="str">
        <f>HYPERLINK("http://www.ensembl.org/id/WBGene00017658", "WBGene00017658")</f>
        <v>WBGene00017658</v>
      </c>
      <c r="B9455" s="9" t="str">
        <f>HYPERLINK("http://www.ncbi.nlm.nih.gov/gene/184767", "184767")</f>
        <v>184767</v>
      </c>
      <c r="C9455" s="9"/>
      <c r="D9455" t="str">
        <f>"F21C10.9"</f>
        <v>F21C10.9</v>
      </c>
      <c r="F9455" t="s">
        <v>11</v>
      </c>
      <c r="G9455" t="s">
        <v>6929</v>
      </c>
      <c r="H9455" s="12">
        <v>-1.0982140533737901</v>
      </c>
      <c r="I9455" s="20">
        <v>-0.34844055845935601</v>
      </c>
      <c r="J9455" s="28">
        <v>0.72750934738767603</v>
      </c>
      <c r="K9455" s="29">
        <v>0.98289565623980701</v>
      </c>
    </row>
    <row r="9456" spans="1:11" x14ac:dyDescent="0.35">
      <c r="A9456" s="9" t="str">
        <f>HYPERLINK("http://www.ensembl.org/id/WBGene00009005", "WBGene00009005")</f>
        <v>WBGene00009005</v>
      </c>
      <c r="B9456" s="9" t="str">
        <f>HYPERLINK("http://www.ncbi.nlm.nih.gov/gene/184761", "184761")</f>
        <v>184761</v>
      </c>
      <c r="C9456" s="9"/>
      <c r="D9456" t="str">
        <f>"F21C3.6"</f>
        <v>F21C3.6</v>
      </c>
      <c r="F9456" t="s">
        <v>11</v>
      </c>
      <c r="H9456" s="12">
        <v>-2.87693682231866</v>
      </c>
      <c r="I9456" s="20">
        <v>-0.62765048945420099</v>
      </c>
      <c r="J9456" s="28">
        <v>0.530232925814619</v>
      </c>
      <c r="K9456" s="29">
        <v>0.98289565623980701</v>
      </c>
    </row>
    <row r="9457" spans="1:11" x14ac:dyDescent="0.35">
      <c r="A9457" s="9" t="str">
        <f>HYPERLINK("http://www.ensembl.org/id/WBGene00017662", "WBGene00017662")</f>
        <v>WBGene00017662</v>
      </c>
      <c r="B9457" s="9" t="str">
        <f>HYPERLINK("http://www.ncbi.nlm.nih.gov/gene/184778", "184778")</f>
        <v>184778</v>
      </c>
      <c r="C9457" s="9"/>
      <c r="D9457" t="str">
        <f>"F21D12.2"</f>
        <v>F21D12.2</v>
      </c>
      <c r="F9457" t="s">
        <v>11</v>
      </c>
      <c r="H9457" s="12">
        <v>-4.7167679298615104</v>
      </c>
      <c r="I9457" s="20">
        <v>-0.454742638005115</v>
      </c>
      <c r="J9457" s="28">
        <v>0.64929440216969203</v>
      </c>
      <c r="K9457" s="29">
        <v>0.98289565623980701</v>
      </c>
    </row>
    <row r="9458" spans="1:11" x14ac:dyDescent="0.35">
      <c r="A9458" s="9" t="str">
        <f>HYPERLINK("http://www.ensembl.org/id/WBGene00017663", "WBGene00017663")</f>
        <v>WBGene00017663</v>
      </c>
      <c r="B9458" s="9" t="str">
        <f>HYPERLINK("http://www.ncbi.nlm.nih.gov/gene/174201", "174201")</f>
        <v>174201</v>
      </c>
      <c r="C9458" s="9"/>
      <c r="D9458" t="str">
        <f>"F21D12.3"</f>
        <v>F21D12.3</v>
      </c>
      <c r="F9458" t="s">
        <v>11</v>
      </c>
      <c r="G9458" t="s">
        <v>372</v>
      </c>
      <c r="H9458" s="12">
        <v>1.1593945907529599</v>
      </c>
      <c r="I9458" s="20">
        <v>0.70002515745348803</v>
      </c>
      <c r="J9458" s="28">
        <v>0.48391159355687402</v>
      </c>
      <c r="K9458" s="29">
        <v>0.98289565623980701</v>
      </c>
    </row>
    <row r="9459" spans="1:11" x14ac:dyDescent="0.35">
      <c r="A9459" s="9" t="str">
        <f>HYPERLINK("http://www.ensembl.org/id/WBGene00009008", "WBGene00009008")</f>
        <v>WBGene00009008</v>
      </c>
      <c r="B9459" s="9" t="str">
        <f>HYPERLINK("http://www.ncbi.nlm.nih.gov/gene/177680", "177680")</f>
        <v>177680</v>
      </c>
      <c r="C9459" s="9"/>
      <c r="D9459" t="str">
        <f>"F21D5.3"</f>
        <v>F21D5.3</v>
      </c>
      <c r="F9459" t="s">
        <v>11</v>
      </c>
      <c r="G9459" t="s">
        <v>5902</v>
      </c>
      <c r="H9459" s="12">
        <v>1.0866794416579</v>
      </c>
      <c r="I9459" s="20">
        <v>0.260324066159137</v>
      </c>
      <c r="J9459" s="28">
        <v>0.794613810275413</v>
      </c>
      <c r="K9459" s="29">
        <v>0.98289565623980701</v>
      </c>
    </row>
    <row r="9460" spans="1:11" x14ac:dyDescent="0.35">
      <c r="A9460" s="9" t="str">
        <f>HYPERLINK("http://www.ensembl.org/id/WBGene00009009", "WBGene00009009")</f>
        <v>WBGene00009009</v>
      </c>
      <c r="B9460" s="9" t="str">
        <f>HYPERLINK("http://www.ncbi.nlm.nih.gov/gene/184768", "184768")</f>
        <v>184768</v>
      </c>
      <c r="C9460" s="9"/>
      <c r="D9460" t="str">
        <f>"F21D5.4"</f>
        <v>F21D5.4</v>
      </c>
      <c r="F9460" t="s">
        <v>11</v>
      </c>
      <c r="G9460" t="s">
        <v>9296</v>
      </c>
      <c r="H9460" s="12">
        <v>-1.2357069743808999</v>
      </c>
      <c r="I9460" s="20">
        <v>-0.71342161718992303</v>
      </c>
      <c r="J9460" s="28">
        <v>0.47558490033979001</v>
      </c>
      <c r="K9460" s="29">
        <v>0.98289565623980701</v>
      </c>
    </row>
    <row r="9461" spans="1:11" x14ac:dyDescent="0.35">
      <c r="A9461" s="9" t="str">
        <f>HYPERLINK("http://www.ensembl.org/id/WBGene00009010", "WBGene00009010")</f>
        <v>WBGene00009010</v>
      </c>
      <c r="B9461" s="9" t="str">
        <f>HYPERLINK("http://www.ncbi.nlm.nih.gov/gene/177681", "177681")</f>
        <v>177681</v>
      </c>
      <c r="C9461" s="9" t="str">
        <f>HYPERLINK("http://www.ncbi.nlm.nih.gov/gene/11284", "11284")</f>
        <v>11284</v>
      </c>
      <c r="D9461" t="str">
        <f>"F21D5.5"</f>
        <v>F21D5.5</v>
      </c>
      <c r="F9461" t="s">
        <v>11</v>
      </c>
      <c r="G9461" t="s">
        <v>6638</v>
      </c>
      <c r="H9461" s="12">
        <v>-1.0823934829078601</v>
      </c>
      <c r="I9461" s="20">
        <v>-0.39489626053025501</v>
      </c>
      <c r="J9461" s="28">
        <v>0.69291944985173803</v>
      </c>
      <c r="K9461" s="29">
        <v>0.98289565623980701</v>
      </c>
    </row>
    <row r="9462" spans="1:11" x14ac:dyDescent="0.35">
      <c r="A9462" s="9" t="str">
        <f>HYPERLINK("http://www.ensembl.org/id/WBGene00009011", "WBGene00009011")</f>
        <v>WBGene00009011</v>
      </c>
      <c r="B9462" s="9" t="str">
        <f>HYPERLINK("http://www.ncbi.nlm.nih.gov/gene/177682", "177682")</f>
        <v>177682</v>
      </c>
      <c r="C9462" s="9"/>
      <c r="D9462" t="str">
        <f>"F21D5.6"</f>
        <v>F21D5.6</v>
      </c>
      <c r="F9462" t="s">
        <v>11</v>
      </c>
      <c r="G9462" t="s">
        <v>9469</v>
      </c>
      <c r="H9462" s="12">
        <v>-1.2485243525571299</v>
      </c>
      <c r="I9462" s="20">
        <v>-1.07584391660088</v>
      </c>
      <c r="J9462" s="28">
        <v>0.28199706764539401</v>
      </c>
      <c r="K9462" s="29">
        <v>0.98289565623980701</v>
      </c>
    </row>
    <row r="9463" spans="1:11" x14ac:dyDescent="0.35">
      <c r="A9463" s="9" t="str">
        <f>HYPERLINK("http://www.ensembl.org/id/WBGene00009014", "WBGene00009014")</f>
        <v>WBGene00009014</v>
      </c>
      <c r="B9463" s="9" t="str">
        <f>HYPERLINK("http://www.ncbi.nlm.nih.gov/gene/184771", "184771")</f>
        <v>184771</v>
      </c>
      <c r="C9463" s="9"/>
      <c r="D9463" t="str">
        <f>"F21D5.9"</f>
        <v>F21D5.9</v>
      </c>
      <c r="F9463" t="s">
        <v>11</v>
      </c>
      <c r="H9463" s="12">
        <v>1.67225953606681</v>
      </c>
      <c r="I9463" s="20">
        <v>1.1789397545195599</v>
      </c>
      <c r="J9463" s="28">
        <v>0.23842216617288101</v>
      </c>
      <c r="K9463" s="29">
        <v>0.98289565623980701</v>
      </c>
    </row>
    <row r="9464" spans="1:11" x14ac:dyDescent="0.35">
      <c r="A9464" s="9" t="str">
        <f>HYPERLINK("http://www.ensembl.org/id/WBGene00009015", "WBGene00009015")</f>
        <v>WBGene00009015</v>
      </c>
      <c r="B9464" s="9" t="str">
        <f>HYPERLINK("http://www.ncbi.nlm.nih.gov/gene/184772", "184772")</f>
        <v>184772</v>
      </c>
      <c r="C9464" s="9"/>
      <c r="D9464" t="str">
        <f>"F21D9.1"</f>
        <v>F21D9.1</v>
      </c>
      <c r="F9464" t="s">
        <v>11</v>
      </c>
      <c r="G9464" t="s">
        <v>54</v>
      </c>
      <c r="H9464" s="12">
        <v>-1.36035037355693</v>
      </c>
      <c r="I9464" s="20">
        <v>-0.45351353289641899</v>
      </c>
      <c r="J9464" s="28">
        <v>0.65017900084511304</v>
      </c>
      <c r="K9464" s="29">
        <v>0.98289565623980701</v>
      </c>
    </row>
    <row r="9465" spans="1:11" x14ac:dyDescent="0.35">
      <c r="A9465" s="9" t="str">
        <f>HYPERLINK("http://www.ensembl.org/id/WBGene00009018", "WBGene00009018")</f>
        <v>WBGene00009018</v>
      </c>
      <c r="B9465" s="9" t="str">
        <f>HYPERLINK("http://www.ncbi.nlm.nih.gov/gene/184774", "184774")</f>
        <v>184774</v>
      </c>
      <c r="C9465" s="9"/>
      <c r="D9465" t="str">
        <f>"F21D9.4"</f>
        <v>F21D9.4</v>
      </c>
      <c r="F9465" t="s">
        <v>11</v>
      </c>
      <c r="H9465" s="12">
        <v>-1.62561761081726</v>
      </c>
      <c r="I9465" s="20">
        <v>-1.0671582285480901</v>
      </c>
      <c r="J9465" s="28">
        <v>0.28590039149128499</v>
      </c>
      <c r="K9465" s="29">
        <v>0.98289565623980701</v>
      </c>
    </row>
    <row r="9466" spans="1:11" x14ac:dyDescent="0.35">
      <c r="A9466" s="9" t="str">
        <f>HYPERLINK("http://www.ensembl.org/id/WBGene00009020", "WBGene00009020")</f>
        <v>WBGene00009020</v>
      </c>
      <c r="B9466" s="9"/>
      <c r="C9466" s="9"/>
      <c r="D9466" t="str">
        <f>"F21D9.6"</f>
        <v>F21D9.6</v>
      </c>
      <c r="F9466" t="s">
        <v>80</v>
      </c>
      <c r="H9466" s="12">
        <v>1.4724990622932499</v>
      </c>
      <c r="I9466" s="20">
        <v>0.773898647770769</v>
      </c>
      <c r="J9466" s="28">
        <v>0.43899072931936201</v>
      </c>
      <c r="K9466" s="29">
        <v>0.98289565623980701</v>
      </c>
    </row>
    <row r="9467" spans="1:11" x14ac:dyDescent="0.35">
      <c r="A9467" s="9" t="str">
        <f>HYPERLINK("http://www.ensembl.org/id/WBGene00017666", "WBGene00017666")</f>
        <v>WBGene00017666</v>
      </c>
      <c r="B9467" s="9" t="str">
        <f>HYPERLINK("http://www.ncbi.nlm.nih.gov/gene/184781", "184781")</f>
        <v>184781</v>
      </c>
      <c r="C9467" s="9"/>
      <c r="D9467" t="str">
        <f>"F21E9.2"</f>
        <v>F21E9.2</v>
      </c>
      <c r="F9467" t="s">
        <v>11</v>
      </c>
      <c r="G9467" t="s">
        <v>25</v>
      </c>
      <c r="H9467" s="12">
        <v>2.4415946862916398</v>
      </c>
      <c r="I9467" s="20">
        <v>1.1219766561703299</v>
      </c>
      <c r="J9467" s="28">
        <v>0.26187236545499798</v>
      </c>
      <c r="K9467" s="29">
        <v>0.98289565623980701</v>
      </c>
    </row>
    <row r="9468" spans="1:11" x14ac:dyDescent="0.35">
      <c r="A9468" s="9" t="str">
        <f>HYPERLINK("http://www.ensembl.org/id/WBGene00017672", "WBGene00017672")</f>
        <v>WBGene00017672</v>
      </c>
      <c r="B9468" s="9" t="str">
        <f>HYPERLINK("http://www.ncbi.nlm.nih.gov/gene/172107", "172107")</f>
        <v>172107</v>
      </c>
      <c r="C9468" s="9"/>
      <c r="D9468" t="str">
        <f>"F21F3.2"</f>
        <v>F21F3.2</v>
      </c>
      <c r="F9468" t="s">
        <v>11</v>
      </c>
      <c r="G9468" t="s">
        <v>1962</v>
      </c>
      <c r="H9468" s="12">
        <v>1.6774510716823301</v>
      </c>
      <c r="I9468" s="20">
        <v>0.304897182969116</v>
      </c>
      <c r="J9468" s="28">
        <v>0.76044446134282495</v>
      </c>
      <c r="K9468" s="29">
        <v>0.98289565623980701</v>
      </c>
    </row>
    <row r="9469" spans="1:11" x14ac:dyDescent="0.35">
      <c r="A9469" s="9" t="str">
        <f>HYPERLINK("http://www.ensembl.org/id/WBGene00017676", "WBGene00017676")</f>
        <v>WBGene00017676</v>
      </c>
      <c r="B9469" s="9" t="str">
        <f>HYPERLINK("http://www.ncbi.nlm.nih.gov/gene/3565133", "3565133")</f>
        <v>3565133</v>
      </c>
      <c r="C9469" s="9"/>
      <c r="D9469" t="str">
        <f>"F21F3.7"</f>
        <v>F21F3.7</v>
      </c>
      <c r="F9469" t="s">
        <v>11</v>
      </c>
      <c r="G9469" t="s">
        <v>25</v>
      </c>
      <c r="H9469" s="12">
        <v>-1.15682891788694</v>
      </c>
      <c r="I9469" s="20">
        <v>-0.71197157719703896</v>
      </c>
      <c r="J9469" s="28">
        <v>0.476482376718252</v>
      </c>
      <c r="K9469" s="29">
        <v>0.98289565623980701</v>
      </c>
    </row>
    <row r="9470" spans="1:11" x14ac:dyDescent="0.35">
      <c r="A9470" s="9" t="str">
        <f>HYPERLINK("http://www.ensembl.org/id/WBGene00017679", "WBGene00017679")</f>
        <v>WBGene00017679</v>
      </c>
      <c r="B9470" s="9" t="str">
        <f>HYPERLINK("http://www.ncbi.nlm.nih.gov/gene/184788", "184788")</f>
        <v>184788</v>
      </c>
      <c r="C9470" s="9"/>
      <c r="D9470" t="str">
        <f>"F21F8.5"</f>
        <v>F21F8.5</v>
      </c>
      <c r="F9470" t="s">
        <v>11</v>
      </c>
      <c r="H9470" s="12">
        <v>-5.4967879193631202</v>
      </c>
      <c r="I9470" s="20">
        <v>-0.50254160819837501</v>
      </c>
      <c r="J9470" s="28">
        <v>0.61528659178453604</v>
      </c>
      <c r="K9470" s="29">
        <v>0.98289565623980701</v>
      </c>
    </row>
    <row r="9471" spans="1:11" x14ac:dyDescent="0.35">
      <c r="A9471" s="9" t="str">
        <f>HYPERLINK("http://www.ensembl.org/id/WBGene00017680", "WBGene00017680")</f>
        <v>WBGene00017680</v>
      </c>
      <c r="B9471" s="9"/>
      <c r="C9471" s="9"/>
      <c r="D9471" t="str">
        <f>"F21F8.6"</f>
        <v>F21F8.6</v>
      </c>
      <c r="F9471" t="s">
        <v>80</v>
      </c>
      <c r="H9471" s="12">
        <v>2.4297180946454202</v>
      </c>
      <c r="I9471" s="20">
        <v>0.62666142494447696</v>
      </c>
      <c r="J9471" s="28">
        <v>0.53088119491079</v>
      </c>
      <c r="K9471" s="29">
        <v>0.98289565623980701</v>
      </c>
    </row>
    <row r="9472" spans="1:11" x14ac:dyDescent="0.35">
      <c r="A9472" s="9" t="str">
        <f>HYPERLINK("http://www.ensembl.org/id/WBGene00009023", "WBGene00009023")</f>
        <v>WBGene00009023</v>
      </c>
      <c r="B9472" s="9" t="str">
        <f>HYPERLINK("http://www.ncbi.nlm.nih.gov/gene/181203", "181203")</f>
        <v>181203</v>
      </c>
      <c r="C9472" s="9" t="str">
        <f>HYPERLINK("http://www.ncbi.nlm.nih.gov/gene/11309", "11309")</f>
        <v>11309</v>
      </c>
      <c r="D9472" t="str">
        <f>"F21G4.1"</f>
        <v>F21G4.1</v>
      </c>
      <c r="E9472" t="s">
        <v>782</v>
      </c>
      <c r="F9472" t="s">
        <v>11</v>
      </c>
      <c r="G9472" t="s">
        <v>5564</v>
      </c>
      <c r="H9472" s="12">
        <v>1.1455902737333801</v>
      </c>
      <c r="I9472" s="20">
        <v>0.593924668274458</v>
      </c>
      <c r="J9472" s="28">
        <v>0.55256249902618104</v>
      </c>
      <c r="K9472" s="29">
        <v>0.98289565623980701</v>
      </c>
    </row>
    <row r="9473" spans="1:11" x14ac:dyDescent="0.35">
      <c r="A9473" s="9" t="str">
        <f>HYPERLINK("http://www.ensembl.org/id/WBGene00017684", "WBGene00017684")</f>
        <v>WBGene00017684</v>
      </c>
      <c r="B9473" s="9"/>
      <c r="C9473" s="9"/>
      <c r="D9473" t="str">
        <f>"F21H12.2"</f>
        <v>F21H12.2</v>
      </c>
      <c r="F9473" t="s">
        <v>80</v>
      </c>
      <c r="H9473" s="12">
        <v>2.4578120077400301</v>
      </c>
      <c r="I9473" s="20">
        <v>0.26093350314551</v>
      </c>
      <c r="J9473" s="28">
        <v>0.79414378780213601</v>
      </c>
      <c r="K9473" s="29">
        <v>0.98289565623980701</v>
      </c>
    </row>
    <row r="9474" spans="1:11" x14ac:dyDescent="0.35">
      <c r="A9474" s="9" t="str">
        <f>HYPERLINK("http://www.ensembl.org/id/WBGene00044287", "WBGene00044287")</f>
        <v>WBGene00044287</v>
      </c>
      <c r="B9474" s="9" t="str">
        <f>HYPERLINK("http://www.ncbi.nlm.nih.gov/gene/3564929", "3564929")</f>
        <v>3564929</v>
      </c>
      <c r="C9474" s="9"/>
      <c r="D9474" t="str">
        <f>"F21H12.7"</f>
        <v>F21H12.7</v>
      </c>
      <c r="F9474" t="s">
        <v>11</v>
      </c>
      <c r="H9474" s="12">
        <v>4.3666991300963902</v>
      </c>
      <c r="I9474" s="20">
        <v>1.1107859837676199</v>
      </c>
      <c r="J9474" s="28">
        <v>0.26666048098697998</v>
      </c>
      <c r="K9474" s="29">
        <v>0.98289565623980701</v>
      </c>
    </row>
    <row r="9475" spans="1:11" x14ac:dyDescent="0.35">
      <c r="A9475" s="9" t="str">
        <f>HYPERLINK("http://www.ensembl.org/id/WBGene00009033", "WBGene00009033")</f>
        <v>WBGene00009033</v>
      </c>
      <c r="B9475" s="9" t="str">
        <f>HYPERLINK("http://www.ncbi.nlm.nih.gov/gene/259670", "259670")</f>
        <v>259670</v>
      </c>
      <c r="C9475" s="9"/>
      <c r="D9475" t="str">
        <f>"F21H7.12"</f>
        <v>F21H7.12</v>
      </c>
      <c r="F9475" t="s">
        <v>11</v>
      </c>
      <c r="G9475" t="s">
        <v>25</v>
      </c>
      <c r="H9475" s="12">
        <v>-1.5695636969092499</v>
      </c>
      <c r="I9475" s="20">
        <v>-0.48905933272751501</v>
      </c>
      <c r="J9475" s="28">
        <v>0.62479969160079096</v>
      </c>
      <c r="K9475" s="29">
        <v>0.98289565623980701</v>
      </c>
    </row>
    <row r="9476" spans="1:11" x14ac:dyDescent="0.35">
      <c r="A9476" s="9" t="str">
        <f>HYPERLINK("http://www.ensembl.org/id/WBGene00009028", "WBGene00009028")</f>
        <v>WBGene00009028</v>
      </c>
      <c r="B9476" s="9" t="str">
        <f>HYPERLINK("http://www.ncbi.nlm.nih.gov/gene/180087", "180087")</f>
        <v>180087</v>
      </c>
      <c r="C9476" s="9"/>
      <c r="D9476" t="str">
        <f>"F21H7.2"</f>
        <v>F21H7.2</v>
      </c>
      <c r="F9476" t="s">
        <v>11</v>
      </c>
      <c r="H9476" s="12">
        <v>-1.2446115063432399</v>
      </c>
      <c r="I9476" s="20">
        <v>-0.331002972219614</v>
      </c>
      <c r="J9476" s="28">
        <v>0.74064224048210503</v>
      </c>
      <c r="K9476" s="29">
        <v>0.98289565623980701</v>
      </c>
    </row>
    <row r="9477" spans="1:11" x14ac:dyDescent="0.35">
      <c r="A9477" s="9" t="str">
        <f>HYPERLINK("http://www.ensembl.org/id/WBGene00009029", "WBGene00009029")</f>
        <v>WBGene00009029</v>
      </c>
      <c r="B9477" s="9" t="str">
        <f>HYPERLINK("http://www.ncbi.nlm.nih.gov/gene/259671", "259671")</f>
        <v>259671</v>
      </c>
      <c r="C9477" s="9"/>
      <c r="D9477" t="str">
        <f>"F21H7.3"</f>
        <v>F21H7.3</v>
      </c>
      <c r="F9477" t="s">
        <v>11</v>
      </c>
      <c r="G9477" t="s">
        <v>25</v>
      </c>
      <c r="H9477" s="12">
        <v>1.8182532572714301</v>
      </c>
      <c r="I9477" s="20">
        <v>0.85633656513429401</v>
      </c>
      <c r="J9477" s="28">
        <v>0.39181164145611003</v>
      </c>
      <c r="K9477" s="29">
        <v>0.98289565623980701</v>
      </c>
    </row>
    <row r="9478" spans="1:11" x14ac:dyDescent="0.35">
      <c r="A9478" s="9" t="str">
        <f>HYPERLINK("http://www.ensembl.org/id/WBGene00196095", "WBGene00196095")</f>
        <v>WBGene00196095</v>
      </c>
      <c r="B9478" s="9"/>
      <c r="C9478" s="9"/>
      <c r="D9478" t="str">
        <f>"F22B3.12"</f>
        <v>F22B3.12</v>
      </c>
      <c r="F9478" t="s">
        <v>481</v>
      </c>
      <c r="H9478" s="12">
        <v>2.4578120077400301</v>
      </c>
      <c r="I9478" s="20">
        <v>0.26093350314551</v>
      </c>
      <c r="J9478" s="28">
        <v>0.79414378780213601</v>
      </c>
      <c r="K9478" s="29">
        <v>0.98289565623980701</v>
      </c>
    </row>
    <row r="9479" spans="1:11" x14ac:dyDescent="0.35">
      <c r="A9479" s="9" t="str">
        <f>HYPERLINK("http://www.ensembl.org/id/WBGene00199342", "WBGene00199342")</f>
        <v>WBGene00199342</v>
      </c>
      <c r="B9479" s="9"/>
      <c r="C9479" s="9"/>
      <c r="D9479" t="str">
        <f>"F22B3.15"</f>
        <v>F22B3.15</v>
      </c>
      <c r="F9479" t="s">
        <v>481</v>
      </c>
      <c r="H9479" s="12">
        <v>2.3893468495514898</v>
      </c>
      <c r="I9479" s="20">
        <v>0.25323547253672701</v>
      </c>
      <c r="J9479" s="28">
        <v>0.80008625651646104</v>
      </c>
      <c r="K9479" s="29">
        <v>0.98289565623980701</v>
      </c>
    </row>
    <row r="9480" spans="1:11" x14ac:dyDescent="0.35">
      <c r="A9480" s="9" t="str">
        <f>HYPERLINK("http://www.ensembl.org/id/WBGene00009039", "WBGene00009039")</f>
        <v>WBGene00009039</v>
      </c>
      <c r="B9480" s="9" t="str">
        <f>HYPERLINK("http://www.ncbi.nlm.nih.gov/gene/184809", "184809")</f>
        <v>184809</v>
      </c>
      <c r="C9480" s="9"/>
      <c r="D9480" t="str">
        <f>"F22B3.8"</f>
        <v>F22B3.8</v>
      </c>
      <c r="E9480" t="s">
        <v>2588</v>
      </c>
      <c r="F9480" t="s">
        <v>11</v>
      </c>
      <c r="G9480" t="s">
        <v>2589</v>
      </c>
      <c r="H9480" s="12">
        <v>1.87860599297033</v>
      </c>
      <c r="I9480" s="20">
        <v>0.45140855679526698</v>
      </c>
      <c r="J9480" s="28">
        <v>0.65169511732152696</v>
      </c>
      <c r="K9480" s="29">
        <v>0.98289565623980701</v>
      </c>
    </row>
    <row r="9481" spans="1:11" x14ac:dyDescent="0.35">
      <c r="A9481" s="9" t="str">
        <f>HYPERLINK("http://www.ensembl.org/id/WBGene00009045", "WBGene00009045")</f>
        <v>WBGene00009045</v>
      </c>
      <c r="B9481" s="9" t="str">
        <f>HYPERLINK("http://www.ncbi.nlm.nih.gov/gene/174352", "174352")</f>
        <v>174352</v>
      </c>
      <c r="C9481" s="9" t="str">
        <f>HYPERLINK("http://www.ncbi.nlm.nih.gov/gene/54499", "54499")</f>
        <v>54499</v>
      </c>
      <c r="D9481" t="str">
        <f>"F22B5.10"</f>
        <v>F22B5.10</v>
      </c>
      <c r="E9481" t="s">
        <v>6395</v>
      </c>
      <c r="F9481" t="s">
        <v>11</v>
      </c>
      <c r="G9481" t="s">
        <v>6396</v>
      </c>
      <c r="H9481" s="12">
        <v>-1.0669778050247001</v>
      </c>
      <c r="I9481" s="20">
        <v>-0.33354055548694</v>
      </c>
      <c r="J9481" s="28">
        <v>0.73872628143590702</v>
      </c>
      <c r="K9481" s="29">
        <v>0.98289565623980701</v>
      </c>
    </row>
    <row r="9482" spans="1:11" x14ac:dyDescent="0.35">
      <c r="A9482" s="9" t="str">
        <f>HYPERLINK("http://www.ensembl.org/id/WBGene00196712", "WBGene00196712")</f>
        <v>WBGene00196712</v>
      </c>
      <c r="B9482" s="9"/>
      <c r="C9482" s="9"/>
      <c r="D9482" t="str">
        <f>"F22B5.11"</f>
        <v>F22B5.11</v>
      </c>
      <c r="F9482" t="s">
        <v>481</v>
      </c>
      <c r="H9482" s="12">
        <v>-3.7261494131482999</v>
      </c>
      <c r="I9482" s="20">
        <v>-0.38454673129429601</v>
      </c>
      <c r="J9482" s="28">
        <v>0.70057326682554</v>
      </c>
      <c r="K9482" s="29">
        <v>0.98289565623980701</v>
      </c>
    </row>
    <row r="9483" spans="1:11" x14ac:dyDescent="0.35">
      <c r="A9483" s="9" t="str">
        <f>HYPERLINK("http://www.ensembl.org/id/WBGene00201839", "WBGene00201839")</f>
        <v>WBGene00201839</v>
      </c>
      <c r="B9483" s="9"/>
      <c r="C9483" s="9"/>
      <c r="D9483" t="str">
        <f>"F22B5.12"</f>
        <v>F22B5.12</v>
      </c>
      <c r="F9483" t="s">
        <v>481</v>
      </c>
      <c r="H9483" s="12">
        <v>2.43628531154256</v>
      </c>
      <c r="I9483" s="20">
        <v>0.26397437090349102</v>
      </c>
      <c r="J9483" s="28">
        <v>0.79179966754305298</v>
      </c>
      <c r="K9483" s="29">
        <v>0.98289565623980701</v>
      </c>
    </row>
    <row r="9484" spans="1:11" x14ac:dyDescent="0.35">
      <c r="A9484" s="9" t="str">
        <f>HYPERLINK("http://www.ensembl.org/id/WBGene00009043", "WBGene00009043")</f>
        <v>WBGene00009043</v>
      </c>
      <c r="B9484" s="9" t="str">
        <f>HYPERLINK("http://www.ncbi.nlm.nih.gov/gene/174349", "174349")</f>
        <v>174349</v>
      </c>
      <c r="C9484" s="9"/>
      <c r="D9484" t="str">
        <f>"F22B5.5"</f>
        <v>F22B5.5</v>
      </c>
      <c r="F9484" t="s">
        <v>11</v>
      </c>
      <c r="H9484" s="12">
        <v>-1.2655352771180599</v>
      </c>
      <c r="I9484" s="20">
        <v>-1.0111566155294101</v>
      </c>
      <c r="J9484" s="28">
        <v>0.31194147666688399</v>
      </c>
      <c r="K9484" s="29">
        <v>0.98289565623980701</v>
      </c>
    </row>
    <row r="9485" spans="1:11" x14ac:dyDescent="0.35">
      <c r="A9485" s="9" t="str">
        <f>HYPERLINK("http://www.ensembl.org/id/WBGene00009044", "WBGene00009044")</f>
        <v>WBGene00009044</v>
      </c>
      <c r="B9485" s="9" t="str">
        <f>HYPERLINK("http://www.ncbi.nlm.nih.gov/gene/184810", "184810")</f>
        <v>184810</v>
      </c>
      <c r="C9485" s="9"/>
      <c r="D9485" t="str">
        <f>"F22B5.6"</f>
        <v>F22B5.6</v>
      </c>
      <c r="F9485" t="s">
        <v>11</v>
      </c>
      <c r="G9485" t="s">
        <v>25</v>
      </c>
      <c r="H9485" s="12">
        <v>-1.0552414115400801</v>
      </c>
      <c r="I9485" s="20">
        <v>-0.26326833944209799</v>
      </c>
      <c r="J9485" s="28">
        <v>0.79234376061369305</v>
      </c>
      <c r="K9485" s="29">
        <v>0.98289565623980701</v>
      </c>
    </row>
    <row r="9486" spans="1:11" x14ac:dyDescent="0.35">
      <c r="A9486" s="9" t="str">
        <f>HYPERLINK("http://www.ensembl.org/id/WBGene00023001", "WBGene00023001")</f>
        <v>WBGene00023001</v>
      </c>
      <c r="B9486" s="9"/>
      <c r="C9486" s="9"/>
      <c r="D9486" t="str">
        <f>"F22B7.t4"</f>
        <v>F22B7.t4</v>
      </c>
      <c r="F9486" t="s">
        <v>4208</v>
      </c>
      <c r="H9486" s="12">
        <v>-3.5819448292659501</v>
      </c>
      <c r="I9486" s="20">
        <v>-0.37337717500031398</v>
      </c>
      <c r="J9486" s="28">
        <v>0.70886774492290605</v>
      </c>
      <c r="K9486" s="29">
        <v>0.98289565623980701</v>
      </c>
    </row>
    <row r="9487" spans="1:11" x14ac:dyDescent="0.35">
      <c r="A9487" s="9" t="str">
        <f>HYPERLINK("http://www.ensembl.org/id/WBGene00009047", "WBGene00009047")</f>
        <v>WBGene00009047</v>
      </c>
      <c r="B9487" s="9"/>
      <c r="C9487" s="9"/>
      <c r="D9487" t="str">
        <f>"F22B8.4"</f>
        <v>F22B8.4</v>
      </c>
      <c r="F9487" t="s">
        <v>80</v>
      </c>
      <c r="H9487" s="12">
        <v>1.34655237457761</v>
      </c>
      <c r="I9487" s="20">
        <v>0.26423051127918001</v>
      </c>
      <c r="J9487" s="28">
        <v>0.79160230166960599</v>
      </c>
      <c r="K9487" s="29">
        <v>0.98289565623980701</v>
      </c>
    </row>
    <row r="9488" spans="1:11" x14ac:dyDescent="0.35">
      <c r="A9488" s="9" t="str">
        <f>HYPERLINK("http://www.ensembl.org/id/WBGene00009049", "WBGene00009049")</f>
        <v>WBGene00009049</v>
      </c>
      <c r="B9488" s="9" t="str">
        <f>HYPERLINK("http://www.ncbi.nlm.nih.gov/gene/180078", "180078")</f>
        <v>180078</v>
      </c>
      <c r="C9488" s="9" t="str">
        <f>HYPERLINK("http://www.ncbi.nlm.nih.gov/gene/64757", "64757")</f>
        <v>64757</v>
      </c>
      <c r="D9488" t="str">
        <f>"F22B8.7"</f>
        <v>F22B8.7</v>
      </c>
      <c r="F9488" t="s">
        <v>11</v>
      </c>
      <c r="G9488" t="s">
        <v>8298</v>
      </c>
      <c r="H9488" s="12">
        <v>-1.1697611219434101</v>
      </c>
      <c r="I9488" s="20">
        <v>-0.69317024942469596</v>
      </c>
      <c r="J9488" s="28">
        <v>0.48820271606476501</v>
      </c>
      <c r="K9488" s="29">
        <v>0.98289565623980701</v>
      </c>
    </row>
    <row r="9489" spans="1:11" x14ac:dyDescent="0.35">
      <c r="A9489" s="9" t="str">
        <f>HYPERLINK("http://www.ensembl.org/id/WBGene00017700", "WBGene00017700")</f>
        <v>WBGene00017700</v>
      </c>
      <c r="B9489" s="9" t="str">
        <f>HYPERLINK("http://www.ncbi.nlm.nih.gov/gene/184825", "184825")</f>
        <v>184825</v>
      </c>
      <c r="C9489" s="9"/>
      <c r="D9489" t="str">
        <f>"F22D3.4"</f>
        <v>F22D3.4</v>
      </c>
      <c r="F9489" t="s">
        <v>11</v>
      </c>
      <c r="H9489" s="12">
        <v>-1.23945521221278</v>
      </c>
      <c r="I9489" s="20">
        <v>-0.254832612183443</v>
      </c>
      <c r="J9489" s="28">
        <v>0.79885238572964701</v>
      </c>
      <c r="K9489" s="29">
        <v>0.98289565623980701</v>
      </c>
    </row>
    <row r="9490" spans="1:11" x14ac:dyDescent="0.35">
      <c r="A9490" s="9" t="str">
        <f>HYPERLINK("http://www.ensembl.org/id/WBGene00017701", "WBGene00017701")</f>
        <v>WBGene00017701</v>
      </c>
      <c r="B9490" s="9"/>
      <c r="C9490" s="9"/>
      <c r="D9490" t="str">
        <f>"F22D3.5"</f>
        <v>F22D3.5</v>
      </c>
      <c r="F9490" t="s">
        <v>80</v>
      </c>
      <c r="H9490" s="12">
        <v>-1.8364283036196201</v>
      </c>
      <c r="I9490" s="20">
        <v>-0.43431383045535998</v>
      </c>
      <c r="J9490" s="28">
        <v>0.66406056190834795</v>
      </c>
      <c r="K9490" s="29">
        <v>0.98289565623980701</v>
      </c>
    </row>
    <row r="9491" spans="1:11" x14ac:dyDescent="0.35">
      <c r="A9491" s="9" t="str">
        <f>HYPERLINK("http://www.ensembl.org/id/WBGene00196003", "WBGene00196003")</f>
        <v>WBGene00196003</v>
      </c>
      <c r="B9491" s="9"/>
      <c r="C9491" s="9"/>
      <c r="D9491" t="str">
        <f>"F22D3.7"</f>
        <v>F22D3.7</v>
      </c>
      <c r="F9491" t="s">
        <v>481</v>
      </c>
      <c r="H9491" s="12">
        <v>-3.7261494131482999</v>
      </c>
      <c r="I9491" s="20">
        <v>-0.38454673129429601</v>
      </c>
      <c r="J9491" s="28">
        <v>0.70057326682554</v>
      </c>
      <c r="K9491" s="29">
        <v>0.98289565623980701</v>
      </c>
    </row>
    <row r="9492" spans="1:11" x14ac:dyDescent="0.35">
      <c r="A9492" s="9" t="str">
        <f>HYPERLINK("http://www.ensembl.org/id/WBGene00009055", "WBGene00009055")</f>
        <v>WBGene00009055</v>
      </c>
      <c r="B9492" s="9"/>
      <c r="C9492" s="9"/>
      <c r="D9492" t="str">
        <f>"F22D6.14"</f>
        <v>F22D6.14</v>
      </c>
      <c r="F9492" t="s">
        <v>80</v>
      </c>
      <c r="H9492" s="12">
        <v>-1.2529217790388401</v>
      </c>
      <c r="I9492" s="20">
        <v>-0.61655604087453597</v>
      </c>
      <c r="J9492" s="28">
        <v>0.53752759711366205</v>
      </c>
      <c r="K9492" s="29">
        <v>0.98289565623980701</v>
      </c>
    </row>
    <row r="9493" spans="1:11" x14ac:dyDescent="0.35">
      <c r="A9493" s="9" t="str">
        <f>HYPERLINK("http://www.ensembl.org/id/WBGene00044964", "WBGene00044964")</f>
        <v>WBGene00044964</v>
      </c>
      <c r="B9493" s="9"/>
      <c r="C9493" s="9"/>
      <c r="D9493" t="str">
        <f>"F22D6.16"</f>
        <v>F22D6.16</v>
      </c>
      <c r="F9493" t="s">
        <v>2977</v>
      </c>
      <c r="H9493" s="12">
        <v>-3.5819448292659501</v>
      </c>
      <c r="I9493" s="20">
        <v>-0.37337717500031398</v>
      </c>
      <c r="J9493" s="28">
        <v>0.70886774492290605</v>
      </c>
      <c r="K9493" s="29">
        <v>0.98289565623980701</v>
      </c>
    </row>
    <row r="9494" spans="1:11" x14ac:dyDescent="0.35">
      <c r="A9494" s="9" t="str">
        <f>HYPERLINK("http://www.ensembl.org/id/WBGene00077767", "WBGene00077767")</f>
        <v>WBGene00077767</v>
      </c>
      <c r="B9494" s="9"/>
      <c r="C9494" s="9"/>
      <c r="D9494" t="str">
        <f>"F22D6.17"</f>
        <v>F22D6.17</v>
      </c>
      <c r="F9494" t="s">
        <v>80</v>
      </c>
      <c r="H9494" s="12">
        <v>-2.4991590031922399</v>
      </c>
      <c r="I9494" s="20">
        <v>-0.26577412737581302</v>
      </c>
      <c r="J9494" s="28">
        <v>0.79041317015736101</v>
      </c>
      <c r="K9494" s="29">
        <v>0.98289565623980701</v>
      </c>
    </row>
    <row r="9495" spans="1:11" x14ac:dyDescent="0.35">
      <c r="A9495" s="9" t="str">
        <f>HYPERLINK("http://www.ensembl.org/id/WBGene00043279", "WBGene00043279")</f>
        <v>WBGene00043279</v>
      </c>
      <c r="B9495" s="9" t="str">
        <f>HYPERLINK("http://www.ncbi.nlm.nih.gov/gene/4363015", "4363015")</f>
        <v>4363015</v>
      </c>
      <c r="C9495" s="9"/>
      <c r="D9495" t="str">
        <f>"F22D6.8"</f>
        <v>F22D6.8</v>
      </c>
      <c r="F9495" t="s">
        <v>11</v>
      </c>
      <c r="H9495" s="12">
        <v>-1.55633873634623</v>
      </c>
      <c r="I9495" s="20">
        <v>-0.86918437290741501</v>
      </c>
      <c r="J9495" s="28">
        <v>0.38474629346120798</v>
      </c>
      <c r="K9495" s="29">
        <v>0.98289565623980701</v>
      </c>
    </row>
    <row r="9496" spans="1:11" x14ac:dyDescent="0.35">
      <c r="A9496" s="9" t="str">
        <f>HYPERLINK("http://www.ensembl.org/id/WBGene00009054", "WBGene00009054")</f>
        <v>WBGene00009054</v>
      </c>
      <c r="B9496" s="9" t="str">
        <f>HYPERLINK("http://www.ncbi.nlm.nih.gov/gene/184829", "184829")</f>
        <v>184829</v>
      </c>
      <c r="C9496" s="9"/>
      <c r="D9496" t="str">
        <f>"F22D6.9"</f>
        <v>F22D6.9</v>
      </c>
      <c r="E9496" t="s">
        <v>2496</v>
      </c>
      <c r="F9496" t="s">
        <v>11</v>
      </c>
      <c r="G9496" t="s">
        <v>2497</v>
      </c>
      <c r="H9496" s="12">
        <v>-1.4047585490896199</v>
      </c>
      <c r="I9496" s="20">
        <v>-0.84243590603269003</v>
      </c>
      <c r="J9496" s="28">
        <v>0.39954400186219602</v>
      </c>
      <c r="K9496" s="29">
        <v>0.98289565623980701</v>
      </c>
    </row>
    <row r="9497" spans="1:11" x14ac:dyDescent="0.35">
      <c r="A9497" s="9" t="str">
        <f>HYPERLINK("http://www.ensembl.org/id/WBGene00198678", "WBGene00198678")</f>
        <v>WBGene00198678</v>
      </c>
      <c r="B9497" s="9"/>
      <c r="C9497" s="9"/>
      <c r="D9497" t="str">
        <f>"F22E10.10"</f>
        <v>F22E10.10</v>
      </c>
      <c r="F9497" t="s">
        <v>481</v>
      </c>
      <c r="H9497" s="12">
        <v>11.170998397396099</v>
      </c>
      <c r="I9497" s="20">
        <v>0.72284615686154896</v>
      </c>
      <c r="J9497" s="28">
        <v>0.46977440626377698</v>
      </c>
      <c r="K9497" s="29">
        <v>0.98289565623980701</v>
      </c>
    </row>
    <row r="9498" spans="1:11" x14ac:dyDescent="0.35">
      <c r="A9498" s="9" t="str">
        <f>HYPERLINK("http://www.ensembl.org/id/WBGene00194811", "WBGene00194811")</f>
        <v>WBGene00194811</v>
      </c>
      <c r="B9498" s="9"/>
      <c r="C9498" s="9"/>
      <c r="D9498" t="str">
        <f>"F22E10.6"</f>
        <v>F22E10.6</v>
      </c>
      <c r="F9498" t="s">
        <v>481</v>
      </c>
      <c r="H9498" s="12">
        <v>1.7523330677840001</v>
      </c>
      <c r="I9498" s="20">
        <v>0.54054352886099999</v>
      </c>
      <c r="J9498" s="28">
        <v>0.58882225038170399</v>
      </c>
      <c r="K9498" s="29">
        <v>0.98289565623980701</v>
      </c>
    </row>
    <row r="9499" spans="1:11" x14ac:dyDescent="0.35">
      <c r="A9499" s="9" t="str">
        <f>HYPERLINK("http://www.ensembl.org/id/WBGene00009058", "WBGene00009058")</f>
        <v>WBGene00009058</v>
      </c>
      <c r="B9499" s="9" t="str">
        <f>HYPERLINK("http://www.ncbi.nlm.nih.gov/gene/179460", "179460")</f>
        <v>179460</v>
      </c>
      <c r="C9499" s="9"/>
      <c r="D9499" t="str">
        <f>"F22E12.1"</f>
        <v>F22E12.1</v>
      </c>
      <c r="F9499" t="s">
        <v>11</v>
      </c>
      <c r="G9499" t="s">
        <v>4197</v>
      </c>
      <c r="H9499" s="12">
        <v>1.1186154265745301</v>
      </c>
      <c r="I9499" s="20">
        <v>0.58684581319680895</v>
      </c>
      <c r="J9499" s="28">
        <v>0.55730726496736005</v>
      </c>
      <c r="K9499" s="29">
        <v>0.98289565623980701</v>
      </c>
    </row>
    <row r="9500" spans="1:11" x14ac:dyDescent="0.35">
      <c r="A9500" s="9" t="str">
        <f>HYPERLINK("http://www.ensembl.org/id/WBGene00200497", "WBGene00200497")</f>
        <v>WBGene00200497</v>
      </c>
      <c r="B9500" s="9"/>
      <c r="C9500" s="9"/>
      <c r="D9500" t="str">
        <f>"F22E12.11"</f>
        <v>F22E12.11</v>
      </c>
      <c r="F9500" t="s">
        <v>481</v>
      </c>
      <c r="H9500" s="12">
        <v>-2.64522751747859</v>
      </c>
      <c r="I9500" s="20">
        <v>-0.322957783917381</v>
      </c>
      <c r="J9500" s="28">
        <v>0.74672721379852502</v>
      </c>
      <c r="K9500" s="29">
        <v>0.98289565623980701</v>
      </c>
    </row>
    <row r="9501" spans="1:11" x14ac:dyDescent="0.35">
      <c r="A9501" s="9" t="str">
        <f>HYPERLINK("http://www.ensembl.org/id/WBGene00202124", "WBGene00202124")</f>
        <v>WBGene00202124</v>
      </c>
      <c r="B9501" s="9"/>
      <c r="C9501" s="9"/>
      <c r="D9501" t="str">
        <f>"F22E12.13"</f>
        <v>F22E12.13</v>
      </c>
      <c r="F9501" t="s">
        <v>481</v>
      </c>
      <c r="H9501" s="12">
        <v>-2.2386967852741</v>
      </c>
      <c r="I9501" s="20">
        <v>-0.43755166552708102</v>
      </c>
      <c r="J9501" s="28">
        <v>0.66171131565866104</v>
      </c>
      <c r="K9501" s="29">
        <v>0.98289565623980701</v>
      </c>
    </row>
    <row r="9502" spans="1:11" x14ac:dyDescent="0.35">
      <c r="A9502" s="9" t="str">
        <f>HYPERLINK("http://www.ensembl.org/id/WBGene00197053", "WBGene00197053")</f>
        <v>WBGene00197053</v>
      </c>
      <c r="B9502" s="9"/>
      <c r="C9502" s="9"/>
      <c r="D9502" t="str">
        <f>"F22E12.6"</f>
        <v>F22E12.6</v>
      </c>
      <c r="F9502" t="s">
        <v>481</v>
      </c>
      <c r="H9502" s="12">
        <v>2.3893468495514898</v>
      </c>
      <c r="I9502" s="20">
        <v>0.25323547253672701</v>
      </c>
      <c r="J9502" s="28">
        <v>0.80008625651646104</v>
      </c>
      <c r="K9502" s="29">
        <v>0.98289565623980701</v>
      </c>
    </row>
    <row r="9503" spans="1:11" x14ac:dyDescent="0.35">
      <c r="A9503" s="9" t="str">
        <f>HYPERLINK("http://www.ensembl.org/id/WBGene00017703", "WBGene00017703")</f>
        <v>WBGene00017703</v>
      </c>
      <c r="B9503" s="9" t="str">
        <f>HYPERLINK("http://www.ncbi.nlm.nih.gov/gene/184831", "184831")</f>
        <v>184831</v>
      </c>
      <c r="C9503" s="9"/>
      <c r="D9503" t="str">
        <f>"F22E5.1"</f>
        <v>F22E5.1</v>
      </c>
      <c r="F9503" t="s">
        <v>11</v>
      </c>
      <c r="G9503" t="s">
        <v>25</v>
      </c>
      <c r="H9503" s="12">
        <v>1.7051168597522599</v>
      </c>
      <c r="I9503" s="20">
        <v>1.1744317655804799</v>
      </c>
      <c r="J9503" s="28">
        <v>0.24022212794435499</v>
      </c>
      <c r="K9503" s="29">
        <v>0.98289565623980701</v>
      </c>
    </row>
    <row r="9504" spans="1:11" x14ac:dyDescent="0.35">
      <c r="A9504" s="9" t="str">
        <f>HYPERLINK("http://www.ensembl.org/id/WBGene00017709", "WBGene00017709")</f>
        <v>WBGene00017709</v>
      </c>
      <c r="B9504" s="9" t="str">
        <f>HYPERLINK("http://www.ncbi.nlm.nih.gov/gene/184839", "184839")</f>
        <v>184839</v>
      </c>
      <c r="C9504" s="9"/>
      <c r="D9504" t="str">
        <f>"F22E5.11"</f>
        <v>F22E5.11</v>
      </c>
      <c r="F9504" t="s">
        <v>11</v>
      </c>
      <c r="G9504" t="s">
        <v>817</v>
      </c>
      <c r="H9504" s="12">
        <v>-1.5881318890615499</v>
      </c>
      <c r="I9504" s="20">
        <v>-1.00864410894475</v>
      </c>
      <c r="J9504" s="28">
        <v>0.313145345232204</v>
      </c>
      <c r="K9504" s="29">
        <v>0.98289565623980701</v>
      </c>
    </row>
    <row r="9505" spans="1:11" x14ac:dyDescent="0.35">
      <c r="A9505" s="9" t="str">
        <f>HYPERLINK("http://www.ensembl.org/id/WBGene00017711", "WBGene00017711")</f>
        <v>WBGene00017711</v>
      </c>
      <c r="B9505" s="9" t="str">
        <f>HYPERLINK("http://www.ncbi.nlm.nih.gov/gene/184841", "184841")</f>
        <v>184841</v>
      </c>
      <c r="C9505" s="9"/>
      <c r="D9505" t="str">
        <f>"F22E5.13"</f>
        <v>F22E5.13</v>
      </c>
      <c r="F9505" t="s">
        <v>11</v>
      </c>
      <c r="H9505" s="12">
        <v>-1.1475457197037999</v>
      </c>
      <c r="I9505" s="20">
        <v>-0.53568964512398298</v>
      </c>
      <c r="J9505" s="28">
        <v>0.59217306127541003</v>
      </c>
      <c r="K9505" s="29">
        <v>0.98289565623980701</v>
      </c>
    </row>
    <row r="9506" spans="1:11" x14ac:dyDescent="0.35">
      <c r="A9506" s="9" t="str">
        <f>HYPERLINK("http://www.ensembl.org/id/WBGene00023272", "WBGene00023272")</f>
        <v>WBGene00023272</v>
      </c>
      <c r="B9506" s="9"/>
      <c r="C9506" s="9"/>
      <c r="D9506" t="str">
        <f>"F22E5.19"</f>
        <v>F22E5.19</v>
      </c>
      <c r="F9506" t="s">
        <v>80</v>
      </c>
      <c r="H9506" s="12">
        <v>2.3893468495514898</v>
      </c>
      <c r="I9506" s="20">
        <v>0.25323547253672701</v>
      </c>
      <c r="J9506" s="28">
        <v>0.80008625651646104</v>
      </c>
      <c r="K9506" s="29">
        <v>0.98289565623980701</v>
      </c>
    </row>
    <row r="9507" spans="1:11" x14ac:dyDescent="0.35">
      <c r="A9507" s="9" t="str">
        <f>HYPERLINK("http://www.ensembl.org/id/WBGene00017713", "WBGene00017713")</f>
        <v>WBGene00017713</v>
      </c>
      <c r="B9507" s="9" t="str">
        <f>HYPERLINK("http://www.ncbi.nlm.nih.gov/gene/3565664", "3565664")</f>
        <v>3565664</v>
      </c>
      <c r="C9507" s="9"/>
      <c r="D9507" t="str">
        <f>"F22E5.20"</f>
        <v>F22E5.20</v>
      </c>
      <c r="F9507" t="s">
        <v>11</v>
      </c>
      <c r="H9507" s="12">
        <v>1.1572111383106101</v>
      </c>
      <c r="I9507" s="20">
        <v>0.325127436053265</v>
      </c>
      <c r="J9507" s="28">
        <v>0.74508462503124095</v>
      </c>
      <c r="K9507" s="29">
        <v>0.98289565623980701</v>
      </c>
    </row>
    <row r="9508" spans="1:11" x14ac:dyDescent="0.35">
      <c r="A9508" s="9" t="str">
        <f>HYPERLINK("http://www.ensembl.org/id/WBGene00044363", "WBGene00044363")</f>
        <v>WBGene00044363</v>
      </c>
      <c r="B9508" s="9" t="str">
        <f>HYPERLINK("http://www.ncbi.nlm.nih.gov/gene/3564993", "3564993")</f>
        <v>3564993</v>
      </c>
      <c r="C9508" s="9"/>
      <c r="D9508" t="str">
        <f>"F22E5.21"</f>
        <v>F22E5.21</v>
      </c>
      <c r="F9508" t="s">
        <v>11</v>
      </c>
      <c r="H9508" s="12">
        <v>1.6819706394856699</v>
      </c>
      <c r="I9508" s="20">
        <v>0.51390030046898205</v>
      </c>
      <c r="J9508" s="28">
        <v>0.60732169742271203</v>
      </c>
      <c r="K9508" s="29">
        <v>0.98289565623980701</v>
      </c>
    </row>
    <row r="9509" spans="1:11" x14ac:dyDescent="0.35">
      <c r="A9509" s="9" t="str">
        <f>HYPERLINK("http://www.ensembl.org/id/WBGene00017705", "WBGene00017705")</f>
        <v>WBGene00017705</v>
      </c>
      <c r="B9509" s="9" t="str">
        <f>HYPERLINK("http://www.ncbi.nlm.nih.gov/gene/184835", "184835")</f>
        <v>184835</v>
      </c>
      <c r="C9509" s="9"/>
      <c r="D9509" t="str">
        <f>"F22E5.6"</f>
        <v>F22E5.6</v>
      </c>
      <c r="F9509" t="s">
        <v>11</v>
      </c>
      <c r="G9509" t="s">
        <v>817</v>
      </c>
      <c r="H9509" s="12">
        <v>1.2035528180586199</v>
      </c>
      <c r="I9509" s="20">
        <v>0.26276049642608801</v>
      </c>
      <c r="J9509" s="28">
        <v>0.79273518514216401</v>
      </c>
      <c r="K9509" s="29">
        <v>0.98289565623980701</v>
      </c>
    </row>
    <row r="9510" spans="1:11" x14ac:dyDescent="0.35">
      <c r="A9510" s="9" t="str">
        <f>HYPERLINK("http://www.ensembl.org/id/WBGene00017706", "WBGene00017706")</f>
        <v>WBGene00017706</v>
      </c>
      <c r="B9510" s="9" t="str">
        <f>HYPERLINK("http://www.ncbi.nlm.nih.gov/gene/184836", "184836")</f>
        <v>184836</v>
      </c>
      <c r="C9510" s="9"/>
      <c r="D9510" t="str">
        <f>"F22E5.7"</f>
        <v>F22E5.7</v>
      </c>
      <c r="F9510" t="s">
        <v>11</v>
      </c>
      <c r="H9510" s="12">
        <v>3.7287515576388399</v>
      </c>
      <c r="I9510" s="20">
        <v>1.0717071867411301</v>
      </c>
      <c r="J9510" s="28">
        <v>0.28385157183206999</v>
      </c>
      <c r="K9510" s="29">
        <v>0.98289565623980701</v>
      </c>
    </row>
    <row r="9511" spans="1:11" x14ac:dyDescent="0.35">
      <c r="A9511" s="9" t="str">
        <f>HYPERLINK("http://www.ensembl.org/id/WBGene00017707", "WBGene00017707")</f>
        <v>WBGene00017707</v>
      </c>
      <c r="B9511" s="9" t="str">
        <f>HYPERLINK("http://www.ncbi.nlm.nih.gov/gene/173610", "173610")</f>
        <v>173610</v>
      </c>
      <c r="C9511" s="9"/>
      <c r="D9511" t="str">
        <f>"F22E5.8"</f>
        <v>F22E5.8</v>
      </c>
      <c r="F9511" t="s">
        <v>11</v>
      </c>
      <c r="G9511" t="s">
        <v>817</v>
      </c>
      <c r="H9511" s="12">
        <v>-7.7963110476608897</v>
      </c>
      <c r="I9511" s="20">
        <v>-1.11434516091491</v>
      </c>
      <c r="J9511" s="28">
        <v>0.265131139753641</v>
      </c>
      <c r="K9511" s="29">
        <v>0.98289565623980701</v>
      </c>
    </row>
    <row r="9512" spans="1:11" x14ac:dyDescent="0.35">
      <c r="A9512" s="9" t="str">
        <f>HYPERLINK("http://www.ensembl.org/id/WBGene00017714", "WBGene00017714")</f>
        <v>WBGene00017714</v>
      </c>
      <c r="B9512" s="9" t="str">
        <f>HYPERLINK("http://www.ncbi.nlm.nih.gov/gene/184850", "184850")</f>
        <v>184850</v>
      </c>
      <c r="C9512" s="9"/>
      <c r="D9512" t="str">
        <f>"F22F1.2"</f>
        <v>F22F1.2</v>
      </c>
      <c r="F9512" t="s">
        <v>11</v>
      </c>
      <c r="G9512" t="s">
        <v>961</v>
      </c>
      <c r="H9512" s="12">
        <v>-1.9203408624732401</v>
      </c>
      <c r="I9512" s="20">
        <v>-0.85736255878508605</v>
      </c>
      <c r="J9512" s="28">
        <v>0.39124454472704201</v>
      </c>
      <c r="K9512" s="29">
        <v>0.98289565623980701</v>
      </c>
    </row>
    <row r="9513" spans="1:11" x14ac:dyDescent="0.35">
      <c r="A9513" s="9" t="str">
        <f>HYPERLINK("http://www.ensembl.org/id/WBGene00196632", "WBGene00196632")</f>
        <v>WBGene00196632</v>
      </c>
      <c r="B9513" s="9"/>
      <c r="C9513" s="9"/>
      <c r="D9513" t="str">
        <f>"F22F4.8"</f>
        <v>F22F4.8</v>
      </c>
      <c r="F9513" t="s">
        <v>481</v>
      </c>
      <c r="H9513" s="12">
        <v>-2.4295389261469</v>
      </c>
      <c r="I9513" s="20">
        <v>-0.25808529976640998</v>
      </c>
      <c r="J9513" s="28">
        <v>0.79634107645457397</v>
      </c>
      <c r="K9513" s="29">
        <v>0.98289565623980701</v>
      </c>
    </row>
    <row r="9514" spans="1:11" x14ac:dyDescent="0.35">
      <c r="A9514" s="9" t="str">
        <f>HYPERLINK("http://www.ensembl.org/id/WBGene00271606", "WBGene00271606")</f>
        <v>WBGene00271606</v>
      </c>
      <c r="B9514" s="9" t="str">
        <f>HYPERLINK("http://www.ncbi.nlm.nih.gov/gene/32091598", "32091598")</f>
        <v>32091598</v>
      </c>
      <c r="C9514" s="9"/>
      <c r="D9514" t="str">
        <f>"F22F4.9"</f>
        <v>F22F4.9</v>
      </c>
      <c r="F9514" t="s">
        <v>11</v>
      </c>
      <c r="H9514" s="12">
        <v>1.47607284810288</v>
      </c>
      <c r="I9514" s="20">
        <v>1.14740518455382</v>
      </c>
      <c r="J9514" s="28">
        <v>0.25121419945172901</v>
      </c>
      <c r="K9514" s="29">
        <v>0.98289565623980701</v>
      </c>
    </row>
    <row r="9515" spans="1:11" x14ac:dyDescent="0.35">
      <c r="A9515" s="9" t="str">
        <f>HYPERLINK("http://www.ensembl.org/id/WBGene00235326", "WBGene00235326")</f>
        <v>WBGene00235326</v>
      </c>
      <c r="B9515" s="9" t="str">
        <f>HYPERLINK("http://www.ncbi.nlm.nih.gov/gene/24104471", "24104471")</f>
        <v>24104471</v>
      </c>
      <c r="C9515" s="9"/>
      <c r="D9515" t="str">
        <f>"F22F7.11"</f>
        <v>F22F7.11</v>
      </c>
      <c r="F9515" t="s">
        <v>11</v>
      </c>
      <c r="H9515" s="12">
        <v>-4.7167679298615104</v>
      </c>
      <c r="I9515" s="20">
        <v>-0.454742638005115</v>
      </c>
      <c r="J9515" s="28">
        <v>0.64929440216969203</v>
      </c>
      <c r="K9515" s="29">
        <v>0.98289565623980701</v>
      </c>
    </row>
    <row r="9516" spans="1:11" x14ac:dyDescent="0.35">
      <c r="A9516" s="9" t="str">
        <f>HYPERLINK("http://www.ensembl.org/id/WBGene00017720", "WBGene00017720")</f>
        <v>WBGene00017720</v>
      </c>
      <c r="B9516" s="9" t="str">
        <f>HYPERLINK("http://www.ncbi.nlm.nih.gov/gene/184861", "184861")</f>
        <v>184861</v>
      </c>
      <c r="C9516" s="9" t="str">
        <f>HYPERLINK("http://www.ncbi.nlm.nih.gov/gene/51097", "51097")</f>
        <v>51097</v>
      </c>
      <c r="D9516" t="str">
        <f>"F22F7.2"</f>
        <v>F22F7.2</v>
      </c>
      <c r="F9516" t="s">
        <v>11</v>
      </c>
      <c r="G9516" t="s">
        <v>5371</v>
      </c>
      <c r="H9516" s="12">
        <v>1.1815814075193001</v>
      </c>
      <c r="I9516" s="20">
        <v>0.49246861806351799</v>
      </c>
      <c r="J9516" s="28">
        <v>0.62238810148172796</v>
      </c>
      <c r="K9516" s="29">
        <v>0.98289565623980701</v>
      </c>
    </row>
    <row r="9517" spans="1:11" x14ac:dyDescent="0.35">
      <c r="A9517" s="9" t="str">
        <f>HYPERLINK("http://www.ensembl.org/id/WBGene00017722", "WBGene00017722")</f>
        <v>WBGene00017722</v>
      </c>
      <c r="B9517" s="9" t="str">
        <f>HYPERLINK("http://www.ncbi.nlm.nih.gov/gene/184863", "184863")</f>
        <v>184863</v>
      </c>
      <c r="C9517" s="9"/>
      <c r="D9517" t="str">
        <f>"F22F7.4"</f>
        <v>F22F7.4</v>
      </c>
      <c r="F9517" t="s">
        <v>11</v>
      </c>
      <c r="G9517" t="s">
        <v>1686</v>
      </c>
      <c r="H9517" s="12">
        <v>1.5610999564504699</v>
      </c>
      <c r="I9517" s="20">
        <v>0.71613426584696505</v>
      </c>
      <c r="J9517" s="28">
        <v>0.473908447315604</v>
      </c>
      <c r="K9517" s="29">
        <v>0.98289565623980701</v>
      </c>
    </row>
    <row r="9518" spans="1:11" x14ac:dyDescent="0.35">
      <c r="A9518" s="9" t="str">
        <f>HYPERLINK("http://www.ensembl.org/id/WBGene00017724", "WBGene00017724")</f>
        <v>WBGene00017724</v>
      </c>
      <c r="B9518" s="9" t="str">
        <f>HYPERLINK("http://www.ncbi.nlm.nih.gov/gene/178693", "178693")</f>
        <v>178693</v>
      </c>
      <c r="C9518" s="9" t="str">
        <f>HYPERLINK("http://www.ncbi.nlm.nih.gov/gene/79094", "79094")</f>
        <v>79094</v>
      </c>
      <c r="D9518" t="str">
        <f>"F22F7.7"</f>
        <v>F22F7.7</v>
      </c>
      <c r="E9518" t="s">
        <v>5784</v>
      </c>
      <c r="F9518" t="s">
        <v>11</v>
      </c>
      <c r="G9518" t="s">
        <v>5785</v>
      </c>
      <c r="H9518" s="12">
        <v>1.1036048267541201</v>
      </c>
      <c r="I9518" s="20">
        <v>0.48113443486562701</v>
      </c>
      <c r="J9518" s="28">
        <v>0.63042095579708901</v>
      </c>
      <c r="K9518" s="29">
        <v>0.98289565623980701</v>
      </c>
    </row>
    <row r="9519" spans="1:11" x14ac:dyDescent="0.35">
      <c r="A9519" s="9" t="str">
        <f>HYPERLINK("http://www.ensembl.org/id/WBGene00009063", "WBGene00009063")</f>
        <v>WBGene00009063</v>
      </c>
      <c r="B9519" s="9" t="str">
        <f>HYPERLINK("http://www.ncbi.nlm.nih.gov/gene/184868", "184868")</f>
        <v>184868</v>
      </c>
      <c r="C9519" s="9"/>
      <c r="D9519" t="str">
        <f>"F22G12.3"</f>
        <v>F22G12.3</v>
      </c>
      <c r="F9519" t="s">
        <v>11</v>
      </c>
      <c r="G9519" t="s">
        <v>54</v>
      </c>
      <c r="H9519" s="12">
        <v>1.7423702908318</v>
      </c>
      <c r="I9519" s="20">
        <v>0.60122849844432902</v>
      </c>
      <c r="J9519" s="28">
        <v>0.54768780556254604</v>
      </c>
      <c r="K9519" s="29">
        <v>0.98289565623980701</v>
      </c>
    </row>
    <row r="9520" spans="1:11" x14ac:dyDescent="0.35">
      <c r="A9520" s="9" t="str">
        <f>HYPERLINK("http://www.ensembl.org/id/WBGene00009065", "WBGene00009065")</f>
        <v>WBGene00009065</v>
      </c>
      <c r="B9520" s="9" t="str">
        <f>HYPERLINK("http://www.ncbi.nlm.nih.gov/gene/173181", "173181")</f>
        <v>173181</v>
      </c>
      <c r="C9520" s="9" t="str">
        <f>HYPERLINK("http://www.ncbi.nlm.nih.gov/gene/23348", "23348")</f>
        <v>23348</v>
      </c>
      <c r="D9520" t="str">
        <f>"F22G12.5"</f>
        <v>F22G12.5</v>
      </c>
      <c r="F9520" t="s">
        <v>11</v>
      </c>
      <c r="G9520" t="s">
        <v>5083</v>
      </c>
      <c r="H9520" s="12">
        <v>-1.2395630596306699</v>
      </c>
      <c r="I9520" s="20">
        <v>-1.15455565157637</v>
      </c>
      <c r="J9520" s="28">
        <v>0.24827243648484701</v>
      </c>
      <c r="K9520" s="29">
        <v>0.98289565623980701</v>
      </c>
    </row>
    <row r="9521" spans="1:11" x14ac:dyDescent="0.35">
      <c r="A9521" s="9" t="str">
        <f>HYPERLINK("http://www.ensembl.org/id/WBGene00017725", "WBGene00017725")</f>
        <v>WBGene00017725</v>
      </c>
      <c r="B9521" s="9" t="str">
        <f>HYPERLINK("http://www.ncbi.nlm.nih.gov/gene/184871", "184871")</f>
        <v>184871</v>
      </c>
      <c r="C9521" s="9"/>
      <c r="D9521" t="str">
        <f>"F22H10.1"</f>
        <v>F22H10.1</v>
      </c>
      <c r="F9521" t="s">
        <v>11</v>
      </c>
      <c r="G9521" t="s">
        <v>112</v>
      </c>
      <c r="H9521" s="12">
        <v>2.4578120077400301</v>
      </c>
      <c r="I9521" s="20">
        <v>0.26093350314551</v>
      </c>
      <c r="J9521" s="28">
        <v>0.79414378780213601</v>
      </c>
      <c r="K9521" s="29">
        <v>0.98289565623980701</v>
      </c>
    </row>
    <row r="9522" spans="1:11" x14ac:dyDescent="0.35">
      <c r="A9522" s="9" t="str">
        <f>HYPERLINK("http://www.ensembl.org/id/WBGene00219912", "WBGene00219912")</f>
        <v>WBGene00219912</v>
      </c>
      <c r="B9522" s="9"/>
      <c r="C9522" s="9"/>
      <c r="D9522" t="str">
        <f>"F22H10.10"</f>
        <v>F22H10.10</v>
      </c>
      <c r="F9522" t="s">
        <v>481</v>
      </c>
      <c r="H9522" s="12">
        <v>-1.82620823499211</v>
      </c>
      <c r="I9522" s="20">
        <v>-1.04347116042216</v>
      </c>
      <c r="J9522" s="28">
        <v>0.29673013094752099</v>
      </c>
      <c r="K9522" s="29">
        <v>0.98289565623980701</v>
      </c>
    </row>
    <row r="9523" spans="1:11" x14ac:dyDescent="0.35">
      <c r="A9523" s="9" t="str">
        <f>HYPERLINK("http://www.ensembl.org/id/WBGene00017726", "WBGene00017726")</f>
        <v>WBGene00017726</v>
      </c>
      <c r="B9523" s="9" t="str">
        <f>HYPERLINK("http://www.ncbi.nlm.nih.gov/gene/184872", "184872")</f>
        <v>184872</v>
      </c>
      <c r="C9523" s="9"/>
      <c r="D9523" t="str">
        <f>"F22H10.2"</f>
        <v>F22H10.2</v>
      </c>
      <c r="F9523" t="s">
        <v>11</v>
      </c>
      <c r="G9523" t="s">
        <v>5020</v>
      </c>
      <c r="H9523" s="12">
        <v>1.2589939499171801</v>
      </c>
      <c r="I9523" s="20">
        <v>0.90711154373088299</v>
      </c>
      <c r="J9523" s="28">
        <v>0.36434781417011802</v>
      </c>
      <c r="K9523" s="29">
        <v>0.98289565623980701</v>
      </c>
    </row>
    <row r="9524" spans="1:11" x14ac:dyDescent="0.35">
      <c r="A9524" s="9" t="str">
        <f>HYPERLINK("http://www.ensembl.org/id/WBGene00017727", "WBGene00017727")</f>
        <v>WBGene00017727</v>
      </c>
      <c r="B9524" s="9" t="str">
        <f>HYPERLINK("http://www.ncbi.nlm.nih.gov/gene/184873", "184873")</f>
        <v>184873</v>
      </c>
      <c r="C9524" s="9"/>
      <c r="D9524" t="str">
        <f>"F22H10.3"</f>
        <v>F22H10.3</v>
      </c>
      <c r="F9524" t="s">
        <v>11</v>
      </c>
      <c r="H9524" s="12">
        <v>-1.1481260877474699</v>
      </c>
      <c r="I9524" s="20">
        <v>-0.75758957931361903</v>
      </c>
      <c r="J9524" s="28">
        <v>0.44869672047329401</v>
      </c>
      <c r="K9524" s="29">
        <v>0.98289565623980701</v>
      </c>
    </row>
    <row r="9525" spans="1:11" x14ac:dyDescent="0.35">
      <c r="A9525" s="9" t="str">
        <f>HYPERLINK("http://www.ensembl.org/id/WBGene00023012", "WBGene00023012")</f>
        <v>WBGene00023012</v>
      </c>
      <c r="B9525" s="9"/>
      <c r="C9525" s="9"/>
      <c r="D9525" t="str">
        <f>"F22H10.t1"</f>
        <v>F22H10.t1</v>
      </c>
      <c r="F9525" t="s">
        <v>4208</v>
      </c>
      <c r="H9525" s="12">
        <v>-1.4900314353250601</v>
      </c>
      <c r="I9525" s="20">
        <v>-0.28386229875426999</v>
      </c>
      <c r="J9525" s="28">
        <v>0.77651590973273799</v>
      </c>
      <c r="K9525" s="29">
        <v>0.98289565623980701</v>
      </c>
    </row>
    <row r="9526" spans="1:11" x14ac:dyDescent="0.35">
      <c r="A9526" s="9" t="str">
        <f>HYPERLINK("http://www.ensembl.org/id/WBGene00009067", "WBGene00009067")</f>
        <v>WBGene00009067</v>
      </c>
      <c r="B9526" s="9" t="str">
        <f>HYPERLINK("http://www.ncbi.nlm.nih.gov/gene/181695", "181695")</f>
        <v>181695</v>
      </c>
      <c r="C9526" s="9"/>
      <c r="D9526" t="str">
        <f>"F23A7.1"</f>
        <v>F23A7.1</v>
      </c>
      <c r="F9526" t="s">
        <v>11</v>
      </c>
      <c r="G9526" t="s">
        <v>25</v>
      </c>
      <c r="H9526" s="12">
        <v>-1.26150723713335</v>
      </c>
      <c r="I9526" s="20">
        <v>-0.39073194156847701</v>
      </c>
      <c r="J9526" s="28">
        <v>0.69599538609712797</v>
      </c>
      <c r="K9526" s="29">
        <v>0.98289565623980701</v>
      </c>
    </row>
    <row r="9527" spans="1:11" x14ac:dyDescent="0.35">
      <c r="A9527" s="9" t="str">
        <f>HYPERLINK("http://www.ensembl.org/id/WBGene00009068", "WBGene00009068")</f>
        <v>WBGene00009068</v>
      </c>
      <c r="B9527" s="9" t="str">
        <f>HYPERLINK("http://www.ncbi.nlm.nih.gov/gene/184878", "184878")</f>
        <v>184878</v>
      </c>
      <c r="C9527" s="9"/>
      <c r="D9527" t="str">
        <f>"F23A7.3"</f>
        <v>F23A7.3</v>
      </c>
      <c r="F9527" t="s">
        <v>11</v>
      </c>
      <c r="H9527" s="12">
        <v>1.2958473252668401</v>
      </c>
      <c r="I9527" s="20">
        <v>0.96111417548827405</v>
      </c>
      <c r="J9527" s="28">
        <v>0.336494762921976</v>
      </c>
      <c r="K9527" s="29">
        <v>0.98289565623980701</v>
      </c>
    </row>
    <row r="9528" spans="1:11" x14ac:dyDescent="0.35">
      <c r="A9528" s="9" t="str">
        <f>HYPERLINK("http://www.ensembl.org/id/WBGene00009069", "WBGene00009069")</f>
        <v>WBGene00009069</v>
      </c>
      <c r="B9528" s="9" t="str">
        <f>HYPERLINK("http://www.ncbi.nlm.nih.gov/gene/184879", "184879")</f>
        <v>184879</v>
      </c>
      <c r="C9528" s="9"/>
      <c r="D9528" t="str">
        <f>"F23A7.4"</f>
        <v>F23A7.4</v>
      </c>
      <c r="F9528" t="s">
        <v>11</v>
      </c>
      <c r="H9528" s="12">
        <v>-1.16097291008267</v>
      </c>
      <c r="I9528" s="20">
        <v>-0.66849032026546595</v>
      </c>
      <c r="J9528" s="28">
        <v>0.5038206587038</v>
      </c>
      <c r="K9528" s="29">
        <v>0.98289565623980701</v>
      </c>
    </row>
    <row r="9529" spans="1:11" x14ac:dyDescent="0.35">
      <c r="A9529" s="9" t="str">
        <f>HYPERLINK("http://www.ensembl.org/id/WBGene00009070", "WBGene00009070")</f>
        <v>WBGene00009070</v>
      </c>
      <c r="B9529" s="9" t="str">
        <f>HYPERLINK("http://www.ncbi.nlm.nih.gov/gene/184880", "184880")</f>
        <v>184880</v>
      </c>
      <c r="C9529" s="9"/>
      <c r="D9529" t="str">
        <f>"F23A7.5"</f>
        <v>F23A7.5</v>
      </c>
      <c r="F9529" t="s">
        <v>11</v>
      </c>
      <c r="H9529" s="12">
        <v>-1.2191144012311701</v>
      </c>
      <c r="I9529" s="20">
        <v>-0.51234546528230296</v>
      </c>
      <c r="J9529" s="28">
        <v>0.60840925081314001</v>
      </c>
      <c r="K9529" s="29">
        <v>0.98289565623980701</v>
      </c>
    </row>
    <row r="9530" spans="1:11" x14ac:dyDescent="0.35">
      <c r="A9530" s="9" t="str">
        <f>HYPERLINK("http://www.ensembl.org/id/WBGene00009071", "WBGene00009071")</f>
        <v>WBGene00009071</v>
      </c>
      <c r="B9530" s="9"/>
      <c r="C9530" s="9"/>
      <c r="D9530" t="str">
        <f>"F23A7.6"</f>
        <v>F23A7.6</v>
      </c>
      <c r="F9530" t="s">
        <v>80</v>
      </c>
      <c r="H9530" s="12">
        <v>1.38204024614014</v>
      </c>
      <c r="I9530" s="20">
        <v>0.74937728562538997</v>
      </c>
      <c r="J9530" s="28">
        <v>0.453629837538364</v>
      </c>
      <c r="K9530" s="29">
        <v>0.98289565623980701</v>
      </c>
    </row>
    <row r="9531" spans="1:11" x14ac:dyDescent="0.35">
      <c r="A9531" s="9" t="str">
        <f>HYPERLINK("http://www.ensembl.org/id/WBGene00044638", "WBGene00044638")</f>
        <v>WBGene00044638</v>
      </c>
      <c r="B9531" s="9" t="str">
        <f>HYPERLINK("http://www.ncbi.nlm.nih.gov/gene/3896896", "3896896")</f>
        <v>3896896</v>
      </c>
      <c r="C9531" s="9"/>
      <c r="D9531" t="str">
        <f>"F23A7.8"</f>
        <v>F23A7.8</v>
      </c>
      <c r="F9531" t="s">
        <v>11</v>
      </c>
      <c r="H9531" s="12">
        <v>-1.2622510807824301</v>
      </c>
      <c r="I9531" s="20">
        <v>-0.86853087131375994</v>
      </c>
      <c r="J9531" s="28">
        <v>0.385103779686575</v>
      </c>
      <c r="K9531" s="29">
        <v>0.98289565623980701</v>
      </c>
    </row>
    <row r="9532" spans="1:11" x14ac:dyDescent="0.35">
      <c r="A9532" s="9" t="str">
        <f>HYPERLINK("http://www.ensembl.org/id/WBGene00009079", "WBGene00009079")</f>
        <v>WBGene00009079</v>
      </c>
      <c r="B9532" s="9" t="str">
        <f>HYPERLINK("http://www.ncbi.nlm.nih.gov/gene/184887", "184887")</f>
        <v>184887</v>
      </c>
      <c r="C9532" s="9"/>
      <c r="D9532" t="str">
        <f>"F23B12.1"</f>
        <v>F23B12.1</v>
      </c>
      <c r="E9532" t="s">
        <v>2496</v>
      </c>
      <c r="F9532" t="s">
        <v>11</v>
      </c>
      <c r="G9532" t="s">
        <v>2497</v>
      </c>
      <c r="H9532" s="12">
        <v>-2.67072373905427</v>
      </c>
      <c r="I9532" s="20">
        <v>-0.765346279061069</v>
      </c>
      <c r="J9532" s="28">
        <v>0.44406537305935001</v>
      </c>
      <c r="K9532" s="29">
        <v>0.98289565623980701</v>
      </c>
    </row>
    <row r="9533" spans="1:11" x14ac:dyDescent="0.35">
      <c r="A9533" s="9" t="str">
        <f>HYPERLINK("http://www.ensembl.org/id/WBGene00009084", "WBGene00009084")</f>
        <v>WBGene00009084</v>
      </c>
      <c r="B9533" s="9" t="str">
        <f>HYPERLINK("http://www.ncbi.nlm.nih.gov/gene/179947", "179947")</f>
        <v>179947</v>
      </c>
      <c r="C9533" s="9" t="str">
        <f>HYPERLINK("http://www.ncbi.nlm.nih.gov/gene/10153", "10153")</f>
        <v>10153</v>
      </c>
      <c r="D9533" t="str">
        <f>"F23B12.7"</f>
        <v>F23B12.7</v>
      </c>
      <c r="F9533" t="s">
        <v>11</v>
      </c>
      <c r="G9533" t="s">
        <v>228</v>
      </c>
      <c r="H9533" s="12">
        <v>-1.1911988194001699</v>
      </c>
      <c r="I9533" s="20">
        <v>-0.85968430184945899</v>
      </c>
      <c r="J9533" s="28">
        <v>0.389963090468467</v>
      </c>
      <c r="K9533" s="29">
        <v>0.98289565623980701</v>
      </c>
    </row>
    <row r="9534" spans="1:11" x14ac:dyDescent="0.35">
      <c r="A9534" s="9" t="str">
        <f>HYPERLINK("http://www.ensembl.org/id/WBGene00009077", "WBGene00009077")</f>
        <v>WBGene00009077</v>
      </c>
      <c r="B9534" s="9" t="str">
        <f>HYPERLINK("http://www.ncbi.nlm.nih.gov/gene/184885", "184885")</f>
        <v>184885</v>
      </c>
      <c r="C9534" s="9"/>
      <c r="D9534" t="str">
        <f>"F23B2.10"</f>
        <v>F23B2.10</v>
      </c>
      <c r="F9534" t="s">
        <v>11</v>
      </c>
      <c r="G9534" t="s">
        <v>51</v>
      </c>
      <c r="H9534" s="12">
        <v>3.6444830069407601</v>
      </c>
      <c r="I9534" s="20">
        <v>0.85861597893727004</v>
      </c>
      <c r="J9534" s="28">
        <v>0.39055241939629198</v>
      </c>
      <c r="K9534" s="29">
        <v>0.98289565623980701</v>
      </c>
    </row>
    <row r="9535" spans="1:11" x14ac:dyDescent="0.35">
      <c r="A9535" s="9" t="str">
        <f>HYPERLINK("http://www.ensembl.org/id/WBGene00017739", "WBGene00017739")</f>
        <v>WBGene00017739</v>
      </c>
      <c r="B9535" s="9"/>
      <c r="C9535" s="9"/>
      <c r="D9535" t="str">
        <f>"F23C8.11"</f>
        <v>F23C8.11</v>
      </c>
      <c r="F9535" t="s">
        <v>80</v>
      </c>
      <c r="H9535" s="12">
        <v>-2.63121112254015</v>
      </c>
      <c r="I9535" s="20">
        <v>-0.34824138835296797</v>
      </c>
      <c r="J9535" s="28">
        <v>0.72765890731954697</v>
      </c>
      <c r="K9535" s="29">
        <v>0.98289565623980701</v>
      </c>
    </row>
    <row r="9536" spans="1:11" x14ac:dyDescent="0.35">
      <c r="A9536" s="9" t="str">
        <f>HYPERLINK("http://www.ensembl.org/id/WBGene00017741", "WBGene00017741")</f>
        <v>WBGene00017741</v>
      </c>
      <c r="B9536" s="9" t="str">
        <f>HYPERLINK("http://www.ncbi.nlm.nih.gov/gene/171799", "171799")</f>
        <v>171799</v>
      </c>
      <c r="C9536" s="9"/>
      <c r="D9536" t="str">
        <f>"F23C8.13"</f>
        <v>F23C8.13</v>
      </c>
      <c r="F9536" t="s">
        <v>11</v>
      </c>
      <c r="G9536" t="s">
        <v>54</v>
      </c>
      <c r="H9536" s="12">
        <v>1.2221843449493599</v>
      </c>
      <c r="I9536" s="20">
        <v>0.63140189450506901</v>
      </c>
      <c r="J9536" s="28">
        <v>0.52777777760434896</v>
      </c>
      <c r="K9536" s="29">
        <v>0.98289565623980701</v>
      </c>
    </row>
    <row r="9537" spans="1:11" x14ac:dyDescent="0.35">
      <c r="A9537" s="9" t="str">
        <f>HYPERLINK("http://www.ensembl.org/id/WBGene00023273", "WBGene00023273")</f>
        <v>WBGene00023273</v>
      </c>
      <c r="B9537" s="9"/>
      <c r="C9537" s="9"/>
      <c r="D9537" t="str">
        <f>"F23C8.2"</f>
        <v>F23C8.2</v>
      </c>
      <c r="F9537" t="s">
        <v>80</v>
      </c>
      <c r="H9537" s="12">
        <v>-3.5819448292659501</v>
      </c>
      <c r="I9537" s="20">
        <v>-0.37337717500031398</v>
      </c>
      <c r="J9537" s="28">
        <v>0.70886774492290605</v>
      </c>
      <c r="K9537" s="29">
        <v>0.98289565623980701</v>
      </c>
    </row>
    <row r="9538" spans="1:11" x14ac:dyDescent="0.35">
      <c r="A9538" s="9" t="str">
        <f>HYPERLINK("http://www.ensembl.org/id/WBGene00017732", "WBGene00017732")</f>
        <v>WBGene00017732</v>
      </c>
      <c r="B9538" s="9" t="str">
        <f>HYPERLINK("http://www.ncbi.nlm.nih.gov/gene/184891", "184891")</f>
        <v>184891</v>
      </c>
      <c r="C9538" s="9"/>
      <c r="D9538" t="str">
        <f>"F23C8.3"</f>
        <v>F23C8.3</v>
      </c>
      <c r="F9538" t="s">
        <v>11</v>
      </c>
      <c r="H9538" s="12">
        <v>1.19107514408674</v>
      </c>
      <c r="I9538" s="20">
        <v>0.53390683166413999</v>
      </c>
      <c r="J9538" s="28">
        <v>0.59340599526558302</v>
      </c>
      <c r="K9538" s="29">
        <v>0.98289565623980701</v>
      </c>
    </row>
    <row r="9539" spans="1:11" x14ac:dyDescent="0.35">
      <c r="A9539" s="9" t="str">
        <f>HYPERLINK("http://www.ensembl.org/id/WBGene00017734", "WBGene00017734")</f>
        <v>WBGene00017734</v>
      </c>
      <c r="B9539" s="9" t="str">
        <f>HYPERLINK("http://www.ncbi.nlm.nih.gov/gene/171800", "171800")</f>
        <v>171800</v>
      </c>
      <c r="C9539" s="9" t="str">
        <f>HYPERLINK("http://www.ncbi.nlm.nih.gov/gene/2109", "2109")</f>
        <v>2109</v>
      </c>
      <c r="D9539" t="str">
        <f>"F23C8.5"</f>
        <v>F23C8.5</v>
      </c>
      <c r="F9539" t="s">
        <v>11</v>
      </c>
      <c r="G9539" t="s">
        <v>7533</v>
      </c>
      <c r="H9539" s="12">
        <v>-1.1309114171105299</v>
      </c>
      <c r="I9539" s="20">
        <v>-0.60628720820742799</v>
      </c>
      <c r="J9539" s="28">
        <v>0.54432405140079898</v>
      </c>
      <c r="K9539" s="29">
        <v>0.98289565623980701</v>
      </c>
    </row>
    <row r="9540" spans="1:11" x14ac:dyDescent="0.35">
      <c r="A9540" s="9" t="str">
        <f>HYPERLINK("http://www.ensembl.org/id/WBGene00017737", "WBGene00017737")</f>
        <v>WBGene00017737</v>
      </c>
      <c r="B9540" s="9" t="str">
        <f>HYPERLINK("http://www.ncbi.nlm.nih.gov/gene/171802", "171802")</f>
        <v>171802</v>
      </c>
      <c r="C9540" s="9"/>
      <c r="D9540" t="str">
        <f>"F23C8.8"</f>
        <v>F23C8.8</v>
      </c>
      <c r="F9540" t="s">
        <v>11</v>
      </c>
      <c r="G9540" t="s">
        <v>9961</v>
      </c>
      <c r="H9540" s="12">
        <v>-1.5211921013529901</v>
      </c>
      <c r="I9540" s="20">
        <v>-0.324219130002184</v>
      </c>
      <c r="J9540" s="28">
        <v>0.74577214001833902</v>
      </c>
      <c r="K9540" s="29">
        <v>0.98289565623980701</v>
      </c>
    </row>
    <row r="9541" spans="1:11" x14ac:dyDescent="0.35">
      <c r="A9541" s="9" t="str">
        <f>HYPERLINK("http://www.ensembl.org/id/WBGene00009091", "WBGene00009091")</f>
        <v>WBGene00009091</v>
      </c>
      <c r="B9541" s="9" t="str">
        <f>HYPERLINK("http://www.ncbi.nlm.nih.gov/gene/3565907", "3565907")</f>
        <v>3565907</v>
      </c>
      <c r="C9541" s="9"/>
      <c r="D9541" t="str">
        <f>"F23D12.7"</f>
        <v>F23D12.7</v>
      </c>
      <c r="F9541" t="s">
        <v>11</v>
      </c>
      <c r="H9541" s="12">
        <v>-1.2100742436715599</v>
      </c>
      <c r="I9541" s="20">
        <v>-0.76492694340924405</v>
      </c>
      <c r="J9541" s="28">
        <v>0.44431504886650902</v>
      </c>
      <c r="K9541" s="29">
        <v>0.98289565623980701</v>
      </c>
    </row>
    <row r="9542" spans="1:11" x14ac:dyDescent="0.35">
      <c r="A9542" s="9" t="str">
        <f>HYPERLINK("http://www.ensembl.org/id/WBGene00044217", "WBGene00044217")</f>
        <v>WBGene00044217</v>
      </c>
      <c r="B9542" s="9"/>
      <c r="C9542" s="9"/>
      <c r="D9542" t="str">
        <f>"F23D12.9"</f>
        <v>F23D12.9</v>
      </c>
      <c r="F9542" t="s">
        <v>80</v>
      </c>
      <c r="H9542" s="12">
        <v>1.3584524461069101</v>
      </c>
      <c r="I9542" s="20">
        <v>0.33172928854881301</v>
      </c>
      <c r="J9542" s="28">
        <v>0.74009368276207599</v>
      </c>
      <c r="K9542" s="29">
        <v>0.98289565623980701</v>
      </c>
    </row>
    <row r="9543" spans="1:11" x14ac:dyDescent="0.35">
      <c r="A9543" s="9" t="str">
        <f>HYPERLINK("http://www.ensembl.org/id/WBGene00017750", "WBGene00017750")</f>
        <v>WBGene00017750</v>
      </c>
      <c r="B9543" s="9" t="str">
        <f>HYPERLINK("http://www.ncbi.nlm.nih.gov/gene/3565165", "3565165")</f>
        <v>3565165</v>
      </c>
      <c r="C9543" s="9"/>
      <c r="D9543" t="str">
        <f>"F23F1.10"</f>
        <v>F23F1.10</v>
      </c>
      <c r="F9543" t="s">
        <v>11</v>
      </c>
      <c r="H9543" s="12">
        <v>-1.2546332936711699</v>
      </c>
      <c r="I9543" s="20">
        <v>-0.74575170128010804</v>
      </c>
      <c r="J9543" s="28">
        <v>0.45581742111244999</v>
      </c>
      <c r="K9543" s="29">
        <v>0.98289565623980701</v>
      </c>
    </row>
    <row r="9544" spans="1:11" x14ac:dyDescent="0.35">
      <c r="A9544" s="9" t="str">
        <f>HYPERLINK("http://www.ensembl.org/id/WBGene00198775", "WBGene00198775")</f>
        <v>WBGene00198775</v>
      </c>
      <c r="B9544" s="9"/>
      <c r="C9544" s="9"/>
      <c r="D9544" t="str">
        <f>"F23F1.11"</f>
        <v>F23F1.11</v>
      </c>
      <c r="F9544" t="s">
        <v>481</v>
      </c>
      <c r="H9544" s="12">
        <v>-5.4967879193631202</v>
      </c>
      <c r="I9544" s="20">
        <v>-0.50254160819837501</v>
      </c>
      <c r="J9544" s="28">
        <v>0.61528659178453604</v>
      </c>
      <c r="K9544" s="29">
        <v>0.98289565623980701</v>
      </c>
    </row>
    <row r="9545" spans="1:11" x14ac:dyDescent="0.35">
      <c r="A9545" s="9" t="str">
        <f>HYPERLINK("http://www.ensembl.org/id/WBGene00017745", "WBGene00017745")</f>
        <v>WBGene00017745</v>
      </c>
      <c r="B9545" s="9" t="str">
        <f>HYPERLINK("http://www.ncbi.nlm.nih.gov/gene/184902", "184902")</f>
        <v>184902</v>
      </c>
      <c r="C9545" s="9"/>
      <c r="D9545" t="str">
        <f>"F23F1.4"</f>
        <v>F23F1.4</v>
      </c>
      <c r="F9545" t="s">
        <v>11</v>
      </c>
      <c r="H9545" s="12">
        <v>1.24046654962389</v>
      </c>
      <c r="I9545" s="20">
        <v>1.0211822869407701</v>
      </c>
      <c r="J9545" s="28">
        <v>0.30716808281277602</v>
      </c>
      <c r="K9545" s="29">
        <v>0.98289565623980701</v>
      </c>
    </row>
    <row r="9546" spans="1:11" x14ac:dyDescent="0.35">
      <c r="A9546" s="9" t="str">
        <f>HYPERLINK("http://www.ensembl.org/id/WBGene00017746", "WBGene00017746")</f>
        <v>WBGene00017746</v>
      </c>
      <c r="B9546" s="9" t="str">
        <f>HYPERLINK("http://www.ncbi.nlm.nih.gov/gene/173383", "173383")</f>
        <v>173383</v>
      </c>
      <c r="C9546" s="9" t="str">
        <f>HYPERLINK("http://www.ncbi.nlm.nih.gov/gene/10073", "10073")</f>
        <v>10073</v>
      </c>
      <c r="D9546" t="str">
        <f>"F23F1.5"</f>
        <v>F23F1.5</v>
      </c>
      <c r="E9546" t="s">
        <v>9415</v>
      </c>
      <c r="F9546" t="s">
        <v>11</v>
      </c>
      <c r="G9546" t="s">
        <v>9416</v>
      </c>
      <c r="H9546" s="12">
        <v>-1.24486003296265</v>
      </c>
      <c r="I9546" s="20">
        <v>-1.0840641472478301</v>
      </c>
      <c r="J9546" s="28">
        <v>0.27833635797383699</v>
      </c>
      <c r="K9546" s="29">
        <v>0.98289565623980701</v>
      </c>
    </row>
    <row r="9547" spans="1:11" x14ac:dyDescent="0.35">
      <c r="A9547" s="9" t="str">
        <f>HYPERLINK("http://www.ensembl.org/id/WBGene00017748", "WBGene00017748")</f>
        <v>WBGene00017748</v>
      </c>
      <c r="B9547" s="9" t="str">
        <f>HYPERLINK("http://www.ncbi.nlm.nih.gov/gene/184904", "184904")</f>
        <v>184904</v>
      </c>
      <c r="C9547" s="9"/>
      <c r="D9547" t="str">
        <f>"F23F1.7"</f>
        <v>F23F1.7</v>
      </c>
      <c r="F9547" t="s">
        <v>11</v>
      </c>
      <c r="H9547" s="12">
        <v>1.2664756315486401</v>
      </c>
      <c r="I9547" s="20">
        <v>0.93291514975115797</v>
      </c>
      <c r="J9547" s="28">
        <v>0.35086377964628601</v>
      </c>
      <c r="K9547" s="29">
        <v>0.98289565623980701</v>
      </c>
    </row>
    <row r="9548" spans="1:11" x14ac:dyDescent="0.35">
      <c r="A9548" s="9" t="str">
        <f>HYPERLINK("http://www.ensembl.org/id/WBGene00017756", "WBGene00017756")</f>
        <v>WBGene00017756</v>
      </c>
      <c r="B9548" s="9" t="str">
        <f>HYPERLINK("http://www.ncbi.nlm.nih.gov/gene/175927", "175927")</f>
        <v>175927</v>
      </c>
      <c r="C9548" s="9"/>
      <c r="D9548" t="str">
        <f>"F23F12.12"</f>
        <v>F23F12.12</v>
      </c>
      <c r="F9548" t="s">
        <v>11</v>
      </c>
      <c r="H9548" s="12">
        <v>-1.30167529398672</v>
      </c>
      <c r="I9548" s="20">
        <v>-0.89065077525671299</v>
      </c>
      <c r="J9548" s="28">
        <v>0.37311655037448799</v>
      </c>
      <c r="K9548" s="29">
        <v>0.98289565623980701</v>
      </c>
    </row>
    <row r="9549" spans="1:11" x14ac:dyDescent="0.35">
      <c r="A9549" s="9" t="str">
        <f>HYPERLINK("http://www.ensembl.org/id/WBGene00017751", "WBGene00017751")</f>
        <v>WBGene00017751</v>
      </c>
      <c r="B9549" s="9" t="str">
        <f>HYPERLINK("http://www.ncbi.nlm.nih.gov/gene/175926", "175926")</f>
        <v>175926</v>
      </c>
      <c r="C9549" s="9"/>
      <c r="D9549" t="str">
        <f>"F23F12.3"</f>
        <v>F23F12.3</v>
      </c>
      <c r="F9549" t="s">
        <v>11</v>
      </c>
      <c r="G9549" t="s">
        <v>230</v>
      </c>
      <c r="H9549" s="12">
        <v>1.1287975554843901</v>
      </c>
      <c r="I9549" s="20">
        <v>0.28123561541590703</v>
      </c>
      <c r="J9549" s="28">
        <v>0.77852968940157197</v>
      </c>
      <c r="K9549" s="29">
        <v>0.98289565623980701</v>
      </c>
    </row>
    <row r="9550" spans="1:11" x14ac:dyDescent="0.35">
      <c r="A9550" s="9" t="str">
        <f>HYPERLINK("http://www.ensembl.org/id/WBGene00044574", "WBGene00044574")</f>
        <v>WBGene00044574</v>
      </c>
      <c r="B9550" s="9" t="str">
        <f>HYPERLINK("http://www.ncbi.nlm.nih.gov/gene/3896878", "3896878")</f>
        <v>3896878</v>
      </c>
      <c r="C9550" s="9"/>
      <c r="D9550" t="str">
        <f>"F23G4.1"</f>
        <v>F23G4.1</v>
      </c>
      <c r="F9550" t="s">
        <v>11</v>
      </c>
      <c r="G9550" t="s">
        <v>372</v>
      </c>
      <c r="H9550" s="12">
        <v>1.4527330434053201</v>
      </c>
      <c r="I9550" s="20">
        <v>0.37857143100934298</v>
      </c>
      <c r="J9550" s="28">
        <v>0.70500614052119503</v>
      </c>
      <c r="K9550" s="29">
        <v>0.98289565623980701</v>
      </c>
    </row>
    <row r="9551" spans="1:11" x14ac:dyDescent="0.35">
      <c r="A9551" s="9" t="str">
        <f>HYPERLINK("http://www.ensembl.org/id/WBGene00017758", "WBGene00017758")</f>
        <v>WBGene00017758</v>
      </c>
      <c r="B9551" s="9" t="str">
        <f>HYPERLINK("http://www.ncbi.nlm.nih.gov/gene/175251", "175251")</f>
        <v>175251</v>
      </c>
      <c r="C9551" s="9"/>
      <c r="D9551" t="str">
        <f>"F23H11.2"</f>
        <v>F23H11.2</v>
      </c>
      <c r="E9551" t="s">
        <v>7875</v>
      </c>
      <c r="F9551" t="s">
        <v>11</v>
      </c>
      <c r="G9551" t="s">
        <v>7876</v>
      </c>
      <c r="H9551" s="12">
        <v>-1.14922084986474</v>
      </c>
      <c r="I9551" s="20">
        <v>-0.59338586667277704</v>
      </c>
      <c r="J9551" s="28">
        <v>0.55292294524781505</v>
      </c>
      <c r="K9551" s="29">
        <v>0.98289565623980701</v>
      </c>
    </row>
    <row r="9552" spans="1:11" x14ac:dyDescent="0.35">
      <c r="A9552" s="9" t="str">
        <f>HYPERLINK("http://www.ensembl.org/id/WBGene00017760", "WBGene00017760")</f>
        <v>WBGene00017760</v>
      </c>
      <c r="B9552" s="9" t="str">
        <f>HYPERLINK("http://www.ncbi.nlm.nih.gov/gene/175253", "175253")</f>
        <v>175253</v>
      </c>
      <c r="C9552" s="9"/>
      <c r="D9552" t="str">
        <f>"F23H11.4"</f>
        <v>F23H11.4</v>
      </c>
      <c r="F9552" t="s">
        <v>11</v>
      </c>
      <c r="G9552" t="s">
        <v>8700</v>
      </c>
      <c r="H9552" s="12">
        <v>-1.1918823376484</v>
      </c>
      <c r="I9552" s="20">
        <v>-0.94540452703804601</v>
      </c>
      <c r="J9552" s="28">
        <v>0.344452391894217</v>
      </c>
      <c r="K9552" s="29">
        <v>0.98289565623980701</v>
      </c>
    </row>
    <row r="9553" spans="1:11" x14ac:dyDescent="0.35">
      <c r="A9553" s="9" t="str">
        <f>HYPERLINK("http://www.ensembl.org/id/WBGene00017761", "WBGene00017761")</f>
        <v>WBGene00017761</v>
      </c>
      <c r="B9553" s="9" t="str">
        <f>HYPERLINK("http://www.ncbi.nlm.nih.gov/gene/184909", "184909")</f>
        <v>184909</v>
      </c>
      <c r="C9553" s="9"/>
      <c r="D9553" t="str">
        <f>"F23H11.6"</f>
        <v>F23H11.6</v>
      </c>
      <c r="F9553" t="s">
        <v>11</v>
      </c>
      <c r="H9553" s="12">
        <v>2.3331955379493201</v>
      </c>
      <c r="I9553" s="20">
        <v>0.61251530801980003</v>
      </c>
      <c r="J9553" s="28">
        <v>0.54019687305226205</v>
      </c>
      <c r="K9553" s="29">
        <v>0.98289565623980701</v>
      </c>
    </row>
    <row r="9554" spans="1:11" x14ac:dyDescent="0.35">
      <c r="A9554" s="9" t="str">
        <f>HYPERLINK("http://www.ensembl.org/id/WBGene00017762", "WBGene00017762")</f>
        <v>WBGene00017762</v>
      </c>
      <c r="B9554" s="9" t="str">
        <f>HYPERLINK("http://www.ncbi.nlm.nih.gov/gene/175256", "175256")</f>
        <v>175256</v>
      </c>
      <c r="C9554" s="9"/>
      <c r="D9554" t="str">
        <f>"F23H11.7"</f>
        <v>F23H11.7</v>
      </c>
      <c r="F9554" t="s">
        <v>11</v>
      </c>
      <c r="H9554" s="12">
        <v>1.4038984556532299</v>
      </c>
      <c r="I9554" s="20">
        <v>1.0374041913760099</v>
      </c>
      <c r="J9554" s="28">
        <v>0.29954752578684601</v>
      </c>
      <c r="K9554" s="29">
        <v>0.98289565623980701</v>
      </c>
    </row>
    <row r="9555" spans="1:11" x14ac:dyDescent="0.35">
      <c r="A9555" s="9" t="str">
        <f>HYPERLINK("http://www.ensembl.org/id/WBGene00195880", "WBGene00195880")</f>
        <v>WBGene00195880</v>
      </c>
      <c r="B9555" s="9"/>
      <c r="C9555" s="9"/>
      <c r="D9555" t="str">
        <f>"F23H12.12"</f>
        <v>F23H12.12</v>
      </c>
      <c r="F9555" t="s">
        <v>481</v>
      </c>
      <c r="H9555" s="12">
        <v>2.4578120077400301</v>
      </c>
      <c r="I9555" s="20">
        <v>0.26093350314551</v>
      </c>
      <c r="J9555" s="28">
        <v>0.79414378780213601</v>
      </c>
      <c r="K9555" s="29">
        <v>0.98289565623980701</v>
      </c>
    </row>
    <row r="9556" spans="1:11" x14ac:dyDescent="0.35">
      <c r="A9556" s="9" t="str">
        <f>HYPERLINK("http://www.ensembl.org/id/WBGene00219416", "WBGene00219416")</f>
        <v>WBGene00219416</v>
      </c>
      <c r="B9556" s="9"/>
      <c r="C9556" s="9"/>
      <c r="D9556" t="str">
        <f>"F23H12.21"</f>
        <v>F23H12.21</v>
      </c>
      <c r="F9556" t="s">
        <v>481</v>
      </c>
      <c r="H9556" s="12">
        <v>-3.2035722220826099</v>
      </c>
      <c r="I9556" s="20">
        <v>-0.52599423242316801</v>
      </c>
      <c r="J9556" s="28">
        <v>0.59889221429994999</v>
      </c>
      <c r="K9556" s="29">
        <v>0.98289565623980701</v>
      </c>
    </row>
    <row r="9557" spans="1:11" x14ac:dyDescent="0.35">
      <c r="A9557" s="9" t="str">
        <f>HYPERLINK("http://www.ensembl.org/id/WBGene00009093", "WBGene00009093")</f>
        <v>WBGene00009093</v>
      </c>
      <c r="B9557" s="9" t="str">
        <f>HYPERLINK("http://www.ncbi.nlm.nih.gov/gene/184911", "184911")</f>
        <v>184911</v>
      </c>
      <c r="C9557" s="9"/>
      <c r="D9557" t="str">
        <f>"F23H12.3"</f>
        <v>F23H12.3</v>
      </c>
      <c r="F9557" t="s">
        <v>11</v>
      </c>
      <c r="G9557" t="s">
        <v>25</v>
      </c>
      <c r="H9557" s="12">
        <v>-1.05987308766723</v>
      </c>
      <c r="I9557" s="20">
        <v>-0.293608508965508</v>
      </c>
      <c r="J9557" s="28">
        <v>0.769057073016433</v>
      </c>
      <c r="K9557" s="29">
        <v>0.98289565623980701</v>
      </c>
    </row>
    <row r="9558" spans="1:11" x14ac:dyDescent="0.35">
      <c r="A9558" s="9" t="str">
        <f>HYPERLINK("http://www.ensembl.org/id/WBGene00017764", "WBGene00017764")</f>
        <v>WBGene00017764</v>
      </c>
      <c r="B9558" s="9" t="str">
        <f>HYPERLINK("http://www.ncbi.nlm.nih.gov/gene/184913", "184913")</f>
        <v>184913</v>
      </c>
      <c r="C9558" s="9"/>
      <c r="D9558" t="str">
        <f>"F25A2.1"</f>
        <v>F25A2.1</v>
      </c>
      <c r="F9558" t="s">
        <v>11</v>
      </c>
      <c r="G9558" t="s">
        <v>29</v>
      </c>
      <c r="H9558" s="12">
        <v>1.8531237562237299</v>
      </c>
      <c r="I9558" s="20">
        <v>0.38229601028940702</v>
      </c>
      <c r="J9558" s="28">
        <v>0.70224181368738003</v>
      </c>
      <c r="K9558" s="29">
        <v>0.98289565623980701</v>
      </c>
    </row>
    <row r="9559" spans="1:11" x14ac:dyDescent="0.35">
      <c r="A9559" s="9" t="str">
        <f>HYPERLINK("http://www.ensembl.org/id/WBGene00009101", "WBGene00009101")</f>
        <v>WBGene00009101</v>
      </c>
      <c r="B9559" s="9" t="str">
        <f>HYPERLINK("http://www.ncbi.nlm.nih.gov/gene/184915", "184915")</f>
        <v>184915</v>
      </c>
      <c r="C9559" s="9"/>
      <c r="D9559" t="str">
        <f>"F25B3.4"</f>
        <v>F25B3.4</v>
      </c>
      <c r="E9559" t="s">
        <v>2496</v>
      </c>
      <c r="F9559" t="s">
        <v>11</v>
      </c>
      <c r="G9559" t="s">
        <v>2497</v>
      </c>
      <c r="H9559" s="12">
        <v>-1.1931923377379701</v>
      </c>
      <c r="I9559" s="20">
        <v>-0.84649852511721302</v>
      </c>
      <c r="J9559" s="28">
        <v>0.39727469628555301</v>
      </c>
      <c r="K9559" s="29">
        <v>0.98289565623980701</v>
      </c>
    </row>
    <row r="9560" spans="1:11" x14ac:dyDescent="0.35">
      <c r="A9560" s="9" t="str">
        <f>HYPERLINK("http://www.ensembl.org/id/WBGene00009102", "WBGene00009102")</f>
        <v>WBGene00009102</v>
      </c>
      <c r="B9560" s="9" t="str">
        <f>HYPERLINK("http://www.ncbi.nlm.nih.gov/gene/184916", "184916")</f>
        <v>184916</v>
      </c>
      <c r="C9560" s="9"/>
      <c r="D9560" t="str">
        <f>"F25B3.5"</f>
        <v>F25B3.5</v>
      </c>
      <c r="F9560" t="s">
        <v>11</v>
      </c>
      <c r="H9560" s="12">
        <v>-1.24702556586638</v>
      </c>
      <c r="I9560" s="20">
        <v>-1.0832882250168001</v>
      </c>
      <c r="J9560" s="28">
        <v>0.278680510142717</v>
      </c>
      <c r="K9560" s="29">
        <v>0.98289565623980701</v>
      </c>
    </row>
    <row r="9561" spans="1:11" x14ac:dyDescent="0.35">
      <c r="A9561" s="9" t="str">
        <f>HYPERLINK("http://www.ensembl.org/id/WBGene00199370", "WBGene00199370")</f>
        <v>WBGene00199370</v>
      </c>
      <c r="B9561" s="9"/>
      <c r="C9561" s="9"/>
      <c r="D9561" t="str">
        <f>"F25B4.14"</f>
        <v>F25B4.14</v>
      </c>
      <c r="F9561" t="s">
        <v>481</v>
      </c>
      <c r="H9561" s="12">
        <v>2.3893468495514898</v>
      </c>
      <c r="I9561" s="20">
        <v>0.25323547253672701</v>
      </c>
      <c r="J9561" s="28">
        <v>0.80008625651646104</v>
      </c>
      <c r="K9561" s="29">
        <v>0.98289565623980701</v>
      </c>
    </row>
    <row r="9562" spans="1:11" x14ac:dyDescent="0.35">
      <c r="A9562" s="9" t="str">
        <f>HYPERLINK("http://www.ensembl.org/id/WBGene00017767", "WBGene00017767")</f>
        <v>WBGene00017767</v>
      </c>
      <c r="B9562" s="9" t="str">
        <f>HYPERLINK("http://www.ncbi.nlm.nih.gov/gene/178957", "178957")</f>
        <v>178957</v>
      </c>
      <c r="C9562" s="9"/>
      <c r="D9562" t="str">
        <f>"F25B4.4"</f>
        <v>F25B4.4</v>
      </c>
      <c r="F9562" t="s">
        <v>11</v>
      </c>
      <c r="H9562" s="12">
        <v>-1.09301042788122</v>
      </c>
      <c r="I9562" s="20">
        <v>-0.312223790299481</v>
      </c>
      <c r="J9562" s="28">
        <v>0.75487045315318602</v>
      </c>
      <c r="K9562" s="29">
        <v>0.98289565623980701</v>
      </c>
    </row>
    <row r="9563" spans="1:11" x14ac:dyDescent="0.35">
      <c r="A9563" s="9" t="str">
        <f>HYPERLINK("http://www.ensembl.org/id/WBGene00017768", "WBGene00017768")</f>
        <v>WBGene00017768</v>
      </c>
      <c r="B9563" s="9" t="str">
        <f>HYPERLINK("http://www.ncbi.nlm.nih.gov/gene/178955", "178955")</f>
        <v>178955</v>
      </c>
      <c r="C9563" s="9" t="str">
        <f>HYPERLINK("http://www.ncbi.nlm.nih.gov/gene/55015", "55015")</f>
        <v>55015</v>
      </c>
      <c r="D9563" t="str">
        <f>"F25B4.5"</f>
        <v>F25B4.5</v>
      </c>
      <c r="F9563" t="s">
        <v>11</v>
      </c>
      <c r="G9563" t="s">
        <v>8960</v>
      </c>
      <c r="H9563" s="12">
        <v>-1.2110138077692301</v>
      </c>
      <c r="I9563" s="20">
        <v>-0.97438355168467905</v>
      </c>
      <c r="J9563" s="28">
        <v>0.32986613330256598</v>
      </c>
      <c r="K9563" s="29">
        <v>0.98289565623980701</v>
      </c>
    </row>
    <row r="9564" spans="1:11" x14ac:dyDescent="0.35">
      <c r="A9564" s="9" t="str">
        <f>HYPERLINK("http://www.ensembl.org/id/WBGene00017771", "WBGene00017771")</f>
        <v>WBGene00017771</v>
      </c>
      <c r="B9564" s="9" t="str">
        <f>HYPERLINK("http://www.ncbi.nlm.nih.gov/gene/184918", "184918")</f>
        <v>184918</v>
      </c>
      <c r="C9564" s="9" t="str">
        <f>HYPERLINK("http://www.ncbi.nlm.nih.gov/gene/201161", "201161")</f>
        <v>201161</v>
      </c>
      <c r="D9564" t="str">
        <f>"F25B4.8"</f>
        <v>F25B4.8</v>
      </c>
      <c r="F9564" t="s">
        <v>11</v>
      </c>
      <c r="G9564" t="s">
        <v>9888</v>
      </c>
      <c r="H9564" s="12">
        <v>-1.35060432573024</v>
      </c>
      <c r="I9564" s="20">
        <v>-0.98461583724961999</v>
      </c>
      <c r="J9564" s="28">
        <v>0.32481280741819901</v>
      </c>
      <c r="K9564" s="29">
        <v>0.98289565623980701</v>
      </c>
    </row>
    <row r="9565" spans="1:11" x14ac:dyDescent="0.35">
      <c r="A9565" s="9" t="str">
        <f>HYPERLINK("http://www.ensembl.org/id/WBGene00017775", "WBGene00017775")</f>
        <v>WBGene00017775</v>
      </c>
      <c r="B9565" s="9" t="str">
        <f>HYPERLINK("http://www.ncbi.nlm.nih.gov/gene/175843", "175843")</f>
        <v>175843</v>
      </c>
      <c r="C9565" s="9" t="str">
        <f>HYPERLINK("http://www.ncbi.nlm.nih.gov/gene/51251", "51251")</f>
        <v>51251</v>
      </c>
      <c r="D9565" t="str">
        <f>"F25B5.3"</f>
        <v>F25B5.3</v>
      </c>
      <c r="E9565" t="s">
        <v>5534</v>
      </c>
      <c r="F9565" t="s">
        <v>11</v>
      </c>
      <c r="G9565" t="s">
        <v>5535</v>
      </c>
      <c r="H9565" s="12">
        <v>1.1493030119057801</v>
      </c>
      <c r="I9565" s="20">
        <v>0.74857412801078904</v>
      </c>
      <c r="J9565" s="28">
        <v>0.45411393066941502</v>
      </c>
      <c r="K9565" s="29">
        <v>0.98289565623980701</v>
      </c>
    </row>
    <row r="9566" spans="1:11" x14ac:dyDescent="0.35">
      <c r="A9566" s="9" t="str">
        <f>HYPERLINK("http://www.ensembl.org/id/WBGene00017776", "WBGene00017776")</f>
        <v>WBGene00017776</v>
      </c>
      <c r="B9566" s="9" t="str">
        <f>HYPERLINK("http://www.ncbi.nlm.nih.gov/gene/175841", "175841")</f>
        <v>175841</v>
      </c>
      <c r="C9566" s="9" t="str">
        <f>HYPERLINK("http://www.ncbi.nlm.nih.gov/gene/51654", "51654")</f>
        <v>51654</v>
      </c>
      <c r="D9566" t="str">
        <f>"F25B5.5"</f>
        <v>F25B5.5</v>
      </c>
      <c r="E9566" t="s">
        <v>6570</v>
      </c>
      <c r="F9566" t="s">
        <v>11</v>
      </c>
      <c r="G9566" t="s">
        <v>6571</v>
      </c>
      <c r="H9566" s="12">
        <v>-1.0772187461140099</v>
      </c>
      <c r="I9566" s="20">
        <v>-0.34324368274114597</v>
      </c>
      <c r="J9566" s="28">
        <v>0.73141514451371104</v>
      </c>
      <c r="K9566" s="29">
        <v>0.98289565623980701</v>
      </c>
    </row>
    <row r="9567" spans="1:11" x14ac:dyDescent="0.35">
      <c r="A9567" s="9" t="str">
        <f>HYPERLINK("http://www.ensembl.org/id/WBGene00017777", "WBGene00017777")</f>
        <v>WBGene00017777</v>
      </c>
      <c r="B9567" s="9" t="str">
        <f>HYPERLINK("http://www.ncbi.nlm.nih.gov/gene/175842", "175842")</f>
        <v>175842</v>
      </c>
      <c r="C9567" s="9" t="str">
        <f>HYPERLINK("http://www.ncbi.nlm.nih.gov/gene/2356", "2356")</f>
        <v>2356</v>
      </c>
      <c r="D9567" t="str">
        <f>"F25B5.6"</f>
        <v>F25B5.6</v>
      </c>
      <c r="E9567" t="s">
        <v>6950</v>
      </c>
      <c r="F9567" t="s">
        <v>11</v>
      </c>
      <c r="G9567" t="s">
        <v>6951</v>
      </c>
      <c r="H9567" s="12">
        <v>-1.0993732096503599</v>
      </c>
      <c r="I9567" s="20">
        <v>-0.49962061313067602</v>
      </c>
      <c r="J9567" s="28">
        <v>0.61734224070855903</v>
      </c>
      <c r="K9567" s="29">
        <v>0.98289565623980701</v>
      </c>
    </row>
    <row r="9568" spans="1:11" x14ac:dyDescent="0.35">
      <c r="A9568" s="9" t="str">
        <f>HYPERLINK("http://www.ensembl.org/id/WBGene00197893", "WBGene00197893")</f>
        <v>WBGene00197893</v>
      </c>
      <c r="B9568" s="9"/>
      <c r="C9568" s="9"/>
      <c r="D9568" t="str">
        <f>"F25C8.6"</f>
        <v>F25C8.6</v>
      </c>
      <c r="F9568" t="s">
        <v>481</v>
      </c>
      <c r="H9568" s="12">
        <v>2.4578120077400301</v>
      </c>
      <c r="I9568" s="20">
        <v>0.26093350314551</v>
      </c>
      <c r="J9568" s="28">
        <v>0.79414378780213601</v>
      </c>
      <c r="K9568" s="29">
        <v>0.98289565623980701</v>
      </c>
    </row>
    <row r="9569" spans="1:11" x14ac:dyDescent="0.35">
      <c r="A9569" s="9" t="str">
        <f>HYPERLINK("http://www.ensembl.org/id/WBGene00200884", "WBGene00200884")</f>
        <v>WBGene00200884</v>
      </c>
      <c r="B9569" s="9"/>
      <c r="C9569" s="9"/>
      <c r="D9569" t="str">
        <f>"F25D1.10"</f>
        <v>F25D1.10</v>
      </c>
      <c r="F9569" t="s">
        <v>481</v>
      </c>
      <c r="H9569" s="12">
        <v>-3.5819448292659501</v>
      </c>
      <c r="I9569" s="20">
        <v>-0.37337717500031398</v>
      </c>
      <c r="J9569" s="28">
        <v>0.70886774492290605</v>
      </c>
      <c r="K9569" s="29">
        <v>0.98289565623980701</v>
      </c>
    </row>
    <row r="9570" spans="1:11" x14ac:dyDescent="0.35">
      <c r="A9570" s="9" t="str">
        <f>HYPERLINK("http://www.ensembl.org/id/WBGene00009108", "WBGene00009108")</f>
        <v>WBGene00009108</v>
      </c>
      <c r="B9570" s="9" t="str">
        <f>HYPERLINK("http://www.ncbi.nlm.nih.gov/gene/179468", "179468")</f>
        <v>179468</v>
      </c>
      <c r="C9570" s="9"/>
      <c r="D9570" t="str">
        <f>"F25D1.3"</f>
        <v>F25D1.3</v>
      </c>
      <c r="F9570" t="s">
        <v>11</v>
      </c>
      <c r="G9570" t="s">
        <v>4522</v>
      </c>
      <c r="H9570" s="12">
        <v>1.70012162817195</v>
      </c>
      <c r="I9570" s="20">
        <v>0.34292293480719999</v>
      </c>
      <c r="J9570" s="28">
        <v>0.73165643731215102</v>
      </c>
      <c r="K9570" s="29">
        <v>0.98289565623980701</v>
      </c>
    </row>
    <row r="9571" spans="1:11" x14ac:dyDescent="0.35">
      <c r="A9571" s="9" t="str">
        <f>HYPERLINK("http://www.ensembl.org/id/WBGene00195788", "WBGene00195788")</f>
        <v>WBGene00195788</v>
      </c>
      <c r="B9571" s="9"/>
      <c r="C9571" s="9"/>
      <c r="D9571" t="str">
        <f>"F25D1.9"</f>
        <v>F25D1.9</v>
      </c>
      <c r="F9571" t="s">
        <v>481</v>
      </c>
      <c r="H9571" s="12">
        <v>3.6645215954135</v>
      </c>
      <c r="I9571" s="20">
        <v>0.37967131826092498</v>
      </c>
      <c r="J9571" s="28">
        <v>0.70418941338960395</v>
      </c>
      <c r="K9571" s="29">
        <v>0.98289565623980701</v>
      </c>
    </row>
    <row r="9572" spans="1:11" x14ac:dyDescent="0.35">
      <c r="A9572" s="9" t="str">
        <f>HYPERLINK("http://www.ensembl.org/id/WBGene00201383", "WBGene00201383")</f>
        <v>WBGene00201383</v>
      </c>
      <c r="B9572" s="9"/>
      <c r="C9572" s="9"/>
      <c r="D9572" t="str">
        <f>"F25D7.10"</f>
        <v>F25D7.10</v>
      </c>
      <c r="F9572" t="s">
        <v>481</v>
      </c>
      <c r="H9572" s="12">
        <v>-4.2464652736891102</v>
      </c>
      <c r="I9572" s="20">
        <v>-0.85795849477358699</v>
      </c>
      <c r="J9572" s="28">
        <v>0.39091538237072099</v>
      </c>
      <c r="K9572" s="29">
        <v>0.98289565623980701</v>
      </c>
    </row>
    <row r="9573" spans="1:11" x14ac:dyDescent="0.35">
      <c r="A9573" s="9" t="str">
        <f>HYPERLINK("http://www.ensembl.org/id/WBGene00202136", "WBGene00202136")</f>
        <v>WBGene00202136</v>
      </c>
      <c r="B9573" s="9"/>
      <c r="C9573" s="9"/>
      <c r="D9573" t="str">
        <f>"F25D7.11"</f>
        <v>F25D7.11</v>
      </c>
      <c r="F9573" t="s">
        <v>481</v>
      </c>
      <c r="H9573" s="12">
        <v>-2.4991590031922399</v>
      </c>
      <c r="I9573" s="20">
        <v>-0.26577412737581302</v>
      </c>
      <c r="J9573" s="28">
        <v>0.79041317015736101</v>
      </c>
      <c r="K9573" s="29">
        <v>0.98289565623980701</v>
      </c>
    </row>
    <row r="9574" spans="1:11" x14ac:dyDescent="0.35">
      <c r="A9574" s="9" t="str">
        <f>HYPERLINK("http://www.ensembl.org/id/WBGene00009114", "WBGene00009114")</f>
        <v>WBGene00009114</v>
      </c>
      <c r="B9574" s="9" t="str">
        <f>HYPERLINK("http://www.ncbi.nlm.nih.gov/gene/184923", "184923")</f>
        <v>184923</v>
      </c>
      <c r="C9574" s="9"/>
      <c r="D9574" t="str">
        <f>"F25D7.5"</f>
        <v>F25D7.5</v>
      </c>
      <c r="F9574" t="s">
        <v>11</v>
      </c>
      <c r="G9574" t="s">
        <v>4330</v>
      </c>
      <c r="H9574" s="12">
        <v>2.9456737818163798</v>
      </c>
      <c r="I9574" s="20">
        <v>0.63974022604987102</v>
      </c>
      <c r="J9574" s="28">
        <v>0.52234149884041003</v>
      </c>
      <c r="K9574" s="29">
        <v>0.98289565623980701</v>
      </c>
    </row>
    <row r="9575" spans="1:11" x14ac:dyDescent="0.35">
      <c r="A9575" s="9" t="str">
        <f>HYPERLINK("http://www.ensembl.org/id/WBGene00199523", "WBGene00199523")</f>
        <v>WBGene00199523</v>
      </c>
      <c r="B9575" s="9"/>
      <c r="C9575" s="9"/>
      <c r="D9575" t="str">
        <f>"F25D7.8"</f>
        <v>F25D7.8</v>
      </c>
      <c r="F9575" t="s">
        <v>481</v>
      </c>
      <c r="H9575" s="12">
        <v>2.3893468495514898</v>
      </c>
      <c r="I9575" s="20">
        <v>0.25323547253672701</v>
      </c>
      <c r="J9575" s="28">
        <v>0.80008625651646104</v>
      </c>
      <c r="K9575" s="29">
        <v>0.98289565623980701</v>
      </c>
    </row>
    <row r="9576" spans="1:11" x14ac:dyDescent="0.35">
      <c r="A9576" s="9" t="str">
        <f>HYPERLINK("http://www.ensembl.org/id/WBGene00201075", "WBGene00201075")</f>
        <v>WBGene00201075</v>
      </c>
      <c r="B9576" s="9"/>
      <c r="C9576" s="9"/>
      <c r="D9576" t="str">
        <f>"F25D7.9"</f>
        <v>F25D7.9</v>
      </c>
      <c r="F9576" t="s">
        <v>481</v>
      </c>
      <c r="H9576" s="12">
        <v>2.3444892507898301</v>
      </c>
      <c r="I9576" s="20">
        <v>0.253126732237689</v>
      </c>
      <c r="J9576" s="28">
        <v>0.80017028205419904</v>
      </c>
      <c r="K9576" s="29">
        <v>0.98289565623980701</v>
      </c>
    </row>
    <row r="9577" spans="1:11" x14ac:dyDescent="0.35">
      <c r="A9577" s="9" t="str">
        <f>HYPERLINK("http://www.ensembl.org/id/WBGene00017780", "WBGene00017780")</f>
        <v>WBGene00017780</v>
      </c>
      <c r="B9577" s="9" t="str">
        <f>HYPERLINK("http://www.ncbi.nlm.nih.gov/gene/180428", "180428")</f>
        <v>180428</v>
      </c>
      <c r="C9577" s="9"/>
      <c r="D9577" t="str">
        <f>"F25E2.2"</f>
        <v>F25E2.2</v>
      </c>
      <c r="F9577" t="s">
        <v>11</v>
      </c>
      <c r="H9577" s="12">
        <v>-1.20176442749323</v>
      </c>
      <c r="I9577" s="20">
        <v>-0.903345546659028</v>
      </c>
      <c r="J9577" s="28">
        <v>0.366342530468387</v>
      </c>
      <c r="K9577" s="29">
        <v>0.98289565623980701</v>
      </c>
    </row>
    <row r="9578" spans="1:11" x14ac:dyDescent="0.35">
      <c r="A9578" s="9" t="str">
        <f>HYPERLINK("http://www.ensembl.org/id/WBGene00017781", "WBGene00017781")</f>
        <v>WBGene00017781</v>
      </c>
      <c r="B9578" s="9" t="str">
        <f>HYPERLINK("http://www.ncbi.nlm.nih.gov/gene/180429", "180429")</f>
        <v>180429</v>
      </c>
      <c r="C9578" s="9" t="str">
        <f>HYPERLINK("http://www.ncbi.nlm.nih.gov/gene/10005", "10005")</f>
        <v>10005</v>
      </c>
      <c r="D9578" t="str">
        <f>"F25E2.3"</f>
        <v>F25E2.3</v>
      </c>
      <c r="F9578" t="s">
        <v>11</v>
      </c>
      <c r="G9578" t="s">
        <v>4467</v>
      </c>
      <c r="H9578" s="12">
        <v>1.0950854278873501</v>
      </c>
      <c r="I9578" s="20">
        <v>0.43827271755245001</v>
      </c>
      <c r="J9578" s="28">
        <v>0.66118860066098095</v>
      </c>
      <c r="K9578" s="29">
        <v>0.98289565623980701</v>
      </c>
    </row>
    <row r="9579" spans="1:11" x14ac:dyDescent="0.35">
      <c r="A9579" s="9" t="str">
        <f>HYPERLINK("http://www.ensembl.org/id/WBGene00017782", "WBGene00017782")</f>
        <v>WBGene00017782</v>
      </c>
      <c r="B9579" s="9" t="str">
        <f>HYPERLINK("http://www.ncbi.nlm.nih.gov/gene/179135", "179135")</f>
        <v>179135</v>
      </c>
      <c r="C9579" s="9"/>
      <c r="D9579" t="str">
        <f>"F25E5.1"</f>
        <v>F25E5.1</v>
      </c>
      <c r="F9579" t="s">
        <v>11</v>
      </c>
      <c r="H9579" s="12">
        <v>-1.1012878546289699</v>
      </c>
      <c r="I9579" s="20">
        <v>-0.46471720608191702</v>
      </c>
      <c r="J9579" s="28">
        <v>0.64213398503240504</v>
      </c>
      <c r="K9579" s="29">
        <v>0.98289565623980701</v>
      </c>
    </row>
    <row r="9580" spans="1:11" x14ac:dyDescent="0.35">
      <c r="A9580" s="9" t="str">
        <f>HYPERLINK("http://www.ensembl.org/id/WBGene00017784", "WBGene00017784")</f>
        <v>WBGene00017784</v>
      </c>
      <c r="B9580" s="9" t="str">
        <f>HYPERLINK("http://www.ncbi.nlm.nih.gov/gene/184925", "184925")</f>
        <v>184925</v>
      </c>
      <c r="C9580" s="9"/>
      <c r="D9580" t="str">
        <f>"F25E5.3"</f>
        <v>F25E5.3</v>
      </c>
      <c r="F9580" t="s">
        <v>11</v>
      </c>
      <c r="H9580" s="12">
        <v>-1.31354362644078</v>
      </c>
      <c r="I9580" s="20">
        <v>-0.31456862111094802</v>
      </c>
      <c r="J9580" s="28">
        <v>0.75308920718678596</v>
      </c>
      <c r="K9580" s="29">
        <v>0.98289565623980701</v>
      </c>
    </row>
    <row r="9581" spans="1:11" x14ac:dyDescent="0.35">
      <c r="A9581" s="9" t="str">
        <f>HYPERLINK("http://www.ensembl.org/id/WBGene00017786", "WBGene00017786")</f>
        <v>WBGene00017786</v>
      </c>
      <c r="B9581" s="9" t="str">
        <f>HYPERLINK("http://www.ncbi.nlm.nih.gov/gene/3565479", "3565479")</f>
        <v>3565479</v>
      </c>
      <c r="C9581" s="9"/>
      <c r="D9581" t="str">
        <f>"F25E5.5"</f>
        <v>F25E5.5</v>
      </c>
      <c r="F9581" t="s">
        <v>11</v>
      </c>
      <c r="H9581" s="12">
        <v>1.2385477737130799</v>
      </c>
      <c r="I9581" s="20">
        <v>0.929908413258272</v>
      </c>
      <c r="J9581" s="28">
        <v>0.35241850656156798</v>
      </c>
      <c r="K9581" s="29">
        <v>0.98289565623980701</v>
      </c>
    </row>
    <row r="9582" spans="1:11" x14ac:dyDescent="0.35">
      <c r="A9582" s="9" t="str">
        <f>HYPERLINK("http://www.ensembl.org/id/WBGene00017788", "WBGene00017788")</f>
        <v>WBGene00017788</v>
      </c>
      <c r="B9582" s="9" t="str">
        <f>HYPERLINK("http://www.ncbi.nlm.nih.gov/gene/353443", "353443")</f>
        <v>353443</v>
      </c>
      <c r="C9582" s="9"/>
      <c r="D9582" t="str">
        <f>"F25E5.7"</f>
        <v>F25E5.7</v>
      </c>
      <c r="F9582" t="s">
        <v>11</v>
      </c>
      <c r="H9582" s="12">
        <v>1.22921891185593</v>
      </c>
      <c r="I9582" s="20">
        <v>0.303993693415956</v>
      </c>
      <c r="J9582" s="28">
        <v>0.76113269586245702</v>
      </c>
      <c r="K9582" s="29">
        <v>0.98289565623980701</v>
      </c>
    </row>
    <row r="9583" spans="1:11" x14ac:dyDescent="0.35">
      <c r="A9583" s="9" t="str">
        <f>HYPERLINK("http://www.ensembl.org/id/WBGene00017790", "WBGene00017790")</f>
        <v>WBGene00017790</v>
      </c>
      <c r="B9583" s="9" t="str">
        <f>HYPERLINK("http://www.ncbi.nlm.nih.gov/gene/184928", "184928")</f>
        <v>184928</v>
      </c>
      <c r="C9583" s="9"/>
      <c r="D9583" t="str">
        <f>"F25E5.9"</f>
        <v>F25E5.9</v>
      </c>
      <c r="F9583" t="s">
        <v>11</v>
      </c>
      <c r="H9583" s="12">
        <v>1.5423992058967</v>
      </c>
      <c r="I9583" s="20">
        <v>0.50323481694618799</v>
      </c>
      <c r="J9583" s="28">
        <v>0.61479918866942596</v>
      </c>
      <c r="K9583" s="29">
        <v>0.98289565623980701</v>
      </c>
    </row>
    <row r="9584" spans="1:11" x14ac:dyDescent="0.35">
      <c r="A9584" s="9" t="str">
        <f>HYPERLINK("http://www.ensembl.org/id/WBGene00017795", "WBGene00017795")</f>
        <v>WBGene00017795</v>
      </c>
      <c r="B9584" s="9" t="str">
        <f>HYPERLINK("http://www.ncbi.nlm.nih.gov/gene/172104", "172104")</f>
        <v>172104</v>
      </c>
      <c r="C9584" s="9"/>
      <c r="D9584" t="str">
        <f>"F25F8.1"</f>
        <v>F25F8.1</v>
      </c>
      <c r="F9584" t="s">
        <v>11</v>
      </c>
      <c r="H9584" s="12">
        <v>-1.1856398148324001</v>
      </c>
      <c r="I9584" s="20">
        <v>-0.89597734270964702</v>
      </c>
      <c r="J9584" s="28">
        <v>0.37026486428351102</v>
      </c>
      <c r="K9584" s="29">
        <v>0.98289565623980701</v>
      </c>
    </row>
    <row r="9585" spans="1:11" x14ac:dyDescent="0.35">
      <c r="A9585" s="9" t="str">
        <f>HYPERLINK("http://www.ensembl.org/id/WBGene00199143", "WBGene00199143")</f>
        <v>WBGene00199143</v>
      </c>
      <c r="B9585" s="9"/>
      <c r="C9585" s="9"/>
      <c r="D9585" t="str">
        <f>"F25G6.19"</f>
        <v>F25G6.19</v>
      </c>
      <c r="F9585" t="s">
        <v>481</v>
      </c>
      <c r="H9585" s="12">
        <v>5.2322000618327396</v>
      </c>
      <c r="I9585" s="20">
        <v>0.486112489888328</v>
      </c>
      <c r="J9585" s="28">
        <v>0.62688741196182496</v>
      </c>
      <c r="K9585" s="29">
        <v>0.98289565623980701</v>
      </c>
    </row>
    <row r="9586" spans="1:11" x14ac:dyDescent="0.35">
      <c r="A9586" s="9" t="str">
        <f>HYPERLINK("http://www.ensembl.org/id/WBGene00219914", "WBGene00219914")</f>
        <v>WBGene00219914</v>
      </c>
      <c r="B9586" s="9"/>
      <c r="C9586" s="9"/>
      <c r="D9586" t="str">
        <f>"F25G6.21"</f>
        <v>F25G6.21</v>
      </c>
      <c r="F9586" t="s">
        <v>2977</v>
      </c>
      <c r="H9586" s="12">
        <v>2.4578120077400301</v>
      </c>
      <c r="I9586" s="20">
        <v>0.26093350314551</v>
      </c>
      <c r="J9586" s="28">
        <v>0.79414378780213601</v>
      </c>
      <c r="K9586" s="29">
        <v>0.98289565623980701</v>
      </c>
    </row>
    <row r="9587" spans="1:11" x14ac:dyDescent="0.35">
      <c r="A9587" s="9" t="str">
        <f>HYPERLINK("http://www.ensembl.org/id/WBGene00017799", "WBGene00017799")</f>
        <v>WBGene00017799</v>
      </c>
      <c r="B9587" s="9" t="str">
        <f>HYPERLINK("http://www.ncbi.nlm.nih.gov/gene/179236", "179236")</f>
        <v>179236</v>
      </c>
      <c r="C9587" s="9"/>
      <c r="D9587" t="str">
        <f>"F25G6.8"</f>
        <v>F25G6.8</v>
      </c>
      <c r="E9587" t="s">
        <v>7500</v>
      </c>
      <c r="F9587" t="s">
        <v>11</v>
      </c>
      <c r="G9587" t="s">
        <v>7501</v>
      </c>
      <c r="H9587" s="12">
        <v>-1.12937457806694</v>
      </c>
      <c r="I9587" s="20">
        <v>-0.61662885418137503</v>
      </c>
      <c r="J9587" s="28">
        <v>0.53747955806236702</v>
      </c>
      <c r="K9587" s="29">
        <v>0.98289565623980701</v>
      </c>
    </row>
    <row r="9588" spans="1:11" x14ac:dyDescent="0.35">
      <c r="A9588" s="9" t="str">
        <f>HYPERLINK("http://www.ensembl.org/id/WBGene00198870", "WBGene00198870")</f>
        <v>WBGene00198870</v>
      </c>
      <c r="B9588" s="9"/>
      <c r="C9588" s="9"/>
      <c r="D9588" t="str">
        <f>"F25H10.6"</f>
        <v>F25H10.6</v>
      </c>
      <c r="F9588" t="s">
        <v>481</v>
      </c>
      <c r="H9588" s="12">
        <v>3.5227018545059199</v>
      </c>
      <c r="I9588" s="20">
        <v>0.36849691206929103</v>
      </c>
      <c r="J9588" s="28">
        <v>0.71250274722433404</v>
      </c>
      <c r="K9588" s="29">
        <v>0.98289565623980701</v>
      </c>
    </row>
    <row r="9589" spans="1:11" x14ac:dyDescent="0.35">
      <c r="A9589" s="9" t="str">
        <f>HYPERLINK("http://www.ensembl.org/id/WBGene00009123", "WBGene00009123")</f>
        <v>WBGene00009123</v>
      </c>
      <c r="B9589" s="9" t="str">
        <f>HYPERLINK("http://www.ncbi.nlm.nih.gov/gene/172945", "172945")</f>
        <v>172945</v>
      </c>
      <c r="C9589" s="9" t="str">
        <f>HYPERLINK("http://www.ncbi.nlm.nih.gov/gene/51093", "51093")</f>
        <v>51093</v>
      </c>
      <c r="D9589" t="str">
        <f>"F25H2.12"</f>
        <v>F25H2.12</v>
      </c>
      <c r="F9589" t="s">
        <v>11</v>
      </c>
      <c r="G9589" t="s">
        <v>784</v>
      </c>
      <c r="H9589" s="12">
        <v>-1.2277959394671201</v>
      </c>
      <c r="I9589" s="20">
        <v>-0.67342128878667395</v>
      </c>
      <c r="J9589" s="28">
        <v>0.50067930862823296</v>
      </c>
      <c r="K9589" s="29">
        <v>0.98289565623980701</v>
      </c>
    </row>
    <row r="9590" spans="1:11" x14ac:dyDescent="0.35">
      <c r="A9590" s="9" t="str">
        <f>HYPERLINK("http://www.ensembl.org/id/WBGene00045138", "WBGene00045138")</f>
        <v>WBGene00045138</v>
      </c>
      <c r="B9590" s="9"/>
      <c r="C9590" s="9"/>
      <c r="D9590" t="str">
        <f>"F25H2.14"</f>
        <v>F25H2.14</v>
      </c>
      <c r="F9590" t="s">
        <v>2977</v>
      </c>
      <c r="H9590" s="12">
        <v>2.5703808721227901</v>
      </c>
      <c r="I9590" s="20">
        <v>0.47711274201562898</v>
      </c>
      <c r="J9590" s="28">
        <v>0.63328184172708502</v>
      </c>
      <c r="K9590" s="29">
        <v>0.98289565623980701</v>
      </c>
    </row>
    <row r="9591" spans="1:11" x14ac:dyDescent="0.35">
      <c r="A9591" s="9" t="str">
        <f>HYPERLINK("http://www.ensembl.org/id/WBGene00045162", "WBGene00045162")</f>
        <v>WBGene00045162</v>
      </c>
      <c r="B9591" s="9"/>
      <c r="C9591" s="9"/>
      <c r="D9591" t="str">
        <f>"F25H2.15"</f>
        <v>F25H2.15</v>
      </c>
      <c r="F9591" t="s">
        <v>2977</v>
      </c>
      <c r="H9591" s="12">
        <v>-1.8227479415939001</v>
      </c>
      <c r="I9591" s="20">
        <v>-0.32484278527204802</v>
      </c>
      <c r="J9591" s="28">
        <v>0.74530006107464197</v>
      </c>
      <c r="K9591" s="29">
        <v>0.98289565623980701</v>
      </c>
    </row>
    <row r="9592" spans="1:11" x14ac:dyDescent="0.35">
      <c r="A9592" s="9" t="str">
        <f>HYPERLINK("http://www.ensembl.org/id/WBGene00198190", "WBGene00198190")</f>
        <v>WBGene00198190</v>
      </c>
      <c r="B9592" s="9"/>
      <c r="C9592" s="9"/>
      <c r="D9592" t="str">
        <f>"F25H2.16"</f>
        <v>F25H2.16</v>
      </c>
      <c r="F9592" t="s">
        <v>481</v>
      </c>
      <c r="H9592" s="12">
        <v>3.9536106107363702</v>
      </c>
      <c r="I9592" s="20">
        <v>0.54979560316716403</v>
      </c>
      <c r="J9592" s="28">
        <v>0.58245957473176702</v>
      </c>
      <c r="K9592" s="29">
        <v>0.98289565623980701</v>
      </c>
    </row>
    <row r="9593" spans="1:11" x14ac:dyDescent="0.35">
      <c r="A9593" s="9" t="str">
        <f>HYPERLINK("http://www.ensembl.org/id/WBGene00009118", "WBGene00009118")</f>
        <v>WBGene00009118</v>
      </c>
      <c r="B9593" s="9" t="str">
        <f>HYPERLINK("http://www.ncbi.nlm.nih.gov/gene/172938", "172938")</f>
        <v>172938</v>
      </c>
      <c r="C9593" s="9"/>
      <c r="D9593" t="str">
        <f>"F25H2.4"</f>
        <v>F25H2.4</v>
      </c>
      <c r="F9593" t="s">
        <v>11</v>
      </c>
      <c r="G9593" t="s">
        <v>7430</v>
      </c>
      <c r="H9593" s="12">
        <v>-1.12510172822862</v>
      </c>
      <c r="I9593" s="20">
        <v>-0.58588810375609301</v>
      </c>
      <c r="J9593" s="28">
        <v>0.55795071215389203</v>
      </c>
      <c r="K9593" s="29">
        <v>0.98289565623980701</v>
      </c>
    </row>
    <row r="9594" spans="1:11" x14ac:dyDescent="0.35">
      <c r="A9594" s="9" t="str">
        <f>HYPERLINK("http://www.ensembl.org/id/WBGene00009120", "WBGene00009120")</f>
        <v>WBGene00009120</v>
      </c>
      <c r="B9594" s="9" t="str">
        <f>HYPERLINK("http://www.ncbi.nlm.nih.gov/gene/172940", "172940")</f>
        <v>172940</v>
      </c>
      <c r="C9594" s="9" t="str">
        <f>HYPERLINK("http://www.ncbi.nlm.nih.gov/gene/10087", "10087")</f>
        <v>10087</v>
      </c>
      <c r="D9594" t="str">
        <f>"F25H2.6"</f>
        <v>F25H2.6</v>
      </c>
      <c r="F9594" t="s">
        <v>11</v>
      </c>
      <c r="G9594" t="s">
        <v>6030</v>
      </c>
      <c r="H9594" s="12">
        <v>1.07096852341218</v>
      </c>
      <c r="I9594" s="20">
        <v>0.35914437963066997</v>
      </c>
      <c r="J9594" s="28">
        <v>0.71948708310110698</v>
      </c>
      <c r="K9594" s="29">
        <v>0.98289565623980701</v>
      </c>
    </row>
    <row r="9595" spans="1:11" x14ac:dyDescent="0.35">
      <c r="A9595" s="9" t="str">
        <f>HYPERLINK("http://www.ensembl.org/id/WBGene00009121", "WBGene00009121")</f>
        <v>WBGene00009121</v>
      </c>
      <c r="B9595" s="9" t="str">
        <f>HYPERLINK("http://www.ncbi.nlm.nih.gov/gene/184937", "184937")</f>
        <v>184937</v>
      </c>
      <c r="C9595" s="9"/>
      <c r="D9595" t="str">
        <f>"F25H2.7"</f>
        <v>F25H2.7</v>
      </c>
      <c r="F9595" t="s">
        <v>11</v>
      </c>
      <c r="H9595" s="12">
        <v>1.18465636425096</v>
      </c>
      <c r="I9595" s="20">
        <v>0.65579865458484599</v>
      </c>
      <c r="J9595" s="28">
        <v>0.51195368221211701</v>
      </c>
      <c r="K9595" s="29">
        <v>0.98289565623980701</v>
      </c>
    </row>
    <row r="9596" spans="1:11" x14ac:dyDescent="0.35">
      <c r="A9596" s="9" t="str">
        <f>HYPERLINK("http://www.ensembl.org/id/WBGene00077773", "WBGene00077773")</f>
        <v>WBGene00077773</v>
      </c>
      <c r="B9596" s="9" t="str">
        <f>HYPERLINK("http://www.ncbi.nlm.nih.gov/gene/7040136", "7040136")</f>
        <v>7040136</v>
      </c>
      <c r="C9596" s="9"/>
      <c r="D9596" t="str">
        <f>"F25H5.10"</f>
        <v>F25H5.10</v>
      </c>
      <c r="F9596" t="s">
        <v>11</v>
      </c>
      <c r="H9596" s="12">
        <v>1.1880671676161101</v>
      </c>
      <c r="I9596" s="20">
        <v>0.40016834559921399</v>
      </c>
      <c r="J9596" s="28">
        <v>0.68903252763970502</v>
      </c>
      <c r="K9596" s="29">
        <v>0.98289565623980701</v>
      </c>
    </row>
    <row r="9597" spans="1:11" x14ac:dyDescent="0.35">
      <c r="A9597" s="9" t="str">
        <f>HYPERLINK("http://www.ensembl.org/id/WBGene00009125", "WBGene00009125")</f>
        <v>WBGene00009125</v>
      </c>
      <c r="B9597" s="9" t="str">
        <f>HYPERLINK("http://www.ncbi.nlm.nih.gov/gene/184938", "184938")</f>
        <v>184938</v>
      </c>
      <c r="C9597" s="9"/>
      <c r="D9597" t="str">
        <f>"F25H5.2"</f>
        <v>F25H5.2</v>
      </c>
      <c r="F9597" t="s">
        <v>11</v>
      </c>
      <c r="G9597" t="s">
        <v>25</v>
      </c>
      <c r="H9597" s="12">
        <v>1.4479374336336499</v>
      </c>
      <c r="I9597" s="20">
        <v>0.92412537165123598</v>
      </c>
      <c r="J9597" s="28">
        <v>0.35542104496625199</v>
      </c>
      <c r="K9597" s="29">
        <v>0.98289565623980701</v>
      </c>
    </row>
    <row r="9598" spans="1:11" x14ac:dyDescent="0.35">
      <c r="A9598" s="9" t="str">
        <f>HYPERLINK("http://www.ensembl.org/id/WBGene00009129", "WBGene00009129")</f>
        <v>WBGene00009129</v>
      </c>
      <c r="B9598" s="9" t="str">
        <f>HYPERLINK("http://www.ncbi.nlm.nih.gov/gene/172740", "172740")</f>
        <v>172740</v>
      </c>
      <c r="C9598" s="9"/>
      <c r="D9598" t="str">
        <f>"F25H5.7"</f>
        <v>F25H5.7</v>
      </c>
      <c r="E9598" t="s">
        <v>4323</v>
      </c>
      <c r="F9598" t="s">
        <v>11</v>
      </c>
      <c r="G9598" t="s">
        <v>1020</v>
      </c>
      <c r="H9598" s="12">
        <v>1.3686785726800901</v>
      </c>
      <c r="I9598" s="20">
        <v>0.33520351394237902</v>
      </c>
      <c r="J9598" s="28">
        <v>0.73747157148078801</v>
      </c>
      <c r="K9598" s="29">
        <v>0.98289565623980701</v>
      </c>
    </row>
    <row r="9599" spans="1:11" x14ac:dyDescent="0.35">
      <c r="A9599" s="9" t="str">
        <f>HYPERLINK("http://www.ensembl.org/id/WBGene00009135", "WBGene00009135")</f>
        <v>WBGene00009135</v>
      </c>
      <c r="B9599" s="9" t="str">
        <f>HYPERLINK("http://www.ncbi.nlm.nih.gov/gene/179826", "179826")</f>
        <v>179826</v>
      </c>
      <c r="C9599" s="9"/>
      <c r="D9599" t="str">
        <f>"F25H9.2"</f>
        <v>F25H9.2</v>
      </c>
      <c r="F9599" t="s">
        <v>11</v>
      </c>
      <c r="G9599" t="s">
        <v>54</v>
      </c>
      <c r="H9599" s="12">
        <v>-1.27301627444916</v>
      </c>
      <c r="I9599" s="20">
        <v>-0.78298999749081299</v>
      </c>
      <c r="J9599" s="28">
        <v>0.43363298586086202</v>
      </c>
      <c r="K9599" s="29">
        <v>0.98289565623980701</v>
      </c>
    </row>
    <row r="9600" spans="1:11" x14ac:dyDescent="0.35">
      <c r="A9600" s="9" t="str">
        <f>HYPERLINK("http://www.ensembl.org/id/WBGene00017811", "WBGene00017811")</f>
        <v>WBGene00017811</v>
      </c>
      <c r="B9600" s="9" t="str">
        <f>HYPERLINK("http://www.ncbi.nlm.nih.gov/gene/184951", "184951")</f>
        <v>184951</v>
      </c>
      <c r="C9600" s="9"/>
      <c r="D9600" t="str">
        <f>"F26A1.13"</f>
        <v>F26A1.13</v>
      </c>
      <c r="F9600" t="s">
        <v>11</v>
      </c>
      <c r="H9600" s="12">
        <v>-1.19670982137867</v>
      </c>
      <c r="I9600" s="20">
        <v>-0.88850213432175096</v>
      </c>
      <c r="J9600" s="28">
        <v>0.37427070827980202</v>
      </c>
      <c r="K9600" s="29">
        <v>0.98289565623980701</v>
      </c>
    </row>
    <row r="9601" spans="1:11" x14ac:dyDescent="0.35">
      <c r="A9601" s="9" t="str">
        <f>HYPERLINK("http://www.ensembl.org/id/WBGene00199981", "WBGene00199981")</f>
        <v>WBGene00199981</v>
      </c>
      <c r="B9601" s="9"/>
      <c r="C9601" s="9"/>
      <c r="D9601" t="str">
        <f>"F26A1.18"</f>
        <v>F26A1.18</v>
      </c>
      <c r="F9601" t="s">
        <v>481</v>
      </c>
      <c r="H9601" s="12">
        <v>3.5227018545059199</v>
      </c>
      <c r="I9601" s="20">
        <v>0.36849691206929103</v>
      </c>
      <c r="J9601" s="28">
        <v>0.71250274722433404</v>
      </c>
      <c r="K9601" s="29">
        <v>0.98289565623980701</v>
      </c>
    </row>
    <row r="9602" spans="1:11" x14ac:dyDescent="0.35">
      <c r="A9602" s="9" t="str">
        <f>HYPERLINK("http://www.ensembl.org/id/WBGene00017802", "WBGene00017802")</f>
        <v>WBGene00017802</v>
      </c>
      <c r="B9602" s="9" t="str">
        <f>HYPERLINK("http://www.ncbi.nlm.nih.gov/gene/175639", "175639")</f>
        <v>175639</v>
      </c>
      <c r="C9602" s="9"/>
      <c r="D9602" t="str">
        <f>"F26A1.3"</f>
        <v>F26A1.3</v>
      </c>
      <c r="F9602" t="s">
        <v>11</v>
      </c>
      <c r="G9602" t="s">
        <v>1763</v>
      </c>
      <c r="H9602" s="12">
        <v>1.69057300103193</v>
      </c>
      <c r="I9602" s="20">
        <v>0.27580414369013101</v>
      </c>
      <c r="J9602" s="28">
        <v>0.782698500909629</v>
      </c>
      <c r="K9602" s="29">
        <v>0.98289565623980701</v>
      </c>
    </row>
    <row r="9603" spans="1:11" x14ac:dyDescent="0.35">
      <c r="A9603" s="9" t="str">
        <f>HYPERLINK("http://www.ensembl.org/id/WBGene00017803", "WBGene00017803")</f>
        <v>WBGene00017803</v>
      </c>
      <c r="B9603" s="9" t="str">
        <f>HYPERLINK("http://www.ncbi.nlm.nih.gov/gene/184945", "184945")</f>
        <v>184945</v>
      </c>
      <c r="C9603" s="9"/>
      <c r="D9603" t="str">
        <f>"F26A1.4"</f>
        <v>F26A1.4</v>
      </c>
      <c r="F9603" t="s">
        <v>11</v>
      </c>
      <c r="G9603" t="s">
        <v>1763</v>
      </c>
      <c r="H9603" s="12">
        <v>1.95969597900355</v>
      </c>
      <c r="I9603" s="20">
        <v>0.36009598501494899</v>
      </c>
      <c r="J9603" s="28">
        <v>0.71877535517417901</v>
      </c>
      <c r="K9603" s="29">
        <v>0.98289565623980701</v>
      </c>
    </row>
    <row r="9604" spans="1:11" x14ac:dyDescent="0.35">
      <c r="A9604" s="9" t="str">
        <f>HYPERLINK("http://www.ensembl.org/id/WBGene00017806", "WBGene00017806")</f>
        <v>WBGene00017806</v>
      </c>
      <c r="B9604" s="9" t="str">
        <f>HYPERLINK("http://www.ncbi.nlm.nih.gov/gene/184948", "184948")</f>
        <v>184948</v>
      </c>
      <c r="C9604" s="9"/>
      <c r="D9604" t="str">
        <f>"F26A1.8"</f>
        <v>F26A1.8</v>
      </c>
      <c r="F9604" t="s">
        <v>11</v>
      </c>
      <c r="G9604" t="s">
        <v>25</v>
      </c>
      <c r="H9604" s="12">
        <v>1.2800256427975001</v>
      </c>
      <c r="I9604" s="20">
        <v>0.26933879804244198</v>
      </c>
      <c r="J9604" s="28">
        <v>0.78766897838473005</v>
      </c>
      <c r="K9604" s="29">
        <v>0.98289565623980701</v>
      </c>
    </row>
    <row r="9605" spans="1:11" x14ac:dyDescent="0.35">
      <c r="A9605" s="9" t="str">
        <f>HYPERLINK("http://www.ensembl.org/id/WBGene00017807", "WBGene00017807")</f>
        <v>WBGene00017807</v>
      </c>
      <c r="B9605" s="9" t="str">
        <f>HYPERLINK("http://www.ncbi.nlm.nih.gov/gene/184949", "184949")</f>
        <v>184949</v>
      </c>
      <c r="C9605" s="9"/>
      <c r="D9605" t="str">
        <f>"F26A1.9"</f>
        <v>F26A1.9</v>
      </c>
      <c r="F9605" t="s">
        <v>11</v>
      </c>
      <c r="H9605" s="12">
        <v>-1.85908757351175</v>
      </c>
      <c r="I9605" s="20">
        <v>-0.73339025221843201</v>
      </c>
      <c r="J9605" s="28">
        <v>0.46332044280137702</v>
      </c>
      <c r="K9605" s="29">
        <v>0.98289565623980701</v>
      </c>
    </row>
    <row r="9606" spans="1:11" x14ac:dyDescent="0.35">
      <c r="A9606" s="9" t="str">
        <f>HYPERLINK("http://www.ensembl.org/id/WBGene00197832", "WBGene00197832")</f>
        <v>WBGene00197832</v>
      </c>
      <c r="B9606" s="9"/>
      <c r="C9606" s="9"/>
      <c r="D9606" t="str">
        <f>"F26A10.13"</f>
        <v>F26A10.13</v>
      </c>
      <c r="F9606" t="s">
        <v>481</v>
      </c>
      <c r="H9606" s="12">
        <v>2.3893468495514898</v>
      </c>
      <c r="I9606" s="20">
        <v>0.25323547253672701</v>
      </c>
      <c r="J9606" s="28">
        <v>0.80008625651646104</v>
      </c>
      <c r="K9606" s="29">
        <v>0.98289565623980701</v>
      </c>
    </row>
    <row r="9607" spans="1:11" x14ac:dyDescent="0.35">
      <c r="A9607" s="9" t="str">
        <f>HYPERLINK("http://www.ensembl.org/id/WBGene00198382", "WBGene00198382")</f>
        <v>WBGene00198382</v>
      </c>
      <c r="B9607" s="9"/>
      <c r="C9607" s="9"/>
      <c r="D9607" t="str">
        <f>"F26A10.15"</f>
        <v>F26A10.15</v>
      </c>
      <c r="F9607" t="s">
        <v>481</v>
      </c>
      <c r="H9607" s="12">
        <v>2.4578120077400301</v>
      </c>
      <c r="I9607" s="20">
        <v>0.26093350314551</v>
      </c>
      <c r="J9607" s="28">
        <v>0.79414378780213601</v>
      </c>
      <c r="K9607" s="29">
        <v>0.98289565623980701</v>
      </c>
    </row>
    <row r="9608" spans="1:11" x14ac:dyDescent="0.35">
      <c r="A9608" s="9" t="str">
        <f>HYPERLINK("http://www.ensembl.org/id/WBGene00198776", "WBGene00198776")</f>
        <v>WBGene00198776</v>
      </c>
      <c r="B9608" s="9"/>
      <c r="C9608" s="9"/>
      <c r="D9608" t="str">
        <f>"F26A10.17"</f>
        <v>F26A10.17</v>
      </c>
      <c r="F9608" t="s">
        <v>481</v>
      </c>
      <c r="H9608" s="12">
        <v>-4.7167679298615104</v>
      </c>
      <c r="I9608" s="20">
        <v>-0.454742638005115</v>
      </c>
      <c r="J9608" s="28">
        <v>0.64929440216969203</v>
      </c>
      <c r="K9608" s="29">
        <v>0.98289565623980701</v>
      </c>
    </row>
    <row r="9609" spans="1:11" x14ac:dyDescent="0.35">
      <c r="A9609" s="9" t="str">
        <f>HYPERLINK("http://www.ensembl.org/id/WBGene00198947", "WBGene00198947")</f>
        <v>WBGene00198947</v>
      </c>
      <c r="B9609" s="9"/>
      <c r="C9609" s="9"/>
      <c r="D9609" t="str">
        <f>"F26A10.18"</f>
        <v>F26A10.18</v>
      </c>
      <c r="F9609" t="s">
        <v>481</v>
      </c>
      <c r="H9609" s="12">
        <v>3.6645215954135</v>
      </c>
      <c r="I9609" s="20">
        <v>0.37967131826092498</v>
      </c>
      <c r="J9609" s="28">
        <v>0.70418941338960395</v>
      </c>
      <c r="K9609" s="29">
        <v>0.98289565623980701</v>
      </c>
    </row>
    <row r="9610" spans="1:11" x14ac:dyDescent="0.35">
      <c r="A9610" s="9" t="str">
        <f>HYPERLINK("http://www.ensembl.org/id/WBGene00200348", "WBGene00200348")</f>
        <v>WBGene00200348</v>
      </c>
      <c r="B9610" s="9"/>
      <c r="C9610" s="9"/>
      <c r="D9610" t="str">
        <f>"F26A10.22"</f>
        <v>F26A10.22</v>
      </c>
      <c r="F9610" t="s">
        <v>481</v>
      </c>
      <c r="H9610" s="12">
        <v>-2.4295389261469</v>
      </c>
      <c r="I9610" s="20">
        <v>-0.25808529976640998</v>
      </c>
      <c r="J9610" s="28">
        <v>0.79634107645457397</v>
      </c>
      <c r="K9610" s="29">
        <v>0.98289565623980701</v>
      </c>
    </row>
    <row r="9611" spans="1:11" x14ac:dyDescent="0.35">
      <c r="A9611" s="9" t="str">
        <f>HYPERLINK("http://www.ensembl.org/id/WBGene00196284", "WBGene00196284")</f>
        <v>WBGene00196284</v>
      </c>
      <c r="B9611" s="9"/>
      <c r="C9611" s="9"/>
      <c r="D9611" t="str">
        <f>"F26A10.9"</f>
        <v>F26A10.9</v>
      </c>
      <c r="F9611" t="s">
        <v>481</v>
      </c>
      <c r="H9611" s="12">
        <v>2.4578120077400301</v>
      </c>
      <c r="I9611" s="20">
        <v>0.26093350314551</v>
      </c>
      <c r="J9611" s="28">
        <v>0.79414378780213601</v>
      </c>
      <c r="K9611" s="29">
        <v>0.98289565623980701</v>
      </c>
    </row>
    <row r="9612" spans="1:11" x14ac:dyDescent="0.35">
      <c r="A9612" s="9" t="str">
        <f>HYPERLINK("http://www.ensembl.org/id/WBGene00009140", "WBGene00009140")</f>
        <v>WBGene00009140</v>
      </c>
      <c r="B9612" s="9" t="str">
        <f>HYPERLINK("http://www.ncbi.nlm.nih.gov/gene/172522", "172522")</f>
        <v>172522</v>
      </c>
      <c r="C9612" s="9" t="str">
        <f>HYPERLINK("http://www.ncbi.nlm.nih.gov/gene/60526", "60526")</f>
        <v>60526</v>
      </c>
      <c r="D9612" t="str">
        <f>"F26A3.1"</f>
        <v>F26A3.1</v>
      </c>
      <c r="F9612" t="s">
        <v>11</v>
      </c>
      <c r="G9612" t="s">
        <v>1375</v>
      </c>
      <c r="H9612" s="12">
        <v>-1.1498243486433599</v>
      </c>
      <c r="I9612" s="20">
        <v>-0.72444772915058198</v>
      </c>
      <c r="J9612" s="28">
        <v>0.46879090664152401</v>
      </c>
      <c r="K9612" s="29">
        <v>0.98289565623980701</v>
      </c>
    </row>
    <row r="9613" spans="1:11" x14ac:dyDescent="0.35">
      <c r="A9613" s="9" t="str">
        <f>HYPERLINK("http://www.ensembl.org/id/WBGene00009143", "WBGene00009143")</f>
        <v>WBGene00009143</v>
      </c>
      <c r="B9613" s="9" t="str">
        <f>HYPERLINK("http://www.ncbi.nlm.nih.gov/gene/184954", "184954")</f>
        <v>184954</v>
      </c>
      <c r="C9613" s="9"/>
      <c r="D9613" t="str">
        <f>"F26A3.5"</f>
        <v>F26A3.5</v>
      </c>
      <c r="F9613" t="s">
        <v>11</v>
      </c>
      <c r="H9613" s="12">
        <v>1.4143855353533901</v>
      </c>
      <c r="I9613" s="20">
        <v>0.44242209902980201</v>
      </c>
      <c r="J9613" s="28">
        <v>0.65818379038281105</v>
      </c>
      <c r="K9613" s="29">
        <v>0.98289565623980701</v>
      </c>
    </row>
    <row r="9614" spans="1:11" x14ac:dyDescent="0.35">
      <c r="A9614" s="9" t="str">
        <f>HYPERLINK("http://www.ensembl.org/id/WBGene00009145", "WBGene00009145")</f>
        <v>WBGene00009145</v>
      </c>
      <c r="B9614" s="9" t="str">
        <f>HYPERLINK("http://www.ncbi.nlm.nih.gov/gene/172526", "172526")</f>
        <v>172526</v>
      </c>
      <c r="C9614" s="9" t="str">
        <f>HYPERLINK("http://www.ncbi.nlm.nih.gov/gene/55425", "55425")</f>
        <v>55425</v>
      </c>
      <c r="D9614" t="str">
        <f>"F26A3.7"</f>
        <v>F26A3.7</v>
      </c>
      <c r="F9614" t="s">
        <v>11</v>
      </c>
      <c r="H9614" s="12">
        <v>-1.14514282038535</v>
      </c>
      <c r="I9614" s="20">
        <v>-0.59994738225060396</v>
      </c>
      <c r="J9614" s="28">
        <v>0.54854130311097704</v>
      </c>
      <c r="K9614" s="29">
        <v>0.98289565623980701</v>
      </c>
    </row>
    <row r="9615" spans="1:11" x14ac:dyDescent="0.35">
      <c r="A9615" s="9" t="str">
        <f>HYPERLINK("http://www.ensembl.org/id/WBGene00017817", "WBGene00017817")</f>
        <v>WBGene00017817</v>
      </c>
      <c r="B9615" s="9" t="str">
        <f>HYPERLINK("http://www.ncbi.nlm.nih.gov/gene/172328", "172328")</f>
        <v>172328</v>
      </c>
      <c r="C9615" s="9"/>
      <c r="D9615" t="str">
        <f>"F26B1.5"</f>
        <v>F26B1.5</v>
      </c>
      <c r="E9615" t="s">
        <v>2496</v>
      </c>
      <c r="F9615" t="s">
        <v>11</v>
      </c>
      <c r="G9615" t="s">
        <v>2497</v>
      </c>
      <c r="H9615" s="12">
        <v>-2.4295389261469</v>
      </c>
      <c r="I9615" s="20">
        <v>-0.25808529976640998</v>
      </c>
      <c r="J9615" s="28">
        <v>0.79634107645457397</v>
      </c>
      <c r="K9615" s="29">
        <v>0.98289565623980701</v>
      </c>
    </row>
    <row r="9616" spans="1:11" x14ac:dyDescent="0.35">
      <c r="A9616" s="9" t="str">
        <f>HYPERLINK("http://www.ensembl.org/id/WBGene00194703", "WBGene00194703")</f>
        <v>WBGene00194703</v>
      </c>
      <c r="B9616" s="9" t="str">
        <f>HYPERLINK("http://www.ncbi.nlm.nih.gov/gene/13180558", "13180558")</f>
        <v>13180558</v>
      </c>
      <c r="C9616" s="9"/>
      <c r="D9616" t="str">
        <f>"F26B1.8"</f>
        <v>F26B1.8</v>
      </c>
      <c r="F9616" t="s">
        <v>11</v>
      </c>
      <c r="H9616" s="12">
        <v>-1.39490206253771</v>
      </c>
      <c r="I9616" s="20">
        <v>-0.62242967534868099</v>
      </c>
      <c r="J9616" s="28">
        <v>0.53365937242893302</v>
      </c>
      <c r="K9616" s="29">
        <v>0.98289565623980701</v>
      </c>
    </row>
    <row r="9617" spans="1:11" x14ac:dyDescent="0.35">
      <c r="A9617" s="9" t="str">
        <f>HYPERLINK("http://www.ensembl.org/id/WBGene00044244", "WBGene00044244")</f>
        <v>WBGene00044244</v>
      </c>
      <c r="B9617" s="9" t="str">
        <f>HYPERLINK("http://www.ncbi.nlm.nih.gov/gene/3565015", "3565015")</f>
        <v>3565015</v>
      </c>
      <c r="C9617" s="9"/>
      <c r="D9617" t="str">
        <f>"F26D10.13"</f>
        <v>F26D10.13</v>
      </c>
      <c r="F9617" t="s">
        <v>11</v>
      </c>
      <c r="H9617" s="12">
        <v>4.4368407117627902</v>
      </c>
      <c r="I9617" s="20">
        <v>0.43709475933309699</v>
      </c>
      <c r="J9617" s="28">
        <v>0.66204262779770495</v>
      </c>
      <c r="K9617" s="29">
        <v>0.98289565623980701</v>
      </c>
    </row>
    <row r="9618" spans="1:11" x14ac:dyDescent="0.35">
      <c r="A9618" s="9" t="str">
        <f>HYPERLINK("http://www.ensembl.org/id/WBGene00219916", "WBGene00219916")</f>
        <v>WBGene00219916</v>
      </c>
      <c r="B9618" s="9"/>
      <c r="C9618" s="9"/>
      <c r="D9618" t="str">
        <f>"F26D10.23"</f>
        <v>F26D10.23</v>
      </c>
      <c r="F9618" t="s">
        <v>481</v>
      </c>
      <c r="H9618" s="12">
        <v>7.92898286605097</v>
      </c>
      <c r="I9618" s="20">
        <v>0.86581616308302201</v>
      </c>
      <c r="J9618" s="28">
        <v>0.38659098406082598</v>
      </c>
      <c r="K9618" s="29">
        <v>0.98289565623980701</v>
      </c>
    </row>
    <row r="9619" spans="1:11" x14ac:dyDescent="0.35">
      <c r="A9619" s="9" t="str">
        <f>HYPERLINK("http://www.ensembl.org/id/WBGene00219917", "WBGene00219917")</f>
        <v>WBGene00219917</v>
      </c>
      <c r="B9619" s="9"/>
      <c r="C9619" s="9"/>
      <c r="D9619" t="str">
        <f>"F26D10.24"</f>
        <v>F26D10.24</v>
      </c>
      <c r="F9619" t="s">
        <v>2977</v>
      </c>
      <c r="H9619" s="12">
        <v>-1.5648007671716799</v>
      </c>
      <c r="I9619" s="20">
        <v>-0.54754952247055899</v>
      </c>
      <c r="J9619" s="28">
        <v>0.58400125745072495</v>
      </c>
      <c r="K9619" s="29">
        <v>0.98289565623980701</v>
      </c>
    </row>
    <row r="9620" spans="1:11" x14ac:dyDescent="0.35">
      <c r="A9620" s="9" t="str">
        <f>HYPERLINK("http://www.ensembl.org/id/WBGene00017818", "WBGene00017818")</f>
        <v>WBGene00017818</v>
      </c>
      <c r="B9620" s="9" t="str">
        <f>HYPERLINK("http://www.ncbi.nlm.nih.gov/gene/36805006", "36805006")</f>
        <v>36805006</v>
      </c>
      <c r="C9620" s="9"/>
      <c r="D9620" t="str">
        <f>"F26D11.1"</f>
        <v>F26D11.1</v>
      </c>
      <c r="E9620" t="s">
        <v>9228</v>
      </c>
      <c r="F9620" t="s">
        <v>11</v>
      </c>
      <c r="G9620" t="s">
        <v>9229</v>
      </c>
      <c r="H9620" s="12">
        <v>-1.22951691879377</v>
      </c>
      <c r="I9620" s="20">
        <v>-0.58201439469017802</v>
      </c>
      <c r="J9620" s="28">
        <v>0.56055698498746898</v>
      </c>
      <c r="K9620" s="29">
        <v>0.98289565623980701</v>
      </c>
    </row>
    <row r="9621" spans="1:11" x14ac:dyDescent="0.35">
      <c r="A9621" s="9" t="str">
        <f>HYPERLINK("http://www.ensembl.org/id/WBGene00045392", "WBGene00045392")</f>
        <v>WBGene00045392</v>
      </c>
      <c r="B9621" s="9" t="str">
        <f>HYPERLINK("http://www.ncbi.nlm.nih.gov/gene/6418732", "6418732")</f>
        <v>6418732</v>
      </c>
      <c r="C9621" s="9"/>
      <c r="D9621" t="str">
        <f>"F26D11.12"</f>
        <v>F26D11.12</v>
      </c>
      <c r="F9621" t="s">
        <v>11</v>
      </c>
      <c r="H9621" s="12">
        <v>-1.2008220251690001</v>
      </c>
      <c r="I9621" s="20">
        <v>-0.75158598050981595</v>
      </c>
      <c r="J9621" s="28">
        <v>0.45230007682824802</v>
      </c>
      <c r="K9621" s="29">
        <v>0.98289565623980701</v>
      </c>
    </row>
    <row r="9622" spans="1:11" x14ac:dyDescent="0.35">
      <c r="A9622" s="9" t="str">
        <f>HYPERLINK("http://www.ensembl.org/id/WBGene00017819", "WBGene00017819")</f>
        <v>WBGene00017819</v>
      </c>
      <c r="B9622" s="9" t="str">
        <f>HYPERLINK("http://www.ncbi.nlm.nih.gov/gene/184973", "184973")</f>
        <v>184973</v>
      </c>
      <c r="C9622" s="9"/>
      <c r="D9622" t="str">
        <f>"F26D11.2"</f>
        <v>F26D11.2</v>
      </c>
      <c r="F9622" t="s">
        <v>11</v>
      </c>
      <c r="H9622" s="12">
        <v>2.3474190256286098</v>
      </c>
      <c r="I9622" s="20">
        <v>1.16836064697764</v>
      </c>
      <c r="J9622" s="28">
        <v>0.24266132169539101</v>
      </c>
      <c r="K9622" s="29">
        <v>0.98289565623980701</v>
      </c>
    </row>
    <row r="9623" spans="1:11" x14ac:dyDescent="0.35">
      <c r="A9623" s="9" t="str">
        <f>HYPERLINK("http://www.ensembl.org/id/WBGene00196778", "WBGene00196778")</f>
        <v>WBGene00196778</v>
      </c>
      <c r="B9623" s="9"/>
      <c r="C9623" s="9"/>
      <c r="D9623" t="str">
        <f>"F26D12.99"</f>
        <v>F26D12.99</v>
      </c>
      <c r="F9623" t="s">
        <v>481</v>
      </c>
      <c r="H9623" s="12">
        <v>-6.3507302933957197</v>
      </c>
      <c r="I9623" s="20">
        <v>-0.54348709410156204</v>
      </c>
      <c r="J9623" s="28">
        <v>0.58679447442024202</v>
      </c>
      <c r="K9623" s="29">
        <v>0.98289565623980701</v>
      </c>
    </row>
    <row r="9624" spans="1:11" x14ac:dyDescent="0.35">
      <c r="A9624" s="9" t="str">
        <f>HYPERLINK("http://www.ensembl.org/id/WBGene00009149", "WBGene00009149")</f>
        <v>WBGene00009149</v>
      </c>
      <c r="B9624" s="9" t="str">
        <f>HYPERLINK("http://www.ncbi.nlm.nih.gov/gene/180104", "180104")</f>
        <v>180104</v>
      </c>
      <c r="C9624" s="9"/>
      <c r="D9624" t="str">
        <f>"F26D2.10"</f>
        <v>F26D2.10</v>
      </c>
      <c r="F9624" t="s">
        <v>11</v>
      </c>
      <c r="G9624" t="s">
        <v>417</v>
      </c>
      <c r="H9624" s="12">
        <v>2.4368603831245501</v>
      </c>
      <c r="I9624" s="20">
        <v>0.53038040234436401</v>
      </c>
      <c r="J9624" s="28">
        <v>0.59584821095388996</v>
      </c>
      <c r="K9624" s="29">
        <v>0.98289565623980701</v>
      </c>
    </row>
    <row r="9625" spans="1:11" x14ac:dyDescent="0.35">
      <c r="A9625" s="9" t="str">
        <f>HYPERLINK("http://www.ensembl.org/id/WBGene00009152", "WBGene00009152")</f>
        <v>WBGene00009152</v>
      </c>
      <c r="B9625" s="9" t="str">
        <f>HYPERLINK("http://www.ncbi.nlm.nih.gov/gene/184968", "184968")</f>
        <v>184968</v>
      </c>
      <c r="C9625" s="9"/>
      <c r="D9625" t="str">
        <f>"F26D2.14"</f>
        <v>F26D2.14</v>
      </c>
      <c r="F9625" t="s">
        <v>11</v>
      </c>
      <c r="H9625" s="12">
        <v>1.9762160261931401</v>
      </c>
      <c r="I9625" s="20">
        <v>0.26876270262027002</v>
      </c>
      <c r="J9625" s="28">
        <v>0.78811229658262005</v>
      </c>
      <c r="K9625" s="29">
        <v>0.98289565623980701</v>
      </c>
    </row>
    <row r="9626" spans="1:11" x14ac:dyDescent="0.35">
      <c r="A9626" s="9" t="str">
        <f>HYPERLINK("http://www.ensembl.org/id/WBGene00009153", "WBGene00009153")</f>
        <v>WBGene00009153</v>
      </c>
      <c r="B9626" s="9" t="str">
        <f>HYPERLINK("http://www.ncbi.nlm.nih.gov/gene/184969", "184969")</f>
        <v>184969</v>
      </c>
      <c r="C9626" s="9"/>
      <c r="D9626" t="str">
        <f>"F26D2.15"</f>
        <v>F26D2.15</v>
      </c>
      <c r="F9626" t="s">
        <v>11</v>
      </c>
      <c r="G9626" t="s">
        <v>489</v>
      </c>
      <c r="H9626" s="12">
        <v>-1.71242903194385</v>
      </c>
      <c r="I9626" s="20">
        <v>-0.94906210786146195</v>
      </c>
      <c r="J9626" s="28">
        <v>0.34258902490057702</v>
      </c>
      <c r="K9626" s="29">
        <v>0.98289565623980701</v>
      </c>
    </row>
    <row r="9627" spans="1:11" x14ac:dyDescent="0.35">
      <c r="A9627" s="9" t="str">
        <f>HYPERLINK("http://www.ensembl.org/id/WBGene00014745", "WBGene00014745")</f>
        <v>WBGene00014745</v>
      </c>
      <c r="B9627" s="9"/>
      <c r="C9627" s="9"/>
      <c r="D9627" t="str">
        <f>"F26D2.8"</f>
        <v>F26D2.8</v>
      </c>
      <c r="F9627" t="s">
        <v>80</v>
      </c>
      <c r="H9627" s="12">
        <v>5.2322000618327396</v>
      </c>
      <c r="I9627" s="20">
        <v>0.486112489888328</v>
      </c>
      <c r="J9627" s="28">
        <v>0.62688741196182496</v>
      </c>
      <c r="K9627" s="29">
        <v>0.98289565623980701</v>
      </c>
    </row>
    <row r="9628" spans="1:11" x14ac:dyDescent="0.35">
      <c r="A9628" s="9" t="str">
        <f>HYPERLINK("http://www.ensembl.org/id/WBGene00198423", "WBGene00198423")</f>
        <v>WBGene00198423</v>
      </c>
      <c r="B9628" s="9"/>
      <c r="C9628" s="9"/>
      <c r="D9628" t="str">
        <f>"F26E4.17"</f>
        <v>F26E4.17</v>
      </c>
      <c r="F9628" t="s">
        <v>481</v>
      </c>
      <c r="H9628" s="12">
        <v>-4.0271644433061304</v>
      </c>
      <c r="I9628" s="20">
        <v>-0.47804524091721101</v>
      </c>
      <c r="J9628" s="28">
        <v>0.63261800531855095</v>
      </c>
      <c r="K9628" s="29">
        <v>0.98289565623980701</v>
      </c>
    </row>
    <row r="9629" spans="1:11" x14ac:dyDescent="0.35">
      <c r="A9629" s="9" t="str">
        <f>HYPERLINK("http://www.ensembl.org/id/WBGene00199873", "WBGene00199873")</f>
        <v>WBGene00199873</v>
      </c>
      <c r="B9629" s="9"/>
      <c r="C9629" s="9"/>
      <c r="D9629" t="str">
        <f>"F26E4.18"</f>
        <v>F26E4.18</v>
      </c>
      <c r="F9629" t="s">
        <v>481</v>
      </c>
      <c r="H9629" s="12">
        <v>-5.4967879193631202</v>
      </c>
      <c r="I9629" s="20">
        <v>-0.50254160819837501</v>
      </c>
      <c r="J9629" s="28">
        <v>0.61528659178453604</v>
      </c>
      <c r="K9629" s="29">
        <v>0.98289565623980701</v>
      </c>
    </row>
    <row r="9630" spans="1:11" x14ac:dyDescent="0.35">
      <c r="A9630" s="9" t="str">
        <f>HYPERLINK("http://www.ensembl.org/id/WBGene00009160", "WBGene00009160")</f>
        <v>WBGene00009160</v>
      </c>
      <c r="B9630" s="9" t="str">
        <f>HYPERLINK("http://www.ncbi.nlm.nih.gov/gene/172828", "172828")</f>
        <v>172828</v>
      </c>
      <c r="C9630" s="9"/>
      <c r="D9630" t="str">
        <f>"F26E4.5"</f>
        <v>F26E4.5</v>
      </c>
      <c r="E9630" t="s">
        <v>2588</v>
      </c>
      <c r="F9630" t="s">
        <v>11</v>
      </c>
      <c r="G9630" t="s">
        <v>2589</v>
      </c>
      <c r="H9630" s="12">
        <v>-2.1498702322687899</v>
      </c>
      <c r="I9630" s="20">
        <v>-0.69527216705036998</v>
      </c>
      <c r="J9630" s="28">
        <v>0.48688475342154303</v>
      </c>
      <c r="K9630" s="29">
        <v>0.98289565623980701</v>
      </c>
    </row>
    <row r="9631" spans="1:11" x14ac:dyDescent="0.35">
      <c r="A9631" s="9" t="str">
        <f>HYPERLINK("http://www.ensembl.org/id/WBGene00198767", "WBGene00198767")</f>
        <v>WBGene00198767</v>
      </c>
      <c r="B9631" s="9"/>
      <c r="C9631" s="9"/>
      <c r="D9631" t="str">
        <f>"F26F12.15"</f>
        <v>F26F12.15</v>
      </c>
      <c r="F9631" t="s">
        <v>481</v>
      </c>
      <c r="H9631" s="12">
        <v>4.4368407117627902</v>
      </c>
      <c r="I9631" s="20">
        <v>0.43709475933309699</v>
      </c>
      <c r="J9631" s="28">
        <v>0.66204262779770495</v>
      </c>
      <c r="K9631" s="29">
        <v>0.98289565623980701</v>
      </c>
    </row>
    <row r="9632" spans="1:11" x14ac:dyDescent="0.35">
      <c r="A9632" s="9" t="str">
        <f>HYPERLINK("http://www.ensembl.org/id/WBGene00198852", "WBGene00198852")</f>
        <v>WBGene00198852</v>
      </c>
      <c r="B9632" s="9"/>
      <c r="C9632" s="9"/>
      <c r="D9632" t="str">
        <f>"F26F12.16"</f>
        <v>F26F12.16</v>
      </c>
      <c r="F9632" t="s">
        <v>481</v>
      </c>
      <c r="H9632" s="12">
        <v>-2.3838754719136599</v>
      </c>
      <c r="I9632" s="20">
        <v>-0.25807578497976902</v>
      </c>
      <c r="J9632" s="28">
        <v>0.79634841949468704</v>
      </c>
      <c r="K9632" s="29">
        <v>0.98289565623980701</v>
      </c>
    </row>
    <row r="9633" spans="1:11" x14ac:dyDescent="0.35">
      <c r="A9633" s="9" t="str">
        <f>HYPERLINK("http://www.ensembl.org/id/WBGene00198951", "WBGene00198951")</f>
        <v>WBGene00198951</v>
      </c>
      <c r="B9633" s="9"/>
      <c r="C9633" s="9"/>
      <c r="D9633" t="str">
        <f>"F26F12.17"</f>
        <v>F26F12.17</v>
      </c>
      <c r="F9633" t="s">
        <v>481</v>
      </c>
      <c r="H9633" s="12">
        <v>2.3893468495514898</v>
      </c>
      <c r="I9633" s="20">
        <v>0.25323547253672701</v>
      </c>
      <c r="J9633" s="28">
        <v>0.80008625651646104</v>
      </c>
      <c r="K9633" s="29">
        <v>0.98289565623980701</v>
      </c>
    </row>
    <row r="9634" spans="1:11" x14ac:dyDescent="0.35">
      <c r="A9634" s="9" t="str">
        <f>HYPERLINK("http://www.ensembl.org/id/WBGene00200261", "WBGene00200261")</f>
        <v>WBGene00200261</v>
      </c>
      <c r="B9634" s="9"/>
      <c r="C9634" s="9"/>
      <c r="D9634" t="str">
        <f>"F26F12.19"</f>
        <v>F26F12.19</v>
      </c>
      <c r="F9634" t="s">
        <v>481</v>
      </c>
      <c r="H9634" s="12">
        <v>5.4058944669092801</v>
      </c>
      <c r="I9634" s="20">
        <v>0.49762513753689303</v>
      </c>
      <c r="J9634" s="28">
        <v>0.61874828254921799</v>
      </c>
      <c r="K9634" s="29">
        <v>0.98289565623980701</v>
      </c>
    </row>
    <row r="9635" spans="1:11" x14ac:dyDescent="0.35">
      <c r="A9635" s="9" t="str">
        <f>HYPERLINK("http://www.ensembl.org/id/WBGene00017834", "WBGene00017834")</f>
        <v>WBGene00017834</v>
      </c>
      <c r="B9635" s="9" t="str">
        <f>HYPERLINK("http://www.ncbi.nlm.nih.gov/gene/178972", "178972")</f>
        <v>178972</v>
      </c>
      <c r="C9635" s="9"/>
      <c r="D9635" t="str">
        <f>"F26F12.3"</f>
        <v>F26F12.3</v>
      </c>
      <c r="F9635" t="s">
        <v>11</v>
      </c>
      <c r="H9635" s="12">
        <v>-1.06410980011699</v>
      </c>
      <c r="I9635" s="20">
        <v>-0.34375667363191498</v>
      </c>
      <c r="J9635" s="28">
        <v>0.73102928608403095</v>
      </c>
      <c r="K9635" s="29">
        <v>0.98289565623980701</v>
      </c>
    </row>
    <row r="9636" spans="1:11" x14ac:dyDescent="0.35">
      <c r="A9636" s="9" t="str">
        <f>HYPERLINK("http://www.ensembl.org/id/WBGene00219309", "WBGene00219309")</f>
        <v>WBGene00219309</v>
      </c>
      <c r="B9636" s="9" t="str">
        <f>HYPERLINK("http://www.ncbi.nlm.nih.gov/gene/13218858", "13218858")</f>
        <v>13218858</v>
      </c>
      <c r="C9636" s="9"/>
      <c r="D9636" t="str">
        <f>"F26F2.13"</f>
        <v>F26F2.13</v>
      </c>
      <c r="F9636" t="s">
        <v>11</v>
      </c>
      <c r="H9636" s="12">
        <v>1.6419041534673999</v>
      </c>
      <c r="I9636" s="20">
        <v>0.48500483945135298</v>
      </c>
      <c r="J9636" s="28">
        <v>0.62767291264490299</v>
      </c>
      <c r="K9636" s="29">
        <v>0.98289565623980701</v>
      </c>
    </row>
    <row r="9637" spans="1:11" x14ac:dyDescent="0.35">
      <c r="A9637" s="9" t="str">
        <f>HYPERLINK("http://www.ensembl.org/id/WBGene00009168", "WBGene00009168")</f>
        <v>WBGene00009168</v>
      </c>
      <c r="B9637" s="9" t="str">
        <f>HYPERLINK("http://www.ncbi.nlm.nih.gov/gene/184984", "184984")</f>
        <v>184984</v>
      </c>
      <c r="C9637" s="9"/>
      <c r="D9637" t="str">
        <f>"F26F2.3"</f>
        <v>F26F2.3</v>
      </c>
      <c r="F9637" t="s">
        <v>11</v>
      </c>
      <c r="G9637" t="s">
        <v>54</v>
      </c>
      <c r="H9637" s="12">
        <v>3.7718800761209299</v>
      </c>
      <c r="I9637" s="20">
        <v>1.1943663568068501</v>
      </c>
      <c r="J9637" s="28">
        <v>0.23233469107631499</v>
      </c>
      <c r="K9637" s="29">
        <v>0.98289565623980701</v>
      </c>
    </row>
    <row r="9638" spans="1:11" x14ac:dyDescent="0.35">
      <c r="A9638" s="9" t="str">
        <f>HYPERLINK("http://www.ensembl.org/id/WBGene00005012", "WBGene00005012")</f>
        <v>WBGene00005012</v>
      </c>
      <c r="B9638" s="9" t="str">
        <f>HYPERLINK("http://www.ncbi.nlm.nih.gov/gene/184988", "184988")</f>
        <v>184988</v>
      </c>
      <c r="C9638" s="9"/>
      <c r="D9638" t="str">
        <f>"F26F4.2"</f>
        <v>F26F4.2</v>
      </c>
      <c r="F9638" t="s">
        <v>11</v>
      </c>
      <c r="H9638" s="12">
        <v>-1.30923790492697</v>
      </c>
      <c r="I9638" s="20">
        <v>-0.26735886520632102</v>
      </c>
      <c r="J9638" s="28">
        <v>0.78919286776734099</v>
      </c>
      <c r="K9638" s="29">
        <v>0.98289565623980701</v>
      </c>
    </row>
    <row r="9639" spans="1:11" x14ac:dyDescent="0.35">
      <c r="A9639" s="9" t="str">
        <f>HYPERLINK("http://www.ensembl.org/id/WBGene00017828", "WBGene00017828")</f>
        <v>WBGene00017828</v>
      </c>
      <c r="B9639" s="9" t="str">
        <f>HYPERLINK("http://www.ncbi.nlm.nih.gov/gene/184990", "184990")</f>
        <v>184990</v>
      </c>
      <c r="C9639" s="9"/>
      <c r="D9639" t="str">
        <f>"F26F4.6"</f>
        <v>F26F4.6</v>
      </c>
      <c r="F9639" t="s">
        <v>11</v>
      </c>
      <c r="H9639" s="12">
        <v>-1.0763349937470399</v>
      </c>
      <c r="I9639" s="20">
        <v>-0.32087853535835198</v>
      </c>
      <c r="J9639" s="28">
        <v>0.74830244080640096</v>
      </c>
      <c r="K9639" s="29">
        <v>0.98289565623980701</v>
      </c>
    </row>
    <row r="9640" spans="1:11" x14ac:dyDescent="0.35">
      <c r="A9640" s="9" t="str">
        <f>HYPERLINK("http://www.ensembl.org/id/WBGene00005011", "WBGene00005011")</f>
        <v>WBGene00005011</v>
      </c>
      <c r="B9640" s="9" t="str">
        <f>HYPERLINK("http://www.ncbi.nlm.nih.gov/gene/184991", "184991")</f>
        <v>184991</v>
      </c>
      <c r="C9640" s="9"/>
      <c r="D9640" t="str">
        <f>"F26F4.8"</f>
        <v>F26F4.8</v>
      </c>
      <c r="F9640" t="s">
        <v>11</v>
      </c>
      <c r="H9640" s="12">
        <v>-1.1335592798044201</v>
      </c>
      <c r="I9640" s="20">
        <v>-0.382210631532654</v>
      </c>
      <c r="J9640" s="28">
        <v>0.70230513659581595</v>
      </c>
      <c r="K9640" s="29">
        <v>0.98289565623980701</v>
      </c>
    </row>
    <row r="9641" spans="1:11" x14ac:dyDescent="0.35">
      <c r="A9641" s="9" t="str">
        <f>HYPERLINK("http://www.ensembl.org/id/WBGene00017829", "WBGene00017829")</f>
        <v>WBGene00017829</v>
      </c>
      <c r="B9641" s="9" t="str">
        <f>HYPERLINK("http://www.ncbi.nlm.nih.gov/gene/175657", "175657")</f>
        <v>175657</v>
      </c>
      <c r="C9641" s="9"/>
      <c r="D9641" t="str">
        <f>"F26F4.9"</f>
        <v>F26F4.9</v>
      </c>
      <c r="F9641" t="s">
        <v>11</v>
      </c>
      <c r="G9641" t="s">
        <v>6828</v>
      </c>
      <c r="H9641" s="12">
        <v>-1.09140242268645</v>
      </c>
      <c r="I9641" s="20">
        <v>-0.39322695939997099</v>
      </c>
      <c r="J9641" s="28">
        <v>0.69415185951292002</v>
      </c>
      <c r="K9641" s="29">
        <v>0.98289565623980701</v>
      </c>
    </row>
    <row r="9642" spans="1:11" x14ac:dyDescent="0.35">
      <c r="A9642" s="9" t="str">
        <f>HYPERLINK("http://www.ensembl.org/id/WBGene00044663", "WBGene00044663")</f>
        <v>WBGene00044663</v>
      </c>
      <c r="B9642" s="9" t="str">
        <f>HYPERLINK("http://www.ncbi.nlm.nih.gov/gene/4363031", "4363031")</f>
        <v>4363031</v>
      </c>
      <c r="C9642" s="9"/>
      <c r="D9642" t="str">
        <f>"F26G1.10"</f>
        <v>F26G1.10</v>
      </c>
      <c r="F9642" t="s">
        <v>11</v>
      </c>
      <c r="G9642" t="s">
        <v>1274</v>
      </c>
      <c r="H9642" s="12">
        <v>1.2593240904760801</v>
      </c>
      <c r="I9642" s="20">
        <v>0.26821526357972703</v>
      </c>
      <c r="J9642" s="28">
        <v>0.78853362667032001</v>
      </c>
      <c r="K9642" s="29">
        <v>0.98289565623980701</v>
      </c>
    </row>
    <row r="9643" spans="1:11" x14ac:dyDescent="0.35">
      <c r="A9643" s="9" t="str">
        <f>HYPERLINK("http://www.ensembl.org/id/WBGene00017839", "WBGene00017839")</f>
        <v>WBGene00017839</v>
      </c>
      <c r="B9643" s="9" t="str">
        <f>HYPERLINK("http://www.ncbi.nlm.nih.gov/gene/184994", "184994")</f>
        <v>184994</v>
      </c>
      <c r="C9643" s="9"/>
      <c r="D9643" t="str">
        <f>"F26G1.3"</f>
        <v>F26G1.3</v>
      </c>
      <c r="F9643" t="s">
        <v>11</v>
      </c>
      <c r="G9643" t="s">
        <v>17</v>
      </c>
      <c r="H9643" s="12">
        <v>-2.4295389261469</v>
      </c>
      <c r="I9643" s="20">
        <v>-0.25808529976640998</v>
      </c>
      <c r="J9643" s="28">
        <v>0.79634107645457397</v>
      </c>
      <c r="K9643" s="29">
        <v>0.98289565623980701</v>
      </c>
    </row>
    <row r="9644" spans="1:11" x14ac:dyDescent="0.35">
      <c r="A9644" s="9" t="str">
        <f>HYPERLINK("http://www.ensembl.org/id/WBGene00017841", "WBGene00017841")</f>
        <v>WBGene00017841</v>
      </c>
      <c r="B9644" s="9" t="str">
        <f>HYPERLINK("http://www.ncbi.nlm.nih.gov/gene/173823", "173823")</f>
        <v>173823</v>
      </c>
      <c r="C9644" s="9"/>
      <c r="D9644" t="str">
        <f>"F26G1.5"</f>
        <v>F26G1.5</v>
      </c>
      <c r="F9644" t="s">
        <v>11</v>
      </c>
      <c r="H9644" s="12">
        <v>-1.4260292844779401</v>
      </c>
      <c r="I9644" s="20">
        <v>-0.82413537292009098</v>
      </c>
      <c r="J9644" s="28">
        <v>0.40986264316915</v>
      </c>
      <c r="K9644" s="29">
        <v>0.98289565623980701</v>
      </c>
    </row>
    <row r="9645" spans="1:11" x14ac:dyDescent="0.35">
      <c r="A9645" s="9" t="str">
        <f>HYPERLINK("http://www.ensembl.org/id/WBGene00009182", "WBGene00009182")</f>
        <v>WBGene00009182</v>
      </c>
      <c r="B9645" s="9" t="str">
        <f>HYPERLINK("http://www.ncbi.nlm.nih.gov/gene/175099", "175099")</f>
        <v>175099</v>
      </c>
      <c r="C9645" s="9"/>
      <c r="D9645" t="str">
        <f>"F26H11.4"</f>
        <v>F26H11.4</v>
      </c>
      <c r="F9645" t="s">
        <v>11</v>
      </c>
      <c r="H9645" s="12">
        <v>-1.5978017004537</v>
      </c>
      <c r="I9645" s="20">
        <v>-0.87356357270509399</v>
      </c>
      <c r="J9645" s="28">
        <v>0.38235597126286902</v>
      </c>
      <c r="K9645" s="29">
        <v>0.98289565623980701</v>
      </c>
    </row>
    <row r="9646" spans="1:11" x14ac:dyDescent="0.35">
      <c r="A9646" s="9" t="str">
        <f>HYPERLINK("http://www.ensembl.org/id/WBGene00017848", "WBGene00017848")</f>
        <v>WBGene00017848</v>
      </c>
      <c r="B9646" s="9" t="str">
        <f>HYPERLINK("http://www.ncbi.nlm.nih.gov/gene/185006", "185006")</f>
        <v>185006</v>
      </c>
      <c r="C9646" s="9"/>
      <c r="D9646" t="str">
        <f>"F27B3.6"</f>
        <v>F27B3.6</v>
      </c>
      <c r="F9646" t="s">
        <v>11</v>
      </c>
      <c r="H9646" s="12">
        <v>1.29953123117363</v>
      </c>
      <c r="I9646" s="20">
        <v>0.52735663179120296</v>
      </c>
      <c r="J9646" s="28">
        <v>0.59794595394147199</v>
      </c>
      <c r="K9646" s="29">
        <v>0.98289565623980701</v>
      </c>
    </row>
    <row r="9647" spans="1:11" x14ac:dyDescent="0.35">
      <c r="A9647" s="9" t="str">
        <f>HYPERLINK("http://www.ensembl.org/id/WBGene00017849", "WBGene00017849")</f>
        <v>WBGene00017849</v>
      </c>
      <c r="B9647" s="9"/>
      <c r="C9647" s="9"/>
      <c r="D9647" t="str">
        <f>"F27B3.7"</f>
        <v>F27B3.7</v>
      </c>
      <c r="F9647" t="s">
        <v>80</v>
      </c>
      <c r="H9647" s="12">
        <v>1.2639266497835799</v>
      </c>
      <c r="I9647" s="20">
        <v>0.56225903354991602</v>
      </c>
      <c r="J9647" s="28">
        <v>0.573939545483515</v>
      </c>
      <c r="K9647" s="29">
        <v>0.98289565623980701</v>
      </c>
    </row>
    <row r="9648" spans="1:11" x14ac:dyDescent="0.35">
      <c r="A9648" s="9" t="str">
        <f>HYPERLINK("http://www.ensembl.org/id/WBGene00044454", "WBGene00044454")</f>
        <v>WBGene00044454</v>
      </c>
      <c r="B9648" s="9" t="str">
        <f>HYPERLINK("http://www.ncbi.nlm.nih.gov/gene/3896757", "3896757")</f>
        <v>3896757</v>
      </c>
      <c r="C9648" s="9"/>
      <c r="D9648" t="str">
        <f>"F27B3.8"</f>
        <v>F27B3.8</v>
      </c>
      <c r="F9648" t="s">
        <v>11</v>
      </c>
      <c r="H9648" s="12">
        <v>5.4058944669092801</v>
      </c>
      <c r="I9648" s="20">
        <v>0.49762513753689303</v>
      </c>
      <c r="J9648" s="28">
        <v>0.61874828254921799</v>
      </c>
      <c r="K9648" s="29">
        <v>0.98289565623980701</v>
      </c>
    </row>
    <row r="9649" spans="1:11" x14ac:dyDescent="0.35">
      <c r="A9649" s="9" t="str">
        <f>HYPERLINK("http://www.ensembl.org/id/WBGene00271633", "WBGene00271633")</f>
        <v>WBGene00271633</v>
      </c>
      <c r="B9649" s="9"/>
      <c r="C9649" s="9"/>
      <c r="D9649" t="str">
        <f>"F27B3.9"</f>
        <v>F27B3.9</v>
      </c>
      <c r="F9649" t="s">
        <v>481</v>
      </c>
      <c r="H9649" s="12">
        <v>-1.6886646158835901</v>
      </c>
      <c r="I9649" s="20">
        <v>-0.29323182617673399</v>
      </c>
      <c r="J9649" s="28">
        <v>0.76934495895894806</v>
      </c>
      <c r="K9649" s="29">
        <v>0.98289565623980701</v>
      </c>
    </row>
    <row r="9650" spans="1:11" x14ac:dyDescent="0.35">
      <c r="A9650" s="9" t="str">
        <f>HYPERLINK("http://www.ensembl.org/id/WBGene00017860", "WBGene00017860")</f>
        <v>WBGene00017860</v>
      </c>
      <c r="B9650" s="9" t="str">
        <f>HYPERLINK("http://www.ncbi.nlm.nih.gov/gene/185012", "185012")</f>
        <v>185012</v>
      </c>
      <c r="C9650" s="9"/>
      <c r="D9650" t="str">
        <f>"F27C1.13"</f>
        <v>F27C1.13</v>
      </c>
      <c r="F9650" t="s">
        <v>11</v>
      </c>
      <c r="G9650" t="s">
        <v>4332</v>
      </c>
      <c r="H9650" s="12">
        <v>2.93566879702884</v>
      </c>
      <c r="I9650" s="20">
        <v>0.64700505563453503</v>
      </c>
      <c r="J9650" s="28">
        <v>0.517628671461135</v>
      </c>
      <c r="K9650" s="29">
        <v>0.98289565623980701</v>
      </c>
    </row>
    <row r="9651" spans="1:11" x14ac:dyDescent="0.35">
      <c r="A9651" s="9" t="str">
        <f>HYPERLINK("http://www.ensembl.org/id/WBGene00017855", "WBGene00017855")</f>
        <v>WBGene00017855</v>
      </c>
      <c r="B9651" s="9" t="str">
        <f>HYPERLINK("http://www.ncbi.nlm.nih.gov/gene/172192", "172192")</f>
        <v>172192</v>
      </c>
      <c r="C9651" s="9" t="str">
        <f>HYPERLINK("http://www.ncbi.nlm.nih.gov/gene/10813", "10813")</f>
        <v>10813</v>
      </c>
      <c r="D9651" t="str">
        <f>"F27C1.6"</f>
        <v>F27C1.6</v>
      </c>
      <c r="F9651" t="s">
        <v>11</v>
      </c>
      <c r="G9651" t="s">
        <v>7425</v>
      </c>
      <c r="H9651" s="12">
        <v>-1.1248740027548101</v>
      </c>
      <c r="I9651" s="20">
        <v>-0.56665496823764905</v>
      </c>
      <c r="J9651" s="28">
        <v>0.57094862131825797</v>
      </c>
      <c r="K9651" s="29">
        <v>0.98289565623980701</v>
      </c>
    </row>
    <row r="9652" spans="1:11" x14ac:dyDescent="0.35">
      <c r="A9652" s="9" t="str">
        <f>HYPERLINK("http://www.ensembl.org/id/WBGene00009183", "WBGene00009183")</f>
        <v>WBGene00009183</v>
      </c>
      <c r="B9652" s="9" t="str">
        <f>HYPERLINK("http://www.ncbi.nlm.nih.gov/gene/185013", "185013")</f>
        <v>185013</v>
      </c>
      <c r="C9652" s="9"/>
      <c r="D9652" t="str">
        <f>"F27C8.2"</f>
        <v>F27C8.2</v>
      </c>
      <c r="F9652" t="s">
        <v>11</v>
      </c>
      <c r="H9652" s="12">
        <v>1.3132879533523301</v>
      </c>
      <c r="I9652" s="20">
        <v>0.74587246220632097</v>
      </c>
      <c r="J9652" s="28">
        <v>0.45574446167822602</v>
      </c>
      <c r="K9652" s="29">
        <v>0.98289565623980701</v>
      </c>
    </row>
    <row r="9653" spans="1:11" x14ac:dyDescent="0.35">
      <c r="A9653" s="9" t="str">
        <f>HYPERLINK("http://www.ensembl.org/id/WBGene00009184", "WBGene00009184")</f>
        <v>WBGene00009184</v>
      </c>
      <c r="B9653" s="9" t="str">
        <f>HYPERLINK("http://www.ncbi.nlm.nih.gov/gene/185014", "185014")</f>
        <v>185014</v>
      </c>
      <c r="C9653" s="9"/>
      <c r="D9653" t="str">
        <f>"F27C8.3"</f>
        <v>F27C8.3</v>
      </c>
      <c r="F9653" t="s">
        <v>11</v>
      </c>
      <c r="H9653" s="12">
        <v>2.7283543049553698</v>
      </c>
      <c r="I9653" s="20">
        <v>0.66314033787131299</v>
      </c>
      <c r="J9653" s="28">
        <v>0.50724067811664098</v>
      </c>
      <c r="K9653" s="29">
        <v>0.98289565623980701</v>
      </c>
    </row>
    <row r="9654" spans="1:11" x14ac:dyDescent="0.35">
      <c r="A9654" s="9" t="str">
        <f>HYPERLINK("http://www.ensembl.org/id/WBGene00009185", "WBGene00009185")</f>
        <v>WBGene00009185</v>
      </c>
      <c r="B9654" s="9" t="str">
        <f>HYPERLINK("http://www.ncbi.nlm.nih.gov/gene/177792", "177792")</f>
        <v>177792</v>
      </c>
      <c r="C9654" s="9"/>
      <c r="D9654" t="str">
        <f>"F27C8.5"</f>
        <v>F27C8.5</v>
      </c>
      <c r="F9654" t="s">
        <v>11</v>
      </c>
      <c r="G9654" t="s">
        <v>54</v>
      </c>
      <c r="H9654" s="12">
        <v>2.2374398162037501</v>
      </c>
      <c r="I9654" s="20">
        <v>0.77358172653815105</v>
      </c>
      <c r="J9654" s="28">
        <v>0.439178181724237</v>
      </c>
      <c r="K9654" s="29">
        <v>0.98289565623980701</v>
      </c>
    </row>
    <row r="9655" spans="1:11" x14ac:dyDescent="0.35">
      <c r="A9655" s="9" t="str">
        <f>HYPERLINK("http://www.ensembl.org/id/WBGene00009187", "WBGene00009187")</f>
        <v>WBGene00009187</v>
      </c>
      <c r="B9655" s="9" t="str">
        <f>HYPERLINK("http://www.ncbi.nlm.nih.gov/gene/172535", "172535")</f>
        <v>172535</v>
      </c>
      <c r="C9655" s="9" t="str">
        <f>HYPERLINK("http://www.ncbi.nlm.nih.gov/gene/2108", "2108")</f>
        <v>2108</v>
      </c>
      <c r="D9655" t="str">
        <f>"F27D4.1"</f>
        <v>F27D4.1</v>
      </c>
      <c r="E9655" t="s">
        <v>6804</v>
      </c>
      <c r="F9655" t="s">
        <v>11</v>
      </c>
      <c r="G9655" t="s">
        <v>6805</v>
      </c>
      <c r="H9655" s="12">
        <v>-1.08984886068822</v>
      </c>
      <c r="I9655" s="20">
        <v>-0.43672711519715202</v>
      </c>
      <c r="J9655" s="28">
        <v>0.66230926221796405</v>
      </c>
      <c r="K9655" s="29">
        <v>0.98289565623980701</v>
      </c>
    </row>
    <row r="9656" spans="1:11" x14ac:dyDescent="0.35">
      <c r="A9656" s="9" t="str">
        <f>HYPERLINK("http://www.ensembl.org/id/WBGene00219920", "WBGene00219920")</f>
        <v>WBGene00219920</v>
      </c>
      <c r="B9656" s="9"/>
      <c r="C9656" s="9"/>
      <c r="D9656" t="str">
        <f>"F27D4.11"</f>
        <v>F27D4.11</v>
      </c>
      <c r="F9656" t="s">
        <v>481</v>
      </c>
      <c r="H9656" s="12">
        <v>2.4578120077400301</v>
      </c>
      <c r="I9656" s="20">
        <v>0.26093350314551</v>
      </c>
      <c r="J9656" s="28">
        <v>0.79414378780213601</v>
      </c>
      <c r="K9656" s="29">
        <v>0.98289565623980701</v>
      </c>
    </row>
    <row r="9657" spans="1:11" x14ac:dyDescent="0.35">
      <c r="A9657" s="9" t="str">
        <f>HYPERLINK("http://www.ensembl.org/id/WBGene00009189", "WBGene00009189")</f>
        <v>WBGene00009189</v>
      </c>
      <c r="B9657" s="9" t="str">
        <f>HYPERLINK("http://www.ncbi.nlm.nih.gov/gene/172538", "172538")</f>
        <v>172538</v>
      </c>
      <c r="C9657" s="9"/>
      <c r="D9657" t="str">
        <f>"F27D4.4"</f>
        <v>F27D4.4</v>
      </c>
      <c r="E9657" t="s">
        <v>7509</v>
      </c>
      <c r="F9657" t="s">
        <v>11</v>
      </c>
      <c r="G9657" t="s">
        <v>7510</v>
      </c>
      <c r="H9657" s="12">
        <v>-1.13010971995898</v>
      </c>
      <c r="I9657" s="20">
        <v>-0.64473509546469399</v>
      </c>
      <c r="J9657" s="28">
        <v>0.51909886893831703</v>
      </c>
      <c r="K9657" s="29">
        <v>0.98289565623980701</v>
      </c>
    </row>
    <row r="9658" spans="1:11" x14ac:dyDescent="0.35">
      <c r="A9658" s="9" t="str">
        <f>HYPERLINK("http://www.ensembl.org/id/WBGene00009191", "WBGene00009191")</f>
        <v>WBGene00009191</v>
      </c>
      <c r="B9658" s="9" t="str">
        <f>HYPERLINK("http://www.ncbi.nlm.nih.gov/gene/3565210", "3565210")</f>
        <v>3565210</v>
      </c>
      <c r="C9658" s="9"/>
      <c r="D9658" t="str">
        <f>"F27D4.7"</f>
        <v>F27D4.7</v>
      </c>
      <c r="E9658" t="s">
        <v>6366</v>
      </c>
      <c r="F9658" t="s">
        <v>11</v>
      </c>
      <c r="G9658" t="s">
        <v>6367</v>
      </c>
      <c r="H9658" s="12">
        <v>-1.06524146645977</v>
      </c>
      <c r="I9658" s="20">
        <v>-0.26902497033955602</v>
      </c>
      <c r="J9658" s="28">
        <v>0.78791046723866398</v>
      </c>
      <c r="K9658" s="29">
        <v>0.98289565623980701</v>
      </c>
    </row>
    <row r="9659" spans="1:11" x14ac:dyDescent="0.35">
      <c r="A9659" s="9" t="str">
        <f>HYPERLINK("http://www.ensembl.org/id/WBGene00196453", "WBGene00196453")</f>
        <v>WBGene00196453</v>
      </c>
      <c r="B9659" s="9"/>
      <c r="C9659" s="9"/>
      <c r="D9659" t="str">
        <f>"F27D9.10"</f>
        <v>F27D9.10</v>
      </c>
      <c r="F9659" t="s">
        <v>481</v>
      </c>
      <c r="H9659" s="12">
        <v>2.4578120077400301</v>
      </c>
      <c r="I9659" s="20">
        <v>0.26093350314551</v>
      </c>
      <c r="J9659" s="28">
        <v>0.79414378780213601</v>
      </c>
      <c r="K9659" s="29">
        <v>0.98289565623980701</v>
      </c>
    </row>
    <row r="9660" spans="1:11" x14ac:dyDescent="0.35">
      <c r="A9660" s="9" t="str">
        <f>HYPERLINK("http://www.ensembl.org/id/WBGene00206475", "WBGene00206475")</f>
        <v>WBGene00206475</v>
      </c>
      <c r="B9660" s="9" t="str">
        <f>HYPERLINK("http://www.ncbi.nlm.nih.gov/gene/13221552", "13221552")</f>
        <v>13221552</v>
      </c>
      <c r="C9660" s="9"/>
      <c r="D9660" t="str">
        <f>"F27D9.12"</f>
        <v>F27D9.12</v>
      </c>
      <c r="F9660" t="s">
        <v>11</v>
      </c>
      <c r="H9660" s="12">
        <v>1.3619401529695601</v>
      </c>
      <c r="I9660" s="20">
        <v>0.50126594176720196</v>
      </c>
      <c r="J9660" s="28">
        <v>0.61618397133802205</v>
      </c>
      <c r="K9660" s="29">
        <v>0.98289565623980701</v>
      </c>
    </row>
    <row r="9661" spans="1:11" x14ac:dyDescent="0.35">
      <c r="A9661" s="9" t="str">
        <f>HYPERLINK("http://www.ensembl.org/id/WBGene00017861", "WBGene00017861")</f>
        <v>WBGene00017861</v>
      </c>
      <c r="B9661" s="9" t="str">
        <f>HYPERLINK("http://www.ncbi.nlm.nih.gov/gene/181028", "181028")</f>
        <v>181028</v>
      </c>
      <c r="C9661" s="9" t="str">
        <f>HYPERLINK("http://www.ncbi.nlm.nih.gov/gene/256471", "256471")</f>
        <v>256471</v>
      </c>
      <c r="D9661" t="str">
        <f>"F27D9.2"</f>
        <v>F27D9.2</v>
      </c>
      <c r="F9661" t="s">
        <v>11</v>
      </c>
      <c r="G9661" t="s">
        <v>230</v>
      </c>
      <c r="H9661" s="12">
        <v>1.1640457249340299</v>
      </c>
      <c r="I9661" s="20">
        <v>0.535296011971232</v>
      </c>
      <c r="J9661" s="28">
        <v>0.59244518361667098</v>
      </c>
      <c r="K9661" s="29">
        <v>0.98289565623980701</v>
      </c>
    </row>
    <row r="9662" spans="1:11" x14ac:dyDescent="0.35">
      <c r="A9662" s="9" t="str">
        <f>HYPERLINK("http://www.ensembl.org/id/WBGene00017863", "WBGene00017863")</f>
        <v>WBGene00017863</v>
      </c>
      <c r="B9662" s="9" t="str">
        <f>HYPERLINK("http://www.ncbi.nlm.nih.gov/gene/185018", "185018")</f>
        <v>185018</v>
      </c>
      <c r="C9662" s="9"/>
      <c r="D9662" t="str">
        <f>"F27D9.4"</f>
        <v>F27D9.4</v>
      </c>
      <c r="F9662" t="s">
        <v>11</v>
      </c>
      <c r="H9662" s="12">
        <v>4.7031417454497699</v>
      </c>
      <c r="I9662" s="20">
        <v>0.74790872763948502</v>
      </c>
      <c r="J9662" s="28">
        <v>0.45451521287873797</v>
      </c>
      <c r="K9662" s="29">
        <v>0.98289565623980701</v>
      </c>
    </row>
    <row r="9663" spans="1:11" x14ac:dyDescent="0.35">
      <c r="A9663" s="9" t="str">
        <f>HYPERLINK("http://www.ensembl.org/id/WBGene00195824", "WBGene00195824")</f>
        <v>WBGene00195824</v>
      </c>
      <c r="B9663" s="9"/>
      <c r="C9663" s="9"/>
      <c r="D9663" t="str">
        <f>"F27D9.9"</f>
        <v>F27D9.9</v>
      </c>
      <c r="F9663" t="s">
        <v>481</v>
      </c>
      <c r="H9663" s="12">
        <v>2.4578120077400301</v>
      </c>
      <c r="I9663" s="20">
        <v>0.26093350314551</v>
      </c>
      <c r="J9663" s="28">
        <v>0.79414378780213601</v>
      </c>
      <c r="K9663" s="29">
        <v>0.98289565623980701</v>
      </c>
    </row>
    <row r="9664" spans="1:11" x14ac:dyDescent="0.35">
      <c r="A9664" s="9" t="str">
        <f>HYPERLINK("http://www.ensembl.org/id/WBGene00009193", "WBGene00009193")</f>
        <v>WBGene00009193</v>
      </c>
      <c r="B9664" s="9" t="str">
        <f>HYPERLINK("http://www.ncbi.nlm.nih.gov/gene/185023", "185023")</f>
        <v>185023</v>
      </c>
      <c r="C9664" s="9"/>
      <c r="D9664" t="str">
        <f>"F27E5.3"</f>
        <v>F27E5.3</v>
      </c>
      <c r="F9664" t="s">
        <v>11</v>
      </c>
      <c r="G9664" t="s">
        <v>25</v>
      </c>
      <c r="H9664" s="12">
        <v>3.16369675160673</v>
      </c>
      <c r="I9664" s="20">
        <v>0.63525800047590697</v>
      </c>
      <c r="J9664" s="28">
        <v>0.525260160845198</v>
      </c>
      <c r="K9664" s="29">
        <v>0.98289565623980701</v>
      </c>
    </row>
    <row r="9665" spans="1:11" x14ac:dyDescent="0.35">
      <c r="A9665" s="9" t="str">
        <f>HYPERLINK("http://www.ensembl.org/id/WBGene00009194", "WBGene00009194")</f>
        <v>WBGene00009194</v>
      </c>
      <c r="B9665" s="9" t="str">
        <f>HYPERLINK("http://www.ncbi.nlm.nih.gov/gene/185025", "185025")</f>
        <v>185025</v>
      </c>
      <c r="C9665" s="9"/>
      <c r="D9665" t="str">
        <f>"F27E5.5"</f>
        <v>F27E5.5</v>
      </c>
      <c r="E9665" t="s">
        <v>9858</v>
      </c>
      <c r="F9665" t="s">
        <v>11</v>
      </c>
      <c r="G9665" t="s">
        <v>1793</v>
      </c>
      <c r="H9665" s="12">
        <v>-1.3333657451763701</v>
      </c>
      <c r="I9665" s="20">
        <v>-0.97899299289160302</v>
      </c>
      <c r="J9665" s="28">
        <v>0.327583441749699</v>
      </c>
      <c r="K9665" s="29">
        <v>0.98289565623980701</v>
      </c>
    </row>
    <row r="9666" spans="1:11" x14ac:dyDescent="0.35">
      <c r="A9666" s="9" t="str">
        <f>HYPERLINK("http://www.ensembl.org/id/WBGene00044035", "WBGene00044035")</f>
        <v>WBGene00044035</v>
      </c>
      <c r="B9666" s="9" t="str">
        <f>HYPERLINK("http://www.ncbi.nlm.nih.gov/gene/6418644", "6418644")</f>
        <v>6418644</v>
      </c>
      <c r="C9666" s="9"/>
      <c r="D9666" t="str">
        <f>"F27E5.7"</f>
        <v>F27E5.7</v>
      </c>
      <c r="F9666" t="s">
        <v>11</v>
      </c>
      <c r="H9666" s="12">
        <v>2.0990406697620201</v>
      </c>
      <c r="I9666" s="20">
        <v>1.2028816198047501</v>
      </c>
      <c r="J9666" s="28">
        <v>0.22902213395906099</v>
      </c>
      <c r="K9666" s="29">
        <v>0.98289565623980701</v>
      </c>
    </row>
    <row r="9667" spans="1:11" x14ac:dyDescent="0.35">
      <c r="A9667" s="9" t="str">
        <f>HYPERLINK("http://www.ensembl.org/id/WBGene00044027", "WBGene00044027")</f>
        <v>WBGene00044027</v>
      </c>
      <c r="B9667" s="9" t="str">
        <f>HYPERLINK("http://www.ncbi.nlm.nih.gov/gene/3565659", "3565659")</f>
        <v>3565659</v>
      </c>
      <c r="C9667" s="9"/>
      <c r="D9667" t="str">
        <f>"F27E5.8"</f>
        <v>F27E5.8</v>
      </c>
      <c r="E9667" t="s">
        <v>4244</v>
      </c>
      <c r="F9667" t="s">
        <v>11</v>
      </c>
      <c r="G9667" t="s">
        <v>1793</v>
      </c>
      <c r="H9667" s="12">
        <v>6.4677662992335101</v>
      </c>
      <c r="I9667" s="20">
        <v>0.74692370508457595</v>
      </c>
      <c r="J9667" s="28">
        <v>0.45510961595486299</v>
      </c>
      <c r="K9667" s="29">
        <v>0.98289565623980701</v>
      </c>
    </row>
    <row r="9668" spans="1:11" x14ac:dyDescent="0.35">
      <c r="A9668" s="9" t="str">
        <f>HYPERLINK("http://www.ensembl.org/id/WBGene00206354", "WBGene00206354")</f>
        <v>WBGene00206354</v>
      </c>
      <c r="B9668" s="9" t="str">
        <f>HYPERLINK("http://www.ncbi.nlm.nih.gov/gene/13186714", "13186714")</f>
        <v>13186714</v>
      </c>
      <c r="C9668" s="9"/>
      <c r="D9668" t="str">
        <f>"F27E5.9"</f>
        <v>F27E5.9</v>
      </c>
      <c r="F9668" t="s">
        <v>11</v>
      </c>
      <c r="G9668" t="s">
        <v>25</v>
      </c>
      <c r="H9668" s="12">
        <v>-1.3744406403195399</v>
      </c>
      <c r="I9668" s="20">
        <v>-0.55268868389687098</v>
      </c>
      <c r="J9668" s="28">
        <v>0.58047660341479501</v>
      </c>
      <c r="K9668" s="29">
        <v>0.98289565623980701</v>
      </c>
    </row>
    <row r="9669" spans="1:11" x14ac:dyDescent="0.35">
      <c r="A9669" s="9" t="str">
        <f>HYPERLINK("http://www.ensembl.org/id/WBGene00017869", "WBGene00017869")</f>
        <v>WBGene00017869</v>
      </c>
      <c r="B9669" s="9" t="str">
        <f>HYPERLINK("http://www.ncbi.nlm.nih.gov/gene/185027", "185027")</f>
        <v>185027</v>
      </c>
      <c r="C9669" s="9"/>
      <c r="D9669" t="str">
        <f>"F28A10.1"</f>
        <v>F28A10.1</v>
      </c>
      <c r="F9669" t="s">
        <v>11</v>
      </c>
      <c r="H9669" s="12">
        <v>2.9754659352609001</v>
      </c>
      <c r="I9669" s="20">
        <v>0.49695545167261801</v>
      </c>
      <c r="J9669" s="28">
        <v>0.61922046646316298</v>
      </c>
      <c r="K9669" s="29">
        <v>0.98289565623980701</v>
      </c>
    </row>
    <row r="9670" spans="1:11" x14ac:dyDescent="0.35">
      <c r="A9670" s="9" t="str">
        <f>HYPERLINK("http://www.ensembl.org/id/WBGene00017878", "WBGene00017878")</f>
        <v>WBGene00017878</v>
      </c>
      <c r="B9670" s="9"/>
      <c r="C9670" s="9"/>
      <c r="D9670" t="str">
        <f>"F28A10.10"</f>
        <v>F28A10.10</v>
      </c>
      <c r="F9670" t="s">
        <v>80</v>
      </c>
      <c r="H9670" s="12">
        <v>2.3893468495514898</v>
      </c>
      <c r="I9670" s="20">
        <v>0.25323547253672701</v>
      </c>
      <c r="J9670" s="28">
        <v>0.80008625651646104</v>
      </c>
      <c r="K9670" s="29">
        <v>0.98289565623980701</v>
      </c>
    </row>
    <row r="9671" spans="1:11" x14ac:dyDescent="0.35">
      <c r="A9671" s="9" t="str">
        <f>HYPERLINK("http://www.ensembl.org/id/WBGene00269337", "WBGene00269337")</f>
        <v>WBGene00269337</v>
      </c>
      <c r="B9671" s="9"/>
      <c r="C9671" s="9"/>
      <c r="D9671" t="str">
        <f>"F28A10.12"</f>
        <v>F28A10.12</v>
      </c>
      <c r="F9671" t="s">
        <v>481</v>
      </c>
      <c r="H9671" s="12">
        <v>4.9201184411617902</v>
      </c>
      <c r="I9671" s="20">
        <v>0.66583620639406405</v>
      </c>
      <c r="J9671" s="28">
        <v>0.50551579969002203</v>
      </c>
      <c r="K9671" s="29">
        <v>0.98289565623980701</v>
      </c>
    </row>
    <row r="9672" spans="1:11" x14ac:dyDescent="0.35">
      <c r="A9672" s="9" t="str">
        <f>HYPERLINK("http://www.ensembl.org/id/WBGene00284851", "WBGene00284851")</f>
        <v>WBGene00284851</v>
      </c>
      <c r="B9672" s="9" t="str">
        <f>HYPERLINK("http://www.ncbi.nlm.nih.gov/gene/36312787", "36312787")</f>
        <v>36312787</v>
      </c>
      <c r="C9672" s="9"/>
      <c r="D9672" t="str">
        <f>"F28A10.13"</f>
        <v>F28A10.13</v>
      </c>
      <c r="F9672" t="s">
        <v>11</v>
      </c>
      <c r="H9672" s="12">
        <v>1.20269600252108</v>
      </c>
      <c r="I9672" s="20">
        <v>0.44834606190824899</v>
      </c>
      <c r="J9672" s="28">
        <v>0.653903462496076</v>
      </c>
      <c r="K9672" s="29">
        <v>0.98289565623980701</v>
      </c>
    </row>
    <row r="9673" spans="1:11" x14ac:dyDescent="0.35">
      <c r="A9673" s="9" t="str">
        <f>HYPERLINK("http://www.ensembl.org/id/WBGene00017870", "WBGene00017870")</f>
        <v>WBGene00017870</v>
      </c>
      <c r="B9673" s="9"/>
      <c r="C9673" s="9"/>
      <c r="D9673" t="str">
        <f>"F28A10.2"</f>
        <v>F28A10.2</v>
      </c>
      <c r="F9673" t="s">
        <v>80</v>
      </c>
      <c r="H9673" s="12">
        <v>2.5494470594118899</v>
      </c>
      <c r="I9673" s="20">
        <v>0.31908451726144499</v>
      </c>
      <c r="J9673" s="28">
        <v>0.74966242392848603</v>
      </c>
      <c r="K9673" s="29">
        <v>0.98289565623980701</v>
      </c>
    </row>
    <row r="9674" spans="1:11" x14ac:dyDescent="0.35">
      <c r="A9674" s="9" t="str">
        <f>HYPERLINK("http://www.ensembl.org/id/WBGene00017871", "WBGene00017871")</f>
        <v>WBGene00017871</v>
      </c>
      <c r="B9674" s="9" t="str">
        <f>HYPERLINK("http://www.ncbi.nlm.nih.gov/gene/185029", "185029")</f>
        <v>185029</v>
      </c>
      <c r="C9674" s="9"/>
      <c r="D9674" t="str">
        <f>"F28A10.3"</f>
        <v>F28A10.3</v>
      </c>
      <c r="F9674" t="s">
        <v>11</v>
      </c>
      <c r="G9674" t="s">
        <v>25</v>
      </c>
      <c r="H9674" s="12">
        <v>5.2322000618327396</v>
      </c>
      <c r="I9674" s="20">
        <v>0.486112489888328</v>
      </c>
      <c r="J9674" s="28">
        <v>0.62688741196182496</v>
      </c>
      <c r="K9674" s="29">
        <v>0.98289565623980701</v>
      </c>
    </row>
    <row r="9675" spans="1:11" x14ac:dyDescent="0.35">
      <c r="A9675" s="9" t="str">
        <f>HYPERLINK("http://www.ensembl.org/id/WBGene00017872", "WBGene00017872")</f>
        <v>WBGene00017872</v>
      </c>
      <c r="B9675" s="9" t="str">
        <f>HYPERLINK("http://www.ncbi.nlm.nih.gov/gene/185030", "185030")</f>
        <v>185030</v>
      </c>
      <c r="C9675" s="9"/>
      <c r="D9675" t="str">
        <f>"F28A10.4"</f>
        <v>F28A10.4</v>
      </c>
      <c r="F9675" t="s">
        <v>11</v>
      </c>
      <c r="H9675" s="12">
        <v>5.2322000618327396</v>
      </c>
      <c r="I9675" s="20">
        <v>0.486112489888328</v>
      </c>
      <c r="J9675" s="28">
        <v>0.62688741196182496</v>
      </c>
      <c r="K9675" s="29">
        <v>0.98289565623980701</v>
      </c>
    </row>
    <row r="9676" spans="1:11" x14ac:dyDescent="0.35">
      <c r="A9676" s="9" t="str">
        <f>HYPERLINK("http://www.ensembl.org/id/WBGene00017873", "WBGene00017873")</f>
        <v>WBGene00017873</v>
      </c>
      <c r="B9676" s="9" t="str">
        <f>HYPERLINK("http://www.ncbi.nlm.nih.gov/gene/185031", "185031")</f>
        <v>185031</v>
      </c>
      <c r="C9676" s="9"/>
      <c r="D9676" t="str">
        <f>"F28A10.5"</f>
        <v>F28A10.5</v>
      </c>
      <c r="F9676" t="s">
        <v>11</v>
      </c>
      <c r="H9676" s="12">
        <v>1.9964179237031401</v>
      </c>
      <c r="I9676" s="20">
        <v>0.80988461830018499</v>
      </c>
      <c r="J9676" s="28">
        <v>0.418006493065607</v>
      </c>
      <c r="K9676" s="29">
        <v>0.98289565623980701</v>
      </c>
    </row>
    <row r="9677" spans="1:11" x14ac:dyDescent="0.35">
      <c r="A9677" s="9" t="str">
        <f>HYPERLINK("http://www.ensembl.org/id/WBGene00017875", "WBGene00017875")</f>
        <v>WBGene00017875</v>
      </c>
      <c r="B9677" s="9" t="str">
        <f>HYPERLINK("http://www.ncbi.nlm.nih.gov/gene/185032", "185032")</f>
        <v>185032</v>
      </c>
      <c r="C9677" s="9"/>
      <c r="D9677" t="str">
        <f>"F28A10.7"</f>
        <v>F28A10.7</v>
      </c>
      <c r="F9677" t="s">
        <v>11</v>
      </c>
      <c r="G9677" t="s">
        <v>25</v>
      </c>
      <c r="H9677" s="12">
        <v>1.7111666434688899</v>
      </c>
      <c r="I9677" s="20">
        <v>0.38831793653598601</v>
      </c>
      <c r="J9677" s="28">
        <v>0.697780765261518</v>
      </c>
      <c r="K9677" s="29">
        <v>0.98289565623980701</v>
      </c>
    </row>
    <row r="9678" spans="1:11" x14ac:dyDescent="0.35">
      <c r="A9678" s="9" t="str">
        <f>HYPERLINK("http://www.ensembl.org/id/WBGene00235312", "WBGene00235312")</f>
        <v>WBGene00235312</v>
      </c>
      <c r="B9678" s="9" t="str">
        <f>HYPERLINK("http://www.ncbi.nlm.nih.gov/gene/24104498", "24104498")</f>
        <v>24104498</v>
      </c>
      <c r="C9678" s="9"/>
      <c r="D9678" t="str">
        <f>"F28A12.10"</f>
        <v>F28A12.10</v>
      </c>
      <c r="F9678" t="s">
        <v>11</v>
      </c>
      <c r="H9678" s="12">
        <v>1.8420014107021101</v>
      </c>
      <c r="I9678" s="20">
        <v>1.0179583691979699</v>
      </c>
      <c r="J9678" s="28">
        <v>0.30869774076202999</v>
      </c>
      <c r="K9678" s="29">
        <v>0.98289565623980701</v>
      </c>
    </row>
    <row r="9679" spans="1:11" x14ac:dyDescent="0.35">
      <c r="A9679" s="9" t="str">
        <f>HYPERLINK("http://www.ensembl.org/id/WBGene00198351", "WBGene00198351")</f>
        <v>WBGene00198351</v>
      </c>
      <c r="B9679" s="9"/>
      <c r="C9679" s="9"/>
      <c r="D9679" t="str">
        <f>"F28A12.5"</f>
        <v>F28A12.5</v>
      </c>
      <c r="F9679" t="s">
        <v>481</v>
      </c>
      <c r="H9679" s="12">
        <v>7.8691597089380902</v>
      </c>
      <c r="I9679" s="20">
        <v>0.61251365190975104</v>
      </c>
      <c r="J9679" s="28">
        <v>0.54019796842331003</v>
      </c>
      <c r="K9679" s="29">
        <v>0.98289565623980701</v>
      </c>
    </row>
    <row r="9680" spans="1:11" x14ac:dyDescent="0.35">
      <c r="A9680" s="9" t="str">
        <f>HYPERLINK("http://www.ensembl.org/id/WBGene00202463", "WBGene00202463")</f>
        <v>WBGene00202463</v>
      </c>
      <c r="B9680" s="9"/>
      <c r="C9680" s="9"/>
      <c r="D9680" t="str">
        <f>"F28A12.8"</f>
        <v>F28A12.8</v>
      </c>
      <c r="F9680" t="s">
        <v>481</v>
      </c>
      <c r="H9680" s="12">
        <v>2.3893468495514898</v>
      </c>
      <c r="I9680" s="20">
        <v>0.25323547253672701</v>
      </c>
      <c r="J9680" s="28">
        <v>0.80008625651646104</v>
      </c>
      <c r="K9680" s="29">
        <v>0.98289565623980701</v>
      </c>
    </row>
    <row r="9681" spans="1:11" x14ac:dyDescent="0.35">
      <c r="A9681" s="9" t="str">
        <f>HYPERLINK("http://www.ensembl.org/id/WBGene00050958", "WBGene00050958")</f>
        <v>WBGene00050958</v>
      </c>
      <c r="B9681" s="9"/>
      <c r="C9681" s="9"/>
      <c r="D9681" t="str">
        <f>"F28B1.10"</f>
        <v>F28B1.10</v>
      </c>
      <c r="F9681" t="s">
        <v>80</v>
      </c>
      <c r="H9681" s="12">
        <v>-1.6362936709462199</v>
      </c>
      <c r="I9681" s="20">
        <v>-0.305415589797007</v>
      </c>
      <c r="J9681" s="28">
        <v>0.76004964972147804</v>
      </c>
      <c r="K9681" s="29">
        <v>0.98289565623980701</v>
      </c>
    </row>
    <row r="9682" spans="1:11" x14ac:dyDescent="0.35">
      <c r="A9682" s="9" t="str">
        <f>HYPERLINK("http://www.ensembl.org/id/WBGene00017894", "WBGene00017894")</f>
        <v>WBGene00017894</v>
      </c>
      <c r="B9682" s="9" t="str">
        <f>HYPERLINK("http://www.ncbi.nlm.nih.gov/gene/185046", "185046")</f>
        <v>185046</v>
      </c>
      <c r="C9682" s="9"/>
      <c r="D9682" t="str">
        <f>"F28B12.1"</f>
        <v>F28B12.1</v>
      </c>
      <c r="F9682" t="s">
        <v>11</v>
      </c>
      <c r="H9682" s="12">
        <v>1.2294162281490799</v>
      </c>
      <c r="I9682" s="20">
        <v>0.776507376470979</v>
      </c>
      <c r="J9682" s="28">
        <v>0.437449467115192</v>
      </c>
      <c r="K9682" s="29">
        <v>0.98289565623980701</v>
      </c>
    </row>
    <row r="9683" spans="1:11" x14ac:dyDescent="0.35">
      <c r="A9683" s="9" t="str">
        <f>HYPERLINK("http://www.ensembl.org/id/WBGene00017889", "WBGene00017889")</f>
        <v>WBGene00017889</v>
      </c>
      <c r="B9683" s="9" t="str">
        <f>HYPERLINK("http://www.ncbi.nlm.nih.gov/gene/172114", "172114")</f>
        <v>172114</v>
      </c>
      <c r="C9683" s="9"/>
      <c r="D9683" t="str">
        <f>"F28B3.10"</f>
        <v>F28B3.10</v>
      </c>
      <c r="F9683" t="s">
        <v>11</v>
      </c>
      <c r="G9683" t="s">
        <v>25</v>
      </c>
      <c r="H9683" s="12">
        <v>-1.1786817916008201</v>
      </c>
      <c r="I9683" s="20">
        <v>-0.79151315114064102</v>
      </c>
      <c r="J9683" s="28">
        <v>0.428644604927512</v>
      </c>
      <c r="K9683" s="29">
        <v>0.98289565623980701</v>
      </c>
    </row>
    <row r="9684" spans="1:11" x14ac:dyDescent="0.35">
      <c r="A9684" s="9" t="str">
        <f>HYPERLINK("http://www.ensembl.org/id/WBGene00017887", "WBGene00017887")</f>
        <v>WBGene00017887</v>
      </c>
      <c r="B9684" s="9" t="str">
        <f>HYPERLINK("http://www.ncbi.nlm.nih.gov/gene/172115", "172115")</f>
        <v>172115</v>
      </c>
      <c r="C9684" s="9"/>
      <c r="D9684" t="str">
        <f>"F28B3.6"</f>
        <v>F28B3.6</v>
      </c>
      <c r="F9684" t="s">
        <v>11</v>
      </c>
      <c r="G9684" t="s">
        <v>25</v>
      </c>
      <c r="H9684" s="12">
        <v>-1.22171377652516</v>
      </c>
      <c r="I9684" s="20">
        <v>-1.0191026773110501</v>
      </c>
      <c r="J9684" s="28">
        <v>0.308154223263917</v>
      </c>
      <c r="K9684" s="29">
        <v>0.98289565623980701</v>
      </c>
    </row>
    <row r="9685" spans="1:11" x14ac:dyDescent="0.35">
      <c r="A9685" s="9" t="str">
        <f>HYPERLINK("http://www.ensembl.org/id/WBGene00017892", "WBGene00017892")</f>
        <v>WBGene00017892</v>
      </c>
      <c r="B9685" s="9" t="str">
        <f>HYPERLINK("http://www.ncbi.nlm.nih.gov/gene/180612", "180612")</f>
        <v>180612</v>
      </c>
      <c r="C9685" s="9"/>
      <c r="D9685" t="str">
        <f>"F28B4.3"</f>
        <v>F28B4.3</v>
      </c>
      <c r="F9685" t="s">
        <v>11</v>
      </c>
      <c r="H9685" s="12">
        <v>-1.39345483620981</v>
      </c>
      <c r="I9685" s="20">
        <v>-1.1157728982611801</v>
      </c>
      <c r="J9685" s="28">
        <v>0.26451935742744898</v>
      </c>
      <c r="K9685" s="29">
        <v>0.98289565623980701</v>
      </c>
    </row>
    <row r="9686" spans="1:11" x14ac:dyDescent="0.35">
      <c r="A9686" s="9" t="str">
        <f>HYPERLINK("http://www.ensembl.org/id/WBGene00017893", "WBGene00017893")</f>
        <v>WBGene00017893</v>
      </c>
      <c r="B9686" s="9" t="str">
        <f>HYPERLINK("http://www.ncbi.nlm.nih.gov/gene/180610", "180610")</f>
        <v>180610</v>
      </c>
      <c r="C9686" s="9"/>
      <c r="D9686" t="str">
        <f>"F28B4.4"</f>
        <v>F28B4.4</v>
      </c>
      <c r="F9686" t="s">
        <v>11</v>
      </c>
      <c r="G9686" t="s">
        <v>25</v>
      </c>
      <c r="H9686" s="12">
        <v>1.1803216074842</v>
      </c>
      <c r="I9686" s="20">
        <v>0.71854105580678196</v>
      </c>
      <c r="J9686" s="28">
        <v>0.47242374281473798</v>
      </c>
      <c r="K9686" s="29">
        <v>0.98289565623980701</v>
      </c>
    </row>
    <row r="9687" spans="1:11" x14ac:dyDescent="0.35">
      <c r="A9687" s="9" t="str">
        <f>HYPERLINK("http://www.ensembl.org/id/WBGene00197459", "WBGene00197459")</f>
        <v>WBGene00197459</v>
      </c>
      <c r="B9687" s="9"/>
      <c r="C9687" s="9"/>
      <c r="D9687" t="str">
        <f>"F28B4.5"</f>
        <v>F28B4.5</v>
      </c>
      <c r="F9687" t="s">
        <v>481</v>
      </c>
      <c r="H9687" s="12">
        <v>2.3893468495514898</v>
      </c>
      <c r="I9687" s="20">
        <v>0.25323547253672701</v>
      </c>
      <c r="J9687" s="28">
        <v>0.80008625651646104</v>
      </c>
      <c r="K9687" s="29">
        <v>0.98289565623980701</v>
      </c>
    </row>
    <row r="9688" spans="1:11" x14ac:dyDescent="0.35">
      <c r="A9688" s="9" t="str">
        <f>HYPERLINK("http://www.ensembl.org/id/WBGene00199181", "WBGene00199181")</f>
        <v>WBGene00199181</v>
      </c>
      <c r="B9688" s="9"/>
      <c r="C9688" s="9"/>
      <c r="D9688" t="str">
        <f>"F28B4.7"</f>
        <v>F28B4.7</v>
      </c>
      <c r="F9688" t="s">
        <v>481</v>
      </c>
      <c r="H9688" s="12">
        <v>-2.4295389261469</v>
      </c>
      <c r="I9688" s="20">
        <v>-0.25808529976640998</v>
      </c>
      <c r="J9688" s="28">
        <v>0.79634107645457397</v>
      </c>
      <c r="K9688" s="29">
        <v>0.98289565623980701</v>
      </c>
    </row>
    <row r="9689" spans="1:11" x14ac:dyDescent="0.35">
      <c r="A9689" s="9" t="str">
        <f>HYPERLINK("http://www.ensembl.org/id/WBGene00199770", "WBGene00199770")</f>
        <v>WBGene00199770</v>
      </c>
      <c r="B9689" s="9"/>
      <c r="C9689" s="9"/>
      <c r="D9689" t="str">
        <f>"F28B4.8"</f>
        <v>F28B4.8</v>
      </c>
      <c r="F9689" t="s">
        <v>481</v>
      </c>
      <c r="H9689" s="12">
        <v>-2.4295389261469</v>
      </c>
      <c r="I9689" s="20">
        <v>-0.25808529976640998</v>
      </c>
      <c r="J9689" s="28">
        <v>0.79634107645457397</v>
      </c>
      <c r="K9689" s="29">
        <v>0.98289565623980701</v>
      </c>
    </row>
    <row r="9690" spans="1:11" x14ac:dyDescent="0.35">
      <c r="A9690" s="9" t="str">
        <f>HYPERLINK("http://www.ensembl.org/id/WBGene00009200", "WBGene00009200")</f>
        <v>WBGene00009200</v>
      </c>
      <c r="B9690" s="9" t="str">
        <f>HYPERLINK("http://www.ncbi.nlm.nih.gov/gene/179705", "179705")</f>
        <v>179705</v>
      </c>
      <c r="C9690" s="9"/>
      <c r="D9690" t="str">
        <f>"F28C1.1"</f>
        <v>F28C1.1</v>
      </c>
      <c r="F9690" t="s">
        <v>11</v>
      </c>
      <c r="H9690" s="12">
        <v>-1.1318820758914101</v>
      </c>
      <c r="I9690" s="20">
        <v>-0.62342990660172704</v>
      </c>
      <c r="J9690" s="28">
        <v>0.53300205019234304</v>
      </c>
      <c r="K9690" s="29">
        <v>0.98289565623980701</v>
      </c>
    </row>
    <row r="9691" spans="1:11" x14ac:dyDescent="0.35">
      <c r="A9691" s="9" t="str">
        <f>HYPERLINK("http://www.ensembl.org/id/WBGene00200858", "WBGene00200858")</f>
        <v>WBGene00200858</v>
      </c>
      <c r="B9691" s="9"/>
      <c r="C9691" s="9"/>
      <c r="D9691" t="str">
        <f>"F28C1.14"</f>
        <v>F28C1.14</v>
      </c>
      <c r="F9691" t="s">
        <v>481</v>
      </c>
      <c r="H9691" s="12">
        <v>2.3893468495514898</v>
      </c>
      <c r="I9691" s="20">
        <v>0.25323547253672701</v>
      </c>
      <c r="J9691" s="28">
        <v>0.80008625651646104</v>
      </c>
      <c r="K9691" s="29">
        <v>0.98289565623980701</v>
      </c>
    </row>
    <row r="9692" spans="1:11" x14ac:dyDescent="0.35">
      <c r="A9692" s="9" t="str">
        <f>HYPERLINK("http://www.ensembl.org/id/WBGene00009201", "WBGene00009201")</f>
        <v>WBGene00009201</v>
      </c>
      <c r="B9692" s="9" t="str">
        <f>HYPERLINK("http://www.ncbi.nlm.nih.gov/gene/179708", "179708")</f>
        <v>179708</v>
      </c>
      <c r="C9692" s="9"/>
      <c r="D9692" t="str">
        <f>"F28C1.3"</f>
        <v>F28C1.3</v>
      </c>
      <c r="E9692" t="s">
        <v>7982</v>
      </c>
      <c r="F9692" t="s">
        <v>11</v>
      </c>
      <c r="G9692" t="s">
        <v>54</v>
      </c>
      <c r="H9692" s="12">
        <v>-1.1545309420124299</v>
      </c>
      <c r="I9692" s="20">
        <v>-0.78378862425570595</v>
      </c>
      <c r="J9692" s="28">
        <v>0.43316414990183499</v>
      </c>
      <c r="K9692" s="29">
        <v>0.98289565623980701</v>
      </c>
    </row>
    <row r="9693" spans="1:11" x14ac:dyDescent="0.35">
      <c r="A9693" s="9" t="str">
        <f>HYPERLINK("http://www.ensembl.org/id/WBGene00017898", "WBGene00017898")</f>
        <v>WBGene00017898</v>
      </c>
      <c r="B9693" s="9" t="str">
        <f>HYPERLINK("http://www.ncbi.nlm.nih.gov/gene/180405", "180405")</f>
        <v>180405</v>
      </c>
      <c r="C9693" s="9"/>
      <c r="D9693" t="str">
        <f>"F28C10.3"</f>
        <v>F28C10.3</v>
      </c>
      <c r="F9693" t="s">
        <v>11</v>
      </c>
      <c r="G9693" t="s">
        <v>4709</v>
      </c>
      <c r="H9693" s="12">
        <v>-1.26329906144013</v>
      </c>
      <c r="I9693" s="20">
        <v>-1.0727538378890999</v>
      </c>
      <c r="J9693" s="28">
        <v>0.28338157757211602</v>
      </c>
      <c r="K9693" s="29">
        <v>0.98289565623980701</v>
      </c>
    </row>
    <row r="9694" spans="1:11" x14ac:dyDescent="0.35">
      <c r="A9694" s="9" t="str">
        <f>HYPERLINK("http://www.ensembl.org/id/WBGene00219922", "WBGene00219922")</f>
        <v>WBGene00219922</v>
      </c>
      <c r="B9694" s="9"/>
      <c r="C9694" s="9"/>
      <c r="D9694" t="str">
        <f>"F28C10.5"</f>
        <v>F28C10.5</v>
      </c>
      <c r="F9694" t="s">
        <v>481</v>
      </c>
      <c r="H9694" s="12">
        <v>-2.4991590031922399</v>
      </c>
      <c r="I9694" s="20">
        <v>-0.26577412737581302</v>
      </c>
      <c r="J9694" s="28">
        <v>0.79041317015736101</v>
      </c>
      <c r="K9694" s="29">
        <v>0.98289565623980701</v>
      </c>
    </row>
    <row r="9695" spans="1:11" x14ac:dyDescent="0.35">
      <c r="A9695" s="9" t="str">
        <f>HYPERLINK("http://www.ensembl.org/id/WBGene00009204", "WBGene00009204")</f>
        <v>WBGene00009204</v>
      </c>
      <c r="B9695" s="9" t="str">
        <f>HYPERLINK("http://www.ncbi.nlm.nih.gov/gene/174377", "174377")</f>
        <v>174377</v>
      </c>
      <c r="C9695" s="9"/>
      <c r="D9695" t="str">
        <f>"F28C6.4"</f>
        <v>F28C6.4</v>
      </c>
      <c r="F9695" t="s">
        <v>11</v>
      </c>
      <c r="G9695" t="s">
        <v>9035</v>
      </c>
      <c r="H9695" s="12">
        <v>-1.2163138658563599</v>
      </c>
      <c r="I9695" s="20">
        <v>-0.69778631251799805</v>
      </c>
      <c r="J9695" s="28">
        <v>0.48531084023730697</v>
      </c>
      <c r="K9695" s="29">
        <v>0.98289565623980701</v>
      </c>
    </row>
    <row r="9696" spans="1:11" x14ac:dyDescent="0.35">
      <c r="A9696" s="9" t="str">
        <f>HYPERLINK("http://www.ensembl.org/id/WBGene00009205", "WBGene00009205")</f>
        <v>WBGene00009205</v>
      </c>
      <c r="B9696" s="9" t="str">
        <f>HYPERLINK("http://www.ncbi.nlm.nih.gov/gene/185048", "185048")</f>
        <v>185048</v>
      </c>
      <c r="C9696" s="9"/>
      <c r="D9696" t="str">
        <f>"F28C6.5"</f>
        <v>F28C6.5</v>
      </c>
      <c r="F9696" t="s">
        <v>11</v>
      </c>
      <c r="H9696" s="12">
        <v>1.49116103440099</v>
      </c>
      <c r="I9696" s="20">
        <v>0.78606884371900998</v>
      </c>
      <c r="J9696" s="28">
        <v>0.43182715604999</v>
      </c>
      <c r="K9696" s="29">
        <v>0.98289565623980701</v>
      </c>
    </row>
    <row r="9697" spans="1:11" x14ac:dyDescent="0.35">
      <c r="A9697" s="9" t="str">
        <f>HYPERLINK("http://www.ensembl.org/id/WBGene00009207", "WBGene00009207")</f>
        <v>WBGene00009207</v>
      </c>
      <c r="B9697" s="9" t="str">
        <f>HYPERLINK("http://www.ncbi.nlm.nih.gov/gene/174381", "174381")</f>
        <v>174381</v>
      </c>
      <c r="C9697" s="9" t="str">
        <f>HYPERLINK("http://www.ncbi.nlm.nih.gov/gene/114971", "114971")</f>
        <v>114971</v>
      </c>
      <c r="D9697" t="str">
        <f>"F28C6.8"</f>
        <v>F28C6.8</v>
      </c>
      <c r="F9697" t="s">
        <v>11</v>
      </c>
      <c r="G9697" t="s">
        <v>8209</v>
      </c>
      <c r="H9697" s="12">
        <v>-1.1660372383933799</v>
      </c>
      <c r="I9697" s="20">
        <v>-0.72778533595681905</v>
      </c>
      <c r="J9697" s="28">
        <v>0.46674500244107198</v>
      </c>
      <c r="K9697" s="29">
        <v>0.98289565623980701</v>
      </c>
    </row>
    <row r="9698" spans="1:11" x14ac:dyDescent="0.35">
      <c r="A9698" s="9" t="str">
        <f>HYPERLINK("http://www.ensembl.org/id/WBGene00009208", "WBGene00009208")</f>
        <v>WBGene00009208</v>
      </c>
      <c r="B9698" s="9" t="str">
        <f>HYPERLINK("http://www.ncbi.nlm.nih.gov/gene/185049", "185049")</f>
        <v>185049</v>
      </c>
      <c r="C9698" s="9"/>
      <c r="D9698" t="str">
        <f>"F28C6.9"</f>
        <v>F28C6.9</v>
      </c>
      <c r="F9698" t="s">
        <v>11</v>
      </c>
      <c r="G9698" t="s">
        <v>4283</v>
      </c>
      <c r="H9698" s="12">
        <v>4.0995465121456798</v>
      </c>
      <c r="I9698" s="20">
        <v>1.12871675545801</v>
      </c>
      <c r="J9698" s="28">
        <v>0.25901733873122401</v>
      </c>
      <c r="K9698" s="29">
        <v>0.98289565623980701</v>
      </c>
    </row>
    <row r="9699" spans="1:11" x14ac:dyDescent="0.35">
      <c r="A9699" s="9" t="str">
        <f>HYPERLINK("http://www.ensembl.org/id/WBGene00009220", "WBGene00009220")</f>
        <v>WBGene00009220</v>
      </c>
      <c r="B9699" s="9" t="str">
        <f>HYPERLINK("http://www.ncbi.nlm.nih.gov/gene/173012", "173012")</f>
        <v>173012</v>
      </c>
      <c r="C9699" s="9"/>
      <c r="D9699" t="str">
        <f>"F28D9.4"</f>
        <v>F28D9.4</v>
      </c>
      <c r="F9699" t="s">
        <v>11</v>
      </c>
      <c r="G9699" t="s">
        <v>25</v>
      </c>
      <c r="H9699" s="12">
        <v>1.13879127538664</v>
      </c>
      <c r="I9699" s="20">
        <v>0.490038367166027</v>
      </c>
      <c r="J9699" s="28">
        <v>0.62410674953406797</v>
      </c>
      <c r="K9699" s="29">
        <v>0.98289565623980701</v>
      </c>
    </row>
    <row r="9700" spans="1:11" x14ac:dyDescent="0.35">
      <c r="A9700" s="9" t="str">
        <f>HYPERLINK("http://www.ensembl.org/id/WBGene00219923", "WBGene00219923")</f>
        <v>WBGene00219923</v>
      </c>
      <c r="B9700" s="9"/>
      <c r="C9700" s="9"/>
      <c r="D9700" t="str">
        <f>"F28D9.6"</f>
        <v>F28D9.6</v>
      </c>
      <c r="F9700" t="s">
        <v>2977</v>
      </c>
      <c r="H9700" s="12">
        <v>3.6645215954135</v>
      </c>
      <c r="I9700" s="20">
        <v>0.37967131826092498</v>
      </c>
      <c r="J9700" s="28">
        <v>0.70418941338960395</v>
      </c>
      <c r="K9700" s="29">
        <v>0.98289565623980701</v>
      </c>
    </row>
    <row r="9701" spans="1:11" x14ac:dyDescent="0.35">
      <c r="A9701" s="9" t="str">
        <f>HYPERLINK("http://www.ensembl.org/id/WBGene00200207", "WBGene00200207")</f>
        <v>WBGene00200207</v>
      </c>
      <c r="B9701" s="9"/>
      <c r="C9701" s="9"/>
      <c r="D9701" t="str">
        <f>"F28E10.14"</f>
        <v>F28E10.14</v>
      </c>
      <c r="F9701" t="s">
        <v>481</v>
      </c>
      <c r="H9701" s="12">
        <v>-2.4295389261469</v>
      </c>
      <c r="I9701" s="20">
        <v>-0.25808529976640998</v>
      </c>
      <c r="J9701" s="28">
        <v>0.79634107645457397</v>
      </c>
      <c r="K9701" s="29">
        <v>0.98289565623980701</v>
      </c>
    </row>
    <row r="9702" spans="1:11" x14ac:dyDescent="0.35">
      <c r="A9702" s="9" t="str">
        <f>HYPERLINK("http://www.ensembl.org/id/WBGene00235292", "WBGene00235292")</f>
        <v>WBGene00235292</v>
      </c>
      <c r="B9702" s="9"/>
      <c r="C9702" s="9"/>
      <c r="D9702" t="str">
        <f>"F28E10.16"</f>
        <v>F28E10.16</v>
      </c>
      <c r="F9702" t="s">
        <v>80</v>
      </c>
      <c r="H9702" s="12">
        <v>-4.2921963063929196</v>
      </c>
      <c r="I9702" s="20">
        <v>-1.10048196980681</v>
      </c>
      <c r="J9702" s="28">
        <v>0.27112218121424297</v>
      </c>
      <c r="K9702" s="29">
        <v>0.98289565623980701</v>
      </c>
    </row>
    <row r="9703" spans="1:11" x14ac:dyDescent="0.35">
      <c r="A9703" s="9" t="str">
        <f>HYPERLINK("http://www.ensembl.org/id/WBGene00017902", "WBGene00017902")</f>
        <v>WBGene00017902</v>
      </c>
      <c r="B9703" s="9" t="str">
        <f>HYPERLINK("http://www.ncbi.nlm.nih.gov/gene/185067", "185067")</f>
        <v>185067</v>
      </c>
      <c r="C9703" s="9"/>
      <c r="D9703" t="str">
        <f>"F28E10.4"</f>
        <v>F28E10.4</v>
      </c>
      <c r="F9703" t="s">
        <v>11</v>
      </c>
      <c r="H9703" s="12">
        <v>-2.8398631049357701</v>
      </c>
      <c r="I9703" s="20">
        <v>-0.57734077809959805</v>
      </c>
      <c r="J9703" s="28">
        <v>0.56370927190023101</v>
      </c>
      <c r="K9703" s="29">
        <v>0.98289565623980701</v>
      </c>
    </row>
    <row r="9704" spans="1:11" x14ac:dyDescent="0.35">
      <c r="A9704" s="9" t="str">
        <f>HYPERLINK("http://www.ensembl.org/id/WBGene00044302", "WBGene00044302")</f>
        <v>WBGene00044302</v>
      </c>
      <c r="B9704" s="9"/>
      <c r="C9704" s="9"/>
      <c r="D9704" t="str">
        <f>"F28E10.5"</f>
        <v>F28E10.5</v>
      </c>
      <c r="F9704" t="s">
        <v>80</v>
      </c>
      <c r="H9704" s="12">
        <v>-1.2864030549397201</v>
      </c>
      <c r="I9704" s="20">
        <v>-0.28364011006324003</v>
      </c>
      <c r="J9704" s="28">
        <v>0.77668619554142104</v>
      </c>
      <c r="K9704" s="29">
        <v>0.98289565623980701</v>
      </c>
    </row>
    <row r="9705" spans="1:11" x14ac:dyDescent="0.35">
      <c r="A9705" s="9" t="str">
        <f>HYPERLINK("http://www.ensembl.org/id/WBGene00196174", "WBGene00196174")</f>
        <v>WBGene00196174</v>
      </c>
      <c r="B9705" s="9"/>
      <c r="C9705" s="9"/>
      <c r="D9705" t="str">
        <f>"F28F5.10"</f>
        <v>F28F5.10</v>
      </c>
      <c r="F9705" t="s">
        <v>481</v>
      </c>
      <c r="H9705" s="12">
        <v>6.2514608453248997</v>
      </c>
      <c r="I9705" s="20">
        <v>0.54591286118210802</v>
      </c>
      <c r="J9705" s="28">
        <v>0.58512583723197797</v>
      </c>
      <c r="K9705" s="29">
        <v>0.98289565623980701</v>
      </c>
    </row>
    <row r="9706" spans="1:11" x14ac:dyDescent="0.35">
      <c r="A9706" s="9" t="str">
        <f>HYPERLINK("http://www.ensembl.org/id/WBGene00043297", "WBGene00043297")</f>
        <v>WBGene00043297</v>
      </c>
      <c r="B9706" s="9" t="str">
        <f>HYPERLINK("http://www.ncbi.nlm.nih.gov/gene/3896752", "3896752")</f>
        <v>3896752</v>
      </c>
      <c r="C9706" s="9"/>
      <c r="D9706" t="str">
        <f>"F28F5.4"</f>
        <v>F28F5.4</v>
      </c>
      <c r="F9706" t="s">
        <v>11</v>
      </c>
      <c r="H9706" s="12">
        <v>1.2325892807196599</v>
      </c>
      <c r="I9706" s="20">
        <v>0.68049723359746395</v>
      </c>
      <c r="J9706" s="28">
        <v>0.496189672880129</v>
      </c>
      <c r="K9706" s="29">
        <v>0.98289565623980701</v>
      </c>
    </row>
    <row r="9707" spans="1:11" x14ac:dyDescent="0.35">
      <c r="A9707" s="9" t="str">
        <f>HYPERLINK("http://www.ensembl.org/id/WBGene00017905", "WBGene00017905")</f>
        <v>WBGene00017905</v>
      </c>
      <c r="B9707" s="9" t="str">
        <f>HYPERLINK("http://www.ncbi.nlm.nih.gov/gene/259515", "259515")</f>
        <v>259515</v>
      </c>
      <c r="C9707" s="9"/>
      <c r="D9707" t="str">
        <f>"F28F5.6"</f>
        <v>F28F5.6</v>
      </c>
      <c r="F9707" t="s">
        <v>11</v>
      </c>
      <c r="H9707" s="12">
        <v>-1.4000307571905399</v>
      </c>
      <c r="I9707" s="20">
        <v>-0.82171535040550903</v>
      </c>
      <c r="J9707" s="28">
        <v>0.41123892059501599</v>
      </c>
      <c r="K9707" s="29">
        <v>0.98289565623980701</v>
      </c>
    </row>
    <row r="9708" spans="1:11" x14ac:dyDescent="0.35">
      <c r="A9708" s="9" t="str">
        <f>HYPERLINK("http://www.ensembl.org/id/WBGene00195368", "WBGene00195368")</f>
        <v>WBGene00195368</v>
      </c>
      <c r="B9708" s="9"/>
      <c r="C9708" s="9"/>
      <c r="D9708" t="str">
        <f>"F28F5.8"</f>
        <v>F28F5.8</v>
      </c>
      <c r="F9708" t="s">
        <v>481</v>
      </c>
      <c r="H9708" s="12">
        <v>-2.4295389261469</v>
      </c>
      <c r="I9708" s="20">
        <v>-0.25808529976640998</v>
      </c>
      <c r="J9708" s="28">
        <v>0.79634107645457397</v>
      </c>
      <c r="K9708" s="29">
        <v>0.98289565623980701</v>
      </c>
    </row>
    <row r="9709" spans="1:11" x14ac:dyDescent="0.35">
      <c r="A9709" s="9" t="str">
        <f>HYPERLINK("http://www.ensembl.org/id/WBGene00044219", "WBGene00044219")</f>
        <v>WBGene00044219</v>
      </c>
      <c r="B9709" s="9"/>
      <c r="C9709" s="9"/>
      <c r="D9709" t="str">
        <f>"F28F8.10"</f>
        <v>F28F8.10</v>
      </c>
      <c r="F9709" t="s">
        <v>80</v>
      </c>
      <c r="H9709" s="12">
        <v>-1.2519089890416599</v>
      </c>
      <c r="I9709" s="20">
        <v>-0.28657857266176701</v>
      </c>
      <c r="J9709" s="28">
        <v>0.77443502309573997</v>
      </c>
      <c r="K9709" s="29">
        <v>0.98289565623980701</v>
      </c>
    </row>
    <row r="9710" spans="1:11" x14ac:dyDescent="0.35">
      <c r="A9710" s="9" t="str">
        <f>HYPERLINK("http://www.ensembl.org/id/WBGene00044188", "WBGene00044188")</f>
        <v>WBGene00044188</v>
      </c>
      <c r="B9710" s="9" t="str">
        <f>HYPERLINK("http://www.ncbi.nlm.nih.gov/gene/3896822", "3896822")</f>
        <v>3896822</v>
      </c>
      <c r="C9710" s="9"/>
      <c r="D9710" t="str">
        <f>"F28F8.9"</f>
        <v>F28F8.9</v>
      </c>
      <c r="F9710" t="s">
        <v>11</v>
      </c>
      <c r="H9710" s="12">
        <v>-1.28404184757915</v>
      </c>
      <c r="I9710" s="20">
        <v>-0.91666226926623695</v>
      </c>
      <c r="J9710" s="28">
        <v>0.35931964334029498</v>
      </c>
      <c r="K9710" s="29">
        <v>0.98289565623980701</v>
      </c>
    </row>
    <row r="9711" spans="1:11" x14ac:dyDescent="0.35">
      <c r="A9711" s="9" t="str">
        <f>HYPERLINK("http://www.ensembl.org/id/WBGene00017906", "WBGene00017906")</f>
        <v>WBGene00017906</v>
      </c>
      <c r="B9711" s="9" t="str">
        <f>HYPERLINK("http://www.ncbi.nlm.nih.gov/gene/185077", "185077")</f>
        <v>185077</v>
      </c>
      <c r="C9711" s="9"/>
      <c r="D9711" t="str">
        <f>"F28F9.2"</f>
        <v>F28F9.2</v>
      </c>
      <c r="F9711" t="s">
        <v>11</v>
      </c>
      <c r="G9711" t="s">
        <v>25</v>
      </c>
      <c r="H9711" s="12">
        <v>2.5182415643369001</v>
      </c>
      <c r="I9711" s="20">
        <v>0.91508924716758</v>
      </c>
      <c r="J9711" s="28">
        <v>0.36014477947145201</v>
      </c>
      <c r="K9711" s="29">
        <v>0.98289565623980701</v>
      </c>
    </row>
    <row r="9712" spans="1:11" x14ac:dyDescent="0.35">
      <c r="A9712" s="9" t="str">
        <f>HYPERLINK("http://www.ensembl.org/id/WBGene00195822", "WBGene00195822")</f>
        <v>WBGene00195822</v>
      </c>
      <c r="B9712" s="9"/>
      <c r="C9712" s="9"/>
      <c r="D9712" t="str">
        <f>"F28F9.7"</f>
        <v>F28F9.7</v>
      </c>
      <c r="F9712" t="s">
        <v>481</v>
      </c>
      <c r="H9712" s="12">
        <v>3.5227018545059199</v>
      </c>
      <c r="I9712" s="20">
        <v>0.36849691206929103</v>
      </c>
      <c r="J9712" s="28">
        <v>0.71250274722433404</v>
      </c>
      <c r="K9712" s="29">
        <v>0.98289565623980701</v>
      </c>
    </row>
    <row r="9713" spans="1:11" x14ac:dyDescent="0.35">
      <c r="A9713" s="9" t="str">
        <f>HYPERLINK("http://www.ensembl.org/id/WBGene00009229", "WBGene00009229")</f>
        <v>WBGene00009229</v>
      </c>
      <c r="B9713" s="9" t="str">
        <f>HYPERLINK("http://www.ncbi.nlm.nih.gov/gene/185082", "185082")</f>
        <v>185082</v>
      </c>
      <c r="C9713" s="9"/>
      <c r="D9713" t="str">
        <f>"F28G4.4"</f>
        <v>F28G4.4</v>
      </c>
      <c r="F9713" t="s">
        <v>11</v>
      </c>
      <c r="G9713" t="s">
        <v>25</v>
      </c>
      <c r="H9713" s="12">
        <v>1.69164271858171</v>
      </c>
      <c r="I9713" s="20">
        <v>0.50546740781539101</v>
      </c>
      <c r="J9713" s="28">
        <v>0.61323058442752898</v>
      </c>
      <c r="K9713" s="29">
        <v>0.98289565623980701</v>
      </c>
    </row>
    <row r="9714" spans="1:11" x14ac:dyDescent="0.35">
      <c r="A9714" s="9" t="str">
        <f>HYPERLINK("http://www.ensembl.org/id/WBGene00017909", "WBGene00017909")</f>
        <v>WBGene00017909</v>
      </c>
      <c r="B9714" s="9" t="str">
        <f>HYPERLINK("http://www.ncbi.nlm.nih.gov/gene/185084", "185084")</f>
        <v>185084</v>
      </c>
      <c r="C9714" s="9"/>
      <c r="D9714" t="str">
        <f>"F28H1.4"</f>
        <v>F28H1.4</v>
      </c>
      <c r="F9714" t="s">
        <v>11</v>
      </c>
      <c r="G9714" t="s">
        <v>25</v>
      </c>
      <c r="H9714" s="12">
        <v>-1.1916607341291201</v>
      </c>
      <c r="I9714" s="20">
        <v>-0.79050547122924597</v>
      </c>
      <c r="J9714" s="28">
        <v>0.42923262825300201</v>
      </c>
      <c r="K9714" s="29">
        <v>0.98289565623980701</v>
      </c>
    </row>
    <row r="9715" spans="1:11" x14ac:dyDescent="0.35">
      <c r="A9715" s="9" t="str">
        <f>HYPERLINK("http://www.ensembl.org/id/WBGene00017910", "WBGene00017910")</f>
        <v>WBGene00017910</v>
      </c>
      <c r="B9715" s="9" t="str">
        <f>HYPERLINK("http://www.ncbi.nlm.nih.gov/gene/185085", "185085")</f>
        <v>185085</v>
      </c>
      <c r="C9715" s="9"/>
      <c r="D9715" t="str">
        <f>"F28H1.5"</f>
        <v>F28H1.5</v>
      </c>
      <c r="F9715" t="s">
        <v>11</v>
      </c>
      <c r="H9715" s="12">
        <v>-2.3631095939022599</v>
      </c>
      <c r="I9715" s="20">
        <v>-0.37688792245729402</v>
      </c>
      <c r="J9715" s="28">
        <v>0.70625689722512397</v>
      </c>
      <c r="K9715" s="29">
        <v>0.98289565623980701</v>
      </c>
    </row>
    <row r="9716" spans="1:11" x14ac:dyDescent="0.35">
      <c r="A9716" s="9" t="str">
        <f>HYPERLINK("http://www.ensembl.org/id/WBGene00009236", "WBGene00009236")</f>
        <v>WBGene00009236</v>
      </c>
      <c r="B9716" s="9" t="str">
        <f>HYPERLINK("http://www.ncbi.nlm.nih.gov/gene/185096", "185096")</f>
        <v>185096</v>
      </c>
      <c r="C9716" s="9"/>
      <c r="D9716" t="str">
        <f>"F28H7.2"</f>
        <v>F28H7.2</v>
      </c>
      <c r="F9716" t="s">
        <v>11</v>
      </c>
      <c r="G9716" t="s">
        <v>489</v>
      </c>
      <c r="H9716" s="12">
        <v>1.48488344682508</v>
      </c>
      <c r="I9716" s="20">
        <v>0.71600923968786501</v>
      </c>
      <c r="J9716" s="28">
        <v>0.47398564367190099</v>
      </c>
      <c r="K9716" s="29">
        <v>0.98289565623980701</v>
      </c>
    </row>
    <row r="9717" spans="1:11" x14ac:dyDescent="0.35">
      <c r="A9717" s="9" t="str">
        <f>HYPERLINK("http://www.ensembl.org/id/WBGene00009237", "WBGene00009237")</f>
        <v>WBGene00009237</v>
      </c>
      <c r="B9717" s="9" t="str">
        <f>HYPERLINK("http://www.ncbi.nlm.nih.gov/gene/179490", "179490")</f>
        <v>179490</v>
      </c>
      <c r="C9717" s="9"/>
      <c r="D9717" t="str">
        <f>"F28H7.3"</f>
        <v>F28H7.3</v>
      </c>
      <c r="F9717" t="s">
        <v>11</v>
      </c>
      <c r="G9717" t="s">
        <v>29</v>
      </c>
      <c r="H9717" s="12">
        <v>1.1231315399625901</v>
      </c>
      <c r="I9717" s="20">
        <v>0.61012149238144597</v>
      </c>
      <c r="J9717" s="28">
        <v>0.54178133042780896</v>
      </c>
      <c r="K9717" s="29">
        <v>0.98289565623980701</v>
      </c>
    </row>
    <row r="9718" spans="1:11" x14ac:dyDescent="0.35">
      <c r="A9718" s="9" t="str">
        <f>HYPERLINK("http://www.ensembl.org/id/WBGene00017913", "WBGene00017913")</f>
        <v>WBGene00017913</v>
      </c>
      <c r="B9718" s="9" t="str">
        <f>HYPERLINK("http://www.ncbi.nlm.nih.gov/gene/185103", "185103")</f>
        <v>185103</v>
      </c>
      <c r="C9718" s="9"/>
      <c r="D9718" t="str">
        <f>"F29A7.3"</f>
        <v>F29A7.3</v>
      </c>
      <c r="F9718" t="s">
        <v>11</v>
      </c>
      <c r="H9718" s="12">
        <v>3.6645215954135</v>
      </c>
      <c r="I9718" s="20">
        <v>0.37967131826092498</v>
      </c>
      <c r="J9718" s="28">
        <v>0.70418941338960395</v>
      </c>
      <c r="K9718" s="29">
        <v>0.98289565623980701</v>
      </c>
    </row>
    <row r="9719" spans="1:11" x14ac:dyDescent="0.35">
      <c r="A9719" s="9" t="str">
        <f>HYPERLINK("http://www.ensembl.org/id/WBGene00017916", "WBGene00017916")</f>
        <v>WBGene00017916</v>
      </c>
      <c r="B9719" s="9" t="str">
        <f>HYPERLINK("http://www.ncbi.nlm.nih.gov/gene/173618", "173618")</f>
        <v>173618</v>
      </c>
      <c r="C9719" s="9"/>
      <c r="D9719" t="str">
        <f>"F29A7.6"</f>
        <v>F29A7.6</v>
      </c>
      <c r="F9719" t="s">
        <v>11</v>
      </c>
      <c r="G9719" t="s">
        <v>9898</v>
      </c>
      <c r="H9719" s="12">
        <v>-1.35671021953754</v>
      </c>
      <c r="I9719" s="20">
        <v>-1.1613301547008601</v>
      </c>
      <c r="J9719" s="28">
        <v>0.245507660979397</v>
      </c>
      <c r="K9719" s="29">
        <v>0.98289565623980701</v>
      </c>
    </row>
    <row r="9720" spans="1:11" x14ac:dyDescent="0.35">
      <c r="A9720" s="9" t="str">
        <f>HYPERLINK("http://www.ensembl.org/id/WBGene00044482", "WBGene00044482")</f>
        <v>WBGene00044482</v>
      </c>
      <c r="B9720" s="9" t="str">
        <f>HYPERLINK("http://www.ncbi.nlm.nih.gov/gene/3896767", "3896767")</f>
        <v>3896767</v>
      </c>
      <c r="C9720" s="9"/>
      <c r="D9720" t="str">
        <f>"F29B9.12"</f>
        <v>F29B9.12</v>
      </c>
      <c r="F9720" t="s">
        <v>11</v>
      </c>
      <c r="G9720" t="s">
        <v>25</v>
      </c>
      <c r="H9720" s="12">
        <v>-1.23943404428561</v>
      </c>
      <c r="I9720" s="20">
        <v>-0.51264817114414196</v>
      </c>
      <c r="J9720" s="28">
        <v>0.60819745053821295</v>
      </c>
      <c r="K9720" s="29">
        <v>0.98289565623980701</v>
      </c>
    </row>
    <row r="9721" spans="1:11" x14ac:dyDescent="0.35">
      <c r="A9721" s="9" t="str">
        <f>HYPERLINK("http://www.ensembl.org/id/WBGene00017921", "WBGene00017921")</f>
        <v>WBGene00017921</v>
      </c>
      <c r="B9721" s="9" t="str">
        <f>HYPERLINK("http://www.ncbi.nlm.nih.gov/gene/177228", "177228")</f>
        <v>177228</v>
      </c>
      <c r="C9721" s="9" t="str">
        <f>HYPERLINK("http://www.ncbi.nlm.nih.gov/gene/158046", "158046")</f>
        <v>158046</v>
      </c>
      <c r="D9721" t="str">
        <f>"F29B9.5"</f>
        <v>F29B9.5</v>
      </c>
      <c r="F9721" t="s">
        <v>11</v>
      </c>
      <c r="H9721" s="12">
        <v>1.23722802574205</v>
      </c>
      <c r="I9721" s="20">
        <v>0.53239221942302695</v>
      </c>
      <c r="J9721" s="28">
        <v>0.59445437286981895</v>
      </c>
      <c r="K9721" s="29">
        <v>0.98289565623980701</v>
      </c>
    </row>
    <row r="9722" spans="1:11" x14ac:dyDescent="0.35">
      <c r="A9722" s="9" t="str">
        <f>HYPERLINK("http://www.ensembl.org/id/WBGene00017923", "WBGene00017923")</f>
        <v>WBGene00017923</v>
      </c>
      <c r="B9722" s="9" t="str">
        <f>HYPERLINK("http://www.ncbi.nlm.nih.gov/gene/177227", "177227")</f>
        <v>177227</v>
      </c>
      <c r="C9722" s="9"/>
      <c r="D9722" t="str">
        <f>"F29B9.8"</f>
        <v>F29B9.8</v>
      </c>
      <c r="F9722" t="s">
        <v>11</v>
      </c>
      <c r="G9722" t="s">
        <v>372</v>
      </c>
      <c r="H9722" s="12">
        <v>-1.1189586485537399</v>
      </c>
      <c r="I9722" s="20">
        <v>-0.51187538067309102</v>
      </c>
      <c r="J9722" s="28">
        <v>0.60873822944371803</v>
      </c>
      <c r="K9722" s="29">
        <v>0.98289565623980701</v>
      </c>
    </row>
    <row r="9723" spans="1:11" x14ac:dyDescent="0.35">
      <c r="A9723" s="9" t="str">
        <f>HYPERLINK("http://www.ensembl.org/id/WBGene00009248", "WBGene00009248")</f>
        <v>WBGene00009248</v>
      </c>
      <c r="B9723" s="9" t="str">
        <f>HYPERLINK("http://www.ncbi.nlm.nih.gov/gene/185116", "185116")</f>
        <v>185116</v>
      </c>
      <c r="C9723" s="9"/>
      <c r="D9723" t="str">
        <f>"F29C12.6"</f>
        <v>F29C12.6</v>
      </c>
      <c r="F9723" t="s">
        <v>11</v>
      </c>
      <c r="H9723" s="12">
        <v>3.6645215954135</v>
      </c>
      <c r="I9723" s="20">
        <v>0.37967131826092498</v>
      </c>
      <c r="J9723" s="28">
        <v>0.70418941338960395</v>
      </c>
      <c r="K9723" s="29">
        <v>0.98289565623980701</v>
      </c>
    </row>
    <row r="9724" spans="1:11" x14ac:dyDescent="0.35">
      <c r="A9724" s="9" t="str">
        <f>HYPERLINK("http://www.ensembl.org/id/WBGene00198932", "WBGene00198932")</f>
        <v>WBGene00198932</v>
      </c>
      <c r="B9724" s="9"/>
      <c r="C9724" s="9"/>
      <c r="D9724" t="str">
        <f>"F29C4.11"</f>
        <v>F29C4.11</v>
      </c>
      <c r="F9724" t="s">
        <v>481</v>
      </c>
      <c r="H9724" s="12">
        <v>14.098189607313399</v>
      </c>
      <c r="I9724" s="20">
        <v>0.90638981510253003</v>
      </c>
      <c r="J9724" s="28">
        <v>0.36472956169230802</v>
      </c>
      <c r="K9724" s="29">
        <v>0.98289565623980701</v>
      </c>
    </row>
    <row r="9725" spans="1:11" x14ac:dyDescent="0.35">
      <c r="A9725" s="9" t="str">
        <f>HYPERLINK("http://www.ensembl.org/id/WBGene00023277", "WBGene00023277")</f>
        <v>WBGene00023277</v>
      </c>
      <c r="B9725" s="9"/>
      <c r="C9725" s="9"/>
      <c r="D9725" t="str">
        <f>"F29C4.3"</f>
        <v>F29C4.3</v>
      </c>
      <c r="F9725" t="s">
        <v>80</v>
      </c>
      <c r="H9725" s="12">
        <v>3.79175993275331</v>
      </c>
      <c r="I9725" s="20">
        <v>1.05693476995028</v>
      </c>
      <c r="J9725" s="28">
        <v>0.29054135855500801</v>
      </c>
      <c r="K9725" s="29">
        <v>0.98289565623980701</v>
      </c>
    </row>
    <row r="9726" spans="1:11" x14ac:dyDescent="0.35">
      <c r="A9726" s="9" t="str">
        <f>HYPERLINK("http://www.ensembl.org/id/WBGene00017927", "WBGene00017927")</f>
        <v>WBGene00017927</v>
      </c>
      <c r="B9726" s="9" t="str">
        <f>HYPERLINK("http://www.ncbi.nlm.nih.gov/gene/185110", "185110")</f>
        <v>185110</v>
      </c>
      <c r="C9726" s="9"/>
      <c r="D9726" t="str">
        <f>"F29C4.4"</f>
        <v>F29C4.4</v>
      </c>
      <c r="F9726" t="s">
        <v>11</v>
      </c>
      <c r="H9726" s="12">
        <v>-1.80126096217334</v>
      </c>
      <c r="I9726" s="20">
        <v>-0.29286645783284798</v>
      </c>
      <c r="J9726" s="28">
        <v>0.76962422803532304</v>
      </c>
      <c r="K9726" s="29">
        <v>0.98289565623980701</v>
      </c>
    </row>
    <row r="9727" spans="1:11" x14ac:dyDescent="0.35">
      <c r="A9727" s="9" t="str">
        <f>HYPERLINK("http://www.ensembl.org/id/WBGene00009243", "WBGene00009243")</f>
        <v>WBGene00009243</v>
      </c>
      <c r="B9727" s="9" t="str">
        <f>HYPERLINK("http://www.ncbi.nlm.nih.gov/gene/172947", "172947")</f>
        <v>172947</v>
      </c>
      <c r="C9727" s="9"/>
      <c r="D9727" t="str">
        <f>"F29C6.1"</f>
        <v>F29C6.1</v>
      </c>
      <c r="F9727" t="s">
        <v>11</v>
      </c>
      <c r="H9727" s="12">
        <v>-1.2961711521516901</v>
      </c>
      <c r="I9727" s="20">
        <v>-0.88040038987602898</v>
      </c>
      <c r="J9727" s="28">
        <v>0.37864244538258002</v>
      </c>
      <c r="K9727" s="29">
        <v>0.98289565623980701</v>
      </c>
    </row>
    <row r="9728" spans="1:11" x14ac:dyDescent="0.35">
      <c r="A9728" s="9" t="str">
        <f>HYPERLINK("http://www.ensembl.org/id/WBGene00009250", "WBGene00009250")</f>
        <v>WBGene00009250</v>
      </c>
      <c r="B9728" s="9" t="str">
        <f>HYPERLINK("http://www.ncbi.nlm.nih.gov/gene/185117", "185117")</f>
        <v>185117</v>
      </c>
      <c r="C9728" s="9"/>
      <c r="D9728" t="str">
        <f>"F29D10.1"</f>
        <v>F29D10.1</v>
      </c>
      <c r="F9728" t="s">
        <v>11</v>
      </c>
      <c r="G9728" t="s">
        <v>25</v>
      </c>
      <c r="H9728" s="12">
        <v>1.93520739187936</v>
      </c>
      <c r="I9728" s="20">
        <v>0.55524731976849495</v>
      </c>
      <c r="J9728" s="28">
        <v>0.57872550643248299</v>
      </c>
      <c r="K9728" s="29">
        <v>0.98289565623980701</v>
      </c>
    </row>
    <row r="9729" spans="1:11" x14ac:dyDescent="0.35">
      <c r="A9729" s="9" t="str">
        <f>HYPERLINK("http://www.ensembl.org/id/WBGene00009251", "WBGene00009251")</f>
        <v>WBGene00009251</v>
      </c>
      <c r="B9729" s="9" t="str">
        <f>HYPERLINK("http://www.ncbi.nlm.nih.gov/gene/185118", "185118")</f>
        <v>185118</v>
      </c>
      <c r="C9729" s="9"/>
      <c r="D9729" t="str">
        <f>"F29D10.2"</f>
        <v>F29D10.2</v>
      </c>
      <c r="F9729" t="s">
        <v>11</v>
      </c>
      <c r="H9729" s="12">
        <v>4.4938634236872304</v>
      </c>
      <c r="I9729" s="20">
        <v>1.2027296365682201</v>
      </c>
      <c r="J9729" s="28">
        <v>0.22908096138577999</v>
      </c>
      <c r="K9729" s="29">
        <v>0.98289565623980701</v>
      </c>
    </row>
    <row r="9730" spans="1:11" x14ac:dyDescent="0.35">
      <c r="A9730" s="9" t="str">
        <f>HYPERLINK("http://www.ensembl.org/id/WBGene00009252", "WBGene00009252")</f>
        <v>WBGene00009252</v>
      </c>
      <c r="B9730" s="9" t="str">
        <f>HYPERLINK("http://www.ncbi.nlm.nih.gov/gene/185119", "185119")</f>
        <v>185119</v>
      </c>
      <c r="C9730" s="9"/>
      <c r="D9730" t="str">
        <f>"F29D10.3"</f>
        <v>F29D10.3</v>
      </c>
      <c r="F9730" t="s">
        <v>11</v>
      </c>
      <c r="H9730" s="12">
        <v>2.1609411393206699</v>
      </c>
      <c r="I9730" s="20">
        <v>0.41838485553044003</v>
      </c>
      <c r="J9730" s="28">
        <v>0.67566575744521895</v>
      </c>
      <c r="K9730" s="29">
        <v>0.98289565623980701</v>
      </c>
    </row>
    <row r="9731" spans="1:11" x14ac:dyDescent="0.35">
      <c r="A9731" s="9" t="str">
        <f>HYPERLINK("http://www.ensembl.org/id/WBGene00200303", "WBGene00200303")</f>
        <v>WBGene00200303</v>
      </c>
      <c r="B9731" s="9"/>
      <c r="C9731" s="9"/>
      <c r="D9731" t="str">
        <f>"F29F11.14"</f>
        <v>F29F11.14</v>
      </c>
      <c r="F9731" t="s">
        <v>481</v>
      </c>
      <c r="H9731" s="12">
        <v>2.4578120077400301</v>
      </c>
      <c r="I9731" s="20">
        <v>0.26093350314551</v>
      </c>
      <c r="J9731" s="28">
        <v>0.79414378780213601</v>
      </c>
      <c r="K9731" s="29">
        <v>0.98289565623980701</v>
      </c>
    </row>
    <row r="9732" spans="1:11" x14ac:dyDescent="0.35">
      <c r="A9732" s="9" t="str">
        <f>HYPERLINK("http://www.ensembl.org/id/WBGene00201530", "WBGene00201530")</f>
        <v>WBGene00201530</v>
      </c>
      <c r="B9732" s="9"/>
      <c r="C9732" s="9"/>
      <c r="D9732" t="str">
        <f>"F29F11.17"</f>
        <v>F29F11.17</v>
      </c>
      <c r="F9732" t="s">
        <v>481</v>
      </c>
      <c r="H9732" s="12">
        <v>3.5227018545059199</v>
      </c>
      <c r="I9732" s="20">
        <v>0.36849691206929103</v>
      </c>
      <c r="J9732" s="28">
        <v>0.71250274722433404</v>
      </c>
      <c r="K9732" s="29">
        <v>0.98289565623980701</v>
      </c>
    </row>
    <row r="9733" spans="1:11" x14ac:dyDescent="0.35">
      <c r="A9733" s="9" t="str">
        <f>HYPERLINK("http://www.ensembl.org/id/WBGene00201902", "WBGene00201902")</f>
        <v>WBGene00201902</v>
      </c>
      <c r="B9733" s="9"/>
      <c r="C9733" s="9"/>
      <c r="D9733" t="str">
        <f>"F29F11.18"</f>
        <v>F29F11.18</v>
      </c>
      <c r="F9733" t="s">
        <v>481</v>
      </c>
      <c r="H9733" s="12">
        <v>2.3893468495514898</v>
      </c>
      <c r="I9733" s="20">
        <v>0.25323547253672701</v>
      </c>
      <c r="J9733" s="28">
        <v>0.80008625651646104</v>
      </c>
      <c r="K9733" s="29">
        <v>0.98289565623980701</v>
      </c>
    </row>
    <row r="9734" spans="1:11" x14ac:dyDescent="0.35">
      <c r="A9734" s="9" t="str">
        <f>HYPERLINK("http://www.ensembl.org/id/WBGene00219209", "WBGene00219209")</f>
        <v>WBGene00219209</v>
      </c>
      <c r="B9734" s="9" t="str">
        <f>HYPERLINK("http://www.ncbi.nlm.nih.gov/gene/13214893", "13214893")</f>
        <v>13214893</v>
      </c>
      <c r="C9734" s="9"/>
      <c r="D9734" t="str">
        <f>"F29F11.20"</f>
        <v>F29F11.20</v>
      </c>
      <c r="F9734" t="s">
        <v>11</v>
      </c>
      <c r="H9734" s="12">
        <v>1.5502773919519499</v>
      </c>
      <c r="I9734" s="20">
        <v>0.56132385966351905</v>
      </c>
      <c r="J9734" s="28">
        <v>0.57457677907528704</v>
      </c>
      <c r="K9734" s="29">
        <v>0.98289565623980701</v>
      </c>
    </row>
    <row r="9735" spans="1:11" x14ac:dyDescent="0.35">
      <c r="A9735" s="9" t="str">
        <f>HYPERLINK("http://www.ensembl.org/id/WBGene00197398", "WBGene00197398")</f>
        <v>WBGene00197398</v>
      </c>
      <c r="B9735" s="9"/>
      <c r="C9735" s="9"/>
      <c r="D9735" t="str">
        <f>"F29F11.9"</f>
        <v>F29F11.9</v>
      </c>
      <c r="F9735" t="s">
        <v>481</v>
      </c>
      <c r="H9735" s="12">
        <v>4.4368407117627902</v>
      </c>
      <c r="I9735" s="20">
        <v>0.43709475933309699</v>
      </c>
      <c r="J9735" s="28">
        <v>0.66204262779770495</v>
      </c>
      <c r="K9735" s="29">
        <v>0.98289565623980701</v>
      </c>
    </row>
    <row r="9736" spans="1:11" x14ac:dyDescent="0.35">
      <c r="A9736" s="9" t="str">
        <f>HYPERLINK("http://www.ensembl.org/id/WBGene00017930", "WBGene00017930")</f>
        <v>WBGene00017930</v>
      </c>
      <c r="B9736" s="9" t="str">
        <f>HYPERLINK("http://www.ncbi.nlm.nih.gov/gene/185122", "185122")</f>
        <v>185122</v>
      </c>
      <c r="C9736" s="9"/>
      <c r="D9736" t="str">
        <f>"F29G9.1"</f>
        <v>F29G9.1</v>
      </c>
      <c r="F9736" t="s">
        <v>11</v>
      </c>
      <c r="H9736" s="12">
        <v>1.3880372282246201</v>
      </c>
      <c r="I9736" s="20">
        <v>0.50620697955371197</v>
      </c>
      <c r="J9736" s="28">
        <v>0.61271135580925695</v>
      </c>
      <c r="K9736" s="29">
        <v>0.98289565623980701</v>
      </c>
    </row>
    <row r="9737" spans="1:11" x14ac:dyDescent="0.35">
      <c r="A9737" s="9" t="str">
        <f>HYPERLINK("http://www.ensembl.org/id/WBGene00198050", "WBGene00198050")</f>
        <v>WBGene00198050</v>
      </c>
      <c r="B9737" s="9"/>
      <c r="C9737" s="9"/>
      <c r="D9737" t="str">
        <f>"F29G9.12"</f>
        <v>F29G9.12</v>
      </c>
      <c r="F9737" t="s">
        <v>481</v>
      </c>
      <c r="H9737" s="12">
        <v>-11.973997965956601</v>
      </c>
      <c r="I9737" s="20">
        <v>-0.77726113562491606</v>
      </c>
      <c r="J9737" s="28">
        <v>0.437004719503373</v>
      </c>
      <c r="K9737" s="29">
        <v>0.98289565623980701</v>
      </c>
    </row>
    <row r="9738" spans="1:11" x14ac:dyDescent="0.35">
      <c r="A9738" s="9" t="str">
        <f>HYPERLINK("http://www.ensembl.org/id/WBGene00200503", "WBGene00200503")</f>
        <v>WBGene00200503</v>
      </c>
      <c r="B9738" s="9"/>
      <c r="C9738" s="9"/>
      <c r="D9738" t="str">
        <f>"F29G9.14"</f>
        <v>F29G9.14</v>
      </c>
      <c r="F9738" t="s">
        <v>481</v>
      </c>
      <c r="H9738" s="12">
        <v>-6.5194775637745801</v>
      </c>
      <c r="I9738" s="20">
        <v>-0.95874034938721198</v>
      </c>
      <c r="J9738" s="28">
        <v>0.33768956613482798</v>
      </c>
      <c r="K9738" s="29">
        <v>0.98289565623980701</v>
      </c>
    </row>
    <row r="9739" spans="1:11" x14ac:dyDescent="0.35">
      <c r="A9739" s="9" t="str">
        <f>HYPERLINK("http://www.ensembl.org/id/WBGene00009268", "WBGene00009268")</f>
        <v>WBGene00009268</v>
      </c>
      <c r="B9739" s="9" t="str">
        <f>HYPERLINK("http://www.ncbi.nlm.nih.gov/gene/3565926", "3565926")</f>
        <v>3565926</v>
      </c>
      <c r="C9739" s="9"/>
      <c r="D9739" t="str">
        <f>"F30A10.11"</f>
        <v>F30A10.11</v>
      </c>
      <c r="F9739" t="s">
        <v>11</v>
      </c>
      <c r="H9739" s="12">
        <v>1.21587014392743</v>
      </c>
      <c r="I9739" s="20">
        <v>0.375330925459822</v>
      </c>
      <c r="J9739" s="28">
        <v>0.707414369293486</v>
      </c>
      <c r="K9739" s="29">
        <v>0.98289565623980701</v>
      </c>
    </row>
    <row r="9740" spans="1:11" x14ac:dyDescent="0.35">
      <c r="A9740" s="9" t="str">
        <f>HYPERLINK("http://www.ensembl.org/id/WBGene00045473", "WBGene00045473")</f>
        <v>WBGene00045473</v>
      </c>
      <c r="B9740" s="9" t="str">
        <f>HYPERLINK("http://www.ncbi.nlm.nih.gov/gene/6418588", "6418588")</f>
        <v>6418588</v>
      </c>
      <c r="C9740" s="9"/>
      <c r="D9740" t="str">
        <f>"F30A10.14"</f>
        <v>F30A10.14</v>
      </c>
      <c r="F9740" t="s">
        <v>11</v>
      </c>
      <c r="H9740" s="12">
        <v>1.09642265667768</v>
      </c>
      <c r="I9740" s="20">
        <v>0.475645527214898</v>
      </c>
      <c r="J9740" s="28">
        <v>0.63432693480191504</v>
      </c>
      <c r="K9740" s="29">
        <v>0.98289565623980701</v>
      </c>
    </row>
    <row r="9741" spans="1:11" x14ac:dyDescent="0.35">
      <c r="A9741" s="9" t="str">
        <f>HYPERLINK("http://www.ensembl.org/id/WBGene00009263", "WBGene00009263")</f>
        <v>WBGene00009263</v>
      </c>
      <c r="B9741" s="9" t="str">
        <f>HYPERLINK("http://www.ncbi.nlm.nih.gov/gene/185124", "185124")</f>
        <v>185124</v>
      </c>
      <c r="C9741" s="9"/>
      <c r="D9741" t="str">
        <f>"F30A10.4"</f>
        <v>F30A10.4</v>
      </c>
      <c r="F9741" t="s">
        <v>11</v>
      </c>
      <c r="G9741" t="s">
        <v>602</v>
      </c>
      <c r="H9741" s="12">
        <v>-1.57768514842338</v>
      </c>
      <c r="I9741" s="20">
        <v>-0.65643358624876402</v>
      </c>
      <c r="J9741" s="28">
        <v>0.51154518633019397</v>
      </c>
      <c r="K9741" s="29">
        <v>0.98289565623980701</v>
      </c>
    </row>
    <row r="9742" spans="1:11" x14ac:dyDescent="0.35">
      <c r="A9742" s="9" t="str">
        <f>HYPERLINK("http://www.ensembl.org/id/WBGene00009266", "WBGene00009266")</f>
        <v>WBGene00009266</v>
      </c>
      <c r="B9742" s="9" t="str">
        <f>HYPERLINK("http://www.ncbi.nlm.nih.gov/gene/172780", "172780")</f>
        <v>172780</v>
      </c>
      <c r="C9742" s="9" t="str">
        <f>HYPERLINK("http://www.ncbi.nlm.nih.gov/gene/51077", "51077")</f>
        <v>51077</v>
      </c>
      <c r="D9742" t="str">
        <f>"F30A10.9"</f>
        <v>F30A10.9</v>
      </c>
      <c r="F9742" t="s">
        <v>11</v>
      </c>
      <c r="G9742" t="s">
        <v>9072</v>
      </c>
      <c r="H9742" s="12">
        <v>-1.218507759438</v>
      </c>
      <c r="I9742" s="20">
        <v>-0.95250809532326897</v>
      </c>
      <c r="J9742" s="28">
        <v>0.34083936234358098</v>
      </c>
      <c r="K9742" s="29">
        <v>0.98289565623980701</v>
      </c>
    </row>
    <row r="9743" spans="1:11" x14ac:dyDescent="0.35">
      <c r="A9743" s="9" t="str">
        <f>HYPERLINK("http://www.ensembl.org/id/WBGene00017934", "WBGene00017934")</f>
        <v>WBGene00017934</v>
      </c>
      <c r="B9743" s="9" t="str">
        <f>HYPERLINK("http://www.ncbi.nlm.nih.gov/gene/177185", "177185")</f>
        <v>177185</v>
      </c>
      <c r="C9743" s="9" t="str">
        <f>HYPERLINK("http://www.ncbi.nlm.nih.gov/gene/734", "734")</f>
        <v>734</v>
      </c>
      <c r="D9743" t="str">
        <f>"F30B5.4"</f>
        <v>F30B5.4</v>
      </c>
      <c r="F9743" t="s">
        <v>11</v>
      </c>
      <c r="G9743" t="s">
        <v>9579</v>
      </c>
      <c r="H9743" s="12">
        <v>-1.2606891427401801</v>
      </c>
      <c r="I9743" s="20">
        <v>-1.1883896518764401</v>
      </c>
      <c r="J9743" s="28">
        <v>0.23467993144211199</v>
      </c>
      <c r="K9743" s="29">
        <v>0.98289565623980701</v>
      </c>
    </row>
    <row r="9744" spans="1:11" x14ac:dyDescent="0.35">
      <c r="A9744" s="9" t="str">
        <f>HYPERLINK("http://www.ensembl.org/id/WBGene00009276", "WBGene00009276")</f>
        <v>WBGene00009276</v>
      </c>
      <c r="B9744" s="9" t="str">
        <f>HYPERLINK("http://www.ncbi.nlm.nih.gov/gene/172550", "172550")</f>
        <v>172550</v>
      </c>
      <c r="C9744" s="9"/>
      <c r="D9744" t="str">
        <f>"F30F8.9"</f>
        <v>F30F8.9</v>
      </c>
      <c r="F9744" t="s">
        <v>11</v>
      </c>
      <c r="G9744" t="s">
        <v>7865</v>
      </c>
      <c r="H9744" s="12">
        <v>-1.14891541058293</v>
      </c>
      <c r="I9744" s="20">
        <v>-0.62840499435883201</v>
      </c>
      <c r="J9744" s="28">
        <v>0.52973866616314202</v>
      </c>
      <c r="K9744" s="29">
        <v>0.98289565623980701</v>
      </c>
    </row>
    <row r="9745" spans="1:11" x14ac:dyDescent="0.35">
      <c r="A9745" s="9" t="str">
        <f>HYPERLINK("http://www.ensembl.org/id/WBGene00044288", "WBGene00044288")</f>
        <v>WBGene00044288</v>
      </c>
      <c r="B9745" s="9" t="str">
        <f>HYPERLINK("http://www.ncbi.nlm.nih.gov/gene/3565189", "3565189")</f>
        <v>3565189</v>
      </c>
      <c r="C9745" s="9"/>
      <c r="D9745" t="str">
        <f>"F30H5.5"</f>
        <v>F30H5.5</v>
      </c>
      <c r="F9745" t="s">
        <v>11</v>
      </c>
      <c r="H9745" s="12">
        <v>11.203884520596599</v>
      </c>
      <c r="I9745" s="20">
        <v>1.12037370079017</v>
      </c>
      <c r="J9745" s="28">
        <v>0.26255454719375898</v>
      </c>
      <c r="K9745" s="29">
        <v>0.98289565623980701</v>
      </c>
    </row>
    <row r="9746" spans="1:11" x14ac:dyDescent="0.35">
      <c r="A9746" s="9" t="str">
        <f>HYPERLINK("http://www.ensembl.org/id/WBGene00017938", "WBGene00017938")</f>
        <v>WBGene00017938</v>
      </c>
      <c r="B9746" s="9" t="str">
        <f>HYPERLINK("http://www.ncbi.nlm.nih.gov/gene/185135", "185135")</f>
        <v>185135</v>
      </c>
      <c r="C9746" s="9"/>
      <c r="D9746" t="str">
        <f>"F31A3.3"</f>
        <v>F31A3.3</v>
      </c>
      <c r="F9746" t="s">
        <v>11</v>
      </c>
      <c r="H9746" s="12">
        <v>-1.26854425999349</v>
      </c>
      <c r="I9746" s="20">
        <v>-0.75166994441824697</v>
      </c>
      <c r="J9746" s="28">
        <v>0.452249569249703</v>
      </c>
      <c r="K9746" s="29">
        <v>0.98289565623980701</v>
      </c>
    </row>
    <row r="9747" spans="1:11" x14ac:dyDescent="0.35">
      <c r="A9747" s="9" t="str">
        <f>HYPERLINK("http://www.ensembl.org/id/WBGene00017939", "WBGene00017939")</f>
        <v>WBGene00017939</v>
      </c>
      <c r="B9747" s="9" t="str">
        <f>HYPERLINK("http://www.ncbi.nlm.nih.gov/gene/181785", "181785")</f>
        <v>181785</v>
      </c>
      <c r="C9747" s="9"/>
      <c r="D9747" t="str">
        <f>"F31A3.5"</f>
        <v>F31A3.5</v>
      </c>
      <c r="F9747" t="s">
        <v>11</v>
      </c>
      <c r="H9747" s="12">
        <v>1.0610532554574399</v>
      </c>
      <c r="I9747" s="20">
        <v>0.27841082310008503</v>
      </c>
      <c r="J9747" s="28">
        <v>0.78069701219313503</v>
      </c>
      <c r="K9747" s="29">
        <v>0.98289565623980701</v>
      </c>
    </row>
    <row r="9748" spans="1:11" x14ac:dyDescent="0.35">
      <c r="A9748" s="9" t="str">
        <f>HYPERLINK("http://www.ensembl.org/id/WBGene00017941", "WBGene00017941")</f>
        <v>WBGene00017941</v>
      </c>
      <c r="B9748" s="9"/>
      <c r="C9748" s="9"/>
      <c r="D9748" t="str">
        <f>"F31A9.2"</f>
        <v>F31A9.2</v>
      </c>
      <c r="F9748" t="s">
        <v>1510</v>
      </c>
      <c r="H9748" s="12">
        <v>3.62851008734197</v>
      </c>
      <c r="I9748" s="20">
        <v>1.1557862685979901</v>
      </c>
      <c r="J9748" s="28">
        <v>0.24776859099106099</v>
      </c>
      <c r="K9748" s="29">
        <v>0.98289565623980701</v>
      </c>
    </row>
    <row r="9749" spans="1:11" x14ac:dyDescent="0.35">
      <c r="A9749" s="9" t="str">
        <f>HYPERLINK("http://www.ensembl.org/id/WBGene00200252", "WBGene00200252")</f>
        <v>WBGene00200252</v>
      </c>
      <c r="B9749" s="9"/>
      <c r="C9749" s="9"/>
      <c r="D9749" t="str">
        <f>"F31B12.6"</f>
        <v>F31B12.6</v>
      </c>
      <c r="F9749" t="s">
        <v>481</v>
      </c>
      <c r="H9749" s="12">
        <v>-2.4295389261469</v>
      </c>
      <c r="I9749" s="20">
        <v>-0.25808529976640998</v>
      </c>
      <c r="J9749" s="28">
        <v>0.79634107645457397</v>
      </c>
      <c r="K9749" s="29">
        <v>0.98289565623980701</v>
      </c>
    </row>
    <row r="9750" spans="1:11" x14ac:dyDescent="0.35">
      <c r="A9750" s="9" t="str">
        <f>HYPERLINK("http://www.ensembl.org/id/WBGene00009279", "WBGene00009279")</f>
        <v>WBGene00009279</v>
      </c>
      <c r="B9750" s="9" t="str">
        <f>HYPERLINK("http://www.ncbi.nlm.nih.gov/gene/185142", "185142")</f>
        <v>185142</v>
      </c>
      <c r="C9750" s="9"/>
      <c r="D9750" t="str">
        <f>"F31B9.2"</f>
        <v>F31B9.2</v>
      </c>
      <c r="F9750" t="s">
        <v>11</v>
      </c>
      <c r="H9750" s="12">
        <v>10.389700899309201</v>
      </c>
      <c r="I9750" s="20">
        <v>1.07656766792953</v>
      </c>
      <c r="J9750" s="28">
        <v>0.28167345506466701</v>
      </c>
      <c r="K9750" s="29">
        <v>0.98289565623980701</v>
      </c>
    </row>
    <row r="9751" spans="1:11" x14ac:dyDescent="0.35">
      <c r="A9751" s="9" t="str">
        <f>HYPERLINK("http://www.ensembl.org/id/WBGene00009281", "WBGene00009281")</f>
        <v>WBGene00009281</v>
      </c>
      <c r="B9751" s="9" t="str">
        <f>HYPERLINK("http://www.ncbi.nlm.nih.gov/gene/3565643", "3565643")</f>
        <v>3565643</v>
      </c>
      <c r="C9751" s="9"/>
      <c r="D9751" t="str">
        <f>"F31B9.4"</f>
        <v>F31B9.4</v>
      </c>
      <c r="F9751" t="s">
        <v>11</v>
      </c>
      <c r="H9751" s="12">
        <v>3.4917188327556898</v>
      </c>
      <c r="I9751" s="20">
        <v>0.38080453806645798</v>
      </c>
      <c r="J9751" s="28">
        <v>0.703348291649464</v>
      </c>
      <c r="K9751" s="29">
        <v>0.98289565623980701</v>
      </c>
    </row>
    <row r="9752" spans="1:11" x14ac:dyDescent="0.35">
      <c r="A9752" s="9" t="str">
        <f>HYPERLINK("http://www.ensembl.org/id/WBGene00009285", "WBGene00009285")</f>
        <v>WBGene00009285</v>
      </c>
      <c r="B9752" s="9" t="str">
        <f>HYPERLINK("http://www.ncbi.nlm.nih.gov/gene/173375", "173375")</f>
        <v>173375</v>
      </c>
      <c r="C9752" s="9" t="str">
        <f>HYPERLINK("http://www.ncbi.nlm.nih.gov/gene/9703", "9703")</f>
        <v>9703</v>
      </c>
      <c r="D9752" t="str">
        <f>"F31C3.3"</f>
        <v>F31C3.3</v>
      </c>
      <c r="F9752" t="s">
        <v>11</v>
      </c>
      <c r="H9752" s="12">
        <v>-1.0715644724715101</v>
      </c>
      <c r="I9752" s="20">
        <v>-0.370775142376846</v>
      </c>
      <c r="J9752" s="28">
        <v>0.71080501729161605</v>
      </c>
      <c r="K9752" s="29">
        <v>0.98289565623980701</v>
      </c>
    </row>
    <row r="9753" spans="1:11" x14ac:dyDescent="0.35">
      <c r="A9753" s="9" t="str">
        <f>HYPERLINK("http://www.ensembl.org/id/WBGene00199209", "WBGene00199209")</f>
        <v>WBGene00199209</v>
      </c>
      <c r="B9753" s="9"/>
      <c r="C9753" s="9"/>
      <c r="D9753" t="str">
        <f>"F31D4.10"</f>
        <v>F31D4.10</v>
      </c>
      <c r="F9753" t="s">
        <v>481</v>
      </c>
      <c r="H9753" s="12">
        <v>-2.4295389261469</v>
      </c>
      <c r="I9753" s="20">
        <v>-0.25808529976640998</v>
      </c>
      <c r="J9753" s="28">
        <v>0.79634107645457397</v>
      </c>
      <c r="K9753" s="29">
        <v>0.98289565623980701</v>
      </c>
    </row>
    <row r="9754" spans="1:11" x14ac:dyDescent="0.35">
      <c r="A9754" s="9" t="str">
        <f>HYPERLINK("http://www.ensembl.org/id/WBGene00009290", "WBGene00009290")</f>
        <v>WBGene00009290</v>
      </c>
      <c r="B9754" s="9" t="str">
        <f>HYPERLINK("http://www.ncbi.nlm.nih.gov/gene/180370", "180370")</f>
        <v>180370</v>
      </c>
      <c r="C9754" s="9" t="str">
        <f>HYPERLINK("http://www.ncbi.nlm.nih.gov/gene/79624", "79624")</f>
        <v>79624</v>
      </c>
      <c r="D9754" t="str">
        <f>"F31D4.2"</f>
        <v>F31D4.2</v>
      </c>
      <c r="F9754" t="s">
        <v>11</v>
      </c>
      <c r="G9754" t="s">
        <v>7212</v>
      </c>
      <c r="H9754" s="12">
        <v>-1.11395428259915</v>
      </c>
      <c r="I9754" s="20">
        <v>-0.57491910310706096</v>
      </c>
      <c r="J9754" s="28">
        <v>0.565346009637684</v>
      </c>
      <c r="K9754" s="29">
        <v>0.98289565623980701</v>
      </c>
    </row>
    <row r="9755" spans="1:11" x14ac:dyDescent="0.35">
      <c r="A9755" s="9" t="str">
        <f>HYPERLINK("http://www.ensembl.org/id/WBGene00009292", "WBGene00009292")</f>
        <v>WBGene00009292</v>
      </c>
      <c r="B9755" s="9" t="str">
        <f>HYPERLINK("http://www.ncbi.nlm.nih.gov/gene/180373", "180373")</f>
        <v>180373</v>
      </c>
      <c r="C9755" s="9" t="str">
        <f>HYPERLINK("http://www.ncbi.nlm.nih.gov/gene/400224", "400224")</f>
        <v>400224</v>
      </c>
      <c r="D9755" t="str">
        <f>"F31D4.5"</f>
        <v>F31D4.5</v>
      </c>
      <c r="E9755" t="s">
        <v>7361</v>
      </c>
      <c r="F9755" t="s">
        <v>11</v>
      </c>
      <c r="H9755" s="12">
        <v>-1.1217207164321801</v>
      </c>
      <c r="I9755" s="20">
        <v>-0.41043931314409998</v>
      </c>
      <c r="J9755" s="28">
        <v>0.68148371256545703</v>
      </c>
      <c r="K9755" s="29">
        <v>0.98289565623980701</v>
      </c>
    </row>
    <row r="9756" spans="1:11" x14ac:dyDescent="0.35">
      <c r="A9756" s="9" t="str">
        <f>HYPERLINK("http://www.ensembl.org/id/WBGene00017945", "WBGene00017945")</f>
        <v>WBGene00017945</v>
      </c>
      <c r="B9756" s="9" t="str">
        <f>HYPERLINK("http://www.ncbi.nlm.nih.gov/gene/173754", "173754")</f>
        <v>173754</v>
      </c>
      <c r="C9756" s="9"/>
      <c r="D9756" t="str">
        <f>"F31D5.2"</f>
        <v>F31D5.2</v>
      </c>
      <c r="F9756" t="s">
        <v>11</v>
      </c>
      <c r="G9756" t="s">
        <v>25</v>
      </c>
      <c r="H9756" s="12">
        <v>1.1339655157067701</v>
      </c>
      <c r="I9756" s="20">
        <v>0.36811707058804299</v>
      </c>
      <c r="J9756" s="28">
        <v>0.71278594277005403</v>
      </c>
      <c r="K9756" s="29">
        <v>0.98289565623980701</v>
      </c>
    </row>
    <row r="9757" spans="1:11" x14ac:dyDescent="0.35">
      <c r="A9757" s="9" t="str">
        <f>HYPERLINK("http://www.ensembl.org/id/WBGene00219317", "WBGene00219317")</f>
        <v>WBGene00219317</v>
      </c>
      <c r="B9757" s="9" t="str">
        <f>HYPERLINK("http://www.ncbi.nlm.nih.gov/gene/13189998", "13189998")</f>
        <v>13189998</v>
      </c>
      <c r="C9757" s="9"/>
      <c r="D9757" t="str">
        <f>"F31E3.12"</f>
        <v>F31E3.12</v>
      </c>
      <c r="F9757" t="s">
        <v>11</v>
      </c>
      <c r="G9757" t="s">
        <v>25</v>
      </c>
      <c r="H9757" s="12">
        <v>1.3083937473214799</v>
      </c>
      <c r="I9757" s="20">
        <v>0.73032587711333197</v>
      </c>
      <c r="J9757" s="28">
        <v>0.465191014340324</v>
      </c>
      <c r="K9757" s="29">
        <v>0.98289565623980701</v>
      </c>
    </row>
    <row r="9758" spans="1:11" x14ac:dyDescent="0.35">
      <c r="A9758" s="9" t="str">
        <f>HYPERLINK("http://www.ensembl.org/id/WBGene00017952", "WBGene00017952")</f>
        <v>WBGene00017952</v>
      </c>
      <c r="B9758" s="9" t="str">
        <f>HYPERLINK("http://www.ncbi.nlm.nih.gov/gene/185154", "185154")</f>
        <v>185154</v>
      </c>
      <c r="C9758" s="9"/>
      <c r="D9758" t="str">
        <f>"F31E3.6"</f>
        <v>F31E3.6</v>
      </c>
      <c r="F9758" t="s">
        <v>11</v>
      </c>
      <c r="G9758" t="s">
        <v>25</v>
      </c>
      <c r="H9758" s="12">
        <v>1.1139593503812899</v>
      </c>
      <c r="I9758" s="20">
        <v>0.33223924993236698</v>
      </c>
      <c r="J9758" s="28">
        <v>0.73970860824572104</v>
      </c>
      <c r="K9758" s="29">
        <v>0.98289565623980701</v>
      </c>
    </row>
    <row r="9759" spans="1:11" x14ac:dyDescent="0.35">
      <c r="A9759" s="9" t="str">
        <f>HYPERLINK("http://www.ensembl.org/id/WBGene00195896", "WBGene00195896")</f>
        <v>WBGene00195896</v>
      </c>
      <c r="B9759" s="9"/>
      <c r="C9759" s="9"/>
      <c r="D9759" t="str">
        <f>"F31E3.8"</f>
        <v>F31E3.8</v>
      </c>
      <c r="F9759" t="s">
        <v>481</v>
      </c>
      <c r="H9759" s="12">
        <v>-5.5794491025289696</v>
      </c>
      <c r="I9759" s="20">
        <v>-0.504738274115201</v>
      </c>
      <c r="J9759" s="28">
        <v>0.61374267489732603</v>
      </c>
      <c r="K9759" s="29">
        <v>0.98289565623980701</v>
      </c>
    </row>
    <row r="9760" spans="1:11" x14ac:dyDescent="0.35">
      <c r="A9760" s="9" t="str">
        <f>HYPERLINK("http://www.ensembl.org/id/WBGene00197883", "WBGene00197883")</f>
        <v>WBGene00197883</v>
      </c>
      <c r="B9760" s="9"/>
      <c r="C9760" s="9"/>
      <c r="D9760" t="str">
        <f>"F31E8.13"</f>
        <v>F31E8.13</v>
      </c>
      <c r="F9760" t="s">
        <v>481</v>
      </c>
      <c r="H9760" s="12">
        <v>-2.4295389261469</v>
      </c>
      <c r="I9760" s="20">
        <v>-0.25808529976640998</v>
      </c>
      <c r="J9760" s="28">
        <v>0.79634107645457397</v>
      </c>
      <c r="K9760" s="29">
        <v>0.98289565623980701</v>
      </c>
    </row>
    <row r="9761" spans="1:11" x14ac:dyDescent="0.35">
      <c r="A9761" s="9" t="str">
        <f>HYPERLINK("http://www.ensembl.org/id/WBGene00198268", "WBGene00198268")</f>
        <v>WBGene00198268</v>
      </c>
      <c r="B9761" s="9"/>
      <c r="C9761" s="9"/>
      <c r="D9761" t="str">
        <f>"F31E8.14"</f>
        <v>F31E8.14</v>
      </c>
      <c r="F9761" t="s">
        <v>481</v>
      </c>
      <c r="H9761" s="12">
        <v>3.6645215954135</v>
      </c>
      <c r="I9761" s="20">
        <v>0.37967131826092498</v>
      </c>
      <c r="J9761" s="28">
        <v>0.70418941338960395</v>
      </c>
      <c r="K9761" s="29">
        <v>0.98289565623980701</v>
      </c>
    </row>
    <row r="9762" spans="1:11" x14ac:dyDescent="0.35">
      <c r="A9762" s="9" t="str">
        <f>HYPERLINK("http://www.ensembl.org/id/WBGene00199584", "WBGene00199584")</f>
        <v>WBGene00199584</v>
      </c>
      <c r="B9762" s="9"/>
      <c r="C9762" s="9"/>
      <c r="D9762" t="str">
        <f>"F31E8.16"</f>
        <v>F31E8.16</v>
      </c>
      <c r="F9762" t="s">
        <v>481</v>
      </c>
      <c r="H9762" s="12">
        <v>3.5227018545059199</v>
      </c>
      <c r="I9762" s="20">
        <v>0.36849691206929103</v>
      </c>
      <c r="J9762" s="28">
        <v>0.71250274722433404</v>
      </c>
      <c r="K9762" s="29">
        <v>0.98289565623980701</v>
      </c>
    </row>
    <row r="9763" spans="1:11" x14ac:dyDescent="0.35">
      <c r="A9763" s="9" t="str">
        <f>HYPERLINK("http://www.ensembl.org/id/WBGene00200818", "WBGene00200818")</f>
        <v>WBGene00200818</v>
      </c>
      <c r="B9763" s="9"/>
      <c r="C9763" s="9"/>
      <c r="D9763" t="str">
        <f>"F31E8.18"</f>
        <v>F31E8.18</v>
      </c>
      <c r="F9763" t="s">
        <v>481</v>
      </c>
      <c r="H9763" s="12">
        <v>4.4368407117627902</v>
      </c>
      <c r="I9763" s="20">
        <v>0.43709475933309699</v>
      </c>
      <c r="J9763" s="28">
        <v>0.66204262779770495</v>
      </c>
      <c r="K9763" s="29">
        <v>0.98289565623980701</v>
      </c>
    </row>
    <row r="9764" spans="1:11" x14ac:dyDescent="0.35">
      <c r="A9764" s="9" t="str">
        <f>HYPERLINK("http://www.ensembl.org/id/WBGene00201247", "WBGene00201247")</f>
        <v>WBGene00201247</v>
      </c>
      <c r="B9764" s="9"/>
      <c r="C9764" s="9"/>
      <c r="D9764" t="str">
        <f>"F31E8.19"</f>
        <v>F31E8.19</v>
      </c>
      <c r="F9764" t="s">
        <v>481</v>
      </c>
      <c r="H9764" s="12">
        <v>2.3893468495514898</v>
      </c>
      <c r="I9764" s="20">
        <v>0.25323547253672701</v>
      </c>
      <c r="J9764" s="28">
        <v>0.80008625651646104</v>
      </c>
      <c r="K9764" s="29">
        <v>0.98289565623980701</v>
      </c>
    </row>
    <row r="9765" spans="1:11" x14ac:dyDescent="0.35">
      <c r="A9765" s="9" t="str">
        <f>HYPERLINK("http://www.ensembl.org/id/WBGene00017955", "WBGene00017955")</f>
        <v>WBGene00017955</v>
      </c>
      <c r="B9765" s="9" t="str">
        <f>HYPERLINK("http://www.ncbi.nlm.nih.gov/gene/174119", "174119")</f>
        <v>174119</v>
      </c>
      <c r="C9765" s="9"/>
      <c r="D9765" t="str">
        <f>"F31E8.5"</f>
        <v>F31E8.5</v>
      </c>
      <c r="F9765" t="s">
        <v>11</v>
      </c>
      <c r="H9765" s="12">
        <v>-1.3889724708115601</v>
      </c>
      <c r="I9765" s="20">
        <v>-0.31518661829821099</v>
      </c>
      <c r="J9765" s="28">
        <v>0.75261996520810004</v>
      </c>
      <c r="K9765" s="29">
        <v>0.98289565623980701</v>
      </c>
    </row>
    <row r="9766" spans="1:11" x14ac:dyDescent="0.35">
      <c r="A9766" s="9" t="str">
        <f>HYPERLINK("http://www.ensembl.org/id/WBGene00017956", "WBGene00017956")</f>
        <v>WBGene00017956</v>
      </c>
      <c r="B9766" s="9"/>
      <c r="C9766" s="9"/>
      <c r="D9766" t="str">
        <f>"F31E8.6"</f>
        <v>F31E8.6</v>
      </c>
      <c r="F9766" t="s">
        <v>80</v>
      </c>
      <c r="H9766" s="12">
        <v>4.7652567231308103</v>
      </c>
      <c r="I9766" s="20">
        <v>0.70605049593038005</v>
      </c>
      <c r="J9766" s="28">
        <v>0.48015673564050299</v>
      </c>
      <c r="K9766" s="29">
        <v>0.98289565623980701</v>
      </c>
    </row>
    <row r="9767" spans="1:11" x14ac:dyDescent="0.35">
      <c r="A9767" s="9" t="str">
        <f>HYPERLINK("http://www.ensembl.org/id/WBGene00195594", "WBGene00195594")</f>
        <v>WBGene00195594</v>
      </c>
      <c r="B9767" s="9"/>
      <c r="C9767" s="9"/>
      <c r="D9767" t="str">
        <f>"F31E8.7"</f>
        <v>F31E8.7</v>
      </c>
      <c r="F9767" t="s">
        <v>481</v>
      </c>
      <c r="H9767" s="12">
        <v>2.3893468495514898</v>
      </c>
      <c r="I9767" s="20">
        <v>0.25323547253672701</v>
      </c>
      <c r="J9767" s="28">
        <v>0.80008625651646104</v>
      </c>
      <c r="K9767" s="29">
        <v>0.98289565623980701</v>
      </c>
    </row>
    <row r="9768" spans="1:11" x14ac:dyDescent="0.35">
      <c r="A9768" s="9" t="str">
        <f>HYPERLINK("http://www.ensembl.org/id/WBGene00009296", "WBGene00009296")</f>
        <v>WBGene00009296</v>
      </c>
      <c r="B9768" s="9" t="str">
        <f>HYPERLINK("http://www.ncbi.nlm.nih.gov/gene/185160", "185160")</f>
        <v>185160</v>
      </c>
      <c r="C9768" s="9"/>
      <c r="D9768" t="str">
        <f>"F31E9.3"</f>
        <v>F31E9.3</v>
      </c>
      <c r="F9768" t="s">
        <v>11</v>
      </c>
      <c r="G9768" t="s">
        <v>54</v>
      </c>
      <c r="H9768" s="12">
        <v>-1.5900219594653</v>
      </c>
      <c r="I9768" s="20">
        <v>-1.1380320444510099</v>
      </c>
      <c r="J9768" s="28">
        <v>0.25510710191515801</v>
      </c>
      <c r="K9768" s="29">
        <v>0.98289565623980701</v>
      </c>
    </row>
    <row r="9769" spans="1:11" x14ac:dyDescent="0.35">
      <c r="A9769" s="9" t="str">
        <f>HYPERLINK("http://www.ensembl.org/id/WBGene00017960", "WBGene00017960")</f>
        <v>WBGene00017960</v>
      </c>
      <c r="B9769" s="9" t="str">
        <f>HYPERLINK("http://www.ncbi.nlm.nih.gov/gene/185169", "185169")</f>
        <v>185169</v>
      </c>
      <c r="C9769" s="9"/>
      <c r="D9769" t="str">
        <f>"F31F4.11"</f>
        <v>F31F4.11</v>
      </c>
      <c r="F9769" t="s">
        <v>11</v>
      </c>
      <c r="G9769" t="s">
        <v>4254</v>
      </c>
      <c r="H9769" s="12">
        <v>5.4058944669092801</v>
      </c>
      <c r="I9769" s="20">
        <v>0.49762513753689303</v>
      </c>
      <c r="J9769" s="28">
        <v>0.61874828254921799</v>
      </c>
      <c r="K9769" s="29">
        <v>0.98289565623980701</v>
      </c>
    </row>
    <row r="9770" spans="1:11" x14ac:dyDescent="0.35">
      <c r="A9770" s="9" t="str">
        <f>HYPERLINK("http://www.ensembl.org/id/WBGene00017963", "WBGene00017963")</f>
        <v>WBGene00017963</v>
      </c>
      <c r="B9770" s="9" t="str">
        <f>HYPERLINK("http://www.ncbi.nlm.nih.gov/gene/185174", "185174")</f>
        <v>185174</v>
      </c>
      <c r="C9770" s="9"/>
      <c r="D9770" t="str">
        <f>"F31F4.17"</f>
        <v>F31F4.17</v>
      </c>
      <c r="F9770" t="s">
        <v>11</v>
      </c>
      <c r="G9770" t="s">
        <v>4254</v>
      </c>
      <c r="H9770" s="12">
        <v>3.1512205255284802</v>
      </c>
      <c r="I9770" s="20">
        <v>0.82362926970463002</v>
      </c>
      <c r="J9770" s="28">
        <v>0.41015023960580999</v>
      </c>
      <c r="K9770" s="29">
        <v>0.98289565623980701</v>
      </c>
    </row>
    <row r="9771" spans="1:11" x14ac:dyDescent="0.35">
      <c r="A9771" s="9" t="str">
        <f>HYPERLINK("http://www.ensembl.org/id/WBGene00017965", "WBGene00017965")</f>
        <v>WBGene00017965</v>
      </c>
      <c r="B9771" s="9" t="str">
        <f>HYPERLINK("http://www.ncbi.nlm.nih.gov/gene/179015", "179015")</f>
        <v>179015</v>
      </c>
      <c r="C9771" s="9"/>
      <c r="D9771" t="str">
        <f>"F31F7.2"</f>
        <v>F31F7.2</v>
      </c>
      <c r="F9771" t="s">
        <v>11</v>
      </c>
      <c r="G9771" t="s">
        <v>25</v>
      </c>
      <c r="H9771" s="12">
        <v>1.2054909846578401</v>
      </c>
      <c r="I9771" s="20">
        <v>0.37248127943471199</v>
      </c>
      <c r="J9771" s="28">
        <v>0.709534547732383</v>
      </c>
      <c r="K9771" s="29">
        <v>0.98289565623980701</v>
      </c>
    </row>
    <row r="9772" spans="1:11" x14ac:dyDescent="0.35">
      <c r="A9772" s="9" t="str">
        <f>HYPERLINK("http://www.ensembl.org/id/WBGene00198718", "WBGene00198718")</f>
        <v>WBGene00198718</v>
      </c>
      <c r="B9772" s="9"/>
      <c r="C9772" s="9"/>
      <c r="D9772" t="str">
        <f>"F31F7.7"</f>
        <v>F31F7.7</v>
      </c>
      <c r="F9772" t="s">
        <v>481</v>
      </c>
      <c r="H9772" s="12">
        <v>-10.193900028282499</v>
      </c>
      <c r="I9772" s="20">
        <v>-1.05777021223459</v>
      </c>
      <c r="J9772" s="28">
        <v>0.290160216264233</v>
      </c>
      <c r="K9772" s="29">
        <v>0.98289565623980701</v>
      </c>
    </row>
    <row r="9773" spans="1:11" x14ac:dyDescent="0.35">
      <c r="A9773" s="9" t="str">
        <f>HYPERLINK("http://www.ensembl.org/id/WBGene00198940", "WBGene00198940")</f>
        <v>WBGene00198940</v>
      </c>
      <c r="B9773" s="9"/>
      <c r="C9773" s="9"/>
      <c r="D9773" t="str">
        <f>"F31F7.8"</f>
        <v>F31F7.8</v>
      </c>
      <c r="F9773" t="s">
        <v>481</v>
      </c>
      <c r="H9773" s="12">
        <v>-2.4295389261469</v>
      </c>
      <c r="I9773" s="20">
        <v>-0.25808529976640998</v>
      </c>
      <c r="J9773" s="28">
        <v>0.79634107645457397</v>
      </c>
      <c r="K9773" s="29">
        <v>0.98289565623980701</v>
      </c>
    </row>
    <row r="9774" spans="1:11" x14ac:dyDescent="0.35">
      <c r="A9774" s="9" t="str">
        <f>HYPERLINK("http://www.ensembl.org/id/WBGene00235334", "WBGene00235334")</f>
        <v>WBGene00235334</v>
      </c>
      <c r="B9774" s="9"/>
      <c r="C9774" s="9"/>
      <c r="D9774" t="str">
        <f>"F31F7.9"</f>
        <v>F31F7.9</v>
      </c>
      <c r="F9774" t="s">
        <v>2735</v>
      </c>
      <c r="H9774" s="12">
        <v>-1.3547297711047099</v>
      </c>
      <c r="I9774" s="20">
        <v>-0.53409727231843196</v>
      </c>
      <c r="J9774" s="28">
        <v>0.59327423683554104</v>
      </c>
      <c r="K9774" s="29">
        <v>0.98289565623980701</v>
      </c>
    </row>
    <row r="9775" spans="1:11" x14ac:dyDescent="0.35">
      <c r="A9775" s="9" t="str">
        <f>HYPERLINK("http://www.ensembl.org/id/WBGene00009307", "WBGene00009307")</f>
        <v>WBGene00009307</v>
      </c>
      <c r="B9775" s="9" t="str">
        <f>HYPERLINK("http://www.ncbi.nlm.nih.gov/gene/174959", "174959")</f>
        <v>174959</v>
      </c>
      <c r="C9775" s="9"/>
      <c r="D9775" t="str">
        <f>"F32A11.1"</f>
        <v>F32A11.1</v>
      </c>
      <c r="F9775" t="s">
        <v>11</v>
      </c>
      <c r="G9775" t="s">
        <v>3509</v>
      </c>
      <c r="H9775" s="12">
        <v>-1.1643838685435299</v>
      </c>
      <c r="I9775" s="20">
        <v>-0.79936439828443295</v>
      </c>
      <c r="J9775" s="28">
        <v>0.42407914767958699</v>
      </c>
      <c r="K9775" s="29">
        <v>0.98289565623980701</v>
      </c>
    </row>
    <row r="9776" spans="1:11" x14ac:dyDescent="0.35">
      <c r="A9776" s="9" t="str">
        <f>HYPERLINK("http://www.ensembl.org/id/WBGene00009309", "WBGene00009309")</f>
        <v>WBGene00009309</v>
      </c>
      <c r="B9776" s="9"/>
      <c r="C9776" s="9"/>
      <c r="D9776" t="str">
        <f>"F32A11.4"</f>
        <v>F32A11.4</v>
      </c>
      <c r="F9776" t="s">
        <v>80</v>
      </c>
      <c r="H9776" s="12">
        <v>2.4578120077400301</v>
      </c>
      <c r="I9776" s="20">
        <v>0.26093350314551</v>
      </c>
      <c r="J9776" s="28">
        <v>0.79414378780213601</v>
      </c>
      <c r="K9776" s="29">
        <v>0.98289565623980701</v>
      </c>
    </row>
    <row r="9777" spans="1:11" x14ac:dyDescent="0.35">
      <c r="A9777" s="9" t="str">
        <f>HYPERLINK("http://www.ensembl.org/id/WBGene00009310", "WBGene00009310")</f>
        <v>WBGene00009310</v>
      </c>
      <c r="B9777" s="9"/>
      <c r="C9777" s="9"/>
      <c r="D9777" t="str">
        <f>"F32A11.5"</f>
        <v>F32A11.5</v>
      </c>
      <c r="F9777" t="s">
        <v>80</v>
      </c>
      <c r="H9777" s="12">
        <v>-4.1015877949906301</v>
      </c>
      <c r="I9777" s="20">
        <v>-0.94858809982515102</v>
      </c>
      <c r="J9777" s="28">
        <v>0.34283014578030402</v>
      </c>
      <c r="K9777" s="29">
        <v>0.98289565623980701</v>
      </c>
    </row>
    <row r="9778" spans="1:11" x14ac:dyDescent="0.35">
      <c r="A9778" s="9" t="str">
        <f>HYPERLINK("http://www.ensembl.org/id/WBGene00017969", "WBGene00017969")</f>
        <v>WBGene00017969</v>
      </c>
      <c r="B9778" s="9" t="str">
        <f>HYPERLINK("http://www.ncbi.nlm.nih.gov/gene/174189", "174189")</f>
        <v>174189</v>
      </c>
      <c r="C9778" s="9"/>
      <c r="D9778" t="str">
        <f>"F32A5.3"</f>
        <v>F32A5.3</v>
      </c>
      <c r="E9778" t="s">
        <v>5451</v>
      </c>
      <c r="F9778" t="s">
        <v>11</v>
      </c>
      <c r="G9778" t="s">
        <v>891</v>
      </c>
      <c r="H9778" s="12">
        <v>1.1627785267745101</v>
      </c>
      <c r="I9778" s="20">
        <v>0.64902318494301003</v>
      </c>
      <c r="J9778" s="28">
        <v>0.51632339039192798</v>
      </c>
      <c r="K9778" s="29">
        <v>0.98289565623980701</v>
      </c>
    </row>
    <row r="9779" spans="1:11" x14ac:dyDescent="0.35">
      <c r="A9779" s="9" t="str">
        <f>HYPERLINK("http://www.ensembl.org/id/WBGene00017970", "WBGene00017970")</f>
        <v>WBGene00017970</v>
      </c>
      <c r="B9779" s="9" t="str">
        <f>HYPERLINK("http://www.ncbi.nlm.nih.gov/gene/174188", "174188")</f>
        <v>174188</v>
      </c>
      <c r="C9779" s="9"/>
      <c r="D9779" t="str">
        <f>"F32A5.4"</f>
        <v>F32A5.4</v>
      </c>
      <c r="F9779" t="s">
        <v>11</v>
      </c>
      <c r="G9779" t="s">
        <v>27</v>
      </c>
      <c r="H9779" s="12">
        <v>1.11184192814899</v>
      </c>
      <c r="I9779" s="20">
        <v>0.59730265349140399</v>
      </c>
      <c r="J9779" s="28">
        <v>0.55030533320207897</v>
      </c>
      <c r="K9779" s="29">
        <v>0.98289565623980701</v>
      </c>
    </row>
    <row r="9780" spans="1:11" x14ac:dyDescent="0.35">
      <c r="A9780" s="9" t="str">
        <f>HYPERLINK("http://www.ensembl.org/id/WBGene00017971", "WBGene00017971")</f>
        <v>WBGene00017971</v>
      </c>
      <c r="B9780" s="9" t="str">
        <f>HYPERLINK("http://www.ncbi.nlm.nih.gov/gene/353400", "353400")</f>
        <v>353400</v>
      </c>
      <c r="C9780" s="9" t="str">
        <f>HYPERLINK("http://www.ncbi.nlm.nih.gov/gene/51741", "51741")</f>
        <v>51741</v>
      </c>
      <c r="D9780" t="str">
        <f>"F32A5.8"</f>
        <v>F32A5.8</v>
      </c>
      <c r="F9780" t="s">
        <v>11</v>
      </c>
      <c r="G9780" t="s">
        <v>489</v>
      </c>
      <c r="H9780" s="12">
        <v>-1.2439411883367899</v>
      </c>
      <c r="I9780" s="20">
        <v>-1.12556696531748</v>
      </c>
      <c r="J9780" s="28">
        <v>0.26034885747185599</v>
      </c>
      <c r="K9780" s="29">
        <v>0.98289565623980701</v>
      </c>
    </row>
    <row r="9781" spans="1:11" x14ac:dyDescent="0.35">
      <c r="A9781" s="9" t="str">
        <f>HYPERLINK("http://www.ensembl.org/id/WBGene00023021", "WBGene00023021")</f>
        <v>WBGene00023021</v>
      </c>
      <c r="B9781" s="9"/>
      <c r="C9781" s="9"/>
      <c r="D9781" t="str">
        <f>"F32A5.9"</f>
        <v>F32A5.9</v>
      </c>
      <c r="F9781" t="s">
        <v>481</v>
      </c>
      <c r="H9781" s="12">
        <v>-1.20817469825068</v>
      </c>
      <c r="I9781" s="20">
        <v>-0.87621271999785899</v>
      </c>
      <c r="J9781" s="28">
        <v>0.380914402763677</v>
      </c>
      <c r="K9781" s="29">
        <v>0.98289565623980701</v>
      </c>
    </row>
    <row r="9782" spans="1:11" x14ac:dyDescent="0.35">
      <c r="A9782" s="9" t="str">
        <f>HYPERLINK("http://www.ensembl.org/id/WBGene00199052", "WBGene00199052")</f>
        <v>WBGene00199052</v>
      </c>
      <c r="B9782" s="9"/>
      <c r="C9782" s="9"/>
      <c r="D9782" t="str">
        <f>"F32A6.10"</f>
        <v>F32A6.10</v>
      </c>
      <c r="F9782" t="s">
        <v>481</v>
      </c>
      <c r="H9782" s="12">
        <v>4.4368407117627902</v>
      </c>
      <c r="I9782" s="20">
        <v>0.43709475933309699</v>
      </c>
      <c r="J9782" s="28">
        <v>0.66204262779770495</v>
      </c>
      <c r="K9782" s="29">
        <v>0.98289565623980701</v>
      </c>
    </row>
    <row r="9783" spans="1:11" x14ac:dyDescent="0.35">
      <c r="A9783" s="9" t="str">
        <f>HYPERLINK("http://www.ensembl.org/id/WBGene00197463", "WBGene00197463")</f>
        <v>WBGene00197463</v>
      </c>
      <c r="B9783" s="9"/>
      <c r="C9783" s="9"/>
      <c r="D9783" t="str">
        <f>"F32A6.8"</f>
        <v>F32A6.8</v>
      </c>
      <c r="F9783" t="s">
        <v>481</v>
      </c>
      <c r="H9783" s="12">
        <v>-3.7261494131482999</v>
      </c>
      <c r="I9783" s="20">
        <v>-0.38454673129429601</v>
      </c>
      <c r="J9783" s="28">
        <v>0.70057326682554</v>
      </c>
      <c r="K9783" s="29">
        <v>0.98289565623980701</v>
      </c>
    </row>
    <row r="9784" spans="1:11" x14ac:dyDescent="0.35">
      <c r="A9784" s="9" t="str">
        <f>HYPERLINK("http://www.ensembl.org/id/WBGene00044245", "WBGene00044245")</f>
        <v>WBGene00044245</v>
      </c>
      <c r="B9784" s="9" t="str">
        <f>HYPERLINK("http://www.ncbi.nlm.nih.gov/gene/3565265", "3565265")</f>
        <v>3565265</v>
      </c>
      <c r="C9784" s="9"/>
      <c r="D9784" t="str">
        <f>"F32A7.8"</f>
        <v>F32A7.8</v>
      </c>
      <c r="F9784" t="s">
        <v>11</v>
      </c>
      <c r="G9784" t="s">
        <v>25</v>
      </c>
      <c r="H9784" s="12">
        <v>-12.8991976603241</v>
      </c>
      <c r="I9784" s="20">
        <v>-0.85434876045094199</v>
      </c>
      <c r="J9784" s="28">
        <v>0.39291177758245199</v>
      </c>
      <c r="K9784" s="29">
        <v>0.98289565623980701</v>
      </c>
    </row>
    <row r="9785" spans="1:11" x14ac:dyDescent="0.35">
      <c r="A9785" s="9" t="str">
        <f>HYPERLINK("http://www.ensembl.org/id/WBGene00202027", "WBGene00202027")</f>
        <v>WBGene00202027</v>
      </c>
      <c r="B9785" s="9"/>
      <c r="C9785" s="9"/>
      <c r="D9785" t="str">
        <f>"F32A7.9"</f>
        <v>F32A7.9</v>
      </c>
      <c r="F9785" t="s">
        <v>481</v>
      </c>
      <c r="H9785" s="12">
        <v>-5.5794491025289696</v>
      </c>
      <c r="I9785" s="20">
        <v>-0.504738274115201</v>
      </c>
      <c r="J9785" s="28">
        <v>0.61374267489732603</v>
      </c>
      <c r="K9785" s="29">
        <v>0.98289565623980701</v>
      </c>
    </row>
    <row r="9786" spans="1:11" x14ac:dyDescent="0.35">
      <c r="A9786" s="9" t="str">
        <f>HYPERLINK("http://www.ensembl.org/id/WBGene00009314", "WBGene00009314")</f>
        <v>WBGene00009314</v>
      </c>
      <c r="B9786" s="9" t="str">
        <f>HYPERLINK("http://www.ncbi.nlm.nih.gov/gene/185193", "185193")</f>
        <v>185193</v>
      </c>
      <c r="C9786" s="9"/>
      <c r="D9786" t="str">
        <f>"F32B4.4"</f>
        <v>F32B4.4</v>
      </c>
      <c r="F9786" t="s">
        <v>11</v>
      </c>
      <c r="G9786" t="s">
        <v>5764</v>
      </c>
      <c r="H9786" s="12">
        <v>1.1079413202486601</v>
      </c>
      <c r="I9786" s="20">
        <v>0.52942069979018602</v>
      </c>
      <c r="J9786" s="28">
        <v>0.59651364180002897</v>
      </c>
      <c r="K9786" s="29">
        <v>0.98289565623980701</v>
      </c>
    </row>
    <row r="9787" spans="1:11" x14ac:dyDescent="0.35">
      <c r="A9787" s="9" t="str">
        <f>HYPERLINK("http://www.ensembl.org/id/WBGene00009315", "WBGene00009315")</f>
        <v>WBGene00009315</v>
      </c>
      <c r="B9787" s="9" t="str">
        <f>HYPERLINK("http://www.ncbi.nlm.nih.gov/gene/185191", "185191")</f>
        <v>185191</v>
      </c>
      <c r="C9787" s="9"/>
      <c r="D9787" t="str">
        <f>"F32B4.5"</f>
        <v>F32B4.5</v>
      </c>
      <c r="F9787" t="s">
        <v>11</v>
      </c>
      <c r="G9787" t="s">
        <v>7005</v>
      </c>
      <c r="H9787" s="12">
        <v>-1.1019175463211901</v>
      </c>
      <c r="I9787" s="20">
        <v>-0.37207020562828502</v>
      </c>
      <c r="J9787" s="28">
        <v>0.70984057885451901</v>
      </c>
      <c r="K9787" s="29">
        <v>0.98289565623980701</v>
      </c>
    </row>
    <row r="9788" spans="1:11" x14ac:dyDescent="0.35">
      <c r="A9788" s="9" t="str">
        <f>HYPERLINK("http://www.ensembl.org/id/WBGene00017975", "WBGene00017975")</f>
        <v>WBGene00017975</v>
      </c>
      <c r="B9788" s="9" t="str">
        <f>HYPERLINK("http://www.ncbi.nlm.nih.gov/gene/171831", "171831")</f>
        <v>171831</v>
      </c>
      <c r="C9788" s="9"/>
      <c r="D9788" t="str">
        <f>"F32B5.1"</f>
        <v>F32B5.1</v>
      </c>
      <c r="F9788" t="s">
        <v>11</v>
      </c>
      <c r="G9788" t="s">
        <v>280</v>
      </c>
      <c r="H9788" s="12">
        <v>1.41660629104685</v>
      </c>
      <c r="I9788" s="20">
        <v>0.32960324065375601</v>
      </c>
      <c r="J9788" s="28">
        <v>0.74169977363650996</v>
      </c>
      <c r="K9788" s="29">
        <v>0.98289565623980701</v>
      </c>
    </row>
    <row r="9789" spans="1:11" x14ac:dyDescent="0.35">
      <c r="A9789" s="9" t="str">
        <f>HYPERLINK("http://www.ensembl.org/id/WBGene00199900", "WBGene00199900")</f>
        <v>WBGene00199900</v>
      </c>
      <c r="B9789" s="9"/>
      <c r="C9789" s="9"/>
      <c r="D9789" t="str">
        <f>"F32B5.13"</f>
        <v>F32B5.13</v>
      </c>
      <c r="F9789" t="s">
        <v>481</v>
      </c>
      <c r="H9789" s="12">
        <v>3.5227018545059199</v>
      </c>
      <c r="I9789" s="20">
        <v>0.36849691206929103</v>
      </c>
      <c r="J9789" s="28">
        <v>0.71250274722433404</v>
      </c>
      <c r="K9789" s="29">
        <v>0.98289565623980701</v>
      </c>
    </row>
    <row r="9790" spans="1:11" x14ac:dyDescent="0.35">
      <c r="A9790" s="9" t="str">
        <f>HYPERLINK("http://www.ensembl.org/id/WBGene00201569", "WBGene00201569")</f>
        <v>WBGene00201569</v>
      </c>
      <c r="B9790" s="9"/>
      <c r="C9790" s="9"/>
      <c r="D9790" t="str">
        <f>"F32B5.15"</f>
        <v>F32B5.15</v>
      </c>
      <c r="F9790" t="s">
        <v>481</v>
      </c>
      <c r="H9790" s="12">
        <v>-2.4991590031922399</v>
      </c>
      <c r="I9790" s="20">
        <v>-0.26577412737581302</v>
      </c>
      <c r="J9790" s="28">
        <v>0.79041317015736101</v>
      </c>
      <c r="K9790" s="29">
        <v>0.98289565623980701</v>
      </c>
    </row>
    <row r="9791" spans="1:11" x14ac:dyDescent="0.35">
      <c r="A9791" s="9" t="str">
        <f>HYPERLINK("http://www.ensembl.org/id/WBGene00017976", "WBGene00017976")</f>
        <v>WBGene00017976</v>
      </c>
      <c r="B9791" s="9" t="str">
        <f>HYPERLINK("http://www.ncbi.nlm.nih.gov/gene/185196", "185196")</f>
        <v>185196</v>
      </c>
      <c r="C9791" s="9"/>
      <c r="D9791" t="str">
        <f>"F32B5.2"</f>
        <v>F32B5.2</v>
      </c>
      <c r="F9791" t="s">
        <v>11</v>
      </c>
      <c r="H9791" s="12">
        <v>1.3311990638053199</v>
      </c>
      <c r="I9791" s="20">
        <v>0.60115485843579697</v>
      </c>
      <c r="J9791" s="28">
        <v>0.54773684777482501</v>
      </c>
      <c r="K9791" s="29">
        <v>0.98289565623980701</v>
      </c>
    </row>
    <row r="9792" spans="1:11" x14ac:dyDescent="0.35">
      <c r="A9792" s="9" t="str">
        <f>HYPERLINK("http://www.ensembl.org/id/WBGene00017977", "WBGene00017977")</f>
        <v>WBGene00017977</v>
      </c>
      <c r="B9792" s="9" t="str">
        <f>HYPERLINK("http://www.ncbi.nlm.nih.gov/gene/185197", "185197")</f>
        <v>185197</v>
      </c>
      <c r="C9792" s="9"/>
      <c r="D9792" t="str">
        <f>"F32B5.3"</f>
        <v>F32B5.3</v>
      </c>
      <c r="F9792" t="s">
        <v>11</v>
      </c>
      <c r="G9792" t="s">
        <v>25</v>
      </c>
      <c r="H9792" s="12">
        <v>-2.4682592226197801</v>
      </c>
      <c r="I9792" s="20">
        <v>-0.64895243377158995</v>
      </c>
      <c r="J9792" s="28">
        <v>0.51636912179196304</v>
      </c>
      <c r="K9792" s="29">
        <v>0.98289565623980701</v>
      </c>
    </row>
    <row r="9793" spans="1:11" x14ac:dyDescent="0.35">
      <c r="A9793" s="9" t="str">
        <f>HYPERLINK("http://www.ensembl.org/id/WBGene00017979", "WBGene00017979")</f>
        <v>WBGene00017979</v>
      </c>
      <c r="B9793" s="9" t="str">
        <f>HYPERLINK("http://www.ncbi.nlm.nih.gov/gene/171827", "171827")</f>
        <v>171827</v>
      </c>
      <c r="C9793" s="9"/>
      <c r="D9793" t="str">
        <f>"F32B5.6"</f>
        <v>F32B5.6</v>
      </c>
      <c r="F9793" t="s">
        <v>11</v>
      </c>
      <c r="H9793" s="12">
        <v>-1.2001229660836901</v>
      </c>
      <c r="I9793" s="20">
        <v>-1.01104801802101</v>
      </c>
      <c r="J9793" s="28">
        <v>0.31199344804593798</v>
      </c>
      <c r="K9793" s="29">
        <v>0.98289565623980701</v>
      </c>
    </row>
    <row r="9794" spans="1:11" x14ac:dyDescent="0.35">
      <c r="A9794" s="9" t="str">
        <f>HYPERLINK("http://www.ensembl.org/id/WBGene00009320", "WBGene00009320")</f>
        <v>WBGene00009320</v>
      </c>
      <c r="B9794" s="9" t="str">
        <f>HYPERLINK("http://www.ncbi.nlm.nih.gov/gene/177840", "177840")</f>
        <v>177840</v>
      </c>
      <c r="C9794" s="9" t="str">
        <f>HYPERLINK("http://www.ncbi.nlm.nih.gov/gene/8559", "8559")</f>
        <v>8559</v>
      </c>
      <c r="D9794" t="str">
        <f>"F32B6.3"</f>
        <v>F32B6.3</v>
      </c>
      <c r="F9794" t="s">
        <v>11</v>
      </c>
      <c r="G9794" t="s">
        <v>8292</v>
      </c>
      <c r="H9794" s="12">
        <v>-1.16949510142216</v>
      </c>
      <c r="I9794" s="20">
        <v>-0.62189794689002198</v>
      </c>
      <c r="J9794" s="28">
        <v>0.53400897523812096</v>
      </c>
      <c r="K9794" s="29">
        <v>0.98289565623980701</v>
      </c>
    </row>
    <row r="9795" spans="1:11" x14ac:dyDescent="0.35">
      <c r="A9795" s="9" t="str">
        <f>HYPERLINK("http://www.ensembl.org/id/WBGene00009321", "WBGene00009321")</f>
        <v>WBGene00009321</v>
      </c>
      <c r="B9795" s="9" t="str">
        <f>HYPERLINK("http://www.ncbi.nlm.nih.gov/gene/177842", "177842")</f>
        <v>177842</v>
      </c>
      <c r="C9795" s="9"/>
      <c r="D9795" t="str">
        <f>"F32B6.4"</f>
        <v>F32B6.4</v>
      </c>
      <c r="F9795" t="s">
        <v>11</v>
      </c>
      <c r="H9795" s="12">
        <v>2.0906300394028499</v>
      </c>
      <c r="I9795" s="20">
        <v>0.83163512062135703</v>
      </c>
      <c r="J9795" s="28">
        <v>0.405614931958165</v>
      </c>
      <c r="K9795" s="29">
        <v>0.98289565623980701</v>
      </c>
    </row>
    <row r="9796" spans="1:11" x14ac:dyDescent="0.35">
      <c r="A9796" s="9" t="str">
        <f>HYPERLINK("http://www.ensembl.org/id/WBGene00017984", "WBGene00017984")</f>
        <v>WBGene00017984</v>
      </c>
      <c r="B9796" s="9" t="str">
        <f>HYPERLINK("http://www.ncbi.nlm.nih.gov/gene/178834", "178834")</f>
        <v>178834</v>
      </c>
      <c r="C9796" s="9" t="str">
        <f>HYPERLINK("http://www.ncbi.nlm.nih.gov/gene/51292", "51292")</f>
        <v>51292</v>
      </c>
      <c r="D9796" t="str">
        <f>"F32D1.5"</f>
        <v>F32D1.5</v>
      </c>
      <c r="E9796" t="s">
        <v>8845</v>
      </c>
      <c r="F9796" t="s">
        <v>11</v>
      </c>
      <c r="G9796" t="s">
        <v>8846</v>
      </c>
      <c r="H9796" s="12">
        <v>-1.2012114030060901</v>
      </c>
      <c r="I9796" s="20">
        <v>-1.02750061537374</v>
      </c>
      <c r="J9796" s="28">
        <v>0.304184795821764</v>
      </c>
      <c r="K9796" s="29">
        <v>0.98289565623980701</v>
      </c>
    </row>
    <row r="9797" spans="1:11" x14ac:dyDescent="0.35">
      <c r="A9797" s="9" t="str">
        <f>HYPERLINK("http://www.ensembl.org/id/WBGene00017987", "WBGene00017987")</f>
        <v>WBGene00017987</v>
      </c>
      <c r="B9797" s="9" t="str">
        <f>HYPERLINK("http://www.ncbi.nlm.nih.gov/gene/185202", "185202")</f>
        <v>185202</v>
      </c>
      <c r="C9797" s="9"/>
      <c r="D9797" t="str">
        <f>"F32D1.8"</f>
        <v>F32D1.8</v>
      </c>
      <c r="F9797" t="s">
        <v>11</v>
      </c>
      <c r="H9797" s="12">
        <v>-5.5157056128461601</v>
      </c>
      <c r="I9797" s="20">
        <v>-0.79168160781741903</v>
      </c>
      <c r="J9797" s="28">
        <v>0.42854634915061701</v>
      </c>
      <c r="K9797" s="29">
        <v>0.98289565623980701</v>
      </c>
    </row>
    <row r="9798" spans="1:11" x14ac:dyDescent="0.35">
      <c r="A9798" s="9" t="str">
        <f>HYPERLINK("http://www.ensembl.org/id/WBGene00009333", "WBGene00009333")</f>
        <v>WBGene00009333</v>
      </c>
      <c r="B9798" s="9" t="str">
        <f>HYPERLINK("http://www.ncbi.nlm.nih.gov/gene/185208", "185208")</f>
        <v>185208</v>
      </c>
      <c r="C9798" s="9"/>
      <c r="D9798" t="str">
        <f>"F32D8.10"</f>
        <v>F32D8.10</v>
      </c>
      <c r="F9798" t="s">
        <v>11</v>
      </c>
      <c r="G9798" t="s">
        <v>25</v>
      </c>
      <c r="H9798" s="12">
        <v>-1.14633259710365</v>
      </c>
      <c r="I9798" s="20">
        <v>-0.55104426051173006</v>
      </c>
      <c r="J9798" s="28">
        <v>0.58160333390174601</v>
      </c>
      <c r="K9798" s="29">
        <v>0.98289565623980701</v>
      </c>
    </row>
    <row r="9799" spans="1:11" x14ac:dyDescent="0.35">
      <c r="A9799" s="9" t="str">
        <f>HYPERLINK("http://www.ensembl.org/id/WBGene00043302", "WBGene00043302")</f>
        <v>WBGene00043302</v>
      </c>
      <c r="B9799" s="9" t="str">
        <f>HYPERLINK("http://www.ncbi.nlm.nih.gov/gene/13214984", "13214984")</f>
        <v>13214984</v>
      </c>
      <c r="C9799" s="9"/>
      <c r="D9799" t="str">
        <f>"F32D8.11"</f>
        <v>F32D8.11</v>
      </c>
      <c r="F9799" t="s">
        <v>11</v>
      </c>
      <c r="H9799" s="12">
        <v>1.3554353499766001</v>
      </c>
      <c r="I9799" s="20">
        <v>0.87095887450197695</v>
      </c>
      <c r="J9799" s="28">
        <v>0.38377660856352602</v>
      </c>
      <c r="K9799" s="29">
        <v>0.98289565623980701</v>
      </c>
    </row>
    <row r="9800" spans="1:11" x14ac:dyDescent="0.35">
      <c r="A9800" s="9" t="str">
        <f>HYPERLINK("http://www.ensembl.org/id/WBGene00009334", "WBGene00009334")</f>
        <v>WBGene00009334</v>
      </c>
      <c r="B9800" s="9" t="str">
        <f>HYPERLINK("http://www.ncbi.nlm.nih.gov/gene/179506", "179506")</f>
        <v>179506</v>
      </c>
      <c r="C9800" s="9" t="str">
        <f>HYPERLINK("http://www.ncbi.nlm.nih.gov/gene/197257", "197257")</f>
        <v>197257</v>
      </c>
      <c r="D9800" t="str">
        <f>"F32D8.12"</f>
        <v>F32D8.12</v>
      </c>
      <c r="F9800" t="s">
        <v>11</v>
      </c>
      <c r="G9800" t="s">
        <v>5345</v>
      </c>
      <c r="H9800" s="12">
        <v>1.18529039005508</v>
      </c>
      <c r="I9800" s="20">
        <v>0.75193728974770702</v>
      </c>
      <c r="J9800" s="28">
        <v>0.452088771799734</v>
      </c>
      <c r="K9800" s="29">
        <v>0.98289565623980701</v>
      </c>
    </row>
    <row r="9801" spans="1:11" x14ac:dyDescent="0.35">
      <c r="A9801" s="9" t="str">
        <f>HYPERLINK("http://www.ensembl.org/id/WBGene00009335", "WBGene00009335")</f>
        <v>WBGene00009335</v>
      </c>
      <c r="B9801" s="9" t="str">
        <f>HYPERLINK("http://www.ncbi.nlm.nih.gov/gene/179508", "179508")</f>
        <v>179508</v>
      </c>
      <c r="C9801" s="9" t="str">
        <f>HYPERLINK("http://www.ncbi.nlm.nih.gov/gene/10654", "10654")</f>
        <v>10654</v>
      </c>
      <c r="D9801" t="str">
        <f>"F32D8.13"</f>
        <v>F32D8.13</v>
      </c>
      <c r="F9801" t="s">
        <v>11</v>
      </c>
      <c r="G9801" t="s">
        <v>5709</v>
      </c>
      <c r="H9801" s="12">
        <v>1.1181813896895501</v>
      </c>
      <c r="I9801" s="20">
        <v>0.289253851321429</v>
      </c>
      <c r="J9801" s="28">
        <v>0.77238712479509197</v>
      </c>
      <c r="K9801" s="29">
        <v>0.98289565623980701</v>
      </c>
    </row>
    <row r="9802" spans="1:11" x14ac:dyDescent="0.35">
      <c r="A9802" s="9" t="str">
        <f>HYPERLINK("http://www.ensembl.org/id/WBGene00009336", "WBGene00009336")</f>
        <v>WBGene00009336</v>
      </c>
      <c r="B9802" s="9" t="str">
        <f>HYPERLINK("http://www.ncbi.nlm.nih.gov/gene/179507", "179507")</f>
        <v>179507</v>
      </c>
      <c r="C9802" s="9" t="str">
        <f>HYPERLINK("http://www.ncbi.nlm.nih.gov/gene/81555", "81555")</f>
        <v>81555</v>
      </c>
      <c r="D9802" t="str">
        <f>"F32D8.14"</f>
        <v>F32D8.14</v>
      </c>
      <c r="F9802" t="s">
        <v>11</v>
      </c>
      <c r="G9802" t="s">
        <v>25</v>
      </c>
      <c r="H9802" s="12">
        <v>-1.26981809344451</v>
      </c>
      <c r="I9802" s="20">
        <v>-1.1806785347598401</v>
      </c>
      <c r="J9802" s="28">
        <v>0.23773045186333699</v>
      </c>
      <c r="K9802" s="29">
        <v>0.98289565623980701</v>
      </c>
    </row>
    <row r="9803" spans="1:11" x14ac:dyDescent="0.35">
      <c r="A9803" s="9" t="str">
        <f>HYPERLINK("http://www.ensembl.org/id/WBGene00009328", "WBGene00009328")</f>
        <v>WBGene00009328</v>
      </c>
      <c r="B9803" s="9" t="str">
        <f>HYPERLINK("http://www.ncbi.nlm.nih.gov/gene/185205", "185205")</f>
        <v>185205</v>
      </c>
      <c r="C9803" s="9"/>
      <c r="D9803" t="str">
        <f>"F32D8.3"</f>
        <v>F32D8.3</v>
      </c>
      <c r="F9803" t="s">
        <v>11</v>
      </c>
      <c r="G9803" t="s">
        <v>101</v>
      </c>
      <c r="H9803" s="12">
        <v>1.8352283935202101</v>
      </c>
      <c r="I9803" s="20">
        <v>1.0890331280472401</v>
      </c>
      <c r="J9803" s="28">
        <v>0.27613927708476799</v>
      </c>
      <c r="K9803" s="29">
        <v>0.98289565623980701</v>
      </c>
    </row>
    <row r="9804" spans="1:11" x14ac:dyDescent="0.35">
      <c r="A9804" s="9" t="str">
        <f>HYPERLINK("http://www.ensembl.org/id/WBGene00009329", "WBGene00009329")</f>
        <v>WBGene00009329</v>
      </c>
      <c r="B9804" s="9" t="str">
        <f>HYPERLINK("http://www.ncbi.nlm.nih.gov/gene/259646", "259646")</f>
        <v>259646</v>
      </c>
      <c r="C9804" s="9"/>
      <c r="D9804" t="str">
        <f>"F32D8.4"</f>
        <v>F32D8.4</v>
      </c>
      <c r="F9804" t="s">
        <v>11</v>
      </c>
      <c r="G9804" t="s">
        <v>8753</v>
      </c>
      <c r="H9804" s="12">
        <v>-1.1944291755529699</v>
      </c>
      <c r="I9804" s="20">
        <v>-0.71066394109811204</v>
      </c>
      <c r="J9804" s="28">
        <v>0.47729250970583997</v>
      </c>
      <c r="K9804" s="29">
        <v>0.98289565623980701</v>
      </c>
    </row>
    <row r="9805" spans="1:11" x14ac:dyDescent="0.35">
      <c r="A9805" s="9" t="str">
        <f>HYPERLINK("http://www.ensembl.org/id/WBGene00009332", "WBGene00009332")</f>
        <v>WBGene00009332</v>
      </c>
      <c r="B9805" s="9" t="str">
        <f>HYPERLINK("http://www.ncbi.nlm.nih.gov/gene/185206", "185206")</f>
        <v>185206</v>
      </c>
      <c r="C9805" s="9"/>
      <c r="D9805" t="str">
        <f>"F32D8.8"</f>
        <v>F32D8.8</v>
      </c>
      <c r="F9805" t="s">
        <v>11</v>
      </c>
      <c r="G9805" t="s">
        <v>25</v>
      </c>
      <c r="H9805" s="12">
        <v>1.98056179073498</v>
      </c>
      <c r="I9805" s="20">
        <v>0.81574337544104802</v>
      </c>
      <c r="J9805" s="28">
        <v>0.414646925199676</v>
      </c>
      <c r="K9805" s="29">
        <v>0.98289565623980701</v>
      </c>
    </row>
    <row r="9806" spans="1:11" x14ac:dyDescent="0.35">
      <c r="A9806" s="9" t="str">
        <f>HYPERLINK("http://www.ensembl.org/id/WBGene00194792", "WBGene00194792")</f>
        <v>WBGene00194792</v>
      </c>
      <c r="B9806" s="9"/>
      <c r="C9806" s="9"/>
      <c r="D9806" t="str">
        <f>"F32F2.2"</f>
        <v>F32F2.2</v>
      </c>
      <c r="F9806" t="s">
        <v>2735</v>
      </c>
      <c r="H9806" s="12">
        <v>-3.3146922299459902</v>
      </c>
      <c r="I9806" s="20">
        <v>-0.86850783960686395</v>
      </c>
      <c r="J9806" s="28">
        <v>0.38511638246802099</v>
      </c>
      <c r="K9806" s="29">
        <v>0.98289565623980701</v>
      </c>
    </row>
    <row r="9807" spans="1:11" x14ac:dyDescent="0.35">
      <c r="A9807" s="9" t="str">
        <f>HYPERLINK("http://www.ensembl.org/id/WBGene00194771", "WBGene00194771")</f>
        <v>WBGene00194771</v>
      </c>
      <c r="B9807" s="9"/>
      <c r="C9807" s="9"/>
      <c r="D9807" t="str">
        <f>"F32F2.3"</f>
        <v>F32F2.3</v>
      </c>
      <c r="F9807" t="s">
        <v>2735</v>
      </c>
      <c r="H9807" s="12">
        <v>-1.17558727119829</v>
      </c>
      <c r="I9807" s="20">
        <v>-0.25995689926839899</v>
      </c>
      <c r="J9807" s="28">
        <v>0.79489702025350994</v>
      </c>
      <c r="K9807" s="29">
        <v>0.98289565623980701</v>
      </c>
    </row>
    <row r="9808" spans="1:11" x14ac:dyDescent="0.35">
      <c r="A9808" s="9" t="str">
        <f>HYPERLINK("http://www.ensembl.org/id/WBGene00199091", "WBGene00199091")</f>
        <v>WBGene00199091</v>
      </c>
      <c r="B9808" s="9"/>
      <c r="C9808" s="9"/>
      <c r="D9808" t="str">
        <f>"F32G8.10"</f>
        <v>F32G8.10</v>
      </c>
      <c r="F9808" t="s">
        <v>481</v>
      </c>
      <c r="H9808" s="12">
        <v>2.3893468495514898</v>
      </c>
      <c r="I9808" s="20">
        <v>0.25323547253672701</v>
      </c>
      <c r="J9808" s="28">
        <v>0.80008625651646104</v>
      </c>
      <c r="K9808" s="29">
        <v>0.98289565623980701</v>
      </c>
    </row>
    <row r="9809" spans="1:11" x14ac:dyDescent="0.35">
      <c r="A9809" s="9" t="str">
        <f>HYPERLINK("http://www.ensembl.org/id/WBGene00009339", "WBGene00009339")</f>
        <v>WBGene00009339</v>
      </c>
      <c r="B9809" s="9" t="str">
        <f>HYPERLINK("http://www.ncbi.nlm.nih.gov/gene/179470", "179470")</f>
        <v>179470</v>
      </c>
      <c r="C9809" s="9"/>
      <c r="D9809" t="str">
        <f>"F32G8.3"</f>
        <v>F32G8.3</v>
      </c>
      <c r="F9809" t="s">
        <v>11</v>
      </c>
      <c r="G9809" t="s">
        <v>287</v>
      </c>
      <c r="H9809" s="12">
        <v>1.7346234340750299</v>
      </c>
      <c r="I9809" s="20">
        <v>0.98340391536648097</v>
      </c>
      <c r="J9809" s="28">
        <v>0.32540868404210899</v>
      </c>
      <c r="K9809" s="29">
        <v>0.98289565623980701</v>
      </c>
    </row>
    <row r="9810" spans="1:11" x14ac:dyDescent="0.35">
      <c r="A9810" s="9" t="str">
        <f>HYPERLINK("http://www.ensembl.org/id/WBGene00043049", "WBGene00043049")</f>
        <v>WBGene00043049</v>
      </c>
      <c r="B9810" s="9" t="str">
        <f>HYPERLINK("http://www.ncbi.nlm.nih.gov/gene/3564911", "3564911")</f>
        <v>3564911</v>
      </c>
      <c r="C9810" s="9"/>
      <c r="D9810" t="str">
        <f>"F32H2.11"</f>
        <v>F32H2.11</v>
      </c>
      <c r="F9810" t="s">
        <v>11</v>
      </c>
      <c r="H9810" s="12">
        <v>-1.62266102116656</v>
      </c>
      <c r="I9810" s="20">
        <v>-0.40320292364916099</v>
      </c>
      <c r="J9810" s="28">
        <v>0.68679894907261396</v>
      </c>
      <c r="K9810" s="29">
        <v>0.98289565623980701</v>
      </c>
    </row>
    <row r="9811" spans="1:11" x14ac:dyDescent="0.35">
      <c r="A9811" s="9" t="str">
        <f>HYPERLINK("http://www.ensembl.org/id/WBGene00195394", "WBGene00195394")</f>
        <v>WBGene00195394</v>
      </c>
      <c r="B9811" s="9"/>
      <c r="C9811" s="9"/>
      <c r="D9811" t="str">
        <f>"F32H2.13"</f>
        <v>F32H2.13</v>
      </c>
      <c r="F9811" t="s">
        <v>481</v>
      </c>
      <c r="H9811" s="12">
        <v>-2.4991590031922399</v>
      </c>
      <c r="I9811" s="20">
        <v>-0.26577412737581302</v>
      </c>
      <c r="J9811" s="28">
        <v>0.79041317015736101</v>
      </c>
      <c r="K9811" s="29">
        <v>0.98289565623980701</v>
      </c>
    </row>
    <row r="9812" spans="1:11" x14ac:dyDescent="0.35">
      <c r="A9812" s="9" t="str">
        <f>HYPERLINK("http://www.ensembl.org/id/WBGene00009345", "WBGene00009345")</f>
        <v>WBGene00009345</v>
      </c>
      <c r="B9812" s="9" t="str">
        <f>HYPERLINK("http://www.ncbi.nlm.nih.gov/gene/185215", "185215")</f>
        <v>185215</v>
      </c>
      <c r="C9812" s="9"/>
      <c r="D9812" t="str">
        <f>"F32H2.8"</f>
        <v>F32H2.8</v>
      </c>
      <c r="F9812" t="s">
        <v>11</v>
      </c>
      <c r="G9812" t="s">
        <v>25</v>
      </c>
      <c r="H9812" s="12">
        <v>1.78066023519168</v>
      </c>
      <c r="I9812" s="20">
        <v>0.29940385460663399</v>
      </c>
      <c r="J9812" s="28">
        <v>0.76463192143847503</v>
      </c>
      <c r="K9812" s="29">
        <v>0.98289565623980701</v>
      </c>
    </row>
    <row r="9813" spans="1:11" x14ac:dyDescent="0.35">
      <c r="A9813" s="9" t="str">
        <f>HYPERLINK("http://www.ensembl.org/id/WBGene00201303", "WBGene00201303")</f>
        <v>WBGene00201303</v>
      </c>
      <c r="B9813" s="9"/>
      <c r="C9813" s="9"/>
      <c r="D9813" t="str">
        <f>"F33A8.11"</f>
        <v>F33A8.11</v>
      </c>
      <c r="F9813" t="s">
        <v>481</v>
      </c>
      <c r="H9813" s="12">
        <v>4.4368407117627902</v>
      </c>
      <c r="I9813" s="20">
        <v>0.43709475933309699</v>
      </c>
      <c r="J9813" s="28">
        <v>0.66204262779770495</v>
      </c>
      <c r="K9813" s="29">
        <v>0.98289565623980701</v>
      </c>
    </row>
    <row r="9814" spans="1:11" x14ac:dyDescent="0.35">
      <c r="A9814" s="9" t="str">
        <f>HYPERLINK("http://www.ensembl.org/id/WBGene00009352", "WBGene00009352")</f>
        <v>WBGene00009352</v>
      </c>
      <c r="B9814" s="9" t="str">
        <f>HYPERLINK("http://www.ncbi.nlm.nih.gov/gene/174691", "174691")</f>
        <v>174691</v>
      </c>
      <c r="C9814" s="9" t="str">
        <f>HYPERLINK("http://www.ncbi.nlm.nih.gov/gene/29063", "29063")</f>
        <v>29063</v>
      </c>
      <c r="D9814" t="str">
        <f>"F33A8.4"</f>
        <v>F33A8.4</v>
      </c>
      <c r="F9814" t="s">
        <v>11</v>
      </c>
      <c r="G9814" t="s">
        <v>9756</v>
      </c>
      <c r="H9814" s="12">
        <v>-1.2941295470020699</v>
      </c>
      <c r="I9814" s="20">
        <v>-1.07775001435031</v>
      </c>
      <c r="J9814" s="28">
        <v>0.28114533201383302</v>
      </c>
      <c r="K9814" s="29">
        <v>0.98289565623980701</v>
      </c>
    </row>
    <row r="9815" spans="1:11" x14ac:dyDescent="0.35">
      <c r="A9815" s="9" t="str">
        <f>HYPERLINK("http://www.ensembl.org/id/WBGene00009355", "WBGene00009355")</f>
        <v>WBGene00009355</v>
      </c>
      <c r="B9815" s="9" t="str">
        <f>HYPERLINK("http://www.ncbi.nlm.nih.gov/gene/174688", "174688")</f>
        <v>174688</v>
      </c>
      <c r="C9815" s="9"/>
      <c r="D9815" t="str">
        <f>"F33A8.7"</f>
        <v>F33A8.7</v>
      </c>
      <c r="F9815" t="s">
        <v>11</v>
      </c>
      <c r="H9815" s="12">
        <v>2.1115812183279501</v>
      </c>
      <c r="I9815" s="20">
        <v>0.95705979859359502</v>
      </c>
      <c r="J9815" s="28">
        <v>0.338537073249225</v>
      </c>
      <c r="K9815" s="29">
        <v>0.98289565623980701</v>
      </c>
    </row>
    <row r="9816" spans="1:11" x14ac:dyDescent="0.35">
      <c r="A9816" s="9" t="str">
        <f>HYPERLINK("http://www.ensembl.org/id/WBGene00009358", "WBGene00009358")</f>
        <v>WBGene00009358</v>
      </c>
      <c r="B9816" s="9" t="str">
        <f>HYPERLINK("http://www.ncbi.nlm.nih.gov/gene/185223", "185223")</f>
        <v>185223</v>
      </c>
      <c r="C9816" s="9"/>
      <c r="D9816" t="str">
        <f>"F33C8.4"</f>
        <v>F33C8.4</v>
      </c>
      <c r="F9816" t="s">
        <v>11</v>
      </c>
      <c r="H9816" s="12">
        <v>-1.28421398267256</v>
      </c>
      <c r="I9816" s="20">
        <v>-0.98262688580857005</v>
      </c>
      <c r="J9816" s="28">
        <v>0.32579110706983999</v>
      </c>
      <c r="K9816" s="29">
        <v>0.98289565623980701</v>
      </c>
    </row>
    <row r="9817" spans="1:11" x14ac:dyDescent="0.35">
      <c r="A9817" s="9" t="str">
        <f>HYPERLINK("http://www.ensembl.org/id/WBGene00018000", "WBGene00018000")</f>
        <v>WBGene00018000</v>
      </c>
      <c r="B9817" s="9" t="str">
        <f>HYPERLINK("http://www.ncbi.nlm.nih.gov/gene/185224", "185224")</f>
        <v>185224</v>
      </c>
      <c r="C9817" s="9"/>
      <c r="D9817" t="str">
        <f>"F33D11.1"</f>
        <v>F33D11.1</v>
      </c>
      <c r="F9817" t="s">
        <v>11</v>
      </c>
      <c r="G9817" t="s">
        <v>4204</v>
      </c>
      <c r="H9817" s="12">
        <v>3.6645215954135</v>
      </c>
      <c r="I9817" s="20">
        <v>0.37967131826092498</v>
      </c>
      <c r="J9817" s="28">
        <v>0.70418941338960395</v>
      </c>
      <c r="K9817" s="29">
        <v>0.98289565623980701</v>
      </c>
    </row>
    <row r="9818" spans="1:11" x14ac:dyDescent="0.35">
      <c r="A9818" s="9" t="str">
        <f>HYPERLINK("http://www.ensembl.org/id/WBGene00018007", "WBGene00018007")</f>
        <v>WBGene00018007</v>
      </c>
      <c r="B9818" s="9" t="str">
        <f>HYPERLINK("http://www.ncbi.nlm.nih.gov/gene/172258", "172258")</f>
        <v>172258</v>
      </c>
      <c r="C9818" s="9" t="str">
        <f>HYPERLINK("http://www.ncbi.nlm.nih.gov/gene/9775", "9775")</f>
        <v>9775</v>
      </c>
      <c r="D9818" t="str">
        <f>"F33D11.10"</f>
        <v>F33D11.10</v>
      </c>
      <c r="F9818" t="s">
        <v>11</v>
      </c>
      <c r="G9818" t="s">
        <v>8810</v>
      </c>
      <c r="H9818" s="12">
        <v>-1.19877579480769</v>
      </c>
      <c r="I9818" s="20">
        <v>-0.91906990383815701</v>
      </c>
      <c r="J9818" s="28">
        <v>0.35805900994041401</v>
      </c>
      <c r="K9818" s="29">
        <v>0.98289565623980701</v>
      </c>
    </row>
    <row r="9819" spans="1:11" x14ac:dyDescent="0.35">
      <c r="A9819" s="9" t="str">
        <f>HYPERLINK("http://www.ensembl.org/id/WBGene00018001", "WBGene00018001")</f>
        <v>WBGene00018001</v>
      </c>
      <c r="B9819" s="9" t="str">
        <f>HYPERLINK("http://www.ncbi.nlm.nih.gov/gene/185225", "185225")</f>
        <v>185225</v>
      </c>
      <c r="C9819" s="9"/>
      <c r="D9819" t="str">
        <f>"F33D11.2"</f>
        <v>F33D11.2</v>
      </c>
      <c r="F9819" t="s">
        <v>11</v>
      </c>
      <c r="H9819" s="12">
        <v>-3.56622382139654</v>
      </c>
      <c r="I9819" s="20">
        <v>-0.53398947221716497</v>
      </c>
      <c r="J9819" s="28">
        <v>0.59334881785792104</v>
      </c>
      <c r="K9819" s="29">
        <v>0.98289565623980701</v>
      </c>
    </row>
    <row r="9820" spans="1:11" x14ac:dyDescent="0.35">
      <c r="A9820" s="9" t="str">
        <f>HYPERLINK("http://www.ensembl.org/id/WBGene00018004", "WBGene00018004")</f>
        <v>WBGene00018004</v>
      </c>
      <c r="B9820" s="9" t="str">
        <f>HYPERLINK("http://www.ncbi.nlm.nih.gov/gene/185229", "185229")</f>
        <v>185229</v>
      </c>
      <c r="C9820" s="9"/>
      <c r="D9820" t="str">
        <f>"F33D11.7"</f>
        <v>F33D11.7</v>
      </c>
      <c r="F9820" t="s">
        <v>11</v>
      </c>
      <c r="G9820" t="s">
        <v>1763</v>
      </c>
      <c r="H9820" s="12">
        <v>-1.46907542628267</v>
      </c>
      <c r="I9820" s="20">
        <v>-0.27041229956621798</v>
      </c>
      <c r="J9820" s="28">
        <v>0.78684307877053905</v>
      </c>
      <c r="K9820" s="29">
        <v>0.98289565623980701</v>
      </c>
    </row>
    <row r="9821" spans="1:11" x14ac:dyDescent="0.35">
      <c r="A9821" s="9" t="str">
        <f>HYPERLINK("http://www.ensembl.org/id/WBGene00197002", "WBGene00197002")</f>
        <v>WBGene00197002</v>
      </c>
      <c r="B9821" s="9"/>
      <c r="C9821" s="9"/>
      <c r="D9821" t="str">
        <f>"F33D4.12"</f>
        <v>F33D4.12</v>
      </c>
      <c r="F9821" t="s">
        <v>481</v>
      </c>
      <c r="H9821" s="12">
        <v>-2.3838754719136599</v>
      </c>
      <c r="I9821" s="20">
        <v>-0.25807578497976902</v>
      </c>
      <c r="J9821" s="28">
        <v>0.79634841949468704</v>
      </c>
      <c r="K9821" s="29">
        <v>0.98289565623980701</v>
      </c>
    </row>
    <row r="9822" spans="1:11" x14ac:dyDescent="0.35">
      <c r="A9822" s="9" t="str">
        <f>HYPERLINK("http://www.ensembl.org/id/WBGene00017996", "WBGene00017996")</f>
        <v>WBGene00017996</v>
      </c>
      <c r="B9822" s="9" t="str">
        <f>HYPERLINK("http://www.ncbi.nlm.nih.gov/gene/177548", "177548")</f>
        <v>177548</v>
      </c>
      <c r="C9822" s="9" t="str">
        <f>HYPERLINK("http://www.ncbi.nlm.nih.gov/gene/123099", "123099")</f>
        <v>123099</v>
      </c>
      <c r="D9822" t="str">
        <f>"F33D4.4"</f>
        <v>F33D4.4</v>
      </c>
      <c r="E9822" t="s">
        <v>8343</v>
      </c>
      <c r="F9822" t="s">
        <v>11</v>
      </c>
      <c r="G9822" t="s">
        <v>8344</v>
      </c>
      <c r="H9822" s="12">
        <v>-1.1725756077468501</v>
      </c>
      <c r="I9822" s="20">
        <v>-0.814975170305831</v>
      </c>
      <c r="J9822" s="28">
        <v>0.41508652293366899</v>
      </c>
      <c r="K9822" s="29">
        <v>0.98289565623980701</v>
      </c>
    </row>
    <row r="9823" spans="1:11" x14ac:dyDescent="0.35">
      <c r="A9823" s="9" t="str">
        <f>HYPERLINK("http://www.ensembl.org/id/WBGene00017998", "WBGene00017998")</f>
        <v>WBGene00017998</v>
      </c>
      <c r="B9823" s="9" t="str">
        <f>HYPERLINK("http://www.ncbi.nlm.nih.gov/gene/177552", "177552")</f>
        <v>177552</v>
      </c>
      <c r="C9823" s="9"/>
      <c r="D9823" t="str">
        <f>"F33D4.6"</f>
        <v>F33D4.6</v>
      </c>
      <c r="F9823" t="s">
        <v>11</v>
      </c>
      <c r="H9823" s="12">
        <v>1.59906190921469</v>
      </c>
      <c r="I9823" s="20">
        <v>0.94833219299343097</v>
      </c>
      <c r="J9823" s="28">
        <v>0.34296036687861697</v>
      </c>
      <c r="K9823" s="29">
        <v>0.98289565623980701</v>
      </c>
    </row>
    <row r="9824" spans="1:11" x14ac:dyDescent="0.35">
      <c r="A9824" s="9" t="str">
        <f>HYPERLINK("http://www.ensembl.org/id/WBGene00219932", "WBGene00219932")</f>
        <v>WBGene00219932</v>
      </c>
      <c r="B9824" s="9"/>
      <c r="C9824" s="9"/>
      <c r="D9824" t="str">
        <f>"F33E11.7"</f>
        <v>F33E11.7</v>
      </c>
      <c r="F9824" t="s">
        <v>2977</v>
      </c>
      <c r="H9824" s="12">
        <v>2.26577042034218</v>
      </c>
      <c r="I9824" s="20">
        <v>0.60498938697432203</v>
      </c>
      <c r="J9824" s="28">
        <v>0.54518604848844898</v>
      </c>
      <c r="K9824" s="29">
        <v>0.98289565623980701</v>
      </c>
    </row>
    <row r="9825" spans="1:11" x14ac:dyDescent="0.35">
      <c r="A9825" s="9" t="str">
        <f>HYPERLINK("http://www.ensembl.org/id/WBGene00009363", "WBGene00009363")</f>
        <v>WBGene00009363</v>
      </c>
      <c r="B9825" s="9" t="str">
        <f>HYPERLINK("http://www.ncbi.nlm.nih.gov/gene/3564981", "3564981")</f>
        <v>3564981</v>
      </c>
      <c r="C9825" s="9"/>
      <c r="D9825" t="str">
        <f>"F33E2.7"</f>
        <v>F33E2.7</v>
      </c>
      <c r="F9825" t="s">
        <v>11</v>
      </c>
      <c r="H9825" s="12">
        <v>2.3893468495514898</v>
      </c>
      <c r="I9825" s="20">
        <v>0.25323547253672701</v>
      </c>
      <c r="J9825" s="28">
        <v>0.80008625651646104</v>
      </c>
      <c r="K9825" s="29">
        <v>0.98289565623980701</v>
      </c>
    </row>
    <row r="9826" spans="1:11" x14ac:dyDescent="0.35">
      <c r="A9826" s="9" t="str">
        <f>HYPERLINK("http://www.ensembl.org/id/WBGene00018018", "WBGene00018018")</f>
        <v>WBGene00018018</v>
      </c>
      <c r="B9826" s="9" t="str">
        <f>HYPERLINK("http://www.ncbi.nlm.nih.gov/gene/173871", "173871")</f>
        <v>173871</v>
      </c>
      <c r="C9826" s="9"/>
      <c r="D9826" t="str">
        <f>"F33G12.6"</f>
        <v>F33G12.6</v>
      </c>
      <c r="F9826" t="s">
        <v>11</v>
      </c>
      <c r="G9826" t="s">
        <v>37</v>
      </c>
      <c r="H9826" s="12">
        <v>1.24586456839423</v>
      </c>
      <c r="I9826" s="20">
        <v>1.1268226946945501</v>
      </c>
      <c r="J9826" s="28">
        <v>0.25981745317080002</v>
      </c>
      <c r="K9826" s="29">
        <v>0.98289565623980701</v>
      </c>
    </row>
    <row r="9827" spans="1:11" x14ac:dyDescent="0.35">
      <c r="A9827" s="9" t="str">
        <f>HYPERLINK("http://www.ensembl.org/id/WBGene00201428", "WBGene00201428")</f>
        <v>WBGene00201428</v>
      </c>
      <c r="B9827" s="9"/>
      <c r="C9827" s="9"/>
      <c r="D9827" t="str">
        <f>"F33H1.9"</f>
        <v>F33H1.9</v>
      </c>
      <c r="F9827" t="s">
        <v>481</v>
      </c>
      <c r="H9827" s="12">
        <v>3.6645215954135</v>
      </c>
      <c r="I9827" s="20">
        <v>0.37967131826092498</v>
      </c>
      <c r="J9827" s="28">
        <v>0.70418941338960395</v>
      </c>
      <c r="K9827" s="29">
        <v>0.98289565623980701</v>
      </c>
    </row>
    <row r="9828" spans="1:11" x14ac:dyDescent="0.35">
      <c r="A9828" s="9" t="str">
        <f>HYPERLINK("http://www.ensembl.org/id/WBGene00018020", "WBGene00018020")</f>
        <v>WBGene00018020</v>
      </c>
      <c r="B9828" s="9" t="str">
        <f>HYPERLINK("http://www.ncbi.nlm.nih.gov/gene/185240", "185240")</f>
        <v>185240</v>
      </c>
      <c r="C9828" s="9"/>
      <c r="D9828" t="str">
        <f>"F33H12.6"</f>
        <v>F33H12.6</v>
      </c>
      <c r="E9828" t="s">
        <v>4233</v>
      </c>
      <c r="F9828" t="s">
        <v>11</v>
      </c>
      <c r="G9828" t="s">
        <v>4234</v>
      </c>
      <c r="H9828" s="12">
        <v>3.6645215954135</v>
      </c>
      <c r="I9828" s="20">
        <v>0.37967131826092498</v>
      </c>
      <c r="J9828" s="28">
        <v>0.70418941338960395</v>
      </c>
      <c r="K9828" s="29">
        <v>0.98289565623980701</v>
      </c>
    </row>
    <row r="9829" spans="1:11" x14ac:dyDescent="0.35">
      <c r="A9829" s="9" t="str">
        <f>HYPERLINK("http://www.ensembl.org/id/WBGene00045457", "WBGene00045457")</f>
        <v>WBGene00045457</v>
      </c>
      <c r="B9829" s="9" t="str">
        <f>HYPERLINK("http://www.ncbi.nlm.nih.gov/gene/6418627", "6418627")</f>
        <v>6418627</v>
      </c>
      <c r="C9829" s="9"/>
      <c r="D9829" t="str">
        <f>"F33H12.7"</f>
        <v>F33H12.7</v>
      </c>
      <c r="F9829" t="s">
        <v>11</v>
      </c>
      <c r="H9829" s="12">
        <v>-1.3952302881946399</v>
      </c>
      <c r="I9829" s="20">
        <v>-0.33039428377964197</v>
      </c>
      <c r="J9829" s="28">
        <v>0.74110206015000002</v>
      </c>
      <c r="K9829" s="29">
        <v>0.98289565623980701</v>
      </c>
    </row>
    <row r="9830" spans="1:11" x14ac:dyDescent="0.35">
      <c r="A9830" s="9" t="str">
        <f>HYPERLINK("http://www.ensembl.org/id/WBGene00009367", "WBGene00009367")</f>
        <v>WBGene00009367</v>
      </c>
      <c r="B9830" s="9" t="str">
        <f>HYPERLINK("http://www.ncbi.nlm.nih.gov/gene/173372", "173372")</f>
        <v>173372</v>
      </c>
      <c r="C9830" s="9"/>
      <c r="D9830" t="str">
        <f>"F33H2.3"</f>
        <v>F33H2.3</v>
      </c>
      <c r="E9830" t="s">
        <v>5794</v>
      </c>
      <c r="F9830" t="s">
        <v>11</v>
      </c>
      <c r="G9830" t="s">
        <v>3389</v>
      </c>
      <c r="H9830" s="12">
        <v>1.1022399798249101</v>
      </c>
      <c r="I9830" s="20">
        <v>0.420077413853638</v>
      </c>
      <c r="J9830" s="28">
        <v>0.67442890183376403</v>
      </c>
      <c r="K9830" s="29">
        <v>0.98289565623980701</v>
      </c>
    </row>
    <row r="9831" spans="1:11" x14ac:dyDescent="0.35">
      <c r="A9831" s="9" t="str">
        <f>HYPERLINK("http://www.ensembl.org/id/WBGene00009369", "WBGene00009369")</f>
        <v>WBGene00009369</v>
      </c>
      <c r="B9831" s="9" t="str">
        <f>HYPERLINK("http://www.ncbi.nlm.nih.gov/gene/173369", "173369")</f>
        <v>173369</v>
      </c>
      <c r="C9831" s="9" t="str">
        <f>HYPERLINK("http://www.ncbi.nlm.nih.gov/gene/51115", "51115")</f>
        <v>51115</v>
      </c>
      <c r="D9831" t="str">
        <f>"F33H2.6"</f>
        <v>F33H2.6</v>
      </c>
      <c r="F9831" t="s">
        <v>11</v>
      </c>
      <c r="G9831" t="s">
        <v>5592</v>
      </c>
      <c r="H9831" s="12">
        <v>1.1385685370929399</v>
      </c>
      <c r="I9831" s="20">
        <v>0.66527267054586303</v>
      </c>
      <c r="J9831" s="28">
        <v>0.50587610733402699</v>
      </c>
      <c r="K9831" s="29">
        <v>0.98289565623980701</v>
      </c>
    </row>
    <row r="9832" spans="1:11" x14ac:dyDescent="0.35">
      <c r="A9832" s="9" t="str">
        <f>HYPERLINK("http://www.ensembl.org/id/WBGene00009371", "WBGene00009371")</f>
        <v>WBGene00009371</v>
      </c>
      <c r="B9832" s="9" t="str">
        <f>HYPERLINK("http://www.ncbi.nlm.nih.gov/gene/185238", "185238")</f>
        <v>185238</v>
      </c>
      <c r="C9832" s="9"/>
      <c r="D9832" t="str">
        <f>"F33H2.8"</f>
        <v>F33H2.8</v>
      </c>
      <c r="F9832" t="s">
        <v>11</v>
      </c>
      <c r="G9832" t="s">
        <v>25</v>
      </c>
      <c r="H9832" s="12">
        <v>1.17134190671683</v>
      </c>
      <c r="I9832" s="20">
        <v>0.31498204239408101</v>
      </c>
      <c r="J9832" s="28">
        <v>0.75277528849303899</v>
      </c>
      <c r="K9832" s="29">
        <v>0.98289565623980701</v>
      </c>
    </row>
    <row r="9833" spans="1:11" x14ac:dyDescent="0.35">
      <c r="A9833" s="9" t="str">
        <f>HYPERLINK("http://www.ensembl.org/id/WBGene00009373", "WBGene00009373")</f>
        <v>WBGene00009373</v>
      </c>
      <c r="B9833" s="9" t="str">
        <f>HYPERLINK("http://www.ncbi.nlm.nih.gov/gene/175483", "175483")</f>
        <v>175483</v>
      </c>
      <c r="C9833" s="9"/>
      <c r="D9833" t="str">
        <f>"F34D10.3"</f>
        <v>F34D10.3</v>
      </c>
      <c r="F9833" t="s">
        <v>11</v>
      </c>
      <c r="G9833" t="s">
        <v>25</v>
      </c>
      <c r="H9833" s="12">
        <v>1.61664592476866</v>
      </c>
      <c r="I9833" s="20">
        <v>1.1564142518112299</v>
      </c>
      <c r="J9833" s="28">
        <v>0.24751175487965599</v>
      </c>
      <c r="K9833" s="29">
        <v>0.98289565623980701</v>
      </c>
    </row>
    <row r="9834" spans="1:11" x14ac:dyDescent="0.35">
      <c r="A9834" s="9" t="str">
        <f>HYPERLINK("http://www.ensembl.org/id/WBGene00009377", "WBGene00009377")</f>
        <v>WBGene00009377</v>
      </c>
      <c r="B9834" s="9" t="str">
        <f>HYPERLINK("http://www.ncbi.nlm.nih.gov/gene/175482", "175482")</f>
        <v>175482</v>
      </c>
      <c r="C9834" s="9"/>
      <c r="D9834" t="str">
        <f>"F34D10.8"</f>
        <v>F34D10.8</v>
      </c>
      <c r="F9834" t="s">
        <v>11</v>
      </c>
      <c r="H9834" s="12">
        <v>1.4139598821561901</v>
      </c>
      <c r="I9834" s="20">
        <v>0.42275072012498399</v>
      </c>
      <c r="J9834" s="28">
        <v>0.67247714578579298</v>
      </c>
      <c r="K9834" s="29">
        <v>0.98289565623980701</v>
      </c>
    </row>
    <row r="9835" spans="1:11" x14ac:dyDescent="0.35">
      <c r="A9835" s="9" t="str">
        <f>HYPERLINK("http://www.ensembl.org/id/WBGene00045484", "WBGene00045484")</f>
        <v>WBGene00045484</v>
      </c>
      <c r="B9835" s="9" t="str">
        <f>HYPERLINK("http://www.ncbi.nlm.nih.gov/gene/6418647", "6418647")</f>
        <v>6418647</v>
      </c>
      <c r="C9835" s="9"/>
      <c r="D9835" t="str">
        <f>"F34D10.9"</f>
        <v>F34D10.9</v>
      </c>
      <c r="F9835" t="s">
        <v>11</v>
      </c>
      <c r="H9835" s="12">
        <v>1.4537784463793599</v>
      </c>
      <c r="I9835" s="20">
        <v>0.54716678979031397</v>
      </c>
      <c r="J9835" s="28">
        <v>0.58426414988417397</v>
      </c>
      <c r="K9835" s="29">
        <v>0.98289565623980701</v>
      </c>
    </row>
    <row r="9836" spans="1:11" x14ac:dyDescent="0.35">
      <c r="A9836" s="9" t="str">
        <f>HYPERLINK("http://www.ensembl.org/id/WBGene00018021", "WBGene00018021")</f>
        <v>WBGene00018021</v>
      </c>
      <c r="B9836" s="9" t="str">
        <f>HYPERLINK("http://www.ncbi.nlm.nih.gov/gene/173612", "173612")</f>
        <v>173612</v>
      </c>
      <c r="C9836" s="9"/>
      <c r="D9836" t="str">
        <f>"F34D6.1"</f>
        <v>F34D6.1</v>
      </c>
      <c r="F9836" t="s">
        <v>11</v>
      </c>
      <c r="G9836" t="s">
        <v>54</v>
      </c>
      <c r="H9836" s="12">
        <v>-1.2072076655085699</v>
      </c>
      <c r="I9836" s="20">
        <v>-0.40196526971671698</v>
      </c>
      <c r="J9836" s="28">
        <v>0.68770958619861</v>
      </c>
      <c r="K9836" s="29">
        <v>0.98289565623980701</v>
      </c>
    </row>
    <row r="9837" spans="1:11" x14ac:dyDescent="0.35">
      <c r="A9837" s="9" t="str">
        <f>HYPERLINK("http://www.ensembl.org/id/WBGene00199732", "WBGene00199732")</f>
        <v>WBGene00199732</v>
      </c>
      <c r="B9837" s="9"/>
      <c r="C9837" s="9"/>
      <c r="D9837" t="str">
        <f>"F34H10.6"</f>
        <v>F34H10.6</v>
      </c>
      <c r="F9837" t="s">
        <v>481</v>
      </c>
      <c r="H9837" s="12">
        <v>4.8330720971898202</v>
      </c>
      <c r="I9837" s="20">
        <v>0.53826283632608196</v>
      </c>
      <c r="J9837" s="28">
        <v>0.59039560452453599</v>
      </c>
      <c r="K9837" s="29">
        <v>0.98289565623980701</v>
      </c>
    </row>
    <row r="9838" spans="1:11" x14ac:dyDescent="0.35">
      <c r="A9838" s="9" t="str">
        <f>HYPERLINK("http://www.ensembl.org/id/WBGene00219417", "WBGene00219417")</f>
        <v>WBGene00219417</v>
      </c>
      <c r="B9838" s="9"/>
      <c r="C9838" s="9"/>
      <c r="D9838" t="str">
        <f>"F34H10.9"</f>
        <v>F34H10.9</v>
      </c>
      <c r="F9838" t="s">
        <v>80</v>
      </c>
      <c r="H9838" s="12">
        <v>1.20230056337847</v>
      </c>
      <c r="I9838" s="20">
        <v>0.31003461458869702</v>
      </c>
      <c r="J9838" s="28">
        <v>0.75653463373943197</v>
      </c>
      <c r="K9838" s="29">
        <v>0.98289565623980701</v>
      </c>
    </row>
    <row r="9839" spans="1:11" x14ac:dyDescent="0.35">
      <c r="A9839" s="9" t="str">
        <f>HYPERLINK("http://www.ensembl.org/id/WBGene00199727", "WBGene00199727")</f>
        <v>WBGene00199727</v>
      </c>
      <c r="B9839" s="9"/>
      <c r="C9839" s="9"/>
      <c r="D9839" t="str">
        <f>"F35A5.13"</f>
        <v>F35A5.13</v>
      </c>
      <c r="F9839" t="s">
        <v>481</v>
      </c>
      <c r="H9839" s="12">
        <v>3.6645215954135</v>
      </c>
      <c r="I9839" s="20">
        <v>0.37967131826092498</v>
      </c>
      <c r="J9839" s="28">
        <v>0.70418941338960395</v>
      </c>
      <c r="K9839" s="29">
        <v>0.98289565623980701</v>
      </c>
    </row>
    <row r="9840" spans="1:11" x14ac:dyDescent="0.35">
      <c r="A9840" s="9" t="str">
        <f>HYPERLINK("http://www.ensembl.org/id/WBGene00018027", "WBGene00018027")</f>
        <v>WBGene00018027</v>
      </c>
      <c r="B9840" s="9" t="str">
        <f>HYPERLINK("http://www.ncbi.nlm.nih.gov/gene/185250", "185250")</f>
        <v>185250</v>
      </c>
      <c r="C9840" s="9"/>
      <c r="D9840" t="str">
        <f>"F35A5.5"</f>
        <v>F35A5.5</v>
      </c>
      <c r="F9840" t="s">
        <v>11</v>
      </c>
      <c r="H9840" s="12">
        <v>2.5731352571125399</v>
      </c>
      <c r="I9840" s="20">
        <v>0.58495279356700602</v>
      </c>
      <c r="J9840" s="28">
        <v>0.55857945874509096</v>
      </c>
      <c r="K9840" s="29">
        <v>0.98289565623980701</v>
      </c>
    </row>
    <row r="9841" spans="1:11" x14ac:dyDescent="0.35">
      <c r="A9841" s="9" t="str">
        <f>HYPERLINK("http://www.ensembl.org/id/WBGene00001335", "WBGene00001335")</f>
        <v>WBGene00001335</v>
      </c>
      <c r="B9841" s="9" t="str">
        <f>HYPERLINK("http://www.ncbi.nlm.nih.gov/gene/180667", "180667")</f>
        <v>180667</v>
      </c>
      <c r="C9841" s="9" t="str">
        <f>HYPERLINK("http://www.ncbi.nlm.nih.gov/gene/56904", "56904")</f>
        <v>56904</v>
      </c>
      <c r="D9841" t="str">
        <f>"F35A5.8"</f>
        <v>F35A5.8</v>
      </c>
      <c r="F9841" t="s">
        <v>11</v>
      </c>
      <c r="G9841" t="s">
        <v>6293</v>
      </c>
      <c r="H9841" s="12">
        <v>-1.0603005437450299</v>
      </c>
      <c r="I9841" s="20">
        <v>-0.28837064669454199</v>
      </c>
      <c r="J9841" s="28">
        <v>0.77306303435113799</v>
      </c>
      <c r="K9841" s="29">
        <v>0.98289565623980701</v>
      </c>
    </row>
    <row r="9842" spans="1:11" x14ac:dyDescent="0.35">
      <c r="A9842" s="9" t="str">
        <f>HYPERLINK("http://www.ensembl.org/id/WBGene00195801", "WBGene00195801")</f>
        <v>WBGene00195801</v>
      </c>
      <c r="B9842" s="9"/>
      <c r="C9842" s="9"/>
      <c r="D9842" t="str">
        <f>"F35B12.11"</f>
        <v>F35B12.11</v>
      </c>
      <c r="F9842" t="s">
        <v>481</v>
      </c>
      <c r="H9842" s="12">
        <v>2.3444892507898301</v>
      </c>
      <c r="I9842" s="20">
        <v>0.253126732237689</v>
      </c>
      <c r="J9842" s="28">
        <v>0.80017028205419904</v>
      </c>
      <c r="K9842" s="29">
        <v>0.98289565623980701</v>
      </c>
    </row>
    <row r="9843" spans="1:11" x14ac:dyDescent="0.35">
      <c r="A9843" s="9" t="str">
        <f>HYPERLINK("http://www.ensembl.org/id/WBGene00199069", "WBGene00199069")</f>
        <v>WBGene00199069</v>
      </c>
      <c r="B9843" s="9"/>
      <c r="C9843" s="9"/>
      <c r="D9843" t="str">
        <f>"F35B12.13"</f>
        <v>F35B12.13</v>
      </c>
      <c r="F9843" t="s">
        <v>481</v>
      </c>
      <c r="H9843" s="12">
        <v>2.4578120077400301</v>
      </c>
      <c r="I9843" s="20">
        <v>0.26093350314551</v>
      </c>
      <c r="J9843" s="28">
        <v>0.79414378780213601</v>
      </c>
      <c r="K9843" s="29">
        <v>0.98289565623980701</v>
      </c>
    </row>
    <row r="9844" spans="1:11" x14ac:dyDescent="0.35">
      <c r="A9844" s="9" t="str">
        <f>HYPERLINK("http://www.ensembl.org/id/WBGene00018028", "WBGene00018028")</f>
        <v>WBGene00018028</v>
      </c>
      <c r="B9844" s="9" t="str">
        <f>HYPERLINK("http://www.ncbi.nlm.nih.gov/gene/185252", "185252")</f>
        <v>185252</v>
      </c>
      <c r="C9844" s="9"/>
      <c r="D9844" t="str">
        <f>"F35B3.1"</f>
        <v>F35B3.1</v>
      </c>
      <c r="F9844" t="s">
        <v>11</v>
      </c>
      <c r="G9844" t="s">
        <v>1530</v>
      </c>
      <c r="H9844" s="12">
        <v>-3.25785345867572</v>
      </c>
      <c r="I9844" s="20">
        <v>-0.74676945471814504</v>
      </c>
      <c r="J9844" s="28">
        <v>0.455202736587552</v>
      </c>
      <c r="K9844" s="29">
        <v>0.98289565623980701</v>
      </c>
    </row>
    <row r="9845" spans="1:11" x14ac:dyDescent="0.35">
      <c r="A9845" s="9" t="str">
        <f>HYPERLINK("http://www.ensembl.org/id/WBGene00235180", "WBGene00235180")</f>
        <v>WBGene00235180</v>
      </c>
      <c r="B9845" s="9"/>
      <c r="C9845" s="9"/>
      <c r="D9845" t="str">
        <f>"F35B3.10"</f>
        <v>F35B3.10</v>
      </c>
      <c r="F9845" t="s">
        <v>4205</v>
      </c>
      <c r="H9845" s="12">
        <v>-2.4991590031922399</v>
      </c>
      <c r="I9845" s="20">
        <v>-0.26577412737581302</v>
      </c>
      <c r="J9845" s="28">
        <v>0.79041317015736101</v>
      </c>
      <c r="K9845" s="29">
        <v>0.98289565623980701</v>
      </c>
    </row>
    <row r="9846" spans="1:11" x14ac:dyDescent="0.35">
      <c r="A9846" s="9" t="str">
        <f>HYPERLINK("http://www.ensembl.org/id/WBGene00018031", "WBGene00018031")</f>
        <v>WBGene00018031</v>
      </c>
      <c r="B9846" s="9" t="str">
        <f>HYPERLINK("http://www.ncbi.nlm.nih.gov/gene/185255", "185255")</f>
        <v>185255</v>
      </c>
      <c r="C9846" s="9"/>
      <c r="D9846" t="str">
        <f>"F35B3.4"</f>
        <v>F35B3.4</v>
      </c>
      <c r="F9846" t="s">
        <v>11</v>
      </c>
      <c r="H9846" s="12">
        <v>-1.49207320325625</v>
      </c>
      <c r="I9846" s="20">
        <v>-0.59907889220754595</v>
      </c>
      <c r="J9846" s="28">
        <v>0.549120276633844</v>
      </c>
      <c r="K9846" s="29">
        <v>0.98289565623980701</v>
      </c>
    </row>
    <row r="9847" spans="1:11" x14ac:dyDescent="0.35">
      <c r="A9847" s="9" t="str">
        <f>HYPERLINK("http://www.ensembl.org/id/WBGene00202477", "WBGene00202477")</f>
        <v>WBGene00202477</v>
      </c>
      <c r="B9847" s="9"/>
      <c r="C9847" s="9"/>
      <c r="D9847" t="str">
        <f>"F35C11.13"</f>
        <v>F35C11.13</v>
      </c>
      <c r="F9847" t="s">
        <v>481</v>
      </c>
      <c r="H9847" s="12">
        <v>3.6645215954135</v>
      </c>
      <c r="I9847" s="20">
        <v>0.37967131826092498</v>
      </c>
      <c r="J9847" s="28">
        <v>0.70418941338960395</v>
      </c>
      <c r="K9847" s="29">
        <v>0.98289565623980701</v>
      </c>
    </row>
    <row r="9848" spans="1:11" x14ac:dyDescent="0.35">
      <c r="A9848" s="9" t="str">
        <f>HYPERLINK("http://www.ensembl.org/id/WBGene00009402", "WBGene00009402")</f>
        <v>WBGene00009402</v>
      </c>
      <c r="B9848" s="9" t="str">
        <f>HYPERLINK("http://www.ncbi.nlm.nih.gov/gene/174324", "174324")</f>
        <v>174324</v>
      </c>
      <c r="C9848" s="9"/>
      <c r="D9848" t="str">
        <f>"F35C11.3"</f>
        <v>F35C11.3</v>
      </c>
      <c r="F9848" t="s">
        <v>11</v>
      </c>
      <c r="G9848" t="s">
        <v>1763</v>
      </c>
      <c r="H9848" s="12">
        <v>4.4368407117627902</v>
      </c>
      <c r="I9848" s="20">
        <v>0.43709475933309699</v>
      </c>
      <c r="J9848" s="28">
        <v>0.66204262779770495</v>
      </c>
      <c r="K9848" s="29">
        <v>0.98289565623980701</v>
      </c>
    </row>
    <row r="9849" spans="1:11" x14ac:dyDescent="0.35">
      <c r="A9849" s="9" t="str">
        <f>HYPERLINK("http://www.ensembl.org/id/WBGene00009403", "WBGene00009403")</f>
        <v>WBGene00009403</v>
      </c>
      <c r="B9849" s="9" t="str">
        <f>HYPERLINK("http://www.ncbi.nlm.nih.gov/gene/185272", "185272")</f>
        <v>185272</v>
      </c>
      <c r="C9849" s="9"/>
      <c r="D9849" t="str">
        <f>"F35C11.4"</f>
        <v>F35C11.4</v>
      </c>
      <c r="F9849" t="s">
        <v>11</v>
      </c>
      <c r="G9849" t="s">
        <v>5995</v>
      </c>
      <c r="H9849" s="12">
        <v>1.07515132129792</v>
      </c>
      <c r="I9849" s="20">
        <v>0.269285604723077</v>
      </c>
      <c r="J9849" s="28">
        <v>0.78770990894295601</v>
      </c>
      <c r="K9849" s="29">
        <v>0.98289565623980701</v>
      </c>
    </row>
    <row r="9850" spans="1:11" x14ac:dyDescent="0.35">
      <c r="A9850" s="9" t="str">
        <f>HYPERLINK("http://www.ensembl.org/id/WBGene00189964", "WBGene00189964")</f>
        <v>WBGene00189964</v>
      </c>
      <c r="B9850" s="9"/>
      <c r="C9850" s="9"/>
      <c r="D9850" t="str">
        <f>"F35C11.9"</f>
        <v>F35C11.9</v>
      </c>
      <c r="F9850" t="s">
        <v>4205</v>
      </c>
      <c r="H9850" s="12">
        <v>-4.7467792185731703</v>
      </c>
      <c r="I9850" s="20">
        <v>-0.52614829068776403</v>
      </c>
      <c r="J9850" s="28">
        <v>0.59878517842770296</v>
      </c>
      <c r="K9850" s="29">
        <v>0.98289565623980701</v>
      </c>
    </row>
    <row r="9851" spans="1:11" x14ac:dyDescent="0.35">
      <c r="A9851" s="9" t="str">
        <f>HYPERLINK("http://www.ensembl.org/id/WBGene00009390", "WBGene00009390")</f>
        <v>WBGene00009390</v>
      </c>
      <c r="B9851" s="9" t="str">
        <f>HYPERLINK("http://www.ncbi.nlm.nih.gov/gene/185261", "185261")</f>
        <v>185261</v>
      </c>
      <c r="C9851" s="9"/>
      <c r="D9851" t="str">
        <f>"F35C5.1"</f>
        <v>F35C5.1</v>
      </c>
      <c r="F9851" t="s">
        <v>11</v>
      </c>
      <c r="H9851" s="12">
        <v>-2.2190722065549502</v>
      </c>
      <c r="I9851" s="20">
        <v>-1.0565423362263</v>
      </c>
      <c r="J9851" s="28">
        <v>0.29072050939458</v>
      </c>
      <c r="K9851" s="29">
        <v>0.98289565623980701</v>
      </c>
    </row>
    <row r="9852" spans="1:11" x14ac:dyDescent="0.35">
      <c r="A9852" s="9" t="str">
        <f>HYPERLINK("http://www.ensembl.org/id/WBGene00009391", "WBGene00009391")</f>
        <v>WBGene00009391</v>
      </c>
      <c r="B9852" s="9" t="str">
        <f>HYPERLINK("http://www.ncbi.nlm.nih.gov/gene/174925", "174925")</f>
        <v>174925</v>
      </c>
      <c r="C9852" s="9"/>
      <c r="D9852" t="str">
        <f>"F35C5.3"</f>
        <v>F35C5.3</v>
      </c>
      <c r="F9852" t="s">
        <v>11</v>
      </c>
      <c r="H9852" s="12">
        <v>4.4368407117627902</v>
      </c>
      <c r="I9852" s="20">
        <v>0.43709475933309699</v>
      </c>
      <c r="J9852" s="28">
        <v>0.66204262779770495</v>
      </c>
      <c r="K9852" s="29">
        <v>0.98289565623980701</v>
      </c>
    </row>
    <row r="9853" spans="1:11" x14ac:dyDescent="0.35">
      <c r="A9853" s="9" t="str">
        <f>HYPERLINK("http://www.ensembl.org/id/WBGene00009392", "WBGene00009392")</f>
        <v>WBGene00009392</v>
      </c>
      <c r="B9853" s="9" t="str">
        <f>HYPERLINK("http://www.ncbi.nlm.nih.gov/gene/185263", "185263")</f>
        <v>185263</v>
      </c>
      <c r="C9853" s="9"/>
      <c r="D9853" t="str">
        <f>"F35C5.4"</f>
        <v>F35C5.4</v>
      </c>
      <c r="F9853" t="s">
        <v>11</v>
      </c>
      <c r="H9853" s="12">
        <v>-2.4295389261469</v>
      </c>
      <c r="I9853" s="20">
        <v>-0.25808529976640998</v>
      </c>
      <c r="J9853" s="28">
        <v>0.79634107645457397</v>
      </c>
      <c r="K9853" s="29">
        <v>0.98289565623980701</v>
      </c>
    </row>
    <row r="9854" spans="1:11" x14ac:dyDescent="0.35">
      <c r="A9854" s="9" t="str">
        <f>HYPERLINK("http://www.ensembl.org/id/WBGene00018038", "WBGene00018038")</f>
        <v>WBGene00018038</v>
      </c>
      <c r="B9854" s="9" t="str">
        <f>HYPERLINK("http://www.ncbi.nlm.nih.gov/gene/185269", "185269")</f>
        <v>185269</v>
      </c>
      <c r="C9854" s="9"/>
      <c r="D9854" t="str">
        <f>"F35C8.8"</f>
        <v>F35C8.8</v>
      </c>
      <c r="F9854" t="s">
        <v>11</v>
      </c>
      <c r="H9854" s="12">
        <v>-3.1970529372838099</v>
      </c>
      <c r="I9854" s="20">
        <v>-1.04580306492596</v>
      </c>
      <c r="J9854" s="28">
        <v>0.29565196582379599</v>
      </c>
      <c r="K9854" s="29">
        <v>0.98289565623980701</v>
      </c>
    </row>
    <row r="9855" spans="1:11" x14ac:dyDescent="0.35">
      <c r="A9855" s="9" t="str">
        <f>HYPERLINK("http://www.ensembl.org/id/WBGene00018045", "WBGene00018045")</f>
        <v>WBGene00018045</v>
      </c>
      <c r="B9855" s="9" t="str">
        <f>HYPERLINK("http://www.ncbi.nlm.nih.gov/gene/173797", "173797")</f>
        <v>173797</v>
      </c>
      <c r="C9855" s="9"/>
      <c r="D9855" t="str">
        <f>"F35D11.4"</f>
        <v>F35D11.4</v>
      </c>
      <c r="F9855" t="s">
        <v>11</v>
      </c>
      <c r="H9855" s="12">
        <v>-1.3100208141785299</v>
      </c>
      <c r="I9855" s="20">
        <v>-1.02871960609434</v>
      </c>
      <c r="J9855" s="28">
        <v>0.30361145406782503</v>
      </c>
      <c r="K9855" s="29">
        <v>0.98289565623980701</v>
      </c>
    </row>
    <row r="9856" spans="1:11" x14ac:dyDescent="0.35">
      <c r="A9856" s="9" t="str">
        <f>HYPERLINK("http://www.ensembl.org/id/WBGene00018039", "WBGene00018039")</f>
        <v>WBGene00018039</v>
      </c>
      <c r="B9856" s="9" t="str">
        <f>HYPERLINK("http://www.ncbi.nlm.nih.gov/gene/185276", "185276")</f>
        <v>185276</v>
      </c>
      <c r="C9856" s="9"/>
      <c r="D9856" t="str">
        <f>"F35D2.1"</f>
        <v>F35D2.1</v>
      </c>
      <c r="F9856" t="s">
        <v>11</v>
      </c>
      <c r="H9856" s="12">
        <v>2.3893468495514898</v>
      </c>
      <c r="I9856" s="20">
        <v>0.25323547253672701</v>
      </c>
      <c r="J9856" s="28">
        <v>0.80008625651646104</v>
      </c>
      <c r="K9856" s="29">
        <v>0.98289565623980701</v>
      </c>
    </row>
    <row r="9857" spans="1:11" x14ac:dyDescent="0.35">
      <c r="A9857" s="9" t="str">
        <f>HYPERLINK("http://www.ensembl.org/id/WBGene00201528", "WBGene00201528")</f>
        <v>WBGene00201528</v>
      </c>
      <c r="B9857" s="9"/>
      <c r="C9857" s="9"/>
      <c r="D9857" t="str">
        <f>"F35D2.15"</f>
        <v>F35D2.15</v>
      </c>
      <c r="F9857" t="s">
        <v>481</v>
      </c>
      <c r="H9857" s="12">
        <v>2.3893468495514898</v>
      </c>
      <c r="I9857" s="20">
        <v>0.25323547253672701</v>
      </c>
      <c r="J9857" s="28">
        <v>0.80008625651646104</v>
      </c>
      <c r="K9857" s="29">
        <v>0.98289565623980701</v>
      </c>
    </row>
    <row r="9858" spans="1:11" x14ac:dyDescent="0.35">
      <c r="A9858" s="9" t="str">
        <f>HYPERLINK("http://www.ensembl.org/id/WBGene00018040", "WBGene00018040")</f>
        <v>WBGene00018040</v>
      </c>
      <c r="B9858" s="9" t="str">
        <f>HYPERLINK("http://www.ncbi.nlm.nih.gov/gene/185277", "185277")</f>
        <v>185277</v>
      </c>
      <c r="C9858" s="9"/>
      <c r="D9858" t="str">
        <f>"F35D2.2"</f>
        <v>F35D2.2</v>
      </c>
      <c r="F9858" t="s">
        <v>11</v>
      </c>
      <c r="H9858" s="12">
        <v>1.74881034324218</v>
      </c>
      <c r="I9858" s="20">
        <v>0.62590609587621904</v>
      </c>
      <c r="J9858" s="28">
        <v>0.53137653593587397</v>
      </c>
      <c r="K9858" s="29">
        <v>0.98289565623980701</v>
      </c>
    </row>
    <row r="9859" spans="1:11" x14ac:dyDescent="0.35">
      <c r="A9859" s="9" t="str">
        <f>HYPERLINK("http://www.ensembl.org/id/WBGene00044972", "WBGene00044972")</f>
        <v>WBGene00044972</v>
      </c>
      <c r="B9859" s="9"/>
      <c r="C9859" s="9"/>
      <c r="D9859" t="str">
        <f>"F35E12.11"</f>
        <v>F35E12.11</v>
      </c>
      <c r="F9859" t="s">
        <v>481</v>
      </c>
      <c r="H9859" s="12">
        <v>-2.4991590031922399</v>
      </c>
      <c r="I9859" s="20">
        <v>-0.26577412737581302</v>
      </c>
      <c r="J9859" s="28">
        <v>0.79041317015736101</v>
      </c>
      <c r="K9859" s="29">
        <v>0.98289565623980701</v>
      </c>
    </row>
    <row r="9860" spans="1:11" x14ac:dyDescent="0.35">
      <c r="A9860" s="9" t="str">
        <f>HYPERLINK("http://www.ensembl.org/id/WBGene00200981", "WBGene00200981")</f>
        <v>WBGene00200981</v>
      </c>
      <c r="B9860" s="9"/>
      <c r="C9860" s="9"/>
      <c r="D9860" t="str">
        <f>"F35E12.12"</f>
        <v>F35E12.12</v>
      </c>
      <c r="F9860" t="s">
        <v>481</v>
      </c>
      <c r="H9860" s="12">
        <v>7.8691597089380902</v>
      </c>
      <c r="I9860" s="20">
        <v>0.61251365190975104</v>
      </c>
      <c r="J9860" s="28">
        <v>0.54019796842331003</v>
      </c>
      <c r="K9860" s="29">
        <v>0.98289565623980701</v>
      </c>
    </row>
    <row r="9861" spans="1:11" x14ac:dyDescent="0.35">
      <c r="A9861" s="9" t="str">
        <f>HYPERLINK("http://www.ensembl.org/id/WBGene00235181", "WBGene00235181")</f>
        <v>WBGene00235181</v>
      </c>
      <c r="B9861" s="9"/>
      <c r="C9861" s="9"/>
      <c r="D9861" t="str">
        <f>"F35E12.13"</f>
        <v>F35E12.13</v>
      </c>
      <c r="F9861" t="s">
        <v>481</v>
      </c>
      <c r="H9861" s="12">
        <v>-1.9599495047788</v>
      </c>
      <c r="I9861" s="20">
        <v>-0.37693236416618298</v>
      </c>
      <c r="J9861" s="28">
        <v>0.70622386920033497</v>
      </c>
      <c r="K9861" s="29">
        <v>0.98289565623980701</v>
      </c>
    </row>
    <row r="9862" spans="1:11" x14ac:dyDescent="0.35">
      <c r="A9862" s="9" t="str">
        <f>HYPERLINK("http://www.ensembl.org/id/WBGene00009426", "WBGene00009426")</f>
        <v>WBGene00009426</v>
      </c>
      <c r="B9862" s="9" t="str">
        <f>HYPERLINK("http://www.ncbi.nlm.nih.gov/gene/185304", "185304")</f>
        <v>185304</v>
      </c>
      <c r="C9862" s="9"/>
      <c r="D9862" t="str">
        <f>"F35E12.2"</f>
        <v>F35E12.2</v>
      </c>
      <c r="F9862" t="s">
        <v>11</v>
      </c>
      <c r="G9862" t="s">
        <v>394</v>
      </c>
      <c r="H9862" s="12">
        <v>-1.2996966205849201</v>
      </c>
      <c r="I9862" s="20">
        <v>-0.31035591884135399</v>
      </c>
      <c r="J9862" s="28">
        <v>0.75629031184543904</v>
      </c>
      <c r="K9862" s="29">
        <v>0.98289565623980701</v>
      </c>
    </row>
    <row r="9863" spans="1:11" x14ac:dyDescent="0.35">
      <c r="A9863" s="9" t="str">
        <f>HYPERLINK("http://www.ensembl.org/id/WBGene00009428", "WBGene00009428")</f>
        <v>WBGene00009428</v>
      </c>
      <c r="B9863" s="9"/>
      <c r="C9863" s="9"/>
      <c r="D9863" t="str">
        <f>"F35E12.4"</f>
        <v>F35E12.4</v>
      </c>
      <c r="F9863" t="s">
        <v>80</v>
      </c>
      <c r="H9863" s="12">
        <v>-1.22407863914471</v>
      </c>
      <c r="I9863" s="20">
        <v>-0.57278670219616201</v>
      </c>
      <c r="J9863" s="28">
        <v>0.56678912392303005</v>
      </c>
      <c r="K9863" s="29">
        <v>0.98289565623980701</v>
      </c>
    </row>
    <row r="9864" spans="1:11" x14ac:dyDescent="0.35">
      <c r="A9864" s="9" t="str">
        <f>HYPERLINK("http://www.ensembl.org/id/WBGene00009433", "WBGene00009433")</f>
        <v>WBGene00009433</v>
      </c>
      <c r="B9864" s="9" t="str">
        <f>HYPERLINK("http://www.ncbi.nlm.nih.gov/gene/179867", "179867")</f>
        <v>179867</v>
      </c>
      <c r="C9864" s="9"/>
      <c r="D9864" t="str">
        <f>"F35E12.9"</f>
        <v>F35E12.9</v>
      </c>
      <c r="F9864" t="s">
        <v>11</v>
      </c>
      <c r="G9864" t="s">
        <v>264</v>
      </c>
      <c r="H9864" s="12">
        <v>-1.09404001891882</v>
      </c>
      <c r="I9864" s="20">
        <v>-0.39528707294158899</v>
      </c>
      <c r="J9864" s="28">
        <v>0.69263103854552499</v>
      </c>
      <c r="K9864" s="29">
        <v>0.98289565623980701</v>
      </c>
    </row>
    <row r="9865" spans="1:11" x14ac:dyDescent="0.35">
      <c r="A9865" s="9" t="str">
        <f>HYPERLINK("http://www.ensembl.org/id/WBGene00009409", "WBGene00009409")</f>
        <v>WBGene00009409</v>
      </c>
      <c r="B9865" s="9" t="str">
        <f>HYPERLINK("http://www.ncbi.nlm.nih.gov/gene/185284", "185284")</f>
        <v>185284</v>
      </c>
      <c r="C9865" s="9"/>
      <c r="D9865" t="str">
        <f>"F35E2.1"</f>
        <v>F35E2.1</v>
      </c>
      <c r="F9865" t="s">
        <v>11</v>
      </c>
      <c r="G9865" t="s">
        <v>25</v>
      </c>
      <c r="H9865" s="12">
        <v>2.3893468495514898</v>
      </c>
      <c r="I9865" s="20">
        <v>0.25323547253672701</v>
      </c>
      <c r="J9865" s="28">
        <v>0.80008625651646104</v>
      </c>
      <c r="K9865" s="29">
        <v>0.98289565623980701</v>
      </c>
    </row>
    <row r="9866" spans="1:11" x14ac:dyDescent="0.35">
      <c r="A9866" s="9" t="str">
        <f>HYPERLINK("http://www.ensembl.org/id/WBGene00044270", "WBGene00044270")</f>
        <v>WBGene00044270</v>
      </c>
      <c r="B9866" s="9"/>
      <c r="C9866" s="9"/>
      <c r="D9866" t="str">
        <f>"F35E2.10"</f>
        <v>F35E2.10</v>
      </c>
      <c r="F9866" t="s">
        <v>80</v>
      </c>
      <c r="H9866" s="12">
        <v>2.2823775214898601</v>
      </c>
      <c r="I9866" s="20">
        <v>0.28531617361358103</v>
      </c>
      <c r="J9866" s="28">
        <v>0.77540192285876297</v>
      </c>
      <c r="K9866" s="29">
        <v>0.98289565623980701</v>
      </c>
    </row>
    <row r="9867" spans="1:11" x14ac:dyDescent="0.35">
      <c r="A9867" s="9" t="str">
        <f>HYPERLINK("http://www.ensembl.org/id/WBGene00077785", "WBGene00077785")</f>
        <v>WBGene00077785</v>
      </c>
      <c r="B9867" s="9"/>
      <c r="C9867" s="9"/>
      <c r="D9867" t="str">
        <f>"F35E2.11"</f>
        <v>F35E2.11</v>
      </c>
      <c r="F9867" t="s">
        <v>80</v>
      </c>
      <c r="H9867" s="12">
        <v>-8.0014360469151899</v>
      </c>
      <c r="I9867" s="20">
        <v>-0.61746222315259702</v>
      </c>
      <c r="J9867" s="28">
        <v>0.536929891129723</v>
      </c>
      <c r="K9867" s="29">
        <v>0.98289565623980701</v>
      </c>
    </row>
    <row r="9868" spans="1:11" x14ac:dyDescent="0.35">
      <c r="A9868" s="9" t="str">
        <f>HYPERLINK("http://www.ensembl.org/id/WBGene00009412", "WBGene00009412")</f>
        <v>WBGene00009412</v>
      </c>
      <c r="B9868" s="9" t="str">
        <f>HYPERLINK("http://www.ncbi.nlm.nih.gov/gene/185288", "185288")</f>
        <v>185288</v>
      </c>
      <c r="C9868" s="9"/>
      <c r="D9868" t="str">
        <f>"F35E2.5"</f>
        <v>F35E2.5</v>
      </c>
      <c r="F9868" t="s">
        <v>11</v>
      </c>
      <c r="H9868" s="12">
        <v>-1.72680794404213</v>
      </c>
      <c r="I9868" s="20">
        <v>-0.52512957396488702</v>
      </c>
      <c r="J9868" s="28">
        <v>0.59949311851796105</v>
      </c>
      <c r="K9868" s="29">
        <v>0.98289565623980701</v>
      </c>
    </row>
    <row r="9869" spans="1:11" x14ac:dyDescent="0.35">
      <c r="A9869" s="9" t="str">
        <f>HYPERLINK("http://www.ensembl.org/id/WBGene00009414", "WBGene00009414")</f>
        <v>WBGene00009414</v>
      </c>
      <c r="B9869" s="9"/>
      <c r="C9869" s="9"/>
      <c r="D9869" t="str">
        <f>"F35E2.7"</f>
        <v>F35E2.7</v>
      </c>
      <c r="F9869" t="s">
        <v>80</v>
      </c>
      <c r="H9869" s="12">
        <v>13.4058627948307</v>
      </c>
      <c r="I9869" s="20">
        <v>0.82251412515369104</v>
      </c>
      <c r="J9869" s="28">
        <v>0.41078435087257997</v>
      </c>
      <c r="K9869" s="29">
        <v>0.98289565623980701</v>
      </c>
    </row>
    <row r="9870" spans="1:11" x14ac:dyDescent="0.35">
      <c r="A9870" s="9" t="str">
        <f>HYPERLINK("http://www.ensembl.org/id/WBGene00009415", "WBGene00009415")</f>
        <v>WBGene00009415</v>
      </c>
      <c r="B9870" s="9" t="str">
        <f>HYPERLINK("http://www.ncbi.nlm.nih.gov/gene/185290", "185290")</f>
        <v>185290</v>
      </c>
      <c r="C9870" s="9"/>
      <c r="D9870" t="str">
        <f>"F35E2.8"</f>
        <v>F35E2.8</v>
      </c>
      <c r="F9870" t="s">
        <v>11</v>
      </c>
      <c r="G9870" t="s">
        <v>54</v>
      </c>
      <c r="H9870" s="12">
        <v>2.4476737400204498</v>
      </c>
      <c r="I9870" s="20">
        <v>1.1185622102102399</v>
      </c>
      <c r="J9870" s="28">
        <v>0.26332695274725698</v>
      </c>
      <c r="K9870" s="29">
        <v>0.98289565623980701</v>
      </c>
    </row>
    <row r="9871" spans="1:11" x14ac:dyDescent="0.35">
      <c r="A9871" s="9" t="str">
        <f>HYPERLINK("http://www.ensembl.org/id/WBGene00009416", "WBGene00009416")</f>
        <v>WBGene00009416</v>
      </c>
      <c r="B9871" s="9" t="str">
        <f>HYPERLINK("http://www.ncbi.nlm.nih.gov/gene/185291", "185291")</f>
        <v>185291</v>
      </c>
      <c r="C9871" s="9"/>
      <c r="D9871" t="str">
        <f>"F35E2.9"</f>
        <v>F35E2.9</v>
      </c>
      <c r="F9871" t="s">
        <v>11</v>
      </c>
      <c r="H9871" s="12">
        <v>1.70555469117988</v>
      </c>
      <c r="I9871" s="20">
        <v>1.02849232323366</v>
      </c>
      <c r="J9871" s="28">
        <v>0.30371830010103801</v>
      </c>
      <c r="K9871" s="29">
        <v>0.98289565623980701</v>
      </c>
    </row>
    <row r="9872" spans="1:11" x14ac:dyDescent="0.35">
      <c r="A9872" s="9" t="str">
        <f>HYPERLINK("http://www.ensembl.org/id/WBGene00009424", "WBGene00009424")</f>
        <v>WBGene00009424</v>
      </c>
      <c r="B9872" s="9" t="str">
        <f>HYPERLINK("http://www.ncbi.nlm.nih.gov/gene/185302", "185302")</f>
        <v>185302</v>
      </c>
      <c r="C9872" s="9"/>
      <c r="D9872" t="str">
        <f>"F35E8.13"</f>
        <v>F35E8.13</v>
      </c>
      <c r="F9872" t="s">
        <v>11</v>
      </c>
      <c r="H9872" s="12">
        <v>7.6616465944663696</v>
      </c>
      <c r="I9872" s="20">
        <v>0.60406875593600395</v>
      </c>
      <c r="J9872" s="28">
        <v>0.54579793098927099</v>
      </c>
      <c r="K9872" s="29">
        <v>0.98289565623980701</v>
      </c>
    </row>
    <row r="9873" spans="1:11" x14ac:dyDescent="0.35">
      <c r="A9873" s="9" t="str">
        <f>HYPERLINK("http://www.ensembl.org/id/WBGene00009418", "WBGene00009418")</f>
        <v>WBGene00009418</v>
      </c>
      <c r="B9873" s="9" t="str">
        <f>HYPERLINK("http://www.ncbi.nlm.nih.gov/gene/185293", "185293")</f>
        <v>185293</v>
      </c>
      <c r="C9873" s="9"/>
      <c r="D9873" t="str">
        <f>"F35E8.2"</f>
        <v>F35E8.2</v>
      </c>
      <c r="F9873" t="s">
        <v>11</v>
      </c>
      <c r="H9873" s="12">
        <v>4.4368407117627902</v>
      </c>
      <c r="I9873" s="20">
        <v>0.43709475933309699</v>
      </c>
      <c r="J9873" s="28">
        <v>0.66204262779770495</v>
      </c>
      <c r="K9873" s="29">
        <v>0.98289565623980701</v>
      </c>
    </row>
    <row r="9874" spans="1:11" x14ac:dyDescent="0.35">
      <c r="A9874" s="9" t="str">
        <f>HYPERLINK("http://www.ensembl.org/id/WBGene00018052", "WBGene00018052")</f>
        <v>WBGene00018052</v>
      </c>
      <c r="B9874" s="9" t="str">
        <f>HYPERLINK("http://www.ncbi.nlm.nih.gov/gene/185308", "185308")</f>
        <v>185308</v>
      </c>
      <c r="C9874" s="9"/>
      <c r="D9874" t="str">
        <f>"F35F10.1"</f>
        <v>F35F10.1</v>
      </c>
      <c r="F9874" t="s">
        <v>11</v>
      </c>
      <c r="G9874" t="s">
        <v>1614</v>
      </c>
      <c r="H9874" s="12">
        <v>1.340980258261</v>
      </c>
      <c r="I9874" s="20">
        <v>0.81189869397126802</v>
      </c>
      <c r="J9874" s="28">
        <v>0.416849763924169</v>
      </c>
      <c r="K9874" s="29">
        <v>0.98289565623980701</v>
      </c>
    </row>
    <row r="9875" spans="1:11" x14ac:dyDescent="0.35">
      <c r="A9875" s="9" t="str">
        <f>HYPERLINK("http://www.ensembl.org/id/WBGene00018059", "WBGene00018059")</f>
        <v>WBGene00018059</v>
      </c>
      <c r="B9875" s="9"/>
      <c r="C9875" s="9"/>
      <c r="D9875" t="str">
        <f>"F35F10.10"</f>
        <v>F35F10.10</v>
      </c>
      <c r="F9875" t="s">
        <v>80</v>
      </c>
      <c r="H9875" s="12">
        <v>2.4578120077400301</v>
      </c>
      <c r="I9875" s="20">
        <v>0.26093350314551</v>
      </c>
      <c r="J9875" s="28">
        <v>0.79414378780213601</v>
      </c>
      <c r="K9875" s="29">
        <v>0.98289565623980701</v>
      </c>
    </row>
    <row r="9876" spans="1:11" x14ac:dyDescent="0.35">
      <c r="A9876" s="9" t="str">
        <f>HYPERLINK("http://www.ensembl.org/id/WBGene00018062", "WBGene00018062")</f>
        <v>WBGene00018062</v>
      </c>
      <c r="B9876" s="9" t="str">
        <f>HYPERLINK("http://www.ncbi.nlm.nih.gov/gene/185316", "185316")</f>
        <v>185316</v>
      </c>
      <c r="C9876" s="9"/>
      <c r="D9876" t="str">
        <f>"F35F10.13"</f>
        <v>F35F10.13</v>
      </c>
      <c r="F9876" t="s">
        <v>11</v>
      </c>
      <c r="H9876" s="12">
        <v>1.2718894799477101</v>
      </c>
      <c r="I9876" s="20">
        <v>0.35920635026210901</v>
      </c>
      <c r="J9876" s="28">
        <v>0.71944072640443102</v>
      </c>
      <c r="K9876" s="29">
        <v>0.98289565623980701</v>
      </c>
    </row>
    <row r="9877" spans="1:11" x14ac:dyDescent="0.35">
      <c r="A9877" s="9" t="str">
        <f>HYPERLINK("http://www.ensembl.org/id/WBGene00018063", "WBGene00018063")</f>
        <v>WBGene00018063</v>
      </c>
      <c r="B9877" s="9" t="str">
        <f>HYPERLINK("http://www.ncbi.nlm.nih.gov/gene/185317", "185317")</f>
        <v>185317</v>
      </c>
      <c r="C9877" s="9"/>
      <c r="D9877" t="str">
        <f>"F35F10.14"</f>
        <v>F35F10.14</v>
      </c>
      <c r="F9877" t="s">
        <v>11</v>
      </c>
      <c r="G9877" t="s">
        <v>25</v>
      </c>
      <c r="H9877" s="12">
        <v>1.9492767028759601</v>
      </c>
      <c r="I9877" s="20">
        <v>0.356020784450509</v>
      </c>
      <c r="J9877" s="28">
        <v>0.72182499991193605</v>
      </c>
      <c r="K9877" s="29">
        <v>0.98289565623980701</v>
      </c>
    </row>
    <row r="9878" spans="1:11" x14ac:dyDescent="0.35">
      <c r="A9878" s="9" t="str">
        <f>HYPERLINK("http://www.ensembl.org/id/WBGene00219934", "WBGene00219934")</f>
        <v>WBGene00219934</v>
      </c>
      <c r="B9878" s="9"/>
      <c r="C9878" s="9"/>
      <c r="D9878" t="str">
        <f>"F35F11.4"</f>
        <v>F35F11.4</v>
      </c>
      <c r="F9878" t="s">
        <v>481</v>
      </c>
      <c r="H9878" s="12">
        <v>2.5964443813758602</v>
      </c>
      <c r="I9878" s="20">
        <v>0.32033355057255902</v>
      </c>
      <c r="J9878" s="28">
        <v>0.74871549235374901</v>
      </c>
      <c r="K9878" s="29">
        <v>0.98289565623980701</v>
      </c>
    </row>
    <row r="9879" spans="1:11" x14ac:dyDescent="0.35">
      <c r="A9879" s="9" t="str">
        <f>HYPERLINK("http://www.ensembl.org/id/WBGene00009443", "WBGene00009443")</f>
        <v>WBGene00009443</v>
      </c>
      <c r="B9879" s="9" t="str">
        <f>HYPERLINK("http://www.ncbi.nlm.nih.gov/gene/185322", "185322")</f>
        <v>185322</v>
      </c>
      <c r="C9879" s="9"/>
      <c r="D9879" t="str">
        <f>"F35G12.7"</f>
        <v>F35G12.7</v>
      </c>
      <c r="F9879" t="s">
        <v>11</v>
      </c>
      <c r="G9879" t="s">
        <v>7114</v>
      </c>
      <c r="H9879" s="12">
        <v>-1.10745270929216</v>
      </c>
      <c r="I9879" s="20">
        <v>-0.34208038276840202</v>
      </c>
      <c r="J9879" s="28">
        <v>0.73229040016154401</v>
      </c>
      <c r="K9879" s="29">
        <v>0.98289565623980701</v>
      </c>
    </row>
    <row r="9880" spans="1:11" x14ac:dyDescent="0.35">
      <c r="A9880" s="9" t="str">
        <f>HYPERLINK("http://www.ensembl.org/id/WBGene00201076", "WBGene00201076")</f>
        <v>WBGene00201076</v>
      </c>
      <c r="B9880" s="9"/>
      <c r="C9880" s="9"/>
      <c r="D9880" t="str">
        <f>"F35G2.18"</f>
        <v>F35G2.18</v>
      </c>
      <c r="F9880" t="s">
        <v>481</v>
      </c>
      <c r="H9880" s="12">
        <v>2.3893468495514898</v>
      </c>
      <c r="I9880" s="20">
        <v>0.25323547253672701</v>
      </c>
      <c r="J9880" s="28">
        <v>0.80008625651646104</v>
      </c>
      <c r="K9880" s="29">
        <v>0.98289565623980701</v>
      </c>
    </row>
    <row r="9881" spans="1:11" x14ac:dyDescent="0.35">
      <c r="A9881" s="9" t="str">
        <f>HYPERLINK("http://www.ensembl.org/id/WBGene00202301", "WBGene00202301")</f>
        <v>WBGene00202301</v>
      </c>
      <c r="B9881" s="9"/>
      <c r="C9881" s="9"/>
      <c r="D9881" t="str">
        <f>"F35G2.21"</f>
        <v>F35G2.21</v>
      </c>
      <c r="F9881" t="s">
        <v>481</v>
      </c>
      <c r="H9881" s="12">
        <v>-2.4295389261469</v>
      </c>
      <c r="I9881" s="20">
        <v>-0.25808529976640998</v>
      </c>
      <c r="J9881" s="28">
        <v>0.79634107645457397</v>
      </c>
      <c r="K9881" s="29">
        <v>0.98289565623980701</v>
      </c>
    </row>
    <row r="9882" spans="1:11" x14ac:dyDescent="0.35">
      <c r="A9882" s="9" t="str">
        <f>HYPERLINK("http://www.ensembl.org/id/WBGene00009437", "WBGene00009437")</f>
        <v>WBGene00009437</v>
      </c>
      <c r="B9882" s="9" t="str">
        <f>HYPERLINK("http://www.ncbi.nlm.nih.gov/gene/185319", "185319")</f>
        <v>185319</v>
      </c>
      <c r="C9882" s="9"/>
      <c r="D9882" t="str">
        <f>"F35G2.3"</f>
        <v>F35G2.3</v>
      </c>
      <c r="F9882" t="s">
        <v>11</v>
      </c>
      <c r="G9882" t="s">
        <v>25</v>
      </c>
      <c r="H9882" s="12">
        <v>1.3922272622855101</v>
      </c>
      <c r="I9882" s="20">
        <v>0.93896666193730804</v>
      </c>
      <c r="J9882" s="28">
        <v>0.34774786119270101</v>
      </c>
      <c r="K9882" s="29">
        <v>0.98289565623980701</v>
      </c>
    </row>
    <row r="9883" spans="1:11" x14ac:dyDescent="0.35">
      <c r="A9883" s="9" t="str">
        <f>HYPERLINK("http://www.ensembl.org/id/WBGene00195399", "WBGene00195399")</f>
        <v>WBGene00195399</v>
      </c>
      <c r="B9883" s="9"/>
      <c r="C9883" s="9"/>
      <c r="D9883" t="str">
        <f>"F35G2.7"</f>
        <v>F35G2.7</v>
      </c>
      <c r="F9883" t="s">
        <v>481</v>
      </c>
      <c r="H9883" s="12">
        <v>1.1660423681457199</v>
      </c>
      <c r="I9883" s="20">
        <v>0.30739971494276702</v>
      </c>
      <c r="J9883" s="28">
        <v>0.75853914513478105</v>
      </c>
      <c r="K9883" s="29">
        <v>0.98289565623980701</v>
      </c>
    </row>
    <row r="9884" spans="1:11" x14ac:dyDescent="0.35">
      <c r="A9884" s="9" t="str">
        <f>HYPERLINK("http://www.ensembl.org/id/WBGene00195805", "WBGene00195805")</f>
        <v>WBGene00195805</v>
      </c>
      <c r="B9884" s="9"/>
      <c r="C9884" s="9"/>
      <c r="D9884" t="str">
        <f>"F35G2.8"</f>
        <v>F35G2.8</v>
      </c>
      <c r="F9884" t="s">
        <v>481</v>
      </c>
      <c r="H9884" s="12">
        <v>3.5227018545059199</v>
      </c>
      <c r="I9884" s="20">
        <v>0.36849691206929103</v>
      </c>
      <c r="J9884" s="28">
        <v>0.71250274722433404</v>
      </c>
      <c r="K9884" s="29">
        <v>0.98289565623980701</v>
      </c>
    </row>
    <row r="9885" spans="1:11" x14ac:dyDescent="0.35">
      <c r="A9885" s="9" t="str">
        <f>HYPERLINK("http://www.ensembl.org/id/WBGene00018073", "WBGene00018073")</f>
        <v>WBGene00018073</v>
      </c>
      <c r="B9885" s="9" t="str">
        <f>HYPERLINK("http://www.ncbi.nlm.nih.gov/gene/177627", "177627")</f>
        <v>177627</v>
      </c>
      <c r="C9885" s="9"/>
      <c r="D9885" t="str">
        <f>"F35H10.10"</f>
        <v>F35H10.10</v>
      </c>
      <c r="E9885" t="s">
        <v>5079</v>
      </c>
      <c r="F9885" t="s">
        <v>11</v>
      </c>
      <c r="G9885" t="s">
        <v>5080</v>
      </c>
      <c r="H9885" s="12">
        <v>1.24564525527488</v>
      </c>
      <c r="I9885" s="20">
        <v>1.06006471110179</v>
      </c>
      <c r="J9885" s="28">
        <v>0.28911516071642601</v>
      </c>
      <c r="K9885" s="29">
        <v>0.98289565623980701</v>
      </c>
    </row>
    <row r="9886" spans="1:11" x14ac:dyDescent="0.35">
      <c r="A9886" s="9" t="str">
        <f>HYPERLINK("http://www.ensembl.org/id/WBGene00018068", "WBGene00018068")</f>
        <v>WBGene00018068</v>
      </c>
      <c r="B9886" s="9" t="str">
        <f>HYPERLINK("http://www.ncbi.nlm.nih.gov/gene/185328", "185328")</f>
        <v>185328</v>
      </c>
      <c r="C9886" s="9"/>
      <c r="D9886" t="str">
        <f>"F35H10.2"</f>
        <v>F35H10.2</v>
      </c>
      <c r="F9886" t="s">
        <v>11</v>
      </c>
      <c r="H9886" s="12">
        <v>1.26840029798277</v>
      </c>
      <c r="I9886" s="20">
        <v>0.88265241406629802</v>
      </c>
      <c r="J9886" s="28">
        <v>0.37742410004990501</v>
      </c>
      <c r="K9886" s="29">
        <v>0.98289565623980701</v>
      </c>
    </row>
    <row r="9887" spans="1:11" x14ac:dyDescent="0.35">
      <c r="A9887" s="9" t="str">
        <f>HYPERLINK("http://www.ensembl.org/id/WBGene00018070", "WBGene00018070")</f>
        <v>WBGene00018070</v>
      </c>
      <c r="B9887" s="9" t="str">
        <f>HYPERLINK("http://www.ncbi.nlm.nih.gov/gene/185330", "185330")</f>
        <v>185330</v>
      </c>
      <c r="C9887" s="9"/>
      <c r="D9887" t="str">
        <f>"F35H10.5"</f>
        <v>F35H10.5</v>
      </c>
      <c r="F9887" t="s">
        <v>11</v>
      </c>
      <c r="G9887" t="s">
        <v>9928</v>
      </c>
      <c r="H9887" s="12">
        <v>-1.4042450480278601</v>
      </c>
      <c r="I9887" s="20">
        <v>-1.1902074304652199</v>
      </c>
      <c r="J9887" s="28">
        <v>0.23396487343132499</v>
      </c>
      <c r="K9887" s="29">
        <v>0.98289565623980701</v>
      </c>
    </row>
    <row r="9888" spans="1:11" x14ac:dyDescent="0.35">
      <c r="A9888" s="9" t="str">
        <f>HYPERLINK("http://www.ensembl.org/id/WBGene00018071", "WBGene00018071")</f>
        <v>WBGene00018071</v>
      </c>
      <c r="B9888" s="9" t="str">
        <f>HYPERLINK("http://www.ncbi.nlm.nih.gov/gene/177625", "177625")</f>
        <v>177625</v>
      </c>
      <c r="C9888" s="9"/>
      <c r="D9888" t="str">
        <f>"F35H10.6"</f>
        <v>F35H10.6</v>
      </c>
      <c r="F9888" t="s">
        <v>11</v>
      </c>
      <c r="G9888" t="s">
        <v>9611</v>
      </c>
      <c r="H9888" s="12">
        <v>-1.26449470056558</v>
      </c>
      <c r="I9888" s="20">
        <v>-0.927586302186302</v>
      </c>
      <c r="J9888" s="28">
        <v>0.35362220579069598</v>
      </c>
      <c r="K9888" s="29">
        <v>0.98289565623980701</v>
      </c>
    </row>
    <row r="9889" spans="1:11" x14ac:dyDescent="0.35">
      <c r="A9889" s="9" t="str">
        <f>HYPERLINK("http://www.ensembl.org/id/WBGene00018074", "WBGene00018074")</f>
        <v>WBGene00018074</v>
      </c>
      <c r="B9889" s="9" t="str">
        <f>HYPERLINK("http://www.ncbi.nlm.nih.gov/gene/185333", "185333")</f>
        <v>185333</v>
      </c>
      <c r="C9889" s="9"/>
      <c r="D9889" t="str">
        <f>"F35H12.1"</f>
        <v>F35H12.1</v>
      </c>
      <c r="F9889" t="s">
        <v>11</v>
      </c>
      <c r="G9889" t="s">
        <v>4936</v>
      </c>
      <c r="H9889" s="12">
        <v>1.29121677256183</v>
      </c>
      <c r="I9889" s="20">
        <v>0.79768384757762301</v>
      </c>
      <c r="J9889" s="28">
        <v>0.42505397957153401</v>
      </c>
      <c r="K9889" s="29">
        <v>0.98289565623980701</v>
      </c>
    </row>
    <row r="9890" spans="1:11" x14ac:dyDescent="0.35">
      <c r="A9890" s="9" t="str">
        <f>HYPERLINK("http://www.ensembl.org/id/WBGene00018077", "WBGene00018077")</f>
        <v>WBGene00018077</v>
      </c>
      <c r="B9890" s="9" t="str">
        <f>HYPERLINK("http://www.ncbi.nlm.nih.gov/gene/180442", "180442")</f>
        <v>180442</v>
      </c>
      <c r="C9890" s="9"/>
      <c r="D9890" t="str">
        <f>"F35H12.5"</f>
        <v>F35H12.5</v>
      </c>
      <c r="F9890" t="s">
        <v>11</v>
      </c>
      <c r="G9890" t="s">
        <v>5991</v>
      </c>
      <c r="H9890" s="12">
        <v>1.07589552671567</v>
      </c>
      <c r="I9890" s="20">
        <v>0.25869219713150199</v>
      </c>
      <c r="J9890" s="28">
        <v>0.79587274047116097</v>
      </c>
      <c r="K9890" s="29">
        <v>0.98289565623980701</v>
      </c>
    </row>
    <row r="9891" spans="1:11" x14ac:dyDescent="0.35">
      <c r="A9891" s="9" t="str">
        <f>HYPERLINK("http://www.ensembl.org/id/WBGene00009449", "WBGene00009449")</f>
        <v>WBGene00009449</v>
      </c>
      <c r="B9891" s="9" t="str">
        <f>HYPERLINK("http://www.ncbi.nlm.nih.gov/gene/185326", "185326")</f>
        <v>185326</v>
      </c>
      <c r="C9891" s="9"/>
      <c r="D9891" t="str">
        <f>"F35H8.4"</f>
        <v>F35H8.4</v>
      </c>
      <c r="F9891" t="s">
        <v>11</v>
      </c>
      <c r="G9891" t="s">
        <v>25</v>
      </c>
      <c r="H9891" s="12">
        <v>1.5457990999753199</v>
      </c>
      <c r="I9891" s="20">
        <v>0.40089433100205901</v>
      </c>
      <c r="J9891" s="28">
        <v>0.68849792386697695</v>
      </c>
      <c r="K9891" s="29">
        <v>0.98289565623980701</v>
      </c>
    </row>
    <row r="9892" spans="1:11" x14ac:dyDescent="0.35">
      <c r="A9892" s="9" t="str">
        <f>HYPERLINK("http://www.ensembl.org/id/WBGene00009459", "WBGene00009459")</f>
        <v>WBGene00009459</v>
      </c>
      <c r="B9892" s="9" t="str">
        <f>HYPERLINK("http://www.ncbi.nlm.nih.gov/gene/172696", "172696")</f>
        <v>172696</v>
      </c>
      <c r="C9892" s="9"/>
      <c r="D9892" t="str">
        <f>"F36A2.12"</f>
        <v>F36A2.12</v>
      </c>
      <c r="F9892" t="s">
        <v>11</v>
      </c>
      <c r="H9892" s="12">
        <v>1.5285381874591399</v>
      </c>
      <c r="I9892" s="20">
        <v>0.44058022187024098</v>
      </c>
      <c r="J9892" s="28">
        <v>0.65951692382546401</v>
      </c>
      <c r="K9892" s="29">
        <v>0.98289565623980701</v>
      </c>
    </row>
    <row r="9893" spans="1:11" x14ac:dyDescent="0.35">
      <c r="A9893" s="9" t="str">
        <f>HYPERLINK("http://www.ensembl.org/id/WBGene00018081", "WBGene00018081")</f>
        <v>WBGene00018081</v>
      </c>
      <c r="B9893" s="9" t="str">
        <f>HYPERLINK("http://www.ncbi.nlm.nih.gov/gene/185339", "185339")</f>
        <v>185339</v>
      </c>
      <c r="C9893" s="9"/>
      <c r="D9893" t="str">
        <f>"F36A4.2"</f>
        <v>F36A4.2</v>
      </c>
      <c r="F9893" t="s">
        <v>11</v>
      </c>
      <c r="H9893" s="12">
        <v>1.5599157042632099</v>
      </c>
      <c r="I9893" s="20">
        <v>0.27180746702529901</v>
      </c>
      <c r="J9893" s="28">
        <v>0.78577006345381095</v>
      </c>
      <c r="K9893" s="29">
        <v>0.98289565623980701</v>
      </c>
    </row>
    <row r="9894" spans="1:11" x14ac:dyDescent="0.35">
      <c r="A9894" s="9" t="str">
        <f>HYPERLINK("http://www.ensembl.org/id/WBGene00018082", "WBGene00018082")</f>
        <v>WBGene00018082</v>
      </c>
      <c r="B9894" s="9" t="str">
        <f>HYPERLINK("http://www.ncbi.nlm.nih.gov/gene/185340", "185340")</f>
        <v>185340</v>
      </c>
      <c r="C9894" s="9"/>
      <c r="D9894" t="str">
        <f>"F36A4.3"</f>
        <v>F36A4.3</v>
      </c>
      <c r="F9894" t="s">
        <v>11</v>
      </c>
      <c r="H9894" s="12">
        <v>3.3395775643782502</v>
      </c>
      <c r="I9894" s="20">
        <v>0.44656260965551497</v>
      </c>
      <c r="J9894" s="28">
        <v>0.65519089741497205</v>
      </c>
      <c r="K9894" s="29">
        <v>0.98289565623980701</v>
      </c>
    </row>
    <row r="9895" spans="1:11" x14ac:dyDescent="0.35">
      <c r="A9895" s="9" t="str">
        <f>HYPERLINK("http://www.ensembl.org/id/WBGene00018084", "WBGene00018084")</f>
        <v>WBGene00018084</v>
      </c>
      <c r="B9895" s="9" t="str">
        <f>HYPERLINK("http://www.ncbi.nlm.nih.gov/gene/185342", "185342")</f>
        <v>185342</v>
      </c>
      <c r="C9895" s="9"/>
      <c r="D9895" t="str">
        <f>"F36A4.5"</f>
        <v>F36A4.5</v>
      </c>
      <c r="F9895" t="s">
        <v>11</v>
      </c>
      <c r="H9895" s="12">
        <v>-1.1012177958571601</v>
      </c>
      <c r="I9895" s="20">
        <v>-0.47606238182405097</v>
      </c>
      <c r="J9895" s="28">
        <v>0.634029936134898</v>
      </c>
      <c r="K9895" s="29">
        <v>0.98289565623980701</v>
      </c>
    </row>
    <row r="9896" spans="1:11" x14ac:dyDescent="0.35">
      <c r="A9896" s="9" t="str">
        <f>HYPERLINK("http://www.ensembl.org/id/WBGene00044246", "WBGene00044246")</f>
        <v>WBGene00044246</v>
      </c>
      <c r="B9896" s="9" t="str">
        <f>HYPERLINK("http://www.ncbi.nlm.nih.gov/gene/3565164", "3565164")</f>
        <v>3565164</v>
      </c>
      <c r="C9896" s="9"/>
      <c r="D9896" t="str">
        <f>"F36D1.10"</f>
        <v>F36D1.10</v>
      </c>
      <c r="F9896" t="s">
        <v>11</v>
      </c>
      <c r="H9896" s="12">
        <v>-2.4295389261469</v>
      </c>
      <c r="I9896" s="20">
        <v>-0.25808529976640998</v>
      </c>
      <c r="J9896" s="28">
        <v>0.79634107645457397</v>
      </c>
      <c r="K9896" s="29">
        <v>0.98289565623980701</v>
      </c>
    </row>
    <row r="9897" spans="1:11" x14ac:dyDescent="0.35">
      <c r="A9897" s="9" t="str">
        <f>HYPERLINK("http://www.ensembl.org/id/WBGene00077524", "WBGene00077524")</f>
        <v>WBGene00077524</v>
      </c>
      <c r="B9897" s="9"/>
      <c r="C9897" s="9"/>
      <c r="D9897" t="str">
        <f>"F36D1.11"</f>
        <v>F36D1.11</v>
      </c>
      <c r="F9897" t="s">
        <v>80</v>
      </c>
      <c r="H9897" s="12">
        <v>4.4368407117627902</v>
      </c>
      <c r="I9897" s="20">
        <v>0.43709475933309699</v>
      </c>
      <c r="J9897" s="28">
        <v>0.66204262779770495</v>
      </c>
      <c r="K9897" s="29">
        <v>0.98289565623980701</v>
      </c>
    </row>
    <row r="9898" spans="1:11" x14ac:dyDescent="0.35">
      <c r="A9898" s="9" t="str">
        <f>HYPERLINK("http://www.ensembl.org/id/WBGene00086556", "WBGene00086556")</f>
        <v>WBGene00086556</v>
      </c>
      <c r="B9898" s="9" t="str">
        <f>HYPERLINK("http://www.ncbi.nlm.nih.gov/gene/7040124", "7040124")</f>
        <v>7040124</v>
      </c>
      <c r="C9898" s="9"/>
      <c r="D9898" t="str">
        <f>"F36D1.12"</f>
        <v>F36D1.12</v>
      </c>
      <c r="F9898" t="s">
        <v>11</v>
      </c>
      <c r="H9898" s="12">
        <v>11.170998397396099</v>
      </c>
      <c r="I9898" s="20">
        <v>0.72284615686154896</v>
      </c>
      <c r="J9898" s="28">
        <v>0.46977440626377698</v>
      </c>
      <c r="K9898" s="29">
        <v>0.98289565623980701</v>
      </c>
    </row>
    <row r="9899" spans="1:11" x14ac:dyDescent="0.35">
      <c r="A9899" s="9" t="str">
        <f>HYPERLINK("http://www.ensembl.org/id/WBGene00195232", "WBGene00195232")</f>
        <v>WBGene00195232</v>
      </c>
      <c r="B9899" s="9" t="str">
        <f>HYPERLINK("http://www.ncbi.nlm.nih.gov/gene/13182084", "13182084")</f>
        <v>13182084</v>
      </c>
      <c r="C9899" s="9"/>
      <c r="D9899" t="str">
        <f>"F36D1.15"</f>
        <v>F36D1.15</v>
      </c>
      <c r="F9899" t="s">
        <v>11</v>
      </c>
      <c r="H9899" s="12">
        <v>-2.4991590031922399</v>
      </c>
      <c r="I9899" s="20">
        <v>-0.26577412737581302</v>
      </c>
      <c r="J9899" s="28">
        <v>0.79041317015736101</v>
      </c>
      <c r="K9899" s="29">
        <v>0.98289565623980701</v>
      </c>
    </row>
    <row r="9900" spans="1:11" x14ac:dyDescent="0.35">
      <c r="A9900" s="9" t="str">
        <f>HYPERLINK("http://www.ensembl.org/id/WBGene00219287", "WBGene00219287")</f>
        <v>WBGene00219287</v>
      </c>
      <c r="B9900" s="9" t="str">
        <f>HYPERLINK("http://www.ncbi.nlm.nih.gov/gene/13182087", "13182087")</f>
        <v>13182087</v>
      </c>
      <c r="C9900" s="9"/>
      <c r="D9900" t="str">
        <f>"F36D1.23"</f>
        <v>F36D1.23</v>
      </c>
      <c r="F9900" t="s">
        <v>11</v>
      </c>
      <c r="H9900" s="12">
        <v>-1.30616230866507</v>
      </c>
      <c r="I9900" s="20">
        <v>-0.96929276804328102</v>
      </c>
      <c r="J9900" s="28">
        <v>0.33239913656419201</v>
      </c>
      <c r="K9900" s="29">
        <v>0.98289565623980701</v>
      </c>
    </row>
    <row r="9901" spans="1:11" x14ac:dyDescent="0.35">
      <c r="A9901" s="9" t="str">
        <f>HYPERLINK("http://www.ensembl.org/id/WBGene00009463", "WBGene00009463")</f>
        <v>WBGene00009463</v>
      </c>
      <c r="B9901" s="9" t="str">
        <f>HYPERLINK("http://www.ncbi.nlm.nih.gov/gene/185346", "185346")</f>
        <v>185346</v>
      </c>
      <c r="C9901" s="9"/>
      <c r="D9901" t="str">
        <f>"F36D1.4"</f>
        <v>F36D1.4</v>
      </c>
      <c r="F9901" t="s">
        <v>11</v>
      </c>
      <c r="H9901" s="12">
        <v>1.6771103461101999</v>
      </c>
      <c r="I9901" s="20">
        <v>0.36138843178622598</v>
      </c>
      <c r="J9901" s="28">
        <v>0.71780909460410003</v>
      </c>
      <c r="K9901" s="29">
        <v>0.98289565623980701</v>
      </c>
    </row>
    <row r="9902" spans="1:11" x14ac:dyDescent="0.35">
      <c r="A9902" s="9" t="str">
        <f>HYPERLINK("http://www.ensembl.org/id/WBGene00009465", "WBGene00009465")</f>
        <v>WBGene00009465</v>
      </c>
      <c r="B9902" s="9" t="str">
        <f>HYPERLINK("http://www.ncbi.nlm.nih.gov/gene/185348", "185348")</f>
        <v>185348</v>
      </c>
      <c r="C9902" s="9"/>
      <c r="D9902" t="str">
        <f>"F36D1.6"</f>
        <v>F36D1.6</v>
      </c>
      <c r="F9902" t="s">
        <v>11</v>
      </c>
      <c r="H9902" s="12">
        <v>5.4829777729673896</v>
      </c>
      <c r="I9902" s="20">
        <v>0.82580960796589098</v>
      </c>
      <c r="J9902" s="28">
        <v>0.40891210296785602</v>
      </c>
      <c r="K9902" s="29">
        <v>0.98289565623980701</v>
      </c>
    </row>
    <row r="9903" spans="1:11" x14ac:dyDescent="0.35">
      <c r="A9903" s="9" t="str">
        <f>HYPERLINK("http://www.ensembl.org/id/WBGene00009466", "WBGene00009466")</f>
        <v>WBGene00009466</v>
      </c>
      <c r="B9903" s="9" t="str">
        <f>HYPERLINK("http://www.ncbi.nlm.nih.gov/gene/185349", "185349")</f>
        <v>185349</v>
      </c>
      <c r="C9903" s="9"/>
      <c r="D9903" t="str">
        <f>"F36D1.7"</f>
        <v>F36D1.7</v>
      </c>
      <c r="F9903" t="s">
        <v>11</v>
      </c>
      <c r="H9903" s="12">
        <v>1.3087633439561499</v>
      </c>
      <c r="I9903" s="20">
        <v>0.86963282200144398</v>
      </c>
      <c r="J9903" s="28">
        <v>0.38450109494247697</v>
      </c>
      <c r="K9903" s="29">
        <v>0.98289565623980701</v>
      </c>
    </row>
    <row r="9904" spans="1:11" x14ac:dyDescent="0.35">
      <c r="A9904" s="9" t="str">
        <f>HYPERLINK("http://www.ensembl.org/id/WBGene00044189", "WBGene00044189")</f>
        <v>WBGene00044189</v>
      </c>
      <c r="B9904" s="9" t="str">
        <f>HYPERLINK("http://www.ncbi.nlm.nih.gov/gene/3565406", "3565406")</f>
        <v>3565406</v>
      </c>
      <c r="C9904" s="9"/>
      <c r="D9904" t="str">
        <f>"F36D3.14"</f>
        <v>F36D3.14</v>
      </c>
      <c r="F9904" t="s">
        <v>11</v>
      </c>
      <c r="H9904" s="12">
        <v>13.4058627948307</v>
      </c>
      <c r="I9904" s="20">
        <v>0.82251412515369104</v>
      </c>
      <c r="J9904" s="28">
        <v>0.41078435087257997</v>
      </c>
      <c r="K9904" s="29">
        <v>0.98289565623980701</v>
      </c>
    </row>
    <row r="9905" spans="1:11" x14ac:dyDescent="0.35">
      <c r="A9905" s="9" t="str">
        <f>HYPERLINK("http://www.ensembl.org/id/WBGene00009470", "WBGene00009470")</f>
        <v>WBGene00009470</v>
      </c>
      <c r="B9905" s="9" t="str">
        <f>HYPERLINK("http://www.ncbi.nlm.nih.gov/gene/180107", "180107")</f>
        <v>180107</v>
      </c>
      <c r="C9905" s="9"/>
      <c r="D9905" t="str">
        <f>"F36D3.4"</f>
        <v>F36D3.4</v>
      </c>
      <c r="E9905" t="s">
        <v>899</v>
      </c>
      <c r="F9905" t="s">
        <v>11</v>
      </c>
      <c r="G9905" t="s">
        <v>3403</v>
      </c>
      <c r="H9905" s="12">
        <v>1.30662292904945</v>
      </c>
      <c r="I9905" s="20">
        <v>0.32745379291850302</v>
      </c>
      <c r="J9905" s="28">
        <v>0.74332468606517199</v>
      </c>
      <c r="K9905" s="29">
        <v>0.98289565623980701</v>
      </c>
    </row>
    <row r="9906" spans="1:11" x14ac:dyDescent="0.35">
      <c r="A9906" s="9" t="str">
        <f>HYPERLINK("http://www.ensembl.org/id/WBGene00009471", "WBGene00009471")</f>
        <v>WBGene00009471</v>
      </c>
      <c r="B9906" s="9" t="str">
        <f>HYPERLINK("http://www.ncbi.nlm.nih.gov/gene/185352", "185352")</f>
        <v>185352</v>
      </c>
      <c r="C9906" s="9"/>
      <c r="D9906" t="str">
        <f>"F36D3.5"</f>
        <v>F36D3.5</v>
      </c>
      <c r="F9906" t="s">
        <v>11</v>
      </c>
      <c r="G9906" t="s">
        <v>417</v>
      </c>
      <c r="H9906" s="12">
        <v>2.1574135855438099</v>
      </c>
      <c r="I9906" s="20">
        <v>0.48826458123830502</v>
      </c>
      <c r="J9906" s="28">
        <v>0.62536244574660405</v>
      </c>
      <c r="K9906" s="29">
        <v>0.98289565623980701</v>
      </c>
    </row>
    <row r="9907" spans="1:11" x14ac:dyDescent="0.35">
      <c r="A9907" s="9" t="str">
        <f>HYPERLINK("http://www.ensembl.org/id/WBGene00018090", "WBGene00018090")</f>
        <v>WBGene00018090</v>
      </c>
      <c r="B9907" s="9" t="str">
        <f>HYPERLINK("http://www.ncbi.nlm.nih.gov/gene/179324", "179324")</f>
        <v>179324</v>
      </c>
      <c r="C9907" s="9" t="str">
        <f>HYPERLINK("http://www.ncbi.nlm.nih.gov/gene/51029", "51029")</f>
        <v>51029</v>
      </c>
      <c r="D9907" t="str">
        <f>"F36D4.5"</f>
        <v>F36D4.5</v>
      </c>
      <c r="F9907" t="s">
        <v>11</v>
      </c>
      <c r="G9907" t="s">
        <v>7262</v>
      </c>
      <c r="H9907" s="12">
        <v>-1.1160045143722099</v>
      </c>
      <c r="I9907" s="20">
        <v>-0.59481544739426095</v>
      </c>
      <c r="J9907" s="28">
        <v>0.55196684069167801</v>
      </c>
      <c r="K9907" s="29">
        <v>0.98289565623980701</v>
      </c>
    </row>
    <row r="9908" spans="1:11" x14ac:dyDescent="0.35">
      <c r="A9908" s="9" t="str">
        <f>HYPERLINK("http://www.ensembl.org/id/WBGene00018092", "WBGene00018092")</f>
        <v>WBGene00018092</v>
      </c>
      <c r="B9908" s="9" t="str">
        <f>HYPERLINK("http://www.ncbi.nlm.nih.gov/gene/178691", "178691")</f>
        <v>178691</v>
      </c>
      <c r="C9908" s="9"/>
      <c r="D9908" t="str">
        <f>"F36F12.1"</f>
        <v>F36F12.1</v>
      </c>
      <c r="F9908" t="s">
        <v>11</v>
      </c>
      <c r="G9908" t="s">
        <v>1686</v>
      </c>
      <c r="H9908" s="12">
        <v>-1.39272516865</v>
      </c>
      <c r="I9908" s="20">
        <v>-0.35544424161654797</v>
      </c>
      <c r="J9908" s="28">
        <v>0.72225680981915297</v>
      </c>
      <c r="K9908" s="29">
        <v>0.98289565623980701</v>
      </c>
    </row>
    <row r="9909" spans="1:11" x14ac:dyDescent="0.35">
      <c r="A9909" s="9" t="str">
        <f>HYPERLINK("http://www.ensembl.org/id/WBGene00018098", "WBGene00018098")</f>
        <v>WBGene00018098</v>
      </c>
      <c r="B9909" s="9" t="str">
        <f>HYPERLINK("http://www.ncbi.nlm.nih.gov/gene/178690", "178690")</f>
        <v>178690</v>
      </c>
      <c r="C9909" s="9"/>
      <c r="D9909" t="str">
        <f>"F36F12.7"</f>
        <v>F36F12.7</v>
      </c>
      <c r="F9909" t="s">
        <v>11</v>
      </c>
      <c r="H9909" s="12">
        <v>15.6921441712649</v>
      </c>
      <c r="I9909" s="20">
        <v>0.95028393834463598</v>
      </c>
      <c r="J9909" s="28">
        <v>0.34196799785965198</v>
      </c>
      <c r="K9909" s="29">
        <v>0.98289565623980701</v>
      </c>
    </row>
    <row r="9910" spans="1:11" x14ac:dyDescent="0.35">
      <c r="A9910" s="9" t="str">
        <f>HYPERLINK("http://www.ensembl.org/id/WBGene00009481", "WBGene00009481")</f>
        <v>WBGene00009481</v>
      </c>
      <c r="B9910" s="9" t="str">
        <f>HYPERLINK("http://www.ncbi.nlm.nih.gov/gene/3565759", "3565759")</f>
        <v>3565759</v>
      </c>
      <c r="C9910" s="9"/>
      <c r="D9910" t="str">
        <f>"F36F2.8"</f>
        <v>F36F2.8</v>
      </c>
      <c r="F9910" t="s">
        <v>11</v>
      </c>
      <c r="H9910" s="12">
        <v>1.6269240722135001</v>
      </c>
      <c r="I9910" s="20">
        <v>0.861181156645482</v>
      </c>
      <c r="J9910" s="28">
        <v>0.38913827658473699</v>
      </c>
      <c r="K9910" s="29">
        <v>0.98289565623980701</v>
      </c>
    </row>
    <row r="9911" spans="1:11" x14ac:dyDescent="0.35">
      <c r="A9911" s="9" t="str">
        <f>HYPERLINK("http://www.ensembl.org/id/WBGene00009482", "WBGene00009482")</f>
        <v>WBGene00009482</v>
      </c>
      <c r="B9911" s="9" t="str">
        <f>HYPERLINK("http://www.ncbi.nlm.nih.gov/gene/181191", "181191")</f>
        <v>181191</v>
      </c>
      <c r="C9911" s="9"/>
      <c r="D9911" t="str">
        <f>"F36G3.1"</f>
        <v>F36G3.1</v>
      </c>
      <c r="F9911" t="s">
        <v>11</v>
      </c>
      <c r="H9911" s="12">
        <v>-1.11905859444976</v>
      </c>
      <c r="I9911" s="20">
        <v>-0.59601281875578704</v>
      </c>
      <c r="J9911" s="28">
        <v>0.55116666324225305</v>
      </c>
      <c r="K9911" s="29">
        <v>0.98289565623980701</v>
      </c>
    </row>
    <row r="9912" spans="1:11" x14ac:dyDescent="0.35">
      <c r="A9912" s="9" t="str">
        <f>HYPERLINK("http://www.ensembl.org/id/WBGene00009483", "WBGene00009483")</f>
        <v>WBGene00009483</v>
      </c>
      <c r="B9912" s="9" t="str">
        <f>HYPERLINK("http://www.ncbi.nlm.nih.gov/gene/181192", "181192")</f>
        <v>181192</v>
      </c>
      <c r="C9912" s="9"/>
      <c r="D9912" t="str">
        <f>"F36G3.2"</f>
        <v>F36G3.2</v>
      </c>
      <c r="F9912" t="s">
        <v>11</v>
      </c>
      <c r="G9912" t="s">
        <v>3731</v>
      </c>
      <c r="H9912" s="12">
        <v>-1.1343464228634701</v>
      </c>
      <c r="I9912" s="20">
        <v>-0.60875902331557696</v>
      </c>
      <c r="J9912" s="28">
        <v>0.54268417797247603</v>
      </c>
      <c r="K9912" s="29">
        <v>0.98289565623980701</v>
      </c>
    </row>
    <row r="9913" spans="1:11" x14ac:dyDescent="0.35">
      <c r="A9913" s="9" t="str">
        <f>HYPERLINK("http://www.ensembl.org/id/WBGene00009484", "WBGene00009484")</f>
        <v>WBGene00009484</v>
      </c>
      <c r="B9913" s="9" t="str">
        <f>HYPERLINK("http://www.ncbi.nlm.nih.gov/gene/3565543", "3565543")</f>
        <v>3565543</v>
      </c>
      <c r="C9913" s="9"/>
      <c r="D9913" t="str">
        <f>"F36G3.3"</f>
        <v>F36G3.3</v>
      </c>
      <c r="F9913" t="s">
        <v>11</v>
      </c>
      <c r="G9913" t="s">
        <v>208</v>
      </c>
      <c r="H9913" s="12">
        <v>1.09275392594786</v>
      </c>
      <c r="I9913" s="20">
        <v>0.392143036690006</v>
      </c>
      <c r="J9913" s="28">
        <v>0.69495253019639802</v>
      </c>
      <c r="K9913" s="29">
        <v>0.98289565623980701</v>
      </c>
    </row>
    <row r="9914" spans="1:11" x14ac:dyDescent="0.35">
      <c r="A9914" s="9" t="str">
        <f>HYPERLINK("http://www.ensembl.org/id/WBGene00195492", "WBGene00195492")</f>
        <v>WBGene00195492</v>
      </c>
      <c r="B9914" s="9"/>
      <c r="C9914" s="9"/>
      <c r="D9914" t="str">
        <f>"F36G3.6"</f>
        <v>F36G3.6</v>
      </c>
      <c r="F9914" t="s">
        <v>481</v>
      </c>
      <c r="H9914" s="12">
        <v>7.8691597089380902</v>
      </c>
      <c r="I9914" s="20">
        <v>0.61251365190975104</v>
      </c>
      <c r="J9914" s="28">
        <v>0.54019796842331003</v>
      </c>
      <c r="K9914" s="29">
        <v>0.98289565623980701</v>
      </c>
    </row>
    <row r="9915" spans="1:11" x14ac:dyDescent="0.35">
      <c r="A9915" s="9" t="str">
        <f>HYPERLINK("http://www.ensembl.org/id/WBGene00198034", "WBGene00198034")</f>
        <v>WBGene00198034</v>
      </c>
      <c r="B9915" s="9"/>
      <c r="C9915" s="9"/>
      <c r="D9915" t="str">
        <f>"F36G3.7"</f>
        <v>F36G3.7</v>
      </c>
      <c r="F9915" t="s">
        <v>481</v>
      </c>
      <c r="H9915" s="12">
        <v>-5.5794491025289696</v>
      </c>
      <c r="I9915" s="20">
        <v>-0.504738274115201</v>
      </c>
      <c r="J9915" s="28">
        <v>0.61374267489732603</v>
      </c>
      <c r="K9915" s="29">
        <v>0.98289565623980701</v>
      </c>
    </row>
    <row r="9916" spans="1:11" x14ac:dyDescent="0.35">
      <c r="A9916" s="9" t="str">
        <f>HYPERLINK("http://www.ensembl.org/id/WBGene00009489", "WBGene00009489")</f>
        <v>WBGene00009489</v>
      </c>
      <c r="B9916" s="9" t="str">
        <f>HYPERLINK("http://www.ncbi.nlm.nih.gov/gene/185376", "185376")</f>
        <v>185376</v>
      </c>
      <c r="C9916" s="9"/>
      <c r="D9916" t="str">
        <f>"F36G9.13"</f>
        <v>F36G9.13</v>
      </c>
      <c r="F9916" t="s">
        <v>11</v>
      </c>
      <c r="G9916" t="s">
        <v>25</v>
      </c>
      <c r="H9916" s="12">
        <v>2.3526524772752002</v>
      </c>
      <c r="I9916" s="20">
        <v>0.30316532999907703</v>
      </c>
      <c r="J9916" s="28">
        <v>0.76176386907443705</v>
      </c>
      <c r="K9916" s="29">
        <v>0.98289565623980701</v>
      </c>
    </row>
    <row r="9917" spans="1:11" x14ac:dyDescent="0.35">
      <c r="A9917" s="9" t="str">
        <f>HYPERLINK("http://www.ensembl.org/id/WBGene00009485", "WBGene00009485")</f>
        <v>WBGene00009485</v>
      </c>
      <c r="B9917" s="9" t="str">
        <f>HYPERLINK("http://www.ncbi.nlm.nih.gov/gene/185367", "185367")</f>
        <v>185367</v>
      </c>
      <c r="C9917" s="9"/>
      <c r="D9917" t="str">
        <f>"F36G9.3"</f>
        <v>F36G9.3</v>
      </c>
      <c r="F9917" t="s">
        <v>11</v>
      </c>
      <c r="G9917" t="s">
        <v>25</v>
      </c>
      <c r="H9917" s="12">
        <v>-1.56782182076012</v>
      </c>
      <c r="I9917" s="20">
        <v>-0.66058577261145901</v>
      </c>
      <c r="J9917" s="28">
        <v>0.50887799556286795</v>
      </c>
      <c r="K9917" s="29">
        <v>0.98289565623980701</v>
      </c>
    </row>
    <row r="9918" spans="1:11" x14ac:dyDescent="0.35">
      <c r="A9918" s="9" t="str">
        <f>HYPERLINK("http://www.ensembl.org/id/WBGene00197724", "WBGene00197724")</f>
        <v>WBGene00197724</v>
      </c>
      <c r="B9918" s="9"/>
      <c r="C9918" s="9"/>
      <c r="D9918" t="str">
        <f>"F36H1.15"</f>
        <v>F36H1.15</v>
      </c>
      <c r="F9918" t="s">
        <v>481</v>
      </c>
      <c r="H9918" s="12">
        <v>7.8691597089380902</v>
      </c>
      <c r="I9918" s="20">
        <v>0.61251365190975104</v>
      </c>
      <c r="J9918" s="28">
        <v>0.54019796842331003</v>
      </c>
      <c r="K9918" s="29">
        <v>0.98289565623980701</v>
      </c>
    </row>
    <row r="9919" spans="1:11" x14ac:dyDescent="0.35">
      <c r="A9919" s="9" t="str">
        <f>HYPERLINK("http://www.ensembl.org/id/WBGene00009492", "WBGene00009492")</f>
        <v>WBGene00009492</v>
      </c>
      <c r="B9919" s="9" t="str">
        <f>HYPERLINK("http://www.ncbi.nlm.nih.gov/gene/185379", "185379")</f>
        <v>185379</v>
      </c>
      <c r="C9919" s="9"/>
      <c r="D9919" t="str">
        <f>"F36H1.3"</f>
        <v>F36H1.3</v>
      </c>
      <c r="E9919" t="s">
        <v>1019</v>
      </c>
      <c r="F9919" t="s">
        <v>11</v>
      </c>
      <c r="G9919" t="s">
        <v>1020</v>
      </c>
      <c r="H9919" s="12">
        <v>-1.33657232433397</v>
      </c>
      <c r="I9919" s="20">
        <v>-0.32129110605893202</v>
      </c>
      <c r="J9919" s="28">
        <v>0.74798979576424895</v>
      </c>
      <c r="K9919" s="29">
        <v>0.98289565623980701</v>
      </c>
    </row>
    <row r="9920" spans="1:11" x14ac:dyDescent="0.35">
      <c r="A9920" s="9" t="str">
        <f>HYPERLINK("http://www.ensembl.org/id/WBGene00018124", "WBGene00018124")</f>
        <v>WBGene00018124</v>
      </c>
      <c r="B9920" s="9" t="str">
        <f>HYPERLINK("http://www.ncbi.nlm.nih.gov/gene/185396", "185396")</f>
        <v>185396</v>
      </c>
      <c r="C9920" s="9"/>
      <c r="D9920" t="str">
        <f>"F36H12.10"</f>
        <v>F36H12.10</v>
      </c>
      <c r="E9920" t="s">
        <v>1019</v>
      </c>
      <c r="F9920" t="s">
        <v>11</v>
      </c>
      <c r="G9920" t="s">
        <v>1020</v>
      </c>
      <c r="H9920" s="12">
        <v>4.6387698961716399</v>
      </c>
      <c r="I9920" s="20">
        <v>0.44985450087338802</v>
      </c>
      <c r="J9920" s="28">
        <v>0.65281535672642099</v>
      </c>
      <c r="K9920" s="29">
        <v>0.98289565623980701</v>
      </c>
    </row>
    <row r="9921" spans="1:11" x14ac:dyDescent="0.35">
      <c r="A9921" s="9" t="str">
        <f>HYPERLINK("http://www.ensembl.org/id/WBGene00018127", "WBGene00018127")</f>
        <v>WBGene00018127</v>
      </c>
      <c r="B9921" s="9"/>
      <c r="C9921" s="9"/>
      <c r="D9921" t="str">
        <f>"F36H12.14"</f>
        <v>F36H12.14</v>
      </c>
      <c r="F9921" t="s">
        <v>80</v>
      </c>
      <c r="H9921" s="12">
        <v>6.7360559061507299</v>
      </c>
      <c r="I9921" s="20">
        <v>1.1572837924294299</v>
      </c>
      <c r="J9921" s="28">
        <v>0.24715643307346899</v>
      </c>
      <c r="K9921" s="29">
        <v>0.98289565623980701</v>
      </c>
    </row>
    <row r="9922" spans="1:11" x14ac:dyDescent="0.35">
      <c r="A9922" s="9" t="str">
        <f>HYPERLINK("http://www.ensembl.org/id/WBGene00018130", "WBGene00018130")</f>
        <v>WBGene00018130</v>
      </c>
      <c r="B9922" s="9" t="str">
        <f>HYPERLINK("http://www.ncbi.nlm.nih.gov/gene/185402", "185402")</f>
        <v>185402</v>
      </c>
      <c r="C9922" s="9"/>
      <c r="D9922" t="str">
        <f>"F36H12.17"</f>
        <v>F36H12.17</v>
      </c>
      <c r="F9922" t="s">
        <v>11</v>
      </c>
      <c r="G9922" t="s">
        <v>25</v>
      </c>
      <c r="H9922" s="12">
        <v>-1.1794049449097499</v>
      </c>
      <c r="I9922" s="20">
        <v>-0.49515387608294797</v>
      </c>
      <c r="J9922" s="28">
        <v>0.62049150592582503</v>
      </c>
      <c r="K9922" s="29">
        <v>0.98289565623980701</v>
      </c>
    </row>
    <row r="9923" spans="1:11" x14ac:dyDescent="0.35">
      <c r="A9923" s="9" t="str">
        <f>HYPERLINK("http://www.ensembl.org/id/WBGene00018120", "WBGene00018120")</f>
        <v>WBGene00018120</v>
      </c>
      <c r="B9923" s="9" t="str">
        <f>HYPERLINK("http://www.ncbi.nlm.nih.gov/gene/177306", "177306")</f>
        <v>177306</v>
      </c>
      <c r="C9923" s="9"/>
      <c r="D9923" t="str">
        <f>"F36H12.4"</f>
        <v>F36H12.4</v>
      </c>
      <c r="F9923" t="s">
        <v>11</v>
      </c>
      <c r="H9923" s="12">
        <v>-3.4875081933357701</v>
      </c>
      <c r="I9923" s="20">
        <v>-0.72171686709354299</v>
      </c>
      <c r="J9923" s="28">
        <v>0.47046856976193202</v>
      </c>
      <c r="K9923" s="29">
        <v>0.98289565623980701</v>
      </c>
    </row>
    <row r="9924" spans="1:11" x14ac:dyDescent="0.35">
      <c r="A9924" s="9" t="str">
        <f>HYPERLINK("http://www.ensembl.org/id/WBGene00018121", "WBGene00018121")</f>
        <v>WBGene00018121</v>
      </c>
      <c r="B9924" s="9" t="str">
        <f>HYPERLINK("http://www.ncbi.nlm.nih.gov/gene/185395", "185395")</f>
        <v>185395</v>
      </c>
      <c r="C9924" s="9"/>
      <c r="D9924" t="str">
        <f>"F36H12.5"</f>
        <v>F36H12.5</v>
      </c>
      <c r="F9924" t="s">
        <v>11</v>
      </c>
      <c r="H9924" s="12">
        <v>-2.4587400958908598</v>
      </c>
      <c r="I9924" s="20">
        <v>-0.91157952943770404</v>
      </c>
      <c r="J9924" s="28">
        <v>0.36199010246278601</v>
      </c>
      <c r="K9924" s="29">
        <v>0.98289565623980701</v>
      </c>
    </row>
    <row r="9925" spans="1:11" x14ac:dyDescent="0.35">
      <c r="A9925" s="9" t="str">
        <f>HYPERLINK("http://www.ensembl.org/id/WBGene00018108", "WBGene00018108")</f>
        <v>WBGene00018108</v>
      </c>
      <c r="B9925" s="9" t="str">
        <f>HYPERLINK("http://www.ncbi.nlm.nih.gov/gene/173543", "173543")</f>
        <v>173543</v>
      </c>
      <c r="C9925" s="9"/>
      <c r="D9925" t="str">
        <f>"F36H5.10"</f>
        <v>F36H5.10</v>
      </c>
      <c r="F9925" t="s">
        <v>11</v>
      </c>
      <c r="G9925" t="s">
        <v>25</v>
      </c>
      <c r="H9925" s="12">
        <v>1.4760945064075</v>
      </c>
      <c r="I9925" s="20">
        <v>0.46664581965430602</v>
      </c>
      <c r="J9925" s="28">
        <v>0.64075329930624303</v>
      </c>
      <c r="K9925" s="29">
        <v>0.98289565623980701</v>
      </c>
    </row>
    <row r="9926" spans="1:11" x14ac:dyDescent="0.35">
      <c r="A9926" s="9" t="str">
        <f>HYPERLINK("http://www.ensembl.org/id/WBGene00270293", "WBGene00270293")</f>
        <v>WBGene00270293</v>
      </c>
      <c r="B9926" s="9" t="str">
        <f>HYPERLINK("http://www.ncbi.nlm.nih.gov/gene/28661649", "28661649")</f>
        <v>28661649</v>
      </c>
      <c r="C9926" s="9"/>
      <c r="D9926" t="str">
        <f>"F36H5.17"</f>
        <v>F36H5.17</v>
      </c>
      <c r="F9926" t="s">
        <v>11</v>
      </c>
      <c r="G9926" t="s">
        <v>54</v>
      </c>
      <c r="H9926" s="12">
        <v>1.2870854712456701</v>
      </c>
      <c r="I9926" s="20">
        <v>0.35332934991819598</v>
      </c>
      <c r="J9926" s="28">
        <v>0.72384154464118799</v>
      </c>
      <c r="K9926" s="29">
        <v>0.98289565623980701</v>
      </c>
    </row>
    <row r="9927" spans="1:11" x14ac:dyDescent="0.35">
      <c r="A9927" s="9" t="str">
        <f>HYPERLINK("http://www.ensembl.org/id/WBGene00018106", "WBGene00018106")</f>
        <v>WBGene00018106</v>
      </c>
      <c r="B9927" s="9" t="str">
        <f>HYPERLINK("http://www.ncbi.nlm.nih.gov/gene/185386", "185386")</f>
        <v>185386</v>
      </c>
      <c r="C9927" s="9"/>
      <c r="D9927" t="str">
        <f>"F36H5.8"</f>
        <v>F36H5.8</v>
      </c>
      <c r="F9927" t="s">
        <v>11</v>
      </c>
      <c r="G9927" t="s">
        <v>54</v>
      </c>
      <c r="H9927" s="12">
        <v>2.0897788690368699</v>
      </c>
      <c r="I9927" s="20">
        <v>1.18249410857222</v>
      </c>
      <c r="J9927" s="28">
        <v>0.237009701795385</v>
      </c>
      <c r="K9927" s="29">
        <v>0.98289565623980701</v>
      </c>
    </row>
    <row r="9928" spans="1:11" x14ac:dyDescent="0.35">
      <c r="A9928" s="9" t="str">
        <f>HYPERLINK("http://www.ensembl.org/id/WBGene00018110", "WBGene00018110")</f>
        <v>WBGene00018110</v>
      </c>
      <c r="B9928" s="9" t="str">
        <f>HYPERLINK("http://www.ncbi.nlm.nih.gov/gene/185388", "185388")</f>
        <v>185388</v>
      </c>
      <c r="C9928" s="9"/>
      <c r="D9928" t="str">
        <f>"F36H9.1"</f>
        <v>F36H9.1</v>
      </c>
      <c r="F9928" t="s">
        <v>11</v>
      </c>
      <c r="G9928" t="s">
        <v>4263</v>
      </c>
      <c r="H9928" s="12">
        <v>5.1105984548363699</v>
      </c>
      <c r="I9928" s="20">
        <v>0.61670563370264897</v>
      </c>
      <c r="J9928" s="28">
        <v>0.53742890461166004</v>
      </c>
      <c r="K9928" s="29">
        <v>0.98289565623980701</v>
      </c>
    </row>
    <row r="9929" spans="1:11" x14ac:dyDescent="0.35">
      <c r="A9929" s="9" t="str">
        <f>HYPERLINK("http://www.ensembl.org/id/WBGene00268194", "WBGene00268194")</f>
        <v>WBGene00268194</v>
      </c>
      <c r="B9929" s="9" t="str">
        <f>HYPERLINK("http://www.ncbi.nlm.nih.gov/gene/25502978", "25502978")</f>
        <v>25502978</v>
      </c>
      <c r="C9929" s="9"/>
      <c r="D9929" t="str">
        <f>"F36H9.10"</f>
        <v>F36H9.10</v>
      </c>
      <c r="F9929" t="s">
        <v>11</v>
      </c>
      <c r="H9929" s="12">
        <v>-2.4991590031922399</v>
      </c>
      <c r="I9929" s="20">
        <v>-0.26577412737581302</v>
      </c>
      <c r="J9929" s="28">
        <v>0.79041317015736101</v>
      </c>
      <c r="K9929" s="29">
        <v>0.98289565623980701</v>
      </c>
    </row>
    <row r="9930" spans="1:11" x14ac:dyDescent="0.35">
      <c r="A9930" s="9" t="str">
        <f>HYPERLINK("http://www.ensembl.org/id/WBGene00018111", "WBGene00018111")</f>
        <v>WBGene00018111</v>
      </c>
      <c r="B9930" s="9" t="str">
        <f>HYPERLINK("http://www.ncbi.nlm.nih.gov/gene/185389", "185389")</f>
        <v>185389</v>
      </c>
      <c r="C9930" s="9"/>
      <c r="D9930" t="str">
        <f>"F36H9.2"</f>
        <v>F36H9.2</v>
      </c>
      <c r="F9930" t="s">
        <v>11</v>
      </c>
      <c r="H9930" s="12">
        <v>-1.66497288292101</v>
      </c>
      <c r="I9930" s="20">
        <v>-0.65565393999514499</v>
      </c>
      <c r="J9930" s="28">
        <v>0.51204681102449701</v>
      </c>
      <c r="K9930" s="29">
        <v>0.98289565623980701</v>
      </c>
    </row>
    <row r="9931" spans="1:11" x14ac:dyDescent="0.35">
      <c r="A9931" s="9" t="str">
        <f>HYPERLINK("http://www.ensembl.org/id/WBGene00018112", "WBGene00018112")</f>
        <v>WBGene00018112</v>
      </c>
      <c r="B9931" s="9" t="str">
        <f>HYPERLINK("http://www.ncbi.nlm.nih.gov/gene/353436", "353436")</f>
        <v>353436</v>
      </c>
      <c r="C9931" s="9"/>
      <c r="D9931" t="str">
        <f>"F36H9.4"</f>
        <v>F36H9.4</v>
      </c>
      <c r="F9931" t="s">
        <v>11</v>
      </c>
      <c r="G9931" t="s">
        <v>101</v>
      </c>
      <c r="H9931" s="12">
        <v>-1.12977721353023</v>
      </c>
      <c r="I9931" s="20">
        <v>-0.297485881857662</v>
      </c>
      <c r="J9931" s="28">
        <v>0.766095585036494</v>
      </c>
      <c r="K9931" s="29">
        <v>0.98289565623980701</v>
      </c>
    </row>
    <row r="9932" spans="1:11" x14ac:dyDescent="0.35">
      <c r="A9932" s="9" t="str">
        <f>HYPERLINK("http://www.ensembl.org/id/WBGene00018113", "WBGene00018113")</f>
        <v>WBGene00018113</v>
      </c>
      <c r="B9932" s="9" t="str">
        <f>HYPERLINK("http://www.ncbi.nlm.nih.gov/gene/185391", "185391")</f>
        <v>185391</v>
      </c>
      <c r="C9932" s="9"/>
      <c r="D9932" t="str">
        <f>"F36H9.5"</f>
        <v>F36H9.5</v>
      </c>
      <c r="F9932" t="s">
        <v>11</v>
      </c>
      <c r="G9932" t="s">
        <v>557</v>
      </c>
      <c r="H9932" s="12">
        <v>-1.2972748102077301</v>
      </c>
      <c r="I9932" s="20">
        <v>-0.44255139096956703</v>
      </c>
      <c r="J9932" s="28">
        <v>0.65809025083356898</v>
      </c>
      <c r="K9932" s="29">
        <v>0.98289565623980701</v>
      </c>
    </row>
    <row r="9933" spans="1:11" x14ac:dyDescent="0.35">
      <c r="A9933" s="9" t="str">
        <f>HYPERLINK("http://www.ensembl.org/id/WBGene00018131", "WBGene00018131")</f>
        <v>WBGene00018131</v>
      </c>
      <c r="B9933" s="9" t="str">
        <f>HYPERLINK("http://www.ncbi.nlm.nih.gov/gene/175948", "175948")</f>
        <v>175948</v>
      </c>
      <c r="C9933" s="9" t="str">
        <f>HYPERLINK("http://www.ncbi.nlm.nih.gov/gene/7920", "7920")</f>
        <v>7920</v>
      </c>
      <c r="D9933" t="str">
        <f>"F37A4.1"</f>
        <v>F37A4.1</v>
      </c>
      <c r="F9933" t="s">
        <v>11</v>
      </c>
      <c r="G9933" t="s">
        <v>8052</v>
      </c>
      <c r="H9933" s="12">
        <v>-1.1585311019993101</v>
      </c>
      <c r="I9933" s="20">
        <v>-0.78502563894480604</v>
      </c>
      <c r="J9933" s="28">
        <v>0.43243853633511198</v>
      </c>
      <c r="K9933" s="29">
        <v>0.98289565623980701</v>
      </c>
    </row>
    <row r="9934" spans="1:11" x14ac:dyDescent="0.35">
      <c r="A9934" s="9" t="str">
        <f>HYPERLINK("http://www.ensembl.org/id/WBGene00018132", "WBGene00018132")</f>
        <v>WBGene00018132</v>
      </c>
      <c r="B9934" s="9" t="str">
        <f>HYPERLINK("http://www.ncbi.nlm.nih.gov/gene/175947", "175947")</f>
        <v>175947</v>
      </c>
      <c r="C9934" s="9"/>
      <c r="D9934" t="str">
        <f>"F37A4.2"</f>
        <v>F37A4.2</v>
      </c>
      <c r="F9934" t="s">
        <v>11</v>
      </c>
      <c r="G9934" t="s">
        <v>7281</v>
      </c>
      <c r="H9934" s="12">
        <v>-1.1170017460380699</v>
      </c>
      <c r="I9934" s="20">
        <v>-0.48139436990742102</v>
      </c>
      <c r="J9934" s="28">
        <v>0.63023623736199497</v>
      </c>
      <c r="K9934" s="29">
        <v>0.98289565623980701</v>
      </c>
    </row>
    <row r="9935" spans="1:11" x14ac:dyDescent="0.35">
      <c r="A9935" s="9" t="str">
        <f>HYPERLINK("http://www.ensembl.org/id/WBGene00018133", "WBGene00018133")</f>
        <v>WBGene00018133</v>
      </c>
      <c r="B9935" s="9" t="str">
        <f>HYPERLINK("http://www.ncbi.nlm.nih.gov/gene/185403", "185403")</f>
        <v>185403</v>
      </c>
      <c r="C9935" s="9"/>
      <c r="D9935" t="str">
        <f>"F37A4.3"</f>
        <v>F37A4.3</v>
      </c>
      <c r="F9935" t="s">
        <v>11</v>
      </c>
      <c r="G9935" t="s">
        <v>9620</v>
      </c>
      <c r="H9935" s="12">
        <v>-1.26571542155881</v>
      </c>
      <c r="I9935" s="20">
        <v>-0.360642696963409</v>
      </c>
      <c r="J9935" s="28">
        <v>0.71836656677251498</v>
      </c>
      <c r="K9935" s="29">
        <v>0.98289565623980701</v>
      </c>
    </row>
    <row r="9936" spans="1:11" x14ac:dyDescent="0.35">
      <c r="A9936" s="9" t="str">
        <f>HYPERLINK("http://www.ensembl.org/id/WBGene00018135", "WBGene00018135")</f>
        <v>WBGene00018135</v>
      </c>
      <c r="B9936" s="9" t="str">
        <f>HYPERLINK("http://www.ncbi.nlm.nih.gov/gene/185404", "185404")</f>
        <v>185404</v>
      </c>
      <c r="C9936" s="9"/>
      <c r="D9936" t="str">
        <f>"F37A4.5"</f>
        <v>F37A4.5</v>
      </c>
      <c r="F9936" t="s">
        <v>11</v>
      </c>
      <c r="G9936" t="s">
        <v>5127</v>
      </c>
      <c r="H9936" s="12">
        <v>1.23361786312591</v>
      </c>
      <c r="I9936" s="20">
        <v>0.35214265361126001</v>
      </c>
      <c r="J9936" s="28">
        <v>0.72473128150923305</v>
      </c>
      <c r="K9936" s="29">
        <v>0.98289565623980701</v>
      </c>
    </row>
    <row r="9937" spans="1:11" x14ac:dyDescent="0.35">
      <c r="A9937" s="9" t="str">
        <f>HYPERLINK("http://www.ensembl.org/id/WBGene00018136", "WBGene00018136")</f>
        <v>WBGene00018136</v>
      </c>
      <c r="B9937" s="9" t="str">
        <f>HYPERLINK("http://www.ncbi.nlm.nih.gov/gene/185405", "185405")</f>
        <v>185405</v>
      </c>
      <c r="C9937" s="9"/>
      <c r="D9937" t="str">
        <f>"F37A4.6"</f>
        <v>F37A4.6</v>
      </c>
      <c r="F9937" t="s">
        <v>11</v>
      </c>
      <c r="H9937" s="12">
        <v>2.1451016175672701</v>
      </c>
      <c r="I9937" s="20">
        <v>0.50050448870553899</v>
      </c>
      <c r="J9937" s="28">
        <v>0.616719896303215</v>
      </c>
      <c r="K9937" s="29">
        <v>0.98289565623980701</v>
      </c>
    </row>
    <row r="9938" spans="1:11" x14ac:dyDescent="0.35">
      <c r="A9938" s="9" t="str">
        <f>HYPERLINK("http://www.ensembl.org/id/WBGene00009501", "WBGene00009501")</f>
        <v>WBGene00009501</v>
      </c>
      <c r="B9938" s="9" t="str">
        <f>HYPERLINK("http://www.ncbi.nlm.nih.gov/gene/175510", "175510")</f>
        <v>175510</v>
      </c>
      <c r="C9938" s="9"/>
      <c r="D9938" t="str">
        <f>"F37A8.1"</f>
        <v>F37A8.1</v>
      </c>
      <c r="F9938" t="s">
        <v>11</v>
      </c>
      <c r="H9938" s="12">
        <v>2.95026851436449</v>
      </c>
      <c r="I9938" s="20">
        <v>0.73252219514183403</v>
      </c>
      <c r="J9938" s="28">
        <v>0.46384990072040899</v>
      </c>
      <c r="K9938" s="29">
        <v>0.98289565623980701</v>
      </c>
    </row>
    <row r="9939" spans="1:11" x14ac:dyDescent="0.35">
      <c r="A9939" s="9" t="str">
        <f>HYPERLINK("http://www.ensembl.org/id/WBGene00009502", "WBGene00009502")</f>
        <v>WBGene00009502</v>
      </c>
      <c r="B9939" s="9" t="str">
        <f>HYPERLINK("http://www.ncbi.nlm.nih.gov/gene/175511", "175511")</f>
        <v>175511</v>
      </c>
      <c r="C9939" s="9"/>
      <c r="D9939" t="str">
        <f>"F37A8.2"</f>
        <v>F37A8.2</v>
      </c>
      <c r="F9939" t="s">
        <v>11</v>
      </c>
      <c r="H9939" s="12">
        <v>-7.1498616266372901</v>
      </c>
      <c r="I9939" s="20">
        <v>-1.1316412434549701</v>
      </c>
      <c r="J9939" s="28">
        <v>0.25778529312513399</v>
      </c>
      <c r="K9939" s="29">
        <v>0.98289565623980701</v>
      </c>
    </row>
    <row r="9940" spans="1:11" x14ac:dyDescent="0.35">
      <c r="A9940" s="9" t="str">
        <f>HYPERLINK("http://www.ensembl.org/id/WBGene00219936", "WBGene00219936")</f>
        <v>WBGene00219936</v>
      </c>
      <c r="B9940" s="9"/>
      <c r="C9940" s="9"/>
      <c r="D9940" t="str">
        <f>"F37A8.7"</f>
        <v>F37A8.7</v>
      </c>
      <c r="F9940" t="s">
        <v>2977</v>
      </c>
      <c r="H9940" s="12">
        <v>-2.4295389261469</v>
      </c>
      <c r="I9940" s="20">
        <v>-0.25808529976640998</v>
      </c>
      <c r="J9940" s="28">
        <v>0.79634107645457397</v>
      </c>
      <c r="K9940" s="29">
        <v>0.98289565623980701</v>
      </c>
    </row>
    <row r="9941" spans="1:11" x14ac:dyDescent="0.35">
      <c r="A9941" s="9" t="str">
        <f>HYPERLINK("http://www.ensembl.org/id/WBGene00195708", "WBGene00195708")</f>
        <v>WBGene00195708</v>
      </c>
      <c r="B9941" s="9"/>
      <c r="C9941" s="9"/>
      <c r="D9941" t="str">
        <f>"F37B12.6"</f>
        <v>F37B12.6</v>
      </c>
      <c r="F9941" t="s">
        <v>481</v>
      </c>
      <c r="H9941" s="12">
        <v>7.8691597089380902</v>
      </c>
      <c r="I9941" s="20">
        <v>0.61251365190975104</v>
      </c>
      <c r="J9941" s="28">
        <v>0.54019796842331003</v>
      </c>
      <c r="K9941" s="29">
        <v>0.98289565623980701</v>
      </c>
    </row>
    <row r="9942" spans="1:11" x14ac:dyDescent="0.35">
      <c r="A9942" s="9" t="str">
        <f>HYPERLINK("http://www.ensembl.org/id/WBGene00044523", "WBGene00044523")</f>
        <v>WBGene00044523</v>
      </c>
      <c r="B9942" s="9"/>
      <c r="C9942" s="9"/>
      <c r="D9942" t="str">
        <f>"F37B4.14"</f>
        <v>F37B4.14</v>
      </c>
      <c r="F9942" t="s">
        <v>80</v>
      </c>
      <c r="H9942" s="12">
        <v>-2.32806922451122</v>
      </c>
      <c r="I9942" s="20">
        <v>-0.28296842763464503</v>
      </c>
      <c r="J9942" s="28">
        <v>0.77720103937969098</v>
      </c>
      <c r="K9942" s="29">
        <v>0.98289565623980701</v>
      </c>
    </row>
    <row r="9943" spans="1:11" x14ac:dyDescent="0.35">
      <c r="A9943" s="9" t="str">
        <f>HYPERLINK("http://www.ensembl.org/id/WBGene00018149", "WBGene00018149")</f>
        <v>WBGene00018149</v>
      </c>
      <c r="B9943" s="9" t="str">
        <f>HYPERLINK("http://www.ncbi.nlm.nih.gov/gene/176010", "176010")</f>
        <v>176010</v>
      </c>
      <c r="C9943" s="9" t="str">
        <f>HYPERLINK("http://www.ncbi.nlm.nih.gov/gene/55702", "55702")</f>
        <v>55702</v>
      </c>
      <c r="D9943" t="str">
        <f>"F37C12.1"</f>
        <v>F37C12.1</v>
      </c>
      <c r="F9943" t="s">
        <v>11</v>
      </c>
      <c r="G9943" t="s">
        <v>6713</v>
      </c>
      <c r="H9943" s="12">
        <v>-1.0858156806510499</v>
      </c>
      <c r="I9943" s="20">
        <v>-0.428628493518045</v>
      </c>
      <c r="J9943" s="28">
        <v>0.66819360624398605</v>
      </c>
      <c r="K9943" s="29">
        <v>0.98289565623980701</v>
      </c>
    </row>
    <row r="9944" spans="1:11" x14ac:dyDescent="0.35">
      <c r="A9944" s="9" t="str">
        <f>HYPERLINK("http://www.ensembl.org/id/WBGene00018155", "WBGene00018155")</f>
        <v>WBGene00018155</v>
      </c>
      <c r="B9944" s="9" t="str">
        <f>HYPERLINK("http://www.ncbi.nlm.nih.gov/gene/185424", "185424")</f>
        <v>185424</v>
      </c>
      <c r="C9944" s="9"/>
      <c r="D9944" t="str">
        <f>"F37C12.14"</f>
        <v>F37C12.14</v>
      </c>
      <c r="F9944" t="s">
        <v>11</v>
      </c>
      <c r="H9944" s="12">
        <v>9.5533178982728604</v>
      </c>
      <c r="I9944" s="20">
        <v>0.82773319044918403</v>
      </c>
      <c r="J9944" s="28">
        <v>0.40782161807902501</v>
      </c>
      <c r="K9944" s="29">
        <v>0.98289565623980701</v>
      </c>
    </row>
    <row r="9945" spans="1:11" x14ac:dyDescent="0.35">
      <c r="A9945" s="9" t="str">
        <f>HYPERLINK("http://www.ensembl.org/id/WBGene00018145", "WBGene00018145")</f>
        <v>WBGene00018145</v>
      </c>
      <c r="B9945" s="9" t="str">
        <f>HYPERLINK("http://www.ncbi.nlm.nih.gov/gene/177146", "177146")</f>
        <v>177146</v>
      </c>
      <c r="C9945" s="9"/>
      <c r="D9945" t="str">
        <f>"F37C4.5"</f>
        <v>F37C4.5</v>
      </c>
      <c r="F9945" t="s">
        <v>11</v>
      </c>
      <c r="G9945" t="s">
        <v>54</v>
      </c>
      <c r="H9945" s="12">
        <v>1.0992927898454901</v>
      </c>
      <c r="I9945" s="20">
        <v>0.530108945823073</v>
      </c>
      <c r="J9945" s="28">
        <v>0.59603639697016597</v>
      </c>
      <c r="K9945" s="29">
        <v>0.98289565623980701</v>
      </c>
    </row>
    <row r="9946" spans="1:11" x14ac:dyDescent="0.35">
      <c r="A9946" s="9" t="str">
        <f>HYPERLINK("http://www.ensembl.org/id/WBGene00018148", "WBGene00018148")</f>
        <v>WBGene00018148</v>
      </c>
      <c r="B9946" s="9" t="str">
        <f>HYPERLINK("http://www.ncbi.nlm.nih.gov/gene/185421", "185421")</f>
        <v>185421</v>
      </c>
      <c r="C9946" s="9"/>
      <c r="D9946" t="str">
        <f>"F37C4.8"</f>
        <v>F37C4.8</v>
      </c>
      <c r="F9946" t="s">
        <v>11</v>
      </c>
      <c r="G9946" t="s">
        <v>25</v>
      </c>
      <c r="H9946" s="12">
        <v>-2.82077238682509</v>
      </c>
      <c r="I9946" s="20">
        <v>-0.39885745974467901</v>
      </c>
      <c r="J9946" s="28">
        <v>0.68999823584143305</v>
      </c>
      <c r="K9946" s="29">
        <v>0.98289565623980701</v>
      </c>
    </row>
    <row r="9947" spans="1:11" x14ac:dyDescent="0.35">
      <c r="A9947" s="9" t="str">
        <f>HYPERLINK("http://www.ensembl.org/id/WBGene00199737", "WBGene00199737")</f>
        <v>WBGene00199737</v>
      </c>
      <c r="B9947" s="9"/>
      <c r="C9947" s="9"/>
      <c r="D9947" t="str">
        <f>"F37D6.10"</f>
        <v>F37D6.10</v>
      </c>
      <c r="F9947" t="s">
        <v>481</v>
      </c>
      <c r="H9947" s="12">
        <v>-4.7167679298615104</v>
      </c>
      <c r="I9947" s="20">
        <v>-0.454742638005115</v>
      </c>
      <c r="J9947" s="28">
        <v>0.64929440216969203</v>
      </c>
      <c r="K9947" s="29">
        <v>0.98289565623980701</v>
      </c>
    </row>
    <row r="9948" spans="1:11" x14ac:dyDescent="0.35">
      <c r="A9948" s="9" t="str">
        <f>HYPERLINK("http://www.ensembl.org/id/WBGene00009509", "WBGene00009509")</f>
        <v>WBGene00009509</v>
      </c>
      <c r="B9948" s="9" t="str">
        <f>HYPERLINK("http://www.ncbi.nlm.nih.gov/gene/185425", "185425")</f>
        <v>185425</v>
      </c>
      <c r="C9948" s="9"/>
      <c r="D9948" t="str">
        <f>"F37D6.3"</f>
        <v>F37D6.3</v>
      </c>
      <c r="F9948" t="s">
        <v>11</v>
      </c>
      <c r="G9948" t="s">
        <v>35</v>
      </c>
      <c r="H9948" s="12">
        <v>2.8963986312136898</v>
      </c>
      <c r="I9948" s="20">
        <v>1.09177524813205</v>
      </c>
      <c r="J9948" s="28">
        <v>0.27493190105471899</v>
      </c>
      <c r="K9948" s="29">
        <v>0.98289565623980701</v>
      </c>
    </row>
    <row r="9949" spans="1:11" x14ac:dyDescent="0.35">
      <c r="A9949" s="9" t="str">
        <f>HYPERLINK("http://www.ensembl.org/id/WBGene00195618", "WBGene00195618")</f>
        <v>WBGene00195618</v>
      </c>
      <c r="B9949" s="9"/>
      <c r="C9949" s="9"/>
      <c r="D9949" t="str">
        <f>"F37D6.7"</f>
        <v>F37D6.7</v>
      </c>
      <c r="F9949" t="s">
        <v>481</v>
      </c>
      <c r="H9949" s="12">
        <v>-3.5819448292659501</v>
      </c>
      <c r="I9949" s="20">
        <v>-0.37337717500031398</v>
      </c>
      <c r="J9949" s="28">
        <v>0.70886774492290605</v>
      </c>
      <c r="K9949" s="29">
        <v>0.98289565623980701</v>
      </c>
    </row>
    <row r="9950" spans="1:11" x14ac:dyDescent="0.35">
      <c r="A9950" s="9" t="str">
        <f>HYPERLINK("http://www.ensembl.org/id/WBGene00219937", "WBGene00219937")</f>
        <v>WBGene00219937</v>
      </c>
      <c r="B9950" s="9"/>
      <c r="C9950" s="9"/>
      <c r="D9950" t="str">
        <f>"F37F2.4"</f>
        <v>F37F2.4</v>
      </c>
      <c r="F9950" t="s">
        <v>2977</v>
      </c>
      <c r="H9950" s="12">
        <v>2.4578120077400301</v>
      </c>
      <c r="I9950" s="20">
        <v>0.26093350314551</v>
      </c>
      <c r="J9950" s="28">
        <v>0.79414378780213601</v>
      </c>
      <c r="K9950" s="29">
        <v>0.98289565623980701</v>
      </c>
    </row>
    <row r="9951" spans="1:11" x14ac:dyDescent="0.35">
      <c r="A9951" s="9" t="str">
        <f>HYPERLINK("http://www.ensembl.org/id/WBGene00009511", "WBGene00009511")</f>
        <v>WBGene00009511</v>
      </c>
      <c r="B9951" s="9" t="str">
        <f>HYPERLINK("http://www.ncbi.nlm.nih.gov/gene/185431", "185431")</f>
        <v>185431</v>
      </c>
      <c r="C9951" s="9"/>
      <c r="D9951" t="str">
        <f>"F37H8.2"</f>
        <v>F37H8.2</v>
      </c>
      <c r="F9951" t="s">
        <v>11</v>
      </c>
      <c r="H9951" s="12">
        <v>1.3152160249658</v>
      </c>
      <c r="I9951" s="20">
        <v>0.95062543795566701</v>
      </c>
      <c r="J9951" s="28">
        <v>0.34179455067708697</v>
      </c>
      <c r="K9951" s="29">
        <v>0.98289565623980701</v>
      </c>
    </row>
    <row r="9952" spans="1:11" x14ac:dyDescent="0.35">
      <c r="A9952" s="9" t="str">
        <f>HYPERLINK("http://www.ensembl.org/id/WBGene00194955", "WBGene00194955")</f>
        <v>WBGene00194955</v>
      </c>
      <c r="B9952" s="9" t="str">
        <f>HYPERLINK("http://www.ncbi.nlm.nih.gov/gene/13187037", "13187037")</f>
        <v>13187037</v>
      </c>
      <c r="C9952" s="9"/>
      <c r="D9952" t="str">
        <f>"F37H8.6"</f>
        <v>F37H8.6</v>
      </c>
      <c r="F9952" t="s">
        <v>11</v>
      </c>
      <c r="H9952" s="12">
        <v>1.6154595343576099</v>
      </c>
      <c r="I9952" s="20">
        <v>0.87070013993453799</v>
      </c>
      <c r="J9952" s="28">
        <v>0.383917902069771</v>
      </c>
      <c r="K9952" s="29">
        <v>0.98289565623980701</v>
      </c>
    </row>
    <row r="9953" spans="1:11" x14ac:dyDescent="0.35">
      <c r="A9953" s="9" t="str">
        <f>HYPERLINK("http://www.ensembl.org/id/WBGene00009524", "WBGene00009524")</f>
        <v>WBGene00009524</v>
      </c>
      <c r="B9953" s="9" t="str">
        <f>HYPERLINK("http://www.ncbi.nlm.nih.gov/gene/185441", "185441")</f>
        <v>185441</v>
      </c>
      <c r="C9953" s="9"/>
      <c r="D9953" t="str">
        <f>"F38A1.11"</f>
        <v>F38A1.11</v>
      </c>
      <c r="F9953" t="s">
        <v>11</v>
      </c>
      <c r="H9953" s="12">
        <v>5.2322000618327396</v>
      </c>
      <c r="I9953" s="20">
        <v>0.486112489888328</v>
      </c>
      <c r="J9953" s="28">
        <v>0.62688741196182496</v>
      </c>
      <c r="K9953" s="29">
        <v>0.98289565623980701</v>
      </c>
    </row>
    <row r="9954" spans="1:11" x14ac:dyDescent="0.35">
      <c r="A9954" s="9" t="str">
        <f>HYPERLINK("http://www.ensembl.org/id/WBGene00009525", "WBGene00009525")</f>
        <v>WBGene00009525</v>
      </c>
      <c r="B9954" s="9" t="str">
        <f>HYPERLINK("http://www.ncbi.nlm.nih.gov/gene/185442", "185442")</f>
        <v>185442</v>
      </c>
      <c r="C9954" s="9"/>
      <c r="D9954" t="str">
        <f>"F38A1.13"</f>
        <v>F38A1.13</v>
      </c>
      <c r="F9954" t="s">
        <v>11</v>
      </c>
      <c r="H9954" s="12">
        <v>-2.4991590031922399</v>
      </c>
      <c r="I9954" s="20">
        <v>-0.26577412737581302</v>
      </c>
      <c r="J9954" s="28">
        <v>0.79041317015736101</v>
      </c>
      <c r="K9954" s="29">
        <v>0.98289565623980701</v>
      </c>
    </row>
    <row r="9955" spans="1:11" x14ac:dyDescent="0.35">
      <c r="A9955" s="9" t="str">
        <f>HYPERLINK("http://www.ensembl.org/id/WBGene00044908", "WBGene00044908")</f>
        <v>WBGene00044908</v>
      </c>
      <c r="B9955" s="9" t="str">
        <f>HYPERLINK("http://www.ncbi.nlm.nih.gov/gene/4927004", "4927004")</f>
        <v>4927004</v>
      </c>
      <c r="C9955" s="9"/>
      <c r="D9955" t="str">
        <f>"F38A1.15"</f>
        <v>F38A1.15</v>
      </c>
      <c r="F9955" t="s">
        <v>11</v>
      </c>
      <c r="H9955" s="12">
        <v>-1.85623848816815</v>
      </c>
      <c r="I9955" s="20">
        <v>-0.399246418353084</v>
      </c>
      <c r="J9955" s="28">
        <v>0.68971164362697102</v>
      </c>
      <c r="K9955" s="29">
        <v>0.98289565623980701</v>
      </c>
    </row>
    <row r="9956" spans="1:11" x14ac:dyDescent="0.35">
      <c r="A9956" s="9" t="str">
        <f>HYPERLINK("http://www.ensembl.org/id/WBGene00009521", "WBGene00009521")</f>
        <v>WBGene00009521</v>
      </c>
      <c r="B9956" s="9" t="str">
        <f>HYPERLINK("http://www.ncbi.nlm.nih.gov/gene/185438", "185438")</f>
        <v>185438</v>
      </c>
      <c r="C9956" s="9" t="str">
        <f>HYPERLINK("http://www.ncbi.nlm.nih.gov/gene/6734", "6734")</f>
        <v>6734</v>
      </c>
      <c r="D9956" t="str">
        <f>"F38A1.8"</f>
        <v>F38A1.8</v>
      </c>
      <c r="F9956" t="s">
        <v>11</v>
      </c>
      <c r="G9956" t="s">
        <v>6602</v>
      </c>
      <c r="H9956" s="12">
        <v>-1.0790763455869301</v>
      </c>
      <c r="I9956" s="20">
        <v>-0.406251524400008</v>
      </c>
      <c r="J9956" s="28">
        <v>0.68455779941156303</v>
      </c>
      <c r="K9956" s="29">
        <v>0.98289565623980701</v>
      </c>
    </row>
    <row r="9957" spans="1:11" x14ac:dyDescent="0.35">
      <c r="A9957" s="9" t="str">
        <f>HYPERLINK("http://www.ensembl.org/id/WBGene00009522", "WBGene00009522")</f>
        <v>WBGene00009522</v>
      </c>
      <c r="B9957" s="9" t="str">
        <f>HYPERLINK("http://www.ncbi.nlm.nih.gov/gene/185439", "185439")</f>
        <v>185439</v>
      </c>
      <c r="C9957" s="9"/>
      <c r="D9957" t="str">
        <f>"F38A1.9"</f>
        <v>F38A1.9</v>
      </c>
      <c r="F9957" t="s">
        <v>11</v>
      </c>
      <c r="H9957" s="12">
        <v>-1.69708459830505</v>
      </c>
      <c r="I9957" s="20">
        <v>-0.60820078446977999</v>
      </c>
      <c r="J9957" s="28">
        <v>0.543054314396893</v>
      </c>
      <c r="K9957" s="29">
        <v>0.98289565623980701</v>
      </c>
    </row>
    <row r="9958" spans="1:11" x14ac:dyDescent="0.35">
      <c r="A9958" s="9" t="str">
        <f>HYPERLINK("http://www.ensembl.org/id/WBGene00196546", "WBGene00196546")</f>
        <v>WBGene00196546</v>
      </c>
      <c r="B9958" s="9"/>
      <c r="C9958" s="9"/>
      <c r="D9958" t="str">
        <f>"F38A3.3"</f>
        <v>F38A3.3</v>
      </c>
      <c r="F9958" t="s">
        <v>481</v>
      </c>
      <c r="H9958" s="12">
        <v>2.3893468495514898</v>
      </c>
      <c r="I9958" s="20">
        <v>0.25323547253672701</v>
      </c>
      <c r="J9958" s="28">
        <v>0.80008625651646104</v>
      </c>
      <c r="K9958" s="29">
        <v>0.98289565623980701</v>
      </c>
    </row>
    <row r="9959" spans="1:11" x14ac:dyDescent="0.35">
      <c r="A9959" s="9" t="str">
        <f>HYPERLINK("http://www.ensembl.org/id/WBGene00009528", "WBGene00009528")</f>
        <v>WBGene00009528</v>
      </c>
      <c r="B9959" s="9" t="str">
        <f>HYPERLINK("http://www.ncbi.nlm.nih.gov/gene/259687", "259687")</f>
        <v>259687</v>
      </c>
      <c r="C9959" s="9"/>
      <c r="D9959" t="str">
        <f>"F38A6.4"</f>
        <v>F38A6.4</v>
      </c>
      <c r="F9959" t="s">
        <v>11</v>
      </c>
      <c r="H9959" s="12">
        <v>1.50104547012836</v>
      </c>
      <c r="I9959" s="20">
        <v>0.53642711185768699</v>
      </c>
      <c r="J9959" s="28">
        <v>0.59166339797165302</v>
      </c>
      <c r="K9959" s="29">
        <v>0.98289565623980701</v>
      </c>
    </row>
    <row r="9960" spans="1:11" x14ac:dyDescent="0.35">
      <c r="A9960" s="9" t="str">
        <f>HYPERLINK("http://www.ensembl.org/id/WBGene00086569", "WBGene00086569")</f>
        <v>WBGene00086569</v>
      </c>
      <c r="B9960" s="9" t="str">
        <f>HYPERLINK("http://www.ncbi.nlm.nih.gov/gene/7040128", "7040128")</f>
        <v>7040128</v>
      </c>
      <c r="C9960" s="9"/>
      <c r="D9960" t="str">
        <f>"F38A6.5"</f>
        <v>F38A6.5</v>
      </c>
      <c r="F9960" t="s">
        <v>11</v>
      </c>
      <c r="H9960" s="12">
        <v>-1.2573336152694401</v>
      </c>
      <c r="I9960" s="20">
        <v>-0.72783300677042895</v>
      </c>
      <c r="J9960" s="28">
        <v>0.46671581685706498</v>
      </c>
      <c r="K9960" s="29">
        <v>0.98289565623980701</v>
      </c>
    </row>
    <row r="9961" spans="1:11" x14ac:dyDescent="0.35">
      <c r="A9961" s="9" t="str">
        <f>HYPERLINK("http://www.ensembl.org/id/WBGene00197481", "WBGene00197481")</f>
        <v>WBGene00197481</v>
      </c>
      <c r="B9961" s="9"/>
      <c r="C9961" s="9"/>
      <c r="D9961" t="str">
        <f>"F38A6.6"</f>
        <v>F38A6.6</v>
      </c>
      <c r="F9961" t="s">
        <v>481</v>
      </c>
      <c r="H9961" s="12">
        <v>4.8330720971898202</v>
      </c>
      <c r="I9961" s="20">
        <v>0.53826283632608196</v>
      </c>
      <c r="J9961" s="28">
        <v>0.59039560452453599</v>
      </c>
      <c r="K9961" s="29">
        <v>0.98289565623980701</v>
      </c>
    </row>
    <row r="9962" spans="1:11" x14ac:dyDescent="0.35">
      <c r="A9962" s="9" t="str">
        <f>HYPERLINK("http://www.ensembl.org/id/WBGene00201730", "WBGene00201730")</f>
        <v>WBGene00201730</v>
      </c>
      <c r="B9962" s="9"/>
      <c r="C9962" s="9"/>
      <c r="D9962" t="str">
        <f>"F38A6.8"</f>
        <v>F38A6.8</v>
      </c>
      <c r="F9962" t="s">
        <v>481</v>
      </c>
      <c r="H9962" s="12">
        <v>16.698151317844101</v>
      </c>
      <c r="I9962" s="20">
        <v>1.0639376854392499</v>
      </c>
      <c r="J9962" s="28">
        <v>0.28735692964741999</v>
      </c>
      <c r="K9962" s="29">
        <v>0.98289565623980701</v>
      </c>
    </row>
    <row r="9963" spans="1:11" x14ac:dyDescent="0.35">
      <c r="A9963" s="9" t="str">
        <f>HYPERLINK("http://www.ensembl.org/id/WBGene00009531", "WBGene00009531")</f>
        <v>WBGene00009531</v>
      </c>
      <c r="B9963" s="9" t="str">
        <f>HYPERLINK("http://www.ncbi.nlm.nih.gov/gene/181317", "181317")</f>
        <v>181317</v>
      </c>
      <c r="C9963" s="9" t="str">
        <f>HYPERLINK("http://www.ncbi.nlm.nih.gov/gene/203", "203")</f>
        <v>203</v>
      </c>
      <c r="D9963" t="str">
        <f>"F38B2.4"</f>
        <v>F38B2.4</v>
      </c>
      <c r="E9963" t="s">
        <v>5674</v>
      </c>
      <c r="F9963" t="s">
        <v>11</v>
      </c>
      <c r="G9963" t="s">
        <v>5675</v>
      </c>
      <c r="H9963" s="12">
        <v>1.12492162004259</v>
      </c>
      <c r="I9963" s="20">
        <v>0.603015456752102</v>
      </c>
      <c r="J9963" s="28">
        <v>0.54649840669086402</v>
      </c>
      <c r="K9963" s="29">
        <v>0.98289565623980701</v>
      </c>
    </row>
    <row r="9964" spans="1:11" x14ac:dyDescent="0.35">
      <c r="A9964" s="9" t="str">
        <f>HYPERLINK("http://www.ensembl.org/id/WBGene00194663", "WBGene00194663")</f>
        <v>WBGene00194663</v>
      </c>
      <c r="B9964" s="9" t="str">
        <f>HYPERLINK("http://www.ncbi.nlm.nih.gov/gene/13222788", "13222788")</f>
        <v>13222788</v>
      </c>
      <c r="C9964" s="9"/>
      <c r="D9964" t="str">
        <f>"F38B2.6"</f>
        <v>F38B2.6</v>
      </c>
      <c r="F9964" t="s">
        <v>11</v>
      </c>
      <c r="H9964" s="12">
        <v>-1.26873122904411</v>
      </c>
      <c r="I9964" s="20">
        <v>-1.1319764844607101</v>
      </c>
      <c r="J9964" s="28">
        <v>0.25764432092769002</v>
      </c>
      <c r="K9964" s="29">
        <v>0.98289565623980701</v>
      </c>
    </row>
    <row r="9965" spans="1:11" x14ac:dyDescent="0.35">
      <c r="A9965" s="9" t="str">
        <f>HYPERLINK("http://www.ensembl.org/id/WBGene00201158", "WBGene00201158")</f>
        <v>WBGene00201158</v>
      </c>
      <c r="B9965" s="9"/>
      <c r="C9965" s="9"/>
      <c r="D9965" t="str">
        <f>"F38B6.19"</f>
        <v>F38B6.19</v>
      </c>
      <c r="F9965" t="s">
        <v>481</v>
      </c>
      <c r="H9965" s="12">
        <v>4.6387698961716399</v>
      </c>
      <c r="I9965" s="20">
        <v>0.44985450087338802</v>
      </c>
      <c r="J9965" s="28">
        <v>0.65281535672642099</v>
      </c>
      <c r="K9965" s="29">
        <v>0.98289565623980701</v>
      </c>
    </row>
    <row r="9966" spans="1:11" x14ac:dyDescent="0.35">
      <c r="A9966" s="9" t="str">
        <f>HYPERLINK("http://www.ensembl.org/id/WBGene00018172", "WBGene00018172")</f>
        <v>WBGene00018172</v>
      </c>
      <c r="B9966" s="9" t="str">
        <f>HYPERLINK("http://www.ncbi.nlm.nih.gov/gene/185452", "185452")</f>
        <v>185452</v>
      </c>
      <c r="C9966" s="9"/>
      <c r="D9966" t="str">
        <f>"F38B6.2"</f>
        <v>F38B6.2</v>
      </c>
      <c r="F9966" t="s">
        <v>11</v>
      </c>
      <c r="H9966" s="12">
        <v>4.5781540549320603</v>
      </c>
      <c r="I9966" s="20">
        <v>1.20441346597896</v>
      </c>
      <c r="J9966" s="28">
        <v>0.228429809875076</v>
      </c>
      <c r="K9966" s="29">
        <v>0.98289565623980701</v>
      </c>
    </row>
    <row r="9967" spans="1:11" x14ac:dyDescent="0.35">
      <c r="A9967" s="9" t="str">
        <f>HYPERLINK("http://www.ensembl.org/id/WBGene00202217", "WBGene00202217")</f>
        <v>WBGene00202217</v>
      </c>
      <c r="B9967" s="9"/>
      <c r="C9967" s="9"/>
      <c r="D9967" t="str">
        <f>"F38B6.24"</f>
        <v>F38B6.24</v>
      </c>
      <c r="F9967" t="s">
        <v>481</v>
      </c>
      <c r="H9967" s="12">
        <v>2.3893468495514898</v>
      </c>
      <c r="I9967" s="20">
        <v>0.25323547253672701</v>
      </c>
      <c r="J9967" s="28">
        <v>0.80008625651646104</v>
      </c>
      <c r="K9967" s="29">
        <v>0.98289565623980701</v>
      </c>
    </row>
    <row r="9968" spans="1:11" x14ac:dyDescent="0.35">
      <c r="A9968" s="9" t="str">
        <f>HYPERLINK("http://www.ensembl.org/id/WBGene00018173", "WBGene00018173")</f>
        <v>WBGene00018173</v>
      </c>
      <c r="B9968" s="9" t="str">
        <f>HYPERLINK("http://www.ncbi.nlm.nih.gov/gene/185453", "185453")</f>
        <v>185453</v>
      </c>
      <c r="C9968" s="9"/>
      <c r="D9968" t="str">
        <f>"F38B6.3"</f>
        <v>F38B6.3</v>
      </c>
      <c r="F9968" t="s">
        <v>11</v>
      </c>
      <c r="G9968" t="s">
        <v>25</v>
      </c>
      <c r="H9968" s="12">
        <v>1.2674811884003101</v>
      </c>
      <c r="I9968" s="20">
        <v>0.27196012768688299</v>
      </c>
      <c r="J9968" s="28">
        <v>0.78565267767014901</v>
      </c>
      <c r="K9968" s="29">
        <v>0.98289565623980701</v>
      </c>
    </row>
    <row r="9969" spans="1:11" x14ac:dyDescent="0.35">
      <c r="A9969" s="9" t="str">
        <f>HYPERLINK("http://www.ensembl.org/id/WBGene00018175", "WBGene00018175")</f>
        <v>WBGene00018175</v>
      </c>
      <c r="B9969" s="9" t="str">
        <f>HYPERLINK("http://www.ncbi.nlm.nih.gov/gene/185454", "185454")</f>
        <v>185454</v>
      </c>
      <c r="C9969" s="9" t="str">
        <f>HYPERLINK("http://www.ncbi.nlm.nih.gov/gene/84899", "84899")</f>
        <v>84899</v>
      </c>
      <c r="D9969" t="str">
        <f>"F38B6.6"</f>
        <v>F38B6.6</v>
      </c>
      <c r="E9969" t="s">
        <v>4848</v>
      </c>
      <c r="F9969" t="s">
        <v>11</v>
      </c>
      <c r="G9969" t="s">
        <v>4849</v>
      </c>
      <c r="H9969" s="12">
        <v>1.3350177888369099</v>
      </c>
      <c r="I9969" s="20">
        <v>1.0267114088698299</v>
      </c>
      <c r="J9969" s="28">
        <v>0.304556375487266</v>
      </c>
      <c r="K9969" s="29">
        <v>0.98289565623980701</v>
      </c>
    </row>
    <row r="9970" spans="1:11" x14ac:dyDescent="0.35">
      <c r="A9970" s="9" t="str">
        <f>HYPERLINK("http://www.ensembl.org/id/WBGene00044575", "WBGene00044575")</f>
        <v>WBGene00044575</v>
      </c>
      <c r="B9970" s="9" t="str">
        <f>HYPERLINK("http://www.ncbi.nlm.nih.gov/gene/3896894", "3896894")</f>
        <v>3896894</v>
      </c>
      <c r="C9970" s="9"/>
      <c r="D9970" t="str">
        <f>"F38B6.8"</f>
        <v>F38B6.8</v>
      </c>
      <c r="F9970" t="s">
        <v>11</v>
      </c>
      <c r="H9970" s="12">
        <v>4.5615672134496297</v>
      </c>
      <c r="I9970" s="20">
        <v>0.60001680761973897</v>
      </c>
      <c r="J9970" s="28">
        <v>0.54849503413180201</v>
      </c>
      <c r="K9970" s="29">
        <v>0.98289565623980701</v>
      </c>
    </row>
    <row r="9971" spans="1:11" x14ac:dyDescent="0.35">
      <c r="A9971" s="9" t="str">
        <f>HYPERLINK("http://www.ensembl.org/id/WBGene00077536", "WBGene00077536")</f>
        <v>WBGene00077536</v>
      </c>
      <c r="B9971" s="9" t="str">
        <f>HYPERLINK("http://www.ncbi.nlm.nih.gov/gene/6418738", "6418738")</f>
        <v>6418738</v>
      </c>
      <c r="C9971" s="9"/>
      <c r="D9971" t="str">
        <f>"F38B7.10"</f>
        <v>F38B7.10</v>
      </c>
      <c r="F9971" t="s">
        <v>11</v>
      </c>
      <c r="G9971" t="s">
        <v>25</v>
      </c>
      <c r="H9971" s="12">
        <v>1.73020641153778</v>
      </c>
      <c r="I9971" s="20">
        <v>0.537630801562623</v>
      </c>
      <c r="J9971" s="28">
        <v>0.59083196105675195</v>
      </c>
      <c r="K9971" s="29">
        <v>0.98289565623980701</v>
      </c>
    </row>
    <row r="9972" spans="1:11" x14ac:dyDescent="0.35">
      <c r="A9972" s="9" t="str">
        <f>HYPERLINK("http://www.ensembl.org/id/WBGene00196790", "WBGene00196790")</f>
        <v>WBGene00196790</v>
      </c>
      <c r="B9972" s="9"/>
      <c r="C9972" s="9"/>
      <c r="D9972" t="str">
        <f>"F38B7.13"</f>
        <v>F38B7.13</v>
      </c>
      <c r="F9972" t="s">
        <v>481</v>
      </c>
      <c r="H9972" s="12">
        <v>2.3893468495514898</v>
      </c>
      <c r="I9972" s="20">
        <v>0.25323547253672701</v>
      </c>
      <c r="J9972" s="28">
        <v>0.80008625651646104</v>
      </c>
      <c r="K9972" s="29">
        <v>0.98289565623980701</v>
      </c>
    </row>
    <row r="9973" spans="1:11" x14ac:dyDescent="0.35">
      <c r="A9973" s="9" t="str">
        <f>HYPERLINK("http://www.ensembl.org/id/WBGene00304181", "WBGene00304181")</f>
        <v>WBGene00304181</v>
      </c>
      <c r="B9973" s="9"/>
      <c r="C9973" s="9"/>
      <c r="D9973" t="str">
        <f>"F38B7.17"</f>
        <v>F38B7.17</v>
      </c>
      <c r="F9973" t="s">
        <v>11</v>
      </c>
      <c r="H9973" s="12">
        <v>-3.7261494131482999</v>
      </c>
      <c r="I9973" s="20">
        <v>-0.38454673129429601</v>
      </c>
      <c r="J9973" s="28">
        <v>0.70057326682554</v>
      </c>
      <c r="K9973" s="29">
        <v>0.98289565623980701</v>
      </c>
    </row>
    <row r="9974" spans="1:11" x14ac:dyDescent="0.35">
      <c r="A9974" s="9" t="str">
        <f>HYPERLINK("http://www.ensembl.org/id/WBGene00009534", "WBGene00009534")</f>
        <v>WBGene00009534</v>
      </c>
      <c r="B9974" s="9" t="str">
        <f>HYPERLINK("http://www.ncbi.nlm.nih.gov/gene/179585", "179585")</f>
        <v>179585</v>
      </c>
      <c r="C9974" s="9"/>
      <c r="D9974" t="str">
        <f>"F38B7.3"</f>
        <v>F38B7.3</v>
      </c>
      <c r="F9974" t="s">
        <v>11</v>
      </c>
      <c r="G9974" t="s">
        <v>5305</v>
      </c>
      <c r="H9974" s="12">
        <v>1.1916371579927501</v>
      </c>
      <c r="I9974" s="20">
        <v>0.93009916085898303</v>
      </c>
      <c r="J9974" s="28">
        <v>0.352319745223104</v>
      </c>
      <c r="K9974" s="29">
        <v>0.98289565623980701</v>
      </c>
    </row>
    <row r="9975" spans="1:11" x14ac:dyDescent="0.35">
      <c r="A9975" s="9" t="str">
        <f>HYPERLINK("http://www.ensembl.org/id/WBGene00009536", "WBGene00009536")</f>
        <v>WBGene00009536</v>
      </c>
      <c r="B9975" s="9" t="str">
        <f>HYPERLINK("http://www.ncbi.nlm.nih.gov/gene/185461", "185461")</f>
        <v>185461</v>
      </c>
      <c r="C9975" s="9"/>
      <c r="D9975" t="str">
        <f>"F38C2.4"</f>
        <v>F38C2.4</v>
      </c>
      <c r="F9975" t="s">
        <v>11</v>
      </c>
      <c r="G9975" t="s">
        <v>25</v>
      </c>
      <c r="H9975" s="12">
        <v>-1.31960915869708</v>
      </c>
      <c r="I9975" s="20">
        <v>-1.0439276827963699</v>
      </c>
      <c r="J9975" s="28">
        <v>0.29651884928893102</v>
      </c>
      <c r="K9975" s="29">
        <v>0.98289565623980701</v>
      </c>
    </row>
    <row r="9976" spans="1:11" x14ac:dyDescent="0.35">
      <c r="A9976" s="9" t="str">
        <f>HYPERLINK("http://www.ensembl.org/id/WBGene00009539", "WBGene00009539")</f>
        <v>WBGene00009539</v>
      </c>
      <c r="B9976" s="9" t="str">
        <f>HYPERLINK("http://www.ncbi.nlm.nih.gov/gene/185463", "185463")</f>
        <v>185463</v>
      </c>
      <c r="C9976" s="9"/>
      <c r="D9976" t="str">
        <f>"F38C2.7"</f>
        <v>F38C2.7</v>
      </c>
      <c r="F9976" t="s">
        <v>11</v>
      </c>
      <c r="G9976" t="s">
        <v>4675</v>
      </c>
      <c r="H9976" s="12">
        <v>-7.4081963717179304</v>
      </c>
      <c r="I9976" s="20">
        <v>-0.93426107362742405</v>
      </c>
      <c r="J9976" s="28">
        <v>0.350169238636651</v>
      </c>
      <c r="K9976" s="29">
        <v>0.98289565623980701</v>
      </c>
    </row>
    <row r="9977" spans="1:11" x14ac:dyDescent="0.35">
      <c r="A9977" s="9" t="str">
        <f>HYPERLINK("http://www.ensembl.org/id/WBGene00018182", "WBGene00018182")</f>
        <v>WBGene00018182</v>
      </c>
      <c r="B9977" s="9" t="str">
        <f>HYPERLINK("http://www.ncbi.nlm.nih.gov/gene/185466", "185466")</f>
        <v>185466</v>
      </c>
      <c r="C9977" s="9"/>
      <c r="D9977" t="str">
        <f>"F38E1.10"</f>
        <v>F38E1.10</v>
      </c>
      <c r="F9977" t="s">
        <v>11</v>
      </c>
      <c r="H9977" s="12">
        <v>-2.4295389261469</v>
      </c>
      <c r="I9977" s="20">
        <v>-0.25808529976640998</v>
      </c>
      <c r="J9977" s="28">
        <v>0.79634107645457397</v>
      </c>
      <c r="K9977" s="29">
        <v>0.98289565623980701</v>
      </c>
    </row>
    <row r="9978" spans="1:11" x14ac:dyDescent="0.35">
      <c r="A9978" s="9" t="str">
        <f>HYPERLINK("http://www.ensembl.org/id/WBGene00018178", "WBGene00018178")</f>
        <v>WBGene00018178</v>
      </c>
      <c r="B9978" s="9" t="str">
        <f>HYPERLINK("http://www.ncbi.nlm.nih.gov/gene/179220", "179220")</f>
        <v>179220</v>
      </c>
      <c r="C9978" s="9"/>
      <c r="D9978" t="str">
        <f>"F38E1.3"</f>
        <v>F38E1.3</v>
      </c>
      <c r="F9978" t="s">
        <v>11</v>
      </c>
      <c r="G9978" t="s">
        <v>961</v>
      </c>
      <c r="H9978" s="12">
        <v>-2.21844703851409</v>
      </c>
      <c r="I9978" s="20">
        <v>-0.336486104981294</v>
      </c>
      <c r="J9978" s="28">
        <v>0.73650432797587395</v>
      </c>
      <c r="K9978" s="29">
        <v>0.98289565623980701</v>
      </c>
    </row>
    <row r="9979" spans="1:11" x14ac:dyDescent="0.35">
      <c r="A9979" s="9" t="str">
        <f>HYPERLINK("http://www.ensembl.org/id/WBGene00018179", "WBGene00018179")</f>
        <v>WBGene00018179</v>
      </c>
      <c r="B9979" s="9" t="str">
        <f>HYPERLINK("http://www.ncbi.nlm.nih.gov/gene/185464", "185464")</f>
        <v>185464</v>
      </c>
      <c r="C9979" s="9"/>
      <c r="D9979" t="str">
        <f>"F38E1.6"</f>
        <v>F38E1.6</v>
      </c>
      <c r="F9979" t="s">
        <v>11</v>
      </c>
      <c r="G9979" t="s">
        <v>1015</v>
      </c>
      <c r="H9979" s="12">
        <v>13.456503093714</v>
      </c>
      <c r="I9979" s="20">
        <v>0.90977004478847401</v>
      </c>
      <c r="J9979" s="28">
        <v>0.36294379535114901</v>
      </c>
      <c r="K9979" s="29">
        <v>0.98289565623980701</v>
      </c>
    </row>
    <row r="9980" spans="1:11" x14ac:dyDescent="0.35">
      <c r="A9980" s="9" t="str">
        <f>HYPERLINK("http://www.ensembl.org/id/WBGene00014367", "WBGene00014367")</f>
        <v>WBGene00014367</v>
      </c>
      <c r="B9980" s="9"/>
      <c r="C9980" s="9"/>
      <c r="D9980" t="str">
        <f>"F38E11.11"</f>
        <v>F38E11.11</v>
      </c>
      <c r="F9980" t="s">
        <v>4205</v>
      </c>
      <c r="H9980" s="12">
        <v>11.170998397396099</v>
      </c>
      <c r="I9980" s="20">
        <v>0.72284615686154896</v>
      </c>
      <c r="J9980" s="28">
        <v>0.46977440626377698</v>
      </c>
      <c r="K9980" s="29">
        <v>0.98289565623980701</v>
      </c>
    </row>
    <row r="9981" spans="1:11" x14ac:dyDescent="0.35">
      <c r="A9981" s="9" t="str">
        <f>HYPERLINK("http://www.ensembl.org/id/WBGene00197408", "WBGene00197408")</f>
        <v>WBGene00197408</v>
      </c>
      <c r="B9981" s="9"/>
      <c r="C9981" s="9"/>
      <c r="D9981" t="str">
        <f>"F38E11.21"</f>
        <v>F38E11.21</v>
      </c>
      <c r="F9981" t="s">
        <v>481</v>
      </c>
      <c r="H9981" s="12">
        <v>2.3893468495514898</v>
      </c>
      <c r="I9981" s="20">
        <v>0.25323547253672701</v>
      </c>
      <c r="J9981" s="28">
        <v>0.80008625651646104</v>
      </c>
      <c r="K9981" s="29">
        <v>0.98289565623980701</v>
      </c>
    </row>
    <row r="9982" spans="1:11" x14ac:dyDescent="0.35">
      <c r="A9982" s="9" t="str">
        <f>HYPERLINK("http://www.ensembl.org/id/WBGene00201282", "WBGene00201282")</f>
        <v>WBGene00201282</v>
      </c>
      <c r="B9982" s="9"/>
      <c r="C9982" s="9"/>
      <c r="D9982" t="str">
        <f>"F38E11.24"</f>
        <v>F38E11.24</v>
      </c>
      <c r="F9982" t="s">
        <v>481</v>
      </c>
      <c r="H9982" s="12">
        <v>5.4871973923358901</v>
      </c>
      <c r="I9982" s="20">
        <v>0.499843548621418</v>
      </c>
      <c r="J9982" s="28">
        <v>0.61718524397184105</v>
      </c>
      <c r="K9982" s="29">
        <v>0.98289565623980701</v>
      </c>
    </row>
    <row r="9983" spans="1:11" x14ac:dyDescent="0.35">
      <c r="A9983" s="9" t="str">
        <f>HYPERLINK("http://www.ensembl.org/id/WBGene00018188", "WBGene00018188")</f>
        <v>WBGene00018188</v>
      </c>
      <c r="B9983" s="9" t="str">
        <f>HYPERLINK("http://www.ncbi.nlm.nih.gov/gene/185470", "185470")</f>
        <v>185470</v>
      </c>
      <c r="C9983" s="9"/>
      <c r="D9983" t="str">
        <f>"F38E9.6"</f>
        <v>F38E9.6</v>
      </c>
      <c r="F9983" t="s">
        <v>11</v>
      </c>
      <c r="H9983" s="12">
        <v>1.1436661138045701</v>
      </c>
      <c r="I9983" s="20">
        <v>0.67051802530745697</v>
      </c>
      <c r="J9983" s="28">
        <v>0.50252761969767401</v>
      </c>
      <c r="K9983" s="29">
        <v>0.98289565623980701</v>
      </c>
    </row>
    <row r="9984" spans="1:11" x14ac:dyDescent="0.35">
      <c r="A9984" s="9" t="str">
        <f>HYPERLINK("http://www.ensembl.org/id/WBGene00023033", "WBGene00023033")</f>
        <v>WBGene00023033</v>
      </c>
      <c r="B9984" s="9"/>
      <c r="C9984" s="9"/>
      <c r="D9984" t="str">
        <f>"F38E9.t2"</f>
        <v>F38E9.t2</v>
      </c>
      <c r="F9984" t="s">
        <v>4208</v>
      </c>
      <c r="H9984" s="12">
        <v>2.3893468495514898</v>
      </c>
      <c r="I9984" s="20">
        <v>0.25323547253672701</v>
      </c>
      <c r="J9984" s="28">
        <v>0.80008625651646104</v>
      </c>
      <c r="K9984" s="29">
        <v>0.98289565623980701</v>
      </c>
    </row>
    <row r="9985" spans="1:11" x14ac:dyDescent="0.35">
      <c r="A9985" s="9" t="str">
        <f>HYPERLINK("http://www.ensembl.org/id/WBGene00197144", "WBGene00197144")</f>
        <v>WBGene00197144</v>
      </c>
      <c r="B9985" s="9"/>
      <c r="C9985" s="9"/>
      <c r="D9985" t="str">
        <f>"F38H4.12"</f>
        <v>F38H4.12</v>
      </c>
      <c r="F9985" t="s">
        <v>481</v>
      </c>
      <c r="H9985" s="12">
        <v>3.6645215954135</v>
      </c>
      <c r="I9985" s="20">
        <v>0.37967131826092498</v>
      </c>
      <c r="J9985" s="28">
        <v>0.70418941338960395</v>
      </c>
      <c r="K9985" s="29">
        <v>0.98289565623980701</v>
      </c>
    </row>
    <row r="9986" spans="1:11" x14ac:dyDescent="0.35">
      <c r="A9986" s="9" t="str">
        <f>HYPERLINK("http://www.ensembl.org/id/WBGene00200459", "WBGene00200459")</f>
        <v>WBGene00200459</v>
      </c>
      <c r="B9986" s="9"/>
      <c r="C9986" s="9"/>
      <c r="D9986" t="str">
        <f>"F38H4.15"</f>
        <v>F38H4.15</v>
      </c>
      <c r="F9986" t="s">
        <v>481</v>
      </c>
      <c r="H9986" s="12">
        <v>-1.7532890725261201</v>
      </c>
      <c r="I9986" s="20">
        <v>-0.52390004144211699</v>
      </c>
      <c r="J9986" s="28">
        <v>0.60034806598353896</v>
      </c>
      <c r="K9986" s="29">
        <v>0.98289565623980701</v>
      </c>
    </row>
    <row r="9987" spans="1:11" x14ac:dyDescent="0.35">
      <c r="A9987" s="9" t="str">
        <f>HYPERLINK("http://www.ensembl.org/id/WBGene00009548", "WBGene00009548")</f>
        <v>WBGene00009548</v>
      </c>
      <c r="B9987" s="9" t="str">
        <f>HYPERLINK("http://www.ncbi.nlm.nih.gov/gene/178115", "178115")</f>
        <v>178115</v>
      </c>
      <c r="C9987" s="9"/>
      <c r="D9987" t="str">
        <f>"F38H4.4"</f>
        <v>F38H4.4</v>
      </c>
      <c r="F9987" t="s">
        <v>11</v>
      </c>
      <c r="G9987" t="s">
        <v>1020</v>
      </c>
      <c r="H9987" s="12">
        <v>-1.5404825365991399</v>
      </c>
      <c r="I9987" s="20">
        <v>-0.39532862344223002</v>
      </c>
      <c r="J9987" s="28">
        <v>0.692600377772983</v>
      </c>
      <c r="K9987" s="29">
        <v>0.98289565623980701</v>
      </c>
    </row>
    <row r="9988" spans="1:11" x14ac:dyDescent="0.35">
      <c r="A9988" s="9" t="str">
        <f>HYPERLINK("http://www.ensembl.org/id/WBGene00009549", "WBGene00009549")</f>
        <v>WBGene00009549</v>
      </c>
      <c r="B9988" s="9" t="str">
        <f>HYPERLINK("http://www.ncbi.nlm.nih.gov/gene/185480", "185480")</f>
        <v>185480</v>
      </c>
      <c r="C9988" s="9"/>
      <c r="D9988" t="str">
        <f>"F38H4.5"</f>
        <v>F38H4.5</v>
      </c>
      <c r="F9988" t="s">
        <v>11</v>
      </c>
      <c r="H9988" s="12">
        <v>-7.7904337984490803</v>
      </c>
      <c r="I9988" s="20">
        <v>-0.60901310058451197</v>
      </c>
      <c r="J9988" s="28">
        <v>0.54251575542982</v>
      </c>
      <c r="K9988" s="29">
        <v>0.98289565623980701</v>
      </c>
    </row>
    <row r="9989" spans="1:11" x14ac:dyDescent="0.35">
      <c r="A9989" s="9" t="str">
        <f>HYPERLINK("http://www.ensembl.org/id/WBGene00202153", "WBGene00202153")</f>
        <v>WBGene00202153</v>
      </c>
      <c r="B9989" s="9"/>
      <c r="C9989" s="9"/>
      <c r="D9989" t="str">
        <f>"F39B1.5"</f>
        <v>F39B1.5</v>
      </c>
      <c r="F9989" t="s">
        <v>481</v>
      </c>
      <c r="H9989" s="12">
        <v>6.1074702863521297</v>
      </c>
      <c r="I9989" s="20">
        <v>0.67046389748342405</v>
      </c>
      <c r="J9989" s="28">
        <v>0.50256211344062096</v>
      </c>
      <c r="K9989" s="29">
        <v>0.98289565623980701</v>
      </c>
    </row>
    <row r="9990" spans="1:11" x14ac:dyDescent="0.35">
      <c r="A9990" s="9" t="str">
        <f>HYPERLINK("http://www.ensembl.org/id/WBGene00219940", "WBGene00219940")</f>
        <v>WBGene00219940</v>
      </c>
      <c r="B9990" s="9"/>
      <c r="C9990" s="9"/>
      <c r="D9990" t="str">
        <f>"F39B2.14"</f>
        <v>F39B2.14</v>
      </c>
      <c r="F9990" t="s">
        <v>2977</v>
      </c>
      <c r="H9990" s="12">
        <v>6.61045742799383</v>
      </c>
      <c r="I9990" s="20">
        <v>0.55558174612790701</v>
      </c>
      <c r="J9990" s="28">
        <v>0.57849681292850097</v>
      </c>
      <c r="K9990" s="29">
        <v>0.98289565623980701</v>
      </c>
    </row>
    <row r="9991" spans="1:11" x14ac:dyDescent="0.35">
      <c r="A9991" s="9" t="str">
        <f>HYPERLINK("http://www.ensembl.org/id/WBGene00009554", "WBGene00009554")</f>
        <v>WBGene00009554</v>
      </c>
      <c r="B9991" s="9" t="str">
        <f>HYPERLINK("http://www.ncbi.nlm.nih.gov/gene/173346", "173346")</f>
        <v>173346</v>
      </c>
      <c r="C9991" s="9" t="str">
        <f>HYPERLINK("http://www.ncbi.nlm.nih.gov/gene/1429", "1429")</f>
        <v>1429</v>
      </c>
      <c r="D9991" t="str">
        <f>"F39B2.3"</f>
        <v>F39B2.3</v>
      </c>
      <c r="F9991" t="s">
        <v>11</v>
      </c>
      <c r="G9991" t="s">
        <v>6789</v>
      </c>
      <c r="H9991" s="12">
        <v>-1.08900220299801</v>
      </c>
      <c r="I9991" s="20">
        <v>-0.41926893802938597</v>
      </c>
      <c r="J9991" s="28">
        <v>0.67501959494617902</v>
      </c>
      <c r="K9991" s="29">
        <v>0.98289565623980701</v>
      </c>
    </row>
    <row r="9992" spans="1:11" x14ac:dyDescent="0.35">
      <c r="A9992" s="9" t="str">
        <f>HYPERLINK("http://www.ensembl.org/id/WBGene00009556", "WBGene00009556")</f>
        <v>WBGene00009556</v>
      </c>
      <c r="B9992" s="9" t="str">
        <f>HYPERLINK("http://www.ncbi.nlm.nih.gov/gene/185487", "185487")</f>
        <v>185487</v>
      </c>
      <c r="C9992" s="9"/>
      <c r="D9992" t="str">
        <f>"F39B2.5"</f>
        <v>F39B2.5</v>
      </c>
      <c r="F9992" t="s">
        <v>11</v>
      </c>
      <c r="G9992" t="s">
        <v>9846</v>
      </c>
      <c r="H9992" s="12">
        <v>-1.325601947547</v>
      </c>
      <c r="I9992" s="20">
        <v>-1.1266123280506399</v>
      </c>
      <c r="J9992" s="28">
        <v>0.259906424520497</v>
      </c>
      <c r="K9992" s="29">
        <v>0.98289565623980701</v>
      </c>
    </row>
    <row r="9993" spans="1:11" x14ac:dyDescent="0.35">
      <c r="A9993" s="9" t="str">
        <f>HYPERLINK("http://www.ensembl.org/id/WBGene00196353", "WBGene00196353")</f>
        <v>WBGene00196353</v>
      </c>
      <c r="B9993" s="9"/>
      <c r="C9993" s="9"/>
      <c r="D9993" t="str">
        <f>"F39B3.5"</f>
        <v>F39B3.5</v>
      </c>
      <c r="F9993" t="s">
        <v>481</v>
      </c>
      <c r="H9993" s="12">
        <v>2.3893468495514898</v>
      </c>
      <c r="I9993" s="20">
        <v>0.25323547253672701</v>
      </c>
      <c r="J9993" s="28">
        <v>0.80008625651646104</v>
      </c>
      <c r="K9993" s="29">
        <v>0.98289565623980701</v>
      </c>
    </row>
    <row r="9994" spans="1:11" x14ac:dyDescent="0.35">
      <c r="A9994" s="9" t="str">
        <f>HYPERLINK("http://www.ensembl.org/id/WBGene00018193", "WBGene00018193")</f>
        <v>WBGene00018193</v>
      </c>
      <c r="B9994" s="9" t="str">
        <f>HYPERLINK("http://www.ncbi.nlm.nih.gov/gene/180759", "180759")</f>
        <v>180759</v>
      </c>
      <c r="C9994" s="9"/>
      <c r="D9994" t="str">
        <f>"F39C12.1"</f>
        <v>F39C12.1</v>
      </c>
      <c r="F9994" t="s">
        <v>11</v>
      </c>
      <c r="G9994" t="s">
        <v>5499</v>
      </c>
      <c r="H9994" s="12">
        <v>1.15774783364772</v>
      </c>
      <c r="I9994" s="20">
        <v>0.768085443984722</v>
      </c>
      <c r="J9994" s="28">
        <v>0.44243642407184303</v>
      </c>
      <c r="K9994" s="29">
        <v>0.98289565623980701</v>
      </c>
    </row>
    <row r="9995" spans="1:11" x14ac:dyDescent="0.35">
      <c r="A9995" s="9" t="str">
        <f>HYPERLINK("http://www.ensembl.org/id/WBGene00195986", "WBGene00195986")</f>
        <v>WBGene00195986</v>
      </c>
      <c r="B9995" s="9"/>
      <c r="C9995" s="9"/>
      <c r="D9995" t="str">
        <f>"F39C12.5"</f>
        <v>F39C12.5</v>
      </c>
      <c r="F9995" t="s">
        <v>481</v>
      </c>
      <c r="H9995" s="12">
        <v>2.3893468495514898</v>
      </c>
      <c r="I9995" s="20">
        <v>0.25323547253672701</v>
      </c>
      <c r="J9995" s="28">
        <v>0.80008625651646104</v>
      </c>
      <c r="K9995" s="29">
        <v>0.98289565623980701</v>
      </c>
    </row>
    <row r="9996" spans="1:11" x14ac:dyDescent="0.35">
      <c r="A9996" s="9" t="str">
        <f>HYPERLINK("http://www.ensembl.org/id/WBGene00009561", "WBGene00009561")</f>
        <v>WBGene00009561</v>
      </c>
      <c r="B9996" s="9" t="str">
        <f>HYPERLINK("http://www.ncbi.nlm.nih.gov/gene/181632", "181632")</f>
        <v>181632</v>
      </c>
      <c r="C9996" s="9"/>
      <c r="D9996" t="str">
        <f>"F39D8.3"</f>
        <v>F39D8.3</v>
      </c>
      <c r="F9996" t="s">
        <v>11</v>
      </c>
      <c r="H9996" s="12">
        <v>1.42905356449467</v>
      </c>
      <c r="I9996" s="20">
        <v>0.47947074204754397</v>
      </c>
      <c r="J9996" s="28">
        <v>0.63160377765808096</v>
      </c>
      <c r="K9996" s="29">
        <v>0.98289565623980701</v>
      </c>
    </row>
    <row r="9997" spans="1:11" x14ac:dyDescent="0.35">
      <c r="A9997" s="9" t="str">
        <f>HYPERLINK("http://www.ensembl.org/id/WBGene00023036", "WBGene00023036")</f>
        <v>WBGene00023036</v>
      </c>
      <c r="B9997" s="9"/>
      <c r="C9997" s="9"/>
      <c r="D9997" t="str">
        <f>"F39E9.10"</f>
        <v>F39E9.10</v>
      </c>
      <c r="F9997" t="s">
        <v>80</v>
      </c>
      <c r="H9997" s="12">
        <v>1.0890133727881</v>
      </c>
      <c r="I9997" s="20">
        <v>0.3721494137277</v>
      </c>
      <c r="J9997" s="28">
        <v>0.70978160735012696</v>
      </c>
      <c r="K9997" s="29">
        <v>0.98289565623980701</v>
      </c>
    </row>
    <row r="9998" spans="1:11" x14ac:dyDescent="0.35">
      <c r="A9998" s="9" t="str">
        <f>HYPERLINK("http://www.ensembl.org/id/WBGene00195027", "WBGene00195027")</f>
        <v>WBGene00195027</v>
      </c>
      <c r="B9998" s="9"/>
      <c r="C9998" s="9"/>
      <c r="D9998" t="str">
        <f>"F39E9.20"</f>
        <v>F39E9.20</v>
      </c>
      <c r="F9998" t="s">
        <v>481</v>
      </c>
      <c r="H9998" s="12">
        <v>1.7320351556701901</v>
      </c>
      <c r="I9998" s="20">
        <v>0.26012492295852002</v>
      </c>
      <c r="J9998" s="28">
        <v>0.79476741374655802</v>
      </c>
      <c r="K9998" s="29">
        <v>0.98289565623980701</v>
      </c>
    </row>
    <row r="9999" spans="1:11" x14ac:dyDescent="0.35">
      <c r="A9999" s="9" t="str">
        <f>HYPERLINK("http://www.ensembl.org/id/WBGene00271716", "WBGene00271716")</f>
        <v>WBGene00271716</v>
      </c>
      <c r="B9999" s="9"/>
      <c r="C9999" s="9"/>
      <c r="D9999" t="str">
        <f>"F39E9.28"</f>
        <v>F39E9.28</v>
      </c>
      <c r="F9999" t="s">
        <v>80</v>
      </c>
      <c r="H9999" s="12">
        <v>1.20340405745838</v>
      </c>
      <c r="I9999" s="20">
        <v>0.59213170705840601</v>
      </c>
      <c r="J9999" s="28">
        <v>0.55376239625258605</v>
      </c>
      <c r="K9999" s="29">
        <v>0.98289565623980701</v>
      </c>
    </row>
    <row r="10000" spans="1:11" x14ac:dyDescent="0.35">
      <c r="A10000" s="9" t="str">
        <f>HYPERLINK("http://www.ensembl.org/id/WBGene00018203", "WBGene00018203")</f>
        <v>WBGene00018203</v>
      </c>
      <c r="B10000" s="9" t="str">
        <f>HYPERLINK("http://www.ncbi.nlm.nih.gov/gene/185498", "185498")</f>
        <v>185498</v>
      </c>
      <c r="C10000" s="9"/>
      <c r="D10000" t="str">
        <f>"F39F10.3"</f>
        <v>F39F10.3</v>
      </c>
      <c r="F10000" t="s">
        <v>11</v>
      </c>
      <c r="G10000" t="s">
        <v>961</v>
      </c>
      <c r="H10000" s="12">
        <v>-1.23582561084405</v>
      </c>
      <c r="I10000" s="20">
        <v>-0.52483900377977599</v>
      </c>
      <c r="J10000" s="28">
        <v>0.59969511485044402</v>
      </c>
      <c r="K10000" s="29">
        <v>0.98289565623980701</v>
      </c>
    </row>
    <row r="10001" spans="1:11" x14ac:dyDescent="0.35">
      <c r="A10001" s="9" t="str">
        <f>HYPERLINK("http://www.ensembl.org/id/WBGene00018204", "WBGene00018204")</f>
        <v>WBGene00018204</v>
      </c>
      <c r="B10001" s="9" t="str">
        <f>HYPERLINK("http://www.ncbi.nlm.nih.gov/gene/181738", "181738")</f>
        <v>181738</v>
      </c>
      <c r="C10001" s="9"/>
      <c r="D10001" t="str">
        <f>"F39F10.4"</f>
        <v>F39F10.4</v>
      </c>
      <c r="F10001" t="s">
        <v>11</v>
      </c>
      <c r="H10001" s="12">
        <v>1.2106268726512599</v>
      </c>
      <c r="I10001" s="20">
        <v>0.494455953289201</v>
      </c>
      <c r="J10001" s="28">
        <v>0.62098420626906303</v>
      </c>
      <c r="K10001" s="29">
        <v>0.98289565623980701</v>
      </c>
    </row>
    <row r="10002" spans="1:11" x14ac:dyDescent="0.35">
      <c r="A10002" s="9" t="str">
        <f>HYPERLINK("http://www.ensembl.org/id/WBGene00018209", "WBGene00018209")</f>
        <v>WBGene00018209</v>
      </c>
      <c r="B10002" s="9" t="str">
        <f>HYPERLINK("http://www.ncbi.nlm.nih.gov/gene/185502", "185502")</f>
        <v>185502</v>
      </c>
      <c r="C10002" s="9"/>
      <c r="D10002" t="str">
        <f>"F39G3.4"</f>
        <v>F39G3.4</v>
      </c>
      <c r="F10002" t="s">
        <v>11</v>
      </c>
      <c r="G10002" t="s">
        <v>10124</v>
      </c>
      <c r="H10002" s="12">
        <v>-13.631801325966601</v>
      </c>
      <c r="I10002" s="20">
        <v>-0.81817789633815496</v>
      </c>
      <c r="J10002" s="28">
        <v>0.41325561456537002</v>
      </c>
      <c r="K10002" s="29">
        <v>0.98289565623980701</v>
      </c>
    </row>
    <row r="10003" spans="1:11" x14ac:dyDescent="0.35">
      <c r="A10003" s="9" t="str">
        <f>HYPERLINK("http://www.ensembl.org/id/WBGene00009565", "WBGene00009565")</f>
        <v>WBGene00009565</v>
      </c>
      <c r="B10003" s="9" t="str">
        <f>HYPERLINK("http://www.ncbi.nlm.nih.gov/gene/172675", "172675")</f>
        <v>172675</v>
      </c>
      <c r="C10003" s="9"/>
      <c r="D10003" t="str">
        <f>"F39H11.1"</f>
        <v>F39H11.1</v>
      </c>
      <c r="F10003" t="s">
        <v>11</v>
      </c>
      <c r="H10003" s="12">
        <v>-1.13795802987891</v>
      </c>
      <c r="I10003" s="20">
        <v>-0.59890522025338799</v>
      </c>
      <c r="J10003" s="28">
        <v>0.54923609012979202</v>
      </c>
      <c r="K10003" s="29">
        <v>0.98289565623980701</v>
      </c>
    </row>
    <row r="10004" spans="1:11" x14ac:dyDescent="0.35">
      <c r="A10004" s="9" t="str">
        <f>HYPERLINK("http://www.ensembl.org/id/WBGene00197338", "WBGene00197338")</f>
        <v>WBGene00197338</v>
      </c>
      <c r="B10004" s="9"/>
      <c r="C10004" s="9"/>
      <c r="D10004" t="str">
        <f>"F39H12.5"</f>
        <v>F39H12.5</v>
      </c>
      <c r="F10004" t="s">
        <v>481</v>
      </c>
      <c r="H10004" s="12">
        <v>7.6616465944663696</v>
      </c>
      <c r="I10004" s="20">
        <v>0.60406875593600395</v>
      </c>
      <c r="J10004" s="28">
        <v>0.54579793098927099</v>
      </c>
      <c r="K10004" s="29">
        <v>0.98289565623980701</v>
      </c>
    </row>
    <row r="10005" spans="1:11" x14ac:dyDescent="0.35">
      <c r="A10005" s="9" t="str">
        <f>HYPERLINK("http://www.ensembl.org/id/WBGene00018219", "WBGene00018219")</f>
        <v>WBGene00018219</v>
      </c>
      <c r="B10005" s="9" t="str">
        <f>HYPERLINK("http://www.ncbi.nlm.nih.gov/gene/185507", "185507")</f>
        <v>185507</v>
      </c>
      <c r="C10005" s="9"/>
      <c r="D10005" t="str">
        <f>"F40A3.4"</f>
        <v>F40A3.4</v>
      </c>
      <c r="F10005" t="s">
        <v>11</v>
      </c>
      <c r="G10005" t="s">
        <v>25</v>
      </c>
      <c r="H10005" s="12">
        <v>1.6410290738544</v>
      </c>
      <c r="I10005" s="20">
        <v>1.0304966045604</v>
      </c>
      <c r="J10005" s="28">
        <v>0.30277694534573701</v>
      </c>
      <c r="K10005" s="29">
        <v>0.98289565623980701</v>
      </c>
    </row>
    <row r="10006" spans="1:11" x14ac:dyDescent="0.35">
      <c r="A10006" s="9" t="str">
        <f>HYPERLINK("http://www.ensembl.org/id/WBGene00018221", "WBGene00018221")</f>
        <v>WBGene00018221</v>
      </c>
      <c r="B10006" s="9" t="str">
        <f>HYPERLINK("http://www.ncbi.nlm.nih.gov/gene/185508", "185508")</f>
        <v>185508</v>
      </c>
      <c r="C10006" s="9"/>
      <c r="D10006" t="str">
        <f>"F40A3.6"</f>
        <v>F40A3.6</v>
      </c>
      <c r="F10006" t="s">
        <v>11</v>
      </c>
      <c r="H10006" s="12">
        <v>-1.2066136557407301</v>
      </c>
      <c r="I10006" s="20">
        <v>-0.90184516233632905</v>
      </c>
      <c r="J10006" s="28">
        <v>0.36713912516436298</v>
      </c>
      <c r="K10006" s="29">
        <v>0.98289565623980701</v>
      </c>
    </row>
    <row r="10007" spans="1:11" x14ac:dyDescent="0.35">
      <c r="A10007" s="9" t="str">
        <f>HYPERLINK("http://www.ensembl.org/id/WBGene00018226", "WBGene00018226")</f>
        <v>WBGene00018226</v>
      </c>
      <c r="B10007" s="9" t="str">
        <f>HYPERLINK("http://www.ncbi.nlm.nih.gov/gene/181090", "181090")</f>
        <v>181090</v>
      </c>
      <c r="C10007" s="9" t="str">
        <f>HYPERLINK("http://www.ncbi.nlm.nih.gov/gene/643853", "643853")</f>
        <v>643853</v>
      </c>
      <c r="D10007" t="str">
        <f>"F40B5.2"</f>
        <v>F40B5.2</v>
      </c>
      <c r="E10007" t="s">
        <v>5205</v>
      </c>
      <c r="F10007" t="s">
        <v>11</v>
      </c>
      <c r="G10007" t="s">
        <v>5206</v>
      </c>
      <c r="H10007" s="12">
        <v>1.21633465005284</v>
      </c>
      <c r="I10007" s="20">
        <v>0.94910757632329501</v>
      </c>
      <c r="J10007" s="28">
        <v>0.34256590146645</v>
      </c>
      <c r="K10007" s="29">
        <v>0.98289565623980701</v>
      </c>
    </row>
    <row r="10008" spans="1:11" x14ac:dyDescent="0.35">
      <c r="A10008" s="9" t="str">
        <f>HYPERLINK("http://www.ensembl.org/id/WBGene00197407", "WBGene00197407")</f>
        <v>WBGene00197407</v>
      </c>
      <c r="B10008" s="9"/>
      <c r="C10008" s="9"/>
      <c r="D10008" t="str">
        <f>"F40B5.5"</f>
        <v>F40B5.5</v>
      </c>
      <c r="F10008" t="s">
        <v>481</v>
      </c>
      <c r="H10008" s="12">
        <v>-2.4991590031922399</v>
      </c>
      <c r="I10008" s="20">
        <v>-0.26577412737581302</v>
      </c>
      <c r="J10008" s="28">
        <v>0.79041317015736101</v>
      </c>
      <c r="K10008" s="29">
        <v>0.98289565623980701</v>
      </c>
    </row>
    <row r="10009" spans="1:11" x14ac:dyDescent="0.35">
      <c r="A10009" s="9" t="str">
        <f>HYPERLINK("http://www.ensembl.org/id/WBGene00018229", "WBGene00018229")</f>
        <v>WBGene00018229</v>
      </c>
      <c r="B10009" s="9" t="str">
        <f>HYPERLINK("http://www.ncbi.nlm.nih.gov/gene/185515", "185515")</f>
        <v>185515</v>
      </c>
      <c r="C10009" s="9"/>
      <c r="D10009" t="str">
        <f>"F40C5.2"</f>
        <v>F40C5.2</v>
      </c>
      <c r="F10009" t="s">
        <v>11</v>
      </c>
      <c r="H10009" s="12">
        <v>-4.2184190803482098</v>
      </c>
      <c r="I10009" s="20">
        <v>-0.65877116351347598</v>
      </c>
      <c r="J10009" s="28">
        <v>0.51004272731026301</v>
      </c>
      <c r="K10009" s="29">
        <v>0.98289565623980701</v>
      </c>
    </row>
    <row r="10010" spans="1:11" x14ac:dyDescent="0.35">
      <c r="A10010" s="9" t="str">
        <f>HYPERLINK("http://www.ensembl.org/id/WBGene00009572", "WBGene00009572")</f>
        <v>WBGene00009572</v>
      </c>
      <c r="B10010" s="9" t="str">
        <f>HYPERLINK("http://www.ncbi.nlm.nih.gov/gene/185531", "185531")</f>
        <v>185531</v>
      </c>
      <c r="C10010" s="9"/>
      <c r="D10010" t="str">
        <f>"F40D4.13"</f>
        <v>F40D4.13</v>
      </c>
      <c r="F10010" t="s">
        <v>11</v>
      </c>
      <c r="H10010" s="12">
        <v>-2.0511951306155898</v>
      </c>
      <c r="I10010" s="20">
        <v>-0.448620423085131</v>
      </c>
      <c r="J10010" s="28">
        <v>0.653705498448239</v>
      </c>
      <c r="K10010" s="29">
        <v>0.98289565623980701</v>
      </c>
    </row>
    <row r="10011" spans="1:11" x14ac:dyDescent="0.35">
      <c r="A10011" s="9" t="str">
        <f>HYPERLINK("http://www.ensembl.org/id/WBGene00194681", "WBGene00194681")</f>
        <v>WBGene00194681</v>
      </c>
      <c r="B10011" s="9"/>
      <c r="C10011" s="9"/>
      <c r="D10011" t="str">
        <f>"F40D4.16"</f>
        <v>F40D4.16</v>
      </c>
      <c r="F10011" t="s">
        <v>481</v>
      </c>
      <c r="H10011" s="12">
        <v>-1.26748230517802</v>
      </c>
      <c r="I10011" s="20">
        <v>-0.48150442152248302</v>
      </c>
      <c r="J10011" s="28">
        <v>0.63015803800927905</v>
      </c>
      <c r="K10011" s="29">
        <v>0.98289565623980701</v>
      </c>
    </row>
    <row r="10012" spans="1:11" x14ac:dyDescent="0.35">
      <c r="A10012" s="9" t="str">
        <f>HYPERLINK("http://www.ensembl.org/id/WBGene00194682", "WBGene00194682")</f>
        <v>WBGene00194682</v>
      </c>
      <c r="B10012" s="9" t="str">
        <f>HYPERLINK("http://www.ncbi.nlm.nih.gov/gene/13217748", "13217748")</f>
        <v>13217748</v>
      </c>
      <c r="C10012" s="9"/>
      <c r="D10012" t="str">
        <f>"F40D4.17"</f>
        <v>F40D4.17</v>
      </c>
      <c r="F10012" t="s">
        <v>11</v>
      </c>
      <c r="H10012" s="12">
        <v>1.3562528471670301</v>
      </c>
      <c r="I10012" s="20">
        <v>0.383668074394931</v>
      </c>
      <c r="J10012" s="28">
        <v>0.70122447792705001</v>
      </c>
      <c r="K10012" s="29">
        <v>0.98289565623980701</v>
      </c>
    </row>
    <row r="10013" spans="1:11" x14ac:dyDescent="0.35">
      <c r="A10013" s="9" t="str">
        <f>HYPERLINK("http://www.ensembl.org/id/WBGene00009573", "WBGene00009573")</f>
        <v>WBGene00009573</v>
      </c>
      <c r="B10013" s="9" t="str">
        <f>HYPERLINK("http://www.ncbi.nlm.nih.gov/gene/185535", "185535")</f>
        <v>185535</v>
      </c>
      <c r="C10013" s="9"/>
      <c r="D10013" t="str">
        <f>"F40E10.5"</f>
        <v>F40E10.5</v>
      </c>
      <c r="F10013" t="s">
        <v>11</v>
      </c>
      <c r="H10013" s="12">
        <v>-1.1955184378880701</v>
      </c>
      <c r="I10013" s="20">
        <v>-0.29653363062388099</v>
      </c>
      <c r="J10013" s="28">
        <v>0.76682258768185296</v>
      </c>
      <c r="K10013" s="29">
        <v>0.98289565623980701</v>
      </c>
    </row>
    <row r="10014" spans="1:11" x14ac:dyDescent="0.35">
      <c r="A10014" s="9" t="str">
        <f>HYPERLINK("http://www.ensembl.org/id/WBGene00009574", "WBGene00009574")</f>
        <v>WBGene00009574</v>
      </c>
      <c r="B10014" s="9" t="str">
        <f>HYPERLINK("http://www.ncbi.nlm.nih.gov/gene/181565", "181565")</f>
        <v>181565</v>
      </c>
      <c r="C10014" s="9" t="str">
        <f>HYPERLINK("http://www.ncbi.nlm.nih.gov/gene/25829", "25829")</f>
        <v>25829</v>
      </c>
      <c r="D10014" t="str">
        <f>"F40E10.6"</f>
        <v>F40E10.6</v>
      </c>
      <c r="F10014" t="s">
        <v>11</v>
      </c>
      <c r="G10014" t="s">
        <v>25</v>
      </c>
      <c r="H10014" s="12">
        <v>1.07181389398468</v>
      </c>
      <c r="I10014" s="20">
        <v>0.38253414394089102</v>
      </c>
      <c r="J10014" s="28">
        <v>0.70206520789684002</v>
      </c>
      <c r="K10014" s="29">
        <v>0.98289565623980701</v>
      </c>
    </row>
    <row r="10015" spans="1:11" x14ac:dyDescent="0.35">
      <c r="A10015" s="9" t="str">
        <f>HYPERLINK("http://www.ensembl.org/id/WBGene00018235", "WBGene00018235")</f>
        <v>WBGene00018235</v>
      </c>
      <c r="B10015" s="9" t="str">
        <f>HYPERLINK("http://www.ncbi.nlm.nih.gov/gene/185537", "185537")</f>
        <v>185537</v>
      </c>
      <c r="C10015" s="9"/>
      <c r="D10015" t="str">
        <f>"F40E12.2"</f>
        <v>F40E12.2</v>
      </c>
      <c r="E10015" t="s">
        <v>9987</v>
      </c>
      <c r="F10015" t="s">
        <v>11</v>
      </c>
      <c r="G10015" t="s">
        <v>54</v>
      </c>
      <c r="H10015" s="12">
        <v>-1.58019315928341</v>
      </c>
      <c r="I10015" s="20">
        <v>-0.40006277114094002</v>
      </c>
      <c r="J10015" s="28">
        <v>0.68911028388604101</v>
      </c>
      <c r="K10015" s="29">
        <v>0.98289565623980701</v>
      </c>
    </row>
    <row r="10016" spans="1:11" x14ac:dyDescent="0.35">
      <c r="A10016" s="9" t="str">
        <f>HYPERLINK("http://www.ensembl.org/id/WBGene00018232", "WBGene00018232")</f>
        <v>WBGene00018232</v>
      </c>
      <c r="B10016" s="9" t="str">
        <f>HYPERLINK("http://www.ncbi.nlm.nih.gov/gene/171824", "171824")</f>
        <v>171824</v>
      </c>
      <c r="C10016" s="9"/>
      <c r="D10016" t="str">
        <f>"F40E3.5"</f>
        <v>F40E3.5</v>
      </c>
      <c r="F10016" t="s">
        <v>11</v>
      </c>
      <c r="G10016" t="s">
        <v>4723</v>
      </c>
      <c r="H10016" s="12">
        <v>-1.50819007743675</v>
      </c>
      <c r="I10016" s="20">
        <v>-0.783314948124054</v>
      </c>
      <c r="J10016" s="28">
        <v>0.43344218733728901</v>
      </c>
      <c r="K10016" s="29">
        <v>0.98289565623980701</v>
      </c>
    </row>
    <row r="10017" spans="1:11" x14ac:dyDescent="0.35">
      <c r="A10017" s="9" t="str">
        <f>HYPERLINK("http://www.ensembl.org/id/WBGene00018233", "WBGene00018233")</f>
        <v>WBGene00018233</v>
      </c>
      <c r="B10017" s="9" t="str">
        <f>HYPERLINK("http://www.ncbi.nlm.nih.gov/gene/353381", "353381")</f>
        <v>353381</v>
      </c>
      <c r="C10017" s="9"/>
      <c r="D10017" t="str">
        <f>"F40E3.6"</f>
        <v>F40E3.6</v>
      </c>
      <c r="F10017" t="s">
        <v>11</v>
      </c>
      <c r="H10017" s="12">
        <v>-2.1426846885984099</v>
      </c>
      <c r="I10017" s="20">
        <v>-0.52649991055196699</v>
      </c>
      <c r="J10017" s="28">
        <v>0.59854091414255095</v>
      </c>
      <c r="K10017" s="29">
        <v>0.98289565623980701</v>
      </c>
    </row>
    <row r="10018" spans="1:11" x14ac:dyDescent="0.35">
      <c r="A10018" s="9" t="str">
        <f>HYPERLINK("http://www.ensembl.org/id/WBGene00077781", "WBGene00077781")</f>
        <v>WBGene00077781</v>
      </c>
      <c r="B10018" s="9"/>
      <c r="C10018" s="9"/>
      <c r="D10018" t="str">
        <f>"F40E3.7"</f>
        <v>F40E3.7</v>
      </c>
      <c r="F10018" t="s">
        <v>80</v>
      </c>
      <c r="H10018" s="12">
        <v>-1.8265613533551499</v>
      </c>
      <c r="I10018" s="20">
        <v>-0.60548293555796195</v>
      </c>
      <c r="J10018" s="28">
        <v>0.54485815968514395</v>
      </c>
      <c r="K10018" s="29">
        <v>0.98289565623980701</v>
      </c>
    </row>
    <row r="10019" spans="1:11" x14ac:dyDescent="0.35">
      <c r="A10019" s="9" t="str">
        <f>HYPERLINK("http://www.ensembl.org/id/WBGene00009588", "WBGene00009588")</f>
        <v>WBGene00009588</v>
      </c>
      <c r="B10019" s="9" t="str">
        <f>HYPERLINK("http://www.ncbi.nlm.nih.gov/gene/185547", "185547")</f>
        <v>185547</v>
      </c>
      <c r="C10019" s="9"/>
      <c r="D10019" t="str">
        <f>"F40F11.3"</f>
        <v>F40F11.3</v>
      </c>
      <c r="F10019" t="s">
        <v>11</v>
      </c>
      <c r="H10019" s="12">
        <v>-1.2998775174267601</v>
      </c>
      <c r="I10019" s="20">
        <v>-1.1940220974098099</v>
      </c>
      <c r="J10019" s="28">
        <v>0.232469324291698</v>
      </c>
      <c r="K10019" s="29">
        <v>0.98289565623980701</v>
      </c>
    </row>
    <row r="10020" spans="1:11" x14ac:dyDescent="0.35">
      <c r="A10020" s="9" t="str">
        <f>HYPERLINK("http://www.ensembl.org/id/WBGene00009589", "WBGene00009589")</f>
        <v>WBGene00009589</v>
      </c>
      <c r="B10020" s="9" t="str">
        <f>HYPERLINK("http://www.ncbi.nlm.nih.gov/gene/185548", "185548")</f>
        <v>185548</v>
      </c>
      <c r="C10020" s="9"/>
      <c r="D10020" t="str">
        <f>"F40F11.4"</f>
        <v>F40F11.4</v>
      </c>
      <c r="F10020" t="s">
        <v>11</v>
      </c>
      <c r="G10020" t="s">
        <v>325</v>
      </c>
      <c r="H10020" s="12">
        <v>-1.09724162253621</v>
      </c>
      <c r="I10020" s="20">
        <v>-0.28936062129411999</v>
      </c>
      <c r="J10020" s="28">
        <v>0.77230542626249399</v>
      </c>
      <c r="K10020" s="29">
        <v>0.98289565623980701</v>
      </c>
    </row>
    <row r="10021" spans="1:11" x14ac:dyDescent="0.35">
      <c r="A10021" s="9" t="str">
        <f>HYPERLINK("http://www.ensembl.org/id/WBGene00219941", "WBGene00219941")</f>
        <v>WBGene00219941</v>
      </c>
      <c r="B10021" s="9"/>
      <c r="C10021" s="9"/>
      <c r="D10021" t="str">
        <f>"F40F11.6"</f>
        <v>F40F11.6</v>
      </c>
      <c r="F10021" t="s">
        <v>481</v>
      </c>
      <c r="H10021" s="12">
        <v>-1.20755230842547</v>
      </c>
      <c r="I10021" s="20">
        <v>-0.27197563017846998</v>
      </c>
      <c r="J10021" s="28">
        <v>0.78564075756905905</v>
      </c>
      <c r="K10021" s="29">
        <v>0.98289565623980701</v>
      </c>
    </row>
    <row r="10022" spans="1:11" x14ac:dyDescent="0.35">
      <c r="A10022" s="9" t="str">
        <f>HYPERLINK("http://www.ensembl.org/id/WBGene00009592", "WBGene00009592")</f>
        <v>WBGene00009592</v>
      </c>
      <c r="B10022" s="9" t="str">
        <f>HYPERLINK("http://www.ncbi.nlm.nih.gov/gene/185551", "185551")</f>
        <v>185551</v>
      </c>
      <c r="C10022" s="9"/>
      <c r="D10022" t="str">
        <f>"F40F12.3"</f>
        <v>F40F12.3</v>
      </c>
      <c r="F10022" t="s">
        <v>11</v>
      </c>
      <c r="G10022" t="s">
        <v>25</v>
      </c>
      <c r="H10022" s="12">
        <v>-1.7265054138764599</v>
      </c>
      <c r="I10022" s="20">
        <v>-0.83507851876231098</v>
      </c>
      <c r="J10022" s="28">
        <v>0.40367350059433899</v>
      </c>
      <c r="K10022" s="29">
        <v>0.98289565623980701</v>
      </c>
    </row>
    <row r="10023" spans="1:11" x14ac:dyDescent="0.35">
      <c r="A10023" s="9" t="str">
        <f>HYPERLINK("http://www.ensembl.org/id/WBGene00014755", "WBGene00014755")</f>
        <v>WBGene00014755</v>
      </c>
      <c r="B10023" s="9"/>
      <c r="C10023" s="9"/>
      <c r="D10023" t="str">
        <f>"F40F12.8"</f>
        <v>F40F12.8</v>
      </c>
      <c r="F10023" t="s">
        <v>80</v>
      </c>
      <c r="H10023" s="12">
        <v>-4.4416958084685501</v>
      </c>
      <c r="I10023" s="20">
        <v>-1.03636611268131</v>
      </c>
      <c r="J10023" s="28">
        <v>0.30003137345216602</v>
      </c>
      <c r="K10023" s="29">
        <v>0.98289565623980701</v>
      </c>
    </row>
    <row r="10024" spans="1:11" x14ac:dyDescent="0.35">
      <c r="A10024" s="9" t="str">
        <f>HYPERLINK("http://www.ensembl.org/id/WBGene00043995", "WBGene00043995")</f>
        <v>WBGene00043995</v>
      </c>
      <c r="B10024" s="9" t="str">
        <f>HYPERLINK("http://www.ncbi.nlm.nih.gov/gene/259311", "259311")</f>
        <v>259311</v>
      </c>
      <c r="C10024" s="9"/>
      <c r="D10024" t="str">
        <f>"F40F12.9"</f>
        <v>F40F12.9</v>
      </c>
      <c r="F10024" t="s">
        <v>11</v>
      </c>
      <c r="G10024" t="s">
        <v>7447</v>
      </c>
      <c r="H10024" s="12">
        <v>-1.12597344282319</v>
      </c>
      <c r="I10024" s="20">
        <v>-0.325907713957998</v>
      </c>
      <c r="J10024" s="28">
        <v>0.74449417918494998</v>
      </c>
      <c r="K10024" s="29">
        <v>0.98289565623980701</v>
      </c>
    </row>
    <row r="10025" spans="1:11" x14ac:dyDescent="0.35">
      <c r="A10025" s="9" t="str">
        <f>HYPERLINK("http://www.ensembl.org/id/WBGene00018238", "WBGene00018238")</f>
        <v>WBGene00018238</v>
      </c>
      <c r="B10025" s="9" t="str">
        <f>HYPERLINK("http://www.ncbi.nlm.nih.gov/gene/180614", "180614")</f>
        <v>180614</v>
      </c>
      <c r="C10025" s="9"/>
      <c r="D10025" t="str">
        <f>"F40F4.7"</f>
        <v>F40F4.7</v>
      </c>
      <c r="F10025" t="s">
        <v>11</v>
      </c>
      <c r="G10025" t="s">
        <v>6243</v>
      </c>
      <c r="H10025" s="12">
        <v>-1.05599251851514</v>
      </c>
      <c r="I10025" s="20">
        <v>-0.282858103155673</v>
      </c>
      <c r="J10025" s="28">
        <v>0.77728561233357896</v>
      </c>
      <c r="K10025" s="29">
        <v>0.98289565623980701</v>
      </c>
    </row>
    <row r="10026" spans="1:11" x14ac:dyDescent="0.35">
      <c r="A10026" s="9" t="str">
        <f>HYPERLINK("http://www.ensembl.org/id/WBGene00009575", "WBGene00009575")</f>
        <v>WBGene00009575</v>
      </c>
      <c r="B10026" s="9" t="str">
        <f>HYPERLINK("http://www.ncbi.nlm.nih.gov/gene/174701", "174701")</f>
        <v>174701</v>
      </c>
      <c r="C10026" s="9" t="str">
        <f>HYPERLINK("http://www.ncbi.nlm.nih.gov/gene/51727", "51727")</f>
        <v>51727</v>
      </c>
      <c r="D10026" t="str">
        <f>"F40F8.1"</f>
        <v>F40F8.1</v>
      </c>
      <c r="E10026" t="s">
        <v>9206</v>
      </c>
      <c r="F10026" t="s">
        <v>11</v>
      </c>
      <c r="G10026" t="s">
        <v>6061</v>
      </c>
      <c r="H10026" s="12">
        <v>-1.2280204306817599</v>
      </c>
      <c r="I10026" s="20">
        <v>-1.0375151160396301</v>
      </c>
      <c r="J10026" s="28">
        <v>0.29949585468608902</v>
      </c>
      <c r="K10026" s="29">
        <v>0.98289565623980701</v>
      </c>
    </row>
    <row r="10027" spans="1:11" x14ac:dyDescent="0.35">
      <c r="A10027" s="9" t="str">
        <f>HYPERLINK("http://www.ensembl.org/id/WBGene00044917", "WBGene00044917")</f>
        <v>WBGene00044917</v>
      </c>
      <c r="B10027" s="9" t="str">
        <f>HYPERLINK("http://www.ncbi.nlm.nih.gov/gene/4927044", "4927044")</f>
        <v>4927044</v>
      </c>
      <c r="C10027" s="9"/>
      <c r="D10027" t="str">
        <f>"F40F8.12"</f>
        <v>F40F8.12</v>
      </c>
      <c r="F10027" t="s">
        <v>11</v>
      </c>
      <c r="G10027" t="s">
        <v>25</v>
      </c>
      <c r="H10027" s="12">
        <v>-4.51585610737573</v>
      </c>
      <c r="I10027" s="20">
        <v>-0.50361966967016503</v>
      </c>
      <c r="J10027" s="28">
        <v>0.61452866763025804</v>
      </c>
      <c r="K10027" s="29">
        <v>0.98289565623980701</v>
      </c>
    </row>
    <row r="10028" spans="1:11" x14ac:dyDescent="0.35">
      <c r="A10028" s="9" t="str">
        <f>HYPERLINK("http://www.ensembl.org/id/WBGene00009576", "WBGene00009576")</f>
        <v>WBGene00009576</v>
      </c>
      <c r="B10028" s="9" t="str">
        <f>HYPERLINK("http://www.ncbi.nlm.nih.gov/gene/185540", "185540")</f>
        <v>185540</v>
      </c>
      <c r="C10028" s="9"/>
      <c r="D10028" t="str">
        <f>"F40F8.3"</f>
        <v>F40F8.3</v>
      </c>
      <c r="F10028" t="s">
        <v>11</v>
      </c>
      <c r="G10028" t="s">
        <v>25</v>
      </c>
      <c r="H10028" s="12">
        <v>-1.0952359286317299</v>
      </c>
      <c r="I10028" s="20">
        <v>-0.279851765162836</v>
      </c>
      <c r="J10028" s="28">
        <v>0.77959123488070203</v>
      </c>
      <c r="K10028" s="29">
        <v>0.98289565623980701</v>
      </c>
    </row>
    <row r="10029" spans="1:11" x14ac:dyDescent="0.35">
      <c r="A10029" s="9" t="str">
        <f>HYPERLINK("http://www.ensembl.org/id/WBGene00009578", "WBGene00009578")</f>
        <v>WBGene00009578</v>
      </c>
      <c r="B10029" s="9" t="str">
        <f>HYPERLINK("http://www.ncbi.nlm.nih.gov/gene/174702", "174702")</f>
        <v>174702</v>
      </c>
      <c r="C10029" s="9"/>
      <c r="D10029" t="str">
        <f>"F40F8.5"</f>
        <v>F40F8.5</v>
      </c>
      <c r="F10029" t="s">
        <v>11</v>
      </c>
      <c r="H10029" s="12">
        <v>-1.1870965536142499</v>
      </c>
      <c r="I10029" s="20">
        <v>-0.93384411423596203</v>
      </c>
      <c r="J10029" s="28">
        <v>0.35038431009918702</v>
      </c>
      <c r="K10029" s="29">
        <v>0.98289565623980701</v>
      </c>
    </row>
    <row r="10030" spans="1:11" x14ac:dyDescent="0.35">
      <c r="A10030" s="9" t="str">
        <f>HYPERLINK("http://www.ensembl.org/id/WBGene00014754", "WBGene00014754")</f>
        <v>WBGene00014754</v>
      </c>
      <c r="B10030" s="9"/>
      <c r="C10030" s="9"/>
      <c r="D10030" t="str">
        <f>"F40F9.11"</f>
        <v>F40F9.11</v>
      </c>
      <c r="F10030" t="s">
        <v>80</v>
      </c>
      <c r="H10030" s="12">
        <v>2.2601570097622798</v>
      </c>
      <c r="I10030" s="20">
        <v>0.31681166613803102</v>
      </c>
      <c r="J10030" s="28">
        <v>0.75138651156509595</v>
      </c>
      <c r="K10030" s="29">
        <v>0.98289565623980701</v>
      </c>
    </row>
    <row r="10031" spans="1:11" x14ac:dyDescent="0.35">
      <c r="A10031" s="9" t="str">
        <f>HYPERLINK("http://www.ensembl.org/id/WBGene00196611", "WBGene00196611")</f>
        <v>WBGene00196611</v>
      </c>
      <c r="B10031" s="9"/>
      <c r="C10031" s="9"/>
      <c r="D10031" t="str">
        <f>"F40F9.14"</f>
        <v>F40F9.14</v>
      </c>
      <c r="F10031" t="s">
        <v>481</v>
      </c>
      <c r="H10031" s="12">
        <v>-1.22821815871198</v>
      </c>
      <c r="I10031" s="20">
        <v>-0.33560606879600102</v>
      </c>
      <c r="J10031" s="28">
        <v>0.737167946955394</v>
      </c>
      <c r="K10031" s="29">
        <v>0.98289565623980701</v>
      </c>
    </row>
    <row r="10032" spans="1:11" x14ac:dyDescent="0.35">
      <c r="A10032" s="9" t="str">
        <f>HYPERLINK("http://www.ensembl.org/id/WBGene00009581", "WBGene00009581")</f>
        <v>WBGene00009581</v>
      </c>
      <c r="B10032" s="9" t="str">
        <f>HYPERLINK("http://www.ncbi.nlm.nih.gov/gene/185542", "185542")</f>
        <v>185542</v>
      </c>
      <c r="C10032" s="9"/>
      <c r="D10032" t="str">
        <f>"F40F9.3"</f>
        <v>F40F9.3</v>
      </c>
      <c r="F10032" t="s">
        <v>11</v>
      </c>
      <c r="G10032" t="s">
        <v>54</v>
      </c>
      <c r="H10032" s="12">
        <v>-2.20956497376195</v>
      </c>
      <c r="I10032" s="20">
        <v>-0.90447803295184803</v>
      </c>
      <c r="J10032" s="28">
        <v>0.365741977328993</v>
      </c>
      <c r="K10032" s="29">
        <v>0.98289565623980701</v>
      </c>
    </row>
    <row r="10033" spans="1:11" x14ac:dyDescent="0.35">
      <c r="A10033" s="9" t="str">
        <f>HYPERLINK("http://www.ensembl.org/id/WBGene00009582", "WBGene00009582")</f>
        <v>WBGene00009582</v>
      </c>
      <c r="B10033" s="9" t="str">
        <f>HYPERLINK("http://www.ncbi.nlm.nih.gov/gene/185544", "185544")</f>
        <v>185544</v>
      </c>
      <c r="C10033" s="9"/>
      <c r="D10033" t="str">
        <f>"F40F9.5"</f>
        <v>F40F9.5</v>
      </c>
      <c r="F10033" t="s">
        <v>11</v>
      </c>
      <c r="G10033" t="s">
        <v>230</v>
      </c>
      <c r="H10033" s="12">
        <v>-1.2397402650375899</v>
      </c>
      <c r="I10033" s="20">
        <v>-1.06557435011152</v>
      </c>
      <c r="J10033" s="28">
        <v>0.28661609927118098</v>
      </c>
      <c r="K10033" s="29">
        <v>0.98289565623980701</v>
      </c>
    </row>
    <row r="10034" spans="1:11" x14ac:dyDescent="0.35">
      <c r="A10034" s="9" t="str">
        <f>HYPERLINK("http://www.ensembl.org/id/WBGene00009605", "WBGene00009605")</f>
        <v>WBGene00009605</v>
      </c>
      <c r="B10034" s="9" t="str">
        <f>HYPERLINK("http://www.ncbi.nlm.nih.gov/gene/179927", "179927")</f>
        <v>179927</v>
      </c>
      <c r="C10034" s="9"/>
      <c r="D10034" t="str">
        <f>"F40G12.10"</f>
        <v>F40G12.10</v>
      </c>
      <c r="F10034" t="s">
        <v>11</v>
      </c>
      <c r="G10034" t="s">
        <v>1020</v>
      </c>
      <c r="H10034" s="12">
        <v>2.5309178285130902</v>
      </c>
      <c r="I10034" s="20">
        <v>0.72063130733842395</v>
      </c>
      <c r="J10034" s="28">
        <v>0.47113638639070898</v>
      </c>
      <c r="K10034" s="29">
        <v>0.98289565623980701</v>
      </c>
    </row>
    <row r="10035" spans="1:11" x14ac:dyDescent="0.35">
      <c r="A10035" s="9" t="str">
        <f>HYPERLINK("http://www.ensembl.org/id/WBGene00014370", "WBGene00014370")</f>
        <v>WBGene00014370</v>
      </c>
      <c r="B10035" s="9"/>
      <c r="C10035" s="9"/>
      <c r="D10035" t="str">
        <f>"F40G12.13"</f>
        <v>F40G12.13</v>
      </c>
      <c r="F10035" t="s">
        <v>4205</v>
      </c>
      <c r="H10035" s="12">
        <v>2.3893468495514898</v>
      </c>
      <c r="I10035" s="20">
        <v>0.25323547253672701</v>
      </c>
      <c r="J10035" s="28">
        <v>0.80008625651646104</v>
      </c>
      <c r="K10035" s="29">
        <v>0.98289565623980701</v>
      </c>
    </row>
    <row r="10036" spans="1:11" x14ac:dyDescent="0.35">
      <c r="A10036" s="9" t="str">
        <f>HYPERLINK("http://www.ensembl.org/id/WBGene00014371", "WBGene00014371")</f>
        <v>WBGene00014371</v>
      </c>
      <c r="B10036" s="9"/>
      <c r="C10036" s="9"/>
      <c r="D10036" t="str">
        <f>"F40G12.14"</f>
        <v>F40G12.14</v>
      </c>
      <c r="F10036" t="s">
        <v>4205</v>
      </c>
      <c r="H10036" s="12">
        <v>3.5227018545059199</v>
      </c>
      <c r="I10036" s="20">
        <v>0.36849691206929103</v>
      </c>
      <c r="J10036" s="28">
        <v>0.71250274722433404</v>
      </c>
      <c r="K10036" s="29">
        <v>0.98289565623980701</v>
      </c>
    </row>
    <row r="10037" spans="1:11" x14ac:dyDescent="0.35">
      <c r="A10037" s="9" t="str">
        <f>HYPERLINK("http://www.ensembl.org/id/WBGene00009598", "WBGene00009598")</f>
        <v>WBGene00009598</v>
      </c>
      <c r="B10037" s="9"/>
      <c r="C10037" s="9"/>
      <c r="D10037" t="str">
        <f>"F40G12.3"</f>
        <v>F40G12.3</v>
      </c>
      <c r="F10037" t="s">
        <v>80</v>
      </c>
      <c r="H10037" s="12">
        <v>-2.4991590031922399</v>
      </c>
      <c r="I10037" s="20">
        <v>-0.26577412737581302</v>
      </c>
      <c r="J10037" s="28">
        <v>0.79041317015736101</v>
      </c>
      <c r="K10037" s="29">
        <v>0.98289565623980701</v>
      </c>
    </row>
    <row r="10038" spans="1:11" x14ac:dyDescent="0.35">
      <c r="A10038" s="9" t="str">
        <f>HYPERLINK("http://www.ensembl.org/id/WBGene00009602", "WBGene00009602")</f>
        <v>WBGene00009602</v>
      </c>
      <c r="B10038" s="9" t="str">
        <f>HYPERLINK("http://www.ncbi.nlm.nih.gov/gene/185567", "185567")</f>
        <v>185567</v>
      </c>
      <c r="C10038" s="9"/>
      <c r="D10038" t="str">
        <f>"F40G12.7"</f>
        <v>F40G12.7</v>
      </c>
      <c r="F10038" t="s">
        <v>11</v>
      </c>
      <c r="H10038" s="12">
        <v>-4.7167679298615104</v>
      </c>
      <c r="I10038" s="20">
        <v>-0.454742638005115</v>
      </c>
      <c r="J10038" s="28">
        <v>0.64929440216969203</v>
      </c>
      <c r="K10038" s="29">
        <v>0.98289565623980701</v>
      </c>
    </row>
    <row r="10039" spans="1:11" x14ac:dyDescent="0.35">
      <c r="A10039" s="9" t="str">
        <f>HYPERLINK("http://www.ensembl.org/id/WBGene00185078", "WBGene00185078")</f>
        <v>WBGene00185078</v>
      </c>
      <c r="B10039" s="9" t="str">
        <f>HYPERLINK("http://www.ncbi.nlm.nih.gov/gene/13188172", "13188172")</f>
        <v>13188172</v>
      </c>
      <c r="C10039" s="9" t="str">
        <f>HYPERLINK("http://www.ncbi.nlm.nih.gov/gene/5716", "5716")</f>
        <v>5716</v>
      </c>
      <c r="D10039" t="str">
        <f>"F40G9.17"</f>
        <v>F40G9.17</v>
      </c>
      <c r="F10039" t="s">
        <v>11</v>
      </c>
      <c r="G10039" t="s">
        <v>54</v>
      </c>
      <c r="H10039" s="12">
        <v>-1.0633605153328001</v>
      </c>
      <c r="I10039" s="20">
        <v>-0.26022853740977903</v>
      </c>
      <c r="J10039" s="28">
        <v>0.79468749267896799</v>
      </c>
      <c r="K10039" s="29">
        <v>0.98289565623980701</v>
      </c>
    </row>
    <row r="10040" spans="1:11" x14ac:dyDescent="0.35">
      <c r="A10040" s="9" t="str">
        <f>HYPERLINK("http://www.ensembl.org/id/WBGene00189955", "WBGene00189955")</f>
        <v>WBGene00189955</v>
      </c>
      <c r="B10040" s="9" t="str">
        <f>HYPERLINK("http://www.ncbi.nlm.nih.gov/gene/13188159", "13188159")</f>
        <v>13188159</v>
      </c>
      <c r="C10040" s="9"/>
      <c r="D10040" t="str">
        <f>"F40G9.19"</f>
        <v>F40G9.19</v>
      </c>
      <c r="F10040" t="s">
        <v>11</v>
      </c>
      <c r="G10040" t="s">
        <v>583</v>
      </c>
      <c r="H10040" s="12">
        <v>7.2474883361933102</v>
      </c>
      <c r="I10040" s="20">
        <v>0.60161888411598596</v>
      </c>
      <c r="J10040" s="28">
        <v>0.54742785575427899</v>
      </c>
      <c r="K10040" s="29">
        <v>0.98289565623980701</v>
      </c>
    </row>
    <row r="10041" spans="1:11" x14ac:dyDescent="0.35">
      <c r="A10041" s="9" t="str">
        <f>HYPERLINK("http://www.ensembl.org/id/WBGene00018241", "WBGene00018241")</f>
        <v>WBGene00018241</v>
      </c>
      <c r="B10041" s="9" t="str">
        <f>HYPERLINK("http://www.ncbi.nlm.nih.gov/gene/185554", "185554")</f>
        <v>185554</v>
      </c>
      <c r="C10041" s="9"/>
      <c r="D10041" t="str">
        <f>"F40G9.5"</f>
        <v>F40G9.5</v>
      </c>
      <c r="F10041" t="s">
        <v>11</v>
      </c>
      <c r="G10041" t="s">
        <v>25</v>
      </c>
      <c r="H10041" s="12">
        <v>-1.2847760759909399</v>
      </c>
      <c r="I10041" s="20">
        <v>-0.66463793851636699</v>
      </c>
      <c r="J10041" s="28">
        <v>0.50628209743136499</v>
      </c>
      <c r="K10041" s="29">
        <v>0.98289565623980701</v>
      </c>
    </row>
    <row r="10042" spans="1:11" x14ac:dyDescent="0.35">
      <c r="A10042" s="9" t="str">
        <f>HYPERLINK("http://www.ensembl.org/id/WBGene00018245", "WBGene00018245")</f>
        <v>WBGene00018245</v>
      </c>
      <c r="B10042" s="9" t="str">
        <f>HYPERLINK("http://www.ncbi.nlm.nih.gov/gene/185557", "185557")</f>
        <v>185557</v>
      </c>
      <c r="C10042" s="9"/>
      <c r="D10042" t="str">
        <f>"F40G9.9"</f>
        <v>F40G9.9</v>
      </c>
      <c r="F10042" t="s">
        <v>11</v>
      </c>
      <c r="G10042" t="s">
        <v>417</v>
      </c>
      <c r="H10042" s="12">
        <v>1.28773261850253</v>
      </c>
      <c r="I10042" s="20">
        <v>0.37621812901060597</v>
      </c>
      <c r="J10042" s="28">
        <v>0.70675473880665796</v>
      </c>
      <c r="K10042" s="29">
        <v>0.98289565623980701</v>
      </c>
    </row>
    <row r="10043" spans="1:11" x14ac:dyDescent="0.35">
      <c r="A10043" s="9" t="str">
        <f>HYPERLINK("http://www.ensembl.org/id/WBGene00200802", "WBGene00200802")</f>
        <v>WBGene00200802</v>
      </c>
      <c r="B10043" s="9"/>
      <c r="C10043" s="9"/>
      <c r="D10043" t="str">
        <f>"F40H3.15"</f>
        <v>F40H3.15</v>
      </c>
      <c r="F10043" t="s">
        <v>481</v>
      </c>
      <c r="H10043" s="12">
        <v>1.9224372575583699</v>
      </c>
      <c r="I10043" s="20">
        <v>0.46933080082704198</v>
      </c>
      <c r="J10043" s="28">
        <v>0.638833202510111</v>
      </c>
      <c r="K10043" s="29">
        <v>0.98289565623980701</v>
      </c>
    </row>
    <row r="10044" spans="1:11" x14ac:dyDescent="0.35">
      <c r="A10044" s="9" t="str">
        <f>HYPERLINK("http://www.ensembl.org/id/WBGene00018251", "WBGene00018251")</f>
        <v>WBGene00018251</v>
      </c>
      <c r="B10044" s="9" t="str">
        <f>HYPERLINK("http://www.ncbi.nlm.nih.gov/gene/185572", "185572")</f>
        <v>185572</v>
      </c>
      <c r="C10044" s="9"/>
      <c r="D10044" t="str">
        <f>"F40H3.3"</f>
        <v>F40H3.3</v>
      </c>
      <c r="F10044" t="s">
        <v>11</v>
      </c>
      <c r="H10044" s="12">
        <v>1.38691110889513</v>
      </c>
      <c r="I10044" s="20">
        <v>0.53989941781934803</v>
      </c>
      <c r="J10044" s="28">
        <v>0.58926639940809999</v>
      </c>
      <c r="K10044" s="29">
        <v>0.98289565623980701</v>
      </c>
    </row>
    <row r="10045" spans="1:11" x14ac:dyDescent="0.35">
      <c r="A10045" s="9" t="str">
        <f>HYPERLINK("http://www.ensembl.org/id/WBGene00196285", "WBGene00196285")</f>
        <v>WBGene00196285</v>
      </c>
      <c r="B10045" s="9"/>
      <c r="C10045" s="9"/>
      <c r="D10045" t="str">
        <f>"F40H3.7"</f>
        <v>F40H3.7</v>
      </c>
      <c r="F10045" t="s">
        <v>481</v>
      </c>
      <c r="H10045" s="12">
        <v>-2.4991590031922399</v>
      </c>
      <c r="I10045" s="20">
        <v>-0.26577412737581302</v>
      </c>
      <c r="J10045" s="28">
        <v>0.79041317015736101</v>
      </c>
      <c r="K10045" s="29">
        <v>0.98289565623980701</v>
      </c>
    </row>
    <row r="10046" spans="1:11" x14ac:dyDescent="0.35">
      <c r="A10046" s="9" t="str">
        <f>HYPERLINK("http://www.ensembl.org/id/WBGene00197068", "WBGene00197068")</f>
        <v>WBGene00197068</v>
      </c>
      <c r="B10046" s="9"/>
      <c r="C10046" s="9"/>
      <c r="D10046" t="str">
        <f>"F40H3.9"</f>
        <v>F40H3.9</v>
      </c>
      <c r="F10046" t="s">
        <v>481</v>
      </c>
      <c r="H10046" s="12">
        <v>5.4058944669092801</v>
      </c>
      <c r="I10046" s="20">
        <v>0.49762513753689303</v>
      </c>
      <c r="J10046" s="28">
        <v>0.61874828254921799</v>
      </c>
      <c r="K10046" s="29">
        <v>0.98289565623980701</v>
      </c>
    </row>
    <row r="10047" spans="1:11" x14ac:dyDescent="0.35">
      <c r="A10047" s="9" t="str">
        <f>HYPERLINK("http://www.ensembl.org/id/WBGene00018253", "WBGene00018253")</f>
        <v>WBGene00018253</v>
      </c>
      <c r="B10047" s="9" t="str">
        <f>HYPERLINK("http://www.ncbi.nlm.nih.gov/gene/175856", "175856")</f>
        <v>175856</v>
      </c>
      <c r="C10047" s="9"/>
      <c r="D10047" t="str">
        <f>"F40H6.1"</f>
        <v>F40H6.1</v>
      </c>
      <c r="F10047" t="s">
        <v>11</v>
      </c>
      <c r="G10047" t="s">
        <v>25</v>
      </c>
      <c r="H10047" s="12">
        <v>-1.66411384753324</v>
      </c>
      <c r="I10047" s="20">
        <v>-0.51869750827875805</v>
      </c>
      <c r="J10047" s="28">
        <v>0.603971699562454</v>
      </c>
      <c r="K10047" s="29">
        <v>0.98289565623980701</v>
      </c>
    </row>
    <row r="10048" spans="1:11" x14ac:dyDescent="0.35">
      <c r="A10048" s="9" t="str">
        <f>HYPERLINK("http://www.ensembl.org/id/WBGene00018255", "WBGene00018255")</f>
        <v>WBGene00018255</v>
      </c>
      <c r="B10048" s="9" t="str">
        <f>HYPERLINK("http://www.ncbi.nlm.nih.gov/gene/185576", "185576")</f>
        <v>185576</v>
      </c>
      <c r="C10048" s="9"/>
      <c r="D10048" t="str">
        <f>"F40H6.5"</f>
        <v>F40H6.5</v>
      </c>
      <c r="F10048" t="s">
        <v>11</v>
      </c>
      <c r="G10048" t="s">
        <v>4290</v>
      </c>
      <c r="H10048" s="12">
        <v>1.3309921639411599</v>
      </c>
      <c r="I10048" s="20">
        <v>0.59230202916213903</v>
      </c>
      <c r="J10048" s="28">
        <v>0.55364835735360995</v>
      </c>
      <c r="K10048" s="29">
        <v>0.98289565623980701</v>
      </c>
    </row>
    <row r="10049" spans="1:11" x14ac:dyDescent="0.35">
      <c r="A10049" s="9" t="str">
        <f>HYPERLINK("http://www.ensembl.org/id/WBGene00044379", "WBGene00044379")</f>
        <v>WBGene00044379</v>
      </c>
      <c r="B10049" s="9" t="str">
        <f>HYPERLINK("http://www.ncbi.nlm.nih.gov/gene/3565379", "3565379")</f>
        <v>3565379</v>
      </c>
      <c r="C10049" s="9"/>
      <c r="D10049" t="str">
        <f>"F40H7.12"</f>
        <v>F40H7.12</v>
      </c>
      <c r="F10049" t="s">
        <v>11</v>
      </c>
      <c r="H10049" s="12">
        <v>2.1541729183528502</v>
      </c>
      <c r="I10049" s="20">
        <v>0.54511297095044398</v>
      </c>
      <c r="J10049" s="28">
        <v>0.58567582221027503</v>
      </c>
      <c r="K10049" s="29">
        <v>0.98289565623980701</v>
      </c>
    </row>
    <row r="10050" spans="1:11" x14ac:dyDescent="0.35">
      <c r="A10050" s="9" t="str">
        <f>HYPERLINK("http://www.ensembl.org/id/WBGene00018259", "WBGene00018259")</f>
        <v>WBGene00018259</v>
      </c>
      <c r="B10050" s="9" t="str">
        <f>HYPERLINK("http://www.ncbi.nlm.nih.gov/gene/180954", "180954")</f>
        <v>180954</v>
      </c>
      <c r="C10050" s="9"/>
      <c r="D10050" t="str">
        <f>"F41B4.3"</f>
        <v>F41B4.3</v>
      </c>
      <c r="F10050" t="s">
        <v>11</v>
      </c>
      <c r="G10050" t="s">
        <v>1683</v>
      </c>
      <c r="H10050" s="12">
        <v>-1.2962906140530699</v>
      </c>
      <c r="I10050" s="20">
        <v>-1.1941840219180899</v>
      </c>
      <c r="J10050" s="28">
        <v>0.23240599184286101</v>
      </c>
      <c r="K10050" s="29">
        <v>0.98289565623980701</v>
      </c>
    </row>
    <row r="10051" spans="1:11" x14ac:dyDescent="0.35">
      <c r="A10051" s="9" t="str">
        <f>HYPERLINK("http://www.ensembl.org/id/WBGene00023284", "WBGene00023284")</f>
        <v>WBGene00023284</v>
      </c>
      <c r="B10051" s="9" t="str">
        <f>HYPERLINK("http://www.ncbi.nlm.nih.gov/gene/13211878", "13211878")</f>
        <v>13211878</v>
      </c>
      <c r="C10051" s="9"/>
      <c r="D10051" t="str">
        <f>"F41B5.1"</f>
        <v>F41B5.1</v>
      </c>
      <c r="F10051" t="s">
        <v>11</v>
      </c>
      <c r="G10051" t="s">
        <v>2818</v>
      </c>
      <c r="H10051" s="12">
        <v>1.26666180027478</v>
      </c>
      <c r="I10051" s="20">
        <v>0.57600151586465598</v>
      </c>
      <c r="J10051" s="28">
        <v>0.56461415698907003</v>
      </c>
      <c r="K10051" s="29">
        <v>0.98289565623980701</v>
      </c>
    </row>
    <row r="10052" spans="1:11" x14ac:dyDescent="0.35">
      <c r="A10052" s="9" t="str">
        <f>HYPERLINK("http://www.ensembl.org/id/WBGene00023039", "WBGene00023039")</f>
        <v>WBGene00023039</v>
      </c>
      <c r="B10052" s="9"/>
      <c r="C10052" s="9"/>
      <c r="D10052" t="str">
        <f>"F41B5.11"</f>
        <v>F41B5.11</v>
      </c>
      <c r="F10052" t="s">
        <v>80</v>
      </c>
      <c r="H10052" s="12">
        <v>-2.3473970420860999</v>
      </c>
      <c r="I10052" s="20">
        <v>-0.52712095797848402</v>
      </c>
      <c r="J10052" s="28">
        <v>0.59810959362706895</v>
      </c>
      <c r="K10052" s="29">
        <v>0.98289565623980701</v>
      </c>
    </row>
    <row r="10053" spans="1:11" x14ac:dyDescent="0.35">
      <c r="A10053" s="9" t="str">
        <f>HYPERLINK("http://www.ensembl.org/id/WBGene00202502", "WBGene00202502")</f>
        <v>WBGene00202502</v>
      </c>
      <c r="B10053" s="9" t="str">
        <f>HYPERLINK("http://www.ncbi.nlm.nih.gov/gene/13211880", "13211880")</f>
        <v>13211880</v>
      </c>
      <c r="C10053" s="9"/>
      <c r="D10053" t="str">
        <f>"F41B5.12"</f>
        <v>F41B5.12</v>
      </c>
      <c r="F10053" t="s">
        <v>11</v>
      </c>
      <c r="H10053" s="12">
        <v>-1.7500624891032499</v>
      </c>
      <c r="I10053" s="20">
        <v>-0.299135371462805</v>
      </c>
      <c r="J10053" s="28">
        <v>0.76483675866093004</v>
      </c>
      <c r="K10053" s="29">
        <v>0.98289565623980701</v>
      </c>
    </row>
    <row r="10054" spans="1:11" x14ac:dyDescent="0.35">
      <c r="A10054" s="9" t="str">
        <f>HYPERLINK("http://www.ensembl.org/id/WBGene00018267", "WBGene00018267")</f>
        <v>WBGene00018267</v>
      </c>
      <c r="B10054" s="9" t="str">
        <f>HYPERLINK("http://www.ncbi.nlm.nih.gov/gene/185595", "185595")</f>
        <v>185595</v>
      </c>
      <c r="C10054" s="9"/>
      <c r="D10054" t="str">
        <f>"F41C3.1"</f>
        <v>F41C3.1</v>
      </c>
      <c r="F10054" t="s">
        <v>11</v>
      </c>
      <c r="H10054" s="12">
        <v>-2.3099635905008902</v>
      </c>
      <c r="I10054" s="20">
        <v>-0.917070705425998</v>
      </c>
      <c r="J10054" s="28">
        <v>0.35910559065217801</v>
      </c>
      <c r="K10054" s="29">
        <v>0.98289565623980701</v>
      </c>
    </row>
    <row r="10055" spans="1:11" x14ac:dyDescent="0.35">
      <c r="A10055" s="9" t="str">
        <f>HYPERLINK("http://www.ensembl.org/id/WBGene00018268", "WBGene00018268")</f>
        <v>WBGene00018268</v>
      </c>
      <c r="B10055" s="9" t="str">
        <f>HYPERLINK("http://www.ncbi.nlm.nih.gov/gene/173821", "173821")</f>
        <v>173821</v>
      </c>
      <c r="C10055" s="9"/>
      <c r="D10055" t="str">
        <f>"F41C3.2"</f>
        <v>F41C3.2</v>
      </c>
      <c r="F10055" t="s">
        <v>11</v>
      </c>
      <c r="G10055" t="s">
        <v>230</v>
      </c>
      <c r="H10055" s="12">
        <v>1.15010357832078</v>
      </c>
      <c r="I10055" s="20">
        <v>0.47912149322271802</v>
      </c>
      <c r="J10055" s="28">
        <v>0.631852200149849</v>
      </c>
      <c r="K10055" s="29">
        <v>0.98289565623980701</v>
      </c>
    </row>
    <row r="10056" spans="1:11" x14ac:dyDescent="0.35">
      <c r="A10056" s="9" t="str">
        <f>HYPERLINK("http://www.ensembl.org/id/WBGene00018272", "WBGene00018272")</f>
        <v>WBGene00018272</v>
      </c>
      <c r="B10056" s="9" t="str">
        <f>HYPERLINK("http://www.ncbi.nlm.nih.gov/gene/173817", "173817")</f>
        <v>173817</v>
      </c>
      <c r="C10056" s="9"/>
      <c r="D10056" t="str">
        <f>"F41C3.6"</f>
        <v>F41C3.6</v>
      </c>
      <c r="F10056" t="s">
        <v>11</v>
      </c>
      <c r="H10056" s="12">
        <v>1.6887151499322</v>
      </c>
      <c r="I10056" s="20">
        <v>0.77949409035760497</v>
      </c>
      <c r="J10056" s="28">
        <v>0.43568871742534299</v>
      </c>
      <c r="K10056" s="29">
        <v>0.98289565623980701</v>
      </c>
    </row>
    <row r="10057" spans="1:11" x14ac:dyDescent="0.35">
      <c r="A10057" s="9" t="str">
        <f>HYPERLINK("http://www.ensembl.org/id/WBGene00018273", "WBGene00018273")</f>
        <v>WBGene00018273</v>
      </c>
      <c r="B10057" s="9" t="str">
        <f>HYPERLINK("http://www.ncbi.nlm.nih.gov/gene/185596", "185596")</f>
        <v>185596</v>
      </c>
      <c r="C10057" s="9"/>
      <c r="D10057" t="str">
        <f>"F41C3.7"</f>
        <v>F41C3.7</v>
      </c>
      <c r="F10057" t="s">
        <v>11</v>
      </c>
      <c r="H10057" s="12">
        <v>-1.5565397857558401</v>
      </c>
      <c r="I10057" s="20">
        <v>-0.497554634875298</v>
      </c>
      <c r="J10057" s="28">
        <v>0.618797985348843</v>
      </c>
      <c r="K10057" s="29">
        <v>0.98289565623980701</v>
      </c>
    </row>
    <row r="10058" spans="1:11" x14ac:dyDescent="0.35">
      <c r="A10058" s="9" t="str">
        <f>HYPERLINK("http://www.ensembl.org/id/WBGene00018274", "WBGene00018274")</f>
        <v>WBGene00018274</v>
      </c>
      <c r="B10058" s="9" t="str">
        <f>HYPERLINK("http://www.ncbi.nlm.nih.gov/gene/173814", "173814")</f>
        <v>173814</v>
      </c>
      <c r="C10058" s="9"/>
      <c r="D10058" t="str">
        <f>"F41C3.8"</f>
        <v>F41C3.8</v>
      </c>
      <c r="F10058" t="s">
        <v>11</v>
      </c>
      <c r="G10058" t="s">
        <v>7168</v>
      </c>
      <c r="H10058" s="12">
        <v>-1.1111708552289099</v>
      </c>
      <c r="I10058" s="20">
        <v>-0.50522826878736504</v>
      </c>
      <c r="J10058" s="28">
        <v>0.61339851749914198</v>
      </c>
      <c r="K10058" s="29">
        <v>0.98289565623980701</v>
      </c>
    </row>
    <row r="10059" spans="1:11" x14ac:dyDescent="0.35">
      <c r="A10059" s="9" t="str">
        <f>HYPERLINK("http://www.ensembl.org/id/WBGene00197252", "WBGene00197252")</f>
        <v>WBGene00197252</v>
      </c>
      <c r="B10059" s="9"/>
      <c r="C10059" s="9"/>
      <c r="D10059" t="str">
        <f>"F41C6.10"</f>
        <v>F41C6.10</v>
      </c>
      <c r="F10059" t="s">
        <v>481</v>
      </c>
      <c r="H10059" s="12">
        <v>2.3893468495514898</v>
      </c>
      <c r="I10059" s="20">
        <v>0.25323547253672701</v>
      </c>
      <c r="J10059" s="28">
        <v>0.80008625651646104</v>
      </c>
      <c r="K10059" s="29">
        <v>0.98289565623980701</v>
      </c>
    </row>
    <row r="10060" spans="1:11" x14ac:dyDescent="0.35">
      <c r="A10060" s="9" t="str">
        <f>HYPERLINK("http://www.ensembl.org/id/WBGene00018279", "WBGene00018279")</f>
        <v>WBGene00018279</v>
      </c>
      <c r="B10060" s="9" t="str">
        <f>HYPERLINK("http://www.ncbi.nlm.nih.gov/gene/185600", "185600")</f>
        <v>185600</v>
      </c>
      <c r="C10060" s="9"/>
      <c r="D10060" t="str">
        <f>"F41C6.6"</f>
        <v>F41C6.6</v>
      </c>
      <c r="F10060" t="s">
        <v>11</v>
      </c>
      <c r="H10060" s="12">
        <v>1.9561173881285501</v>
      </c>
      <c r="I10060" s="20">
        <v>0.257782736541043</v>
      </c>
      <c r="J10060" s="28">
        <v>0.79657458856254804</v>
      </c>
      <c r="K10060" s="29">
        <v>0.98289565623980701</v>
      </c>
    </row>
    <row r="10061" spans="1:11" x14ac:dyDescent="0.35">
      <c r="A10061" s="9" t="str">
        <f>HYPERLINK("http://www.ensembl.org/id/WBGene00018280", "WBGene00018280")</f>
        <v>WBGene00018280</v>
      </c>
      <c r="B10061" s="9" t="str">
        <f>HYPERLINK("http://www.ncbi.nlm.nih.gov/gene/185601", "185601")</f>
        <v>185601</v>
      </c>
      <c r="C10061" s="9"/>
      <c r="D10061" t="str">
        <f>"F41C6.7"</f>
        <v>F41C6.7</v>
      </c>
      <c r="F10061" t="s">
        <v>11</v>
      </c>
      <c r="G10061" t="s">
        <v>307</v>
      </c>
      <c r="H10061" s="12">
        <v>-1.3892815283375799</v>
      </c>
      <c r="I10061" s="20">
        <v>-0.62170349556771198</v>
      </c>
      <c r="J10061" s="28">
        <v>0.53413685269519795</v>
      </c>
      <c r="K10061" s="29">
        <v>0.98289565623980701</v>
      </c>
    </row>
    <row r="10062" spans="1:11" x14ac:dyDescent="0.35">
      <c r="A10062" s="9" t="str">
        <f>HYPERLINK("http://www.ensembl.org/id/WBGene00196974", "WBGene00196974")</f>
        <v>WBGene00196974</v>
      </c>
      <c r="B10062" s="9"/>
      <c r="C10062" s="9"/>
      <c r="D10062" t="str">
        <f>"F41C6.9"</f>
        <v>F41C6.9</v>
      </c>
      <c r="F10062" t="s">
        <v>481</v>
      </c>
      <c r="H10062" s="12">
        <v>-2.4772140472330402</v>
      </c>
      <c r="I10062" s="20">
        <v>-0.26891282500069902</v>
      </c>
      <c r="J10062" s="28">
        <v>0.78799676746418601</v>
      </c>
      <c r="K10062" s="29">
        <v>0.98289565623980701</v>
      </c>
    </row>
    <row r="10063" spans="1:11" x14ac:dyDescent="0.35">
      <c r="A10063" s="9" t="str">
        <f>HYPERLINK("http://www.ensembl.org/id/WBGene00009611", "WBGene00009611")</f>
        <v>WBGene00009611</v>
      </c>
      <c r="B10063" s="9" t="str">
        <f>HYPERLINK("http://www.ncbi.nlm.nih.gov/gene/185606", "185606")</f>
        <v>185606</v>
      </c>
      <c r="C10063" s="9"/>
      <c r="D10063" t="str">
        <f>"F41D3.6"</f>
        <v>F41D3.6</v>
      </c>
      <c r="F10063" t="s">
        <v>11</v>
      </c>
      <c r="G10063" t="s">
        <v>4220</v>
      </c>
      <c r="H10063" s="12">
        <v>9.2967262476284596</v>
      </c>
      <c r="I10063" s="20">
        <v>1.1300136551705899</v>
      </c>
      <c r="J10063" s="28">
        <v>0.25847047063013001</v>
      </c>
      <c r="K10063" s="29">
        <v>0.98289565623980701</v>
      </c>
    </row>
    <row r="10064" spans="1:11" x14ac:dyDescent="0.35">
      <c r="A10064" s="9" t="str">
        <f>HYPERLINK("http://www.ensembl.org/id/WBGene00202418", "WBGene00202418")</f>
        <v>WBGene00202418</v>
      </c>
      <c r="B10064" s="9"/>
      <c r="C10064" s="9"/>
      <c r="D10064" t="str">
        <f>"F41D9.15"</f>
        <v>F41D9.15</v>
      </c>
      <c r="F10064" t="s">
        <v>481</v>
      </c>
      <c r="H10064" s="12">
        <v>2.4578120077400301</v>
      </c>
      <c r="I10064" s="20">
        <v>0.26093350314551</v>
      </c>
      <c r="J10064" s="28">
        <v>0.79414378780213601</v>
      </c>
      <c r="K10064" s="29">
        <v>0.98289565623980701</v>
      </c>
    </row>
    <row r="10065" spans="1:11" x14ac:dyDescent="0.35">
      <c r="A10065" s="9" t="str">
        <f>HYPERLINK("http://www.ensembl.org/id/WBGene00195433", "WBGene00195433")</f>
        <v>WBGene00195433</v>
      </c>
      <c r="B10065" s="9"/>
      <c r="C10065" s="9"/>
      <c r="D10065" t="str">
        <f>"F41D9.6"</f>
        <v>F41D9.6</v>
      </c>
      <c r="F10065" t="s">
        <v>481</v>
      </c>
      <c r="H10065" s="12">
        <v>5.4058944669092801</v>
      </c>
      <c r="I10065" s="20">
        <v>0.49762513753689303</v>
      </c>
      <c r="J10065" s="28">
        <v>0.61874828254921799</v>
      </c>
      <c r="K10065" s="29">
        <v>0.98289565623980701</v>
      </c>
    </row>
    <row r="10066" spans="1:11" x14ac:dyDescent="0.35">
      <c r="A10066" s="9" t="str">
        <f>HYPERLINK("http://www.ensembl.org/id/WBGene00018292", "WBGene00018292")</f>
        <v>WBGene00018292</v>
      </c>
      <c r="B10066" s="9" t="str">
        <f>HYPERLINK("http://www.ncbi.nlm.nih.gov/gene/179245", "179245")</f>
        <v>179245</v>
      </c>
      <c r="C10066" s="9"/>
      <c r="D10066" t="str">
        <f>"F41E6.11"</f>
        <v>F41E6.11</v>
      </c>
      <c r="F10066" t="s">
        <v>11</v>
      </c>
      <c r="G10066" t="s">
        <v>1683</v>
      </c>
      <c r="H10066" s="12">
        <v>-1.21763924263086</v>
      </c>
      <c r="I10066" s="20">
        <v>-0.38694804122007198</v>
      </c>
      <c r="J10066" s="28">
        <v>0.69879467434415699</v>
      </c>
      <c r="K10066" s="29">
        <v>0.98289565623980701</v>
      </c>
    </row>
    <row r="10067" spans="1:11" x14ac:dyDescent="0.35">
      <c r="A10067" s="9" t="str">
        <f>HYPERLINK("http://www.ensembl.org/id/WBGene00018293", "WBGene00018293")</f>
        <v>WBGene00018293</v>
      </c>
      <c r="B10067" s="9" t="str">
        <f>HYPERLINK("http://www.ncbi.nlm.nih.gov/gene/185621", "185621")</f>
        <v>185621</v>
      </c>
      <c r="C10067" s="9"/>
      <c r="D10067" t="str">
        <f>"F41E6.12"</f>
        <v>F41E6.12</v>
      </c>
      <c r="F10067" t="s">
        <v>11</v>
      </c>
      <c r="H10067" s="12">
        <v>1.7383117017502301</v>
      </c>
      <c r="I10067" s="20">
        <v>0.89809821335361795</v>
      </c>
      <c r="J10067" s="28">
        <v>0.36913319146475598</v>
      </c>
      <c r="K10067" s="29">
        <v>0.98289565623980701</v>
      </c>
    </row>
    <row r="10068" spans="1:11" x14ac:dyDescent="0.35">
      <c r="A10068" s="9" t="str">
        <f>HYPERLINK("http://www.ensembl.org/id/WBGene00194909", "WBGene00194909")</f>
        <v>WBGene00194909</v>
      </c>
      <c r="B10068" s="9" t="str">
        <f>HYPERLINK("http://www.ncbi.nlm.nih.gov/gene/13214080", "13214080")</f>
        <v>13214080</v>
      </c>
      <c r="C10068" s="9"/>
      <c r="D10068" t="str">
        <f>"F41E6.17"</f>
        <v>F41E6.17</v>
      </c>
      <c r="F10068" t="s">
        <v>11</v>
      </c>
      <c r="H10068" s="12">
        <v>1.4548925463937601</v>
      </c>
      <c r="I10068" s="20">
        <v>0.90751989236292097</v>
      </c>
      <c r="J10068" s="28">
        <v>0.36413193495978502</v>
      </c>
      <c r="K10068" s="29">
        <v>0.98289565623980701</v>
      </c>
    </row>
    <row r="10069" spans="1:11" x14ac:dyDescent="0.35">
      <c r="A10069" s="9" t="str">
        <f>HYPERLINK("http://www.ensembl.org/id/WBGene00009617", "WBGene00009617")</f>
        <v>WBGene00009617</v>
      </c>
      <c r="B10069" s="9" t="str">
        <f>HYPERLINK("http://www.ncbi.nlm.nih.gov/gene/181236", "181236")</f>
        <v>181236</v>
      </c>
      <c r="C10069" s="9" t="str">
        <f>HYPERLINK("http://www.ncbi.nlm.nih.gov/gene/150159", "150159")</f>
        <v>150159</v>
      </c>
      <c r="D10069" t="str">
        <f>"F41E7.1"</f>
        <v>F41E7.1</v>
      </c>
      <c r="F10069" t="s">
        <v>11</v>
      </c>
      <c r="G10069" t="s">
        <v>4551</v>
      </c>
      <c r="H10069" s="12">
        <v>1.44618236763786</v>
      </c>
      <c r="I10069" s="20">
        <v>1.03975821921513</v>
      </c>
      <c r="J10069" s="28">
        <v>0.29845224468910297</v>
      </c>
      <c r="K10069" s="29">
        <v>0.98289565623980701</v>
      </c>
    </row>
    <row r="10070" spans="1:11" x14ac:dyDescent="0.35">
      <c r="A10070" s="9" t="str">
        <f>HYPERLINK("http://www.ensembl.org/id/WBGene00197194", "WBGene00197194")</f>
        <v>WBGene00197194</v>
      </c>
      <c r="B10070" s="9"/>
      <c r="C10070" s="9"/>
      <c r="D10070" t="str">
        <f>"F41E7.11"</f>
        <v>F41E7.11</v>
      </c>
      <c r="F10070" t="s">
        <v>481</v>
      </c>
      <c r="H10070" s="12">
        <v>-8.0014360469151899</v>
      </c>
      <c r="I10070" s="20">
        <v>-0.61746222315259702</v>
      </c>
      <c r="J10070" s="28">
        <v>0.536929891129723</v>
      </c>
      <c r="K10070" s="29">
        <v>0.98289565623980701</v>
      </c>
    </row>
    <row r="10071" spans="1:11" x14ac:dyDescent="0.35">
      <c r="A10071" s="9" t="str">
        <f>HYPERLINK("http://www.ensembl.org/id/WBGene00200593", "WBGene00200593")</f>
        <v>WBGene00200593</v>
      </c>
      <c r="B10071" s="9"/>
      <c r="C10071" s="9"/>
      <c r="D10071" t="str">
        <f>"F41E7.16"</f>
        <v>F41E7.16</v>
      </c>
      <c r="F10071" t="s">
        <v>481</v>
      </c>
      <c r="H10071" s="12">
        <v>3.5227018545059199</v>
      </c>
      <c r="I10071" s="20">
        <v>0.36849691206929103</v>
      </c>
      <c r="J10071" s="28">
        <v>0.71250274722433404</v>
      </c>
      <c r="K10071" s="29">
        <v>0.98289565623980701</v>
      </c>
    </row>
    <row r="10072" spans="1:11" x14ac:dyDescent="0.35">
      <c r="A10072" s="9" t="str">
        <f>HYPERLINK("http://www.ensembl.org/id/WBGene00219545", "WBGene00219545")</f>
        <v>WBGene00219545</v>
      </c>
      <c r="B10072" s="9"/>
      <c r="C10072" s="9"/>
      <c r="D10072" t="str">
        <f>"F41E7.19"</f>
        <v>F41E7.19</v>
      </c>
      <c r="F10072" t="s">
        <v>481</v>
      </c>
      <c r="H10072" s="12">
        <v>2.4578120077400301</v>
      </c>
      <c r="I10072" s="20">
        <v>0.26093350314551</v>
      </c>
      <c r="J10072" s="28">
        <v>0.79414378780213601</v>
      </c>
      <c r="K10072" s="29">
        <v>0.98289565623980701</v>
      </c>
    </row>
    <row r="10073" spans="1:11" x14ac:dyDescent="0.35">
      <c r="A10073" s="9" t="str">
        <f>HYPERLINK("http://www.ensembl.org/id/WBGene00009618", "WBGene00009618")</f>
        <v>WBGene00009618</v>
      </c>
      <c r="B10073" s="9" t="str">
        <f>HYPERLINK("http://www.ncbi.nlm.nih.gov/gene/181235", "181235")</f>
        <v>181235</v>
      </c>
      <c r="C10073" s="9" t="str">
        <f>HYPERLINK("http://www.ncbi.nlm.nih.gov/gene/150159", "150159")</f>
        <v>150159</v>
      </c>
      <c r="D10073" t="str">
        <f>"F41E7.2"</f>
        <v>F41E7.2</v>
      </c>
      <c r="F10073" t="s">
        <v>11</v>
      </c>
      <c r="G10073" t="s">
        <v>4551</v>
      </c>
      <c r="H10073" s="12">
        <v>1.7114135267948201</v>
      </c>
      <c r="I10073" s="20">
        <v>1.0469903079199501</v>
      </c>
      <c r="J10073" s="28">
        <v>0.29510404832464199</v>
      </c>
      <c r="K10073" s="29">
        <v>0.98289565623980701</v>
      </c>
    </row>
    <row r="10074" spans="1:11" x14ac:dyDescent="0.35">
      <c r="A10074" s="9" t="str">
        <f>HYPERLINK("http://www.ensembl.org/id/WBGene00219546", "WBGene00219546")</f>
        <v>WBGene00219546</v>
      </c>
      <c r="B10074" s="9"/>
      <c r="C10074" s="9"/>
      <c r="D10074" t="str">
        <f>"F41E7.20"</f>
        <v>F41E7.20</v>
      </c>
      <c r="F10074" t="s">
        <v>481</v>
      </c>
      <c r="H10074" s="12">
        <v>-2.9476747165889798</v>
      </c>
      <c r="I10074" s="20">
        <v>-0.65025300875024294</v>
      </c>
      <c r="J10074" s="28">
        <v>0.51552880538503998</v>
      </c>
      <c r="K10074" s="29">
        <v>0.98289565623980701</v>
      </c>
    </row>
    <row r="10075" spans="1:11" x14ac:dyDescent="0.35">
      <c r="A10075" s="9" t="str">
        <f>HYPERLINK("http://www.ensembl.org/id/WBGene00009622", "WBGene00009622")</f>
        <v>WBGene00009622</v>
      </c>
      <c r="B10075" s="9" t="str">
        <f>HYPERLINK("http://www.ncbi.nlm.nih.gov/gene/185624", "185624")</f>
        <v>185624</v>
      </c>
      <c r="C10075" s="9" t="str">
        <f>HYPERLINK("http://www.ncbi.nlm.nih.gov/gene/54677", "54677")</f>
        <v>54677</v>
      </c>
      <c r="D10075" t="str">
        <f>"F41E7.6"</f>
        <v>F41E7.6</v>
      </c>
      <c r="F10075" t="s">
        <v>11</v>
      </c>
      <c r="G10075" t="s">
        <v>1602</v>
      </c>
      <c r="H10075" s="12">
        <v>1.6392185022919701</v>
      </c>
      <c r="I10075" s="20">
        <v>1.02737675758768</v>
      </c>
      <c r="J10075" s="28">
        <v>0.30424309147552198</v>
      </c>
      <c r="K10075" s="29">
        <v>0.98289565623980701</v>
      </c>
    </row>
    <row r="10076" spans="1:11" x14ac:dyDescent="0.35">
      <c r="A10076" s="9" t="str">
        <f>HYPERLINK("http://www.ensembl.org/id/WBGene00009623", "WBGene00009623")</f>
        <v>WBGene00009623</v>
      </c>
      <c r="B10076" s="9" t="str">
        <f>HYPERLINK("http://www.ncbi.nlm.nih.gov/gene/185625", "185625")</f>
        <v>185625</v>
      </c>
      <c r="C10076" s="9"/>
      <c r="D10076" t="str">
        <f>"F41E7.7"</f>
        <v>F41E7.7</v>
      </c>
      <c r="F10076" t="s">
        <v>11</v>
      </c>
      <c r="H10076" s="12">
        <v>1.29864513672894</v>
      </c>
      <c r="I10076" s="20">
        <v>1.1650114032969101</v>
      </c>
      <c r="J10076" s="28">
        <v>0.244014377006815</v>
      </c>
      <c r="K10076" s="29">
        <v>0.98289565623980701</v>
      </c>
    </row>
    <row r="10077" spans="1:11" x14ac:dyDescent="0.35">
      <c r="A10077" s="9" t="str">
        <f>HYPERLINK("http://www.ensembl.org/id/WBGene00009625", "WBGene00009625")</f>
        <v>WBGene00009625</v>
      </c>
      <c r="B10077" s="9" t="str">
        <f>HYPERLINK("http://www.ncbi.nlm.nih.gov/gene/3565630", "3565630")</f>
        <v>3565630</v>
      </c>
      <c r="C10077" s="9"/>
      <c r="D10077" t="str">
        <f>"F41E7.9"</f>
        <v>F41E7.9</v>
      </c>
      <c r="F10077" t="s">
        <v>11</v>
      </c>
      <c r="H10077" s="12">
        <v>-1.41419176027031</v>
      </c>
      <c r="I10077" s="20">
        <v>-0.463445554911948</v>
      </c>
      <c r="J10077" s="28">
        <v>0.64304503186102202</v>
      </c>
      <c r="K10077" s="29">
        <v>0.98289565623980701</v>
      </c>
    </row>
    <row r="10078" spans="1:11" x14ac:dyDescent="0.35">
      <c r="A10078" s="9" t="str">
        <f>HYPERLINK("http://www.ensembl.org/id/WBGene00269386", "WBGene00269386")</f>
        <v>WBGene00269386</v>
      </c>
      <c r="B10078" s="9"/>
      <c r="C10078" s="9"/>
      <c r="D10078" t="str">
        <f>"F41F3.10"</f>
        <v>F41F3.10</v>
      </c>
      <c r="F10078" t="s">
        <v>1510</v>
      </c>
      <c r="H10078" s="12">
        <v>-2.5939904834899399</v>
      </c>
      <c r="I10078" s="20">
        <v>-0.456196703708181</v>
      </c>
      <c r="J10078" s="28">
        <v>0.64824853556044104</v>
      </c>
      <c r="K10078" s="29">
        <v>0.98289565623980701</v>
      </c>
    </row>
    <row r="10079" spans="1:11" x14ac:dyDescent="0.35">
      <c r="A10079" s="9" t="str">
        <f>HYPERLINK("http://www.ensembl.org/id/WBGene00044533", "WBGene00044533")</f>
        <v>WBGene00044533</v>
      </c>
      <c r="B10079" s="9" t="str">
        <f>HYPERLINK("http://www.ncbi.nlm.nih.gov/gene/3896826", "3896826")</f>
        <v>3896826</v>
      </c>
      <c r="C10079" s="9"/>
      <c r="D10079" t="str">
        <f>"F41F3.8"</f>
        <v>F41F3.8</v>
      </c>
      <c r="F10079" t="s">
        <v>11</v>
      </c>
      <c r="H10079" s="12">
        <v>-1.97873163211159</v>
      </c>
      <c r="I10079" s="20">
        <v>-0.54226453578261802</v>
      </c>
      <c r="J10079" s="28">
        <v>0.58763628283553904</v>
      </c>
      <c r="K10079" s="29">
        <v>0.98289565623980701</v>
      </c>
    </row>
    <row r="10080" spans="1:11" x14ac:dyDescent="0.35">
      <c r="A10080" s="9" t="str">
        <f>HYPERLINK("http://www.ensembl.org/id/WBGene00044221", "WBGene00044221")</f>
        <v>WBGene00044221</v>
      </c>
      <c r="B10080" s="9" t="str">
        <f>HYPERLINK("http://www.ncbi.nlm.nih.gov/gene/24104565", "24104565")</f>
        <v>24104565</v>
      </c>
      <c r="C10080" s="9"/>
      <c r="D10080" t="str">
        <f>"F41G3.18"</f>
        <v>F41G3.18</v>
      </c>
      <c r="F10080" t="s">
        <v>11</v>
      </c>
      <c r="G10080" t="s">
        <v>25</v>
      </c>
      <c r="H10080" s="12">
        <v>-1.1901962778621</v>
      </c>
      <c r="I10080" s="20">
        <v>-0.45288984231583601</v>
      </c>
      <c r="J10080" s="28">
        <v>0.650628065614823</v>
      </c>
      <c r="K10080" s="29">
        <v>0.98289565623980701</v>
      </c>
    </row>
    <row r="10081" spans="1:11" x14ac:dyDescent="0.35">
      <c r="A10081" s="9" t="str">
        <f>HYPERLINK("http://www.ensembl.org/id/WBGene00044315", "WBGene00044315")</f>
        <v>WBGene00044315</v>
      </c>
      <c r="B10081" s="9" t="str">
        <f>HYPERLINK("http://www.ncbi.nlm.nih.gov/gene/3565874", "3565874")</f>
        <v>3565874</v>
      </c>
      <c r="C10081" s="9"/>
      <c r="D10081" t="str">
        <f>"F41G3.20"</f>
        <v>F41G3.20</v>
      </c>
      <c r="F10081" t="s">
        <v>11</v>
      </c>
      <c r="H10081" s="12">
        <v>3.8148437725482198</v>
      </c>
      <c r="I10081" s="20">
        <v>0.55825126677466597</v>
      </c>
      <c r="J10081" s="28">
        <v>0.57667281753129795</v>
      </c>
      <c r="K10081" s="29">
        <v>0.98289565623980701</v>
      </c>
    </row>
    <row r="10082" spans="1:11" x14ac:dyDescent="0.35">
      <c r="A10082" s="9" t="str">
        <f>HYPERLINK("http://www.ensembl.org/id/WBGene00044316", "WBGene00044316")</f>
        <v>WBGene00044316</v>
      </c>
      <c r="B10082" s="9" t="str">
        <f>HYPERLINK("http://www.ncbi.nlm.nih.gov/gene/3564912", "3564912")</f>
        <v>3564912</v>
      </c>
      <c r="C10082" s="9"/>
      <c r="D10082" t="str">
        <f>"F41G3.21"</f>
        <v>F41G3.21</v>
      </c>
      <c r="F10082" t="s">
        <v>11</v>
      </c>
      <c r="H10082" s="12">
        <v>1.50231956906917</v>
      </c>
      <c r="I10082" s="20">
        <v>0.64926302320262197</v>
      </c>
      <c r="J10082" s="28">
        <v>0.51616838187876302</v>
      </c>
      <c r="K10082" s="29">
        <v>0.98289565623980701</v>
      </c>
    </row>
    <row r="10083" spans="1:11" x14ac:dyDescent="0.35">
      <c r="A10083" s="9" t="str">
        <f>HYPERLINK("http://www.ensembl.org/id/WBGene00018301", "WBGene00018301")</f>
        <v>WBGene00018301</v>
      </c>
      <c r="B10083" s="9" t="str">
        <f>HYPERLINK("http://www.ncbi.nlm.nih.gov/gene/185631", "185631")</f>
        <v>185631</v>
      </c>
      <c r="C10083" s="9"/>
      <c r="D10083" t="str">
        <f>"F41G3.5"</f>
        <v>F41G3.5</v>
      </c>
      <c r="F10083" t="s">
        <v>11</v>
      </c>
      <c r="G10083" t="s">
        <v>1763</v>
      </c>
      <c r="H10083" s="12">
        <v>1.61396533557685</v>
      </c>
      <c r="I10083" s="20">
        <v>0.44755509260075299</v>
      </c>
      <c r="J10083" s="28">
        <v>0.65447431903430098</v>
      </c>
      <c r="K10083" s="29">
        <v>0.98289565623980701</v>
      </c>
    </row>
    <row r="10084" spans="1:11" x14ac:dyDescent="0.35">
      <c r="A10084" s="9" t="str">
        <f>HYPERLINK("http://www.ensembl.org/id/WBGene00199271", "WBGene00199271")</f>
        <v>WBGene00199271</v>
      </c>
      <c r="B10084" s="9"/>
      <c r="C10084" s="9"/>
      <c r="D10084" t="str">
        <f>"F41G4.10"</f>
        <v>F41G4.10</v>
      </c>
      <c r="F10084" t="s">
        <v>481</v>
      </c>
      <c r="H10084" s="12">
        <v>-15.9583252361485</v>
      </c>
      <c r="I10084" s="20">
        <v>-0.93882533230632104</v>
      </c>
      <c r="J10084" s="28">
        <v>0.34782043040587501</v>
      </c>
      <c r="K10084" s="29">
        <v>0.98289565623980701</v>
      </c>
    </row>
    <row r="10085" spans="1:11" x14ac:dyDescent="0.35">
      <c r="A10085" s="9" t="str">
        <f>HYPERLINK("http://www.ensembl.org/id/WBGene00018309", "WBGene00018309")</f>
        <v>WBGene00018309</v>
      </c>
      <c r="B10085" s="9"/>
      <c r="C10085" s="9"/>
      <c r="D10085" t="str">
        <f>"F41G4.5"</f>
        <v>F41G4.5</v>
      </c>
      <c r="F10085" t="s">
        <v>80</v>
      </c>
      <c r="H10085" s="12">
        <v>-1.41709114228516</v>
      </c>
      <c r="I10085" s="20">
        <v>-0.49376263295290601</v>
      </c>
      <c r="J10085" s="28">
        <v>0.62147382587419797</v>
      </c>
      <c r="K10085" s="29">
        <v>0.98289565623980701</v>
      </c>
    </row>
    <row r="10086" spans="1:11" x14ac:dyDescent="0.35">
      <c r="A10086" s="9" t="str">
        <f>HYPERLINK("http://www.ensembl.org/id/WBGene00018310", "WBGene00018310")</f>
        <v>WBGene00018310</v>
      </c>
      <c r="B10086" s="9" t="str">
        <f>HYPERLINK("http://www.ncbi.nlm.nih.gov/gene/181732", "181732")</f>
        <v>181732</v>
      </c>
      <c r="C10086" s="9"/>
      <c r="D10086" t="str">
        <f>"F41G4.7"</f>
        <v>F41G4.7</v>
      </c>
      <c r="F10086" t="s">
        <v>11</v>
      </c>
      <c r="H10086" s="12">
        <v>-2.21365467042162</v>
      </c>
      <c r="I10086" s="20">
        <v>-1.12544672473388</v>
      </c>
      <c r="J10086" s="28">
        <v>0.26039978076362502</v>
      </c>
      <c r="K10086" s="29">
        <v>0.98289565623980701</v>
      </c>
    </row>
    <row r="10087" spans="1:11" x14ac:dyDescent="0.35">
      <c r="A10087" s="9" t="str">
        <f>HYPERLINK("http://www.ensembl.org/id/WBGene00018311", "WBGene00018311")</f>
        <v>WBGene00018311</v>
      </c>
      <c r="B10087" s="9" t="str">
        <f>HYPERLINK("http://www.ncbi.nlm.nih.gov/gene/185637", "185637")</f>
        <v>185637</v>
      </c>
      <c r="C10087" s="9"/>
      <c r="D10087" t="str">
        <f>"F41G4.8"</f>
        <v>F41G4.8</v>
      </c>
      <c r="F10087" t="s">
        <v>11</v>
      </c>
      <c r="H10087" s="12">
        <v>-1.1978090970408699</v>
      </c>
      <c r="I10087" s="20">
        <v>-0.86689426121152402</v>
      </c>
      <c r="J10087" s="28">
        <v>0.385999948176178</v>
      </c>
      <c r="K10087" s="29">
        <v>0.98289565623980701</v>
      </c>
    </row>
    <row r="10088" spans="1:11" x14ac:dyDescent="0.35">
      <c r="A10088" s="9" t="str">
        <f>HYPERLINK("http://www.ensembl.org/id/WBGene00018315", "WBGene00018315")</f>
        <v>WBGene00018315</v>
      </c>
      <c r="B10088" s="9" t="str">
        <f>HYPERLINK("http://www.ncbi.nlm.nih.gov/gene/185642", "185642")</f>
        <v>185642</v>
      </c>
      <c r="C10088" s="9"/>
      <c r="D10088" t="str">
        <f>"F41H10.2"</f>
        <v>F41H10.2</v>
      </c>
      <c r="F10088" t="s">
        <v>11</v>
      </c>
      <c r="H10088" s="12">
        <v>5.2322000618327396</v>
      </c>
      <c r="I10088" s="20">
        <v>0.486112489888328</v>
      </c>
      <c r="J10088" s="28">
        <v>0.62688741196182496</v>
      </c>
      <c r="K10088" s="29">
        <v>0.98289565623980701</v>
      </c>
    </row>
    <row r="10089" spans="1:11" x14ac:dyDescent="0.35">
      <c r="A10089" s="9" t="str">
        <f>HYPERLINK("http://www.ensembl.org/id/WBGene00018316", "WBGene00018316")</f>
        <v>WBGene00018316</v>
      </c>
      <c r="B10089" s="9" t="str">
        <f>HYPERLINK("http://www.ncbi.nlm.nih.gov/gene/177319", "177319")</f>
        <v>177319</v>
      </c>
      <c r="C10089" s="9"/>
      <c r="D10089" t="str">
        <f>"F41H10.3"</f>
        <v>F41H10.3</v>
      </c>
      <c r="F10089" t="s">
        <v>11</v>
      </c>
      <c r="H10089" s="12">
        <v>-1.1980973256182199</v>
      </c>
      <c r="I10089" s="20">
        <v>-0.91414937422231601</v>
      </c>
      <c r="J10089" s="28">
        <v>0.36063836151881401</v>
      </c>
      <c r="K10089" s="29">
        <v>0.98289565623980701</v>
      </c>
    </row>
    <row r="10090" spans="1:11" x14ac:dyDescent="0.35">
      <c r="A10090" s="9" t="str">
        <f>HYPERLINK("http://www.ensembl.org/id/WBGene00018317", "WBGene00018317")</f>
        <v>WBGene00018317</v>
      </c>
      <c r="B10090" s="9" t="str">
        <f>HYPERLINK("http://www.ncbi.nlm.nih.gov/gene/177317", "177317")</f>
        <v>177317</v>
      </c>
      <c r="C10090" s="9"/>
      <c r="D10090" t="str">
        <f>"F41H10.4"</f>
        <v>F41H10.4</v>
      </c>
      <c r="F10090" t="s">
        <v>11</v>
      </c>
      <c r="G10090" t="s">
        <v>5639</v>
      </c>
      <c r="H10090" s="12">
        <v>1.13156254572175</v>
      </c>
      <c r="I10090" s="20">
        <v>0.64174342819408203</v>
      </c>
      <c r="J10090" s="28">
        <v>0.52103978663807005</v>
      </c>
      <c r="K10090" s="29">
        <v>0.98289565623980701</v>
      </c>
    </row>
    <row r="10091" spans="1:11" x14ac:dyDescent="0.35">
      <c r="A10091" s="9" t="str">
        <f>HYPERLINK("http://www.ensembl.org/id/WBGene00018313", "WBGene00018313")</f>
        <v>WBGene00018313</v>
      </c>
      <c r="B10091" s="9" t="str">
        <f>HYPERLINK("http://www.ncbi.nlm.nih.gov/gene/185639", "185639")</f>
        <v>185639</v>
      </c>
      <c r="C10091" s="9"/>
      <c r="D10091" t="str">
        <f>"F41H8.2"</f>
        <v>F41H8.2</v>
      </c>
      <c r="F10091" t="s">
        <v>11</v>
      </c>
      <c r="G10091" t="s">
        <v>25</v>
      </c>
      <c r="H10091" s="12">
        <v>1.7997974915786501</v>
      </c>
      <c r="I10091" s="20">
        <v>0.26155696946157703</v>
      </c>
      <c r="J10091" s="28">
        <v>0.793663022681946</v>
      </c>
      <c r="K10091" s="29">
        <v>0.98289565623980701</v>
      </c>
    </row>
    <row r="10092" spans="1:11" x14ac:dyDescent="0.35">
      <c r="A10092" s="9" t="str">
        <f>HYPERLINK("http://www.ensembl.org/id/WBGene00195930", "WBGene00195930")</f>
        <v>WBGene00195930</v>
      </c>
      <c r="B10092" s="9"/>
      <c r="C10092" s="9"/>
      <c r="D10092" t="str">
        <f>"F42A10.11"</f>
        <v>F42A10.11</v>
      </c>
      <c r="F10092" t="s">
        <v>481</v>
      </c>
      <c r="H10092" s="12">
        <v>-3.7261494131482999</v>
      </c>
      <c r="I10092" s="20">
        <v>-0.38454673129429601</v>
      </c>
      <c r="J10092" s="28">
        <v>0.70057326682554</v>
      </c>
      <c r="K10092" s="29">
        <v>0.98289565623980701</v>
      </c>
    </row>
    <row r="10093" spans="1:11" x14ac:dyDescent="0.35">
      <c r="A10093" s="9" t="str">
        <f>HYPERLINK("http://www.ensembl.org/id/WBGene00196973", "WBGene00196973")</f>
        <v>WBGene00196973</v>
      </c>
      <c r="B10093" s="9"/>
      <c r="C10093" s="9"/>
      <c r="D10093" t="str">
        <f>"F42A10.12"</f>
        <v>F42A10.12</v>
      </c>
      <c r="F10093" t="s">
        <v>481</v>
      </c>
      <c r="H10093" s="12">
        <v>-2.4295389261469</v>
      </c>
      <c r="I10093" s="20">
        <v>-0.25808529976640998</v>
      </c>
      <c r="J10093" s="28">
        <v>0.79634107645457397</v>
      </c>
      <c r="K10093" s="29">
        <v>0.98289565623980701</v>
      </c>
    </row>
    <row r="10094" spans="1:11" x14ac:dyDescent="0.35">
      <c r="A10094" s="9" t="str">
        <f>HYPERLINK("http://www.ensembl.org/id/WBGene00018342", "WBGene00018342")</f>
        <v>WBGene00018342</v>
      </c>
      <c r="B10094" s="9" t="str">
        <f>HYPERLINK("http://www.ncbi.nlm.nih.gov/gene/175874", "175874")</f>
        <v>175874</v>
      </c>
      <c r="C10094" s="9"/>
      <c r="D10094" t="str">
        <f>"F42A10.6"</f>
        <v>F42A10.6</v>
      </c>
      <c r="F10094" t="s">
        <v>11</v>
      </c>
      <c r="H10094" s="12">
        <v>-1.19831761949643</v>
      </c>
      <c r="I10094" s="20">
        <v>-0.87916962749913696</v>
      </c>
      <c r="J10094" s="28">
        <v>0.37930930988288403</v>
      </c>
      <c r="K10094" s="29">
        <v>0.98289565623980701</v>
      </c>
    </row>
    <row r="10095" spans="1:11" x14ac:dyDescent="0.35">
      <c r="A10095" s="9" t="str">
        <f>HYPERLINK("http://www.ensembl.org/id/WBGene00018323", "WBGene00018323")</f>
        <v>WBGene00018323</v>
      </c>
      <c r="B10095" s="9" t="str">
        <f>HYPERLINK("http://www.ncbi.nlm.nih.gov/gene/24104569", "24104569")</f>
        <v>24104569</v>
      </c>
      <c r="C10095" s="9"/>
      <c r="D10095" t="str">
        <f>"F42A6.1"</f>
        <v>F42A6.1</v>
      </c>
      <c r="F10095" t="s">
        <v>11</v>
      </c>
      <c r="G10095" t="s">
        <v>25</v>
      </c>
      <c r="H10095" s="12">
        <v>5.4871973923358901</v>
      </c>
      <c r="I10095" s="20">
        <v>0.499843548621418</v>
      </c>
      <c r="J10095" s="28">
        <v>0.61718524397184105</v>
      </c>
      <c r="K10095" s="29">
        <v>0.98289565623980701</v>
      </c>
    </row>
    <row r="10096" spans="1:11" x14ac:dyDescent="0.35">
      <c r="A10096" s="9" t="str">
        <f>HYPERLINK("http://www.ensembl.org/id/WBGene00018325", "WBGene00018325")</f>
        <v>WBGene00018325</v>
      </c>
      <c r="B10096" s="9"/>
      <c r="C10096" s="9"/>
      <c r="D10096" t="str">
        <f>"F42A6.3"</f>
        <v>F42A6.3</v>
      </c>
      <c r="F10096" t="s">
        <v>80</v>
      </c>
      <c r="H10096" s="12">
        <v>2.2249476287350798</v>
      </c>
      <c r="I10096" s="20">
        <v>0.57317274062590096</v>
      </c>
      <c r="J10096" s="28">
        <v>0.56652773937527701</v>
      </c>
      <c r="K10096" s="29">
        <v>0.98289565623980701</v>
      </c>
    </row>
    <row r="10097" spans="1:11" x14ac:dyDescent="0.35">
      <c r="A10097" s="9" t="str">
        <f>HYPERLINK("http://www.ensembl.org/id/WBGene00018327", "WBGene00018327")</f>
        <v>WBGene00018327</v>
      </c>
      <c r="B10097" s="9" t="str">
        <f>HYPERLINK("http://www.ncbi.nlm.nih.gov/gene/185649", "185649")</f>
        <v>185649</v>
      </c>
      <c r="C10097" s="9"/>
      <c r="D10097" t="str">
        <f>"F42A6.5"</f>
        <v>F42A6.5</v>
      </c>
      <c r="F10097" t="s">
        <v>11</v>
      </c>
      <c r="G10097" t="s">
        <v>10106</v>
      </c>
      <c r="H10097" s="12">
        <v>-4.26687764763484</v>
      </c>
      <c r="I10097" s="20">
        <v>-0.61688381460044195</v>
      </c>
      <c r="J10097" s="28">
        <v>0.53731136327246698</v>
      </c>
      <c r="K10097" s="29">
        <v>0.98289565623980701</v>
      </c>
    </row>
    <row r="10098" spans="1:11" x14ac:dyDescent="0.35">
      <c r="A10098" s="9" t="str">
        <f>HYPERLINK("http://www.ensembl.org/id/WBGene00018328", "WBGene00018328")</f>
        <v>WBGene00018328</v>
      </c>
      <c r="B10098" s="9" t="str">
        <f>HYPERLINK("http://www.ncbi.nlm.nih.gov/gene/185650", "185650")</f>
        <v>185650</v>
      </c>
      <c r="C10098" s="9"/>
      <c r="D10098" t="str">
        <f>"F42A6.6"</f>
        <v>F42A6.6</v>
      </c>
      <c r="F10098" t="s">
        <v>11</v>
      </c>
      <c r="G10098" t="s">
        <v>8722</v>
      </c>
      <c r="H10098" s="12">
        <v>-1.19302867179398</v>
      </c>
      <c r="I10098" s="20">
        <v>-0.65564075593557203</v>
      </c>
      <c r="J10098" s="28">
        <v>0.51205529585919396</v>
      </c>
      <c r="K10098" s="29">
        <v>0.98289565623980701</v>
      </c>
    </row>
    <row r="10099" spans="1:11" x14ac:dyDescent="0.35">
      <c r="A10099" s="9" t="str">
        <f>HYPERLINK("http://www.ensembl.org/id/WBGene00202415", "WBGene00202415")</f>
        <v>WBGene00202415</v>
      </c>
      <c r="B10099" s="9"/>
      <c r="C10099" s="9"/>
      <c r="D10099" t="str">
        <f>"F42A9.15"</f>
        <v>F42A9.15</v>
      </c>
      <c r="F10099" t="s">
        <v>481</v>
      </c>
      <c r="H10099" s="12">
        <v>3.5227018545059199</v>
      </c>
      <c r="I10099" s="20">
        <v>0.36849691206929103</v>
      </c>
      <c r="J10099" s="28">
        <v>0.71250274722433404</v>
      </c>
      <c r="K10099" s="29">
        <v>0.98289565623980701</v>
      </c>
    </row>
    <row r="10100" spans="1:11" x14ac:dyDescent="0.35">
      <c r="A10100" s="9" t="str">
        <f>HYPERLINK("http://www.ensembl.org/id/WBGene00235280", "WBGene00235280")</f>
        <v>WBGene00235280</v>
      </c>
      <c r="B10100" s="9" t="str">
        <f>HYPERLINK("http://www.ncbi.nlm.nih.gov/gene/24104572", "24104572")</f>
        <v>24104572</v>
      </c>
      <c r="C10100" s="9"/>
      <c r="D10100" t="str">
        <f>"F42A9.17"</f>
        <v>F42A9.17</v>
      </c>
      <c r="F10100" t="s">
        <v>11</v>
      </c>
      <c r="H10100" s="12">
        <v>-2.3838754719136599</v>
      </c>
      <c r="I10100" s="20">
        <v>-0.25807578497976902</v>
      </c>
      <c r="J10100" s="28">
        <v>0.79634841949468704</v>
      </c>
      <c r="K10100" s="29">
        <v>0.98289565623980701</v>
      </c>
    </row>
    <row r="10101" spans="1:11" x14ac:dyDescent="0.35">
      <c r="A10101" s="9" t="str">
        <f>HYPERLINK("http://www.ensembl.org/id/WBGene00249826", "WBGene00249826")</f>
        <v>WBGene00249826</v>
      </c>
      <c r="B10101" s="9"/>
      <c r="C10101" s="9"/>
      <c r="D10101" t="str">
        <f>"F42A9.18"</f>
        <v>F42A9.18</v>
      </c>
      <c r="F10101" t="s">
        <v>481</v>
      </c>
      <c r="H10101" s="12">
        <v>1.23852015641346</v>
      </c>
      <c r="I10101" s="20">
        <v>0.27528758868887399</v>
      </c>
      <c r="J10101" s="28">
        <v>0.78309529903307495</v>
      </c>
      <c r="K10101" s="29">
        <v>0.98289565623980701</v>
      </c>
    </row>
    <row r="10102" spans="1:11" x14ac:dyDescent="0.35">
      <c r="A10102" s="9" t="str">
        <f>HYPERLINK("http://www.ensembl.org/id/WBGene00018335", "WBGene00018335")</f>
        <v>WBGene00018335</v>
      </c>
      <c r="B10102" s="9" t="str">
        <f>HYPERLINK("http://www.ncbi.nlm.nih.gov/gene/185654", "185654")</f>
        <v>185654</v>
      </c>
      <c r="C10102" s="9"/>
      <c r="D10102" t="str">
        <f>"F42A9.6"</f>
        <v>F42A9.6</v>
      </c>
      <c r="F10102" t="s">
        <v>11</v>
      </c>
      <c r="G10102" t="s">
        <v>25</v>
      </c>
      <c r="H10102" s="12">
        <v>-1.20949487962143</v>
      </c>
      <c r="I10102" s="20">
        <v>-0.75801139471805001</v>
      </c>
      <c r="J10102" s="28">
        <v>0.44844416128174602</v>
      </c>
      <c r="K10102" s="29">
        <v>0.98289565623980701</v>
      </c>
    </row>
    <row r="10103" spans="1:11" x14ac:dyDescent="0.35">
      <c r="A10103" s="9" t="str">
        <f>HYPERLINK("http://www.ensembl.org/id/WBGene00018336", "WBGene00018336")</f>
        <v>WBGene00018336</v>
      </c>
      <c r="B10103" s="9" t="str">
        <f>HYPERLINK("http://www.ncbi.nlm.nih.gov/gene/185655", "185655")</f>
        <v>185655</v>
      </c>
      <c r="C10103" s="9"/>
      <c r="D10103" t="str">
        <f>"F42A9.7"</f>
        <v>F42A9.7</v>
      </c>
      <c r="E10103" t="s">
        <v>899</v>
      </c>
      <c r="F10103" t="s">
        <v>11</v>
      </c>
      <c r="G10103" t="s">
        <v>3403</v>
      </c>
      <c r="H10103" s="12">
        <v>2.02061872036741</v>
      </c>
      <c r="I10103" s="20">
        <v>0.48134306317937497</v>
      </c>
      <c r="J10103" s="28">
        <v>0.63027269578885103</v>
      </c>
      <c r="K10103" s="29">
        <v>0.98289565623980701</v>
      </c>
    </row>
    <row r="10104" spans="1:11" x14ac:dyDescent="0.35">
      <c r="A10104" s="9" t="str">
        <f>HYPERLINK("http://www.ensembl.org/id/WBGene00198596", "WBGene00198596")</f>
        <v>WBGene00198596</v>
      </c>
      <c r="B10104" s="9"/>
      <c r="C10104" s="9"/>
      <c r="D10104" t="str">
        <f>"F42C5.14"</f>
        <v>F42C5.14</v>
      </c>
      <c r="F10104" t="s">
        <v>481</v>
      </c>
      <c r="H10104" s="12">
        <v>-3.5819448292659501</v>
      </c>
      <c r="I10104" s="20">
        <v>-0.37337717500031398</v>
      </c>
      <c r="J10104" s="28">
        <v>0.70886774492290605</v>
      </c>
      <c r="K10104" s="29">
        <v>0.98289565623980701</v>
      </c>
    </row>
    <row r="10105" spans="1:11" x14ac:dyDescent="0.35">
      <c r="A10105" s="9" t="str">
        <f>HYPERLINK("http://www.ensembl.org/id/WBGene00201602", "WBGene00201602")</f>
        <v>WBGene00201602</v>
      </c>
      <c r="B10105" s="9"/>
      <c r="C10105" s="9"/>
      <c r="D10105" t="str">
        <f>"F42C5.16"</f>
        <v>F42C5.16</v>
      </c>
      <c r="F10105" t="s">
        <v>481</v>
      </c>
      <c r="H10105" s="12">
        <v>4.6387698961716399</v>
      </c>
      <c r="I10105" s="20">
        <v>0.44985450087338802</v>
      </c>
      <c r="J10105" s="28">
        <v>0.65281535672642099</v>
      </c>
      <c r="K10105" s="29">
        <v>0.98289565623980701</v>
      </c>
    </row>
    <row r="10106" spans="1:11" x14ac:dyDescent="0.35">
      <c r="A10106" s="9" t="str">
        <f>HYPERLINK("http://www.ensembl.org/id/WBGene00018345", "WBGene00018345")</f>
        <v>WBGene00018345</v>
      </c>
      <c r="B10106" s="9" t="str">
        <f>HYPERLINK("http://www.ncbi.nlm.nih.gov/gene/185663", "185663")</f>
        <v>185663</v>
      </c>
      <c r="C10106" s="9"/>
      <c r="D10106" t="str">
        <f>"F42C5.3"</f>
        <v>F42C5.3</v>
      </c>
      <c r="F10106" t="s">
        <v>11</v>
      </c>
      <c r="H10106" s="12">
        <v>1.2171733627699399</v>
      </c>
      <c r="I10106" s="20">
        <v>0.32049871443891298</v>
      </c>
      <c r="J10106" s="28">
        <v>0.74859030474177901</v>
      </c>
      <c r="K10106" s="29">
        <v>0.98289565623980701</v>
      </c>
    </row>
    <row r="10107" spans="1:11" x14ac:dyDescent="0.35">
      <c r="A10107" s="9" t="str">
        <f>HYPERLINK("http://www.ensembl.org/id/WBGene00018346", "WBGene00018346")</f>
        <v>WBGene00018346</v>
      </c>
      <c r="B10107" s="9" t="str">
        <f>HYPERLINK("http://www.ncbi.nlm.nih.gov/gene/177501", "177501")</f>
        <v>177501</v>
      </c>
      <c r="C10107" s="9"/>
      <c r="D10107" t="str">
        <f>"F42C5.4"</f>
        <v>F42C5.4</v>
      </c>
      <c r="F10107" t="s">
        <v>11</v>
      </c>
      <c r="G10107" t="s">
        <v>51</v>
      </c>
      <c r="H10107" s="12">
        <v>1.08333263415729</v>
      </c>
      <c r="I10107" s="20">
        <v>0.35364299437450902</v>
      </c>
      <c r="J10107" s="28">
        <v>0.72360644899263704</v>
      </c>
      <c r="K10107" s="29">
        <v>0.98289565623980701</v>
      </c>
    </row>
    <row r="10108" spans="1:11" x14ac:dyDescent="0.35">
      <c r="A10108" s="9" t="str">
        <f>HYPERLINK("http://www.ensembl.org/id/WBGene00018348", "WBGene00018348")</f>
        <v>WBGene00018348</v>
      </c>
      <c r="B10108" s="9" t="str">
        <f>HYPERLINK("http://www.ncbi.nlm.nih.gov/gene/177502", "177502")</f>
        <v>177502</v>
      </c>
      <c r="C10108" s="9"/>
      <c r="D10108" t="str">
        <f>"F42C5.6"</f>
        <v>F42C5.6</v>
      </c>
      <c r="F10108" t="s">
        <v>11</v>
      </c>
      <c r="G10108" t="s">
        <v>25</v>
      </c>
      <c r="H10108" s="12">
        <v>1.2360270866088701</v>
      </c>
      <c r="I10108" s="20">
        <v>0.44686596452083899</v>
      </c>
      <c r="J10108" s="28">
        <v>0.65497183972710404</v>
      </c>
      <c r="K10108" s="29">
        <v>0.98289565623980701</v>
      </c>
    </row>
    <row r="10109" spans="1:11" x14ac:dyDescent="0.35">
      <c r="A10109" s="9" t="str">
        <f>HYPERLINK("http://www.ensembl.org/id/WBGene00018349", "WBGene00018349")</f>
        <v>WBGene00018349</v>
      </c>
      <c r="B10109" s="9" t="str">
        <f>HYPERLINK("http://www.ncbi.nlm.nih.gov/gene/177504", "177504")</f>
        <v>177504</v>
      </c>
      <c r="C10109" s="9"/>
      <c r="D10109" t="str">
        <f>"F42C5.9"</f>
        <v>F42C5.9</v>
      </c>
      <c r="F10109" t="s">
        <v>11</v>
      </c>
      <c r="G10109" t="s">
        <v>6159</v>
      </c>
      <c r="H10109" s="12">
        <v>-1.04918761172178</v>
      </c>
      <c r="I10109" s="20">
        <v>-0.26719025105442001</v>
      </c>
      <c r="J10109" s="28">
        <v>0.78932268191333299</v>
      </c>
      <c r="K10109" s="29">
        <v>0.98289565623980701</v>
      </c>
    </row>
    <row r="10110" spans="1:11" x14ac:dyDescent="0.35">
      <c r="A10110" s="9" t="str">
        <f>HYPERLINK("http://www.ensembl.org/id/WBGene00199337", "WBGene00199337")</f>
        <v>WBGene00199337</v>
      </c>
      <c r="B10110" s="9"/>
      <c r="C10110" s="9"/>
      <c r="D10110" t="str">
        <f>"F42D1.10"</f>
        <v>F42D1.10</v>
      </c>
      <c r="F10110" t="s">
        <v>481</v>
      </c>
      <c r="H10110" s="12">
        <v>-3.7261494131482999</v>
      </c>
      <c r="I10110" s="20">
        <v>-0.38454673129429601</v>
      </c>
      <c r="J10110" s="28">
        <v>0.70057326682554</v>
      </c>
      <c r="K10110" s="29">
        <v>0.98289565623980701</v>
      </c>
    </row>
    <row r="10111" spans="1:11" x14ac:dyDescent="0.35">
      <c r="A10111" s="9" t="str">
        <f>HYPERLINK("http://www.ensembl.org/id/WBGene00009633", "WBGene00009633")</f>
        <v>WBGene00009633</v>
      </c>
      <c r="B10111" s="9" t="str">
        <f>HYPERLINK("http://www.ncbi.nlm.nih.gov/gene/185669", "185669")</f>
        <v>185669</v>
      </c>
      <c r="C10111" s="9"/>
      <c r="D10111" t="str">
        <f>"F42E11.3"</f>
        <v>F42E11.3</v>
      </c>
      <c r="F10111" t="s">
        <v>11</v>
      </c>
      <c r="G10111" t="s">
        <v>25</v>
      </c>
      <c r="H10111" s="12">
        <v>1.86771515726411</v>
      </c>
      <c r="I10111" s="20">
        <v>0.54562165504125704</v>
      </c>
      <c r="J10111" s="28">
        <v>0.58532603567686503</v>
      </c>
      <c r="K10111" s="29">
        <v>0.98289565623980701</v>
      </c>
    </row>
    <row r="10112" spans="1:11" x14ac:dyDescent="0.35">
      <c r="A10112" s="9" t="str">
        <f>HYPERLINK("http://www.ensembl.org/id/WBGene00196686", "WBGene00196686")</f>
        <v>WBGene00196686</v>
      </c>
      <c r="B10112" s="9"/>
      <c r="C10112" s="9"/>
      <c r="D10112" t="str">
        <f>"F42E11.5"</f>
        <v>F42E11.5</v>
      </c>
      <c r="F10112" t="s">
        <v>481</v>
      </c>
      <c r="H10112" s="12">
        <v>5.2322000618327396</v>
      </c>
      <c r="I10112" s="20">
        <v>0.486112489888328</v>
      </c>
      <c r="J10112" s="28">
        <v>0.62688741196182496</v>
      </c>
      <c r="K10112" s="29">
        <v>0.98289565623980701</v>
      </c>
    </row>
    <row r="10113" spans="1:11" x14ac:dyDescent="0.35">
      <c r="A10113" s="9" t="str">
        <f>HYPERLINK("http://www.ensembl.org/id/WBGene00009631", "WBGene00009631")</f>
        <v>WBGene00009631</v>
      </c>
      <c r="B10113" s="9"/>
      <c r="C10113" s="9"/>
      <c r="D10113" t="str">
        <f>"F42E8.2"</f>
        <v>F42E8.2</v>
      </c>
      <c r="F10113" t="s">
        <v>80</v>
      </c>
      <c r="H10113" s="12">
        <v>4.7417303292414097</v>
      </c>
      <c r="I10113" s="20">
        <v>0.97816826967167003</v>
      </c>
      <c r="J10113" s="28">
        <v>0.327991107035287</v>
      </c>
      <c r="K10113" s="29">
        <v>0.98289565623980701</v>
      </c>
    </row>
    <row r="10114" spans="1:11" x14ac:dyDescent="0.35">
      <c r="A10114" s="9" t="str">
        <f>HYPERLINK("http://www.ensembl.org/id/WBGene00044140", "WBGene00044140")</f>
        <v>WBGene00044140</v>
      </c>
      <c r="B10114" s="9" t="str">
        <f>HYPERLINK("http://www.ncbi.nlm.nih.gov/gene/3565753", "3565753")</f>
        <v>3565753</v>
      </c>
      <c r="C10114" s="9"/>
      <c r="D10114" t="str">
        <f>"F42F12.11"</f>
        <v>F42F12.11</v>
      </c>
      <c r="F10114" t="s">
        <v>11</v>
      </c>
      <c r="H10114" s="12">
        <v>-2.00282366455441</v>
      </c>
      <c r="I10114" s="20">
        <v>-0.261094718881763</v>
      </c>
      <c r="J10114" s="28">
        <v>0.79401946419414404</v>
      </c>
      <c r="K10114" s="29">
        <v>0.98289565623980701</v>
      </c>
    </row>
    <row r="10115" spans="1:11" x14ac:dyDescent="0.35">
      <c r="A10115" s="9" t="str">
        <f>HYPERLINK("http://www.ensembl.org/id/WBGene00009636", "WBGene00009636")</f>
        <v>WBGene00009636</v>
      </c>
      <c r="B10115" s="9" t="str">
        <f>HYPERLINK("http://www.ncbi.nlm.nih.gov/gene/181393", "181393")</f>
        <v>181393</v>
      </c>
      <c r="C10115" s="9"/>
      <c r="D10115" t="str">
        <f>"F42F12.4"</f>
        <v>F42F12.4</v>
      </c>
      <c r="E10115" t="s">
        <v>7524</v>
      </c>
      <c r="F10115" t="s">
        <v>11</v>
      </c>
      <c r="G10115" t="s">
        <v>7525</v>
      </c>
      <c r="H10115" s="12">
        <v>-1.13066236262484</v>
      </c>
      <c r="I10115" s="20">
        <v>-0.499088318246456</v>
      </c>
      <c r="J10115" s="28">
        <v>0.61771716676612998</v>
      </c>
      <c r="K10115" s="29">
        <v>0.98289565623980701</v>
      </c>
    </row>
    <row r="10116" spans="1:11" x14ac:dyDescent="0.35">
      <c r="A10116" s="9" t="str">
        <f>HYPERLINK("http://www.ensembl.org/id/WBGene00009645", "WBGene00009645")</f>
        <v>WBGene00009645</v>
      </c>
      <c r="B10116" s="9" t="str">
        <f>HYPERLINK("http://www.ncbi.nlm.nih.gov/gene/181214", "181214")</f>
        <v>181214</v>
      </c>
      <c r="C10116" s="9"/>
      <c r="D10116" t="str">
        <f>"F42G10.1"</f>
        <v>F42G10.1</v>
      </c>
      <c r="F10116" t="s">
        <v>11</v>
      </c>
      <c r="G10116" t="s">
        <v>5100</v>
      </c>
      <c r="H10116" s="12">
        <v>1.24056763890079</v>
      </c>
      <c r="I10116" s="20">
        <v>1.0756161738327501</v>
      </c>
      <c r="J10116" s="28">
        <v>0.28209895092746801</v>
      </c>
      <c r="K10116" s="29">
        <v>0.98289565623980701</v>
      </c>
    </row>
    <row r="10117" spans="1:11" x14ac:dyDescent="0.35">
      <c r="A10117" s="9" t="str">
        <f>HYPERLINK("http://www.ensembl.org/id/WBGene00018351", "WBGene00018351")</f>
        <v>WBGene00018351</v>
      </c>
      <c r="B10117" s="9" t="str">
        <f>HYPERLINK("http://www.ncbi.nlm.nih.gov/gene/259422", "259422")</f>
        <v>259422</v>
      </c>
      <c r="C10117" s="9"/>
      <c r="D10117" t="str">
        <f>"F42G2.2"</f>
        <v>F42G2.2</v>
      </c>
      <c r="F10117" t="s">
        <v>11</v>
      </c>
      <c r="G10117" t="s">
        <v>54</v>
      </c>
      <c r="H10117" s="12">
        <v>-1.1891498232336699</v>
      </c>
      <c r="I10117" s="20">
        <v>-0.78599827575513004</v>
      </c>
      <c r="J10117" s="28">
        <v>0.43186849728965498</v>
      </c>
      <c r="K10117" s="29">
        <v>0.98289565623980701</v>
      </c>
    </row>
    <row r="10118" spans="1:11" x14ac:dyDescent="0.35">
      <c r="A10118" s="9" t="str">
        <f>HYPERLINK("http://www.ensembl.org/id/WBGene00018354", "WBGene00018354")</f>
        <v>WBGene00018354</v>
      </c>
      <c r="B10118" s="9" t="str">
        <f>HYPERLINK("http://www.ncbi.nlm.nih.gov/gene/185673", "185673")</f>
        <v>185673</v>
      </c>
      <c r="C10118" s="9"/>
      <c r="D10118" t="str">
        <f>"F42G2.5"</f>
        <v>F42G2.5</v>
      </c>
      <c r="E10118" t="s">
        <v>899</v>
      </c>
      <c r="F10118" t="s">
        <v>11</v>
      </c>
      <c r="G10118" t="s">
        <v>6678</v>
      </c>
      <c r="H10118" s="12">
        <v>-1.0842749561882801</v>
      </c>
      <c r="I10118" s="20">
        <v>-0.26300500839853502</v>
      </c>
      <c r="J10118" s="28">
        <v>0.79254671883500305</v>
      </c>
      <c r="K10118" s="29">
        <v>0.98289565623980701</v>
      </c>
    </row>
    <row r="10119" spans="1:11" x14ac:dyDescent="0.35">
      <c r="A10119" s="9" t="str">
        <f>HYPERLINK("http://www.ensembl.org/id/WBGene00044362", "WBGene00044362")</f>
        <v>WBGene00044362</v>
      </c>
      <c r="B10119" s="9" t="str">
        <f>HYPERLINK("http://www.ncbi.nlm.nih.gov/gene/3565922", "3565922")</f>
        <v>3565922</v>
      </c>
      <c r="C10119" s="9"/>
      <c r="D10119" t="str">
        <f>"F42G2.7"</f>
        <v>F42G2.7</v>
      </c>
      <c r="F10119" t="s">
        <v>11</v>
      </c>
      <c r="G10119" t="s">
        <v>4282</v>
      </c>
      <c r="H10119" s="12">
        <v>4.0998653705833101</v>
      </c>
      <c r="I10119" s="20">
        <v>0.55306364318332502</v>
      </c>
      <c r="J10119" s="28">
        <v>0.58021983102034203</v>
      </c>
      <c r="K10119" s="29">
        <v>0.98289565623980701</v>
      </c>
    </row>
    <row r="10120" spans="1:11" x14ac:dyDescent="0.35">
      <c r="A10120" s="9" t="str">
        <f>HYPERLINK("http://www.ensembl.org/id/WBGene00009644", "WBGene00009644")</f>
        <v>WBGene00009644</v>
      </c>
      <c r="B10120" s="9" t="str">
        <f>HYPERLINK("http://www.ncbi.nlm.nih.gov/gene/3565876", "3565876")</f>
        <v>3565876</v>
      </c>
      <c r="C10120" s="9"/>
      <c r="D10120" t="str">
        <f>"F42G4.7"</f>
        <v>F42G4.7</v>
      </c>
      <c r="F10120" t="s">
        <v>11</v>
      </c>
      <c r="G10120" t="s">
        <v>25</v>
      </c>
      <c r="H10120" s="12">
        <v>-1.3278946608882201</v>
      </c>
      <c r="I10120" s="20">
        <v>-0.30557314406833302</v>
      </c>
      <c r="J10120" s="28">
        <v>0.75992967090221497</v>
      </c>
      <c r="K10120" s="29">
        <v>0.98289565623980701</v>
      </c>
    </row>
    <row r="10121" spans="1:11" x14ac:dyDescent="0.35">
      <c r="A10121" s="9" t="str">
        <f>HYPERLINK("http://www.ensembl.org/id/WBGene00018359", "WBGene00018359")</f>
        <v>WBGene00018359</v>
      </c>
      <c r="B10121" s="9" t="str">
        <f>HYPERLINK("http://www.ncbi.nlm.nih.gov/gene/185677", "185677")</f>
        <v>185677</v>
      </c>
      <c r="C10121" s="9"/>
      <c r="D10121" t="str">
        <f>"F42G8.8"</f>
        <v>F42G8.8</v>
      </c>
      <c r="E10121" t="s">
        <v>2496</v>
      </c>
      <c r="F10121" t="s">
        <v>11</v>
      </c>
      <c r="G10121" t="s">
        <v>2497</v>
      </c>
      <c r="H10121" s="12">
        <v>1.85582706134153</v>
      </c>
      <c r="I10121" s="20">
        <v>0.57383497453024201</v>
      </c>
      <c r="J10121" s="28">
        <v>0.56607947906153999</v>
      </c>
      <c r="K10121" s="29">
        <v>0.98289565623980701</v>
      </c>
    </row>
    <row r="10122" spans="1:11" x14ac:dyDescent="0.35">
      <c r="A10122" s="9" t="str">
        <f>HYPERLINK("http://www.ensembl.org/id/WBGene00018366", "WBGene00018366")</f>
        <v>WBGene00018366</v>
      </c>
      <c r="B10122" s="9" t="str">
        <f>HYPERLINK("http://www.ncbi.nlm.nih.gov/gene/185684", "185684")</f>
        <v>185684</v>
      </c>
      <c r="C10122" s="9"/>
      <c r="D10122" t="str">
        <f>"F42H10.2"</f>
        <v>F42H10.2</v>
      </c>
      <c r="F10122" t="s">
        <v>11</v>
      </c>
      <c r="G10122" t="s">
        <v>5123</v>
      </c>
      <c r="H10122" s="12">
        <v>-1.1455493691843199</v>
      </c>
      <c r="I10122" s="20">
        <v>-0.49996823908471599</v>
      </c>
      <c r="J10122" s="28">
        <v>0.61709744146358103</v>
      </c>
      <c r="K10122" s="29">
        <v>0.98289565623980701</v>
      </c>
    </row>
    <row r="10123" spans="1:11" x14ac:dyDescent="0.35">
      <c r="A10123" s="9" t="str">
        <f>HYPERLINK("http://www.ensembl.org/id/WBGene00018367", "WBGene00018367")</f>
        <v>WBGene00018367</v>
      </c>
      <c r="B10123" s="9" t="str">
        <f>HYPERLINK("http://www.ncbi.nlm.nih.gov/gene/185685", "185685")</f>
        <v>185685</v>
      </c>
      <c r="C10123" s="9" t="str">
        <f>HYPERLINK("http://www.ncbi.nlm.nih.gov/gene/3927", "3927")</f>
        <v>3927</v>
      </c>
      <c r="D10123" t="str">
        <f>"F42H10.3"</f>
        <v>F42H10.3</v>
      </c>
      <c r="E10123" t="s">
        <v>7201</v>
      </c>
      <c r="F10123" t="s">
        <v>11</v>
      </c>
      <c r="G10123" t="s">
        <v>7202</v>
      </c>
      <c r="H10123" s="12">
        <v>-1.11337172456128</v>
      </c>
      <c r="I10123" s="20">
        <v>-0.53583201574280004</v>
      </c>
      <c r="J10123" s="28">
        <v>0.59207465323992103</v>
      </c>
      <c r="K10123" s="29">
        <v>0.98289565623980701</v>
      </c>
    </row>
    <row r="10124" spans="1:11" x14ac:dyDescent="0.35">
      <c r="A10124" s="9" t="str">
        <f>HYPERLINK("http://www.ensembl.org/id/WBGene00018370", "WBGene00018370")</f>
        <v>WBGene00018370</v>
      </c>
      <c r="B10124" s="9" t="str">
        <f>HYPERLINK("http://www.ncbi.nlm.nih.gov/gene/176198", "176198")</f>
        <v>176198</v>
      </c>
      <c r="C10124" s="9" t="str">
        <f>HYPERLINK("http://www.ncbi.nlm.nih.gov/gene/55856", "55856")</f>
        <v>55856</v>
      </c>
      <c r="D10124" t="str">
        <f>"F42H10.6"</f>
        <v>F42H10.6</v>
      </c>
      <c r="E10124" t="s">
        <v>9138</v>
      </c>
      <c r="F10124" t="s">
        <v>11</v>
      </c>
      <c r="G10124" t="s">
        <v>9139</v>
      </c>
      <c r="H10124" s="12">
        <v>-1.22370449469914</v>
      </c>
      <c r="I10124" s="20">
        <v>-0.87401696113291505</v>
      </c>
      <c r="J10124" s="28">
        <v>0.38210901700104399</v>
      </c>
      <c r="K10124" s="29">
        <v>0.98289565623980701</v>
      </c>
    </row>
    <row r="10125" spans="1:11" x14ac:dyDescent="0.35">
      <c r="A10125" s="9" t="str">
        <f>HYPERLINK("http://www.ensembl.org/id/WBGene00009646", "WBGene00009646")</f>
        <v>WBGene00009646</v>
      </c>
      <c r="B10125" s="9" t="str">
        <f>HYPERLINK("http://www.ncbi.nlm.nih.gov/gene/185688", "185688")</f>
        <v>185688</v>
      </c>
      <c r="C10125" s="9"/>
      <c r="D10125" t="str">
        <f>"F42H11.1"</f>
        <v>F42H11.1</v>
      </c>
      <c r="F10125" t="s">
        <v>11</v>
      </c>
      <c r="G10125" t="s">
        <v>25</v>
      </c>
      <c r="H10125" s="12">
        <v>-2.06772863653257</v>
      </c>
      <c r="I10125" s="20">
        <v>-0.29103030812764402</v>
      </c>
      <c r="J10125" s="28">
        <v>0.77102813974298501</v>
      </c>
      <c r="K10125" s="29">
        <v>0.98289565623980701</v>
      </c>
    </row>
    <row r="10126" spans="1:11" x14ac:dyDescent="0.35">
      <c r="A10126" s="9" t="str">
        <f>HYPERLINK("http://www.ensembl.org/id/WBGene00018373", "WBGene00018373")</f>
        <v>WBGene00018373</v>
      </c>
      <c r="B10126" s="9" t="str">
        <f>HYPERLINK("http://www.ncbi.nlm.nih.gov/gene/181721", "181721")</f>
        <v>181721</v>
      </c>
      <c r="C10126" s="9" t="str">
        <f>HYPERLINK("http://www.ncbi.nlm.nih.gov/gene/5523", "5523")</f>
        <v>5523</v>
      </c>
      <c r="D10126" t="str">
        <f>"F43B10.1"</f>
        <v>F43B10.1</v>
      </c>
      <c r="F10126" t="s">
        <v>11</v>
      </c>
      <c r="G10126" t="s">
        <v>6856</v>
      </c>
      <c r="H10126" s="12">
        <v>-1.0927315160740301</v>
      </c>
      <c r="I10126" s="20">
        <v>-0.46710041321568602</v>
      </c>
      <c r="J10126" s="28">
        <v>0.64042803856700803</v>
      </c>
      <c r="K10126" s="29">
        <v>0.98289565623980701</v>
      </c>
    </row>
    <row r="10127" spans="1:11" x14ac:dyDescent="0.35">
      <c r="A10127" s="9" t="str">
        <f>HYPERLINK("http://www.ensembl.org/id/WBGene00009649", "WBGene00009649")</f>
        <v>WBGene00009649</v>
      </c>
      <c r="B10127" s="9" t="str">
        <f>HYPERLINK("http://www.ncbi.nlm.nih.gov/gene/185692", "185692")</f>
        <v>185692</v>
      </c>
      <c r="C10127" s="9"/>
      <c r="D10127" t="str">
        <f>"F43C1.5"</f>
        <v>F43C1.5</v>
      </c>
      <c r="F10127" t="s">
        <v>11</v>
      </c>
      <c r="G10127" t="s">
        <v>9749</v>
      </c>
      <c r="H10127" s="12">
        <v>-1.2933173864546601</v>
      </c>
      <c r="I10127" s="20">
        <v>-0.68683488863117803</v>
      </c>
      <c r="J10127" s="28">
        <v>0.492186781496187</v>
      </c>
      <c r="K10127" s="29">
        <v>0.98289565623980701</v>
      </c>
    </row>
    <row r="10128" spans="1:11" x14ac:dyDescent="0.35">
      <c r="A10128" s="9" t="str">
        <f>HYPERLINK("http://www.ensembl.org/id/WBGene00018378", "WBGene00018378")</f>
        <v>WBGene00018378</v>
      </c>
      <c r="B10128" s="9" t="str">
        <f>HYPERLINK("http://www.ncbi.nlm.nih.gov/gene/185695", "185695")</f>
        <v>185695</v>
      </c>
      <c r="C10128" s="9"/>
      <c r="D10128" t="str">
        <f>"F43C11.1"</f>
        <v>F43C11.1</v>
      </c>
      <c r="F10128" t="s">
        <v>11</v>
      </c>
      <c r="H10128" s="12">
        <v>-2.4991590031922399</v>
      </c>
      <c r="I10128" s="20">
        <v>-0.26577412737581302</v>
      </c>
      <c r="J10128" s="28">
        <v>0.79041317015736101</v>
      </c>
      <c r="K10128" s="29">
        <v>0.98289565623980701</v>
      </c>
    </row>
    <row r="10129" spans="1:11" x14ac:dyDescent="0.35">
      <c r="A10129" s="9" t="str">
        <f>HYPERLINK("http://www.ensembl.org/id/WBGene00018389", "WBGene00018389")</f>
        <v>WBGene00018389</v>
      </c>
      <c r="B10129" s="9" t="str">
        <f>HYPERLINK("http://www.ncbi.nlm.nih.gov/gene/185703", "185703")</f>
        <v>185703</v>
      </c>
      <c r="C10129" s="9"/>
      <c r="D10129" t="str">
        <f>"F43C11.12"</f>
        <v>F43C11.12</v>
      </c>
      <c r="F10129" t="s">
        <v>11</v>
      </c>
      <c r="H10129" s="12">
        <v>3.5227018545059199</v>
      </c>
      <c r="I10129" s="20">
        <v>0.36849691206929103</v>
      </c>
      <c r="J10129" s="28">
        <v>0.71250274722433404</v>
      </c>
      <c r="K10129" s="29">
        <v>0.98289565623980701</v>
      </c>
    </row>
    <row r="10130" spans="1:11" x14ac:dyDescent="0.35">
      <c r="A10130" s="9" t="str">
        <f>HYPERLINK("http://www.ensembl.org/id/WBGene00018383", "WBGene00018383")</f>
        <v>WBGene00018383</v>
      </c>
      <c r="B10130" s="9" t="str">
        <f>HYPERLINK("http://www.ncbi.nlm.nih.gov/gene/185700", "185700")</f>
        <v>185700</v>
      </c>
      <c r="C10130" s="9"/>
      <c r="D10130" t="str">
        <f>"F43C11.6"</f>
        <v>F43C11.6</v>
      </c>
      <c r="F10130" t="s">
        <v>11</v>
      </c>
      <c r="G10130" t="s">
        <v>25</v>
      </c>
      <c r="H10130" s="12">
        <v>1.3404473160930399</v>
      </c>
      <c r="I10130" s="20">
        <v>0.53380308417995004</v>
      </c>
      <c r="J10130" s="28">
        <v>0.593477779724215</v>
      </c>
      <c r="K10130" s="29">
        <v>0.98289565623980701</v>
      </c>
    </row>
    <row r="10131" spans="1:11" x14ac:dyDescent="0.35">
      <c r="A10131" s="9" t="str">
        <f>HYPERLINK("http://www.ensembl.org/id/WBGene00018385", "WBGene00018385")</f>
        <v>WBGene00018385</v>
      </c>
      <c r="B10131" s="9" t="str">
        <f>HYPERLINK("http://www.ncbi.nlm.nih.gov/gene/173590", "173590")</f>
        <v>173590</v>
      </c>
      <c r="C10131" s="9"/>
      <c r="D10131" t="str">
        <f>"F43C11.8"</f>
        <v>F43C11.8</v>
      </c>
      <c r="F10131" t="s">
        <v>11</v>
      </c>
      <c r="G10131" t="s">
        <v>3465</v>
      </c>
      <c r="H10131" s="12">
        <v>3.5227018545059199</v>
      </c>
      <c r="I10131" s="20">
        <v>0.36849691206929103</v>
      </c>
      <c r="J10131" s="28">
        <v>0.71250274722433404</v>
      </c>
      <c r="K10131" s="29">
        <v>0.98289565623980701</v>
      </c>
    </row>
    <row r="10132" spans="1:11" x14ac:dyDescent="0.35">
      <c r="A10132" s="9" t="str">
        <f>HYPERLINK("http://www.ensembl.org/id/WBGene00198733", "WBGene00198733")</f>
        <v>WBGene00198733</v>
      </c>
      <c r="B10132" s="9"/>
      <c r="C10132" s="9"/>
      <c r="D10132" t="str">
        <f>"F43C9.6"</f>
        <v>F43C9.6</v>
      </c>
      <c r="F10132" t="s">
        <v>481</v>
      </c>
      <c r="H10132" s="12">
        <v>2.3893468495514898</v>
      </c>
      <c r="I10132" s="20">
        <v>0.25323547253672701</v>
      </c>
      <c r="J10132" s="28">
        <v>0.80008625651646104</v>
      </c>
      <c r="K10132" s="29">
        <v>0.98289565623980701</v>
      </c>
    </row>
    <row r="10133" spans="1:11" x14ac:dyDescent="0.35">
      <c r="A10133" s="9" t="str">
        <f>HYPERLINK("http://www.ensembl.org/id/WBGene00201047", "WBGene00201047")</f>
        <v>WBGene00201047</v>
      </c>
      <c r="B10133" s="9"/>
      <c r="C10133" s="9"/>
      <c r="D10133" t="str">
        <f>"F43C9.7"</f>
        <v>F43C9.7</v>
      </c>
      <c r="F10133" t="s">
        <v>481</v>
      </c>
      <c r="H10133" s="12">
        <v>1.32749411851942</v>
      </c>
      <c r="I10133" s="20">
        <v>0.26467203341205597</v>
      </c>
      <c r="J10133" s="28">
        <v>0.79126212348525404</v>
      </c>
      <c r="K10133" s="29">
        <v>0.98289565623980701</v>
      </c>
    </row>
    <row r="10134" spans="1:11" x14ac:dyDescent="0.35">
      <c r="A10134" s="9" t="str">
        <f>HYPERLINK("http://www.ensembl.org/id/WBGene00202168", "WBGene00202168")</f>
        <v>WBGene00202168</v>
      </c>
      <c r="B10134" s="9"/>
      <c r="C10134" s="9"/>
      <c r="D10134" t="str">
        <f>"F43C9.9"</f>
        <v>F43C9.9</v>
      </c>
      <c r="F10134" t="s">
        <v>481</v>
      </c>
      <c r="H10134" s="12">
        <v>3.5227018545059199</v>
      </c>
      <c r="I10134" s="20">
        <v>0.36849691206929103</v>
      </c>
      <c r="J10134" s="28">
        <v>0.71250274722433404</v>
      </c>
      <c r="K10134" s="29">
        <v>0.98289565623980701</v>
      </c>
    </row>
    <row r="10135" spans="1:11" x14ac:dyDescent="0.35">
      <c r="A10135" s="9" t="str">
        <f>HYPERLINK("http://www.ensembl.org/id/WBGene00023047", "WBGene00023047")</f>
        <v>WBGene00023047</v>
      </c>
      <c r="B10135" s="9"/>
      <c r="C10135" s="9"/>
      <c r="D10135" t="str">
        <f>"F43C9.t1"</f>
        <v>F43C9.t1</v>
      </c>
      <c r="F10135" t="s">
        <v>4208</v>
      </c>
      <c r="H10135" s="12">
        <v>-2.4295389261469</v>
      </c>
      <c r="I10135" s="20">
        <v>-0.25808529976640998</v>
      </c>
      <c r="J10135" s="28">
        <v>0.79634107645457397</v>
      </c>
      <c r="K10135" s="29">
        <v>0.98289565623980701</v>
      </c>
    </row>
    <row r="10136" spans="1:11" x14ac:dyDescent="0.35">
      <c r="A10136" s="9" t="str">
        <f>HYPERLINK("http://www.ensembl.org/id/WBGene00200019", "WBGene00200019")</f>
        <v>WBGene00200019</v>
      </c>
      <c r="B10136" s="9"/>
      <c r="C10136" s="9"/>
      <c r="D10136" t="str">
        <f>"F43D2.13"</f>
        <v>F43D2.13</v>
      </c>
      <c r="F10136" t="s">
        <v>481</v>
      </c>
      <c r="H10136" s="12">
        <v>2.4578120077400301</v>
      </c>
      <c r="I10136" s="20">
        <v>0.26093350314551</v>
      </c>
      <c r="J10136" s="28">
        <v>0.79414378780213601</v>
      </c>
      <c r="K10136" s="29">
        <v>0.98289565623980701</v>
      </c>
    </row>
    <row r="10137" spans="1:11" x14ac:dyDescent="0.35">
      <c r="A10137" s="9" t="str">
        <f>HYPERLINK("http://www.ensembl.org/id/WBGene00009652", "WBGene00009652")</f>
        <v>WBGene00009652</v>
      </c>
      <c r="B10137" s="9" t="str">
        <f>HYPERLINK("http://www.ncbi.nlm.nih.gov/gene/185706", "185706")</f>
        <v>185706</v>
      </c>
      <c r="C10137" s="9"/>
      <c r="D10137" t="str">
        <f>"F43D2.3"</f>
        <v>F43D2.3</v>
      </c>
      <c r="F10137" t="s">
        <v>11</v>
      </c>
      <c r="H10137" s="12">
        <v>-1.2049738702839199</v>
      </c>
      <c r="I10137" s="20">
        <v>-0.65115841749368097</v>
      </c>
      <c r="J10137" s="28">
        <v>0.51494422975978904</v>
      </c>
      <c r="K10137" s="29">
        <v>0.98289565623980701</v>
      </c>
    </row>
    <row r="10138" spans="1:11" x14ac:dyDescent="0.35">
      <c r="A10138" s="9" t="str">
        <f>HYPERLINK("http://www.ensembl.org/id/WBGene00044191", "WBGene00044191")</f>
        <v>WBGene00044191</v>
      </c>
      <c r="B10138" s="9" t="str">
        <f>HYPERLINK("http://www.ncbi.nlm.nih.gov/gene/3565489", "3565489")</f>
        <v>3565489</v>
      </c>
      <c r="C10138" s="9"/>
      <c r="D10138" t="str">
        <f>"F43D2.6"</f>
        <v>F43D2.6</v>
      </c>
      <c r="F10138" t="s">
        <v>11</v>
      </c>
      <c r="G10138" t="s">
        <v>25</v>
      </c>
      <c r="H10138" s="12">
        <v>1.1516335478652699</v>
      </c>
      <c r="I10138" s="20">
        <v>0.765544334600329</v>
      </c>
      <c r="J10138" s="28">
        <v>0.443947477059283</v>
      </c>
      <c r="K10138" s="29">
        <v>0.98289565623980701</v>
      </c>
    </row>
    <row r="10139" spans="1:11" x14ac:dyDescent="0.35">
      <c r="A10139" s="9" t="str">
        <f>HYPERLINK("http://www.ensembl.org/id/WBGene00045516", "WBGene00045516")</f>
        <v>WBGene00045516</v>
      </c>
      <c r="B10139" s="9"/>
      <c r="C10139" s="9"/>
      <c r="D10139" t="str">
        <f>"F43D2.7"</f>
        <v>F43D2.7</v>
      </c>
      <c r="F10139" t="s">
        <v>11</v>
      </c>
      <c r="G10139" t="s">
        <v>25</v>
      </c>
      <c r="H10139" s="12">
        <v>-1.2010935187205201</v>
      </c>
      <c r="I10139" s="20">
        <v>-0.416735561509332</v>
      </c>
      <c r="J10139" s="28">
        <v>0.67687184008553303</v>
      </c>
      <c r="K10139" s="29">
        <v>0.98289565623980701</v>
      </c>
    </row>
    <row r="10140" spans="1:11" x14ac:dyDescent="0.35">
      <c r="A10140" s="9" t="str">
        <f>HYPERLINK("http://www.ensembl.org/id/WBGene00197638", "WBGene00197638")</f>
        <v>WBGene00197638</v>
      </c>
      <c r="B10140" s="9"/>
      <c r="C10140" s="9"/>
      <c r="D10140" t="str">
        <f>"F43D2.9"</f>
        <v>F43D2.9</v>
      </c>
      <c r="F10140" t="s">
        <v>481</v>
      </c>
      <c r="H10140" s="12">
        <v>2.3893468495514898</v>
      </c>
      <c r="I10140" s="20">
        <v>0.25323547253672701</v>
      </c>
      <c r="J10140" s="28">
        <v>0.80008625651646104</v>
      </c>
      <c r="K10140" s="29">
        <v>0.98289565623980701</v>
      </c>
    </row>
    <row r="10141" spans="1:11" x14ac:dyDescent="0.35">
      <c r="A10141" s="9" t="str">
        <f>HYPERLINK("http://www.ensembl.org/id/WBGene00009653", "WBGene00009653")</f>
        <v>WBGene00009653</v>
      </c>
      <c r="B10141" s="9" t="str">
        <f>HYPERLINK("http://www.ncbi.nlm.nih.gov/gene/176469", "176469")</f>
        <v>176469</v>
      </c>
      <c r="C10141" s="9"/>
      <c r="D10141" t="str">
        <f>"F43D9.1"</f>
        <v>F43D9.1</v>
      </c>
      <c r="F10141" t="s">
        <v>11</v>
      </c>
      <c r="G10141" t="s">
        <v>5853</v>
      </c>
      <c r="H10141" s="12">
        <v>1.0932613498727</v>
      </c>
      <c r="I10141" s="20">
        <v>0.39166491587655</v>
      </c>
      <c r="J10141" s="28">
        <v>0.69530581612473497</v>
      </c>
      <c r="K10141" s="29">
        <v>0.98289565623980701</v>
      </c>
    </row>
    <row r="10142" spans="1:11" x14ac:dyDescent="0.35">
      <c r="A10142" s="9" t="str">
        <f>HYPERLINK("http://www.ensembl.org/id/WBGene00196933", "WBGene00196933")</f>
        <v>WBGene00196933</v>
      </c>
      <c r="B10142" s="9"/>
      <c r="C10142" s="9"/>
      <c r="D10142" t="str">
        <f>"F43D9.8"</f>
        <v>F43D9.8</v>
      </c>
      <c r="F10142" t="s">
        <v>481</v>
      </c>
      <c r="H10142" s="12">
        <v>-2.4295389261469</v>
      </c>
      <c r="I10142" s="20">
        <v>-0.25808529976640998</v>
      </c>
      <c r="J10142" s="28">
        <v>0.79634107645457397</v>
      </c>
      <c r="K10142" s="29">
        <v>0.98289565623980701</v>
      </c>
    </row>
    <row r="10143" spans="1:11" x14ac:dyDescent="0.35">
      <c r="A10143" s="9" t="str">
        <f>HYPERLINK("http://www.ensembl.org/id/WBGene00018397", "WBGene00018397")</f>
        <v>WBGene00018397</v>
      </c>
      <c r="B10143" s="9" t="str">
        <f>HYPERLINK("http://www.ncbi.nlm.nih.gov/gene/185711", "185711")</f>
        <v>185711</v>
      </c>
      <c r="C10143" s="9"/>
      <c r="D10143" t="str">
        <f>"F43E2.11"</f>
        <v>F43E2.11</v>
      </c>
      <c r="F10143" t="s">
        <v>11</v>
      </c>
      <c r="H10143" s="12">
        <v>3.0412732736514898</v>
      </c>
      <c r="I10143" s="20">
        <v>0.83467195396268601</v>
      </c>
      <c r="J10143" s="28">
        <v>0.403902436857975</v>
      </c>
      <c r="K10143" s="29">
        <v>0.98289565623980701</v>
      </c>
    </row>
    <row r="10144" spans="1:11" x14ac:dyDescent="0.35">
      <c r="A10144" s="9" t="str">
        <f>HYPERLINK("http://www.ensembl.org/id/WBGene00199267", "WBGene00199267")</f>
        <v>WBGene00199267</v>
      </c>
      <c r="B10144" s="9"/>
      <c r="C10144" s="9"/>
      <c r="D10144" t="str">
        <f>"F43G6.15"</f>
        <v>F43G6.15</v>
      </c>
      <c r="F10144" t="s">
        <v>481</v>
      </c>
      <c r="H10144" s="12">
        <v>2.3893468495514898</v>
      </c>
      <c r="I10144" s="20">
        <v>0.25323547253672701</v>
      </c>
      <c r="J10144" s="28">
        <v>0.80008625651646104</v>
      </c>
      <c r="K10144" s="29">
        <v>0.98289565623980701</v>
      </c>
    </row>
    <row r="10145" spans="1:11" x14ac:dyDescent="0.35">
      <c r="A10145" s="9" t="str">
        <f>HYPERLINK("http://www.ensembl.org/id/WBGene00219294", "WBGene00219294")</f>
        <v>WBGene00219294</v>
      </c>
      <c r="B10145" s="9" t="str">
        <f>HYPERLINK("http://www.ncbi.nlm.nih.gov/gene/13187267", "13187267")</f>
        <v>13187267</v>
      </c>
      <c r="C10145" s="9"/>
      <c r="D10145" t="str">
        <f>"F43G6.16"</f>
        <v>F43G6.16</v>
      </c>
      <c r="F10145" t="s">
        <v>11</v>
      </c>
      <c r="H10145" s="12">
        <v>1.9967117650486701</v>
      </c>
      <c r="I10145" s="20">
        <v>0.76365885654149701</v>
      </c>
      <c r="J10145" s="28">
        <v>0.445070565230545</v>
      </c>
      <c r="K10145" s="29">
        <v>0.98289565623980701</v>
      </c>
    </row>
    <row r="10146" spans="1:11" x14ac:dyDescent="0.35">
      <c r="A10146" s="9" t="str">
        <f>HYPERLINK("http://www.ensembl.org/id/WBGene00219378", "WBGene00219378")</f>
        <v>WBGene00219378</v>
      </c>
      <c r="B10146" s="9" t="str">
        <f>HYPERLINK("http://www.ncbi.nlm.nih.gov/gene/24104581", "24104581")</f>
        <v>24104581</v>
      </c>
      <c r="C10146" s="9"/>
      <c r="D10146" t="str">
        <f>"F43G6.17"</f>
        <v>F43G6.17</v>
      </c>
      <c r="F10146" t="s">
        <v>11</v>
      </c>
      <c r="H10146" s="12">
        <v>-3.0413543832088701</v>
      </c>
      <c r="I10146" s="20">
        <v>-0.82302848568776199</v>
      </c>
      <c r="J10146" s="28">
        <v>0.41049179467373897</v>
      </c>
      <c r="K10146" s="29">
        <v>0.98289565623980701</v>
      </c>
    </row>
    <row r="10147" spans="1:11" x14ac:dyDescent="0.35">
      <c r="A10147" s="9" t="str">
        <f>HYPERLINK("http://www.ensembl.org/id/WBGene00009657", "WBGene00009657")</f>
        <v>WBGene00009657</v>
      </c>
      <c r="B10147" s="9" t="str">
        <f>HYPERLINK("http://www.ncbi.nlm.nih.gov/gene/174810", "174810")</f>
        <v>174810</v>
      </c>
      <c r="C10147" s="9"/>
      <c r="D10147" t="str">
        <f>"F43G6.4"</f>
        <v>F43G6.4</v>
      </c>
      <c r="F10147" t="s">
        <v>11</v>
      </c>
      <c r="H10147" s="12">
        <v>-1.0966427190593899</v>
      </c>
      <c r="I10147" s="20">
        <v>-0.49333058479119901</v>
      </c>
      <c r="J10147" s="28">
        <v>0.62177902107709004</v>
      </c>
      <c r="K10147" s="29">
        <v>0.98289565623980701</v>
      </c>
    </row>
    <row r="10148" spans="1:11" x14ac:dyDescent="0.35">
      <c r="A10148" s="9" t="str">
        <f>HYPERLINK("http://www.ensembl.org/id/WBGene00009658", "WBGene00009658")</f>
        <v>WBGene00009658</v>
      </c>
      <c r="B10148" s="9" t="str">
        <f>HYPERLINK("http://www.ncbi.nlm.nih.gov/gene/174816", "174816")</f>
        <v>174816</v>
      </c>
      <c r="C10148" s="9" t="str">
        <f>HYPERLINK("http://www.ncbi.nlm.nih.gov/gene/10914", "10914")</f>
        <v>10914</v>
      </c>
      <c r="D10148" t="str">
        <f>"F43G6.5"</f>
        <v>F43G6.5</v>
      </c>
      <c r="F10148" t="s">
        <v>11</v>
      </c>
      <c r="G10148" t="s">
        <v>4686</v>
      </c>
      <c r="H10148" s="12">
        <v>1.23136024789396</v>
      </c>
      <c r="I10148" s="20">
        <v>0.48012556324684502</v>
      </c>
      <c r="J10148" s="28">
        <v>0.63113811208592796</v>
      </c>
      <c r="K10148" s="29">
        <v>0.98289565623980701</v>
      </c>
    </row>
    <row r="10149" spans="1:11" x14ac:dyDescent="0.35">
      <c r="A10149" s="9" t="str">
        <f>HYPERLINK("http://www.ensembl.org/id/WBGene00009659", "WBGene00009659")</f>
        <v>WBGene00009659</v>
      </c>
      <c r="B10149" s="9" t="str">
        <f>HYPERLINK("http://www.ncbi.nlm.nih.gov/gene/174814", "174814")</f>
        <v>174814</v>
      </c>
      <c r="C10149" s="9"/>
      <c r="D10149" t="str">
        <f>"F43G6.7"</f>
        <v>F43G6.7</v>
      </c>
      <c r="F10149" t="s">
        <v>11</v>
      </c>
      <c r="H10149" s="12">
        <v>-1.35205712422989</v>
      </c>
      <c r="I10149" s="20">
        <v>-0.88727009221201802</v>
      </c>
      <c r="J10149" s="28">
        <v>0.37493350350556298</v>
      </c>
      <c r="K10149" s="29">
        <v>0.98289565623980701</v>
      </c>
    </row>
    <row r="10150" spans="1:11" x14ac:dyDescent="0.35">
      <c r="A10150" s="9" t="str">
        <f>HYPERLINK("http://www.ensembl.org/id/WBGene00009660", "WBGene00009660")</f>
        <v>WBGene00009660</v>
      </c>
      <c r="B10150" s="9" t="str">
        <f>HYPERLINK("http://www.ncbi.nlm.nih.gov/gene/174815", "174815")</f>
        <v>174815</v>
      </c>
      <c r="C10150" s="9"/>
      <c r="D10150" t="str">
        <f>"F43G6.8"</f>
        <v>F43G6.8</v>
      </c>
      <c r="F10150" t="s">
        <v>11</v>
      </c>
      <c r="G10150" t="s">
        <v>51</v>
      </c>
      <c r="H10150" s="12">
        <v>-1.0863095038894</v>
      </c>
      <c r="I10150" s="20">
        <v>-0.43931660676329798</v>
      </c>
      <c r="J10150" s="28">
        <v>0.66043214276461004</v>
      </c>
      <c r="K10150" s="29">
        <v>0.98289565623980701</v>
      </c>
    </row>
    <row r="10151" spans="1:11" x14ac:dyDescent="0.35">
      <c r="A10151" s="9" t="str">
        <f>HYPERLINK("http://www.ensembl.org/id/WBGene00009672", "WBGene00009672")</f>
        <v>WBGene00009672</v>
      </c>
      <c r="B10151" s="9" t="str">
        <f>HYPERLINK("http://www.ncbi.nlm.nih.gov/gene/172662", "172662")</f>
        <v>172662</v>
      </c>
      <c r="C10151" s="9" t="str">
        <f>HYPERLINK("http://www.ncbi.nlm.nih.gov/gene/94104", "94104")</f>
        <v>94104</v>
      </c>
      <c r="D10151" t="str">
        <f>"F43G9.12"</f>
        <v>F43G9.12</v>
      </c>
      <c r="F10151" t="s">
        <v>11</v>
      </c>
      <c r="G10151" t="s">
        <v>7128</v>
      </c>
      <c r="H10151" s="12">
        <v>-1.10874319385933</v>
      </c>
      <c r="I10151" s="20">
        <v>-0.530422736068762</v>
      </c>
      <c r="J10151" s="28">
        <v>0.59581886573096998</v>
      </c>
      <c r="K10151" s="29">
        <v>0.98289565623980701</v>
      </c>
    </row>
    <row r="10152" spans="1:11" x14ac:dyDescent="0.35">
      <c r="A10152" s="9" t="str">
        <f>HYPERLINK("http://www.ensembl.org/id/WBGene00009673", "WBGene00009673")</f>
        <v>WBGene00009673</v>
      </c>
      <c r="B10152" s="9" t="str">
        <f>HYPERLINK("http://www.ncbi.nlm.nih.gov/gene/172654", "172654")</f>
        <v>172654</v>
      </c>
      <c r="C10152" s="9"/>
      <c r="D10152" t="str">
        <f>"F43G9.13"</f>
        <v>F43G9.13</v>
      </c>
      <c r="F10152" t="s">
        <v>11</v>
      </c>
      <c r="G10152" t="s">
        <v>25</v>
      </c>
      <c r="H10152" s="12">
        <v>-1.1681798322441399</v>
      </c>
      <c r="I10152" s="20">
        <v>-0.67027095822939897</v>
      </c>
      <c r="J10152" s="28">
        <v>0.50268507696919096</v>
      </c>
      <c r="K10152" s="29">
        <v>0.98289565623980701</v>
      </c>
    </row>
    <row r="10153" spans="1:11" x14ac:dyDescent="0.35">
      <c r="A10153" s="9" t="str">
        <f>HYPERLINK("http://www.ensembl.org/id/WBGene00198826", "WBGene00198826")</f>
        <v>WBGene00198826</v>
      </c>
      <c r="B10153" s="9"/>
      <c r="C10153" s="9"/>
      <c r="D10153" t="str">
        <f>"F43G9.16"</f>
        <v>F43G9.16</v>
      </c>
      <c r="F10153" t="s">
        <v>481</v>
      </c>
      <c r="H10153" s="12">
        <v>2.4578120077400301</v>
      </c>
      <c r="I10153" s="20">
        <v>0.26093350314551</v>
      </c>
      <c r="J10153" s="28">
        <v>0.79414378780213601</v>
      </c>
      <c r="K10153" s="29">
        <v>0.98289565623980701</v>
      </c>
    </row>
    <row r="10154" spans="1:11" x14ac:dyDescent="0.35">
      <c r="A10154" s="9" t="str">
        <f>HYPERLINK("http://www.ensembl.org/id/WBGene00201989", "WBGene00201989")</f>
        <v>WBGene00201989</v>
      </c>
      <c r="B10154" s="9"/>
      <c r="C10154" s="9"/>
      <c r="D10154" t="str">
        <f>"F43G9.20"</f>
        <v>F43G9.20</v>
      </c>
      <c r="F10154" t="s">
        <v>481</v>
      </c>
      <c r="H10154" s="12">
        <v>2.3893468495514898</v>
      </c>
      <c r="I10154" s="20">
        <v>0.25323547253672701</v>
      </c>
      <c r="J10154" s="28">
        <v>0.80008625651646104</v>
      </c>
      <c r="K10154" s="29">
        <v>0.98289565623980701</v>
      </c>
    </row>
    <row r="10155" spans="1:11" x14ac:dyDescent="0.35">
      <c r="A10155" s="9" t="str">
        <f>HYPERLINK("http://www.ensembl.org/id/WBGene00009670", "WBGene00009670")</f>
        <v>WBGene00009670</v>
      </c>
      <c r="B10155" s="9" t="str">
        <f>HYPERLINK("http://www.ncbi.nlm.nih.gov/gene/185717", "185717")</f>
        <v>185717</v>
      </c>
      <c r="C10155" s="9"/>
      <c r="D10155" t="str">
        <f>"F43G9.8"</f>
        <v>F43G9.8</v>
      </c>
      <c r="F10155" t="s">
        <v>11</v>
      </c>
      <c r="G10155" t="s">
        <v>25</v>
      </c>
      <c r="H10155" s="12">
        <v>3.9822742124214701</v>
      </c>
      <c r="I10155" s="20">
        <v>0.482462550643251</v>
      </c>
      <c r="J10155" s="28">
        <v>0.62947739556167004</v>
      </c>
      <c r="K10155" s="29">
        <v>0.98289565623980701</v>
      </c>
    </row>
    <row r="10156" spans="1:11" x14ac:dyDescent="0.35">
      <c r="A10156" s="9" t="str">
        <f>HYPERLINK("http://www.ensembl.org/id/WBGene00018399", "WBGene00018399")</f>
        <v>WBGene00018399</v>
      </c>
      <c r="B10156" s="9" t="str">
        <f>HYPERLINK("http://www.ncbi.nlm.nih.gov/gene/179181", "179181")</f>
        <v>179181</v>
      </c>
      <c r="C10156" s="9"/>
      <c r="D10156" t="str">
        <f>"F43H9.3"</f>
        <v>F43H9.3</v>
      </c>
      <c r="F10156" t="s">
        <v>11</v>
      </c>
      <c r="G10156" t="s">
        <v>2656</v>
      </c>
      <c r="H10156" s="12">
        <v>-1.30354277089251</v>
      </c>
      <c r="I10156" s="20">
        <v>-0.98435267281856498</v>
      </c>
      <c r="J10156" s="28">
        <v>0.32494213946105799</v>
      </c>
      <c r="K10156" s="29">
        <v>0.98289565623980701</v>
      </c>
    </row>
    <row r="10157" spans="1:11" x14ac:dyDescent="0.35">
      <c r="A10157" s="9" t="str">
        <f>HYPERLINK("http://www.ensembl.org/id/WBGene00195621", "WBGene00195621")</f>
        <v>WBGene00195621</v>
      </c>
      <c r="B10157" s="9"/>
      <c r="C10157" s="9"/>
      <c r="D10157" t="str">
        <f>"F43H9.5"</f>
        <v>F43H9.5</v>
      </c>
      <c r="F10157" t="s">
        <v>481</v>
      </c>
      <c r="H10157" s="12">
        <v>4.4368407117627902</v>
      </c>
      <c r="I10157" s="20">
        <v>0.43709475933309699</v>
      </c>
      <c r="J10157" s="28">
        <v>0.66204262779770495</v>
      </c>
      <c r="K10157" s="29">
        <v>0.98289565623980701</v>
      </c>
    </row>
    <row r="10158" spans="1:11" x14ac:dyDescent="0.35">
      <c r="A10158" s="9" t="str">
        <f>HYPERLINK("http://www.ensembl.org/id/WBGene00018405", "WBGene00018405")</f>
        <v>WBGene00018405</v>
      </c>
      <c r="B10158" s="9" t="str">
        <f>HYPERLINK("http://www.ncbi.nlm.nih.gov/gene/179310", "179310")</f>
        <v>179310</v>
      </c>
      <c r="C10158" s="9"/>
      <c r="D10158" t="str">
        <f>"F44A2.5"</f>
        <v>F44A2.5</v>
      </c>
      <c r="F10158" t="s">
        <v>11</v>
      </c>
      <c r="G10158" t="s">
        <v>5985</v>
      </c>
      <c r="H10158" s="12">
        <v>1.0766668613525401</v>
      </c>
      <c r="I10158" s="20">
        <v>0.32283506598999401</v>
      </c>
      <c r="J10158" s="28">
        <v>0.74682015490647102</v>
      </c>
      <c r="K10158" s="29">
        <v>0.98289565623980701</v>
      </c>
    </row>
    <row r="10159" spans="1:11" x14ac:dyDescent="0.35">
      <c r="A10159" s="9" t="str">
        <f>HYPERLINK("http://www.ensembl.org/id/WBGene00018406", "WBGene00018406")</f>
        <v>WBGene00018406</v>
      </c>
      <c r="B10159" s="9" t="str">
        <f>HYPERLINK("http://www.ncbi.nlm.nih.gov/gene/185721", "185721")</f>
        <v>185721</v>
      </c>
      <c r="C10159" s="9"/>
      <c r="D10159" t="str">
        <f>"F44A2.7"</f>
        <v>F44A2.7</v>
      </c>
      <c r="F10159" t="s">
        <v>11</v>
      </c>
      <c r="H10159" s="12">
        <v>3.9136124620197301</v>
      </c>
      <c r="I10159" s="20">
        <v>1.0941384409183099</v>
      </c>
      <c r="J10159" s="28">
        <v>0.27389426516676102</v>
      </c>
      <c r="K10159" s="29">
        <v>0.98289565623980701</v>
      </c>
    </row>
    <row r="10160" spans="1:11" x14ac:dyDescent="0.35">
      <c r="A10160" s="9" t="str">
        <f>HYPERLINK("http://www.ensembl.org/id/WBGene00197579", "WBGene00197579")</f>
        <v>WBGene00197579</v>
      </c>
      <c r="B10160" s="9"/>
      <c r="C10160" s="9"/>
      <c r="D10160" t="str">
        <f>"F44A2.9"</f>
        <v>F44A2.9</v>
      </c>
      <c r="F10160" t="s">
        <v>481</v>
      </c>
      <c r="H10160" s="12">
        <v>-10.0989263815726</v>
      </c>
      <c r="I10160" s="20">
        <v>-0.68863184780658804</v>
      </c>
      <c r="J10160" s="28">
        <v>0.49105497404077803</v>
      </c>
      <c r="K10160" s="29">
        <v>0.98289565623980701</v>
      </c>
    </row>
    <row r="10161" spans="1:11" x14ac:dyDescent="0.35">
      <c r="A10161" s="9" t="str">
        <f>HYPERLINK("http://www.ensembl.org/id/WBGene00009675", "WBGene00009675")</f>
        <v>WBGene00009675</v>
      </c>
      <c r="B10161" s="9" t="str">
        <f>HYPERLINK("http://www.ncbi.nlm.nih.gov/gene/185723", "185723")</f>
        <v>185723</v>
      </c>
      <c r="C10161" s="9"/>
      <c r="D10161" t="str">
        <f>"F44A6.3"</f>
        <v>F44A6.3</v>
      </c>
      <c r="F10161" t="s">
        <v>11</v>
      </c>
      <c r="H10161" s="12">
        <v>1.5717511510558699</v>
      </c>
      <c r="I10161" s="20">
        <v>0.538459779370699</v>
      </c>
      <c r="J10161" s="28">
        <v>0.59025966545453701</v>
      </c>
      <c r="K10161" s="29">
        <v>0.98289565623980701</v>
      </c>
    </row>
    <row r="10162" spans="1:11" x14ac:dyDescent="0.35">
      <c r="A10162" s="9" t="str">
        <f>HYPERLINK("http://www.ensembl.org/id/WBGene00009676", "WBGene00009676")</f>
        <v>WBGene00009676</v>
      </c>
      <c r="B10162" s="9" t="str">
        <f>HYPERLINK("http://www.ncbi.nlm.nih.gov/gene/185724", "185724")</f>
        <v>185724</v>
      </c>
      <c r="C10162" s="9"/>
      <c r="D10162" t="str">
        <f>"F44A6.4"</f>
        <v>F44A6.4</v>
      </c>
      <c r="F10162" t="s">
        <v>11</v>
      </c>
      <c r="H10162" s="12">
        <v>-1.1103299345033999</v>
      </c>
      <c r="I10162" s="20">
        <v>-0.498985034020689</v>
      </c>
      <c r="J10162" s="28">
        <v>0.61778992735931904</v>
      </c>
      <c r="K10162" s="29">
        <v>0.98289565623980701</v>
      </c>
    </row>
    <row r="10163" spans="1:11" x14ac:dyDescent="0.35">
      <c r="A10163" s="9" t="str">
        <f>HYPERLINK("http://www.ensembl.org/id/WBGene00018408", "WBGene00018408")</f>
        <v>WBGene00018408</v>
      </c>
      <c r="B10163" s="9" t="str">
        <f>HYPERLINK("http://www.ncbi.nlm.nih.gov/gene/176127", "176127")</f>
        <v>176127</v>
      </c>
      <c r="C10163" s="9" t="str">
        <f>HYPERLINK("http://www.ncbi.nlm.nih.gov/gene/550", "550")</f>
        <v>550</v>
      </c>
      <c r="D10163" t="str">
        <f>"F44B9.5"</f>
        <v>F44B9.5</v>
      </c>
      <c r="E10163" t="s">
        <v>6668</v>
      </c>
      <c r="F10163" t="s">
        <v>11</v>
      </c>
      <c r="G10163" t="s">
        <v>6669</v>
      </c>
      <c r="H10163" s="12">
        <v>-1.08392389280655</v>
      </c>
      <c r="I10163" s="20">
        <v>-0.38818102410666899</v>
      </c>
      <c r="J10163" s="28">
        <v>0.69788207487791099</v>
      </c>
      <c r="K10163" s="29">
        <v>0.98289565623980701</v>
      </c>
    </row>
    <row r="10164" spans="1:11" x14ac:dyDescent="0.35">
      <c r="A10164" s="9" t="str">
        <f>HYPERLINK("http://www.ensembl.org/id/WBGene00045002", "WBGene00045002")</f>
        <v>WBGene00045002</v>
      </c>
      <c r="B10164" s="9"/>
      <c r="C10164" s="9"/>
      <c r="D10164" t="str">
        <f>"F44D12.12"</f>
        <v>F44D12.12</v>
      </c>
      <c r="F10164" t="s">
        <v>80</v>
      </c>
      <c r="H10164" s="12">
        <v>2.4578120077400301</v>
      </c>
      <c r="I10164" s="20">
        <v>0.26093350314551</v>
      </c>
      <c r="J10164" s="28">
        <v>0.79414378780213601</v>
      </c>
      <c r="K10164" s="29">
        <v>0.98289565623980701</v>
      </c>
    </row>
    <row r="10165" spans="1:11" x14ac:dyDescent="0.35">
      <c r="A10165" s="9" t="str">
        <f>HYPERLINK("http://www.ensembl.org/id/WBGene00200799", "WBGene00200799")</f>
        <v>WBGene00200799</v>
      </c>
      <c r="B10165" s="9"/>
      <c r="C10165" s="9"/>
      <c r="D10165" t="str">
        <f>"F44D12.18"</f>
        <v>F44D12.18</v>
      </c>
      <c r="F10165" t="s">
        <v>481</v>
      </c>
      <c r="H10165" s="12">
        <v>1.9442861038722099</v>
      </c>
      <c r="I10165" s="20">
        <v>0.27284854388649998</v>
      </c>
      <c r="J10165" s="28">
        <v>0.78496964213771203</v>
      </c>
      <c r="K10165" s="29">
        <v>0.98289565623980701</v>
      </c>
    </row>
    <row r="10166" spans="1:11" x14ac:dyDescent="0.35">
      <c r="A10166" s="9" t="str">
        <f>HYPERLINK("http://www.ensembl.org/id/WBGene00009685", "WBGene00009685")</f>
        <v>WBGene00009685</v>
      </c>
      <c r="B10166" s="9" t="str">
        <f>HYPERLINK("http://www.ncbi.nlm.nih.gov/gene/177864", "177864")</f>
        <v>177864</v>
      </c>
      <c r="C10166" s="9"/>
      <c r="D10166" t="str">
        <f>"F44D12.8"</f>
        <v>F44D12.8</v>
      </c>
      <c r="F10166" t="s">
        <v>11</v>
      </c>
      <c r="H10166" s="12">
        <v>2.69131695010512</v>
      </c>
      <c r="I10166" s="20">
        <v>0.70512408048938902</v>
      </c>
      <c r="J10166" s="28">
        <v>0.48073302200237</v>
      </c>
      <c r="K10166" s="29">
        <v>0.98289565623980701</v>
      </c>
    </row>
    <row r="10167" spans="1:11" x14ac:dyDescent="0.35">
      <c r="A10167" s="9" t="str">
        <f>HYPERLINK("http://www.ensembl.org/id/WBGene00018423", "WBGene00018423")</f>
        <v>WBGene00018423</v>
      </c>
      <c r="B10167" s="9" t="str">
        <f>HYPERLINK("http://www.ncbi.nlm.nih.gov/gene/185734", "185734")</f>
        <v>185734</v>
      </c>
      <c r="C10167" s="9" t="str">
        <f>HYPERLINK("http://www.ncbi.nlm.nih.gov/gene/9761", "9761")</f>
        <v>9761</v>
      </c>
      <c r="D10167" t="str">
        <f>"F44E2.10"</f>
        <v>F44E2.10</v>
      </c>
      <c r="F10167" t="s">
        <v>11</v>
      </c>
      <c r="G10167" t="s">
        <v>9727</v>
      </c>
      <c r="H10167" s="12">
        <v>-1.2883855858170501</v>
      </c>
      <c r="I10167" s="20">
        <v>-1.17242867267963</v>
      </c>
      <c r="J10167" s="28">
        <v>0.241024993430869</v>
      </c>
      <c r="K10167" s="29">
        <v>0.98289565623980701</v>
      </c>
    </row>
    <row r="10168" spans="1:11" x14ac:dyDescent="0.35">
      <c r="A10168" s="9" t="str">
        <f>HYPERLINK("http://www.ensembl.org/id/WBGene00018417", "WBGene00018417")</f>
        <v>WBGene00018417</v>
      </c>
      <c r="B10168" s="9" t="str">
        <f>HYPERLINK("http://www.ncbi.nlm.nih.gov/gene/176242", "176242")</f>
        <v>176242</v>
      </c>
      <c r="C10168" s="9"/>
      <c r="D10168" t="str">
        <f>"F44E2.3"</f>
        <v>F44E2.3</v>
      </c>
      <c r="F10168" t="s">
        <v>11</v>
      </c>
      <c r="G10168" t="s">
        <v>6116</v>
      </c>
      <c r="H10168" s="12">
        <v>1.0574640856317199</v>
      </c>
      <c r="I10168" s="20">
        <v>0.270335306891195</v>
      </c>
      <c r="J10168" s="28">
        <v>0.78690230520309601</v>
      </c>
      <c r="K10168" s="29">
        <v>0.98289565623980701</v>
      </c>
    </row>
    <row r="10169" spans="1:11" x14ac:dyDescent="0.35">
      <c r="A10169" s="9" t="str">
        <f>HYPERLINK("http://www.ensembl.org/id/WBGene00018419", "WBGene00018419")</f>
        <v>WBGene00018419</v>
      </c>
      <c r="B10169" s="9" t="str">
        <f>HYPERLINK("http://www.ncbi.nlm.nih.gov/gene/176244", "176244")</f>
        <v>176244</v>
      </c>
      <c r="C10169" s="9" t="str">
        <f>HYPERLINK("http://www.ncbi.nlm.nih.gov/gene/22921", "22921")</f>
        <v>22921</v>
      </c>
      <c r="D10169" t="str">
        <f>"F44E2.6"</f>
        <v>F44E2.6</v>
      </c>
      <c r="E10169" t="s">
        <v>6880</v>
      </c>
      <c r="F10169" t="s">
        <v>11</v>
      </c>
      <c r="G10169" t="s">
        <v>6881</v>
      </c>
      <c r="H10169" s="12">
        <v>-1.0939727997199</v>
      </c>
      <c r="I10169" s="20">
        <v>-0.42564988396001902</v>
      </c>
      <c r="J10169" s="28">
        <v>0.67036298535404604</v>
      </c>
      <c r="K10169" s="29">
        <v>0.98289565623980701</v>
      </c>
    </row>
    <row r="10170" spans="1:11" x14ac:dyDescent="0.35">
      <c r="A10170" s="9" t="str">
        <f>HYPERLINK("http://www.ensembl.org/id/WBGene00018420", "WBGene00018420")</f>
        <v>WBGene00018420</v>
      </c>
      <c r="B10170" s="9" t="str">
        <f>HYPERLINK("http://www.ncbi.nlm.nih.gov/gene/176245", "176245")</f>
        <v>176245</v>
      </c>
      <c r="C10170" s="9"/>
      <c r="D10170" t="str">
        <f>"F44E2.7"</f>
        <v>F44E2.7</v>
      </c>
      <c r="E10170" t="s">
        <v>8203</v>
      </c>
      <c r="F10170" t="s">
        <v>11</v>
      </c>
      <c r="G10170" t="s">
        <v>8204</v>
      </c>
      <c r="H10170" s="12">
        <v>-1.16554757898702</v>
      </c>
      <c r="I10170" s="20">
        <v>-0.740532862785243</v>
      </c>
      <c r="J10170" s="28">
        <v>0.458976728366428</v>
      </c>
      <c r="K10170" s="29">
        <v>0.98289565623980701</v>
      </c>
    </row>
    <row r="10171" spans="1:11" x14ac:dyDescent="0.35">
      <c r="A10171" s="9" t="str">
        <f>HYPERLINK("http://www.ensembl.org/id/WBGene00018422", "WBGene00018422")</f>
        <v>WBGene00018422</v>
      </c>
      <c r="B10171" s="9" t="str">
        <f>HYPERLINK("http://www.ncbi.nlm.nih.gov/gene/176247", "176247")</f>
        <v>176247</v>
      </c>
      <c r="C10171" s="9"/>
      <c r="D10171" t="str">
        <f>"F44E2.9"</f>
        <v>F44E2.9</v>
      </c>
      <c r="F10171" t="s">
        <v>11</v>
      </c>
      <c r="H10171" s="12">
        <v>-1.2043826727881899</v>
      </c>
      <c r="I10171" s="20">
        <v>-0.56849936637576903</v>
      </c>
      <c r="J10171" s="28">
        <v>0.56969593582336897</v>
      </c>
      <c r="K10171" s="29">
        <v>0.98289565623980701</v>
      </c>
    </row>
    <row r="10172" spans="1:11" x14ac:dyDescent="0.35">
      <c r="A10172" s="9" t="str">
        <f>HYPERLINK("http://www.ensembl.org/id/WBGene00009688", "WBGene00009688")</f>
        <v>WBGene00009688</v>
      </c>
      <c r="B10172" s="9" t="str">
        <f>HYPERLINK("http://www.ncbi.nlm.nih.gov/gene/174807", "174807")</f>
        <v>174807</v>
      </c>
      <c r="C10172" s="9"/>
      <c r="D10172" t="str">
        <f>"F44E5.1"</f>
        <v>F44E5.1</v>
      </c>
      <c r="F10172" t="s">
        <v>11</v>
      </c>
      <c r="H10172" s="12">
        <v>-1.08350673350684</v>
      </c>
      <c r="I10172" s="20">
        <v>-0.42978143685565501</v>
      </c>
      <c r="J10172" s="28">
        <v>0.66735463743721501</v>
      </c>
      <c r="K10172" s="29">
        <v>0.98289565623980701</v>
      </c>
    </row>
    <row r="10173" spans="1:11" x14ac:dyDescent="0.35">
      <c r="A10173" s="9" t="str">
        <f>HYPERLINK("http://www.ensembl.org/id/WBGene00199360", "WBGene00199360")</f>
        <v>WBGene00199360</v>
      </c>
      <c r="B10173" s="9"/>
      <c r="C10173" s="9"/>
      <c r="D10173" t="str">
        <f>"F44E5.10"</f>
        <v>F44E5.10</v>
      </c>
      <c r="F10173" t="s">
        <v>481</v>
      </c>
      <c r="H10173" s="12">
        <v>3.6645215954135</v>
      </c>
      <c r="I10173" s="20">
        <v>0.37967131826092498</v>
      </c>
      <c r="J10173" s="28">
        <v>0.70418941338960395</v>
      </c>
      <c r="K10173" s="29">
        <v>0.98289565623980701</v>
      </c>
    </row>
    <row r="10174" spans="1:11" x14ac:dyDescent="0.35">
      <c r="A10174" s="9" t="str">
        <f>HYPERLINK("http://www.ensembl.org/id/WBGene00206377", "WBGene00206377")</f>
        <v>WBGene00206377</v>
      </c>
      <c r="B10174" s="9" t="str">
        <f>HYPERLINK("http://www.ncbi.nlm.nih.gov/gene/13187261", "13187261")</f>
        <v>13187261</v>
      </c>
      <c r="C10174" s="9"/>
      <c r="D10174" t="str">
        <f>"F44E5.15"</f>
        <v>F44E5.15</v>
      </c>
      <c r="F10174" t="s">
        <v>11</v>
      </c>
      <c r="G10174" t="s">
        <v>4581</v>
      </c>
      <c r="H10174" s="12">
        <v>1.6502635523067</v>
      </c>
      <c r="I10174" s="20">
        <v>0.71855236195004502</v>
      </c>
      <c r="J10174" s="28">
        <v>0.47241677431336598</v>
      </c>
      <c r="K10174" s="29">
        <v>0.98289565623980701</v>
      </c>
    </row>
    <row r="10175" spans="1:11" x14ac:dyDescent="0.35">
      <c r="A10175" s="9" t="str">
        <f>HYPERLINK("http://www.ensembl.org/id/WBGene00009689", "WBGene00009689")</f>
        <v>WBGene00009689</v>
      </c>
      <c r="B10175" s="9" t="str">
        <f>HYPERLINK("http://www.ncbi.nlm.nih.gov/gene/185735", "185735")</f>
        <v>185735</v>
      </c>
      <c r="C10175" s="9"/>
      <c r="D10175" t="str">
        <f>"F44E5.2"</f>
        <v>F44E5.2</v>
      </c>
      <c r="F10175" t="s">
        <v>11</v>
      </c>
      <c r="G10175" t="s">
        <v>4517</v>
      </c>
      <c r="H10175" s="12">
        <v>1.78323379186617</v>
      </c>
      <c r="I10175" s="20">
        <v>0.59136637580826901</v>
      </c>
      <c r="J10175" s="28">
        <v>0.55427496452381797</v>
      </c>
      <c r="K10175" s="29">
        <v>0.98289565623980701</v>
      </c>
    </row>
    <row r="10176" spans="1:11" x14ac:dyDescent="0.35">
      <c r="A10176" s="9" t="str">
        <f>HYPERLINK("http://www.ensembl.org/id/WBGene00009690", "WBGene00009690")</f>
        <v>WBGene00009690</v>
      </c>
      <c r="B10176" s="9" t="str">
        <f>HYPERLINK("http://www.ncbi.nlm.nih.gov/gene/185736", "185736")</f>
        <v>185736</v>
      </c>
      <c r="C10176" s="9"/>
      <c r="D10176" t="str">
        <f>"F44E5.3"</f>
        <v>F44E5.3</v>
      </c>
      <c r="F10176" t="s">
        <v>11</v>
      </c>
      <c r="H10176" s="12">
        <v>2.0420395608491901</v>
      </c>
      <c r="I10176" s="20">
        <v>1.0333073007475899</v>
      </c>
      <c r="J10176" s="28">
        <v>0.30146011176175702</v>
      </c>
      <c r="K10176" s="29">
        <v>0.98289565623980701</v>
      </c>
    </row>
    <row r="10177" spans="1:11" x14ac:dyDescent="0.35">
      <c r="A10177" s="9" t="str">
        <f>HYPERLINK("http://www.ensembl.org/id/WBGene00018425", "WBGene00018425")</f>
        <v>WBGene00018425</v>
      </c>
      <c r="B10177" s="9" t="str">
        <f>HYPERLINK("http://www.ncbi.nlm.nih.gov/gene/185737", "185737")</f>
        <v>185737</v>
      </c>
      <c r="C10177" s="9"/>
      <c r="D10177" t="str">
        <f>"F44E7.3"</f>
        <v>F44E7.3</v>
      </c>
      <c r="F10177" t="s">
        <v>11</v>
      </c>
      <c r="H10177" s="12">
        <v>-1.50604949235282</v>
      </c>
      <c r="I10177" s="20">
        <v>-0.31633211908637199</v>
      </c>
      <c r="J10177" s="28">
        <v>0.75175043437088995</v>
      </c>
      <c r="K10177" s="29">
        <v>0.98289565623980701</v>
      </c>
    </row>
    <row r="10178" spans="1:11" x14ac:dyDescent="0.35">
      <c r="A10178" s="9" t="str">
        <f>HYPERLINK("http://www.ensembl.org/id/WBGene00018429", "WBGene00018429")</f>
        <v>WBGene00018429</v>
      </c>
      <c r="B10178" s="9" t="str">
        <f>HYPERLINK("http://www.ncbi.nlm.nih.gov/gene/185739", "185739")</f>
        <v>185739</v>
      </c>
      <c r="C10178" s="9"/>
      <c r="D10178" t="str">
        <f>"F44E7.7"</f>
        <v>F44E7.7</v>
      </c>
      <c r="F10178" t="s">
        <v>11</v>
      </c>
      <c r="G10178" t="s">
        <v>230</v>
      </c>
      <c r="H10178" s="12">
        <v>-1.5179589046395301</v>
      </c>
      <c r="I10178" s="20">
        <v>-0.32297501992579403</v>
      </c>
      <c r="J10178" s="28">
        <v>0.74671416030622795</v>
      </c>
      <c r="K10178" s="29">
        <v>0.98289565623980701</v>
      </c>
    </row>
    <row r="10179" spans="1:11" x14ac:dyDescent="0.35">
      <c r="A10179" s="9" t="str">
        <f>HYPERLINK("http://www.ensembl.org/id/WBGene00018431", "WBGene00018431")</f>
        <v>WBGene00018431</v>
      </c>
      <c r="B10179" s="9" t="str">
        <f>HYPERLINK("http://www.ncbi.nlm.nih.gov/gene/185741", "185741")</f>
        <v>185741</v>
      </c>
      <c r="C10179" s="9" t="str">
        <f>HYPERLINK("http://www.ncbi.nlm.nih.gov/gene/55969", "55969")</f>
        <v>55969</v>
      </c>
      <c r="D10179" t="str">
        <f>"F44E7.9"</f>
        <v>F44E7.9</v>
      </c>
      <c r="F10179" t="s">
        <v>11</v>
      </c>
      <c r="G10179" t="s">
        <v>25</v>
      </c>
      <c r="H10179" s="12">
        <v>-1.2024723000963999</v>
      </c>
      <c r="I10179" s="20">
        <v>-0.83647180482811401</v>
      </c>
      <c r="J10179" s="28">
        <v>0.40288953206794098</v>
      </c>
      <c r="K10179" s="29">
        <v>0.98289565623980701</v>
      </c>
    </row>
    <row r="10180" spans="1:11" x14ac:dyDescent="0.35">
      <c r="A10180" s="9" t="str">
        <f>HYPERLINK("http://www.ensembl.org/id/WBGene00197763", "WBGene00197763")</f>
        <v>WBGene00197763</v>
      </c>
      <c r="B10180" s="9"/>
      <c r="C10180" s="9"/>
      <c r="D10180" t="str">
        <f>"F44E8.43"</f>
        <v>F44E8.43</v>
      </c>
      <c r="F10180" t="s">
        <v>481</v>
      </c>
      <c r="H10180" s="12">
        <v>2.3893468495514898</v>
      </c>
      <c r="I10180" s="20">
        <v>0.25323547253672701</v>
      </c>
      <c r="J10180" s="28">
        <v>0.80008625651646104</v>
      </c>
      <c r="K10180" s="29">
        <v>0.98289565623980701</v>
      </c>
    </row>
    <row r="10181" spans="1:11" x14ac:dyDescent="0.35">
      <c r="A10181" s="9" t="str">
        <f>HYPERLINK("http://www.ensembl.org/id/WBGene00009697", "WBGene00009697")</f>
        <v>WBGene00009697</v>
      </c>
      <c r="B10181" s="9"/>
      <c r="C10181" s="9"/>
      <c r="D10181" t="str">
        <f>"F44F1.5"</f>
        <v>F44F1.5</v>
      </c>
      <c r="F10181" t="s">
        <v>80</v>
      </c>
      <c r="H10181" s="12">
        <v>1.5236005522209499</v>
      </c>
      <c r="I10181" s="20">
        <v>1.19267442097856</v>
      </c>
      <c r="J10181" s="28">
        <v>0.23299690711925</v>
      </c>
      <c r="K10181" s="29">
        <v>0.98289565623980701</v>
      </c>
    </row>
    <row r="10182" spans="1:11" x14ac:dyDescent="0.35">
      <c r="A10182" s="9" t="str">
        <f>HYPERLINK("http://www.ensembl.org/id/WBGene00009705", "WBGene00009705")</f>
        <v>WBGene00009705</v>
      </c>
      <c r="B10182" s="9" t="str">
        <f>HYPERLINK("http://www.ncbi.nlm.nih.gov/gene/185752", "185752")</f>
        <v>185752</v>
      </c>
      <c r="C10182" s="9"/>
      <c r="D10182" t="str">
        <f>"F44F4.10"</f>
        <v>F44F4.10</v>
      </c>
      <c r="F10182" t="s">
        <v>11</v>
      </c>
      <c r="H10182" s="12">
        <v>-2.0089588645097098</v>
      </c>
      <c r="I10182" s="20">
        <v>-0.59051823291913497</v>
      </c>
      <c r="J10182" s="28">
        <v>0.55484326560298503</v>
      </c>
      <c r="K10182" s="29">
        <v>0.98289565623980701</v>
      </c>
    </row>
    <row r="10183" spans="1:11" x14ac:dyDescent="0.35">
      <c r="A10183" s="9" t="str">
        <f>HYPERLINK("http://www.ensembl.org/id/WBGene00009710", "WBGene00009710")</f>
        <v>WBGene00009710</v>
      </c>
      <c r="B10183" s="9" t="str">
        <f>HYPERLINK("http://www.ncbi.nlm.nih.gov/gene/185758", "185758")</f>
        <v>185758</v>
      </c>
      <c r="C10183" s="9"/>
      <c r="D10183" t="str">
        <f>"F44G3.10"</f>
        <v>F44G3.10</v>
      </c>
      <c r="F10183" t="s">
        <v>11</v>
      </c>
      <c r="G10183" t="s">
        <v>394</v>
      </c>
      <c r="H10183" s="12">
        <v>2.2022331724974502</v>
      </c>
      <c r="I10183" s="20">
        <v>0.72095881025120601</v>
      </c>
      <c r="J10183" s="28">
        <v>0.47093485748256297</v>
      </c>
      <c r="K10183" s="29">
        <v>0.98289565623980701</v>
      </c>
    </row>
    <row r="10184" spans="1:11" x14ac:dyDescent="0.35">
      <c r="A10184" s="9" t="str">
        <f>HYPERLINK("http://www.ensembl.org/id/WBGene00009708", "WBGene00009708")</f>
        <v>WBGene00009708</v>
      </c>
      <c r="B10184" s="9" t="str">
        <f>HYPERLINK("http://www.ncbi.nlm.nih.gov/gene/180083", "180083")</f>
        <v>180083</v>
      </c>
      <c r="C10184" s="9"/>
      <c r="D10184" t="str">
        <f>"F44G3.7"</f>
        <v>F44G3.7</v>
      </c>
      <c r="F10184" t="s">
        <v>11</v>
      </c>
      <c r="G10184" t="s">
        <v>4329</v>
      </c>
      <c r="H10184" s="12">
        <v>2.9870693876807</v>
      </c>
      <c r="I10184" s="20">
        <v>0.809536552019536</v>
      </c>
      <c r="J10184" s="28">
        <v>0.418206586804865</v>
      </c>
      <c r="K10184" s="29">
        <v>0.98289565623980701</v>
      </c>
    </row>
    <row r="10185" spans="1:11" x14ac:dyDescent="0.35">
      <c r="A10185" s="9" t="str">
        <f>HYPERLINK("http://www.ensembl.org/id/WBGene00009711", "WBGene00009711")</f>
        <v>WBGene00009711</v>
      </c>
      <c r="B10185" s="9" t="str">
        <f>HYPERLINK("http://www.ncbi.nlm.nih.gov/gene/174434", "174434")</f>
        <v>174434</v>
      </c>
      <c r="C10185" s="9" t="str">
        <f>HYPERLINK("http://www.ncbi.nlm.nih.gov/gene/80135", "80135")</f>
        <v>80135</v>
      </c>
      <c r="D10185" t="str">
        <f>"F44G4.1"</f>
        <v>F44G4.1</v>
      </c>
      <c r="E10185" t="s">
        <v>8905</v>
      </c>
      <c r="F10185" t="s">
        <v>11</v>
      </c>
      <c r="G10185" t="s">
        <v>8906</v>
      </c>
      <c r="H10185" s="12">
        <v>-1.2065554503443601</v>
      </c>
      <c r="I10185" s="20">
        <v>-0.96278264752284004</v>
      </c>
      <c r="J10185" s="28">
        <v>0.33565661064166302</v>
      </c>
      <c r="K10185" s="29">
        <v>0.98289565623980701</v>
      </c>
    </row>
    <row r="10186" spans="1:11" x14ac:dyDescent="0.35">
      <c r="A10186" s="9" t="str">
        <f>HYPERLINK("http://www.ensembl.org/id/WBGene00009712", "WBGene00009712")</f>
        <v>WBGene00009712</v>
      </c>
      <c r="B10186" s="9" t="str">
        <f>HYPERLINK("http://www.ncbi.nlm.nih.gov/gene/174435", "174435")</f>
        <v>174435</v>
      </c>
      <c r="C10186" s="9"/>
      <c r="D10186" t="str">
        <f>"F44G4.2"</f>
        <v>F44G4.2</v>
      </c>
      <c r="E10186" t="s">
        <v>6401</v>
      </c>
      <c r="F10186" t="s">
        <v>11</v>
      </c>
      <c r="G10186" t="s">
        <v>6402</v>
      </c>
      <c r="H10186" s="12">
        <v>-1.0674175591573301</v>
      </c>
      <c r="I10186" s="20">
        <v>-0.35212073359218299</v>
      </c>
      <c r="J10186" s="28">
        <v>0.72474771975395003</v>
      </c>
      <c r="K10186" s="29">
        <v>0.98289565623980701</v>
      </c>
    </row>
    <row r="10187" spans="1:11" x14ac:dyDescent="0.35">
      <c r="A10187" s="9" t="str">
        <f>HYPERLINK("http://www.ensembl.org/id/WBGene00009713", "WBGene00009713")</f>
        <v>WBGene00009713</v>
      </c>
      <c r="B10187" s="9" t="str">
        <f>HYPERLINK("http://www.ncbi.nlm.nih.gov/gene/185760", "185760")</f>
        <v>185760</v>
      </c>
      <c r="C10187" s="9"/>
      <c r="D10187" t="str">
        <f>"F44G4.3"</f>
        <v>F44G4.3</v>
      </c>
      <c r="F10187" t="s">
        <v>11</v>
      </c>
      <c r="G10187" t="s">
        <v>25</v>
      </c>
      <c r="H10187" s="12">
        <v>-1.1928062380787401</v>
      </c>
      <c r="I10187" s="20">
        <v>-0.53344638369497299</v>
      </c>
      <c r="J10187" s="28">
        <v>0.59372461653105502</v>
      </c>
      <c r="K10187" s="29">
        <v>0.98289565623980701</v>
      </c>
    </row>
    <row r="10188" spans="1:11" x14ac:dyDescent="0.35">
      <c r="A10188" s="9" t="str">
        <f>HYPERLINK("http://www.ensembl.org/id/WBGene00009714", "WBGene00009714")</f>
        <v>WBGene00009714</v>
      </c>
      <c r="B10188" s="9" t="str">
        <f>HYPERLINK("http://www.ncbi.nlm.nih.gov/gene/185761", "185761")</f>
        <v>185761</v>
      </c>
      <c r="C10188" s="9"/>
      <c r="D10188" t="str">
        <f>"F44G4.5"</f>
        <v>F44G4.5</v>
      </c>
      <c r="F10188" t="s">
        <v>11</v>
      </c>
      <c r="H10188" s="12">
        <v>-1.9618431659328499</v>
      </c>
      <c r="I10188" s="20">
        <v>-0.45599234221709301</v>
      </c>
      <c r="J10188" s="28">
        <v>0.64839548491195098</v>
      </c>
      <c r="K10188" s="29">
        <v>0.98289565623980701</v>
      </c>
    </row>
    <row r="10189" spans="1:11" x14ac:dyDescent="0.35">
      <c r="A10189" s="9" t="str">
        <f>HYPERLINK("http://www.ensembl.org/id/WBGene00009715", "WBGene00009715")</f>
        <v>WBGene00009715</v>
      </c>
      <c r="B10189" s="9" t="str">
        <f>HYPERLINK("http://www.ncbi.nlm.nih.gov/gene/185762", "185762")</f>
        <v>185762</v>
      </c>
      <c r="C10189" s="9"/>
      <c r="D10189" t="str">
        <f>"F44G4.6"</f>
        <v>F44G4.6</v>
      </c>
      <c r="F10189" t="s">
        <v>11</v>
      </c>
      <c r="G10189" t="s">
        <v>25</v>
      </c>
      <c r="H10189" s="12">
        <v>1.4255033671143</v>
      </c>
      <c r="I10189" s="20">
        <v>0.78561642797064302</v>
      </c>
      <c r="J10189" s="28">
        <v>0.43209223716520201</v>
      </c>
      <c r="K10189" s="29">
        <v>0.98289565623980701</v>
      </c>
    </row>
    <row r="10190" spans="1:11" x14ac:dyDescent="0.35">
      <c r="A10190" s="9" t="str">
        <f>HYPERLINK("http://www.ensembl.org/id/WBGene00009720", "WBGene00009720")</f>
        <v>WBGene00009720</v>
      </c>
      <c r="B10190" s="9" t="str">
        <f>HYPERLINK("http://www.ncbi.nlm.nih.gov/gene/181589", "181589")</f>
        <v>181589</v>
      </c>
      <c r="C10190" s="9"/>
      <c r="D10190" t="str">
        <f>"F45B8.3"</f>
        <v>F45B8.3</v>
      </c>
      <c r="F10190" t="s">
        <v>11</v>
      </c>
      <c r="G10190" t="s">
        <v>54</v>
      </c>
      <c r="H10190" s="12">
        <v>4.2360860508411298</v>
      </c>
      <c r="I10190" s="20">
        <v>0.74365181493025001</v>
      </c>
      <c r="J10190" s="28">
        <v>0.45708714750129498</v>
      </c>
      <c r="K10190" s="29">
        <v>0.98289565623980701</v>
      </c>
    </row>
    <row r="10191" spans="1:11" x14ac:dyDescent="0.35">
      <c r="A10191" s="9" t="str">
        <f>HYPERLINK("http://www.ensembl.org/id/WBGene00269388", "WBGene00269388")</f>
        <v>WBGene00269388</v>
      </c>
      <c r="B10191" s="9" t="str">
        <f>HYPERLINK("http://www.ncbi.nlm.nih.gov/gene/27219621", "27219621")</f>
        <v>27219621</v>
      </c>
      <c r="C10191" s="9"/>
      <c r="D10191" t="str">
        <f>"F45C12.17"</f>
        <v>F45C12.17</v>
      </c>
      <c r="F10191" t="s">
        <v>11</v>
      </c>
      <c r="G10191" t="s">
        <v>25</v>
      </c>
      <c r="H10191" s="12">
        <v>-1.25134619611874</v>
      </c>
      <c r="I10191" s="20">
        <v>-0.36360107101871603</v>
      </c>
      <c r="J10191" s="28">
        <v>0.71615592689082097</v>
      </c>
      <c r="K10191" s="29">
        <v>0.98289565623980701</v>
      </c>
    </row>
    <row r="10192" spans="1:11" x14ac:dyDescent="0.35">
      <c r="A10192" s="9" t="str">
        <f>HYPERLINK("http://www.ensembl.org/id/WBGene00018448", "WBGene00018448")</f>
        <v>WBGene00018448</v>
      </c>
      <c r="B10192" s="9"/>
      <c r="C10192" s="9"/>
      <c r="D10192" t="str">
        <f>"F45D11.1"</f>
        <v>F45D11.1</v>
      </c>
      <c r="F10192" t="s">
        <v>80</v>
      </c>
      <c r="H10192" s="12">
        <v>-2.1560807109892202</v>
      </c>
      <c r="I10192" s="20">
        <v>-0.76537676733516002</v>
      </c>
      <c r="J10192" s="28">
        <v>0.444047223220709</v>
      </c>
      <c r="K10192" s="29">
        <v>0.98289565623980701</v>
      </c>
    </row>
    <row r="10193" spans="1:11" x14ac:dyDescent="0.35">
      <c r="A10193" s="9" t="str">
        <f>HYPERLINK("http://www.ensembl.org/id/WBGene00043328", "WBGene00043328")</f>
        <v>WBGene00043328</v>
      </c>
      <c r="B10193" s="9" t="str">
        <f>HYPERLINK("http://www.ncbi.nlm.nih.gov/gene/26591687", "26591687")</f>
        <v>26591687</v>
      </c>
      <c r="C10193" s="9"/>
      <c r="D10193" t="str">
        <f>"F45D11.11"</f>
        <v>F45D11.11</v>
      </c>
      <c r="F10193" t="s">
        <v>11</v>
      </c>
      <c r="G10193" t="s">
        <v>54</v>
      </c>
      <c r="H10193" s="12">
        <v>-2.4295389261469</v>
      </c>
      <c r="I10193" s="20">
        <v>-0.25808529976640998</v>
      </c>
      <c r="J10193" s="28">
        <v>0.79634107645457397</v>
      </c>
      <c r="K10193" s="29">
        <v>0.98289565623980701</v>
      </c>
    </row>
    <row r="10194" spans="1:11" x14ac:dyDescent="0.35">
      <c r="A10194" s="9" t="str">
        <f>HYPERLINK("http://www.ensembl.org/id/WBGene00018449", "WBGene00018449")</f>
        <v>WBGene00018449</v>
      </c>
      <c r="B10194" s="9"/>
      <c r="C10194" s="9"/>
      <c r="D10194" t="str">
        <f>"F45D11.2"</f>
        <v>F45D11.2</v>
      </c>
      <c r="F10194" t="s">
        <v>80</v>
      </c>
      <c r="H10194" s="12">
        <v>-5.5794491025289696</v>
      </c>
      <c r="I10194" s="20">
        <v>-0.504738274115201</v>
      </c>
      <c r="J10194" s="28">
        <v>0.61374267489732603</v>
      </c>
      <c r="K10194" s="29">
        <v>0.98289565623980701</v>
      </c>
    </row>
    <row r="10195" spans="1:11" x14ac:dyDescent="0.35">
      <c r="A10195" s="9" t="str">
        <f>HYPERLINK("http://www.ensembl.org/id/WBGene00018452", "WBGene00018452")</f>
        <v>WBGene00018452</v>
      </c>
      <c r="B10195" s="9" t="str">
        <f>HYPERLINK("http://www.ncbi.nlm.nih.gov/gene/173479", "173479")</f>
        <v>173479</v>
      </c>
      <c r="C10195" s="9"/>
      <c r="D10195" t="str">
        <f>"F45D11.5"</f>
        <v>F45D11.5</v>
      </c>
      <c r="F10195" t="s">
        <v>11</v>
      </c>
      <c r="G10195" t="s">
        <v>54</v>
      </c>
      <c r="H10195" s="12">
        <v>1.3783390549716299</v>
      </c>
      <c r="I10195" s="20">
        <v>0.83063898084404497</v>
      </c>
      <c r="J10195" s="28">
        <v>0.40617760674751102</v>
      </c>
      <c r="K10195" s="29">
        <v>0.98289565623980701</v>
      </c>
    </row>
    <row r="10196" spans="1:11" x14ac:dyDescent="0.35">
      <c r="A10196" s="9" t="str">
        <f>HYPERLINK("http://www.ensembl.org/id/WBGene00009721", "WBGene00009721")</f>
        <v>WBGene00009721</v>
      </c>
      <c r="B10196" s="9" t="str">
        <f>HYPERLINK("http://www.ncbi.nlm.nih.gov/gene/185778", "185778")</f>
        <v>185778</v>
      </c>
      <c r="C10196" s="9"/>
      <c r="D10196" t="str">
        <f>"F45D3.1"</f>
        <v>F45D3.1</v>
      </c>
      <c r="F10196" t="s">
        <v>11</v>
      </c>
      <c r="H10196" s="12">
        <v>-1.1931020057717201</v>
      </c>
      <c r="I10196" s="20">
        <v>-0.29514082038866002</v>
      </c>
      <c r="J10196" s="28">
        <v>0.76788630768325605</v>
      </c>
      <c r="K10196" s="29">
        <v>0.98289565623980701</v>
      </c>
    </row>
    <row r="10197" spans="1:11" x14ac:dyDescent="0.35">
      <c r="A10197" s="9" t="str">
        <f>HYPERLINK("http://www.ensembl.org/id/WBGene00200167", "WBGene00200167")</f>
        <v>WBGene00200167</v>
      </c>
      <c r="B10197" s="9"/>
      <c r="C10197" s="9"/>
      <c r="D10197" t="str">
        <f>"F45D3.11"</f>
        <v>F45D3.11</v>
      </c>
      <c r="F10197" t="s">
        <v>481</v>
      </c>
      <c r="H10197" s="12">
        <v>2.3893468495514898</v>
      </c>
      <c r="I10197" s="20">
        <v>0.25323547253672701</v>
      </c>
      <c r="J10197" s="28">
        <v>0.80008625651646104</v>
      </c>
      <c r="K10197" s="29">
        <v>0.98289565623980701</v>
      </c>
    </row>
    <row r="10198" spans="1:11" x14ac:dyDescent="0.35">
      <c r="A10198" s="9" t="str">
        <f>HYPERLINK("http://www.ensembl.org/id/WBGene00201949", "WBGene00201949")</f>
        <v>WBGene00201949</v>
      </c>
      <c r="B10198" s="9"/>
      <c r="C10198" s="9"/>
      <c r="D10198" t="str">
        <f>"F45D3.16"</f>
        <v>F45D3.16</v>
      </c>
      <c r="F10198" t="s">
        <v>481</v>
      </c>
      <c r="H10198" s="12">
        <v>3.7495657430089002</v>
      </c>
      <c r="I10198" s="20">
        <v>0.41509078773660102</v>
      </c>
      <c r="J10198" s="28">
        <v>0.67807544303981004</v>
      </c>
      <c r="K10198" s="29">
        <v>0.98289565623980701</v>
      </c>
    </row>
    <row r="10199" spans="1:11" x14ac:dyDescent="0.35">
      <c r="A10199" s="9" t="str">
        <f>HYPERLINK("http://www.ensembl.org/id/WBGene00009722", "WBGene00009722")</f>
        <v>WBGene00009722</v>
      </c>
      <c r="B10199" s="9" t="str">
        <f>HYPERLINK("http://www.ncbi.nlm.nih.gov/gene/179716", "179716")</f>
        <v>179716</v>
      </c>
      <c r="C10199" s="9"/>
      <c r="D10199" t="str">
        <f>"F45D3.2"</f>
        <v>F45D3.2</v>
      </c>
      <c r="F10199" t="s">
        <v>11</v>
      </c>
      <c r="H10199" s="12">
        <v>1.0579810327577901</v>
      </c>
      <c r="I10199" s="20">
        <v>0.27464859346068099</v>
      </c>
      <c r="J10199" s="28">
        <v>0.78358622920066201</v>
      </c>
      <c r="K10199" s="29">
        <v>0.98289565623980701</v>
      </c>
    </row>
    <row r="10200" spans="1:11" x14ac:dyDescent="0.35">
      <c r="A10200" s="9" t="str">
        <f>HYPERLINK("http://www.ensembl.org/id/WBGene00009723", "WBGene00009723")</f>
        <v>WBGene00009723</v>
      </c>
      <c r="B10200" s="9" t="str">
        <f>HYPERLINK("http://www.ncbi.nlm.nih.gov/gene/179717", "179717")</f>
        <v>179717</v>
      </c>
      <c r="C10200" s="9"/>
      <c r="D10200" t="str">
        <f>"F45D3.3"</f>
        <v>F45D3.3</v>
      </c>
      <c r="F10200" t="s">
        <v>11</v>
      </c>
      <c r="H10200" s="12">
        <v>1.21252317612325</v>
      </c>
      <c r="I10200" s="20">
        <v>0.95698012062687199</v>
      </c>
      <c r="J10200" s="28">
        <v>0.33857728897633299</v>
      </c>
      <c r="K10200" s="29">
        <v>0.98289565623980701</v>
      </c>
    </row>
    <row r="10201" spans="1:11" x14ac:dyDescent="0.35">
      <c r="A10201" s="9" t="str">
        <f>HYPERLINK("http://www.ensembl.org/id/WBGene00018462", "WBGene00018462")</f>
        <v>WBGene00018462</v>
      </c>
      <c r="B10201" s="9" t="str">
        <f>HYPERLINK("http://www.ncbi.nlm.nih.gov/gene/185790", "185790")</f>
        <v>185790</v>
      </c>
      <c r="C10201" s="9"/>
      <c r="D10201" t="str">
        <f>"F45E1.1"</f>
        <v>F45E1.1</v>
      </c>
      <c r="F10201" t="s">
        <v>11</v>
      </c>
      <c r="H10201" s="12">
        <v>1.1769597244074399</v>
      </c>
      <c r="I10201" s="20">
        <v>0.75883531248041702</v>
      </c>
      <c r="J10201" s="28">
        <v>0.44795107884938101</v>
      </c>
      <c r="K10201" s="29">
        <v>0.98289565623980701</v>
      </c>
    </row>
    <row r="10202" spans="1:11" x14ac:dyDescent="0.35">
      <c r="A10202" s="9" t="str">
        <f>HYPERLINK("http://www.ensembl.org/id/WBGene00199098", "WBGene00199098")</f>
        <v>WBGene00199098</v>
      </c>
      <c r="B10202" s="9"/>
      <c r="C10202" s="9"/>
      <c r="D10202" t="str">
        <f>"F45E1.13"</f>
        <v>F45E1.13</v>
      </c>
      <c r="F10202" t="s">
        <v>481</v>
      </c>
      <c r="H10202" s="12">
        <v>-2.4295389261469</v>
      </c>
      <c r="I10202" s="20">
        <v>-0.25808529976640998</v>
      </c>
      <c r="J10202" s="28">
        <v>0.79634107645457397</v>
      </c>
      <c r="K10202" s="29">
        <v>0.98289565623980701</v>
      </c>
    </row>
    <row r="10203" spans="1:11" x14ac:dyDescent="0.35">
      <c r="A10203" s="9" t="str">
        <f>HYPERLINK("http://www.ensembl.org/id/WBGene00018463", "WBGene00018463")</f>
        <v>WBGene00018463</v>
      </c>
      <c r="B10203" s="9" t="str">
        <f>HYPERLINK("http://www.ncbi.nlm.nih.gov/gene/185791", "185791")</f>
        <v>185791</v>
      </c>
      <c r="C10203" s="9"/>
      <c r="D10203" t="str">
        <f>"F45E1.2"</f>
        <v>F45E1.2</v>
      </c>
      <c r="F10203" t="s">
        <v>11</v>
      </c>
      <c r="H10203" s="12">
        <v>-1.3289694865013599</v>
      </c>
      <c r="I10203" s="20">
        <v>-0.722219580184983</v>
      </c>
      <c r="J10203" s="28">
        <v>0.47015948696354398</v>
      </c>
      <c r="K10203" s="29">
        <v>0.98289565623980701</v>
      </c>
    </row>
    <row r="10204" spans="1:11" x14ac:dyDescent="0.35">
      <c r="A10204" s="9" t="str">
        <f>HYPERLINK("http://www.ensembl.org/id/WBGene00018465", "WBGene00018465")</f>
        <v>WBGene00018465</v>
      </c>
      <c r="B10204" s="9" t="str">
        <f>HYPERLINK("http://www.ncbi.nlm.nih.gov/gene/185793", "185793")</f>
        <v>185793</v>
      </c>
      <c r="C10204" s="9"/>
      <c r="D10204" t="str">
        <f>"F45E1.4"</f>
        <v>F45E1.4</v>
      </c>
      <c r="F10204" t="s">
        <v>11</v>
      </c>
      <c r="G10204" t="s">
        <v>4875</v>
      </c>
      <c r="H10204" s="12">
        <v>1.3213939019429699</v>
      </c>
      <c r="I10204" s="20">
        <v>1.18340888338729</v>
      </c>
      <c r="J10204" s="28">
        <v>0.23664713835331</v>
      </c>
      <c r="K10204" s="29">
        <v>0.98289565623980701</v>
      </c>
    </row>
    <row r="10205" spans="1:11" x14ac:dyDescent="0.35">
      <c r="A10205" s="9" t="str">
        <f>HYPERLINK("http://www.ensembl.org/id/WBGene00018466", "WBGene00018466")</f>
        <v>WBGene00018466</v>
      </c>
      <c r="B10205" s="9" t="str">
        <f>HYPERLINK("http://www.ncbi.nlm.nih.gov/gene/185794", "185794")</f>
        <v>185794</v>
      </c>
      <c r="C10205" s="9"/>
      <c r="D10205" t="str">
        <f>"F45E1.5"</f>
        <v>F45E1.5</v>
      </c>
      <c r="F10205" t="s">
        <v>11</v>
      </c>
      <c r="H10205" s="12">
        <v>1.3415910789152301</v>
      </c>
      <c r="I10205" s="20">
        <v>0.981628166991248</v>
      </c>
      <c r="J10205" s="28">
        <v>0.32628306572646698</v>
      </c>
      <c r="K10205" s="29">
        <v>0.98289565623980701</v>
      </c>
    </row>
    <row r="10206" spans="1:11" x14ac:dyDescent="0.35">
      <c r="A10206" s="9" t="str">
        <f>HYPERLINK("http://www.ensembl.org/id/WBGene00196460", "WBGene00196460")</f>
        <v>WBGene00196460</v>
      </c>
      <c r="B10206" s="9"/>
      <c r="C10206" s="9"/>
      <c r="D10206" t="str">
        <f>"F45E1.8"</f>
        <v>F45E1.8</v>
      </c>
      <c r="F10206" t="s">
        <v>481</v>
      </c>
      <c r="H10206" s="12">
        <v>-2.4991590031922399</v>
      </c>
      <c r="I10206" s="20">
        <v>-0.26577412737581302</v>
      </c>
      <c r="J10206" s="28">
        <v>0.79041317015736101</v>
      </c>
      <c r="K10206" s="29">
        <v>0.98289565623980701</v>
      </c>
    </row>
    <row r="10207" spans="1:11" x14ac:dyDescent="0.35">
      <c r="A10207" s="9" t="str">
        <f>HYPERLINK("http://www.ensembl.org/id/WBGene00018476", "WBGene00018476")</f>
        <v>WBGene00018476</v>
      </c>
      <c r="B10207" s="9" t="str">
        <f>HYPERLINK("http://www.ncbi.nlm.nih.gov/gene/185804", "185804")</f>
        <v>185804</v>
      </c>
      <c r="C10207" s="9"/>
      <c r="D10207" t="str">
        <f>"F45E12.6"</f>
        <v>F45E12.6</v>
      </c>
      <c r="F10207" t="s">
        <v>11</v>
      </c>
      <c r="H10207" s="12">
        <v>1.2734529874495699</v>
      </c>
      <c r="I10207" s="20">
        <v>0.36997154872206001</v>
      </c>
      <c r="J10207" s="28">
        <v>0.71140368946204402</v>
      </c>
      <c r="K10207" s="29">
        <v>0.98289565623980701</v>
      </c>
    </row>
    <row r="10208" spans="1:11" x14ac:dyDescent="0.35">
      <c r="A10208" s="9" t="str">
        <f>HYPERLINK("http://www.ensembl.org/id/WBGene00018471", "WBGene00018471")</f>
        <v>WBGene00018471</v>
      </c>
      <c r="B10208" s="9" t="str">
        <f>HYPERLINK("http://www.ncbi.nlm.nih.gov/gene/185797", "185797")</f>
        <v>185797</v>
      </c>
      <c r="C10208" s="9"/>
      <c r="D10208" t="str">
        <f>"F45E4.6"</f>
        <v>F45E4.6</v>
      </c>
      <c r="F10208" t="s">
        <v>11</v>
      </c>
      <c r="G10208" t="s">
        <v>25</v>
      </c>
      <c r="H10208" s="12">
        <v>1.41887101331774</v>
      </c>
      <c r="I10208" s="20">
        <v>0.51392076774247797</v>
      </c>
      <c r="J10208" s="28">
        <v>0.60730738706165299</v>
      </c>
      <c r="K10208" s="29">
        <v>0.98289565623980701</v>
      </c>
    </row>
    <row r="10209" spans="1:11" x14ac:dyDescent="0.35">
      <c r="A10209" s="9" t="str">
        <f>HYPERLINK("http://www.ensembl.org/id/WBGene00009725", "WBGene00009725")</f>
        <v>WBGene00009725</v>
      </c>
      <c r="B10209" s="9" t="str">
        <f>HYPERLINK("http://www.ncbi.nlm.nih.gov/gene/185799", "185799")</f>
        <v>185799</v>
      </c>
      <c r="C10209" s="9"/>
      <c r="D10209" t="str">
        <f>"F45E6.1"</f>
        <v>F45E6.1</v>
      </c>
      <c r="F10209" t="s">
        <v>11</v>
      </c>
      <c r="H10209" s="12">
        <v>1.8517727315941399</v>
      </c>
      <c r="I10209" s="20">
        <v>0.51088444663894905</v>
      </c>
      <c r="J10209" s="28">
        <v>0.60943197265277504</v>
      </c>
      <c r="K10209" s="29">
        <v>0.98289565623980701</v>
      </c>
    </row>
    <row r="10210" spans="1:11" x14ac:dyDescent="0.35">
      <c r="A10210" s="9" t="str">
        <f>HYPERLINK("http://www.ensembl.org/id/WBGene00199473", "WBGene00199473")</f>
        <v>WBGene00199473</v>
      </c>
      <c r="B10210" s="9"/>
      <c r="C10210" s="9"/>
      <c r="D10210" t="str">
        <f>"F45E6.7"</f>
        <v>F45E6.7</v>
      </c>
      <c r="F10210" t="s">
        <v>481</v>
      </c>
      <c r="H10210" s="12">
        <v>-2.4295389261469</v>
      </c>
      <c r="I10210" s="20">
        <v>-0.25808529976640998</v>
      </c>
      <c r="J10210" s="28">
        <v>0.79634107645457397</v>
      </c>
      <c r="K10210" s="29">
        <v>0.98289565623980701</v>
      </c>
    </row>
    <row r="10211" spans="1:11" x14ac:dyDescent="0.35">
      <c r="A10211" s="9" t="str">
        <f>HYPERLINK("http://www.ensembl.org/id/WBGene00009736", "WBGene00009736")</f>
        <v>WBGene00009736</v>
      </c>
      <c r="B10211" s="9" t="str">
        <f>HYPERLINK("http://www.ncbi.nlm.nih.gov/gene/185814", "185814")</f>
        <v>185814</v>
      </c>
      <c r="C10211" s="9" t="str">
        <f>HYPERLINK("http://www.ncbi.nlm.nih.gov/gene/51647", "51647")</f>
        <v>51647</v>
      </c>
      <c r="D10211" t="str">
        <f>"F45G2.10"</f>
        <v>F45G2.10</v>
      </c>
      <c r="E10211" t="s">
        <v>6682</v>
      </c>
      <c r="F10211" t="s">
        <v>11</v>
      </c>
      <c r="G10211" t="s">
        <v>6683</v>
      </c>
      <c r="H10211" s="12">
        <v>-1.08464219796446</v>
      </c>
      <c r="I10211" s="20">
        <v>-0.36669182446510701</v>
      </c>
      <c r="J10211" s="28">
        <v>0.71384890554169</v>
      </c>
      <c r="K10211" s="29">
        <v>0.98289565623980701</v>
      </c>
    </row>
    <row r="10212" spans="1:11" x14ac:dyDescent="0.35">
      <c r="A10212" s="9" t="str">
        <f>HYPERLINK("http://www.ensembl.org/id/WBGene00009733", "WBGene00009733")</f>
        <v>WBGene00009733</v>
      </c>
      <c r="B10212" s="9" t="str">
        <f>HYPERLINK("http://www.ncbi.nlm.nih.gov/gene/176768", "176768")</f>
        <v>176768</v>
      </c>
      <c r="C10212" s="9"/>
      <c r="D10212" t="str">
        <f>"F45G2.7"</f>
        <v>F45G2.7</v>
      </c>
      <c r="F10212" t="s">
        <v>11</v>
      </c>
      <c r="H10212" s="12">
        <v>-1.3169194217404501</v>
      </c>
      <c r="I10212" s="20">
        <v>-1.04563054380215</v>
      </c>
      <c r="J10212" s="28">
        <v>0.29573164167278199</v>
      </c>
      <c r="K10212" s="29">
        <v>0.98289565623980701</v>
      </c>
    </row>
    <row r="10213" spans="1:11" x14ac:dyDescent="0.35">
      <c r="A10213" s="9" t="str">
        <f>HYPERLINK("http://www.ensembl.org/id/WBGene00009734", "WBGene00009734")</f>
        <v>WBGene00009734</v>
      </c>
      <c r="B10213" s="9" t="str">
        <f>HYPERLINK("http://www.ncbi.nlm.nih.gov/gene/176769", "176769")</f>
        <v>176769</v>
      </c>
      <c r="C10213" s="9" t="str">
        <f>HYPERLINK("http://www.ncbi.nlm.nih.gov/gene/51025", "51025")</f>
        <v>51025</v>
      </c>
      <c r="D10213" t="str">
        <f>"F45G2.8"</f>
        <v>F45G2.8</v>
      </c>
      <c r="E10213" t="s">
        <v>9289</v>
      </c>
      <c r="F10213" t="s">
        <v>11</v>
      </c>
      <c r="G10213" t="s">
        <v>9290</v>
      </c>
      <c r="H10213" s="12">
        <v>-1.2346897667318699</v>
      </c>
      <c r="I10213" s="20">
        <v>-0.87857111506237795</v>
      </c>
      <c r="J10213" s="28">
        <v>0.37963386305582503</v>
      </c>
      <c r="K10213" s="29">
        <v>0.98289565623980701</v>
      </c>
    </row>
    <row r="10214" spans="1:11" x14ac:dyDescent="0.35">
      <c r="A10214" s="9" t="str">
        <f>HYPERLINK("http://www.ensembl.org/id/WBGene00009735", "WBGene00009735")</f>
        <v>WBGene00009735</v>
      </c>
      <c r="B10214" s="9" t="str">
        <f>HYPERLINK("http://www.ncbi.nlm.nih.gov/gene/185813", "185813")</f>
        <v>185813</v>
      </c>
      <c r="C10214" s="9" t="str">
        <f>HYPERLINK("http://www.ncbi.nlm.nih.gov/gene/29960", "29960")</f>
        <v>29960</v>
      </c>
      <c r="D10214" t="str">
        <f>"F45G2.9"</f>
        <v>F45G2.9</v>
      </c>
      <c r="E10214" t="s">
        <v>9157</v>
      </c>
      <c r="F10214" t="s">
        <v>11</v>
      </c>
      <c r="G10214" t="s">
        <v>9158</v>
      </c>
      <c r="H10214" s="12">
        <v>-1.2252181905917301</v>
      </c>
      <c r="I10214" s="20">
        <v>-0.545513176414539</v>
      </c>
      <c r="J10214" s="28">
        <v>0.58540062071375798</v>
      </c>
      <c r="K10214" s="29">
        <v>0.98289565623980701</v>
      </c>
    </row>
    <row r="10215" spans="1:11" x14ac:dyDescent="0.35">
      <c r="A10215" s="9" t="str">
        <f>HYPERLINK("http://www.ensembl.org/id/WBGene00009742", "WBGene00009742")</f>
        <v>WBGene00009742</v>
      </c>
      <c r="B10215" s="9" t="str">
        <f>HYPERLINK("http://www.ncbi.nlm.nih.gov/gene/259446", "259446")</f>
        <v>259446</v>
      </c>
      <c r="C10215" s="9"/>
      <c r="D10215" t="str">
        <f>"F45H10.5"</f>
        <v>F45H10.5</v>
      </c>
      <c r="F10215" t="s">
        <v>11</v>
      </c>
      <c r="G10215" t="s">
        <v>25</v>
      </c>
      <c r="H10215" s="12">
        <v>1.3451834166574701</v>
      </c>
      <c r="I10215" s="20">
        <v>0.52156205999121197</v>
      </c>
      <c r="J10215" s="28">
        <v>0.60197528516688004</v>
      </c>
      <c r="K10215" s="29">
        <v>0.98289565623980701</v>
      </c>
    </row>
    <row r="10216" spans="1:11" x14ac:dyDescent="0.35">
      <c r="A10216" s="9" t="str">
        <f>HYPERLINK("http://www.ensembl.org/id/WBGene00303028", "WBGene00303028")</f>
        <v>WBGene00303028</v>
      </c>
      <c r="B10216" s="9" t="str">
        <f>HYPERLINK("http://www.ncbi.nlm.nih.gov/gene/36805010", "36805010")</f>
        <v>36805010</v>
      </c>
      <c r="C10216" s="9"/>
      <c r="D10216" t="str">
        <f>"F45H11.11"</f>
        <v>F45H11.11</v>
      </c>
      <c r="F10216" t="s">
        <v>11</v>
      </c>
      <c r="H10216" s="12">
        <v>1.21587910437131</v>
      </c>
      <c r="I10216" s="20">
        <v>0.43437622915373703</v>
      </c>
      <c r="J10216" s="28">
        <v>0.66401525655229798</v>
      </c>
      <c r="K10216" s="29">
        <v>0.98289565623980701</v>
      </c>
    </row>
    <row r="10217" spans="1:11" x14ac:dyDescent="0.35">
      <c r="A10217" s="9" t="str">
        <f>HYPERLINK("http://www.ensembl.org/id/WBGene00189958", "WBGene00189958")</f>
        <v>WBGene00189958</v>
      </c>
      <c r="B10217" s="9" t="str">
        <f>HYPERLINK("http://www.ncbi.nlm.nih.gov/gene/13181810", "13181810")</f>
        <v>13181810</v>
      </c>
      <c r="C10217" s="9"/>
      <c r="D10217" t="str">
        <f>"F45H11.8"</f>
        <v>F45H11.8</v>
      </c>
      <c r="F10217" t="s">
        <v>11</v>
      </c>
      <c r="H10217" s="12">
        <v>-1.2624775915390201</v>
      </c>
      <c r="I10217" s="20">
        <v>-0.75345728380737398</v>
      </c>
      <c r="J10217" s="28">
        <v>0.451175171005189</v>
      </c>
      <c r="K10217" s="29">
        <v>0.98289565623980701</v>
      </c>
    </row>
    <row r="10218" spans="1:11" x14ac:dyDescent="0.35">
      <c r="A10218" s="9" t="str">
        <f>HYPERLINK("http://www.ensembl.org/id/WBGene00196864", "WBGene00196864")</f>
        <v>WBGene00196864</v>
      </c>
      <c r="B10218" s="9"/>
      <c r="C10218" s="9"/>
      <c r="D10218" t="str">
        <f>"F45H7.10"</f>
        <v>F45H7.10</v>
      </c>
      <c r="F10218" t="s">
        <v>481</v>
      </c>
      <c r="H10218" s="12">
        <v>2.3893468495514898</v>
      </c>
      <c r="I10218" s="20">
        <v>0.25323547253672701</v>
      </c>
      <c r="J10218" s="28">
        <v>0.80008625651646104</v>
      </c>
      <c r="K10218" s="29">
        <v>0.98289565623980701</v>
      </c>
    </row>
    <row r="10219" spans="1:11" x14ac:dyDescent="0.35">
      <c r="A10219" s="9" t="str">
        <f>HYPERLINK("http://www.ensembl.org/id/WBGene00199213", "WBGene00199213")</f>
        <v>WBGene00199213</v>
      </c>
      <c r="B10219" s="9"/>
      <c r="C10219" s="9"/>
      <c r="D10219" t="str">
        <f>"F45H7.11"</f>
        <v>F45H7.11</v>
      </c>
      <c r="F10219" t="s">
        <v>481</v>
      </c>
      <c r="H10219" s="12">
        <v>-3.8117711228402902</v>
      </c>
      <c r="I10219" s="20">
        <v>-0.42004545650932301</v>
      </c>
      <c r="J10219" s="28">
        <v>0.67445224688133198</v>
      </c>
      <c r="K10219" s="29">
        <v>0.98289565623980701</v>
      </c>
    </row>
    <row r="10220" spans="1:11" x14ac:dyDescent="0.35">
      <c r="A10220" s="9" t="str">
        <f>HYPERLINK("http://www.ensembl.org/id/WBGene00199993", "WBGene00199993")</f>
        <v>WBGene00199993</v>
      </c>
      <c r="B10220" s="9"/>
      <c r="C10220" s="9"/>
      <c r="D10220" t="str">
        <f>"F45H7.13"</f>
        <v>F45H7.13</v>
      </c>
      <c r="F10220" t="s">
        <v>481</v>
      </c>
      <c r="H10220" s="12">
        <v>2.7626118609501802</v>
      </c>
      <c r="I10220" s="20">
        <v>0.38293686937655103</v>
      </c>
      <c r="J10220" s="28">
        <v>0.70176657339128301</v>
      </c>
      <c r="K10220" s="29">
        <v>0.98289565623980701</v>
      </c>
    </row>
    <row r="10221" spans="1:11" x14ac:dyDescent="0.35">
      <c r="A10221" s="9" t="str">
        <f>HYPERLINK("http://www.ensembl.org/id/WBGene00201429", "WBGene00201429")</f>
        <v>WBGene00201429</v>
      </c>
      <c r="B10221" s="9"/>
      <c r="C10221" s="9"/>
      <c r="D10221" t="str">
        <f>"F45H7.14"</f>
        <v>F45H7.14</v>
      </c>
      <c r="F10221" t="s">
        <v>481</v>
      </c>
      <c r="H10221" s="12">
        <v>11.170998397396099</v>
      </c>
      <c r="I10221" s="20">
        <v>0.72284615686154896</v>
      </c>
      <c r="J10221" s="28">
        <v>0.46977440626377698</v>
      </c>
      <c r="K10221" s="29">
        <v>0.98289565623980701</v>
      </c>
    </row>
    <row r="10222" spans="1:11" x14ac:dyDescent="0.35">
      <c r="A10222" s="9" t="str">
        <f>HYPERLINK("http://www.ensembl.org/id/WBGene00196295", "WBGene00196295")</f>
        <v>WBGene00196295</v>
      </c>
      <c r="B10222" s="9"/>
      <c r="C10222" s="9"/>
      <c r="D10222" t="str">
        <f>"F45H7.9"</f>
        <v>F45H7.9</v>
      </c>
      <c r="F10222" t="s">
        <v>481</v>
      </c>
      <c r="H10222" s="12">
        <v>-2.4991590031922399</v>
      </c>
      <c r="I10222" s="20">
        <v>-0.26577412737581302</v>
      </c>
      <c r="J10222" s="28">
        <v>0.79041317015736101</v>
      </c>
      <c r="K10222" s="29">
        <v>0.98289565623980701</v>
      </c>
    </row>
    <row r="10223" spans="1:11" x14ac:dyDescent="0.35">
      <c r="A10223" s="9" t="str">
        <f>HYPERLINK("http://www.ensembl.org/id/WBGene00014759", "WBGene00014759")</f>
        <v>WBGene00014759</v>
      </c>
      <c r="B10223" s="9"/>
      <c r="C10223" s="9"/>
      <c r="D10223" t="str">
        <f>"F46A8.1"</f>
        <v>F46A8.1</v>
      </c>
      <c r="F10223" t="s">
        <v>80</v>
      </c>
      <c r="H10223" s="12">
        <v>-1.92689925647501</v>
      </c>
      <c r="I10223" s="20">
        <v>-0.96205420170850198</v>
      </c>
      <c r="J10223" s="28">
        <v>0.336022377918968</v>
      </c>
      <c r="K10223" s="29">
        <v>0.98289565623980701</v>
      </c>
    </row>
    <row r="10224" spans="1:11" x14ac:dyDescent="0.35">
      <c r="A10224" s="9" t="str">
        <f>HYPERLINK("http://www.ensembl.org/id/WBGene00199436", "WBGene00199436")</f>
        <v>WBGene00199436</v>
      </c>
      <c r="B10224" s="9"/>
      <c r="C10224" s="9"/>
      <c r="D10224" t="str">
        <f>"F46A8.12"</f>
        <v>F46A8.12</v>
      </c>
      <c r="F10224" t="s">
        <v>481</v>
      </c>
      <c r="H10224" s="12">
        <v>-1.5046007533994401</v>
      </c>
      <c r="I10224" s="20">
        <v>-0.25846045962690201</v>
      </c>
      <c r="J10224" s="28">
        <v>0.79605156107174102</v>
      </c>
      <c r="K10224" s="29">
        <v>0.98289565623980701</v>
      </c>
    </row>
    <row r="10225" spans="1:11" x14ac:dyDescent="0.35">
      <c r="A10225" s="9" t="str">
        <f>HYPERLINK("http://www.ensembl.org/id/WBGene00009747", "WBGene00009747")</f>
        <v>WBGene00009747</v>
      </c>
      <c r="B10225" s="9" t="str">
        <f>HYPERLINK("http://www.ncbi.nlm.nih.gov/gene/185820", "185820")</f>
        <v>185820</v>
      </c>
      <c r="C10225" s="9"/>
      <c r="D10225" t="str">
        <f>"F46A8.4"</f>
        <v>F46A8.4</v>
      </c>
      <c r="E10225" t="s">
        <v>2043</v>
      </c>
      <c r="F10225" t="s">
        <v>11</v>
      </c>
      <c r="G10225" t="s">
        <v>47</v>
      </c>
      <c r="H10225" s="12">
        <v>11.170998397396099</v>
      </c>
      <c r="I10225" s="20">
        <v>0.72284615686154896</v>
      </c>
      <c r="J10225" s="28">
        <v>0.46977440626377698</v>
      </c>
      <c r="K10225" s="29">
        <v>0.98289565623980701</v>
      </c>
    </row>
    <row r="10226" spans="1:11" x14ac:dyDescent="0.35">
      <c r="A10226" s="9" t="str">
        <f>HYPERLINK("http://www.ensembl.org/id/WBGene00009751", "WBGene00009751")</f>
        <v>WBGene00009751</v>
      </c>
      <c r="B10226" s="9" t="str">
        <f>HYPERLINK("http://www.ncbi.nlm.nih.gov/gene/185824", "185824")</f>
        <v>185824</v>
      </c>
      <c r="C10226" s="9"/>
      <c r="D10226" t="str">
        <f>"F46A8.8"</f>
        <v>F46A8.8</v>
      </c>
      <c r="E10226" t="s">
        <v>2043</v>
      </c>
      <c r="F10226" t="s">
        <v>11</v>
      </c>
      <c r="G10226" t="s">
        <v>47</v>
      </c>
      <c r="H10226" s="12">
        <v>-1.2058538881996701</v>
      </c>
      <c r="I10226" s="20">
        <v>-0.39928946298572299</v>
      </c>
      <c r="J10226" s="28">
        <v>0.68967993024459495</v>
      </c>
      <c r="K10226" s="29">
        <v>0.98289565623980701</v>
      </c>
    </row>
    <row r="10227" spans="1:11" x14ac:dyDescent="0.35">
      <c r="A10227" s="9" t="str">
        <f>HYPERLINK("http://www.ensembl.org/id/WBGene00009755", "WBGene00009755")</f>
        <v>WBGene00009755</v>
      </c>
      <c r="B10227" s="9" t="str">
        <f>HYPERLINK("http://www.ncbi.nlm.nih.gov/gene/185827", "185827")</f>
        <v>185827</v>
      </c>
      <c r="C10227" s="9"/>
      <c r="D10227" t="str">
        <f>"F46A9.2"</f>
        <v>F46A9.2</v>
      </c>
      <c r="F10227" t="s">
        <v>11</v>
      </c>
      <c r="H10227" s="12">
        <v>2.06521255213059</v>
      </c>
      <c r="I10227" s="20">
        <v>0.30872355668081503</v>
      </c>
      <c r="J10227" s="28">
        <v>0.757531822944987</v>
      </c>
      <c r="K10227" s="29">
        <v>0.98289565623980701</v>
      </c>
    </row>
    <row r="10228" spans="1:11" x14ac:dyDescent="0.35">
      <c r="A10228" s="9" t="str">
        <f>HYPERLINK("http://www.ensembl.org/id/WBGene00199781", "WBGene00199781")</f>
        <v>WBGene00199781</v>
      </c>
      <c r="B10228" s="9"/>
      <c r="C10228" s="9"/>
      <c r="D10228" t="str">
        <f>"F46A9.9"</f>
        <v>F46A9.9</v>
      </c>
      <c r="F10228" t="s">
        <v>481</v>
      </c>
      <c r="H10228" s="12">
        <v>-4.5114499031905204</v>
      </c>
      <c r="I10228" s="20">
        <v>-0.44198655555625299</v>
      </c>
      <c r="J10228" s="28">
        <v>0.65849893477547905</v>
      </c>
      <c r="K10228" s="29">
        <v>0.98289565623980701</v>
      </c>
    </row>
    <row r="10229" spans="1:11" x14ac:dyDescent="0.35">
      <c r="A10229" s="9" t="str">
        <f>HYPERLINK("http://www.ensembl.org/id/WBGene00009756", "WBGene00009756")</f>
        <v>WBGene00009756</v>
      </c>
      <c r="B10229" s="9" t="str">
        <f>HYPERLINK("http://www.ncbi.nlm.nih.gov/gene/185829", "185829")</f>
        <v>185829</v>
      </c>
      <c r="C10229" s="9"/>
      <c r="D10229" t="str">
        <f>"F46B3.1"</f>
        <v>F46B3.1</v>
      </c>
      <c r="F10229" t="s">
        <v>11</v>
      </c>
      <c r="H10229" s="12">
        <v>4.4368407117627902</v>
      </c>
      <c r="I10229" s="20">
        <v>0.43709475933309699</v>
      </c>
      <c r="J10229" s="28">
        <v>0.66204262779770495</v>
      </c>
      <c r="K10229" s="29">
        <v>0.98289565623980701</v>
      </c>
    </row>
    <row r="10230" spans="1:11" x14ac:dyDescent="0.35">
      <c r="A10230" s="9" t="str">
        <f>HYPERLINK("http://www.ensembl.org/id/WBGene00009765", "WBGene00009765")</f>
        <v>WBGene00009765</v>
      </c>
      <c r="B10230" s="9" t="str">
        <f>HYPERLINK("http://www.ncbi.nlm.nih.gov/gene/185836", "185836")</f>
        <v>185836</v>
      </c>
      <c r="C10230" s="9"/>
      <c r="D10230" t="str">
        <f>"F46B3.14"</f>
        <v>F46B3.14</v>
      </c>
      <c r="F10230" t="s">
        <v>11</v>
      </c>
      <c r="H10230" s="12">
        <v>-3.9653278589083998</v>
      </c>
      <c r="I10230" s="20">
        <v>-0.61774180058706296</v>
      </c>
      <c r="J10230" s="28">
        <v>0.53674555298327897</v>
      </c>
      <c r="K10230" s="29">
        <v>0.98289565623980701</v>
      </c>
    </row>
    <row r="10231" spans="1:11" x14ac:dyDescent="0.35">
      <c r="A10231" s="9" t="str">
        <f>HYPERLINK("http://www.ensembl.org/id/WBGene00009767", "WBGene00009767")</f>
        <v>WBGene00009767</v>
      </c>
      <c r="B10231" s="9" t="str">
        <f>HYPERLINK("http://www.ncbi.nlm.nih.gov/gene/185838", "185838")</f>
        <v>185838</v>
      </c>
      <c r="C10231" s="9"/>
      <c r="D10231" t="str">
        <f>"F46B3.16"</f>
        <v>F46B3.16</v>
      </c>
      <c r="F10231" t="s">
        <v>11</v>
      </c>
      <c r="H10231" s="12">
        <v>2.4578120077400301</v>
      </c>
      <c r="I10231" s="20">
        <v>0.26093350314551</v>
      </c>
      <c r="J10231" s="28">
        <v>0.79414378780213601</v>
      </c>
      <c r="K10231" s="29">
        <v>0.98289565623980701</v>
      </c>
    </row>
    <row r="10232" spans="1:11" x14ac:dyDescent="0.35">
      <c r="A10232" s="9" t="str">
        <f>HYPERLINK("http://www.ensembl.org/id/WBGene00009757", "WBGene00009757")</f>
        <v>WBGene00009757</v>
      </c>
      <c r="B10232" s="9"/>
      <c r="C10232" s="9"/>
      <c r="D10232" t="str">
        <f>"F46B3.2"</f>
        <v>F46B3.2</v>
      </c>
      <c r="F10232" t="s">
        <v>80</v>
      </c>
      <c r="H10232" s="12">
        <v>3.0783160134960301</v>
      </c>
      <c r="I10232" s="20">
        <v>0.499046807004834</v>
      </c>
      <c r="J10232" s="28">
        <v>0.61774640972154804</v>
      </c>
      <c r="K10232" s="29">
        <v>0.98289565623980701</v>
      </c>
    </row>
    <row r="10233" spans="1:11" x14ac:dyDescent="0.35">
      <c r="A10233" s="9" t="str">
        <f>HYPERLINK("http://www.ensembl.org/id/WBGene00195243", "WBGene00195243")</f>
        <v>WBGene00195243</v>
      </c>
      <c r="B10233" s="9" t="str">
        <f>HYPERLINK("http://www.ncbi.nlm.nih.gov/gene/13218874", "13218874")</f>
        <v>13218874</v>
      </c>
      <c r="C10233" s="9"/>
      <c r="D10233" t="str">
        <f>"F46B3.23"</f>
        <v>F46B3.23</v>
      </c>
      <c r="F10233" t="s">
        <v>11</v>
      </c>
      <c r="G10233" t="s">
        <v>25</v>
      </c>
      <c r="H10233" s="12">
        <v>3.6645215954135</v>
      </c>
      <c r="I10233" s="20">
        <v>0.37967131826092498</v>
      </c>
      <c r="J10233" s="28">
        <v>0.70418941338960395</v>
      </c>
      <c r="K10233" s="29">
        <v>0.98289565623980701</v>
      </c>
    </row>
    <row r="10234" spans="1:11" x14ac:dyDescent="0.35">
      <c r="A10234" s="9" t="str">
        <f>HYPERLINK("http://www.ensembl.org/id/WBGene00009762", "WBGene00009762")</f>
        <v>WBGene00009762</v>
      </c>
      <c r="B10234" s="9" t="str">
        <f>HYPERLINK("http://www.ncbi.nlm.nih.gov/gene/191755", "191755")</f>
        <v>191755</v>
      </c>
      <c r="C10234" s="9"/>
      <c r="D10234" t="str">
        <f>"F46B3.9"</f>
        <v>F46B3.9</v>
      </c>
      <c r="F10234" t="s">
        <v>11</v>
      </c>
      <c r="H10234" s="12">
        <v>-6.0496137383913799</v>
      </c>
      <c r="I10234" s="20">
        <v>-0.52919567380265498</v>
      </c>
      <c r="J10234" s="28">
        <v>0.59666971747150499</v>
      </c>
      <c r="K10234" s="29">
        <v>0.98289565623980701</v>
      </c>
    </row>
    <row r="10235" spans="1:11" x14ac:dyDescent="0.35">
      <c r="A10235" s="9" t="str">
        <f>HYPERLINK("http://www.ensembl.org/id/WBGene00044192", "WBGene00044192")</f>
        <v>WBGene00044192</v>
      </c>
      <c r="B10235" s="9" t="str">
        <f>HYPERLINK("http://www.ncbi.nlm.nih.gov/gene/3565826", "3565826")</f>
        <v>3565826</v>
      </c>
      <c r="C10235" s="9"/>
      <c r="D10235" t="str">
        <f>"F46B6.13"</f>
        <v>F46B6.13</v>
      </c>
      <c r="F10235" t="s">
        <v>11</v>
      </c>
      <c r="H10235" s="12">
        <v>-2.4991590031922399</v>
      </c>
      <c r="I10235" s="20">
        <v>-0.26577412737581302</v>
      </c>
      <c r="J10235" s="28">
        <v>0.79041317015736101</v>
      </c>
      <c r="K10235" s="29">
        <v>0.98289565623980701</v>
      </c>
    </row>
    <row r="10236" spans="1:11" x14ac:dyDescent="0.35">
      <c r="A10236" s="9" t="str">
        <f>HYPERLINK("http://www.ensembl.org/id/WBGene00201273", "WBGene00201273")</f>
        <v>WBGene00201273</v>
      </c>
      <c r="B10236" s="9"/>
      <c r="C10236" s="9"/>
      <c r="D10236" t="str">
        <f>"F46B6.15"</f>
        <v>F46B6.15</v>
      </c>
      <c r="F10236" t="s">
        <v>481</v>
      </c>
      <c r="H10236" s="12">
        <v>-1.9599495047788</v>
      </c>
      <c r="I10236" s="20">
        <v>-0.37693236416618298</v>
      </c>
      <c r="J10236" s="28">
        <v>0.70622386920033497</v>
      </c>
      <c r="K10236" s="29">
        <v>0.98289565623980701</v>
      </c>
    </row>
    <row r="10237" spans="1:11" x14ac:dyDescent="0.35">
      <c r="A10237" s="9" t="str">
        <f>HYPERLINK("http://www.ensembl.org/id/WBGene00009769", "WBGene00009769")</f>
        <v>WBGene00009769</v>
      </c>
      <c r="B10237" s="9" t="str">
        <f>HYPERLINK("http://www.ncbi.nlm.nih.gov/gene/179372", "179372")</f>
        <v>179372</v>
      </c>
      <c r="C10237" s="9" t="str">
        <f>HYPERLINK("http://www.ncbi.nlm.nih.gov/gene/8225", "8225")</f>
        <v>8225</v>
      </c>
      <c r="D10237" t="str">
        <f>"F46B6.4"</f>
        <v>F46B6.4</v>
      </c>
      <c r="F10237" t="s">
        <v>11</v>
      </c>
      <c r="G10237" t="s">
        <v>7414</v>
      </c>
      <c r="H10237" s="12">
        <v>-1.1242180537130599</v>
      </c>
      <c r="I10237" s="20">
        <v>-0.52982753390790505</v>
      </c>
      <c r="J10237" s="28">
        <v>0.59623151310871703</v>
      </c>
      <c r="K10237" s="29">
        <v>0.98289565623980701</v>
      </c>
    </row>
    <row r="10238" spans="1:11" x14ac:dyDescent="0.35">
      <c r="A10238" s="9" t="str">
        <f>HYPERLINK("http://www.ensembl.org/id/WBGene00044703", "WBGene00044703")</f>
        <v>WBGene00044703</v>
      </c>
      <c r="B10238" s="9"/>
      <c r="C10238" s="9"/>
      <c r="D10238" t="str">
        <f>"F46C3.5"</f>
        <v>F46C3.5</v>
      </c>
      <c r="F10238" t="s">
        <v>80</v>
      </c>
      <c r="H10238" s="12">
        <v>-13.631801325966601</v>
      </c>
      <c r="I10238" s="20">
        <v>-0.81817789633815496</v>
      </c>
      <c r="J10238" s="28">
        <v>0.41325561456537002</v>
      </c>
      <c r="K10238" s="29">
        <v>0.98289565623980701</v>
      </c>
    </row>
    <row r="10239" spans="1:11" x14ac:dyDescent="0.35">
      <c r="A10239" s="9" t="str">
        <f>HYPERLINK("http://www.ensembl.org/id/WBGene00164974", "WBGene00164974")</f>
        <v>WBGene00164974</v>
      </c>
      <c r="B10239" s="9" t="str">
        <f>HYPERLINK("http://www.ncbi.nlm.nih.gov/gene/13222833", "13222833")</f>
        <v>13222833</v>
      </c>
      <c r="C10239" s="9"/>
      <c r="D10239" t="str">
        <f>"F46C3.7"</f>
        <v>F46C3.7</v>
      </c>
      <c r="F10239" t="s">
        <v>11</v>
      </c>
      <c r="H10239" s="12">
        <v>1.98352070799126</v>
      </c>
      <c r="I10239" s="20">
        <v>0.27728010385534702</v>
      </c>
      <c r="J10239" s="28">
        <v>0.78156503566568503</v>
      </c>
      <c r="K10239" s="29">
        <v>0.98289565623980701</v>
      </c>
    </row>
    <row r="10240" spans="1:11" x14ac:dyDescent="0.35">
      <c r="A10240" s="9" t="str">
        <f>HYPERLINK("http://www.ensembl.org/id/WBGene00199161", "WBGene00199161")</f>
        <v>WBGene00199161</v>
      </c>
      <c r="B10240" s="9"/>
      <c r="C10240" s="9"/>
      <c r="D10240" t="str">
        <f>"F46C5.12"</f>
        <v>F46C5.12</v>
      </c>
      <c r="F10240" t="s">
        <v>481</v>
      </c>
      <c r="H10240" s="12">
        <v>2.3893468495514898</v>
      </c>
      <c r="I10240" s="20">
        <v>0.25323547253672701</v>
      </c>
      <c r="J10240" s="28">
        <v>0.80008625651646104</v>
      </c>
      <c r="K10240" s="29">
        <v>0.98289565623980701</v>
      </c>
    </row>
    <row r="10241" spans="1:11" x14ac:dyDescent="0.35">
      <c r="A10241" s="9" t="str">
        <f>HYPERLINK("http://www.ensembl.org/id/WBGene00009779", "WBGene00009779")</f>
        <v>WBGene00009779</v>
      </c>
      <c r="B10241" s="9" t="str">
        <f>HYPERLINK("http://www.ncbi.nlm.nih.gov/gene/185844", "185844")</f>
        <v>185844</v>
      </c>
      <c r="C10241" s="9"/>
      <c r="D10241" t="str">
        <f>"F46C5.2"</f>
        <v>F46C5.2</v>
      </c>
      <c r="F10241" t="s">
        <v>11</v>
      </c>
      <c r="G10241" t="s">
        <v>25</v>
      </c>
      <c r="H10241" s="12">
        <v>1.26350179471778</v>
      </c>
      <c r="I10241" s="20">
        <v>0.72574094577669002</v>
      </c>
      <c r="J10241" s="28">
        <v>0.46799759541052099</v>
      </c>
      <c r="K10241" s="29">
        <v>0.98289565623980701</v>
      </c>
    </row>
    <row r="10242" spans="1:11" x14ac:dyDescent="0.35">
      <c r="A10242" s="9" t="str">
        <f>HYPERLINK("http://www.ensembl.org/id/WBGene00009781", "WBGene00009781")</f>
        <v>WBGene00009781</v>
      </c>
      <c r="B10242" s="9" t="str">
        <f>HYPERLINK("http://www.ncbi.nlm.nih.gov/gene/174413", "174413")</f>
        <v>174413</v>
      </c>
      <c r="C10242" s="9" t="str">
        <f>HYPERLINK("http://www.ncbi.nlm.nih.gov/gene/57718", "57718")</f>
        <v>57718</v>
      </c>
      <c r="D10242" t="str">
        <f>"F46C5.6"</f>
        <v>F46C5.6</v>
      </c>
      <c r="F10242" t="s">
        <v>11</v>
      </c>
      <c r="G10242" t="s">
        <v>5525</v>
      </c>
      <c r="H10242" s="12">
        <v>1.15066974525123</v>
      </c>
      <c r="I10242" s="20">
        <v>0.57518879632735798</v>
      </c>
      <c r="J10242" s="28">
        <v>0.565163619097245</v>
      </c>
      <c r="K10242" s="29">
        <v>0.98289565623980701</v>
      </c>
    </row>
    <row r="10243" spans="1:11" x14ac:dyDescent="0.35">
      <c r="A10243" s="9" t="str">
        <f>HYPERLINK("http://www.ensembl.org/id/WBGene00009782", "WBGene00009782")</f>
        <v>WBGene00009782</v>
      </c>
      <c r="B10243" s="9" t="str">
        <f>HYPERLINK("http://www.ncbi.nlm.nih.gov/gene/185846", "185846")</f>
        <v>185846</v>
      </c>
      <c r="C10243" s="9"/>
      <c r="D10243" t="str">
        <f>"F46C5.7"</f>
        <v>F46C5.7</v>
      </c>
      <c r="F10243" t="s">
        <v>11</v>
      </c>
      <c r="G10243" t="s">
        <v>25</v>
      </c>
      <c r="H10243" s="12">
        <v>1.6944279999098799</v>
      </c>
      <c r="I10243" s="20">
        <v>0.60992082985988705</v>
      </c>
      <c r="J10243" s="28">
        <v>0.541914253457628</v>
      </c>
      <c r="K10243" s="29">
        <v>0.98289565623980701</v>
      </c>
    </row>
    <row r="10244" spans="1:11" x14ac:dyDescent="0.35">
      <c r="A10244" s="9" t="str">
        <f>HYPERLINK("http://www.ensembl.org/id/WBGene00018484", "WBGene00018484")</f>
        <v>WBGene00018484</v>
      </c>
      <c r="B10244" s="9" t="str">
        <f>HYPERLINK("http://www.ncbi.nlm.nih.gov/gene/185847", "185847")</f>
        <v>185847</v>
      </c>
      <c r="C10244" s="9"/>
      <c r="D10244" t="str">
        <f>"F46C8.1"</f>
        <v>F46C8.1</v>
      </c>
      <c r="F10244" t="s">
        <v>11</v>
      </c>
      <c r="G10244" t="s">
        <v>25</v>
      </c>
      <c r="H10244" s="12">
        <v>1.7508707603771401</v>
      </c>
      <c r="I10244" s="20">
        <v>0.74453022305110195</v>
      </c>
      <c r="J10244" s="28">
        <v>0.45655576387179198</v>
      </c>
      <c r="K10244" s="29">
        <v>0.98289565623980701</v>
      </c>
    </row>
    <row r="10245" spans="1:11" x14ac:dyDescent="0.35">
      <c r="A10245" s="9" t="str">
        <f>HYPERLINK("http://www.ensembl.org/id/WBGene00197671", "WBGene00197671")</f>
        <v>WBGene00197671</v>
      </c>
      <c r="B10245" s="9"/>
      <c r="C10245" s="9"/>
      <c r="D10245" t="str">
        <f>"F46C8.12"</f>
        <v>F46C8.12</v>
      </c>
      <c r="F10245" t="s">
        <v>481</v>
      </c>
      <c r="H10245" s="12">
        <v>2.3893468495514898</v>
      </c>
      <c r="I10245" s="20">
        <v>0.25323547253672701</v>
      </c>
      <c r="J10245" s="28">
        <v>0.80008625651646104</v>
      </c>
      <c r="K10245" s="29">
        <v>0.98289565623980701</v>
      </c>
    </row>
    <row r="10246" spans="1:11" x14ac:dyDescent="0.35">
      <c r="A10246" s="9" t="str">
        <f>HYPERLINK("http://www.ensembl.org/id/WBGene00198810", "WBGene00198810")</f>
        <v>WBGene00198810</v>
      </c>
      <c r="B10246" s="9"/>
      <c r="C10246" s="9"/>
      <c r="D10246" t="str">
        <f>"F46C8.16"</f>
        <v>F46C8.16</v>
      </c>
      <c r="F10246" t="s">
        <v>481</v>
      </c>
      <c r="H10246" s="12">
        <v>2.3893468495514898</v>
      </c>
      <c r="I10246" s="20">
        <v>0.25323547253672701</v>
      </c>
      <c r="J10246" s="28">
        <v>0.80008625651646104</v>
      </c>
      <c r="K10246" s="29">
        <v>0.98289565623980701</v>
      </c>
    </row>
    <row r="10247" spans="1:11" x14ac:dyDescent="0.35">
      <c r="A10247" s="9" t="str">
        <f>HYPERLINK("http://www.ensembl.org/id/WBGene00198910", "WBGene00198910")</f>
        <v>WBGene00198910</v>
      </c>
      <c r="B10247" s="9"/>
      <c r="C10247" s="9"/>
      <c r="D10247" t="str">
        <f>"F46C8.17"</f>
        <v>F46C8.17</v>
      </c>
      <c r="F10247" t="s">
        <v>481</v>
      </c>
      <c r="H10247" s="12">
        <v>2.4578120077400301</v>
      </c>
      <c r="I10247" s="20">
        <v>0.26093350314551</v>
      </c>
      <c r="J10247" s="28">
        <v>0.79414378780213601</v>
      </c>
      <c r="K10247" s="29">
        <v>0.98289565623980701</v>
      </c>
    </row>
    <row r="10248" spans="1:11" x14ac:dyDescent="0.35">
      <c r="A10248" s="9" t="str">
        <f>HYPERLINK("http://www.ensembl.org/id/WBGene00200498", "WBGene00200498")</f>
        <v>WBGene00200498</v>
      </c>
      <c r="B10248" s="9"/>
      <c r="C10248" s="9"/>
      <c r="D10248" t="str">
        <f>"F46C8.19"</f>
        <v>F46C8.19</v>
      </c>
      <c r="F10248" t="s">
        <v>481</v>
      </c>
      <c r="H10248" s="12">
        <v>-6.3507302933957197</v>
      </c>
      <c r="I10248" s="20">
        <v>-0.54348709410156204</v>
      </c>
      <c r="J10248" s="28">
        <v>0.58679447442024202</v>
      </c>
      <c r="K10248" s="29">
        <v>0.98289565623980701</v>
      </c>
    </row>
    <row r="10249" spans="1:11" x14ac:dyDescent="0.35">
      <c r="A10249" s="9" t="str">
        <f>HYPERLINK("http://www.ensembl.org/id/WBGene00018485", "WBGene00018485")</f>
        <v>WBGene00018485</v>
      </c>
      <c r="B10249" s="9" t="str">
        <f>HYPERLINK("http://www.ncbi.nlm.nih.gov/gene/181011", "181011")</f>
        <v>181011</v>
      </c>
      <c r="C10249" s="9"/>
      <c r="D10249" t="str">
        <f>"F46C8.3"</f>
        <v>F46C8.3</v>
      </c>
      <c r="F10249" t="s">
        <v>11</v>
      </c>
      <c r="G10249" t="s">
        <v>25</v>
      </c>
      <c r="H10249" s="12">
        <v>1.1629084919863499</v>
      </c>
      <c r="I10249" s="20">
        <v>0.66380214637132295</v>
      </c>
      <c r="J10249" s="28">
        <v>0.50681695177264596</v>
      </c>
      <c r="K10249" s="29">
        <v>0.98289565623980701</v>
      </c>
    </row>
    <row r="10250" spans="1:11" x14ac:dyDescent="0.35">
      <c r="A10250" s="9" t="str">
        <f>HYPERLINK("http://www.ensembl.org/id/WBGene00018490", "WBGene00018490")</f>
        <v>WBGene00018490</v>
      </c>
      <c r="B10250" s="9" t="str">
        <f>HYPERLINK("http://www.ncbi.nlm.nih.gov/gene/185849", "185849")</f>
        <v>185849</v>
      </c>
      <c r="C10250" s="9"/>
      <c r="D10250" t="str">
        <f>"F46E10.3"</f>
        <v>F46E10.3</v>
      </c>
      <c r="F10250" t="s">
        <v>11</v>
      </c>
      <c r="G10250" t="s">
        <v>54</v>
      </c>
      <c r="H10250" s="12">
        <v>2.9462435698415499</v>
      </c>
      <c r="I10250" s="20">
        <v>0.64134891562543195</v>
      </c>
      <c r="J10250" s="28">
        <v>0.52129601495183697</v>
      </c>
      <c r="K10250" s="29">
        <v>0.98289565623980701</v>
      </c>
    </row>
    <row r="10251" spans="1:11" x14ac:dyDescent="0.35">
      <c r="A10251" s="9" t="str">
        <f>HYPERLINK("http://www.ensembl.org/id/WBGene00018513", "WBGene00018513")</f>
        <v>WBGene00018513</v>
      </c>
      <c r="B10251" s="9" t="str">
        <f>HYPERLINK("http://www.ncbi.nlm.nih.gov/gene/259376", "259376")</f>
        <v>259376</v>
      </c>
      <c r="C10251" s="9" t="str">
        <f>HYPERLINK("http://www.ncbi.nlm.nih.gov/gene/54931", "54931")</f>
        <v>54931</v>
      </c>
      <c r="D10251" t="str">
        <f>"F46F11.10"</f>
        <v>F46F11.10</v>
      </c>
      <c r="F10251" t="s">
        <v>11</v>
      </c>
      <c r="G10251" t="s">
        <v>7066</v>
      </c>
      <c r="H10251" s="12">
        <v>-1.3315088913836199</v>
      </c>
      <c r="I10251" s="20">
        <v>-0.80386551898950598</v>
      </c>
      <c r="J10251" s="28">
        <v>0.42147464567979798</v>
      </c>
      <c r="K10251" s="29">
        <v>0.98289565623980701</v>
      </c>
    </row>
    <row r="10252" spans="1:11" x14ac:dyDescent="0.35">
      <c r="A10252" s="9" t="str">
        <f>HYPERLINK("http://www.ensembl.org/id/WBGene00018510", "WBGene00018510")</f>
        <v>WBGene00018510</v>
      </c>
      <c r="B10252" s="9" t="str">
        <f>HYPERLINK("http://www.ncbi.nlm.nih.gov/gene/185873", "185873")</f>
        <v>185873</v>
      </c>
      <c r="C10252" s="9"/>
      <c r="D10252" t="str">
        <f>"F46F11.7"</f>
        <v>F46F11.7</v>
      </c>
      <c r="F10252" t="s">
        <v>11</v>
      </c>
      <c r="H10252" s="12">
        <v>-1.17529861881066</v>
      </c>
      <c r="I10252" s="20">
        <v>-0.42647537714155598</v>
      </c>
      <c r="J10252" s="28">
        <v>0.66976148631063903</v>
      </c>
      <c r="K10252" s="29">
        <v>0.98289565623980701</v>
      </c>
    </row>
    <row r="10253" spans="1:11" x14ac:dyDescent="0.35">
      <c r="A10253" s="9" t="str">
        <f>HYPERLINK("http://www.ensembl.org/id/WBGene00009786", "WBGene00009786")</f>
        <v>WBGene00009786</v>
      </c>
      <c r="B10253" s="9"/>
      <c r="C10253" s="9"/>
      <c r="D10253" t="str">
        <f>"F46F2.1"</f>
        <v>F46F2.1</v>
      </c>
      <c r="F10253" t="s">
        <v>80</v>
      </c>
      <c r="H10253" s="12">
        <v>2.8539989126780698</v>
      </c>
      <c r="I10253" s="20">
        <v>0.80406123982891997</v>
      </c>
      <c r="J10253" s="28">
        <v>0.42136160819988799</v>
      </c>
      <c r="K10253" s="29">
        <v>0.98289565623980701</v>
      </c>
    </row>
    <row r="10254" spans="1:11" x14ac:dyDescent="0.35">
      <c r="A10254" s="9" t="str">
        <f>HYPERLINK("http://www.ensembl.org/id/WBGene00009788", "WBGene00009788")</f>
        <v>WBGene00009788</v>
      </c>
      <c r="B10254" s="9" t="str">
        <f>HYPERLINK("http://www.ncbi.nlm.nih.gov/gene/185851", "185851")</f>
        <v>185851</v>
      </c>
      <c r="C10254" s="9"/>
      <c r="D10254" t="str">
        <f>"F46F2.4"</f>
        <v>F46F2.4</v>
      </c>
      <c r="F10254" t="s">
        <v>11</v>
      </c>
      <c r="G10254" t="s">
        <v>1755</v>
      </c>
      <c r="H10254" s="12">
        <v>-3.8641054554098102</v>
      </c>
      <c r="I10254" s="20">
        <v>-1.00640253560738</v>
      </c>
      <c r="J10254" s="28">
        <v>0.314221974411658</v>
      </c>
      <c r="K10254" s="29">
        <v>0.98289565623980701</v>
      </c>
    </row>
    <row r="10255" spans="1:11" x14ac:dyDescent="0.35">
      <c r="A10255" s="9" t="str">
        <f>HYPERLINK("http://www.ensembl.org/id/WBGene00009789", "WBGene00009789")</f>
        <v>WBGene00009789</v>
      </c>
      <c r="B10255" s="9" t="str">
        <f>HYPERLINK("http://www.ncbi.nlm.nih.gov/gene/3565739", "3565739")</f>
        <v>3565739</v>
      </c>
      <c r="C10255" s="9"/>
      <c r="D10255" t="str">
        <f>"F46F2.5"</f>
        <v>F46F2.5</v>
      </c>
      <c r="F10255" t="s">
        <v>11</v>
      </c>
      <c r="H10255" s="12">
        <v>1.6709387147347401</v>
      </c>
      <c r="I10255" s="20">
        <v>0.98388939626864103</v>
      </c>
      <c r="J10255" s="28">
        <v>0.32516989792928902</v>
      </c>
      <c r="K10255" s="29">
        <v>0.98289565623980701</v>
      </c>
    </row>
    <row r="10256" spans="1:11" x14ac:dyDescent="0.35">
      <c r="A10256" s="9" t="str">
        <f>HYPERLINK("http://www.ensembl.org/id/WBGene00198529", "WBGene00198529")</f>
        <v>WBGene00198529</v>
      </c>
      <c r="B10256" s="9"/>
      <c r="C10256" s="9"/>
      <c r="D10256" t="str">
        <f>"F46F3.10"</f>
        <v>F46F3.10</v>
      </c>
      <c r="F10256" t="s">
        <v>481</v>
      </c>
      <c r="H10256" s="12">
        <v>2.3893468495514898</v>
      </c>
      <c r="I10256" s="20">
        <v>0.25323547253672701</v>
      </c>
      <c r="J10256" s="28">
        <v>0.80008625651646104</v>
      </c>
      <c r="K10256" s="29">
        <v>0.98289565623980701</v>
      </c>
    </row>
    <row r="10257" spans="1:11" x14ac:dyDescent="0.35">
      <c r="A10257" s="9" t="str">
        <f>HYPERLINK("http://www.ensembl.org/id/WBGene00201563", "WBGene00201563")</f>
        <v>WBGene00201563</v>
      </c>
      <c r="B10257" s="9"/>
      <c r="C10257" s="9"/>
      <c r="D10257" t="str">
        <f>"F46F3.21"</f>
        <v>F46F3.21</v>
      </c>
      <c r="F10257" t="s">
        <v>481</v>
      </c>
      <c r="H10257" s="12">
        <v>-2.4991590031922399</v>
      </c>
      <c r="I10257" s="20">
        <v>-0.26577412737581302</v>
      </c>
      <c r="J10257" s="28">
        <v>0.79041317015736101</v>
      </c>
      <c r="K10257" s="29">
        <v>0.98289565623980701</v>
      </c>
    </row>
    <row r="10258" spans="1:11" x14ac:dyDescent="0.35">
      <c r="A10258" s="9" t="str">
        <f>HYPERLINK("http://www.ensembl.org/id/WBGene00201940", "WBGene00201940")</f>
        <v>WBGene00201940</v>
      </c>
      <c r="B10258" s="9"/>
      <c r="C10258" s="9"/>
      <c r="D10258" t="str">
        <f>"F46F3.22"</f>
        <v>F46F3.22</v>
      </c>
      <c r="F10258" t="s">
        <v>481</v>
      </c>
      <c r="H10258" s="12">
        <v>-4.51585610737573</v>
      </c>
      <c r="I10258" s="20">
        <v>-0.50361966967016503</v>
      </c>
      <c r="J10258" s="28">
        <v>0.61452866763025804</v>
      </c>
      <c r="K10258" s="29">
        <v>0.98289565623980701</v>
      </c>
    </row>
    <row r="10259" spans="1:11" x14ac:dyDescent="0.35">
      <c r="A10259" s="9" t="str">
        <f>HYPERLINK("http://www.ensembl.org/id/WBGene00201952", "WBGene00201952")</f>
        <v>WBGene00201952</v>
      </c>
      <c r="B10259" s="9"/>
      <c r="C10259" s="9"/>
      <c r="D10259" t="str">
        <f>"F46F3.23"</f>
        <v>F46F3.23</v>
      </c>
      <c r="F10259" t="s">
        <v>481</v>
      </c>
      <c r="H10259" s="12">
        <v>-2.4991590031922399</v>
      </c>
      <c r="I10259" s="20">
        <v>-0.26577412737581302</v>
      </c>
      <c r="J10259" s="28">
        <v>0.79041317015736101</v>
      </c>
      <c r="K10259" s="29">
        <v>0.98289565623980701</v>
      </c>
    </row>
    <row r="10260" spans="1:11" x14ac:dyDescent="0.35">
      <c r="A10260" s="9" t="str">
        <f>HYPERLINK("http://www.ensembl.org/id/WBGene00009791", "WBGene00009791")</f>
        <v>WBGene00009791</v>
      </c>
      <c r="B10260" s="9" t="str">
        <f>HYPERLINK("http://www.ncbi.nlm.nih.gov/gene/185854", "185854")</f>
        <v>185854</v>
      </c>
      <c r="C10260" s="9"/>
      <c r="D10260" t="str">
        <f>"F46F3.3"</f>
        <v>F46F3.3</v>
      </c>
      <c r="F10260" t="s">
        <v>11</v>
      </c>
      <c r="H10260" s="12">
        <v>1.7544480967126299</v>
      </c>
      <c r="I10260" s="20">
        <v>1.11030717205749</v>
      </c>
      <c r="J10260" s="28">
        <v>0.26686668359702898</v>
      </c>
      <c r="K10260" s="29">
        <v>0.98289565623980701</v>
      </c>
    </row>
    <row r="10261" spans="1:11" x14ac:dyDescent="0.35">
      <c r="A10261" s="9" t="str">
        <f>HYPERLINK("http://www.ensembl.org/id/WBGene00018502", "WBGene00018502")</f>
        <v>WBGene00018502</v>
      </c>
      <c r="B10261" s="9" t="str">
        <f>HYPERLINK("http://www.ncbi.nlm.nih.gov/gene/185864", "185864")</f>
        <v>185864</v>
      </c>
      <c r="C10261" s="9"/>
      <c r="D10261" t="str">
        <f>"F46F5.11"</f>
        <v>F46F5.11</v>
      </c>
      <c r="F10261" t="s">
        <v>11</v>
      </c>
      <c r="G10261" t="s">
        <v>25</v>
      </c>
      <c r="H10261" s="12">
        <v>2.4578120077400301</v>
      </c>
      <c r="I10261" s="20">
        <v>0.26093350314551</v>
      </c>
      <c r="J10261" s="28">
        <v>0.79414378780213601</v>
      </c>
      <c r="K10261" s="29">
        <v>0.98289565623980701</v>
      </c>
    </row>
    <row r="10262" spans="1:11" x14ac:dyDescent="0.35">
      <c r="A10262" s="9" t="str">
        <f>HYPERLINK("http://www.ensembl.org/id/WBGene00018505", "WBGene00018505")</f>
        <v>WBGene00018505</v>
      </c>
      <c r="B10262" s="9" t="str">
        <f>HYPERLINK("http://www.ncbi.nlm.nih.gov/gene/185867", "185867")</f>
        <v>185867</v>
      </c>
      <c r="C10262" s="9"/>
      <c r="D10262" t="str">
        <f>"F46F5.14"</f>
        <v>F46F5.14</v>
      </c>
      <c r="F10262" t="s">
        <v>11</v>
      </c>
      <c r="G10262" t="s">
        <v>25</v>
      </c>
      <c r="H10262" s="12">
        <v>2.4578120077400301</v>
      </c>
      <c r="I10262" s="20">
        <v>0.26093350314551</v>
      </c>
      <c r="J10262" s="28">
        <v>0.79414378780213601</v>
      </c>
      <c r="K10262" s="29">
        <v>0.98289565623980701</v>
      </c>
    </row>
    <row r="10263" spans="1:11" x14ac:dyDescent="0.35">
      <c r="A10263" s="9" t="str">
        <f>HYPERLINK("http://www.ensembl.org/id/WBGene00018507", "WBGene00018507")</f>
        <v>WBGene00018507</v>
      </c>
      <c r="B10263" s="9" t="str">
        <f>HYPERLINK("http://www.ncbi.nlm.nih.gov/gene/185869", "185869")</f>
        <v>185869</v>
      </c>
      <c r="C10263" s="9"/>
      <c r="D10263" t="str">
        <f>"F46F5.16"</f>
        <v>F46F5.16</v>
      </c>
      <c r="F10263" t="s">
        <v>11</v>
      </c>
      <c r="G10263" t="s">
        <v>25</v>
      </c>
      <c r="H10263" s="12">
        <v>11.7194480060642</v>
      </c>
      <c r="I10263" s="20">
        <v>1.15058610573557</v>
      </c>
      <c r="J10263" s="28">
        <v>0.24990255176801601</v>
      </c>
      <c r="K10263" s="29">
        <v>0.98289565623980701</v>
      </c>
    </row>
    <row r="10264" spans="1:11" x14ac:dyDescent="0.35">
      <c r="A10264" s="9" t="str">
        <f>HYPERLINK("http://www.ensembl.org/id/WBGene00018496", "WBGene00018496")</f>
        <v>WBGene00018496</v>
      </c>
      <c r="B10264" s="9" t="str">
        <f>HYPERLINK("http://www.ncbi.nlm.nih.gov/gene/185858", "185858")</f>
        <v>185858</v>
      </c>
      <c r="C10264" s="9"/>
      <c r="D10264" t="str">
        <f>"F46F5.5"</f>
        <v>F46F5.5</v>
      </c>
      <c r="F10264" t="s">
        <v>11</v>
      </c>
      <c r="G10264" t="s">
        <v>4289</v>
      </c>
      <c r="H10264" s="12">
        <v>3.5227018545059199</v>
      </c>
      <c r="I10264" s="20">
        <v>0.36849691206929103</v>
      </c>
      <c r="J10264" s="28">
        <v>0.71250274722433404</v>
      </c>
      <c r="K10264" s="29">
        <v>0.98289565623980701</v>
      </c>
    </row>
    <row r="10265" spans="1:11" x14ac:dyDescent="0.35">
      <c r="A10265" s="9" t="str">
        <f>HYPERLINK("http://www.ensembl.org/id/WBGene00018498", "WBGene00018498")</f>
        <v>WBGene00018498</v>
      </c>
      <c r="B10265" s="9" t="str">
        <f>HYPERLINK("http://www.ncbi.nlm.nih.gov/gene/185860", "185860")</f>
        <v>185860</v>
      </c>
      <c r="C10265" s="9"/>
      <c r="D10265" t="str">
        <f>"F46F5.7"</f>
        <v>F46F5.7</v>
      </c>
      <c r="F10265" t="s">
        <v>11</v>
      </c>
      <c r="G10265" t="s">
        <v>1212</v>
      </c>
      <c r="H10265" s="12">
        <v>-1.9715503081027399</v>
      </c>
      <c r="I10265" s="20">
        <v>-0.90432558079037795</v>
      </c>
      <c r="J10265" s="28">
        <v>0.36582278631599402</v>
      </c>
      <c r="K10265" s="29">
        <v>0.98289565623980701</v>
      </c>
    </row>
    <row r="10266" spans="1:11" x14ac:dyDescent="0.35">
      <c r="A10266" s="9" t="str">
        <f>HYPERLINK("http://www.ensembl.org/id/WBGene00009798", "WBGene00009798")</f>
        <v>WBGene00009798</v>
      </c>
      <c r="B10266" s="9" t="str">
        <f>HYPERLINK("http://www.ncbi.nlm.nih.gov/gene/185877", "185877")</f>
        <v>185877</v>
      </c>
      <c r="C10266" s="9"/>
      <c r="D10266" t="str">
        <f>"F46G10.4"</f>
        <v>F46G10.4</v>
      </c>
      <c r="F10266" t="s">
        <v>11</v>
      </c>
      <c r="G10266" t="s">
        <v>5737</v>
      </c>
      <c r="H10266" s="12">
        <v>1.1131012254081301</v>
      </c>
      <c r="I10266" s="20">
        <v>0.39941375801585799</v>
      </c>
      <c r="J10266" s="28">
        <v>0.68958835822085895</v>
      </c>
      <c r="K10266" s="29">
        <v>0.98289565623980701</v>
      </c>
    </row>
    <row r="10267" spans="1:11" x14ac:dyDescent="0.35">
      <c r="A10267" s="9" t="str">
        <f>HYPERLINK("http://www.ensembl.org/id/WBGene00045269", "WBGene00045269")</f>
        <v>WBGene00045269</v>
      </c>
      <c r="B10267" s="9" t="str">
        <f>HYPERLINK("http://www.ncbi.nlm.nih.gov/gene/6418852", "6418852")</f>
        <v>6418852</v>
      </c>
      <c r="C10267" s="9"/>
      <c r="D10267" t="str">
        <f>"F46G11.6"</f>
        <v>F46G11.6</v>
      </c>
      <c r="F10267" t="s">
        <v>11</v>
      </c>
      <c r="H10267" s="12">
        <v>-1.40381619111107</v>
      </c>
      <c r="I10267" s="20">
        <v>-0.49178862049947403</v>
      </c>
      <c r="J10267" s="28">
        <v>0.62286878186224903</v>
      </c>
      <c r="K10267" s="29">
        <v>0.98289565623980701</v>
      </c>
    </row>
    <row r="10268" spans="1:11" x14ac:dyDescent="0.35">
      <c r="A10268" s="9" t="str">
        <f>HYPERLINK("http://www.ensembl.org/id/WBGene00195469", "WBGene00195469")</f>
        <v>WBGene00195469</v>
      </c>
      <c r="B10268" s="9"/>
      <c r="C10268" s="9"/>
      <c r="D10268" t="str">
        <f>"F46G11.8"</f>
        <v>F46G11.8</v>
      </c>
      <c r="F10268" t="s">
        <v>481</v>
      </c>
      <c r="H10268" s="12">
        <v>5.9495765472548197</v>
      </c>
      <c r="I10268" s="20">
        <v>0.52429389276509997</v>
      </c>
      <c r="J10268" s="28">
        <v>0.60007414400596704</v>
      </c>
      <c r="K10268" s="29">
        <v>0.98289565623980701</v>
      </c>
    </row>
    <row r="10269" spans="1:11" x14ac:dyDescent="0.35">
      <c r="A10269" s="9" t="str">
        <f>HYPERLINK("http://www.ensembl.org/id/WBGene00198251", "WBGene00198251")</f>
        <v>WBGene00198251</v>
      </c>
      <c r="B10269" s="9"/>
      <c r="C10269" s="9"/>
      <c r="D10269" t="str">
        <f>"F46H5.10"</f>
        <v>F46H5.10</v>
      </c>
      <c r="F10269" t="s">
        <v>481</v>
      </c>
      <c r="H10269" s="12">
        <v>3.5227018545059199</v>
      </c>
      <c r="I10269" s="20">
        <v>0.36849691206929103</v>
      </c>
      <c r="J10269" s="28">
        <v>0.71250274722433404</v>
      </c>
      <c r="K10269" s="29">
        <v>0.98289565623980701</v>
      </c>
    </row>
    <row r="10270" spans="1:11" x14ac:dyDescent="0.35">
      <c r="A10270" s="9" t="str">
        <f>HYPERLINK("http://www.ensembl.org/id/WBGene00303398", "WBGene00303398")</f>
        <v>WBGene00303398</v>
      </c>
      <c r="B10270" s="9"/>
      <c r="C10270" s="9"/>
      <c r="D10270" t="str">
        <f>"F46H5.11"</f>
        <v>F46H5.11</v>
      </c>
      <c r="F10270" t="s">
        <v>11</v>
      </c>
      <c r="H10270" s="12">
        <v>-2.00282366455441</v>
      </c>
      <c r="I10270" s="20">
        <v>-0.261094718881763</v>
      </c>
      <c r="J10270" s="28">
        <v>0.79401946419414404</v>
      </c>
      <c r="K10270" s="29">
        <v>0.98289565623980701</v>
      </c>
    </row>
    <row r="10271" spans="1:11" x14ac:dyDescent="0.35">
      <c r="A10271" s="9" t="str">
        <f>HYPERLINK("http://www.ensembl.org/id/WBGene00018519", "WBGene00018519")</f>
        <v>WBGene00018519</v>
      </c>
      <c r="B10271" s="9" t="str">
        <f>HYPERLINK("http://www.ncbi.nlm.nih.gov/gene/180986", "180986")</f>
        <v>180986</v>
      </c>
      <c r="C10271" s="9"/>
      <c r="D10271" t="str">
        <f>"F46H5.3"</f>
        <v>F46H5.3</v>
      </c>
      <c r="E10271" t="s">
        <v>6261</v>
      </c>
      <c r="F10271" t="s">
        <v>11</v>
      </c>
      <c r="G10271" t="s">
        <v>280</v>
      </c>
      <c r="H10271" s="12">
        <v>-1.0574441355050399</v>
      </c>
      <c r="I10271" s="20">
        <v>-0.28057479360264598</v>
      </c>
      <c r="J10271" s="28">
        <v>0.77903655151231599</v>
      </c>
      <c r="K10271" s="29">
        <v>0.98289565623980701</v>
      </c>
    </row>
    <row r="10272" spans="1:11" x14ac:dyDescent="0.35">
      <c r="A10272" s="9" t="str">
        <f>HYPERLINK("http://www.ensembl.org/id/WBGene00018520", "WBGene00018520")</f>
        <v>WBGene00018520</v>
      </c>
      <c r="B10272" s="9" t="str">
        <f>HYPERLINK("http://www.ncbi.nlm.nih.gov/gene/180988", "180988")</f>
        <v>180988</v>
      </c>
      <c r="C10272" s="9" t="str">
        <f>HYPERLINK("http://www.ncbi.nlm.nih.gov/gene/85440", "85440")</f>
        <v>85440</v>
      </c>
      <c r="D10272" t="str">
        <f>"F46H5.4"</f>
        <v>F46H5.4</v>
      </c>
      <c r="F10272" t="s">
        <v>11</v>
      </c>
      <c r="G10272" t="s">
        <v>5083</v>
      </c>
      <c r="H10272" s="12">
        <v>1.1826602022639801</v>
      </c>
      <c r="I10272" s="20">
        <v>0.865640167765094</v>
      </c>
      <c r="J10272" s="28">
        <v>0.38668752077664897</v>
      </c>
      <c r="K10272" s="29">
        <v>0.98289565623980701</v>
      </c>
    </row>
    <row r="10273" spans="1:11" x14ac:dyDescent="0.35">
      <c r="A10273" s="9" t="str">
        <f>HYPERLINK("http://www.ensembl.org/id/WBGene00018521", "WBGene00018521")</f>
        <v>WBGene00018521</v>
      </c>
      <c r="B10273" s="9" t="str">
        <f>HYPERLINK("http://www.ncbi.nlm.nih.gov/gene/185881", "185881")</f>
        <v>185881</v>
      </c>
      <c r="C10273" s="9"/>
      <c r="D10273" t="str">
        <f>"F46H5.5"</f>
        <v>F46H5.5</v>
      </c>
      <c r="F10273" t="s">
        <v>11</v>
      </c>
      <c r="H10273" s="12">
        <v>1.2607152860183199</v>
      </c>
      <c r="I10273" s="20">
        <v>0.68471389963931395</v>
      </c>
      <c r="J10273" s="28">
        <v>0.49352447621551998</v>
      </c>
      <c r="K10273" s="29">
        <v>0.98289565623980701</v>
      </c>
    </row>
    <row r="10274" spans="1:11" x14ac:dyDescent="0.35">
      <c r="A10274" s="9" t="str">
        <f>HYPERLINK("http://www.ensembl.org/id/WBGene00018522", "WBGene00018522")</f>
        <v>WBGene00018522</v>
      </c>
      <c r="B10274" s="9" t="str">
        <f>HYPERLINK("http://www.ncbi.nlm.nih.gov/gene/180987", "180987")</f>
        <v>180987</v>
      </c>
      <c r="C10274" s="9"/>
      <c r="D10274" t="str">
        <f>"F46H5.7"</f>
        <v>F46H5.7</v>
      </c>
      <c r="F10274" t="s">
        <v>11</v>
      </c>
      <c r="G10274" t="s">
        <v>6155</v>
      </c>
      <c r="H10274" s="12">
        <v>-1.0474830515315801</v>
      </c>
      <c r="I10274" s="20">
        <v>-0.258153900957664</v>
      </c>
      <c r="J10274" s="28">
        <v>0.79628813399354104</v>
      </c>
      <c r="K10274" s="29">
        <v>0.98289565623980701</v>
      </c>
    </row>
    <row r="10275" spans="1:11" x14ac:dyDescent="0.35">
      <c r="A10275" s="9" t="str">
        <f>HYPERLINK("http://www.ensembl.org/id/WBGene00219952", "WBGene00219952")</f>
        <v>WBGene00219952</v>
      </c>
      <c r="B10275" s="9"/>
      <c r="C10275" s="9"/>
      <c r="D10275" t="str">
        <f>"F46H6.12"</f>
        <v>F46H6.12</v>
      </c>
      <c r="F10275" t="s">
        <v>481</v>
      </c>
      <c r="H10275" s="12">
        <v>-7.3568545571886697</v>
      </c>
      <c r="I10275" s="20">
        <v>-0.78269599158339298</v>
      </c>
      <c r="J10275" s="28">
        <v>0.43380565666738602</v>
      </c>
      <c r="K10275" s="29">
        <v>0.98289565623980701</v>
      </c>
    </row>
    <row r="10276" spans="1:11" x14ac:dyDescent="0.35">
      <c r="A10276" s="9" t="str">
        <f>HYPERLINK("http://www.ensembl.org/id/WBGene00197360", "WBGene00197360")</f>
        <v>WBGene00197360</v>
      </c>
      <c r="B10276" s="9"/>
      <c r="C10276" s="9"/>
      <c r="D10276" t="str">
        <f>"F46H6.8"</f>
        <v>F46H6.8</v>
      </c>
      <c r="F10276" t="s">
        <v>481</v>
      </c>
      <c r="H10276" s="12">
        <v>-2.4991590031922399</v>
      </c>
      <c r="I10276" s="20">
        <v>-0.26577412737581302</v>
      </c>
      <c r="J10276" s="28">
        <v>0.79041317015736101</v>
      </c>
      <c r="K10276" s="29">
        <v>0.98289565623980701</v>
      </c>
    </row>
    <row r="10277" spans="1:11" x14ac:dyDescent="0.35">
      <c r="A10277" s="9" t="str">
        <f>HYPERLINK("http://www.ensembl.org/id/WBGene00197986", "WBGene00197986")</f>
        <v>WBGene00197986</v>
      </c>
      <c r="B10277" s="9"/>
      <c r="C10277" s="9"/>
      <c r="D10277" t="str">
        <f>"F46H6.9"</f>
        <v>F46H6.9</v>
      </c>
      <c r="F10277" t="s">
        <v>481</v>
      </c>
      <c r="H10277" s="12">
        <v>2.4578120077400301</v>
      </c>
      <c r="I10277" s="20">
        <v>0.26093350314551</v>
      </c>
      <c r="J10277" s="28">
        <v>0.79414378780213601</v>
      </c>
      <c r="K10277" s="29">
        <v>0.98289565623980701</v>
      </c>
    </row>
    <row r="10278" spans="1:11" x14ac:dyDescent="0.35">
      <c r="A10278" s="9" t="str">
        <f>HYPERLINK("http://www.ensembl.org/id/WBGene00014377", "WBGene00014377")</f>
        <v>WBGene00014377</v>
      </c>
      <c r="B10278" s="9"/>
      <c r="C10278" s="9"/>
      <c r="D10278" t="str">
        <f>"F47A4.t1"</f>
        <v>F47A4.t1</v>
      </c>
      <c r="F10278" t="s">
        <v>4208</v>
      </c>
      <c r="H10278" s="12">
        <v>-2.4991590031922399</v>
      </c>
      <c r="I10278" s="20">
        <v>-0.26577412737581302</v>
      </c>
      <c r="J10278" s="28">
        <v>0.79041317015736101</v>
      </c>
      <c r="K10278" s="29">
        <v>0.98289565623980701</v>
      </c>
    </row>
    <row r="10279" spans="1:11" x14ac:dyDescent="0.35">
      <c r="A10279" s="9" t="str">
        <f>HYPERLINK("http://www.ensembl.org/id/WBGene00198298", "WBGene00198298")</f>
        <v>WBGene00198298</v>
      </c>
      <c r="B10279" s="9"/>
      <c r="C10279" s="9"/>
      <c r="D10279" t="str">
        <f>"F47B10.10"</f>
        <v>F47B10.10</v>
      </c>
      <c r="F10279" t="s">
        <v>481</v>
      </c>
      <c r="H10279" s="12">
        <v>-2.4295389261469</v>
      </c>
      <c r="I10279" s="20">
        <v>-0.25808529976640998</v>
      </c>
      <c r="J10279" s="28">
        <v>0.79634107645457397</v>
      </c>
      <c r="K10279" s="29">
        <v>0.98289565623980701</v>
      </c>
    </row>
    <row r="10280" spans="1:11" x14ac:dyDescent="0.35">
      <c r="A10280" s="9" t="str">
        <f>HYPERLINK("http://www.ensembl.org/id/WBGene00009815", "WBGene00009815")</f>
        <v>WBGene00009815</v>
      </c>
      <c r="B10280" s="9" t="str">
        <f>HYPERLINK("http://www.ncbi.nlm.nih.gov/gene/185903", "185903")</f>
        <v>185903</v>
      </c>
      <c r="C10280" s="9"/>
      <c r="D10280" t="str">
        <f>"F47B10.4"</f>
        <v>F47B10.4</v>
      </c>
      <c r="F10280" t="s">
        <v>11</v>
      </c>
      <c r="H10280" s="12">
        <v>-3.5215645280615</v>
      </c>
      <c r="I10280" s="20">
        <v>-0.59187303440182504</v>
      </c>
      <c r="J10280" s="28">
        <v>0.55393561212433495</v>
      </c>
      <c r="K10280" s="29">
        <v>0.98289565623980701</v>
      </c>
    </row>
    <row r="10281" spans="1:11" x14ac:dyDescent="0.35">
      <c r="A10281" s="9" t="str">
        <f>HYPERLINK("http://www.ensembl.org/id/WBGene00009817", "WBGene00009817")</f>
        <v>WBGene00009817</v>
      </c>
      <c r="B10281" s="9" t="str">
        <f>HYPERLINK("http://www.ncbi.nlm.nih.gov/gene/185905", "185905")</f>
        <v>185905</v>
      </c>
      <c r="C10281" s="9"/>
      <c r="D10281" t="str">
        <f>"F47B10.6"</f>
        <v>F47B10.6</v>
      </c>
      <c r="F10281" t="s">
        <v>11</v>
      </c>
      <c r="H10281" s="12">
        <v>-2.41374471445247</v>
      </c>
      <c r="I10281" s="20">
        <v>-0.78215158636176196</v>
      </c>
      <c r="J10281" s="28">
        <v>0.43412549287452301</v>
      </c>
      <c r="K10281" s="29">
        <v>0.98289565623980701</v>
      </c>
    </row>
    <row r="10282" spans="1:11" x14ac:dyDescent="0.35">
      <c r="A10282" s="9" t="str">
        <f>HYPERLINK("http://www.ensembl.org/id/WBGene00009819", "WBGene00009819")</f>
        <v>WBGene00009819</v>
      </c>
      <c r="B10282" s="9" t="str">
        <f>HYPERLINK("http://www.ncbi.nlm.nih.gov/gene/181282", "181282")</f>
        <v>181282</v>
      </c>
      <c r="C10282" s="9"/>
      <c r="D10282" t="str">
        <f>"F47B10.8"</f>
        <v>F47B10.8</v>
      </c>
      <c r="F10282" t="s">
        <v>11</v>
      </c>
      <c r="G10282" t="s">
        <v>25</v>
      </c>
      <c r="H10282" s="12">
        <v>1.3699965555963201</v>
      </c>
      <c r="I10282" s="20">
        <v>0.63480787691498897</v>
      </c>
      <c r="J10282" s="28">
        <v>0.52555372533755695</v>
      </c>
      <c r="K10282" s="29">
        <v>0.98289565623980701</v>
      </c>
    </row>
    <row r="10283" spans="1:11" x14ac:dyDescent="0.35">
      <c r="A10283" s="9" t="str">
        <f>HYPERLINK("http://www.ensembl.org/id/WBGene00018528", "WBGene00018528")</f>
        <v>WBGene00018528</v>
      </c>
      <c r="B10283" s="9" t="str">
        <f>HYPERLINK("http://www.ncbi.nlm.nih.gov/gene/185887", "185887")</f>
        <v>185887</v>
      </c>
      <c r="C10283" s="9"/>
      <c r="D10283" t="str">
        <f>"F47B3.4"</f>
        <v>F47B3.4</v>
      </c>
      <c r="F10283" t="s">
        <v>11</v>
      </c>
      <c r="G10283" t="s">
        <v>25</v>
      </c>
      <c r="H10283" s="12">
        <v>-3.5505133547207399</v>
      </c>
      <c r="I10283" s="20">
        <v>-0.38567206318137798</v>
      </c>
      <c r="J10283" s="28">
        <v>0.69973955545800504</v>
      </c>
      <c r="K10283" s="29">
        <v>0.98289565623980701</v>
      </c>
    </row>
    <row r="10284" spans="1:11" x14ac:dyDescent="0.35">
      <c r="A10284" s="9" t="str">
        <f>HYPERLINK("http://www.ensembl.org/id/WBGene00196014", "WBGene00196014")</f>
        <v>WBGene00196014</v>
      </c>
      <c r="B10284" s="9"/>
      <c r="C10284" s="9"/>
      <c r="D10284" t="str">
        <f>"F47B7.10"</f>
        <v>F47B7.10</v>
      </c>
      <c r="F10284" t="s">
        <v>481</v>
      </c>
      <c r="H10284" s="12">
        <v>-3.2963247076146902</v>
      </c>
      <c r="I10284" s="20">
        <v>-0.80176599449889197</v>
      </c>
      <c r="J10284" s="28">
        <v>0.42268833275801998</v>
      </c>
      <c r="K10284" s="29">
        <v>0.98289565623980701</v>
      </c>
    </row>
    <row r="10285" spans="1:11" x14ac:dyDescent="0.35">
      <c r="A10285" s="9" t="str">
        <f>HYPERLINK("http://www.ensembl.org/id/WBGene00199347", "WBGene00199347")</f>
        <v>WBGene00199347</v>
      </c>
      <c r="B10285" s="9"/>
      <c r="C10285" s="9"/>
      <c r="D10285" t="str">
        <f>"F47B7.14"</f>
        <v>F47B7.14</v>
      </c>
      <c r="F10285" t="s">
        <v>481</v>
      </c>
      <c r="H10285" s="12">
        <v>-2.4295389261469</v>
      </c>
      <c r="I10285" s="20">
        <v>-0.25808529976640998</v>
      </c>
      <c r="J10285" s="28">
        <v>0.79634107645457397</v>
      </c>
      <c r="K10285" s="29">
        <v>0.98289565623980701</v>
      </c>
    </row>
    <row r="10286" spans="1:11" x14ac:dyDescent="0.35">
      <c r="A10286" s="9" t="str">
        <f>HYPERLINK("http://www.ensembl.org/id/WBGene00200722", "WBGene00200722")</f>
        <v>WBGene00200722</v>
      </c>
      <c r="B10286" s="9"/>
      <c r="C10286" s="9"/>
      <c r="D10286" t="str">
        <f>"F47B7.15"</f>
        <v>F47B7.15</v>
      </c>
      <c r="F10286" t="s">
        <v>481</v>
      </c>
      <c r="H10286" s="12">
        <v>3.6645215954135</v>
      </c>
      <c r="I10286" s="20">
        <v>0.37967131826092498</v>
      </c>
      <c r="J10286" s="28">
        <v>0.70418941338960395</v>
      </c>
      <c r="K10286" s="29">
        <v>0.98289565623980701</v>
      </c>
    </row>
    <row r="10287" spans="1:11" x14ac:dyDescent="0.35">
      <c r="A10287" s="9" t="str">
        <f>HYPERLINK("http://www.ensembl.org/id/WBGene00018533", "WBGene00018533")</f>
        <v>WBGene00018533</v>
      </c>
      <c r="B10287" s="9" t="str">
        <f>HYPERLINK("http://www.ncbi.nlm.nih.gov/gene/180664", "180664")</f>
        <v>180664</v>
      </c>
      <c r="C10287" s="9" t="str">
        <f>HYPERLINK("http://www.ncbi.nlm.nih.gov/gene/5768", "5768")</f>
        <v>5768</v>
      </c>
      <c r="D10287" t="str">
        <f>"F47B7.2"</f>
        <v>F47B7.2</v>
      </c>
      <c r="E10287" t="s">
        <v>2706</v>
      </c>
      <c r="F10287" t="s">
        <v>11</v>
      </c>
      <c r="G10287" t="s">
        <v>8333</v>
      </c>
      <c r="H10287" s="12">
        <v>-1.1720167752214099</v>
      </c>
      <c r="I10287" s="20">
        <v>-0.86445287258002101</v>
      </c>
      <c r="J10287" s="28">
        <v>0.38733915860972001</v>
      </c>
      <c r="K10287" s="29">
        <v>0.98289565623980701</v>
      </c>
    </row>
    <row r="10288" spans="1:11" x14ac:dyDescent="0.35">
      <c r="A10288" s="9" t="str">
        <f>HYPERLINK("http://www.ensembl.org/id/WBGene00018535", "WBGene00018535")</f>
        <v>WBGene00018535</v>
      </c>
      <c r="B10288" s="9" t="str">
        <f>HYPERLINK("http://www.ncbi.nlm.nih.gov/gene/185891", "185891")</f>
        <v>185891</v>
      </c>
      <c r="C10288" s="9"/>
      <c r="D10288" t="str">
        <f>"F47B7.4"</f>
        <v>F47B7.4</v>
      </c>
      <c r="F10288" t="s">
        <v>11</v>
      </c>
      <c r="H10288" s="12">
        <v>2.3893468495514898</v>
      </c>
      <c r="I10288" s="20">
        <v>0.25323547253672701</v>
      </c>
      <c r="J10288" s="28">
        <v>0.80008625651646104</v>
      </c>
      <c r="K10288" s="29">
        <v>0.98289565623980701</v>
      </c>
    </row>
    <row r="10289" spans="1:11" x14ac:dyDescent="0.35">
      <c r="A10289" s="9" t="str">
        <f>HYPERLINK("http://www.ensembl.org/id/WBGene00018536", "WBGene00018536")</f>
        <v>WBGene00018536</v>
      </c>
      <c r="B10289" s="9" t="str">
        <f>HYPERLINK("http://www.ncbi.nlm.nih.gov/gene/185892", "185892")</f>
        <v>185892</v>
      </c>
      <c r="C10289" s="9"/>
      <c r="D10289" t="str">
        <f>"F47B7.5"</f>
        <v>F47B7.5</v>
      </c>
      <c r="F10289" t="s">
        <v>11</v>
      </c>
      <c r="H10289" s="12">
        <v>4.4454298908329104</v>
      </c>
      <c r="I10289" s="20">
        <v>0.49336101450555597</v>
      </c>
      <c r="J10289" s="28">
        <v>0.62175752365155801</v>
      </c>
      <c r="K10289" s="29">
        <v>0.98289565623980701</v>
      </c>
    </row>
    <row r="10290" spans="1:11" x14ac:dyDescent="0.35">
      <c r="A10290" s="9" t="str">
        <f>HYPERLINK("http://www.ensembl.org/id/WBGene00018537", "WBGene00018537")</f>
        <v>WBGene00018537</v>
      </c>
      <c r="B10290" s="9" t="str">
        <f>HYPERLINK("http://www.ncbi.nlm.nih.gov/gene/185893", "185893")</f>
        <v>185893</v>
      </c>
      <c r="C10290" s="9"/>
      <c r="D10290" t="str">
        <f>"F47B7.6"</f>
        <v>F47B7.6</v>
      </c>
      <c r="F10290" t="s">
        <v>11</v>
      </c>
      <c r="H10290" s="12">
        <v>3.0608690758096602</v>
      </c>
      <c r="I10290" s="20">
        <v>0.66875124551899601</v>
      </c>
      <c r="J10290" s="28">
        <v>0.50365417194966899</v>
      </c>
      <c r="K10290" s="29">
        <v>0.98289565623980701</v>
      </c>
    </row>
    <row r="10291" spans="1:11" x14ac:dyDescent="0.35">
      <c r="A10291" s="9" t="str">
        <f>HYPERLINK("http://www.ensembl.org/id/WBGene00195265", "WBGene00195265")</f>
        <v>WBGene00195265</v>
      </c>
      <c r="B10291" s="9"/>
      <c r="C10291" s="9"/>
      <c r="D10291" t="str">
        <f>"F47B7.9"</f>
        <v>F47B7.9</v>
      </c>
      <c r="F10291" t="s">
        <v>481</v>
      </c>
      <c r="H10291" s="12">
        <v>-5.4967879193631202</v>
      </c>
      <c r="I10291" s="20">
        <v>-0.50254160819837501</v>
      </c>
      <c r="J10291" s="28">
        <v>0.61528659178453604</v>
      </c>
      <c r="K10291" s="29">
        <v>0.98289565623980701</v>
      </c>
    </row>
    <row r="10292" spans="1:11" x14ac:dyDescent="0.35">
      <c r="A10292" s="9" t="str">
        <f>HYPERLINK("http://www.ensembl.org/id/WBGene00009802", "WBGene00009802")</f>
        <v>WBGene00009802</v>
      </c>
      <c r="B10292" s="9" t="str">
        <f>HYPERLINK("http://www.ncbi.nlm.nih.gov/gene/185894", "185894")</f>
        <v>185894</v>
      </c>
      <c r="C10292" s="9"/>
      <c r="D10292" t="str">
        <f>"F47B8.1"</f>
        <v>F47B8.1</v>
      </c>
      <c r="F10292" t="s">
        <v>11</v>
      </c>
      <c r="G10292" t="s">
        <v>25</v>
      </c>
      <c r="H10292" s="12">
        <v>2.43628531154256</v>
      </c>
      <c r="I10292" s="20">
        <v>0.26397437090349102</v>
      </c>
      <c r="J10292" s="28">
        <v>0.79179966754305298</v>
      </c>
      <c r="K10292" s="29">
        <v>0.98289565623980701</v>
      </c>
    </row>
    <row r="10293" spans="1:11" x14ac:dyDescent="0.35">
      <c r="A10293" s="9" t="str">
        <f>HYPERLINK("http://www.ensembl.org/id/WBGene00044193", "WBGene00044193")</f>
        <v>WBGene00044193</v>
      </c>
      <c r="B10293" s="9" t="str">
        <f>HYPERLINK("http://www.ncbi.nlm.nih.gov/gene/3565975", "3565975")</f>
        <v>3565975</v>
      </c>
      <c r="C10293" s="9"/>
      <c r="D10293" t="str">
        <f>"F47B8.13"</f>
        <v>F47B8.13</v>
      </c>
      <c r="F10293" t="s">
        <v>11</v>
      </c>
      <c r="H10293" s="12">
        <v>1.6205597217068499</v>
      </c>
      <c r="I10293" s="20">
        <v>0.36099208059451798</v>
      </c>
      <c r="J10293" s="28">
        <v>0.71810536724279606</v>
      </c>
      <c r="K10293" s="29">
        <v>0.98289565623980701</v>
      </c>
    </row>
    <row r="10294" spans="1:11" x14ac:dyDescent="0.35">
      <c r="A10294" s="9" t="str">
        <f>HYPERLINK("http://www.ensembl.org/id/WBGene00219324", "WBGene00219324")</f>
        <v>WBGene00219324</v>
      </c>
      <c r="B10294" s="9" t="str">
        <f>HYPERLINK("http://www.ncbi.nlm.nih.gov/gene/13216506", "13216506")</f>
        <v>13216506</v>
      </c>
      <c r="C10294" s="9"/>
      <c r="D10294" t="str">
        <f>"F47B8.18"</f>
        <v>F47B8.18</v>
      </c>
      <c r="F10294" t="s">
        <v>11</v>
      </c>
      <c r="H10294" s="12">
        <v>-2.4991590031922399</v>
      </c>
      <c r="I10294" s="20">
        <v>-0.26577412737581302</v>
      </c>
      <c r="J10294" s="28">
        <v>0.79041317015736101</v>
      </c>
      <c r="K10294" s="29">
        <v>0.98289565623980701</v>
      </c>
    </row>
    <row r="10295" spans="1:11" x14ac:dyDescent="0.35">
      <c r="A10295" s="9" t="str">
        <f>HYPERLINK("http://www.ensembl.org/id/WBGene00009803", "WBGene00009803")</f>
        <v>WBGene00009803</v>
      </c>
      <c r="B10295" s="9" t="str">
        <f>HYPERLINK("http://www.ncbi.nlm.nih.gov/gene/185895", "185895")</f>
        <v>185895</v>
      </c>
      <c r="C10295" s="9"/>
      <c r="D10295" t="str">
        <f>"F47B8.2"</f>
        <v>F47B8.2</v>
      </c>
      <c r="F10295" t="s">
        <v>11</v>
      </c>
      <c r="G10295" t="s">
        <v>25</v>
      </c>
      <c r="H10295" s="12">
        <v>-1.12498665957002</v>
      </c>
      <c r="I10295" s="20">
        <v>-0.60289252008769201</v>
      </c>
      <c r="J10295" s="28">
        <v>0.546580192290958</v>
      </c>
      <c r="K10295" s="29">
        <v>0.98289565623980701</v>
      </c>
    </row>
    <row r="10296" spans="1:11" x14ac:dyDescent="0.35">
      <c r="A10296" s="9" t="str">
        <f>HYPERLINK("http://www.ensembl.org/id/WBGene00009804", "WBGene00009804")</f>
        <v>WBGene00009804</v>
      </c>
      <c r="B10296" s="9" t="str">
        <f>HYPERLINK("http://www.ncbi.nlm.nih.gov/gene/185896", "185896")</f>
        <v>185896</v>
      </c>
      <c r="C10296" s="9"/>
      <c r="D10296" t="str">
        <f>"F47B8.3"</f>
        <v>F47B8.3</v>
      </c>
      <c r="F10296" t="s">
        <v>11</v>
      </c>
      <c r="G10296" t="s">
        <v>8485</v>
      </c>
      <c r="H10296" s="12">
        <v>-1.1799334213772701</v>
      </c>
      <c r="I10296" s="20">
        <v>-0.76968415720004801</v>
      </c>
      <c r="J10296" s="28">
        <v>0.44148727010199301</v>
      </c>
      <c r="K10296" s="29">
        <v>0.98289565623980701</v>
      </c>
    </row>
    <row r="10297" spans="1:11" x14ac:dyDescent="0.35">
      <c r="A10297" s="9" t="str">
        <f>HYPERLINK("http://www.ensembl.org/id/WBGene00009809", "WBGene00009809")</f>
        <v>WBGene00009809</v>
      </c>
      <c r="B10297" s="9" t="str">
        <f>HYPERLINK("http://www.ncbi.nlm.nih.gov/gene/185900", "185900")</f>
        <v>185900</v>
      </c>
      <c r="C10297" s="9"/>
      <c r="D10297" t="str">
        <f>"F47B8.8"</f>
        <v>F47B8.8</v>
      </c>
      <c r="F10297" t="s">
        <v>11</v>
      </c>
      <c r="H10297" s="12">
        <v>-1.2044841878765999</v>
      </c>
      <c r="I10297" s="20">
        <v>-0.89433750042551297</v>
      </c>
      <c r="J10297" s="28">
        <v>0.37114134137562399</v>
      </c>
      <c r="K10297" s="29">
        <v>0.98289565623980701</v>
      </c>
    </row>
    <row r="10298" spans="1:11" x14ac:dyDescent="0.35">
      <c r="A10298" s="9" t="str">
        <f>HYPERLINK("http://www.ensembl.org/id/WBGene00018551", "WBGene00018551")</f>
        <v>WBGene00018551</v>
      </c>
      <c r="B10298" s="9" t="str">
        <f>HYPERLINK("http://www.ncbi.nlm.nih.gov/gene/185920", "185920")</f>
        <v>185920</v>
      </c>
      <c r="C10298" s="9"/>
      <c r="D10298" t="str">
        <f>"F47C12.8"</f>
        <v>F47C12.8</v>
      </c>
      <c r="F10298" t="s">
        <v>11</v>
      </c>
      <c r="H10298" s="12">
        <v>5.2510965558712499</v>
      </c>
      <c r="I10298" s="20">
        <v>0.84968764021784604</v>
      </c>
      <c r="J10298" s="28">
        <v>0.39549877189576299</v>
      </c>
      <c r="K10298" s="29">
        <v>0.98289565623980701</v>
      </c>
    </row>
    <row r="10299" spans="1:11" x14ac:dyDescent="0.35">
      <c r="A10299" s="9" t="str">
        <f>HYPERLINK("http://www.ensembl.org/id/WBGene00199882", "WBGene00199882")</f>
        <v>WBGene00199882</v>
      </c>
      <c r="B10299" s="9"/>
      <c r="C10299" s="9"/>
      <c r="D10299" t="str">
        <f>"F47C8.4"</f>
        <v>F47C8.4</v>
      </c>
      <c r="F10299" t="s">
        <v>481</v>
      </c>
      <c r="H10299" s="12">
        <v>-3.5505133547207399</v>
      </c>
      <c r="I10299" s="20">
        <v>-0.38567206318137798</v>
      </c>
      <c r="J10299" s="28">
        <v>0.69973955545800504</v>
      </c>
      <c r="K10299" s="29">
        <v>0.98289565623980701</v>
      </c>
    </row>
    <row r="10300" spans="1:11" x14ac:dyDescent="0.35">
      <c r="A10300" s="9" t="str">
        <f>HYPERLINK("http://www.ensembl.org/id/WBGene00200548", "WBGene00200548")</f>
        <v>WBGene00200548</v>
      </c>
      <c r="B10300" s="9"/>
      <c r="C10300" s="9"/>
      <c r="D10300" t="str">
        <f>"F47C8.6"</f>
        <v>F47C8.6</v>
      </c>
      <c r="F10300" t="s">
        <v>481</v>
      </c>
      <c r="H10300" s="12">
        <v>2.3893468495514898</v>
      </c>
      <c r="I10300" s="20">
        <v>0.25323547253672701</v>
      </c>
      <c r="J10300" s="28">
        <v>0.80008625651646104</v>
      </c>
      <c r="K10300" s="29">
        <v>0.98289565623980701</v>
      </c>
    </row>
    <row r="10301" spans="1:11" x14ac:dyDescent="0.35">
      <c r="A10301" s="9" t="str">
        <f>HYPERLINK("http://www.ensembl.org/id/WBGene00201082", "WBGene00201082")</f>
        <v>WBGene00201082</v>
      </c>
      <c r="B10301" s="9"/>
      <c r="C10301" s="9"/>
      <c r="D10301" t="str">
        <f>"F47C8.7"</f>
        <v>F47C8.7</v>
      </c>
      <c r="F10301" t="s">
        <v>481</v>
      </c>
      <c r="H10301" s="12">
        <v>4.4368407117627902</v>
      </c>
      <c r="I10301" s="20">
        <v>0.43709475933309699</v>
      </c>
      <c r="J10301" s="28">
        <v>0.66204262779770495</v>
      </c>
      <c r="K10301" s="29">
        <v>0.98289565623980701</v>
      </c>
    </row>
    <row r="10302" spans="1:11" x14ac:dyDescent="0.35">
      <c r="A10302" s="9" t="str">
        <f>HYPERLINK("http://www.ensembl.org/id/WBGene00018560", "WBGene00018560")</f>
        <v>WBGene00018560</v>
      </c>
      <c r="B10302" s="9" t="str">
        <f>HYPERLINK("http://www.ncbi.nlm.nih.gov/gene/185932", "185932")</f>
        <v>185932</v>
      </c>
      <c r="C10302" s="9"/>
      <c r="D10302" t="str">
        <f>"F47D12.3"</f>
        <v>F47D12.3</v>
      </c>
      <c r="F10302" t="s">
        <v>11</v>
      </c>
      <c r="G10302" t="s">
        <v>2932</v>
      </c>
      <c r="H10302" s="12">
        <v>1.48707765021622</v>
      </c>
      <c r="I10302" s="20">
        <v>1.1259475492862501</v>
      </c>
      <c r="J10302" s="28">
        <v>0.26018772114121702</v>
      </c>
      <c r="K10302" s="29">
        <v>0.98289565623980701</v>
      </c>
    </row>
    <row r="10303" spans="1:11" x14ac:dyDescent="0.35">
      <c r="A10303" s="9" t="str">
        <f>HYPERLINK("http://www.ensembl.org/id/WBGene00018562", "WBGene00018562")</f>
        <v>WBGene00018562</v>
      </c>
      <c r="B10303" s="9" t="str">
        <f>HYPERLINK("http://www.ncbi.nlm.nih.gov/gene/185934", "185934")</f>
        <v>185934</v>
      </c>
      <c r="C10303" s="9"/>
      <c r="D10303" t="str">
        <f>"F47D12.6"</f>
        <v>F47D12.6</v>
      </c>
      <c r="F10303" t="s">
        <v>11</v>
      </c>
      <c r="H10303" s="12">
        <v>1.1814408506779299</v>
      </c>
      <c r="I10303" s="20">
        <v>0.50202057870635897</v>
      </c>
      <c r="J10303" s="28">
        <v>0.61565304546767496</v>
      </c>
      <c r="K10303" s="29">
        <v>0.98289565623980701</v>
      </c>
    </row>
    <row r="10304" spans="1:11" x14ac:dyDescent="0.35">
      <c r="A10304" s="9" t="str">
        <f>HYPERLINK("http://www.ensembl.org/id/WBGene00206392", "WBGene00206392")</f>
        <v>WBGene00206392</v>
      </c>
      <c r="B10304" s="9" t="str">
        <f>HYPERLINK("http://www.ncbi.nlm.nih.gov/gene/13212557", "13212557")</f>
        <v>13212557</v>
      </c>
      <c r="C10304" s="9"/>
      <c r="D10304" t="str">
        <f>"F47D2.11"</f>
        <v>F47D2.11</v>
      </c>
      <c r="F10304" t="s">
        <v>11</v>
      </c>
      <c r="G10304" t="s">
        <v>25</v>
      </c>
      <c r="H10304" s="12">
        <v>6.7507524645689001</v>
      </c>
      <c r="I10304" s="20">
        <v>1.09957079081736</v>
      </c>
      <c r="J10304" s="28">
        <v>0.27151917434977602</v>
      </c>
      <c r="K10304" s="29">
        <v>0.98289565623980701</v>
      </c>
    </row>
    <row r="10305" spans="1:11" x14ac:dyDescent="0.35">
      <c r="A10305" s="9" t="str">
        <f>HYPERLINK("http://www.ensembl.org/id/WBGene00269430", "WBGene00269430")</f>
        <v>WBGene00269430</v>
      </c>
      <c r="B10305" s="9"/>
      <c r="C10305" s="9"/>
      <c r="D10305" t="str">
        <f>"F47D2.12"</f>
        <v>F47D2.12</v>
      </c>
      <c r="F10305" t="s">
        <v>80</v>
      </c>
      <c r="H10305" s="12">
        <v>-2.4295389261469</v>
      </c>
      <c r="I10305" s="20">
        <v>-0.25808529976640998</v>
      </c>
      <c r="J10305" s="28">
        <v>0.79634107645457397</v>
      </c>
      <c r="K10305" s="29">
        <v>0.98289565623980701</v>
      </c>
    </row>
    <row r="10306" spans="1:11" x14ac:dyDescent="0.35">
      <c r="A10306" s="9" t="str">
        <f>HYPERLINK("http://www.ensembl.org/id/WBGene00018565", "WBGene00018565")</f>
        <v>WBGene00018565</v>
      </c>
      <c r="B10306" s="9" t="str">
        <f>HYPERLINK("http://www.ncbi.nlm.nih.gov/gene/185935", "185935")</f>
        <v>185935</v>
      </c>
      <c r="C10306" s="9"/>
      <c r="D10306" t="str">
        <f>"F47E1.1"</f>
        <v>F47E1.1</v>
      </c>
      <c r="F10306" t="s">
        <v>11</v>
      </c>
      <c r="H10306" s="12">
        <v>1.71794954318733</v>
      </c>
      <c r="I10306" s="20">
        <v>0.58790428590601496</v>
      </c>
      <c r="J10306" s="28">
        <v>0.55659653952366395</v>
      </c>
      <c r="K10306" s="29">
        <v>0.98289565623980701</v>
      </c>
    </row>
    <row r="10307" spans="1:11" x14ac:dyDescent="0.35">
      <c r="A10307" s="9" t="str">
        <f>HYPERLINK("http://www.ensembl.org/id/WBGene00202461", "WBGene00202461")</f>
        <v>WBGene00202461</v>
      </c>
      <c r="B10307" s="9"/>
      <c r="C10307" s="9"/>
      <c r="D10307" t="str">
        <f>"F47E1.16"</f>
        <v>F47E1.16</v>
      </c>
      <c r="F10307" t="s">
        <v>481</v>
      </c>
      <c r="H10307" s="12">
        <v>-2.4295389261469</v>
      </c>
      <c r="I10307" s="20">
        <v>-0.25808529976640998</v>
      </c>
      <c r="J10307" s="28">
        <v>0.79634107645457397</v>
      </c>
      <c r="K10307" s="29">
        <v>0.98289565623980701</v>
      </c>
    </row>
    <row r="10308" spans="1:11" x14ac:dyDescent="0.35">
      <c r="A10308" s="9" t="str">
        <f>HYPERLINK("http://www.ensembl.org/id/WBGene00018566", "WBGene00018566")</f>
        <v>WBGene00018566</v>
      </c>
      <c r="B10308" s="9" t="str">
        <f>HYPERLINK("http://www.ncbi.nlm.nih.gov/gene/181145", "181145")</f>
        <v>181145</v>
      </c>
      <c r="C10308" s="9"/>
      <c r="D10308" t="str">
        <f>"F47E1.2"</f>
        <v>F47E1.2</v>
      </c>
      <c r="E10308" t="s">
        <v>782</v>
      </c>
      <c r="F10308" t="s">
        <v>11</v>
      </c>
      <c r="G10308" t="s">
        <v>3740</v>
      </c>
      <c r="H10308" s="12">
        <v>1.2096798068205601</v>
      </c>
      <c r="I10308" s="20">
        <v>0.53326664144394198</v>
      </c>
      <c r="J10308" s="28">
        <v>0.59384901600450901</v>
      </c>
      <c r="K10308" s="29">
        <v>0.98289565623980701</v>
      </c>
    </row>
    <row r="10309" spans="1:11" x14ac:dyDescent="0.35">
      <c r="A10309" s="9" t="str">
        <f>HYPERLINK("http://www.ensembl.org/id/WBGene00023052", "WBGene00023052")</f>
        <v>WBGene00023052</v>
      </c>
      <c r="B10309" s="9"/>
      <c r="C10309" s="9"/>
      <c r="D10309" t="str">
        <f>"F47E1.t1"</f>
        <v>F47E1.t1</v>
      </c>
      <c r="F10309" t="s">
        <v>4208</v>
      </c>
      <c r="H10309" s="12">
        <v>-2.4991590031922399</v>
      </c>
      <c r="I10309" s="20">
        <v>-0.26577412737581302</v>
      </c>
      <c r="J10309" s="28">
        <v>0.79041317015736101</v>
      </c>
      <c r="K10309" s="29">
        <v>0.98289565623980701</v>
      </c>
    </row>
    <row r="10310" spans="1:11" x14ac:dyDescent="0.35">
      <c r="A10310" s="9" t="str">
        <f>HYPERLINK("http://www.ensembl.org/id/WBGene00018571", "WBGene00018571")</f>
        <v>WBGene00018571</v>
      </c>
      <c r="B10310" s="9" t="str">
        <f>HYPERLINK("http://www.ncbi.nlm.nih.gov/gene/185941", "185941")</f>
        <v>185941</v>
      </c>
      <c r="C10310" s="9"/>
      <c r="D10310" t="str">
        <f>"F47F2.3"</f>
        <v>F47F2.3</v>
      </c>
      <c r="F10310" t="s">
        <v>11</v>
      </c>
      <c r="H10310" s="12">
        <v>1.5896666588472701</v>
      </c>
      <c r="I10310" s="20">
        <v>0.50115926402364896</v>
      </c>
      <c r="J10310" s="28">
        <v>0.61625904082351701</v>
      </c>
      <c r="K10310" s="29">
        <v>0.98289565623980701</v>
      </c>
    </row>
    <row r="10311" spans="1:11" x14ac:dyDescent="0.35">
      <c r="A10311" s="9" t="str">
        <f>HYPERLINK("http://www.ensembl.org/id/WBGene00018578", "WBGene00018578")</f>
        <v>WBGene00018578</v>
      </c>
      <c r="B10311" s="9" t="str">
        <f>HYPERLINK("http://www.ncbi.nlm.nih.gov/gene/185944", "185944")</f>
        <v>185944</v>
      </c>
      <c r="C10311" s="9"/>
      <c r="D10311" t="str">
        <f>"F47G3.3"</f>
        <v>F47G3.3</v>
      </c>
      <c r="F10311" t="s">
        <v>11</v>
      </c>
      <c r="H10311" s="12">
        <v>-1.0916163927006099</v>
      </c>
      <c r="I10311" s="20">
        <v>-0.311850524179272</v>
      </c>
      <c r="J10311" s="28">
        <v>0.75515412459477405</v>
      </c>
      <c r="K10311" s="29">
        <v>0.98289565623980701</v>
      </c>
    </row>
    <row r="10312" spans="1:11" x14ac:dyDescent="0.35">
      <c r="A10312" s="9" t="str">
        <f>HYPERLINK("http://www.ensembl.org/id/WBGene00197035", "WBGene00197035")</f>
        <v>WBGene00197035</v>
      </c>
      <c r="B10312" s="9"/>
      <c r="C10312" s="9"/>
      <c r="D10312" t="str">
        <f>"F47G4.11"</f>
        <v>F47G4.11</v>
      </c>
      <c r="F10312" t="s">
        <v>481</v>
      </c>
      <c r="H10312" s="12">
        <v>2.34541765407553</v>
      </c>
      <c r="I10312" s="20">
        <v>0.28884083622080498</v>
      </c>
      <c r="J10312" s="28">
        <v>0.772703180542197</v>
      </c>
      <c r="K10312" s="29">
        <v>0.98289565623980701</v>
      </c>
    </row>
    <row r="10313" spans="1:11" x14ac:dyDescent="0.35">
      <c r="A10313" s="9" t="str">
        <f>HYPERLINK("http://www.ensembl.org/id/WBGene00009825", "WBGene00009825")</f>
        <v>WBGene00009825</v>
      </c>
      <c r="B10313" s="9" t="str">
        <f>HYPERLINK("http://www.ncbi.nlm.nih.gov/gene/173271", "173271")</f>
        <v>173271</v>
      </c>
      <c r="C10313" s="9"/>
      <c r="D10313" t="str">
        <f>"F47G4.4"</f>
        <v>F47G4.4</v>
      </c>
      <c r="F10313" t="s">
        <v>11</v>
      </c>
      <c r="G10313" t="s">
        <v>5922</v>
      </c>
      <c r="H10313" s="12">
        <v>1.08413992644833</v>
      </c>
      <c r="I10313" s="20">
        <v>0.40669171385497799</v>
      </c>
      <c r="J10313" s="28">
        <v>0.68423442711973703</v>
      </c>
      <c r="K10313" s="29">
        <v>0.98289565623980701</v>
      </c>
    </row>
    <row r="10314" spans="1:11" x14ac:dyDescent="0.35">
      <c r="A10314" s="9" t="str">
        <f>HYPERLINK("http://www.ensembl.org/id/WBGene00009826", "WBGene00009826")</f>
        <v>WBGene00009826</v>
      </c>
      <c r="B10314" s="9" t="str">
        <f>HYPERLINK("http://www.ncbi.nlm.nih.gov/gene/173270", "173270")</f>
        <v>173270</v>
      </c>
      <c r="C10314" s="9"/>
      <c r="D10314" t="str">
        <f>"F47G4.5"</f>
        <v>F47G4.5</v>
      </c>
      <c r="F10314" t="s">
        <v>11</v>
      </c>
      <c r="G10314" t="s">
        <v>4662</v>
      </c>
      <c r="H10314" s="12">
        <v>1.5222276974916999</v>
      </c>
      <c r="I10314" s="20">
        <v>0.500197307406825</v>
      </c>
      <c r="J10314" s="28">
        <v>0.61693615411232505</v>
      </c>
      <c r="K10314" s="29">
        <v>0.98289565623980701</v>
      </c>
    </row>
    <row r="10315" spans="1:11" x14ac:dyDescent="0.35">
      <c r="A10315" s="9" t="str">
        <f>HYPERLINK("http://www.ensembl.org/id/WBGene00018580", "WBGene00018580")</f>
        <v>WBGene00018580</v>
      </c>
      <c r="B10315" s="9" t="str">
        <f>HYPERLINK("http://www.ncbi.nlm.nih.gov/gene/171713", "171713")</f>
        <v>171713</v>
      </c>
      <c r="C10315" s="9"/>
      <c r="D10315" t="str">
        <f>"F47G6.3"</f>
        <v>F47G6.3</v>
      </c>
      <c r="F10315" t="s">
        <v>11</v>
      </c>
      <c r="G10315" t="s">
        <v>25</v>
      </c>
      <c r="H10315" s="12">
        <v>-1.95267380847988</v>
      </c>
      <c r="I10315" s="20">
        <v>-0.44523573334731897</v>
      </c>
      <c r="J10315" s="28">
        <v>0.65614940585834303</v>
      </c>
      <c r="K10315" s="29">
        <v>0.98289565623980701</v>
      </c>
    </row>
    <row r="10316" spans="1:11" x14ac:dyDescent="0.35">
      <c r="A10316" s="9" t="str">
        <f>HYPERLINK("http://www.ensembl.org/id/WBGene00009829", "WBGene00009829")</f>
        <v>WBGene00009829</v>
      </c>
      <c r="B10316" s="9" t="str">
        <f>HYPERLINK("http://www.ncbi.nlm.nih.gov/gene/179567", "179567")</f>
        <v>179567</v>
      </c>
      <c r="C10316" s="9" t="str">
        <f>HYPERLINK("http://www.ncbi.nlm.nih.gov/gene/10972", "10972")</f>
        <v>10972</v>
      </c>
      <c r="D10316" t="str">
        <f>"F47G9.1"</f>
        <v>F47G9.1</v>
      </c>
      <c r="F10316" t="s">
        <v>11</v>
      </c>
      <c r="G10316" t="s">
        <v>5288</v>
      </c>
      <c r="H10316" s="12">
        <v>-1.0580327065955699</v>
      </c>
      <c r="I10316" s="20">
        <v>-0.30447267513908099</v>
      </c>
      <c r="J10316" s="28">
        <v>0.76076780723971704</v>
      </c>
      <c r="K10316" s="29">
        <v>0.98289565623980701</v>
      </c>
    </row>
    <row r="10317" spans="1:11" x14ac:dyDescent="0.35">
      <c r="A10317" s="9" t="str">
        <f>HYPERLINK("http://www.ensembl.org/id/WBGene00043053", "WBGene00043053")</f>
        <v>WBGene00043053</v>
      </c>
      <c r="B10317" s="9"/>
      <c r="C10317" s="9"/>
      <c r="D10317" t="str">
        <f>"F47H4.12"</f>
        <v>F47H4.12</v>
      </c>
      <c r="F10317" t="s">
        <v>80</v>
      </c>
      <c r="H10317" s="12">
        <v>2.3890283265010401</v>
      </c>
      <c r="I10317" s="20">
        <v>0.67212971702997604</v>
      </c>
      <c r="J10317" s="28">
        <v>0.50150111954668897</v>
      </c>
      <c r="K10317" s="29">
        <v>0.98289565623980701</v>
      </c>
    </row>
    <row r="10318" spans="1:11" x14ac:dyDescent="0.35">
      <c r="A10318" s="9" t="str">
        <f>HYPERLINK("http://www.ensembl.org/id/WBGene00009835", "WBGene00009835")</f>
        <v>WBGene00009835</v>
      </c>
      <c r="B10318" s="9" t="str">
        <f>HYPERLINK("http://www.ncbi.nlm.nih.gov/gene/180150", "180150")</f>
        <v>180150</v>
      </c>
      <c r="C10318" s="9"/>
      <c r="D10318" t="str">
        <f>"F47H4.2"</f>
        <v>F47H4.2</v>
      </c>
      <c r="F10318" t="s">
        <v>11</v>
      </c>
      <c r="G10318" t="s">
        <v>54</v>
      </c>
      <c r="H10318" s="12">
        <v>-1.71028848604112</v>
      </c>
      <c r="I10318" s="20">
        <v>-1.03655421594563</v>
      </c>
      <c r="J10318" s="28">
        <v>0.29994366003283801</v>
      </c>
      <c r="K10318" s="29">
        <v>0.98289565623980701</v>
      </c>
    </row>
    <row r="10319" spans="1:11" x14ac:dyDescent="0.35">
      <c r="A10319" s="9" t="str">
        <f>HYPERLINK("http://www.ensembl.org/id/WBGene00045088", "WBGene00045088")</f>
        <v>WBGene00045088</v>
      </c>
      <c r="B10319" s="9"/>
      <c r="C10319" s="9"/>
      <c r="D10319" t="str">
        <f>"F48A11.7"</f>
        <v>F48A11.7</v>
      </c>
      <c r="F10319" t="s">
        <v>2977</v>
      </c>
      <c r="H10319" s="12">
        <v>-3.7261494131482999</v>
      </c>
      <c r="I10319" s="20">
        <v>-0.38454673129429601</v>
      </c>
      <c r="J10319" s="28">
        <v>0.70057326682554</v>
      </c>
      <c r="K10319" s="29">
        <v>0.98289565623980701</v>
      </c>
    </row>
    <row r="10320" spans="1:11" x14ac:dyDescent="0.35">
      <c r="A10320" s="9" t="str">
        <f>HYPERLINK("http://www.ensembl.org/id/WBGene00018582", "WBGene00018582")</f>
        <v>WBGene00018582</v>
      </c>
      <c r="B10320" s="9" t="str">
        <f>HYPERLINK("http://www.ncbi.nlm.nih.gov/gene/185958", "185958")</f>
        <v>185958</v>
      </c>
      <c r="C10320" s="9"/>
      <c r="D10320" t="str">
        <f>"F48A9.2"</f>
        <v>F48A9.2</v>
      </c>
      <c r="F10320" t="s">
        <v>11</v>
      </c>
      <c r="H10320" s="12">
        <v>-1.2419547029456199</v>
      </c>
      <c r="I10320" s="20">
        <v>-1.20238237746948</v>
      </c>
      <c r="J10320" s="28">
        <v>0.22921541366814799</v>
      </c>
      <c r="K10320" s="29">
        <v>0.98289565623980701</v>
      </c>
    </row>
    <row r="10321" spans="1:11" x14ac:dyDescent="0.35">
      <c r="A10321" s="9" t="str">
        <f>HYPERLINK("http://www.ensembl.org/id/WBGene00197712", "WBGene00197712")</f>
        <v>WBGene00197712</v>
      </c>
      <c r="B10321" s="9"/>
      <c r="C10321" s="9"/>
      <c r="D10321" t="str">
        <f>"F48A9.4"</f>
        <v>F48A9.4</v>
      </c>
      <c r="F10321" t="s">
        <v>481</v>
      </c>
      <c r="H10321" s="12">
        <v>-3.7261494131482999</v>
      </c>
      <c r="I10321" s="20">
        <v>-0.38454673129429601</v>
      </c>
      <c r="J10321" s="28">
        <v>0.70057326682554</v>
      </c>
      <c r="K10321" s="29">
        <v>0.98289565623980701</v>
      </c>
    </row>
    <row r="10322" spans="1:11" x14ac:dyDescent="0.35">
      <c r="A10322" s="9" t="str">
        <f>HYPERLINK("http://www.ensembl.org/id/WBGene00018587", "WBGene00018587")</f>
        <v>WBGene00018587</v>
      </c>
      <c r="B10322" s="9" t="str">
        <f>HYPERLINK("http://www.ncbi.nlm.nih.gov/gene/185963", "185963")</f>
        <v>185963</v>
      </c>
      <c r="C10322" s="9"/>
      <c r="D10322" t="str">
        <f>"F48B9.1"</f>
        <v>F48B9.1</v>
      </c>
      <c r="F10322" t="s">
        <v>11</v>
      </c>
      <c r="H10322" s="12">
        <v>1.21915932015274</v>
      </c>
      <c r="I10322" s="20">
        <v>0.64426931523701902</v>
      </c>
      <c r="J10322" s="28">
        <v>0.51940080974812997</v>
      </c>
      <c r="K10322" s="29">
        <v>0.98289565623980701</v>
      </c>
    </row>
    <row r="10323" spans="1:11" x14ac:dyDescent="0.35">
      <c r="A10323" s="9" t="str">
        <f>HYPERLINK("http://www.ensembl.org/id/WBGene00018589", "WBGene00018589")</f>
        <v>WBGene00018589</v>
      </c>
      <c r="B10323" s="9" t="str">
        <f>HYPERLINK("http://www.ncbi.nlm.nih.gov/gene/185965", "185965")</f>
        <v>185965</v>
      </c>
      <c r="C10323" s="9"/>
      <c r="D10323" t="str">
        <f>"F48B9.3"</f>
        <v>F48B9.3</v>
      </c>
      <c r="F10323" t="s">
        <v>11</v>
      </c>
      <c r="G10323" t="s">
        <v>25</v>
      </c>
      <c r="H10323" s="12">
        <v>-1.5563632335798401</v>
      </c>
      <c r="I10323" s="20">
        <v>-1.0914804055043299</v>
      </c>
      <c r="J10323" s="28">
        <v>0.27506154926926502</v>
      </c>
      <c r="K10323" s="29">
        <v>0.98289565623980701</v>
      </c>
    </row>
    <row r="10324" spans="1:11" x14ac:dyDescent="0.35">
      <c r="A10324" s="9" t="str">
        <f>HYPERLINK("http://www.ensembl.org/id/WBGene00196397", "WBGene00196397")</f>
        <v>WBGene00196397</v>
      </c>
      <c r="B10324" s="9"/>
      <c r="C10324" s="9"/>
      <c r="D10324" t="str">
        <f>"F48C1.12"</f>
        <v>F48C1.12</v>
      </c>
      <c r="F10324" t="s">
        <v>481</v>
      </c>
      <c r="H10324" s="12">
        <v>7.7332001203887399</v>
      </c>
      <c r="I10324" s="20">
        <v>0.82261633065247097</v>
      </c>
      <c r="J10324" s="28">
        <v>0.41072620892744899</v>
      </c>
      <c r="K10324" s="29">
        <v>0.98289565623980701</v>
      </c>
    </row>
    <row r="10325" spans="1:11" x14ac:dyDescent="0.35">
      <c r="A10325" s="9" t="str">
        <f>HYPERLINK("http://www.ensembl.org/id/WBGene00201106", "WBGene00201106")</f>
        <v>WBGene00201106</v>
      </c>
      <c r="B10325" s="9"/>
      <c r="C10325" s="9"/>
      <c r="D10325" t="str">
        <f>"F48C1.14"</f>
        <v>F48C1.14</v>
      </c>
      <c r="F10325" t="s">
        <v>481</v>
      </c>
      <c r="H10325" s="12">
        <v>13.2083681824683</v>
      </c>
      <c r="I10325" s="20">
        <v>0.79736709025154395</v>
      </c>
      <c r="J10325" s="28">
        <v>0.42523786651974499</v>
      </c>
      <c r="K10325" s="29">
        <v>0.98289565623980701</v>
      </c>
    </row>
    <row r="10326" spans="1:11" x14ac:dyDescent="0.35">
      <c r="A10326" s="9" t="str">
        <f>HYPERLINK("http://www.ensembl.org/id/WBGene00018598", "WBGene00018598")</f>
        <v>WBGene00018598</v>
      </c>
      <c r="B10326" s="9" t="str">
        <f>HYPERLINK("http://www.ncbi.nlm.nih.gov/gene/185975", "185975")</f>
        <v>185975</v>
      </c>
      <c r="C10326" s="9"/>
      <c r="D10326" t="str">
        <f>"F48C1.5"</f>
        <v>F48C1.5</v>
      </c>
      <c r="F10326" t="s">
        <v>11</v>
      </c>
      <c r="H10326" s="12">
        <v>-1.3522265635384401</v>
      </c>
      <c r="I10326" s="20">
        <v>-1.1740773261775399</v>
      </c>
      <c r="J10326" s="28">
        <v>0.240364054424026</v>
      </c>
      <c r="K10326" s="29">
        <v>0.98289565623980701</v>
      </c>
    </row>
    <row r="10327" spans="1:11" x14ac:dyDescent="0.35">
      <c r="A10327" s="9" t="str">
        <f>HYPERLINK("http://www.ensembl.org/id/WBGene00018601", "WBGene00018601")</f>
        <v>WBGene00018601</v>
      </c>
      <c r="B10327" s="9" t="str">
        <f>HYPERLINK("http://www.ncbi.nlm.nih.gov/gene/266832", "266832")</f>
        <v>266832</v>
      </c>
      <c r="C10327" s="9"/>
      <c r="D10327" t="str">
        <f>"F48C1.9"</f>
        <v>F48C1.9</v>
      </c>
      <c r="F10327" t="s">
        <v>11</v>
      </c>
      <c r="H10327" s="12">
        <v>-1.4321011306506299</v>
      </c>
      <c r="I10327" s="20">
        <v>-0.67694852061687005</v>
      </c>
      <c r="J10327" s="28">
        <v>0.49843861736761802</v>
      </c>
      <c r="K10327" s="29">
        <v>0.98289565623980701</v>
      </c>
    </row>
    <row r="10328" spans="1:11" x14ac:dyDescent="0.35">
      <c r="A10328" s="9" t="str">
        <f>HYPERLINK("http://www.ensembl.org/id/WBGene00195858", "WBGene00195858")</f>
        <v>WBGene00195858</v>
      </c>
      <c r="B10328" s="9"/>
      <c r="C10328" s="9"/>
      <c r="D10328" t="str">
        <f>"F48C11.6"</f>
        <v>F48C11.6</v>
      </c>
      <c r="F10328" t="s">
        <v>481</v>
      </c>
      <c r="H10328" s="12">
        <v>3.5227018545059199</v>
      </c>
      <c r="I10328" s="20">
        <v>0.36849691206929103</v>
      </c>
      <c r="J10328" s="28">
        <v>0.71250274722433404</v>
      </c>
      <c r="K10328" s="29">
        <v>0.98289565623980701</v>
      </c>
    </row>
    <row r="10329" spans="1:11" x14ac:dyDescent="0.35">
      <c r="A10329" s="9" t="str">
        <f>HYPERLINK("http://www.ensembl.org/id/WBGene00195614", "WBGene00195614")</f>
        <v>WBGene00195614</v>
      </c>
      <c r="B10329" s="9"/>
      <c r="C10329" s="9"/>
      <c r="D10329" t="str">
        <f>"F48C5.4"</f>
        <v>F48C5.4</v>
      </c>
      <c r="F10329" t="s">
        <v>481</v>
      </c>
      <c r="H10329" s="12">
        <v>2.4578120077400301</v>
      </c>
      <c r="I10329" s="20">
        <v>0.26093350314551</v>
      </c>
      <c r="J10329" s="28">
        <v>0.79414378780213601</v>
      </c>
      <c r="K10329" s="29">
        <v>0.98289565623980701</v>
      </c>
    </row>
    <row r="10330" spans="1:11" x14ac:dyDescent="0.35">
      <c r="A10330" s="9" t="str">
        <f>HYPERLINK("http://www.ensembl.org/id/WBGene00195818", "WBGene00195818")</f>
        <v>WBGene00195818</v>
      </c>
      <c r="B10330" s="9"/>
      <c r="C10330" s="9"/>
      <c r="D10330" t="str">
        <f>"F48C5.5"</f>
        <v>F48C5.5</v>
      </c>
      <c r="F10330" t="s">
        <v>481</v>
      </c>
      <c r="H10330" s="12">
        <v>-3.7261494131482999</v>
      </c>
      <c r="I10330" s="20">
        <v>-0.38454673129429601</v>
      </c>
      <c r="J10330" s="28">
        <v>0.70057326682554</v>
      </c>
      <c r="K10330" s="29">
        <v>0.98289565623980701</v>
      </c>
    </row>
    <row r="10331" spans="1:11" x14ac:dyDescent="0.35">
      <c r="A10331" s="9" t="str">
        <f>HYPERLINK("http://www.ensembl.org/id/WBGene00018603", "WBGene00018603")</f>
        <v>WBGene00018603</v>
      </c>
      <c r="B10331" s="9" t="str">
        <f>HYPERLINK("http://www.ncbi.nlm.nih.gov/gene/185981", "185981")</f>
        <v>185981</v>
      </c>
      <c r="C10331" s="9"/>
      <c r="D10331" t="str">
        <f>"F48E3.2"</f>
        <v>F48E3.2</v>
      </c>
      <c r="F10331" t="s">
        <v>11</v>
      </c>
      <c r="G10331" t="s">
        <v>230</v>
      </c>
      <c r="H10331" s="12">
        <v>1.33717687036858</v>
      </c>
      <c r="I10331" s="20">
        <v>0.83777508396660505</v>
      </c>
      <c r="J10331" s="28">
        <v>0.40215703482474902</v>
      </c>
      <c r="K10331" s="29">
        <v>0.98289565623980701</v>
      </c>
    </row>
    <row r="10332" spans="1:11" x14ac:dyDescent="0.35">
      <c r="A10332" s="9" t="str">
        <f>HYPERLINK("http://www.ensembl.org/id/WBGene00018607", "WBGene00018607")</f>
        <v>WBGene00018607</v>
      </c>
      <c r="B10332" s="9" t="str">
        <f>HYPERLINK("http://www.ncbi.nlm.nih.gov/gene/181010", "181010")</f>
        <v>181010</v>
      </c>
      <c r="C10332" s="9"/>
      <c r="D10332" t="str">
        <f>"F48E3.8"</f>
        <v>F48E3.8</v>
      </c>
      <c r="F10332" t="s">
        <v>11</v>
      </c>
      <c r="G10332" t="s">
        <v>7013</v>
      </c>
      <c r="H10332" s="12">
        <v>-1.1022677738440301</v>
      </c>
      <c r="I10332" s="20">
        <v>-0.37196819237895701</v>
      </c>
      <c r="J10332" s="28">
        <v>0.70991653166289403</v>
      </c>
      <c r="K10332" s="29">
        <v>0.98289565623980701</v>
      </c>
    </row>
    <row r="10333" spans="1:11" x14ac:dyDescent="0.35">
      <c r="A10333" s="9" t="str">
        <f>HYPERLINK("http://www.ensembl.org/id/WBGene00018608", "WBGene00018608")</f>
        <v>WBGene00018608</v>
      </c>
      <c r="B10333" s="9" t="str">
        <f>HYPERLINK("http://www.ncbi.nlm.nih.gov/gene/185982", "185982")</f>
        <v>185982</v>
      </c>
      <c r="C10333" s="9"/>
      <c r="D10333" t="str">
        <f>"F48E3.9"</f>
        <v>F48E3.9</v>
      </c>
      <c r="F10333" t="s">
        <v>11</v>
      </c>
      <c r="H10333" s="12">
        <v>1.3623236251751301</v>
      </c>
      <c r="I10333" s="20">
        <v>0.57181797663162204</v>
      </c>
      <c r="J10333" s="28">
        <v>0.567445297264353</v>
      </c>
      <c r="K10333" s="29">
        <v>0.98289565623980701</v>
      </c>
    </row>
    <row r="10334" spans="1:11" x14ac:dyDescent="0.35">
      <c r="A10334" s="9" t="str">
        <f>HYPERLINK("http://www.ensembl.org/id/WBGene00018610", "WBGene00018610")</f>
        <v>WBGene00018610</v>
      </c>
      <c r="B10334" s="9" t="str">
        <f>HYPERLINK("http://www.ncbi.nlm.nih.gov/gene/175751", "175751")</f>
        <v>175751</v>
      </c>
      <c r="C10334" s="9"/>
      <c r="D10334" t="str">
        <f>"F48E8.3"</f>
        <v>F48E8.3</v>
      </c>
      <c r="F10334" t="s">
        <v>11</v>
      </c>
      <c r="G10334" t="s">
        <v>8430</v>
      </c>
      <c r="H10334" s="12">
        <v>-1.1771382787687701</v>
      </c>
      <c r="I10334" s="20">
        <v>-0.89809084117186899</v>
      </c>
      <c r="J10334" s="28">
        <v>0.36913712144913402</v>
      </c>
      <c r="K10334" s="29">
        <v>0.98289565623980701</v>
      </c>
    </row>
    <row r="10335" spans="1:11" x14ac:dyDescent="0.35">
      <c r="A10335" s="9" t="str">
        <f>HYPERLINK("http://www.ensembl.org/id/WBGene00018611", "WBGene00018611")</f>
        <v>WBGene00018611</v>
      </c>
      <c r="B10335" s="9" t="str">
        <f>HYPERLINK("http://www.ncbi.nlm.nih.gov/gene/185984", "185984")</f>
        <v>185984</v>
      </c>
      <c r="C10335" s="9"/>
      <c r="D10335" t="str">
        <f>"F48E8.4"</f>
        <v>F48E8.4</v>
      </c>
      <c r="F10335" t="s">
        <v>11</v>
      </c>
      <c r="G10335" t="s">
        <v>5140</v>
      </c>
      <c r="H10335" s="12">
        <v>1.2320312740142001</v>
      </c>
      <c r="I10335" s="20">
        <v>1.03774144543945</v>
      </c>
      <c r="J10335" s="28">
        <v>0.29939044401418402</v>
      </c>
      <c r="K10335" s="29">
        <v>0.98289565623980701</v>
      </c>
    </row>
    <row r="10336" spans="1:11" x14ac:dyDescent="0.35">
      <c r="A10336" s="9" t="str">
        <f>HYPERLINK("http://www.ensembl.org/id/WBGene00044410", "WBGene00044410")</f>
        <v>WBGene00044410</v>
      </c>
      <c r="B10336" s="9" t="str">
        <f>HYPERLINK("http://www.ncbi.nlm.nih.gov/gene/3896745", "3896745")</f>
        <v>3896745</v>
      </c>
      <c r="C10336" s="9"/>
      <c r="D10336" t="str">
        <f>"F48E8.8"</f>
        <v>F48E8.8</v>
      </c>
      <c r="F10336" t="s">
        <v>11</v>
      </c>
      <c r="H10336" s="12">
        <v>1.1075900317263601</v>
      </c>
      <c r="I10336" s="20">
        <v>0.41684391856224001</v>
      </c>
      <c r="J10336" s="28">
        <v>0.67679257611965105</v>
      </c>
      <c r="K10336" s="29">
        <v>0.98289565623980701</v>
      </c>
    </row>
    <row r="10337" spans="1:11" x14ac:dyDescent="0.35">
      <c r="A10337" s="9" t="str">
        <f>HYPERLINK("http://www.ensembl.org/id/WBGene00009846", "WBGene00009846")</f>
        <v>WBGene00009846</v>
      </c>
      <c r="B10337" s="9"/>
      <c r="C10337" s="9"/>
      <c r="D10337" t="str">
        <f>"F48F5.2"</f>
        <v>F48F5.2</v>
      </c>
      <c r="F10337" t="s">
        <v>80</v>
      </c>
      <c r="H10337" s="12">
        <v>1.5065167652801299</v>
      </c>
      <c r="I10337" s="20">
        <v>0.44068122054696302</v>
      </c>
      <c r="J10337" s="28">
        <v>0.65944379384985496</v>
      </c>
      <c r="K10337" s="29">
        <v>0.98289565623980701</v>
      </c>
    </row>
    <row r="10338" spans="1:11" x14ac:dyDescent="0.35">
      <c r="A10338" s="9" t="str">
        <f>HYPERLINK("http://www.ensembl.org/id/WBGene00009848", "WBGene00009848")</f>
        <v>WBGene00009848</v>
      </c>
      <c r="B10338" s="9" t="str">
        <f>HYPERLINK("http://www.ncbi.nlm.nih.gov/gene/259685", "259685")</f>
        <v>259685</v>
      </c>
      <c r="C10338" s="9"/>
      <c r="D10338" t="str">
        <f>"F48F5.6"</f>
        <v>F48F5.6</v>
      </c>
      <c r="F10338" t="s">
        <v>11</v>
      </c>
      <c r="G10338" t="s">
        <v>25</v>
      </c>
      <c r="H10338" s="12">
        <v>1.3238655925524201</v>
      </c>
      <c r="I10338" s="20">
        <v>0.79301597905689902</v>
      </c>
      <c r="J10338" s="28">
        <v>0.42776851308240499</v>
      </c>
      <c r="K10338" s="29">
        <v>0.98289565623980701</v>
      </c>
    </row>
    <row r="10339" spans="1:11" x14ac:dyDescent="0.35">
      <c r="A10339" s="9" t="str">
        <f>HYPERLINK("http://www.ensembl.org/id/WBGene00219957", "WBGene00219957")</f>
        <v>WBGene00219957</v>
      </c>
      <c r="B10339" s="9"/>
      <c r="C10339" s="9"/>
      <c r="D10339" t="str">
        <f>"F48F5.7"</f>
        <v>F48F5.7</v>
      </c>
      <c r="F10339" t="s">
        <v>2977</v>
      </c>
      <c r="H10339" s="12">
        <v>4.6387698961716399</v>
      </c>
      <c r="I10339" s="20">
        <v>0.44985450087338802</v>
      </c>
      <c r="J10339" s="28">
        <v>0.65281535672642099</v>
      </c>
      <c r="K10339" s="29">
        <v>0.98289565623980701</v>
      </c>
    </row>
    <row r="10340" spans="1:11" x14ac:dyDescent="0.35">
      <c r="A10340" s="9" t="str">
        <f>HYPERLINK("http://www.ensembl.org/id/WBGene00018624", "WBGene00018624")</f>
        <v>WBGene00018624</v>
      </c>
      <c r="B10340" s="9" t="str">
        <f>HYPERLINK("http://www.ncbi.nlm.nih.gov/gene/186001", "186001")</f>
        <v>186001</v>
      </c>
      <c r="C10340" s="9"/>
      <c r="D10340" t="str">
        <f>"F48G7.13"</f>
        <v>F48G7.13</v>
      </c>
      <c r="F10340" t="s">
        <v>11</v>
      </c>
      <c r="G10340" t="s">
        <v>54</v>
      </c>
      <c r="H10340" s="12">
        <v>2.0559248500407001</v>
      </c>
      <c r="I10340" s="20">
        <v>0.89901241634616702</v>
      </c>
      <c r="J10340" s="28">
        <v>0.36864604713068999</v>
      </c>
      <c r="K10340" s="29">
        <v>0.98289565623980701</v>
      </c>
    </row>
    <row r="10341" spans="1:11" x14ac:dyDescent="0.35">
      <c r="A10341" s="9" t="str">
        <f>HYPERLINK("http://www.ensembl.org/id/WBGene00255730", "WBGene00255730")</f>
        <v>WBGene00255730</v>
      </c>
      <c r="B10341" s="9"/>
      <c r="C10341" s="9"/>
      <c r="D10341" t="str">
        <f>"F48G7.15"</f>
        <v>F48G7.15</v>
      </c>
      <c r="F10341" t="s">
        <v>80</v>
      </c>
      <c r="H10341" s="12">
        <v>3.20132626081717</v>
      </c>
      <c r="I10341" s="20">
        <v>1.18347036563176</v>
      </c>
      <c r="J10341" s="28">
        <v>0.236622784443585</v>
      </c>
      <c r="K10341" s="29">
        <v>0.98289565623980701</v>
      </c>
    </row>
    <row r="10342" spans="1:11" x14ac:dyDescent="0.35">
      <c r="A10342" s="9" t="str">
        <f>HYPERLINK("http://www.ensembl.org/id/WBGene00018616", "WBGene00018616")</f>
        <v>WBGene00018616</v>
      </c>
      <c r="B10342" s="9" t="str">
        <f>HYPERLINK("http://www.ncbi.nlm.nih.gov/gene/178578", "178578")</f>
        <v>178578</v>
      </c>
      <c r="C10342" s="9"/>
      <c r="D10342" t="str">
        <f>"F48G7.5"</f>
        <v>F48G7.5</v>
      </c>
      <c r="F10342" t="s">
        <v>11</v>
      </c>
      <c r="H10342" s="12">
        <v>1.5972057872026</v>
      </c>
      <c r="I10342" s="20">
        <v>0.72218884594260202</v>
      </c>
      <c r="J10342" s="28">
        <v>0.47017838006030699</v>
      </c>
      <c r="K10342" s="29">
        <v>0.98289565623980701</v>
      </c>
    </row>
    <row r="10343" spans="1:11" x14ac:dyDescent="0.35">
      <c r="A10343" s="9" t="str">
        <f>HYPERLINK("http://www.ensembl.org/id/WBGene00018618", "WBGene00018618")</f>
        <v>WBGene00018618</v>
      </c>
      <c r="B10343" s="9" t="str">
        <f>HYPERLINK("http://www.ncbi.nlm.nih.gov/gene/185995", "185995")</f>
        <v>185995</v>
      </c>
      <c r="C10343" s="9"/>
      <c r="D10343" t="str">
        <f>"F48G7.7"</f>
        <v>F48G7.7</v>
      </c>
      <c r="F10343" t="s">
        <v>11</v>
      </c>
      <c r="H10343" s="12">
        <v>-2.4991590031922399</v>
      </c>
      <c r="I10343" s="20">
        <v>-0.26577412737581302</v>
      </c>
      <c r="J10343" s="28">
        <v>0.79041317015736101</v>
      </c>
      <c r="K10343" s="29">
        <v>0.98289565623980701</v>
      </c>
    </row>
    <row r="10344" spans="1:11" x14ac:dyDescent="0.35">
      <c r="A10344" s="9" t="str">
        <f>HYPERLINK("http://www.ensembl.org/id/WBGene00018619", "WBGene00018619")</f>
        <v>WBGene00018619</v>
      </c>
      <c r="B10344" s="9" t="str">
        <f>HYPERLINK("http://www.ncbi.nlm.nih.gov/gene/185996", "185996")</f>
        <v>185996</v>
      </c>
      <c r="C10344" s="9"/>
      <c r="D10344" t="str">
        <f>"F48G7.8"</f>
        <v>F48G7.8</v>
      </c>
      <c r="F10344" t="s">
        <v>11</v>
      </c>
      <c r="H10344" s="12">
        <v>7.4660855570883502</v>
      </c>
      <c r="I10344" s="20">
        <v>0.81744859080034304</v>
      </c>
      <c r="J10344" s="28">
        <v>0.41367211693568501</v>
      </c>
      <c r="K10344" s="29">
        <v>0.98289565623980701</v>
      </c>
    </row>
    <row r="10345" spans="1:11" x14ac:dyDescent="0.35">
      <c r="A10345" s="9" t="str">
        <f>HYPERLINK("http://www.ensembl.org/id/WBGene00009863", "WBGene00009863")</f>
        <v>WBGene00009863</v>
      </c>
      <c r="B10345" s="9" t="str">
        <f>HYPERLINK("http://www.ncbi.nlm.nih.gov/gene/186010", "186010")</f>
        <v>186010</v>
      </c>
      <c r="C10345" s="9"/>
      <c r="D10345" t="str">
        <f>"F49B2.3"</f>
        <v>F49B2.3</v>
      </c>
      <c r="F10345" t="s">
        <v>11</v>
      </c>
      <c r="H10345" s="12">
        <v>1.89456847914496</v>
      </c>
      <c r="I10345" s="20">
        <v>1.07667828455755</v>
      </c>
      <c r="J10345" s="28">
        <v>0.28162401700567702</v>
      </c>
      <c r="K10345" s="29">
        <v>0.98289565623980701</v>
      </c>
    </row>
    <row r="10346" spans="1:11" x14ac:dyDescent="0.35">
      <c r="A10346" s="9" t="str">
        <f>HYPERLINK("http://www.ensembl.org/id/WBGene00009864", "WBGene00009864")</f>
        <v>WBGene00009864</v>
      </c>
      <c r="B10346" s="9"/>
      <c r="C10346" s="9"/>
      <c r="D10346" t="str">
        <f>"F49B2.4"</f>
        <v>F49B2.4</v>
      </c>
      <c r="F10346" t="s">
        <v>80</v>
      </c>
      <c r="H10346" s="12">
        <v>2.3157485619624301</v>
      </c>
      <c r="I10346" s="20">
        <v>0.76980555040207099</v>
      </c>
      <c r="J10346" s="28">
        <v>0.44141524678183403</v>
      </c>
      <c r="K10346" s="29">
        <v>0.98289565623980701</v>
      </c>
    </row>
    <row r="10347" spans="1:11" x14ac:dyDescent="0.35">
      <c r="A10347" s="9" t="str">
        <f>HYPERLINK("http://www.ensembl.org/id/WBGene00086555", "WBGene00086555")</f>
        <v>WBGene00086555</v>
      </c>
      <c r="B10347" s="9" t="str">
        <f>HYPERLINK("http://www.ncbi.nlm.nih.gov/gene/7040179", "7040179")</f>
        <v>7040179</v>
      </c>
      <c r="C10347" s="9"/>
      <c r="D10347" t="str">
        <f>"F49B2.7"</f>
        <v>F49B2.7</v>
      </c>
      <c r="F10347" t="s">
        <v>11</v>
      </c>
      <c r="H10347" s="12">
        <v>1.4533042815234301</v>
      </c>
      <c r="I10347" s="20">
        <v>0.70629075289798504</v>
      </c>
      <c r="J10347" s="28">
        <v>0.48000734281945401</v>
      </c>
      <c r="K10347" s="29">
        <v>0.98289565623980701</v>
      </c>
    </row>
    <row r="10348" spans="1:11" x14ac:dyDescent="0.35">
      <c r="A10348" s="9" t="str">
        <f>HYPERLINK("http://www.ensembl.org/id/WBGene00268216", "WBGene00268216")</f>
        <v>WBGene00268216</v>
      </c>
      <c r="B10348" s="9" t="str">
        <f>HYPERLINK("http://www.ncbi.nlm.nih.gov/gene/26591690", "26591690")</f>
        <v>26591690</v>
      </c>
      <c r="C10348" s="9"/>
      <c r="D10348" t="str">
        <f>"F49B2.9"</f>
        <v>F49B2.9</v>
      </c>
      <c r="F10348" t="s">
        <v>11</v>
      </c>
      <c r="H10348" s="12">
        <v>6.9083294444322796</v>
      </c>
      <c r="I10348" s="20">
        <v>0.87530276280874997</v>
      </c>
      <c r="J10348" s="28">
        <v>0.38140919125548101</v>
      </c>
      <c r="K10348" s="29">
        <v>0.98289565623980701</v>
      </c>
    </row>
    <row r="10349" spans="1:11" x14ac:dyDescent="0.35">
      <c r="A10349" s="9" t="str">
        <f>HYPERLINK("http://www.ensembl.org/id/WBGene00009880", "WBGene00009880")</f>
        <v>WBGene00009880</v>
      </c>
      <c r="B10349" s="9" t="str">
        <f>HYPERLINK("http://www.ncbi.nlm.nih.gov/gene/177756", "177756")</f>
        <v>177756</v>
      </c>
      <c r="C10349" s="9"/>
      <c r="D10349" t="str">
        <f>"F49C12.11"</f>
        <v>F49C12.11</v>
      </c>
      <c r="E10349" t="s">
        <v>6968</v>
      </c>
      <c r="F10349" t="s">
        <v>11</v>
      </c>
      <c r="G10349" t="s">
        <v>6969</v>
      </c>
      <c r="H10349" s="12">
        <v>-1.1003262636045701</v>
      </c>
      <c r="I10349" s="20">
        <v>-0.50340213293007796</v>
      </c>
      <c r="J10349" s="28">
        <v>0.61468157232058096</v>
      </c>
      <c r="K10349" s="29">
        <v>0.98289565623980701</v>
      </c>
    </row>
    <row r="10350" spans="1:11" x14ac:dyDescent="0.35">
      <c r="A10350" s="9" t="str">
        <f>HYPERLINK("http://www.ensembl.org/id/WBGene00009874", "WBGene00009874")</f>
        <v>WBGene00009874</v>
      </c>
      <c r="B10350" s="9" t="str">
        <f>HYPERLINK("http://www.ncbi.nlm.nih.gov/gene/186027", "186027")</f>
        <v>186027</v>
      </c>
      <c r="C10350" s="9"/>
      <c r="D10350" t="str">
        <f>"F49C12.4"</f>
        <v>F49C12.4</v>
      </c>
      <c r="F10350" t="s">
        <v>11</v>
      </c>
      <c r="G10350" t="s">
        <v>25</v>
      </c>
      <c r="H10350" s="12">
        <v>1.5527628061829599</v>
      </c>
      <c r="I10350" s="20">
        <v>0.34309489774720098</v>
      </c>
      <c r="J10350" s="28">
        <v>0.73152706943891099</v>
      </c>
      <c r="K10350" s="29">
        <v>0.98289565623980701</v>
      </c>
    </row>
    <row r="10351" spans="1:11" x14ac:dyDescent="0.35">
      <c r="A10351" s="9" t="str">
        <f>HYPERLINK("http://www.ensembl.org/id/WBGene00009876", "WBGene00009876")</f>
        <v>WBGene00009876</v>
      </c>
      <c r="B10351" s="9" t="str">
        <f>HYPERLINK("http://www.ncbi.nlm.nih.gov/gene/186030", "186030")</f>
        <v>186030</v>
      </c>
      <c r="C10351" s="9" t="str">
        <f>HYPERLINK("http://www.ncbi.nlm.nih.gov/gene/55314", "55314")</f>
        <v>55314</v>
      </c>
      <c r="D10351" t="str">
        <f>"F49C12.6"</f>
        <v>F49C12.6</v>
      </c>
      <c r="F10351" t="s">
        <v>11</v>
      </c>
      <c r="G10351" t="s">
        <v>1001</v>
      </c>
      <c r="H10351" s="12">
        <v>-1.3887321006367599</v>
      </c>
      <c r="I10351" s="20">
        <v>-0.69008359701274202</v>
      </c>
      <c r="J10351" s="28">
        <v>0.49014161777037402</v>
      </c>
      <c r="K10351" s="29">
        <v>0.98289565623980701</v>
      </c>
    </row>
    <row r="10352" spans="1:11" x14ac:dyDescent="0.35">
      <c r="A10352" s="9" t="str">
        <f>HYPERLINK("http://www.ensembl.org/id/WBGene00044163", "WBGene00044163")</f>
        <v>WBGene00044163</v>
      </c>
      <c r="B10352" s="9" t="str">
        <f>HYPERLINK("http://www.ncbi.nlm.nih.gov/gene/3565943", "3565943")</f>
        <v>3565943</v>
      </c>
      <c r="C10352" s="9"/>
      <c r="D10352" t="str">
        <f>"F49C5.11"</f>
        <v>F49C5.11</v>
      </c>
      <c r="F10352" t="s">
        <v>11</v>
      </c>
      <c r="H10352" s="12">
        <v>2.3893468495514898</v>
      </c>
      <c r="I10352" s="20">
        <v>0.25323547253672701</v>
      </c>
      <c r="J10352" s="28">
        <v>0.80008625651646104</v>
      </c>
      <c r="K10352" s="29">
        <v>0.98289565623980701</v>
      </c>
    </row>
    <row r="10353" spans="1:11" x14ac:dyDescent="0.35">
      <c r="A10353" s="9" t="str">
        <f>HYPERLINK("http://www.ensembl.org/id/WBGene00184956", "WBGene00184956")</f>
        <v>WBGene00184956</v>
      </c>
      <c r="B10353" s="9" t="str">
        <f>HYPERLINK("http://www.ncbi.nlm.nih.gov/gene/13187507", "13187507")</f>
        <v>13187507</v>
      </c>
      <c r="C10353" s="9"/>
      <c r="D10353" t="str">
        <f>"F49C5.12"</f>
        <v>F49C5.12</v>
      </c>
      <c r="F10353" t="s">
        <v>11</v>
      </c>
      <c r="H10353" s="12">
        <v>10.8131830636529</v>
      </c>
      <c r="I10353" s="20">
        <v>0.70982715185838596</v>
      </c>
      <c r="J10353" s="28">
        <v>0.477811329444844</v>
      </c>
      <c r="K10353" s="29">
        <v>0.98289565623980701</v>
      </c>
    </row>
    <row r="10354" spans="1:11" x14ac:dyDescent="0.35">
      <c r="A10354" s="9" t="str">
        <f>HYPERLINK("http://www.ensembl.org/id/WBGene00009866", "WBGene00009866")</f>
        <v>WBGene00009866</v>
      </c>
      <c r="B10354" s="9" t="str">
        <f>HYPERLINK("http://www.ncbi.nlm.nih.gov/gene/186014", "186014")</f>
        <v>186014</v>
      </c>
      <c r="C10354" s="9"/>
      <c r="D10354" t="str">
        <f>"F49C5.3"</f>
        <v>F49C5.3</v>
      </c>
      <c r="F10354" t="s">
        <v>11</v>
      </c>
      <c r="H10354" s="12">
        <v>4.4368407117627902</v>
      </c>
      <c r="I10354" s="20">
        <v>0.43709475933309699</v>
      </c>
      <c r="J10354" s="28">
        <v>0.66204262779770495</v>
      </c>
      <c r="K10354" s="29">
        <v>0.98289565623980701</v>
      </c>
    </row>
    <row r="10355" spans="1:11" x14ac:dyDescent="0.35">
      <c r="A10355" s="9" t="str">
        <f>HYPERLINK("http://www.ensembl.org/id/WBGene00009867", "WBGene00009867")</f>
        <v>WBGene00009867</v>
      </c>
      <c r="B10355" s="9" t="str">
        <f>HYPERLINK("http://www.ncbi.nlm.nih.gov/gene/186015", "186015")</f>
        <v>186015</v>
      </c>
      <c r="C10355" s="9" t="str">
        <f>HYPERLINK("http://www.ncbi.nlm.nih.gov/gene/167359", "167359")</f>
        <v>167359</v>
      </c>
      <c r="D10355" t="str">
        <f>"F49C5.4"</f>
        <v>F49C5.4</v>
      </c>
      <c r="F10355" t="s">
        <v>11</v>
      </c>
      <c r="G10355" t="s">
        <v>4438</v>
      </c>
      <c r="H10355" s="12">
        <v>2.1254288631959199</v>
      </c>
      <c r="I10355" s="20">
        <v>0.63741612555570004</v>
      </c>
      <c r="J10355" s="28">
        <v>0.52385382739281705</v>
      </c>
      <c r="K10355" s="29">
        <v>0.98289565623980701</v>
      </c>
    </row>
    <row r="10356" spans="1:11" x14ac:dyDescent="0.35">
      <c r="A10356" s="9" t="str">
        <f>HYPERLINK("http://www.ensembl.org/id/WBGene00009869", "WBGene00009869")</f>
        <v>WBGene00009869</v>
      </c>
      <c r="B10356" s="9" t="str">
        <f>HYPERLINK("http://www.ncbi.nlm.nih.gov/gene/186018", "186018")</f>
        <v>186018</v>
      </c>
      <c r="C10356" s="9"/>
      <c r="D10356" t="str">
        <f>"F49C5.7"</f>
        <v>F49C5.7</v>
      </c>
      <c r="F10356" t="s">
        <v>11</v>
      </c>
      <c r="H10356" s="12">
        <v>-2.4991590031922399</v>
      </c>
      <c r="I10356" s="20">
        <v>-0.26577412737581302</v>
      </c>
      <c r="J10356" s="28">
        <v>0.79041317015736101</v>
      </c>
      <c r="K10356" s="29">
        <v>0.98289565623980701</v>
      </c>
    </row>
    <row r="10357" spans="1:11" x14ac:dyDescent="0.35">
      <c r="A10357" s="9" t="str">
        <f>HYPERLINK("http://www.ensembl.org/id/WBGene00045433", "WBGene00045433")</f>
        <v>WBGene00045433</v>
      </c>
      <c r="B10357" s="9" t="str">
        <f>HYPERLINK("http://www.ncbi.nlm.nih.gov/gene/6418594", "6418594")</f>
        <v>6418594</v>
      </c>
      <c r="C10357" s="9"/>
      <c r="D10357" t="str">
        <f>"F49D11.10"</f>
        <v>F49D11.10</v>
      </c>
      <c r="F10357" t="s">
        <v>11</v>
      </c>
      <c r="G10357" t="s">
        <v>54</v>
      </c>
      <c r="H10357" s="12">
        <v>-1.0886618551760401</v>
      </c>
      <c r="I10357" s="20">
        <v>-0.37840820731201302</v>
      </c>
      <c r="J10357" s="28">
        <v>0.70512737215093202</v>
      </c>
      <c r="K10357" s="29">
        <v>0.98289565623980701</v>
      </c>
    </row>
    <row r="10358" spans="1:11" x14ac:dyDescent="0.35">
      <c r="A10358" s="9" t="str">
        <f>HYPERLINK("http://www.ensembl.org/id/WBGene00196718", "WBGene00196718")</f>
        <v>WBGene00196718</v>
      </c>
      <c r="B10358" s="9"/>
      <c r="C10358" s="9"/>
      <c r="D10358" t="str">
        <f>"F49D11.12"</f>
        <v>F49D11.12</v>
      </c>
      <c r="F10358" t="s">
        <v>481</v>
      </c>
      <c r="H10358" s="12">
        <v>-3.7261494131482999</v>
      </c>
      <c r="I10358" s="20">
        <v>-0.38454673129429601</v>
      </c>
      <c r="J10358" s="28">
        <v>0.70057326682554</v>
      </c>
      <c r="K10358" s="29">
        <v>0.98289565623980701</v>
      </c>
    </row>
    <row r="10359" spans="1:11" x14ac:dyDescent="0.35">
      <c r="A10359" s="9" t="str">
        <f>HYPERLINK("http://www.ensembl.org/id/WBGene00197613", "WBGene00197613")</f>
        <v>WBGene00197613</v>
      </c>
      <c r="B10359" s="9"/>
      <c r="C10359" s="9"/>
      <c r="D10359" t="str">
        <f>"F49D11.13"</f>
        <v>F49D11.13</v>
      </c>
      <c r="F10359" t="s">
        <v>481</v>
      </c>
      <c r="H10359" s="12">
        <v>7.8691597089380902</v>
      </c>
      <c r="I10359" s="20">
        <v>0.61251365190975104</v>
      </c>
      <c r="J10359" s="28">
        <v>0.54019796842331003</v>
      </c>
      <c r="K10359" s="29">
        <v>0.98289565623980701</v>
      </c>
    </row>
    <row r="10360" spans="1:11" x14ac:dyDescent="0.35">
      <c r="A10360" s="9" t="str">
        <f>HYPERLINK("http://www.ensembl.org/id/WBGene00018626", "WBGene00018626")</f>
        <v>WBGene00018626</v>
      </c>
      <c r="B10360" s="9" t="str">
        <f>HYPERLINK("http://www.ncbi.nlm.nih.gov/gene/186031", "186031")</f>
        <v>186031</v>
      </c>
      <c r="C10360" s="9"/>
      <c r="D10360" t="str">
        <f>"F49D11.2"</f>
        <v>F49D11.2</v>
      </c>
      <c r="F10360" t="s">
        <v>11</v>
      </c>
      <c r="H10360" s="12">
        <v>1.70743074371231</v>
      </c>
      <c r="I10360" s="20">
        <v>0.57700189349863396</v>
      </c>
      <c r="J10360" s="28">
        <v>0.563938176405271</v>
      </c>
      <c r="K10360" s="29">
        <v>0.98289565623980701</v>
      </c>
    </row>
    <row r="10361" spans="1:11" x14ac:dyDescent="0.35">
      <c r="A10361" s="9" t="str">
        <f>HYPERLINK("http://www.ensembl.org/id/WBGene00018627", "WBGene00018627")</f>
        <v>WBGene00018627</v>
      </c>
      <c r="B10361" s="9" t="str">
        <f>HYPERLINK("http://www.ncbi.nlm.nih.gov/gene/186032", "186032")</f>
        <v>186032</v>
      </c>
      <c r="C10361" s="9"/>
      <c r="D10361" t="str">
        <f>"F49D11.3"</f>
        <v>F49D11.3</v>
      </c>
      <c r="F10361" t="s">
        <v>11</v>
      </c>
      <c r="G10361" t="s">
        <v>3419</v>
      </c>
      <c r="H10361" s="12">
        <v>1.6189329297511601</v>
      </c>
      <c r="I10361" s="20">
        <v>0.26406061658800301</v>
      </c>
      <c r="J10361" s="28">
        <v>0.79173321048147305</v>
      </c>
      <c r="K10361" s="29">
        <v>0.98289565623980701</v>
      </c>
    </row>
    <row r="10362" spans="1:11" x14ac:dyDescent="0.35">
      <c r="A10362" s="9" t="str">
        <f>HYPERLINK("http://www.ensembl.org/id/WBGene00018631", "WBGene00018631")</f>
        <v>WBGene00018631</v>
      </c>
      <c r="B10362" s="9" t="str">
        <f>HYPERLINK("http://www.ncbi.nlm.nih.gov/gene/186036", "186036")</f>
        <v>186036</v>
      </c>
      <c r="C10362" s="9"/>
      <c r="D10362" t="str">
        <f>"F49D11.7"</f>
        <v>F49D11.7</v>
      </c>
      <c r="F10362" t="s">
        <v>11</v>
      </c>
      <c r="H10362" s="12">
        <v>-11.359794722088999</v>
      </c>
      <c r="I10362" s="20">
        <v>-0.75222598084001502</v>
      </c>
      <c r="J10362" s="28">
        <v>0.45191517202849601</v>
      </c>
      <c r="K10362" s="29">
        <v>0.98289565623980701</v>
      </c>
    </row>
    <row r="10363" spans="1:11" x14ac:dyDescent="0.35">
      <c r="A10363" s="9" t="str">
        <f>HYPERLINK("http://www.ensembl.org/id/WBGene00195879", "WBGene00195879")</f>
        <v>WBGene00195879</v>
      </c>
      <c r="B10363" s="9"/>
      <c r="C10363" s="9"/>
      <c r="D10363" t="str">
        <f>"F49E10.10"</f>
        <v>F49E10.10</v>
      </c>
      <c r="F10363" t="s">
        <v>481</v>
      </c>
      <c r="H10363" s="12">
        <v>5.9495765472548197</v>
      </c>
      <c r="I10363" s="20">
        <v>0.52429389276509997</v>
      </c>
      <c r="J10363" s="28">
        <v>0.60007414400596704</v>
      </c>
      <c r="K10363" s="29">
        <v>0.98289565623980701</v>
      </c>
    </row>
    <row r="10364" spans="1:11" x14ac:dyDescent="0.35">
      <c r="A10364" s="9" t="str">
        <f>HYPERLINK("http://www.ensembl.org/id/WBGene00198416", "WBGene00198416")</f>
        <v>WBGene00198416</v>
      </c>
      <c r="B10364" s="9"/>
      <c r="C10364" s="9"/>
      <c r="D10364" t="str">
        <f>"F49E10.14"</f>
        <v>F49E10.14</v>
      </c>
      <c r="F10364" t="s">
        <v>481</v>
      </c>
      <c r="H10364" s="12">
        <v>2.3444892507898301</v>
      </c>
      <c r="I10364" s="20">
        <v>0.253126732237689</v>
      </c>
      <c r="J10364" s="28">
        <v>0.80017028205419904</v>
      </c>
      <c r="K10364" s="29">
        <v>0.98289565623980701</v>
      </c>
    </row>
    <row r="10365" spans="1:11" x14ac:dyDescent="0.35">
      <c r="A10365" s="9" t="str">
        <f>HYPERLINK("http://www.ensembl.org/id/WBGene00199554", "WBGene00199554")</f>
        <v>WBGene00199554</v>
      </c>
      <c r="B10365" s="9"/>
      <c r="C10365" s="9"/>
      <c r="D10365" t="str">
        <f>"F49E10.17"</f>
        <v>F49E10.17</v>
      </c>
      <c r="F10365" t="s">
        <v>481</v>
      </c>
      <c r="H10365" s="12">
        <v>-5.3201785866927001</v>
      </c>
      <c r="I10365" s="20">
        <v>-0.49101042295714697</v>
      </c>
      <c r="J10365" s="28">
        <v>0.62341907564475696</v>
      </c>
      <c r="K10365" s="29">
        <v>0.98289565623980701</v>
      </c>
    </row>
    <row r="10366" spans="1:11" x14ac:dyDescent="0.35">
      <c r="A10366" s="9" t="str">
        <f>HYPERLINK("http://www.ensembl.org/id/WBGene00200547", "WBGene00200547")</f>
        <v>WBGene00200547</v>
      </c>
      <c r="B10366" s="9"/>
      <c r="C10366" s="9"/>
      <c r="D10366" t="str">
        <f>"F49E10.21"</f>
        <v>F49E10.21</v>
      </c>
      <c r="F10366" t="s">
        <v>481</v>
      </c>
      <c r="H10366" s="12">
        <v>2.7626118609501802</v>
      </c>
      <c r="I10366" s="20">
        <v>0.38293686937655103</v>
      </c>
      <c r="J10366" s="28">
        <v>0.70176657339128301</v>
      </c>
      <c r="K10366" s="29">
        <v>0.98289565623980701</v>
      </c>
    </row>
    <row r="10367" spans="1:11" x14ac:dyDescent="0.35">
      <c r="A10367" s="9" t="str">
        <f>HYPERLINK("http://www.ensembl.org/id/WBGene00009893", "WBGene00009893")</f>
        <v>WBGene00009893</v>
      </c>
      <c r="B10367" s="9" t="str">
        <f>HYPERLINK("http://www.ncbi.nlm.nih.gov/gene/186051", "186051")</f>
        <v>186051</v>
      </c>
      <c r="C10367" s="9"/>
      <c r="D10367" t="str">
        <f>"F49E11.7"</f>
        <v>F49E11.7</v>
      </c>
      <c r="E10367" t="s">
        <v>2496</v>
      </c>
      <c r="F10367" t="s">
        <v>11</v>
      </c>
      <c r="G10367" t="s">
        <v>2497</v>
      </c>
      <c r="H10367" s="12">
        <v>-1.9276190676061</v>
      </c>
      <c r="I10367" s="20">
        <v>-0.37970983539840802</v>
      </c>
      <c r="J10367" s="28">
        <v>0.70416081845895995</v>
      </c>
      <c r="K10367" s="29">
        <v>0.98289565623980701</v>
      </c>
    </row>
    <row r="10368" spans="1:11" x14ac:dyDescent="0.35">
      <c r="A10368" s="9" t="str">
        <f>HYPERLINK("http://www.ensembl.org/id/WBGene00009903", "WBGene00009903")</f>
        <v>WBGene00009903</v>
      </c>
      <c r="B10368" s="9" t="str">
        <f>HYPERLINK("http://www.ncbi.nlm.nih.gov/gene/186061", "186061")</f>
        <v>186061</v>
      </c>
      <c r="C10368" s="9" t="str">
        <f>HYPERLINK("http://www.ncbi.nlm.nih.gov/gene/10826", "10826")</f>
        <v>10826</v>
      </c>
      <c r="D10368" t="str">
        <f>"F49E12.10"</f>
        <v>F49E12.10</v>
      </c>
      <c r="F10368" t="s">
        <v>11</v>
      </c>
      <c r="G10368" t="s">
        <v>9812</v>
      </c>
      <c r="H10368" s="12">
        <v>-1.5710796777352101</v>
      </c>
      <c r="I10368" s="20">
        <v>-0.94849960459565497</v>
      </c>
      <c r="J10368" s="28">
        <v>0.34287517400794898</v>
      </c>
      <c r="K10368" s="29">
        <v>0.98289565623980701</v>
      </c>
    </row>
    <row r="10369" spans="1:11" x14ac:dyDescent="0.35">
      <c r="A10369" s="9" t="str">
        <f>HYPERLINK("http://www.ensembl.org/id/WBGene00009904", "WBGene00009904")</f>
        <v>WBGene00009904</v>
      </c>
      <c r="B10369" s="9" t="str">
        <f>HYPERLINK("http://www.ncbi.nlm.nih.gov/gene/3565627", "3565627")</f>
        <v>3565627</v>
      </c>
      <c r="C10369" s="9"/>
      <c r="D10369" t="str">
        <f>"F49E12.12"</f>
        <v>F49E12.12</v>
      </c>
      <c r="F10369" t="s">
        <v>11</v>
      </c>
      <c r="G10369" t="s">
        <v>557</v>
      </c>
      <c r="H10369" s="12">
        <v>1.6773953201487399</v>
      </c>
      <c r="I10369" s="20">
        <v>0.96691418380955796</v>
      </c>
      <c r="J10369" s="28">
        <v>0.33358693544387202</v>
      </c>
      <c r="K10369" s="29">
        <v>0.98289565623980701</v>
      </c>
    </row>
    <row r="10370" spans="1:11" x14ac:dyDescent="0.35">
      <c r="A10370" s="9" t="str">
        <f>HYPERLINK("http://www.ensembl.org/id/WBGene00009900", "WBGene00009900")</f>
        <v>WBGene00009900</v>
      </c>
      <c r="B10370" s="9" t="str">
        <f>HYPERLINK("http://www.ncbi.nlm.nih.gov/gene/186059", "186059")</f>
        <v>186059</v>
      </c>
      <c r="C10370" s="9"/>
      <c r="D10370" t="str">
        <f>"F49E12.7"</f>
        <v>F49E12.7</v>
      </c>
      <c r="F10370" t="s">
        <v>11</v>
      </c>
      <c r="G10370" t="s">
        <v>25</v>
      </c>
      <c r="H10370" s="12">
        <v>2.5751298074084699</v>
      </c>
      <c r="I10370" s="20">
        <v>0.88146652107870804</v>
      </c>
      <c r="J10370" s="28">
        <v>0.37806536680694502</v>
      </c>
      <c r="K10370" s="29">
        <v>0.98289565623980701</v>
      </c>
    </row>
    <row r="10371" spans="1:11" x14ac:dyDescent="0.35">
      <c r="A10371" s="9" t="str">
        <f>HYPERLINK("http://www.ensembl.org/id/WBGene00009901", "WBGene00009901")</f>
        <v>WBGene00009901</v>
      </c>
      <c r="B10371" s="9" t="str">
        <f>HYPERLINK("http://www.ncbi.nlm.nih.gov/gene/186060", "186060")</f>
        <v>186060</v>
      </c>
      <c r="C10371" s="9"/>
      <c r="D10371" t="str">
        <f>"F49E12.8"</f>
        <v>F49E12.8</v>
      </c>
      <c r="F10371" t="s">
        <v>11</v>
      </c>
      <c r="H10371" s="12">
        <v>1.58637974918138</v>
      </c>
      <c r="I10371" s="20">
        <v>1.0650477060074699</v>
      </c>
      <c r="J10371" s="28">
        <v>0.28685434195920201</v>
      </c>
      <c r="K10371" s="29">
        <v>0.98289565623980701</v>
      </c>
    </row>
    <row r="10372" spans="1:11" x14ac:dyDescent="0.35">
      <c r="A10372" s="9" t="str">
        <f>HYPERLINK("http://www.ensembl.org/id/WBGene00009885", "WBGene00009885")</f>
        <v>WBGene00009885</v>
      </c>
      <c r="B10372" s="9" t="str">
        <f>HYPERLINK("http://www.ncbi.nlm.nih.gov/gene/181176", "181176")</f>
        <v>181176</v>
      </c>
      <c r="C10372" s="9"/>
      <c r="D10372" t="str">
        <f>"F49E2.1"</f>
        <v>F49E2.1</v>
      </c>
      <c r="E10372" t="s">
        <v>6272</v>
      </c>
      <c r="F10372" t="s">
        <v>11</v>
      </c>
      <c r="G10372" t="s">
        <v>6273</v>
      </c>
      <c r="H10372" s="12">
        <v>-1.0582077529245499</v>
      </c>
      <c r="I10372" s="20">
        <v>-0.277382914133251</v>
      </c>
      <c r="J10372" s="28">
        <v>0.78148609965036497</v>
      </c>
      <c r="K10372" s="29">
        <v>0.98289565623980701</v>
      </c>
    </row>
    <row r="10373" spans="1:11" x14ac:dyDescent="0.35">
      <c r="A10373" s="9" t="str">
        <f>HYPERLINK("http://www.ensembl.org/id/WBGene00009886", "WBGene00009886")</f>
        <v>WBGene00009886</v>
      </c>
      <c r="B10373" s="9" t="str">
        <f>HYPERLINK("http://www.ncbi.nlm.nih.gov/gene/181177", "181177")</f>
        <v>181177</v>
      </c>
      <c r="C10373" s="9"/>
      <c r="D10373" t="str">
        <f>"F49E2.2"</f>
        <v>F49E2.2</v>
      </c>
      <c r="F10373" t="s">
        <v>11</v>
      </c>
      <c r="G10373" t="s">
        <v>54</v>
      </c>
      <c r="H10373" s="12">
        <v>-1.19575273603577</v>
      </c>
      <c r="I10373" s="20">
        <v>-0.92360971599668695</v>
      </c>
      <c r="J10373" s="28">
        <v>0.35568955337555802</v>
      </c>
      <c r="K10373" s="29">
        <v>0.98289565623980701</v>
      </c>
    </row>
    <row r="10374" spans="1:11" x14ac:dyDescent="0.35">
      <c r="A10374" s="9" t="str">
        <f>HYPERLINK("http://www.ensembl.org/id/WBGene00198847", "WBGene00198847")</f>
        <v>WBGene00198847</v>
      </c>
      <c r="B10374" s="9"/>
      <c r="C10374" s="9"/>
      <c r="D10374" t="str">
        <f>"F49E2.8"</f>
        <v>F49E2.8</v>
      </c>
      <c r="F10374" t="s">
        <v>481</v>
      </c>
      <c r="H10374" s="12">
        <v>2.3893468495514898</v>
      </c>
      <c r="I10374" s="20">
        <v>0.25323547253672701</v>
      </c>
      <c r="J10374" s="28">
        <v>0.80008625651646104</v>
      </c>
      <c r="K10374" s="29">
        <v>0.98289565623980701</v>
      </c>
    </row>
    <row r="10375" spans="1:11" x14ac:dyDescent="0.35">
      <c r="A10375" s="9" t="str">
        <f>HYPERLINK("http://www.ensembl.org/id/WBGene00018634", "WBGene00018634")</f>
        <v>WBGene00018634</v>
      </c>
      <c r="B10375" s="9" t="str">
        <f>HYPERLINK("http://www.ncbi.nlm.nih.gov/gene/180462", "180462")</f>
        <v>180462</v>
      </c>
      <c r="C10375" s="9"/>
      <c r="D10375" t="str">
        <f>"F49E7.2"</f>
        <v>F49E7.2</v>
      </c>
      <c r="F10375" t="s">
        <v>11</v>
      </c>
      <c r="G10375" t="s">
        <v>25</v>
      </c>
      <c r="H10375" s="12">
        <v>1.29380155567473</v>
      </c>
      <c r="I10375" s="20">
        <v>0.95942135583644805</v>
      </c>
      <c r="J10375" s="28">
        <v>0.33734652087845801</v>
      </c>
      <c r="K10375" s="29">
        <v>0.98289565623980701</v>
      </c>
    </row>
    <row r="10376" spans="1:11" x14ac:dyDescent="0.35">
      <c r="A10376" s="9" t="str">
        <f>HYPERLINK("http://www.ensembl.org/id/WBGene00197851", "WBGene00197851")</f>
        <v>WBGene00197851</v>
      </c>
      <c r="B10376" s="9"/>
      <c r="C10376" s="9"/>
      <c r="D10376" t="str">
        <f>"F49E7.3"</f>
        <v>F49E7.3</v>
      </c>
      <c r="F10376" t="s">
        <v>481</v>
      </c>
      <c r="H10376" s="12">
        <v>-2.4991590031922399</v>
      </c>
      <c r="I10376" s="20">
        <v>-0.26577412737581302</v>
      </c>
      <c r="J10376" s="28">
        <v>0.79041317015736101</v>
      </c>
      <c r="K10376" s="29">
        <v>0.98289565623980701</v>
      </c>
    </row>
    <row r="10377" spans="1:11" x14ac:dyDescent="0.35">
      <c r="A10377" s="9" t="str">
        <f>HYPERLINK("http://www.ensembl.org/id/WBGene00018638", "WBGene00018638")</f>
        <v>WBGene00018638</v>
      </c>
      <c r="B10377" s="9" t="str">
        <f>HYPERLINK("http://www.ncbi.nlm.nih.gov/gene/3564919", "3564919")</f>
        <v>3564919</v>
      </c>
      <c r="C10377" s="9"/>
      <c r="D10377" t="str">
        <f>"F49E8.7"</f>
        <v>F49E8.7</v>
      </c>
      <c r="F10377" t="s">
        <v>11</v>
      </c>
      <c r="G10377" t="s">
        <v>54</v>
      </c>
      <c r="H10377" s="12">
        <v>-1.2242518162268201</v>
      </c>
      <c r="I10377" s="20">
        <v>-0.89963272109110304</v>
      </c>
      <c r="J10377" s="28">
        <v>0.36831573799712097</v>
      </c>
      <c r="K10377" s="29">
        <v>0.98289565623980701</v>
      </c>
    </row>
    <row r="10378" spans="1:11" x14ac:dyDescent="0.35">
      <c r="A10378" s="9" t="str">
        <f>HYPERLINK("http://www.ensembl.org/id/WBGene00302976", "WBGene00302976")</f>
        <v>WBGene00302976</v>
      </c>
      <c r="B10378" s="9" t="str">
        <f>HYPERLINK("http://www.ncbi.nlm.nih.gov/gene/36805013", "36805013")</f>
        <v>36805013</v>
      </c>
      <c r="C10378" s="9"/>
      <c r="D10378" t="str">
        <f>"F49E8.8"</f>
        <v>F49E8.8</v>
      </c>
      <c r="F10378" t="s">
        <v>11</v>
      </c>
      <c r="G10378" t="s">
        <v>7822</v>
      </c>
      <c r="H10378" s="12">
        <v>-1.1467577249548599</v>
      </c>
      <c r="I10378" s="20">
        <v>-0.45901797610572298</v>
      </c>
      <c r="J10378" s="28">
        <v>0.64622125730132396</v>
      </c>
      <c r="K10378" s="29">
        <v>0.98289565623980701</v>
      </c>
    </row>
    <row r="10379" spans="1:11" x14ac:dyDescent="0.35">
      <c r="A10379" s="9" t="str">
        <f>HYPERLINK("http://www.ensembl.org/id/WBGene00018650", "WBGene00018650")</f>
        <v>WBGene00018650</v>
      </c>
      <c r="B10379" s="9" t="str">
        <f>HYPERLINK("http://www.ncbi.nlm.nih.gov/gene/186066", "186066")</f>
        <v>186066</v>
      </c>
      <c r="C10379" s="9"/>
      <c r="D10379" t="str">
        <f>"F49F1.10"</f>
        <v>F49F1.10</v>
      </c>
      <c r="E10379" t="s">
        <v>2043</v>
      </c>
      <c r="F10379" t="s">
        <v>11</v>
      </c>
      <c r="G10379" t="s">
        <v>47</v>
      </c>
      <c r="H10379" s="12">
        <v>2.4503481739523401</v>
      </c>
      <c r="I10379" s="20">
        <v>0.33144217176748902</v>
      </c>
      <c r="J10379" s="28">
        <v>0.74031051482116095</v>
      </c>
      <c r="K10379" s="29">
        <v>0.98289565623980701</v>
      </c>
    </row>
    <row r="10380" spans="1:11" x14ac:dyDescent="0.35">
      <c r="A10380" s="9" t="str">
        <f>HYPERLINK("http://www.ensembl.org/id/WBGene00018652", "WBGene00018652")</f>
        <v>WBGene00018652</v>
      </c>
      <c r="B10380" s="9" t="str">
        <f>HYPERLINK("http://www.ncbi.nlm.nih.gov/gene/186068", "186068")</f>
        <v>186068</v>
      </c>
      <c r="C10380" s="9"/>
      <c r="D10380" t="str">
        <f>"F49F1.12"</f>
        <v>F49F1.12</v>
      </c>
      <c r="F10380" t="s">
        <v>11</v>
      </c>
      <c r="G10380" t="s">
        <v>25</v>
      </c>
      <c r="H10380" s="12">
        <v>3.24921663643067</v>
      </c>
      <c r="I10380" s="20">
        <v>0.37093133971046299</v>
      </c>
      <c r="J10380" s="28">
        <v>0.710688671961756</v>
      </c>
      <c r="K10380" s="29">
        <v>0.98289565623980701</v>
      </c>
    </row>
    <row r="10381" spans="1:11" x14ac:dyDescent="0.35">
      <c r="A10381" s="9" t="str">
        <f>HYPERLINK("http://www.ensembl.org/id/WBGene00235365", "WBGene00235365")</f>
        <v>WBGene00235365</v>
      </c>
      <c r="B10381" s="9" t="str">
        <f>HYPERLINK("http://www.ncbi.nlm.nih.gov/gene/24104606", "24104606")</f>
        <v>24104606</v>
      </c>
      <c r="C10381" s="9"/>
      <c r="D10381" t="str">
        <f>"F49F1.15"</f>
        <v>F49F1.15</v>
      </c>
      <c r="F10381" t="s">
        <v>11</v>
      </c>
      <c r="G10381" t="s">
        <v>25</v>
      </c>
      <c r="H10381" s="12">
        <v>-2.4991590031922399</v>
      </c>
      <c r="I10381" s="20">
        <v>-0.26577412737581302</v>
      </c>
      <c r="J10381" s="28">
        <v>0.79041317015736101</v>
      </c>
      <c r="K10381" s="29">
        <v>0.98289565623980701</v>
      </c>
    </row>
    <row r="10382" spans="1:11" x14ac:dyDescent="0.35">
      <c r="A10382" s="9" t="str">
        <f>HYPERLINK("http://www.ensembl.org/id/WBGene00235367", "WBGene00235367")</f>
        <v>WBGene00235367</v>
      </c>
      <c r="B10382" s="9" t="str">
        <f>HYPERLINK("http://www.ncbi.nlm.nih.gov/gene/24104608", "24104608")</f>
        <v>24104608</v>
      </c>
      <c r="C10382" s="9"/>
      <c r="D10382" t="str">
        <f>"F49F1.17"</f>
        <v>F49F1.17</v>
      </c>
      <c r="F10382" t="s">
        <v>11</v>
      </c>
      <c r="H10382" s="12">
        <v>2.3893468495514898</v>
      </c>
      <c r="I10382" s="20">
        <v>0.25323547253672701</v>
      </c>
      <c r="J10382" s="28">
        <v>0.80008625651646104</v>
      </c>
      <c r="K10382" s="29">
        <v>0.98289565623980701</v>
      </c>
    </row>
    <row r="10383" spans="1:11" x14ac:dyDescent="0.35">
      <c r="A10383" s="9" t="str">
        <f>HYPERLINK("http://www.ensembl.org/id/WBGene00235368", "WBGene00235368")</f>
        <v>WBGene00235368</v>
      </c>
      <c r="B10383" s="9" t="str">
        <f>HYPERLINK("http://www.ncbi.nlm.nih.gov/gene/24104609", "24104609")</f>
        <v>24104609</v>
      </c>
      <c r="C10383" s="9"/>
      <c r="D10383" t="str">
        <f>"F49F1.18"</f>
        <v>F49F1.18</v>
      </c>
      <c r="E10383" t="s">
        <v>2043</v>
      </c>
      <c r="F10383" t="s">
        <v>11</v>
      </c>
      <c r="G10383" t="s">
        <v>47</v>
      </c>
      <c r="H10383" s="12">
        <v>3.5227018545059199</v>
      </c>
      <c r="I10383" s="20">
        <v>0.36849691206929103</v>
      </c>
      <c r="J10383" s="28">
        <v>0.71250274722433404</v>
      </c>
      <c r="K10383" s="29">
        <v>0.98289565623980701</v>
      </c>
    </row>
    <row r="10384" spans="1:11" x14ac:dyDescent="0.35">
      <c r="A10384" s="9" t="str">
        <f>HYPERLINK("http://www.ensembl.org/id/WBGene00018645", "WBGene00018645")</f>
        <v>WBGene00018645</v>
      </c>
      <c r="B10384" s="9" t="str">
        <f>HYPERLINK("http://www.ncbi.nlm.nih.gov/gene/186062", "186062")</f>
        <v>186062</v>
      </c>
      <c r="C10384" s="9"/>
      <c r="D10384" t="str">
        <f>"F49F1.5"</f>
        <v>F49F1.5</v>
      </c>
      <c r="F10384" t="s">
        <v>11</v>
      </c>
      <c r="H10384" s="12">
        <v>-1.4721585745595001</v>
      </c>
      <c r="I10384" s="20">
        <v>-0.482102066518248</v>
      </c>
      <c r="J10384" s="28">
        <v>0.629733441903358</v>
      </c>
      <c r="K10384" s="29">
        <v>0.98289565623980701</v>
      </c>
    </row>
    <row r="10385" spans="1:11" x14ac:dyDescent="0.35">
      <c r="A10385" s="9" t="str">
        <f>HYPERLINK("http://www.ensembl.org/id/WBGene00018647", "WBGene00018647")</f>
        <v>WBGene00018647</v>
      </c>
      <c r="B10385" s="9" t="str">
        <f>HYPERLINK("http://www.ncbi.nlm.nih.gov/gene/177177", "177177")</f>
        <v>177177</v>
      </c>
      <c r="C10385" s="9"/>
      <c r="D10385" t="str">
        <f>"F49F1.7"</f>
        <v>F49F1.7</v>
      </c>
      <c r="F10385" t="s">
        <v>11</v>
      </c>
      <c r="H10385" s="12">
        <v>1.6526104988799899</v>
      </c>
      <c r="I10385" s="20">
        <v>0.44035414377139398</v>
      </c>
      <c r="J10385" s="28">
        <v>0.65968063168348001</v>
      </c>
      <c r="K10385" s="29">
        <v>0.98289565623980701</v>
      </c>
    </row>
    <row r="10386" spans="1:11" x14ac:dyDescent="0.35">
      <c r="A10386" s="9" t="str">
        <f>HYPERLINK("http://www.ensembl.org/id/WBGene00018648", "WBGene00018648")</f>
        <v>WBGene00018648</v>
      </c>
      <c r="B10386" s="9"/>
      <c r="C10386" s="9"/>
      <c r="D10386" t="str">
        <f>"F49F1.8"</f>
        <v>F49F1.8</v>
      </c>
      <c r="F10386" t="s">
        <v>80</v>
      </c>
      <c r="H10386" s="12">
        <v>4.9955106778990803</v>
      </c>
      <c r="I10386" s="20">
        <v>1.05894389894962</v>
      </c>
      <c r="J10386" s="28">
        <v>0.289625330104961</v>
      </c>
      <c r="K10386" s="29">
        <v>0.98289565623980701</v>
      </c>
    </row>
    <row r="10387" spans="1:11" x14ac:dyDescent="0.35">
      <c r="A10387" s="9" t="str">
        <f>HYPERLINK("http://www.ensembl.org/id/WBGene00197727", "WBGene00197727")</f>
        <v>WBGene00197727</v>
      </c>
      <c r="B10387" s="9"/>
      <c r="C10387" s="9"/>
      <c r="D10387" t="str">
        <f>"F49H12.10"</f>
        <v>F49H12.10</v>
      </c>
      <c r="F10387" t="s">
        <v>481</v>
      </c>
      <c r="H10387" s="12">
        <v>-2.4991590031922399</v>
      </c>
      <c r="I10387" s="20">
        <v>-0.26577412737581302</v>
      </c>
      <c r="J10387" s="28">
        <v>0.79041317015736101</v>
      </c>
      <c r="K10387" s="29">
        <v>0.98289565623980701</v>
      </c>
    </row>
    <row r="10388" spans="1:11" x14ac:dyDescent="0.35">
      <c r="A10388" s="9" t="str">
        <f>HYPERLINK("http://www.ensembl.org/id/WBGene00018653", "WBGene00018653")</f>
        <v>WBGene00018653</v>
      </c>
      <c r="B10388" s="9" t="str">
        <f>HYPERLINK("http://www.ncbi.nlm.nih.gov/gene/186081", "186081")</f>
        <v>186081</v>
      </c>
      <c r="C10388" s="9"/>
      <c r="D10388" t="str">
        <f>"F49H12.2"</f>
        <v>F49H12.2</v>
      </c>
      <c r="F10388" t="s">
        <v>11</v>
      </c>
      <c r="H10388" s="12">
        <v>2.0490603045245099</v>
      </c>
      <c r="I10388" s="20">
        <v>0.98946171772082203</v>
      </c>
      <c r="J10388" s="28">
        <v>0.32243729111504998</v>
      </c>
      <c r="K10388" s="29">
        <v>0.98289565623980701</v>
      </c>
    </row>
    <row r="10389" spans="1:11" x14ac:dyDescent="0.35">
      <c r="A10389" s="9" t="str">
        <f>HYPERLINK("http://www.ensembl.org/id/WBGene00044753", "WBGene00044753")</f>
        <v>WBGene00044753</v>
      </c>
      <c r="B10389" s="9" t="str">
        <f>HYPERLINK("http://www.ncbi.nlm.nih.gov/gene/4363120", "4363120")</f>
        <v>4363120</v>
      </c>
      <c r="C10389" s="9"/>
      <c r="D10389" t="str">
        <f>"F49H12.7"</f>
        <v>F49H12.7</v>
      </c>
      <c r="F10389" t="s">
        <v>11</v>
      </c>
      <c r="H10389" s="12">
        <v>-1.25546309515598</v>
      </c>
      <c r="I10389" s="20">
        <v>-0.90192851276052799</v>
      </c>
      <c r="J10389" s="28">
        <v>0.367094843866757</v>
      </c>
      <c r="K10389" s="29">
        <v>0.98289565623980701</v>
      </c>
    </row>
    <row r="10390" spans="1:11" x14ac:dyDescent="0.35">
      <c r="A10390" s="9" t="str">
        <f>HYPERLINK("http://www.ensembl.org/id/WBGene00009914", "WBGene00009914")</f>
        <v>WBGene00009914</v>
      </c>
      <c r="B10390" s="9" t="str">
        <f>HYPERLINK("http://www.ncbi.nlm.nih.gov/gene/186080", "186080")</f>
        <v>186080</v>
      </c>
      <c r="C10390" s="9"/>
      <c r="D10390" t="str">
        <f>"F49H6.13"</f>
        <v>F49H6.13</v>
      </c>
      <c r="F10390" t="s">
        <v>11</v>
      </c>
      <c r="G10390" t="s">
        <v>25</v>
      </c>
      <c r="H10390" s="12">
        <v>-2.82077238682509</v>
      </c>
      <c r="I10390" s="20">
        <v>-0.39885745974467901</v>
      </c>
      <c r="J10390" s="28">
        <v>0.68999823584143305</v>
      </c>
      <c r="K10390" s="29">
        <v>0.98289565623980701</v>
      </c>
    </row>
    <row r="10391" spans="1:11" x14ac:dyDescent="0.35">
      <c r="A10391" s="9" t="str">
        <f>HYPERLINK("http://www.ensembl.org/id/WBGene00009916", "WBGene00009916")</f>
        <v>WBGene00009916</v>
      </c>
      <c r="B10391" s="9" t="str">
        <f>HYPERLINK("http://www.ncbi.nlm.nih.gov/gene/172484", "172484")</f>
        <v>172484</v>
      </c>
      <c r="C10391" s="9"/>
      <c r="D10391" t="str">
        <f>"F52A8.3"</f>
        <v>F52A8.3</v>
      </c>
      <c r="F10391" t="s">
        <v>11</v>
      </c>
      <c r="G10391" t="s">
        <v>25</v>
      </c>
      <c r="H10391" s="12">
        <v>-1.2007648424666599</v>
      </c>
      <c r="I10391" s="20">
        <v>-0.53458843864170602</v>
      </c>
      <c r="J10391" s="28">
        <v>0.59293447995284498</v>
      </c>
      <c r="K10391" s="29">
        <v>0.98289565623980701</v>
      </c>
    </row>
    <row r="10392" spans="1:11" x14ac:dyDescent="0.35">
      <c r="A10392" s="9" t="str">
        <f>HYPERLINK("http://www.ensembl.org/id/WBGene00197572", "WBGene00197572")</f>
        <v>WBGene00197572</v>
      </c>
      <c r="B10392" s="9"/>
      <c r="C10392" s="9"/>
      <c r="D10392" t="str">
        <f>"F52B10.13"</f>
        <v>F52B10.13</v>
      </c>
      <c r="F10392" t="s">
        <v>481</v>
      </c>
      <c r="H10392" s="12">
        <v>2.4578120077400301</v>
      </c>
      <c r="I10392" s="20">
        <v>0.26093350314551</v>
      </c>
      <c r="J10392" s="28">
        <v>0.79414378780213601</v>
      </c>
      <c r="K10392" s="29">
        <v>0.98289565623980701</v>
      </c>
    </row>
    <row r="10393" spans="1:11" x14ac:dyDescent="0.35">
      <c r="A10393" s="9" t="str">
        <f>HYPERLINK("http://www.ensembl.org/id/WBGene00197599", "WBGene00197599")</f>
        <v>WBGene00197599</v>
      </c>
      <c r="B10393" s="9"/>
      <c r="C10393" s="9"/>
      <c r="D10393" t="str">
        <f>"F52B10.14"</f>
        <v>F52B10.14</v>
      </c>
      <c r="F10393" t="s">
        <v>481</v>
      </c>
      <c r="H10393" s="12">
        <v>-3.5819448292659501</v>
      </c>
      <c r="I10393" s="20">
        <v>-0.37337717500031398</v>
      </c>
      <c r="J10393" s="28">
        <v>0.70886774492290605</v>
      </c>
      <c r="K10393" s="29">
        <v>0.98289565623980701</v>
      </c>
    </row>
    <row r="10394" spans="1:11" x14ac:dyDescent="0.35">
      <c r="A10394" s="9" t="str">
        <f>HYPERLINK("http://www.ensembl.org/id/WBGene00199771", "WBGene00199771")</f>
        <v>WBGene00199771</v>
      </c>
      <c r="B10394" s="9"/>
      <c r="C10394" s="9"/>
      <c r="D10394" t="str">
        <f>"F52B10.18"</f>
        <v>F52B10.18</v>
      </c>
      <c r="F10394" t="s">
        <v>481</v>
      </c>
      <c r="H10394" s="12">
        <v>-2.4991590031922399</v>
      </c>
      <c r="I10394" s="20">
        <v>-0.26577412737581302</v>
      </c>
      <c r="J10394" s="28">
        <v>0.79041317015736101</v>
      </c>
      <c r="K10394" s="29">
        <v>0.98289565623980701</v>
      </c>
    </row>
    <row r="10395" spans="1:11" x14ac:dyDescent="0.35">
      <c r="A10395" s="9" t="str">
        <f>HYPERLINK("http://www.ensembl.org/id/WBGene00202020", "WBGene00202020")</f>
        <v>WBGene00202020</v>
      </c>
      <c r="B10395" s="9"/>
      <c r="C10395" s="9"/>
      <c r="D10395" t="str">
        <f>"F52B10.21"</f>
        <v>F52B10.21</v>
      </c>
      <c r="F10395" t="s">
        <v>481</v>
      </c>
      <c r="H10395" s="12">
        <v>2.3893468495514898</v>
      </c>
      <c r="I10395" s="20">
        <v>0.25323547253672701</v>
      </c>
      <c r="J10395" s="28">
        <v>0.80008625651646104</v>
      </c>
      <c r="K10395" s="29">
        <v>0.98289565623980701</v>
      </c>
    </row>
    <row r="10396" spans="1:11" x14ac:dyDescent="0.35">
      <c r="A10396" s="9" t="str">
        <f>HYPERLINK("http://www.ensembl.org/id/WBGene00202289", "WBGene00202289")</f>
        <v>WBGene00202289</v>
      </c>
      <c r="B10396" s="9"/>
      <c r="C10396" s="9"/>
      <c r="D10396" t="str">
        <f>"F52B10.22"</f>
        <v>F52B10.22</v>
      </c>
      <c r="F10396" t="s">
        <v>481</v>
      </c>
      <c r="H10396" s="12">
        <v>2.3893468495514898</v>
      </c>
      <c r="I10396" s="20">
        <v>0.25323547253672701</v>
      </c>
      <c r="J10396" s="28">
        <v>0.80008625651646104</v>
      </c>
      <c r="K10396" s="29">
        <v>0.98289565623980701</v>
      </c>
    </row>
    <row r="10397" spans="1:11" x14ac:dyDescent="0.35">
      <c r="A10397" s="9" t="str">
        <f>HYPERLINK("http://www.ensembl.org/id/WBGene00044304", "WBGene00044304")</f>
        <v>WBGene00044304</v>
      </c>
      <c r="B10397" s="9" t="str">
        <f>HYPERLINK("http://www.ncbi.nlm.nih.gov/gene/3565669", "3565669")</f>
        <v>3565669</v>
      </c>
      <c r="C10397" s="9"/>
      <c r="D10397" t="str">
        <f>"F52B10.3"</f>
        <v>F52B10.3</v>
      </c>
      <c r="F10397" t="s">
        <v>11</v>
      </c>
      <c r="G10397" t="s">
        <v>25</v>
      </c>
      <c r="H10397" s="12">
        <v>-1.14403580241518</v>
      </c>
      <c r="I10397" s="20">
        <v>-0.59183574457924004</v>
      </c>
      <c r="J10397" s="28">
        <v>0.55396058482549404</v>
      </c>
      <c r="K10397" s="29">
        <v>0.98289565623980701</v>
      </c>
    </row>
    <row r="10398" spans="1:11" x14ac:dyDescent="0.35">
      <c r="A10398" s="9" t="str">
        <f>HYPERLINK("http://www.ensembl.org/id/WBGene00195670", "WBGene00195670")</f>
        <v>WBGene00195670</v>
      </c>
      <c r="B10398" s="9"/>
      <c r="C10398" s="9"/>
      <c r="D10398" t="str">
        <f>"F52B10.4"</f>
        <v>F52B10.4</v>
      </c>
      <c r="F10398" t="s">
        <v>481</v>
      </c>
      <c r="H10398" s="12">
        <v>-2.74548064968883</v>
      </c>
      <c r="I10398" s="20">
        <v>-0.54391271644609795</v>
      </c>
      <c r="J10398" s="28">
        <v>0.58650153779589898</v>
      </c>
      <c r="K10398" s="29">
        <v>0.98289565623980701</v>
      </c>
    </row>
    <row r="10399" spans="1:11" x14ac:dyDescent="0.35">
      <c r="A10399" s="9" t="str">
        <f>HYPERLINK("http://www.ensembl.org/id/WBGene00195838", "WBGene00195838")</f>
        <v>WBGene00195838</v>
      </c>
      <c r="B10399" s="9"/>
      <c r="C10399" s="9"/>
      <c r="D10399" t="str">
        <f>"F52B10.5"</f>
        <v>F52B10.5</v>
      </c>
      <c r="F10399" t="s">
        <v>481</v>
      </c>
      <c r="H10399" s="12">
        <v>2.3893468495514898</v>
      </c>
      <c r="I10399" s="20">
        <v>0.25323547253672701</v>
      </c>
      <c r="J10399" s="28">
        <v>0.80008625651646104</v>
      </c>
      <c r="K10399" s="29">
        <v>0.98289565623980701</v>
      </c>
    </row>
    <row r="10400" spans="1:11" x14ac:dyDescent="0.35">
      <c r="A10400" s="9" t="str">
        <f>HYPERLINK("http://www.ensembl.org/id/WBGene00196370", "WBGene00196370")</f>
        <v>WBGene00196370</v>
      </c>
      <c r="B10400" s="9"/>
      <c r="C10400" s="9"/>
      <c r="D10400" t="str">
        <f>"F52B10.8"</f>
        <v>F52B10.8</v>
      </c>
      <c r="F10400" t="s">
        <v>481</v>
      </c>
      <c r="H10400" s="12">
        <v>-2.3838754719136599</v>
      </c>
      <c r="I10400" s="20">
        <v>-0.25807578497976902</v>
      </c>
      <c r="J10400" s="28">
        <v>0.79634841949468704</v>
      </c>
      <c r="K10400" s="29">
        <v>0.98289565623980701</v>
      </c>
    </row>
    <row r="10401" spans="1:11" x14ac:dyDescent="0.35">
      <c r="A10401" s="9" t="str">
        <f>HYPERLINK("http://www.ensembl.org/id/WBGene00009927", "WBGene00009927")</f>
        <v>WBGene00009927</v>
      </c>
      <c r="B10401" s="9" t="str">
        <f>HYPERLINK("http://www.ncbi.nlm.nih.gov/gene/178366", "178366")</f>
        <v>178366</v>
      </c>
      <c r="C10401" s="9"/>
      <c r="D10401" t="str">
        <f>"F52B11.5"</f>
        <v>F52B11.5</v>
      </c>
      <c r="F10401" t="s">
        <v>11</v>
      </c>
      <c r="H10401" s="12">
        <v>-1.1846056147146</v>
      </c>
      <c r="I10401" s="20">
        <v>-0.57697191844914597</v>
      </c>
      <c r="J10401" s="28">
        <v>0.56395842564106802</v>
      </c>
      <c r="K10401" s="29">
        <v>0.98289565623980701</v>
      </c>
    </row>
    <row r="10402" spans="1:11" x14ac:dyDescent="0.35">
      <c r="A10402" s="9" t="str">
        <f>HYPERLINK("http://www.ensembl.org/id/WBGene00045102", "WBGene00045102")</f>
        <v>WBGene00045102</v>
      </c>
      <c r="B10402" s="9"/>
      <c r="C10402" s="9"/>
      <c r="D10402" t="str">
        <f>"F52B11.8"</f>
        <v>F52B11.8</v>
      </c>
      <c r="F10402" t="s">
        <v>80</v>
      </c>
      <c r="H10402" s="12">
        <v>2.3893468495514898</v>
      </c>
      <c r="I10402" s="20">
        <v>0.25323547253672701</v>
      </c>
      <c r="J10402" s="28">
        <v>0.80008625651646104</v>
      </c>
      <c r="K10402" s="29">
        <v>0.98289565623980701</v>
      </c>
    </row>
    <row r="10403" spans="1:11" x14ac:dyDescent="0.35">
      <c r="A10403" s="9" t="str">
        <f>HYPERLINK("http://www.ensembl.org/id/WBGene00199946", "WBGene00199946")</f>
        <v>WBGene00199946</v>
      </c>
      <c r="B10403" s="9"/>
      <c r="C10403" s="9"/>
      <c r="D10403" t="str">
        <f>"F52B5.10"</f>
        <v>F52B5.10</v>
      </c>
      <c r="F10403" t="s">
        <v>481</v>
      </c>
      <c r="H10403" s="12">
        <v>2.4578120077400301</v>
      </c>
      <c r="I10403" s="20">
        <v>0.26093350314551</v>
      </c>
      <c r="J10403" s="28">
        <v>0.79414378780213601</v>
      </c>
      <c r="K10403" s="29">
        <v>0.98289565623980701</v>
      </c>
    </row>
    <row r="10404" spans="1:11" x14ac:dyDescent="0.35">
      <c r="A10404" s="9" t="str">
        <f>HYPERLINK("http://www.ensembl.org/id/WBGene00009923", "WBGene00009923")</f>
        <v>WBGene00009923</v>
      </c>
      <c r="B10404" s="9" t="str">
        <f>HYPERLINK("http://www.ncbi.nlm.nih.gov/gene/3565939", "3565939")</f>
        <v>3565939</v>
      </c>
      <c r="C10404" s="9"/>
      <c r="D10404" t="str">
        <f>"F52B5.7"</f>
        <v>F52B5.7</v>
      </c>
      <c r="F10404" t="s">
        <v>11</v>
      </c>
      <c r="H10404" s="12">
        <v>-1.2456866544245899</v>
      </c>
      <c r="I10404" s="20">
        <v>-0.74542836485909003</v>
      </c>
      <c r="J10404" s="28">
        <v>0.45601280176674203</v>
      </c>
      <c r="K10404" s="29">
        <v>0.98289565623980701</v>
      </c>
    </row>
    <row r="10405" spans="1:11" x14ac:dyDescent="0.35">
      <c r="A10405" s="9" t="str">
        <f>HYPERLINK("http://www.ensembl.org/id/WBGene00018669", "WBGene00018669")</f>
        <v>WBGene00018669</v>
      </c>
      <c r="B10405" s="9" t="str">
        <f>HYPERLINK("http://www.ncbi.nlm.nih.gov/gene/186094", "186094")</f>
        <v>186094</v>
      </c>
      <c r="C10405" s="9"/>
      <c r="D10405" t="str">
        <f>"F52C6.12"</f>
        <v>F52C6.12</v>
      </c>
      <c r="F10405" t="s">
        <v>11</v>
      </c>
      <c r="H10405" s="12">
        <v>-1.62963129593347</v>
      </c>
      <c r="I10405" s="20">
        <v>-0.61605000775487095</v>
      </c>
      <c r="J10405" s="28">
        <v>0.53786151531368798</v>
      </c>
      <c r="K10405" s="29">
        <v>0.98289565623980701</v>
      </c>
    </row>
    <row r="10406" spans="1:11" x14ac:dyDescent="0.35">
      <c r="A10406" s="9" t="str">
        <f>HYPERLINK("http://www.ensembl.org/id/WBGene00018661", "WBGene00018661")</f>
        <v>WBGene00018661</v>
      </c>
      <c r="B10406" s="9" t="str">
        <f>HYPERLINK("http://www.ncbi.nlm.nih.gov/gene/186086", "186086")</f>
        <v>186086</v>
      </c>
      <c r="C10406" s="9"/>
      <c r="D10406" t="str">
        <f>"F52C6.4"</f>
        <v>F52C6.4</v>
      </c>
      <c r="F10406" t="s">
        <v>11</v>
      </c>
      <c r="H10406" s="12">
        <v>-2.2648903463962999</v>
      </c>
      <c r="I10406" s="20">
        <v>-0.80155397449939803</v>
      </c>
      <c r="J10406" s="28">
        <v>0.42281101037185997</v>
      </c>
      <c r="K10406" s="29">
        <v>0.98289565623980701</v>
      </c>
    </row>
    <row r="10407" spans="1:11" x14ac:dyDescent="0.35">
      <c r="A10407" s="9" t="str">
        <f>HYPERLINK("http://www.ensembl.org/id/WBGene00018675", "WBGene00018675")</f>
        <v>WBGene00018675</v>
      </c>
      <c r="B10407" s="9" t="str">
        <f>HYPERLINK("http://www.ncbi.nlm.nih.gov/gene/186097", "186097")</f>
        <v>186097</v>
      </c>
      <c r="C10407" s="9"/>
      <c r="D10407" t="str">
        <f>"F52C9.5"</f>
        <v>F52C9.5</v>
      </c>
      <c r="F10407" t="s">
        <v>11</v>
      </c>
      <c r="H10407" s="12">
        <v>-1.0811284194548101</v>
      </c>
      <c r="I10407" s="20">
        <v>-0.29987200766983901</v>
      </c>
      <c r="J10407" s="28">
        <v>0.76427478692661599</v>
      </c>
      <c r="K10407" s="29">
        <v>0.98289565623980701</v>
      </c>
    </row>
    <row r="10408" spans="1:11" x14ac:dyDescent="0.35">
      <c r="A10408" s="9" t="str">
        <f>HYPERLINK("http://www.ensembl.org/id/WBGene00198749", "WBGene00198749")</f>
        <v>WBGene00198749</v>
      </c>
      <c r="B10408" s="9"/>
      <c r="C10408" s="9"/>
      <c r="D10408" t="str">
        <f>"F52D10.10"</f>
        <v>F52D10.10</v>
      </c>
      <c r="F10408" t="s">
        <v>481</v>
      </c>
      <c r="H10408" s="12">
        <v>2.3893468495514898</v>
      </c>
      <c r="I10408" s="20">
        <v>0.25323547253672701</v>
      </c>
      <c r="J10408" s="28">
        <v>0.80008625651646104</v>
      </c>
      <c r="K10408" s="29">
        <v>0.98289565623980701</v>
      </c>
    </row>
    <row r="10409" spans="1:11" x14ac:dyDescent="0.35">
      <c r="A10409" s="9" t="str">
        <f>HYPERLINK("http://www.ensembl.org/id/WBGene00200893", "WBGene00200893")</f>
        <v>WBGene00200893</v>
      </c>
      <c r="B10409" s="9"/>
      <c r="C10409" s="9"/>
      <c r="D10409" t="str">
        <f>"F52D10.12"</f>
        <v>F52D10.12</v>
      </c>
      <c r="F10409" t="s">
        <v>481</v>
      </c>
      <c r="H10409" s="12">
        <v>-2.98350505532111</v>
      </c>
      <c r="I10409" s="20">
        <v>-0.66978063168282598</v>
      </c>
      <c r="J10409" s="28">
        <v>0.50299764212611597</v>
      </c>
      <c r="K10409" s="29">
        <v>0.98289565623980701</v>
      </c>
    </row>
    <row r="10410" spans="1:11" x14ac:dyDescent="0.35">
      <c r="A10410" s="9" t="str">
        <f>HYPERLINK("http://www.ensembl.org/id/WBGene00009930", "WBGene00009930")</f>
        <v>WBGene00009930</v>
      </c>
      <c r="B10410" s="9" t="str">
        <f>HYPERLINK("http://www.ncbi.nlm.nih.gov/gene/181347", "181347")</f>
        <v>181347</v>
      </c>
      <c r="C10410" s="9"/>
      <c r="D10410" t="str">
        <f>"F52D10.2"</f>
        <v>F52D10.2</v>
      </c>
      <c r="F10410" t="s">
        <v>11</v>
      </c>
      <c r="H10410" s="12">
        <v>1.09005764708394</v>
      </c>
      <c r="I10410" s="20">
        <v>0.43927764248964202</v>
      </c>
      <c r="J10410" s="28">
        <v>0.66046037213196496</v>
      </c>
      <c r="K10410" s="29">
        <v>0.98289565623980701</v>
      </c>
    </row>
    <row r="10411" spans="1:11" x14ac:dyDescent="0.35">
      <c r="A10411" s="9" t="str">
        <f>HYPERLINK("http://www.ensembl.org/id/WBGene00009931", "WBGene00009931")</f>
        <v>WBGene00009931</v>
      </c>
      <c r="B10411" s="9" t="str">
        <f>HYPERLINK("http://www.ncbi.nlm.nih.gov/gene/186109", "186109")</f>
        <v>186109</v>
      </c>
      <c r="C10411" s="9"/>
      <c r="D10411" t="str">
        <f>"F52D10.4"</f>
        <v>F52D10.4</v>
      </c>
      <c r="F10411" t="s">
        <v>11</v>
      </c>
      <c r="G10411" t="s">
        <v>1089</v>
      </c>
      <c r="H10411" s="12">
        <v>1.2942066295475001</v>
      </c>
      <c r="I10411" s="20">
        <v>0.41138748599889102</v>
      </c>
      <c r="J10411" s="28">
        <v>0.68078842847370202</v>
      </c>
      <c r="K10411" s="29">
        <v>0.98289565623980701</v>
      </c>
    </row>
    <row r="10412" spans="1:11" x14ac:dyDescent="0.35">
      <c r="A10412" s="9" t="str">
        <f>HYPERLINK("http://www.ensembl.org/id/WBGene00196945", "WBGene00196945")</f>
        <v>WBGene00196945</v>
      </c>
      <c r="B10412" s="9"/>
      <c r="C10412" s="9"/>
      <c r="D10412" t="str">
        <f>"F52D10.7"</f>
        <v>F52D10.7</v>
      </c>
      <c r="F10412" t="s">
        <v>481</v>
      </c>
      <c r="H10412" s="12">
        <v>-2.00282366455441</v>
      </c>
      <c r="I10412" s="20">
        <v>-0.261094718881763</v>
      </c>
      <c r="J10412" s="28">
        <v>0.79401946419414404</v>
      </c>
      <c r="K10412" s="29">
        <v>0.98289565623980701</v>
      </c>
    </row>
    <row r="10413" spans="1:11" x14ac:dyDescent="0.35">
      <c r="A10413" s="9" t="str">
        <f>HYPERLINK("http://www.ensembl.org/id/WBGene00197592", "WBGene00197592")</f>
        <v>WBGene00197592</v>
      </c>
      <c r="B10413" s="9"/>
      <c r="C10413" s="9"/>
      <c r="D10413" t="str">
        <f>"F52D10.9"</f>
        <v>F52D10.9</v>
      </c>
      <c r="F10413" t="s">
        <v>481</v>
      </c>
      <c r="H10413" s="12">
        <v>-3.1401655748381101</v>
      </c>
      <c r="I10413" s="20">
        <v>-0.73444876496884304</v>
      </c>
      <c r="J10413" s="28">
        <v>0.46267527538750503</v>
      </c>
      <c r="K10413" s="29">
        <v>0.98289565623980701</v>
      </c>
    </row>
    <row r="10414" spans="1:11" x14ac:dyDescent="0.35">
      <c r="A10414" s="9" t="str">
        <f>HYPERLINK("http://www.ensembl.org/id/WBGene00219451", "WBGene00219451")</f>
        <v>WBGene00219451</v>
      </c>
      <c r="B10414" s="9" t="str">
        <f>HYPERLINK("http://www.ncbi.nlm.nih.gov/gene/13219436", "13219436")</f>
        <v>13219436</v>
      </c>
      <c r="C10414" s="9"/>
      <c r="D10414" t="str">
        <f>"F52D2.12"</f>
        <v>F52D2.12</v>
      </c>
      <c r="F10414" t="s">
        <v>11</v>
      </c>
      <c r="H10414" s="12">
        <v>-1.18526214776201</v>
      </c>
      <c r="I10414" s="20">
        <v>-0.81028949470566902</v>
      </c>
      <c r="J10414" s="28">
        <v>0.417773811703193</v>
      </c>
      <c r="K10414" s="29">
        <v>0.98289565623980701</v>
      </c>
    </row>
    <row r="10415" spans="1:11" x14ac:dyDescent="0.35">
      <c r="A10415" s="9" t="str">
        <f>HYPERLINK("http://www.ensembl.org/id/WBGene00219959", "WBGene00219959")</f>
        <v>WBGene00219959</v>
      </c>
      <c r="B10415" s="9"/>
      <c r="C10415" s="9"/>
      <c r="D10415" t="str">
        <f>"F52D2.14"</f>
        <v>F52D2.14</v>
      </c>
      <c r="F10415" t="s">
        <v>481</v>
      </c>
      <c r="H10415" s="12">
        <v>2.3893468495514898</v>
      </c>
      <c r="I10415" s="20">
        <v>0.25323547253672701</v>
      </c>
      <c r="J10415" s="28">
        <v>0.80008625651646104</v>
      </c>
      <c r="K10415" s="29">
        <v>0.98289565623980701</v>
      </c>
    </row>
    <row r="10416" spans="1:11" x14ac:dyDescent="0.35">
      <c r="A10416" s="9" t="str">
        <f>HYPERLINK("http://www.ensembl.org/id/WBGene00018687", "WBGene00018687")</f>
        <v>WBGene00018687</v>
      </c>
      <c r="B10416" s="9" t="str">
        <f>HYPERLINK("http://www.ncbi.nlm.nih.gov/gene/186104", "186104")</f>
        <v>186104</v>
      </c>
      <c r="C10416" s="9"/>
      <c r="D10416" t="str">
        <f>"F52D2.5"</f>
        <v>F52D2.5</v>
      </c>
      <c r="F10416" t="s">
        <v>11</v>
      </c>
      <c r="G10416" t="s">
        <v>25</v>
      </c>
      <c r="H10416" s="12">
        <v>-1.29667147458044</v>
      </c>
      <c r="I10416" s="20">
        <v>-1.1918675106179999</v>
      </c>
      <c r="J10416" s="28">
        <v>0.23331319923881599</v>
      </c>
      <c r="K10416" s="29">
        <v>0.98289565623980701</v>
      </c>
    </row>
    <row r="10417" spans="1:11" x14ac:dyDescent="0.35">
      <c r="A10417" s="9" t="str">
        <f>HYPERLINK("http://www.ensembl.org/id/WBGene00018688", "WBGene00018688")</f>
        <v>WBGene00018688</v>
      </c>
      <c r="B10417" s="9" t="str">
        <f>HYPERLINK("http://www.ncbi.nlm.nih.gov/gene/186105", "186105")</f>
        <v>186105</v>
      </c>
      <c r="C10417" s="9"/>
      <c r="D10417" t="str">
        <f>"F52D2.6"</f>
        <v>F52D2.6</v>
      </c>
      <c r="F10417" t="s">
        <v>11</v>
      </c>
      <c r="H10417" s="12">
        <v>-1.5354806965013299</v>
      </c>
      <c r="I10417" s="20">
        <v>-0.97037090378250002</v>
      </c>
      <c r="J10417" s="28">
        <v>0.331861646426858</v>
      </c>
      <c r="K10417" s="29">
        <v>0.98289565623980701</v>
      </c>
    </row>
    <row r="10418" spans="1:11" x14ac:dyDescent="0.35">
      <c r="A10418" s="9" t="str">
        <f>HYPERLINK("http://www.ensembl.org/id/WBGene00018689", "WBGene00018689")</f>
        <v>WBGene00018689</v>
      </c>
      <c r="B10418" s="9" t="str">
        <f>HYPERLINK("http://www.ncbi.nlm.nih.gov/gene/180508", "180508")</f>
        <v>180508</v>
      </c>
      <c r="C10418" s="9"/>
      <c r="D10418" t="str">
        <f>"F52D2.7"</f>
        <v>F52D2.7</v>
      </c>
      <c r="F10418" t="s">
        <v>11</v>
      </c>
      <c r="H10418" s="12">
        <v>-1.23461886204428</v>
      </c>
      <c r="I10418" s="20">
        <v>-0.90358280983097405</v>
      </c>
      <c r="J10418" s="28">
        <v>0.36621665981220602</v>
      </c>
      <c r="K10418" s="29">
        <v>0.98289565623980701</v>
      </c>
    </row>
    <row r="10419" spans="1:11" x14ac:dyDescent="0.35">
      <c r="A10419" s="9" t="str">
        <f>HYPERLINK("http://www.ensembl.org/id/WBGene00045391", "WBGene00045391")</f>
        <v>WBGene00045391</v>
      </c>
      <c r="B10419" s="9"/>
      <c r="C10419" s="9"/>
      <c r="D10419" t="str">
        <f>"F52D4.1"</f>
        <v>F52D4.1</v>
      </c>
      <c r="F10419" t="s">
        <v>481</v>
      </c>
      <c r="H10419" s="12">
        <v>-2.4295389261469</v>
      </c>
      <c r="I10419" s="20">
        <v>-0.25808529976640998</v>
      </c>
      <c r="J10419" s="28">
        <v>0.79634107645457397</v>
      </c>
      <c r="K10419" s="29">
        <v>0.98289565623980701</v>
      </c>
    </row>
    <row r="10420" spans="1:11" x14ac:dyDescent="0.35">
      <c r="A10420" s="9" t="str">
        <f>HYPERLINK("http://www.ensembl.org/id/WBGene00018699", "WBGene00018699")</f>
        <v>WBGene00018699</v>
      </c>
      <c r="B10420" s="9"/>
      <c r="C10420" s="9"/>
      <c r="D10420" t="str">
        <f>"F52E1.12"</f>
        <v>F52E1.12</v>
      </c>
      <c r="F10420" t="s">
        <v>80</v>
      </c>
      <c r="H10420" s="12">
        <v>2.7080814381233802</v>
      </c>
      <c r="I10420" s="20">
        <v>0.952550489653194</v>
      </c>
      <c r="J10420" s="28">
        <v>0.34081787278336301</v>
      </c>
      <c r="K10420" s="29">
        <v>0.98289565623980701</v>
      </c>
    </row>
    <row r="10421" spans="1:11" x14ac:dyDescent="0.35">
      <c r="A10421" s="9" t="str">
        <f>HYPERLINK("http://www.ensembl.org/id/WBGene00219961", "WBGene00219961")</f>
        <v>WBGene00219961</v>
      </c>
      <c r="B10421" s="9"/>
      <c r="C10421" s="9"/>
      <c r="D10421" t="str">
        <f>"F52E1.17"</f>
        <v>F52E1.17</v>
      </c>
      <c r="F10421" t="s">
        <v>481</v>
      </c>
      <c r="H10421" s="12">
        <v>-4.27169518213808</v>
      </c>
      <c r="I10421" s="20">
        <v>-0.771790048590003</v>
      </c>
      <c r="J10421" s="28">
        <v>0.44023878665527899</v>
      </c>
      <c r="K10421" s="29">
        <v>0.98289565623980701</v>
      </c>
    </row>
    <row r="10422" spans="1:11" x14ac:dyDescent="0.35">
      <c r="A10422" s="9" t="str">
        <f>HYPERLINK("http://www.ensembl.org/id/WBGene00018693", "WBGene00018693")</f>
        <v>WBGene00018693</v>
      </c>
      <c r="B10422" s="9" t="str">
        <f>HYPERLINK("http://www.ncbi.nlm.nih.gov/gene/186112", "186112")</f>
        <v>186112</v>
      </c>
      <c r="C10422" s="9"/>
      <c r="D10422" t="str">
        <f>"F52E1.3"</f>
        <v>F52E1.3</v>
      </c>
      <c r="F10422" t="s">
        <v>11</v>
      </c>
      <c r="H10422" s="12">
        <v>7.8691597089380902</v>
      </c>
      <c r="I10422" s="20">
        <v>0.61251365190975104</v>
      </c>
      <c r="J10422" s="28">
        <v>0.54019796842331003</v>
      </c>
      <c r="K10422" s="29">
        <v>0.98289565623980701</v>
      </c>
    </row>
    <row r="10423" spans="1:11" x14ac:dyDescent="0.35">
      <c r="A10423" s="9" t="str">
        <f>HYPERLINK("http://www.ensembl.org/id/WBGene00018697", "WBGene00018697")</f>
        <v>WBGene00018697</v>
      </c>
      <c r="B10423" s="9" t="str">
        <f>HYPERLINK("http://www.ncbi.nlm.nih.gov/gene/186115", "186115")</f>
        <v>186115</v>
      </c>
      <c r="C10423" s="9"/>
      <c r="D10423" t="str">
        <f>"F52E1.9"</f>
        <v>F52E1.9</v>
      </c>
      <c r="E10423" t="s">
        <v>2453</v>
      </c>
      <c r="F10423" t="s">
        <v>11</v>
      </c>
      <c r="G10423" t="s">
        <v>2454</v>
      </c>
      <c r="H10423" s="12">
        <v>1.2387579324593101</v>
      </c>
      <c r="I10423" s="20">
        <v>0.90698008174077305</v>
      </c>
      <c r="J10423" s="28">
        <v>0.36441733040740099</v>
      </c>
      <c r="K10423" s="29">
        <v>0.98289565623980701</v>
      </c>
    </row>
    <row r="10424" spans="1:11" x14ac:dyDescent="0.35">
      <c r="A10424" s="9" t="str">
        <f>HYPERLINK("http://www.ensembl.org/id/WBGene00009933", "WBGene00009933")</f>
        <v>WBGene00009933</v>
      </c>
      <c r="B10424" s="9" t="str">
        <f>HYPERLINK("http://www.ncbi.nlm.nih.gov/gene/186117", "186117")</f>
        <v>186117</v>
      </c>
      <c r="C10424" s="9"/>
      <c r="D10424" t="str">
        <f>"F52E10.2"</f>
        <v>F52E10.2</v>
      </c>
      <c r="F10424" t="s">
        <v>11</v>
      </c>
      <c r="H10424" s="12">
        <v>-1.7146473462385901</v>
      </c>
      <c r="I10424" s="20">
        <v>-0.465345995009462</v>
      </c>
      <c r="J10424" s="28">
        <v>0.64168370167317001</v>
      </c>
      <c r="K10424" s="29">
        <v>0.98289565623980701</v>
      </c>
    </row>
    <row r="10425" spans="1:11" x14ac:dyDescent="0.35">
      <c r="A10425" s="9" t="str">
        <f>HYPERLINK("http://www.ensembl.org/id/WBGene00199385", "WBGene00199385")</f>
        <v>WBGene00199385</v>
      </c>
      <c r="B10425" s="9"/>
      <c r="C10425" s="9"/>
      <c r="D10425" t="str">
        <f>"F52E4.13"</f>
        <v>F52E4.13</v>
      </c>
      <c r="F10425" t="s">
        <v>481</v>
      </c>
      <c r="H10425" s="12">
        <v>-2.4991590031922399</v>
      </c>
      <c r="I10425" s="20">
        <v>-0.26577412737581302</v>
      </c>
      <c r="J10425" s="28">
        <v>0.79041317015736101</v>
      </c>
      <c r="K10425" s="29">
        <v>0.98289565623980701</v>
      </c>
    </row>
    <row r="10426" spans="1:11" x14ac:dyDescent="0.35">
      <c r="A10426" s="9" t="str">
        <f>HYPERLINK("http://www.ensembl.org/id/WBGene00018702", "WBGene00018702")</f>
        <v>WBGene00018702</v>
      </c>
      <c r="B10426" s="9" t="str">
        <f>HYPERLINK("http://www.ncbi.nlm.nih.gov/gene/180595", "180595")</f>
        <v>180595</v>
      </c>
      <c r="C10426" s="9"/>
      <c r="D10426" t="str">
        <f>"F52E4.5"</f>
        <v>F52E4.5</v>
      </c>
      <c r="F10426" t="s">
        <v>11</v>
      </c>
      <c r="H10426" s="12">
        <v>-1.22844272272929</v>
      </c>
      <c r="I10426" s="20">
        <v>-1.11453340432709</v>
      </c>
      <c r="J10426" s="28">
        <v>0.265050422119887</v>
      </c>
      <c r="K10426" s="29">
        <v>0.98289565623980701</v>
      </c>
    </row>
    <row r="10427" spans="1:11" x14ac:dyDescent="0.35">
      <c r="A10427" s="9" t="str">
        <f>HYPERLINK("http://www.ensembl.org/id/WBGene00195334", "WBGene00195334")</f>
        <v>WBGene00195334</v>
      </c>
      <c r="B10427" s="9"/>
      <c r="C10427" s="9"/>
      <c r="D10427" t="str">
        <f>"F52E4.9"</f>
        <v>F52E4.9</v>
      </c>
      <c r="F10427" t="s">
        <v>481</v>
      </c>
      <c r="H10427" s="12">
        <v>3.5227018545059199</v>
      </c>
      <c r="I10427" s="20">
        <v>0.36849691206929103</v>
      </c>
      <c r="J10427" s="28">
        <v>0.71250274722433404</v>
      </c>
      <c r="K10427" s="29">
        <v>0.98289565623980701</v>
      </c>
    </row>
    <row r="10428" spans="1:11" x14ac:dyDescent="0.35">
      <c r="A10428" s="9" t="str">
        <f>HYPERLINK("http://www.ensembl.org/id/WBGene00199768", "WBGene00199768")</f>
        <v>WBGene00199768</v>
      </c>
      <c r="B10428" s="9"/>
      <c r="C10428" s="9"/>
      <c r="D10428" t="str">
        <f>"F52F12.15"</f>
        <v>F52F12.15</v>
      </c>
      <c r="F10428" t="s">
        <v>481</v>
      </c>
      <c r="H10428" s="12">
        <v>-3.7261494131482999</v>
      </c>
      <c r="I10428" s="20">
        <v>-0.38454673129429601</v>
      </c>
      <c r="J10428" s="28">
        <v>0.70057326682554</v>
      </c>
      <c r="K10428" s="29">
        <v>0.98289565623980701</v>
      </c>
    </row>
    <row r="10429" spans="1:11" x14ac:dyDescent="0.35">
      <c r="A10429" s="9" t="str">
        <f>HYPERLINK("http://www.ensembl.org/id/WBGene00009938", "WBGene00009938")</f>
        <v>WBGene00009938</v>
      </c>
      <c r="B10429" s="9" t="str">
        <f>HYPERLINK("http://www.ncbi.nlm.nih.gov/gene/186128", "186128")</f>
        <v>186128</v>
      </c>
      <c r="C10429" s="9"/>
      <c r="D10429" t="str">
        <f>"F52F12.5"</f>
        <v>F52F12.5</v>
      </c>
      <c r="F10429" t="s">
        <v>11</v>
      </c>
      <c r="H10429" s="12">
        <v>2.5846954094094299</v>
      </c>
      <c r="I10429" s="20">
        <v>0.86307449590796903</v>
      </c>
      <c r="J10429" s="28">
        <v>0.38809650939684298</v>
      </c>
      <c r="K10429" s="29">
        <v>0.98289565623980701</v>
      </c>
    </row>
    <row r="10430" spans="1:11" x14ac:dyDescent="0.35">
      <c r="A10430" s="9" t="str">
        <f>HYPERLINK("http://www.ensembl.org/id/WBGene00009941", "WBGene00009941")</f>
        <v>WBGene00009941</v>
      </c>
      <c r="B10430" s="9" t="str">
        <f>HYPERLINK("http://www.ncbi.nlm.nih.gov/gene/3565542", "3565542")</f>
        <v>3565542</v>
      </c>
      <c r="C10430" s="9"/>
      <c r="D10430" t="str">
        <f>"F52F12.8"</f>
        <v>F52F12.8</v>
      </c>
      <c r="E10430" t="s">
        <v>899</v>
      </c>
      <c r="F10430" t="s">
        <v>11</v>
      </c>
      <c r="G10430" t="s">
        <v>3403</v>
      </c>
      <c r="H10430" s="12">
        <v>-3.9682544721440101</v>
      </c>
      <c r="I10430" s="20">
        <v>-0.72416280169996095</v>
      </c>
      <c r="J10430" s="28">
        <v>0.46896579261398802</v>
      </c>
      <c r="K10430" s="29">
        <v>0.98289565623980701</v>
      </c>
    </row>
    <row r="10431" spans="1:11" x14ac:dyDescent="0.35">
      <c r="A10431" s="9" t="str">
        <f>HYPERLINK("http://www.ensembl.org/id/WBGene00009943", "WBGene00009943")</f>
        <v>WBGene00009943</v>
      </c>
      <c r="B10431" s="9" t="str">
        <f>HYPERLINK("http://www.ncbi.nlm.nih.gov/gene/178324", "178324")</f>
        <v>178324</v>
      </c>
      <c r="C10431" s="9"/>
      <c r="D10431" t="str">
        <f>"F52G2.3"</f>
        <v>F52G2.3</v>
      </c>
      <c r="F10431" t="s">
        <v>11</v>
      </c>
      <c r="H10431" s="12">
        <v>-1.0923152021667</v>
      </c>
      <c r="I10431" s="20">
        <v>-0.39269202192142599</v>
      </c>
      <c r="J10431" s="28">
        <v>0.69454696387356096</v>
      </c>
      <c r="K10431" s="29">
        <v>0.98289565623980701</v>
      </c>
    </row>
    <row r="10432" spans="1:11" x14ac:dyDescent="0.35">
      <c r="A10432" s="9" t="str">
        <f>HYPERLINK("http://www.ensembl.org/id/WBGene00018710", "WBGene00018710")</f>
        <v>WBGene00018710</v>
      </c>
      <c r="B10432" s="9" t="str">
        <f>HYPERLINK("http://www.ncbi.nlm.nih.gov/gene/181741", "181741")</f>
        <v>181741</v>
      </c>
      <c r="C10432" s="9"/>
      <c r="D10432" t="str">
        <f>"F52G3.1"</f>
        <v>F52G3.1</v>
      </c>
      <c r="F10432" t="s">
        <v>11</v>
      </c>
      <c r="H10432" s="12">
        <v>1.11638062534271</v>
      </c>
      <c r="I10432" s="20">
        <v>0.60605246262885004</v>
      </c>
      <c r="J10432" s="28">
        <v>0.544479916361296</v>
      </c>
      <c r="K10432" s="29">
        <v>0.98289565623980701</v>
      </c>
    </row>
    <row r="10433" spans="1:11" x14ac:dyDescent="0.35">
      <c r="A10433" s="9" t="str">
        <f>HYPERLINK("http://www.ensembl.org/id/WBGene00018711", "WBGene00018711")</f>
        <v>WBGene00018711</v>
      </c>
      <c r="B10433" s="9" t="str">
        <f>HYPERLINK("http://www.ncbi.nlm.nih.gov/gene/186129", "186129")</f>
        <v>186129</v>
      </c>
      <c r="C10433" s="9"/>
      <c r="D10433" t="str">
        <f>"F52G3.3"</f>
        <v>F52G3.3</v>
      </c>
      <c r="E10433" t="s">
        <v>4233</v>
      </c>
      <c r="F10433" t="s">
        <v>11</v>
      </c>
      <c r="G10433" t="s">
        <v>4234</v>
      </c>
      <c r="H10433" s="12">
        <v>-4.4682950177437197</v>
      </c>
      <c r="I10433" s="20">
        <v>-0.96078726449822405</v>
      </c>
      <c r="J10433" s="28">
        <v>0.33665914335188402</v>
      </c>
      <c r="K10433" s="29">
        <v>0.98289565623980701</v>
      </c>
    </row>
    <row r="10434" spans="1:11" x14ac:dyDescent="0.35">
      <c r="A10434" s="9" t="str">
        <f>HYPERLINK("http://www.ensembl.org/id/WBGene00018712", "WBGene00018712")</f>
        <v>WBGene00018712</v>
      </c>
      <c r="B10434" s="9" t="str">
        <f>HYPERLINK("http://www.ncbi.nlm.nih.gov/gene/186130", "186130")</f>
        <v>186130</v>
      </c>
      <c r="C10434" s="9"/>
      <c r="D10434" t="str">
        <f>"F52G3.4"</f>
        <v>F52G3.4</v>
      </c>
      <c r="F10434" t="s">
        <v>11</v>
      </c>
      <c r="H10434" s="12">
        <v>-2.0310857376808</v>
      </c>
      <c r="I10434" s="20">
        <v>-0.491204110007397</v>
      </c>
      <c r="J10434" s="28">
        <v>0.62328209232208698</v>
      </c>
      <c r="K10434" s="29">
        <v>0.98289565623980701</v>
      </c>
    </row>
    <row r="10435" spans="1:11" x14ac:dyDescent="0.35">
      <c r="A10435" s="9" t="str">
        <f>HYPERLINK("http://www.ensembl.org/id/WBGene00018713", "WBGene00018713")</f>
        <v>WBGene00018713</v>
      </c>
      <c r="B10435" s="9" t="str">
        <f>HYPERLINK("http://www.ncbi.nlm.nih.gov/gene/181742", "181742")</f>
        <v>181742</v>
      </c>
      <c r="C10435" s="9"/>
      <c r="D10435" t="str">
        <f>"F52G3.5"</f>
        <v>F52G3.5</v>
      </c>
      <c r="F10435" t="s">
        <v>11</v>
      </c>
      <c r="H10435" s="12">
        <v>-1.1686829944500201</v>
      </c>
      <c r="I10435" s="20">
        <v>-0.34810065716076499</v>
      </c>
      <c r="J10435" s="28">
        <v>0.727764590816388</v>
      </c>
      <c r="K10435" s="29">
        <v>0.98289565623980701</v>
      </c>
    </row>
    <row r="10436" spans="1:11" x14ac:dyDescent="0.35">
      <c r="A10436" s="9" t="str">
        <f>HYPERLINK("http://www.ensembl.org/id/WBGene00018714", "WBGene00018714")</f>
        <v>WBGene00018714</v>
      </c>
      <c r="B10436" s="9" t="str">
        <f>HYPERLINK("http://www.ncbi.nlm.nih.gov/gene/180559", "180559")</f>
        <v>180559</v>
      </c>
      <c r="C10436" s="9"/>
      <c r="D10436" t="str">
        <f>"F52H2.1"</f>
        <v>F52H2.1</v>
      </c>
      <c r="F10436" t="s">
        <v>11</v>
      </c>
      <c r="H10436" s="12">
        <v>1.10466874777234</v>
      </c>
      <c r="I10436" s="20">
        <v>0.46611352214663099</v>
      </c>
      <c r="J10436" s="28">
        <v>0.64113424475943104</v>
      </c>
      <c r="K10436" s="29">
        <v>0.98289565623980701</v>
      </c>
    </row>
    <row r="10437" spans="1:11" x14ac:dyDescent="0.35">
      <c r="A10437" s="9" t="str">
        <f>HYPERLINK("http://www.ensembl.org/id/WBGene00206381", "WBGene00206381")</f>
        <v>WBGene00206381</v>
      </c>
      <c r="B10437" s="9" t="str">
        <f>HYPERLINK("http://www.ncbi.nlm.nih.gov/gene/13219641", "13219641")</f>
        <v>13219641</v>
      </c>
      <c r="C10437" s="9"/>
      <c r="D10437" t="str">
        <f>"F52H2.15"</f>
        <v>F52H2.15</v>
      </c>
      <c r="F10437" t="s">
        <v>11</v>
      </c>
      <c r="G10437" t="s">
        <v>25</v>
      </c>
      <c r="H10437" s="12">
        <v>-1.41852493630927</v>
      </c>
      <c r="I10437" s="20">
        <v>-0.28258905894138298</v>
      </c>
      <c r="J10437" s="28">
        <v>0.77749186832300299</v>
      </c>
      <c r="K10437" s="29">
        <v>0.98289565623980701</v>
      </c>
    </row>
    <row r="10438" spans="1:11" x14ac:dyDescent="0.35">
      <c r="A10438" s="9" t="str">
        <f>HYPERLINK("http://www.ensembl.org/id/WBGene00018715", "WBGene00018715")</f>
        <v>WBGene00018715</v>
      </c>
      <c r="B10438" s="9" t="str">
        <f>HYPERLINK("http://www.ncbi.nlm.nih.gov/gene/186131", "186131")</f>
        <v>186131</v>
      </c>
      <c r="C10438" s="9"/>
      <c r="D10438" t="str">
        <f>"F52H2.3"</f>
        <v>F52H2.3</v>
      </c>
      <c r="F10438" t="s">
        <v>11</v>
      </c>
      <c r="H10438" s="12">
        <v>-1.1186843840240499</v>
      </c>
      <c r="I10438" s="20">
        <v>-0.26597897807682103</v>
      </c>
      <c r="J10438" s="28">
        <v>0.79025539911215403</v>
      </c>
      <c r="K10438" s="29">
        <v>0.98289565623980701</v>
      </c>
    </row>
    <row r="10439" spans="1:11" x14ac:dyDescent="0.35">
      <c r="A10439" s="9" t="str">
        <f>HYPERLINK("http://www.ensembl.org/id/WBGene00018718", "WBGene00018718")</f>
        <v>WBGene00018718</v>
      </c>
      <c r="B10439" s="9" t="str">
        <f>HYPERLINK("http://www.ncbi.nlm.nih.gov/gene/186134", "186134")</f>
        <v>186134</v>
      </c>
      <c r="C10439" s="9" t="str">
        <f>HYPERLINK("http://www.ncbi.nlm.nih.gov/gene/1718", "1718")</f>
        <v>1718</v>
      </c>
      <c r="D10439" t="str">
        <f>"F52H2.6"</f>
        <v>F52H2.6</v>
      </c>
      <c r="E10439" t="s">
        <v>4939</v>
      </c>
      <c r="F10439" t="s">
        <v>11</v>
      </c>
      <c r="G10439" t="s">
        <v>4940</v>
      </c>
      <c r="H10439" s="12">
        <v>1.28945422662776</v>
      </c>
      <c r="I10439" s="20">
        <v>1.1044034252974</v>
      </c>
      <c r="J10439" s="28">
        <v>0.26941817560847597</v>
      </c>
      <c r="K10439" s="29">
        <v>0.98289565623980701</v>
      </c>
    </row>
    <row r="10440" spans="1:11" x14ac:dyDescent="0.35">
      <c r="A10440" s="9" t="str">
        <f>HYPERLINK("http://www.ensembl.org/id/WBGene00023064", "WBGene00023064")</f>
        <v>WBGene00023064</v>
      </c>
      <c r="B10440" s="9"/>
      <c r="C10440" s="9"/>
      <c r="D10440" t="str">
        <f>"F52H2.t2"</f>
        <v>F52H2.t2</v>
      </c>
      <c r="F10440" t="s">
        <v>4208</v>
      </c>
      <c r="H10440" s="12">
        <v>7.8691597089380902</v>
      </c>
      <c r="I10440" s="20">
        <v>0.61251365190975104</v>
      </c>
      <c r="J10440" s="28">
        <v>0.54019796842331003</v>
      </c>
      <c r="K10440" s="29">
        <v>0.98289565623980701</v>
      </c>
    </row>
    <row r="10441" spans="1:11" x14ac:dyDescent="0.35">
      <c r="A10441" s="9" t="str">
        <f>HYPERLINK("http://www.ensembl.org/id/WBGene00009948", "WBGene00009948")</f>
        <v>WBGene00009948</v>
      </c>
      <c r="B10441" s="9" t="str">
        <f>HYPERLINK("http://www.ncbi.nlm.nih.gov/gene/174561", "174561")</f>
        <v>174561</v>
      </c>
      <c r="C10441" s="9"/>
      <c r="D10441" t="str">
        <f>"F52H3.6"</f>
        <v>F52H3.6</v>
      </c>
      <c r="E10441" t="s">
        <v>2496</v>
      </c>
      <c r="F10441" t="s">
        <v>11</v>
      </c>
      <c r="G10441" t="s">
        <v>2497</v>
      </c>
      <c r="H10441" s="12">
        <v>-1.1843663980895101</v>
      </c>
      <c r="I10441" s="20">
        <v>-0.47006573953132902</v>
      </c>
      <c r="J10441" s="28">
        <v>0.638308050639813</v>
      </c>
      <c r="K10441" s="29">
        <v>0.98289565623980701</v>
      </c>
    </row>
    <row r="10442" spans="1:11" x14ac:dyDescent="0.35">
      <c r="A10442" s="9" t="str">
        <f>HYPERLINK("http://www.ensembl.org/id/WBGene00194865", "WBGene00194865")</f>
        <v>WBGene00194865</v>
      </c>
      <c r="B10442" s="9"/>
      <c r="C10442" s="9"/>
      <c r="D10442" t="str">
        <f>"F53A2.10"</f>
        <v>F53A2.10</v>
      </c>
      <c r="F10442" t="s">
        <v>2735</v>
      </c>
      <c r="H10442" s="12">
        <v>-1.6867911813846299</v>
      </c>
      <c r="I10442" s="20">
        <v>-0.57013018015915096</v>
      </c>
      <c r="J10442" s="28">
        <v>0.56858940685453196</v>
      </c>
      <c r="K10442" s="29">
        <v>0.98289565623980701</v>
      </c>
    </row>
    <row r="10443" spans="1:11" x14ac:dyDescent="0.35">
      <c r="A10443" s="9" t="str">
        <f>HYPERLINK("http://www.ensembl.org/id/WBGene00194870", "WBGene00194870")</f>
        <v>WBGene00194870</v>
      </c>
      <c r="B10443" s="9" t="str">
        <f>HYPERLINK("http://www.ncbi.nlm.nih.gov/gene/13191741", "13191741")</f>
        <v>13191741</v>
      </c>
      <c r="C10443" s="9"/>
      <c r="D10443" t="str">
        <f>"F53A2.11"</f>
        <v>F53A2.11</v>
      </c>
      <c r="F10443" t="s">
        <v>11</v>
      </c>
      <c r="G10443" t="s">
        <v>178</v>
      </c>
      <c r="H10443" s="12">
        <v>6.61045742799383</v>
      </c>
      <c r="I10443" s="20">
        <v>0.55558174612790701</v>
      </c>
      <c r="J10443" s="28">
        <v>0.57849681292850097</v>
      </c>
      <c r="K10443" s="29">
        <v>0.98289565623980701</v>
      </c>
    </row>
    <row r="10444" spans="1:11" x14ac:dyDescent="0.35">
      <c r="A10444" s="9" t="str">
        <f>HYPERLINK("http://www.ensembl.org/id/WBGene00009951", "WBGene00009951")</f>
        <v>WBGene00009951</v>
      </c>
      <c r="B10444" s="9" t="str">
        <f>HYPERLINK("http://www.ncbi.nlm.nih.gov/gene/186139", "186139")</f>
        <v>186139</v>
      </c>
      <c r="C10444" s="9"/>
      <c r="D10444" t="str">
        <f>"F53A2.3"</f>
        <v>F53A2.3</v>
      </c>
      <c r="F10444" t="s">
        <v>11</v>
      </c>
      <c r="H10444" s="12">
        <v>1.2144255707168301</v>
      </c>
      <c r="I10444" s="20">
        <v>0.68257434070932499</v>
      </c>
      <c r="J10444" s="28">
        <v>0.49487585258299799</v>
      </c>
      <c r="K10444" s="29">
        <v>0.98289565623980701</v>
      </c>
    </row>
    <row r="10445" spans="1:11" x14ac:dyDescent="0.35">
      <c r="A10445" s="9" t="str">
        <f>HYPERLINK("http://www.ensembl.org/id/WBGene00009953", "WBGene00009953")</f>
        <v>WBGene00009953</v>
      </c>
      <c r="B10445" s="9" t="str">
        <f>HYPERLINK("http://www.ncbi.nlm.nih.gov/gene/186140", "186140")</f>
        <v>186140</v>
      </c>
      <c r="C10445" s="9"/>
      <c r="D10445" t="str">
        <f>"F53A2.9"</f>
        <v>F53A2.9</v>
      </c>
      <c r="F10445" t="s">
        <v>11</v>
      </c>
      <c r="H10445" s="12">
        <v>-1.0969881985235299</v>
      </c>
      <c r="I10445" s="20">
        <v>-0.42235268060012798</v>
      </c>
      <c r="J10445" s="28">
        <v>0.67276761133596996</v>
      </c>
      <c r="K10445" s="29">
        <v>0.98289565623980701</v>
      </c>
    </row>
    <row r="10446" spans="1:11" x14ac:dyDescent="0.35">
      <c r="A10446" s="9" t="str">
        <f>HYPERLINK("http://www.ensembl.org/id/WBGene00018723", "WBGene00018723")</f>
        <v>WBGene00018723</v>
      </c>
      <c r="B10446" s="9" t="str">
        <f>HYPERLINK("http://www.ncbi.nlm.nih.gov/gene/24104620", "24104620")</f>
        <v>24104620</v>
      </c>
      <c r="C10446" s="9"/>
      <c r="D10446" t="str">
        <f>"F53A3.7"</f>
        <v>F53A3.7</v>
      </c>
      <c r="F10446" t="s">
        <v>11</v>
      </c>
      <c r="G10446" t="s">
        <v>9643</v>
      </c>
      <c r="H10446" s="12">
        <v>-1.27198163856087</v>
      </c>
      <c r="I10446" s="20">
        <v>-0.53571366500675899</v>
      </c>
      <c r="J10446" s="28">
        <v>0.59215645795911698</v>
      </c>
      <c r="K10446" s="29">
        <v>0.98289565623980701</v>
      </c>
    </row>
    <row r="10447" spans="1:11" x14ac:dyDescent="0.35">
      <c r="A10447" s="9" t="str">
        <f>HYPERLINK("http://www.ensembl.org/id/WBGene00199226", "WBGene00199226")</f>
        <v>WBGene00199226</v>
      </c>
      <c r="B10447" s="9"/>
      <c r="C10447" s="9"/>
      <c r="D10447" t="str">
        <f>"F53A3.8"</f>
        <v>F53A3.8</v>
      </c>
      <c r="F10447" t="s">
        <v>481</v>
      </c>
      <c r="H10447" s="12">
        <v>2.3893468495514898</v>
      </c>
      <c r="I10447" s="20">
        <v>0.25323547253672701</v>
      </c>
      <c r="J10447" s="28">
        <v>0.80008625651646104</v>
      </c>
      <c r="K10447" s="29">
        <v>0.98289565623980701</v>
      </c>
    </row>
    <row r="10448" spans="1:11" x14ac:dyDescent="0.35">
      <c r="A10448" s="9" t="str">
        <f>HYPERLINK("http://www.ensembl.org/id/WBGene00018726", "WBGene00018726")</f>
        <v>WBGene00018726</v>
      </c>
      <c r="B10448" s="9" t="str">
        <f>HYPERLINK("http://www.ncbi.nlm.nih.gov/gene/181117", "181117")</f>
        <v>181117</v>
      </c>
      <c r="C10448" s="9"/>
      <c r="D10448" t="str">
        <f>"F53A9.3"</f>
        <v>F53A9.3</v>
      </c>
      <c r="F10448" t="s">
        <v>11</v>
      </c>
      <c r="H10448" s="12">
        <v>1.3164862146381799</v>
      </c>
      <c r="I10448" s="20">
        <v>0.28548361186690802</v>
      </c>
      <c r="J10448" s="28">
        <v>0.77527365807590698</v>
      </c>
      <c r="K10448" s="29">
        <v>0.98289565623980701</v>
      </c>
    </row>
    <row r="10449" spans="1:11" x14ac:dyDescent="0.35">
      <c r="A10449" s="9" t="str">
        <f>HYPERLINK("http://www.ensembl.org/id/WBGene00018729", "WBGene00018729")</f>
        <v>WBGene00018729</v>
      </c>
      <c r="B10449" s="9" t="str">
        <f>HYPERLINK("http://www.ncbi.nlm.nih.gov/gene/186145", "186145")</f>
        <v>186145</v>
      </c>
      <c r="C10449" s="9"/>
      <c r="D10449" t="str">
        <f>"F53A9.6"</f>
        <v>F53A9.6</v>
      </c>
      <c r="F10449" t="s">
        <v>11</v>
      </c>
      <c r="G10449" t="s">
        <v>5020</v>
      </c>
      <c r="H10449" s="12">
        <v>1.0531591363767201</v>
      </c>
      <c r="I10449" s="20">
        <v>0.279819312193889</v>
      </c>
      <c r="J10449" s="28">
        <v>0.77961613435311194</v>
      </c>
      <c r="K10449" s="29">
        <v>0.98289565623980701</v>
      </c>
    </row>
    <row r="10450" spans="1:11" x14ac:dyDescent="0.35">
      <c r="A10450" s="9" t="str">
        <f>HYPERLINK("http://www.ensembl.org/id/WBGene00018737", "WBGene00018737")</f>
        <v>WBGene00018737</v>
      </c>
      <c r="B10450" s="9" t="str">
        <f>HYPERLINK("http://www.ncbi.nlm.nih.gov/gene/180525", "180525")</f>
        <v>180525</v>
      </c>
      <c r="C10450" s="9"/>
      <c r="D10450" t="str">
        <f>"F53B1.4"</f>
        <v>F53B1.4</v>
      </c>
      <c r="F10450" t="s">
        <v>11</v>
      </c>
      <c r="G10450" t="s">
        <v>4638</v>
      </c>
      <c r="H10450" s="12">
        <v>1.5562016860847601</v>
      </c>
      <c r="I10450" s="20">
        <v>1.07717407364602</v>
      </c>
      <c r="J10450" s="28">
        <v>0.281402505559739</v>
      </c>
      <c r="K10450" s="29">
        <v>0.98289565623980701</v>
      </c>
    </row>
    <row r="10451" spans="1:11" x14ac:dyDescent="0.35">
      <c r="A10451" s="9" t="str">
        <f>HYPERLINK("http://www.ensembl.org/id/WBGene00018739", "WBGene00018739")</f>
        <v>WBGene00018739</v>
      </c>
      <c r="B10451" s="9" t="str">
        <f>HYPERLINK("http://www.ncbi.nlm.nih.gov/gene/180528", "180528")</f>
        <v>180528</v>
      </c>
      <c r="C10451" s="9" t="str">
        <f>HYPERLINK("http://www.ncbi.nlm.nih.gov/gene/353189", "353189")</f>
        <v>353189</v>
      </c>
      <c r="D10451" t="str">
        <f>"F53B1.8"</f>
        <v>F53B1.8</v>
      </c>
      <c r="E10451" t="s">
        <v>782</v>
      </c>
      <c r="F10451" t="s">
        <v>11</v>
      </c>
      <c r="G10451" t="s">
        <v>3740</v>
      </c>
      <c r="H10451" s="12">
        <v>-1.09890659171778</v>
      </c>
      <c r="I10451" s="20">
        <v>-0.51146151755827496</v>
      </c>
      <c r="J10451" s="28">
        <v>0.60902792820235896</v>
      </c>
      <c r="K10451" s="29">
        <v>0.98289565623980701</v>
      </c>
    </row>
    <row r="10452" spans="1:11" x14ac:dyDescent="0.35">
      <c r="A10452" s="9" t="str">
        <f>HYPERLINK("http://www.ensembl.org/id/WBGene00009956", "WBGene00009956")</f>
        <v>WBGene00009956</v>
      </c>
      <c r="B10452" s="9" t="str">
        <f>HYPERLINK("http://www.ncbi.nlm.nih.gov/gene/178204", "178204")</f>
        <v>178204</v>
      </c>
      <c r="C10452" s="9"/>
      <c r="D10452" t="str">
        <f>"F53B2.5"</f>
        <v>F53B2.5</v>
      </c>
      <c r="F10452" t="s">
        <v>11</v>
      </c>
      <c r="G10452" t="s">
        <v>9956</v>
      </c>
      <c r="H10452" s="12">
        <v>-1.47824001780629</v>
      </c>
      <c r="I10452" s="20">
        <v>-0.32374043207029402</v>
      </c>
      <c r="J10452" s="28">
        <v>0.74613455755584501</v>
      </c>
      <c r="K10452" s="29">
        <v>0.98289565623980701</v>
      </c>
    </row>
    <row r="10453" spans="1:11" x14ac:dyDescent="0.35">
      <c r="A10453" s="9" t="str">
        <f>HYPERLINK("http://www.ensembl.org/id/WBGene00014769", "WBGene00014769")</f>
        <v>WBGene00014769</v>
      </c>
      <c r="B10453" s="9"/>
      <c r="C10453" s="9"/>
      <c r="D10453" t="str">
        <f>"F53B2.7"</f>
        <v>F53B2.7</v>
      </c>
      <c r="F10453" t="s">
        <v>80</v>
      </c>
      <c r="H10453" s="12">
        <v>2.2399041057373101</v>
      </c>
      <c r="I10453" s="20">
        <v>0.47414674302739801</v>
      </c>
      <c r="J10453" s="28">
        <v>0.63539526796576795</v>
      </c>
      <c r="K10453" s="29">
        <v>0.98289565623980701</v>
      </c>
    </row>
    <row r="10454" spans="1:11" x14ac:dyDescent="0.35">
      <c r="A10454" s="9" t="str">
        <f>HYPERLINK("http://www.ensembl.org/id/WBGene00009957", "WBGene00009957")</f>
        <v>WBGene00009957</v>
      </c>
      <c r="B10454" s="9" t="str">
        <f>HYPERLINK("http://www.ncbi.nlm.nih.gov/gene/178203", "178203")</f>
        <v>178203</v>
      </c>
      <c r="C10454" s="9"/>
      <c r="D10454" t="str">
        <f>"F53B2.8"</f>
        <v>F53B2.8</v>
      </c>
      <c r="F10454" t="s">
        <v>11</v>
      </c>
      <c r="H10454" s="12">
        <v>-1.0728504971806501</v>
      </c>
      <c r="I10454" s="20">
        <v>-0.36641929632190101</v>
      </c>
      <c r="J10454" s="28">
        <v>0.71405222309154803</v>
      </c>
      <c r="K10454" s="29">
        <v>0.98289565623980701</v>
      </c>
    </row>
    <row r="10455" spans="1:11" x14ac:dyDescent="0.35">
      <c r="A10455" s="9" t="str">
        <f>HYPERLINK("http://www.ensembl.org/id/WBGene00197223", "WBGene00197223")</f>
        <v>WBGene00197223</v>
      </c>
      <c r="B10455" s="9"/>
      <c r="C10455" s="9"/>
      <c r="D10455" t="str">
        <f>"F53B3.10"</f>
        <v>F53B3.10</v>
      </c>
      <c r="F10455" t="s">
        <v>481</v>
      </c>
      <c r="H10455" s="12">
        <v>2.3893468495514898</v>
      </c>
      <c r="I10455" s="20">
        <v>0.25323547253672701</v>
      </c>
      <c r="J10455" s="28">
        <v>0.80008625651646104</v>
      </c>
      <c r="K10455" s="29">
        <v>0.98289565623980701</v>
      </c>
    </row>
    <row r="10456" spans="1:11" x14ac:dyDescent="0.35">
      <c r="A10456" s="9" t="str">
        <f>HYPERLINK("http://www.ensembl.org/id/WBGene00018744", "WBGene00018744")</f>
        <v>WBGene00018744</v>
      </c>
      <c r="B10456" s="9" t="str">
        <f>HYPERLINK("http://www.ncbi.nlm.nih.gov/gene/180576", "180576")</f>
        <v>180576</v>
      </c>
      <c r="C10456" s="9"/>
      <c r="D10456" t="str">
        <f>"F53B3.6"</f>
        <v>F53B3.6</v>
      </c>
      <c r="F10456" t="s">
        <v>11</v>
      </c>
      <c r="H10456" s="12">
        <v>1.16257941916928</v>
      </c>
      <c r="I10456" s="20">
        <v>0.30032802707506301</v>
      </c>
      <c r="J10456" s="28">
        <v>0.76392695687843704</v>
      </c>
      <c r="K10456" s="29">
        <v>0.98289565623980701</v>
      </c>
    </row>
    <row r="10457" spans="1:11" x14ac:dyDescent="0.35">
      <c r="A10457" s="9" t="str">
        <f>HYPERLINK("http://www.ensembl.org/id/WBGene00202420", "WBGene00202420")</f>
        <v>WBGene00202420</v>
      </c>
      <c r="B10457" s="9"/>
      <c r="C10457" s="9"/>
      <c r="D10457" t="str">
        <f>"F53B6.12"</f>
        <v>F53B6.12</v>
      </c>
      <c r="F10457" t="s">
        <v>481</v>
      </c>
      <c r="H10457" s="12">
        <v>2.3893468495514898</v>
      </c>
      <c r="I10457" s="20">
        <v>0.25323547253672701</v>
      </c>
      <c r="J10457" s="28">
        <v>0.80008625651646104</v>
      </c>
      <c r="K10457" s="29">
        <v>0.98289565623980701</v>
      </c>
    </row>
    <row r="10458" spans="1:11" x14ac:dyDescent="0.35">
      <c r="A10458" s="9" t="str">
        <f>HYPERLINK("http://www.ensembl.org/id/WBGene00219450", "WBGene00219450")</f>
        <v>WBGene00219450</v>
      </c>
      <c r="B10458" s="9" t="str">
        <f>HYPERLINK("http://www.ncbi.nlm.nih.gov/gene/13181313", "13181313")</f>
        <v>13181313</v>
      </c>
      <c r="C10458" s="9"/>
      <c r="D10458" t="str">
        <f>"F53B6.13"</f>
        <v>F53B6.13</v>
      </c>
      <c r="F10458" t="s">
        <v>11</v>
      </c>
      <c r="H10458" s="12">
        <v>1.3354942931429199</v>
      </c>
      <c r="I10458" s="20">
        <v>0.27998175681353499</v>
      </c>
      <c r="J10458" s="28">
        <v>0.779491501326386</v>
      </c>
      <c r="K10458" s="29">
        <v>0.98289565623980701</v>
      </c>
    </row>
    <row r="10459" spans="1:11" x14ac:dyDescent="0.35">
      <c r="A10459" s="9" t="str">
        <f>HYPERLINK("http://www.ensembl.org/id/WBGene00009959", "WBGene00009959")</f>
        <v>WBGene00009959</v>
      </c>
      <c r="B10459" s="9" t="str">
        <f>HYPERLINK("http://www.ncbi.nlm.nih.gov/gene/172709", "172709")</f>
        <v>172709</v>
      </c>
      <c r="C10459" s="9"/>
      <c r="D10459" t="str">
        <f>"F53B6.4"</f>
        <v>F53B6.4</v>
      </c>
      <c r="E10459" t="s">
        <v>899</v>
      </c>
      <c r="F10459" t="s">
        <v>11</v>
      </c>
      <c r="G10459" t="s">
        <v>4545</v>
      </c>
      <c r="H10459" s="12">
        <v>-1.2899978899033899</v>
      </c>
      <c r="I10459" s="20">
        <v>-0.59366180783153</v>
      </c>
      <c r="J10459" s="28">
        <v>0.55273833238063597</v>
      </c>
      <c r="K10459" s="29">
        <v>0.98289565623980701</v>
      </c>
    </row>
    <row r="10460" spans="1:11" x14ac:dyDescent="0.35">
      <c r="A10460" s="9" t="str">
        <f>HYPERLINK("http://www.ensembl.org/id/WBGene00009960", "WBGene00009960")</f>
        <v>WBGene00009960</v>
      </c>
      <c r="B10460" s="9" t="str">
        <f>HYPERLINK("http://www.ncbi.nlm.nih.gov/gene/353384", "353384")</f>
        <v>353384</v>
      </c>
      <c r="C10460" s="9"/>
      <c r="D10460" t="str">
        <f>"F53B6.5"</f>
        <v>F53B6.5</v>
      </c>
      <c r="F10460" t="s">
        <v>11</v>
      </c>
      <c r="H10460" s="12">
        <v>3.96717629464532</v>
      </c>
      <c r="I10460" s="20">
        <v>0.45862218578449998</v>
      </c>
      <c r="J10460" s="28">
        <v>0.64650550194479495</v>
      </c>
      <c r="K10460" s="29">
        <v>0.98289565623980701</v>
      </c>
    </row>
    <row r="10461" spans="1:11" x14ac:dyDescent="0.35">
      <c r="A10461" s="9" t="str">
        <f>HYPERLINK("http://www.ensembl.org/id/WBGene00009967", "WBGene00009967")</f>
        <v>WBGene00009967</v>
      </c>
      <c r="B10461" s="9" t="str">
        <f>HYPERLINK("http://www.ncbi.nlm.nih.gov/gene/186156", "186156")</f>
        <v>186156</v>
      </c>
      <c r="C10461" s="9"/>
      <c r="D10461" t="str">
        <f>"F53B7.4"</f>
        <v>F53B7.4</v>
      </c>
      <c r="F10461" t="s">
        <v>11</v>
      </c>
      <c r="G10461" t="s">
        <v>25</v>
      </c>
      <c r="H10461" s="12">
        <v>-1.70762079194054</v>
      </c>
      <c r="I10461" s="20">
        <v>-0.361560437552567</v>
      </c>
      <c r="J10461" s="28">
        <v>0.71768053344154203</v>
      </c>
      <c r="K10461" s="29">
        <v>0.98289565623980701</v>
      </c>
    </row>
    <row r="10462" spans="1:11" x14ac:dyDescent="0.35">
      <c r="A10462" s="9" t="str">
        <f>HYPERLINK("http://www.ensembl.org/id/WBGene00009973", "WBGene00009973")</f>
        <v>WBGene00009973</v>
      </c>
      <c r="B10462" s="9" t="str">
        <f>HYPERLINK("http://www.ncbi.nlm.nih.gov/gene/179872", "179872")</f>
        <v>179872</v>
      </c>
      <c r="C10462" s="9"/>
      <c r="D10462" t="str">
        <f>"F53C11.3"</f>
        <v>F53C11.3</v>
      </c>
      <c r="E10462" t="s">
        <v>6817</v>
      </c>
      <c r="F10462" t="s">
        <v>11</v>
      </c>
      <c r="G10462" t="s">
        <v>1653</v>
      </c>
      <c r="H10462" s="12">
        <v>-1.09071182245988</v>
      </c>
      <c r="I10462" s="20">
        <v>-0.47659238966802098</v>
      </c>
      <c r="J10462" s="28">
        <v>0.63365240367348796</v>
      </c>
      <c r="K10462" s="29">
        <v>0.98289565623980701</v>
      </c>
    </row>
    <row r="10463" spans="1:11" x14ac:dyDescent="0.35">
      <c r="A10463" s="9" t="str">
        <f>HYPERLINK("http://www.ensembl.org/id/WBGene00009974", "WBGene00009974")</f>
        <v>WBGene00009974</v>
      </c>
      <c r="B10463" s="9" t="str">
        <f>HYPERLINK("http://www.ncbi.nlm.nih.gov/gene/179873", "179873")</f>
        <v>179873</v>
      </c>
      <c r="C10463" s="9"/>
      <c r="D10463" t="str">
        <f>"F53C11.4"</f>
        <v>F53C11.4</v>
      </c>
      <c r="F10463" t="s">
        <v>11</v>
      </c>
      <c r="H10463" s="12">
        <v>-1.1410399748122799</v>
      </c>
      <c r="I10463" s="20">
        <v>-0.69976932667242397</v>
      </c>
      <c r="J10463" s="28">
        <v>0.48407137338377398</v>
      </c>
      <c r="K10463" s="29">
        <v>0.98289565623980701</v>
      </c>
    </row>
    <row r="10464" spans="1:11" x14ac:dyDescent="0.35">
      <c r="A10464" s="9" t="str">
        <f>HYPERLINK("http://www.ensembl.org/id/WBGene00009975", "WBGene00009975")</f>
        <v>WBGene00009975</v>
      </c>
      <c r="B10464" s="9" t="str">
        <f>HYPERLINK("http://www.ncbi.nlm.nih.gov/gene/179874", "179874")</f>
        <v>179874</v>
      </c>
      <c r="C10464" s="9"/>
      <c r="D10464" t="str">
        <f>"F53C11.5"</f>
        <v>F53C11.5</v>
      </c>
      <c r="F10464" t="s">
        <v>11</v>
      </c>
      <c r="H10464" s="12">
        <v>-1.1664255508686501</v>
      </c>
      <c r="I10464" s="20">
        <v>-0.82522565859649799</v>
      </c>
      <c r="J10464" s="28">
        <v>0.40924348876410199</v>
      </c>
      <c r="K10464" s="29">
        <v>0.98289565623980701</v>
      </c>
    </row>
    <row r="10465" spans="1:11" x14ac:dyDescent="0.35">
      <c r="A10465" s="9" t="str">
        <f>HYPERLINK("http://www.ensembl.org/id/WBGene00044921", "WBGene00044921")</f>
        <v>WBGene00044921</v>
      </c>
      <c r="B10465" s="9" t="str">
        <f>HYPERLINK("http://www.ncbi.nlm.nih.gov/gene/4927055", "4927055")</f>
        <v>4927055</v>
      </c>
      <c r="C10465" s="9"/>
      <c r="D10465" t="str">
        <f>"F53C11.9"</f>
        <v>F53C11.9</v>
      </c>
      <c r="F10465" t="s">
        <v>11</v>
      </c>
      <c r="G10465" t="s">
        <v>101</v>
      </c>
      <c r="H10465" s="12">
        <v>1.28362628530331</v>
      </c>
      <c r="I10465" s="20">
        <v>1.03199375702633</v>
      </c>
      <c r="J10465" s="28">
        <v>0.30207504209946001</v>
      </c>
      <c r="K10465" s="29">
        <v>0.98289565623980701</v>
      </c>
    </row>
    <row r="10466" spans="1:11" x14ac:dyDescent="0.35">
      <c r="A10466" s="9" t="str">
        <f>HYPERLINK("http://www.ensembl.org/id/WBGene00018745", "WBGene00018745")</f>
        <v>WBGene00018745</v>
      </c>
      <c r="B10466" s="9" t="str">
        <f>HYPERLINK("http://www.ncbi.nlm.nih.gov/gene/186157", "186157")</f>
        <v>186157</v>
      </c>
      <c r="C10466" s="9"/>
      <c r="D10466" t="str">
        <f>"F53C3.1"</f>
        <v>F53C3.1</v>
      </c>
      <c r="F10466" t="s">
        <v>11</v>
      </c>
      <c r="G10466" t="s">
        <v>961</v>
      </c>
      <c r="H10466" s="12">
        <v>-2.1541479175901599</v>
      </c>
      <c r="I10466" s="20">
        <v>-0.55346188715427302</v>
      </c>
      <c r="J10466" s="28">
        <v>0.57994717156261799</v>
      </c>
      <c r="K10466" s="29">
        <v>0.98289565623980701</v>
      </c>
    </row>
    <row r="10467" spans="1:11" x14ac:dyDescent="0.35">
      <c r="A10467" s="9" t="str">
        <f>HYPERLINK("http://www.ensembl.org/id/WBGene00018747", "WBGene00018747")</f>
        <v>WBGene00018747</v>
      </c>
      <c r="B10467" s="9" t="str">
        <f>HYPERLINK("http://www.ncbi.nlm.nih.gov/gene/173732", "173732")</f>
        <v>173732</v>
      </c>
      <c r="C10467" s="9"/>
      <c r="D10467" t="str">
        <f>"F53C3.3"</f>
        <v>F53C3.3</v>
      </c>
      <c r="F10467" t="s">
        <v>11</v>
      </c>
      <c r="G10467" t="s">
        <v>25</v>
      </c>
      <c r="H10467" s="12">
        <v>1.3760393798841599</v>
      </c>
      <c r="I10467" s="20">
        <v>0.72108241885316005</v>
      </c>
      <c r="J10467" s="28">
        <v>0.47085880729983398</v>
      </c>
      <c r="K10467" s="29">
        <v>0.98289565623980701</v>
      </c>
    </row>
    <row r="10468" spans="1:11" x14ac:dyDescent="0.35">
      <c r="A10468" s="9" t="str">
        <f>HYPERLINK("http://www.ensembl.org/id/WBGene00018748", "WBGene00018748")</f>
        <v>WBGene00018748</v>
      </c>
      <c r="B10468" s="9" t="str">
        <f>HYPERLINK("http://www.ncbi.nlm.nih.gov/gene/259429", "259429")</f>
        <v>259429</v>
      </c>
      <c r="C10468" s="9"/>
      <c r="D10468" t="str">
        <f>"F53C3.4"</f>
        <v>F53C3.4</v>
      </c>
      <c r="F10468" t="s">
        <v>11</v>
      </c>
      <c r="G10468" t="s">
        <v>25</v>
      </c>
      <c r="H10468" s="12">
        <v>1.0970636271921299</v>
      </c>
      <c r="I10468" s="20">
        <v>0.33734789622155897</v>
      </c>
      <c r="J10468" s="28">
        <v>0.73585465758199198</v>
      </c>
      <c r="K10468" s="29">
        <v>0.98289565623980701</v>
      </c>
    </row>
    <row r="10469" spans="1:11" x14ac:dyDescent="0.35">
      <c r="A10469" s="9" t="str">
        <f>HYPERLINK("http://www.ensembl.org/id/WBGene00018750", "WBGene00018750")</f>
        <v>WBGene00018750</v>
      </c>
      <c r="B10469" s="9" t="str">
        <f>HYPERLINK("http://www.ncbi.nlm.nih.gov/gene/173731", "173731")</f>
        <v>173731</v>
      </c>
      <c r="C10469" s="9"/>
      <c r="D10469" t="str">
        <f>"F53C3.6"</f>
        <v>F53C3.6</v>
      </c>
      <c r="F10469" t="s">
        <v>11</v>
      </c>
      <c r="G10469" t="s">
        <v>25</v>
      </c>
      <c r="H10469" s="12">
        <v>1.2057636750424101</v>
      </c>
      <c r="I10469" s="20">
        <v>0.61450825314185298</v>
      </c>
      <c r="J10469" s="28">
        <v>0.53887952100477998</v>
      </c>
      <c r="K10469" s="29">
        <v>0.98289565623980701</v>
      </c>
    </row>
    <row r="10470" spans="1:11" x14ac:dyDescent="0.35">
      <c r="A10470" s="9" t="str">
        <f>HYPERLINK("http://www.ensembl.org/id/WBGene00018751", "WBGene00018751")</f>
        <v>WBGene00018751</v>
      </c>
      <c r="B10470" s="9" t="str">
        <f>HYPERLINK("http://www.ncbi.nlm.nih.gov/gene/186161", "186161")</f>
        <v>186161</v>
      </c>
      <c r="C10470" s="9"/>
      <c r="D10470" t="str">
        <f>"F53C3.7"</f>
        <v>F53C3.7</v>
      </c>
      <c r="F10470" t="s">
        <v>11</v>
      </c>
      <c r="H10470" s="12">
        <v>4.2765842174303801</v>
      </c>
      <c r="I10470" s="20">
        <v>0.88800640479805704</v>
      </c>
      <c r="J10470" s="28">
        <v>0.37453730611411501</v>
      </c>
      <c r="K10470" s="29">
        <v>0.98289565623980701</v>
      </c>
    </row>
    <row r="10471" spans="1:11" x14ac:dyDescent="0.35">
      <c r="A10471" s="9" t="str">
        <f>HYPERLINK("http://www.ensembl.org/id/WBGene00018752", "WBGene00018752")</f>
        <v>WBGene00018752</v>
      </c>
      <c r="B10471" s="9" t="str">
        <f>HYPERLINK("http://www.ncbi.nlm.nih.gov/gene/186162", "186162")</f>
        <v>186162</v>
      </c>
      <c r="C10471" s="9"/>
      <c r="D10471" t="str">
        <f>"F53C3.8"</f>
        <v>F53C3.8</v>
      </c>
      <c r="F10471" t="s">
        <v>11</v>
      </c>
      <c r="H10471" s="12">
        <v>3.55418952341725</v>
      </c>
      <c r="I10471" s="20">
        <v>1.124986417666</v>
      </c>
      <c r="J10471" s="28">
        <v>0.260594789876329</v>
      </c>
      <c r="K10471" s="29">
        <v>0.98289565623980701</v>
      </c>
    </row>
    <row r="10472" spans="1:11" x14ac:dyDescent="0.35">
      <c r="A10472" s="9" t="str">
        <f>HYPERLINK("http://www.ensembl.org/id/WBGene00018761", "WBGene00018761")</f>
        <v>WBGene00018761</v>
      </c>
      <c r="B10472" s="9" t="str">
        <f>HYPERLINK("http://www.ncbi.nlm.nih.gov/gene/186167", "186167")</f>
        <v>186167</v>
      </c>
      <c r="C10472" s="9"/>
      <c r="D10472" t="str">
        <f>"F53E10.5"</f>
        <v>F53E10.5</v>
      </c>
      <c r="F10472" t="s">
        <v>11</v>
      </c>
      <c r="H10472" s="12">
        <v>2.5771156989803599</v>
      </c>
      <c r="I10472" s="20">
        <v>1.13145348922072</v>
      </c>
      <c r="J10472" s="28">
        <v>0.257864269027267</v>
      </c>
      <c r="K10472" s="29">
        <v>0.98289565623980701</v>
      </c>
    </row>
    <row r="10473" spans="1:11" x14ac:dyDescent="0.35">
      <c r="A10473" s="9" t="str">
        <f>HYPERLINK("http://www.ensembl.org/id/WBGene00268204", "WBGene00268204")</f>
        <v>WBGene00268204</v>
      </c>
      <c r="B10473" s="9"/>
      <c r="C10473" s="9"/>
      <c r="D10473" t="str">
        <f>"F53E10.8"</f>
        <v>F53E10.8</v>
      </c>
      <c r="F10473" t="s">
        <v>80</v>
      </c>
      <c r="H10473" s="12">
        <v>7.8691597089380902</v>
      </c>
      <c r="I10473" s="20">
        <v>0.61251365190975104</v>
      </c>
      <c r="J10473" s="28">
        <v>0.54019796842331003</v>
      </c>
      <c r="K10473" s="29">
        <v>0.98289565623980701</v>
      </c>
    </row>
    <row r="10474" spans="1:11" x14ac:dyDescent="0.35">
      <c r="A10474" s="9" t="str">
        <f>HYPERLINK("http://www.ensembl.org/id/WBGene00302980", "WBGene00302980")</f>
        <v>WBGene00302980</v>
      </c>
      <c r="B10474" s="9" t="str">
        <f>HYPERLINK("http://www.ncbi.nlm.nih.gov/gene/178640", "178640")</f>
        <v>178640</v>
      </c>
      <c r="C10474" s="9"/>
      <c r="D10474" t="str">
        <f>"F53E2.2"</f>
        <v>F53E2.2</v>
      </c>
      <c r="E10474" t="s">
        <v>7959</v>
      </c>
      <c r="F10474" t="s">
        <v>11</v>
      </c>
      <c r="G10474" t="s">
        <v>5265</v>
      </c>
      <c r="H10474" s="12">
        <v>-1.1529797070449801</v>
      </c>
      <c r="I10474" s="20">
        <v>-0.80172149606085896</v>
      </c>
      <c r="J10474" s="28">
        <v>0.42271407842187603</v>
      </c>
      <c r="K10474" s="29">
        <v>0.98289565623980701</v>
      </c>
    </row>
    <row r="10475" spans="1:11" x14ac:dyDescent="0.35">
      <c r="A10475" s="9" t="str">
        <f>HYPERLINK("http://www.ensembl.org/id/WBGene00206516", "WBGene00206516")</f>
        <v>WBGene00206516</v>
      </c>
      <c r="B10475" s="9" t="str">
        <f>HYPERLINK("http://www.ncbi.nlm.nih.gov/gene/13217062", "13217062")</f>
        <v>13217062</v>
      </c>
      <c r="C10475" s="9"/>
      <c r="D10475" t="str">
        <f>"F53E4.2"</f>
        <v>F53E4.2</v>
      </c>
      <c r="F10475" t="s">
        <v>11</v>
      </c>
      <c r="H10475" s="12">
        <v>-1.55450464753879</v>
      </c>
      <c r="I10475" s="20">
        <v>-0.301821602914779</v>
      </c>
      <c r="J10475" s="28">
        <v>0.76278806166902402</v>
      </c>
      <c r="K10475" s="29">
        <v>0.98289565623980701</v>
      </c>
    </row>
    <row r="10476" spans="1:11" x14ac:dyDescent="0.35">
      <c r="A10476" s="9" t="str">
        <f>HYPERLINK("http://www.ensembl.org/id/WBGene00206489", "WBGene00206489")</f>
        <v>WBGene00206489</v>
      </c>
      <c r="B10476" s="9"/>
      <c r="C10476" s="9"/>
      <c r="D10476" t="str">
        <f>"F53F1.14"</f>
        <v>F53F1.14</v>
      </c>
      <c r="F10476" t="s">
        <v>2735</v>
      </c>
      <c r="H10476" s="12">
        <v>-1.16220018406138</v>
      </c>
      <c r="I10476" s="20">
        <v>-0.44225074909134199</v>
      </c>
      <c r="J10476" s="28">
        <v>0.65830776610771202</v>
      </c>
      <c r="K10476" s="29">
        <v>0.98289565623980701</v>
      </c>
    </row>
    <row r="10477" spans="1:11" x14ac:dyDescent="0.35">
      <c r="A10477" s="9" t="str">
        <f>HYPERLINK("http://www.ensembl.org/id/WBGene00009980", "WBGene00009980")</f>
        <v>WBGene00009980</v>
      </c>
      <c r="B10477" s="9" t="str">
        <f>HYPERLINK("http://www.ncbi.nlm.nih.gov/gene/179821", "179821")</f>
        <v>179821</v>
      </c>
      <c r="C10477" s="9"/>
      <c r="D10477" t="str">
        <f>"F53F1.2"</f>
        <v>F53F1.2</v>
      </c>
      <c r="F10477" t="s">
        <v>11</v>
      </c>
      <c r="G10477" t="s">
        <v>692</v>
      </c>
      <c r="H10477" s="12">
        <v>1.1094301940400799</v>
      </c>
      <c r="I10477" s="20">
        <v>0.52338145106930201</v>
      </c>
      <c r="J10477" s="28">
        <v>0.60070882966889805</v>
      </c>
      <c r="K10477" s="29">
        <v>0.98289565623980701</v>
      </c>
    </row>
    <row r="10478" spans="1:11" x14ac:dyDescent="0.35">
      <c r="A10478" s="9" t="str">
        <f>HYPERLINK("http://www.ensembl.org/id/WBGene00009981", "WBGene00009981")</f>
        <v>WBGene00009981</v>
      </c>
      <c r="B10478" s="9" t="str">
        <f>HYPERLINK("http://www.ncbi.nlm.nih.gov/gene/186169", "186169")</f>
        <v>186169</v>
      </c>
      <c r="C10478" s="9"/>
      <c r="D10478" t="str">
        <f>"F53F1.3"</f>
        <v>F53F1.3</v>
      </c>
      <c r="F10478" t="s">
        <v>11</v>
      </c>
      <c r="G10478" t="s">
        <v>692</v>
      </c>
      <c r="H10478" s="12">
        <v>-1.2677027813449799</v>
      </c>
      <c r="I10478" s="20">
        <v>-0.90466551930398298</v>
      </c>
      <c r="J10478" s="28">
        <v>0.36564261335113801</v>
      </c>
      <c r="K10478" s="29">
        <v>0.98289565623980701</v>
      </c>
    </row>
    <row r="10479" spans="1:11" x14ac:dyDescent="0.35">
      <c r="A10479" s="9" t="str">
        <f>HYPERLINK("http://www.ensembl.org/id/WBGene00018763", "WBGene00018763")</f>
        <v>WBGene00018763</v>
      </c>
      <c r="B10479" s="9" t="str">
        <f>HYPERLINK("http://www.ncbi.nlm.nih.gov/gene/171959", "171959")</f>
        <v>171959</v>
      </c>
      <c r="C10479" s="9"/>
      <c r="D10479" t="str">
        <f>"F53F10.1"</f>
        <v>F53F10.1</v>
      </c>
      <c r="F10479" t="s">
        <v>11</v>
      </c>
      <c r="G10479" t="s">
        <v>9532</v>
      </c>
      <c r="H10479" s="12">
        <v>-1.25589033980738</v>
      </c>
      <c r="I10479" s="20">
        <v>-0.80267599334901496</v>
      </c>
      <c r="J10479" s="28">
        <v>0.42216203206485198</v>
      </c>
      <c r="K10479" s="29">
        <v>0.98289565623980701</v>
      </c>
    </row>
    <row r="10480" spans="1:11" x14ac:dyDescent="0.35">
      <c r="A10480" s="9" t="str">
        <f>HYPERLINK("http://www.ensembl.org/id/WBGene00018764", "WBGene00018764")</f>
        <v>WBGene00018764</v>
      </c>
      <c r="B10480" s="9" t="str">
        <f>HYPERLINK("http://www.ncbi.nlm.nih.gov/gene/171958", "171958")</f>
        <v>171958</v>
      </c>
      <c r="C10480" s="9"/>
      <c r="D10480" t="str">
        <f>"F53F10.2"</f>
        <v>F53F10.2</v>
      </c>
      <c r="F10480" t="s">
        <v>11</v>
      </c>
      <c r="G10480" t="s">
        <v>6724</v>
      </c>
      <c r="H10480" s="12">
        <v>-1.0861445562879199</v>
      </c>
      <c r="I10480" s="20">
        <v>-0.451388704145193</v>
      </c>
      <c r="J10480" s="28">
        <v>0.65170942313210301</v>
      </c>
      <c r="K10480" s="29">
        <v>0.98289565623980701</v>
      </c>
    </row>
    <row r="10481" spans="1:11" x14ac:dyDescent="0.35">
      <c r="A10481" s="9" t="str">
        <f>HYPERLINK("http://www.ensembl.org/id/WBGene00023066", "WBGene00023066")</f>
        <v>WBGene00023066</v>
      </c>
      <c r="B10481" s="9"/>
      <c r="C10481" s="9"/>
      <c r="D10481" t="str">
        <f>"F53F10.7"</f>
        <v>F53F10.7</v>
      </c>
      <c r="F10481" t="s">
        <v>481</v>
      </c>
      <c r="H10481" s="12">
        <v>2.2111091198496999</v>
      </c>
      <c r="I10481" s="20">
        <v>0.39347269154616199</v>
      </c>
      <c r="J10481" s="28">
        <v>0.69397038981090498</v>
      </c>
      <c r="K10481" s="29">
        <v>0.98289565623980701</v>
      </c>
    </row>
    <row r="10482" spans="1:11" x14ac:dyDescent="0.35">
      <c r="A10482" s="9" t="str">
        <f>HYPERLINK("http://www.ensembl.org/id/WBGene00044423", "WBGene00044423")</f>
        <v>WBGene00044423</v>
      </c>
      <c r="B10482" s="9" t="str">
        <f>HYPERLINK("http://www.ncbi.nlm.nih.gov/gene/3565720", "3565720")</f>
        <v>3565720</v>
      </c>
      <c r="C10482" s="9"/>
      <c r="D10482" t="str">
        <f>"F53F10.8"</f>
        <v>F53F10.8</v>
      </c>
      <c r="F10482" t="s">
        <v>11</v>
      </c>
      <c r="G10482" t="s">
        <v>25</v>
      </c>
      <c r="H10482" s="12">
        <v>-1.26206239253867</v>
      </c>
      <c r="I10482" s="20">
        <v>-0.68259388027233503</v>
      </c>
      <c r="J10482" s="28">
        <v>0.49486350217133102</v>
      </c>
      <c r="K10482" s="29">
        <v>0.98289565623980701</v>
      </c>
    </row>
    <row r="10483" spans="1:11" x14ac:dyDescent="0.35">
      <c r="A10483" s="9" t="str">
        <f>HYPERLINK("http://www.ensembl.org/id/WBGene00009992", "WBGene00009992")</f>
        <v>WBGene00009992</v>
      </c>
      <c r="B10483" s="9" t="str">
        <f>HYPERLINK("http://www.ncbi.nlm.nih.gov/gene/179850", "179850")</f>
        <v>179850</v>
      </c>
      <c r="C10483" s="9" t="str">
        <f>HYPERLINK("http://www.ncbi.nlm.nih.gov/gene/4729", "4729")</f>
        <v>4729</v>
      </c>
      <c r="D10483" t="str">
        <f>"F53F4.10"</f>
        <v>F53F4.10</v>
      </c>
      <c r="E10483" t="s">
        <v>6999</v>
      </c>
      <c r="F10483" t="s">
        <v>11</v>
      </c>
      <c r="G10483" t="s">
        <v>7000</v>
      </c>
      <c r="H10483" s="12">
        <v>-1.10168788081793</v>
      </c>
      <c r="I10483" s="20">
        <v>-0.52525033114947395</v>
      </c>
      <c r="J10483" s="28">
        <v>0.59940918053784198</v>
      </c>
      <c r="K10483" s="29">
        <v>0.98289565623980701</v>
      </c>
    </row>
    <row r="10484" spans="1:11" x14ac:dyDescent="0.35">
      <c r="A10484" s="9" t="str">
        <f>HYPERLINK("http://www.ensembl.org/id/WBGene00009993", "WBGene00009993")</f>
        <v>WBGene00009993</v>
      </c>
      <c r="B10484" s="9" t="str">
        <f>HYPERLINK("http://www.ncbi.nlm.nih.gov/gene/179849", "179849")</f>
        <v>179849</v>
      </c>
      <c r="C10484" s="9"/>
      <c r="D10484" t="str">
        <f>"F53F4.11"</f>
        <v>F53F4.11</v>
      </c>
      <c r="F10484" t="s">
        <v>11</v>
      </c>
      <c r="G10484" t="s">
        <v>7098</v>
      </c>
      <c r="H10484" s="12">
        <v>-1.10684833446335</v>
      </c>
      <c r="I10484" s="20">
        <v>-0.50896213460583795</v>
      </c>
      <c r="J10484" s="28">
        <v>0.61077876576991796</v>
      </c>
      <c r="K10484" s="29">
        <v>0.98289565623980701</v>
      </c>
    </row>
    <row r="10485" spans="1:11" x14ac:dyDescent="0.35">
      <c r="A10485" s="9" t="str">
        <f>HYPERLINK("http://www.ensembl.org/id/WBGene00009994", "WBGene00009994")</f>
        <v>WBGene00009994</v>
      </c>
      <c r="B10485" s="9" t="str">
        <f>HYPERLINK("http://www.ncbi.nlm.nih.gov/gene/179851", "179851")</f>
        <v>179851</v>
      </c>
      <c r="C10485" s="9"/>
      <c r="D10485" t="str">
        <f>"F53F4.12"</f>
        <v>F53F4.12</v>
      </c>
      <c r="F10485" t="s">
        <v>11</v>
      </c>
      <c r="H10485" s="12">
        <v>-1.25926964435476</v>
      </c>
      <c r="I10485" s="20">
        <v>-1.0379634816349299</v>
      </c>
      <c r="J10485" s="28">
        <v>0.29928705691473401</v>
      </c>
      <c r="K10485" s="29">
        <v>0.98289565623980701</v>
      </c>
    </row>
    <row r="10486" spans="1:11" x14ac:dyDescent="0.35">
      <c r="A10486" s="9" t="str">
        <f>HYPERLINK("http://www.ensembl.org/id/WBGene00009996", "WBGene00009996")</f>
        <v>WBGene00009996</v>
      </c>
      <c r="B10486" s="9" t="str">
        <f>HYPERLINK("http://www.ncbi.nlm.nih.gov/gene/179852", "179852")</f>
        <v>179852</v>
      </c>
      <c r="C10486" s="9"/>
      <c r="D10486" t="str">
        <f>"F53F4.14"</f>
        <v>F53F4.14</v>
      </c>
      <c r="F10486" t="s">
        <v>11</v>
      </c>
      <c r="G10486" t="s">
        <v>6690</v>
      </c>
      <c r="H10486" s="12">
        <v>-1.08482827842172</v>
      </c>
      <c r="I10486" s="20">
        <v>-0.433129692042722</v>
      </c>
      <c r="J10486" s="28">
        <v>0.66492055299772801</v>
      </c>
      <c r="K10486" s="29">
        <v>0.98289565623980701</v>
      </c>
    </row>
    <row r="10487" spans="1:11" x14ac:dyDescent="0.35">
      <c r="A10487" s="9" t="str">
        <f>HYPERLINK("http://www.ensembl.org/id/WBGene00009997", "WBGene00009997")</f>
        <v>WBGene00009997</v>
      </c>
      <c r="B10487" s="9" t="str">
        <f>HYPERLINK("http://www.ncbi.nlm.nih.gov/gene/3565738", "3565738")</f>
        <v>3565738</v>
      </c>
      <c r="C10487" s="9"/>
      <c r="D10487" t="str">
        <f>"F53F4.15"</f>
        <v>F53F4.15</v>
      </c>
      <c r="F10487" t="s">
        <v>11</v>
      </c>
      <c r="H10487" s="12">
        <v>-2.8470777891653798</v>
      </c>
      <c r="I10487" s="20">
        <v>-0.41920650115178398</v>
      </c>
      <c r="J10487" s="28">
        <v>0.67506522125976898</v>
      </c>
      <c r="K10487" s="29">
        <v>0.98289565623980701</v>
      </c>
    </row>
    <row r="10488" spans="1:11" x14ac:dyDescent="0.35">
      <c r="A10488" s="9" t="str">
        <f>HYPERLINK("http://www.ensembl.org/id/WBGene00023419", "WBGene00023419")</f>
        <v>WBGene00023419</v>
      </c>
      <c r="B10488" s="9" t="str">
        <f>HYPERLINK("http://www.ncbi.nlm.nih.gov/gene/259656", "259656")</f>
        <v>259656</v>
      </c>
      <c r="C10488" s="9"/>
      <c r="D10488" t="str">
        <f>"F53F4.16"</f>
        <v>F53F4.16</v>
      </c>
      <c r="F10488" t="s">
        <v>11</v>
      </c>
      <c r="H10488" s="12">
        <v>-1.16858903249216</v>
      </c>
      <c r="I10488" s="20">
        <v>-0.48213275994962501</v>
      </c>
      <c r="J10488" s="28">
        <v>0.62971163909648198</v>
      </c>
      <c r="K10488" s="29">
        <v>0.98289565623980701</v>
      </c>
    </row>
    <row r="10489" spans="1:11" x14ac:dyDescent="0.35">
      <c r="A10489" s="9" t="str">
        <f>HYPERLINK("http://www.ensembl.org/id/WBGene00045195", "WBGene00045195")</f>
        <v>WBGene00045195</v>
      </c>
      <c r="B10489" s="9" t="str">
        <f>HYPERLINK("http://www.ncbi.nlm.nih.gov/gene/4926995", "4926995")</f>
        <v>4926995</v>
      </c>
      <c r="C10489" s="9"/>
      <c r="D10489" t="str">
        <f>"F53F4.17"</f>
        <v>F53F4.17</v>
      </c>
      <c r="F10489" t="s">
        <v>11</v>
      </c>
      <c r="H10489" s="12">
        <v>1.64111875400563</v>
      </c>
      <c r="I10489" s="20">
        <v>0.91782977117807596</v>
      </c>
      <c r="J10489" s="28">
        <v>0.35870799339464798</v>
      </c>
      <c r="K10489" s="29">
        <v>0.98289565623980701</v>
      </c>
    </row>
    <row r="10490" spans="1:11" x14ac:dyDescent="0.35">
      <c r="A10490" s="9" t="str">
        <f>HYPERLINK("http://www.ensembl.org/id/WBGene00077569", "WBGene00077569")</f>
        <v>WBGene00077569</v>
      </c>
      <c r="B10490" s="9" t="str">
        <f>HYPERLINK("http://www.ncbi.nlm.nih.gov/gene/6418744", "6418744")</f>
        <v>6418744</v>
      </c>
      <c r="C10490" s="9"/>
      <c r="D10490" t="str">
        <f>"F53F4.18"</f>
        <v>F53F4.18</v>
      </c>
      <c r="F10490" t="s">
        <v>11</v>
      </c>
      <c r="G10490" t="s">
        <v>25</v>
      </c>
      <c r="H10490" s="12">
        <v>2.6350925227692801</v>
      </c>
      <c r="I10490" s="20">
        <v>0.72874329080909706</v>
      </c>
      <c r="J10490" s="28">
        <v>0.46615870641608098</v>
      </c>
      <c r="K10490" s="29">
        <v>0.98289565623980701</v>
      </c>
    </row>
    <row r="10491" spans="1:11" x14ac:dyDescent="0.35">
      <c r="A10491" s="9" t="str">
        <f>HYPERLINK("http://www.ensembl.org/id/WBGene00219552", "WBGene00219552")</f>
        <v>WBGene00219552</v>
      </c>
      <c r="B10491" s="9"/>
      <c r="C10491" s="9"/>
      <c r="D10491" t="str">
        <f>"F53F4.25"</f>
        <v>F53F4.25</v>
      </c>
      <c r="F10491" t="s">
        <v>2735</v>
      </c>
      <c r="H10491" s="12">
        <v>-3.4784369193365299</v>
      </c>
      <c r="I10491" s="20">
        <v>-1.1411183107465801</v>
      </c>
      <c r="J10491" s="28">
        <v>0.25382069240161298</v>
      </c>
      <c r="K10491" s="29">
        <v>0.98289565623980701</v>
      </c>
    </row>
    <row r="10492" spans="1:11" x14ac:dyDescent="0.35">
      <c r="A10492" s="9" t="str">
        <f>HYPERLINK("http://www.ensembl.org/id/WBGene00009988", "WBGene00009988")</f>
        <v>WBGene00009988</v>
      </c>
      <c r="B10492" s="9" t="str">
        <f>HYPERLINK("http://www.ncbi.nlm.nih.gov/gene/186177", "186177")</f>
        <v>186177</v>
      </c>
      <c r="C10492" s="9"/>
      <c r="D10492" t="str">
        <f>"F53F4.4"</f>
        <v>F53F4.4</v>
      </c>
      <c r="F10492" t="s">
        <v>11</v>
      </c>
      <c r="H10492" s="12">
        <v>1.34350138062002</v>
      </c>
      <c r="I10492" s="20">
        <v>0.33294702134052001</v>
      </c>
      <c r="J10492" s="28">
        <v>0.73917427446374395</v>
      </c>
      <c r="K10492" s="29">
        <v>0.98289565623980701</v>
      </c>
    </row>
    <row r="10493" spans="1:11" x14ac:dyDescent="0.35">
      <c r="A10493" s="9" t="str">
        <f>HYPERLINK("http://www.ensembl.org/id/WBGene00010000", "WBGene00010000")</f>
        <v>WBGene00010000</v>
      </c>
      <c r="B10493" s="9" t="str">
        <f>HYPERLINK("http://www.ncbi.nlm.nih.gov/gene/180353", "180353")</f>
        <v>180353</v>
      </c>
      <c r="C10493" s="9"/>
      <c r="D10493" t="str">
        <f>"F53F8.3"</f>
        <v>F53F8.3</v>
      </c>
      <c r="F10493" t="s">
        <v>11</v>
      </c>
      <c r="G10493" t="s">
        <v>51</v>
      </c>
      <c r="H10493" s="12">
        <v>-1.20407770960884</v>
      </c>
      <c r="I10493" s="20">
        <v>-0.68258646652305499</v>
      </c>
      <c r="J10493" s="28">
        <v>0.49486818817565098</v>
      </c>
      <c r="K10493" s="29">
        <v>0.98289565623980701</v>
      </c>
    </row>
    <row r="10494" spans="1:11" x14ac:dyDescent="0.35">
      <c r="A10494" s="9" t="str">
        <f>HYPERLINK("http://www.ensembl.org/id/WBGene00077786", "WBGene00077786")</f>
        <v>WBGene00077786</v>
      </c>
      <c r="B10494" s="9" t="str">
        <f>HYPERLINK("http://www.ncbi.nlm.nih.gov/gene/7040165", "7040165")</f>
        <v>7040165</v>
      </c>
      <c r="C10494" s="9"/>
      <c r="D10494" t="str">
        <f>"F53F8.7"</f>
        <v>F53F8.7</v>
      </c>
      <c r="F10494" t="s">
        <v>11</v>
      </c>
      <c r="G10494" t="s">
        <v>25</v>
      </c>
      <c r="H10494" s="12">
        <v>1.19504790032514</v>
      </c>
      <c r="I10494" s="20">
        <v>0.340533190266328</v>
      </c>
      <c r="J10494" s="28">
        <v>0.73345503244136001</v>
      </c>
      <c r="K10494" s="29">
        <v>0.98289565623980701</v>
      </c>
    </row>
    <row r="10495" spans="1:11" x14ac:dyDescent="0.35">
      <c r="A10495" s="9" t="str">
        <f>HYPERLINK("http://www.ensembl.org/id/WBGene00196431", "WBGene00196431")</f>
        <v>WBGene00196431</v>
      </c>
      <c r="B10495" s="9"/>
      <c r="C10495" s="9"/>
      <c r="D10495" t="str">
        <f>"F53F8.8"</f>
        <v>F53F8.8</v>
      </c>
      <c r="F10495" t="s">
        <v>481</v>
      </c>
      <c r="H10495" s="12">
        <v>-2.4295389261469</v>
      </c>
      <c r="I10495" s="20">
        <v>-0.25808529976640998</v>
      </c>
      <c r="J10495" s="28">
        <v>0.79634107645457397</v>
      </c>
      <c r="K10495" s="29">
        <v>0.98289565623980701</v>
      </c>
    </row>
    <row r="10496" spans="1:11" x14ac:dyDescent="0.35">
      <c r="A10496" s="9" t="str">
        <f>HYPERLINK("http://www.ensembl.org/id/WBGene00023461", "WBGene00023461")</f>
        <v>WBGene00023461</v>
      </c>
      <c r="B10496" s="9"/>
      <c r="C10496" s="9"/>
      <c r="D10496" t="str">
        <f>"F53G12.12"</f>
        <v>F53G12.12</v>
      </c>
      <c r="F10496" t="s">
        <v>2977</v>
      </c>
      <c r="H10496" s="12">
        <v>-3.7261494131482999</v>
      </c>
      <c r="I10496" s="20">
        <v>-0.38454673129429601</v>
      </c>
      <c r="J10496" s="28">
        <v>0.70057326682554</v>
      </c>
      <c r="K10496" s="29">
        <v>0.98289565623980701</v>
      </c>
    </row>
    <row r="10497" spans="1:11" x14ac:dyDescent="0.35">
      <c r="A10497" s="9" t="str">
        <f>HYPERLINK("http://www.ensembl.org/id/WBGene00199597", "WBGene00199597")</f>
        <v>WBGene00199597</v>
      </c>
      <c r="B10497" s="9"/>
      <c r="C10497" s="9"/>
      <c r="D10497" t="str">
        <f>"F53G12.15"</f>
        <v>F53G12.15</v>
      </c>
      <c r="F10497" t="s">
        <v>481</v>
      </c>
      <c r="H10497" s="12">
        <v>-1.21781076192116</v>
      </c>
      <c r="I10497" s="20">
        <v>-0.27090295882162801</v>
      </c>
      <c r="J10497" s="28">
        <v>0.78646566928445305</v>
      </c>
      <c r="K10497" s="29">
        <v>0.98289565623980701</v>
      </c>
    </row>
    <row r="10498" spans="1:11" x14ac:dyDescent="0.35">
      <c r="A10498" s="9" t="str">
        <f>HYPERLINK("http://www.ensembl.org/id/WBGene00199899", "WBGene00199899")</f>
        <v>WBGene00199899</v>
      </c>
      <c r="B10498" s="9"/>
      <c r="C10498" s="9"/>
      <c r="D10498" t="str">
        <f>"F53G12.16"</f>
        <v>F53G12.16</v>
      </c>
      <c r="F10498" t="s">
        <v>481</v>
      </c>
      <c r="H10498" s="12">
        <v>-2.9828992571527402</v>
      </c>
      <c r="I10498" s="20">
        <v>-0.59365284765219695</v>
      </c>
      <c r="J10498" s="28">
        <v>0.55274432653293704</v>
      </c>
      <c r="K10498" s="29">
        <v>0.98289565623980701</v>
      </c>
    </row>
    <row r="10499" spans="1:11" x14ac:dyDescent="0.35">
      <c r="A10499" s="9" t="str">
        <f>HYPERLINK("http://www.ensembl.org/id/WBGene00271776", "WBGene00271776")</f>
        <v>WBGene00271776</v>
      </c>
      <c r="B10499" s="9" t="str">
        <f>HYPERLINK("http://www.ncbi.nlm.nih.gov/gene/34700629", "34700629")</f>
        <v>34700629</v>
      </c>
      <c r="C10499" s="9"/>
      <c r="D10499" t="str">
        <f>"F53G12.18"</f>
        <v>F53G12.18</v>
      </c>
      <c r="F10499" t="s">
        <v>11</v>
      </c>
      <c r="G10499" t="s">
        <v>25</v>
      </c>
      <c r="H10499" s="12">
        <v>3.6504553058396199</v>
      </c>
      <c r="I10499" s="20">
        <v>1.0323915666494801</v>
      </c>
      <c r="J10499" s="28">
        <v>0.30188872103115899</v>
      </c>
      <c r="K10499" s="29">
        <v>0.98289565623980701</v>
      </c>
    </row>
    <row r="10500" spans="1:11" x14ac:dyDescent="0.35">
      <c r="A10500" s="9" t="str">
        <f>HYPERLINK("http://www.ensembl.org/id/WBGene00018772", "WBGene00018772")</f>
        <v>WBGene00018772</v>
      </c>
      <c r="B10500" s="9" t="str">
        <f>HYPERLINK("http://www.ncbi.nlm.nih.gov/gene/186189", "186189")</f>
        <v>186189</v>
      </c>
      <c r="C10500" s="9"/>
      <c r="D10500" t="str">
        <f>"F53G12.4"</f>
        <v>F53G12.4</v>
      </c>
      <c r="F10500" t="s">
        <v>11</v>
      </c>
      <c r="G10500" t="s">
        <v>54</v>
      </c>
      <c r="H10500" s="12">
        <v>2.3868625098899101</v>
      </c>
      <c r="I10500" s="20">
        <v>1.07187988135964</v>
      </c>
      <c r="J10500" s="28">
        <v>0.28377398771095202</v>
      </c>
      <c r="K10500" s="29">
        <v>0.98289565623980701</v>
      </c>
    </row>
    <row r="10501" spans="1:11" x14ac:dyDescent="0.35">
      <c r="A10501" s="9" t="str">
        <f>HYPERLINK("http://www.ensembl.org/id/WBGene00018766", "WBGene00018766")</f>
        <v>WBGene00018766</v>
      </c>
      <c r="B10501" s="9" t="str">
        <f>HYPERLINK("http://www.ncbi.nlm.nih.gov/gene/186184", "186184")</f>
        <v>186184</v>
      </c>
      <c r="C10501" s="9"/>
      <c r="D10501" t="str">
        <f>"F53G2.1"</f>
        <v>F53G2.1</v>
      </c>
      <c r="F10501" t="s">
        <v>11</v>
      </c>
      <c r="G10501" t="s">
        <v>4486</v>
      </c>
      <c r="H10501" s="12">
        <v>1.14301061021133</v>
      </c>
      <c r="I10501" s="20">
        <v>0.356131432012326</v>
      </c>
      <c r="J10501" s="28">
        <v>0.72174213898853901</v>
      </c>
      <c r="K10501" s="29">
        <v>0.98289565623980701</v>
      </c>
    </row>
    <row r="10502" spans="1:11" x14ac:dyDescent="0.35">
      <c r="A10502" s="9" t="str">
        <f>HYPERLINK("http://www.ensembl.org/id/WBGene00018767", "WBGene00018767")</f>
        <v>WBGene00018767</v>
      </c>
      <c r="B10502" s="9" t="str">
        <f>HYPERLINK("http://www.ncbi.nlm.nih.gov/gene/186185", "186185")</f>
        <v>186185</v>
      </c>
      <c r="C10502" s="9"/>
      <c r="D10502" t="str">
        <f>"F53G2.2"</f>
        <v>F53G2.2</v>
      </c>
      <c r="F10502" t="s">
        <v>11</v>
      </c>
      <c r="H10502" s="12">
        <v>2.4863997797316602</v>
      </c>
      <c r="I10502" s="20">
        <v>0.48805654860814801</v>
      </c>
      <c r="J10502" s="28">
        <v>0.62550978727589801</v>
      </c>
      <c r="K10502" s="29">
        <v>0.98289565623980701</v>
      </c>
    </row>
    <row r="10503" spans="1:11" x14ac:dyDescent="0.35">
      <c r="A10503" s="9" t="str">
        <f>HYPERLINK("http://www.ensembl.org/id/WBGene00018768", "WBGene00018768")</f>
        <v>WBGene00018768</v>
      </c>
      <c r="B10503" s="9" t="str">
        <f>HYPERLINK("http://www.ncbi.nlm.nih.gov/gene/186186", "186186")</f>
        <v>186186</v>
      </c>
      <c r="C10503" s="9"/>
      <c r="D10503" t="str">
        <f>"F53G2.3"</f>
        <v>F53G2.3</v>
      </c>
      <c r="F10503" t="s">
        <v>11</v>
      </c>
      <c r="H10503" s="12">
        <v>3.5227018545059199</v>
      </c>
      <c r="I10503" s="20">
        <v>0.36849691206929103</v>
      </c>
      <c r="J10503" s="28">
        <v>0.71250274722433404</v>
      </c>
      <c r="K10503" s="29">
        <v>0.98289565623980701</v>
      </c>
    </row>
    <row r="10504" spans="1:11" x14ac:dyDescent="0.35">
      <c r="A10504" s="9" t="str">
        <f>HYPERLINK("http://www.ensembl.org/id/WBGene00018777", "WBGene00018777")</f>
        <v>WBGene00018777</v>
      </c>
      <c r="B10504" s="9" t="str">
        <f>HYPERLINK("http://www.ncbi.nlm.nih.gov/gene/176945", "176945")</f>
        <v>176945</v>
      </c>
      <c r="C10504" s="9" t="str">
        <f>HYPERLINK("http://www.ncbi.nlm.nih.gov/gene/414918", "414918")</f>
        <v>414918</v>
      </c>
      <c r="D10504" t="str">
        <f>"F53H1.3"</f>
        <v>F53H1.3</v>
      </c>
      <c r="F10504" t="s">
        <v>11</v>
      </c>
      <c r="G10504" t="s">
        <v>9344</v>
      </c>
      <c r="H10504" s="12">
        <v>-1.23990537804747</v>
      </c>
      <c r="I10504" s="20">
        <v>-1.0576392777678501</v>
      </c>
      <c r="J10504" s="28">
        <v>0.290219928438745</v>
      </c>
      <c r="K10504" s="29">
        <v>0.98289565623980701</v>
      </c>
    </row>
    <row r="10505" spans="1:11" x14ac:dyDescent="0.35">
      <c r="A10505" s="9" t="str">
        <f>HYPERLINK("http://www.ensembl.org/id/WBGene00010004", "WBGene00010004")</f>
        <v>WBGene00010004</v>
      </c>
      <c r="B10505" s="9" t="str">
        <f>HYPERLINK("http://www.ncbi.nlm.nih.gov/gene/186191", "186191")</f>
        <v>186191</v>
      </c>
      <c r="C10505" s="9"/>
      <c r="D10505" t="str">
        <f>"F53H2.1"</f>
        <v>F53H2.1</v>
      </c>
      <c r="F10505" t="s">
        <v>11</v>
      </c>
      <c r="H10505" s="12">
        <v>1.44169524321062</v>
      </c>
      <c r="I10505" s="20">
        <v>0.81851281833133305</v>
      </c>
      <c r="J10505" s="28">
        <v>0.413064425705928</v>
      </c>
      <c r="K10505" s="29">
        <v>0.98289565623980701</v>
      </c>
    </row>
    <row r="10506" spans="1:11" x14ac:dyDescent="0.35">
      <c r="A10506" s="9" t="str">
        <f>HYPERLINK("http://www.ensembl.org/id/WBGene00010006", "WBGene00010006")</f>
        <v>WBGene00010006</v>
      </c>
      <c r="B10506" s="9" t="str">
        <f>HYPERLINK("http://www.ncbi.nlm.nih.gov/gene/180338", "180338")</f>
        <v>180338</v>
      </c>
      <c r="C10506" s="9"/>
      <c r="D10506" t="str">
        <f>"F53H2.3"</f>
        <v>F53H2.3</v>
      </c>
      <c r="F10506" t="s">
        <v>11</v>
      </c>
      <c r="H10506" s="12">
        <v>-1.20736697614174</v>
      </c>
      <c r="I10506" s="20">
        <v>-1.028596476475</v>
      </c>
      <c r="J10506" s="28">
        <v>0.30366933439652299</v>
      </c>
      <c r="K10506" s="29">
        <v>0.98289565623980701</v>
      </c>
    </row>
    <row r="10507" spans="1:11" x14ac:dyDescent="0.35">
      <c r="A10507" s="9" t="str">
        <f>HYPERLINK("http://www.ensembl.org/id/WBGene00018784", "WBGene00018784")</f>
        <v>WBGene00018784</v>
      </c>
      <c r="B10507" s="9" t="str">
        <f>HYPERLINK("http://www.ncbi.nlm.nih.gov/gene/173579", "173579")</f>
        <v>173579</v>
      </c>
      <c r="C10507" s="9"/>
      <c r="D10507" t="str">
        <f>"F54A3.5"</f>
        <v>F54A3.5</v>
      </c>
      <c r="E10507" t="s">
        <v>6809</v>
      </c>
      <c r="F10507" t="s">
        <v>11</v>
      </c>
      <c r="G10507" t="s">
        <v>6810</v>
      </c>
      <c r="H10507" s="12">
        <v>-1.09026831377667</v>
      </c>
      <c r="I10507" s="20">
        <v>-0.44390033599983902</v>
      </c>
      <c r="J10507" s="28">
        <v>0.65711464162002298</v>
      </c>
      <c r="K10507" s="29">
        <v>0.98289565623980701</v>
      </c>
    </row>
    <row r="10508" spans="1:11" x14ac:dyDescent="0.35">
      <c r="A10508" s="9" t="str">
        <f>HYPERLINK("http://www.ensembl.org/id/WBGene00018785", "WBGene00018785")</f>
        <v>WBGene00018785</v>
      </c>
      <c r="B10508" s="9" t="str">
        <f>HYPERLINK("http://www.ncbi.nlm.nih.gov/gene/173580", "173580")</f>
        <v>173580</v>
      </c>
      <c r="C10508" s="9"/>
      <c r="D10508" t="str">
        <f>"F54A3.6"</f>
        <v>F54A3.6</v>
      </c>
      <c r="F10508" t="s">
        <v>11</v>
      </c>
      <c r="H10508" s="12">
        <v>-1.18613913275267</v>
      </c>
      <c r="I10508" s="20">
        <v>-0.77861687200611696</v>
      </c>
      <c r="J10508" s="28">
        <v>0.43620543727472</v>
      </c>
      <c r="K10508" s="29">
        <v>0.98289565623980701</v>
      </c>
    </row>
    <row r="10509" spans="1:11" x14ac:dyDescent="0.35">
      <c r="A10509" s="9" t="str">
        <f>HYPERLINK("http://www.ensembl.org/id/WBGene00010033", "WBGene00010033")</f>
        <v>WBGene00010033</v>
      </c>
      <c r="B10509" s="9" t="str">
        <f>HYPERLINK("http://www.ncbi.nlm.nih.gov/gene/186217", "186217")</f>
        <v>186217</v>
      </c>
      <c r="C10509" s="9"/>
      <c r="D10509" t="str">
        <f>"F54B11.10"</f>
        <v>F54B11.10</v>
      </c>
      <c r="F10509" t="s">
        <v>11</v>
      </c>
      <c r="H10509" s="12">
        <v>1.56225605015333</v>
      </c>
      <c r="I10509" s="20">
        <v>0.86709365958650098</v>
      </c>
      <c r="J10509" s="28">
        <v>0.38589069432425899</v>
      </c>
      <c r="K10509" s="29">
        <v>0.98289565623980701</v>
      </c>
    </row>
    <row r="10510" spans="1:11" x14ac:dyDescent="0.35">
      <c r="A10510" s="9" t="str">
        <f>HYPERLINK("http://www.ensembl.org/id/WBGene00010034", "WBGene00010034")</f>
        <v>WBGene00010034</v>
      </c>
      <c r="B10510" s="9" t="str">
        <f>HYPERLINK("http://www.ncbi.nlm.nih.gov/gene/186218", "186218")</f>
        <v>186218</v>
      </c>
      <c r="C10510" s="9"/>
      <c r="D10510" t="str">
        <f>"F54B11.11"</f>
        <v>F54B11.11</v>
      </c>
      <c r="F10510" t="s">
        <v>11</v>
      </c>
      <c r="G10510" t="s">
        <v>264</v>
      </c>
      <c r="H10510" s="12">
        <v>1.2448429783661701</v>
      </c>
      <c r="I10510" s="20">
        <v>0.54399765918498899</v>
      </c>
      <c r="J10510" s="28">
        <v>0.586443083663021</v>
      </c>
      <c r="K10510" s="29">
        <v>0.98289565623980701</v>
      </c>
    </row>
    <row r="10511" spans="1:11" x14ac:dyDescent="0.35">
      <c r="A10511" s="9" t="str">
        <f>HYPERLINK("http://www.ensembl.org/id/WBGene00010027", "WBGene00010027")</f>
        <v>WBGene00010027</v>
      </c>
      <c r="B10511" s="9" t="str">
        <f>HYPERLINK("http://www.ncbi.nlm.nih.gov/gene/186212", "186212")</f>
        <v>186212</v>
      </c>
      <c r="C10511" s="9"/>
      <c r="D10511" t="str">
        <f>"F54B11.4"</f>
        <v>F54B11.4</v>
      </c>
      <c r="F10511" t="s">
        <v>11</v>
      </c>
      <c r="H10511" s="12">
        <v>5.6177655330460103</v>
      </c>
      <c r="I10511" s="20">
        <v>0.68615581608274001</v>
      </c>
      <c r="J10511" s="28">
        <v>0.49261485660610599</v>
      </c>
      <c r="K10511" s="29">
        <v>0.98289565623980701</v>
      </c>
    </row>
    <row r="10512" spans="1:11" x14ac:dyDescent="0.35">
      <c r="A10512" s="9" t="str">
        <f>HYPERLINK("http://www.ensembl.org/id/WBGene00010031", "WBGene00010031")</f>
        <v>WBGene00010031</v>
      </c>
      <c r="B10512" s="9" t="str">
        <f>HYPERLINK("http://www.ncbi.nlm.nih.gov/gene/186215", "186215")</f>
        <v>186215</v>
      </c>
      <c r="C10512" s="9"/>
      <c r="D10512" t="str">
        <f>"F54B11.8"</f>
        <v>F54B11.8</v>
      </c>
      <c r="F10512" t="s">
        <v>11</v>
      </c>
      <c r="H10512" s="12">
        <v>1.27618233500013</v>
      </c>
      <c r="I10512" s="20">
        <v>0.40665949891007802</v>
      </c>
      <c r="J10512" s="28">
        <v>0.684258090923069</v>
      </c>
      <c r="K10512" s="29">
        <v>0.98289565623980701</v>
      </c>
    </row>
    <row r="10513" spans="1:11" x14ac:dyDescent="0.35">
      <c r="A10513" s="9" t="str">
        <f>HYPERLINK("http://www.ensembl.org/id/WBGene00010032", "WBGene00010032")</f>
        <v>WBGene00010032</v>
      </c>
      <c r="B10513" s="9" t="str">
        <f>HYPERLINK("http://www.ncbi.nlm.nih.gov/gene/186216", "186216")</f>
        <v>186216</v>
      </c>
      <c r="C10513" s="9"/>
      <c r="D10513" t="str">
        <f>"F54B11.9"</f>
        <v>F54B11.9</v>
      </c>
      <c r="F10513" t="s">
        <v>11</v>
      </c>
      <c r="H10513" s="12">
        <v>-1.6146808572356699</v>
      </c>
      <c r="I10513" s="20">
        <v>-0.39229264001138497</v>
      </c>
      <c r="J10513" s="28">
        <v>0.69484200113369898</v>
      </c>
      <c r="K10513" s="29">
        <v>0.98289565623980701</v>
      </c>
    </row>
    <row r="10514" spans="1:11" x14ac:dyDescent="0.35">
      <c r="A10514" s="9" t="str">
        <f>HYPERLINK("http://www.ensembl.org/id/WBGene00175034", "WBGene00175034")</f>
        <v>WBGene00175034</v>
      </c>
      <c r="B10514" s="9" t="str">
        <f>HYPERLINK("http://www.ncbi.nlm.nih.gov/gene/13186748", "13186748")</f>
        <v>13186748</v>
      </c>
      <c r="C10514" s="9"/>
      <c r="D10514" t="str">
        <f>"F54B3.4"</f>
        <v>F54B3.4</v>
      </c>
      <c r="F10514" t="s">
        <v>11</v>
      </c>
      <c r="H10514" s="12">
        <v>-1.2977952274200399</v>
      </c>
      <c r="I10514" s="20">
        <v>-0.43936349305324202</v>
      </c>
      <c r="J10514" s="28">
        <v>0.66039817458763495</v>
      </c>
      <c r="K10514" s="29">
        <v>0.98289565623980701</v>
      </c>
    </row>
    <row r="10515" spans="1:11" x14ac:dyDescent="0.35">
      <c r="A10515" s="9" t="str">
        <f>HYPERLINK("http://www.ensembl.org/id/WBGene00010016", "WBGene00010016")</f>
        <v>WBGene00010016</v>
      </c>
      <c r="B10515" s="9" t="str">
        <f>HYPERLINK("http://www.ncbi.nlm.nih.gov/gene/186199", "186199")</f>
        <v>186199</v>
      </c>
      <c r="C10515" s="9"/>
      <c r="D10515" t="str">
        <f>"F54B8.1"</f>
        <v>F54B8.1</v>
      </c>
      <c r="F10515" t="s">
        <v>11</v>
      </c>
      <c r="H10515" s="12">
        <v>2.4578120077400301</v>
      </c>
      <c r="I10515" s="20">
        <v>0.26093350314551</v>
      </c>
      <c r="J10515" s="28">
        <v>0.79414378780213601</v>
      </c>
      <c r="K10515" s="29">
        <v>0.98289565623980701</v>
      </c>
    </row>
    <row r="10516" spans="1:11" x14ac:dyDescent="0.35">
      <c r="A10516" s="9" t="str">
        <f>HYPERLINK("http://www.ensembl.org/id/WBGene00077444", "WBGene00077444")</f>
        <v>WBGene00077444</v>
      </c>
      <c r="B10516" s="9"/>
      <c r="C10516" s="9"/>
      <c r="D10516" t="str">
        <f>"F54B8.17"</f>
        <v>F54B8.17</v>
      </c>
      <c r="F10516" t="s">
        <v>80</v>
      </c>
      <c r="H10516" s="12">
        <v>-2.0218889398662498</v>
      </c>
      <c r="I10516" s="20">
        <v>-0.43798662857965498</v>
      </c>
      <c r="J10516" s="28">
        <v>0.661395976479493</v>
      </c>
      <c r="K10516" s="29">
        <v>0.98289565623980701</v>
      </c>
    </row>
    <row r="10517" spans="1:11" x14ac:dyDescent="0.35">
      <c r="A10517" s="9" t="str">
        <f>HYPERLINK("http://www.ensembl.org/id/WBGene00010019", "WBGene00010019")</f>
        <v>WBGene00010019</v>
      </c>
      <c r="B10517" s="9" t="str">
        <f>HYPERLINK("http://www.ncbi.nlm.nih.gov/gene/186201", "186201")</f>
        <v>186201</v>
      </c>
      <c r="C10517" s="9"/>
      <c r="D10517" t="str">
        <f>"F54B8.4"</f>
        <v>F54B8.4</v>
      </c>
      <c r="F10517" t="s">
        <v>11</v>
      </c>
      <c r="G10517" t="s">
        <v>4982</v>
      </c>
      <c r="H10517" s="12">
        <v>1.27086950925526</v>
      </c>
      <c r="I10517" s="20">
        <v>1.02933806435151</v>
      </c>
      <c r="J10517" s="28">
        <v>0.30332084232025203</v>
      </c>
      <c r="K10517" s="29">
        <v>0.98289565623980701</v>
      </c>
    </row>
    <row r="10518" spans="1:11" x14ac:dyDescent="0.35">
      <c r="A10518" s="9" t="str">
        <f>HYPERLINK("http://www.ensembl.org/id/WBGene00018789", "WBGene00018789")</f>
        <v>WBGene00018789</v>
      </c>
      <c r="B10518" s="9" t="str">
        <f>HYPERLINK("http://www.ncbi.nlm.nih.gov/gene/172126", "172126")</f>
        <v>172126</v>
      </c>
      <c r="C10518" s="9"/>
      <c r="D10518" t="str">
        <f>"F54C1.1"</f>
        <v>F54C1.1</v>
      </c>
      <c r="F10518" t="s">
        <v>11</v>
      </c>
      <c r="G10518" t="s">
        <v>104</v>
      </c>
      <c r="H10518" s="12">
        <v>1.2906308061416201</v>
      </c>
      <c r="I10518" s="20">
        <v>0.46004544718767498</v>
      </c>
      <c r="J10518" s="28">
        <v>0.64548359973286495</v>
      </c>
      <c r="K10518" s="29">
        <v>0.98289565623980701</v>
      </c>
    </row>
    <row r="10519" spans="1:11" x14ac:dyDescent="0.35">
      <c r="A10519" s="9" t="str">
        <f>HYPERLINK("http://www.ensembl.org/id/WBGene00018795", "WBGene00018795")</f>
        <v>WBGene00018795</v>
      </c>
      <c r="B10519" s="9" t="str">
        <f>HYPERLINK("http://www.ncbi.nlm.nih.gov/gene/186221", "186221")</f>
        <v>186221</v>
      </c>
      <c r="C10519" s="9"/>
      <c r="D10519" t="str">
        <f>"F54C4.4"</f>
        <v>F54C4.4</v>
      </c>
      <c r="F10519" t="s">
        <v>11</v>
      </c>
      <c r="H10519" s="12">
        <v>-1.1010267161934399</v>
      </c>
      <c r="I10519" s="20">
        <v>-0.34787791028375598</v>
      </c>
      <c r="J10519" s="28">
        <v>0.72793187539418802</v>
      </c>
      <c r="K10519" s="29">
        <v>0.98289565623980701</v>
      </c>
    </row>
    <row r="10520" spans="1:11" x14ac:dyDescent="0.35">
      <c r="A10520" s="9" t="str">
        <f>HYPERLINK("http://www.ensembl.org/id/WBGene00010037", "WBGene00010037")</f>
        <v>WBGene00010037</v>
      </c>
      <c r="B10520" s="9" t="str">
        <f>HYPERLINK("http://www.ncbi.nlm.nih.gov/gene/176323", "176323")</f>
        <v>176323</v>
      </c>
      <c r="C10520" s="9"/>
      <c r="D10520" t="str">
        <f>"F54C8.4"</f>
        <v>F54C8.4</v>
      </c>
      <c r="E10520" t="s">
        <v>8831</v>
      </c>
      <c r="F10520" t="s">
        <v>11</v>
      </c>
      <c r="G10520" t="s">
        <v>8832</v>
      </c>
      <c r="H10520" s="12">
        <v>-1.2000954206321099</v>
      </c>
      <c r="I10520" s="20">
        <v>-0.96515475275390294</v>
      </c>
      <c r="J10520" s="28">
        <v>0.334467306183449</v>
      </c>
      <c r="K10520" s="29">
        <v>0.98289565623980701</v>
      </c>
    </row>
    <row r="10521" spans="1:11" x14ac:dyDescent="0.35">
      <c r="A10521" s="9" t="str">
        <f>HYPERLINK("http://www.ensembl.org/id/WBGene00045125", "WBGene00045125")</f>
        <v>WBGene00045125</v>
      </c>
      <c r="B10521" s="9"/>
      <c r="C10521" s="9"/>
      <c r="D10521" t="str">
        <f>"F54C9.12"</f>
        <v>F54C9.12</v>
      </c>
      <c r="F10521" t="s">
        <v>2977</v>
      </c>
      <c r="H10521" s="12">
        <v>1.90740186265171</v>
      </c>
      <c r="I10521" s="20">
        <v>0.310534995180897</v>
      </c>
      <c r="J10521" s="28">
        <v>0.756154151575399</v>
      </c>
      <c r="K10521" s="29">
        <v>0.98289565623980701</v>
      </c>
    </row>
    <row r="10522" spans="1:11" x14ac:dyDescent="0.35">
      <c r="A10522" s="9" t="str">
        <f>HYPERLINK("http://www.ensembl.org/id/WBGene00195730", "WBGene00195730")</f>
        <v>WBGene00195730</v>
      </c>
      <c r="B10522" s="9"/>
      <c r="C10522" s="9"/>
      <c r="D10522" t="str">
        <f>"F54C9.15"</f>
        <v>F54C9.15</v>
      </c>
      <c r="F10522" t="s">
        <v>481</v>
      </c>
      <c r="H10522" s="12">
        <v>2.3893468495514898</v>
      </c>
      <c r="I10522" s="20">
        <v>0.25323547253672701</v>
      </c>
      <c r="J10522" s="28">
        <v>0.80008625651646104</v>
      </c>
      <c r="K10522" s="29">
        <v>0.98289565623980701</v>
      </c>
    </row>
    <row r="10523" spans="1:11" x14ac:dyDescent="0.35">
      <c r="A10523" s="9" t="str">
        <f>HYPERLINK("http://www.ensembl.org/id/WBGene00198777", "WBGene00198777")</f>
        <v>WBGene00198777</v>
      </c>
      <c r="B10523" s="9"/>
      <c r="C10523" s="9"/>
      <c r="D10523" t="str">
        <f>"F54C9.17"</f>
        <v>F54C9.17</v>
      </c>
      <c r="F10523" t="s">
        <v>481</v>
      </c>
      <c r="H10523" s="12">
        <v>3.6645215954135</v>
      </c>
      <c r="I10523" s="20">
        <v>0.37967131826092498</v>
      </c>
      <c r="J10523" s="28">
        <v>0.70418941338960395</v>
      </c>
      <c r="K10523" s="29">
        <v>0.98289565623980701</v>
      </c>
    </row>
    <row r="10524" spans="1:11" x14ac:dyDescent="0.35">
      <c r="A10524" s="9" t="str">
        <f>HYPERLINK("http://www.ensembl.org/id/WBGene00010044", "WBGene00010044")</f>
        <v>WBGene00010044</v>
      </c>
      <c r="B10524" s="9" t="str">
        <f>HYPERLINK("http://www.ncbi.nlm.nih.gov/gene/174374", "174374")</f>
        <v>174374</v>
      </c>
      <c r="C10524" s="9" t="str">
        <f>HYPERLINK("http://www.ncbi.nlm.nih.gov/gene/65095", "65095")</f>
        <v>65095</v>
      </c>
      <c r="D10524" t="str">
        <f>"F54C9.9"</f>
        <v>F54C9.9</v>
      </c>
      <c r="F10524" t="s">
        <v>11</v>
      </c>
      <c r="G10524" t="s">
        <v>7302</v>
      </c>
      <c r="H10524" s="12">
        <v>-1.1184787217747501</v>
      </c>
      <c r="I10524" s="20">
        <v>-0.56275401184913898</v>
      </c>
      <c r="J10524" s="28">
        <v>0.57360239958565895</v>
      </c>
      <c r="K10524" s="29">
        <v>0.98289565623980701</v>
      </c>
    </row>
    <row r="10525" spans="1:11" x14ac:dyDescent="0.35">
      <c r="A10525" s="9" t="str">
        <f>HYPERLINK("http://www.ensembl.org/id/WBGene00010046", "WBGene00010046")</f>
        <v>WBGene00010046</v>
      </c>
      <c r="B10525" s="9" t="str">
        <f>HYPERLINK("http://www.ncbi.nlm.nih.gov/gene/186227", "186227")</f>
        <v>186227</v>
      </c>
      <c r="C10525" s="9"/>
      <c r="D10525" t="str">
        <f>"F54D1.1"</f>
        <v>F54D1.1</v>
      </c>
      <c r="F10525" t="s">
        <v>11</v>
      </c>
      <c r="G10525" t="s">
        <v>4510</v>
      </c>
      <c r="H10525" s="12">
        <v>1.8048424308286699</v>
      </c>
      <c r="I10525" s="20">
        <v>0.677418522108725</v>
      </c>
      <c r="J10525" s="28">
        <v>0.49814044976585498</v>
      </c>
      <c r="K10525" s="29">
        <v>0.98289565623980701</v>
      </c>
    </row>
    <row r="10526" spans="1:11" x14ac:dyDescent="0.35">
      <c r="A10526" s="9" t="str">
        <f>HYPERLINK("http://www.ensembl.org/id/WBGene00195927", "WBGene00195927")</f>
        <v>WBGene00195927</v>
      </c>
      <c r="B10526" s="9"/>
      <c r="C10526" s="9"/>
      <c r="D10526" t="str">
        <f>"F54D1.17"</f>
        <v>F54D1.17</v>
      </c>
      <c r="F10526" t="s">
        <v>481</v>
      </c>
      <c r="H10526" s="12">
        <v>-3.7261494131482999</v>
      </c>
      <c r="I10526" s="20">
        <v>-0.38454673129429601</v>
      </c>
      <c r="J10526" s="28">
        <v>0.70057326682554</v>
      </c>
      <c r="K10526" s="29">
        <v>0.98289565623980701</v>
      </c>
    </row>
    <row r="10527" spans="1:11" x14ac:dyDescent="0.35">
      <c r="A10527" s="9" t="str">
        <f>HYPERLINK("http://www.ensembl.org/id/WBGene00010047", "WBGene00010047")</f>
        <v>WBGene00010047</v>
      </c>
      <c r="B10527" s="9" t="str">
        <f>HYPERLINK("http://www.ncbi.nlm.nih.gov/gene/178037", "178037")</f>
        <v>178037</v>
      </c>
      <c r="C10527" s="9"/>
      <c r="D10527" t="str">
        <f>"F54D1.6"</f>
        <v>F54D1.6</v>
      </c>
      <c r="F10527" t="s">
        <v>11</v>
      </c>
      <c r="G10527" t="s">
        <v>5541</v>
      </c>
      <c r="H10527" s="12">
        <v>1.1369056049609201</v>
      </c>
      <c r="I10527" s="20">
        <v>0.69706652626108301</v>
      </c>
      <c r="J10527" s="28">
        <v>0.48576116144976</v>
      </c>
      <c r="K10527" s="29">
        <v>0.98289565623980701</v>
      </c>
    </row>
    <row r="10528" spans="1:11" x14ac:dyDescent="0.35">
      <c r="A10528" s="9" t="str">
        <f>HYPERLINK("http://www.ensembl.org/id/WBGene00018805", "WBGene00018805")</f>
        <v>WBGene00018805</v>
      </c>
      <c r="B10528" s="9" t="str">
        <f>HYPERLINK("http://www.ncbi.nlm.nih.gov/gene/186233", "186233")</f>
        <v>186233</v>
      </c>
      <c r="C10528" s="9"/>
      <c r="D10528" t="str">
        <f>"F54D10.4"</f>
        <v>F54D10.4</v>
      </c>
      <c r="F10528" t="s">
        <v>11</v>
      </c>
      <c r="H10528" s="12">
        <v>-1.7040194612883299</v>
      </c>
      <c r="I10528" s="20">
        <v>-0.52949744645285002</v>
      </c>
      <c r="J10528" s="28">
        <v>0.59646041536912697</v>
      </c>
      <c r="K10528" s="29">
        <v>0.98289565623980701</v>
      </c>
    </row>
    <row r="10529" spans="1:11" x14ac:dyDescent="0.35">
      <c r="A10529" s="9" t="str">
        <f>HYPERLINK("http://www.ensembl.org/id/WBGene00018809", "WBGene00018809")</f>
        <v>WBGene00018809</v>
      </c>
      <c r="B10529" s="9" t="str">
        <f>HYPERLINK("http://www.ncbi.nlm.nih.gov/gene/186235", "186235")</f>
        <v>186235</v>
      </c>
      <c r="C10529" s="9"/>
      <c r="D10529" t="str">
        <f>"F54D10.8"</f>
        <v>F54D10.8</v>
      </c>
      <c r="F10529" t="s">
        <v>11</v>
      </c>
      <c r="G10529" t="s">
        <v>1686</v>
      </c>
      <c r="H10529" s="12">
        <v>7.3088293689036803</v>
      </c>
      <c r="I10529" s="20">
        <v>0.93528831145381397</v>
      </c>
      <c r="J10529" s="28">
        <v>0.34963973738127302</v>
      </c>
      <c r="K10529" s="29">
        <v>0.98289565623980701</v>
      </c>
    </row>
    <row r="10530" spans="1:11" x14ac:dyDescent="0.35">
      <c r="A10530" s="9" t="str">
        <f>HYPERLINK("http://www.ensembl.org/id/WBGene00018815", "WBGene00018815")</f>
        <v>WBGene00018815</v>
      </c>
      <c r="B10530" s="9" t="str">
        <f>HYPERLINK("http://www.ncbi.nlm.nih.gov/gene/186238", "186238")</f>
        <v>186238</v>
      </c>
      <c r="C10530" s="9"/>
      <c r="D10530" t="str">
        <f>"F54D12.1"</f>
        <v>F54D12.1</v>
      </c>
      <c r="F10530" t="s">
        <v>11</v>
      </c>
      <c r="H10530" s="12">
        <v>3.5227018545059199</v>
      </c>
      <c r="I10530" s="20">
        <v>0.36849691206929103</v>
      </c>
      <c r="J10530" s="28">
        <v>0.71250274722433404</v>
      </c>
      <c r="K10530" s="29">
        <v>0.98289565623980701</v>
      </c>
    </row>
    <row r="10531" spans="1:11" x14ac:dyDescent="0.35">
      <c r="A10531" s="9" t="str">
        <f>HYPERLINK("http://www.ensembl.org/id/WBGene00044424", "WBGene00044424")</f>
        <v>WBGene00044424</v>
      </c>
      <c r="B10531" s="9" t="str">
        <f>HYPERLINK("http://www.ncbi.nlm.nih.gov/gene/3565331", "3565331")</f>
        <v>3565331</v>
      </c>
      <c r="C10531" s="9"/>
      <c r="D10531" t="str">
        <f>"F54D12.10"</f>
        <v>F54D12.10</v>
      </c>
      <c r="F10531" t="s">
        <v>11</v>
      </c>
      <c r="H10531" s="12">
        <v>9.5215001458148301</v>
      </c>
      <c r="I10531" s="20">
        <v>0.67036031720767997</v>
      </c>
      <c r="J10531" s="28">
        <v>0.50262812496729803</v>
      </c>
      <c r="K10531" s="29">
        <v>0.98289565623980701</v>
      </c>
    </row>
    <row r="10532" spans="1:11" x14ac:dyDescent="0.35">
      <c r="A10532" s="9" t="str">
        <f>HYPERLINK("http://www.ensembl.org/id/WBGene00018821", "WBGene00018821")</f>
        <v>WBGene00018821</v>
      </c>
      <c r="B10532" s="9" t="str">
        <f>HYPERLINK("http://www.ncbi.nlm.nih.gov/gene/186243", "186243")</f>
        <v>186243</v>
      </c>
      <c r="C10532" s="9"/>
      <c r="D10532" t="str">
        <f>"F54D12.8"</f>
        <v>F54D12.8</v>
      </c>
      <c r="F10532" t="s">
        <v>11</v>
      </c>
      <c r="H10532" s="12">
        <v>-5.7638371882798101</v>
      </c>
      <c r="I10532" s="20">
        <v>-0.74695116041410203</v>
      </c>
      <c r="J10532" s="28">
        <v>0.45509304235290299</v>
      </c>
      <c r="K10532" s="29">
        <v>0.98289565623980701</v>
      </c>
    </row>
    <row r="10533" spans="1:11" x14ac:dyDescent="0.35">
      <c r="A10533" s="9" t="str">
        <f>HYPERLINK("http://www.ensembl.org/id/WBGene00195146", "WBGene00195146")</f>
        <v>WBGene00195146</v>
      </c>
      <c r="B10533" s="9" t="str">
        <f>HYPERLINK("http://www.ncbi.nlm.nih.gov/gene/13187194", "13187194")</f>
        <v>13187194</v>
      </c>
      <c r="C10533" s="9"/>
      <c r="D10533" t="str">
        <f>"F54D5.17"</f>
        <v>F54D5.17</v>
      </c>
      <c r="F10533" t="s">
        <v>11</v>
      </c>
      <c r="H10533" s="12">
        <v>-1.25599393458102</v>
      </c>
      <c r="I10533" s="20">
        <v>-0.47656731748283798</v>
      </c>
      <c r="J10533" s="28">
        <v>0.63367026081549305</v>
      </c>
      <c r="K10533" s="29">
        <v>0.98289565623980701</v>
      </c>
    </row>
    <row r="10534" spans="1:11" x14ac:dyDescent="0.35">
      <c r="A10534" s="9" t="str">
        <f>HYPERLINK("http://www.ensembl.org/id/WBGene00195341", "WBGene00195341")</f>
        <v>WBGene00195341</v>
      </c>
      <c r="B10534" s="9"/>
      <c r="C10534" s="9"/>
      <c r="D10534" t="str">
        <f>"F54D5.18"</f>
        <v>F54D5.18</v>
      </c>
      <c r="F10534" t="s">
        <v>481</v>
      </c>
      <c r="H10534" s="12">
        <v>2.3893468495514898</v>
      </c>
      <c r="I10534" s="20">
        <v>0.25323547253672701</v>
      </c>
      <c r="J10534" s="28">
        <v>0.80008625651646104</v>
      </c>
      <c r="K10534" s="29">
        <v>0.98289565623980701</v>
      </c>
    </row>
    <row r="10535" spans="1:11" x14ac:dyDescent="0.35">
      <c r="A10535" s="9" t="str">
        <f>HYPERLINK("http://www.ensembl.org/id/WBGene00010052", "WBGene00010052")</f>
        <v>WBGene00010052</v>
      </c>
      <c r="B10535" s="9" t="str">
        <f>HYPERLINK("http://www.ncbi.nlm.nih.gov/gene/174768", "174768")</f>
        <v>174768</v>
      </c>
      <c r="C10535" s="9" t="str">
        <f>HYPERLINK("http://www.ncbi.nlm.nih.gov/gene/2639", "2639")</f>
        <v>2639</v>
      </c>
      <c r="D10535" t="str">
        <f>"F54D5.7"</f>
        <v>F54D5.7</v>
      </c>
      <c r="E10535" t="s">
        <v>6629</v>
      </c>
      <c r="F10535" t="s">
        <v>11</v>
      </c>
      <c r="G10535" t="s">
        <v>6630</v>
      </c>
      <c r="H10535" s="12">
        <v>-1.0810138503865001</v>
      </c>
      <c r="I10535" s="20">
        <v>-0.40259860364289302</v>
      </c>
      <c r="J10535" s="28">
        <v>0.68724353706401498</v>
      </c>
      <c r="K10535" s="29">
        <v>0.98289565623980701</v>
      </c>
    </row>
    <row r="10536" spans="1:11" x14ac:dyDescent="0.35">
      <c r="A10536" s="9" t="str">
        <f>HYPERLINK("http://www.ensembl.org/id/WBGene00199106", "WBGene00199106")</f>
        <v>WBGene00199106</v>
      </c>
      <c r="B10536" s="9"/>
      <c r="C10536" s="9"/>
      <c r="D10536" t="str">
        <f>"F54D7.8"</f>
        <v>F54D7.8</v>
      </c>
      <c r="F10536" t="s">
        <v>481</v>
      </c>
      <c r="H10536" s="12">
        <v>-2.4295389261469</v>
      </c>
      <c r="I10536" s="20">
        <v>-0.25808529976640998</v>
      </c>
      <c r="J10536" s="28">
        <v>0.79634107645457397</v>
      </c>
      <c r="K10536" s="29">
        <v>0.98289565623980701</v>
      </c>
    </row>
    <row r="10537" spans="1:11" x14ac:dyDescent="0.35">
      <c r="A10537" s="9" t="str">
        <f>HYPERLINK("http://www.ensembl.org/id/WBGene00200104", "WBGene00200104")</f>
        <v>WBGene00200104</v>
      </c>
      <c r="B10537" s="9"/>
      <c r="C10537" s="9"/>
      <c r="D10537" t="str">
        <f>"F54D7.9"</f>
        <v>F54D7.9</v>
      </c>
      <c r="F10537" t="s">
        <v>481</v>
      </c>
      <c r="H10537" s="12">
        <v>2.3893468495514898</v>
      </c>
      <c r="I10537" s="20">
        <v>0.25323547253672701</v>
      </c>
      <c r="J10537" s="28">
        <v>0.80008625651646104</v>
      </c>
      <c r="K10537" s="29">
        <v>0.98289565623980701</v>
      </c>
    </row>
    <row r="10538" spans="1:11" x14ac:dyDescent="0.35">
      <c r="A10538" s="9" t="str">
        <f>HYPERLINK("http://www.ensembl.org/id/WBGene00284847", "WBGene00284847")</f>
        <v>WBGene00284847</v>
      </c>
      <c r="B10538" s="9" t="str">
        <f>HYPERLINK("http://www.ncbi.nlm.nih.gov/gene/36312789", "36312789")</f>
        <v>36312789</v>
      </c>
      <c r="C10538" s="9"/>
      <c r="D10538" t="str">
        <f>"F54D8.10"</f>
        <v>F54D8.10</v>
      </c>
      <c r="F10538" t="s">
        <v>11</v>
      </c>
      <c r="H10538" s="12">
        <v>2.7136852592062799</v>
      </c>
      <c r="I10538" s="20">
        <v>0.77787788767385302</v>
      </c>
      <c r="J10538" s="28">
        <v>0.43664100524826199</v>
      </c>
      <c r="K10538" s="29">
        <v>0.98289565623980701</v>
      </c>
    </row>
    <row r="10539" spans="1:11" x14ac:dyDescent="0.35">
      <c r="A10539" s="9" t="str">
        <f>HYPERLINK("http://www.ensembl.org/id/WBGene00199278", "WBGene00199278")</f>
        <v>WBGene00199278</v>
      </c>
      <c r="B10539" s="9"/>
      <c r="C10539" s="9"/>
      <c r="D10539" t="str">
        <f>"F54D8.8"</f>
        <v>F54D8.8</v>
      </c>
      <c r="F10539" t="s">
        <v>481</v>
      </c>
      <c r="H10539" s="12">
        <v>-2.4991590031922399</v>
      </c>
      <c r="I10539" s="20">
        <v>-0.26577412737581302</v>
      </c>
      <c r="J10539" s="28">
        <v>0.79041317015736101</v>
      </c>
      <c r="K10539" s="29">
        <v>0.98289565623980701</v>
      </c>
    </row>
    <row r="10540" spans="1:11" x14ac:dyDescent="0.35">
      <c r="A10540" s="9" t="str">
        <f>HYPERLINK("http://www.ensembl.org/id/WBGene00018823", "WBGene00018823")</f>
        <v>WBGene00018823</v>
      </c>
      <c r="B10540" s="9" t="str">
        <f>HYPERLINK("http://www.ncbi.nlm.nih.gov/gene/178742", "178742")</f>
        <v>178742</v>
      </c>
      <c r="C10540" s="9"/>
      <c r="D10540" t="str">
        <f>"F54E2.1"</f>
        <v>F54E2.1</v>
      </c>
      <c r="F10540" t="s">
        <v>11</v>
      </c>
      <c r="G10540" t="s">
        <v>548</v>
      </c>
      <c r="H10540" s="12">
        <v>-1.1512622673400199</v>
      </c>
      <c r="I10540" s="20">
        <v>-0.48052675190926403</v>
      </c>
      <c r="J10540" s="28">
        <v>0.63085288552077901</v>
      </c>
      <c r="K10540" s="29">
        <v>0.98289565623980701</v>
      </c>
    </row>
    <row r="10541" spans="1:11" x14ac:dyDescent="0.35">
      <c r="A10541" s="9" t="str">
        <f>HYPERLINK("http://www.ensembl.org/id/WBGene00018824", "WBGene00018824")</f>
        <v>WBGene00018824</v>
      </c>
      <c r="B10541" s="9" t="str">
        <f>HYPERLINK("http://www.ncbi.nlm.nih.gov/gene/178741", "178741")</f>
        <v>178741</v>
      </c>
      <c r="C10541" s="9"/>
      <c r="D10541" t="str">
        <f>"F54E2.2"</f>
        <v>F54E2.2</v>
      </c>
      <c r="F10541" t="s">
        <v>11</v>
      </c>
      <c r="G10541" t="s">
        <v>8779</v>
      </c>
      <c r="H10541" s="12">
        <v>-1.2504266474853101</v>
      </c>
      <c r="I10541" s="20">
        <v>-0.34860673282652999</v>
      </c>
      <c r="J10541" s="28">
        <v>0.72738457241176602</v>
      </c>
      <c r="K10541" s="29">
        <v>0.98289565623980701</v>
      </c>
    </row>
    <row r="10542" spans="1:11" x14ac:dyDescent="0.35">
      <c r="A10542" s="9" t="str">
        <f>HYPERLINK("http://www.ensembl.org/id/WBGene00236799", "WBGene00236799")</f>
        <v>WBGene00236799</v>
      </c>
      <c r="B10542" s="9"/>
      <c r="C10542" s="9"/>
      <c r="D10542" t="str">
        <f>"F54E2.8"</f>
        <v>F54E2.8</v>
      </c>
      <c r="F10542" t="s">
        <v>2735</v>
      </c>
      <c r="H10542" s="12">
        <v>3.5227018545059199</v>
      </c>
      <c r="I10542" s="20">
        <v>0.36849691206929103</v>
      </c>
      <c r="J10542" s="28">
        <v>0.71250274722433404</v>
      </c>
      <c r="K10542" s="29">
        <v>0.98289565623980701</v>
      </c>
    </row>
    <row r="10543" spans="1:11" x14ac:dyDescent="0.35">
      <c r="A10543" s="9" t="str">
        <f>HYPERLINK("http://www.ensembl.org/id/WBGene00268206", "WBGene00268206")</f>
        <v>WBGene00268206</v>
      </c>
      <c r="B10543" s="9" t="str">
        <f>HYPERLINK("http://www.ncbi.nlm.nih.gov/gene/26101625", "26101625")</f>
        <v>26101625</v>
      </c>
      <c r="C10543" s="9"/>
      <c r="D10543" t="str">
        <f>"F54E2.9"</f>
        <v>F54E2.9</v>
      </c>
      <c r="F10543" t="s">
        <v>11</v>
      </c>
      <c r="G10543" t="s">
        <v>25</v>
      </c>
      <c r="H10543" s="12">
        <v>-1.6909338054776999</v>
      </c>
      <c r="I10543" s="20">
        <v>-0.25407275210970098</v>
      </c>
      <c r="J10543" s="28">
        <v>0.79943935345969996</v>
      </c>
      <c r="K10543" s="29">
        <v>0.98289565623980701</v>
      </c>
    </row>
    <row r="10544" spans="1:11" x14ac:dyDescent="0.35">
      <c r="A10544" s="9" t="str">
        <f>HYPERLINK("http://www.ensembl.org/id/WBGene00197388", "WBGene00197388")</f>
        <v>WBGene00197388</v>
      </c>
      <c r="B10544" s="9"/>
      <c r="C10544" s="9"/>
      <c r="D10544" t="str">
        <f>"F54E4.10"</f>
        <v>F54E4.10</v>
      </c>
      <c r="F10544" t="s">
        <v>481</v>
      </c>
      <c r="H10544" s="12">
        <v>3.5227018545059199</v>
      </c>
      <c r="I10544" s="20">
        <v>0.36849691206929103</v>
      </c>
      <c r="J10544" s="28">
        <v>0.71250274722433404</v>
      </c>
      <c r="K10544" s="29">
        <v>0.98289565623980701</v>
      </c>
    </row>
    <row r="10545" spans="1:11" x14ac:dyDescent="0.35">
      <c r="A10545" s="9" t="str">
        <f>HYPERLINK("http://www.ensembl.org/id/WBGene00201833", "WBGene00201833")</f>
        <v>WBGene00201833</v>
      </c>
      <c r="B10545" s="9"/>
      <c r="C10545" s="9"/>
      <c r="D10545" t="str">
        <f>"F54E4.16"</f>
        <v>F54E4.16</v>
      </c>
      <c r="F10545" t="s">
        <v>481</v>
      </c>
      <c r="H10545" s="12">
        <v>2.3893468495514898</v>
      </c>
      <c r="I10545" s="20">
        <v>0.25323547253672701</v>
      </c>
      <c r="J10545" s="28">
        <v>0.80008625651646104</v>
      </c>
      <c r="K10545" s="29">
        <v>0.98289565623980701</v>
      </c>
    </row>
    <row r="10546" spans="1:11" x14ac:dyDescent="0.35">
      <c r="A10546" s="9" t="str">
        <f>HYPERLINK("http://www.ensembl.org/id/WBGene00010060", "WBGene00010060")</f>
        <v>WBGene00010060</v>
      </c>
      <c r="B10546" s="9" t="str">
        <f>HYPERLINK("http://www.ncbi.nlm.nih.gov/gene/186247", "186247")</f>
        <v>186247</v>
      </c>
      <c r="C10546" s="9"/>
      <c r="D10546" t="str">
        <f>"F54E4.4"</f>
        <v>F54E4.4</v>
      </c>
      <c r="F10546" t="s">
        <v>11</v>
      </c>
      <c r="H10546" s="12">
        <v>1.1941704222285101</v>
      </c>
      <c r="I10546" s="20">
        <v>0.51013532485166602</v>
      </c>
      <c r="J10546" s="28">
        <v>0.609956658673796</v>
      </c>
      <c r="K10546" s="29">
        <v>0.98289565623980701</v>
      </c>
    </row>
    <row r="10547" spans="1:11" x14ac:dyDescent="0.35">
      <c r="A10547" s="9" t="str">
        <f>HYPERLINK("http://www.ensembl.org/id/WBGene00018829", "WBGene00018829")</f>
        <v>WBGene00018829</v>
      </c>
      <c r="B10547" s="9" t="str">
        <f>HYPERLINK("http://www.ncbi.nlm.nih.gov/gene/186249", "186249")</f>
        <v>186249</v>
      </c>
      <c r="C10547" s="9"/>
      <c r="D10547" t="str">
        <f>"F54E7.6"</f>
        <v>F54E7.6</v>
      </c>
      <c r="F10547" t="s">
        <v>11</v>
      </c>
      <c r="H10547" s="12">
        <v>-2.6490849353425601</v>
      </c>
      <c r="I10547" s="20">
        <v>-0.72029382838240896</v>
      </c>
      <c r="J10547" s="28">
        <v>0.47134410382041297</v>
      </c>
      <c r="K10547" s="29">
        <v>0.98289565623980701</v>
      </c>
    </row>
    <row r="10548" spans="1:11" x14ac:dyDescent="0.35">
      <c r="A10548" s="9" t="str">
        <f>HYPERLINK("http://www.ensembl.org/id/WBGene00018831", "WBGene00018831")</f>
        <v>WBGene00018831</v>
      </c>
      <c r="B10548" s="9" t="str">
        <f>HYPERLINK("http://www.ncbi.nlm.nih.gov/gene/175784", "175784")</f>
        <v>175784</v>
      </c>
      <c r="C10548" s="9"/>
      <c r="D10548" t="str">
        <f>"F54E7.9"</f>
        <v>F54E7.9</v>
      </c>
      <c r="F10548" t="s">
        <v>11</v>
      </c>
      <c r="G10548" t="s">
        <v>6243</v>
      </c>
      <c r="H10548" s="12">
        <v>-1.1410699401432201</v>
      </c>
      <c r="I10548" s="20">
        <v>-0.52860134348538002</v>
      </c>
      <c r="J10548" s="28">
        <v>0.59708202812354105</v>
      </c>
      <c r="K10548" s="29">
        <v>0.98289565623980701</v>
      </c>
    </row>
    <row r="10549" spans="1:11" x14ac:dyDescent="0.35">
      <c r="A10549" s="9" t="str">
        <f>HYPERLINK("http://www.ensembl.org/id/WBGene00010069", "WBGene00010069")</f>
        <v>WBGene00010069</v>
      </c>
      <c r="B10549" s="9" t="str">
        <f>HYPERLINK("http://www.ncbi.nlm.nih.gov/gene/174995", "174995")</f>
        <v>174995</v>
      </c>
      <c r="C10549" s="9"/>
      <c r="D10549" t="str">
        <f>"F54F11.1"</f>
        <v>F54F11.1</v>
      </c>
      <c r="F10549" t="s">
        <v>11</v>
      </c>
      <c r="H10549" s="12">
        <v>1.8865129893217401</v>
      </c>
      <c r="I10549" s="20">
        <v>0.74042442408142195</v>
      </c>
      <c r="J10549" s="28">
        <v>0.45904250333887597</v>
      </c>
      <c r="K10549" s="29">
        <v>0.98289565623980701</v>
      </c>
    </row>
    <row r="10550" spans="1:11" x14ac:dyDescent="0.35">
      <c r="A10550" s="9" t="str">
        <f>HYPERLINK("http://www.ensembl.org/id/WBGene00199001", "WBGene00199001")</f>
        <v>WBGene00199001</v>
      </c>
      <c r="B10550" s="9"/>
      <c r="C10550" s="9"/>
      <c r="D10550" t="str">
        <f>"F54F11.4"</f>
        <v>F54F11.4</v>
      </c>
      <c r="F10550" t="s">
        <v>481</v>
      </c>
      <c r="H10550" s="12">
        <v>2.4578120077400301</v>
      </c>
      <c r="I10550" s="20">
        <v>0.26093350314551</v>
      </c>
      <c r="J10550" s="28">
        <v>0.79414378780213601</v>
      </c>
      <c r="K10550" s="29">
        <v>0.98289565623980701</v>
      </c>
    </row>
    <row r="10551" spans="1:11" x14ac:dyDescent="0.35">
      <c r="A10551" s="9" t="str">
        <f>HYPERLINK("http://www.ensembl.org/id/WBGene00219969", "WBGene00219969")</f>
        <v>WBGene00219969</v>
      </c>
      <c r="B10551" s="9"/>
      <c r="C10551" s="9"/>
      <c r="D10551" t="str">
        <f>"F54F11.6"</f>
        <v>F54F11.6</v>
      </c>
      <c r="F10551" t="s">
        <v>2977</v>
      </c>
      <c r="H10551" s="12">
        <v>-5.9147836814778696</v>
      </c>
      <c r="I10551" s="20">
        <v>-0.64732500741019305</v>
      </c>
      <c r="J10551" s="28">
        <v>0.51742161994361002</v>
      </c>
      <c r="K10551" s="29">
        <v>0.98289565623980701</v>
      </c>
    </row>
    <row r="10552" spans="1:11" x14ac:dyDescent="0.35">
      <c r="A10552" s="9" t="str">
        <f>HYPERLINK("http://www.ensembl.org/id/WBGene00010072", "WBGene00010072")</f>
        <v>WBGene00010072</v>
      </c>
      <c r="B10552" s="9" t="str">
        <f>HYPERLINK("http://www.ncbi.nlm.nih.gov/gene/176727", "176727")</f>
        <v>176727</v>
      </c>
      <c r="C10552" s="9"/>
      <c r="D10552" t="str">
        <f>"F54F12.1"</f>
        <v>F54F12.1</v>
      </c>
      <c r="E10552" t="s">
        <v>4323</v>
      </c>
      <c r="F10552" t="s">
        <v>11</v>
      </c>
      <c r="G10552" t="s">
        <v>8078</v>
      </c>
      <c r="H10552" s="12">
        <v>-1.16006906353633</v>
      </c>
      <c r="I10552" s="20">
        <v>-0.39024041274223797</v>
      </c>
      <c r="J10552" s="28">
        <v>0.69635878077080404</v>
      </c>
      <c r="K10552" s="29">
        <v>0.98289565623980701</v>
      </c>
    </row>
    <row r="10553" spans="1:11" x14ac:dyDescent="0.35">
      <c r="A10553" s="9" t="str">
        <f>HYPERLINK("http://www.ensembl.org/id/WBGene00202410", "WBGene00202410")</f>
        <v>WBGene00202410</v>
      </c>
      <c r="B10553" s="9"/>
      <c r="C10553" s="9"/>
      <c r="D10553" t="str">
        <f>"F54F12.5"</f>
        <v>F54F12.5</v>
      </c>
      <c r="F10553" t="s">
        <v>481</v>
      </c>
      <c r="H10553" s="12">
        <v>-5.0679335373361498</v>
      </c>
      <c r="I10553" s="20">
        <v>-0.76562232569770305</v>
      </c>
      <c r="J10553" s="28">
        <v>0.443901056408812</v>
      </c>
      <c r="K10553" s="29">
        <v>0.98289565623980701</v>
      </c>
    </row>
    <row r="10554" spans="1:11" x14ac:dyDescent="0.35">
      <c r="A10554" s="9" t="str">
        <f>HYPERLINK("http://www.ensembl.org/id/WBGene00219970", "WBGene00219970")</f>
        <v>WBGene00219970</v>
      </c>
      <c r="B10554" s="9"/>
      <c r="C10554" s="9"/>
      <c r="D10554" t="str">
        <f>"F54F12.6"</f>
        <v>F54F12.6</v>
      </c>
      <c r="F10554" t="s">
        <v>481</v>
      </c>
      <c r="H10554" s="12">
        <v>2.4578120077400301</v>
      </c>
      <c r="I10554" s="20">
        <v>0.26093350314551</v>
      </c>
      <c r="J10554" s="28">
        <v>0.79414378780213601</v>
      </c>
      <c r="K10554" s="29">
        <v>0.98289565623980701</v>
      </c>
    </row>
    <row r="10555" spans="1:11" x14ac:dyDescent="0.35">
      <c r="A10555" s="9" t="str">
        <f>HYPERLINK("http://www.ensembl.org/id/WBGene00219968", "WBGene00219968")</f>
        <v>WBGene00219968</v>
      </c>
      <c r="B10555" s="9"/>
      <c r="C10555" s="9"/>
      <c r="D10555" t="str">
        <f>"F54F2.13"</f>
        <v>F54F2.13</v>
      </c>
      <c r="F10555" t="s">
        <v>481</v>
      </c>
      <c r="H10555" s="12">
        <v>-2.4991590031922399</v>
      </c>
      <c r="I10555" s="20">
        <v>-0.26577412737581302</v>
      </c>
      <c r="J10555" s="28">
        <v>0.79041317015736101</v>
      </c>
      <c r="K10555" s="29">
        <v>0.98289565623980701</v>
      </c>
    </row>
    <row r="10556" spans="1:11" x14ac:dyDescent="0.35">
      <c r="A10556" s="9" t="str">
        <f>HYPERLINK("http://www.ensembl.org/id/WBGene00018834", "WBGene00018834")</f>
        <v>WBGene00018834</v>
      </c>
      <c r="B10556" s="9" t="str">
        <f>HYPERLINK("http://www.ncbi.nlm.nih.gov/gene/186252", "186252")</f>
        <v>186252</v>
      </c>
      <c r="C10556" s="9"/>
      <c r="D10556" t="str">
        <f>"F54F2.6"</f>
        <v>F54F2.6</v>
      </c>
      <c r="F10556" t="s">
        <v>11</v>
      </c>
      <c r="H10556" s="12">
        <v>5.2322000618327396</v>
      </c>
      <c r="I10556" s="20">
        <v>0.486112489888328</v>
      </c>
      <c r="J10556" s="28">
        <v>0.62688741196182496</v>
      </c>
      <c r="K10556" s="29">
        <v>0.98289565623980701</v>
      </c>
    </row>
    <row r="10557" spans="1:11" x14ac:dyDescent="0.35">
      <c r="A10557" s="9" t="str">
        <f>HYPERLINK("http://www.ensembl.org/id/WBGene00018835", "WBGene00018835")</f>
        <v>WBGene00018835</v>
      </c>
      <c r="B10557" s="9" t="str">
        <f>HYPERLINK("http://www.ncbi.nlm.nih.gov/gene/176238", "176238")</f>
        <v>176238</v>
      </c>
      <c r="C10557" s="9"/>
      <c r="D10557" t="str">
        <f>"F54F2.7"</f>
        <v>F54F2.7</v>
      </c>
      <c r="F10557" t="s">
        <v>11</v>
      </c>
      <c r="G10557" t="s">
        <v>7877</v>
      </c>
      <c r="H10557" s="12">
        <v>-1.1492778579459</v>
      </c>
      <c r="I10557" s="20">
        <v>-0.38832844057362897</v>
      </c>
      <c r="J10557" s="28">
        <v>0.69777299292430595</v>
      </c>
      <c r="K10557" s="29">
        <v>0.98289565623980701</v>
      </c>
    </row>
    <row r="10558" spans="1:11" x14ac:dyDescent="0.35">
      <c r="A10558" s="9" t="str">
        <f>HYPERLINK("http://www.ensembl.org/id/WBGene00018836", "WBGene00018836")</f>
        <v>WBGene00018836</v>
      </c>
      <c r="B10558" s="9" t="str">
        <f>HYPERLINK("http://www.ncbi.nlm.nih.gov/gene/176241", "176241")</f>
        <v>176241</v>
      </c>
      <c r="C10558" s="9" t="str">
        <f>HYPERLINK("http://www.ncbi.nlm.nih.gov/gene/64215", "64215")</f>
        <v>64215</v>
      </c>
      <c r="D10558" t="str">
        <f>"F54F2.9"</f>
        <v>F54F2.9</v>
      </c>
      <c r="F10558" t="s">
        <v>11</v>
      </c>
      <c r="G10558" t="s">
        <v>7455</v>
      </c>
      <c r="H10558" s="12">
        <v>-1.1265848445188</v>
      </c>
      <c r="I10558" s="20">
        <v>-0.56742337201300597</v>
      </c>
      <c r="J10558" s="28">
        <v>0.57042657450491896</v>
      </c>
      <c r="K10558" s="29">
        <v>0.98289565623980701</v>
      </c>
    </row>
    <row r="10559" spans="1:11" x14ac:dyDescent="0.35">
      <c r="A10559" s="9" t="str">
        <f>HYPERLINK("http://www.ensembl.org/id/WBGene00014770", "WBGene00014770")</f>
        <v>WBGene00014770</v>
      </c>
      <c r="B10559" s="9"/>
      <c r="C10559" s="9"/>
      <c r="D10559" t="str">
        <f>"F54F3.2"</f>
        <v>F54F3.2</v>
      </c>
      <c r="F10559" t="s">
        <v>80</v>
      </c>
      <c r="H10559" s="12">
        <v>-2.91593608624928</v>
      </c>
      <c r="I10559" s="20">
        <v>-0.37185148581300698</v>
      </c>
      <c r="J10559" s="28">
        <v>0.71000342774827596</v>
      </c>
      <c r="K10559" s="29">
        <v>0.98289565623980701</v>
      </c>
    </row>
    <row r="10560" spans="1:11" x14ac:dyDescent="0.35">
      <c r="A10560" s="9" t="str">
        <f>HYPERLINK("http://www.ensembl.org/id/WBGene00199035", "WBGene00199035")</f>
        <v>WBGene00199035</v>
      </c>
      <c r="B10560" s="9"/>
      <c r="C10560" s="9"/>
      <c r="D10560" t="str">
        <f>"F54F3.5"</f>
        <v>F54F3.5</v>
      </c>
      <c r="F10560" t="s">
        <v>481</v>
      </c>
      <c r="H10560" s="12">
        <v>-2.4295389261469</v>
      </c>
      <c r="I10560" s="20">
        <v>-0.25808529976640998</v>
      </c>
      <c r="J10560" s="28">
        <v>0.79634107645457397</v>
      </c>
      <c r="K10560" s="29">
        <v>0.98289565623980701</v>
      </c>
    </row>
    <row r="10561" spans="1:11" x14ac:dyDescent="0.35">
      <c r="A10561" s="9" t="str">
        <f>HYPERLINK("http://www.ensembl.org/id/WBGene00077680", "WBGene00077680")</f>
        <v>WBGene00077680</v>
      </c>
      <c r="B10561" s="9" t="str">
        <f>HYPERLINK("http://www.ncbi.nlm.nih.gov/gene/6418855", "6418855")</f>
        <v>6418855</v>
      </c>
      <c r="C10561" s="9"/>
      <c r="D10561" t="str">
        <f>"F54F7.10"</f>
        <v>F54F7.10</v>
      </c>
      <c r="F10561" t="s">
        <v>11</v>
      </c>
      <c r="G10561" t="s">
        <v>2256</v>
      </c>
      <c r="H10561" s="12">
        <v>1.4131381143658499</v>
      </c>
      <c r="I10561" s="20">
        <v>0.41938673629970402</v>
      </c>
      <c r="J10561" s="28">
        <v>0.674933516046202</v>
      </c>
      <c r="K10561" s="29">
        <v>0.98289565623980701</v>
      </c>
    </row>
    <row r="10562" spans="1:11" x14ac:dyDescent="0.35">
      <c r="A10562" s="9" t="str">
        <f>HYPERLINK("http://www.ensembl.org/id/WBGene00194932", "WBGene00194932")</f>
        <v>WBGene00194932</v>
      </c>
      <c r="B10562" s="9"/>
      <c r="C10562" s="9"/>
      <c r="D10562" t="str">
        <f>"F54F7.11"</f>
        <v>F54F7.11</v>
      </c>
      <c r="F10562" t="s">
        <v>80</v>
      </c>
      <c r="H10562" s="12">
        <v>-1.1565697796458601</v>
      </c>
      <c r="I10562" s="20">
        <v>-0.33787872981642297</v>
      </c>
      <c r="J10562" s="28">
        <v>0.73545457705119099</v>
      </c>
      <c r="K10562" s="29">
        <v>0.98289565623980701</v>
      </c>
    </row>
    <row r="10563" spans="1:11" x14ac:dyDescent="0.35">
      <c r="A10563" s="9" t="str">
        <f>HYPERLINK("http://www.ensembl.org/id/WBGene00199675", "WBGene00199675")</f>
        <v>WBGene00199675</v>
      </c>
      <c r="B10563" s="9"/>
      <c r="C10563" s="9"/>
      <c r="D10563" t="str">
        <f>"F54F7.13"</f>
        <v>F54F7.13</v>
      </c>
      <c r="F10563" t="s">
        <v>481</v>
      </c>
      <c r="H10563" s="12">
        <v>-1.80762571886331</v>
      </c>
      <c r="I10563" s="20">
        <v>-0.808942355886763</v>
      </c>
      <c r="J10563" s="28">
        <v>0.41854830412640298</v>
      </c>
      <c r="K10563" s="29">
        <v>0.98289565623980701</v>
      </c>
    </row>
    <row r="10564" spans="1:11" x14ac:dyDescent="0.35">
      <c r="A10564" s="9" t="str">
        <f>HYPERLINK("http://www.ensembl.org/id/WBGene00269392", "WBGene00269392")</f>
        <v>WBGene00269392</v>
      </c>
      <c r="B10564" s="9" t="str">
        <f>HYPERLINK("http://www.ncbi.nlm.nih.gov/gene/27307934", "27307934")</f>
        <v>27307934</v>
      </c>
      <c r="C10564" s="9"/>
      <c r="D10564" t="str">
        <f>"F54F7.14"</f>
        <v>F54F7.14</v>
      </c>
      <c r="F10564" t="s">
        <v>11</v>
      </c>
      <c r="G10564" t="s">
        <v>25</v>
      </c>
      <c r="H10564" s="12">
        <v>-1.3278087134250101</v>
      </c>
      <c r="I10564" s="20">
        <v>-0.723051300838081</v>
      </c>
      <c r="J10564" s="28">
        <v>0.46964836702574603</v>
      </c>
      <c r="K10564" s="29">
        <v>0.98289565623980701</v>
      </c>
    </row>
    <row r="10565" spans="1:11" x14ac:dyDescent="0.35">
      <c r="A10565" s="9" t="str">
        <f>HYPERLINK("http://www.ensembl.org/id/WBGene00010066", "WBGene00010066")</f>
        <v>WBGene00010066</v>
      </c>
      <c r="B10565" s="9" t="str">
        <f>HYPERLINK("http://www.ncbi.nlm.nih.gov/gene/186254", "186254")</f>
        <v>186254</v>
      </c>
      <c r="C10565" s="9"/>
      <c r="D10565" t="str">
        <f>"F54F7.6"</f>
        <v>F54F7.6</v>
      </c>
      <c r="F10565" t="s">
        <v>11</v>
      </c>
      <c r="G10565" t="s">
        <v>25</v>
      </c>
      <c r="H10565" s="12">
        <v>-1.3570769678688801</v>
      </c>
      <c r="I10565" s="20">
        <v>-0.99744529793385295</v>
      </c>
      <c r="J10565" s="28">
        <v>0.31854841330352202</v>
      </c>
      <c r="K10565" s="29">
        <v>0.98289565623980701</v>
      </c>
    </row>
    <row r="10566" spans="1:11" x14ac:dyDescent="0.35">
      <c r="A10566" s="9" t="str">
        <f>HYPERLINK("http://www.ensembl.org/id/WBGene00010068", "WBGene00010068")</f>
        <v>WBGene00010068</v>
      </c>
      <c r="B10566" s="9" t="str">
        <f>HYPERLINK("http://www.ncbi.nlm.nih.gov/gene/3565574", "3565574")</f>
        <v>3565574</v>
      </c>
      <c r="C10566" s="9"/>
      <c r="D10566" t="str">
        <f>"F54F7.8"</f>
        <v>F54F7.8</v>
      </c>
      <c r="F10566" t="s">
        <v>11</v>
      </c>
      <c r="H10566" s="12">
        <v>1.53719222877824</v>
      </c>
      <c r="I10566" s="20">
        <v>0.60402646015482198</v>
      </c>
      <c r="J10566" s="28">
        <v>0.545826050375401</v>
      </c>
      <c r="K10566" s="29">
        <v>0.98289565623980701</v>
      </c>
    </row>
    <row r="10567" spans="1:11" x14ac:dyDescent="0.35">
      <c r="A10567" s="9" t="str">
        <f>HYPERLINK("http://www.ensembl.org/id/WBGene00045251", "WBGene00045251")</f>
        <v>WBGene00045251</v>
      </c>
      <c r="B10567" s="9" t="str">
        <f>HYPERLINK("http://www.ncbi.nlm.nih.gov/gene/6418854", "6418854")</f>
        <v>6418854</v>
      </c>
      <c r="C10567" s="9"/>
      <c r="D10567" t="str">
        <f>"F54F7.9"</f>
        <v>F54F7.9</v>
      </c>
      <c r="F10567" t="s">
        <v>11</v>
      </c>
      <c r="H10567" s="12">
        <v>-1.1351218280803701</v>
      </c>
      <c r="I10567" s="20">
        <v>-0.451175769125508</v>
      </c>
      <c r="J10567" s="28">
        <v>0.65186287207076898</v>
      </c>
      <c r="K10567" s="29">
        <v>0.98289565623980701</v>
      </c>
    </row>
    <row r="10568" spans="1:11" x14ac:dyDescent="0.35">
      <c r="A10568" s="9" t="str">
        <f>HYPERLINK("http://www.ensembl.org/id/WBGene00014396", "WBGene00014396")</f>
        <v>WBGene00014396</v>
      </c>
      <c r="B10568" s="9"/>
      <c r="C10568" s="9"/>
      <c r="D10568" t="str">
        <f>"F54F7.t2"</f>
        <v>F54F7.t2</v>
      </c>
      <c r="F10568" t="s">
        <v>4208</v>
      </c>
      <c r="H10568" s="12">
        <v>-2.15058920746907</v>
      </c>
      <c r="I10568" s="20">
        <v>-0.99220095109430895</v>
      </c>
      <c r="J10568" s="28">
        <v>0.32109950865098102</v>
      </c>
      <c r="K10568" s="29">
        <v>0.98289565623980701</v>
      </c>
    </row>
    <row r="10569" spans="1:11" x14ac:dyDescent="0.35">
      <c r="A10569" s="9" t="str">
        <f>HYPERLINK("http://www.ensembl.org/id/WBGene00018838", "WBGene00018838")</f>
        <v>WBGene00018838</v>
      </c>
      <c r="B10569" s="9" t="str">
        <f>HYPERLINK("http://www.ncbi.nlm.nih.gov/gene/186260", "186260")</f>
        <v>186260</v>
      </c>
      <c r="C10569" s="9"/>
      <c r="D10569" t="str">
        <f>"F54G2.2"</f>
        <v>F54G2.2</v>
      </c>
      <c r="F10569" t="s">
        <v>11</v>
      </c>
      <c r="G10569" t="s">
        <v>4801</v>
      </c>
      <c r="H10569" s="12">
        <v>1.36777587191882</v>
      </c>
      <c r="I10569" s="20">
        <v>0.78746488061838504</v>
      </c>
      <c r="J10569" s="28">
        <v>0.43100977917164202</v>
      </c>
      <c r="K10569" s="29">
        <v>0.98289565623980701</v>
      </c>
    </row>
    <row r="10570" spans="1:11" x14ac:dyDescent="0.35">
      <c r="A10570" s="9" t="str">
        <f>HYPERLINK("http://www.ensembl.org/id/WBGene00200904", "WBGene00200904")</f>
        <v>WBGene00200904</v>
      </c>
      <c r="B10570" s="9"/>
      <c r="C10570" s="9"/>
      <c r="D10570" t="str">
        <f>"F54G8.8"</f>
        <v>F54G8.8</v>
      </c>
      <c r="F10570" t="s">
        <v>481</v>
      </c>
      <c r="H10570" s="12">
        <v>2.3893468495514898</v>
      </c>
      <c r="I10570" s="20">
        <v>0.25323547253672701</v>
      </c>
      <c r="J10570" s="28">
        <v>0.80008625651646104</v>
      </c>
      <c r="K10570" s="29">
        <v>0.98289565623980701</v>
      </c>
    </row>
    <row r="10571" spans="1:11" x14ac:dyDescent="0.35">
      <c r="A10571" s="9" t="str">
        <f>HYPERLINK("http://www.ensembl.org/id/WBGene00018845", "WBGene00018845")</f>
        <v>WBGene00018845</v>
      </c>
      <c r="B10571" s="9" t="str">
        <f>HYPERLINK("http://www.ncbi.nlm.nih.gov/gene/186269", "186269")</f>
        <v>186269</v>
      </c>
      <c r="C10571" s="9"/>
      <c r="D10571" t="str">
        <f>"F54H12.5"</f>
        <v>F54H12.5</v>
      </c>
      <c r="F10571" t="s">
        <v>11</v>
      </c>
      <c r="G10571" t="s">
        <v>8998</v>
      </c>
      <c r="H10571" s="12">
        <v>-1.2125129652847699</v>
      </c>
      <c r="I10571" s="20">
        <v>-0.61641677760316005</v>
      </c>
      <c r="J10571" s="28">
        <v>0.537619482966883</v>
      </c>
      <c r="K10571" s="29">
        <v>0.98289565623980701</v>
      </c>
    </row>
    <row r="10572" spans="1:11" x14ac:dyDescent="0.35">
      <c r="A10572" s="9" t="str">
        <f>HYPERLINK("http://www.ensembl.org/id/WBGene00044633", "WBGene00044633")</f>
        <v>WBGene00044633</v>
      </c>
      <c r="B10572" s="9" t="str">
        <f>HYPERLINK("http://www.ncbi.nlm.nih.gov/gene/3896758", "3896758")</f>
        <v>3896758</v>
      </c>
      <c r="C10572" s="9"/>
      <c r="D10572" t="str">
        <f>"F54H12.7"</f>
        <v>F54H12.7</v>
      </c>
      <c r="F10572" t="s">
        <v>11</v>
      </c>
      <c r="G10572" t="s">
        <v>25</v>
      </c>
      <c r="H10572" s="12">
        <v>1.3700254755858099</v>
      </c>
      <c r="I10572" s="20">
        <v>0.430609711489714</v>
      </c>
      <c r="J10572" s="28">
        <v>0.66675217863131397</v>
      </c>
      <c r="K10572" s="29">
        <v>0.98289565623980701</v>
      </c>
    </row>
    <row r="10573" spans="1:11" x14ac:dyDescent="0.35">
      <c r="A10573" s="9" t="str">
        <f>HYPERLINK("http://www.ensembl.org/id/WBGene00045247", "WBGene00045247")</f>
        <v>WBGene00045247</v>
      </c>
      <c r="B10573" s="9" t="str">
        <f>HYPERLINK("http://www.ncbi.nlm.nih.gov/gene/6418653", "6418653")</f>
        <v>6418653</v>
      </c>
      <c r="C10573" s="9"/>
      <c r="D10573" t="str">
        <f>"F54H12.8"</f>
        <v>F54H12.8</v>
      </c>
      <c r="F10573" t="s">
        <v>11</v>
      </c>
      <c r="G10573" t="s">
        <v>25</v>
      </c>
      <c r="H10573" s="12">
        <v>2.1047425177344699</v>
      </c>
      <c r="I10573" s="20">
        <v>0.54673283609594703</v>
      </c>
      <c r="J10573" s="28">
        <v>0.58456229174799501</v>
      </c>
      <c r="K10573" s="29">
        <v>0.98289565623980701</v>
      </c>
    </row>
    <row r="10574" spans="1:11" x14ac:dyDescent="0.35">
      <c r="A10574" s="9" t="str">
        <f>HYPERLINK("http://www.ensembl.org/id/WBGene00201864", "WBGene00201864")</f>
        <v>WBGene00201864</v>
      </c>
      <c r="B10574" s="9"/>
      <c r="C10574" s="9"/>
      <c r="D10574" t="str">
        <f>"F54H5.12"</f>
        <v>F54H5.12</v>
      </c>
      <c r="F10574" t="s">
        <v>481</v>
      </c>
      <c r="H10574" s="12">
        <v>2.4578120077400301</v>
      </c>
      <c r="I10574" s="20">
        <v>0.26093350314551</v>
      </c>
      <c r="J10574" s="28">
        <v>0.79414378780213601</v>
      </c>
      <c r="K10574" s="29">
        <v>0.98289565623980701</v>
      </c>
    </row>
    <row r="10575" spans="1:11" x14ac:dyDescent="0.35">
      <c r="A10575" s="9" t="str">
        <f>HYPERLINK("http://www.ensembl.org/id/WBGene00255600", "WBGene00255600")</f>
        <v>WBGene00255600</v>
      </c>
      <c r="B10575" s="9" t="str">
        <f>HYPERLINK("http://www.ncbi.nlm.nih.gov/gene/25502981", "25502981")</f>
        <v>25502981</v>
      </c>
      <c r="C10575" s="9"/>
      <c r="D10575" t="str">
        <f>"F54H5.14"</f>
        <v>F54H5.14</v>
      </c>
      <c r="F10575" t="s">
        <v>11</v>
      </c>
      <c r="G10575" t="s">
        <v>2037</v>
      </c>
      <c r="H10575" s="12">
        <v>-1.09347326116281</v>
      </c>
      <c r="I10575" s="20">
        <v>-0.28056648979308002</v>
      </c>
      <c r="J10575" s="28">
        <v>0.77904292128063402</v>
      </c>
      <c r="K10575" s="29">
        <v>0.98289565623980701</v>
      </c>
    </row>
    <row r="10576" spans="1:11" x14ac:dyDescent="0.35">
      <c r="A10576" s="9" t="str">
        <f>HYPERLINK("http://www.ensembl.org/id/WBGene00018839", "WBGene00018839")</f>
        <v>WBGene00018839</v>
      </c>
      <c r="B10576" s="9" t="str">
        <f>HYPERLINK("http://www.ncbi.nlm.nih.gov/gene/186263", "186263")</f>
        <v>186263</v>
      </c>
      <c r="C10576" s="9"/>
      <c r="D10576" t="str">
        <f>"F54H5.2"</f>
        <v>F54H5.2</v>
      </c>
      <c r="F10576" t="s">
        <v>11</v>
      </c>
      <c r="G10576" t="s">
        <v>1763</v>
      </c>
      <c r="H10576" s="12">
        <v>1.6241797617334599</v>
      </c>
      <c r="I10576" s="20">
        <v>0.34984394171345301</v>
      </c>
      <c r="J10576" s="28">
        <v>0.72645581957804695</v>
      </c>
      <c r="K10576" s="29">
        <v>0.98289565623980701</v>
      </c>
    </row>
    <row r="10577" spans="1:11" x14ac:dyDescent="0.35">
      <c r="A10577" s="9" t="str">
        <f>HYPERLINK("http://www.ensembl.org/id/WBGene00018841", "WBGene00018841")</f>
        <v>WBGene00018841</v>
      </c>
      <c r="B10577" s="9" t="str">
        <f>HYPERLINK("http://www.ncbi.nlm.nih.gov/gene/186265", "186265")</f>
        <v>186265</v>
      </c>
      <c r="C10577" s="9"/>
      <c r="D10577" t="str">
        <f>"F54H5.5"</f>
        <v>F54H5.5</v>
      </c>
      <c r="F10577" t="s">
        <v>11</v>
      </c>
      <c r="H10577" s="12">
        <v>-4.1588153141782804</v>
      </c>
      <c r="I10577" s="20">
        <v>-0.90441687513458602</v>
      </c>
      <c r="J10577" s="28">
        <v>0.365774393381253</v>
      </c>
      <c r="K10577" s="29">
        <v>0.98289565623980701</v>
      </c>
    </row>
    <row r="10578" spans="1:11" x14ac:dyDescent="0.35">
      <c r="A10578" s="9" t="str">
        <f>HYPERLINK("http://www.ensembl.org/id/WBGene00201073", "WBGene00201073")</f>
        <v>WBGene00201073</v>
      </c>
      <c r="B10578" s="9"/>
      <c r="C10578" s="9"/>
      <c r="D10578" t="str">
        <f>"F54H5.9"</f>
        <v>F54H5.9</v>
      </c>
      <c r="F10578" t="s">
        <v>481</v>
      </c>
      <c r="H10578" s="12">
        <v>-3.7261494131482999</v>
      </c>
      <c r="I10578" s="20">
        <v>-0.38454673129429601</v>
      </c>
      <c r="J10578" s="28">
        <v>0.70057326682554</v>
      </c>
      <c r="K10578" s="29">
        <v>0.98289565623980701</v>
      </c>
    </row>
    <row r="10579" spans="1:11" x14ac:dyDescent="0.35">
      <c r="A10579" s="9" t="str">
        <f>HYPERLINK("http://www.ensembl.org/id/WBGene00010075", "WBGene00010075")</f>
        <v>WBGene00010075</v>
      </c>
      <c r="B10579" s="9" t="str">
        <f>HYPERLINK("http://www.ncbi.nlm.nih.gov/gene/179610", "179610")</f>
        <v>179610</v>
      </c>
      <c r="C10579" s="9" t="str">
        <f>HYPERLINK("http://www.ncbi.nlm.nih.gov/gene/90411", "90411")</f>
        <v>90411</v>
      </c>
      <c r="D10579" t="str">
        <f>"F55A11.1"</f>
        <v>F55A11.1</v>
      </c>
      <c r="F10579" t="s">
        <v>11</v>
      </c>
      <c r="G10579" t="s">
        <v>325</v>
      </c>
      <c r="H10579" s="12">
        <v>-1.17002623993235</v>
      </c>
      <c r="I10579" s="20">
        <v>-0.82792949032827301</v>
      </c>
      <c r="J10579" s="28">
        <v>0.40771043260231998</v>
      </c>
      <c r="K10579" s="29">
        <v>0.98289565623980701</v>
      </c>
    </row>
    <row r="10580" spans="1:11" x14ac:dyDescent="0.35">
      <c r="A10580" s="9" t="str">
        <f>HYPERLINK("http://www.ensembl.org/id/WBGene00014397", "WBGene00014397")</f>
        <v>WBGene00014397</v>
      </c>
      <c r="B10580" s="9"/>
      <c r="C10580" s="9"/>
      <c r="D10580" t="str">
        <f>"F55A11.10"</f>
        <v>F55A11.10</v>
      </c>
      <c r="F10580" t="s">
        <v>2977</v>
      </c>
      <c r="H10580" s="12">
        <v>3.5227018545059199</v>
      </c>
      <c r="I10580" s="20">
        <v>0.36849691206929103</v>
      </c>
      <c r="J10580" s="28">
        <v>0.71250274722433404</v>
      </c>
      <c r="K10580" s="29">
        <v>0.98289565623980701</v>
      </c>
    </row>
    <row r="10581" spans="1:11" x14ac:dyDescent="0.35">
      <c r="A10581" s="9" t="str">
        <f>HYPERLINK("http://www.ensembl.org/id/WBGene00199710", "WBGene00199710")</f>
        <v>WBGene00199710</v>
      </c>
      <c r="B10581" s="9"/>
      <c r="C10581" s="9"/>
      <c r="D10581" t="str">
        <f>"F55A12.15"</f>
        <v>F55A12.15</v>
      </c>
      <c r="F10581" t="s">
        <v>481</v>
      </c>
      <c r="H10581" s="12">
        <v>3.5227018545059199</v>
      </c>
      <c r="I10581" s="20">
        <v>0.36849691206929103</v>
      </c>
      <c r="J10581" s="28">
        <v>0.71250274722433404</v>
      </c>
      <c r="K10581" s="29">
        <v>0.98289565623980701</v>
      </c>
    </row>
    <row r="10582" spans="1:11" x14ac:dyDescent="0.35">
      <c r="A10582" s="9" t="str">
        <f>HYPERLINK("http://www.ensembl.org/id/WBGene00200300", "WBGene00200300")</f>
        <v>WBGene00200300</v>
      </c>
      <c r="B10582" s="9"/>
      <c r="C10582" s="9"/>
      <c r="D10582" t="str">
        <f>"F55A12.16"</f>
        <v>F55A12.16</v>
      </c>
      <c r="F10582" t="s">
        <v>481</v>
      </c>
      <c r="H10582" s="12">
        <v>3.5227018545059199</v>
      </c>
      <c r="I10582" s="20">
        <v>0.36849691206929103</v>
      </c>
      <c r="J10582" s="28">
        <v>0.71250274722433404</v>
      </c>
      <c r="K10582" s="29">
        <v>0.98289565623980701</v>
      </c>
    </row>
    <row r="10583" spans="1:11" x14ac:dyDescent="0.35">
      <c r="A10583" s="9" t="str">
        <f>HYPERLINK("http://www.ensembl.org/id/WBGene00018863", "WBGene00018863")</f>
        <v>WBGene00018863</v>
      </c>
      <c r="B10583" s="9" t="str">
        <f>HYPERLINK("http://www.ncbi.nlm.nih.gov/gene/172185", "172185")</f>
        <v>172185</v>
      </c>
      <c r="C10583" s="9"/>
      <c r="D10583" t="str">
        <f>"F55A12.2"</f>
        <v>F55A12.2</v>
      </c>
      <c r="F10583" t="s">
        <v>11</v>
      </c>
      <c r="G10583" t="s">
        <v>25</v>
      </c>
      <c r="H10583" s="12">
        <v>-1.18758989979902</v>
      </c>
      <c r="I10583" s="20">
        <v>-0.52434381789787898</v>
      </c>
      <c r="J10583" s="28">
        <v>0.600039425319563</v>
      </c>
      <c r="K10583" s="29">
        <v>0.98289565623980701</v>
      </c>
    </row>
    <row r="10584" spans="1:11" x14ac:dyDescent="0.35">
      <c r="A10584" s="9" t="str">
        <f>HYPERLINK("http://www.ensembl.org/id/WBGene00018851", "WBGene00018851")</f>
        <v>WBGene00018851</v>
      </c>
      <c r="B10584" s="9" t="str">
        <f>HYPERLINK("http://www.ncbi.nlm.nih.gov/gene/186271", "186271")</f>
        <v>186271</v>
      </c>
      <c r="C10584" s="9"/>
      <c r="D10584" t="str">
        <f>"F55A3.6"</f>
        <v>F55A3.6</v>
      </c>
      <c r="F10584" t="s">
        <v>11</v>
      </c>
      <c r="H10584" s="12">
        <v>-2.3431407847774102</v>
      </c>
      <c r="I10584" s="20">
        <v>-0.51593679260236303</v>
      </c>
      <c r="J10584" s="28">
        <v>0.60589855592427899</v>
      </c>
      <c r="K10584" s="29">
        <v>0.98289565623980701</v>
      </c>
    </row>
    <row r="10585" spans="1:11" x14ac:dyDescent="0.35">
      <c r="A10585" s="9" t="str">
        <f>HYPERLINK("http://www.ensembl.org/id/WBGene00018852", "WBGene00018852")</f>
        <v>WBGene00018852</v>
      </c>
      <c r="B10585" s="9"/>
      <c r="C10585" s="9"/>
      <c r="D10585" t="str">
        <f>"F55A3.7"</f>
        <v>F55A3.7</v>
      </c>
      <c r="F10585" t="s">
        <v>80</v>
      </c>
      <c r="H10585" s="12">
        <v>-1.5306689480275799</v>
      </c>
      <c r="I10585" s="20">
        <v>-0.429718981928294</v>
      </c>
      <c r="J10585" s="28">
        <v>0.66740007372882304</v>
      </c>
      <c r="K10585" s="29">
        <v>0.98289565623980701</v>
      </c>
    </row>
    <row r="10586" spans="1:11" x14ac:dyDescent="0.35">
      <c r="A10586" s="9" t="str">
        <f>HYPERLINK("http://www.ensembl.org/id/WBGene00197873", "WBGene00197873")</f>
        <v>WBGene00197873</v>
      </c>
      <c r="B10586" s="9"/>
      <c r="C10586" s="9"/>
      <c r="D10586" t="str">
        <f>"F55A4.12"</f>
        <v>F55A4.12</v>
      </c>
      <c r="F10586" t="s">
        <v>481</v>
      </c>
      <c r="H10586" s="12">
        <v>2.3893468495514898</v>
      </c>
      <c r="I10586" s="20">
        <v>0.25323547253672701</v>
      </c>
      <c r="J10586" s="28">
        <v>0.80008625651646104</v>
      </c>
      <c r="K10586" s="29">
        <v>0.98289565623980701</v>
      </c>
    </row>
    <row r="10587" spans="1:11" x14ac:dyDescent="0.35">
      <c r="A10587" s="9" t="str">
        <f>HYPERLINK("http://www.ensembl.org/id/WBGene00018856", "WBGene00018856")</f>
        <v>WBGene00018856</v>
      </c>
      <c r="B10587" s="9"/>
      <c r="C10587" s="9"/>
      <c r="D10587" t="str">
        <f>"F55A4.4"</f>
        <v>F55A4.4</v>
      </c>
      <c r="F10587" t="s">
        <v>80</v>
      </c>
      <c r="H10587" s="12">
        <v>1.2507874556095799</v>
      </c>
      <c r="I10587" s="20">
        <v>0.53816976769056202</v>
      </c>
      <c r="J10587" s="28">
        <v>0.59045984975522603</v>
      </c>
      <c r="K10587" s="29">
        <v>0.98289565623980701</v>
      </c>
    </row>
    <row r="10588" spans="1:11" x14ac:dyDescent="0.35">
      <c r="A10588" s="9" t="str">
        <f>HYPERLINK("http://www.ensembl.org/id/WBGene00198086", "WBGene00198086")</f>
        <v>WBGene00198086</v>
      </c>
      <c r="B10588" s="9"/>
      <c r="C10588" s="9"/>
      <c r="D10588" t="str">
        <f>"F55A8.5"</f>
        <v>F55A8.5</v>
      </c>
      <c r="F10588" t="s">
        <v>481</v>
      </c>
      <c r="H10588" s="12">
        <v>-5.5794491025289696</v>
      </c>
      <c r="I10588" s="20">
        <v>-0.504738274115201</v>
      </c>
      <c r="J10588" s="28">
        <v>0.61374267489732603</v>
      </c>
      <c r="K10588" s="29">
        <v>0.98289565623980701</v>
      </c>
    </row>
    <row r="10589" spans="1:11" x14ac:dyDescent="0.35">
      <c r="A10589" s="9" t="str">
        <f>HYPERLINK("http://www.ensembl.org/id/WBGene00010084", "WBGene00010084")</f>
        <v>WBGene00010084</v>
      </c>
      <c r="B10589" s="9" t="str">
        <f>HYPERLINK("http://www.ncbi.nlm.nih.gov/gene/178382", "178382")</f>
        <v>178382</v>
      </c>
      <c r="C10589" s="9"/>
      <c r="D10589" t="str">
        <f>"F55B11.2"</f>
        <v>F55B11.2</v>
      </c>
      <c r="F10589" t="s">
        <v>11</v>
      </c>
      <c r="H10589" s="12">
        <v>-1.2188955424638701</v>
      </c>
      <c r="I10589" s="20">
        <v>-1.0919633680240299</v>
      </c>
      <c r="J10589" s="28">
        <v>0.27484920277192398</v>
      </c>
      <c r="K10589" s="29">
        <v>0.98289565623980701</v>
      </c>
    </row>
    <row r="10590" spans="1:11" x14ac:dyDescent="0.35">
      <c r="A10590" s="9" t="str">
        <f>HYPERLINK("http://www.ensembl.org/id/WBGene00010085", "WBGene00010085")</f>
        <v>WBGene00010085</v>
      </c>
      <c r="B10590" s="9" t="str">
        <f>HYPERLINK("http://www.ncbi.nlm.nih.gov/gene/178383", "178383")</f>
        <v>178383</v>
      </c>
      <c r="C10590" s="9"/>
      <c r="D10590" t="str">
        <f>"F55B11.3"</f>
        <v>F55B11.3</v>
      </c>
      <c r="F10590" t="s">
        <v>11</v>
      </c>
      <c r="H10590" s="12">
        <v>-1.2061718780634401</v>
      </c>
      <c r="I10590" s="20">
        <v>-0.99760790264558397</v>
      </c>
      <c r="J10590" s="28">
        <v>0.31846952750941199</v>
      </c>
      <c r="K10590" s="29">
        <v>0.98289565623980701</v>
      </c>
    </row>
    <row r="10591" spans="1:11" x14ac:dyDescent="0.35">
      <c r="A10591" s="9" t="str">
        <f>HYPERLINK("http://www.ensembl.org/id/WBGene00010087", "WBGene00010087")</f>
        <v>WBGene00010087</v>
      </c>
      <c r="B10591" s="9" t="str">
        <f>HYPERLINK("http://www.ncbi.nlm.nih.gov/gene/3565591", "3565591")</f>
        <v>3565591</v>
      </c>
      <c r="C10591" s="9"/>
      <c r="D10591" t="str">
        <f>"F55B11.5"</f>
        <v>F55B11.5</v>
      </c>
      <c r="F10591" t="s">
        <v>11</v>
      </c>
      <c r="H10591" s="12">
        <v>-1.24098151316494</v>
      </c>
      <c r="I10591" s="20">
        <v>-1.05492264057565</v>
      </c>
      <c r="J10591" s="28">
        <v>0.29146070660921702</v>
      </c>
      <c r="K10591" s="29">
        <v>0.98289565623980701</v>
      </c>
    </row>
    <row r="10592" spans="1:11" x14ac:dyDescent="0.35">
      <c r="A10592" s="9" t="str">
        <f>HYPERLINK("http://www.ensembl.org/id/WBGene00044249", "WBGene00044249")</f>
        <v>WBGene00044249</v>
      </c>
      <c r="B10592" s="9" t="str">
        <f>HYPERLINK("http://www.ncbi.nlm.nih.gov/gene/3565995", "3565995")</f>
        <v>3565995</v>
      </c>
      <c r="C10592" s="9"/>
      <c r="D10592" t="str">
        <f>"F55B11.6"</f>
        <v>F55B11.6</v>
      </c>
      <c r="F10592" t="s">
        <v>11</v>
      </c>
      <c r="H10592" s="12">
        <v>1.4505471714609901</v>
      </c>
      <c r="I10592" s="20">
        <v>0.81715162047214995</v>
      </c>
      <c r="J10592" s="28">
        <v>0.41384178621789403</v>
      </c>
      <c r="K10592" s="29">
        <v>0.98289565623980701</v>
      </c>
    </row>
    <row r="10593" spans="1:11" x14ac:dyDescent="0.35">
      <c r="A10593" s="9" t="str">
        <f>HYPERLINK("http://www.ensembl.org/id/WBGene00077439", "WBGene00077439")</f>
        <v>WBGene00077439</v>
      </c>
      <c r="B10593" s="9" t="str">
        <f>HYPERLINK("http://www.ncbi.nlm.nih.gov/gene/6418745", "6418745")</f>
        <v>6418745</v>
      </c>
      <c r="C10593" s="9"/>
      <c r="D10593" t="str">
        <f>"F55B12.10"</f>
        <v>F55B12.10</v>
      </c>
      <c r="F10593" t="s">
        <v>11</v>
      </c>
      <c r="H10593" s="12">
        <v>1.1716536996255</v>
      </c>
      <c r="I10593" s="20">
        <v>0.33645971027671701</v>
      </c>
      <c r="J10593" s="28">
        <v>0.73652422887761604</v>
      </c>
      <c r="K10593" s="29">
        <v>0.98289565623980701</v>
      </c>
    </row>
    <row r="10594" spans="1:11" x14ac:dyDescent="0.35">
      <c r="A10594" s="9" t="str">
        <f>HYPERLINK("http://www.ensembl.org/id/WBGene00010088", "WBGene00010088")</f>
        <v>WBGene00010088</v>
      </c>
      <c r="B10594" s="9" t="str">
        <f>HYPERLINK("http://www.ncbi.nlm.nih.gov/gene/186281", "186281")</f>
        <v>186281</v>
      </c>
      <c r="C10594" s="9"/>
      <c r="D10594" t="str">
        <f>"F55B12.2"</f>
        <v>F55B12.2</v>
      </c>
      <c r="F10594" t="s">
        <v>11</v>
      </c>
      <c r="G10594" t="s">
        <v>3419</v>
      </c>
      <c r="H10594" s="12">
        <v>4.2359172472029503</v>
      </c>
      <c r="I10594" s="20">
        <v>0.80022127717256297</v>
      </c>
      <c r="J10594" s="28">
        <v>0.42358260425921901</v>
      </c>
      <c r="K10594" s="29">
        <v>0.98289565623980701</v>
      </c>
    </row>
    <row r="10595" spans="1:11" x14ac:dyDescent="0.35">
      <c r="A10595" s="9" t="str">
        <f>HYPERLINK("http://www.ensembl.org/id/WBGene00200032", "WBGene00200032")</f>
        <v>WBGene00200032</v>
      </c>
      <c r="B10595" s="9"/>
      <c r="C10595" s="9"/>
      <c r="D10595" t="str">
        <f>"F55C10.10"</f>
        <v>F55C10.10</v>
      </c>
      <c r="F10595" t="s">
        <v>481</v>
      </c>
      <c r="H10595" s="12">
        <v>4.6387698961716399</v>
      </c>
      <c r="I10595" s="20">
        <v>0.44985450087338802</v>
      </c>
      <c r="J10595" s="28">
        <v>0.65281535672642099</v>
      </c>
      <c r="K10595" s="29">
        <v>0.98289565623980701</v>
      </c>
    </row>
    <row r="10596" spans="1:11" x14ac:dyDescent="0.35">
      <c r="A10596" s="9" t="str">
        <f>HYPERLINK("http://www.ensembl.org/id/WBGene00196237", "WBGene00196237")</f>
        <v>WBGene00196237</v>
      </c>
      <c r="B10596" s="9"/>
      <c r="C10596" s="9"/>
      <c r="D10596" t="str">
        <f>"F55C10.8"</f>
        <v>F55C10.8</v>
      </c>
      <c r="F10596" t="s">
        <v>481</v>
      </c>
      <c r="H10596" s="12">
        <v>2.3893468495514898</v>
      </c>
      <c r="I10596" s="20">
        <v>0.25323547253672701</v>
      </c>
      <c r="J10596" s="28">
        <v>0.80008625651646104</v>
      </c>
      <c r="K10596" s="29">
        <v>0.98289565623980701</v>
      </c>
    </row>
    <row r="10597" spans="1:11" x14ac:dyDescent="0.35">
      <c r="A10597" s="9" t="str">
        <f>HYPERLINK("http://www.ensembl.org/id/WBGene00196578", "WBGene00196578")</f>
        <v>WBGene00196578</v>
      </c>
      <c r="B10597" s="9"/>
      <c r="C10597" s="9"/>
      <c r="D10597" t="str">
        <f>"F55C12.10"</f>
        <v>F55C12.10</v>
      </c>
      <c r="F10597" t="s">
        <v>481</v>
      </c>
      <c r="H10597" s="12">
        <v>-3.7261494131482999</v>
      </c>
      <c r="I10597" s="20">
        <v>-0.38454673129429601</v>
      </c>
      <c r="J10597" s="28">
        <v>0.70057326682554</v>
      </c>
      <c r="K10597" s="29">
        <v>0.98289565623980701</v>
      </c>
    </row>
    <row r="10598" spans="1:11" x14ac:dyDescent="0.35">
      <c r="A10598" s="9" t="str">
        <f>HYPERLINK("http://www.ensembl.org/id/WBGene00201284", "WBGene00201284")</f>
        <v>WBGene00201284</v>
      </c>
      <c r="B10598" s="9"/>
      <c r="C10598" s="9"/>
      <c r="D10598" t="str">
        <f>"F55C12.14"</f>
        <v>F55C12.14</v>
      </c>
      <c r="F10598" t="s">
        <v>481</v>
      </c>
      <c r="H10598" s="12">
        <v>-4.7167679298615104</v>
      </c>
      <c r="I10598" s="20">
        <v>-0.454742638005115</v>
      </c>
      <c r="J10598" s="28">
        <v>0.64929440216969203</v>
      </c>
      <c r="K10598" s="29">
        <v>0.98289565623980701</v>
      </c>
    </row>
    <row r="10599" spans="1:11" x14ac:dyDescent="0.35">
      <c r="A10599" s="9" t="str">
        <f>HYPERLINK("http://www.ensembl.org/id/WBGene00201294", "WBGene00201294")</f>
        <v>WBGene00201294</v>
      </c>
      <c r="B10599" s="9"/>
      <c r="C10599" s="9"/>
      <c r="D10599" t="str">
        <f>"F55C12.15"</f>
        <v>F55C12.15</v>
      </c>
      <c r="F10599" t="s">
        <v>481</v>
      </c>
      <c r="H10599" s="12">
        <v>5.6412768060459904</v>
      </c>
      <c r="I10599" s="20">
        <v>0.94551799223605903</v>
      </c>
      <c r="J10599" s="28">
        <v>0.3443944896401</v>
      </c>
      <c r="K10599" s="29">
        <v>0.98289565623980701</v>
      </c>
    </row>
    <row r="10600" spans="1:11" x14ac:dyDescent="0.35">
      <c r="A10600" s="9" t="str">
        <f>HYPERLINK("http://www.ensembl.org/id/WBGene00202105", "WBGene00202105")</f>
        <v>WBGene00202105</v>
      </c>
      <c r="B10600" s="9"/>
      <c r="C10600" s="9"/>
      <c r="D10600" t="str">
        <f>"F55C12.17"</f>
        <v>F55C12.17</v>
      </c>
      <c r="F10600" t="s">
        <v>481</v>
      </c>
      <c r="H10600" s="12">
        <v>5.4058944669092801</v>
      </c>
      <c r="I10600" s="20">
        <v>0.49762513753689303</v>
      </c>
      <c r="J10600" s="28">
        <v>0.61874828254921799</v>
      </c>
      <c r="K10600" s="29">
        <v>0.98289565623980701</v>
      </c>
    </row>
    <row r="10601" spans="1:11" x14ac:dyDescent="0.35">
      <c r="A10601" s="9" t="str">
        <f>HYPERLINK("http://www.ensembl.org/id/WBGene00271817", "WBGene00271817")</f>
        <v>WBGene00271817</v>
      </c>
      <c r="B10601" s="9" t="str">
        <f>HYPERLINK("http://www.ncbi.nlm.nih.gov/gene/34700631", "34700631")</f>
        <v>34700631</v>
      </c>
      <c r="C10601" s="9"/>
      <c r="D10601" t="str">
        <f>"F55C12.19"</f>
        <v>F55C12.19</v>
      </c>
      <c r="F10601" t="s">
        <v>11</v>
      </c>
      <c r="G10601" t="s">
        <v>25</v>
      </c>
      <c r="H10601" s="12">
        <v>-1.52653276308599</v>
      </c>
      <c r="I10601" s="20">
        <v>-0.94362193597688504</v>
      </c>
      <c r="J10601" s="28">
        <v>0.34536287855443698</v>
      </c>
      <c r="K10601" s="29">
        <v>0.98289565623980701</v>
      </c>
    </row>
    <row r="10602" spans="1:11" x14ac:dyDescent="0.35">
      <c r="A10602" s="9" t="str">
        <f>HYPERLINK("http://www.ensembl.org/id/WBGene00018870", "WBGene00018870")</f>
        <v>WBGene00018870</v>
      </c>
      <c r="B10602" s="9" t="str">
        <f>HYPERLINK("http://www.ncbi.nlm.nih.gov/gene/186302", "186302")</f>
        <v>186302</v>
      </c>
      <c r="C10602" s="9"/>
      <c r="D10602" t="str">
        <f>"F55C12.2"</f>
        <v>F55C12.2</v>
      </c>
      <c r="F10602" t="s">
        <v>11</v>
      </c>
      <c r="H10602" s="12">
        <v>-4.6356746722357496</v>
      </c>
      <c r="I10602" s="20">
        <v>-0.56585702710240804</v>
      </c>
      <c r="J10602" s="28">
        <v>0.57149097618954103</v>
      </c>
      <c r="K10602" s="29">
        <v>0.98289565623980701</v>
      </c>
    </row>
    <row r="10603" spans="1:11" x14ac:dyDescent="0.35">
      <c r="A10603" s="9" t="str">
        <f>HYPERLINK("http://www.ensembl.org/id/WBGene00018872", "WBGene00018872")</f>
        <v>WBGene00018872</v>
      </c>
      <c r="B10603" s="9" t="str">
        <f>HYPERLINK("http://www.ncbi.nlm.nih.gov/gene/173997", "173997")</f>
        <v>173997</v>
      </c>
      <c r="C10603" s="9"/>
      <c r="D10603" t="str">
        <f>"F55C12.5"</f>
        <v>F55C12.5</v>
      </c>
      <c r="F10603" t="s">
        <v>11</v>
      </c>
      <c r="G10603" t="s">
        <v>6642</v>
      </c>
      <c r="H10603" s="12">
        <v>-1.0825072080790199</v>
      </c>
      <c r="I10603" s="20">
        <v>-0.43699813265501902</v>
      </c>
      <c r="J10603" s="28">
        <v>0.66211270228095098</v>
      </c>
      <c r="K10603" s="29">
        <v>0.98289565623980701</v>
      </c>
    </row>
    <row r="10604" spans="1:11" x14ac:dyDescent="0.35">
      <c r="A10604" s="9" t="str">
        <f>HYPERLINK("http://www.ensembl.org/id/WBGene00195971", "WBGene00195971")</f>
        <v>WBGene00195971</v>
      </c>
      <c r="B10604" s="9"/>
      <c r="C10604" s="9"/>
      <c r="D10604" t="str">
        <f>"F55C5.12"</f>
        <v>F55C5.12</v>
      </c>
      <c r="F10604" t="s">
        <v>481</v>
      </c>
      <c r="H10604" s="12">
        <v>5.2322000618327396</v>
      </c>
      <c r="I10604" s="20">
        <v>0.486112489888328</v>
      </c>
      <c r="J10604" s="28">
        <v>0.62688741196182496</v>
      </c>
      <c r="K10604" s="29">
        <v>0.98289565623980701</v>
      </c>
    </row>
    <row r="10605" spans="1:11" x14ac:dyDescent="0.35">
      <c r="A10605" s="9" t="str">
        <f>HYPERLINK("http://www.ensembl.org/id/WBGene00196838", "WBGene00196838")</f>
        <v>WBGene00196838</v>
      </c>
      <c r="B10605" s="9"/>
      <c r="C10605" s="9"/>
      <c r="D10605" t="str">
        <f>"F55C5.14"</f>
        <v>F55C5.14</v>
      </c>
      <c r="F10605" t="s">
        <v>481</v>
      </c>
      <c r="H10605" s="12">
        <v>-2.4991590031922399</v>
      </c>
      <c r="I10605" s="20">
        <v>-0.26577412737581302</v>
      </c>
      <c r="J10605" s="28">
        <v>0.79041317015736101</v>
      </c>
      <c r="K10605" s="29">
        <v>0.98289565623980701</v>
      </c>
    </row>
    <row r="10606" spans="1:11" x14ac:dyDescent="0.35">
      <c r="A10606" s="9" t="str">
        <f>HYPERLINK("http://www.ensembl.org/id/WBGene00201677", "WBGene00201677")</f>
        <v>WBGene00201677</v>
      </c>
      <c r="B10606" s="9"/>
      <c r="C10606" s="9"/>
      <c r="D10606" t="str">
        <f>"F55C5.16"</f>
        <v>F55C5.16</v>
      </c>
      <c r="F10606" t="s">
        <v>481</v>
      </c>
      <c r="H10606" s="12">
        <v>2.3893468495514898</v>
      </c>
      <c r="I10606" s="20">
        <v>0.25323547253672701</v>
      </c>
      <c r="J10606" s="28">
        <v>0.80008625651646104</v>
      </c>
      <c r="K10606" s="29">
        <v>0.98289565623980701</v>
      </c>
    </row>
    <row r="10607" spans="1:11" x14ac:dyDescent="0.35">
      <c r="A10607" s="9" t="str">
        <f>HYPERLINK("http://www.ensembl.org/id/WBGene00010092", "WBGene00010092")</f>
        <v>WBGene00010092</v>
      </c>
      <c r="B10607" s="9"/>
      <c r="C10607" s="9"/>
      <c r="D10607" t="str">
        <f>"F55C5.2"</f>
        <v>F55C5.2</v>
      </c>
      <c r="F10607" t="s">
        <v>80</v>
      </c>
      <c r="H10607" s="12">
        <v>3.60363369526491</v>
      </c>
      <c r="I10607" s="20">
        <v>0.91218374249952205</v>
      </c>
      <c r="J10607" s="28">
        <v>0.36167200065784399</v>
      </c>
      <c r="K10607" s="29">
        <v>0.98289565623980701</v>
      </c>
    </row>
    <row r="10608" spans="1:11" x14ac:dyDescent="0.35">
      <c r="A10608" s="9" t="str">
        <f>HYPERLINK("http://www.ensembl.org/id/WBGene00010095", "WBGene00010095")</f>
        <v>WBGene00010095</v>
      </c>
      <c r="B10608" s="9"/>
      <c r="C10608" s="9"/>
      <c r="D10608" t="str">
        <f>"F55C5.6"</f>
        <v>F55C5.6</v>
      </c>
      <c r="F10608" t="s">
        <v>80</v>
      </c>
      <c r="H10608" s="12">
        <v>1.97146621891263</v>
      </c>
      <c r="I10608" s="20">
        <v>0.85696919734765797</v>
      </c>
      <c r="J10608" s="28">
        <v>0.39146190818017901</v>
      </c>
      <c r="K10608" s="29">
        <v>0.98289565623980701</v>
      </c>
    </row>
    <row r="10609" spans="1:11" x14ac:dyDescent="0.35">
      <c r="A10609" s="9" t="str">
        <f>HYPERLINK("http://www.ensembl.org/id/WBGene00010107", "WBGene00010107")</f>
        <v>WBGene00010107</v>
      </c>
      <c r="B10609" s="9" t="str">
        <f>HYPERLINK("http://www.ncbi.nlm.nih.gov/gene/186299", "186299")</f>
        <v>186299</v>
      </c>
      <c r="C10609" s="9"/>
      <c r="D10609" t="str">
        <f>"F55C9.11"</f>
        <v>F55C9.11</v>
      </c>
      <c r="F10609" t="s">
        <v>11</v>
      </c>
      <c r="G10609" t="s">
        <v>54</v>
      </c>
      <c r="H10609" s="12">
        <v>1.67410032716289</v>
      </c>
      <c r="I10609" s="20">
        <v>0.300281517235163</v>
      </c>
      <c r="J10609" s="28">
        <v>0.76396243020572796</v>
      </c>
      <c r="K10609" s="29">
        <v>0.98289565623980701</v>
      </c>
    </row>
    <row r="10610" spans="1:11" x14ac:dyDescent="0.35">
      <c r="A10610" s="9" t="str">
        <f>HYPERLINK("http://www.ensembl.org/id/WBGene00044196", "WBGene00044196")</f>
        <v>WBGene00044196</v>
      </c>
      <c r="B10610" s="9"/>
      <c r="C10610" s="9"/>
      <c r="D10610" t="str">
        <f>"F55C9.12"</f>
        <v>F55C9.12</v>
      </c>
      <c r="F10610" t="s">
        <v>80</v>
      </c>
      <c r="H10610" s="12">
        <v>12.685338163804801</v>
      </c>
      <c r="I10610" s="20">
        <v>0.81852262355899996</v>
      </c>
      <c r="J10610" s="28">
        <v>0.41305882922107201</v>
      </c>
      <c r="K10610" s="29">
        <v>0.98289565623980701</v>
      </c>
    </row>
    <row r="10611" spans="1:11" x14ac:dyDescent="0.35">
      <c r="A10611" s="9" t="str">
        <f>HYPERLINK("http://www.ensembl.org/id/WBGene00077663", "WBGene00077663")</f>
        <v>WBGene00077663</v>
      </c>
      <c r="B10611" s="9" t="str">
        <f>HYPERLINK("http://www.ncbi.nlm.nih.gov/gene/6418746", "6418746")</f>
        <v>6418746</v>
      </c>
      <c r="C10611" s="9"/>
      <c r="D10611" t="str">
        <f>"F55C9.14"</f>
        <v>F55C9.14</v>
      </c>
      <c r="F10611" t="s">
        <v>11</v>
      </c>
      <c r="G10611" t="s">
        <v>54</v>
      </c>
      <c r="H10611" s="12">
        <v>-1.5755362605971499</v>
      </c>
      <c r="I10611" s="20">
        <v>-0.59335466123408298</v>
      </c>
      <c r="J10611" s="28">
        <v>0.55294382452007595</v>
      </c>
      <c r="K10611" s="29">
        <v>0.98289565623980701</v>
      </c>
    </row>
    <row r="10612" spans="1:11" x14ac:dyDescent="0.35">
      <c r="A10612" s="9" t="str">
        <f>HYPERLINK("http://www.ensembl.org/id/WBGene00010102", "WBGene00010102")</f>
        <v>WBGene00010102</v>
      </c>
      <c r="B10612" s="9" t="str">
        <f>HYPERLINK("http://www.ncbi.nlm.nih.gov/gene/186293", "186293")</f>
        <v>186293</v>
      </c>
      <c r="C10612" s="9"/>
      <c r="D10612" t="str">
        <f>"F55C9.5"</f>
        <v>F55C9.5</v>
      </c>
      <c r="F10612" t="s">
        <v>11</v>
      </c>
      <c r="H10612" s="12">
        <v>3.4280630850694598</v>
      </c>
      <c r="I10612" s="20">
        <v>1.06885540270462</v>
      </c>
      <c r="J10612" s="28">
        <v>0.28513483020587199</v>
      </c>
      <c r="K10612" s="29">
        <v>0.98289565623980701</v>
      </c>
    </row>
    <row r="10613" spans="1:11" x14ac:dyDescent="0.35">
      <c r="A10613" s="9" t="str">
        <f>HYPERLINK("http://www.ensembl.org/id/WBGene00010103", "WBGene00010103")</f>
        <v>WBGene00010103</v>
      </c>
      <c r="B10613" s="9" t="str">
        <f>HYPERLINK("http://www.ncbi.nlm.nih.gov/gene/186294", "186294")</f>
        <v>186294</v>
      </c>
      <c r="C10613" s="9"/>
      <c r="D10613" t="str">
        <f>"F55C9.6"</f>
        <v>F55C9.6</v>
      </c>
      <c r="F10613" t="s">
        <v>11</v>
      </c>
      <c r="H10613" s="12">
        <v>2.4156404590047198</v>
      </c>
      <c r="I10613" s="20">
        <v>0.45177904991668599</v>
      </c>
      <c r="J10613" s="28">
        <v>0.65142816367359402</v>
      </c>
      <c r="K10613" s="29">
        <v>0.98289565623980701</v>
      </c>
    </row>
    <row r="10614" spans="1:11" x14ac:dyDescent="0.35">
      <c r="A10614" s="9" t="str">
        <f>HYPERLINK("http://www.ensembl.org/id/WBGene00198890", "WBGene00198890")</f>
        <v>WBGene00198890</v>
      </c>
      <c r="B10614" s="9"/>
      <c r="C10614" s="9"/>
      <c r="D10614" t="str">
        <f>"F55D1.3"</f>
        <v>F55D1.3</v>
      </c>
      <c r="F10614" t="s">
        <v>481</v>
      </c>
      <c r="H10614" s="12">
        <v>-1.7481610088236701</v>
      </c>
      <c r="I10614" s="20">
        <v>-0.25565116095521501</v>
      </c>
      <c r="J10614" s="28">
        <v>0.798220210010116</v>
      </c>
      <c r="K10614" s="29">
        <v>0.98289565623980701</v>
      </c>
    </row>
    <row r="10615" spans="1:11" x14ac:dyDescent="0.35">
      <c r="A10615" s="9" t="str">
        <f>HYPERLINK("http://www.ensembl.org/id/WBGene00018879", "WBGene00018879")</f>
        <v>WBGene00018879</v>
      </c>
      <c r="B10615" s="9" t="str">
        <f>HYPERLINK("http://www.ncbi.nlm.nih.gov/gene/186306", "186306")</f>
        <v>186306</v>
      </c>
      <c r="C10615" s="9"/>
      <c r="D10615" t="str">
        <f>"F55D10.4"</f>
        <v>F55D10.4</v>
      </c>
      <c r="F10615" t="s">
        <v>11</v>
      </c>
      <c r="G10615" t="s">
        <v>25</v>
      </c>
      <c r="H10615" s="12">
        <v>1.21305642870348</v>
      </c>
      <c r="I10615" s="20">
        <v>0.67552543953460198</v>
      </c>
      <c r="J10615" s="28">
        <v>0.499341994356511</v>
      </c>
      <c r="K10615" s="29">
        <v>0.98289565623980701</v>
      </c>
    </row>
    <row r="10616" spans="1:11" x14ac:dyDescent="0.35">
      <c r="A10616" s="9" t="str">
        <f>HYPERLINK("http://www.ensembl.org/id/WBGene00010111", "WBGene00010111")</f>
        <v>WBGene00010111</v>
      </c>
      <c r="B10616" s="9" t="str">
        <f>HYPERLINK("http://www.ncbi.nlm.nih.gov/gene/172558", "172558")</f>
        <v>172558</v>
      </c>
      <c r="C10616" s="9" t="str">
        <f>HYPERLINK("http://www.ncbi.nlm.nih.gov/gene/91404", "91404")</f>
        <v>91404</v>
      </c>
      <c r="D10616" t="str">
        <f>"F55D12.2"</f>
        <v>F55D12.2</v>
      </c>
      <c r="F10616" t="s">
        <v>11</v>
      </c>
      <c r="H10616" s="12">
        <v>1.2398809382034</v>
      </c>
      <c r="I10616" s="20">
        <v>0.86574304035967797</v>
      </c>
      <c r="J10616" s="28">
        <v>0.386631091452937</v>
      </c>
      <c r="K10616" s="29">
        <v>0.98289565623980701</v>
      </c>
    </row>
    <row r="10617" spans="1:11" x14ac:dyDescent="0.35">
      <c r="A10617" s="9" t="str">
        <f>HYPERLINK("http://www.ensembl.org/id/WBGene00010113", "WBGene00010113")</f>
        <v>WBGene00010113</v>
      </c>
      <c r="B10617" s="9" t="str">
        <f>HYPERLINK("http://www.ncbi.nlm.nih.gov/gene/3565799", "3565799")</f>
        <v>3565799</v>
      </c>
      <c r="C10617" s="9"/>
      <c r="D10617" t="str">
        <f>"F55D12.5"</f>
        <v>F55D12.5</v>
      </c>
      <c r="F10617" t="s">
        <v>11</v>
      </c>
      <c r="H10617" s="12">
        <v>1.0972930136069501</v>
      </c>
      <c r="I10617" s="20">
        <v>0.49998954443544302</v>
      </c>
      <c r="J10617" s="28">
        <v>0.61708243955472197</v>
      </c>
      <c r="K10617" s="29">
        <v>0.98289565623980701</v>
      </c>
    </row>
    <row r="10618" spans="1:11" x14ac:dyDescent="0.35">
      <c r="A10618" s="9" t="str">
        <f>HYPERLINK("http://www.ensembl.org/id/WBGene00010114", "WBGene00010114")</f>
        <v>WBGene00010114</v>
      </c>
      <c r="B10618" s="9" t="str">
        <f>HYPERLINK("http://www.ncbi.nlm.nih.gov/gene/172559", "172559")</f>
        <v>172559</v>
      </c>
      <c r="C10618" s="9"/>
      <c r="D10618" t="str">
        <f>"F55D12.6"</f>
        <v>F55D12.6</v>
      </c>
      <c r="F10618" t="s">
        <v>11</v>
      </c>
      <c r="G10618" t="s">
        <v>25</v>
      </c>
      <c r="H10618" s="12">
        <v>-2.1934419828748402</v>
      </c>
      <c r="I10618" s="20">
        <v>-0.68539120894038597</v>
      </c>
      <c r="J10618" s="28">
        <v>0.49309708996392099</v>
      </c>
      <c r="K10618" s="29">
        <v>0.98289565623980701</v>
      </c>
    </row>
    <row r="10619" spans="1:11" x14ac:dyDescent="0.35">
      <c r="A10619" s="9" t="str">
        <f>HYPERLINK("http://www.ensembl.org/id/WBGene00199925", "WBGene00199925")</f>
        <v>WBGene00199925</v>
      </c>
      <c r="B10619" s="9"/>
      <c r="C10619" s="9"/>
      <c r="D10619" t="str">
        <f>"F55E10.11"</f>
        <v>F55E10.11</v>
      </c>
      <c r="F10619" t="s">
        <v>481</v>
      </c>
      <c r="H10619" s="12">
        <v>2.4578120077400301</v>
      </c>
      <c r="I10619" s="20">
        <v>0.26093350314551</v>
      </c>
      <c r="J10619" s="28">
        <v>0.79414378780213601</v>
      </c>
      <c r="K10619" s="29">
        <v>0.98289565623980701</v>
      </c>
    </row>
    <row r="10620" spans="1:11" x14ac:dyDescent="0.35">
      <c r="A10620" s="9" t="str">
        <f>HYPERLINK("http://www.ensembl.org/id/WBGene00018883", "WBGene00018883")</f>
        <v>WBGene00018883</v>
      </c>
      <c r="B10620" s="9" t="str">
        <f>HYPERLINK("http://www.ncbi.nlm.nih.gov/gene/186313", "186313")</f>
        <v>186313</v>
      </c>
      <c r="C10620" s="9"/>
      <c r="D10620" t="str">
        <f>"F55E10.4"</f>
        <v>F55E10.4</v>
      </c>
      <c r="F10620" t="s">
        <v>11</v>
      </c>
      <c r="G10620" t="s">
        <v>25</v>
      </c>
      <c r="H10620" s="12">
        <v>7.6616465944663696</v>
      </c>
      <c r="I10620" s="20">
        <v>0.60406875593600395</v>
      </c>
      <c r="J10620" s="28">
        <v>0.54579793098927099</v>
      </c>
      <c r="K10620" s="29">
        <v>0.98289565623980701</v>
      </c>
    </row>
    <row r="10621" spans="1:11" x14ac:dyDescent="0.35">
      <c r="A10621" s="9" t="str">
        <f>HYPERLINK("http://www.ensembl.org/id/WBGene00018884", "WBGene00018884")</f>
        <v>WBGene00018884</v>
      </c>
      <c r="B10621" s="9" t="str">
        <f>HYPERLINK("http://www.ncbi.nlm.nih.gov/gene/186314", "186314")</f>
        <v>186314</v>
      </c>
      <c r="C10621" s="9"/>
      <c r="D10621" t="str">
        <f>"F55E10.5"</f>
        <v>F55E10.5</v>
      </c>
      <c r="F10621" t="s">
        <v>11</v>
      </c>
      <c r="H10621" s="12">
        <v>-5.4967879193631202</v>
      </c>
      <c r="I10621" s="20">
        <v>-0.50254160819837501</v>
      </c>
      <c r="J10621" s="28">
        <v>0.61528659178453604</v>
      </c>
      <c r="K10621" s="29">
        <v>0.98289565623980701</v>
      </c>
    </row>
    <row r="10622" spans="1:11" x14ac:dyDescent="0.35">
      <c r="A10622" s="9" t="str">
        <f>HYPERLINK("http://www.ensembl.org/id/WBGene00050916", "WBGene00050916")</f>
        <v>WBGene00050916</v>
      </c>
      <c r="B10622" s="9" t="str">
        <f>HYPERLINK("http://www.ncbi.nlm.nih.gov/gene/6418681", "6418681")</f>
        <v>6418681</v>
      </c>
      <c r="C10622" s="9"/>
      <c r="D10622" t="str">
        <f>"F55F10.3"</f>
        <v>F55F10.3</v>
      </c>
      <c r="F10622" t="s">
        <v>11</v>
      </c>
      <c r="G10622" t="s">
        <v>25</v>
      </c>
      <c r="H10622" s="12">
        <v>-3.5819448292659501</v>
      </c>
      <c r="I10622" s="20">
        <v>-0.37337717500031398</v>
      </c>
      <c r="J10622" s="28">
        <v>0.70886774492290605</v>
      </c>
      <c r="K10622" s="29">
        <v>0.98289565623980701</v>
      </c>
    </row>
    <row r="10623" spans="1:11" x14ac:dyDescent="0.35">
      <c r="A10623" s="9" t="str">
        <f>HYPERLINK("http://www.ensembl.org/id/WBGene00018890", "WBGene00018890")</f>
        <v>WBGene00018890</v>
      </c>
      <c r="B10623" s="9" t="str">
        <f>HYPERLINK("http://www.ncbi.nlm.nih.gov/gene/172223", "172223")</f>
        <v>172223</v>
      </c>
      <c r="C10623" s="9" t="str">
        <f>HYPERLINK("http://www.ncbi.nlm.nih.gov/gene/57062", "57062")</f>
        <v>57062</v>
      </c>
      <c r="D10623" t="str">
        <f>"F55F8.2"</f>
        <v>F55F8.2</v>
      </c>
      <c r="F10623" t="s">
        <v>11</v>
      </c>
      <c r="G10623" t="s">
        <v>8590</v>
      </c>
      <c r="H10623" s="12">
        <v>-1.1850100240420001</v>
      </c>
      <c r="I10623" s="20">
        <v>-0.75457293484366506</v>
      </c>
      <c r="J10623" s="28">
        <v>0.45050526819999898</v>
      </c>
      <c r="K10623" s="29">
        <v>0.98289565623980701</v>
      </c>
    </row>
    <row r="10624" spans="1:11" x14ac:dyDescent="0.35">
      <c r="A10624" s="9" t="str">
        <f>HYPERLINK("http://www.ensembl.org/id/WBGene00018899", "WBGene00018899")</f>
        <v>WBGene00018899</v>
      </c>
      <c r="B10624" s="9" t="str">
        <f>HYPERLINK("http://www.ncbi.nlm.nih.gov/gene/186324", "186324")</f>
        <v>186324</v>
      </c>
      <c r="C10624" s="9"/>
      <c r="D10624" t="str">
        <f>"F55G1.1"</f>
        <v>F55G1.1</v>
      </c>
      <c r="F10624" t="s">
        <v>11</v>
      </c>
      <c r="G10624" t="s">
        <v>25</v>
      </c>
      <c r="H10624" s="12">
        <v>1.7268160423683401</v>
      </c>
      <c r="I10624" s="20">
        <v>0.99993677999314901</v>
      </c>
      <c r="J10624" s="28">
        <v>0.31734110361173901</v>
      </c>
      <c r="K10624" s="29">
        <v>0.98289565623980701</v>
      </c>
    </row>
    <row r="10625" spans="1:11" x14ac:dyDescent="0.35">
      <c r="A10625" s="9" t="str">
        <f>HYPERLINK("http://www.ensembl.org/id/WBGene00197308", "WBGene00197308")</f>
        <v>WBGene00197308</v>
      </c>
      <c r="B10625" s="9"/>
      <c r="C10625" s="9"/>
      <c r="D10625" t="str">
        <f>"F55G1.18"</f>
        <v>F55G1.18</v>
      </c>
      <c r="F10625" t="s">
        <v>481</v>
      </c>
      <c r="H10625" s="12">
        <v>3.5227018545059199</v>
      </c>
      <c r="I10625" s="20">
        <v>0.36849691206929103</v>
      </c>
      <c r="J10625" s="28">
        <v>0.71250274722433404</v>
      </c>
      <c r="K10625" s="29">
        <v>0.98289565623980701</v>
      </c>
    </row>
    <row r="10626" spans="1:11" x14ac:dyDescent="0.35">
      <c r="A10626" s="9" t="str">
        <f>HYPERLINK("http://www.ensembl.org/id/WBGene00018904", "WBGene00018904")</f>
        <v>WBGene00018904</v>
      </c>
      <c r="B10626" s="9" t="str">
        <f>HYPERLINK("http://www.ncbi.nlm.nih.gov/gene/177519", "177519")</f>
        <v>177519</v>
      </c>
      <c r="C10626" s="9"/>
      <c r="D10626" t="str">
        <f>"F55G1.9"</f>
        <v>F55G1.9</v>
      </c>
      <c r="E10626" t="s">
        <v>8901</v>
      </c>
      <c r="F10626" t="s">
        <v>11</v>
      </c>
      <c r="G10626" t="s">
        <v>8902</v>
      </c>
      <c r="H10626" s="12">
        <v>-1.2061352660445801</v>
      </c>
      <c r="I10626" s="20">
        <v>-0.80155193105709399</v>
      </c>
      <c r="J10626" s="28">
        <v>0.42281219283641802</v>
      </c>
      <c r="K10626" s="29">
        <v>0.98289565623980701</v>
      </c>
    </row>
    <row r="10627" spans="1:11" x14ac:dyDescent="0.35">
      <c r="A10627" s="9" t="str">
        <f>HYPERLINK("http://www.ensembl.org/id/WBGene00010129", "WBGene00010129")</f>
        <v>WBGene00010129</v>
      </c>
      <c r="B10627" s="9" t="str">
        <f>HYPERLINK("http://www.ncbi.nlm.nih.gov/gene/186342", "186342")</f>
        <v>186342</v>
      </c>
      <c r="C10627" s="9"/>
      <c r="D10627" t="str">
        <f>"F55G11.10"</f>
        <v>F55G11.10</v>
      </c>
      <c r="F10627" t="s">
        <v>11</v>
      </c>
      <c r="H10627" s="12">
        <v>4.4368407117627902</v>
      </c>
      <c r="I10627" s="20">
        <v>0.43709475933309699</v>
      </c>
      <c r="J10627" s="28">
        <v>0.66204262779770495</v>
      </c>
      <c r="K10627" s="29">
        <v>0.98289565623980701</v>
      </c>
    </row>
    <row r="10628" spans="1:11" x14ac:dyDescent="0.35">
      <c r="A10628" s="9" t="str">
        <f>HYPERLINK("http://www.ensembl.org/id/WBGene00010123", "WBGene00010123")</f>
        <v>WBGene00010123</v>
      </c>
      <c r="B10628" s="9" t="str">
        <f>HYPERLINK("http://www.ncbi.nlm.nih.gov/gene/186337", "186337")</f>
        <v>186337</v>
      </c>
      <c r="C10628" s="9"/>
      <c r="D10628" t="str">
        <f>"F55G11.2"</f>
        <v>F55G11.2</v>
      </c>
      <c r="F10628" t="s">
        <v>11</v>
      </c>
      <c r="G10628" t="s">
        <v>264</v>
      </c>
      <c r="H10628" s="12">
        <v>-1.8071553642312099</v>
      </c>
      <c r="I10628" s="20">
        <v>-0.91796462085186104</v>
      </c>
      <c r="J10628" s="28">
        <v>0.358637388346426</v>
      </c>
      <c r="K10628" s="29">
        <v>0.98289565623980701</v>
      </c>
    </row>
    <row r="10629" spans="1:11" x14ac:dyDescent="0.35">
      <c r="A10629" s="9" t="str">
        <f>HYPERLINK("http://www.ensembl.org/id/WBGene00014771", "WBGene00014771")</f>
        <v>WBGene00014771</v>
      </c>
      <c r="B10629" s="9"/>
      <c r="C10629" s="9"/>
      <c r="D10629" t="str">
        <f>"F55G11.3"</f>
        <v>F55G11.3</v>
      </c>
      <c r="F10629" t="s">
        <v>80</v>
      </c>
      <c r="H10629" s="12">
        <v>-2.4295389261469</v>
      </c>
      <c r="I10629" s="20">
        <v>-0.25808529976640998</v>
      </c>
      <c r="J10629" s="28">
        <v>0.79634107645457397</v>
      </c>
      <c r="K10629" s="29">
        <v>0.98289565623980701</v>
      </c>
    </row>
    <row r="10630" spans="1:11" x14ac:dyDescent="0.35">
      <c r="A10630" s="9" t="str">
        <f>HYPERLINK("http://www.ensembl.org/id/WBGene00010124", "WBGene00010124")</f>
        <v>WBGene00010124</v>
      </c>
      <c r="B10630" s="9" t="str">
        <f>HYPERLINK("http://www.ncbi.nlm.nih.gov/gene/178248", "178248")</f>
        <v>178248</v>
      </c>
      <c r="C10630" s="9"/>
      <c r="D10630" t="str">
        <f>"F55G11.4"</f>
        <v>F55G11.4</v>
      </c>
      <c r="F10630" t="s">
        <v>11</v>
      </c>
      <c r="G10630" t="s">
        <v>9271</v>
      </c>
      <c r="H10630" s="12">
        <v>-1.232368546719</v>
      </c>
      <c r="I10630" s="20">
        <v>-0.49504218629876601</v>
      </c>
      <c r="J10630" s="28">
        <v>0.62057034217145002</v>
      </c>
      <c r="K10630" s="29">
        <v>0.98289565623980701</v>
      </c>
    </row>
    <row r="10631" spans="1:11" x14ac:dyDescent="0.35">
      <c r="A10631" s="9" t="str">
        <f>HYPERLINK("http://www.ensembl.org/id/WBGene00010126", "WBGene00010126")</f>
        <v>WBGene00010126</v>
      </c>
      <c r="B10631" s="9" t="str">
        <f>HYPERLINK("http://www.ncbi.nlm.nih.gov/gene/186339", "186339")</f>
        <v>186339</v>
      </c>
      <c r="C10631" s="9"/>
      <c r="D10631" t="str">
        <f>"F55G11.6"</f>
        <v>F55G11.6</v>
      </c>
      <c r="F10631" t="s">
        <v>11</v>
      </c>
      <c r="H10631" s="12">
        <v>2.3893468495514898</v>
      </c>
      <c r="I10631" s="20">
        <v>0.25323547253672701</v>
      </c>
      <c r="J10631" s="28">
        <v>0.80008625651646104</v>
      </c>
      <c r="K10631" s="29">
        <v>0.98289565623980701</v>
      </c>
    </row>
    <row r="10632" spans="1:11" x14ac:dyDescent="0.35">
      <c r="A10632" s="9" t="str">
        <f>HYPERLINK("http://www.ensembl.org/id/WBGene00010127", "WBGene00010127")</f>
        <v>WBGene00010127</v>
      </c>
      <c r="B10632" s="9" t="str">
        <f>HYPERLINK("http://www.ncbi.nlm.nih.gov/gene/178246", "178246")</f>
        <v>178246</v>
      </c>
      <c r="C10632" s="9"/>
      <c r="D10632" t="str">
        <f>"F55G11.7"</f>
        <v>F55G11.7</v>
      </c>
      <c r="F10632" t="s">
        <v>11</v>
      </c>
      <c r="G10632" t="s">
        <v>264</v>
      </c>
      <c r="H10632" s="12">
        <v>-2.4295389261469</v>
      </c>
      <c r="I10632" s="20">
        <v>-0.25808529976640998</v>
      </c>
      <c r="J10632" s="28">
        <v>0.79634107645457397</v>
      </c>
      <c r="K10632" s="29">
        <v>0.98289565623980701</v>
      </c>
    </row>
    <row r="10633" spans="1:11" x14ac:dyDescent="0.35">
      <c r="A10633" s="9" t="str">
        <f>HYPERLINK("http://www.ensembl.org/id/WBGene00010128", "WBGene00010128")</f>
        <v>WBGene00010128</v>
      </c>
      <c r="B10633" s="9" t="str">
        <f>HYPERLINK("http://www.ncbi.nlm.nih.gov/gene/186340", "186340")</f>
        <v>186340</v>
      </c>
      <c r="C10633" s="9"/>
      <c r="D10633" t="str">
        <f>"F55G11.8"</f>
        <v>F55G11.8</v>
      </c>
      <c r="F10633" t="s">
        <v>11</v>
      </c>
      <c r="G10633" t="s">
        <v>264</v>
      </c>
      <c r="H10633" s="12">
        <v>-1.5482719256597</v>
      </c>
      <c r="I10633" s="20">
        <v>-1.1362478272021299</v>
      </c>
      <c r="J10633" s="28">
        <v>0.25585285916986</v>
      </c>
      <c r="K10633" s="29">
        <v>0.98289565623980701</v>
      </c>
    </row>
    <row r="10634" spans="1:11" x14ac:dyDescent="0.35">
      <c r="A10634" s="9" t="str">
        <f>HYPERLINK("http://www.ensembl.org/id/WBGene00010119", "WBGene00010119")</f>
        <v>WBGene00010119</v>
      </c>
      <c r="B10634" s="9" t="str">
        <f>HYPERLINK("http://www.ncbi.nlm.nih.gov/gene/186331", "186331")</f>
        <v>186331</v>
      </c>
      <c r="C10634" s="9"/>
      <c r="D10634" t="str">
        <f>"F55G7.1"</f>
        <v>F55G7.1</v>
      </c>
      <c r="F10634" t="s">
        <v>11</v>
      </c>
      <c r="H10634" s="12">
        <v>1.38200014892951</v>
      </c>
      <c r="I10634" s="20">
        <v>0.42713648136549898</v>
      </c>
      <c r="J10634" s="28">
        <v>0.66927992262603697</v>
      </c>
      <c r="K10634" s="29">
        <v>0.98289565623980701</v>
      </c>
    </row>
    <row r="10635" spans="1:11" x14ac:dyDescent="0.35">
      <c r="A10635" s="9" t="str">
        <f>HYPERLINK("http://www.ensembl.org/id/WBGene00045493", "WBGene00045493")</f>
        <v>WBGene00045493</v>
      </c>
      <c r="B10635" s="9" t="str">
        <f>HYPERLINK("http://www.ncbi.nlm.nih.gov/gene/6418856", "6418856")</f>
        <v>6418856</v>
      </c>
      <c r="C10635" s="9"/>
      <c r="D10635" t="str">
        <f>"F55G7.4"</f>
        <v>F55G7.4</v>
      </c>
      <c r="F10635" t="s">
        <v>11</v>
      </c>
      <c r="H10635" s="12">
        <v>4.0472298072813198</v>
      </c>
      <c r="I10635" s="20">
        <v>0.79204896934109403</v>
      </c>
      <c r="J10635" s="28">
        <v>0.42833212352842298</v>
      </c>
      <c r="K10635" s="29">
        <v>0.98289565623980701</v>
      </c>
    </row>
    <row r="10636" spans="1:11" x14ac:dyDescent="0.35">
      <c r="A10636" s="9" t="str">
        <f>HYPERLINK("http://www.ensembl.org/id/WBGene00219283", "WBGene00219283")</f>
        <v>WBGene00219283</v>
      </c>
      <c r="B10636" s="9" t="str">
        <f>HYPERLINK("http://www.ncbi.nlm.nih.gov/gene/13181291", "13181291")</f>
        <v>13181291</v>
      </c>
      <c r="C10636" s="9"/>
      <c r="D10636" t="str">
        <f>"F55H12.7"</f>
        <v>F55H12.7</v>
      </c>
      <c r="F10636" t="s">
        <v>11</v>
      </c>
      <c r="H10636" s="12">
        <v>1.3211140486800601</v>
      </c>
      <c r="I10636" s="20">
        <v>0.53837776467383502</v>
      </c>
      <c r="J10636" s="28">
        <v>0.59031627398684705</v>
      </c>
      <c r="K10636" s="29">
        <v>0.98289565623980701</v>
      </c>
    </row>
    <row r="10637" spans="1:11" x14ac:dyDescent="0.35">
      <c r="A10637" s="9" t="str">
        <f>HYPERLINK("http://www.ensembl.org/id/WBGene00219976", "WBGene00219976")</f>
        <v>WBGene00219976</v>
      </c>
      <c r="B10637" s="9"/>
      <c r="C10637" s="9"/>
      <c r="D10637" t="str">
        <f>"F55H12.9"</f>
        <v>F55H12.9</v>
      </c>
      <c r="F10637" t="s">
        <v>2977</v>
      </c>
      <c r="H10637" s="12">
        <v>-1.9045321945109199</v>
      </c>
      <c r="I10637" s="20">
        <v>-0.60557586689185205</v>
      </c>
      <c r="J10637" s="28">
        <v>0.544796431749483</v>
      </c>
      <c r="K10637" s="29">
        <v>0.98289565623980701</v>
      </c>
    </row>
    <row r="10638" spans="1:11" x14ac:dyDescent="0.35">
      <c r="A10638" s="9" t="str">
        <f>HYPERLINK("http://www.ensembl.org/id/WBGene00198589", "WBGene00198589")</f>
        <v>WBGene00198589</v>
      </c>
      <c r="B10638" s="9"/>
      <c r="C10638" s="9"/>
      <c r="D10638" t="str">
        <f>"F56A11.11"</f>
        <v>F56A11.11</v>
      </c>
      <c r="F10638" t="s">
        <v>481</v>
      </c>
      <c r="H10638" s="12">
        <v>-2.4991590031922399</v>
      </c>
      <c r="I10638" s="20">
        <v>-0.26577412737581302</v>
      </c>
      <c r="J10638" s="28">
        <v>0.79041317015736101</v>
      </c>
      <c r="K10638" s="29">
        <v>0.98289565623980701</v>
      </c>
    </row>
    <row r="10639" spans="1:11" x14ac:dyDescent="0.35">
      <c r="A10639" s="9" t="str">
        <f>HYPERLINK("http://www.ensembl.org/id/WBGene00200779", "WBGene00200779")</f>
        <v>WBGene00200779</v>
      </c>
      <c r="B10639" s="9"/>
      <c r="C10639" s="9"/>
      <c r="D10639" t="str">
        <f>"F56A11.12"</f>
        <v>F56A11.12</v>
      </c>
      <c r="F10639" t="s">
        <v>481</v>
      </c>
      <c r="H10639" s="12">
        <v>-2.4991590031922399</v>
      </c>
      <c r="I10639" s="20">
        <v>-0.26577412737581302</v>
      </c>
      <c r="J10639" s="28">
        <v>0.79041317015736101</v>
      </c>
      <c r="K10639" s="29">
        <v>0.98289565623980701</v>
      </c>
    </row>
    <row r="10640" spans="1:11" x14ac:dyDescent="0.35">
      <c r="A10640" s="9" t="str">
        <f>HYPERLINK("http://www.ensembl.org/id/WBGene00219978", "WBGene00219978")</f>
        <v>WBGene00219978</v>
      </c>
      <c r="B10640" s="9"/>
      <c r="C10640" s="9"/>
      <c r="D10640" t="str">
        <f>"F56A11.14"</f>
        <v>F56A11.14</v>
      </c>
      <c r="F10640" t="s">
        <v>2977</v>
      </c>
      <c r="H10640" s="12">
        <v>2.4578120077400301</v>
      </c>
      <c r="I10640" s="20">
        <v>0.26093350314551</v>
      </c>
      <c r="J10640" s="28">
        <v>0.79414378780213601</v>
      </c>
      <c r="K10640" s="29">
        <v>0.98289565623980701</v>
      </c>
    </row>
    <row r="10641" spans="1:11" x14ac:dyDescent="0.35">
      <c r="A10641" s="9" t="str">
        <f>HYPERLINK("http://www.ensembl.org/id/WBGene00018924", "WBGene00018924")</f>
        <v>WBGene00018924</v>
      </c>
      <c r="B10641" s="9" t="str">
        <f>HYPERLINK("http://www.ncbi.nlm.nih.gov/gene/176881", "176881")</f>
        <v>176881</v>
      </c>
      <c r="C10641" s="9"/>
      <c r="D10641" t="str">
        <f>"F56A11.4"</f>
        <v>F56A11.4</v>
      </c>
      <c r="F10641" t="s">
        <v>11</v>
      </c>
      <c r="G10641" t="s">
        <v>25</v>
      </c>
      <c r="H10641" s="12">
        <v>1.3583415974427999</v>
      </c>
      <c r="I10641" s="20">
        <v>0.89617249875263305</v>
      </c>
      <c r="J10641" s="28">
        <v>0.370160641268927</v>
      </c>
      <c r="K10641" s="29">
        <v>0.98289565623980701</v>
      </c>
    </row>
    <row r="10642" spans="1:11" x14ac:dyDescent="0.35">
      <c r="A10642" s="9" t="str">
        <f>HYPERLINK("http://www.ensembl.org/id/WBGene00219242", "WBGene00219242")</f>
        <v>WBGene00219242</v>
      </c>
      <c r="B10642" s="9"/>
      <c r="C10642" s="9"/>
      <c r="D10642" t="str">
        <f>"F56A12.10"</f>
        <v>F56A12.10</v>
      </c>
      <c r="F10642" t="s">
        <v>481</v>
      </c>
      <c r="H10642" s="12">
        <v>3.4917188327556898</v>
      </c>
      <c r="I10642" s="20">
        <v>0.38080453806645798</v>
      </c>
      <c r="J10642" s="28">
        <v>0.703348291649464</v>
      </c>
      <c r="K10642" s="29">
        <v>0.98289565623980701</v>
      </c>
    </row>
    <row r="10643" spans="1:11" x14ac:dyDescent="0.35">
      <c r="A10643" s="9" t="str">
        <f>HYPERLINK("http://www.ensembl.org/id/WBGene00219979", "WBGene00219979")</f>
        <v>WBGene00219979</v>
      </c>
      <c r="B10643" s="9"/>
      <c r="C10643" s="9"/>
      <c r="D10643" t="str">
        <f>"F56A12.11"</f>
        <v>F56A12.11</v>
      </c>
      <c r="F10643" t="s">
        <v>481</v>
      </c>
      <c r="H10643" s="12">
        <v>2.8755883694684199</v>
      </c>
      <c r="I10643" s="20">
        <v>0.36355013483266901</v>
      </c>
      <c r="J10643" s="28">
        <v>0.71619396880790798</v>
      </c>
      <c r="K10643" s="29">
        <v>0.98289565623980701</v>
      </c>
    </row>
    <row r="10644" spans="1:11" x14ac:dyDescent="0.35">
      <c r="A10644" s="9" t="str">
        <f>HYPERLINK("http://www.ensembl.org/id/WBGene00199639", "WBGene00199639")</f>
        <v>WBGene00199639</v>
      </c>
      <c r="B10644" s="9"/>
      <c r="C10644" s="9"/>
      <c r="D10644" t="str">
        <f>"F56A12.8"</f>
        <v>F56A12.8</v>
      </c>
      <c r="F10644" t="s">
        <v>481</v>
      </c>
      <c r="H10644" s="12">
        <v>2.3893468495514898</v>
      </c>
      <c r="I10644" s="20">
        <v>0.25323547253672701</v>
      </c>
      <c r="J10644" s="28">
        <v>0.80008625651646104</v>
      </c>
      <c r="K10644" s="29">
        <v>0.98289565623980701</v>
      </c>
    </row>
    <row r="10645" spans="1:11" x14ac:dyDescent="0.35">
      <c r="A10645" s="9" t="str">
        <f>HYPERLINK("http://www.ensembl.org/id/WBGene00018910", "WBGene00018910")</f>
        <v>WBGene00018910</v>
      </c>
      <c r="B10645" s="9" t="str">
        <f>HYPERLINK("http://www.ncbi.nlm.nih.gov/gene/178721", "178721")</f>
        <v>178721</v>
      </c>
      <c r="C10645" s="9"/>
      <c r="D10645" t="str">
        <f>"F56A4.2"</f>
        <v>F56A4.2</v>
      </c>
      <c r="E10645" t="s">
        <v>46</v>
      </c>
      <c r="F10645" t="s">
        <v>11</v>
      </c>
      <c r="G10645" t="s">
        <v>47</v>
      </c>
      <c r="H10645" s="12">
        <v>-2.4295389261469</v>
      </c>
      <c r="I10645" s="20">
        <v>-0.25808529976640998</v>
      </c>
      <c r="J10645" s="28">
        <v>0.79634107645457397</v>
      </c>
      <c r="K10645" s="29">
        <v>0.98289565623980701</v>
      </c>
    </row>
    <row r="10646" spans="1:11" x14ac:dyDescent="0.35">
      <c r="A10646" s="9" t="str">
        <f>HYPERLINK("http://www.ensembl.org/id/WBGene00044427", "WBGene00044427")</f>
        <v>WBGene00044427</v>
      </c>
      <c r="B10646" s="9" t="str">
        <f>HYPERLINK("http://www.ncbi.nlm.nih.gov/gene/3565307", "3565307")</f>
        <v>3565307</v>
      </c>
      <c r="C10646" s="9"/>
      <c r="D10646" t="str">
        <f>"F56A6.5"</f>
        <v>F56A6.5</v>
      </c>
      <c r="F10646" t="s">
        <v>11</v>
      </c>
      <c r="G10646" t="s">
        <v>51</v>
      </c>
      <c r="H10646" s="12">
        <v>9.6414174224933102</v>
      </c>
      <c r="I10646" s="20">
        <v>1.0642907950323699</v>
      </c>
      <c r="J10646" s="28">
        <v>0.28719698663798299</v>
      </c>
      <c r="K10646" s="29">
        <v>0.98289565623980701</v>
      </c>
    </row>
    <row r="10647" spans="1:11" x14ac:dyDescent="0.35">
      <c r="A10647" s="9" t="str">
        <f>HYPERLINK("http://www.ensembl.org/id/WBGene00010139", "WBGene00010139")</f>
        <v>WBGene00010139</v>
      </c>
      <c r="B10647" s="9" t="str">
        <f>HYPERLINK("http://www.ncbi.nlm.nih.gov/gene/176740", "176740")</f>
        <v>176740</v>
      </c>
      <c r="C10647" s="9" t="str">
        <f>HYPERLINK("http://www.ncbi.nlm.nih.gov/gene/55379", "55379")</f>
        <v>55379</v>
      </c>
      <c r="D10647" t="str">
        <f>"F56A8.3"</f>
        <v>F56A8.3</v>
      </c>
      <c r="F10647" t="s">
        <v>11</v>
      </c>
      <c r="G10647" t="s">
        <v>417</v>
      </c>
      <c r="H10647" s="12">
        <v>-1.14039752141555</v>
      </c>
      <c r="I10647" s="20">
        <v>-0.72046567229146297</v>
      </c>
      <c r="J10647" s="28">
        <v>0.47123832802528998</v>
      </c>
      <c r="K10647" s="29">
        <v>0.98289565623980701</v>
      </c>
    </row>
    <row r="10648" spans="1:11" x14ac:dyDescent="0.35">
      <c r="A10648" s="9" t="str">
        <f>HYPERLINK("http://www.ensembl.org/id/WBGene00010140", "WBGene00010140")</f>
        <v>WBGene00010140</v>
      </c>
      <c r="B10648" s="9" t="str">
        <f>HYPERLINK("http://www.ncbi.nlm.nih.gov/gene/176741", "176741")</f>
        <v>176741</v>
      </c>
      <c r="C10648" s="9"/>
      <c r="D10648" t="str">
        <f>"F56A8.4"</f>
        <v>F56A8.4</v>
      </c>
      <c r="F10648" t="s">
        <v>11</v>
      </c>
      <c r="H10648" s="12">
        <v>-1.29018262427513</v>
      </c>
      <c r="I10648" s="20">
        <v>-1.03002937363515</v>
      </c>
      <c r="J10648" s="28">
        <v>0.30299621699234403</v>
      </c>
      <c r="K10648" s="29">
        <v>0.98289565623980701</v>
      </c>
    </row>
    <row r="10649" spans="1:11" x14ac:dyDescent="0.35">
      <c r="A10649" s="9" t="str">
        <f>HYPERLINK("http://www.ensembl.org/id/WBGene00010141", "WBGene00010141")</f>
        <v>WBGene00010141</v>
      </c>
      <c r="B10649" s="9" t="str">
        <f>HYPERLINK("http://www.ncbi.nlm.nih.gov/gene/186356", "186356")</f>
        <v>186356</v>
      </c>
      <c r="C10649" s="9"/>
      <c r="D10649" t="str">
        <f>"F56A8.5"</f>
        <v>F56A8.5</v>
      </c>
      <c r="F10649" t="s">
        <v>11</v>
      </c>
      <c r="G10649" t="s">
        <v>54</v>
      </c>
      <c r="H10649" s="12">
        <v>-1.13057964628773</v>
      </c>
      <c r="I10649" s="20">
        <v>-0.55903528128451896</v>
      </c>
      <c r="J10649" s="28">
        <v>0.57613764188514904</v>
      </c>
      <c r="K10649" s="29">
        <v>0.98289565623980701</v>
      </c>
    </row>
    <row r="10650" spans="1:11" x14ac:dyDescent="0.35">
      <c r="A10650" s="9" t="str">
        <f>HYPERLINK("http://www.ensembl.org/id/WBGene00185001", "WBGene00185001")</f>
        <v>WBGene00185001</v>
      </c>
      <c r="B10650" s="9" t="str">
        <f>HYPERLINK("http://www.ncbi.nlm.nih.gov/gene/13191724", "13191724")</f>
        <v>13191724</v>
      </c>
      <c r="C10650" s="9"/>
      <c r="D10650" t="str">
        <f>"F56A8.9"</f>
        <v>F56A8.9</v>
      </c>
      <c r="F10650" t="s">
        <v>11</v>
      </c>
      <c r="H10650" s="12">
        <v>1.2905353684120799</v>
      </c>
      <c r="I10650" s="20">
        <v>1.0613458010702601</v>
      </c>
      <c r="J10650" s="28">
        <v>0.28853277826310603</v>
      </c>
      <c r="K10650" s="29">
        <v>0.98289565623980701</v>
      </c>
    </row>
    <row r="10651" spans="1:11" x14ac:dyDescent="0.35">
      <c r="A10651" s="9" t="str">
        <f>HYPERLINK("http://www.ensembl.org/id/WBGene00018934", "WBGene00018934")</f>
        <v>WBGene00018934</v>
      </c>
      <c r="B10651" s="9" t="str">
        <f>HYPERLINK("http://www.ncbi.nlm.nih.gov/gene/176907", "176907")</f>
        <v>176907</v>
      </c>
      <c r="C10651" s="9" t="str">
        <f>HYPERLINK("http://www.ncbi.nlm.nih.gov/gene/29090", "29090")</f>
        <v>29090</v>
      </c>
      <c r="D10651" t="str">
        <f>"F56B3.11"</f>
        <v>F56B3.11</v>
      </c>
      <c r="F10651" t="s">
        <v>11</v>
      </c>
      <c r="G10651" t="s">
        <v>6241</v>
      </c>
      <c r="H10651" s="12">
        <v>-1.05553827131343</v>
      </c>
      <c r="I10651" s="20">
        <v>-0.25586666318420698</v>
      </c>
      <c r="J10651" s="28">
        <v>0.79805379685410405</v>
      </c>
      <c r="K10651" s="29">
        <v>0.98289565623980701</v>
      </c>
    </row>
    <row r="10652" spans="1:11" x14ac:dyDescent="0.35">
      <c r="A10652" s="9" t="str">
        <f>HYPERLINK("http://www.ensembl.org/id/WBGene00018928", "WBGene00018928")</f>
        <v>WBGene00018928</v>
      </c>
      <c r="B10652" s="9" t="str">
        <f>HYPERLINK("http://www.ncbi.nlm.nih.gov/gene/176902", "176902")</f>
        <v>176902</v>
      </c>
      <c r="C10652" s="9"/>
      <c r="D10652" t="str">
        <f>"F56B3.2"</f>
        <v>F56B3.2</v>
      </c>
      <c r="F10652" t="s">
        <v>11</v>
      </c>
      <c r="H10652" s="12">
        <v>1.35199227316814</v>
      </c>
      <c r="I10652" s="20">
        <v>1.0266576348670799</v>
      </c>
      <c r="J10652" s="28">
        <v>0.30458170469596302</v>
      </c>
      <c r="K10652" s="29">
        <v>0.98289565623980701</v>
      </c>
    </row>
    <row r="10653" spans="1:11" x14ac:dyDescent="0.35">
      <c r="A10653" s="9" t="str">
        <f>HYPERLINK("http://www.ensembl.org/id/WBGene00018929", "WBGene00018929")</f>
        <v>WBGene00018929</v>
      </c>
      <c r="B10653" s="9"/>
      <c r="C10653" s="9"/>
      <c r="D10653" t="str">
        <f>"F56B3.3"</f>
        <v>F56B3.3</v>
      </c>
      <c r="F10653" t="s">
        <v>80</v>
      </c>
      <c r="H10653" s="12">
        <v>3.30563933775472</v>
      </c>
      <c r="I10653" s="20">
        <v>0.47954597991377201</v>
      </c>
      <c r="J10653" s="28">
        <v>0.63155026602037101</v>
      </c>
      <c r="K10653" s="29">
        <v>0.98289565623980701</v>
      </c>
    </row>
    <row r="10654" spans="1:11" x14ac:dyDescent="0.35">
      <c r="A10654" s="9" t="str">
        <f>HYPERLINK("http://www.ensembl.org/id/WBGene00004824", "WBGene00004824")</f>
        <v>WBGene00004824</v>
      </c>
      <c r="B10654" s="9" t="str">
        <f>HYPERLINK("http://www.ncbi.nlm.nih.gov/gene/176905", "176905")</f>
        <v>176905</v>
      </c>
      <c r="C10654" s="9"/>
      <c r="D10654" t="str">
        <f>"F56B3.4"</f>
        <v>F56B3.4</v>
      </c>
      <c r="F10654" t="s">
        <v>11</v>
      </c>
      <c r="G10654" t="s">
        <v>7782</v>
      </c>
      <c r="H10654" s="12">
        <v>-1.1443486945092001</v>
      </c>
      <c r="I10654" s="20">
        <v>-0.54648228887766304</v>
      </c>
      <c r="J10654" s="28">
        <v>0.58473445895369103</v>
      </c>
      <c r="K10654" s="29">
        <v>0.98289565623980701</v>
      </c>
    </row>
    <row r="10655" spans="1:11" x14ac:dyDescent="0.35">
      <c r="A10655" s="9" t="str">
        <f>HYPERLINK("http://www.ensembl.org/id/WBGene00018955", "WBGene00018955")</f>
        <v>WBGene00018955</v>
      </c>
      <c r="B10655" s="9" t="str">
        <f>HYPERLINK("http://www.ncbi.nlm.nih.gov/gene/171611", "171611")</f>
        <v>171611</v>
      </c>
      <c r="C10655" s="9" t="str">
        <f>HYPERLINK("http://www.ncbi.nlm.nih.gov/gene/2671", "2671")</f>
        <v>2671</v>
      </c>
      <c r="D10655" t="str">
        <f>"F56C11.3"</f>
        <v>F56C11.3</v>
      </c>
      <c r="E10655" t="s">
        <v>2706</v>
      </c>
      <c r="F10655" t="s">
        <v>11</v>
      </c>
      <c r="G10655" t="s">
        <v>9669</v>
      </c>
      <c r="H10655" s="12">
        <v>-1.2751604496300899</v>
      </c>
      <c r="I10655" s="20">
        <v>-0.89839443951916498</v>
      </c>
      <c r="J10655" s="28">
        <v>0.36897529987597999</v>
      </c>
      <c r="K10655" s="29">
        <v>0.98289565623980701</v>
      </c>
    </row>
    <row r="10656" spans="1:11" x14ac:dyDescent="0.35">
      <c r="A10656" s="9" t="str">
        <f>HYPERLINK("http://www.ensembl.org/id/WBGene00018957", "WBGene00018957")</f>
        <v>WBGene00018957</v>
      </c>
      <c r="B10656" s="9" t="str">
        <f>HYPERLINK("http://www.ncbi.nlm.nih.gov/gene/186374", "186374")</f>
        <v>186374</v>
      </c>
      <c r="C10656" s="9"/>
      <c r="D10656" t="str">
        <f>"F56C11.5"</f>
        <v>F56C11.5</v>
      </c>
      <c r="F10656" t="s">
        <v>11</v>
      </c>
      <c r="G10656" t="s">
        <v>25</v>
      </c>
      <c r="H10656" s="12">
        <v>-1.2460987200932001</v>
      </c>
      <c r="I10656" s="20">
        <v>-0.94063670129186305</v>
      </c>
      <c r="J10656" s="28">
        <v>0.34689106720312801</v>
      </c>
      <c r="K10656" s="29">
        <v>0.98289565623980701</v>
      </c>
    </row>
    <row r="10657" spans="1:11" x14ac:dyDescent="0.35">
      <c r="A10657" s="9" t="str">
        <f>HYPERLINK("http://www.ensembl.org/id/WBGene00018958", "WBGene00018958")</f>
        <v>WBGene00018958</v>
      </c>
      <c r="B10657" s="9" t="str">
        <f>HYPERLINK("http://www.ncbi.nlm.nih.gov/gene/171610", "171610")</f>
        <v>171610</v>
      </c>
      <c r="C10657" s="9"/>
      <c r="D10657" t="str">
        <f>"F56C11.6"</f>
        <v>F56C11.6</v>
      </c>
      <c r="E10657" t="s">
        <v>383</v>
      </c>
      <c r="F10657" t="s">
        <v>11</v>
      </c>
      <c r="G10657" t="s">
        <v>2185</v>
      </c>
      <c r="H10657" s="12">
        <v>1.1680322346290699</v>
      </c>
      <c r="I10657" s="20">
        <v>0.73973206941806902</v>
      </c>
      <c r="J10657" s="28">
        <v>0.459462584980113</v>
      </c>
      <c r="K10657" s="29">
        <v>0.98289565623980701</v>
      </c>
    </row>
    <row r="10658" spans="1:11" x14ac:dyDescent="0.35">
      <c r="A10658" s="9" t="str">
        <f>HYPERLINK("http://www.ensembl.org/id/WBGene00018941", "WBGene00018941")</f>
        <v>WBGene00018941</v>
      </c>
      <c r="B10658" s="9" t="str">
        <f>HYPERLINK("http://www.ncbi.nlm.nih.gov/gene/186363", "186363")</f>
        <v>186363</v>
      </c>
      <c r="C10658" s="9"/>
      <c r="D10658" t="str">
        <f>"F56C3.4"</f>
        <v>F56C3.4</v>
      </c>
      <c r="F10658" t="s">
        <v>11</v>
      </c>
      <c r="G10658" t="s">
        <v>25</v>
      </c>
      <c r="H10658" s="12">
        <v>1.82586239883006</v>
      </c>
      <c r="I10658" s="20">
        <v>0.79880739055005501</v>
      </c>
      <c r="J10658" s="28">
        <v>0.424402104501165</v>
      </c>
      <c r="K10658" s="29">
        <v>0.98289565623980701</v>
      </c>
    </row>
    <row r="10659" spans="1:11" x14ac:dyDescent="0.35">
      <c r="A10659" s="9" t="str">
        <f>HYPERLINK("http://www.ensembl.org/id/WBGene00018945", "WBGene00018945")</f>
        <v>WBGene00018945</v>
      </c>
      <c r="B10659" s="9" t="str">
        <f>HYPERLINK("http://www.ncbi.nlm.nih.gov/gene/180477", "180477")</f>
        <v>180477</v>
      </c>
      <c r="C10659" s="9"/>
      <c r="D10659" t="str">
        <f>"F56C3.8"</f>
        <v>F56C3.8</v>
      </c>
      <c r="F10659" t="s">
        <v>11</v>
      </c>
      <c r="H10659" s="12">
        <v>1.2724716172202299</v>
      </c>
      <c r="I10659" s="20">
        <v>0.37932816576318301</v>
      </c>
      <c r="J10659" s="28">
        <v>0.70444418654543195</v>
      </c>
      <c r="K10659" s="29">
        <v>0.98289565623980701</v>
      </c>
    </row>
    <row r="10660" spans="1:11" x14ac:dyDescent="0.35">
      <c r="A10660" s="9" t="str">
        <f>HYPERLINK("http://www.ensembl.org/id/WBGene00010145", "WBGene00010145")</f>
        <v>WBGene00010145</v>
      </c>
      <c r="B10660" s="9" t="str">
        <f>HYPERLINK("http://www.ncbi.nlm.nih.gov/gene/186370", "186370")</f>
        <v>186370</v>
      </c>
      <c r="C10660" s="9"/>
      <c r="D10660" t="str">
        <f>"F56C4.2"</f>
        <v>F56C4.2</v>
      </c>
      <c r="F10660" t="s">
        <v>11</v>
      </c>
      <c r="G10660" t="s">
        <v>25</v>
      </c>
      <c r="H10660" s="12">
        <v>11.170998397396099</v>
      </c>
      <c r="I10660" s="20">
        <v>0.72284615686154896</v>
      </c>
      <c r="J10660" s="28">
        <v>0.46977440626377698</v>
      </c>
      <c r="K10660" s="29">
        <v>0.98289565623980701</v>
      </c>
    </row>
    <row r="10661" spans="1:11" x14ac:dyDescent="0.35">
      <c r="A10661" s="9" t="str">
        <f>HYPERLINK("http://www.ensembl.org/id/WBGene00018953", "WBGene00018953")</f>
        <v>WBGene00018953</v>
      </c>
      <c r="B10661" s="9" t="str">
        <f>HYPERLINK("http://www.ncbi.nlm.nih.gov/gene/176040", "176040")</f>
        <v>176040</v>
      </c>
      <c r="C10661" s="9"/>
      <c r="D10661" t="str">
        <f>"F56C9.10"</f>
        <v>F56C9.10</v>
      </c>
      <c r="F10661" t="s">
        <v>11</v>
      </c>
      <c r="G10661" t="s">
        <v>8401</v>
      </c>
      <c r="H10661" s="12">
        <v>-1.1751551493787</v>
      </c>
      <c r="I10661" s="20">
        <v>-0.88235856430408499</v>
      </c>
      <c r="J10661" s="28">
        <v>0.37758293558575701</v>
      </c>
      <c r="K10661" s="29">
        <v>0.98289565623980701</v>
      </c>
    </row>
    <row r="10662" spans="1:11" x14ac:dyDescent="0.35">
      <c r="A10662" s="9" t="str">
        <f>HYPERLINK("http://www.ensembl.org/id/WBGene00023071", "WBGene00023071")</f>
        <v>WBGene00023071</v>
      </c>
      <c r="B10662" s="9"/>
      <c r="C10662" s="9"/>
      <c r="D10662" t="str">
        <f>"F56C9.12"</f>
        <v>F56C9.12</v>
      </c>
      <c r="F10662" t="s">
        <v>2977</v>
      </c>
      <c r="H10662" s="12">
        <v>2.2876818959181202</v>
      </c>
      <c r="I10662" s="20">
        <v>0.52568038440408105</v>
      </c>
      <c r="J10662" s="28">
        <v>0.59911029497426804</v>
      </c>
      <c r="K10662" s="29">
        <v>0.98289565623980701</v>
      </c>
    </row>
    <row r="10663" spans="1:11" x14ac:dyDescent="0.35">
      <c r="A10663" s="9" t="str">
        <f>HYPERLINK("http://www.ensembl.org/id/WBGene00018951", "WBGene00018951")</f>
        <v>WBGene00018951</v>
      </c>
      <c r="B10663" s="9" t="str">
        <f>HYPERLINK("http://www.ncbi.nlm.nih.gov/gene/176037", "176037")</f>
        <v>176037</v>
      </c>
      <c r="C10663" s="9"/>
      <c r="D10663" t="str">
        <f>"F56C9.7"</f>
        <v>F56C9.7</v>
      </c>
      <c r="F10663" t="s">
        <v>11</v>
      </c>
      <c r="G10663" t="s">
        <v>6244</v>
      </c>
      <c r="H10663" s="12">
        <v>-1.0560716904771199</v>
      </c>
      <c r="I10663" s="20">
        <v>-0.27823277051071099</v>
      </c>
      <c r="J10663" s="28">
        <v>0.78083368039271805</v>
      </c>
      <c r="K10663" s="29">
        <v>0.98289565623980701</v>
      </c>
    </row>
    <row r="10664" spans="1:11" x14ac:dyDescent="0.35">
      <c r="A10664" s="9" t="str">
        <f>HYPERLINK("http://www.ensembl.org/id/WBGene00219980", "WBGene00219980")</f>
        <v>WBGene00219980</v>
      </c>
      <c r="B10664" s="9"/>
      <c r="C10664" s="9"/>
      <c r="D10664" t="str">
        <f>"F56D1.17"</f>
        <v>F56D1.17</v>
      </c>
      <c r="F10664" t="s">
        <v>481</v>
      </c>
      <c r="H10664" s="12">
        <v>-3.5819448292659501</v>
      </c>
      <c r="I10664" s="20">
        <v>-0.37337717500031398</v>
      </c>
      <c r="J10664" s="28">
        <v>0.70886774492290605</v>
      </c>
      <c r="K10664" s="29">
        <v>0.98289565623980701</v>
      </c>
    </row>
    <row r="10665" spans="1:11" x14ac:dyDescent="0.35">
      <c r="A10665" s="9" t="str">
        <f>HYPERLINK("http://www.ensembl.org/id/WBGene00197171", "WBGene00197171")</f>
        <v>WBGene00197171</v>
      </c>
      <c r="B10665" s="9"/>
      <c r="C10665" s="9"/>
      <c r="D10665" t="str">
        <f>"F56D12.10"</f>
        <v>F56D12.10</v>
      </c>
      <c r="F10665" t="s">
        <v>481</v>
      </c>
      <c r="H10665" s="12">
        <v>-3.1397193581485299</v>
      </c>
      <c r="I10665" s="20">
        <v>-0.935075319867815</v>
      </c>
      <c r="J10665" s="28">
        <v>0.34974948449966697</v>
      </c>
      <c r="K10665" s="29">
        <v>0.98289565623980701</v>
      </c>
    </row>
    <row r="10666" spans="1:11" x14ac:dyDescent="0.35">
      <c r="A10666" s="9" t="str">
        <f>HYPERLINK("http://www.ensembl.org/id/WBGene00023299", "WBGene00023299")</f>
        <v>WBGene00023299</v>
      </c>
      <c r="B10666" s="9"/>
      <c r="C10666" s="9"/>
      <c r="D10666" t="str">
        <f>"F56D12.t4"</f>
        <v>F56D12.t4</v>
      </c>
      <c r="F10666" t="s">
        <v>80</v>
      </c>
      <c r="H10666" s="12">
        <v>-2.4991590031922399</v>
      </c>
      <c r="I10666" s="20">
        <v>-0.26577412737581302</v>
      </c>
      <c r="J10666" s="28">
        <v>0.79041317015736101</v>
      </c>
      <c r="K10666" s="29">
        <v>0.98289565623980701</v>
      </c>
    </row>
    <row r="10667" spans="1:11" x14ac:dyDescent="0.35">
      <c r="A10667" s="9" t="str">
        <f>HYPERLINK("http://www.ensembl.org/id/WBGene00018964", "WBGene00018964")</f>
        <v>WBGene00018964</v>
      </c>
      <c r="B10667" s="9" t="str">
        <f>HYPERLINK("http://www.ncbi.nlm.nih.gov/gene/175770", "175770")</f>
        <v>175770</v>
      </c>
      <c r="C10667" s="9"/>
      <c r="D10667" t="str">
        <f>"F56D2.2"</f>
        <v>F56D2.2</v>
      </c>
      <c r="E10667" t="s">
        <v>1143</v>
      </c>
      <c r="F10667" t="s">
        <v>11</v>
      </c>
      <c r="G10667" t="s">
        <v>9842</v>
      </c>
      <c r="H10667" s="12">
        <v>-1.3220523843124501</v>
      </c>
      <c r="I10667" s="20">
        <v>-1.13820626850426</v>
      </c>
      <c r="J10667" s="28">
        <v>0.25503436178900901</v>
      </c>
      <c r="K10667" s="29">
        <v>0.98289565623980701</v>
      </c>
    </row>
    <row r="10668" spans="1:11" x14ac:dyDescent="0.35">
      <c r="A10668" s="9" t="str">
        <f>HYPERLINK("http://www.ensembl.org/id/WBGene00018966", "WBGene00018966")</f>
        <v>WBGene00018966</v>
      </c>
      <c r="B10668" s="9" t="str">
        <f>HYPERLINK("http://www.ncbi.nlm.nih.gov/gene/186378", "186378")</f>
        <v>186378</v>
      </c>
      <c r="C10668" s="9"/>
      <c r="D10668" t="str">
        <f>"F56D2.5"</f>
        <v>F56D2.5</v>
      </c>
      <c r="E10668" t="s">
        <v>1143</v>
      </c>
      <c r="F10668" t="s">
        <v>11</v>
      </c>
      <c r="G10668" t="s">
        <v>5968</v>
      </c>
      <c r="H10668" s="12">
        <v>1.0783898986059499</v>
      </c>
      <c r="I10668" s="20">
        <v>0.267633374122277</v>
      </c>
      <c r="J10668" s="28">
        <v>0.78898153894956302</v>
      </c>
      <c r="K10668" s="29">
        <v>0.98289565623980701</v>
      </c>
    </row>
    <row r="10669" spans="1:11" x14ac:dyDescent="0.35">
      <c r="A10669" s="9" t="str">
        <f>HYPERLINK("http://www.ensembl.org/id/WBGene00018968", "WBGene00018968")</f>
        <v>WBGene00018968</v>
      </c>
      <c r="B10669" s="9" t="str">
        <f>HYPERLINK("http://www.ncbi.nlm.nih.gov/gene/186379", "186379")</f>
        <v>186379</v>
      </c>
      <c r="C10669" s="9"/>
      <c r="D10669" t="str">
        <f>"F56D2.8"</f>
        <v>F56D2.8</v>
      </c>
      <c r="F10669" t="s">
        <v>11</v>
      </c>
      <c r="H10669" s="12">
        <v>3.1048920425148498</v>
      </c>
      <c r="I10669" s="20">
        <v>0.42268561919513598</v>
      </c>
      <c r="J10669" s="28">
        <v>0.67252464922696797</v>
      </c>
      <c r="K10669" s="29">
        <v>0.98289565623980701</v>
      </c>
    </row>
    <row r="10670" spans="1:11" x14ac:dyDescent="0.35">
      <c r="A10670" s="9" t="str">
        <f>HYPERLINK("http://www.ensembl.org/id/WBGene00010148", "WBGene00010148")</f>
        <v>WBGene00010148</v>
      </c>
      <c r="B10670" s="9" t="str">
        <f>HYPERLINK("http://www.ncbi.nlm.nih.gov/gene/186382", "186382")</f>
        <v>186382</v>
      </c>
      <c r="C10670" s="9"/>
      <c r="D10670" t="str">
        <f>"F56D5.3"</f>
        <v>F56D5.3</v>
      </c>
      <c r="F10670" t="s">
        <v>11</v>
      </c>
      <c r="G10670" t="s">
        <v>260</v>
      </c>
      <c r="H10670" s="12">
        <v>1.17283464931079</v>
      </c>
      <c r="I10670" s="20">
        <v>0.33926351820289702</v>
      </c>
      <c r="J10670" s="28">
        <v>0.73441122285501204</v>
      </c>
      <c r="K10670" s="29">
        <v>0.98289565623980701</v>
      </c>
    </row>
    <row r="10671" spans="1:11" x14ac:dyDescent="0.35">
      <c r="A10671" s="9" t="str">
        <f>HYPERLINK("http://www.ensembl.org/id/WBGene00014773", "WBGene00014773")</f>
        <v>WBGene00014773</v>
      </c>
      <c r="B10671" s="9"/>
      <c r="C10671" s="9"/>
      <c r="D10671" t="str">
        <f>"F56D5.8"</f>
        <v>F56D5.8</v>
      </c>
      <c r="F10671" t="s">
        <v>80</v>
      </c>
      <c r="H10671" s="12">
        <v>2.4578120077400301</v>
      </c>
      <c r="I10671" s="20">
        <v>0.26093350314551</v>
      </c>
      <c r="J10671" s="28">
        <v>0.79414378780213601</v>
      </c>
      <c r="K10671" s="29">
        <v>0.98289565623980701</v>
      </c>
    </row>
    <row r="10672" spans="1:11" x14ac:dyDescent="0.35">
      <c r="A10672" s="9" t="str">
        <f>HYPERLINK("http://www.ensembl.org/id/WBGene00044474", "WBGene00044474")</f>
        <v>WBGene00044474</v>
      </c>
      <c r="B10672" s="9" t="str">
        <f>HYPERLINK("http://www.ncbi.nlm.nih.gov/gene/3896772", "3896772")</f>
        <v>3896772</v>
      </c>
      <c r="C10672" s="9"/>
      <c r="D10672" t="str">
        <f>"F56D6.12"</f>
        <v>F56D6.12</v>
      </c>
      <c r="F10672" t="s">
        <v>11</v>
      </c>
      <c r="G10672" t="s">
        <v>25</v>
      </c>
      <c r="H10672" s="12">
        <v>-2.4295389261469</v>
      </c>
      <c r="I10672" s="20">
        <v>-0.25808529976640998</v>
      </c>
      <c r="J10672" s="28">
        <v>0.79634107645457397</v>
      </c>
      <c r="K10672" s="29">
        <v>0.98289565623980701</v>
      </c>
    </row>
    <row r="10673" spans="1:11" x14ac:dyDescent="0.35">
      <c r="A10673" s="9" t="str">
        <f>HYPERLINK("http://www.ensembl.org/id/WBGene00044475", "WBGene00044475")</f>
        <v>WBGene00044475</v>
      </c>
      <c r="B10673" s="9" t="str">
        <f>HYPERLINK("http://www.ncbi.nlm.nih.gov/gene/3896773", "3896773")</f>
        <v>3896773</v>
      </c>
      <c r="C10673" s="9"/>
      <c r="D10673" t="str">
        <f>"F56D6.13"</f>
        <v>F56D6.13</v>
      </c>
      <c r="F10673" t="s">
        <v>11</v>
      </c>
      <c r="G10673" t="s">
        <v>25</v>
      </c>
      <c r="H10673" s="12">
        <v>-2.00682277655305</v>
      </c>
      <c r="I10673" s="20">
        <v>-0.49142161571090398</v>
      </c>
      <c r="J10673" s="28">
        <v>0.62312827901821299</v>
      </c>
      <c r="K10673" s="29">
        <v>0.98289565623980701</v>
      </c>
    </row>
    <row r="10674" spans="1:11" x14ac:dyDescent="0.35">
      <c r="A10674" s="9" t="str">
        <f>HYPERLINK("http://www.ensembl.org/id/WBGene00219304", "WBGene00219304")</f>
        <v>WBGene00219304</v>
      </c>
      <c r="B10674" s="9"/>
      <c r="C10674" s="9"/>
      <c r="D10674" t="str">
        <f>"F56D6.16"</f>
        <v>F56D6.16</v>
      </c>
      <c r="F10674" t="s">
        <v>80</v>
      </c>
      <c r="H10674" s="12">
        <v>-1.4492804495417999</v>
      </c>
      <c r="I10674" s="20">
        <v>-0.80921201371764595</v>
      </c>
      <c r="J10674" s="28">
        <v>0.418393205756042</v>
      </c>
      <c r="K10674" s="29">
        <v>0.98289565623980701</v>
      </c>
    </row>
    <row r="10675" spans="1:11" x14ac:dyDescent="0.35">
      <c r="A10675" s="9" t="str">
        <f>HYPERLINK("http://www.ensembl.org/id/WBGene00219307", "WBGene00219307")</f>
        <v>WBGene00219307</v>
      </c>
      <c r="B10675" s="9"/>
      <c r="C10675" s="9"/>
      <c r="D10675" t="str">
        <f>"F56D6.17"</f>
        <v>F56D6.17</v>
      </c>
      <c r="F10675" t="s">
        <v>80</v>
      </c>
      <c r="H10675" s="12">
        <v>-1.2047943417592899</v>
      </c>
      <c r="I10675" s="20">
        <v>-0.69178612426389696</v>
      </c>
      <c r="J10675" s="28">
        <v>0.48907165178469902</v>
      </c>
      <c r="K10675" s="29">
        <v>0.98289565623980701</v>
      </c>
    </row>
    <row r="10676" spans="1:11" x14ac:dyDescent="0.35">
      <c r="A10676" s="9" t="str">
        <f>HYPERLINK("http://www.ensembl.org/id/WBGene00235359", "WBGene00235359")</f>
        <v>WBGene00235359</v>
      </c>
      <c r="B10676" s="9" t="str">
        <f>HYPERLINK("http://www.ncbi.nlm.nih.gov/gene/24104655", "24104655")</f>
        <v>24104655</v>
      </c>
      <c r="C10676" s="9"/>
      <c r="D10676" t="str">
        <f>"F56D6.22"</f>
        <v>F56D6.22</v>
      </c>
      <c r="F10676" t="s">
        <v>11</v>
      </c>
      <c r="G10676" t="s">
        <v>25</v>
      </c>
      <c r="H10676" s="12">
        <v>3.5227018545059199</v>
      </c>
      <c r="I10676" s="20">
        <v>0.36849691206929103</v>
      </c>
      <c r="J10676" s="28">
        <v>0.71250274722433404</v>
      </c>
      <c r="K10676" s="29">
        <v>0.98289565623980701</v>
      </c>
    </row>
    <row r="10677" spans="1:11" x14ac:dyDescent="0.35">
      <c r="A10677" s="9" t="str">
        <f>HYPERLINK("http://www.ensembl.org/id/WBGene00044292", "WBGene00044292")</f>
        <v>WBGene00044292</v>
      </c>
      <c r="B10677" s="9" t="str">
        <f>HYPERLINK("http://www.ncbi.nlm.nih.gov/gene/3565007", "3565007")</f>
        <v>3565007</v>
      </c>
      <c r="C10677" s="9"/>
      <c r="D10677" t="str">
        <f>"F56D6.8"</f>
        <v>F56D6.8</v>
      </c>
      <c r="F10677" t="s">
        <v>11</v>
      </c>
      <c r="H10677" s="12">
        <v>-1.7354817896233601</v>
      </c>
      <c r="I10677" s="20">
        <v>-0.55972828440363498</v>
      </c>
      <c r="J10677" s="28">
        <v>0.57566478671652799</v>
      </c>
      <c r="K10677" s="29">
        <v>0.98289565623980701</v>
      </c>
    </row>
    <row r="10678" spans="1:11" x14ac:dyDescent="0.35">
      <c r="A10678" s="9" t="str">
        <f>HYPERLINK("http://www.ensembl.org/id/WBGene00044471", "WBGene00044471")</f>
        <v>WBGene00044471</v>
      </c>
      <c r="B10678" s="9" t="str">
        <f>HYPERLINK("http://www.ncbi.nlm.nih.gov/gene/3896765", "3896765")</f>
        <v>3896765</v>
      </c>
      <c r="C10678" s="9"/>
      <c r="D10678" t="str">
        <f>"F56D6.9"</f>
        <v>F56D6.9</v>
      </c>
      <c r="F10678" t="s">
        <v>11</v>
      </c>
      <c r="H10678" s="12">
        <v>1.6892788358072699</v>
      </c>
      <c r="I10678" s="20">
        <v>0.74061705765254804</v>
      </c>
      <c r="J10678" s="28">
        <v>0.45892566246556399</v>
      </c>
      <c r="K10678" s="29">
        <v>0.98289565623980701</v>
      </c>
    </row>
    <row r="10679" spans="1:11" x14ac:dyDescent="0.35">
      <c r="A10679" s="9" t="str">
        <f>HYPERLINK("http://www.ensembl.org/id/WBGene00018975", "WBGene00018975")</f>
        <v>WBGene00018975</v>
      </c>
      <c r="B10679" s="9" t="str">
        <f>HYPERLINK("http://www.ncbi.nlm.nih.gov/gene/186391", "186391")</f>
        <v>186391</v>
      </c>
      <c r="C10679" s="9"/>
      <c r="D10679" t="str">
        <f>"F56E10.1"</f>
        <v>F56E10.1</v>
      </c>
      <c r="F10679" t="s">
        <v>11</v>
      </c>
      <c r="G10679" t="s">
        <v>9093</v>
      </c>
      <c r="H10679" s="12">
        <v>-1.21977365541697</v>
      </c>
      <c r="I10679" s="20">
        <v>-0.95411054667010498</v>
      </c>
      <c r="J10679" s="28">
        <v>0.34002768805732198</v>
      </c>
      <c r="K10679" s="29">
        <v>0.98289565623980701</v>
      </c>
    </row>
    <row r="10680" spans="1:11" x14ac:dyDescent="0.35">
      <c r="A10680" s="9" t="str">
        <f>HYPERLINK("http://www.ensembl.org/id/WBGene00197471", "WBGene00197471")</f>
        <v>WBGene00197471</v>
      </c>
      <c r="B10680" s="9"/>
      <c r="C10680" s="9"/>
      <c r="D10680" t="str">
        <f>"F56E3.10"</f>
        <v>F56E3.10</v>
      </c>
      <c r="F10680" t="s">
        <v>481</v>
      </c>
      <c r="H10680" s="12">
        <v>2.4578120077400301</v>
      </c>
      <c r="I10680" s="20">
        <v>0.26093350314551</v>
      </c>
      <c r="J10680" s="28">
        <v>0.79414378780213601</v>
      </c>
      <c r="K10680" s="29">
        <v>0.98289565623980701</v>
      </c>
    </row>
    <row r="10681" spans="1:11" x14ac:dyDescent="0.35">
      <c r="A10681" s="9" t="str">
        <f>HYPERLINK("http://www.ensembl.org/id/WBGene00197759", "WBGene00197759")</f>
        <v>WBGene00197759</v>
      </c>
      <c r="B10681" s="9"/>
      <c r="C10681" s="9"/>
      <c r="D10681" t="str">
        <f>"F56E3.11"</f>
        <v>F56E3.11</v>
      </c>
      <c r="F10681" t="s">
        <v>481</v>
      </c>
      <c r="H10681" s="12">
        <v>3.8470490436711602</v>
      </c>
      <c r="I10681" s="20">
        <v>0.747862897506399</v>
      </c>
      <c r="J10681" s="28">
        <v>0.45454285895624003</v>
      </c>
      <c r="K10681" s="29">
        <v>0.98289565623980701</v>
      </c>
    </row>
    <row r="10682" spans="1:11" x14ac:dyDescent="0.35">
      <c r="A10682" s="9" t="str">
        <f>HYPERLINK("http://www.ensembl.org/id/WBGene00195324", "WBGene00195324")</f>
        <v>WBGene00195324</v>
      </c>
      <c r="B10682" s="9"/>
      <c r="C10682" s="9"/>
      <c r="D10682" t="str">
        <f>"F56E3.5"</f>
        <v>F56E3.5</v>
      </c>
      <c r="F10682" t="s">
        <v>481</v>
      </c>
      <c r="H10682" s="12">
        <v>2.4578120077400301</v>
      </c>
      <c r="I10682" s="20">
        <v>0.26093350314551</v>
      </c>
      <c r="J10682" s="28">
        <v>0.79414378780213601</v>
      </c>
      <c r="K10682" s="29">
        <v>0.98289565623980701</v>
      </c>
    </row>
    <row r="10683" spans="1:11" x14ac:dyDescent="0.35">
      <c r="A10683" s="9" t="str">
        <f>HYPERLINK("http://www.ensembl.org/id/WBGene00195842", "WBGene00195842")</f>
        <v>WBGene00195842</v>
      </c>
      <c r="B10683" s="9"/>
      <c r="C10683" s="9"/>
      <c r="D10683" t="str">
        <f>"F56E3.7"</f>
        <v>F56E3.7</v>
      </c>
      <c r="F10683" t="s">
        <v>481</v>
      </c>
      <c r="H10683" s="12">
        <v>-4.2912371281592003</v>
      </c>
      <c r="I10683" s="20">
        <v>-0.56372227087147897</v>
      </c>
      <c r="J10683" s="28">
        <v>0.572943158267888</v>
      </c>
      <c r="K10683" s="29">
        <v>0.98289565623980701</v>
      </c>
    </row>
    <row r="10684" spans="1:11" x14ac:dyDescent="0.35">
      <c r="A10684" s="9" t="str">
        <f>HYPERLINK("http://www.ensembl.org/id/WBGene00197024", "WBGene00197024")</f>
        <v>WBGene00197024</v>
      </c>
      <c r="B10684" s="9"/>
      <c r="C10684" s="9"/>
      <c r="D10684" t="str">
        <f>"F56E3.9"</f>
        <v>F56E3.9</v>
      </c>
      <c r="F10684" t="s">
        <v>481</v>
      </c>
      <c r="H10684" s="12">
        <v>5.9495765472548197</v>
      </c>
      <c r="I10684" s="20">
        <v>0.52429389276509997</v>
      </c>
      <c r="J10684" s="28">
        <v>0.60007414400596704</v>
      </c>
      <c r="K10684" s="29">
        <v>0.98289565623980701</v>
      </c>
    </row>
    <row r="10685" spans="1:11" x14ac:dyDescent="0.35">
      <c r="A10685" s="9" t="str">
        <f>HYPERLINK("http://www.ensembl.org/id/WBGene00018985", "WBGene00018985")</f>
        <v>WBGene00018985</v>
      </c>
      <c r="B10685" s="9" t="str">
        <f>HYPERLINK("http://www.ncbi.nlm.nih.gov/gene/186404", "186404")</f>
        <v>186404</v>
      </c>
      <c r="C10685" s="9"/>
      <c r="D10685" t="str">
        <f>"F56F10.2"</f>
        <v>F56F10.2</v>
      </c>
      <c r="F10685" t="s">
        <v>11</v>
      </c>
      <c r="G10685" t="s">
        <v>54</v>
      </c>
      <c r="H10685" s="12">
        <v>-1.1343353010535699</v>
      </c>
      <c r="I10685" s="20">
        <v>-0.55610016504790305</v>
      </c>
      <c r="J10685" s="28">
        <v>0.57814238227929804</v>
      </c>
      <c r="K10685" s="29">
        <v>0.98289565623980701</v>
      </c>
    </row>
    <row r="10686" spans="1:11" x14ac:dyDescent="0.35">
      <c r="A10686" s="9" t="str">
        <f>HYPERLINK("http://www.ensembl.org/id/WBGene00023074", "WBGene00023074")</f>
        <v>WBGene00023074</v>
      </c>
      <c r="B10686" s="9"/>
      <c r="C10686" s="9"/>
      <c r="D10686" t="str">
        <f>"F56F10.t1"</f>
        <v>F56F10.t1</v>
      </c>
      <c r="F10686" t="s">
        <v>4208</v>
      </c>
      <c r="H10686" s="12">
        <v>-7.7904337984490803</v>
      </c>
      <c r="I10686" s="20">
        <v>-0.60901310058451197</v>
      </c>
      <c r="J10686" s="28">
        <v>0.54251575542982</v>
      </c>
      <c r="K10686" s="29">
        <v>0.98289565623980701</v>
      </c>
    </row>
    <row r="10687" spans="1:11" x14ac:dyDescent="0.35">
      <c r="A10687" s="9" t="str">
        <f>HYPERLINK("http://www.ensembl.org/id/WBGene00018989", "WBGene00018989")</f>
        <v>WBGene00018989</v>
      </c>
      <c r="B10687" s="9" t="str">
        <f>HYPERLINK("http://www.ncbi.nlm.nih.gov/gene/186407", "186407")</f>
        <v>186407</v>
      </c>
      <c r="C10687" s="9"/>
      <c r="D10687" t="str">
        <f>"F56F11.2"</f>
        <v>F56F11.2</v>
      </c>
      <c r="F10687" t="s">
        <v>11</v>
      </c>
      <c r="H10687" s="12">
        <v>-1.2382104433649499</v>
      </c>
      <c r="I10687" s="20">
        <v>-0.88289055296669094</v>
      </c>
      <c r="J10687" s="28">
        <v>0.377295408298705</v>
      </c>
      <c r="K10687" s="29">
        <v>0.98289565623980701</v>
      </c>
    </row>
    <row r="10688" spans="1:11" x14ac:dyDescent="0.35">
      <c r="A10688" s="9" t="str">
        <f>HYPERLINK("http://www.ensembl.org/id/WBGene00197669", "WBGene00197669")</f>
        <v>WBGene00197669</v>
      </c>
      <c r="B10688" s="9"/>
      <c r="C10688" s="9"/>
      <c r="D10688" t="str">
        <f>"F56F3.10"</f>
        <v>F56F3.10</v>
      </c>
      <c r="F10688" t="s">
        <v>481</v>
      </c>
      <c r="H10688" s="12">
        <v>2.3893468495514898</v>
      </c>
      <c r="I10688" s="20">
        <v>0.25323547253672701</v>
      </c>
      <c r="J10688" s="28">
        <v>0.80008625651646104</v>
      </c>
      <c r="K10688" s="29">
        <v>0.98289565623980701</v>
      </c>
    </row>
    <row r="10689" spans="1:11" x14ac:dyDescent="0.35">
      <c r="A10689" s="9" t="str">
        <f>HYPERLINK("http://www.ensembl.org/id/WBGene00198182", "WBGene00198182")</f>
        <v>WBGene00198182</v>
      </c>
      <c r="B10689" s="9"/>
      <c r="C10689" s="9"/>
      <c r="D10689" t="str">
        <f>"F56F3.11"</f>
        <v>F56F3.11</v>
      </c>
      <c r="F10689" t="s">
        <v>481</v>
      </c>
      <c r="H10689" s="12">
        <v>-7.8499941906564796</v>
      </c>
      <c r="I10689" s="20">
        <v>-0.83853604946327898</v>
      </c>
      <c r="J10689" s="28">
        <v>0.40172971006716801</v>
      </c>
      <c r="K10689" s="29">
        <v>0.98289565623980701</v>
      </c>
    </row>
    <row r="10690" spans="1:11" x14ac:dyDescent="0.35">
      <c r="A10690" s="9" t="str">
        <f>HYPERLINK("http://www.ensembl.org/id/WBGene00202066", "WBGene00202066")</f>
        <v>WBGene00202066</v>
      </c>
      <c r="B10690" s="9"/>
      <c r="C10690" s="9"/>
      <c r="D10690" t="str">
        <f>"F56F3.14"</f>
        <v>F56F3.14</v>
      </c>
      <c r="F10690" t="s">
        <v>481</v>
      </c>
      <c r="H10690" s="12">
        <v>2.3893468495514898</v>
      </c>
      <c r="I10690" s="20">
        <v>0.25323547253672701</v>
      </c>
      <c r="J10690" s="28">
        <v>0.80008625651646104</v>
      </c>
      <c r="K10690" s="29">
        <v>0.98289565623980701</v>
      </c>
    </row>
    <row r="10691" spans="1:11" x14ac:dyDescent="0.35">
      <c r="A10691" s="9" t="str">
        <f>HYPERLINK("http://www.ensembl.org/id/WBGene00010155", "WBGene00010155")</f>
        <v>WBGene00010155</v>
      </c>
      <c r="B10691" s="9" t="str">
        <f>HYPERLINK("http://www.ncbi.nlm.nih.gov/gene/186395", "186395")</f>
        <v>186395</v>
      </c>
      <c r="C10691" s="9"/>
      <c r="D10691" t="str">
        <f>"F56F3.4"</f>
        <v>F56F3.4</v>
      </c>
      <c r="F10691" t="s">
        <v>11</v>
      </c>
      <c r="G10691" t="s">
        <v>5266</v>
      </c>
      <c r="H10691" s="12">
        <v>1.20064427946702</v>
      </c>
      <c r="I10691" s="20">
        <v>0.29357740314922098</v>
      </c>
      <c r="J10691" s="28">
        <v>0.76908084493652196</v>
      </c>
      <c r="K10691" s="29">
        <v>0.98289565623980701</v>
      </c>
    </row>
    <row r="10692" spans="1:11" x14ac:dyDescent="0.35">
      <c r="A10692" s="9" t="str">
        <f>HYPERLINK("http://www.ensembl.org/id/WBGene00194748", "WBGene00194748")</f>
        <v>WBGene00194748</v>
      </c>
      <c r="B10692" s="9"/>
      <c r="C10692" s="9"/>
      <c r="D10692" t="str">
        <f>"F56F3.7"</f>
        <v>F56F3.7</v>
      </c>
      <c r="F10692" t="s">
        <v>481</v>
      </c>
      <c r="H10692" s="12">
        <v>1.3140724826102299</v>
      </c>
      <c r="I10692" s="20">
        <v>0.37375747782302898</v>
      </c>
      <c r="J10692" s="28">
        <v>0.70858475813640898</v>
      </c>
      <c r="K10692" s="29">
        <v>0.98289565623980701</v>
      </c>
    </row>
    <row r="10693" spans="1:11" x14ac:dyDescent="0.35">
      <c r="A10693" s="9" t="str">
        <f>HYPERLINK("http://www.ensembl.org/id/WBGene00014402", "WBGene00014402")</f>
        <v>WBGene00014402</v>
      </c>
      <c r="B10693" s="9"/>
      <c r="C10693" s="9"/>
      <c r="D10693" t="str">
        <f>"F56F3.t1"</f>
        <v>F56F3.t1</v>
      </c>
      <c r="F10693" t="s">
        <v>4208</v>
      </c>
      <c r="H10693" s="12">
        <v>12.685338163804801</v>
      </c>
      <c r="I10693" s="20">
        <v>0.81852262355899996</v>
      </c>
      <c r="J10693" s="28">
        <v>0.41305882922107201</v>
      </c>
      <c r="K10693" s="29">
        <v>0.98289565623980701</v>
      </c>
    </row>
    <row r="10694" spans="1:11" x14ac:dyDescent="0.35">
      <c r="A10694" s="9" t="str">
        <f>HYPERLINK("http://www.ensembl.org/id/WBGene00018981", "WBGene00018981")</f>
        <v>WBGene00018981</v>
      </c>
      <c r="B10694" s="9" t="str">
        <f>HYPERLINK("http://www.ncbi.nlm.nih.gov/gene/186399", "186399")</f>
        <v>186399</v>
      </c>
      <c r="C10694" s="9"/>
      <c r="D10694" t="str">
        <f>"F56F4.4"</f>
        <v>F56F4.4</v>
      </c>
      <c r="F10694" t="s">
        <v>11</v>
      </c>
      <c r="H10694" s="12">
        <v>2.5059809859400799</v>
      </c>
      <c r="I10694" s="20">
        <v>0.86051823166562902</v>
      </c>
      <c r="J10694" s="28">
        <v>0.38950343795853598</v>
      </c>
      <c r="K10694" s="29">
        <v>0.98289565623980701</v>
      </c>
    </row>
    <row r="10695" spans="1:11" x14ac:dyDescent="0.35">
      <c r="A10695" s="9" t="str">
        <f>HYPERLINK("http://www.ensembl.org/id/WBGene00045498", "WBGene00045498")</f>
        <v>WBGene00045498</v>
      </c>
      <c r="B10695" s="9" t="str">
        <f>HYPERLINK("http://www.ncbi.nlm.nih.gov/gene/6418595", "6418595")</f>
        <v>6418595</v>
      </c>
      <c r="C10695" s="9"/>
      <c r="D10695" t="str">
        <f>"F56F4.8"</f>
        <v>F56F4.8</v>
      </c>
      <c r="F10695" t="s">
        <v>11</v>
      </c>
      <c r="G10695" t="s">
        <v>25</v>
      </c>
      <c r="H10695" s="12">
        <v>-1.33267781806424</v>
      </c>
      <c r="I10695" s="20">
        <v>-0.58592292298507298</v>
      </c>
      <c r="J10695" s="28">
        <v>0.55792731215902303</v>
      </c>
      <c r="K10695" s="29">
        <v>0.98289565623980701</v>
      </c>
    </row>
    <row r="10696" spans="1:11" x14ac:dyDescent="0.35">
      <c r="A10696" s="9" t="str">
        <f>HYPERLINK("http://www.ensembl.org/id/WBGene00010159", "WBGene00010159")</f>
        <v>WBGene00010159</v>
      </c>
      <c r="B10696" s="9" t="str">
        <f>HYPERLINK("http://www.ncbi.nlm.nih.gov/gene/173027", "173027")</f>
        <v>173027</v>
      </c>
      <c r="C10696" s="9"/>
      <c r="D10696" t="str">
        <f>"F56G4.4"</f>
        <v>F56G4.4</v>
      </c>
      <c r="F10696" t="s">
        <v>11</v>
      </c>
      <c r="G10696" t="s">
        <v>8057</v>
      </c>
      <c r="H10696" s="12">
        <v>-1.1589506059085</v>
      </c>
      <c r="I10696" s="20">
        <v>-0.70488646995922799</v>
      </c>
      <c r="J10696" s="28">
        <v>0.48088089079325702</v>
      </c>
      <c r="K10696" s="29">
        <v>0.98289565623980701</v>
      </c>
    </row>
    <row r="10697" spans="1:11" x14ac:dyDescent="0.35">
      <c r="A10697" s="9" t="str">
        <f>HYPERLINK("http://www.ensembl.org/id/WBGene00010161", "WBGene00010161")</f>
        <v>WBGene00010161</v>
      </c>
      <c r="B10697" s="9" t="str">
        <f>HYPERLINK("http://www.ncbi.nlm.nih.gov/gene/186409", "186409")</f>
        <v>186409</v>
      </c>
      <c r="C10697" s="9"/>
      <c r="D10697" t="str">
        <f>"F56G4.6"</f>
        <v>F56G4.6</v>
      </c>
      <c r="F10697" t="s">
        <v>11</v>
      </c>
      <c r="H10697" s="12">
        <v>-1.1452921586818701</v>
      </c>
      <c r="I10697" s="20">
        <v>-0.53402123558538594</v>
      </c>
      <c r="J10697" s="28">
        <v>0.59332684206619501</v>
      </c>
      <c r="K10697" s="29">
        <v>0.98289565623980701</v>
      </c>
    </row>
    <row r="10698" spans="1:11" x14ac:dyDescent="0.35">
      <c r="A10698" s="9" t="str">
        <f>HYPERLINK("http://www.ensembl.org/id/WBGene00018994", "WBGene00018994")</f>
        <v>WBGene00018994</v>
      </c>
      <c r="B10698" s="9" t="str">
        <f>HYPERLINK("http://www.ncbi.nlm.nih.gov/gene/186411", "186411")</f>
        <v>186411</v>
      </c>
      <c r="C10698" s="9"/>
      <c r="D10698" t="str">
        <f>"F56H1.3"</f>
        <v>F56H1.3</v>
      </c>
      <c r="F10698" t="s">
        <v>11</v>
      </c>
      <c r="H10698" s="12">
        <v>-3.5819448292659501</v>
      </c>
      <c r="I10698" s="20">
        <v>-0.37337717500031398</v>
      </c>
      <c r="J10698" s="28">
        <v>0.70886774492290605</v>
      </c>
      <c r="K10698" s="29">
        <v>0.98289565623980701</v>
      </c>
    </row>
    <row r="10699" spans="1:11" x14ac:dyDescent="0.35">
      <c r="A10699" s="9" t="str">
        <f>HYPERLINK("http://www.ensembl.org/id/WBGene00010176", "WBGene00010176")</f>
        <v>WBGene00010176</v>
      </c>
      <c r="B10699" s="9"/>
      <c r="C10699" s="9"/>
      <c r="D10699" t="str">
        <f>"F56H11.6"</f>
        <v>F56H11.6</v>
      </c>
      <c r="F10699" t="s">
        <v>80</v>
      </c>
      <c r="H10699" s="12">
        <v>4.7031417454497699</v>
      </c>
      <c r="I10699" s="20">
        <v>0.74790872763948502</v>
      </c>
      <c r="J10699" s="28">
        <v>0.45451521287873797</v>
      </c>
      <c r="K10699" s="29">
        <v>0.98289565623980701</v>
      </c>
    </row>
    <row r="10700" spans="1:11" x14ac:dyDescent="0.35">
      <c r="A10700" s="9" t="str">
        <f>HYPERLINK("http://www.ensembl.org/id/WBGene00195807", "WBGene00195807")</f>
        <v>WBGene00195807</v>
      </c>
      <c r="B10700" s="9"/>
      <c r="C10700" s="9"/>
      <c r="D10700" t="str">
        <f>"F56H11.8"</f>
        <v>F56H11.8</v>
      </c>
      <c r="F10700" t="s">
        <v>481</v>
      </c>
      <c r="H10700" s="12">
        <v>3.5227018545059199</v>
      </c>
      <c r="I10700" s="20">
        <v>0.36849691206929103</v>
      </c>
      <c r="J10700" s="28">
        <v>0.71250274722433404</v>
      </c>
      <c r="K10700" s="29">
        <v>0.98289565623980701</v>
      </c>
    </row>
    <row r="10701" spans="1:11" x14ac:dyDescent="0.35">
      <c r="A10701" s="9" t="str">
        <f>HYPERLINK("http://www.ensembl.org/id/WBGene00010162", "WBGene00010162")</f>
        <v>WBGene00010162</v>
      </c>
      <c r="B10701" s="9" t="str">
        <f>HYPERLINK("http://www.ncbi.nlm.nih.gov/gene/186412", "186412")</f>
        <v>186412</v>
      </c>
      <c r="C10701" s="9"/>
      <c r="D10701" t="str">
        <f>"F56H6.1"</f>
        <v>F56H6.1</v>
      </c>
      <c r="E10701" t="s">
        <v>3820</v>
      </c>
      <c r="F10701" t="s">
        <v>11</v>
      </c>
      <c r="G10701" t="s">
        <v>3821</v>
      </c>
      <c r="H10701" s="12">
        <v>2.3893468495514898</v>
      </c>
      <c r="I10701" s="20">
        <v>0.25323547253672701</v>
      </c>
      <c r="J10701" s="28">
        <v>0.80008625651646104</v>
      </c>
      <c r="K10701" s="29">
        <v>0.98289565623980701</v>
      </c>
    </row>
    <row r="10702" spans="1:11" x14ac:dyDescent="0.35">
      <c r="A10702" s="9" t="str">
        <f>HYPERLINK("http://www.ensembl.org/id/WBGene00010173", "WBGene00010173")</f>
        <v>WBGene00010173</v>
      </c>
      <c r="B10702" s="9" t="str">
        <f>HYPERLINK("http://www.ncbi.nlm.nih.gov/gene/186423", "186423")</f>
        <v>186423</v>
      </c>
      <c r="C10702" s="9"/>
      <c r="D10702" t="str">
        <f>"F56H6.13"</f>
        <v>F56H6.13</v>
      </c>
      <c r="F10702" t="s">
        <v>11</v>
      </c>
      <c r="G10702" t="s">
        <v>3419</v>
      </c>
      <c r="H10702" s="12">
        <v>3.5208699879212801</v>
      </c>
      <c r="I10702" s="20">
        <v>1.2058488520746</v>
      </c>
      <c r="J10702" s="28">
        <v>0.227875775197797</v>
      </c>
      <c r="K10702" s="29">
        <v>0.98289565623980701</v>
      </c>
    </row>
    <row r="10703" spans="1:11" x14ac:dyDescent="0.35">
      <c r="A10703" s="9" t="str">
        <f>HYPERLINK("http://www.ensembl.org/id/WBGene00014405", "WBGene00014405")</f>
        <v>WBGene00014405</v>
      </c>
      <c r="B10703" s="9"/>
      <c r="C10703" s="9"/>
      <c r="D10703" t="str">
        <f>"F56H6.16"</f>
        <v>F56H6.16</v>
      </c>
      <c r="F10703" t="s">
        <v>4205</v>
      </c>
      <c r="H10703" s="12">
        <v>-3.5819448292659501</v>
      </c>
      <c r="I10703" s="20">
        <v>-0.37337717500031398</v>
      </c>
      <c r="J10703" s="28">
        <v>0.70886774492290605</v>
      </c>
      <c r="K10703" s="29">
        <v>0.98289565623980701</v>
      </c>
    </row>
    <row r="10704" spans="1:11" x14ac:dyDescent="0.35">
      <c r="A10704" s="9" t="str">
        <f>HYPERLINK("http://www.ensembl.org/id/WBGene00010174", "WBGene00010174")</f>
        <v>WBGene00010174</v>
      </c>
      <c r="B10704" s="9" t="str">
        <f>HYPERLINK("http://www.ncbi.nlm.nih.gov/gene/179730", "179730")</f>
        <v>179730</v>
      </c>
      <c r="C10704" s="9"/>
      <c r="D10704" t="str">
        <f>"F56H9.2"</f>
        <v>F56H9.2</v>
      </c>
      <c r="F10704" t="s">
        <v>11</v>
      </c>
      <c r="H10704" s="12">
        <v>-1.22241150476495</v>
      </c>
      <c r="I10704" s="20">
        <v>-1.1081815001981701</v>
      </c>
      <c r="J10704" s="28">
        <v>0.26778343871769</v>
      </c>
      <c r="K10704" s="29">
        <v>0.98289565623980701</v>
      </c>
    </row>
    <row r="10705" spans="1:11" x14ac:dyDescent="0.35">
      <c r="A10705" s="9" t="str">
        <f>HYPERLINK("http://www.ensembl.org/id/WBGene00189948", "WBGene00189948")</f>
        <v>WBGene00189948</v>
      </c>
      <c r="B10705" s="9" t="str">
        <f>HYPERLINK("http://www.ncbi.nlm.nih.gov/gene/13215867", "13215867")</f>
        <v>13215867</v>
      </c>
      <c r="C10705" s="9"/>
      <c r="D10705" t="str">
        <f>"F56H9.8"</f>
        <v>F56H9.8</v>
      </c>
      <c r="F10705" t="s">
        <v>11</v>
      </c>
      <c r="H10705" s="12">
        <v>3.15695782213843</v>
      </c>
      <c r="I10705" s="20">
        <v>0.69790016720131498</v>
      </c>
      <c r="J10705" s="28">
        <v>0.48523962982977797</v>
      </c>
      <c r="K10705" s="29">
        <v>0.98289565623980701</v>
      </c>
    </row>
    <row r="10706" spans="1:11" x14ac:dyDescent="0.35">
      <c r="A10706" s="9" t="str">
        <f>HYPERLINK("http://www.ensembl.org/id/WBGene00010184", "WBGene00010184")</f>
        <v>WBGene00010184</v>
      </c>
      <c r="B10706" s="9" t="str">
        <f>HYPERLINK("http://www.ncbi.nlm.nih.gov/gene/180057", "180057")</f>
        <v>180057</v>
      </c>
      <c r="C10706" s="9"/>
      <c r="D10706" t="str">
        <f>"F57A10.2"</f>
        <v>F57A10.2</v>
      </c>
      <c r="E10706" t="s">
        <v>899</v>
      </c>
      <c r="F10706" t="s">
        <v>11</v>
      </c>
      <c r="G10706" t="s">
        <v>3403</v>
      </c>
      <c r="H10706" s="12">
        <v>1.55456196788173</v>
      </c>
      <c r="I10706" s="20">
        <v>0.38574965994761801</v>
      </c>
      <c r="J10706" s="28">
        <v>0.69968208057891601</v>
      </c>
      <c r="K10706" s="29">
        <v>0.98289565623980701</v>
      </c>
    </row>
    <row r="10707" spans="1:11" x14ac:dyDescent="0.35">
      <c r="A10707" s="9" t="str">
        <f>HYPERLINK("http://www.ensembl.org/id/WBGene00010182", "WBGene00010182")</f>
        <v>WBGene00010182</v>
      </c>
      <c r="B10707" s="9" t="str">
        <f>HYPERLINK("http://www.ncbi.nlm.nih.gov/gene/186432", "186432")</f>
        <v>186432</v>
      </c>
      <c r="C10707" s="9" t="str">
        <f>HYPERLINK("http://www.ncbi.nlm.nih.gov/gene/256471", "256471")</f>
        <v>256471</v>
      </c>
      <c r="D10707" t="str">
        <f>"F57A8.7"</f>
        <v>F57A8.7</v>
      </c>
      <c r="F10707" t="s">
        <v>11</v>
      </c>
      <c r="G10707" t="s">
        <v>230</v>
      </c>
      <c r="H10707" s="12">
        <v>-2.4413781110334698</v>
      </c>
      <c r="I10707" s="20">
        <v>-1.08549775641651</v>
      </c>
      <c r="J10707" s="28">
        <v>0.277701256845446</v>
      </c>
      <c r="K10707" s="29">
        <v>0.98289565623980701</v>
      </c>
    </row>
    <row r="10708" spans="1:11" x14ac:dyDescent="0.35">
      <c r="A10708" s="9" t="str">
        <f>HYPERLINK("http://www.ensembl.org/id/WBGene00197215", "WBGene00197215")</f>
        <v>WBGene00197215</v>
      </c>
      <c r="B10708" s="9"/>
      <c r="C10708" s="9"/>
      <c r="D10708" t="str">
        <f>"F57A8.9"</f>
        <v>F57A8.9</v>
      </c>
      <c r="F10708" t="s">
        <v>481</v>
      </c>
      <c r="H10708" s="12">
        <v>1.46860789454948</v>
      </c>
      <c r="I10708" s="20">
        <v>0.67536335634849698</v>
      </c>
      <c r="J10708" s="28">
        <v>0.49944494047988303</v>
      </c>
      <c r="K10708" s="29">
        <v>0.98289565623980701</v>
      </c>
    </row>
    <row r="10709" spans="1:11" x14ac:dyDescent="0.35">
      <c r="A10709" s="9" t="str">
        <f>HYPERLINK("http://www.ensembl.org/id/WBGene00197640", "WBGene00197640")</f>
        <v>WBGene00197640</v>
      </c>
      <c r="B10709" s="9"/>
      <c r="C10709" s="9"/>
      <c r="D10709" t="str">
        <f>"F57B1.13"</f>
        <v>F57B1.13</v>
      </c>
      <c r="F10709" t="s">
        <v>481</v>
      </c>
      <c r="H10709" s="12">
        <v>-2.4991590031922399</v>
      </c>
      <c r="I10709" s="20">
        <v>-0.26577412737581302</v>
      </c>
      <c r="J10709" s="28">
        <v>0.79041317015736101</v>
      </c>
      <c r="K10709" s="29">
        <v>0.98289565623980701</v>
      </c>
    </row>
    <row r="10710" spans="1:11" x14ac:dyDescent="0.35">
      <c r="A10710" s="9" t="str">
        <f>HYPERLINK("http://www.ensembl.org/id/WBGene00198019", "WBGene00198019")</f>
        <v>WBGene00198019</v>
      </c>
      <c r="B10710" s="9"/>
      <c r="C10710" s="9"/>
      <c r="D10710" t="str">
        <f>"F57B1.14"</f>
        <v>F57B1.14</v>
      </c>
      <c r="F10710" t="s">
        <v>481</v>
      </c>
      <c r="H10710" s="12">
        <v>-9.6815265259172598</v>
      </c>
      <c r="I10710" s="20">
        <v>-0.67531719156077197</v>
      </c>
      <c r="J10710" s="28">
        <v>0.49947426381858001</v>
      </c>
      <c r="K10710" s="29">
        <v>0.98289565623980701</v>
      </c>
    </row>
    <row r="10711" spans="1:11" x14ac:dyDescent="0.35">
      <c r="A10711" s="9" t="str">
        <f>HYPERLINK("http://www.ensembl.org/id/WBGene00010188", "WBGene00010188")</f>
        <v>WBGene00010188</v>
      </c>
      <c r="B10711" s="9" t="str">
        <f>HYPERLINK("http://www.ncbi.nlm.nih.gov/gene/186435", "186435")</f>
        <v>186435</v>
      </c>
      <c r="C10711" s="9"/>
      <c r="D10711" t="str">
        <f>"F57B1.5"</f>
        <v>F57B1.5</v>
      </c>
      <c r="F10711" t="s">
        <v>11</v>
      </c>
      <c r="G10711" t="s">
        <v>25</v>
      </c>
      <c r="H10711" s="12">
        <v>-1.15318499540409</v>
      </c>
      <c r="I10711" s="20">
        <v>-0.604815684063434</v>
      </c>
      <c r="J10711" s="28">
        <v>0.54530147124584005</v>
      </c>
      <c r="K10711" s="29">
        <v>0.98289565623980701</v>
      </c>
    </row>
    <row r="10712" spans="1:11" x14ac:dyDescent="0.35">
      <c r="A10712" s="9" t="str">
        <f>HYPERLINK("http://www.ensembl.org/id/WBGene00196124", "WBGene00196124")</f>
        <v>WBGene00196124</v>
      </c>
      <c r="B10712" s="9"/>
      <c r="C10712" s="9"/>
      <c r="D10712" t="str">
        <f>"F57B10.16"</f>
        <v>F57B10.16</v>
      </c>
      <c r="F10712" t="s">
        <v>481</v>
      </c>
      <c r="H10712" s="12">
        <v>2.43628531154256</v>
      </c>
      <c r="I10712" s="20">
        <v>0.26397437090349102</v>
      </c>
      <c r="J10712" s="28">
        <v>0.79179966754305298</v>
      </c>
      <c r="K10712" s="29">
        <v>0.98289565623980701</v>
      </c>
    </row>
    <row r="10713" spans="1:11" x14ac:dyDescent="0.35">
      <c r="A10713" s="9" t="str">
        <f>HYPERLINK("http://www.ensembl.org/id/WBGene00196721", "WBGene00196721")</f>
        <v>WBGene00196721</v>
      </c>
      <c r="B10713" s="9"/>
      <c r="C10713" s="9"/>
      <c r="D10713" t="str">
        <f>"F57B10.17"</f>
        <v>F57B10.17</v>
      </c>
      <c r="F10713" t="s">
        <v>481</v>
      </c>
      <c r="H10713" s="12">
        <v>-15.568815553890699</v>
      </c>
      <c r="I10713" s="20">
        <v>-0.92475094461314</v>
      </c>
      <c r="J10713" s="28">
        <v>0.355095472958318</v>
      </c>
      <c r="K10713" s="29">
        <v>0.98289565623980701</v>
      </c>
    </row>
    <row r="10714" spans="1:11" x14ac:dyDescent="0.35">
      <c r="A10714" s="9" t="str">
        <f>HYPERLINK("http://www.ensembl.org/id/WBGene00198317", "WBGene00198317")</f>
        <v>WBGene00198317</v>
      </c>
      <c r="B10714" s="9"/>
      <c r="C10714" s="9"/>
      <c r="D10714" t="str">
        <f>"F57B10.18"</f>
        <v>F57B10.18</v>
      </c>
      <c r="F10714" t="s">
        <v>481</v>
      </c>
      <c r="H10714" s="12">
        <v>1.7077658735585901</v>
      </c>
      <c r="I10714" s="20">
        <v>0.334881890201921</v>
      </c>
      <c r="J10714" s="28">
        <v>0.73771418365847996</v>
      </c>
      <c r="K10714" s="29">
        <v>0.98289565623980701</v>
      </c>
    </row>
    <row r="10715" spans="1:11" x14ac:dyDescent="0.35">
      <c r="A10715" s="9" t="str">
        <f>HYPERLINK("http://www.ensembl.org/id/WBGene00019005", "WBGene00019005")</f>
        <v>WBGene00019005</v>
      </c>
      <c r="B10715" s="9" t="str">
        <f>HYPERLINK("http://www.ncbi.nlm.nih.gov/gene/172368", "172368")</f>
        <v>172368</v>
      </c>
      <c r="C10715" s="9"/>
      <c r="D10715" t="str">
        <f>"F57B10.8"</f>
        <v>F57B10.8</v>
      </c>
      <c r="F10715" t="s">
        <v>11</v>
      </c>
      <c r="G10715" t="s">
        <v>7900</v>
      </c>
      <c r="H10715" s="12">
        <v>-1.15053711120894</v>
      </c>
      <c r="I10715" s="20">
        <v>-0.62342742765386805</v>
      </c>
      <c r="J10715" s="28">
        <v>0.53300367877681598</v>
      </c>
      <c r="K10715" s="29">
        <v>0.98289565623980701</v>
      </c>
    </row>
    <row r="10716" spans="1:11" x14ac:dyDescent="0.35">
      <c r="A10716" s="9" t="str">
        <f>HYPERLINK("http://www.ensembl.org/id/WBGene00196231", "WBGene00196231")</f>
        <v>WBGene00196231</v>
      </c>
      <c r="B10716" s="9"/>
      <c r="C10716" s="9"/>
      <c r="D10716" t="str">
        <f>"F57B7.6"</f>
        <v>F57B7.6</v>
      </c>
      <c r="F10716" t="s">
        <v>481</v>
      </c>
      <c r="H10716" s="12">
        <v>2.4578120077400301</v>
      </c>
      <c r="I10716" s="20">
        <v>0.26093350314551</v>
      </c>
      <c r="J10716" s="28">
        <v>0.79414378780213601</v>
      </c>
      <c r="K10716" s="29">
        <v>0.98289565623980701</v>
      </c>
    </row>
    <row r="10717" spans="1:11" x14ac:dyDescent="0.35">
      <c r="A10717" s="9" t="str">
        <f>HYPERLINK("http://www.ensembl.org/id/WBGene00198075", "WBGene00198075")</f>
        <v>WBGene00198075</v>
      </c>
      <c r="B10717" s="9"/>
      <c r="C10717" s="9"/>
      <c r="D10717" t="str">
        <f>"F57B7.8"</f>
        <v>F57B7.8</v>
      </c>
      <c r="F10717" t="s">
        <v>481</v>
      </c>
      <c r="H10717" s="12">
        <v>2.3893468495514898</v>
      </c>
      <c r="I10717" s="20">
        <v>0.25323547253672701</v>
      </c>
      <c r="J10717" s="28">
        <v>0.80008625651646104</v>
      </c>
      <c r="K10717" s="29">
        <v>0.98289565623980701</v>
      </c>
    </row>
    <row r="10718" spans="1:11" x14ac:dyDescent="0.35">
      <c r="A10718" s="9" t="str">
        <f>HYPERLINK("http://www.ensembl.org/id/WBGene00018996", "WBGene00018996")</f>
        <v>WBGene00018996</v>
      </c>
      <c r="B10718" s="9" t="str">
        <f>HYPERLINK("http://www.ncbi.nlm.nih.gov/gene/175973", "175973")</f>
        <v>175973</v>
      </c>
      <c r="C10718" s="9" t="str">
        <f>HYPERLINK("http://www.ncbi.nlm.nih.gov/gene/55163", "55163")</f>
        <v>55163</v>
      </c>
      <c r="D10718" t="str">
        <f>"F57B9.1"</f>
        <v>F57B9.1</v>
      </c>
      <c r="E10718" t="s">
        <v>9383</v>
      </c>
      <c r="F10718" t="s">
        <v>11</v>
      </c>
      <c r="G10718" t="s">
        <v>9384</v>
      </c>
      <c r="H10718" s="12">
        <v>-1.2422857144097299</v>
      </c>
      <c r="I10718" s="20">
        <v>-1.0250850558444</v>
      </c>
      <c r="J10718" s="28">
        <v>0.30532305620526901</v>
      </c>
      <c r="K10718" s="29">
        <v>0.98289565623980701</v>
      </c>
    </row>
    <row r="10719" spans="1:11" x14ac:dyDescent="0.35">
      <c r="A10719" s="9" t="str">
        <f>HYPERLINK("http://www.ensembl.org/id/WBGene00018997", "WBGene00018997")</f>
        <v>WBGene00018997</v>
      </c>
      <c r="B10719" s="9" t="str">
        <f>HYPERLINK("http://www.ncbi.nlm.nih.gov/gene/186440", "186440")</f>
        <v>186440</v>
      </c>
      <c r="C10719" s="9"/>
      <c r="D10719" t="str">
        <f>"F57B9.3"</f>
        <v>F57B9.3</v>
      </c>
      <c r="F10719" t="s">
        <v>11</v>
      </c>
      <c r="G10719" t="s">
        <v>5472</v>
      </c>
      <c r="H10719" s="12">
        <v>1.16025557042636</v>
      </c>
      <c r="I10719" s="20">
        <v>0.34816402218860698</v>
      </c>
      <c r="J10719" s="28">
        <v>0.72771700557386398</v>
      </c>
      <c r="K10719" s="29">
        <v>0.98289565623980701</v>
      </c>
    </row>
    <row r="10720" spans="1:11" x14ac:dyDescent="0.35">
      <c r="A10720" s="9" t="str">
        <f>HYPERLINK("http://www.ensembl.org/id/WBGene00194687", "WBGene00194687")</f>
        <v>WBGene00194687</v>
      </c>
      <c r="B10720" s="9" t="str">
        <f>HYPERLINK("http://www.ncbi.nlm.nih.gov/gene/13219089", "13219089")</f>
        <v>13219089</v>
      </c>
      <c r="C10720" s="9"/>
      <c r="D10720" t="str">
        <f>"F57C12.6"</f>
        <v>F57C12.6</v>
      </c>
      <c r="F10720" t="s">
        <v>11</v>
      </c>
      <c r="H10720" s="12">
        <v>-1.33847177904422</v>
      </c>
      <c r="I10720" s="20">
        <v>-0.51351571968035603</v>
      </c>
      <c r="J10720" s="28">
        <v>0.60759061759098898</v>
      </c>
      <c r="K10720" s="29">
        <v>0.98289565623980701</v>
      </c>
    </row>
    <row r="10721" spans="1:11" x14ac:dyDescent="0.35">
      <c r="A10721" s="9" t="str">
        <f>HYPERLINK("http://www.ensembl.org/id/WBGene00010196", "WBGene00010196")</f>
        <v>WBGene00010196</v>
      </c>
      <c r="B10721" s="9" t="str">
        <f>HYPERLINK("http://www.ncbi.nlm.nih.gov/gene/175111", "175111")</f>
        <v>175111</v>
      </c>
      <c r="C10721" s="9"/>
      <c r="D10721" t="str">
        <f>"F57C2.4"</f>
        <v>F57C2.4</v>
      </c>
      <c r="F10721" t="s">
        <v>11</v>
      </c>
      <c r="H10721" s="12">
        <v>-1.2031202472400699</v>
      </c>
      <c r="I10721" s="20">
        <v>-0.984756192449594</v>
      </c>
      <c r="J10721" s="28">
        <v>0.32474384361845199</v>
      </c>
      <c r="K10721" s="29">
        <v>0.98289565623980701</v>
      </c>
    </row>
    <row r="10722" spans="1:11" x14ac:dyDescent="0.35">
      <c r="A10722" s="9" t="str">
        <f>HYPERLINK("http://www.ensembl.org/id/WBGene00010197", "WBGene00010197")</f>
        <v>WBGene00010197</v>
      </c>
      <c r="B10722" s="9" t="str">
        <f>HYPERLINK("http://www.ncbi.nlm.nih.gov/gene/175112", "175112")</f>
        <v>175112</v>
      </c>
      <c r="C10722" s="9" t="str">
        <f>HYPERLINK("http://www.ncbi.nlm.nih.gov/gene/57136", "57136")</f>
        <v>57136</v>
      </c>
      <c r="D10722" t="str">
        <f>"F57C2.5"</f>
        <v>F57C2.5</v>
      </c>
      <c r="F10722" t="s">
        <v>11</v>
      </c>
      <c r="G10722" t="s">
        <v>7700</v>
      </c>
      <c r="H10722" s="12">
        <v>-1.1398735745542301</v>
      </c>
      <c r="I10722" s="20">
        <v>-0.69648461360148695</v>
      </c>
      <c r="J10722" s="28">
        <v>0.48612538976465097</v>
      </c>
      <c r="K10722" s="29">
        <v>0.98289565623980701</v>
      </c>
    </row>
    <row r="10723" spans="1:11" x14ac:dyDescent="0.35">
      <c r="A10723" s="9" t="str">
        <f>HYPERLINK("http://www.ensembl.org/id/WBGene00199018", "WBGene00199018")</f>
        <v>WBGene00199018</v>
      </c>
      <c r="B10723" s="9"/>
      <c r="C10723" s="9"/>
      <c r="D10723" t="str">
        <f>"F57C7.10"</f>
        <v>F57C7.10</v>
      </c>
      <c r="F10723" t="s">
        <v>481</v>
      </c>
      <c r="H10723" s="12">
        <v>2.3893468495514898</v>
      </c>
      <c r="I10723" s="20">
        <v>0.25323547253672701</v>
      </c>
      <c r="J10723" s="28">
        <v>0.80008625651646104</v>
      </c>
      <c r="K10723" s="29">
        <v>0.98289565623980701</v>
      </c>
    </row>
    <row r="10724" spans="1:11" x14ac:dyDescent="0.35">
      <c r="A10724" s="9" t="str">
        <f>HYPERLINK("http://www.ensembl.org/id/WBGene00200937", "WBGene00200937")</f>
        <v>WBGene00200937</v>
      </c>
      <c r="B10724" s="9"/>
      <c r="C10724" s="9"/>
      <c r="D10724" t="str">
        <f>"F57C7.13"</f>
        <v>F57C7.13</v>
      </c>
      <c r="F10724" t="s">
        <v>481</v>
      </c>
      <c r="H10724" s="12">
        <v>7.6616465944663696</v>
      </c>
      <c r="I10724" s="20">
        <v>0.60406875593600395</v>
      </c>
      <c r="J10724" s="28">
        <v>0.54579793098927099</v>
      </c>
      <c r="K10724" s="29">
        <v>0.98289565623980701</v>
      </c>
    </row>
    <row r="10725" spans="1:11" x14ac:dyDescent="0.35">
      <c r="A10725" s="9" t="str">
        <f>HYPERLINK("http://www.ensembl.org/id/WBGene00201840", "WBGene00201840")</f>
        <v>WBGene00201840</v>
      </c>
      <c r="B10725" s="9"/>
      <c r="C10725" s="9"/>
      <c r="D10725" t="str">
        <f>"F57C7.14"</f>
        <v>F57C7.14</v>
      </c>
      <c r="F10725" t="s">
        <v>481</v>
      </c>
      <c r="H10725" s="12">
        <v>4.4368407117627902</v>
      </c>
      <c r="I10725" s="20">
        <v>0.43709475933309699</v>
      </c>
      <c r="J10725" s="28">
        <v>0.66204262779770495</v>
      </c>
      <c r="K10725" s="29">
        <v>0.98289565623980701</v>
      </c>
    </row>
    <row r="10726" spans="1:11" x14ac:dyDescent="0.35">
      <c r="A10726" s="9" t="str">
        <f>HYPERLINK("http://www.ensembl.org/id/WBGene00196946", "WBGene00196946")</f>
        <v>WBGene00196946</v>
      </c>
      <c r="B10726" s="9"/>
      <c r="C10726" s="9"/>
      <c r="D10726" t="str">
        <f>"F57C7.8"</f>
        <v>F57C7.8</v>
      </c>
      <c r="F10726" t="s">
        <v>481</v>
      </c>
      <c r="H10726" s="12">
        <v>9.5215001458148301</v>
      </c>
      <c r="I10726" s="20">
        <v>0.67036031720767997</v>
      </c>
      <c r="J10726" s="28">
        <v>0.50262812496729803</v>
      </c>
      <c r="K10726" s="29">
        <v>0.98289565623980701</v>
      </c>
    </row>
    <row r="10727" spans="1:11" x14ac:dyDescent="0.35">
      <c r="A10727" s="9" t="str">
        <f>HYPERLINK("http://www.ensembl.org/id/WBGene00010203", "WBGene00010203")</f>
        <v>WBGene00010203</v>
      </c>
      <c r="B10727" s="9" t="str">
        <f>HYPERLINK("http://www.ncbi.nlm.nih.gov/gene/186451", "186451")</f>
        <v>186451</v>
      </c>
      <c r="C10727" s="9"/>
      <c r="D10727" t="str">
        <f>"F57E7.2"</f>
        <v>F57E7.2</v>
      </c>
      <c r="F10727" t="s">
        <v>11</v>
      </c>
      <c r="H10727" s="12">
        <v>-9.6815265259172598</v>
      </c>
      <c r="I10727" s="20">
        <v>-0.67531719156077197</v>
      </c>
      <c r="J10727" s="28">
        <v>0.49947426381858001</v>
      </c>
      <c r="K10727" s="29">
        <v>0.98289565623980701</v>
      </c>
    </row>
    <row r="10728" spans="1:11" x14ac:dyDescent="0.35">
      <c r="A10728" s="9" t="str">
        <f>HYPERLINK("http://www.ensembl.org/id/WBGene00077616", "WBGene00077616")</f>
        <v>WBGene00077616</v>
      </c>
      <c r="B10728" s="9" t="str">
        <f>HYPERLINK("http://www.ncbi.nlm.nih.gov/gene/6418769", "6418769")</f>
        <v>6418769</v>
      </c>
      <c r="C10728" s="9"/>
      <c r="D10728" t="str">
        <f>"F57E7.4"</f>
        <v>F57E7.4</v>
      </c>
      <c r="F10728" t="s">
        <v>11</v>
      </c>
      <c r="H10728" s="12">
        <v>4.4182522312344297</v>
      </c>
      <c r="I10728" s="20">
        <v>1.15073037413798</v>
      </c>
      <c r="J10728" s="28">
        <v>0.24984317655052601</v>
      </c>
      <c r="K10728" s="29">
        <v>0.98289565623980701</v>
      </c>
    </row>
    <row r="10729" spans="1:11" x14ac:dyDescent="0.35">
      <c r="A10729" s="9" t="str">
        <f>HYPERLINK("http://www.ensembl.org/id/WBGene00077618", "WBGene00077618")</f>
        <v>WBGene00077618</v>
      </c>
      <c r="B10729" s="9"/>
      <c r="C10729" s="9"/>
      <c r="D10729" t="str">
        <f>"F57E7.6"</f>
        <v>F57E7.6</v>
      </c>
      <c r="F10729" t="s">
        <v>80</v>
      </c>
      <c r="H10729" s="12">
        <v>-4.7167679298615104</v>
      </c>
      <c r="I10729" s="20">
        <v>-0.454742638005115</v>
      </c>
      <c r="J10729" s="28">
        <v>0.64929440216969203</v>
      </c>
      <c r="K10729" s="29">
        <v>0.98289565623980701</v>
      </c>
    </row>
    <row r="10730" spans="1:11" x14ac:dyDescent="0.35">
      <c r="A10730" s="9" t="str">
        <f>HYPERLINK("http://www.ensembl.org/id/WBGene00019015", "WBGene00019015")</f>
        <v>WBGene00019015</v>
      </c>
      <c r="B10730" s="9" t="str">
        <f>HYPERLINK("http://www.ncbi.nlm.nih.gov/gene/186453", "186453")</f>
        <v>186453</v>
      </c>
      <c r="C10730" s="9" t="str">
        <f>HYPERLINK("http://www.ncbi.nlm.nih.gov/gene/23597", "23597")</f>
        <v>23597</v>
      </c>
      <c r="D10730" t="str">
        <f>"F57F4.1"</f>
        <v>F57F4.1</v>
      </c>
      <c r="F10730" t="s">
        <v>11</v>
      </c>
      <c r="G10730" t="s">
        <v>674</v>
      </c>
      <c r="H10730" s="12">
        <v>1.47537869367215</v>
      </c>
      <c r="I10730" s="20">
        <v>0.28963756976497002</v>
      </c>
      <c r="J10730" s="28">
        <v>0.77209352185936397</v>
      </c>
      <c r="K10730" s="29">
        <v>0.98289565623980701</v>
      </c>
    </row>
    <row r="10731" spans="1:11" x14ac:dyDescent="0.35">
      <c r="A10731" s="9" t="str">
        <f>HYPERLINK("http://www.ensembl.org/id/WBGene00019016", "WBGene00019016")</f>
        <v>WBGene00019016</v>
      </c>
      <c r="B10731" s="9" t="str">
        <f>HYPERLINK("http://www.ncbi.nlm.nih.gov/gene/186454", "186454")</f>
        <v>186454</v>
      </c>
      <c r="C10731" s="9"/>
      <c r="D10731" t="str">
        <f>"F57F4.2"</f>
        <v>F57F4.2</v>
      </c>
      <c r="F10731" t="s">
        <v>11</v>
      </c>
      <c r="H10731" s="12">
        <v>1.76442017523602</v>
      </c>
      <c r="I10731" s="20">
        <v>0.46587696585955801</v>
      </c>
      <c r="J10731" s="28">
        <v>0.64130356960646795</v>
      </c>
      <c r="K10731" s="29">
        <v>0.98289565623980701</v>
      </c>
    </row>
    <row r="10732" spans="1:11" x14ac:dyDescent="0.35">
      <c r="A10732" s="9" t="str">
        <f>HYPERLINK("http://www.ensembl.org/id/WBGene00014406", "WBGene00014406")</f>
        <v>WBGene00014406</v>
      </c>
      <c r="B10732" s="9"/>
      <c r="C10732" s="9"/>
      <c r="D10732" t="str">
        <f>"F57F5.t1"</f>
        <v>F57F5.t1</v>
      </c>
      <c r="F10732" t="s">
        <v>4208</v>
      </c>
      <c r="H10732" s="12">
        <v>-2.4295389261469</v>
      </c>
      <c r="I10732" s="20">
        <v>-0.25808529976640998</v>
      </c>
      <c r="J10732" s="28">
        <v>0.79634107645457397</v>
      </c>
      <c r="K10732" s="29">
        <v>0.98289565623980701</v>
      </c>
    </row>
    <row r="10733" spans="1:11" x14ac:dyDescent="0.35">
      <c r="A10733" s="9" t="str">
        <f>HYPERLINK("http://www.ensembl.org/id/WBGene00201239", "WBGene00201239")</f>
        <v>WBGene00201239</v>
      </c>
      <c r="B10733" s="9"/>
      <c r="C10733" s="9"/>
      <c r="D10733" t="str">
        <f>"F57G12.13"</f>
        <v>F57G12.13</v>
      </c>
      <c r="F10733" t="s">
        <v>481</v>
      </c>
      <c r="H10733" s="12">
        <v>2.4578120077400301</v>
      </c>
      <c r="I10733" s="20">
        <v>0.26093350314551</v>
      </c>
      <c r="J10733" s="28">
        <v>0.79414378780213601</v>
      </c>
      <c r="K10733" s="29">
        <v>0.98289565623980701</v>
      </c>
    </row>
    <row r="10734" spans="1:11" x14ac:dyDescent="0.35">
      <c r="A10734" s="9" t="str">
        <f>HYPERLINK("http://www.ensembl.org/id/WBGene00010222", "WBGene00010222")</f>
        <v>WBGene00010222</v>
      </c>
      <c r="B10734" s="9" t="str">
        <f>HYPERLINK("http://www.ncbi.nlm.nih.gov/gene/186478", "186478")</f>
        <v>186478</v>
      </c>
      <c r="C10734" s="9"/>
      <c r="D10734" t="str">
        <f>"F57G12.2"</f>
        <v>F57G12.2</v>
      </c>
      <c r="F10734" t="s">
        <v>11</v>
      </c>
      <c r="H10734" s="12">
        <v>1.30130165685053</v>
      </c>
      <c r="I10734" s="20">
        <v>0.41706674654004</v>
      </c>
      <c r="J10734" s="28">
        <v>0.676629587098318</v>
      </c>
      <c r="K10734" s="29">
        <v>0.98289565623980701</v>
      </c>
    </row>
    <row r="10735" spans="1:11" x14ac:dyDescent="0.35">
      <c r="A10735" s="9" t="str">
        <f>HYPERLINK("http://www.ensembl.org/id/WBGene00196672", "WBGene00196672")</f>
        <v>WBGene00196672</v>
      </c>
      <c r="B10735" s="9"/>
      <c r="C10735" s="9"/>
      <c r="D10735" t="str">
        <f>"F57G12.4"</f>
        <v>F57G12.4</v>
      </c>
      <c r="F10735" t="s">
        <v>481</v>
      </c>
      <c r="H10735" s="12">
        <v>-3.7261494131482999</v>
      </c>
      <c r="I10735" s="20">
        <v>-0.38454673129429601</v>
      </c>
      <c r="J10735" s="28">
        <v>0.70057326682554</v>
      </c>
      <c r="K10735" s="29">
        <v>0.98289565623980701</v>
      </c>
    </row>
    <row r="10736" spans="1:11" x14ac:dyDescent="0.35">
      <c r="A10736" s="9" t="str">
        <f>HYPERLINK("http://www.ensembl.org/id/WBGene00197923", "WBGene00197923")</f>
        <v>WBGene00197923</v>
      </c>
      <c r="B10736" s="9"/>
      <c r="C10736" s="9"/>
      <c r="D10736" t="str">
        <f>"F57G12.6"</f>
        <v>F57G12.6</v>
      </c>
      <c r="F10736" t="s">
        <v>481</v>
      </c>
      <c r="H10736" s="12">
        <v>-2.4991590031922399</v>
      </c>
      <c r="I10736" s="20">
        <v>-0.26577412737581302</v>
      </c>
      <c r="J10736" s="28">
        <v>0.79041317015736101</v>
      </c>
      <c r="K10736" s="29">
        <v>0.98289565623980701</v>
      </c>
    </row>
    <row r="10737" spans="1:11" x14ac:dyDescent="0.35">
      <c r="A10737" s="9" t="str">
        <f>HYPERLINK("http://www.ensembl.org/id/WBGene00199031", "WBGene00199031")</f>
        <v>WBGene00199031</v>
      </c>
      <c r="B10737" s="9"/>
      <c r="C10737" s="9"/>
      <c r="D10737" t="str">
        <f>"F57G12.8"</f>
        <v>F57G12.8</v>
      </c>
      <c r="F10737" t="s">
        <v>481</v>
      </c>
      <c r="H10737" s="12">
        <v>-3.5819448292659501</v>
      </c>
      <c r="I10737" s="20">
        <v>-0.37337717500031398</v>
      </c>
      <c r="J10737" s="28">
        <v>0.70886774492290605</v>
      </c>
      <c r="K10737" s="29">
        <v>0.98289565623980701</v>
      </c>
    </row>
    <row r="10738" spans="1:11" x14ac:dyDescent="0.35">
      <c r="A10738" s="9" t="str">
        <f>HYPERLINK("http://www.ensembl.org/id/WBGene00199085", "WBGene00199085")</f>
        <v>WBGene00199085</v>
      </c>
      <c r="B10738" s="9"/>
      <c r="C10738" s="9"/>
      <c r="D10738" t="str">
        <f>"F57G12.9"</f>
        <v>F57G12.9</v>
      </c>
      <c r="F10738" t="s">
        <v>481</v>
      </c>
      <c r="H10738" s="12">
        <v>-3.7261494131482999</v>
      </c>
      <c r="I10738" s="20">
        <v>-0.38454673129429601</v>
      </c>
      <c r="J10738" s="28">
        <v>0.70057326682554</v>
      </c>
      <c r="K10738" s="29">
        <v>0.98289565623980701</v>
      </c>
    </row>
    <row r="10739" spans="1:11" x14ac:dyDescent="0.35">
      <c r="A10739" s="9" t="str">
        <f>HYPERLINK("http://www.ensembl.org/id/WBGene00010214", "WBGene00010214")</f>
        <v>WBGene00010214</v>
      </c>
      <c r="B10739" s="9" t="str">
        <f>HYPERLINK("http://www.ncbi.nlm.nih.gov/gene/180097", "180097")</f>
        <v>180097</v>
      </c>
      <c r="C10739" s="9" t="str">
        <f>HYPERLINK("http://www.ncbi.nlm.nih.gov/gene/150159", "150159")</f>
        <v>150159</v>
      </c>
      <c r="D10739" t="str">
        <f>"F57G8.5"</f>
        <v>F57G8.5</v>
      </c>
      <c r="F10739" t="s">
        <v>11</v>
      </c>
      <c r="G10739" t="s">
        <v>4551</v>
      </c>
      <c r="H10739" s="12">
        <v>-1.1014323881493999</v>
      </c>
      <c r="I10739" s="20">
        <v>-0.31148551340466002</v>
      </c>
      <c r="J10739" s="28">
        <v>0.75543155414780605</v>
      </c>
      <c r="K10739" s="29">
        <v>0.98289565623980701</v>
      </c>
    </row>
    <row r="10740" spans="1:11" x14ac:dyDescent="0.35">
      <c r="A10740" s="9" t="str">
        <f>HYPERLINK("http://www.ensembl.org/id/WBGene00195356", "WBGene00195356")</f>
        <v>WBGene00195356</v>
      </c>
      <c r="B10740" s="9"/>
      <c r="C10740" s="9"/>
      <c r="D10740" t="str">
        <f>"F57H12.10"</f>
        <v>F57H12.10</v>
      </c>
      <c r="F10740" t="s">
        <v>481</v>
      </c>
      <c r="H10740" s="12">
        <v>-2.4991590031922399</v>
      </c>
      <c r="I10740" s="20">
        <v>-0.26577412737581302</v>
      </c>
      <c r="J10740" s="28">
        <v>0.79041317015736101</v>
      </c>
      <c r="K10740" s="29">
        <v>0.98289565623980701</v>
      </c>
    </row>
    <row r="10741" spans="1:11" x14ac:dyDescent="0.35">
      <c r="A10741" s="9" t="str">
        <f>HYPERLINK("http://www.ensembl.org/id/WBGene00019020", "WBGene00019020")</f>
        <v>WBGene00019020</v>
      </c>
      <c r="B10741" s="9" t="str">
        <f>HYPERLINK("http://www.ncbi.nlm.nih.gov/gene/177592", "177592")</f>
        <v>177592</v>
      </c>
      <c r="C10741" s="9"/>
      <c r="D10741" t="str">
        <f>"F57H12.5"</f>
        <v>F57H12.5</v>
      </c>
      <c r="F10741" t="s">
        <v>11</v>
      </c>
      <c r="G10741" t="s">
        <v>1020</v>
      </c>
      <c r="H10741" s="12">
        <v>1.63835229796056</v>
      </c>
      <c r="I10741" s="20">
        <v>1.0089188019313899</v>
      </c>
      <c r="J10741" s="28">
        <v>0.31301357724586298</v>
      </c>
      <c r="K10741" s="29">
        <v>0.98289565623980701</v>
      </c>
    </row>
    <row r="10742" spans="1:11" x14ac:dyDescent="0.35">
      <c r="A10742" s="9" t="str">
        <f>HYPERLINK("http://www.ensembl.org/id/WBGene00014777", "WBGene00014777")</f>
        <v>WBGene00014777</v>
      </c>
      <c r="B10742" s="9"/>
      <c r="C10742" s="9"/>
      <c r="D10742" t="str">
        <f>"F58A4.12"</f>
        <v>F58A4.12</v>
      </c>
      <c r="F10742" t="s">
        <v>80</v>
      </c>
      <c r="H10742" s="12">
        <v>-2.4295389261469</v>
      </c>
      <c r="I10742" s="20">
        <v>-0.25808529976640998</v>
      </c>
      <c r="J10742" s="28">
        <v>0.79634107645457397</v>
      </c>
      <c r="K10742" s="29">
        <v>0.98289565623980701</v>
      </c>
    </row>
    <row r="10743" spans="1:11" x14ac:dyDescent="0.35">
      <c r="A10743" s="9" t="str">
        <f>HYPERLINK("http://www.ensembl.org/id/WBGene00010229", "WBGene00010229")</f>
        <v>WBGene00010229</v>
      </c>
      <c r="B10743" s="9" t="str">
        <f>HYPERLINK("http://www.ncbi.nlm.nih.gov/gene/186485", "186485")</f>
        <v>186485</v>
      </c>
      <c r="C10743" s="9"/>
      <c r="D10743" t="str">
        <f>"F58A4.6"</f>
        <v>F58A4.6</v>
      </c>
      <c r="F10743" t="s">
        <v>11</v>
      </c>
      <c r="H10743" s="12">
        <v>-1.1999211859410299</v>
      </c>
      <c r="I10743" s="20">
        <v>-0.598632198428797</v>
      </c>
      <c r="J10743" s="28">
        <v>0.54941817964305195</v>
      </c>
      <c r="K10743" s="29">
        <v>0.98289565623980701</v>
      </c>
    </row>
    <row r="10744" spans="1:11" x14ac:dyDescent="0.35">
      <c r="A10744" s="9" t="str">
        <f>HYPERLINK("http://www.ensembl.org/id/WBGene00019022", "WBGene00019022")</f>
        <v>WBGene00019022</v>
      </c>
      <c r="B10744" s="9" t="str">
        <f>HYPERLINK("http://www.ncbi.nlm.nih.gov/gene/186486", "186486")</f>
        <v>186486</v>
      </c>
      <c r="C10744" s="9" t="str">
        <f>HYPERLINK("http://www.ncbi.nlm.nih.gov/gene/1891", "1891")</f>
        <v>1891</v>
      </c>
      <c r="D10744" t="str">
        <f>"F58A6.1"</f>
        <v>F58A6.1</v>
      </c>
      <c r="F10744" t="s">
        <v>11</v>
      </c>
      <c r="G10744" t="s">
        <v>6226</v>
      </c>
      <c r="H10744" s="12">
        <v>-1.05457157046835</v>
      </c>
      <c r="I10744" s="20">
        <v>-0.26117224088339902</v>
      </c>
      <c r="J10744" s="28">
        <v>0.79395968395913297</v>
      </c>
      <c r="K10744" s="29">
        <v>0.98289565623980701</v>
      </c>
    </row>
    <row r="10745" spans="1:11" x14ac:dyDescent="0.35">
      <c r="A10745" s="9" t="str">
        <f>HYPERLINK("http://www.ensembl.org/id/WBGene00198457", "WBGene00198457")</f>
        <v>WBGene00198457</v>
      </c>
      <c r="B10745" s="9"/>
      <c r="C10745" s="9"/>
      <c r="D10745" t="str">
        <f>"F58A6.12"</f>
        <v>F58A6.12</v>
      </c>
      <c r="F10745" t="s">
        <v>481</v>
      </c>
      <c r="H10745" s="12">
        <v>4.95983496344458</v>
      </c>
      <c r="I10745" s="20">
        <v>0.85564686572055404</v>
      </c>
      <c r="J10745" s="28">
        <v>0.39219313869150702</v>
      </c>
      <c r="K10745" s="29">
        <v>0.98289565623980701</v>
      </c>
    </row>
    <row r="10746" spans="1:11" x14ac:dyDescent="0.35">
      <c r="A10746" s="9" t="str">
        <f>HYPERLINK("http://www.ensembl.org/id/WBGene00019023", "WBGene00019023")</f>
        <v>WBGene00019023</v>
      </c>
      <c r="B10746" s="9" t="str">
        <f>HYPERLINK("http://www.ncbi.nlm.nih.gov/gene/186487", "186487")</f>
        <v>186487</v>
      </c>
      <c r="C10746" s="9"/>
      <c r="D10746" t="str">
        <f>"F58A6.2"</f>
        <v>F58A6.2</v>
      </c>
      <c r="F10746" t="s">
        <v>11</v>
      </c>
      <c r="G10746" t="s">
        <v>25</v>
      </c>
      <c r="H10746" s="12">
        <v>1.9668311071263</v>
      </c>
      <c r="I10746" s="20">
        <v>0.95258420232160701</v>
      </c>
      <c r="J10746" s="28">
        <v>0.340800784551062</v>
      </c>
      <c r="K10746" s="29">
        <v>0.98289565623980701</v>
      </c>
    </row>
    <row r="10747" spans="1:11" x14ac:dyDescent="0.35">
      <c r="A10747" s="9" t="str">
        <f>HYPERLINK("http://www.ensembl.org/id/WBGene00019026", "WBGene00019026")</f>
        <v>WBGene00019026</v>
      </c>
      <c r="B10747" s="9" t="str">
        <f>HYPERLINK("http://www.ncbi.nlm.nih.gov/gene/173885", "173885")</f>
        <v>173885</v>
      </c>
      <c r="C10747" s="9"/>
      <c r="D10747" t="str">
        <f>"F58A6.9"</f>
        <v>F58A6.9</v>
      </c>
      <c r="E10747" t="s">
        <v>4271</v>
      </c>
      <c r="F10747" t="s">
        <v>11</v>
      </c>
      <c r="H10747" s="12">
        <v>-2.3523591058667499</v>
      </c>
      <c r="I10747" s="20">
        <v>-0.91930601712545701</v>
      </c>
      <c r="J10747" s="28">
        <v>0.35793553143268603</v>
      </c>
      <c r="K10747" s="29">
        <v>0.98289565623980701</v>
      </c>
    </row>
    <row r="10748" spans="1:11" x14ac:dyDescent="0.35">
      <c r="A10748" s="9" t="str">
        <f>HYPERLINK("http://www.ensembl.org/id/WBGene00010231", "WBGene00010231")</f>
        <v>WBGene00010231</v>
      </c>
      <c r="B10748" s="9" t="str">
        <f>HYPERLINK("http://www.ncbi.nlm.nih.gov/gene/178088", "178088")</f>
        <v>178088</v>
      </c>
      <c r="C10748" s="9"/>
      <c r="D10748" t="str">
        <f>"F58B3.4"</f>
        <v>F58B3.4</v>
      </c>
      <c r="F10748" t="s">
        <v>11</v>
      </c>
      <c r="G10748" t="s">
        <v>6899</v>
      </c>
      <c r="H10748" s="12">
        <v>-1.0957062708385601</v>
      </c>
      <c r="I10748" s="20">
        <v>-0.43754046248295703</v>
      </c>
      <c r="J10748" s="28">
        <v>0.66171943842603997</v>
      </c>
      <c r="K10748" s="29">
        <v>0.98289565623980701</v>
      </c>
    </row>
    <row r="10749" spans="1:11" x14ac:dyDescent="0.35">
      <c r="A10749" s="9" t="str">
        <f>HYPERLINK("http://www.ensembl.org/id/WBGene00010235", "WBGene00010235")</f>
        <v>WBGene00010235</v>
      </c>
      <c r="B10749" s="9" t="str">
        <f>HYPERLINK("http://www.ncbi.nlm.nih.gov/gene/186494", "186494")</f>
        <v>186494</v>
      </c>
      <c r="C10749" s="9"/>
      <c r="D10749" t="str">
        <f>"F58B4.2"</f>
        <v>F58B4.2</v>
      </c>
      <c r="F10749" t="s">
        <v>11</v>
      </c>
      <c r="G10749" t="s">
        <v>9993</v>
      </c>
      <c r="H10749" s="12">
        <v>-1.60615735068467</v>
      </c>
      <c r="I10749" s="20">
        <v>-0.437529404622857</v>
      </c>
      <c r="J10749" s="28">
        <v>0.66172745596678595</v>
      </c>
      <c r="K10749" s="29">
        <v>0.98289565623980701</v>
      </c>
    </row>
    <row r="10750" spans="1:11" x14ac:dyDescent="0.35">
      <c r="A10750" s="9" t="str">
        <f>HYPERLINK("http://www.ensembl.org/id/WBGene00010236", "WBGene00010236")</f>
        <v>WBGene00010236</v>
      </c>
      <c r="B10750" s="9" t="str">
        <f>HYPERLINK("http://www.ncbi.nlm.nih.gov/gene/186495", "186495")</f>
        <v>186495</v>
      </c>
      <c r="C10750" s="9"/>
      <c r="D10750" t="str">
        <f>"F58B4.3"</f>
        <v>F58B4.3</v>
      </c>
      <c r="F10750" t="s">
        <v>11</v>
      </c>
      <c r="H10750" s="12">
        <v>-1.1962562016590199</v>
      </c>
      <c r="I10750" s="20">
        <v>-0.86275135865526797</v>
      </c>
      <c r="J10750" s="28">
        <v>0.38827418802348002</v>
      </c>
      <c r="K10750" s="29">
        <v>0.98289565623980701</v>
      </c>
    </row>
    <row r="10751" spans="1:11" x14ac:dyDescent="0.35">
      <c r="A10751" s="9" t="str">
        <f>HYPERLINK("http://www.ensembl.org/id/WBGene00010238", "WBGene00010238")</f>
        <v>WBGene00010238</v>
      </c>
      <c r="B10751" s="9" t="str">
        <f>HYPERLINK("http://www.ncbi.nlm.nih.gov/gene/179513", "179513")</f>
        <v>179513</v>
      </c>
      <c r="C10751" s="9"/>
      <c r="D10751" t="str">
        <f>"F58B4.5"</f>
        <v>F58B4.5</v>
      </c>
      <c r="F10751" t="s">
        <v>11</v>
      </c>
      <c r="H10751" s="12">
        <v>-1.2193349611820801</v>
      </c>
      <c r="I10751" s="20">
        <v>-0.89964017006183195</v>
      </c>
      <c r="J10751" s="28">
        <v>0.36831177257763797</v>
      </c>
      <c r="K10751" s="29">
        <v>0.98289565623980701</v>
      </c>
    </row>
    <row r="10752" spans="1:11" x14ac:dyDescent="0.35">
      <c r="A10752" s="9" t="str">
        <f>HYPERLINK("http://www.ensembl.org/id/WBGene00198943", "WBGene00198943")</f>
        <v>WBGene00198943</v>
      </c>
      <c r="B10752" s="9"/>
      <c r="C10752" s="9"/>
      <c r="D10752" t="str">
        <f>"F58B6.8"</f>
        <v>F58B6.8</v>
      </c>
      <c r="F10752" t="s">
        <v>481</v>
      </c>
      <c r="H10752" s="12">
        <v>3.5227018545059199</v>
      </c>
      <c r="I10752" s="20">
        <v>0.36849691206929103</v>
      </c>
      <c r="J10752" s="28">
        <v>0.71250274722433404</v>
      </c>
      <c r="K10752" s="29">
        <v>0.98289565623980701</v>
      </c>
    </row>
    <row r="10753" spans="1:11" x14ac:dyDescent="0.35">
      <c r="A10753" s="9" t="str">
        <f>HYPERLINK("http://www.ensembl.org/id/WBGene00010250", "WBGene00010250")</f>
        <v>WBGene00010250</v>
      </c>
      <c r="B10753" s="9" t="str">
        <f>HYPERLINK("http://www.ncbi.nlm.nih.gov/gene/186505", "186505")</f>
        <v>186505</v>
      </c>
      <c r="C10753" s="9"/>
      <c r="D10753" t="str">
        <f>"F58D12.3"</f>
        <v>F58D12.3</v>
      </c>
      <c r="F10753" t="s">
        <v>11</v>
      </c>
      <c r="H10753" s="12">
        <v>1.47301685776861</v>
      </c>
      <c r="I10753" s="20">
        <v>0.62723064942748497</v>
      </c>
      <c r="J10753" s="28">
        <v>0.53050805522185795</v>
      </c>
      <c r="K10753" s="29">
        <v>0.98289565623980701</v>
      </c>
    </row>
    <row r="10754" spans="1:11" x14ac:dyDescent="0.35">
      <c r="A10754" s="9" t="str">
        <f>HYPERLINK("http://www.ensembl.org/id/WBGene00010241", "WBGene00010241")</f>
        <v>WBGene00010241</v>
      </c>
      <c r="B10754" s="9" t="str">
        <f>HYPERLINK("http://www.ncbi.nlm.nih.gov/gene/178270", "178270")</f>
        <v>178270</v>
      </c>
      <c r="C10754" s="9"/>
      <c r="D10754" t="str">
        <f>"F58D2.2"</f>
        <v>F58D2.2</v>
      </c>
      <c r="F10754" t="s">
        <v>11</v>
      </c>
      <c r="G10754" t="s">
        <v>25</v>
      </c>
      <c r="H10754" s="12">
        <v>1.22206706566463</v>
      </c>
      <c r="I10754" s="20">
        <v>0.329237638691668</v>
      </c>
      <c r="J10754" s="28">
        <v>0.74197607576506397</v>
      </c>
      <c r="K10754" s="29">
        <v>0.98289565623980701</v>
      </c>
    </row>
    <row r="10755" spans="1:11" x14ac:dyDescent="0.35">
      <c r="A10755" s="9" t="str">
        <f>HYPERLINK("http://www.ensembl.org/id/WBGene00044978", "WBGene00044978")</f>
        <v>WBGene00044978</v>
      </c>
      <c r="B10755" s="9" t="str">
        <f>HYPERLINK("http://www.ncbi.nlm.nih.gov/gene/13198825", "13198825")</f>
        <v>13198825</v>
      </c>
      <c r="C10755" s="9"/>
      <c r="D10755" t="str">
        <f>"F58D2.3"</f>
        <v>F58D2.3</v>
      </c>
      <c r="F10755" t="s">
        <v>11</v>
      </c>
      <c r="G10755" t="s">
        <v>4486</v>
      </c>
      <c r="H10755" s="12">
        <v>1.73552291379073</v>
      </c>
      <c r="I10755" s="20">
        <v>0.84894358284401605</v>
      </c>
      <c r="J10755" s="28">
        <v>0.39591268592116802</v>
      </c>
      <c r="K10755" s="29">
        <v>0.98289565623980701</v>
      </c>
    </row>
    <row r="10756" spans="1:11" x14ac:dyDescent="0.35">
      <c r="A10756" s="9" t="str">
        <f>HYPERLINK("http://www.ensembl.org/id/WBGene00185077", "WBGene00185077")</f>
        <v>WBGene00185077</v>
      </c>
      <c r="B10756" s="9" t="str">
        <f>HYPERLINK("http://www.ncbi.nlm.nih.gov/gene/13198827", "13198827")</f>
        <v>13198827</v>
      </c>
      <c r="C10756" s="9"/>
      <c r="D10756" t="str">
        <f>"F58D2.4"</f>
        <v>F58D2.4</v>
      </c>
      <c r="F10756" t="s">
        <v>11</v>
      </c>
      <c r="H10756" s="12">
        <v>2.1853273329114802</v>
      </c>
      <c r="I10756" s="20">
        <v>0.63619481190887195</v>
      </c>
      <c r="J10756" s="28">
        <v>0.524649454267889</v>
      </c>
      <c r="K10756" s="29">
        <v>0.98289565623980701</v>
      </c>
    </row>
    <row r="10757" spans="1:11" x14ac:dyDescent="0.35">
      <c r="A10757" s="9" t="str">
        <f>HYPERLINK("http://www.ensembl.org/id/WBGene00206469", "WBGene00206469")</f>
        <v>WBGene00206469</v>
      </c>
      <c r="B10757" s="9" t="str">
        <f>HYPERLINK("http://www.ncbi.nlm.nih.gov/gene/13198828", "13198828")</f>
        <v>13198828</v>
      </c>
      <c r="C10757" s="9"/>
      <c r="D10757" t="str">
        <f>"F58D2.5"</f>
        <v>F58D2.5</v>
      </c>
      <c r="F10757" t="s">
        <v>11</v>
      </c>
      <c r="H10757" s="12">
        <v>6.7698431498674303</v>
      </c>
      <c r="I10757" s="20">
        <v>0.98617531059185803</v>
      </c>
      <c r="J10757" s="28">
        <v>0.32404709254826702</v>
      </c>
      <c r="K10757" s="29">
        <v>0.98289565623980701</v>
      </c>
    </row>
    <row r="10758" spans="1:11" x14ac:dyDescent="0.35">
      <c r="A10758" s="9" t="str">
        <f>HYPERLINK("http://www.ensembl.org/id/WBGene00199467", "WBGene00199467")</f>
        <v>WBGene00199467</v>
      </c>
      <c r="B10758" s="9"/>
      <c r="C10758" s="9"/>
      <c r="D10758" t="str">
        <f>"F58D5.10"</f>
        <v>F58D5.10</v>
      </c>
      <c r="F10758" t="s">
        <v>481</v>
      </c>
      <c r="H10758" s="12">
        <v>3.5227018545059199</v>
      </c>
      <c r="I10758" s="20">
        <v>0.36849691206929103</v>
      </c>
      <c r="J10758" s="28">
        <v>0.71250274722433404</v>
      </c>
      <c r="K10758" s="29">
        <v>0.98289565623980701</v>
      </c>
    </row>
    <row r="10759" spans="1:11" x14ac:dyDescent="0.35">
      <c r="A10759" s="9" t="str">
        <f>HYPERLINK("http://www.ensembl.org/id/WBGene00010242", "WBGene00010242")</f>
        <v>WBGene00010242</v>
      </c>
      <c r="B10759" s="9" t="str">
        <f>HYPERLINK("http://www.ncbi.nlm.nih.gov/gene/173087", "173087")</f>
        <v>173087</v>
      </c>
      <c r="C10759" s="9"/>
      <c r="D10759" t="str">
        <f>"F58D5.2"</f>
        <v>F58D5.2</v>
      </c>
      <c r="F10759" t="s">
        <v>11</v>
      </c>
      <c r="G10759" t="s">
        <v>25</v>
      </c>
      <c r="H10759" s="12">
        <v>1.0814852327818201</v>
      </c>
      <c r="I10759" s="20">
        <v>0.37316794252535601</v>
      </c>
      <c r="J10759" s="28">
        <v>0.70902345384781595</v>
      </c>
      <c r="K10759" s="29">
        <v>0.98289565623980701</v>
      </c>
    </row>
    <row r="10760" spans="1:11" x14ac:dyDescent="0.35">
      <c r="A10760" s="9" t="str">
        <f>HYPERLINK("http://www.ensembl.org/id/WBGene00010243", "WBGene00010243")</f>
        <v>WBGene00010243</v>
      </c>
      <c r="B10760" s="9" t="str">
        <f>HYPERLINK("http://www.ncbi.nlm.nih.gov/gene/173088", "173088")</f>
        <v>173088</v>
      </c>
      <c r="C10760" s="9"/>
      <c r="D10760" t="str">
        <f>"F58D5.3"</f>
        <v>F58D5.3</v>
      </c>
      <c r="F10760" t="s">
        <v>11</v>
      </c>
      <c r="G10760" t="s">
        <v>4443</v>
      </c>
      <c r="H10760" s="12">
        <v>2.10398066629307</v>
      </c>
      <c r="I10760" s="20">
        <v>0.74688342491800996</v>
      </c>
      <c r="J10760" s="28">
        <v>0.45513393197462598</v>
      </c>
      <c r="K10760" s="29">
        <v>0.98289565623980701</v>
      </c>
    </row>
    <row r="10761" spans="1:11" x14ac:dyDescent="0.35">
      <c r="A10761" s="9" t="str">
        <f>HYPERLINK("http://www.ensembl.org/id/WBGene00010248", "WBGene00010248")</f>
        <v>WBGene00010248</v>
      </c>
      <c r="B10761" s="9" t="str">
        <f>HYPERLINK("http://www.ncbi.nlm.nih.gov/gene/173084", "173084")</f>
        <v>173084</v>
      </c>
      <c r="C10761" s="9"/>
      <c r="D10761" t="str">
        <f>"F58D5.9"</f>
        <v>F58D5.9</v>
      </c>
      <c r="F10761" t="s">
        <v>11</v>
      </c>
      <c r="H10761" s="12">
        <v>-1.2234007935004101</v>
      </c>
      <c r="I10761" s="20">
        <v>-0.51258865777706597</v>
      </c>
      <c r="J10761" s="28">
        <v>0.60823908885299904</v>
      </c>
      <c r="K10761" s="29">
        <v>0.98289565623980701</v>
      </c>
    </row>
    <row r="10762" spans="1:11" x14ac:dyDescent="0.35">
      <c r="A10762" s="9" t="str">
        <f>HYPERLINK("http://www.ensembl.org/id/WBGene00019044", "WBGene00019044")</f>
        <v>WBGene00019044</v>
      </c>
      <c r="B10762" s="9" t="str">
        <f>HYPERLINK("http://www.ncbi.nlm.nih.gov/gene/186517", "186517")</f>
        <v>186517</v>
      </c>
      <c r="C10762" s="9"/>
      <c r="D10762" t="str">
        <f>"F58E1.13"</f>
        <v>F58E1.13</v>
      </c>
      <c r="F10762" t="s">
        <v>11</v>
      </c>
      <c r="H10762" s="12">
        <v>-1.92698780306116</v>
      </c>
      <c r="I10762" s="20">
        <v>-0.55092291084601097</v>
      </c>
      <c r="J10762" s="28">
        <v>0.58168652109165797</v>
      </c>
      <c r="K10762" s="29">
        <v>0.98289565623980701</v>
      </c>
    </row>
    <row r="10763" spans="1:11" x14ac:dyDescent="0.35">
      <c r="A10763" s="9" t="str">
        <f>HYPERLINK("http://www.ensembl.org/id/WBGene00023301", "WBGene00023301")</f>
        <v>WBGene00023301</v>
      </c>
      <c r="B10763" s="9"/>
      <c r="C10763" s="9"/>
      <c r="D10763" t="str">
        <f>"F58E2.1"</f>
        <v>F58E2.1</v>
      </c>
      <c r="F10763" t="s">
        <v>80</v>
      </c>
      <c r="H10763" s="12">
        <v>11.170998397396099</v>
      </c>
      <c r="I10763" s="20">
        <v>0.72284615686154896</v>
      </c>
      <c r="J10763" s="28">
        <v>0.46977440626377698</v>
      </c>
      <c r="K10763" s="29">
        <v>0.98289565623980701</v>
      </c>
    </row>
    <row r="10764" spans="1:11" x14ac:dyDescent="0.35">
      <c r="A10764" s="9" t="str">
        <f>HYPERLINK("http://www.ensembl.org/id/WBGene00019046", "WBGene00019046")</f>
        <v>WBGene00019046</v>
      </c>
      <c r="B10764" s="9" t="str">
        <f>HYPERLINK("http://www.ncbi.nlm.nih.gov/gene/186519", "186519")</f>
        <v>186519</v>
      </c>
      <c r="C10764" s="9"/>
      <c r="D10764" t="str">
        <f>"F58E2.2"</f>
        <v>F58E2.2</v>
      </c>
      <c r="F10764" t="s">
        <v>11</v>
      </c>
      <c r="H10764" s="12">
        <v>5.4395424115407396</v>
      </c>
      <c r="I10764" s="20">
        <v>0.93626142123647604</v>
      </c>
      <c r="J10764" s="28">
        <v>0.349138606028915</v>
      </c>
      <c r="K10764" s="29">
        <v>0.98289565623980701</v>
      </c>
    </row>
    <row r="10765" spans="1:11" x14ac:dyDescent="0.35">
      <c r="A10765" s="9" t="str">
        <f>HYPERLINK("http://www.ensembl.org/id/WBGene00019047", "WBGene00019047")</f>
        <v>WBGene00019047</v>
      </c>
      <c r="B10765" s="9" t="str">
        <f>HYPERLINK("http://www.ncbi.nlm.nih.gov/gene/177110", "177110")</f>
        <v>177110</v>
      </c>
      <c r="C10765" s="9"/>
      <c r="D10765" t="str">
        <f>"F58E2.3"</f>
        <v>F58E2.3</v>
      </c>
      <c r="F10765" t="s">
        <v>11</v>
      </c>
      <c r="G10765" t="s">
        <v>54</v>
      </c>
      <c r="H10765" s="12">
        <v>-1.1239923680800501</v>
      </c>
      <c r="I10765" s="20">
        <v>-0.43116506057157999</v>
      </c>
      <c r="J10765" s="28">
        <v>0.66634835688462402</v>
      </c>
      <c r="K10765" s="29">
        <v>0.98289565623980701</v>
      </c>
    </row>
    <row r="10766" spans="1:11" x14ac:dyDescent="0.35">
      <c r="A10766" s="9" t="str">
        <f>HYPERLINK("http://www.ensembl.org/id/WBGene00019048", "WBGene00019048")</f>
        <v>WBGene00019048</v>
      </c>
      <c r="B10766" s="9" t="str">
        <f>HYPERLINK("http://www.ncbi.nlm.nih.gov/gene/186520", "186520")</f>
        <v>186520</v>
      </c>
      <c r="C10766" s="9"/>
      <c r="D10766" t="str">
        <f>"F58E2.4"</f>
        <v>F58E2.4</v>
      </c>
      <c r="F10766" t="s">
        <v>11</v>
      </c>
      <c r="G10766" t="s">
        <v>54</v>
      </c>
      <c r="H10766" s="12">
        <v>1.3233148750175201</v>
      </c>
      <c r="I10766" s="20">
        <v>0.91975099650395598</v>
      </c>
      <c r="J10766" s="28">
        <v>0.35770289653792497</v>
      </c>
      <c r="K10766" s="29">
        <v>0.98289565623980701</v>
      </c>
    </row>
    <row r="10767" spans="1:11" x14ac:dyDescent="0.35">
      <c r="A10767" s="9" t="str">
        <f>HYPERLINK("http://www.ensembl.org/id/WBGene00023302", "WBGene00023302")</f>
        <v>WBGene00023302</v>
      </c>
      <c r="B10767" s="9"/>
      <c r="C10767" s="9"/>
      <c r="D10767" t="str">
        <f>"F58E2.6"</f>
        <v>F58E2.6</v>
      </c>
      <c r="F10767" t="s">
        <v>80</v>
      </c>
      <c r="H10767" s="12">
        <v>-8.0014360469151899</v>
      </c>
      <c r="I10767" s="20">
        <v>-0.61746222315259702</v>
      </c>
      <c r="J10767" s="28">
        <v>0.536929891129723</v>
      </c>
      <c r="K10767" s="29">
        <v>0.98289565623980701</v>
      </c>
    </row>
    <row r="10768" spans="1:11" x14ac:dyDescent="0.35">
      <c r="A10768" s="9" t="str">
        <f>HYPERLINK("http://www.ensembl.org/id/WBGene00077697", "WBGene00077697")</f>
        <v>WBGene00077697</v>
      </c>
      <c r="B10768" s="9" t="str">
        <f>HYPERLINK("http://www.ncbi.nlm.nih.gov/gene/6418750", "6418750")</f>
        <v>6418750</v>
      </c>
      <c r="C10768" s="9"/>
      <c r="D10768" t="str">
        <f>"F58E6.13"</f>
        <v>F58E6.13</v>
      </c>
      <c r="F10768" t="s">
        <v>11</v>
      </c>
      <c r="H10768" s="12">
        <v>1.29147654083887</v>
      </c>
      <c r="I10768" s="20">
        <v>0.65121690822437595</v>
      </c>
      <c r="J10768" s="28">
        <v>0.51490647716335003</v>
      </c>
      <c r="K10768" s="29">
        <v>0.98289565623980701</v>
      </c>
    </row>
    <row r="10769" spans="1:11" x14ac:dyDescent="0.35">
      <c r="A10769" s="9" t="str">
        <f>HYPERLINK("http://www.ensembl.org/id/WBGene00200671", "WBGene00200671")</f>
        <v>WBGene00200671</v>
      </c>
      <c r="B10769" s="9"/>
      <c r="C10769" s="9"/>
      <c r="D10769" t="str">
        <f>"F58E6.16"</f>
        <v>F58E6.16</v>
      </c>
      <c r="F10769" t="s">
        <v>481</v>
      </c>
      <c r="H10769" s="12">
        <v>2.3893468495514898</v>
      </c>
      <c r="I10769" s="20">
        <v>0.25323547253672701</v>
      </c>
      <c r="J10769" s="28">
        <v>0.80008625651646104</v>
      </c>
      <c r="K10769" s="29">
        <v>0.98289565623980701</v>
      </c>
    </row>
    <row r="10770" spans="1:11" x14ac:dyDescent="0.35">
      <c r="A10770" s="9" t="str">
        <f>HYPERLINK("http://www.ensembl.org/id/WBGene00019061", "WBGene00019061")</f>
        <v>WBGene00019061</v>
      </c>
      <c r="B10770" s="9" t="str">
        <f>HYPERLINK("http://www.ncbi.nlm.nih.gov/gene/174059", "174059")</f>
        <v>174059</v>
      </c>
      <c r="C10770" s="9" t="str">
        <f>HYPERLINK("http://www.ncbi.nlm.nih.gov/gene/513", "513")</f>
        <v>513</v>
      </c>
      <c r="D10770" t="str">
        <f>"F58F12.1"</f>
        <v>F58F12.1</v>
      </c>
      <c r="E10770" t="s">
        <v>7442</v>
      </c>
      <c r="F10770" t="s">
        <v>11</v>
      </c>
      <c r="G10770" t="s">
        <v>7443</v>
      </c>
      <c r="H10770" s="12">
        <v>-1.12566911098237</v>
      </c>
      <c r="I10770" s="20">
        <v>-0.62928904531714802</v>
      </c>
      <c r="J10770" s="28">
        <v>0.52915984182301201</v>
      </c>
      <c r="K10770" s="29">
        <v>0.98289565623980701</v>
      </c>
    </row>
    <row r="10771" spans="1:11" x14ac:dyDescent="0.35">
      <c r="A10771" s="9" t="str">
        <f>HYPERLINK("http://www.ensembl.org/id/WBGene00019062", "WBGene00019062")</f>
        <v>WBGene00019062</v>
      </c>
      <c r="B10771" s="9" t="str">
        <f>HYPERLINK("http://www.ncbi.nlm.nih.gov/gene/186538", "186538")</f>
        <v>186538</v>
      </c>
      <c r="C10771" s="9"/>
      <c r="D10771" t="str">
        <f>"F58F12.2"</f>
        <v>F58F12.2</v>
      </c>
      <c r="F10771" t="s">
        <v>11</v>
      </c>
      <c r="H10771" s="12">
        <v>3.0763546861011202</v>
      </c>
      <c r="I10771" s="20">
        <v>0.65754661378389601</v>
      </c>
      <c r="J10771" s="28">
        <v>0.51082950878275002</v>
      </c>
      <c r="K10771" s="29">
        <v>0.98289565623980701</v>
      </c>
    </row>
    <row r="10772" spans="1:11" x14ac:dyDescent="0.35">
      <c r="A10772" s="9" t="str">
        <f>HYPERLINK("http://www.ensembl.org/id/WBGene00019063", "WBGene00019063")</f>
        <v>WBGene00019063</v>
      </c>
      <c r="B10772" s="9" t="str">
        <f>HYPERLINK("http://www.ncbi.nlm.nih.gov/gene/186539", "186539")</f>
        <v>186539</v>
      </c>
      <c r="C10772" s="9"/>
      <c r="D10772" t="str">
        <f>"F58F12.3"</f>
        <v>F58F12.3</v>
      </c>
      <c r="F10772" t="s">
        <v>11</v>
      </c>
      <c r="H10772" s="12">
        <v>1.6402805554753399</v>
      </c>
      <c r="I10772" s="20">
        <v>0.35076977609038701</v>
      </c>
      <c r="J10772" s="28">
        <v>0.72576107342712604</v>
      </c>
      <c r="K10772" s="29">
        <v>0.98289565623980701</v>
      </c>
    </row>
    <row r="10773" spans="1:11" x14ac:dyDescent="0.35">
      <c r="A10773" s="9" t="str">
        <f>HYPERLINK("http://www.ensembl.org/id/WBGene00019054", "WBGene00019054")</f>
        <v>WBGene00019054</v>
      </c>
      <c r="B10773" s="9" t="str">
        <f>HYPERLINK("http://www.ncbi.nlm.nih.gov/gene/186532", "186532")</f>
        <v>186532</v>
      </c>
      <c r="C10773" s="9"/>
      <c r="D10773" t="str">
        <f>"F58F6.6"</f>
        <v>F58F6.6</v>
      </c>
      <c r="F10773" t="s">
        <v>11</v>
      </c>
      <c r="G10773" t="s">
        <v>25</v>
      </c>
      <c r="H10773" s="12">
        <v>4.9823546421056797</v>
      </c>
      <c r="I10773" s="20">
        <v>0.65517431865264497</v>
      </c>
      <c r="J10773" s="28">
        <v>0.51235552701332099</v>
      </c>
      <c r="K10773" s="29">
        <v>0.98289565623980701</v>
      </c>
    </row>
    <row r="10774" spans="1:11" x14ac:dyDescent="0.35">
      <c r="A10774" s="9" t="str">
        <f>HYPERLINK("http://www.ensembl.org/id/WBGene00019055", "WBGene00019055")</f>
        <v>WBGene00019055</v>
      </c>
      <c r="B10774" s="9" t="str">
        <f>HYPERLINK("http://www.ncbi.nlm.nih.gov/gene/186533", "186533")</f>
        <v>186533</v>
      </c>
      <c r="C10774" s="9"/>
      <c r="D10774" t="str">
        <f>"F58F9.1"</f>
        <v>F58F9.1</v>
      </c>
      <c r="F10774" t="s">
        <v>11</v>
      </c>
      <c r="H10774" s="12">
        <v>1.155195095034</v>
      </c>
      <c r="I10774" s="20">
        <v>0.45999898993145999</v>
      </c>
      <c r="J10774" s="28">
        <v>0.64551694550844896</v>
      </c>
      <c r="K10774" s="29">
        <v>0.98289565623980701</v>
      </c>
    </row>
    <row r="10775" spans="1:11" x14ac:dyDescent="0.35">
      <c r="A10775" s="9" t="str">
        <f>HYPERLINK("http://www.ensembl.org/id/WBGene00044309", "WBGene00044309")</f>
        <v>WBGene00044309</v>
      </c>
      <c r="B10775" s="9"/>
      <c r="C10775" s="9"/>
      <c r="D10775" t="str">
        <f>"F58F9.11"</f>
        <v>F58F9.11</v>
      </c>
      <c r="F10775" t="s">
        <v>80</v>
      </c>
      <c r="H10775" s="12">
        <v>4.6387698961716399</v>
      </c>
      <c r="I10775" s="20">
        <v>0.44985450087338802</v>
      </c>
      <c r="J10775" s="28">
        <v>0.65281535672642099</v>
      </c>
      <c r="K10775" s="29">
        <v>0.98289565623980701</v>
      </c>
    </row>
    <row r="10776" spans="1:11" x14ac:dyDescent="0.35">
      <c r="A10776" s="9" t="str">
        <f>HYPERLINK("http://www.ensembl.org/id/WBGene00019057", "WBGene00019057")</f>
        <v>WBGene00019057</v>
      </c>
      <c r="B10776" s="9" t="str">
        <f>HYPERLINK("http://www.ncbi.nlm.nih.gov/gene/186534", "186534")</f>
        <v>186534</v>
      </c>
      <c r="C10776" s="9"/>
      <c r="D10776" t="str">
        <f>"F58F9.3"</f>
        <v>F58F9.3</v>
      </c>
      <c r="F10776" t="s">
        <v>11</v>
      </c>
      <c r="H10776" s="12">
        <v>-1.12222710648306</v>
      </c>
      <c r="I10776" s="20">
        <v>-0.42045403982913798</v>
      </c>
      <c r="J10776" s="28">
        <v>0.67415379772881801</v>
      </c>
      <c r="K10776" s="29">
        <v>0.98289565623980701</v>
      </c>
    </row>
    <row r="10777" spans="1:11" x14ac:dyDescent="0.35">
      <c r="A10777" s="9" t="str">
        <f>HYPERLINK("http://www.ensembl.org/id/WBGene00019058", "WBGene00019058")</f>
        <v>WBGene00019058</v>
      </c>
      <c r="B10777" s="9" t="str">
        <f>HYPERLINK("http://www.ncbi.nlm.nih.gov/gene/186536", "186536")</f>
        <v>186536</v>
      </c>
      <c r="C10777" s="9"/>
      <c r="D10777" t="str">
        <f>"F58F9.4"</f>
        <v>F58F9.4</v>
      </c>
      <c r="F10777" t="s">
        <v>11</v>
      </c>
      <c r="H10777" s="12">
        <v>-1.47875187534604</v>
      </c>
      <c r="I10777" s="20">
        <v>-1.11997436209999</v>
      </c>
      <c r="J10777" s="28">
        <v>0.26272468753327899</v>
      </c>
      <c r="K10777" s="29">
        <v>0.98289565623980701</v>
      </c>
    </row>
    <row r="10778" spans="1:11" x14ac:dyDescent="0.35">
      <c r="A10778" s="9" t="str">
        <f>HYPERLINK("http://www.ensembl.org/id/WBGene00019059", "WBGene00019059")</f>
        <v>WBGene00019059</v>
      </c>
      <c r="B10778" s="9" t="str">
        <f>HYPERLINK("http://www.ncbi.nlm.nih.gov/gene/186537", "186537")</f>
        <v>186537</v>
      </c>
      <c r="C10778" s="9"/>
      <c r="D10778" t="str">
        <f>"F58F9.6"</f>
        <v>F58F9.6</v>
      </c>
      <c r="F10778" t="s">
        <v>11</v>
      </c>
      <c r="H10778" s="12">
        <v>5.9495765472548197</v>
      </c>
      <c r="I10778" s="20">
        <v>0.52429389276509997</v>
      </c>
      <c r="J10778" s="28">
        <v>0.60007414400596704</v>
      </c>
      <c r="K10778" s="29">
        <v>0.98289565623980701</v>
      </c>
    </row>
    <row r="10779" spans="1:11" x14ac:dyDescent="0.35">
      <c r="A10779" s="9" t="str">
        <f>HYPERLINK("http://www.ensembl.org/id/WBGene00044306", "WBGene00044306")</f>
        <v>WBGene00044306</v>
      </c>
      <c r="B10779" s="9" t="str">
        <f>HYPERLINK("http://www.ncbi.nlm.nih.gov/gene/3565437", "3565437")</f>
        <v>3565437</v>
      </c>
      <c r="C10779" s="9"/>
      <c r="D10779" t="str">
        <f>"F58F9.8"</f>
        <v>F58F9.8</v>
      </c>
      <c r="F10779" t="s">
        <v>11</v>
      </c>
      <c r="H10779" s="12">
        <v>2.4360060020174399</v>
      </c>
      <c r="I10779" s="20">
        <v>0.51537338792978205</v>
      </c>
      <c r="J10779" s="28">
        <v>0.60629212504180696</v>
      </c>
      <c r="K10779" s="29">
        <v>0.98289565623980701</v>
      </c>
    </row>
    <row r="10780" spans="1:11" x14ac:dyDescent="0.35">
      <c r="A10780" s="9" t="str">
        <f>HYPERLINK("http://www.ensembl.org/id/WBGene00010265", "WBGene00010265")</f>
        <v>WBGene00010265</v>
      </c>
      <c r="B10780" s="9" t="str">
        <f>HYPERLINK("http://www.ncbi.nlm.nih.gov/gene/174933", "174933")</f>
        <v>174933</v>
      </c>
      <c r="C10780" s="9"/>
      <c r="D10780" t="str">
        <f>"F58G1.3"</f>
        <v>F58G1.3</v>
      </c>
      <c r="E10780" t="s">
        <v>2496</v>
      </c>
      <c r="F10780" t="s">
        <v>11</v>
      </c>
      <c r="G10780" t="s">
        <v>2497</v>
      </c>
      <c r="H10780" s="12">
        <v>1.4195926181923599</v>
      </c>
      <c r="I10780" s="20">
        <v>0.41538379363295802</v>
      </c>
      <c r="J10780" s="28">
        <v>0.67786096864204504</v>
      </c>
      <c r="K10780" s="29">
        <v>0.98289565623980701</v>
      </c>
    </row>
    <row r="10781" spans="1:11" x14ac:dyDescent="0.35">
      <c r="A10781" s="9" t="str">
        <f>HYPERLINK("http://www.ensembl.org/id/WBGene00010269", "WBGene00010269")</f>
        <v>WBGene00010269</v>
      </c>
      <c r="B10781" s="9" t="str">
        <f>HYPERLINK("http://www.ncbi.nlm.nih.gov/gene/174937", "174937")</f>
        <v>174937</v>
      </c>
      <c r="C10781" s="9"/>
      <c r="D10781" t="str">
        <f>"F58G1.7"</f>
        <v>F58G1.7</v>
      </c>
      <c r="F10781" t="s">
        <v>11</v>
      </c>
      <c r="G10781" t="s">
        <v>25</v>
      </c>
      <c r="H10781" s="12">
        <v>1.3900483110520001</v>
      </c>
      <c r="I10781" s="20">
        <v>0.96946390284772999</v>
      </c>
      <c r="J10781" s="28">
        <v>0.33231378207505002</v>
      </c>
      <c r="K10781" s="29">
        <v>0.98289565623980701</v>
      </c>
    </row>
    <row r="10782" spans="1:11" x14ac:dyDescent="0.35">
      <c r="A10782" s="9" t="str">
        <f>HYPERLINK("http://www.ensembl.org/id/WBGene00010271", "WBGene00010271")</f>
        <v>WBGene00010271</v>
      </c>
      <c r="B10782" s="9"/>
      <c r="C10782" s="9"/>
      <c r="D10782" t="str">
        <f>"F58G1.9"</f>
        <v>F58G1.9</v>
      </c>
      <c r="F10782" t="s">
        <v>80</v>
      </c>
      <c r="H10782" s="12">
        <v>-5.5794491025289696</v>
      </c>
      <c r="I10782" s="20">
        <v>-0.504738274115201</v>
      </c>
      <c r="J10782" s="28">
        <v>0.61374267489732603</v>
      </c>
      <c r="K10782" s="29">
        <v>0.98289565623980701</v>
      </c>
    </row>
    <row r="10783" spans="1:11" x14ac:dyDescent="0.35">
      <c r="A10783" s="9" t="str">
        <f>HYPERLINK("http://www.ensembl.org/id/WBGene00010282", "WBGene00010282")</f>
        <v>WBGene00010282</v>
      </c>
      <c r="B10783" s="9" t="str">
        <f>HYPERLINK("http://www.ncbi.nlm.nih.gov/gene/186546", "186546")</f>
        <v>186546</v>
      </c>
      <c r="C10783" s="9" t="str">
        <f>HYPERLINK("http://www.ncbi.nlm.nih.gov/gene/256471", "256471")</f>
        <v>256471</v>
      </c>
      <c r="D10783" t="str">
        <f>"F58G11.4"</f>
        <v>F58G11.4</v>
      </c>
      <c r="F10783" t="s">
        <v>11</v>
      </c>
      <c r="G10783" t="s">
        <v>230</v>
      </c>
      <c r="H10783" s="12">
        <v>1.4228788121317999</v>
      </c>
      <c r="I10783" s="20">
        <v>0.39373723124881699</v>
      </c>
      <c r="J10783" s="28">
        <v>0.69377505060659295</v>
      </c>
      <c r="K10783" s="29">
        <v>0.98289565623980701</v>
      </c>
    </row>
    <row r="10784" spans="1:11" x14ac:dyDescent="0.35">
      <c r="A10784" s="9" t="str">
        <f>HYPERLINK("http://www.ensembl.org/id/WBGene00010274", "WBGene00010274")</f>
        <v>WBGene00010274</v>
      </c>
      <c r="B10784" s="9" t="str">
        <f>HYPERLINK("http://www.ncbi.nlm.nih.gov/gene/259943", "259943")</f>
        <v>259943</v>
      </c>
      <c r="C10784" s="9"/>
      <c r="D10784" t="str">
        <f>"F58G6.3"</f>
        <v>F58G6.3</v>
      </c>
      <c r="F10784" t="s">
        <v>11</v>
      </c>
      <c r="G10784" t="s">
        <v>2090</v>
      </c>
      <c r="H10784" s="12">
        <v>1.2720373973475401</v>
      </c>
      <c r="I10784" s="20">
        <v>0.40758253751664097</v>
      </c>
      <c r="J10784" s="28">
        <v>0.68358018676586396</v>
      </c>
      <c r="K10784" s="29">
        <v>0.98289565623980701</v>
      </c>
    </row>
    <row r="10785" spans="1:11" x14ac:dyDescent="0.35">
      <c r="A10785" s="9" t="str">
        <f>HYPERLINK("http://www.ensembl.org/id/WBGene00010277", "WBGene00010277")</f>
        <v>WBGene00010277</v>
      </c>
      <c r="B10785" s="9" t="str">
        <f>HYPERLINK("http://www.ncbi.nlm.nih.gov/gene/177798", "177798")</f>
        <v>177798</v>
      </c>
      <c r="C10785" s="9"/>
      <c r="D10785" t="str">
        <f>"F58G6.7"</f>
        <v>F58G6.7</v>
      </c>
      <c r="F10785" t="s">
        <v>11</v>
      </c>
      <c r="G10785" t="s">
        <v>2090</v>
      </c>
      <c r="H10785" s="12">
        <v>1.40869460503476</v>
      </c>
      <c r="I10785" s="20">
        <v>0.85658444982538795</v>
      </c>
      <c r="J10785" s="28">
        <v>0.39167458265635902</v>
      </c>
      <c r="K10785" s="29">
        <v>0.98289565623980701</v>
      </c>
    </row>
    <row r="10786" spans="1:11" x14ac:dyDescent="0.35">
      <c r="A10786" s="9" t="str">
        <f>HYPERLINK("http://www.ensembl.org/id/WBGene00196088", "WBGene00196088")</f>
        <v>WBGene00196088</v>
      </c>
      <c r="B10786" s="9"/>
      <c r="C10786" s="9"/>
      <c r="D10786" t="str">
        <f>"F58H1.11"</f>
        <v>F58H1.11</v>
      </c>
      <c r="F10786" t="s">
        <v>481</v>
      </c>
      <c r="H10786" s="12">
        <v>5.9495765472548197</v>
      </c>
      <c r="I10786" s="20">
        <v>0.52429389276509997</v>
      </c>
      <c r="J10786" s="28">
        <v>0.60007414400596704</v>
      </c>
      <c r="K10786" s="29">
        <v>0.98289565623980701</v>
      </c>
    </row>
    <row r="10787" spans="1:11" x14ac:dyDescent="0.35">
      <c r="A10787" s="9" t="str">
        <f>HYPERLINK("http://www.ensembl.org/id/WBGene00197523", "WBGene00197523")</f>
        <v>WBGene00197523</v>
      </c>
      <c r="B10787" s="9"/>
      <c r="C10787" s="9"/>
      <c r="D10787" t="str">
        <f>"F58H1.15"</f>
        <v>F58H1.15</v>
      </c>
      <c r="F10787" t="s">
        <v>481</v>
      </c>
      <c r="H10787" s="12">
        <v>-4.7167679298615104</v>
      </c>
      <c r="I10787" s="20">
        <v>-0.454742638005115</v>
      </c>
      <c r="J10787" s="28">
        <v>0.64929440216969203</v>
      </c>
      <c r="K10787" s="29">
        <v>0.98289565623980701</v>
      </c>
    </row>
    <row r="10788" spans="1:11" x14ac:dyDescent="0.35">
      <c r="A10788" s="9" t="str">
        <f>HYPERLINK("http://www.ensembl.org/id/WBGene00197674", "WBGene00197674")</f>
        <v>WBGene00197674</v>
      </c>
      <c r="B10788" s="9"/>
      <c r="C10788" s="9"/>
      <c r="D10788" t="str">
        <f>"F58H1.16"</f>
        <v>F58H1.16</v>
      </c>
      <c r="F10788" t="s">
        <v>481</v>
      </c>
      <c r="H10788" s="12">
        <v>-3.7261494131482999</v>
      </c>
      <c r="I10788" s="20">
        <v>-0.38454673129429601</v>
      </c>
      <c r="J10788" s="28">
        <v>0.70057326682554</v>
      </c>
      <c r="K10788" s="29">
        <v>0.98289565623980701</v>
      </c>
    </row>
    <row r="10789" spans="1:11" x14ac:dyDescent="0.35">
      <c r="A10789" s="9" t="str">
        <f>HYPERLINK("http://www.ensembl.org/id/WBGene00010285", "WBGene00010285")</f>
        <v>WBGene00010285</v>
      </c>
      <c r="B10789" s="9" t="str">
        <f>HYPERLINK("http://www.ncbi.nlm.nih.gov/gene/179633", "179633")</f>
        <v>179633</v>
      </c>
      <c r="C10789" s="9"/>
      <c r="D10789" t="str">
        <f>"F58H1.2"</f>
        <v>F58H1.2</v>
      </c>
      <c r="F10789" t="s">
        <v>11</v>
      </c>
      <c r="H10789" s="12">
        <v>-1.46908323107738</v>
      </c>
      <c r="I10789" s="20">
        <v>-0.71726339292229602</v>
      </c>
      <c r="J10789" s="28">
        <v>0.47321159038233002</v>
      </c>
      <c r="K10789" s="29">
        <v>0.98289565623980701</v>
      </c>
    </row>
    <row r="10790" spans="1:11" x14ac:dyDescent="0.35">
      <c r="A10790" s="9" t="str">
        <f>HYPERLINK("http://www.ensembl.org/id/WBGene00199859", "WBGene00199859")</f>
        <v>WBGene00199859</v>
      </c>
      <c r="B10790" s="9"/>
      <c r="C10790" s="9"/>
      <c r="D10790" t="str">
        <f>"F58H1.22"</f>
        <v>F58H1.22</v>
      </c>
      <c r="F10790" t="s">
        <v>481</v>
      </c>
      <c r="H10790" s="12">
        <v>-2.4295389261469</v>
      </c>
      <c r="I10790" s="20">
        <v>-0.25808529976640998</v>
      </c>
      <c r="J10790" s="28">
        <v>0.79634107645457397</v>
      </c>
      <c r="K10790" s="29">
        <v>0.98289565623980701</v>
      </c>
    </row>
    <row r="10791" spans="1:11" x14ac:dyDescent="0.35">
      <c r="A10791" s="9" t="str">
        <f>HYPERLINK("http://www.ensembl.org/id/WBGene00010286", "WBGene00010286")</f>
        <v>WBGene00010286</v>
      </c>
      <c r="B10791" s="9" t="str">
        <f>HYPERLINK("http://www.ncbi.nlm.nih.gov/gene/179634", "179634")</f>
        <v>179634</v>
      </c>
      <c r="C10791" s="9" t="str">
        <f>HYPERLINK("http://www.ncbi.nlm.nih.gov/gene/58478", "58478")</f>
        <v>58478</v>
      </c>
      <c r="D10791" t="str">
        <f>"F58H1.3"</f>
        <v>F58H1.3</v>
      </c>
      <c r="E10791" t="s">
        <v>8592</v>
      </c>
      <c r="F10791" t="s">
        <v>11</v>
      </c>
      <c r="G10791" t="s">
        <v>8593</v>
      </c>
      <c r="H10791" s="12">
        <v>-1.1854948745263401</v>
      </c>
      <c r="I10791" s="20">
        <v>-0.78064551893913603</v>
      </c>
      <c r="J10791" s="28">
        <v>0.435011011896139</v>
      </c>
      <c r="K10791" s="29">
        <v>0.98289565623980701</v>
      </c>
    </row>
    <row r="10792" spans="1:11" x14ac:dyDescent="0.35">
      <c r="A10792" s="9" t="str">
        <f>HYPERLINK("http://www.ensembl.org/id/WBGene00010289", "WBGene00010289")</f>
        <v>WBGene00010289</v>
      </c>
      <c r="B10792" s="9" t="str">
        <f>HYPERLINK("http://www.ncbi.nlm.nih.gov/gene/186549", "186549")</f>
        <v>186549</v>
      </c>
      <c r="C10792" s="9"/>
      <c r="D10792" t="str">
        <f>"F58H1.6"</f>
        <v>F58H1.6</v>
      </c>
      <c r="F10792" t="s">
        <v>11</v>
      </c>
      <c r="G10792" t="s">
        <v>25</v>
      </c>
      <c r="H10792" s="12">
        <v>1.6093519312577</v>
      </c>
      <c r="I10792" s="20">
        <v>0.59188036475540695</v>
      </c>
      <c r="J10792" s="28">
        <v>0.55393070310896597</v>
      </c>
      <c r="K10792" s="29">
        <v>0.98289565623980701</v>
      </c>
    </row>
    <row r="10793" spans="1:11" x14ac:dyDescent="0.35">
      <c r="A10793" s="9" t="str">
        <f>HYPERLINK("http://www.ensembl.org/id/WBGene00138720", "WBGene00138720")</f>
        <v>WBGene00138720</v>
      </c>
      <c r="B10793" s="9" t="str">
        <f>HYPERLINK("http://www.ncbi.nlm.nih.gov/gene/13215535", "13215535")</f>
        <v>13215535</v>
      </c>
      <c r="C10793" s="9"/>
      <c r="D10793" t="str">
        <f>"F58H1.8"</f>
        <v>F58H1.8</v>
      </c>
      <c r="F10793" t="s">
        <v>11</v>
      </c>
      <c r="G10793" t="s">
        <v>25</v>
      </c>
      <c r="H10793" s="12">
        <v>-1.1466975414988501</v>
      </c>
      <c r="I10793" s="20">
        <v>-0.46698075598456101</v>
      </c>
      <c r="J10793" s="28">
        <v>0.64051364637049502</v>
      </c>
      <c r="K10793" s="29">
        <v>0.98289565623980701</v>
      </c>
    </row>
    <row r="10794" spans="1:11" x14ac:dyDescent="0.35">
      <c r="A10794" s="9" t="str">
        <f>HYPERLINK("http://www.ensembl.org/id/WBGene00271786", "WBGene00271786")</f>
        <v>WBGene00271786</v>
      </c>
      <c r="B10794" s="9"/>
      <c r="C10794" s="9"/>
      <c r="D10794" t="str">
        <f>"F58H7.11"</f>
        <v>F58H7.11</v>
      </c>
      <c r="F10794" t="s">
        <v>80</v>
      </c>
      <c r="H10794" s="12">
        <v>3.43962969396383</v>
      </c>
      <c r="I10794" s="20">
        <v>0.94898283320129295</v>
      </c>
      <c r="J10794" s="28">
        <v>0.34262934319638599</v>
      </c>
      <c r="K10794" s="29">
        <v>0.98289565623980701</v>
      </c>
    </row>
    <row r="10795" spans="1:11" x14ac:dyDescent="0.35">
      <c r="A10795" s="9" t="str">
        <f>HYPERLINK("http://www.ensembl.org/id/WBGene00019070", "WBGene00019070")</f>
        <v>WBGene00019070</v>
      </c>
      <c r="B10795" s="9" t="str">
        <f>HYPERLINK("http://www.ncbi.nlm.nih.gov/gene/186552", "186552")</f>
        <v>186552</v>
      </c>
      <c r="C10795" s="9"/>
      <c r="D10795" t="str">
        <f>"F58H7.5"</f>
        <v>F58H7.5</v>
      </c>
      <c r="F10795" t="s">
        <v>11</v>
      </c>
      <c r="H10795" s="12">
        <v>1.6463850275606899</v>
      </c>
      <c r="I10795" s="20">
        <v>0.36970089972208697</v>
      </c>
      <c r="J10795" s="28">
        <v>0.71160536133930297</v>
      </c>
      <c r="K10795" s="29">
        <v>0.98289565623980701</v>
      </c>
    </row>
    <row r="10796" spans="1:11" x14ac:dyDescent="0.35">
      <c r="A10796" s="9" t="str">
        <f>HYPERLINK("http://www.ensembl.org/id/WBGene00010298", "WBGene00010298")</f>
        <v>WBGene00010298</v>
      </c>
      <c r="B10796" s="9" t="str">
        <f>HYPERLINK("http://www.ncbi.nlm.nih.gov/gene/186564", "186564")</f>
        <v>186564</v>
      </c>
      <c r="C10796" s="9"/>
      <c r="D10796" t="str">
        <f>"F59A1.12"</f>
        <v>F59A1.12</v>
      </c>
      <c r="F10796" t="s">
        <v>11</v>
      </c>
      <c r="G10796" t="s">
        <v>25</v>
      </c>
      <c r="H10796" s="12">
        <v>2.3893468495514898</v>
      </c>
      <c r="I10796" s="20">
        <v>0.25323547253672701</v>
      </c>
      <c r="J10796" s="28">
        <v>0.80008625651646104</v>
      </c>
      <c r="K10796" s="29">
        <v>0.98289565623980701</v>
      </c>
    </row>
    <row r="10797" spans="1:11" x14ac:dyDescent="0.35">
      <c r="A10797" s="9" t="str">
        <f>HYPERLINK("http://www.ensembl.org/id/WBGene00010300", "WBGene00010300")</f>
        <v>WBGene00010300</v>
      </c>
      <c r="B10797" s="9" t="str">
        <f>HYPERLINK("http://www.ncbi.nlm.nih.gov/gene/3565028", "3565028")</f>
        <v>3565028</v>
      </c>
      <c r="C10797" s="9"/>
      <c r="D10797" t="str">
        <f>"F59A1.15"</f>
        <v>F59A1.15</v>
      </c>
      <c r="F10797" t="s">
        <v>11</v>
      </c>
      <c r="G10797" t="s">
        <v>591</v>
      </c>
      <c r="H10797" s="12">
        <v>-4.3751513683868302</v>
      </c>
      <c r="I10797" s="20">
        <v>-0.65321222990248595</v>
      </c>
      <c r="J10797" s="28">
        <v>0.51361946689192395</v>
      </c>
      <c r="K10797" s="29">
        <v>0.98289565623980701</v>
      </c>
    </row>
    <row r="10798" spans="1:11" x14ac:dyDescent="0.35">
      <c r="A10798" s="9" t="str">
        <f>HYPERLINK("http://www.ensembl.org/id/WBGene00206506", "WBGene00206506")</f>
        <v>WBGene00206506</v>
      </c>
      <c r="B10798" s="9" t="str">
        <f>HYPERLINK("http://www.ncbi.nlm.nih.gov/gene/13217954", "13217954")</f>
        <v>13217954</v>
      </c>
      <c r="C10798" s="9"/>
      <c r="D10798" t="str">
        <f>"F59A1.18"</f>
        <v>F59A1.18</v>
      </c>
      <c r="F10798" t="s">
        <v>11</v>
      </c>
      <c r="H10798" s="12">
        <v>-3.5819448292659501</v>
      </c>
      <c r="I10798" s="20">
        <v>-0.37337717500031398</v>
      </c>
      <c r="J10798" s="28">
        <v>0.70886774492290605</v>
      </c>
      <c r="K10798" s="29">
        <v>0.98289565623980701</v>
      </c>
    </row>
    <row r="10799" spans="1:11" x14ac:dyDescent="0.35">
      <c r="A10799" s="9" t="str">
        <f>HYPERLINK("http://www.ensembl.org/id/WBGene00219549", "WBGene00219549")</f>
        <v>WBGene00219549</v>
      </c>
      <c r="B10799" s="9"/>
      <c r="C10799" s="9"/>
      <c r="D10799" t="str">
        <f>"F59A1.19"</f>
        <v>F59A1.19</v>
      </c>
      <c r="F10799" t="s">
        <v>80</v>
      </c>
      <c r="H10799" s="12">
        <v>3.5227018545059199</v>
      </c>
      <c r="I10799" s="20">
        <v>0.36849691206929103</v>
      </c>
      <c r="J10799" s="28">
        <v>0.71250274722433404</v>
      </c>
      <c r="K10799" s="29">
        <v>0.98289565623980701</v>
      </c>
    </row>
    <row r="10800" spans="1:11" x14ac:dyDescent="0.35">
      <c r="A10800" s="9" t="str">
        <f>HYPERLINK("http://www.ensembl.org/id/WBGene00014781", "WBGene00014781")</f>
        <v>WBGene00014781</v>
      </c>
      <c r="B10800" s="9"/>
      <c r="C10800" s="9"/>
      <c r="D10800" t="str">
        <f>"F59A1.t1"</f>
        <v>F59A1.t1</v>
      </c>
      <c r="F10800" t="s">
        <v>80</v>
      </c>
      <c r="H10800" s="12">
        <v>-2.4991590031922399</v>
      </c>
      <c r="I10800" s="20">
        <v>-0.26577412737581302</v>
      </c>
      <c r="J10800" s="28">
        <v>0.79041317015736101</v>
      </c>
      <c r="K10800" s="29">
        <v>0.98289565623980701</v>
      </c>
    </row>
    <row r="10801" spans="1:11" x14ac:dyDescent="0.35">
      <c r="A10801" s="9" t="str">
        <f>HYPERLINK("http://www.ensembl.org/id/WBGene00010305", "WBGene00010305")</f>
        <v>WBGene00010305</v>
      </c>
      <c r="B10801" s="9" t="str">
        <f>HYPERLINK("http://www.ncbi.nlm.nih.gov/gene/175444", "175444")</f>
        <v>175444</v>
      </c>
      <c r="C10801" s="9"/>
      <c r="D10801" t="str">
        <f>"F59A2.5"</f>
        <v>F59A2.5</v>
      </c>
      <c r="F10801" t="s">
        <v>11</v>
      </c>
      <c r="G10801" t="s">
        <v>8446</v>
      </c>
      <c r="H10801" s="12">
        <v>-1.1782499956860699</v>
      </c>
      <c r="I10801" s="20">
        <v>-0.57147676342453402</v>
      </c>
      <c r="J10801" s="28">
        <v>0.56767650713035001</v>
      </c>
      <c r="K10801" s="29">
        <v>0.98289565623980701</v>
      </c>
    </row>
    <row r="10802" spans="1:11" x14ac:dyDescent="0.35">
      <c r="A10802" s="9" t="str">
        <f>HYPERLINK("http://www.ensembl.org/id/WBGene00219986", "WBGene00219986")</f>
        <v>WBGene00219986</v>
      </c>
      <c r="B10802" s="9"/>
      <c r="C10802" s="9"/>
      <c r="D10802" t="str">
        <f>"F59A2.7"</f>
        <v>F59A2.7</v>
      </c>
      <c r="F10802" t="s">
        <v>2977</v>
      </c>
      <c r="H10802" s="12">
        <v>5.4058944669092801</v>
      </c>
      <c r="I10802" s="20">
        <v>0.49762513753689303</v>
      </c>
      <c r="J10802" s="28">
        <v>0.61874828254921799</v>
      </c>
      <c r="K10802" s="29">
        <v>0.98289565623980701</v>
      </c>
    </row>
    <row r="10803" spans="1:11" x14ac:dyDescent="0.35">
      <c r="A10803" s="9" t="str">
        <f>HYPERLINK("http://www.ensembl.org/id/WBGene00194697", "WBGene00194697")</f>
        <v>WBGene00194697</v>
      </c>
      <c r="B10803" s="9" t="str">
        <f>HYPERLINK("http://www.ncbi.nlm.nih.gov/gene/13180285", "13180285")</f>
        <v>13180285</v>
      </c>
      <c r="C10803" s="9"/>
      <c r="D10803" t="str">
        <f>"F59A3.13"</f>
        <v>F59A3.13</v>
      </c>
      <c r="F10803" t="s">
        <v>11</v>
      </c>
      <c r="G10803" t="s">
        <v>25</v>
      </c>
      <c r="H10803" s="12">
        <v>2.12699861069011</v>
      </c>
      <c r="I10803" s="20">
        <v>0.41552723255109197</v>
      </c>
      <c r="J10803" s="28">
        <v>0.67775598376706803</v>
      </c>
      <c r="K10803" s="29">
        <v>0.98289565623980701</v>
      </c>
    </row>
    <row r="10804" spans="1:11" x14ac:dyDescent="0.35">
      <c r="A10804" s="9" t="str">
        <f>HYPERLINK("http://www.ensembl.org/id/WBGene00019080", "WBGene00019080")</f>
        <v>WBGene00019080</v>
      </c>
      <c r="B10804" s="9" t="str">
        <f>HYPERLINK("http://www.ncbi.nlm.nih.gov/gene/186578", "186578")</f>
        <v>186578</v>
      </c>
      <c r="C10804" s="9"/>
      <c r="D10804" t="str">
        <f>"F59A3.7"</f>
        <v>F59A3.7</v>
      </c>
      <c r="F10804" t="s">
        <v>11</v>
      </c>
      <c r="G10804" t="s">
        <v>25</v>
      </c>
      <c r="H10804" s="12">
        <v>7.7332001203887399</v>
      </c>
      <c r="I10804" s="20">
        <v>0.82261633065247097</v>
      </c>
      <c r="J10804" s="28">
        <v>0.41072620892744899</v>
      </c>
      <c r="K10804" s="29">
        <v>0.98289565623980701</v>
      </c>
    </row>
    <row r="10805" spans="1:11" x14ac:dyDescent="0.35">
      <c r="A10805" s="9" t="str">
        <f>HYPERLINK("http://www.ensembl.org/id/WBGene00019081", "WBGene00019081")</f>
        <v>WBGene00019081</v>
      </c>
      <c r="B10805" s="9" t="str">
        <f>HYPERLINK("http://www.ncbi.nlm.nih.gov/gene/186579", "186579")</f>
        <v>186579</v>
      </c>
      <c r="C10805" s="9"/>
      <c r="D10805" t="str">
        <f>"F59A3.8"</f>
        <v>F59A3.8</v>
      </c>
      <c r="E10805" t="s">
        <v>2588</v>
      </c>
      <c r="F10805" t="s">
        <v>11</v>
      </c>
      <c r="G10805" t="s">
        <v>2589</v>
      </c>
      <c r="H10805" s="12">
        <v>-2.12187935232493</v>
      </c>
      <c r="I10805" s="20">
        <v>-0.50695843600725399</v>
      </c>
      <c r="J10805" s="28">
        <v>0.61218398239086802</v>
      </c>
      <c r="K10805" s="29">
        <v>0.98289565623980701</v>
      </c>
    </row>
    <row r="10806" spans="1:11" x14ac:dyDescent="0.35">
      <c r="A10806" s="9" t="str">
        <f>HYPERLINK("http://www.ensembl.org/id/WBGene00044664", "WBGene00044664")</f>
        <v>WBGene00044664</v>
      </c>
      <c r="B10806" s="9" t="str">
        <f>HYPERLINK("http://www.ncbi.nlm.nih.gov/gene/4363019", "4363019")</f>
        <v>4363019</v>
      </c>
      <c r="C10806" s="9"/>
      <c r="D10806" t="str">
        <f>"F59A6.11"</f>
        <v>F59A6.11</v>
      </c>
      <c r="F10806" t="s">
        <v>11</v>
      </c>
      <c r="H10806" s="12">
        <v>-3.7261494131482999</v>
      </c>
      <c r="I10806" s="20">
        <v>-0.38454673129429601</v>
      </c>
      <c r="J10806" s="28">
        <v>0.70057326682554</v>
      </c>
      <c r="K10806" s="29">
        <v>0.98289565623980701</v>
      </c>
    </row>
    <row r="10807" spans="1:11" x14ac:dyDescent="0.35">
      <c r="A10807" s="9" t="str">
        <f>HYPERLINK("http://www.ensembl.org/id/WBGene00019086", "WBGene00019086")</f>
        <v>WBGene00019086</v>
      </c>
      <c r="B10807" s="9" t="str">
        <f>HYPERLINK("http://www.ncbi.nlm.nih.gov/gene/173865", "173865")</f>
        <v>173865</v>
      </c>
      <c r="C10807" s="9"/>
      <c r="D10807" t="str">
        <f>"F59A6.4"</f>
        <v>F59A6.4</v>
      </c>
      <c r="F10807" t="s">
        <v>11</v>
      </c>
      <c r="G10807" t="s">
        <v>4424</v>
      </c>
      <c r="H10807" s="12">
        <v>1.2412373278736799</v>
      </c>
      <c r="I10807" s="20">
        <v>0.2737442632473</v>
      </c>
      <c r="J10807" s="28">
        <v>0.78428115935917297</v>
      </c>
      <c r="K10807" s="29">
        <v>0.98289565623980701</v>
      </c>
    </row>
    <row r="10808" spans="1:11" x14ac:dyDescent="0.35">
      <c r="A10808" s="9" t="str">
        <f>HYPERLINK("http://www.ensembl.org/id/WBGene00019087", "WBGene00019087")</f>
        <v>WBGene00019087</v>
      </c>
      <c r="B10808" s="9" t="str">
        <f>HYPERLINK("http://www.ncbi.nlm.nih.gov/gene/173864", "173864")</f>
        <v>173864</v>
      </c>
      <c r="C10808" s="9"/>
      <c r="D10808" t="str">
        <f>"F59A6.5"</f>
        <v>F59A6.5</v>
      </c>
      <c r="F10808" t="s">
        <v>11</v>
      </c>
      <c r="G10808" t="s">
        <v>5514</v>
      </c>
      <c r="H10808" s="12">
        <v>-1.1485588596434799</v>
      </c>
      <c r="I10808" s="20">
        <v>-0.57038253296930497</v>
      </c>
      <c r="J10808" s="28">
        <v>0.56841827392193101</v>
      </c>
      <c r="K10808" s="29">
        <v>0.98289565623980701</v>
      </c>
    </row>
    <row r="10809" spans="1:11" x14ac:dyDescent="0.35">
      <c r="A10809" s="9" t="str">
        <f>HYPERLINK("http://www.ensembl.org/id/WBGene00268196", "WBGene00268196")</f>
        <v>WBGene00268196</v>
      </c>
      <c r="B10809" s="9" t="str">
        <f>HYPERLINK("http://www.ncbi.nlm.nih.gov/gene/25502982", "25502982")</f>
        <v>25502982</v>
      </c>
      <c r="C10809" s="9"/>
      <c r="D10809" t="str">
        <f>"F59A7.14"</f>
        <v>F59A7.14</v>
      </c>
      <c r="F10809" t="s">
        <v>11</v>
      </c>
      <c r="G10809" t="s">
        <v>25</v>
      </c>
      <c r="H10809" s="12">
        <v>1.5195109916146701</v>
      </c>
      <c r="I10809" s="20">
        <v>0.58084241049662899</v>
      </c>
      <c r="J10809" s="28">
        <v>0.561346668777155</v>
      </c>
      <c r="K10809" s="29">
        <v>0.98289565623980701</v>
      </c>
    </row>
    <row r="10810" spans="1:11" x14ac:dyDescent="0.35">
      <c r="A10810" s="9" t="str">
        <f>HYPERLINK("http://www.ensembl.org/id/WBGene00019095", "WBGene00019095")</f>
        <v>WBGene00019095</v>
      </c>
      <c r="B10810" s="9"/>
      <c r="C10810" s="9"/>
      <c r="D10810" t="str">
        <f>"F59A7.8"</f>
        <v>F59A7.8</v>
      </c>
      <c r="F10810" t="s">
        <v>80</v>
      </c>
      <c r="H10810" s="12">
        <v>-1.13583559928914</v>
      </c>
      <c r="I10810" s="20">
        <v>-0.38752039861636101</v>
      </c>
      <c r="J10810" s="28">
        <v>0.69837098645225903</v>
      </c>
      <c r="K10810" s="29">
        <v>0.98289565623980701</v>
      </c>
    </row>
    <row r="10811" spans="1:11" x14ac:dyDescent="0.35">
      <c r="A10811" s="9" t="str">
        <f>HYPERLINK("http://www.ensembl.org/id/WBGene00019101", "WBGene00019101")</f>
        <v>WBGene00019101</v>
      </c>
      <c r="B10811" s="9" t="str">
        <f>HYPERLINK("http://www.ncbi.nlm.nih.gov/gene/353438", "353438")</f>
        <v>353438</v>
      </c>
      <c r="C10811" s="9"/>
      <c r="D10811" t="str">
        <f>"F59B1.10"</f>
        <v>F59B1.10</v>
      </c>
      <c r="F10811" t="s">
        <v>11</v>
      </c>
      <c r="H10811" s="12">
        <v>1.5313990581330399</v>
      </c>
      <c r="I10811" s="20">
        <v>0.87311958849854598</v>
      </c>
      <c r="J10811" s="28">
        <v>0.38259789798475202</v>
      </c>
      <c r="K10811" s="29">
        <v>0.98289565623980701</v>
      </c>
    </row>
    <row r="10812" spans="1:11" x14ac:dyDescent="0.35">
      <c r="A10812" s="9" t="str">
        <f>HYPERLINK("http://www.ensembl.org/id/WBGene00019097", "WBGene00019097")</f>
        <v>WBGene00019097</v>
      </c>
      <c r="B10812" s="9" t="str">
        <f>HYPERLINK("http://www.ncbi.nlm.nih.gov/gene/178783", "178783")</f>
        <v>178783</v>
      </c>
      <c r="C10812" s="9"/>
      <c r="D10812" t="str">
        <f>"F59B1.2"</f>
        <v>F59B1.2</v>
      </c>
      <c r="F10812" t="s">
        <v>11</v>
      </c>
      <c r="H10812" s="12">
        <v>-1.1062469169365601</v>
      </c>
      <c r="I10812" s="20">
        <v>-0.52411349914445404</v>
      </c>
      <c r="J10812" s="28">
        <v>0.60019960001025596</v>
      </c>
      <c r="K10812" s="29">
        <v>0.98289565623980701</v>
      </c>
    </row>
    <row r="10813" spans="1:11" x14ac:dyDescent="0.35">
      <c r="A10813" s="9" t="str">
        <f>HYPERLINK("http://www.ensembl.org/id/WBGene00019098", "WBGene00019098")</f>
        <v>WBGene00019098</v>
      </c>
      <c r="B10813" s="9" t="str">
        <f>HYPERLINK("http://www.ncbi.nlm.nih.gov/gene/186589", "186589")</f>
        <v>186589</v>
      </c>
      <c r="C10813" s="9"/>
      <c r="D10813" t="str">
        <f>"F59B1.4"</f>
        <v>F59B1.4</v>
      </c>
      <c r="F10813" t="s">
        <v>11</v>
      </c>
      <c r="G10813" t="s">
        <v>25</v>
      </c>
      <c r="H10813" s="12">
        <v>1.71812641075588</v>
      </c>
      <c r="I10813" s="20">
        <v>0.317168119292073</v>
      </c>
      <c r="J10813" s="28">
        <v>0.75111603913460001</v>
      </c>
      <c r="K10813" s="29">
        <v>0.98289565623980701</v>
      </c>
    </row>
    <row r="10814" spans="1:11" x14ac:dyDescent="0.35">
      <c r="A10814" s="9" t="str">
        <f>HYPERLINK("http://www.ensembl.org/id/WBGene00019099", "WBGene00019099")</f>
        <v>WBGene00019099</v>
      </c>
      <c r="B10814" s="9" t="str">
        <f>HYPERLINK("http://www.ncbi.nlm.nih.gov/gene/186591", "186591")</f>
        <v>186591</v>
      </c>
      <c r="C10814" s="9"/>
      <c r="D10814" t="str">
        <f>"F59B1.6"</f>
        <v>F59B1.6</v>
      </c>
      <c r="F10814" t="s">
        <v>11</v>
      </c>
      <c r="G10814" t="s">
        <v>25</v>
      </c>
      <c r="H10814" s="12">
        <v>-2.4991590031922399</v>
      </c>
      <c r="I10814" s="20">
        <v>-0.26577412737581302</v>
      </c>
      <c r="J10814" s="28">
        <v>0.79041317015736101</v>
      </c>
      <c r="K10814" s="29">
        <v>0.98289565623980701</v>
      </c>
    </row>
    <row r="10815" spans="1:11" x14ac:dyDescent="0.35">
      <c r="A10815" s="9" t="str">
        <f>HYPERLINK("http://www.ensembl.org/id/WBGene00019100", "WBGene00019100")</f>
        <v>WBGene00019100</v>
      </c>
      <c r="B10815" s="9" t="str">
        <f>HYPERLINK("http://www.ncbi.nlm.nih.gov/gene/178784", "178784")</f>
        <v>178784</v>
      </c>
      <c r="C10815" s="9"/>
      <c r="D10815" t="str">
        <f>"F59B1.8"</f>
        <v>F59B1.8</v>
      </c>
      <c r="F10815" t="s">
        <v>11</v>
      </c>
      <c r="G10815" t="s">
        <v>264</v>
      </c>
      <c r="H10815" s="12">
        <v>1.0760422655550901</v>
      </c>
      <c r="I10815" s="20">
        <v>0.35474544935845598</v>
      </c>
      <c r="J10815" s="28">
        <v>0.72278029878595995</v>
      </c>
      <c r="K10815" s="29">
        <v>0.98289565623980701</v>
      </c>
    </row>
    <row r="10816" spans="1:11" x14ac:dyDescent="0.35">
      <c r="A10816" s="9" t="str">
        <f>HYPERLINK("http://www.ensembl.org/id/WBGene00010319", "WBGene00010319")</f>
        <v>WBGene00010319</v>
      </c>
      <c r="B10816" s="9" t="str">
        <f>HYPERLINK("http://www.ncbi.nlm.nih.gov/gene/174615", "174615")</f>
        <v>174615</v>
      </c>
      <c r="C10816" s="9"/>
      <c r="D10816" t="str">
        <f>"F59B10.3"</f>
        <v>F59B10.3</v>
      </c>
      <c r="F10816" t="s">
        <v>11</v>
      </c>
      <c r="G10816" t="s">
        <v>25</v>
      </c>
      <c r="H10816" s="12">
        <v>1.4025159430577201</v>
      </c>
      <c r="I10816" s="20">
        <v>0.65533793727979905</v>
      </c>
      <c r="J10816" s="28">
        <v>0.51225020034729396</v>
      </c>
      <c r="K10816" s="29">
        <v>0.98289565623980701</v>
      </c>
    </row>
    <row r="10817" spans="1:11" x14ac:dyDescent="0.35">
      <c r="A10817" s="9" t="str">
        <f>HYPERLINK("http://www.ensembl.org/id/WBGene00010320", "WBGene00010320")</f>
        <v>WBGene00010320</v>
      </c>
      <c r="B10817" s="9" t="str">
        <f>HYPERLINK("http://www.ncbi.nlm.nih.gov/gene/174616", "174616")</f>
        <v>174616</v>
      </c>
      <c r="C10817" s="9"/>
      <c r="D10817" t="str">
        <f>"F59B10.4"</f>
        <v>F59B10.4</v>
      </c>
      <c r="F10817" t="s">
        <v>11</v>
      </c>
      <c r="G10817" t="s">
        <v>25</v>
      </c>
      <c r="H10817" s="12">
        <v>1.1737634300500499</v>
      </c>
      <c r="I10817" s="20">
        <v>0.73621672796433302</v>
      </c>
      <c r="J10817" s="28">
        <v>0.46159881364612199</v>
      </c>
      <c r="K10817" s="29">
        <v>0.98289565623980701</v>
      </c>
    </row>
    <row r="10818" spans="1:11" x14ac:dyDescent="0.35">
      <c r="A10818" s="9" t="str">
        <f>HYPERLINK("http://www.ensembl.org/id/WBGene00010322", "WBGene00010322")</f>
        <v>WBGene00010322</v>
      </c>
      <c r="B10818" s="9" t="str">
        <f>HYPERLINK("http://www.ncbi.nlm.nih.gov/gene/174617", "174617")</f>
        <v>174617</v>
      </c>
      <c r="C10818" s="9"/>
      <c r="D10818" t="str">
        <f>"F59B10.6"</f>
        <v>F59B10.6</v>
      </c>
      <c r="F10818" t="s">
        <v>11</v>
      </c>
      <c r="G10818" t="s">
        <v>25</v>
      </c>
      <c r="H10818" s="12">
        <v>1.4307107155466301</v>
      </c>
      <c r="I10818" s="20">
        <v>0.95198579348358503</v>
      </c>
      <c r="J10818" s="28">
        <v>0.34110418680121002</v>
      </c>
      <c r="K10818" s="29">
        <v>0.98289565623980701</v>
      </c>
    </row>
    <row r="10819" spans="1:11" x14ac:dyDescent="0.35">
      <c r="A10819" s="9" t="str">
        <f>HYPERLINK("http://www.ensembl.org/id/WBGene00199862", "WBGene00199862")</f>
        <v>WBGene00199862</v>
      </c>
      <c r="B10819" s="9"/>
      <c r="C10819" s="9"/>
      <c r="D10819" t="str">
        <f>"F59B10.8"</f>
        <v>F59B10.8</v>
      </c>
      <c r="F10819" t="s">
        <v>481</v>
      </c>
      <c r="H10819" s="12">
        <v>2.4578120077400301</v>
      </c>
      <c r="I10819" s="20">
        <v>0.26093350314551</v>
      </c>
      <c r="J10819" s="28">
        <v>0.79414378780213601</v>
      </c>
      <c r="K10819" s="29">
        <v>0.98289565623980701</v>
      </c>
    </row>
    <row r="10820" spans="1:11" x14ac:dyDescent="0.35">
      <c r="A10820" s="9" t="str">
        <f>HYPERLINK("http://www.ensembl.org/id/WBGene00010313", "WBGene00010313")</f>
        <v>WBGene00010313</v>
      </c>
      <c r="B10820" s="9"/>
      <c r="C10820" s="9"/>
      <c r="D10820" t="str">
        <f>"F59B2.11"</f>
        <v>F59B2.11</v>
      </c>
      <c r="F10820" t="s">
        <v>80</v>
      </c>
      <c r="H10820" s="12">
        <v>1.88944844138509</v>
      </c>
      <c r="I10820" s="20">
        <v>1.0828667016093401</v>
      </c>
      <c r="J10820" s="28">
        <v>0.27886759374022702</v>
      </c>
      <c r="K10820" s="29">
        <v>0.98289565623980701</v>
      </c>
    </row>
    <row r="10821" spans="1:11" x14ac:dyDescent="0.35">
      <c r="A10821" s="9" t="str">
        <f>HYPERLINK("http://www.ensembl.org/id/WBGene00185006", "WBGene00185006")</f>
        <v>WBGene00185006</v>
      </c>
      <c r="B10821" s="9" t="str">
        <f>HYPERLINK("http://www.ncbi.nlm.nih.gov/gene/13190661", "13190661")</f>
        <v>13190661</v>
      </c>
      <c r="C10821" s="9"/>
      <c r="D10821" t="str">
        <f>"F59B2.15"</f>
        <v>F59B2.15</v>
      </c>
      <c r="F10821" t="s">
        <v>11</v>
      </c>
      <c r="H10821" s="12">
        <v>-4.0327589793154797</v>
      </c>
      <c r="I10821" s="20">
        <v>-0.545222771691388</v>
      </c>
      <c r="J10821" s="28">
        <v>0.58560031169511395</v>
      </c>
      <c r="K10821" s="29">
        <v>0.98289565623980701</v>
      </c>
    </row>
    <row r="10822" spans="1:11" x14ac:dyDescent="0.35">
      <c r="A10822" s="9" t="str">
        <f>HYPERLINK("http://www.ensembl.org/id/WBGene00195440", "WBGene00195440")</f>
        <v>WBGene00195440</v>
      </c>
      <c r="B10822" s="9"/>
      <c r="C10822" s="9"/>
      <c r="D10822" t="str">
        <f>"F59B2.16"</f>
        <v>F59B2.16</v>
      </c>
      <c r="F10822" t="s">
        <v>481</v>
      </c>
      <c r="H10822" s="12">
        <v>5.4058944669092801</v>
      </c>
      <c r="I10822" s="20">
        <v>0.49762513753689303</v>
      </c>
      <c r="J10822" s="28">
        <v>0.61874828254921799</v>
      </c>
      <c r="K10822" s="29">
        <v>0.98289565623980701</v>
      </c>
    </row>
    <row r="10823" spans="1:11" x14ac:dyDescent="0.35">
      <c r="A10823" s="9" t="str">
        <f>HYPERLINK("http://www.ensembl.org/id/WBGene00010310", "WBGene00010310")</f>
        <v>WBGene00010310</v>
      </c>
      <c r="B10823" s="9" t="str">
        <f>HYPERLINK("http://www.ncbi.nlm.nih.gov/gene/186593", "186593")</f>
        <v>186593</v>
      </c>
      <c r="C10823" s="9"/>
      <c r="D10823" t="str">
        <f>"F59B2.8"</f>
        <v>F59B2.8</v>
      </c>
      <c r="F10823" t="s">
        <v>11</v>
      </c>
      <c r="G10823" t="s">
        <v>54</v>
      </c>
      <c r="H10823" s="12">
        <v>1.3184783846199899</v>
      </c>
      <c r="I10823" s="20">
        <v>0.70432612054995503</v>
      </c>
      <c r="J10823" s="28">
        <v>0.48122970316449298</v>
      </c>
      <c r="K10823" s="29">
        <v>0.98289565623980701</v>
      </c>
    </row>
    <row r="10824" spans="1:11" x14ac:dyDescent="0.35">
      <c r="A10824" s="9" t="str">
        <f>HYPERLINK("http://www.ensembl.org/id/WBGene00010311", "WBGene00010311")</f>
        <v>WBGene00010311</v>
      </c>
      <c r="B10824" s="9" t="str">
        <f>HYPERLINK("http://www.ncbi.nlm.nih.gov/gene/186594", "186594")</f>
        <v>186594</v>
      </c>
      <c r="C10824" s="9"/>
      <c r="D10824" t="str">
        <f>"F59B2.9"</f>
        <v>F59B2.9</v>
      </c>
      <c r="F10824" t="s">
        <v>11</v>
      </c>
      <c r="G10824" t="s">
        <v>54</v>
      </c>
      <c r="H10824" s="12">
        <v>1.1464259943409001</v>
      </c>
      <c r="I10824" s="20">
        <v>0.41545946916780402</v>
      </c>
      <c r="J10824" s="28">
        <v>0.67780557991978196</v>
      </c>
      <c r="K10824" s="29">
        <v>0.98289565623980701</v>
      </c>
    </row>
    <row r="10825" spans="1:11" x14ac:dyDescent="0.35">
      <c r="A10825" s="9" t="str">
        <f>HYPERLINK("http://www.ensembl.org/id/WBGene00045272", "WBGene00045272")</f>
        <v>WBGene00045272</v>
      </c>
      <c r="B10825" s="9" t="str">
        <f>HYPERLINK("http://www.ncbi.nlm.nih.gov/gene/6418857", "6418857")</f>
        <v>6418857</v>
      </c>
      <c r="C10825" s="9"/>
      <c r="D10825" t="str">
        <f>"F59C12.4"</f>
        <v>F59C12.4</v>
      </c>
      <c r="F10825" t="s">
        <v>11</v>
      </c>
      <c r="H10825" s="12">
        <v>1.28161204795941</v>
      </c>
      <c r="I10825" s="20">
        <v>0.97126061661732399</v>
      </c>
      <c r="J10825" s="28">
        <v>0.33141851527570598</v>
      </c>
      <c r="K10825" s="29">
        <v>0.98289565623980701</v>
      </c>
    </row>
    <row r="10826" spans="1:11" x14ac:dyDescent="0.35">
      <c r="A10826" s="9" t="str">
        <f>HYPERLINK("http://www.ensembl.org/id/WBGene00023075", "WBGene00023075")</f>
        <v>WBGene00023075</v>
      </c>
      <c r="B10826" s="9"/>
      <c r="C10826" s="9"/>
      <c r="D10826" t="str">
        <f>"F59C12.t1"</f>
        <v>F59C12.t1</v>
      </c>
      <c r="F10826" t="s">
        <v>4208</v>
      </c>
      <c r="H10826" s="12">
        <v>2.4578120077400301</v>
      </c>
      <c r="I10826" s="20">
        <v>0.26093350314551</v>
      </c>
      <c r="J10826" s="28">
        <v>0.79414378780213601</v>
      </c>
      <c r="K10826" s="29">
        <v>0.98289565623980701</v>
      </c>
    </row>
    <row r="10827" spans="1:11" x14ac:dyDescent="0.35">
      <c r="A10827" s="9" t="str">
        <f>HYPERLINK("http://www.ensembl.org/id/WBGene00023076", "WBGene00023076")</f>
        <v>WBGene00023076</v>
      </c>
      <c r="B10827" s="9"/>
      <c r="C10827" s="9"/>
      <c r="D10827" t="str">
        <f>"F59C12.t2"</f>
        <v>F59C12.t2</v>
      </c>
      <c r="F10827" t="s">
        <v>4208</v>
      </c>
      <c r="H10827" s="12">
        <v>4.8330720971898202</v>
      </c>
      <c r="I10827" s="20">
        <v>0.53826283632608196</v>
      </c>
      <c r="J10827" s="28">
        <v>0.59039560452453599</v>
      </c>
      <c r="K10827" s="29">
        <v>0.98289565623980701</v>
      </c>
    </row>
    <row r="10828" spans="1:11" x14ac:dyDescent="0.35">
      <c r="A10828" s="9" t="str">
        <f>HYPERLINK("http://www.ensembl.org/id/WBGene00014789", "WBGene00014789")</f>
        <v>WBGene00014789</v>
      </c>
      <c r="B10828" s="9"/>
      <c r="C10828" s="9"/>
      <c r="D10828" t="str">
        <f>"F59C6.10"</f>
        <v>F59C6.10</v>
      </c>
      <c r="F10828" t="s">
        <v>80</v>
      </c>
      <c r="H10828" s="12">
        <v>1.4249687894041501</v>
      </c>
      <c r="I10828" s="20">
        <v>0.62319383200966005</v>
      </c>
      <c r="J10828" s="28">
        <v>0.53315715446629297</v>
      </c>
      <c r="K10828" s="29">
        <v>0.98289565623980701</v>
      </c>
    </row>
    <row r="10829" spans="1:11" x14ac:dyDescent="0.35">
      <c r="A10829" s="9" t="str">
        <f>HYPERLINK("http://www.ensembl.org/id/WBGene00195405", "WBGene00195405")</f>
        <v>WBGene00195405</v>
      </c>
      <c r="B10829" s="9"/>
      <c r="C10829" s="9"/>
      <c r="D10829" t="str">
        <f>"F59C6.17"</f>
        <v>F59C6.17</v>
      </c>
      <c r="F10829" t="s">
        <v>481</v>
      </c>
      <c r="H10829" s="12">
        <v>1.84648871850475</v>
      </c>
      <c r="I10829" s="20">
        <v>0.52346566095490799</v>
      </c>
      <c r="J10829" s="28">
        <v>0.60065024137825496</v>
      </c>
      <c r="K10829" s="29">
        <v>0.98289565623980701</v>
      </c>
    </row>
    <row r="10830" spans="1:11" x14ac:dyDescent="0.35">
      <c r="A10830" s="9" t="str">
        <f>HYPERLINK("http://www.ensembl.org/id/WBGene00206464", "WBGene00206464")</f>
        <v>WBGene00206464</v>
      </c>
      <c r="B10830" s="9" t="str">
        <f>HYPERLINK("http://www.ncbi.nlm.nih.gov/gene/13181858", "13181858")</f>
        <v>13181858</v>
      </c>
      <c r="C10830" s="9"/>
      <c r="D10830" t="str">
        <f>"F59C6.18"</f>
        <v>F59C6.18</v>
      </c>
      <c r="F10830" t="s">
        <v>11</v>
      </c>
      <c r="H10830" s="12">
        <v>3.96847975834861</v>
      </c>
      <c r="I10830" s="20">
        <v>0.70157267049516603</v>
      </c>
      <c r="J10830" s="28">
        <v>0.482945700163046</v>
      </c>
      <c r="K10830" s="29">
        <v>0.98289565623980701</v>
      </c>
    </row>
    <row r="10831" spans="1:11" x14ac:dyDescent="0.35">
      <c r="A10831" s="9" t="str">
        <f>HYPERLINK("http://www.ensembl.org/id/WBGene00010324", "WBGene00010324")</f>
        <v>WBGene00010324</v>
      </c>
      <c r="B10831" s="9" t="str">
        <f>HYPERLINK("http://www.ncbi.nlm.nih.gov/gene/186603", "186603")</f>
        <v>186603</v>
      </c>
      <c r="C10831" s="9"/>
      <c r="D10831" t="str">
        <f>"F59C6.3"</f>
        <v>F59C6.3</v>
      </c>
      <c r="F10831" t="s">
        <v>11</v>
      </c>
      <c r="G10831" t="s">
        <v>25</v>
      </c>
      <c r="H10831" s="12">
        <v>2.4262533138323099</v>
      </c>
      <c r="I10831" s="20">
        <v>0.45067382688494501</v>
      </c>
      <c r="J10831" s="28">
        <v>0.65222464874762698</v>
      </c>
      <c r="K10831" s="29">
        <v>0.98289565623980701</v>
      </c>
    </row>
    <row r="10832" spans="1:11" x14ac:dyDescent="0.35">
      <c r="A10832" s="9" t="str">
        <f>HYPERLINK("http://www.ensembl.org/id/WBGene00010326", "WBGene00010326")</f>
        <v>WBGene00010326</v>
      </c>
      <c r="B10832" s="9" t="str">
        <f>HYPERLINK("http://www.ncbi.nlm.nih.gov/gene/172933", "172933")</f>
        <v>172933</v>
      </c>
      <c r="C10832" s="9" t="str">
        <f>HYPERLINK("http://www.ncbi.nlm.nih.gov/gene/4716", "4716")</f>
        <v>4716</v>
      </c>
      <c r="D10832" t="str">
        <f>"F59C6.5"</f>
        <v>F59C6.5</v>
      </c>
      <c r="F10832" t="s">
        <v>11</v>
      </c>
      <c r="G10832" t="s">
        <v>6402</v>
      </c>
      <c r="H10832" s="12">
        <v>-1.11216591447452</v>
      </c>
      <c r="I10832" s="20">
        <v>-0.58699329913785203</v>
      </c>
      <c r="J10832" s="28">
        <v>0.55720820709780305</v>
      </c>
      <c r="K10832" s="29">
        <v>0.98289565623980701</v>
      </c>
    </row>
    <row r="10833" spans="1:11" x14ac:dyDescent="0.35">
      <c r="A10833" s="9" t="str">
        <f>HYPERLINK("http://www.ensembl.org/id/WBGene00010327", "WBGene00010327")</f>
        <v>WBGene00010327</v>
      </c>
      <c r="B10833" s="9" t="str">
        <f>HYPERLINK("http://www.ncbi.nlm.nih.gov/gene/186606", "186606")</f>
        <v>186606</v>
      </c>
      <c r="C10833" s="9"/>
      <c r="D10833" t="str">
        <f>"F59C6.8"</f>
        <v>F59C6.8</v>
      </c>
      <c r="E10833" t="s">
        <v>4681</v>
      </c>
      <c r="F10833" t="s">
        <v>11</v>
      </c>
      <c r="G10833" t="s">
        <v>4682</v>
      </c>
      <c r="H10833" s="12">
        <v>1.50515032054591</v>
      </c>
      <c r="I10833" s="20">
        <v>0.71226112354692706</v>
      </c>
      <c r="J10833" s="28">
        <v>0.476303093068909</v>
      </c>
      <c r="K10833" s="29">
        <v>0.98289565623980701</v>
      </c>
    </row>
    <row r="10834" spans="1:11" x14ac:dyDescent="0.35">
      <c r="A10834" s="9" t="str">
        <f>HYPERLINK("http://www.ensembl.org/id/WBGene00010329", "WBGene00010329")</f>
        <v>WBGene00010329</v>
      </c>
      <c r="B10834" s="9" t="str">
        <f>HYPERLINK("http://www.ncbi.nlm.nih.gov/gene/181656", "181656")</f>
        <v>181656</v>
      </c>
      <c r="C10834" s="9"/>
      <c r="D10834" t="str">
        <f>"F59D12.1"</f>
        <v>F59D12.1</v>
      </c>
      <c r="F10834" t="s">
        <v>11</v>
      </c>
      <c r="G10834" t="s">
        <v>8303</v>
      </c>
      <c r="H10834" s="12">
        <v>-1.1702044594811201</v>
      </c>
      <c r="I10834" s="20">
        <v>-0.78229296838833495</v>
      </c>
      <c r="J10834" s="28">
        <v>0.43404241832129598</v>
      </c>
      <c r="K10834" s="29">
        <v>0.98289565623980701</v>
      </c>
    </row>
    <row r="10835" spans="1:11" x14ac:dyDescent="0.35">
      <c r="A10835" s="9" t="str">
        <f>HYPERLINK("http://www.ensembl.org/id/WBGene00010331", "WBGene00010331")</f>
        <v>WBGene00010331</v>
      </c>
      <c r="B10835" s="9" t="str">
        <f>HYPERLINK("http://www.ncbi.nlm.nih.gov/gene/186618", "186618")</f>
        <v>186618</v>
      </c>
      <c r="C10835" s="9"/>
      <c r="D10835" t="str">
        <f>"F59D12.3"</f>
        <v>F59D12.3</v>
      </c>
      <c r="F10835" t="s">
        <v>11</v>
      </c>
      <c r="G10835" t="s">
        <v>3419</v>
      </c>
      <c r="H10835" s="12">
        <v>1.3084147423640999</v>
      </c>
      <c r="I10835" s="20">
        <v>0.61227591218536404</v>
      </c>
      <c r="J10835" s="28">
        <v>0.54035522385576396</v>
      </c>
      <c r="K10835" s="29">
        <v>0.98289565623980701</v>
      </c>
    </row>
    <row r="10836" spans="1:11" x14ac:dyDescent="0.35">
      <c r="A10836" s="9" t="str">
        <f>HYPERLINK("http://www.ensembl.org/id/WBGene00010332", "WBGene00010332")</f>
        <v>WBGene00010332</v>
      </c>
      <c r="B10836" s="9" t="str">
        <f>HYPERLINK("http://www.ncbi.nlm.nih.gov/gene/186619", "186619")</f>
        <v>186619</v>
      </c>
      <c r="C10836" s="9"/>
      <c r="D10836" t="str">
        <f>"F59D12.5"</f>
        <v>F59D12.5</v>
      </c>
      <c r="F10836" t="s">
        <v>11</v>
      </c>
      <c r="H10836" s="12">
        <v>-1.1506301446689799</v>
      </c>
      <c r="I10836" s="20">
        <v>-0.46003709785594799</v>
      </c>
      <c r="J10836" s="28">
        <v>0.64548959260726901</v>
      </c>
      <c r="K10836" s="29">
        <v>0.98289565623980701</v>
      </c>
    </row>
    <row r="10837" spans="1:11" x14ac:dyDescent="0.35">
      <c r="A10837" s="9" t="str">
        <f>HYPERLINK("http://www.ensembl.org/id/WBGene00196618", "WBGene00196618")</f>
        <v>WBGene00196618</v>
      </c>
      <c r="B10837" s="9"/>
      <c r="C10837" s="9"/>
      <c r="D10837" t="str">
        <f>"F59D12.9"</f>
        <v>F59D12.9</v>
      </c>
      <c r="F10837" t="s">
        <v>481</v>
      </c>
      <c r="H10837" s="12">
        <v>3.6645215954135</v>
      </c>
      <c r="I10837" s="20">
        <v>0.37967131826092498</v>
      </c>
      <c r="J10837" s="28">
        <v>0.70418941338960395</v>
      </c>
      <c r="K10837" s="29">
        <v>0.98289565623980701</v>
      </c>
    </row>
    <row r="10838" spans="1:11" x14ac:dyDescent="0.35">
      <c r="A10838" s="9" t="str">
        <f>HYPERLINK("http://www.ensembl.org/id/WBGene00019103", "WBGene00019103")</f>
        <v>WBGene00019103</v>
      </c>
      <c r="B10838" s="9" t="str">
        <f>HYPERLINK("http://www.ncbi.nlm.nih.gov/gene/186612", "186612")</f>
        <v>186612</v>
      </c>
      <c r="C10838" s="9"/>
      <c r="D10838" t="str">
        <f>"F59D6.1"</f>
        <v>F59D6.1</v>
      </c>
      <c r="F10838" t="s">
        <v>11</v>
      </c>
      <c r="H10838" s="12">
        <v>1.30135206668359</v>
      </c>
      <c r="I10838" s="20">
        <v>0.55384611036730602</v>
      </c>
      <c r="J10838" s="28">
        <v>0.57968416843200798</v>
      </c>
      <c r="K10838" s="29">
        <v>0.98289565623980701</v>
      </c>
    </row>
    <row r="10839" spans="1:11" x14ac:dyDescent="0.35">
      <c r="A10839" s="9" t="str">
        <f>HYPERLINK("http://www.ensembl.org/id/WBGene00019118", "WBGene00019118")</f>
        <v>WBGene00019118</v>
      </c>
      <c r="B10839" s="9" t="str">
        <f>HYPERLINK("http://www.ncbi.nlm.nih.gov/gene/173957", "173957")</f>
        <v>173957</v>
      </c>
      <c r="C10839" s="9"/>
      <c r="D10839" t="str">
        <f>"F59E12.1"</f>
        <v>F59E12.1</v>
      </c>
      <c r="F10839" t="s">
        <v>11</v>
      </c>
      <c r="G10839" t="s">
        <v>9533</v>
      </c>
      <c r="H10839" s="12">
        <v>-1.2560636395393801</v>
      </c>
      <c r="I10839" s="20">
        <v>-1.0545923368991701</v>
      </c>
      <c r="J10839" s="28">
        <v>0.29161181001831699</v>
      </c>
      <c r="K10839" s="29">
        <v>0.98289565623980701</v>
      </c>
    </row>
    <row r="10840" spans="1:11" x14ac:dyDescent="0.35">
      <c r="A10840" s="9" t="str">
        <f>HYPERLINK("http://www.ensembl.org/id/WBGene00235270", "WBGene00235270")</f>
        <v>WBGene00235270</v>
      </c>
      <c r="B10840" s="9"/>
      <c r="C10840" s="9"/>
      <c r="D10840" t="str">
        <f>"F59E12.16"</f>
        <v>F59E12.16</v>
      </c>
      <c r="F10840" t="s">
        <v>80</v>
      </c>
      <c r="H10840" s="12">
        <v>1.15921745815897</v>
      </c>
      <c r="I10840" s="20">
        <v>0.41395615380405698</v>
      </c>
      <c r="J10840" s="28">
        <v>0.67890621812326202</v>
      </c>
      <c r="K10840" s="29">
        <v>0.98289565623980701</v>
      </c>
    </row>
    <row r="10841" spans="1:11" x14ac:dyDescent="0.35">
      <c r="A10841" s="9" t="str">
        <f>HYPERLINK("http://www.ensembl.org/id/WBGene00302971", "WBGene00302971")</f>
        <v>WBGene00302971</v>
      </c>
      <c r="B10841" s="9" t="str">
        <f>HYPERLINK("http://www.ncbi.nlm.nih.gov/gene/36805020", "36805020")</f>
        <v>36805020</v>
      </c>
      <c r="C10841" s="9"/>
      <c r="D10841" t="str">
        <f>"F59E12.17"</f>
        <v>F59E12.17</v>
      </c>
      <c r="F10841" t="s">
        <v>11</v>
      </c>
      <c r="H10841" s="12">
        <v>-1.2374032454672199</v>
      </c>
      <c r="I10841" s="20">
        <v>-0.888225490013973</v>
      </c>
      <c r="J10841" s="28">
        <v>0.37441947004110698</v>
      </c>
      <c r="K10841" s="29">
        <v>0.98289565623980701</v>
      </c>
    </row>
    <row r="10842" spans="1:11" x14ac:dyDescent="0.35">
      <c r="A10842" s="9" t="str">
        <f>HYPERLINK("http://www.ensembl.org/id/WBGene00019119", "WBGene00019119")</f>
        <v>WBGene00019119</v>
      </c>
      <c r="B10842" s="9" t="str">
        <f>HYPERLINK("http://www.ncbi.nlm.nih.gov/gene/186628", "186628")</f>
        <v>186628</v>
      </c>
      <c r="C10842" s="9"/>
      <c r="D10842" t="str">
        <f>"F59E12.3"</f>
        <v>F59E12.3</v>
      </c>
      <c r="F10842" t="s">
        <v>11</v>
      </c>
      <c r="H10842" s="12">
        <v>-11.973997965956601</v>
      </c>
      <c r="I10842" s="20">
        <v>-0.77726113562491606</v>
      </c>
      <c r="J10842" s="28">
        <v>0.437004719503373</v>
      </c>
      <c r="K10842" s="29">
        <v>0.98289565623980701</v>
      </c>
    </row>
    <row r="10843" spans="1:11" x14ac:dyDescent="0.35">
      <c r="A10843" s="9" t="str">
        <f>HYPERLINK("http://www.ensembl.org/id/WBGene00019123", "WBGene00019123")</f>
        <v>WBGene00019123</v>
      </c>
      <c r="B10843" s="9" t="str">
        <f>HYPERLINK("http://www.ncbi.nlm.nih.gov/gene/186629", "186629")</f>
        <v>186629</v>
      </c>
      <c r="C10843" s="9"/>
      <c r="D10843" t="str">
        <f>"F59E12.8"</f>
        <v>F59E12.8</v>
      </c>
      <c r="F10843" t="s">
        <v>11</v>
      </c>
      <c r="G10843" t="s">
        <v>25</v>
      </c>
      <c r="H10843" s="12">
        <v>-8.0014360469151899</v>
      </c>
      <c r="I10843" s="20">
        <v>-0.61746222315259702</v>
      </c>
      <c r="J10843" s="28">
        <v>0.536929891129723</v>
      </c>
      <c r="K10843" s="29">
        <v>0.98289565623980701</v>
      </c>
    </row>
    <row r="10844" spans="1:11" x14ac:dyDescent="0.35">
      <c r="A10844" s="9" t="str">
        <f>HYPERLINK("http://www.ensembl.org/id/WBGene00019124", "WBGene00019124")</f>
        <v>WBGene00019124</v>
      </c>
      <c r="B10844" s="9" t="str">
        <f>HYPERLINK("http://www.ncbi.nlm.nih.gov/gene/173953", "173953")</f>
        <v>173953</v>
      </c>
      <c r="C10844" s="9"/>
      <c r="D10844" t="str">
        <f>"F59E12.9"</f>
        <v>F59E12.9</v>
      </c>
      <c r="F10844" t="s">
        <v>11</v>
      </c>
      <c r="H10844" s="12">
        <v>-1.12443718007296</v>
      </c>
      <c r="I10844" s="20">
        <v>-0.61719355138991205</v>
      </c>
      <c r="J10844" s="28">
        <v>0.53710706865662206</v>
      </c>
      <c r="K10844" s="29">
        <v>0.98289565623980701</v>
      </c>
    </row>
    <row r="10845" spans="1:11" x14ac:dyDescent="0.35">
      <c r="A10845" s="9" t="str">
        <f>HYPERLINK("http://www.ensembl.org/id/WBGene00010338", "WBGene00010338")</f>
        <v>WBGene00010338</v>
      </c>
      <c r="B10845" s="9" t="str">
        <f>HYPERLINK("http://www.ncbi.nlm.nih.gov/gene/181670", "181670")</f>
        <v>181670</v>
      </c>
      <c r="C10845" s="9"/>
      <c r="D10845" t="str">
        <f>"F59F4.3"</f>
        <v>F59F4.3</v>
      </c>
      <c r="F10845" t="s">
        <v>11</v>
      </c>
      <c r="G10845" t="s">
        <v>25</v>
      </c>
      <c r="H10845" s="12">
        <v>1.0770047847380599</v>
      </c>
      <c r="I10845" s="20">
        <v>0.32247349804113201</v>
      </c>
      <c r="J10845" s="28">
        <v>0.74709401181469504</v>
      </c>
      <c r="K10845" s="29">
        <v>0.98289565623980701</v>
      </c>
    </row>
    <row r="10846" spans="1:11" x14ac:dyDescent="0.35">
      <c r="A10846" s="9" t="str">
        <f>HYPERLINK("http://www.ensembl.org/id/WBGene00303371", "WBGene00303371")</f>
        <v>WBGene00303371</v>
      </c>
      <c r="B10846" s="9"/>
      <c r="C10846" s="9"/>
      <c r="D10846" t="str">
        <f>"F59F4.6"</f>
        <v>F59F4.6</v>
      </c>
      <c r="F10846" t="s">
        <v>481</v>
      </c>
      <c r="H10846" s="12">
        <v>2.7838073963449501</v>
      </c>
      <c r="I10846" s="20">
        <v>0.37163527669250002</v>
      </c>
      <c r="J10846" s="28">
        <v>0.71016442031020999</v>
      </c>
      <c r="K10846" s="29">
        <v>0.98289565623980701</v>
      </c>
    </row>
    <row r="10847" spans="1:11" x14ac:dyDescent="0.35">
      <c r="A10847" s="9" t="str">
        <f>HYPERLINK("http://www.ensembl.org/id/WBGene00010342", "WBGene00010342")</f>
        <v>WBGene00010342</v>
      </c>
      <c r="B10847" s="9" t="str">
        <f>HYPERLINK("http://www.ncbi.nlm.nih.gov/gene/186634", "186634")</f>
        <v>186634</v>
      </c>
      <c r="C10847" s="9"/>
      <c r="D10847" t="str">
        <f>"F59F5.3"</f>
        <v>F59F5.3</v>
      </c>
      <c r="F10847" t="s">
        <v>11</v>
      </c>
      <c r="G10847" t="s">
        <v>4265</v>
      </c>
      <c r="H10847" s="12">
        <v>1.33046500031475</v>
      </c>
      <c r="I10847" s="20">
        <v>0.71575989528169504</v>
      </c>
      <c r="J10847" s="28">
        <v>0.47413961992458997</v>
      </c>
      <c r="K10847" s="29">
        <v>0.98289565623980701</v>
      </c>
    </row>
    <row r="10848" spans="1:11" x14ac:dyDescent="0.35">
      <c r="A10848" s="9" t="str">
        <f>HYPERLINK("http://www.ensembl.org/id/WBGene00010343", "WBGene00010343")</f>
        <v>WBGene00010343</v>
      </c>
      <c r="B10848" s="9" t="str">
        <f>HYPERLINK("http://www.ncbi.nlm.nih.gov/gene/186635", "186635")</f>
        <v>186635</v>
      </c>
      <c r="C10848" s="9"/>
      <c r="D10848" t="str">
        <f>"F59F5.4"</f>
        <v>F59F5.4</v>
      </c>
      <c r="F10848" t="s">
        <v>11</v>
      </c>
      <c r="G10848" t="s">
        <v>41</v>
      </c>
      <c r="H10848" s="12">
        <v>-1.94760255797279</v>
      </c>
      <c r="I10848" s="20">
        <v>-0.49465536441158398</v>
      </c>
      <c r="J10848" s="28">
        <v>0.620843414127208</v>
      </c>
      <c r="K10848" s="29">
        <v>0.98289565623980701</v>
      </c>
    </row>
    <row r="10849" spans="1:11" x14ac:dyDescent="0.35">
      <c r="A10849" s="9" t="str">
        <f>HYPERLINK("http://www.ensembl.org/id/WBGene00200147", "WBGene00200147")</f>
        <v>WBGene00200147</v>
      </c>
      <c r="B10849" s="9"/>
      <c r="C10849" s="9"/>
      <c r="D10849" t="str">
        <f>"F59F5.8"</f>
        <v>F59F5.8</v>
      </c>
      <c r="F10849" t="s">
        <v>481</v>
      </c>
      <c r="H10849" s="12">
        <v>2.3893468495514898</v>
      </c>
      <c r="I10849" s="20">
        <v>0.25323547253672701</v>
      </c>
      <c r="J10849" s="28">
        <v>0.80008625651646104</v>
      </c>
      <c r="K10849" s="29">
        <v>0.98289565623980701</v>
      </c>
    </row>
    <row r="10850" spans="1:11" x14ac:dyDescent="0.35">
      <c r="A10850" s="9" t="str">
        <f>HYPERLINK("http://www.ensembl.org/id/WBGene00200905", "WBGene00200905")</f>
        <v>WBGene00200905</v>
      </c>
      <c r="B10850" s="9"/>
      <c r="C10850" s="9"/>
      <c r="D10850" t="str">
        <f>"F59F5.9"</f>
        <v>F59F5.9</v>
      </c>
      <c r="F10850" t="s">
        <v>481</v>
      </c>
      <c r="H10850" s="12">
        <v>-2.4991590031922399</v>
      </c>
      <c r="I10850" s="20">
        <v>-0.26577412737581302</v>
      </c>
      <c r="J10850" s="28">
        <v>0.79041317015736101</v>
      </c>
      <c r="K10850" s="29">
        <v>0.98289565623980701</v>
      </c>
    </row>
    <row r="10851" spans="1:11" x14ac:dyDescent="0.35">
      <c r="A10851" s="9" t="str">
        <f>HYPERLINK("http://www.ensembl.org/id/WBGene00197123", "WBGene00197123")</f>
        <v>WBGene00197123</v>
      </c>
      <c r="B10851" s="9"/>
      <c r="C10851" s="9"/>
      <c r="D10851" t="str">
        <f>"F59G1.10"</f>
        <v>F59G1.10</v>
      </c>
      <c r="F10851" t="s">
        <v>481</v>
      </c>
      <c r="H10851" s="12">
        <v>2.3893468495514898</v>
      </c>
      <c r="I10851" s="20">
        <v>0.25323547253672701</v>
      </c>
      <c r="J10851" s="28">
        <v>0.80008625651646104</v>
      </c>
      <c r="K10851" s="29">
        <v>0.98289565623980701</v>
      </c>
    </row>
    <row r="10852" spans="1:11" x14ac:dyDescent="0.35">
      <c r="A10852" s="9" t="str">
        <f>HYPERLINK("http://www.ensembl.org/id/WBGene00199631", "WBGene00199631")</f>
        <v>WBGene00199631</v>
      </c>
      <c r="B10852" s="9"/>
      <c r="C10852" s="9"/>
      <c r="D10852" t="str">
        <f>"F59G1.13"</f>
        <v>F59G1.13</v>
      </c>
      <c r="F10852" t="s">
        <v>481</v>
      </c>
      <c r="H10852" s="12">
        <v>-8.0014360469151899</v>
      </c>
      <c r="I10852" s="20">
        <v>-0.61746222315259702</v>
      </c>
      <c r="J10852" s="28">
        <v>0.536929891129723</v>
      </c>
      <c r="K10852" s="29">
        <v>0.98289565623980701</v>
      </c>
    </row>
    <row r="10853" spans="1:11" x14ac:dyDescent="0.35">
      <c r="A10853" s="9" t="str">
        <f>HYPERLINK("http://www.ensembl.org/id/WBGene00219988", "WBGene00219988")</f>
        <v>WBGene00219988</v>
      </c>
      <c r="B10853" s="9"/>
      <c r="C10853" s="9"/>
      <c r="D10853" t="str">
        <f>"F59G1.14"</f>
        <v>F59G1.14</v>
      </c>
      <c r="F10853" t="s">
        <v>2977</v>
      </c>
      <c r="H10853" s="12">
        <v>7.1476624429583904</v>
      </c>
      <c r="I10853" s="20">
        <v>0.99300015028795996</v>
      </c>
      <c r="J10853" s="28">
        <v>0.32070988123504701</v>
      </c>
      <c r="K10853" s="29">
        <v>0.98289565623980701</v>
      </c>
    </row>
    <row r="10854" spans="1:11" x14ac:dyDescent="0.35">
      <c r="A10854" s="9" t="str">
        <f>HYPERLINK("http://www.ensembl.org/id/WBGene00019128", "WBGene00019128")</f>
        <v>WBGene00019128</v>
      </c>
      <c r="B10854" s="9" t="str">
        <f>HYPERLINK("http://www.ncbi.nlm.nih.gov/gene/173999", "173999")</f>
        <v>173999</v>
      </c>
      <c r="C10854" s="9"/>
      <c r="D10854" t="str">
        <f>"F59G1.4"</f>
        <v>F59G1.4</v>
      </c>
      <c r="E10854" t="s">
        <v>5685</v>
      </c>
      <c r="F10854" t="s">
        <v>11</v>
      </c>
      <c r="G10854" t="s">
        <v>5686</v>
      </c>
      <c r="H10854" s="12">
        <v>1.1229965919339799</v>
      </c>
      <c r="I10854" s="20">
        <v>0.45402252830488798</v>
      </c>
      <c r="J10854" s="28">
        <v>0.64981261209745</v>
      </c>
      <c r="K10854" s="29">
        <v>0.98289565623980701</v>
      </c>
    </row>
    <row r="10855" spans="1:11" x14ac:dyDescent="0.35">
      <c r="A10855" s="9" t="str">
        <f>HYPERLINK("http://www.ensembl.org/id/WBGene00019129", "WBGene00019129")</f>
        <v>WBGene00019129</v>
      </c>
      <c r="B10855" s="9" t="str">
        <f>HYPERLINK("http://www.ncbi.nlm.nih.gov/gene/186638", "186638")</f>
        <v>186638</v>
      </c>
      <c r="C10855" s="9"/>
      <c r="D10855" t="str">
        <f>"F59G1.8"</f>
        <v>F59G1.8</v>
      </c>
      <c r="F10855" t="s">
        <v>11</v>
      </c>
      <c r="H10855" s="12">
        <v>-1.16863024717903</v>
      </c>
      <c r="I10855" s="20">
        <v>-0.48509353684635098</v>
      </c>
      <c r="J10855" s="28">
        <v>0.62760999649978899</v>
      </c>
      <c r="K10855" s="29">
        <v>0.98289565623980701</v>
      </c>
    </row>
    <row r="10856" spans="1:11" x14ac:dyDescent="0.35">
      <c r="A10856" s="9" t="str">
        <f>HYPERLINK("http://www.ensembl.org/id/WBGene00198201", "WBGene00198201")</f>
        <v>WBGene00198201</v>
      </c>
      <c r="B10856" s="9"/>
      <c r="C10856" s="9"/>
      <c r="D10856" t="str">
        <f>"F59H5.5"</f>
        <v>F59H5.5</v>
      </c>
      <c r="F10856" t="s">
        <v>481</v>
      </c>
      <c r="H10856" s="12">
        <v>2.4578120077400301</v>
      </c>
      <c r="I10856" s="20">
        <v>0.26093350314551</v>
      </c>
      <c r="J10856" s="28">
        <v>0.79414378780213601</v>
      </c>
      <c r="K10856" s="29">
        <v>0.98289565623980701</v>
      </c>
    </row>
    <row r="10857" spans="1:11" x14ac:dyDescent="0.35">
      <c r="A10857" s="9" t="str">
        <f>HYPERLINK("http://www.ensembl.org/id/WBGene00019133", "WBGene00019133")</f>
        <v>WBGene00019133</v>
      </c>
      <c r="B10857" s="9"/>
      <c r="C10857" s="9"/>
      <c r="D10857" t="str">
        <f>"F59H6.2"</f>
        <v>F59H6.2</v>
      </c>
      <c r="F10857" t="s">
        <v>80</v>
      </c>
      <c r="H10857" s="12">
        <v>-2.4295389261469</v>
      </c>
      <c r="I10857" s="20">
        <v>-0.25808529976640998</v>
      </c>
      <c r="J10857" s="28">
        <v>0.79634107645457397</v>
      </c>
      <c r="K10857" s="29">
        <v>0.98289565623980701</v>
      </c>
    </row>
    <row r="10858" spans="1:11" x14ac:dyDescent="0.35">
      <c r="A10858" s="9" t="str">
        <f>HYPERLINK("http://www.ensembl.org/id/WBGene00019134", "WBGene00019134")</f>
        <v>WBGene00019134</v>
      </c>
      <c r="B10858" s="9"/>
      <c r="C10858" s="9"/>
      <c r="D10858" t="str">
        <f>"F59H6.3"</f>
        <v>F59H6.3</v>
      </c>
      <c r="F10858" t="s">
        <v>80</v>
      </c>
      <c r="H10858" s="12">
        <v>-1.6435303160385799</v>
      </c>
      <c r="I10858" s="20">
        <v>-0.63825909574400896</v>
      </c>
      <c r="J10858" s="28">
        <v>0.52330503412206897</v>
      </c>
      <c r="K10858" s="29">
        <v>0.98289565623980701</v>
      </c>
    </row>
    <row r="10859" spans="1:11" x14ac:dyDescent="0.35">
      <c r="A10859" s="9" t="str">
        <f>HYPERLINK("http://www.ensembl.org/id/WBGene00019136", "WBGene00019136")</f>
        <v>WBGene00019136</v>
      </c>
      <c r="B10859" s="9" t="str">
        <f>HYPERLINK("http://www.ncbi.nlm.nih.gov/gene/186644", "186644")</f>
        <v>186644</v>
      </c>
      <c r="C10859" s="9"/>
      <c r="D10859" t="str">
        <f>"F59H6.5"</f>
        <v>F59H6.5</v>
      </c>
      <c r="E10859" t="s">
        <v>4233</v>
      </c>
      <c r="F10859" t="s">
        <v>11</v>
      </c>
      <c r="G10859" t="s">
        <v>4234</v>
      </c>
      <c r="H10859" s="12">
        <v>4.6387698961716399</v>
      </c>
      <c r="I10859" s="20">
        <v>0.44985450087338802</v>
      </c>
      <c r="J10859" s="28">
        <v>0.65281535672642099</v>
      </c>
      <c r="K10859" s="29">
        <v>0.98289565623980701</v>
      </c>
    </row>
    <row r="10860" spans="1:11" x14ac:dyDescent="0.35">
      <c r="A10860" s="9" t="str">
        <f>HYPERLINK("http://www.ensembl.org/id/WBGene00015048", "WBGene00015048")</f>
        <v>WBGene00015048</v>
      </c>
      <c r="B10860" s="9" t="str">
        <f>HYPERLINK("http://www.ncbi.nlm.nih.gov/gene/177612", "177612")</f>
        <v>177612</v>
      </c>
      <c r="C10860" s="9" t="str">
        <f>HYPERLINK("http://www.ncbi.nlm.nih.gov/gene/2166", "2166")</f>
        <v>2166</v>
      </c>
      <c r="D10860" t="str">
        <f>"faah-2"</f>
        <v>faah-2</v>
      </c>
      <c r="E10860" t="s">
        <v>663</v>
      </c>
      <c r="F10860" t="s">
        <v>11</v>
      </c>
      <c r="G10860" t="s">
        <v>664</v>
      </c>
      <c r="H10860" s="12">
        <v>-1.23988281535929</v>
      </c>
      <c r="I10860" s="20">
        <v>-0.98772665676740001</v>
      </c>
      <c r="J10860" s="28">
        <v>0.32328653570310401</v>
      </c>
      <c r="K10860" s="29">
        <v>0.98289565623980701</v>
      </c>
    </row>
    <row r="10861" spans="1:11" x14ac:dyDescent="0.35">
      <c r="A10861" s="9" t="str">
        <f>HYPERLINK("http://www.ensembl.org/id/WBGene00013232", "WBGene00013232")</f>
        <v>WBGene00013232</v>
      </c>
      <c r="B10861" s="9" t="str">
        <f>HYPERLINK("http://www.ncbi.nlm.nih.gov/gene/176620", "176620")</f>
        <v>176620</v>
      </c>
      <c r="C10861" s="9"/>
      <c r="D10861" t="str">
        <f>"faah-4"</f>
        <v>faah-4</v>
      </c>
      <c r="E10861" t="s">
        <v>663</v>
      </c>
      <c r="F10861" t="s">
        <v>11</v>
      </c>
      <c r="G10861" t="s">
        <v>9497</v>
      </c>
      <c r="H10861" s="12">
        <v>-1.2517894519525401</v>
      </c>
      <c r="I10861" s="20">
        <v>-1.1451816090876099</v>
      </c>
      <c r="J10861" s="28">
        <v>0.25213393500432701</v>
      </c>
      <c r="K10861" s="29">
        <v>0.98289565623980701</v>
      </c>
    </row>
    <row r="10862" spans="1:11" x14ac:dyDescent="0.35">
      <c r="A10862" s="9" t="str">
        <f>HYPERLINK("http://www.ensembl.org/id/WBGene00013226", "WBGene00013226")</f>
        <v>WBGene00013226</v>
      </c>
      <c r="B10862" s="9" t="str">
        <f>HYPERLINK("http://www.ncbi.nlm.nih.gov/gene/190325", "190325")</f>
        <v>190325</v>
      </c>
      <c r="C10862" s="9"/>
      <c r="D10862" t="str">
        <f>"faah-5"</f>
        <v>faah-5</v>
      </c>
      <c r="E10862" t="s">
        <v>663</v>
      </c>
      <c r="F10862" t="s">
        <v>11</v>
      </c>
      <c r="G10862" t="s">
        <v>4632</v>
      </c>
      <c r="H10862" s="12">
        <v>1.5651018762731399</v>
      </c>
      <c r="I10862" s="20">
        <v>0.45678536175113899</v>
      </c>
      <c r="J10862" s="28">
        <v>0.64782532829542006</v>
      </c>
      <c r="K10862" s="29">
        <v>0.98289565623980701</v>
      </c>
    </row>
    <row r="10863" spans="1:11" x14ac:dyDescent="0.35">
      <c r="A10863" s="9" t="str">
        <f>HYPERLINK("http://www.ensembl.org/id/WBGene00012750", "WBGene00012750")</f>
        <v>WBGene00012750</v>
      </c>
      <c r="B10863" s="9" t="str">
        <f>HYPERLINK("http://www.ncbi.nlm.nih.gov/gene/176596", "176596")</f>
        <v>176596</v>
      </c>
      <c r="C10863" s="9"/>
      <c r="D10863" t="str">
        <f>"faah-6"</f>
        <v>faah-6</v>
      </c>
      <c r="E10863" t="s">
        <v>663</v>
      </c>
      <c r="F10863" t="s">
        <v>11</v>
      </c>
      <c r="G10863" t="s">
        <v>664</v>
      </c>
      <c r="H10863" s="12">
        <v>1.41343050038817</v>
      </c>
      <c r="I10863" s="20">
        <v>0.96794851399901605</v>
      </c>
      <c r="J10863" s="28">
        <v>0.33307008359544699</v>
      </c>
      <c r="K10863" s="29">
        <v>0.98289565623980701</v>
      </c>
    </row>
    <row r="10864" spans="1:11" x14ac:dyDescent="0.35">
      <c r="A10864" s="9" t="str">
        <f>HYPERLINK("http://www.ensembl.org/id/WBGene00019620", "WBGene00019620")</f>
        <v>WBGene00019620</v>
      </c>
      <c r="B10864" s="9" t="str">
        <f>HYPERLINK("http://www.ncbi.nlm.nih.gov/gene/180918", "180918")</f>
        <v>180918</v>
      </c>
      <c r="C10864" s="9" t="str">
        <f>HYPERLINK("http://www.ncbi.nlm.nih.gov/gene/2184", "2184")</f>
        <v>2184</v>
      </c>
      <c r="D10864" t="str">
        <f>"fah-1"</f>
        <v>fah-1</v>
      </c>
      <c r="E10864" t="s">
        <v>6448</v>
      </c>
      <c r="F10864" t="s">
        <v>11</v>
      </c>
      <c r="G10864" t="s">
        <v>6449</v>
      </c>
      <c r="H10864" s="12">
        <v>-1.06995241143043</v>
      </c>
      <c r="I10864" s="20">
        <v>-0.36629538904084802</v>
      </c>
      <c r="J10864" s="28">
        <v>0.71414466989192504</v>
      </c>
      <c r="K10864" s="29">
        <v>0.98289565623980701</v>
      </c>
    </row>
    <row r="10865" spans="1:11" x14ac:dyDescent="0.35">
      <c r="A10865" s="9" t="str">
        <f>HYPERLINK("http://www.ensembl.org/id/WBGene00022798", "WBGene00022798")</f>
        <v>WBGene00022798</v>
      </c>
      <c r="B10865" s="9" t="str">
        <f>HYPERLINK("http://www.ncbi.nlm.nih.gov/gene/176109", "176109")</f>
        <v>176109</v>
      </c>
      <c r="C10865" s="9" t="str">
        <f>HYPERLINK("http://www.ncbi.nlm.nih.gov/gene/81889", "81889")</f>
        <v>81889</v>
      </c>
      <c r="D10865" t="str">
        <f>"fahd-1"</f>
        <v>fahd-1</v>
      </c>
      <c r="E10865" t="s">
        <v>6801</v>
      </c>
      <c r="F10865" t="s">
        <v>11</v>
      </c>
      <c r="G10865" t="s">
        <v>2319</v>
      </c>
      <c r="H10865" s="12">
        <v>-1.0897586734985301</v>
      </c>
      <c r="I10865" s="20">
        <v>-0.44252602483276299</v>
      </c>
      <c r="J10865" s="28">
        <v>0.65810860218980605</v>
      </c>
      <c r="K10865" s="29">
        <v>0.98289565623980701</v>
      </c>
    </row>
    <row r="10866" spans="1:11" x14ac:dyDescent="0.35">
      <c r="A10866" s="9" t="str">
        <f>HYPERLINK("http://www.ensembl.org/id/WBGene00012626", "WBGene00012626")</f>
        <v>WBGene00012626</v>
      </c>
      <c r="B10866" s="9" t="str">
        <f>HYPERLINK("http://www.ncbi.nlm.nih.gov/gene/189695", "189695")</f>
        <v>189695</v>
      </c>
      <c r="C10866" s="9"/>
      <c r="D10866" t="str">
        <f>"famh-161"</f>
        <v>famh-161</v>
      </c>
      <c r="F10866" t="s">
        <v>11</v>
      </c>
      <c r="H10866" s="12">
        <v>1.46837532674325</v>
      </c>
      <c r="I10866" s="20">
        <v>0.92645397327752099</v>
      </c>
      <c r="J10866" s="28">
        <v>0.35421010601325997</v>
      </c>
      <c r="K10866" s="29">
        <v>0.98289565623980701</v>
      </c>
    </row>
    <row r="10867" spans="1:11" x14ac:dyDescent="0.35">
      <c r="A10867" s="9" t="str">
        <f>HYPERLINK("http://www.ensembl.org/id/WBGene00001386", "WBGene00001386")</f>
        <v>WBGene00001386</v>
      </c>
      <c r="B10867" s="9" t="str">
        <f>HYPERLINK("http://www.ncbi.nlm.nih.gov/gene/176284", "176284")</f>
        <v>176284</v>
      </c>
      <c r="C10867" s="9"/>
      <c r="D10867" t="str">
        <f>"far-2"</f>
        <v>far-2</v>
      </c>
      <c r="E10867" t="s">
        <v>6918</v>
      </c>
      <c r="F10867" t="s">
        <v>11</v>
      </c>
      <c r="G10867" t="s">
        <v>2037</v>
      </c>
      <c r="H10867" s="12">
        <v>-1.097306751736</v>
      </c>
      <c r="I10867" s="20">
        <v>-0.44770651214460599</v>
      </c>
      <c r="J10867" s="28">
        <v>0.65436502121984097</v>
      </c>
      <c r="K10867" s="29">
        <v>0.98289565623980701</v>
      </c>
    </row>
    <row r="10868" spans="1:11" x14ac:dyDescent="0.35">
      <c r="A10868" s="9" t="str">
        <f>HYPERLINK("http://www.ensembl.org/id/WBGene00001389", "WBGene00001389")</f>
        <v>WBGene00001389</v>
      </c>
      <c r="B10868" s="9" t="str">
        <f>HYPERLINK("http://www.ncbi.nlm.nih.gov/gene/184522", "184522")</f>
        <v>184522</v>
      </c>
      <c r="C10868" s="9"/>
      <c r="D10868" t="str">
        <f>"far-5"</f>
        <v>far-5</v>
      </c>
      <c r="E10868" t="s">
        <v>128</v>
      </c>
      <c r="F10868" t="s">
        <v>11</v>
      </c>
      <c r="G10868" t="s">
        <v>129</v>
      </c>
      <c r="H10868" s="12">
        <v>1.36676750651785</v>
      </c>
      <c r="I10868" s="20">
        <v>0.619185997565181</v>
      </c>
      <c r="J10868" s="28">
        <v>0.53579383522536905</v>
      </c>
      <c r="K10868" s="29">
        <v>0.98289565623980701</v>
      </c>
    </row>
    <row r="10869" spans="1:11" x14ac:dyDescent="0.35">
      <c r="A10869" s="9" t="str">
        <f>HYPERLINK("http://www.ensembl.org/id/WBGene00001391", "WBGene00001391")</f>
        <v>WBGene00001391</v>
      </c>
      <c r="B10869" s="9" t="str">
        <f>HYPERLINK("http://www.ncbi.nlm.nih.gov/gene/173421", "173421")</f>
        <v>173421</v>
      </c>
      <c r="C10869" s="9"/>
      <c r="D10869" t="str">
        <f>"far-7"</f>
        <v>far-7</v>
      </c>
      <c r="E10869" t="s">
        <v>128</v>
      </c>
      <c r="F10869" t="s">
        <v>11</v>
      </c>
      <c r="G10869" t="s">
        <v>7139</v>
      </c>
      <c r="H10869" s="12">
        <v>-1.10976845681015</v>
      </c>
      <c r="I10869" s="20">
        <v>-0.485192600445781</v>
      </c>
      <c r="J10869" s="28">
        <v>0.62753973044564304</v>
      </c>
      <c r="K10869" s="29">
        <v>0.98289565623980701</v>
      </c>
    </row>
    <row r="10870" spans="1:11" x14ac:dyDescent="0.35">
      <c r="A10870" s="9" t="str">
        <f>HYPERLINK("http://www.ensembl.org/id/WBGene00017349", "WBGene00017349")</f>
        <v>WBGene00017349</v>
      </c>
      <c r="B10870" s="9" t="str">
        <f>HYPERLINK("http://www.ncbi.nlm.nih.gov/gene/174165", "174165")</f>
        <v>174165</v>
      </c>
      <c r="C10870" s="9" t="str">
        <f>HYPERLINK("http://www.ncbi.nlm.nih.gov/gene/57464", "57464")</f>
        <v>57464</v>
      </c>
      <c r="D10870" t="str">
        <f>"farl-11"</f>
        <v>farl-11</v>
      </c>
      <c r="E10870" t="s">
        <v>6432</v>
      </c>
      <c r="F10870" t="s">
        <v>11</v>
      </c>
      <c r="G10870" t="s">
        <v>6433</v>
      </c>
      <c r="H10870" s="12">
        <v>-1.0690503117558201</v>
      </c>
      <c r="I10870" s="20">
        <v>-0.362225820667258</v>
      </c>
      <c r="J10870" s="28">
        <v>0.71718328573772505</v>
      </c>
      <c r="K10870" s="29">
        <v>0.98289565623980701</v>
      </c>
    </row>
    <row r="10871" spans="1:11" x14ac:dyDescent="0.35">
      <c r="A10871" s="9" t="str">
        <f>HYPERLINK("http://www.ensembl.org/id/WBGene00013361", "WBGene00013361")</f>
        <v>WBGene00013361</v>
      </c>
      <c r="B10871" s="9" t="str">
        <f>HYPERLINK("http://www.ncbi.nlm.nih.gov/gene/180303", "180303")</f>
        <v>180303</v>
      </c>
      <c r="C10871" s="9" t="str">
        <f>HYPERLINK("http://www.ncbi.nlm.nih.gov/gene/10667", "10667")</f>
        <v>10667</v>
      </c>
      <c r="D10871" t="str">
        <f>"fars-2"</f>
        <v>fars-2</v>
      </c>
      <c r="E10871" t="s">
        <v>3468</v>
      </c>
      <c r="F10871" t="s">
        <v>11</v>
      </c>
      <c r="G10871" t="s">
        <v>8628</v>
      </c>
      <c r="H10871" s="12">
        <v>-1.18772133131931</v>
      </c>
      <c r="I10871" s="20">
        <v>-0.82032098521419605</v>
      </c>
      <c r="J10871" s="28">
        <v>0.412033146341024</v>
      </c>
      <c r="K10871" s="29">
        <v>0.98289565623980701</v>
      </c>
    </row>
    <row r="10872" spans="1:11" x14ac:dyDescent="0.35">
      <c r="A10872" s="9" t="str">
        <f>HYPERLINK("http://www.ensembl.org/id/WBGene00007707", "WBGene00007707")</f>
        <v>WBGene00007707</v>
      </c>
      <c r="B10872" s="9" t="str">
        <f>HYPERLINK("http://www.ncbi.nlm.nih.gov/gene/172882", "172882")</f>
        <v>172882</v>
      </c>
      <c r="C10872" s="9" t="str">
        <f>HYPERLINK("http://www.ncbi.nlm.nih.gov/gene/79152", "79152")</f>
        <v>79152</v>
      </c>
      <c r="D10872" t="str">
        <f>"fath-1"</f>
        <v>fath-1</v>
      </c>
      <c r="E10872" t="s">
        <v>9232</v>
      </c>
      <c r="F10872" t="s">
        <v>11</v>
      </c>
      <c r="G10872" t="s">
        <v>9233</v>
      </c>
      <c r="H10872" s="12">
        <v>-1.22961534641154</v>
      </c>
      <c r="I10872" s="20">
        <v>-1.0907731902759099</v>
      </c>
      <c r="J10872" s="28">
        <v>0.27537269607696102</v>
      </c>
      <c r="K10872" s="29">
        <v>0.98289565623980701</v>
      </c>
    </row>
    <row r="10873" spans="1:11" x14ac:dyDescent="0.35">
      <c r="A10873" s="9" t="str">
        <f>HYPERLINK("http://www.ensembl.org/id/WBGene00001404", "WBGene00001404")</f>
        <v>WBGene00001404</v>
      </c>
      <c r="B10873" s="9" t="str">
        <f>HYPERLINK("http://www.ncbi.nlm.nih.gov/gene/266822", "266822")</f>
        <v>266822</v>
      </c>
      <c r="C10873" s="9" t="str">
        <f>HYPERLINK("http://www.ncbi.nlm.nih.gov/gene/8789", "8789")</f>
        <v>8789</v>
      </c>
      <c r="D10873" t="str">
        <f>"fbp-1"</f>
        <v>fbp-1</v>
      </c>
      <c r="E10873" t="s">
        <v>9394</v>
      </c>
      <c r="F10873" t="s">
        <v>11</v>
      </c>
      <c r="G10873" t="s">
        <v>9395</v>
      </c>
      <c r="H10873" s="12">
        <v>-1.2432553670747299</v>
      </c>
      <c r="I10873" s="20">
        <v>-1.16910442447163</v>
      </c>
      <c r="J10873" s="28">
        <v>0.24236156152927801</v>
      </c>
      <c r="K10873" s="29">
        <v>0.98289565623980701</v>
      </c>
    </row>
    <row r="10874" spans="1:11" x14ac:dyDescent="0.35">
      <c r="A10874" s="9" t="str">
        <f>HYPERLINK("http://www.ensembl.org/id/WBGene00021864", "WBGene00021864")</f>
        <v>WBGene00021864</v>
      </c>
      <c r="B10874" s="9" t="str">
        <f>HYPERLINK("http://www.ncbi.nlm.nih.gov/gene/190274", "190274")</f>
        <v>190274</v>
      </c>
      <c r="C10874" s="9"/>
      <c r="D10874" t="str">
        <f>"fbxa-1"</f>
        <v>fbxa-1</v>
      </c>
      <c r="E10874" t="s">
        <v>467</v>
      </c>
      <c r="F10874" t="s">
        <v>11</v>
      </c>
      <c r="G10874" t="s">
        <v>54</v>
      </c>
      <c r="H10874" s="12">
        <v>-2.15354725666699</v>
      </c>
      <c r="I10874" s="20">
        <v>-0.88365376309024801</v>
      </c>
      <c r="J10874" s="28">
        <v>0.37688314708012899</v>
      </c>
      <c r="K10874" s="29">
        <v>0.98289565623980701</v>
      </c>
    </row>
    <row r="10875" spans="1:11" x14ac:dyDescent="0.35">
      <c r="A10875" s="9" t="str">
        <f>HYPERLINK("http://www.ensembl.org/id/WBGene00020450", "WBGene00020450")</f>
        <v>WBGene00020450</v>
      </c>
      <c r="B10875" s="9" t="str">
        <f>HYPERLINK("http://www.ncbi.nlm.nih.gov/gene/188442", "188442")</f>
        <v>188442</v>
      </c>
      <c r="C10875" s="9"/>
      <c r="D10875" t="str">
        <f>"fbxa-10"</f>
        <v>fbxa-10</v>
      </c>
      <c r="E10875" t="s">
        <v>467</v>
      </c>
      <c r="F10875" t="s">
        <v>11</v>
      </c>
      <c r="G10875" t="s">
        <v>54</v>
      </c>
      <c r="H10875" s="12">
        <v>1.1535988786273399</v>
      </c>
      <c r="I10875" s="20">
        <v>0.41908440886805498</v>
      </c>
      <c r="J10875" s="28">
        <v>0.67515444475223896</v>
      </c>
      <c r="K10875" s="29">
        <v>0.98289565623980701</v>
      </c>
    </row>
    <row r="10876" spans="1:11" x14ac:dyDescent="0.35">
      <c r="A10876" s="9" t="str">
        <f>HYPERLINK("http://www.ensembl.org/id/WBGene00008826", "WBGene00008826")</f>
        <v>WBGene00008826</v>
      </c>
      <c r="B10876" s="9" t="str">
        <f>HYPERLINK("http://www.ncbi.nlm.nih.gov/gene/184492", "184492")</f>
        <v>184492</v>
      </c>
      <c r="C10876" s="9"/>
      <c r="D10876" t="str">
        <f>"fbxa-100"</f>
        <v>fbxa-100</v>
      </c>
      <c r="E10876" t="s">
        <v>467</v>
      </c>
      <c r="F10876" t="s">
        <v>11</v>
      </c>
      <c r="G10876" t="s">
        <v>54</v>
      </c>
      <c r="H10876" s="12">
        <v>3.1706514592375101</v>
      </c>
      <c r="I10876" s="20">
        <v>0.44390112599266301</v>
      </c>
      <c r="J10876" s="28">
        <v>0.65711407043763304</v>
      </c>
      <c r="K10876" s="29">
        <v>0.98289565623980701</v>
      </c>
    </row>
    <row r="10877" spans="1:11" x14ac:dyDescent="0.35">
      <c r="A10877" s="9" t="str">
        <f>HYPERLINK("http://www.ensembl.org/id/WBGene00011542", "WBGene00011542")</f>
        <v>WBGene00011542</v>
      </c>
      <c r="B10877" s="9" t="str">
        <f>HYPERLINK("http://www.ncbi.nlm.nih.gov/gene/188192", "188192")</f>
        <v>188192</v>
      </c>
      <c r="C10877" s="9"/>
      <c r="D10877" t="str">
        <f>"fbxa-104"</f>
        <v>fbxa-104</v>
      </c>
      <c r="E10877" t="s">
        <v>467</v>
      </c>
      <c r="F10877" t="s">
        <v>11</v>
      </c>
      <c r="G10877" t="s">
        <v>54</v>
      </c>
      <c r="H10877" s="12">
        <v>1.4057704565526099</v>
      </c>
      <c r="I10877" s="20">
        <v>0.26314193408252601</v>
      </c>
      <c r="J10877" s="28">
        <v>0.79244118378270401</v>
      </c>
      <c r="K10877" s="29">
        <v>0.98289565623980701</v>
      </c>
    </row>
    <row r="10878" spans="1:11" x14ac:dyDescent="0.35">
      <c r="A10878" s="9" t="str">
        <f>HYPERLINK("http://www.ensembl.org/id/WBGene00013348", "WBGene00013348")</f>
        <v>WBGene00013348</v>
      </c>
      <c r="B10878" s="9" t="str">
        <f>HYPERLINK("http://www.ncbi.nlm.nih.gov/gene/190394", "190394")</f>
        <v>190394</v>
      </c>
      <c r="C10878" s="9"/>
      <c r="D10878" t="str">
        <f>"fbxa-106"</f>
        <v>fbxa-106</v>
      </c>
      <c r="E10878" t="s">
        <v>467</v>
      </c>
      <c r="F10878" t="s">
        <v>11</v>
      </c>
      <c r="G10878" t="s">
        <v>54</v>
      </c>
      <c r="H10878" s="12">
        <v>-1.76355615741889</v>
      </c>
      <c r="I10878" s="20">
        <v>-1.0333339685980301</v>
      </c>
      <c r="J10878" s="28">
        <v>0.30144763595116097</v>
      </c>
      <c r="K10878" s="29">
        <v>0.98289565623980701</v>
      </c>
    </row>
    <row r="10879" spans="1:11" x14ac:dyDescent="0.35">
      <c r="A10879" s="9" t="str">
        <f>HYPERLINK("http://www.ensembl.org/id/WBGene00010293", "WBGene00010293")</f>
        <v>WBGene00010293</v>
      </c>
      <c r="B10879" s="9" t="str">
        <f>HYPERLINK("http://www.ncbi.nlm.nih.gov/gene/186560", "186560")</f>
        <v>186560</v>
      </c>
      <c r="C10879" s="9"/>
      <c r="D10879" t="str">
        <f>"fbxa-108"</f>
        <v>fbxa-108</v>
      </c>
      <c r="E10879" t="s">
        <v>467</v>
      </c>
      <c r="F10879" t="s">
        <v>11</v>
      </c>
      <c r="G10879" t="s">
        <v>54</v>
      </c>
      <c r="H10879" s="12">
        <v>-1.2380809651603699</v>
      </c>
      <c r="I10879" s="20">
        <v>-0.52464388100081405</v>
      </c>
      <c r="J10879" s="28">
        <v>0.59983077608443103</v>
      </c>
      <c r="K10879" s="29">
        <v>0.98289565623980701</v>
      </c>
    </row>
    <row r="10880" spans="1:11" x14ac:dyDescent="0.35">
      <c r="A10880" s="9" t="str">
        <f>HYPERLINK("http://www.ensembl.org/id/WBGene00020451", "WBGene00020451")</f>
        <v>WBGene00020451</v>
      </c>
      <c r="B10880" s="9" t="str">
        <f>HYPERLINK("http://www.ncbi.nlm.nih.gov/gene/188443", "188443")</f>
        <v>188443</v>
      </c>
      <c r="C10880" s="9"/>
      <c r="D10880" t="str">
        <f>"fbxa-11"</f>
        <v>fbxa-11</v>
      </c>
      <c r="E10880" t="s">
        <v>467</v>
      </c>
      <c r="F10880" t="s">
        <v>11</v>
      </c>
      <c r="G10880" t="s">
        <v>54</v>
      </c>
      <c r="H10880" s="12">
        <v>1.3469795453693501</v>
      </c>
      <c r="I10880" s="20">
        <v>0.80636921237965198</v>
      </c>
      <c r="J10880" s="28">
        <v>0.420029993528376</v>
      </c>
      <c r="K10880" s="29">
        <v>0.98289565623980701</v>
      </c>
    </row>
    <row r="10881" spans="1:11" x14ac:dyDescent="0.35">
      <c r="A10881" s="9" t="str">
        <f>HYPERLINK("http://www.ensembl.org/id/WBGene00013620", "WBGene00013620")</f>
        <v>WBGene00013620</v>
      </c>
      <c r="B10881" s="9" t="str">
        <f>HYPERLINK("http://www.ncbi.nlm.nih.gov/gene/190838", "190838")</f>
        <v>190838</v>
      </c>
      <c r="C10881" s="9"/>
      <c r="D10881" t="str">
        <f>"fbxa-111"</f>
        <v>fbxa-111</v>
      </c>
      <c r="E10881" t="s">
        <v>467</v>
      </c>
      <c r="F10881" t="s">
        <v>11</v>
      </c>
      <c r="G10881" t="s">
        <v>54</v>
      </c>
      <c r="H10881" s="12">
        <v>-7.7904337984490803</v>
      </c>
      <c r="I10881" s="20">
        <v>-0.60901310058451197</v>
      </c>
      <c r="J10881" s="28">
        <v>0.54251575542982</v>
      </c>
      <c r="K10881" s="29">
        <v>0.98289565623980701</v>
      </c>
    </row>
    <row r="10882" spans="1:11" x14ac:dyDescent="0.35">
      <c r="A10882" s="9" t="str">
        <f>HYPERLINK("http://www.ensembl.org/id/WBGene00013755", "WBGene00013755")</f>
        <v>WBGene00013755</v>
      </c>
      <c r="B10882" s="9" t="str">
        <f>HYPERLINK("http://www.ncbi.nlm.nih.gov/gene/190970", "190970")</f>
        <v>190970</v>
      </c>
      <c r="C10882" s="9"/>
      <c r="D10882" t="str">
        <f>"fbxa-115"</f>
        <v>fbxa-115</v>
      </c>
      <c r="E10882" t="s">
        <v>467</v>
      </c>
      <c r="F10882" t="s">
        <v>11</v>
      </c>
      <c r="G10882" t="s">
        <v>54</v>
      </c>
      <c r="H10882" s="12">
        <v>-1.22371251741898</v>
      </c>
      <c r="I10882" s="20">
        <v>-0.54798235196902401</v>
      </c>
      <c r="J10882" s="28">
        <v>0.583704020758961</v>
      </c>
      <c r="K10882" s="29">
        <v>0.98289565623980701</v>
      </c>
    </row>
    <row r="10883" spans="1:11" x14ac:dyDescent="0.35">
      <c r="A10883" s="9" t="str">
        <f>HYPERLINK("http://www.ensembl.org/id/WBGene00014907", "WBGene00014907")</f>
        <v>WBGene00014907</v>
      </c>
      <c r="B10883" s="9"/>
      <c r="C10883" s="9"/>
      <c r="D10883" t="str">
        <f>"fbxa-117"</f>
        <v>fbxa-117</v>
      </c>
      <c r="F10883" t="s">
        <v>80</v>
      </c>
      <c r="H10883" s="12">
        <v>-2.4772140472330402</v>
      </c>
      <c r="I10883" s="20">
        <v>-0.26891282500069902</v>
      </c>
      <c r="J10883" s="28">
        <v>0.78799676746418601</v>
      </c>
      <c r="K10883" s="29">
        <v>0.98289565623980701</v>
      </c>
    </row>
    <row r="10884" spans="1:11" x14ac:dyDescent="0.35">
      <c r="A10884" s="9" t="str">
        <f>HYPERLINK("http://www.ensembl.org/id/WBGene00016525", "WBGene00016525")</f>
        <v>WBGene00016525</v>
      </c>
      <c r="B10884" s="9" t="str">
        <f>HYPERLINK("http://www.ncbi.nlm.nih.gov/gene/183326", "183326")</f>
        <v>183326</v>
      </c>
      <c r="C10884" s="9"/>
      <c r="D10884" t="str">
        <f>"fbxa-12"</f>
        <v>fbxa-12</v>
      </c>
      <c r="E10884" t="s">
        <v>467</v>
      </c>
      <c r="F10884" t="s">
        <v>11</v>
      </c>
      <c r="G10884" t="s">
        <v>54</v>
      </c>
      <c r="H10884" s="12">
        <v>2.1025377868035799</v>
      </c>
      <c r="I10884" s="20">
        <v>0.537298246938966</v>
      </c>
      <c r="J10884" s="28">
        <v>0.59106161617896202</v>
      </c>
      <c r="K10884" s="29">
        <v>0.98289565623980701</v>
      </c>
    </row>
    <row r="10885" spans="1:11" x14ac:dyDescent="0.35">
      <c r="A10885" s="9" t="str">
        <f>HYPERLINK("http://www.ensembl.org/id/WBGene00016346", "WBGene00016346")</f>
        <v>WBGene00016346</v>
      </c>
      <c r="B10885" s="9" t="str">
        <f>HYPERLINK("http://www.ncbi.nlm.nih.gov/gene/183161", "183161")</f>
        <v>183161</v>
      </c>
      <c r="C10885" s="9"/>
      <c r="D10885" t="str">
        <f>"fbxa-120"</f>
        <v>fbxa-120</v>
      </c>
      <c r="E10885" t="s">
        <v>467</v>
      </c>
      <c r="F10885" t="s">
        <v>11</v>
      </c>
      <c r="G10885" t="s">
        <v>54</v>
      </c>
      <c r="H10885" s="12">
        <v>1.57473782021613</v>
      </c>
      <c r="I10885" s="20">
        <v>0.77824164626903403</v>
      </c>
      <c r="J10885" s="28">
        <v>0.436426569405506</v>
      </c>
      <c r="K10885" s="29">
        <v>0.98289565623980701</v>
      </c>
    </row>
    <row r="10886" spans="1:11" x14ac:dyDescent="0.35">
      <c r="A10886" s="9" t="str">
        <f>HYPERLINK("http://www.ensembl.org/id/WBGene00012485", "WBGene00012485")</f>
        <v>WBGene00012485</v>
      </c>
      <c r="B10886" s="9"/>
      <c r="C10886" s="9"/>
      <c r="D10886" t="str">
        <f>"fbxa-121"</f>
        <v>fbxa-121</v>
      </c>
      <c r="F10886" t="s">
        <v>80</v>
      </c>
      <c r="H10886" s="12">
        <v>-1.7064182115141799</v>
      </c>
      <c r="I10886" s="20">
        <v>-0.51418584935753497</v>
      </c>
      <c r="J10886" s="28">
        <v>0.60712206021533299</v>
      </c>
      <c r="K10886" s="29">
        <v>0.98289565623980701</v>
      </c>
    </row>
    <row r="10887" spans="1:11" x14ac:dyDescent="0.35">
      <c r="A10887" s="9" t="str">
        <f>HYPERLINK("http://www.ensembl.org/id/WBGene00014917", "WBGene00014917")</f>
        <v>WBGene00014917</v>
      </c>
      <c r="B10887" s="9"/>
      <c r="C10887" s="9"/>
      <c r="D10887" t="str">
        <f>"fbxa-122"</f>
        <v>fbxa-122</v>
      </c>
      <c r="F10887" t="s">
        <v>80</v>
      </c>
      <c r="H10887" s="12">
        <v>-1.6779458633803399</v>
      </c>
      <c r="I10887" s="20">
        <v>-0.79542828900984397</v>
      </c>
      <c r="J10887" s="28">
        <v>0.42636440970449102</v>
      </c>
      <c r="K10887" s="29">
        <v>0.98289565623980701</v>
      </c>
    </row>
    <row r="10888" spans="1:11" x14ac:dyDescent="0.35">
      <c r="A10888" s="9" t="str">
        <f>HYPERLINK("http://www.ensembl.org/id/WBGene00014916", "WBGene00014916")</f>
        <v>WBGene00014916</v>
      </c>
      <c r="B10888" s="9"/>
      <c r="C10888" s="9"/>
      <c r="D10888" t="str">
        <f>"fbxa-124"</f>
        <v>fbxa-124</v>
      </c>
      <c r="F10888" t="s">
        <v>80</v>
      </c>
      <c r="H10888" s="12">
        <v>1.3314622217777301</v>
      </c>
      <c r="I10888" s="20">
        <v>0.72840163541861103</v>
      </c>
      <c r="J10888" s="28">
        <v>0.46636776245126799</v>
      </c>
      <c r="K10888" s="29">
        <v>0.98289565623980701</v>
      </c>
    </row>
    <row r="10889" spans="1:11" x14ac:dyDescent="0.35">
      <c r="A10889" s="9" t="str">
        <f>HYPERLINK("http://www.ensembl.org/id/WBGene00015229", "WBGene00015229")</f>
        <v>WBGene00015229</v>
      </c>
      <c r="B10889" s="9" t="str">
        <f>HYPERLINK("http://www.ncbi.nlm.nih.gov/gene/182016", "182016")</f>
        <v>182016</v>
      </c>
      <c r="C10889" s="9"/>
      <c r="D10889" t="str">
        <f>"fbxa-125"</f>
        <v>fbxa-125</v>
      </c>
      <c r="E10889" t="s">
        <v>467</v>
      </c>
      <c r="F10889" t="s">
        <v>11</v>
      </c>
      <c r="H10889" s="12">
        <v>2.3545222462844602</v>
      </c>
      <c r="I10889" s="20">
        <v>0.51879424945083796</v>
      </c>
      <c r="J10889" s="28">
        <v>0.60390422848075898</v>
      </c>
      <c r="K10889" s="29">
        <v>0.98289565623980701</v>
      </c>
    </row>
    <row r="10890" spans="1:11" x14ac:dyDescent="0.35">
      <c r="A10890" s="9" t="str">
        <f>HYPERLINK("http://www.ensembl.org/id/WBGene00013454", "WBGene00013454")</f>
        <v>WBGene00013454</v>
      </c>
      <c r="B10890" s="9" t="str">
        <f>HYPERLINK("http://www.ncbi.nlm.nih.gov/gene/190508", "190508")</f>
        <v>190508</v>
      </c>
      <c r="C10890" s="9"/>
      <c r="D10890" t="str">
        <f>"fbxa-126"</f>
        <v>fbxa-126</v>
      </c>
      <c r="E10890" t="s">
        <v>467</v>
      </c>
      <c r="F10890" t="s">
        <v>11</v>
      </c>
      <c r="H10890" s="12">
        <v>5.2322000618327396</v>
      </c>
      <c r="I10890" s="20">
        <v>0.486112489888328</v>
      </c>
      <c r="J10890" s="28">
        <v>0.62688741196182496</v>
      </c>
      <c r="K10890" s="29">
        <v>0.98289565623980701</v>
      </c>
    </row>
    <row r="10891" spans="1:11" x14ac:dyDescent="0.35">
      <c r="A10891" s="9" t="str">
        <f>HYPERLINK("http://www.ensembl.org/id/WBGene00021264", "WBGene00021264")</f>
        <v>WBGene00021264</v>
      </c>
      <c r="B10891" s="9" t="str">
        <f>HYPERLINK("http://www.ncbi.nlm.nih.gov/gene/189517", "189517")</f>
        <v>189517</v>
      </c>
      <c r="C10891" s="9"/>
      <c r="D10891" t="str">
        <f>"fbxa-13"</f>
        <v>fbxa-13</v>
      </c>
      <c r="E10891" t="s">
        <v>467</v>
      </c>
      <c r="F10891" t="s">
        <v>11</v>
      </c>
      <c r="G10891" t="s">
        <v>54</v>
      </c>
      <c r="H10891" s="12">
        <v>1.1265477592231199</v>
      </c>
      <c r="I10891" s="20">
        <v>0.38251626059101401</v>
      </c>
      <c r="J10891" s="28">
        <v>0.70207847007169699</v>
      </c>
      <c r="K10891" s="29">
        <v>0.98289565623980701</v>
      </c>
    </row>
    <row r="10892" spans="1:11" x14ac:dyDescent="0.35">
      <c r="A10892" s="9" t="str">
        <f>HYPERLINK("http://www.ensembl.org/id/WBGene00018329", "WBGene00018329")</f>
        <v>WBGene00018329</v>
      </c>
      <c r="B10892" s="9"/>
      <c r="C10892" s="9"/>
      <c r="D10892" t="str">
        <f>"fbxa-130"</f>
        <v>fbxa-130</v>
      </c>
      <c r="F10892" t="s">
        <v>80</v>
      </c>
      <c r="H10892" s="12">
        <v>-1.7462411655333601</v>
      </c>
      <c r="I10892" s="20">
        <v>-0.29774135659932099</v>
      </c>
      <c r="J10892" s="28">
        <v>0.76590057612490403</v>
      </c>
      <c r="K10892" s="29">
        <v>0.98289565623980701</v>
      </c>
    </row>
    <row r="10893" spans="1:11" x14ac:dyDescent="0.35">
      <c r="A10893" s="9" t="str">
        <f>HYPERLINK("http://www.ensembl.org/id/WBGene00008012", "WBGene00008012")</f>
        <v>WBGene00008012</v>
      </c>
      <c r="B10893" s="9" t="str">
        <f>HYPERLINK("http://www.ncbi.nlm.nih.gov/gene/183315", "183315")</f>
        <v>183315</v>
      </c>
      <c r="C10893" s="9"/>
      <c r="D10893" t="str">
        <f>"fbxa-133"</f>
        <v>fbxa-133</v>
      </c>
      <c r="E10893" t="s">
        <v>467</v>
      </c>
      <c r="F10893" t="s">
        <v>11</v>
      </c>
      <c r="H10893" s="12">
        <v>-3.7261494131482999</v>
      </c>
      <c r="I10893" s="20">
        <v>-0.38454673129429601</v>
      </c>
      <c r="J10893" s="28">
        <v>0.70057326682554</v>
      </c>
      <c r="K10893" s="29">
        <v>0.98289565623980701</v>
      </c>
    </row>
    <row r="10894" spans="1:11" x14ac:dyDescent="0.35">
      <c r="A10894" s="9" t="str">
        <f>HYPERLINK("http://www.ensembl.org/id/WBGene00011539", "WBGene00011539")</f>
        <v>WBGene00011539</v>
      </c>
      <c r="B10894" s="9" t="str">
        <f>HYPERLINK("http://www.ncbi.nlm.nih.gov/gene/188184", "188184")</f>
        <v>188184</v>
      </c>
      <c r="C10894" s="9"/>
      <c r="D10894" t="str">
        <f>"fbxa-135"</f>
        <v>fbxa-135</v>
      </c>
      <c r="E10894" t="s">
        <v>467</v>
      </c>
      <c r="F10894" t="s">
        <v>11</v>
      </c>
      <c r="G10894" t="s">
        <v>54</v>
      </c>
      <c r="H10894" s="12">
        <v>2.0700435538625399</v>
      </c>
      <c r="I10894" s="20">
        <v>0.99761484907460196</v>
      </c>
      <c r="J10894" s="28">
        <v>0.31846615781474902</v>
      </c>
      <c r="K10894" s="29">
        <v>0.98289565623980701</v>
      </c>
    </row>
    <row r="10895" spans="1:11" x14ac:dyDescent="0.35">
      <c r="A10895" s="9" t="str">
        <f>HYPERLINK("http://www.ensembl.org/id/WBGene00020853", "WBGene00020853")</f>
        <v>WBGene00020853</v>
      </c>
      <c r="B10895" s="9" t="str">
        <f>HYPERLINK("http://www.ncbi.nlm.nih.gov/gene/188978", "188978")</f>
        <v>188978</v>
      </c>
      <c r="C10895" s="9"/>
      <c r="D10895" t="str">
        <f>"fbxa-137"</f>
        <v>fbxa-137</v>
      </c>
      <c r="E10895" t="s">
        <v>467</v>
      </c>
      <c r="F10895" t="s">
        <v>11</v>
      </c>
      <c r="H10895" s="12">
        <v>1.43565321818967</v>
      </c>
      <c r="I10895" s="20">
        <v>0.82582926887265296</v>
      </c>
      <c r="J10895" s="28">
        <v>0.40890094836738899</v>
      </c>
      <c r="K10895" s="29">
        <v>0.98289565623980701</v>
      </c>
    </row>
    <row r="10896" spans="1:11" x14ac:dyDescent="0.35">
      <c r="A10896" s="9" t="str">
        <f>HYPERLINK("http://www.ensembl.org/id/WBGene00022326", "WBGene00022326")</f>
        <v>WBGene00022326</v>
      </c>
      <c r="B10896" s="9" t="str">
        <f>HYPERLINK("http://www.ncbi.nlm.nih.gov/gene/175294", "175294")</f>
        <v>175294</v>
      </c>
      <c r="C10896" s="9"/>
      <c r="D10896" t="str">
        <f>"fbxa-14"</f>
        <v>fbxa-14</v>
      </c>
      <c r="E10896" t="s">
        <v>467</v>
      </c>
      <c r="F10896" t="s">
        <v>11</v>
      </c>
      <c r="G10896" t="s">
        <v>54</v>
      </c>
      <c r="H10896" s="12">
        <v>1.1383266956970299</v>
      </c>
      <c r="I10896" s="20">
        <v>0.37257227236075602</v>
      </c>
      <c r="J10896" s="28">
        <v>0.70946681278099299</v>
      </c>
      <c r="K10896" s="29">
        <v>0.98289565623980701</v>
      </c>
    </row>
    <row r="10897" spans="1:11" x14ac:dyDescent="0.35">
      <c r="A10897" s="9" t="str">
        <f>HYPERLINK("http://www.ensembl.org/id/WBGene00008130", "WBGene00008130")</f>
        <v>WBGene00008130</v>
      </c>
      <c r="B10897" s="9" t="str">
        <f>HYPERLINK("http://www.ncbi.nlm.nih.gov/gene/173166", "173166")</f>
        <v>173166</v>
      </c>
      <c r="C10897" s="9"/>
      <c r="D10897" t="str">
        <f>"fbxa-140"</f>
        <v>fbxa-140</v>
      </c>
      <c r="E10897" t="s">
        <v>467</v>
      </c>
      <c r="F10897" t="s">
        <v>11</v>
      </c>
      <c r="G10897" t="s">
        <v>54</v>
      </c>
      <c r="H10897" s="12">
        <v>-1.41931261461495</v>
      </c>
      <c r="I10897" s="20">
        <v>-0.614776375031862</v>
      </c>
      <c r="J10897" s="28">
        <v>0.53870241335315905</v>
      </c>
      <c r="K10897" s="29">
        <v>0.98289565623980701</v>
      </c>
    </row>
    <row r="10898" spans="1:11" x14ac:dyDescent="0.35">
      <c r="A10898" s="9" t="str">
        <f>HYPERLINK("http://www.ensembl.org/id/WBGene00008355", "WBGene00008355")</f>
        <v>WBGene00008355</v>
      </c>
      <c r="B10898" s="9" t="str">
        <f>HYPERLINK("http://www.ncbi.nlm.nih.gov/gene/183903", "183903")</f>
        <v>183903</v>
      </c>
      <c r="C10898" s="9"/>
      <c r="D10898" t="str">
        <f>"fbxa-141"</f>
        <v>fbxa-141</v>
      </c>
      <c r="E10898" t="s">
        <v>467</v>
      </c>
      <c r="F10898" t="s">
        <v>11</v>
      </c>
      <c r="H10898" s="12">
        <v>-1.19193558502657</v>
      </c>
      <c r="I10898" s="20">
        <v>-0.45608031223864298</v>
      </c>
      <c r="J10898" s="28">
        <v>0.64833222700230597</v>
      </c>
      <c r="K10898" s="29">
        <v>0.98289565623980701</v>
      </c>
    </row>
    <row r="10899" spans="1:11" x14ac:dyDescent="0.35">
      <c r="A10899" s="9" t="str">
        <f>HYPERLINK("http://www.ensembl.org/id/WBGene00044659", "WBGene00044659")</f>
        <v>WBGene00044659</v>
      </c>
      <c r="B10899" s="9" t="str">
        <f>HYPERLINK("http://www.ncbi.nlm.nih.gov/gene/4363087", "4363087")</f>
        <v>4363087</v>
      </c>
      <c r="C10899" s="9"/>
      <c r="D10899" t="str">
        <f>"fbxa-142"</f>
        <v>fbxa-142</v>
      </c>
      <c r="E10899" t="s">
        <v>467</v>
      </c>
      <c r="F10899" t="s">
        <v>11</v>
      </c>
      <c r="G10899" t="s">
        <v>54</v>
      </c>
      <c r="H10899" s="12">
        <v>-1.7942098450801101</v>
      </c>
      <c r="I10899" s="20">
        <v>-0.53309674231123005</v>
      </c>
      <c r="J10899" s="28">
        <v>0.59396661402610795</v>
      </c>
      <c r="K10899" s="29">
        <v>0.98289565623980701</v>
      </c>
    </row>
    <row r="10900" spans="1:11" x14ac:dyDescent="0.35">
      <c r="A10900" s="9" t="str">
        <f>HYPERLINK("http://www.ensembl.org/id/WBGene00044661", "WBGene00044661")</f>
        <v>WBGene00044661</v>
      </c>
      <c r="B10900" s="9" t="str">
        <f>HYPERLINK("http://www.ncbi.nlm.nih.gov/gene/4363088", "4363088")</f>
        <v>4363088</v>
      </c>
      <c r="C10900" s="9"/>
      <c r="D10900" t="str">
        <f>"fbxa-143"</f>
        <v>fbxa-143</v>
      </c>
      <c r="E10900" t="s">
        <v>467</v>
      </c>
      <c r="F10900" t="s">
        <v>11</v>
      </c>
      <c r="G10900" t="s">
        <v>54</v>
      </c>
      <c r="H10900" s="12">
        <v>-1.20294771889639</v>
      </c>
      <c r="I10900" s="20">
        <v>-0.70941287917177298</v>
      </c>
      <c r="J10900" s="28">
        <v>0.47806829775767401</v>
      </c>
      <c r="K10900" s="29">
        <v>0.98289565623980701</v>
      </c>
    </row>
    <row r="10901" spans="1:11" x14ac:dyDescent="0.35">
      <c r="A10901" s="9" t="str">
        <f>HYPERLINK("http://www.ensembl.org/id/WBGene00009709", "WBGene00009709")</f>
        <v>WBGene00009709</v>
      </c>
      <c r="B10901" s="9" t="str">
        <f>HYPERLINK("http://www.ncbi.nlm.nih.gov/gene/185756", "185756")</f>
        <v>185756</v>
      </c>
      <c r="C10901" s="9"/>
      <c r="D10901" t="str">
        <f>"fbxa-144"</f>
        <v>fbxa-144</v>
      </c>
      <c r="E10901" t="s">
        <v>467</v>
      </c>
      <c r="F10901" t="s">
        <v>11</v>
      </c>
      <c r="H10901" s="12">
        <v>1.5613932781127799</v>
      </c>
      <c r="I10901" s="20">
        <v>0.64750769792989005</v>
      </c>
      <c r="J10901" s="28">
        <v>0.51730341401611402</v>
      </c>
      <c r="K10901" s="29">
        <v>0.98289565623980701</v>
      </c>
    </row>
    <row r="10902" spans="1:11" x14ac:dyDescent="0.35">
      <c r="A10902" s="9" t="str">
        <f>HYPERLINK("http://www.ensembl.org/id/WBGene00018595", "WBGene00018595")</f>
        <v>WBGene00018595</v>
      </c>
      <c r="B10902" s="9" t="str">
        <f>HYPERLINK("http://www.ncbi.nlm.nih.gov/gene/185972", "185972")</f>
        <v>185972</v>
      </c>
      <c r="C10902" s="9"/>
      <c r="D10902" t="str">
        <f>"fbxa-145"</f>
        <v>fbxa-145</v>
      </c>
      <c r="E10902" t="s">
        <v>467</v>
      </c>
      <c r="F10902" t="s">
        <v>11</v>
      </c>
      <c r="G10902" t="s">
        <v>417</v>
      </c>
      <c r="H10902" s="12">
        <v>-1.4638692438524701</v>
      </c>
      <c r="I10902" s="20">
        <v>-0.837878648474912</v>
      </c>
      <c r="J10902" s="28">
        <v>0.402098861529463</v>
      </c>
      <c r="K10902" s="29">
        <v>0.98289565623980701</v>
      </c>
    </row>
    <row r="10903" spans="1:11" x14ac:dyDescent="0.35">
      <c r="A10903" s="9" t="str">
        <f>HYPERLINK("http://www.ensembl.org/id/WBGene00018807", "WBGene00018807")</f>
        <v>WBGene00018807</v>
      </c>
      <c r="B10903" s="9"/>
      <c r="C10903" s="9"/>
      <c r="D10903" t="str">
        <f>"fbxa-146"</f>
        <v>fbxa-146</v>
      </c>
      <c r="F10903" t="s">
        <v>80</v>
      </c>
      <c r="H10903" s="12">
        <v>1.3530057575147501</v>
      </c>
      <c r="I10903" s="20">
        <v>0.86368519930186605</v>
      </c>
      <c r="J10903" s="28">
        <v>0.38776084640358199</v>
      </c>
      <c r="K10903" s="29">
        <v>0.98289565623980701</v>
      </c>
    </row>
    <row r="10904" spans="1:11" x14ac:dyDescent="0.35">
      <c r="A10904" s="9" t="str">
        <f>HYPERLINK("http://www.ensembl.org/id/WBGene00011135", "WBGene00011135")</f>
        <v>WBGene00011135</v>
      </c>
      <c r="B10904" s="9" t="str">
        <f>HYPERLINK("http://www.ncbi.nlm.nih.gov/gene/187693", "187693")</f>
        <v>187693</v>
      </c>
      <c r="C10904" s="9"/>
      <c r="D10904" t="str">
        <f>"fbxa-147"</f>
        <v>fbxa-147</v>
      </c>
      <c r="E10904" t="s">
        <v>467</v>
      </c>
      <c r="F10904" t="s">
        <v>11</v>
      </c>
      <c r="G10904" t="s">
        <v>54</v>
      </c>
      <c r="H10904" s="12">
        <v>5.2322000618327396</v>
      </c>
      <c r="I10904" s="20">
        <v>0.486112489888328</v>
      </c>
      <c r="J10904" s="28">
        <v>0.62688741196182496</v>
      </c>
      <c r="K10904" s="29">
        <v>0.98289565623980701</v>
      </c>
    </row>
    <row r="10905" spans="1:11" x14ac:dyDescent="0.35">
      <c r="A10905" s="9" t="str">
        <f>HYPERLINK("http://www.ensembl.org/id/WBGene00012623", "WBGene00012623")</f>
        <v>WBGene00012623</v>
      </c>
      <c r="B10905" s="9"/>
      <c r="C10905" s="9"/>
      <c r="D10905" t="str">
        <f>"fbxa-149"</f>
        <v>fbxa-149</v>
      </c>
      <c r="F10905" t="s">
        <v>80</v>
      </c>
      <c r="H10905" s="12">
        <v>-1.3215784146354099</v>
      </c>
      <c r="I10905" s="20">
        <v>-0.95899830613082004</v>
      </c>
      <c r="J10905" s="28">
        <v>0.33755959851207301</v>
      </c>
      <c r="K10905" s="29">
        <v>0.98289565623980701</v>
      </c>
    </row>
    <row r="10906" spans="1:11" x14ac:dyDescent="0.35">
      <c r="A10906" s="9" t="str">
        <f>HYPERLINK("http://www.ensembl.org/id/WBGene00022327", "WBGene00022327")</f>
        <v>WBGene00022327</v>
      </c>
      <c r="B10906" s="9" t="str">
        <f>HYPERLINK("http://www.ncbi.nlm.nih.gov/gene/190758", "190758")</f>
        <v>190758</v>
      </c>
      <c r="C10906" s="9"/>
      <c r="D10906" t="str">
        <f>"fbxa-15"</f>
        <v>fbxa-15</v>
      </c>
      <c r="E10906" t="s">
        <v>467</v>
      </c>
      <c r="F10906" t="s">
        <v>11</v>
      </c>
      <c r="G10906" t="s">
        <v>54</v>
      </c>
      <c r="H10906" s="12">
        <v>3.1900930744301101</v>
      </c>
      <c r="I10906" s="20">
        <v>1.1247610485433299</v>
      </c>
      <c r="J10906" s="28">
        <v>0.26069030435006102</v>
      </c>
      <c r="K10906" s="29">
        <v>0.98289565623980701</v>
      </c>
    </row>
    <row r="10907" spans="1:11" x14ac:dyDescent="0.35">
      <c r="A10907" s="9" t="str">
        <f>HYPERLINK("http://www.ensembl.org/id/WBGene00013840", "WBGene00013840")</f>
        <v>WBGene00013840</v>
      </c>
      <c r="B10907" s="9" t="str">
        <f>HYPERLINK("http://www.ncbi.nlm.nih.gov/gene/191061", "191061")</f>
        <v>191061</v>
      </c>
      <c r="C10907" s="9"/>
      <c r="D10907" t="str">
        <f>"fbxa-151"</f>
        <v>fbxa-151</v>
      </c>
      <c r="E10907" t="s">
        <v>467</v>
      </c>
      <c r="F10907" t="s">
        <v>11</v>
      </c>
      <c r="G10907" t="s">
        <v>2543</v>
      </c>
      <c r="H10907" s="12">
        <v>-1.7719958771574</v>
      </c>
      <c r="I10907" s="20">
        <v>-0.52558320754133403</v>
      </c>
      <c r="J10907" s="28">
        <v>0.59917782665960595</v>
      </c>
      <c r="K10907" s="29">
        <v>0.98289565623980701</v>
      </c>
    </row>
    <row r="10908" spans="1:11" x14ac:dyDescent="0.35">
      <c r="A10908" s="9" t="str">
        <f>HYPERLINK("http://www.ensembl.org/id/WBGene00007162", "WBGene00007162")</f>
        <v>WBGene00007162</v>
      </c>
      <c r="B10908" s="9" t="str">
        <f>HYPERLINK("http://www.ncbi.nlm.nih.gov/gene/181950", "181950")</f>
        <v>181950</v>
      </c>
      <c r="C10908" s="9"/>
      <c r="D10908" t="str">
        <f>"fbxa-153"</f>
        <v>fbxa-153</v>
      </c>
      <c r="E10908" t="s">
        <v>467</v>
      </c>
      <c r="F10908" t="s">
        <v>11</v>
      </c>
      <c r="G10908" t="s">
        <v>54</v>
      </c>
      <c r="H10908" s="12">
        <v>-1.44284930006691</v>
      </c>
      <c r="I10908" s="20">
        <v>-1.06980297893397</v>
      </c>
      <c r="J10908" s="28">
        <v>0.284708001156458</v>
      </c>
      <c r="K10908" s="29">
        <v>0.98289565623980701</v>
      </c>
    </row>
    <row r="10909" spans="1:11" x14ac:dyDescent="0.35">
      <c r="A10909" s="9" t="str">
        <f>HYPERLINK("http://www.ensembl.org/id/WBGene00007323", "WBGene00007323")</f>
        <v>WBGene00007323</v>
      </c>
      <c r="B10909" s="9" t="str">
        <f>HYPERLINK("http://www.ncbi.nlm.nih.gov/gene/176414", "176414")</f>
        <v>176414</v>
      </c>
      <c r="C10909" s="9"/>
      <c r="D10909" t="str">
        <f>"fbxa-155"</f>
        <v>fbxa-155</v>
      </c>
      <c r="E10909" t="s">
        <v>10048</v>
      </c>
      <c r="F10909" t="s">
        <v>11</v>
      </c>
      <c r="H10909" s="12">
        <v>-2.32806922451122</v>
      </c>
      <c r="I10909" s="20">
        <v>-0.28296842763464503</v>
      </c>
      <c r="J10909" s="28">
        <v>0.77720103937969098</v>
      </c>
      <c r="K10909" s="29">
        <v>0.98289565623980701</v>
      </c>
    </row>
    <row r="10910" spans="1:11" x14ac:dyDescent="0.35">
      <c r="A10910" s="9" t="str">
        <f>HYPERLINK("http://www.ensembl.org/id/WBGene00015602", "WBGene00015602")</f>
        <v>WBGene00015602</v>
      </c>
      <c r="B10910" s="9" t="str">
        <f>HYPERLINK("http://www.ncbi.nlm.nih.gov/gene/182402", "182402")</f>
        <v>182402</v>
      </c>
      <c r="C10910" s="9"/>
      <c r="D10910" t="str">
        <f>"fbxa-158"</f>
        <v>fbxa-158</v>
      </c>
      <c r="E10910" t="s">
        <v>467</v>
      </c>
      <c r="F10910" t="s">
        <v>11</v>
      </c>
      <c r="G10910" t="s">
        <v>54</v>
      </c>
      <c r="H10910" s="12">
        <v>-1.3538235193215</v>
      </c>
      <c r="I10910" s="20">
        <v>-0.37200345141894697</v>
      </c>
      <c r="J10910" s="28">
        <v>0.70989027961840101</v>
      </c>
      <c r="K10910" s="29">
        <v>0.98289565623980701</v>
      </c>
    </row>
    <row r="10911" spans="1:11" x14ac:dyDescent="0.35">
      <c r="A10911" s="9" t="str">
        <f>HYPERLINK("http://www.ensembl.org/id/WBGene00015598", "WBGene00015598")</f>
        <v>WBGene00015598</v>
      </c>
      <c r="B10911" s="9" t="str">
        <f>HYPERLINK("http://www.ncbi.nlm.nih.gov/gene/182398", "182398")</f>
        <v>182398</v>
      </c>
      <c r="C10911" s="9"/>
      <c r="D10911" t="str">
        <f>"fbxa-163"</f>
        <v>fbxa-163</v>
      </c>
      <c r="E10911" t="s">
        <v>467</v>
      </c>
      <c r="F10911" t="s">
        <v>11</v>
      </c>
      <c r="G10911" t="s">
        <v>54</v>
      </c>
      <c r="H10911" s="12">
        <v>-1.7195072311258499</v>
      </c>
      <c r="I10911" s="20">
        <v>-0.66703927982328903</v>
      </c>
      <c r="J10911" s="28">
        <v>0.50474704360570399</v>
      </c>
      <c r="K10911" s="29">
        <v>0.98289565623980701</v>
      </c>
    </row>
    <row r="10912" spans="1:11" x14ac:dyDescent="0.35">
      <c r="A10912" s="9" t="str">
        <f>HYPERLINK("http://www.ensembl.org/id/WBGene00015600", "WBGene00015600")</f>
        <v>WBGene00015600</v>
      </c>
      <c r="B10912" s="9" t="str">
        <f>HYPERLINK("http://www.ncbi.nlm.nih.gov/gene/182400", "182400")</f>
        <v>182400</v>
      </c>
      <c r="C10912" s="9"/>
      <c r="D10912" t="str">
        <f>"fbxa-165"</f>
        <v>fbxa-165</v>
      </c>
      <c r="E10912" t="s">
        <v>467</v>
      </c>
      <c r="F10912" t="s">
        <v>11</v>
      </c>
      <c r="G10912" t="s">
        <v>54</v>
      </c>
      <c r="H10912" s="12">
        <v>-5.9147836814778696</v>
      </c>
      <c r="I10912" s="20">
        <v>-0.64732500741019305</v>
      </c>
      <c r="J10912" s="28">
        <v>0.51742161994361002</v>
      </c>
      <c r="K10912" s="29">
        <v>0.98289565623980701</v>
      </c>
    </row>
    <row r="10913" spans="1:11" x14ac:dyDescent="0.35">
      <c r="A10913" s="9" t="str">
        <f>HYPERLINK("http://www.ensembl.org/id/WBGene00015601", "WBGene00015601")</f>
        <v>WBGene00015601</v>
      </c>
      <c r="B10913" s="9" t="str">
        <f>HYPERLINK("http://www.ncbi.nlm.nih.gov/gene/182401", "182401")</f>
        <v>182401</v>
      </c>
      <c r="C10913" s="9"/>
      <c r="D10913" t="str">
        <f>"fbxa-166"</f>
        <v>fbxa-166</v>
      </c>
      <c r="E10913" t="s">
        <v>467</v>
      </c>
      <c r="F10913" t="s">
        <v>11</v>
      </c>
      <c r="G10913" t="s">
        <v>54</v>
      </c>
      <c r="H10913" s="12">
        <v>1.4107186325566701</v>
      </c>
      <c r="I10913" s="20">
        <v>0.66463298302796203</v>
      </c>
      <c r="J10913" s="28">
        <v>0.50628526775675797</v>
      </c>
      <c r="K10913" s="29">
        <v>0.98289565623980701</v>
      </c>
    </row>
    <row r="10914" spans="1:11" x14ac:dyDescent="0.35">
      <c r="A10914" s="9" t="str">
        <f>HYPERLINK("http://www.ensembl.org/id/WBGene00008009", "WBGene00008009")</f>
        <v>WBGene00008009</v>
      </c>
      <c r="B10914" s="9" t="str">
        <f>HYPERLINK("http://www.ncbi.nlm.nih.gov/gene/183312", "183312")</f>
        <v>183312</v>
      </c>
      <c r="C10914" s="9"/>
      <c r="D10914" t="str">
        <f>"fbxa-171"</f>
        <v>fbxa-171</v>
      </c>
      <c r="E10914" t="s">
        <v>467</v>
      </c>
      <c r="F10914" t="s">
        <v>11</v>
      </c>
      <c r="G10914" t="s">
        <v>54</v>
      </c>
      <c r="H10914" s="12">
        <v>2.3023301924467101</v>
      </c>
      <c r="I10914" s="20">
        <v>0.26674601818072902</v>
      </c>
      <c r="J10914" s="28">
        <v>0.78966471981773201</v>
      </c>
      <c r="K10914" s="29">
        <v>0.98289565623980701</v>
      </c>
    </row>
    <row r="10915" spans="1:11" x14ac:dyDescent="0.35">
      <c r="A10915" s="9" t="str">
        <f>HYPERLINK("http://www.ensembl.org/id/WBGene00008014", "WBGene00008014")</f>
        <v>WBGene00008014</v>
      </c>
      <c r="B10915" s="9" t="str">
        <f>HYPERLINK("http://www.ncbi.nlm.nih.gov/gene/183317", "183317")</f>
        <v>183317</v>
      </c>
      <c r="C10915" s="9"/>
      <c r="D10915" t="str">
        <f>"fbxa-172"</f>
        <v>fbxa-172</v>
      </c>
      <c r="E10915" t="s">
        <v>467</v>
      </c>
      <c r="F10915" t="s">
        <v>11</v>
      </c>
      <c r="G10915" t="s">
        <v>54</v>
      </c>
      <c r="H10915" s="12">
        <v>-1.38999824050218</v>
      </c>
      <c r="I10915" s="20">
        <v>-0.55984212687555901</v>
      </c>
      <c r="J10915" s="28">
        <v>0.57558712638631604</v>
      </c>
      <c r="K10915" s="29">
        <v>0.98289565623980701</v>
      </c>
    </row>
    <row r="10916" spans="1:11" x14ac:dyDescent="0.35">
      <c r="A10916" s="9" t="str">
        <f>HYPERLINK("http://www.ensembl.org/id/WBGene00044960", "WBGene00044960")</f>
        <v>WBGene00044960</v>
      </c>
      <c r="B10916" s="9"/>
      <c r="C10916" s="9"/>
      <c r="D10916" t="str">
        <f>"fbxa-173"</f>
        <v>fbxa-173</v>
      </c>
      <c r="F10916" t="s">
        <v>80</v>
      </c>
      <c r="H10916" s="12">
        <v>-1.4608222359998799</v>
      </c>
      <c r="I10916" s="20">
        <v>-0.42072928852687702</v>
      </c>
      <c r="J10916" s="28">
        <v>0.67395277157558797</v>
      </c>
      <c r="K10916" s="29">
        <v>0.98289565623980701</v>
      </c>
    </row>
    <row r="10917" spans="1:11" x14ac:dyDescent="0.35">
      <c r="A10917" s="9" t="str">
        <f>HYPERLINK("http://www.ensembl.org/id/WBGene00045293", "WBGene00045293")</f>
        <v>WBGene00045293</v>
      </c>
      <c r="B10917" s="9"/>
      <c r="C10917" s="9"/>
      <c r="D10917" t="str">
        <f>"fbxa-175"</f>
        <v>fbxa-175</v>
      </c>
      <c r="F10917" t="s">
        <v>80</v>
      </c>
      <c r="H10917" s="12">
        <v>-1.37410072324338</v>
      </c>
      <c r="I10917" s="20">
        <v>-0.73418460339849301</v>
      </c>
      <c r="J10917" s="28">
        <v>0.46283623590058398</v>
      </c>
      <c r="K10917" s="29">
        <v>0.98289565623980701</v>
      </c>
    </row>
    <row r="10918" spans="1:11" x14ac:dyDescent="0.35">
      <c r="A10918" s="9" t="str">
        <f>HYPERLINK("http://www.ensembl.org/id/WBGene00008017", "WBGene00008017")</f>
        <v>WBGene00008017</v>
      </c>
      <c r="B10918" s="9" t="str">
        <f>HYPERLINK("http://www.ncbi.nlm.nih.gov/gene/183320", "183320")</f>
        <v>183320</v>
      </c>
      <c r="C10918" s="9"/>
      <c r="D10918" t="str">
        <f>"fbxa-176"</f>
        <v>fbxa-176</v>
      </c>
      <c r="E10918" t="s">
        <v>467</v>
      </c>
      <c r="F10918" t="s">
        <v>11</v>
      </c>
      <c r="G10918" t="s">
        <v>54</v>
      </c>
      <c r="H10918" s="12">
        <v>1.3430134660100701</v>
      </c>
      <c r="I10918" s="20">
        <v>0.42565997830635499</v>
      </c>
      <c r="J10918" s="28">
        <v>0.67035562878923904</v>
      </c>
      <c r="K10918" s="29">
        <v>0.98289565623980701</v>
      </c>
    </row>
    <row r="10919" spans="1:11" x14ac:dyDescent="0.35">
      <c r="A10919" s="9" t="str">
        <f>HYPERLINK("http://www.ensembl.org/id/WBGene00008501", "WBGene00008501")</f>
        <v>WBGene00008501</v>
      </c>
      <c r="B10919" s="9"/>
      <c r="C10919" s="9"/>
      <c r="D10919" t="str">
        <f>"fbxa-177"</f>
        <v>fbxa-177</v>
      </c>
      <c r="F10919" t="s">
        <v>80</v>
      </c>
      <c r="H10919" s="12">
        <v>-2.4991590031922399</v>
      </c>
      <c r="I10919" s="20">
        <v>-0.26577412737581302</v>
      </c>
      <c r="J10919" s="28">
        <v>0.79041317015736101</v>
      </c>
      <c r="K10919" s="29">
        <v>0.98289565623980701</v>
      </c>
    </row>
    <row r="10920" spans="1:11" x14ac:dyDescent="0.35">
      <c r="A10920" s="9" t="str">
        <f>HYPERLINK("http://www.ensembl.org/id/WBGene00017533", "WBGene00017533")</f>
        <v>WBGene00017533</v>
      </c>
      <c r="B10920" s="9"/>
      <c r="C10920" s="9"/>
      <c r="D10920" t="str">
        <f>"fbxa-178"</f>
        <v>fbxa-178</v>
      </c>
      <c r="F10920" t="s">
        <v>80</v>
      </c>
      <c r="H10920" s="12">
        <v>6.1701385390685202</v>
      </c>
      <c r="I10920" s="20">
        <v>1.07112906528817</v>
      </c>
      <c r="J10920" s="28">
        <v>0.28411140096186099</v>
      </c>
      <c r="K10920" s="29">
        <v>0.98289565623980701</v>
      </c>
    </row>
    <row r="10921" spans="1:11" x14ac:dyDescent="0.35">
      <c r="A10921" s="9" t="str">
        <f>HYPERLINK("http://www.ensembl.org/id/WBGene00045292", "WBGene00045292")</f>
        <v>WBGene00045292</v>
      </c>
      <c r="B10921" s="9" t="str">
        <f>HYPERLINK("http://www.ncbi.nlm.nih.gov/gene/6418866", "6418866")</f>
        <v>6418866</v>
      </c>
      <c r="C10921" s="9"/>
      <c r="D10921" t="str">
        <f>"fbxa-179"</f>
        <v>fbxa-179</v>
      </c>
      <c r="E10921" t="s">
        <v>467</v>
      </c>
      <c r="F10921" t="s">
        <v>11</v>
      </c>
      <c r="G10921" t="s">
        <v>54</v>
      </c>
      <c r="H10921" s="12">
        <v>-1.25225357348671</v>
      </c>
      <c r="I10921" s="20">
        <v>-0.77811965341686395</v>
      </c>
      <c r="J10921" s="28">
        <v>0.436498477478512</v>
      </c>
      <c r="K10921" s="29">
        <v>0.98289565623980701</v>
      </c>
    </row>
    <row r="10922" spans="1:11" x14ac:dyDescent="0.35">
      <c r="A10922" s="9" t="str">
        <f>HYPERLINK("http://www.ensembl.org/id/WBGene00008633", "WBGene00008633")</f>
        <v>WBGene00008633</v>
      </c>
      <c r="B10922" s="9" t="str">
        <f>HYPERLINK("http://www.ncbi.nlm.nih.gov/gene/184274", "184274")</f>
        <v>184274</v>
      </c>
      <c r="C10922" s="9"/>
      <c r="D10922" t="str">
        <f>"fbxa-18"</f>
        <v>fbxa-18</v>
      </c>
      <c r="E10922" t="s">
        <v>467</v>
      </c>
      <c r="F10922" t="s">
        <v>11</v>
      </c>
      <c r="G10922" t="s">
        <v>54</v>
      </c>
      <c r="H10922" s="12">
        <v>-2.4200267424717801</v>
      </c>
      <c r="I10922" s="20">
        <v>-0.48533504267141198</v>
      </c>
      <c r="J10922" s="28">
        <v>0.62743870174494698</v>
      </c>
      <c r="K10922" s="29">
        <v>0.98289565623980701</v>
      </c>
    </row>
    <row r="10923" spans="1:11" x14ac:dyDescent="0.35">
      <c r="A10923" s="9" t="str">
        <f>HYPERLINK("http://www.ensembl.org/id/WBGene00009295", "WBGene00009295")</f>
        <v>WBGene00009295</v>
      </c>
      <c r="B10923" s="9"/>
      <c r="C10923" s="9"/>
      <c r="D10923" t="str">
        <f>"fbxa-180"</f>
        <v>fbxa-180</v>
      </c>
      <c r="F10923" t="s">
        <v>80</v>
      </c>
      <c r="H10923" s="12">
        <v>-1.1856238221891899</v>
      </c>
      <c r="I10923" s="20">
        <v>-0.34103935671218599</v>
      </c>
      <c r="J10923" s="28">
        <v>0.73307395349749804</v>
      </c>
      <c r="K10923" s="29">
        <v>0.98289565623980701</v>
      </c>
    </row>
    <row r="10924" spans="1:11" x14ac:dyDescent="0.35">
      <c r="A10924" s="9" t="str">
        <f>HYPERLINK("http://www.ensembl.org/id/WBGene00009427", "WBGene00009427")</f>
        <v>WBGene00009427</v>
      </c>
      <c r="B10924" s="9" t="str">
        <f>HYPERLINK("http://www.ncbi.nlm.nih.gov/gene/185305", "185305")</f>
        <v>185305</v>
      </c>
      <c r="C10924" s="9"/>
      <c r="D10924" t="str">
        <f>"fbxa-181"</f>
        <v>fbxa-181</v>
      </c>
      <c r="E10924" t="s">
        <v>467</v>
      </c>
      <c r="F10924" t="s">
        <v>11</v>
      </c>
      <c r="G10924" t="s">
        <v>54</v>
      </c>
      <c r="H10924" s="12">
        <v>-2.2566279858369098</v>
      </c>
      <c r="I10924" s="20">
        <v>-1.1476108585384801</v>
      </c>
      <c r="J10924" s="28">
        <v>0.251129245137309</v>
      </c>
      <c r="K10924" s="29">
        <v>0.98289565623980701</v>
      </c>
    </row>
    <row r="10925" spans="1:11" x14ac:dyDescent="0.35">
      <c r="A10925" s="9" t="str">
        <f>HYPERLINK("http://www.ensembl.org/id/WBGene00018353", "WBGene00018353")</f>
        <v>WBGene00018353</v>
      </c>
      <c r="B10925" s="9" t="str">
        <f>HYPERLINK("http://www.ncbi.nlm.nih.gov/gene/173594", "173594")</f>
        <v>173594</v>
      </c>
      <c r="C10925" s="9"/>
      <c r="D10925" t="str">
        <f>"fbxa-182"</f>
        <v>fbxa-182</v>
      </c>
      <c r="E10925" t="s">
        <v>467</v>
      </c>
      <c r="F10925" t="s">
        <v>11</v>
      </c>
      <c r="H10925" s="12">
        <v>-1.4376197283256</v>
      </c>
      <c r="I10925" s="20">
        <v>-0.88959473548908796</v>
      </c>
      <c r="J10925" s="28">
        <v>0.373683534043113</v>
      </c>
      <c r="K10925" s="29">
        <v>0.98289565623980701</v>
      </c>
    </row>
    <row r="10926" spans="1:11" x14ac:dyDescent="0.35">
      <c r="A10926" s="9" t="str">
        <f>HYPERLINK("http://www.ensembl.org/id/WBGene00009837", "WBGene00009837")</f>
        <v>WBGene00009837</v>
      </c>
      <c r="B10926" s="9"/>
      <c r="C10926" s="9"/>
      <c r="D10926" t="str">
        <f>"fbxa-186"</f>
        <v>fbxa-186</v>
      </c>
      <c r="F10926" t="s">
        <v>80</v>
      </c>
      <c r="H10926" s="12">
        <v>2.3893468495514898</v>
      </c>
      <c r="I10926" s="20">
        <v>0.25323547253672701</v>
      </c>
      <c r="J10926" s="28">
        <v>0.80008625651646104</v>
      </c>
      <c r="K10926" s="29">
        <v>0.98289565623980701</v>
      </c>
    </row>
    <row r="10927" spans="1:11" x14ac:dyDescent="0.35">
      <c r="A10927" s="9" t="str">
        <f>HYPERLINK("http://www.ensembl.org/id/WBGene00009840", "WBGene00009840")</f>
        <v>WBGene00009840</v>
      </c>
      <c r="B10927" s="9" t="str">
        <f>HYPERLINK("http://www.ncbi.nlm.nih.gov/gene/185955", "185955")</f>
        <v>185955</v>
      </c>
      <c r="C10927" s="9"/>
      <c r="D10927" t="str">
        <f>"fbxa-189"</f>
        <v>fbxa-189</v>
      </c>
      <c r="E10927" t="s">
        <v>467</v>
      </c>
      <c r="F10927" t="s">
        <v>11</v>
      </c>
      <c r="G10927" t="s">
        <v>54</v>
      </c>
      <c r="H10927" s="12">
        <v>-1.5210240470571801</v>
      </c>
      <c r="I10927" s="20">
        <v>-1.17461972461569</v>
      </c>
      <c r="J10927" s="28">
        <v>0.24014688837158299</v>
      </c>
      <c r="K10927" s="29">
        <v>0.98289565623980701</v>
      </c>
    </row>
    <row r="10928" spans="1:11" x14ac:dyDescent="0.35">
      <c r="A10928" s="9" t="str">
        <f>HYPERLINK("http://www.ensembl.org/id/WBGene00022331", "WBGene00022331")</f>
        <v>WBGene00022331</v>
      </c>
      <c r="B10928" s="9" t="str">
        <f>HYPERLINK("http://www.ncbi.nlm.nih.gov/gene/190762", "190762")</f>
        <v>190762</v>
      </c>
      <c r="C10928" s="9"/>
      <c r="D10928" t="str">
        <f>"fbxa-19"</f>
        <v>fbxa-19</v>
      </c>
      <c r="E10928" t="s">
        <v>467</v>
      </c>
      <c r="F10928" t="s">
        <v>11</v>
      </c>
      <c r="G10928" t="s">
        <v>54</v>
      </c>
      <c r="H10928" s="12">
        <v>-1.1330383184461801</v>
      </c>
      <c r="I10928" s="20">
        <v>-0.314825502307163</v>
      </c>
      <c r="J10928" s="28">
        <v>0.75289414757154405</v>
      </c>
      <c r="K10928" s="29">
        <v>0.98289565623980701</v>
      </c>
    </row>
    <row r="10929" spans="1:11" x14ac:dyDescent="0.35">
      <c r="A10929" s="9" t="str">
        <f>HYPERLINK("http://www.ensembl.org/id/WBGene00018939", "WBGene00018939")</f>
        <v>WBGene00018939</v>
      </c>
      <c r="B10929" s="9" t="str">
        <f>HYPERLINK("http://www.ncbi.nlm.nih.gov/gene/186361", "186361")</f>
        <v>186361</v>
      </c>
      <c r="C10929" s="9"/>
      <c r="D10929" t="str">
        <f>"fbxa-190"</f>
        <v>fbxa-190</v>
      </c>
      <c r="E10929" t="s">
        <v>467</v>
      </c>
      <c r="F10929" t="s">
        <v>11</v>
      </c>
      <c r="G10929" t="s">
        <v>54</v>
      </c>
      <c r="H10929" s="12">
        <v>1.2003966809421101</v>
      </c>
      <c r="I10929" s="20">
        <v>0.416657786208189</v>
      </c>
      <c r="J10929" s="28">
        <v>0.67692873548602295</v>
      </c>
      <c r="K10929" s="29">
        <v>0.98289565623980701</v>
      </c>
    </row>
    <row r="10930" spans="1:11" x14ac:dyDescent="0.35">
      <c r="A10930" s="9" t="str">
        <f>HYPERLINK("http://www.ensembl.org/id/WBGene00010209", "WBGene00010209")</f>
        <v>WBGene00010209</v>
      </c>
      <c r="B10930" s="9"/>
      <c r="C10930" s="9"/>
      <c r="D10930" t="str">
        <f>"fbxa-191"</f>
        <v>fbxa-191</v>
      </c>
      <c r="F10930" t="s">
        <v>80</v>
      </c>
      <c r="H10930" s="12">
        <v>-1.3466300001923199</v>
      </c>
      <c r="I10930" s="20">
        <v>-0.320842145421739</v>
      </c>
      <c r="J10930" s="28">
        <v>0.74833001899626495</v>
      </c>
      <c r="K10930" s="29">
        <v>0.98289565623980701</v>
      </c>
    </row>
    <row r="10931" spans="1:11" x14ac:dyDescent="0.35">
      <c r="A10931" s="9" t="str">
        <f>HYPERLINK("http://www.ensembl.org/id/WBGene00010212", "WBGene00010212")</f>
        <v>WBGene00010212</v>
      </c>
      <c r="B10931" s="9" t="str">
        <f>HYPERLINK("http://www.ncbi.nlm.nih.gov/gene/186462", "186462")</f>
        <v>186462</v>
      </c>
      <c r="C10931" s="9"/>
      <c r="D10931" t="str">
        <f>"fbxa-192"</f>
        <v>fbxa-192</v>
      </c>
      <c r="E10931" t="s">
        <v>467</v>
      </c>
      <c r="F10931" t="s">
        <v>11</v>
      </c>
      <c r="G10931" t="s">
        <v>54</v>
      </c>
      <c r="H10931" s="12">
        <v>-1.58615944965588</v>
      </c>
      <c r="I10931" s="20">
        <v>-1.0144369514199401</v>
      </c>
      <c r="J10931" s="28">
        <v>0.31037429981151698</v>
      </c>
      <c r="K10931" s="29">
        <v>0.98289565623980701</v>
      </c>
    </row>
    <row r="10932" spans="1:11" x14ac:dyDescent="0.35">
      <c r="A10932" s="9" t="str">
        <f>HYPERLINK("http://www.ensembl.org/id/WBGene00010295", "WBGene00010295")</f>
        <v>WBGene00010295</v>
      </c>
      <c r="B10932" s="9"/>
      <c r="C10932" s="9"/>
      <c r="D10932" t="str">
        <f>"fbxa-193"</f>
        <v>fbxa-193</v>
      </c>
      <c r="F10932" t="s">
        <v>80</v>
      </c>
      <c r="H10932" s="12">
        <v>-1.8827067629021199</v>
      </c>
      <c r="I10932" s="20">
        <v>-0.96215590198789702</v>
      </c>
      <c r="J10932" s="28">
        <v>0.335971296764493</v>
      </c>
      <c r="K10932" s="29">
        <v>0.98289565623980701</v>
      </c>
    </row>
    <row r="10933" spans="1:11" x14ac:dyDescent="0.35">
      <c r="A10933" s="9" t="str">
        <f>HYPERLINK("http://www.ensembl.org/id/WBGene00019976", "WBGene00019976")</f>
        <v>WBGene00019976</v>
      </c>
      <c r="B10933" s="9"/>
      <c r="C10933" s="9"/>
      <c r="D10933" t="str">
        <f>"fbxa-195"</f>
        <v>fbxa-195</v>
      </c>
      <c r="F10933" t="s">
        <v>80</v>
      </c>
      <c r="H10933" s="12">
        <v>-2.4991590031922399</v>
      </c>
      <c r="I10933" s="20">
        <v>-0.26577412737581302</v>
      </c>
      <c r="J10933" s="28">
        <v>0.79041317015736101</v>
      </c>
      <c r="K10933" s="29">
        <v>0.98289565623980701</v>
      </c>
    </row>
    <row r="10934" spans="1:11" x14ac:dyDescent="0.35">
      <c r="A10934" s="9" t="str">
        <f>HYPERLINK("http://www.ensembl.org/id/WBGene00020265", "WBGene00020265")</f>
        <v>WBGene00020265</v>
      </c>
      <c r="B10934" s="9" t="str">
        <f>HYPERLINK("http://www.ncbi.nlm.nih.gov/gene/188148", "188148")</f>
        <v>188148</v>
      </c>
      <c r="C10934" s="9"/>
      <c r="D10934" t="str">
        <f>"fbxa-196"</f>
        <v>fbxa-196</v>
      </c>
      <c r="E10934" t="s">
        <v>467</v>
      </c>
      <c r="F10934" t="s">
        <v>11</v>
      </c>
      <c r="G10934" t="s">
        <v>54</v>
      </c>
      <c r="H10934" s="12">
        <v>2.4374124825316099</v>
      </c>
      <c r="I10934" s="20">
        <v>0.38727733857636198</v>
      </c>
      <c r="J10934" s="28">
        <v>0.69855090031473899</v>
      </c>
      <c r="K10934" s="29">
        <v>0.98289565623980701</v>
      </c>
    </row>
    <row r="10935" spans="1:11" x14ac:dyDescent="0.35">
      <c r="A10935" s="9" t="str">
        <f>HYPERLINK("http://www.ensembl.org/id/WBGene00011514", "WBGene00011514")</f>
        <v>WBGene00011514</v>
      </c>
      <c r="B10935" s="9"/>
      <c r="C10935" s="9"/>
      <c r="D10935" t="str">
        <f>"fbxa-198"</f>
        <v>fbxa-198</v>
      </c>
      <c r="F10935" t="s">
        <v>80</v>
      </c>
      <c r="H10935" s="12">
        <v>-1.8956482089469699</v>
      </c>
      <c r="I10935" s="20">
        <v>-0.83664949597596505</v>
      </c>
      <c r="J10935" s="28">
        <v>0.40278961518149697</v>
      </c>
      <c r="K10935" s="29">
        <v>0.98289565623980701</v>
      </c>
    </row>
    <row r="10936" spans="1:11" x14ac:dyDescent="0.35">
      <c r="A10936" s="9" t="str">
        <f>HYPERLINK("http://www.ensembl.org/id/WBGene00005931", "WBGene00005931")</f>
        <v>WBGene00005931</v>
      </c>
      <c r="B10936" s="9" t="str">
        <f>HYPERLINK("http://www.ncbi.nlm.nih.gov/gene/188182", "188182")</f>
        <v>188182</v>
      </c>
      <c r="C10936" s="9"/>
      <c r="D10936" t="str">
        <f>"fbxa-199"</f>
        <v>fbxa-199</v>
      </c>
      <c r="E10936" t="s">
        <v>467</v>
      </c>
      <c r="F10936" t="s">
        <v>11</v>
      </c>
      <c r="G10936" t="s">
        <v>25</v>
      </c>
      <c r="H10936" s="12">
        <v>3.3287535779255002</v>
      </c>
      <c r="I10936" s="20">
        <v>0.62270831115432401</v>
      </c>
      <c r="J10936" s="28">
        <v>0.53347622011143803</v>
      </c>
      <c r="K10936" s="29">
        <v>0.98289565623980701</v>
      </c>
    </row>
    <row r="10937" spans="1:11" x14ac:dyDescent="0.35">
      <c r="A10937" s="9" t="str">
        <f>HYPERLINK("http://www.ensembl.org/id/WBGene00011752", "WBGene00011752")</f>
        <v>WBGene00011752</v>
      </c>
      <c r="B10937" s="9" t="str">
        <f>HYPERLINK("http://www.ncbi.nlm.nih.gov/gene/180091", "180091")</f>
        <v>180091</v>
      </c>
      <c r="C10937" s="9"/>
      <c r="D10937" t="str">
        <f>"fbxa-2"</f>
        <v>fbxa-2</v>
      </c>
      <c r="E10937" t="s">
        <v>467</v>
      </c>
      <c r="F10937" t="s">
        <v>11</v>
      </c>
      <c r="G10937" t="s">
        <v>54</v>
      </c>
      <c r="H10937" s="12">
        <v>1.3173670535942199</v>
      </c>
      <c r="I10937" s="20">
        <v>0.60371862766776097</v>
      </c>
      <c r="J10937" s="28">
        <v>0.54603072742764303</v>
      </c>
      <c r="K10937" s="29">
        <v>0.98289565623980701</v>
      </c>
    </row>
    <row r="10938" spans="1:11" x14ac:dyDescent="0.35">
      <c r="A10938" s="9" t="str">
        <f>HYPERLINK("http://www.ensembl.org/id/WBGene00020304", "WBGene00020304")</f>
        <v>WBGene00020304</v>
      </c>
      <c r="B10938" s="9"/>
      <c r="C10938" s="9"/>
      <c r="D10938" t="str">
        <f>"fbxa-200"</f>
        <v>fbxa-200</v>
      </c>
      <c r="F10938" t="s">
        <v>80</v>
      </c>
      <c r="H10938" s="12">
        <v>-1.9814275395691801</v>
      </c>
      <c r="I10938" s="20">
        <v>-0.94214601653445396</v>
      </c>
      <c r="J10938" s="28">
        <v>0.34611788777837899</v>
      </c>
      <c r="K10938" s="29">
        <v>0.98289565623980701</v>
      </c>
    </row>
    <row r="10939" spans="1:11" x14ac:dyDescent="0.35">
      <c r="A10939" s="9" t="str">
        <f>HYPERLINK("http://www.ensembl.org/id/WBGene00020890", "WBGene00020890")</f>
        <v>WBGene00020890</v>
      </c>
      <c r="B10939" s="9" t="str">
        <f>HYPERLINK("http://www.ncbi.nlm.nih.gov/gene/189038", "189038")</f>
        <v>189038</v>
      </c>
      <c r="C10939" s="9"/>
      <c r="D10939" t="str">
        <f>"fbxa-202"</f>
        <v>fbxa-202</v>
      </c>
      <c r="E10939" t="s">
        <v>467</v>
      </c>
      <c r="F10939" t="s">
        <v>11</v>
      </c>
      <c r="G10939" t="s">
        <v>54</v>
      </c>
      <c r="H10939" s="12">
        <v>5.9522811885114004</v>
      </c>
      <c r="I10939" s="20">
        <v>1.0101475597859499</v>
      </c>
      <c r="J10939" s="28">
        <v>0.31242459909321202</v>
      </c>
      <c r="K10939" s="29">
        <v>0.98289565623980701</v>
      </c>
    </row>
    <row r="10940" spans="1:11" x14ac:dyDescent="0.35">
      <c r="A10940" s="9" t="str">
        <f>HYPERLINK("http://www.ensembl.org/id/WBGene00021037", "WBGene00021037")</f>
        <v>WBGene00021037</v>
      </c>
      <c r="B10940" s="9"/>
      <c r="C10940" s="9"/>
      <c r="D10940" t="str">
        <f>"fbxa-203"</f>
        <v>fbxa-203</v>
      </c>
      <c r="F10940" t="s">
        <v>80</v>
      </c>
      <c r="H10940" s="12">
        <v>-1.52078468798415</v>
      </c>
      <c r="I10940" s="20">
        <v>-0.51607683688793105</v>
      </c>
      <c r="J10940" s="28">
        <v>0.60580074504329096</v>
      </c>
      <c r="K10940" s="29">
        <v>0.98289565623980701</v>
      </c>
    </row>
    <row r="10941" spans="1:11" x14ac:dyDescent="0.35">
      <c r="A10941" s="9" t="str">
        <f>HYPERLINK("http://www.ensembl.org/id/WBGene00013612", "WBGene00013612")</f>
        <v>WBGene00013612</v>
      </c>
      <c r="B10941" s="9"/>
      <c r="C10941" s="9"/>
      <c r="D10941" t="str">
        <f>"fbxa-207"</f>
        <v>fbxa-207</v>
      </c>
      <c r="F10941" t="s">
        <v>80</v>
      </c>
      <c r="H10941" s="12">
        <v>-2.1360145028779498</v>
      </c>
      <c r="I10941" s="20">
        <v>-1.11361875464283</v>
      </c>
      <c r="J10941" s="28">
        <v>0.26544277711649</v>
      </c>
      <c r="K10941" s="29">
        <v>0.98289565623980701</v>
      </c>
    </row>
    <row r="10942" spans="1:11" x14ac:dyDescent="0.35">
      <c r="A10942" s="9" t="str">
        <f>HYPERLINK("http://www.ensembl.org/id/WBGene00022487", "WBGene00022487")</f>
        <v>WBGene00022487</v>
      </c>
      <c r="B10942" s="9" t="str">
        <f>HYPERLINK("http://www.ncbi.nlm.nih.gov/gene/191042", "191042")</f>
        <v>191042</v>
      </c>
      <c r="C10942" s="9"/>
      <c r="D10942" t="str">
        <f>"fbxa-21"</f>
        <v>fbxa-21</v>
      </c>
      <c r="E10942" t="s">
        <v>467</v>
      </c>
      <c r="F10942" t="s">
        <v>11</v>
      </c>
      <c r="H10942" s="12">
        <v>-1.2363943576807099</v>
      </c>
      <c r="I10942" s="20">
        <v>-0.69138019749219803</v>
      </c>
      <c r="J10942" s="28">
        <v>0.48932664521661401</v>
      </c>
      <c r="K10942" s="29">
        <v>0.98289565623980701</v>
      </c>
    </row>
    <row r="10943" spans="1:11" x14ac:dyDescent="0.35">
      <c r="A10943" s="9" t="str">
        <f>HYPERLINK("http://www.ensembl.org/id/WBGene00012568", "WBGene00012568")</f>
        <v>WBGene00012568</v>
      </c>
      <c r="B10943" s="9"/>
      <c r="C10943" s="9"/>
      <c r="D10943" t="str">
        <f>"fbxa-212"</f>
        <v>fbxa-212</v>
      </c>
      <c r="F10943" t="s">
        <v>80</v>
      </c>
      <c r="H10943" s="12">
        <v>-2.1072135274700599</v>
      </c>
      <c r="I10943" s="20">
        <v>-0.91187581648899696</v>
      </c>
      <c r="J10943" s="28">
        <v>0.361834093458682</v>
      </c>
      <c r="K10943" s="29">
        <v>0.98289565623980701</v>
      </c>
    </row>
    <row r="10944" spans="1:11" x14ac:dyDescent="0.35">
      <c r="A10944" s="9" t="str">
        <f>HYPERLINK("http://www.ensembl.org/id/WBGene00012953", "WBGene00012953")</f>
        <v>WBGene00012953</v>
      </c>
      <c r="B10944" s="9" t="str">
        <f>HYPERLINK("http://www.ncbi.nlm.nih.gov/gene/190001", "190001")</f>
        <v>190001</v>
      </c>
      <c r="C10944" s="9"/>
      <c r="D10944" t="str">
        <f>"fbxa-216"</f>
        <v>fbxa-216</v>
      </c>
      <c r="E10944" t="s">
        <v>467</v>
      </c>
      <c r="F10944" t="s">
        <v>11</v>
      </c>
      <c r="G10944" t="s">
        <v>54</v>
      </c>
      <c r="H10944" s="12">
        <v>1.18606074702605</v>
      </c>
      <c r="I10944" s="20">
        <v>0.33278166217769301</v>
      </c>
      <c r="J10944" s="28">
        <v>0.73929910151183698</v>
      </c>
      <c r="K10944" s="29">
        <v>0.98289565623980701</v>
      </c>
    </row>
    <row r="10945" spans="1:11" x14ac:dyDescent="0.35">
      <c r="A10945" s="9" t="str">
        <f>HYPERLINK("http://www.ensembl.org/id/WBGene00012954", "WBGene00012954")</f>
        <v>WBGene00012954</v>
      </c>
      <c r="B10945" s="9"/>
      <c r="C10945" s="9"/>
      <c r="D10945" t="str">
        <f>"fbxa-217"</f>
        <v>fbxa-217</v>
      </c>
      <c r="F10945" t="s">
        <v>80</v>
      </c>
      <c r="H10945" s="12">
        <v>-1.66709469013214</v>
      </c>
      <c r="I10945" s="20">
        <v>-0.94889189358424098</v>
      </c>
      <c r="J10945" s="28">
        <v>0.34267559790769397</v>
      </c>
      <c r="K10945" s="29">
        <v>0.98289565623980701</v>
      </c>
    </row>
    <row r="10946" spans="1:11" x14ac:dyDescent="0.35">
      <c r="A10946" s="9" t="str">
        <f>HYPERLINK("http://www.ensembl.org/id/WBGene00013036", "WBGene00013036")</f>
        <v>WBGene00013036</v>
      </c>
      <c r="B10946" s="9" t="str">
        <f>HYPERLINK("http://www.ncbi.nlm.nih.gov/gene/176670", "176670")</f>
        <v>176670</v>
      </c>
      <c r="C10946" s="9"/>
      <c r="D10946" t="str">
        <f>"fbxa-218"</f>
        <v>fbxa-218</v>
      </c>
      <c r="E10946" t="s">
        <v>467</v>
      </c>
      <c r="F10946" t="s">
        <v>11</v>
      </c>
      <c r="H10946" s="12">
        <v>1.7879855107861</v>
      </c>
      <c r="I10946" s="20">
        <v>0.515888017046636</v>
      </c>
      <c r="J10946" s="28">
        <v>0.60593262380829105</v>
      </c>
      <c r="K10946" s="29">
        <v>0.98289565623980701</v>
      </c>
    </row>
    <row r="10947" spans="1:11" x14ac:dyDescent="0.35">
      <c r="A10947" s="9" t="str">
        <f>HYPERLINK("http://www.ensembl.org/id/WBGene00013421", "WBGene00013421")</f>
        <v>WBGene00013421</v>
      </c>
      <c r="B10947" s="9" t="str">
        <f>HYPERLINK("http://www.ncbi.nlm.nih.gov/gene/190489", "190489")</f>
        <v>190489</v>
      </c>
      <c r="C10947" s="9"/>
      <c r="D10947" t="str">
        <f>"fbxa-220"</f>
        <v>fbxa-220</v>
      </c>
      <c r="E10947" t="s">
        <v>467</v>
      </c>
      <c r="F10947" t="s">
        <v>11</v>
      </c>
      <c r="H10947" s="12">
        <v>2.65466114930787</v>
      </c>
      <c r="I10947" s="20">
        <v>0.85197829460728403</v>
      </c>
      <c r="J10947" s="28">
        <v>0.39422613918661498</v>
      </c>
      <c r="K10947" s="29">
        <v>0.98289565623980701</v>
      </c>
    </row>
    <row r="10948" spans="1:11" x14ac:dyDescent="0.35">
      <c r="A10948" s="9" t="str">
        <f>HYPERLINK("http://www.ensembl.org/id/WBGene00045295", "WBGene00045295")</f>
        <v>WBGene00045295</v>
      </c>
      <c r="B10948" s="9" t="str">
        <f>HYPERLINK("http://www.ncbi.nlm.nih.gov/gene/6418873", "6418873")</f>
        <v>6418873</v>
      </c>
      <c r="C10948" s="9"/>
      <c r="D10948" t="str">
        <f>"fbxa-222"</f>
        <v>fbxa-222</v>
      </c>
      <c r="E10948" t="s">
        <v>467</v>
      </c>
      <c r="F10948" t="s">
        <v>11</v>
      </c>
      <c r="G10948" t="s">
        <v>54</v>
      </c>
      <c r="H10948" s="12">
        <v>1.7010515524374199</v>
      </c>
      <c r="I10948" s="20">
        <v>0.59741223931472298</v>
      </c>
      <c r="J10948" s="28">
        <v>0.55023218418396103</v>
      </c>
      <c r="K10948" s="29">
        <v>0.98289565623980701</v>
      </c>
    </row>
    <row r="10949" spans="1:11" x14ac:dyDescent="0.35">
      <c r="A10949" s="9" t="str">
        <f>HYPERLINK("http://www.ensembl.org/id/WBGene00022890", "WBGene00022890")</f>
        <v>WBGene00022890</v>
      </c>
      <c r="B10949" s="9" t="str">
        <f>HYPERLINK("http://www.ncbi.nlm.nih.gov/gene/191557", "191557")</f>
        <v>191557</v>
      </c>
      <c r="C10949" s="9"/>
      <c r="D10949" t="str">
        <f>"fbxa-224"</f>
        <v>fbxa-224</v>
      </c>
      <c r="E10949" t="s">
        <v>4276</v>
      </c>
      <c r="F10949" t="s">
        <v>11</v>
      </c>
      <c r="G10949" t="s">
        <v>54</v>
      </c>
      <c r="H10949" s="12">
        <v>4.4454298908329104</v>
      </c>
      <c r="I10949" s="20">
        <v>0.49336101450555597</v>
      </c>
      <c r="J10949" s="28">
        <v>0.62175752365155801</v>
      </c>
      <c r="K10949" s="29">
        <v>0.98289565623980701</v>
      </c>
    </row>
    <row r="10950" spans="1:11" x14ac:dyDescent="0.35">
      <c r="A10950" s="9" t="str">
        <f>HYPERLINK("http://www.ensembl.org/id/WBGene00020459", "WBGene00020459")</f>
        <v>WBGene00020459</v>
      </c>
      <c r="B10950" s="9" t="str">
        <f>HYPERLINK("http://www.ncbi.nlm.nih.gov/gene/188450", "188450")</f>
        <v>188450</v>
      </c>
      <c r="C10950" s="9"/>
      <c r="D10950" t="str">
        <f>"fbxa-23"</f>
        <v>fbxa-23</v>
      </c>
      <c r="E10950" t="s">
        <v>467</v>
      </c>
      <c r="F10950" t="s">
        <v>11</v>
      </c>
      <c r="H10950" s="12">
        <v>-1.5438797411124701</v>
      </c>
      <c r="I10950" s="20">
        <v>-0.52426970163893905</v>
      </c>
      <c r="J10950" s="28">
        <v>0.60009096720492605</v>
      </c>
      <c r="K10950" s="29">
        <v>0.98289565623980701</v>
      </c>
    </row>
    <row r="10951" spans="1:11" x14ac:dyDescent="0.35">
      <c r="A10951" s="9" t="str">
        <f>HYPERLINK("http://www.ensembl.org/id/WBGene00022321", "WBGene00022321")</f>
        <v>WBGene00022321</v>
      </c>
      <c r="B10951" s="9" t="str">
        <f>HYPERLINK("http://www.ncbi.nlm.nih.gov/gene/190753", "190753")</f>
        <v>190753</v>
      </c>
      <c r="C10951" s="9"/>
      <c r="D10951" t="str">
        <f>"fbxa-25"</f>
        <v>fbxa-25</v>
      </c>
      <c r="E10951" t="s">
        <v>467</v>
      </c>
      <c r="F10951" t="s">
        <v>11</v>
      </c>
      <c r="G10951" t="s">
        <v>54</v>
      </c>
      <c r="H10951" s="12">
        <v>-5.1720206078314801</v>
      </c>
      <c r="I10951" s="20">
        <v>-0.78874717708743403</v>
      </c>
      <c r="J10951" s="28">
        <v>0.43025978837831302</v>
      </c>
      <c r="K10951" s="29">
        <v>0.98289565623980701</v>
      </c>
    </row>
    <row r="10952" spans="1:11" x14ac:dyDescent="0.35">
      <c r="A10952" s="9" t="str">
        <f>HYPERLINK("http://www.ensembl.org/id/WBGene00022333", "WBGene00022333")</f>
        <v>WBGene00022333</v>
      </c>
      <c r="B10952" s="9" t="str">
        <f>HYPERLINK("http://www.ncbi.nlm.nih.gov/gene/190764", "190764")</f>
        <v>190764</v>
      </c>
      <c r="C10952" s="9"/>
      <c r="D10952" t="str">
        <f>"fbxa-27"</f>
        <v>fbxa-27</v>
      </c>
      <c r="E10952" t="s">
        <v>467</v>
      </c>
      <c r="F10952" t="s">
        <v>11</v>
      </c>
      <c r="H10952" s="12">
        <v>-1.2800252433580199</v>
      </c>
      <c r="I10952" s="20">
        <v>-0.46361715511496498</v>
      </c>
      <c r="J10952" s="28">
        <v>0.64292206125418905</v>
      </c>
      <c r="K10952" s="29">
        <v>0.98289565623980701</v>
      </c>
    </row>
    <row r="10953" spans="1:11" x14ac:dyDescent="0.35">
      <c r="A10953" s="9" t="str">
        <f>HYPERLINK("http://www.ensembl.org/id/WBGene00013836", "WBGene00013836")</f>
        <v>WBGene00013836</v>
      </c>
      <c r="B10953" s="9" t="str">
        <f>HYPERLINK("http://www.ncbi.nlm.nih.gov/gene/191056", "191056")</f>
        <v>191056</v>
      </c>
      <c r="C10953" s="9"/>
      <c r="D10953" t="str">
        <f>"fbxa-29"</f>
        <v>fbxa-29</v>
      </c>
      <c r="E10953" t="s">
        <v>467</v>
      </c>
      <c r="F10953" t="s">
        <v>11</v>
      </c>
      <c r="G10953" t="s">
        <v>54</v>
      </c>
      <c r="H10953" s="12">
        <v>-1.4997964033778</v>
      </c>
      <c r="I10953" s="20">
        <v>-1.0015433078179801</v>
      </c>
      <c r="J10953" s="28">
        <v>0.31656421356657499</v>
      </c>
      <c r="K10953" s="29">
        <v>0.98289565623980701</v>
      </c>
    </row>
    <row r="10954" spans="1:11" x14ac:dyDescent="0.35">
      <c r="A10954" s="9" t="str">
        <f>HYPERLINK("http://www.ensembl.org/id/WBGene00013837", "WBGene00013837")</f>
        <v>WBGene00013837</v>
      </c>
      <c r="B10954" s="9" t="str">
        <f>HYPERLINK("http://www.ncbi.nlm.nih.gov/gene/191058", "191058")</f>
        <v>191058</v>
      </c>
      <c r="C10954" s="9"/>
      <c r="D10954" t="str">
        <f>"fbxa-30"</f>
        <v>fbxa-30</v>
      </c>
      <c r="E10954" t="s">
        <v>467</v>
      </c>
      <c r="F10954" t="s">
        <v>11</v>
      </c>
      <c r="G10954" t="s">
        <v>2543</v>
      </c>
      <c r="H10954" s="12">
        <v>-1.3232934806915799</v>
      </c>
      <c r="I10954" s="20">
        <v>-0.38734225701554298</v>
      </c>
      <c r="J10954" s="28">
        <v>0.69850284580877198</v>
      </c>
      <c r="K10954" s="29">
        <v>0.98289565623980701</v>
      </c>
    </row>
    <row r="10955" spans="1:11" x14ac:dyDescent="0.35">
      <c r="A10955" s="9" t="str">
        <f>HYPERLINK("http://www.ensembl.org/id/WBGene00013841", "WBGene00013841")</f>
        <v>WBGene00013841</v>
      </c>
      <c r="B10955" s="9"/>
      <c r="C10955" s="9"/>
      <c r="D10955" t="str">
        <f>"fbxa-33"</f>
        <v>fbxa-33</v>
      </c>
      <c r="F10955" t="s">
        <v>80</v>
      </c>
      <c r="H10955" s="12">
        <v>-1.2635489728210201</v>
      </c>
      <c r="I10955" s="20">
        <v>-0.79618646605523902</v>
      </c>
      <c r="J10955" s="28">
        <v>0.42592366276605398</v>
      </c>
      <c r="K10955" s="29">
        <v>0.98289565623980701</v>
      </c>
    </row>
    <row r="10956" spans="1:11" x14ac:dyDescent="0.35">
      <c r="A10956" s="9" t="str">
        <f>HYPERLINK("http://www.ensembl.org/id/WBGene00022478", "WBGene00022478")</f>
        <v>WBGene00022478</v>
      </c>
      <c r="B10956" s="9" t="str">
        <f>HYPERLINK("http://www.ncbi.nlm.nih.gov/gene/191034", "191034")</f>
        <v>191034</v>
      </c>
      <c r="C10956" s="9"/>
      <c r="D10956" t="str">
        <f>"fbxa-35"</f>
        <v>fbxa-35</v>
      </c>
      <c r="E10956" t="s">
        <v>467</v>
      </c>
      <c r="F10956" t="s">
        <v>11</v>
      </c>
      <c r="G10956" t="s">
        <v>54</v>
      </c>
      <c r="H10956" s="12">
        <v>2.5422130177538</v>
      </c>
      <c r="I10956" s="20">
        <v>1.1617572405733501</v>
      </c>
      <c r="J10956" s="28">
        <v>0.24533408735303899</v>
      </c>
      <c r="K10956" s="29">
        <v>0.98289565623980701</v>
      </c>
    </row>
    <row r="10957" spans="1:11" x14ac:dyDescent="0.35">
      <c r="A10957" s="9" t="str">
        <f>HYPERLINK("http://www.ensembl.org/id/WBGene00044672", "WBGene00044672")</f>
        <v>WBGene00044672</v>
      </c>
      <c r="B10957" s="9" t="str">
        <f>HYPERLINK("http://www.ncbi.nlm.nih.gov/gene/4363036", "4363036")</f>
        <v>4363036</v>
      </c>
      <c r="C10957" s="9"/>
      <c r="D10957" t="str">
        <f>"fbxa-4"</f>
        <v>fbxa-4</v>
      </c>
      <c r="E10957" t="s">
        <v>467</v>
      </c>
      <c r="F10957" t="s">
        <v>11</v>
      </c>
      <c r="G10957" t="s">
        <v>54</v>
      </c>
      <c r="H10957" s="12">
        <v>1.2644738910342499</v>
      </c>
      <c r="I10957" s="20">
        <v>0.80909657781297095</v>
      </c>
      <c r="J10957" s="28">
        <v>0.41845959657299697</v>
      </c>
      <c r="K10957" s="29">
        <v>0.98289565623980701</v>
      </c>
    </row>
    <row r="10958" spans="1:11" x14ac:dyDescent="0.35">
      <c r="A10958" s="9" t="str">
        <f>HYPERLINK("http://www.ensembl.org/id/WBGene00044676", "WBGene00044676")</f>
        <v>WBGene00044676</v>
      </c>
      <c r="B10958" s="9" t="str">
        <f>HYPERLINK("http://www.ncbi.nlm.nih.gov/gene/4363055", "4363055")</f>
        <v>4363055</v>
      </c>
      <c r="C10958" s="9"/>
      <c r="D10958" t="str">
        <f>"fbxa-42"</f>
        <v>fbxa-42</v>
      </c>
      <c r="E10958" t="s">
        <v>467</v>
      </c>
      <c r="F10958" t="s">
        <v>11</v>
      </c>
      <c r="G10958" t="s">
        <v>54</v>
      </c>
      <c r="H10958" s="12">
        <v>1.2508184224209999</v>
      </c>
      <c r="I10958" s="20">
        <v>0.41586948758616699</v>
      </c>
      <c r="J10958" s="28">
        <v>0.67750550798041498</v>
      </c>
      <c r="K10958" s="29">
        <v>0.98289565623980701</v>
      </c>
    </row>
    <row r="10959" spans="1:11" x14ac:dyDescent="0.35">
      <c r="A10959" s="9" t="str">
        <f>HYPERLINK("http://www.ensembl.org/id/WBGene00020638", "WBGene00020638")</f>
        <v>WBGene00020638</v>
      </c>
      <c r="B10959" s="9" t="str">
        <f>HYPERLINK("http://www.ncbi.nlm.nih.gov/gene/188665", "188665")</f>
        <v>188665</v>
      </c>
      <c r="C10959" s="9"/>
      <c r="D10959" t="str">
        <f>"fbxa-43"</f>
        <v>fbxa-43</v>
      </c>
      <c r="E10959" t="s">
        <v>467</v>
      </c>
      <c r="F10959" t="s">
        <v>11</v>
      </c>
      <c r="G10959" t="s">
        <v>54</v>
      </c>
      <c r="H10959" s="12">
        <v>2.4278281818996001</v>
      </c>
      <c r="I10959" s="20">
        <v>1.1072818211779401</v>
      </c>
      <c r="J10959" s="28">
        <v>0.26817210146515902</v>
      </c>
      <c r="K10959" s="29">
        <v>0.98289565623980701</v>
      </c>
    </row>
    <row r="10960" spans="1:11" x14ac:dyDescent="0.35">
      <c r="A10960" s="9" t="str">
        <f>HYPERLINK("http://www.ensembl.org/id/WBGene00008616", "WBGene00008616")</f>
        <v>WBGene00008616</v>
      </c>
      <c r="B10960" s="9" t="str">
        <f>HYPERLINK("http://www.ncbi.nlm.nih.gov/gene/184231", "184231")</f>
        <v>184231</v>
      </c>
      <c r="C10960" s="9"/>
      <c r="D10960" t="str">
        <f>"fbxa-44"</f>
        <v>fbxa-44</v>
      </c>
      <c r="E10960" t="s">
        <v>467</v>
      </c>
      <c r="F10960" t="s">
        <v>11</v>
      </c>
      <c r="G10960" t="s">
        <v>54</v>
      </c>
      <c r="H10960" s="12">
        <v>1.96464269009444</v>
      </c>
      <c r="I10960" s="20">
        <v>0.86474833331393197</v>
      </c>
      <c r="J10960" s="28">
        <v>0.38717693470757902</v>
      </c>
      <c r="K10960" s="29">
        <v>0.98289565623980701</v>
      </c>
    </row>
    <row r="10961" spans="1:11" x14ac:dyDescent="0.35">
      <c r="A10961" s="9" t="str">
        <f>HYPERLINK("http://www.ensembl.org/id/WBGene00008618", "WBGene00008618")</f>
        <v>WBGene00008618</v>
      </c>
      <c r="B10961" s="9" t="str">
        <f>HYPERLINK("http://www.ncbi.nlm.nih.gov/gene/184233", "184233")</f>
        <v>184233</v>
      </c>
      <c r="C10961" s="9"/>
      <c r="D10961" t="str">
        <f>"fbxa-45"</f>
        <v>fbxa-45</v>
      </c>
      <c r="E10961" t="s">
        <v>467</v>
      </c>
      <c r="F10961" t="s">
        <v>11</v>
      </c>
      <c r="G10961" t="s">
        <v>54</v>
      </c>
      <c r="H10961" s="12">
        <v>3.8593647544277601</v>
      </c>
      <c r="I10961" s="20">
        <v>0.67862628094851896</v>
      </c>
      <c r="J10961" s="28">
        <v>0.49737468643943</v>
      </c>
      <c r="K10961" s="29">
        <v>0.98289565623980701</v>
      </c>
    </row>
    <row r="10962" spans="1:11" x14ac:dyDescent="0.35">
      <c r="A10962" s="9" t="str">
        <f>HYPERLINK("http://www.ensembl.org/id/WBGene00018690", "WBGene00018690")</f>
        <v>WBGene00018690</v>
      </c>
      <c r="B10962" s="9" t="str">
        <f>HYPERLINK("http://www.ncbi.nlm.nih.gov/gene/186106", "186106")</f>
        <v>186106</v>
      </c>
      <c r="C10962" s="9"/>
      <c r="D10962" t="str">
        <f>"fbxa-46"</f>
        <v>fbxa-46</v>
      </c>
      <c r="E10962" t="s">
        <v>467</v>
      </c>
      <c r="F10962" t="s">
        <v>11</v>
      </c>
      <c r="G10962" t="s">
        <v>54</v>
      </c>
      <c r="H10962" s="12">
        <v>1.5211295539681999</v>
      </c>
      <c r="I10962" s="20">
        <v>0.55229091660375995</v>
      </c>
      <c r="J10962" s="28">
        <v>0.58074905292048096</v>
      </c>
      <c r="K10962" s="29">
        <v>0.98289565623980701</v>
      </c>
    </row>
    <row r="10963" spans="1:11" x14ac:dyDescent="0.35">
      <c r="A10963" s="9" t="str">
        <f>HYPERLINK("http://www.ensembl.org/id/WBGene00016527", "WBGene00016527")</f>
        <v>WBGene00016527</v>
      </c>
      <c r="B10963" s="9" t="str">
        <f>HYPERLINK("http://www.ncbi.nlm.nih.gov/gene/183328", "183328")</f>
        <v>183328</v>
      </c>
      <c r="C10963" s="9"/>
      <c r="D10963" t="str">
        <f>"fbxa-47"</f>
        <v>fbxa-47</v>
      </c>
      <c r="E10963" t="s">
        <v>467</v>
      </c>
      <c r="F10963" t="s">
        <v>11</v>
      </c>
      <c r="G10963" t="s">
        <v>54</v>
      </c>
      <c r="H10963" s="12">
        <v>5.8167546518197897</v>
      </c>
      <c r="I10963" s="20">
        <v>0.64169808733842404</v>
      </c>
      <c r="J10963" s="28">
        <v>0.52106923135193595</v>
      </c>
      <c r="K10963" s="29">
        <v>0.98289565623980701</v>
      </c>
    </row>
    <row r="10964" spans="1:11" x14ac:dyDescent="0.35">
      <c r="A10964" s="9" t="str">
        <f>HYPERLINK("http://www.ensembl.org/id/WBGene00021862", "WBGene00021862")</f>
        <v>WBGene00021862</v>
      </c>
      <c r="B10964" s="9" t="str">
        <f>HYPERLINK("http://www.ncbi.nlm.nih.gov/gene/190273", "190273")</f>
        <v>190273</v>
      </c>
      <c r="C10964" s="9"/>
      <c r="D10964" t="str">
        <f>"fbxa-48"</f>
        <v>fbxa-48</v>
      </c>
      <c r="E10964" t="s">
        <v>467</v>
      </c>
      <c r="F10964" t="s">
        <v>11</v>
      </c>
      <c r="G10964" t="s">
        <v>54</v>
      </c>
      <c r="H10964" s="12">
        <v>-1.88762052364462</v>
      </c>
      <c r="I10964" s="20">
        <v>-1.0378911821778001</v>
      </c>
      <c r="J10964" s="28">
        <v>0.29932071922072201</v>
      </c>
      <c r="K10964" s="29">
        <v>0.98289565623980701</v>
      </c>
    </row>
    <row r="10965" spans="1:11" x14ac:dyDescent="0.35">
      <c r="A10965" s="9" t="str">
        <f>HYPERLINK("http://www.ensembl.org/id/WBGene00013843", "WBGene00013843")</f>
        <v>WBGene00013843</v>
      </c>
      <c r="B10965" s="9"/>
      <c r="C10965" s="9"/>
      <c r="D10965" t="str">
        <f>"fbxa-49"</f>
        <v>fbxa-49</v>
      </c>
      <c r="F10965" t="s">
        <v>80</v>
      </c>
      <c r="H10965" s="12">
        <v>-1.2537051230228</v>
      </c>
      <c r="I10965" s="20">
        <v>-0.407467489442982</v>
      </c>
      <c r="J10965" s="28">
        <v>0.68366466723738695</v>
      </c>
      <c r="K10965" s="29">
        <v>0.98289565623980701</v>
      </c>
    </row>
    <row r="10966" spans="1:11" x14ac:dyDescent="0.35">
      <c r="A10966" s="9" t="str">
        <f>HYPERLINK("http://www.ensembl.org/id/WBGene00022325", "WBGene00022325")</f>
        <v>WBGene00022325</v>
      </c>
      <c r="B10966" s="9" t="str">
        <f>HYPERLINK("http://www.ncbi.nlm.nih.gov/gene/3565750", "3565750")</f>
        <v>3565750</v>
      </c>
      <c r="C10966" s="9"/>
      <c r="D10966" t="str">
        <f>"fbxa-5"</f>
        <v>fbxa-5</v>
      </c>
      <c r="E10966" t="s">
        <v>467</v>
      </c>
      <c r="F10966" t="s">
        <v>11</v>
      </c>
      <c r="G10966" t="s">
        <v>54</v>
      </c>
      <c r="H10966" s="12">
        <v>1.5706957195089799</v>
      </c>
      <c r="I10966" s="20">
        <v>1.00088425686982</v>
      </c>
      <c r="J10966" s="28">
        <v>0.31688276851136499</v>
      </c>
      <c r="K10966" s="29">
        <v>0.98289565623980701</v>
      </c>
    </row>
    <row r="10967" spans="1:11" x14ac:dyDescent="0.35">
      <c r="A10967" s="9" t="str">
        <f>HYPERLINK("http://www.ensembl.org/id/WBGene00013844", "WBGene00013844")</f>
        <v>WBGene00013844</v>
      </c>
      <c r="B10967" s="9" t="str">
        <f>HYPERLINK("http://www.ncbi.nlm.nih.gov/gene/191064", "191064")</f>
        <v>191064</v>
      </c>
      <c r="C10967" s="9"/>
      <c r="D10967" t="str">
        <f>"fbxa-50"</f>
        <v>fbxa-50</v>
      </c>
      <c r="E10967" t="s">
        <v>467</v>
      </c>
      <c r="F10967" t="s">
        <v>11</v>
      </c>
      <c r="G10967" t="s">
        <v>54</v>
      </c>
      <c r="H10967" s="12">
        <v>-1.29887384209682</v>
      </c>
      <c r="I10967" s="20">
        <v>-0.493815073153832</v>
      </c>
      <c r="J10967" s="28">
        <v>0.62143678698492899</v>
      </c>
      <c r="K10967" s="29">
        <v>0.98289565623980701</v>
      </c>
    </row>
    <row r="10968" spans="1:11" x14ac:dyDescent="0.35">
      <c r="A10968" s="9" t="str">
        <f>HYPERLINK("http://www.ensembl.org/id/WBGene00017225", "WBGene00017225")</f>
        <v>WBGene00017225</v>
      </c>
      <c r="B10968" s="9" t="str">
        <f>HYPERLINK("http://www.ncbi.nlm.nih.gov/gene/184153", "184153")</f>
        <v>184153</v>
      </c>
      <c r="C10968" s="9"/>
      <c r="D10968" t="str">
        <f>"fbxa-52"</f>
        <v>fbxa-52</v>
      </c>
      <c r="E10968" t="s">
        <v>467</v>
      </c>
      <c r="F10968" t="s">
        <v>11</v>
      </c>
      <c r="H10968" s="12">
        <v>3.4594603540848401</v>
      </c>
      <c r="I10968" s="20">
        <v>0.96585168186239401</v>
      </c>
      <c r="J10968" s="28">
        <v>0.33411840312617203</v>
      </c>
      <c r="K10968" s="29">
        <v>0.98289565623980701</v>
      </c>
    </row>
    <row r="10969" spans="1:11" x14ac:dyDescent="0.35">
      <c r="A10969" s="9" t="str">
        <f>HYPERLINK("http://www.ensembl.org/id/WBGene00020453", "WBGene00020453")</f>
        <v>WBGene00020453</v>
      </c>
      <c r="B10969" s="9" t="str">
        <f>HYPERLINK("http://www.ncbi.nlm.nih.gov/gene/188445", "188445")</f>
        <v>188445</v>
      </c>
      <c r="C10969" s="9"/>
      <c r="D10969" t="str">
        <f>"fbxa-55"</f>
        <v>fbxa-55</v>
      </c>
      <c r="E10969" t="s">
        <v>467</v>
      </c>
      <c r="F10969" t="s">
        <v>11</v>
      </c>
      <c r="G10969" t="s">
        <v>54</v>
      </c>
      <c r="H10969" s="12">
        <v>-1.47998034231833</v>
      </c>
      <c r="I10969" s="20">
        <v>-0.87179521917639302</v>
      </c>
      <c r="J10969" s="28">
        <v>0.38332010318614701</v>
      </c>
      <c r="K10969" s="29">
        <v>0.98289565623980701</v>
      </c>
    </row>
    <row r="10970" spans="1:11" x14ac:dyDescent="0.35">
      <c r="A10970" s="9" t="str">
        <f>HYPERLINK("http://www.ensembl.org/id/WBGene00016224", "WBGene00016224")</f>
        <v>WBGene00016224</v>
      </c>
      <c r="B10970" s="9"/>
      <c r="C10970" s="9"/>
      <c r="D10970" t="str">
        <f>"fbxa-57"</f>
        <v>fbxa-57</v>
      </c>
      <c r="F10970" t="s">
        <v>80</v>
      </c>
      <c r="H10970" s="12">
        <v>-1.53324070102446</v>
      </c>
      <c r="I10970" s="20">
        <v>-0.59474055262291303</v>
      </c>
      <c r="J10970" s="28">
        <v>0.552016910204292</v>
      </c>
      <c r="K10970" s="29">
        <v>0.98289565623980701</v>
      </c>
    </row>
    <row r="10971" spans="1:11" x14ac:dyDescent="0.35">
      <c r="A10971" s="9" t="str">
        <f>HYPERLINK("http://www.ensembl.org/id/WBGene00020455", "WBGene00020455")</f>
        <v>WBGene00020455</v>
      </c>
      <c r="B10971" s="9" t="str">
        <f>HYPERLINK("http://www.ncbi.nlm.nih.gov/gene/188447", "188447")</f>
        <v>188447</v>
      </c>
      <c r="C10971" s="9"/>
      <c r="D10971" t="str">
        <f>"fbxa-59"</f>
        <v>fbxa-59</v>
      </c>
      <c r="E10971" t="s">
        <v>467</v>
      </c>
      <c r="F10971" t="s">
        <v>11</v>
      </c>
      <c r="G10971" t="s">
        <v>2543</v>
      </c>
      <c r="H10971" s="12">
        <v>-1.1191818374001701</v>
      </c>
      <c r="I10971" s="20">
        <v>-0.35576550474301699</v>
      </c>
      <c r="J10971" s="28">
        <v>0.72201618433269998</v>
      </c>
      <c r="K10971" s="29">
        <v>0.98289565623980701</v>
      </c>
    </row>
    <row r="10972" spans="1:11" x14ac:dyDescent="0.35">
      <c r="A10972" s="9" t="str">
        <f>HYPERLINK("http://www.ensembl.org/id/WBGene00022485", "WBGene00022485")</f>
        <v>WBGene00022485</v>
      </c>
      <c r="B10972" s="9" t="str">
        <f>HYPERLINK("http://www.ncbi.nlm.nih.gov/gene/191040", "191040")</f>
        <v>191040</v>
      </c>
      <c r="C10972" s="9"/>
      <c r="D10972" t="str">
        <f>"fbxa-63"</f>
        <v>fbxa-63</v>
      </c>
      <c r="E10972" t="s">
        <v>467</v>
      </c>
      <c r="F10972" t="s">
        <v>11</v>
      </c>
      <c r="G10972" t="s">
        <v>54</v>
      </c>
      <c r="H10972" s="12">
        <v>-1.1944881219389201</v>
      </c>
      <c r="I10972" s="20">
        <v>-0.58522031318850998</v>
      </c>
      <c r="J10972" s="28">
        <v>0.55839958801567302</v>
      </c>
      <c r="K10972" s="29">
        <v>0.98289565623980701</v>
      </c>
    </row>
    <row r="10973" spans="1:11" x14ac:dyDescent="0.35">
      <c r="A10973" s="9" t="str">
        <f>HYPERLINK("http://www.ensembl.org/id/WBGene00015885", "WBGene00015885")</f>
        <v>WBGene00015885</v>
      </c>
      <c r="B10973" s="9" t="str">
        <f>HYPERLINK("http://www.ncbi.nlm.nih.gov/gene/182711", "182711")</f>
        <v>182711</v>
      </c>
      <c r="C10973" s="9"/>
      <c r="D10973" t="str">
        <f>"fbxa-65"</f>
        <v>fbxa-65</v>
      </c>
      <c r="E10973" t="s">
        <v>467</v>
      </c>
      <c r="F10973" t="s">
        <v>11</v>
      </c>
      <c r="G10973" t="s">
        <v>54</v>
      </c>
      <c r="H10973" s="12">
        <v>-1.0791294312664901</v>
      </c>
      <c r="I10973" s="20">
        <v>-0.33169788013764101</v>
      </c>
      <c r="J10973" s="28">
        <v>0.74011740154885097</v>
      </c>
      <c r="K10973" s="29">
        <v>0.98289565623980701</v>
      </c>
    </row>
    <row r="10974" spans="1:11" x14ac:dyDescent="0.35">
      <c r="A10974" s="9" t="str">
        <f>HYPERLINK("http://www.ensembl.org/id/WBGene00020641", "WBGene00020641")</f>
        <v>WBGene00020641</v>
      </c>
      <c r="B10974" s="9"/>
      <c r="C10974" s="9"/>
      <c r="D10974" t="str">
        <f>"fbxa-68"</f>
        <v>fbxa-68</v>
      </c>
      <c r="F10974" t="s">
        <v>80</v>
      </c>
      <c r="H10974" s="12">
        <v>-1.7739998499785901</v>
      </c>
      <c r="I10974" s="20">
        <v>-0.31409870690938002</v>
      </c>
      <c r="J10974" s="28">
        <v>0.75344607160940802</v>
      </c>
      <c r="K10974" s="29">
        <v>0.98289565623980701</v>
      </c>
    </row>
    <row r="10975" spans="1:11" x14ac:dyDescent="0.35">
      <c r="A10975" s="9" t="str">
        <f>HYPERLINK("http://www.ensembl.org/id/WBGene00020637", "WBGene00020637")</f>
        <v>WBGene00020637</v>
      </c>
      <c r="B10975" s="9" t="str">
        <f>HYPERLINK("http://www.ncbi.nlm.nih.gov/gene/188664", "188664")</f>
        <v>188664</v>
      </c>
      <c r="C10975" s="9"/>
      <c r="D10975" t="str">
        <f>"fbxa-7"</f>
        <v>fbxa-7</v>
      </c>
      <c r="E10975" t="s">
        <v>467</v>
      </c>
      <c r="F10975" t="s">
        <v>11</v>
      </c>
      <c r="G10975" t="s">
        <v>54</v>
      </c>
      <c r="H10975" s="12">
        <v>-2.0112209729644599</v>
      </c>
      <c r="I10975" s="20">
        <v>-0.33927677666211198</v>
      </c>
      <c r="J10975" s="28">
        <v>0.73440123577448002</v>
      </c>
      <c r="K10975" s="29">
        <v>0.98289565623980701</v>
      </c>
    </row>
    <row r="10976" spans="1:11" x14ac:dyDescent="0.35">
      <c r="A10976" s="9" t="str">
        <f>HYPERLINK("http://www.ensembl.org/id/WBGene00020458", "WBGene00020458")</f>
        <v>WBGene00020458</v>
      </c>
      <c r="B10976" s="9"/>
      <c r="C10976" s="9"/>
      <c r="D10976" t="str">
        <f>"fbxa-70"</f>
        <v>fbxa-70</v>
      </c>
      <c r="F10976" t="s">
        <v>80</v>
      </c>
      <c r="H10976" s="12">
        <v>-1.2218481513033801</v>
      </c>
      <c r="I10976" s="20">
        <v>-0.35850595122927398</v>
      </c>
      <c r="J10976" s="28">
        <v>0.71996471503181503</v>
      </c>
      <c r="K10976" s="29">
        <v>0.98289565623980701</v>
      </c>
    </row>
    <row r="10977" spans="1:11" x14ac:dyDescent="0.35">
      <c r="A10977" s="9" t="str">
        <f>HYPERLINK("http://www.ensembl.org/id/WBGene00020640", "WBGene00020640")</f>
        <v>WBGene00020640</v>
      </c>
      <c r="B10977" s="9" t="str">
        <f>HYPERLINK("http://www.ncbi.nlm.nih.gov/gene/188667", "188667")</f>
        <v>188667</v>
      </c>
      <c r="C10977" s="9"/>
      <c r="D10977" t="str">
        <f>"fbxa-73"</f>
        <v>fbxa-73</v>
      </c>
      <c r="E10977" t="s">
        <v>467</v>
      </c>
      <c r="F10977" t="s">
        <v>11</v>
      </c>
      <c r="G10977" t="s">
        <v>54</v>
      </c>
      <c r="H10977" s="12">
        <v>-1.4752418071604001</v>
      </c>
      <c r="I10977" s="20">
        <v>-0.352612992351719</v>
      </c>
      <c r="J10977" s="28">
        <v>0.72437859600615195</v>
      </c>
      <c r="K10977" s="29">
        <v>0.98289565623980701</v>
      </c>
    </row>
    <row r="10978" spans="1:11" x14ac:dyDescent="0.35">
      <c r="A10978" s="9" t="str">
        <f>HYPERLINK("http://www.ensembl.org/id/WBGene00021262", "WBGene00021262")</f>
        <v>WBGene00021262</v>
      </c>
      <c r="B10978" s="9" t="str">
        <f>HYPERLINK("http://www.ncbi.nlm.nih.gov/gene/189515", "189515")</f>
        <v>189515</v>
      </c>
      <c r="C10978" s="9"/>
      <c r="D10978" t="str">
        <f>"fbxa-74"</f>
        <v>fbxa-74</v>
      </c>
      <c r="E10978" t="s">
        <v>467</v>
      </c>
      <c r="F10978" t="s">
        <v>11</v>
      </c>
      <c r="G10978" t="s">
        <v>54</v>
      </c>
      <c r="H10978" s="12">
        <v>-1.1248439868828399</v>
      </c>
      <c r="I10978" s="20">
        <v>-0.37077993285845301</v>
      </c>
      <c r="J10978" s="28">
        <v>0.71080144894767305</v>
      </c>
      <c r="K10978" s="29">
        <v>0.98289565623980701</v>
      </c>
    </row>
    <row r="10979" spans="1:11" x14ac:dyDescent="0.35">
      <c r="A10979" s="9" t="str">
        <f>HYPERLINK("http://www.ensembl.org/id/WBGene00022476", "WBGene00022476")</f>
        <v>WBGene00022476</v>
      </c>
      <c r="B10979" s="9" t="str">
        <f>HYPERLINK("http://www.ncbi.nlm.nih.gov/gene/191032", "191032")</f>
        <v>191032</v>
      </c>
      <c r="C10979" s="9"/>
      <c r="D10979" t="str">
        <f>"fbxa-75"</f>
        <v>fbxa-75</v>
      </c>
      <c r="E10979" t="s">
        <v>467</v>
      </c>
      <c r="F10979" t="s">
        <v>11</v>
      </c>
      <c r="H10979" s="12">
        <v>-8.2766010178276606</v>
      </c>
      <c r="I10979" s="20">
        <v>-0.73435907710166004</v>
      </c>
      <c r="J10979" s="28">
        <v>0.46272992103605898</v>
      </c>
      <c r="K10979" s="29">
        <v>0.98289565623980701</v>
      </c>
    </row>
    <row r="10980" spans="1:11" x14ac:dyDescent="0.35">
      <c r="A10980" s="9" t="str">
        <f>HYPERLINK("http://www.ensembl.org/id/WBGene00044675", "WBGene00044675")</f>
        <v>WBGene00044675</v>
      </c>
      <c r="B10980" s="9" t="str">
        <f>HYPERLINK("http://www.ncbi.nlm.nih.gov/gene/4363050", "4363050")</f>
        <v>4363050</v>
      </c>
      <c r="C10980" s="9"/>
      <c r="D10980" t="str">
        <f>"fbxa-76"</f>
        <v>fbxa-76</v>
      </c>
      <c r="E10980" t="s">
        <v>467</v>
      </c>
      <c r="F10980" t="s">
        <v>11</v>
      </c>
      <c r="G10980" t="s">
        <v>54</v>
      </c>
      <c r="H10980" s="12">
        <v>1.14955622305955</v>
      </c>
      <c r="I10980" s="20">
        <v>0.48566689818331998</v>
      </c>
      <c r="J10980" s="28">
        <v>0.62720335669925997</v>
      </c>
      <c r="K10980" s="29">
        <v>0.98289565623980701</v>
      </c>
    </row>
    <row r="10981" spans="1:11" x14ac:dyDescent="0.35">
      <c r="A10981" s="9" t="str">
        <f>HYPERLINK("http://www.ensembl.org/id/WBGene00022484", "WBGene00022484")</f>
        <v>WBGene00022484</v>
      </c>
      <c r="B10981" s="9" t="str">
        <f>HYPERLINK("http://www.ncbi.nlm.nih.gov/gene/175290", "175290")</f>
        <v>175290</v>
      </c>
      <c r="C10981" s="9"/>
      <c r="D10981" t="str">
        <f>"fbxa-77"</f>
        <v>fbxa-77</v>
      </c>
      <c r="E10981" t="s">
        <v>467</v>
      </c>
      <c r="F10981" t="s">
        <v>11</v>
      </c>
      <c r="G10981" t="s">
        <v>54</v>
      </c>
      <c r="H10981" s="12">
        <v>-4.2912371281592003</v>
      </c>
      <c r="I10981" s="20">
        <v>-0.56372227087147897</v>
      </c>
      <c r="J10981" s="28">
        <v>0.572943158267888</v>
      </c>
      <c r="K10981" s="29">
        <v>0.98289565623980701</v>
      </c>
    </row>
    <row r="10982" spans="1:11" x14ac:dyDescent="0.35">
      <c r="A10982" s="9" t="str">
        <f>HYPERLINK("http://www.ensembl.org/id/WBGene00022329", "WBGene00022329")</f>
        <v>WBGene00022329</v>
      </c>
      <c r="B10982" s="9" t="str">
        <f>HYPERLINK("http://www.ncbi.nlm.nih.gov/gene/190760", "190760")</f>
        <v>190760</v>
      </c>
      <c r="C10982" s="9"/>
      <c r="D10982" t="str">
        <f>"fbxa-79"</f>
        <v>fbxa-79</v>
      </c>
      <c r="E10982" t="s">
        <v>467</v>
      </c>
      <c r="F10982" t="s">
        <v>11</v>
      </c>
      <c r="G10982" t="s">
        <v>54</v>
      </c>
      <c r="H10982" s="12">
        <v>-1.08919177780106</v>
      </c>
      <c r="I10982" s="20">
        <v>-0.346952862348686</v>
      </c>
      <c r="J10982" s="28">
        <v>0.72862673196306205</v>
      </c>
      <c r="K10982" s="29">
        <v>0.98289565623980701</v>
      </c>
    </row>
    <row r="10983" spans="1:11" x14ac:dyDescent="0.35">
      <c r="A10983" s="9" t="str">
        <f>HYPERLINK("http://www.ensembl.org/id/WBGene00016526", "WBGene00016526")</f>
        <v>WBGene00016526</v>
      </c>
      <c r="B10983" s="9"/>
      <c r="C10983" s="9"/>
      <c r="D10983" t="str">
        <f>"fbxa-8"</f>
        <v>fbxa-8</v>
      </c>
      <c r="F10983" t="s">
        <v>80</v>
      </c>
      <c r="H10983" s="12">
        <v>3.96717629464532</v>
      </c>
      <c r="I10983" s="20">
        <v>0.45862218578449998</v>
      </c>
      <c r="J10983" s="28">
        <v>0.64650550194479495</v>
      </c>
      <c r="K10983" s="29">
        <v>0.98289565623980701</v>
      </c>
    </row>
    <row r="10984" spans="1:11" x14ac:dyDescent="0.35">
      <c r="A10984" s="9" t="str">
        <f>HYPERLINK("http://www.ensembl.org/id/WBGene00022330", "WBGene00022330")</f>
        <v>WBGene00022330</v>
      </c>
      <c r="B10984" s="9" t="str">
        <f>HYPERLINK("http://www.ncbi.nlm.nih.gov/gene/190761", "190761")</f>
        <v>190761</v>
      </c>
      <c r="C10984" s="9"/>
      <c r="D10984" t="str">
        <f>"fbxa-80"</f>
        <v>fbxa-80</v>
      </c>
      <c r="E10984" t="s">
        <v>467</v>
      </c>
      <c r="F10984" t="s">
        <v>11</v>
      </c>
      <c r="G10984" t="s">
        <v>54</v>
      </c>
      <c r="H10984" s="12">
        <v>-1.3135846752967</v>
      </c>
      <c r="I10984" s="20">
        <v>-0.779651570742248</v>
      </c>
      <c r="J10984" s="28">
        <v>0.43559599200501298</v>
      </c>
      <c r="K10984" s="29">
        <v>0.98289565623980701</v>
      </c>
    </row>
    <row r="10985" spans="1:11" x14ac:dyDescent="0.35">
      <c r="A10985" s="9" t="str">
        <f>HYPERLINK("http://www.ensembl.org/id/WBGene00011983", "WBGene00011983")</f>
        <v>WBGene00011983</v>
      </c>
      <c r="B10985" s="9" t="str">
        <f>HYPERLINK("http://www.ncbi.nlm.nih.gov/gene/188841", "188841")</f>
        <v>188841</v>
      </c>
      <c r="C10985" s="9"/>
      <c r="D10985" t="str">
        <f>"fbxa-81"</f>
        <v>fbxa-81</v>
      </c>
      <c r="E10985" t="s">
        <v>467</v>
      </c>
      <c r="F10985" t="s">
        <v>11</v>
      </c>
      <c r="G10985" t="s">
        <v>54</v>
      </c>
      <c r="H10985" s="12">
        <v>-2.4084616923684501</v>
      </c>
      <c r="I10985" s="20">
        <v>-0.50576259153905101</v>
      </c>
      <c r="J10985" s="28">
        <v>0.61302332250176395</v>
      </c>
      <c r="K10985" s="29">
        <v>0.98289565623980701</v>
      </c>
    </row>
    <row r="10986" spans="1:11" x14ac:dyDescent="0.35">
      <c r="A10986" s="9" t="str">
        <f>HYPERLINK("http://www.ensembl.org/id/WBGene00007716", "WBGene00007716")</f>
        <v>WBGene00007716</v>
      </c>
      <c r="B10986" s="9" t="str">
        <f>HYPERLINK("http://www.ncbi.nlm.nih.gov/gene/182883", "182883")</f>
        <v>182883</v>
      </c>
      <c r="C10986" s="9"/>
      <c r="D10986" t="str">
        <f>"fbxa-82"</f>
        <v>fbxa-82</v>
      </c>
      <c r="E10986" t="s">
        <v>467</v>
      </c>
      <c r="F10986" t="s">
        <v>11</v>
      </c>
      <c r="G10986" t="s">
        <v>54</v>
      </c>
      <c r="H10986" s="12">
        <v>-1.3908028746574199</v>
      </c>
      <c r="I10986" s="20">
        <v>-0.55007660278722803</v>
      </c>
      <c r="J10986" s="28">
        <v>0.58226683377322896</v>
      </c>
      <c r="K10986" s="29">
        <v>0.98289565623980701</v>
      </c>
    </row>
    <row r="10987" spans="1:11" x14ac:dyDescent="0.35">
      <c r="A10987" s="9" t="str">
        <f>HYPERLINK("http://www.ensembl.org/id/WBGene00044660", "WBGene00044660")</f>
        <v>WBGene00044660</v>
      </c>
      <c r="B10987" s="9"/>
      <c r="C10987" s="9"/>
      <c r="D10987" t="str">
        <f>"fbxa-87"</f>
        <v>fbxa-87</v>
      </c>
      <c r="F10987" t="s">
        <v>80</v>
      </c>
      <c r="H10987" s="12">
        <v>-1.4359938409977999</v>
      </c>
      <c r="I10987" s="20">
        <v>-0.93318343838064799</v>
      </c>
      <c r="J10987" s="28">
        <v>0.350725264243473</v>
      </c>
      <c r="K10987" s="29">
        <v>0.98289565623980701</v>
      </c>
    </row>
    <row r="10988" spans="1:11" x14ac:dyDescent="0.35">
      <c r="A10988" s="9" t="str">
        <f>HYPERLINK("http://www.ensembl.org/id/WBGene00021860", "WBGene00021860")</f>
        <v>WBGene00021860</v>
      </c>
      <c r="B10988" s="9" t="str">
        <f>HYPERLINK("http://www.ncbi.nlm.nih.gov/gene/190271", "190271")</f>
        <v>190271</v>
      </c>
      <c r="C10988" s="9"/>
      <c r="D10988" t="str">
        <f>"fbxa-9"</f>
        <v>fbxa-9</v>
      </c>
      <c r="E10988" t="s">
        <v>467</v>
      </c>
      <c r="F10988" t="s">
        <v>11</v>
      </c>
      <c r="G10988" t="s">
        <v>54</v>
      </c>
      <c r="H10988" s="12">
        <v>-1.59711988257738</v>
      </c>
      <c r="I10988" s="20">
        <v>-0.49336842614882798</v>
      </c>
      <c r="J10988" s="28">
        <v>0.62175228765886503</v>
      </c>
      <c r="K10988" s="29">
        <v>0.98289565623980701</v>
      </c>
    </row>
    <row r="10989" spans="1:11" x14ac:dyDescent="0.35">
      <c r="A10989" s="9" t="str">
        <f>HYPERLINK("http://www.ensembl.org/id/WBGene00022494", "WBGene00022494")</f>
        <v>WBGene00022494</v>
      </c>
      <c r="B10989" s="9"/>
      <c r="C10989" s="9"/>
      <c r="D10989" t="str">
        <f>"fbxa-91"</f>
        <v>fbxa-91</v>
      </c>
      <c r="F10989" t="s">
        <v>80</v>
      </c>
      <c r="H10989" s="12">
        <v>-3.5819448292659501</v>
      </c>
      <c r="I10989" s="20">
        <v>-0.37337717500031398</v>
      </c>
      <c r="J10989" s="28">
        <v>0.70886774492290605</v>
      </c>
      <c r="K10989" s="29">
        <v>0.98289565623980701</v>
      </c>
    </row>
    <row r="10990" spans="1:11" x14ac:dyDescent="0.35">
      <c r="A10990" s="9" t="str">
        <f>HYPERLINK("http://www.ensembl.org/id/WBGene00009225", "WBGene00009225")</f>
        <v>WBGene00009225</v>
      </c>
      <c r="B10990" s="9" t="str">
        <f>HYPERLINK("http://www.ncbi.nlm.nih.gov/gene/3564999", "3564999")</f>
        <v>3564999</v>
      </c>
      <c r="C10990" s="9"/>
      <c r="D10990" t="str">
        <f>"fbxa-94"</f>
        <v>fbxa-94</v>
      </c>
      <c r="E10990" t="s">
        <v>467</v>
      </c>
      <c r="F10990" t="s">
        <v>11</v>
      </c>
      <c r="G10990" t="s">
        <v>54</v>
      </c>
      <c r="H10990" s="12">
        <v>-2.97485532438056</v>
      </c>
      <c r="I10990" s="20">
        <v>-0.78464357651012895</v>
      </c>
      <c r="J10990" s="28">
        <v>0.43266257306275202</v>
      </c>
      <c r="K10990" s="29">
        <v>0.98289565623980701</v>
      </c>
    </row>
    <row r="10991" spans="1:11" x14ac:dyDescent="0.35">
      <c r="A10991" s="9" t="str">
        <f>HYPERLINK("http://www.ensembl.org/id/WBGene00010360", "WBGene00010360")</f>
        <v>WBGene00010360</v>
      </c>
      <c r="B10991" s="9" t="str">
        <f>HYPERLINK("http://www.ncbi.nlm.nih.gov/gene/186676", "186676")</f>
        <v>186676</v>
      </c>
      <c r="C10991" s="9"/>
      <c r="D10991" t="str">
        <f>"fbxa-96"</f>
        <v>fbxa-96</v>
      </c>
      <c r="E10991" t="s">
        <v>467</v>
      </c>
      <c r="F10991" t="s">
        <v>11</v>
      </c>
      <c r="G10991" t="s">
        <v>54</v>
      </c>
      <c r="H10991" s="12">
        <v>-1.2254030005332099</v>
      </c>
      <c r="I10991" s="20">
        <v>-0.39037749516481002</v>
      </c>
      <c r="J10991" s="28">
        <v>0.69625742665555002</v>
      </c>
      <c r="K10991" s="29">
        <v>0.98289565623980701</v>
      </c>
    </row>
    <row r="10992" spans="1:11" x14ac:dyDescent="0.35">
      <c r="A10992" s="9" t="str">
        <f>HYPERLINK("http://www.ensembl.org/id/WBGene00007667", "WBGene00007667")</f>
        <v>WBGene00007667</v>
      </c>
      <c r="B10992" s="9"/>
      <c r="C10992" s="9"/>
      <c r="D10992" t="str">
        <f>"fbxa-97"</f>
        <v>fbxa-97</v>
      </c>
      <c r="F10992" t="s">
        <v>80</v>
      </c>
      <c r="H10992" s="12">
        <v>1.1758760758726099</v>
      </c>
      <c r="I10992" s="20">
        <v>0.55225821687662702</v>
      </c>
      <c r="J10992" s="28">
        <v>0.580771453162923</v>
      </c>
      <c r="K10992" s="29">
        <v>0.98289565623980701</v>
      </c>
    </row>
    <row r="10993" spans="1:11" x14ac:dyDescent="0.35">
      <c r="A10993" s="9" t="str">
        <f>HYPERLINK("http://www.ensembl.org/id/WBGene00007453", "WBGene00007453")</f>
        <v>WBGene00007453</v>
      </c>
      <c r="B10993" s="9" t="str">
        <f>HYPERLINK("http://www.ncbi.nlm.nih.gov/gene/182421", "182421")</f>
        <v>182421</v>
      </c>
      <c r="C10993" s="9"/>
      <c r="D10993" t="str">
        <f>"fbxa-98"</f>
        <v>fbxa-98</v>
      </c>
      <c r="E10993" t="s">
        <v>467</v>
      </c>
      <c r="F10993" t="s">
        <v>11</v>
      </c>
      <c r="G10993" t="s">
        <v>54</v>
      </c>
      <c r="H10993" s="12">
        <v>-1.18912975588694</v>
      </c>
      <c r="I10993" s="20">
        <v>-0.56896018599766496</v>
      </c>
      <c r="J10993" s="28">
        <v>0.56938315942503603</v>
      </c>
      <c r="K10993" s="29">
        <v>0.98289565623980701</v>
      </c>
    </row>
    <row r="10994" spans="1:11" x14ac:dyDescent="0.35">
      <c r="A10994" s="9" t="str">
        <f>HYPERLINK("http://www.ensembl.org/id/WBGene00009490", "WBGene00009490")</f>
        <v>WBGene00009490</v>
      </c>
      <c r="B10994" s="9" t="str">
        <f>HYPERLINK("http://www.ncbi.nlm.nih.gov/gene/185377", "185377")</f>
        <v>185377</v>
      </c>
      <c r="C10994" s="9"/>
      <c r="D10994" t="str">
        <f>"fbxa-99"</f>
        <v>fbxa-99</v>
      </c>
      <c r="E10994" t="s">
        <v>467</v>
      </c>
      <c r="F10994" t="s">
        <v>11</v>
      </c>
      <c r="G10994" t="s">
        <v>54</v>
      </c>
      <c r="H10994" s="12">
        <v>1.4992601039764499</v>
      </c>
      <c r="I10994" s="20">
        <v>0.29591023956718998</v>
      </c>
      <c r="J10994" s="28">
        <v>0.76729863103892904</v>
      </c>
      <c r="K10994" s="29">
        <v>0.98289565623980701</v>
      </c>
    </row>
    <row r="10995" spans="1:11" x14ac:dyDescent="0.35">
      <c r="A10995" s="9" t="str">
        <f>HYPERLINK("http://www.ensembl.org/id/WBGene00020362", "WBGene00020362")</f>
        <v>WBGene00020362</v>
      </c>
      <c r="B10995" s="9" t="str">
        <f>HYPERLINK("http://www.ncbi.nlm.nih.gov/gene/188288", "188288")</f>
        <v>188288</v>
      </c>
      <c r="C10995" s="9"/>
      <c r="D10995" t="str">
        <f>"fbxb-10"</f>
        <v>fbxb-10</v>
      </c>
      <c r="E10995" t="s">
        <v>1436</v>
      </c>
      <c r="F10995" t="s">
        <v>11</v>
      </c>
      <c r="G10995" t="s">
        <v>54</v>
      </c>
      <c r="H10995" s="12">
        <v>1.61940476312496</v>
      </c>
      <c r="I10995" s="20">
        <v>1.1448444205182999</v>
      </c>
      <c r="J10995" s="28">
        <v>0.25227361074155602</v>
      </c>
      <c r="K10995" s="29">
        <v>0.98289565623980701</v>
      </c>
    </row>
    <row r="10996" spans="1:11" x14ac:dyDescent="0.35">
      <c r="A10996" s="9" t="str">
        <f>HYPERLINK("http://www.ensembl.org/id/WBGene00013403", "WBGene00013403")</f>
        <v>WBGene00013403</v>
      </c>
      <c r="B10996" s="9" t="str">
        <f>HYPERLINK("http://www.ncbi.nlm.nih.gov/gene/173275", "173275")</f>
        <v>173275</v>
      </c>
      <c r="C10996" s="9"/>
      <c r="D10996" t="str">
        <f>"fbxb-100"</f>
        <v>fbxb-100</v>
      </c>
      <c r="E10996" t="s">
        <v>1436</v>
      </c>
      <c r="F10996" t="s">
        <v>11</v>
      </c>
      <c r="H10996" s="12">
        <v>1.36388828377938</v>
      </c>
      <c r="I10996" s="20">
        <v>0.81429942783798803</v>
      </c>
      <c r="J10996" s="28">
        <v>0.41547343742468301</v>
      </c>
      <c r="K10996" s="29">
        <v>0.98289565623980701</v>
      </c>
    </row>
    <row r="10997" spans="1:11" x14ac:dyDescent="0.35">
      <c r="A10997" s="9" t="str">
        <f>HYPERLINK("http://www.ensembl.org/id/WBGene00008847", "WBGene00008847")</f>
        <v>WBGene00008847</v>
      </c>
      <c r="B10997" s="9" t="str">
        <f>HYPERLINK("http://www.ncbi.nlm.nih.gov/gene/184516", "184516")</f>
        <v>184516</v>
      </c>
      <c r="C10997" s="9"/>
      <c r="D10997" t="str">
        <f>"fbxb-102"</f>
        <v>fbxb-102</v>
      </c>
      <c r="E10997" t="s">
        <v>1436</v>
      </c>
      <c r="F10997" t="s">
        <v>11</v>
      </c>
      <c r="H10997" s="12">
        <v>1.60084285320514</v>
      </c>
      <c r="I10997" s="20">
        <v>0.73964460496690898</v>
      </c>
      <c r="J10997" s="28">
        <v>0.45951566877324002</v>
      </c>
      <c r="K10997" s="29">
        <v>0.98289565623980701</v>
      </c>
    </row>
    <row r="10998" spans="1:11" x14ac:dyDescent="0.35">
      <c r="A10998" s="9" t="str">
        <f>HYPERLINK("http://www.ensembl.org/id/WBGene00018746", "WBGene00018746")</f>
        <v>WBGene00018746</v>
      </c>
      <c r="B10998" s="9" t="str">
        <f>HYPERLINK("http://www.ncbi.nlm.nih.gov/gene/186158", "186158")</f>
        <v>186158</v>
      </c>
      <c r="C10998" s="9"/>
      <c r="D10998" t="str">
        <f>"fbxb-103"</f>
        <v>fbxb-103</v>
      </c>
      <c r="E10998" t="s">
        <v>1436</v>
      </c>
      <c r="F10998" t="s">
        <v>11</v>
      </c>
      <c r="G10998" t="s">
        <v>54</v>
      </c>
      <c r="H10998" s="12">
        <v>-1.19177612287014</v>
      </c>
      <c r="I10998" s="20">
        <v>-0.389241435565645</v>
      </c>
      <c r="J10998" s="28">
        <v>0.69709755439753296</v>
      </c>
      <c r="K10998" s="29">
        <v>0.98289565623980701</v>
      </c>
    </row>
    <row r="10999" spans="1:11" x14ac:dyDescent="0.35">
      <c r="A10999" s="9" t="str">
        <f>HYPERLINK("http://www.ensembl.org/id/WBGene00021719", "WBGene00021719")</f>
        <v>WBGene00021719</v>
      </c>
      <c r="B10999" s="9" t="str">
        <f>HYPERLINK("http://www.ncbi.nlm.nih.gov/gene/173692", "173692")</f>
        <v>173692</v>
      </c>
      <c r="C10999" s="9"/>
      <c r="D10999" t="str">
        <f>"fbxb-104"</f>
        <v>fbxb-104</v>
      </c>
      <c r="E10999" t="s">
        <v>1436</v>
      </c>
      <c r="F10999" t="s">
        <v>11</v>
      </c>
      <c r="H10999" s="12">
        <v>1.3987219120257199</v>
      </c>
      <c r="I10999" s="20">
        <v>0.89662583891019898</v>
      </c>
      <c r="J10999" s="28">
        <v>0.36991860546770799</v>
      </c>
      <c r="K10999" s="29">
        <v>0.98289565623980701</v>
      </c>
    </row>
    <row r="11000" spans="1:11" x14ac:dyDescent="0.35">
      <c r="A11000" s="9" t="str">
        <f>HYPERLINK("http://www.ensembl.org/id/WBGene00017911", "WBGene00017911")</f>
        <v>WBGene00017911</v>
      </c>
      <c r="B11000" s="9" t="str">
        <f>HYPERLINK("http://www.ncbi.nlm.nih.gov/gene/173620", "173620")</f>
        <v>173620</v>
      </c>
      <c r="C11000" s="9"/>
      <c r="D11000" t="str">
        <f>"fbxb-106"</f>
        <v>fbxb-106</v>
      </c>
      <c r="E11000" t="s">
        <v>1436</v>
      </c>
      <c r="F11000" t="s">
        <v>11</v>
      </c>
      <c r="G11000" t="s">
        <v>54</v>
      </c>
      <c r="H11000" s="12">
        <v>1.5891583541643599</v>
      </c>
      <c r="I11000" s="20">
        <v>0.91178277553584997</v>
      </c>
      <c r="J11000" s="28">
        <v>0.36188307933741298</v>
      </c>
      <c r="K11000" s="29">
        <v>0.98289565623980701</v>
      </c>
    </row>
    <row r="11001" spans="1:11" x14ac:dyDescent="0.35">
      <c r="A11001" s="9" t="str">
        <f>HYPERLINK("http://www.ensembl.org/id/WBGene00017912", "WBGene00017912")</f>
        <v>WBGene00017912</v>
      </c>
      <c r="B11001" s="9" t="str">
        <f>HYPERLINK("http://www.ncbi.nlm.nih.gov/gene/173619", "173619")</f>
        <v>173619</v>
      </c>
      <c r="C11001" s="9"/>
      <c r="D11001" t="str">
        <f>"fbxb-107"</f>
        <v>fbxb-107</v>
      </c>
      <c r="E11001" t="s">
        <v>1436</v>
      </c>
      <c r="F11001" t="s">
        <v>11</v>
      </c>
      <c r="H11001" s="12">
        <v>1.4998723502948099</v>
      </c>
      <c r="I11001" s="20">
        <v>0.879618657557526</v>
      </c>
      <c r="J11001" s="28">
        <v>0.37906592807230599</v>
      </c>
      <c r="K11001" s="29">
        <v>0.98289565623980701</v>
      </c>
    </row>
    <row r="11002" spans="1:11" x14ac:dyDescent="0.35">
      <c r="A11002" s="9" t="str">
        <f>HYPERLINK("http://www.ensembl.org/id/WBGene00018436", "WBGene00018436")</f>
        <v>WBGene00018436</v>
      </c>
      <c r="B11002" s="9" t="str">
        <f>HYPERLINK("http://www.ncbi.nlm.nih.gov/gene/185769", "185769")</f>
        <v>185769</v>
      </c>
      <c r="C11002" s="9"/>
      <c r="D11002" t="str">
        <f>"fbxb-11"</f>
        <v>fbxb-11</v>
      </c>
      <c r="E11002" t="s">
        <v>1436</v>
      </c>
      <c r="F11002" t="s">
        <v>11</v>
      </c>
      <c r="G11002" t="s">
        <v>54</v>
      </c>
      <c r="H11002" s="12">
        <v>1.22264417547544</v>
      </c>
      <c r="I11002" s="20">
        <v>0.38199520203979698</v>
      </c>
      <c r="J11002" s="28">
        <v>0.70246492348788903</v>
      </c>
      <c r="K11002" s="29">
        <v>0.98289565623980701</v>
      </c>
    </row>
    <row r="11003" spans="1:11" x14ac:dyDescent="0.35">
      <c r="A11003" s="9" t="str">
        <f>HYPERLINK("http://www.ensembl.org/id/WBGene00012064", "WBGene00012064")</f>
        <v>WBGene00012064</v>
      </c>
      <c r="B11003" s="9" t="str">
        <f>HYPERLINK("http://www.ncbi.nlm.nih.gov/gene/188947", "188947")</f>
        <v>188947</v>
      </c>
      <c r="C11003" s="9"/>
      <c r="D11003" t="str">
        <f>"fbxb-115"</f>
        <v>fbxb-115</v>
      </c>
      <c r="E11003" t="s">
        <v>1436</v>
      </c>
      <c r="F11003" t="s">
        <v>11</v>
      </c>
      <c r="G11003" t="s">
        <v>417</v>
      </c>
      <c r="H11003" s="12">
        <v>2.2415716381358601</v>
      </c>
      <c r="I11003" s="20">
        <v>1.16139318300271</v>
      </c>
      <c r="J11003" s="28">
        <v>0.24548203998662299</v>
      </c>
      <c r="K11003" s="29">
        <v>0.98289565623980701</v>
      </c>
    </row>
    <row r="11004" spans="1:11" x14ac:dyDescent="0.35">
      <c r="A11004" s="9" t="str">
        <f>HYPERLINK("http://www.ensembl.org/id/WBGene00012066", "WBGene00012066")</f>
        <v>WBGene00012066</v>
      </c>
      <c r="B11004" s="9" t="str">
        <f>HYPERLINK("http://www.ncbi.nlm.nih.gov/gene/188949", "188949")</f>
        <v>188949</v>
      </c>
      <c r="C11004" s="9"/>
      <c r="D11004" t="str">
        <f>"fbxb-116"</f>
        <v>fbxb-116</v>
      </c>
      <c r="E11004" t="s">
        <v>1436</v>
      </c>
      <c r="F11004" t="s">
        <v>11</v>
      </c>
      <c r="H11004" s="12">
        <v>1.52087129120998</v>
      </c>
      <c r="I11004" s="20">
        <v>0.63041056082676195</v>
      </c>
      <c r="J11004" s="28">
        <v>0.52842600300410103</v>
      </c>
      <c r="K11004" s="29">
        <v>0.98289565623980701</v>
      </c>
    </row>
    <row r="11005" spans="1:11" x14ac:dyDescent="0.35">
      <c r="A11005" s="9" t="str">
        <f>HYPERLINK("http://www.ensembl.org/id/WBGene00007182", "WBGene00007182")</f>
        <v>WBGene00007182</v>
      </c>
      <c r="B11005" s="9" t="str">
        <f>HYPERLINK("http://www.ncbi.nlm.nih.gov/gene/181998", "181998")</f>
        <v>181998</v>
      </c>
      <c r="C11005" s="9"/>
      <c r="D11005" t="str">
        <f>"fbxb-119"</f>
        <v>fbxb-119</v>
      </c>
      <c r="E11005" t="s">
        <v>1436</v>
      </c>
      <c r="F11005" t="s">
        <v>11</v>
      </c>
      <c r="H11005" s="12">
        <v>-1.6449630630819301</v>
      </c>
      <c r="I11005" s="20">
        <v>-0.87667465740884598</v>
      </c>
      <c r="J11005" s="28">
        <v>0.38066337556778901</v>
      </c>
      <c r="K11005" s="29">
        <v>0.98289565623980701</v>
      </c>
    </row>
    <row r="11006" spans="1:11" x14ac:dyDescent="0.35">
      <c r="A11006" s="9" t="str">
        <f>HYPERLINK("http://www.ensembl.org/id/WBGene00018109", "WBGene00018109")</f>
        <v>WBGene00018109</v>
      </c>
      <c r="B11006" s="9"/>
      <c r="C11006" s="9"/>
      <c r="D11006" t="str">
        <f>"fbxb-12"</f>
        <v>fbxb-12</v>
      </c>
      <c r="F11006" t="s">
        <v>80</v>
      </c>
      <c r="H11006" s="12">
        <v>2.2766289391196999</v>
      </c>
      <c r="I11006" s="20">
        <v>1.11816480650012</v>
      </c>
      <c r="J11006" s="28">
        <v>0.26349661213856401</v>
      </c>
      <c r="K11006" s="29">
        <v>0.98289565623980701</v>
      </c>
    </row>
    <row r="11007" spans="1:11" x14ac:dyDescent="0.35">
      <c r="A11007" s="9" t="str">
        <f>HYPERLINK("http://www.ensembl.org/id/WBGene00015607", "WBGene00015607")</f>
        <v>WBGene00015607</v>
      </c>
      <c r="B11007" s="9" t="str">
        <f>HYPERLINK("http://www.ncbi.nlm.nih.gov/gene/182411", "182411")</f>
        <v>182411</v>
      </c>
      <c r="C11007" s="9"/>
      <c r="D11007" t="str">
        <f>"fbxb-13"</f>
        <v>fbxb-13</v>
      </c>
      <c r="E11007" t="s">
        <v>1436</v>
      </c>
      <c r="F11007" t="s">
        <v>11</v>
      </c>
      <c r="G11007" t="s">
        <v>54</v>
      </c>
      <c r="H11007" s="12">
        <v>1.3333393185493301</v>
      </c>
      <c r="I11007" s="20">
        <v>0.63219211466251601</v>
      </c>
      <c r="J11007" s="28">
        <v>0.52726134928822499</v>
      </c>
      <c r="K11007" s="29">
        <v>0.98289565623980701</v>
      </c>
    </row>
    <row r="11008" spans="1:11" x14ac:dyDescent="0.35">
      <c r="A11008" s="9" t="str">
        <f>HYPERLINK("http://www.ensembl.org/id/WBGene00022557", "WBGene00022557")</f>
        <v>WBGene00022557</v>
      </c>
      <c r="B11008" s="9" t="str">
        <f>HYPERLINK("http://www.ncbi.nlm.nih.gov/gene/173535", "173535")</f>
        <v>173535</v>
      </c>
      <c r="C11008" s="9"/>
      <c r="D11008" t="str">
        <f>"fbxb-15"</f>
        <v>fbxb-15</v>
      </c>
      <c r="E11008" t="s">
        <v>1436</v>
      </c>
      <c r="F11008" t="s">
        <v>11</v>
      </c>
      <c r="G11008" t="s">
        <v>54</v>
      </c>
      <c r="H11008" s="12">
        <v>1.4541188076276701</v>
      </c>
      <c r="I11008" s="20">
        <v>0.89772896419216197</v>
      </c>
      <c r="J11008" s="28">
        <v>0.36933006388190898</v>
      </c>
      <c r="K11008" s="29">
        <v>0.98289565623980701</v>
      </c>
    </row>
    <row r="11009" spans="1:11" x14ac:dyDescent="0.35">
      <c r="A11009" s="9" t="str">
        <f>HYPERLINK("http://www.ensembl.org/id/WBGene00022560", "WBGene00022560")</f>
        <v>WBGene00022560</v>
      </c>
      <c r="B11009" s="9" t="str">
        <f>HYPERLINK("http://www.ncbi.nlm.nih.gov/gene/191114", "191114")</f>
        <v>191114</v>
      </c>
      <c r="C11009" s="9"/>
      <c r="D11009" t="str">
        <f>"fbxb-16"</f>
        <v>fbxb-16</v>
      </c>
      <c r="E11009" t="s">
        <v>1436</v>
      </c>
      <c r="F11009" t="s">
        <v>11</v>
      </c>
      <c r="G11009" t="s">
        <v>54</v>
      </c>
      <c r="H11009" s="12">
        <v>1.4892822558288401</v>
      </c>
      <c r="I11009" s="20">
        <v>0.57892963397469099</v>
      </c>
      <c r="J11009" s="28">
        <v>0.56263665367302995</v>
      </c>
      <c r="K11009" s="29">
        <v>0.98289565623980701</v>
      </c>
    </row>
    <row r="11010" spans="1:11" x14ac:dyDescent="0.35">
      <c r="A11010" s="9" t="str">
        <f>HYPERLINK("http://www.ensembl.org/id/WBGene00019037", "WBGene00019037")</f>
        <v>WBGene00019037</v>
      </c>
      <c r="B11010" s="9" t="str">
        <f>HYPERLINK("http://www.ncbi.nlm.nih.gov/gene/186510", "186510")</f>
        <v>186510</v>
      </c>
      <c r="C11010" s="9"/>
      <c r="D11010" t="str">
        <f>"fbxb-17"</f>
        <v>fbxb-17</v>
      </c>
      <c r="E11010" t="s">
        <v>1436</v>
      </c>
      <c r="F11010" t="s">
        <v>11</v>
      </c>
      <c r="H11010" s="12">
        <v>-1.6526250562747899</v>
      </c>
      <c r="I11010" s="20">
        <v>-1.0333066703121101</v>
      </c>
      <c r="J11010" s="28">
        <v>0.301460406697584</v>
      </c>
      <c r="K11010" s="29">
        <v>0.98289565623980701</v>
      </c>
    </row>
    <row r="11011" spans="1:11" x14ac:dyDescent="0.35">
      <c r="A11011" s="9" t="str">
        <f>HYPERLINK("http://www.ensembl.org/id/WBGene00019039", "WBGene00019039")</f>
        <v>WBGene00019039</v>
      </c>
      <c r="B11011" s="9" t="str">
        <f>HYPERLINK("http://www.ncbi.nlm.nih.gov/gene/186513", "186513")</f>
        <v>186513</v>
      </c>
      <c r="C11011" s="9"/>
      <c r="D11011" t="str">
        <f>"fbxb-18"</f>
        <v>fbxb-18</v>
      </c>
      <c r="E11011" t="s">
        <v>1436</v>
      </c>
      <c r="F11011" t="s">
        <v>11</v>
      </c>
      <c r="H11011" s="12">
        <v>1.3739740019212601</v>
      </c>
      <c r="I11011" s="20">
        <v>0.67248656599207102</v>
      </c>
      <c r="J11011" s="28">
        <v>0.50127398963708902</v>
      </c>
      <c r="K11011" s="29">
        <v>0.98289565623980701</v>
      </c>
    </row>
    <row r="11012" spans="1:11" x14ac:dyDescent="0.35">
      <c r="A11012" s="9" t="str">
        <f>HYPERLINK("http://www.ensembl.org/id/WBGene00019040", "WBGene00019040")</f>
        <v>WBGene00019040</v>
      </c>
      <c r="B11012" s="9" t="str">
        <f>HYPERLINK("http://www.ncbi.nlm.nih.gov/gene/186514", "186514")</f>
        <v>186514</v>
      </c>
      <c r="C11012" s="9"/>
      <c r="D11012" t="str">
        <f>"fbxb-19"</f>
        <v>fbxb-19</v>
      </c>
      <c r="E11012" t="s">
        <v>1436</v>
      </c>
      <c r="F11012" t="s">
        <v>11</v>
      </c>
      <c r="G11012" t="s">
        <v>54</v>
      </c>
      <c r="H11012" s="12">
        <v>1.5880179348616399</v>
      </c>
      <c r="I11012" s="20">
        <v>0.77600373089769503</v>
      </c>
      <c r="J11012" s="28">
        <v>0.43774678298070802</v>
      </c>
      <c r="K11012" s="29">
        <v>0.98289565623980701</v>
      </c>
    </row>
    <row r="11013" spans="1:11" x14ac:dyDescent="0.35">
      <c r="A11013" s="9" t="str">
        <f>HYPERLINK("http://www.ensembl.org/id/WBGene00012065", "WBGene00012065")</f>
        <v>WBGene00012065</v>
      </c>
      <c r="B11013" s="9" t="str">
        <f>HYPERLINK("http://www.ncbi.nlm.nih.gov/gene/188948", "188948")</f>
        <v>188948</v>
      </c>
      <c r="C11013" s="9"/>
      <c r="D11013" t="str">
        <f>"fbxb-2"</f>
        <v>fbxb-2</v>
      </c>
      <c r="E11013" t="s">
        <v>1436</v>
      </c>
      <c r="F11013" t="s">
        <v>11</v>
      </c>
      <c r="G11013" t="s">
        <v>54</v>
      </c>
      <c r="H11013" s="12">
        <v>1.63952658685186</v>
      </c>
      <c r="I11013" s="20">
        <v>0.83466413417851604</v>
      </c>
      <c r="J11013" s="28">
        <v>0.40390684093289198</v>
      </c>
      <c r="K11013" s="29">
        <v>0.98289565623980701</v>
      </c>
    </row>
    <row r="11014" spans="1:11" x14ac:dyDescent="0.35">
      <c r="A11014" s="9" t="str">
        <f>HYPERLINK("http://www.ensembl.org/id/WBGene00022558", "WBGene00022558")</f>
        <v>WBGene00022558</v>
      </c>
      <c r="B11014" s="9" t="str">
        <f>HYPERLINK("http://www.ncbi.nlm.nih.gov/gene/191112", "191112")</f>
        <v>191112</v>
      </c>
      <c r="C11014" s="9"/>
      <c r="D11014" t="str">
        <f>"fbxb-21"</f>
        <v>fbxb-21</v>
      </c>
      <c r="E11014" t="s">
        <v>1436</v>
      </c>
      <c r="F11014" t="s">
        <v>11</v>
      </c>
      <c r="G11014" t="s">
        <v>54</v>
      </c>
      <c r="H11014" s="12">
        <v>1.76704599077533</v>
      </c>
      <c r="I11014" s="20">
        <v>0.52513439466379297</v>
      </c>
      <c r="J11014" s="28">
        <v>0.59948976756166805</v>
      </c>
      <c r="K11014" s="29">
        <v>0.98289565623980701</v>
      </c>
    </row>
    <row r="11015" spans="1:11" x14ac:dyDescent="0.35">
      <c r="A11015" s="9" t="str">
        <f>HYPERLINK("http://www.ensembl.org/id/WBGene00013230", "WBGene00013230")</f>
        <v>WBGene00013230</v>
      </c>
      <c r="B11015" s="9" t="str">
        <f>HYPERLINK("http://www.ncbi.nlm.nih.gov/gene/190327", "190327")</f>
        <v>190327</v>
      </c>
      <c r="C11015" s="9"/>
      <c r="D11015" t="str">
        <f>"fbxb-22"</f>
        <v>fbxb-22</v>
      </c>
      <c r="E11015" t="s">
        <v>1436</v>
      </c>
      <c r="F11015" t="s">
        <v>11</v>
      </c>
      <c r="H11015" s="12">
        <v>-1.1974079550386301</v>
      </c>
      <c r="I11015" s="20">
        <v>-0.31230924751267902</v>
      </c>
      <c r="J11015" s="28">
        <v>0.75480551279528496</v>
      </c>
      <c r="K11015" s="29">
        <v>0.98289565623980701</v>
      </c>
    </row>
    <row r="11016" spans="1:11" x14ac:dyDescent="0.35">
      <c r="A11016" s="9" t="str">
        <f>HYPERLINK("http://www.ensembl.org/id/WBGene00019034", "WBGene00019034")</f>
        <v>WBGene00019034</v>
      </c>
      <c r="B11016" s="9" t="str">
        <f>HYPERLINK("http://www.ncbi.nlm.nih.gov/gene/186507", "186507")</f>
        <v>186507</v>
      </c>
      <c r="C11016" s="9"/>
      <c r="D11016" t="str">
        <f>"fbxb-25"</f>
        <v>fbxb-25</v>
      </c>
      <c r="E11016" t="s">
        <v>1436</v>
      </c>
      <c r="F11016" t="s">
        <v>11</v>
      </c>
      <c r="H11016" s="12">
        <v>1.43771197312623</v>
      </c>
      <c r="I11016" s="20">
        <v>0.41622839612836499</v>
      </c>
      <c r="J11016" s="28">
        <v>0.67724288279088796</v>
      </c>
      <c r="K11016" s="29">
        <v>0.98289565623980701</v>
      </c>
    </row>
    <row r="11017" spans="1:11" x14ac:dyDescent="0.35">
      <c r="A11017" s="9" t="str">
        <f>HYPERLINK("http://www.ensembl.org/id/WBGene00018457", "WBGene00018457")</f>
        <v>WBGene00018457</v>
      </c>
      <c r="B11017" s="9" t="str">
        <f>HYPERLINK("http://www.ncbi.nlm.nih.gov/gene/185786", "185786")</f>
        <v>185786</v>
      </c>
      <c r="C11017" s="9"/>
      <c r="D11017" t="str">
        <f>"fbxb-29"</f>
        <v>fbxb-29</v>
      </c>
      <c r="E11017" t="s">
        <v>1436</v>
      </c>
      <c r="F11017" t="s">
        <v>11</v>
      </c>
      <c r="G11017" t="s">
        <v>54</v>
      </c>
      <c r="H11017" s="12">
        <v>5.4058944669092801</v>
      </c>
      <c r="I11017" s="20">
        <v>0.49762513753689303</v>
      </c>
      <c r="J11017" s="28">
        <v>0.61874828254921799</v>
      </c>
      <c r="K11017" s="29">
        <v>0.98289565623980701</v>
      </c>
    </row>
    <row r="11018" spans="1:11" x14ac:dyDescent="0.35">
      <c r="A11018" s="9" t="str">
        <f>HYPERLINK("http://www.ensembl.org/id/WBGene00009546", "WBGene00009546")</f>
        <v>WBGene00009546</v>
      </c>
      <c r="B11018" s="9" t="str">
        <f>HYPERLINK("http://www.ncbi.nlm.nih.gov/gene/185478", "185478")</f>
        <v>185478</v>
      </c>
      <c r="C11018" s="9"/>
      <c r="D11018" t="str">
        <f>"fbxb-3"</f>
        <v>fbxb-3</v>
      </c>
      <c r="E11018" t="s">
        <v>1436</v>
      </c>
      <c r="F11018" t="s">
        <v>11</v>
      </c>
      <c r="G11018" t="s">
        <v>54</v>
      </c>
      <c r="H11018" s="12">
        <v>1.21717172435</v>
      </c>
      <c r="I11018" s="20">
        <v>0.47840818834416898</v>
      </c>
      <c r="J11018" s="28">
        <v>0.6323597067283</v>
      </c>
      <c r="K11018" s="29">
        <v>0.98289565623980701</v>
      </c>
    </row>
    <row r="11019" spans="1:11" x14ac:dyDescent="0.35">
      <c r="A11019" s="9" t="str">
        <f>HYPERLINK("http://www.ensembl.org/id/WBGene00019798", "WBGene00019798")</f>
        <v>WBGene00019798</v>
      </c>
      <c r="B11019" s="9" t="str">
        <f>HYPERLINK("http://www.ncbi.nlm.nih.gov/gene/173709", "173709")</f>
        <v>173709</v>
      </c>
      <c r="C11019" s="9"/>
      <c r="D11019" t="str">
        <f>"fbxb-32"</f>
        <v>fbxb-32</v>
      </c>
      <c r="E11019" t="s">
        <v>1436</v>
      </c>
      <c r="F11019" t="s">
        <v>11</v>
      </c>
      <c r="H11019" s="12">
        <v>-2.34755289275504</v>
      </c>
      <c r="I11019" s="20">
        <v>-0.784939835280411</v>
      </c>
      <c r="J11019" s="28">
        <v>0.432488844702483</v>
      </c>
      <c r="K11019" s="29">
        <v>0.98289565623980701</v>
      </c>
    </row>
    <row r="11020" spans="1:11" x14ac:dyDescent="0.35">
      <c r="A11020" s="9" t="str">
        <f>HYPERLINK("http://www.ensembl.org/id/WBGene00044314", "WBGene00044314")</f>
        <v>WBGene00044314</v>
      </c>
      <c r="B11020" s="9" t="str">
        <f>HYPERLINK("http://www.ncbi.nlm.nih.gov/gene/3565241", "3565241")</f>
        <v>3565241</v>
      </c>
      <c r="C11020" s="9"/>
      <c r="D11020" t="str">
        <f>"fbxb-33"</f>
        <v>fbxb-33</v>
      </c>
      <c r="E11020" t="s">
        <v>1436</v>
      </c>
      <c r="F11020" t="s">
        <v>11</v>
      </c>
      <c r="G11020" t="s">
        <v>54</v>
      </c>
      <c r="H11020" s="12">
        <v>-1.2800520968873399</v>
      </c>
      <c r="I11020" s="20">
        <v>-0.34495079288610297</v>
      </c>
      <c r="J11020" s="28">
        <v>0.73013136425446901</v>
      </c>
      <c r="K11020" s="29">
        <v>0.98289565623980701</v>
      </c>
    </row>
    <row r="11021" spans="1:11" x14ac:dyDescent="0.35">
      <c r="A11021" s="9" t="str">
        <f>HYPERLINK("http://www.ensembl.org/id/WBGene00017208", "WBGene00017208")</f>
        <v>WBGene00017208</v>
      </c>
      <c r="B11021" s="9" t="str">
        <f>HYPERLINK("http://www.ncbi.nlm.nih.gov/gene/173563", "173563")</f>
        <v>173563</v>
      </c>
      <c r="C11021" s="9"/>
      <c r="D11021" t="str">
        <f>"fbxb-35"</f>
        <v>fbxb-35</v>
      </c>
      <c r="E11021" t="s">
        <v>1436</v>
      </c>
      <c r="F11021" t="s">
        <v>11</v>
      </c>
      <c r="G11021" t="s">
        <v>54</v>
      </c>
      <c r="H11021" s="12">
        <v>1.5005247361441101</v>
      </c>
      <c r="I11021" s="20">
        <v>1.12057276941925</v>
      </c>
      <c r="J11021" s="28">
        <v>0.26246976138769001</v>
      </c>
      <c r="K11021" s="29">
        <v>0.98289565623980701</v>
      </c>
    </row>
    <row r="11022" spans="1:11" x14ac:dyDescent="0.35">
      <c r="A11022" s="9" t="str">
        <f>HYPERLINK("http://www.ensembl.org/id/WBGene00020537", "WBGene00020537")</f>
        <v>WBGene00020537</v>
      </c>
      <c r="B11022" s="9" t="str">
        <f>HYPERLINK("http://www.ncbi.nlm.nih.gov/gene/188547", "188547")</f>
        <v>188547</v>
      </c>
      <c r="C11022" s="9"/>
      <c r="D11022" t="str">
        <f>"fbxb-37"</f>
        <v>fbxb-37</v>
      </c>
      <c r="E11022" t="s">
        <v>1436</v>
      </c>
      <c r="F11022" t="s">
        <v>11</v>
      </c>
      <c r="H11022" s="12">
        <v>1.26423484971282</v>
      </c>
      <c r="I11022" s="20">
        <v>0.63774229227621104</v>
      </c>
      <c r="J11022" s="28">
        <v>0.52364145024693498</v>
      </c>
      <c r="K11022" s="29">
        <v>0.98289565623980701</v>
      </c>
    </row>
    <row r="11023" spans="1:11" x14ac:dyDescent="0.35">
      <c r="A11023" s="9" t="str">
        <f>HYPERLINK("http://www.ensembl.org/id/WBGene00016337", "WBGene00016337")</f>
        <v>WBGene00016337</v>
      </c>
      <c r="B11023" s="9" t="str">
        <f>HYPERLINK("http://www.ncbi.nlm.nih.gov/gene/183152", "183152")</f>
        <v>183152</v>
      </c>
      <c r="C11023" s="9"/>
      <c r="D11023" t="str">
        <f>"fbxb-38"</f>
        <v>fbxb-38</v>
      </c>
      <c r="E11023" t="s">
        <v>1436</v>
      </c>
      <c r="F11023" t="s">
        <v>11</v>
      </c>
      <c r="H11023" s="12">
        <v>1.28325347986441</v>
      </c>
      <c r="I11023" s="20">
        <v>0.45095635908849802</v>
      </c>
      <c r="J11023" s="28">
        <v>0.65202100257100903</v>
      </c>
      <c r="K11023" s="29">
        <v>0.98289565623980701</v>
      </c>
    </row>
    <row r="11024" spans="1:11" x14ac:dyDescent="0.35">
      <c r="A11024" s="9" t="str">
        <f>HYPERLINK("http://www.ensembl.org/id/WBGene00010921", "WBGene00010921")</f>
        <v>WBGene00010921</v>
      </c>
      <c r="B11024" s="9"/>
      <c r="C11024" s="9"/>
      <c r="D11024" t="str">
        <f>"fbxb-4"</f>
        <v>fbxb-4</v>
      </c>
      <c r="F11024" t="s">
        <v>80</v>
      </c>
      <c r="H11024" s="12">
        <v>-1.4452791144410799</v>
      </c>
      <c r="I11024" s="20">
        <v>-0.464449143963936</v>
      </c>
      <c r="J11024" s="28">
        <v>0.64232598757582504</v>
      </c>
      <c r="K11024" s="29">
        <v>0.98289565623980701</v>
      </c>
    </row>
    <row r="11025" spans="1:11" x14ac:dyDescent="0.35">
      <c r="A11025" s="9" t="str">
        <f>HYPERLINK("http://www.ensembl.org/id/WBGene00019704", "WBGene00019704")</f>
        <v>WBGene00019704</v>
      </c>
      <c r="B11025" s="9" t="str">
        <f>HYPERLINK("http://www.ncbi.nlm.nih.gov/gene/173487", "173487")</f>
        <v>173487</v>
      </c>
      <c r="C11025" s="9"/>
      <c r="D11025" t="str">
        <f>"fbxb-40"</f>
        <v>fbxb-40</v>
      </c>
      <c r="E11025" t="s">
        <v>1436</v>
      </c>
      <c r="F11025" t="s">
        <v>11</v>
      </c>
      <c r="H11025" s="12">
        <v>1.26988181137045</v>
      </c>
      <c r="I11025" s="20">
        <v>0.55801886738965401</v>
      </c>
      <c r="J11025" s="28">
        <v>0.57683150055455101</v>
      </c>
      <c r="K11025" s="29">
        <v>0.98289565623980701</v>
      </c>
    </row>
    <row r="11026" spans="1:11" x14ac:dyDescent="0.35">
      <c r="A11026" s="9" t="str">
        <f>HYPERLINK("http://www.ensembl.org/id/WBGene00019703", "WBGene00019703")</f>
        <v>WBGene00019703</v>
      </c>
      <c r="B11026" s="9" t="str">
        <f>HYPERLINK("http://www.ncbi.nlm.nih.gov/gene/173484", "173484")</f>
        <v>173484</v>
      </c>
      <c r="C11026" s="9"/>
      <c r="D11026" t="str">
        <f>"fbxb-41"</f>
        <v>fbxb-41</v>
      </c>
      <c r="E11026" t="s">
        <v>1436</v>
      </c>
      <c r="F11026" t="s">
        <v>11</v>
      </c>
      <c r="G11026" t="s">
        <v>54</v>
      </c>
      <c r="H11026" s="12">
        <v>1.4693089910770001</v>
      </c>
      <c r="I11026" s="20">
        <v>1.1330318527210701</v>
      </c>
      <c r="J11026" s="28">
        <v>0.25720087722212498</v>
      </c>
      <c r="K11026" s="29">
        <v>0.98289565623980701</v>
      </c>
    </row>
    <row r="11027" spans="1:11" x14ac:dyDescent="0.35">
      <c r="A11027" s="9" t="str">
        <f>HYPERLINK("http://www.ensembl.org/id/WBGene00019416", "WBGene00019416")</f>
        <v>WBGene00019416</v>
      </c>
      <c r="B11027" s="9" t="str">
        <f>HYPERLINK("http://www.ncbi.nlm.nih.gov/gene/187035", "187035")</f>
        <v>187035</v>
      </c>
      <c r="C11027" s="9"/>
      <c r="D11027" t="str">
        <f>"fbxb-44"</f>
        <v>fbxb-44</v>
      </c>
      <c r="E11027" t="s">
        <v>1436</v>
      </c>
      <c r="F11027" t="s">
        <v>11</v>
      </c>
      <c r="G11027" t="s">
        <v>54</v>
      </c>
      <c r="H11027" s="12">
        <v>-1.2363259730076499</v>
      </c>
      <c r="I11027" s="20">
        <v>-0.35001928343863298</v>
      </c>
      <c r="J11027" s="28">
        <v>0.72632422584919498</v>
      </c>
      <c r="K11027" s="29">
        <v>0.98289565623980701</v>
      </c>
    </row>
    <row r="11028" spans="1:11" x14ac:dyDescent="0.35">
      <c r="A11028" s="9" t="str">
        <f>HYPERLINK("http://www.ensembl.org/id/WBGene00019705", "WBGene00019705")</f>
        <v>WBGene00019705</v>
      </c>
      <c r="B11028" s="9" t="str">
        <f>HYPERLINK("http://www.ncbi.nlm.nih.gov/gene/173485", "173485")</f>
        <v>173485</v>
      </c>
      <c r="C11028" s="9"/>
      <c r="D11028" t="str">
        <f>"fbxb-45"</f>
        <v>fbxb-45</v>
      </c>
      <c r="E11028" t="s">
        <v>1436</v>
      </c>
      <c r="F11028" t="s">
        <v>11</v>
      </c>
      <c r="G11028" t="s">
        <v>54</v>
      </c>
      <c r="H11028" s="12">
        <v>1.46516929014659</v>
      </c>
      <c r="I11028" s="20">
        <v>1.0709377880384101</v>
      </c>
      <c r="J11028" s="28">
        <v>0.28419740345553302</v>
      </c>
      <c r="K11028" s="29">
        <v>0.98289565623980701</v>
      </c>
    </row>
    <row r="11029" spans="1:11" x14ac:dyDescent="0.35">
      <c r="A11029" s="9" t="str">
        <f>HYPERLINK("http://www.ensembl.org/id/WBGene00019045", "WBGene00019045")</f>
        <v>WBGene00019045</v>
      </c>
      <c r="B11029" s="9" t="str">
        <f>HYPERLINK("http://www.ncbi.nlm.nih.gov/gene/186518", "186518")</f>
        <v>186518</v>
      </c>
      <c r="C11029" s="9"/>
      <c r="D11029" t="str">
        <f>"fbxb-47"</f>
        <v>fbxb-47</v>
      </c>
      <c r="E11029" t="s">
        <v>1436</v>
      </c>
      <c r="F11029" t="s">
        <v>11</v>
      </c>
      <c r="G11029" t="s">
        <v>54</v>
      </c>
      <c r="H11029" s="12">
        <v>-1.2092449550766899</v>
      </c>
      <c r="I11029" s="20">
        <v>-0.26375096113082203</v>
      </c>
      <c r="J11029" s="28">
        <v>0.79197182414224199</v>
      </c>
      <c r="K11029" s="29">
        <v>0.98289565623980701</v>
      </c>
    </row>
    <row r="11030" spans="1:11" x14ac:dyDescent="0.35">
      <c r="A11030" s="9" t="str">
        <f>HYPERLINK("http://www.ensembl.org/id/WBGene00018444", "WBGene00018444")</f>
        <v>WBGene00018444</v>
      </c>
      <c r="B11030" s="9" t="str">
        <f>HYPERLINK("http://www.ncbi.nlm.nih.gov/gene/185775", "185775")</f>
        <v>185775</v>
      </c>
      <c r="C11030" s="9"/>
      <c r="D11030" t="str">
        <f>"fbxb-48"</f>
        <v>fbxb-48</v>
      </c>
      <c r="E11030" t="s">
        <v>1436</v>
      </c>
      <c r="F11030" t="s">
        <v>11</v>
      </c>
      <c r="G11030" t="s">
        <v>54</v>
      </c>
      <c r="H11030" s="12">
        <v>1.15834436746945</v>
      </c>
      <c r="I11030" s="20">
        <v>0.26998078198278502</v>
      </c>
      <c r="J11030" s="28">
        <v>0.78717503854957205</v>
      </c>
      <c r="K11030" s="29">
        <v>0.98289565623980701</v>
      </c>
    </row>
    <row r="11031" spans="1:11" x14ac:dyDescent="0.35">
      <c r="A11031" s="9" t="str">
        <f>HYPERLINK("http://www.ensembl.org/id/WBGene00019412", "WBGene00019412")</f>
        <v>WBGene00019412</v>
      </c>
      <c r="B11031" s="9" t="str">
        <f>HYPERLINK("http://www.ncbi.nlm.nih.gov/gene/187031", "187031")</f>
        <v>187031</v>
      </c>
      <c r="C11031" s="9"/>
      <c r="D11031" t="str">
        <f>"fbxb-49"</f>
        <v>fbxb-49</v>
      </c>
      <c r="E11031" t="s">
        <v>1436</v>
      </c>
      <c r="F11031" t="s">
        <v>11</v>
      </c>
      <c r="G11031" t="s">
        <v>54</v>
      </c>
      <c r="H11031" s="12">
        <v>-1.38037456362301</v>
      </c>
      <c r="I11031" s="20">
        <v>-0.47648307820195301</v>
      </c>
      <c r="J11031" s="28">
        <v>0.63373026005254496</v>
      </c>
      <c r="K11031" s="29">
        <v>0.98289565623980701</v>
      </c>
    </row>
    <row r="11032" spans="1:11" x14ac:dyDescent="0.35">
      <c r="A11032" s="9" t="str">
        <f>HYPERLINK("http://www.ensembl.org/id/WBGene00019413", "WBGene00019413")</f>
        <v>WBGene00019413</v>
      </c>
      <c r="B11032" s="9" t="str">
        <f>HYPERLINK("http://www.ncbi.nlm.nih.gov/gene/187032", "187032")</f>
        <v>187032</v>
      </c>
      <c r="C11032" s="9"/>
      <c r="D11032" t="str">
        <f>"fbxb-50"</f>
        <v>fbxb-50</v>
      </c>
      <c r="E11032" t="s">
        <v>1436</v>
      </c>
      <c r="F11032" t="s">
        <v>11</v>
      </c>
      <c r="G11032" t="s">
        <v>54</v>
      </c>
      <c r="H11032" s="12">
        <v>-1.2742108121429401</v>
      </c>
      <c r="I11032" s="20">
        <v>-0.41552612383188497</v>
      </c>
      <c r="J11032" s="28">
        <v>0.67775679522958598</v>
      </c>
      <c r="K11032" s="29">
        <v>0.98289565623980701</v>
      </c>
    </row>
    <row r="11033" spans="1:11" x14ac:dyDescent="0.35">
      <c r="A11033" s="9" t="str">
        <f>HYPERLINK("http://www.ensembl.org/id/WBGene00019414", "WBGene00019414")</f>
        <v>WBGene00019414</v>
      </c>
      <c r="B11033" s="9" t="str">
        <f>HYPERLINK("http://www.ncbi.nlm.nih.gov/gene/187033", "187033")</f>
        <v>187033</v>
      </c>
      <c r="C11033" s="9"/>
      <c r="D11033" t="str">
        <f>"fbxb-51"</f>
        <v>fbxb-51</v>
      </c>
      <c r="E11033" t="s">
        <v>1436</v>
      </c>
      <c r="F11033" t="s">
        <v>11</v>
      </c>
      <c r="H11033" s="12">
        <v>-1.8459558755793799</v>
      </c>
      <c r="I11033" s="20">
        <v>-1.0109107343952799</v>
      </c>
      <c r="J11033" s="28">
        <v>0.31205915587251598</v>
      </c>
      <c r="K11033" s="29">
        <v>0.98289565623980701</v>
      </c>
    </row>
    <row r="11034" spans="1:11" x14ac:dyDescent="0.35">
      <c r="A11034" s="9" t="str">
        <f>HYPERLINK("http://www.ensembl.org/id/WBGene00018104", "WBGene00018104")</f>
        <v>WBGene00018104</v>
      </c>
      <c r="B11034" s="9" t="str">
        <f>HYPERLINK("http://www.ncbi.nlm.nih.gov/gene/185384", "185384")</f>
        <v>185384</v>
      </c>
      <c r="C11034" s="9"/>
      <c r="D11034" t="str">
        <f>"fbxb-53"</f>
        <v>fbxb-53</v>
      </c>
      <c r="E11034" t="s">
        <v>1436</v>
      </c>
      <c r="F11034" t="s">
        <v>11</v>
      </c>
      <c r="H11034" s="12">
        <v>1.4433175181014499</v>
      </c>
      <c r="I11034" s="20">
        <v>0.68375492432239404</v>
      </c>
      <c r="J11034" s="28">
        <v>0.49412993445859998</v>
      </c>
      <c r="K11034" s="29">
        <v>0.98289565623980701</v>
      </c>
    </row>
    <row r="11035" spans="1:11" x14ac:dyDescent="0.35">
      <c r="A11035" s="9" t="str">
        <f>HYPERLINK("http://www.ensembl.org/id/WBGene00019418", "WBGene00019418")</f>
        <v>WBGene00019418</v>
      </c>
      <c r="B11035" s="9" t="str">
        <f>HYPERLINK("http://www.ncbi.nlm.nih.gov/gene/173529", "173529")</f>
        <v>173529</v>
      </c>
      <c r="C11035" s="9"/>
      <c r="D11035" t="str">
        <f>"fbxb-54"</f>
        <v>fbxb-54</v>
      </c>
      <c r="E11035" t="s">
        <v>1436</v>
      </c>
      <c r="F11035" t="s">
        <v>11</v>
      </c>
      <c r="G11035" t="s">
        <v>54</v>
      </c>
      <c r="H11035" s="12">
        <v>-1.4970671125022701</v>
      </c>
      <c r="I11035" s="20">
        <v>-0.85779402296569995</v>
      </c>
      <c r="J11035" s="28">
        <v>0.39100621076819198</v>
      </c>
      <c r="K11035" s="29">
        <v>0.98289565623980701</v>
      </c>
    </row>
    <row r="11036" spans="1:11" x14ac:dyDescent="0.35">
      <c r="A11036" s="9" t="str">
        <f>HYPERLINK("http://www.ensembl.org/id/WBGene00020979", "WBGene00020979")</f>
        <v>WBGene00020979</v>
      </c>
      <c r="B11036" s="9" t="str">
        <f>HYPERLINK("http://www.ncbi.nlm.nih.gov/gene/189151", "189151")</f>
        <v>189151</v>
      </c>
      <c r="C11036" s="9"/>
      <c r="D11036" t="str">
        <f>"fbxb-55"</f>
        <v>fbxb-55</v>
      </c>
      <c r="E11036" t="s">
        <v>1436</v>
      </c>
      <c r="F11036" t="s">
        <v>11</v>
      </c>
      <c r="H11036" s="12">
        <v>3.3911950045858998</v>
      </c>
      <c r="I11036" s="20">
        <v>0.50547453354954097</v>
      </c>
      <c r="J11036" s="28">
        <v>0.613225580760969</v>
      </c>
      <c r="K11036" s="29">
        <v>0.98289565623980701</v>
      </c>
    </row>
    <row r="11037" spans="1:11" x14ac:dyDescent="0.35">
      <c r="A11037" s="9" t="str">
        <f>HYPERLINK("http://www.ensembl.org/id/WBGene00013409", "WBGene00013409")</f>
        <v>WBGene00013409</v>
      </c>
      <c r="B11037" s="9" t="str">
        <f>HYPERLINK("http://www.ncbi.nlm.nih.gov/gene/173274", "173274")</f>
        <v>173274</v>
      </c>
      <c r="C11037" s="9"/>
      <c r="D11037" t="str">
        <f>"fbxb-56"</f>
        <v>fbxb-56</v>
      </c>
      <c r="E11037" t="s">
        <v>1436</v>
      </c>
      <c r="F11037" t="s">
        <v>11</v>
      </c>
      <c r="G11037" t="s">
        <v>54</v>
      </c>
      <c r="H11037" s="12">
        <v>2.5038823936097199</v>
      </c>
      <c r="I11037" s="20">
        <v>1.1727278856147301</v>
      </c>
      <c r="J11037" s="28">
        <v>0.24090494512437899</v>
      </c>
      <c r="K11037" s="29">
        <v>0.98289565623980701</v>
      </c>
    </row>
    <row r="11038" spans="1:11" x14ac:dyDescent="0.35">
      <c r="A11038" s="9" t="str">
        <f>HYPERLINK("http://www.ensembl.org/id/WBGene00010101", "WBGene00010101")</f>
        <v>WBGene00010101</v>
      </c>
      <c r="B11038" s="9" t="str">
        <f>HYPERLINK("http://www.ncbi.nlm.nih.gov/gene/186292", "186292")</f>
        <v>186292</v>
      </c>
      <c r="C11038" s="9"/>
      <c r="D11038" t="str">
        <f>"fbxb-57"</f>
        <v>fbxb-57</v>
      </c>
      <c r="E11038" t="s">
        <v>1436</v>
      </c>
      <c r="F11038" t="s">
        <v>11</v>
      </c>
      <c r="G11038" t="s">
        <v>54</v>
      </c>
      <c r="H11038" s="12">
        <v>-1.5582753635730999</v>
      </c>
      <c r="I11038" s="20">
        <v>-0.602828074975018</v>
      </c>
      <c r="J11038" s="28">
        <v>0.54662306786410697</v>
      </c>
      <c r="K11038" s="29">
        <v>0.98289565623980701</v>
      </c>
    </row>
    <row r="11039" spans="1:11" x14ac:dyDescent="0.35">
      <c r="A11039" s="9" t="str">
        <f>HYPERLINK("http://www.ensembl.org/id/WBGene00017207", "WBGene00017207")</f>
        <v>WBGene00017207</v>
      </c>
      <c r="B11039" s="9" t="str">
        <f>HYPERLINK("http://www.ncbi.nlm.nih.gov/gene/184141", "184141")</f>
        <v>184141</v>
      </c>
      <c r="C11039" s="9"/>
      <c r="D11039" t="str">
        <f>"fbxb-6"</f>
        <v>fbxb-6</v>
      </c>
      <c r="E11039" t="s">
        <v>1436</v>
      </c>
      <c r="F11039" t="s">
        <v>11</v>
      </c>
      <c r="H11039" s="12">
        <v>2.4303537871602101</v>
      </c>
      <c r="I11039" s="20">
        <v>1.1304795024097201</v>
      </c>
      <c r="J11039" s="28">
        <v>0.25827423075712902</v>
      </c>
      <c r="K11039" s="29">
        <v>0.98289565623980701</v>
      </c>
    </row>
    <row r="11040" spans="1:11" x14ac:dyDescent="0.35">
      <c r="A11040" s="9" t="str">
        <f>HYPERLINK("http://www.ensembl.org/id/WBGene00010104", "WBGene00010104")</f>
        <v>WBGene00010104</v>
      </c>
      <c r="B11040" s="9" t="str">
        <f>HYPERLINK("http://www.ncbi.nlm.nih.gov/gene/186295", "186295")</f>
        <v>186295</v>
      </c>
      <c r="C11040" s="9"/>
      <c r="D11040" t="str">
        <f>"fbxb-60"</f>
        <v>fbxb-60</v>
      </c>
      <c r="E11040" t="s">
        <v>1436</v>
      </c>
      <c r="F11040" t="s">
        <v>11</v>
      </c>
      <c r="G11040" t="s">
        <v>54</v>
      </c>
      <c r="H11040" s="12">
        <v>1.3247693925290001</v>
      </c>
      <c r="I11040" s="20">
        <v>0.416719520692721</v>
      </c>
      <c r="J11040" s="28">
        <v>0.67688357436277602</v>
      </c>
      <c r="K11040" s="29">
        <v>0.98289565623980701</v>
      </c>
    </row>
    <row r="11041" spans="1:11" x14ac:dyDescent="0.35">
      <c r="A11041" s="9" t="str">
        <f>HYPERLINK("http://www.ensembl.org/id/WBGene00010105", "WBGene00010105")</f>
        <v>WBGene00010105</v>
      </c>
      <c r="B11041" s="9" t="str">
        <f>HYPERLINK("http://www.ncbi.nlm.nih.gov/gene/186296", "186296")</f>
        <v>186296</v>
      </c>
      <c r="C11041" s="9"/>
      <c r="D11041" t="str">
        <f>"fbxb-62"</f>
        <v>fbxb-62</v>
      </c>
      <c r="E11041" t="s">
        <v>1436</v>
      </c>
      <c r="F11041" t="s">
        <v>11</v>
      </c>
      <c r="G11041" t="s">
        <v>54</v>
      </c>
      <c r="H11041" s="12">
        <v>1.73292418294193</v>
      </c>
      <c r="I11041" s="20">
        <v>1.0636568391940699</v>
      </c>
      <c r="J11041" s="28">
        <v>0.28748418346931898</v>
      </c>
      <c r="K11041" s="29">
        <v>0.98289565623980701</v>
      </c>
    </row>
    <row r="11042" spans="1:11" x14ac:dyDescent="0.35">
      <c r="A11042" s="9" t="str">
        <f>HYPERLINK("http://www.ensembl.org/id/WBGene00009862", "WBGene00009862")</f>
        <v>WBGene00009862</v>
      </c>
      <c r="B11042" s="9" t="str">
        <f>HYPERLINK("http://www.ncbi.nlm.nih.gov/gene/186009", "186009")</f>
        <v>186009</v>
      </c>
      <c r="C11042" s="9"/>
      <c r="D11042" t="str">
        <f>"fbxb-67"</f>
        <v>fbxb-67</v>
      </c>
      <c r="E11042" t="s">
        <v>1436</v>
      </c>
      <c r="F11042" t="s">
        <v>11</v>
      </c>
      <c r="G11042" t="s">
        <v>54</v>
      </c>
      <c r="H11042" s="12">
        <v>1.2803539461369799</v>
      </c>
      <c r="I11042" s="20">
        <v>0.54321079085019197</v>
      </c>
      <c r="J11042" s="28">
        <v>0.58698467774073504</v>
      </c>
      <c r="K11042" s="29">
        <v>0.98289565623980701</v>
      </c>
    </row>
    <row r="11043" spans="1:11" x14ac:dyDescent="0.35">
      <c r="A11043" s="9" t="str">
        <f>HYPERLINK("http://www.ensembl.org/id/WBGene00008611", "WBGene00008611")</f>
        <v>WBGene00008611</v>
      </c>
      <c r="B11043" s="9" t="str">
        <f>HYPERLINK("http://www.ncbi.nlm.nih.gov/gene/184227", "184227")</f>
        <v>184227</v>
      </c>
      <c r="C11043" s="9"/>
      <c r="D11043" t="str">
        <f>"fbxb-68"</f>
        <v>fbxb-68</v>
      </c>
      <c r="E11043" t="s">
        <v>1436</v>
      </c>
      <c r="F11043" t="s">
        <v>11</v>
      </c>
      <c r="H11043" s="12">
        <v>-2.00410487888522</v>
      </c>
      <c r="I11043" s="20">
        <v>-0.94166664003318601</v>
      </c>
      <c r="J11043" s="28">
        <v>0.346363339723327</v>
      </c>
      <c r="K11043" s="29">
        <v>0.98289565623980701</v>
      </c>
    </row>
    <row r="11044" spans="1:11" x14ac:dyDescent="0.35">
      <c r="A11044" s="9" t="str">
        <f>HYPERLINK("http://www.ensembl.org/id/WBGene00019956", "WBGene00019956")</f>
        <v>WBGene00019956</v>
      </c>
      <c r="B11044" s="9" t="str">
        <f>HYPERLINK("http://www.ncbi.nlm.nih.gov/gene/3565845", "3565845")</f>
        <v>3565845</v>
      </c>
      <c r="C11044" s="9"/>
      <c r="D11044" t="str">
        <f>"fbxb-75"</f>
        <v>fbxb-75</v>
      </c>
      <c r="E11044" t="s">
        <v>1436</v>
      </c>
      <c r="F11044" t="s">
        <v>11</v>
      </c>
      <c r="G11044" t="s">
        <v>54</v>
      </c>
      <c r="H11044" s="12">
        <v>1.3886709662294101</v>
      </c>
      <c r="I11044" s="20">
        <v>0.97366072651064195</v>
      </c>
      <c r="J11044" s="28">
        <v>0.33022502349430999</v>
      </c>
      <c r="K11044" s="29">
        <v>0.98289565623980701</v>
      </c>
    </row>
    <row r="11045" spans="1:11" x14ac:dyDescent="0.35">
      <c r="A11045" s="9" t="str">
        <f>HYPERLINK("http://www.ensembl.org/id/WBGene00010352", "WBGene00010352")</f>
        <v>WBGene00010352</v>
      </c>
      <c r="B11045" s="9" t="str">
        <f>HYPERLINK("http://www.ncbi.nlm.nih.gov/gene/186669", "186669")</f>
        <v>186669</v>
      </c>
      <c r="C11045" s="9"/>
      <c r="D11045" t="str">
        <f>"fbxb-76"</f>
        <v>fbxb-76</v>
      </c>
      <c r="E11045" t="s">
        <v>1436</v>
      </c>
      <c r="F11045" t="s">
        <v>11</v>
      </c>
      <c r="G11045" t="s">
        <v>54</v>
      </c>
      <c r="H11045" s="12">
        <v>1.64606119268216</v>
      </c>
      <c r="I11045" s="20">
        <v>0.31627395826643101</v>
      </c>
      <c r="J11045" s="28">
        <v>0.75179457571150499</v>
      </c>
      <c r="K11045" s="29">
        <v>0.98289565623980701</v>
      </c>
    </row>
    <row r="11046" spans="1:11" x14ac:dyDescent="0.35">
      <c r="A11046" s="9" t="str">
        <f>HYPERLINK("http://www.ensembl.org/id/WBGene00021204", "WBGene00021204")</f>
        <v>WBGene00021204</v>
      </c>
      <c r="B11046" s="9" t="str">
        <f>HYPERLINK("http://www.ncbi.nlm.nih.gov/gene/189469", "189469")</f>
        <v>189469</v>
      </c>
      <c r="C11046" s="9"/>
      <c r="D11046" t="str">
        <f>"fbxb-77"</f>
        <v>fbxb-77</v>
      </c>
      <c r="E11046" t="s">
        <v>1436</v>
      </c>
      <c r="F11046" t="s">
        <v>11</v>
      </c>
      <c r="H11046" s="12">
        <v>1.3571649146065199</v>
      </c>
      <c r="I11046" s="20">
        <v>1.00158746127827</v>
      </c>
      <c r="J11046" s="28">
        <v>0.31654287932564601</v>
      </c>
      <c r="K11046" s="29">
        <v>0.98289565623980701</v>
      </c>
    </row>
    <row r="11047" spans="1:11" x14ac:dyDescent="0.35">
      <c r="A11047" s="9" t="str">
        <f>HYPERLINK("http://www.ensembl.org/id/WBGene00017116", "WBGene00017116")</f>
        <v>WBGene00017116</v>
      </c>
      <c r="B11047" s="9" t="str">
        <f>HYPERLINK("http://www.ncbi.nlm.nih.gov/gene/184032", "184032")</f>
        <v>184032</v>
      </c>
      <c r="C11047" s="9"/>
      <c r="D11047" t="str">
        <f>"fbxb-78"</f>
        <v>fbxb-78</v>
      </c>
      <c r="E11047" t="s">
        <v>1436</v>
      </c>
      <c r="F11047" t="s">
        <v>11</v>
      </c>
      <c r="H11047" s="12">
        <v>1.4452118716696001</v>
      </c>
      <c r="I11047" s="20">
        <v>0.75303420054431003</v>
      </c>
      <c r="J11047" s="28">
        <v>0.451429362543111</v>
      </c>
      <c r="K11047" s="29">
        <v>0.98289565623980701</v>
      </c>
    </row>
    <row r="11048" spans="1:11" x14ac:dyDescent="0.35">
      <c r="A11048" s="9" t="str">
        <f>HYPERLINK("http://www.ensembl.org/id/WBGene00009861", "WBGene00009861")</f>
        <v>WBGene00009861</v>
      </c>
      <c r="B11048" s="9" t="str">
        <f>HYPERLINK("http://www.ncbi.nlm.nih.gov/gene/173295", "173295")</f>
        <v>173295</v>
      </c>
      <c r="C11048" s="9"/>
      <c r="D11048" t="str">
        <f>"fbxb-8"</f>
        <v>fbxb-8</v>
      </c>
      <c r="E11048" t="s">
        <v>1436</v>
      </c>
      <c r="F11048" t="s">
        <v>11</v>
      </c>
      <c r="G11048" t="s">
        <v>54</v>
      </c>
      <c r="H11048" s="12">
        <v>1.35117585421924</v>
      </c>
      <c r="I11048" s="20">
        <v>0.53090909123413499</v>
      </c>
      <c r="J11048" s="28">
        <v>0.59548177752520803</v>
      </c>
      <c r="K11048" s="29">
        <v>0.98289565623980701</v>
      </c>
    </row>
    <row r="11049" spans="1:11" x14ac:dyDescent="0.35">
      <c r="A11049" s="9" t="str">
        <f>HYPERLINK("http://www.ensembl.org/id/WBGene00020541", "WBGene00020541")</f>
        <v>WBGene00020541</v>
      </c>
      <c r="B11049" s="9" t="str">
        <f>HYPERLINK("http://www.ncbi.nlm.nih.gov/gene/188565", "188565")</f>
        <v>188565</v>
      </c>
      <c r="C11049" s="9"/>
      <c r="D11049" t="str">
        <f>"fbxb-81"</f>
        <v>fbxb-81</v>
      </c>
      <c r="E11049" t="s">
        <v>1436</v>
      </c>
      <c r="F11049" t="s">
        <v>11</v>
      </c>
      <c r="H11049" s="12">
        <v>-1.6145879627538799</v>
      </c>
      <c r="I11049" s="20">
        <v>-0.771711158138083</v>
      </c>
      <c r="J11049" s="28">
        <v>0.440285520533993</v>
      </c>
      <c r="K11049" s="29">
        <v>0.98289565623980701</v>
      </c>
    </row>
    <row r="11050" spans="1:11" x14ac:dyDescent="0.35">
      <c r="A11050" s="9" t="str">
        <f>HYPERLINK("http://www.ensembl.org/id/WBGene00020542", "WBGene00020542")</f>
        <v>WBGene00020542</v>
      </c>
      <c r="B11050" s="9" t="str">
        <f>HYPERLINK("http://www.ncbi.nlm.nih.gov/gene/188566", "188566")</f>
        <v>188566</v>
      </c>
      <c r="C11050" s="9"/>
      <c r="D11050" t="str">
        <f>"fbxb-82"</f>
        <v>fbxb-82</v>
      </c>
      <c r="E11050" t="s">
        <v>1436</v>
      </c>
      <c r="F11050" t="s">
        <v>11</v>
      </c>
      <c r="G11050" t="s">
        <v>54</v>
      </c>
      <c r="H11050" s="12">
        <v>-1.1822344968870799</v>
      </c>
      <c r="I11050" s="20">
        <v>-0.29311758424579398</v>
      </c>
      <c r="J11050" s="28">
        <v>0.76943227649762502</v>
      </c>
      <c r="K11050" s="29">
        <v>0.98289565623980701</v>
      </c>
    </row>
    <row r="11051" spans="1:11" x14ac:dyDescent="0.35">
      <c r="A11051" s="9" t="str">
        <f>HYPERLINK("http://www.ensembl.org/id/WBGene00020544", "WBGene00020544")</f>
        <v>WBGene00020544</v>
      </c>
      <c r="B11051" s="9" t="str">
        <f>HYPERLINK("http://www.ncbi.nlm.nih.gov/gene/188568", "188568")</f>
        <v>188568</v>
      </c>
      <c r="C11051" s="9"/>
      <c r="D11051" t="str">
        <f>"fbxb-84"</f>
        <v>fbxb-84</v>
      </c>
      <c r="E11051" t="s">
        <v>1436</v>
      </c>
      <c r="F11051" t="s">
        <v>11</v>
      </c>
      <c r="G11051" t="s">
        <v>54</v>
      </c>
      <c r="H11051" s="12">
        <v>-1.1230276087906299</v>
      </c>
      <c r="I11051" s="20">
        <v>-0.25531558341348698</v>
      </c>
      <c r="J11051" s="28">
        <v>0.79847936487549498</v>
      </c>
      <c r="K11051" s="29">
        <v>0.98289565623980701</v>
      </c>
    </row>
    <row r="11052" spans="1:11" x14ac:dyDescent="0.35">
      <c r="A11052" s="9" t="str">
        <f>HYPERLINK("http://www.ensembl.org/id/WBGene00011267", "WBGene00011267")</f>
        <v>WBGene00011267</v>
      </c>
      <c r="B11052" s="9" t="str">
        <f>HYPERLINK("http://www.ncbi.nlm.nih.gov/gene/187876", "187876")</f>
        <v>187876</v>
      </c>
      <c r="C11052" s="9"/>
      <c r="D11052" t="str">
        <f>"fbxb-85"</f>
        <v>fbxb-85</v>
      </c>
      <c r="E11052" t="s">
        <v>1436</v>
      </c>
      <c r="F11052" t="s">
        <v>11</v>
      </c>
      <c r="G11052" t="s">
        <v>54</v>
      </c>
      <c r="H11052" s="12">
        <v>1.2335317693418599</v>
      </c>
      <c r="I11052" s="20">
        <v>0.395006611085431</v>
      </c>
      <c r="J11052" s="28">
        <v>0.69283800896081704</v>
      </c>
      <c r="K11052" s="29">
        <v>0.98289565623980701</v>
      </c>
    </row>
    <row r="11053" spans="1:11" x14ac:dyDescent="0.35">
      <c r="A11053" s="9" t="str">
        <f>HYPERLINK("http://www.ensembl.org/id/WBGene00043996", "WBGene00043996")</f>
        <v>WBGene00043996</v>
      </c>
      <c r="B11053" s="9" t="str">
        <f>HYPERLINK("http://www.ncbi.nlm.nih.gov/gene/3565613", "3565613")</f>
        <v>3565613</v>
      </c>
      <c r="C11053" s="9"/>
      <c r="D11053" t="str">
        <f>"fbxb-87"</f>
        <v>fbxb-87</v>
      </c>
      <c r="E11053" t="s">
        <v>1436</v>
      </c>
      <c r="F11053" t="s">
        <v>11</v>
      </c>
      <c r="G11053" t="s">
        <v>54</v>
      </c>
      <c r="H11053" s="12">
        <v>1.3142754661628899</v>
      </c>
      <c r="I11053" s="20">
        <v>0.41039909215475701</v>
      </c>
      <c r="J11053" s="28">
        <v>0.681513212134918</v>
      </c>
      <c r="K11053" s="29">
        <v>0.98289565623980701</v>
      </c>
    </row>
    <row r="11054" spans="1:11" x14ac:dyDescent="0.35">
      <c r="A11054" s="9" t="str">
        <f>HYPERLINK("http://www.ensembl.org/id/WBGene00016359", "WBGene00016359")</f>
        <v>WBGene00016359</v>
      </c>
      <c r="B11054" s="9" t="str">
        <f>HYPERLINK("http://www.ncbi.nlm.nih.gov/gene/173831", "173831")</f>
        <v>173831</v>
      </c>
      <c r="C11054" s="9"/>
      <c r="D11054" t="str">
        <f>"fbxb-88"</f>
        <v>fbxb-88</v>
      </c>
      <c r="E11054" t="s">
        <v>1436</v>
      </c>
      <c r="F11054" t="s">
        <v>11</v>
      </c>
      <c r="G11054" t="s">
        <v>54</v>
      </c>
      <c r="H11054" s="12">
        <v>1.25162354921115</v>
      </c>
      <c r="I11054" s="20">
        <v>0.69345606469195897</v>
      </c>
      <c r="J11054" s="28">
        <v>0.48802338874066797</v>
      </c>
      <c r="K11054" s="29">
        <v>0.98289565623980701</v>
      </c>
    </row>
    <row r="11055" spans="1:11" x14ac:dyDescent="0.35">
      <c r="A11055" s="9" t="str">
        <f>HYPERLINK("http://www.ensembl.org/id/WBGene00044694", "WBGene00044694")</f>
        <v>WBGene00044694</v>
      </c>
      <c r="B11055" s="9" t="str">
        <f>HYPERLINK("http://www.ncbi.nlm.nih.gov/gene/4363043", "4363043")</f>
        <v>4363043</v>
      </c>
      <c r="C11055" s="9"/>
      <c r="D11055" t="str">
        <f>"fbxb-90"</f>
        <v>fbxb-90</v>
      </c>
      <c r="E11055" t="s">
        <v>1436</v>
      </c>
      <c r="F11055" t="s">
        <v>11</v>
      </c>
      <c r="G11055" t="s">
        <v>54</v>
      </c>
      <c r="H11055" s="12">
        <v>-1.2659476054655101</v>
      </c>
      <c r="I11055" s="20">
        <v>-0.41144949716871998</v>
      </c>
      <c r="J11055" s="28">
        <v>0.68074296584746896</v>
      </c>
      <c r="K11055" s="29">
        <v>0.98289565623980701</v>
      </c>
    </row>
    <row r="11056" spans="1:11" x14ac:dyDescent="0.35">
      <c r="A11056" s="9" t="str">
        <f>HYPERLINK("http://www.ensembl.org/id/WBGene00044693", "WBGene00044693")</f>
        <v>WBGene00044693</v>
      </c>
      <c r="B11056" s="9" t="str">
        <f>HYPERLINK("http://www.ncbi.nlm.nih.gov/gene/4363025", "4363025")</f>
        <v>4363025</v>
      </c>
      <c r="C11056" s="9"/>
      <c r="D11056" t="str">
        <f>"fbxb-92"</f>
        <v>fbxb-92</v>
      </c>
      <c r="E11056" t="s">
        <v>1436</v>
      </c>
      <c r="F11056" t="s">
        <v>11</v>
      </c>
      <c r="G11056" t="s">
        <v>54</v>
      </c>
      <c r="H11056" s="12">
        <v>-1.76435916247373</v>
      </c>
      <c r="I11056" s="20">
        <v>-0.80844084767754598</v>
      </c>
      <c r="J11056" s="28">
        <v>0.41883684523509401</v>
      </c>
      <c r="K11056" s="29">
        <v>0.98289565623980701</v>
      </c>
    </row>
    <row r="11057" spans="1:11" x14ac:dyDescent="0.35">
      <c r="A11057" s="9" t="str">
        <f>HYPERLINK("http://www.ensembl.org/id/WBGene00013408", "WBGene00013408")</f>
        <v>WBGene00013408</v>
      </c>
      <c r="B11057" s="9"/>
      <c r="C11057" s="9"/>
      <c r="D11057" t="str">
        <f>"fbxb-93"</f>
        <v>fbxb-93</v>
      </c>
      <c r="F11057" t="s">
        <v>11</v>
      </c>
      <c r="G11057" t="s">
        <v>54</v>
      </c>
      <c r="H11057" s="12">
        <v>1.67624527020411</v>
      </c>
      <c r="I11057" s="20">
        <v>0.87906011621532298</v>
      </c>
      <c r="J11057" s="28">
        <v>0.37936868140945301</v>
      </c>
      <c r="K11057" s="29">
        <v>0.98289565623980701</v>
      </c>
    </row>
    <row r="11058" spans="1:11" x14ac:dyDescent="0.35">
      <c r="A11058" s="9" t="str">
        <f>HYPERLINK("http://www.ensembl.org/id/WBGene00016880", "WBGene00016880")</f>
        <v>WBGene00016880</v>
      </c>
      <c r="B11058" s="9" t="str">
        <f>HYPERLINK("http://www.ncbi.nlm.nih.gov/gene/183723", "183723")</f>
        <v>183723</v>
      </c>
      <c r="C11058" s="9"/>
      <c r="D11058" t="str">
        <f>"fbxb-95"</f>
        <v>fbxb-95</v>
      </c>
      <c r="E11058" t="s">
        <v>1436</v>
      </c>
      <c r="F11058" t="s">
        <v>11</v>
      </c>
      <c r="G11058" t="s">
        <v>54</v>
      </c>
      <c r="H11058" s="12">
        <v>-1.2225901128452801</v>
      </c>
      <c r="I11058" s="20">
        <v>-0.41557480825419202</v>
      </c>
      <c r="J11058" s="28">
        <v>0.67772116385134995</v>
      </c>
      <c r="K11058" s="29">
        <v>0.98289565623980701</v>
      </c>
    </row>
    <row r="11059" spans="1:11" x14ac:dyDescent="0.35">
      <c r="A11059" s="9" t="str">
        <f>HYPERLINK("http://www.ensembl.org/id/WBGene00016885", "WBGene00016885")</f>
        <v>WBGene00016885</v>
      </c>
      <c r="B11059" s="9" t="str">
        <f>HYPERLINK("http://www.ncbi.nlm.nih.gov/gene/183726", "183726")</f>
        <v>183726</v>
      </c>
      <c r="C11059" s="9"/>
      <c r="D11059" t="str">
        <f>"fbxb-97"</f>
        <v>fbxb-97</v>
      </c>
      <c r="E11059" t="s">
        <v>1436</v>
      </c>
      <c r="F11059" t="s">
        <v>11</v>
      </c>
      <c r="H11059" s="12">
        <v>-1.3728723156749001</v>
      </c>
      <c r="I11059" s="20">
        <v>-0.33638540225262398</v>
      </c>
      <c r="J11059" s="28">
        <v>0.73658025609070499</v>
      </c>
      <c r="K11059" s="29">
        <v>0.98289565623980701</v>
      </c>
    </row>
    <row r="11060" spans="1:11" x14ac:dyDescent="0.35">
      <c r="A11060" s="9" t="str">
        <f>HYPERLINK("http://www.ensembl.org/id/WBGene00045298", "WBGene00045298")</f>
        <v>WBGene00045298</v>
      </c>
      <c r="B11060" s="9" t="str">
        <f>HYPERLINK("http://www.ncbi.nlm.nih.gov/gene/6418669", "6418669")</f>
        <v>6418669</v>
      </c>
      <c r="C11060" s="9"/>
      <c r="D11060" t="str">
        <f>"fbxc-12"</f>
        <v>fbxc-12</v>
      </c>
      <c r="E11060" t="s">
        <v>311</v>
      </c>
      <c r="F11060" t="s">
        <v>11</v>
      </c>
      <c r="H11060" s="12">
        <v>3.5227018545059199</v>
      </c>
      <c r="I11060" s="20">
        <v>0.36849691206929103</v>
      </c>
      <c r="J11060" s="28">
        <v>0.71250274722433404</v>
      </c>
      <c r="K11060" s="29">
        <v>0.98289565623980701</v>
      </c>
    </row>
    <row r="11061" spans="1:11" x14ac:dyDescent="0.35">
      <c r="A11061" s="9" t="str">
        <f>HYPERLINK("http://www.ensembl.org/id/WBGene00016298", "WBGene00016298")</f>
        <v>WBGene00016298</v>
      </c>
      <c r="B11061" s="9" t="str">
        <f>HYPERLINK("http://www.ncbi.nlm.nih.gov/gene/183109", "183109")</f>
        <v>183109</v>
      </c>
      <c r="C11061" s="9"/>
      <c r="D11061" t="str">
        <f>"fbxc-14"</f>
        <v>fbxc-14</v>
      </c>
      <c r="E11061" t="s">
        <v>311</v>
      </c>
      <c r="F11061" t="s">
        <v>11</v>
      </c>
      <c r="H11061" s="12">
        <v>1.29943311697803</v>
      </c>
      <c r="I11061" s="20">
        <v>0.52000889065314404</v>
      </c>
      <c r="J11061" s="28">
        <v>0.60305737845614804</v>
      </c>
      <c r="K11061" s="29">
        <v>0.98289565623980701</v>
      </c>
    </row>
    <row r="11062" spans="1:11" x14ac:dyDescent="0.35">
      <c r="A11062" s="9" t="str">
        <f>HYPERLINK("http://www.ensembl.org/id/WBGene00016297", "WBGene00016297")</f>
        <v>WBGene00016297</v>
      </c>
      <c r="B11062" s="9" t="str">
        <f>HYPERLINK("http://www.ncbi.nlm.nih.gov/gene/183108", "183108")</f>
        <v>183108</v>
      </c>
      <c r="C11062" s="9"/>
      <c r="D11062" t="str">
        <f>"fbxc-15"</f>
        <v>fbxc-15</v>
      </c>
      <c r="E11062" t="s">
        <v>311</v>
      </c>
      <c r="F11062" t="s">
        <v>11</v>
      </c>
      <c r="H11062" s="12">
        <v>1.6292970780121201</v>
      </c>
      <c r="I11062" s="20">
        <v>0.59657507119618103</v>
      </c>
      <c r="J11062" s="28">
        <v>0.55079111898152799</v>
      </c>
      <c r="K11062" s="29">
        <v>0.98289565623980701</v>
      </c>
    </row>
    <row r="11063" spans="1:11" x14ac:dyDescent="0.35">
      <c r="A11063" s="9" t="str">
        <f>HYPERLINK("http://www.ensembl.org/id/WBGene00016296", "WBGene00016296")</f>
        <v>WBGene00016296</v>
      </c>
      <c r="B11063" s="9"/>
      <c r="C11063" s="9"/>
      <c r="D11063" t="str">
        <f>"fbxc-16"</f>
        <v>fbxc-16</v>
      </c>
      <c r="F11063" t="s">
        <v>80</v>
      </c>
      <c r="H11063" s="12">
        <v>3.28624938312884</v>
      </c>
      <c r="I11063" s="20">
        <v>0.36379512681977599</v>
      </c>
      <c r="J11063" s="28">
        <v>0.716011001908614</v>
      </c>
      <c r="K11063" s="29">
        <v>0.98289565623980701</v>
      </c>
    </row>
    <row r="11064" spans="1:11" x14ac:dyDescent="0.35">
      <c r="A11064" s="9" t="str">
        <f>HYPERLINK("http://www.ensembl.org/id/WBGene00044419", "WBGene00044419")</f>
        <v>WBGene00044419</v>
      </c>
      <c r="B11064" s="9" t="str">
        <f>HYPERLINK("http://www.ncbi.nlm.nih.gov/gene/3565224", "3565224")</f>
        <v>3565224</v>
      </c>
      <c r="C11064" s="9"/>
      <c r="D11064" t="str">
        <f>"fbxc-17"</f>
        <v>fbxc-17</v>
      </c>
      <c r="E11064" t="s">
        <v>311</v>
      </c>
      <c r="F11064" t="s">
        <v>11</v>
      </c>
      <c r="H11064" s="12">
        <v>-2.0068711707861802</v>
      </c>
      <c r="I11064" s="20">
        <v>-0.48899998168196601</v>
      </c>
      <c r="J11064" s="28">
        <v>0.62484170982281895</v>
      </c>
      <c r="K11064" s="29">
        <v>0.98289565623980701</v>
      </c>
    </row>
    <row r="11065" spans="1:11" x14ac:dyDescent="0.35">
      <c r="A11065" s="9" t="str">
        <f>HYPERLINK("http://www.ensembl.org/id/WBGene00019042", "WBGene00019042")</f>
        <v>WBGene00019042</v>
      </c>
      <c r="B11065" s="9" t="str">
        <f>HYPERLINK("http://www.ncbi.nlm.nih.gov/gene/186515", "186515")</f>
        <v>186515</v>
      </c>
      <c r="C11065" s="9"/>
      <c r="D11065" t="str">
        <f>"fbxc-21"</f>
        <v>fbxc-21</v>
      </c>
      <c r="E11065" t="s">
        <v>311</v>
      </c>
      <c r="F11065" t="s">
        <v>11</v>
      </c>
      <c r="H11065" s="12">
        <v>1.38392986818235</v>
      </c>
      <c r="I11065" s="20">
        <v>0.73169638602611298</v>
      </c>
      <c r="J11065" s="28">
        <v>0.46435390274219202</v>
      </c>
      <c r="K11065" s="29">
        <v>0.98289565623980701</v>
      </c>
    </row>
    <row r="11066" spans="1:11" x14ac:dyDescent="0.35">
      <c r="A11066" s="9" t="str">
        <f>HYPERLINK("http://www.ensembl.org/id/WBGene00019041", "WBGene00019041")</f>
        <v>WBGene00019041</v>
      </c>
      <c r="B11066" s="9" t="str">
        <f>HYPERLINK("http://www.ncbi.nlm.nih.gov/gene/173538", "173538")</f>
        <v>173538</v>
      </c>
      <c r="C11066" s="9"/>
      <c r="D11066" t="str">
        <f>"fbxc-22"</f>
        <v>fbxc-22</v>
      </c>
      <c r="E11066" t="s">
        <v>311</v>
      </c>
      <c r="F11066" t="s">
        <v>11</v>
      </c>
      <c r="H11066" s="12">
        <v>-1.45085869767189</v>
      </c>
      <c r="I11066" s="20">
        <v>-0.65891650675413105</v>
      </c>
      <c r="J11066" s="28">
        <v>0.50994938540342005</v>
      </c>
      <c r="K11066" s="29">
        <v>0.98289565623980701</v>
      </c>
    </row>
    <row r="11067" spans="1:11" x14ac:dyDescent="0.35">
      <c r="A11067" s="9" t="str">
        <f>HYPERLINK("http://www.ensembl.org/id/WBGene00013009", "WBGene00013009")</f>
        <v>WBGene00013009</v>
      </c>
      <c r="B11067" s="9" t="str">
        <f>HYPERLINK("http://www.ncbi.nlm.nih.gov/gene/190029", "190029")</f>
        <v>190029</v>
      </c>
      <c r="C11067" s="9"/>
      <c r="D11067" t="str">
        <f>"fbxc-23"</f>
        <v>fbxc-23</v>
      </c>
      <c r="E11067" t="s">
        <v>311</v>
      </c>
      <c r="F11067" t="s">
        <v>11</v>
      </c>
      <c r="H11067" s="12">
        <v>1.13161133459756</v>
      </c>
      <c r="I11067" s="20">
        <v>0.29421509691675302</v>
      </c>
      <c r="J11067" s="28">
        <v>0.76859354524885504</v>
      </c>
      <c r="K11067" s="29">
        <v>0.98289565623980701</v>
      </c>
    </row>
    <row r="11068" spans="1:11" x14ac:dyDescent="0.35">
      <c r="A11068" s="9" t="str">
        <f>HYPERLINK("http://www.ensembl.org/id/WBGene00019927", "WBGene00019927")</f>
        <v>WBGene00019927</v>
      </c>
      <c r="B11068" s="9" t="str">
        <f>HYPERLINK("http://www.ncbi.nlm.nih.gov/gene/187670", "187670")</f>
        <v>187670</v>
      </c>
      <c r="C11068" s="9"/>
      <c r="D11068" t="str">
        <f>"fbxc-24"</f>
        <v>fbxc-24</v>
      </c>
      <c r="E11068" t="s">
        <v>311</v>
      </c>
      <c r="F11068" t="s">
        <v>11</v>
      </c>
      <c r="H11068" s="12">
        <v>1.39191818950954</v>
      </c>
      <c r="I11068" s="20">
        <v>1.0082797862233599</v>
      </c>
      <c r="J11068" s="28">
        <v>0.31332016420015502</v>
      </c>
      <c r="K11068" s="29">
        <v>0.98289565623980701</v>
      </c>
    </row>
    <row r="11069" spans="1:11" x14ac:dyDescent="0.35">
      <c r="A11069" s="9" t="str">
        <f>HYPERLINK("http://www.ensembl.org/id/WBGene00019926", "WBGene00019926")</f>
        <v>WBGene00019926</v>
      </c>
      <c r="B11069" s="9" t="str">
        <f>HYPERLINK("http://www.ncbi.nlm.nih.gov/gene/187669", "187669")</f>
        <v>187669</v>
      </c>
      <c r="C11069" s="9"/>
      <c r="D11069" t="str">
        <f>"fbxc-27"</f>
        <v>fbxc-27</v>
      </c>
      <c r="E11069" t="s">
        <v>311</v>
      </c>
      <c r="F11069" t="s">
        <v>11</v>
      </c>
      <c r="H11069" s="12">
        <v>1.98369071673547</v>
      </c>
      <c r="I11069" s="20">
        <v>0.65019180802441801</v>
      </c>
      <c r="J11069" s="28">
        <v>0.51556833195513496</v>
      </c>
      <c r="K11069" s="29">
        <v>0.98289565623980701</v>
      </c>
    </row>
    <row r="11070" spans="1:11" x14ac:dyDescent="0.35">
      <c r="A11070" s="9" t="str">
        <f>HYPERLINK("http://www.ensembl.org/id/WBGene00019922", "WBGene00019922")</f>
        <v>WBGene00019922</v>
      </c>
      <c r="B11070" s="9" t="str">
        <f>HYPERLINK("http://www.ncbi.nlm.nih.gov/gene/187668", "187668")</f>
        <v>187668</v>
      </c>
      <c r="C11070" s="9"/>
      <c r="D11070" t="str">
        <f>"fbxc-28"</f>
        <v>fbxc-28</v>
      </c>
      <c r="E11070" t="s">
        <v>311</v>
      </c>
      <c r="F11070" t="s">
        <v>11</v>
      </c>
      <c r="H11070" s="12">
        <v>1.2489185205695601</v>
      </c>
      <c r="I11070" s="20">
        <v>0.61651833429282998</v>
      </c>
      <c r="J11070" s="28">
        <v>0.53755247512304105</v>
      </c>
      <c r="K11070" s="29">
        <v>0.98289565623980701</v>
      </c>
    </row>
    <row r="11071" spans="1:11" x14ac:dyDescent="0.35">
      <c r="A11071" s="9" t="str">
        <f>HYPERLINK("http://www.ensembl.org/id/WBGene00045302", "WBGene00045302")</f>
        <v>WBGene00045302</v>
      </c>
      <c r="B11071" s="9" t="str">
        <f>HYPERLINK("http://www.ncbi.nlm.nih.gov/gene/6418632", "6418632")</f>
        <v>6418632</v>
      </c>
      <c r="C11071" s="9"/>
      <c r="D11071" t="str">
        <f>"fbxc-30"</f>
        <v>fbxc-30</v>
      </c>
      <c r="E11071" t="s">
        <v>311</v>
      </c>
      <c r="F11071" t="s">
        <v>11</v>
      </c>
      <c r="H11071" s="12">
        <v>1.5302520653348699</v>
      </c>
      <c r="I11071" s="20">
        <v>0.49461620214891799</v>
      </c>
      <c r="J11071" s="28">
        <v>0.62087106313836005</v>
      </c>
      <c r="K11071" s="29">
        <v>0.98289565623980701</v>
      </c>
    </row>
    <row r="11072" spans="1:11" x14ac:dyDescent="0.35">
      <c r="A11072" s="9" t="str">
        <f>HYPERLINK("http://www.ensembl.org/id/WBGene00019925", "WBGene00019925")</f>
        <v>WBGene00019925</v>
      </c>
      <c r="B11072" s="9" t="str">
        <f>HYPERLINK("http://www.ncbi.nlm.nih.gov/gene/173472", "173472")</f>
        <v>173472</v>
      </c>
      <c r="C11072" s="9"/>
      <c r="D11072" t="str">
        <f>"fbxc-31"</f>
        <v>fbxc-31</v>
      </c>
      <c r="E11072" t="s">
        <v>311</v>
      </c>
      <c r="F11072" t="s">
        <v>11</v>
      </c>
      <c r="H11072" s="12">
        <v>1.6076887798178601</v>
      </c>
      <c r="I11072" s="20">
        <v>0.66234703723421995</v>
      </c>
      <c r="J11072" s="28">
        <v>0.50774883808601801</v>
      </c>
      <c r="K11072" s="29">
        <v>0.98289565623980701</v>
      </c>
    </row>
    <row r="11073" spans="1:11" x14ac:dyDescent="0.35">
      <c r="A11073" s="9" t="str">
        <f>HYPERLINK("http://www.ensembl.org/id/WBGene00016303", "WBGene00016303")</f>
        <v>WBGene00016303</v>
      </c>
      <c r="B11073" s="9" t="str">
        <f>HYPERLINK("http://www.ncbi.nlm.nih.gov/gene/173476", "173476")</f>
        <v>173476</v>
      </c>
      <c r="C11073" s="9"/>
      <c r="D11073" t="str">
        <f>"fbxc-32"</f>
        <v>fbxc-32</v>
      </c>
      <c r="E11073" t="s">
        <v>311</v>
      </c>
      <c r="F11073" t="s">
        <v>11</v>
      </c>
      <c r="H11073" s="12">
        <v>-1.37389051971273</v>
      </c>
      <c r="I11073" s="20">
        <v>-0.96757637963197696</v>
      </c>
      <c r="J11073" s="28">
        <v>0.33325597851418198</v>
      </c>
      <c r="K11073" s="29">
        <v>0.98289565623980701</v>
      </c>
    </row>
    <row r="11074" spans="1:11" x14ac:dyDescent="0.35">
      <c r="A11074" s="9" t="str">
        <f>HYPERLINK("http://www.ensembl.org/id/WBGene00019924", "WBGene00019924")</f>
        <v>WBGene00019924</v>
      </c>
      <c r="B11074" s="9" t="str">
        <f>HYPERLINK("http://www.ncbi.nlm.nih.gov/gene/173473", "173473")</f>
        <v>173473</v>
      </c>
      <c r="C11074" s="9"/>
      <c r="D11074" t="str">
        <f>"fbxc-33"</f>
        <v>fbxc-33</v>
      </c>
      <c r="E11074" t="s">
        <v>311</v>
      </c>
      <c r="F11074" t="s">
        <v>11</v>
      </c>
      <c r="H11074" s="12">
        <v>1.1718453546287899</v>
      </c>
      <c r="I11074" s="20">
        <v>0.51858874440592595</v>
      </c>
      <c r="J11074" s="28">
        <v>0.604047559789472</v>
      </c>
      <c r="K11074" s="29">
        <v>0.98289565623980701</v>
      </c>
    </row>
    <row r="11075" spans="1:11" x14ac:dyDescent="0.35">
      <c r="A11075" s="9" t="str">
        <f>HYPERLINK("http://www.ensembl.org/id/WBGene00019930", "WBGene00019930")</f>
        <v>WBGene00019930</v>
      </c>
      <c r="B11075" s="9"/>
      <c r="C11075" s="9"/>
      <c r="D11075" t="str">
        <f>"fbxc-35"</f>
        <v>fbxc-35</v>
      </c>
      <c r="F11075" t="s">
        <v>80</v>
      </c>
      <c r="H11075" s="12">
        <v>3.4719168774950702</v>
      </c>
      <c r="I11075" s="20">
        <v>0.90869707151161005</v>
      </c>
      <c r="J11075" s="28">
        <v>0.36351005042922502</v>
      </c>
      <c r="K11075" s="29">
        <v>0.98289565623980701</v>
      </c>
    </row>
    <row r="11076" spans="1:11" x14ac:dyDescent="0.35">
      <c r="A11076" s="9" t="str">
        <f>HYPERLINK("http://www.ensembl.org/id/WBGene00019918", "WBGene00019918")</f>
        <v>WBGene00019918</v>
      </c>
      <c r="B11076" s="9" t="str">
        <f>HYPERLINK("http://www.ncbi.nlm.nih.gov/gene/173475", "173475")</f>
        <v>173475</v>
      </c>
      <c r="C11076" s="9"/>
      <c r="D11076" t="str">
        <f>"fbxc-36"</f>
        <v>fbxc-36</v>
      </c>
      <c r="E11076" t="s">
        <v>311</v>
      </c>
      <c r="F11076" t="s">
        <v>11</v>
      </c>
      <c r="H11076" s="12">
        <v>1.2344009425585201</v>
      </c>
      <c r="I11076" s="20">
        <v>0.71934044741370595</v>
      </c>
      <c r="J11076" s="28">
        <v>0.47193118015553398</v>
      </c>
      <c r="K11076" s="29">
        <v>0.98289565623980701</v>
      </c>
    </row>
    <row r="11077" spans="1:11" x14ac:dyDescent="0.35">
      <c r="A11077" s="9" t="str">
        <f>HYPERLINK("http://www.ensembl.org/id/WBGene00017942", "WBGene00017942")</f>
        <v>WBGene00017942</v>
      </c>
      <c r="B11077" s="9" t="str">
        <f>HYPERLINK("http://www.ncbi.nlm.nih.gov/gene/185139", "185139")</f>
        <v>185139</v>
      </c>
      <c r="C11077" s="9"/>
      <c r="D11077" t="str">
        <f>"fbxc-37"</f>
        <v>fbxc-37</v>
      </c>
      <c r="E11077" t="s">
        <v>311</v>
      </c>
      <c r="F11077" t="s">
        <v>11</v>
      </c>
      <c r="H11077" s="12">
        <v>-1.2907591929614399</v>
      </c>
      <c r="I11077" s="20">
        <v>-0.26621262319776501</v>
      </c>
      <c r="J11077" s="28">
        <v>0.79007546179634902</v>
      </c>
      <c r="K11077" s="29">
        <v>0.98289565623980701</v>
      </c>
    </row>
    <row r="11078" spans="1:11" x14ac:dyDescent="0.35">
      <c r="A11078" s="9" t="str">
        <f>HYPERLINK("http://www.ensembl.org/id/WBGene00018456", "WBGene00018456")</f>
        <v>WBGene00018456</v>
      </c>
      <c r="B11078" s="9" t="str">
        <f>HYPERLINK("http://www.ncbi.nlm.nih.gov/gene/173478", "173478")</f>
        <v>173478</v>
      </c>
      <c r="C11078" s="9"/>
      <c r="D11078" t="str">
        <f>"fbxc-39"</f>
        <v>fbxc-39</v>
      </c>
      <c r="E11078" t="s">
        <v>311</v>
      </c>
      <c r="F11078" t="s">
        <v>11</v>
      </c>
      <c r="H11078" s="12">
        <v>1.5284149884175</v>
      </c>
      <c r="I11078" s="20">
        <v>1.10836525649823</v>
      </c>
      <c r="J11078" s="28">
        <v>0.26770410334184103</v>
      </c>
      <c r="K11078" s="29">
        <v>0.98289565623980701</v>
      </c>
    </row>
    <row r="11079" spans="1:11" x14ac:dyDescent="0.35">
      <c r="A11079" s="9" t="str">
        <f>HYPERLINK("http://www.ensembl.org/id/WBGene00045297", "WBGene00045297")</f>
        <v>WBGene00045297</v>
      </c>
      <c r="B11079" s="9" t="str">
        <f>HYPERLINK("http://www.ncbi.nlm.nih.gov/gene/6418620", "6418620")</f>
        <v>6418620</v>
      </c>
      <c r="C11079" s="9"/>
      <c r="D11079" t="str">
        <f>"fbxc-43"</f>
        <v>fbxc-43</v>
      </c>
      <c r="E11079" t="s">
        <v>311</v>
      </c>
      <c r="F11079" t="s">
        <v>11</v>
      </c>
      <c r="H11079" s="12">
        <v>-1.98209361124707</v>
      </c>
      <c r="I11079" s="20">
        <v>-0.59346276352443506</v>
      </c>
      <c r="J11079" s="28">
        <v>0.55287149592123996</v>
      </c>
      <c r="K11079" s="29">
        <v>0.98289565623980701</v>
      </c>
    </row>
    <row r="11080" spans="1:11" x14ac:dyDescent="0.35">
      <c r="A11080" s="9" t="str">
        <f>HYPERLINK("http://www.ensembl.org/id/WBGene00012569", "WBGene00012569")</f>
        <v>WBGene00012569</v>
      </c>
      <c r="B11080" s="9"/>
      <c r="C11080" s="9"/>
      <c r="D11080" t="str">
        <f>"fbxc-46"</f>
        <v>fbxc-46</v>
      </c>
      <c r="F11080" t="s">
        <v>80</v>
      </c>
      <c r="H11080" s="12">
        <v>-1.81259061231882</v>
      </c>
      <c r="I11080" s="20">
        <v>-0.81555534711588695</v>
      </c>
      <c r="J11080" s="28">
        <v>0.41475449708489698</v>
      </c>
      <c r="K11080" s="29">
        <v>0.98289565623980701</v>
      </c>
    </row>
    <row r="11081" spans="1:11" x14ac:dyDescent="0.35">
      <c r="A11081" s="9" t="str">
        <f>HYPERLINK("http://www.ensembl.org/id/WBGene00019723", "WBGene00019723")</f>
        <v>WBGene00019723</v>
      </c>
      <c r="B11081" s="9" t="str">
        <f>HYPERLINK("http://www.ncbi.nlm.nih.gov/gene/187396", "187396")</f>
        <v>187396</v>
      </c>
      <c r="C11081" s="9"/>
      <c r="D11081" t="str">
        <f>"fbxc-47"</f>
        <v>fbxc-47</v>
      </c>
      <c r="E11081" t="s">
        <v>311</v>
      </c>
      <c r="F11081" t="s">
        <v>11</v>
      </c>
      <c r="H11081" s="12">
        <v>-1.38077380103959</v>
      </c>
      <c r="I11081" s="20">
        <v>-1.0036911179488199</v>
      </c>
      <c r="J11081" s="28">
        <v>0.31552751958096498</v>
      </c>
      <c r="K11081" s="29">
        <v>0.98289565623980701</v>
      </c>
    </row>
    <row r="11082" spans="1:11" x14ac:dyDescent="0.35">
      <c r="A11082" s="9" t="str">
        <f>HYPERLINK("http://www.ensembl.org/id/WBGene00015615", "WBGene00015615")</f>
        <v>WBGene00015615</v>
      </c>
      <c r="B11082" s="9" t="str">
        <f>HYPERLINK("http://www.ncbi.nlm.nih.gov/gene/182425", "182425")</f>
        <v>182425</v>
      </c>
      <c r="C11082" s="9"/>
      <c r="D11082" t="str">
        <f>"fbxc-48"</f>
        <v>fbxc-48</v>
      </c>
      <c r="E11082" t="s">
        <v>311</v>
      </c>
      <c r="F11082" t="s">
        <v>11</v>
      </c>
      <c r="H11082" s="12">
        <v>2.50490920800932</v>
      </c>
      <c r="I11082" s="20">
        <v>0.51747723341576901</v>
      </c>
      <c r="J11082" s="28">
        <v>0.604823057586521</v>
      </c>
      <c r="K11082" s="29">
        <v>0.98289565623980701</v>
      </c>
    </row>
    <row r="11083" spans="1:11" x14ac:dyDescent="0.35">
      <c r="A11083" s="9" t="str">
        <f>HYPERLINK("http://www.ensembl.org/id/WBGene00016710", "WBGene00016710")</f>
        <v>WBGene00016710</v>
      </c>
      <c r="B11083" s="9" t="str">
        <f>HYPERLINK("http://www.ncbi.nlm.nih.gov/gene/173715", "173715")</f>
        <v>173715</v>
      </c>
      <c r="C11083" s="9"/>
      <c r="D11083" t="str">
        <f>"fbxc-52"</f>
        <v>fbxc-52</v>
      </c>
      <c r="E11083" t="s">
        <v>311</v>
      </c>
      <c r="F11083" t="s">
        <v>11</v>
      </c>
      <c r="H11083" s="12">
        <v>1.08308058898075</v>
      </c>
      <c r="I11083" s="20">
        <v>0.36843776680926699</v>
      </c>
      <c r="J11083" s="28">
        <v>0.71254684110487099</v>
      </c>
      <c r="K11083" s="29">
        <v>0.98289565623980701</v>
      </c>
    </row>
    <row r="11084" spans="1:11" x14ac:dyDescent="0.35">
      <c r="A11084" s="9" t="str">
        <f>HYPERLINK("http://www.ensembl.org/id/WBGene00021297", "WBGene00021297")</f>
        <v>WBGene00021297</v>
      </c>
      <c r="B11084" s="9" t="str">
        <f>HYPERLINK("http://www.ncbi.nlm.nih.gov/gene/189559", "189559")</f>
        <v>189559</v>
      </c>
      <c r="C11084" s="9"/>
      <c r="D11084" t="str">
        <f>"fbxc-55"</f>
        <v>fbxc-55</v>
      </c>
      <c r="E11084" t="s">
        <v>311</v>
      </c>
      <c r="F11084" t="s">
        <v>11</v>
      </c>
      <c r="H11084" s="12">
        <v>2.4578120077400301</v>
      </c>
      <c r="I11084" s="20">
        <v>0.26093350314551</v>
      </c>
      <c r="J11084" s="28">
        <v>0.79414378780213601</v>
      </c>
      <c r="K11084" s="29">
        <v>0.98289565623980701</v>
      </c>
    </row>
    <row r="11085" spans="1:11" x14ac:dyDescent="0.35">
      <c r="A11085" s="9" t="str">
        <f>HYPERLINK("http://www.ensembl.org/id/WBGene00016305", "WBGene00016305")</f>
        <v>WBGene00016305</v>
      </c>
      <c r="B11085" s="9"/>
      <c r="C11085" s="9"/>
      <c r="D11085" t="str">
        <f>"fbxc-57"</f>
        <v>fbxc-57</v>
      </c>
      <c r="F11085" t="s">
        <v>80</v>
      </c>
      <c r="H11085" s="12">
        <v>1.21070240731046</v>
      </c>
      <c r="I11085" s="20">
        <v>0.40307983603490599</v>
      </c>
      <c r="J11085" s="28">
        <v>0.68688949376556496</v>
      </c>
      <c r="K11085" s="29">
        <v>0.98289565623980701</v>
      </c>
    </row>
    <row r="11086" spans="1:11" x14ac:dyDescent="0.35">
      <c r="A11086" s="9" t="str">
        <f>HYPERLINK("http://www.ensembl.org/id/WBGene00016302", "WBGene00016302")</f>
        <v>WBGene00016302</v>
      </c>
      <c r="B11086" s="9" t="str">
        <f>HYPERLINK("http://www.ncbi.nlm.nih.gov/gene/183113", "183113")</f>
        <v>183113</v>
      </c>
      <c r="C11086" s="9"/>
      <c r="D11086" t="str">
        <f>"fbxc-7"</f>
        <v>fbxc-7</v>
      </c>
      <c r="E11086" t="s">
        <v>311</v>
      </c>
      <c r="F11086" t="s">
        <v>11</v>
      </c>
      <c r="H11086" s="12">
        <v>-2.0624348108277699</v>
      </c>
      <c r="I11086" s="20">
        <v>-1.0057322335074801</v>
      </c>
      <c r="J11086" s="28">
        <v>0.31454439322487598</v>
      </c>
      <c r="K11086" s="29">
        <v>0.98289565623980701</v>
      </c>
    </row>
    <row r="11087" spans="1:11" x14ac:dyDescent="0.35">
      <c r="A11087" s="9" t="str">
        <f>HYPERLINK("http://www.ensembl.org/id/WBGene00015350", "WBGene00015350")</f>
        <v>WBGene00015350</v>
      </c>
      <c r="B11087" s="9" t="str">
        <f>HYPERLINK("http://www.ncbi.nlm.nih.gov/gene/3564805", "3564805")</f>
        <v>3564805</v>
      </c>
      <c r="C11087" s="9" t="str">
        <f>HYPERLINK("http://www.ncbi.nlm.nih.gov/gene/84961", "84961")</f>
        <v>84961</v>
      </c>
      <c r="D11087" t="str">
        <f>"fbxl-1"</f>
        <v>fbxl-1</v>
      </c>
      <c r="E11087" t="s">
        <v>6056</v>
      </c>
      <c r="F11087" t="s">
        <v>11</v>
      </c>
      <c r="G11087" t="s">
        <v>6057</v>
      </c>
      <c r="H11087" s="12">
        <v>1.06834814121384</v>
      </c>
      <c r="I11087" s="20">
        <v>0.34931055088357699</v>
      </c>
      <c r="J11087" s="28">
        <v>0.726856178292413</v>
      </c>
      <c r="K11087" s="29">
        <v>0.98289565623980701</v>
      </c>
    </row>
    <row r="11088" spans="1:11" x14ac:dyDescent="0.35">
      <c r="A11088" s="9" t="str">
        <f>HYPERLINK("http://www.ensembl.org/id/WBGene00012767", "WBGene00012767")</f>
        <v>WBGene00012767</v>
      </c>
      <c r="B11088" s="9" t="str">
        <f>HYPERLINK("http://www.ncbi.nlm.nih.gov/gene/178418", "178418")</f>
        <v>178418</v>
      </c>
      <c r="C11088" s="9"/>
      <c r="D11088" t="str">
        <f>"fcd-2"</f>
        <v>fcd-2</v>
      </c>
      <c r="E11088" t="s">
        <v>9702</v>
      </c>
      <c r="F11088" t="s">
        <v>11</v>
      </c>
      <c r="G11088" t="s">
        <v>9703</v>
      </c>
      <c r="H11088" s="12">
        <v>-1.2837531022089901</v>
      </c>
      <c r="I11088" s="20">
        <v>-1.09990166211688</v>
      </c>
      <c r="J11088" s="28">
        <v>0.271374970454001</v>
      </c>
      <c r="K11088" s="29">
        <v>0.98289565623980701</v>
      </c>
    </row>
    <row r="11089" spans="1:11" x14ac:dyDescent="0.35">
      <c r="A11089" s="9" t="str">
        <f>HYPERLINK("http://www.ensembl.org/id/WBGene00001405", "WBGene00001405")</f>
        <v>WBGene00001405</v>
      </c>
      <c r="B11089" s="9" t="str">
        <f>HYPERLINK("http://www.ncbi.nlm.nih.gov/gene/172820", "172820")</f>
        <v>172820</v>
      </c>
      <c r="C11089" s="9" t="str">
        <f>HYPERLINK("http://www.ncbi.nlm.nih.gov/gene/10269", "10269")</f>
        <v>10269</v>
      </c>
      <c r="D11089" t="str">
        <f>"fce-1"</f>
        <v>fce-1</v>
      </c>
      <c r="E11089" t="s">
        <v>7056</v>
      </c>
      <c r="F11089" t="s">
        <v>11</v>
      </c>
      <c r="G11089" t="s">
        <v>7057</v>
      </c>
      <c r="H11089" s="12">
        <v>-1.10490980287184</v>
      </c>
      <c r="I11089" s="20">
        <v>-0.53777927221904898</v>
      </c>
      <c r="J11089" s="28">
        <v>0.59072944364732305</v>
      </c>
      <c r="K11089" s="29">
        <v>0.98289565623980701</v>
      </c>
    </row>
    <row r="11090" spans="1:11" x14ac:dyDescent="0.35">
      <c r="A11090" s="9" t="str">
        <f>HYPERLINK("http://www.ensembl.org/id/WBGene00001406", "WBGene00001406")</f>
        <v>WBGene00001406</v>
      </c>
      <c r="B11090" s="9" t="str">
        <f>HYPERLINK("http://www.ncbi.nlm.nih.gov/gene/3565253", "3565253")</f>
        <v>3565253</v>
      </c>
      <c r="C11090" s="9" t="str">
        <f>HYPERLINK("http://www.ncbi.nlm.nih.gov/gene/9986", "9986")</f>
        <v>9986</v>
      </c>
      <c r="D11090" t="str">
        <f>"fce-2"</f>
        <v>fce-2</v>
      </c>
      <c r="E11090" t="s">
        <v>8993</v>
      </c>
      <c r="F11090" t="s">
        <v>11</v>
      </c>
      <c r="G11090" t="s">
        <v>8994</v>
      </c>
      <c r="H11090" s="12">
        <v>-1.2122786342027601</v>
      </c>
      <c r="I11090" s="20">
        <v>-0.81352055047979799</v>
      </c>
      <c r="J11090" s="28">
        <v>0.41591966875801201</v>
      </c>
      <c r="K11090" s="29">
        <v>0.98289565623980701</v>
      </c>
    </row>
    <row r="11091" spans="1:11" x14ac:dyDescent="0.35">
      <c r="A11091" s="9" t="str">
        <f>HYPERLINK("http://www.ensembl.org/id/WBGene00009479", "WBGene00009479")</f>
        <v>WBGene00009479</v>
      </c>
      <c r="B11091" s="9" t="str">
        <f>HYPERLINK("http://www.ncbi.nlm.nih.gov/gene/172719", "172719")</f>
        <v>172719</v>
      </c>
      <c r="C11091" s="9"/>
      <c r="D11091" t="str">
        <f>"fcp-1"</f>
        <v>fcp-1</v>
      </c>
      <c r="E11091" t="s">
        <v>8732</v>
      </c>
      <c r="F11091" t="s">
        <v>11</v>
      </c>
      <c r="G11091" t="s">
        <v>8733</v>
      </c>
      <c r="H11091" s="12">
        <v>-1.1934757348537799</v>
      </c>
      <c r="I11091" s="20">
        <v>-0.84628964545766905</v>
      </c>
      <c r="J11091" s="28">
        <v>0.39739118279499402</v>
      </c>
      <c r="K11091" s="29">
        <v>0.98289565623980701</v>
      </c>
    </row>
    <row r="11092" spans="1:11" x14ac:dyDescent="0.35">
      <c r="A11092" s="9" t="str">
        <f>HYPERLINK("http://www.ensembl.org/id/WBGene00010645", "WBGene00010645")</f>
        <v>WBGene00010645</v>
      </c>
      <c r="B11092" s="9" t="str">
        <f>HYPERLINK("http://www.ncbi.nlm.nih.gov/gene/172454", "172454")</f>
        <v>172454</v>
      </c>
      <c r="C11092" s="9"/>
      <c r="D11092" t="str">
        <f>"fecl-1"</f>
        <v>fecl-1</v>
      </c>
      <c r="E11092" t="s">
        <v>6845</v>
      </c>
      <c r="F11092" t="s">
        <v>11</v>
      </c>
      <c r="G11092" t="s">
        <v>6846</v>
      </c>
      <c r="H11092" s="12">
        <v>-1.09240014322398</v>
      </c>
      <c r="I11092" s="20">
        <v>-0.44229260418837502</v>
      </c>
      <c r="J11092" s="28">
        <v>0.65827748208979997</v>
      </c>
      <c r="K11092" s="29">
        <v>0.98289565623980701</v>
      </c>
    </row>
    <row r="11093" spans="1:11" x14ac:dyDescent="0.35">
      <c r="A11093" s="9" t="str">
        <f>HYPERLINK("http://www.ensembl.org/id/WBGene00001414", "WBGene00001414")</f>
        <v>WBGene00001414</v>
      </c>
      <c r="B11093" s="9" t="str">
        <f>HYPERLINK("http://www.ncbi.nlm.nih.gov/gene/172659", "172659")</f>
        <v>172659</v>
      </c>
      <c r="C11093" s="9" t="str">
        <f>HYPERLINK("http://www.ncbi.nlm.nih.gov/gene/8291", "8291")</f>
        <v>8291</v>
      </c>
      <c r="D11093" t="str">
        <f>"fer-1"</f>
        <v>fer-1</v>
      </c>
      <c r="E11093" t="s">
        <v>4636</v>
      </c>
      <c r="F11093" t="s">
        <v>11</v>
      </c>
      <c r="G11093" t="s">
        <v>4637</v>
      </c>
      <c r="H11093" s="12">
        <v>1.5578214876505301</v>
      </c>
      <c r="I11093" s="20">
        <v>0.905043369720127</v>
      </c>
      <c r="J11093" s="28">
        <v>0.36544241147138501</v>
      </c>
      <c r="K11093" s="29">
        <v>0.98289565623980701</v>
      </c>
    </row>
    <row r="11094" spans="1:11" x14ac:dyDescent="0.35">
      <c r="A11094" s="9" t="str">
        <f>HYPERLINK("http://www.ensembl.org/id/WBGene00020262", "WBGene00020262")</f>
        <v>WBGene00020262</v>
      </c>
      <c r="B11094" s="9" t="str">
        <f>HYPERLINK("http://www.ncbi.nlm.nih.gov/gene/188128", "188128")</f>
        <v>188128</v>
      </c>
      <c r="C11094" s="9" t="str">
        <f>HYPERLINK("http://www.ncbi.nlm.nih.gov/gene/8291", "8291")</f>
        <v>8291</v>
      </c>
      <c r="D11094" t="str">
        <f>"ferl-1"</f>
        <v>ferl-1</v>
      </c>
      <c r="E11094" t="s">
        <v>4226</v>
      </c>
      <c r="F11094" t="s">
        <v>11</v>
      </c>
      <c r="G11094" t="s">
        <v>1268</v>
      </c>
      <c r="H11094" s="12">
        <v>7.8691597089380902</v>
      </c>
      <c r="I11094" s="20">
        <v>0.61251365190975104</v>
      </c>
      <c r="J11094" s="28">
        <v>0.54019796842331003</v>
      </c>
      <c r="K11094" s="29">
        <v>0.98289565623980701</v>
      </c>
    </row>
    <row r="11095" spans="1:11" x14ac:dyDescent="0.35">
      <c r="A11095" s="9" t="str">
        <f>HYPERLINK("http://www.ensembl.org/id/WBGene00012639", "WBGene00012639")</f>
        <v>WBGene00012639</v>
      </c>
      <c r="B11095" s="9" t="str">
        <f>HYPERLINK("http://www.ncbi.nlm.nih.gov/gene/3564888", "3564888")</f>
        <v>3564888</v>
      </c>
      <c r="C11095" s="9"/>
      <c r="D11095" t="str">
        <f>"fezf-1"</f>
        <v>fezf-1</v>
      </c>
      <c r="E11095" t="s">
        <v>4473</v>
      </c>
      <c r="F11095" t="s">
        <v>11</v>
      </c>
      <c r="G11095" t="s">
        <v>485</v>
      </c>
      <c r="H11095" s="12">
        <v>1.92785402808816</v>
      </c>
      <c r="I11095" s="20">
        <v>0.96939633221912003</v>
      </c>
      <c r="J11095" s="28">
        <v>0.33234748163136602</v>
      </c>
      <c r="K11095" s="29">
        <v>0.98289565623980701</v>
      </c>
    </row>
    <row r="11096" spans="1:11" x14ac:dyDescent="0.35">
      <c r="A11096" s="9" t="str">
        <f>HYPERLINK("http://www.ensembl.org/id/WBGene00019207", "WBGene00019207")</f>
        <v>WBGene00019207</v>
      </c>
      <c r="B11096" s="9" t="str">
        <f>HYPERLINK("http://www.ncbi.nlm.nih.gov/gene/173525", "173525")</f>
        <v>173525</v>
      </c>
      <c r="C11096" s="9" t="str">
        <f>HYPERLINK("http://www.ncbi.nlm.nih.gov/gene/6515", "6515")</f>
        <v>6515</v>
      </c>
      <c r="D11096" t="str">
        <f>"fgt-1"</f>
        <v>fgt-1</v>
      </c>
      <c r="E11096" t="s">
        <v>6670</v>
      </c>
      <c r="F11096" t="s">
        <v>11</v>
      </c>
      <c r="G11096" t="s">
        <v>6671</v>
      </c>
      <c r="H11096" s="12">
        <v>-1.0839593921537101</v>
      </c>
      <c r="I11096" s="20">
        <v>-0.41555069920839099</v>
      </c>
      <c r="J11096" s="28">
        <v>0.67773880880024295</v>
      </c>
      <c r="K11096" s="29">
        <v>0.98289565623980701</v>
      </c>
    </row>
    <row r="11097" spans="1:11" x14ac:dyDescent="0.35">
      <c r="A11097" s="9" t="str">
        <f>HYPERLINK("http://www.ensembl.org/id/WBGene00014004", "WBGene00014004")</f>
        <v>WBGene00014004</v>
      </c>
      <c r="B11097" s="9" t="str">
        <f>HYPERLINK("http://www.ncbi.nlm.nih.gov/gene/177990", "177990")</f>
        <v>177990</v>
      </c>
      <c r="C11097" s="9" t="str">
        <f>HYPERLINK("http://www.ncbi.nlm.nih.gov/gene/11153", "11153")</f>
        <v>11153</v>
      </c>
      <c r="D11097" t="str">
        <f>"fic-1"</f>
        <v>fic-1</v>
      </c>
      <c r="E11097" t="s">
        <v>9299</v>
      </c>
      <c r="F11097" t="s">
        <v>11</v>
      </c>
      <c r="G11097" t="s">
        <v>54</v>
      </c>
      <c r="H11097" s="12">
        <v>-1.2358833496825199</v>
      </c>
      <c r="I11097" s="20">
        <v>-1.1277975539339899</v>
      </c>
      <c r="J11097" s="28">
        <v>0.25940542666132799</v>
      </c>
      <c r="K11097" s="29">
        <v>0.98289565623980701</v>
      </c>
    </row>
    <row r="11098" spans="1:11" x14ac:dyDescent="0.35">
      <c r="A11098" s="9" t="str">
        <f>HYPERLINK("http://www.ensembl.org/id/WBGene00017981", "WBGene00017981")</f>
        <v>WBGene00017981</v>
      </c>
      <c r="B11098" s="9" t="str">
        <f>HYPERLINK("http://www.ncbi.nlm.nih.gov/gene/178829", "178829")</f>
        <v>178829</v>
      </c>
      <c r="C11098" s="9"/>
      <c r="D11098" t="str">
        <f>"figl-1"</f>
        <v>figl-1</v>
      </c>
      <c r="E11098" t="s">
        <v>9014</v>
      </c>
      <c r="F11098" t="s">
        <v>11</v>
      </c>
      <c r="G11098" t="s">
        <v>9015</v>
      </c>
      <c r="H11098" s="12">
        <v>-1.21464631621869</v>
      </c>
      <c r="I11098" s="20">
        <v>-0.87923240805748604</v>
      </c>
      <c r="J11098" s="28">
        <v>0.37927527598999999</v>
      </c>
      <c r="K11098" s="29">
        <v>0.98289565623980701</v>
      </c>
    </row>
    <row r="11099" spans="1:11" x14ac:dyDescent="0.35">
      <c r="A11099" s="9" t="str">
        <f>HYPERLINK("http://www.ensembl.org/id/WBGene00020862", "WBGene00020862")</f>
        <v>WBGene00020862</v>
      </c>
      <c r="B11099" s="9" t="str">
        <f>HYPERLINK("http://www.ncbi.nlm.nih.gov/gene/179283", "179283")</f>
        <v>179283</v>
      </c>
      <c r="C11099" s="9"/>
      <c r="D11099" t="str">
        <f>"fip-2"</f>
        <v>fip-2</v>
      </c>
      <c r="E11099" t="s">
        <v>4415</v>
      </c>
      <c r="F11099" t="s">
        <v>11</v>
      </c>
      <c r="H11099" s="12">
        <v>1.18039024452373</v>
      </c>
      <c r="I11099" s="20">
        <v>0.63804117676955496</v>
      </c>
      <c r="J11099" s="28">
        <v>0.52344687617920305</v>
      </c>
      <c r="K11099" s="29">
        <v>0.98289565623980701</v>
      </c>
    </row>
    <row r="11100" spans="1:11" x14ac:dyDescent="0.35">
      <c r="A11100" s="9" t="str">
        <f>HYPERLINK("http://www.ensembl.org/id/WBGene00015520", "WBGene00015520")</f>
        <v>WBGene00015520</v>
      </c>
      <c r="B11100" s="9" t="str">
        <f>HYPERLINK("http://www.ncbi.nlm.nih.gov/gene/182314", "182314")</f>
        <v>182314</v>
      </c>
      <c r="C11100" s="9"/>
      <c r="D11100" t="str">
        <f>"fip-3"</f>
        <v>fip-3</v>
      </c>
      <c r="E11100" t="s">
        <v>10102</v>
      </c>
      <c r="F11100" t="s">
        <v>11</v>
      </c>
      <c r="H11100" s="12">
        <v>-3.7261494131482999</v>
      </c>
      <c r="I11100" s="20">
        <v>-0.38454673129429601</v>
      </c>
      <c r="J11100" s="28">
        <v>0.70057326682554</v>
      </c>
      <c r="K11100" s="29">
        <v>0.98289565623980701</v>
      </c>
    </row>
    <row r="11101" spans="1:11" x14ac:dyDescent="0.35">
      <c r="A11101" s="9" t="str">
        <f>HYPERLINK("http://www.ensembl.org/id/WBGene00009620", "WBGene00009620")</f>
        <v>WBGene00009620</v>
      </c>
      <c r="B11101" s="9" t="str">
        <f>HYPERLINK("http://www.ncbi.nlm.nih.gov/gene/181237", "181237")</f>
        <v>181237</v>
      </c>
      <c r="C11101" s="9"/>
      <c r="D11101" t="str">
        <f>"fip-5"</f>
        <v>fip-5</v>
      </c>
      <c r="E11101" t="s">
        <v>4415</v>
      </c>
      <c r="F11101" t="s">
        <v>11</v>
      </c>
      <c r="H11101" s="12">
        <v>1.5036145360034401</v>
      </c>
      <c r="I11101" s="20">
        <v>0.87130886470353497</v>
      </c>
      <c r="J11101" s="28">
        <v>0.38358553152395097</v>
      </c>
      <c r="K11101" s="29">
        <v>0.98289565623980701</v>
      </c>
    </row>
    <row r="11102" spans="1:11" x14ac:dyDescent="0.35">
      <c r="A11102" s="9" t="str">
        <f>HYPERLINK("http://www.ensembl.org/id/WBGene00009964", "WBGene00009964")</f>
        <v>WBGene00009964</v>
      </c>
      <c r="B11102" s="9" t="str">
        <f>HYPERLINK("http://www.ncbi.nlm.nih.gov/gene/172707", "172707")</f>
        <v>172707</v>
      </c>
      <c r="C11102" s="9"/>
      <c r="D11102" t="str">
        <f>"fip-6"</f>
        <v>fip-6</v>
      </c>
      <c r="E11102" t="s">
        <v>4415</v>
      </c>
      <c r="F11102" t="s">
        <v>11</v>
      </c>
      <c r="H11102" s="12">
        <v>2.2941968768581198</v>
      </c>
      <c r="I11102" s="20">
        <v>0.68197652313829604</v>
      </c>
      <c r="J11102" s="28">
        <v>0.49525379596416702</v>
      </c>
      <c r="K11102" s="29">
        <v>0.98289565623980701</v>
      </c>
    </row>
    <row r="11103" spans="1:11" x14ac:dyDescent="0.35">
      <c r="A11103" s="9" t="str">
        <f>HYPERLINK("http://www.ensembl.org/id/WBGene00017988", "WBGene00017988")</f>
        <v>WBGene00017988</v>
      </c>
      <c r="B11103" s="9" t="str">
        <f>HYPERLINK("http://www.ncbi.nlm.nih.gov/gene/178835", "178835")</f>
        <v>178835</v>
      </c>
      <c r="C11103" s="9"/>
      <c r="D11103" t="str">
        <f>"fipp-1"</f>
        <v>fipp-1</v>
      </c>
      <c r="E11103" t="s">
        <v>9509</v>
      </c>
      <c r="F11103" t="s">
        <v>11</v>
      </c>
      <c r="G11103" t="s">
        <v>9510</v>
      </c>
      <c r="H11103" s="12">
        <v>-1.25348552167484</v>
      </c>
      <c r="I11103" s="20">
        <v>-1.1374824909352199</v>
      </c>
      <c r="J11103" s="28">
        <v>0.25533664001085399</v>
      </c>
      <c r="K11103" s="29">
        <v>0.98289565623980701</v>
      </c>
    </row>
    <row r="11104" spans="1:11" x14ac:dyDescent="0.35">
      <c r="A11104" s="9" t="str">
        <f>HYPERLINK("http://www.ensembl.org/id/WBGene00008751", "WBGene00008751")</f>
        <v>WBGene00008751</v>
      </c>
      <c r="B11104" s="9" t="str">
        <f>HYPERLINK("http://www.ncbi.nlm.nih.gov/gene/184420", "184420")</f>
        <v>184420</v>
      </c>
      <c r="C11104" s="9"/>
      <c r="D11104" t="str">
        <f>"fipr-14"</f>
        <v>fipr-14</v>
      </c>
      <c r="E11104" t="s">
        <v>28</v>
      </c>
      <c r="F11104" t="s">
        <v>11</v>
      </c>
      <c r="H11104" s="12">
        <v>-2.4991590031922399</v>
      </c>
      <c r="I11104" s="20">
        <v>-0.26577412737581302</v>
      </c>
      <c r="J11104" s="28">
        <v>0.79041317015736101</v>
      </c>
      <c r="K11104" s="29">
        <v>0.98289565623980701</v>
      </c>
    </row>
    <row r="11105" spans="1:11" x14ac:dyDescent="0.35">
      <c r="A11105" s="9" t="str">
        <f>HYPERLINK("http://www.ensembl.org/id/WBGene00012965", "WBGene00012965")</f>
        <v>WBGene00012965</v>
      </c>
      <c r="B11105" s="9" t="str">
        <f>HYPERLINK("http://www.ncbi.nlm.nih.gov/gene/176530", "176530")</f>
        <v>176530</v>
      </c>
      <c r="C11105" s="9"/>
      <c r="D11105" t="str">
        <f>"fipr-17"</f>
        <v>fipr-17</v>
      </c>
      <c r="E11105" t="s">
        <v>28</v>
      </c>
      <c r="F11105" t="s">
        <v>11</v>
      </c>
      <c r="H11105" s="12">
        <v>7.2236714458131299</v>
      </c>
      <c r="I11105" s="20">
        <v>0.781254597473658</v>
      </c>
      <c r="J11105" s="28">
        <v>0.43465276788107499</v>
      </c>
      <c r="K11105" s="29">
        <v>0.98289565623980701</v>
      </c>
    </row>
    <row r="11106" spans="1:11" x14ac:dyDescent="0.35">
      <c r="A11106" s="9" t="str">
        <f>HYPERLINK("http://www.ensembl.org/id/WBGene00044450", "WBGene00044450")</f>
        <v>WBGene00044450</v>
      </c>
      <c r="B11106" s="9" t="str">
        <f>HYPERLINK("http://www.ncbi.nlm.nih.gov/gene/3896756", "3896756")</f>
        <v>3896756</v>
      </c>
      <c r="C11106" s="9"/>
      <c r="D11106" t="str">
        <f>"fipr-18"</f>
        <v>fipr-18</v>
      </c>
      <c r="E11106" t="s">
        <v>28</v>
      </c>
      <c r="F11106" t="s">
        <v>11</v>
      </c>
      <c r="H11106" s="12">
        <v>-6.3507302933957197</v>
      </c>
      <c r="I11106" s="20">
        <v>-0.54348709410156204</v>
      </c>
      <c r="J11106" s="28">
        <v>0.58679447442024202</v>
      </c>
      <c r="K11106" s="29">
        <v>0.98289565623980701</v>
      </c>
    </row>
    <row r="11107" spans="1:11" x14ac:dyDescent="0.35">
      <c r="A11107" s="9" t="str">
        <f>HYPERLINK("http://www.ensembl.org/id/WBGene00007989", "WBGene00007989")</f>
        <v>WBGene00007989</v>
      </c>
      <c r="B11107" s="9" t="str">
        <f>HYPERLINK("http://www.ncbi.nlm.nih.gov/gene/259409", "259409")</f>
        <v>259409</v>
      </c>
      <c r="C11107" s="9"/>
      <c r="D11107" t="str">
        <f>"fipr-22"</f>
        <v>fipr-22</v>
      </c>
      <c r="E11107" t="s">
        <v>28</v>
      </c>
      <c r="F11107" t="s">
        <v>11</v>
      </c>
      <c r="G11107" t="s">
        <v>264</v>
      </c>
      <c r="H11107" s="12">
        <v>1.6917264806757699</v>
      </c>
      <c r="I11107" s="20">
        <v>0.87255276577865004</v>
      </c>
      <c r="J11107" s="28">
        <v>0.38290689565574199</v>
      </c>
      <c r="K11107" s="29">
        <v>0.98289565623980701</v>
      </c>
    </row>
    <row r="11108" spans="1:11" x14ac:dyDescent="0.35">
      <c r="A11108" s="9" t="str">
        <f>HYPERLINK("http://www.ensembl.org/id/WBGene00007990", "WBGene00007990")</f>
        <v>WBGene00007990</v>
      </c>
      <c r="B11108" s="9" t="str">
        <f>HYPERLINK("http://www.ncbi.nlm.nih.gov/gene/173283", "173283")</f>
        <v>173283</v>
      </c>
      <c r="C11108" s="9"/>
      <c r="D11108" t="str">
        <f>"fipr-23"</f>
        <v>fipr-23</v>
      </c>
      <c r="E11108" t="s">
        <v>28</v>
      </c>
      <c r="F11108" t="s">
        <v>11</v>
      </c>
      <c r="G11108" t="s">
        <v>264</v>
      </c>
      <c r="H11108" s="12">
        <v>1.87676609968416</v>
      </c>
      <c r="I11108" s="20">
        <v>0.95049260481668596</v>
      </c>
      <c r="J11108" s="28">
        <v>0.34186200975542202</v>
      </c>
      <c r="K11108" s="29">
        <v>0.98289565623980701</v>
      </c>
    </row>
    <row r="11109" spans="1:11" x14ac:dyDescent="0.35">
      <c r="A11109" s="9" t="str">
        <f>HYPERLINK("http://www.ensembl.org/id/WBGene00009963", "WBGene00009963")</f>
        <v>WBGene00009963</v>
      </c>
      <c r="B11109" s="9" t="str">
        <f>HYPERLINK("http://www.ncbi.nlm.nih.gov/gene/172708", "172708")</f>
        <v>172708</v>
      </c>
      <c r="C11109" s="9"/>
      <c r="D11109" t="str">
        <f>"fipr-26"</f>
        <v>fipr-26</v>
      </c>
      <c r="E11109" t="s">
        <v>28</v>
      </c>
      <c r="F11109" t="s">
        <v>11</v>
      </c>
      <c r="H11109" s="12">
        <v>2.2807556698451101</v>
      </c>
      <c r="I11109" s="20">
        <v>0.58223068842039505</v>
      </c>
      <c r="J11109" s="28">
        <v>0.56041130495396496</v>
      </c>
      <c r="K11109" s="29">
        <v>0.98289565623980701</v>
      </c>
    </row>
    <row r="11110" spans="1:11" x14ac:dyDescent="0.35">
      <c r="A11110" s="9" t="str">
        <f>HYPERLINK("http://www.ensembl.org/id/WBGene00013120", "WBGene00013120")</f>
        <v>WBGene00013120</v>
      </c>
      <c r="B11110" s="9" t="str">
        <f>HYPERLINK("http://www.ncbi.nlm.nih.gov/gene/178462", "178462")</f>
        <v>178462</v>
      </c>
      <c r="C11110" s="9"/>
      <c r="D11110" t="str">
        <f>"fipr-28"</f>
        <v>fipr-28</v>
      </c>
      <c r="E11110" t="s">
        <v>28</v>
      </c>
      <c r="F11110" t="s">
        <v>11</v>
      </c>
      <c r="H11110" s="12">
        <v>2.3739526136900699</v>
      </c>
      <c r="I11110" s="20">
        <v>0.99707890746706096</v>
      </c>
      <c r="J11110" s="28">
        <v>0.31872621029648401</v>
      </c>
      <c r="K11110" s="29">
        <v>0.98289565623980701</v>
      </c>
    </row>
    <row r="11111" spans="1:11" x14ac:dyDescent="0.35">
      <c r="A11111" s="9" t="str">
        <f>HYPERLINK("http://www.ensembl.org/id/WBGene00007541", "WBGene00007541")</f>
        <v>WBGene00007541</v>
      </c>
      <c r="B11111" s="9" t="str">
        <f>HYPERLINK("http://www.ncbi.nlm.nih.gov/gene/3565667", "3565667")</f>
        <v>3565667</v>
      </c>
      <c r="C11111" s="9"/>
      <c r="D11111" t="str">
        <f>"fipr-4"</f>
        <v>fipr-4</v>
      </c>
      <c r="E11111" t="s">
        <v>28</v>
      </c>
      <c r="F11111" t="s">
        <v>11</v>
      </c>
      <c r="H11111" s="12">
        <v>1.85334471623782</v>
      </c>
      <c r="I11111" s="20">
        <v>0.80938874080862</v>
      </c>
      <c r="J11111" s="28">
        <v>0.41829157646610599</v>
      </c>
      <c r="K11111" s="29">
        <v>0.98289565623980701</v>
      </c>
    </row>
    <row r="11112" spans="1:11" x14ac:dyDescent="0.35">
      <c r="A11112" s="9" t="str">
        <f>HYPERLINK("http://www.ensembl.org/id/WBGene00007544", "WBGene00007544")</f>
        <v>WBGene00007544</v>
      </c>
      <c r="B11112" s="9" t="str">
        <f>HYPERLINK("http://www.ncbi.nlm.nih.gov/gene/3565311", "3565311")</f>
        <v>3565311</v>
      </c>
      <c r="C11112" s="9"/>
      <c r="D11112" t="str">
        <f>"fipr-6"</f>
        <v>fipr-6</v>
      </c>
      <c r="E11112" t="s">
        <v>28</v>
      </c>
      <c r="F11112" t="s">
        <v>11</v>
      </c>
      <c r="H11112" s="12">
        <v>-1.29306776967024</v>
      </c>
      <c r="I11112" s="20">
        <v>-0.25676649328979201</v>
      </c>
      <c r="J11112" s="28">
        <v>0.79735903752562998</v>
      </c>
      <c r="K11112" s="29">
        <v>0.98289565623980701</v>
      </c>
    </row>
    <row r="11113" spans="1:11" x14ac:dyDescent="0.35">
      <c r="A11113" s="9" t="str">
        <f>HYPERLINK("http://www.ensembl.org/id/WBGene00007537", "WBGene00007537")</f>
        <v>WBGene00007537</v>
      </c>
      <c r="B11113" s="9" t="str">
        <f>HYPERLINK("http://www.ncbi.nlm.nih.gov/gene/182541", "182541")</f>
        <v>182541</v>
      </c>
      <c r="C11113" s="9"/>
      <c r="D11113" t="str">
        <f>"fipr-8"</f>
        <v>fipr-8</v>
      </c>
      <c r="E11113" t="s">
        <v>28</v>
      </c>
      <c r="F11113" t="s">
        <v>11</v>
      </c>
      <c r="H11113" s="12">
        <v>1.9619219494811799</v>
      </c>
      <c r="I11113" s="20">
        <v>0.74238320589825801</v>
      </c>
      <c r="J11113" s="28">
        <v>0.45785519181817702</v>
      </c>
      <c r="K11113" s="29">
        <v>0.98289565623980701</v>
      </c>
    </row>
    <row r="11114" spans="1:11" x14ac:dyDescent="0.35">
      <c r="A11114" s="9" t="str">
        <f>HYPERLINK("http://www.ensembl.org/id/WBGene00001424", "WBGene00001424")</f>
        <v>WBGene00001424</v>
      </c>
      <c r="B11114" s="9" t="str">
        <f>HYPERLINK("http://www.ncbi.nlm.nih.gov/gene/185630", "185630")</f>
        <v>185630</v>
      </c>
      <c r="C11114" s="9"/>
      <c r="D11114" t="str">
        <f>"fis-1"</f>
        <v>fis-1</v>
      </c>
      <c r="E11114" t="s">
        <v>4392</v>
      </c>
      <c r="F11114" t="s">
        <v>11</v>
      </c>
      <c r="G11114" t="s">
        <v>4393</v>
      </c>
      <c r="H11114" s="12">
        <v>2.4252960847972802</v>
      </c>
      <c r="I11114" s="20">
        <v>0.41367737763458601</v>
      </c>
      <c r="J11114" s="28">
        <v>0.67911039684285601</v>
      </c>
      <c r="K11114" s="29">
        <v>0.98289565623980701</v>
      </c>
    </row>
    <row r="11115" spans="1:11" x14ac:dyDescent="0.35">
      <c r="A11115" s="9" t="str">
        <f>HYPERLINK("http://www.ensembl.org/id/WBGene00001425", "WBGene00001425")</f>
        <v>WBGene00001425</v>
      </c>
      <c r="B11115" s="9" t="str">
        <f>HYPERLINK("http://www.ncbi.nlm.nih.gov/gene/184409", "184409")</f>
        <v>184409</v>
      </c>
      <c r="C11115" s="9" t="str">
        <f>HYPERLINK("http://www.ncbi.nlm.nih.gov/gene/51024", "51024")</f>
        <v>51024</v>
      </c>
      <c r="D11115" t="str">
        <f>"fis-2"</f>
        <v>fis-2</v>
      </c>
      <c r="E11115" t="s">
        <v>4392</v>
      </c>
      <c r="F11115" t="s">
        <v>11</v>
      </c>
      <c r="G11115" t="s">
        <v>9622</v>
      </c>
      <c r="H11115" s="12">
        <v>-1.2663501514720199</v>
      </c>
      <c r="I11115" s="20">
        <v>-1.1662645921096499</v>
      </c>
      <c r="J11115" s="28">
        <v>0.24350748431292299</v>
      </c>
      <c r="K11115" s="29">
        <v>0.98289565623980701</v>
      </c>
    </row>
    <row r="11116" spans="1:11" x14ac:dyDescent="0.35">
      <c r="A11116" s="9" t="str">
        <f>HYPERLINK("http://www.ensembl.org/id/WBGene00044094", "WBGene00044094")</f>
        <v>WBGene00044094</v>
      </c>
      <c r="B11116" s="9" t="str">
        <f>HYPERLINK("http://www.ncbi.nlm.nih.gov/gene/3565961", "3565961")</f>
        <v>3565961</v>
      </c>
      <c r="C11116" s="9" t="str">
        <f>HYPERLINK("http://www.ncbi.nlm.nih.gov/gene/128486", "128486")</f>
        <v>128486</v>
      </c>
      <c r="D11116" t="str">
        <f>"fitm-2"</f>
        <v>fitm-2</v>
      </c>
      <c r="E11116" t="s">
        <v>9647</v>
      </c>
      <c r="F11116" t="s">
        <v>11</v>
      </c>
      <c r="G11116" t="s">
        <v>9648</v>
      </c>
      <c r="H11116" s="12">
        <v>-1.2723981843855701</v>
      </c>
      <c r="I11116" s="20">
        <v>-1.14647596948274</v>
      </c>
      <c r="J11116" s="28">
        <v>0.25159826473063002</v>
      </c>
      <c r="K11116" s="29">
        <v>0.98289565623980701</v>
      </c>
    </row>
    <row r="11117" spans="1:11" x14ac:dyDescent="0.35">
      <c r="A11117" s="9" t="str">
        <f>HYPERLINK("http://www.ensembl.org/id/WBGene00001426", "WBGene00001426")</f>
        <v>WBGene00001426</v>
      </c>
      <c r="B11117" s="9" t="str">
        <f>HYPERLINK("http://www.ncbi.nlm.nih.gov/gene/191634", "191634")</f>
        <v>191634</v>
      </c>
      <c r="C11117" s="9" t="str">
        <f>HYPERLINK("http://www.ncbi.nlm.nih.gov/gene/2286", "2286")</f>
        <v>2286</v>
      </c>
      <c r="D11117" t="str">
        <f>"fkb-1"</f>
        <v>fkb-1</v>
      </c>
      <c r="E11117" t="s">
        <v>4062</v>
      </c>
      <c r="F11117" t="s">
        <v>11</v>
      </c>
      <c r="G11117" t="s">
        <v>6919</v>
      </c>
      <c r="H11117" s="12">
        <v>-1.0973347923037999</v>
      </c>
      <c r="I11117" s="20">
        <v>-0.49554601953032101</v>
      </c>
      <c r="J11117" s="28">
        <v>0.62021474596387305</v>
      </c>
      <c r="K11117" s="29">
        <v>0.98289565623980701</v>
      </c>
    </row>
    <row r="11118" spans="1:11" x14ac:dyDescent="0.35">
      <c r="A11118" s="9" t="str">
        <f>HYPERLINK("http://www.ensembl.org/id/WBGene00001427", "WBGene00001427")</f>
        <v>WBGene00001427</v>
      </c>
      <c r="B11118" s="9" t="str">
        <f>HYPERLINK("http://www.ncbi.nlm.nih.gov/gene/173160", "173160")</f>
        <v>173160</v>
      </c>
      <c r="C11118" s="9"/>
      <c r="D11118" t="str">
        <f>"fkb-2"</f>
        <v>fkb-2</v>
      </c>
      <c r="E11118" t="s">
        <v>4062</v>
      </c>
      <c r="F11118" t="s">
        <v>11</v>
      </c>
      <c r="G11118" t="s">
        <v>5114</v>
      </c>
      <c r="H11118" s="12">
        <v>-1.1205625265708199</v>
      </c>
      <c r="I11118" s="20">
        <v>-0.61352238731434605</v>
      </c>
      <c r="J11118" s="28">
        <v>0.53953098457821003</v>
      </c>
      <c r="K11118" s="29">
        <v>0.98289565623980701</v>
      </c>
    </row>
    <row r="11119" spans="1:11" x14ac:dyDescent="0.35">
      <c r="A11119" s="9" t="str">
        <f>HYPERLINK("http://www.ensembl.org/id/WBGene00001428", "WBGene00001428")</f>
        <v>WBGene00001428</v>
      </c>
      <c r="B11119" s="9" t="str">
        <f>HYPERLINK("http://www.ncbi.nlm.nih.gov/gene/179113", "179113")</f>
        <v>179113</v>
      </c>
      <c r="C11119" s="9" t="str">
        <f>HYPERLINK("http://www.ncbi.nlm.nih.gov/gene/11328", "11328")</f>
        <v>11328</v>
      </c>
      <c r="D11119" t="str">
        <f>"fkb-3"</f>
        <v>fkb-3</v>
      </c>
      <c r="E11119" t="s">
        <v>4062</v>
      </c>
      <c r="F11119" t="s">
        <v>11</v>
      </c>
      <c r="G11119" t="s">
        <v>4076</v>
      </c>
      <c r="H11119" s="12">
        <v>1.1938744818565199</v>
      </c>
      <c r="I11119" s="20">
        <v>0.79156749410969096</v>
      </c>
      <c r="J11119" s="28">
        <v>0.42861290685588699</v>
      </c>
      <c r="K11119" s="29">
        <v>0.98289565623980701</v>
      </c>
    </row>
    <row r="11120" spans="1:11" x14ac:dyDescent="0.35">
      <c r="A11120" s="9" t="str">
        <f>HYPERLINK("http://www.ensembl.org/id/WBGene00001429", "WBGene00001429")</f>
        <v>WBGene00001429</v>
      </c>
      <c r="B11120" s="9" t="str">
        <f>HYPERLINK("http://www.ncbi.nlm.nih.gov/gene/179752", "179752")</f>
        <v>179752</v>
      </c>
      <c r="C11120" s="9" t="str">
        <f>HYPERLINK("http://www.ncbi.nlm.nih.gov/gene/11328", "11328")</f>
        <v>11328</v>
      </c>
      <c r="D11120" t="str">
        <f>"fkb-4"</f>
        <v>fkb-4</v>
      </c>
      <c r="E11120" t="s">
        <v>4062</v>
      </c>
      <c r="F11120" t="s">
        <v>11</v>
      </c>
      <c r="G11120" t="s">
        <v>4076</v>
      </c>
      <c r="H11120" s="12">
        <v>1.4654294046076299</v>
      </c>
      <c r="I11120" s="20">
        <v>1.0927391086662801</v>
      </c>
      <c r="J11120" s="28">
        <v>0.27450836341280499</v>
      </c>
      <c r="K11120" s="29">
        <v>0.98289565623980701</v>
      </c>
    </row>
    <row r="11121" spans="1:11" x14ac:dyDescent="0.35">
      <c r="A11121" s="9" t="str">
        <f>HYPERLINK("http://www.ensembl.org/id/WBGene00001430", "WBGene00001430")</f>
        <v>WBGene00001430</v>
      </c>
      <c r="B11121" s="9" t="str">
        <f>HYPERLINK("http://www.ncbi.nlm.nih.gov/gene/171974", "171974")</f>
        <v>171974</v>
      </c>
      <c r="C11121" s="9" t="str">
        <f>HYPERLINK("http://www.ncbi.nlm.nih.gov/gene/11328", "11328")</f>
        <v>11328</v>
      </c>
      <c r="D11121" t="str">
        <f>"fkb-5"</f>
        <v>fkb-5</v>
      </c>
      <c r="E11121" t="s">
        <v>4062</v>
      </c>
      <c r="F11121" t="s">
        <v>11</v>
      </c>
      <c r="G11121" t="s">
        <v>4076</v>
      </c>
      <c r="H11121" s="12">
        <v>1.0944461582909999</v>
      </c>
      <c r="I11121" s="20">
        <v>0.43919320750773</v>
      </c>
      <c r="J11121" s="28">
        <v>0.660521546394925</v>
      </c>
      <c r="K11121" s="29">
        <v>0.98289565623980701</v>
      </c>
    </row>
    <row r="11122" spans="1:11" x14ac:dyDescent="0.35">
      <c r="A11122" s="9" t="str">
        <f>HYPERLINK("http://www.ensembl.org/id/WBGene00001433", "WBGene00001433")</f>
        <v>WBGene00001433</v>
      </c>
      <c r="B11122" s="9" t="str">
        <f>HYPERLINK("http://www.ncbi.nlm.nih.gov/gene/173159", "173159")</f>
        <v>173159</v>
      </c>
      <c r="C11122" s="9"/>
      <c r="D11122" t="str">
        <f>"fkb-8"</f>
        <v>fkb-8</v>
      </c>
      <c r="E11122" t="s">
        <v>4062</v>
      </c>
      <c r="F11122" t="s">
        <v>11</v>
      </c>
      <c r="G11122" t="s">
        <v>5114</v>
      </c>
      <c r="H11122" s="12">
        <v>1.23687620073782</v>
      </c>
      <c r="I11122" s="20">
        <v>0.81136252727765701</v>
      </c>
      <c r="J11122" s="28">
        <v>0.41715751203533402</v>
      </c>
      <c r="K11122" s="29">
        <v>0.98289565623980701</v>
      </c>
    </row>
    <row r="11123" spans="1:11" x14ac:dyDescent="0.35">
      <c r="A11123" s="9" t="str">
        <f>HYPERLINK("http://www.ensembl.org/id/WBGene00001442", "WBGene00001442")</f>
        <v>WBGene00001442</v>
      </c>
      <c r="B11123" s="9" t="str">
        <f>HYPERLINK("http://www.ncbi.nlm.nih.gov/gene/182874", "182874")</f>
        <v>182874</v>
      </c>
      <c r="C11123" s="9"/>
      <c r="D11123" t="str">
        <f>"fkh-10"</f>
        <v>fkh-10</v>
      </c>
      <c r="E11123" t="s">
        <v>2856</v>
      </c>
      <c r="F11123" t="s">
        <v>11</v>
      </c>
      <c r="G11123" t="s">
        <v>4692</v>
      </c>
      <c r="H11123" s="12">
        <v>1.4927758501175401</v>
      </c>
      <c r="I11123" s="20">
        <v>0.87756357902766102</v>
      </c>
      <c r="J11123" s="28">
        <v>0.38018060152214</v>
      </c>
      <c r="K11123" s="29">
        <v>0.98289565623980701</v>
      </c>
    </row>
    <row r="11124" spans="1:11" x14ac:dyDescent="0.35">
      <c r="A11124" s="9" t="str">
        <f>HYPERLINK("http://www.ensembl.org/id/WBGene00001435", "WBGene00001435")</f>
        <v>WBGene00001435</v>
      </c>
      <c r="B11124" s="9" t="str">
        <f>HYPERLINK("http://www.ncbi.nlm.nih.gov/gene/181465", "181465")</f>
        <v>181465</v>
      </c>
      <c r="C11124" s="9"/>
      <c r="D11124" t="str">
        <f>"fkh-3"</f>
        <v>fkh-3</v>
      </c>
      <c r="E11124" t="s">
        <v>2856</v>
      </c>
      <c r="F11124" t="s">
        <v>11</v>
      </c>
      <c r="G11124" t="s">
        <v>5190</v>
      </c>
      <c r="H11124" s="12">
        <v>1.2187590663574399</v>
      </c>
      <c r="I11124" s="20">
        <v>0.46901150193553398</v>
      </c>
      <c r="J11124" s="28">
        <v>0.63906141461645405</v>
      </c>
      <c r="K11124" s="29">
        <v>0.98289565623980701</v>
      </c>
    </row>
    <row r="11125" spans="1:11" x14ac:dyDescent="0.35">
      <c r="A11125" s="9" t="str">
        <f>HYPERLINK("http://www.ensembl.org/id/WBGene00001437", "WBGene00001437")</f>
        <v>WBGene00001437</v>
      </c>
      <c r="B11125" s="9" t="str">
        <f>HYPERLINK("http://www.ncbi.nlm.nih.gov/gene/184944", "184944")</f>
        <v>184944</v>
      </c>
      <c r="C11125" s="9"/>
      <c r="D11125" t="str">
        <f>"fkh-5"</f>
        <v>fkh-5</v>
      </c>
      <c r="E11125" t="s">
        <v>4565</v>
      </c>
      <c r="F11125" t="s">
        <v>11</v>
      </c>
      <c r="G11125" t="s">
        <v>1243</v>
      </c>
      <c r="H11125" s="12">
        <v>1.69377548773079</v>
      </c>
      <c r="I11125" s="20">
        <v>1.08296368553468</v>
      </c>
      <c r="J11125" s="28">
        <v>0.27882454206103402</v>
      </c>
      <c r="K11125" s="29">
        <v>0.98289565623980701</v>
      </c>
    </row>
    <row r="11126" spans="1:11" x14ac:dyDescent="0.35">
      <c r="A11126" s="9" t="str">
        <f>HYPERLINK("http://www.ensembl.org/id/WBGene00001439", "WBGene00001439")</f>
        <v>WBGene00001439</v>
      </c>
      <c r="B11126" s="9" t="str">
        <f>HYPERLINK("http://www.ncbi.nlm.nih.gov/gene/177340", "177340")</f>
        <v>177340</v>
      </c>
      <c r="C11126" s="9"/>
      <c r="D11126" t="str">
        <f>"fkh-7"</f>
        <v>fkh-7</v>
      </c>
      <c r="E11126" t="s">
        <v>2856</v>
      </c>
      <c r="F11126" t="s">
        <v>11</v>
      </c>
      <c r="G11126" t="s">
        <v>6232</v>
      </c>
      <c r="H11126" s="12">
        <v>-1.0547762482837599</v>
      </c>
      <c r="I11126" s="20">
        <v>-0.296219770877092</v>
      </c>
      <c r="J11126" s="28">
        <v>0.76706225104594306</v>
      </c>
      <c r="K11126" s="29">
        <v>0.98289565623980701</v>
      </c>
    </row>
    <row r="11127" spans="1:11" x14ac:dyDescent="0.35">
      <c r="A11127" s="9" t="str">
        <f>HYPERLINK("http://www.ensembl.org/id/WBGene00001440", "WBGene00001440")</f>
        <v>WBGene00001440</v>
      </c>
      <c r="B11127" s="9" t="str">
        <f>HYPERLINK("http://www.ncbi.nlm.nih.gov/gene/174026", "174026")</f>
        <v>174026</v>
      </c>
      <c r="C11127" s="9"/>
      <c r="D11127" t="str">
        <f>"fkh-8"</f>
        <v>fkh-8</v>
      </c>
      <c r="E11127" t="s">
        <v>2856</v>
      </c>
      <c r="F11127" t="s">
        <v>11</v>
      </c>
      <c r="G11127" t="s">
        <v>4646</v>
      </c>
      <c r="H11127" s="12">
        <v>1.54076030944085</v>
      </c>
      <c r="I11127" s="20">
        <v>1.14942344650603</v>
      </c>
      <c r="J11127" s="28">
        <v>0.25038141655356999</v>
      </c>
      <c r="K11127" s="29">
        <v>0.98289565623980701</v>
      </c>
    </row>
    <row r="11128" spans="1:11" x14ac:dyDescent="0.35">
      <c r="A11128" s="9" t="str">
        <f>HYPERLINK("http://www.ensembl.org/id/WBGene00011271", "WBGene00011271")</f>
        <v>WBGene00011271</v>
      </c>
      <c r="B11128" s="9" t="str">
        <f>HYPERLINK("http://www.ncbi.nlm.nih.gov/gene/3565030", "3565030")</f>
        <v>3565030</v>
      </c>
      <c r="C11128" s="9" t="str">
        <f>HYPERLINK("http://www.ncbi.nlm.nih.gov/gene/80308", "80308")</f>
        <v>80308</v>
      </c>
      <c r="D11128" t="str">
        <f>"flad-1"</f>
        <v>flad-1</v>
      </c>
      <c r="E11128" t="s">
        <v>9565</v>
      </c>
      <c r="F11128" t="s">
        <v>11</v>
      </c>
      <c r="G11128" t="s">
        <v>9566</v>
      </c>
      <c r="H11128" s="12">
        <v>-1.25937773848529</v>
      </c>
      <c r="I11128" s="20">
        <v>-1.1446777896322</v>
      </c>
      <c r="J11128" s="28">
        <v>0.25234265520930599</v>
      </c>
      <c r="K11128" s="29">
        <v>0.98289565623980701</v>
      </c>
    </row>
    <row r="11129" spans="1:11" x14ac:dyDescent="0.35">
      <c r="A11129" s="9" t="str">
        <f>HYPERLINK("http://www.ensembl.org/id/WBGene00018998", "WBGene00018998")</f>
        <v>WBGene00018998</v>
      </c>
      <c r="B11129" s="9" t="str">
        <f>HYPERLINK("http://www.ncbi.nlm.nih.gov/gene/175964", "175964")</f>
        <v>175964</v>
      </c>
      <c r="C11129" s="9"/>
      <c r="D11129" t="str">
        <f>"flap-1"</f>
        <v>flap-1</v>
      </c>
      <c r="E11129" t="s">
        <v>8786</v>
      </c>
      <c r="F11129" t="s">
        <v>11</v>
      </c>
      <c r="G11129" t="s">
        <v>8787</v>
      </c>
      <c r="H11129" s="12">
        <v>-1.1963572034458301</v>
      </c>
      <c r="I11129" s="20">
        <v>-0.84456003285604497</v>
      </c>
      <c r="J11129" s="28">
        <v>0.39835653186372499</v>
      </c>
      <c r="K11129" s="29">
        <v>0.98289565623980701</v>
      </c>
    </row>
    <row r="11130" spans="1:11" x14ac:dyDescent="0.35">
      <c r="A11130" s="9" t="str">
        <f>HYPERLINK("http://www.ensembl.org/id/WBGene00017699", "WBGene00017699")</f>
        <v>WBGene00017699</v>
      </c>
      <c r="B11130" s="9" t="str">
        <f>HYPERLINK("http://www.ncbi.nlm.nih.gov/gene/174134", "174134")</f>
        <v>174134</v>
      </c>
      <c r="C11130" s="9" t="str">
        <f>HYPERLINK("http://www.ncbi.nlm.nih.gov/gene/201163", "201163")</f>
        <v>201163</v>
      </c>
      <c r="D11130" t="str">
        <f>"flcn-1"</f>
        <v>flcn-1</v>
      </c>
      <c r="E11130" t="s">
        <v>5834</v>
      </c>
      <c r="F11130" t="s">
        <v>11</v>
      </c>
      <c r="G11130" t="s">
        <v>5835</v>
      </c>
      <c r="H11130" s="12">
        <v>1.09496577415122</v>
      </c>
      <c r="I11130" s="20">
        <v>0.47952788989648498</v>
      </c>
      <c r="J11130" s="28">
        <v>0.63156313205759795</v>
      </c>
      <c r="K11130" s="29">
        <v>0.98289565623980701</v>
      </c>
    </row>
    <row r="11131" spans="1:11" x14ac:dyDescent="0.35">
      <c r="A11131" s="9" t="str">
        <f>HYPERLINK("http://www.ensembl.org/id/WBGene00012435", "WBGene00012435")</f>
        <v>WBGene00012435</v>
      </c>
      <c r="B11131" s="9" t="str">
        <f>HYPERLINK("http://www.ncbi.nlm.nih.gov/gene/177749", "177749")</f>
        <v>177749</v>
      </c>
      <c r="C11131" s="9"/>
      <c r="D11131" t="str">
        <f>"flh-1"</f>
        <v>flh-1</v>
      </c>
      <c r="E11131" t="s">
        <v>6699</v>
      </c>
      <c r="F11131" t="s">
        <v>11</v>
      </c>
      <c r="G11131" t="s">
        <v>8393</v>
      </c>
      <c r="H11131" s="12">
        <v>-1.1749283341199801</v>
      </c>
      <c r="I11131" s="20">
        <v>-0.67652592602483597</v>
      </c>
      <c r="J11131" s="28">
        <v>0.49870679117808597</v>
      </c>
      <c r="K11131" s="29">
        <v>0.98289565623980701</v>
      </c>
    </row>
    <row r="11132" spans="1:11" x14ac:dyDescent="0.35">
      <c r="A11132" s="9" t="str">
        <f>HYPERLINK("http://www.ensembl.org/id/WBGene00016138", "WBGene00016138")</f>
        <v>WBGene00016138</v>
      </c>
      <c r="B11132" s="9" t="str">
        <f>HYPERLINK("http://www.ncbi.nlm.nih.gov/gene/175670", "175670")</f>
        <v>175670</v>
      </c>
      <c r="C11132" s="9"/>
      <c r="D11132" t="str">
        <f>"flh-2"</f>
        <v>flh-2</v>
      </c>
      <c r="E11132" t="s">
        <v>6699</v>
      </c>
      <c r="F11132" t="s">
        <v>11</v>
      </c>
      <c r="G11132" t="s">
        <v>6700</v>
      </c>
      <c r="H11132" s="12">
        <v>-1.08538439192179</v>
      </c>
      <c r="I11132" s="20">
        <v>-0.41776066377378002</v>
      </c>
      <c r="J11132" s="28">
        <v>0.67612211373482201</v>
      </c>
      <c r="K11132" s="29">
        <v>0.98289565623980701</v>
      </c>
    </row>
    <row r="11133" spans="1:11" x14ac:dyDescent="0.35">
      <c r="A11133" s="9" t="str">
        <f>HYPERLINK("http://www.ensembl.org/id/WBGene00012436", "WBGene00012436")</f>
        <v>WBGene00012436</v>
      </c>
      <c r="B11133" s="9" t="str">
        <f>HYPERLINK("http://www.ncbi.nlm.nih.gov/gene/189435", "189435")</f>
        <v>189435</v>
      </c>
      <c r="C11133" s="9"/>
      <c r="D11133" t="str">
        <f>"flh-3"</f>
        <v>flh-3</v>
      </c>
      <c r="E11133" t="s">
        <v>6699</v>
      </c>
      <c r="F11133" t="s">
        <v>11</v>
      </c>
      <c r="G11133" t="s">
        <v>7819</v>
      </c>
      <c r="H11133" s="12">
        <v>-1.1466505329629799</v>
      </c>
      <c r="I11133" s="20">
        <v>-0.50258440735166199</v>
      </c>
      <c r="J11133" s="28">
        <v>0.61525649428253604</v>
      </c>
      <c r="K11133" s="29">
        <v>0.98289565623980701</v>
      </c>
    </row>
    <row r="11134" spans="1:11" x14ac:dyDescent="0.35">
      <c r="A11134" s="9" t="str">
        <f>HYPERLINK("http://www.ensembl.org/id/WBGene00001443", "WBGene00001443")</f>
        <v>WBGene00001443</v>
      </c>
      <c r="B11134" s="9" t="str">
        <f>HYPERLINK("http://www.ncbi.nlm.nih.gov/gene/176215", "176215")</f>
        <v>176215</v>
      </c>
      <c r="C11134" s="9" t="str">
        <f>HYPERLINK("http://www.ncbi.nlm.nih.gov/gene/2314", "2314")</f>
        <v>2314</v>
      </c>
      <c r="D11134" t="str">
        <f>"fli-1"</f>
        <v>fli-1</v>
      </c>
      <c r="F11134" t="s">
        <v>11</v>
      </c>
      <c r="G11134" t="s">
        <v>9562</v>
      </c>
      <c r="H11134" s="12">
        <v>-1.2590607513526799</v>
      </c>
      <c r="I11134" s="20">
        <v>-1.18856584108825</v>
      </c>
      <c r="J11134" s="28">
        <v>0.23461055638081699</v>
      </c>
      <c r="K11134" s="29">
        <v>0.98289565623980701</v>
      </c>
    </row>
    <row r="11135" spans="1:11" x14ac:dyDescent="0.35">
      <c r="A11135" s="9" t="str">
        <f>HYPERLINK("http://www.ensembl.org/id/WBGene00001444", "WBGene00001444")</f>
        <v>WBGene00001444</v>
      </c>
      <c r="B11135" s="9" t="str">
        <f>HYPERLINK("http://www.ncbi.nlm.nih.gov/gene/177737", "177737")</f>
        <v>177737</v>
      </c>
      <c r="C11135" s="9"/>
      <c r="D11135" t="str">
        <f>"flp-1"</f>
        <v>flp-1</v>
      </c>
      <c r="E11135" t="s">
        <v>9624</v>
      </c>
      <c r="F11135" t="s">
        <v>11</v>
      </c>
      <c r="G11135" t="s">
        <v>77</v>
      </c>
      <c r="H11135" s="12">
        <v>-1.26756207149609</v>
      </c>
      <c r="I11135" s="20">
        <v>-0.92143657986197003</v>
      </c>
      <c r="J11135" s="28">
        <v>0.356822538085103</v>
      </c>
      <c r="K11135" s="29">
        <v>0.98289565623980701</v>
      </c>
    </row>
    <row r="11136" spans="1:11" x14ac:dyDescent="0.35">
      <c r="A11136" s="9" t="str">
        <f>HYPERLINK("http://www.ensembl.org/id/WBGene00001453", "WBGene00001453")</f>
        <v>WBGene00001453</v>
      </c>
      <c r="B11136" s="9" t="str">
        <f>HYPERLINK("http://www.ncbi.nlm.nih.gov/gene/177574", "177574")</f>
        <v>177574</v>
      </c>
      <c r="C11136" s="9"/>
      <c r="D11136" t="str">
        <f>"flp-10"</f>
        <v>flp-10</v>
      </c>
      <c r="E11136" t="s">
        <v>5580</v>
      </c>
      <c r="F11136" t="s">
        <v>11</v>
      </c>
      <c r="G11136" t="s">
        <v>5581</v>
      </c>
      <c r="H11136" s="12">
        <v>1.14105853036927</v>
      </c>
      <c r="I11136" s="20">
        <v>0.68006364087716997</v>
      </c>
      <c r="J11136" s="28">
        <v>0.496464165278382</v>
      </c>
      <c r="K11136" s="29">
        <v>0.98289565623980701</v>
      </c>
    </row>
    <row r="11137" spans="1:11" x14ac:dyDescent="0.35">
      <c r="A11137" s="9" t="str">
        <f>HYPERLINK("http://www.ensembl.org/id/WBGene00001454", "WBGene00001454")</f>
        <v>WBGene00001454</v>
      </c>
      <c r="B11137" s="9" t="str">
        <f>HYPERLINK("http://www.ncbi.nlm.nih.gov/gene/180741", "180741")</f>
        <v>180741</v>
      </c>
      <c r="C11137" s="9"/>
      <c r="D11137" t="str">
        <f>"flp-11"</f>
        <v>flp-11</v>
      </c>
      <c r="E11137" t="s">
        <v>5194</v>
      </c>
      <c r="F11137" t="s">
        <v>11</v>
      </c>
      <c r="H11137" s="12">
        <v>1.2180415898425001</v>
      </c>
      <c r="I11137" s="20">
        <v>0.98897508878112395</v>
      </c>
      <c r="J11137" s="28">
        <v>0.32267532999568399</v>
      </c>
      <c r="K11137" s="29">
        <v>0.98289565623980701</v>
      </c>
    </row>
    <row r="11138" spans="1:11" x14ac:dyDescent="0.35">
      <c r="A11138" s="9" t="str">
        <f>HYPERLINK("http://www.ensembl.org/id/WBGene00001455", "WBGene00001455")</f>
        <v>WBGene00001455</v>
      </c>
      <c r="B11138" s="9" t="str">
        <f>HYPERLINK("http://www.ncbi.nlm.nih.gov/gene/180732", "180732")</f>
        <v>180732</v>
      </c>
      <c r="C11138" s="9"/>
      <c r="D11138" t="str">
        <f>"flp-12"</f>
        <v>flp-12</v>
      </c>
      <c r="E11138" t="s">
        <v>5356</v>
      </c>
      <c r="F11138" t="s">
        <v>11</v>
      </c>
      <c r="G11138" t="s">
        <v>3848</v>
      </c>
      <c r="H11138" s="12">
        <v>1.1839193737704301</v>
      </c>
      <c r="I11138" s="20">
        <v>0.82208996289275404</v>
      </c>
      <c r="J11138" s="28">
        <v>0.41102569754919699</v>
      </c>
      <c r="K11138" s="29">
        <v>0.98289565623980701</v>
      </c>
    </row>
    <row r="11139" spans="1:11" x14ac:dyDescent="0.35">
      <c r="A11139" s="9" t="str">
        <f>HYPERLINK("http://www.ensembl.org/id/WBGene00001458", "WBGene00001458")</f>
        <v>WBGene00001458</v>
      </c>
      <c r="B11139" s="9" t="str">
        <f>HYPERLINK("http://www.ncbi.nlm.nih.gov/gene/176803", "176803")</f>
        <v>176803</v>
      </c>
      <c r="C11139" s="9"/>
      <c r="D11139" t="str">
        <f>"flp-15"</f>
        <v>flp-15</v>
      </c>
      <c r="E11139" t="s">
        <v>401</v>
      </c>
      <c r="F11139" t="s">
        <v>11</v>
      </c>
      <c r="H11139" s="12">
        <v>-1.1027640808295101</v>
      </c>
      <c r="I11139" s="20">
        <v>-0.50524472072644699</v>
      </c>
      <c r="J11139" s="28">
        <v>0.61338696363386402</v>
      </c>
      <c r="K11139" s="29">
        <v>0.98289565623980701</v>
      </c>
    </row>
    <row r="11140" spans="1:11" x14ac:dyDescent="0.35">
      <c r="A11140" s="9" t="str">
        <f>HYPERLINK("http://www.ensembl.org/id/WBGene00001462", "WBGene00001462")</f>
        <v>WBGene00001462</v>
      </c>
      <c r="B11140" s="9" t="str">
        <f>HYPERLINK("http://www.ncbi.nlm.nih.gov/gene/181260", "181260")</f>
        <v>181260</v>
      </c>
      <c r="C11140" s="9"/>
      <c r="D11140" t="str">
        <f>"flp-19"</f>
        <v>flp-19</v>
      </c>
      <c r="E11140" t="s">
        <v>5008</v>
      </c>
      <c r="F11140" t="s">
        <v>11</v>
      </c>
      <c r="H11140" s="12">
        <v>1.2638846706395801</v>
      </c>
      <c r="I11140" s="20">
        <v>1.1675561259457501</v>
      </c>
      <c r="J11140" s="28">
        <v>0.24298585636476999</v>
      </c>
      <c r="K11140" s="29">
        <v>0.98289565623980701</v>
      </c>
    </row>
    <row r="11141" spans="1:11" x14ac:dyDescent="0.35">
      <c r="A11141" s="9" t="str">
        <f>HYPERLINK("http://www.ensembl.org/id/WBGene00001445", "WBGene00001445")</f>
        <v>WBGene00001445</v>
      </c>
      <c r="B11141" s="9" t="str">
        <f>HYPERLINK("http://www.ncbi.nlm.nih.gov/gene/181222", "181222")</f>
        <v>181222</v>
      </c>
      <c r="C11141" s="9"/>
      <c r="D11141" t="str">
        <f>"flp-2"</f>
        <v>flp-2</v>
      </c>
      <c r="E11141" t="s">
        <v>5843</v>
      </c>
      <c r="F11141" t="s">
        <v>11</v>
      </c>
      <c r="H11141" s="12">
        <v>1.09468175583489</v>
      </c>
      <c r="I11141" s="20">
        <v>0.42916480594822798</v>
      </c>
      <c r="J11141" s="28">
        <v>0.66780329309896802</v>
      </c>
      <c r="K11141" s="29">
        <v>0.98289565623980701</v>
      </c>
    </row>
    <row r="11142" spans="1:11" x14ac:dyDescent="0.35">
      <c r="A11142" s="9" t="str">
        <f>HYPERLINK("http://www.ensembl.org/id/WBGene00017693", "WBGene00017693")</f>
        <v>WBGene00017693</v>
      </c>
      <c r="B11142" s="9" t="str">
        <f>HYPERLINK("http://www.ncbi.nlm.nih.gov/gene/184812", "184812")</f>
        <v>184812</v>
      </c>
      <c r="C11142" s="9"/>
      <c r="D11142" t="str">
        <f>"flp-23"</f>
        <v>flp-23</v>
      </c>
      <c r="E11142" t="s">
        <v>4413</v>
      </c>
      <c r="F11142" t="s">
        <v>11</v>
      </c>
      <c r="H11142" s="12">
        <v>2.3444892507898301</v>
      </c>
      <c r="I11142" s="20">
        <v>0.253126732237689</v>
      </c>
      <c r="J11142" s="28">
        <v>0.80017028205419904</v>
      </c>
      <c r="K11142" s="29">
        <v>0.98289565623980701</v>
      </c>
    </row>
    <row r="11143" spans="1:11" x14ac:dyDescent="0.35">
      <c r="A11143" s="9" t="str">
        <f>HYPERLINK("http://www.ensembl.org/id/WBGene00016114", "WBGene00016114")</f>
        <v>WBGene00016114</v>
      </c>
      <c r="B11143" s="9" t="str">
        <f>HYPERLINK("http://www.ncbi.nlm.nih.gov/gene/182924", "182924")</f>
        <v>182924</v>
      </c>
      <c r="C11143" s="9"/>
      <c r="D11143" t="str">
        <f>"flp-27"</f>
        <v>flp-27</v>
      </c>
      <c r="E11143" t="s">
        <v>9764</v>
      </c>
      <c r="F11143" t="s">
        <v>11</v>
      </c>
      <c r="H11143" s="12">
        <v>-1.29662974734822</v>
      </c>
      <c r="I11143" s="20">
        <v>-1.1462701970218201</v>
      </c>
      <c r="J11143" s="28">
        <v>0.25168337043158401</v>
      </c>
      <c r="K11143" s="29">
        <v>0.98289565623980701</v>
      </c>
    </row>
    <row r="11144" spans="1:11" x14ac:dyDescent="0.35">
      <c r="A11144" s="9" t="str">
        <f>HYPERLINK("http://www.ensembl.org/id/WBGene00044686", "WBGene00044686")</f>
        <v>WBGene00044686</v>
      </c>
      <c r="B11144" s="9" t="str">
        <f>HYPERLINK("http://www.ncbi.nlm.nih.gov/gene/181220", "181220")</f>
        <v>181220</v>
      </c>
      <c r="C11144" s="9"/>
      <c r="D11144" t="str">
        <f>"flp-28"</f>
        <v>flp-28</v>
      </c>
      <c r="E11144" t="s">
        <v>401</v>
      </c>
      <c r="F11144" t="s">
        <v>11</v>
      </c>
      <c r="H11144" s="12">
        <v>1.1340604811700601</v>
      </c>
      <c r="I11144" s="20">
        <v>0.68473989214292896</v>
      </c>
      <c r="J11144" s="28">
        <v>0.49350807113031397</v>
      </c>
      <c r="K11144" s="29">
        <v>0.98289565623980701</v>
      </c>
    </row>
    <row r="11145" spans="1:11" x14ac:dyDescent="0.35">
      <c r="A11145" s="9" t="str">
        <f>HYPERLINK("http://www.ensembl.org/id/WBGene00001465", "WBGene00001465")</f>
        <v>WBGene00001465</v>
      </c>
      <c r="B11145" s="9" t="str">
        <f>HYPERLINK("http://www.ncbi.nlm.nih.gov/gene/181468", "181468")</f>
        <v>181468</v>
      </c>
      <c r="C11145" s="9"/>
      <c r="D11145" t="str">
        <f>"flr-1"</f>
        <v>flr-1</v>
      </c>
      <c r="E11145" t="s">
        <v>5128</v>
      </c>
      <c r="F11145" t="s">
        <v>11</v>
      </c>
      <c r="G11145" t="s">
        <v>5129</v>
      </c>
      <c r="H11145" s="12">
        <v>1.23353924934404</v>
      </c>
      <c r="I11145" s="20">
        <v>0.53057441181660803</v>
      </c>
      <c r="J11145" s="28">
        <v>0.595713731357156</v>
      </c>
      <c r="K11145" s="29">
        <v>0.98289565623980701</v>
      </c>
    </row>
    <row r="11146" spans="1:11" x14ac:dyDescent="0.35">
      <c r="A11146" s="9" t="str">
        <f>HYPERLINK("http://www.ensembl.org/id/WBGene00001468", "WBGene00001468")</f>
        <v>WBGene00001468</v>
      </c>
      <c r="B11146" s="9" t="str">
        <f>HYPERLINK("http://www.ncbi.nlm.nih.gov/gene/181604", "181604")</f>
        <v>181604</v>
      </c>
      <c r="C11146" s="9"/>
      <c r="D11146" t="str">
        <f>"flr-4"</f>
        <v>flr-4</v>
      </c>
      <c r="E11146" t="s">
        <v>5542</v>
      </c>
      <c r="F11146" t="s">
        <v>11</v>
      </c>
      <c r="G11146" t="s">
        <v>444</v>
      </c>
      <c r="H11146" s="12">
        <v>1.1483637564928699</v>
      </c>
      <c r="I11146" s="20">
        <v>0.28925445572568997</v>
      </c>
      <c r="J11146" s="28">
        <v>0.77238666230832498</v>
      </c>
      <c r="K11146" s="29">
        <v>0.98289565623980701</v>
      </c>
    </row>
    <row r="11147" spans="1:11" x14ac:dyDescent="0.35">
      <c r="A11147" s="9" t="str">
        <f>HYPERLINK("http://www.ensembl.org/id/WBGene00021362", "WBGene00021362")</f>
        <v>WBGene00021362</v>
      </c>
      <c r="B11147" s="9" t="str">
        <f>HYPERLINK("http://www.ncbi.nlm.nih.gov/gene/189621", "189621")</f>
        <v>189621</v>
      </c>
      <c r="C11147" s="9"/>
      <c r="D11147" t="str">
        <f>"fmil-1"</f>
        <v>fmil-1</v>
      </c>
      <c r="E11147" t="s">
        <v>4862</v>
      </c>
      <c r="F11147" t="s">
        <v>11</v>
      </c>
      <c r="G11147" t="s">
        <v>4863</v>
      </c>
      <c r="H11147" s="12">
        <v>1.3265453959256399</v>
      </c>
      <c r="I11147" s="20">
        <v>1.0368028185359199</v>
      </c>
      <c r="J11147" s="28">
        <v>0.29982776173404602</v>
      </c>
      <c r="K11147" s="29">
        <v>0.98289565623980701</v>
      </c>
    </row>
    <row r="11148" spans="1:11" x14ac:dyDescent="0.35">
      <c r="A11148" s="9" t="str">
        <f>HYPERLINK("http://www.ensembl.org/id/WBGene00001478", "WBGene00001478")</f>
        <v>WBGene00001478</v>
      </c>
      <c r="B11148" s="9" t="str">
        <f>HYPERLINK("http://www.ncbi.nlm.nih.gov/gene/176491", "176491")</f>
        <v>176491</v>
      </c>
      <c r="C11148" s="9" t="str">
        <f>HYPERLINK("http://www.ncbi.nlm.nih.gov/gene/2330", "2330")</f>
        <v>2330</v>
      </c>
      <c r="D11148" t="str">
        <f>"fmo-3"</f>
        <v>fmo-3</v>
      </c>
      <c r="E11148" t="s">
        <v>5392</v>
      </c>
      <c r="F11148" t="s">
        <v>11</v>
      </c>
      <c r="G11148" t="s">
        <v>5393</v>
      </c>
      <c r="H11148" s="12">
        <v>1.1746233555815799</v>
      </c>
      <c r="I11148" s="20">
        <v>0.412020857266442</v>
      </c>
      <c r="J11148" s="28">
        <v>0.68032413574142503</v>
      </c>
      <c r="K11148" s="29">
        <v>0.98289565623980701</v>
      </c>
    </row>
    <row r="11149" spans="1:11" x14ac:dyDescent="0.35">
      <c r="A11149" s="9" t="str">
        <f>HYPERLINK("http://www.ensembl.org/id/WBGene00001479", "WBGene00001479")</f>
        <v>WBGene00001479</v>
      </c>
      <c r="B11149" s="9" t="str">
        <f>HYPERLINK("http://www.ncbi.nlm.nih.gov/gene/179845", "179845")</f>
        <v>179845</v>
      </c>
      <c r="C11149" s="9"/>
      <c r="D11149" t="str">
        <f>"fmo-4"</f>
        <v>fmo-4</v>
      </c>
      <c r="E11149" t="s">
        <v>99</v>
      </c>
      <c r="F11149" t="s">
        <v>11</v>
      </c>
      <c r="G11149" t="s">
        <v>699</v>
      </c>
      <c r="H11149" s="12">
        <v>1.09863798805714</v>
      </c>
      <c r="I11149" s="20">
        <v>0.42159124380754098</v>
      </c>
      <c r="J11149" s="28">
        <v>0.67332339861208201</v>
      </c>
      <c r="K11149" s="29">
        <v>0.98289565623980701</v>
      </c>
    </row>
    <row r="11150" spans="1:11" x14ac:dyDescent="0.35">
      <c r="A11150" s="9" t="str">
        <f>HYPERLINK("http://www.ensembl.org/id/WBGene00001480", "WBGene00001480")</f>
        <v>WBGene00001480</v>
      </c>
      <c r="B11150" s="9" t="str">
        <f>HYPERLINK("http://www.ncbi.nlm.nih.gov/gene/178596", "178596")</f>
        <v>178596</v>
      </c>
      <c r="C11150" s="9" t="str">
        <f>HYPERLINK("http://www.ncbi.nlm.nih.gov/gene/2330", "2330")</f>
        <v>2330</v>
      </c>
      <c r="D11150" t="str">
        <f>"fmo-5"</f>
        <v>fmo-5</v>
      </c>
      <c r="E11150" t="s">
        <v>99</v>
      </c>
      <c r="F11150" t="s">
        <v>11</v>
      </c>
      <c r="G11150" t="s">
        <v>5393</v>
      </c>
      <c r="H11150" s="12">
        <v>-1.14612309427811</v>
      </c>
      <c r="I11150" s="20">
        <v>-0.74603722071890699</v>
      </c>
      <c r="J11150" s="28">
        <v>0.45564493107411702</v>
      </c>
      <c r="K11150" s="29">
        <v>0.98289565623980701</v>
      </c>
    </row>
    <row r="11151" spans="1:11" x14ac:dyDescent="0.35">
      <c r="A11151" s="9" t="str">
        <f>HYPERLINK("http://www.ensembl.org/id/WBGene00020935", "WBGene00020935")</f>
        <v>WBGene00020935</v>
      </c>
      <c r="B11151" s="9" t="str">
        <f>HYPERLINK("http://www.ncbi.nlm.nih.gov/gene/189113", "189113")</f>
        <v>189113</v>
      </c>
      <c r="C11151" s="9"/>
      <c r="D11151" t="str">
        <f>"fnci-1"</f>
        <v>fnci-1</v>
      </c>
      <c r="E11151" t="s">
        <v>6456</v>
      </c>
      <c r="F11151" t="s">
        <v>11</v>
      </c>
      <c r="G11151" t="s">
        <v>6457</v>
      </c>
      <c r="H11151" s="12">
        <v>-1.0703771538459199</v>
      </c>
      <c r="I11151" s="20">
        <v>-0.31771342004394598</v>
      </c>
      <c r="J11151" s="28">
        <v>0.75070233056166302</v>
      </c>
      <c r="K11151" s="29">
        <v>0.98289565623980701</v>
      </c>
    </row>
    <row r="11152" spans="1:11" x14ac:dyDescent="0.35">
      <c r="A11152" s="9" t="str">
        <f>HYPERLINK("http://www.ensembl.org/id/WBGene00011528", "WBGene00011528")</f>
        <v>WBGene00011528</v>
      </c>
      <c r="B11152" s="9" t="str">
        <f>HYPERLINK("http://www.ncbi.nlm.nih.gov/gene/174714", "174714")</f>
        <v>174714</v>
      </c>
      <c r="C11152" s="9"/>
      <c r="D11152" t="str">
        <f>"fndc-1"</f>
        <v>fndc-1</v>
      </c>
      <c r="E11152" t="s">
        <v>7853</v>
      </c>
      <c r="F11152" t="s">
        <v>11</v>
      </c>
      <c r="G11152" t="s">
        <v>7854</v>
      </c>
      <c r="H11152" s="12">
        <v>-1.1481164627318901</v>
      </c>
      <c r="I11152" s="20">
        <v>-0.71131708062306698</v>
      </c>
      <c r="J11152" s="28">
        <v>0.47688776939268201</v>
      </c>
      <c r="K11152" s="29">
        <v>0.98289565623980701</v>
      </c>
    </row>
    <row r="11153" spans="1:11" x14ac:dyDescent="0.35">
      <c r="A11153" s="9" t="str">
        <f>HYPERLINK("http://www.ensembl.org/id/WBGene00019823", "WBGene00019823")</f>
        <v>WBGene00019823</v>
      </c>
      <c r="B11153" s="9" t="str">
        <f>HYPERLINK("http://www.ncbi.nlm.nih.gov/gene/176840", "176840")</f>
        <v>176840</v>
      </c>
      <c r="C11153" s="9" t="str">
        <f>HYPERLINK("http://www.ncbi.nlm.nih.gov/gene/2339", "2339")</f>
        <v>2339</v>
      </c>
      <c r="D11153" t="str">
        <f>"fnta-1"</f>
        <v>fnta-1</v>
      </c>
      <c r="E11153" t="s">
        <v>9248</v>
      </c>
      <c r="F11153" t="s">
        <v>11</v>
      </c>
      <c r="G11153" t="s">
        <v>9249</v>
      </c>
      <c r="H11153" s="12">
        <v>-1.23053523752612</v>
      </c>
      <c r="I11153" s="20">
        <v>-1.04485397624309</v>
      </c>
      <c r="J11153" s="28">
        <v>0.296090463729547</v>
      </c>
      <c r="K11153" s="29">
        <v>0.98289565623980701</v>
      </c>
    </row>
    <row r="11154" spans="1:11" x14ac:dyDescent="0.35">
      <c r="A11154" s="9" t="str">
        <f>HYPERLINK("http://www.ensembl.org/id/WBGene00006465", "WBGene00006465")</f>
        <v>WBGene00006465</v>
      </c>
      <c r="B11154" s="9" t="str">
        <f>HYPERLINK("http://www.ncbi.nlm.nih.gov/gene/179946", "179946")</f>
        <v>179946</v>
      </c>
      <c r="C11154" s="9" t="str">
        <f>HYPERLINK("http://www.ncbi.nlm.nih.gov/gene/2342", "2342")</f>
        <v>2342</v>
      </c>
      <c r="D11154" t="str">
        <f>"fntb-1"</f>
        <v>fntb-1</v>
      </c>
      <c r="E11154" t="s">
        <v>9073</v>
      </c>
      <c r="F11154" t="s">
        <v>11</v>
      </c>
      <c r="G11154" t="s">
        <v>9074</v>
      </c>
      <c r="H11154" s="12">
        <v>-1.2185855099638301</v>
      </c>
      <c r="I11154" s="20">
        <v>-1.0099243541485201</v>
      </c>
      <c r="J11154" s="28">
        <v>0.31253153352052199</v>
      </c>
      <c r="K11154" s="29">
        <v>0.98289565623980701</v>
      </c>
    </row>
    <row r="11155" spans="1:11" x14ac:dyDescent="0.35">
      <c r="A11155" s="9" t="str">
        <f>HYPERLINK("http://www.ensembl.org/id/WBGene00007648", "WBGene00007648")</f>
        <v>WBGene00007648</v>
      </c>
      <c r="B11155" s="9" t="str">
        <f>HYPERLINK("http://www.ncbi.nlm.nih.gov/gene/182740", "182740")</f>
        <v>182740</v>
      </c>
      <c r="C11155" s="9"/>
      <c r="D11155" t="str">
        <f>"folr-1"</f>
        <v>folr-1</v>
      </c>
      <c r="E11155" t="s">
        <v>4548</v>
      </c>
      <c r="F11155" t="s">
        <v>11</v>
      </c>
      <c r="G11155" t="s">
        <v>25</v>
      </c>
      <c r="H11155" s="12">
        <v>1.7191593716894</v>
      </c>
      <c r="I11155" s="20">
        <v>0.47286535121565798</v>
      </c>
      <c r="J11155" s="28">
        <v>0.63630924617040996</v>
      </c>
      <c r="K11155" s="29">
        <v>0.98289565623980701</v>
      </c>
    </row>
    <row r="11156" spans="1:11" x14ac:dyDescent="0.35">
      <c r="A11156" s="9" t="str">
        <f>HYPERLINK("http://www.ensembl.org/id/WBGene00044738", "WBGene00044738")</f>
        <v>WBGene00044738</v>
      </c>
      <c r="B11156" s="9" t="str">
        <f>HYPERLINK("http://www.ncbi.nlm.nih.gov/gene/4363081", "4363081")</f>
        <v>4363081</v>
      </c>
      <c r="C11156" s="9"/>
      <c r="D11156" t="str">
        <f>"folt-3"</f>
        <v>folt-3</v>
      </c>
      <c r="E11156" t="s">
        <v>10040</v>
      </c>
      <c r="F11156" t="s">
        <v>11</v>
      </c>
      <c r="G11156" t="s">
        <v>10041</v>
      </c>
      <c r="H11156" s="12">
        <v>-2.1540025148468498</v>
      </c>
      <c r="I11156" s="20">
        <v>-0.60024745620390696</v>
      </c>
      <c r="J11156" s="28">
        <v>0.54834133075358404</v>
      </c>
      <c r="K11156" s="29">
        <v>0.98289565623980701</v>
      </c>
    </row>
    <row r="11157" spans="1:11" x14ac:dyDescent="0.35">
      <c r="A11157" s="9" t="str">
        <f>HYPERLINK("http://www.ensembl.org/id/WBGene00001345", "WBGene00001345")</f>
        <v>WBGene00001345</v>
      </c>
      <c r="B11157" s="9" t="str">
        <f>HYPERLINK("http://www.ncbi.nlm.nih.gov/gene/178987", "178987")</f>
        <v>178987</v>
      </c>
      <c r="C11157" s="9"/>
      <c r="D11157" t="str">
        <f>"fos-1"</f>
        <v>fos-1</v>
      </c>
      <c r="E11157" t="s">
        <v>7115</v>
      </c>
      <c r="F11157" t="s">
        <v>11</v>
      </c>
      <c r="G11157" t="s">
        <v>7116</v>
      </c>
      <c r="H11157" s="12">
        <v>-1.10747975429101</v>
      </c>
      <c r="I11157" s="20">
        <v>-0.54522553885119096</v>
      </c>
      <c r="J11157" s="28">
        <v>0.58559840876395997</v>
      </c>
      <c r="K11157" s="29">
        <v>0.98289565623980701</v>
      </c>
    </row>
    <row r="11158" spans="1:11" x14ac:dyDescent="0.35">
      <c r="A11158" s="9" t="str">
        <f>HYPERLINK("http://www.ensembl.org/id/WBGene00001484", "WBGene00001484")</f>
        <v>WBGene00001484</v>
      </c>
      <c r="B11158" s="9" t="str">
        <f>HYPERLINK("http://www.ncbi.nlm.nih.gov/gene/180549", "180549")</f>
        <v>180549</v>
      </c>
      <c r="C11158" s="9"/>
      <c r="D11158" t="str">
        <f>"fox-1"</f>
        <v>fox-1</v>
      </c>
      <c r="E11158" t="s">
        <v>5188</v>
      </c>
      <c r="F11158" t="s">
        <v>11</v>
      </c>
      <c r="G11158" t="s">
        <v>2343</v>
      </c>
      <c r="H11158" s="12">
        <v>1.21916890266157</v>
      </c>
      <c r="I11158" s="20">
        <v>0.995774844091736</v>
      </c>
      <c r="J11158" s="28">
        <v>0.31935955557015699</v>
      </c>
      <c r="K11158" s="29">
        <v>0.98289565623980701</v>
      </c>
    </row>
    <row r="11159" spans="1:11" x14ac:dyDescent="0.35">
      <c r="A11159" s="9" t="str">
        <f>HYPERLINK("http://www.ensembl.org/id/WBGene00010453", "WBGene00010453")</f>
        <v>WBGene00010453</v>
      </c>
      <c r="B11159" s="9" t="str">
        <f>HYPERLINK("http://www.ncbi.nlm.nih.gov/gene/176308", "176308")</f>
        <v>176308</v>
      </c>
      <c r="C11159" s="9"/>
      <c r="D11159" t="str">
        <f>"fozi-1"</f>
        <v>fozi-1</v>
      </c>
      <c r="E11159" t="s">
        <v>6074</v>
      </c>
      <c r="F11159" t="s">
        <v>11</v>
      </c>
      <c r="G11159" t="s">
        <v>6075</v>
      </c>
      <c r="H11159" s="12">
        <v>1.06515943517669</v>
      </c>
      <c r="I11159" s="20">
        <v>0.26986241316677201</v>
      </c>
      <c r="J11159" s="28">
        <v>0.78726610460453295</v>
      </c>
      <c r="K11159" s="29">
        <v>0.98289565623980701</v>
      </c>
    </row>
    <row r="11160" spans="1:11" x14ac:dyDescent="0.35">
      <c r="A11160" s="9" t="str">
        <f>HYPERLINK("http://www.ensembl.org/id/WBGene00019969", "WBGene00019969")</f>
        <v>WBGene00019969</v>
      </c>
      <c r="B11160" s="9"/>
      <c r="C11160" s="9"/>
      <c r="D11160" t="str">
        <f>"fpn-1.3"</f>
        <v>fpn-1.3</v>
      </c>
      <c r="F11160" t="s">
        <v>80</v>
      </c>
      <c r="H11160" s="12">
        <v>1.3329014932892</v>
      </c>
      <c r="I11160" s="20">
        <v>0.706565474562309</v>
      </c>
      <c r="J11160" s="28">
        <v>0.479836550764906</v>
      </c>
      <c r="K11160" s="29">
        <v>0.98289565623980701</v>
      </c>
    </row>
    <row r="11161" spans="1:11" x14ac:dyDescent="0.35">
      <c r="A11161" s="9" t="str">
        <f>HYPERLINK("http://www.ensembl.org/id/WBGene00001485", "WBGene00001485")</f>
        <v>WBGene00001485</v>
      </c>
      <c r="B11161" s="9" t="str">
        <f>HYPERLINK("http://www.ncbi.nlm.nih.gov/gene/180314", "180314")</f>
        <v>180314</v>
      </c>
      <c r="C11161" s="9" t="str">
        <f>HYPERLINK("http://www.ncbi.nlm.nih.gov/gene/27158", "27158")</f>
        <v>27158</v>
      </c>
      <c r="D11161" t="str">
        <f>"fre-1"</f>
        <v>fre-1</v>
      </c>
      <c r="E11161" t="s">
        <v>9528</v>
      </c>
      <c r="F11161" t="s">
        <v>11</v>
      </c>
      <c r="G11161" t="s">
        <v>9529</v>
      </c>
      <c r="H11161" s="12">
        <v>-1.2556214185882399</v>
      </c>
      <c r="I11161" s="20">
        <v>-1.10426762641726</v>
      </c>
      <c r="J11161" s="28">
        <v>0.26947706171258401</v>
      </c>
      <c r="K11161" s="29">
        <v>0.98289565623980701</v>
      </c>
    </row>
    <row r="11162" spans="1:11" x14ac:dyDescent="0.35">
      <c r="A11162" s="9" t="str">
        <f>HYPERLINK("http://www.ensembl.org/id/WBGene00014177", "WBGene00014177")</f>
        <v>WBGene00014177</v>
      </c>
      <c r="B11162" s="9" t="str">
        <f>HYPERLINK("http://www.ncbi.nlm.nih.gov/gene/176719", "176719")</f>
        <v>176719</v>
      </c>
      <c r="C11162" s="9" t="str">
        <f>HYPERLINK("http://www.ncbi.nlm.nih.gov/gene/2483", "2483")</f>
        <v>2483</v>
      </c>
      <c r="D11162" t="str">
        <f>"frg-1"</f>
        <v>frg-1</v>
      </c>
      <c r="F11162" t="s">
        <v>11</v>
      </c>
      <c r="H11162" s="12">
        <v>-1.0813747666065601</v>
      </c>
      <c r="I11162" s="20">
        <v>-0.36438389912661301</v>
      </c>
      <c r="J11162" s="28">
        <v>0.71557135690944895</v>
      </c>
      <c r="K11162" s="29">
        <v>0.98289565623980701</v>
      </c>
    </row>
    <row r="11163" spans="1:11" x14ac:dyDescent="0.35">
      <c r="A11163" s="9" t="str">
        <f>HYPERLINK("http://www.ensembl.org/id/WBGene00001486", "WBGene00001486")</f>
        <v>WBGene00001486</v>
      </c>
      <c r="B11163" s="9" t="str">
        <f>HYPERLINK("http://www.ncbi.nlm.nih.gov/gene/174002", "174002")</f>
        <v>174002</v>
      </c>
      <c r="C11163" s="9"/>
      <c r="D11163" t="str">
        <f>"frh-1"</f>
        <v>frh-1</v>
      </c>
      <c r="E11163" t="s">
        <v>7260</v>
      </c>
      <c r="F11163" t="s">
        <v>11</v>
      </c>
      <c r="G11163" t="s">
        <v>7261</v>
      </c>
      <c r="H11163" s="12">
        <v>-1.1159817501034199</v>
      </c>
      <c r="I11163" s="20">
        <v>-0.42439513357601999</v>
      </c>
      <c r="J11163" s="28">
        <v>0.67127766918140996</v>
      </c>
      <c r="K11163" s="29">
        <v>0.98289565623980701</v>
      </c>
    </row>
    <row r="11164" spans="1:11" x14ac:dyDescent="0.35">
      <c r="A11164" s="9" t="str">
        <f>HYPERLINK("http://www.ensembl.org/id/WBGene00001487", "WBGene00001487")</f>
        <v>WBGene00001487</v>
      </c>
      <c r="B11164" s="9" t="str">
        <f>HYPERLINK("http://www.ncbi.nlm.nih.gov/gene/191635", "191635")</f>
        <v>191635</v>
      </c>
      <c r="C11164" s="9" t="str">
        <f>HYPERLINK("http://www.ncbi.nlm.nih.gov/gene/2241", "2241")</f>
        <v>2241</v>
      </c>
      <c r="D11164" t="str">
        <f>"frk-1"</f>
        <v>frk-1</v>
      </c>
      <c r="E11164" t="s">
        <v>4576</v>
      </c>
      <c r="F11164" t="s">
        <v>11</v>
      </c>
      <c r="G11164" t="s">
        <v>859</v>
      </c>
      <c r="H11164" s="12">
        <v>1.6643459128696501</v>
      </c>
      <c r="I11164" s="20">
        <v>0.54404712463652105</v>
      </c>
      <c r="J11164" s="28">
        <v>0.58640904479860401</v>
      </c>
      <c r="K11164" s="29">
        <v>0.98289565623980701</v>
      </c>
    </row>
    <row r="11165" spans="1:11" x14ac:dyDescent="0.35">
      <c r="A11165" s="9" t="str">
        <f>HYPERLINK("http://www.ensembl.org/id/WBGene00001488", "WBGene00001488")</f>
        <v>WBGene00001488</v>
      </c>
      <c r="B11165" s="9" t="str">
        <f>HYPERLINK("http://www.ncbi.nlm.nih.gov/gene/173360", "173360")</f>
        <v>173360</v>
      </c>
      <c r="C11165" s="9" t="str">
        <f>HYPERLINK("http://www.ncbi.nlm.nih.gov/gene/2037", "2037")</f>
        <v>2037</v>
      </c>
      <c r="D11165" t="str">
        <f>"frm-1"</f>
        <v>frm-1</v>
      </c>
      <c r="E11165" t="s">
        <v>1383</v>
      </c>
      <c r="F11165" t="s">
        <v>11</v>
      </c>
      <c r="G11165" t="s">
        <v>5506</v>
      </c>
      <c r="H11165" s="12">
        <v>1.1551651534251799</v>
      </c>
      <c r="I11165" s="20">
        <v>0.80026768975851303</v>
      </c>
      <c r="J11165" s="28">
        <v>0.42355571885078502</v>
      </c>
      <c r="K11165" s="29">
        <v>0.98289565623980701</v>
      </c>
    </row>
    <row r="11166" spans="1:11" x14ac:dyDescent="0.35">
      <c r="A11166" s="9" t="str">
        <f>HYPERLINK("http://www.ensembl.org/id/WBGene00001496", "WBGene00001496")</f>
        <v>WBGene00001496</v>
      </c>
      <c r="B11166" s="9" t="str">
        <f>HYPERLINK("http://www.ncbi.nlm.nih.gov/gene/179828", "179828")</f>
        <v>179828</v>
      </c>
      <c r="C11166" s="9"/>
      <c r="D11166" t="str">
        <f>"frm-10"</f>
        <v>frm-10</v>
      </c>
      <c r="E11166" t="s">
        <v>1383</v>
      </c>
      <c r="F11166" t="s">
        <v>11</v>
      </c>
      <c r="G11166" t="s">
        <v>3403</v>
      </c>
      <c r="H11166" s="12">
        <v>-1.0716704829062</v>
      </c>
      <c r="I11166" s="20">
        <v>-0.37564414862741602</v>
      </c>
      <c r="J11166" s="28">
        <v>0.707181464646222</v>
      </c>
      <c r="K11166" s="29">
        <v>0.98289565623980701</v>
      </c>
    </row>
    <row r="11167" spans="1:11" x14ac:dyDescent="0.35">
      <c r="A11167" s="9" t="str">
        <f>HYPERLINK("http://www.ensembl.org/id/WBGene00001489", "WBGene00001489")</f>
        <v>WBGene00001489</v>
      </c>
      <c r="B11167" s="9" t="str">
        <f>HYPERLINK("http://www.ncbi.nlm.nih.gov/gene/175848", "175848")</f>
        <v>175848</v>
      </c>
      <c r="C11167" s="9"/>
      <c r="D11167" t="str">
        <f>"frm-2"</f>
        <v>frm-2</v>
      </c>
      <c r="E11167" t="s">
        <v>1383</v>
      </c>
      <c r="F11167" t="s">
        <v>11</v>
      </c>
      <c r="G11167" t="s">
        <v>5488</v>
      </c>
      <c r="H11167" s="12">
        <v>1.15910997231422</v>
      </c>
      <c r="I11167" s="20">
        <v>0.77371152632395301</v>
      </c>
      <c r="J11167" s="28">
        <v>0.43910140225706901</v>
      </c>
      <c r="K11167" s="29">
        <v>0.98289565623980701</v>
      </c>
    </row>
    <row r="11168" spans="1:11" x14ac:dyDescent="0.35">
      <c r="A11168" s="9" t="str">
        <f>HYPERLINK("http://www.ensembl.org/id/WBGene00001492", "WBGene00001492")</f>
        <v>WBGene00001492</v>
      </c>
      <c r="B11168" s="9" t="str">
        <f>HYPERLINK("http://www.ncbi.nlm.nih.gov/gene/176822", "176822")</f>
        <v>176822</v>
      </c>
      <c r="C11168" s="9"/>
      <c r="D11168" t="str">
        <f>"frm-5.1"</f>
        <v>frm-5.1</v>
      </c>
      <c r="E11168" t="s">
        <v>1383</v>
      </c>
      <c r="F11168" t="s">
        <v>11</v>
      </c>
      <c r="G11168" t="s">
        <v>7879</v>
      </c>
      <c r="H11168" s="12">
        <v>-1.14935552785589</v>
      </c>
      <c r="I11168" s="20">
        <v>-0.61679923345954302</v>
      </c>
      <c r="J11168" s="28">
        <v>0.53736715765736398</v>
      </c>
      <c r="K11168" s="29">
        <v>0.98289565623980701</v>
      </c>
    </row>
    <row r="11169" spans="1:11" x14ac:dyDescent="0.35">
      <c r="A11169" s="9" t="str">
        <f>HYPERLINK("http://www.ensembl.org/id/WBGene00001495", "WBGene00001495")</f>
        <v>WBGene00001495</v>
      </c>
      <c r="B11169" s="9" t="str">
        <f>HYPERLINK("http://www.ncbi.nlm.nih.gov/gene/266949", "266949")</f>
        <v>266949</v>
      </c>
      <c r="C11169" s="9"/>
      <c r="D11169" t="str">
        <f>"frm-9"</f>
        <v>frm-9</v>
      </c>
      <c r="E11169" t="s">
        <v>1383</v>
      </c>
      <c r="F11169" t="s">
        <v>11</v>
      </c>
      <c r="G11169" t="s">
        <v>54</v>
      </c>
      <c r="H11169" s="12">
        <v>-1.1375655313113</v>
      </c>
      <c r="I11169" s="20">
        <v>-0.69004891115380296</v>
      </c>
      <c r="J11169" s="28">
        <v>0.49016342943737901</v>
      </c>
      <c r="K11169" s="29">
        <v>0.98289565623980701</v>
      </c>
    </row>
    <row r="11170" spans="1:11" x14ac:dyDescent="0.35">
      <c r="A11170" s="9" t="str">
        <f>HYPERLINK("http://www.ensembl.org/id/WBGene00015323", "WBGene00015323")</f>
        <v>WBGene00015323</v>
      </c>
      <c r="B11170" s="9" t="str">
        <f>HYPERLINK("http://www.ncbi.nlm.nih.gov/gene/182105", "182105")</f>
        <v>182105</v>
      </c>
      <c r="C11170" s="9"/>
      <c r="D11170" t="str">
        <f>"frpr-1"</f>
        <v>frpr-1</v>
      </c>
      <c r="E11170" t="s">
        <v>4743</v>
      </c>
      <c r="F11170" t="s">
        <v>11</v>
      </c>
      <c r="G11170" t="s">
        <v>1429</v>
      </c>
      <c r="H11170" s="12">
        <v>1.4213609769580899</v>
      </c>
      <c r="I11170" s="20">
        <v>0.59209744825567701</v>
      </c>
      <c r="J11170" s="28">
        <v>0.55378533557001097</v>
      </c>
      <c r="K11170" s="29">
        <v>0.98289565623980701</v>
      </c>
    </row>
    <row r="11171" spans="1:11" x14ac:dyDescent="0.35">
      <c r="A11171" s="9" t="str">
        <f>HYPERLINK("http://www.ensembl.org/id/WBGene00019019", "WBGene00019019")</f>
        <v>WBGene00019019</v>
      </c>
      <c r="B11171" s="9" t="str">
        <f>HYPERLINK("http://www.ncbi.nlm.nih.gov/gene/186481", "186481")</f>
        <v>186481</v>
      </c>
      <c r="C11171" s="9"/>
      <c r="D11171" t="str">
        <f>"frpr-10"</f>
        <v>frpr-10</v>
      </c>
      <c r="E11171" t="s">
        <v>2289</v>
      </c>
      <c r="F11171" t="s">
        <v>11</v>
      </c>
      <c r="G11171" t="s">
        <v>1089</v>
      </c>
      <c r="H11171" s="12">
        <v>1.20149447167356</v>
      </c>
      <c r="I11171" s="20">
        <v>0.27127876878519303</v>
      </c>
      <c r="J11171" s="28">
        <v>0.78617663447949004</v>
      </c>
      <c r="K11171" s="29">
        <v>0.98289565623980701</v>
      </c>
    </row>
    <row r="11172" spans="1:11" x14ac:dyDescent="0.35">
      <c r="A11172" s="9" t="str">
        <f>HYPERLINK("http://www.ensembl.org/id/WBGene00019444", "WBGene00019444")</f>
        <v>WBGene00019444</v>
      </c>
      <c r="B11172" s="9" t="str">
        <f>HYPERLINK("http://www.ncbi.nlm.nih.gov/gene/187065", "187065")</f>
        <v>187065</v>
      </c>
      <c r="C11172" s="9"/>
      <c r="D11172" t="str">
        <f>"frpr-11"</f>
        <v>frpr-11</v>
      </c>
      <c r="E11172" t="s">
        <v>2289</v>
      </c>
      <c r="F11172" t="s">
        <v>11</v>
      </c>
      <c r="G11172" t="s">
        <v>271</v>
      </c>
      <c r="H11172" s="12">
        <v>-1.1673768682402601</v>
      </c>
      <c r="I11172" s="20">
        <v>-0.39512074480067699</v>
      </c>
      <c r="J11172" s="28">
        <v>0.69275377975749797</v>
      </c>
      <c r="K11172" s="29">
        <v>0.98289565623980701</v>
      </c>
    </row>
    <row r="11173" spans="1:11" x14ac:dyDescent="0.35">
      <c r="A11173" s="9" t="str">
        <f>HYPERLINK("http://www.ensembl.org/id/WBGene00019448", "WBGene00019448")</f>
        <v>WBGene00019448</v>
      </c>
      <c r="B11173" s="9" t="str">
        <f>HYPERLINK("http://www.ncbi.nlm.nih.gov/gene/179268", "179268")</f>
        <v>179268</v>
      </c>
      <c r="C11173" s="9"/>
      <c r="D11173" t="str">
        <f>"frpr-13"</f>
        <v>frpr-13</v>
      </c>
      <c r="E11173" t="s">
        <v>2289</v>
      </c>
      <c r="F11173" t="s">
        <v>11</v>
      </c>
      <c r="G11173" t="s">
        <v>25</v>
      </c>
      <c r="H11173" s="12">
        <v>1.3242026381091401</v>
      </c>
      <c r="I11173" s="20">
        <v>0.89616633745622598</v>
      </c>
      <c r="J11173" s="28">
        <v>0.37016393142843201</v>
      </c>
      <c r="K11173" s="29">
        <v>0.98289565623980701</v>
      </c>
    </row>
    <row r="11174" spans="1:11" x14ac:dyDescent="0.35">
      <c r="A11174" s="9" t="str">
        <f>HYPERLINK("http://www.ensembl.org/id/WBGene00010735", "WBGene00010735")</f>
        <v>WBGene00010735</v>
      </c>
      <c r="B11174" s="9" t="str">
        <f>HYPERLINK("http://www.ncbi.nlm.nih.gov/gene/187257", "187257")</f>
        <v>187257</v>
      </c>
      <c r="C11174" s="9"/>
      <c r="D11174" t="str">
        <f>"frpr-15"</f>
        <v>frpr-15</v>
      </c>
      <c r="E11174" t="s">
        <v>2289</v>
      </c>
      <c r="F11174" t="s">
        <v>11</v>
      </c>
      <c r="G11174" t="s">
        <v>1089</v>
      </c>
      <c r="H11174" s="12">
        <v>1.3713675189604</v>
      </c>
      <c r="I11174" s="20">
        <v>0.76103771520186703</v>
      </c>
      <c r="J11174" s="28">
        <v>0.44663454064400099</v>
      </c>
      <c r="K11174" s="29">
        <v>0.98289565623980701</v>
      </c>
    </row>
    <row r="11175" spans="1:11" x14ac:dyDescent="0.35">
      <c r="A11175" s="9" t="str">
        <f>HYPERLINK("http://www.ensembl.org/id/WBGene00020023", "WBGene00020023")</f>
        <v>WBGene00020023</v>
      </c>
      <c r="B11175" s="9" t="str">
        <f>HYPERLINK("http://www.ncbi.nlm.nih.gov/gene/187838", "187838")</f>
        <v>187838</v>
      </c>
      <c r="C11175" s="9"/>
      <c r="D11175" t="str">
        <f>"frpr-16"</f>
        <v>frpr-16</v>
      </c>
      <c r="E11175" t="s">
        <v>2289</v>
      </c>
      <c r="F11175" t="s">
        <v>11</v>
      </c>
      <c r="G11175" t="s">
        <v>271</v>
      </c>
      <c r="H11175" s="12">
        <v>1.5844522631093301</v>
      </c>
      <c r="I11175" s="20">
        <v>0.93010474308041302</v>
      </c>
      <c r="J11175" s="28">
        <v>0.352316855240075</v>
      </c>
      <c r="K11175" s="29">
        <v>0.98289565623980701</v>
      </c>
    </row>
    <row r="11176" spans="1:11" x14ac:dyDescent="0.35">
      <c r="A11176" s="9" t="str">
        <f>HYPERLINK("http://www.ensembl.org/id/WBGene00016909", "WBGene00016909")</f>
        <v>WBGene00016909</v>
      </c>
      <c r="B11176" s="9" t="str">
        <f>HYPERLINK("http://www.ncbi.nlm.nih.gov/gene/183763", "183763")</f>
        <v>183763</v>
      </c>
      <c r="C11176" s="9"/>
      <c r="D11176" t="str">
        <f>"frpr-4"</f>
        <v>frpr-4</v>
      </c>
      <c r="E11176" t="s">
        <v>2289</v>
      </c>
      <c r="F11176" t="s">
        <v>11</v>
      </c>
      <c r="G11176" t="s">
        <v>1223</v>
      </c>
      <c r="H11176" s="12">
        <v>1.3511653480017101</v>
      </c>
      <c r="I11176" s="20">
        <v>0.71233337756937698</v>
      </c>
      <c r="J11176" s="28">
        <v>0.47625836000288801</v>
      </c>
      <c r="K11176" s="29">
        <v>0.98289565623980701</v>
      </c>
    </row>
    <row r="11177" spans="1:11" x14ac:dyDescent="0.35">
      <c r="A11177" s="9" t="str">
        <f>HYPERLINK("http://www.ensembl.org/id/WBGene00018191", "WBGene00018191")</f>
        <v>WBGene00018191</v>
      </c>
      <c r="B11177" s="9" t="str">
        <f>HYPERLINK("http://www.ncbi.nlm.nih.gov/gene/185489", "185489")</f>
        <v>185489</v>
      </c>
      <c r="C11177" s="9"/>
      <c r="D11177" t="str">
        <f>"frpr-7"</f>
        <v>frpr-7</v>
      </c>
      <c r="E11177" t="s">
        <v>2289</v>
      </c>
      <c r="F11177" t="s">
        <v>11</v>
      </c>
      <c r="G11177" t="s">
        <v>1089</v>
      </c>
      <c r="H11177" s="12">
        <v>1.2455764920877399</v>
      </c>
      <c r="I11177" s="20">
        <v>0.78749282778456597</v>
      </c>
      <c r="J11177" s="28">
        <v>0.430993425327589</v>
      </c>
      <c r="K11177" s="29">
        <v>0.98289565623980701</v>
      </c>
    </row>
    <row r="11178" spans="1:11" x14ac:dyDescent="0.35">
      <c r="A11178" s="9" t="str">
        <f>HYPERLINK("http://www.ensembl.org/id/WBGene00018728", "WBGene00018728")</f>
        <v>WBGene00018728</v>
      </c>
      <c r="B11178" s="9" t="str">
        <f>HYPERLINK("http://www.ncbi.nlm.nih.gov/gene/186144", "186144")</f>
        <v>186144</v>
      </c>
      <c r="C11178" s="9"/>
      <c r="D11178" t="str">
        <f>"frpr-8"</f>
        <v>frpr-8</v>
      </c>
      <c r="E11178" t="s">
        <v>2289</v>
      </c>
      <c r="F11178" t="s">
        <v>11</v>
      </c>
      <c r="G11178" t="s">
        <v>1089</v>
      </c>
      <c r="H11178" s="12">
        <v>1.3669984478649799</v>
      </c>
      <c r="I11178" s="20">
        <v>0.99857349341435897</v>
      </c>
      <c r="J11178" s="28">
        <v>0.31800134591818302</v>
      </c>
      <c r="K11178" s="29">
        <v>0.98289565623980701</v>
      </c>
    </row>
    <row r="11179" spans="1:11" x14ac:dyDescent="0.35">
      <c r="A11179" s="9" t="str">
        <f>HYPERLINK("http://www.ensembl.org/id/WBGene00013756", "WBGene00013756")</f>
        <v>WBGene00013756</v>
      </c>
      <c r="B11179" s="9" t="str">
        <f>HYPERLINK("http://www.ncbi.nlm.nih.gov/gene/180320", "180320")</f>
        <v>180320</v>
      </c>
      <c r="C11179" s="9"/>
      <c r="D11179" t="str">
        <f>"ftr-1"</f>
        <v>ftr-1</v>
      </c>
      <c r="E11179" t="s">
        <v>9965</v>
      </c>
      <c r="F11179" t="s">
        <v>11</v>
      </c>
      <c r="G11179" t="s">
        <v>54</v>
      </c>
      <c r="H11179" s="12">
        <v>-1.50161943417027</v>
      </c>
      <c r="I11179" s="20">
        <v>-1.1732343303658599</v>
      </c>
      <c r="J11179" s="28">
        <v>0.240701848560606</v>
      </c>
      <c r="K11179" s="29">
        <v>0.98289565623980701</v>
      </c>
    </row>
    <row r="11180" spans="1:11" x14ac:dyDescent="0.35">
      <c r="A11180" s="9" t="str">
        <f>HYPERLINK("http://www.ensembl.org/id/WBGene00007534", "WBGene00007534")</f>
        <v>WBGene00007534</v>
      </c>
      <c r="B11180" s="9" t="str">
        <f>HYPERLINK("http://www.ncbi.nlm.nih.gov/gene/179423", "179423")</f>
        <v>179423</v>
      </c>
      <c r="C11180" s="9" t="str">
        <f>HYPERLINK("http://www.ncbi.nlm.nih.gov/gene/8939", "8939")</f>
        <v>8939</v>
      </c>
      <c r="D11180" t="str">
        <f>"fubl-1"</f>
        <v>fubl-1</v>
      </c>
      <c r="E11180" t="s">
        <v>2865</v>
      </c>
      <c r="F11180" t="s">
        <v>11</v>
      </c>
      <c r="G11180" t="s">
        <v>7802</v>
      </c>
      <c r="H11180" s="12">
        <v>-1.1454839488046999</v>
      </c>
      <c r="I11180" s="20">
        <v>-0.72434518720384</v>
      </c>
      <c r="J11180" s="28">
        <v>0.46885384183262502</v>
      </c>
      <c r="K11180" s="29">
        <v>0.98289565623980701</v>
      </c>
    </row>
    <row r="11181" spans="1:11" x14ac:dyDescent="0.35">
      <c r="A11181" s="9" t="str">
        <f>HYPERLINK("http://www.ensembl.org/id/WBGene00022738", "WBGene00022738")</f>
        <v>WBGene00022738</v>
      </c>
      <c r="B11181" s="9" t="str">
        <f>HYPERLINK("http://www.ncbi.nlm.nih.gov/gene/175989", "175989")</f>
        <v>175989</v>
      </c>
      <c r="C11181" s="9" t="str">
        <f>HYPERLINK("http://www.ncbi.nlm.nih.gov/gene/8939", "8939")</f>
        <v>8939</v>
      </c>
      <c r="D11181" t="str">
        <f>"fubl-2"</f>
        <v>fubl-2</v>
      </c>
      <c r="E11181" t="s">
        <v>2865</v>
      </c>
      <c r="F11181" t="s">
        <v>11</v>
      </c>
      <c r="G11181" t="s">
        <v>2866</v>
      </c>
      <c r="H11181" s="12">
        <v>-1.0807374800473799</v>
      </c>
      <c r="I11181" s="20">
        <v>-0.40963365351527797</v>
      </c>
      <c r="J11181" s="28">
        <v>0.68207470606755904</v>
      </c>
      <c r="K11181" s="29">
        <v>0.98289565623980701</v>
      </c>
    </row>
    <row r="11182" spans="1:11" x14ac:dyDescent="0.35">
      <c r="A11182" s="9" t="str">
        <f>HYPERLINK("http://www.ensembl.org/id/WBGene00016489", "WBGene00016489")</f>
        <v>WBGene00016489</v>
      </c>
      <c r="B11182" s="9" t="str">
        <f>HYPERLINK("http://www.ncbi.nlm.nih.gov/gene/181773", "181773")</f>
        <v>181773</v>
      </c>
      <c r="C11182" s="9" t="str">
        <f>HYPERLINK("http://www.ncbi.nlm.nih.gov/gene/8939", "8939")</f>
        <v>8939</v>
      </c>
      <c r="D11182" t="str">
        <f>"fubl-3"</f>
        <v>fubl-3</v>
      </c>
      <c r="E11182" t="s">
        <v>2865</v>
      </c>
      <c r="F11182" t="s">
        <v>11</v>
      </c>
      <c r="G11182" t="s">
        <v>6421</v>
      </c>
      <c r="H11182" s="12">
        <v>-1.0686459879724699</v>
      </c>
      <c r="I11182" s="20">
        <v>-0.35615269231365798</v>
      </c>
      <c r="J11182" s="28">
        <v>0.72172621810608295</v>
      </c>
      <c r="K11182" s="29">
        <v>0.98289565623980701</v>
      </c>
    </row>
    <row r="11183" spans="1:11" x14ac:dyDescent="0.35">
      <c r="A11183" s="9" t="str">
        <f>HYPERLINK("http://www.ensembl.org/id/WBGene00001503", "WBGene00001503")</f>
        <v>WBGene00001503</v>
      </c>
      <c r="B11183" s="9" t="str">
        <f>HYPERLINK("http://www.ncbi.nlm.nih.gov/gene/176059", "176059")</f>
        <v>176059</v>
      </c>
      <c r="C11183" s="9" t="str">
        <f>HYPERLINK("http://www.ncbi.nlm.nih.gov/gene/2271", "2271")</f>
        <v>2271</v>
      </c>
      <c r="D11183" t="str">
        <f>"fum-1"</f>
        <v>fum-1</v>
      </c>
      <c r="E11183" t="s">
        <v>6248</v>
      </c>
      <c r="F11183" t="s">
        <v>11</v>
      </c>
      <c r="G11183" t="s">
        <v>6249</v>
      </c>
      <c r="H11183" s="12">
        <v>-1.0569289118805301</v>
      </c>
      <c r="I11183" s="20">
        <v>-0.29371163770903003</v>
      </c>
      <c r="J11183" s="28">
        <v>0.76897826074824205</v>
      </c>
      <c r="K11183" s="29">
        <v>0.98289565623980701</v>
      </c>
    </row>
    <row r="11184" spans="1:11" x14ac:dyDescent="0.35">
      <c r="A11184" s="9" t="str">
        <f>HYPERLINK("http://www.ensembl.org/id/WBGene00016173", "WBGene00016173")</f>
        <v>WBGene00016173</v>
      </c>
      <c r="B11184" s="9" t="str">
        <f>HYPERLINK("http://www.ncbi.nlm.nih.gov/gene/174175", "174175")</f>
        <v>174175</v>
      </c>
      <c r="C11184" s="9"/>
      <c r="D11184" t="str">
        <f>"fust-1"</f>
        <v>fust-1</v>
      </c>
      <c r="E11184" t="s">
        <v>5549</v>
      </c>
      <c r="F11184" t="s">
        <v>11</v>
      </c>
      <c r="G11184" t="s">
        <v>5550</v>
      </c>
      <c r="H11184" s="12">
        <v>1.14772569936171</v>
      </c>
      <c r="I11184" s="20">
        <v>0.74084968985826005</v>
      </c>
      <c r="J11184" s="28">
        <v>0.458784582851331</v>
      </c>
      <c r="K11184" s="29">
        <v>0.98289565623980701</v>
      </c>
    </row>
    <row r="11185" spans="1:11" x14ac:dyDescent="0.35">
      <c r="A11185" s="9" t="str">
        <f>HYPERLINK("http://www.ensembl.org/id/WBGene00001505", "WBGene00001505")</f>
        <v>WBGene00001505</v>
      </c>
      <c r="B11185" s="9" t="str">
        <f>HYPERLINK("http://www.ncbi.nlm.nih.gov/gene/174400", "174400")</f>
        <v>174400</v>
      </c>
      <c r="C11185" s="9"/>
      <c r="D11185" t="str">
        <f>"fut-1"</f>
        <v>fut-1</v>
      </c>
      <c r="E11185" t="s">
        <v>6646</v>
      </c>
      <c r="F11185" t="s">
        <v>11</v>
      </c>
      <c r="G11185" t="s">
        <v>1608</v>
      </c>
      <c r="H11185" s="12">
        <v>-1.0826184471393201</v>
      </c>
      <c r="I11185" s="20">
        <v>-0.39900434060478202</v>
      </c>
      <c r="J11185" s="28">
        <v>0.68989000595990102</v>
      </c>
      <c r="K11185" s="29">
        <v>0.98289565623980701</v>
      </c>
    </row>
    <row r="11186" spans="1:11" x14ac:dyDescent="0.35">
      <c r="A11186" s="9" t="str">
        <f>HYPERLINK("http://www.ensembl.org/id/WBGene00043986", "WBGene00043986")</f>
        <v>WBGene00043986</v>
      </c>
      <c r="B11186" s="9" t="str">
        <f>HYPERLINK("http://www.ncbi.nlm.nih.gov/gene/3565968", "3565968")</f>
        <v>3565968</v>
      </c>
      <c r="C11186" s="9"/>
      <c r="D11186" t="str">
        <f>"fut-5"</f>
        <v>fut-5</v>
      </c>
      <c r="E11186" t="s">
        <v>4380</v>
      </c>
      <c r="F11186" t="s">
        <v>11</v>
      </c>
      <c r="G11186" t="s">
        <v>1608</v>
      </c>
      <c r="H11186" s="12">
        <v>2.4578120077400301</v>
      </c>
      <c r="I11186" s="20">
        <v>0.26093350314551</v>
      </c>
      <c r="J11186" s="28">
        <v>0.79414378780213601</v>
      </c>
      <c r="K11186" s="29">
        <v>0.98289565623980701</v>
      </c>
    </row>
    <row r="11187" spans="1:11" x14ac:dyDescent="0.35">
      <c r="A11187" s="9" t="str">
        <f>HYPERLINK("http://www.ensembl.org/id/WBGene00020222", "WBGene00020222")</f>
        <v>WBGene00020222</v>
      </c>
      <c r="B11187" s="9" t="str">
        <f>HYPERLINK("http://www.ncbi.nlm.nih.gov/gene/188084", "188084")</f>
        <v>188084</v>
      </c>
      <c r="C11187" s="9"/>
      <c r="D11187" t="str">
        <f>"fut-6"</f>
        <v>fut-6</v>
      </c>
      <c r="E11187" t="s">
        <v>5987</v>
      </c>
      <c r="F11187" t="s">
        <v>11</v>
      </c>
      <c r="G11187" t="s">
        <v>1608</v>
      </c>
      <c r="H11187" s="12">
        <v>1.0764124297679301</v>
      </c>
      <c r="I11187" s="20">
        <v>0.27789389512511198</v>
      </c>
      <c r="J11187" s="28">
        <v>0.78109381038596803</v>
      </c>
      <c r="K11187" s="29">
        <v>0.98289565623980701</v>
      </c>
    </row>
    <row r="11188" spans="1:11" x14ac:dyDescent="0.35">
      <c r="A11188" s="9" t="str">
        <f>HYPERLINK("http://www.ensembl.org/id/WBGene00001509", "WBGene00001509")</f>
        <v>WBGene00001509</v>
      </c>
      <c r="B11188" s="9" t="str">
        <f>HYPERLINK("http://www.ncbi.nlm.nih.gov/gene/173990", "173990")</f>
        <v>173990</v>
      </c>
      <c r="C11188" s="9" t="str">
        <f>HYPERLINK("http://www.ncbi.nlm.nih.gov/gene/9927", "9927")</f>
        <v>9927</v>
      </c>
      <c r="D11188" t="str">
        <f>"fzo-1"</f>
        <v>fzo-1</v>
      </c>
      <c r="E11188" t="s">
        <v>7035</v>
      </c>
      <c r="F11188" t="s">
        <v>11</v>
      </c>
      <c r="G11188" t="s">
        <v>7036</v>
      </c>
      <c r="H11188" s="12">
        <v>-1.10355025634158</v>
      </c>
      <c r="I11188" s="20">
        <v>-0.51640729694447296</v>
      </c>
      <c r="J11188" s="28">
        <v>0.60556997043730598</v>
      </c>
      <c r="K11188" s="29">
        <v>0.98289565623980701</v>
      </c>
    </row>
    <row r="11189" spans="1:11" x14ac:dyDescent="0.35">
      <c r="A11189" s="9" t="str">
        <f>HYPERLINK("http://www.ensembl.org/id/WBGene00001510", "WBGene00001510")</f>
        <v>WBGene00001510</v>
      </c>
      <c r="B11189" s="9" t="str">
        <f>HYPERLINK("http://www.ncbi.nlm.nih.gov/gene/174516", "174516")</f>
        <v>174516</v>
      </c>
      <c r="C11189" s="9" t="str">
        <f>HYPERLINK("http://www.ncbi.nlm.nih.gov/gene/51343", "51343")</f>
        <v>51343</v>
      </c>
      <c r="D11189" t="str">
        <f>"fzr-1"</f>
        <v>fzr-1</v>
      </c>
      <c r="E11189" t="s">
        <v>6925</v>
      </c>
      <c r="F11189" t="s">
        <v>11</v>
      </c>
      <c r="G11189" t="s">
        <v>6926</v>
      </c>
      <c r="H11189" s="12">
        <v>-1.09778016351026</v>
      </c>
      <c r="I11189" s="20">
        <v>-0.50923363307340597</v>
      </c>
      <c r="J11189" s="28">
        <v>0.61058847090068702</v>
      </c>
      <c r="K11189" s="29">
        <v>0.98289565623980701</v>
      </c>
    </row>
    <row r="11190" spans="1:11" x14ac:dyDescent="0.35">
      <c r="A11190" s="9" t="str">
        <f>HYPERLINK("http://www.ensembl.org/id/WBGene00001511", "WBGene00001511")</f>
        <v>WBGene00001511</v>
      </c>
      <c r="B11190" s="9" t="str">
        <f>HYPERLINK("http://www.ncbi.nlm.nih.gov/gene/266859", "266859")</f>
        <v>266859</v>
      </c>
      <c r="C11190" s="9"/>
      <c r="D11190" t="str">
        <f>"fzy-1"</f>
        <v>fzy-1</v>
      </c>
      <c r="E11190" t="s">
        <v>9473</v>
      </c>
      <c r="F11190" t="s">
        <v>11</v>
      </c>
      <c r="G11190" t="s">
        <v>9474</v>
      </c>
      <c r="H11190" s="12">
        <v>-1.2489051542084799</v>
      </c>
      <c r="I11190" s="20">
        <v>-0.92880687713875298</v>
      </c>
      <c r="J11190" s="28">
        <v>0.35298917979835898</v>
      </c>
      <c r="K11190" s="29">
        <v>0.98289565623980701</v>
      </c>
    </row>
    <row r="11191" spans="1:11" x14ac:dyDescent="0.35">
      <c r="A11191" s="9" t="str">
        <f>HYPERLINK("http://www.ensembl.org/id/WBGene00001512", "WBGene00001512")</f>
        <v>WBGene00001512</v>
      </c>
      <c r="B11191" s="9" t="str">
        <f>HYPERLINK("http://www.ncbi.nlm.nih.gov/gene/176691", "176691")</f>
        <v>176691</v>
      </c>
      <c r="C11191" s="9" t="str">
        <f>HYPERLINK("http://www.ncbi.nlm.nih.gov/gene/2562", "2562")</f>
        <v>2562</v>
      </c>
      <c r="D11191" t="str">
        <f>"gab-1"</f>
        <v>gab-1</v>
      </c>
      <c r="E11191" t="s">
        <v>4831</v>
      </c>
      <c r="F11191" t="s">
        <v>11</v>
      </c>
      <c r="G11191" t="s">
        <v>3224</v>
      </c>
      <c r="H11191" s="12">
        <v>1.3446781226489</v>
      </c>
      <c r="I11191" s="20">
        <v>0.95502415479167402</v>
      </c>
      <c r="J11191" s="28">
        <v>0.339565481927871</v>
      </c>
      <c r="K11191" s="29">
        <v>0.98289565623980701</v>
      </c>
    </row>
    <row r="11192" spans="1:11" x14ac:dyDescent="0.35">
      <c r="A11192" s="9" t="str">
        <f>HYPERLINK("http://www.ensembl.org/id/WBGene00015666", "WBGene00015666")</f>
        <v>WBGene00015666</v>
      </c>
      <c r="B11192" s="9" t="str">
        <f>HYPERLINK("http://www.ncbi.nlm.nih.gov/gene/182486", "182486")</f>
        <v>182486</v>
      </c>
      <c r="C11192" s="9"/>
      <c r="D11192" t="str">
        <f>"gad-2"</f>
        <v>gad-2</v>
      </c>
      <c r="F11192" t="s">
        <v>11</v>
      </c>
      <c r="G11192" t="s">
        <v>3589</v>
      </c>
      <c r="H11192" s="12">
        <v>1.4644961760323101</v>
      </c>
      <c r="I11192" s="20">
        <v>0.55027631374768105</v>
      </c>
      <c r="J11192" s="28">
        <v>0.582129867775661</v>
      </c>
      <c r="K11192" s="29">
        <v>0.98289565623980701</v>
      </c>
    </row>
    <row r="11193" spans="1:11" x14ac:dyDescent="0.35">
      <c r="A11193" s="9" t="str">
        <f>HYPERLINK("http://www.ensembl.org/id/WBGene00015057", "WBGene00015057")</f>
        <v>WBGene00015057</v>
      </c>
      <c r="B11193" s="9" t="str">
        <f>HYPERLINK("http://www.ncbi.nlm.nih.gov/gene/24104108", "24104108")</f>
        <v>24104108</v>
      </c>
      <c r="C11193" s="9"/>
      <c r="D11193" t="str">
        <f>"gad-3"</f>
        <v>gad-3</v>
      </c>
      <c r="E11193" t="s">
        <v>6978</v>
      </c>
      <c r="F11193" t="s">
        <v>11</v>
      </c>
      <c r="G11193" t="s">
        <v>6979</v>
      </c>
      <c r="H11193" s="12">
        <v>-1.10077386359605</v>
      </c>
      <c r="I11193" s="20">
        <v>-0.50024644505243498</v>
      </c>
      <c r="J11193" s="28">
        <v>0.616901558628834</v>
      </c>
      <c r="K11193" s="29">
        <v>0.98289565623980701</v>
      </c>
    </row>
    <row r="11194" spans="1:11" x14ac:dyDescent="0.35">
      <c r="A11194" s="9" t="str">
        <f>HYPERLINK("http://www.ensembl.org/id/WBGene00010240", "WBGene00010240")</f>
        <v>WBGene00010240</v>
      </c>
      <c r="B11194" s="9"/>
      <c r="C11194" s="9"/>
      <c r="D11194" t="str">
        <f>"gadr-1"</f>
        <v>gadr-1</v>
      </c>
      <c r="F11194" t="s">
        <v>80</v>
      </c>
      <c r="H11194" s="12">
        <v>-2.24639205285593</v>
      </c>
      <c r="I11194" s="20">
        <v>-0.83472178832591404</v>
      </c>
      <c r="J11194" s="28">
        <v>0.40387437099534701</v>
      </c>
      <c r="K11194" s="29">
        <v>0.98289565623980701</v>
      </c>
    </row>
    <row r="11195" spans="1:11" x14ac:dyDescent="0.35">
      <c r="A11195" s="9" t="str">
        <f>HYPERLINK("http://www.ensembl.org/id/WBGene00018561", "WBGene00018561")</f>
        <v>WBGene00018561</v>
      </c>
      <c r="B11195" s="9" t="str">
        <f>HYPERLINK("http://www.ncbi.nlm.nih.gov/gene/185933", "185933")</f>
        <v>185933</v>
      </c>
      <c r="C11195" s="9"/>
      <c r="D11195" t="str">
        <f>"gadr-3"</f>
        <v>gadr-3</v>
      </c>
      <c r="E11195" t="s">
        <v>4820</v>
      </c>
      <c r="F11195" t="s">
        <v>11</v>
      </c>
      <c r="H11195" s="12">
        <v>1.34825280718582</v>
      </c>
      <c r="I11195" s="20">
        <v>0.90064759830124597</v>
      </c>
      <c r="J11195" s="28">
        <v>0.36777571841904799</v>
      </c>
      <c r="K11195" s="29">
        <v>0.98289565623980701</v>
      </c>
    </row>
    <row r="11196" spans="1:11" x14ac:dyDescent="0.35">
      <c r="A11196" s="9" t="str">
        <f>HYPERLINK("http://www.ensembl.org/id/WBGene00021053", "WBGene00021053")</f>
        <v>WBGene00021053</v>
      </c>
      <c r="B11196" s="9" t="str">
        <f>HYPERLINK("http://www.ncbi.nlm.nih.gov/gene/173745", "173745")</f>
        <v>173745</v>
      </c>
      <c r="C11196" s="9"/>
      <c r="D11196" t="str">
        <f>"gadr-4"</f>
        <v>gadr-4</v>
      </c>
      <c r="F11196" t="s">
        <v>11</v>
      </c>
      <c r="G11196" t="s">
        <v>4486</v>
      </c>
      <c r="H11196" s="12">
        <v>1.67349374605065</v>
      </c>
      <c r="I11196" s="20">
        <v>0.97143254073372098</v>
      </c>
      <c r="J11196" s="28">
        <v>0.33133293072751602</v>
      </c>
      <c r="K11196" s="29">
        <v>0.98289565623980701</v>
      </c>
    </row>
    <row r="11197" spans="1:11" x14ac:dyDescent="0.35">
      <c r="A11197" s="9" t="str">
        <f>HYPERLINK("http://www.ensembl.org/id/WBGene00045058", "WBGene00045058")</f>
        <v>WBGene00045058</v>
      </c>
      <c r="B11197" s="9" t="str">
        <f>HYPERLINK("http://www.ncbi.nlm.nih.gov/gene/4927064", "4927064")</f>
        <v>4927064</v>
      </c>
      <c r="C11197" s="9"/>
      <c r="D11197" t="str">
        <f>"gadr-5"</f>
        <v>gadr-5</v>
      </c>
      <c r="E11197" t="s">
        <v>4823</v>
      </c>
      <c r="F11197" t="s">
        <v>11</v>
      </c>
      <c r="G11197" t="s">
        <v>1307</v>
      </c>
      <c r="H11197" s="12">
        <v>1.3473240905966899</v>
      </c>
      <c r="I11197" s="20">
        <v>0.86443702253302401</v>
      </c>
      <c r="J11197" s="28">
        <v>0.38734786231282298</v>
      </c>
      <c r="K11197" s="29">
        <v>0.98289565623980701</v>
      </c>
    </row>
    <row r="11198" spans="1:11" x14ac:dyDescent="0.35">
      <c r="A11198" s="9" t="str">
        <f>HYPERLINK("http://www.ensembl.org/id/WBGene00009823", "WBGene00009823")</f>
        <v>WBGene00009823</v>
      </c>
      <c r="B11198" s="9" t="str">
        <f>HYPERLINK("http://www.ncbi.nlm.nih.gov/gene/173273", "173273")</f>
        <v>173273</v>
      </c>
      <c r="C11198" s="9"/>
      <c r="D11198" t="str">
        <f>"gadr-6"</f>
        <v>gadr-6</v>
      </c>
      <c r="F11198" t="s">
        <v>11</v>
      </c>
      <c r="G11198" t="s">
        <v>4486</v>
      </c>
      <c r="H11198" s="12">
        <v>-1.21940347150016</v>
      </c>
      <c r="I11198" s="20">
        <v>-0.90140989001152305</v>
      </c>
      <c r="J11198" s="28">
        <v>0.36737042489788502</v>
      </c>
      <c r="K11198" s="29">
        <v>0.98289565623980701</v>
      </c>
    </row>
    <row r="11199" spans="1:11" x14ac:dyDescent="0.35">
      <c r="A11199" s="9" t="str">
        <f>HYPERLINK("http://www.ensembl.org/id/WBGene00018516", "WBGene00018516")</f>
        <v>WBGene00018516</v>
      </c>
      <c r="B11199" s="9" t="str">
        <f>HYPERLINK("http://www.ncbi.nlm.nih.gov/gene/180844", "180844")</f>
        <v>180844</v>
      </c>
      <c r="C11199" s="9"/>
      <c r="D11199" t="str">
        <f>"gakh-1"</f>
        <v>gakh-1</v>
      </c>
      <c r="E11199" t="s">
        <v>5860</v>
      </c>
      <c r="F11199" t="s">
        <v>11</v>
      </c>
      <c r="G11199" t="s">
        <v>5861</v>
      </c>
      <c r="H11199" s="12">
        <v>1.09224950528239</v>
      </c>
      <c r="I11199" s="20">
        <v>0.42385740607789102</v>
      </c>
      <c r="J11199" s="28">
        <v>0.67166980921866304</v>
      </c>
      <c r="K11199" s="29">
        <v>0.98289565623980701</v>
      </c>
    </row>
    <row r="11200" spans="1:11" x14ac:dyDescent="0.35">
      <c r="A11200" s="9" t="str">
        <f>HYPERLINK("http://www.ensembl.org/id/WBGene00008132", "WBGene00008132")</f>
        <v>WBGene00008132</v>
      </c>
      <c r="B11200" s="9" t="str">
        <f>HYPERLINK("http://www.ncbi.nlm.nih.gov/gene/173171", "173171")</f>
        <v>173171</v>
      </c>
      <c r="C11200" s="9" t="str">
        <f>HYPERLINK("http://www.ncbi.nlm.nih.gov/gene/2582", "2582")</f>
        <v>2582</v>
      </c>
      <c r="D11200" t="str">
        <f>"gale-1"</f>
        <v>gale-1</v>
      </c>
      <c r="E11200" t="s">
        <v>8839</v>
      </c>
      <c r="F11200" t="s">
        <v>11</v>
      </c>
      <c r="G11200" t="s">
        <v>8840</v>
      </c>
      <c r="H11200" s="12">
        <v>-1.2007054623417901</v>
      </c>
      <c r="I11200" s="20">
        <v>-0.89092672707415499</v>
      </c>
      <c r="J11200" s="28">
        <v>0.37296848074641498</v>
      </c>
      <c r="K11200" s="29">
        <v>0.98289565623980701</v>
      </c>
    </row>
    <row r="11201" spans="1:11" x14ac:dyDescent="0.35">
      <c r="A11201" s="9" t="str">
        <f>HYPERLINK("http://www.ensembl.org/id/WBGene00001516", "WBGene00001516")</f>
        <v>WBGene00001516</v>
      </c>
      <c r="B11201" s="9" t="str">
        <f>HYPERLINK("http://www.ncbi.nlm.nih.gov/gene/181172", "181172")</f>
        <v>181172</v>
      </c>
      <c r="C11201" s="9"/>
      <c r="D11201" t="str">
        <f>"gap-2"</f>
        <v>gap-2</v>
      </c>
      <c r="E11201" t="s">
        <v>5738</v>
      </c>
      <c r="F11201" t="s">
        <v>11</v>
      </c>
      <c r="G11201" t="s">
        <v>3536</v>
      </c>
      <c r="H11201" s="12">
        <v>1.11299510640654</v>
      </c>
      <c r="I11201" s="20">
        <v>0.57452743546485396</v>
      </c>
      <c r="J11201" s="28">
        <v>0.56561094048902405</v>
      </c>
      <c r="K11201" s="29">
        <v>0.98289565623980701</v>
      </c>
    </row>
    <row r="11202" spans="1:11" x14ac:dyDescent="0.35">
      <c r="A11202" s="9" t="str">
        <f>HYPERLINK("http://www.ensembl.org/id/WBGene00001517", "WBGene00001517")</f>
        <v>WBGene00001517</v>
      </c>
      <c r="B11202" s="9" t="str">
        <f>HYPERLINK("http://www.ncbi.nlm.nih.gov/gene/180922", "180922")</f>
        <v>180922</v>
      </c>
      <c r="C11202" s="9"/>
      <c r="D11202" t="str">
        <f>"gar-1"</f>
        <v>gar-1</v>
      </c>
      <c r="E11202" t="s">
        <v>4839</v>
      </c>
      <c r="F11202" t="s">
        <v>11</v>
      </c>
      <c r="G11202" t="s">
        <v>1672</v>
      </c>
      <c r="H11202" s="12">
        <v>1.3411443363204001</v>
      </c>
      <c r="I11202" s="20">
        <v>1.1174007938825501</v>
      </c>
      <c r="J11202" s="28">
        <v>0.26382299586476499</v>
      </c>
      <c r="K11202" s="29">
        <v>0.98289565623980701</v>
      </c>
    </row>
    <row r="11203" spans="1:11" x14ac:dyDescent="0.35">
      <c r="A11203" s="9" t="str">
        <f>HYPERLINK("http://www.ensembl.org/id/WBGene00008144", "WBGene00008144")</f>
        <v>WBGene00008144</v>
      </c>
      <c r="B11203" s="9" t="str">
        <f>HYPERLINK("http://www.ncbi.nlm.nih.gov/gene/183553", "183553")</f>
        <v>183553</v>
      </c>
      <c r="C11203" s="9"/>
      <c r="D11203" t="str">
        <f>"gasr-8"</f>
        <v>gasr-8</v>
      </c>
      <c r="E11203" t="s">
        <v>4887</v>
      </c>
      <c r="F11203" t="s">
        <v>11</v>
      </c>
      <c r="G11203" t="s">
        <v>4888</v>
      </c>
      <c r="H11203" s="12">
        <v>1.31415602641616</v>
      </c>
      <c r="I11203" s="20">
        <v>0.40844731012794999</v>
      </c>
      <c r="J11203" s="28">
        <v>0.68294530605291204</v>
      </c>
      <c r="K11203" s="29">
        <v>0.98289565623980701</v>
      </c>
    </row>
    <row r="11204" spans="1:11" x14ac:dyDescent="0.35">
      <c r="A11204" s="9" t="str">
        <f>HYPERLINK("http://www.ensembl.org/id/WBGene00016340", "WBGene00016340")</f>
        <v>WBGene00016340</v>
      </c>
      <c r="B11204" s="9" t="str">
        <f>HYPERLINK("http://www.ncbi.nlm.nih.gov/gene/183155", "183155")</f>
        <v>183155</v>
      </c>
      <c r="C11204" s="9" t="str">
        <f>HYPERLINK("http://www.ncbi.nlm.nih.gov/gene/2629", "2629")</f>
        <v>2629</v>
      </c>
      <c r="D11204" t="str">
        <f>"gba-2"</f>
        <v>gba-2</v>
      </c>
      <c r="E11204" t="s">
        <v>9918</v>
      </c>
      <c r="F11204" t="s">
        <v>11</v>
      </c>
      <c r="G11204" t="s">
        <v>356</v>
      </c>
      <c r="H11204" s="12">
        <v>-1.38181742400314</v>
      </c>
      <c r="I11204" s="20">
        <v>-0.28738273710257101</v>
      </c>
      <c r="J11204" s="28">
        <v>0.77381927776672799</v>
      </c>
      <c r="K11204" s="29">
        <v>0.98289565623980701</v>
      </c>
    </row>
    <row r="11205" spans="1:11" x14ac:dyDescent="0.35">
      <c r="A11205" s="9" t="str">
        <f>HYPERLINK("http://www.ensembl.org/id/WBGene00021528", "WBGene00021528")</f>
        <v>WBGene00021528</v>
      </c>
      <c r="B11205" s="9" t="str">
        <f>HYPERLINK("http://www.ncbi.nlm.nih.gov/gene/189837", "189837")</f>
        <v>189837</v>
      </c>
      <c r="C11205" s="9" t="str">
        <f>HYPERLINK("http://www.ncbi.nlm.nih.gov/gene/2550", "2550")</f>
        <v>2550</v>
      </c>
      <c r="D11205" t="str">
        <f>"gbb-1"</f>
        <v>gbb-1</v>
      </c>
      <c r="E11205" t="s">
        <v>4993</v>
      </c>
      <c r="F11205" t="s">
        <v>11</v>
      </c>
      <c r="G11205" t="s">
        <v>4994</v>
      </c>
      <c r="H11205" s="12">
        <v>1.26760694103903</v>
      </c>
      <c r="I11205" s="20">
        <v>1.05475365779762</v>
      </c>
      <c r="J11205" s="28">
        <v>0.291538004269845</v>
      </c>
      <c r="K11205" s="29">
        <v>0.98289565623980701</v>
      </c>
    </row>
    <row r="11206" spans="1:11" x14ac:dyDescent="0.35">
      <c r="A11206" s="9" t="str">
        <f>HYPERLINK("http://www.ensembl.org/id/WBGene00022675", "WBGene00022675")</f>
        <v>WBGene00022675</v>
      </c>
      <c r="B11206" s="9" t="str">
        <f>HYPERLINK("http://www.ncbi.nlm.nih.gov/gene/191240", "191240")</f>
        <v>191240</v>
      </c>
      <c r="C11206" s="9" t="str">
        <f>HYPERLINK("http://www.ncbi.nlm.nih.gov/gene/9568", "9568")</f>
        <v>9568</v>
      </c>
      <c r="D11206" t="str">
        <f>"gbb-2"</f>
        <v>gbb-2</v>
      </c>
      <c r="E11206" t="s">
        <v>5856</v>
      </c>
      <c r="F11206" t="s">
        <v>11</v>
      </c>
      <c r="G11206" t="s">
        <v>5857</v>
      </c>
      <c r="H11206" s="12">
        <v>1.0929831954224001</v>
      </c>
      <c r="I11206" s="20">
        <v>0.41829447683272802</v>
      </c>
      <c r="J11206" s="28">
        <v>0.67573182734067905</v>
      </c>
      <c r="K11206" s="29">
        <v>0.98289565623980701</v>
      </c>
    </row>
    <row r="11207" spans="1:11" x14ac:dyDescent="0.35">
      <c r="A11207" s="9" t="str">
        <f>HYPERLINK("http://www.ensembl.org/id/WBGene00007703", "WBGene00007703")</f>
        <v>WBGene00007703</v>
      </c>
      <c r="B11207" s="9" t="str">
        <f>HYPERLINK("http://www.ncbi.nlm.nih.gov/gene/176609", "176609")</f>
        <v>176609</v>
      </c>
      <c r="C11207" s="9" t="str">
        <f>HYPERLINK("http://www.ncbi.nlm.nih.gov/gene/8729", "8729")</f>
        <v>8729</v>
      </c>
      <c r="D11207" t="str">
        <f>"gbf-1"</f>
        <v>gbf-1</v>
      </c>
      <c r="F11207" t="s">
        <v>11</v>
      </c>
      <c r="G11207" t="s">
        <v>6935</v>
      </c>
      <c r="H11207" s="12">
        <v>-1.09851758557528</v>
      </c>
      <c r="I11207" s="20">
        <v>-0.50400907137873097</v>
      </c>
      <c r="J11207" s="28">
        <v>0.61425500237502295</v>
      </c>
      <c r="K11207" s="29">
        <v>0.98289565623980701</v>
      </c>
    </row>
    <row r="11208" spans="1:11" x14ac:dyDescent="0.35">
      <c r="A11208" s="9" t="str">
        <f>HYPERLINK("http://www.ensembl.org/id/WBGene00001522", "WBGene00001522")</f>
        <v>WBGene00001522</v>
      </c>
      <c r="B11208" s="9" t="str">
        <f>HYPERLINK("http://www.ncbi.nlm.nih.gov/gene/174648", "174648")</f>
        <v>174648</v>
      </c>
      <c r="C11208" s="9" t="str">
        <f>HYPERLINK("http://www.ncbi.nlm.nih.gov/gene/8424", "8424")</f>
        <v>8424</v>
      </c>
      <c r="D11208" t="str">
        <f>"gbh-1"</f>
        <v>gbh-1</v>
      </c>
      <c r="E11208" t="s">
        <v>8893</v>
      </c>
      <c r="F11208" t="s">
        <v>11</v>
      </c>
      <c r="G11208" t="s">
        <v>8894</v>
      </c>
      <c r="H11208" s="12">
        <v>-1.2055250926443899</v>
      </c>
      <c r="I11208" s="20">
        <v>-0.82515988983105204</v>
      </c>
      <c r="J11208" s="28">
        <v>0.40928082193106802</v>
      </c>
      <c r="K11208" s="29">
        <v>0.98289565623980701</v>
      </c>
    </row>
    <row r="11209" spans="1:11" x14ac:dyDescent="0.35">
      <c r="A11209" s="9" t="str">
        <f>HYPERLINK("http://www.ensembl.org/id/WBGene00002220", "WBGene00002220")</f>
        <v>WBGene00002220</v>
      </c>
      <c r="B11209" s="9" t="str">
        <f>HYPERLINK("http://www.ncbi.nlm.nih.gov/gene/180606", "180606")</f>
        <v>180606</v>
      </c>
      <c r="C11209" s="9"/>
      <c r="D11209" t="str">
        <f>"gcc-1"</f>
        <v>gcc-1</v>
      </c>
      <c r="E11209" t="s">
        <v>5510</v>
      </c>
      <c r="F11209" t="s">
        <v>11</v>
      </c>
      <c r="G11209" t="s">
        <v>5511</v>
      </c>
      <c r="H11209" s="12">
        <v>1.15397534843882</v>
      </c>
      <c r="I11209" s="20">
        <v>0.71278470283441997</v>
      </c>
      <c r="J11209" s="28">
        <v>0.475978992888694</v>
      </c>
      <c r="K11209" s="29">
        <v>0.98289565623980701</v>
      </c>
    </row>
    <row r="11210" spans="1:11" x14ac:dyDescent="0.35">
      <c r="A11210" s="9" t="str">
        <f>HYPERLINK("http://www.ensembl.org/id/WBGene00011503", "WBGene00011503")</f>
        <v>WBGene00011503</v>
      </c>
      <c r="B11210" s="9" t="str">
        <f>HYPERLINK("http://www.ncbi.nlm.nih.gov/gene/176378", "176378")</f>
        <v>176378</v>
      </c>
      <c r="C11210" s="9"/>
      <c r="D11210" t="str">
        <f>"gcc-2"</f>
        <v>gcc-2</v>
      </c>
      <c r="E11210" t="s">
        <v>9391</v>
      </c>
      <c r="F11210" t="s">
        <v>11</v>
      </c>
      <c r="H11210" s="12">
        <v>-1.243054365199</v>
      </c>
      <c r="I11210" s="20">
        <v>-1.1069507450931899</v>
      </c>
      <c r="J11210" s="28">
        <v>0.26831522435467398</v>
      </c>
      <c r="K11210" s="29">
        <v>0.98289565623980701</v>
      </c>
    </row>
    <row r="11211" spans="1:11" x14ac:dyDescent="0.35">
      <c r="A11211" s="9" t="str">
        <f>HYPERLINK("http://www.ensembl.org/id/WBGene00022603", "WBGene00022603")</f>
        <v>WBGene00022603</v>
      </c>
      <c r="B11211" s="9" t="str">
        <f>HYPERLINK("http://www.ncbi.nlm.nih.gov/gene/179072", "179072")</f>
        <v>179072</v>
      </c>
      <c r="C11211" s="9" t="str">
        <f>HYPERLINK("http://www.ncbi.nlm.nih.gov/gene/8491", "8491")</f>
        <v>8491</v>
      </c>
      <c r="D11211" t="str">
        <f>"gck-2"</f>
        <v>gck-2</v>
      </c>
      <c r="E11211" t="s">
        <v>9244</v>
      </c>
      <c r="F11211" t="s">
        <v>11</v>
      </c>
      <c r="G11211" t="s">
        <v>9245</v>
      </c>
      <c r="H11211" s="12">
        <v>-1.2303390803077701</v>
      </c>
      <c r="I11211" s="20">
        <v>-1.13957076449301</v>
      </c>
      <c r="J11211" s="28">
        <v>0.25446517107935701</v>
      </c>
      <c r="K11211" s="29">
        <v>0.98289565623980701</v>
      </c>
    </row>
    <row r="11212" spans="1:11" x14ac:dyDescent="0.35">
      <c r="A11212" s="9" t="str">
        <f>HYPERLINK("http://www.ensembl.org/id/WBGene00013355", "WBGene00013355")</f>
        <v>WBGene00013355</v>
      </c>
      <c r="B11212" s="9" t="str">
        <f>HYPERLINK("http://www.ncbi.nlm.nih.gov/gene/190400", "190400")</f>
        <v>190400</v>
      </c>
      <c r="C11212" s="9" t="str">
        <f>HYPERLINK("http://www.ncbi.nlm.nih.gov/gene/9943", "9943")</f>
        <v>9943</v>
      </c>
      <c r="D11212" t="str">
        <f>"gck-3"</f>
        <v>gck-3</v>
      </c>
      <c r="E11212" t="s">
        <v>6311</v>
      </c>
      <c r="F11212" t="s">
        <v>11</v>
      </c>
      <c r="G11212" t="s">
        <v>2542</v>
      </c>
      <c r="H11212" s="12">
        <v>-1.0619779942169401</v>
      </c>
      <c r="I11212" s="20">
        <v>-0.32335049273790401</v>
      </c>
      <c r="J11212" s="28">
        <v>0.74642981833931998</v>
      </c>
      <c r="K11212" s="29">
        <v>0.98289565623980701</v>
      </c>
    </row>
    <row r="11213" spans="1:11" x14ac:dyDescent="0.35">
      <c r="A11213" s="9" t="str">
        <f>HYPERLINK("http://www.ensembl.org/id/WBGene00007287", "WBGene00007287")</f>
        <v>WBGene00007287</v>
      </c>
      <c r="B11213" s="9" t="str">
        <f>HYPERLINK("http://www.ncbi.nlm.nih.gov/gene/181488", "181488")</f>
        <v>181488</v>
      </c>
      <c r="C11213" s="9" t="str">
        <f>HYPERLINK("http://www.ncbi.nlm.nih.gov/gene/6793", "6793")</f>
        <v>6793</v>
      </c>
      <c r="D11213" t="str">
        <f>"gck-4"</f>
        <v>gck-4</v>
      </c>
      <c r="E11213" t="s">
        <v>5616</v>
      </c>
      <c r="F11213" t="s">
        <v>11</v>
      </c>
      <c r="G11213" t="s">
        <v>5617</v>
      </c>
      <c r="H11213" s="12">
        <v>1.1339104331785299</v>
      </c>
      <c r="I11213" s="20">
        <v>0.68319261556981803</v>
      </c>
      <c r="J11213" s="28">
        <v>0.49448513819282303</v>
      </c>
      <c r="K11213" s="29">
        <v>0.98289565623980701</v>
      </c>
    </row>
    <row r="11214" spans="1:11" x14ac:dyDescent="0.35">
      <c r="A11214" s="9" t="str">
        <f>HYPERLINK("http://www.ensembl.org/id/WBGene00013382", "WBGene00013382")</f>
        <v>WBGene00013382</v>
      </c>
      <c r="B11214" s="9" t="str">
        <f>HYPERLINK("http://www.ncbi.nlm.nih.gov/gene/190457", "190457")</f>
        <v>190457</v>
      </c>
      <c r="C11214" s="9" t="str">
        <f>HYPERLINK("http://www.ncbi.nlm.nih.gov/gene/64395", "64395")</f>
        <v>64395</v>
      </c>
      <c r="D11214" t="str">
        <f>"gcl-1"</f>
        <v>gcl-1</v>
      </c>
      <c r="E11214" t="s">
        <v>6123</v>
      </c>
      <c r="F11214" t="s">
        <v>11</v>
      </c>
      <c r="G11214" t="s">
        <v>6124</v>
      </c>
      <c r="H11214" s="12">
        <v>1.0556691996691601</v>
      </c>
      <c r="I11214" s="20">
        <v>0.27627797013098099</v>
      </c>
      <c r="J11214" s="28">
        <v>0.78233457496349101</v>
      </c>
      <c r="K11214" s="29">
        <v>0.98289565623980701</v>
      </c>
    </row>
    <row r="11215" spans="1:11" x14ac:dyDescent="0.35">
      <c r="A11215" s="9" t="str">
        <f>HYPERLINK("http://www.ensembl.org/id/WBGene00021697", "WBGene00021697")</f>
        <v>WBGene00021697</v>
      </c>
      <c r="B11215" s="9" t="str">
        <f>HYPERLINK("http://www.ncbi.nlm.nih.gov/gene/190051", "190051")</f>
        <v>190051</v>
      </c>
      <c r="C11215" s="9" t="str">
        <f>HYPERLINK("http://www.ncbi.nlm.nih.gov/gene/10985", "10985")</f>
        <v>10985</v>
      </c>
      <c r="D11215" t="str">
        <f>"gcn-1"</f>
        <v>gcn-1</v>
      </c>
      <c r="E11215" t="s">
        <v>8150</v>
      </c>
      <c r="F11215" t="s">
        <v>11</v>
      </c>
      <c r="G11215" t="s">
        <v>8151</v>
      </c>
      <c r="H11215" s="12">
        <v>-1.1625721601364001</v>
      </c>
      <c r="I11215" s="20">
        <v>-0.76077915724464795</v>
      </c>
      <c r="J11215" s="28">
        <v>0.44678898559007102</v>
      </c>
      <c r="K11215" s="29">
        <v>0.98289565623980701</v>
      </c>
    </row>
    <row r="11216" spans="1:11" x14ac:dyDescent="0.35">
      <c r="A11216" s="9" t="str">
        <f>HYPERLINK("http://www.ensembl.org/id/WBGene00013591", "WBGene00013591")</f>
        <v>WBGene00013591</v>
      </c>
      <c r="B11216" s="9" t="str">
        <f>HYPERLINK("http://www.ncbi.nlm.nih.gov/gene/174953", "174953")</f>
        <v>174953</v>
      </c>
      <c r="C11216" s="9" t="str">
        <f>HYPERLINK("http://www.ncbi.nlm.nih.gov/gene/440275", "440275")</f>
        <v>440275</v>
      </c>
      <c r="D11216" t="str">
        <f>"gcn-2"</f>
        <v>gcn-2</v>
      </c>
      <c r="E11216" t="s">
        <v>6080</v>
      </c>
      <c r="F11216" t="s">
        <v>11</v>
      </c>
      <c r="G11216" t="s">
        <v>86</v>
      </c>
      <c r="H11216" s="12">
        <v>1.0647384278237899</v>
      </c>
      <c r="I11216" s="20">
        <v>0.29142948362073501</v>
      </c>
      <c r="J11216" s="28">
        <v>0.77072286799172396</v>
      </c>
      <c r="K11216" s="29">
        <v>0.98289565623980701</v>
      </c>
    </row>
    <row r="11217" spans="1:11" x14ac:dyDescent="0.35">
      <c r="A11217" s="9" t="str">
        <f>HYPERLINK("http://www.ensembl.org/id/WBGene00022694", "WBGene00022694")</f>
        <v>WBGene00022694</v>
      </c>
      <c r="B11217" s="9" t="str">
        <f>HYPERLINK("http://www.ncbi.nlm.nih.gov/gene/175850", "175850")</f>
        <v>175850</v>
      </c>
      <c r="C11217" s="9"/>
      <c r="D11217" t="str">
        <f>"gcna-1"</f>
        <v>gcna-1</v>
      </c>
      <c r="E11217" t="s">
        <v>7890</v>
      </c>
      <c r="F11217" t="s">
        <v>11</v>
      </c>
      <c r="G11217" t="s">
        <v>7891</v>
      </c>
      <c r="H11217" s="12">
        <v>-1.14997283242256</v>
      </c>
      <c r="I11217" s="20">
        <v>-0.566381523619639</v>
      </c>
      <c r="J11217" s="28">
        <v>0.57113445206423097</v>
      </c>
      <c r="K11217" s="29">
        <v>0.98289565623980701</v>
      </c>
    </row>
    <row r="11218" spans="1:11" x14ac:dyDescent="0.35">
      <c r="A11218" s="9" t="str">
        <f>HYPERLINK("http://www.ensembl.org/id/WBGene00020082", "WBGene00020082")</f>
        <v>WBGene00020082</v>
      </c>
      <c r="B11218" s="9" t="str">
        <f>HYPERLINK("http://www.ncbi.nlm.nih.gov/gene/180386", "180386")</f>
        <v>180386</v>
      </c>
      <c r="C11218" s="9" t="str">
        <f>HYPERLINK("http://www.ncbi.nlm.nih.gov/gene/10003", "10003")</f>
        <v>10003</v>
      </c>
      <c r="D11218" t="str">
        <f>"gcp-2.1"</f>
        <v>gcp-2.1</v>
      </c>
      <c r="E11218" t="s">
        <v>6597</v>
      </c>
      <c r="F11218" t="s">
        <v>11</v>
      </c>
      <c r="G11218" t="s">
        <v>6598</v>
      </c>
      <c r="H11218" s="12">
        <v>-1.0787883161009699</v>
      </c>
      <c r="I11218" s="20">
        <v>-0.37350291275217601</v>
      </c>
      <c r="J11218" s="28">
        <v>0.708774177870516</v>
      </c>
      <c r="K11218" s="29">
        <v>0.98289565623980701</v>
      </c>
    </row>
    <row r="11219" spans="1:11" x14ac:dyDescent="0.35">
      <c r="A11219" s="9" t="str">
        <f>HYPERLINK("http://www.ensembl.org/id/WBGene00007954", "WBGene00007954")</f>
        <v>WBGene00007954</v>
      </c>
      <c r="B11219" s="9" t="str">
        <f>HYPERLINK("http://www.ncbi.nlm.nih.gov/gene/183230", "183230")</f>
        <v>183230</v>
      </c>
      <c r="C11219" s="9" t="str">
        <f>HYPERLINK("http://www.ncbi.nlm.nih.gov/gene/10003", "10003")</f>
        <v>10003</v>
      </c>
      <c r="D11219" t="str">
        <f>"gcp-2.2"</f>
        <v>gcp-2.2</v>
      </c>
      <c r="E11219" t="s">
        <v>4566</v>
      </c>
      <c r="F11219" t="s">
        <v>11</v>
      </c>
      <c r="G11219" t="s">
        <v>4567</v>
      </c>
      <c r="H11219" s="12">
        <v>1.68981042852305</v>
      </c>
      <c r="I11219" s="20">
        <v>0.95110322566449002</v>
      </c>
      <c r="J11219" s="28">
        <v>0.341551977441373</v>
      </c>
      <c r="K11219" s="29">
        <v>0.98289565623980701</v>
      </c>
    </row>
    <row r="11220" spans="1:11" x14ac:dyDescent="0.35">
      <c r="A11220" s="9" t="str">
        <f>HYPERLINK("http://www.ensembl.org/id/WBGene00044121", "WBGene00044121")</f>
        <v>WBGene00044121</v>
      </c>
      <c r="B11220" s="9" t="str">
        <f>HYPERLINK("http://www.ncbi.nlm.nih.gov/gene/3565896", "3565896")</f>
        <v>3565896</v>
      </c>
      <c r="C11220" s="9" t="str">
        <f>HYPERLINK("http://www.ncbi.nlm.nih.gov/gene/10003", "10003")</f>
        <v>10003</v>
      </c>
      <c r="D11220" t="str">
        <f>"gcp-2.3"</f>
        <v>gcp-2.3</v>
      </c>
      <c r="E11220" t="s">
        <v>4566</v>
      </c>
      <c r="F11220" t="s">
        <v>11</v>
      </c>
      <c r="H11220" s="12">
        <v>1.51868788030402</v>
      </c>
      <c r="I11220" s="20">
        <v>0.34732406667545102</v>
      </c>
      <c r="J11220" s="28">
        <v>0.72834787227572895</v>
      </c>
      <c r="K11220" s="29">
        <v>0.98289565623980701</v>
      </c>
    </row>
    <row r="11221" spans="1:11" x14ac:dyDescent="0.35">
      <c r="A11221" s="9" t="str">
        <f>HYPERLINK("http://www.ensembl.org/id/WBGene00001527", "WBGene00001527")</f>
        <v>WBGene00001527</v>
      </c>
      <c r="B11221" s="9" t="str">
        <f>HYPERLINK("http://www.ncbi.nlm.nih.gov/gene/174438", "174438")</f>
        <v>174438</v>
      </c>
      <c r="C11221" s="9" t="str">
        <f>HYPERLINK("http://www.ncbi.nlm.nih.gov/gene/2729", "2729")</f>
        <v>2729</v>
      </c>
      <c r="D11221" t="str">
        <f>"gcs-1"</f>
        <v>gcs-1</v>
      </c>
      <c r="E11221" t="s">
        <v>8181</v>
      </c>
      <c r="F11221" t="s">
        <v>11</v>
      </c>
      <c r="G11221" t="s">
        <v>8182</v>
      </c>
      <c r="H11221" s="12">
        <v>-1.16411067870497</v>
      </c>
      <c r="I11221" s="20">
        <v>-0.80778342711295703</v>
      </c>
      <c r="J11221" s="28">
        <v>0.419215267233286</v>
      </c>
      <c r="K11221" s="29">
        <v>0.98289565623980701</v>
      </c>
    </row>
    <row r="11222" spans="1:11" x14ac:dyDescent="0.35">
      <c r="A11222" s="9" t="str">
        <f>HYPERLINK("http://www.ensembl.org/id/WBGene00009918", "WBGene00009918")</f>
        <v>WBGene00009918</v>
      </c>
      <c r="B11222" s="9" t="str">
        <f>HYPERLINK("http://www.ncbi.nlm.nih.gov/gene/172486", "172486")</f>
        <v>172486</v>
      </c>
      <c r="C11222" s="9" t="str">
        <f>HYPERLINK("http://www.ncbi.nlm.nih.gov/gene/2653", "2653")</f>
        <v>2653</v>
      </c>
      <c r="D11222" t="str">
        <f>"gcsh-2"</f>
        <v>gcsh-2</v>
      </c>
      <c r="E11222" t="s">
        <v>7009</v>
      </c>
      <c r="F11222" t="s">
        <v>11</v>
      </c>
      <c r="G11222" t="s">
        <v>7010</v>
      </c>
      <c r="H11222" s="12">
        <v>-1.1020604269618199</v>
      </c>
      <c r="I11222" s="20">
        <v>-0.49488150710461298</v>
      </c>
      <c r="J11222" s="28">
        <v>0.62068376524328595</v>
      </c>
      <c r="K11222" s="29">
        <v>0.98289565623980701</v>
      </c>
    </row>
    <row r="11223" spans="1:11" x14ac:dyDescent="0.35">
      <c r="A11223" s="9" t="str">
        <f>HYPERLINK("http://www.ensembl.org/id/WBGene00001528", "WBGene00001528")</f>
        <v>WBGene00001528</v>
      </c>
      <c r="B11223" s="9" t="str">
        <f>HYPERLINK("http://www.ncbi.nlm.nih.gov/gene/191639", "191639")</f>
        <v>191639</v>
      </c>
      <c r="C11223" s="9"/>
      <c r="D11223" t="str">
        <f>"gcy-1"</f>
        <v>gcy-1</v>
      </c>
      <c r="E11223" t="s">
        <v>4307</v>
      </c>
      <c r="F11223" t="s">
        <v>11</v>
      </c>
      <c r="G11223" t="s">
        <v>1564</v>
      </c>
      <c r="H11223" s="12">
        <v>3.5227018545059199</v>
      </c>
      <c r="I11223" s="20">
        <v>0.36849691206929103</v>
      </c>
      <c r="J11223" s="28">
        <v>0.71250274722433404</v>
      </c>
      <c r="K11223" s="29">
        <v>0.98289565623980701</v>
      </c>
    </row>
    <row r="11224" spans="1:11" x14ac:dyDescent="0.35">
      <c r="A11224" s="9" t="str">
        <f>HYPERLINK("http://www.ensembl.org/id/WBGene00001537", "WBGene00001537")</f>
        <v>WBGene00001537</v>
      </c>
      <c r="B11224" s="9" t="str">
        <f>HYPERLINK("http://www.ncbi.nlm.nih.gov/gene/181745", "181745")</f>
        <v>181745</v>
      </c>
      <c r="C11224" s="9"/>
      <c r="D11224" t="str">
        <f>"gcy-11"</f>
        <v>gcy-11</v>
      </c>
      <c r="E11224" t="s">
        <v>5022</v>
      </c>
      <c r="F11224" t="s">
        <v>11</v>
      </c>
      <c r="G11224" t="s">
        <v>3383</v>
      </c>
      <c r="H11224" s="12">
        <v>1.25779636767439</v>
      </c>
      <c r="I11224" s="20">
        <v>0.90511432808865</v>
      </c>
      <c r="J11224" s="28">
        <v>0.36540482222037302</v>
      </c>
      <c r="K11224" s="29">
        <v>0.98289565623980701</v>
      </c>
    </row>
    <row r="11225" spans="1:11" x14ac:dyDescent="0.35">
      <c r="A11225" s="9" t="str">
        <f>HYPERLINK("http://www.ensembl.org/id/WBGene00001544", "WBGene00001544")</f>
        <v>WBGene00001544</v>
      </c>
      <c r="B11225" s="9" t="str">
        <f>HYPERLINK("http://www.ncbi.nlm.nih.gov/gene/191650", "191650")</f>
        <v>191650</v>
      </c>
      <c r="C11225" s="9"/>
      <c r="D11225" t="str">
        <f>"gcy-19"</f>
        <v>gcy-19</v>
      </c>
      <c r="E11225" t="s">
        <v>4706</v>
      </c>
      <c r="F11225" t="s">
        <v>11</v>
      </c>
      <c r="G11225" t="s">
        <v>4707</v>
      </c>
      <c r="H11225" s="12">
        <v>1.46330541967439</v>
      </c>
      <c r="I11225" s="20">
        <v>0.96740408712924197</v>
      </c>
      <c r="J11225" s="28">
        <v>0.333342067682599</v>
      </c>
      <c r="K11225" s="29">
        <v>0.98289565623980701</v>
      </c>
    </row>
    <row r="11226" spans="1:11" x14ac:dyDescent="0.35">
      <c r="A11226" s="9" t="str">
        <f>HYPERLINK("http://www.ensembl.org/id/WBGene00001548", "WBGene00001548")</f>
        <v>WBGene00001548</v>
      </c>
      <c r="B11226" s="9" t="str">
        <f>HYPERLINK("http://www.ncbi.nlm.nih.gov/gene/191652", "191652")</f>
        <v>191652</v>
      </c>
      <c r="C11226" s="9"/>
      <c r="D11226" t="str">
        <f>"gcy-23"</f>
        <v>gcy-23</v>
      </c>
      <c r="E11226" t="s">
        <v>4543</v>
      </c>
      <c r="F11226" t="s">
        <v>11</v>
      </c>
      <c r="G11226" t="s">
        <v>2714</v>
      </c>
      <c r="H11226" s="12">
        <v>1.74371739238506</v>
      </c>
      <c r="I11226" s="20">
        <v>0.781410920658268</v>
      </c>
      <c r="J11226" s="28">
        <v>0.43456085016675799</v>
      </c>
      <c r="K11226" s="29">
        <v>0.98289565623980701</v>
      </c>
    </row>
    <row r="11227" spans="1:11" x14ac:dyDescent="0.35">
      <c r="A11227" s="9" t="str">
        <f>HYPERLINK("http://www.ensembl.org/id/WBGene00001549", "WBGene00001549")</f>
        <v>WBGene00001549</v>
      </c>
      <c r="B11227" s="9" t="str">
        <f>HYPERLINK("http://www.ncbi.nlm.nih.gov/gene/191653", "191653")</f>
        <v>191653</v>
      </c>
      <c r="C11227" s="9"/>
      <c r="D11227" t="str">
        <f>"gcy-25"</f>
        <v>gcy-25</v>
      </c>
      <c r="E11227" t="s">
        <v>4459</v>
      </c>
      <c r="F11227" t="s">
        <v>11</v>
      </c>
      <c r="G11227" t="s">
        <v>3383</v>
      </c>
      <c r="H11227" s="12">
        <v>1.96459180030148</v>
      </c>
      <c r="I11227" s="20">
        <v>0.62021716440337604</v>
      </c>
      <c r="J11227" s="28">
        <v>0.53511482248692699</v>
      </c>
      <c r="K11227" s="29">
        <v>0.98289565623980701</v>
      </c>
    </row>
    <row r="11228" spans="1:11" x14ac:dyDescent="0.35">
      <c r="A11228" s="9" t="str">
        <f>HYPERLINK("http://www.ensembl.org/id/WBGene00020131", "WBGene00020131")</f>
        <v>WBGene00020131</v>
      </c>
      <c r="B11228" s="9" t="str">
        <f>HYPERLINK("http://www.ncbi.nlm.nih.gov/gene/172051", "172051")</f>
        <v>172051</v>
      </c>
      <c r="C11228" s="9" t="str">
        <f>HYPERLINK("http://www.ncbi.nlm.nih.gov/gene/4882", "4882")</f>
        <v>4882</v>
      </c>
      <c r="D11228" t="str">
        <f>"gcy-28"</f>
        <v>gcy-28</v>
      </c>
      <c r="E11228" t="s">
        <v>5145</v>
      </c>
      <c r="F11228" t="s">
        <v>11</v>
      </c>
      <c r="G11228" t="s">
        <v>5146</v>
      </c>
      <c r="H11228" s="12">
        <v>1.22984912478347</v>
      </c>
      <c r="I11228" s="20">
        <v>1.1406452609322699</v>
      </c>
      <c r="J11228" s="28">
        <v>0.254017574236166</v>
      </c>
      <c r="K11228" s="29">
        <v>0.98289565623980701</v>
      </c>
    </row>
    <row r="11229" spans="1:11" x14ac:dyDescent="0.35">
      <c r="A11229" s="9" t="str">
        <f>HYPERLINK("http://www.ensembl.org/id/WBGene00007314", "WBGene00007314")</f>
        <v>WBGene00007314</v>
      </c>
      <c r="B11229" s="9" t="str">
        <f>HYPERLINK("http://www.ncbi.nlm.nih.gov/gene/175116", "175116")</f>
        <v>175116</v>
      </c>
      <c r="C11229" s="9"/>
      <c r="D11229" t="str">
        <f>"gcy-29"</f>
        <v>gcy-29</v>
      </c>
      <c r="E11229" t="s">
        <v>4624</v>
      </c>
      <c r="F11229" t="s">
        <v>11</v>
      </c>
      <c r="G11229" t="s">
        <v>3383</v>
      </c>
      <c r="H11229" s="12">
        <v>1.58321633524214</v>
      </c>
      <c r="I11229" s="20">
        <v>0.89517749814289904</v>
      </c>
      <c r="J11229" s="28">
        <v>0.37069221139963698</v>
      </c>
      <c r="K11229" s="29">
        <v>0.98289565623980701</v>
      </c>
    </row>
    <row r="11230" spans="1:11" x14ac:dyDescent="0.35">
      <c r="A11230" s="9" t="str">
        <f>HYPERLINK("http://www.ensembl.org/id/WBGene00001551", "WBGene00001551")</f>
        <v>WBGene00001551</v>
      </c>
      <c r="B11230" s="9" t="str">
        <f>HYPERLINK("http://www.ncbi.nlm.nih.gov/gene/191655", "191655")</f>
        <v>191655</v>
      </c>
      <c r="C11230" s="9"/>
      <c r="D11230" t="str">
        <f>"gcy-31"</f>
        <v>gcy-31</v>
      </c>
      <c r="E11230" t="s">
        <v>5722</v>
      </c>
      <c r="F11230" t="s">
        <v>11</v>
      </c>
      <c r="G11230" t="s">
        <v>5723</v>
      </c>
      <c r="H11230" s="12">
        <v>1.1154003757011699</v>
      </c>
      <c r="I11230" s="20">
        <v>0.34100638216492402</v>
      </c>
      <c r="J11230" s="28">
        <v>0.73309877713482696</v>
      </c>
      <c r="K11230" s="29">
        <v>0.98289565623980701</v>
      </c>
    </row>
    <row r="11231" spans="1:11" x14ac:dyDescent="0.35">
      <c r="A11231" s="9" t="str">
        <f>HYPERLINK("http://www.ensembl.org/id/WBGene00001554", "WBGene00001554")</f>
        <v>WBGene00001554</v>
      </c>
      <c r="B11231" s="9" t="str">
        <f>HYPERLINK("http://www.ncbi.nlm.nih.gov/gene/191656", "191656")</f>
        <v>191656</v>
      </c>
      <c r="C11231" s="9" t="str">
        <f>HYPERLINK("http://www.ncbi.nlm.nih.gov/gene/2983", "2983")</f>
        <v>2983</v>
      </c>
      <c r="D11231" t="str">
        <f>"gcy-34"</f>
        <v>gcy-34</v>
      </c>
      <c r="E11231" t="s">
        <v>5015</v>
      </c>
      <c r="F11231" t="s">
        <v>11</v>
      </c>
      <c r="G11231" t="s">
        <v>819</v>
      </c>
      <c r="H11231" s="12">
        <v>1.2616499628042801</v>
      </c>
      <c r="I11231" s="20">
        <v>0.46104904694663001</v>
      </c>
      <c r="J11231" s="28">
        <v>0.64476341676251603</v>
      </c>
      <c r="K11231" s="29">
        <v>0.98289565623980701</v>
      </c>
    </row>
    <row r="11232" spans="1:11" x14ac:dyDescent="0.35">
      <c r="A11232" s="9" t="str">
        <f>HYPERLINK("http://www.ensembl.org/id/WBGene00001531", "WBGene00001531")</f>
        <v>WBGene00001531</v>
      </c>
      <c r="B11232" s="9" t="str">
        <f>HYPERLINK("http://www.ncbi.nlm.nih.gov/gene/191642", "191642")</f>
        <v>191642</v>
      </c>
      <c r="C11232" s="9"/>
      <c r="D11232" t="str">
        <f>"gcy-4"</f>
        <v>gcy-4</v>
      </c>
      <c r="E11232" t="s">
        <v>4444</v>
      </c>
      <c r="F11232" t="s">
        <v>11</v>
      </c>
      <c r="G11232" t="s">
        <v>2714</v>
      </c>
      <c r="H11232" s="12">
        <v>2.0715547873546898</v>
      </c>
      <c r="I11232" s="20">
        <v>0.64330347678044197</v>
      </c>
      <c r="J11232" s="28">
        <v>0.52002720073372799</v>
      </c>
      <c r="K11232" s="29">
        <v>0.98289565623980701</v>
      </c>
    </row>
    <row r="11233" spans="1:11" x14ac:dyDescent="0.35">
      <c r="A11233" s="9" t="str">
        <f>HYPERLINK("http://www.ensembl.org/id/WBGene00001532", "WBGene00001532")</f>
        <v>WBGene00001532</v>
      </c>
      <c r="B11233" s="9" t="str">
        <f>HYPERLINK("http://www.ncbi.nlm.nih.gov/gene/191643", "191643")</f>
        <v>191643</v>
      </c>
      <c r="C11233" s="9"/>
      <c r="D11233" t="str">
        <f>"gcy-5"</f>
        <v>gcy-5</v>
      </c>
      <c r="E11233" t="s">
        <v>4326</v>
      </c>
      <c r="F11233" t="s">
        <v>11</v>
      </c>
      <c r="G11233" t="s">
        <v>2714</v>
      </c>
      <c r="H11233" s="12">
        <v>3.0554194987991798</v>
      </c>
      <c r="I11233" s="20">
        <v>1.04496476434219</v>
      </c>
      <c r="J11233" s="28">
        <v>0.29603925499003497</v>
      </c>
      <c r="K11233" s="29">
        <v>0.98289565623980701</v>
      </c>
    </row>
    <row r="11234" spans="1:11" x14ac:dyDescent="0.35">
      <c r="A11234" s="9" t="str">
        <f>HYPERLINK("http://www.ensembl.org/id/WBGene00001533", "WBGene00001533")</f>
        <v>WBGene00001533</v>
      </c>
      <c r="B11234" s="9" t="str">
        <f>HYPERLINK("http://www.ncbi.nlm.nih.gov/gene/191644", "191644")</f>
        <v>191644</v>
      </c>
      <c r="C11234" s="9"/>
      <c r="D11234" t="str">
        <f>"gcy-6"</f>
        <v>gcy-6</v>
      </c>
      <c r="E11234" t="s">
        <v>4712</v>
      </c>
      <c r="F11234" t="s">
        <v>11</v>
      </c>
      <c r="G11234" t="s">
        <v>1564</v>
      </c>
      <c r="H11234" s="12">
        <v>1.4597044372231001</v>
      </c>
      <c r="I11234" s="20">
        <v>0.27565728705523501</v>
      </c>
      <c r="J11234" s="28">
        <v>0.78281130490641004</v>
      </c>
      <c r="K11234" s="29">
        <v>0.98289565623980701</v>
      </c>
    </row>
    <row r="11235" spans="1:11" x14ac:dyDescent="0.35">
      <c r="A11235" s="9" t="str">
        <f>HYPERLINK("http://www.ensembl.org/id/WBGene00001534", "WBGene00001534")</f>
        <v>WBGene00001534</v>
      </c>
      <c r="B11235" s="9" t="str">
        <f>HYPERLINK("http://www.ncbi.nlm.nih.gov/gene/179222", "179222")</f>
        <v>179222</v>
      </c>
      <c r="C11235" s="9"/>
      <c r="D11235" t="str">
        <f>"gcy-7"</f>
        <v>gcy-7</v>
      </c>
      <c r="E11235" t="s">
        <v>5211</v>
      </c>
      <c r="F11235" t="s">
        <v>11</v>
      </c>
      <c r="G11235" t="s">
        <v>1564</v>
      </c>
      <c r="H11235" s="12">
        <v>1.21539126331207</v>
      </c>
      <c r="I11235" s="20">
        <v>0.26153534317682198</v>
      </c>
      <c r="J11235" s="28">
        <v>0.79367969775400304</v>
      </c>
      <c r="K11235" s="29">
        <v>0.98289565623980701</v>
      </c>
    </row>
    <row r="11236" spans="1:11" x14ac:dyDescent="0.35">
      <c r="A11236" s="9" t="str">
        <f>HYPERLINK("http://www.ensembl.org/id/WBGene00001535", "WBGene00001535")</f>
        <v>WBGene00001535</v>
      </c>
      <c r="B11236" s="9" t="str">
        <f>HYPERLINK("http://www.ncbi.nlm.nih.gov/gene/177584", "177584")</f>
        <v>177584</v>
      </c>
      <c r="C11236" s="9"/>
      <c r="D11236" t="str">
        <f>"gcy-8"</f>
        <v>gcy-8</v>
      </c>
      <c r="E11236" t="s">
        <v>9977</v>
      </c>
      <c r="F11236" t="s">
        <v>11</v>
      </c>
      <c r="G11236" t="s">
        <v>3383</v>
      </c>
      <c r="H11236" s="12">
        <v>-1.5339160369172</v>
      </c>
      <c r="I11236" s="20">
        <v>-0.527121981033701</v>
      </c>
      <c r="J11236" s="28">
        <v>0.59810888322659095</v>
      </c>
      <c r="K11236" s="29">
        <v>0.98289565623980701</v>
      </c>
    </row>
    <row r="11237" spans="1:11" x14ac:dyDescent="0.35">
      <c r="A11237" s="9" t="str">
        <f>HYPERLINK("http://www.ensembl.org/id/WBGene00001558", "WBGene00001558")</f>
        <v>WBGene00001558</v>
      </c>
      <c r="B11237" s="9" t="str">
        <f>HYPERLINK("http://www.ncbi.nlm.nih.gov/gene/178402", "178402")</f>
        <v>178402</v>
      </c>
      <c r="C11237" s="9" t="str">
        <f>HYPERLINK("http://www.ncbi.nlm.nih.gov/gene/2664", "2664")</f>
        <v>2664</v>
      </c>
      <c r="D11237" t="str">
        <f>"gdi-1"</f>
        <v>gdi-1</v>
      </c>
      <c r="E11237" t="s">
        <v>6544</v>
      </c>
      <c r="F11237" t="s">
        <v>11</v>
      </c>
      <c r="G11237" t="s">
        <v>6545</v>
      </c>
      <c r="H11237" s="12">
        <v>-1.07502926334178</v>
      </c>
      <c r="I11237" s="20">
        <v>-0.402383196362808</v>
      </c>
      <c r="J11237" s="28">
        <v>0.68740203471066497</v>
      </c>
      <c r="K11237" s="29">
        <v>0.98289565623980701</v>
      </c>
    </row>
    <row r="11238" spans="1:11" x14ac:dyDescent="0.35">
      <c r="A11238" s="9" t="str">
        <f>HYPERLINK("http://www.ensembl.org/id/WBGene00001570", "WBGene00001570")</f>
        <v>WBGene00001570</v>
      </c>
      <c r="B11238" s="9" t="str">
        <f>HYPERLINK("http://www.ncbi.nlm.nih.gov/gene/176364", "176364")</f>
        <v>176364</v>
      </c>
      <c r="C11238" s="9"/>
      <c r="D11238" t="str">
        <f>"gei-13"</f>
        <v>gei-13</v>
      </c>
      <c r="E11238" t="s">
        <v>5280</v>
      </c>
      <c r="F11238" t="s">
        <v>11</v>
      </c>
      <c r="G11238" t="s">
        <v>350</v>
      </c>
      <c r="H11238" s="12">
        <v>1.19633034748917</v>
      </c>
      <c r="I11238" s="20">
        <v>0.81887406191270995</v>
      </c>
      <c r="J11238" s="28">
        <v>0.41285827001952902</v>
      </c>
      <c r="K11238" s="29">
        <v>0.98289565623980701</v>
      </c>
    </row>
    <row r="11239" spans="1:11" x14ac:dyDescent="0.35">
      <c r="A11239" s="9" t="str">
        <f>HYPERLINK("http://www.ensembl.org/id/WBGene00001572", "WBGene00001572")</f>
        <v>WBGene00001572</v>
      </c>
      <c r="B11239" s="9" t="str">
        <f>HYPERLINK("http://www.ncbi.nlm.nih.gov/gene/24104769", "24104769")</f>
        <v>24104769</v>
      </c>
      <c r="C11239" s="9"/>
      <c r="D11239" t="str">
        <f>"gei-15"</f>
        <v>gei-15</v>
      </c>
      <c r="E11239" t="s">
        <v>510</v>
      </c>
      <c r="F11239" t="s">
        <v>11</v>
      </c>
      <c r="G11239" t="s">
        <v>5741</v>
      </c>
      <c r="H11239" s="12">
        <v>1.11261904048481</v>
      </c>
      <c r="I11239" s="20">
        <v>0.54823738554402601</v>
      </c>
      <c r="J11239" s="28">
        <v>0.58352891473625501</v>
      </c>
      <c r="K11239" s="29">
        <v>0.98289565623980701</v>
      </c>
    </row>
    <row r="11240" spans="1:11" x14ac:dyDescent="0.35">
      <c r="A11240" s="9" t="str">
        <f>HYPERLINK("http://www.ensembl.org/id/WBGene00001574", "WBGene00001574")</f>
        <v>WBGene00001574</v>
      </c>
      <c r="B11240" s="9" t="str">
        <f>HYPERLINK("http://www.ncbi.nlm.nih.gov/gene/172733", "172733")</f>
        <v>172733</v>
      </c>
      <c r="C11240" s="9"/>
      <c r="D11240" t="str">
        <f>"gei-17"</f>
        <v>gei-17</v>
      </c>
      <c r="E11240" t="s">
        <v>7296</v>
      </c>
      <c r="F11240" t="s">
        <v>11</v>
      </c>
      <c r="G11240" t="s">
        <v>7297</v>
      </c>
      <c r="H11240" s="12">
        <v>-1.1180000576579601</v>
      </c>
      <c r="I11240" s="20">
        <v>-0.60222963967782495</v>
      </c>
      <c r="J11240" s="28">
        <v>0.54702128862884203</v>
      </c>
      <c r="K11240" s="29">
        <v>0.98289565623980701</v>
      </c>
    </row>
    <row r="11241" spans="1:11" x14ac:dyDescent="0.35">
      <c r="A11241" s="9" t="str">
        <f>HYPERLINK("http://www.ensembl.org/id/WBGene00001561", "WBGene00001561")</f>
        <v>WBGene00001561</v>
      </c>
      <c r="B11241" s="9" t="str">
        <f>HYPERLINK("http://www.ncbi.nlm.nih.gov/gene/175195", "175195")</f>
        <v>175195</v>
      </c>
      <c r="C11241" s="9"/>
      <c r="D11241" t="str">
        <f>"gei-4"</f>
        <v>gei-4</v>
      </c>
      <c r="E11241" t="s">
        <v>510</v>
      </c>
      <c r="F11241" t="s">
        <v>11</v>
      </c>
      <c r="G11241" t="s">
        <v>5780</v>
      </c>
      <c r="H11241" s="12">
        <v>1.10434931921086</v>
      </c>
      <c r="I11241" s="20">
        <v>0.55274305147038205</v>
      </c>
      <c r="J11241" s="28">
        <v>0.58043936916120498</v>
      </c>
      <c r="K11241" s="29">
        <v>0.98289565623980701</v>
      </c>
    </row>
    <row r="11242" spans="1:11" x14ac:dyDescent="0.35">
      <c r="A11242" s="9" t="str">
        <f>HYPERLINK("http://www.ensembl.org/id/WBGene00001565", "WBGene00001565")</f>
        <v>WBGene00001565</v>
      </c>
      <c r="B11242" s="9" t="str">
        <f>HYPERLINK("http://www.ncbi.nlm.nih.gov/gene/176145", "176145")</f>
        <v>176145</v>
      </c>
      <c r="C11242" s="9"/>
      <c r="D11242" t="str">
        <f>"gei-8"</f>
        <v>gei-8</v>
      </c>
      <c r="E11242" t="s">
        <v>6168</v>
      </c>
      <c r="F11242" t="s">
        <v>11</v>
      </c>
      <c r="H11242" s="12">
        <v>-1.0506109103808501</v>
      </c>
      <c r="I11242" s="20">
        <v>-0.267858869685968</v>
      </c>
      <c r="J11242" s="28">
        <v>0.78880795434098505</v>
      </c>
      <c r="K11242" s="29">
        <v>0.98289565623980701</v>
      </c>
    </row>
    <row r="11243" spans="1:11" x14ac:dyDescent="0.35">
      <c r="A11243" s="9" t="str">
        <f>HYPERLINK("http://www.ensembl.org/id/WBGene00008214", "WBGene00008214")</f>
        <v>WBGene00008214</v>
      </c>
      <c r="B11243" s="9" t="str">
        <f>HYPERLINK("http://www.ncbi.nlm.nih.gov/gene/181458", "181458")</f>
        <v>181458</v>
      </c>
      <c r="C11243" s="9"/>
      <c r="D11243" t="str">
        <f>"gem-1"</f>
        <v>gem-1</v>
      </c>
      <c r="E11243" t="s">
        <v>1042</v>
      </c>
      <c r="F11243" t="s">
        <v>11</v>
      </c>
      <c r="G11243" t="s">
        <v>7612</v>
      </c>
      <c r="H11243" s="12">
        <v>-1.1358657901281</v>
      </c>
      <c r="I11243" s="20">
        <v>-0.59385136152492501</v>
      </c>
      <c r="J11243" s="28">
        <v>0.552611532825665</v>
      </c>
      <c r="K11243" s="29">
        <v>0.98289565623980701</v>
      </c>
    </row>
    <row r="11244" spans="1:11" x14ac:dyDescent="0.35">
      <c r="A11244" s="9" t="str">
        <f>HYPERLINK("http://www.ensembl.org/id/WBGene00019813", "WBGene00019813")</f>
        <v>WBGene00019813</v>
      </c>
      <c r="B11244" s="9" t="str">
        <f>HYPERLINK("http://www.ncbi.nlm.nih.gov/gene/187512", "187512")</f>
        <v>187512</v>
      </c>
      <c r="C11244" s="9" t="str">
        <f>HYPERLINK("http://www.ncbi.nlm.nih.gov/gene/7264", "7264")</f>
        <v>7264</v>
      </c>
      <c r="D11244" t="str">
        <f>"ger-1"</f>
        <v>ger-1</v>
      </c>
      <c r="E11244" t="s">
        <v>8672</v>
      </c>
      <c r="F11244" t="s">
        <v>11</v>
      </c>
      <c r="G11244" t="s">
        <v>8673</v>
      </c>
      <c r="H11244" s="12">
        <v>-1.1901025408654999</v>
      </c>
      <c r="I11244" s="20">
        <v>-0.84687970329550999</v>
      </c>
      <c r="J11244" s="28">
        <v>0.397062176659294</v>
      </c>
      <c r="K11244" s="29">
        <v>0.98289565623980701</v>
      </c>
    </row>
    <row r="11245" spans="1:11" x14ac:dyDescent="0.35">
      <c r="A11245" s="9" t="str">
        <f>HYPERLINK("http://www.ensembl.org/id/WBGene00001578", "WBGene00001578")</f>
        <v>WBGene00001578</v>
      </c>
      <c r="B11245" s="9" t="str">
        <f>HYPERLINK("http://www.ncbi.nlm.nih.gov/gene/178633", "178633")</f>
        <v>178633</v>
      </c>
      <c r="C11245" s="9"/>
      <c r="D11245" t="str">
        <f>"ges-1"</f>
        <v>ges-1</v>
      </c>
      <c r="E11245" t="s">
        <v>7649</v>
      </c>
      <c r="F11245" t="s">
        <v>11</v>
      </c>
      <c r="H11245" s="12">
        <v>-1.1375702867206201</v>
      </c>
      <c r="I11245" s="20">
        <v>-0.50976415381025297</v>
      </c>
      <c r="J11245" s="28">
        <v>0.61021670174069598</v>
      </c>
      <c r="K11245" s="29">
        <v>0.98289565623980701</v>
      </c>
    </row>
    <row r="11246" spans="1:11" x14ac:dyDescent="0.35">
      <c r="A11246" s="9" t="str">
        <f>HYPERLINK("http://www.ensembl.org/id/WBGene00001579", "WBGene00001579")</f>
        <v>WBGene00001579</v>
      </c>
      <c r="B11246" s="9" t="str">
        <f>HYPERLINK("http://www.ncbi.nlm.nih.gov/gene/176885", "176885")</f>
        <v>176885</v>
      </c>
      <c r="C11246" s="9" t="str">
        <f>HYPERLINK("http://www.ncbi.nlm.nih.gov/gene/23191", "23191")</f>
        <v>23191</v>
      </c>
      <c r="D11246" t="str">
        <f>"gex-2"</f>
        <v>gex-2</v>
      </c>
      <c r="E11246" t="s">
        <v>6812</v>
      </c>
      <c r="F11246" t="s">
        <v>11</v>
      </c>
      <c r="G11246" t="s">
        <v>6813</v>
      </c>
      <c r="H11246" s="12">
        <v>-1.0905076221171699</v>
      </c>
      <c r="I11246" s="20">
        <v>-0.46017672819135602</v>
      </c>
      <c r="J11246" s="28">
        <v>0.64538937359337401</v>
      </c>
      <c r="K11246" s="29">
        <v>0.98289565623980701</v>
      </c>
    </row>
    <row r="11247" spans="1:11" x14ac:dyDescent="0.35">
      <c r="A11247" s="9" t="str">
        <f>HYPERLINK("http://www.ensembl.org/id/WBGene00001580", "WBGene00001580")</f>
        <v>WBGene00001580</v>
      </c>
      <c r="B11247" s="9" t="str">
        <f>HYPERLINK("http://www.ncbi.nlm.nih.gov/gene/178191", "178191")</f>
        <v>178191</v>
      </c>
      <c r="C11247" s="9" t="str">
        <f>HYPERLINK("http://www.ncbi.nlm.nih.gov/gene/10787", "10787")</f>
        <v>10787</v>
      </c>
      <c r="D11247" t="str">
        <f>"gex-3"</f>
        <v>gex-3</v>
      </c>
      <c r="E11247" t="s">
        <v>6231</v>
      </c>
      <c r="F11247" t="s">
        <v>11</v>
      </c>
      <c r="H11247" s="12">
        <v>-1.0547562978874301</v>
      </c>
      <c r="I11247" s="20">
        <v>-0.26041201799019398</v>
      </c>
      <c r="J11247" s="28">
        <v>0.79454597365463198</v>
      </c>
      <c r="K11247" s="29">
        <v>0.98289565623980701</v>
      </c>
    </row>
    <row r="11248" spans="1:11" x14ac:dyDescent="0.35">
      <c r="A11248" s="9" t="str">
        <f>HYPERLINK("http://www.ensembl.org/id/WBGene00001581", "WBGene00001581")</f>
        <v>WBGene00001581</v>
      </c>
      <c r="B11248" s="9" t="str">
        <f>HYPERLINK("http://www.ncbi.nlm.nih.gov/gene/179022", "179022")</f>
        <v>179022</v>
      </c>
      <c r="C11248" s="9"/>
      <c r="D11248" t="str">
        <f>"gfi-1"</f>
        <v>gfi-1</v>
      </c>
      <c r="E11248" t="s">
        <v>3704</v>
      </c>
      <c r="F11248" t="s">
        <v>11</v>
      </c>
      <c r="G11248" t="s">
        <v>9079</v>
      </c>
      <c r="H11248" s="12">
        <v>-1.21924567799394</v>
      </c>
      <c r="I11248" s="20">
        <v>-0.74505985144714304</v>
      </c>
      <c r="J11248" s="28">
        <v>0.45623553869062</v>
      </c>
      <c r="K11248" s="29">
        <v>0.98289565623980701</v>
      </c>
    </row>
    <row r="11249" spans="1:11" x14ac:dyDescent="0.35">
      <c r="A11249" s="9" t="str">
        <f>HYPERLINK("http://www.ensembl.org/id/WBGene00001583", "WBGene00001583")</f>
        <v>WBGene00001583</v>
      </c>
      <c r="B11249" s="9" t="str">
        <f>HYPERLINK("http://www.ncbi.nlm.nih.gov/gene/181544", "181544")</f>
        <v>181544</v>
      </c>
      <c r="C11249" s="9"/>
      <c r="D11249" t="str">
        <f>"gfi-3"</f>
        <v>gfi-3</v>
      </c>
      <c r="F11249" t="s">
        <v>11</v>
      </c>
      <c r="G11249" t="s">
        <v>5626</v>
      </c>
      <c r="H11249" s="12">
        <v>1.13319191932944</v>
      </c>
      <c r="I11249" s="20">
        <v>0.51404466742047705</v>
      </c>
      <c r="J11249" s="28">
        <v>0.60722076177907003</v>
      </c>
      <c r="K11249" s="29">
        <v>0.98289565623980701</v>
      </c>
    </row>
    <row r="11250" spans="1:11" x14ac:dyDescent="0.35">
      <c r="A11250" s="9" t="str">
        <f>HYPERLINK("http://www.ensembl.org/id/WBGene00001585", "WBGene00001585")</f>
        <v>WBGene00001585</v>
      </c>
      <c r="B11250" s="9" t="str">
        <f>HYPERLINK("http://www.ncbi.nlm.nih.gov/gene/187434", "187434")</f>
        <v>187434</v>
      </c>
      <c r="C11250" s="9" t="str">
        <f>HYPERLINK("http://www.ncbi.nlm.nih.gov/gene/8089", "8089")</f>
        <v>8089</v>
      </c>
      <c r="D11250" t="str">
        <f>"gfl-1"</f>
        <v>gfl-1</v>
      </c>
      <c r="E11250" t="s">
        <v>8216</v>
      </c>
      <c r="F11250" t="s">
        <v>11</v>
      </c>
      <c r="G11250" t="s">
        <v>8217</v>
      </c>
      <c r="H11250" s="12">
        <v>-1.1663141767282099</v>
      </c>
      <c r="I11250" s="20">
        <v>-0.64036117841910301</v>
      </c>
      <c r="J11250" s="28">
        <v>0.52193781557819996</v>
      </c>
      <c r="K11250" s="29">
        <v>0.98289565623980701</v>
      </c>
    </row>
    <row r="11251" spans="1:11" x14ac:dyDescent="0.35">
      <c r="A11251" s="9" t="str">
        <f>HYPERLINK("http://www.ensembl.org/id/WBGene00009246", "WBGene00009246")</f>
        <v>WBGene00009246</v>
      </c>
      <c r="B11251" s="9" t="str">
        <f>HYPERLINK("http://www.ncbi.nlm.nih.gov/gene/174956", "174956")</f>
        <v>174956</v>
      </c>
      <c r="C11251" s="9" t="str">
        <f>HYPERLINK("http://www.ncbi.nlm.nih.gov/gene/85476", "85476")</f>
        <v>85476</v>
      </c>
      <c r="D11251" t="str">
        <f>"gfm-1"</f>
        <v>gfm-1</v>
      </c>
      <c r="E11251" t="s">
        <v>7955</v>
      </c>
      <c r="F11251" t="s">
        <v>11</v>
      </c>
      <c r="G11251" t="s">
        <v>5962</v>
      </c>
      <c r="H11251" s="12">
        <v>-1.1527754741865901</v>
      </c>
      <c r="I11251" s="20">
        <v>-0.72074526491735702</v>
      </c>
      <c r="J11251" s="28">
        <v>0.471066257200973</v>
      </c>
      <c r="K11251" s="29">
        <v>0.98289565623980701</v>
      </c>
    </row>
    <row r="11252" spans="1:11" x14ac:dyDescent="0.35">
      <c r="A11252" s="9" t="str">
        <f>HYPERLINK("http://www.ensembl.org/id/WBGene00013923", "WBGene00013923")</f>
        <v>WBGene00013923</v>
      </c>
      <c r="B11252" s="9" t="str">
        <f>HYPERLINK("http://www.ncbi.nlm.nih.gov/gene/191210", "191210")</f>
        <v>191210</v>
      </c>
      <c r="C11252" s="9"/>
      <c r="D11252" t="str">
        <f>"ghi-1"</f>
        <v>ghi-1</v>
      </c>
      <c r="E11252" t="s">
        <v>8867</v>
      </c>
      <c r="F11252" t="s">
        <v>11</v>
      </c>
      <c r="G11252" t="s">
        <v>2037</v>
      </c>
      <c r="H11252" s="12">
        <v>-1.20331199292001</v>
      </c>
      <c r="I11252" s="20">
        <v>-0.402966006396066</v>
      </c>
      <c r="J11252" s="28">
        <v>0.68697323218149797</v>
      </c>
      <c r="K11252" s="29">
        <v>0.98289565623980701</v>
      </c>
    </row>
    <row r="11253" spans="1:11" x14ac:dyDescent="0.35">
      <c r="A11253" s="9" t="str">
        <f>HYPERLINK("http://www.ensembl.org/id/WBGene00044008", "WBGene00044008")</f>
        <v>WBGene00044008</v>
      </c>
      <c r="B11253" s="9" t="str">
        <f>HYPERLINK("http://www.ncbi.nlm.nih.gov/gene/3564968", "3564968")</f>
        <v>3564968</v>
      </c>
      <c r="C11253" s="9"/>
      <c r="D11253" t="str">
        <f>"gip-2"</f>
        <v>gip-2</v>
      </c>
      <c r="E11253" t="s">
        <v>9776</v>
      </c>
      <c r="F11253" t="s">
        <v>11</v>
      </c>
      <c r="H11253" s="12">
        <v>-1.29979633816499</v>
      </c>
      <c r="I11253" s="20">
        <v>-1.18223323880482</v>
      </c>
      <c r="J11253" s="28">
        <v>0.23711316727506099</v>
      </c>
      <c r="K11253" s="29">
        <v>0.98289565623980701</v>
      </c>
    </row>
    <row r="11254" spans="1:11" x14ac:dyDescent="0.35">
      <c r="A11254" s="9" t="str">
        <f>HYPERLINK("http://www.ensembl.org/id/WBGene00009681", "WBGene00009681")</f>
        <v>WBGene00009681</v>
      </c>
      <c r="B11254" s="9" t="str">
        <f>HYPERLINK("http://www.ncbi.nlm.nih.gov/gene/177865", "177865")</f>
        <v>177865</v>
      </c>
      <c r="C11254" s="9" t="str">
        <f>HYPERLINK("http://www.ncbi.nlm.nih.gov/gene/10755", "10755")</f>
        <v>10755</v>
      </c>
      <c r="D11254" t="str">
        <f>"gipc-2"</f>
        <v>gipc-2</v>
      </c>
      <c r="E11254" t="s">
        <v>9759</v>
      </c>
      <c r="F11254" t="s">
        <v>11</v>
      </c>
      <c r="G11254" t="s">
        <v>54</v>
      </c>
      <c r="H11254" s="12">
        <v>-1.29524988998142</v>
      </c>
      <c r="I11254" s="20">
        <v>-0.80565179742406101</v>
      </c>
      <c r="J11254" s="28">
        <v>0.42044365030361103</v>
      </c>
      <c r="K11254" s="29">
        <v>0.98289565623980701</v>
      </c>
    </row>
    <row r="11255" spans="1:11" x14ac:dyDescent="0.35">
      <c r="A11255" s="9" t="str">
        <f>HYPERLINK("http://www.ensembl.org/id/WBGene00014030", "WBGene00014030")</f>
        <v>WBGene00014030</v>
      </c>
      <c r="B11255" s="9" t="str">
        <f>HYPERLINK("http://www.ncbi.nlm.nih.gov/gene/176261", "176261")</f>
        <v>176261</v>
      </c>
      <c r="C11255" s="9"/>
      <c r="D11255" t="str">
        <f>"glb-1"</f>
        <v>glb-1</v>
      </c>
      <c r="E11255" t="s">
        <v>5812</v>
      </c>
      <c r="F11255" t="s">
        <v>11</v>
      </c>
      <c r="G11255" t="s">
        <v>5813</v>
      </c>
      <c r="H11255" s="12">
        <v>1.0978945204850901</v>
      </c>
      <c r="I11255" s="20">
        <v>0.48457229772934601</v>
      </c>
      <c r="J11255" s="28">
        <v>0.62797976829812197</v>
      </c>
      <c r="K11255" s="29">
        <v>0.98289565623980701</v>
      </c>
    </row>
    <row r="11256" spans="1:11" x14ac:dyDescent="0.35">
      <c r="A11256" s="9" t="str">
        <f>HYPERLINK("http://www.ensembl.org/id/WBGene00016215", "WBGene00016215")</f>
        <v>WBGene00016215</v>
      </c>
      <c r="B11256" s="9" t="str">
        <f>HYPERLINK("http://www.ncbi.nlm.nih.gov/gene/183015", "183015")</f>
        <v>183015</v>
      </c>
      <c r="C11256" s="9"/>
      <c r="D11256" t="str">
        <f>"glb-10"</f>
        <v>glb-10</v>
      </c>
      <c r="E11256" t="s">
        <v>633</v>
      </c>
      <c r="F11256" t="s">
        <v>11</v>
      </c>
      <c r="G11256" t="s">
        <v>4869</v>
      </c>
      <c r="H11256" s="12">
        <v>1.3251133841877001</v>
      </c>
      <c r="I11256" s="20">
        <v>1.0972083392029901</v>
      </c>
      <c r="J11256" s="28">
        <v>0.272550328569585</v>
      </c>
      <c r="K11256" s="29">
        <v>0.98289565623980701</v>
      </c>
    </row>
    <row r="11257" spans="1:11" x14ac:dyDescent="0.35">
      <c r="A11257" s="9" t="str">
        <f>HYPERLINK("http://www.ensembl.org/id/WBGene00008256", "WBGene00008256")</f>
        <v>WBGene00008256</v>
      </c>
      <c r="B11257" s="9" t="str">
        <f>HYPERLINK("http://www.ncbi.nlm.nih.gov/gene/174655", "174655")</f>
        <v>174655</v>
      </c>
      <c r="C11257" s="9"/>
      <c r="D11257" t="str">
        <f>"glb-12"</f>
        <v>glb-12</v>
      </c>
      <c r="E11257" t="s">
        <v>633</v>
      </c>
      <c r="F11257" t="s">
        <v>11</v>
      </c>
      <c r="G11257" t="s">
        <v>3081</v>
      </c>
      <c r="H11257" s="12">
        <v>1.73911606415565</v>
      </c>
      <c r="I11257" s="20">
        <v>1.0876283530109601</v>
      </c>
      <c r="J11257" s="28">
        <v>0.27675920872517401</v>
      </c>
      <c r="K11257" s="29">
        <v>0.98289565623980701</v>
      </c>
    </row>
    <row r="11258" spans="1:11" x14ac:dyDescent="0.35">
      <c r="A11258" s="9" t="str">
        <f>HYPERLINK("http://www.ensembl.org/id/WBGene00008996", "WBGene00008996")</f>
        <v>WBGene00008996</v>
      </c>
      <c r="B11258" s="9" t="str">
        <f>HYPERLINK("http://www.ncbi.nlm.nih.gov/gene/184751", "184751")</f>
        <v>184751</v>
      </c>
      <c r="C11258" s="9"/>
      <c r="D11258" t="str">
        <f>"glb-14"</f>
        <v>glb-14</v>
      </c>
      <c r="E11258" t="s">
        <v>633</v>
      </c>
      <c r="F11258" t="s">
        <v>11</v>
      </c>
      <c r="G11258" t="s">
        <v>4659</v>
      </c>
      <c r="H11258" s="12">
        <v>1.5279287369232299</v>
      </c>
      <c r="I11258" s="20">
        <v>0.72226884642453704</v>
      </c>
      <c r="J11258" s="28">
        <v>0.47012920266598301</v>
      </c>
      <c r="K11258" s="29">
        <v>0.98289565623980701</v>
      </c>
    </row>
    <row r="11259" spans="1:11" x14ac:dyDescent="0.35">
      <c r="A11259" s="9" t="str">
        <f>HYPERLINK("http://www.ensembl.org/id/WBGene00010146", "WBGene00010146")</f>
        <v>WBGene00010146</v>
      </c>
      <c r="B11259" s="9" t="str">
        <f>HYPERLINK("http://www.ncbi.nlm.nih.gov/gene/3565034", "3565034")</f>
        <v>3565034</v>
      </c>
      <c r="C11259" s="9"/>
      <c r="D11259" t="str">
        <f>"glb-19"</f>
        <v>glb-19</v>
      </c>
      <c r="E11259" t="s">
        <v>633</v>
      </c>
      <c r="F11259" t="s">
        <v>11</v>
      </c>
      <c r="G11259" t="s">
        <v>634</v>
      </c>
      <c r="H11259" s="12">
        <v>1.2899470363183401</v>
      </c>
      <c r="I11259" s="20">
        <v>0.92674941018817902</v>
      </c>
      <c r="J11259" s="28">
        <v>0.35405665695974298</v>
      </c>
      <c r="K11259" s="29">
        <v>0.98289565623980701</v>
      </c>
    </row>
    <row r="11260" spans="1:11" x14ac:dyDescent="0.35">
      <c r="A11260" s="9" t="str">
        <f>HYPERLINK("http://www.ensembl.org/id/WBGene00010970", "WBGene00010970")</f>
        <v>WBGene00010970</v>
      </c>
      <c r="B11260" s="9" t="str">
        <f>HYPERLINK("http://www.ncbi.nlm.nih.gov/gene/187506", "187506")</f>
        <v>187506</v>
      </c>
      <c r="C11260" s="9"/>
      <c r="D11260" t="str">
        <f>"glb-20"</f>
        <v>glb-20</v>
      </c>
      <c r="E11260" t="s">
        <v>633</v>
      </c>
      <c r="F11260" t="s">
        <v>11</v>
      </c>
      <c r="G11260" t="s">
        <v>867</v>
      </c>
      <c r="H11260" s="12">
        <v>1.2341447310272899</v>
      </c>
      <c r="I11260" s="20">
        <v>0.86330835922945703</v>
      </c>
      <c r="J11260" s="28">
        <v>0.38796794938995999</v>
      </c>
      <c r="K11260" s="29">
        <v>0.98289565623980701</v>
      </c>
    </row>
    <row r="11261" spans="1:11" x14ac:dyDescent="0.35">
      <c r="A11261" s="9" t="str">
        <f>HYPERLINK("http://www.ensembl.org/id/WBGene00011296", "WBGene00011296")</f>
        <v>WBGene00011296</v>
      </c>
      <c r="B11261" s="9" t="str">
        <f>HYPERLINK("http://www.ncbi.nlm.nih.gov/gene/3565100", "3565100")</f>
        <v>3565100</v>
      </c>
      <c r="C11261" s="9"/>
      <c r="D11261" t="str">
        <f>"glb-21"</f>
        <v>glb-21</v>
      </c>
      <c r="E11261" t="s">
        <v>633</v>
      </c>
      <c r="F11261" t="s">
        <v>11</v>
      </c>
      <c r="G11261" t="s">
        <v>634</v>
      </c>
      <c r="H11261" s="12">
        <v>1.9198046163068601</v>
      </c>
      <c r="I11261" s="20">
        <v>1.0416389343957799</v>
      </c>
      <c r="J11261" s="28">
        <v>0.29757911046499003</v>
      </c>
      <c r="K11261" s="29">
        <v>0.98289565623980701</v>
      </c>
    </row>
    <row r="11262" spans="1:11" x14ac:dyDescent="0.35">
      <c r="A11262" s="9" t="str">
        <f>HYPERLINK("http://www.ensembl.org/id/WBGene00011251", "WBGene00011251")</f>
        <v>WBGene00011251</v>
      </c>
      <c r="B11262" s="9" t="str">
        <f>HYPERLINK("http://www.ncbi.nlm.nih.gov/gene/187832", "187832")</f>
        <v>187832</v>
      </c>
      <c r="C11262" s="9"/>
      <c r="D11262" t="str">
        <f>"glb-22"</f>
        <v>glb-22</v>
      </c>
      <c r="E11262" t="s">
        <v>633</v>
      </c>
      <c r="F11262" t="s">
        <v>11</v>
      </c>
      <c r="G11262" t="s">
        <v>867</v>
      </c>
      <c r="H11262" s="12">
        <v>1.25175695306739</v>
      </c>
      <c r="I11262" s="20">
        <v>0.76744768419973897</v>
      </c>
      <c r="J11262" s="28">
        <v>0.44281538669925502</v>
      </c>
      <c r="K11262" s="29">
        <v>0.98289565623980701</v>
      </c>
    </row>
    <row r="11263" spans="1:11" x14ac:dyDescent="0.35">
      <c r="A11263" s="9" t="str">
        <f>HYPERLINK("http://www.ensembl.org/id/WBGene00020045", "WBGene00020045")</f>
        <v>WBGene00020045</v>
      </c>
      <c r="B11263" s="9" t="str">
        <f>HYPERLINK("http://www.ncbi.nlm.nih.gov/gene/187853", "187853")</f>
        <v>187853</v>
      </c>
      <c r="C11263" s="9"/>
      <c r="D11263" t="str">
        <f>"glb-23"</f>
        <v>glb-23</v>
      </c>
      <c r="E11263" t="s">
        <v>633</v>
      </c>
      <c r="F11263" t="s">
        <v>11</v>
      </c>
      <c r="G11263" t="s">
        <v>3081</v>
      </c>
      <c r="H11263" s="12">
        <v>1.18231415432389</v>
      </c>
      <c r="I11263" s="20">
        <v>0.46019558633434798</v>
      </c>
      <c r="J11263" s="28">
        <v>0.64537583874382598</v>
      </c>
      <c r="K11263" s="29">
        <v>0.98289565623980701</v>
      </c>
    </row>
    <row r="11264" spans="1:11" x14ac:dyDescent="0.35">
      <c r="A11264" s="9" t="str">
        <f>HYPERLINK("http://www.ensembl.org/id/WBGene00012178", "WBGene00012178")</f>
        <v>WBGene00012178</v>
      </c>
      <c r="B11264" s="9" t="str">
        <f>HYPERLINK("http://www.ncbi.nlm.nih.gov/gene/189091", "189091")</f>
        <v>189091</v>
      </c>
      <c r="C11264" s="9"/>
      <c r="D11264" t="str">
        <f>"glb-27"</f>
        <v>glb-27</v>
      </c>
      <c r="E11264" t="s">
        <v>633</v>
      </c>
      <c r="F11264" t="s">
        <v>11</v>
      </c>
      <c r="G11264" t="s">
        <v>867</v>
      </c>
      <c r="H11264" s="12">
        <v>-1.0845709673425299</v>
      </c>
      <c r="I11264" s="20">
        <v>-0.37274930840304299</v>
      </c>
      <c r="J11264" s="28">
        <v>0.70933503408706</v>
      </c>
      <c r="K11264" s="29">
        <v>0.98289565623980701</v>
      </c>
    </row>
    <row r="11265" spans="1:11" x14ac:dyDescent="0.35">
      <c r="A11265" s="9" t="str">
        <f>HYPERLINK("http://www.ensembl.org/id/WBGene00021259", "WBGene00021259")</f>
        <v>WBGene00021259</v>
      </c>
      <c r="B11265" s="9" t="str">
        <f>HYPERLINK("http://www.ncbi.nlm.nih.gov/gene/189513", "189513")</f>
        <v>189513</v>
      </c>
      <c r="C11265" s="9"/>
      <c r="D11265" t="str">
        <f>"glb-30"</f>
        <v>glb-30</v>
      </c>
      <c r="E11265" t="s">
        <v>2130</v>
      </c>
      <c r="F11265" t="s">
        <v>11</v>
      </c>
      <c r="G11265" t="s">
        <v>3081</v>
      </c>
      <c r="H11265" s="12">
        <v>1.7574456166652399</v>
      </c>
      <c r="I11265" s="20">
        <v>1.18823044486062</v>
      </c>
      <c r="J11265" s="28">
        <v>0.23474263220431699</v>
      </c>
      <c r="K11265" s="29">
        <v>0.98289565623980701</v>
      </c>
    </row>
    <row r="11266" spans="1:11" x14ac:dyDescent="0.35">
      <c r="A11266" s="9" t="str">
        <f>HYPERLINK("http://www.ensembl.org/id/WBGene00021972", "WBGene00021972")</f>
        <v>WBGene00021972</v>
      </c>
      <c r="B11266" s="9" t="str">
        <f>HYPERLINK("http://www.ncbi.nlm.nih.gov/gene/190362", "190362")</f>
        <v>190362</v>
      </c>
      <c r="C11266" s="9"/>
      <c r="D11266" t="str">
        <f>"glb-31"</f>
        <v>glb-31</v>
      </c>
      <c r="E11266" t="s">
        <v>633</v>
      </c>
      <c r="F11266" t="s">
        <v>11</v>
      </c>
      <c r="G11266" t="s">
        <v>867</v>
      </c>
      <c r="H11266" s="12">
        <v>-2.2169246635754098</v>
      </c>
      <c r="I11266" s="20">
        <v>-0.466851958289903</v>
      </c>
      <c r="J11266" s="28">
        <v>0.64060579899084702</v>
      </c>
      <c r="K11266" s="29">
        <v>0.98289565623980701</v>
      </c>
    </row>
    <row r="11267" spans="1:11" x14ac:dyDescent="0.35">
      <c r="A11267" s="9" t="str">
        <f>HYPERLINK("http://www.ensembl.org/id/WBGene00022284", "WBGene00022284")</f>
        <v>WBGene00022284</v>
      </c>
      <c r="B11267" s="9" t="str">
        <f>HYPERLINK("http://www.ncbi.nlm.nih.gov/gene/178627", "178627")</f>
        <v>178627</v>
      </c>
      <c r="C11267" s="9"/>
      <c r="D11267" t="str">
        <f>"glb-33"</f>
        <v>glb-33</v>
      </c>
      <c r="E11267" t="s">
        <v>633</v>
      </c>
      <c r="F11267" t="s">
        <v>11</v>
      </c>
      <c r="G11267" t="s">
        <v>4930</v>
      </c>
      <c r="H11267" s="12">
        <v>1.2937700500156499</v>
      </c>
      <c r="I11267" s="20">
        <v>1.09385640700456</v>
      </c>
      <c r="J11267" s="28">
        <v>0.27401796040588899</v>
      </c>
      <c r="K11267" s="29">
        <v>0.98289565623980701</v>
      </c>
    </row>
    <row r="11268" spans="1:11" x14ac:dyDescent="0.35">
      <c r="A11268" s="9" t="str">
        <f>HYPERLINK("http://www.ensembl.org/id/WBGene00015964", "WBGene00015964")</f>
        <v>WBGene00015964</v>
      </c>
      <c r="B11268" s="9" t="str">
        <f>HYPERLINK("http://www.ncbi.nlm.nih.gov/gene/182776", "182776")</f>
        <v>182776</v>
      </c>
      <c r="C11268" s="9"/>
      <c r="D11268" t="str">
        <f>"glb-5"</f>
        <v>glb-5</v>
      </c>
      <c r="E11268" t="s">
        <v>633</v>
      </c>
      <c r="F11268" t="s">
        <v>11</v>
      </c>
      <c r="G11268" t="s">
        <v>4908</v>
      </c>
      <c r="H11268" s="12">
        <v>1.3077253127310799</v>
      </c>
      <c r="I11268" s="20">
        <v>0.42226848566152497</v>
      </c>
      <c r="J11268" s="28">
        <v>0.67282905804876703</v>
      </c>
      <c r="K11268" s="29">
        <v>0.98289565623980701</v>
      </c>
    </row>
    <row r="11269" spans="1:11" x14ac:dyDescent="0.35">
      <c r="A11269" s="9" t="str">
        <f>HYPERLINK("http://www.ensembl.org/id/WBGene00016024", "WBGene00016024")</f>
        <v>WBGene00016024</v>
      </c>
      <c r="B11269" s="9" t="str">
        <f>HYPERLINK("http://www.ncbi.nlm.nih.gov/gene/177008", "177008")</f>
        <v>177008</v>
      </c>
      <c r="C11269" s="9"/>
      <c r="D11269" t="str">
        <f>"glb-7"</f>
        <v>glb-7</v>
      </c>
      <c r="E11269" t="s">
        <v>633</v>
      </c>
      <c r="F11269" t="s">
        <v>11</v>
      </c>
      <c r="G11269" t="s">
        <v>3081</v>
      </c>
      <c r="H11269" s="12">
        <v>1.3635721353519601</v>
      </c>
      <c r="I11269" s="20">
        <v>0.92591253150265596</v>
      </c>
      <c r="J11269" s="28">
        <v>0.35449143829615398</v>
      </c>
      <c r="K11269" s="29">
        <v>0.98289565623980701</v>
      </c>
    </row>
    <row r="11270" spans="1:11" x14ac:dyDescent="0.35">
      <c r="A11270" s="9" t="str">
        <f>HYPERLINK("http://www.ensembl.org/id/WBGene00007741", "WBGene00007741")</f>
        <v>WBGene00007741</v>
      </c>
      <c r="B11270" s="9" t="str">
        <f>HYPERLINK("http://www.ncbi.nlm.nih.gov/gene/182935", "182935")</f>
        <v>182935</v>
      </c>
      <c r="C11270" s="9"/>
      <c r="D11270" t="str">
        <f>"glb-8"</f>
        <v>glb-8</v>
      </c>
      <c r="E11270" t="s">
        <v>633</v>
      </c>
      <c r="F11270" t="s">
        <v>11</v>
      </c>
      <c r="G11270" t="s">
        <v>634</v>
      </c>
      <c r="H11270" s="12">
        <v>1.35913516885081</v>
      </c>
      <c r="I11270" s="20">
        <v>0.65699852387309998</v>
      </c>
      <c r="J11270" s="28">
        <v>0.51118186560779699</v>
      </c>
      <c r="K11270" s="29">
        <v>0.98289565623980701</v>
      </c>
    </row>
    <row r="11271" spans="1:11" x14ac:dyDescent="0.35">
      <c r="A11271" s="9" t="str">
        <f>HYPERLINK("http://www.ensembl.org/id/WBGene00001591", "WBGene00001591")</f>
        <v>WBGene00001591</v>
      </c>
      <c r="B11271" s="9" t="str">
        <f>HYPERLINK("http://www.ncbi.nlm.nih.gov/gene/180086", "180086")</f>
        <v>180086</v>
      </c>
      <c r="C11271" s="9" t="str">
        <f>HYPERLINK("http://www.ncbi.nlm.nih.gov/gene/2741", "2741")</f>
        <v>2741</v>
      </c>
      <c r="D11271" t="str">
        <f>"glc-1"</f>
        <v>glc-1</v>
      </c>
      <c r="E11271" t="s">
        <v>4897</v>
      </c>
      <c r="F11271" t="s">
        <v>11</v>
      </c>
      <c r="G11271" t="s">
        <v>774</v>
      </c>
      <c r="H11271" s="12">
        <v>1.31139323615114</v>
      </c>
      <c r="I11271" s="20">
        <v>1.0455940107153501</v>
      </c>
      <c r="J11271" s="28">
        <v>0.29574851568108501</v>
      </c>
      <c r="K11271" s="29">
        <v>0.98289565623980701</v>
      </c>
    </row>
    <row r="11272" spans="1:11" x14ac:dyDescent="0.35">
      <c r="A11272" s="9" t="str">
        <f>HYPERLINK("http://www.ensembl.org/id/WBGene00011781", "WBGene00011781")</f>
        <v>WBGene00011781</v>
      </c>
      <c r="B11272" s="9" t="str">
        <f>HYPERLINK("http://www.ncbi.nlm.nih.gov/gene/188533", "188533")</f>
        <v>188533</v>
      </c>
      <c r="C11272" s="9"/>
      <c r="D11272" t="str">
        <f>"glct-3"</f>
        <v>glct-3</v>
      </c>
      <c r="E11272" t="s">
        <v>4381</v>
      </c>
      <c r="F11272" t="s">
        <v>11</v>
      </c>
      <c r="G11272" t="s">
        <v>4382</v>
      </c>
      <c r="H11272" s="12">
        <v>2.4578120077400301</v>
      </c>
      <c r="I11272" s="20">
        <v>0.26093350314551</v>
      </c>
      <c r="J11272" s="28">
        <v>0.79414378780213601</v>
      </c>
      <c r="K11272" s="29">
        <v>0.98289565623980701</v>
      </c>
    </row>
    <row r="11273" spans="1:11" x14ac:dyDescent="0.35">
      <c r="A11273" s="9" t="str">
        <f>HYPERLINK("http://www.ensembl.org/id/WBGene00019546", "WBGene00019546")</f>
        <v>WBGene00019546</v>
      </c>
      <c r="B11273" s="9" t="str">
        <f>HYPERLINK("http://www.ncbi.nlm.nih.gov/gene/4363062", "4363062")</f>
        <v>4363062</v>
      </c>
      <c r="C11273" s="9"/>
      <c r="D11273" t="str">
        <f>"glct-6"</f>
        <v>glct-6</v>
      </c>
      <c r="E11273" t="s">
        <v>4381</v>
      </c>
      <c r="F11273" t="s">
        <v>11</v>
      </c>
      <c r="G11273" t="s">
        <v>5135</v>
      </c>
      <c r="H11273" s="12">
        <v>1.23295553726596</v>
      </c>
      <c r="I11273" s="20">
        <v>0.83882890743469796</v>
      </c>
      <c r="J11273" s="28">
        <v>0.40156532654478599</v>
      </c>
      <c r="K11273" s="29">
        <v>0.98289565623980701</v>
      </c>
    </row>
    <row r="11274" spans="1:11" x14ac:dyDescent="0.35">
      <c r="A11274" s="9" t="str">
        <f>HYPERLINK("http://www.ensembl.org/id/WBGene00020022", "WBGene00020022")</f>
        <v>WBGene00020022</v>
      </c>
      <c r="B11274" s="9" t="str">
        <f>HYPERLINK("http://www.ncbi.nlm.nih.gov/gene/174012", "174012")</f>
        <v>174012</v>
      </c>
      <c r="C11274" s="9" t="str">
        <f>HYPERLINK("http://www.ncbi.nlm.nih.gov/gene/2731", "2731")</f>
        <v>2731</v>
      </c>
      <c r="D11274" t="str">
        <f>"gldc-1"</f>
        <v>gldc-1</v>
      </c>
      <c r="E11274" t="s">
        <v>6581</v>
      </c>
      <c r="F11274" t="s">
        <v>11</v>
      </c>
      <c r="G11274" t="s">
        <v>6582</v>
      </c>
      <c r="H11274" s="12">
        <v>-1.07772691702464</v>
      </c>
      <c r="I11274" s="20">
        <v>-0.39200852043840301</v>
      </c>
      <c r="J11274" s="28">
        <v>0.69505191825385704</v>
      </c>
      <c r="K11274" s="29">
        <v>0.98289565623980701</v>
      </c>
    </row>
    <row r="11275" spans="1:11" x14ac:dyDescent="0.35">
      <c r="A11275" s="9" t="str">
        <f>HYPERLINK("http://www.ensembl.org/id/WBGene00019154", "WBGene00019154")</f>
        <v>WBGene00019154</v>
      </c>
      <c r="B11275" s="9" t="str">
        <f>HYPERLINK("http://www.ncbi.nlm.nih.gov/gene/177358", "177358")</f>
        <v>177358</v>
      </c>
      <c r="C11275" s="9"/>
      <c r="D11275" t="str">
        <f>"glf-1"</f>
        <v>glf-1</v>
      </c>
      <c r="E11275" t="s">
        <v>8541</v>
      </c>
      <c r="F11275" t="s">
        <v>11</v>
      </c>
      <c r="G11275" t="s">
        <v>8542</v>
      </c>
      <c r="H11275" s="12">
        <v>-1.1827412003294899</v>
      </c>
      <c r="I11275" s="20">
        <v>-0.58825597625517501</v>
      </c>
      <c r="J11275" s="28">
        <v>0.55636049023765199</v>
      </c>
      <c r="K11275" s="29">
        <v>0.98289565623980701</v>
      </c>
    </row>
    <row r="11276" spans="1:11" x14ac:dyDescent="0.35">
      <c r="A11276" s="9" t="str">
        <f>HYPERLINK("http://www.ensembl.org/id/WBGene00001602", "WBGene00001602")</f>
        <v>WBGene00001602</v>
      </c>
      <c r="B11276" s="9" t="str">
        <f>HYPERLINK("http://www.ncbi.nlm.nih.gov/gene/180875", "180875")</f>
        <v>180875</v>
      </c>
      <c r="C11276" s="9" t="str">
        <f>HYPERLINK("http://www.ncbi.nlm.nih.gov/gene/2752", "2752")</f>
        <v>2752</v>
      </c>
      <c r="D11276" t="str">
        <f>"gln-1"</f>
        <v>gln-1</v>
      </c>
      <c r="E11276" t="s">
        <v>42</v>
      </c>
      <c r="F11276" t="s">
        <v>11</v>
      </c>
      <c r="G11276" t="s">
        <v>43</v>
      </c>
      <c r="H11276" s="12">
        <v>1.06177218353559</v>
      </c>
      <c r="I11276" s="20">
        <v>0.312152508123068</v>
      </c>
      <c r="J11276" s="28">
        <v>0.75492462299031005</v>
      </c>
      <c r="K11276" s="29">
        <v>0.98289565623980701</v>
      </c>
    </row>
    <row r="11277" spans="1:11" x14ac:dyDescent="0.35">
      <c r="A11277" s="9" t="str">
        <f>HYPERLINK("http://www.ensembl.org/id/WBGene00001603", "WBGene00001603")</f>
        <v>WBGene00001603</v>
      </c>
      <c r="B11277" s="9" t="str">
        <f>HYPERLINK("http://www.ncbi.nlm.nih.gov/gene/176407", "176407")</f>
        <v>176407</v>
      </c>
      <c r="C11277" s="9"/>
      <c r="D11277" t="str">
        <f>"gln-2"</f>
        <v>gln-2</v>
      </c>
      <c r="E11277" t="s">
        <v>8798</v>
      </c>
      <c r="F11277" t="s">
        <v>11</v>
      </c>
      <c r="G11277" t="s">
        <v>8799</v>
      </c>
      <c r="H11277" s="12">
        <v>-1.1977516561807799</v>
      </c>
      <c r="I11277" s="20">
        <v>-0.29686925439466799</v>
      </c>
      <c r="J11277" s="28">
        <v>0.76656632998336605</v>
      </c>
      <c r="K11277" s="29">
        <v>0.98289565623980701</v>
      </c>
    </row>
    <row r="11278" spans="1:11" x14ac:dyDescent="0.35">
      <c r="A11278" s="9" t="str">
        <f>HYPERLINK("http://www.ensembl.org/id/WBGene00007480", "WBGene00007480")</f>
        <v>WBGene00007480</v>
      </c>
      <c r="B11278" s="9" t="str">
        <f>HYPERLINK("http://www.ncbi.nlm.nih.gov/gene/175130", "175130")</f>
        <v>175130</v>
      </c>
      <c r="C11278" s="9" t="str">
        <f>HYPERLINK("http://www.ncbi.nlm.nih.gov/gene/2744", "2744")</f>
        <v>2744</v>
      </c>
      <c r="D11278" t="str">
        <f>"glna-1"</f>
        <v>glna-1</v>
      </c>
      <c r="E11278" t="s">
        <v>7646</v>
      </c>
      <c r="F11278" t="s">
        <v>11</v>
      </c>
      <c r="G11278" t="s">
        <v>7647</v>
      </c>
      <c r="H11278" s="12">
        <v>-1.13738391381209</v>
      </c>
      <c r="I11278" s="20">
        <v>-0.62832883618953805</v>
      </c>
      <c r="J11278" s="28">
        <v>0.52978854508518902</v>
      </c>
      <c r="K11278" s="29">
        <v>0.98289565623980701</v>
      </c>
    </row>
    <row r="11279" spans="1:11" x14ac:dyDescent="0.35">
      <c r="A11279" s="9" t="str">
        <f>HYPERLINK("http://www.ensembl.org/id/WBGene00008435", "WBGene00008435")</f>
        <v>WBGene00008435</v>
      </c>
      <c r="B11279" s="9" t="str">
        <f>HYPERLINK("http://www.ncbi.nlm.nih.gov/gene/174282", "174282")</f>
        <v>174282</v>
      </c>
      <c r="C11279" s="9" t="str">
        <f>HYPERLINK("http://www.ncbi.nlm.nih.gov/gene/2744", "2744")</f>
        <v>2744</v>
      </c>
      <c r="D11279" t="str">
        <f>"glna-2"</f>
        <v>glna-2</v>
      </c>
      <c r="E11279" t="s">
        <v>5207</v>
      </c>
      <c r="F11279" t="s">
        <v>11</v>
      </c>
      <c r="G11279" t="s">
        <v>5208</v>
      </c>
      <c r="H11279" s="12">
        <v>1.2163297477375199</v>
      </c>
      <c r="I11279" s="20">
        <v>0.91096972563871603</v>
      </c>
      <c r="J11279" s="28">
        <v>0.362311325334223</v>
      </c>
      <c r="K11279" s="29">
        <v>0.98289565623980701</v>
      </c>
    </row>
    <row r="11280" spans="1:11" x14ac:dyDescent="0.35">
      <c r="A11280" s="9" t="str">
        <f>HYPERLINK("http://www.ensembl.org/id/WBGene00011083", "WBGene00011083")</f>
        <v>WBGene00011083</v>
      </c>
      <c r="B11280" s="9" t="str">
        <f>HYPERLINK("http://www.ncbi.nlm.nih.gov/gene/3565633", "3565633")</f>
        <v>3565633</v>
      </c>
      <c r="C11280" s="9" t="str">
        <f>HYPERLINK("http://www.ncbi.nlm.nih.gov/gene/10981", "10981")</f>
        <v>10981</v>
      </c>
      <c r="D11280" t="str">
        <f>"glo-1"</f>
        <v>glo-1</v>
      </c>
      <c r="E11280" t="s">
        <v>5773</v>
      </c>
      <c r="F11280" t="s">
        <v>11</v>
      </c>
      <c r="G11280" t="s">
        <v>5774</v>
      </c>
      <c r="H11280" s="12">
        <v>1.1064685994924499</v>
      </c>
      <c r="I11280" s="20">
        <v>0.32033294596313999</v>
      </c>
      <c r="J11280" s="28">
        <v>0.74871595063570295</v>
      </c>
      <c r="K11280" s="29">
        <v>0.98289565623980701</v>
      </c>
    </row>
    <row r="11281" spans="1:11" x14ac:dyDescent="0.35">
      <c r="A11281" s="9" t="str">
        <f>HYPERLINK("http://www.ensembl.org/id/WBGene00006448", "WBGene00006448")</f>
        <v>WBGene00006448</v>
      </c>
      <c r="B11281" s="9" t="str">
        <f>HYPERLINK("http://www.ncbi.nlm.nih.gov/gene/175530", "175530")</f>
        <v>175530</v>
      </c>
      <c r="C11281" s="9" t="str">
        <f>HYPERLINK("http://www.ncbi.nlm.nih.gov/gene/51031", "51031")</f>
        <v>51031</v>
      </c>
      <c r="D11281" t="str">
        <f>"glod-4"</f>
        <v>glod-4</v>
      </c>
      <c r="E11281" t="s">
        <v>9713</v>
      </c>
      <c r="F11281" t="s">
        <v>11</v>
      </c>
      <c r="H11281" s="12">
        <v>-1.28526153402476</v>
      </c>
      <c r="I11281" s="20">
        <v>-1.1921716711911901</v>
      </c>
      <c r="J11281" s="28">
        <v>0.23319393887197701</v>
      </c>
      <c r="K11281" s="29">
        <v>0.98289565623980701</v>
      </c>
    </row>
    <row r="11282" spans="1:11" x14ac:dyDescent="0.35">
      <c r="A11282" s="9" t="str">
        <f>HYPERLINK("http://www.ensembl.org/id/WBGene00006936", "WBGene00006936")</f>
        <v>WBGene00006936</v>
      </c>
      <c r="B11282" s="9" t="str">
        <f>HYPERLINK("http://www.ncbi.nlm.nih.gov/gene/173224", "173224")</f>
        <v>173224</v>
      </c>
      <c r="C11282" s="9" t="str">
        <f>HYPERLINK("http://www.ncbi.nlm.nih.gov/gene/7407", "7407")</f>
        <v>7407</v>
      </c>
      <c r="D11282" t="str">
        <f>"glp-4"</f>
        <v>glp-4</v>
      </c>
      <c r="E11282" t="s">
        <v>9210</v>
      </c>
      <c r="F11282" t="s">
        <v>11</v>
      </c>
      <c r="G11282" t="s">
        <v>9211</v>
      </c>
      <c r="H11282" s="12">
        <v>-1.22813985242085</v>
      </c>
      <c r="I11282" s="20">
        <v>-1.0818188363282699</v>
      </c>
      <c r="J11282" s="28">
        <v>0.27933303505914803</v>
      </c>
      <c r="K11282" s="29">
        <v>0.98289565623980701</v>
      </c>
    </row>
    <row r="11283" spans="1:11" x14ac:dyDescent="0.35">
      <c r="A11283" s="9" t="str">
        <f>HYPERLINK("http://www.ensembl.org/id/WBGene00001614", "WBGene00001614")</f>
        <v>WBGene00001614</v>
      </c>
      <c r="B11283" s="9" t="str">
        <f>HYPERLINK("http://www.ncbi.nlm.nih.gov/gene/172449", "172449")</f>
        <v>172449</v>
      </c>
      <c r="C11283" s="9" t="str">
        <f>HYPERLINK("http://www.ncbi.nlm.nih.gov/gene/2898", "2898")</f>
        <v>2898</v>
      </c>
      <c r="D11283" t="str">
        <f>"glr-3"</f>
        <v>glr-3</v>
      </c>
      <c r="E11283" t="s">
        <v>492</v>
      </c>
      <c r="F11283" t="s">
        <v>11</v>
      </c>
      <c r="G11283" t="s">
        <v>4515</v>
      </c>
      <c r="H11283" s="12">
        <v>1.7899289920961099</v>
      </c>
      <c r="I11283" s="20">
        <v>0.65400442939361603</v>
      </c>
      <c r="J11283" s="28">
        <v>0.51310895192725603</v>
      </c>
      <c r="K11283" s="29">
        <v>0.98289565623980701</v>
      </c>
    </row>
    <row r="11284" spans="1:11" x14ac:dyDescent="0.35">
      <c r="A11284" s="9" t="str">
        <f>HYPERLINK("http://www.ensembl.org/id/WBGene00001617", "WBGene00001617")</f>
        <v>WBGene00001617</v>
      </c>
      <c r="B11284" s="9" t="str">
        <f>HYPERLINK("http://www.ncbi.nlm.nih.gov/gene/180955", "180955")</f>
        <v>180955</v>
      </c>
      <c r="C11284" s="9"/>
      <c r="D11284" t="str">
        <f>"glr-6"</f>
        <v>glr-6</v>
      </c>
      <c r="E11284" t="s">
        <v>492</v>
      </c>
      <c r="F11284" t="s">
        <v>11</v>
      </c>
      <c r="G11284" t="s">
        <v>1130</v>
      </c>
      <c r="H11284" s="12">
        <v>1.07964050604342</v>
      </c>
      <c r="I11284" s="20">
        <v>0.31233879420910399</v>
      </c>
      <c r="J11284" s="28">
        <v>0.75478306017235197</v>
      </c>
      <c r="K11284" s="29">
        <v>0.98289565623980701</v>
      </c>
    </row>
    <row r="11285" spans="1:11" x14ac:dyDescent="0.35">
      <c r="A11285" s="9" t="str">
        <f>HYPERLINK("http://www.ensembl.org/id/WBGene00001618", "WBGene00001618")</f>
        <v>WBGene00001618</v>
      </c>
      <c r="B11285" s="9" t="str">
        <f>HYPERLINK("http://www.ncbi.nlm.nih.gov/gene/180547", "180547")</f>
        <v>180547</v>
      </c>
      <c r="C11285" s="9"/>
      <c r="D11285" t="str">
        <f>"glr-7"</f>
        <v>glr-7</v>
      </c>
      <c r="E11285" t="s">
        <v>492</v>
      </c>
      <c r="F11285" t="s">
        <v>11</v>
      </c>
      <c r="G11285" t="s">
        <v>4751</v>
      </c>
      <c r="H11285" s="12">
        <v>1.4174175776882501</v>
      </c>
      <c r="I11285" s="20">
        <v>0.80582075487397697</v>
      </c>
      <c r="J11285" s="28">
        <v>0.42034620900987202</v>
      </c>
      <c r="K11285" s="29">
        <v>0.98289565623980701</v>
      </c>
    </row>
    <row r="11286" spans="1:11" x14ac:dyDescent="0.35">
      <c r="A11286" s="9" t="str">
        <f>HYPERLINK("http://www.ensembl.org/id/WBGene00022663", "WBGene00022663")</f>
        <v>WBGene00022663</v>
      </c>
      <c r="B11286" s="9" t="str">
        <f>HYPERLINK("http://www.ncbi.nlm.nih.gov/gene/191230", "191230")</f>
        <v>191230</v>
      </c>
      <c r="C11286" s="9"/>
      <c r="D11286" t="str">
        <f>"glrx-21"</f>
        <v>glrx-21</v>
      </c>
      <c r="E11286" t="s">
        <v>2438</v>
      </c>
      <c r="F11286" t="s">
        <v>11</v>
      </c>
      <c r="G11286" t="s">
        <v>4394</v>
      </c>
      <c r="H11286" s="12">
        <v>-1.1338827318479401</v>
      </c>
      <c r="I11286" s="20">
        <v>-0.54092859712340302</v>
      </c>
      <c r="J11286" s="28">
        <v>0.58855679904846303</v>
      </c>
      <c r="K11286" s="29">
        <v>0.98289565623980701</v>
      </c>
    </row>
    <row r="11287" spans="1:11" x14ac:dyDescent="0.35">
      <c r="A11287" s="9" t="str">
        <f>HYPERLINK("http://www.ensembl.org/id/WBGene00044608", "WBGene00044608")</f>
        <v>WBGene00044608</v>
      </c>
      <c r="B11287" s="9" t="str">
        <f>HYPERLINK("http://www.ncbi.nlm.nih.gov/gene/3896777", "3896777")</f>
        <v>3896777</v>
      </c>
      <c r="C11287" s="9"/>
      <c r="D11287" t="str">
        <f>"glrx-22"</f>
        <v>glrx-22</v>
      </c>
      <c r="E11287" t="s">
        <v>2438</v>
      </c>
      <c r="F11287" t="s">
        <v>11</v>
      </c>
      <c r="G11287" t="s">
        <v>4394</v>
      </c>
      <c r="H11287" s="12">
        <v>-1.0773572374706599</v>
      </c>
      <c r="I11287" s="20">
        <v>-0.34668124982151799</v>
      </c>
      <c r="J11287" s="28">
        <v>0.72883079809708096</v>
      </c>
      <c r="K11287" s="29">
        <v>0.98289565623980701</v>
      </c>
    </row>
    <row r="11288" spans="1:11" x14ac:dyDescent="0.35">
      <c r="A11288" s="9" t="str">
        <f>HYPERLINK("http://www.ensembl.org/id/WBGene00007975", "WBGene00007975")</f>
        <v>WBGene00007975</v>
      </c>
      <c r="B11288" s="9" t="str">
        <f>HYPERLINK("http://www.ncbi.nlm.nih.gov/gene/172682", "172682")</f>
        <v>172682</v>
      </c>
      <c r="C11288" s="9"/>
      <c r="D11288" t="str">
        <f>"gls-1"</f>
        <v>gls-1</v>
      </c>
      <c r="E11288" t="s">
        <v>8265</v>
      </c>
      <c r="F11288" t="s">
        <v>11</v>
      </c>
      <c r="H11288" s="12">
        <v>-1.1680277732337001</v>
      </c>
      <c r="I11288" s="20">
        <v>-0.81230391394939006</v>
      </c>
      <c r="J11288" s="28">
        <v>0.416617265265328</v>
      </c>
      <c r="K11288" s="29">
        <v>0.98289565623980701</v>
      </c>
    </row>
    <row r="11289" spans="1:11" x14ac:dyDescent="0.35">
      <c r="A11289" s="9" t="str">
        <f>HYPERLINK("http://www.ensembl.org/id/WBGene00001620", "WBGene00001620")</f>
        <v>WBGene00001620</v>
      </c>
      <c r="B11289" s="9" t="str">
        <f>HYPERLINK("http://www.ncbi.nlm.nih.gov/gene/180641", "180641")</f>
        <v>180641</v>
      </c>
      <c r="C11289" s="9" t="str">
        <f>HYPERLINK("http://www.ncbi.nlm.nih.gov/gene/6506", "6506")</f>
        <v>6506</v>
      </c>
      <c r="D11289" t="str">
        <f>"glt-1"</f>
        <v>glt-1</v>
      </c>
      <c r="E11289" t="s">
        <v>5322</v>
      </c>
      <c r="F11289" t="s">
        <v>11</v>
      </c>
      <c r="G11289" t="s">
        <v>5323</v>
      </c>
      <c r="H11289" s="12">
        <v>1.18844515576798</v>
      </c>
      <c r="I11289" s="20">
        <v>0.74700346976718102</v>
      </c>
      <c r="J11289" s="28">
        <v>0.45506146638623002</v>
      </c>
      <c r="K11289" s="29">
        <v>0.98289565623980701</v>
      </c>
    </row>
    <row r="11290" spans="1:11" x14ac:dyDescent="0.35">
      <c r="A11290" s="9" t="str">
        <f>HYPERLINK("http://www.ensembl.org/id/WBGene00001621", "WBGene00001621")</f>
        <v>WBGene00001621</v>
      </c>
      <c r="B11290" s="9" t="str">
        <f>HYPERLINK("http://www.ncbi.nlm.nih.gov/gene/177882", "177882")</f>
        <v>177882</v>
      </c>
      <c r="C11290" s="9"/>
      <c r="D11290" t="str">
        <f>"glt-3"</f>
        <v>glt-3</v>
      </c>
      <c r="E11290" t="s">
        <v>9894</v>
      </c>
      <c r="F11290" t="s">
        <v>11</v>
      </c>
      <c r="G11290" t="s">
        <v>5323</v>
      </c>
      <c r="H11290" s="12">
        <v>-1.35414572405848</v>
      </c>
      <c r="I11290" s="20">
        <v>-0.59952979807208695</v>
      </c>
      <c r="J11290" s="28">
        <v>0.54881964539771799</v>
      </c>
      <c r="K11290" s="29">
        <v>0.98289565623980701</v>
      </c>
    </row>
    <row r="11291" spans="1:11" x14ac:dyDescent="0.35">
      <c r="A11291" s="9" t="str">
        <f>HYPERLINK("http://www.ensembl.org/id/WBGene00001622", "WBGene00001622")</f>
        <v>WBGene00001622</v>
      </c>
      <c r="B11291" s="9" t="str">
        <f>HYPERLINK("http://www.ncbi.nlm.nih.gov/gene/188744", "188744")</f>
        <v>188744</v>
      </c>
      <c r="C11291" s="9"/>
      <c r="D11291" t="str">
        <f>"glt-4"</f>
        <v>glt-4</v>
      </c>
      <c r="E11291" t="s">
        <v>6930</v>
      </c>
      <c r="F11291" t="s">
        <v>11</v>
      </c>
      <c r="G11291" t="s">
        <v>5323</v>
      </c>
      <c r="H11291" s="12">
        <v>-1.0983177849949499</v>
      </c>
      <c r="I11291" s="20">
        <v>-0.45863822487154599</v>
      </c>
      <c r="J11291" s="28">
        <v>0.64649398215396303</v>
      </c>
      <c r="K11291" s="29">
        <v>0.98289565623980701</v>
      </c>
    </row>
    <row r="11292" spans="1:11" x14ac:dyDescent="0.35">
      <c r="A11292" s="9" t="str">
        <f>HYPERLINK("http://www.ensembl.org/id/WBGene00001623", "WBGene00001623")</f>
        <v>WBGene00001623</v>
      </c>
      <c r="B11292" s="9" t="str">
        <f>HYPERLINK("http://www.ncbi.nlm.nih.gov/gene/174530", "174530")</f>
        <v>174530</v>
      </c>
      <c r="C11292" s="9" t="str">
        <f>HYPERLINK("http://www.ncbi.nlm.nih.gov/gene/6507", "6507")</f>
        <v>6507</v>
      </c>
      <c r="D11292" t="str">
        <f>"glt-5"</f>
        <v>glt-5</v>
      </c>
      <c r="E11292" t="s">
        <v>4959</v>
      </c>
      <c r="F11292" t="s">
        <v>11</v>
      </c>
      <c r="G11292" t="s">
        <v>4960</v>
      </c>
      <c r="H11292" s="12">
        <v>1.2806732850462501</v>
      </c>
      <c r="I11292" s="20">
        <v>1.1863591248365399</v>
      </c>
      <c r="J11292" s="28">
        <v>0.23548050659671699</v>
      </c>
      <c r="K11292" s="29">
        <v>0.98289565623980701</v>
      </c>
    </row>
    <row r="11293" spans="1:11" x14ac:dyDescent="0.35">
      <c r="A11293" s="9" t="str">
        <f>HYPERLINK("http://www.ensembl.org/id/WBGene00001626", "WBGene00001626")</f>
        <v>WBGene00001626</v>
      </c>
      <c r="B11293" s="9" t="str">
        <f>HYPERLINK("http://www.ncbi.nlm.nih.gov/gene/174679", "174679")</f>
        <v>174679</v>
      </c>
      <c r="C11293" s="9" t="str">
        <f>HYPERLINK("http://www.ncbi.nlm.nih.gov/gene/9245", "9245")</f>
        <v>9245</v>
      </c>
      <c r="D11293" t="str">
        <f>"gly-1"</f>
        <v>gly-1</v>
      </c>
      <c r="E11293" t="s">
        <v>9974</v>
      </c>
      <c r="F11293" t="s">
        <v>11</v>
      </c>
      <c r="G11293" t="s">
        <v>4298</v>
      </c>
      <c r="H11293" s="12">
        <v>-1.5240958489434899</v>
      </c>
      <c r="I11293" s="20">
        <v>-0.64105020559612502</v>
      </c>
      <c r="J11293" s="28">
        <v>0.52149006449587099</v>
      </c>
      <c r="K11293" s="29">
        <v>0.98289565623980701</v>
      </c>
    </row>
    <row r="11294" spans="1:11" x14ac:dyDescent="0.35">
      <c r="A11294" s="9" t="str">
        <f>HYPERLINK("http://www.ensembl.org/id/WBGene00001635", "WBGene00001635")</f>
        <v>WBGene00001635</v>
      </c>
      <c r="B11294" s="9" t="str">
        <f>HYPERLINK("http://www.ncbi.nlm.nih.gov/gene/178343", "178343")</f>
        <v>178343</v>
      </c>
      <c r="C11294" s="9" t="str">
        <f>HYPERLINK("http://www.ncbi.nlm.nih.gov/gene/55568", "55568")</f>
        <v>55568</v>
      </c>
      <c r="D11294" t="str">
        <f>"gly-10"</f>
        <v>gly-10</v>
      </c>
      <c r="E11294" t="s">
        <v>8201</v>
      </c>
      <c r="F11294" t="s">
        <v>11</v>
      </c>
      <c r="G11294" t="s">
        <v>47</v>
      </c>
      <c r="H11294" s="12">
        <v>-1.1653603874586</v>
      </c>
      <c r="I11294" s="20">
        <v>-0.82392544477065699</v>
      </c>
      <c r="J11294" s="28">
        <v>0.409981921647812</v>
      </c>
      <c r="K11294" s="29">
        <v>0.98289565623980701</v>
      </c>
    </row>
    <row r="11295" spans="1:11" x14ac:dyDescent="0.35">
      <c r="A11295" s="9" t="str">
        <f>HYPERLINK("http://www.ensembl.org/id/WBGene00001636", "WBGene00001636")</f>
        <v>WBGene00001636</v>
      </c>
      <c r="B11295" s="9" t="str">
        <f>HYPERLINK("http://www.ncbi.nlm.nih.gov/gene/176647", "176647")</f>
        <v>176647</v>
      </c>
      <c r="C11295" s="9" t="str">
        <f>HYPERLINK("http://www.ncbi.nlm.nih.gov/gene/63917", "63917")</f>
        <v>63917</v>
      </c>
      <c r="D11295" t="str">
        <f>"gly-11"</f>
        <v>gly-11</v>
      </c>
      <c r="E11295" t="s">
        <v>5082</v>
      </c>
      <c r="F11295" t="s">
        <v>11</v>
      </c>
      <c r="H11295" s="12">
        <v>1.24461992636247</v>
      </c>
      <c r="I11295" s="20">
        <v>0.91978117750767596</v>
      </c>
      <c r="J11295" s="28">
        <v>0.35768712137824898</v>
      </c>
      <c r="K11295" s="29">
        <v>0.98289565623980701</v>
      </c>
    </row>
    <row r="11296" spans="1:11" x14ac:dyDescent="0.35">
      <c r="A11296" s="9" t="str">
        <f>HYPERLINK("http://www.ensembl.org/id/WBGene00001637", "WBGene00001637")</f>
        <v>WBGene00001637</v>
      </c>
      <c r="B11296" s="9" t="str">
        <f>HYPERLINK("http://www.ncbi.nlm.nih.gov/gene/181005", "181005")</f>
        <v>181005</v>
      </c>
      <c r="C11296" s="9"/>
      <c r="D11296" t="str">
        <f>"gly-12"</f>
        <v>gly-12</v>
      </c>
      <c r="E11296" t="s">
        <v>2973</v>
      </c>
      <c r="F11296" t="s">
        <v>11</v>
      </c>
      <c r="G11296" t="s">
        <v>5016</v>
      </c>
      <c r="H11296" s="12">
        <v>1.2614046369195</v>
      </c>
      <c r="I11296" s="20">
        <v>1.0801088159162799</v>
      </c>
      <c r="J11296" s="28">
        <v>0.28009372653589698</v>
      </c>
      <c r="K11296" s="29">
        <v>0.98289565623980701</v>
      </c>
    </row>
    <row r="11297" spans="1:11" x14ac:dyDescent="0.35">
      <c r="A11297" s="9" t="str">
        <f>HYPERLINK("http://www.ensembl.org/id/WBGene00001639", "WBGene00001639")</f>
        <v>WBGene00001639</v>
      </c>
      <c r="B11297" s="9" t="str">
        <f>HYPERLINK("http://www.ncbi.nlm.nih.gov/gene/175453", "175453")</f>
        <v>175453</v>
      </c>
      <c r="C11297" s="9" t="str">
        <f>HYPERLINK("http://www.ncbi.nlm.nih.gov/gene/4245", "4245")</f>
        <v>4245</v>
      </c>
      <c r="D11297" t="str">
        <f>"gly-14"</f>
        <v>gly-14</v>
      </c>
      <c r="E11297" t="s">
        <v>10007</v>
      </c>
      <c r="F11297" t="s">
        <v>11</v>
      </c>
      <c r="G11297" t="s">
        <v>10008</v>
      </c>
      <c r="H11297" s="12">
        <v>-1.69828560803296</v>
      </c>
      <c r="I11297" s="20">
        <v>-0.73136932277313904</v>
      </c>
      <c r="J11297" s="28">
        <v>0.46455359791603901</v>
      </c>
      <c r="K11297" s="29">
        <v>0.98289565623980701</v>
      </c>
    </row>
    <row r="11298" spans="1:11" x14ac:dyDescent="0.35">
      <c r="A11298" s="9" t="str">
        <f>HYPERLINK("http://www.ensembl.org/id/WBGene00001642", "WBGene00001642")</f>
        <v>WBGene00001642</v>
      </c>
      <c r="B11298" s="9" t="str">
        <f>HYPERLINK("http://www.ncbi.nlm.nih.gov/gene/173108", "173108")</f>
        <v>173108</v>
      </c>
      <c r="C11298" s="9" t="str">
        <f>HYPERLINK("http://www.ncbi.nlm.nih.gov/gene/9245", "9245")</f>
        <v>9245</v>
      </c>
      <c r="D11298" t="str">
        <f>"gly-17"</f>
        <v>gly-17</v>
      </c>
      <c r="E11298" t="s">
        <v>2973</v>
      </c>
      <c r="F11298" t="s">
        <v>11</v>
      </c>
      <c r="G11298" t="s">
        <v>4298</v>
      </c>
      <c r="H11298" s="12">
        <v>3.6645215954135</v>
      </c>
      <c r="I11298" s="20">
        <v>0.37967131826092498</v>
      </c>
      <c r="J11298" s="28">
        <v>0.70418941338960395</v>
      </c>
      <c r="K11298" s="29">
        <v>0.98289565623980701</v>
      </c>
    </row>
    <row r="11299" spans="1:11" x14ac:dyDescent="0.35">
      <c r="A11299" s="9" t="str">
        <f>HYPERLINK("http://www.ensembl.org/id/WBGene00001643", "WBGene00001643")</f>
        <v>WBGene00001643</v>
      </c>
      <c r="B11299" s="9" t="str">
        <f>HYPERLINK("http://www.ncbi.nlm.nih.gov/gene/172446", "172446")</f>
        <v>172446</v>
      </c>
      <c r="C11299" s="9" t="str">
        <f>HYPERLINK("http://www.ncbi.nlm.nih.gov/gene/9245", "9245")</f>
        <v>9245</v>
      </c>
      <c r="D11299" t="str">
        <f>"gly-18"</f>
        <v>gly-18</v>
      </c>
      <c r="E11299" t="s">
        <v>2973</v>
      </c>
      <c r="F11299" t="s">
        <v>11</v>
      </c>
      <c r="G11299" t="s">
        <v>4298</v>
      </c>
      <c r="H11299" s="12">
        <v>-1.1723977742312199</v>
      </c>
      <c r="I11299" s="20">
        <v>-0.27777109031145197</v>
      </c>
      <c r="J11299" s="28">
        <v>0.78118808476099799</v>
      </c>
      <c r="K11299" s="29">
        <v>0.98289565623980701</v>
      </c>
    </row>
    <row r="11300" spans="1:11" x14ac:dyDescent="0.35">
      <c r="A11300" s="9" t="str">
        <f>HYPERLINK("http://www.ensembl.org/id/WBGene00001644", "WBGene00001644")</f>
        <v>WBGene00001644</v>
      </c>
      <c r="B11300" s="9" t="str">
        <f>HYPERLINK("http://www.ncbi.nlm.nih.gov/gene/172447", "172447")</f>
        <v>172447</v>
      </c>
      <c r="C11300" s="9" t="str">
        <f>HYPERLINK("http://www.ncbi.nlm.nih.gov/gene/9245", "9245")</f>
        <v>9245</v>
      </c>
      <c r="D11300" t="str">
        <f>"gly-19"</f>
        <v>gly-19</v>
      </c>
      <c r="E11300" t="s">
        <v>5768</v>
      </c>
      <c r="F11300" t="s">
        <v>11</v>
      </c>
      <c r="G11300" t="s">
        <v>5769</v>
      </c>
      <c r="H11300" s="12">
        <v>1.10706666312855</v>
      </c>
      <c r="I11300" s="20">
        <v>0.34196724465064599</v>
      </c>
      <c r="J11300" s="28">
        <v>0.73237554279200801</v>
      </c>
      <c r="K11300" s="29">
        <v>0.98289565623980701</v>
      </c>
    </row>
    <row r="11301" spans="1:11" x14ac:dyDescent="0.35">
      <c r="A11301" s="9" t="str">
        <f>HYPERLINK("http://www.ensembl.org/id/WBGene00001627", "WBGene00001627")</f>
        <v>WBGene00001627</v>
      </c>
      <c r="B11301" s="9" t="str">
        <f>HYPERLINK("http://www.ncbi.nlm.nih.gov/gene/172360", "172360")</f>
        <v>172360</v>
      </c>
      <c r="C11301" s="9" t="str">
        <f>HYPERLINK("http://www.ncbi.nlm.nih.gov/gene/4249", "4249")</f>
        <v>4249</v>
      </c>
      <c r="D11301" t="str">
        <f>"gly-2"</f>
        <v>gly-2</v>
      </c>
      <c r="E11301" t="s">
        <v>7107</v>
      </c>
      <c r="F11301" t="s">
        <v>11</v>
      </c>
      <c r="G11301" t="s">
        <v>7108</v>
      </c>
      <c r="H11301" s="12">
        <v>-1.1070968178260401</v>
      </c>
      <c r="I11301" s="20">
        <v>-0.486665527902305</v>
      </c>
      <c r="J11301" s="28">
        <v>0.62649537808984601</v>
      </c>
      <c r="K11301" s="29">
        <v>0.98289565623980701</v>
      </c>
    </row>
    <row r="11302" spans="1:11" x14ac:dyDescent="0.35">
      <c r="A11302" s="9" t="str">
        <f>HYPERLINK("http://www.ensembl.org/id/WBGene00001628", "WBGene00001628")</f>
        <v>WBGene00001628</v>
      </c>
      <c r="B11302" s="9" t="str">
        <f>HYPERLINK("http://www.ncbi.nlm.nih.gov/gene/176112", "176112")</f>
        <v>176112</v>
      </c>
      <c r="C11302" s="9" t="str">
        <f>HYPERLINK("http://www.ncbi.nlm.nih.gov/gene/2589", "2589")</f>
        <v>2589</v>
      </c>
      <c r="D11302" t="str">
        <f>"gly-3"</f>
        <v>gly-3</v>
      </c>
      <c r="E11302" t="s">
        <v>8352</v>
      </c>
      <c r="F11302" t="s">
        <v>11</v>
      </c>
      <c r="H11302" s="12">
        <v>-1.17299069844425</v>
      </c>
      <c r="I11302" s="20">
        <v>-0.86349587582876697</v>
      </c>
      <c r="J11302" s="28">
        <v>0.38786488598202401</v>
      </c>
      <c r="K11302" s="29">
        <v>0.98289565623980701</v>
      </c>
    </row>
    <row r="11303" spans="1:11" x14ac:dyDescent="0.35">
      <c r="A11303" s="9" t="str">
        <f>HYPERLINK("http://www.ensembl.org/id/WBGene00001629", "WBGene00001629")</f>
        <v>WBGene00001629</v>
      </c>
      <c r="B11303" s="9" t="str">
        <f>HYPERLINK("http://www.ncbi.nlm.nih.gov/gene/180302", "180302")</f>
        <v>180302</v>
      </c>
      <c r="C11303" s="9" t="str">
        <f>HYPERLINK("http://www.ncbi.nlm.nih.gov/gene/2590", "2590")</f>
        <v>2590</v>
      </c>
      <c r="D11303" t="str">
        <f>"gly-4"</f>
        <v>gly-4</v>
      </c>
      <c r="E11303" t="s">
        <v>8475</v>
      </c>
      <c r="F11303" t="s">
        <v>11</v>
      </c>
      <c r="G11303" t="s">
        <v>8476</v>
      </c>
      <c r="H11303" s="12">
        <v>-1.1796753913601199</v>
      </c>
      <c r="I11303" s="20">
        <v>-0.85606822244960701</v>
      </c>
      <c r="J11303" s="28">
        <v>0.39196004455535199</v>
      </c>
      <c r="K11303" s="29">
        <v>0.98289565623980701</v>
      </c>
    </row>
    <row r="11304" spans="1:11" x14ac:dyDescent="0.35">
      <c r="A11304" s="9" t="str">
        <f>HYPERLINK("http://www.ensembl.org/id/WBGene00001630", "WBGene00001630")</f>
        <v>WBGene00001630</v>
      </c>
      <c r="B11304" s="9" t="str">
        <f>HYPERLINK("http://www.ncbi.nlm.nih.gov/gene/176736", "176736")</f>
        <v>176736</v>
      </c>
      <c r="C11304" s="9"/>
      <c r="D11304" t="str">
        <f>"gly-5"</f>
        <v>gly-5</v>
      </c>
      <c r="E11304" t="s">
        <v>8032</v>
      </c>
      <c r="F11304" t="s">
        <v>11</v>
      </c>
      <c r="H11304" s="12">
        <v>-1.1572556741619699</v>
      </c>
      <c r="I11304" s="20">
        <v>-0.76314412722702196</v>
      </c>
      <c r="J11304" s="28">
        <v>0.44537744587243899</v>
      </c>
      <c r="K11304" s="29">
        <v>0.98289565623980701</v>
      </c>
    </row>
    <row r="11305" spans="1:11" x14ac:dyDescent="0.35">
      <c r="A11305" s="9" t="str">
        <f>HYPERLINK("http://www.ensembl.org/id/WBGene00001632", "WBGene00001632")</f>
        <v>WBGene00001632</v>
      </c>
      <c r="B11305" s="9" t="str">
        <f>HYPERLINK("http://www.ncbi.nlm.nih.gov/gene/178661", "178661")</f>
        <v>178661</v>
      </c>
      <c r="C11305" s="9" t="str">
        <f>HYPERLINK("http://www.ncbi.nlm.nih.gov/gene/51809", "51809")</f>
        <v>51809</v>
      </c>
      <c r="D11305" t="str">
        <f>"gly-7"</f>
        <v>gly-7</v>
      </c>
      <c r="E11305" t="s">
        <v>9453</v>
      </c>
      <c r="F11305" t="s">
        <v>11</v>
      </c>
      <c r="G11305" t="s">
        <v>9454</v>
      </c>
      <c r="H11305" s="12">
        <v>-1.24748025900304</v>
      </c>
      <c r="I11305" s="20">
        <v>-1.1719450701074701</v>
      </c>
      <c r="J11305" s="28">
        <v>0.24121911042848401</v>
      </c>
      <c r="K11305" s="29">
        <v>0.98289565623980701</v>
      </c>
    </row>
    <row r="11306" spans="1:11" x14ac:dyDescent="0.35">
      <c r="A11306" s="9" t="str">
        <f>HYPERLINK("http://www.ensembl.org/id/WBGene00012934", "WBGene00012934")</f>
        <v>WBGene00012934</v>
      </c>
      <c r="B11306" s="9" t="str">
        <f>HYPERLINK("http://www.ncbi.nlm.nih.gov/gene/176557", "176557")</f>
        <v>176557</v>
      </c>
      <c r="C11306" s="9"/>
      <c r="D11306" t="str">
        <f>"gly-9"</f>
        <v>gly-9</v>
      </c>
      <c r="E11306" t="s">
        <v>8912</v>
      </c>
      <c r="F11306" t="s">
        <v>11</v>
      </c>
      <c r="H11306" s="12">
        <v>-1.2073032651701401</v>
      </c>
      <c r="I11306" s="20">
        <v>-0.96728175706279795</v>
      </c>
      <c r="J11306" s="28">
        <v>0.33340320089769498</v>
      </c>
      <c r="K11306" s="29">
        <v>0.98289565623980701</v>
      </c>
    </row>
    <row r="11307" spans="1:11" x14ac:dyDescent="0.35">
      <c r="A11307" s="9" t="str">
        <f>HYPERLINK("http://www.ensembl.org/id/WBGene00010166", "WBGene00010166")</f>
        <v>WBGene00010166</v>
      </c>
      <c r="B11307" s="9" t="str">
        <f>HYPERLINK("http://www.ncbi.nlm.nih.gov/gene/186416", "186416")</f>
        <v>186416</v>
      </c>
      <c r="C11307" s="9" t="str">
        <f>HYPERLINK("http://www.ncbi.nlm.nih.gov/gene/2762", "2762")</f>
        <v>2762</v>
      </c>
      <c r="D11307" t="str">
        <f>"gmd-2"</f>
        <v>gmd-2</v>
      </c>
      <c r="E11307" t="s">
        <v>4440</v>
      </c>
      <c r="F11307" t="s">
        <v>11</v>
      </c>
      <c r="G11307" t="s">
        <v>4441</v>
      </c>
      <c r="H11307" s="12">
        <v>2.1179709964042801</v>
      </c>
      <c r="I11307" s="20">
        <v>0.300827502990479</v>
      </c>
      <c r="J11307" s="28">
        <v>0.76354603491985695</v>
      </c>
      <c r="K11307" s="29">
        <v>0.98289565623980701</v>
      </c>
    </row>
    <row r="11308" spans="1:11" x14ac:dyDescent="0.35">
      <c r="A11308" s="9" t="str">
        <f>HYPERLINK("http://www.ensembl.org/id/WBGene00008092", "WBGene00008092")</f>
        <v>WBGene00008092</v>
      </c>
      <c r="B11308" s="9" t="str">
        <f>HYPERLINK("http://www.ncbi.nlm.nih.gov/gene/175487", "175487")</f>
        <v>175487</v>
      </c>
      <c r="C11308" s="9"/>
      <c r="D11308" t="str">
        <f>"gmeb-3"</f>
        <v>gmeb-3</v>
      </c>
      <c r="E11308" t="s">
        <v>10091</v>
      </c>
      <c r="F11308" t="s">
        <v>11</v>
      </c>
      <c r="G11308" t="s">
        <v>10092</v>
      </c>
      <c r="H11308" s="12">
        <v>-3.33576734137697</v>
      </c>
      <c r="I11308" s="20">
        <v>-0.37789252555813302</v>
      </c>
      <c r="J11308" s="28">
        <v>0.70551043520482504</v>
      </c>
      <c r="K11308" s="29">
        <v>0.98289565623980701</v>
      </c>
    </row>
    <row r="11309" spans="1:11" x14ac:dyDescent="0.35">
      <c r="A11309" s="9" t="str">
        <f>HYPERLINK("http://www.ensembl.org/id/WBGene00013552", "WBGene00013552")</f>
        <v>WBGene00013552</v>
      </c>
      <c r="B11309" s="9" t="str">
        <f>HYPERLINK("http://www.ncbi.nlm.nih.gov/gene/176651", "176651")</f>
        <v>176651</v>
      </c>
      <c r="C11309" s="9"/>
      <c r="D11309" t="str">
        <f>"gmn-1"</f>
        <v>gmn-1</v>
      </c>
      <c r="E11309" t="s">
        <v>9769</v>
      </c>
      <c r="F11309" t="s">
        <v>11</v>
      </c>
      <c r="H11309" s="12">
        <v>-1.2987365053725199</v>
      </c>
      <c r="I11309" s="20">
        <v>-1.065400732666</v>
      </c>
      <c r="J11309" s="28">
        <v>0.28669462537379597</v>
      </c>
      <c r="K11309" s="29">
        <v>0.98289565623980701</v>
      </c>
    </row>
    <row r="11310" spans="1:11" x14ac:dyDescent="0.35">
      <c r="A11310" s="9" t="str">
        <f>HYPERLINK("http://www.ensembl.org/id/WBGene00018798", "WBGene00018798")</f>
        <v>WBGene00018798</v>
      </c>
      <c r="B11310" s="9" t="str">
        <f>HYPERLINK("http://www.ncbi.nlm.nih.gov/gene/186230", "186230")</f>
        <v>186230</v>
      </c>
      <c r="C11310" s="9"/>
      <c r="D11310" t="str">
        <f>"gnrr-1"</f>
        <v>gnrr-1</v>
      </c>
      <c r="E11310" t="s">
        <v>270</v>
      </c>
      <c r="F11310" t="s">
        <v>11</v>
      </c>
      <c r="G11310" t="s">
        <v>4772</v>
      </c>
      <c r="H11310" s="12">
        <v>1.3936121698097801</v>
      </c>
      <c r="I11310" s="20">
        <v>1.1159923824849201</v>
      </c>
      <c r="J11310" s="28">
        <v>0.26442539528412101</v>
      </c>
      <c r="K11310" s="29">
        <v>0.98289565623980701</v>
      </c>
    </row>
    <row r="11311" spans="1:11" x14ac:dyDescent="0.35">
      <c r="A11311" s="9" t="str">
        <f>HYPERLINK("http://www.ensembl.org/id/WBGene00013871", "WBGene00013871")</f>
        <v>WBGene00013871</v>
      </c>
      <c r="B11311" s="9" t="str">
        <f>HYPERLINK("http://www.ncbi.nlm.nih.gov/gene/191147", "191147")</f>
        <v>191147</v>
      </c>
      <c r="C11311" s="9"/>
      <c r="D11311" t="str">
        <f>"gnrr-3"</f>
        <v>gnrr-3</v>
      </c>
      <c r="E11311" t="s">
        <v>270</v>
      </c>
      <c r="F11311" t="s">
        <v>11</v>
      </c>
      <c r="G11311" t="s">
        <v>1022</v>
      </c>
      <c r="H11311" s="12">
        <v>1.6556714364254299</v>
      </c>
      <c r="I11311" s="20">
        <v>0.92941981406227403</v>
      </c>
      <c r="J11311" s="28">
        <v>0.352671563236996</v>
      </c>
      <c r="K11311" s="29">
        <v>0.98289565623980701</v>
      </c>
    </row>
    <row r="11312" spans="1:11" x14ac:dyDescent="0.35">
      <c r="A11312" s="9" t="str">
        <f>HYPERLINK("http://www.ensembl.org/id/WBGene00016570", "WBGene00016570")</f>
        <v>WBGene00016570</v>
      </c>
      <c r="B11312" s="9" t="str">
        <f>HYPERLINK("http://www.ncbi.nlm.nih.gov/gene/180841", "180841")</f>
        <v>180841</v>
      </c>
      <c r="C11312" s="9"/>
      <c r="D11312" t="str">
        <f>"gnrr-4"</f>
        <v>gnrr-4</v>
      </c>
      <c r="E11312" t="s">
        <v>270</v>
      </c>
      <c r="F11312" t="s">
        <v>11</v>
      </c>
      <c r="G11312" t="s">
        <v>8019</v>
      </c>
      <c r="H11312" s="12">
        <v>-1.15625307630566</v>
      </c>
      <c r="I11312" s="20">
        <v>-0.53687871645429996</v>
      </c>
      <c r="J11312" s="28">
        <v>0.59135139351342603</v>
      </c>
      <c r="K11312" s="29">
        <v>0.98289565623980701</v>
      </c>
    </row>
    <row r="11313" spans="1:11" x14ac:dyDescent="0.35">
      <c r="A11313" s="9" t="str">
        <f>HYPERLINK("http://www.ensembl.org/id/WBGene00001648", "WBGene00001648")</f>
        <v>WBGene00001648</v>
      </c>
      <c r="B11313" s="9" t="str">
        <f>HYPERLINK("http://www.ncbi.nlm.nih.gov/gene/172505", "172505")</f>
        <v>172505</v>
      </c>
      <c r="C11313" s="9" t="str">
        <f>HYPERLINK("http://www.ncbi.nlm.nih.gov/gene/2775", "2775")</f>
        <v>2775</v>
      </c>
      <c r="D11313" t="str">
        <f>"goa-1"</f>
        <v>goa-1</v>
      </c>
      <c r="E11313" t="s">
        <v>6178</v>
      </c>
      <c r="F11313" t="s">
        <v>11</v>
      </c>
      <c r="G11313" t="s">
        <v>875</v>
      </c>
      <c r="H11313" s="12">
        <v>-1.0511592394440401</v>
      </c>
      <c r="I11313" s="20">
        <v>-0.27906685909338103</v>
      </c>
      <c r="J11313" s="28">
        <v>0.78019351576638296</v>
      </c>
      <c r="K11313" s="29">
        <v>0.98289565623980701</v>
      </c>
    </row>
    <row r="11314" spans="1:11" x14ac:dyDescent="0.35">
      <c r="A11314" s="9" t="str">
        <f>HYPERLINK("http://www.ensembl.org/id/WBGene00001649", "WBGene00001649")</f>
        <v>WBGene00001649</v>
      </c>
      <c r="B11314" s="9" t="str">
        <f>HYPERLINK("http://www.ncbi.nlm.nih.gov/gene/181637", "181637")</f>
        <v>181637</v>
      </c>
      <c r="C11314" s="9"/>
      <c r="D11314" t="str">
        <f>"gob-1"</f>
        <v>gob-1</v>
      </c>
      <c r="E11314" t="s">
        <v>8784</v>
      </c>
      <c r="F11314" t="s">
        <v>11</v>
      </c>
      <c r="H11314" s="12">
        <v>-1.19612542180573</v>
      </c>
      <c r="I11314" s="20">
        <v>-0.94651772734290696</v>
      </c>
      <c r="J11314" s="28">
        <v>0.343884584811253</v>
      </c>
      <c r="K11314" s="29">
        <v>0.98289565623980701</v>
      </c>
    </row>
    <row r="11315" spans="1:11" x14ac:dyDescent="0.35">
      <c r="A11315" s="9" t="str">
        <f>HYPERLINK("http://www.ensembl.org/id/WBGene00018017", "WBGene00018017")</f>
        <v>WBGene00018017</v>
      </c>
      <c r="B11315" s="9" t="str">
        <f>HYPERLINK("http://www.ncbi.nlm.nih.gov/gene/173870", "173870")</f>
        <v>173870</v>
      </c>
      <c r="C11315" s="9"/>
      <c r="D11315" t="str">
        <f>"golg-2"</f>
        <v>golg-2</v>
      </c>
      <c r="E11315" t="s">
        <v>6441</v>
      </c>
      <c r="F11315" t="s">
        <v>11</v>
      </c>
      <c r="G11315" t="s">
        <v>6442</v>
      </c>
      <c r="H11315" s="12">
        <v>-1.06929768530999</v>
      </c>
      <c r="I11315" s="20">
        <v>-0.33897518643169799</v>
      </c>
      <c r="J11315" s="28">
        <v>0.73462842304812703</v>
      </c>
      <c r="K11315" s="29">
        <v>0.98289565623980701</v>
      </c>
    </row>
    <row r="11316" spans="1:11" x14ac:dyDescent="0.35">
      <c r="A11316" s="9" t="str">
        <f>HYPERLINK("http://www.ensembl.org/id/WBGene00010306", "WBGene00010306")</f>
        <v>WBGene00010306</v>
      </c>
      <c r="B11316" s="9"/>
      <c r="C11316" s="9"/>
      <c r="D11316" t="str">
        <f>"golg-4"</f>
        <v>golg-4</v>
      </c>
      <c r="F11316" t="s">
        <v>11</v>
      </c>
      <c r="H11316" s="12">
        <v>1.246559589853</v>
      </c>
      <c r="I11316" s="20">
        <v>1.0749587967126599</v>
      </c>
      <c r="J11316" s="28">
        <v>0.28239317596818803</v>
      </c>
      <c r="K11316" s="29">
        <v>0.98289565623980701</v>
      </c>
    </row>
    <row r="11317" spans="1:11" x14ac:dyDescent="0.35">
      <c r="A11317" s="9" t="str">
        <f>HYPERLINK("http://www.ensembl.org/id/WBGene00002148", "WBGene00002148")</f>
        <v>WBGene00002148</v>
      </c>
      <c r="B11317" s="9" t="str">
        <f>HYPERLINK("http://www.ncbi.nlm.nih.gov/gene/179052", "179052")</f>
        <v>179052</v>
      </c>
      <c r="C11317" s="9"/>
      <c r="D11317" t="str">
        <f>"gon-14"</f>
        <v>gon-14</v>
      </c>
      <c r="F11317" t="s">
        <v>11</v>
      </c>
      <c r="G11317" t="s">
        <v>9672</v>
      </c>
      <c r="H11317" s="12">
        <v>-1.2756802981437001</v>
      </c>
      <c r="I11317" s="20">
        <v>-1.1846644519259699</v>
      </c>
      <c r="J11317" s="28">
        <v>0.23615014282612501</v>
      </c>
      <c r="K11317" s="29">
        <v>0.98289565623980701</v>
      </c>
    </row>
    <row r="11318" spans="1:11" x14ac:dyDescent="0.35">
      <c r="A11318" s="9" t="str">
        <f>HYPERLINK("http://www.ensembl.org/id/WBGene00001660", "WBGene00001660")</f>
        <v>WBGene00001660</v>
      </c>
      <c r="B11318" s="9" t="str">
        <f>HYPERLINK("http://www.ncbi.nlm.nih.gov/gene/175721", "175721")</f>
        <v>175721</v>
      </c>
      <c r="C11318" s="9" t="str">
        <f>HYPERLINK("http://www.ncbi.nlm.nih.gov/gene/23274", "23274")</f>
        <v>23274</v>
      </c>
      <c r="D11318" t="str">
        <f>"gop-1"</f>
        <v>gop-1</v>
      </c>
      <c r="F11318" t="s">
        <v>11</v>
      </c>
      <c r="H11318" s="12">
        <v>-1.09873840818115</v>
      </c>
      <c r="I11318" s="20">
        <v>-0.44171757065725697</v>
      </c>
      <c r="J11318" s="28">
        <v>0.65869359337696098</v>
      </c>
      <c r="K11318" s="29">
        <v>0.98289565623980701</v>
      </c>
    </row>
    <row r="11319" spans="1:11" x14ac:dyDescent="0.35">
      <c r="A11319" s="9" t="str">
        <f>HYPERLINK("http://www.ensembl.org/id/WBGene00001661", "WBGene00001661")</f>
        <v>WBGene00001661</v>
      </c>
      <c r="B11319" s="9" t="str">
        <f>HYPERLINK("http://www.ncbi.nlm.nih.gov/gene/175722", "175722")</f>
        <v>175722</v>
      </c>
      <c r="C11319" s="9" t="str">
        <f>HYPERLINK("http://www.ncbi.nlm.nih.gov/gene/11321", "11321")</f>
        <v>11321</v>
      </c>
      <c r="D11319" t="str">
        <f>"gop-2"</f>
        <v>gop-2</v>
      </c>
      <c r="E11319" t="s">
        <v>8141</v>
      </c>
      <c r="F11319" t="s">
        <v>11</v>
      </c>
      <c r="G11319" t="s">
        <v>8142</v>
      </c>
      <c r="H11319" s="12">
        <v>-1.1621742697595201</v>
      </c>
      <c r="I11319" s="20">
        <v>-0.63361797950286702</v>
      </c>
      <c r="J11319" s="28">
        <v>0.52633016424838497</v>
      </c>
      <c r="K11319" s="29">
        <v>0.98289565623980701</v>
      </c>
    </row>
    <row r="11320" spans="1:11" x14ac:dyDescent="0.35">
      <c r="A11320" s="9" t="str">
        <f>HYPERLINK("http://www.ensembl.org/id/WBGene00001662", "WBGene00001662")</f>
        <v>WBGene00001662</v>
      </c>
      <c r="B11320" s="9" t="str">
        <f>HYPERLINK("http://www.ncbi.nlm.nih.gov/gene/175723", "175723")</f>
        <v>175723</v>
      </c>
      <c r="C11320" s="9" t="str">
        <f>HYPERLINK("http://www.ncbi.nlm.nih.gov/gene/25813", "25813")</f>
        <v>25813</v>
      </c>
      <c r="D11320" t="str">
        <f>"gop-3"</f>
        <v>gop-3</v>
      </c>
      <c r="E11320" t="s">
        <v>7279</v>
      </c>
      <c r="F11320" t="s">
        <v>11</v>
      </c>
      <c r="G11320" t="s">
        <v>7280</v>
      </c>
      <c r="H11320" s="12">
        <v>-1.11696271113525</v>
      </c>
      <c r="I11320" s="20">
        <v>-0.57758238561823205</v>
      </c>
      <c r="J11320" s="28">
        <v>0.56354610195079402</v>
      </c>
      <c r="K11320" s="29">
        <v>0.98289565623980701</v>
      </c>
    </row>
    <row r="11321" spans="1:11" x14ac:dyDescent="0.35">
      <c r="A11321" s="9" t="str">
        <f>HYPERLINK("http://www.ensembl.org/id/WBGene00017273", "WBGene00017273")</f>
        <v>WBGene00017273</v>
      </c>
      <c r="B11321" s="9" t="str">
        <f>HYPERLINK("http://www.ncbi.nlm.nih.gov/gene/176044", "176044")</f>
        <v>176044</v>
      </c>
      <c r="C11321" s="9" t="str">
        <f>HYPERLINK("http://www.ncbi.nlm.nih.gov/gene/9527", "9527")</f>
        <v>9527</v>
      </c>
      <c r="D11321" t="str">
        <f>"gos-28"</f>
        <v>gos-28</v>
      </c>
      <c r="E11321" t="s">
        <v>7160</v>
      </c>
      <c r="F11321" t="s">
        <v>11</v>
      </c>
      <c r="G11321" t="s">
        <v>7161</v>
      </c>
      <c r="H11321" s="12">
        <v>-1.1105989133435199</v>
      </c>
      <c r="I11321" s="20">
        <v>-0.53439716387033798</v>
      </c>
      <c r="J11321" s="28">
        <v>0.59306678078444097</v>
      </c>
      <c r="K11321" s="29">
        <v>0.98289565623980701</v>
      </c>
    </row>
    <row r="11322" spans="1:11" x14ac:dyDescent="0.35">
      <c r="A11322" s="9" t="str">
        <f>HYPERLINK("http://www.ensembl.org/id/WBGene00020146", "WBGene00020146")</f>
        <v>WBGene00020146</v>
      </c>
      <c r="B11322" s="9" t="str">
        <f>HYPERLINK("http://www.ncbi.nlm.nih.gov/gene/181726", "181726")</f>
        <v>181726</v>
      </c>
      <c r="C11322" s="9" t="str">
        <f>HYPERLINK("http://www.ncbi.nlm.nih.gov/gene/2805", "2805")</f>
        <v>2805</v>
      </c>
      <c r="D11322" t="str">
        <f>"got-1.2"</f>
        <v>got-1.2</v>
      </c>
      <c r="E11322" t="s">
        <v>8703</v>
      </c>
      <c r="F11322" t="s">
        <v>11</v>
      </c>
      <c r="G11322" t="s">
        <v>8704</v>
      </c>
      <c r="H11322" s="12">
        <v>-1.1923039071975901</v>
      </c>
      <c r="I11322" s="20">
        <v>-0.96289834713636102</v>
      </c>
      <c r="J11322" s="28">
        <v>0.33559853914052601</v>
      </c>
      <c r="K11322" s="29">
        <v>0.98289565623980701</v>
      </c>
    </row>
    <row r="11323" spans="1:11" x14ac:dyDescent="0.35">
      <c r="A11323" s="9" t="str">
        <f>HYPERLINK("http://www.ensembl.org/id/WBGene00001663", "WBGene00001663")</f>
        <v>WBGene00001663</v>
      </c>
      <c r="B11323" s="9" t="str">
        <f>HYPERLINK("http://www.ncbi.nlm.nih.gov/gene/179546", "179546")</f>
        <v>179546</v>
      </c>
      <c r="C11323" s="9"/>
      <c r="D11323" t="str">
        <f>"gpa-1"</f>
        <v>gpa-1</v>
      </c>
      <c r="E11323" t="s">
        <v>4665</v>
      </c>
      <c r="F11323" t="s">
        <v>11</v>
      </c>
      <c r="G11323" t="s">
        <v>1797</v>
      </c>
      <c r="H11323" s="12">
        <v>1.5191490587426999</v>
      </c>
      <c r="I11323" s="20">
        <v>0.813516285578743</v>
      </c>
      <c r="J11323" s="28">
        <v>0.41592211296693199</v>
      </c>
      <c r="K11323" s="29">
        <v>0.98289565623980701</v>
      </c>
    </row>
    <row r="11324" spans="1:11" x14ac:dyDescent="0.35">
      <c r="A11324" s="9" t="str">
        <f>HYPERLINK("http://www.ensembl.org/id/WBGene00001673", "WBGene00001673")</f>
        <v>WBGene00001673</v>
      </c>
      <c r="B11324" s="9" t="str">
        <f>HYPERLINK("http://www.ncbi.nlm.nih.gov/gene/173759", "173759")</f>
        <v>173759</v>
      </c>
      <c r="C11324" s="9"/>
      <c r="D11324" t="str">
        <f>"gpa-11"</f>
        <v>gpa-11</v>
      </c>
      <c r="E11324" t="s">
        <v>4629</v>
      </c>
      <c r="F11324" t="s">
        <v>11</v>
      </c>
      <c r="G11324" t="s">
        <v>1797</v>
      </c>
      <c r="H11324" s="12">
        <v>1.5762232015780699</v>
      </c>
      <c r="I11324" s="20">
        <v>0.625882032198117</v>
      </c>
      <c r="J11324" s="28">
        <v>0.53139232062659403</v>
      </c>
      <c r="K11324" s="29">
        <v>0.98289565623980701</v>
      </c>
    </row>
    <row r="11325" spans="1:11" x14ac:dyDescent="0.35">
      <c r="A11325" s="9" t="str">
        <f>HYPERLINK("http://www.ensembl.org/id/WBGene00001675", "WBGene00001675")</f>
        <v>WBGene00001675</v>
      </c>
      <c r="B11325" s="9" t="str">
        <f>HYPERLINK("http://www.ncbi.nlm.nih.gov/gene/179746", "179746")</f>
        <v>179746</v>
      </c>
      <c r="C11325" s="9"/>
      <c r="D11325" t="str">
        <f>"gpa-13"</f>
        <v>gpa-13</v>
      </c>
      <c r="E11325" t="s">
        <v>4783</v>
      </c>
      <c r="F11325" t="s">
        <v>11</v>
      </c>
      <c r="G11325" t="s">
        <v>4784</v>
      </c>
      <c r="H11325" s="12">
        <v>1.38064316473936</v>
      </c>
      <c r="I11325" s="20">
        <v>0.56132892078770102</v>
      </c>
      <c r="J11325" s="28">
        <v>0.57457332949137596</v>
      </c>
      <c r="K11325" s="29">
        <v>0.98289565623980701</v>
      </c>
    </row>
    <row r="11326" spans="1:11" x14ac:dyDescent="0.35">
      <c r="A11326" s="9" t="str">
        <f>HYPERLINK("http://www.ensembl.org/id/WBGene00001677", "WBGene00001677")</f>
        <v>WBGene00001677</v>
      </c>
      <c r="B11326" s="9" t="str">
        <f>HYPERLINK("http://www.ncbi.nlm.nih.gov/gene/172645", "172645")</f>
        <v>172645</v>
      </c>
      <c r="C11326" s="9"/>
      <c r="D11326" t="str">
        <f>"gpa-15"</f>
        <v>gpa-15</v>
      </c>
      <c r="E11326" t="s">
        <v>4572</v>
      </c>
      <c r="F11326" t="s">
        <v>11</v>
      </c>
      <c r="G11326" t="s">
        <v>1797</v>
      </c>
      <c r="H11326" s="12">
        <v>1.67060966327694</v>
      </c>
      <c r="I11326" s="20">
        <v>0.88459219894063701</v>
      </c>
      <c r="J11326" s="28">
        <v>0.37637661562893399</v>
      </c>
      <c r="K11326" s="29">
        <v>0.98289565623980701</v>
      </c>
    </row>
    <row r="11327" spans="1:11" x14ac:dyDescent="0.35">
      <c r="A11327" s="9" t="str">
        <f>HYPERLINK("http://www.ensembl.org/id/WBGene00020997", "WBGene00020997")</f>
        <v>WBGene00020997</v>
      </c>
      <c r="B11327" s="9" t="str">
        <f>HYPERLINK("http://www.ncbi.nlm.nih.gov/gene/189161", "189161")</f>
        <v>189161</v>
      </c>
      <c r="C11327" s="9"/>
      <c r="D11327" t="str">
        <f>"gpa-18"</f>
        <v>gpa-18</v>
      </c>
      <c r="E11327" t="s">
        <v>4842</v>
      </c>
      <c r="F11327" t="s">
        <v>11</v>
      </c>
      <c r="G11327" t="s">
        <v>4843</v>
      </c>
      <c r="H11327" s="12">
        <v>1.33811352891821</v>
      </c>
      <c r="I11327" s="20">
        <v>0.87186342516258497</v>
      </c>
      <c r="J11327" s="28">
        <v>0.38328288871113197</v>
      </c>
      <c r="K11327" s="29">
        <v>0.98289565623980701</v>
      </c>
    </row>
    <row r="11328" spans="1:11" x14ac:dyDescent="0.35">
      <c r="A11328" s="9" t="str">
        <f>HYPERLINK("http://www.ensembl.org/id/WBGene00001666", "WBGene00001666")</f>
        <v>WBGene00001666</v>
      </c>
      <c r="B11328" s="9" t="str">
        <f>HYPERLINK("http://www.ncbi.nlm.nih.gov/gene/176865", "176865")</f>
        <v>176865</v>
      </c>
      <c r="C11328" s="9"/>
      <c r="D11328" t="str">
        <f>"gpa-4"</f>
        <v>gpa-4</v>
      </c>
      <c r="E11328" t="s">
        <v>9933</v>
      </c>
      <c r="F11328" t="s">
        <v>11</v>
      </c>
      <c r="G11328" t="s">
        <v>875</v>
      </c>
      <c r="H11328" s="12">
        <v>-1.4199125105196899</v>
      </c>
      <c r="I11328" s="20">
        <v>-0.57272216546028498</v>
      </c>
      <c r="J11328" s="28">
        <v>0.56683282704046101</v>
      </c>
      <c r="K11328" s="29">
        <v>0.98289565623980701</v>
      </c>
    </row>
    <row r="11329" spans="1:11" x14ac:dyDescent="0.35">
      <c r="A11329" s="9" t="str">
        <f>HYPERLINK("http://www.ensembl.org/id/WBGene00001667", "WBGene00001667")</f>
        <v>WBGene00001667</v>
      </c>
      <c r="B11329" s="9" t="str">
        <f>HYPERLINK("http://www.ncbi.nlm.nih.gov/gene/180527", "180527")</f>
        <v>180527</v>
      </c>
      <c r="C11329" s="9"/>
      <c r="D11329" t="str">
        <f>"gpa-5"</f>
        <v>gpa-5</v>
      </c>
      <c r="E11329" t="s">
        <v>4621</v>
      </c>
      <c r="F11329" t="s">
        <v>11</v>
      </c>
      <c r="G11329" t="s">
        <v>1797</v>
      </c>
      <c r="H11329" s="12">
        <v>1.5933443980820901</v>
      </c>
      <c r="I11329" s="20">
        <v>0.704339594164753</v>
      </c>
      <c r="J11329" s="28">
        <v>0.48122131434695098</v>
      </c>
      <c r="K11329" s="29">
        <v>0.98289565623980701</v>
      </c>
    </row>
    <row r="11330" spans="1:11" x14ac:dyDescent="0.35">
      <c r="A11330" s="9" t="str">
        <f>HYPERLINK("http://www.ensembl.org/id/WBGene00001668", "WBGene00001668")</f>
        <v>WBGene00001668</v>
      </c>
      <c r="B11330" s="9" t="str">
        <f>HYPERLINK("http://www.ncbi.nlm.nih.gov/gene/181442", "181442")</f>
        <v>181442</v>
      </c>
      <c r="C11330" s="9"/>
      <c r="D11330" t="str">
        <f>"gpa-6"</f>
        <v>gpa-6</v>
      </c>
      <c r="E11330" t="s">
        <v>5201</v>
      </c>
      <c r="F11330" t="s">
        <v>11</v>
      </c>
      <c r="G11330" t="s">
        <v>1797</v>
      </c>
      <c r="H11330" s="12">
        <v>1.2170423254451499</v>
      </c>
      <c r="I11330" s="20">
        <v>0.49197097523835398</v>
      </c>
      <c r="J11330" s="28">
        <v>0.62273986216826305</v>
      </c>
      <c r="K11330" s="29">
        <v>0.98289565623980701</v>
      </c>
    </row>
    <row r="11331" spans="1:11" x14ac:dyDescent="0.35">
      <c r="A11331" s="9" t="str">
        <f>HYPERLINK("http://www.ensembl.org/id/WBGene00001670", "WBGene00001670")</f>
        <v>WBGene00001670</v>
      </c>
      <c r="B11331" s="9" t="str">
        <f>HYPERLINK("http://www.ncbi.nlm.nih.gov/gene/179731", "179731")</f>
        <v>179731</v>
      </c>
      <c r="C11331" s="9"/>
      <c r="D11331" t="str">
        <f>"gpa-8"</f>
        <v>gpa-8</v>
      </c>
      <c r="E11331" t="s">
        <v>4744</v>
      </c>
      <c r="F11331" t="s">
        <v>11</v>
      </c>
      <c r="G11331" t="s">
        <v>1797</v>
      </c>
      <c r="H11331" s="12">
        <v>1.41971558753592</v>
      </c>
      <c r="I11331" s="20">
        <v>0.70681205814680503</v>
      </c>
      <c r="J11331" s="28">
        <v>0.47968328013818201</v>
      </c>
      <c r="K11331" s="29">
        <v>0.98289565623980701</v>
      </c>
    </row>
    <row r="11332" spans="1:11" x14ac:dyDescent="0.35">
      <c r="A11332" s="9" t="str">
        <f>HYPERLINK("http://www.ensembl.org/id/WBGene00012390", "WBGene00012390")</f>
        <v>WBGene00012390</v>
      </c>
      <c r="B11332" s="9" t="str">
        <f>HYPERLINK("http://www.ncbi.nlm.nih.gov/gene/173241", "173241")</f>
        <v>173241</v>
      </c>
      <c r="C11332" s="9" t="str">
        <f>HYPERLINK("http://www.ncbi.nlm.nih.gov/gene/54928", "54928")</f>
        <v>54928</v>
      </c>
      <c r="D11332" t="str">
        <f>"gpap-1"</f>
        <v>gpap-1</v>
      </c>
      <c r="E11332" t="s">
        <v>6953</v>
      </c>
      <c r="F11332" t="s">
        <v>11</v>
      </c>
      <c r="G11332" t="s">
        <v>6954</v>
      </c>
      <c r="H11332" s="12">
        <v>-1.0994256916104499</v>
      </c>
      <c r="I11332" s="20">
        <v>-0.42309610977967199</v>
      </c>
      <c r="J11332" s="28">
        <v>0.672225140578943</v>
      </c>
      <c r="K11332" s="29">
        <v>0.98289565623980701</v>
      </c>
    </row>
    <row r="11333" spans="1:11" x14ac:dyDescent="0.35">
      <c r="A11333" s="9" t="str">
        <f>HYPERLINK("http://www.ensembl.org/id/WBGene00001679", "WBGene00001679")</f>
        <v>WBGene00001679</v>
      </c>
      <c r="B11333" s="9" t="str">
        <f>HYPERLINK("http://www.ncbi.nlm.nih.gov/gene/174803", "174803")</f>
        <v>174803</v>
      </c>
      <c r="C11333" s="9" t="str">
        <f>HYPERLINK("http://www.ncbi.nlm.nih.gov/gene/2782", "2782")</f>
        <v>2782</v>
      </c>
      <c r="D11333" t="str">
        <f>"gpb-1"</f>
        <v>gpb-1</v>
      </c>
      <c r="E11333" t="s">
        <v>6307</v>
      </c>
      <c r="F11333" t="s">
        <v>11</v>
      </c>
      <c r="G11333" t="s">
        <v>6308</v>
      </c>
      <c r="H11333" s="12">
        <v>-1.06144685631541</v>
      </c>
      <c r="I11333" s="20">
        <v>-0.33437902240665301</v>
      </c>
      <c r="J11333" s="28">
        <v>0.73809356700790396</v>
      </c>
      <c r="K11333" s="29">
        <v>0.98289565623980701</v>
      </c>
    </row>
    <row r="11334" spans="1:11" x14ac:dyDescent="0.35">
      <c r="A11334" s="9" t="str">
        <f>HYPERLINK("http://www.ensembl.org/id/WBGene00001681", "WBGene00001681")</f>
        <v>WBGene00001681</v>
      </c>
      <c r="B11334" s="9" t="str">
        <f>HYPERLINK("http://www.ncbi.nlm.nih.gov/gene/181424", "181424")</f>
        <v>181424</v>
      </c>
      <c r="C11334" s="9"/>
      <c r="D11334" t="str">
        <f>"gpc-1"</f>
        <v>gpc-1</v>
      </c>
      <c r="E11334" t="s">
        <v>7553</v>
      </c>
      <c r="F11334" t="s">
        <v>11</v>
      </c>
      <c r="G11334" t="s">
        <v>7554</v>
      </c>
      <c r="H11334" s="12">
        <v>-1.1330468066855299</v>
      </c>
      <c r="I11334" s="20">
        <v>-0.450789658544613</v>
      </c>
      <c r="J11334" s="28">
        <v>0.65214115539476203</v>
      </c>
      <c r="K11334" s="29">
        <v>0.98289565623980701</v>
      </c>
    </row>
    <row r="11335" spans="1:11" x14ac:dyDescent="0.35">
      <c r="A11335" s="9" t="str">
        <f>HYPERLINK("http://www.ensembl.org/id/WBGene00001682", "WBGene00001682")</f>
        <v>WBGene00001682</v>
      </c>
      <c r="B11335" s="9" t="str">
        <f>HYPERLINK("http://www.ncbi.nlm.nih.gov/gene/172396", "172396")</f>
        <v>172396</v>
      </c>
      <c r="C11335" s="9"/>
      <c r="D11335" t="str">
        <f>"gpc-2"</f>
        <v>gpc-2</v>
      </c>
      <c r="E11335" t="s">
        <v>5941</v>
      </c>
      <c r="F11335" t="s">
        <v>11</v>
      </c>
      <c r="G11335" t="s">
        <v>5942</v>
      </c>
      <c r="H11335" s="12">
        <v>1.0819906421188501</v>
      </c>
      <c r="I11335" s="20">
        <v>0.419065555551836</v>
      </c>
      <c r="J11335" s="28">
        <v>0.67516822292356904</v>
      </c>
      <c r="K11335" s="29">
        <v>0.98289565623980701</v>
      </c>
    </row>
    <row r="11336" spans="1:11" x14ac:dyDescent="0.35">
      <c r="A11336" s="9" t="str">
        <f>HYPERLINK("http://www.ensembl.org/id/WBGene00019612", "WBGene00019612")</f>
        <v>WBGene00019612</v>
      </c>
      <c r="B11336" s="9" t="str">
        <f>HYPERLINK("http://www.ncbi.nlm.nih.gov/gene/180600", "180600")</f>
        <v>180600</v>
      </c>
      <c r="C11336" s="9"/>
      <c r="D11336" t="str">
        <f>"gpcp-1"</f>
        <v>gpcp-1</v>
      </c>
      <c r="E11336" t="s">
        <v>4958</v>
      </c>
      <c r="F11336" t="s">
        <v>11</v>
      </c>
      <c r="G11336" t="s">
        <v>3129</v>
      </c>
      <c r="H11336" s="12">
        <v>1.2811369249406801</v>
      </c>
      <c r="I11336" s="20">
        <v>1.18073337905983</v>
      </c>
      <c r="J11336" s="28">
        <v>0.237708657014925</v>
      </c>
      <c r="K11336" s="29">
        <v>0.98289565623980701</v>
      </c>
    </row>
    <row r="11337" spans="1:11" x14ac:dyDescent="0.35">
      <c r="A11337" s="9" t="str">
        <f>HYPERLINK("http://www.ensembl.org/id/WBGene00001684", "WBGene00001684")</f>
        <v>WBGene00001684</v>
      </c>
      <c r="B11337" s="9" t="str">
        <f>HYPERLINK("http://www.ncbi.nlm.nih.gov/gene/3565504", "3565504")</f>
        <v>3565504</v>
      </c>
      <c r="C11337" s="9" t="str">
        <f>HYPERLINK("http://www.ncbi.nlm.nih.gov/gene/2597", "2597")</f>
        <v>2597</v>
      </c>
      <c r="D11337" t="str">
        <f>"gpd-2"</f>
        <v>gpd-2</v>
      </c>
      <c r="E11337" t="s">
        <v>9297</v>
      </c>
      <c r="F11337" t="s">
        <v>11</v>
      </c>
      <c r="G11337" t="s">
        <v>286</v>
      </c>
      <c r="H11337" s="12">
        <v>-1.2358042345245499</v>
      </c>
      <c r="I11337" s="20">
        <v>-1.12361273976888</v>
      </c>
      <c r="J11337" s="28">
        <v>0.26117734913677298</v>
      </c>
      <c r="K11337" s="29">
        <v>0.98289565623980701</v>
      </c>
    </row>
    <row r="11338" spans="1:11" x14ac:dyDescent="0.35">
      <c r="A11338" s="9" t="str">
        <f>HYPERLINK("http://www.ensembl.org/id/WBGene00010778", "WBGene00010778")</f>
        <v>WBGene00010778</v>
      </c>
      <c r="B11338" s="9" t="str">
        <f>HYPERLINK("http://www.ncbi.nlm.nih.gov/gene/176399", "176399")</f>
        <v>176399</v>
      </c>
      <c r="C11338" s="9" t="str">
        <f>HYPERLINK("http://www.ncbi.nlm.nih.gov/gene/2819", "2819")</f>
        <v>2819</v>
      </c>
      <c r="D11338" t="str">
        <f>"gpdh-2"</f>
        <v>gpdh-2</v>
      </c>
      <c r="E11338" t="s">
        <v>7094</v>
      </c>
      <c r="F11338" t="s">
        <v>11</v>
      </c>
      <c r="G11338" t="s">
        <v>7095</v>
      </c>
      <c r="H11338" s="12">
        <v>-1.1067206743088001</v>
      </c>
      <c r="I11338" s="20">
        <v>-0.55543882995074501</v>
      </c>
      <c r="J11338" s="28">
        <v>0.57859453926536097</v>
      </c>
      <c r="K11338" s="29">
        <v>0.98289565623980701</v>
      </c>
    </row>
    <row r="11339" spans="1:11" x14ac:dyDescent="0.35">
      <c r="A11339" s="9" t="str">
        <f>HYPERLINK("http://www.ensembl.org/id/WBGene00013597", "WBGene00013597")</f>
        <v>WBGene00013597</v>
      </c>
      <c r="B11339" s="9" t="str">
        <f>HYPERLINK("http://www.ncbi.nlm.nih.gov/gene/173227", "173227")</f>
        <v>173227</v>
      </c>
      <c r="C11339" s="9" t="str">
        <f>HYPERLINK("http://www.ncbi.nlm.nih.gov/gene/2821", "2821")</f>
        <v>2821</v>
      </c>
      <c r="D11339" t="str">
        <f>"gpi-1"</f>
        <v>gpi-1</v>
      </c>
      <c r="E11339" t="s">
        <v>8685</v>
      </c>
      <c r="F11339" t="s">
        <v>11</v>
      </c>
      <c r="G11339" t="s">
        <v>8686</v>
      </c>
      <c r="H11339" s="12">
        <v>-1.19050567420577</v>
      </c>
      <c r="I11339" s="20">
        <v>-0.94805577045450995</v>
      </c>
      <c r="J11339" s="28">
        <v>0.34310106313640898</v>
      </c>
      <c r="K11339" s="29">
        <v>0.98289565623980701</v>
      </c>
    </row>
    <row r="11340" spans="1:11" x14ac:dyDescent="0.35">
      <c r="A11340" s="9" t="str">
        <f>HYPERLINK("http://www.ensembl.org/id/WBGene00001689", "WBGene00001689")</f>
        <v>WBGene00001689</v>
      </c>
      <c r="B11340" s="9" t="str">
        <f>HYPERLINK("http://www.ncbi.nlm.nih.gov/gene/176318", "176318")</f>
        <v>176318</v>
      </c>
      <c r="C11340" s="9"/>
      <c r="D11340" t="str">
        <f>"gpr-2"</f>
        <v>gpr-2</v>
      </c>
      <c r="E11340" t="s">
        <v>6651</v>
      </c>
      <c r="F11340" t="s">
        <v>11</v>
      </c>
      <c r="G11340" t="s">
        <v>6652</v>
      </c>
      <c r="H11340" s="12">
        <v>-1.0829278505945601</v>
      </c>
      <c r="I11340" s="20">
        <v>-0.28124763929332403</v>
      </c>
      <c r="J11340" s="28">
        <v>0.77852046774513395</v>
      </c>
      <c r="K11340" s="29">
        <v>0.98289565623980701</v>
      </c>
    </row>
    <row r="11341" spans="1:11" x14ac:dyDescent="0.35">
      <c r="A11341" s="9" t="str">
        <f>HYPERLINK("http://www.ensembl.org/id/WBGene00009165", "WBGene00009165")</f>
        <v>WBGene00009165</v>
      </c>
      <c r="B11341" s="9" t="str">
        <f>HYPERLINK("http://www.ncbi.nlm.nih.gov/gene/184981", "184981")</f>
        <v>184981</v>
      </c>
      <c r="C11341" s="9"/>
      <c r="D11341" t="str">
        <f>"gpx-1"</f>
        <v>gpx-1</v>
      </c>
      <c r="E11341" t="s">
        <v>7841</v>
      </c>
      <c r="F11341" t="s">
        <v>11</v>
      </c>
      <c r="G11341" t="s">
        <v>670</v>
      </c>
      <c r="H11341" s="12">
        <v>-1.14782162163934</v>
      </c>
      <c r="I11341" s="20">
        <v>-0.67828958030981901</v>
      </c>
      <c r="J11341" s="28">
        <v>0.49758810392768499</v>
      </c>
      <c r="K11341" s="29">
        <v>0.98289565623980701</v>
      </c>
    </row>
    <row r="11342" spans="1:11" x14ac:dyDescent="0.35">
      <c r="A11342" s="9" t="str">
        <f>HYPERLINK("http://www.ensembl.org/id/WBGene00011045", "WBGene00011045")</f>
        <v>WBGene00011045</v>
      </c>
      <c r="B11342" s="9" t="str">
        <f>HYPERLINK("http://www.ncbi.nlm.nih.gov/gene/187630", "187630")</f>
        <v>187630</v>
      </c>
      <c r="C11342" s="9"/>
      <c r="D11342" t="str">
        <f>"gpx-2"</f>
        <v>gpx-2</v>
      </c>
      <c r="E11342" t="s">
        <v>6336</v>
      </c>
      <c r="F11342" t="s">
        <v>11</v>
      </c>
      <c r="G11342" t="s">
        <v>6337</v>
      </c>
      <c r="H11342" s="12">
        <v>-1.0634283810429199</v>
      </c>
      <c r="I11342" s="20">
        <v>-0.33275613108080299</v>
      </c>
      <c r="J11342" s="28">
        <v>0.73931837515017695</v>
      </c>
      <c r="K11342" s="29">
        <v>0.98289565623980701</v>
      </c>
    </row>
    <row r="11343" spans="1:11" x14ac:dyDescent="0.35">
      <c r="A11343" s="9" t="str">
        <f>HYPERLINK("http://www.ensembl.org/id/WBGene00022377", "WBGene00022377")</f>
        <v>WBGene00022377</v>
      </c>
      <c r="B11343" s="9" t="str">
        <f>HYPERLINK("http://www.ncbi.nlm.nih.gov/gene/190801", "190801")</f>
        <v>190801</v>
      </c>
      <c r="C11343" s="9" t="str">
        <f>HYPERLINK("http://www.ncbi.nlm.nih.gov/gene/2880", "2880")</f>
        <v>2880</v>
      </c>
      <c r="D11343" t="str">
        <f>"gpx-4"</f>
        <v>gpx-4</v>
      </c>
      <c r="E11343" t="s">
        <v>2224</v>
      </c>
      <c r="F11343" t="s">
        <v>11</v>
      </c>
      <c r="G11343" t="s">
        <v>4620</v>
      </c>
      <c r="H11343" s="12">
        <v>1.5959513732816</v>
      </c>
      <c r="I11343" s="20">
        <v>0.79490856167903701</v>
      </c>
      <c r="J11343" s="28">
        <v>0.42666669357398601</v>
      </c>
      <c r="K11343" s="29">
        <v>0.98289565623980701</v>
      </c>
    </row>
    <row r="11344" spans="1:11" x14ac:dyDescent="0.35">
      <c r="A11344" s="9" t="str">
        <f>HYPERLINK("http://www.ensembl.org/id/WBGene00020373", "WBGene00020373")</f>
        <v>WBGene00020373</v>
      </c>
      <c r="B11344" s="9" t="str">
        <f>HYPERLINK("http://www.ncbi.nlm.nih.gov/gene/188313", "188313")</f>
        <v>188313</v>
      </c>
      <c r="C11344" s="9" t="str">
        <f>HYPERLINK("http://www.ncbi.nlm.nih.gov/gene/2879", "2879")</f>
        <v>2879</v>
      </c>
      <c r="D11344" t="str">
        <f>"gpx-6"</f>
        <v>gpx-6</v>
      </c>
      <c r="E11344" t="s">
        <v>2224</v>
      </c>
      <c r="F11344" t="s">
        <v>11</v>
      </c>
      <c r="G11344" t="s">
        <v>4620</v>
      </c>
      <c r="H11344" s="12">
        <v>-1.3316011095076901</v>
      </c>
      <c r="I11344" s="20">
        <v>-0.97000034387678502</v>
      </c>
      <c r="J11344" s="28">
        <v>0.33204632071987999</v>
      </c>
      <c r="K11344" s="29">
        <v>0.98289565623980701</v>
      </c>
    </row>
    <row r="11345" spans="1:11" x14ac:dyDescent="0.35">
      <c r="A11345" s="9" t="str">
        <f>HYPERLINK("http://www.ensembl.org/id/WBGene00019846", "WBGene00019846")</f>
        <v>WBGene00019846</v>
      </c>
      <c r="B11345" s="9" t="str">
        <f>HYPERLINK("http://www.ncbi.nlm.nih.gov/gene/187542", "187542")</f>
        <v>187542</v>
      </c>
      <c r="C11345" s="9" t="str">
        <f>HYPERLINK("http://www.ncbi.nlm.nih.gov/gene/2879", "2879")</f>
        <v>2879</v>
      </c>
      <c r="D11345" t="str">
        <f>"gpx-7"</f>
        <v>gpx-7</v>
      </c>
      <c r="E11345" t="s">
        <v>2224</v>
      </c>
      <c r="F11345" t="s">
        <v>11</v>
      </c>
      <c r="G11345" t="s">
        <v>9503</v>
      </c>
      <c r="H11345" s="12">
        <v>-1.2526020827022599</v>
      </c>
      <c r="I11345" s="20">
        <v>-0.85263711047480495</v>
      </c>
      <c r="J11345" s="28">
        <v>0.39386057622863602</v>
      </c>
      <c r="K11345" s="29">
        <v>0.98289565623980701</v>
      </c>
    </row>
    <row r="11346" spans="1:11" x14ac:dyDescent="0.35">
      <c r="A11346" s="9" t="str">
        <f>HYPERLINK("http://www.ensembl.org/id/WBGene00018850", "WBGene00018850")</f>
        <v>WBGene00018850</v>
      </c>
      <c r="B11346" s="9" t="str">
        <f>HYPERLINK("http://www.ncbi.nlm.nih.gov/gene/172983", "172983")</f>
        <v>172983</v>
      </c>
      <c r="C11346" s="9"/>
      <c r="D11346" t="str">
        <f>"gpx-8"</f>
        <v>gpx-8</v>
      </c>
      <c r="E11346" t="s">
        <v>10016</v>
      </c>
      <c r="F11346" t="s">
        <v>11</v>
      </c>
      <c r="G11346" t="s">
        <v>10017</v>
      </c>
      <c r="H11346" s="12">
        <v>-1.7607881163574499</v>
      </c>
      <c r="I11346" s="20">
        <v>-0.74347005084045503</v>
      </c>
      <c r="J11346" s="28">
        <v>0.45719714711484799</v>
      </c>
      <c r="K11346" s="29">
        <v>0.98289565623980701</v>
      </c>
    </row>
    <row r="11347" spans="1:11" x14ac:dyDescent="0.35">
      <c r="A11347" s="9" t="str">
        <f>HYPERLINK("http://www.ensembl.org/id/WBGene00001700", "WBGene00001700")</f>
        <v>WBGene00001700</v>
      </c>
      <c r="B11347" s="9" t="str">
        <f>HYPERLINK("http://www.ncbi.nlm.nih.gov/gene/186880", "186880")</f>
        <v>186880</v>
      </c>
      <c r="C11347" s="9"/>
      <c r="D11347" t="str">
        <f>"grd-11"</f>
        <v>grd-11</v>
      </c>
      <c r="E11347" t="s">
        <v>749</v>
      </c>
      <c r="F11347" t="s">
        <v>11</v>
      </c>
      <c r="G11347" t="s">
        <v>4880</v>
      </c>
      <c r="H11347" s="12">
        <v>1.3159676633775901</v>
      </c>
      <c r="I11347" s="20">
        <v>0.33406409585873498</v>
      </c>
      <c r="J11347" s="28">
        <v>0.73833119254208701</v>
      </c>
      <c r="K11347" s="29">
        <v>0.98289565623980701</v>
      </c>
    </row>
    <row r="11348" spans="1:11" x14ac:dyDescent="0.35">
      <c r="A11348" s="9" t="str">
        <f>HYPERLINK("http://www.ensembl.org/id/WBGene00001702", "WBGene00001702")</f>
        <v>WBGene00001702</v>
      </c>
      <c r="B11348" s="9" t="str">
        <f>HYPERLINK("http://www.ncbi.nlm.nih.gov/gene/3565619", "3565619")</f>
        <v>3565619</v>
      </c>
      <c r="C11348" s="9"/>
      <c r="D11348" t="str">
        <f>"grd-13"</f>
        <v>grd-13</v>
      </c>
      <c r="E11348" t="s">
        <v>749</v>
      </c>
      <c r="F11348" t="s">
        <v>11</v>
      </c>
      <c r="H11348" s="12">
        <v>-1.9513138125670799</v>
      </c>
      <c r="I11348" s="20">
        <v>-0.88600590708213001</v>
      </c>
      <c r="J11348" s="28">
        <v>0.37561434409072197</v>
      </c>
      <c r="K11348" s="29">
        <v>0.98289565623980701</v>
      </c>
    </row>
    <row r="11349" spans="1:11" x14ac:dyDescent="0.35">
      <c r="A11349" s="9" t="str">
        <f>HYPERLINK("http://www.ensembl.org/id/WBGene00001703", "WBGene00001703")</f>
        <v>WBGene00001703</v>
      </c>
      <c r="B11349" s="9" t="str">
        <f>HYPERLINK("http://www.ncbi.nlm.nih.gov/gene/187934", "187934")</f>
        <v>187934</v>
      </c>
      <c r="C11349" s="9"/>
      <c r="D11349" t="str">
        <f>"grd-14"</f>
        <v>grd-14</v>
      </c>
      <c r="E11349" t="s">
        <v>749</v>
      </c>
      <c r="F11349" t="s">
        <v>11</v>
      </c>
      <c r="H11349" s="12">
        <v>1.72033916584561</v>
      </c>
      <c r="I11349" s="20">
        <v>0.94262451657261803</v>
      </c>
      <c r="J11349" s="28">
        <v>0.34587299513073699</v>
      </c>
      <c r="K11349" s="29">
        <v>0.98289565623980701</v>
      </c>
    </row>
    <row r="11350" spans="1:11" x14ac:dyDescent="0.35">
      <c r="A11350" s="9" t="str">
        <f>HYPERLINK("http://www.ensembl.org/id/WBGene00001704", "WBGene00001704")</f>
        <v>WBGene00001704</v>
      </c>
      <c r="B11350" s="9" t="str">
        <f>HYPERLINK("http://www.ncbi.nlm.nih.gov/gene/3565288", "3565288")</f>
        <v>3565288</v>
      </c>
      <c r="C11350" s="9"/>
      <c r="D11350" t="str">
        <f>"grd-15"</f>
        <v>grd-15</v>
      </c>
      <c r="E11350" t="s">
        <v>749</v>
      </c>
      <c r="F11350" t="s">
        <v>11</v>
      </c>
      <c r="H11350" s="12">
        <v>1.4959870543359901</v>
      </c>
      <c r="I11350" s="20">
        <v>0.44118050384601198</v>
      </c>
      <c r="J11350" s="28">
        <v>0.65908232629194397</v>
      </c>
      <c r="K11350" s="29">
        <v>0.98289565623980701</v>
      </c>
    </row>
    <row r="11351" spans="1:11" x14ac:dyDescent="0.35">
      <c r="A11351" s="9" t="str">
        <f>HYPERLINK("http://www.ensembl.org/id/WBGene00001693", "WBGene00001693")</f>
        <v>WBGene00001693</v>
      </c>
      <c r="B11351" s="9" t="str">
        <f>HYPERLINK("http://www.ncbi.nlm.nih.gov/gene/24104827", "24104827")</f>
        <v>24104827</v>
      </c>
      <c r="C11351" s="9"/>
      <c r="D11351" t="str">
        <f>"grd-4"</f>
        <v>grd-4</v>
      </c>
      <c r="E11351" t="s">
        <v>749</v>
      </c>
      <c r="F11351" t="s">
        <v>11</v>
      </c>
      <c r="H11351" s="12">
        <v>2.35656413055202</v>
      </c>
      <c r="I11351" s="20">
        <v>0.94116054158274098</v>
      </c>
      <c r="J11351" s="28">
        <v>0.34662259419309799</v>
      </c>
      <c r="K11351" s="29">
        <v>0.98289565623980701</v>
      </c>
    </row>
    <row r="11352" spans="1:11" x14ac:dyDescent="0.35">
      <c r="A11352" s="9" t="str">
        <f>HYPERLINK("http://www.ensembl.org/id/WBGene00001695", "WBGene00001695")</f>
        <v>WBGene00001695</v>
      </c>
      <c r="B11352" s="9" t="str">
        <f>HYPERLINK("http://www.ncbi.nlm.nih.gov/gene/24104900", "24104900")</f>
        <v>24104900</v>
      </c>
      <c r="C11352" s="9"/>
      <c r="D11352" t="str">
        <f>"grd-6"</f>
        <v>grd-6</v>
      </c>
      <c r="E11352" t="s">
        <v>749</v>
      </c>
      <c r="F11352" t="s">
        <v>11</v>
      </c>
      <c r="H11352" s="12">
        <v>-1.3615689919645999</v>
      </c>
      <c r="I11352" s="20">
        <v>-0.571206990229567</v>
      </c>
      <c r="J11352" s="28">
        <v>0.56785934036705699</v>
      </c>
      <c r="K11352" s="29">
        <v>0.98289565623980701</v>
      </c>
    </row>
    <row r="11353" spans="1:11" x14ac:dyDescent="0.35">
      <c r="A11353" s="9" t="str">
        <f>HYPERLINK("http://www.ensembl.org/id/WBGene00001708", "WBGene00001708")</f>
        <v>WBGene00001708</v>
      </c>
      <c r="B11353" s="9" t="str">
        <f>HYPERLINK("http://www.ncbi.nlm.nih.gov/gene/181212", "181212")</f>
        <v>181212</v>
      </c>
      <c r="C11353" s="9" t="str">
        <f>HYPERLINK("http://www.ncbi.nlm.nih.gov/gene/2869", "2869")</f>
        <v>2869</v>
      </c>
      <c r="D11353" t="str">
        <f>"grk-1"</f>
        <v>grk-1</v>
      </c>
      <c r="E11353" t="s">
        <v>6746</v>
      </c>
      <c r="F11353" t="s">
        <v>11</v>
      </c>
      <c r="G11353" t="s">
        <v>6747</v>
      </c>
      <c r="H11353" s="12">
        <v>-1.08690228548021</v>
      </c>
      <c r="I11353" s="20">
        <v>-0.456160856248923</v>
      </c>
      <c r="J11353" s="28">
        <v>0.64827431125046897</v>
      </c>
      <c r="K11353" s="29">
        <v>0.98289565623980701</v>
      </c>
    </row>
    <row r="11354" spans="1:11" x14ac:dyDescent="0.35">
      <c r="A11354" s="9" t="str">
        <f>HYPERLINK("http://www.ensembl.org/id/WBGene00001710", "WBGene00001710")</f>
        <v>WBGene00001710</v>
      </c>
      <c r="B11354" s="9" t="str">
        <f>HYPERLINK("http://www.ncbi.nlm.nih.gov/gene/182850", "182850")</f>
        <v>182850</v>
      </c>
      <c r="C11354" s="9"/>
      <c r="D11354" t="str">
        <f>"grl-1"</f>
        <v>grl-1</v>
      </c>
      <c r="E11354" t="s">
        <v>353</v>
      </c>
      <c r="F11354" t="s">
        <v>11</v>
      </c>
      <c r="H11354" s="12">
        <v>-2.69853887259017</v>
      </c>
      <c r="I11354" s="20">
        <v>-1.0551107405443001</v>
      </c>
      <c r="J11354" s="28">
        <v>0.29137468039136799</v>
      </c>
      <c r="K11354" s="29">
        <v>0.98289565623980701</v>
      </c>
    </row>
    <row r="11355" spans="1:11" x14ac:dyDescent="0.35">
      <c r="A11355" s="9" t="str">
        <f>HYPERLINK("http://www.ensembl.org/id/WBGene00001719", "WBGene00001719")</f>
        <v>WBGene00001719</v>
      </c>
      <c r="B11355" s="9" t="str">
        <f>HYPERLINK("http://www.ncbi.nlm.nih.gov/gene/179152", "179152")</f>
        <v>179152</v>
      </c>
      <c r="C11355" s="9"/>
      <c r="D11355" t="str">
        <f>"grl-10"</f>
        <v>grl-10</v>
      </c>
      <c r="E11355" t="s">
        <v>353</v>
      </c>
      <c r="F11355" t="s">
        <v>11</v>
      </c>
      <c r="H11355" s="12">
        <v>1.33685835152036</v>
      </c>
      <c r="I11355" s="20">
        <v>0.64899899696278096</v>
      </c>
      <c r="J11355" s="28">
        <v>0.51633902452864</v>
      </c>
      <c r="K11355" s="29">
        <v>0.98289565623980701</v>
      </c>
    </row>
    <row r="11356" spans="1:11" x14ac:dyDescent="0.35">
      <c r="A11356" s="9" t="str">
        <f>HYPERLINK("http://www.ensembl.org/id/WBGene00001720", "WBGene00001720")</f>
        <v>WBGene00001720</v>
      </c>
      <c r="B11356" s="9" t="str">
        <f>HYPERLINK("http://www.ncbi.nlm.nih.gov/gene/191341", "191341")</f>
        <v>191341</v>
      </c>
      <c r="C11356" s="9"/>
      <c r="D11356" t="str">
        <f>"grl-11"</f>
        <v>grl-11</v>
      </c>
      <c r="E11356" t="s">
        <v>353</v>
      </c>
      <c r="F11356" t="s">
        <v>11</v>
      </c>
      <c r="H11356" s="12">
        <v>-3.5358655235320899</v>
      </c>
      <c r="I11356" s="20">
        <v>-0.64566189642324701</v>
      </c>
      <c r="J11356" s="28">
        <v>0.51849834235829095</v>
      </c>
      <c r="K11356" s="29">
        <v>0.98289565623980701</v>
      </c>
    </row>
    <row r="11357" spans="1:11" x14ac:dyDescent="0.35">
      <c r="A11357" s="9" t="str">
        <f>HYPERLINK("http://www.ensembl.org/id/WBGene00001721", "WBGene00001721")</f>
        <v>WBGene00001721</v>
      </c>
      <c r="B11357" s="9" t="str">
        <f>HYPERLINK("http://www.ncbi.nlm.nih.gov/gene/185037", "185037")</f>
        <v>185037</v>
      </c>
      <c r="C11357" s="9"/>
      <c r="D11357" t="str">
        <f>"grl-12"</f>
        <v>grl-12</v>
      </c>
      <c r="E11357" t="s">
        <v>353</v>
      </c>
      <c r="F11357" t="s">
        <v>11</v>
      </c>
      <c r="H11357" s="12">
        <v>1.5344274289950499</v>
      </c>
      <c r="I11357" s="20">
        <v>0.65069030579895604</v>
      </c>
      <c r="J11357" s="28">
        <v>0.51524642228386097</v>
      </c>
      <c r="K11357" s="29">
        <v>0.98289565623980701</v>
      </c>
    </row>
    <row r="11358" spans="1:11" x14ac:dyDescent="0.35">
      <c r="A11358" s="9" t="str">
        <f>HYPERLINK("http://www.ensembl.org/id/WBGene00001722", "WBGene00001722")</f>
        <v>WBGene00001722</v>
      </c>
      <c r="B11358" s="9" t="str">
        <f>HYPERLINK("http://www.ncbi.nlm.nih.gov/gene/185200", "185200")</f>
        <v>185200</v>
      </c>
      <c r="C11358" s="9"/>
      <c r="D11358" t="str">
        <f>"grl-13"</f>
        <v>grl-13</v>
      </c>
      <c r="E11358" t="s">
        <v>353</v>
      </c>
      <c r="F11358" t="s">
        <v>11</v>
      </c>
      <c r="H11358" s="12">
        <v>-2.74548064968883</v>
      </c>
      <c r="I11358" s="20">
        <v>-0.54391271644609795</v>
      </c>
      <c r="J11358" s="28">
        <v>0.58650153779589898</v>
      </c>
      <c r="K11358" s="29">
        <v>0.98289565623980701</v>
      </c>
    </row>
    <row r="11359" spans="1:11" x14ac:dyDescent="0.35">
      <c r="A11359" s="9" t="str">
        <f>HYPERLINK("http://www.ensembl.org/id/WBGene00001723", "WBGene00001723")</f>
        <v>WBGene00001723</v>
      </c>
      <c r="B11359" s="9" t="str">
        <f>HYPERLINK("http://www.ncbi.nlm.nih.gov/gene/188013", "188013")</f>
        <v>188013</v>
      </c>
      <c r="C11359" s="9"/>
      <c r="D11359" t="str">
        <f>"grl-14"</f>
        <v>grl-14</v>
      </c>
      <c r="E11359" t="s">
        <v>353</v>
      </c>
      <c r="F11359" t="s">
        <v>11</v>
      </c>
      <c r="H11359" s="12">
        <v>-1.56182761529292</v>
      </c>
      <c r="I11359" s="20">
        <v>-0.381612609816392</v>
      </c>
      <c r="J11359" s="28">
        <v>0.70274872958888202</v>
      </c>
      <c r="K11359" s="29">
        <v>0.98289565623980701</v>
      </c>
    </row>
    <row r="11360" spans="1:11" x14ac:dyDescent="0.35">
      <c r="A11360" s="9" t="str">
        <f>HYPERLINK("http://www.ensembl.org/id/WBGene00001725", "WBGene00001725")</f>
        <v>WBGene00001725</v>
      </c>
      <c r="B11360" s="9" t="str">
        <f>HYPERLINK("http://www.ncbi.nlm.nih.gov/gene/171649", "171649")</f>
        <v>171649</v>
      </c>
      <c r="C11360" s="9"/>
      <c r="D11360" t="str">
        <f>"grl-16"</f>
        <v>grl-16</v>
      </c>
      <c r="E11360" t="s">
        <v>353</v>
      </c>
      <c r="F11360" t="s">
        <v>11</v>
      </c>
      <c r="H11360" s="12">
        <v>1.3863517514311201</v>
      </c>
      <c r="I11360" s="20">
        <v>0.69874378247690205</v>
      </c>
      <c r="J11360" s="28">
        <v>0.48471216700002201</v>
      </c>
      <c r="K11360" s="29">
        <v>0.98289565623980701</v>
      </c>
    </row>
    <row r="11361" spans="1:11" x14ac:dyDescent="0.35">
      <c r="A11361" s="9" t="str">
        <f>HYPERLINK("http://www.ensembl.org/id/WBGene00001727", "WBGene00001727")</f>
        <v>WBGene00001727</v>
      </c>
      <c r="B11361" s="9" t="str">
        <f>HYPERLINK("http://www.ncbi.nlm.nih.gov/gene/353441", "353441")</f>
        <v>353441</v>
      </c>
      <c r="C11361" s="9"/>
      <c r="D11361" t="str">
        <f>"grl-18"</f>
        <v>grl-18</v>
      </c>
      <c r="E11361" t="s">
        <v>353</v>
      </c>
      <c r="F11361" t="s">
        <v>11</v>
      </c>
      <c r="H11361" s="12">
        <v>1.7676557723125099</v>
      </c>
      <c r="I11361" s="20">
        <v>0.81475883155748896</v>
      </c>
      <c r="J11361" s="28">
        <v>0.41521037031237901</v>
      </c>
      <c r="K11361" s="29">
        <v>0.98289565623980701</v>
      </c>
    </row>
    <row r="11362" spans="1:11" x14ac:dyDescent="0.35">
      <c r="A11362" s="9" t="str">
        <f>HYPERLINK("http://www.ensembl.org/id/WBGene00001728", "WBGene00001728")</f>
        <v>WBGene00001728</v>
      </c>
      <c r="B11362" s="9" t="str">
        <f>HYPERLINK("http://www.ncbi.nlm.nih.gov/gene/176843", "176843")</f>
        <v>176843</v>
      </c>
      <c r="C11362" s="9"/>
      <c r="D11362" t="str">
        <f>"grl-19"</f>
        <v>grl-19</v>
      </c>
      <c r="E11362" t="s">
        <v>353</v>
      </c>
      <c r="F11362" t="s">
        <v>11</v>
      </c>
      <c r="H11362" s="12">
        <v>-3.7261494131482999</v>
      </c>
      <c r="I11362" s="20">
        <v>-0.38454673129429601</v>
      </c>
      <c r="J11362" s="28">
        <v>0.70057326682554</v>
      </c>
      <c r="K11362" s="29">
        <v>0.98289565623980701</v>
      </c>
    </row>
    <row r="11363" spans="1:11" x14ac:dyDescent="0.35">
      <c r="A11363" s="9" t="str">
        <f>HYPERLINK("http://www.ensembl.org/id/WBGene00001711", "WBGene00001711")</f>
        <v>WBGene00001711</v>
      </c>
      <c r="B11363" s="9" t="str">
        <f>HYPERLINK("http://www.ncbi.nlm.nih.gov/gene/179777", "179777")</f>
        <v>179777</v>
      </c>
      <c r="C11363" s="9"/>
      <c r="D11363" t="str">
        <f>"grl-2"</f>
        <v>grl-2</v>
      </c>
      <c r="E11363" t="s">
        <v>353</v>
      </c>
      <c r="F11363" t="s">
        <v>11</v>
      </c>
      <c r="H11363" s="12">
        <v>-2.1089333063437699</v>
      </c>
      <c r="I11363" s="20">
        <v>-0.80573124053866596</v>
      </c>
      <c r="J11363" s="28">
        <v>0.42039783214625598</v>
      </c>
      <c r="K11363" s="29">
        <v>0.98289565623980701</v>
      </c>
    </row>
    <row r="11364" spans="1:11" x14ac:dyDescent="0.35">
      <c r="A11364" s="9" t="str">
        <f>HYPERLINK("http://www.ensembl.org/id/WBGene00001731", "WBGene00001731")</f>
        <v>WBGene00001731</v>
      </c>
      <c r="B11364" s="9" t="str">
        <f>HYPERLINK("http://www.ncbi.nlm.nih.gov/gene/189140", "189140")</f>
        <v>189140</v>
      </c>
      <c r="C11364" s="9"/>
      <c r="D11364" t="str">
        <f>"grl-22"</f>
        <v>grl-22</v>
      </c>
      <c r="E11364" t="s">
        <v>353</v>
      </c>
      <c r="F11364" t="s">
        <v>11</v>
      </c>
      <c r="H11364" s="12">
        <v>1.4960662940835301</v>
      </c>
      <c r="I11364" s="20">
        <v>0.766527282474741</v>
      </c>
      <c r="J11364" s="28">
        <v>0.44336262478518501</v>
      </c>
      <c r="K11364" s="29">
        <v>0.98289565623980701</v>
      </c>
    </row>
    <row r="11365" spans="1:11" x14ac:dyDescent="0.35">
      <c r="A11365" s="9" t="str">
        <f>HYPERLINK("http://www.ensembl.org/id/WBGene00001732", "WBGene00001732")</f>
        <v>WBGene00001732</v>
      </c>
      <c r="B11365" s="9" t="str">
        <f>HYPERLINK("http://www.ncbi.nlm.nih.gov/gene/183983", "183983")</f>
        <v>183983</v>
      </c>
      <c r="C11365" s="9"/>
      <c r="D11365" t="str">
        <f>"grl-23"</f>
        <v>grl-23</v>
      </c>
      <c r="E11365" t="s">
        <v>353</v>
      </c>
      <c r="F11365" t="s">
        <v>11</v>
      </c>
      <c r="H11365" s="12">
        <v>2.0233039426056099</v>
      </c>
      <c r="I11365" s="20">
        <v>0.43200987878649599</v>
      </c>
      <c r="J11365" s="28">
        <v>0.66573423327585401</v>
      </c>
      <c r="K11365" s="29">
        <v>0.98289565623980701</v>
      </c>
    </row>
    <row r="11366" spans="1:11" x14ac:dyDescent="0.35">
      <c r="A11366" s="9" t="str">
        <f>HYPERLINK("http://www.ensembl.org/id/WBGene00001733", "WBGene00001733")</f>
        <v>WBGene00001733</v>
      </c>
      <c r="B11366" s="9" t="str">
        <f>HYPERLINK("http://www.ncbi.nlm.nih.gov/gene/178534", "178534")</f>
        <v>178534</v>
      </c>
      <c r="C11366" s="9"/>
      <c r="D11366" t="str">
        <f>"grl-24"</f>
        <v>grl-24</v>
      </c>
      <c r="E11366" t="s">
        <v>353</v>
      </c>
      <c r="F11366" t="s">
        <v>11</v>
      </c>
      <c r="H11366" s="12">
        <v>3.3578332753977902</v>
      </c>
      <c r="I11366" s="20">
        <v>0.62592989871753202</v>
      </c>
      <c r="J11366" s="28">
        <v>0.53136092257624701</v>
      </c>
      <c r="K11366" s="29">
        <v>0.98289565623980701</v>
      </c>
    </row>
    <row r="11367" spans="1:11" x14ac:dyDescent="0.35">
      <c r="A11367" s="9" t="str">
        <f>HYPERLINK("http://www.ensembl.org/id/WBGene00001736", "WBGene00001736")</f>
        <v>WBGene00001736</v>
      </c>
      <c r="B11367" s="9" t="str">
        <f>HYPERLINK("http://www.ncbi.nlm.nih.gov/gene/185516", "185516")</f>
        <v>185516</v>
      </c>
      <c r="C11367" s="9"/>
      <c r="D11367" t="str">
        <f>"grl-27"</f>
        <v>grl-27</v>
      </c>
      <c r="E11367" t="s">
        <v>353</v>
      </c>
      <c r="F11367" t="s">
        <v>11</v>
      </c>
      <c r="H11367" s="12">
        <v>2.0032892429759901</v>
      </c>
      <c r="I11367" s="20">
        <v>0.49851818414719201</v>
      </c>
      <c r="J11367" s="28">
        <v>0.61811885565893299</v>
      </c>
      <c r="K11367" s="29">
        <v>0.98289565623980701</v>
      </c>
    </row>
    <row r="11368" spans="1:11" x14ac:dyDescent="0.35">
      <c r="A11368" s="9" t="str">
        <f>HYPERLINK("http://www.ensembl.org/id/WBGene00001737", "WBGene00001737")</f>
        <v>WBGene00001737</v>
      </c>
      <c r="B11368" s="9" t="str">
        <f>HYPERLINK("http://www.ncbi.nlm.nih.gov/gene/188832", "188832")</f>
        <v>188832</v>
      </c>
      <c r="C11368" s="9"/>
      <c r="D11368" t="str">
        <f>"grl-28"</f>
        <v>grl-28</v>
      </c>
      <c r="E11368" t="s">
        <v>353</v>
      </c>
      <c r="F11368" t="s">
        <v>11</v>
      </c>
      <c r="H11368" s="12">
        <v>-9.6815265259172598</v>
      </c>
      <c r="I11368" s="20">
        <v>-0.67531719156077197</v>
      </c>
      <c r="J11368" s="28">
        <v>0.49947426381858001</v>
      </c>
      <c r="K11368" s="29">
        <v>0.98289565623980701</v>
      </c>
    </row>
    <row r="11369" spans="1:11" x14ac:dyDescent="0.35">
      <c r="A11369" s="9" t="str">
        <f>HYPERLINK("http://www.ensembl.org/id/WBGene00001712", "WBGene00001712")</f>
        <v>WBGene00001712</v>
      </c>
      <c r="B11369" s="9" t="str">
        <f>HYPERLINK("http://www.ncbi.nlm.nih.gov/gene/186928", "186928")</f>
        <v>186928</v>
      </c>
      <c r="C11369" s="9"/>
      <c r="D11369" t="str">
        <f>"grl-3"</f>
        <v>grl-3</v>
      </c>
      <c r="E11369" t="s">
        <v>353</v>
      </c>
      <c r="F11369" t="s">
        <v>11</v>
      </c>
      <c r="H11369" s="12">
        <v>2.4030666955446098</v>
      </c>
      <c r="I11369" s="20">
        <v>0.56969169609932402</v>
      </c>
      <c r="J11369" s="28">
        <v>0.56888682316105799</v>
      </c>
      <c r="K11369" s="29">
        <v>0.98289565623980701</v>
      </c>
    </row>
    <row r="11370" spans="1:11" x14ac:dyDescent="0.35">
      <c r="A11370" s="9" t="str">
        <f>HYPERLINK("http://www.ensembl.org/id/WBGene00020755", "WBGene00020755")</f>
        <v>WBGene00020755</v>
      </c>
      <c r="B11370" s="9" t="str">
        <f>HYPERLINK("http://www.ncbi.nlm.nih.gov/gene/188836", "188836")</f>
        <v>188836</v>
      </c>
      <c r="C11370" s="9"/>
      <c r="D11370" t="str">
        <f>"grl-31"</f>
        <v>grl-31</v>
      </c>
      <c r="E11370" t="s">
        <v>353</v>
      </c>
      <c r="F11370" t="s">
        <v>11</v>
      </c>
      <c r="H11370" s="12">
        <v>-2.3542308389442299</v>
      </c>
      <c r="I11370" s="20">
        <v>-0.28969954807757697</v>
      </c>
      <c r="J11370" s="28">
        <v>0.77204610208903102</v>
      </c>
      <c r="K11370" s="29">
        <v>0.98289565623980701</v>
      </c>
    </row>
    <row r="11371" spans="1:11" x14ac:dyDescent="0.35">
      <c r="A11371" s="9" t="str">
        <f>HYPERLINK("http://www.ensembl.org/id/WBGene00044279", "WBGene00044279")</f>
        <v>WBGene00044279</v>
      </c>
      <c r="B11371" s="9"/>
      <c r="C11371" s="9"/>
      <c r="D11371" t="str">
        <f>"grl-32"</f>
        <v>grl-32</v>
      </c>
      <c r="F11371" t="s">
        <v>80</v>
      </c>
      <c r="H11371" s="12">
        <v>1.4608753650425299</v>
      </c>
      <c r="I11371" s="20">
        <v>0.26793725626841502</v>
      </c>
      <c r="J11371" s="28">
        <v>0.78874761545740002</v>
      </c>
      <c r="K11371" s="29">
        <v>0.98289565623980701</v>
      </c>
    </row>
    <row r="11372" spans="1:11" x14ac:dyDescent="0.35">
      <c r="A11372" s="9" t="str">
        <f>HYPERLINK("http://www.ensembl.org/id/WBGene00001715", "WBGene00001715")</f>
        <v>WBGene00001715</v>
      </c>
      <c r="B11372" s="9" t="str">
        <f>HYPERLINK("http://www.ncbi.nlm.nih.gov/gene/187253", "187253")</f>
        <v>187253</v>
      </c>
      <c r="C11372" s="9"/>
      <c r="D11372" t="str">
        <f>"grl-6"</f>
        <v>grl-6</v>
      </c>
      <c r="E11372" t="s">
        <v>353</v>
      </c>
      <c r="F11372" t="s">
        <v>11</v>
      </c>
      <c r="H11372" s="12">
        <v>-4.8214035642247701</v>
      </c>
      <c r="I11372" s="20">
        <v>-1.16041362892644</v>
      </c>
      <c r="J11372" s="28">
        <v>0.24588044047285099</v>
      </c>
      <c r="K11372" s="29">
        <v>0.98289565623980701</v>
      </c>
    </row>
    <row r="11373" spans="1:11" x14ac:dyDescent="0.35">
      <c r="A11373" s="9" t="str">
        <f>HYPERLINK("http://www.ensembl.org/id/WBGene00001717", "WBGene00001717")</f>
        <v>WBGene00001717</v>
      </c>
      <c r="B11373" s="9" t="str">
        <f>HYPERLINK("http://www.ncbi.nlm.nih.gov/gene/191191", "191191")</f>
        <v>191191</v>
      </c>
      <c r="C11373" s="9"/>
      <c r="D11373" t="str">
        <f>"grl-8"</f>
        <v>grl-8</v>
      </c>
      <c r="E11373" t="s">
        <v>353</v>
      </c>
      <c r="F11373" t="s">
        <v>11</v>
      </c>
      <c r="H11373" s="12">
        <v>1.1667720594503299</v>
      </c>
      <c r="I11373" s="20">
        <v>0.59722843260748903</v>
      </c>
      <c r="J11373" s="28">
        <v>0.550354878687632</v>
      </c>
      <c r="K11373" s="29">
        <v>0.98289565623980701</v>
      </c>
    </row>
    <row r="11374" spans="1:11" x14ac:dyDescent="0.35">
      <c r="A11374" s="9" t="str">
        <f>HYPERLINK("http://www.ensembl.org/id/WBGene00001718", "WBGene00001718")</f>
        <v>WBGene00001718</v>
      </c>
      <c r="B11374" s="9" t="str">
        <f>HYPERLINK("http://www.ncbi.nlm.nih.gov/gene/179066", "179066")</f>
        <v>179066</v>
      </c>
      <c r="C11374" s="9"/>
      <c r="D11374" t="str">
        <f>"grl-9"</f>
        <v>grl-9</v>
      </c>
      <c r="E11374" t="s">
        <v>353</v>
      </c>
      <c r="F11374" t="s">
        <v>11</v>
      </c>
      <c r="H11374" s="12">
        <v>-1.4503889019859999</v>
      </c>
      <c r="I11374" s="20">
        <v>-0.74197993884885705</v>
      </c>
      <c r="J11374" s="28">
        <v>0.45809949033258102</v>
      </c>
      <c r="K11374" s="29">
        <v>0.98289565623980701</v>
      </c>
    </row>
    <row r="11375" spans="1:11" x14ac:dyDescent="0.35">
      <c r="A11375" s="9" t="str">
        <f>HYPERLINK("http://www.ensembl.org/id/WBGene00017929", "WBGene00017929")</f>
        <v>WBGene00017929</v>
      </c>
      <c r="B11375" s="9" t="str">
        <f>HYPERLINK("http://www.ncbi.nlm.nih.gov/gene/176827", "176827")</f>
        <v>176827</v>
      </c>
      <c r="C11375" s="9"/>
      <c r="D11375" t="str">
        <f>"grld-1"</f>
        <v>grld-1</v>
      </c>
      <c r="E11375" t="s">
        <v>7974</v>
      </c>
      <c r="F11375" t="s">
        <v>11</v>
      </c>
      <c r="G11375" t="s">
        <v>7975</v>
      </c>
      <c r="H11375" s="12">
        <v>-1.15440603663665</v>
      </c>
      <c r="I11375" s="20">
        <v>-0.73245807538602203</v>
      </c>
      <c r="J11375" s="28">
        <v>0.463889022927717</v>
      </c>
      <c r="K11375" s="29">
        <v>0.98289565623980701</v>
      </c>
    </row>
    <row r="11376" spans="1:11" x14ac:dyDescent="0.35">
      <c r="A11376" s="9" t="str">
        <f>HYPERLINK("http://www.ensembl.org/id/WBGene00001740", "WBGene00001740")</f>
        <v>WBGene00001740</v>
      </c>
      <c r="B11376" s="9" t="str">
        <f>HYPERLINK("http://www.ncbi.nlm.nih.gov/gene/175725", "175725")</f>
        <v>175725</v>
      </c>
      <c r="C11376" s="9" t="str">
        <f>HYPERLINK("http://www.ncbi.nlm.nih.gov/gene/54802", "54802")</f>
        <v>54802</v>
      </c>
      <c r="D11376" t="str">
        <f>"gro-1"</f>
        <v>gro-1</v>
      </c>
      <c r="E11376" t="s">
        <v>7051</v>
      </c>
      <c r="F11376" t="s">
        <v>11</v>
      </c>
      <c r="G11376" t="s">
        <v>7052</v>
      </c>
      <c r="H11376" s="12">
        <v>-1.1046037037435299</v>
      </c>
      <c r="I11376" s="20">
        <v>-0.38852103441386099</v>
      </c>
      <c r="J11376" s="28">
        <v>0.69763049103265495</v>
      </c>
      <c r="K11376" s="29">
        <v>0.98289565623980701</v>
      </c>
    </row>
    <row r="11377" spans="1:11" x14ac:dyDescent="0.35">
      <c r="A11377" s="9" t="str">
        <f>HYPERLINK("http://www.ensembl.org/id/WBGene00001743", "WBGene00001743")</f>
        <v>WBGene00001743</v>
      </c>
      <c r="B11377" s="9" t="str">
        <f>HYPERLINK("http://www.ncbi.nlm.nih.gov/gene/176140", "176140")</f>
        <v>176140</v>
      </c>
      <c r="C11377" s="9" t="str">
        <f>HYPERLINK("http://www.ncbi.nlm.nih.gov/gene/9265", "9265")</f>
        <v>9265</v>
      </c>
      <c r="D11377" t="str">
        <f>"grp-1"</f>
        <v>grp-1</v>
      </c>
      <c r="E11377" t="s">
        <v>9573</v>
      </c>
      <c r="F11377" t="s">
        <v>11</v>
      </c>
      <c r="G11377" t="s">
        <v>9574</v>
      </c>
      <c r="H11377" s="12">
        <v>-1.26049267111915</v>
      </c>
      <c r="I11377" s="20">
        <v>-1.1805917979931799</v>
      </c>
      <c r="J11377" s="28">
        <v>0.237764923498301</v>
      </c>
      <c r="K11377" s="29">
        <v>0.98289565623980701</v>
      </c>
    </row>
    <row r="11378" spans="1:11" x14ac:dyDescent="0.35">
      <c r="A11378" s="9" t="str">
        <f>HYPERLINK("http://www.ensembl.org/id/WBGene00016403", "WBGene00016403")</f>
        <v>WBGene00016403</v>
      </c>
      <c r="B11378" s="9" t="str">
        <f>HYPERLINK("http://www.ncbi.nlm.nih.gov/gene/183209", "183209")</f>
        <v>183209</v>
      </c>
      <c r="C11378" s="9"/>
      <c r="D11378" t="str">
        <f>"grsp-3"</f>
        <v>grsp-3</v>
      </c>
      <c r="E11378" t="s">
        <v>1437</v>
      </c>
      <c r="F11378" t="s">
        <v>11</v>
      </c>
      <c r="H11378" s="12">
        <v>1.19039008654012</v>
      </c>
      <c r="I11378" s="20">
        <v>0.266790630008366</v>
      </c>
      <c r="J11378" s="28">
        <v>0.78963036902847095</v>
      </c>
      <c r="K11378" s="29">
        <v>0.98289565623980701</v>
      </c>
    </row>
    <row r="11379" spans="1:11" x14ac:dyDescent="0.35">
      <c r="A11379" s="9" t="str">
        <f>HYPERLINK("http://www.ensembl.org/id/WBGene00017201", "WBGene00017201")</f>
        <v>WBGene00017201</v>
      </c>
      <c r="B11379" s="9" t="str">
        <f>HYPERLINK("http://www.ncbi.nlm.nih.gov/gene/179146", "179146")</f>
        <v>179146</v>
      </c>
      <c r="C11379" s="9"/>
      <c r="D11379" t="str">
        <f>"grsp-4"</f>
        <v>grsp-4</v>
      </c>
      <c r="E11379" t="s">
        <v>1437</v>
      </c>
      <c r="F11379" t="s">
        <v>11</v>
      </c>
      <c r="H11379" s="12">
        <v>1.17235974822847</v>
      </c>
      <c r="I11379" s="20">
        <v>0.44343434765896</v>
      </c>
      <c r="J11379" s="28">
        <v>0.65745159645455997</v>
      </c>
      <c r="K11379" s="29">
        <v>0.98289565623980701</v>
      </c>
    </row>
    <row r="11380" spans="1:11" x14ac:dyDescent="0.35">
      <c r="A11380" s="9" t="str">
        <f>HYPERLINK("http://www.ensembl.org/id/WBGene00001745", "WBGene00001745")</f>
        <v>WBGene00001745</v>
      </c>
      <c r="B11380" s="9" t="str">
        <f>HYPERLINK("http://www.ncbi.nlm.nih.gov/gene/171687", "171687")</f>
        <v>171687</v>
      </c>
      <c r="C11380" s="9" t="str">
        <f>HYPERLINK("http://www.ncbi.nlm.nih.gov/gene/2778", "2778")</f>
        <v>2778</v>
      </c>
      <c r="D11380" t="str">
        <f>"gsa-1"</f>
        <v>gsa-1</v>
      </c>
      <c r="E11380" t="s">
        <v>8050</v>
      </c>
      <c r="F11380" t="s">
        <v>11</v>
      </c>
      <c r="G11380" t="s">
        <v>8051</v>
      </c>
      <c r="H11380" s="12">
        <v>-1.1582993524447101</v>
      </c>
      <c r="I11380" s="20">
        <v>-0.72429654137926203</v>
      </c>
      <c r="J11380" s="28">
        <v>0.46888369987617701</v>
      </c>
      <c r="K11380" s="29">
        <v>0.98289565623980701</v>
      </c>
    </row>
    <row r="11381" spans="1:11" x14ac:dyDescent="0.35">
      <c r="A11381" s="9" t="str">
        <f>HYPERLINK("http://www.ensembl.org/id/WBGene00001746", "WBGene00001746")</f>
        <v>WBGene00001746</v>
      </c>
      <c r="B11381" s="9" t="str">
        <f>HYPERLINK("http://www.ncbi.nlm.nih.gov/gene/173149", "173149")</f>
        <v>173149</v>
      </c>
      <c r="C11381" s="9" t="str">
        <f>HYPERLINK("http://www.ncbi.nlm.nih.gov/gene/2932", "2932")</f>
        <v>2932</v>
      </c>
      <c r="D11381" t="str">
        <f>"gsk-3"</f>
        <v>gsk-3</v>
      </c>
      <c r="E11381" t="s">
        <v>6280</v>
      </c>
      <c r="F11381" t="s">
        <v>11</v>
      </c>
      <c r="G11381" t="s">
        <v>444</v>
      </c>
      <c r="H11381" s="12">
        <v>-1.0591716067003101</v>
      </c>
      <c r="I11381" s="20">
        <v>-0.314107830050602</v>
      </c>
      <c r="J11381" s="28">
        <v>0.75343914276953505</v>
      </c>
      <c r="K11381" s="29">
        <v>0.98289565623980701</v>
      </c>
    </row>
    <row r="11382" spans="1:11" x14ac:dyDescent="0.35">
      <c r="A11382" s="9" t="str">
        <f>HYPERLINK("http://www.ensembl.org/id/WBGene00001747", "WBGene00001747")</f>
        <v>WBGene00001747</v>
      </c>
      <c r="B11382" s="9" t="str">
        <f>HYPERLINK("http://www.ncbi.nlm.nih.gov/gene/179486", "179486")</f>
        <v>179486</v>
      </c>
      <c r="C11382" s="9" t="str">
        <f>HYPERLINK("http://www.ncbi.nlm.nih.gov/gene/5500", "5500")</f>
        <v>5500</v>
      </c>
      <c r="D11382" t="str">
        <f>"gsp-1"</f>
        <v>gsp-1</v>
      </c>
      <c r="E11382" t="s">
        <v>6878</v>
      </c>
      <c r="F11382" t="s">
        <v>11</v>
      </c>
      <c r="G11382" t="s">
        <v>423</v>
      </c>
      <c r="H11382" s="12">
        <v>-1.0939294506442101</v>
      </c>
      <c r="I11382" s="20">
        <v>-0.500060850837867</v>
      </c>
      <c r="J11382" s="28">
        <v>0.61703223116357697</v>
      </c>
      <c r="K11382" s="29">
        <v>0.98289565623980701</v>
      </c>
    </row>
    <row r="11383" spans="1:11" x14ac:dyDescent="0.35">
      <c r="A11383" s="9" t="str">
        <f>HYPERLINK("http://www.ensembl.org/id/WBGene00001748", "WBGene00001748")</f>
        <v>WBGene00001748</v>
      </c>
      <c r="B11383" s="9" t="str">
        <f>HYPERLINK("http://www.ncbi.nlm.nih.gov/gene/3564807", "3564807")</f>
        <v>3564807</v>
      </c>
      <c r="C11383" s="9" t="str">
        <f>HYPERLINK("http://www.ncbi.nlm.nih.gov/gene/5499", "5499")</f>
        <v>5499</v>
      </c>
      <c r="D11383" t="str">
        <f>"gsp-2"</f>
        <v>gsp-2</v>
      </c>
      <c r="E11383" t="s">
        <v>7367</v>
      </c>
      <c r="F11383" t="s">
        <v>11</v>
      </c>
      <c r="G11383" t="s">
        <v>423</v>
      </c>
      <c r="H11383" s="12">
        <v>-1.12213368173649</v>
      </c>
      <c r="I11383" s="20">
        <v>-0.64453503676628199</v>
      </c>
      <c r="J11383" s="28">
        <v>0.51922854535923302</v>
      </c>
      <c r="K11383" s="29">
        <v>0.98289565623980701</v>
      </c>
    </row>
    <row r="11384" spans="1:11" x14ac:dyDescent="0.35">
      <c r="A11384" s="9" t="str">
        <f>HYPERLINK("http://www.ensembl.org/id/WBGene00021113", "WBGene00021113")</f>
        <v>WBGene00021113</v>
      </c>
      <c r="B11384" s="9" t="str">
        <f>HYPERLINK("http://www.ncbi.nlm.nih.gov/gene/172082", "172082")</f>
        <v>172082</v>
      </c>
      <c r="C11384" s="9"/>
      <c r="D11384" t="str">
        <f>"gsp-3"</f>
        <v>gsp-3</v>
      </c>
      <c r="E11384" t="s">
        <v>9878</v>
      </c>
      <c r="F11384" t="s">
        <v>11</v>
      </c>
      <c r="G11384" t="s">
        <v>423</v>
      </c>
      <c r="H11384" s="12">
        <v>-1.34263764036689</v>
      </c>
      <c r="I11384" s="20">
        <v>-0.57009203526210395</v>
      </c>
      <c r="J11384" s="28">
        <v>0.56861527693995795</v>
      </c>
      <c r="K11384" s="29">
        <v>0.98289565623980701</v>
      </c>
    </row>
    <row r="11385" spans="1:11" x14ac:dyDescent="0.35">
      <c r="A11385" s="9" t="str">
        <f>HYPERLINK("http://www.ensembl.org/id/WBGene00020187", "WBGene00020187")</f>
        <v>WBGene00020187</v>
      </c>
      <c r="B11385" s="9" t="str">
        <f>HYPERLINK("http://www.ncbi.nlm.nih.gov/gene/171960", "171960")</f>
        <v>171960</v>
      </c>
      <c r="C11385" s="9"/>
      <c r="D11385" t="str">
        <f>"gsp-4"</f>
        <v>gsp-4</v>
      </c>
      <c r="E11385" t="s">
        <v>9268</v>
      </c>
      <c r="F11385" t="s">
        <v>11</v>
      </c>
      <c r="G11385" t="s">
        <v>423</v>
      </c>
      <c r="H11385" s="12">
        <v>-1.2321744931102401</v>
      </c>
      <c r="I11385" s="20">
        <v>-0.43732247020405801</v>
      </c>
      <c r="J11385" s="28">
        <v>0.66187750165656301</v>
      </c>
      <c r="K11385" s="29">
        <v>0.98289565623980701</v>
      </c>
    </row>
    <row r="11386" spans="1:11" x14ac:dyDescent="0.35">
      <c r="A11386" s="9" t="str">
        <f>HYPERLINK("http://www.ensembl.org/id/WBGene00007108", "WBGene00007108")</f>
        <v>WBGene00007108</v>
      </c>
      <c r="B11386" s="9" t="str">
        <f>HYPERLINK("http://www.ncbi.nlm.nih.gov/gene/178046", "178046")</f>
        <v>178046</v>
      </c>
      <c r="C11386" s="9" t="str">
        <f>HYPERLINK("http://www.ncbi.nlm.nih.gov/gene/2539", "2539")</f>
        <v>2539</v>
      </c>
      <c r="D11386" t="str">
        <f>"gspd-1"</f>
        <v>gspd-1</v>
      </c>
      <c r="E11386" t="s">
        <v>5138</v>
      </c>
      <c r="F11386" t="s">
        <v>11</v>
      </c>
      <c r="G11386" t="s">
        <v>5139</v>
      </c>
      <c r="H11386" s="12">
        <v>1.2326357011023601</v>
      </c>
      <c r="I11386" s="20">
        <v>1.08365743164593</v>
      </c>
      <c r="J11386" s="28">
        <v>0.27851671632606401</v>
      </c>
      <c r="K11386" s="29">
        <v>0.98289565623980701</v>
      </c>
    </row>
    <row r="11387" spans="1:11" x14ac:dyDescent="0.35">
      <c r="A11387" s="9" t="str">
        <f>HYPERLINK("http://www.ensembl.org/id/WBGene00010941", "WBGene00010941")</f>
        <v>WBGene00010941</v>
      </c>
      <c r="B11387" s="9" t="str">
        <f>HYPERLINK("http://www.ncbi.nlm.nih.gov/gene/174493", "174493")</f>
        <v>174493</v>
      </c>
      <c r="C11387" s="9" t="str">
        <f>HYPERLINK("http://www.ncbi.nlm.nih.gov/gene/2937", "2937")</f>
        <v>2937</v>
      </c>
      <c r="D11387" t="str">
        <f>"gss-1"</f>
        <v>gss-1</v>
      </c>
      <c r="E11387" t="s">
        <v>9600</v>
      </c>
      <c r="F11387" t="s">
        <v>11</v>
      </c>
      <c r="G11387" t="s">
        <v>9601</v>
      </c>
      <c r="H11387" s="12">
        <v>-1.26285251429333</v>
      </c>
      <c r="I11387" s="20">
        <v>-1.1814006308151499</v>
      </c>
      <c r="J11387" s="28">
        <v>0.237443607557975</v>
      </c>
      <c r="K11387" s="29">
        <v>0.98289565623980701</v>
      </c>
    </row>
    <row r="11388" spans="1:11" x14ac:dyDescent="0.35">
      <c r="A11388" s="9" t="str">
        <f>HYPERLINK("http://www.ensembl.org/id/WBGene00001749", "WBGene00001749")</f>
        <v>WBGene00001749</v>
      </c>
      <c r="B11388" s="9" t="str">
        <f>HYPERLINK("http://www.ncbi.nlm.nih.gov/gene/176281", "176281")</f>
        <v>176281</v>
      </c>
      <c r="C11388" s="9"/>
      <c r="D11388" t="str">
        <f>"gst-1"</f>
        <v>gst-1</v>
      </c>
      <c r="E11388" t="s">
        <v>6811</v>
      </c>
      <c r="F11388" t="s">
        <v>11</v>
      </c>
      <c r="G11388" t="s">
        <v>4479</v>
      </c>
      <c r="H11388" s="12">
        <v>-1.0904390774930599</v>
      </c>
      <c r="I11388" s="20">
        <v>-0.47859150096896502</v>
      </c>
      <c r="J11388" s="28">
        <v>0.63222926577970995</v>
      </c>
      <c r="K11388" s="29">
        <v>0.98289565623980701</v>
      </c>
    </row>
    <row r="11389" spans="1:11" x14ac:dyDescent="0.35">
      <c r="A11389" s="9" t="str">
        <f>HYPERLINK("http://www.ensembl.org/id/WBGene00001762", "WBGene00001762")</f>
        <v>WBGene00001762</v>
      </c>
      <c r="B11389" s="9" t="str">
        <f>HYPERLINK("http://www.ncbi.nlm.nih.gov/gene/185409", "185409")</f>
        <v>185409</v>
      </c>
      <c r="C11389" s="9" t="str">
        <f t="shared" ref="C11389:C11394" si="1">HYPERLINK("http://www.ncbi.nlm.nih.gov/gene/27306", "27306")</f>
        <v>27306</v>
      </c>
      <c r="D11389" t="str">
        <f>"gst-14"</f>
        <v>gst-14</v>
      </c>
      <c r="E11389" t="s">
        <v>272</v>
      </c>
      <c r="F11389" t="s">
        <v>11</v>
      </c>
      <c r="G11389" t="s">
        <v>876</v>
      </c>
      <c r="H11389" s="12">
        <v>1.94699266782923</v>
      </c>
      <c r="I11389" s="20">
        <v>0.94492717956289396</v>
      </c>
      <c r="J11389" s="28">
        <v>0.34469605439793899</v>
      </c>
      <c r="K11389" s="29">
        <v>0.98289565623980701</v>
      </c>
    </row>
    <row r="11390" spans="1:11" x14ac:dyDescent="0.35">
      <c r="A11390" s="9" t="str">
        <f>HYPERLINK("http://www.ensembl.org/id/WBGene00001764", "WBGene00001764")</f>
        <v>WBGene00001764</v>
      </c>
      <c r="B11390" s="9" t="str">
        <f>HYPERLINK("http://www.ncbi.nlm.nih.gov/gene/175009", "175009")</f>
        <v>175009</v>
      </c>
      <c r="C11390" s="9" t="str">
        <f t="shared" si="1"/>
        <v>27306</v>
      </c>
      <c r="D11390" t="str">
        <f>"gst-16"</f>
        <v>gst-16</v>
      </c>
      <c r="E11390" t="s">
        <v>272</v>
      </c>
      <c r="F11390" t="s">
        <v>11</v>
      </c>
      <c r="G11390" t="s">
        <v>876</v>
      </c>
      <c r="H11390" s="12">
        <v>1.3516027315308099</v>
      </c>
      <c r="I11390" s="20">
        <v>0.83337246546425403</v>
      </c>
      <c r="J11390" s="28">
        <v>0.40463469866220297</v>
      </c>
      <c r="K11390" s="29">
        <v>0.98289565623980701</v>
      </c>
    </row>
    <row r="11391" spans="1:11" x14ac:dyDescent="0.35">
      <c r="A11391" s="9" t="str">
        <f>HYPERLINK("http://www.ensembl.org/id/WBGene00001765", "WBGene00001765")</f>
        <v>WBGene00001765</v>
      </c>
      <c r="B11391" s="9" t="str">
        <f>HYPERLINK("http://www.ncbi.nlm.nih.gov/gene/185411", "185411")</f>
        <v>185411</v>
      </c>
      <c r="C11391" s="9" t="str">
        <f t="shared" si="1"/>
        <v>27306</v>
      </c>
      <c r="D11391" t="str">
        <f>"gst-17"</f>
        <v>gst-17</v>
      </c>
      <c r="E11391" t="s">
        <v>272</v>
      </c>
      <c r="F11391" t="s">
        <v>11</v>
      </c>
      <c r="G11391" t="s">
        <v>876</v>
      </c>
      <c r="H11391" s="12">
        <v>-9.55867303749522</v>
      </c>
      <c r="I11391" s="20">
        <v>-1.1691615274455101</v>
      </c>
      <c r="J11391" s="28">
        <v>0.24233855843163299</v>
      </c>
      <c r="K11391" s="29">
        <v>0.98289565623980701</v>
      </c>
    </row>
    <row r="11392" spans="1:11" x14ac:dyDescent="0.35">
      <c r="A11392" s="9" t="str">
        <f>HYPERLINK("http://www.ensembl.org/id/WBGene00001766", "WBGene00001766")</f>
        <v>WBGene00001766</v>
      </c>
      <c r="B11392" s="9" t="str">
        <f>HYPERLINK("http://www.ncbi.nlm.nih.gov/gene/185412", "185412")</f>
        <v>185412</v>
      </c>
      <c r="C11392" s="9" t="str">
        <f t="shared" si="1"/>
        <v>27306</v>
      </c>
      <c r="D11392" t="str">
        <f>"gst-18"</f>
        <v>gst-18</v>
      </c>
      <c r="E11392" t="s">
        <v>272</v>
      </c>
      <c r="F11392" t="s">
        <v>11</v>
      </c>
      <c r="G11392" t="s">
        <v>876</v>
      </c>
      <c r="H11392" s="12">
        <v>-8.21817069028641</v>
      </c>
      <c r="I11392" s="20">
        <v>-0.86503996225756696</v>
      </c>
      <c r="J11392" s="28">
        <v>0.38701685530532198</v>
      </c>
      <c r="K11392" s="29">
        <v>0.98289565623980701</v>
      </c>
    </row>
    <row r="11393" spans="1:11" x14ac:dyDescent="0.35">
      <c r="A11393" s="9" t="str">
        <f>HYPERLINK("http://www.ensembl.org/id/WBGene00001767", "WBGene00001767")</f>
        <v>WBGene00001767</v>
      </c>
      <c r="B11393" s="9" t="str">
        <f>HYPERLINK("http://www.ncbi.nlm.nih.gov/gene/175010", "175010")</f>
        <v>175010</v>
      </c>
      <c r="C11393" s="9" t="str">
        <f t="shared" si="1"/>
        <v>27306</v>
      </c>
      <c r="D11393" t="str">
        <f>"gst-19"</f>
        <v>gst-19</v>
      </c>
      <c r="E11393" t="s">
        <v>272</v>
      </c>
      <c r="F11393" t="s">
        <v>11</v>
      </c>
      <c r="G11393" t="s">
        <v>5302</v>
      </c>
      <c r="H11393" s="12">
        <v>-1.5466392076245199</v>
      </c>
      <c r="I11393" s="20">
        <v>-0.860973726055974</v>
      </c>
      <c r="J11393" s="28">
        <v>0.38925251392795901</v>
      </c>
      <c r="K11393" s="29">
        <v>0.98289565623980701</v>
      </c>
    </row>
    <row r="11394" spans="1:11" x14ac:dyDescent="0.35">
      <c r="A11394" s="9" t="str">
        <f>HYPERLINK("http://www.ensembl.org/id/WBGene00001750", "WBGene00001750")</f>
        <v>WBGene00001750</v>
      </c>
      <c r="B11394" s="9" t="str">
        <f>HYPERLINK("http://www.ncbi.nlm.nih.gov/gene/177884", "177884")</f>
        <v>177884</v>
      </c>
      <c r="C11394" s="9" t="str">
        <f t="shared" si="1"/>
        <v>27306</v>
      </c>
      <c r="D11394" t="str">
        <f>"gst-2"</f>
        <v>gst-2</v>
      </c>
      <c r="E11394" t="s">
        <v>4526</v>
      </c>
      <c r="F11394" t="s">
        <v>11</v>
      </c>
      <c r="G11394" t="s">
        <v>2266</v>
      </c>
      <c r="H11394" s="12">
        <v>1.76820248051816</v>
      </c>
      <c r="I11394" s="20">
        <v>0.73602778343458997</v>
      </c>
      <c r="J11394" s="28">
        <v>0.46171378972966798</v>
      </c>
      <c r="K11394" s="29">
        <v>0.98289565623980701</v>
      </c>
    </row>
    <row r="11395" spans="1:11" x14ac:dyDescent="0.35">
      <c r="A11395" s="9" t="str">
        <f>HYPERLINK("http://www.ensembl.org/id/WBGene00001771", "WBGene00001771")</f>
        <v>WBGene00001771</v>
      </c>
      <c r="B11395" s="9" t="str">
        <f>HYPERLINK("http://www.ncbi.nlm.nih.gov/gene/189017", "189017")</f>
        <v>189017</v>
      </c>
      <c r="C11395" s="9"/>
      <c r="D11395" t="str">
        <f>"gst-23"</f>
        <v>gst-23</v>
      </c>
      <c r="E11395" t="s">
        <v>272</v>
      </c>
      <c r="F11395" t="s">
        <v>11</v>
      </c>
      <c r="G11395" t="s">
        <v>4671</v>
      </c>
      <c r="H11395" s="12">
        <v>1.5116208955458601</v>
      </c>
      <c r="I11395" s="20">
        <v>0.91399075376182304</v>
      </c>
      <c r="J11395" s="28">
        <v>0.36072170420973998</v>
      </c>
      <c r="K11395" s="29">
        <v>0.98289565623980701</v>
      </c>
    </row>
    <row r="11396" spans="1:11" x14ac:dyDescent="0.35">
      <c r="A11396" s="9" t="str">
        <f>HYPERLINK("http://www.ensembl.org/id/WBGene00001751", "WBGene00001751")</f>
        <v>WBGene00001751</v>
      </c>
      <c r="B11396" s="9" t="str">
        <f>HYPERLINK("http://www.ncbi.nlm.nih.gov/gene/177883", "177883")</f>
        <v>177883</v>
      </c>
      <c r="C11396" s="9" t="str">
        <f t="shared" ref="C11396:C11402" si="2">HYPERLINK("http://www.ncbi.nlm.nih.gov/gene/27306", "27306")</f>
        <v>27306</v>
      </c>
      <c r="D11396" t="str">
        <f>"gst-3"</f>
        <v>gst-3</v>
      </c>
      <c r="E11396" t="s">
        <v>4941</v>
      </c>
      <c r="F11396" t="s">
        <v>11</v>
      </c>
      <c r="G11396" t="s">
        <v>2266</v>
      </c>
      <c r="H11396" s="12">
        <v>1.2892145233104899</v>
      </c>
      <c r="I11396" s="20">
        <v>0.69719864081870098</v>
      </c>
      <c r="J11396" s="28">
        <v>0.48567848943629499</v>
      </c>
      <c r="K11396" s="29">
        <v>0.98289565623980701</v>
      </c>
    </row>
    <row r="11397" spans="1:11" x14ac:dyDescent="0.35">
      <c r="A11397" s="9" t="str">
        <f>HYPERLINK("http://www.ensembl.org/id/WBGene00001779", "WBGene00001779")</f>
        <v>WBGene00001779</v>
      </c>
      <c r="B11397" s="9" t="str">
        <f>HYPERLINK("http://www.ncbi.nlm.nih.gov/gene/190228", "190228")</f>
        <v>190228</v>
      </c>
      <c r="C11397" s="9" t="str">
        <f t="shared" si="2"/>
        <v>27306</v>
      </c>
      <c r="D11397" t="str">
        <f>"gst-31"</f>
        <v>gst-31</v>
      </c>
      <c r="E11397" t="s">
        <v>272</v>
      </c>
      <c r="F11397" t="s">
        <v>11</v>
      </c>
      <c r="G11397" t="s">
        <v>876</v>
      </c>
      <c r="H11397" s="12">
        <v>1.69502715532583</v>
      </c>
      <c r="I11397" s="20">
        <v>0.91828538582933805</v>
      </c>
      <c r="J11397" s="28">
        <v>0.35846947625395098</v>
      </c>
      <c r="K11397" s="29">
        <v>0.98289565623980701</v>
      </c>
    </row>
    <row r="11398" spans="1:11" x14ac:dyDescent="0.35">
      <c r="A11398" s="9" t="str">
        <f>HYPERLINK("http://www.ensembl.org/id/WBGene00001780", "WBGene00001780")</f>
        <v>WBGene00001780</v>
      </c>
      <c r="B11398" s="9" t="str">
        <f>HYPERLINK("http://www.ncbi.nlm.nih.gov/gene/190230", "190230")</f>
        <v>190230</v>
      </c>
      <c r="C11398" s="9" t="str">
        <f t="shared" si="2"/>
        <v>27306</v>
      </c>
      <c r="D11398" t="str">
        <f>"gst-32"</f>
        <v>gst-32</v>
      </c>
      <c r="E11398" t="s">
        <v>272</v>
      </c>
      <c r="F11398" t="s">
        <v>11</v>
      </c>
      <c r="G11398" t="s">
        <v>9904</v>
      </c>
      <c r="H11398" s="12">
        <v>-1.36288885798867</v>
      </c>
      <c r="I11398" s="20">
        <v>-0.380096259799374</v>
      </c>
      <c r="J11398" s="28">
        <v>0.70387396206269603</v>
      </c>
      <c r="K11398" s="29">
        <v>0.98289565623980701</v>
      </c>
    </row>
    <row r="11399" spans="1:11" x14ac:dyDescent="0.35">
      <c r="A11399" s="9" t="str">
        <f>HYPERLINK("http://www.ensembl.org/id/WBGene00001784", "WBGene00001784")</f>
        <v>WBGene00001784</v>
      </c>
      <c r="B11399" s="9" t="str">
        <f>HYPERLINK("http://www.ncbi.nlm.nih.gov/gene/187645", "187645")</f>
        <v>187645</v>
      </c>
      <c r="C11399" s="9" t="str">
        <f t="shared" si="2"/>
        <v>27306</v>
      </c>
      <c r="D11399" t="str">
        <f>"gst-36"</f>
        <v>gst-36</v>
      </c>
      <c r="E11399" t="s">
        <v>4946</v>
      </c>
      <c r="F11399" t="s">
        <v>11</v>
      </c>
      <c r="G11399" t="s">
        <v>2266</v>
      </c>
      <c r="H11399" s="12">
        <v>1.28689252374851</v>
      </c>
      <c r="I11399" s="20">
        <v>1.1640761913650599</v>
      </c>
      <c r="J11399" s="28">
        <v>0.24439313622731301</v>
      </c>
      <c r="K11399" s="29">
        <v>0.98289565623980701</v>
      </c>
    </row>
    <row r="11400" spans="1:11" x14ac:dyDescent="0.35">
      <c r="A11400" s="9" t="str">
        <f>HYPERLINK("http://www.ensembl.org/id/WBGene00001786", "WBGene00001786")</f>
        <v>WBGene00001786</v>
      </c>
      <c r="B11400" s="9" t="str">
        <f>HYPERLINK("http://www.ncbi.nlm.nih.gov/gene/185299", "185299")</f>
        <v>185299</v>
      </c>
      <c r="C11400" s="9" t="str">
        <f t="shared" si="2"/>
        <v>27306</v>
      </c>
      <c r="D11400" t="str">
        <f>"gst-38"</f>
        <v>gst-38</v>
      </c>
      <c r="E11400" t="s">
        <v>272</v>
      </c>
      <c r="F11400" t="s">
        <v>11</v>
      </c>
      <c r="G11400" t="s">
        <v>446</v>
      </c>
      <c r="H11400" s="12">
        <v>-1.19316293316866</v>
      </c>
      <c r="I11400" s="20">
        <v>-0.28964332475729698</v>
      </c>
      <c r="J11400" s="28">
        <v>0.77208911866371199</v>
      </c>
      <c r="K11400" s="29">
        <v>0.98289565623980701</v>
      </c>
    </row>
    <row r="11401" spans="1:11" x14ac:dyDescent="0.35">
      <c r="A11401" s="9" t="str">
        <f>HYPERLINK("http://www.ensembl.org/id/WBGene00001787", "WBGene00001787")</f>
        <v>WBGene00001787</v>
      </c>
      <c r="B11401" s="9" t="str">
        <f>HYPERLINK("http://www.ncbi.nlm.nih.gov/gene/190226", "190226")</f>
        <v>190226</v>
      </c>
      <c r="C11401" s="9" t="str">
        <f t="shared" si="2"/>
        <v>27306</v>
      </c>
      <c r="D11401" t="str">
        <f>"gst-39"</f>
        <v>gst-39</v>
      </c>
      <c r="E11401" t="s">
        <v>272</v>
      </c>
      <c r="F11401" t="s">
        <v>11</v>
      </c>
      <c r="G11401" t="s">
        <v>5302</v>
      </c>
      <c r="H11401" s="12">
        <v>1.1922298085627301</v>
      </c>
      <c r="I11401" s="20">
        <v>0.73110693150468897</v>
      </c>
      <c r="J11401" s="28">
        <v>0.46471384082220402</v>
      </c>
      <c r="K11401" s="29">
        <v>0.98289565623980701</v>
      </c>
    </row>
    <row r="11402" spans="1:11" x14ac:dyDescent="0.35">
      <c r="A11402" s="9" t="str">
        <f>HYPERLINK("http://www.ensembl.org/id/WBGene00001752", "WBGene00001752")</f>
        <v>WBGene00001752</v>
      </c>
      <c r="B11402" s="9" t="str">
        <f>HYPERLINK("http://www.ncbi.nlm.nih.gov/gene/177886", "177886")</f>
        <v>177886</v>
      </c>
      <c r="C11402" s="9" t="str">
        <f t="shared" si="2"/>
        <v>27306</v>
      </c>
      <c r="D11402" t="str">
        <f>"gst-4"</f>
        <v>gst-4</v>
      </c>
      <c r="E11402" t="s">
        <v>4914</v>
      </c>
      <c r="F11402" t="s">
        <v>11</v>
      </c>
      <c r="G11402" t="s">
        <v>2266</v>
      </c>
      <c r="H11402" s="12">
        <v>1.3052647559558499</v>
      </c>
      <c r="I11402" s="20">
        <v>0.95178523551190097</v>
      </c>
      <c r="J11402" s="28">
        <v>0.34120591138184803</v>
      </c>
      <c r="K11402" s="29">
        <v>0.98289565623980701</v>
      </c>
    </row>
    <row r="11403" spans="1:11" x14ac:dyDescent="0.35">
      <c r="A11403" s="9" t="str">
        <f>HYPERLINK("http://www.ensembl.org/id/WBGene00001788", "WBGene00001788")</f>
        <v>WBGene00001788</v>
      </c>
      <c r="B11403" s="9" t="str">
        <f>HYPERLINK("http://www.ncbi.nlm.nih.gov/gene/176900", "176900")</f>
        <v>176900</v>
      </c>
      <c r="C11403" s="9"/>
      <c r="D11403" t="str">
        <f>"gst-40"</f>
        <v>gst-40</v>
      </c>
      <c r="E11403" t="s">
        <v>272</v>
      </c>
      <c r="F11403" t="s">
        <v>11</v>
      </c>
      <c r="G11403" t="s">
        <v>876</v>
      </c>
      <c r="H11403" s="12">
        <v>1.4496066204498901</v>
      </c>
      <c r="I11403" s="20">
        <v>1.13067642267793</v>
      </c>
      <c r="J11403" s="28">
        <v>0.25819130843429999</v>
      </c>
      <c r="K11403" s="29">
        <v>0.98289565623980701</v>
      </c>
    </row>
    <row r="11404" spans="1:11" x14ac:dyDescent="0.35">
      <c r="A11404" s="9" t="str">
        <f>HYPERLINK("http://www.ensembl.org/id/WBGene00001754", "WBGene00001754")</f>
        <v>WBGene00001754</v>
      </c>
      <c r="B11404" s="9" t="str">
        <f>HYPERLINK("http://www.ncbi.nlm.nih.gov/gene/173841", "173841")</f>
        <v>173841</v>
      </c>
      <c r="C11404" s="9" t="str">
        <f>HYPERLINK("http://www.ncbi.nlm.nih.gov/gene/27306", "27306")</f>
        <v>27306</v>
      </c>
      <c r="D11404" t="str">
        <f>"gst-6"</f>
        <v>gst-6</v>
      </c>
      <c r="E11404" t="s">
        <v>6745</v>
      </c>
      <c r="F11404" t="s">
        <v>11</v>
      </c>
      <c r="G11404" t="s">
        <v>2266</v>
      </c>
      <c r="H11404" s="12">
        <v>-1.0868199665465099</v>
      </c>
      <c r="I11404" s="20">
        <v>-0.27829661763765101</v>
      </c>
      <c r="J11404" s="28">
        <v>0.78078467234069304</v>
      </c>
      <c r="K11404" s="29">
        <v>0.98289565623980701</v>
      </c>
    </row>
    <row r="11405" spans="1:11" x14ac:dyDescent="0.35">
      <c r="A11405" s="9" t="str">
        <f>HYPERLINK("http://www.ensembl.org/id/WBGene00001756", "WBGene00001756")</f>
        <v>WBGene00001756</v>
      </c>
      <c r="B11405" s="9" t="str">
        <f>HYPERLINK("http://www.ncbi.nlm.nih.gov/gene/184364", "184364")</f>
        <v>184364</v>
      </c>
      <c r="C11405" s="9" t="str">
        <f>HYPERLINK("http://www.ncbi.nlm.nih.gov/gene/27306", "27306")</f>
        <v>27306</v>
      </c>
      <c r="D11405" t="str">
        <f>"gst-8"</f>
        <v>gst-8</v>
      </c>
      <c r="E11405" t="s">
        <v>9914</v>
      </c>
      <c r="F11405" t="s">
        <v>11</v>
      </c>
      <c r="G11405" t="s">
        <v>2266</v>
      </c>
      <c r="H11405" s="12">
        <v>-1.37136697065506</v>
      </c>
      <c r="I11405" s="20">
        <v>-0.50054672237815001</v>
      </c>
      <c r="J11405" s="28">
        <v>0.61669016609803495</v>
      </c>
      <c r="K11405" s="29">
        <v>0.98289565623980701</v>
      </c>
    </row>
    <row r="11406" spans="1:11" x14ac:dyDescent="0.35">
      <c r="A11406" s="9" t="str">
        <f>HYPERLINK("http://www.ensembl.org/id/WBGene00001757", "WBGene00001757")</f>
        <v>WBGene00001757</v>
      </c>
      <c r="B11406" s="9" t="str">
        <f>HYPERLINK("http://www.ncbi.nlm.nih.gov/gene/187615", "187615")</f>
        <v>187615</v>
      </c>
      <c r="C11406" s="9" t="str">
        <f>HYPERLINK("http://www.ncbi.nlm.nih.gov/gene/27306", "27306")</f>
        <v>27306</v>
      </c>
      <c r="D11406" t="str">
        <f>"gst-9"</f>
        <v>gst-9</v>
      </c>
      <c r="E11406" t="s">
        <v>5998</v>
      </c>
      <c r="F11406" t="s">
        <v>11</v>
      </c>
      <c r="G11406" t="s">
        <v>2266</v>
      </c>
      <c r="H11406" s="12">
        <v>1.07417880448228</v>
      </c>
      <c r="I11406" s="20">
        <v>0.25973904989420699</v>
      </c>
      <c r="J11406" s="28">
        <v>0.79506506865473903</v>
      </c>
      <c r="K11406" s="29">
        <v>0.98289565623980701</v>
      </c>
    </row>
    <row r="11407" spans="1:11" x14ac:dyDescent="0.35">
      <c r="A11407" s="9" t="str">
        <f>HYPERLINK("http://www.ensembl.org/id/WBGene00015337", "WBGene00015337")</f>
        <v>WBGene00015337</v>
      </c>
      <c r="B11407" s="9" t="str">
        <f>HYPERLINK("http://www.ncbi.nlm.nih.gov/gene/353420", "353420")</f>
        <v>353420</v>
      </c>
      <c r="C11407" s="9" t="str">
        <f>HYPERLINK("http://www.ncbi.nlm.nih.gov/gene/9446", "9446")</f>
        <v>9446</v>
      </c>
      <c r="D11407" t="str">
        <f>"gsto-2"</f>
        <v>gsto-2</v>
      </c>
      <c r="E11407" t="s">
        <v>5217</v>
      </c>
      <c r="F11407" t="s">
        <v>11</v>
      </c>
      <c r="G11407" t="s">
        <v>2433</v>
      </c>
      <c r="H11407" s="12">
        <v>1.2138997811644201</v>
      </c>
      <c r="I11407" s="20">
        <v>0.48206516323655901</v>
      </c>
      <c r="J11407" s="28">
        <v>0.62975965624949004</v>
      </c>
      <c r="K11407" s="29">
        <v>0.98289565623980701</v>
      </c>
    </row>
    <row r="11408" spans="1:11" x14ac:dyDescent="0.35">
      <c r="A11408" s="9" t="str">
        <f>HYPERLINK("http://www.ensembl.org/id/WBGene00019636", "WBGene00019636")</f>
        <v>WBGene00019636</v>
      </c>
      <c r="B11408" s="9" t="str">
        <f>HYPERLINK("http://www.ncbi.nlm.nih.gov/gene/175196", "175196")</f>
        <v>175196</v>
      </c>
      <c r="C11408" s="9" t="str">
        <f>HYPERLINK("http://www.ncbi.nlm.nih.gov/gene/9446", "9446")</f>
        <v>9446</v>
      </c>
      <c r="D11408" t="str">
        <f>"gsto-3"</f>
        <v>gsto-3</v>
      </c>
      <c r="E11408" t="s">
        <v>5914</v>
      </c>
      <c r="F11408" t="s">
        <v>11</v>
      </c>
      <c r="G11408" t="s">
        <v>5915</v>
      </c>
      <c r="H11408" s="12">
        <v>1.08535117180251</v>
      </c>
      <c r="I11408" s="20">
        <v>0.36036032996268003</v>
      </c>
      <c r="J11408" s="28">
        <v>0.71857768865729998</v>
      </c>
      <c r="K11408" s="29">
        <v>0.98289565623980701</v>
      </c>
    </row>
    <row r="11409" spans="1:11" x14ac:dyDescent="0.35">
      <c r="A11409" s="9" t="str">
        <f>HYPERLINK("http://www.ensembl.org/id/WBGene00001794", "WBGene00001794")</f>
        <v>WBGene00001794</v>
      </c>
      <c r="B11409" s="9" t="str">
        <f>HYPERLINK("http://www.ncbi.nlm.nih.gov/gene/177897", "177897")</f>
        <v>177897</v>
      </c>
      <c r="C11409" s="9" t="str">
        <f>HYPERLINK("http://www.ncbi.nlm.nih.gov/gene/18", "18")</f>
        <v>18</v>
      </c>
      <c r="D11409" t="str">
        <f>"gta-1"</f>
        <v>gta-1</v>
      </c>
      <c r="E11409" t="s">
        <v>8806</v>
      </c>
      <c r="F11409" t="s">
        <v>11</v>
      </c>
      <c r="G11409" t="s">
        <v>8807</v>
      </c>
      <c r="H11409" s="12">
        <v>-1.19856288716697</v>
      </c>
      <c r="I11409" s="20">
        <v>-0.98833817162383197</v>
      </c>
      <c r="J11409" s="28">
        <v>0.32298705683101397</v>
      </c>
      <c r="K11409" s="29">
        <v>0.98289565623980701</v>
      </c>
    </row>
    <row r="11410" spans="1:11" x14ac:dyDescent="0.35">
      <c r="A11410" s="9" t="str">
        <f>HYPERLINK("http://www.ensembl.org/id/WBGene00013736", "WBGene00013736")</f>
        <v>WBGene00013736</v>
      </c>
      <c r="B11410" s="9" t="str">
        <f>HYPERLINK("http://www.ncbi.nlm.nih.gov/gene/176682", "176682")</f>
        <v>176682</v>
      </c>
      <c r="C11410" s="9" t="str">
        <f>HYPERLINK("http://www.ncbi.nlm.nih.gov/gene/2958", "2958")</f>
        <v>2958</v>
      </c>
      <c r="D11410" t="str">
        <f>"gtf-2A2"</f>
        <v>gtf-2A2</v>
      </c>
      <c r="E11410" t="s">
        <v>7495</v>
      </c>
      <c r="F11410" t="s">
        <v>11</v>
      </c>
      <c r="G11410" t="s">
        <v>1879</v>
      </c>
      <c r="H11410" s="12">
        <v>-1.12907455642524</v>
      </c>
      <c r="I11410" s="20">
        <v>-0.58375261258571598</v>
      </c>
      <c r="J11410" s="28">
        <v>0.55938676428543299</v>
      </c>
      <c r="K11410" s="29">
        <v>0.98289565623980701</v>
      </c>
    </row>
    <row r="11411" spans="1:11" x14ac:dyDescent="0.35">
      <c r="A11411" s="9" t="str">
        <f>HYPERLINK("http://www.ensembl.org/id/WBGene00010054", "WBGene00010054")</f>
        <v>WBGene00010054</v>
      </c>
      <c r="B11411" s="9" t="str">
        <f>HYPERLINK("http://www.ncbi.nlm.nih.gov/gene/174765", "174765")</f>
        <v>174765</v>
      </c>
      <c r="C11411" s="9" t="str">
        <f>HYPERLINK("http://www.ncbi.nlm.nih.gov/gene/2961", "2961")</f>
        <v>2961</v>
      </c>
      <c r="D11411" t="str">
        <f>"gtf-2E2"</f>
        <v>gtf-2E2</v>
      </c>
      <c r="E11411" t="s">
        <v>7217</v>
      </c>
      <c r="F11411" t="s">
        <v>11</v>
      </c>
      <c r="G11411" t="s">
        <v>7218</v>
      </c>
      <c r="H11411" s="12">
        <v>-1.1141023091123401</v>
      </c>
      <c r="I11411" s="20">
        <v>-0.54156414165459599</v>
      </c>
      <c r="J11411" s="28">
        <v>0.58811879989391003</v>
      </c>
      <c r="K11411" s="29">
        <v>0.98289565623980701</v>
      </c>
    </row>
    <row r="11412" spans="1:11" x14ac:dyDescent="0.35">
      <c r="A11412" s="9" t="str">
        <f>HYPERLINK("http://www.ensembl.org/id/WBGene00015296", "WBGene00015296")</f>
        <v>WBGene00015296</v>
      </c>
      <c r="B11412" s="9" t="str">
        <f>HYPERLINK("http://www.ncbi.nlm.nih.gov/gene/173764", "173764")</f>
        <v>173764</v>
      </c>
      <c r="C11412" s="9"/>
      <c r="D11412" t="str">
        <f>"gtf-2F1"</f>
        <v>gtf-2F1</v>
      </c>
      <c r="E11412" t="s">
        <v>1007</v>
      </c>
      <c r="F11412" t="s">
        <v>11</v>
      </c>
      <c r="G11412" t="s">
        <v>6236</v>
      </c>
      <c r="H11412" s="12">
        <v>-1.05514229729186</v>
      </c>
      <c r="I11412" s="20">
        <v>-0.27294187705284001</v>
      </c>
      <c r="J11412" s="28">
        <v>0.78489789497754103</v>
      </c>
      <c r="K11412" s="29">
        <v>0.98289565623980701</v>
      </c>
    </row>
    <row r="11413" spans="1:11" x14ac:dyDescent="0.35">
      <c r="A11413" s="9" t="str">
        <f>HYPERLINK("http://www.ensembl.org/id/WBGene00012694", "WBGene00012694")</f>
        <v>WBGene00012694</v>
      </c>
      <c r="B11413" s="9" t="str">
        <f>HYPERLINK("http://www.ncbi.nlm.nih.gov/gene/180243", "180243")</f>
        <v>180243</v>
      </c>
      <c r="C11413" s="9" t="str">
        <f>HYPERLINK("http://www.ncbi.nlm.nih.gov/gene/2963", "2963")</f>
        <v>2963</v>
      </c>
      <c r="D11413" t="str">
        <f>"gtf-2F2"</f>
        <v>gtf-2F2</v>
      </c>
      <c r="E11413" t="s">
        <v>7329</v>
      </c>
      <c r="F11413" t="s">
        <v>11</v>
      </c>
      <c r="G11413" t="s">
        <v>7330</v>
      </c>
      <c r="H11413" s="12">
        <v>-1.11947653140573</v>
      </c>
      <c r="I11413" s="20">
        <v>-0.52092894588823002</v>
      </c>
      <c r="J11413" s="28">
        <v>0.60241627016693999</v>
      </c>
      <c r="K11413" s="29">
        <v>0.98289565623980701</v>
      </c>
    </row>
    <row r="11414" spans="1:11" x14ac:dyDescent="0.35">
      <c r="A11414" s="9" t="str">
        <f>HYPERLINK("http://www.ensembl.org/id/WBGene00011814", "WBGene00011814")</f>
        <v>WBGene00011814</v>
      </c>
      <c r="B11414" s="9" t="str">
        <f>HYPERLINK("http://www.ncbi.nlm.nih.gov/gene/176421", "176421")</f>
        <v>176421</v>
      </c>
      <c r="C11414" s="9" t="str">
        <f>HYPERLINK("http://www.ncbi.nlm.nih.gov/gene/2966", "2966")</f>
        <v>2966</v>
      </c>
      <c r="D11414" t="str">
        <f>"gtf-2H2C"</f>
        <v>gtf-2H2C</v>
      </c>
      <c r="E11414" t="s">
        <v>7980</v>
      </c>
      <c r="F11414" t="s">
        <v>11</v>
      </c>
      <c r="G11414" t="s">
        <v>7981</v>
      </c>
      <c r="H11414" s="12">
        <v>-1.15450222097141</v>
      </c>
      <c r="I11414" s="20">
        <v>-0.67813440497444299</v>
      </c>
      <c r="J11414" s="28">
        <v>0.49768647812693201</v>
      </c>
      <c r="K11414" s="29">
        <v>0.98289565623980701</v>
      </c>
    </row>
    <row r="11415" spans="1:11" x14ac:dyDescent="0.35">
      <c r="A11415" s="9" t="str">
        <f>HYPERLINK("http://www.ensembl.org/id/WBGene00021904", "WBGene00021904")</f>
        <v>WBGene00021904</v>
      </c>
      <c r="B11415" s="9" t="str">
        <f>HYPERLINK("http://www.ncbi.nlm.nih.gov/gene/190298", "190298")</f>
        <v>190298</v>
      </c>
      <c r="C11415" s="9"/>
      <c r="D11415" t="str">
        <f>"gtf-2H5"</f>
        <v>gtf-2H5</v>
      </c>
      <c r="E11415" t="s">
        <v>1007</v>
      </c>
      <c r="F11415" t="s">
        <v>11</v>
      </c>
      <c r="G11415" t="s">
        <v>6083</v>
      </c>
      <c r="H11415" s="12">
        <v>1.0643976181080801</v>
      </c>
      <c r="I11415" s="20">
        <v>0.27662166228611001</v>
      </c>
      <c r="J11415" s="28">
        <v>0.782070629434784</v>
      </c>
      <c r="K11415" s="29">
        <v>0.98289565623980701</v>
      </c>
    </row>
    <row r="11416" spans="1:11" x14ac:dyDescent="0.35">
      <c r="A11416" s="9" t="str">
        <f>HYPERLINK("http://www.ensembl.org/id/WBGene00020286", "WBGene00020286")</f>
        <v>WBGene00020286</v>
      </c>
      <c r="B11416" s="9" t="str">
        <f>HYPERLINK("http://www.ncbi.nlm.nih.gov/gene/178471", "178471")</f>
        <v>178471</v>
      </c>
      <c r="C11416" s="9"/>
      <c r="D11416" t="str">
        <f>"gtsf-1"</f>
        <v>gtsf-1</v>
      </c>
      <c r="E11416" t="s">
        <v>9701</v>
      </c>
      <c r="F11416" t="s">
        <v>11</v>
      </c>
      <c r="G11416" t="s">
        <v>7803</v>
      </c>
      <c r="H11416" s="12">
        <v>-1.2837178852103801</v>
      </c>
      <c r="I11416" s="20">
        <v>-1.1270032250758</v>
      </c>
      <c r="J11416" s="28">
        <v>0.25974111742498801</v>
      </c>
      <c r="K11416" s="29">
        <v>0.98289565623980701</v>
      </c>
    </row>
    <row r="11417" spans="1:11" x14ac:dyDescent="0.35">
      <c r="A11417" s="9" t="str">
        <f>HYPERLINK("http://www.ensembl.org/id/WBGene00020190", "WBGene00020190")</f>
        <v>WBGene00020190</v>
      </c>
      <c r="B11417" s="9" t="str">
        <f>HYPERLINK("http://www.ncbi.nlm.nih.gov/gene/171963", "171963")</f>
        <v>171963</v>
      </c>
      <c r="C11417" s="9" t="str">
        <f>HYPERLINK("http://www.ncbi.nlm.nih.gov/gene/2987", "2987")</f>
        <v>2987</v>
      </c>
      <c r="D11417" t="str">
        <f>"guk-1"</f>
        <v>guk-1</v>
      </c>
      <c r="E11417" t="s">
        <v>7285</v>
      </c>
      <c r="F11417" t="s">
        <v>11</v>
      </c>
      <c r="G11417" t="s">
        <v>7286</v>
      </c>
      <c r="H11417" s="12">
        <v>-1.11729169199671</v>
      </c>
      <c r="I11417" s="20">
        <v>-0.57862430921604402</v>
      </c>
      <c r="J11417" s="28">
        <v>0.56284269839577405</v>
      </c>
      <c r="K11417" s="29">
        <v>0.98289565623980701</v>
      </c>
    </row>
    <row r="11418" spans="1:11" x14ac:dyDescent="0.35">
      <c r="A11418" s="9" t="str">
        <f>HYPERLINK("http://www.ensembl.org/id/WBGene00001804", "WBGene00001804")</f>
        <v>WBGene00001804</v>
      </c>
      <c r="B11418" s="9" t="str">
        <f>HYPERLINK("http://www.ncbi.nlm.nih.gov/gene/181245", "181245")</f>
        <v>181245</v>
      </c>
      <c r="C11418" s="9"/>
      <c r="D11418" t="str">
        <f>"gur-3"</f>
        <v>gur-3</v>
      </c>
      <c r="E11418" t="s">
        <v>4816</v>
      </c>
      <c r="F11418" t="s">
        <v>11</v>
      </c>
      <c r="G11418" t="s">
        <v>4817</v>
      </c>
      <c r="H11418" s="12">
        <v>1.3558723250428899</v>
      </c>
      <c r="I11418" s="20">
        <v>0.37020909479661301</v>
      </c>
      <c r="J11418" s="28">
        <v>0.71122670059633897</v>
      </c>
      <c r="K11418" s="29">
        <v>0.98289565623980701</v>
      </c>
    </row>
    <row r="11419" spans="1:11" x14ac:dyDescent="0.35">
      <c r="A11419" s="9" t="str">
        <f>HYPERLINK("http://www.ensembl.org/id/WBGene00001805", "WBGene00001805")</f>
        <v>WBGene00001805</v>
      </c>
      <c r="B11419" s="9" t="str">
        <f>HYPERLINK("http://www.ncbi.nlm.nih.gov/gene/191664", "191664")</f>
        <v>191664</v>
      </c>
      <c r="C11419" s="9"/>
      <c r="D11419" t="str">
        <f>"gur-4"</f>
        <v>gur-4</v>
      </c>
      <c r="E11419" t="s">
        <v>4331</v>
      </c>
      <c r="F11419" t="s">
        <v>11</v>
      </c>
      <c r="G11419" t="s">
        <v>25</v>
      </c>
      <c r="H11419" s="12">
        <v>1.1608804786889499</v>
      </c>
      <c r="I11419" s="20">
        <v>0.27006204914465698</v>
      </c>
      <c r="J11419" s="28">
        <v>0.78711251802558602</v>
      </c>
      <c r="K11419" s="29">
        <v>0.98289565623980701</v>
      </c>
    </row>
    <row r="11420" spans="1:11" x14ac:dyDescent="0.35">
      <c r="A11420" s="9" t="str">
        <f>HYPERLINK("http://www.ensembl.org/id/WBGene00001806", "WBGene00001806")</f>
        <v>WBGene00001806</v>
      </c>
      <c r="B11420" s="9" t="str">
        <f>HYPERLINK("http://www.ncbi.nlm.nih.gov/gene/191665", "191665")</f>
        <v>191665</v>
      </c>
      <c r="C11420" s="9"/>
      <c r="D11420" t="str">
        <f>"gur-5"</f>
        <v>gur-5</v>
      </c>
      <c r="E11420" t="s">
        <v>4331</v>
      </c>
      <c r="F11420" t="s">
        <v>11</v>
      </c>
      <c r="G11420" t="s">
        <v>25</v>
      </c>
      <c r="H11420" s="12">
        <v>2.9382212873962699</v>
      </c>
      <c r="I11420" s="20">
        <v>1.0542362800463501</v>
      </c>
      <c r="J11420" s="28">
        <v>0.29177475364591399</v>
      </c>
      <c r="K11420" s="29">
        <v>0.98289565623980701</v>
      </c>
    </row>
    <row r="11421" spans="1:11" x14ac:dyDescent="0.35">
      <c r="A11421" s="9" t="str">
        <f>HYPERLINK("http://www.ensembl.org/id/WBGene00001808", "WBGene00001808")</f>
        <v>WBGene00001808</v>
      </c>
      <c r="B11421" s="9" t="str">
        <f>HYPERLINK("http://www.ncbi.nlm.nih.gov/gene/179833", "179833")</f>
        <v>179833</v>
      </c>
      <c r="C11421" s="9" t="str">
        <f>HYPERLINK("http://www.ncbi.nlm.nih.gov/gene/57819", "57819")</f>
        <v>57819</v>
      </c>
      <c r="D11421" t="str">
        <f>"gut-2"</f>
        <v>gut-2</v>
      </c>
      <c r="E11421" t="s">
        <v>6622</v>
      </c>
      <c r="F11421" t="s">
        <v>11</v>
      </c>
      <c r="G11421" t="s">
        <v>6623</v>
      </c>
      <c r="H11421" s="12">
        <v>-1.08042287385513</v>
      </c>
      <c r="I11421" s="20">
        <v>-0.31872636396901999</v>
      </c>
      <c r="J11421" s="28">
        <v>0.74993402093892703</v>
      </c>
      <c r="K11421" s="29">
        <v>0.98289565623980701</v>
      </c>
    </row>
    <row r="11422" spans="1:11" x14ac:dyDescent="0.35">
      <c r="A11422" s="9" t="str">
        <f>HYPERLINK("http://www.ensembl.org/id/WBGene00013535", "WBGene00013535")</f>
        <v>WBGene00013535</v>
      </c>
      <c r="B11422" s="9"/>
      <c r="C11422" s="9"/>
      <c r="D11422" t="str">
        <f>"gyg-3"</f>
        <v>gyg-3</v>
      </c>
      <c r="F11422" t="s">
        <v>80</v>
      </c>
      <c r="H11422" s="12">
        <v>-1.3893689235176101</v>
      </c>
      <c r="I11422" s="20">
        <v>-0.58544377019968996</v>
      </c>
      <c r="J11422" s="28">
        <v>0.55824936500943201</v>
      </c>
      <c r="K11422" s="29">
        <v>0.98289565623980701</v>
      </c>
    </row>
    <row r="11423" spans="1:11" x14ac:dyDescent="0.35">
      <c r="A11423" s="9" t="str">
        <f>HYPERLINK("http://www.ensembl.org/id/WBGene00196986", "WBGene00196986")</f>
        <v>WBGene00196986</v>
      </c>
      <c r="B11423" s="9"/>
      <c r="C11423" s="9"/>
      <c r="D11423" t="str">
        <f>"H01A20.2"</f>
        <v>H01A20.2</v>
      </c>
      <c r="F11423" t="s">
        <v>481</v>
      </c>
      <c r="H11423" s="12">
        <v>2.5494470594118899</v>
      </c>
      <c r="I11423" s="20">
        <v>0.31908451726144499</v>
      </c>
      <c r="J11423" s="28">
        <v>0.74966242392848603</v>
      </c>
      <c r="K11423" s="29">
        <v>0.98289565623980701</v>
      </c>
    </row>
    <row r="11424" spans="1:11" x14ac:dyDescent="0.35">
      <c r="A11424" s="9" t="str">
        <f>HYPERLINK("http://www.ensembl.org/id/WBGene00010348", "WBGene00010348")</f>
        <v>WBGene00010348</v>
      </c>
      <c r="B11424" s="9" t="str">
        <f>HYPERLINK("http://www.ncbi.nlm.nih.gov/gene/186661", "186661")</f>
        <v>186661</v>
      </c>
      <c r="C11424" s="9"/>
      <c r="D11424" t="str">
        <f>"H01G02.1"</f>
        <v>H01G02.1</v>
      </c>
      <c r="F11424" t="s">
        <v>11</v>
      </c>
      <c r="H11424" s="12">
        <v>1.14777486975344</v>
      </c>
      <c r="I11424" s="20">
        <v>0.64958145175945103</v>
      </c>
      <c r="J11424" s="28">
        <v>0.51596261740938498</v>
      </c>
      <c r="K11424" s="29">
        <v>0.98289565623980701</v>
      </c>
    </row>
    <row r="11425" spans="1:11" x14ac:dyDescent="0.35">
      <c r="A11425" s="9" t="str">
        <f>HYPERLINK("http://www.ensembl.org/id/WBGene00045108", "WBGene00045108")</f>
        <v>WBGene00045108</v>
      </c>
      <c r="B11425" s="9" t="str">
        <f>HYPERLINK("http://www.ncbi.nlm.nih.gov/gene/4927019", "4927019")</f>
        <v>4927019</v>
      </c>
      <c r="C11425" s="9"/>
      <c r="D11425" t="str">
        <f>"H01G02.4"</f>
        <v>H01G02.4</v>
      </c>
      <c r="F11425" t="s">
        <v>11</v>
      </c>
      <c r="H11425" s="12">
        <v>3.5227018545059199</v>
      </c>
      <c r="I11425" s="20">
        <v>0.36849691206929103</v>
      </c>
      <c r="J11425" s="28">
        <v>0.71250274722433404</v>
      </c>
      <c r="K11425" s="29">
        <v>0.98289565623980701</v>
      </c>
    </row>
    <row r="11426" spans="1:11" x14ac:dyDescent="0.35">
      <c r="A11426" s="9" t="str">
        <f>HYPERLINK("http://www.ensembl.org/id/WBGene00019143", "WBGene00019143")</f>
        <v>WBGene00019143</v>
      </c>
      <c r="B11426" s="9" t="str">
        <f>HYPERLINK("http://www.ncbi.nlm.nih.gov/gene/186663", "186663")</f>
        <v>186663</v>
      </c>
      <c r="C11426" s="9"/>
      <c r="D11426" t="str">
        <f>"H01M10.1"</f>
        <v>H01M10.1</v>
      </c>
      <c r="F11426" t="s">
        <v>11</v>
      </c>
      <c r="H11426" s="12">
        <v>1.1182884270384299</v>
      </c>
      <c r="I11426" s="20">
        <v>0.45471877696547602</v>
      </c>
      <c r="J11426" s="28">
        <v>0.64931157048629795</v>
      </c>
      <c r="K11426" s="29">
        <v>0.98289565623980701</v>
      </c>
    </row>
    <row r="11427" spans="1:11" x14ac:dyDescent="0.35">
      <c r="A11427" s="9" t="str">
        <f>HYPERLINK("http://www.ensembl.org/id/WBGene00019145", "WBGene00019145")</f>
        <v>WBGene00019145</v>
      </c>
      <c r="B11427" s="9" t="str">
        <f>HYPERLINK("http://www.ncbi.nlm.nih.gov/gene/186666", "186666")</f>
        <v>186666</v>
      </c>
      <c r="C11427" s="9"/>
      <c r="D11427" t="str">
        <f>"H02F09.2"</f>
        <v>H02F09.2</v>
      </c>
      <c r="F11427" t="s">
        <v>11</v>
      </c>
      <c r="H11427" s="12">
        <v>6.9803476391906703</v>
      </c>
      <c r="I11427" s="20">
        <v>1.0697927296296299</v>
      </c>
      <c r="J11427" s="28">
        <v>0.28471261556987598</v>
      </c>
      <c r="K11427" s="29">
        <v>0.98289565623980701</v>
      </c>
    </row>
    <row r="11428" spans="1:11" x14ac:dyDescent="0.35">
      <c r="A11428" s="9" t="str">
        <f>HYPERLINK("http://www.ensembl.org/id/WBGene00195830", "WBGene00195830")</f>
        <v>WBGene00195830</v>
      </c>
      <c r="B11428" s="9"/>
      <c r="C11428" s="9"/>
      <c r="D11428" t="str">
        <f>"H03A11.5"</f>
        <v>H03A11.5</v>
      </c>
      <c r="F11428" t="s">
        <v>481</v>
      </c>
      <c r="H11428" s="12">
        <v>-2.01680268540892</v>
      </c>
      <c r="I11428" s="20">
        <v>-0.28392076742908301</v>
      </c>
      <c r="J11428" s="28">
        <v>0.77647110102079697</v>
      </c>
      <c r="K11428" s="29">
        <v>0.98289565623980701</v>
      </c>
    </row>
    <row r="11429" spans="1:11" x14ac:dyDescent="0.35">
      <c r="A11429" s="9" t="str">
        <f>HYPERLINK("http://www.ensembl.org/id/WBGene00198437", "WBGene00198437")</f>
        <v>WBGene00198437</v>
      </c>
      <c r="B11429" s="9"/>
      <c r="C11429" s="9"/>
      <c r="D11429" t="str">
        <f>"H03A11.8"</f>
        <v>H03A11.8</v>
      </c>
      <c r="F11429" t="s">
        <v>481</v>
      </c>
      <c r="H11429" s="12">
        <v>-2.4991590031922399</v>
      </c>
      <c r="I11429" s="20">
        <v>-0.26577412737581302</v>
      </c>
      <c r="J11429" s="28">
        <v>0.79041317015736101</v>
      </c>
      <c r="K11429" s="29">
        <v>0.98289565623980701</v>
      </c>
    </row>
    <row r="11430" spans="1:11" x14ac:dyDescent="0.35">
      <c r="A11430" s="9" t="str">
        <f>HYPERLINK("http://www.ensembl.org/id/WBGene00198038", "WBGene00198038")</f>
        <v>WBGene00198038</v>
      </c>
      <c r="B11430" s="9"/>
      <c r="C11430" s="9"/>
      <c r="D11430" t="str">
        <f>"H03E18.4"</f>
        <v>H03E18.4</v>
      </c>
      <c r="F11430" t="s">
        <v>481</v>
      </c>
      <c r="H11430" s="12">
        <v>-3.33576734137697</v>
      </c>
      <c r="I11430" s="20">
        <v>-0.37789252555813302</v>
      </c>
      <c r="J11430" s="28">
        <v>0.70551043520482504</v>
      </c>
      <c r="K11430" s="29">
        <v>0.98289565623980701</v>
      </c>
    </row>
    <row r="11431" spans="1:11" x14ac:dyDescent="0.35">
      <c r="A11431" s="9" t="str">
        <f>HYPERLINK("http://www.ensembl.org/id/WBGene00010358", "WBGene00010358")</f>
        <v>WBGene00010358</v>
      </c>
      <c r="B11431" s="9" t="str">
        <f>HYPERLINK("http://www.ncbi.nlm.nih.gov/gene/186674", "186674")</f>
        <v>186674</v>
      </c>
      <c r="C11431" s="9"/>
      <c r="D11431" t="str">
        <f>"H03G16.1"</f>
        <v>H03G16.1</v>
      </c>
      <c r="F11431" t="s">
        <v>11</v>
      </c>
      <c r="H11431" s="12">
        <v>-2.3915974862820901</v>
      </c>
      <c r="I11431" s="20">
        <v>-0.42079987883833497</v>
      </c>
      <c r="J11431" s="28">
        <v>0.67390122013614295</v>
      </c>
      <c r="K11431" s="29">
        <v>0.98289565623980701</v>
      </c>
    </row>
    <row r="11432" spans="1:11" x14ac:dyDescent="0.35">
      <c r="A11432" s="9" t="str">
        <f>HYPERLINK("http://www.ensembl.org/id/WBGene00014790", "WBGene00014790")</f>
        <v>WBGene00014790</v>
      </c>
      <c r="B11432" s="9"/>
      <c r="C11432" s="9"/>
      <c r="D11432" t="str">
        <f>"H03G16.3"</f>
        <v>H03G16.3</v>
      </c>
      <c r="F11432" t="s">
        <v>80</v>
      </c>
      <c r="H11432" s="12">
        <v>1.1448803491786801</v>
      </c>
      <c r="I11432" s="20">
        <v>0.37434341169746499</v>
      </c>
      <c r="J11432" s="28">
        <v>0.70814883815030705</v>
      </c>
      <c r="K11432" s="29">
        <v>0.98289565623980701</v>
      </c>
    </row>
    <row r="11433" spans="1:11" x14ac:dyDescent="0.35">
      <c r="A11433" s="9" t="str">
        <f>HYPERLINK("http://www.ensembl.org/id/WBGene00010361", "WBGene00010361")</f>
        <v>WBGene00010361</v>
      </c>
      <c r="B11433" s="9" t="str">
        <f>HYPERLINK("http://www.ncbi.nlm.nih.gov/gene/186677", "186677")</f>
        <v>186677</v>
      </c>
      <c r="C11433" s="9"/>
      <c r="D11433" t="str">
        <f>"H03G16.5"</f>
        <v>H03G16.5</v>
      </c>
      <c r="F11433" t="s">
        <v>11</v>
      </c>
      <c r="H11433" s="12">
        <v>1.3869426831873399</v>
      </c>
      <c r="I11433" s="20">
        <v>0.78412631345523198</v>
      </c>
      <c r="J11433" s="28">
        <v>0.43296599680793102</v>
      </c>
      <c r="K11433" s="29">
        <v>0.98289565623980701</v>
      </c>
    </row>
    <row r="11434" spans="1:11" x14ac:dyDescent="0.35">
      <c r="A11434" s="9" t="str">
        <f>HYPERLINK("http://www.ensembl.org/id/WBGene00044141", "WBGene00044141")</f>
        <v>WBGene00044141</v>
      </c>
      <c r="B11434" s="9" t="str">
        <f>HYPERLINK("http://www.ncbi.nlm.nih.gov/gene/3564905", "3564905")</f>
        <v>3564905</v>
      </c>
      <c r="C11434" s="9"/>
      <c r="D11434" t="str">
        <f>"H03G16.6"</f>
        <v>H03G16.6</v>
      </c>
      <c r="F11434" t="s">
        <v>11</v>
      </c>
      <c r="G11434" t="s">
        <v>25</v>
      </c>
      <c r="H11434" s="12">
        <v>4.5655686139945102</v>
      </c>
      <c r="I11434" s="20">
        <v>0.54155341165969295</v>
      </c>
      <c r="J11434" s="28">
        <v>0.588126193449649</v>
      </c>
      <c r="K11434" s="29">
        <v>0.98289565623980701</v>
      </c>
    </row>
    <row r="11435" spans="1:11" x14ac:dyDescent="0.35">
      <c r="A11435" s="9" t="str">
        <f>HYPERLINK("http://www.ensembl.org/id/WBGene00010365", "WBGene00010365")</f>
        <v>WBGene00010365</v>
      </c>
      <c r="B11435" s="9" t="str">
        <f>HYPERLINK("http://www.ncbi.nlm.nih.gov/gene/3565670", "3565670")</f>
        <v>3565670</v>
      </c>
      <c r="C11435" s="9"/>
      <c r="D11435" t="str">
        <f>"H04D03.4"</f>
        <v>H04D03.4</v>
      </c>
      <c r="F11435" t="s">
        <v>11</v>
      </c>
      <c r="G11435" t="s">
        <v>4517</v>
      </c>
      <c r="H11435" s="12">
        <v>1.28095418135649</v>
      </c>
      <c r="I11435" s="20">
        <v>0.54411666877761999</v>
      </c>
      <c r="J11435" s="28">
        <v>0.58636119065227699</v>
      </c>
      <c r="K11435" s="29">
        <v>0.98289565623980701</v>
      </c>
    </row>
    <row r="11436" spans="1:11" x14ac:dyDescent="0.35">
      <c r="A11436" s="9" t="str">
        <f>HYPERLINK("http://www.ensembl.org/id/WBGene00045378", "WBGene00045378")</f>
        <v>WBGene00045378</v>
      </c>
      <c r="B11436" s="9"/>
      <c r="C11436" s="9"/>
      <c r="D11436" t="str">
        <f>"H04D03.5"</f>
        <v>H04D03.5</v>
      </c>
      <c r="F11436" t="s">
        <v>2977</v>
      </c>
      <c r="H11436" s="12">
        <v>2.4578120077400301</v>
      </c>
      <c r="I11436" s="20">
        <v>0.26093350314551</v>
      </c>
      <c r="J11436" s="28">
        <v>0.79414378780213601</v>
      </c>
      <c r="K11436" s="29">
        <v>0.98289565623980701</v>
      </c>
    </row>
    <row r="11437" spans="1:11" x14ac:dyDescent="0.35">
      <c r="A11437" s="9" t="str">
        <f>HYPERLINK("http://www.ensembl.org/id/WBGene00194861", "WBGene00194861")</f>
        <v>WBGene00194861</v>
      </c>
      <c r="B11437" s="9" t="str">
        <f>HYPERLINK("http://www.ncbi.nlm.nih.gov/gene/13191136", "13191136")</f>
        <v>13191136</v>
      </c>
      <c r="C11437" s="9"/>
      <c r="D11437" t="str">
        <f>"H04D03.6"</f>
        <v>H04D03.6</v>
      </c>
      <c r="F11437" t="s">
        <v>11</v>
      </c>
      <c r="G11437" t="s">
        <v>967</v>
      </c>
      <c r="H11437" s="12">
        <v>-1.9003460603617499</v>
      </c>
      <c r="I11437" s="20">
        <v>-1.1962624373667201</v>
      </c>
      <c r="J11437" s="28">
        <v>0.23159416219978399</v>
      </c>
      <c r="K11437" s="29">
        <v>0.98289565623980701</v>
      </c>
    </row>
    <row r="11438" spans="1:11" x14ac:dyDescent="0.35">
      <c r="A11438" s="9" t="str">
        <f>HYPERLINK("http://www.ensembl.org/id/WBGene00019150", "WBGene00019150")</f>
        <v>WBGene00019150</v>
      </c>
      <c r="B11438" s="9" t="str">
        <f>HYPERLINK("http://www.ncbi.nlm.nih.gov/gene/186681", "186681")</f>
        <v>186681</v>
      </c>
      <c r="C11438" s="9"/>
      <c r="D11438" t="str">
        <f>"H04J21.1"</f>
        <v>H04J21.1</v>
      </c>
      <c r="F11438" t="s">
        <v>11</v>
      </c>
      <c r="G11438" t="s">
        <v>54</v>
      </c>
      <c r="H11438" s="12">
        <v>2.1389115155304999</v>
      </c>
      <c r="I11438" s="20">
        <v>0.753921332619786</v>
      </c>
      <c r="J11438" s="28">
        <v>0.45089646022815599</v>
      </c>
      <c r="K11438" s="29">
        <v>0.98289565623980701</v>
      </c>
    </row>
    <row r="11439" spans="1:11" x14ac:dyDescent="0.35">
      <c r="A11439" s="9" t="str">
        <f>HYPERLINK("http://www.ensembl.org/id/WBGene00019155", "WBGene00019155")</f>
        <v>WBGene00019155</v>
      </c>
      <c r="B11439" s="9" t="str">
        <f>HYPERLINK("http://www.ncbi.nlm.nih.gov/gene/186689", "186689")</f>
        <v>186689</v>
      </c>
      <c r="C11439" s="9"/>
      <c r="D11439" t="str">
        <f>"H04M03.11"</f>
        <v>H04M03.11</v>
      </c>
      <c r="F11439" t="s">
        <v>11</v>
      </c>
      <c r="G11439" t="s">
        <v>25</v>
      </c>
      <c r="H11439" s="12">
        <v>-8.0014360469151899</v>
      </c>
      <c r="I11439" s="20">
        <v>-0.61746222315259702</v>
      </c>
      <c r="J11439" s="28">
        <v>0.536929891129723</v>
      </c>
      <c r="K11439" s="29">
        <v>0.98289565623980701</v>
      </c>
    </row>
    <row r="11440" spans="1:11" x14ac:dyDescent="0.35">
      <c r="A11440" s="9" t="str">
        <f>HYPERLINK("http://www.ensembl.org/id/WBGene00019158", "WBGene00019158")</f>
        <v>WBGene00019158</v>
      </c>
      <c r="B11440" s="9" t="str">
        <f>HYPERLINK("http://www.ncbi.nlm.nih.gov/gene/175407", "175407")</f>
        <v>175407</v>
      </c>
      <c r="C11440" s="9"/>
      <c r="D11440" t="str">
        <f>"H05C05.2"</f>
        <v>H05C05.2</v>
      </c>
      <c r="F11440" t="s">
        <v>11</v>
      </c>
      <c r="H11440" s="12">
        <v>-1.1816100604273301</v>
      </c>
      <c r="I11440" s="20">
        <v>-0.81827886296459995</v>
      </c>
      <c r="J11440" s="28">
        <v>0.41319797265938801</v>
      </c>
      <c r="K11440" s="29">
        <v>0.98289565623980701</v>
      </c>
    </row>
    <row r="11441" spans="1:11" x14ac:dyDescent="0.35">
      <c r="A11441" s="9" t="str">
        <f>HYPERLINK("http://www.ensembl.org/id/WBGene00019159", "WBGene00019159")</f>
        <v>WBGene00019159</v>
      </c>
      <c r="B11441" s="9" t="str">
        <f>HYPERLINK("http://www.ncbi.nlm.nih.gov/gene/186695", "186695")</f>
        <v>186695</v>
      </c>
      <c r="C11441" s="9"/>
      <c r="D11441" t="str">
        <f>"H05C05.3"</f>
        <v>H05C05.3</v>
      </c>
      <c r="F11441" t="s">
        <v>11</v>
      </c>
      <c r="H11441" s="12">
        <v>5.2322000618327396</v>
      </c>
      <c r="I11441" s="20">
        <v>0.486112489888328</v>
      </c>
      <c r="J11441" s="28">
        <v>0.62688741196182496</v>
      </c>
      <c r="K11441" s="29">
        <v>0.98289565623980701</v>
      </c>
    </row>
    <row r="11442" spans="1:11" x14ac:dyDescent="0.35">
      <c r="A11442" s="9" t="str">
        <f>HYPERLINK("http://www.ensembl.org/id/WBGene00010366", "WBGene00010366")</f>
        <v>WBGene00010366</v>
      </c>
      <c r="B11442" s="9" t="str">
        <f>HYPERLINK("http://www.ncbi.nlm.nih.gov/gene/172575", "172575")</f>
        <v>172575</v>
      </c>
      <c r="C11442" s="9"/>
      <c r="D11442" t="str">
        <f>"H05L14.1"</f>
        <v>H05L14.1</v>
      </c>
      <c r="F11442" t="s">
        <v>11</v>
      </c>
      <c r="G11442" t="s">
        <v>4424</v>
      </c>
      <c r="H11442" s="12">
        <v>-1.3707790306590799</v>
      </c>
      <c r="I11442" s="20">
        <v>-0.28031799346133401</v>
      </c>
      <c r="J11442" s="28">
        <v>0.77923354716819004</v>
      </c>
      <c r="K11442" s="29">
        <v>0.98289565623980701</v>
      </c>
    </row>
    <row r="11443" spans="1:11" x14ac:dyDescent="0.35">
      <c r="A11443" s="9" t="str">
        <f>HYPERLINK("http://www.ensembl.org/id/WBGene00271605", "WBGene00271605")</f>
        <v>WBGene00271605</v>
      </c>
      <c r="B11443" s="9" t="str">
        <f>HYPERLINK("http://www.ncbi.nlm.nih.gov/gene/32091599", "32091599")</f>
        <v>32091599</v>
      </c>
      <c r="C11443" s="9"/>
      <c r="D11443" t="str">
        <f>"H05L14.3"</f>
        <v>H05L14.3</v>
      </c>
      <c r="F11443" t="s">
        <v>11</v>
      </c>
      <c r="H11443" s="12">
        <v>5.8630545852879496</v>
      </c>
      <c r="I11443" s="20">
        <v>1.0932138989094</v>
      </c>
      <c r="J11443" s="28">
        <v>0.27429989595667698</v>
      </c>
      <c r="K11443" s="29">
        <v>0.98289565623980701</v>
      </c>
    </row>
    <row r="11444" spans="1:11" x14ac:dyDescent="0.35">
      <c r="A11444" s="9" t="str">
        <f>HYPERLINK("http://www.ensembl.org/id/WBGene00019164", "WBGene00019164")</f>
        <v>WBGene00019164</v>
      </c>
      <c r="B11444" s="9" t="str">
        <f>HYPERLINK("http://www.ncbi.nlm.nih.gov/gene/186700", "186700")</f>
        <v>186700</v>
      </c>
      <c r="C11444" s="9"/>
      <c r="D11444" t="str">
        <f>"H06H21.8"</f>
        <v>H06H21.8</v>
      </c>
      <c r="F11444" t="s">
        <v>11</v>
      </c>
      <c r="H11444" s="12">
        <v>-1.1344942624082299</v>
      </c>
      <c r="I11444" s="20">
        <v>-0.64039609145925003</v>
      </c>
      <c r="J11444" s="28">
        <v>0.52191512325568901</v>
      </c>
      <c r="K11444" s="29">
        <v>0.98289565623980701</v>
      </c>
    </row>
    <row r="11445" spans="1:11" x14ac:dyDescent="0.35">
      <c r="A11445" s="9" t="str">
        <f>HYPERLINK("http://www.ensembl.org/id/WBGene00196696", "WBGene00196696")</f>
        <v>WBGene00196696</v>
      </c>
      <c r="B11445" s="9"/>
      <c r="C11445" s="9"/>
      <c r="D11445" t="str">
        <f>"H06I04.11"</f>
        <v>H06I04.11</v>
      </c>
      <c r="F11445" t="s">
        <v>481</v>
      </c>
      <c r="H11445" s="12">
        <v>-2.4991590031922399</v>
      </c>
      <c r="I11445" s="20">
        <v>-0.26577412737581302</v>
      </c>
      <c r="J11445" s="28">
        <v>0.79041317015736101</v>
      </c>
      <c r="K11445" s="29">
        <v>0.98289565623980701</v>
      </c>
    </row>
    <row r="11446" spans="1:11" x14ac:dyDescent="0.35">
      <c r="A11446" s="9" t="str">
        <f>HYPERLINK("http://www.ensembl.org/id/WBGene00019168", "WBGene00019168")</f>
        <v>WBGene00019168</v>
      </c>
      <c r="B11446" s="9" t="str">
        <f>HYPERLINK("http://www.ncbi.nlm.nih.gov/gene/175414", "175414")</f>
        <v>175414</v>
      </c>
      <c r="C11446" s="9"/>
      <c r="D11446" t="str">
        <f>"H06I04.3"</f>
        <v>H06I04.3</v>
      </c>
      <c r="E11446" t="s">
        <v>6119</v>
      </c>
      <c r="F11446" t="s">
        <v>11</v>
      </c>
      <c r="G11446" t="s">
        <v>6120</v>
      </c>
      <c r="H11446" s="12">
        <v>1.05658613422805</v>
      </c>
      <c r="I11446" s="20">
        <v>0.27072849733504201</v>
      </c>
      <c r="J11446" s="28">
        <v>0.78659985732137705</v>
      </c>
      <c r="K11446" s="29">
        <v>0.98289565623980701</v>
      </c>
    </row>
    <row r="11447" spans="1:11" x14ac:dyDescent="0.35">
      <c r="A11447" s="9" t="str">
        <f>HYPERLINK("http://www.ensembl.org/id/WBGene00019169", "WBGene00019169")</f>
        <v>WBGene00019169</v>
      </c>
      <c r="B11447" s="9" t="str">
        <f>HYPERLINK("http://www.ncbi.nlm.nih.gov/gene/175411", "175411")</f>
        <v>175411</v>
      </c>
      <c r="C11447" s="9"/>
      <c r="D11447" t="str">
        <f>"H06I04.5"</f>
        <v>H06I04.5</v>
      </c>
      <c r="E11447" t="s">
        <v>4323</v>
      </c>
      <c r="F11447" t="s">
        <v>11</v>
      </c>
      <c r="G11447" t="s">
        <v>161</v>
      </c>
      <c r="H11447" s="12">
        <v>3.0821402262494302</v>
      </c>
      <c r="I11447" s="20">
        <v>0.67801638028834998</v>
      </c>
      <c r="J11447" s="28">
        <v>0.49776130741310798</v>
      </c>
      <c r="K11447" s="29">
        <v>0.98289565623980701</v>
      </c>
    </row>
    <row r="11448" spans="1:11" x14ac:dyDescent="0.35">
      <c r="A11448" s="9" t="str">
        <f>HYPERLINK("http://www.ensembl.org/id/WBGene00044940", "WBGene00044940")</f>
        <v>WBGene00044940</v>
      </c>
      <c r="B11448" s="9"/>
      <c r="C11448" s="9"/>
      <c r="D11448" t="str">
        <f>"H06I04.8"</f>
        <v>H06I04.8</v>
      </c>
      <c r="F11448" t="s">
        <v>2977</v>
      </c>
      <c r="H11448" s="12">
        <v>2.4578120077400301</v>
      </c>
      <c r="I11448" s="20">
        <v>0.26093350314551</v>
      </c>
      <c r="J11448" s="28">
        <v>0.79414378780213601</v>
      </c>
      <c r="K11448" s="29">
        <v>0.98289565623980701</v>
      </c>
    </row>
    <row r="11449" spans="1:11" x14ac:dyDescent="0.35">
      <c r="A11449" s="9" t="str">
        <f>HYPERLINK("http://www.ensembl.org/id/WBGene00010371", "WBGene00010371")</f>
        <v>WBGene00010371</v>
      </c>
      <c r="B11449" s="9"/>
      <c r="C11449" s="9"/>
      <c r="D11449" t="str">
        <f>"H06O01.4"</f>
        <v>H06O01.4</v>
      </c>
      <c r="F11449" t="s">
        <v>80</v>
      </c>
      <c r="H11449" s="12">
        <v>2.2201662281933698</v>
      </c>
      <c r="I11449" s="20">
        <v>0.50405022937779498</v>
      </c>
      <c r="J11449" s="28">
        <v>0.61422608033314197</v>
      </c>
      <c r="K11449" s="29">
        <v>0.98289565623980701</v>
      </c>
    </row>
    <row r="11450" spans="1:11" x14ac:dyDescent="0.35">
      <c r="A11450" s="9" t="str">
        <f>HYPERLINK("http://www.ensembl.org/id/WBGene00271648", "WBGene00271648")</f>
        <v>WBGene00271648</v>
      </c>
      <c r="B11450" s="9"/>
      <c r="C11450" s="9"/>
      <c r="D11450" t="str">
        <f>"H06O01.5"</f>
        <v>H06O01.5</v>
      </c>
      <c r="F11450" t="s">
        <v>481</v>
      </c>
      <c r="H11450" s="12">
        <v>-2.8688569918081699</v>
      </c>
      <c r="I11450" s="20">
        <v>-0.81979208309546203</v>
      </c>
      <c r="J11450" s="28">
        <v>0.41233464503003098</v>
      </c>
      <c r="K11450" s="29">
        <v>0.98289565623980701</v>
      </c>
    </row>
    <row r="11451" spans="1:11" x14ac:dyDescent="0.35">
      <c r="A11451" s="9" t="str">
        <f>HYPERLINK("http://www.ensembl.org/id/WBGene00200087", "WBGene00200087")</f>
        <v>WBGene00200087</v>
      </c>
      <c r="B11451" s="9"/>
      <c r="C11451" s="9"/>
      <c r="D11451" t="str">
        <f>"H08J11.9"</f>
        <v>H08J11.9</v>
      </c>
      <c r="F11451" t="s">
        <v>481</v>
      </c>
      <c r="H11451" s="12">
        <v>2.3893468495514898</v>
      </c>
      <c r="I11451" s="20">
        <v>0.25323547253672701</v>
      </c>
      <c r="J11451" s="28">
        <v>0.80008625651646104</v>
      </c>
      <c r="K11451" s="29">
        <v>0.98289565623980701</v>
      </c>
    </row>
    <row r="11452" spans="1:11" x14ac:dyDescent="0.35">
      <c r="A11452" s="9" t="str">
        <f>HYPERLINK("http://www.ensembl.org/id/WBGene00010372", "WBGene00010372")</f>
        <v>WBGene00010372</v>
      </c>
      <c r="B11452" s="9" t="str">
        <f>HYPERLINK("http://www.ncbi.nlm.nih.gov/gene/186707", "186707")</f>
        <v>186707</v>
      </c>
      <c r="C11452" s="9"/>
      <c r="D11452" t="str">
        <f>"H08J19.1"</f>
        <v>H08J19.1</v>
      </c>
      <c r="F11452" t="s">
        <v>11</v>
      </c>
      <c r="H11452" s="12">
        <v>2.1339222596765199</v>
      </c>
      <c r="I11452" s="20">
        <v>0.80060132914680504</v>
      </c>
      <c r="J11452" s="28">
        <v>0.42336248102704599</v>
      </c>
      <c r="K11452" s="29">
        <v>0.98289565623980701</v>
      </c>
    </row>
    <row r="11453" spans="1:11" x14ac:dyDescent="0.35">
      <c r="A11453" s="9" t="str">
        <f>HYPERLINK("http://www.ensembl.org/id/WBGene00010375", "WBGene00010375")</f>
        <v>WBGene00010375</v>
      </c>
      <c r="B11453" s="9" t="str">
        <f>HYPERLINK("http://www.ncbi.nlm.nih.gov/gene/186709", "186709")</f>
        <v>186709</v>
      </c>
      <c r="C11453" s="9"/>
      <c r="D11453" t="str">
        <f>"H09F14.1"</f>
        <v>H09F14.1</v>
      </c>
      <c r="F11453" t="s">
        <v>11</v>
      </c>
      <c r="G11453" t="s">
        <v>1511</v>
      </c>
      <c r="H11453" s="12">
        <v>-1.1751348075696999</v>
      </c>
      <c r="I11453" s="20">
        <v>-0.64654165701175403</v>
      </c>
      <c r="J11453" s="28">
        <v>0.51792862824033103</v>
      </c>
      <c r="K11453" s="29">
        <v>0.98289565623980701</v>
      </c>
    </row>
    <row r="11454" spans="1:11" x14ac:dyDescent="0.35">
      <c r="A11454" s="9" t="str">
        <f>HYPERLINK("http://www.ensembl.org/id/WBGene00019174", "WBGene00019174")</f>
        <v>WBGene00019174</v>
      </c>
      <c r="B11454" s="9" t="str">
        <f>HYPERLINK("http://www.ncbi.nlm.nih.gov/gene/186710", "186710")</f>
        <v>186710</v>
      </c>
      <c r="C11454" s="9"/>
      <c r="D11454" t="str">
        <f>"H09G03.1"</f>
        <v>H09G03.1</v>
      </c>
      <c r="F11454" t="s">
        <v>11</v>
      </c>
      <c r="H11454" s="12">
        <v>1.1850162515792899</v>
      </c>
      <c r="I11454" s="20">
        <v>0.41839156712012199</v>
      </c>
      <c r="J11454" s="28">
        <v>0.67566085114501595</v>
      </c>
      <c r="K11454" s="29">
        <v>0.98289565623980701</v>
      </c>
    </row>
    <row r="11455" spans="1:11" x14ac:dyDescent="0.35">
      <c r="A11455" s="9" t="str">
        <f>HYPERLINK("http://www.ensembl.org/id/WBGene00019176", "WBGene00019176")</f>
        <v>WBGene00019176</v>
      </c>
      <c r="B11455" s="9"/>
      <c r="C11455" s="9"/>
      <c r="D11455" t="str">
        <f>"H10D12.2"</f>
        <v>H10D12.2</v>
      </c>
      <c r="F11455" t="s">
        <v>80</v>
      </c>
      <c r="H11455" s="12">
        <v>1.11953482933971</v>
      </c>
      <c r="I11455" s="20">
        <v>0.36541733942980698</v>
      </c>
      <c r="J11455" s="28">
        <v>0.71479989986408399</v>
      </c>
      <c r="K11455" s="29">
        <v>0.98289565623980701</v>
      </c>
    </row>
    <row r="11456" spans="1:11" x14ac:dyDescent="0.35">
      <c r="A11456" s="9" t="str">
        <f>HYPERLINK("http://www.ensembl.org/id/WBGene00019181", "WBGene00019181")</f>
        <v>WBGene00019181</v>
      </c>
      <c r="B11456" s="9"/>
      <c r="C11456" s="9"/>
      <c r="D11456" t="str">
        <f>"H10D18.6"</f>
        <v>H10D18.6</v>
      </c>
      <c r="F11456" t="s">
        <v>80</v>
      </c>
      <c r="H11456" s="12">
        <v>1.84802686007263</v>
      </c>
      <c r="I11456" s="20">
        <v>0.47334669420422898</v>
      </c>
      <c r="J11456" s="28">
        <v>0.63596585368152303</v>
      </c>
      <c r="K11456" s="29">
        <v>0.98289565623980701</v>
      </c>
    </row>
    <row r="11457" spans="1:11" x14ac:dyDescent="0.35">
      <c r="A11457" s="9" t="str">
        <f>HYPERLINK("http://www.ensembl.org/id/WBGene00019187", "WBGene00019187")</f>
        <v>WBGene00019187</v>
      </c>
      <c r="B11457" s="9" t="str">
        <f>HYPERLINK("http://www.ncbi.nlm.nih.gov/gene/186721", "186721")</f>
        <v>186721</v>
      </c>
      <c r="C11457" s="9"/>
      <c r="D11457" t="str">
        <f>"H11E01.2"</f>
        <v>H11E01.2</v>
      </c>
      <c r="F11457" t="s">
        <v>11</v>
      </c>
      <c r="G11457" t="s">
        <v>230</v>
      </c>
      <c r="H11457" s="12">
        <v>-1.5200142508535099</v>
      </c>
      <c r="I11457" s="20">
        <v>-1.20213155622074</v>
      </c>
      <c r="J11457" s="28">
        <v>0.22931256192864999</v>
      </c>
      <c r="K11457" s="29">
        <v>0.98289565623980701</v>
      </c>
    </row>
    <row r="11458" spans="1:11" x14ac:dyDescent="0.35">
      <c r="A11458" s="9" t="str">
        <f>HYPERLINK("http://www.ensembl.org/id/WBGene00023308", "WBGene00023308")</f>
        <v>WBGene00023308</v>
      </c>
      <c r="B11458" s="9"/>
      <c r="C11458" s="9"/>
      <c r="D11458" t="str">
        <f>"H11E01.t1"</f>
        <v>H11E01.t1</v>
      </c>
      <c r="F11458" t="s">
        <v>80</v>
      </c>
      <c r="H11458" s="12">
        <v>7.6616465944663696</v>
      </c>
      <c r="I11458" s="20">
        <v>0.60406875593600395</v>
      </c>
      <c r="J11458" s="28">
        <v>0.54579793098927099</v>
      </c>
      <c r="K11458" s="29">
        <v>0.98289565623980701</v>
      </c>
    </row>
    <row r="11459" spans="1:11" x14ac:dyDescent="0.35">
      <c r="A11459" s="9" t="str">
        <f>HYPERLINK("http://www.ensembl.org/id/WBGene00010387", "WBGene00010387")</f>
        <v>WBGene00010387</v>
      </c>
      <c r="B11459" s="9" t="str">
        <f>HYPERLINK("http://www.ncbi.nlm.nih.gov/gene/3565460", "3565460")</f>
        <v>3565460</v>
      </c>
      <c r="C11459" s="9"/>
      <c r="D11459" t="str">
        <f>"H12D21.11"</f>
        <v>H12D21.11</v>
      </c>
      <c r="F11459" t="s">
        <v>11</v>
      </c>
      <c r="G11459" t="s">
        <v>25</v>
      </c>
      <c r="H11459" s="12">
        <v>2.7057216902322301</v>
      </c>
      <c r="I11459" s="20">
        <v>0.71764300349490895</v>
      </c>
      <c r="J11459" s="28">
        <v>0.472977434977773</v>
      </c>
      <c r="K11459" s="29">
        <v>0.98289565623980701</v>
      </c>
    </row>
    <row r="11460" spans="1:11" x14ac:dyDescent="0.35">
      <c r="A11460" s="9" t="str">
        <f>HYPERLINK("http://www.ensembl.org/id/WBGene00077581", "WBGene00077581")</f>
        <v>WBGene00077581</v>
      </c>
      <c r="B11460" s="9"/>
      <c r="C11460" s="9"/>
      <c r="D11460" t="str">
        <f>"H12D21.16"</f>
        <v>H12D21.16</v>
      </c>
      <c r="F11460" t="s">
        <v>80</v>
      </c>
      <c r="H11460" s="12">
        <v>4.4368407117627902</v>
      </c>
      <c r="I11460" s="20">
        <v>0.43709475933309699</v>
      </c>
      <c r="J11460" s="28">
        <v>0.66204262779770495</v>
      </c>
      <c r="K11460" s="29">
        <v>0.98289565623980701</v>
      </c>
    </row>
    <row r="11461" spans="1:11" x14ac:dyDescent="0.35">
      <c r="A11461" s="9" t="str">
        <f>HYPERLINK("http://www.ensembl.org/id/WBGene00010379", "WBGene00010379")</f>
        <v>WBGene00010379</v>
      </c>
      <c r="B11461" s="9" t="str">
        <f>HYPERLINK("http://www.ncbi.nlm.nih.gov/gene/186727", "186727")</f>
        <v>186727</v>
      </c>
      <c r="C11461" s="9"/>
      <c r="D11461" t="str">
        <f>"H12D21.3"</f>
        <v>H12D21.3</v>
      </c>
      <c r="F11461" t="s">
        <v>11</v>
      </c>
      <c r="H11461" s="12">
        <v>1.3016137046402301</v>
      </c>
      <c r="I11461" s="20">
        <v>0.28489973933893398</v>
      </c>
      <c r="J11461" s="28">
        <v>0.77572095568864496</v>
      </c>
      <c r="K11461" s="29">
        <v>0.98289565623980701</v>
      </c>
    </row>
    <row r="11462" spans="1:11" x14ac:dyDescent="0.35">
      <c r="A11462" s="9" t="str">
        <f>HYPERLINK("http://www.ensembl.org/id/WBGene00010381", "WBGene00010381")</f>
        <v>WBGene00010381</v>
      </c>
      <c r="B11462" s="9" t="str">
        <f>HYPERLINK("http://www.ncbi.nlm.nih.gov/gene/186729", "186729")</f>
        <v>186729</v>
      </c>
      <c r="C11462" s="9"/>
      <c r="D11462" t="str">
        <f>"H12D21.5"</f>
        <v>H12D21.5</v>
      </c>
      <c r="F11462" t="s">
        <v>11</v>
      </c>
      <c r="G11462" t="s">
        <v>25</v>
      </c>
      <c r="H11462" s="12">
        <v>1.9033570216918601</v>
      </c>
      <c r="I11462" s="20">
        <v>0.27130360693713301</v>
      </c>
      <c r="J11462" s="28">
        <v>0.78615753253665899</v>
      </c>
      <c r="K11462" s="29">
        <v>0.98289565623980701</v>
      </c>
    </row>
    <row r="11463" spans="1:11" x14ac:dyDescent="0.35">
      <c r="A11463" s="9" t="str">
        <f>HYPERLINK("http://www.ensembl.org/id/WBGene00019190", "WBGene00019190")</f>
        <v>WBGene00019190</v>
      </c>
      <c r="B11463" s="9" t="str">
        <f>HYPERLINK("http://www.ncbi.nlm.nih.gov/gene/186732", "186732")</f>
        <v>186732</v>
      </c>
      <c r="C11463" s="9"/>
      <c r="D11463" t="str">
        <f>"H12I13.1"</f>
        <v>H12I13.1</v>
      </c>
      <c r="F11463" t="s">
        <v>11</v>
      </c>
      <c r="G11463" t="s">
        <v>10107</v>
      </c>
      <c r="H11463" s="12">
        <v>-4.3600574296352699</v>
      </c>
      <c r="I11463" s="20">
        <v>-0.71527181817699104</v>
      </c>
      <c r="J11463" s="28">
        <v>0.47444109898630599</v>
      </c>
      <c r="K11463" s="29">
        <v>0.98289565623980701</v>
      </c>
    </row>
    <row r="11464" spans="1:11" x14ac:dyDescent="0.35">
      <c r="A11464" s="9" t="str">
        <f>HYPERLINK("http://www.ensembl.org/id/WBGene00019194", "WBGene00019194")</f>
        <v>WBGene00019194</v>
      </c>
      <c r="B11464" s="9" t="str">
        <f>HYPERLINK("http://www.ncbi.nlm.nih.gov/gene/174015", "174015")</f>
        <v>174015</v>
      </c>
      <c r="C11464" s="9"/>
      <c r="D11464" t="str">
        <f>"H12I13.6"</f>
        <v>H12I13.6</v>
      </c>
      <c r="F11464" t="s">
        <v>11</v>
      </c>
      <c r="H11464" s="12">
        <v>11.707358109240801</v>
      </c>
      <c r="I11464" s="20">
        <v>1.15082907841235</v>
      </c>
      <c r="J11464" s="28">
        <v>0.249802559420051</v>
      </c>
      <c r="K11464" s="29">
        <v>0.98289565623980701</v>
      </c>
    </row>
    <row r="11465" spans="1:11" x14ac:dyDescent="0.35">
      <c r="A11465" s="9" t="str">
        <f>HYPERLINK("http://www.ensembl.org/id/WBGene00200534", "WBGene00200534")</f>
        <v>WBGene00200534</v>
      </c>
      <c r="B11465" s="9"/>
      <c r="C11465" s="9"/>
      <c r="D11465" t="str">
        <f>"H13N06.10"</f>
        <v>H13N06.10</v>
      </c>
      <c r="F11465" t="s">
        <v>481</v>
      </c>
      <c r="H11465" s="12">
        <v>4.6387698961716399</v>
      </c>
      <c r="I11465" s="20">
        <v>0.44985450087338802</v>
      </c>
      <c r="J11465" s="28">
        <v>0.65281535672642099</v>
      </c>
      <c r="K11465" s="29">
        <v>0.98289565623980701</v>
      </c>
    </row>
    <row r="11466" spans="1:11" x14ac:dyDescent="0.35">
      <c r="A11466" s="9" t="str">
        <f>HYPERLINK("http://www.ensembl.org/id/WBGene00019197", "WBGene00019197")</f>
        <v>WBGene00019197</v>
      </c>
      <c r="B11466" s="9" t="str">
        <f>HYPERLINK("http://www.ncbi.nlm.nih.gov/gene/186742", "186742")</f>
        <v>186742</v>
      </c>
      <c r="C11466" s="9"/>
      <c r="D11466" t="str">
        <f>"H14A12.5"</f>
        <v>H14A12.5</v>
      </c>
      <c r="F11466" t="s">
        <v>11</v>
      </c>
      <c r="H11466" s="12">
        <v>-1.463030467014</v>
      </c>
      <c r="I11466" s="20">
        <v>-0.92209784550167195</v>
      </c>
      <c r="J11466" s="28">
        <v>0.35647754068466297</v>
      </c>
      <c r="K11466" s="29">
        <v>0.98289565623980701</v>
      </c>
    </row>
    <row r="11467" spans="1:11" x14ac:dyDescent="0.35">
      <c r="A11467" s="9" t="str">
        <f>HYPERLINK("http://www.ensembl.org/id/WBGene00019200", "WBGene00019200")</f>
        <v>WBGene00019200</v>
      </c>
      <c r="B11467" s="9" t="str">
        <f>HYPERLINK("http://www.ncbi.nlm.nih.gov/gene/186743", "186743")</f>
        <v>186743</v>
      </c>
      <c r="C11467" s="9"/>
      <c r="D11467" t="str">
        <f>"H14E04.3"</f>
        <v>H14E04.3</v>
      </c>
      <c r="F11467" t="s">
        <v>11</v>
      </c>
      <c r="G11467" t="s">
        <v>25</v>
      </c>
      <c r="H11467" s="12">
        <v>1.4151452955362001</v>
      </c>
      <c r="I11467" s="20">
        <v>0.88160620086917696</v>
      </c>
      <c r="J11467" s="28">
        <v>0.37798980068492499</v>
      </c>
      <c r="K11467" s="29">
        <v>0.98289565623980701</v>
      </c>
    </row>
    <row r="11468" spans="1:11" x14ac:dyDescent="0.35">
      <c r="A11468" s="9" t="str">
        <f>HYPERLINK("http://www.ensembl.org/id/WBGene00197394", "WBGene00197394")</f>
        <v>WBGene00197394</v>
      </c>
      <c r="B11468" s="9"/>
      <c r="C11468" s="9"/>
      <c r="D11468" t="str">
        <f>"H14E04.6"</f>
        <v>H14E04.6</v>
      </c>
      <c r="F11468" t="s">
        <v>481</v>
      </c>
      <c r="H11468" s="12">
        <v>2.3893468495514898</v>
      </c>
      <c r="I11468" s="20">
        <v>0.25323547253672701</v>
      </c>
      <c r="J11468" s="28">
        <v>0.80008625651646104</v>
      </c>
      <c r="K11468" s="29">
        <v>0.98289565623980701</v>
      </c>
    </row>
    <row r="11469" spans="1:11" x14ac:dyDescent="0.35">
      <c r="A11469" s="9" t="str">
        <f>HYPERLINK("http://www.ensembl.org/id/WBGene00019202", "WBGene00019202")</f>
        <v>WBGene00019202</v>
      </c>
      <c r="B11469" s="9" t="str">
        <f>HYPERLINK("http://www.ncbi.nlm.nih.gov/gene/186745", "186745")</f>
        <v>186745</v>
      </c>
      <c r="C11469" s="9"/>
      <c r="D11469" t="str">
        <f>"H14N18.2"</f>
        <v>H14N18.2</v>
      </c>
      <c r="F11469" t="s">
        <v>11</v>
      </c>
      <c r="G11469" t="s">
        <v>25</v>
      </c>
      <c r="H11469" s="12">
        <v>3.7293735573536</v>
      </c>
      <c r="I11469" s="20">
        <v>0.86790002941288302</v>
      </c>
      <c r="J11469" s="28">
        <v>0.38544906286487202</v>
      </c>
      <c r="K11469" s="29">
        <v>0.98289565623980701</v>
      </c>
    </row>
    <row r="11470" spans="1:11" x14ac:dyDescent="0.35">
      <c r="A11470" s="9" t="str">
        <f>HYPERLINK("http://www.ensembl.org/id/WBGene00195802", "WBGene00195802")</f>
        <v>WBGene00195802</v>
      </c>
      <c r="B11470" s="9"/>
      <c r="C11470" s="9"/>
      <c r="D11470" t="str">
        <f>"H14N18.5"</f>
        <v>H14N18.5</v>
      </c>
      <c r="F11470" t="s">
        <v>481</v>
      </c>
      <c r="H11470" s="12">
        <v>2.3893468495514898</v>
      </c>
      <c r="I11470" s="20">
        <v>0.25323547253672701</v>
      </c>
      <c r="J11470" s="28">
        <v>0.80008625651646104</v>
      </c>
      <c r="K11470" s="29">
        <v>0.98289565623980701</v>
      </c>
    </row>
    <row r="11471" spans="1:11" x14ac:dyDescent="0.35">
      <c r="A11471" s="9" t="str">
        <f>HYPERLINK("http://www.ensembl.org/id/WBGene00197716", "WBGene00197716")</f>
        <v>WBGene00197716</v>
      </c>
      <c r="B11471" s="9"/>
      <c r="C11471" s="9"/>
      <c r="D11471" t="str">
        <f>"H15M21.1"</f>
        <v>H15M21.1</v>
      </c>
      <c r="F11471" t="s">
        <v>481</v>
      </c>
      <c r="H11471" s="12">
        <v>-2.4991590031922399</v>
      </c>
      <c r="I11471" s="20">
        <v>-0.26577412737581302</v>
      </c>
      <c r="J11471" s="28">
        <v>0.79041317015736101</v>
      </c>
      <c r="K11471" s="29">
        <v>0.98289565623980701</v>
      </c>
    </row>
    <row r="11472" spans="1:11" x14ac:dyDescent="0.35">
      <c r="A11472" s="9" t="str">
        <f>HYPERLINK("http://www.ensembl.org/id/WBGene00077552", "WBGene00077552")</f>
        <v>WBGene00077552</v>
      </c>
      <c r="B11472" s="9"/>
      <c r="C11472" s="9"/>
      <c r="D11472" t="str">
        <f>"H15N14.4"</f>
        <v>H15N14.4</v>
      </c>
      <c r="F11472" t="s">
        <v>80</v>
      </c>
      <c r="H11472" s="12">
        <v>2.67278443536429</v>
      </c>
      <c r="I11472" s="20">
        <v>0.84591797237968303</v>
      </c>
      <c r="J11472" s="28">
        <v>0.39759850569125998</v>
      </c>
      <c r="K11472" s="29">
        <v>0.98289565623980701</v>
      </c>
    </row>
    <row r="11473" spans="1:11" x14ac:dyDescent="0.35">
      <c r="A11473" s="9" t="str">
        <f>HYPERLINK("http://www.ensembl.org/id/WBGene00195253", "WBGene00195253")</f>
        <v>WBGene00195253</v>
      </c>
      <c r="B11473" s="9"/>
      <c r="C11473" s="9"/>
      <c r="D11473" t="str">
        <f>"H16D19.5"</f>
        <v>H16D19.5</v>
      </c>
      <c r="F11473" t="s">
        <v>80</v>
      </c>
      <c r="H11473" s="12">
        <v>1.22223010576443</v>
      </c>
      <c r="I11473" s="20">
        <v>0.43669211894079502</v>
      </c>
      <c r="J11473" s="28">
        <v>0.66233464553369004</v>
      </c>
      <c r="K11473" s="29">
        <v>0.98289565623980701</v>
      </c>
    </row>
    <row r="11474" spans="1:11" x14ac:dyDescent="0.35">
      <c r="A11474" s="9" t="str">
        <f>HYPERLINK("http://www.ensembl.org/id/WBGene00195255", "WBGene00195255")</f>
        <v>WBGene00195255</v>
      </c>
      <c r="B11474" s="9"/>
      <c r="C11474" s="9"/>
      <c r="D11474" t="str">
        <f>"H16D19.7"</f>
        <v>H16D19.7</v>
      </c>
      <c r="F11474" t="s">
        <v>80</v>
      </c>
      <c r="H11474" s="12">
        <v>-1.19761570338686</v>
      </c>
      <c r="I11474" s="20">
        <v>-0.27998503953269599</v>
      </c>
      <c r="J11474" s="28">
        <v>0.77948898277122802</v>
      </c>
      <c r="K11474" s="29">
        <v>0.98289565623980701</v>
      </c>
    </row>
    <row r="11475" spans="1:11" x14ac:dyDescent="0.35">
      <c r="A11475" s="9" t="str">
        <f>HYPERLINK("http://www.ensembl.org/id/WBGene00197469", "WBGene00197469")</f>
        <v>WBGene00197469</v>
      </c>
      <c r="B11475" s="9"/>
      <c r="C11475" s="9"/>
      <c r="D11475" t="str">
        <f>"H16O14.77"</f>
        <v>H16O14.77</v>
      </c>
      <c r="F11475" t="s">
        <v>481</v>
      </c>
      <c r="H11475" s="12">
        <v>3.6645215954135</v>
      </c>
      <c r="I11475" s="20">
        <v>0.37967131826092498</v>
      </c>
      <c r="J11475" s="28">
        <v>0.70418941338960395</v>
      </c>
      <c r="K11475" s="29">
        <v>0.98289565623980701</v>
      </c>
    </row>
    <row r="11476" spans="1:11" x14ac:dyDescent="0.35">
      <c r="A11476" s="9" t="str">
        <f>HYPERLINK("http://www.ensembl.org/id/WBGene00010407", "WBGene00010407")</f>
        <v>WBGene00010407</v>
      </c>
      <c r="B11476" s="9" t="str">
        <f>HYPERLINK("http://www.ncbi.nlm.nih.gov/gene/179539", "179539")</f>
        <v>179539</v>
      </c>
      <c r="C11476" s="9"/>
      <c r="D11476" t="str">
        <f>"H19N07.3"</f>
        <v>H19N07.3</v>
      </c>
      <c r="F11476" t="s">
        <v>11</v>
      </c>
      <c r="G11476" t="s">
        <v>228</v>
      </c>
      <c r="H11476" s="12">
        <v>-1.17227276120492</v>
      </c>
      <c r="I11476" s="20">
        <v>-0.83050238593879999</v>
      </c>
      <c r="J11476" s="28">
        <v>0.40625479941459902</v>
      </c>
      <c r="K11476" s="29">
        <v>0.98289565623980701</v>
      </c>
    </row>
    <row r="11477" spans="1:11" x14ac:dyDescent="0.35">
      <c r="A11477" s="9" t="str">
        <f>HYPERLINK("http://www.ensembl.org/id/WBGene00019213", "WBGene00019213")</f>
        <v>WBGene00019213</v>
      </c>
      <c r="B11477" s="9" t="str">
        <f>HYPERLINK("http://www.ncbi.nlm.nih.gov/gene/177449", "177449")</f>
        <v>177449</v>
      </c>
      <c r="C11477" s="9"/>
      <c r="D11477" t="str">
        <f>"H20E11.1"</f>
        <v>H20E11.1</v>
      </c>
      <c r="F11477" t="s">
        <v>11</v>
      </c>
      <c r="G11477" t="s">
        <v>394</v>
      </c>
      <c r="H11477" s="12">
        <v>1.1986616489320501</v>
      </c>
      <c r="I11477" s="20">
        <v>0.82825682644249099</v>
      </c>
      <c r="J11477" s="28">
        <v>0.40752506757128998</v>
      </c>
      <c r="K11477" s="29">
        <v>0.98289565623980701</v>
      </c>
    </row>
    <row r="11478" spans="1:11" x14ac:dyDescent="0.35">
      <c r="A11478" s="9" t="str">
        <f>HYPERLINK("http://www.ensembl.org/id/WBGene00019214", "WBGene00019214")</f>
        <v>WBGene00019214</v>
      </c>
      <c r="B11478" s="9" t="str">
        <f>HYPERLINK("http://www.ncbi.nlm.nih.gov/gene/186754", "186754")</f>
        <v>186754</v>
      </c>
      <c r="C11478" s="9"/>
      <c r="D11478" t="str">
        <f>"H20E11.2"</f>
        <v>H20E11.2</v>
      </c>
      <c r="F11478" t="s">
        <v>11</v>
      </c>
      <c r="G11478" t="s">
        <v>264</v>
      </c>
      <c r="H11478" s="12">
        <v>-3.34718253095844</v>
      </c>
      <c r="I11478" s="20">
        <v>-0.57856716529867303</v>
      </c>
      <c r="J11478" s="28">
        <v>0.56288126532238103</v>
      </c>
      <c r="K11478" s="29">
        <v>0.98289565623980701</v>
      </c>
    </row>
    <row r="11479" spans="1:11" x14ac:dyDescent="0.35">
      <c r="A11479" s="9" t="str">
        <f>HYPERLINK("http://www.ensembl.org/id/WBGene00019216", "WBGene00019216")</f>
        <v>WBGene00019216</v>
      </c>
      <c r="B11479" s="9" t="str">
        <f>HYPERLINK("http://www.ncbi.nlm.nih.gov/gene/173770", "173770")</f>
        <v>173770</v>
      </c>
      <c r="C11479" s="9"/>
      <c r="D11479" t="str">
        <f>"H20J04.1"</f>
        <v>H20J04.1</v>
      </c>
      <c r="F11479" t="s">
        <v>11</v>
      </c>
      <c r="G11479" t="s">
        <v>25</v>
      </c>
      <c r="H11479" s="12">
        <v>3.94844108320842</v>
      </c>
      <c r="I11479" s="20">
        <v>0.78633663179975499</v>
      </c>
      <c r="J11479" s="28">
        <v>0.431670297067974</v>
      </c>
      <c r="K11479" s="29">
        <v>0.98289565623980701</v>
      </c>
    </row>
    <row r="11480" spans="1:11" x14ac:dyDescent="0.35">
      <c r="A11480" s="9" t="str">
        <f>HYPERLINK("http://www.ensembl.org/id/WBGene00019221", "WBGene00019221")</f>
        <v>WBGene00019221</v>
      </c>
      <c r="B11480" s="9" t="str">
        <f>HYPERLINK("http://www.ncbi.nlm.nih.gov/gene/173766", "173766")</f>
        <v>173766</v>
      </c>
      <c r="C11480" s="9" t="str">
        <f>HYPERLINK("http://www.ncbi.nlm.nih.gov/gene/84065", "84065")</f>
        <v>84065</v>
      </c>
      <c r="D11480" t="str">
        <f>"H20J04.6"</f>
        <v>H20J04.6</v>
      </c>
      <c r="F11480" t="s">
        <v>11</v>
      </c>
      <c r="G11480" t="s">
        <v>25</v>
      </c>
      <c r="H11480" s="12">
        <v>-1.13866001258377</v>
      </c>
      <c r="I11480" s="20">
        <v>-0.57087381289316996</v>
      </c>
      <c r="J11480" s="28">
        <v>0.56808518334368197</v>
      </c>
      <c r="K11480" s="29">
        <v>0.98289565623980701</v>
      </c>
    </row>
    <row r="11481" spans="1:11" x14ac:dyDescent="0.35">
      <c r="A11481" s="9" t="str">
        <f>HYPERLINK("http://www.ensembl.org/id/WBGene00019222", "WBGene00019222")</f>
        <v>WBGene00019222</v>
      </c>
      <c r="B11481" s="9" t="str">
        <f>HYPERLINK("http://www.ncbi.nlm.nih.gov/gene/186757", "186757")</f>
        <v>186757</v>
      </c>
      <c r="C11481" s="9"/>
      <c r="D11481" t="str">
        <f>"H20J04.7"</f>
        <v>H20J04.7</v>
      </c>
      <c r="F11481" t="s">
        <v>11</v>
      </c>
      <c r="G11481" t="s">
        <v>25</v>
      </c>
      <c r="H11481" s="12">
        <v>3.5227018545059199</v>
      </c>
      <c r="I11481" s="20">
        <v>0.36849691206929103</v>
      </c>
      <c r="J11481" s="28">
        <v>0.71250274722433404</v>
      </c>
      <c r="K11481" s="29">
        <v>0.98289565623980701</v>
      </c>
    </row>
    <row r="11482" spans="1:11" x14ac:dyDescent="0.35">
      <c r="A11482" s="9" t="str">
        <f>HYPERLINK("http://www.ensembl.org/id/WBGene00044310", "WBGene00044310")</f>
        <v>WBGene00044310</v>
      </c>
      <c r="B11482" s="9" t="str">
        <f>HYPERLINK("http://www.ncbi.nlm.nih.gov/gene/3565191", "3565191")</f>
        <v>3565191</v>
      </c>
      <c r="C11482" s="9"/>
      <c r="D11482" t="str">
        <f>"H20J04.9"</f>
        <v>H20J04.9</v>
      </c>
      <c r="F11482" t="s">
        <v>11</v>
      </c>
      <c r="G11482" t="s">
        <v>2778</v>
      </c>
      <c r="H11482" s="12">
        <v>-1.3115171402533099</v>
      </c>
      <c r="I11482" s="20">
        <v>-0.88207346488508798</v>
      </c>
      <c r="J11482" s="28">
        <v>0.37773708063794498</v>
      </c>
      <c r="K11482" s="29">
        <v>0.98289565623980701</v>
      </c>
    </row>
    <row r="11483" spans="1:11" x14ac:dyDescent="0.35">
      <c r="A11483" s="9" t="str">
        <f>HYPERLINK("http://www.ensembl.org/id/WBGene00219458", "WBGene00219458")</f>
        <v>WBGene00219458</v>
      </c>
      <c r="B11483" s="9" t="str">
        <f>HYPERLINK("http://www.ncbi.nlm.nih.gov/gene/13198204", "13198204")</f>
        <v>13198204</v>
      </c>
      <c r="C11483" s="9"/>
      <c r="D11483" t="str">
        <f>"H21P03.10"</f>
        <v>H21P03.10</v>
      </c>
      <c r="F11483" t="s">
        <v>11</v>
      </c>
      <c r="H11483" s="12">
        <v>2.0174677342631799</v>
      </c>
      <c r="I11483" s="20">
        <v>0.292755713341387</v>
      </c>
      <c r="J11483" s="28">
        <v>0.76970888142491001</v>
      </c>
      <c r="K11483" s="29">
        <v>0.98289565623980701</v>
      </c>
    </row>
    <row r="11484" spans="1:11" x14ac:dyDescent="0.35">
      <c r="A11484" s="9" t="str">
        <f>HYPERLINK("http://www.ensembl.org/id/WBGene00198016", "WBGene00198016")</f>
        <v>WBGene00198016</v>
      </c>
      <c r="B11484" s="9"/>
      <c r="C11484" s="9"/>
      <c r="D11484" t="str">
        <f>"H21P03.7"</f>
        <v>H21P03.7</v>
      </c>
      <c r="F11484" t="s">
        <v>481</v>
      </c>
      <c r="H11484" s="12">
        <v>-7.7904337984490803</v>
      </c>
      <c r="I11484" s="20">
        <v>-0.60901310058451197</v>
      </c>
      <c r="J11484" s="28">
        <v>0.54251575542982</v>
      </c>
      <c r="K11484" s="29">
        <v>0.98289565623980701</v>
      </c>
    </row>
    <row r="11485" spans="1:11" x14ac:dyDescent="0.35">
      <c r="A11485" s="9" t="str">
        <f>HYPERLINK("http://www.ensembl.org/id/WBGene00019231", "WBGene00019231")</f>
        <v>WBGene00019231</v>
      </c>
      <c r="B11485" s="9" t="str">
        <f>HYPERLINK("http://www.ncbi.nlm.nih.gov/gene/186764", "186764")</f>
        <v>186764</v>
      </c>
      <c r="C11485" s="9"/>
      <c r="D11485" t="str">
        <f>"H23L24.4"</f>
        <v>H23L24.4</v>
      </c>
      <c r="F11485" t="s">
        <v>11</v>
      </c>
      <c r="G11485" t="s">
        <v>1089</v>
      </c>
      <c r="H11485" s="12">
        <v>1.30938895461131</v>
      </c>
      <c r="I11485" s="20">
        <v>0.30000189376831998</v>
      </c>
      <c r="J11485" s="28">
        <v>0.76417571110217997</v>
      </c>
      <c r="K11485" s="29">
        <v>0.98289565623980701</v>
      </c>
    </row>
    <row r="11486" spans="1:11" x14ac:dyDescent="0.35">
      <c r="A11486" s="9" t="str">
        <f>HYPERLINK("http://www.ensembl.org/id/WBGene00019235", "WBGene00019235")</f>
        <v>WBGene00019235</v>
      </c>
      <c r="B11486" s="9" t="str">
        <f>HYPERLINK("http://www.ncbi.nlm.nih.gov/gene/186769", "186769")</f>
        <v>186769</v>
      </c>
      <c r="C11486" s="9"/>
      <c r="D11486" t="str">
        <f>"H23N18.4"</f>
        <v>H23N18.4</v>
      </c>
      <c r="F11486" t="s">
        <v>11</v>
      </c>
      <c r="G11486" t="s">
        <v>104</v>
      </c>
      <c r="H11486" s="12">
        <v>3.7495657430089002</v>
      </c>
      <c r="I11486" s="20">
        <v>0.41509078773660102</v>
      </c>
      <c r="J11486" s="28">
        <v>0.67807544303981004</v>
      </c>
      <c r="K11486" s="29">
        <v>0.98289565623980701</v>
      </c>
    </row>
    <row r="11487" spans="1:11" x14ac:dyDescent="0.35">
      <c r="A11487" s="9" t="str">
        <f>HYPERLINK("http://www.ensembl.org/id/WBGene00044534", "WBGene00044534")</f>
        <v>WBGene00044534</v>
      </c>
      <c r="B11487" s="9" t="str">
        <f>HYPERLINK("http://www.ncbi.nlm.nih.gov/gene/3896830", "3896830")</f>
        <v>3896830</v>
      </c>
      <c r="C11487" s="9"/>
      <c r="D11487" t="str">
        <f>"H23N18.6"</f>
        <v>H23N18.6</v>
      </c>
      <c r="F11487" t="s">
        <v>11</v>
      </c>
      <c r="G11487" t="s">
        <v>25</v>
      </c>
      <c r="H11487" s="12">
        <v>2.01021575441372</v>
      </c>
      <c r="I11487" s="20">
        <v>1.02994711766215</v>
      </c>
      <c r="J11487" s="28">
        <v>0.303034830677885</v>
      </c>
      <c r="K11487" s="29">
        <v>0.98289565623980701</v>
      </c>
    </row>
    <row r="11488" spans="1:11" x14ac:dyDescent="0.35">
      <c r="A11488" s="9" t="str">
        <f>HYPERLINK("http://www.ensembl.org/id/WBGene00019237", "WBGene00019237")</f>
        <v>WBGene00019237</v>
      </c>
      <c r="B11488" s="9" t="str">
        <f>HYPERLINK("http://www.ncbi.nlm.nih.gov/gene/179326", "179326")</f>
        <v>179326</v>
      </c>
      <c r="C11488" s="9" t="str">
        <f>HYPERLINK("http://www.ncbi.nlm.nih.gov/gene/23005", "23005")</f>
        <v>23005</v>
      </c>
      <c r="D11488" t="str">
        <f>"H24G06.1"</f>
        <v>H24G06.1</v>
      </c>
      <c r="F11488" t="s">
        <v>11</v>
      </c>
      <c r="G11488" t="s">
        <v>54</v>
      </c>
      <c r="H11488" s="12">
        <v>-1.0503544239289</v>
      </c>
      <c r="I11488" s="20">
        <v>-0.26300977948196202</v>
      </c>
      <c r="J11488" s="28">
        <v>0.79254304147312105</v>
      </c>
      <c r="K11488" s="29">
        <v>0.98289565623980701</v>
      </c>
    </row>
    <row r="11489" spans="1:11" x14ac:dyDescent="0.35">
      <c r="A11489" s="9" t="str">
        <f>HYPERLINK("http://www.ensembl.org/id/WBGene00200712", "WBGene00200712")</f>
        <v>WBGene00200712</v>
      </c>
      <c r="B11489" s="9"/>
      <c r="C11489" s="9"/>
      <c r="D11489" t="str">
        <f>"H24G06.3"</f>
        <v>H24G06.3</v>
      </c>
      <c r="F11489" t="s">
        <v>481</v>
      </c>
      <c r="H11489" s="12">
        <v>4.4368407117627902</v>
      </c>
      <c r="I11489" s="20">
        <v>0.43709475933309699</v>
      </c>
      <c r="J11489" s="28">
        <v>0.66204262779770495</v>
      </c>
      <c r="K11489" s="29">
        <v>0.98289565623980701</v>
      </c>
    </row>
    <row r="11490" spans="1:11" x14ac:dyDescent="0.35">
      <c r="A11490" s="9" t="str">
        <f>HYPERLINK("http://www.ensembl.org/id/WBGene00019239", "WBGene00019239")</f>
        <v>WBGene00019239</v>
      </c>
      <c r="B11490" s="9" t="str">
        <f>HYPERLINK("http://www.ncbi.nlm.nih.gov/gene/186774", "186774")</f>
        <v>186774</v>
      </c>
      <c r="C11490" s="9"/>
      <c r="D11490" t="str">
        <f>"H24K24.2"</f>
        <v>H24K24.2</v>
      </c>
      <c r="F11490" t="s">
        <v>11</v>
      </c>
      <c r="G11490" t="s">
        <v>4517</v>
      </c>
      <c r="H11490" s="12">
        <v>1.4027532607701301</v>
      </c>
      <c r="I11490" s="20">
        <v>0.55039656181735896</v>
      </c>
      <c r="J11490" s="28">
        <v>0.58204740636734997</v>
      </c>
      <c r="K11490" s="29">
        <v>0.98289565623980701</v>
      </c>
    </row>
    <row r="11491" spans="1:11" x14ac:dyDescent="0.35">
      <c r="A11491" s="9" t="str">
        <f>HYPERLINK("http://www.ensembl.org/id/WBGene00019240", "WBGene00019240")</f>
        <v>WBGene00019240</v>
      </c>
      <c r="B11491" s="9" t="str">
        <f>HYPERLINK("http://www.ncbi.nlm.nih.gov/gene/178597", "178597")</f>
        <v>178597</v>
      </c>
      <c r="C11491" s="9" t="str">
        <f>HYPERLINK("http://www.ncbi.nlm.nih.gov/gene/128", "128")</f>
        <v>128</v>
      </c>
      <c r="D11491" t="str">
        <f>"H24K24.3"</f>
        <v>H24K24.3</v>
      </c>
      <c r="E11491" t="s">
        <v>6414</v>
      </c>
      <c r="F11491" t="s">
        <v>11</v>
      </c>
      <c r="G11491" t="s">
        <v>6415</v>
      </c>
      <c r="H11491" s="12">
        <v>-1.06837930737263</v>
      </c>
      <c r="I11491" s="20">
        <v>-0.35975853059736101</v>
      </c>
      <c r="J11491" s="28">
        <v>0.71902771735217197</v>
      </c>
      <c r="K11491" s="29">
        <v>0.98289565623980701</v>
      </c>
    </row>
    <row r="11492" spans="1:11" x14ac:dyDescent="0.35">
      <c r="A11492" s="9" t="str">
        <f>HYPERLINK("http://www.ensembl.org/id/WBGene00010411", "WBGene00010411")</f>
        <v>WBGene00010411</v>
      </c>
      <c r="B11492" s="9" t="str">
        <f>HYPERLINK("http://www.ncbi.nlm.nih.gov/gene/186777", "186777")</f>
        <v>186777</v>
      </c>
      <c r="C11492" s="9"/>
      <c r="D11492" t="str">
        <f>"H25K10.1"</f>
        <v>H25K10.1</v>
      </c>
      <c r="E11492" t="s">
        <v>1200</v>
      </c>
      <c r="F11492" t="s">
        <v>11</v>
      </c>
      <c r="G11492" t="s">
        <v>1201</v>
      </c>
      <c r="H11492" s="12">
        <v>-5.48388253378344</v>
      </c>
      <c r="I11492" s="20">
        <v>-1.13333106539693</v>
      </c>
      <c r="J11492" s="28">
        <v>0.25707525073081</v>
      </c>
      <c r="K11492" s="29">
        <v>0.98289565623980701</v>
      </c>
    </row>
    <row r="11493" spans="1:11" x14ac:dyDescent="0.35">
      <c r="A11493" s="9" t="str">
        <f>HYPERLINK("http://www.ensembl.org/id/WBGene00219331", "WBGene00219331")</f>
        <v>WBGene00219331</v>
      </c>
      <c r="B11493" s="9"/>
      <c r="C11493" s="9"/>
      <c r="D11493" t="str">
        <f>"H25K10.141"</f>
        <v>H25K10.141</v>
      </c>
      <c r="F11493" t="s">
        <v>80</v>
      </c>
      <c r="H11493" s="12">
        <v>-2.4295389261469</v>
      </c>
      <c r="I11493" s="20">
        <v>-0.25808529976640998</v>
      </c>
      <c r="J11493" s="28">
        <v>0.79634107645457397</v>
      </c>
      <c r="K11493" s="29">
        <v>0.98289565623980701</v>
      </c>
    </row>
    <row r="11494" spans="1:11" x14ac:dyDescent="0.35">
      <c r="A11494" s="9" t="str">
        <f>HYPERLINK("http://www.ensembl.org/id/WBGene00010413", "WBGene00010413")</f>
        <v>WBGene00010413</v>
      </c>
      <c r="B11494" s="9" t="str">
        <f>HYPERLINK("http://www.ncbi.nlm.nih.gov/gene/186780", "186780")</f>
        <v>186780</v>
      </c>
      <c r="C11494" s="9"/>
      <c r="D11494" t="str">
        <f>"H25K10.4"</f>
        <v>H25K10.4</v>
      </c>
      <c r="F11494" t="s">
        <v>11</v>
      </c>
      <c r="H11494" s="12">
        <v>1.53038980495941</v>
      </c>
      <c r="I11494" s="20">
        <v>0.376824088074309</v>
      </c>
      <c r="J11494" s="28">
        <v>0.70630433839366202</v>
      </c>
      <c r="K11494" s="29">
        <v>0.98289565623980701</v>
      </c>
    </row>
    <row r="11495" spans="1:11" x14ac:dyDescent="0.35">
      <c r="A11495" s="9" t="str">
        <f>HYPERLINK("http://www.ensembl.org/id/WBGene00010418", "WBGene00010418")</f>
        <v>WBGene00010418</v>
      </c>
      <c r="B11495" s="9" t="str">
        <f>HYPERLINK("http://www.ncbi.nlm.nih.gov/gene/179482", "179482")</f>
        <v>179482</v>
      </c>
      <c r="C11495" s="9"/>
      <c r="D11495" t="str">
        <f>"H27A22.1"</f>
        <v>H27A22.1</v>
      </c>
      <c r="F11495" t="s">
        <v>11</v>
      </c>
      <c r="G11495" t="s">
        <v>7576</v>
      </c>
      <c r="H11495" s="12">
        <v>-1.13399969647044</v>
      </c>
      <c r="I11495" s="20">
        <v>-0.63982994599408105</v>
      </c>
      <c r="J11495" s="28">
        <v>0.522283161681942</v>
      </c>
      <c r="K11495" s="29">
        <v>0.98289565623980701</v>
      </c>
    </row>
    <row r="11496" spans="1:11" x14ac:dyDescent="0.35">
      <c r="A11496" s="9" t="str">
        <f>HYPERLINK("http://www.ensembl.org/id/WBGene00019248", "WBGene00019248")</f>
        <v>WBGene00019248</v>
      </c>
      <c r="B11496" s="9" t="str">
        <f>HYPERLINK("http://www.ncbi.nlm.nih.gov/gene/186791", "186791")</f>
        <v>186791</v>
      </c>
      <c r="C11496" s="9"/>
      <c r="D11496" t="str">
        <f>"H27M09.5"</f>
        <v>H27M09.5</v>
      </c>
      <c r="F11496" t="s">
        <v>11</v>
      </c>
      <c r="G11496" t="s">
        <v>25</v>
      </c>
      <c r="H11496" s="12">
        <v>-3.7309864305716101</v>
      </c>
      <c r="I11496" s="20">
        <v>-0.85621323850406605</v>
      </c>
      <c r="J11496" s="28">
        <v>0.39187984125796099</v>
      </c>
      <c r="K11496" s="29">
        <v>0.98289565623980701</v>
      </c>
    </row>
    <row r="11497" spans="1:11" x14ac:dyDescent="0.35">
      <c r="A11497" s="9" t="str">
        <f>HYPERLINK("http://www.ensembl.org/id/WBGene00019249", "WBGene00019249")</f>
        <v>WBGene00019249</v>
      </c>
      <c r="B11497" s="9" t="str">
        <f>HYPERLINK("http://www.ncbi.nlm.nih.gov/gene/180791", "180791")</f>
        <v>180791</v>
      </c>
      <c r="C11497" s="9"/>
      <c r="D11497" t="str">
        <f>"H28G03.1"</f>
        <v>H28G03.1</v>
      </c>
      <c r="F11497" t="s">
        <v>11</v>
      </c>
      <c r="G11497" t="s">
        <v>5212</v>
      </c>
      <c r="H11497" s="12">
        <v>1.21515853605375</v>
      </c>
      <c r="I11497" s="20">
        <v>1.05358029184908</v>
      </c>
      <c r="J11497" s="28">
        <v>0.29207511615493198</v>
      </c>
      <c r="K11497" s="29">
        <v>0.98289565623980701</v>
      </c>
    </row>
    <row r="11498" spans="1:11" x14ac:dyDescent="0.35">
      <c r="A11498" s="9" t="str">
        <f>HYPERLINK("http://www.ensembl.org/id/WBGene00019250", "WBGene00019250")</f>
        <v>WBGene00019250</v>
      </c>
      <c r="B11498" s="9" t="str">
        <f>HYPERLINK("http://www.ncbi.nlm.nih.gov/gene/180790", "180790")</f>
        <v>180790</v>
      </c>
      <c r="C11498" s="9"/>
      <c r="D11498" t="str">
        <f>"H28G03.2"</f>
        <v>H28G03.2</v>
      </c>
      <c r="F11498" t="s">
        <v>11</v>
      </c>
      <c r="H11498" s="12">
        <v>1.16131928519511</v>
      </c>
      <c r="I11498" s="20">
        <v>0.76221696646616899</v>
      </c>
      <c r="J11498" s="28">
        <v>0.44593052152450902</v>
      </c>
      <c r="K11498" s="29">
        <v>0.98289565623980701</v>
      </c>
    </row>
    <row r="11499" spans="1:11" x14ac:dyDescent="0.35">
      <c r="A11499" s="9" t="str">
        <f>HYPERLINK("http://www.ensembl.org/id/WBGene00019251", "WBGene00019251")</f>
        <v>WBGene00019251</v>
      </c>
      <c r="B11499" s="9" t="str">
        <f>HYPERLINK("http://www.ncbi.nlm.nih.gov/gene/186792", "186792")</f>
        <v>186792</v>
      </c>
      <c r="C11499" s="9"/>
      <c r="D11499" t="str">
        <f>"H28G03.3"</f>
        <v>H28G03.3</v>
      </c>
      <c r="F11499" t="s">
        <v>11</v>
      </c>
      <c r="H11499" s="12">
        <v>3.96717629464532</v>
      </c>
      <c r="I11499" s="20">
        <v>0.45862218578449998</v>
      </c>
      <c r="J11499" s="28">
        <v>0.64650550194479495</v>
      </c>
      <c r="K11499" s="29">
        <v>0.98289565623980701</v>
      </c>
    </row>
    <row r="11500" spans="1:11" x14ac:dyDescent="0.35">
      <c r="A11500" s="9" t="str">
        <f>HYPERLINK("http://www.ensembl.org/id/WBGene00023313", "WBGene00023313")</f>
        <v>WBGene00023313</v>
      </c>
      <c r="B11500" s="9"/>
      <c r="C11500" s="9"/>
      <c r="D11500" t="str">
        <f>"H28G03.5"</f>
        <v>H28G03.5</v>
      </c>
      <c r="F11500" t="s">
        <v>80</v>
      </c>
      <c r="H11500" s="12">
        <v>4.7037823633850904</v>
      </c>
      <c r="I11500" s="20">
        <v>1.1164339505466301</v>
      </c>
      <c r="J11500" s="28">
        <v>0.26423642781085299</v>
      </c>
      <c r="K11500" s="29">
        <v>0.98289565623980701</v>
      </c>
    </row>
    <row r="11501" spans="1:11" x14ac:dyDescent="0.35">
      <c r="A11501" s="9" t="str">
        <f>HYPERLINK("http://www.ensembl.org/id/WBGene00045261", "WBGene00045261")</f>
        <v>WBGene00045261</v>
      </c>
      <c r="B11501" s="9" t="str">
        <f>HYPERLINK("http://www.ncbi.nlm.nih.gov/gene/6418827", "6418827")</f>
        <v>6418827</v>
      </c>
      <c r="C11501" s="9"/>
      <c r="D11501" t="str">
        <f>"H29C22.1"</f>
        <v>H29C22.1</v>
      </c>
      <c r="F11501" t="s">
        <v>11</v>
      </c>
      <c r="H11501" s="12">
        <v>-1.1681802534965899</v>
      </c>
      <c r="I11501" s="20">
        <v>-0.77184366695148998</v>
      </c>
      <c r="J11501" s="28">
        <v>0.440207025322778</v>
      </c>
      <c r="K11501" s="29">
        <v>0.98289565623980701</v>
      </c>
    </row>
    <row r="11502" spans="1:11" x14ac:dyDescent="0.35">
      <c r="A11502" s="9" t="str">
        <f>HYPERLINK("http://www.ensembl.org/id/WBGene00201649", "WBGene00201649")</f>
        <v>WBGene00201649</v>
      </c>
      <c r="B11502" s="9"/>
      <c r="C11502" s="9"/>
      <c r="D11502" t="str">
        <f>"H30A04.12"</f>
        <v>H30A04.12</v>
      </c>
      <c r="F11502" t="s">
        <v>481</v>
      </c>
      <c r="H11502" s="12">
        <v>2.4578120077400301</v>
      </c>
      <c r="I11502" s="20">
        <v>0.26093350314551</v>
      </c>
      <c r="J11502" s="28">
        <v>0.79414378780213601</v>
      </c>
      <c r="K11502" s="29">
        <v>0.98289565623980701</v>
      </c>
    </row>
    <row r="11503" spans="1:11" x14ac:dyDescent="0.35">
      <c r="A11503" s="9" t="str">
        <f>HYPERLINK("http://www.ensembl.org/id/WBGene00198590", "WBGene00198590")</f>
        <v>WBGene00198590</v>
      </c>
      <c r="B11503" s="9"/>
      <c r="C11503" s="9"/>
      <c r="D11503" t="str">
        <f>"H30A04.4"</f>
        <v>H30A04.4</v>
      </c>
      <c r="F11503" t="s">
        <v>481</v>
      </c>
      <c r="H11503" s="12">
        <v>2.4578120077400301</v>
      </c>
      <c r="I11503" s="20">
        <v>0.26093350314551</v>
      </c>
      <c r="J11503" s="28">
        <v>0.79414378780213601</v>
      </c>
      <c r="K11503" s="29">
        <v>0.98289565623980701</v>
      </c>
    </row>
    <row r="11504" spans="1:11" x14ac:dyDescent="0.35">
      <c r="A11504" s="9" t="str">
        <f>HYPERLINK("http://www.ensembl.org/id/WBGene00198745", "WBGene00198745")</f>
        <v>WBGene00198745</v>
      </c>
      <c r="B11504" s="9"/>
      <c r="C11504" s="9"/>
      <c r="D11504" t="str">
        <f>"H30A04.5"</f>
        <v>H30A04.5</v>
      </c>
      <c r="F11504" t="s">
        <v>481</v>
      </c>
      <c r="H11504" s="12">
        <v>2.3893468495514898</v>
      </c>
      <c r="I11504" s="20">
        <v>0.25323547253672701</v>
      </c>
      <c r="J11504" s="28">
        <v>0.80008625651646104</v>
      </c>
      <c r="K11504" s="29">
        <v>0.98289565623980701</v>
      </c>
    </row>
    <row r="11505" spans="1:11" x14ac:dyDescent="0.35">
      <c r="A11505" s="9" t="str">
        <f>HYPERLINK("http://www.ensembl.org/id/WBGene00023314", "WBGene00023314")</f>
        <v>WBGene00023314</v>
      </c>
      <c r="B11505" s="9"/>
      <c r="C11505" s="9"/>
      <c r="D11505" t="str">
        <f>"H31G24.2"</f>
        <v>H31G24.2</v>
      </c>
      <c r="F11505" t="s">
        <v>80</v>
      </c>
      <c r="H11505" s="12">
        <v>2.7830261720491301</v>
      </c>
      <c r="I11505" s="20">
        <v>0.527063588362779</v>
      </c>
      <c r="J11505" s="28">
        <v>0.598149431193014</v>
      </c>
      <c r="K11505" s="29">
        <v>0.98289565623980701</v>
      </c>
    </row>
    <row r="11506" spans="1:11" x14ac:dyDescent="0.35">
      <c r="A11506" s="9" t="str">
        <f>HYPERLINK("http://www.ensembl.org/id/WBGene00019255", "WBGene00019255")</f>
        <v>WBGene00019255</v>
      </c>
      <c r="B11506" s="9" t="str">
        <f>HYPERLINK("http://www.ncbi.nlm.nih.gov/gene/186796", "186796")</f>
        <v>186796</v>
      </c>
      <c r="C11506" s="9" t="str">
        <f>HYPERLINK("http://www.ncbi.nlm.nih.gov/gene/27440", "27440")</f>
        <v>27440</v>
      </c>
      <c r="D11506" t="str">
        <f>"H32C10.1"</f>
        <v>H32C10.1</v>
      </c>
      <c r="F11506" t="s">
        <v>11</v>
      </c>
      <c r="G11506" t="s">
        <v>4803</v>
      </c>
      <c r="H11506" s="12">
        <v>1.3674576365195701</v>
      </c>
      <c r="I11506" s="20">
        <v>0.29458448506597701</v>
      </c>
      <c r="J11506" s="28">
        <v>0.76831131562465904</v>
      </c>
      <c r="K11506" s="29">
        <v>0.98289565623980701</v>
      </c>
    </row>
    <row r="11507" spans="1:11" x14ac:dyDescent="0.35">
      <c r="A11507" s="9" t="str">
        <f>HYPERLINK("http://www.ensembl.org/id/WBGene00199997", "WBGene00199997")</f>
        <v>WBGene00199997</v>
      </c>
      <c r="B11507" s="9"/>
      <c r="C11507" s="9"/>
      <c r="D11507" t="str">
        <f>"H32C10.97"</f>
        <v>H32C10.97</v>
      </c>
      <c r="F11507" t="s">
        <v>481</v>
      </c>
      <c r="H11507" s="12">
        <v>2.4578120077400301</v>
      </c>
      <c r="I11507" s="20">
        <v>0.26093350314551</v>
      </c>
      <c r="J11507" s="28">
        <v>0.79414378780213601</v>
      </c>
      <c r="K11507" s="29">
        <v>0.98289565623980701</v>
      </c>
    </row>
    <row r="11508" spans="1:11" x14ac:dyDescent="0.35">
      <c r="A11508" s="9" t="str">
        <f>HYPERLINK("http://www.ensembl.org/id/WBGene00010422", "WBGene00010422")</f>
        <v>WBGene00010422</v>
      </c>
      <c r="B11508" s="9" t="str">
        <f>HYPERLINK("http://www.ncbi.nlm.nih.gov/gene/3565869", "3565869")</f>
        <v>3565869</v>
      </c>
      <c r="C11508" s="9"/>
      <c r="D11508" t="str">
        <f>"H32K16.2"</f>
        <v>H32K16.2</v>
      </c>
      <c r="F11508" t="s">
        <v>11</v>
      </c>
      <c r="H11508" s="12">
        <v>-1.32351021974684</v>
      </c>
      <c r="I11508" s="20">
        <v>-0.71271653674033497</v>
      </c>
      <c r="J11508" s="28">
        <v>0.47602118145363298</v>
      </c>
      <c r="K11508" s="29">
        <v>0.98289565623980701</v>
      </c>
    </row>
    <row r="11509" spans="1:11" x14ac:dyDescent="0.35">
      <c r="A11509" s="9" t="str">
        <f>HYPERLINK("http://www.ensembl.org/id/WBGene00201134", "WBGene00201134")</f>
        <v>WBGene00201134</v>
      </c>
      <c r="B11509" s="9"/>
      <c r="C11509" s="9"/>
      <c r="D11509" t="str">
        <f>"H32K16.3"</f>
        <v>H32K16.3</v>
      </c>
      <c r="F11509" t="s">
        <v>481</v>
      </c>
      <c r="H11509" s="12">
        <v>3.5227018545059199</v>
      </c>
      <c r="I11509" s="20">
        <v>0.36849691206929103</v>
      </c>
      <c r="J11509" s="28">
        <v>0.71250274722433404</v>
      </c>
      <c r="K11509" s="29">
        <v>0.98289565623980701</v>
      </c>
    </row>
    <row r="11510" spans="1:11" x14ac:dyDescent="0.35">
      <c r="A11510" s="9" t="str">
        <f>HYPERLINK("http://www.ensembl.org/id/WBGene00019266", "WBGene00019266")</f>
        <v>WBGene00019266</v>
      </c>
      <c r="B11510" s="9" t="str">
        <f>HYPERLINK("http://www.ncbi.nlm.nih.gov/gene/186802", "186802")</f>
        <v>186802</v>
      </c>
      <c r="C11510" s="9"/>
      <c r="D11510" t="str">
        <f>"H35N09.2"</f>
        <v>H35N09.2</v>
      </c>
      <c r="F11510" t="s">
        <v>11</v>
      </c>
      <c r="G11510" t="s">
        <v>91</v>
      </c>
      <c r="H11510" s="12">
        <v>1.2794109461781</v>
      </c>
      <c r="I11510" s="20">
        <v>0.488794387839733</v>
      </c>
      <c r="J11510" s="28">
        <v>0.62498727166089496</v>
      </c>
      <c r="K11510" s="29">
        <v>0.98289565623980701</v>
      </c>
    </row>
    <row r="11511" spans="1:11" x14ac:dyDescent="0.35">
      <c r="A11511" s="9" t="str">
        <f>HYPERLINK("http://www.ensembl.org/id/WBGene00219995", "WBGene00219995")</f>
        <v>WBGene00219995</v>
      </c>
      <c r="B11511" s="9"/>
      <c r="C11511" s="9"/>
      <c r="D11511" t="str">
        <f>"H36L18.5"</f>
        <v>H36L18.5</v>
      </c>
      <c r="F11511" t="s">
        <v>481</v>
      </c>
      <c r="H11511" s="12">
        <v>10.8131830636529</v>
      </c>
      <c r="I11511" s="20">
        <v>0.70982715185838596</v>
      </c>
      <c r="J11511" s="28">
        <v>0.477811329444844</v>
      </c>
      <c r="K11511" s="29">
        <v>0.98289565623980701</v>
      </c>
    </row>
    <row r="11512" spans="1:11" x14ac:dyDescent="0.35">
      <c r="A11512" s="9" t="str">
        <f>HYPERLINK("http://www.ensembl.org/id/WBGene00200786", "WBGene00200786")</f>
        <v>WBGene00200786</v>
      </c>
      <c r="B11512" s="9"/>
      <c r="C11512" s="9"/>
      <c r="D11512" t="str">
        <f>"H36N01.4"</f>
        <v>H36N01.4</v>
      </c>
      <c r="F11512" t="s">
        <v>481</v>
      </c>
      <c r="H11512" s="12">
        <v>3.6645215954135</v>
      </c>
      <c r="I11512" s="20">
        <v>0.37967131826092498</v>
      </c>
      <c r="J11512" s="28">
        <v>0.70418941338960395</v>
      </c>
      <c r="K11512" s="29">
        <v>0.98289565623980701</v>
      </c>
    </row>
    <row r="11513" spans="1:11" x14ac:dyDescent="0.35">
      <c r="A11513" s="9" t="str">
        <f>HYPERLINK("http://www.ensembl.org/id/WBGene00010426", "WBGene00010426")</f>
        <v>WBGene00010426</v>
      </c>
      <c r="B11513" s="9" t="str">
        <f>HYPERLINK("http://www.ncbi.nlm.nih.gov/gene/186806", "186806")</f>
        <v>186806</v>
      </c>
      <c r="C11513" s="9"/>
      <c r="D11513" t="str">
        <f>"H37A05.2"</f>
        <v>H37A05.2</v>
      </c>
      <c r="F11513" t="s">
        <v>11</v>
      </c>
      <c r="H11513" s="12">
        <v>1.5342407460146501</v>
      </c>
      <c r="I11513" s="20">
        <v>0.68376953246191596</v>
      </c>
      <c r="J11513" s="28">
        <v>0.49412070849048001</v>
      </c>
      <c r="K11513" s="29">
        <v>0.98289565623980701</v>
      </c>
    </row>
    <row r="11514" spans="1:11" x14ac:dyDescent="0.35">
      <c r="A11514" s="9" t="str">
        <f>HYPERLINK("http://www.ensembl.org/id/WBGene00044200", "WBGene00044200")</f>
        <v>WBGene00044200</v>
      </c>
      <c r="B11514" s="9" t="str">
        <f>HYPERLINK("http://www.ncbi.nlm.nih.gov/gene/3564949", "3564949")</f>
        <v>3564949</v>
      </c>
      <c r="C11514" s="9"/>
      <c r="D11514" t="str">
        <f>"H37A05.4"</f>
        <v>H37A05.4</v>
      </c>
      <c r="E11514" t="s">
        <v>4911</v>
      </c>
      <c r="F11514" t="s">
        <v>11</v>
      </c>
      <c r="H11514" s="12">
        <v>1.30712465857146</v>
      </c>
      <c r="I11514" s="20">
        <v>0.92878962966893297</v>
      </c>
      <c r="J11514" s="28">
        <v>0.35299811984677898</v>
      </c>
      <c r="K11514" s="29">
        <v>0.98289565623980701</v>
      </c>
    </row>
    <row r="11515" spans="1:11" x14ac:dyDescent="0.35">
      <c r="A11515" s="9" t="str">
        <f>HYPERLINK("http://www.ensembl.org/id/WBGene00199866", "WBGene00199866")</f>
        <v>WBGene00199866</v>
      </c>
      <c r="B11515" s="9"/>
      <c r="C11515" s="9"/>
      <c r="D11515" t="str">
        <f>"H37A05.6"</f>
        <v>H37A05.6</v>
      </c>
      <c r="F11515" t="s">
        <v>481</v>
      </c>
      <c r="H11515" s="12">
        <v>-4.6119264567625402</v>
      </c>
      <c r="I11515" s="20">
        <v>-0.60828972222806199</v>
      </c>
      <c r="J11515" s="28">
        <v>0.54299533640928099</v>
      </c>
      <c r="K11515" s="29">
        <v>0.98289565623980701</v>
      </c>
    </row>
    <row r="11516" spans="1:11" x14ac:dyDescent="0.35">
      <c r="A11516" s="9" t="str">
        <f>HYPERLINK("http://www.ensembl.org/id/WBGene00010429", "WBGene00010429")</f>
        <v>WBGene00010429</v>
      </c>
      <c r="B11516" s="9" t="str">
        <f>HYPERLINK("http://www.ncbi.nlm.nih.gov/gene/186808", "186808")</f>
        <v>186808</v>
      </c>
      <c r="C11516" s="9"/>
      <c r="D11516" t="str">
        <f>"H38K22.4"</f>
        <v>H38K22.4</v>
      </c>
      <c r="F11516" t="s">
        <v>11</v>
      </c>
      <c r="H11516" s="12">
        <v>16.217611553187702</v>
      </c>
      <c r="I11516" s="20">
        <v>0.94333696891586505</v>
      </c>
      <c r="J11516" s="28">
        <v>0.34550857211368002</v>
      </c>
      <c r="K11516" s="29">
        <v>0.98289565623980701</v>
      </c>
    </row>
    <row r="11517" spans="1:11" x14ac:dyDescent="0.35">
      <c r="A11517" s="9" t="str">
        <f>HYPERLINK("http://www.ensembl.org/id/WBGene00044911", "WBGene00044911")</f>
        <v>WBGene00044911</v>
      </c>
      <c r="B11517" s="9" t="str">
        <f>HYPERLINK("http://www.ncbi.nlm.nih.gov/gene/4926924", "4926924")</f>
        <v>4926924</v>
      </c>
      <c r="C11517" s="9"/>
      <c r="D11517" t="str">
        <f>"H38K22.6"</f>
        <v>H38K22.6</v>
      </c>
      <c r="F11517" t="s">
        <v>11</v>
      </c>
      <c r="G11517" t="s">
        <v>25</v>
      </c>
      <c r="H11517" s="12">
        <v>-2.1003613205681799</v>
      </c>
      <c r="I11517" s="20">
        <v>-0.42065534885892403</v>
      </c>
      <c r="J11517" s="28">
        <v>0.67400677066028702</v>
      </c>
      <c r="K11517" s="29">
        <v>0.98289565623980701</v>
      </c>
    </row>
    <row r="11518" spans="1:11" x14ac:dyDescent="0.35">
      <c r="A11518" s="9" t="str">
        <f>HYPERLINK("http://www.ensembl.org/id/WBGene00284844", "WBGene00284844")</f>
        <v>WBGene00284844</v>
      </c>
      <c r="B11518" s="9" t="str">
        <f>HYPERLINK("http://www.ncbi.nlm.nih.gov/gene/36312790", "36312790")</f>
        <v>36312790</v>
      </c>
      <c r="C11518" s="9"/>
      <c r="D11518" t="str">
        <f>"H38K22.9"</f>
        <v>H38K22.9</v>
      </c>
      <c r="F11518" t="s">
        <v>11</v>
      </c>
      <c r="G11518" t="s">
        <v>25</v>
      </c>
      <c r="H11518" s="12">
        <v>1.20230180809733</v>
      </c>
      <c r="I11518" s="20">
        <v>0.40018544217933999</v>
      </c>
      <c r="J11518" s="28">
        <v>0.68901993621094904</v>
      </c>
      <c r="K11518" s="29">
        <v>0.98289565623980701</v>
      </c>
    </row>
    <row r="11519" spans="1:11" x14ac:dyDescent="0.35">
      <c r="A11519" s="9" t="str">
        <f>HYPERLINK("http://www.ensembl.org/id/WBGene00019267", "WBGene00019267")</f>
        <v>WBGene00019267</v>
      </c>
      <c r="B11519" s="9" t="str">
        <f>HYPERLINK("http://www.ncbi.nlm.nih.gov/gene/186809", "186809")</f>
        <v>186809</v>
      </c>
      <c r="C11519" s="9"/>
      <c r="D11519" t="str">
        <f>"H39E20.1"</f>
        <v>H39E20.1</v>
      </c>
      <c r="F11519" t="s">
        <v>11</v>
      </c>
      <c r="H11519" s="12">
        <v>1.7235709650976301</v>
      </c>
      <c r="I11519" s="20">
        <v>0.333914581976061</v>
      </c>
      <c r="J11519" s="28">
        <v>0.73844401590735198</v>
      </c>
      <c r="K11519" s="29">
        <v>0.98289565623980701</v>
      </c>
    </row>
    <row r="11520" spans="1:11" x14ac:dyDescent="0.35">
      <c r="A11520" s="9" t="str">
        <f>HYPERLINK("http://www.ensembl.org/id/WBGene00010432", "WBGene00010432")</f>
        <v>WBGene00010432</v>
      </c>
      <c r="B11520" s="9" t="str">
        <f>HYPERLINK("http://www.ncbi.nlm.nih.gov/gene/3565814", "3565814")</f>
        <v>3565814</v>
      </c>
      <c r="C11520" s="9"/>
      <c r="D11520" t="str">
        <f>"H39E23.2"</f>
        <v>H39E23.2</v>
      </c>
      <c r="F11520" t="s">
        <v>11</v>
      </c>
      <c r="H11520" s="12">
        <v>-2.4005934292854301</v>
      </c>
      <c r="I11520" s="20">
        <v>-0.85889320400829205</v>
      </c>
      <c r="J11520" s="28">
        <v>0.39039943917669501</v>
      </c>
      <c r="K11520" s="29">
        <v>0.98289565623980701</v>
      </c>
    </row>
    <row r="11521" spans="1:11" x14ac:dyDescent="0.35">
      <c r="A11521" s="9" t="str">
        <f>HYPERLINK("http://www.ensembl.org/id/WBGene00044201", "WBGene00044201")</f>
        <v>WBGene00044201</v>
      </c>
      <c r="B11521" s="9" t="str">
        <f>HYPERLINK("http://www.ncbi.nlm.nih.gov/gene/3565355", "3565355")</f>
        <v>3565355</v>
      </c>
      <c r="C11521" s="9"/>
      <c r="D11521" t="str">
        <f>"H39E23.3"</f>
        <v>H39E23.3</v>
      </c>
      <c r="F11521" t="s">
        <v>11</v>
      </c>
      <c r="G11521" t="s">
        <v>138</v>
      </c>
      <c r="H11521" s="12">
        <v>5.4058944669092801</v>
      </c>
      <c r="I11521" s="20">
        <v>0.49762513753689303</v>
      </c>
      <c r="J11521" s="28">
        <v>0.61874828254921799</v>
      </c>
      <c r="K11521" s="29">
        <v>0.98289565623980701</v>
      </c>
    </row>
    <row r="11522" spans="1:11" x14ac:dyDescent="0.35">
      <c r="A11522" s="9" t="str">
        <f>HYPERLINK("http://www.ensembl.org/id/WBGene00010433", "WBGene00010433")</f>
        <v>WBGene00010433</v>
      </c>
      <c r="B11522" s="9" t="str">
        <f>HYPERLINK("http://www.ncbi.nlm.nih.gov/gene/181603", "181603")</f>
        <v>181603</v>
      </c>
      <c r="C11522" s="9"/>
      <c r="D11522" t="str">
        <f>"H40L08.1"</f>
        <v>H40L08.1</v>
      </c>
      <c r="F11522" t="s">
        <v>11</v>
      </c>
      <c r="G11522" t="s">
        <v>54</v>
      </c>
      <c r="H11522" s="12">
        <v>-1.10166531224497</v>
      </c>
      <c r="I11522" s="20">
        <v>-0.494070697241629</v>
      </c>
      <c r="J11522" s="28">
        <v>0.62125625159644304</v>
      </c>
      <c r="K11522" s="29">
        <v>0.98289565623980701</v>
      </c>
    </row>
    <row r="11523" spans="1:11" x14ac:dyDescent="0.35">
      <c r="A11523" s="9" t="str">
        <f>HYPERLINK("http://www.ensembl.org/id/WBGene00014793", "WBGene00014793")</f>
        <v>WBGene00014793</v>
      </c>
      <c r="B11523" s="9" t="str">
        <f>HYPERLINK("http://www.ncbi.nlm.nih.gov/gene/13224091", "13224091")</f>
        <v>13224091</v>
      </c>
      <c r="C11523" s="9"/>
      <c r="D11523" t="str">
        <f>"H40L08.2"</f>
        <v>H40L08.2</v>
      </c>
      <c r="F11523" t="s">
        <v>11</v>
      </c>
      <c r="H11523" s="12">
        <v>-1.1019772546329201</v>
      </c>
      <c r="I11523" s="20">
        <v>-0.40748664840436999</v>
      </c>
      <c r="J11523" s="28">
        <v>0.68365059842541998</v>
      </c>
      <c r="K11523" s="29">
        <v>0.98289565623980701</v>
      </c>
    </row>
    <row r="11524" spans="1:11" x14ac:dyDescent="0.35">
      <c r="A11524" s="9" t="str">
        <f>HYPERLINK("http://www.ensembl.org/id/WBGene00219996", "WBGene00219996")</f>
        <v>WBGene00219996</v>
      </c>
      <c r="B11524" s="9"/>
      <c r="C11524" s="9"/>
      <c r="D11524" t="str">
        <f>"H40L08.6"</f>
        <v>H40L08.6</v>
      </c>
      <c r="F11524" t="s">
        <v>481</v>
      </c>
      <c r="H11524" s="12">
        <v>-2.3915974862820901</v>
      </c>
      <c r="I11524" s="20">
        <v>-0.42079987883833497</v>
      </c>
      <c r="J11524" s="28">
        <v>0.67390122013614295</v>
      </c>
      <c r="K11524" s="29">
        <v>0.98289565623980701</v>
      </c>
    </row>
    <row r="11525" spans="1:11" x14ac:dyDescent="0.35">
      <c r="A11525" s="9" t="str">
        <f>HYPERLINK("http://www.ensembl.org/id/WBGene00303024", "WBGene00303024")</f>
        <v>WBGene00303024</v>
      </c>
      <c r="B11525" s="9" t="str">
        <f>HYPERLINK("http://www.ncbi.nlm.nih.gov/gene/36805023", "36805023")</f>
        <v>36805023</v>
      </c>
      <c r="C11525" s="9"/>
      <c r="D11525" t="str">
        <f>"H40L08.7"</f>
        <v>H40L08.7</v>
      </c>
      <c r="F11525" t="s">
        <v>11</v>
      </c>
      <c r="H11525" s="12">
        <v>-1.0996425896139601</v>
      </c>
      <c r="I11525" s="20">
        <v>-0.31577596675998698</v>
      </c>
      <c r="J11525" s="28">
        <v>0.752172561187328</v>
      </c>
      <c r="K11525" s="29">
        <v>0.98289565623980701</v>
      </c>
    </row>
    <row r="11526" spans="1:11" x14ac:dyDescent="0.35">
      <c r="A11526" s="9" t="str">
        <f>HYPERLINK("http://www.ensembl.org/id/WBGene00019270", "WBGene00019270")</f>
        <v>WBGene00019270</v>
      </c>
      <c r="B11526" s="9" t="str">
        <f>HYPERLINK("http://www.ncbi.nlm.nih.gov/gene/173993", "173993")</f>
        <v>173993</v>
      </c>
      <c r="C11526" s="9"/>
      <c r="D11526" t="str">
        <f>"H41C03.3"</f>
        <v>H41C03.3</v>
      </c>
      <c r="F11526" t="s">
        <v>11</v>
      </c>
      <c r="G11526" t="s">
        <v>602</v>
      </c>
      <c r="H11526" s="12">
        <v>-1.1444156863905199</v>
      </c>
      <c r="I11526" s="20">
        <v>-0.67451714198432899</v>
      </c>
      <c r="J11526" s="28">
        <v>0.49998259122364302</v>
      </c>
      <c r="K11526" s="29">
        <v>0.98289565623980701</v>
      </c>
    </row>
    <row r="11527" spans="1:11" x14ac:dyDescent="0.35">
      <c r="A11527" s="9" t="str">
        <f>HYPERLINK("http://www.ensembl.org/id/WBGene00019274", "WBGene00019274")</f>
        <v>WBGene00019274</v>
      </c>
      <c r="B11527" s="9" t="str">
        <f>HYPERLINK("http://www.ncbi.nlm.nih.gov/gene/178824", "178824")</f>
        <v>178824</v>
      </c>
      <c r="C11527" s="9"/>
      <c r="D11527" t="str">
        <f>"H43I07.1"</f>
        <v>H43I07.1</v>
      </c>
      <c r="F11527" t="s">
        <v>11</v>
      </c>
      <c r="G11527" t="s">
        <v>8778</v>
      </c>
      <c r="H11527" s="12">
        <v>-1.1959042625249601</v>
      </c>
      <c r="I11527" s="20">
        <v>-0.82979684945080601</v>
      </c>
      <c r="J11527" s="28">
        <v>0.40665365241793699</v>
      </c>
      <c r="K11527" s="29">
        <v>0.98289565623980701</v>
      </c>
    </row>
    <row r="11528" spans="1:11" x14ac:dyDescent="0.35">
      <c r="A11528" s="9" t="str">
        <f>HYPERLINK("http://www.ensembl.org/id/WBGene00269429", "WBGene00269429")</f>
        <v>WBGene00269429</v>
      </c>
      <c r="B11528" s="9" t="str">
        <f>HYPERLINK("http://www.ncbi.nlm.nih.gov/gene/28661651", "28661651")</f>
        <v>28661651</v>
      </c>
      <c r="C11528" s="9"/>
      <c r="D11528" t="str">
        <f>"H43I07.4"</f>
        <v>H43I07.4</v>
      </c>
      <c r="F11528" t="s">
        <v>11</v>
      </c>
      <c r="H11528" s="12">
        <v>1.9000301562292199</v>
      </c>
      <c r="I11528" s="20">
        <v>0.71779640694696201</v>
      </c>
      <c r="J11528" s="28">
        <v>0.472882829133632</v>
      </c>
      <c r="K11528" s="29">
        <v>0.98289565623980701</v>
      </c>
    </row>
    <row r="11529" spans="1:11" x14ac:dyDescent="0.35">
      <c r="A11529" s="9" t="str">
        <f>HYPERLINK("http://www.ensembl.org/id/WBGene00010595", "WBGene00010595")</f>
        <v>WBGene00010595</v>
      </c>
      <c r="B11529" s="9" t="str">
        <f>HYPERLINK("http://www.ncbi.nlm.nih.gov/gene/179329", "179329")</f>
        <v>179329</v>
      </c>
      <c r="C11529" s="9" t="str">
        <f>HYPERLINK("http://www.ncbi.nlm.nih.gov/gene/23498", "23498")</f>
        <v>23498</v>
      </c>
      <c r="D11529" t="str">
        <f>"haao-1"</f>
        <v>haao-1</v>
      </c>
      <c r="E11529" t="s">
        <v>5641</v>
      </c>
      <c r="F11529" t="s">
        <v>11</v>
      </c>
      <c r="G11529" t="s">
        <v>5642</v>
      </c>
      <c r="H11529" s="12">
        <v>1.13130648265159</v>
      </c>
      <c r="I11529" s="20">
        <v>0.40644048046821102</v>
      </c>
      <c r="J11529" s="28">
        <v>0.68441898128228496</v>
      </c>
      <c r="K11529" s="29">
        <v>0.98289565623980701</v>
      </c>
    </row>
    <row r="11530" spans="1:11" x14ac:dyDescent="0.35">
      <c r="A11530" s="9" t="str">
        <f>HYPERLINK("http://www.ensembl.org/id/WBGene00001813", "WBGene00001813")</f>
        <v>WBGene00001813</v>
      </c>
      <c r="B11530" s="9" t="str">
        <f>HYPERLINK("http://www.ncbi.nlm.nih.gov/gene/180056", "180056")</f>
        <v>180056</v>
      </c>
      <c r="C11530" s="9" t="str">
        <f>HYPERLINK("http://www.ncbi.nlm.nih.gov/gene/23456", "23456")</f>
        <v>23456</v>
      </c>
      <c r="D11530" t="str">
        <f>"haf-3"</f>
        <v>haf-3</v>
      </c>
      <c r="E11530" t="s">
        <v>1025</v>
      </c>
      <c r="F11530" t="s">
        <v>11</v>
      </c>
      <c r="G11530" t="s">
        <v>7622</v>
      </c>
      <c r="H11530" s="12">
        <v>-1.13659631345818</v>
      </c>
      <c r="I11530" s="20">
        <v>-0.63173697706862197</v>
      </c>
      <c r="J11530" s="28">
        <v>0.52755876141999203</v>
      </c>
      <c r="K11530" s="29">
        <v>0.98289565623980701</v>
      </c>
    </row>
    <row r="11531" spans="1:11" x14ac:dyDescent="0.35">
      <c r="A11531" s="9" t="str">
        <f>HYPERLINK("http://www.ensembl.org/id/WBGene00001814", "WBGene00001814")</f>
        <v>WBGene00001814</v>
      </c>
      <c r="B11531" s="9" t="str">
        <f>HYPERLINK("http://www.ncbi.nlm.nih.gov/gene/171639", "171639")</f>
        <v>171639</v>
      </c>
      <c r="C11531" s="9" t="str">
        <f>HYPERLINK("http://www.ncbi.nlm.nih.gov/gene/23457", "23457")</f>
        <v>23457</v>
      </c>
      <c r="D11531" t="str">
        <f>"haf-4"</f>
        <v>haf-4</v>
      </c>
      <c r="E11531" t="s">
        <v>1025</v>
      </c>
      <c r="F11531" t="s">
        <v>11</v>
      </c>
      <c r="G11531" t="s">
        <v>9722</v>
      </c>
      <c r="H11531" s="12">
        <v>-1.2870933368381301</v>
      </c>
      <c r="I11531" s="20">
        <v>-1.13413324340526</v>
      </c>
      <c r="J11531" s="28">
        <v>0.25673866095890302</v>
      </c>
      <c r="K11531" s="29">
        <v>0.98289565623980701</v>
      </c>
    </row>
    <row r="11532" spans="1:11" x14ac:dyDescent="0.35">
      <c r="A11532" s="9" t="str">
        <f>HYPERLINK("http://www.ensembl.org/id/WBGene00001816", "WBGene00001816")</f>
        <v>WBGene00001816</v>
      </c>
      <c r="B11532" s="9" t="str">
        <f>HYPERLINK("http://www.ncbi.nlm.nih.gov/gene/171694", "171694")</f>
        <v>171694</v>
      </c>
      <c r="C11532" s="9" t="str">
        <f>HYPERLINK("http://www.ncbi.nlm.nih.gov/gene/11194", "11194")</f>
        <v>11194</v>
      </c>
      <c r="D11532" t="str">
        <f>"haf-6"</f>
        <v>haf-6</v>
      </c>
      <c r="E11532" t="s">
        <v>1025</v>
      </c>
      <c r="F11532" t="s">
        <v>11</v>
      </c>
      <c r="G11532" t="s">
        <v>5610</v>
      </c>
      <c r="H11532" s="12">
        <v>1.1352791965783999</v>
      </c>
      <c r="I11532" s="20">
        <v>0.56503666824366905</v>
      </c>
      <c r="J11532" s="28">
        <v>0.57204882358304898</v>
      </c>
      <c r="K11532" s="29">
        <v>0.98289565623980701</v>
      </c>
    </row>
    <row r="11533" spans="1:11" x14ac:dyDescent="0.35">
      <c r="A11533" s="9" t="str">
        <f>HYPERLINK("http://www.ensembl.org/id/WBGene00001817", "WBGene00001817")</f>
        <v>WBGene00001817</v>
      </c>
      <c r="B11533" s="9" t="str">
        <f>HYPERLINK("http://www.ncbi.nlm.nih.gov/gene/190115", "190115")</f>
        <v>190115</v>
      </c>
      <c r="C11533" s="9" t="str">
        <f>HYPERLINK("http://www.ncbi.nlm.nih.gov/gene/23457", "23457")</f>
        <v>23457</v>
      </c>
      <c r="D11533" t="str">
        <f>"haf-7"</f>
        <v>haf-7</v>
      </c>
      <c r="E11533" t="s">
        <v>1025</v>
      </c>
      <c r="F11533" t="s">
        <v>11</v>
      </c>
      <c r="G11533" t="s">
        <v>2945</v>
      </c>
      <c r="H11533" s="12">
        <v>-1.23669230179199</v>
      </c>
      <c r="I11533" s="20">
        <v>-0.95424879525228301</v>
      </c>
      <c r="J11533" s="28">
        <v>0.33995772043408201</v>
      </c>
      <c r="K11533" s="29">
        <v>0.98289565623980701</v>
      </c>
    </row>
    <row r="11534" spans="1:11" x14ac:dyDescent="0.35">
      <c r="A11534" s="9" t="str">
        <f>HYPERLINK("http://www.ensembl.org/id/WBGene00001818", "WBGene00001818")</f>
        <v>WBGene00001818</v>
      </c>
      <c r="B11534" s="9" t="str">
        <f>HYPERLINK("http://www.ncbi.nlm.nih.gov/gene/190369", "190369")</f>
        <v>190369</v>
      </c>
      <c r="C11534" s="9" t="str">
        <f>HYPERLINK("http://www.ncbi.nlm.nih.gov/gene/23457", "23457")</f>
        <v>23457</v>
      </c>
      <c r="D11534" t="str">
        <f>"haf-8"</f>
        <v>haf-8</v>
      </c>
      <c r="E11534" t="s">
        <v>1025</v>
      </c>
      <c r="F11534" t="s">
        <v>11</v>
      </c>
      <c r="G11534" t="s">
        <v>2945</v>
      </c>
      <c r="H11534" s="12">
        <v>2.3893468495514898</v>
      </c>
      <c r="I11534" s="20">
        <v>0.25323547253672701</v>
      </c>
      <c r="J11534" s="28">
        <v>0.80008625651646104</v>
      </c>
      <c r="K11534" s="29">
        <v>0.98289565623980701</v>
      </c>
    </row>
    <row r="11535" spans="1:11" x14ac:dyDescent="0.35">
      <c r="A11535" s="9" t="str">
        <f>HYPERLINK("http://www.ensembl.org/id/WBGene00001823", "WBGene00001823")</f>
        <v>WBGene00001823</v>
      </c>
      <c r="B11535" s="9" t="str">
        <f>HYPERLINK("http://www.ncbi.nlm.nih.gov/gene/175724", "175724")</f>
        <v>175724</v>
      </c>
      <c r="C11535" s="9" t="str">
        <f>HYPERLINK("http://www.ncbi.nlm.nih.gov/gene/3704", "3704")</f>
        <v>3704</v>
      </c>
      <c r="D11535" t="str">
        <f>"hap-1"</f>
        <v>hap-1</v>
      </c>
      <c r="E11535" t="s">
        <v>6835</v>
      </c>
      <c r="F11535" t="s">
        <v>11</v>
      </c>
      <c r="G11535" t="s">
        <v>6836</v>
      </c>
      <c r="H11535" s="12">
        <v>-1.0916553739119601</v>
      </c>
      <c r="I11535" s="20">
        <v>-0.34317882261360799</v>
      </c>
      <c r="J11535" s="28">
        <v>0.73146393545822697</v>
      </c>
      <c r="K11535" s="29">
        <v>0.98289565623980701</v>
      </c>
    </row>
    <row r="11536" spans="1:11" x14ac:dyDescent="0.35">
      <c r="A11536" s="9" t="str">
        <f>HYPERLINK("http://www.ensembl.org/id/WBGene00021214", "WBGene00021214")</f>
        <v>WBGene00021214</v>
      </c>
      <c r="B11536" s="9" t="str">
        <f>HYPERLINK("http://www.ncbi.nlm.nih.gov/gene/171659", "171659")</f>
        <v>171659</v>
      </c>
      <c r="C11536" s="9"/>
      <c r="D11536" t="str">
        <f>"hasp-2"</f>
        <v>hasp-2</v>
      </c>
      <c r="E11536" t="s">
        <v>4613</v>
      </c>
      <c r="F11536" t="s">
        <v>11</v>
      </c>
      <c r="G11536" t="s">
        <v>4614</v>
      </c>
      <c r="H11536" s="12">
        <v>1.60407210911818</v>
      </c>
      <c r="I11536" s="20">
        <v>0.37234063770132197</v>
      </c>
      <c r="J11536" s="28">
        <v>0.70963924567259995</v>
      </c>
      <c r="K11536" s="29">
        <v>0.98289565623980701</v>
      </c>
    </row>
    <row r="11537" spans="1:11" x14ac:dyDescent="0.35">
      <c r="A11537" s="9" t="str">
        <f>HYPERLINK("http://www.ensembl.org/id/WBGene00001827", "WBGene00001827")</f>
        <v>WBGene00001827</v>
      </c>
      <c r="B11537" s="9" t="str">
        <f>HYPERLINK("http://www.ncbi.nlm.nih.gov/gene/177560", "177560")</f>
        <v>177560</v>
      </c>
      <c r="C11537" s="9" t="str">
        <f>HYPERLINK("http://www.ncbi.nlm.nih.gov/gene/3054", "3054")</f>
        <v>3054</v>
      </c>
      <c r="D11537" t="str">
        <f>"hcf-1"</f>
        <v>hcf-1</v>
      </c>
      <c r="E11537" t="s">
        <v>9682</v>
      </c>
      <c r="F11537" t="s">
        <v>11</v>
      </c>
      <c r="G11537" t="s">
        <v>9683</v>
      </c>
      <c r="H11537" s="12">
        <v>-1.2798938730067699</v>
      </c>
      <c r="I11537" s="20">
        <v>-1.14444506632294</v>
      </c>
      <c r="J11537" s="28">
        <v>0.25243910749630899</v>
      </c>
      <c r="K11537" s="29">
        <v>0.98289565623980701</v>
      </c>
    </row>
    <row r="11538" spans="1:11" x14ac:dyDescent="0.35">
      <c r="A11538" s="9" t="str">
        <f>HYPERLINK("http://www.ensembl.org/id/WBGene00001829", "WBGene00001829")</f>
        <v>WBGene00001829</v>
      </c>
      <c r="B11538" s="9" t="str">
        <f>HYPERLINK("http://www.ncbi.nlm.nih.gov/gene/179049", "179049")</f>
        <v>179049</v>
      </c>
      <c r="C11538" s="9"/>
      <c r="D11538" t="str">
        <f>"hcp-1"</f>
        <v>hcp-1</v>
      </c>
      <c r="E11538" t="s">
        <v>2109</v>
      </c>
      <c r="F11538" t="s">
        <v>11</v>
      </c>
      <c r="G11538" t="s">
        <v>9463</v>
      </c>
      <c r="H11538" s="12">
        <v>-1.2482278915945499</v>
      </c>
      <c r="I11538" s="20">
        <v>-0.996039954221691</v>
      </c>
      <c r="J11538" s="28">
        <v>0.31923073272104502</v>
      </c>
      <c r="K11538" s="29">
        <v>0.98289565623980701</v>
      </c>
    </row>
    <row r="11539" spans="1:11" x14ac:dyDescent="0.35">
      <c r="A11539" s="9" t="str">
        <f>HYPERLINK("http://www.ensembl.org/id/WBGene00001832", "WBGene00001832")</f>
        <v>WBGene00001832</v>
      </c>
      <c r="B11539" s="9" t="str">
        <f>HYPERLINK("http://www.ncbi.nlm.nih.gov/gene/171964", "171964")</f>
        <v>171964</v>
      </c>
      <c r="C11539" s="9"/>
      <c r="D11539" t="str">
        <f>"hcp-4"</f>
        <v>hcp-4</v>
      </c>
      <c r="E11539" t="s">
        <v>9515</v>
      </c>
      <c r="F11539" t="s">
        <v>11</v>
      </c>
      <c r="G11539" t="s">
        <v>9516</v>
      </c>
      <c r="H11539" s="12">
        <v>-1.2537749873606601</v>
      </c>
      <c r="I11539" s="20">
        <v>-1.1388061747515501</v>
      </c>
      <c r="J11539" s="28">
        <v>0.254784005807283</v>
      </c>
      <c r="K11539" s="29">
        <v>0.98289565623980701</v>
      </c>
    </row>
    <row r="11540" spans="1:11" x14ac:dyDescent="0.35">
      <c r="A11540" s="9" t="str">
        <f>HYPERLINK("http://www.ensembl.org/id/WBGene00001833", "WBGene00001833")</f>
        <v>WBGene00001833</v>
      </c>
      <c r="B11540" s="9" t="str">
        <f>HYPERLINK("http://www.ncbi.nlm.nih.gov/gene/266830", "266830")</f>
        <v>266830</v>
      </c>
      <c r="C11540" s="9"/>
      <c r="D11540" t="str">
        <f>"hcp-6"</f>
        <v>hcp-6</v>
      </c>
      <c r="E11540" t="s">
        <v>2109</v>
      </c>
      <c r="F11540" t="s">
        <v>11</v>
      </c>
      <c r="G11540" t="s">
        <v>5994</v>
      </c>
      <c r="H11540" s="12">
        <v>1.07523068854256</v>
      </c>
      <c r="I11540" s="20">
        <v>0.30118249733763802</v>
      </c>
      <c r="J11540" s="28">
        <v>0.76327533564891803</v>
      </c>
      <c r="K11540" s="29">
        <v>0.98289565623980701</v>
      </c>
    </row>
    <row r="11541" spans="1:11" x14ac:dyDescent="0.35">
      <c r="A11541" s="9" t="str">
        <f>HYPERLINK("http://www.ensembl.org/id/WBGene00001834", "WBGene00001834")</f>
        <v>WBGene00001834</v>
      </c>
      <c r="B11541" s="9" t="str">
        <f>HYPERLINK("http://www.ncbi.nlm.nih.gov/gene/179959", "179959")</f>
        <v>179959</v>
      </c>
      <c r="C11541" s="9" t="str">
        <f>HYPERLINK("http://www.ncbi.nlm.nih.gov/gene/3066", "3066")</f>
        <v>3066</v>
      </c>
      <c r="D11541" t="str">
        <f>"hda-1"</f>
        <v>hda-1</v>
      </c>
      <c r="E11541" t="s">
        <v>7067</v>
      </c>
      <c r="F11541" t="s">
        <v>11</v>
      </c>
      <c r="G11541" t="s">
        <v>3973</v>
      </c>
      <c r="H11541" s="12">
        <v>-1.1054623651883999</v>
      </c>
      <c r="I11541" s="20">
        <v>-0.49257769496807402</v>
      </c>
      <c r="J11541" s="28">
        <v>0.62231101157990298</v>
      </c>
      <c r="K11541" s="29">
        <v>0.98289565623980701</v>
      </c>
    </row>
    <row r="11542" spans="1:11" x14ac:dyDescent="0.35">
      <c r="A11542" s="9" t="str">
        <f>HYPERLINK("http://www.ensembl.org/id/WBGene00007953", "WBGene00007953")</f>
        <v>WBGene00007953</v>
      </c>
      <c r="B11542" s="9" t="str">
        <f>HYPERLINK("http://www.ncbi.nlm.nih.gov/gene/183226", "183226")</f>
        <v>183226</v>
      </c>
      <c r="C11542" s="9" t="str">
        <f>HYPERLINK("http://www.ncbi.nlm.nih.gov/gene/79885", "79885")</f>
        <v>79885</v>
      </c>
      <c r="D11542" t="str">
        <f>"hda-11"</f>
        <v>hda-11</v>
      </c>
      <c r="E11542" t="s">
        <v>5430</v>
      </c>
      <c r="F11542" t="s">
        <v>11</v>
      </c>
      <c r="G11542" t="s">
        <v>5431</v>
      </c>
      <c r="H11542" s="12">
        <v>1.1651708146961901</v>
      </c>
      <c r="I11542" s="20">
        <v>0.47028163273926199</v>
      </c>
      <c r="J11542" s="28">
        <v>0.63815381819042905</v>
      </c>
      <c r="K11542" s="29">
        <v>0.98289565623980701</v>
      </c>
    </row>
    <row r="11543" spans="1:11" x14ac:dyDescent="0.35">
      <c r="A11543" s="9" t="str">
        <f>HYPERLINK("http://www.ensembl.org/id/WBGene00001836", "WBGene00001836")</f>
        <v>WBGene00001836</v>
      </c>
      <c r="B11543" s="9" t="str">
        <f>HYPERLINK("http://www.ncbi.nlm.nih.gov/gene/173074", "173074")</f>
        <v>173074</v>
      </c>
      <c r="C11543" s="9" t="str">
        <f>HYPERLINK("http://www.ncbi.nlm.nih.gov/gene/3065", "3065")</f>
        <v>3065</v>
      </c>
      <c r="D11543" t="str">
        <f>"hda-3"</f>
        <v>hda-3</v>
      </c>
      <c r="E11543" t="s">
        <v>2121</v>
      </c>
      <c r="F11543" t="s">
        <v>11</v>
      </c>
      <c r="G11543" t="s">
        <v>7229</v>
      </c>
      <c r="H11543" s="12">
        <v>-1.1144357192577099</v>
      </c>
      <c r="I11543" s="20">
        <v>-0.50571035832700695</v>
      </c>
      <c r="J11543" s="28">
        <v>0.61305999556430502</v>
      </c>
      <c r="K11543" s="29">
        <v>0.98289565623980701</v>
      </c>
    </row>
    <row r="11544" spans="1:11" x14ac:dyDescent="0.35">
      <c r="A11544" s="9" t="str">
        <f>HYPERLINK("http://www.ensembl.org/id/WBGene00001837", "WBGene00001837")</f>
        <v>WBGene00001837</v>
      </c>
      <c r="B11544" s="9" t="str">
        <f>HYPERLINK("http://www.ncbi.nlm.nih.gov/gene/181723", "181723")</f>
        <v>181723</v>
      </c>
      <c r="C11544" s="9"/>
      <c r="D11544" t="str">
        <f>"hda-4"</f>
        <v>hda-4</v>
      </c>
      <c r="E11544" t="s">
        <v>9143</v>
      </c>
      <c r="F11544" t="s">
        <v>11</v>
      </c>
      <c r="H11544" s="12">
        <v>-1.2239910947214501</v>
      </c>
      <c r="I11544" s="20">
        <v>-1.0894154234978599</v>
      </c>
      <c r="J11544" s="28">
        <v>0.27597073295257502</v>
      </c>
      <c r="K11544" s="29">
        <v>0.98289565623980701</v>
      </c>
    </row>
    <row r="11545" spans="1:11" x14ac:dyDescent="0.35">
      <c r="A11545" s="9" t="str">
        <f>HYPERLINK("http://www.ensembl.org/id/WBGene00009738", "WBGene00009738")</f>
        <v>WBGene00009738</v>
      </c>
      <c r="B11545" s="9" t="str">
        <f>HYPERLINK("http://www.ncbi.nlm.nih.gov/gene/175438", "175438")</f>
        <v>175438</v>
      </c>
      <c r="C11545" s="9"/>
      <c r="D11545" t="str">
        <f>"hecw-1"</f>
        <v>hecw-1</v>
      </c>
      <c r="E11545" t="s">
        <v>6352</v>
      </c>
      <c r="F11545" t="s">
        <v>11</v>
      </c>
      <c r="G11545" t="s">
        <v>6353</v>
      </c>
      <c r="H11545" s="12">
        <v>-1.0646499382953201</v>
      </c>
      <c r="I11545" s="20">
        <v>-0.30199746157218599</v>
      </c>
      <c r="J11545" s="28">
        <v>0.76265399803703504</v>
      </c>
      <c r="K11545" s="29">
        <v>0.98289565623980701</v>
      </c>
    </row>
    <row r="11546" spans="1:11" x14ac:dyDescent="0.35">
      <c r="A11546" s="9" t="str">
        <f>HYPERLINK("http://www.ensembl.org/id/WBGene00001840", "WBGene00001840")</f>
        <v>WBGene00001840</v>
      </c>
      <c r="B11546" s="9" t="str">
        <f>HYPERLINK("http://www.ncbi.nlm.nih.gov/gene/174333", "174333")</f>
        <v>174333</v>
      </c>
      <c r="C11546" s="9" t="str">
        <f>HYPERLINK("http://www.ncbi.nlm.nih.gov/gene/10212", "10212")</f>
        <v>10212</v>
      </c>
      <c r="D11546" t="str">
        <f>"hel-1"</f>
        <v>hel-1</v>
      </c>
      <c r="E11546" t="s">
        <v>6549</v>
      </c>
      <c r="F11546" t="s">
        <v>11</v>
      </c>
      <c r="G11546" t="s">
        <v>221</v>
      </c>
      <c r="H11546" s="12">
        <v>-1.0754867636030201</v>
      </c>
      <c r="I11546" s="20">
        <v>-0.34084812999921299</v>
      </c>
      <c r="J11546" s="28">
        <v>0.73321791515992796</v>
      </c>
      <c r="K11546" s="29">
        <v>0.98289565623980701</v>
      </c>
    </row>
    <row r="11547" spans="1:11" x14ac:dyDescent="0.35">
      <c r="A11547" s="9" t="str">
        <f>HYPERLINK("http://www.ensembl.org/id/WBGene00021905", "WBGene00021905")</f>
        <v>WBGene00021905</v>
      </c>
      <c r="B11547" s="9" t="str">
        <f>HYPERLINK("http://www.ncbi.nlm.nih.gov/gene/175210", "175210")</f>
        <v>175210</v>
      </c>
      <c r="C11547" s="9" t="str">
        <f>HYPERLINK("http://www.ncbi.nlm.nih.gov/gene/113510", "113510")</f>
        <v>113510</v>
      </c>
      <c r="D11547" t="str">
        <f>"helq-1"</f>
        <v>helq-1</v>
      </c>
      <c r="E11547" t="s">
        <v>5892</v>
      </c>
      <c r="F11547" t="s">
        <v>11</v>
      </c>
      <c r="G11547" t="s">
        <v>5893</v>
      </c>
      <c r="H11547" s="12">
        <v>1.08854976998352</v>
      </c>
      <c r="I11547" s="20">
        <v>0.37767749105672399</v>
      </c>
      <c r="J11547" s="28">
        <v>0.70567019100115802</v>
      </c>
      <c r="K11547" s="29">
        <v>0.98289565623980701</v>
      </c>
    </row>
    <row r="11548" spans="1:11" x14ac:dyDescent="0.35">
      <c r="A11548" s="9" t="str">
        <f>HYPERLINK("http://www.ensembl.org/id/WBGene00001841", "WBGene00001841")</f>
        <v>WBGene00001841</v>
      </c>
      <c r="B11548" s="9" t="str">
        <f>HYPERLINK("http://www.ncbi.nlm.nih.gov/gene/191666", "191666")</f>
        <v>191666</v>
      </c>
      <c r="C11548" s="9"/>
      <c r="D11548" t="str">
        <f>"hen-1"</f>
        <v>hen-1</v>
      </c>
      <c r="E11548" t="s">
        <v>5027</v>
      </c>
      <c r="F11548" t="s">
        <v>11</v>
      </c>
      <c r="G11548" t="s">
        <v>5028</v>
      </c>
      <c r="H11548" s="12">
        <v>1.2559342115274901</v>
      </c>
      <c r="I11548" s="20">
        <v>0.47137595835005802</v>
      </c>
      <c r="J11548" s="28">
        <v>0.63737228133928203</v>
      </c>
      <c r="K11548" s="29">
        <v>0.98289565623980701</v>
      </c>
    </row>
    <row r="11549" spans="1:11" x14ac:dyDescent="0.35">
      <c r="A11549" s="9" t="str">
        <f>HYPERLINK("http://www.ensembl.org/id/WBGene00015349", "WBGene00015349")</f>
        <v>WBGene00015349</v>
      </c>
      <c r="B11549" s="9" t="str">
        <f>HYPERLINK("http://www.ncbi.nlm.nih.gov/gene/176159", "176159")</f>
        <v>176159</v>
      </c>
      <c r="C11549" s="9"/>
      <c r="D11549" t="str">
        <f>"henn-1"</f>
        <v>henn-1</v>
      </c>
      <c r="E11549" t="s">
        <v>9492</v>
      </c>
      <c r="F11549" t="s">
        <v>11</v>
      </c>
      <c r="G11549" t="s">
        <v>9493</v>
      </c>
      <c r="H11549" s="12">
        <v>-1.2510858071356299</v>
      </c>
      <c r="I11549" s="20">
        <v>-1.13471200218177</v>
      </c>
      <c r="J11549" s="28">
        <v>0.25649600683337298</v>
      </c>
      <c r="K11549" s="29">
        <v>0.98289565623980701</v>
      </c>
    </row>
    <row r="11550" spans="1:11" x14ac:dyDescent="0.35">
      <c r="A11550" s="9" t="str">
        <f>HYPERLINK("http://www.ensembl.org/id/WBGene00012663", "WBGene00012663")</f>
        <v>WBGene00012663</v>
      </c>
      <c r="B11550" s="9" t="str">
        <f>HYPERLINK("http://www.ncbi.nlm.nih.gov/gene/189716", "189716")</f>
        <v>189716</v>
      </c>
      <c r="C11550" s="9" t="str">
        <f>HYPERLINK("http://www.ncbi.nlm.nih.gov/gene/284004", "284004")</f>
        <v>284004</v>
      </c>
      <c r="D11550" t="str">
        <f>"hex-3"</f>
        <v>hex-3</v>
      </c>
      <c r="E11550" t="s">
        <v>9010</v>
      </c>
      <c r="F11550" t="s">
        <v>11</v>
      </c>
      <c r="G11550" t="s">
        <v>9011</v>
      </c>
      <c r="H11550" s="12">
        <v>-1.21450777472049</v>
      </c>
      <c r="I11550" s="20">
        <v>-0.9206938719551</v>
      </c>
      <c r="J11550" s="28">
        <v>0.35721027649440401</v>
      </c>
      <c r="K11550" s="29">
        <v>0.98289565623980701</v>
      </c>
    </row>
    <row r="11551" spans="1:11" x14ac:dyDescent="0.35">
      <c r="A11551" s="9" t="str">
        <f>HYPERLINK("http://www.ensembl.org/id/WBGene00021766", "WBGene00021766")</f>
        <v>WBGene00021766</v>
      </c>
      <c r="B11551" s="9" t="str">
        <f>HYPERLINK("http://www.ncbi.nlm.nih.gov/gene/245995", "245995")</f>
        <v>245995</v>
      </c>
      <c r="C11551" s="9"/>
      <c r="D11551" t="str">
        <f>"hex-4"</f>
        <v>hex-4</v>
      </c>
      <c r="E11551" t="s">
        <v>1952</v>
      </c>
      <c r="F11551" t="s">
        <v>11</v>
      </c>
      <c r="G11551" t="s">
        <v>1953</v>
      </c>
      <c r="H11551" s="12">
        <v>-1.1238313608749799</v>
      </c>
      <c r="I11551" s="20">
        <v>-0.56876927777939401</v>
      </c>
      <c r="J11551" s="28">
        <v>0.56951272639430495</v>
      </c>
      <c r="K11551" s="29">
        <v>0.98289565623980701</v>
      </c>
    </row>
    <row r="11552" spans="1:11" x14ac:dyDescent="0.35">
      <c r="A11552" s="9" t="str">
        <f>HYPERLINK("http://www.ensembl.org/id/WBGene00013497", "WBGene00013497")</f>
        <v>WBGene00013497</v>
      </c>
      <c r="B11552" s="9" t="str">
        <f>HYPERLINK("http://www.ncbi.nlm.nih.gov/gene/181586", "181586")</f>
        <v>181586</v>
      </c>
      <c r="C11552" s="9" t="str">
        <f>HYPERLINK("http://www.ncbi.nlm.nih.gov/gene/284004", "284004")</f>
        <v>284004</v>
      </c>
      <c r="D11552" t="str">
        <f>"hex-5"</f>
        <v>hex-5</v>
      </c>
      <c r="E11552" t="s">
        <v>1952</v>
      </c>
      <c r="F11552" t="s">
        <v>11</v>
      </c>
      <c r="G11552" t="s">
        <v>1953</v>
      </c>
      <c r="H11552" s="12">
        <v>1.1569411453904299</v>
      </c>
      <c r="I11552" s="20">
        <v>0.67791396562425299</v>
      </c>
      <c r="J11552" s="28">
        <v>0.49782624458171998</v>
      </c>
      <c r="K11552" s="29">
        <v>0.98289565623980701</v>
      </c>
    </row>
    <row r="11553" spans="1:11" x14ac:dyDescent="0.35">
      <c r="A11553" s="9" t="str">
        <f>HYPERLINK("http://www.ensembl.org/id/WBGene00021209", "WBGene00021209")</f>
        <v>WBGene00021209</v>
      </c>
      <c r="B11553" s="9" t="str">
        <f>HYPERLINK("http://www.ncbi.nlm.nih.gov/gene/171663", "171663")</f>
        <v>171663</v>
      </c>
      <c r="C11553" s="9"/>
      <c r="D11553" t="str">
        <f>"hgap-1"</f>
        <v>hgap-1</v>
      </c>
      <c r="E11553" t="s">
        <v>5916</v>
      </c>
      <c r="F11553" t="s">
        <v>11</v>
      </c>
      <c r="G11553" t="s">
        <v>6239</v>
      </c>
      <c r="H11553" s="12">
        <v>-1.0554056376865899</v>
      </c>
      <c r="I11553" s="20">
        <v>-0.29189271461862998</v>
      </c>
      <c r="J11553" s="28">
        <v>0.77036865394363796</v>
      </c>
      <c r="K11553" s="29">
        <v>0.98289565623980701</v>
      </c>
    </row>
    <row r="11554" spans="1:11" x14ac:dyDescent="0.35">
      <c r="A11554" s="9" t="str">
        <f>HYPERLINK("http://www.ensembl.org/id/WBGene00008430", "WBGene00008430")</f>
        <v>WBGene00008430</v>
      </c>
      <c r="B11554" s="9" t="str">
        <f>HYPERLINK("http://www.ncbi.nlm.nih.gov/gene/3564922", "3564922")</f>
        <v>3564922</v>
      </c>
      <c r="C11554" s="9" t="str">
        <f>HYPERLINK("http://www.ncbi.nlm.nih.gov/gene/57148", "57148")</f>
        <v>57148</v>
      </c>
      <c r="D11554" t="str">
        <f>"hgap-2"</f>
        <v>hgap-2</v>
      </c>
      <c r="E11554" t="s">
        <v>5916</v>
      </c>
      <c r="F11554" t="s">
        <v>11</v>
      </c>
      <c r="G11554" t="s">
        <v>5917</v>
      </c>
      <c r="H11554" s="12">
        <v>1.08455209784315</v>
      </c>
      <c r="I11554" s="20">
        <v>0.45103723806947199</v>
      </c>
      <c r="J11554" s="28">
        <v>0.65196271064657196</v>
      </c>
      <c r="K11554" s="29">
        <v>0.98289565623980701</v>
      </c>
    </row>
    <row r="11555" spans="1:11" x14ac:dyDescent="0.35">
      <c r="A11555" s="9" t="str">
        <f>HYPERLINK("http://www.ensembl.org/id/WBGene00001844", "WBGene00001844")</f>
        <v>WBGene00001844</v>
      </c>
      <c r="B11555" s="9" t="str">
        <f>HYPERLINK("http://www.ncbi.nlm.nih.gov/gene/180553", "180553")</f>
        <v>180553</v>
      </c>
      <c r="C11555" s="9" t="str">
        <f>HYPERLINK("http://www.ncbi.nlm.nih.gov/gene/283987", "283987")</f>
        <v>283987</v>
      </c>
      <c r="D11555" t="str">
        <f>"hid-1"</f>
        <v>hid-1</v>
      </c>
      <c r="E11555" t="s">
        <v>5025</v>
      </c>
      <c r="F11555" t="s">
        <v>11</v>
      </c>
      <c r="G11555" t="s">
        <v>5026</v>
      </c>
      <c r="H11555" s="12">
        <v>1.2561742925394801</v>
      </c>
      <c r="I11555" s="20">
        <v>1.20077213391159</v>
      </c>
      <c r="J11555" s="28">
        <v>0.22983960408019799</v>
      </c>
      <c r="K11555" s="29">
        <v>0.98289565623980701</v>
      </c>
    </row>
    <row r="11556" spans="1:11" x14ac:dyDescent="0.35">
      <c r="A11556" s="9" t="str">
        <f>HYPERLINK("http://www.ensembl.org/id/WBGene00001851", "WBGene00001851")</f>
        <v>WBGene00001851</v>
      </c>
      <c r="B11556" s="9" t="str">
        <f>HYPERLINK("http://www.ncbi.nlm.nih.gov/gene/180359", "180359")</f>
        <v>180359</v>
      </c>
      <c r="C11556" s="9"/>
      <c r="D11556" t="str">
        <f>"hif-1"</f>
        <v>hif-1</v>
      </c>
      <c r="E11556" t="s">
        <v>6148</v>
      </c>
      <c r="F11556" t="s">
        <v>11</v>
      </c>
      <c r="G11556" t="s">
        <v>4259</v>
      </c>
      <c r="H11556" s="12">
        <v>1.05055320717102</v>
      </c>
      <c r="I11556" s="20">
        <v>0.27475857150758998</v>
      </c>
      <c r="J11556" s="28">
        <v>0.78350172862135103</v>
      </c>
      <c r="K11556" s="29">
        <v>0.98289565623980701</v>
      </c>
    </row>
    <row r="11557" spans="1:11" x14ac:dyDescent="0.35">
      <c r="A11557" s="9" t="str">
        <f>HYPERLINK("http://www.ensembl.org/id/WBGene00001857", "WBGene00001857")</f>
        <v>WBGene00001857</v>
      </c>
      <c r="B11557" s="9" t="str">
        <f>HYPERLINK("http://www.ncbi.nlm.nih.gov/gene/186584", "186584")</f>
        <v>186584</v>
      </c>
      <c r="C11557" s="9"/>
      <c r="D11557" t="str">
        <f>"hil-6"</f>
        <v>hil-6</v>
      </c>
      <c r="E11557" t="s">
        <v>4582</v>
      </c>
      <c r="F11557" t="s">
        <v>11</v>
      </c>
      <c r="G11557" t="s">
        <v>701</v>
      </c>
      <c r="H11557" s="12">
        <v>1.64515855442037</v>
      </c>
      <c r="I11557" s="20">
        <v>0.89696682206546297</v>
      </c>
      <c r="J11557" s="28">
        <v>0.369736621263139</v>
      </c>
      <c r="K11557" s="29">
        <v>0.98289565623980701</v>
      </c>
    </row>
    <row r="11558" spans="1:11" x14ac:dyDescent="0.35">
      <c r="A11558" s="9" t="str">
        <f>HYPERLINK("http://www.ensembl.org/id/WBGene00001858", "WBGene00001858")</f>
        <v>WBGene00001858</v>
      </c>
      <c r="B11558" s="9" t="str">
        <f>HYPERLINK("http://www.ncbi.nlm.nih.gov/gene/177433", "177433")</f>
        <v>177433</v>
      </c>
      <c r="C11558" s="9"/>
      <c r="D11558" t="str">
        <f>"hil-7"</f>
        <v>hil-7</v>
      </c>
      <c r="E11558" t="s">
        <v>9728</v>
      </c>
      <c r="F11558" t="s">
        <v>11</v>
      </c>
      <c r="G11558" t="s">
        <v>4325</v>
      </c>
      <c r="H11558" s="12">
        <v>-1.28845808677489</v>
      </c>
      <c r="I11558" s="20">
        <v>-1.01641828409139</v>
      </c>
      <c r="J11558" s="28">
        <v>0.30943024238953798</v>
      </c>
      <c r="K11558" s="29">
        <v>0.98289565623980701</v>
      </c>
    </row>
    <row r="11559" spans="1:11" x14ac:dyDescent="0.35">
      <c r="A11559" s="9" t="str">
        <f>HYPERLINK("http://www.ensembl.org/id/WBGene00001859", "WBGene00001859")</f>
        <v>WBGene00001859</v>
      </c>
      <c r="B11559" s="9" t="str">
        <f>HYPERLINK("http://www.ncbi.nlm.nih.gov/gene/188129", "188129")</f>
        <v>188129</v>
      </c>
      <c r="C11559" s="9"/>
      <c r="D11559" t="str">
        <f>"hil-8"</f>
        <v>hil-8</v>
      </c>
      <c r="E11559" t="s">
        <v>4324</v>
      </c>
      <c r="F11559" t="s">
        <v>11</v>
      </c>
      <c r="G11559" t="s">
        <v>4325</v>
      </c>
      <c r="H11559" s="12">
        <v>3.05900737456383</v>
      </c>
      <c r="I11559" s="20">
        <v>1.10072744984625</v>
      </c>
      <c r="J11559" s="28">
        <v>0.27101529563361298</v>
      </c>
      <c r="K11559" s="29">
        <v>0.98289565623980701</v>
      </c>
    </row>
    <row r="11560" spans="1:11" x14ac:dyDescent="0.35">
      <c r="A11560" s="9" t="str">
        <f>HYPERLINK("http://www.ensembl.org/id/WBGene00001860", "WBGene00001860")</f>
        <v>WBGene00001860</v>
      </c>
      <c r="B11560" s="9" t="str">
        <f>HYPERLINK("http://www.ncbi.nlm.nih.gov/gene/172116", "172116")</f>
        <v>172116</v>
      </c>
      <c r="C11560" s="9" t="str">
        <f>HYPERLINK("http://www.ncbi.nlm.nih.gov/gene/8243", "8243")</f>
        <v>8243</v>
      </c>
      <c r="D11560" t="str">
        <f>"him-1"</f>
        <v>him-1</v>
      </c>
      <c r="E11560" t="s">
        <v>7672</v>
      </c>
      <c r="F11560" t="s">
        <v>11</v>
      </c>
      <c r="G11560" t="s">
        <v>7673</v>
      </c>
      <c r="H11560" s="12">
        <v>-1.13870191054781</v>
      </c>
      <c r="I11560" s="20">
        <v>-0.61685837640389796</v>
      </c>
      <c r="J11560" s="28">
        <v>0.53732814340364499</v>
      </c>
      <c r="K11560" s="29">
        <v>0.98289565623980701</v>
      </c>
    </row>
    <row r="11561" spans="1:11" x14ac:dyDescent="0.35">
      <c r="A11561" s="9" t="str">
        <f>HYPERLINK("http://www.ensembl.org/id/WBGene00001869", "WBGene00001869")</f>
        <v>WBGene00001869</v>
      </c>
      <c r="B11561" s="9" t="str">
        <f>HYPERLINK("http://www.ncbi.nlm.nih.gov/gene/175813", "175813")</f>
        <v>175813</v>
      </c>
      <c r="C11561" s="9"/>
      <c r="D11561" t="str">
        <f>"him-10"</f>
        <v>him-10</v>
      </c>
      <c r="E11561" t="s">
        <v>7154</v>
      </c>
      <c r="F11561" t="s">
        <v>11</v>
      </c>
      <c r="G11561" t="s">
        <v>7155</v>
      </c>
      <c r="H11561" s="12">
        <v>-1.1103934514162299</v>
      </c>
      <c r="I11561" s="20">
        <v>-0.43778579403016898</v>
      </c>
      <c r="J11561" s="28">
        <v>0.66154156989494295</v>
      </c>
      <c r="K11561" s="29">
        <v>0.98289565623980701</v>
      </c>
    </row>
    <row r="11562" spans="1:11" x14ac:dyDescent="0.35">
      <c r="A11562" s="9" t="str">
        <f>HYPERLINK("http://www.ensembl.org/id/WBGene00001874", "WBGene00001874")</f>
        <v>WBGene00001874</v>
      </c>
      <c r="B11562" s="9" t="str">
        <f>HYPERLINK("http://www.ncbi.nlm.nih.gov/gene/179800", "179800")</f>
        <v>179800</v>
      </c>
      <c r="C11562" s="9"/>
      <c r="D11562" t="str">
        <f>"him-17"</f>
        <v>him-17</v>
      </c>
      <c r="E11562" t="s">
        <v>1036</v>
      </c>
      <c r="F11562" t="s">
        <v>11</v>
      </c>
      <c r="G11562" t="s">
        <v>9238</v>
      </c>
      <c r="H11562" s="12">
        <v>-1.2299091700171001</v>
      </c>
      <c r="I11562" s="20">
        <v>-1.0431021386131401</v>
      </c>
      <c r="J11562" s="28">
        <v>0.29690099032711498</v>
      </c>
      <c r="K11562" s="29">
        <v>0.98289565623980701</v>
      </c>
    </row>
    <row r="11563" spans="1:11" x14ac:dyDescent="0.35">
      <c r="A11563" s="9" t="str">
        <f>HYPERLINK("http://www.ensembl.org/id/WBGene00009553", "WBGene00009553")</f>
        <v>WBGene00009553</v>
      </c>
      <c r="B11563" s="9" t="str">
        <f>HYPERLINK("http://www.ncbi.nlm.nih.gov/gene/173348", "173348")</f>
        <v>173348</v>
      </c>
      <c r="C11563" s="9"/>
      <c r="D11563" t="str">
        <f>"hinf-1"</f>
        <v>hinf-1</v>
      </c>
      <c r="E11563" t="s">
        <v>6931</v>
      </c>
      <c r="F11563" t="s">
        <v>11</v>
      </c>
      <c r="G11563" t="s">
        <v>6932</v>
      </c>
      <c r="H11563" s="12">
        <v>-1.0983281365206099</v>
      </c>
      <c r="I11563" s="20">
        <v>-0.428418075778769</v>
      </c>
      <c r="J11563" s="28">
        <v>0.66834676688817196</v>
      </c>
      <c r="K11563" s="29">
        <v>0.98289565623980701</v>
      </c>
    </row>
    <row r="11564" spans="1:11" x14ac:dyDescent="0.35">
      <c r="A11564" s="9" t="str">
        <f>HYPERLINK("http://www.ensembl.org/id/WBGene00009002", "WBGene00009002")</f>
        <v>WBGene00009002</v>
      </c>
      <c r="B11564" s="9" t="str">
        <f>HYPERLINK("http://www.ncbi.nlm.nih.gov/gene/184760", "184760")</f>
        <v>184760</v>
      </c>
      <c r="C11564" s="9" t="str">
        <f>HYPERLINK("http://www.ncbi.nlm.nih.gov/gene/3094", "3094")</f>
        <v>3094</v>
      </c>
      <c r="D11564" t="str">
        <f>"hint-1"</f>
        <v>hint-1</v>
      </c>
      <c r="E11564" t="s">
        <v>8291</v>
      </c>
      <c r="F11564" t="s">
        <v>11</v>
      </c>
      <c r="G11564" t="s">
        <v>2319</v>
      </c>
      <c r="H11564" s="12">
        <v>-1.1692158837861399</v>
      </c>
      <c r="I11564" s="20">
        <v>-0.80041681473307902</v>
      </c>
      <c r="J11564" s="28">
        <v>0.423469342018369</v>
      </c>
      <c r="K11564" s="29">
        <v>0.98289565623980701</v>
      </c>
    </row>
    <row r="11565" spans="1:11" x14ac:dyDescent="0.35">
      <c r="A11565" s="9" t="str">
        <f>HYPERLINK("http://www.ensembl.org/id/WBGene00001885", "WBGene00001885")</f>
        <v>WBGene00001885</v>
      </c>
      <c r="B11565" s="9" t="str">
        <f>HYPERLINK("http://www.ncbi.nlm.nih.gov/gene/175029", "175029")</f>
        <v>175029</v>
      </c>
      <c r="C11565" s="9" t="str">
        <f>HYPERLINK("http://www.ncbi.nlm.nih.gov/gene/8970", "8970")</f>
        <v>8970</v>
      </c>
      <c r="D11565" t="str">
        <f>"his-11"</f>
        <v>his-11</v>
      </c>
      <c r="E11565" t="s">
        <v>10098</v>
      </c>
      <c r="F11565" t="s">
        <v>11</v>
      </c>
      <c r="G11565" t="s">
        <v>232</v>
      </c>
      <c r="H11565" s="12">
        <v>-3.5819448292659501</v>
      </c>
      <c r="I11565" s="20">
        <v>-0.37337717500031398</v>
      </c>
      <c r="J11565" s="28">
        <v>0.70886774492290605</v>
      </c>
      <c r="K11565" s="29">
        <v>0.98289565623980701</v>
      </c>
    </row>
    <row r="11566" spans="1:11" x14ac:dyDescent="0.35">
      <c r="A11566" s="9" t="str">
        <f>HYPERLINK("http://www.ensembl.org/id/WBGene00001886", "WBGene00001886")</f>
        <v>WBGene00001886</v>
      </c>
      <c r="B11566" s="9" t="str">
        <f>HYPERLINK("http://www.ncbi.nlm.nih.gov/gene/175028", "175028")</f>
        <v>175028</v>
      </c>
      <c r="C11566" s="9" t="str">
        <f>HYPERLINK("http://www.ncbi.nlm.nih.gov/gene/8338", "8338")</f>
        <v>8338</v>
      </c>
      <c r="D11566" t="str">
        <f>"his-12"</f>
        <v>his-12</v>
      </c>
      <c r="E11566" t="s">
        <v>1912</v>
      </c>
      <c r="F11566" t="s">
        <v>11</v>
      </c>
      <c r="G11566" t="s">
        <v>232</v>
      </c>
      <c r="H11566" s="12">
        <v>3.5227018545059199</v>
      </c>
      <c r="I11566" s="20">
        <v>0.36849691206929103</v>
      </c>
      <c r="J11566" s="28">
        <v>0.71250274722433404</v>
      </c>
      <c r="K11566" s="29">
        <v>0.98289565623980701</v>
      </c>
    </row>
    <row r="11567" spans="1:11" x14ac:dyDescent="0.35">
      <c r="A11567" s="9" t="str">
        <f>HYPERLINK("http://www.ensembl.org/id/WBGene00001887", "WBGene00001887")</f>
        <v>WBGene00001887</v>
      </c>
      <c r="B11567" s="9" t="str">
        <f>HYPERLINK("http://www.ncbi.nlm.nih.gov/gene/191672", "191672")</f>
        <v>191672</v>
      </c>
      <c r="C11567" s="9" t="str">
        <f>HYPERLINK("http://www.ncbi.nlm.nih.gov/gene/8356", "8356")</f>
        <v>8356</v>
      </c>
      <c r="D11567" t="str">
        <f>"his-13"</f>
        <v>his-13</v>
      </c>
      <c r="E11567" t="s">
        <v>3683</v>
      </c>
      <c r="F11567" t="s">
        <v>11</v>
      </c>
      <c r="G11567" t="s">
        <v>232</v>
      </c>
      <c r="H11567" s="12">
        <v>2.3893468495514898</v>
      </c>
      <c r="I11567" s="20">
        <v>0.25323547253672701</v>
      </c>
      <c r="J11567" s="28">
        <v>0.80008625651646104</v>
      </c>
      <c r="K11567" s="29">
        <v>0.98289565623980701</v>
      </c>
    </row>
    <row r="11568" spans="1:11" x14ac:dyDescent="0.35">
      <c r="A11568" s="9" t="str">
        <f>HYPERLINK("http://www.ensembl.org/id/WBGene00001891", "WBGene00001891")</f>
        <v>WBGene00001891</v>
      </c>
      <c r="B11568" s="9" t="str">
        <f>HYPERLINK("http://www.ncbi.nlm.nih.gov/gene/191673", "191673")</f>
        <v>191673</v>
      </c>
      <c r="C11568" s="9" t="str">
        <f>HYPERLINK("http://www.ncbi.nlm.nih.gov/gene/8356", "8356")</f>
        <v>8356</v>
      </c>
      <c r="D11568" t="str">
        <f>"his-17"</f>
        <v>his-17</v>
      </c>
      <c r="E11568" t="s">
        <v>3683</v>
      </c>
      <c r="F11568" t="s">
        <v>11</v>
      </c>
      <c r="G11568" t="s">
        <v>232</v>
      </c>
      <c r="H11568" s="12">
        <v>5.4058944669092801</v>
      </c>
      <c r="I11568" s="20">
        <v>0.49762513753689303</v>
      </c>
      <c r="J11568" s="28">
        <v>0.61874828254921799</v>
      </c>
      <c r="K11568" s="29">
        <v>0.98289565623980701</v>
      </c>
    </row>
    <row r="11569" spans="1:11" x14ac:dyDescent="0.35">
      <c r="A11569" s="9" t="str">
        <f>HYPERLINK("http://www.ensembl.org/id/WBGene00001899", "WBGene00001899")</f>
        <v>WBGene00001899</v>
      </c>
      <c r="B11569" s="9" t="str">
        <f>HYPERLINK("http://www.ncbi.nlm.nih.gov/gene/175031", "175031")</f>
        <v>175031</v>
      </c>
      <c r="C11569" s="9" t="str">
        <f>HYPERLINK("http://www.ncbi.nlm.nih.gov/gene/8356", "8356")</f>
        <v>8356</v>
      </c>
      <c r="D11569" t="str">
        <f>"his-25"</f>
        <v>his-25</v>
      </c>
      <c r="E11569" t="s">
        <v>3683</v>
      </c>
      <c r="F11569" t="s">
        <v>11</v>
      </c>
      <c r="G11569" t="s">
        <v>232</v>
      </c>
      <c r="H11569" s="12">
        <v>-2.24873167550107</v>
      </c>
      <c r="I11569" s="20">
        <v>-0.562849916060288</v>
      </c>
      <c r="J11569" s="28">
        <v>0.57353708695030303</v>
      </c>
      <c r="K11569" s="29">
        <v>0.98289565623980701</v>
      </c>
    </row>
    <row r="11570" spans="1:11" x14ac:dyDescent="0.35">
      <c r="A11570" s="9" t="str">
        <f>HYPERLINK("http://www.ensembl.org/id/WBGene00001906", "WBGene00001906")</f>
        <v>WBGene00001906</v>
      </c>
      <c r="B11570" s="9" t="str">
        <f>HYPERLINK("http://www.ncbi.nlm.nih.gov/gene/177628", "177628")</f>
        <v>177628</v>
      </c>
      <c r="C11570" s="9" t="str">
        <f>HYPERLINK("http://www.ncbi.nlm.nih.gov/gene/8356", "8356")</f>
        <v>8356</v>
      </c>
      <c r="D11570" t="str">
        <f>"his-32"</f>
        <v>his-32</v>
      </c>
      <c r="E11570" t="s">
        <v>3683</v>
      </c>
      <c r="F11570" t="s">
        <v>11</v>
      </c>
      <c r="G11570" t="s">
        <v>232</v>
      </c>
      <c r="H11570" s="12">
        <v>1.42512378583428</v>
      </c>
      <c r="I11570" s="20">
        <v>0.88172020791052197</v>
      </c>
      <c r="J11570" s="28">
        <v>0.37792813029838102</v>
      </c>
      <c r="K11570" s="29">
        <v>0.98289565623980701</v>
      </c>
    </row>
    <row r="11571" spans="1:11" x14ac:dyDescent="0.35">
      <c r="A11571" s="9" t="str">
        <f>HYPERLINK("http://www.ensembl.org/id/WBGene00001907", "WBGene00001907")</f>
        <v>WBGene00001907</v>
      </c>
      <c r="B11571" s="9" t="str">
        <f>HYPERLINK("http://www.ncbi.nlm.nih.gov/gene/191678", "191678")</f>
        <v>191678</v>
      </c>
      <c r="C11571" s="9" t="str">
        <f>HYPERLINK("http://www.ncbi.nlm.nih.gov/gene/8338", "8338")</f>
        <v>8338</v>
      </c>
      <c r="D11571" t="str">
        <f>"his-33"</f>
        <v>his-33</v>
      </c>
      <c r="E11571" t="s">
        <v>1912</v>
      </c>
      <c r="F11571" t="s">
        <v>11</v>
      </c>
      <c r="G11571" t="s">
        <v>232</v>
      </c>
      <c r="H11571" s="12">
        <v>-4.7167679298615104</v>
      </c>
      <c r="I11571" s="20">
        <v>-0.454742638005115</v>
      </c>
      <c r="J11571" s="28">
        <v>0.64929440216969203</v>
      </c>
      <c r="K11571" s="29">
        <v>0.98289565623980701</v>
      </c>
    </row>
    <row r="11572" spans="1:11" x14ac:dyDescent="0.35">
      <c r="A11572" s="9" t="str">
        <f>HYPERLINK("http://www.ensembl.org/id/WBGene00001911", "WBGene00001911")</f>
        <v>WBGene00001911</v>
      </c>
      <c r="B11572" s="9" t="str">
        <f>HYPERLINK("http://www.ncbi.nlm.nih.gov/gene/179341", "179341")</f>
        <v>179341</v>
      </c>
      <c r="C11572" s="9"/>
      <c r="D11572" t="str">
        <f>"his-37"</f>
        <v>his-37</v>
      </c>
      <c r="E11572" t="s">
        <v>2675</v>
      </c>
      <c r="F11572" t="s">
        <v>11</v>
      </c>
      <c r="G11572" t="s">
        <v>232</v>
      </c>
      <c r="H11572" s="12">
        <v>-1.07063915922334</v>
      </c>
      <c r="I11572" s="20">
        <v>-0.37862867670780198</v>
      </c>
      <c r="J11572" s="28">
        <v>0.70496362402483004</v>
      </c>
      <c r="K11572" s="29">
        <v>0.98289565623980701</v>
      </c>
    </row>
    <row r="11573" spans="1:11" x14ac:dyDescent="0.35">
      <c r="A11573" s="9" t="str">
        <f>HYPERLINK("http://www.ensembl.org/id/WBGene00001878", "WBGene00001878")</f>
        <v>WBGene00001878</v>
      </c>
      <c r="B11573" s="9" t="str">
        <f>HYPERLINK("http://www.ncbi.nlm.nih.gov/gene/180072", "180072")</f>
        <v>180072</v>
      </c>
      <c r="C11573" s="9" t="str">
        <f>HYPERLINK("http://www.ncbi.nlm.nih.gov/gene/8970", "8970")</f>
        <v>8970</v>
      </c>
      <c r="D11573" t="str">
        <f>"his-4"</f>
        <v>his-4</v>
      </c>
      <c r="E11573" t="s">
        <v>4595</v>
      </c>
      <c r="F11573" t="s">
        <v>11</v>
      </c>
      <c r="G11573" t="s">
        <v>232</v>
      </c>
      <c r="H11573" s="12">
        <v>1.4325785677815099</v>
      </c>
      <c r="I11573" s="20">
        <v>0.50041876545001696</v>
      </c>
      <c r="J11573" s="28">
        <v>0.61678024273832099</v>
      </c>
      <c r="K11573" s="29">
        <v>0.98289565623980701</v>
      </c>
    </row>
    <row r="11574" spans="1:11" x14ac:dyDescent="0.35">
      <c r="A11574" s="9" t="str">
        <f>HYPERLINK("http://www.ensembl.org/id/WBGene00001914", "WBGene00001914")</f>
        <v>WBGene00001914</v>
      </c>
      <c r="B11574" s="9" t="str">
        <f>HYPERLINK("http://www.ncbi.nlm.nih.gov/gene/13221387", "13221387")</f>
        <v>13221387</v>
      </c>
      <c r="C11574" s="9"/>
      <c r="D11574" t="str">
        <f>"his-40"</f>
        <v>his-40</v>
      </c>
      <c r="E11574" t="s">
        <v>3683</v>
      </c>
      <c r="F11574" t="s">
        <v>11</v>
      </c>
      <c r="G11574" t="s">
        <v>4520</v>
      </c>
      <c r="H11574" s="12">
        <v>1.7773304588581</v>
      </c>
      <c r="I11574" s="20">
        <v>0.92463605403933102</v>
      </c>
      <c r="J11574" s="28">
        <v>0.35515525227682099</v>
      </c>
      <c r="K11574" s="29">
        <v>0.98289565623980701</v>
      </c>
    </row>
    <row r="11575" spans="1:11" x14ac:dyDescent="0.35">
      <c r="A11575" s="9" t="str">
        <f>HYPERLINK("http://www.ensembl.org/id/WBGene00001916", "WBGene00001916")</f>
        <v>WBGene00001916</v>
      </c>
      <c r="B11575" s="9" t="str">
        <f>HYPERLINK("http://www.ncbi.nlm.nih.gov/gene/184200", "184200")</f>
        <v>184200</v>
      </c>
      <c r="C11575" s="9" t="str">
        <f>HYPERLINK("http://www.ncbi.nlm.nih.gov/gene/8356", "8356")</f>
        <v>8356</v>
      </c>
      <c r="D11575" t="str">
        <f>"his-42"</f>
        <v>his-42</v>
      </c>
      <c r="E11575" t="s">
        <v>3683</v>
      </c>
      <c r="F11575" t="s">
        <v>11</v>
      </c>
      <c r="G11575" t="s">
        <v>232</v>
      </c>
      <c r="H11575" s="12">
        <v>8.2649575747348294</v>
      </c>
      <c r="I11575" s="20">
        <v>1.1502040260477699</v>
      </c>
      <c r="J11575" s="28">
        <v>0.25005984840640899</v>
      </c>
      <c r="K11575" s="29">
        <v>0.98289565623980701</v>
      </c>
    </row>
    <row r="11576" spans="1:11" x14ac:dyDescent="0.35">
      <c r="A11576" s="9" t="str">
        <f>HYPERLINK("http://www.ensembl.org/id/WBGene00001919", "WBGene00001919")</f>
        <v>WBGene00001919</v>
      </c>
      <c r="B11576" s="9" t="str">
        <f>HYPERLINK("http://www.ncbi.nlm.nih.gov/gene/181821", "181821")</f>
        <v>181821</v>
      </c>
      <c r="C11576" s="9" t="str">
        <f>HYPERLINK("http://www.ncbi.nlm.nih.gov/gene/8356", "8356")</f>
        <v>8356</v>
      </c>
      <c r="D11576" t="str">
        <f>"his-45"</f>
        <v>his-45</v>
      </c>
      <c r="E11576" t="s">
        <v>3683</v>
      </c>
      <c r="F11576" t="s">
        <v>11</v>
      </c>
      <c r="G11576" t="s">
        <v>232</v>
      </c>
      <c r="H11576" s="12">
        <v>6.9414640836418</v>
      </c>
      <c r="I11576" s="20">
        <v>0.76143035325409303</v>
      </c>
      <c r="J11576" s="28">
        <v>0.44640006347612299</v>
      </c>
      <c r="K11576" s="29">
        <v>0.98289565623980701</v>
      </c>
    </row>
    <row r="11577" spans="1:11" x14ac:dyDescent="0.35">
      <c r="A11577" s="9" t="str">
        <f>HYPERLINK("http://www.ensembl.org/id/WBGene00001921", "WBGene00001921")</f>
        <v>WBGene00001921</v>
      </c>
      <c r="B11577" s="9" t="str">
        <f>HYPERLINK("http://www.ncbi.nlm.nih.gov/gene/178048", "178048")</f>
        <v>178048</v>
      </c>
      <c r="C11577" s="9" t="str">
        <f>HYPERLINK("http://www.ncbi.nlm.nih.gov/gene/8338", "8338")</f>
        <v>8338</v>
      </c>
      <c r="D11577" t="str">
        <f>"his-47"</f>
        <v>his-47</v>
      </c>
      <c r="E11577" t="s">
        <v>1912</v>
      </c>
      <c r="F11577" t="s">
        <v>11</v>
      </c>
      <c r="G11577" t="s">
        <v>232</v>
      </c>
      <c r="H11577" s="12">
        <v>-4.0028090009020003</v>
      </c>
      <c r="I11577" s="20">
        <v>-0.64690540822216303</v>
      </c>
      <c r="J11577" s="28">
        <v>0.51769316539625299</v>
      </c>
      <c r="K11577" s="29">
        <v>0.98289565623980701</v>
      </c>
    </row>
    <row r="11578" spans="1:11" x14ac:dyDescent="0.35">
      <c r="A11578" s="9" t="str">
        <f>HYPERLINK("http://www.ensembl.org/id/WBGene00001879", "WBGene00001879")</f>
        <v>WBGene00001879</v>
      </c>
      <c r="B11578" s="9" t="str">
        <f>HYPERLINK("http://www.ncbi.nlm.nih.gov/gene/179233", "179233")</f>
        <v>179233</v>
      </c>
      <c r="C11578" s="9" t="str">
        <f>HYPERLINK("http://www.ncbi.nlm.nih.gov/gene/121504", "121504")</f>
        <v>121504</v>
      </c>
      <c r="D11578" t="str">
        <f>"his-5"</f>
        <v>his-5</v>
      </c>
      <c r="E11578" t="s">
        <v>2675</v>
      </c>
      <c r="F11578" t="s">
        <v>11</v>
      </c>
      <c r="G11578" t="s">
        <v>232</v>
      </c>
      <c r="H11578" s="12">
        <v>2.7172125173152</v>
      </c>
      <c r="I11578" s="20">
        <v>0.98725421325681195</v>
      </c>
      <c r="J11578" s="28">
        <v>0.32351803067485302</v>
      </c>
      <c r="K11578" s="29">
        <v>0.98289565623980701</v>
      </c>
    </row>
    <row r="11579" spans="1:11" x14ac:dyDescent="0.35">
      <c r="A11579" s="9" t="str">
        <f>HYPERLINK("http://www.ensembl.org/id/WBGene00001929", "WBGene00001929")</f>
        <v>WBGene00001929</v>
      </c>
      <c r="B11579" s="9" t="str">
        <f>HYPERLINK("http://www.ncbi.nlm.nih.gov/gene/186250", "186250")</f>
        <v>186250</v>
      </c>
      <c r="C11579" s="9" t="str">
        <f>HYPERLINK("http://www.ncbi.nlm.nih.gov/gene/8356", "8356")</f>
        <v>8356</v>
      </c>
      <c r="D11579" t="str">
        <f>"his-55"</f>
        <v>his-55</v>
      </c>
      <c r="E11579" t="s">
        <v>3683</v>
      </c>
      <c r="F11579" t="s">
        <v>11</v>
      </c>
      <c r="G11579" t="s">
        <v>232</v>
      </c>
      <c r="H11579" s="12">
        <v>2.3893468495514898</v>
      </c>
      <c r="I11579" s="20">
        <v>0.25323547253672701</v>
      </c>
      <c r="J11579" s="28">
        <v>0.80008625651646104</v>
      </c>
      <c r="K11579" s="29">
        <v>0.98289565623980701</v>
      </c>
    </row>
    <row r="11580" spans="1:11" x14ac:dyDescent="0.35">
      <c r="A11580" s="9" t="str">
        <f>HYPERLINK("http://www.ensembl.org/id/WBGene00001880", "WBGene00001880")</f>
        <v>WBGene00001880</v>
      </c>
      <c r="B11580" s="9" t="str">
        <f>HYPERLINK("http://www.ncbi.nlm.nih.gov/gene/191668", "191668")</f>
        <v>191668</v>
      </c>
      <c r="C11580" s="9" t="str">
        <f>HYPERLINK("http://www.ncbi.nlm.nih.gov/gene/8356", "8356")</f>
        <v>8356</v>
      </c>
      <c r="D11580" t="str">
        <f>"his-6"</f>
        <v>his-6</v>
      </c>
      <c r="E11580" t="s">
        <v>3683</v>
      </c>
      <c r="F11580" t="s">
        <v>11</v>
      </c>
      <c r="G11580" t="s">
        <v>232</v>
      </c>
      <c r="H11580" s="12">
        <v>-1.2008704696813399</v>
      </c>
      <c r="I11580" s="20">
        <v>-0.27553087782588798</v>
      </c>
      <c r="J11580" s="28">
        <v>0.78290840643267201</v>
      </c>
      <c r="K11580" s="29">
        <v>0.98289565623980701</v>
      </c>
    </row>
    <row r="11581" spans="1:11" x14ac:dyDescent="0.35">
      <c r="A11581" s="9" t="str">
        <f>HYPERLINK("http://www.ensembl.org/id/WBGene00001934", "WBGene00001934")</f>
        <v>WBGene00001934</v>
      </c>
      <c r="B11581" s="9" t="str">
        <f>HYPERLINK("http://www.ncbi.nlm.nih.gov/gene/177522", "177522")</f>
        <v>177522</v>
      </c>
      <c r="C11581" s="9" t="str">
        <f>HYPERLINK("http://www.ncbi.nlm.nih.gov/gene/8360", "8360")</f>
        <v>8360</v>
      </c>
      <c r="D11581" t="str">
        <f>"his-60"</f>
        <v>his-60</v>
      </c>
      <c r="E11581" t="s">
        <v>2675</v>
      </c>
      <c r="F11581" t="s">
        <v>11</v>
      </c>
      <c r="G11581" t="s">
        <v>232</v>
      </c>
      <c r="H11581" s="12">
        <v>-1.2225057085145501</v>
      </c>
      <c r="I11581" s="20">
        <v>-0.58236263232100105</v>
      </c>
      <c r="J11581" s="28">
        <v>0.560322445959334</v>
      </c>
      <c r="K11581" s="29">
        <v>0.98289565623980701</v>
      </c>
    </row>
    <row r="11582" spans="1:11" x14ac:dyDescent="0.35">
      <c r="A11582" s="9" t="str">
        <f>HYPERLINK("http://www.ensembl.org/id/WBGene00001937", "WBGene00001937")</f>
        <v>WBGene00001937</v>
      </c>
      <c r="B11582" s="9" t="str">
        <f>HYPERLINK("http://www.ncbi.nlm.nih.gov/gene/184804", "184804")</f>
        <v>184804</v>
      </c>
      <c r="C11582" s="9" t="str">
        <f>HYPERLINK("http://www.ncbi.nlm.nih.gov/gene/8356", "8356")</f>
        <v>8356</v>
      </c>
      <c r="D11582" t="str">
        <f>"his-63"</f>
        <v>his-63</v>
      </c>
      <c r="E11582" t="s">
        <v>3683</v>
      </c>
      <c r="F11582" t="s">
        <v>11</v>
      </c>
      <c r="G11582" t="s">
        <v>232</v>
      </c>
      <c r="H11582" s="12">
        <v>2.9568978168282301</v>
      </c>
      <c r="I11582" s="20">
        <v>1.00275955060753</v>
      </c>
      <c r="J11582" s="28">
        <v>0.31597688957687198</v>
      </c>
      <c r="K11582" s="29">
        <v>0.98289565623980701</v>
      </c>
    </row>
    <row r="11583" spans="1:11" x14ac:dyDescent="0.35">
      <c r="A11583" s="9" t="str">
        <f>HYPERLINK("http://www.ensembl.org/id/WBGene00001938", "WBGene00001938")</f>
        <v>WBGene00001938</v>
      </c>
      <c r="B11583" s="9" t="str">
        <f>HYPERLINK("http://www.ncbi.nlm.nih.gov/gene/178066", "178066")</f>
        <v>178066</v>
      </c>
      <c r="C11583" s="9" t="str">
        <f>HYPERLINK("http://www.ncbi.nlm.nih.gov/gene/8370", "8370")</f>
        <v>8370</v>
      </c>
      <c r="D11583" t="str">
        <f>"his-64"</f>
        <v>his-64</v>
      </c>
      <c r="E11583" t="s">
        <v>2675</v>
      </c>
      <c r="F11583" t="s">
        <v>11</v>
      </c>
      <c r="G11583" t="s">
        <v>232</v>
      </c>
      <c r="H11583" s="12">
        <v>1.5636969604748501</v>
      </c>
      <c r="I11583" s="20">
        <v>0.44909397556717601</v>
      </c>
      <c r="J11583" s="28">
        <v>0.65336386615516095</v>
      </c>
      <c r="K11583" s="29">
        <v>0.98289565623980701</v>
      </c>
    </row>
    <row r="11584" spans="1:11" x14ac:dyDescent="0.35">
      <c r="A11584" s="9" t="str">
        <f>HYPERLINK("http://www.ensembl.org/id/WBGene00001939", "WBGene00001939")</f>
        <v>WBGene00001939</v>
      </c>
      <c r="B11584" s="9" t="str">
        <f>HYPERLINK("http://www.ncbi.nlm.nih.gov/gene/186671", "186671")</f>
        <v>186671</v>
      </c>
      <c r="C11584" s="9" t="str">
        <f>HYPERLINK("http://www.ncbi.nlm.nih.gov/gene/8338", "8338")</f>
        <v>8338</v>
      </c>
      <c r="D11584" t="str">
        <f>"his-65"</f>
        <v>his-65</v>
      </c>
      <c r="E11584" t="s">
        <v>1912</v>
      </c>
      <c r="F11584" t="s">
        <v>11</v>
      </c>
      <c r="G11584" t="s">
        <v>232</v>
      </c>
      <c r="H11584" s="12">
        <v>1.86100415630358</v>
      </c>
      <c r="I11584" s="20">
        <v>0.383335467982093</v>
      </c>
      <c r="J11584" s="28">
        <v>0.70147104441538799</v>
      </c>
      <c r="K11584" s="29">
        <v>0.98289565623980701</v>
      </c>
    </row>
    <row r="11585" spans="1:11" x14ac:dyDescent="0.35">
      <c r="A11585" s="9" t="str">
        <f>HYPERLINK("http://www.ensembl.org/id/WBGene00001941", "WBGene00001941")</f>
        <v>WBGene00001941</v>
      </c>
      <c r="B11585" s="9" t="str">
        <f>HYPERLINK("http://www.ncbi.nlm.nih.gov/gene/188792", "188792")</f>
        <v>188792</v>
      </c>
      <c r="C11585" s="9" t="str">
        <f>HYPERLINK("http://www.ncbi.nlm.nih.gov/gene/8359", "8359")</f>
        <v>8359</v>
      </c>
      <c r="D11585" t="str">
        <f>"his-67"</f>
        <v>his-67</v>
      </c>
      <c r="E11585" t="s">
        <v>2675</v>
      </c>
      <c r="F11585" t="s">
        <v>11</v>
      </c>
      <c r="G11585" t="s">
        <v>232</v>
      </c>
      <c r="H11585" s="12">
        <v>1.86640031246184</v>
      </c>
      <c r="I11585" s="20">
        <v>1.13746782168204</v>
      </c>
      <c r="J11585" s="28">
        <v>0.255342769046772</v>
      </c>
      <c r="K11585" s="29">
        <v>0.98289565623980701</v>
      </c>
    </row>
    <row r="11586" spans="1:11" x14ac:dyDescent="0.35">
      <c r="A11586" s="9" t="str">
        <f>HYPERLINK("http://www.ensembl.org/id/WBGene00001943", "WBGene00001943")</f>
        <v>WBGene00001943</v>
      </c>
      <c r="B11586" s="9" t="str">
        <f>HYPERLINK("http://www.ncbi.nlm.nih.gov/gene/184005", "184005")</f>
        <v>184005</v>
      </c>
      <c r="C11586" s="9"/>
      <c r="D11586" t="str">
        <f>"his-69"</f>
        <v>his-69</v>
      </c>
      <c r="E11586" t="s">
        <v>4667</v>
      </c>
      <c r="F11586" t="s">
        <v>11</v>
      </c>
      <c r="G11586" t="s">
        <v>232</v>
      </c>
      <c r="H11586" s="12">
        <v>1.5137552419337801</v>
      </c>
      <c r="I11586" s="20">
        <v>0.27459812003292899</v>
      </c>
      <c r="J11586" s="28">
        <v>0.78362501083015801</v>
      </c>
      <c r="K11586" s="29">
        <v>0.98289565623980701</v>
      </c>
    </row>
    <row r="11587" spans="1:11" x14ac:dyDescent="0.35">
      <c r="A11587" s="9" t="str">
        <f>HYPERLINK("http://www.ensembl.org/id/WBGene00001944", "WBGene00001944")</f>
        <v>WBGene00001944</v>
      </c>
      <c r="B11587" s="9" t="str">
        <f>HYPERLINK("http://www.ncbi.nlm.nih.gov/gene/184006", "184006")</f>
        <v>184006</v>
      </c>
      <c r="C11587" s="9"/>
      <c r="D11587" t="str">
        <f>"his-70"</f>
        <v>his-70</v>
      </c>
      <c r="E11587" t="s">
        <v>4245</v>
      </c>
      <c r="F11587" t="s">
        <v>11</v>
      </c>
      <c r="G11587" t="s">
        <v>232</v>
      </c>
      <c r="H11587" s="12">
        <v>6.4074059556604599</v>
      </c>
      <c r="I11587" s="20">
        <v>0.93182618901911596</v>
      </c>
      <c r="J11587" s="28">
        <v>0.35142635786048898</v>
      </c>
      <c r="K11587" s="29">
        <v>0.98289565623980701</v>
      </c>
    </row>
    <row r="11588" spans="1:11" x14ac:dyDescent="0.35">
      <c r="A11588" s="9" t="str">
        <f>HYPERLINK("http://www.ensembl.org/id/WBGene00001945", "WBGene00001945")</f>
        <v>WBGene00001945</v>
      </c>
      <c r="B11588" s="9" t="str">
        <f>HYPERLINK("http://www.ncbi.nlm.nih.gov/gene/181057", "181057")</f>
        <v>181057</v>
      </c>
      <c r="C11588" s="9" t="str">
        <f>HYPERLINK("http://www.ncbi.nlm.nih.gov/gene/440093", "440093")</f>
        <v>440093</v>
      </c>
      <c r="D11588" t="str">
        <f>"his-71"</f>
        <v>his-71</v>
      </c>
      <c r="E11588" t="s">
        <v>5865</v>
      </c>
      <c r="F11588" t="s">
        <v>11</v>
      </c>
      <c r="G11588" t="s">
        <v>232</v>
      </c>
      <c r="H11588" s="12">
        <v>1.0919001471885099</v>
      </c>
      <c r="I11588" s="20">
        <v>0.47784732640767902</v>
      </c>
      <c r="J11588" s="28">
        <v>0.63275887391115404</v>
      </c>
      <c r="K11588" s="29">
        <v>0.98289565623980701</v>
      </c>
    </row>
    <row r="11589" spans="1:11" x14ac:dyDescent="0.35">
      <c r="A11589" s="9" t="str">
        <f>HYPERLINK("http://www.ensembl.org/id/WBGene00001947", "WBGene00001947")</f>
        <v>WBGene00001947</v>
      </c>
      <c r="B11589" s="9" t="str">
        <f>HYPERLINK("http://www.ncbi.nlm.nih.gov/gene/13187664", "13187664")</f>
        <v>13187664</v>
      </c>
      <c r="C11589" s="9"/>
      <c r="D11589" t="str">
        <f>"his-73"</f>
        <v>his-73</v>
      </c>
      <c r="E11589" t="s">
        <v>4810</v>
      </c>
      <c r="F11589" t="s">
        <v>11</v>
      </c>
      <c r="G11589" t="s">
        <v>4811</v>
      </c>
      <c r="H11589" s="12">
        <v>1.3591973868026099</v>
      </c>
      <c r="I11589" s="20">
        <v>0.34192829921670398</v>
      </c>
      <c r="J11589" s="28">
        <v>0.73240485212638395</v>
      </c>
      <c r="K11589" s="29">
        <v>0.98289565623980701</v>
      </c>
    </row>
    <row r="11590" spans="1:11" x14ac:dyDescent="0.35">
      <c r="A11590" s="9" t="str">
        <f>HYPERLINK("http://www.ensembl.org/id/WBGene00001882", "WBGene00001882")</f>
        <v>WBGene00001882</v>
      </c>
      <c r="B11590" s="9" t="str">
        <f>HYPERLINK("http://www.ncbi.nlm.nih.gov/gene/191670", "191670")</f>
        <v>191670</v>
      </c>
      <c r="C11590" s="9" t="str">
        <f>HYPERLINK("http://www.ncbi.nlm.nih.gov/gene/8970", "8970")</f>
        <v>8970</v>
      </c>
      <c r="D11590" t="str">
        <f>"his-8"</f>
        <v>his-8</v>
      </c>
      <c r="E11590" t="s">
        <v>4595</v>
      </c>
      <c r="F11590" t="s">
        <v>11</v>
      </c>
      <c r="G11590" t="s">
        <v>232</v>
      </c>
      <c r="H11590" s="12">
        <v>1.63138557783824</v>
      </c>
      <c r="I11590" s="20">
        <v>0.45297140732754398</v>
      </c>
      <c r="J11590" s="28">
        <v>0.65056933060528799</v>
      </c>
      <c r="K11590" s="29">
        <v>0.98289565623980701</v>
      </c>
    </row>
    <row r="11591" spans="1:11" x14ac:dyDescent="0.35">
      <c r="A11591" s="9" t="str">
        <f>HYPERLINK("http://www.ensembl.org/id/WBGene00011904", "WBGene00011904")</f>
        <v>WBGene00011904</v>
      </c>
      <c r="B11591" s="9" t="str">
        <f>HYPERLINK("http://www.ncbi.nlm.nih.gov/gene/181499", "181499")</f>
        <v>181499</v>
      </c>
      <c r="C11591" s="9" t="str">
        <f>HYPERLINK("http://www.ncbi.nlm.nih.gov/gene/8496", "8496")</f>
        <v>8496</v>
      </c>
      <c r="D11591" t="str">
        <f>"hlb-1"</f>
        <v>hlb-1</v>
      </c>
      <c r="E11591" t="s">
        <v>5788</v>
      </c>
      <c r="F11591" t="s">
        <v>11</v>
      </c>
      <c r="G11591" t="s">
        <v>5789</v>
      </c>
      <c r="H11591" s="12">
        <v>1.1032379854505601</v>
      </c>
      <c r="I11591" s="20">
        <v>0.517686832474194</v>
      </c>
      <c r="J11591" s="28">
        <v>0.60467678681174297</v>
      </c>
      <c r="K11591" s="29">
        <v>0.98289565623980701</v>
      </c>
    </row>
    <row r="11592" spans="1:11" x14ac:dyDescent="0.35">
      <c r="A11592" s="9" t="str">
        <f>HYPERLINK("http://www.ensembl.org/id/WBGene00001948", "WBGene00001948")</f>
        <v>WBGene00001948</v>
      </c>
      <c r="B11592" s="9" t="str">
        <f>HYPERLINK("http://www.ncbi.nlm.nih.gov/gene/173788", "173788")</f>
        <v>173788</v>
      </c>
      <c r="C11592" s="9"/>
      <c r="D11592" t="str">
        <f>"hlh-1"</f>
        <v>hlh-1</v>
      </c>
      <c r="E11592" t="s">
        <v>5918</v>
      </c>
      <c r="F11592" t="s">
        <v>11</v>
      </c>
      <c r="G11592" t="s">
        <v>5919</v>
      </c>
      <c r="H11592" s="12">
        <v>1.0844057704899599</v>
      </c>
      <c r="I11592" s="20">
        <v>0.310088910966349</v>
      </c>
      <c r="J11592" s="28">
        <v>0.75649334470256002</v>
      </c>
      <c r="K11592" s="29">
        <v>0.98289565623980701</v>
      </c>
    </row>
    <row r="11593" spans="1:11" x14ac:dyDescent="0.35">
      <c r="A11593" s="9" t="str">
        <f>HYPERLINK("http://www.ensembl.org/id/WBGene00001955", "WBGene00001955")</f>
        <v>WBGene00001955</v>
      </c>
      <c r="B11593" s="9" t="str">
        <f>HYPERLINK("http://www.ncbi.nlm.nih.gov/gene/176360", "176360")</f>
        <v>176360</v>
      </c>
      <c r="C11593" s="9"/>
      <c r="D11593" t="str">
        <f>"hlh-11"</f>
        <v>hlh-11</v>
      </c>
      <c r="E11593" t="s">
        <v>6507</v>
      </c>
      <c r="F11593" t="s">
        <v>11</v>
      </c>
      <c r="G11593" t="s">
        <v>1659</v>
      </c>
      <c r="H11593" s="12">
        <v>-1.07251672399964</v>
      </c>
      <c r="I11593" s="20">
        <v>-0.37623999217452803</v>
      </c>
      <c r="J11593" s="28">
        <v>0.70673848645359305</v>
      </c>
      <c r="K11593" s="29">
        <v>0.98289565623980701</v>
      </c>
    </row>
    <row r="11594" spans="1:11" x14ac:dyDescent="0.35">
      <c r="A11594" s="9" t="str">
        <f>HYPERLINK("http://www.ensembl.org/id/WBGene00001956", "WBGene00001956")</f>
        <v>WBGene00001956</v>
      </c>
      <c r="B11594" s="9" t="str">
        <f>HYPERLINK("http://www.ncbi.nlm.nih.gov/gene/182980", "182980")</f>
        <v>182980</v>
      </c>
      <c r="C11594" s="9"/>
      <c r="D11594" t="str">
        <f>"hlh-12"</f>
        <v>hlh-12</v>
      </c>
      <c r="E11594" t="s">
        <v>1658</v>
      </c>
      <c r="F11594" t="s">
        <v>11</v>
      </c>
      <c r="G11594" t="s">
        <v>10018</v>
      </c>
      <c r="H11594" s="12">
        <v>-1.76342456584092</v>
      </c>
      <c r="I11594" s="20">
        <v>-0.50013430266415604</v>
      </c>
      <c r="J11594" s="28">
        <v>0.61698051400464105</v>
      </c>
      <c r="K11594" s="29">
        <v>0.98289565623980701</v>
      </c>
    </row>
    <row r="11595" spans="1:11" x14ac:dyDescent="0.35">
      <c r="A11595" s="9" t="str">
        <f>HYPERLINK("http://www.ensembl.org/id/WBGene00001958", "WBGene00001958")</f>
        <v>WBGene00001958</v>
      </c>
      <c r="B11595" s="9" t="str">
        <f>HYPERLINK("http://www.ncbi.nlm.nih.gov/gene/182758", "182758")</f>
        <v>182758</v>
      </c>
      <c r="C11595" s="9"/>
      <c r="D11595" t="str">
        <f>"hlh-14"</f>
        <v>hlh-14</v>
      </c>
      <c r="E11595" t="s">
        <v>1658</v>
      </c>
      <c r="F11595" t="s">
        <v>11</v>
      </c>
      <c r="G11595" t="s">
        <v>4733</v>
      </c>
      <c r="H11595" s="12">
        <v>1.43508877301986</v>
      </c>
      <c r="I11595" s="20">
        <v>1.0058109726609601</v>
      </c>
      <c r="J11595" s="28">
        <v>0.31450650801015201</v>
      </c>
      <c r="K11595" s="29">
        <v>0.98289565623980701</v>
      </c>
    </row>
    <row r="11596" spans="1:11" x14ac:dyDescent="0.35">
      <c r="A11596" s="9" t="str">
        <f>HYPERLINK("http://www.ensembl.org/id/WBGene00001959", "WBGene00001959")</f>
        <v>WBGene00001959</v>
      </c>
      <c r="B11596" s="9" t="str">
        <f>HYPERLINK("http://www.ncbi.nlm.nih.gov/gene/183427", "183427")</f>
        <v>183427</v>
      </c>
      <c r="C11596" s="9"/>
      <c r="D11596" t="str">
        <f>"hlh-15"</f>
        <v>hlh-15</v>
      </c>
      <c r="E11596" t="s">
        <v>1658</v>
      </c>
      <c r="F11596" t="s">
        <v>11</v>
      </c>
      <c r="G11596" t="s">
        <v>9975</v>
      </c>
      <c r="H11596" s="12">
        <v>-1.5277601539055801</v>
      </c>
      <c r="I11596" s="20">
        <v>-0.368466405316416</v>
      </c>
      <c r="J11596" s="28">
        <v>0.71252549045040103</v>
      </c>
      <c r="K11596" s="29">
        <v>0.98289565623980701</v>
      </c>
    </row>
    <row r="11597" spans="1:11" x14ac:dyDescent="0.35">
      <c r="A11597" s="9" t="str">
        <f>HYPERLINK("http://www.ensembl.org/id/WBGene00001949", "WBGene00001949")</f>
        <v>WBGene00001949</v>
      </c>
      <c r="B11597" s="9" t="str">
        <f>HYPERLINK("http://www.ncbi.nlm.nih.gov/gene/172458", "172458")</f>
        <v>172458</v>
      </c>
      <c r="C11597" s="9"/>
      <c r="D11597" t="str">
        <f>"hlh-2"</f>
        <v>hlh-2</v>
      </c>
      <c r="E11597" t="s">
        <v>1658</v>
      </c>
      <c r="F11597" t="s">
        <v>11</v>
      </c>
      <c r="G11597" t="s">
        <v>5428</v>
      </c>
      <c r="H11597" s="12">
        <v>1.1656868361875601</v>
      </c>
      <c r="I11597" s="20">
        <v>0.67567299038511397</v>
      </c>
      <c r="J11597" s="28">
        <v>0.49924828815583999</v>
      </c>
      <c r="K11597" s="29">
        <v>0.98289565623980701</v>
      </c>
    </row>
    <row r="11598" spans="1:11" x14ac:dyDescent="0.35">
      <c r="A11598" s="9" t="str">
        <f>HYPERLINK("http://www.ensembl.org/id/WBGene00001964", "WBGene00001964")</f>
        <v>WBGene00001964</v>
      </c>
      <c r="B11598" s="9" t="str">
        <f>HYPERLINK("http://www.ncbi.nlm.nih.gov/gene/182717", "182717")</f>
        <v>182717</v>
      </c>
      <c r="C11598" s="9"/>
      <c r="D11598" t="str">
        <f>"hlh-25"</f>
        <v>hlh-25</v>
      </c>
      <c r="E11598" t="s">
        <v>1658</v>
      </c>
      <c r="F11598" t="s">
        <v>11</v>
      </c>
      <c r="G11598" t="s">
        <v>4261</v>
      </c>
      <c r="H11598" s="12">
        <v>-1.43664284847091</v>
      </c>
      <c r="I11598" s="20">
        <v>-0.29457691138584902</v>
      </c>
      <c r="J11598" s="28">
        <v>0.76831710195818903</v>
      </c>
      <c r="K11598" s="29">
        <v>0.98289565623980701</v>
      </c>
    </row>
    <row r="11599" spans="1:11" x14ac:dyDescent="0.35">
      <c r="A11599" s="9" t="str">
        <f>HYPERLINK("http://www.ensembl.org/id/WBGene00001965", "WBGene00001965")</f>
        <v>WBGene00001965</v>
      </c>
      <c r="B11599" s="9" t="str">
        <f>HYPERLINK("http://www.ncbi.nlm.nih.gov/gene/173939", "173939")</f>
        <v>173939</v>
      </c>
      <c r="C11599" s="9"/>
      <c r="D11599" t="str">
        <f>"hlh-26"</f>
        <v>hlh-26</v>
      </c>
      <c r="E11599" t="s">
        <v>4354</v>
      </c>
      <c r="F11599" t="s">
        <v>11</v>
      </c>
      <c r="G11599" t="s">
        <v>1659</v>
      </c>
      <c r="H11599" s="12">
        <v>2.7635530345558701</v>
      </c>
      <c r="I11599" s="20">
        <v>0.58974647334999897</v>
      </c>
      <c r="J11599" s="28">
        <v>0.55536063317693596</v>
      </c>
      <c r="K11599" s="29">
        <v>0.98289565623980701</v>
      </c>
    </row>
    <row r="11600" spans="1:11" x14ac:dyDescent="0.35">
      <c r="A11600" s="9" t="str">
        <f>HYPERLINK("http://www.ensembl.org/id/WBGene00001966", "WBGene00001966")</f>
        <v>WBGene00001966</v>
      </c>
      <c r="B11600" s="9" t="str">
        <f>HYPERLINK("http://www.ncbi.nlm.nih.gov/gene/182719", "182719")</f>
        <v>182719</v>
      </c>
      <c r="C11600" s="9"/>
      <c r="D11600" t="str">
        <f>"hlh-27"</f>
        <v>hlh-27</v>
      </c>
      <c r="E11600" t="s">
        <v>1658</v>
      </c>
      <c r="F11600" t="s">
        <v>11</v>
      </c>
      <c r="G11600" t="s">
        <v>4261</v>
      </c>
      <c r="H11600" s="12">
        <v>1.53590824200043</v>
      </c>
      <c r="I11600" s="20">
        <v>0.34066726543394099</v>
      </c>
      <c r="J11600" s="28">
        <v>0.73335408449674799</v>
      </c>
      <c r="K11600" s="29">
        <v>0.98289565623980701</v>
      </c>
    </row>
    <row r="11601" spans="1:11" x14ac:dyDescent="0.35">
      <c r="A11601" s="9" t="str">
        <f>HYPERLINK("http://www.ensembl.org/id/WBGene00001967", "WBGene00001967")</f>
        <v>WBGene00001967</v>
      </c>
      <c r="B11601" s="9" t="str">
        <f>HYPERLINK("http://www.ncbi.nlm.nih.gov/gene/185134", "185134")</f>
        <v>185134</v>
      </c>
      <c r="C11601" s="9"/>
      <c r="D11601" t="str">
        <f>"hlh-28"</f>
        <v>hlh-28</v>
      </c>
      <c r="E11601" t="s">
        <v>1658</v>
      </c>
      <c r="F11601" t="s">
        <v>11</v>
      </c>
      <c r="G11601" t="s">
        <v>4261</v>
      </c>
      <c r="H11601" s="12">
        <v>5.2322000618327396</v>
      </c>
      <c r="I11601" s="20">
        <v>0.486112489888328</v>
      </c>
      <c r="J11601" s="28">
        <v>0.62688741196182496</v>
      </c>
      <c r="K11601" s="29">
        <v>0.98289565623980701</v>
      </c>
    </row>
    <row r="11602" spans="1:11" x14ac:dyDescent="0.35">
      <c r="A11602" s="9" t="str">
        <f>HYPERLINK("http://www.ensembl.org/id/WBGene00020930", "WBGene00020930")</f>
        <v>WBGene00020930</v>
      </c>
      <c r="B11602" s="9" t="str">
        <f>HYPERLINK("http://www.ncbi.nlm.nih.gov/gene/177157", "177157")</f>
        <v>177157</v>
      </c>
      <c r="C11602" s="9"/>
      <c r="D11602" t="str">
        <f>"hlh-30"</f>
        <v>hlh-30</v>
      </c>
      <c r="E11602" t="s">
        <v>1658</v>
      </c>
      <c r="F11602" t="s">
        <v>11</v>
      </c>
      <c r="G11602" t="s">
        <v>6154</v>
      </c>
      <c r="H11602" s="12">
        <v>-1.0468786939111301</v>
      </c>
      <c r="I11602" s="20">
        <v>-0.25633904930933399</v>
      </c>
      <c r="J11602" s="28">
        <v>0.79768904728172196</v>
      </c>
      <c r="K11602" s="29">
        <v>0.98289565623980701</v>
      </c>
    </row>
    <row r="11603" spans="1:11" x14ac:dyDescent="0.35">
      <c r="A11603" s="9" t="str">
        <f>HYPERLINK("http://www.ensembl.org/id/WBGene00009540", "WBGene00009540")</f>
        <v>WBGene00009540</v>
      </c>
      <c r="B11603" s="9" t="str">
        <f>HYPERLINK("http://www.ncbi.nlm.nih.gov/gene/3565632", "3565632")</f>
        <v>3565632</v>
      </c>
      <c r="C11603" s="9"/>
      <c r="D11603" t="str">
        <f>"hlh-31"</f>
        <v>hlh-31</v>
      </c>
      <c r="E11603" t="s">
        <v>1658</v>
      </c>
      <c r="F11603" t="s">
        <v>11</v>
      </c>
      <c r="G11603" t="s">
        <v>2971</v>
      </c>
      <c r="H11603" s="12">
        <v>5.2954185682811996</v>
      </c>
      <c r="I11603" s="20">
        <v>0.58847157202951395</v>
      </c>
      <c r="J11603" s="28">
        <v>0.55621580972939799</v>
      </c>
      <c r="K11603" s="29">
        <v>0.98289565623980701</v>
      </c>
    </row>
    <row r="11604" spans="1:11" x14ac:dyDescent="0.35">
      <c r="A11604" s="9" t="str">
        <f>HYPERLINK("http://www.ensembl.org/id/WBGene00013665", "WBGene00013665")</f>
        <v>WBGene00013665</v>
      </c>
      <c r="B11604" s="9" t="str">
        <f>HYPERLINK("http://www.ncbi.nlm.nih.gov/gene/3565279", "3565279")</f>
        <v>3565279</v>
      </c>
      <c r="C11604" s="9"/>
      <c r="D11604" t="str">
        <f>"hlh-32"</f>
        <v>hlh-32</v>
      </c>
      <c r="E11604" t="s">
        <v>1658</v>
      </c>
      <c r="F11604" t="s">
        <v>11</v>
      </c>
      <c r="G11604" t="s">
        <v>2971</v>
      </c>
      <c r="H11604" s="12">
        <v>1.64701045208779</v>
      </c>
      <c r="I11604" s="20">
        <v>0.99090001584089504</v>
      </c>
      <c r="J11604" s="28">
        <v>0.321734404631982</v>
      </c>
      <c r="K11604" s="29">
        <v>0.98289565623980701</v>
      </c>
    </row>
    <row r="11605" spans="1:11" x14ac:dyDescent="0.35">
      <c r="A11605" s="9" t="str">
        <f>HYPERLINK("http://www.ensembl.org/id/WBGene00011327", "WBGene00011327")</f>
        <v>WBGene00011327</v>
      </c>
      <c r="B11605" s="9" t="str">
        <f>HYPERLINK("http://www.ncbi.nlm.nih.gov/gene/179860", "179860")</f>
        <v>179860</v>
      </c>
      <c r="C11605" s="9"/>
      <c r="D11605" t="str">
        <f>"hlh-34"</f>
        <v>hlh-34</v>
      </c>
      <c r="E11605" t="s">
        <v>4258</v>
      </c>
      <c r="F11605" t="s">
        <v>11</v>
      </c>
      <c r="G11605" t="s">
        <v>4259</v>
      </c>
      <c r="H11605" s="12">
        <v>5.2765496263370704</v>
      </c>
      <c r="I11605" s="20">
        <v>1.1841835283537401</v>
      </c>
      <c r="J11605" s="28">
        <v>0.23634042097079699</v>
      </c>
      <c r="K11605" s="29">
        <v>0.98289565623980701</v>
      </c>
    </row>
    <row r="11606" spans="1:11" x14ac:dyDescent="0.35">
      <c r="A11606" s="9" t="str">
        <f>HYPERLINK("http://www.ensembl.org/id/WBGene00001951", "WBGene00001951")</f>
        <v>WBGene00001951</v>
      </c>
      <c r="B11606" s="9" t="str">
        <f>HYPERLINK("http://www.ncbi.nlm.nih.gov/gene/176372", "176372")</f>
        <v>176372</v>
      </c>
      <c r="C11606" s="9"/>
      <c r="D11606" t="str">
        <f>"hlh-4"</f>
        <v>hlh-4</v>
      </c>
      <c r="E11606" t="s">
        <v>9951</v>
      </c>
      <c r="F11606" t="s">
        <v>11</v>
      </c>
      <c r="G11606" t="s">
        <v>5137</v>
      </c>
      <c r="H11606" s="12">
        <v>-1.46043395034177</v>
      </c>
      <c r="I11606" s="20">
        <v>-0.35580509477512101</v>
      </c>
      <c r="J11606" s="28">
        <v>0.72198653337486696</v>
      </c>
      <c r="K11606" s="29">
        <v>0.98289565623980701</v>
      </c>
    </row>
    <row r="11607" spans="1:11" x14ac:dyDescent="0.35">
      <c r="A11607" s="9" t="str">
        <f>HYPERLINK("http://www.ensembl.org/id/WBGene00001952", "WBGene00001952")</f>
        <v>WBGene00001952</v>
      </c>
      <c r="B11607" s="9" t="str">
        <f>HYPERLINK("http://www.ncbi.nlm.nih.gov/gene/188539", "188539")</f>
        <v>188539</v>
      </c>
      <c r="C11607" s="9"/>
      <c r="D11607" t="str">
        <f>"hlh-6"</f>
        <v>hlh-6</v>
      </c>
      <c r="E11607" t="s">
        <v>5136</v>
      </c>
      <c r="F11607" t="s">
        <v>11</v>
      </c>
      <c r="G11607" t="s">
        <v>5137</v>
      </c>
      <c r="H11607" s="12">
        <v>1.2327576353919301</v>
      </c>
      <c r="I11607" s="20">
        <v>0.408413677406117</v>
      </c>
      <c r="J11607" s="28">
        <v>0.68296999363506505</v>
      </c>
      <c r="K11607" s="29">
        <v>0.98289565623980701</v>
      </c>
    </row>
    <row r="11608" spans="1:11" x14ac:dyDescent="0.35">
      <c r="A11608" s="9" t="str">
        <f>HYPERLINK("http://www.ensembl.org/id/WBGene00018786", "WBGene00018786")</f>
        <v>WBGene00018786</v>
      </c>
      <c r="B11608" s="9" t="str">
        <f>HYPERLINK("http://www.ncbi.nlm.nih.gov/gene/171679", "171679")</f>
        <v>171679</v>
      </c>
      <c r="C11608" s="9" t="str">
        <f>HYPERLINK("http://www.ncbi.nlm.nih.gov/gene/79618", "79618")</f>
        <v>79618</v>
      </c>
      <c r="D11608" t="str">
        <f>"hmbx-1"</f>
        <v>hmbx-1</v>
      </c>
      <c r="E11608" t="s">
        <v>5959</v>
      </c>
      <c r="F11608" t="s">
        <v>11</v>
      </c>
      <c r="G11608" t="s">
        <v>5960</v>
      </c>
      <c r="H11608" s="12">
        <v>1.0801263474085101</v>
      </c>
      <c r="I11608" s="20">
        <v>0.29782834822131499</v>
      </c>
      <c r="J11608" s="28">
        <v>0.765834177087928</v>
      </c>
      <c r="K11608" s="29">
        <v>0.98289565623980701</v>
      </c>
    </row>
    <row r="11609" spans="1:11" x14ac:dyDescent="0.35">
      <c r="A11609" s="9" t="str">
        <f>HYPERLINK("http://www.ensembl.org/id/WBGene00001971", "WBGene00001971")</f>
        <v>WBGene00001971</v>
      </c>
      <c r="B11609" s="9" t="str">
        <f>HYPERLINK("http://www.ncbi.nlm.nih.gov/gene/175081", "175081")</f>
        <v>175081</v>
      </c>
      <c r="C11609" s="9"/>
      <c r="D11609" t="str">
        <f>"hmg-1.1"</f>
        <v>hmg-1.1</v>
      </c>
      <c r="E11609" t="s">
        <v>5376</v>
      </c>
      <c r="F11609" t="s">
        <v>11</v>
      </c>
      <c r="G11609" t="s">
        <v>5377</v>
      </c>
      <c r="H11609" s="12">
        <v>1.1804423057829401</v>
      </c>
      <c r="I11609" s="20">
        <v>0.84350524243032998</v>
      </c>
      <c r="J11609" s="28">
        <v>0.3989459350433</v>
      </c>
      <c r="K11609" s="29">
        <v>0.98289565623980701</v>
      </c>
    </row>
    <row r="11610" spans="1:11" x14ac:dyDescent="0.35">
      <c r="A11610" s="9" t="str">
        <f>HYPERLINK("http://www.ensembl.org/id/WBGene00001972", "WBGene00001972")</f>
        <v>WBGene00001972</v>
      </c>
      <c r="B11610" s="9" t="str">
        <f>HYPERLINK("http://www.ncbi.nlm.nih.gov/gene/175890", "175890")</f>
        <v>175890</v>
      </c>
      <c r="C11610" s="9" t="str">
        <f>HYPERLINK("http://www.ncbi.nlm.nih.gov/gene/3148", "3148")</f>
        <v>3148</v>
      </c>
      <c r="D11610" t="str">
        <f>"hmg-1.2"</f>
        <v>hmg-1.2</v>
      </c>
      <c r="E11610" t="s">
        <v>6784</v>
      </c>
      <c r="F11610" t="s">
        <v>11</v>
      </c>
      <c r="H11610" s="12">
        <v>-1.0888755243435999</v>
      </c>
      <c r="I11610" s="20">
        <v>-0.469354633161364</v>
      </c>
      <c r="J11610" s="28">
        <v>0.63881617022617898</v>
      </c>
      <c r="K11610" s="29">
        <v>0.98289565623980701</v>
      </c>
    </row>
    <row r="11611" spans="1:11" x14ac:dyDescent="0.35">
      <c r="A11611" s="9" t="str">
        <f>HYPERLINK("http://www.ensembl.org/id/WBGene00001975", "WBGene00001975")</f>
        <v>WBGene00001975</v>
      </c>
      <c r="B11611" s="9" t="str">
        <f>HYPERLINK("http://www.ncbi.nlm.nih.gov/gene/177543", "177543")</f>
        <v>177543</v>
      </c>
      <c r="C11611" s="9"/>
      <c r="D11611" t="str">
        <f>"hmg-5"</f>
        <v>hmg-5</v>
      </c>
      <c r="E11611" t="s">
        <v>2841</v>
      </c>
      <c r="F11611" t="s">
        <v>11</v>
      </c>
      <c r="G11611" t="s">
        <v>9475</v>
      </c>
      <c r="H11611" s="12">
        <v>-1.2493369166936299</v>
      </c>
      <c r="I11611" s="20">
        <v>-1.04608455260586</v>
      </c>
      <c r="J11611" s="28">
        <v>0.29552199654535199</v>
      </c>
      <c r="K11611" s="29">
        <v>0.98289565623980701</v>
      </c>
    </row>
    <row r="11612" spans="1:11" x14ac:dyDescent="0.35">
      <c r="A11612" s="9" t="str">
        <f>HYPERLINK("http://www.ensembl.org/id/WBGene00009827", "WBGene00009827")</f>
        <v>WBGene00009827</v>
      </c>
      <c r="B11612" s="9" t="str">
        <f>HYPERLINK("http://www.ncbi.nlm.nih.gov/gene/185946", "185946")</f>
        <v>185946</v>
      </c>
      <c r="C11612" s="9"/>
      <c r="D11612" t="str">
        <f>"hmg-6"</f>
        <v>hmg-6</v>
      </c>
      <c r="E11612" t="s">
        <v>2841</v>
      </c>
      <c r="F11612" t="s">
        <v>11</v>
      </c>
      <c r="H11612" s="12">
        <v>2.0533170137605898</v>
      </c>
      <c r="I11612" s="20">
        <v>1.09518522657444</v>
      </c>
      <c r="J11612" s="28">
        <v>0.273435496605413</v>
      </c>
      <c r="K11612" s="29">
        <v>0.98289565623980701</v>
      </c>
    </row>
    <row r="11613" spans="1:11" x14ac:dyDescent="0.35">
      <c r="A11613" s="9" t="str">
        <f>HYPERLINK("http://www.ensembl.org/id/WBGene00013074", "WBGene00013074")</f>
        <v>WBGene00013074</v>
      </c>
      <c r="B11613" s="9" t="str">
        <f>HYPERLINK("http://www.ncbi.nlm.nih.gov/gene/180206", "180206")</f>
        <v>180206</v>
      </c>
      <c r="C11613" s="9" t="str">
        <f>HYPERLINK("http://www.ncbi.nlm.nih.gov/gene/114134", "114134")</f>
        <v>114134</v>
      </c>
      <c r="D11613" t="str">
        <f>"hmit-1.2"</f>
        <v>hmit-1.2</v>
      </c>
      <c r="E11613" t="s">
        <v>3143</v>
      </c>
      <c r="F11613" t="s">
        <v>11</v>
      </c>
      <c r="G11613" t="s">
        <v>4456</v>
      </c>
      <c r="H11613" s="12">
        <v>2.0031440814566701</v>
      </c>
      <c r="I11613" s="20">
        <v>1.14426048582755</v>
      </c>
      <c r="J11613" s="28">
        <v>0.25251562524075299</v>
      </c>
      <c r="K11613" s="29">
        <v>0.98289565623980701</v>
      </c>
    </row>
    <row r="11614" spans="1:11" x14ac:dyDescent="0.35">
      <c r="A11614" s="9" t="str">
        <f>HYPERLINK("http://www.ensembl.org/id/WBGene00001978", "WBGene00001978")</f>
        <v>WBGene00001978</v>
      </c>
      <c r="B11614" s="9" t="str">
        <f>HYPERLINK("http://www.ncbi.nlm.nih.gov/gene/179624", "179624")</f>
        <v>179624</v>
      </c>
      <c r="C11614" s="9" t="str">
        <f>HYPERLINK("http://www.ncbi.nlm.nih.gov/gene/1496", "1496")</f>
        <v>1496</v>
      </c>
      <c r="D11614" t="str">
        <f>"hmp-1"</f>
        <v>hmp-1</v>
      </c>
      <c r="E11614" t="s">
        <v>7080</v>
      </c>
      <c r="F11614" t="s">
        <v>11</v>
      </c>
      <c r="G11614" t="s">
        <v>7081</v>
      </c>
      <c r="H11614" s="12">
        <v>-1.1059896037655801</v>
      </c>
      <c r="I11614" s="20">
        <v>-0.537724737532847</v>
      </c>
      <c r="J11614" s="28">
        <v>0.59076709831722696</v>
      </c>
      <c r="K11614" s="29">
        <v>0.98289565623980701</v>
      </c>
    </row>
    <row r="11615" spans="1:11" x14ac:dyDescent="0.35">
      <c r="A11615" s="9" t="str">
        <f>HYPERLINK("http://www.ensembl.org/id/WBGene00001981", "WBGene00001981")</f>
        <v>WBGene00001981</v>
      </c>
      <c r="B11615" s="9" t="str">
        <f>HYPERLINK("http://www.ncbi.nlm.nih.gov/gene/183457", "183457")</f>
        <v>183457</v>
      </c>
      <c r="C11615" s="9"/>
      <c r="D11615" t="str">
        <f>"hnd-1"</f>
        <v>hnd-1</v>
      </c>
      <c r="E11615" t="s">
        <v>5096</v>
      </c>
      <c r="F11615" t="s">
        <v>11</v>
      </c>
      <c r="G11615" t="s">
        <v>5097</v>
      </c>
      <c r="H11615" s="12">
        <v>1.2417291650459801</v>
      </c>
      <c r="I11615" s="20">
        <v>0.59047284572932701</v>
      </c>
      <c r="J11615" s="28">
        <v>0.554873685474366</v>
      </c>
      <c r="K11615" s="29">
        <v>0.98289565623980701</v>
      </c>
    </row>
    <row r="11616" spans="1:11" x14ac:dyDescent="0.35">
      <c r="A11616" s="9" t="str">
        <f>HYPERLINK("http://www.ensembl.org/id/WBGene00001984", "WBGene00001984")</f>
        <v>WBGene00001984</v>
      </c>
      <c r="B11616" s="9" t="str">
        <f>HYPERLINK("http://www.ncbi.nlm.nih.gov/gene/180851", "180851")</f>
        <v>180851</v>
      </c>
      <c r="C11616" s="9"/>
      <c r="D11616" t="str">
        <f>"hog-1"</f>
        <v>hog-1</v>
      </c>
      <c r="E11616" t="s">
        <v>4463</v>
      </c>
      <c r="F11616" t="s">
        <v>11</v>
      </c>
      <c r="G11616" t="s">
        <v>4464</v>
      </c>
      <c r="H11616" s="12">
        <v>1.94642859117538</v>
      </c>
      <c r="I11616" s="20">
        <v>1.20417276610798</v>
      </c>
      <c r="J11616" s="28">
        <v>0.228522809782951</v>
      </c>
      <c r="K11616" s="29">
        <v>0.98289565623980701</v>
      </c>
    </row>
    <row r="11617" spans="1:11" x14ac:dyDescent="0.35">
      <c r="A11617" s="9" t="str">
        <f>HYPERLINK("http://www.ensembl.org/id/WBGene00016704", "WBGene00016704")</f>
        <v>WBGene00016704</v>
      </c>
      <c r="B11617" s="9" t="str">
        <f>HYPERLINK("http://www.ncbi.nlm.nih.gov/gene/180737", "180737")</f>
        <v>180737</v>
      </c>
      <c r="C11617" s="9"/>
      <c r="D11617" t="str">
        <f>"hosl-1"</f>
        <v>hosl-1</v>
      </c>
      <c r="F11617" t="s">
        <v>11</v>
      </c>
      <c r="G11617" t="s">
        <v>5434</v>
      </c>
      <c r="H11617" s="12">
        <v>1.16489251646134</v>
      </c>
      <c r="I11617" s="20">
        <v>0.75898972184076796</v>
      </c>
      <c r="J11617" s="28">
        <v>0.44785870519591298</v>
      </c>
      <c r="K11617" s="29">
        <v>0.98289565623980701</v>
      </c>
    </row>
    <row r="11618" spans="1:11" x14ac:dyDescent="0.35">
      <c r="A11618" s="9" t="str">
        <f>HYPERLINK("http://www.ensembl.org/id/WBGene00001986", "WBGene00001986")</f>
        <v>WBGene00001986</v>
      </c>
      <c r="B11618" s="9" t="str">
        <f>HYPERLINK("http://www.ncbi.nlm.nih.gov/gene/179966", "179966")</f>
        <v>179966</v>
      </c>
      <c r="C11618" s="9"/>
      <c r="D11618" t="str">
        <f>"hot-1"</f>
        <v>hot-1</v>
      </c>
      <c r="E11618" t="s">
        <v>4999</v>
      </c>
      <c r="F11618" t="s">
        <v>11</v>
      </c>
      <c r="G11618" t="s">
        <v>2348</v>
      </c>
      <c r="H11618" s="12">
        <v>1.26621804453752</v>
      </c>
      <c r="I11618" s="20">
        <v>0.935090286780207</v>
      </c>
      <c r="J11618" s="28">
        <v>0.34974177185885302</v>
      </c>
      <c r="K11618" s="29">
        <v>0.98289565623980701</v>
      </c>
    </row>
    <row r="11619" spans="1:11" x14ac:dyDescent="0.35">
      <c r="A11619" s="9" t="str">
        <f>HYPERLINK("http://www.ensembl.org/id/WBGene00001987", "WBGene00001987")</f>
        <v>WBGene00001987</v>
      </c>
      <c r="B11619" s="9" t="str">
        <f>HYPERLINK("http://www.ncbi.nlm.nih.gov/gene/180261", "180261")</f>
        <v>180261</v>
      </c>
      <c r="C11619" s="9"/>
      <c r="D11619" t="str">
        <f>"hot-2"</f>
        <v>hot-2</v>
      </c>
      <c r="E11619" t="s">
        <v>2347</v>
      </c>
      <c r="F11619" t="s">
        <v>11</v>
      </c>
      <c r="G11619" t="s">
        <v>2348</v>
      </c>
      <c r="H11619" s="12">
        <v>1.2775434967019901</v>
      </c>
      <c r="I11619" s="20">
        <v>0.67059744063669002</v>
      </c>
      <c r="J11619" s="28">
        <v>0.50247701339012796</v>
      </c>
      <c r="K11619" s="29">
        <v>0.98289565623980701</v>
      </c>
    </row>
    <row r="11620" spans="1:11" x14ac:dyDescent="0.35">
      <c r="A11620" s="9" t="str">
        <f>HYPERLINK("http://www.ensembl.org/id/WBGene00001988", "WBGene00001988")</f>
        <v>WBGene00001988</v>
      </c>
      <c r="B11620" s="9" t="str">
        <f>HYPERLINK("http://www.ncbi.nlm.nih.gov/gene/175044", "175044")</f>
        <v>175044</v>
      </c>
      <c r="C11620" s="9"/>
      <c r="D11620" t="str">
        <f>"hot-3"</f>
        <v>hot-3</v>
      </c>
      <c r="E11620" t="s">
        <v>2347</v>
      </c>
      <c r="F11620" t="s">
        <v>11</v>
      </c>
      <c r="G11620" t="s">
        <v>2348</v>
      </c>
      <c r="H11620" s="12">
        <v>1.6050194600482499</v>
      </c>
      <c r="I11620" s="20">
        <v>1.1352754123728701</v>
      </c>
      <c r="J11620" s="28">
        <v>0.25625994087815601</v>
      </c>
      <c r="K11620" s="29">
        <v>0.98289565623980701</v>
      </c>
    </row>
    <row r="11621" spans="1:11" x14ac:dyDescent="0.35">
      <c r="A11621" s="9" t="str">
        <f>HYPERLINK("http://www.ensembl.org/id/WBGene00001990", "WBGene00001990")</f>
        <v>WBGene00001990</v>
      </c>
      <c r="B11621" s="9" t="str">
        <f>HYPERLINK("http://www.ncbi.nlm.nih.gov/gene/172671", "172671")</f>
        <v>172671</v>
      </c>
      <c r="C11621" s="9"/>
      <c r="D11621" t="str">
        <f>"hot-5"</f>
        <v>hot-5</v>
      </c>
      <c r="E11621" t="s">
        <v>8538</v>
      </c>
      <c r="F11621" t="s">
        <v>11</v>
      </c>
      <c r="G11621" t="s">
        <v>2348</v>
      </c>
      <c r="H11621" s="12">
        <v>-1.18259384220334</v>
      </c>
      <c r="I11621" s="20">
        <v>-0.64332913688430304</v>
      </c>
      <c r="J11621" s="28">
        <v>0.52001055393184603</v>
      </c>
      <c r="K11621" s="29">
        <v>0.98289565623980701</v>
      </c>
    </row>
    <row r="11622" spans="1:11" x14ac:dyDescent="0.35">
      <c r="A11622" s="9" t="str">
        <f>HYPERLINK("http://www.ensembl.org/id/WBGene00001991", "WBGene00001991")</f>
        <v>WBGene00001991</v>
      </c>
      <c r="B11622" s="9" t="str">
        <f>HYPERLINK("http://www.ncbi.nlm.nih.gov/gene/179525", "179525")</f>
        <v>179525</v>
      </c>
      <c r="C11622" s="9"/>
      <c r="D11622" t="str">
        <f>"hot-6"</f>
        <v>hot-6</v>
      </c>
      <c r="E11622" t="s">
        <v>8841</v>
      </c>
      <c r="F11622" t="s">
        <v>11</v>
      </c>
      <c r="G11622" t="s">
        <v>25</v>
      </c>
      <c r="H11622" s="12">
        <v>-1.2009013540498099</v>
      </c>
      <c r="I11622" s="20">
        <v>-0.76002586790038995</v>
      </c>
      <c r="J11622" s="28">
        <v>0.44723912262394799</v>
      </c>
      <c r="K11622" s="29">
        <v>0.98289565623980701</v>
      </c>
    </row>
    <row r="11623" spans="1:11" x14ac:dyDescent="0.35">
      <c r="A11623" s="9" t="str">
        <f>HYPERLINK("http://www.ensembl.org/id/WBGene00020489", "WBGene00020489")</f>
        <v>WBGene00020489</v>
      </c>
      <c r="B11623" s="9" t="str">
        <f>HYPERLINK("http://www.ncbi.nlm.nih.gov/gene/180470", "180470")</f>
        <v>180470</v>
      </c>
      <c r="C11623" s="9"/>
      <c r="D11623" t="str">
        <f>"hot-8"</f>
        <v>hot-8</v>
      </c>
      <c r="E11623" t="s">
        <v>2347</v>
      </c>
      <c r="F11623" t="s">
        <v>11</v>
      </c>
      <c r="G11623" t="s">
        <v>5094</v>
      </c>
      <c r="H11623" s="12">
        <v>1.1474525480389299</v>
      </c>
      <c r="I11623" s="20">
        <v>0.51432814187459897</v>
      </c>
      <c r="J11623" s="28">
        <v>0.60702258948473498</v>
      </c>
      <c r="K11623" s="29">
        <v>0.98289565623980701</v>
      </c>
    </row>
    <row r="11624" spans="1:11" x14ac:dyDescent="0.35">
      <c r="A11624" s="9" t="str">
        <f>HYPERLINK("http://www.ensembl.org/id/WBGene00044484", "WBGene00044484")</f>
        <v>WBGene00044484</v>
      </c>
      <c r="B11624" s="9" t="str">
        <f>HYPERLINK("http://www.ncbi.nlm.nih.gov/gene/3896791", "3896791")</f>
        <v>3896791</v>
      </c>
      <c r="C11624" s="9"/>
      <c r="D11624" t="str">
        <f>"hot-9"</f>
        <v>hot-9</v>
      </c>
      <c r="E11624" t="s">
        <v>2347</v>
      </c>
      <c r="F11624" t="s">
        <v>11</v>
      </c>
      <c r="G11624" t="s">
        <v>5094</v>
      </c>
      <c r="H11624" s="12">
        <v>1.2421354506053599</v>
      </c>
      <c r="I11624" s="20">
        <v>0.74386555726881398</v>
      </c>
      <c r="J11624" s="28">
        <v>0.45695781437901201</v>
      </c>
      <c r="K11624" s="29">
        <v>0.98289565623980701</v>
      </c>
    </row>
    <row r="11625" spans="1:11" x14ac:dyDescent="0.35">
      <c r="A11625" s="9" t="str">
        <f>HYPERLINK("http://www.ensembl.org/id/WBGene00010414", "WBGene00010414")</f>
        <v>WBGene00010414</v>
      </c>
      <c r="B11625" s="9" t="str">
        <f>HYPERLINK("http://www.ncbi.nlm.nih.gov/gene/186781", "186781")</f>
        <v>186781</v>
      </c>
      <c r="C11625" s="9"/>
      <c r="D11625" t="str">
        <f>"hpa-1"</f>
        <v>hpa-1</v>
      </c>
      <c r="E11625" t="s">
        <v>4388</v>
      </c>
      <c r="F11625" t="s">
        <v>11</v>
      </c>
      <c r="G11625" t="s">
        <v>25</v>
      </c>
      <c r="H11625" s="12">
        <v>2.4578120077400301</v>
      </c>
      <c r="I11625" s="20">
        <v>0.26093350314551</v>
      </c>
      <c r="J11625" s="28">
        <v>0.79414378780213601</v>
      </c>
      <c r="K11625" s="29">
        <v>0.98289565623980701</v>
      </c>
    </row>
    <row r="11626" spans="1:11" x14ac:dyDescent="0.35">
      <c r="A11626" s="9" t="str">
        <f>HYPERLINK("http://www.ensembl.org/id/WBGene00001993", "WBGene00001993")</f>
        <v>WBGene00001993</v>
      </c>
      <c r="B11626" s="9" t="str">
        <f>HYPERLINK("http://www.ncbi.nlm.nih.gov/gene/176473", "176473")</f>
        <v>176473</v>
      </c>
      <c r="C11626" s="9" t="str">
        <f>HYPERLINK("http://www.ncbi.nlm.nih.gov/gene/3242", "3242")</f>
        <v>3242</v>
      </c>
      <c r="D11626" t="str">
        <f>"hpd-1"</f>
        <v>hpd-1</v>
      </c>
      <c r="E11626" t="s">
        <v>6081</v>
      </c>
      <c r="F11626" t="s">
        <v>11</v>
      </c>
      <c r="G11626" t="s">
        <v>6082</v>
      </c>
      <c r="H11626" s="12">
        <v>1.06464255574898</v>
      </c>
      <c r="I11626" s="20">
        <v>0.33752447850372502</v>
      </c>
      <c r="J11626" s="28">
        <v>0.73572156246851195</v>
      </c>
      <c r="K11626" s="29">
        <v>0.98289565623980701</v>
      </c>
    </row>
    <row r="11627" spans="1:11" x14ac:dyDescent="0.35">
      <c r="A11627" s="9" t="str">
        <f>HYPERLINK("http://www.ensembl.org/id/WBGene00012608", "WBGene00012608")</f>
        <v>WBGene00012608</v>
      </c>
      <c r="B11627" s="9" t="str">
        <f>HYPERLINK("http://www.ncbi.nlm.nih.gov/gene/174942", "174942")</f>
        <v>174942</v>
      </c>
      <c r="C11627" s="9" t="str">
        <f>HYPERLINK("http://www.ncbi.nlm.nih.gov/gene/137872", "137872")</f>
        <v>137872</v>
      </c>
      <c r="D11627" t="str">
        <f>"hphd-1"</f>
        <v>hphd-1</v>
      </c>
      <c r="E11627" t="s">
        <v>5165</v>
      </c>
      <c r="F11627" t="s">
        <v>11</v>
      </c>
      <c r="G11627" t="s">
        <v>5166</v>
      </c>
      <c r="H11627" s="12">
        <v>1.22435721717824</v>
      </c>
      <c r="I11627" s="20">
        <v>1.01227416407714</v>
      </c>
      <c r="J11627" s="28">
        <v>0.31140698432523201</v>
      </c>
      <c r="K11627" s="29">
        <v>0.98289565623980701</v>
      </c>
    </row>
    <row r="11628" spans="1:11" x14ac:dyDescent="0.35">
      <c r="A11628" s="9" t="str">
        <f>HYPERLINK("http://www.ensembl.org/id/WBGene00001996", "WBGene00001996")</f>
        <v>WBGene00001996</v>
      </c>
      <c r="B11628" s="9" t="str">
        <f>HYPERLINK("http://www.ncbi.nlm.nih.gov/gene/176506", "176506")</f>
        <v>176506</v>
      </c>
      <c r="C11628" s="9"/>
      <c r="D11628" t="str">
        <f>"hpl-2"</f>
        <v>hpl-2</v>
      </c>
      <c r="E11628" t="s">
        <v>6633</v>
      </c>
      <c r="F11628" t="s">
        <v>11</v>
      </c>
      <c r="G11628" t="s">
        <v>6634</v>
      </c>
      <c r="H11628" s="12">
        <v>-1.08183167042608</v>
      </c>
      <c r="I11628" s="20">
        <v>-0.35582389799331599</v>
      </c>
      <c r="J11628" s="28">
        <v>0.72197245084933004</v>
      </c>
      <c r="K11628" s="29">
        <v>0.98289565623980701</v>
      </c>
    </row>
    <row r="11629" spans="1:11" x14ac:dyDescent="0.35">
      <c r="A11629" s="9" t="str">
        <f>HYPERLINK("http://www.ensembl.org/id/WBGene00010427", "WBGene00010427")</f>
        <v>WBGene00010427</v>
      </c>
      <c r="B11629" s="9" t="str">
        <f>HYPERLINK("http://www.ncbi.nlm.nih.gov/gene/186807", "186807")</f>
        <v>186807</v>
      </c>
      <c r="C11629" s="9"/>
      <c r="D11629" t="str">
        <f>"hpo-11"</f>
        <v>hpo-11</v>
      </c>
      <c r="F11629" t="s">
        <v>11</v>
      </c>
      <c r="G11629" t="s">
        <v>6914</v>
      </c>
      <c r="H11629" s="12">
        <v>-1.0969444037846401</v>
      </c>
      <c r="I11629" s="20">
        <v>-0.507958075226428</v>
      </c>
      <c r="J11629" s="28">
        <v>0.611482745257239</v>
      </c>
      <c r="K11629" s="29">
        <v>0.98289565623980701</v>
      </c>
    </row>
    <row r="11630" spans="1:11" x14ac:dyDescent="0.35">
      <c r="A11630" s="9" t="str">
        <f>HYPERLINK("http://www.ensembl.org/id/WBGene00016588", "WBGene00016588")</f>
        <v>WBGene00016588</v>
      </c>
      <c r="B11630" s="9" t="str">
        <f>HYPERLINK("http://www.ncbi.nlm.nih.gov/gene/36804989", "36804989")</f>
        <v>36804989</v>
      </c>
      <c r="C11630" s="9"/>
      <c r="D11630" t="str">
        <f>"hpo-12"</f>
        <v>hpo-12</v>
      </c>
      <c r="F11630" t="s">
        <v>11</v>
      </c>
      <c r="G11630" t="s">
        <v>8645</v>
      </c>
      <c r="H11630" s="12">
        <v>-1.1885113721880201</v>
      </c>
      <c r="I11630" s="20">
        <v>-0.80742291696794699</v>
      </c>
      <c r="J11630" s="28">
        <v>0.419422868094882</v>
      </c>
      <c r="K11630" s="29">
        <v>0.98289565623980701</v>
      </c>
    </row>
    <row r="11631" spans="1:11" x14ac:dyDescent="0.35">
      <c r="A11631" s="9" t="str">
        <f>HYPERLINK("http://www.ensembl.org/id/WBGene00013670", "WBGene00013670")</f>
        <v>WBGene00013670</v>
      </c>
      <c r="B11631" s="9" t="str">
        <f>HYPERLINK("http://www.ncbi.nlm.nih.gov/gene/173305", "173305")</f>
        <v>173305</v>
      </c>
      <c r="C11631" s="9" t="str">
        <f>HYPERLINK("http://www.ncbi.nlm.nih.gov/gene/57704", "57704")</f>
        <v>57704</v>
      </c>
      <c r="D11631" t="str">
        <f>"hpo-13"</f>
        <v>hpo-13</v>
      </c>
      <c r="E11631" t="s">
        <v>2133</v>
      </c>
      <c r="F11631" t="s">
        <v>11</v>
      </c>
      <c r="G11631" t="s">
        <v>2134</v>
      </c>
      <c r="H11631" s="12">
        <v>-1.16874477954154</v>
      </c>
      <c r="I11631" s="20">
        <v>-0.84441306080157197</v>
      </c>
      <c r="J11631" s="28">
        <v>0.39843862647238099</v>
      </c>
      <c r="K11631" s="29">
        <v>0.98289565623980701</v>
      </c>
    </row>
    <row r="11632" spans="1:11" x14ac:dyDescent="0.35">
      <c r="A11632" s="9" t="str">
        <f>HYPERLINK("http://www.ensembl.org/id/WBGene00017982", "WBGene00017982")</f>
        <v>WBGene00017982</v>
      </c>
      <c r="B11632" s="9" t="str">
        <f>HYPERLINK("http://www.ncbi.nlm.nih.gov/gene/178830", "178830")</f>
        <v>178830</v>
      </c>
      <c r="C11632" s="9"/>
      <c r="D11632" t="str">
        <f>"hpo-18"</f>
        <v>hpo-18</v>
      </c>
      <c r="F11632" t="s">
        <v>11</v>
      </c>
      <c r="G11632" t="s">
        <v>7191</v>
      </c>
      <c r="H11632" s="12">
        <v>-1.1122287267359701</v>
      </c>
      <c r="I11632" s="20">
        <v>-0.57407462062564096</v>
      </c>
      <c r="J11632" s="28">
        <v>0.565917306684802</v>
      </c>
      <c r="K11632" s="29">
        <v>0.98289565623980701</v>
      </c>
    </row>
    <row r="11633" spans="1:11" x14ac:dyDescent="0.35">
      <c r="A11633" s="9" t="str">
        <f>HYPERLINK("http://www.ensembl.org/id/WBGene00015148", "WBGene00015148")</f>
        <v>WBGene00015148</v>
      </c>
      <c r="B11633" s="9" t="str">
        <f>HYPERLINK("http://www.ncbi.nlm.nih.gov/gene/175798", "175798")</f>
        <v>175798</v>
      </c>
      <c r="C11633" s="9" t="str">
        <f>HYPERLINK("http://www.ncbi.nlm.nih.gov/gene/158747", "158747")</f>
        <v>158747</v>
      </c>
      <c r="D11633" t="str">
        <f>"hpo-28"</f>
        <v>hpo-28</v>
      </c>
      <c r="E11633" t="s">
        <v>899</v>
      </c>
      <c r="F11633" t="s">
        <v>11</v>
      </c>
      <c r="G11633" t="s">
        <v>4545</v>
      </c>
      <c r="H11633" s="12">
        <v>1.1371732641450101</v>
      </c>
      <c r="I11633" s="20">
        <v>0.51311579280035102</v>
      </c>
      <c r="J11633" s="28">
        <v>0.60787032493036997</v>
      </c>
      <c r="K11633" s="29">
        <v>0.98289565623980701</v>
      </c>
    </row>
    <row r="11634" spans="1:11" x14ac:dyDescent="0.35">
      <c r="A11634" s="9" t="str">
        <f>HYPERLINK("http://www.ensembl.org/id/WBGene00021754", "WBGene00021754")</f>
        <v>WBGene00021754</v>
      </c>
      <c r="B11634" s="9" t="str">
        <f>HYPERLINK("http://www.ncbi.nlm.nih.gov/gene/175189", "175189")</f>
        <v>175189</v>
      </c>
      <c r="C11634" s="9" t="str">
        <f>HYPERLINK("http://www.ncbi.nlm.nih.gov/gene/79612", "79612")</f>
        <v>79612</v>
      </c>
      <c r="D11634" t="str">
        <f>"hpo-29"</f>
        <v>hpo-29</v>
      </c>
      <c r="F11634" t="s">
        <v>11</v>
      </c>
      <c r="G11634" t="s">
        <v>6242</v>
      </c>
      <c r="H11634" s="12">
        <v>-1.0555825751232299</v>
      </c>
      <c r="I11634" s="20">
        <v>-0.27436090565108101</v>
      </c>
      <c r="J11634" s="28">
        <v>0.78380728344328798</v>
      </c>
      <c r="K11634" s="29">
        <v>0.98289565623980701</v>
      </c>
    </row>
    <row r="11635" spans="1:11" x14ac:dyDescent="0.35">
      <c r="A11635" s="9" t="str">
        <f>HYPERLINK("http://www.ensembl.org/id/WBGene00011014", "WBGene00011014")</f>
        <v>WBGene00011014</v>
      </c>
      <c r="B11635" s="9" t="str">
        <f>HYPERLINK("http://www.ncbi.nlm.nih.gov/gene/187592", "187592")</f>
        <v>187592</v>
      </c>
      <c r="C11635" s="9"/>
      <c r="D11635" t="str">
        <f>"hpo-30"</f>
        <v>hpo-30</v>
      </c>
      <c r="F11635" t="s">
        <v>11</v>
      </c>
      <c r="G11635" t="s">
        <v>5314</v>
      </c>
      <c r="H11635" s="12">
        <v>1.1900992749618799</v>
      </c>
      <c r="I11635" s="20">
        <v>0.50509063965060497</v>
      </c>
      <c r="J11635" s="28">
        <v>0.613495175430258</v>
      </c>
      <c r="K11635" s="29">
        <v>0.98289565623980701</v>
      </c>
    </row>
    <row r="11636" spans="1:11" x14ac:dyDescent="0.35">
      <c r="A11636" s="9" t="str">
        <f>HYPERLINK("http://www.ensembl.org/id/WBGene00010089", "WBGene00010089")</f>
        <v>WBGene00010089</v>
      </c>
      <c r="B11636" s="9" t="str">
        <f>HYPERLINK("http://www.ncbi.nlm.nih.gov/gene/3565786", "3565786")</f>
        <v>3565786</v>
      </c>
      <c r="C11636" s="9" t="str">
        <f>HYPERLINK("http://www.ncbi.nlm.nih.gov/gene/51095", "51095")</f>
        <v>51095</v>
      </c>
      <c r="D11636" t="str">
        <f>"hpo-31"</f>
        <v>hpo-31</v>
      </c>
      <c r="F11636" t="s">
        <v>11</v>
      </c>
      <c r="G11636" t="s">
        <v>7793</v>
      </c>
      <c r="H11636" s="12">
        <v>-1.1450294117611901</v>
      </c>
      <c r="I11636" s="20">
        <v>-0.62546767159775796</v>
      </c>
      <c r="J11636" s="28">
        <v>0.53166415983418203</v>
      </c>
      <c r="K11636" s="29">
        <v>0.98289565623980701</v>
      </c>
    </row>
    <row r="11637" spans="1:11" x14ac:dyDescent="0.35">
      <c r="A11637" s="9" t="str">
        <f>HYPERLINK("http://www.ensembl.org/id/WBGene00009744", "WBGene00009744")</f>
        <v>WBGene00009744</v>
      </c>
      <c r="B11637" s="9" t="str">
        <f>HYPERLINK("http://www.ncbi.nlm.nih.gov/gene/172911", "172911")</f>
        <v>172911</v>
      </c>
      <c r="C11637" s="9"/>
      <c r="D11637" t="str">
        <f>"hpo-35"</f>
        <v>hpo-35</v>
      </c>
      <c r="F11637" t="s">
        <v>11</v>
      </c>
      <c r="H11637" s="12">
        <v>-1.12643938546926</v>
      </c>
      <c r="I11637" s="20">
        <v>-0.540392354058294</v>
      </c>
      <c r="J11637" s="28">
        <v>0.58892647961604805</v>
      </c>
      <c r="K11637" s="29">
        <v>0.98289565623980701</v>
      </c>
    </row>
    <row r="11638" spans="1:11" x14ac:dyDescent="0.35">
      <c r="A11638" s="9" t="str">
        <f>HYPERLINK("http://www.ensembl.org/id/WBGene00011482", "WBGene00011482")</f>
        <v>WBGene00011482</v>
      </c>
      <c r="B11638" s="9" t="str">
        <f>HYPERLINK("http://www.ncbi.nlm.nih.gov/gene/188131", "188131")</f>
        <v>188131</v>
      </c>
      <c r="C11638" s="9" t="str">
        <f>HYPERLINK("http://www.ncbi.nlm.nih.gov/gene/10026", "10026")</f>
        <v>10026</v>
      </c>
      <c r="D11638" t="str">
        <f>"hpo-4"</f>
        <v>hpo-4</v>
      </c>
      <c r="E11638" t="s">
        <v>9049</v>
      </c>
      <c r="F11638" t="s">
        <v>11</v>
      </c>
      <c r="G11638" t="s">
        <v>9050</v>
      </c>
      <c r="H11638" s="12">
        <v>-1.2168942071075199</v>
      </c>
      <c r="I11638" s="20">
        <v>-0.96847840946393804</v>
      </c>
      <c r="J11638" s="28">
        <v>0.33280549669485998</v>
      </c>
      <c r="K11638" s="29">
        <v>0.98289565623980701</v>
      </c>
    </row>
    <row r="11639" spans="1:11" x14ac:dyDescent="0.35">
      <c r="A11639" s="9" t="str">
        <f>HYPERLINK("http://www.ensembl.org/id/WBGene00011776", "WBGene00011776")</f>
        <v>WBGene00011776</v>
      </c>
      <c r="B11639" s="9" t="str">
        <f>HYPERLINK("http://www.ncbi.nlm.nih.gov/gene/3565629", "3565629")</f>
        <v>3565629</v>
      </c>
      <c r="C11639" s="9"/>
      <c r="D11639" t="str">
        <f>"hpo-5"</f>
        <v>hpo-5</v>
      </c>
      <c r="F11639" t="s">
        <v>11</v>
      </c>
      <c r="G11639" t="s">
        <v>7333</v>
      </c>
      <c r="H11639" s="12">
        <v>-1.1196945696501299</v>
      </c>
      <c r="I11639" s="20">
        <v>-0.57195469118626796</v>
      </c>
      <c r="J11639" s="28">
        <v>0.56735267061716399</v>
      </c>
      <c r="K11639" s="29">
        <v>0.98289565623980701</v>
      </c>
    </row>
    <row r="11640" spans="1:11" x14ac:dyDescent="0.35">
      <c r="A11640" s="9" t="str">
        <f>HYPERLINK("http://www.ensembl.org/id/WBGene00001997", "WBGene00001997")</f>
        <v>WBGene00001997</v>
      </c>
      <c r="B11640" s="9" t="str">
        <f>HYPERLINK("http://www.ncbi.nlm.nih.gov/gene/176483", "176483")</f>
        <v>176483</v>
      </c>
      <c r="C11640" s="9"/>
      <c r="D11640" t="str">
        <f>"hpr-9"</f>
        <v>hpr-9</v>
      </c>
      <c r="E11640" t="s">
        <v>9847</v>
      </c>
      <c r="F11640" t="s">
        <v>11</v>
      </c>
      <c r="G11640" t="s">
        <v>9848</v>
      </c>
      <c r="H11640" s="12">
        <v>-1.3259633129405599</v>
      </c>
      <c r="I11640" s="20">
        <v>-1.0458651220511099</v>
      </c>
      <c r="J11640" s="28">
        <v>0.295623309346361</v>
      </c>
      <c r="K11640" s="29">
        <v>0.98289565623980701</v>
      </c>
    </row>
    <row r="11641" spans="1:11" x14ac:dyDescent="0.35">
      <c r="A11641" s="9" t="str">
        <f>HYPERLINK("http://www.ensembl.org/id/WBGene00013690", "WBGene00013690")</f>
        <v>WBGene00013690</v>
      </c>
      <c r="B11641" s="9" t="str">
        <f>HYPERLINK("http://www.ncbi.nlm.nih.gov/gene/173323", "173323")</f>
        <v>173323</v>
      </c>
      <c r="C11641" s="9" t="str">
        <f>HYPERLINK("http://www.ncbi.nlm.nih.gov/gene/3251", "3251")</f>
        <v>3251</v>
      </c>
      <c r="D11641" t="str">
        <f>"hprt-1"</f>
        <v>hprt-1</v>
      </c>
      <c r="E11641" t="s">
        <v>9358</v>
      </c>
      <c r="F11641" t="s">
        <v>11</v>
      </c>
      <c r="G11641" t="s">
        <v>9359</v>
      </c>
      <c r="H11641" s="12">
        <v>-1.24073070649661</v>
      </c>
      <c r="I11641" s="20">
        <v>-1.0615778567811101</v>
      </c>
      <c r="J11641" s="28">
        <v>0.28842737058125201</v>
      </c>
      <c r="K11641" s="29">
        <v>0.98289565623980701</v>
      </c>
    </row>
    <row r="11642" spans="1:11" x14ac:dyDescent="0.35">
      <c r="A11642" s="9" t="str">
        <f>HYPERLINK("http://www.ensembl.org/id/WBGene00008627", "WBGene00008627")</f>
        <v>WBGene00008627</v>
      </c>
      <c r="B11642" s="9" t="str">
        <f>HYPERLINK("http://www.ncbi.nlm.nih.gov/gene/179880", "179880")</f>
        <v>179880</v>
      </c>
      <c r="C11642" s="9"/>
      <c r="D11642" t="str">
        <f>"hpx-2"</f>
        <v>hpx-2</v>
      </c>
      <c r="E11642" t="s">
        <v>4410</v>
      </c>
      <c r="F11642" t="s">
        <v>11</v>
      </c>
      <c r="G11642" t="s">
        <v>4411</v>
      </c>
      <c r="H11642" s="12">
        <v>2.3444892507898301</v>
      </c>
      <c r="I11642" s="20">
        <v>0.253126732237689</v>
      </c>
      <c r="J11642" s="28">
        <v>0.80017028205419904</v>
      </c>
      <c r="K11642" s="29">
        <v>0.98289565623980701</v>
      </c>
    </row>
    <row r="11643" spans="1:11" x14ac:dyDescent="0.35">
      <c r="A11643" s="9" t="str">
        <f>HYPERLINK("http://www.ensembl.org/id/WBGene00020403", "WBGene00020403")</f>
        <v>WBGene00020403</v>
      </c>
      <c r="B11643" s="9" t="str">
        <f>HYPERLINK("http://www.ncbi.nlm.nih.gov/gene/188371", "188371")</f>
        <v>188371</v>
      </c>
      <c r="C11643" s="9"/>
      <c r="D11643" t="str">
        <f>"hrde-4"</f>
        <v>hrde-4</v>
      </c>
      <c r="F11643" t="s">
        <v>11</v>
      </c>
      <c r="H11643" s="12">
        <v>-1.0941789650442999</v>
      </c>
      <c r="I11643" s="20">
        <v>-0.43023438234226902</v>
      </c>
      <c r="J11643" s="28">
        <v>0.66702515369271997</v>
      </c>
      <c r="K11643" s="29">
        <v>0.98289565623980701</v>
      </c>
    </row>
    <row r="11644" spans="1:11" x14ac:dyDescent="0.35">
      <c r="A11644" s="9" t="str">
        <f>HYPERLINK("http://www.ensembl.org/id/WBGene00019830", "WBGene00019830")</f>
        <v>WBGene00019830</v>
      </c>
      <c r="B11644" s="9" t="str">
        <f>HYPERLINK("http://www.ncbi.nlm.nih.gov/gene/180684", "180684")</f>
        <v>180684</v>
      </c>
      <c r="C11644" s="9"/>
      <c r="D11644" t="str">
        <f>"hrg-1"</f>
        <v>hrg-1</v>
      </c>
      <c r="E11644" t="s">
        <v>5899</v>
      </c>
      <c r="F11644" t="s">
        <v>11</v>
      </c>
      <c r="G11644" t="s">
        <v>4882</v>
      </c>
      <c r="H11644" s="12">
        <v>1.08709085986642</v>
      </c>
      <c r="I11644" s="20">
        <v>0.36026822262856101</v>
      </c>
      <c r="J11644" s="28">
        <v>0.71864656067941202</v>
      </c>
      <c r="K11644" s="29">
        <v>0.98289565623980701</v>
      </c>
    </row>
    <row r="11645" spans="1:11" x14ac:dyDescent="0.35">
      <c r="A11645" s="9" t="str">
        <f>HYPERLINK("http://www.ensembl.org/id/WBGene00010473", "WBGene00010473")</f>
        <v>WBGene00010473</v>
      </c>
      <c r="B11645" s="9" t="str">
        <f>HYPERLINK("http://www.ncbi.nlm.nih.gov/gene/24104699", "24104699")</f>
        <v>24104699</v>
      </c>
      <c r="C11645" s="9"/>
      <c r="D11645" t="str">
        <f>"hrg-2"</f>
        <v>hrg-2</v>
      </c>
      <c r="E11645" t="s">
        <v>4556</v>
      </c>
      <c r="F11645" t="s">
        <v>11</v>
      </c>
      <c r="G11645" t="s">
        <v>4557</v>
      </c>
      <c r="H11645" s="12">
        <v>1.70362518465016</v>
      </c>
      <c r="I11645" s="20">
        <v>0.55910277394504304</v>
      </c>
      <c r="J11645" s="28">
        <v>0.57609158172288</v>
      </c>
      <c r="K11645" s="29">
        <v>0.98289565623980701</v>
      </c>
    </row>
    <row r="11646" spans="1:11" x14ac:dyDescent="0.35">
      <c r="A11646" s="9" t="str">
        <f>HYPERLINK("http://www.ensembl.org/id/WBGene00010256", "WBGene00010256")</f>
        <v>WBGene00010256</v>
      </c>
      <c r="B11646" s="9" t="str">
        <f>HYPERLINK("http://www.ncbi.nlm.nih.gov/gene/179369", "179369")</f>
        <v>179369</v>
      </c>
      <c r="C11646" s="9"/>
      <c r="D11646" t="str">
        <f>"hrg-3"</f>
        <v>hrg-3</v>
      </c>
      <c r="E11646" t="s">
        <v>1028</v>
      </c>
      <c r="F11646" t="s">
        <v>11</v>
      </c>
      <c r="G11646" t="s">
        <v>9944</v>
      </c>
      <c r="H11646" s="12">
        <v>-1.4515259912984499</v>
      </c>
      <c r="I11646" s="20">
        <v>-0.351982482315637</v>
      </c>
      <c r="J11646" s="28">
        <v>0.72485139997382297</v>
      </c>
      <c r="K11646" s="29">
        <v>0.98289565623980701</v>
      </c>
    </row>
    <row r="11647" spans="1:11" x14ac:dyDescent="0.35">
      <c r="A11647" s="9" t="str">
        <f>HYPERLINK("http://www.ensembl.org/id/WBGene00009493", "WBGene00009493")</f>
        <v>WBGene00009493</v>
      </c>
      <c r="B11647" s="9" t="str">
        <f>HYPERLINK("http://www.ncbi.nlm.nih.gov/gene/185380", "185380")</f>
        <v>185380</v>
      </c>
      <c r="C11647" s="9"/>
      <c r="D11647" t="str">
        <f>"hrg-4"</f>
        <v>hrg-4</v>
      </c>
      <c r="E11647" t="s">
        <v>4881</v>
      </c>
      <c r="F11647" t="s">
        <v>11</v>
      </c>
      <c r="G11647" t="s">
        <v>4882</v>
      </c>
      <c r="H11647" s="12">
        <v>1.31595469524285</v>
      </c>
      <c r="I11647" s="20">
        <v>0.54051328944802701</v>
      </c>
      <c r="J11647" s="28">
        <v>0.58884309861698003</v>
      </c>
      <c r="K11647" s="29">
        <v>0.98289565623980701</v>
      </c>
    </row>
    <row r="11648" spans="1:11" x14ac:dyDescent="0.35">
      <c r="A11648" s="9" t="str">
        <f>HYPERLINK("http://www.ensembl.org/id/WBGene00001999", "WBGene00001999")</f>
        <v>WBGene00001999</v>
      </c>
      <c r="B11648" s="9" t="str">
        <f>HYPERLINK("http://www.ncbi.nlm.nih.gov/gene/177101", "177101")</f>
        <v>177101</v>
      </c>
      <c r="C11648" s="9"/>
      <c r="D11648" t="str">
        <f>"hrp-1"</f>
        <v>hrp-1</v>
      </c>
      <c r="E11648" t="s">
        <v>6722</v>
      </c>
      <c r="F11648" t="s">
        <v>11</v>
      </c>
      <c r="G11648" t="s">
        <v>6723</v>
      </c>
      <c r="H11648" s="12">
        <v>-1.08609581459329</v>
      </c>
      <c r="I11648" s="20">
        <v>-0.41961797502041698</v>
      </c>
      <c r="J11648" s="28">
        <v>0.67476455501018495</v>
      </c>
      <c r="K11648" s="29">
        <v>0.98289565623980701</v>
      </c>
    </row>
    <row r="11649" spans="1:11" x14ac:dyDescent="0.35">
      <c r="A11649" s="9" t="str">
        <f>HYPERLINK("http://www.ensembl.org/id/WBGene00022253", "WBGene00022253")</f>
        <v>WBGene00022253</v>
      </c>
      <c r="B11649" s="9" t="str">
        <f>HYPERLINK("http://www.ncbi.nlm.nih.gov/gene/177398", "177398")</f>
        <v>177398</v>
      </c>
      <c r="C11649" s="9" t="str">
        <f>HYPERLINK("http://www.ncbi.nlm.nih.gov/gene/3187", "3187")</f>
        <v>3187</v>
      </c>
      <c r="D11649" t="str">
        <f>"hrpf-2"</f>
        <v>hrpf-2</v>
      </c>
      <c r="E11649" t="s">
        <v>7403</v>
      </c>
      <c r="F11649" t="s">
        <v>11</v>
      </c>
      <c r="G11649" t="s">
        <v>7254</v>
      </c>
      <c r="H11649" s="12">
        <v>-1.1237739526568999</v>
      </c>
      <c r="I11649" s="20">
        <v>-0.52762865920537905</v>
      </c>
      <c r="J11649" s="28">
        <v>0.59775709748286698</v>
      </c>
      <c r="K11649" s="29">
        <v>0.98289565623980701</v>
      </c>
    </row>
    <row r="11650" spans="1:11" x14ac:dyDescent="0.35">
      <c r="A11650" s="9" t="str">
        <f>HYPERLINK("http://www.ensembl.org/id/WBGene00016624", "WBGene00016624")</f>
        <v>WBGene00016624</v>
      </c>
      <c r="B11650" s="9" t="str">
        <f>HYPERLINK("http://www.ncbi.nlm.nih.gov/gene/3565706", "3565706")</f>
        <v>3565706</v>
      </c>
      <c r="C11650" s="9" t="str">
        <f>HYPERLINK("http://www.ncbi.nlm.nih.gov/gene/3191", "3191")</f>
        <v>3191</v>
      </c>
      <c r="D11650" t="str">
        <f>"hrpl-1"</f>
        <v>hrpl-1</v>
      </c>
      <c r="E11650" t="s">
        <v>8544</v>
      </c>
      <c r="F11650" t="s">
        <v>11</v>
      </c>
      <c r="G11650" t="s">
        <v>8545</v>
      </c>
      <c r="H11650" s="12">
        <v>-1.18276314083269</v>
      </c>
      <c r="I11650" s="20">
        <v>-0.80653646736257301</v>
      </c>
      <c r="J11650" s="28">
        <v>0.41993358978357997</v>
      </c>
      <c r="K11650" s="29">
        <v>0.98289565623980701</v>
      </c>
    </row>
    <row r="11651" spans="1:11" x14ac:dyDescent="0.35">
      <c r="A11651" s="9" t="str">
        <f>HYPERLINK("http://www.ensembl.org/id/WBGene00012769", "WBGene00012769")</f>
        <v>WBGene00012769</v>
      </c>
      <c r="B11651" s="9" t="str">
        <f>HYPERLINK("http://www.ncbi.nlm.nih.gov/gene/178421", "178421")</f>
        <v>178421</v>
      </c>
      <c r="C11651" s="9"/>
      <c r="D11651" t="str">
        <f>"hrpu-1"</f>
        <v>hrpu-1</v>
      </c>
      <c r="E11651" t="s">
        <v>7200</v>
      </c>
      <c r="F11651" t="s">
        <v>11</v>
      </c>
      <c r="G11651" t="s">
        <v>54</v>
      </c>
      <c r="H11651" s="12">
        <v>-1.11321176109794</v>
      </c>
      <c r="I11651" s="20">
        <v>-0.59227038155188205</v>
      </c>
      <c r="J11651" s="28">
        <v>0.55366954609159003</v>
      </c>
      <c r="K11651" s="29">
        <v>0.98289565623980701</v>
      </c>
    </row>
    <row r="11652" spans="1:11" x14ac:dyDescent="0.35">
      <c r="A11652" s="9" t="str">
        <f>HYPERLINK("http://www.ensembl.org/id/WBGene00002002", "WBGene00002002")</f>
        <v>WBGene00002002</v>
      </c>
      <c r="B11652" s="9" t="str">
        <f>HYPERLINK("http://www.ncbi.nlm.nih.gov/gene/178208", "178208")</f>
        <v>178208</v>
      </c>
      <c r="C11652" s="9"/>
      <c r="D11652" t="str">
        <f>"hsb-1"</f>
        <v>hsb-1</v>
      </c>
      <c r="E11652" t="s">
        <v>8316</v>
      </c>
      <c r="F11652" t="s">
        <v>11</v>
      </c>
      <c r="G11652" t="s">
        <v>8317</v>
      </c>
      <c r="H11652" s="12">
        <v>-1.1709405780191999</v>
      </c>
      <c r="I11652" s="20">
        <v>-0.81859207012114998</v>
      </c>
      <c r="J11652" s="28">
        <v>0.41301919281072003</v>
      </c>
      <c r="K11652" s="29">
        <v>0.98289565623980701</v>
      </c>
    </row>
    <row r="11653" spans="1:11" x14ac:dyDescent="0.35">
      <c r="A11653" s="9" t="str">
        <f>HYPERLINK("http://www.ensembl.org/id/WBGene00002003", "WBGene00002003")</f>
        <v>WBGene00002003</v>
      </c>
      <c r="B11653" s="9" t="str">
        <f>HYPERLINK("http://www.ncbi.nlm.nih.gov/gene/175562", "175562")</f>
        <v>175562</v>
      </c>
      <c r="C11653" s="9" t="str">
        <f>HYPERLINK("http://www.ncbi.nlm.nih.gov/gene/26035", "26035")</f>
        <v>26035</v>
      </c>
      <c r="D11653" t="str">
        <f>"hse-5"</f>
        <v>hse-5</v>
      </c>
      <c r="E11653" t="s">
        <v>7405</v>
      </c>
      <c r="F11653" t="s">
        <v>11</v>
      </c>
      <c r="G11653" t="s">
        <v>7406</v>
      </c>
      <c r="H11653" s="12">
        <v>-1.1239114446623</v>
      </c>
      <c r="I11653" s="20">
        <v>-0.54231733389386405</v>
      </c>
      <c r="J11653" s="28">
        <v>0.58759991646953902</v>
      </c>
      <c r="K11653" s="29">
        <v>0.98289565623980701</v>
      </c>
    </row>
    <row r="11654" spans="1:11" x14ac:dyDescent="0.35">
      <c r="A11654" s="9" t="str">
        <f>HYPERLINK("http://www.ensembl.org/id/WBGene00002004", "WBGene00002004")</f>
        <v>WBGene00002004</v>
      </c>
      <c r="B11654" s="9" t="str">
        <f>HYPERLINK("http://www.ncbi.nlm.nih.gov/gene/173078", "173078")</f>
        <v>173078</v>
      </c>
      <c r="C11654" s="9"/>
      <c r="D11654" t="str">
        <f>"hsf-1"</f>
        <v>hsf-1</v>
      </c>
      <c r="E11654" t="s">
        <v>9525</v>
      </c>
      <c r="F11654" t="s">
        <v>11</v>
      </c>
      <c r="G11654" t="s">
        <v>9526</v>
      </c>
      <c r="H11654" s="12">
        <v>-1.2552737333794299</v>
      </c>
      <c r="I11654" s="20">
        <v>-1.1922151774624801</v>
      </c>
      <c r="J11654" s="28">
        <v>0.23317688373986101</v>
      </c>
      <c r="K11654" s="29">
        <v>0.98289565623980701</v>
      </c>
    </row>
    <row r="11655" spans="1:11" x14ac:dyDescent="0.35">
      <c r="A11655" s="9" t="str">
        <f>HYPERLINK("http://www.ensembl.org/id/WBGene00002005", "WBGene00002005")</f>
        <v>WBGene00002005</v>
      </c>
      <c r="B11655" s="9" t="str">
        <f>HYPERLINK("http://www.ncbi.nlm.nih.gov/gene/178507", "178507")</f>
        <v>178507</v>
      </c>
      <c r="C11655" s="9" t="str">
        <f>HYPERLINK("http://www.ncbi.nlm.nih.gov/gene/3312", "3312")</f>
        <v>3312</v>
      </c>
      <c r="D11655" t="str">
        <f>"hsp-1"</f>
        <v>hsp-1</v>
      </c>
      <c r="E11655" t="s">
        <v>8383</v>
      </c>
      <c r="F11655" t="s">
        <v>11</v>
      </c>
      <c r="H11655" s="12">
        <v>-1.1743931891553001</v>
      </c>
      <c r="I11655" s="20">
        <v>-0.90564761028793495</v>
      </c>
      <c r="J11655" s="28">
        <v>0.365122400325465</v>
      </c>
      <c r="K11655" s="29">
        <v>0.98289565623980701</v>
      </c>
    </row>
    <row r="11656" spans="1:11" x14ac:dyDescent="0.35">
      <c r="A11656" s="9" t="str">
        <f>HYPERLINK("http://www.ensembl.org/id/WBGene00016250", "WBGene00016250")</f>
        <v>WBGene00016250</v>
      </c>
      <c r="B11656" s="9" t="str">
        <f>HYPERLINK("http://www.ncbi.nlm.nih.gov/gene/176195", "176195")</f>
        <v>176195</v>
      </c>
      <c r="C11656" s="9" t="str">
        <f>HYPERLINK("http://www.ncbi.nlm.nih.gov/gene/3308", "3308")</f>
        <v>3308</v>
      </c>
      <c r="D11656" t="str">
        <f>"hsp-110"</f>
        <v>hsp-110</v>
      </c>
      <c r="E11656" t="s">
        <v>8750</v>
      </c>
      <c r="F11656" t="s">
        <v>11</v>
      </c>
      <c r="H11656" s="12">
        <v>-1.19420172772461</v>
      </c>
      <c r="I11656" s="20">
        <v>-0.99049193609013098</v>
      </c>
      <c r="J11656" s="28">
        <v>0.32193372870578102</v>
      </c>
      <c r="K11656" s="29">
        <v>0.98289565623980701</v>
      </c>
    </row>
    <row r="11657" spans="1:11" x14ac:dyDescent="0.35">
      <c r="A11657" s="9" t="str">
        <f>HYPERLINK("http://www.ensembl.org/id/WBGene00002013", "WBGene00002013")</f>
        <v>WBGene00002013</v>
      </c>
      <c r="B11657" s="9" t="str">
        <f>HYPERLINK("http://www.ncbi.nlm.nih.gov/gene/177778", "177778")</f>
        <v>177778</v>
      </c>
      <c r="C11657" s="9"/>
      <c r="D11657" t="str">
        <f>"hsp-12.6"</f>
        <v>hsp-12.6</v>
      </c>
      <c r="E11657" t="s">
        <v>8370</v>
      </c>
      <c r="F11657" t="s">
        <v>11</v>
      </c>
      <c r="G11657" t="s">
        <v>8371</v>
      </c>
      <c r="H11657" s="12">
        <v>-1.17364220277604</v>
      </c>
      <c r="I11657" s="20">
        <v>-0.72530145968780302</v>
      </c>
      <c r="J11657" s="28">
        <v>0.468267110451702</v>
      </c>
      <c r="K11657" s="29">
        <v>0.98289565623980701</v>
      </c>
    </row>
    <row r="11658" spans="1:11" x14ac:dyDescent="0.35">
      <c r="A11658" s="9" t="str">
        <f>HYPERLINK("http://www.ensembl.org/id/WBGene00002015", "WBGene00002015")</f>
        <v>WBGene00002015</v>
      </c>
      <c r="B11658" s="9" t="str">
        <f>HYPERLINK("http://www.ncbi.nlm.nih.gov/gene/179286", "179286")</f>
        <v>179286</v>
      </c>
      <c r="C11658" s="9"/>
      <c r="D11658" t="str">
        <f>"hsp-16.1"</f>
        <v>hsp-16.1</v>
      </c>
      <c r="E11658" t="s">
        <v>4349</v>
      </c>
      <c r="F11658" t="s">
        <v>11</v>
      </c>
      <c r="H11658" s="12">
        <v>2.79303973153662</v>
      </c>
      <c r="I11658" s="20">
        <v>0.55760302714815302</v>
      </c>
      <c r="J11658" s="28">
        <v>0.57711548891914799</v>
      </c>
      <c r="K11658" s="29">
        <v>0.98289565623980701</v>
      </c>
    </row>
    <row r="11659" spans="1:11" x14ac:dyDescent="0.35">
      <c r="A11659" s="9" t="str">
        <f>HYPERLINK("http://www.ensembl.org/id/WBGene00002019", "WBGene00002019")</f>
        <v>WBGene00002019</v>
      </c>
      <c r="B11659" s="9" t="str">
        <f>HYPERLINK("http://www.ncbi.nlm.nih.gov/gene/179287", "179287")</f>
        <v>179287</v>
      </c>
      <c r="C11659" s="9"/>
      <c r="D11659" t="str">
        <f>"hsp-16.48"</f>
        <v>hsp-16.48</v>
      </c>
      <c r="E11659" t="s">
        <v>4266</v>
      </c>
      <c r="F11659" t="s">
        <v>11</v>
      </c>
      <c r="H11659" s="12">
        <v>4.7896577121075401</v>
      </c>
      <c r="I11659" s="20">
        <v>0.69368782708955901</v>
      </c>
      <c r="J11659" s="28">
        <v>0.48787800157054401</v>
      </c>
      <c r="K11659" s="29">
        <v>0.98289565623980701</v>
      </c>
    </row>
    <row r="11660" spans="1:11" x14ac:dyDescent="0.35">
      <c r="A11660" s="9" t="str">
        <f>HYPERLINK("http://www.ensembl.org/id/WBGene00002020", "WBGene00002020")</f>
        <v>WBGene00002020</v>
      </c>
      <c r="B11660" s="9" t="str">
        <f>HYPERLINK("http://www.ncbi.nlm.nih.gov/gene/179288", "179288")</f>
        <v>179288</v>
      </c>
      <c r="C11660" s="9"/>
      <c r="D11660" t="str">
        <f>"hsp-16.49"</f>
        <v>hsp-16.49</v>
      </c>
      <c r="E11660" t="s">
        <v>4266</v>
      </c>
      <c r="F11660" t="s">
        <v>11</v>
      </c>
      <c r="H11660" s="12">
        <v>-2.32806922451122</v>
      </c>
      <c r="I11660" s="20">
        <v>-0.28296842763464503</v>
      </c>
      <c r="J11660" s="28">
        <v>0.77720103937969098</v>
      </c>
      <c r="K11660" s="29">
        <v>0.98289565623980701</v>
      </c>
    </row>
    <row r="11661" spans="1:11" x14ac:dyDescent="0.35">
      <c r="A11661" s="9" t="str">
        <f>HYPERLINK("http://www.ensembl.org/id/WBGene00002006", "WBGene00002006")</f>
        <v>WBGene00002006</v>
      </c>
      <c r="B11661" s="9"/>
      <c r="C11661" s="9"/>
      <c r="D11661" t="str">
        <f>"hsp-2"</f>
        <v>hsp-2</v>
      </c>
      <c r="F11661" t="s">
        <v>80</v>
      </c>
      <c r="H11661" s="12">
        <v>1.95758625116193</v>
      </c>
      <c r="I11661" s="20">
        <v>0.77086614529765396</v>
      </c>
      <c r="J11661" s="28">
        <v>0.44078627573763202</v>
      </c>
      <c r="K11661" s="29">
        <v>0.98289565623980701</v>
      </c>
    </row>
    <row r="11662" spans="1:11" x14ac:dyDescent="0.35">
      <c r="A11662" s="9" t="str">
        <f>HYPERLINK("http://www.ensembl.org/id/WBGene00002023", "WBGene00002023")</f>
        <v>WBGene00002023</v>
      </c>
      <c r="B11662" s="9" t="str">
        <f>HYPERLINK("http://www.ncbi.nlm.nih.gov/gene/180872", "180872")</f>
        <v>180872</v>
      </c>
      <c r="C11662" s="9"/>
      <c r="D11662" t="str">
        <f>"hsp-25"</f>
        <v>hsp-25</v>
      </c>
      <c r="E11662" t="s">
        <v>3481</v>
      </c>
      <c r="F11662" t="s">
        <v>11</v>
      </c>
      <c r="G11662" t="s">
        <v>7377</v>
      </c>
      <c r="H11662" s="12">
        <v>-1.1227033456101501</v>
      </c>
      <c r="I11662" s="20">
        <v>-0.61791912552592798</v>
      </c>
      <c r="J11662" s="28">
        <v>0.53662865106612001</v>
      </c>
      <c r="K11662" s="29">
        <v>0.98289565623980701</v>
      </c>
    </row>
    <row r="11663" spans="1:11" x14ac:dyDescent="0.35">
      <c r="A11663" s="9" t="str">
        <f>HYPERLINK("http://www.ensembl.org/id/WBGene00002024", "WBGene00002024")</f>
        <v>WBGene00002024</v>
      </c>
      <c r="B11663" s="9" t="str">
        <f>HYPERLINK("http://www.ncbi.nlm.nih.gov/gene/180895", "180895")</f>
        <v>180895</v>
      </c>
      <c r="C11663" s="9"/>
      <c r="D11663" t="str">
        <f>"hsp-43"</f>
        <v>hsp-43</v>
      </c>
      <c r="E11663" t="s">
        <v>3481</v>
      </c>
      <c r="F11663" t="s">
        <v>11</v>
      </c>
      <c r="H11663" s="12">
        <v>1.12002288107909</v>
      </c>
      <c r="I11663" s="20">
        <v>0.61627649662967598</v>
      </c>
      <c r="J11663" s="28">
        <v>0.53771204827444796</v>
      </c>
      <c r="K11663" s="29">
        <v>0.98289565623980701</v>
      </c>
    </row>
    <row r="11664" spans="1:11" x14ac:dyDescent="0.35">
      <c r="A11664" s="9" t="str">
        <f>HYPERLINK("http://www.ensembl.org/id/WBGene00002010", "WBGene00002010")</f>
        <v>WBGene00002010</v>
      </c>
      <c r="B11664" s="9" t="str">
        <f>HYPERLINK("http://www.ncbi.nlm.nih.gov/gene/178873", "178873")</f>
        <v>178873</v>
      </c>
      <c r="C11664" s="9" t="str">
        <f>HYPERLINK("http://www.ncbi.nlm.nih.gov/gene/3313", "3313")</f>
        <v>3313</v>
      </c>
      <c r="D11664" t="str">
        <f>"hsp-6"</f>
        <v>hsp-6</v>
      </c>
      <c r="E11664" t="s">
        <v>6568</v>
      </c>
      <c r="F11664" t="s">
        <v>11</v>
      </c>
      <c r="G11664" t="s">
        <v>6569</v>
      </c>
      <c r="H11664" s="12">
        <v>-1.07718921321539</v>
      </c>
      <c r="I11664" s="20">
        <v>-0.405127020494779</v>
      </c>
      <c r="J11664" s="28">
        <v>0.68538414572779705</v>
      </c>
      <c r="K11664" s="29">
        <v>0.98289565623980701</v>
      </c>
    </row>
    <row r="11665" spans="1:11" x14ac:dyDescent="0.35">
      <c r="A11665" s="9" t="str">
        <f>HYPERLINK("http://www.ensembl.org/id/WBGene00000915", "WBGene00000915")</f>
        <v>WBGene00000915</v>
      </c>
      <c r="B11665" s="9" t="str">
        <f>HYPERLINK("http://www.ncbi.nlm.nih.gov/gene/179971", "179971")</f>
        <v>179971</v>
      </c>
      <c r="C11665" s="9" t="str">
        <f>HYPERLINK("http://www.ncbi.nlm.nih.gov/gene/3326", "3326")</f>
        <v>3326</v>
      </c>
      <c r="D11665" t="str">
        <f>"hsp-90"</f>
        <v>hsp-90</v>
      </c>
      <c r="E11665" t="s">
        <v>8793</v>
      </c>
      <c r="F11665" t="s">
        <v>11</v>
      </c>
      <c r="G11665" t="s">
        <v>6569</v>
      </c>
      <c r="H11665" s="12">
        <v>-1.1970683055690701</v>
      </c>
      <c r="I11665" s="20">
        <v>-1.0124929277994199</v>
      </c>
      <c r="J11665" s="28">
        <v>0.31130242645721801</v>
      </c>
      <c r="K11665" s="29">
        <v>0.98289565623980701</v>
      </c>
    </row>
    <row r="11666" spans="1:11" x14ac:dyDescent="0.35">
      <c r="A11666" s="9" t="str">
        <f>HYPERLINK("http://www.ensembl.org/id/WBGene00002027", "WBGene00002027")</f>
        <v>WBGene00002027</v>
      </c>
      <c r="B11666" s="9" t="str">
        <f>HYPERLINK("http://www.ncbi.nlm.nih.gov/gene/3565010", "3565010")</f>
        <v>3565010</v>
      </c>
      <c r="C11666" s="9"/>
      <c r="D11666" t="str">
        <f>"hsr-9"</f>
        <v>hsr-9</v>
      </c>
      <c r="F11666" t="s">
        <v>11</v>
      </c>
      <c r="H11666" s="12">
        <v>-1.2204827971005401</v>
      </c>
      <c r="I11666" s="20">
        <v>-1.0097103785166299</v>
      </c>
      <c r="J11666" s="28">
        <v>0.31263406862570797</v>
      </c>
      <c r="K11666" s="29">
        <v>0.98289565623980701</v>
      </c>
    </row>
    <row r="11667" spans="1:11" x14ac:dyDescent="0.35">
      <c r="A11667" s="9" t="str">
        <f>HYPERLINK("http://www.ensembl.org/id/WBGene00002028", "WBGene00002028")</f>
        <v>WBGene00002028</v>
      </c>
      <c r="B11667" s="9" t="str">
        <f>HYPERLINK("http://www.ncbi.nlm.nih.gov/gene/177675", "177675")</f>
        <v>177675</v>
      </c>
      <c r="C11667" s="9" t="str">
        <f>HYPERLINK("http://www.ncbi.nlm.nih.gov/gene/8509", "8509")</f>
        <v>8509</v>
      </c>
      <c r="D11667" t="str">
        <f>"hst-1"</f>
        <v>hst-1</v>
      </c>
      <c r="E11667" t="s">
        <v>9374</v>
      </c>
      <c r="F11667" t="s">
        <v>11</v>
      </c>
      <c r="G11667" t="s">
        <v>9375</v>
      </c>
      <c r="H11667" s="12">
        <v>-1.2419647890079499</v>
      </c>
      <c r="I11667" s="20">
        <v>-1.03230738004947</v>
      </c>
      <c r="J11667" s="28">
        <v>0.30192814490995901</v>
      </c>
      <c r="K11667" s="29">
        <v>0.98289565623980701</v>
      </c>
    </row>
    <row r="11668" spans="1:11" x14ac:dyDescent="0.35">
      <c r="A11668" s="9" t="str">
        <f>HYPERLINK("http://www.ensembl.org/id/WBGene00002030", "WBGene00002030")</f>
        <v>WBGene00002030</v>
      </c>
      <c r="B11668" s="9" t="str">
        <f>HYPERLINK("http://www.ncbi.nlm.nih.gov/gene/185573", "185573")</f>
        <v>185573</v>
      </c>
      <c r="C11668" s="9"/>
      <c r="D11668" t="str">
        <f>"hst-3.1"</f>
        <v>hst-3.1</v>
      </c>
      <c r="E11668" t="s">
        <v>1196</v>
      </c>
      <c r="F11668" t="s">
        <v>11</v>
      </c>
      <c r="G11668" t="s">
        <v>1197</v>
      </c>
      <c r="H11668" s="12">
        <v>1.1339355352068901</v>
      </c>
      <c r="I11668" s="20">
        <v>0.356224832013393</v>
      </c>
      <c r="J11668" s="28">
        <v>0.72167219683147299</v>
      </c>
      <c r="K11668" s="29">
        <v>0.98289565623980701</v>
      </c>
    </row>
    <row r="11669" spans="1:11" x14ac:dyDescent="0.35">
      <c r="A11669" s="9" t="str">
        <f>HYPERLINK("http://www.ensembl.org/id/WBGene00019947", "WBGene00019947")</f>
        <v>WBGene00019947</v>
      </c>
      <c r="B11669" s="9" t="str">
        <f>HYPERLINK("http://www.ncbi.nlm.nih.gov/gene/177212", "177212")</f>
        <v>177212</v>
      </c>
      <c r="C11669" s="9" t="str">
        <f>HYPERLINK("http://www.ncbi.nlm.nih.gov/gene/94239", "94239")</f>
        <v>94239</v>
      </c>
      <c r="D11669" t="str">
        <f>"htz-1"</f>
        <v>htz-1</v>
      </c>
      <c r="E11669" t="s">
        <v>6478</v>
      </c>
      <c r="F11669" t="s">
        <v>11</v>
      </c>
      <c r="G11669" t="s">
        <v>232</v>
      </c>
      <c r="H11669" s="12">
        <v>-1.0711273454600301</v>
      </c>
      <c r="I11669" s="20">
        <v>-0.30797133446481101</v>
      </c>
      <c r="J11669" s="28">
        <v>0.758104144694696</v>
      </c>
      <c r="K11669" s="29">
        <v>0.98289565623980701</v>
      </c>
    </row>
    <row r="11670" spans="1:11" x14ac:dyDescent="0.35">
      <c r="A11670" s="9" t="str">
        <f>HYPERLINK("http://www.ensembl.org/id/WBGene00018377", "WBGene00018377")</f>
        <v>WBGene00018377</v>
      </c>
      <c r="B11670" s="9" t="str">
        <f>HYPERLINK("http://www.ncbi.nlm.nih.gov/gene/185693", "185693")</f>
        <v>185693</v>
      </c>
      <c r="C11670" s="9"/>
      <c r="D11670" t="str">
        <f>"hum-10"</f>
        <v>hum-10</v>
      </c>
      <c r="E11670" t="s">
        <v>1548</v>
      </c>
      <c r="F11670" t="s">
        <v>11</v>
      </c>
      <c r="G11670" t="s">
        <v>4439</v>
      </c>
      <c r="H11670" s="12">
        <v>2.1181374547474201</v>
      </c>
      <c r="I11670" s="20">
        <v>0.47250676401797498</v>
      </c>
      <c r="J11670" s="28">
        <v>0.636565114877084</v>
      </c>
      <c r="K11670" s="29">
        <v>0.98289565623980701</v>
      </c>
    </row>
    <row r="11671" spans="1:11" x14ac:dyDescent="0.35">
      <c r="A11671" s="9" t="str">
        <f>HYPERLINK("http://www.ensembl.org/id/WBGene00002036", "WBGene00002036")</f>
        <v>WBGene00002036</v>
      </c>
      <c r="B11671" s="9" t="str">
        <f>HYPERLINK("http://www.ncbi.nlm.nih.gov/gene/179321", "179321")</f>
        <v>179321</v>
      </c>
      <c r="C11671" s="9" t="str">
        <f>HYPERLINK("http://www.ncbi.nlm.nih.gov/gene/4644", "4644")</f>
        <v>4644</v>
      </c>
      <c r="D11671" t="str">
        <f>"hum-2"</f>
        <v>hum-2</v>
      </c>
      <c r="E11671" t="s">
        <v>1548</v>
      </c>
      <c r="F11671" t="s">
        <v>11</v>
      </c>
      <c r="G11671" t="s">
        <v>7971</v>
      </c>
      <c r="H11671" s="12">
        <v>-1.1541184227955099</v>
      </c>
      <c r="I11671" s="20">
        <v>-0.77965326030479898</v>
      </c>
      <c r="J11671" s="28">
        <v>0.43559499724189898</v>
      </c>
      <c r="K11671" s="29">
        <v>0.98289565623980701</v>
      </c>
    </row>
    <row r="11672" spans="1:11" x14ac:dyDescent="0.35">
      <c r="A11672" s="9" t="str">
        <f>HYPERLINK("http://www.ensembl.org/id/WBGene00002037", "WBGene00002037")</f>
        <v>WBGene00002037</v>
      </c>
      <c r="B11672" s="9" t="str">
        <f>HYPERLINK("http://www.ncbi.nlm.nih.gov/gene/181335", "181335")</f>
        <v>181335</v>
      </c>
      <c r="C11672" s="9"/>
      <c r="D11672" t="str">
        <f>"hum-4"</f>
        <v>hum-4</v>
      </c>
      <c r="E11672" t="s">
        <v>1548</v>
      </c>
      <c r="F11672" t="s">
        <v>11</v>
      </c>
      <c r="G11672" t="s">
        <v>5734</v>
      </c>
      <c r="H11672" s="12">
        <v>1.1134141791673799</v>
      </c>
      <c r="I11672" s="20">
        <v>0.52956716034024998</v>
      </c>
      <c r="J11672" s="28">
        <v>0.596412068282688</v>
      </c>
      <c r="K11672" s="29">
        <v>0.98289565623980701</v>
      </c>
    </row>
    <row r="11673" spans="1:11" x14ac:dyDescent="0.35">
      <c r="A11673" s="9" t="str">
        <f>HYPERLINK("http://www.ensembl.org/id/WBGene00002038", "WBGene00002038")</f>
        <v>WBGene00002038</v>
      </c>
      <c r="B11673" s="9" t="str">
        <f>HYPERLINK("http://www.ncbi.nlm.nih.gov/gene/175521", "175521")</f>
        <v>175521</v>
      </c>
      <c r="C11673" s="9" t="str">
        <f>HYPERLINK("http://www.ncbi.nlm.nih.gov/gene/4642", "4642")</f>
        <v>4642</v>
      </c>
      <c r="D11673" t="str">
        <f>"hum-5"</f>
        <v>hum-5</v>
      </c>
      <c r="E11673" t="s">
        <v>5880</v>
      </c>
      <c r="F11673" t="s">
        <v>11</v>
      </c>
      <c r="G11673" t="s">
        <v>1549</v>
      </c>
      <c r="H11673" s="12">
        <v>1.09080231614912</v>
      </c>
      <c r="I11673" s="20">
        <v>0.47234058128391199</v>
      </c>
      <c r="J11673" s="28">
        <v>0.63668370872038305</v>
      </c>
      <c r="K11673" s="29">
        <v>0.98289565623980701</v>
      </c>
    </row>
    <row r="11674" spans="1:11" x14ac:dyDescent="0.35">
      <c r="A11674" s="9" t="str">
        <f>HYPERLINK("http://www.ensembl.org/id/WBGene00002041", "WBGene00002041")</f>
        <v>WBGene00002041</v>
      </c>
      <c r="B11674" s="9" t="str">
        <f>HYPERLINK("http://www.ncbi.nlm.nih.gov/gene/176872", "176872")</f>
        <v>176872</v>
      </c>
      <c r="C11674" s="9" t="str">
        <f>HYPERLINK("http://www.ncbi.nlm.nih.gov/gene/4646", "4646")</f>
        <v>4646</v>
      </c>
      <c r="D11674" t="str">
        <f>"hum-8"</f>
        <v>hum-8</v>
      </c>
      <c r="E11674" t="s">
        <v>1548</v>
      </c>
      <c r="F11674" t="s">
        <v>11</v>
      </c>
      <c r="G11674" t="s">
        <v>8358</v>
      </c>
      <c r="H11674" s="12">
        <v>-1.1731724625214099</v>
      </c>
      <c r="I11674" s="20">
        <v>-0.82829303487209205</v>
      </c>
      <c r="J11674" s="28">
        <v>0.40750456642255101</v>
      </c>
      <c r="K11674" s="29">
        <v>0.98289565623980701</v>
      </c>
    </row>
    <row r="11675" spans="1:11" x14ac:dyDescent="0.35">
      <c r="A11675" s="9" t="str">
        <f>HYPERLINK("http://www.ensembl.org/id/WBGene00013740", "WBGene00013740")</f>
        <v>WBGene00013740</v>
      </c>
      <c r="B11675" s="9" t="str">
        <f>HYPERLINK("http://www.ncbi.nlm.nih.gov/gene/176690", "176690")</f>
        <v>176690</v>
      </c>
      <c r="C11675" s="9" t="str">
        <f>HYPERLINK("http://www.ncbi.nlm.nih.gov/gene/10237", "10237")</f>
        <v>10237</v>
      </c>
      <c r="D11675" t="str">
        <f>"hut-1"</f>
        <v>hut-1</v>
      </c>
      <c r="E11675" t="s">
        <v>8936</v>
      </c>
      <c r="F11675" t="s">
        <v>11</v>
      </c>
      <c r="G11675" t="s">
        <v>8937</v>
      </c>
      <c r="H11675" s="12">
        <v>-1.2093118229486199</v>
      </c>
      <c r="I11675" s="20">
        <v>-0.99756220039259502</v>
      </c>
      <c r="J11675" s="28">
        <v>0.31849169813577699</v>
      </c>
      <c r="K11675" s="29">
        <v>0.98289565623980701</v>
      </c>
    </row>
    <row r="11676" spans="1:11" x14ac:dyDescent="0.35">
      <c r="A11676" s="9" t="str">
        <f>HYPERLINK("http://www.ensembl.org/id/WBGene00022306", "WBGene00022306")</f>
        <v>WBGene00022306</v>
      </c>
      <c r="B11676" s="9" t="str">
        <f>HYPERLINK("http://www.ncbi.nlm.nih.gov/gene/176958", "176958")</f>
        <v>176958</v>
      </c>
      <c r="C11676" s="9"/>
      <c r="D11676" t="str">
        <f>"hxk-3"</f>
        <v>hxk-3</v>
      </c>
      <c r="E11676" t="s">
        <v>1644</v>
      </c>
      <c r="F11676" t="s">
        <v>11</v>
      </c>
      <c r="G11676" t="s">
        <v>3606</v>
      </c>
      <c r="H11676" s="12">
        <v>-1.0739525480585901</v>
      </c>
      <c r="I11676" s="20">
        <v>-0.38810393988624597</v>
      </c>
      <c r="J11676" s="28">
        <v>0.69793911642792095</v>
      </c>
      <c r="K11676" s="29">
        <v>0.98289565623980701</v>
      </c>
    </row>
    <row r="11677" spans="1:11" x14ac:dyDescent="0.35">
      <c r="A11677" s="9" t="str">
        <f>HYPERLINK("http://www.ensembl.org/id/WBGene00015466", "WBGene00015466")</f>
        <v>WBGene00015466</v>
      </c>
      <c r="B11677" s="9" t="str">
        <f>HYPERLINK("http://www.ncbi.nlm.nih.gov/gene/179118", "179118")</f>
        <v>179118</v>
      </c>
      <c r="C11677" s="9"/>
      <c r="D11677" t="str">
        <f>"hyls-1"</f>
        <v>hyls-1</v>
      </c>
      <c r="E11677" t="s">
        <v>7942</v>
      </c>
      <c r="F11677" t="s">
        <v>11</v>
      </c>
      <c r="G11677" t="s">
        <v>7943</v>
      </c>
      <c r="H11677" s="12">
        <v>-1.1521246294121901</v>
      </c>
      <c r="I11677" s="20">
        <v>-0.72742070650392798</v>
      </c>
      <c r="J11677" s="28">
        <v>0.46696827364795002</v>
      </c>
      <c r="K11677" s="29">
        <v>0.98289565623980701</v>
      </c>
    </row>
    <row r="11678" spans="1:11" x14ac:dyDescent="0.35">
      <c r="A11678" s="9" t="str">
        <f>HYPERLINK("http://www.ensembl.org/id/WBGene00002152", "WBGene00002152")</f>
        <v>WBGene00002152</v>
      </c>
      <c r="B11678" s="9" t="str">
        <f>HYPERLINK("http://www.ncbi.nlm.nih.gov/gene/177926", "177926")</f>
        <v>177926</v>
      </c>
      <c r="C11678" s="9" t="str">
        <f>HYPERLINK("http://www.ncbi.nlm.nih.gov/gene/3376", "3376")</f>
        <v>3376</v>
      </c>
      <c r="D11678" t="str">
        <f>"iars-1"</f>
        <v>iars-1</v>
      </c>
      <c r="E11678" t="s">
        <v>8877</v>
      </c>
      <c r="F11678" t="s">
        <v>11</v>
      </c>
      <c r="G11678" t="s">
        <v>8878</v>
      </c>
      <c r="H11678" s="12">
        <v>-1.2045051652295899</v>
      </c>
      <c r="I11678" s="20">
        <v>-0.99814281471316402</v>
      </c>
      <c r="J11678" s="28">
        <v>0.31821011139150301</v>
      </c>
      <c r="K11678" s="29">
        <v>0.98289565623980701</v>
      </c>
    </row>
    <row r="11679" spans="1:11" x14ac:dyDescent="0.35">
      <c r="A11679" s="9" t="str">
        <f>HYPERLINK("http://www.ensembl.org/id/WBGene00002153", "WBGene00002153")</f>
        <v>WBGene00002153</v>
      </c>
      <c r="B11679" s="9" t="str">
        <f>HYPERLINK("http://www.ncbi.nlm.nih.gov/gene/172884", "172884")</f>
        <v>172884</v>
      </c>
      <c r="C11679" s="9" t="str">
        <f>HYPERLINK("http://www.ncbi.nlm.nih.gov/gene/55699", "55699")</f>
        <v>55699</v>
      </c>
      <c r="D11679" t="str">
        <f>"iars-2"</f>
        <v>iars-2</v>
      </c>
      <c r="E11679" t="s">
        <v>7885</v>
      </c>
      <c r="F11679" t="s">
        <v>11</v>
      </c>
      <c r="G11679" t="s">
        <v>7886</v>
      </c>
      <c r="H11679" s="12">
        <v>-1.14978389269822</v>
      </c>
      <c r="I11679" s="20">
        <v>-0.68296530822066104</v>
      </c>
      <c r="J11679" s="28">
        <v>0.49462876427557201</v>
      </c>
      <c r="K11679" s="29">
        <v>0.98289565623980701</v>
      </c>
    </row>
    <row r="11680" spans="1:11" x14ac:dyDescent="0.35">
      <c r="A11680" s="9" t="str">
        <f>HYPERLINK("http://www.ensembl.org/id/WBGene00012889", "WBGene00012889")</f>
        <v>WBGene00012889</v>
      </c>
      <c r="B11680" s="9" t="str">
        <f>HYPERLINK("http://www.ncbi.nlm.nih.gov/gene/189926", "189926")</f>
        <v>189926</v>
      </c>
      <c r="C11680" s="9"/>
      <c r="D11680" t="str">
        <f>"icap-1"</f>
        <v>icap-1</v>
      </c>
      <c r="F11680" t="s">
        <v>11</v>
      </c>
      <c r="G11680" t="s">
        <v>6763</v>
      </c>
      <c r="H11680" s="12">
        <v>-1.0881507891428901</v>
      </c>
      <c r="I11680" s="20">
        <v>-0.28602223054534798</v>
      </c>
      <c r="J11680" s="28">
        <v>0.77486109498998201</v>
      </c>
      <c r="K11680" s="29">
        <v>0.98289565623980701</v>
      </c>
    </row>
    <row r="11681" spans="1:11" x14ac:dyDescent="0.35">
      <c r="A11681" s="9" t="str">
        <f>HYPERLINK("http://www.ensembl.org/id/WBGene00002045", "WBGene00002045")</f>
        <v>WBGene00002045</v>
      </c>
      <c r="B11681" s="9" t="str">
        <f>HYPERLINK("http://www.ncbi.nlm.nih.gov/gene/174090", "174090")</f>
        <v>174090</v>
      </c>
      <c r="C11681" s="9" t="str">
        <f>HYPERLINK("http://www.ncbi.nlm.nih.gov/gene/91408", "91408")</f>
        <v>91408</v>
      </c>
      <c r="D11681" t="str">
        <f>"icd-1"</f>
        <v>icd-1</v>
      </c>
      <c r="E11681" t="s">
        <v>7714</v>
      </c>
      <c r="F11681" t="s">
        <v>11</v>
      </c>
      <c r="H11681" s="12">
        <v>-1.14099482249747</v>
      </c>
      <c r="I11681" s="20">
        <v>-0.74194147100979102</v>
      </c>
      <c r="J11681" s="28">
        <v>0.45812279790598998</v>
      </c>
      <c r="K11681" s="29">
        <v>0.98289565623980701</v>
      </c>
    </row>
    <row r="11682" spans="1:11" x14ac:dyDescent="0.35">
      <c r="A11682" s="9" t="str">
        <f>HYPERLINK("http://www.ensembl.org/id/WBGene00022042", "WBGene00022042")</f>
        <v>WBGene00022042</v>
      </c>
      <c r="B11682" s="9" t="str">
        <f>HYPERLINK("http://www.ncbi.nlm.nih.gov/gene/171646", "171646")</f>
        <v>171646</v>
      </c>
      <c r="C11682" s="9" t="str">
        <f>HYPERLINK("http://www.ncbi.nlm.nih.gov/gene/342538", "342538")</f>
        <v>342538</v>
      </c>
      <c r="D11682" t="str">
        <f>"icd-2"</f>
        <v>icd-2</v>
      </c>
      <c r="E11682" t="s">
        <v>8044</v>
      </c>
      <c r="F11682" t="s">
        <v>11</v>
      </c>
      <c r="G11682" t="s">
        <v>8045</v>
      </c>
      <c r="H11682" s="12">
        <v>-1.1578717559938001</v>
      </c>
      <c r="I11682" s="20">
        <v>-0.81065427950605295</v>
      </c>
      <c r="J11682" s="28">
        <v>0.417564236236521</v>
      </c>
      <c r="K11682" s="29">
        <v>0.98289565623980701</v>
      </c>
    </row>
    <row r="11683" spans="1:11" x14ac:dyDescent="0.35">
      <c r="A11683" s="9" t="str">
        <f>HYPERLINK("http://www.ensembl.org/id/WBGene00002046", "WBGene00002046")</f>
        <v>WBGene00002046</v>
      </c>
      <c r="B11683" s="9" t="str">
        <f>HYPERLINK("http://www.ncbi.nlm.nih.gov/gene/177730", "177730")</f>
        <v>177730</v>
      </c>
      <c r="C11683" s="9"/>
      <c r="D11683" t="str">
        <f>"icln-1"</f>
        <v>icln-1</v>
      </c>
      <c r="E11683" t="s">
        <v>9018</v>
      </c>
      <c r="F11683" t="s">
        <v>11</v>
      </c>
      <c r="G11683" t="s">
        <v>9019</v>
      </c>
      <c r="H11683" s="12">
        <v>-1.2149019258514799</v>
      </c>
      <c r="I11683" s="20">
        <v>-0.95248860923915601</v>
      </c>
      <c r="J11683" s="28">
        <v>0.34084924007297901</v>
      </c>
      <c r="K11683" s="29">
        <v>0.98289565623980701</v>
      </c>
    </row>
    <row r="11684" spans="1:11" x14ac:dyDescent="0.35">
      <c r="A11684" s="9" t="str">
        <f>HYPERLINK("http://www.ensembl.org/id/WBGene00002047", "WBGene00002047")</f>
        <v>WBGene00002047</v>
      </c>
      <c r="B11684" s="9" t="str">
        <f>HYPERLINK("http://www.ncbi.nlm.nih.gov/gene/171788", "171788")</f>
        <v>171788</v>
      </c>
      <c r="C11684" s="9"/>
      <c r="D11684" t="str">
        <f>"icp-1"</f>
        <v>icp-1</v>
      </c>
      <c r="E11684" t="s">
        <v>9869</v>
      </c>
      <c r="F11684" t="s">
        <v>11</v>
      </c>
      <c r="G11684" t="s">
        <v>9870</v>
      </c>
      <c r="H11684" s="12">
        <v>-1.33891274457636</v>
      </c>
      <c r="I11684" s="20">
        <v>-1.1491674277485699</v>
      </c>
      <c r="J11684" s="28">
        <v>0.250486949095582</v>
      </c>
      <c r="K11684" s="29">
        <v>0.98289565623980701</v>
      </c>
    </row>
    <row r="11685" spans="1:11" x14ac:dyDescent="0.35">
      <c r="A11685" s="9" t="str">
        <f>HYPERLINK("http://www.ensembl.org/id/WBGene00002048", "WBGene00002048")</f>
        <v>WBGene00002048</v>
      </c>
      <c r="B11685" s="9" t="str">
        <f>HYPERLINK("http://www.ncbi.nlm.nih.gov/gene/175807", "175807")</f>
        <v>175807</v>
      </c>
      <c r="C11685" s="9"/>
      <c r="D11685" t="str">
        <f>"ida-1"</f>
        <v>ida-1</v>
      </c>
      <c r="E11685" t="s">
        <v>5228</v>
      </c>
      <c r="F11685" t="s">
        <v>11</v>
      </c>
      <c r="G11685" t="s">
        <v>5229</v>
      </c>
      <c r="H11685" s="12">
        <v>1.2102373135107201</v>
      </c>
      <c r="I11685" s="20">
        <v>1.0643522062216999</v>
      </c>
      <c r="J11685" s="28">
        <v>0.28716917622344801</v>
      </c>
      <c r="K11685" s="29">
        <v>0.98289565623980701</v>
      </c>
    </row>
    <row r="11686" spans="1:11" x14ac:dyDescent="0.35">
      <c r="A11686" s="9" t="str">
        <f>HYPERLINK("http://www.ensembl.org/id/WBGene00010317", "WBGene00010317")</f>
        <v>WBGene00010317</v>
      </c>
      <c r="B11686" s="9" t="str">
        <f>HYPERLINK("http://www.ncbi.nlm.nih.gov/gene/177775", "177775")</f>
        <v>177775</v>
      </c>
      <c r="C11686" s="9" t="str">
        <f>HYPERLINK("http://www.ncbi.nlm.nih.gov/gene/3417", "3417")</f>
        <v>3417</v>
      </c>
      <c r="D11686" t="str">
        <f>"idh-1"</f>
        <v>idh-1</v>
      </c>
      <c r="E11686" t="s">
        <v>6106</v>
      </c>
      <c r="F11686" t="s">
        <v>11</v>
      </c>
      <c r="G11686" t="s">
        <v>7606</v>
      </c>
      <c r="H11686" s="12">
        <v>-1.1354421579393501</v>
      </c>
      <c r="I11686" s="20">
        <v>-0.710804775195509</v>
      </c>
      <c r="J11686" s="28">
        <v>0.47720522113234898</v>
      </c>
      <c r="K11686" s="29">
        <v>0.98289565623980701</v>
      </c>
    </row>
    <row r="11687" spans="1:11" x14ac:dyDescent="0.35">
      <c r="A11687" s="9" t="str">
        <f>HYPERLINK("http://www.ensembl.org/id/WBGene00007942", "WBGene00007942")</f>
        <v>WBGene00007942</v>
      </c>
      <c r="B11687" s="9" t="str">
        <f>HYPERLINK("http://www.ncbi.nlm.nih.gov/gene/181311", "181311")</f>
        <v>181311</v>
      </c>
      <c r="C11687" s="9" t="str">
        <f>HYPERLINK("http://www.ncbi.nlm.nih.gov/gene/3418", "3418")</f>
        <v>3418</v>
      </c>
      <c r="D11687" t="str">
        <f>"idh-2"</f>
        <v>idh-2</v>
      </c>
      <c r="E11687" t="s">
        <v>6106</v>
      </c>
      <c r="F11687" t="s">
        <v>11</v>
      </c>
      <c r="G11687" t="s">
        <v>6107</v>
      </c>
      <c r="H11687" s="12">
        <v>1.0593864310119001</v>
      </c>
      <c r="I11687" s="20">
        <v>0.30301640055857598</v>
      </c>
      <c r="J11687" s="28">
        <v>0.76187736299251896</v>
      </c>
      <c r="K11687" s="29">
        <v>0.98289565623980701</v>
      </c>
    </row>
    <row r="11688" spans="1:11" x14ac:dyDescent="0.35">
      <c r="A11688" s="9" t="str">
        <f>HYPERLINK("http://www.ensembl.org/id/WBGene00009664", "WBGene00009664")</f>
        <v>WBGene00009664</v>
      </c>
      <c r="B11688" s="9" t="str">
        <f>HYPERLINK("http://www.ncbi.nlm.nih.gov/gene/172655", "172655")</f>
        <v>172655</v>
      </c>
      <c r="C11688" s="9" t="str">
        <f>HYPERLINK("http://www.ncbi.nlm.nih.gov/gene/3419", "3419")</f>
        <v>3419</v>
      </c>
      <c r="D11688" t="str">
        <f>"idha-1"</f>
        <v>idha-1</v>
      </c>
      <c r="E11688" t="s">
        <v>7752</v>
      </c>
      <c r="F11688" t="s">
        <v>11</v>
      </c>
      <c r="G11688" t="s">
        <v>6302</v>
      </c>
      <c r="H11688" s="12">
        <v>-1.1425459135901399</v>
      </c>
      <c r="I11688" s="20">
        <v>-0.70651849955407098</v>
      </c>
      <c r="J11688" s="28">
        <v>0.47986575236712398</v>
      </c>
      <c r="K11688" s="29">
        <v>0.98289565623980701</v>
      </c>
    </row>
    <row r="11689" spans="1:11" x14ac:dyDescent="0.35">
      <c r="A11689" s="9" t="str">
        <f>HYPERLINK("http://www.ensembl.org/id/WBGene00007993", "WBGene00007993")</f>
        <v>WBGene00007993</v>
      </c>
      <c r="B11689" s="9" t="str">
        <f>HYPERLINK("http://www.ncbi.nlm.nih.gov/gene/181528", "181528")</f>
        <v>181528</v>
      </c>
      <c r="C11689" s="9" t="str">
        <f>HYPERLINK("http://www.ncbi.nlm.nih.gov/gene/3420", "3420")</f>
        <v>3420</v>
      </c>
      <c r="D11689" t="str">
        <f>"idhb-1"</f>
        <v>idhb-1</v>
      </c>
      <c r="E11689" t="s">
        <v>6301</v>
      </c>
      <c r="F11689" t="s">
        <v>11</v>
      </c>
      <c r="G11689" t="s">
        <v>6302</v>
      </c>
      <c r="H11689" s="12">
        <v>-1.0611460296869</v>
      </c>
      <c r="I11689" s="20">
        <v>-0.300248738134477</v>
      </c>
      <c r="J11689" s="28">
        <v>0.76398743131543001</v>
      </c>
      <c r="K11689" s="29">
        <v>0.98289565623980701</v>
      </c>
    </row>
    <row r="11690" spans="1:11" x14ac:dyDescent="0.35">
      <c r="A11690" s="9" t="str">
        <f>HYPERLINK("http://www.ensembl.org/id/WBGene00009440", "WBGene00009440")</f>
        <v>WBGene00009440</v>
      </c>
      <c r="B11690" s="9" t="str">
        <f>HYPERLINK("http://www.ncbi.nlm.nih.gov/gene/175598", "175598")</f>
        <v>175598</v>
      </c>
      <c r="C11690" s="9" t="str">
        <f>HYPERLINK("http://www.ncbi.nlm.nih.gov/gene/3421", "3421")</f>
        <v>3421</v>
      </c>
      <c r="D11690" t="str">
        <f>"idhg-1"</f>
        <v>idhg-1</v>
      </c>
      <c r="E11690" t="s">
        <v>3911</v>
      </c>
      <c r="F11690" t="s">
        <v>11</v>
      </c>
      <c r="G11690" t="s">
        <v>3912</v>
      </c>
      <c r="H11690" s="12">
        <v>1.1210904128736301</v>
      </c>
      <c r="I11690" s="20">
        <v>0.61900022690179601</v>
      </c>
      <c r="J11690" s="28">
        <v>0.53591620940854401</v>
      </c>
      <c r="K11690" s="29">
        <v>0.98289565623980701</v>
      </c>
    </row>
    <row r="11691" spans="1:11" x14ac:dyDescent="0.35">
      <c r="A11691" s="9" t="str">
        <f>HYPERLINK("http://www.ensembl.org/id/WBGene00002055", "WBGene00002055")</f>
        <v>WBGene00002055</v>
      </c>
      <c r="B11691" s="9" t="str">
        <f>HYPERLINK("http://www.ncbi.nlm.nih.gov/gene/178747", "178747")</f>
        <v>178747</v>
      </c>
      <c r="C11691" s="9" t="str">
        <f>HYPERLINK("http://www.ncbi.nlm.nih.gov/gene/84823", "84823")</f>
        <v>84823</v>
      </c>
      <c r="D11691" t="str">
        <f>"ifc-1"</f>
        <v>ifc-1</v>
      </c>
      <c r="E11691" t="s">
        <v>9676</v>
      </c>
      <c r="F11691" t="s">
        <v>11</v>
      </c>
      <c r="H11691" s="12">
        <v>-1.2778235967495299</v>
      </c>
      <c r="I11691" s="20">
        <v>-1.0836962349499599</v>
      </c>
      <c r="J11691" s="28">
        <v>0.278499505539614</v>
      </c>
      <c r="K11691" s="29">
        <v>0.98289565623980701</v>
      </c>
    </row>
    <row r="11692" spans="1:11" x14ac:dyDescent="0.35">
      <c r="A11692" s="9" t="str">
        <f>HYPERLINK("http://www.ensembl.org/id/WBGene00002056", "WBGene00002056")</f>
        <v>WBGene00002056</v>
      </c>
      <c r="B11692" s="9" t="str">
        <f>HYPERLINK("http://www.ncbi.nlm.nih.gov/gene/180414", "180414")</f>
        <v>180414</v>
      </c>
      <c r="C11692" s="9" t="str">
        <f>HYPERLINK("http://www.ncbi.nlm.nih.gov/gene/84823", "84823")</f>
        <v>84823</v>
      </c>
      <c r="D11692" t="str">
        <f>"ifc-2"</f>
        <v>ifc-2</v>
      </c>
      <c r="E11692" t="s">
        <v>5491</v>
      </c>
      <c r="F11692" t="s">
        <v>11</v>
      </c>
      <c r="G11692" t="s">
        <v>5492</v>
      </c>
      <c r="H11692" s="12">
        <v>1.1587387230861099</v>
      </c>
      <c r="I11692" s="20">
        <v>0.80876192658941704</v>
      </c>
      <c r="J11692" s="28">
        <v>0.41865210005539899</v>
      </c>
      <c r="K11692" s="29">
        <v>0.98289565623980701</v>
      </c>
    </row>
    <row r="11693" spans="1:11" x14ac:dyDescent="0.35">
      <c r="A11693" s="9" t="str">
        <f>HYPERLINK("http://www.ensembl.org/id/WBGene00002058", "WBGene00002058")</f>
        <v>WBGene00002058</v>
      </c>
      <c r="B11693" s="9" t="str">
        <f>HYPERLINK("http://www.ncbi.nlm.nih.gov/gene/180430", "180430")</f>
        <v>180430</v>
      </c>
      <c r="C11693" s="9" t="str">
        <f>HYPERLINK("http://www.ncbi.nlm.nih.gov/gene/84823", "84823")</f>
        <v>84823</v>
      </c>
      <c r="D11693" t="str">
        <f>"ifd-2"</f>
        <v>ifd-2</v>
      </c>
      <c r="E11693" t="s">
        <v>5179</v>
      </c>
      <c r="F11693" t="s">
        <v>11</v>
      </c>
      <c r="H11693" s="12">
        <v>1.22026020648264</v>
      </c>
      <c r="I11693" s="20">
        <v>0.89261362660715604</v>
      </c>
      <c r="J11693" s="28">
        <v>0.37206411928601002</v>
      </c>
      <c r="K11693" s="29">
        <v>0.98289565623980701</v>
      </c>
    </row>
    <row r="11694" spans="1:11" x14ac:dyDescent="0.35">
      <c r="A11694" s="9" t="str">
        <f>HYPERLINK("http://www.ensembl.org/id/WBGene00002059", "WBGene00002059")</f>
        <v>WBGene00002059</v>
      </c>
      <c r="B11694" s="9" t="str">
        <f>HYPERLINK("http://www.ncbi.nlm.nih.gov/gene/176755", "176755")</f>
        <v>176755</v>
      </c>
      <c r="C11694" s="9"/>
      <c r="D11694" t="str">
        <f>"ife-1"</f>
        <v>ife-1</v>
      </c>
      <c r="E11694" t="s">
        <v>8979</v>
      </c>
      <c r="F11694" t="s">
        <v>11</v>
      </c>
      <c r="G11694" t="s">
        <v>8980</v>
      </c>
      <c r="H11694" s="12">
        <v>-1.2118649921201301</v>
      </c>
      <c r="I11694" s="20">
        <v>-1.0302048997389699</v>
      </c>
      <c r="J11694" s="28">
        <v>0.30291383014856099</v>
      </c>
      <c r="K11694" s="29">
        <v>0.98289565623980701</v>
      </c>
    </row>
    <row r="11695" spans="1:11" x14ac:dyDescent="0.35">
      <c r="A11695" s="9" t="str">
        <f>HYPERLINK("http://www.ensembl.org/id/WBGene00002062", "WBGene00002062")</f>
        <v>WBGene00002062</v>
      </c>
      <c r="B11695" s="9" t="str">
        <f>HYPERLINK("http://www.ncbi.nlm.nih.gov/gene/180464", "180464")</f>
        <v>180464</v>
      </c>
      <c r="C11695" s="9" t="str">
        <f>HYPERLINK("http://www.ncbi.nlm.nih.gov/gene/9470", "9470")</f>
        <v>9470</v>
      </c>
      <c r="D11695" t="str">
        <f>"ife-4"</f>
        <v>ife-4</v>
      </c>
      <c r="E11695" t="s">
        <v>5778</v>
      </c>
      <c r="F11695" t="s">
        <v>11</v>
      </c>
      <c r="G11695" t="s">
        <v>979</v>
      </c>
      <c r="H11695" s="12">
        <v>1.1047030201218699</v>
      </c>
      <c r="I11695" s="20">
        <v>0.48096198325567002</v>
      </c>
      <c r="J11695" s="28">
        <v>0.63054351836178402</v>
      </c>
      <c r="K11695" s="29">
        <v>0.98289565623980701</v>
      </c>
    </row>
    <row r="11696" spans="1:11" x14ac:dyDescent="0.35">
      <c r="A11696" s="9" t="str">
        <f>HYPERLINK("http://www.ensembl.org/id/WBGene00002063", "WBGene00002063")</f>
        <v>WBGene00002063</v>
      </c>
      <c r="B11696" s="9" t="str">
        <f>HYPERLINK("http://www.ncbi.nlm.nih.gov/gene/174871", "174871")</f>
        <v>174871</v>
      </c>
      <c r="C11696" s="9"/>
      <c r="D11696" t="str">
        <f>"ife-5"</f>
        <v>ife-5</v>
      </c>
      <c r="E11696" t="s">
        <v>9449</v>
      </c>
      <c r="F11696" t="s">
        <v>11</v>
      </c>
      <c r="G11696" t="s">
        <v>979</v>
      </c>
      <c r="H11696" s="12">
        <v>-1.24728923408182</v>
      </c>
      <c r="I11696" s="20">
        <v>-0.63138199746283796</v>
      </c>
      <c r="J11696" s="28">
        <v>0.52779078413828595</v>
      </c>
      <c r="K11696" s="29">
        <v>0.98289565623980701</v>
      </c>
    </row>
    <row r="11697" spans="1:11" x14ac:dyDescent="0.35">
      <c r="A11697" s="9" t="str">
        <f>HYPERLINK("http://www.ensembl.org/id/WBGene00002065", "WBGene00002065")</f>
        <v>WBGene00002065</v>
      </c>
      <c r="B11697" s="9" t="str">
        <f>HYPERLINK("http://www.ncbi.nlm.nih.gov/gene/174367", "174367")</f>
        <v>174367</v>
      </c>
      <c r="C11697" s="9" t="str">
        <f>HYPERLINK("http://www.ncbi.nlm.nih.gov/gene/143244", "143244")</f>
        <v>143244</v>
      </c>
      <c r="D11697" t="str">
        <f>"iff-2"</f>
        <v>iff-2</v>
      </c>
      <c r="E11697" t="s">
        <v>6749</v>
      </c>
      <c r="F11697" t="s">
        <v>11</v>
      </c>
      <c r="G11697" t="s">
        <v>6750</v>
      </c>
      <c r="H11697" s="12">
        <v>-1.08713764197255</v>
      </c>
      <c r="I11697" s="20">
        <v>-0.45231071344264101</v>
      </c>
      <c r="J11697" s="28">
        <v>0.65104515900842796</v>
      </c>
      <c r="K11697" s="29">
        <v>0.98289565623980701</v>
      </c>
    </row>
    <row r="11698" spans="1:11" x14ac:dyDescent="0.35">
      <c r="A11698" s="9" t="str">
        <f>HYPERLINK("http://www.ensembl.org/id/WBGene00021857", "WBGene00021857")</f>
        <v>WBGene00021857</v>
      </c>
      <c r="B11698" s="9" t="str">
        <f>HYPERLINK("http://www.ncbi.nlm.nih.gov/gene/175353", "175353")</f>
        <v>175353</v>
      </c>
      <c r="C11698" s="9"/>
      <c r="D11698" t="str">
        <f>"iffb-1"</f>
        <v>iffb-1</v>
      </c>
      <c r="E11698" t="s">
        <v>7047</v>
      </c>
      <c r="F11698" t="s">
        <v>11</v>
      </c>
      <c r="G11698" t="s">
        <v>7048</v>
      </c>
      <c r="H11698" s="12">
        <v>-1.10436849492631</v>
      </c>
      <c r="I11698" s="20">
        <v>-0.53217928014149896</v>
      </c>
      <c r="J11698" s="28">
        <v>0.59460183208762696</v>
      </c>
      <c r="K11698" s="29">
        <v>0.98289565623980701</v>
      </c>
    </row>
    <row r="11699" spans="1:11" x14ac:dyDescent="0.35">
      <c r="A11699" s="9" t="str">
        <f>HYPERLINK("http://www.ensembl.org/id/WBGene00002066", "WBGene00002066")</f>
        <v>WBGene00002066</v>
      </c>
      <c r="B11699" s="9" t="str">
        <f>HYPERLINK("http://www.ncbi.nlm.nih.gov/gene/174322", "174322")</f>
        <v>174322</v>
      </c>
      <c r="C11699" s="9"/>
      <c r="D11699" t="str">
        <f>"ifg-1"</f>
        <v>ifg-1</v>
      </c>
      <c r="E11699" t="s">
        <v>7252</v>
      </c>
      <c r="F11699" t="s">
        <v>11</v>
      </c>
      <c r="G11699" t="s">
        <v>7253</v>
      </c>
      <c r="H11699" s="12">
        <v>-1.11546922171773</v>
      </c>
      <c r="I11699" s="20">
        <v>-0.60053191905878001</v>
      </c>
      <c r="J11699" s="28">
        <v>0.548151795045696</v>
      </c>
      <c r="K11699" s="29">
        <v>0.98289565623980701</v>
      </c>
    </row>
    <row r="11700" spans="1:11" x14ac:dyDescent="0.35">
      <c r="A11700" s="9" t="str">
        <f>HYPERLINK("http://www.ensembl.org/id/WBGene00018350", "WBGene00018350")</f>
        <v>WBGene00018350</v>
      </c>
      <c r="B11700" s="9" t="str">
        <f>HYPERLINK("http://www.ncbi.nlm.nih.gov/gene/177505", "177505")</f>
        <v>177505</v>
      </c>
      <c r="C11700" s="9"/>
      <c r="D11700" t="str">
        <f>"ifo-1"</f>
        <v>ifo-1</v>
      </c>
      <c r="E11700" t="s">
        <v>5017</v>
      </c>
      <c r="F11700" t="s">
        <v>11</v>
      </c>
      <c r="H11700" s="12">
        <v>1.2608915400335201</v>
      </c>
      <c r="I11700" s="20">
        <v>1.1615859693352399</v>
      </c>
      <c r="J11700" s="28">
        <v>0.24540368401991799</v>
      </c>
      <c r="K11700" s="29">
        <v>0.98289565623980701</v>
      </c>
    </row>
    <row r="11701" spans="1:11" x14ac:dyDescent="0.35">
      <c r="A11701" s="9" t="str">
        <f>HYPERLINK("http://www.ensembl.org/id/WBGene00022696", "WBGene00022696")</f>
        <v>WBGene00022696</v>
      </c>
      <c r="B11701" s="9" t="str">
        <f>HYPERLINK("http://www.ncbi.nlm.nih.gov/gene/175855", "175855")</f>
        <v>175855</v>
      </c>
      <c r="C11701" s="9" t="str">
        <f>HYPERLINK("http://www.ncbi.nlm.nih.gov/gene/79809", "79809")</f>
        <v>79809</v>
      </c>
      <c r="D11701" t="str">
        <f>"ift-139"</f>
        <v>ift-139</v>
      </c>
      <c r="E11701" t="s">
        <v>4679</v>
      </c>
      <c r="F11701" t="s">
        <v>11</v>
      </c>
      <c r="G11701" t="s">
        <v>4680</v>
      </c>
      <c r="H11701" s="12">
        <v>1.50566546563791</v>
      </c>
      <c r="I11701" s="20">
        <v>1.09306957631774</v>
      </c>
      <c r="J11701" s="28">
        <v>0.27436325262939198</v>
      </c>
      <c r="K11701" s="29">
        <v>0.98289565623980701</v>
      </c>
    </row>
    <row r="11702" spans="1:11" x14ac:dyDescent="0.35">
      <c r="A11702" s="9" t="str">
        <f>HYPERLINK("http://www.ensembl.org/id/WBGene00016121", "WBGene00016121")</f>
        <v>WBGene00016121</v>
      </c>
      <c r="B11702" s="9" t="str">
        <f>HYPERLINK("http://www.ncbi.nlm.nih.gov/gene/173959", "173959")</f>
        <v>173959</v>
      </c>
      <c r="C11702" s="9"/>
      <c r="D11702" t="str">
        <f>"ift-43"</f>
        <v>ift-43</v>
      </c>
      <c r="E11702" t="s">
        <v>6528</v>
      </c>
      <c r="F11702" t="s">
        <v>11</v>
      </c>
      <c r="H11702" s="12">
        <v>-1.0738894884532899</v>
      </c>
      <c r="I11702" s="20">
        <v>-0.30308624757554697</v>
      </c>
      <c r="J11702" s="28">
        <v>0.76182413438574004</v>
      </c>
      <c r="K11702" s="29">
        <v>0.98289565623980701</v>
      </c>
    </row>
    <row r="11703" spans="1:11" x14ac:dyDescent="0.35">
      <c r="A11703" s="9" t="str">
        <f>HYPERLINK("http://www.ensembl.org/id/WBGene00016005", "WBGene00016005")</f>
        <v>WBGene00016005</v>
      </c>
      <c r="B11703" s="9" t="str">
        <f>HYPERLINK("http://www.ncbi.nlm.nih.gov/gene/174102", "174102")</f>
        <v>174102</v>
      </c>
      <c r="C11703" s="9" t="str">
        <f>HYPERLINK("http://www.ncbi.nlm.nih.gov/gene/80173", "80173")</f>
        <v>80173</v>
      </c>
      <c r="D11703" t="str">
        <f>"ift-74"</f>
        <v>ift-74</v>
      </c>
      <c r="E11703" t="s">
        <v>2898</v>
      </c>
      <c r="F11703" t="s">
        <v>11</v>
      </c>
      <c r="G11703" t="s">
        <v>5417</v>
      </c>
      <c r="H11703" s="12">
        <v>1.1683671096722199</v>
      </c>
      <c r="I11703" s="20">
        <v>0.34068516889412698</v>
      </c>
      <c r="J11703" s="28">
        <v>0.73334060496314701</v>
      </c>
      <c r="K11703" s="29">
        <v>0.98289565623980701</v>
      </c>
    </row>
    <row r="11704" spans="1:11" x14ac:dyDescent="0.35">
      <c r="A11704" s="9" t="str">
        <f>HYPERLINK("http://www.ensembl.org/id/WBGene00016935", "WBGene00016935")</f>
        <v>WBGene00016935</v>
      </c>
      <c r="B11704" s="9" t="str">
        <f>HYPERLINK("http://www.ncbi.nlm.nih.gov/gene/183817", "183817")</f>
        <v>183817</v>
      </c>
      <c r="C11704" s="9" t="str">
        <f>HYPERLINK("http://www.ncbi.nlm.nih.gov/gene/57539", "57539")</f>
        <v>57539</v>
      </c>
      <c r="D11704" t="str">
        <f>"ifta-1"</f>
        <v>ifta-1</v>
      </c>
      <c r="E11704" t="s">
        <v>4719</v>
      </c>
      <c r="F11704" t="s">
        <v>11</v>
      </c>
      <c r="G11704" t="s">
        <v>4720</v>
      </c>
      <c r="H11704" s="12">
        <v>1.45351253290508</v>
      </c>
      <c r="I11704" s="20">
        <v>1.06165973283079</v>
      </c>
      <c r="J11704" s="28">
        <v>0.28839018586107201</v>
      </c>
      <c r="K11704" s="29">
        <v>0.98289565623980701</v>
      </c>
    </row>
    <row r="11705" spans="1:11" x14ac:dyDescent="0.35">
      <c r="A11705" s="9" t="str">
        <f>HYPERLINK("http://www.ensembl.org/id/WBGene00012132", "WBGene00012132")</f>
        <v>WBGene00012132</v>
      </c>
      <c r="B11705" s="9" t="str">
        <f>HYPERLINK("http://www.ncbi.nlm.nih.gov/gene/189055", "189055")</f>
        <v>189055</v>
      </c>
      <c r="C11705" s="9"/>
      <c r="D11705" t="str">
        <f>"ifta-2"</f>
        <v>ifta-2</v>
      </c>
      <c r="E11705" t="s">
        <v>4658</v>
      </c>
      <c r="F11705" t="s">
        <v>11</v>
      </c>
      <c r="H11705" s="12">
        <v>1.52886939245709</v>
      </c>
      <c r="I11705" s="20">
        <v>0.740478851525876</v>
      </c>
      <c r="J11705" s="28">
        <v>0.45900948897110699</v>
      </c>
      <c r="K11705" s="29">
        <v>0.98289565623980701</v>
      </c>
    </row>
    <row r="11706" spans="1:11" x14ac:dyDescent="0.35">
      <c r="A11706" s="9" t="str">
        <f>HYPERLINK("http://www.ensembl.org/id/WBGene00022418", "WBGene00022418")</f>
        <v>WBGene00022418</v>
      </c>
      <c r="B11706" s="9" t="str">
        <f>HYPERLINK("http://www.ncbi.nlm.nih.gov/gene/180518", "180518")</f>
        <v>180518</v>
      </c>
      <c r="C11706" s="9" t="str">
        <f>HYPERLINK("http://www.ncbi.nlm.nih.gov/gene/53834", "53834")</f>
        <v>53834</v>
      </c>
      <c r="D11706" t="str">
        <f>"igcm-4"</f>
        <v>igcm-4</v>
      </c>
      <c r="E11706" t="s">
        <v>941</v>
      </c>
      <c r="F11706" t="s">
        <v>11</v>
      </c>
      <c r="G11706" t="s">
        <v>25</v>
      </c>
      <c r="H11706" s="12">
        <v>1.19675316611551</v>
      </c>
      <c r="I11706" s="20">
        <v>0.70576993768118301</v>
      </c>
      <c r="J11706" s="28">
        <v>0.48033122005004297</v>
      </c>
      <c r="K11706" s="29">
        <v>0.98289565623980701</v>
      </c>
    </row>
    <row r="11707" spans="1:11" x14ac:dyDescent="0.35">
      <c r="A11707" s="9" t="str">
        <f>HYPERLINK("http://www.ensembl.org/id/WBGene00011418", "WBGene00011418")</f>
        <v>WBGene00011418</v>
      </c>
      <c r="B11707" s="9" t="str">
        <f>HYPERLINK("http://www.ncbi.nlm.nih.gov/gene/3565301", "3565301")</f>
        <v>3565301</v>
      </c>
      <c r="C11707" s="9"/>
      <c r="D11707" t="str">
        <f>"igdb-1"</f>
        <v>igdb-1</v>
      </c>
      <c r="E11707" t="s">
        <v>10056</v>
      </c>
      <c r="F11707" t="s">
        <v>11</v>
      </c>
      <c r="G11707" t="s">
        <v>54</v>
      </c>
      <c r="H11707" s="12">
        <v>-2.4295389261469</v>
      </c>
      <c r="I11707" s="20">
        <v>-0.25808529976640998</v>
      </c>
      <c r="J11707" s="28">
        <v>0.79634107645457397</v>
      </c>
      <c r="K11707" s="29">
        <v>0.98289565623980701</v>
      </c>
    </row>
    <row r="11708" spans="1:11" x14ac:dyDescent="0.35">
      <c r="A11708" s="9" t="str">
        <f>HYPERLINK("http://www.ensembl.org/id/WBGene00007736", "WBGene00007736")</f>
        <v>WBGene00007736</v>
      </c>
      <c r="B11708" s="9" t="str">
        <f>HYPERLINK("http://www.ncbi.nlm.nih.gov/gene/178199", "178199")</f>
        <v>178199</v>
      </c>
      <c r="C11708" s="9"/>
      <c r="D11708" t="str">
        <f>"igdb-2"</f>
        <v>igdb-2</v>
      </c>
      <c r="E11708" t="s">
        <v>5210</v>
      </c>
      <c r="F11708" t="s">
        <v>11</v>
      </c>
      <c r="G11708" t="s">
        <v>54</v>
      </c>
      <c r="H11708" s="12">
        <v>1.2156690544239199</v>
      </c>
      <c r="I11708" s="20">
        <v>0.84688802857941303</v>
      </c>
      <c r="J11708" s="28">
        <v>0.39705753579952602</v>
      </c>
      <c r="K11708" s="29">
        <v>0.98289565623980701</v>
      </c>
    </row>
    <row r="11709" spans="1:11" x14ac:dyDescent="0.35">
      <c r="A11709" s="9" t="str">
        <f>HYPERLINK("http://www.ensembl.org/id/WBGene00011299", "WBGene00011299")</f>
        <v>WBGene00011299</v>
      </c>
      <c r="B11709" s="9" t="str">
        <f>HYPERLINK("http://www.ncbi.nlm.nih.gov/gene/176278", "176278")</f>
        <v>176278</v>
      </c>
      <c r="C11709" s="9"/>
      <c r="D11709" t="str">
        <f>"ikke-1"</f>
        <v>ikke-1</v>
      </c>
      <c r="E11709" t="s">
        <v>9002</v>
      </c>
      <c r="F11709" t="s">
        <v>11</v>
      </c>
      <c r="G11709" t="s">
        <v>444</v>
      </c>
      <c r="H11709" s="12">
        <v>-1.21329909334838</v>
      </c>
      <c r="I11709" s="20">
        <v>-1.04347064206716</v>
      </c>
      <c r="J11709" s="28">
        <v>0.29673037090295501</v>
      </c>
      <c r="K11709" s="29">
        <v>0.98289565623980701</v>
      </c>
    </row>
    <row r="11710" spans="1:11" x14ac:dyDescent="0.35">
      <c r="A11710" s="9" t="str">
        <f>HYPERLINK("http://www.ensembl.org/id/WBGene00018960", "WBGene00018960")</f>
        <v>WBGene00018960</v>
      </c>
      <c r="B11710" s="9" t="str">
        <f>HYPERLINK("http://www.ncbi.nlm.nih.gov/gene/173932", "173932")</f>
        <v>173932</v>
      </c>
      <c r="C11710" s="9"/>
      <c r="D11710" t="str">
        <f>"ilcr-2"</f>
        <v>ilcr-2</v>
      </c>
      <c r="E11710" t="s">
        <v>7370</v>
      </c>
      <c r="F11710" t="s">
        <v>11</v>
      </c>
      <c r="G11710" t="s">
        <v>1987</v>
      </c>
      <c r="H11710" s="12">
        <v>-1.1222639133399099</v>
      </c>
      <c r="I11710" s="20">
        <v>-0.55922361036753498</v>
      </c>
      <c r="J11710" s="28">
        <v>0.57600912161298701</v>
      </c>
      <c r="K11710" s="29">
        <v>0.98289565623980701</v>
      </c>
    </row>
    <row r="11711" spans="1:11" x14ac:dyDescent="0.35">
      <c r="A11711" s="9" t="str">
        <f>HYPERLINK("http://www.ensembl.org/id/WBGene00002071", "WBGene00002071")</f>
        <v>WBGene00002071</v>
      </c>
      <c r="B11711" s="9" t="str">
        <f>HYPERLINK("http://www.ncbi.nlm.nih.gov/gene/180423", "180423")</f>
        <v>180423</v>
      </c>
      <c r="C11711" s="9" t="str">
        <f>HYPERLINK("http://www.ncbi.nlm.nih.gov/gene/81562", "81562")</f>
        <v>81562</v>
      </c>
      <c r="D11711" t="str">
        <f>"ile-2"</f>
        <v>ile-2</v>
      </c>
      <c r="E11711" t="s">
        <v>6755</v>
      </c>
      <c r="F11711" t="s">
        <v>11</v>
      </c>
      <c r="G11711" t="s">
        <v>3101</v>
      </c>
      <c r="H11711" s="12">
        <v>-1.0874866097435401</v>
      </c>
      <c r="I11711" s="20">
        <v>-0.43177772349022597</v>
      </c>
      <c r="J11711" s="28">
        <v>0.66590297158462697</v>
      </c>
      <c r="K11711" s="29">
        <v>0.98289565623980701</v>
      </c>
    </row>
    <row r="11712" spans="1:11" x14ac:dyDescent="0.35">
      <c r="A11712" s="9" t="str">
        <f>HYPERLINK("http://www.ensembl.org/id/WBGene00016668", "WBGene00016668")</f>
        <v>WBGene00016668</v>
      </c>
      <c r="B11712" s="9" t="str">
        <f>HYPERLINK("http://www.ncbi.nlm.nih.gov/gene/183474", "183474")</f>
        <v>183474</v>
      </c>
      <c r="C11712" s="9"/>
      <c r="D11712" t="str">
        <f>"ilys-1"</f>
        <v>ilys-1</v>
      </c>
      <c r="E11712" t="s">
        <v>1840</v>
      </c>
      <c r="F11712" t="s">
        <v>11</v>
      </c>
      <c r="G11712" t="s">
        <v>1841</v>
      </c>
      <c r="H11712" s="12">
        <v>-10.994907597368501</v>
      </c>
      <c r="I11712" s="20">
        <v>-0.714795004154681</v>
      </c>
      <c r="J11712" s="28">
        <v>0.47473572263588099</v>
      </c>
      <c r="K11712" s="29">
        <v>0.98289565623980701</v>
      </c>
    </row>
    <row r="11713" spans="1:11" x14ac:dyDescent="0.35">
      <c r="A11713" s="9" t="str">
        <f>HYPERLINK("http://www.ensembl.org/id/WBGene00016669", "WBGene00016669")</f>
        <v>WBGene00016669</v>
      </c>
      <c r="B11713" s="9" t="str">
        <f>HYPERLINK("http://www.ncbi.nlm.nih.gov/gene/183475", "183475")</f>
        <v>183475</v>
      </c>
      <c r="C11713" s="9"/>
      <c r="D11713" t="str">
        <f>"ilys-2"</f>
        <v>ilys-2</v>
      </c>
      <c r="E11713" t="s">
        <v>9919</v>
      </c>
      <c r="F11713" t="s">
        <v>11</v>
      </c>
      <c r="G11713" t="s">
        <v>1195</v>
      </c>
      <c r="H11713" s="12">
        <v>-1.3820532263744101</v>
      </c>
      <c r="I11713" s="20">
        <v>-0.57778290683216804</v>
      </c>
      <c r="J11713" s="28">
        <v>0.56341069697987101</v>
      </c>
      <c r="K11713" s="29">
        <v>0.98289565623980701</v>
      </c>
    </row>
    <row r="11714" spans="1:11" x14ac:dyDescent="0.35">
      <c r="A11714" s="9" t="str">
        <f>HYPERLINK("http://www.ensembl.org/id/WBGene00017691", "WBGene00017691")</f>
        <v>WBGene00017691</v>
      </c>
      <c r="B11714" s="9" t="str">
        <f>HYPERLINK("http://www.ncbi.nlm.nih.gov/gene/180928", "180928")</f>
        <v>180928</v>
      </c>
      <c r="C11714" s="9"/>
      <c r="D11714" t="str">
        <f>"ilys-5"</f>
        <v>ilys-5</v>
      </c>
      <c r="E11714" t="s">
        <v>1840</v>
      </c>
      <c r="F11714" t="s">
        <v>11</v>
      </c>
      <c r="G11714" t="s">
        <v>1841</v>
      </c>
      <c r="H11714" s="12">
        <v>-1.2791467877023099</v>
      </c>
      <c r="I11714" s="20">
        <v>-1.00517383942345</v>
      </c>
      <c r="J11714" s="28">
        <v>0.314813149707387</v>
      </c>
      <c r="K11714" s="29">
        <v>0.98289565623980701</v>
      </c>
    </row>
    <row r="11715" spans="1:11" x14ac:dyDescent="0.35">
      <c r="A11715" s="9" t="str">
        <f>HYPERLINK("http://www.ensembl.org/id/WBGene00002074", "WBGene00002074")</f>
        <v>WBGene00002074</v>
      </c>
      <c r="B11715" s="9" t="str">
        <f>HYPERLINK("http://www.ncbi.nlm.nih.gov/gene/177533", "177533")</f>
        <v>177533</v>
      </c>
      <c r="C11715" s="9" t="str">
        <f>HYPERLINK("http://www.ncbi.nlm.nih.gov/gene/3840", "3840")</f>
        <v>3840</v>
      </c>
      <c r="D11715" t="str">
        <f>"ima-3"</f>
        <v>ima-3</v>
      </c>
      <c r="E11715" t="s">
        <v>8943</v>
      </c>
      <c r="F11715" t="s">
        <v>11</v>
      </c>
      <c r="G11715" t="s">
        <v>71</v>
      </c>
      <c r="H11715" s="12">
        <v>-1.20974602515649</v>
      </c>
      <c r="I11715" s="20">
        <v>-1.0270491049189501</v>
      </c>
      <c r="J11715" s="28">
        <v>0.30439734223015802</v>
      </c>
      <c r="K11715" s="29">
        <v>0.98289565623980701</v>
      </c>
    </row>
    <row r="11716" spans="1:11" x14ac:dyDescent="0.35">
      <c r="A11716" s="9" t="str">
        <f>HYPERLINK("http://www.ensembl.org/id/WBGene00002075", "WBGene00002075")</f>
        <v>WBGene00002075</v>
      </c>
      <c r="B11716" s="9" t="str">
        <f>HYPERLINK("http://www.ncbi.nlm.nih.gov/gene/172110", "172110")</f>
        <v>172110</v>
      </c>
      <c r="C11716" s="9" t="str">
        <f>HYPERLINK("http://www.ncbi.nlm.nih.gov/gene/3837", "3837")</f>
        <v>3837</v>
      </c>
      <c r="D11716" t="str">
        <f>"imb-1"</f>
        <v>imb-1</v>
      </c>
      <c r="E11716" t="s">
        <v>7834</v>
      </c>
      <c r="F11716" t="s">
        <v>11</v>
      </c>
      <c r="G11716" t="s">
        <v>7835</v>
      </c>
      <c r="H11716" s="12">
        <v>-1.1474811118065</v>
      </c>
      <c r="I11716" s="20">
        <v>-0.66271033713805705</v>
      </c>
      <c r="J11716" s="28">
        <v>0.50751608802271597</v>
      </c>
      <c r="K11716" s="29">
        <v>0.98289565623980701</v>
      </c>
    </row>
    <row r="11717" spans="1:11" x14ac:dyDescent="0.35">
      <c r="A11717" s="9" t="str">
        <f>HYPERLINK("http://www.ensembl.org/id/WBGene00002076", "WBGene00002076")</f>
        <v>WBGene00002076</v>
      </c>
      <c r="B11717" s="9" t="str">
        <f>HYPERLINK("http://www.ncbi.nlm.nih.gov/gene/175094", "175094")</f>
        <v>175094</v>
      </c>
      <c r="C11717" s="9" t="str">
        <f>HYPERLINK("http://www.ncbi.nlm.nih.gov/gene/3842", "3842")</f>
        <v>3842</v>
      </c>
      <c r="D11717" t="str">
        <f>"imb-2"</f>
        <v>imb-2</v>
      </c>
      <c r="E11717" t="s">
        <v>7834</v>
      </c>
      <c r="F11717" t="s">
        <v>11</v>
      </c>
      <c r="G11717" t="s">
        <v>8600</v>
      </c>
      <c r="H11717" s="12">
        <v>-1.1859419226569701</v>
      </c>
      <c r="I11717" s="20">
        <v>-0.86303601742159597</v>
      </c>
      <c r="J11717" s="28">
        <v>0.38811766438551898</v>
      </c>
      <c r="K11717" s="29">
        <v>0.98289565623980701</v>
      </c>
    </row>
    <row r="11718" spans="1:11" x14ac:dyDescent="0.35">
      <c r="A11718" s="9" t="str">
        <f>HYPERLINK("http://www.ensembl.org/id/WBGene00002077", "WBGene00002077")</f>
        <v>WBGene00002077</v>
      </c>
      <c r="B11718" s="9" t="str">
        <f>HYPERLINK("http://www.ncbi.nlm.nih.gov/gene/3565440", "3565440")</f>
        <v>3565440</v>
      </c>
      <c r="C11718" s="9" t="str">
        <f>HYPERLINK("http://www.ncbi.nlm.nih.gov/gene/3843", "3843")</f>
        <v>3843</v>
      </c>
      <c r="D11718" t="str">
        <f>"imb-3"</f>
        <v>imb-3</v>
      </c>
      <c r="E11718" t="s">
        <v>7834</v>
      </c>
      <c r="F11718" t="s">
        <v>11</v>
      </c>
      <c r="G11718" t="s">
        <v>8034</v>
      </c>
      <c r="H11718" s="12">
        <v>-1.1574872695590701</v>
      </c>
      <c r="I11718" s="20">
        <v>-0.79697538868021101</v>
      </c>
      <c r="J11718" s="28">
        <v>0.42546532504262202</v>
      </c>
      <c r="K11718" s="29">
        <v>0.98289565623980701</v>
      </c>
    </row>
    <row r="11719" spans="1:11" x14ac:dyDescent="0.35">
      <c r="A11719" s="9" t="str">
        <f>HYPERLINK("http://www.ensembl.org/id/WBGene00007021", "WBGene00007021")</f>
        <v>WBGene00007021</v>
      </c>
      <c r="B11719" s="9" t="str">
        <f>HYPERLINK("http://www.ncbi.nlm.nih.gov/gene/182863", "182863")</f>
        <v>182863</v>
      </c>
      <c r="C11719" s="9" t="str">
        <f>HYPERLINK("http://www.ncbi.nlm.nih.gov/gene/196294", "196294")</f>
        <v>196294</v>
      </c>
      <c r="D11719" t="str">
        <f>"immp-1"</f>
        <v>immp-1</v>
      </c>
      <c r="E11719" t="s">
        <v>7283</v>
      </c>
      <c r="F11719" t="s">
        <v>11</v>
      </c>
      <c r="G11719" t="s">
        <v>7821</v>
      </c>
      <c r="H11719" s="12">
        <v>-1.1467313366074401</v>
      </c>
      <c r="I11719" s="20">
        <v>-0.59034598167956398</v>
      </c>
      <c r="J11719" s="28">
        <v>0.55495871793282403</v>
      </c>
      <c r="K11719" s="29">
        <v>0.98289565623980701</v>
      </c>
    </row>
    <row r="11720" spans="1:11" x14ac:dyDescent="0.35">
      <c r="A11720" s="9" t="str">
        <f>HYPERLINK("http://www.ensembl.org/id/WBGene00021925", "WBGene00021925")</f>
        <v>WBGene00021925</v>
      </c>
      <c r="B11720" s="9" t="str">
        <f>HYPERLINK("http://www.ncbi.nlm.nih.gov/gene/176919", "176919")</f>
        <v>176919</v>
      </c>
      <c r="C11720" s="9" t="str">
        <f>HYPERLINK("http://www.ncbi.nlm.nih.gov/gene/83943", "83943")</f>
        <v>83943</v>
      </c>
      <c r="D11720" t="str">
        <f>"immp-2"</f>
        <v>immp-2</v>
      </c>
      <c r="E11720" t="s">
        <v>7283</v>
      </c>
      <c r="F11720" t="s">
        <v>11</v>
      </c>
      <c r="G11720" t="s">
        <v>7284</v>
      </c>
      <c r="H11720" s="12">
        <v>-1.1172804560614</v>
      </c>
      <c r="I11720" s="20">
        <v>-0.49687079823667002</v>
      </c>
      <c r="J11720" s="28">
        <v>0.61928016532873398</v>
      </c>
      <c r="K11720" s="29">
        <v>0.98289565623980701</v>
      </c>
    </row>
    <row r="11721" spans="1:11" x14ac:dyDescent="0.35">
      <c r="A11721" s="9" t="str">
        <f>HYPERLINK("http://www.ensembl.org/id/WBGene00020511", "WBGene00020511")</f>
        <v>WBGene00020511</v>
      </c>
      <c r="B11721" s="9" t="str">
        <f>HYPERLINK("http://www.ncbi.nlm.nih.gov/gene/180566", "180566")</f>
        <v>180566</v>
      </c>
      <c r="C11721" s="9" t="str">
        <f>HYPERLINK("http://www.ncbi.nlm.nih.gov/gene/10989", "10989")</f>
        <v>10989</v>
      </c>
      <c r="D11721" t="str">
        <f>"immt-1"</f>
        <v>immt-1</v>
      </c>
      <c r="E11721" t="s">
        <v>6131</v>
      </c>
      <c r="F11721" t="s">
        <v>11</v>
      </c>
      <c r="H11721" s="12">
        <v>1.0527776947544101</v>
      </c>
      <c r="I11721" s="20">
        <v>0.27310644578326099</v>
      </c>
      <c r="J11721" s="28">
        <v>0.78477139199984303</v>
      </c>
      <c r="K11721" s="29">
        <v>0.98289565623980701</v>
      </c>
    </row>
    <row r="11722" spans="1:11" x14ac:dyDescent="0.35">
      <c r="A11722" s="9" t="str">
        <f>HYPERLINK("http://www.ensembl.org/id/WBGene00011481", "WBGene00011481")</f>
        <v>WBGene00011481</v>
      </c>
      <c r="B11722" s="9" t="str">
        <f>HYPERLINK("http://www.ncbi.nlm.nih.gov/gene/178013", "178013")</f>
        <v>178013</v>
      </c>
      <c r="C11722" s="9"/>
      <c r="D11722" t="str">
        <f>"imp-2"</f>
        <v>imp-2</v>
      </c>
      <c r="E11722" t="s">
        <v>7768</v>
      </c>
      <c r="F11722" t="s">
        <v>11</v>
      </c>
      <c r="G11722" t="s">
        <v>7769</v>
      </c>
      <c r="H11722" s="12">
        <v>-1.1432887501808</v>
      </c>
      <c r="I11722" s="20">
        <v>-0.70998278059533104</v>
      </c>
      <c r="J11722" s="28">
        <v>0.47771481435228003</v>
      </c>
      <c r="K11722" s="29">
        <v>0.98289565623980701</v>
      </c>
    </row>
    <row r="11723" spans="1:11" x14ac:dyDescent="0.35">
      <c r="A11723" s="9" t="str">
        <f>HYPERLINK("http://www.ensembl.org/id/WBGene00002083", "WBGene00002083")</f>
        <v>WBGene00002083</v>
      </c>
      <c r="B11723" s="9" t="str">
        <f>HYPERLINK("http://www.ncbi.nlm.nih.gov/gene/175966", "175966")</f>
        <v>175966</v>
      </c>
      <c r="C11723" s="9" t="str">
        <f>HYPERLINK("http://www.ncbi.nlm.nih.gov/gene/1974", "1974")</f>
        <v>1974</v>
      </c>
      <c r="D11723" t="str">
        <f>"inf-1"</f>
        <v>inf-1</v>
      </c>
      <c r="E11723" t="s">
        <v>6764</v>
      </c>
      <c r="F11723" t="s">
        <v>11</v>
      </c>
      <c r="G11723" t="s">
        <v>221</v>
      </c>
      <c r="H11723" s="12">
        <v>-1.0881510578379101</v>
      </c>
      <c r="I11723" s="20">
        <v>-0.46644735328520498</v>
      </c>
      <c r="J11723" s="28">
        <v>0.640895323219692</v>
      </c>
      <c r="K11723" s="29">
        <v>0.98289565623980701</v>
      </c>
    </row>
    <row r="11724" spans="1:11" x14ac:dyDescent="0.35">
      <c r="A11724" s="9" t="str">
        <f>HYPERLINK("http://www.ensembl.org/id/WBGene00013095", "WBGene00013095")</f>
        <v>WBGene00013095</v>
      </c>
      <c r="B11724" s="9" t="str">
        <f>HYPERLINK("http://www.ncbi.nlm.nih.gov/gene/3564936", "3564936")</f>
        <v>3564936</v>
      </c>
      <c r="C11724" s="9"/>
      <c r="D11724" t="str">
        <f>"ing-3"</f>
        <v>ing-3</v>
      </c>
      <c r="E11724" t="s">
        <v>9420</v>
      </c>
      <c r="F11724" t="s">
        <v>11</v>
      </c>
      <c r="G11724" t="s">
        <v>9421</v>
      </c>
      <c r="H11724" s="12">
        <v>-1.2450357369809499</v>
      </c>
      <c r="I11724" s="20">
        <v>-1.1306887960654499</v>
      </c>
      <c r="J11724" s="28">
        <v>0.25818609866766101</v>
      </c>
      <c r="K11724" s="29">
        <v>0.98289565623980701</v>
      </c>
    </row>
    <row r="11725" spans="1:11" x14ac:dyDescent="0.35">
      <c r="A11725" s="9" t="str">
        <f>HYPERLINK("http://www.ensembl.org/id/WBGene00012016", "WBGene00012016")</f>
        <v>WBGene00012016</v>
      </c>
      <c r="B11725" s="9" t="str">
        <f>HYPERLINK("http://www.ncbi.nlm.nih.gov/gene/177970", "177970")</f>
        <v>177970</v>
      </c>
      <c r="C11725" s="9"/>
      <c r="D11725" t="str">
        <f>"inpp-1"</f>
        <v>inpp-1</v>
      </c>
      <c r="E11725" t="s">
        <v>5219</v>
      </c>
      <c r="F11725" t="s">
        <v>11</v>
      </c>
      <c r="G11725" t="s">
        <v>5220</v>
      </c>
      <c r="H11725" s="12">
        <v>1.21370370190511</v>
      </c>
      <c r="I11725" s="20">
        <v>0.85448181874139395</v>
      </c>
      <c r="J11725" s="28">
        <v>0.39283807902617002</v>
      </c>
      <c r="K11725" s="29">
        <v>0.98289565623980701</v>
      </c>
    </row>
    <row r="11726" spans="1:11" x14ac:dyDescent="0.35">
      <c r="A11726" s="9" t="str">
        <f>HYPERLINK("http://www.ensembl.org/id/WBGene00002084", "WBGene00002084")</f>
        <v>WBGene00002084</v>
      </c>
      <c r="B11726" s="9" t="str">
        <f>HYPERLINK("http://www.ncbi.nlm.nih.gov/gene/177936", "177936")</f>
        <v>177936</v>
      </c>
      <c r="C11726" s="9"/>
      <c r="D11726" t="str">
        <f>"ins-1"</f>
        <v>ins-1</v>
      </c>
      <c r="E11726" t="s">
        <v>5108</v>
      </c>
      <c r="F11726" t="s">
        <v>11</v>
      </c>
      <c r="G11726" t="s">
        <v>5109</v>
      </c>
      <c r="H11726" s="12">
        <v>1.23838271562026</v>
      </c>
      <c r="I11726" s="20">
        <v>0.81224903836663298</v>
      </c>
      <c r="J11726" s="28">
        <v>0.41664874615238301</v>
      </c>
      <c r="K11726" s="29">
        <v>0.98289565623980701</v>
      </c>
    </row>
    <row r="11727" spans="1:11" x14ac:dyDescent="0.35">
      <c r="A11727" s="9" t="str">
        <f>HYPERLINK("http://www.ensembl.org/id/WBGene00002095", "WBGene00002095")</f>
        <v>WBGene00002095</v>
      </c>
      <c r="B11727" s="9" t="str">
        <f>HYPERLINK("http://www.ncbi.nlm.nih.gov/gene/3565721", "3565721")</f>
        <v>3565721</v>
      </c>
      <c r="C11727" s="9"/>
      <c r="D11727" t="str">
        <f>"ins-12"</f>
        <v>ins-12</v>
      </c>
      <c r="E11727" t="s">
        <v>12</v>
      </c>
      <c r="F11727" t="s">
        <v>11</v>
      </c>
      <c r="H11727" s="12">
        <v>-1.2089106150378901</v>
      </c>
      <c r="I11727" s="20">
        <v>-0.26211440880204501</v>
      </c>
      <c r="J11727" s="28">
        <v>0.79323323842174398</v>
      </c>
      <c r="K11727" s="29">
        <v>0.98289565623980701</v>
      </c>
    </row>
    <row r="11728" spans="1:11" x14ac:dyDescent="0.35">
      <c r="A11728" s="9" t="str">
        <f>HYPERLINK("http://www.ensembl.org/id/WBGene00002097", "WBGene00002097")</f>
        <v>WBGene00002097</v>
      </c>
      <c r="B11728" s="9" t="str">
        <f>HYPERLINK("http://www.ncbi.nlm.nih.gov/gene/3565293", "3565293")</f>
        <v>3565293</v>
      </c>
      <c r="C11728" s="9"/>
      <c r="D11728" t="str">
        <f>"ins-14"</f>
        <v>ins-14</v>
      </c>
      <c r="E11728" t="s">
        <v>12</v>
      </c>
      <c r="F11728" t="s">
        <v>11</v>
      </c>
      <c r="H11728" s="12">
        <v>2.69121109661481</v>
      </c>
      <c r="I11728" s="20">
        <v>1.1735945665248599</v>
      </c>
      <c r="J11728" s="28">
        <v>0.24055745859568001</v>
      </c>
      <c r="K11728" s="29">
        <v>0.98289565623980701</v>
      </c>
    </row>
    <row r="11729" spans="1:11" x14ac:dyDescent="0.35">
      <c r="A11729" s="9" t="str">
        <f>HYPERLINK("http://www.ensembl.org/id/WBGene00002098", "WBGene00002098")</f>
        <v>WBGene00002098</v>
      </c>
      <c r="B11729" s="9" t="str">
        <f>HYPERLINK("http://www.ncbi.nlm.nih.gov/gene/3565586", "3565586")</f>
        <v>3565586</v>
      </c>
      <c r="C11729" s="9"/>
      <c r="D11729" t="str">
        <f>"ins-15"</f>
        <v>ins-15</v>
      </c>
      <c r="E11729" t="s">
        <v>12</v>
      </c>
      <c r="F11729" t="s">
        <v>11</v>
      </c>
      <c r="G11729" t="s">
        <v>13</v>
      </c>
      <c r="H11729" s="12">
        <v>3.1061120861672902</v>
      </c>
      <c r="I11729" s="20">
        <v>0.67090301017244602</v>
      </c>
      <c r="J11729" s="28">
        <v>0.50228231861462602</v>
      </c>
      <c r="K11729" s="29">
        <v>0.98289565623980701</v>
      </c>
    </row>
    <row r="11730" spans="1:11" x14ac:dyDescent="0.35">
      <c r="A11730" s="9" t="str">
        <f>HYPERLINK("http://www.ensembl.org/id/WBGene00002100", "WBGene00002100")</f>
        <v>WBGene00002100</v>
      </c>
      <c r="B11730" s="9" t="str">
        <f>HYPERLINK("http://www.ncbi.nlm.nih.gov/gene/175585", "175585")</f>
        <v>175585</v>
      </c>
      <c r="C11730" s="9"/>
      <c r="D11730" t="str">
        <f>"ins-17"</f>
        <v>ins-17</v>
      </c>
      <c r="E11730" t="s">
        <v>5806</v>
      </c>
      <c r="F11730" t="s">
        <v>11</v>
      </c>
      <c r="H11730" s="12">
        <v>1.0991184764325399</v>
      </c>
      <c r="I11730" s="20">
        <v>0.50091798564566303</v>
      </c>
      <c r="J11730" s="28">
        <v>0.61642884402973397</v>
      </c>
      <c r="K11730" s="29">
        <v>0.98289565623980701</v>
      </c>
    </row>
    <row r="11731" spans="1:11" x14ac:dyDescent="0.35">
      <c r="A11731" s="9" t="str">
        <f>HYPERLINK("http://www.ensembl.org/id/WBGene00002104", "WBGene00002104")</f>
        <v>WBGene00002104</v>
      </c>
      <c r="B11731" s="9" t="str">
        <f>HYPERLINK("http://www.ncbi.nlm.nih.gov/gene/191689", "191689")</f>
        <v>191689</v>
      </c>
      <c r="C11731" s="9"/>
      <c r="D11731" t="str">
        <f>"ins-21"</f>
        <v>ins-21</v>
      </c>
      <c r="E11731" t="s">
        <v>4243</v>
      </c>
      <c r="F11731" t="s">
        <v>11</v>
      </c>
      <c r="H11731" s="12">
        <v>6.5528410538133803</v>
      </c>
      <c r="I11731" s="20">
        <v>0.81231691941903905</v>
      </c>
      <c r="J11731" s="28">
        <v>0.41660980452572299</v>
      </c>
      <c r="K11731" s="29">
        <v>0.98289565623980701</v>
      </c>
    </row>
    <row r="11732" spans="1:11" x14ac:dyDescent="0.35">
      <c r="A11732" s="9" t="str">
        <f>HYPERLINK("http://www.ensembl.org/id/WBGene00002105", "WBGene00002105")</f>
        <v>WBGene00002105</v>
      </c>
      <c r="B11732" s="9" t="str">
        <f>HYPERLINK("http://www.ncbi.nlm.nih.gov/gene/191690", "191690")</f>
        <v>191690</v>
      </c>
      <c r="C11732" s="9"/>
      <c r="D11732" t="str">
        <f>"ins-22"</f>
        <v>ins-22</v>
      </c>
      <c r="E11732" t="s">
        <v>9912</v>
      </c>
      <c r="F11732" t="s">
        <v>11</v>
      </c>
      <c r="H11732" s="12">
        <v>-1.36909939083614</v>
      </c>
      <c r="I11732" s="20">
        <v>-0.63842821665878202</v>
      </c>
      <c r="J11732" s="28">
        <v>0.523194968003175</v>
      </c>
      <c r="K11732" s="29">
        <v>0.98289565623980701</v>
      </c>
    </row>
    <row r="11733" spans="1:11" x14ac:dyDescent="0.35">
      <c r="A11733" s="9" t="str">
        <f>HYPERLINK("http://www.ensembl.org/id/WBGene00002106", "WBGene00002106")</f>
        <v>WBGene00002106</v>
      </c>
      <c r="B11733" s="9" t="str">
        <f>HYPERLINK("http://www.ncbi.nlm.nih.gov/gene/191691", "191691")</f>
        <v>191691</v>
      </c>
      <c r="C11733" s="9"/>
      <c r="D11733" t="str">
        <f>"ins-23"</f>
        <v>ins-23</v>
      </c>
      <c r="E11733" t="s">
        <v>9967</v>
      </c>
      <c r="F11733" t="s">
        <v>11</v>
      </c>
      <c r="G11733" t="s">
        <v>724</v>
      </c>
      <c r="H11733" s="12">
        <v>-1.5116936302513699</v>
      </c>
      <c r="I11733" s="20">
        <v>-0.806330504455116</v>
      </c>
      <c r="J11733" s="28">
        <v>0.42005230615975597</v>
      </c>
      <c r="K11733" s="29">
        <v>0.98289565623980701</v>
      </c>
    </row>
    <row r="11734" spans="1:11" x14ac:dyDescent="0.35">
      <c r="A11734" s="9" t="str">
        <f>HYPERLINK("http://www.ensembl.org/id/WBGene00002108", "WBGene00002108")</f>
        <v>WBGene00002108</v>
      </c>
      <c r="B11734" s="9" t="str">
        <f>HYPERLINK("http://www.ncbi.nlm.nih.gov/gene/3565916", "3565916")</f>
        <v>3565916</v>
      </c>
      <c r="C11734" s="9"/>
      <c r="D11734" t="str">
        <f>"ins-25"</f>
        <v>ins-25</v>
      </c>
      <c r="E11734" t="s">
        <v>12</v>
      </c>
      <c r="F11734" t="s">
        <v>11</v>
      </c>
      <c r="G11734" t="s">
        <v>13</v>
      </c>
      <c r="H11734" s="12">
        <v>2.21621069786536</v>
      </c>
      <c r="I11734" s="20">
        <v>0.92796547365419801</v>
      </c>
      <c r="J11734" s="28">
        <v>0.35342547954981801</v>
      </c>
      <c r="K11734" s="29">
        <v>0.98289565623980701</v>
      </c>
    </row>
    <row r="11735" spans="1:11" x14ac:dyDescent="0.35">
      <c r="A11735" s="9" t="str">
        <f>HYPERLINK("http://www.ensembl.org/id/WBGene00002110", "WBGene00002110")</f>
        <v>WBGene00002110</v>
      </c>
      <c r="B11735" s="9" t="str">
        <f>HYPERLINK("http://www.ncbi.nlm.nih.gov/gene/259408", "259408")</f>
        <v>259408</v>
      </c>
      <c r="C11735" s="9"/>
      <c r="D11735" t="str">
        <f>"ins-27"</f>
        <v>ins-27</v>
      </c>
      <c r="E11735" t="s">
        <v>12</v>
      </c>
      <c r="F11735" t="s">
        <v>11</v>
      </c>
      <c r="G11735" t="s">
        <v>13</v>
      </c>
      <c r="H11735" s="12">
        <v>-1.14574156628796</v>
      </c>
      <c r="I11735" s="20">
        <v>-0.32866053523835498</v>
      </c>
      <c r="J11735" s="28">
        <v>0.74241228692141903</v>
      </c>
      <c r="K11735" s="29">
        <v>0.98289565623980701</v>
      </c>
    </row>
    <row r="11736" spans="1:11" x14ac:dyDescent="0.35">
      <c r="A11736" s="9" t="str">
        <f>HYPERLINK("http://www.ensembl.org/id/WBGene00002114", "WBGene00002114")</f>
        <v>WBGene00002114</v>
      </c>
      <c r="B11736" s="9" t="str">
        <f>HYPERLINK("http://www.ncbi.nlm.nih.gov/gene/173660", "173660")</f>
        <v>173660</v>
      </c>
      <c r="C11736" s="9"/>
      <c r="D11736" t="str">
        <f>"ins-31"</f>
        <v>ins-31</v>
      </c>
      <c r="E11736" t="s">
        <v>12</v>
      </c>
      <c r="F11736" t="s">
        <v>11</v>
      </c>
      <c r="G11736" t="s">
        <v>13</v>
      </c>
      <c r="H11736" s="12">
        <v>-4.7167679298615104</v>
      </c>
      <c r="I11736" s="20">
        <v>-0.454742638005115</v>
      </c>
      <c r="J11736" s="28">
        <v>0.64929440216969203</v>
      </c>
      <c r="K11736" s="29">
        <v>0.98289565623980701</v>
      </c>
    </row>
    <row r="11737" spans="1:11" x14ac:dyDescent="0.35">
      <c r="A11737" s="9" t="str">
        <f>HYPERLINK("http://www.ensembl.org/id/WBGene00002115", "WBGene00002115")</f>
        <v>WBGene00002115</v>
      </c>
      <c r="B11737" s="9" t="str">
        <f>HYPERLINK("http://www.ncbi.nlm.nih.gov/gene/189403", "189403")</f>
        <v>189403</v>
      </c>
      <c r="C11737" s="9"/>
      <c r="D11737" t="str">
        <f>"ins-32"</f>
        <v>ins-32</v>
      </c>
      <c r="E11737" t="s">
        <v>12</v>
      </c>
      <c r="F11737" t="s">
        <v>11</v>
      </c>
      <c r="G11737" t="s">
        <v>13</v>
      </c>
      <c r="H11737" s="12">
        <v>9.5215001458148301</v>
      </c>
      <c r="I11737" s="20">
        <v>0.67036031720767997</v>
      </c>
      <c r="J11737" s="28">
        <v>0.50262812496729803</v>
      </c>
      <c r="K11737" s="29">
        <v>0.98289565623980701</v>
      </c>
    </row>
    <row r="11738" spans="1:11" x14ac:dyDescent="0.35">
      <c r="A11738" s="9" t="str">
        <f>HYPERLINK("http://www.ensembl.org/id/WBGene00002117", "WBGene00002117")</f>
        <v>WBGene00002117</v>
      </c>
      <c r="B11738" s="9" t="str">
        <f>HYPERLINK("http://www.ncbi.nlm.nih.gov/gene/191692", "191692")</f>
        <v>191692</v>
      </c>
      <c r="C11738" s="9"/>
      <c r="D11738" t="str">
        <f>"ins-34"</f>
        <v>ins-34</v>
      </c>
      <c r="E11738" t="s">
        <v>12</v>
      </c>
      <c r="F11738" t="s">
        <v>11</v>
      </c>
      <c r="H11738" s="12">
        <v>1.3678800419413599</v>
      </c>
      <c r="I11738" s="20">
        <v>0.90616346722689101</v>
      </c>
      <c r="J11738" s="28">
        <v>0.36484933646205098</v>
      </c>
      <c r="K11738" s="29">
        <v>0.98289565623980701</v>
      </c>
    </row>
    <row r="11739" spans="1:11" x14ac:dyDescent="0.35">
      <c r="A11739" s="9" t="str">
        <f>HYPERLINK("http://www.ensembl.org/id/WBGene00002118", "WBGene00002118")</f>
        <v>WBGene00002118</v>
      </c>
      <c r="B11739" s="9" t="str">
        <f>HYPERLINK("http://www.ncbi.nlm.nih.gov/gene/180334", "180334")</f>
        <v>180334</v>
      </c>
      <c r="C11739" s="9"/>
      <c r="D11739" t="str">
        <f>"ins-35"</f>
        <v>ins-35</v>
      </c>
      <c r="E11739" t="s">
        <v>12</v>
      </c>
      <c r="F11739" t="s">
        <v>11</v>
      </c>
      <c r="H11739" s="12">
        <v>-1.2827848014447001</v>
      </c>
      <c r="I11739" s="20">
        <v>-0.25921288036124202</v>
      </c>
      <c r="J11739" s="28">
        <v>0.795470993574248</v>
      </c>
      <c r="K11739" s="29">
        <v>0.98289565623980701</v>
      </c>
    </row>
    <row r="11740" spans="1:11" x14ac:dyDescent="0.35">
      <c r="A11740" s="9" t="str">
        <f>HYPERLINK("http://www.ensembl.org/id/WBGene00002119", "WBGene00002119")</f>
        <v>WBGene00002119</v>
      </c>
      <c r="B11740" s="9" t="str">
        <f>HYPERLINK("http://www.ncbi.nlm.nih.gov/gene/3565585", "3565585")</f>
        <v>3565585</v>
      </c>
      <c r="C11740" s="9"/>
      <c r="D11740" t="str">
        <f>"ins-36"</f>
        <v>ins-36</v>
      </c>
      <c r="E11740" t="s">
        <v>12</v>
      </c>
      <c r="F11740" t="s">
        <v>11</v>
      </c>
      <c r="H11740" s="12">
        <v>1.86008516935219</v>
      </c>
      <c r="I11740" s="20">
        <v>1.0037453546666</v>
      </c>
      <c r="J11740" s="28">
        <v>0.31550136977874099</v>
      </c>
      <c r="K11740" s="29">
        <v>0.98289565623980701</v>
      </c>
    </row>
    <row r="11741" spans="1:11" x14ac:dyDescent="0.35">
      <c r="A11741" s="9" t="str">
        <f>HYPERLINK("http://www.ensembl.org/id/WBGene00002120", "WBGene00002120")</f>
        <v>WBGene00002120</v>
      </c>
      <c r="B11741" s="9" t="str">
        <f>HYPERLINK("http://www.ncbi.nlm.nih.gov/gene/191693", "191693")</f>
        <v>191693</v>
      </c>
      <c r="C11741" s="9"/>
      <c r="D11741" t="str">
        <f>"ins-37"</f>
        <v>ins-37</v>
      </c>
      <c r="E11741" t="s">
        <v>12</v>
      </c>
      <c r="F11741" t="s">
        <v>11</v>
      </c>
      <c r="G11741" t="s">
        <v>13</v>
      </c>
      <c r="H11741" s="12">
        <v>1.61154564896941</v>
      </c>
      <c r="I11741" s="20">
        <v>0.54736150615389001</v>
      </c>
      <c r="J11741" s="28">
        <v>0.58413039571237102</v>
      </c>
      <c r="K11741" s="29">
        <v>0.98289565623980701</v>
      </c>
    </row>
    <row r="11742" spans="1:11" x14ac:dyDescent="0.35">
      <c r="A11742" s="9" t="str">
        <f>HYPERLINK("http://www.ensembl.org/id/WBGene00017668", "WBGene00017668")</f>
        <v>WBGene00017668</v>
      </c>
      <c r="B11742" s="9" t="str">
        <f>HYPERLINK("http://www.ncbi.nlm.nih.gov/gene/180476", "180476")</f>
        <v>180476</v>
      </c>
      <c r="C11742" s="9"/>
      <c r="D11742" t="str">
        <f>"ins-39"</f>
        <v>ins-39</v>
      </c>
      <c r="E11742" t="s">
        <v>12</v>
      </c>
      <c r="F11742" t="s">
        <v>11</v>
      </c>
      <c r="H11742" s="12">
        <v>2.3893468495514898</v>
      </c>
      <c r="I11742" s="20">
        <v>0.25323547253672701</v>
      </c>
      <c r="J11742" s="28">
        <v>0.80008625651646104</v>
      </c>
      <c r="K11742" s="29">
        <v>0.98289565623980701</v>
      </c>
    </row>
    <row r="11743" spans="1:11" x14ac:dyDescent="0.35">
      <c r="A11743" s="9" t="str">
        <f>HYPERLINK("http://www.ensembl.org/id/WBGene00002088", "WBGene00002088")</f>
        <v>WBGene00002088</v>
      </c>
      <c r="B11743" s="9" t="str">
        <f>HYPERLINK("http://www.ncbi.nlm.nih.gov/gene/191686", "191686")</f>
        <v>191686</v>
      </c>
      <c r="C11743" s="9"/>
      <c r="D11743" t="str">
        <f>"ins-5"</f>
        <v>ins-5</v>
      </c>
      <c r="E11743" t="s">
        <v>4494</v>
      </c>
      <c r="F11743" t="s">
        <v>11</v>
      </c>
      <c r="G11743" t="s">
        <v>724</v>
      </c>
      <c r="H11743" s="12">
        <v>1.8568286353452199</v>
      </c>
      <c r="I11743" s="20">
        <v>0.55222081185120397</v>
      </c>
      <c r="J11743" s="28">
        <v>0.58079707716444495</v>
      </c>
      <c r="K11743" s="29">
        <v>0.98289565623980701</v>
      </c>
    </row>
    <row r="11744" spans="1:11" x14ac:dyDescent="0.35">
      <c r="A11744" s="9" t="str">
        <f>HYPERLINK("http://www.ensembl.org/id/WBGene00002092", "WBGene00002092")</f>
        <v>WBGene00002092</v>
      </c>
      <c r="B11744" s="9" t="str">
        <f>HYPERLINK("http://www.ncbi.nlm.nih.gov/gene/3564850", "3564850")</f>
        <v>3564850</v>
      </c>
      <c r="C11744" s="9"/>
      <c r="D11744" t="str">
        <f>"ins-9"</f>
        <v>ins-9</v>
      </c>
      <c r="E11744" t="s">
        <v>12</v>
      </c>
      <c r="F11744" t="s">
        <v>11</v>
      </c>
      <c r="G11744" t="s">
        <v>13</v>
      </c>
      <c r="H11744" s="12">
        <v>3.88965864840022</v>
      </c>
      <c r="I11744" s="20">
        <v>1.1289645621242299</v>
      </c>
      <c r="J11744" s="28">
        <v>0.25891278334925499</v>
      </c>
      <c r="K11744" s="29">
        <v>0.98289565623980701</v>
      </c>
    </row>
    <row r="11745" spans="1:11" x14ac:dyDescent="0.35">
      <c r="A11745" s="9" t="str">
        <f>HYPERLINK("http://www.ensembl.org/id/WBGene00016871", "WBGene00016871")</f>
        <v>WBGene00016871</v>
      </c>
      <c r="B11745" s="9" t="str">
        <f>HYPERLINK("http://www.ncbi.nlm.nih.gov/gene/180473", "180473")</f>
        <v>180473</v>
      </c>
      <c r="C11745" s="9" t="str">
        <f>HYPERLINK("http://www.ncbi.nlm.nih.gov/gene/23510", "23510")</f>
        <v>23510</v>
      </c>
      <c r="D11745" t="str">
        <f>"inso-1"</f>
        <v>inso-1</v>
      </c>
      <c r="E11745" t="s">
        <v>5544</v>
      </c>
      <c r="F11745" t="s">
        <v>11</v>
      </c>
      <c r="G11745" t="s">
        <v>5545</v>
      </c>
      <c r="H11745" s="12">
        <v>1.14816036171108</v>
      </c>
      <c r="I11745" s="20">
        <v>0.67124026706758999</v>
      </c>
      <c r="J11745" s="28">
        <v>0.50206748045199201</v>
      </c>
      <c r="K11745" s="29">
        <v>0.98289565623980701</v>
      </c>
    </row>
    <row r="11746" spans="1:11" x14ac:dyDescent="0.35">
      <c r="A11746" s="9" t="str">
        <f>HYPERLINK("http://www.ensembl.org/id/WBGene00002123", "WBGene00002123")</f>
        <v>WBGene00002123</v>
      </c>
      <c r="B11746" s="9" t="str">
        <f>HYPERLINK("http://www.ncbi.nlm.nih.gov/gene/180968", "180968")</f>
        <v>180968</v>
      </c>
      <c r="C11746" s="9"/>
      <c r="D11746" t="str">
        <f>"inx-1"</f>
        <v>inx-1</v>
      </c>
      <c r="E11746" t="s">
        <v>275</v>
      </c>
      <c r="F11746" t="s">
        <v>11</v>
      </c>
      <c r="G11746" t="s">
        <v>1293</v>
      </c>
      <c r="H11746" s="12">
        <v>1.27458425639065</v>
      </c>
      <c r="I11746" s="20">
        <v>1.0907205747373201</v>
      </c>
      <c r="J11746" s="28">
        <v>0.27539585443498799</v>
      </c>
      <c r="K11746" s="29">
        <v>0.98289565623980701</v>
      </c>
    </row>
    <row r="11747" spans="1:11" x14ac:dyDescent="0.35">
      <c r="A11747" s="9" t="str">
        <f>HYPERLINK("http://www.ensembl.org/id/WBGene00002132", "WBGene00002132")</f>
        <v>WBGene00002132</v>
      </c>
      <c r="B11747" s="9" t="str">
        <f>HYPERLINK("http://www.ncbi.nlm.nih.gov/gene/188580", "188580")</f>
        <v>188580</v>
      </c>
      <c r="C11747" s="9"/>
      <c r="D11747" t="str">
        <f>"inx-10"</f>
        <v>inx-10</v>
      </c>
      <c r="E11747" t="s">
        <v>5622</v>
      </c>
      <c r="F11747" t="s">
        <v>11</v>
      </c>
      <c r="G11747" t="s">
        <v>5623</v>
      </c>
      <c r="H11747" s="12">
        <v>1.1334396060817</v>
      </c>
      <c r="I11747" s="20">
        <v>0.60338290921460402</v>
      </c>
      <c r="J11747" s="28">
        <v>0.54625398915554901</v>
      </c>
      <c r="K11747" s="29">
        <v>0.98289565623980701</v>
      </c>
    </row>
    <row r="11748" spans="1:11" x14ac:dyDescent="0.35">
      <c r="A11748" s="9" t="str">
        <f>HYPERLINK("http://www.ensembl.org/id/WBGene00002133", "WBGene00002133")</f>
        <v>WBGene00002133</v>
      </c>
      <c r="B11748" s="9" t="str">
        <f>HYPERLINK("http://www.ncbi.nlm.nih.gov/gene/179710", "179710")</f>
        <v>179710</v>
      </c>
      <c r="C11748" s="9"/>
      <c r="D11748" t="str">
        <f>"inx-11"</f>
        <v>inx-11</v>
      </c>
      <c r="E11748" t="s">
        <v>5664</v>
      </c>
      <c r="F11748" t="s">
        <v>11</v>
      </c>
      <c r="G11748" t="s">
        <v>5665</v>
      </c>
      <c r="H11748" s="12">
        <v>1.12631002918596</v>
      </c>
      <c r="I11748" s="20">
        <v>0.58906811729958597</v>
      </c>
      <c r="J11748" s="28">
        <v>0.55581557996061004</v>
      </c>
      <c r="K11748" s="29">
        <v>0.98289565623980701</v>
      </c>
    </row>
    <row r="11749" spans="1:11" x14ac:dyDescent="0.35">
      <c r="A11749" s="9" t="str">
        <f>HYPERLINK("http://www.ensembl.org/id/WBGene00002137", "WBGene00002137")</f>
        <v>WBGene00002137</v>
      </c>
      <c r="B11749" s="9" t="str">
        <f>HYPERLINK("http://www.ncbi.nlm.nih.gov/gene/172004", "172004")</f>
        <v>172004</v>
      </c>
      <c r="C11749" s="9"/>
      <c r="D11749" t="str">
        <f>"inx-15"</f>
        <v>inx-15</v>
      </c>
      <c r="E11749" t="s">
        <v>275</v>
      </c>
      <c r="F11749" t="s">
        <v>11</v>
      </c>
      <c r="G11749" t="s">
        <v>1293</v>
      </c>
      <c r="H11749" s="12">
        <v>-1.2207028424286801</v>
      </c>
      <c r="I11749" s="20">
        <v>-1.00326832837543</v>
      </c>
      <c r="J11749" s="28">
        <v>0.31573141301248597</v>
      </c>
      <c r="K11749" s="29">
        <v>0.98289565623980701</v>
      </c>
    </row>
    <row r="11750" spans="1:11" x14ac:dyDescent="0.35">
      <c r="A11750" s="9" t="str">
        <f>HYPERLINK("http://www.ensembl.org/id/WBGene00002139", "WBGene00002139")</f>
        <v>WBGene00002139</v>
      </c>
      <c r="B11750" s="9" t="str">
        <f>HYPERLINK("http://www.ncbi.nlm.nih.gov/gene/172006", "172006")</f>
        <v>172006</v>
      </c>
      <c r="C11750" s="9"/>
      <c r="D11750" t="str">
        <f>"inx-17"</f>
        <v>inx-17</v>
      </c>
      <c r="E11750" t="s">
        <v>5758</v>
      </c>
      <c r="F11750" t="s">
        <v>11</v>
      </c>
      <c r="H11750" s="12">
        <v>1.1083893689433499</v>
      </c>
      <c r="I11750" s="20">
        <v>0.40412836292636101</v>
      </c>
      <c r="J11750" s="28">
        <v>0.68611832906357195</v>
      </c>
      <c r="K11750" s="29">
        <v>0.98289565623980701</v>
      </c>
    </row>
    <row r="11751" spans="1:11" x14ac:dyDescent="0.35">
      <c r="A11751" s="9" t="str">
        <f>HYPERLINK("http://www.ensembl.org/id/WBGene00002140", "WBGene00002140")</f>
        <v>WBGene00002140</v>
      </c>
      <c r="B11751" s="9" t="str">
        <f>HYPERLINK("http://www.ncbi.nlm.nih.gov/gene/182801", "182801")</f>
        <v>182801</v>
      </c>
      <c r="C11751" s="9"/>
      <c r="D11751" t="str">
        <f>"inx-18"</f>
        <v>inx-18</v>
      </c>
      <c r="E11751" t="s">
        <v>275</v>
      </c>
      <c r="F11751" t="s">
        <v>11</v>
      </c>
      <c r="G11751" t="s">
        <v>1293</v>
      </c>
      <c r="H11751" s="12">
        <v>1.33704492166913</v>
      </c>
      <c r="I11751" s="20">
        <v>0.79021657303225701</v>
      </c>
      <c r="J11751" s="28">
        <v>0.42940129885964601</v>
      </c>
      <c r="K11751" s="29">
        <v>0.98289565623980701</v>
      </c>
    </row>
    <row r="11752" spans="1:11" x14ac:dyDescent="0.35">
      <c r="A11752" s="9" t="str">
        <f>HYPERLINK("http://www.ensembl.org/id/WBGene00002141", "WBGene00002141")</f>
        <v>WBGene00002141</v>
      </c>
      <c r="B11752" s="9" t="str">
        <f>HYPERLINK("http://www.ncbi.nlm.nih.gov/gene/171805", "171805")</f>
        <v>171805</v>
      </c>
      <c r="C11752" s="9"/>
      <c r="D11752" t="str">
        <f>"inx-19"</f>
        <v>inx-19</v>
      </c>
      <c r="E11752" t="s">
        <v>5429</v>
      </c>
      <c r="F11752" t="s">
        <v>11</v>
      </c>
      <c r="H11752" s="12">
        <v>1.1652524545166301</v>
      </c>
      <c r="I11752" s="20">
        <v>0.29547759198676399</v>
      </c>
      <c r="J11752" s="28">
        <v>0.767629067598808</v>
      </c>
      <c r="K11752" s="29">
        <v>0.98289565623980701</v>
      </c>
    </row>
    <row r="11753" spans="1:11" x14ac:dyDescent="0.35">
      <c r="A11753" s="9" t="str">
        <f>HYPERLINK("http://www.ensembl.org/id/WBGene00002124", "WBGene00002124")</f>
        <v>WBGene00002124</v>
      </c>
      <c r="B11753" s="9" t="str">
        <f>HYPERLINK("http://www.ncbi.nlm.nih.gov/gene/181318", "181318")</f>
        <v>181318</v>
      </c>
      <c r="C11753" s="9"/>
      <c r="D11753" t="str">
        <f>"inx-2"</f>
        <v>inx-2</v>
      </c>
      <c r="E11753" t="s">
        <v>4896</v>
      </c>
      <c r="F11753" t="s">
        <v>11</v>
      </c>
      <c r="H11753" s="12">
        <v>1.3115811089859</v>
      </c>
      <c r="I11753" s="20">
        <v>1.1522567838959801</v>
      </c>
      <c r="J11753" s="28">
        <v>0.24921556988514501</v>
      </c>
      <c r="K11753" s="29">
        <v>0.98289565623980701</v>
      </c>
    </row>
    <row r="11754" spans="1:11" x14ac:dyDescent="0.35">
      <c r="A11754" s="9" t="str">
        <f>HYPERLINK("http://www.ensembl.org/id/WBGene00002125", "WBGene00002125")</f>
        <v>WBGene00002125</v>
      </c>
      <c r="B11754" s="9" t="str">
        <f>HYPERLINK("http://www.ncbi.nlm.nih.gov/gene/180866", "180866")</f>
        <v>180866</v>
      </c>
      <c r="C11754" s="9"/>
      <c r="D11754" t="str">
        <f>"inx-3"</f>
        <v>inx-3</v>
      </c>
      <c r="E11754" t="s">
        <v>4884</v>
      </c>
      <c r="F11754" t="s">
        <v>11</v>
      </c>
      <c r="H11754" s="12">
        <v>1.3153417265218199</v>
      </c>
      <c r="I11754" s="20">
        <v>1.1920414331714999</v>
      </c>
      <c r="J11754" s="28">
        <v>0.23324499948046301</v>
      </c>
      <c r="K11754" s="29">
        <v>0.98289565623980701</v>
      </c>
    </row>
    <row r="11755" spans="1:11" x14ac:dyDescent="0.35">
      <c r="A11755" s="9" t="str">
        <f>HYPERLINK("http://www.ensembl.org/id/WBGene00002127", "WBGene00002127")</f>
        <v>WBGene00002127</v>
      </c>
      <c r="B11755" s="9" t="str">
        <f>HYPERLINK("http://www.ncbi.nlm.nih.gov/gene/181086", "181086")</f>
        <v>181086</v>
      </c>
      <c r="C11755" s="9"/>
      <c r="D11755" t="str">
        <f>"inx-5"</f>
        <v>inx-5</v>
      </c>
      <c r="E11755" t="s">
        <v>5615</v>
      </c>
      <c r="F11755" t="s">
        <v>11</v>
      </c>
      <c r="H11755" s="12">
        <v>1.13403825672807</v>
      </c>
      <c r="I11755" s="20">
        <v>0.62132800769514396</v>
      </c>
      <c r="J11755" s="28">
        <v>0.53438382937117102</v>
      </c>
      <c r="K11755" s="29">
        <v>0.98289565623980701</v>
      </c>
    </row>
    <row r="11756" spans="1:11" x14ac:dyDescent="0.35">
      <c r="A11756" s="9" t="str">
        <f>HYPERLINK("http://www.ensembl.org/id/WBGene00002128", "WBGene00002128")</f>
        <v>WBGene00002128</v>
      </c>
      <c r="B11756" s="9" t="str">
        <f>HYPERLINK("http://www.ncbi.nlm.nih.gov/gene/178231", "178231")</f>
        <v>178231</v>
      </c>
      <c r="C11756" s="9"/>
      <c r="D11756" t="str">
        <f>"inx-6"</f>
        <v>inx-6</v>
      </c>
      <c r="E11756" t="s">
        <v>4695</v>
      </c>
      <c r="F11756" t="s">
        <v>11</v>
      </c>
      <c r="H11756" s="12">
        <v>1.48260527259479</v>
      </c>
      <c r="I11756" s="20">
        <v>0.93613371687400904</v>
      </c>
      <c r="J11756" s="28">
        <v>0.34920434511245202</v>
      </c>
      <c r="K11756" s="29">
        <v>0.98289565623980701</v>
      </c>
    </row>
    <row r="11757" spans="1:11" x14ac:dyDescent="0.35">
      <c r="A11757" s="9" t="str">
        <f>HYPERLINK("http://www.ensembl.org/id/WBGene00002129", "WBGene00002129")</f>
        <v>WBGene00002129</v>
      </c>
      <c r="B11757" s="9" t="str">
        <f>HYPERLINK("http://www.ncbi.nlm.nih.gov/gene/177364", "177364")</f>
        <v>177364</v>
      </c>
      <c r="C11757" s="9"/>
      <c r="D11757" t="str">
        <f>"inx-7"</f>
        <v>inx-7</v>
      </c>
      <c r="E11757" t="s">
        <v>6895</v>
      </c>
      <c r="F11757" t="s">
        <v>11</v>
      </c>
      <c r="G11757" t="s">
        <v>5623</v>
      </c>
      <c r="H11757" s="12">
        <v>-1.0952043510957501</v>
      </c>
      <c r="I11757" s="20">
        <v>-0.46257976776677401</v>
      </c>
      <c r="J11757" s="28">
        <v>0.64366561361321994</v>
      </c>
      <c r="K11757" s="29">
        <v>0.98289565623980701</v>
      </c>
    </row>
    <row r="11758" spans="1:11" x14ac:dyDescent="0.35">
      <c r="A11758" s="9" t="str">
        <f>HYPERLINK("http://www.ensembl.org/id/WBGene00019001", "WBGene00019001")</f>
        <v>WBGene00019001</v>
      </c>
      <c r="B11758" s="9" t="str">
        <f>HYPERLINK("http://www.ncbi.nlm.nih.gov/gene/172376", "172376")</f>
        <v>172376</v>
      </c>
      <c r="C11758" s="9"/>
      <c r="D11758" t="str">
        <f>"ipgm-1"</f>
        <v>ipgm-1</v>
      </c>
      <c r="E11758" t="s">
        <v>6194</v>
      </c>
      <c r="F11758" t="s">
        <v>11</v>
      </c>
      <c r="G11758" t="s">
        <v>6195</v>
      </c>
      <c r="H11758" s="12">
        <v>-1.05299324560856</v>
      </c>
      <c r="I11758" s="20">
        <v>-0.27712983087098497</v>
      </c>
      <c r="J11758" s="28">
        <v>0.78168041680293798</v>
      </c>
      <c r="K11758" s="29">
        <v>0.98289565623980701</v>
      </c>
    </row>
    <row r="11759" spans="1:11" x14ac:dyDescent="0.35">
      <c r="A11759" s="9" t="str">
        <f>HYPERLINK("http://www.ensembl.org/id/WBGene00019747", "WBGene00019747")</f>
        <v>WBGene00019747</v>
      </c>
      <c r="B11759" s="9" t="str">
        <f>HYPERLINK("http://www.ncbi.nlm.nih.gov/gene/173795", "173795")</f>
        <v>173795</v>
      </c>
      <c r="C11759" s="9" t="str">
        <f>HYPERLINK("http://www.ncbi.nlm.nih.gov/gene/80821", "80821")</f>
        <v>80821</v>
      </c>
      <c r="D11759" t="str">
        <f>"ipla-1"</f>
        <v>ipla-1</v>
      </c>
      <c r="E11759" t="s">
        <v>476</v>
      </c>
      <c r="F11759" t="s">
        <v>11</v>
      </c>
      <c r="G11759" t="s">
        <v>9064</v>
      </c>
      <c r="H11759" s="12">
        <v>-1.2177647460060299</v>
      </c>
      <c r="I11759" s="20">
        <v>-1.07104652662968</v>
      </c>
      <c r="J11759" s="28">
        <v>0.28414851001224001</v>
      </c>
      <c r="K11759" s="29">
        <v>0.98289565623980701</v>
      </c>
    </row>
    <row r="11760" spans="1:11" x14ac:dyDescent="0.35">
      <c r="A11760" s="9" t="str">
        <f>HYPERLINK("http://www.ensembl.org/id/WBGene00019229", "WBGene00019229")</f>
        <v>WBGene00019229</v>
      </c>
      <c r="B11760" s="9" t="str">
        <f>HYPERLINK("http://www.ncbi.nlm.nih.gov/gene/186763", "186763")</f>
        <v>186763</v>
      </c>
      <c r="C11760" s="9"/>
      <c r="D11760" t="str">
        <f>"ipla-5"</f>
        <v>ipla-5</v>
      </c>
      <c r="E11760" t="s">
        <v>476</v>
      </c>
      <c r="F11760" t="s">
        <v>11</v>
      </c>
      <c r="G11760" t="s">
        <v>29</v>
      </c>
      <c r="H11760" s="12">
        <v>2.0045463489838098</v>
      </c>
      <c r="I11760" s="20">
        <v>0.497445460829399</v>
      </c>
      <c r="J11760" s="28">
        <v>0.61887495404981396</v>
      </c>
      <c r="K11760" s="29">
        <v>0.98289565623980701</v>
      </c>
    </row>
    <row r="11761" spans="1:11" x14ac:dyDescent="0.35">
      <c r="A11761" s="9" t="str">
        <f>HYPERLINK("http://www.ensembl.org/id/WBGene00014081", "WBGene00014081")</f>
        <v>WBGene00014081</v>
      </c>
      <c r="B11761" s="9" t="str">
        <f>HYPERLINK("http://www.ncbi.nlm.nih.gov/gene/191426", "191426")</f>
        <v>191426</v>
      </c>
      <c r="C11761" s="9" t="str">
        <f>HYPERLINK("http://www.ncbi.nlm.nih.gov/gene/253430", "253430")</f>
        <v>253430</v>
      </c>
      <c r="D11761" t="str">
        <f>"ipmk-1"</f>
        <v>ipmk-1</v>
      </c>
      <c r="E11761" t="s">
        <v>4005</v>
      </c>
      <c r="F11761" t="s">
        <v>11</v>
      </c>
      <c r="G11761" t="s">
        <v>8413</v>
      </c>
      <c r="H11761" s="12">
        <v>-1.17590326586656</v>
      </c>
      <c r="I11761" s="20">
        <v>-0.867549722395485</v>
      </c>
      <c r="J11761" s="28">
        <v>0.38564088055272699</v>
      </c>
      <c r="K11761" s="29">
        <v>0.98289565623980701</v>
      </c>
    </row>
    <row r="11762" spans="1:11" x14ac:dyDescent="0.35">
      <c r="A11762" s="9" t="str">
        <f>HYPERLINK("http://www.ensembl.org/id/WBGene00002146", "WBGene00002146")</f>
        <v>WBGene00002146</v>
      </c>
      <c r="B11762" s="9" t="str">
        <f>HYPERLINK("http://www.ncbi.nlm.nih.gov/gene/180871", "180871")</f>
        <v>180871</v>
      </c>
      <c r="C11762" s="9" t="str">
        <f>HYPERLINK("http://www.ncbi.nlm.nih.gov/gene/3632", "3632")</f>
        <v>3632</v>
      </c>
      <c r="D11762" t="str">
        <f>"ipp-5"</f>
        <v>ipp-5</v>
      </c>
      <c r="E11762" t="s">
        <v>5366</v>
      </c>
      <c r="F11762" t="s">
        <v>11</v>
      </c>
      <c r="G11762" t="s">
        <v>5367</v>
      </c>
      <c r="H11762" s="12">
        <v>1.18230629797735</v>
      </c>
      <c r="I11762" s="20">
        <v>0.83430693656319399</v>
      </c>
      <c r="J11762" s="28">
        <v>0.404108044016526</v>
      </c>
      <c r="K11762" s="29">
        <v>0.98289565623980701</v>
      </c>
    </row>
    <row r="11763" spans="1:11" x14ac:dyDescent="0.35">
      <c r="A11763" s="9" t="str">
        <f>HYPERLINK("http://www.ensembl.org/id/WBGene00015574", "WBGene00015574")</f>
        <v>WBGene00015574</v>
      </c>
      <c r="B11763" s="9" t="str">
        <f>HYPERLINK("http://www.ncbi.nlm.nih.gov/gene/182379", "182379")</f>
        <v>182379</v>
      </c>
      <c r="C11763" s="9"/>
      <c r="D11763" t="str">
        <f>"irg-1"</f>
        <v>irg-1</v>
      </c>
      <c r="E11763" t="s">
        <v>1875</v>
      </c>
      <c r="F11763" t="s">
        <v>11</v>
      </c>
      <c r="G11763" t="s">
        <v>1739</v>
      </c>
      <c r="H11763" s="12">
        <v>1.5438327124867399</v>
      </c>
      <c r="I11763" s="20">
        <v>1.0382041590108799</v>
      </c>
      <c r="J11763" s="28">
        <v>0.29917501679868402</v>
      </c>
      <c r="K11763" s="29">
        <v>0.98289565623980701</v>
      </c>
    </row>
    <row r="11764" spans="1:11" x14ac:dyDescent="0.35">
      <c r="A11764" s="9" t="str">
        <f>HYPERLINK("http://www.ensembl.org/id/WBGene00018760", "WBGene00018760")</f>
        <v>WBGene00018760</v>
      </c>
      <c r="B11764" s="9" t="str">
        <f>HYPERLINK("http://www.ncbi.nlm.nih.gov/gene/178726", "178726")</f>
        <v>178726</v>
      </c>
      <c r="C11764" s="9"/>
      <c r="D11764" t="str">
        <f>"irg-3"</f>
        <v>irg-3</v>
      </c>
      <c r="E11764" t="s">
        <v>1875</v>
      </c>
      <c r="F11764" t="s">
        <v>11</v>
      </c>
      <c r="G11764" t="s">
        <v>264</v>
      </c>
      <c r="H11764" s="12">
        <v>-1.07045929978633</v>
      </c>
      <c r="I11764" s="20">
        <v>-0.29501800711441101</v>
      </c>
      <c r="J11764" s="28">
        <v>0.76798012390895698</v>
      </c>
      <c r="K11764" s="29">
        <v>0.98289565623980701</v>
      </c>
    </row>
    <row r="11765" spans="1:11" x14ac:dyDescent="0.35">
      <c r="A11765" s="9" t="str">
        <f>HYPERLINK("http://www.ensembl.org/id/WBGene00007864", "WBGene00007864")</f>
        <v>WBGene00007864</v>
      </c>
      <c r="B11765" s="9" t="str">
        <f>HYPERLINK("http://www.ncbi.nlm.nih.gov/gene/183126", "183126")</f>
        <v>183126</v>
      </c>
      <c r="C11765" s="9"/>
      <c r="D11765" t="str">
        <f>"irg-6"</f>
        <v>irg-6</v>
      </c>
      <c r="E11765" t="s">
        <v>1875</v>
      </c>
      <c r="F11765" t="s">
        <v>11</v>
      </c>
      <c r="H11765" s="12">
        <v>-5.5794491025289696</v>
      </c>
      <c r="I11765" s="20">
        <v>-0.504738274115201</v>
      </c>
      <c r="J11765" s="28">
        <v>0.61374267489732603</v>
      </c>
      <c r="K11765" s="29">
        <v>0.98289565623980701</v>
      </c>
    </row>
    <row r="11766" spans="1:11" x14ac:dyDescent="0.35">
      <c r="A11766" s="9" t="str">
        <f>HYPERLINK("http://www.ensembl.org/id/WBGene00002150", "WBGene00002150")</f>
        <v>WBGene00002150</v>
      </c>
      <c r="B11766" s="9" t="str">
        <f>HYPERLINK("http://www.ncbi.nlm.nih.gov/gene/191695", "191695")</f>
        <v>191695</v>
      </c>
      <c r="C11766" s="9" t="str">
        <f>HYPERLINK("http://www.ncbi.nlm.nih.gov/gene/3768", "3768")</f>
        <v>3768</v>
      </c>
      <c r="D11766" t="str">
        <f>"irk-2"</f>
        <v>irk-2</v>
      </c>
      <c r="E11766" t="s">
        <v>7458</v>
      </c>
      <c r="F11766" t="s">
        <v>11</v>
      </c>
      <c r="G11766" t="s">
        <v>7459</v>
      </c>
      <c r="H11766" s="12">
        <v>-1.1266989166742301</v>
      </c>
      <c r="I11766" s="20">
        <v>-0.38090178897053301</v>
      </c>
      <c r="J11766" s="28">
        <v>0.70327612497550696</v>
      </c>
      <c r="K11766" s="29">
        <v>0.98289565623980701</v>
      </c>
    </row>
    <row r="11767" spans="1:11" x14ac:dyDescent="0.35">
      <c r="A11767" s="9" t="str">
        <f>HYPERLINK("http://www.ensembl.org/id/WBGene00044529", "WBGene00044529")</f>
        <v>WBGene00044529</v>
      </c>
      <c r="B11767" s="9" t="str">
        <f>HYPERLINK("http://www.ncbi.nlm.nih.gov/gene/3896819", "3896819")</f>
        <v>3896819</v>
      </c>
      <c r="C11767" s="9"/>
      <c r="D11767" t="str">
        <f>"irld-1"</f>
        <v>irld-1</v>
      </c>
      <c r="E11767" t="s">
        <v>1627</v>
      </c>
      <c r="F11767" t="s">
        <v>11</v>
      </c>
      <c r="G11767" t="s">
        <v>25</v>
      </c>
      <c r="H11767" s="12">
        <v>2.1637316534994202</v>
      </c>
      <c r="I11767" s="20">
        <v>0.80691552619916496</v>
      </c>
      <c r="J11767" s="28">
        <v>0.41971515299773898</v>
      </c>
      <c r="K11767" s="29">
        <v>0.98289565623980701</v>
      </c>
    </row>
    <row r="11768" spans="1:11" x14ac:dyDescent="0.35">
      <c r="A11768" s="9" t="str">
        <f>HYPERLINK("http://www.ensembl.org/id/WBGene00019107", "WBGene00019107")</f>
        <v>WBGene00019107</v>
      </c>
      <c r="B11768" s="9"/>
      <c r="C11768" s="9"/>
      <c r="D11768" t="str">
        <f>"irld-10"</f>
        <v>irld-10</v>
      </c>
      <c r="F11768" t="s">
        <v>80</v>
      </c>
      <c r="H11768" s="12">
        <v>5.2322000618327396</v>
      </c>
      <c r="I11768" s="20">
        <v>0.486112489888328</v>
      </c>
      <c r="J11768" s="28">
        <v>0.62688741196182496</v>
      </c>
      <c r="K11768" s="29">
        <v>0.98289565623980701</v>
      </c>
    </row>
    <row r="11769" spans="1:11" x14ac:dyDescent="0.35">
      <c r="A11769" s="9" t="str">
        <f>HYPERLINK("http://www.ensembl.org/id/WBGene00077758", "WBGene00077758")</f>
        <v>WBGene00077758</v>
      </c>
      <c r="B11769" s="9" t="str">
        <f>HYPERLINK("http://www.ncbi.nlm.nih.gov/gene/7040158", "7040158")</f>
        <v>7040158</v>
      </c>
      <c r="C11769" s="9"/>
      <c r="D11769" t="str">
        <f>"irld-12"</f>
        <v>irld-12</v>
      </c>
      <c r="E11769" t="s">
        <v>1627</v>
      </c>
      <c r="F11769" t="s">
        <v>11</v>
      </c>
      <c r="H11769" s="12">
        <v>2.6224705946786901</v>
      </c>
      <c r="I11769" s="20">
        <v>0.32440394850383503</v>
      </c>
      <c r="J11769" s="28">
        <v>0.74563223077784602</v>
      </c>
      <c r="K11769" s="29">
        <v>0.98289565623980701</v>
      </c>
    </row>
    <row r="11770" spans="1:11" x14ac:dyDescent="0.35">
      <c r="A11770" s="9" t="str">
        <f>HYPERLINK("http://www.ensembl.org/id/WBGene00019845", "WBGene00019845")</f>
        <v>WBGene00019845</v>
      </c>
      <c r="B11770" s="9" t="str">
        <f>HYPERLINK("http://www.ncbi.nlm.nih.gov/gene/187541", "187541")</f>
        <v>187541</v>
      </c>
      <c r="C11770" s="9"/>
      <c r="D11770" t="str">
        <f>"irld-13"</f>
        <v>irld-13</v>
      </c>
      <c r="E11770" t="s">
        <v>1627</v>
      </c>
      <c r="F11770" t="s">
        <v>11</v>
      </c>
      <c r="H11770" s="12">
        <v>-1.63838617103902</v>
      </c>
      <c r="I11770" s="20">
        <v>-0.76334852581317303</v>
      </c>
      <c r="J11770" s="28">
        <v>0.44525556938786098</v>
      </c>
      <c r="K11770" s="29">
        <v>0.98289565623980701</v>
      </c>
    </row>
    <row r="11771" spans="1:11" x14ac:dyDescent="0.35">
      <c r="A11771" s="9" t="str">
        <f>HYPERLINK("http://www.ensembl.org/id/WBGene00011322", "WBGene00011322")</f>
        <v>WBGene00011322</v>
      </c>
      <c r="B11771" s="9" t="str">
        <f>HYPERLINK("http://www.ncbi.nlm.nih.gov/gene/187941", "187941")</f>
        <v>187941</v>
      </c>
      <c r="C11771" s="9"/>
      <c r="D11771" t="str">
        <f>"irld-14"</f>
        <v>irld-14</v>
      </c>
      <c r="E11771" t="s">
        <v>1627</v>
      </c>
      <c r="F11771" t="s">
        <v>11</v>
      </c>
      <c r="G11771" t="s">
        <v>25</v>
      </c>
      <c r="H11771" s="12">
        <v>2.2549662612471</v>
      </c>
      <c r="I11771" s="20">
        <v>0.55432155842540298</v>
      </c>
      <c r="J11771" s="28">
        <v>0.57935879881061703</v>
      </c>
      <c r="K11771" s="29">
        <v>0.98289565623980701</v>
      </c>
    </row>
    <row r="11772" spans="1:11" x14ac:dyDescent="0.35">
      <c r="A11772" s="9" t="str">
        <f>HYPERLINK("http://www.ensembl.org/id/WBGene00021232", "WBGene00021232")</f>
        <v>WBGene00021232</v>
      </c>
      <c r="B11772" s="9" t="str">
        <f>HYPERLINK("http://www.ncbi.nlm.nih.gov/gene/189494", "189494")</f>
        <v>189494</v>
      </c>
      <c r="C11772" s="9"/>
      <c r="D11772" t="str">
        <f>"irld-15"</f>
        <v>irld-15</v>
      </c>
      <c r="E11772" t="s">
        <v>1627</v>
      </c>
      <c r="F11772" t="s">
        <v>11</v>
      </c>
      <c r="H11772" s="12">
        <v>1.92288986816773</v>
      </c>
      <c r="I11772" s="20">
        <v>0.49753153528063299</v>
      </c>
      <c r="J11772" s="28">
        <v>0.61881427042568005</v>
      </c>
      <c r="K11772" s="29">
        <v>0.98289565623980701</v>
      </c>
    </row>
    <row r="11773" spans="1:11" x14ac:dyDescent="0.35">
      <c r="A11773" s="9" t="str">
        <f>HYPERLINK("http://www.ensembl.org/id/WBGene00021234", "WBGene00021234")</f>
        <v>WBGene00021234</v>
      </c>
      <c r="B11773" s="9"/>
      <c r="C11773" s="9"/>
      <c r="D11773" t="str">
        <f>"irld-16"</f>
        <v>irld-16</v>
      </c>
      <c r="F11773" t="s">
        <v>80</v>
      </c>
      <c r="H11773" s="12">
        <v>2.4637821007484999</v>
      </c>
      <c r="I11773" s="20">
        <v>0.81864564172293897</v>
      </c>
      <c r="J11773" s="28">
        <v>0.41298861852431901</v>
      </c>
      <c r="K11773" s="29">
        <v>0.98289565623980701</v>
      </c>
    </row>
    <row r="11774" spans="1:11" x14ac:dyDescent="0.35">
      <c r="A11774" s="9" t="str">
        <f>HYPERLINK("http://www.ensembl.org/id/WBGene00013299", "WBGene00013299")</f>
        <v>WBGene00013299</v>
      </c>
      <c r="B11774" s="9" t="str">
        <f>HYPERLINK("http://www.ncbi.nlm.nih.gov/gene/3564946", "3564946")</f>
        <v>3564946</v>
      </c>
      <c r="C11774" s="9"/>
      <c r="D11774" t="str">
        <f>"irld-18"</f>
        <v>irld-18</v>
      </c>
      <c r="E11774" t="s">
        <v>1627</v>
      </c>
      <c r="F11774" t="s">
        <v>11</v>
      </c>
      <c r="G11774" t="s">
        <v>25</v>
      </c>
      <c r="H11774" s="12">
        <v>3.4869431129865101</v>
      </c>
      <c r="I11774" s="20">
        <v>0.61549021051141695</v>
      </c>
      <c r="J11774" s="28">
        <v>0.538231032362115</v>
      </c>
      <c r="K11774" s="29">
        <v>0.98289565623980701</v>
      </c>
    </row>
    <row r="11775" spans="1:11" x14ac:dyDescent="0.35">
      <c r="A11775" s="9" t="str">
        <f>HYPERLINK("http://www.ensembl.org/id/WBGene00013912", "WBGene00013912")</f>
        <v>WBGene00013912</v>
      </c>
      <c r="B11775" s="9" t="str">
        <f>HYPERLINK("http://www.ncbi.nlm.nih.gov/gene/191185", "191185")</f>
        <v>191185</v>
      </c>
      <c r="C11775" s="9"/>
      <c r="D11775" t="str">
        <f>"irld-19"</f>
        <v>irld-19</v>
      </c>
      <c r="E11775" t="s">
        <v>1627</v>
      </c>
      <c r="F11775" t="s">
        <v>11</v>
      </c>
      <c r="G11775" t="s">
        <v>25</v>
      </c>
      <c r="H11775" s="12">
        <v>12.685338163804801</v>
      </c>
      <c r="I11775" s="20">
        <v>0.81852262355899996</v>
      </c>
      <c r="J11775" s="28">
        <v>0.41305882922107201</v>
      </c>
      <c r="K11775" s="29">
        <v>0.98289565623980701</v>
      </c>
    </row>
    <row r="11776" spans="1:11" x14ac:dyDescent="0.35">
      <c r="A11776" s="9" t="str">
        <f>HYPERLINK("http://www.ensembl.org/id/WBGene00008518", "WBGene00008518")</f>
        <v>WBGene00008518</v>
      </c>
      <c r="B11776" s="9" t="str">
        <f>HYPERLINK("http://www.ncbi.nlm.nih.gov/gene/184077", "184077")</f>
        <v>184077</v>
      </c>
      <c r="C11776" s="9"/>
      <c r="D11776" t="str">
        <f>"irld-2"</f>
        <v>irld-2</v>
      </c>
      <c r="E11776" t="s">
        <v>1627</v>
      </c>
      <c r="F11776" t="s">
        <v>11</v>
      </c>
      <c r="H11776" s="12">
        <v>-1.3132760435520701</v>
      </c>
      <c r="I11776" s="20">
        <v>-0.70055713828856203</v>
      </c>
      <c r="J11776" s="28">
        <v>0.48357943505846301</v>
      </c>
      <c r="K11776" s="29">
        <v>0.98289565623980701</v>
      </c>
    </row>
    <row r="11777" spans="1:11" x14ac:dyDescent="0.35">
      <c r="A11777" s="9" t="str">
        <f>HYPERLINK("http://www.ensembl.org/id/WBGene00015904", "WBGene00015904")</f>
        <v>WBGene00015904</v>
      </c>
      <c r="B11777" s="9" t="str">
        <f>HYPERLINK("http://www.ncbi.nlm.nih.gov/gene/182734", "182734")</f>
        <v>182734</v>
      </c>
      <c r="C11777" s="9"/>
      <c r="D11777" t="str">
        <f>"irld-22"</f>
        <v>irld-22</v>
      </c>
      <c r="E11777" t="s">
        <v>1627</v>
      </c>
      <c r="F11777" t="s">
        <v>11</v>
      </c>
      <c r="H11777" s="12">
        <v>2.8690470264930399</v>
      </c>
      <c r="I11777" s="20">
        <v>0.37469152751715201</v>
      </c>
      <c r="J11777" s="28">
        <v>0.70788989404854696</v>
      </c>
      <c r="K11777" s="29">
        <v>0.98289565623980701</v>
      </c>
    </row>
    <row r="11778" spans="1:11" x14ac:dyDescent="0.35">
      <c r="A11778" s="9" t="str">
        <f>HYPERLINK("http://www.ensembl.org/id/WBGene00016271", "WBGene00016271")</f>
        <v>WBGene00016271</v>
      </c>
      <c r="B11778" s="9" t="str">
        <f>HYPERLINK("http://www.ncbi.nlm.nih.gov/gene/183059", "183059")</f>
        <v>183059</v>
      </c>
      <c r="C11778" s="9"/>
      <c r="D11778" t="str">
        <f>"irld-23"</f>
        <v>irld-23</v>
      </c>
      <c r="E11778" t="s">
        <v>1627</v>
      </c>
      <c r="F11778" t="s">
        <v>11</v>
      </c>
      <c r="H11778" s="12">
        <v>-1.24386725031516</v>
      </c>
      <c r="I11778" s="20">
        <v>-0.56941207206200795</v>
      </c>
      <c r="J11778" s="28">
        <v>0.56907652620973703</v>
      </c>
      <c r="K11778" s="29">
        <v>0.98289565623980701</v>
      </c>
    </row>
    <row r="11779" spans="1:11" x14ac:dyDescent="0.35">
      <c r="A11779" s="9" t="str">
        <f>HYPERLINK("http://www.ensembl.org/id/WBGene00007844", "WBGene00007844")</f>
        <v>WBGene00007844</v>
      </c>
      <c r="B11779" s="9" t="str">
        <f>HYPERLINK("http://www.ncbi.nlm.nih.gov/gene/183087", "183087")</f>
        <v>183087</v>
      </c>
      <c r="C11779" s="9"/>
      <c r="D11779" t="str">
        <f>"irld-24"</f>
        <v>irld-24</v>
      </c>
      <c r="E11779" t="s">
        <v>1627</v>
      </c>
      <c r="F11779" t="s">
        <v>11</v>
      </c>
      <c r="H11779" s="12">
        <v>1.81524970247621</v>
      </c>
      <c r="I11779" s="20">
        <v>0.63605745479084197</v>
      </c>
      <c r="J11779" s="28">
        <v>0.52473897449968698</v>
      </c>
      <c r="K11779" s="29">
        <v>0.98289565623980701</v>
      </c>
    </row>
    <row r="11780" spans="1:11" x14ac:dyDescent="0.35">
      <c r="A11780" s="9" t="str">
        <f>HYPERLINK("http://www.ensembl.org/id/WBGene00008057", "WBGene00008057")</f>
        <v>WBGene00008057</v>
      </c>
      <c r="B11780" s="9" t="str">
        <f>HYPERLINK("http://www.ncbi.nlm.nih.gov/gene/183382", "183382")</f>
        <v>183382</v>
      </c>
      <c r="C11780" s="9"/>
      <c r="D11780" t="str">
        <f>"irld-25"</f>
        <v>irld-25</v>
      </c>
      <c r="E11780" t="s">
        <v>1627</v>
      </c>
      <c r="F11780" t="s">
        <v>11</v>
      </c>
      <c r="H11780" s="12">
        <v>2.6332782403384201</v>
      </c>
      <c r="I11780" s="20">
        <v>0.55032415732920104</v>
      </c>
      <c r="J11780" s="28">
        <v>0.58209705787090504</v>
      </c>
      <c r="K11780" s="29">
        <v>0.98289565623980701</v>
      </c>
    </row>
    <row r="11781" spans="1:11" x14ac:dyDescent="0.35">
      <c r="A11781" s="9" t="str">
        <f>HYPERLINK("http://www.ensembl.org/id/WBGene00008675", "WBGene00008675")</f>
        <v>WBGene00008675</v>
      </c>
      <c r="B11781" s="9" t="str">
        <f>HYPERLINK("http://www.ncbi.nlm.nih.gov/gene/184334", "184334")</f>
        <v>184334</v>
      </c>
      <c r="C11781" s="9"/>
      <c r="D11781" t="str">
        <f>"irld-26"</f>
        <v>irld-26</v>
      </c>
      <c r="E11781" t="s">
        <v>1627</v>
      </c>
      <c r="F11781" t="s">
        <v>11</v>
      </c>
      <c r="H11781" s="12">
        <v>-2.4991590031922399</v>
      </c>
      <c r="I11781" s="20">
        <v>-0.26577412737581302</v>
      </c>
      <c r="J11781" s="28">
        <v>0.79041317015736101</v>
      </c>
      <c r="K11781" s="29">
        <v>0.98289565623980701</v>
      </c>
    </row>
    <row r="11782" spans="1:11" x14ac:dyDescent="0.35">
      <c r="A11782" s="9" t="str">
        <f>HYPERLINK("http://www.ensembl.org/id/WBGene00017492", "WBGene00017492")</f>
        <v>WBGene00017492</v>
      </c>
      <c r="B11782" s="9" t="str">
        <f>HYPERLINK("http://www.ncbi.nlm.nih.gov/gene/184538", "184538")</f>
        <v>184538</v>
      </c>
      <c r="C11782" s="9"/>
      <c r="D11782" t="str">
        <f>"irld-29"</f>
        <v>irld-29</v>
      </c>
      <c r="E11782" t="s">
        <v>1627</v>
      </c>
      <c r="F11782" t="s">
        <v>11</v>
      </c>
      <c r="H11782" s="12">
        <v>2.3893468495514898</v>
      </c>
      <c r="I11782" s="20">
        <v>0.25323547253672701</v>
      </c>
      <c r="J11782" s="28">
        <v>0.80008625651646104</v>
      </c>
      <c r="K11782" s="29">
        <v>0.98289565623980701</v>
      </c>
    </row>
    <row r="11783" spans="1:11" x14ac:dyDescent="0.35">
      <c r="A11783" s="9" t="str">
        <f>HYPERLINK("http://www.ensembl.org/id/WBGene00017175", "WBGene00017175")</f>
        <v>WBGene00017175</v>
      </c>
      <c r="B11783" s="9" t="str">
        <f>HYPERLINK("http://www.ncbi.nlm.nih.gov/gene/184075", "184075")</f>
        <v>184075</v>
      </c>
      <c r="C11783" s="9"/>
      <c r="D11783" t="str">
        <f>"irld-3"</f>
        <v>irld-3</v>
      </c>
      <c r="E11783" t="s">
        <v>1627</v>
      </c>
      <c r="F11783" t="s">
        <v>11</v>
      </c>
      <c r="G11783" t="s">
        <v>25</v>
      </c>
      <c r="H11783" s="12">
        <v>2.1620574740809499</v>
      </c>
      <c r="I11783" s="20">
        <v>0.61296116813089696</v>
      </c>
      <c r="J11783" s="28">
        <v>0.53990201625114198</v>
      </c>
      <c r="K11783" s="29">
        <v>0.98289565623980701</v>
      </c>
    </row>
    <row r="11784" spans="1:11" x14ac:dyDescent="0.35">
      <c r="A11784" s="9" t="str">
        <f>HYPERLINK("http://www.ensembl.org/id/WBGene00017493", "WBGene00017493")</f>
        <v>WBGene00017493</v>
      </c>
      <c r="B11784" s="9" t="str">
        <f>HYPERLINK("http://www.ncbi.nlm.nih.gov/gene/184539", "184539")</f>
        <v>184539</v>
      </c>
      <c r="C11784" s="9"/>
      <c r="D11784" t="str">
        <f>"irld-30"</f>
        <v>irld-30</v>
      </c>
      <c r="E11784" t="s">
        <v>1627</v>
      </c>
      <c r="F11784" t="s">
        <v>11</v>
      </c>
      <c r="H11784" s="12">
        <v>2.9269060988294</v>
      </c>
      <c r="I11784" s="20">
        <v>0.78880960201655403</v>
      </c>
      <c r="J11784" s="28">
        <v>0.43022329657480002</v>
      </c>
      <c r="K11784" s="29">
        <v>0.98289565623980701</v>
      </c>
    </row>
    <row r="11785" spans="1:11" x14ac:dyDescent="0.35">
      <c r="A11785" s="9" t="str">
        <f>HYPERLINK("http://www.ensembl.org/id/WBGene00017494", "WBGene00017494")</f>
        <v>WBGene00017494</v>
      </c>
      <c r="B11785" s="9"/>
      <c r="C11785" s="9"/>
      <c r="D11785" t="str">
        <f>"irld-31"</f>
        <v>irld-31</v>
      </c>
      <c r="F11785" t="s">
        <v>80</v>
      </c>
      <c r="H11785" s="12">
        <v>2.3893468495514898</v>
      </c>
      <c r="I11785" s="20">
        <v>0.25323547253672701</v>
      </c>
      <c r="J11785" s="28">
        <v>0.80008625651646104</v>
      </c>
      <c r="K11785" s="29">
        <v>0.98289565623980701</v>
      </c>
    </row>
    <row r="11786" spans="1:11" x14ac:dyDescent="0.35">
      <c r="A11786" s="9" t="str">
        <f>HYPERLINK("http://www.ensembl.org/id/WBGene00017497", "WBGene00017497")</f>
        <v>WBGene00017497</v>
      </c>
      <c r="B11786" s="9" t="str">
        <f>HYPERLINK("http://www.ncbi.nlm.nih.gov/gene/184543", "184543")</f>
        <v>184543</v>
      </c>
      <c r="C11786" s="9"/>
      <c r="D11786" t="str">
        <f>"irld-32"</f>
        <v>irld-32</v>
      </c>
      <c r="E11786" t="s">
        <v>1627</v>
      </c>
      <c r="F11786" t="s">
        <v>11</v>
      </c>
      <c r="H11786" s="12">
        <v>2.1836673075875801</v>
      </c>
      <c r="I11786" s="20">
        <v>0.36033200379570202</v>
      </c>
      <c r="J11786" s="28">
        <v>0.71859886892486402</v>
      </c>
      <c r="K11786" s="29">
        <v>0.98289565623980701</v>
      </c>
    </row>
    <row r="11787" spans="1:11" x14ac:dyDescent="0.35">
      <c r="A11787" s="9" t="str">
        <f>HYPERLINK("http://www.ensembl.org/id/WBGene00019036", "WBGene00019036")</f>
        <v>WBGene00019036</v>
      </c>
      <c r="B11787" s="9" t="str">
        <f>HYPERLINK("http://www.ncbi.nlm.nih.gov/gene/186509", "186509")</f>
        <v>186509</v>
      </c>
      <c r="C11787" s="9"/>
      <c r="D11787" t="str">
        <f>"irld-36"</f>
        <v>irld-36</v>
      </c>
      <c r="E11787" t="s">
        <v>1627</v>
      </c>
      <c r="F11787" t="s">
        <v>11</v>
      </c>
      <c r="G11787" t="s">
        <v>25</v>
      </c>
      <c r="H11787" s="12">
        <v>-1.4193575524600199</v>
      </c>
      <c r="I11787" s="20">
        <v>-0.34373200090212302</v>
      </c>
      <c r="J11787" s="28">
        <v>0.73104784271406198</v>
      </c>
      <c r="K11787" s="29">
        <v>0.98289565623980701</v>
      </c>
    </row>
    <row r="11788" spans="1:11" x14ac:dyDescent="0.35">
      <c r="A11788" s="9" t="str">
        <f>HYPERLINK("http://www.ensembl.org/id/WBGene00019038", "WBGene00019038")</f>
        <v>WBGene00019038</v>
      </c>
      <c r="B11788" s="9" t="str">
        <f>HYPERLINK("http://www.ncbi.nlm.nih.gov/gene/186512", "186512")</f>
        <v>186512</v>
      </c>
      <c r="C11788" s="9"/>
      <c r="D11788" t="str">
        <f>"irld-37"</f>
        <v>irld-37</v>
      </c>
      <c r="E11788" t="s">
        <v>1627</v>
      </c>
      <c r="F11788" t="s">
        <v>11</v>
      </c>
      <c r="H11788" s="12">
        <v>3.6645215954135</v>
      </c>
      <c r="I11788" s="20">
        <v>0.37967131826092498</v>
      </c>
      <c r="J11788" s="28">
        <v>0.70418941338960395</v>
      </c>
      <c r="K11788" s="29">
        <v>0.98289565623980701</v>
      </c>
    </row>
    <row r="11789" spans="1:11" x14ac:dyDescent="0.35">
      <c r="A11789" s="9" t="str">
        <f>HYPERLINK("http://www.ensembl.org/id/WBGene00019106", "WBGene00019106")</f>
        <v>WBGene00019106</v>
      </c>
      <c r="B11789" s="9" t="str">
        <f>HYPERLINK("http://www.ncbi.nlm.nih.gov/gene/186614", "186614")</f>
        <v>186614</v>
      </c>
      <c r="C11789" s="9"/>
      <c r="D11789" t="str">
        <f>"irld-38"</f>
        <v>irld-38</v>
      </c>
      <c r="E11789" t="s">
        <v>1627</v>
      </c>
      <c r="F11789" t="s">
        <v>11</v>
      </c>
      <c r="H11789" s="12">
        <v>1.9657343561146099</v>
      </c>
      <c r="I11789" s="20">
        <v>0.51296612060608704</v>
      </c>
      <c r="J11789" s="28">
        <v>0.60797501985759805</v>
      </c>
      <c r="K11789" s="29">
        <v>0.98289565623980701</v>
      </c>
    </row>
    <row r="11790" spans="1:11" x14ac:dyDescent="0.35">
      <c r="A11790" s="9" t="str">
        <f>HYPERLINK("http://www.ensembl.org/id/WBGene00019389", "WBGene00019389")</f>
        <v>WBGene00019389</v>
      </c>
      <c r="B11790" s="9" t="str">
        <f>HYPERLINK("http://www.ncbi.nlm.nih.gov/gene/186996", "186996")</f>
        <v>186996</v>
      </c>
      <c r="C11790" s="9"/>
      <c r="D11790" t="str">
        <f>"irld-40"</f>
        <v>irld-40</v>
      </c>
      <c r="E11790" t="s">
        <v>1627</v>
      </c>
      <c r="F11790" t="s">
        <v>11</v>
      </c>
      <c r="H11790" s="12">
        <v>1.57461819016454</v>
      </c>
      <c r="I11790" s="20">
        <v>0.32765998836747801</v>
      </c>
      <c r="J11790" s="28">
        <v>0.74316875930859405</v>
      </c>
      <c r="K11790" s="29">
        <v>0.98289565623980701</v>
      </c>
    </row>
    <row r="11791" spans="1:11" x14ac:dyDescent="0.35">
      <c r="A11791" s="9" t="str">
        <f>HYPERLINK("http://www.ensembl.org/id/WBGene00019385", "WBGene00019385")</f>
        <v>WBGene00019385</v>
      </c>
      <c r="B11791" s="9"/>
      <c r="C11791" s="9"/>
      <c r="D11791" t="str">
        <f>"irld-41"</f>
        <v>irld-41</v>
      </c>
      <c r="F11791" t="s">
        <v>80</v>
      </c>
      <c r="H11791" s="12">
        <v>2.3893468495514898</v>
      </c>
      <c r="I11791" s="20">
        <v>0.25323547253672701</v>
      </c>
      <c r="J11791" s="28">
        <v>0.80008625651646104</v>
      </c>
      <c r="K11791" s="29">
        <v>0.98289565623980701</v>
      </c>
    </row>
    <row r="11792" spans="1:11" x14ac:dyDescent="0.35">
      <c r="A11792" s="9" t="str">
        <f>HYPERLINK("http://www.ensembl.org/id/WBGene00019386", "WBGene00019386")</f>
        <v>WBGene00019386</v>
      </c>
      <c r="B11792" s="9" t="str">
        <f>HYPERLINK("http://www.ncbi.nlm.nih.gov/gene/186993", "186993")</f>
        <v>186993</v>
      </c>
      <c r="C11792" s="9"/>
      <c r="D11792" t="str">
        <f>"irld-42"</f>
        <v>irld-42</v>
      </c>
      <c r="E11792" t="s">
        <v>1627</v>
      </c>
      <c r="F11792" t="s">
        <v>11</v>
      </c>
      <c r="H11792" s="12">
        <v>9.2455261317335005</v>
      </c>
      <c r="I11792" s="20">
        <v>1.17211150130759</v>
      </c>
      <c r="J11792" s="28">
        <v>0.241152292896024</v>
      </c>
      <c r="K11792" s="29">
        <v>0.98289565623980701</v>
      </c>
    </row>
    <row r="11793" spans="1:11" x14ac:dyDescent="0.35">
      <c r="A11793" s="9" t="str">
        <f>HYPERLINK("http://www.ensembl.org/id/WBGene00019392", "WBGene00019392")</f>
        <v>WBGene00019392</v>
      </c>
      <c r="B11793" s="9" t="str">
        <f>HYPERLINK("http://www.ncbi.nlm.nih.gov/gene/186999", "186999")</f>
        <v>186999</v>
      </c>
      <c r="C11793" s="9"/>
      <c r="D11793" t="str">
        <f>"irld-44"</f>
        <v>irld-44</v>
      </c>
      <c r="E11793" t="s">
        <v>1627</v>
      </c>
      <c r="F11793" t="s">
        <v>11</v>
      </c>
      <c r="H11793" s="12">
        <v>-4.7069891493991998</v>
      </c>
      <c r="I11793" s="20">
        <v>-0.56731576878075296</v>
      </c>
      <c r="J11793" s="28">
        <v>0.57049966550338205</v>
      </c>
      <c r="K11793" s="29">
        <v>0.98289565623980701</v>
      </c>
    </row>
    <row r="11794" spans="1:11" x14ac:dyDescent="0.35">
      <c r="A11794" s="9" t="str">
        <f>HYPERLINK("http://www.ensembl.org/id/WBGene00019393", "WBGene00019393")</f>
        <v>WBGene00019393</v>
      </c>
      <c r="B11794" s="9" t="str">
        <f>HYPERLINK("http://www.ncbi.nlm.nih.gov/gene/187000", "187000")</f>
        <v>187000</v>
      </c>
      <c r="C11794" s="9"/>
      <c r="D11794" t="str">
        <f>"irld-45"</f>
        <v>irld-45</v>
      </c>
      <c r="E11794" t="s">
        <v>1627</v>
      </c>
      <c r="F11794" t="s">
        <v>11</v>
      </c>
      <c r="H11794" s="12">
        <v>2.4360060020174399</v>
      </c>
      <c r="I11794" s="20">
        <v>0.51537338792978205</v>
      </c>
      <c r="J11794" s="28">
        <v>0.60629212504180696</v>
      </c>
      <c r="K11794" s="29">
        <v>0.98289565623980701</v>
      </c>
    </row>
    <row r="11795" spans="1:11" x14ac:dyDescent="0.35">
      <c r="A11795" s="9" t="str">
        <f>HYPERLINK("http://www.ensembl.org/id/WBGene00011458", "WBGene00011458")</f>
        <v>WBGene00011458</v>
      </c>
      <c r="B11795" s="9" t="str">
        <f>HYPERLINK("http://www.ncbi.nlm.nih.gov/gene/188079", "188079")</f>
        <v>188079</v>
      </c>
      <c r="C11795" s="9"/>
      <c r="D11795" t="str">
        <f>"irld-47"</f>
        <v>irld-47</v>
      </c>
      <c r="E11795" t="s">
        <v>1627</v>
      </c>
      <c r="F11795" t="s">
        <v>11</v>
      </c>
      <c r="H11795" s="12">
        <v>3.5227018545059199</v>
      </c>
      <c r="I11795" s="20">
        <v>0.36849691206929103</v>
      </c>
      <c r="J11795" s="28">
        <v>0.71250274722433404</v>
      </c>
      <c r="K11795" s="29">
        <v>0.98289565623980701</v>
      </c>
    </row>
    <row r="11796" spans="1:11" x14ac:dyDescent="0.35">
      <c r="A11796" s="9" t="str">
        <f>HYPERLINK("http://www.ensembl.org/id/WBGene00020430", "WBGene00020430")</f>
        <v>WBGene00020430</v>
      </c>
      <c r="B11796" s="9" t="str">
        <f>HYPERLINK("http://www.ncbi.nlm.nih.gov/gene/188413", "188413")</f>
        <v>188413</v>
      </c>
      <c r="C11796" s="9"/>
      <c r="D11796" t="str">
        <f>"irld-49"</f>
        <v>irld-49</v>
      </c>
      <c r="E11796" t="s">
        <v>1627</v>
      </c>
      <c r="F11796" t="s">
        <v>11</v>
      </c>
      <c r="H11796" s="12">
        <v>7.2236714458131299</v>
      </c>
      <c r="I11796" s="20">
        <v>0.781254597473658</v>
      </c>
      <c r="J11796" s="28">
        <v>0.43465276788107499</v>
      </c>
      <c r="K11796" s="29">
        <v>0.98289565623980701</v>
      </c>
    </row>
    <row r="11797" spans="1:11" x14ac:dyDescent="0.35">
      <c r="A11797" s="9" t="str">
        <f>HYPERLINK("http://www.ensembl.org/id/WBGene00012043", "WBGene00012043")</f>
        <v>WBGene00012043</v>
      </c>
      <c r="B11797" s="9" t="str">
        <f>HYPERLINK("http://www.ncbi.nlm.nih.gov/gene/188927", "188927")</f>
        <v>188927</v>
      </c>
      <c r="C11797" s="9"/>
      <c r="D11797" t="str">
        <f>"irld-52"</f>
        <v>irld-52</v>
      </c>
      <c r="E11797" t="s">
        <v>1627</v>
      </c>
      <c r="F11797" t="s">
        <v>11</v>
      </c>
      <c r="G11797" t="s">
        <v>25</v>
      </c>
      <c r="H11797" s="12">
        <v>2.3893468495514898</v>
      </c>
      <c r="I11797" s="20">
        <v>0.25323547253672701</v>
      </c>
      <c r="J11797" s="28">
        <v>0.80008625651646104</v>
      </c>
      <c r="K11797" s="29">
        <v>0.98289565623980701</v>
      </c>
    </row>
    <row r="11798" spans="1:11" x14ac:dyDescent="0.35">
      <c r="A11798" s="9" t="str">
        <f>HYPERLINK("http://www.ensembl.org/id/WBGene00012541", "WBGene00012541")</f>
        <v>WBGene00012541</v>
      </c>
      <c r="B11798" s="9" t="str">
        <f>HYPERLINK("http://www.ncbi.nlm.nih.gov/gene/189602", "189602")</f>
        <v>189602</v>
      </c>
      <c r="C11798" s="9"/>
      <c r="D11798" t="str">
        <f>"irld-55"</f>
        <v>irld-55</v>
      </c>
      <c r="E11798" t="s">
        <v>1627</v>
      </c>
      <c r="F11798" t="s">
        <v>11</v>
      </c>
      <c r="H11798" s="12">
        <v>5.9495765472548197</v>
      </c>
      <c r="I11798" s="20">
        <v>0.52429389276509997</v>
      </c>
      <c r="J11798" s="28">
        <v>0.60007414400596704</v>
      </c>
      <c r="K11798" s="29">
        <v>0.98289565623980701</v>
      </c>
    </row>
    <row r="11799" spans="1:11" x14ac:dyDescent="0.35">
      <c r="A11799" s="9" t="str">
        <f>HYPERLINK("http://www.ensembl.org/id/WBGene00012542", "WBGene00012542")</f>
        <v>WBGene00012542</v>
      </c>
      <c r="B11799" s="9" t="str">
        <f>HYPERLINK("http://www.ncbi.nlm.nih.gov/gene/189603", "189603")</f>
        <v>189603</v>
      </c>
      <c r="C11799" s="9"/>
      <c r="D11799" t="str">
        <f>"irld-56"</f>
        <v>irld-56</v>
      </c>
      <c r="E11799" t="s">
        <v>1627</v>
      </c>
      <c r="F11799" t="s">
        <v>11</v>
      </c>
      <c r="H11799" s="12">
        <v>5.2322000618327396</v>
      </c>
      <c r="I11799" s="20">
        <v>0.486112489888328</v>
      </c>
      <c r="J11799" s="28">
        <v>0.62688741196182496</v>
      </c>
      <c r="K11799" s="29">
        <v>0.98289565623980701</v>
      </c>
    </row>
    <row r="11800" spans="1:11" x14ac:dyDescent="0.35">
      <c r="A11800" s="9" t="str">
        <f>HYPERLINK("http://www.ensembl.org/id/WBGene00013494", "WBGene00013494")</f>
        <v>WBGene00013494</v>
      </c>
      <c r="B11800" s="9"/>
      <c r="C11800" s="9"/>
      <c r="D11800" t="str">
        <f>"irld-58"</f>
        <v>irld-58</v>
      </c>
      <c r="F11800" t="s">
        <v>80</v>
      </c>
      <c r="H11800" s="12">
        <v>-4.7167679298615104</v>
      </c>
      <c r="I11800" s="20">
        <v>-0.454742638005115</v>
      </c>
      <c r="J11800" s="28">
        <v>0.64929440216969203</v>
      </c>
      <c r="K11800" s="29">
        <v>0.98289565623980701</v>
      </c>
    </row>
    <row r="11801" spans="1:11" x14ac:dyDescent="0.35">
      <c r="A11801" s="9" t="str">
        <f>HYPERLINK("http://www.ensembl.org/id/WBGene00013525", "WBGene00013525")</f>
        <v>WBGene00013525</v>
      </c>
      <c r="B11801" s="9" t="str">
        <f>HYPERLINK("http://www.ncbi.nlm.nih.gov/gene/190680", "190680")</f>
        <v>190680</v>
      </c>
      <c r="C11801" s="9"/>
      <c r="D11801" t="str">
        <f>"irld-59"</f>
        <v>irld-59</v>
      </c>
      <c r="E11801" t="s">
        <v>1627</v>
      </c>
      <c r="F11801" t="s">
        <v>11</v>
      </c>
      <c r="H11801" s="12">
        <v>2.3893468495514898</v>
      </c>
      <c r="I11801" s="20">
        <v>0.25323547253672701</v>
      </c>
      <c r="J11801" s="28">
        <v>0.80008625651646104</v>
      </c>
      <c r="K11801" s="29">
        <v>0.98289565623980701</v>
      </c>
    </row>
    <row r="11802" spans="1:11" x14ac:dyDescent="0.35">
      <c r="A11802" s="9" t="str">
        <f>HYPERLINK("http://www.ensembl.org/id/WBGene00013913", "WBGene00013913")</f>
        <v>WBGene00013913</v>
      </c>
      <c r="B11802" s="9" t="str">
        <f>HYPERLINK("http://www.ncbi.nlm.nih.gov/gene/191186", "191186")</f>
        <v>191186</v>
      </c>
      <c r="C11802" s="9"/>
      <c r="D11802" t="str">
        <f>"irld-61"</f>
        <v>irld-61</v>
      </c>
      <c r="E11802" t="s">
        <v>1627</v>
      </c>
      <c r="F11802" t="s">
        <v>11</v>
      </c>
      <c r="H11802" s="12">
        <v>20.901393112954899</v>
      </c>
      <c r="I11802" s="20">
        <v>1.143037777283</v>
      </c>
      <c r="J11802" s="28">
        <v>0.25302290659746701</v>
      </c>
      <c r="K11802" s="29">
        <v>0.98289565623980701</v>
      </c>
    </row>
    <row r="11803" spans="1:11" x14ac:dyDescent="0.35">
      <c r="A11803" s="9" t="str">
        <f>HYPERLINK("http://www.ensembl.org/id/WBGene00014190", "WBGene00014190")</f>
        <v>WBGene00014190</v>
      </c>
      <c r="B11803" s="9" t="str">
        <f>HYPERLINK("http://www.ncbi.nlm.nih.gov/gene/191497", "191497")</f>
        <v>191497</v>
      </c>
      <c r="C11803" s="9"/>
      <c r="D11803" t="str">
        <f>"irld-62"</f>
        <v>irld-62</v>
      </c>
      <c r="E11803" t="s">
        <v>1627</v>
      </c>
      <c r="F11803" t="s">
        <v>11</v>
      </c>
      <c r="H11803" s="12">
        <v>6.61045742799383</v>
      </c>
      <c r="I11803" s="20">
        <v>0.55558174612790701</v>
      </c>
      <c r="J11803" s="28">
        <v>0.57849681292850097</v>
      </c>
      <c r="K11803" s="29">
        <v>0.98289565623980701</v>
      </c>
    </row>
    <row r="11804" spans="1:11" x14ac:dyDescent="0.35">
      <c r="A11804" s="9" t="str">
        <f>HYPERLINK("http://www.ensembl.org/id/WBGene00018168", "WBGene00018168")</f>
        <v>WBGene00018168</v>
      </c>
      <c r="B11804" s="9" t="str">
        <f>HYPERLINK("http://www.ncbi.nlm.nih.gov/gene/185447", "185447")</f>
        <v>185447</v>
      </c>
      <c r="C11804" s="9"/>
      <c r="D11804" t="str">
        <f>"irld-7"</f>
        <v>irld-7</v>
      </c>
      <c r="E11804" t="s">
        <v>1627</v>
      </c>
      <c r="F11804" t="s">
        <v>11</v>
      </c>
      <c r="G11804" t="s">
        <v>25</v>
      </c>
      <c r="H11804" s="12">
        <v>3.4917188327556898</v>
      </c>
      <c r="I11804" s="20">
        <v>0.38080453806645798</v>
      </c>
      <c r="J11804" s="28">
        <v>0.703348291649464</v>
      </c>
      <c r="K11804" s="29">
        <v>0.98289565623980701</v>
      </c>
    </row>
    <row r="11805" spans="1:11" x14ac:dyDescent="0.35">
      <c r="A11805" s="9" t="str">
        <f>HYPERLINK("http://www.ensembl.org/id/WBGene00002162", "WBGene00002162")</f>
        <v>WBGene00002162</v>
      </c>
      <c r="B11805" s="9" t="str">
        <f>HYPERLINK("http://www.ncbi.nlm.nih.gov/gene/177609", "177609")</f>
        <v>177609</v>
      </c>
      <c r="C11805" s="9" t="str">
        <f>HYPERLINK("http://www.ncbi.nlm.nih.gov/gene/7386", "7386")</f>
        <v>7386</v>
      </c>
      <c r="D11805" t="str">
        <f>"isp-1"</f>
        <v>isp-1</v>
      </c>
      <c r="E11805" t="s">
        <v>7019</v>
      </c>
      <c r="F11805" t="s">
        <v>11</v>
      </c>
      <c r="G11805" t="s">
        <v>7020</v>
      </c>
      <c r="H11805" s="12">
        <v>-1.10264499225156</v>
      </c>
      <c r="I11805" s="20">
        <v>-0.52818832743046595</v>
      </c>
      <c r="J11805" s="28">
        <v>0.59736863014174502</v>
      </c>
      <c r="K11805" s="29">
        <v>0.98289565623980701</v>
      </c>
    </row>
    <row r="11806" spans="1:11" x14ac:dyDescent="0.35">
      <c r="A11806" s="9" t="str">
        <f>HYPERLINK("http://www.ensembl.org/id/WBGene00002163", "WBGene00002163")</f>
        <v>WBGene00002163</v>
      </c>
      <c r="B11806" s="9" t="str">
        <f>HYPERLINK("http://www.ncbi.nlm.nih.gov/gene/180978", "180978")</f>
        <v>180978</v>
      </c>
      <c r="C11806" s="9"/>
      <c r="D11806" t="str">
        <f>"ist-1"</f>
        <v>ist-1</v>
      </c>
      <c r="E11806" t="s">
        <v>5223</v>
      </c>
      <c r="F11806" t="s">
        <v>11</v>
      </c>
      <c r="G11806" t="s">
        <v>5224</v>
      </c>
      <c r="H11806" s="12">
        <v>1.21323777079855</v>
      </c>
      <c r="I11806" s="20">
        <v>0.92456065715829605</v>
      </c>
      <c r="J11806" s="28">
        <v>0.355194485875792</v>
      </c>
      <c r="K11806" s="29">
        <v>0.98289565623980701</v>
      </c>
    </row>
    <row r="11807" spans="1:11" x14ac:dyDescent="0.35">
      <c r="A11807" s="9" t="str">
        <f>HYPERLINK("http://www.ensembl.org/id/WBGene00002169", "WBGene00002169")</f>
        <v>WBGene00002169</v>
      </c>
      <c r="B11807" s="9" t="str">
        <f>HYPERLINK("http://www.ncbi.nlm.nih.gov/gene/175944", "175944")</f>
        <v>175944</v>
      </c>
      <c r="C11807" s="9" t="str">
        <f>HYPERLINK("http://www.ncbi.nlm.nih.gov/gene/6594", "6594")</f>
        <v>6594</v>
      </c>
      <c r="D11807" t="str">
        <f>"isw-1"</f>
        <v>isw-1</v>
      </c>
      <c r="E11807" t="s">
        <v>7774</v>
      </c>
      <c r="F11807" t="s">
        <v>11</v>
      </c>
      <c r="G11807" t="s">
        <v>7775</v>
      </c>
      <c r="H11807" s="12">
        <v>-1.144194343908</v>
      </c>
      <c r="I11807" s="20">
        <v>-0.62187020406888005</v>
      </c>
      <c r="J11807" s="28">
        <v>0.53402721886587301</v>
      </c>
      <c r="K11807" s="29">
        <v>0.98289565623980701</v>
      </c>
    </row>
    <row r="11808" spans="1:11" x14ac:dyDescent="0.35">
      <c r="A11808" s="9" t="str">
        <f>HYPERLINK("http://www.ensembl.org/id/WBGene00009966", "WBGene00009966")</f>
        <v>WBGene00009966</v>
      </c>
      <c r="B11808" s="9" t="str">
        <f>HYPERLINK("http://www.ncbi.nlm.nih.gov/gene/179524", "179524")</f>
        <v>179524</v>
      </c>
      <c r="C11808" s="9" t="str">
        <f>HYPERLINK("http://www.ncbi.nlm.nih.gov/gene/100534599", "100534599")</f>
        <v>100534599</v>
      </c>
      <c r="D11808" t="str">
        <f>"isy-1"</f>
        <v>isy-1</v>
      </c>
      <c r="E11808" t="s">
        <v>8761</v>
      </c>
      <c r="F11808" t="s">
        <v>11</v>
      </c>
      <c r="G11808" t="s">
        <v>8762</v>
      </c>
      <c r="H11808" s="12">
        <v>-1.1947384876736999</v>
      </c>
      <c r="I11808" s="20">
        <v>-0.78452602705968699</v>
      </c>
      <c r="J11808" s="28">
        <v>0.43273151613274102</v>
      </c>
      <c r="K11808" s="29">
        <v>0.98289565623980701</v>
      </c>
    </row>
    <row r="11809" spans="1:11" x14ac:dyDescent="0.35">
      <c r="A11809" s="9" t="str">
        <f>HYPERLINK("http://www.ensembl.org/id/WBGene00002173", "WBGene00002173")</f>
        <v>WBGene00002173</v>
      </c>
      <c r="B11809" s="9" t="str">
        <f>HYPERLINK("http://www.ncbi.nlm.nih.gov/gene/177546", "177546")</f>
        <v>177546</v>
      </c>
      <c r="C11809" s="9" t="str">
        <f>HYPERLINK("http://www.ncbi.nlm.nih.gov/gene/3708", "3708")</f>
        <v>3708</v>
      </c>
      <c r="D11809" t="str">
        <f>"itr-1"</f>
        <v>itr-1</v>
      </c>
      <c r="E11809" t="s">
        <v>5643</v>
      </c>
      <c r="F11809" t="s">
        <v>11</v>
      </c>
      <c r="G11809" t="s">
        <v>5644</v>
      </c>
      <c r="H11809" s="12">
        <v>1.1303232498514</v>
      </c>
      <c r="I11809" s="20">
        <v>0.68123507769295499</v>
      </c>
      <c r="J11809" s="28">
        <v>0.495722755734397</v>
      </c>
      <c r="K11809" s="29">
        <v>0.98289565623980701</v>
      </c>
    </row>
    <row r="11810" spans="1:11" x14ac:dyDescent="0.35">
      <c r="A11810" s="9" t="str">
        <f>HYPERLINK("http://www.ensembl.org/id/WBGene00006405", "WBGene00006405")</f>
        <v>WBGene00006405</v>
      </c>
      <c r="B11810" s="9" t="str">
        <f>HYPERLINK("http://www.ncbi.nlm.nih.gov/gene/178491", "178491")</f>
        <v>178491</v>
      </c>
      <c r="C11810" s="9" t="str">
        <f>HYPERLINK("http://www.ncbi.nlm.nih.gov/gene/6453", "6453")</f>
        <v>6453</v>
      </c>
      <c r="D11810" t="str">
        <f>"itsn-1"</f>
        <v>itsn-1</v>
      </c>
      <c r="E11810" t="s">
        <v>6765</v>
      </c>
      <c r="F11810" t="s">
        <v>11</v>
      </c>
      <c r="G11810" t="s">
        <v>6766</v>
      </c>
      <c r="H11810" s="12">
        <v>-1.08818611783624</v>
      </c>
      <c r="I11810" s="20">
        <v>-0.46245757860576903</v>
      </c>
      <c r="J11810" s="28">
        <v>0.64375321678714703</v>
      </c>
      <c r="K11810" s="29">
        <v>0.98289565623980701</v>
      </c>
    </row>
    <row r="11811" spans="1:11" x14ac:dyDescent="0.35">
      <c r="A11811" s="9" t="str">
        <f>HYPERLINK("http://www.ensembl.org/id/WBGene00015326", "WBGene00015326")</f>
        <v>WBGene00015326</v>
      </c>
      <c r="B11811" s="9" t="str">
        <f>HYPERLINK("http://www.ncbi.nlm.nih.gov/gene/177281", "177281")</f>
        <v>177281</v>
      </c>
      <c r="C11811" s="9" t="str">
        <f>HYPERLINK("http://www.ncbi.nlm.nih.gov/gene/3712", "3712")</f>
        <v>3712</v>
      </c>
      <c r="D11811" t="str">
        <f>"ivd-1"</f>
        <v>ivd-1</v>
      </c>
      <c r="E11811" t="s">
        <v>6038</v>
      </c>
      <c r="F11811" t="s">
        <v>11</v>
      </c>
      <c r="G11811" t="s">
        <v>6039</v>
      </c>
      <c r="H11811" s="12">
        <v>1.0704766379034301</v>
      </c>
      <c r="I11811" s="20">
        <v>0.34413381804569598</v>
      </c>
      <c r="J11811" s="28">
        <v>0.73074565123994795</v>
      </c>
      <c r="K11811" s="29">
        <v>0.98289565623980701</v>
      </c>
    </row>
    <row r="11812" spans="1:11" x14ac:dyDescent="0.35">
      <c r="A11812" s="9" t="str">
        <f>HYPERLINK("http://www.ensembl.org/id/WBGene00019807", "WBGene00019807")</f>
        <v>WBGene00019807</v>
      </c>
      <c r="B11812" s="9" t="str">
        <f>HYPERLINK("http://www.ncbi.nlm.nih.gov/gene/178993", "178993")</f>
        <v>178993</v>
      </c>
      <c r="C11812" s="9" t="str">
        <f>HYPERLINK("http://www.ncbi.nlm.nih.gov/gene/51528", "51528")</f>
        <v>51528</v>
      </c>
      <c r="D11812" t="str">
        <f>"jamp-1"</f>
        <v>jamp-1</v>
      </c>
      <c r="E11812" t="s">
        <v>9061</v>
      </c>
      <c r="F11812" t="s">
        <v>11</v>
      </c>
      <c r="G11812" t="s">
        <v>9062</v>
      </c>
      <c r="H11812" s="12">
        <v>-1.21763397701995</v>
      </c>
      <c r="I11812" s="20">
        <v>-0.96117301449368397</v>
      </c>
      <c r="J11812" s="28">
        <v>0.33646518242865903</v>
      </c>
      <c r="K11812" s="29">
        <v>0.98289565623980701</v>
      </c>
    </row>
    <row r="11813" spans="1:11" x14ac:dyDescent="0.35">
      <c r="A11813" s="9" t="str">
        <f>HYPERLINK("http://www.ensembl.org/id/WBGene00018727", "WBGene00018727")</f>
        <v>WBGene00018727</v>
      </c>
      <c r="B11813" s="9" t="str">
        <f>HYPERLINK("http://www.ncbi.nlm.nih.gov/gene/181116", "181116")</f>
        <v>181116</v>
      </c>
      <c r="C11813" s="9"/>
      <c r="D11813" t="str">
        <f>"jbts-14"</f>
        <v>jbts-14</v>
      </c>
      <c r="E11813" t="s">
        <v>4454</v>
      </c>
      <c r="F11813" t="s">
        <v>11</v>
      </c>
      <c r="G11813" t="s">
        <v>4455</v>
      </c>
      <c r="H11813" s="12">
        <v>2.00317428802127</v>
      </c>
      <c r="I11813" s="20">
        <v>0.97059558747854102</v>
      </c>
      <c r="J11813" s="28">
        <v>0.33174970414476801</v>
      </c>
      <c r="K11813" s="29">
        <v>0.98289565623980701</v>
      </c>
    </row>
    <row r="11814" spans="1:11" x14ac:dyDescent="0.35">
      <c r="A11814" s="9" t="str">
        <f>HYPERLINK("http://www.ensembl.org/id/WBGene00219548", "WBGene00219548")</f>
        <v>WBGene00219548</v>
      </c>
      <c r="B11814" s="9"/>
      <c r="C11814" s="9"/>
      <c r="D11814" t="str">
        <f>"JC8.17"</f>
        <v>JC8.17</v>
      </c>
      <c r="F11814" t="s">
        <v>481</v>
      </c>
      <c r="H11814" s="12">
        <v>-1.3974805745249099</v>
      </c>
      <c r="I11814" s="20">
        <v>-0.28465192054347299</v>
      </c>
      <c r="J11814" s="28">
        <v>0.77591082914365095</v>
      </c>
      <c r="K11814" s="29">
        <v>0.98289565623980701</v>
      </c>
    </row>
    <row r="11815" spans="1:11" x14ac:dyDescent="0.35">
      <c r="A11815" s="9" t="str">
        <f>HYPERLINK("http://www.ensembl.org/id/WBGene00010435", "WBGene00010435")</f>
        <v>WBGene00010435</v>
      </c>
      <c r="B11815" s="9" t="str">
        <f>HYPERLINK("http://www.ncbi.nlm.nih.gov/gene/178277", "178277")</f>
        <v>178277</v>
      </c>
      <c r="C11815" s="9" t="str">
        <f>HYPERLINK("http://www.ncbi.nlm.nih.gov/gene/11137", "11137")</f>
        <v>11137</v>
      </c>
      <c r="D11815" t="str">
        <f>"JC8.2"</f>
        <v>JC8.2</v>
      </c>
      <c r="F11815" t="s">
        <v>11</v>
      </c>
      <c r="G11815" t="s">
        <v>8687</v>
      </c>
      <c r="H11815" s="12">
        <v>-1.19061866703955</v>
      </c>
      <c r="I11815" s="20">
        <v>-0.88953381218559202</v>
      </c>
      <c r="J11815" s="28">
        <v>0.37371625978893203</v>
      </c>
      <c r="K11815" s="29">
        <v>0.98289565623980701</v>
      </c>
    </row>
    <row r="11816" spans="1:11" x14ac:dyDescent="0.35">
      <c r="A11816" s="9" t="str">
        <f>HYPERLINK("http://www.ensembl.org/id/WBGene00010436", "WBGene00010436")</f>
        <v>WBGene00010436</v>
      </c>
      <c r="B11816" s="9" t="str">
        <f>HYPERLINK("http://www.ncbi.nlm.nih.gov/gene/178281", "178281")</f>
        <v>178281</v>
      </c>
      <c r="C11816" s="9" t="str">
        <f>HYPERLINK("http://www.ncbi.nlm.nih.gov/gene/134637", "134637")</f>
        <v>134637</v>
      </c>
      <c r="D11816" t="str">
        <f>"JC8.4"</f>
        <v>JC8.4</v>
      </c>
      <c r="F11816" t="s">
        <v>11</v>
      </c>
      <c r="G11816" t="s">
        <v>9911</v>
      </c>
      <c r="H11816" s="12">
        <v>-1.36758710704818</v>
      </c>
      <c r="I11816" s="20">
        <v>-0.91478062114237602</v>
      </c>
      <c r="J11816" s="28">
        <v>0.36030681019185101</v>
      </c>
      <c r="K11816" s="29">
        <v>0.98289565623980701</v>
      </c>
    </row>
    <row r="11817" spans="1:11" x14ac:dyDescent="0.35">
      <c r="A11817" s="9" t="str">
        <f>HYPERLINK("http://www.ensembl.org/id/WBGene00010439", "WBGene00010439")</f>
        <v>WBGene00010439</v>
      </c>
      <c r="B11817" s="9" t="str">
        <f>HYPERLINK("http://www.ncbi.nlm.nih.gov/gene/186815", "186815")</f>
        <v>186815</v>
      </c>
      <c r="C11817" s="9"/>
      <c r="D11817" t="str">
        <f>"JC8.7"</f>
        <v>JC8.7</v>
      </c>
      <c r="F11817" t="s">
        <v>11</v>
      </c>
      <c r="G11817" t="s">
        <v>8335</v>
      </c>
      <c r="H11817" s="12">
        <v>-1.1720883892093401</v>
      </c>
      <c r="I11817" s="20">
        <v>-0.62334375770764905</v>
      </c>
      <c r="J11817" s="28">
        <v>0.53305864856321705</v>
      </c>
      <c r="K11817" s="29">
        <v>0.98289565623980701</v>
      </c>
    </row>
    <row r="11818" spans="1:11" x14ac:dyDescent="0.35">
      <c r="A11818" s="9" t="str">
        <f>HYPERLINK("http://www.ensembl.org/id/WBGene00020821", "WBGene00020821")</f>
        <v>WBGene00020821</v>
      </c>
      <c r="B11818" s="9" t="str">
        <f>HYPERLINK("http://www.ncbi.nlm.nih.gov/gene/175919", "175919")</f>
        <v>175919</v>
      </c>
      <c r="C11818" s="9"/>
      <c r="D11818" t="str">
        <f>"jhdm-1"</f>
        <v>jhdm-1</v>
      </c>
      <c r="E11818" t="s">
        <v>9417</v>
      </c>
      <c r="F11818" t="s">
        <v>11</v>
      </c>
      <c r="H11818" s="12">
        <v>-1.2449710085727199</v>
      </c>
      <c r="I11818" s="20">
        <v>-1.0868811745504201</v>
      </c>
      <c r="J11818" s="28">
        <v>0.27708932708309197</v>
      </c>
      <c r="K11818" s="29">
        <v>0.98289565623980701</v>
      </c>
    </row>
    <row r="11819" spans="1:11" x14ac:dyDescent="0.35">
      <c r="A11819" s="9" t="str">
        <f>HYPERLINK("http://www.ensembl.org/id/WBGene00002176", "WBGene00002176")</f>
        <v>WBGene00002176</v>
      </c>
      <c r="B11819" s="9" t="str">
        <f>HYPERLINK("http://www.ncbi.nlm.nih.gov/gene/173513", "173513")</f>
        <v>173513</v>
      </c>
      <c r="C11819" s="9"/>
      <c r="D11819" t="str">
        <f>"jip-1"</f>
        <v>jip-1</v>
      </c>
      <c r="E11819" t="s">
        <v>5039</v>
      </c>
      <c r="F11819" t="s">
        <v>11</v>
      </c>
      <c r="G11819" t="s">
        <v>5040</v>
      </c>
      <c r="H11819" s="12">
        <v>1.25401909698007</v>
      </c>
      <c r="I11819" s="20">
        <v>1.1089670141468599</v>
      </c>
      <c r="J11819" s="28">
        <v>0.26744441216641002</v>
      </c>
      <c r="K11819" s="29">
        <v>0.98289565623980701</v>
      </c>
    </row>
    <row r="11820" spans="1:11" x14ac:dyDescent="0.35">
      <c r="A11820" s="9" t="str">
        <f>HYPERLINK("http://www.ensembl.org/id/WBGene00002177", "WBGene00002177")</f>
        <v>WBGene00002177</v>
      </c>
      <c r="B11820" s="9" t="str">
        <f>HYPERLINK("http://www.ncbi.nlm.nih.gov/gene/180810", "180810")</f>
        <v>180810</v>
      </c>
      <c r="C11820" s="9"/>
      <c r="D11820" t="str">
        <f>"jkk-1"</f>
        <v>jkk-1</v>
      </c>
      <c r="E11820" t="s">
        <v>5353</v>
      </c>
      <c r="F11820" t="s">
        <v>11</v>
      </c>
      <c r="G11820" t="s">
        <v>444</v>
      </c>
      <c r="H11820" s="12">
        <v>1.18457822745015</v>
      </c>
      <c r="I11820" s="20">
        <v>0.490496428369046</v>
      </c>
      <c r="J11820" s="28">
        <v>0.62378265657469401</v>
      </c>
      <c r="K11820" s="29">
        <v>0.98289565623980701</v>
      </c>
    </row>
    <row r="11821" spans="1:11" x14ac:dyDescent="0.35">
      <c r="A11821" s="9" t="str">
        <f>HYPERLINK("http://www.ensembl.org/id/WBGene00017920", "WBGene00017920")</f>
        <v>WBGene00017920</v>
      </c>
      <c r="B11821" s="9" t="str">
        <f>HYPERLINK("http://www.ncbi.nlm.nih.gov/gene/177232", "177232")</f>
        <v>177232</v>
      </c>
      <c r="C11821" s="9"/>
      <c r="D11821" t="str">
        <f>"jmjd-1.2"</f>
        <v>jmjd-1.2</v>
      </c>
      <c r="E11821" t="s">
        <v>7918</v>
      </c>
      <c r="F11821" t="s">
        <v>11</v>
      </c>
      <c r="G11821" t="s">
        <v>7919</v>
      </c>
      <c r="H11821" s="12">
        <v>-1.15148524972847</v>
      </c>
      <c r="I11821" s="20">
        <v>-0.71355278923324394</v>
      </c>
      <c r="J11821" s="28">
        <v>0.47550375949884899</v>
      </c>
      <c r="K11821" s="29">
        <v>0.98289565623980701</v>
      </c>
    </row>
    <row r="11822" spans="1:11" x14ac:dyDescent="0.35">
      <c r="A11822" s="9" t="str">
        <f>HYPERLINK("http://www.ensembl.org/id/WBGene00012982", "WBGene00012982")</f>
        <v>WBGene00012982</v>
      </c>
      <c r="B11822" s="9" t="str">
        <f>HYPERLINK("http://www.ncbi.nlm.nih.gov/gene/175080", "175080")</f>
        <v>175080</v>
      </c>
      <c r="C11822" s="9" t="str">
        <f>HYPERLINK("http://www.ncbi.nlm.nih.gov/gene/9682", "9682")</f>
        <v>9682</v>
      </c>
      <c r="D11822" t="str">
        <f>"jmjd-2"</f>
        <v>jmjd-2</v>
      </c>
      <c r="E11822" t="s">
        <v>8999</v>
      </c>
      <c r="F11822" t="s">
        <v>11</v>
      </c>
      <c r="H11822" s="12">
        <v>-1.21253068165853</v>
      </c>
      <c r="I11822" s="20">
        <v>-1.0072215132605</v>
      </c>
      <c r="J11822" s="28">
        <v>0.313828336996546</v>
      </c>
      <c r="K11822" s="29">
        <v>0.98289565623980701</v>
      </c>
    </row>
    <row r="11823" spans="1:11" x14ac:dyDescent="0.35">
      <c r="A11823" s="9" t="str">
        <f>HYPERLINK("http://www.ensembl.org/id/WBGene00017571", "WBGene00017571")</f>
        <v>WBGene00017571</v>
      </c>
      <c r="B11823" s="9" t="str">
        <f>HYPERLINK("http://www.ncbi.nlm.nih.gov/gene/181111", "181111")</f>
        <v>181111</v>
      </c>
      <c r="C11823" s="9"/>
      <c r="D11823" t="str">
        <f>"jmjd-3.1"</f>
        <v>jmjd-3.1</v>
      </c>
      <c r="E11823" t="s">
        <v>5881</v>
      </c>
      <c r="F11823" t="s">
        <v>11</v>
      </c>
      <c r="G11823" t="s">
        <v>5882</v>
      </c>
      <c r="H11823" s="12">
        <v>1.09023502618857</v>
      </c>
      <c r="I11823" s="20">
        <v>0.43185711009810501</v>
      </c>
      <c r="J11823" s="28">
        <v>0.66584526881378203</v>
      </c>
      <c r="K11823" s="29">
        <v>0.98289565623980701</v>
      </c>
    </row>
    <row r="11824" spans="1:11" x14ac:dyDescent="0.35">
      <c r="A11824" s="9" t="str">
        <f>HYPERLINK("http://www.ensembl.org/id/WBGene00007813", "WBGene00007813")</f>
        <v>WBGene00007813</v>
      </c>
      <c r="B11824" s="9" t="str">
        <f>HYPERLINK("http://www.ncbi.nlm.nih.gov/gene/181467", "181467")</f>
        <v>181467</v>
      </c>
      <c r="C11824" s="9"/>
      <c r="D11824" t="str">
        <f>"jmjd-3.3"</f>
        <v>jmjd-3.3</v>
      </c>
      <c r="E11824" t="s">
        <v>1355</v>
      </c>
      <c r="F11824" t="s">
        <v>11</v>
      </c>
      <c r="G11824" t="s">
        <v>1356</v>
      </c>
      <c r="H11824" s="12">
        <v>-1.6786387800889</v>
      </c>
      <c r="I11824" s="20">
        <v>-1.18805537245168</v>
      </c>
      <c r="J11824" s="28">
        <v>0.23481159495515599</v>
      </c>
      <c r="K11824" s="29">
        <v>0.98289565623980701</v>
      </c>
    </row>
    <row r="11825" spans="1:11" x14ac:dyDescent="0.35">
      <c r="A11825" s="9" t="str">
        <f>HYPERLINK("http://www.ensembl.org/id/WBGene00011563", "WBGene00011563")</f>
        <v>WBGene00011563</v>
      </c>
      <c r="B11825" s="9" t="str">
        <f>HYPERLINK("http://www.ncbi.nlm.nih.gov/gene/259530", "259530")</f>
        <v>259530</v>
      </c>
      <c r="C11825" s="9"/>
      <c r="D11825" t="str">
        <f>"jmjd-4"</f>
        <v>jmjd-4</v>
      </c>
      <c r="E11825" t="s">
        <v>1355</v>
      </c>
      <c r="F11825" t="s">
        <v>11</v>
      </c>
      <c r="G11825" t="s">
        <v>228</v>
      </c>
      <c r="H11825" s="12">
        <v>1.1225641394236701</v>
      </c>
      <c r="I11825" s="20">
        <v>0.331265944093038</v>
      </c>
      <c r="J11825" s="28">
        <v>0.74044361308140005</v>
      </c>
      <c r="K11825" s="29">
        <v>0.98289565623980701</v>
      </c>
    </row>
    <row r="11826" spans="1:11" x14ac:dyDescent="0.35">
      <c r="A11826" s="9" t="str">
        <f>HYPERLINK("http://www.ensembl.org/id/WBGene00002178", "WBGene00002178")</f>
        <v>WBGene00002178</v>
      </c>
      <c r="B11826" s="9" t="str">
        <f>HYPERLINK("http://www.ncbi.nlm.nih.gov/gene/177460", "177460")</f>
        <v>177460</v>
      </c>
      <c r="C11826" s="9" t="str">
        <f>HYPERLINK("http://www.ncbi.nlm.nih.gov/gene/5599", "5599")</f>
        <v>5599</v>
      </c>
      <c r="D11826" t="str">
        <f>"jnk-1"</f>
        <v>jnk-1</v>
      </c>
      <c r="E11826" t="s">
        <v>5007</v>
      </c>
      <c r="F11826" t="s">
        <v>11</v>
      </c>
      <c r="G11826" t="s">
        <v>2583</v>
      </c>
      <c r="H11826" s="12">
        <v>1.26432225270272</v>
      </c>
      <c r="I11826" s="20">
        <v>1.0815854738277499</v>
      </c>
      <c r="J11826" s="28">
        <v>0.279436762003613</v>
      </c>
      <c r="K11826" s="29">
        <v>0.98289565623980701</v>
      </c>
    </row>
    <row r="11827" spans="1:11" x14ac:dyDescent="0.35">
      <c r="A11827" s="9" t="str">
        <f>HYPERLINK("http://www.ensembl.org/id/WBGene00022190", "WBGene00022190")</f>
        <v>WBGene00022190</v>
      </c>
      <c r="B11827" s="9" t="str">
        <f>HYPERLINK("http://www.ncbi.nlm.nih.gov/gene/259492", "259492")</f>
        <v>259492</v>
      </c>
      <c r="C11827" s="9" t="str">
        <f>HYPERLINK("http://www.ncbi.nlm.nih.gov/gene/126119", "126119")</f>
        <v>126119</v>
      </c>
      <c r="D11827" t="str">
        <f>"josd-1"</f>
        <v>josd-1</v>
      </c>
      <c r="E11827" t="s">
        <v>8159</v>
      </c>
      <c r="F11827" t="s">
        <v>11</v>
      </c>
      <c r="G11827" t="s">
        <v>8160</v>
      </c>
      <c r="H11827" s="12">
        <v>-1.1630465529451901</v>
      </c>
      <c r="I11827" s="20">
        <v>-0.56902503726392695</v>
      </c>
      <c r="J11827" s="28">
        <v>0.56933914890100901</v>
      </c>
      <c r="K11827" s="29">
        <v>0.98289565623980701</v>
      </c>
    </row>
    <row r="11828" spans="1:11" x14ac:dyDescent="0.35">
      <c r="A11828" s="9" t="str">
        <f>HYPERLINK("http://www.ensembl.org/id/WBGene00010451", "WBGene00010451")</f>
        <v>WBGene00010451</v>
      </c>
      <c r="B11828" s="9" t="str">
        <f>HYPERLINK("http://www.ncbi.nlm.nih.gov/gene/175447", "175447")</f>
        <v>175447</v>
      </c>
      <c r="C11828" s="9"/>
      <c r="D11828" t="str">
        <f>"K01A11.3"</f>
        <v>K01A11.3</v>
      </c>
      <c r="F11828" t="s">
        <v>11</v>
      </c>
      <c r="H11828" s="12">
        <v>1.84978928150647</v>
      </c>
      <c r="I11828" s="20">
        <v>0.42954973956806702</v>
      </c>
      <c r="J11828" s="28">
        <v>0.66752320457453196</v>
      </c>
      <c r="K11828" s="29">
        <v>0.98289565623980701</v>
      </c>
    </row>
    <row r="11829" spans="1:11" x14ac:dyDescent="0.35">
      <c r="A11829" s="9" t="str">
        <f>HYPERLINK("http://www.ensembl.org/id/WBGene00014415", "WBGene00014415")</f>
        <v>WBGene00014415</v>
      </c>
      <c r="B11829" s="9"/>
      <c r="C11829" s="9"/>
      <c r="D11829" t="str">
        <f>"K01A11.t1"</f>
        <v>K01A11.t1</v>
      </c>
      <c r="F11829" t="s">
        <v>4208</v>
      </c>
      <c r="H11829" s="12">
        <v>2.4578120077400301</v>
      </c>
      <c r="I11829" s="20">
        <v>0.26093350314551</v>
      </c>
      <c r="J11829" s="28">
        <v>0.79414378780213601</v>
      </c>
      <c r="K11829" s="29">
        <v>0.98289565623980701</v>
      </c>
    </row>
    <row r="11830" spans="1:11" x14ac:dyDescent="0.35">
      <c r="A11830" s="9" t="str">
        <f>HYPERLINK("http://www.ensembl.org/id/WBGene00019286", "WBGene00019286")</f>
        <v>WBGene00019286</v>
      </c>
      <c r="B11830" s="9" t="str">
        <f>HYPERLINK("http://www.ncbi.nlm.nih.gov/gene/186831", "186831")</f>
        <v>186831</v>
      </c>
      <c r="C11830" s="9"/>
      <c r="D11830" t="str">
        <f>"K01A12.2"</f>
        <v>K01A12.2</v>
      </c>
      <c r="F11830" t="s">
        <v>11</v>
      </c>
      <c r="G11830" t="s">
        <v>4121</v>
      </c>
      <c r="H11830" s="12">
        <v>2.2478645148568299</v>
      </c>
      <c r="I11830" s="20">
        <v>1.1236929024433799</v>
      </c>
      <c r="J11830" s="28">
        <v>0.26114332844852201</v>
      </c>
      <c r="K11830" s="29">
        <v>0.98289565623980701</v>
      </c>
    </row>
    <row r="11831" spans="1:11" x14ac:dyDescent="0.35">
      <c r="A11831" s="9" t="str">
        <f>HYPERLINK("http://www.ensembl.org/id/WBGene00019287", "WBGene00019287")</f>
        <v>WBGene00019287</v>
      </c>
      <c r="B11831" s="9" t="str">
        <f>HYPERLINK("http://www.ncbi.nlm.nih.gov/gene/186832", "186832")</f>
        <v>186832</v>
      </c>
      <c r="C11831" s="9"/>
      <c r="D11831" t="str">
        <f>"K01A12.3"</f>
        <v>K01A12.3</v>
      </c>
      <c r="E11831" t="s">
        <v>4594</v>
      </c>
      <c r="F11831" t="s">
        <v>11</v>
      </c>
      <c r="G11831" t="s">
        <v>1793</v>
      </c>
      <c r="H11831" s="12">
        <v>1.63429910765971</v>
      </c>
      <c r="I11831" s="20">
        <v>1.0570730701703299</v>
      </c>
      <c r="J11831" s="28">
        <v>0.29047824050177901</v>
      </c>
      <c r="K11831" s="29">
        <v>0.98289565623980701</v>
      </c>
    </row>
    <row r="11832" spans="1:11" x14ac:dyDescent="0.35">
      <c r="A11832" s="9" t="str">
        <f>HYPERLINK("http://www.ensembl.org/id/WBGene00044578", "WBGene00044578")</f>
        <v>WBGene00044578</v>
      </c>
      <c r="B11832" s="9" t="str">
        <f>HYPERLINK("http://www.ncbi.nlm.nih.gov/gene/3896886", "3896886")</f>
        <v>3896886</v>
      </c>
      <c r="C11832" s="9"/>
      <c r="D11832" t="str">
        <f>"K01A12.4"</f>
        <v>K01A12.4</v>
      </c>
      <c r="F11832" t="s">
        <v>11</v>
      </c>
      <c r="H11832" s="12">
        <v>1.9384582231990699</v>
      </c>
      <c r="I11832" s="20">
        <v>0.50144374916616696</v>
      </c>
      <c r="J11832" s="28">
        <v>0.61605885659730297</v>
      </c>
      <c r="K11832" s="29">
        <v>0.98289565623980701</v>
      </c>
    </row>
    <row r="11833" spans="1:11" x14ac:dyDescent="0.35">
      <c r="A11833" s="9" t="str">
        <f>HYPERLINK("http://www.ensembl.org/id/WBGene00200637", "WBGene00200637")</f>
        <v>WBGene00200637</v>
      </c>
      <c r="B11833" s="9"/>
      <c r="C11833" s="9"/>
      <c r="D11833" t="str">
        <f>"K01A2.15"</f>
        <v>K01A2.15</v>
      </c>
      <c r="F11833" t="s">
        <v>481</v>
      </c>
      <c r="H11833" s="12">
        <v>4.4368407117627902</v>
      </c>
      <c r="I11833" s="20">
        <v>0.43709475933309699</v>
      </c>
      <c r="J11833" s="28">
        <v>0.66204262779770495</v>
      </c>
      <c r="K11833" s="29">
        <v>0.98289565623980701</v>
      </c>
    </row>
    <row r="11834" spans="1:11" x14ac:dyDescent="0.35">
      <c r="A11834" s="9" t="str">
        <f>HYPERLINK("http://www.ensembl.org/id/WBGene00019278", "WBGene00019278")</f>
        <v>WBGene00019278</v>
      </c>
      <c r="B11834" s="9"/>
      <c r="C11834" s="9"/>
      <c r="D11834" t="str">
        <f>"K01A2.3"</f>
        <v>K01A2.3</v>
      </c>
      <c r="F11834" t="s">
        <v>80</v>
      </c>
      <c r="H11834" s="12">
        <v>1.44530162300303</v>
      </c>
      <c r="I11834" s="20">
        <v>1.04442109102197</v>
      </c>
      <c r="J11834" s="28">
        <v>0.29629060980442601</v>
      </c>
      <c r="K11834" s="29">
        <v>0.98289565623980701</v>
      </c>
    </row>
    <row r="11835" spans="1:11" x14ac:dyDescent="0.35">
      <c r="A11835" s="9" t="str">
        <f>HYPERLINK("http://www.ensembl.org/id/WBGene00019281", "WBGene00019281")</f>
        <v>WBGene00019281</v>
      </c>
      <c r="B11835" s="9" t="str">
        <f>HYPERLINK("http://www.ncbi.nlm.nih.gov/gene/186818", "186818")</f>
        <v>186818</v>
      </c>
      <c r="C11835" s="9"/>
      <c r="D11835" t="str">
        <f>"K01A2.6"</f>
        <v>K01A2.6</v>
      </c>
      <c r="F11835" t="s">
        <v>11</v>
      </c>
      <c r="H11835" s="12">
        <v>2.3893468495514898</v>
      </c>
      <c r="I11835" s="20">
        <v>0.25323547253672701</v>
      </c>
      <c r="J11835" s="28">
        <v>0.80008625651646104</v>
      </c>
      <c r="K11835" s="29">
        <v>0.98289565623980701</v>
      </c>
    </row>
    <row r="11836" spans="1:11" x14ac:dyDescent="0.35">
      <c r="A11836" s="9" t="str">
        <f>HYPERLINK("http://www.ensembl.org/id/WBGene00199428", "WBGene00199428")</f>
        <v>WBGene00199428</v>
      </c>
      <c r="B11836" s="9"/>
      <c r="C11836" s="9"/>
      <c r="D11836" t="str">
        <f>"K01A6.16"</f>
        <v>K01A6.16</v>
      </c>
      <c r="F11836" t="s">
        <v>481</v>
      </c>
      <c r="H11836" s="12">
        <v>-3.5819448292659501</v>
      </c>
      <c r="I11836" s="20">
        <v>-0.37337717500031398</v>
      </c>
      <c r="J11836" s="28">
        <v>0.70886774492290605</v>
      </c>
      <c r="K11836" s="29">
        <v>0.98289565623980701</v>
      </c>
    </row>
    <row r="11837" spans="1:11" x14ac:dyDescent="0.35">
      <c r="A11837" s="9" t="str">
        <f>HYPERLINK("http://www.ensembl.org/id/WBGene00200172", "WBGene00200172")</f>
        <v>WBGene00200172</v>
      </c>
      <c r="B11837" s="9"/>
      <c r="C11837" s="9"/>
      <c r="D11837" t="str">
        <f>"K01A6.18"</f>
        <v>K01A6.18</v>
      </c>
      <c r="F11837" t="s">
        <v>481</v>
      </c>
      <c r="H11837" s="12">
        <v>7.6616465944663696</v>
      </c>
      <c r="I11837" s="20">
        <v>0.60406875593600395</v>
      </c>
      <c r="J11837" s="28">
        <v>0.54579793098927099</v>
      </c>
      <c r="K11837" s="29">
        <v>0.98289565623980701</v>
      </c>
    </row>
    <row r="11838" spans="1:11" x14ac:dyDescent="0.35">
      <c r="A11838" s="9" t="str">
        <f>HYPERLINK("http://www.ensembl.org/id/WBGene00010448", "WBGene00010448")</f>
        <v>WBGene00010448</v>
      </c>
      <c r="B11838" s="9" t="str">
        <f>HYPERLINK("http://www.ncbi.nlm.nih.gov/gene/3565516", "3565516")</f>
        <v>3565516</v>
      </c>
      <c r="C11838" s="9"/>
      <c r="D11838" t="str">
        <f>"K01A6.6"</f>
        <v>K01A6.6</v>
      </c>
      <c r="F11838" t="s">
        <v>11</v>
      </c>
      <c r="G11838" t="s">
        <v>1015</v>
      </c>
      <c r="H11838" s="12">
        <v>1.61577364489191</v>
      </c>
      <c r="I11838" s="20">
        <v>1.1699485923956201</v>
      </c>
      <c r="J11838" s="28">
        <v>0.242021657276597</v>
      </c>
      <c r="K11838" s="29">
        <v>0.98289565623980701</v>
      </c>
    </row>
    <row r="11839" spans="1:11" x14ac:dyDescent="0.35">
      <c r="A11839" s="9" t="str">
        <f>HYPERLINK("http://www.ensembl.org/id/WBGene00045096", "WBGene00045096")</f>
        <v>WBGene00045096</v>
      </c>
      <c r="B11839" s="9" t="str">
        <f>HYPERLINK("http://www.ncbi.nlm.nih.gov/gene/13198301", "13198301")</f>
        <v>13198301</v>
      </c>
      <c r="C11839" s="9"/>
      <c r="D11839" t="str">
        <f>"K01A6.7"</f>
        <v>K01A6.7</v>
      </c>
      <c r="F11839" t="s">
        <v>11</v>
      </c>
      <c r="H11839" s="12">
        <v>1.75847259942847</v>
      </c>
      <c r="I11839" s="20">
        <v>0.54837349258523505</v>
      </c>
      <c r="J11839" s="28">
        <v>0.58343547367623205</v>
      </c>
      <c r="K11839" s="29">
        <v>0.98289565623980701</v>
      </c>
    </row>
    <row r="11840" spans="1:11" x14ac:dyDescent="0.35">
      <c r="A11840" s="9" t="str">
        <f>HYPERLINK("http://www.ensembl.org/id/WBGene00195435", "WBGene00195435")</f>
        <v>WBGene00195435</v>
      </c>
      <c r="B11840" s="9"/>
      <c r="C11840" s="9"/>
      <c r="D11840" t="str">
        <f>"K01A6.9"</f>
        <v>K01A6.9</v>
      </c>
      <c r="F11840" t="s">
        <v>481</v>
      </c>
      <c r="H11840" s="12">
        <v>3.5227018545059199</v>
      </c>
      <c r="I11840" s="20">
        <v>0.36849691206929103</v>
      </c>
      <c r="J11840" s="28">
        <v>0.71250274722433404</v>
      </c>
      <c r="K11840" s="29">
        <v>0.98289565623980701</v>
      </c>
    </row>
    <row r="11841" spans="1:11" x14ac:dyDescent="0.35">
      <c r="A11841" s="9" t="str">
        <f>HYPERLINK("http://www.ensembl.org/id/WBGene00010454", "WBGene00010454")</f>
        <v>WBGene00010454</v>
      </c>
      <c r="B11841" s="9" t="str">
        <f>HYPERLINK("http://www.ncbi.nlm.nih.gov/gene/176309", "176309")</f>
        <v>176309</v>
      </c>
      <c r="C11841" s="9"/>
      <c r="D11841" t="str">
        <f>"K01B6.3"</f>
        <v>K01B6.3</v>
      </c>
      <c r="F11841" t="s">
        <v>11</v>
      </c>
      <c r="H11841" s="12">
        <v>1.5042264470887099</v>
      </c>
      <c r="I11841" s="20">
        <v>0.86295480343714404</v>
      </c>
      <c r="J11841" s="28">
        <v>0.38816231712065702</v>
      </c>
      <c r="K11841" s="29">
        <v>0.98289565623980701</v>
      </c>
    </row>
    <row r="11842" spans="1:11" x14ac:dyDescent="0.35">
      <c r="A11842" s="9" t="str">
        <f>HYPERLINK("http://www.ensembl.org/id/WBGene00010455", "WBGene00010455")</f>
        <v>WBGene00010455</v>
      </c>
      <c r="B11842" s="9" t="str">
        <f>HYPERLINK("http://www.ncbi.nlm.nih.gov/gene/3565788", "3565788")</f>
        <v>3565788</v>
      </c>
      <c r="C11842" s="9"/>
      <c r="D11842" t="str">
        <f>"K01B6.4"</f>
        <v>K01B6.4</v>
      </c>
      <c r="F11842" t="s">
        <v>11</v>
      </c>
      <c r="H11842" s="12">
        <v>3.28624938312884</v>
      </c>
      <c r="I11842" s="20">
        <v>0.36379512681977599</v>
      </c>
      <c r="J11842" s="28">
        <v>0.716011001908614</v>
      </c>
      <c r="K11842" s="29">
        <v>0.98289565623980701</v>
      </c>
    </row>
    <row r="11843" spans="1:11" x14ac:dyDescent="0.35">
      <c r="A11843" s="9" t="str">
        <f>HYPERLINK("http://www.ensembl.org/id/WBGene00197428", "WBGene00197428")</f>
        <v>WBGene00197428</v>
      </c>
      <c r="B11843" s="9"/>
      <c r="C11843" s="9"/>
      <c r="D11843" t="str">
        <f>"K01B6.7"</f>
        <v>K01B6.7</v>
      </c>
      <c r="F11843" t="s">
        <v>481</v>
      </c>
      <c r="H11843" s="12">
        <v>2.3893468495514898</v>
      </c>
      <c r="I11843" s="20">
        <v>0.25323547253672701</v>
      </c>
      <c r="J11843" s="28">
        <v>0.80008625651646104</v>
      </c>
      <c r="K11843" s="29">
        <v>0.98289565623980701</v>
      </c>
    </row>
    <row r="11844" spans="1:11" x14ac:dyDescent="0.35">
      <c r="A11844" s="9" t="str">
        <f>HYPERLINK("http://www.ensembl.org/id/WBGene00202033", "WBGene00202033")</f>
        <v>WBGene00202033</v>
      </c>
      <c r="B11844" s="9"/>
      <c r="C11844" s="9"/>
      <c r="D11844" t="str">
        <f>"K01C8.11"</f>
        <v>K01C8.11</v>
      </c>
      <c r="F11844" t="s">
        <v>481</v>
      </c>
      <c r="H11844" s="12">
        <v>-5.4967879193631202</v>
      </c>
      <c r="I11844" s="20">
        <v>-0.50254160819837501</v>
      </c>
      <c r="J11844" s="28">
        <v>0.61528659178453604</v>
      </c>
      <c r="K11844" s="29">
        <v>0.98289565623980701</v>
      </c>
    </row>
    <row r="11845" spans="1:11" x14ac:dyDescent="0.35">
      <c r="A11845" s="9" t="str">
        <f>HYPERLINK("http://www.ensembl.org/id/WBGene00010474", "WBGene00010474")</f>
        <v>WBGene00010474</v>
      </c>
      <c r="B11845" s="9" t="str">
        <f>HYPERLINK("http://www.ncbi.nlm.nih.gov/gene/179698", "179698")</f>
        <v>179698</v>
      </c>
      <c r="C11845" s="9"/>
      <c r="D11845" t="str">
        <f>"K01D12.15"</f>
        <v>K01D12.15</v>
      </c>
      <c r="F11845" t="s">
        <v>11</v>
      </c>
      <c r="H11845" s="12">
        <v>-1.4942321140352499</v>
      </c>
      <c r="I11845" s="20">
        <v>-0.31173122941750397</v>
      </c>
      <c r="J11845" s="28">
        <v>0.75524479212403395</v>
      </c>
      <c r="K11845" s="29">
        <v>0.98289565623980701</v>
      </c>
    </row>
    <row r="11846" spans="1:11" x14ac:dyDescent="0.35">
      <c r="A11846" s="9" t="str">
        <f>HYPERLINK("http://www.ensembl.org/id/WBGene00010464", "WBGene00010464")</f>
        <v>WBGene00010464</v>
      </c>
      <c r="B11846" s="9" t="str">
        <f>HYPERLINK("http://www.ncbi.nlm.nih.gov/gene/186845", "186845")</f>
        <v>186845</v>
      </c>
      <c r="C11846" s="9"/>
      <c r="D11846" t="str">
        <f>"K01D12.5"</f>
        <v>K01D12.5</v>
      </c>
      <c r="F11846" t="s">
        <v>11</v>
      </c>
      <c r="H11846" s="12">
        <v>1.48767726890998</v>
      </c>
      <c r="I11846" s="20">
        <v>0.39677022049501598</v>
      </c>
      <c r="J11846" s="28">
        <v>0.69153691264475503</v>
      </c>
      <c r="K11846" s="29">
        <v>0.98289565623980701</v>
      </c>
    </row>
    <row r="11847" spans="1:11" x14ac:dyDescent="0.35">
      <c r="A11847" s="9" t="str">
        <f>HYPERLINK("http://www.ensembl.org/id/WBGene00010465", "WBGene00010465")</f>
        <v>WBGene00010465</v>
      </c>
      <c r="B11847" s="9" t="str">
        <f>HYPERLINK("http://www.ncbi.nlm.nih.gov/gene/179700", "179700")</f>
        <v>179700</v>
      </c>
      <c r="C11847" s="9"/>
      <c r="D11847" t="str">
        <f>"K01D12.6"</f>
        <v>K01D12.6</v>
      </c>
      <c r="F11847" t="s">
        <v>11</v>
      </c>
      <c r="G11847" t="s">
        <v>9282</v>
      </c>
      <c r="H11847" s="12">
        <v>-1.2337057092982999</v>
      </c>
      <c r="I11847" s="20">
        <v>-1.0100959840624999</v>
      </c>
      <c r="J11847" s="28">
        <v>0.31244930609647498</v>
      </c>
      <c r="K11847" s="29">
        <v>0.98289565623980701</v>
      </c>
    </row>
    <row r="11848" spans="1:11" x14ac:dyDescent="0.35">
      <c r="A11848" s="9" t="str">
        <f>HYPERLINK("http://www.ensembl.org/id/WBGene00010467", "WBGene00010467")</f>
        <v>WBGene00010467</v>
      </c>
      <c r="B11848" s="9" t="str">
        <f>HYPERLINK("http://www.ncbi.nlm.nih.gov/gene/186846", "186846")</f>
        <v>186846</v>
      </c>
      <c r="C11848" s="9"/>
      <c r="D11848" t="str">
        <f>"K01D12.8"</f>
        <v>K01D12.8</v>
      </c>
      <c r="F11848" t="s">
        <v>11</v>
      </c>
      <c r="H11848" s="12">
        <v>-6.3507302933957197</v>
      </c>
      <c r="I11848" s="20">
        <v>-0.54348709410156204</v>
      </c>
      <c r="J11848" s="28">
        <v>0.58679447442024202</v>
      </c>
      <c r="K11848" s="29">
        <v>0.98289565623980701</v>
      </c>
    </row>
    <row r="11849" spans="1:11" x14ac:dyDescent="0.35">
      <c r="A11849" s="9" t="str">
        <f>HYPERLINK("http://www.ensembl.org/id/WBGene00010475", "WBGene00010475")</f>
        <v>WBGene00010475</v>
      </c>
      <c r="B11849" s="9" t="str">
        <f>HYPERLINK("http://www.ncbi.nlm.nih.gov/gene/3565085", "3565085")</f>
        <v>3565085</v>
      </c>
      <c r="C11849" s="9"/>
      <c r="D11849" t="str">
        <f>"K01F9.2"</f>
        <v>K01F9.2</v>
      </c>
      <c r="F11849" t="s">
        <v>11</v>
      </c>
      <c r="H11849" s="12">
        <v>1.0905454581019101</v>
      </c>
      <c r="I11849" s="20">
        <v>0.415257288165363</v>
      </c>
      <c r="J11849" s="28">
        <v>0.67795356488799097</v>
      </c>
      <c r="K11849" s="29">
        <v>0.98289565623980701</v>
      </c>
    </row>
    <row r="11850" spans="1:11" x14ac:dyDescent="0.35">
      <c r="A11850" s="9" t="str">
        <f>HYPERLINK("http://www.ensembl.org/id/WBGene00010483", "WBGene00010483")</f>
        <v>WBGene00010483</v>
      </c>
      <c r="B11850" s="9" t="str">
        <f>HYPERLINK("http://www.ncbi.nlm.nih.gov/gene/186853", "186853")</f>
        <v>186853</v>
      </c>
      <c r="C11850" s="9"/>
      <c r="D11850" t="str">
        <f>"K01G12.3"</f>
        <v>K01G12.3</v>
      </c>
      <c r="F11850" t="s">
        <v>11</v>
      </c>
      <c r="H11850" s="12">
        <v>-1.3785290052242001</v>
      </c>
      <c r="I11850" s="20">
        <v>-0.61735968993124002</v>
      </c>
      <c r="J11850" s="28">
        <v>0.53699750393277101</v>
      </c>
      <c r="K11850" s="29">
        <v>0.98289565623980701</v>
      </c>
    </row>
    <row r="11851" spans="1:11" x14ac:dyDescent="0.35">
      <c r="A11851" s="9" t="str">
        <f>HYPERLINK("http://www.ensembl.org/id/WBGene00010481", "WBGene00010481")</f>
        <v>WBGene00010481</v>
      </c>
      <c r="B11851" s="9" t="str">
        <f>HYPERLINK("http://www.ncbi.nlm.nih.gov/gene/186851", "186851")</f>
        <v>186851</v>
      </c>
      <c r="C11851" s="9" t="str">
        <f>HYPERLINK("http://www.ncbi.nlm.nih.gov/gene/81932", "81932")</f>
        <v>81932</v>
      </c>
      <c r="D11851" t="str">
        <f>"K01G5.10"</f>
        <v>K01G5.10</v>
      </c>
      <c r="F11851" t="s">
        <v>11</v>
      </c>
      <c r="G11851" t="s">
        <v>423</v>
      </c>
      <c r="H11851" s="12">
        <v>1.23755172955034</v>
      </c>
      <c r="I11851" s="20">
        <v>0.76348019457079497</v>
      </c>
      <c r="J11851" s="28">
        <v>0.44517706949490599</v>
      </c>
      <c r="K11851" s="29">
        <v>0.98289565623980701</v>
      </c>
    </row>
    <row r="11852" spans="1:11" x14ac:dyDescent="0.35">
      <c r="A11852" s="9" t="str">
        <f>HYPERLINK("http://www.ensembl.org/id/WBGene00197037", "WBGene00197037")</f>
        <v>WBGene00197037</v>
      </c>
      <c r="B11852" s="9"/>
      <c r="C11852" s="9"/>
      <c r="D11852" t="str">
        <f>"K01G5.11"</f>
        <v>K01G5.11</v>
      </c>
      <c r="F11852" t="s">
        <v>481</v>
      </c>
      <c r="H11852" s="12">
        <v>-4.6119264567625402</v>
      </c>
      <c r="I11852" s="20">
        <v>-0.60828972222806199</v>
      </c>
      <c r="J11852" s="28">
        <v>0.54299533640928099</v>
      </c>
      <c r="K11852" s="29">
        <v>0.98289565623980701</v>
      </c>
    </row>
    <row r="11853" spans="1:11" x14ac:dyDescent="0.35">
      <c r="A11853" s="9" t="str">
        <f>HYPERLINK("http://www.ensembl.org/id/WBGene00197604", "WBGene00197604")</f>
        <v>WBGene00197604</v>
      </c>
      <c r="B11853" s="9"/>
      <c r="C11853" s="9"/>
      <c r="D11853" t="str">
        <f>"K01G5.12"</f>
        <v>K01G5.12</v>
      </c>
      <c r="F11853" t="s">
        <v>481</v>
      </c>
      <c r="H11853" s="12">
        <v>-8.0578224788903103</v>
      </c>
      <c r="I11853" s="20">
        <v>-0.70944525450524398</v>
      </c>
      <c r="J11853" s="28">
        <v>0.47804821301075801</v>
      </c>
      <c r="K11853" s="29">
        <v>0.98289565623980701</v>
      </c>
    </row>
    <row r="11854" spans="1:11" x14ac:dyDescent="0.35">
      <c r="A11854" s="9" t="str">
        <f>HYPERLINK("http://www.ensembl.org/id/WBGene00010478", "WBGene00010478")</f>
        <v>WBGene00010478</v>
      </c>
      <c r="B11854" s="9" t="str">
        <f>HYPERLINK("http://www.ncbi.nlm.nih.gov/gene/176504", "176504")</f>
        <v>176504</v>
      </c>
      <c r="C11854" s="9" t="str">
        <f>HYPERLINK("http://www.ncbi.nlm.nih.gov/gene/1736", "1736")</f>
        <v>1736</v>
      </c>
      <c r="D11854" t="str">
        <f>"K01G5.5"</f>
        <v>K01G5.5</v>
      </c>
      <c r="E11854" t="s">
        <v>9024</v>
      </c>
      <c r="F11854" t="s">
        <v>11</v>
      </c>
      <c r="G11854" t="s">
        <v>9025</v>
      </c>
      <c r="H11854" s="12">
        <v>-1.21533488346992</v>
      </c>
      <c r="I11854" s="20">
        <v>-0.97257625633891098</v>
      </c>
      <c r="J11854" s="28">
        <v>0.33076394809369603</v>
      </c>
      <c r="K11854" s="29">
        <v>0.98289565623980701</v>
      </c>
    </row>
    <row r="11855" spans="1:11" x14ac:dyDescent="0.35">
      <c r="A11855" s="9" t="str">
        <f>HYPERLINK("http://www.ensembl.org/id/WBGene00010479", "WBGene00010479")</f>
        <v>WBGene00010479</v>
      </c>
      <c r="B11855" s="9" t="str">
        <f>HYPERLINK("http://www.ncbi.nlm.nih.gov/gene/176500", "176500")</f>
        <v>176500</v>
      </c>
      <c r="C11855" s="9"/>
      <c r="D11855" t="str">
        <f>"K01G5.8"</f>
        <v>K01G5.8</v>
      </c>
      <c r="F11855" t="s">
        <v>11</v>
      </c>
      <c r="G11855" t="s">
        <v>5676</v>
      </c>
      <c r="H11855" s="12">
        <v>1.12490602504565</v>
      </c>
      <c r="I11855" s="20">
        <v>0.58023916547717502</v>
      </c>
      <c r="J11855" s="28">
        <v>0.56175334538013899</v>
      </c>
      <c r="K11855" s="29">
        <v>0.98289565623980701</v>
      </c>
    </row>
    <row r="11856" spans="1:11" x14ac:dyDescent="0.35">
      <c r="A11856" s="9" t="str">
        <f>HYPERLINK("http://www.ensembl.org/id/WBGene00200742", "WBGene00200742")</f>
        <v>WBGene00200742</v>
      </c>
      <c r="B11856" s="9"/>
      <c r="C11856" s="9"/>
      <c r="D11856" t="str">
        <f>"K02A11.10"</f>
        <v>K02A11.10</v>
      </c>
      <c r="F11856" t="s">
        <v>481</v>
      </c>
      <c r="H11856" s="12">
        <v>-2.4295389261469</v>
      </c>
      <c r="I11856" s="20">
        <v>-0.25808529976640998</v>
      </c>
      <c r="J11856" s="28">
        <v>0.79634107645457397</v>
      </c>
      <c r="K11856" s="29">
        <v>0.98289565623980701</v>
      </c>
    </row>
    <row r="11857" spans="1:11" x14ac:dyDescent="0.35">
      <c r="A11857" s="9" t="str">
        <f>HYPERLINK("http://www.ensembl.org/id/WBGene00010487", "WBGene00010487")</f>
        <v>WBGene00010487</v>
      </c>
      <c r="B11857" s="9" t="str">
        <f>HYPERLINK("http://www.ncbi.nlm.nih.gov/gene/186863", "186863")</f>
        <v>186863</v>
      </c>
      <c r="C11857" s="9"/>
      <c r="D11857" t="str">
        <f>"K02A11.2"</f>
        <v>K02A11.2</v>
      </c>
      <c r="F11857" t="s">
        <v>11</v>
      </c>
      <c r="H11857" s="12">
        <v>2.5455347088435798</v>
      </c>
      <c r="I11857" s="20">
        <v>0.81889980325871303</v>
      </c>
      <c r="J11857" s="28">
        <v>0.41284358218987399</v>
      </c>
      <c r="K11857" s="29">
        <v>0.98289565623980701</v>
      </c>
    </row>
    <row r="11858" spans="1:11" x14ac:dyDescent="0.35">
      <c r="A11858" s="9" t="str">
        <f>HYPERLINK("http://www.ensembl.org/id/WBGene00195989", "WBGene00195989")</f>
        <v>WBGene00195989</v>
      </c>
      <c r="B11858" s="9"/>
      <c r="C11858" s="9"/>
      <c r="D11858" t="str">
        <f>"K02A11.5"</f>
        <v>K02A11.5</v>
      </c>
      <c r="F11858" t="s">
        <v>481</v>
      </c>
      <c r="H11858" s="12">
        <v>-3.7261494131482999</v>
      </c>
      <c r="I11858" s="20">
        <v>-0.38454673129429601</v>
      </c>
      <c r="J11858" s="28">
        <v>0.70057326682554</v>
      </c>
      <c r="K11858" s="29">
        <v>0.98289565623980701</v>
      </c>
    </row>
    <row r="11859" spans="1:11" x14ac:dyDescent="0.35">
      <c r="A11859" s="9" t="str">
        <f>HYPERLINK("http://www.ensembl.org/id/WBGene00197263", "WBGene00197263")</f>
        <v>WBGene00197263</v>
      </c>
      <c r="B11859" s="9"/>
      <c r="C11859" s="9"/>
      <c r="D11859" t="str">
        <f>"K02A11.7"</f>
        <v>K02A11.7</v>
      </c>
      <c r="F11859" t="s">
        <v>481</v>
      </c>
      <c r="H11859" s="12">
        <v>-2.3838754719136599</v>
      </c>
      <c r="I11859" s="20">
        <v>-0.25807578497976902</v>
      </c>
      <c r="J11859" s="28">
        <v>0.79634841949468704</v>
      </c>
      <c r="K11859" s="29">
        <v>0.98289565623980701</v>
      </c>
    </row>
    <row r="11860" spans="1:11" x14ac:dyDescent="0.35">
      <c r="A11860" s="9" t="str">
        <f>HYPERLINK("http://www.ensembl.org/id/WBGene00198047", "WBGene00198047")</f>
        <v>WBGene00198047</v>
      </c>
      <c r="B11860" s="9"/>
      <c r="C11860" s="9"/>
      <c r="D11860" t="str">
        <f>"K02A11.8"</f>
        <v>K02A11.8</v>
      </c>
      <c r="F11860" t="s">
        <v>481</v>
      </c>
      <c r="H11860" s="12">
        <v>-2.4295389261469</v>
      </c>
      <c r="I11860" s="20">
        <v>-0.25808529976640998</v>
      </c>
      <c r="J11860" s="28">
        <v>0.79634107645457397</v>
      </c>
      <c r="K11860" s="29">
        <v>0.98289565623980701</v>
      </c>
    </row>
    <row r="11861" spans="1:11" x14ac:dyDescent="0.35">
      <c r="A11861" s="9" t="str">
        <f>HYPERLINK("http://www.ensembl.org/id/WBGene00198315", "WBGene00198315")</f>
        <v>WBGene00198315</v>
      </c>
      <c r="B11861" s="9"/>
      <c r="C11861" s="9"/>
      <c r="D11861" t="str">
        <f>"K02A11.9"</f>
        <v>K02A11.9</v>
      </c>
      <c r="F11861" t="s">
        <v>481</v>
      </c>
      <c r="H11861" s="12">
        <v>4.6195966349725497</v>
      </c>
      <c r="I11861" s="20">
        <v>1.12601148326347</v>
      </c>
      <c r="J11861" s="28">
        <v>0.26016065875891198</v>
      </c>
      <c r="K11861" s="29">
        <v>0.98289565623980701</v>
      </c>
    </row>
    <row r="11862" spans="1:11" x14ac:dyDescent="0.35">
      <c r="A11862" s="9" t="str">
        <f>HYPERLINK("http://www.ensembl.org/id/WBGene00019290", "WBGene00019290")</f>
        <v>WBGene00019290</v>
      </c>
      <c r="B11862" s="9" t="str">
        <f>HYPERLINK("http://www.ncbi.nlm.nih.gov/gene/186857", "186857")</f>
        <v>186857</v>
      </c>
      <c r="C11862" s="9"/>
      <c r="D11862" t="str">
        <f>"K02A2.5"</f>
        <v>K02A2.5</v>
      </c>
      <c r="F11862" t="s">
        <v>11</v>
      </c>
      <c r="H11862" s="12">
        <v>1.76614872662922</v>
      </c>
      <c r="I11862" s="20">
        <v>0.94151743477119298</v>
      </c>
      <c r="J11862" s="28">
        <v>0.34643975891159601</v>
      </c>
      <c r="K11862" s="29">
        <v>0.98289565623980701</v>
      </c>
    </row>
    <row r="11863" spans="1:11" x14ac:dyDescent="0.35">
      <c r="A11863" s="9" t="str">
        <f>HYPERLINK("http://www.ensembl.org/id/WBGene00201212", "WBGene00201212")</f>
        <v>WBGene00201212</v>
      </c>
      <c r="B11863" s="9"/>
      <c r="C11863" s="9"/>
      <c r="D11863" t="str">
        <f>"K02A4.11"</f>
        <v>K02A4.11</v>
      </c>
      <c r="F11863" t="s">
        <v>481</v>
      </c>
      <c r="H11863" s="12">
        <v>-1.8793810596323199</v>
      </c>
      <c r="I11863" s="20">
        <v>-0.36830505780929201</v>
      </c>
      <c r="J11863" s="28">
        <v>0.71264578160483705</v>
      </c>
      <c r="K11863" s="29">
        <v>0.98289565623980701</v>
      </c>
    </row>
    <row r="11864" spans="1:11" x14ac:dyDescent="0.35">
      <c r="A11864" s="9" t="str">
        <f>HYPERLINK("http://www.ensembl.org/id/WBGene00196862", "WBGene00196862")</f>
        <v>WBGene00196862</v>
      </c>
      <c r="B11864" s="9"/>
      <c r="C11864" s="9"/>
      <c r="D11864" t="str">
        <f>"K02A4.3"</f>
        <v>K02A4.3</v>
      </c>
      <c r="F11864" t="s">
        <v>481</v>
      </c>
      <c r="H11864" s="12">
        <v>-5.5794491025289696</v>
      </c>
      <c r="I11864" s="20">
        <v>-0.504738274115201</v>
      </c>
      <c r="J11864" s="28">
        <v>0.61374267489732603</v>
      </c>
      <c r="K11864" s="29">
        <v>0.98289565623980701</v>
      </c>
    </row>
    <row r="11865" spans="1:11" x14ac:dyDescent="0.35">
      <c r="A11865" s="9" t="str">
        <f>HYPERLINK("http://www.ensembl.org/id/WBGene00198241", "WBGene00198241")</f>
        <v>WBGene00198241</v>
      </c>
      <c r="B11865" s="9"/>
      <c r="C11865" s="9"/>
      <c r="D11865" t="str">
        <f>"K02A4.7"</f>
        <v>K02A4.7</v>
      </c>
      <c r="F11865" t="s">
        <v>481</v>
      </c>
      <c r="H11865" s="12">
        <v>-3.5819448292659501</v>
      </c>
      <c r="I11865" s="20">
        <v>-0.37337717500031398</v>
      </c>
      <c r="J11865" s="28">
        <v>0.70886774492290605</v>
      </c>
      <c r="K11865" s="29">
        <v>0.98289565623980701</v>
      </c>
    </row>
    <row r="11866" spans="1:11" x14ac:dyDescent="0.35">
      <c r="A11866" s="9" t="str">
        <f>HYPERLINK("http://www.ensembl.org/id/WBGene00014416", "WBGene00014416")</f>
        <v>WBGene00014416</v>
      </c>
      <c r="B11866" s="9"/>
      <c r="C11866" s="9"/>
      <c r="D11866" t="str">
        <f>"K02A4.t1"</f>
        <v>K02A4.t1</v>
      </c>
      <c r="F11866" t="s">
        <v>4208</v>
      </c>
      <c r="H11866" s="12">
        <v>5.4871973923358901</v>
      </c>
      <c r="I11866" s="20">
        <v>0.499843548621418</v>
      </c>
      <c r="J11866" s="28">
        <v>0.61718524397184105</v>
      </c>
      <c r="K11866" s="29">
        <v>0.98289565623980701</v>
      </c>
    </row>
    <row r="11867" spans="1:11" x14ac:dyDescent="0.35">
      <c r="A11867" s="9" t="str">
        <f>HYPERLINK("http://www.ensembl.org/id/WBGene00019292", "WBGene00019292")</f>
        <v>WBGene00019292</v>
      </c>
      <c r="B11867" s="9" t="str">
        <f>HYPERLINK("http://www.ncbi.nlm.nih.gov/gene/186861", "186861")</f>
        <v>186861</v>
      </c>
      <c r="C11867" s="9"/>
      <c r="D11867" t="str">
        <f>"K02A6.1"</f>
        <v>K02A6.1</v>
      </c>
      <c r="F11867" t="s">
        <v>11</v>
      </c>
      <c r="H11867" s="12">
        <v>7.8691597089380902</v>
      </c>
      <c r="I11867" s="20">
        <v>0.61251365190975104</v>
      </c>
      <c r="J11867" s="28">
        <v>0.54019796842331003</v>
      </c>
      <c r="K11867" s="29">
        <v>0.98289565623980701</v>
      </c>
    </row>
    <row r="11868" spans="1:11" x14ac:dyDescent="0.35">
      <c r="A11868" s="9" t="str">
        <f>HYPERLINK("http://www.ensembl.org/id/WBGene00019294", "WBGene00019294")</f>
        <v>WBGene00019294</v>
      </c>
      <c r="B11868" s="9" t="str">
        <f>HYPERLINK("http://www.ncbi.nlm.nih.gov/gene/181077", "181077")</f>
        <v>181077</v>
      </c>
      <c r="C11868" s="9"/>
      <c r="D11868" t="str">
        <f>"K02A6.3"</f>
        <v>K02A6.3</v>
      </c>
      <c r="F11868" t="s">
        <v>11</v>
      </c>
      <c r="G11868" t="s">
        <v>54</v>
      </c>
      <c r="H11868" s="12">
        <v>1.2356333300578899</v>
      </c>
      <c r="I11868" s="20">
        <v>1.02365578201753</v>
      </c>
      <c r="J11868" s="28">
        <v>0.30599788772199299</v>
      </c>
      <c r="K11868" s="29">
        <v>0.98289565623980701</v>
      </c>
    </row>
    <row r="11869" spans="1:11" x14ac:dyDescent="0.35">
      <c r="A11869" s="9" t="str">
        <f>HYPERLINK("http://www.ensembl.org/id/WBGene00195883", "WBGene00195883")</f>
        <v>WBGene00195883</v>
      </c>
      <c r="B11869" s="9"/>
      <c r="C11869" s="9"/>
      <c r="D11869" t="str">
        <f>"K02B12.10"</f>
        <v>K02B12.10</v>
      </c>
      <c r="F11869" t="s">
        <v>481</v>
      </c>
      <c r="H11869" s="12">
        <v>3.5227018545059199</v>
      </c>
      <c r="I11869" s="20">
        <v>0.36849691206929103</v>
      </c>
      <c r="J11869" s="28">
        <v>0.71250274722433404</v>
      </c>
      <c r="K11869" s="29">
        <v>0.98289565623980701</v>
      </c>
    </row>
    <row r="11870" spans="1:11" x14ac:dyDescent="0.35">
      <c r="A11870" s="9" t="str">
        <f>HYPERLINK("http://www.ensembl.org/id/WBGene00197950", "WBGene00197950")</f>
        <v>WBGene00197950</v>
      </c>
      <c r="B11870" s="9"/>
      <c r="C11870" s="9"/>
      <c r="D11870" t="str">
        <f>"K02B12.11"</f>
        <v>K02B12.11</v>
      </c>
      <c r="F11870" t="s">
        <v>481</v>
      </c>
      <c r="H11870" s="12">
        <v>2.4578120077400301</v>
      </c>
      <c r="I11870" s="20">
        <v>0.26093350314551</v>
      </c>
      <c r="J11870" s="28">
        <v>0.79414378780213601</v>
      </c>
      <c r="K11870" s="29">
        <v>0.98289565623980701</v>
      </c>
    </row>
    <row r="11871" spans="1:11" x14ac:dyDescent="0.35">
      <c r="A11871" s="9" t="str">
        <f>HYPERLINK("http://www.ensembl.org/id/WBGene00010498", "WBGene00010498")</f>
        <v>WBGene00010498</v>
      </c>
      <c r="B11871" s="9" t="str">
        <f>HYPERLINK("http://www.ncbi.nlm.nih.gov/gene/172642", "172642")</f>
        <v>172642</v>
      </c>
      <c r="C11871" s="9"/>
      <c r="D11871" t="str">
        <f>"K02B12.5"</f>
        <v>K02B12.5</v>
      </c>
      <c r="F11871" t="s">
        <v>11</v>
      </c>
      <c r="G11871" t="s">
        <v>54</v>
      </c>
      <c r="H11871" s="12">
        <v>-1.2391177341592099</v>
      </c>
      <c r="I11871" s="20">
        <v>-1.0091715292879699</v>
      </c>
      <c r="J11871" s="28">
        <v>0.31289237824378202</v>
      </c>
      <c r="K11871" s="29">
        <v>0.98289565623980701</v>
      </c>
    </row>
    <row r="11872" spans="1:11" x14ac:dyDescent="0.35">
      <c r="A11872" s="9" t="str">
        <f>HYPERLINK("http://www.ensembl.org/id/WBGene00010499", "WBGene00010499")</f>
        <v>WBGene00010499</v>
      </c>
      <c r="B11872" s="9" t="str">
        <f>HYPERLINK("http://www.ncbi.nlm.nih.gov/gene/186870", "186870")</f>
        <v>186870</v>
      </c>
      <c r="C11872" s="9"/>
      <c r="D11872" t="str">
        <f>"K02B12.6"</f>
        <v>K02B12.6</v>
      </c>
      <c r="F11872" t="s">
        <v>11</v>
      </c>
      <c r="H11872" s="12">
        <v>2.20018869418378</v>
      </c>
      <c r="I11872" s="20">
        <v>0.444331165398064</v>
      </c>
      <c r="J11872" s="28">
        <v>0.65680317211846995</v>
      </c>
      <c r="K11872" s="29">
        <v>0.98289565623980701</v>
      </c>
    </row>
    <row r="11873" spans="1:11" x14ac:dyDescent="0.35">
      <c r="A11873" s="9" t="str">
        <f>HYPERLINK("http://www.ensembl.org/id/WBGene00010500", "WBGene00010500")</f>
        <v>WBGene00010500</v>
      </c>
      <c r="B11873" s="9" t="str">
        <f>HYPERLINK("http://www.ncbi.nlm.nih.gov/gene/172643", "172643")</f>
        <v>172643</v>
      </c>
      <c r="C11873" s="9"/>
      <c r="D11873" t="str">
        <f>"K02B12.7"</f>
        <v>K02B12.7</v>
      </c>
      <c r="F11873" t="s">
        <v>11</v>
      </c>
      <c r="G11873" t="s">
        <v>7435</v>
      </c>
      <c r="H11873" s="12">
        <v>-1.12547800575663</v>
      </c>
      <c r="I11873" s="20">
        <v>-0.61041474149507002</v>
      </c>
      <c r="J11873" s="28">
        <v>0.54158710538082</v>
      </c>
      <c r="K11873" s="29">
        <v>0.98289565623980701</v>
      </c>
    </row>
    <row r="11874" spans="1:11" x14ac:dyDescent="0.35">
      <c r="A11874" s="9" t="str">
        <f>HYPERLINK("http://www.ensembl.org/id/WBGene00014418", "WBGene00014418")</f>
        <v>WBGene00014418</v>
      </c>
      <c r="B11874" s="9"/>
      <c r="C11874" s="9"/>
      <c r="D11874" t="str">
        <f>"K02B12.t1"</f>
        <v>K02B12.t1</v>
      </c>
      <c r="F11874" t="s">
        <v>4208</v>
      </c>
      <c r="H11874" s="12">
        <v>2.3893468495514898</v>
      </c>
      <c r="I11874" s="20">
        <v>0.25323547253672701</v>
      </c>
      <c r="J11874" s="28">
        <v>0.80008625651646104</v>
      </c>
      <c r="K11874" s="29">
        <v>0.98289565623980701</v>
      </c>
    </row>
    <row r="11875" spans="1:11" x14ac:dyDescent="0.35">
      <c r="A11875" s="9" t="str">
        <f>HYPERLINK("http://www.ensembl.org/id/WBGene00200800", "WBGene00200800")</f>
        <v>WBGene00200800</v>
      </c>
      <c r="B11875" s="9"/>
      <c r="C11875" s="9"/>
      <c r="D11875" t="str">
        <f>"K02B2.37"</f>
        <v>K02B2.37</v>
      </c>
      <c r="F11875" t="s">
        <v>481</v>
      </c>
      <c r="H11875" s="12">
        <v>-2.4991590031922399</v>
      </c>
      <c r="I11875" s="20">
        <v>-0.26577412737581302</v>
      </c>
      <c r="J11875" s="28">
        <v>0.79041317015736101</v>
      </c>
      <c r="K11875" s="29">
        <v>0.98289565623980701</v>
      </c>
    </row>
    <row r="11876" spans="1:11" x14ac:dyDescent="0.35">
      <c r="A11876" s="9" t="str">
        <f>HYPERLINK("http://www.ensembl.org/id/WBGene00019297", "WBGene00019297")</f>
        <v>WBGene00019297</v>
      </c>
      <c r="B11876" s="9" t="str">
        <f>HYPERLINK("http://www.ncbi.nlm.nih.gov/gene/186865", "186865")</f>
        <v>186865</v>
      </c>
      <c r="C11876" s="9"/>
      <c r="D11876" t="str">
        <f>"K02B2.6"</f>
        <v>K02B2.6</v>
      </c>
      <c r="F11876" t="s">
        <v>11</v>
      </c>
      <c r="H11876" s="12">
        <v>-2.4295389261469</v>
      </c>
      <c r="I11876" s="20">
        <v>-0.25808529976640998</v>
      </c>
      <c r="J11876" s="28">
        <v>0.79634107645457397</v>
      </c>
      <c r="K11876" s="29">
        <v>0.98289565623980701</v>
      </c>
    </row>
    <row r="11877" spans="1:11" x14ac:dyDescent="0.35">
      <c r="A11877" s="9" t="str">
        <f>HYPERLINK("http://www.ensembl.org/id/WBGene00010494", "WBGene00010494")</f>
        <v>WBGene00010494</v>
      </c>
      <c r="B11877" s="9" t="str">
        <f>HYPERLINK("http://www.ncbi.nlm.nih.gov/gene/186867", "186867")</f>
        <v>186867</v>
      </c>
      <c r="C11877" s="9"/>
      <c r="D11877" t="str">
        <f>"K02B9.3"</f>
        <v>K02B9.3</v>
      </c>
      <c r="F11877" t="s">
        <v>11</v>
      </c>
      <c r="H11877" s="12">
        <v>2.4099598308896599</v>
      </c>
      <c r="I11877" s="20">
        <v>0.44242647277252001</v>
      </c>
      <c r="J11877" s="28">
        <v>0.65818062599971305</v>
      </c>
      <c r="K11877" s="29">
        <v>0.98289565623980701</v>
      </c>
    </row>
    <row r="11878" spans="1:11" x14ac:dyDescent="0.35">
      <c r="A11878" s="9" t="str">
        <f>HYPERLINK("http://www.ensembl.org/id/WBGene00195495", "WBGene00195495")</f>
        <v>WBGene00195495</v>
      </c>
      <c r="B11878" s="9"/>
      <c r="C11878" s="9"/>
      <c r="D11878" t="str">
        <f>"K02B9.6"</f>
        <v>K02B9.6</v>
      </c>
      <c r="F11878" t="s">
        <v>481</v>
      </c>
      <c r="H11878" s="12">
        <v>2.4578120077400301</v>
      </c>
      <c r="I11878" s="20">
        <v>0.26093350314551</v>
      </c>
      <c r="J11878" s="28">
        <v>0.79414378780213601</v>
      </c>
      <c r="K11878" s="29">
        <v>0.98289565623980701</v>
      </c>
    </row>
    <row r="11879" spans="1:11" x14ac:dyDescent="0.35">
      <c r="A11879" s="9" t="str">
        <f>HYPERLINK("http://www.ensembl.org/id/WBGene00010503", "WBGene00010503")</f>
        <v>WBGene00010503</v>
      </c>
      <c r="B11879" s="9" t="str">
        <f>HYPERLINK("http://www.ncbi.nlm.nih.gov/gene/174299", "174299")</f>
        <v>174299</v>
      </c>
      <c r="C11879" s="9"/>
      <c r="D11879" t="str">
        <f>"K02C4.5"</f>
        <v>K02C4.5</v>
      </c>
      <c r="F11879" t="s">
        <v>11</v>
      </c>
      <c r="H11879" s="12">
        <v>-1.10414023099987</v>
      </c>
      <c r="I11879" s="20">
        <v>-0.439244901027949</v>
      </c>
      <c r="J11879" s="28">
        <v>0.66048409348540005</v>
      </c>
      <c r="K11879" s="29">
        <v>0.98289565623980701</v>
      </c>
    </row>
    <row r="11880" spans="1:11" x14ac:dyDescent="0.35">
      <c r="A11880" s="9" t="str">
        <f>HYPERLINK("http://www.ensembl.org/id/WBGene00199712", "WBGene00199712")</f>
        <v>WBGene00199712</v>
      </c>
      <c r="B11880" s="9"/>
      <c r="C11880" s="9"/>
      <c r="D11880" t="str">
        <f>"K02C4.9"</f>
        <v>K02C4.9</v>
      </c>
      <c r="F11880" t="s">
        <v>481</v>
      </c>
      <c r="H11880" s="12">
        <v>2.4578120077400301</v>
      </c>
      <c r="I11880" s="20">
        <v>0.26093350314551</v>
      </c>
      <c r="J11880" s="28">
        <v>0.79414378780213601</v>
      </c>
      <c r="K11880" s="29">
        <v>0.98289565623980701</v>
      </c>
    </row>
    <row r="11881" spans="1:11" x14ac:dyDescent="0.35">
      <c r="A11881" s="9" t="str">
        <f>HYPERLINK("http://www.ensembl.org/id/WBGene00019301", "WBGene00019301")</f>
        <v>WBGene00019301</v>
      </c>
      <c r="B11881" s="9" t="str">
        <f>HYPERLINK("http://www.ncbi.nlm.nih.gov/gene/176232", "176232")</f>
        <v>176232</v>
      </c>
      <c r="C11881" s="9" t="str">
        <f>HYPERLINK("http://www.ncbi.nlm.nih.gov/gene/283871", "283871")</f>
        <v>283871</v>
      </c>
      <c r="D11881" t="str">
        <f>"K02D10.1"</f>
        <v>K02D10.1</v>
      </c>
      <c r="E11881" t="s">
        <v>6513</v>
      </c>
      <c r="F11881" t="s">
        <v>11</v>
      </c>
      <c r="G11881" t="s">
        <v>6514</v>
      </c>
      <c r="H11881" s="12">
        <v>-1.07296719502128</v>
      </c>
      <c r="I11881" s="20">
        <v>-0.37155124507702703</v>
      </c>
      <c r="J11881" s="28">
        <v>0.71022699500589104</v>
      </c>
      <c r="K11881" s="29">
        <v>0.98289565623980701</v>
      </c>
    </row>
    <row r="11882" spans="1:11" x14ac:dyDescent="0.35">
      <c r="A11882" s="9" t="str">
        <f>HYPERLINK("http://www.ensembl.org/id/WBGene00019304", "WBGene00019304")</f>
        <v>WBGene00019304</v>
      </c>
      <c r="B11882" s="9" t="str">
        <f>HYPERLINK("http://www.ncbi.nlm.nih.gov/gene/176234", "176234")</f>
        <v>176234</v>
      </c>
      <c r="C11882" s="9"/>
      <c r="D11882" t="str">
        <f>"K02D10.4"</f>
        <v>K02D10.4</v>
      </c>
      <c r="F11882" t="s">
        <v>11</v>
      </c>
      <c r="H11882" s="12">
        <v>-1.0953795707010401</v>
      </c>
      <c r="I11882" s="20">
        <v>-0.47239990507645402</v>
      </c>
      <c r="J11882" s="28">
        <v>0.636641372107149</v>
      </c>
      <c r="K11882" s="29">
        <v>0.98289565623980701</v>
      </c>
    </row>
    <row r="11883" spans="1:11" x14ac:dyDescent="0.35">
      <c r="A11883" s="9" t="str">
        <f>HYPERLINK("http://www.ensembl.org/id/WBGene00196376", "WBGene00196376")</f>
        <v>WBGene00196376</v>
      </c>
      <c r="B11883" s="9"/>
      <c r="C11883" s="9"/>
      <c r="D11883" t="str">
        <f>"K02D10.7"</f>
        <v>K02D10.7</v>
      </c>
      <c r="F11883" t="s">
        <v>481</v>
      </c>
      <c r="H11883" s="12">
        <v>-2.4991590031922399</v>
      </c>
      <c r="I11883" s="20">
        <v>-0.26577412737581302</v>
      </c>
      <c r="J11883" s="28">
        <v>0.79041317015736101</v>
      </c>
      <c r="K11883" s="29">
        <v>0.98289565623980701</v>
      </c>
    </row>
    <row r="11884" spans="1:11" x14ac:dyDescent="0.35">
      <c r="A11884" s="9" t="str">
        <f>HYPERLINK("http://www.ensembl.org/id/WBGene00219329", "WBGene00219329")</f>
        <v>WBGene00219329</v>
      </c>
      <c r="B11884" s="9" t="str">
        <f>HYPERLINK("http://www.ncbi.nlm.nih.gov/gene/13190593", "13190593")</f>
        <v>13190593</v>
      </c>
      <c r="C11884" s="9"/>
      <c r="D11884" t="str">
        <f>"K02D10.8"</f>
        <v>K02D10.8</v>
      </c>
      <c r="F11884" t="s">
        <v>11</v>
      </c>
      <c r="H11884" s="12">
        <v>1.24998646315027</v>
      </c>
      <c r="I11884" s="20">
        <v>0.62945583832256902</v>
      </c>
      <c r="J11884" s="28">
        <v>0.52905067170661302</v>
      </c>
      <c r="K11884" s="29">
        <v>0.98289565623980701</v>
      </c>
    </row>
    <row r="11885" spans="1:11" x14ac:dyDescent="0.35">
      <c r="A11885" s="9" t="str">
        <f>HYPERLINK("http://www.ensembl.org/id/WBGene00010504", "WBGene00010504")</f>
        <v>WBGene00010504</v>
      </c>
      <c r="B11885" s="9" t="str">
        <f>HYPERLINK("http://www.ncbi.nlm.nih.gov/gene/186872", "186872")</f>
        <v>186872</v>
      </c>
      <c r="C11885" s="9"/>
      <c r="D11885" t="str">
        <f>"K02D3.1"</f>
        <v>K02D3.1</v>
      </c>
      <c r="F11885" t="s">
        <v>11</v>
      </c>
      <c r="H11885" s="12">
        <v>1.23528442179423</v>
      </c>
      <c r="I11885" s="20">
        <v>0.43864260972923202</v>
      </c>
      <c r="J11885" s="28">
        <v>0.66092051739387403</v>
      </c>
      <c r="K11885" s="29">
        <v>0.98289565623980701</v>
      </c>
    </row>
    <row r="11886" spans="1:11" x14ac:dyDescent="0.35">
      <c r="A11886" s="9" t="str">
        <f>HYPERLINK("http://www.ensembl.org/id/WBGene00019298", "WBGene00019298")</f>
        <v>WBGene00019298</v>
      </c>
      <c r="B11886" s="9" t="str">
        <f>HYPERLINK("http://www.ncbi.nlm.nih.gov/gene/176851", "176851")</f>
        <v>176851</v>
      </c>
      <c r="C11886" s="9" t="str">
        <f>HYPERLINK("http://www.ncbi.nlm.nih.gov/gene/4860", "4860")</f>
        <v>4860</v>
      </c>
      <c r="D11886" t="str">
        <f>"K02D7.1"</f>
        <v>K02D7.1</v>
      </c>
      <c r="E11886" t="s">
        <v>8040</v>
      </c>
      <c r="F11886" t="s">
        <v>11</v>
      </c>
      <c r="G11886" t="s">
        <v>8041</v>
      </c>
      <c r="H11886" s="12">
        <v>-1.15773373188316</v>
      </c>
      <c r="I11886" s="20">
        <v>-0.79380886964374997</v>
      </c>
      <c r="J11886" s="28">
        <v>0.42730670830663697</v>
      </c>
      <c r="K11886" s="29">
        <v>0.98289565623980701</v>
      </c>
    </row>
    <row r="11887" spans="1:11" x14ac:dyDescent="0.35">
      <c r="A11887" s="9" t="str">
        <f>HYPERLINK("http://www.ensembl.org/id/WBGene00201099", "WBGene00201099")</f>
        <v>WBGene00201099</v>
      </c>
      <c r="B11887" s="9"/>
      <c r="C11887" s="9"/>
      <c r="D11887" t="str">
        <f>"K02E10.11"</f>
        <v>K02E10.11</v>
      </c>
      <c r="F11887" t="s">
        <v>481</v>
      </c>
      <c r="H11887" s="12">
        <v>-2.4991590031922399</v>
      </c>
      <c r="I11887" s="20">
        <v>-0.26577412737581302</v>
      </c>
      <c r="J11887" s="28">
        <v>0.79041317015736101</v>
      </c>
      <c r="K11887" s="29">
        <v>0.98289565623980701</v>
      </c>
    </row>
    <row r="11888" spans="1:11" x14ac:dyDescent="0.35">
      <c r="A11888" s="9" t="str">
        <f>HYPERLINK("http://www.ensembl.org/id/WBGene00019319", "WBGene00019319")</f>
        <v>WBGene00019319</v>
      </c>
      <c r="B11888" s="9" t="str">
        <f>HYPERLINK("http://www.ncbi.nlm.nih.gov/gene/186890", "186890")</f>
        <v>186890</v>
      </c>
      <c r="C11888" s="9"/>
      <c r="D11888" t="str">
        <f>"K02E10.5"</f>
        <v>K02E10.5</v>
      </c>
      <c r="F11888" t="s">
        <v>11</v>
      </c>
      <c r="G11888" t="s">
        <v>25</v>
      </c>
      <c r="H11888" s="12">
        <v>1.2710768131652701</v>
      </c>
      <c r="I11888" s="20">
        <v>0.441977215414386</v>
      </c>
      <c r="J11888" s="28">
        <v>0.65850569364804001</v>
      </c>
      <c r="K11888" s="29">
        <v>0.98289565623980701</v>
      </c>
    </row>
    <row r="11889" spans="1:11" x14ac:dyDescent="0.35">
      <c r="A11889" s="9" t="str">
        <f>HYPERLINK("http://www.ensembl.org/id/WBGene00044109", "WBGene00044109")</f>
        <v>WBGene00044109</v>
      </c>
      <c r="B11889" s="9" t="str">
        <f>HYPERLINK("http://www.ncbi.nlm.nih.gov/gene/259661", "259661")</f>
        <v>259661</v>
      </c>
      <c r="C11889" s="9"/>
      <c r="D11889" t="str">
        <f>"K02E11.10"</f>
        <v>K02E11.10</v>
      </c>
      <c r="F11889" t="s">
        <v>11</v>
      </c>
      <c r="H11889" s="12">
        <v>10.8131830636529</v>
      </c>
      <c r="I11889" s="20">
        <v>0.70982715185838596</v>
      </c>
      <c r="J11889" s="28">
        <v>0.477811329444844</v>
      </c>
      <c r="K11889" s="29">
        <v>0.98289565623980701</v>
      </c>
    </row>
    <row r="11890" spans="1:11" x14ac:dyDescent="0.35">
      <c r="A11890" s="9" t="str">
        <f>HYPERLINK("http://www.ensembl.org/id/WBGene00196127", "WBGene00196127")</f>
        <v>WBGene00196127</v>
      </c>
      <c r="B11890" s="9"/>
      <c r="C11890" s="9"/>
      <c r="D11890" t="str">
        <f>"K02E11.14"</f>
        <v>K02E11.14</v>
      </c>
      <c r="F11890" t="s">
        <v>481</v>
      </c>
      <c r="H11890" s="12">
        <v>-2.3838754719136599</v>
      </c>
      <c r="I11890" s="20">
        <v>-0.25807578497976902</v>
      </c>
      <c r="J11890" s="28">
        <v>0.79634841949468704</v>
      </c>
      <c r="K11890" s="29">
        <v>0.98289565623980701</v>
      </c>
    </row>
    <row r="11891" spans="1:11" x14ac:dyDescent="0.35">
      <c r="A11891" s="9" t="str">
        <f>HYPERLINK("http://www.ensembl.org/id/WBGene00010506", "WBGene00010506")</f>
        <v>WBGene00010506</v>
      </c>
      <c r="B11891" s="9" t="str">
        <f>HYPERLINK("http://www.ncbi.nlm.nih.gov/gene/186879", "186879")</f>
        <v>186879</v>
      </c>
      <c r="C11891" s="9"/>
      <c r="D11891" t="str">
        <f>"K02E2.1"</f>
        <v>K02E2.1</v>
      </c>
      <c r="F11891" t="s">
        <v>11</v>
      </c>
      <c r="G11891" t="s">
        <v>25</v>
      </c>
      <c r="H11891" s="12">
        <v>1.8090972232231199</v>
      </c>
      <c r="I11891" s="20">
        <v>0.78047256169997004</v>
      </c>
      <c r="J11891" s="28">
        <v>0.43511277186877201</v>
      </c>
      <c r="K11891" s="29">
        <v>0.98289565623980701</v>
      </c>
    </row>
    <row r="11892" spans="1:11" x14ac:dyDescent="0.35">
      <c r="A11892" s="9" t="str">
        <f>HYPERLINK("http://www.ensembl.org/id/WBGene00189984", "WBGene00189984")</f>
        <v>WBGene00189984</v>
      </c>
      <c r="B11892" s="9"/>
      <c r="C11892" s="9"/>
      <c r="D11892" t="str">
        <f>"K02E2.13"</f>
        <v>K02E2.13</v>
      </c>
      <c r="F11892" t="s">
        <v>481</v>
      </c>
      <c r="H11892" s="12">
        <v>2.3893468495514898</v>
      </c>
      <c r="I11892" s="20">
        <v>0.25323547253672701</v>
      </c>
      <c r="J11892" s="28">
        <v>0.80008625651646104</v>
      </c>
      <c r="K11892" s="29">
        <v>0.98289565623980701</v>
      </c>
    </row>
    <row r="11893" spans="1:11" x14ac:dyDescent="0.35">
      <c r="A11893" s="9" t="str">
        <f>HYPERLINK("http://www.ensembl.org/id/WBGene00014794", "WBGene00014794")</f>
        <v>WBGene00014794</v>
      </c>
      <c r="B11893" s="9"/>
      <c r="C11893" s="9"/>
      <c r="D11893" t="str">
        <f>"K02E2.5"</f>
        <v>K02E2.5</v>
      </c>
      <c r="F11893" t="s">
        <v>80</v>
      </c>
      <c r="H11893" s="12">
        <v>-1.95095021000869</v>
      </c>
      <c r="I11893" s="20">
        <v>-0.27109980765326402</v>
      </c>
      <c r="J11893" s="28">
        <v>0.78631426950972505</v>
      </c>
      <c r="K11893" s="29">
        <v>0.98289565623980701</v>
      </c>
    </row>
    <row r="11894" spans="1:11" x14ac:dyDescent="0.35">
      <c r="A11894" s="9" t="str">
        <f>HYPERLINK("http://www.ensembl.org/id/WBGene00010508", "WBGene00010508")</f>
        <v>WBGene00010508</v>
      </c>
      <c r="B11894" s="9" t="str">
        <f>HYPERLINK("http://www.ncbi.nlm.nih.gov/gene/186882", "186882")</f>
        <v>186882</v>
      </c>
      <c r="C11894" s="9"/>
      <c r="D11894" t="str">
        <f>"K02E2.7"</f>
        <v>K02E2.7</v>
      </c>
      <c r="F11894" t="s">
        <v>11</v>
      </c>
      <c r="H11894" s="12">
        <v>-1.21351926035833</v>
      </c>
      <c r="I11894" s="20">
        <v>-0.35665098265655698</v>
      </c>
      <c r="J11894" s="28">
        <v>0.72135310543978604</v>
      </c>
      <c r="K11894" s="29">
        <v>0.98289565623980701</v>
      </c>
    </row>
    <row r="11895" spans="1:11" x14ac:dyDescent="0.35">
      <c r="A11895" s="9" t="str">
        <f>HYPERLINK("http://www.ensembl.org/id/WBGene00019306", "WBGene00019306")</f>
        <v>WBGene00019306</v>
      </c>
      <c r="B11895" s="9" t="str">
        <f>HYPERLINK("http://www.ncbi.nlm.nih.gov/gene/186885", "186885")</f>
        <v>186885</v>
      </c>
      <c r="C11895" s="9"/>
      <c r="D11895" t="str">
        <f>"K02E7.1"</f>
        <v>K02E7.1</v>
      </c>
      <c r="F11895" t="s">
        <v>11</v>
      </c>
      <c r="H11895" s="12">
        <v>-1.99508599971012</v>
      </c>
      <c r="I11895" s="20">
        <v>-0.73011607756807695</v>
      </c>
      <c r="J11895" s="28">
        <v>0.46531923463503899</v>
      </c>
      <c r="K11895" s="29">
        <v>0.98289565623980701</v>
      </c>
    </row>
    <row r="11896" spans="1:11" x14ac:dyDescent="0.35">
      <c r="A11896" s="9" t="str">
        <f>HYPERLINK("http://www.ensembl.org/id/WBGene00019314", "WBGene00019314")</f>
        <v>WBGene00019314</v>
      </c>
      <c r="B11896" s="9" t="str">
        <f>HYPERLINK("http://www.ncbi.nlm.nih.gov/gene/186889", "186889")</f>
        <v>186889</v>
      </c>
      <c r="C11896" s="9"/>
      <c r="D11896" t="str">
        <f>"K02E7.10"</f>
        <v>K02E7.10</v>
      </c>
      <c r="F11896" t="s">
        <v>11</v>
      </c>
      <c r="G11896" t="s">
        <v>632</v>
      </c>
      <c r="H11896" s="12">
        <v>4.4442934839813502</v>
      </c>
      <c r="I11896" s="20">
        <v>0.88957022889815596</v>
      </c>
      <c r="J11896" s="28">
        <v>0.37369669786433302</v>
      </c>
      <c r="K11896" s="29">
        <v>0.98289565623980701</v>
      </c>
    </row>
    <row r="11897" spans="1:11" x14ac:dyDescent="0.35">
      <c r="A11897" s="9" t="str">
        <f>HYPERLINK("http://www.ensembl.org/id/WBGene00019316", "WBGene00019316")</f>
        <v>WBGene00019316</v>
      </c>
      <c r="B11897" s="9" t="str">
        <f>HYPERLINK("http://www.ncbi.nlm.nih.gov/gene/173491", "173491")</f>
        <v>173491</v>
      </c>
      <c r="C11897" s="9"/>
      <c r="D11897" t="str">
        <f>"K02E7.12"</f>
        <v>K02E7.12</v>
      </c>
      <c r="F11897" t="s">
        <v>11</v>
      </c>
      <c r="H11897" s="12">
        <v>2.1908912244296501</v>
      </c>
      <c r="I11897" s="20">
        <v>0.73181147626392395</v>
      </c>
      <c r="J11897" s="28">
        <v>0.46428364340335898</v>
      </c>
      <c r="K11897" s="29">
        <v>0.98289565623980701</v>
      </c>
    </row>
    <row r="11898" spans="1:11" x14ac:dyDescent="0.35">
      <c r="A11898" s="9" t="str">
        <f>HYPERLINK("http://www.ensembl.org/id/WBGene00019312", "WBGene00019312")</f>
        <v>WBGene00019312</v>
      </c>
      <c r="B11898" s="9" t="str">
        <f>HYPERLINK("http://www.ncbi.nlm.nih.gov/gene/186888", "186888")</f>
        <v>186888</v>
      </c>
      <c r="C11898" s="9"/>
      <c r="D11898" t="str">
        <f>"K02E7.7"</f>
        <v>K02E7.7</v>
      </c>
      <c r="F11898" t="s">
        <v>11</v>
      </c>
      <c r="H11898" s="12">
        <v>8.6171990479822504</v>
      </c>
      <c r="I11898" s="20">
        <v>0.93736304265161197</v>
      </c>
      <c r="J11898" s="28">
        <v>0.348571844603079</v>
      </c>
      <c r="K11898" s="29">
        <v>0.98289565623980701</v>
      </c>
    </row>
    <row r="11899" spans="1:11" x14ac:dyDescent="0.35">
      <c r="A11899" s="9" t="str">
        <f>HYPERLINK("http://www.ensembl.org/id/WBGene00195749", "WBGene00195749")</f>
        <v>WBGene00195749</v>
      </c>
      <c r="B11899" s="9"/>
      <c r="C11899" s="9"/>
      <c r="D11899" t="str">
        <f>"K02F2.7"</f>
        <v>K02F2.7</v>
      </c>
      <c r="F11899" t="s">
        <v>481</v>
      </c>
      <c r="H11899" s="12">
        <v>2.2601570097622798</v>
      </c>
      <c r="I11899" s="20">
        <v>0.31681166613803102</v>
      </c>
      <c r="J11899" s="28">
        <v>0.75138651156509595</v>
      </c>
      <c r="K11899" s="29">
        <v>0.98289565623980701</v>
      </c>
    </row>
    <row r="11900" spans="1:11" x14ac:dyDescent="0.35">
      <c r="A11900" s="9" t="str">
        <f>HYPERLINK("http://www.ensembl.org/id/WBGene00201440", "WBGene00201440")</f>
        <v>WBGene00201440</v>
      </c>
      <c r="B11900" s="9"/>
      <c r="C11900" s="9"/>
      <c r="D11900" t="str">
        <f>"K02F2.9"</f>
        <v>K02F2.9</v>
      </c>
      <c r="F11900" t="s">
        <v>481</v>
      </c>
      <c r="H11900" s="12">
        <v>3.24921663643067</v>
      </c>
      <c r="I11900" s="20">
        <v>0.37093133971046299</v>
      </c>
      <c r="J11900" s="28">
        <v>0.710688671961756</v>
      </c>
      <c r="K11900" s="29">
        <v>0.98289565623980701</v>
      </c>
    </row>
    <row r="11901" spans="1:11" x14ac:dyDescent="0.35">
      <c r="A11901" s="9" t="str">
        <f>HYPERLINK("http://www.ensembl.org/id/WBGene00019334", "WBGene00019334")</f>
        <v>WBGene00019334</v>
      </c>
      <c r="B11901" s="9" t="str">
        <f>HYPERLINK("http://www.ncbi.nlm.nih.gov/gene/175246", "175246")</f>
        <v>175246</v>
      </c>
      <c r="C11901" s="9" t="str">
        <f>HYPERLINK("http://www.ncbi.nlm.nih.gov/gene/5965", "5965")</f>
        <v>5965</v>
      </c>
      <c r="D11901" t="str">
        <f>"K02F3.12"</f>
        <v>K02F3.12</v>
      </c>
      <c r="E11901" t="s">
        <v>7192</v>
      </c>
      <c r="F11901" t="s">
        <v>11</v>
      </c>
      <c r="G11901" t="s">
        <v>7193</v>
      </c>
      <c r="H11901" s="12">
        <v>-1.1122359777128299</v>
      </c>
      <c r="I11901" s="20">
        <v>-0.53282129607185402</v>
      </c>
      <c r="J11901" s="28">
        <v>0.59415729056107502</v>
      </c>
      <c r="K11901" s="29">
        <v>0.98289565623980701</v>
      </c>
    </row>
    <row r="11902" spans="1:11" x14ac:dyDescent="0.35">
      <c r="A11902" s="9" t="str">
        <f>HYPERLINK("http://www.ensembl.org/id/WBGene00200162", "WBGene00200162")</f>
        <v>WBGene00200162</v>
      </c>
      <c r="B11902" s="9"/>
      <c r="C11902" s="9"/>
      <c r="D11902" t="str">
        <f>"K02F3.13"</f>
        <v>K02F3.13</v>
      </c>
      <c r="F11902" t="s">
        <v>481</v>
      </c>
      <c r="H11902" s="12">
        <v>-3.7261494131482999</v>
      </c>
      <c r="I11902" s="20">
        <v>-0.38454673129429601</v>
      </c>
      <c r="J11902" s="28">
        <v>0.70057326682554</v>
      </c>
      <c r="K11902" s="29">
        <v>0.98289565623980701</v>
      </c>
    </row>
    <row r="11903" spans="1:11" x14ac:dyDescent="0.35">
      <c r="A11903" s="9" t="str">
        <f>HYPERLINK("http://www.ensembl.org/id/WBGene00220001", "WBGene00220001")</f>
        <v>WBGene00220001</v>
      </c>
      <c r="B11903" s="9"/>
      <c r="C11903" s="9"/>
      <c r="D11903" t="str">
        <f>"K02F3.15"</f>
        <v>K02F3.15</v>
      </c>
      <c r="F11903" t="s">
        <v>2977</v>
      </c>
      <c r="H11903" s="12">
        <v>-1.6860986688300099</v>
      </c>
      <c r="I11903" s="20">
        <v>-0.42371264184308699</v>
      </c>
      <c r="J11903" s="28">
        <v>0.67177539442031697</v>
      </c>
      <c r="K11903" s="29">
        <v>0.98289565623980701</v>
      </c>
    </row>
    <row r="11904" spans="1:11" x14ac:dyDescent="0.35">
      <c r="A11904" s="9" t="str">
        <f>HYPERLINK("http://www.ensembl.org/id/WBGene00019335", "WBGene00019335")</f>
        <v>WBGene00019335</v>
      </c>
      <c r="B11904" s="9" t="str">
        <f>HYPERLINK("http://www.ncbi.nlm.nih.gov/gene/186906", "186906")</f>
        <v>186906</v>
      </c>
      <c r="C11904" s="9"/>
      <c r="D11904" t="str">
        <f>"K02F6.1"</f>
        <v>K02F6.1</v>
      </c>
      <c r="F11904" t="s">
        <v>11</v>
      </c>
      <c r="G11904" t="s">
        <v>9964</v>
      </c>
      <c r="H11904" s="12">
        <v>-1.5015330906095801</v>
      </c>
      <c r="I11904" s="20">
        <v>-0.81673798030174705</v>
      </c>
      <c r="J11904" s="28">
        <v>0.41407818158409498</v>
      </c>
      <c r="K11904" s="29">
        <v>0.98289565623980701</v>
      </c>
    </row>
    <row r="11905" spans="1:11" x14ac:dyDescent="0.35">
      <c r="A11905" s="9" t="str">
        <f>HYPERLINK("http://www.ensembl.org/id/WBGene00019339", "WBGene00019339")</f>
        <v>WBGene00019339</v>
      </c>
      <c r="B11905" s="9" t="str">
        <f>HYPERLINK("http://www.ncbi.nlm.nih.gov/gene/186908", "186908")</f>
        <v>186908</v>
      </c>
      <c r="C11905" s="9"/>
      <c r="D11905" t="str">
        <f>"K02F6.5"</f>
        <v>K02F6.5</v>
      </c>
      <c r="F11905" t="s">
        <v>11</v>
      </c>
      <c r="G11905" t="s">
        <v>817</v>
      </c>
      <c r="H11905" s="12">
        <v>2.3893468495514898</v>
      </c>
      <c r="I11905" s="20">
        <v>0.25323547253672701</v>
      </c>
      <c r="J11905" s="28">
        <v>0.80008625651646104</v>
      </c>
      <c r="K11905" s="29">
        <v>0.98289565623980701</v>
      </c>
    </row>
    <row r="11906" spans="1:11" x14ac:dyDescent="0.35">
      <c r="A11906" s="9" t="str">
        <f>HYPERLINK("http://www.ensembl.org/id/WBGene00019340", "WBGene00019340")</f>
        <v>WBGene00019340</v>
      </c>
      <c r="B11906" s="9" t="str">
        <f>HYPERLINK("http://www.ncbi.nlm.nih.gov/gene/186909", "186909")</f>
        <v>186909</v>
      </c>
      <c r="C11906" s="9"/>
      <c r="D11906" t="str">
        <f>"K02F6.6"</f>
        <v>K02F6.6</v>
      </c>
      <c r="F11906" t="s">
        <v>11</v>
      </c>
      <c r="H11906" s="12">
        <v>-2.4295389261469</v>
      </c>
      <c r="I11906" s="20">
        <v>-0.25808529976640998</v>
      </c>
      <c r="J11906" s="28">
        <v>0.79634107645457397</v>
      </c>
      <c r="K11906" s="29">
        <v>0.98289565623980701</v>
      </c>
    </row>
    <row r="11907" spans="1:11" x14ac:dyDescent="0.35">
      <c r="A11907" s="9" t="str">
        <f>HYPERLINK("http://www.ensembl.org/id/WBGene00206361", "WBGene00206361")</f>
        <v>WBGene00206361</v>
      </c>
      <c r="B11907" s="9" t="str">
        <f>HYPERLINK("http://www.ncbi.nlm.nih.gov/gene/13220381", "13220381")</f>
        <v>13220381</v>
      </c>
      <c r="C11907" s="9"/>
      <c r="D11907" t="str">
        <f>"K02G10.15"</f>
        <v>K02G10.15</v>
      </c>
      <c r="F11907" t="s">
        <v>11</v>
      </c>
      <c r="H11907" s="12">
        <v>1.1784470305093999</v>
      </c>
      <c r="I11907" s="20">
        <v>0.405440467130805</v>
      </c>
      <c r="J11907" s="28">
        <v>0.68515377029077096</v>
      </c>
      <c r="K11907" s="29">
        <v>0.98289565623980701</v>
      </c>
    </row>
    <row r="11908" spans="1:11" x14ac:dyDescent="0.35">
      <c r="A11908" s="9" t="str">
        <f>HYPERLINK("http://www.ensembl.org/id/WBGene00019346", "WBGene00019346")</f>
        <v>WBGene00019346</v>
      </c>
      <c r="B11908" s="9" t="str">
        <f>HYPERLINK("http://www.ncbi.nlm.nih.gov/gene/180742", "180742")</f>
        <v>180742</v>
      </c>
      <c r="C11908" s="9"/>
      <c r="D11908" t="str">
        <f>"K02G10.5"</f>
        <v>K02G10.5</v>
      </c>
      <c r="E11908" t="s">
        <v>782</v>
      </c>
      <c r="F11908" t="s">
        <v>11</v>
      </c>
      <c r="G11908" t="s">
        <v>7141</v>
      </c>
      <c r="H11908" s="12">
        <v>-1.1098122210931001</v>
      </c>
      <c r="I11908" s="20">
        <v>-0.43315200553251898</v>
      </c>
      <c r="J11908" s="28">
        <v>0.66490434354507599</v>
      </c>
      <c r="K11908" s="29">
        <v>0.98289565623980701</v>
      </c>
    </row>
    <row r="11909" spans="1:11" x14ac:dyDescent="0.35">
      <c r="A11909" s="9" t="str">
        <f>HYPERLINK("http://www.ensembl.org/id/WBGene00019348", "WBGene00019348")</f>
        <v>WBGene00019348</v>
      </c>
      <c r="B11909" s="9" t="str">
        <f>HYPERLINK("http://www.ncbi.nlm.nih.gov/gene/186913", "186913")</f>
        <v>186913</v>
      </c>
      <c r="C11909" s="9"/>
      <c r="D11909" t="str">
        <f>"K02H11.4"</f>
        <v>K02H11.4</v>
      </c>
      <c r="F11909" t="s">
        <v>11</v>
      </c>
      <c r="G11909" t="s">
        <v>1686</v>
      </c>
      <c r="H11909" s="12">
        <v>1.6022222318750401</v>
      </c>
      <c r="I11909" s="20">
        <v>0.29146405410961501</v>
      </c>
      <c r="J11909" s="28">
        <v>0.77069643168200497</v>
      </c>
      <c r="K11909" s="29">
        <v>0.98289565623980701</v>
      </c>
    </row>
    <row r="11910" spans="1:11" x14ac:dyDescent="0.35">
      <c r="A11910" s="9" t="str">
        <f>HYPERLINK("http://www.ensembl.org/id/WBGene00019350", "WBGene00019350")</f>
        <v>WBGene00019350</v>
      </c>
      <c r="B11910" s="9" t="str">
        <f>HYPERLINK("http://www.ncbi.nlm.nih.gov/gene/259780", "259780")</f>
        <v>259780</v>
      </c>
      <c r="C11910" s="9"/>
      <c r="D11910" t="str">
        <f>"K02H11.9"</f>
        <v>K02H11.9</v>
      </c>
      <c r="F11910" t="s">
        <v>11</v>
      </c>
      <c r="H11910" s="12">
        <v>1.67015087128465</v>
      </c>
      <c r="I11910" s="20">
        <v>0.26070135037665598</v>
      </c>
      <c r="J11910" s="28">
        <v>0.79432282461114401</v>
      </c>
      <c r="K11910" s="29">
        <v>0.98289565623980701</v>
      </c>
    </row>
    <row r="11911" spans="1:11" x14ac:dyDescent="0.35">
      <c r="A11911" s="9" t="str">
        <f>HYPERLINK("http://www.ensembl.org/id/WBGene00196109", "WBGene00196109")</f>
        <v>WBGene00196109</v>
      </c>
      <c r="B11911" s="9"/>
      <c r="C11911" s="9"/>
      <c r="D11911" t="str">
        <f>"K02H8.2"</f>
        <v>K02H8.2</v>
      </c>
      <c r="F11911" t="s">
        <v>481</v>
      </c>
      <c r="H11911" s="12">
        <v>2.3893468495514898</v>
      </c>
      <c r="I11911" s="20">
        <v>0.25323547253672701</v>
      </c>
      <c r="J11911" s="28">
        <v>0.80008625651646104</v>
      </c>
      <c r="K11911" s="29">
        <v>0.98289565623980701</v>
      </c>
    </row>
    <row r="11912" spans="1:11" x14ac:dyDescent="0.35">
      <c r="A11912" s="9" t="str">
        <f>HYPERLINK("http://www.ensembl.org/id/WBGene00198099", "WBGene00198099")</f>
        <v>WBGene00198099</v>
      </c>
      <c r="B11912" s="9"/>
      <c r="C11912" s="9"/>
      <c r="D11912" t="str">
        <f>"K02H8.3"</f>
        <v>K02H8.3</v>
      </c>
      <c r="F11912" t="s">
        <v>481</v>
      </c>
      <c r="H11912" s="12">
        <v>2.4578120077400301</v>
      </c>
      <c r="I11912" s="20">
        <v>0.26093350314551</v>
      </c>
      <c r="J11912" s="28">
        <v>0.79414378780213601</v>
      </c>
      <c r="K11912" s="29">
        <v>0.98289565623980701</v>
      </c>
    </row>
    <row r="11913" spans="1:11" x14ac:dyDescent="0.35">
      <c r="A11913" s="9" t="str">
        <f>HYPERLINK("http://www.ensembl.org/id/WBGene00199833", "WBGene00199833")</f>
        <v>WBGene00199833</v>
      </c>
      <c r="B11913" s="9"/>
      <c r="C11913" s="9"/>
      <c r="D11913" t="str">
        <f>"K02H8.4"</f>
        <v>K02H8.4</v>
      </c>
      <c r="F11913" t="s">
        <v>481</v>
      </c>
      <c r="H11913" s="12">
        <v>5.9495765472548197</v>
      </c>
      <c r="I11913" s="20">
        <v>0.52429389276509997</v>
      </c>
      <c r="J11913" s="28">
        <v>0.60007414400596704</v>
      </c>
      <c r="K11913" s="29">
        <v>0.98289565623980701</v>
      </c>
    </row>
    <row r="11914" spans="1:11" x14ac:dyDescent="0.35">
      <c r="A11914" s="9" t="str">
        <f>HYPERLINK("http://www.ensembl.org/id/WBGene00201081", "WBGene00201081")</f>
        <v>WBGene00201081</v>
      </c>
      <c r="B11914" s="9"/>
      <c r="C11914" s="9"/>
      <c r="D11914" t="str">
        <f>"K02H8.5"</f>
        <v>K02H8.5</v>
      </c>
      <c r="F11914" t="s">
        <v>481</v>
      </c>
      <c r="H11914" s="12">
        <v>-3.5819448292659501</v>
      </c>
      <c r="I11914" s="20">
        <v>-0.37337717500031398</v>
      </c>
      <c r="J11914" s="28">
        <v>0.70886774492290605</v>
      </c>
      <c r="K11914" s="29">
        <v>0.98289565623980701</v>
      </c>
    </row>
    <row r="11915" spans="1:11" x14ac:dyDescent="0.35">
      <c r="A11915" s="9" t="str">
        <f>HYPERLINK("http://www.ensembl.org/id/WBGene00019352", "WBGene00019352")</f>
        <v>WBGene00019352</v>
      </c>
      <c r="B11915" s="9" t="str">
        <f>HYPERLINK("http://www.ncbi.nlm.nih.gov/gene/186916", "186916")</f>
        <v>186916</v>
      </c>
      <c r="C11915" s="9"/>
      <c r="D11915" t="str">
        <f>"K03A1.4"</f>
        <v>K03A1.4</v>
      </c>
      <c r="F11915" t="s">
        <v>11</v>
      </c>
      <c r="G11915" t="s">
        <v>325</v>
      </c>
      <c r="H11915" s="12">
        <v>1.3504231073409101</v>
      </c>
      <c r="I11915" s="20">
        <v>1.00589624652402</v>
      </c>
      <c r="J11915" s="28">
        <v>0.31446548201470897</v>
      </c>
      <c r="K11915" s="29">
        <v>0.98289565623980701</v>
      </c>
    </row>
    <row r="11916" spans="1:11" x14ac:dyDescent="0.35">
      <c r="A11916" s="9" t="str">
        <f>HYPERLINK("http://www.ensembl.org/id/WBGene00195687", "WBGene00195687")</f>
        <v>WBGene00195687</v>
      </c>
      <c r="B11916" s="9"/>
      <c r="C11916" s="9"/>
      <c r="D11916" t="str">
        <f>"K03A1.8"</f>
        <v>K03A1.8</v>
      </c>
      <c r="F11916" t="s">
        <v>481</v>
      </c>
      <c r="H11916" s="12">
        <v>5.2322000618327396</v>
      </c>
      <c r="I11916" s="20">
        <v>0.486112489888328</v>
      </c>
      <c r="J11916" s="28">
        <v>0.62688741196182496</v>
      </c>
      <c r="K11916" s="29">
        <v>0.98289565623980701</v>
      </c>
    </row>
    <row r="11917" spans="1:11" x14ac:dyDescent="0.35">
      <c r="A11917" s="9" t="str">
        <f>HYPERLINK("http://www.ensembl.org/id/WBGene00010519", "WBGene00010519")</f>
        <v>WBGene00010519</v>
      </c>
      <c r="B11917" s="9" t="str">
        <f>HYPERLINK("http://www.ncbi.nlm.nih.gov/gene/181434", "181434")</f>
        <v>181434</v>
      </c>
      <c r="C11917" s="9"/>
      <c r="D11917" t="str">
        <f>"K03A11.1"</f>
        <v>K03A11.1</v>
      </c>
      <c r="F11917" t="s">
        <v>11</v>
      </c>
      <c r="H11917" s="12">
        <v>-1.2616593572855299</v>
      </c>
      <c r="I11917" s="20">
        <v>-0.59733067788541605</v>
      </c>
      <c r="J11917" s="28">
        <v>0.55028662634035996</v>
      </c>
      <c r="K11917" s="29">
        <v>0.98289565623980701</v>
      </c>
    </row>
    <row r="11918" spans="1:11" x14ac:dyDescent="0.35">
      <c r="A11918" s="9" t="str">
        <f>HYPERLINK("http://www.ensembl.org/id/WBGene00045497", "WBGene00045497")</f>
        <v>WBGene00045497</v>
      </c>
      <c r="B11918" s="9" t="str">
        <f>HYPERLINK("http://www.ncbi.nlm.nih.gov/gene/6418858", "6418858")</f>
        <v>6418858</v>
      </c>
      <c r="C11918" s="9"/>
      <c r="D11918" t="str">
        <f>"K03A11.6"</f>
        <v>K03A11.6</v>
      </c>
      <c r="F11918" t="s">
        <v>11</v>
      </c>
      <c r="G11918" t="s">
        <v>25</v>
      </c>
      <c r="H11918" s="12">
        <v>1.8192330218233901</v>
      </c>
      <c r="I11918" s="20">
        <v>0.46824235422343002</v>
      </c>
      <c r="J11918" s="28">
        <v>0.63961128691328095</v>
      </c>
      <c r="K11918" s="29">
        <v>0.98289565623980701</v>
      </c>
    </row>
    <row r="11919" spans="1:11" x14ac:dyDescent="0.35">
      <c r="A11919" s="9" t="str">
        <f>HYPERLINK("http://www.ensembl.org/id/WBGene00019353", "WBGene00019353")</f>
        <v>WBGene00019353</v>
      </c>
      <c r="B11919" s="9" t="str">
        <f>HYPERLINK("http://www.ncbi.nlm.nih.gov/gene/178859", "178859")</f>
        <v>178859</v>
      </c>
      <c r="C11919" s="9"/>
      <c r="D11919" t="str">
        <f>"K03B4.1"</f>
        <v>K03B4.1</v>
      </c>
      <c r="F11919" t="s">
        <v>11</v>
      </c>
      <c r="G11919" t="s">
        <v>8859</v>
      </c>
      <c r="H11919" s="12">
        <v>-1.2027138067718299</v>
      </c>
      <c r="I11919" s="20">
        <v>-0.95309458567442795</v>
      </c>
      <c r="J11919" s="28">
        <v>0.340542149161768</v>
      </c>
      <c r="K11919" s="29">
        <v>0.98289565623980701</v>
      </c>
    </row>
    <row r="11920" spans="1:11" x14ac:dyDescent="0.35">
      <c r="A11920" s="9" t="str">
        <f>HYPERLINK("http://www.ensembl.org/id/WBGene00019356", "WBGene00019356")</f>
        <v>WBGene00019356</v>
      </c>
      <c r="B11920" s="9" t="str">
        <f>HYPERLINK("http://www.ncbi.nlm.nih.gov/gene/186921", "186921")</f>
        <v>186921</v>
      </c>
      <c r="C11920" s="9"/>
      <c r="D11920" t="str">
        <f>"K03B4.6"</f>
        <v>K03B4.6</v>
      </c>
      <c r="F11920" t="s">
        <v>11</v>
      </c>
      <c r="G11920" t="s">
        <v>25</v>
      </c>
      <c r="H11920" s="12">
        <v>2.4578120077400301</v>
      </c>
      <c r="I11920" s="20">
        <v>0.26093350314551</v>
      </c>
      <c r="J11920" s="28">
        <v>0.79414378780213601</v>
      </c>
      <c r="K11920" s="29">
        <v>0.98289565623980701</v>
      </c>
    </row>
    <row r="11921" spans="1:11" x14ac:dyDescent="0.35">
      <c r="A11921" s="9" t="str">
        <f>HYPERLINK("http://www.ensembl.org/id/WBGene00014421", "WBGene00014421")</f>
        <v>WBGene00014421</v>
      </c>
      <c r="B11921" s="9"/>
      <c r="C11921" s="9"/>
      <c r="D11921" t="str">
        <f>"K03B8.10"</f>
        <v>K03B8.10</v>
      </c>
      <c r="F11921" t="s">
        <v>4205</v>
      </c>
      <c r="H11921" s="12">
        <v>4.4714691453569504</v>
      </c>
      <c r="I11921" s="20">
        <v>0.78938764823850904</v>
      </c>
      <c r="J11921" s="28">
        <v>0.42988547287665901</v>
      </c>
      <c r="K11921" s="29">
        <v>0.98289565623980701</v>
      </c>
    </row>
    <row r="11922" spans="1:11" x14ac:dyDescent="0.35">
      <c r="A11922" s="9" t="str">
        <f>HYPERLINK("http://www.ensembl.org/id/WBGene00010526", "WBGene00010526")</f>
        <v>WBGene00010526</v>
      </c>
      <c r="B11922" s="9" t="str">
        <f>HYPERLINK("http://www.ncbi.nlm.nih.gov/gene/3565255", "3565255")</f>
        <v>3565255</v>
      </c>
      <c r="C11922" s="9"/>
      <c r="D11922" t="str">
        <f>"K03B8.11"</f>
        <v>K03B8.11</v>
      </c>
      <c r="F11922" t="s">
        <v>11</v>
      </c>
      <c r="H11922" s="12">
        <v>2.3096509560823599</v>
      </c>
      <c r="I11922" s="20">
        <v>0.67663220366719201</v>
      </c>
      <c r="J11922" s="28">
        <v>0.49863934135438198</v>
      </c>
      <c r="K11922" s="29">
        <v>0.98289565623980701</v>
      </c>
    </row>
    <row r="11923" spans="1:11" x14ac:dyDescent="0.35">
      <c r="A11923" s="9" t="str">
        <f>HYPERLINK("http://www.ensembl.org/id/WBGene00195831", "WBGene00195831")</f>
        <v>WBGene00195831</v>
      </c>
      <c r="B11923" s="9"/>
      <c r="C11923" s="9"/>
      <c r="D11923" t="str">
        <f>"K03B8.15"</f>
        <v>K03B8.15</v>
      </c>
      <c r="F11923" t="s">
        <v>481</v>
      </c>
      <c r="H11923" s="12">
        <v>-3.5819448292659501</v>
      </c>
      <c r="I11923" s="20">
        <v>-0.37337717500031398</v>
      </c>
      <c r="J11923" s="28">
        <v>0.70886774492290605</v>
      </c>
      <c r="K11923" s="29">
        <v>0.98289565623980701</v>
      </c>
    </row>
    <row r="11924" spans="1:11" x14ac:dyDescent="0.35">
      <c r="A11924" s="9" t="str">
        <f>HYPERLINK("http://www.ensembl.org/id/WBGene00196648", "WBGene00196648")</f>
        <v>WBGene00196648</v>
      </c>
      <c r="B11924" s="9"/>
      <c r="C11924" s="9"/>
      <c r="D11924" t="str">
        <f>"K03B8.16"</f>
        <v>K03B8.16</v>
      </c>
      <c r="F11924" t="s">
        <v>481</v>
      </c>
      <c r="H11924" s="12">
        <v>-3.5819448292659501</v>
      </c>
      <c r="I11924" s="20">
        <v>-0.37337717500031398</v>
      </c>
      <c r="J11924" s="28">
        <v>0.70886774492290605</v>
      </c>
      <c r="K11924" s="29">
        <v>0.98289565623980701</v>
      </c>
    </row>
    <row r="11925" spans="1:11" x14ac:dyDescent="0.35">
      <c r="A11925" s="9" t="str">
        <f>HYPERLINK("http://www.ensembl.org/id/WBGene00200980", "WBGene00200980")</f>
        <v>WBGene00200980</v>
      </c>
      <c r="B11925" s="9"/>
      <c r="C11925" s="9"/>
      <c r="D11925" t="str">
        <f>"K03B8.22"</f>
        <v>K03B8.22</v>
      </c>
      <c r="F11925" t="s">
        <v>481</v>
      </c>
      <c r="H11925" s="12">
        <v>-2.4991590031922399</v>
      </c>
      <c r="I11925" s="20">
        <v>-0.26577412737581302</v>
      </c>
      <c r="J11925" s="28">
        <v>0.79041317015736101</v>
      </c>
      <c r="K11925" s="29">
        <v>0.98289565623980701</v>
      </c>
    </row>
    <row r="11926" spans="1:11" x14ac:dyDescent="0.35">
      <c r="A11926" s="9" t="str">
        <f>HYPERLINK("http://www.ensembl.org/id/WBGene00010525", "WBGene00010525")</f>
        <v>WBGene00010525</v>
      </c>
      <c r="B11926" s="9" t="str">
        <f>HYPERLINK("http://www.ncbi.nlm.nih.gov/gene/186929", "186929")</f>
        <v>186929</v>
      </c>
      <c r="C11926" s="9"/>
      <c r="D11926" t="str">
        <f>"K03B8.8"</f>
        <v>K03B8.8</v>
      </c>
      <c r="F11926" t="s">
        <v>11</v>
      </c>
      <c r="H11926" s="12">
        <v>1.5794016184138899</v>
      </c>
      <c r="I11926" s="20">
        <v>0.85094188589046604</v>
      </c>
      <c r="J11926" s="28">
        <v>0.39480163580473598</v>
      </c>
      <c r="K11926" s="29">
        <v>0.98289565623980701</v>
      </c>
    </row>
    <row r="11927" spans="1:11" x14ac:dyDescent="0.35">
      <c r="A11927" s="9" t="str">
        <f>HYPERLINK("http://www.ensembl.org/id/WBGene00014422", "WBGene00014422")</f>
        <v>WBGene00014422</v>
      </c>
      <c r="B11927" s="9"/>
      <c r="C11927" s="9"/>
      <c r="D11927" t="str">
        <f>"K03B8.t1"</f>
        <v>K03B8.t1</v>
      </c>
      <c r="F11927" t="s">
        <v>4208</v>
      </c>
      <c r="H11927" s="12">
        <v>2.3893468495514898</v>
      </c>
      <c r="I11927" s="20">
        <v>0.25323547253672701</v>
      </c>
      <c r="J11927" s="28">
        <v>0.80008625651646104</v>
      </c>
      <c r="K11927" s="29">
        <v>0.98289565623980701</v>
      </c>
    </row>
    <row r="11928" spans="1:11" x14ac:dyDescent="0.35">
      <c r="A11928" s="9" t="str">
        <f>HYPERLINK("http://www.ensembl.org/id/WBGene00199627", "WBGene00199627")</f>
        <v>WBGene00199627</v>
      </c>
      <c r="B11928" s="9"/>
      <c r="C11928" s="9"/>
      <c r="D11928" t="str">
        <f>"K03C7.10"</f>
        <v>K03C7.10</v>
      </c>
      <c r="F11928" t="s">
        <v>481</v>
      </c>
      <c r="H11928" s="12">
        <v>-5.4967879193631202</v>
      </c>
      <c r="I11928" s="20">
        <v>-0.50254160819837501</v>
      </c>
      <c r="J11928" s="28">
        <v>0.61528659178453604</v>
      </c>
      <c r="K11928" s="29">
        <v>0.98289565623980701</v>
      </c>
    </row>
    <row r="11929" spans="1:11" x14ac:dyDescent="0.35">
      <c r="A11929" s="9" t="str">
        <f>HYPERLINK("http://www.ensembl.org/id/WBGene00019359", "WBGene00019359")</f>
        <v>WBGene00019359</v>
      </c>
      <c r="B11929" s="9" t="str">
        <f>HYPERLINK("http://www.ncbi.nlm.nih.gov/gene/186931", "186931")</f>
        <v>186931</v>
      </c>
      <c r="C11929" s="9"/>
      <c r="D11929" t="str">
        <f>"K03C7.3"</f>
        <v>K03C7.3</v>
      </c>
      <c r="F11929" t="s">
        <v>11</v>
      </c>
      <c r="H11929" s="12">
        <v>3.9822742124214701</v>
      </c>
      <c r="I11929" s="20">
        <v>0.482462550643251</v>
      </c>
      <c r="J11929" s="28">
        <v>0.62947739556167004</v>
      </c>
      <c r="K11929" s="29">
        <v>0.98289565623980701</v>
      </c>
    </row>
    <row r="11930" spans="1:11" x14ac:dyDescent="0.35">
      <c r="A11930" s="9" t="str">
        <f>HYPERLINK("http://www.ensembl.org/id/WBGene00195484", "WBGene00195484")</f>
        <v>WBGene00195484</v>
      </c>
      <c r="B11930" s="9"/>
      <c r="C11930" s="9"/>
      <c r="D11930" t="str">
        <f>"K03C7.4"</f>
        <v>K03C7.4</v>
      </c>
      <c r="F11930" t="s">
        <v>481</v>
      </c>
      <c r="H11930" s="12">
        <v>-5.3201785866927001</v>
      </c>
      <c r="I11930" s="20">
        <v>-0.49101042295714697</v>
      </c>
      <c r="J11930" s="28">
        <v>0.62341907564475696</v>
      </c>
      <c r="K11930" s="29">
        <v>0.98289565623980701</v>
      </c>
    </row>
    <row r="11931" spans="1:11" x14ac:dyDescent="0.35">
      <c r="A11931" s="9" t="str">
        <f>HYPERLINK("http://www.ensembl.org/id/WBGene00196002", "WBGene00196002")</f>
        <v>WBGene00196002</v>
      </c>
      <c r="B11931" s="9"/>
      <c r="C11931" s="9"/>
      <c r="D11931" t="str">
        <f>"K03C7.5"</f>
        <v>K03C7.5</v>
      </c>
      <c r="F11931" t="s">
        <v>481</v>
      </c>
      <c r="H11931" s="12">
        <v>3.6645215954135</v>
      </c>
      <c r="I11931" s="20">
        <v>0.37967131826092498</v>
      </c>
      <c r="J11931" s="28">
        <v>0.70418941338960395</v>
      </c>
      <c r="K11931" s="29">
        <v>0.98289565623980701</v>
      </c>
    </row>
    <row r="11932" spans="1:11" x14ac:dyDescent="0.35">
      <c r="A11932" s="9" t="str">
        <f>HYPERLINK("http://www.ensembl.org/id/WBGene00196634", "WBGene00196634")</f>
        <v>WBGene00196634</v>
      </c>
      <c r="B11932" s="9"/>
      <c r="C11932" s="9"/>
      <c r="D11932" t="str">
        <f>"K03C7.6"</f>
        <v>K03C7.6</v>
      </c>
      <c r="F11932" t="s">
        <v>481</v>
      </c>
      <c r="H11932" s="12">
        <v>-3.7261494131482999</v>
      </c>
      <c r="I11932" s="20">
        <v>-0.38454673129429601</v>
      </c>
      <c r="J11932" s="28">
        <v>0.70057326682554</v>
      </c>
      <c r="K11932" s="29">
        <v>0.98289565623980701</v>
      </c>
    </row>
    <row r="11933" spans="1:11" x14ac:dyDescent="0.35">
      <c r="A11933" s="9" t="str">
        <f>HYPERLINK("http://www.ensembl.org/id/WBGene00010528", "WBGene00010528")</f>
        <v>WBGene00010528</v>
      </c>
      <c r="B11933" s="9" t="str">
        <f>HYPERLINK("http://www.ncbi.nlm.nih.gov/gene/186933", "186933")</f>
        <v>186933</v>
      </c>
      <c r="C11933" s="9"/>
      <c r="D11933" t="str">
        <f>"K03D3.2"</f>
        <v>K03D3.2</v>
      </c>
      <c r="F11933" t="s">
        <v>11</v>
      </c>
      <c r="H11933" s="12">
        <v>-1.46611626343223</v>
      </c>
      <c r="I11933" s="20">
        <v>-0.70661177575339695</v>
      </c>
      <c r="J11933" s="28">
        <v>0.479807768983673</v>
      </c>
      <c r="K11933" s="29">
        <v>0.98289565623980701</v>
      </c>
    </row>
    <row r="11934" spans="1:11" x14ac:dyDescent="0.35">
      <c r="A11934" s="9" t="str">
        <f>HYPERLINK("http://www.ensembl.org/id/WBGene00010535", "WBGene00010535")</f>
        <v>WBGene00010535</v>
      </c>
      <c r="B11934" s="9"/>
      <c r="C11934" s="9"/>
      <c r="D11934" t="str">
        <f>"K03D7.8"</f>
        <v>K03D7.8</v>
      </c>
      <c r="F11934" t="s">
        <v>80</v>
      </c>
      <c r="H11934" s="12">
        <v>-2.4991590031922399</v>
      </c>
      <c r="I11934" s="20">
        <v>-0.26577412737581302</v>
      </c>
      <c r="J11934" s="28">
        <v>0.79041317015736101</v>
      </c>
      <c r="K11934" s="29">
        <v>0.98289565623980701</v>
      </c>
    </row>
    <row r="11935" spans="1:11" x14ac:dyDescent="0.35">
      <c r="A11935" s="9" t="str">
        <f>HYPERLINK("http://www.ensembl.org/id/WBGene00220004", "WBGene00220004")</f>
        <v>WBGene00220004</v>
      </c>
      <c r="B11935" s="9"/>
      <c r="C11935" s="9"/>
      <c r="D11935" t="str">
        <f>"K03E5.9"</f>
        <v>K03E5.9</v>
      </c>
      <c r="F11935" t="s">
        <v>481</v>
      </c>
      <c r="H11935" s="12">
        <v>-1.7131949901730299</v>
      </c>
      <c r="I11935" s="20">
        <v>-1.07095902772234</v>
      </c>
      <c r="J11935" s="28">
        <v>0.28418785275299002</v>
      </c>
      <c r="K11935" s="29">
        <v>0.98289565623980701</v>
      </c>
    </row>
    <row r="11936" spans="1:11" x14ac:dyDescent="0.35">
      <c r="A11936" s="9" t="str">
        <f>HYPERLINK("http://www.ensembl.org/id/WBGene00200078", "WBGene00200078")</f>
        <v>WBGene00200078</v>
      </c>
      <c r="B11936" s="9"/>
      <c r="C11936" s="9"/>
      <c r="D11936" t="str">
        <f>"K03F8.3"</f>
        <v>K03F8.3</v>
      </c>
      <c r="F11936" t="s">
        <v>481</v>
      </c>
      <c r="H11936" s="12">
        <v>2.3893468495514898</v>
      </c>
      <c r="I11936" s="20">
        <v>0.25323547253672701</v>
      </c>
      <c r="J11936" s="28">
        <v>0.80008625651646104</v>
      </c>
      <c r="K11936" s="29">
        <v>0.98289565623980701</v>
      </c>
    </row>
    <row r="11937" spans="1:11" x14ac:dyDescent="0.35">
      <c r="A11937" s="9" t="str">
        <f>HYPERLINK("http://www.ensembl.org/id/WBGene00010546", "WBGene00010546")</f>
        <v>WBGene00010546</v>
      </c>
      <c r="B11937" s="9" t="str">
        <f>HYPERLINK("http://www.ncbi.nlm.nih.gov/gene/186961", "186961")</f>
        <v>186961</v>
      </c>
      <c r="C11937" s="9"/>
      <c r="D11937" t="str">
        <f>"K03H1.11"</f>
        <v>K03H1.11</v>
      </c>
      <c r="F11937" t="s">
        <v>11</v>
      </c>
      <c r="H11937" s="12">
        <v>-1.15889719731462</v>
      </c>
      <c r="I11937" s="20">
        <v>-0.68347028965684498</v>
      </c>
      <c r="J11937" s="28">
        <v>0.494309717721438</v>
      </c>
      <c r="K11937" s="29">
        <v>0.98289565623980701</v>
      </c>
    </row>
    <row r="11938" spans="1:11" x14ac:dyDescent="0.35">
      <c r="A11938" s="9" t="str">
        <f>HYPERLINK("http://www.ensembl.org/id/WBGene00197404", "WBGene00197404")</f>
        <v>WBGene00197404</v>
      </c>
      <c r="B11938" s="9"/>
      <c r="C11938" s="9"/>
      <c r="D11938" t="str">
        <f>"K03H1.18"</f>
        <v>K03H1.18</v>
      </c>
      <c r="F11938" t="s">
        <v>481</v>
      </c>
      <c r="H11938" s="12">
        <v>2.4578120077400301</v>
      </c>
      <c r="I11938" s="20">
        <v>0.26093350314551</v>
      </c>
      <c r="J11938" s="28">
        <v>0.79414378780213601</v>
      </c>
      <c r="K11938" s="29">
        <v>0.98289565623980701</v>
      </c>
    </row>
    <row r="11939" spans="1:11" x14ac:dyDescent="0.35">
      <c r="A11939" s="9" t="str">
        <f>HYPERLINK("http://www.ensembl.org/id/WBGene00198225", "WBGene00198225")</f>
        <v>WBGene00198225</v>
      </c>
      <c r="B11939" s="9"/>
      <c r="C11939" s="9"/>
      <c r="D11939" t="str">
        <f>"K03H1.19"</f>
        <v>K03H1.19</v>
      </c>
      <c r="F11939" t="s">
        <v>481</v>
      </c>
      <c r="H11939" s="12">
        <v>-1.20836902660193</v>
      </c>
      <c r="I11939" s="20">
        <v>-0.25452417656335102</v>
      </c>
      <c r="J11939" s="28">
        <v>0.79909062874747605</v>
      </c>
      <c r="K11939" s="29">
        <v>0.98289565623980701</v>
      </c>
    </row>
    <row r="11940" spans="1:11" x14ac:dyDescent="0.35">
      <c r="A11940" s="9" t="str">
        <f>HYPERLINK("http://www.ensembl.org/id/WBGene00010543", "WBGene00010543")</f>
        <v>WBGene00010543</v>
      </c>
      <c r="B11940" s="9"/>
      <c r="C11940" s="9"/>
      <c r="D11940" t="str">
        <f>"K03H1.8"</f>
        <v>K03H1.8</v>
      </c>
      <c r="F11940" t="s">
        <v>80</v>
      </c>
      <c r="H11940" s="12">
        <v>-2.4295389261469</v>
      </c>
      <c r="I11940" s="20">
        <v>-0.25808529976640998</v>
      </c>
      <c r="J11940" s="28">
        <v>0.79634107645457397</v>
      </c>
      <c r="K11940" s="29">
        <v>0.98289565623980701</v>
      </c>
    </row>
    <row r="11941" spans="1:11" x14ac:dyDescent="0.35">
      <c r="A11941" s="9" t="str">
        <f>HYPERLINK("http://www.ensembl.org/id/WBGene00010544", "WBGene00010544")</f>
        <v>WBGene00010544</v>
      </c>
      <c r="B11941" s="9" t="str">
        <f>HYPERLINK("http://www.ncbi.nlm.nih.gov/gene/176405", "176405")</f>
        <v>176405</v>
      </c>
      <c r="C11941" s="9"/>
      <c r="D11941" t="str">
        <f>"K03H1.9"</f>
        <v>K03H1.9</v>
      </c>
      <c r="F11941" t="s">
        <v>11</v>
      </c>
      <c r="G11941" t="s">
        <v>25</v>
      </c>
      <c r="H11941" s="12">
        <v>-2.3164876816341802</v>
      </c>
      <c r="I11941" s="20">
        <v>-0.35730505342263802</v>
      </c>
      <c r="J11941" s="28">
        <v>0.72086344727256502</v>
      </c>
      <c r="K11941" s="29">
        <v>0.98289565623980701</v>
      </c>
    </row>
    <row r="11942" spans="1:11" x14ac:dyDescent="0.35">
      <c r="A11942" s="9" t="str">
        <f>HYPERLINK("http://www.ensembl.org/id/WBGene00019367", "WBGene00019367")</f>
        <v>WBGene00019367</v>
      </c>
      <c r="B11942" s="9" t="str">
        <f>HYPERLINK("http://www.ncbi.nlm.nih.gov/gene/186962", "186962")</f>
        <v>186962</v>
      </c>
      <c r="C11942" s="9"/>
      <c r="D11942" t="str">
        <f>"K03H6.1"</f>
        <v>K03H6.1</v>
      </c>
      <c r="F11942" t="s">
        <v>11</v>
      </c>
      <c r="G11942" t="s">
        <v>1223</v>
      </c>
      <c r="H11942" s="12">
        <v>-1.7228044319248901</v>
      </c>
      <c r="I11942" s="20">
        <v>-0.48368771091715201</v>
      </c>
      <c r="J11942" s="28">
        <v>0.62860751600741704</v>
      </c>
      <c r="K11942" s="29">
        <v>0.98289565623980701</v>
      </c>
    </row>
    <row r="11943" spans="1:11" x14ac:dyDescent="0.35">
      <c r="A11943" s="9" t="str">
        <f>HYPERLINK("http://www.ensembl.org/id/WBGene00019369", "WBGene00019369")</f>
        <v>WBGene00019369</v>
      </c>
      <c r="B11943" s="9" t="str">
        <f>HYPERLINK("http://www.ncbi.nlm.nih.gov/gene/186964", "186964")</f>
        <v>186964</v>
      </c>
      <c r="C11943" s="9"/>
      <c r="D11943" t="str">
        <f>"K03H6.4"</f>
        <v>K03H6.4</v>
      </c>
      <c r="F11943" t="s">
        <v>11</v>
      </c>
      <c r="G11943" t="s">
        <v>25</v>
      </c>
      <c r="H11943" s="12">
        <v>2.1882464882841299</v>
      </c>
      <c r="I11943" s="20">
        <v>0.37229884723380702</v>
      </c>
      <c r="J11943" s="28">
        <v>0.70967035681139301</v>
      </c>
      <c r="K11943" s="29">
        <v>0.98289565623980701</v>
      </c>
    </row>
    <row r="11944" spans="1:11" x14ac:dyDescent="0.35">
      <c r="A11944" s="9" t="str">
        <f>HYPERLINK("http://www.ensembl.org/id/WBGene00019370", "WBGene00019370")</f>
        <v>WBGene00019370</v>
      </c>
      <c r="B11944" s="9" t="str">
        <f>HYPERLINK("http://www.ncbi.nlm.nih.gov/gene/186965", "186965")</f>
        <v>186965</v>
      </c>
      <c r="C11944" s="9"/>
      <c r="D11944" t="str">
        <f>"K03H6.5"</f>
        <v>K03H6.5</v>
      </c>
      <c r="F11944" t="s">
        <v>11</v>
      </c>
      <c r="G11944" t="s">
        <v>1780</v>
      </c>
      <c r="H11944" s="12">
        <v>1.32321265666335</v>
      </c>
      <c r="I11944" s="20">
        <v>0.86775661087266498</v>
      </c>
      <c r="J11944" s="28">
        <v>0.38552758753625599</v>
      </c>
      <c r="K11944" s="29">
        <v>0.98289565623980701</v>
      </c>
    </row>
    <row r="11945" spans="1:11" x14ac:dyDescent="0.35">
      <c r="A11945" s="9" t="str">
        <f>HYPERLINK("http://www.ensembl.org/id/WBGene00199270", "WBGene00199270")</f>
        <v>WBGene00199270</v>
      </c>
      <c r="B11945" s="9"/>
      <c r="C11945" s="9"/>
      <c r="D11945" t="str">
        <f>"K03H9.10"</f>
        <v>K03H9.10</v>
      </c>
      <c r="F11945" t="s">
        <v>481</v>
      </c>
      <c r="H11945" s="12">
        <v>5.4058944669092801</v>
      </c>
      <c r="I11945" s="20">
        <v>0.49762513753689303</v>
      </c>
      <c r="J11945" s="28">
        <v>0.61874828254921799</v>
      </c>
      <c r="K11945" s="29">
        <v>0.98289565623980701</v>
      </c>
    </row>
    <row r="11946" spans="1:11" x14ac:dyDescent="0.35">
      <c r="A11946" s="9" t="str">
        <f>HYPERLINK("http://www.ensembl.org/id/WBGene00200493", "WBGene00200493")</f>
        <v>WBGene00200493</v>
      </c>
      <c r="B11946" s="9"/>
      <c r="C11946" s="9"/>
      <c r="D11946" t="str">
        <f>"K03H9.12"</f>
        <v>K03H9.12</v>
      </c>
      <c r="F11946" t="s">
        <v>481</v>
      </c>
      <c r="H11946" s="12">
        <v>-2.4991590031922399</v>
      </c>
      <c r="I11946" s="20">
        <v>-0.26577412737581302</v>
      </c>
      <c r="J11946" s="28">
        <v>0.79041317015736101</v>
      </c>
      <c r="K11946" s="29">
        <v>0.98289565623980701</v>
      </c>
    </row>
    <row r="11947" spans="1:11" x14ac:dyDescent="0.35">
      <c r="A11947" s="9" t="str">
        <f>HYPERLINK("http://www.ensembl.org/id/WBGene00201256", "WBGene00201256")</f>
        <v>WBGene00201256</v>
      </c>
      <c r="B11947" s="9"/>
      <c r="C11947" s="9"/>
      <c r="D11947" t="str">
        <f>"K03H9.14"</f>
        <v>K03H9.14</v>
      </c>
      <c r="F11947" t="s">
        <v>481</v>
      </c>
      <c r="H11947" s="12">
        <v>5.9495765472548197</v>
      </c>
      <c r="I11947" s="20">
        <v>0.52429389276509997</v>
      </c>
      <c r="J11947" s="28">
        <v>0.60007414400596704</v>
      </c>
      <c r="K11947" s="29">
        <v>0.98289565623980701</v>
      </c>
    </row>
    <row r="11948" spans="1:11" x14ac:dyDescent="0.35">
      <c r="A11948" s="9" t="str">
        <f>HYPERLINK("http://www.ensembl.org/id/WBGene00019372", "WBGene00019372")</f>
        <v>WBGene00019372</v>
      </c>
      <c r="B11948" s="9" t="str">
        <f>HYPERLINK("http://www.ncbi.nlm.nih.gov/gene/186969", "186969")</f>
        <v>186969</v>
      </c>
      <c r="C11948" s="9"/>
      <c r="D11948" t="str">
        <f>"K03H9.3"</f>
        <v>K03H9.3</v>
      </c>
      <c r="F11948" t="s">
        <v>11</v>
      </c>
      <c r="H11948" s="12">
        <v>1.9276444393765599</v>
      </c>
      <c r="I11948" s="20">
        <v>0.75295206952788696</v>
      </c>
      <c r="J11948" s="28">
        <v>0.45147871685077001</v>
      </c>
      <c r="K11948" s="29">
        <v>0.98289565623980701</v>
      </c>
    </row>
    <row r="11949" spans="1:11" x14ac:dyDescent="0.35">
      <c r="A11949" s="9" t="str">
        <f>HYPERLINK("http://www.ensembl.org/id/WBGene00197236", "WBGene00197236")</f>
        <v>WBGene00197236</v>
      </c>
      <c r="B11949" s="9"/>
      <c r="C11949" s="9"/>
      <c r="D11949" t="str">
        <f>"K03H9.8"</f>
        <v>K03H9.8</v>
      </c>
      <c r="F11949" t="s">
        <v>481</v>
      </c>
      <c r="H11949" s="12">
        <v>-3.7261494131482999</v>
      </c>
      <c r="I11949" s="20">
        <v>-0.38454673129429601</v>
      </c>
      <c r="J11949" s="28">
        <v>0.70057326682554</v>
      </c>
      <c r="K11949" s="29">
        <v>0.98289565623980701</v>
      </c>
    </row>
    <row r="11950" spans="1:11" x14ac:dyDescent="0.35">
      <c r="A11950" s="9" t="str">
        <f>HYPERLINK("http://www.ensembl.org/id/WBGene00198833", "WBGene00198833")</f>
        <v>WBGene00198833</v>
      </c>
      <c r="B11950" s="9"/>
      <c r="C11950" s="9"/>
      <c r="D11950" t="str">
        <f>"K03H9.9"</f>
        <v>K03H9.9</v>
      </c>
      <c r="F11950" t="s">
        <v>481</v>
      </c>
      <c r="H11950" s="12">
        <v>2.3893468495514898</v>
      </c>
      <c r="I11950" s="20">
        <v>0.25323547253672701</v>
      </c>
      <c r="J11950" s="28">
        <v>0.80008625651646104</v>
      </c>
      <c r="K11950" s="29">
        <v>0.98289565623980701</v>
      </c>
    </row>
    <row r="11951" spans="1:11" x14ac:dyDescent="0.35">
      <c r="A11951" s="9" t="str">
        <f>HYPERLINK("http://www.ensembl.org/id/WBGene00235118", "WBGene00235118")</f>
        <v>WBGene00235118</v>
      </c>
      <c r="B11951" s="9" t="str">
        <f>HYPERLINK("http://www.ncbi.nlm.nih.gov/gene/24104716", "24104716")</f>
        <v>24104716</v>
      </c>
      <c r="C11951" s="9"/>
      <c r="D11951" t="str">
        <f>"K04A8.18"</f>
        <v>K04A8.18</v>
      </c>
      <c r="F11951" t="s">
        <v>11</v>
      </c>
      <c r="H11951" s="12">
        <v>2.3893468495514898</v>
      </c>
      <c r="I11951" s="20">
        <v>0.25323547253672701</v>
      </c>
      <c r="J11951" s="28">
        <v>0.80008625651646104</v>
      </c>
      <c r="K11951" s="29">
        <v>0.98289565623980701</v>
      </c>
    </row>
    <row r="11952" spans="1:11" x14ac:dyDescent="0.35">
      <c r="A11952" s="9" t="str">
        <f>HYPERLINK("http://www.ensembl.org/id/WBGene00235317", "WBGene00235317")</f>
        <v>WBGene00235317</v>
      </c>
      <c r="B11952" s="9" t="str">
        <f>HYPERLINK("http://www.ncbi.nlm.nih.gov/gene/24104717", "24104717")</f>
        <v>24104717</v>
      </c>
      <c r="C11952" s="9"/>
      <c r="D11952" t="str">
        <f>"K04A8.19"</f>
        <v>K04A8.19</v>
      </c>
      <c r="F11952" t="s">
        <v>11</v>
      </c>
      <c r="H11952" s="12">
        <v>-2.4295389261469</v>
      </c>
      <c r="I11952" s="20">
        <v>-0.25808529976640998</v>
      </c>
      <c r="J11952" s="28">
        <v>0.79634107645457397</v>
      </c>
      <c r="K11952" s="29">
        <v>0.98289565623980701</v>
      </c>
    </row>
    <row r="11953" spans="1:11" x14ac:dyDescent="0.35">
      <c r="A11953" s="9" t="str">
        <f>HYPERLINK("http://www.ensembl.org/id/WBGene00019374", "WBGene00019374")</f>
        <v>WBGene00019374</v>
      </c>
      <c r="B11953" s="9"/>
      <c r="C11953" s="9"/>
      <c r="D11953" t="str">
        <f>"K04A8.2"</f>
        <v>K04A8.2</v>
      </c>
      <c r="F11953" t="s">
        <v>80</v>
      </c>
      <c r="H11953" s="12">
        <v>1.84396606031404</v>
      </c>
      <c r="I11953" s="20">
        <v>0.66298173750218203</v>
      </c>
      <c r="J11953" s="28">
        <v>0.50734225046269199</v>
      </c>
      <c r="K11953" s="29">
        <v>0.98289565623980701</v>
      </c>
    </row>
    <row r="11954" spans="1:11" x14ac:dyDescent="0.35">
      <c r="A11954" s="9" t="str">
        <f>HYPERLINK("http://www.ensembl.org/id/WBGene00235332", "WBGene00235332")</f>
        <v>WBGene00235332</v>
      </c>
      <c r="B11954" s="9" t="str">
        <f>HYPERLINK("http://www.ncbi.nlm.nih.gov/gene/24104718", "24104718")</f>
        <v>24104718</v>
      </c>
      <c r="C11954" s="9"/>
      <c r="D11954" t="str">
        <f>"K04A8.20"</f>
        <v>K04A8.20</v>
      </c>
      <c r="F11954" t="s">
        <v>11</v>
      </c>
      <c r="H11954" s="12">
        <v>1.2148514063406499</v>
      </c>
      <c r="I11954" s="20">
        <v>0.30640082120047002</v>
      </c>
      <c r="J11954" s="28">
        <v>0.75929948318047202</v>
      </c>
      <c r="K11954" s="29">
        <v>0.98289565623980701</v>
      </c>
    </row>
    <row r="11955" spans="1:11" x14ac:dyDescent="0.35">
      <c r="A11955" s="9" t="str">
        <f>HYPERLINK("http://www.ensembl.org/id/WBGene00271815", "WBGene00271815")</f>
        <v>WBGene00271815</v>
      </c>
      <c r="B11955" s="9" t="str">
        <f>HYPERLINK("http://www.ncbi.nlm.nih.gov/gene/186973", "186973")</f>
        <v>186973</v>
      </c>
      <c r="C11955" s="9"/>
      <c r="D11955" t="str">
        <f>"K04A8.21"</f>
        <v>K04A8.21</v>
      </c>
      <c r="F11955" t="s">
        <v>11</v>
      </c>
      <c r="H11955" s="12">
        <v>-3.4317366086158598</v>
      </c>
      <c r="I11955" s="20">
        <v>-0.60559993044942795</v>
      </c>
      <c r="J11955" s="28">
        <v>0.54478044853849406</v>
      </c>
      <c r="K11955" s="29">
        <v>0.98289565623980701</v>
      </c>
    </row>
    <row r="11956" spans="1:11" x14ac:dyDescent="0.35">
      <c r="A11956" s="9" t="str">
        <f>HYPERLINK("http://www.ensembl.org/id/WBGene00010550", "WBGene00010550")</f>
        <v>WBGene00010550</v>
      </c>
      <c r="B11956" s="9" t="str">
        <f>HYPERLINK("http://www.ncbi.nlm.nih.gov/gene/175102", "175102")</f>
        <v>175102</v>
      </c>
      <c r="C11956" s="9"/>
      <c r="D11956" t="str">
        <f>"K04B12.2"</f>
        <v>K04B12.2</v>
      </c>
      <c r="F11956" t="s">
        <v>11</v>
      </c>
      <c r="H11956" s="12">
        <v>-1.06042059438701</v>
      </c>
      <c r="I11956" s="20">
        <v>-0.28984278805494501</v>
      </c>
      <c r="J11956" s="28">
        <v>0.771936512062805</v>
      </c>
      <c r="K11956" s="29">
        <v>0.98289565623980701</v>
      </c>
    </row>
    <row r="11957" spans="1:11" x14ac:dyDescent="0.35">
      <c r="A11957" s="9" t="str">
        <f>HYPERLINK("http://www.ensembl.org/id/WBGene00202306", "WBGene00202306")</f>
        <v>WBGene00202306</v>
      </c>
      <c r="B11957" s="9"/>
      <c r="C11957" s="9"/>
      <c r="D11957" t="str">
        <f>"K04B12.8"</f>
        <v>K04B12.8</v>
      </c>
      <c r="F11957" t="s">
        <v>481</v>
      </c>
      <c r="H11957" s="12">
        <v>-2.4295389261469</v>
      </c>
      <c r="I11957" s="20">
        <v>-0.25808529976640998</v>
      </c>
      <c r="J11957" s="28">
        <v>0.79634107645457397</v>
      </c>
      <c r="K11957" s="29">
        <v>0.98289565623980701</v>
      </c>
    </row>
    <row r="11958" spans="1:11" x14ac:dyDescent="0.35">
      <c r="A11958" s="9" t="str">
        <f>HYPERLINK("http://www.ensembl.org/id/WBGene00010552", "WBGene00010552")</f>
        <v>WBGene00010552</v>
      </c>
      <c r="B11958" s="9" t="str">
        <f>HYPERLINK("http://www.ncbi.nlm.nih.gov/gene/181532", "181532")</f>
        <v>181532</v>
      </c>
      <c r="C11958" s="9"/>
      <c r="D11958" t="str">
        <f>"K04C1.2"</f>
        <v>K04C1.2</v>
      </c>
      <c r="F11958" t="s">
        <v>11</v>
      </c>
      <c r="H11958" s="12">
        <v>-1.2400369120707699</v>
      </c>
      <c r="I11958" s="20">
        <v>-0.96784788118079101</v>
      </c>
      <c r="J11958" s="28">
        <v>0.333120346816418</v>
      </c>
      <c r="K11958" s="29">
        <v>0.98289565623980701</v>
      </c>
    </row>
    <row r="11959" spans="1:11" x14ac:dyDescent="0.35">
      <c r="A11959" s="9" t="str">
        <f>HYPERLINK("http://www.ensembl.org/id/WBGene00010553", "WBGene00010553")</f>
        <v>WBGene00010553</v>
      </c>
      <c r="B11959" s="9" t="str">
        <f>HYPERLINK("http://www.ncbi.nlm.nih.gov/gene/181533", "181533")</f>
        <v>181533</v>
      </c>
      <c r="C11959" s="9"/>
      <c r="D11959" t="str">
        <f>"K04C1.3"</f>
        <v>K04C1.3</v>
      </c>
      <c r="F11959" t="s">
        <v>11</v>
      </c>
      <c r="G11959" t="s">
        <v>7318</v>
      </c>
      <c r="H11959" s="12">
        <v>-1.1191734392617101</v>
      </c>
      <c r="I11959" s="20">
        <v>-0.418336087922349</v>
      </c>
      <c r="J11959" s="28">
        <v>0.67570140791159905</v>
      </c>
      <c r="K11959" s="29">
        <v>0.98289565623980701</v>
      </c>
    </row>
    <row r="11960" spans="1:11" x14ac:dyDescent="0.35">
      <c r="A11960" s="9" t="str">
        <f>HYPERLINK("http://www.ensembl.org/id/WBGene00019380", "WBGene00019380")</f>
        <v>WBGene00019380</v>
      </c>
      <c r="B11960" s="9" t="str">
        <f>HYPERLINK("http://www.ncbi.nlm.nih.gov/gene/175960", "175960")</f>
        <v>175960</v>
      </c>
      <c r="C11960" s="9"/>
      <c r="D11960" t="str">
        <f>"K04C2.2"</f>
        <v>K04C2.2</v>
      </c>
      <c r="F11960" t="s">
        <v>11</v>
      </c>
      <c r="G11960" t="s">
        <v>7552</v>
      </c>
      <c r="H11960" s="12">
        <v>-1.1326553427197099</v>
      </c>
      <c r="I11960" s="20">
        <v>-0.58734798939189803</v>
      </c>
      <c r="J11960" s="28">
        <v>0.55697001705696403</v>
      </c>
      <c r="K11960" s="29">
        <v>0.98289565623980701</v>
      </c>
    </row>
    <row r="11961" spans="1:11" x14ac:dyDescent="0.35">
      <c r="A11961" s="9" t="str">
        <f>HYPERLINK("http://www.ensembl.org/id/WBGene00044311", "WBGene00044311")</f>
        <v>WBGene00044311</v>
      </c>
      <c r="B11961" s="9" t="str">
        <f>HYPERLINK("http://www.ncbi.nlm.nih.gov/gene/3565798", "3565798")</f>
        <v>3565798</v>
      </c>
      <c r="C11961" s="9"/>
      <c r="D11961" t="str">
        <f>"K04C2.7"</f>
        <v>K04C2.7</v>
      </c>
      <c r="F11961" t="s">
        <v>11</v>
      </c>
      <c r="G11961" t="s">
        <v>25</v>
      </c>
      <c r="H11961" s="12">
        <v>1.2674359454777899</v>
      </c>
      <c r="I11961" s="20">
        <v>0.71390689168684995</v>
      </c>
      <c r="J11961" s="28">
        <v>0.475284755543538</v>
      </c>
      <c r="K11961" s="29">
        <v>0.98289565623980701</v>
      </c>
    </row>
    <row r="11962" spans="1:11" x14ac:dyDescent="0.35">
      <c r="A11962" s="9" t="str">
        <f>HYPERLINK("http://www.ensembl.org/id/WBGene00044312", "WBGene00044312")</f>
        <v>WBGene00044312</v>
      </c>
      <c r="B11962" s="9" t="str">
        <f>HYPERLINK("http://www.ncbi.nlm.nih.gov/gene/3564770", "3564770")</f>
        <v>3564770</v>
      </c>
      <c r="C11962" s="9"/>
      <c r="D11962" t="str">
        <f>"K04C2.8"</f>
        <v>K04C2.8</v>
      </c>
      <c r="F11962" t="s">
        <v>11</v>
      </c>
      <c r="H11962" s="12">
        <v>1.5308595131120799</v>
      </c>
      <c r="I11962" s="20">
        <v>0.42276216643818798</v>
      </c>
      <c r="J11962" s="28">
        <v>0.67246879367054802</v>
      </c>
      <c r="K11962" s="29">
        <v>0.98289565623980701</v>
      </c>
    </row>
    <row r="11963" spans="1:11" x14ac:dyDescent="0.35">
      <c r="A11963" s="9" t="str">
        <f>HYPERLINK("http://www.ensembl.org/id/WBGene00196729", "WBGene00196729")</f>
        <v>WBGene00196729</v>
      </c>
      <c r="B11963" s="9"/>
      <c r="C11963" s="9"/>
      <c r="D11963" t="str">
        <f>"K04D7.10"</f>
        <v>K04D7.10</v>
      </c>
      <c r="F11963" t="s">
        <v>481</v>
      </c>
      <c r="H11963" s="12">
        <v>-2.4991590031922399</v>
      </c>
      <c r="I11963" s="20">
        <v>-0.26577412737581302</v>
      </c>
      <c r="J11963" s="28">
        <v>0.79041317015736101</v>
      </c>
      <c r="K11963" s="29">
        <v>0.98289565623980701</v>
      </c>
    </row>
    <row r="11964" spans="1:11" x14ac:dyDescent="0.35">
      <c r="A11964" s="9" t="str">
        <f>HYPERLINK("http://www.ensembl.org/id/WBGene00200145", "WBGene00200145")</f>
        <v>WBGene00200145</v>
      </c>
      <c r="B11964" s="9"/>
      <c r="C11964" s="9"/>
      <c r="D11964" t="str">
        <f>"K04D7.15"</f>
        <v>K04D7.15</v>
      </c>
      <c r="F11964" t="s">
        <v>481</v>
      </c>
      <c r="H11964" s="12">
        <v>3.5227018545059199</v>
      </c>
      <c r="I11964" s="20">
        <v>0.36849691206929103</v>
      </c>
      <c r="J11964" s="28">
        <v>0.71250274722433404</v>
      </c>
      <c r="K11964" s="29">
        <v>0.98289565623980701</v>
      </c>
    </row>
    <row r="11965" spans="1:11" x14ac:dyDescent="0.35">
      <c r="A11965" s="9" t="str">
        <f>HYPERLINK("http://www.ensembl.org/id/WBGene00019383", "WBGene00019383")</f>
        <v>WBGene00019383</v>
      </c>
      <c r="B11965" s="9" t="str">
        <f>HYPERLINK("http://www.ncbi.nlm.nih.gov/gene/186986", "186986")</f>
        <v>186986</v>
      </c>
      <c r="C11965" s="9"/>
      <c r="D11965" t="str">
        <f>"K04E7.1"</f>
        <v>K04E7.1</v>
      </c>
      <c r="F11965" t="s">
        <v>11</v>
      </c>
      <c r="G11965" t="s">
        <v>25</v>
      </c>
      <c r="H11965" s="12">
        <v>1.8850595091715301</v>
      </c>
      <c r="I11965" s="20">
        <v>0.36202969740497498</v>
      </c>
      <c r="J11965" s="28">
        <v>0.71732983823974095</v>
      </c>
      <c r="K11965" s="29">
        <v>0.98289565623980701</v>
      </c>
    </row>
    <row r="11966" spans="1:11" x14ac:dyDescent="0.35">
      <c r="A11966" s="9" t="str">
        <f>HYPERLINK("http://www.ensembl.org/id/WBGene00019387", "WBGene00019387")</f>
        <v>WBGene00019387</v>
      </c>
      <c r="B11966" s="9" t="str">
        <f>HYPERLINK("http://www.ncbi.nlm.nih.gov/gene/186994", "186994")</f>
        <v>186994</v>
      </c>
      <c r="C11966" s="9"/>
      <c r="D11966" t="str">
        <f>"K04F1.8"</f>
        <v>K04F1.8</v>
      </c>
      <c r="F11966" t="s">
        <v>11</v>
      </c>
      <c r="H11966" s="12">
        <v>3.5227018545059199</v>
      </c>
      <c r="I11966" s="20">
        <v>0.36849691206929103</v>
      </c>
      <c r="J11966" s="28">
        <v>0.71250274722433404</v>
      </c>
      <c r="K11966" s="29">
        <v>0.98289565623980701</v>
      </c>
    </row>
    <row r="11967" spans="1:11" x14ac:dyDescent="0.35">
      <c r="A11967" s="9" t="str">
        <f>HYPERLINK("http://www.ensembl.org/id/WBGene00019388", "WBGene00019388")</f>
        <v>WBGene00019388</v>
      </c>
      <c r="B11967" s="9" t="str">
        <f>HYPERLINK("http://www.ncbi.nlm.nih.gov/gene/186995", "186995")</f>
        <v>186995</v>
      </c>
      <c r="C11967" s="9"/>
      <c r="D11967" t="str">
        <f>"K04F1.9"</f>
        <v>K04F1.9</v>
      </c>
      <c r="F11967" t="s">
        <v>11</v>
      </c>
      <c r="H11967" s="12">
        <v>1.3960874163080299</v>
      </c>
      <c r="I11967" s="20">
        <v>0.50517665766743203</v>
      </c>
      <c r="J11967" s="28">
        <v>0.61343476357179005</v>
      </c>
      <c r="K11967" s="29">
        <v>0.98289565623980701</v>
      </c>
    </row>
    <row r="11968" spans="1:11" x14ac:dyDescent="0.35">
      <c r="A11968" s="9" t="str">
        <f>HYPERLINK("http://www.ensembl.org/id/WBGene00019394", "WBGene00019394")</f>
        <v>WBGene00019394</v>
      </c>
      <c r="B11968" s="9" t="str">
        <f>HYPERLINK("http://www.ncbi.nlm.nih.gov/gene/187002", "187002")</f>
        <v>187002</v>
      </c>
      <c r="C11968" s="9"/>
      <c r="D11968" t="str">
        <f>"K04F10.1"</f>
        <v>K04F10.1</v>
      </c>
      <c r="F11968" t="s">
        <v>11</v>
      </c>
      <c r="G11968" t="s">
        <v>8591</v>
      </c>
      <c r="H11968" s="12">
        <v>-1.18530409258563</v>
      </c>
      <c r="I11968" s="20">
        <v>-0.59216994727725403</v>
      </c>
      <c r="J11968" s="28">
        <v>0.55373679157232603</v>
      </c>
      <c r="K11968" s="29">
        <v>0.98289565623980701</v>
      </c>
    </row>
    <row r="11969" spans="1:11" x14ac:dyDescent="0.35">
      <c r="A11969" s="9" t="str">
        <f>HYPERLINK("http://www.ensembl.org/id/WBGene00019399", "WBGene00019399")</f>
        <v>WBGene00019399</v>
      </c>
      <c r="B11969" s="9" t="str">
        <f>HYPERLINK("http://www.ncbi.nlm.nih.gov/gene/172335", "172335")</f>
        <v>172335</v>
      </c>
      <c r="C11969" s="9" t="str">
        <f>HYPERLINK("http://www.ncbi.nlm.nih.gov/gene/199870", "199870")</f>
        <v>199870</v>
      </c>
      <c r="D11969" t="str">
        <f>"K04F10.7"</f>
        <v>K04F10.7</v>
      </c>
      <c r="F11969" t="s">
        <v>11</v>
      </c>
      <c r="H11969" s="12">
        <v>-1.1383007835667101</v>
      </c>
      <c r="I11969" s="20">
        <v>-0.69052336592146102</v>
      </c>
      <c r="J11969" s="28">
        <v>0.48986512115598702</v>
      </c>
      <c r="K11969" s="29">
        <v>0.98289565623980701</v>
      </c>
    </row>
    <row r="11970" spans="1:11" x14ac:dyDescent="0.35">
      <c r="A11970" s="9" t="str">
        <f>HYPERLINK("http://www.ensembl.org/id/WBGene00220006", "WBGene00220006")</f>
        <v>WBGene00220006</v>
      </c>
      <c r="B11970" s="9"/>
      <c r="C11970" s="9"/>
      <c r="D11970" t="str">
        <f>"K04F10.9"</f>
        <v>K04F10.9</v>
      </c>
      <c r="F11970" t="s">
        <v>481</v>
      </c>
      <c r="H11970" s="12">
        <v>1.2226270363179099</v>
      </c>
      <c r="I11970" s="20">
        <v>0.73349527353784305</v>
      </c>
      <c r="J11970" s="28">
        <v>0.46325640952603298</v>
      </c>
      <c r="K11970" s="29">
        <v>0.98289565623980701</v>
      </c>
    </row>
    <row r="11971" spans="1:11" x14ac:dyDescent="0.35">
      <c r="A11971" s="9" t="str">
        <f>HYPERLINK("http://www.ensembl.org/id/WBGene00198754", "WBGene00198754")</f>
        <v>WBGene00198754</v>
      </c>
      <c r="B11971" s="9"/>
      <c r="C11971" s="9"/>
      <c r="D11971" t="str">
        <f>"K04G11.8"</f>
        <v>K04G11.8</v>
      </c>
      <c r="F11971" t="s">
        <v>481</v>
      </c>
      <c r="H11971" s="12">
        <v>-3.2281252492865198</v>
      </c>
      <c r="I11971" s="20">
        <v>-0.61427979761265294</v>
      </c>
      <c r="J11971" s="28">
        <v>0.53903045010742001</v>
      </c>
      <c r="K11971" s="29">
        <v>0.98289565623980701</v>
      </c>
    </row>
    <row r="11972" spans="1:11" x14ac:dyDescent="0.35">
      <c r="A11972" s="9" t="str">
        <f>HYPERLINK("http://www.ensembl.org/id/WBGene00077768", "WBGene00077768")</f>
        <v>WBGene00077768</v>
      </c>
      <c r="B11972" s="9" t="str">
        <f>HYPERLINK("http://www.ncbi.nlm.nih.gov/gene/7040148", "7040148")</f>
        <v>7040148</v>
      </c>
      <c r="C11972" s="9"/>
      <c r="D11972" t="str">
        <f>"K04G2.12"</f>
        <v>K04G2.12</v>
      </c>
      <c r="F11972" t="s">
        <v>11</v>
      </c>
      <c r="G11972" t="s">
        <v>25</v>
      </c>
      <c r="H11972" s="12">
        <v>1.60330560449556</v>
      </c>
      <c r="I11972" s="20">
        <v>0.39226053696754298</v>
      </c>
      <c r="J11972" s="28">
        <v>0.69486571877276604</v>
      </c>
      <c r="K11972" s="29">
        <v>0.98289565623980701</v>
      </c>
    </row>
    <row r="11973" spans="1:11" x14ac:dyDescent="0.35">
      <c r="A11973" s="9" t="str">
        <f>HYPERLINK("http://www.ensembl.org/id/WBGene00202087", "WBGene00202087")</f>
        <v>WBGene00202087</v>
      </c>
      <c r="B11973" s="9"/>
      <c r="C11973" s="9"/>
      <c r="D11973" t="str">
        <f>"K04G2.15"</f>
        <v>K04G2.15</v>
      </c>
      <c r="F11973" t="s">
        <v>481</v>
      </c>
      <c r="H11973" s="12">
        <v>12.685338163804801</v>
      </c>
      <c r="I11973" s="20">
        <v>0.81852262355899996</v>
      </c>
      <c r="J11973" s="28">
        <v>0.41305882922107201</v>
      </c>
      <c r="K11973" s="29">
        <v>0.98289565623980701</v>
      </c>
    </row>
    <row r="11974" spans="1:11" x14ac:dyDescent="0.35">
      <c r="A11974" s="9" t="str">
        <f>HYPERLINK("http://www.ensembl.org/id/WBGene00198394", "WBGene00198394")</f>
        <v>WBGene00198394</v>
      </c>
      <c r="B11974" s="9"/>
      <c r="C11974" s="9"/>
      <c r="D11974" t="str">
        <f>"K04H4.12"</f>
        <v>K04H4.12</v>
      </c>
      <c r="F11974" t="s">
        <v>481</v>
      </c>
      <c r="H11974" s="12">
        <v>3.6645215954135</v>
      </c>
      <c r="I11974" s="20">
        <v>0.37967131826092498</v>
      </c>
      <c r="J11974" s="28">
        <v>0.70418941338960395</v>
      </c>
      <c r="K11974" s="29">
        <v>0.98289565623980701</v>
      </c>
    </row>
    <row r="11975" spans="1:11" x14ac:dyDescent="0.35">
      <c r="A11975" s="9" t="str">
        <f>HYPERLINK("http://www.ensembl.org/id/WBGene00010578", "WBGene00010578")</f>
        <v>WBGene00010578</v>
      </c>
      <c r="B11975" s="9" t="str">
        <f>HYPERLINK("http://www.ncbi.nlm.nih.gov/gene/187016", "187016")</f>
        <v>187016</v>
      </c>
      <c r="C11975" s="9"/>
      <c r="D11975" t="str">
        <f>"K04H8.3"</f>
        <v>K04H8.3</v>
      </c>
      <c r="F11975" t="s">
        <v>11</v>
      </c>
      <c r="H11975" s="12">
        <v>-1.5067141673117901</v>
      </c>
      <c r="I11975" s="20">
        <v>-0.44718444143376201</v>
      </c>
      <c r="J11975" s="28">
        <v>0.65474189410314199</v>
      </c>
      <c r="K11975" s="29">
        <v>0.98289565623980701</v>
      </c>
    </row>
    <row r="11976" spans="1:11" x14ac:dyDescent="0.35">
      <c r="A11976" s="9" t="str">
        <f>HYPERLINK("http://www.ensembl.org/id/WBGene00195360", "WBGene00195360")</f>
        <v>WBGene00195360</v>
      </c>
      <c r="B11976" s="9"/>
      <c r="C11976" s="9"/>
      <c r="D11976" t="str">
        <f>"K05B2.6"</f>
        <v>K05B2.6</v>
      </c>
      <c r="F11976" t="s">
        <v>481</v>
      </c>
      <c r="H11976" s="12">
        <v>-4.7167679298615104</v>
      </c>
      <c r="I11976" s="20">
        <v>-0.454742638005115</v>
      </c>
      <c r="J11976" s="28">
        <v>0.64929440216969203</v>
      </c>
      <c r="K11976" s="29">
        <v>0.98289565623980701</v>
      </c>
    </row>
    <row r="11977" spans="1:11" x14ac:dyDescent="0.35">
      <c r="A11977" s="9" t="str">
        <f>HYPERLINK("http://www.ensembl.org/id/WBGene00200437", "WBGene00200437")</f>
        <v>WBGene00200437</v>
      </c>
      <c r="B11977" s="9"/>
      <c r="C11977" s="9"/>
      <c r="D11977" t="str">
        <f>"K05B2.8"</f>
        <v>K05B2.8</v>
      </c>
      <c r="F11977" t="s">
        <v>481</v>
      </c>
      <c r="H11977" s="12">
        <v>-2.4670418777863801</v>
      </c>
      <c r="I11977" s="20">
        <v>-0.45450260465663</v>
      </c>
      <c r="J11977" s="28">
        <v>0.64946711765502996</v>
      </c>
      <c r="K11977" s="29">
        <v>0.98289565623980701</v>
      </c>
    </row>
    <row r="11978" spans="1:11" x14ac:dyDescent="0.35">
      <c r="A11978" s="9" t="str">
        <f>HYPERLINK("http://www.ensembl.org/id/WBGene00010586", "WBGene00010586")</f>
        <v>WBGene00010586</v>
      </c>
      <c r="B11978" s="9" t="str">
        <f>HYPERLINK("http://www.ncbi.nlm.nih.gov/gene/187022", "187022")</f>
        <v>187022</v>
      </c>
      <c r="C11978" s="9"/>
      <c r="D11978" t="str">
        <f>"K05C4.10"</f>
        <v>K05C4.10</v>
      </c>
      <c r="F11978" t="s">
        <v>11</v>
      </c>
      <c r="G11978" t="s">
        <v>25</v>
      </c>
      <c r="H11978" s="12">
        <v>2.4578120077400301</v>
      </c>
      <c r="I11978" s="20">
        <v>0.26093350314551</v>
      </c>
      <c r="J11978" s="28">
        <v>0.79414378780213601</v>
      </c>
      <c r="K11978" s="29">
        <v>0.98289565623980701</v>
      </c>
    </row>
    <row r="11979" spans="1:11" x14ac:dyDescent="0.35">
      <c r="A11979" s="9" t="str">
        <f>HYPERLINK("http://www.ensembl.org/id/WBGene00010579", "WBGene00010579")</f>
        <v>WBGene00010579</v>
      </c>
      <c r="B11979" s="9" t="str">
        <f>HYPERLINK("http://www.ncbi.nlm.nih.gov/gene/173335", "173335")</f>
        <v>173335</v>
      </c>
      <c r="C11979" s="9"/>
      <c r="D11979" t="str">
        <f>"K05C4.2"</f>
        <v>K05C4.2</v>
      </c>
      <c r="F11979" t="s">
        <v>11</v>
      </c>
      <c r="G11979" t="s">
        <v>7180</v>
      </c>
      <c r="H11979" s="12">
        <v>-1.1118155592654</v>
      </c>
      <c r="I11979" s="20">
        <v>-0.563148743734185</v>
      </c>
      <c r="J11979" s="28">
        <v>0.57333360209360795</v>
      </c>
      <c r="K11979" s="29">
        <v>0.98289565623980701</v>
      </c>
    </row>
    <row r="11980" spans="1:11" x14ac:dyDescent="0.35">
      <c r="A11980" s="9" t="str">
        <f>HYPERLINK("http://www.ensembl.org/id/WBGene00010581", "WBGene00010581")</f>
        <v>WBGene00010581</v>
      </c>
      <c r="B11980" s="9" t="str">
        <f>HYPERLINK("http://www.ncbi.nlm.nih.gov/gene/187019", "187019")</f>
        <v>187019</v>
      </c>
      <c r="C11980" s="9"/>
      <c r="D11980" t="str">
        <f>"K05C4.4"</f>
        <v>K05C4.4</v>
      </c>
      <c r="F11980" t="s">
        <v>11</v>
      </c>
      <c r="H11980" s="12">
        <v>-1.4291599755655</v>
      </c>
      <c r="I11980" s="20">
        <v>-0.54192170559276198</v>
      </c>
      <c r="J11980" s="28">
        <v>0.58787244327904997</v>
      </c>
      <c r="K11980" s="29">
        <v>0.98289565623980701</v>
      </c>
    </row>
    <row r="11981" spans="1:11" x14ac:dyDescent="0.35">
      <c r="A11981" s="9" t="str">
        <f>HYPERLINK("http://www.ensembl.org/id/WBGene00014798", "WBGene00014798")</f>
        <v>WBGene00014798</v>
      </c>
      <c r="B11981" s="9"/>
      <c r="C11981" s="9"/>
      <c r="D11981" t="str">
        <f>"K05D4.1"</f>
        <v>K05D4.1</v>
      </c>
      <c r="F11981" t="s">
        <v>80</v>
      </c>
      <c r="H11981" s="12">
        <v>2.3767246315547199</v>
      </c>
      <c r="I11981" s="20">
        <v>0.73721686851633195</v>
      </c>
      <c r="J11981" s="28">
        <v>0.46099047687469302</v>
      </c>
      <c r="K11981" s="29">
        <v>0.98289565623980701</v>
      </c>
    </row>
    <row r="11982" spans="1:11" x14ac:dyDescent="0.35">
      <c r="A11982" s="9" t="str">
        <f>HYPERLINK("http://www.ensembl.org/id/WBGene00014799", "WBGene00014799")</f>
        <v>WBGene00014799</v>
      </c>
      <c r="B11982" s="9"/>
      <c r="C11982" s="9"/>
      <c r="D11982" t="str">
        <f>"K05D4.5"</f>
        <v>K05D4.5</v>
      </c>
      <c r="F11982" t="s">
        <v>80</v>
      </c>
      <c r="H11982" s="12">
        <v>9.6414174224933102</v>
      </c>
      <c r="I11982" s="20">
        <v>1.0642907950323699</v>
      </c>
      <c r="J11982" s="28">
        <v>0.28719698663798299</v>
      </c>
      <c r="K11982" s="29">
        <v>0.98289565623980701</v>
      </c>
    </row>
    <row r="11983" spans="1:11" x14ac:dyDescent="0.35">
      <c r="A11983" s="9" t="str">
        <f>HYPERLINK("http://www.ensembl.org/id/WBGene00010591", "WBGene00010591")</f>
        <v>WBGene00010591</v>
      </c>
      <c r="B11983" s="9" t="str">
        <f>HYPERLINK("http://www.ncbi.nlm.nih.gov/gene/3565432", "3565432")</f>
        <v>3565432</v>
      </c>
      <c r="C11983" s="9"/>
      <c r="D11983" t="str">
        <f>"K05D4.9"</f>
        <v>K05D4.9</v>
      </c>
      <c r="F11983" t="s">
        <v>11</v>
      </c>
      <c r="G11983" t="s">
        <v>591</v>
      </c>
      <c r="H11983" s="12">
        <v>3.5227018545059199</v>
      </c>
      <c r="I11983" s="20">
        <v>0.36849691206929103</v>
      </c>
      <c r="J11983" s="28">
        <v>0.71250274722433404</v>
      </c>
      <c r="K11983" s="29">
        <v>0.98289565623980701</v>
      </c>
    </row>
    <row r="11984" spans="1:11" x14ac:dyDescent="0.35">
      <c r="A11984" s="9" t="str">
        <f>HYPERLINK("http://www.ensembl.org/id/WBGene00019405", "WBGene00019405")</f>
        <v>WBGene00019405</v>
      </c>
      <c r="B11984" s="9" t="str">
        <f>HYPERLINK("http://www.ncbi.nlm.nih.gov/gene/187028", "187028")</f>
        <v>187028</v>
      </c>
      <c r="C11984" s="9"/>
      <c r="D11984" t="str">
        <f>"K05F1.1"</f>
        <v>K05F1.1</v>
      </c>
      <c r="F11984" t="s">
        <v>11</v>
      </c>
      <c r="G11984" t="s">
        <v>25</v>
      </c>
      <c r="H11984" s="12">
        <v>3.2367679739669302</v>
      </c>
      <c r="I11984" s="20">
        <v>0.82792149362921097</v>
      </c>
      <c r="J11984" s="28">
        <v>0.40771496162954801</v>
      </c>
      <c r="K11984" s="29">
        <v>0.98289565623980701</v>
      </c>
    </row>
    <row r="11985" spans="1:11" x14ac:dyDescent="0.35">
      <c r="A11985" s="9" t="str">
        <f>HYPERLINK("http://www.ensembl.org/id/WBGene00019411", "WBGene00019411")</f>
        <v>WBGene00019411</v>
      </c>
      <c r="B11985" s="9" t="str">
        <f>HYPERLINK("http://www.ncbi.nlm.nih.gov/gene/187030", "187030")</f>
        <v>187030</v>
      </c>
      <c r="C11985" s="9"/>
      <c r="D11985" t="str">
        <f>"K05F1.10"</f>
        <v>K05F1.10</v>
      </c>
      <c r="F11985" t="s">
        <v>11</v>
      </c>
      <c r="G11985" t="s">
        <v>4840</v>
      </c>
      <c r="H11985" s="12">
        <v>1.3407245903854601</v>
      </c>
      <c r="I11985" s="20">
        <v>1.1241904003149501</v>
      </c>
      <c r="J11985" s="28">
        <v>0.26093226104919498</v>
      </c>
      <c r="K11985" s="29">
        <v>0.98289565623980701</v>
      </c>
    </row>
    <row r="11986" spans="1:11" x14ac:dyDescent="0.35">
      <c r="A11986" s="9" t="str">
        <f>HYPERLINK("http://www.ensembl.org/id/WBGene00219239", "WBGene00219239")</f>
        <v>WBGene00219239</v>
      </c>
      <c r="B11986" s="9" t="str">
        <f>HYPERLINK("http://www.ncbi.nlm.nih.gov/gene/13183656", "13183656")</f>
        <v>13183656</v>
      </c>
      <c r="C11986" s="9"/>
      <c r="D11986" t="str">
        <f>"K05F6.14"</f>
        <v>K05F6.14</v>
      </c>
      <c r="F11986" t="s">
        <v>11</v>
      </c>
      <c r="G11986" t="s">
        <v>54</v>
      </c>
      <c r="H11986" s="12">
        <v>-4.8624856784916997</v>
      </c>
      <c r="I11986" s="20">
        <v>-0.70773950609331004</v>
      </c>
      <c r="J11986" s="28">
        <v>0.47910703924880299</v>
      </c>
      <c r="K11986" s="29">
        <v>0.98289565623980701</v>
      </c>
    </row>
    <row r="11987" spans="1:11" x14ac:dyDescent="0.35">
      <c r="A11987" s="9" t="str">
        <f>HYPERLINK("http://www.ensembl.org/id/WBGene00269419", "WBGene00269419")</f>
        <v>WBGene00269419</v>
      </c>
      <c r="B11987" s="9"/>
      <c r="C11987" s="9"/>
      <c r="D11987" t="str">
        <f>"K05F6.15"</f>
        <v>K05F6.15</v>
      </c>
      <c r="F11987" t="s">
        <v>80</v>
      </c>
      <c r="H11987" s="12">
        <v>-1.3378469242187401</v>
      </c>
      <c r="I11987" s="20">
        <v>-0.46594020568212202</v>
      </c>
      <c r="J11987" s="28">
        <v>0.64125830128653405</v>
      </c>
      <c r="K11987" s="29">
        <v>0.98289565623980701</v>
      </c>
    </row>
    <row r="11988" spans="1:11" x14ac:dyDescent="0.35">
      <c r="A11988" s="9" t="str">
        <f>HYPERLINK("http://www.ensembl.org/id/WBGene00269420", "WBGene00269420")</f>
        <v>WBGene00269420</v>
      </c>
      <c r="B11988" s="9"/>
      <c r="C11988" s="9"/>
      <c r="D11988" t="str">
        <f>"K05F6.16"</f>
        <v>K05F6.16</v>
      </c>
      <c r="F11988" t="s">
        <v>80</v>
      </c>
      <c r="H11988" s="12">
        <v>3.6645215954135</v>
      </c>
      <c r="I11988" s="20">
        <v>0.37967131826092498</v>
      </c>
      <c r="J11988" s="28">
        <v>0.70418941338960395</v>
      </c>
      <c r="K11988" s="29">
        <v>0.98289565623980701</v>
      </c>
    </row>
    <row r="11989" spans="1:11" x14ac:dyDescent="0.35">
      <c r="A11989" s="9" t="str">
        <f>HYPERLINK("http://www.ensembl.org/id/WBGene00019415", "WBGene00019415")</f>
        <v>WBGene00019415</v>
      </c>
      <c r="B11989" s="9" t="str">
        <f>HYPERLINK("http://www.ncbi.nlm.nih.gov/gene/187034", "187034")</f>
        <v>187034</v>
      </c>
      <c r="C11989" s="9"/>
      <c r="D11989" t="str">
        <f>"K05F6.4"</f>
        <v>K05F6.4</v>
      </c>
      <c r="F11989" t="s">
        <v>11</v>
      </c>
      <c r="G11989" t="s">
        <v>54</v>
      </c>
      <c r="H11989" s="12">
        <v>1.4222343476816299</v>
      </c>
      <c r="I11989" s="20">
        <v>0.91262807521291001</v>
      </c>
      <c r="J11989" s="28">
        <v>0.36143818336489802</v>
      </c>
      <c r="K11989" s="29">
        <v>0.98289565623980701</v>
      </c>
    </row>
    <row r="11990" spans="1:11" x14ac:dyDescent="0.35">
      <c r="A11990" s="9" t="str">
        <f>HYPERLINK("http://www.ensembl.org/id/WBGene00019422", "WBGene00019422")</f>
        <v>WBGene00019422</v>
      </c>
      <c r="B11990" s="9" t="str">
        <f>HYPERLINK("http://www.ncbi.nlm.nih.gov/gene/187040", "187040")</f>
        <v>187040</v>
      </c>
      <c r="C11990" s="9"/>
      <c r="D11990" t="str">
        <f>"K05G3.1"</f>
        <v>K05G3.1</v>
      </c>
      <c r="F11990" t="s">
        <v>11</v>
      </c>
      <c r="G11990" t="s">
        <v>10026</v>
      </c>
      <c r="H11990" s="12">
        <v>-1.83837122153897</v>
      </c>
      <c r="I11990" s="20">
        <v>-0.36075815861378302</v>
      </c>
      <c r="J11990" s="28">
        <v>0.71828024389196399</v>
      </c>
      <c r="K11990" s="29">
        <v>0.98289565623980701</v>
      </c>
    </row>
    <row r="11991" spans="1:11" x14ac:dyDescent="0.35">
      <c r="A11991" s="9" t="str">
        <f>HYPERLINK("http://www.ensembl.org/id/WBGene00019423", "WBGene00019423")</f>
        <v>WBGene00019423</v>
      </c>
      <c r="B11991" s="9" t="str">
        <f>HYPERLINK("http://www.ncbi.nlm.nih.gov/gene/187041", "187041")</f>
        <v>187041</v>
      </c>
      <c r="C11991" s="9"/>
      <c r="D11991" t="str">
        <f>"K05G3.2"</f>
        <v>K05G3.2</v>
      </c>
      <c r="F11991" t="s">
        <v>11</v>
      </c>
      <c r="H11991" s="12">
        <v>4.20759613761276</v>
      </c>
      <c r="I11991" s="20">
        <v>0.97151061054589005</v>
      </c>
      <c r="J11991" s="28">
        <v>0.33129407196532401</v>
      </c>
      <c r="K11991" s="29">
        <v>0.98289565623980701</v>
      </c>
    </row>
    <row r="11992" spans="1:11" x14ac:dyDescent="0.35">
      <c r="A11992" s="9" t="str">
        <f>HYPERLINK("http://www.ensembl.org/id/WBGene00197444", "WBGene00197444")</f>
        <v>WBGene00197444</v>
      </c>
      <c r="B11992" s="9"/>
      <c r="C11992" s="9"/>
      <c r="D11992" t="str">
        <f>"K05G3.6"</f>
        <v>K05G3.6</v>
      </c>
      <c r="F11992" t="s">
        <v>481</v>
      </c>
      <c r="H11992" s="12">
        <v>2.3893468495514898</v>
      </c>
      <c r="I11992" s="20">
        <v>0.25323547253672701</v>
      </c>
      <c r="J11992" s="28">
        <v>0.80008625651646104</v>
      </c>
      <c r="K11992" s="29">
        <v>0.98289565623980701</v>
      </c>
    </row>
    <row r="11993" spans="1:11" x14ac:dyDescent="0.35">
      <c r="A11993" s="9" t="str">
        <f>HYPERLINK("http://www.ensembl.org/id/WBGene00019425", "WBGene00019425")</f>
        <v>WBGene00019425</v>
      </c>
      <c r="B11993" s="9" t="str">
        <f>HYPERLINK("http://www.ncbi.nlm.nih.gov/gene/187044", "187044")</f>
        <v>187044</v>
      </c>
      <c r="C11993" s="9"/>
      <c r="D11993" t="str">
        <f>"K06A1.2"</f>
        <v>K06A1.2</v>
      </c>
      <c r="F11993" t="s">
        <v>11</v>
      </c>
      <c r="G11993" t="s">
        <v>25</v>
      </c>
      <c r="H11993" s="12">
        <v>1.8769888139258399</v>
      </c>
      <c r="I11993" s="20">
        <v>0.59400452447876995</v>
      </c>
      <c r="J11993" s="28">
        <v>0.55250908682280397</v>
      </c>
      <c r="K11993" s="29">
        <v>0.98289565623980701</v>
      </c>
    </row>
    <row r="11994" spans="1:11" x14ac:dyDescent="0.35">
      <c r="A11994" s="9" t="str">
        <f>HYPERLINK("http://www.ensembl.org/id/WBGene00200784", "WBGene00200784")</f>
        <v>WBGene00200784</v>
      </c>
      <c r="B11994" s="9"/>
      <c r="C11994" s="9"/>
      <c r="D11994" t="str">
        <f>"K06A1.9"</f>
        <v>K06A1.9</v>
      </c>
      <c r="F11994" t="s">
        <v>481</v>
      </c>
      <c r="H11994" s="12">
        <v>-2.3114696006349602</v>
      </c>
      <c r="I11994" s="20">
        <v>-0.67463859122568104</v>
      </c>
      <c r="J11994" s="28">
        <v>0.49990540836401698</v>
      </c>
      <c r="K11994" s="29">
        <v>0.98289565623980701</v>
      </c>
    </row>
    <row r="11995" spans="1:11" x14ac:dyDescent="0.35">
      <c r="A11995" s="9" t="str">
        <f>HYPERLINK("http://www.ensembl.org/id/WBGene00077497", "WBGene00077497")</f>
        <v>WBGene00077497</v>
      </c>
      <c r="B11995" s="9" t="str">
        <f>HYPERLINK("http://www.ncbi.nlm.nih.gov/gene/13214402", "13214402")</f>
        <v>13214402</v>
      </c>
      <c r="C11995" s="9"/>
      <c r="D11995" t="str">
        <f>"K06A4.10"</f>
        <v>K06A4.10</v>
      </c>
      <c r="F11995" t="s">
        <v>11</v>
      </c>
      <c r="G11995" t="s">
        <v>25</v>
      </c>
      <c r="H11995" s="12">
        <v>1.8213466101076801</v>
      </c>
      <c r="I11995" s="20">
        <v>0.80672334658894196</v>
      </c>
      <c r="J11995" s="28">
        <v>0.41982589024462302</v>
      </c>
      <c r="K11995" s="29">
        <v>0.98289565623980701</v>
      </c>
    </row>
    <row r="11996" spans="1:11" x14ac:dyDescent="0.35">
      <c r="A11996" s="9" t="str">
        <f>HYPERLINK("http://www.ensembl.org/id/WBGene00010592", "WBGene00010592")</f>
        <v>WBGene00010592</v>
      </c>
      <c r="B11996" s="9" t="str">
        <f>HYPERLINK("http://www.ncbi.nlm.nih.gov/gene/187046", "187046")</f>
        <v>187046</v>
      </c>
      <c r="C11996" s="9"/>
      <c r="D11996" t="str">
        <f>"K06A4.2"</f>
        <v>K06A4.2</v>
      </c>
      <c r="F11996" t="s">
        <v>11</v>
      </c>
      <c r="G11996" t="s">
        <v>25</v>
      </c>
      <c r="H11996" s="12">
        <v>1.41730392857364</v>
      </c>
      <c r="I11996" s="20">
        <v>0.87233289905088796</v>
      </c>
      <c r="J11996" s="28">
        <v>0.38302679492637098</v>
      </c>
      <c r="K11996" s="29">
        <v>0.98289565623980701</v>
      </c>
    </row>
    <row r="11997" spans="1:11" x14ac:dyDescent="0.35">
      <c r="A11997" s="9" t="str">
        <f>HYPERLINK("http://www.ensembl.org/id/WBGene00010596", "WBGene00010596")</f>
        <v>WBGene00010596</v>
      </c>
      <c r="B11997" s="9" t="str">
        <f>HYPERLINK("http://www.ncbi.nlm.nih.gov/gene/187048", "187048")</f>
        <v>187048</v>
      </c>
      <c r="C11997" s="9"/>
      <c r="D11997" t="str">
        <f>"K06A4.6"</f>
        <v>K06A4.6</v>
      </c>
      <c r="F11997" t="s">
        <v>11</v>
      </c>
      <c r="H11997" s="12">
        <v>6.1469445763878197</v>
      </c>
      <c r="I11997" s="20">
        <v>0.83869321508444294</v>
      </c>
      <c r="J11997" s="28">
        <v>0.40164148672684602</v>
      </c>
      <c r="K11997" s="29">
        <v>0.98289565623980701</v>
      </c>
    </row>
    <row r="11998" spans="1:11" x14ac:dyDescent="0.35">
      <c r="A11998" s="9" t="str">
        <f>HYPERLINK("http://www.ensembl.org/id/WBGene00010597", "WBGene00010597")</f>
        <v>WBGene00010597</v>
      </c>
      <c r="B11998" s="9" t="str">
        <f>HYPERLINK("http://www.ncbi.nlm.nih.gov/gene/259638", "259638")</f>
        <v>259638</v>
      </c>
      <c r="C11998" s="9"/>
      <c r="D11998" t="str">
        <f>"K06A4.7"</f>
        <v>K06A4.7</v>
      </c>
      <c r="F11998" t="s">
        <v>11</v>
      </c>
      <c r="H11998" s="12">
        <v>1.07119889145794</v>
      </c>
      <c r="I11998" s="20">
        <v>0.27610177567821997</v>
      </c>
      <c r="J11998" s="28">
        <v>0.78246989687282698</v>
      </c>
      <c r="K11998" s="29">
        <v>0.98289565623980701</v>
      </c>
    </row>
    <row r="11999" spans="1:11" x14ac:dyDescent="0.35">
      <c r="A11999" s="9" t="str">
        <f>HYPERLINK("http://www.ensembl.org/id/WBGene00077450", "WBGene00077450")</f>
        <v>WBGene00077450</v>
      </c>
      <c r="B11999" s="9" t="str">
        <f>HYPERLINK("http://www.ncbi.nlm.nih.gov/gene/6418752", "6418752")</f>
        <v>6418752</v>
      </c>
      <c r="C11999" s="9"/>
      <c r="D11999" t="str">
        <f>"K06B4.15"</f>
        <v>K06B4.15</v>
      </c>
      <c r="F11999" t="s">
        <v>11</v>
      </c>
      <c r="G11999" t="s">
        <v>25</v>
      </c>
      <c r="H11999" s="12">
        <v>2.2034157933534502</v>
      </c>
      <c r="I11999" s="20">
        <v>0.39131358250509701</v>
      </c>
      <c r="J11999" s="28">
        <v>0.69556546033603905</v>
      </c>
      <c r="K11999" s="29">
        <v>0.98289565623980701</v>
      </c>
    </row>
    <row r="12000" spans="1:11" x14ac:dyDescent="0.35">
      <c r="A12000" s="9" t="str">
        <f>HYPERLINK("http://www.ensembl.org/id/WBGene00010598", "WBGene00010598")</f>
        <v>WBGene00010598</v>
      </c>
      <c r="B12000" s="9"/>
      <c r="C12000" s="9"/>
      <c r="D12000" t="str">
        <f>"K06B4.3"</f>
        <v>K06B4.3</v>
      </c>
      <c r="F12000" t="s">
        <v>80</v>
      </c>
      <c r="H12000" s="12">
        <v>2.3893468495514898</v>
      </c>
      <c r="I12000" s="20">
        <v>0.25323547253672701</v>
      </c>
      <c r="J12000" s="28">
        <v>0.80008625651646104</v>
      </c>
      <c r="K12000" s="29">
        <v>0.98289565623980701</v>
      </c>
    </row>
    <row r="12001" spans="1:11" x14ac:dyDescent="0.35">
      <c r="A12001" s="9" t="str">
        <f>HYPERLINK("http://www.ensembl.org/id/WBGene00010599", "WBGene00010599")</f>
        <v>WBGene00010599</v>
      </c>
      <c r="B12001" s="9" t="str">
        <f>HYPERLINK("http://www.ncbi.nlm.nih.gov/gene/187052", "187052")</f>
        <v>187052</v>
      </c>
      <c r="C12001" s="9"/>
      <c r="D12001" t="str">
        <f>"K06B4.4"</f>
        <v>K06B4.4</v>
      </c>
      <c r="F12001" t="s">
        <v>11</v>
      </c>
      <c r="G12001" t="s">
        <v>25</v>
      </c>
      <c r="H12001" s="12">
        <v>-5.7240770346231198</v>
      </c>
      <c r="I12001" s="20">
        <v>-0.63906553810324995</v>
      </c>
      <c r="J12001" s="28">
        <v>0.52278029759756095</v>
      </c>
      <c r="K12001" s="29">
        <v>0.98289565623980701</v>
      </c>
    </row>
    <row r="12002" spans="1:11" x14ac:dyDescent="0.35">
      <c r="A12002" s="9" t="str">
        <f>HYPERLINK("http://www.ensembl.org/id/WBGene00019439", "WBGene00019439")</f>
        <v>WBGene00019439</v>
      </c>
      <c r="B12002" s="9"/>
      <c r="C12002" s="9"/>
      <c r="D12002" t="str">
        <f>"K06B9.2"</f>
        <v>K06B9.2</v>
      </c>
      <c r="F12002" t="s">
        <v>80</v>
      </c>
      <c r="H12002" s="12">
        <v>-1.2337195476991001</v>
      </c>
      <c r="I12002" s="20">
        <v>-0.33230683881783701</v>
      </c>
      <c r="J12002" s="28">
        <v>0.73965757641792196</v>
      </c>
      <c r="K12002" s="29">
        <v>0.98289565623980701</v>
      </c>
    </row>
    <row r="12003" spans="1:11" x14ac:dyDescent="0.35">
      <c r="A12003" s="9" t="str">
        <f>HYPERLINK("http://www.ensembl.org/id/WBGene00044478", "WBGene00044478")</f>
        <v>WBGene00044478</v>
      </c>
      <c r="B12003" s="9" t="str">
        <f>HYPERLINK("http://www.ncbi.nlm.nih.gov/gene/3896764", "3896764")</f>
        <v>3896764</v>
      </c>
      <c r="C12003" s="9"/>
      <c r="D12003" t="str">
        <f>"K06B9.6"</f>
        <v>K06B9.6</v>
      </c>
      <c r="F12003" t="s">
        <v>11</v>
      </c>
      <c r="H12003" s="12">
        <v>-1.18214141792394</v>
      </c>
      <c r="I12003" s="20">
        <v>-0.456301670229247</v>
      </c>
      <c r="J12003" s="28">
        <v>0.64817306305383604</v>
      </c>
      <c r="K12003" s="29">
        <v>0.98289565623980701</v>
      </c>
    </row>
    <row r="12004" spans="1:11" x14ac:dyDescent="0.35">
      <c r="A12004" s="9" t="str">
        <f>HYPERLINK("http://www.ensembl.org/id/WBGene00010605", "WBGene00010605")</f>
        <v>WBGene00010605</v>
      </c>
      <c r="B12004" s="9" t="str">
        <f>HYPERLINK("http://www.ncbi.nlm.nih.gov/gene/181531", "181531")</f>
        <v>181531</v>
      </c>
      <c r="C12004" s="9"/>
      <c r="D12004" t="str">
        <f>"K06G5.1"</f>
        <v>K06G5.1</v>
      </c>
      <c r="F12004" t="s">
        <v>11</v>
      </c>
      <c r="H12004" s="12">
        <v>1.14788377814722</v>
      </c>
      <c r="I12004" s="20">
        <v>0.73704681250620097</v>
      </c>
      <c r="J12004" s="28">
        <v>0.46109388203073098</v>
      </c>
      <c r="K12004" s="29">
        <v>0.98289565623980701</v>
      </c>
    </row>
    <row r="12005" spans="1:11" x14ac:dyDescent="0.35">
      <c r="A12005" s="9" t="str">
        <f>HYPERLINK("http://www.ensembl.org/id/WBGene00010607", "WBGene00010607")</f>
        <v>WBGene00010607</v>
      </c>
      <c r="B12005" s="9" t="str">
        <f>HYPERLINK("http://www.ncbi.nlm.nih.gov/gene/187069", "187069")</f>
        <v>187069</v>
      </c>
      <c r="C12005" s="9"/>
      <c r="D12005" t="str">
        <f>"K06G5.3"</f>
        <v>K06G5.3</v>
      </c>
      <c r="F12005" t="s">
        <v>11</v>
      </c>
      <c r="H12005" s="12">
        <v>1.50373176707293</v>
      </c>
      <c r="I12005" s="20">
        <v>0.34436399181921401</v>
      </c>
      <c r="J12005" s="28">
        <v>0.73057256507187995</v>
      </c>
      <c r="K12005" s="29">
        <v>0.98289565623980701</v>
      </c>
    </row>
    <row r="12006" spans="1:11" x14ac:dyDescent="0.35">
      <c r="A12006" s="9" t="str">
        <f>HYPERLINK("http://www.ensembl.org/id/WBGene00019450", "WBGene00019450")</f>
        <v>WBGene00019450</v>
      </c>
      <c r="B12006" s="9" t="str">
        <f>HYPERLINK("http://www.ncbi.nlm.nih.gov/gene/187071", "187071")</f>
        <v>187071</v>
      </c>
      <c r="C12006" s="9"/>
      <c r="D12006" t="str">
        <f>"K06H6.2"</f>
        <v>K06H6.2</v>
      </c>
      <c r="F12006" t="s">
        <v>11</v>
      </c>
      <c r="G12006" t="s">
        <v>25</v>
      </c>
      <c r="H12006" s="12">
        <v>2.3893468495514898</v>
      </c>
      <c r="I12006" s="20">
        <v>0.25323547253672701</v>
      </c>
      <c r="J12006" s="28">
        <v>0.80008625651646104</v>
      </c>
      <c r="K12006" s="29">
        <v>0.98289565623980701</v>
      </c>
    </row>
    <row r="12007" spans="1:11" x14ac:dyDescent="0.35">
      <c r="A12007" s="9" t="str">
        <f>HYPERLINK("http://www.ensembl.org/id/WBGene00019453", "WBGene00019453")</f>
        <v>WBGene00019453</v>
      </c>
      <c r="B12007" s="9" t="str">
        <f>HYPERLINK("http://www.ncbi.nlm.nih.gov/gene/187074", "187074")</f>
        <v>187074</v>
      </c>
      <c r="C12007" s="9"/>
      <c r="D12007" t="str">
        <f>"K06H6.5"</f>
        <v>K06H6.5</v>
      </c>
      <c r="F12007" t="s">
        <v>11</v>
      </c>
      <c r="G12007" t="s">
        <v>3419</v>
      </c>
      <c r="H12007" s="12">
        <v>-2.4991590031922399</v>
      </c>
      <c r="I12007" s="20">
        <v>-0.26577412737581302</v>
      </c>
      <c r="J12007" s="28">
        <v>0.79041317015736101</v>
      </c>
      <c r="K12007" s="29">
        <v>0.98289565623980701</v>
      </c>
    </row>
    <row r="12008" spans="1:11" x14ac:dyDescent="0.35">
      <c r="A12008" s="9" t="str">
        <f>HYPERLINK("http://www.ensembl.org/id/WBGene00019455", "WBGene00019455")</f>
        <v>WBGene00019455</v>
      </c>
      <c r="B12008" s="9" t="str">
        <f>HYPERLINK("http://www.ncbi.nlm.nih.gov/gene/187076", "187076")</f>
        <v>187076</v>
      </c>
      <c r="C12008" s="9"/>
      <c r="D12008" t="str">
        <f>"K06H7.1"</f>
        <v>K06H7.1</v>
      </c>
      <c r="F12008" t="s">
        <v>11</v>
      </c>
      <c r="H12008" s="12">
        <v>1.67073924841573</v>
      </c>
      <c r="I12008" s="20">
        <v>0.78635563108472195</v>
      </c>
      <c r="J12008" s="28">
        <v>0.43165916934151199</v>
      </c>
      <c r="K12008" s="29">
        <v>0.98289565623980701</v>
      </c>
    </row>
    <row r="12009" spans="1:11" x14ac:dyDescent="0.35">
      <c r="A12009" s="9" t="str">
        <f>HYPERLINK("http://www.ensembl.org/id/WBGene00019459", "WBGene00019459")</f>
        <v>WBGene00019459</v>
      </c>
      <c r="B12009" s="9" t="str">
        <f>HYPERLINK("http://www.ncbi.nlm.nih.gov/gene/187079", "187079")</f>
        <v>187079</v>
      </c>
      <c r="C12009" s="9"/>
      <c r="D12009" t="str">
        <f>"K06H7.8"</f>
        <v>K06H7.8</v>
      </c>
      <c r="E12009" t="s">
        <v>4236</v>
      </c>
      <c r="F12009" t="s">
        <v>11</v>
      </c>
      <c r="G12009" t="s">
        <v>4237</v>
      </c>
      <c r="H12009" s="12">
        <v>6.9253623271807401</v>
      </c>
      <c r="I12009" s="20">
        <v>1.0176409129950801</v>
      </c>
      <c r="J12009" s="28">
        <v>0.30884863670169799</v>
      </c>
      <c r="K12009" s="29">
        <v>0.98289565623980701</v>
      </c>
    </row>
    <row r="12010" spans="1:11" x14ac:dyDescent="0.35">
      <c r="A12010" s="9" t="str">
        <f>HYPERLINK("http://www.ensembl.org/id/WBGene00010616", "WBGene00010616")</f>
        <v>WBGene00010616</v>
      </c>
      <c r="B12010" s="9" t="str">
        <f>HYPERLINK("http://www.ncbi.nlm.nih.gov/gene/187083", "187083")</f>
        <v>187083</v>
      </c>
      <c r="C12010" s="9"/>
      <c r="D12010" t="str">
        <f>"K07A1.10"</f>
        <v>K07A1.10</v>
      </c>
      <c r="F12010" t="s">
        <v>11</v>
      </c>
      <c r="G12010" t="s">
        <v>7451</v>
      </c>
      <c r="H12010" s="12">
        <v>-1.1261381457858901</v>
      </c>
      <c r="I12010" s="20">
        <v>-0.55077479141661201</v>
      </c>
      <c r="J12010" s="28">
        <v>0.58178806693165097</v>
      </c>
      <c r="K12010" s="29">
        <v>0.98289565623980701</v>
      </c>
    </row>
    <row r="12011" spans="1:11" x14ac:dyDescent="0.35">
      <c r="A12011" s="9" t="str">
        <f>HYPERLINK("http://www.ensembl.org/id/WBGene00010618", "WBGene00010618")</f>
        <v>WBGene00010618</v>
      </c>
      <c r="B12011" s="9"/>
      <c r="C12011" s="9"/>
      <c r="D12011" t="str">
        <f>"K07A1.14"</f>
        <v>K07A1.14</v>
      </c>
      <c r="F12011" t="s">
        <v>80</v>
      </c>
      <c r="H12011" s="12">
        <v>2.4578120077400301</v>
      </c>
      <c r="I12011" s="20">
        <v>0.26093350314551</v>
      </c>
      <c r="J12011" s="28">
        <v>0.79414378780213601</v>
      </c>
      <c r="K12011" s="29">
        <v>0.98289565623980701</v>
      </c>
    </row>
    <row r="12012" spans="1:11" x14ac:dyDescent="0.35">
      <c r="A12012" s="9" t="str">
        <f>HYPERLINK("http://www.ensembl.org/id/WBGene00010619", "WBGene00010619")</f>
        <v>WBGene00010619</v>
      </c>
      <c r="B12012" s="9" t="str">
        <f>HYPERLINK("http://www.ncbi.nlm.nih.gov/gene/3565158", "3565158")</f>
        <v>3565158</v>
      </c>
      <c r="C12012" s="9"/>
      <c r="D12012" t="str">
        <f>"K07A1.15"</f>
        <v>K07A1.15</v>
      </c>
      <c r="F12012" t="s">
        <v>11</v>
      </c>
      <c r="G12012" t="s">
        <v>4256</v>
      </c>
      <c r="H12012" s="12">
        <v>1.29441628777674</v>
      </c>
      <c r="I12012" s="20">
        <v>0.73925605153990603</v>
      </c>
      <c r="J12012" s="28">
        <v>0.45975153054772999</v>
      </c>
      <c r="K12012" s="29">
        <v>0.98289565623980701</v>
      </c>
    </row>
    <row r="12013" spans="1:11" x14ac:dyDescent="0.35">
      <c r="A12013" s="9" t="str">
        <f>HYPERLINK("http://www.ensembl.org/id/WBGene00010611", "WBGene00010611")</f>
        <v>WBGene00010611</v>
      </c>
      <c r="B12013" s="9" t="str">
        <f>HYPERLINK("http://www.ncbi.nlm.nih.gov/gene/187081", "187081")</f>
        <v>187081</v>
      </c>
      <c r="C12013" s="9"/>
      <c r="D12013" t="str">
        <f>"K07A1.4"</f>
        <v>K07A1.4</v>
      </c>
      <c r="F12013" t="s">
        <v>11</v>
      </c>
      <c r="H12013" s="12">
        <v>-1.0992069120485599</v>
      </c>
      <c r="I12013" s="20">
        <v>-0.43953268137184398</v>
      </c>
      <c r="J12013" s="28">
        <v>0.66027560686175901</v>
      </c>
      <c r="K12013" s="29">
        <v>0.98289565623980701</v>
      </c>
    </row>
    <row r="12014" spans="1:11" x14ac:dyDescent="0.35">
      <c r="A12014" s="9" t="str">
        <f>HYPERLINK("http://www.ensembl.org/id/WBGene00010612", "WBGene00010612")</f>
        <v>WBGene00010612</v>
      </c>
      <c r="B12014" s="9" t="str">
        <f>HYPERLINK("http://www.ncbi.nlm.nih.gov/gene/172796", "172796")</f>
        <v>172796</v>
      </c>
      <c r="C12014" s="9"/>
      <c r="D12014" t="str">
        <f>"K07A1.5"</f>
        <v>K07A1.5</v>
      </c>
      <c r="F12014" t="s">
        <v>11</v>
      </c>
      <c r="G12014" t="s">
        <v>25</v>
      </c>
      <c r="H12014" s="12">
        <v>-1.2563412976374499</v>
      </c>
      <c r="I12014" s="20">
        <v>-0.283245564984836</v>
      </c>
      <c r="J12014" s="28">
        <v>0.77698860203612197</v>
      </c>
      <c r="K12014" s="29">
        <v>0.98289565623980701</v>
      </c>
    </row>
    <row r="12015" spans="1:11" x14ac:dyDescent="0.35">
      <c r="A12015" s="9" t="str">
        <f>HYPERLINK("http://www.ensembl.org/id/WBGene00010620", "WBGene00010620")</f>
        <v>WBGene00010620</v>
      </c>
      <c r="B12015" s="9" t="str">
        <f>HYPERLINK("http://www.ncbi.nlm.nih.gov/gene/172669", "172669")</f>
        <v>172669</v>
      </c>
      <c r="C12015" s="9"/>
      <c r="D12015" t="str">
        <f>"K07A12.1"</f>
        <v>K07A12.1</v>
      </c>
      <c r="F12015" t="s">
        <v>11</v>
      </c>
      <c r="G12015" t="s">
        <v>6790</v>
      </c>
      <c r="H12015" s="12">
        <v>-1.0891404844270101</v>
      </c>
      <c r="I12015" s="20">
        <v>-0.46108073240576503</v>
      </c>
      <c r="J12015" s="28">
        <v>0.64474068470612</v>
      </c>
      <c r="K12015" s="29">
        <v>0.98289565623980701</v>
      </c>
    </row>
    <row r="12016" spans="1:11" x14ac:dyDescent="0.35">
      <c r="A12016" s="9" t="str">
        <f>HYPERLINK("http://www.ensembl.org/id/WBGene00010622", "WBGene00010622")</f>
        <v>WBGene00010622</v>
      </c>
      <c r="B12016" s="9" t="str">
        <f>HYPERLINK("http://www.ncbi.nlm.nih.gov/gene/172672", "172672")</f>
        <v>172672</v>
      </c>
      <c r="C12016" s="9" t="str">
        <f>HYPERLINK("http://www.ncbi.nlm.nih.gov/gene/10767", "10767")</f>
        <v>10767</v>
      </c>
      <c r="D12016" t="str">
        <f>"K07A12.4"</f>
        <v>K07A12.4</v>
      </c>
      <c r="F12016" t="s">
        <v>11</v>
      </c>
      <c r="G12016" t="s">
        <v>8811</v>
      </c>
      <c r="H12016" s="12">
        <v>-1.1988175185808101</v>
      </c>
      <c r="I12016" s="20">
        <v>-0.89016528835187902</v>
      </c>
      <c r="J12016" s="28">
        <v>0.373377140227941</v>
      </c>
      <c r="K12016" s="29">
        <v>0.98289565623980701</v>
      </c>
    </row>
    <row r="12017" spans="1:11" x14ac:dyDescent="0.35">
      <c r="A12017" s="9" t="str">
        <f>HYPERLINK("http://www.ensembl.org/id/WBGene00010623", "WBGene00010623")</f>
        <v>WBGene00010623</v>
      </c>
      <c r="B12017" s="9" t="str">
        <f>HYPERLINK("http://www.ncbi.nlm.nih.gov/gene/187086", "187086")</f>
        <v>187086</v>
      </c>
      <c r="C12017" s="9"/>
      <c r="D12017" t="str">
        <f>"K07A12.5"</f>
        <v>K07A12.5</v>
      </c>
      <c r="F12017" t="s">
        <v>11</v>
      </c>
      <c r="H12017" s="12">
        <v>-1.3672654460034299</v>
      </c>
      <c r="I12017" s="20">
        <v>-0.50836594916529498</v>
      </c>
      <c r="J12017" s="28">
        <v>0.61119672790527202</v>
      </c>
      <c r="K12017" s="29">
        <v>0.98289565623980701</v>
      </c>
    </row>
    <row r="12018" spans="1:11" x14ac:dyDescent="0.35">
      <c r="A12018" s="9" t="str">
        <f>HYPERLINK("http://www.ensembl.org/id/WBGene00086557", "WBGene00086557")</f>
        <v>WBGene00086557</v>
      </c>
      <c r="B12018" s="9" t="str">
        <f>HYPERLINK("http://www.ncbi.nlm.nih.gov/gene/7040151", "7040151")</f>
        <v>7040151</v>
      </c>
      <c r="C12018" s="9"/>
      <c r="D12018" t="str">
        <f>"K07A12.8"</f>
        <v>K07A12.8</v>
      </c>
      <c r="F12018" t="s">
        <v>11</v>
      </c>
      <c r="G12018" t="s">
        <v>25</v>
      </c>
      <c r="H12018" s="12">
        <v>1.20570315429149</v>
      </c>
      <c r="I12018" s="20">
        <v>0.56130705639910705</v>
      </c>
      <c r="J12018" s="28">
        <v>0.574588231990524</v>
      </c>
      <c r="K12018" s="29">
        <v>0.98289565623980701</v>
      </c>
    </row>
    <row r="12019" spans="1:11" x14ac:dyDescent="0.35">
      <c r="A12019" s="9" t="str">
        <f>HYPERLINK("http://www.ensembl.org/id/WBGene00019461", "WBGene00019461")</f>
        <v>WBGene00019461</v>
      </c>
      <c r="B12019" s="9" t="str">
        <f>HYPERLINK("http://www.ncbi.nlm.nih.gov/gene/171817", "171817")</f>
        <v>171817</v>
      </c>
      <c r="C12019" s="9"/>
      <c r="D12019" t="str">
        <f>"K07A3.3"</f>
        <v>K07A3.3</v>
      </c>
      <c r="F12019" t="s">
        <v>11</v>
      </c>
      <c r="G12019" t="s">
        <v>4453</v>
      </c>
      <c r="H12019" s="12">
        <v>2.0037928181520699</v>
      </c>
      <c r="I12019" s="20">
        <v>0.62714290026742103</v>
      </c>
      <c r="J12019" s="28">
        <v>0.53056556812426203</v>
      </c>
      <c r="K12019" s="29">
        <v>0.98289565623980701</v>
      </c>
    </row>
    <row r="12020" spans="1:11" x14ac:dyDescent="0.35">
      <c r="A12020" s="9" t="str">
        <f>HYPERLINK("http://www.ensembl.org/id/WBGene00197160", "WBGene00197160")</f>
        <v>WBGene00197160</v>
      </c>
      <c r="B12020" s="9"/>
      <c r="C12020" s="9"/>
      <c r="D12020" t="str">
        <f>"K07A9.5"</f>
        <v>K07A9.5</v>
      </c>
      <c r="F12020" t="s">
        <v>481</v>
      </c>
      <c r="H12020" s="12">
        <v>3.5227018545059199</v>
      </c>
      <c r="I12020" s="20">
        <v>0.36849691206929103</v>
      </c>
      <c r="J12020" s="28">
        <v>0.71250274722433404</v>
      </c>
      <c r="K12020" s="29">
        <v>0.98289565623980701</v>
      </c>
    </row>
    <row r="12021" spans="1:11" x14ac:dyDescent="0.35">
      <c r="A12021" s="9" t="str">
        <f>HYPERLINK("http://www.ensembl.org/id/WBGene00014425", "WBGene00014425")</f>
        <v>WBGene00014425</v>
      </c>
      <c r="B12021" s="9"/>
      <c r="C12021" s="9"/>
      <c r="D12021" t="str">
        <f>"K07C10.2"</f>
        <v>K07C10.2</v>
      </c>
      <c r="F12021" t="s">
        <v>2977</v>
      </c>
      <c r="H12021" s="12">
        <v>6.6455025956121299</v>
      </c>
      <c r="I12021" s="20">
        <v>0.92043798768465701</v>
      </c>
      <c r="J12021" s="28">
        <v>0.35734392497915102</v>
      </c>
      <c r="K12021" s="29">
        <v>0.98289565623980701</v>
      </c>
    </row>
    <row r="12022" spans="1:11" x14ac:dyDescent="0.35">
      <c r="A12022" s="9" t="str">
        <f>HYPERLINK("http://www.ensembl.org/id/WBGene00019482", "WBGene00019482")</f>
        <v>WBGene00019482</v>
      </c>
      <c r="B12022" s="9" t="str">
        <f>HYPERLINK("http://www.ncbi.nlm.nih.gov/gene/179203", "179203")</f>
        <v>179203</v>
      </c>
      <c r="C12022" s="9"/>
      <c r="D12022" t="str">
        <f>"K07C11.10"</f>
        <v>K07C11.10</v>
      </c>
      <c r="F12022" t="s">
        <v>11</v>
      </c>
      <c r="G12022" t="s">
        <v>4267</v>
      </c>
      <c r="H12022" s="12">
        <v>1.9333672738772001</v>
      </c>
      <c r="I12022" s="20">
        <v>1.1169791383548999</v>
      </c>
      <c r="J12022" s="28">
        <v>0.26400324511823098</v>
      </c>
      <c r="K12022" s="29">
        <v>0.98289565623980701</v>
      </c>
    </row>
    <row r="12023" spans="1:11" x14ac:dyDescent="0.35">
      <c r="A12023" s="9" t="str">
        <f>HYPERLINK("http://www.ensembl.org/id/WBGene00195306", "WBGene00195306")</f>
        <v>WBGene00195306</v>
      </c>
      <c r="B12023" s="9"/>
      <c r="C12023" s="9"/>
      <c r="D12023" t="str">
        <f>"K07C11.13"</f>
        <v>K07C11.13</v>
      </c>
      <c r="F12023" t="s">
        <v>481</v>
      </c>
      <c r="H12023" s="12">
        <v>-2.4991590031922399</v>
      </c>
      <c r="I12023" s="20">
        <v>-0.26577412737581302</v>
      </c>
      <c r="J12023" s="28">
        <v>0.79041317015736101</v>
      </c>
      <c r="K12023" s="29">
        <v>0.98289565623980701</v>
      </c>
    </row>
    <row r="12024" spans="1:11" x14ac:dyDescent="0.35">
      <c r="A12024" s="9" t="str">
        <f>HYPERLINK("http://www.ensembl.org/id/WBGene00235331", "WBGene00235331")</f>
        <v>WBGene00235331</v>
      </c>
      <c r="B12024" s="9"/>
      <c r="C12024" s="9"/>
      <c r="D12024" t="str">
        <f>"K07C11.14"</f>
        <v>K07C11.14</v>
      </c>
      <c r="F12024" t="s">
        <v>2735</v>
      </c>
      <c r="H12024" s="12">
        <v>3.2247018142272399</v>
      </c>
      <c r="I12024" s="20">
        <v>0.49320310975751802</v>
      </c>
      <c r="J12024" s="28">
        <v>0.62186908080437198</v>
      </c>
      <c r="K12024" s="29">
        <v>0.98289565623980701</v>
      </c>
    </row>
    <row r="12025" spans="1:11" x14ac:dyDescent="0.35">
      <c r="A12025" s="9" t="str">
        <f>HYPERLINK("http://www.ensembl.org/id/WBGene00019480", "WBGene00019480")</f>
        <v>WBGene00019480</v>
      </c>
      <c r="B12025" s="9" t="str">
        <f>HYPERLINK("http://www.ncbi.nlm.nih.gov/gene/187106", "187106")</f>
        <v>187106</v>
      </c>
      <c r="C12025" s="9"/>
      <c r="D12025" t="str">
        <f>"K07C11.8"</f>
        <v>K07C11.8</v>
      </c>
      <c r="F12025" t="s">
        <v>11</v>
      </c>
      <c r="H12025" s="12">
        <v>1.0732743781817</v>
      </c>
      <c r="I12025" s="20">
        <v>0.296670837691833</v>
      </c>
      <c r="J12025" s="28">
        <v>0.76671782334323302</v>
      </c>
      <c r="K12025" s="29">
        <v>0.98289565623980701</v>
      </c>
    </row>
    <row r="12026" spans="1:11" x14ac:dyDescent="0.35">
      <c r="A12026" s="9" t="str">
        <f>HYPERLINK("http://www.ensembl.org/id/WBGene00044963", "WBGene00044963")</f>
        <v>WBGene00044963</v>
      </c>
      <c r="B12026" s="9"/>
      <c r="C12026" s="9"/>
      <c r="D12026" t="str">
        <f>"K07C5.11"</f>
        <v>K07C5.11</v>
      </c>
      <c r="F12026" t="s">
        <v>2977</v>
      </c>
      <c r="H12026" s="12">
        <v>3.5227018545059199</v>
      </c>
      <c r="I12026" s="20">
        <v>0.36849691206929103</v>
      </c>
      <c r="J12026" s="28">
        <v>0.71250274722433404</v>
      </c>
      <c r="K12026" s="29">
        <v>0.98289565623980701</v>
      </c>
    </row>
    <row r="12027" spans="1:11" x14ac:dyDescent="0.35">
      <c r="A12027" s="9" t="str">
        <f>HYPERLINK("http://www.ensembl.org/id/WBGene00045134", "WBGene00045134")</f>
        <v>WBGene00045134</v>
      </c>
      <c r="B12027" s="9"/>
      <c r="C12027" s="9"/>
      <c r="D12027" t="str">
        <f>"K07C5.12"</f>
        <v>K07C5.12</v>
      </c>
      <c r="F12027" t="s">
        <v>2977</v>
      </c>
      <c r="H12027" s="12">
        <v>2.4578120077400301</v>
      </c>
      <c r="I12027" s="20">
        <v>0.26093350314551</v>
      </c>
      <c r="J12027" s="28">
        <v>0.79414378780213601</v>
      </c>
      <c r="K12027" s="29">
        <v>0.98289565623980701</v>
      </c>
    </row>
    <row r="12028" spans="1:11" x14ac:dyDescent="0.35">
      <c r="A12028" s="9" t="str">
        <f>HYPERLINK("http://www.ensembl.org/id/WBGene00050947", "WBGene00050947")</f>
        <v>WBGene00050947</v>
      </c>
      <c r="B12028" s="9" t="str">
        <f>HYPERLINK("http://www.ncbi.nlm.nih.gov/gene/6418753", "6418753")</f>
        <v>6418753</v>
      </c>
      <c r="C12028" s="9"/>
      <c r="D12028" t="str">
        <f>"K07C5.13"</f>
        <v>K07C5.13</v>
      </c>
      <c r="F12028" t="s">
        <v>11</v>
      </c>
      <c r="H12028" s="12">
        <v>1.54377142986615</v>
      </c>
      <c r="I12028" s="20">
        <v>0.88683299431448104</v>
      </c>
      <c r="J12028" s="28">
        <v>0.375168820994074</v>
      </c>
      <c r="K12028" s="29">
        <v>0.98289565623980701</v>
      </c>
    </row>
    <row r="12029" spans="1:11" x14ac:dyDescent="0.35">
      <c r="A12029" s="9" t="str">
        <f>HYPERLINK("http://www.ensembl.org/id/WBGene00200131", "WBGene00200131")</f>
        <v>WBGene00200131</v>
      </c>
      <c r="B12029" s="9"/>
      <c r="C12029" s="9"/>
      <c r="D12029" t="str">
        <f>"K07C5.15"</f>
        <v>K07C5.15</v>
      </c>
      <c r="F12029" t="s">
        <v>481</v>
      </c>
      <c r="H12029" s="12">
        <v>-3.5819448292659501</v>
      </c>
      <c r="I12029" s="20">
        <v>-0.37337717500031398</v>
      </c>
      <c r="J12029" s="28">
        <v>0.70886774492290605</v>
      </c>
      <c r="K12029" s="29">
        <v>0.98289565623980701</v>
      </c>
    </row>
    <row r="12030" spans="1:11" x14ac:dyDescent="0.35">
      <c r="A12030" s="9" t="str">
        <f>HYPERLINK("http://www.ensembl.org/id/WBGene00200772", "WBGene00200772")</f>
        <v>WBGene00200772</v>
      </c>
      <c r="B12030" s="9"/>
      <c r="C12030" s="9"/>
      <c r="D12030" t="str">
        <f>"K07C5.16"</f>
        <v>K07C5.16</v>
      </c>
      <c r="F12030" t="s">
        <v>481</v>
      </c>
      <c r="H12030" s="12">
        <v>-3.7261494131482999</v>
      </c>
      <c r="I12030" s="20">
        <v>-0.38454673129429601</v>
      </c>
      <c r="J12030" s="28">
        <v>0.70057326682554</v>
      </c>
      <c r="K12030" s="29">
        <v>0.98289565623980701</v>
      </c>
    </row>
    <row r="12031" spans="1:11" x14ac:dyDescent="0.35">
      <c r="A12031" s="9" t="str">
        <f>HYPERLINK("http://www.ensembl.org/id/WBGene00220008", "WBGene00220008")</f>
        <v>WBGene00220008</v>
      </c>
      <c r="B12031" s="9"/>
      <c r="C12031" s="9"/>
      <c r="D12031" t="str">
        <f>"K07C5.18"</f>
        <v>K07C5.18</v>
      </c>
      <c r="F12031" t="s">
        <v>2977</v>
      </c>
      <c r="H12031" s="12">
        <v>-2.8168299036705799</v>
      </c>
      <c r="I12031" s="20">
        <v>-0.37699042193643401</v>
      </c>
      <c r="J12031" s="28">
        <v>0.70618072287494404</v>
      </c>
      <c r="K12031" s="29">
        <v>0.98289565623980701</v>
      </c>
    </row>
    <row r="12032" spans="1:11" x14ac:dyDescent="0.35">
      <c r="A12032" s="9" t="str">
        <f>HYPERLINK("http://www.ensembl.org/id/WBGene00010625", "WBGene00010625")</f>
        <v>WBGene00010625</v>
      </c>
      <c r="B12032" s="9" t="str">
        <f>HYPERLINK("http://www.ncbi.nlm.nih.gov/gene/187089", "187089")</f>
        <v>187089</v>
      </c>
      <c r="C12032" s="9"/>
      <c r="D12032" t="str">
        <f>"K07C5.2"</f>
        <v>K07C5.2</v>
      </c>
      <c r="F12032" t="s">
        <v>11</v>
      </c>
      <c r="G12032" t="s">
        <v>692</v>
      </c>
      <c r="H12032" s="12">
        <v>1.1346663917687201</v>
      </c>
      <c r="I12032" s="20">
        <v>0.59508077519046199</v>
      </c>
      <c r="J12032" s="28">
        <v>0.55178947865540395</v>
      </c>
      <c r="K12032" s="29">
        <v>0.98289565623980701</v>
      </c>
    </row>
    <row r="12033" spans="1:11" x14ac:dyDescent="0.35">
      <c r="A12033" s="9" t="str">
        <f>HYPERLINK("http://www.ensembl.org/id/WBGene00019484", "WBGene00019484")</f>
        <v>WBGene00019484</v>
      </c>
      <c r="B12033" s="9" t="str">
        <f>HYPERLINK("http://www.ncbi.nlm.nih.gov/gene/187108", "187108")</f>
        <v>187108</v>
      </c>
      <c r="C12033" s="9"/>
      <c r="D12033" t="str">
        <f>"K07D4.4"</f>
        <v>K07D4.4</v>
      </c>
      <c r="F12033" t="s">
        <v>11</v>
      </c>
      <c r="H12033" s="12">
        <v>1.2256823218470301</v>
      </c>
      <c r="I12033" s="20">
        <v>0.55598021898130601</v>
      </c>
      <c r="J12033" s="28">
        <v>0.57822437746184396</v>
      </c>
      <c r="K12033" s="29">
        <v>0.98289565623980701</v>
      </c>
    </row>
    <row r="12034" spans="1:11" x14ac:dyDescent="0.35">
      <c r="A12034" s="9" t="str">
        <f>HYPERLINK("http://www.ensembl.org/id/WBGene00019485", "WBGene00019485")</f>
        <v>WBGene00019485</v>
      </c>
      <c r="B12034" s="9" t="str">
        <f>HYPERLINK("http://www.ncbi.nlm.nih.gov/gene/187109", "187109")</f>
        <v>187109</v>
      </c>
      <c r="C12034" s="9"/>
      <c r="D12034" t="str">
        <f>"K07D4.5"</f>
        <v>K07D4.5</v>
      </c>
      <c r="F12034" t="s">
        <v>11</v>
      </c>
      <c r="H12034" s="12">
        <v>2.70662331856105</v>
      </c>
      <c r="I12034" s="20">
        <v>1.1785972990326501</v>
      </c>
      <c r="J12034" s="28">
        <v>0.238558567668926</v>
      </c>
      <c r="K12034" s="29">
        <v>0.98289565623980701</v>
      </c>
    </row>
    <row r="12035" spans="1:11" x14ac:dyDescent="0.35">
      <c r="A12035" s="9" t="str">
        <f>HYPERLINK("http://www.ensembl.org/id/WBGene00019486", "WBGene00019486")</f>
        <v>WBGene00019486</v>
      </c>
      <c r="B12035" s="9" t="str">
        <f>HYPERLINK("http://www.ncbi.nlm.nih.gov/gene/187110", "187110")</f>
        <v>187110</v>
      </c>
      <c r="C12035" s="9"/>
      <c r="D12035" t="str">
        <f>"K07D4.6"</f>
        <v>K07D4.6</v>
      </c>
      <c r="F12035" t="s">
        <v>11</v>
      </c>
      <c r="H12035" s="12">
        <v>1.50813423375816</v>
      </c>
      <c r="I12035" s="20">
        <v>0.64922658062738803</v>
      </c>
      <c r="J12035" s="28">
        <v>0.51619193331914504</v>
      </c>
      <c r="K12035" s="29">
        <v>0.98289565623980701</v>
      </c>
    </row>
    <row r="12036" spans="1:11" x14ac:dyDescent="0.35">
      <c r="A12036" s="9" t="str">
        <f>HYPERLINK("http://www.ensembl.org/id/WBGene00220009", "WBGene00220009")</f>
        <v>WBGene00220009</v>
      </c>
      <c r="B12036" s="9"/>
      <c r="C12036" s="9"/>
      <c r="D12036" t="str">
        <f>"K07E1.2"</f>
        <v>K07E1.2</v>
      </c>
      <c r="F12036" t="s">
        <v>2977</v>
      </c>
      <c r="H12036" s="12">
        <v>-3.7888193102315602</v>
      </c>
      <c r="I12036" s="20">
        <v>-0.495913385551012</v>
      </c>
      <c r="J12036" s="28">
        <v>0.61995552175546398</v>
      </c>
      <c r="K12036" s="29">
        <v>0.98289565623980701</v>
      </c>
    </row>
    <row r="12037" spans="1:11" x14ac:dyDescent="0.35">
      <c r="A12037" s="9" t="str">
        <f>HYPERLINK("http://www.ensembl.org/id/WBGene00019501", "WBGene00019501")</f>
        <v>WBGene00019501</v>
      </c>
      <c r="B12037" s="9" t="str">
        <f>HYPERLINK("http://www.ncbi.nlm.nih.gov/gene/187117", "187117")</f>
        <v>187117</v>
      </c>
      <c r="C12037" s="9"/>
      <c r="D12037" t="str">
        <f>"K07E12.2"</f>
        <v>K07E12.2</v>
      </c>
      <c r="F12037" t="s">
        <v>11</v>
      </c>
      <c r="H12037" s="12">
        <v>-2.4295389261469</v>
      </c>
      <c r="I12037" s="20">
        <v>-0.25808529976640998</v>
      </c>
      <c r="J12037" s="28">
        <v>0.79634107645457397</v>
      </c>
      <c r="K12037" s="29">
        <v>0.98289565623980701</v>
      </c>
    </row>
    <row r="12038" spans="1:11" x14ac:dyDescent="0.35">
      <c r="A12038" s="9" t="str">
        <f>HYPERLINK("http://www.ensembl.org/id/WBGene00198842", "WBGene00198842")</f>
        <v>WBGene00198842</v>
      </c>
      <c r="B12038" s="9"/>
      <c r="C12038" s="9"/>
      <c r="D12038" t="str">
        <f>"K07E3.10"</f>
        <v>K07E3.10</v>
      </c>
      <c r="F12038" t="s">
        <v>481</v>
      </c>
      <c r="H12038" s="12">
        <v>2.4578120077400301</v>
      </c>
      <c r="I12038" s="20">
        <v>0.26093350314551</v>
      </c>
      <c r="J12038" s="28">
        <v>0.79414378780213601</v>
      </c>
      <c r="K12038" s="29">
        <v>0.98289565623980701</v>
      </c>
    </row>
    <row r="12039" spans="1:11" x14ac:dyDescent="0.35">
      <c r="A12039" s="9" t="str">
        <f>HYPERLINK("http://www.ensembl.org/id/WBGene00019491", "WBGene00019491")</f>
        <v>WBGene00019491</v>
      </c>
      <c r="B12039" s="9" t="str">
        <f>HYPERLINK("http://www.ncbi.nlm.nih.gov/gene/187111", "187111")</f>
        <v>187111</v>
      </c>
      <c r="C12039" s="9"/>
      <c r="D12039" t="str">
        <f>"K07E3.2"</f>
        <v>K07E3.2</v>
      </c>
      <c r="F12039" t="s">
        <v>11</v>
      </c>
      <c r="H12039" s="12">
        <v>1.2211053354760999</v>
      </c>
      <c r="I12039" s="20">
        <v>0.85332064209764502</v>
      </c>
      <c r="J12039" s="28">
        <v>0.393481516009694</v>
      </c>
      <c r="K12039" s="29">
        <v>0.98289565623980701</v>
      </c>
    </row>
    <row r="12040" spans="1:11" x14ac:dyDescent="0.35">
      <c r="A12040" s="9" t="str">
        <f>HYPERLINK("http://www.ensembl.org/id/WBGene00194670", "WBGene00194670")</f>
        <v>WBGene00194670</v>
      </c>
      <c r="B12040" s="9" t="str">
        <f>HYPERLINK("http://www.ncbi.nlm.nih.gov/gene/13221694", "13221694")</f>
        <v>13221694</v>
      </c>
      <c r="C12040" s="9"/>
      <c r="D12040" t="str">
        <f>"K07E3.9"</f>
        <v>K07E3.9</v>
      </c>
      <c r="F12040" t="s">
        <v>11</v>
      </c>
      <c r="G12040" t="s">
        <v>25</v>
      </c>
      <c r="H12040" s="12">
        <v>-1.3501324343812799</v>
      </c>
      <c r="I12040" s="20">
        <v>-1.1199699887983501</v>
      </c>
      <c r="J12040" s="28">
        <v>0.26272655122265598</v>
      </c>
      <c r="K12040" s="29">
        <v>0.98289565623980701</v>
      </c>
    </row>
    <row r="12041" spans="1:11" x14ac:dyDescent="0.35">
      <c r="A12041" s="9" t="str">
        <f>HYPERLINK("http://www.ensembl.org/id/WBGene00019494", "WBGene00019494")</f>
        <v>WBGene00019494</v>
      </c>
      <c r="B12041" s="9"/>
      <c r="C12041" s="9"/>
      <c r="D12041" t="str">
        <f>"K07E8.1"</f>
        <v>K07E8.1</v>
      </c>
      <c r="F12041" t="s">
        <v>80</v>
      </c>
      <c r="H12041" s="12">
        <v>2.3893468495514898</v>
      </c>
      <c r="I12041" s="20">
        <v>0.25323547253672701</v>
      </c>
      <c r="J12041" s="28">
        <v>0.80008625651646104</v>
      </c>
      <c r="K12041" s="29">
        <v>0.98289565623980701</v>
      </c>
    </row>
    <row r="12042" spans="1:11" x14ac:dyDescent="0.35">
      <c r="A12042" s="9" t="str">
        <f>HYPERLINK("http://www.ensembl.org/id/WBGene00010638", "WBGene00010638")</f>
        <v>WBGene00010638</v>
      </c>
      <c r="B12042" s="9" t="str">
        <f>HYPERLINK("http://www.ncbi.nlm.nih.gov/gene/177837", "177837")</f>
        <v>177837</v>
      </c>
      <c r="C12042" s="9"/>
      <c r="D12042" t="str">
        <f>"K07F5.14"</f>
        <v>K07F5.14</v>
      </c>
      <c r="F12042" t="s">
        <v>11</v>
      </c>
      <c r="H12042" s="12">
        <v>-1.1338696496308001</v>
      </c>
      <c r="I12042" s="20">
        <v>-0.539258825891056</v>
      </c>
      <c r="J12042" s="28">
        <v>0.58970827503603895</v>
      </c>
      <c r="K12042" s="29">
        <v>0.98289565623980701</v>
      </c>
    </row>
    <row r="12043" spans="1:11" x14ac:dyDescent="0.35">
      <c r="A12043" s="9" t="str">
        <f>HYPERLINK("http://www.ensembl.org/id/WBGene00010640", "WBGene00010640")</f>
        <v>WBGene00010640</v>
      </c>
      <c r="B12043" s="9" t="str">
        <f>HYPERLINK("http://www.ncbi.nlm.nih.gov/gene/3565979", "3565979")</f>
        <v>3565979</v>
      </c>
      <c r="C12043" s="9"/>
      <c r="D12043" t="str">
        <f>"K07F5.16"</f>
        <v>K07F5.16</v>
      </c>
      <c r="F12043" t="s">
        <v>11</v>
      </c>
      <c r="H12043" s="12">
        <v>1.4218455163322501</v>
      </c>
      <c r="I12043" s="20">
        <v>1.0268398703885599</v>
      </c>
      <c r="J12043" s="28">
        <v>0.304495871822693</v>
      </c>
      <c r="K12043" s="29">
        <v>0.98289565623980701</v>
      </c>
    </row>
    <row r="12044" spans="1:11" x14ac:dyDescent="0.35">
      <c r="A12044" s="9" t="str">
        <f>HYPERLINK("http://www.ensembl.org/id/WBGene00045180", "WBGene00045180")</f>
        <v>WBGene00045180</v>
      </c>
      <c r="B12044" s="9" t="str">
        <f>HYPERLINK("http://www.ncbi.nlm.nih.gov/gene/4926938", "4926938")</f>
        <v>4926938</v>
      </c>
      <c r="C12044" s="9"/>
      <c r="D12044" t="str">
        <f>"K07F5.17"</f>
        <v>K07F5.17</v>
      </c>
      <c r="F12044" t="s">
        <v>11</v>
      </c>
      <c r="H12044" s="12">
        <v>-2.4295389261469</v>
      </c>
      <c r="I12044" s="20">
        <v>-0.25808529976640998</v>
      </c>
      <c r="J12044" s="28">
        <v>0.79634107645457397</v>
      </c>
      <c r="K12044" s="29">
        <v>0.98289565623980701</v>
      </c>
    </row>
    <row r="12045" spans="1:11" x14ac:dyDescent="0.35">
      <c r="A12045" s="9" t="str">
        <f>HYPERLINK("http://www.ensembl.org/id/WBGene00200908", "WBGene00200908")</f>
        <v>WBGene00200908</v>
      </c>
      <c r="B12045" s="9"/>
      <c r="C12045" s="9"/>
      <c r="D12045" t="str">
        <f>"K07F5.20"</f>
        <v>K07F5.20</v>
      </c>
      <c r="F12045" t="s">
        <v>481</v>
      </c>
      <c r="H12045" s="12">
        <v>-2.4295389261469</v>
      </c>
      <c r="I12045" s="20">
        <v>-0.25808529976640998</v>
      </c>
      <c r="J12045" s="28">
        <v>0.79634107645457397</v>
      </c>
      <c r="K12045" s="29">
        <v>0.98289565623980701</v>
      </c>
    </row>
    <row r="12046" spans="1:11" x14ac:dyDescent="0.35">
      <c r="A12046" s="9" t="str">
        <f>HYPERLINK("http://www.ensembl.org/id/WBGene00010634", "WBGene00010634")</f>
        <v>WBGene00010634</v>
      </c>
      <c r="B12046" s="9" t="str">
        <f>HYPERLINK("http://www.ncbi.nlm.nih.gov/gene/177832", "177832")</f>
        <v>177832</v>
      </c>
      <c r="C12046" s="9"/>
      <c r="D12046" t="str">
        <f>"K07F5.6"</f>
        <v>K07F5.6</v>
      </c>
      <c r="F12046" t="s">
        <v>11</v>
      </c>
      <c r="G12046" t="s">
        <v>4317</v>
      </c>
      <c r="H12046" s="12">
        <v>3.1645523017317898</v>
      </c>
      <c r="I12046" s="20">
        <v>0.54308093485958098</v>
      </c>
      <c r="J12046" s="28">
        <v>0.58707407866356298</v>
      </c>
      <c r="K12046" s="29">
        <v>0.98289565623980701</v>
      </c>
    </row>
    <row r="12047" spans="1:11" x14ac:dyDescent="0.35">
      <c r="A12047" s="9" t="str">
        <f>HYPERLINK("http://www.ensembl.org/id/WBGene00010636", "WBGene00010636")</f>
        <v>WBGene00010636</v>
      </c>
      <c r="B12047" s="9" t="str">
        <f>HYPERLINK("http://www.ncbi.nlm.nih.gov/gene/177833", "177833")</f>
        <v>177833</v>
      </c>
      <c r="C12047" s="9"/>
      <c r="D12047" t="str">
        <f>"K07F5.8"</f>
        <v>K07F5.8</v>
      </c>
      <c r="E12047" t="s">
        <v>1019</v>
      </c>
      <c r="F12047" t="s">
        <v>11</v>
      </c>
      <c r="G12047" t="s">
        <v>1020</v>
      </c>
      <c r="H12047" s="12">
        <v>4.0908130993089404</v>
      </c>
      <c r="I12047" s="20">
        <v>1.16266661937603</v>
      </c>
      <c r="J12047" s="28">
        <v>0.24496479001771701</v>
      </c>
      <c r="K12047" s="29">
        <v>0.98289565623980701</v>
      </c>
    </row>
    <row r="12048" spans="1:11" x14ac:dyDescent="0.35">
      <c r="A12048" s="9" t="str">
        <f>HYPERLINK("http://www.ensembl.org/id/WBGene00019502", "WBGene00019502")</f>
        <v>WBGene00019502</v>
      </c>
      <c r="B12048" s="9" t="str">
        <f>HYPERLINK("http://www.ncbi.nlm.nih.gov/gene/187124", "187124")</f>
        <v>187124</v>
      </c>
      <c r="C12048" s="9"/>
      <c r="D12048" t="str">
        <f>"K07G6.1"</f>
        <v>K07G6.1</v>
      </c>
      <c r="F12048" t="s">
        <v>11</v>
      </c>
      <c r="H12048" s="12">
        <v>4.4368407117627902</v>
      </c>
      <c r="I12048" s="20">
        <v>0.43709475933309699</v>
      </c>
      <c r="J12048" s="28">
        <v>0.66204262779770495</v>
      </c>
      <c r="K12048" s="29">
        <v>0.98289565623980701</v>
      </c>
    </row>
    <row r="12049" spans="1:11" x14ac:dyDescent="0.35">
      <c r="A12049" s="9" t="str">
        <f>HYPERLINK("http://www.ensembl.org/id/WBGene00019510", "WBGene00019510")</f>
        <v>WBGene00019510</v>
      </c>
      <c r="B12049" s="9" t="str">
        <f>HYPERLINK("http://www.ncbi.nlm.nih.gov/gene/177621", "177621")</f>
        <v>177621</v>
      </c>
      <c r="C12049" s="9"/>
      <c r="D12049" t="str">
        <f>"K07H8.10"</f>
        <v>K07H8.10</v>
      </c>
      <c r="F12049" t="s">
        <v>11</v>
      </c>
      <c r="G12049" t="s">
        <v>2343</v>
      </c>
      <c r="H12049" s="12">
        <v>-1.1456547127318899</v>
      </c>
      <c r="I12049" s="20">
        <v>-0.68194030578065501</v>
      </c>
      <c r="J12049" s="28">
        <v>0.49527669771823701</v>
      </c>
      <c r="K12049" s="29">
        <v>0.98289565623980701</v>
      </c>
    </row>
    <row r="12050" spans="1:11" x14ac:dyDescent="0.35">
      <c r="A12050" s="9" t="str">
        <f>HYPERLINK("http://www.ensembl.org/id/WBGene00044510", "WBGene00044510")</f>
        <v>WBGene00044510</v>
      </c>
      <c r="B12050" s="9" t="str">
        <f>HYPERLINK("http://www.ncbi.nlm.nih.gov/gene/3896786", "3896786")</f>
        <v>3896786</v>
      </c>
      <c r="C12050" s="9"/>
      <c r="D12050" t="str">
        <f>"K07H8.11"</f>
        <v>K07H8.11</v>
      </c>
      <c r="F12050" t="s">
        <v>11</v>
      </c>
      <c r="H12050" s="12">
        <v>1.1009766567330099</v>
      </c>
      <c r="I12050" s="20">
        <v>0.33278793242291199</v>
      </c>
      <c r="J12050" s="28">
        <v>0.73929436807638205</v>
      </c>
      <c r="K12050" s="29">
        <v>0.98289565623980701</v>
      </c>
    </row>
    <row r="12051" spans="1:11" x14ac:dyDescent="0.35">
      <c r="A12051" s="9" t="str">
        <f>HYPERLINK("http://www.ensembl.org/id/WBGene00044509", "WBGene00044509")</f>
        <v>WBGene00044509</v>
      </c>
      <c r="B12051" s="9" t="str">
        <f>HYPERLINK("http://www.ncbi.nlm.nih.gov/gene/3896781", "3896781")</f>
        <v>3896781</v>
      </c>
      <c r="C12051" s="9"/>
      <c r="D12051" t="str">
        <f>"K07H8.12"</f>
        <v>K07H8.12</v>
      </c>
      <c r="F12051" t="s">
        <v>11</v>
      </c>
      <c r="H12051" s="12">
        <v>-1.28000687155467</v>
      </c>
      <c r="I12051" s="20">
        <v>-0.99052778751168002</v>
      </c>
      <c r="J12051" s="28">
        <v>0.32191621406804899</v>
      </c>
      <c r="K12051" s="29">
        <v>0.98289565623980701</v>
      </c>
    </row>
    <row r="12052" spans="1:11" x14ac:dyDescent="0.35">
      <c r="A12052" s="9" t="str">
        <f>HYPERLINK("http://www.ensembl.org/id/WBGene00019507", "WBGene00019507")</f>
        <v>WBGene00019507</v>
      </c>
      <c r="B12052" s="9" t="str">
        <f>HYPERLINK("http://www.ncbi.nlm.nih.gov/gene/187127", "187127")</f>
        <v>187127</v>
      </c>
      <c r="C12052" s="9"/>
      <c r="D12052" t="str">
        <f>"K07H8.7"</f>
        <v>K07H8.7</v>
      </c>
      <c r="F12052" t="s">
        <v>11</v>
      </c>
      <c r="G12052" t="s">
        <v>25</v>
      </c>
      <c r="H12052" s="12">
        <v>1.61621236023697</v>
      </c>
      <c r="I12052" s="20">
        <v>0.57656727391448903</v>
      </c>
      <c r="J12052" s="28">
        <v>0.56423181200544004</v>
      </c>
      <c r="K12052" s="29">
        <v>0.98289565623980701</v>
      </c>
    </row>
    <row r="12053" spans="1:11" x14ac:dyDescent="0.35">
      <c r="A12053" s="9" t="str">
        <f>HYPERLINK("http://www.ensembl.org/id/WBGene00019508", "WBGene00019508")</f>
        <v>WBGene00019508</v>
      </c>
      <c r="B12053" s="9" t="str">
        <f>HYPERLINK("http://www.ncbi.nlm.nih.gov/gene/187128", "187128")</f>
        <v>187128</v>
      </c>
      <c r="C12053" s="9"/>
      <c r="D12053" t="str">
        <f>"K07H8.8"</f>
        <v>K07H8.8</v>
      </c>
      <c r="F12053" t="s">
        <v>11</v>
      </c>
      <c r="G12053" t="s">
        <v>3419</v>
      </c>
      <c r="H12053" s="12">
        <v>2.7590943457620201</v>
      </c>
      <c r="I12053" s="20">
        <v>0.399394997622048</v>
      </c>
      <c r="J12053" s="28">
        <v>0.68960217929659196</v>
      </c>
      <c r="K12053" s="29">
        <v>0.98289565623980701</v>
      </c>
    </row>
    <row r="12054" spans="1:11" x14ac:dyDescent="0.35">
      <c r="A12054" s="9" t="str">
        <f>HYPERLINK("http://www.ensembl.org/id/WBGene00019509", "WBGene00019509")</f>
        <v>WBGene00019509</v>
      </c>
      <c r="B12054" s="9" t="str">
        <f>HYPERLINK("http://www.ncbi.nlm.nih.gov/gene/177620", "177620")</f>
        <v>177620</v>
      </c>
      <c r="C12054" s="9"/>
      <c r="D12054" t="str">
        <f>"K07H8.9"</f>
        <v>K07H8.9</v>
      </c>
      <c r="F12054" t="s">
        <v>11</v>
      </c>
      <c r="G12054" t="s">
        <v>7298</v>
      </c>
      <c r="H12054" s="12">
        <v>-1.54365669368703</v>
      </c>
      <c r="I12054" s="20">
        <v>-1.1945104891426901</v>
      </c>
      <c r="J12054" s="28">
        <v>0.232278340134669</v>
      </c>
      <c r="K12054" s="29">
        <v>0.98289565623980701</v>
      </c>
    </row>
    <row r="12055" spans="1:11" x14ac:dyDescent="0.35">
      <c r="A12055" s="9" t="str">
        <f>HYPERLINK("http://www.ensembl.org/id/WBGene00019512", "WBGene00019512")</f>
        <v>WBGene00019512</v>
      </c>
      <c r="B12055" s="9" t="str">
        <f>HYPERLINK("http://www.ncbi.nlm.nih.gov/gene/173644", "173644")</f>
        <v>173644</v>
      </c>
      <c r="C12055" s="9"/>
      <c r="D12055" t="str">
        <f>"K08A2.2"</f>
        <v>K08A2.2</v>
      </c>
      <c r="F12055" t="s">
        <v>11</v>
      </c>
      <c r="H12055" s="12">
        <v>-1.25892046941393</v>
      </c>
      <c r="I12055" s="20">
        <v>-0.25916098100497698</v>
      </c>
      <c r="J12055" s="28">
        <v>0.79551103546205904</v>
      </c>
      <c r="K12055" s="29">
        <v>0.98289565623980701</v>
      </c>
    </row>
    <row r="12056" spans="1:11" x14ac:dyDescent="0.35">
      <c r="A12056" s="9" t="str">
        <f>HYPERLINK("http://www.ensembl.org/id/WBGene00196765", "WBGene00196765")</f>
        <v>WBGene00196765</v>
      </c>
      <c r="B12056" s="9"/>
      <c r="C12056" s="9"/>
      <c r="D12056" t="str">
        <f>"K08A8.10"</f>
        <v>K08A8.10</v>
      </c>
      <c r="F12056" t="s">
        <v>481</v>
      </c>
      <c r="H12056" s="12">
        <v>2.3893468495514898</v>
      </c>
      <c r="I12056" s="20">
        <v>0.25323547253672701</v>
      </c>
      <c r="J12056" s="28">
        <v>0.80008625651646104</v>
      </c>
      <c r="K12056" s="29">
        <v>0.98289565623980701</v>
      </c>
    </row>
    <row r="12057" spans="1:11" x14ac:dyDescent="0.35">
      <c r="A12057" s="9" t="str">
        <f>HYPERLINK("http://www.ensembl.org/id/WBGene00198796", "WBGene00198796")</f>
        <v>WBGene00198796</v>
      </c>
      <c r="B12057" s="9"/>
      <c r="C12057" s="9"/>
      <c r="D12057" t="str">
        <f>"K08A8.17"</f>
        <v>K08A8.17</v>
      </c>
      <c r="F12057" t="s">
        <v>481</v>
      </c>
      <c r="H12057" s="12">
        <v>5.4058944669092801</v>
      </c>
      <c r="I12057" s="20">
        <v>0.49762513753689303</v>
      </c>
      <c r="J12057" s="28">
        <v>0.61874828254921799</v>
      </c>
      <c r="K12057" s="29">
        <v>0.98289565623980701</v>
      </c>
    </row>
    <row r="12058" spans="1:11" x14ac:dyDescent="0.35">
      <c r="A12058" s="9" t="str">
        <f>HYPERLINK("http://www.ensembl.org/id/WBGene00198869", "WBGene00198869")</f>
        <v>WBGene00198869</v>
      </c>
      <c r="B12058" s="9"/>
      <c r="C12058" s="9"/>
      <c r="D12058" t="str">
        <f>"K08A8.18"</f>
        <v>K08A8.18</v>
      </c>
      <c r="F12058" t="s">
        <v>481</v>
      </c>
      <c r="H12058" s="12">
        <v>-2.4295389261469</v>
      </c>
      <c r="I12058" s="20">
        <v>-0.25808529976640998</v>
      </c>
      <c r="J12058" s="28">
        <v>0.79634107645457397</v>
      </c>
      <c r="K12058" s="29">
        <v>0.98289565623980701</v>
      </c>
    </row>
    <row r="12059" spans="1:11" x14ac:dyDescent="0.35">
      <c r="A12059" s="9" t="str">
        <f>HYPERLINK("http://www.ensembl.org/id/WBGene00199086", "WBGene00199086")</f>
        <v>WBGene00199086</v>
      </c>
      <c r="B12059" s="9"/>
      <c r="C12059" s="9"/>
      <c r="D12059" t="str">
        <f>"K08A8.20"</f>
        <v>K08A8.20</v>
      </c>
      <c r="F12059" t="s">
        <v>481</v>
      </c>
      <c r="H12059" s="12">
        <v>3.28624938312884</v>
      </c>
      <c r="I12059" s="20">
        <v>0.36379512681977599</v>
      </c>
      <c r="J12059" s="28">
        <v>0.716011001908614</v>
      </c>
      <c r="K12059" s="29">
        <v>0.98289565623980701</v>
      </c>
    </row>
    <row r="12060" spans="1:11" x14ac:dyDescent="0.35">
      <c r="A12060" s="9" t="str">
        <f>HYPERLINK("http://www.ensembl.org/id/WBGene00200487", "WBGene00200487")</f>
        <v>WBGene00200487</v>
      </c>
      <c r="B12060" s="9"/>
      <c r="C12060" s="9"/>
      <c r="D12060" t="str">
        <f>"K08A8.23"</f>
        <v>K08A8.23</v>
      </c>
      <c r="F12060" t="s">
        <v>481</v>
      </c>
      <c r="H12060" s="12">
        <v>2.88342137924041</v>
      </c>
      <c r="I12060" s="20">
        <v>0.40428677256808698</v>
      </c>
      <c r="J12060" s="28">
        <v>0.68600185121492296</v>
      </c>
      <c r="K12060" s="29">
        <v>0.98289565623980701</v>
      </c>
    </row>
    <row r="12061" spans="1:11" x14ac:dyDescent="0.35">
      <c r="A12061" s="9" t="str">
        <f>HYPERLINK("http://www.ensembl.org/id/WBGene00201525", "WBGene00201525")</f>
        <v>WBGene00201525</v>
      </c>
      <c r="B12061" s="9"/>
      <c r="C12061" s="9"/>
      <c r="D12061" t="str">
        <f>"K08A8.27"</f>
        <v>K08A8.27</v>
      </c>
      <c r="F12061" t="s">
        <v>481</v>
      </c>
      <c r="H12061" s="12">
        <v>-2.4295389261469</v>
      </c>
      <c r="I12061" s="20">
        <v>-0.25808529976640998</v>
      </c>
      <c r="J12061" s="28">
        <v>0.79634107645457397</v>
      </c>
      <c r="K12061" s="29">
        <v>0.98289565623980701</v>
      </c>
    </row>
    <row r="12062" spans="1:11" x14ac:dyDescent="0.35">
      <c r="A12062" s="9" t="str">
        <f>HYPERLINK("http://www.ensembl.org/id/WBGene00202091", "WBGene00202091")</f>
        <v>WBGene00202091</v>
      </c>
      <c r="B12062" s="9"/>
      <c r="C12062" s="9"/>
      <c r="D12062" t="str">
        <f>"K08A8.29"</f>
        <v>K08A8.29</v>
      </c>
      <c r="F12062" t="s">
        <v>481</v>
      </c>
      <c r="H12062" s="12">
        <v>4.6387698961716399</v>
      </c>
      <c r="I12062" s="20">
        <v>0.44985450087338802</v>
      </c>
      <c r="J12062" s="28">
        <v>0.65281535672642099</v>
      </c>
      <c r="K12062" s="29">
        <v>0.98289565623980701</v>
      </c>
    </row>
    <row r="12063" spans="1:11" x14ac:dyDescent="0.35">
      <c r="A12063" s="9" t="str">
        <f>HYPERLINK("http://www.ensembl.org/id/WBGene00202460", "WBGene00202460")</f>
        <v>WBGene00202460</v>
      </c>
      <c r="B12063" s="9"/>
      <c r="C12063" s="9"/>
      <c r="D12063" t="str">
        <f>"K08A8.31"</f>
        <v>K08A8.31</v>
      </c>
      <c r="F12063" t="s">
        <v>481</v>
      </c>
      <c r="H12063" s="12">
        <v>-5.7240770346231198</v>
      </c>
      <c r="I12063" s="20">
        <v>-0.63906553810324995</v>
      </c>
      <c r="J12063" s="28">
        <v>0.52278029759756095</v>
      </c>
      <c r="K12063" s="29">
        <v>0.98289565623980701</v>
      </c>
    </row>
    <row r="12064" spans="1:11" x14ac:dyDescent="0.35">
      <c r="A12064" s="9" t="str">
        <f>HYPERLINK("http://www.ensembl.org/id/WBGene00195789", "WBGene00195789")</f>
        <v>WBGene00195789</v>
      </c>
      <c r="B12064" s="9"/>
      <c r="C12064" s="9"/>
      <c r="D12064" t="str">
        <f>"K08A8.6"</f>
        <v>K08A8.6</v>
      </c>
      <c r="F12064" t="s">
        <v>481</v>
      </c>
      <c r="H12064" s="12">
        <v>2.3526524772752002</v>
      </c>
      <c r="I12064" s="20">
        <v>0.30316532999907703</v>
      </c>
      <c r="J12064" s="28">
        <v>0.76176386907443705</v>
      </c>
      <c r="K12064" s="29">
        <v>0.98289565623980701</v>
      </c>
    </row>
    <row r="12065" spans="1:11" x14ac:dyDescent="0.35">
      <c r="A12065" s="9" t="str">
        <f>HYPERLINK("http://www.ensembl.org/id/WBGene00196302", "WBGene00196302")</f>
        <v>WBGene00196302</v>
      </c>
      <c r="B12065" s="9"/>
      <c r="C12065" s="9"/>
      <c r="D12065" t="str">
        <f>"K08A8.8"</f>
        <v>K08A8.8</v>
      </c>
      <c r="F12065" t="s">
        <v>481</v>
      </c>
      <c r="H12065" s="12">
        <v>-4.8642129455176804</v>
      </c>
      <c r="I12065" s="20">
        <v>-0.70168145516352298</v>
      </c>
      <c r="J12065" s="28">
        <v>0.48287784070397299</v>
      </c>
      <c r="K12065" s="29">
        <v>0.98289565623980701</v>
      </c>
    </row>
    <row r="12066" spans="1:11" x14ac:dyDescent="0.35">
      <c r="A12066" s="9" t="str">
        <f>HYPERLINK("http://www.ensembl.org/id/WBGene00196708", "WBGene00196708")</f>
        <v>WBGene00196708</v>
      </c>
      <c r="B12066" s="9"/>
      <c r="C12066" s="9"/>
      <c r="D12066" t="str">
        <f>"K08A8.9"</f>
        <v>K08A8.9</v>
      </c>
      <c r="F12066" t="s">
        <v>481</v>
      </c>
      <c r="H12066" s="12">
        <v>-5.4967879193631202</v>
      </c>
      <c r="I12066" s="20">
        <v>-0.50254160819837501</v>
      </c>
      <c r="J12066" s="28">
        <v>0.61528659178453604</v>
      </c>
      <c r="K12066" s="29">
        <v>0.98289565623980701</v>
      </c>
    </row>
    <row r="12067" spans="1:11" x14ac:dyDescent="0.35">
      <c r="A12067" s="9" t="str">
        <f>HYPERLINK("http://www.ensembl.org/id/WBGene00199229", "WBGene00199229")</f>
        <v>WBGene00199229</v>
      </c>
      <c r="B12067" s="9"/>
      <c r="C12067" s="9"/>
      <c r="D12067" t="str">
        <f>"K08B12.10"</f>
        <v>K08B12.10</v>
      </c>
      <c r="F12067" t="s">
        <v>481</v>
      </c>
      <c r="H12067" s="12">
        <v>5.4058944669092801</v>
      </c>
      <c r="I12067" s="20">
        <v>0.49762513753689303</v>
      </c>
      <c r="J12067" s="28">
        <v>0.61874828254921799</v>
      </c>
      <c r="K12067" s="29">
        <v>0.98289565623980701</v>
      </c>
    </row>
    <row r="12068" spans="1:11" x14ac:dyDescent="0.35">
      <c r="A12068" s="9" t="str">
        <f>HYPERLINK("http://www.ensembl.org/id/WBGene00201419", "WBGene00201419")</f>
        <v>WBGene00201419</v>
      </c>
      <c r="B12068" s="9"/>
      <c r="C12068" s="9"/>
      <c r="D12068" t="str">
        <f>"K08B12.13"</f>
        <v>K08B12.13</v>
      </c>
      <c r="F12068" t="s">
        <v>481</v>
      </c>
      <c r="H12068" s="12">
        <v>-2.9819259893393499</v>
      </c>
      <c r="I12068" s="20">
        <v>-0.51818263200845804</v>
      </c>
      <c r="J12068" s="28">
        <v>0.60433085138605902</v>
      </c>
      <c r="K12068" s="29">
        <v>0.98289565623980701</v>
      </c>
    </row>
    <row r="12069" spans="1:11" x14ac:dyDescent="0.35">
      <c r="A12069" s="9" t="str">
        <f>HYPERLINK("http://www.ensembl.org/id/WBGene00195983", "WBGene00195983")</f>
        <v>WBGene00195983</v>
      </c>
      <c r="B12069" s="9"/>
      <c r="C12069" s="9"/>
      <c r="D12069" t="str">
        <f>"K08B12.6"</f>
        <v>K08B12.6</v>
      </c>
      <c r="F12069" t="s">
        <v>481</v>
      </c>
      <c r="H12069" s="12">
        <v>3.9822742124214701</v>
      </c>
      <c r="I12069" s="20">
        <v>0.482462550643251</v>
      </c>
      <c r="J12069" s="28">
        <v>0.62947739556167004</v>
      </c>
      <c r="K12069" s="29">
        <v>0.98289565623980701</v>
      </c>
    </row>
    <row r="12070" spans="1:11" x14ac:dyDescent="0.35">
      <c r="A12070" s="9" t="str">
        <f>HYPERLINK("http://www.ensembl.org/id/WBGene00196751", "WBGene00196751")</f>
        <v>WBGene00196751</v>
      </c>
      <c r="B12070" s="9"/>
      <c r="C12070" s="9"/>
      <c r="D12070" t="str">
        <f>"K08B12.7"</f>
        <v>K08B12.7</v>
      </c>
      <c r="F12070" t="s">
        <v>481</v>
      </c>
      <c r="H12070" s="12">
        <v>3.36245582078804</v>
      </c>
      <c r="I12070" s="20">
        <v>0.43442542167451798</v>
      </c>
      <c r="J12070" s="28">
        <v>0.66397954057242903</v>
      </c>
      <c r="K12070" s="29">
        <v>0.98289565623980701</v>
      </c>
    </row>
    <row r="12071" spans="1:11" x14ac:dyDescent="0.35">
      <c r="A12071" s="9" t="str">
        <f>HYPERLINK("http://www.ensembl.org/id/WBGene00197591", "WBGene00197591")</f>
        <v>WBGene00197591</v>
      </c>
      <c r="B12071" s="9"/>
      <c r="C12071" s="9"/>
      <c r="D12071" t="str">
        <f>"K08B12.9"</f>
        <v>K08B12.9</v>
      </c>
      <c r="F12071" t="s">
        <v>481</v>
      </c>
      <c r="H12071" s="12">
        <v>2.3893468495514898</v>
      </c>
      <c r="I12071" s="20">
        <v>0.25323547253672701</v>
      </c>
      <c r="J12071" s="28">
        <v>0.80008625651646104</v>
      </c>
      <c r="K12071" s="29">
        <v>0.98289565623980701</v>
      </c>
    </row>
    <row r="12072" spans="1:11" x14ac:dyDescent="0.35">
      <c r="A12072" s="9" t="str">
        <f>HYPERLINK("http://www.ensembl.org/id/WBGene00019514", "WBGene00019514")</f>
        <v>WBGene00019514</v>
      </c>
      <c r="B12072" s="9" t="str">
        <f>HYPERLINK("http://www.ncbi.nlm.nih.gov/gene/177371", "177371")</f>
        <v>177371</v>
      </c>
      <c r="C12072" s="9"/>
      <c r="D12072" t="str">
        <f>"K08B4.2"</f>
        <v>K08B4.2</v>
      </c>
      <c r="F12072" t="s">
        <v>11</v>
      </c>
      <c r="H12072" s="12">
        <v>-1.2562455718138099</v>
      </c>
      <c r="I12072" s="20">
        <v>-0.63811006808891402</v>
      </c>
      <c r="J12072" s="28">
        <v>0.52340203313086897</v>
      </c>
      <c r="K12072" s="29">
        <v>0.98289565623980701</v>
      </c>
    </row>
    <row r="12073" spans="1:11" x14ac:dyDescent="0.35">
      <c r="A12073" s="9" t="str">
        <f>HYPERLINK("http://www.ensembl.org/id/WBGene00019517", "WBGene00019517")</f>
        <v>WBGene00019517</v>
      </c>
      <c r="B12073" s="9"/>
      <c r="C12073" s="9"/>
      <c r="D12073" t="str">
        <f>"K08B4.5"</f>
        <v>K08B4.5</v>
      </c>
      <c r="F12073" t="s">
        <v>80</v>
      </c>
      <c r="H12073" s="12">
        <v>2.2185993607635002</v>
      </c>
      <c r="I12073" s="20">
        <v>0.90722728105536699</v>
      </c>
      <c r="J12073" s="28">
        <v>0.36428661989415401</v>
      </c>
      <c r="K12073" s="29">
        <v>0.98289565623980701</v>
      </c>
    </row>
    <row r="12074" spans="1:11" x14ac:dyDescent="0.35">
      <c r="A12074" s="9" t="str">
        <f>HYPERLINK("http://www.ensembl.org/id/WBGene00023486", "WBGene00023486")</f>
        <v>WBGene00023486</v>
      </c>
      <c r="B12074" s="9" t="str">
        <f>HYPERLINK("http://www.ncbi.nlm.nih.gov/gene/259573", "259573")</f>
        <v>259573</v>
      </c>
      <c r="C12074" s="9"/>
      <c r="D12074" t="str">
        <f>"K08B4.7"</f>
        <v>K08B4.7</v>
      </c>
      <c r="E12074" t="s">
        <v>840</v>
      </c>
      <c r="F12074" t="s">
        <v>11</v>
      </c>
      <c r="H12074" s="12">
        <v>1.4433832236826101</v>
      </c>
      <c r="I12074" s="20">
        <v>0.96415023651573994</v>
      </c>
      <c r="J12074" s="28">
        <v>0.334970609385702</v>
      </c>
      <c r="K12074" s="29">
        <v>0.98289565623980701</v>
      </c>
    </row>
    <row r="12075" spans="1:11" x14ac:dyDescent="0.35">
      <c r="A12075" s="9" t="str">
        <f>HYPERLINK("http://www.ensembl.org/id/WBGene00019519", "WBGene00019519")</f>
        <v>WBGene00019519</v>
      </c>
      <c r="B12075" s="9" t="str">
        <f>HYPERLINK("http://www.ncbi.nlm.nih.gov/gene/187133", "187133")</f>
        <v>187133</v>
      </c>
      <c r="C12075" s="9"/>
      <c r="D12075" t="str">
        <f>"K08B5.2"</f>
        <v>K08B5.2</v>
      </c>
      <c r="F12075" t="s">
        <v>11</v>
      </c>
      <c r="H12075" s="12">
        <v>-1.1945306726903699</v>
      </c>
      <c r="I12075" s="20">
        <v>-0.59439789638706697</v>
      </c>
      <c r="J12075" s="28">
        <v>0.55224601512772997</v>
      </c>
      <c r="K12075" s="29">
        <v>0.98289565623980701</v>
      </c>
    </row>
    <row r="12076" spans="1:11" x14ac:dyDescent="0.35">
      <c r="A12076" s="9" t="str">
        <f>HYPERLINK("http://www.ensembl.org/id/WBGene00195528", "WBGene00195528")</f>
        <v>WBGene00195528</v>
      </c>
      <c r="B12076" s="9"/>
      <c r="C12076" s="9"/>
      <c r="D12076" t="str">
        <f>"K08B5.3"</f>
        <v>K08B5.3</v>
      </c>
      <c r="F12076" t="s">
        <v>481</v>
      </c>
      <c r="H12076" s="12">
        <v>-2.4295389261469</v>
      </c>
      <c r="I12076" s="20">
        <v>-0.25808529976640998</v>
      </c>
      <c r="J12076" s="28">
        <v>0.79634107645457397</v>
      </c>
      <c r="K12076" s="29">
        <v>0.98289565623980701</v>
      </c>
    </row>
    <row r="12077" spans="1:11" x14ac:dyDescent="0.35">
      <c r="A12077" s="9" t="str">
        <f>HYPERLINK("http://www.ensembl.org/id/WBGene00197134", "WBGene00197134")</f>
        <v>WBGene00197134</v>
      </c>
      <c r="B12077" s="9"/>
      <c r="C12077" s="9"/>
      <c r="D12077" t="str">
        <f>"K08B5.5"</f>
        <v>K08B5.5</v>
      </c>
      <c r="F12077" t="s">
        <v>481</v>
      </c>
      <c r="H12077" s="12">
        <v>2.3893468495514898</v>
      </c>
      <c r="I12077" s="20">
        <v>0.25323547253672701</v>
      </c>
      <c r="J12077" s="28">
        <v>0.80008625651646104</v>
      </c>
      <c r="K12077" s="29">
        <v>0.98289565623980701</v>
      </c>
    </row>
    <row r="12078" spans="1:11" x14ac:dyDescent="0.35">
      <c r="A12078" s="9" t="str">
        <f>HYPERLINK("http://www.ensembl.org/id/WBGene00023101", "WBGene00023101")</f>
        <v>WBGene00023101</v>
      </c>
      <c r="B12078" s="9"/>
      <c r="C12078" s="9"/>
      <c r="D12078" t="str">
        <f>"K08B5.t1"</f>
        <v>K08B5.t1</v>
      </c>
      <c r="F12078" t="s">
        <v>4208</v>
      </c>
      <c r="H12078" s="12">
        <v>2.3893468495514898</v>
      </c>
      <c r="I12078" s="20">
        <v>0.25323547253672701</v>
      </c>
      <c r="J12078" s="28">
        <v>0.80008625651646104</v>
      </c>
      <c r="K12078" s="29">
        <v>0.98289565623980701</v>
      </c>
    </row>
    <row r="12079" spans="1:11" x14ac:dyDescent="0.35">
      <c r="A12079" s="9" t="str">
        <f>HYPERLINK("http://www.ensembl.org/id/WBGene00010647", "WBGene00010647")</f>
        <v>WBGene00010647</v>
      </c>
      <c r="B12079" s="9" t="str">
        <f>HYPERLINK("http://www.ncbi.nlm.nih.gov/gene/177957", "177957")</f>
        <v>177957</v>
      </c>
      <c r="C12079" s="9"/>
      <c r="D12079" t="str">
        <f>"K08C7.4"</f>
        <v>K08C7.4</v>
      </c>
      <c r="F12079" t="s">
        <v>11</v>
      </c>
      <c r="H12079" s="12">
        <v>-1.2684959473747299</v>
      </c>
      <c r="I12079" s="20">
        <v>-0.75411354994031798</v>
      </c>
      <c r="J12079" s="28">
        <v>0.45078104179136602</v>
      </c>
      <c r="K12079" s="29">
        <v>0.98289565623980701</v>
      </c>
    </row>
    <row r="12080" spans="1:11" x14ac:dyDescent="0.35">
      <c r="A12080" s="9" t="str">
        <f>HYPERLINK("http://www.ensembl.org/id/WBGene00010648", "WBGene00010648")</f>
        <v>WBGene00010648</v>
      </c>
      <c r="B12080" s="9" t="str">
        <f>HYPERLINK("http://www.ncbi.nlm.nih.gov/gene/187137", "187137")</f>
        <v>187137</v>
      </c>
      <c r="C12080" s="9"/>
      <c r="D12080" t="str">
        <f>"K08C7.6"</f>
        <v>K08C7.6</v>
      </c>
      <c r="F12080" t="s">
        <v>11</v>
      </c>
      <c r="G12080" t="s">
        <v>5777</v>
      </c>
      <c r="H12080" s="12">
        <v>1.10504512990663</v>
      </c>
      <c r="I12080" s="20">
        <v>0.466217084367965</v>
      </c>
      <c r="J12080" s="28">
        <v>0.64106012173490301</v>
      </c>
      <c r="K12080" s="29">
        <v>0.98289565623980701</v>
      </c>
    </row>
    <row r="12081" spans="1:11" x14ac:dyDescent="0.35">
      <c r="A12081" s="9" t="str">
        <f>HYPERLINK("http://www.ensembl.org/id/WBGene00010649", "WBGene00010649")</f>
        <v>WBGene00010649</v>
      </c>
      <c r="B12081" s="9" t="str">
        <f>HYPERLINK("http://www.ncbi.nlm.nih.gov/gene/177955", "177955")</f>
        <v>177955</v>
      </c>
      <c r="C12081" s="9"/>
      <c r="D12081" t="str">
        <f>"K08C7.7"</f>
        <v>K08C7.7</v>
      </c>
      <c r="F12081" t="s">
        <v>11</v>
      </c>
      <c r="G12081" t="s">
        <v>54</v>
      </c>
      <c r="H12081" s="12">
        <v>-1.1689858077801301</v>
      </c>
      <c r="I12081" s="20">
        <v>-0.43574883046119001</v>
      </c>
      <c r="J12081" s="28">
        <v>0.66301897304366497</v>
      </c>
      <c r="K12081" s="29">
        <v>0.98289565623980701</v>
      </c>
    </row>
    <row r="12082" spans="1:11" x14ac:dyDescent="0.35">
      <c r="A12082" s="9" t="str">
        <f>HYPERLINK("http://www.ensembl.org/id/WBGene00045218", "WBGene00045218")</f>
        <v>WBGene00045218</v>
      </c>
      <c r="B12082" s="9"/>
      <c r="C12082" s="9"/>
      <c r="D12082" t="str">
        <f>"K08C9.8"</f>
        <v>K08C9.8</v>
      </c>
      <c r="F12082" t="s">
        <v>80</v>
      </c>
      <c r="H12082" s="12">
        <v>1.2533621304387701</v>
      </c>
      <c r="I12082" s="20">
        <v>0.40543363761561502</v>
      </c>
      <c r="J12082" s="28">
        <v>0.68515878950169296</v>
      </c>
      <c r="K12082" s="29">
        <v>0.98289565623980701</v>
      </c>
    </row>
    <row r="12083" spans="1:11" x14ac:dyDescent="0.35">
      <c r="A12083" s="9" t="str">
        <f>HYPERLINK("http://www.ensembl.org/id/WBGene00019533", "WBGene00019533")</f>
        <v>WBGene00019533</v>
      </c>
      <c r="B12083" s="9" t="str">
        <f>HYPERLINK("http://www.ncbi.nlm.nih.gov/gene/187154", "187154")</f>
        <v>187154</v>
      </c>
      <c r="C12083" s="9"/>
      <c r="D12083" t="str">
        <f>"K08D10.10"</f>
        <v>K08D10.10</v>
      </c>
      <c r="F12083" t="s">
        <v>11</v>
      </c>
      <c r="H12083" s="12">
        <v>-2.3631095939022599</v>
      </c>
      <c r="I12083" s="20">
        <v>-0.37688792245729402</v>
      </c>
      <c r="J12083" s="28">
        <v>0.70625689722512397</v>
      </c>
      <c r="K12083" s="29">
        <v>0.98289565623980701</v>
      </c>
    </row>
    <row r="12084" spans="1:11" x14ac:dyDescent="0.35">
      <c r="A12084" s="9" t="str">
        <f>HYPERLINK("http://www.ensembl.org/id/WBGene00195048", "WBGene00195048")</f>
        <v>WBGene00195048</v>
      </c>
      <c r="B12084" s="9" t="str">
        <f>HYPERLINK("http://www.ncbi.nlm.nih.gov/gene/13192837", "13192837")</f>
        <v>13192837</v>
      </c>
      <c r="C12084" s="9"/>
      <c r="D12084" t="str">
        <f>"K08D10.13"</f>
        <v>K08D10.13</v>
      </c>
      <c r="F12084" t="s">
        <v>11</v>
      </c>
      <c r="H12084" s="12">
        <v>2.3893468495514898</v>
      </c>
      <c r="I12084" s="20">
        <v>0.25323547253672701</v>
      </c>
      <c r="J12084" s="28">
        <v>0.80008625651646104</v>
      </c>
      <c r="K12084" s="29">
        <v>0.98289565623980701</v>
      </c>
    </row>
    <row r="12085" spans="1:11" x14ac:dyDescent="0.35">
      <c r="A12085" s="9" t="str">
        <f>HYPERLINK("http://www.ensembl.org/id/WBGene00219216", "WBGene00219216")</f>
        <v>WBGene00219216</v>
      </c>
      <c r="B12085" s="9" t="str">
        <f>HYPERLINK("http://www.ncbi.nlm.nih.gov/gene/13192832", "13192832")</f>
        <v>13192832</v>
      </c>
      <c r="C12085" s="9"/>
      <c r="D12085" t="str">
        <f>"K08D10.14"</f>
        <v>K08D10.14</v>
      </c>
      <c r="F12085" t="s">
        <v>11</v>
      </c>
      <c r="H12085" s="12">
        <v>1.26814985492374</v>
      </c>
      <c r="I12085" s="20">
        <v>0.770248343003889</v>
      </c>
      <c r="J12085" s="28">
        <v>0.44115259230616899</v>
      </c>
      <c r="K12085" s="29">
        <v>0.98289565623980701</v>
      </c>
    </row>
    <row r="12086" spans="1:11" x14ac:dyDescent="0.35">
      <c r="A12086" s="9" t="str">
        <f>HYPERLINK("http://www.ensembl.org/id/WBGene00235369", "WBGene00235369")</f>
        <v>WBGene00235369</v>
      </c>
      <c r="B12086" s="9"/>
      <c r="C12086" s="9"/>
      <c r="D12086" t="str">
        <f>"K08D10.18"</f>
        <v>K08D10.18</v>
      </c>
      <c r="F12086" t="s">
        <v>80</v>
      </c>
      <c r="H12086" s="12">
        <v>-6.2102229019083799</v>
      </c>
      <c r="I12086" s="20">
        <v>-0.67619676343489199</v>
      </c>
      <c r="J12086" s="28">
        <v>0.49891572720914601</v>
      </c>
      <c r="K12086" s="29">
        <v>0.98289565623980701</v>
      </c>
    </row>
    <row r="12087" spans="1:11" x14ac:dyDescent="0.35">
      <c r="A12087" s="9" t="str">
        <f>HYPERLINK("http://www.ensembl.org/id/WBGene00019529", "WBGene00019529")</f>
        <v>WBGene00019529</v>
      </c>
      <c r="B12087" s="9"/>
      <c r="C12087" s="9"/>
      <c r="D12087" t="str">
        <f>"K08D10.5"</f>
        <v>K08D10.5</v>
      </c>
      <c r="F12087" t="s">
        <v>80</v>
      </c>
      <c r="H12087" s="12">
        <v>-3.40517997462055</v>
      </c>
      <c r="I12087" s="20">
        <v>-0.44562966553438899</v>
      </c>
      <c r="J12087" s="28">
        <v>0.65586477808227595</v>
      </c>
      <c r="K12087" s="29">
        <v>0.98289565623980701</v>
      </c>
    </row>
    <row r="12088" spans="1:11" x14ac:dyDescent="0.35">
      <c r="A12088" s="9" t="str">
        <f>HYPERLINK("http://www.ensembl.org/id/WBGene00019532", "WBGene00019532")</f>
        <v>WBGene00019532</v>
      </c>
      <c r="B12088" s="9"/>
      <c r="C12088" s="9"/>
      <c r="D12088" t="str">
        <f>"K08D10.9"</f>
        <v>K08D10.9</v>
      </c>
      <c r="F12088" t="s">
        <v>80</v>
      </c>
      <c r="H12088" s="12">
        <v>2.5738595223867602</v>
      </c>
      <c r="I12088" s="20">
        <v>1.09057950698214</v>
      </c>
      <c r="J12088" s="28">
        <v>0.27545795097058101</v>
      </c>
      <c r="K12088" s="29">
        <v>0.98289565623980701</v>
      </c>
    </row>
    <row r="12089" spans="1:11" x14ac:dyDescent="0.35">
      <c r="A12089" s="9" t="str">
        <f>HYPERLINK("http://www.ensembl.org/id/WBGene00019537", "WBGene00019537")</f>
        <v>WBGene00019537</v>
      </c>
      <c r="B12089" s="9" t="str">
        <f>HYPERLINK("http://www.ncbi.nlm.nih.gov/gene/176979", "176979")</f>
        <v>176979</v>
      </c>
      <c r="C12089" s="9"/>
      <c r="D12089" t="str">
        <f>"K08D12.3"</f>
        <v>K08D12.3</v>
      </c>
      <c r="F12089" t="s">
        <v>11</v>
      </c>
      <c r="G12089" t="s">
        <v>8560</v>
      </c>
      <c r="H12089" s="12">
        <v>-1.1837430346674001</v>
      </c>
      <c r="I12089" s="20">
        <v>-0.929081676546753</v>
      </c>
      <c r="J12089" s="28">
        <v>0.35284675967307499</v>
      </c>
      <c r="K12089" s="29">
        <v>0.98289565623980701</v>
      </c>
    </row>
    <row r="12090" spans="1:11" x14ac:dyDescent="0.35">
      <c r="A12090" s="9" t="str">
        <f>HYPERLINK("http://www.ensembl.org/id/WBGene00195004", "WBGene00195004")</f>
        <v>WBGene00195004</v>
      </c>
      <c r="B12090" s="9" t="str">
        <f>HYPERLINK("http://www.ncbi.nlm.nih.gov/gene/13192261", "13192261")</f>
        <v>13192261</v>
      </c>
      <c r="C12090" s="9"/>
      <c r="D12090" t="str">
        <f>"K08D12.8"</f>
        <v>K08D12.8</v>
      </c>
      <c r="F12090" t="s">
        <v>11</v>
      </c>
      <c r="H12090" s="12">
        <v>2.7721513450868902</v>
      </c>
      <c r="I12090" s="20">
        <v>0.82752532151436398</v>
      </c>
      <c r="J12090" s="28">
        <v>0.40793937603698499</v>
      </c>
      <c r="K12090" s="29">
        <v>0.98289565623980701</v>
      </c>
    </row>
    <row r="12091" spans="1:11" x14ac:dyDescent="0.35">
      <c r="A12091" s="9" t="str">
        <f>HYPERLINK("http://www.ensembl.org/id/WBGene00010655", "WBGene00010655")</f>
        <v>WBGene00010655</v>
      </c>
      <c r="B12091" s="9" t="str">
        <f>HYPERLINK("http://www.ncbi.nlm.nih.gov/gene/187142", "187142")</f>
        <v>187142</v>
      </c>
      <c r="C12091" s="9"/>
      <c r="D12091" t="str">
        <f>"K08D8.1"</f>
        <v>K08D8.1</v>
      </c>
      <c r="F12091" t="s">
        <v>11</v>
      </c>
      <c r="G12091" t="s">
        <v>25</v>
      </c>
      <c r="H12091" s="12">
        <v>-1.2096808073610701</v>
      </c>
      <c r="I12091" s="20">
        <v>-0.38626936027995901</v>
      </c>
      <c r="J12091" s="28">
        <v>0.69929718990568401</v>
      </c>
      <c r="K12091" s="29">
        <v>0.98289565623980701</v>
      </c>
    </row>
    <row r="12092" spans="1:11" x14ac:dyDescent="0.35">
      <c r="A12092" s="9" t="str">
        <f>HYPERLINK("http://www.ensembl.org/id/WBGene00010656", "WBGene00010656")</f>
        <v>WBGene00010656</v>
      </c>
      <c r="B12092" s="9" t="str">
        <f>HYPERLINK("http://www.ncbi.nlm.nih.gov/gene/187143", "187143")</f>
        <v>187143</v>
      </c>
      <c r="C12092" s="9"/>
      <c r="D12092" t="str">
        <f>"K08D8.2"</f>
        <v>K08D8.2</v>
      </c>
      <c r="F12092" t="s">
        <v>11</v>
      </c>
      <c r="G12092" t="s">
        <v>25</v>
      </c>
      <c r="H12092" s="12">
        <v>-5.8112743568295402</v>
      </c>
      <c r="I12092" s="20">
        <v>-0.65308305132984301</v>
      </c>
      <c r="J12092" s="28">
        <v>0.51370273815078205</v>
      </c>
      <c r="K12092" s="29">
        <v>0.98289565623980701</v>
      </c>
    </row>
    <row r="12093" spans="1:11" x14ac:dyDescent="0.35">
      <c r="A12093" s="9" t="str">
        <f>HYPERLINK("http://www.ensembl.org/id/WBGene00010657", "WBGene00010657")</f>
        <v>WBGene00010657</v>
      </c>
      <c r="B12093" s="9" t="str">
        <f>HYPERLINK("http://www.ncbi.nlm.nih.gov/gene/178242", "178242")</f>
        <v>178242</v>
      </c>
      <c r="C12093" s="9"/>
      <c r="D12093" t="str">
        <f>"K08D8.3"</f>
        <v>K08D8.3</v>
      </c>
      <c r="F12093" t="s">
        <v>11</v>
      </c>
      <c r="H12093" s="12">
        <v>1.19187117332086</v>
      </c>
      <c r="I12093" s="20">
        <v>0.54066452261243003</v>
      </c>
      <c r="J12093" s="28">
        <v>0.58873883596189702</v>
      </c>
      <c r="K12093" s="29">
        <v>0.98289565623980701</v>
      </c>
    </row>
    <row r="12094" spans="1:11" x14ac:dyDescent="0.35">
      <c r="A12094" s="9" t="str">
        <f>HYPERLINK("http://www.ensembl.org/id/WBGene00010659", "WBGene00010659")</f>
        <v>WBGene00010659</v>
      </c>
      <c r="B12094" s="9" t="str">
        <f>HYPERLINK("http://www.ncbi.nlm.nih.gov/gene/178243", "178243")</f>
        <v>178243</v>
      </c>
      <c r="C12094" s="9"/>
      <c r="D12094" t="str">
        <f>"K08D8.5"</f>
        <v>K08D8.5</v>
      </c>
      <c r="F12094" t="s">
        <v>11</v>
      </c>
      <c r="G12094" t="s">
        <v>264</v>
      </c>
      <c r="H12094" s="12">
        <v>-1.1467444626963701</v>
      </c>
      <c r="I12094" s="20">
        <v>-0.393474028224787</v>
      </c>
      <c r="J12094" s="28">
        <v>0.69396940274068397</v>
      </c>
      <c r="K12094" s="29">
        <v>0.98289565623980701</v>
      </c>
    </row>
    <row r="12095" spans="1:11" x14ac:dyDescent="0.35">
      <c r="A12095" s="9" t="str">
        <f>HYPERLINK("http://www.ensembl.org/id/WBGene00194918", "WBGene00194918")</f>
        <v>WBGene00194918</v>
      </c>
      <c r="B12095" s="9" t="str">
        <f>HYPERLINK("http://www.ncbi.nlm.nih.gov/gene/13198726", "13198726")</f>
        <v>13198726</v>
      </c>
      <c r="C12095" s="9"/>
      <c r="D12095" t="str">
        <f>"K08D8.9"</f>
        <v>K08D8.9</v>
      </c>
      <c r="F12095" t="s">
        <v>11</v>
      </c>
      <c r="G12095" t="s">
        <v>25</v>
      </c>
      <c r="H12095" s="12">
        <v>2.3893468495514898</v>
      </c>
      <c r="I12095" s="20">
        <v>0.25323547253672701</v>
      </c>
      <c r="J12095" s="28">
        <v>0.80008625651646104</v>
      </c>
      <c r="K12095" s="29">
        <v>0.98289565623980701</v>
      </c>
    </row>
    <row r="12096" spans="1:11" x14ac:dyDescent="0.35">
      <c r="A12096" s="9" t="str">
        <f>HYPERLINK("http://www.ensembl.org/id/WBGene00019524", "WBGene00019524")</f>
        <v>WBGene00019524</v>
      </c>
      <c r="B12096" s="9" t="str">
        <f>HYPERLINK("http://www.ncbi.nlm.nih.gov/gene/187146", "187146")</f>
        <v>187146</v>
      </c>
      <c r="C12096" s="9"/>
      <c r="D12096" t="str">
        <f>"K08D9.2"</f>
        <v>K08D9.2</v>
      </c>
      <c r="F12096" t="s">
        <v>11</v>
      </c>
      <c r="G12096" t="s">
        <v>1212</v>
      </c>
      <c r="H12096" s="12">
        <v>-4.7378289591495202</v>
      </c>
      <c r="I12096" s="20">
        <v>-0.77642821221031</v>
      </c>
      <c r="J12096" s="28">
        <v>0.43749619226092201</v>
      </c>
      <c r="K12096" s="29">
        <v>0.98289565623980701</v>
      </c>
    </row>
    <row r="12097" spans="1:11" x14ac:dyDescent="0.35">
      <c r="A12097" s="9" t="str">
        <f>HYPERLINK("http://www.ensembl.org/id/WBGene00019526", "WBGene00019526")</f>
        <v>WBGene00019526</v>
      </c>
      <c r="B12097" s="9"/>
      <c r="C12097" s="9"/>
      <c r="D12097" t="str">
        <f>"K08D9.5"</f>
        <v>K08D9.5</v>
      </c>
      <c r="F12097" t="s">
        <v>80</v>
      </c>
      <c r="H12097" s="12">
        <v>-2.4295389261469</v>
      </c>
      <c r="I12097" s="20">
        <v>-0.25808529976640998</v>
      </c>
      <c r="J12097" s="28">
        <v>0.79634107645457397</v>
      </c>
      <c r="K12097" s="29">
        <v>0.98289565623980701</v>
      </c>
    </row>
    <row r="12098" spans="1:11" x14ac:dyDescent="0.35">
      <c r="A12098" s="9" t="str">
        <f>HYPERLINK("http://www.ensembl.org/id/WBGene00019527", "WBGene00019527")</f>
        <v>WBGene00019527</v>
      </c>
      <c r="B12098" s="9" t="str">
        <f>HYPERLINK("http://www.ncbi.nlm.nih.gov/gene/178760", "178760")</f>
        <v>178760</v>
      </c>
      <c r="C12098" s="9"/>
      <c r="D12098" t="str">
        <f>"K08D9.6"</f>
        <v>K08D9.6</v>
      </c>
      <c r="F12098" t="s">
        <v>11</v>
      </c>
      <c r="G12098" t="s">
        <v>1686</v>
      </c>
      <c r="H12098" s="12">
        <v>-1.1368623964667299</v>
      </c>
      <c r="I12098" s="20">
        <v>-0.65850590393416797</v>
      </c>
      <c r="J12098" s="28">
        <v>0.51021310457417501</v>
      </c>
      <c r="K12098" s="29">
        <v>0.98289565623980701</v>
      </c>
    </row>
    <row r="12099" spans="1:11" x14ac:dyDescent="0.35">
      <c r="A12099" s="9" t="str">
        <f>HYPERLINK("http://www.ensembl.org/id/WBGene00202009", "WBGene00202009")</f>
        <v>WBGene00202009</v>
      </c>
      <c r="B12099" s="9"/>
      <c r="C12099" s="9"/>
      <c r="D12099" t="str">
        <f>"K08D9.8"</f>
        <v>K08D9.8</v>
      </c>
      <c r="F12099" t="s">
        <v>481</v>
      </c>
      <c r="H12099" s="12">
        <v>-2.91593608624928</v>
      </c>
      <c r="I12099" s="20">
        <v>-0.37185148581300698</v>
      </c>
      <c r="J12099" s="28">
        <v>0.71000342774827596</v>
      </c>
      <c r="K12099" s="29">
        <v>0.98289565623980701</v>
      </c>
    </row>
    <row r="12100" spans="1:11" x14ac:dyDescent="0.35">
      <c r="A12100" s="9" t="str">
        <f>HYPERLINK("http://www.ensembl.org/id/WBGene00235094", "WBGene00235094")</f>
        <v>WBGene00235094</v>
      </c>
      <c r="B12100" s="9" t="str">
        <f>HYPERLINK("http://www.ncbi.nlm.nih.gov/gene/24104735", "24104735")</f>
        <v>24104735</v>
      </c>
      <c r="C12100" s="9"/>
      <c r="D12100" t="str">
        <f>"K08D9.9"</f>
        <v>K08D9.9</v>
      </c>
      <c r="F12100" t="s">
        <v>11</v>
      </c>
      <c r="H12100" s="12">
        <v>-1.2016676708732099</v>
      </c>
      <c r="I12100" s="20">
        <v>-0.97246835368447204</v>
      </c>
      <c r="J12100" s="28">
        <v>0.33081760114294101</v>
      </c>
      <c r="K12100" s="29">
        <v>0.98289565623980701</v>
      </c>
    </row>
    <row r="12101" spans="1:11" x14ac:dyDescent="0.35">
      <c r="A12101" s="9" t="str">
        <f>HYPERLINK("http://www.ensembl.org/id/WBGene00198475", "WBGene00198475")</f>
        <v>WBGene00198475</v>
      </c>
      <c r="B12101" s="9"/>
      <c r="C12101" s="9"/>
      <c r="D12101" t="str">
        <f>"K08E4.10"</f>
        <v>K08E4.10</v>
      </c>
      <c r="F12101" t="s">
        <v>481</v>
      </c>
      <c r="H12101" s="12">
        <v>2.4578120077400301</v>
      </c>
      <c r="I12101" s="20">
        <v>0.26093350314551</v>
      </c>
      <c r="J12101" s="28">
        <v>0.79414378780213601</v>
      </c>
      <c r="K12101" s="29">
        <v>0.98289565623980701</v>
      </c>
    </row>
    <row r="12102" spans="1:11" x14ac:dyDescent="0.35">
      <c r="A12102" s="9" t="str">
        <f>HYPERLINK("http://www.ensembl.org/id/WBGene00010670", "WBGene00010670")</f>
        <v>WBGene00010670</v>
      </c>
      <c r="B12102" s="9" t="str">
        <f>HYPERLINK("http://www.ncbi.nlm.nih.gov/gene/178145", "178145")</f>
        <v>178145</v>
      </c>
      <c r="C12102" s="9" t="str">
        <f>HYPERLINK("http://www.ncbi.nlm.nih.gov/gene/50999", "50999")</f>
        <v>50999</v>
      </c>
      <c r="D12102" t="str">
        <f>"K08E4.6"</f>
        <v>K08E4.6</v>
      </c>
      <c r="F12102" t="s">
        <v>11</v>
      </c>
      <c r="G12102" t="s">
        <v>5288</v>
      </c>
      <c r="H12102" s="12">
        <v>-1.12674751119258</v>
      </c>
      <c r="I12102" s="20">
        <v>-0.58619618128778805</v>
      </c>
      <c r="J12102" s="28">
        <v>0.55774368759547399</v>
      </c>
      <c r="K12102" s="29">
        <v>0.98289565623980701</v>
      </c>
    </row>
    <row r="12103" spans="1:11" x14ac:dyDescent="0.35">
      <c r="A12103" s="9" t="str">
        <f>HYPERLINK("http://www.ensembl.org/id/WBGene00014801", "WBGene00014801")</f>
        <v>WBGene00014801</v>
      </c>
      <c r="B12103" s="9" t="str">
        <f>HYPERLINK("http://www.ncbi.nlm.nih.gov/gene/13191059", "13191059")</f>
        <v>13191059</v>
      </c>
      <c r="C12103" s="9"/>
      <c r="D12103" t="str">
        <f>"K08E5.1"</f>
        <v>K08E5.1</v>
      </c>
      <c r="F12103" t="s">
        <v>11</v>
      </c>
      <c r="H12103" s="12">
        <v>-1.5326327945739</v>
      </c>
      <c r="I12103" s="20">
        <v>-0.65984925462747801</v>
      </c>
      <c r="J12103" s="28">
        <v>0.50935057162202102</v>
      </c>
      <c r="K12103" s="29">
        <v>0.98289565623980701</v>
      </c>
    </row>
    <row r="12104" spans="1:11" x14ac:dyDescent="0.35">
      <c r="A12104" s="9" t="str">
        <f>HYPERLINK("http://www.ensembl.org/id/WBGene00077703", "WBGene00077703")</f>
        <v>WBGene00077703</v>
      </c>
      <c r="B12104" s="9" t="str">
        <f>HYPERLINK("http://www.ncbi.nlm.nih.gov/gene/7040192", "7040192")</f>
        <v>7040192</v>
      </c>
      <c r="C12104" s="9"/>
      <c r="D12104" t="str">
        <f>"K08E5.5"</f>
        <v>K08E5.5</v>
      </c>
      <c r="F12104" t="s">
        <v>11</v>
      </c>
      <c r="H12104" s="12">
        <v>-4.3787123643480301</v>
      </c>
      <c r="I12104" s="20">
        <v>-0.92491905970397903</v>
      </c>
      <c r="J12104" s="28">
        <v>0.35500801155720102</v>
      </c>
      <c r="K12104" s="29">
        <v>0.98289565623980701</v>
      </c>
    </row>
    <row r="12105" spans="1:11" x14ac:dyDescent="0.35">
      <c r="A12105" s="9" t="str">
        <f>HYPERLINK("http://www.ensembl.org/id/WBGene00195174", "WBGene00195174")</f>
        <v>WBGene00195174</v>
      </c>
      <c r="B12105" s="9" t="str">
        <f>HYPERLINK("http://www.ncbi.nlm.nih.gov/gene/13191058", "13191058")</f>
        <v>13191058</v>
      </c>
      <c r="C12105" s="9"/>
      <c r="D12105" t="str">
        <f>"K08E5.6"</f>
        <v>K08E5.6</v>
      </c>
      <c r="F12105" t="s">
        <v>11</v>
      </c>
      <c r="H12105" s="12">
        <v>4.0502222916178701</v>
      </c>
      <c r="I12105" s="20">
        <v>0.52893641585930695</v>
      </c>
      <c r="J12105" s="28">
        <v>0.59684955911256998</v>
      </c>
      <c r="K12105" s="29">
        <v>0.98289565623980701</v>
      </c>
    </row>
    <row r="12106" spans="1:11" x14ac:dyDescent="0.35">
      <c r="A12106" s="9" t="str">
        <f>HYPERLINK("http://www.ensembl.org/id/WBGene00196405", "WBGene00196405")</f>
        <v>WBGene00196405</v>
      </c>
      <c r="B12106" s="9"/>
      <c r="C12106" s="9"/>
      <c r="D12106" t="str">
        <f>"K08E5.9"</f>
        <v>K08E5.9</v>
      </c>
      <c r="F12106" t="s">
        <v>481</v>
      </c>
      <c r="H12106" s="12">
        <v>-7.7904337984490803</v>
      </c>
      <c r="I12106" s="20">
        <v>-0.60901310058451197</v>
      </c>
      <c r="J12106" s="28">
        <v>0.54251575542982</v>
      </c>
      <c r="K12106" s="29">
        <v>0.98289565623980701</v>
      </c>
    </row>
    <row r="12107" spans="1:11" x14ac:dyDescent="0.35">
      <c r="A12107" s="9" t="str">
        <f>HYPERLINK("http://www.ensembl.org/id/WBGene00044907", "WBGene00044907")</f>
        <v>WBGene00044907</v>
      </c>
      <c r="B12107" s="9"/>
      <c r="C12107" s="9"/>
      <c r="D12107" t="str">
        <f>"K08E7.10"</f>
        <v>K08E7.10</v>
      </c>
      <c r="F12107" t="s">
        <v>80</v>
      </c>
      <c r="H12107" s="12">
        <v>-1.47027024489666</v>
      </c>
      <c r="I12107" s="20">
        <v>-0.37612988867757202</v>
      </c>
      <c r="J12107" s="28">
        <v>0.70682033511071196</v>
      </c>
      <c r="K12107" s="29">
        <v>0.98289565623980701</v>
      </c>
    </row>
    <row r="12108" spans="1:11" x14ac:dyDescent="0.35">
      <c r="A12108" s="9" t="str">
        <f>HYPERLINK("http://www.ensembl.org/id/WBGene00010672", "WBGene00010672")</f>
        <v>WBGene00010672</v>
      </c>
      <c r="B12108" s="9" t="str">
        <f>HYPERLINK("http://www.ncbi.nlm.nih.gov/gene/187162", "187162")</f>
        <v>187162</v>
      </c>
      <c r="C12108" s="9"/>
      <c r="D12108" t="str">
        <f>"K08E7.4"</f>
        <v>K08E7.4</v>
      </c>
      <c r="F12108" t="s">
        <v>11</v>
      </c>
      <c r="H12108" s="12">
        <v>2.4578120077400301</v>
      </c>
      <c r="I12108" s="20">
        <v>0.26093350314551</v>
      </c>
      <c r="J12108" s="28">
        <v>0.79414378780213601</v>
      </c>
      <c r="K12108" s="29">
        <v>0.98289565623980701</v>
      </c>
    </row>
    <row r="12109" spans="1:11" x14ac:dyDescent="0.35">
      <c r="A12109" s="9" t="str">
        <f>HYPERLINK("http://www.ensembl.org/id/WBGene00010673", "WBGene00010673")</f>
        <v>WBGene00010673</v>
      </c>
      <c r="B12109" s="9" t="str">
        <f>HYPERLINK("http://www.ncbi.nlm.nih.gov/gene/178211", "178211")</f>
        <v>178211</v>
      </c>
      <c r="C12109" s="9"/>
      <c r="D12109" t="str">
        <f>"K08E7.5"</f>
        <v>K08E7.5</v>
      </c>
      <c r="F12109" t="s">
        <v>11</v>
      </c>
      <c r="G12109" t="s">
        <v>54</v>
      </c>
      <c r="H12109" s="12">
        <v>2.80417531110505</v>
      </c>
      <c r="I12109" s="20">
        <v>0.85481659564819901</v>
      </c>
      <c r="J12109" s="28">
        <v>0.39265268927490399</v>
      </c>
      <c r="K12109" s="29">
        <v>0.98289565623980701</v>
      </c>
    </row>
    <row r="12110" spans="1:11" x14ac:dyDescent="0.35">
      <c r="A12110" s="9" t="str">
        <f>HYPERLINK("http://www.ensembl.org/id/WBGene00019541", "WBGene00019541")</f>
        <v>WBGene00019541</v>
      </c>
      <c r="B12110" s="9" t="str">
        <f>HYPERLINK("http://www.ncbi.nlm.nih.gov/gene/187169", "187169")</f>
        <v>187169</v>
      </c>
      <c r="C12110" s="9"/>
      <c r="D12110" t="str">
        <f>"K08F11.1"</f>
        <v>K08F11.1</v>
      </c>
      <c r="F12110" t="s">
        <v>11</v>
      </c>
      <c r="H12110" s="12">
        <v>1.69552425687612</v>
      </c>
      <c r="I12110" s="20">
        <v>0.69393088721206098</v>
      </c>
      <c r="J12110" s="28">
        <v>0.48772555231891201</v>
      </c>
      <c r="K12110" s="29">
        <v>0.98289565623980701</v>
      </c>
    </row>
    <row r="12111" spans="1:11" x14ac:dyDescent="0.35">
      <c r="A12111" s="9" t="str">
        <f>HYPERLINK("http://www.ensembl.org/id/WBGene00023323", "WBGene00023323")</f>
        <v>WBGene00023323</v>
      </c>
      <c r="B12111" s="9"/>
      <c r="C12111" s="9"/>
      <c r="D12111" t="str">
        <f>"K08F11.6"</f>
        <v>K08F11.6</v>
      </c>
      <c r="F12111" t="s">
        <v>80</v>
      </c>
      <c r="H12111" s="12">
        <v>1.3139320484255499</v>
      </c>
      <c r="I12111" s="20">
        <v>0.55232566635761704</v>
      </c>
      <c r="J12111" s="28">
        <v>0.58072524879484599</v>
      </c>
      <c r="K12111" s="29">
        <v>0.98289565623980701</v>
      </c>
    </row>
    <row r="12112" spans="1:11" x14ac:dyDescent="0.35">
      <c r="A12112" s="9" t="str">
        <f>HYPERLINK("http://www.ensembl.org/id/WBGene00195021", "WBGene00195021")</f>
        <v>WBGene00195021</v>
      </c>
      <c r="B12112" s="9"/>
      <c r="C12112" s="9"/>
      <c r="D12112" t="str">
        <f>"K08F11.7"</f>
        <v>K08F11.7</v>
      </c>
      <c r="F12112" t="s">
        <v>481</v>
      </c>
      <c r="H12112" s="12">
        <v>2.3893468495514898</v>
      </c>
      <c r="I12112" s="20">
        <v>0.25323547253672701</v>
      </c>
      <c r="J12112" s="28">
        <v>0.80008625651646104</v>
      </c>
      <c r="K12112" s="29">
        <v>0.98289565623980701</v>
      </c>
    </row>
    <row r="12113" spans="1:11" x14ac:dyDescent="0.35">
      <c r="A12113" s="9" t="str">
        <f>HYPERLINK("http://www.ensembl.org/id/WBGene00220012", "WBGene00220012")</f>
        <v>WBGene00220012</v>
      </c>
      <c r="B12113" s="9"/>
      <c r="C12113" s="9"/>
      <c r="D12113" t="str">
        <f>"K08F11.8"</f>
        <v>K08F11.8</v>
      </c>
      <c r="F12113" t="s">
        <v>2977</v>
      </c>
      <c r="H12113" s="12">
        <v>-3.7261494131482999</v>
      </c>
      <c r="I12113" s="20">
        <v>-0.38454673129429601</v>
      </c>
      <c r="J12113" s="28">
        <v>0.70057326682554</v>
      </c>
      <c r="K12113" s="29">
        <v>0.98289565623980701</v>
      </c>
    </row>
    <row r="12114" spans="1:11" x14ac:dyDescent="0.35">
      <c r="A12114" s="9" t="str">
        <f>HYPERLINK("http://www.ensembl.org/id/WBGene00010680", "WBGene00010680")</f>
        <v>WBGene00010680</v>
      </c>
      <c r="B12114" s="9" t="str">
        <f>HYPERLINK("http://www.ncbi.nlm.nih.gov/gene/3565252", "3565252")</f>
        <v>3565252</v>
      </c>
      <c r="C12114" s="9"/>
      <c r="D12114" t="str">
        <f>"K08F4.12"</f>
        <v>K08F4.12</v>
      </c>
      <c r="F12114" t="s">
        <v>11</v>
      </c>
      <c r="H12114" s="12">
        <v>1.13569120797316</v>
      </c>
      <c r="I12114" s="20">
        <v>0.32199109574822699</v>
      </c>
      <c r="J12114" s="28">
        <v>0.74745944015865295</v>
      </c>
      <c r="K12114" s="29">
        <v>0.98289565623980701</v>
      </c>
    </row>
    <row r="12115" spans="1:11" x14ac:dyDescent="0.35">
      <c r="A12115" s="9" t="str">
        <f>HYPERLINK("http://www.ensembl.org/id/WBGene00010679", "WBGene00010679")</f>
        <v>WBGene00010679</v>
      </c>
      <c r="B12115" s="9" t="str">
        <f>HYPERLINK("http://www.ncbi.nlm.nih.gov/gene/187164", "187164")</f>
        <v>187164</v>
      </c>
      <c r="C12115" s="9"/>
      <c r="D12115" t="str">
        <f>"K08F4.5"</f>
        <v>K08F4.5</v>
      </c>
      <c r="F12115" t="s">
        <v>11</v>
      </c>
      <c r="H12115" s="12">
        <v>1.7619973119723</v>
      </c>
      <c r="I12115" s="20">
        <v>0.52955987349984901</v>
      </c>
      <c r="J12115" s="28">
        <v>0.59641712167581795</v>
      </c>
      <c r="K12115" s="29">
        <v>0.98289565623980701</v>
      </c>
    </row>
    <row r="12116" spans="1:11" x14ac:dyDescent="0.35">
      <c r="A12116" s="9" t="str">
        <f>HYPERLINK("http://www.ensembl.org/id/WBGene00010683", "WBGene00010683")</f>
        <v>WBGene00010683</v>
      </c>
      <c r="B12116" s="9" t="str">
        <f>HYPERLINK("http://www.ncbi.nlm.nih.gov/gene/3565109", "3565109")</f>
        <v>3565109</v>
      </c>
      <c r="C12116" s="9"/>
      <c r="D12116" t="str">
        <f>"K08F8.7"</f>
        <v>K08F8.7</v>
      </c>
      <c r="F12116" t="s">
        <v>11</v>
      </c>
      <c r="G12116" t="s">
        <v>25</v>
      </c>
      <c r="H12116" s="12">
        <v>1.30951138316619</v>
      </c>
      <c r="I12116" s="20">
        <v>0.58076449793825202</v>
      </c>
      <c r="J12116" s="28">
        <v>0.56139918538567801</v>
      </c>
      <c r="K12116" s="29">
        <v>0.98289565623980701</v>
      </c>
    </row>
    <row r="12117" spans="1:11" x14ac:dyDescent="0.35">
      <c r="A12117" s="9" t="str">
        <f>HYPERLINK("http://www.ensembl.org/id/WBGene00197426", "WBGene00197426")</f>
        <v>WBGene00197426</v>
      </c>
      <c r="B12117" s="9"/>
      <c r="C12117" s="9"/>
      <c r="D12117" t="str">
        <f>"K08F8.8"</f>
        <v>K08F8.8</v>
      </c>
      <c r="F12117" t="s">
        <v>481</v>
      </c>
      <c r="H12117" s="12">
        <v>1.8839071228078501</v>
      </c>
      <c r="I12117" s="20">
        <v>0.80379448372417195</v>
      </c>
      <c r="J12117" s="28">
        <v>0.42151567610051599</v>
      </c>
      <c r="K12117" s="29">
        <v>0.98289565623980701</v>
      </c>
    </row>
    <row r="12118" spans="1:11" x14ac:dyDescent="0.35">
      <c r="A12118" s="9" t="str">
        <f>HYPERLINK("http://www.ensembl.org/id/WBGene00197691", "WBGene00197691")</f>
        <v>WBGene00197691</v>
      </c>
      <c r="B12118" s="9"/>
      <c r="C12118" s="9"/>
      <c r="D12118" t="str">
        <f>"K08F8.9"</f>
        <v>K08F8.9</v>
      </c>
      <c r="F12118" t="s">
        <v>481</v>
      </c>
      <c r="H12118" s="12">
        <v>10.8131830636529</v>
      </c>
      <c r="I12118" s="20">
        <v>0.70982715185838596</v>
      </c>
      <c r="J12118" s="28">
        <v>0.477811329444844</v>
      </c>
      <c r="K12118" s="29">
        <v>0.98289565623980701</v>
      </c>
    </row>
    <row r="12119" spans="1:11" x14ac:dyDescent="0.35">
      <c r="A12119" s="9" t="str">
        <f>HYPERLINK("http://www.ensembl.org/id/WBGene00010686", "WBGene00010686")</f>
        <v>WBGene00010686</v>
      </c>
      <c r="B12119" s="9" t="str">
        <f>HYPERLINK("http://www.ncbi.nlm.nih.gov/gene/187168", "187168")</f>
        <v>187168</v>
      </c>
      <c r="C12119" s="9"/>
      <c r="D12119" t="str">
        <f>"K08F9.3"</f>
        <v>K08F9.3</v>
      </c>
      <c r="F12119" t="s">
        <v>11</v>
      </c>
      <c r="G12119" t="s">
        <v>25</v>
      </c>
      <c r="H12119" s="12">
        <v>-1.29423007793255</v>
      </c>
      <c r="I12119" s="20">
        <v>-1.0498866473695001</v>
      </c>
      <c r="J12119" s="28">
        <v>0.29377023134390801</v>
      </c>
      <c r="K12119" s="29">
        <v>0.98289565623980701</v>
      </c>
    </row>
    <row r="12120" spans="1:11" x14ac:dyDescent="0.35">
      <c r="A12120" s="9" t="str">
        <f>HYPERLINK("http://www.ensembl.org/id/WBGene00014803", "WBGene00014803")</f>
        <v>WBGene00014803</v>
      </c>
      <c r="B12120" s="9"/>
      <c r="C12120" s="9"/>
      <c r="D12120" t="str">
        <f>"K08G2.14"</f>
        <v>K08G2.14</v>
      </c>
      <c r="F12120" t="s">
        <v>80</v>
      </c>
      <c r="H12120" s="12">
        <v>2.3893468495514898</v>
      </c>
      <c r="I12120" s="20">
        <v>0.25323547253672701</v>
      </c>
      <c r="J12120" s="28">
        <v>0.80008625651646104</v>
      </c>
      <c r="K12120" s="29">
        <v>0.98289565623980701</v>
      </c>
    </row>
    <row r="12121" spans="1:11" x14ac:dyDescent="0.35">
      <c r="A12121" s="9" t="str">
        <f>HYPERLINK("http://www.ensembl.org/id/WBGene00077491", "WBGene00077491")</f>
        <v>WBGene00077491</v>
      </c>
      <c r="B12121" s="9" t="str">
        <f>HYPERLINK("http://www.ncbi.nlm.nih.gov/gene/6418754", "6418754")</f>
        <v>6418754</v>
      </c>
      <c r="C12121" s="9"/>
      <c r="D12121" t="str">
        <f>"K08H10.10"</f>
        <v>K08H10.10</v>
      </c>
      <c r="F12121" t="s">
        <v>11</v>
      </c>
      <c r="H12121" s="12">
        <v>1.36941418358081</v>
      </c>
      <c r="I12121" s="20">
        <v>0.49305648449355699</v>
      </c>
      <c r="J12121" s="28">
        <v>0.62197267696354297</v>
      </c>
      <c r="K12121" s="29">
        <v>0.98289565623980701</v>
      </c>
    </row>
    <row r="12122" spans="1:11" x14ac:dyDescent="0.35">
      <c r="A12122" s="9" t="str">
        <f>HYPERLINK("http://www.ensembl.org/id/WBGene00077501", "WBGene00077501")</f>
        <v>WBGene00077501</v>
      </c>
      <c r="B12122" s="9"/>
      <c r="C12122" s="9"/>
      <c r="D12122" t="str">
        <f>"K08H10.11"</f>
        <v>K08H10.11</v>
      </c>
      <c r="F12122" t="s">
        <v>80</v>
      </c>
      <c r="H12122" s="12">
        <v>3.5227018545059199</v>
      </c>
      <c r="I12122" s="20">
        <v>0.36849691206929103</v>
      </c>
      <c r="J12122" s="28">
        <v>0.71250274722433404</v>
      </c>
      <c r="K12122" s="29">
        <v>0.98289565623980701</v>
      </c>
    </row>
    <row r="12123" spans="1:11" x14ac:dyDescent="0.35">
      <c r="A12123" s="9" t="str">
        <f>HYPERLINK("http://www.ensembl.org/id/WBGene00195438", "WBGene00195438")</f>
        <v>WBGene00195438</v>
      </c>
      <c r="B12123" s="9"/>
      <c r="C12123" s="9"/>
      <c r="D12123" t="str">
        <f>"K08H10.13"</f>
        <v>K08H10.13</v>
      </c>
      <c r="F12123" t="s">
        <v>481</v>
      </c>
      <c r="H12123" s="12">
        <v>2.3893468495514898</v>
      </c>
      <c r="I12123" s="20">
        <v>0.25323547253672701</v>
      </c>
      <c r="J12123" s="28">
        <v>0.80008625651646104</v>
      </c>
      <c r="K12123" s="29">
        <v>0.98289565623980701</v>
      </c>
    </row>
    <row r="12124" spans="1:11" x14ac:dyDescent="0.35">
      <c r="A12124" s="9" t="str">
        <f>HYPERLINK("http://www.ensembl.org/id/WBGene00014805", "WBGene00014805")</f>
        <v>WBGene00014805</v>
      </c>
      <c r="B12124" s="9"/>
      <c r="C12124" s="9"/>
      <c r="D12124" t="str">
        <f>"K08H10.5"</f>
        <v>K08H10.5</v>
      </c>
      <c r="F12124" t="s">
        <v>80</v>
      </c>
      <c r="H12124" s="12">
        <v>-2.4295389261469</v>
      </c>
      <c r="I12124" s="20">
        <v>-0.25808529976640998</v>
      </c>
      <c r="J12124" s="28">
        <v>0.79634107645457397</v>
      </c>
      <c r="K12124" s="29">
        <v>0.98289565623980701</v>
      </c>
    </row>
    <row r="12125" spans="1:11" x14ac:dyDescent="0.35">
      <c r="A12125" s="9" t="str">
        <f>HYPERLINK("http://www.ensembl.org/id/WBGene00010698", "WBGene00010698")</f>
        <v>WBGene00010698</v>
      </c>
      <c r="B12125" s="9" t="str">
        <f>HYPERLINK("http://www.ncbi.nlm.nih.gov/gene/187181", "187181")</f>
        <v>187181</v>
      </c>
      <c r="C12125" s="9"/>
      <c r="D12125" t="str">
        <f>"K08H10.6"</f>
        <v>K08H10.6</v>
      </c>
      <c r="F12125" t="s">
        <v>11</v>
      </c>
      <c r="G12125" t="s">
        <v>230</v>
      </c>
      <c r="H12125" s="12">
        <v>3.1233554739378802</v>
      </c>
      <c r="I12125" s="20">
        <v>1.08232395432455</v>
      </c>
      <c r="J12125" s="28">
        <v>0.279108605597711</v>
      </c>
      <c r="K12125" s="29">
        <v>0.98289565623980701</v>
      </c>
    </row>
    <row r="12126" spans="1:11" x14ac:dyDescent="0.35">
      <c r="A12126" s="9" t="str">
        <f>HYPERLINK("http://www.ensembl.org/id/WBGene00010691", "WBGene00010691")</f>
        <v>WBGene00010691</v>
      </c>
      <c r="B12126" s="9" t="str">
        <f>HYPERLINK("http://www.ncbi.nlm.nih.gov/gene/181449", "181449")</f>
        <v>181449</v>
      </c>
      <c r="C12126" s="9"/>
      <c r="D12126" t="str">
        <f>"K08H2.4"</f>
        <v>K08H2.4</v>
      </c>
      <c r="F12126" t="s">
        <v>11</v>
      </c>
      <c r="H12126" s="12">
        <v>1.14986014197838</v>
      </c>
      <c r="I12126" s="20">
        <v>0.36357398107314998</v>
      </c>
      <c r="J12126" s="28">
        <v>0.71617615904944298</v>
      </c>
      <c r="K12126" s="29">
        <v>0.98289565623980701</v>
      </c>
    </row>
    <row r="12127" spans="1:11" x14ac:dyDescent="0.35">
      <c r="A12127" s="9" t="str">
        <f>HYPERLINK("http://www.ensembl.org/id/WBGene00010692", "WBGene00010692")</f>
        <v>WBGene00010692</v>
      </c>
      <c r="B12127" s="9" t="str">
        <f>HYPERLINK("http://www.ncbi.nlm.nih.gov/gene/187176", "187176")</f>
        <v>187176</v>
      </c>
      <c r="C12127" s="9"/>
      <c r="D12127" t="str">
        <f>"K08H2.5"</f>
        <v>K08H2.5</v>
      </c>
      <c r="F12127" t="s">
        <v>11</v>
      </c>
      <c r="G12127" t="s">
        <v>4301</v>
      </c>
      <c r="H12127" s="12">
        <v>-3.0525918990244301</v>
      </c>
      <c r="I12127" s="20">
        <v>-0.56708740383808998</v>
      </c>
      <c r="J12127" s="28">
        <v>0.57065480036307303</v>
      </c>
      <c r="K12127" s="29">
        <v>0.98289565623980701</v>
      </c>
    </row>
    <row r="12128" spans="1:11" x14ac:dyDescent="0.35">
      <c r="A12128" s="9" t="str">
        <f>HYPERLINK("http://www.ensembl.org/id/WBGene00014428", "WBGene00014428")</f>
        <v>WBGene00014428</v>
      </c>
      <c r="B12128" s="9"/>
      <c r="C12128" s="9"/>
      <c r="D12128" t="str">
        <f>"K08H2.t1"</f>
        <v>K08H2.t1</v>
      </c>
      <c r="F12128" t="s">
        <v>4208</v>
      </c>
      <c r="H12128" s="12">
        <v>-5.4967879193631202</v>
      </c>
      <c r="I12128" s="20">
        <v>-0.50254160819837501</v>
      </c>
      <c r="J12128" s="28">
        <v>0.61528659178453604</v>
      </c>
      <c r="K12128" s="29">
        <v>0.98289565623980701</v>
      </c>
    </row>
    <row r="12129" spans="1:11" x14ac:dyDescent="0.35">
      <c r="A12129" s="9" t="str">
        <f>HYPERLINK("http://www.ensembl.org/id/WBGene00010704", "WBGene00010704")</f>
        <v>WBGene00010704</v>
      </c>
      <c r="B12129" s="9" t="str">
        <f>HYPERLINK("http://www.ncbi.nlm.nih.gov/gene/187182", "187182")</f>
        <v>187182</v>
      </c>
      <c r="C12129" s="9"/>
      <c r="D12129" t="str">
        <f>"K09A11.1"</f>
        <v>K09A11.1</v>
      </c>
      <c r="F12129" t="s">
        <v>11</v>
      </c>
      <c r="G12129" t="s">
        <v>5048</v>
      </c>
      <c r="H12129" s="12">
        <v>1.25189907894696</v>
      </c>
      <c r="I12129" s="20">
        <v>0.87076898606747999</v>
      </c>
      <c r="J12129" s="28">
        <v>0.38388030247154398</v>
      </c>
      <c r="K12129" s="29">
        <v>0.98289565623980701</v>
      </c>
    </row>
    <row r="12130" spans="1:11" x14ac:dyDescent="0.35">
      <c r="A12130" s="9" t="str">
        <f>HYPERLINK("http://www.ensembl.org/id/WBGene00194849", "WBGene00194849")</f>
        <v>WBGene00194849</v>
      </c>
      <c r="B12130" s="9" t="str">
        <f>HYPERLINK("http://www.ncbi.nlm.nih.gov/gene/13224282", "13224282")</f>
        <v>13224282</v>
      </c>
      <c r="C12130" s="9"/>
      <c r="D12130" t="str">
        <f>"K09A9.8"</f>
        <v>K09A9.8</v>
      </c>
      <c r="F12130" t="s">
        <v>11</v>
      </c>
      <c r="H12130" s="12">
        <v>-1.36446777840452</v>
      </c>
      <c r="I12130" s="20">
        <v>-0.65353150635730095</v>
      </c>
      <c r="J12130" s="28">
        <v>0.51341368463534198</v>
      </c>
      <c r="K12130" s="29">
        <v>0.98289565623980701</v>
      </c>
    </row>
    <row r="12131" spans="1:11" x14ac:dyDescent="0.35">
      <c r="A12131" s="9" t="str">
        <f>HYPERLINK("http://www.ensembl.org/id/WBGene00195975", "WBGene00195975")</f>
        <v>WBGene00195975</v>
      </c>
      <c r="B12131" s="9"/>
      <c r="C12131" s="9"/>
      <c r="D12131" t="str">
        <f>"K09A9.9"</f>
        <v>K09A9.9</v>
      </c>
      <c r="F12131" t="s">
        <v>481</v>
      </c>
      <c r="H12131" s="12">
        <v>3.5227018545059199</v>
      </c>
      <c r="I12131" s="20">
        <v>0.36849691206929103</v>
      </c>
      <c r="J12131" s="28">
        <v>0.71250274722433404</v>
      </c>
      <c r="K12131" s="29">
        <v>0.98289565623980701</v>
      </c>
    </row>
    <row r="12132" spans="1:11" x14ac:dyDescent="0.35">
      <c r="A12132" s="9" t="str">
        <f>HYPERLINK("http://www.ensembl.org/id/WBGene00010711", "WBGene00010711")</f>
        <v>WBGene00010711</v>
      </c>
      <c r="B12132" s="9" t="str">
        <f>HYPERLINK("http://www.ncbi.nlm.nih.gov/gene/187192", "187192")</f>
        <v>187192</v>
      </c>
      <c r="C12132" s="9"/>
      <c r="D12132" t="str">
        <f>"K09B11.4"</f>
        <v>K09B11.4</v>
      </c>
      <c r="F12132" t="s">
        <v>11</v>
      </c>
      <c r="H12132" s="12">
        <v>1.8680420608921999</v>
      </c>
      <c r="I12132" s="20">
        <v>0.71586788689122605</v>
      </c>
      <c r="J12132" s="28">
        <v>0.47407292909751497</v>
      </c>
      <c r="K12132" s="29">
        <v>0.98289565623980701</v>
      </c>
    </row>
    <row r="12133" spans="1:11" x14ac:dyDescent="0.35">
      <c r="A12133" s="9" t="str">
        <f>HYPERLINK("http://www.ensembl.org/id/WBGene00010712", "WBGene00010712")</f>
        <v>WBGene00010712</v>
      </c>
      <c r="B12133" s="9" t="str">
        <f>HYPERLINK("http://www.ncbi.nlm.nih.gov/gene/178307", "178307")</f>
        <v>178307</v>
      </c>
      <c r="C12133" s="9"/>
      <c r="D12133" t="str">
        <f>"K09B11.5"</f>
        <v>K09B11.5</v>
      </c>
      <c r="E12133" t="s">
        <v>2588</v>
      </c>
      <c r="F12133" t="s">
        <v>11</v>
      </c>
      <c r="G12133" t="s">
        <v>2589</v>
      </c>
      <c r="H12133" s="12">
        <v>-2.57623487758688</v>
      </c>
      <c r="I12133" s="20">
        <v>-0.64130962163522698</v>
      </c>
      <c r="J12133" s="28">
        <v>0.52132153919258195</v>
      </c>
      <c r="K12133" s="29">
        <v>0.98289565623980701</v>
      </c>
    </row>
    <row r="12134" spans="1:11" x14ac:dyDescent="0.35">
      <c r="A12134" s="9" t="str">
        <f>HYPERLINK("http://www.ensembl.org/id/WBGene00019545", "WBGene00019545")</f>
        <v>WBGene00019545</v>
      </c>
      <c r="B12134" s="9" t="str">
        <f>HYPERLINK("http://www.ncbi.nlm.nih.gov/gene/187188", "187188")</f>
        <v>187188</v>
      </c>
      <c r="C12134" s="9"/>
      <c r="D12134" t="str">
        <f>"K09B3.1"</f>
        <v>K09B3.1</v>
      </c>
      <c r="F12134" t="s">
        <v>11</v>
      </c>
      <c r="H12134" s="12">
        <v>1.5890309538585301</v>
      </c>
      <c r="I12134" s="20">
        <v>0.41643378132651998</v>
      </c>
      <c r="J12134" s="28">
        <v>0.67709261332982495</v>
      </c>
      <c r="K12134" s="29">
        <v>0.98289565623980701</v>
      </c>
    </row>
    <row r="12135" spans="1:11" x14ac:dyDescent="0.35">
      <c r="A12135" s="9" t="str">
        <f>HYPERLINK("http://www.ensembl.org/id/WBGene00019548", "WBGene00019548")</f>
        <v>WBGene00019548</v>
      </c>
      <c r="B12135" s="9" t="str">
        <f>HYPERLINK("http://www.ncbi.nlm.nih.gov/gene/187193", "187193")</f>
        <v>187193</v>
      </c>
      <c r="C12135" s="9"/>
      <c r="D12135" t="str">
        <f>"K09C4.2"</f>
        <v>K09C4.2</v>
      </c>
      <c r="F12135" t="s">
        <v>11</v>
      </c>
      <c r="G12135" t="s">
        <v>230</v>
      </c>
      <c r="H12135" s="12">
        <v>-8.7328318478741096</v>
      </c>
      <c r="I12135" s="20">
        <v>-1.09418321162128</v>
      </c>
      <c r="J12135" s="28">
        <v>0.27387463301409098</v>
      </c>
      <c r="K12135" s="29">
        <v>0.98289565623980701</v>
      </c>
    </row>
    <row r="12136" spans="1:11" x14ac:dyDescent="0.35">
      <c r="A12136" s="9" t="str">
        <f>HYPERLINK("http://www.ensembl.org/id/WBGene00019551", "WBGene00019551")</f>
        <v>WBGene00019551</v>
      </c>
      <c r="B12136" s="9" t="str">
        <f>HYPERLINK("http://www.ncbi.nlm.nih.gov/gene/187196", "187196")</f>
        <v>187196</v>
      </c>
      <c r="C12136" s="9"/>
      <c r="D12136" t="str">
        <f>"K09C4.6"</f>
        <v>K09C4.6</v>
      </c>
      <c r="F12136" t="s">
        <v>11</v>
      </c>
      <c r="H12136" s="12">
        <v>1.1636960953322699</v>
      </c>
      <c r="I12136" s="20">
        <v>0.25582895375358899</v>
      </c>
      <c r="J12136" s="28">
        <v>0.79808291582285495</v>
      </c>
      <c r="K12136" s="29">
        <v>0.98289565623980701</v>
      </c>
    </row>
    <row r="12137" spans="1:11" x14ac:dyDescent="0.35">
      <c r="A12137" s="9" t="str">
        <f>HYPERLINK("http://www.ensembl.org/id/WBGene00019552", "WBGene00019552")</f>
        <v>WBGene00019552</v>
      </c>
      <c r="B12137" s="9" t="str">
        <f>HYPERLINK("http://www.ncbi.nlm.nih.gov/gene/187197", "187197")</f>
        <v>187197</v>
      </c>
      <c r="C12137" s="9"/>
      <c r="D12137" t="str">
        <f>"K09C4.7"</f>
        <v>K09C4.7</v>
      </c>
      <c r="F12137" t="s">
        <v>11</v>
      </c>
      <c r="H12137" s="12">
        <v>-1.83296221403543</v>
      </c>
      <c r="I12137" s="20">
        <v>-0.44757146139509202</v>
      </c>
      <c r="J12137" s="28">
        <v>0.65446250333682499</v>
      </c>
      <c r="K12137" s="29">
        <v>0.98289565623980701</v>
      </c>
    </row>
    <row r="12138" spans="1:11" x14ac:dyDescent="0.35">
      <c r="A12138" s="9" t="str">
        <f>HYPERLINK("http://www.ensembl.org/id/WBGene00019553", "WBGene00019553")</f>
        <v>WBGene00019553</v>
      </c>
      <c r="B12138" s="9" t="str">
        <f>HYPERLINK("http://www.ncbi.nlm.nih.gov/gene/187198", "187198")</f>
        <v>187198</v>
      </c>
      <c r="C12138" s="9"/>
      <c r="D12138" t="str">
        <f>"K09C4.9"</f>
        <v>K09C4.9</v>
      </c>
      <c r="F12138" t="s">
        <v>11</v>
      </c>
      <c r="H12138" s="12">
        <v>-2.4295389261469</v>
      </c>
      <c r="I12138" s="20">
        <v>-0.25808529976640998</v>
      </c>
      <c r="J12138" s="28">
        <v>0.79634107645457397</v>
      </c>
      <c r="K12138" s="29">
        <v>0.98289565623980701</v>
      </c>
    </row>
    <row r="12139" spans="1:11" x14ac:dyDescent="0.35">
      <c r="A12139" s="9" t="str">
        <f>HYPERLINK("http://www.ensembl.org/id/WBGene00044778", "WBGene00044778")</f>
        <v>WBGene00044778</v>
      </c>
      <c r="B12139" s="9" t="str">
        <f>HYPERLINK("http://www.ncbi.nlm.nih.gov/gene/4363092", "4363092")</f>
        <v>4363092</v>
      </c>
      <c r="C12139" s="9"/>
      <c r="D12139" t="str">
        <f>"K09C6.10"</f>
        <v>K09C6.10</v>
      </c>
      <c r="F12139" t="s">
        <v>11</v>
      </c>
      <c r="G12139" t="s">
        <v>25</v>
      </c>
      <c r="H12139" s="12">
        <v>-3.5819448292659501</v>
      </c>
      <c r="I12139" s="20">
        <v>-0.37337717500031398</v>
      </c>
      <c r="J12139" s="28">
        <v>0.70886774492290605</v>
      </c>
      <c r="K12139" s="29">
        <v>0.98289565623980701</v>
      </c>
    </row>
    <row r="12140" spans="1:11" x14ac:dyDescent="0.35">
      <c r="A12140" s="9" t="str">
        <f>HYPERLINK("http://www.ensembl.org/id/WBGene00019557", "WBGene00019557")</f>
        <v>WBGene00019557</v>
      </c>
      <c r="B12140" s="9" t="str">
        <f>HYPERLINK("http://www.ncbi.nlm.nih.gov/gene/187200", "187200")</f>
        <v>187200</v>
      </c>
      <c r="C12140" s="9"/>
      <c r="D12140" t="str">
        <f>"K09C6.3"</f>
        <v>K09C6.3</v>
      </c>
      <c r="F12140" t="s">
        <v>11</v>
      </c>
      <c r="H12140" s="12">
        <v>-3.5819448292659501</v>
      </c>
      <c r="I12140" s="20">
        <v>-0.37337717500031398</v>
      </c>
      <c r="J12140" s="28">
        <v>0.70886774492290605</v>
      </c>
      <c r="K12140" s="29">
        <v>0.98289565623980701</v>
      </c>
    </row>
    <row r="12141" spans="1:11" x14ac:dyDescent="0.35">
      <c r="A12141" s="9" t="str">
        <f>HYPERLINK("http://www.ensembl.org/id/WBGene00019560", "WBGene00019560")</f>
        <v>WBGene00019560</v>
      </c>
      <c r="B12141" s="9"/>
      <c r="C12141" s="9"/>
      <c r="D12141" t="str">
        <f>"K09C6.6"</f>
        <v>K09C6.6</v>
      </c>
      <c r="F12141" t="s">
        <v>80</v>
      </c>
      <c r="H12141" s="12">
        <v>-2.4295389261469</v>
      </c>
      <c r="I12141" s="20">
        <v>-0.25808529976640998</v>
      </c>
      <c r="J12141" s="28">
        <v>0.79634107645457397</v>
      </c>
      <c r="K12141" s="29">
        <v>0.98289565623980701</v>
      </c>
    </row>
    <row r="12142" spans="1:11" x14ac:dyDescent="0.35">
      <c r="A12142" s="9" t="str">
        <f>HYPERLINK("http://www.ensembl.org/id/WBGene00019561", "WBGene00019561")</f>
        <v>WBGene00019561</v>
      </c>
      <c r="B12142" s="9" t="str">
        <f>HYPERLINK("http://www.ncbi.nlm.nih.gov/gene/178589", "178589")</f>
        <v>178589</v>
      </c>
      <c r="C12142" s="9"/>
      <c r="D12142" t="str">
        <f>"K09C6.7"</f>
        <v>K09C6.7</v>
      </c>
      <c r="F12142" t="s">
        <v>11</v>
      </c>
      <c r="G12142" t="s">
        <v>4294</v>
      </c>
      <c r="H12142" s="12">
        <v>-1.35091536569098</v>
      </c>
      <c r="I12142" s="20">
        <v>-0.27018370449455897</v>
      </c>
      <c r="J12142" s="28">
        <v>0.78701892859008105</v>
      </c>
      <c r="K12142" s="29">
        <v>0.98289565623980701</v>
      </c>
    </row>
    <row r="12143" spans="1:11" x14ac:dyDescent="0.35">
      <c r="A12143" s="9" t="str">
        <f>HYPERLINK("http://www.ensembl.org/id/WBGene00019562", "WBGene00019562")</f>
        <v>WBGene00019562</v>
      </c>
      <c r="B12143" s="9" t="str">
        <f>HYPERLINK("http://www.ncbi.nlm.nih.gov/gene/178590", "178590")</f>
        <v>178590</v>
      </c>
      <c r="C12143" s="9"/>
      <c r="D12143" t="str">
        <f>"K09C6.8"</f>
        <v>K09C6.8</v>
      </c>
      <c r="F12143" t="s">
        <v>11</v>
      </c>
      <c r="G12143" t="s">
        <v>4294</v>
      </c>
      <c r="H12143" s="12">
        <v>3.6645215954135</v>
      </c>
      <c r="I12143" s="20">
        <v>0.37967131826092498</v>
      </c>
      <c r="J12143" s="28">
        <v>0.70418941338960395</v>
      </c>
      <c r="K12143" s="29">
        <v>0.98289565623980701</v>
      </c>
    </row>
    <row r="12144" spans="1:11" x14ac:dyDescent="0.35">
      <c r="A12144" s="9" t="str">
        <f>HYPERLINK("http://www.ensembl.org/id/WBGene00010715", "WBGene00010715")</f>
        <v>WBGene00010715</v>
      </c>
      <c r="B12144" s="9" t="str">
        <f>HYPERLINK("http://www.ncbi.nlm.nih.gov/gene/181286", "181286")</f>
        <v>181286</v>
      </c>
      <c r="C12144" s="9"/>
      <c r="D12144" t="str">
        <f>"K09C8.2"</f>
        <v>K09C8.2</v>
      </c>
      <c r="F12144" t="s">
        <v>11</v>
      </c>
      <c r="G12144" t="s">
        <v>25</v>
      </c>
      <c r="H12144" s="12">
        <v>2.3051328446997701</v>
      </c>
      <c r="I12144" s="20">
        <v>0.50460176161761705</v>
      </c>
      <c r="J12144" s="28">
        <v>0.61383857230031702</v>
      </c>
      <c r="K12144" s="29">
        <v>0.98289565623980701</v>
      </c>
    </row>
    <row r="12145" spans="1:11" x14ac:dyDescent="0.35">
      <c r="A12145" s="9" t="str">
        <f>HYPERLINK("http://www.ensembl.org/id/WBGene00010718", "WBGene00010718")</f>
        <v>WBGene00010718</v>
      </c>
      <c r="B12145" s="9" t="str">
        <f>HYPERLINK("http://www.ncbi.nlm.nih.gov/gene/3565042", "3565042")</f>
        <v>3565042</v>
      </c>
      <c r="C12145" s="9"/>
      <c r="D12145" t="str">
        <f>"K09C8.8"</f>
        <v>K09C8.8</v>
      </c>
      <c r="F12145" t="s">
        <v>11</v>
      </c>
      <c r="H12145" s="12">
        <v>2.4618083225540301</v>
      </c>
      <c r="I12145" s="20">
        <v>0.95995862410800803</v>
      </c>
      <c r="J12145" s="28">
        <v>0.33707603936540398</v>
      </c>
      <c r="K12145" s="29">
        <v>0.98289565623980701</v>
      </c>
    </row>
    <row r="12146" spans="1:11" x14ac:dyDescent="0.35">
      <c r="A12146" s="9" t="str">
        <f>HYPERLINK("http://www.ensembl.org/id/WBGene00164969", "WBGene00164969")</f>
        <v>WBGene00164969</v>
      </c>
      <c r="B12146" s="9" t="str">
        <f>HYPERLINK("http://www.ncbi.nlm.nih.gov/gene/13222680", "13222680")</f>
        <v>13222680</v>
      </c>
      <c r="C12146" s="9"/>
      <c r="D12146" t="str">
        <f>"K09C8.9"</f>
        <v>K09C8.9</v>
      </c>
      <c r="F12146" t="s">
        <v>11</v>
      </c>
      <c r="H12146" s="12">
        <v>-1.9138687597817701</v>
      </c>
      <c r="I12146" s="20">
        <v>-1.1086996907386599</v>
      </c>
      <c r="J12146" s="28">
        <v>0.26755975537869497</v>
      </c>
      <c r="K12146" s="29">
        <v>0.98289565623980701</v>
      </c>
    </row>
    <row r="12147" spans="1:11" x14ac:dyDescent="0.35">
      <c r="A12147" s="9" t="str">
        <f>HYPERLINK("http://www.ensembl.org/id/WBGene00019568", "WBGene00019568")</f>
        <v>WBGene00019568</v>
      </c>
      <c r="B12147" s="9"/>
      <c r="C12147" s="9"/>
      <c r="D12147" t="str">
        <f>"K09D9.11"</f>
        <v>K09D9.11</v>
      </c>
      <c r="F12147" t="s">
        <v>80</v>
      </c>
      <c r="H12147" s="12">
        <v>-3.13047029384696</v>
      </c>
      <c r="I12147" s="20">
        <v>-0.62453054557650201</v>
      </c>
      <c r="J12147" s="28">
        <v>0.53227921652871402</v>
      </c>
      <c r="K12147" s="29">
        <v>0.98289565623980701</v>
      </c>
    </row>
    <row r="12148" spans="1:11" x14ac:dyDescent="0.35">
      <c r="A12148" s="9" t="str">
        <f>HYPERLINK("http://www.ensembl.org/id/WBGene00019569", "WBGene00019569")</f>
        <v>WBGene00019569</v>
      </c>
      <c r="B12148" s="9"/>
      <c r="C12148" s="9"/>
      <c r="D12148" t="str">
        <f>"K09D9.12"</f>
        <v>K09D9.12</v>
      </c>
      <c r="F12148" t="s">
        <v>80</v>
      </c>
      <c r="H12148" s="12">
        <v>-2.2338267290055298</v>
      </c>
      <c r="I12148" s="20">
        <v>-1.1215175814139999</v>
      </c>
      <c r="J12148" s="28">
        <v>0.26206761206280499</v>
      </c>
      <c r="K12148" s="29">
        <v>0.98289565623980701</v>
      </c>
    </row>
    <row r="12149" spans="1:11" x14ac:dyDescent="0.35">
      <c r="A12149" s="9" t="str">
        <f>HYPERLINK("http://www.ensembl.org/id/WBGene00269424", "WBGene00269424")</f>
        <v>WBGene00269424</v>
      </c>
      <c r="B12149" s="9" t="str">
        <f>HYPERLINK("http://www.ncbi.nlm.nih.gov/gene/28661652", "28661652")</f>
        <v>28661652</v>
      </c>
      <c r="C12149" s="9"/>
      <c r="D12149" t="str">
        <f>"K09D9.14"</f>
        <v>K09D9.14</v>
      </c>
      <c r="F12149" t="s">
        <v>11</v>
      </c>
      <c r="G12149" t="s">
        <v>25</v>
      </c>
      <c r="H12149" s="12">
        <v>4.4368407117627902</v>
      </c>
      <c r="I12149" s="20">
        <v>0.43709475933309699</v>
      </c>
      <c r="J12149" s="28">
        <v>0.66204262779770495</v>
      </c>
      <c r="K12149" s="29">
        <v>0.98289565623980701</v>
      </c>
    </row>
    <row r="12150" spans="1:11" x14ac:dyDescent="0.35">
      <c r="A12150" s="9" t="str">
        <f>HYPERLINK("http://www.ensembl.org/id/WBGene00019567", "WBGene00019567")</f>
        <v>WBGene00019567</v>
      </c>
      <c r="B12150" s="9" t="str">
        <f>HYPERLINK("http://www.ncbi.nlm.nih.gov/gene/187211", "187211")</f>
        <v>187211</v>
      </c>
      <c r="C12150" s="9"/>
      <c r="D12150" t="str">
        <f>"K09D9.9"</f>
        <v>K09D9.9</v>
      </c>
      <c r="F12150" t="s">
        <v>11</v>
      </c>
      <c r="H12150" s="12">
        <v>2.3893468495514898</v>
      </c>
      <c r="I12150" s="20">
        <v>0.25323547253672701</v>
      </c>
      <c r="J12150" s="28">
        <v>0.80008625651646104</v>
      </c>
      <c r="K12150" s="29">
        <v>0.98289565623980701</v>
      </c>
    </row>
    <row r="12151" spans="1:11" x14ac:dyDescent="0.35">
      <c r="A12151" s="9" t="str">
        <f>HYPERLINK("http://www.ensembl.org/id/WBGene00019570", "WBGene00019570")</f>
        <v>WBGene00019570</v>
      </c>
      <c r="B12151" s="9" t="str">
        <f>HYPERLINK("http://www.ncbi.nlm.nih.gov/gene/187215", "187215")</f>
        <v>187215</v>
      </c>
      <c r="C12151" s="9"/>
      <c r="D12151" t="str">
        <f>"K09E2.1"</f>
        <v>K09E2.1</v>
      </c>
      <c r="F12151" t="s">
        <v>11</v>
      </c>
      <c r="H12151" s="12">
        <v>1.34750253011064</v>
      </c>
      <c r="I12151" s="20">
        <v>0.31875681664636502</v>
      </c>
      <c r="J12151" s="28">
        <v>0.74991092667058901</v>
      </c>
      <c r="K12151" s="29">
        <v>0.98289565623980701</v>
      </c>
    </row>
    <row r="12152" spans="1:11" x14ac:dyDescent="0.35">
      <c r="A12152" s="9" t="str">
        <f>HYPERLINK("http://www.ensembl.org/id/WBGene00019571", "WBGene00019571")</f>
        <v>WBGene00019571</v>
      </c>
      <c r="B12152" s="9" t="str">
        <f>HYPERLINK("http://www.ncbi.nlm.nih.gov/gene/187216", "187216")</f>
        <v>187216</v>
      </c>
      <c r="C12152" s="9"/>
      <c r="D12152" t="str">
        <f>"K09E2.2"</f>
        <v>K09E2.2</v>
      </c>
      <c r="F12152" t="s">
        <v>11</v>
      </c>
      <c r="G12152" t="s">
        <v>4442</v>
      </c>
      <c r="H12152" s="12">
        <v>2.1150574704318199</v>
      </c>
      <c r="I12152" s="20">
        <v>1.09396838388503</v>
      </c>
      <c r="J12152" s="28">
        <v>0.27396884469757499</v>
      </c>
      <c r="K12152" s="29">
        <v>0.98289565623980701</v>
      </c>
    </row>
    <row r="12153" spans="1:11" x14ac:dyDescent="0.35">
      <c r="A12153" s="9" t="str">
        <f>HYPERLINK("http://www.ensembl.org/id/WBGene00010719", "WBGene00010719")</f>
        <v>WBGene00010719</v>
      </c>
      <c r="B12153" s="9" t="str">
        <f>HYPERLINK("http://www.ncbi.nlm.nih.gov/gene/175067", "175067")</f>
        <v>175067</v>
      </c>
      <c r="C12153" s="9"/>
      <c r="D12153" t="str">
        <f>"K09E4.1"</f>
        <v>K09E4.1</v>
      </c>
      <c r="F12153" t="s">
        <v>11</v>
      </c>
      <c r="G12153" t="s">
        <v>10012</v>
      </c>
      <c r="H12153" s="12">
        <v>-1.7236374308114999</v>
      </c>
      <c r="I12153" s="20">
        <v>-0.71676052943902901</v>
      </c>
      <c r="J12153" s="28">
        <v>0.47352187012746599</v>
      </c>
      <c r="K12153" s="29">
        <v>0.98289565623980701</v>
      </c>
    </row>
    <row r="12154" spans="1:11" x14ac:dyDescent="0.35">
      <c r="A12154" s="9" t="str">
        <f>HYPERLINK("http://www.ensembl.org/id/WBGene00010721", "WBGene00010721")</f>
        <v>WBGene00010721</v>
      </c>
      <c r="B12154" s="9" t="str">
        <f>HYPERLINK("http://www.ncbi.nlm.nih.gov/gene/175064", "175064")</f>
        <v>175064</v>
      </c>
      <c r="C12154" s="9" t="str">
        <f>HYPERLINK("http://www.ncbi.nlm.nih.gov/gene/79133", "79133")</f>
        <v>79133</v>
      </c>
      <c r="D12154" t="str">
        <f>"K09E4.3"</f>
        <v>K09E4.3</v>
      </c>
      <c r="F12154" t="s">
        <v>11</v>
      </c>
      <c r="G12154" t="s">
        <v>9644</v>
      </c>
      <c r="H12154" s="12">
        <v>-1.27210874320022</v>
      </c>
      <c r="I12154" s="20">
        <v>-1.0235989915264101</v>
      </c>
      <c r="J12154" s="28">
        <v>0.30602472175675599</v>
      </c>
      <c r="K12154" s="29">
        <v>0.98289565623980701</v>
      </c>
    </row>
    <row r="12155" spans="1:11" x14ac:dyDescent="0.35">
      <c r="A12155" s="9" t="str">
        <f>HYPERLINK("http://www.ensembl.org/id/WBGene00010724", "WBGene00010724")</f>
        <v>WBGene00010724</v>
      </c>
      <c r="B12155" s="9" t="str">
        <f>HYPERLINK("http://www.ncbi.nlm.nih.gov/gene/181654", "181654")</f>
        <v>181654</v>
      </c>
      <c r="C12155" s="9"/>
      <c r="D12155" t="str">
        <f>"K09E9.1"</f>
        <v>K09E9.1</v>
      </c>
      <c r="F12155" t="s">
        <v>11</v>
      </c>
      <c r="G12155" t="s">
        <v>230</v>
      </c>
      <c r="H12155" s="12">
        <v>-1.18885497208987</v>
      </c>
      <c r="I12155" s="20">
        <v>-0.82243380781944397</v>
      </c>
      <c r="J12155" s="28">
        <v>0.410830044662502</v>
      </c>
      <c r="K12155" s="29">
        <v>0.98289565623980701</v>
      </c>
    </row>
    <row r="12156" spans="1:11" x14ac:dyDescent="0.35">
      <c r="A12156" s="9" t="str">
        <f>HYPERLINK("http://www.ensembl.org/id/WBGene00010726", "WBGene00010726")</f>
        <v>WBGene00010726</v>
      </c>
      <c r="B12156" s="9" t="str">
        <f>HYPERLINK("http://www.ncbi.nlm.nih.gov/gene/181651", "181651")</f>
        <v>181651</v>
      </c>
      <c r="C12156" s="9"/>
      <c r="D12156" t="str">
        <f>"K09E9.3"</f>
        <v>K09E9.3</v>
      </c>
      <c r="F12156" t="s">
        <v>11</v>
      </c>
      <c r="H12156" s="12">
        <v>1.10017771508809</v>
      </c>
      <c r="I12156" s="20">
        <v>0.41421211044040801</v>
      </c>
      <c r="J12156" s="28">
        <v>0.67871877342641895</v>
      </c>
      <c r="K12156" s="29">
        <v>0.98289565623980701</v>
      </c>
    </row>
    <row r="12157" spans="1:11" x14ac:dyDescent="0.35">
      <c r="A12157" s="9" t="str">
        <f>HYPERLINK("http://www.ensembl.org/id/WBGene00194664", "WBGene00194664")</f>
        <v>WBGene00194664</v>
      </c>
      <c r="B12157" s="9" t="str">
        <f>HYPERLINK("http://www.ncbi.nlm.nih.gov/gene/13224297", "13224297")</f>
        <v>13224297</v>
      </c>
      <c r="C12157" s="9"/>
      <c r="D12157" t="str">
        <f>"K09E9.7"</f>
        <v>K09E9.7</v>
      </c>
      <c r="F12157" t="s">
        <v>11</v>
      </c>
      <c r="H12157" s="12">
        <v>-1.2767753210217301</v>
      </c>
      <c r="I12157" s="20">
        <v>-0.81331636869921198</v>
      </c>
      <c r="J12157" s="28">
        <v>0.41603669457048997</v>
      </c>
      <c r="K12157" s="29">
        <v>0.98289565623980701</v>
      </c>
    </row>
    <row r="12158" spans="1:11" x14ac:dyDescent="0.35">
      <c r="A12158" s="9" t="str">
        <f>HYPERLINK("http://www.ensembl.org/id/WBGene00197762", "WBGene00197762")</f>
        <v>WBGene00197762</v>
      </c>
      <c r="B12158" s="9"/>
      <c r="C12158" s="9"/>
      <c r="D12158" t="str">
        <f>"K09F5.8"</f>
        <v>K09F5.8</v>
      </c>
      <c r="F12158" t="s">
        <v>481</v>
      </c>
      <c r="H12158" s="12">
        <v>-2.4991590031922399</v>
      </c>
      <c r="I12158" s="20">
        <v>-0.26577412737581302</v>
      </c>
      <c r="J12158" s="28">
        <v>0.79041317015736101</v>
      </c>
      <c r="K12158" s="29">
        <v>0.98289565623980701</v>
      </c>
    </row>
    <row r="12159" spans="1:11" x14ac:dyDescent="0.35">
      <c r="A12159" s="9" t="str">
        <f>HYPERLINK("http://www.ensembl.org/id/WBGene00019593", "WBGene00019593")</f>
        <v>WBGene00019593</v>
      </c>
      <c r="B12159" s="9" t="str">
        <f>HYPERLINK("http://www.ncbi.nlm.nih.gov/gene/173586", "173586")</f>
        <v>173586</v>
      </c>
      <c r="C12159" s="9"/>
      <c r="D12159" t="str">
        <f>"K09F6.10"</f>
        <v>K09F6.10</v>
      </c>
      <c r="F12159" t="s">
        <v>11</v>
      </c>
      <c r="H12159" s="12">
        <v>1.12323324381759</v>
      </c>
      <c r="I12159" s="20">
        <v>0.40110865792732098</v>
      </c>
      <c r="J12159" s="28">
        <v>0.68834012675855805</v>
      </c>
      <c r="K12159" s="29">
        <v>0.98289565623980701</v>
      </c>
    </row>
    <row r="12160" spans="1:11" x14ac:dyDescent="0.35">
      <c r="A12160" s="9" t="str">
        <f>HYPERLINK("http://www.ensembl.org/id/WBGene00235164", "WBGene00235164")</f>
        <v>WBGene00235164</v>
      </c>
      <c r="B12160" s="9" t="str">
        <f>HYPERLINK("http://www.ncbi.nlm.nih.gov/gene/24104743", "24104743")</f>
        <v>24104743</v>
      </c>
      <c r="C12160" s="9"/>
      <c r="D12160" t="str">
        <f>"K09F6.13"</f>
        <v>K09F6.13</v>
      </c>
      <c r="F12160" t="s">
        <v>11</v>
      </c>
      <c r="H12160" s="12">
        <v>1.1146007393974799</v>
      </c>
      <c r="I12160" s="20">
        <v>0.37246220951994802</v>
      </c>
      <c r="J12160" s="28">
        <v>0.70954874362963805</v>
      </c>
      <c r="K12160" s="29">
        <v>0.98289565623980701</v>
      </c>
    </row>
    <row r="12161" spans="1:11" x14ac:dyDescent="0.35">
      <c r="A12161" s="9" t="str">
        <f>HYPERLINK("http://www.ensembl.org/id/WBGene00019587", "WBGene00019587")</f>
        <v>WBGene00019587</v>
      </c>
      <c r="B12161" s="9" t="str">
        <f>HYPERLINK("http://www.ncbi.nlm.nih.gov/gene/187232", "187232")</f>
        <v>187232</v>
      </c>
      <c r="C12161" s="9"/>
      <c r="D12161" t="str">
        <f>"K09F6.4"</f>
        <v>K09F6.4</v>
      </c>
      <c r="F12161" t="s">
        <v>11</v>
      </c>
      <c r="H12161" s="12">
        <v>-1.80704907097718</v>
      </c>
      <c r="I12161" s="20">
        <v>-0.78793424721363203</v>
      </c>
      <c r="J12161" s="28">
        <v>0.43073516764777497</v>
      </c>
      <c r="K12161" s="29">
        <v>0.98289565623980701</v>
      </c>
    </row>
    <row r="12162" spans="1:11" x14ac:dyDescent="0.35">
      <c r="A12162" s="9" t="str">
        <f>HYPERLINK("http://www.ensembl.org/id/WBGene00019588", "WBGene00019588")</f>
        <v>WBGene00019588</v>
      </c>
      <c r="B12162" s="9" t="str">
        <f>HYPERLINK("http://www.ncbi.nlm.nih.gov/gene/187233", "187233")</f>
        <v>187233</v>
      </c>
      <c r="C12162" s="9"/>
      <c r="D12162" t="str">
        <f>"K09F6.5"</f>
        <v>K09F6.5</v>
      </c>
      <c r="F12162" t="s">
        <v>11</v>
      </c>
      <c r="G12162" t="s">
        <v>4216</v>
      </c>
      <c r="H12162" s="12">
        <v>9.9320123134608593</v>
      </c>
      <c r="I12162" s="20">
        <v>0.68366985730865304</v>
      </c>
      <c r="J12162" s="28">
        <v>0.49418366151259002</v>
      </c>
      <c r="K12162" s="29">
        <v>0.98289565623980701</v>
      </c>
    </row>
    <row r="12163" spans="1:11" x14ac:dyDescent="0.35">
      <c r="A12163" s="9" t="str">
        <f>HYPERLINK("http://www.ensembl.org/id/WBGene00019592", "WBGene00019592")</f>
        <v>WBGene00019592</v>
      </c>
      <c r="B12163" s="9" t="str">
        <f>HYPERLINK("http://www.ncbi.nlm.nih.gov/gene/173585", "173585")</f>
        <v>173585</v>
      </c>
      <c r="C12163" s="9"/>
      <c r="D12163" t="str">
        <f>"K09F6.9"</f>
        <v>K09F6.9</v>
      </c>
      <c r="F12163" t="s">
        <v>11</v>
      </c>
      <c r="H12163" s="12">
        <v>1.3475677113743401</v>
      </c>
      <c r="I12163" s="20">
        <v>0.94661888562471797</v>
      </c>
      <c r="J12163" s="28">
        <v>0.34383301691544099</v>
      </c>
      <c r="K12163" s="29">
        <v>0.98289565623980701</v>
      </c>
    </row>
    <row r="12164" spans="1:11" x14ac:dyDescent="0.35">
      <c r="A12164" s="9" t="str">
        <f>HYPERLINK("http://www.ensembl.org/id/WBGene00010727", "WBGene00010727")</f>
        <v>WBGene00010727</v>
      </c>
      <c r="B12164" s="9" t="str">
        <f>HYPERLINK("http://www.ncbi.nlm.nih.gov/gene/179346", "179346")</f>
        <v>179346</v>
      </c>
      <c r="C12164" s="9"/>
      <c r="D12164" t="str">
        <f>"K09G1.1"</f>
        <v>K09G1.1</v>
      </c>
      <c r="F12164" t="s">
        <v>11</v>
      </c>
      <c r="G12164" t="s">
        <v>25</v>
      </c>
      <c r="H12164" s="12">
        <v>1.0759934251569401</v>
      </c>
      <c r="I12164" s="20">
        <v>0.351876960442146</v>
      </c>
      <c r="J12164" s="28">
        <v>0.72493053848677202</v>
      </c>
      <c r="K12164" s="29">
        <v>0.98289565623980701</v>
      </c>
    </row>
    <row r="12165" spans="1:11" x14ac:dyDescent="0.35">
      <c r="A12165" s="9" t="str">
        <f>HYPERLINK("http://www.ensembl.org/id/WBGene00201743", "WBGene00201743")</f>
        <v>WBGene00201743</v>
      </c>
      <c r="B12165" s="9"/>
      <c r="C12165" s="9"/>
      <c r="D12165" t="str">
        <f>"K09H11.14"</f>
        <v>K09H11.14</v>
      </c>
      <c r="F12165" t="s">
        <v>481</v>
      </c>
      <c r="H12165" s="12">
        <v>2.4578120077400301</v>
      </c>
      <c r="I12165" s="20">
        <v>0.26093350314551</v>
      </c>
      <c r="J12165" s="28">
        <v>0.79414378780213601</v>
      </c>
      <c r="K12165" s="29">
        <v>0.98289565623980701</v>
      </c>
    </row>
    <row r="12166" spans="1:11" x14ac:dyDescent="0.35">
      <c r="A12166" s="9" t="str">
        <f>HYPERLINK("http://www.ensembl.org/id/WBGene00269384", "WBGene00269384")</f>
        <v>WBGene00269384</v>
      </c>
      <c r="B12166" s="9"/>
      <c r="C12166" s="9"/>
      <c r="D12166" t="str">
        <f>"K09H11.16"</f>
        <v>K09H11.16</v>
      </c>
      <c r="F12166" t="s">
        <v>481</v>
      </c>
      <c r="H12166" s="12">
        <v>-2.0248765209716</v>
      </c>
      <c r="I12166" s="20">
        <v>-0.43076405737115903</v>
      </c>
      <c r="J12166" s="28">
        <v>0.66663993642219399</v>
      </c>
      <c r="K12166" s="29">
        <v>0.98289565623980701</v>
      </c>
    </row>
    <row r="12167" spans="1:11" x14ac:dyDescent="0.35">
      <c r="A12167" s="9" t="str">
        <f>HYPERLINK("http://www.ensembl.org/id/WBGene00044539", "WBGene00044539")</f>
        <v>WBGene00044539</v>
      </c>
      <c r="B12167" s="9" t="str">
        <f>HYPERLINK("http://www.ncbi.nlm.nih.gov/gene/3896824", "3896824")</f>
        <v>3896824</v>
      </c>
      <c r="C12167" s="9"/>
      <c r="D12167" t="str">
        <f>"K09H11.9"</f>
        <v>K09H11.9</v>
      </c>
      <c r="F12167" t="s">
        <v>11</v>
      </c>
      <c r="H12167" s="12">
        <v>3.0691202792416199</v>
      </c>
      <c r="I12167" s="20">
        <v>0.60174476187041404</v>
      </c>
      <c r="J12167" s="28">
        <v>0.54734404935469505</v>
      </c>
      <c r="K12167" s="29">
        <v>0.98289565623980701</v>
      </c>
    </row>
    <row r="12168" spans="1:11" x14ac:dyDescent="0.35">
      <c r="A12168" s="9" t="str">
        <f>HYPERLINK("http://www.ensembl.org/id/WBGene00019597", "WBGene00019597")</f>
        <v>WBGene00019597</v>
      </c>
      <c r="B12168" s="9" t="str">
        <f>HYPERLINK("http://www.ncbi.nlm.nih.gov/gene/187241", "187241")</f>
        <v>187241</v>
      </c>
      <c r="C12168" s="9"/>
      <c r="D12168" t="str">
        <f>"K09H9.5"</f>
        <v>K09H9.5</v>
      </c>
      <c r="F12168" t="s">
        <v>11</v>
      </c>
      <c r="H12168" s="12">
        <v>1.1925948163779601</v>
      </c>
      <c r="I12168" s="20">
        <v>0.49285290439191998</v>
      </c>
      <c r="J12168" s="28">
        <v>0.62211652623536595</v>
      </c>
      <c r="K12168" s="29">
        <v>0.98289565623980701</v>
      </c>
    </row>
    <row r="12169" spans="1:11" x14ac:dyDescent="0.35">
      <c r="A12169" s="9" t="str">
        <f>HYPERLINK("http://www.ensembl.org/id/WBGene00045387", "WBGene00045387")</f>
        <v>WBGene00045387</v>
      </c>
      <c r="B12169" s="9" t="str">
        <f>HYPERLINK("http://www.ncbi.nlm.nih.gov/gene/6418598", "6418598")</f>
        <v>6418598</v>
      </c>
      <c r="C12169" s="9"/>
      <c r="D12169" t="str">
        <f>"K09H9.8"</f>
        <v>K09H9.8</v>
      </c>
      <c r="F12169" t="s">
        <v>11</v>
      </c>
      <c r="G12169" t="s">
        <v>25</v>
      </c>
      <c r="H12169" s="12">
        <v>1.3914696036935501</v>
      </c>
      <c r="I12169" s="20">
        <v>1.1668278803668899</v>
      </c>
      <c r="J12169" s="28">
        <v>0.24327988536248599</v>
      </c>
      <c r="K12169" s="29">
        <v>0.98289565623980701</v>
      </c>
    </row>
    <row r="12170" spans="1:11" x14ac:dyDescent="0.35">
      <c r="A12170" s="9" t="str">
        <f>HYPERLINK("http://www.ensembl.org/id/WBGene00019607", "WBGene00019607")</f>
        <v>WBGene00019607</v>
      </c>
      <c r="B12170" s="9" t="str">
        <f>HYPERLINK("http://www.ncbi.nlm.nih.gov/gene/174054", "174054")</f>
        <v>174054</v>
      </c>
      <c r="C12170" s="9" t="str">
        <f>HYPERLINK("http://www.ncbi.nlm.nih.gov/gene/51398", "51398")</f>
        <v>51398</v>
      </c>
      <c r="D12170" t="str">
        <f>"K10B2.4"</f>
        <v>K10B2.4</v>
      </c>
      <c r="F12170" t="s">
        <v>11</v>
      </c>
      <c r="G12170" t="s">
        <v>25</v>
      </c>
      <c r="H12170" s="12">
        <v>1.0894961145387101</v>
      </c>
      <c r="I12170" s="20">
        <v>0.40896177827024499</v>
      </c>
      <c r="J12170" s="28">
        <v>0.68256771091059498</v>
      </c>
      <c r="K12170" s="29">
        <v>0.98289565623980701</v>
      </c>
    </row>
    <row r="12171" spans="1:11" x14ac:dyDescent="0.35">
      <c r="A12171" s="9" t="str">
        <f>HYPERLINK("http://www.ensembl.org/id/WBGene00206386", "WBGene00206386")</f>
        <v>WBGene00206386</v>
      </c>
      <c r="B12171" s="9" t="str">
        <f>HYPERLINK("http://www.ncbi.nlm.nih.gov/gene/13221052", "13221052")</f>
        <v>13221052</v>
      </c>
      <c r="C12171" s="9"/>
      <c r="D12171" t="str">
        <f>"K10C2.12"</f>
        <v>K10C2.12</v>
      </c>
      <c r="F12171" t="s">
        <v>11</v>
      </c>
      <c r="G12171" t="s">
        <v>54</v>
      </c>
      <c r="H12171" s="12">
        <v>1.2877127777216</v>
      </c>
      <c r="I12171" s="20">
        <v>1.0283632474370199</v>
      </c>
      <c r="J12171" s="28">
        <v>0.30377898995874603</v>
      </c>
      <c r="K12171" s="29">
        <v>0.98289565623980701</v>
      </c>
    </row>
    <row r="12172" spans="1:11" x14ac:dyDescent="0.35">
      <c r="A12172" s="9" t="str">
        <f>HYPERLINK("http://www.ensembl.org/id/WBGene00010731", "WBGene00010731")</f>
        <v>WBGene00010731</v>
      </c>
      <c r="B12172" s="9" t="str">
        <f>HYPERLINK("http://www.ncbi.nlm.nih.gov/gene/187255", "187255")</f>
        <v>187255</v>
      </c>
      <c r="C12172" s="9"/>
      <c r="D12172" t="str">
        <f>"K10C3.4"</f>
        <v>K10C3.4</v>
      </c>
      <c r="F12172" t="s">
        <v>11</v>
      </c>
      <c r="G12172" t="s">
        <v>6049</v>
      </c>
      <c r="H12172" s="12">
        <v>1.06981200642674</v>
      </c>
      <c r="I12172" s="20">
        <v>0.34352097445455099</v>
      </c>
      <c r="J12172" s="28">
        <v>0.73120656444257004</v>
      </c>
      <c r="K12172" s="29">
        <v>0.98289565623980701</v>
      </c>
    </row>
    <row r="12173" spans="1:11" x14ac:dyDescent="0.35">
      <c r="A12173" s="9" t="str">
        <f>HYPERLINK("http://www.ensembl.org/id/WBGene00196100", "WBGene00196100")</f>
        <v>WBGene00196100</v>
      </c>
      <c r="B12173" s="9"/>
      <c r="C12173" s="9"/>
      <c r="D12173" t="str">
        <f>"K10C3.8"</f>
        <v>K10C3.8</v>
      </c>
      <c r="F12173" t="s">
        <v>481</v>
      </c>
      <c r="H12173" s="12">
        <v>1.8275704515536799</v>
      </c>
      <c r="I12173" s="20">
        <v>0.28126804803518302</v>
      </c>
      <c r="J12173" s="28">
        <v>0.77850481542759498</v>
      </c>
      <c r="K12173" s="29">
        <v>0.98289565623980701</v>
      </c>
    </row>
    <row r="12174" spans="1:11" x14ac:dyDescent="0.35">
      <c r="A12174" s="9" t="str">
        <f>HYPERLINK("http://www.ensembl.org/id/WBGene00196743", "WBGene00196743")</f>
        <v>WBGene00196743</v>
      </c>
      <c r="B12174" s="9"/>
      <c r="C12174" s="9"/>
      <c r="D12174" t="str">
        <f>"K10C3.9"</f>
        <v>K10C3.9</v>
      </c>
      <c r="F12174" t="s">
        <v>481</v>
      </c>
      <c r="H12174" s="12">
        <v>3.6645215954135</v>
      </c>
      <c r="I12174" s="20">
        <v>0.37967131826092498</v>
      </c>
      <c r="J12174" s="28">
        <v>0.70418941338960395</v>
      </c>
      <c r="K12174" s="29">
        <v>0.98289565623980701</v>
      </c>
    </row>
    <row r="12175" spans="1:11" x14ac:dyDescent="0.35">
      <c r="A12175" s="9" t="str">
        <f>HYPERLINK("http://www.ensembl.org/id/WBGene00010737", "WBGene00010737")</f>
        <v>WBGene00010737</v>
      </c>
      <c r="B12175" s="9" t="str">
        <f>HYPERLINK("http://www.ncbi.nlm.nih.gov/gene/3564965", "3564965")</f>
        <v>3564965</v>
      </c>
      <c r="C12175" s="9"/>
      <c r="D12175" t="str">
        <f>"K10C8.4"</f>
        <v>K10C8.4</v>
      </c>
      <c r="F12175" t="s">
        <v>11</v>
      </c>
      <c r="G12175" t="s">
        <v>25</v>
      </c>
      <c r="H12175" s="12">
        <v>1.1707323418425899</v>
      </c>
      <c r="I12175" s="20">
        <v>0.44444000597327998</v>
      </c>
      <c r="J12175" s="28">
        <v>0.65672449490542895</v>
      </c>
      <c r="K12175" s="29">
        <v>0.98289565623980701</v>
      </c>
    </row>
    <row r="12176" spans="1:11" x14ac:dyDescent="0.35">
      <c r="A12176" s="9" t="str">
        <f>HYPERLINK("http://www.ensembl.org/id/WBGene00019626", "WBGene00019626")</f>
        <v>WBGene00019626</v>
      </c>
      <c r="B12176" s="9" t="str">
        <f>HYPERLINK("http://www.ncbi.nlm.nih.gov/gene/187261", "187261")</f>
        <v>187261</v>
      </c>
      <c r="C12176" s="9"/>
      <c r="D12176" t="str">
        <f>"K10C9.7"</f>
        <v>K10C9.7</v>
      </c>
      <c r="F12176" t="s">
        <v>11</v>
      </c>
      <c r="H12176" s="12">
        <v>2.6302861023103601</v>
      </c>
      <c r="I12176" s="20">
        <v>0.521039565004625</v>
      </c>
      <c r="J12176" s="28">
        <v>0.60233920978723698</v>
      </c>
      <c r="K12176" s="29">
        <v>0.98289565623980701</v>
      </c>
    </row>
    <row r="12177" spans="1:11" x14ac:dyDescent="0.35">
      <c r="A12177" s="9" t="str">
        <f>HYPERLINK("http://www.ensembl.org/id/WBGene00044515", "WBGene00044515")</f>
        <v>WBGene00044515</v>
      </c>
      <c r="B12177" s="9"/>
      <c r="C12177" s="9"/>
      <c r="D12177" t="str">
        <f>"K10C9.9"</f>
        <v>K10C9.9</v>
      </c>
      <c r="F12177" t="s">
        <v>80</v>
      </c>
      <c r="H12177" s="12">
        <v>-1.40840313440728</v>
      </c>
      <c r="I12177" s="20">
        <v>-0.25293270699265702</v>
      </c>
      <c r="J12177" s="28">
        <v>0.80032021451119795</v>
      </c>
      <c r="K12177" s="29">
        <v>0.98289565623980701</v>
      </c>
    </row>
    <row r="12178" spans="1:11" x14ac:dyDescent="0.35">
      <c r="A12178" s="9" t="str">
        <f>HYPERLINK("http://www.ensembl.org/id/WBGene00010750", "WBGene00010750")</f>
        <v>WBGene00010750</v>
      </c>
      <c r="B12178" s="9" t="str">
        <f>HYPERLINK("http://www.ncbi.nlm.nih.gov/gene/178249", "178249")</f>
        <v>178249</v>
      </c>
      <c r="C12178" s="9"/>
      <c r="D12178" t="str">
        <f>"K10D11.6"</f>
        <v>K10D11.6</v>
      </c>
      <c r="F12178" t="s">
        <v>11</v>
      </c>
      <c r="H12178" s="12">
        <v>-1.54184457082635</v>
      </c>
      <c r="I12178" s="20">
        <v>-0.66184805563817695</v>
      </c>
      <c r="J12178" s="28">
        <v>0.50806860466035797</v>
      </c>
      <c r="K12178" s="29">
        <v>0.98289565623980701</v>
      </c>
    </row>
    <row r="12179" spans="1:11" x14ac:dyDescent="0.35">
      <c r="A12179" s="9" t="str">
        <f>HYPERLINK("http://www.ensembl.org/id/WBGene00045198", "WBGene00045198")</f>
        <v>WBGene00045198</v>
      </c>
      <c r="B12179" s="9" t="str">
        <f>HYPERLINK("http://www.ncbi.nlm.nih.gov/gene/4926946", "4926946")</f>
        <v>4926946</v>
      </c>
      <c r="C12179" s="9"/>
      <c r="D12179" t="str">
        <f>"K10D11.7"</f>
        <v>K10D11.7</v>
      </c>
      <c r="F12179" t="s">
        <v>11</v>
      </c>
      <c r="H12179" s="12">
        <v>-1.43772355004207</v>
      </c>
      <c r="I12179" s="20">
        <v>-0.358431073164651</v>
      </c>
      <c r="J12179" s="28">
        <v>0.72002074125181703</v>
      </c>
      <c r="K12179" s="29">
        <v>0.98289565623980701</v>
      </c>
    </row>
    <row r="12180" spans="1:11" x14ac:dyDescent="0.35">
      <c r="A12180" s="9" t="str">
        <f>HYPERLINK("http://www.ensembl.org/id/WBGene00019631", "WBGene00019631")</f>
        <v>WBGene00019631</v>
      </c>
      <c r="B12180" s="9" t="str">
        <f>HYPERLINK("http://www.ncbi.nlm.nih.gov/gene/175706", "175706")</f>
        <v>175706</v>
      </c>
      <c r="C12180" s="9"/>
      <c r="D12180" t="str">
        <f>"K10D2.5"</f>
        <v>K10D2.5</v>
      </c>
      <c r="F12180" t="s">
        <v>11</v>
      </c>
      <c r="H12180" s="12">
        <v>-1.37577391417733</v>
      </c>
      <c r="I12180" s="20">
        <v>-1.2015943693582101</v>
      </c>
      <c r="J12180" s="28">
        <v>0.229520724084401</v>
      </c>
      <c r="K12180" s="29">
        <v>0.98289565623980701</v>
      </c>
    </row>
    <row r="12181" spans="1:11" x14ac:dyDescent="0.35">
      <c r="A12181" s="9" t="str">
        <f>HYPERLINK("http://www.ensembl.org/id/WBGene00019633", "WBGene00019633")</f>
        <v>WBGene00019633</v>
      </c>
      <c r="B12181" s="9" t="str">
        <f>HYPERLINK("http://www.ncbi.nlm.nih.gov/gene/187263", "187263")</f>
        <v>187263</v>
      </c>
      <c r="C12181" s="9"/>
      <c r="D12181" t="str">
        <f>"K10D2.7"</f>
        <v>K10D2.7</v>
      </c>
      <c r="E12181" t="s">
        <v>7091</v>
      </c>
      <c r="F12181" t="s">
        <v>11</v>
      </c>
      <c r="G12181" t="s">
        <v>7092</v>
      </c>
      <c r="H12181" s="12">
        <v>-1.106601037164</v>
      </c>
      <c r="I12181" s="20">
        <v>-0.32911597868484099</v>
      </c>
      <c r="J12181" s="28">
        <v>0.74206802717513498</v>
      </c>
      <c r="K12181" s="29">
        <v>0.98289565623980701</v>
      </c>
    </row>
    <row r="12182" spans="1:11" x14ac:dyDescent="0.35">
      <c r="A12182" s="9" t="str">
        <f>HYPERLINK("http://www.ensembl.org/id/WBGene00189952", "WBGene00189952")</f>
        <v>WBGene00189952</v>
      </c>
      <c r="B12182" s="9" t="str">
        <f>HYPERLINK("http://www.ncbi.nlm.nih.gov/gene/13189483", "13189483")</f>
        <v>13189483</v>
      </c>
      <c r="C12182" s="9"/>
      <c r="D12182" t="str">
        <f>"K10D2.8"</f>
        <v>K10D2.8</v>
      </c>
      <c r="F12182" t="s">
        <v>11</v>
      </c>
      <c r="G12182" t="s">
        <v>54</v>
      </c>
      <c r="H12182" s="12">
        <v>-1.5461996120594299</v>
      </c>
      <c r="I12182" s="20">
        <v>-0.52742786388127205</v>
      </c>
      <c r="J12182" s="28">
        <v>0.59789649807053402</v>
      </c>
      <c r="K12182" s="29">
        <v>0.98289565623980701</v>
      </c>
    </row>
    <row r="12183" spans="1:11" x14ac:dyDescent="0.35">
      <c r="A12183" s="9" t="str">
        <f>HYPERLINK("http://www.ensembl.org/id/WBGene00010740", "WBGene00010740")</f>
        <v>WBGene00010740</v>
      </c>
      <c r="B12183" s="9" t="str">
        <f>HYPERLINK("http://www.ncbi.nlm.nih.gov/gene/172448", "172448")</f>
        <v>172448</v>
      </c>
      <c r="C12183" s="9"/>
      <c r="D12183" t="str">
        <f>"K10D3.6"</f>
        <v>K10D3.6</v>
      </c>
      <c r="F12183" t="s">
        <v>11</v>
      </c>
      <c r="G12183" t="s">
        <v>25</v>
      </c>
      <c r="H12183" s="12">
        <v>1.1101698989284901</v>
      </c>
      <c r="I12183" s="20">
        <v>0.37503049647226999</v>
      </c>
      <c r="J12183" s="28">
        <v>0.70763778624712703</v>
      </c>
      <c r="K12183" s="29">
        <v>0.98289565623980701</v>
      </c>
    </row>
    <row r="12184" spans="1:11" x14ac:dyDescent="0.35">
      <c r="A12184" s="9" t="str">
        <f>HYPERLINK("http://www.ensembl.org/id/WBGene00219281", "WBGene00219281")</f>
        <v>WBGene00219281</v>
      </c>
      <c r="B12184" s="9" t="str">
        <f>HYPERLINK("http://www.ncbi.nlm.nih.gov/gene/13180804", "13180804")</f>
        <v>13180804</v>
      </c>
      <c r="C12184" s="9"/>
      <c r="D12184" t="str">
        <f>"K10D3.8"</f>
        <v>K10D3.8</v>
      </c>
      <c r="E12184" t="s">
        <v>4314</v>
      </c>
      <c r="F12184" t="s">
        <v>11</v>
      </c>
      <c r="H12184" s="12">
        <v>3.2821648791160301</v>
      </c>
      <c r="I12184" s="20">
        <v>0.84196269077996799</v>
      </c>
      <c r="J12184" s="28">
        <v>0.39980883744210499</v>
      </c>
      <c r="K12184" s="29">
        <v>0.98289565623980701</v>
      </c>
    </row>
    <row r="12185" spans="1:11" x14ac:dyDescent="0.35">
      <c r="A12185" s="9" t="str">
        <f>HYPERLINK("http://www.ensembl.org/id/WBGene00198028", "WBGene00198028")</f>
        <v>WBGene00198028</v>
      </c>
      <c r="B12185" s="9"/>
      <c r="C12185" s="9"/>
      <c r="D12185" t="str">
        <f>"K10D6.12"</f>
        <v>K10D6.12</v>
      </c>
      <c r="F12185" t="s">
        <v>481</v>
      </c>
      <c r="H12185" s="12">
        <v>-2.4295389261469</v>
      </c>
      <c r="I12185" s="20">
        <v>-0.25808529976640998</v>
      </c>
      <c r="J12185" s="28">
        <v>0.79634107645457397</v>
      </c>
      <c r="K12185" s="29">
        <v>0.98289565623980701</v>
      </c>
    </row>
    <row r="12186" spans="1:11" x14ac:dyDescent="0.35">
      <c r="A12186" s="9" t="str">
        <f>HYPERLINK("http://www.ensembl.org/id/WBGene00201309", "WBGene00201309")</f>
        <v>WBGene00201309</v>
      </c>
      <c r="B12186" s="9"/>
      <c r="C12186" s="9"/>
      <c r="D12186" t="str">
        <f>"K10D6.22"</f>
        <v>K10D6.22</v>
      </c>
      <c r="F12186" t="s">
        <v>481</v>
      </c>
      <c r="H12186" s="12">
        <v>4.4368407117627902</v>
      </c>
      <c r="I12186" s="20">
        <v>0.43709475933309699</v>
      </c>
      <c r="J12186" s="28">
        <v>0.66204262779770495</v>
      </c>
      <c r="K12186" s="29">
        <v>0.98289565623980701</v>
      </c>
    </row>
    <row r="12187" spans="1:11" x14ac:dyDescent="0.35">
      <c r="A12187" s="9" t="str">
        <f>HYPERLINK("http://www.ensembl.org/id/WBGene00201936", "WBGene00201936")</f>
        <v>WBGene00201936</v>
      </c>
      <c r="B12187" s="9"/>
      <c r="C12187" s="9"/>
      <c r="D12187" t="str">
        <f>"K10D6.24"</f>
        <v>K10D6.24</v>
      </c>
      <c r="F12187" t="s">
        <v>481</v>
      </c>
      <c r="H12187" s="12">
        <v>2.06521255213059</v>
      </c>
      <c r="I12187" s="20">
        <v>0.30872355668081503</v>
      </c>
      <c r="J12187" s="28">
        <v>0.757531822944987</v>
      </c>
      <c r="K12187" s="29">
        <v>0.98289565623980701</v>
      </c>
    </row>
    <row r="12188" spans="1:11" x14ac:dyDescent="0.35">
      <c r="A12188" s="9" t="str">
        <f>HYPERLINK("http://www.ensembl.org/id/WBGene00010743", "WBGene00010743")</f>
        <v>WBGene00010743</v>
      </c>
      <c r="B12188" s="9" t="str">
        <f>HYPERLINK("http://www.ncbi.nlm.nih.gov/gene/187265", "187265")</f>
        <v>187265</v>
      </c>
      <c r="C12188" s="9"/>
      <c r="D12188" t="str">
        <f>"K10D6.3"</f>
        <v>K10D6.3</v>
      </c>
      <c r="F12188" t="s">
        <v>11</v>
      </c>
      <c r="H12188" s="12">
        <v>3.4301406845181002</v>
      </c>
      <c r="I12188" s="20">
        <v>0.69780821270473903</v>
      </c>
      <c r="J12188" s="28">
        <v>0.48529714232683002</v>
      </c>
      <c r="K12188" s="29">
        <v>0.98289565623980701</v>
      </c>
    </row>
    <row r="12189" spans="1:11" x14ac:dyDescent="0.35">
      <c r="A12189" s="9" t="str">
        <f>HYPERLINK("http://www.ensembl.org/id/WBGene00010744", "WBGene00010744")</f>
        <v>WBGene00010744</v>
      </c>
      <c r="B12189" s="9" t="str">
        <f>HYPERLINK("http://www.ncbi.nlm.nih.gov/gene/179549", "179549")</f>
        <v>179549</v>
      </c>
      <c r="C12189" s="9"/>
      <c r="D12189" t="str">
        <f>"K10D6.4"</f>
        <v>K10D6.4</v>
      </c>
      <c r="F12189" t="s">
        <v>11</v>
      </c>
      <c r="H12189" s="12">
        <v>1.0888183696814699</v>
      </c>
      <c r="I12189" s="20">
        <v>0.38017622700168102</v>
      </c>
      <c r="J12189" s="28">
        <v>0.703814604861695</v>
      </c>
      <c r="K12189" s="29">
        <v>0.98289565623980701</v>
      </c>
    </row>
    <row r="12190" spans="1:11" x14ac:dyDescent="0.35">
      <c r="A12190" s="9" t="str">
        <f>HYPERLINK("http://www.ensembl.org/id/WBGene00195252", "WBGene00195252")</f>
        <v>WBGene00195252</v>
      </c>
      <c r="B12190" s="9"/>
      <c r="C12190" s="9"/>
      <c r="D12190" t="str">
        <f>"K10D6.6"</f>
        <v>K10D6.6</v>
      </c>
      <c r="F12190" t="s">
        <v>481</v>
      </c>
      <c r="H12190" s="12">
        <v>2.3893468495514898</v>
      </c>
      <c r="I12190" s="20">
        <v>0.25323547253672701</v>
      </c>
      <c r="J12190" s="28">
        <v>0.80008625651646104</v>
      </c>
      <c r="K12190" s="29">
        <v>0.98289565623980701</v>
      </c>
    </row>
    <row r="12191" spans="1:11" x14ac:dyDescent="0.35">
      <c r="A12191" s="9" t="str">
        <f>HYPERLINK("http://www.ensembl.org/id/WBGene00019638", "WBGene00019638")</f>
        <v>WBGene00019638</v>
      </c>
      <c r="B12191" s="9" t="str">
        <f>HYPERLINK("http://www.ncbi.nlm.nih.gov/gene/187275", "187275")</f>
        <v>187275</v>
      </c>
      <c r="C12191" s="9"/>
      <c r="D12191" t="str">
        <f>"K10F12.6"</f>
        <v>K10F12.6</v>
      </c>
      <c r="F12191" t="s">
        <v>11</v>
      </c>
      <c r="H12191" s="12">
        <v>-2.0920904536365099</v>
      </c>
      <c r="I12191" s="20">
        <v>-0.39646569218248601</v>
      </c>
      <c r="J12191" s="28">
        <v>0.691761512367008</v>
      </c>
      <c r="K12191" s="29">
        <v>0.98289565623980701</v>
      </c>
    </row>
    <row r="12192" spans="1:11" x14ac:dyDescent="0.35">
      <c r="A12192" s="9" t="str">
        <f>HYPERLINK("http://www.ensembl.org/id/WBGene00044202", "WBGene00044202")</f>
        <v>WBGene00044202</v>
      </c>
      <c r="B12192" s="9" t="str">
        <f>HYPERLINK("http://www.ncbi.nlm.nih.gov/gene/3565149", "3565149")</f>
        <v>3565149</v>
      </c>
      <c r="C12192" s="9"/>
      <c r="D12192" t="str">
        <f>"K10G4.10"</f>
        <v>K10G4.10</v>
      </c>
      <c r="F12192" t="s">
        <v>11</v>
      </c>
      <c r="G12192" t="s">
        <v>54</v>
      </c>
      <c r="H12192" s="12">
        <v>1.43320967731393</v>
      </c>
      <c r="I12192" s="20">
        <v>0.30400200130786498</v>
      </c>
      <c r="J12192" s="28">
        <v>0.761126366451367</v>
      </c>
      <c r="K12192" s="29">
        <v>0.98289565623980701</v>
      </c>
    </row>
    <row r="12193" spans="1:11" x14ac:dyDescent="0.35">
      <c r="A12193" s="9" t="str">
        <f>HYPERLINK("http://www.ensembl.org/id/WBGene00010752", "WBGene00010752")</f>
        <v>WBGene00010752</v>
      </c>
      <c r="B12193" s="9" t="str">
        <f>HYPERLINK("http://www.ncbi.nlm.nih.gov/gene/187278", "187278")</f>
        <v>187278</v>
      </c>
      <c r="C12193" s="9"/>
      <c r="D12193" t="str">
        <f>"K10G4.3"</f>
        <v>K10G4.3</v>
      </c>
      <c r="F12193" t="s">
        <v>11</v>
      </c>
      <c r="H12193" s="12">
        <v>-1.66028597603737</v>
      </c>
      <c r="I12193" s="20">
        <v>-1.06797337220438</v>
      </c>
      <c r="J12193" s="28">
        <v>0.285532523319459</v>
      </c>
      <c r="K12193" s="29">
        <v>0.98289565623980701</v>
      </c>
    </row>
    <row r="12194" spans="1:11" x14ac:dyDescent="0.35">
      <c r="A12194" s="9" t="str">
        <f>HYPERLINK("http://www.ensembl.org/id/WBGene00010753", "WBGene00010753")</f>
        <v>WBGene00010753</v>
      </c>
      <c r="B12194" s="9"/>
      <c r="C12194" s="9"/>
      <c r="D12194" t="str">
        <f>"K10G4.4"</f>
        <v>K10G4.4</v>
      </c>
      <c r="F12194" t="s">
        <v>80</v>
      </c>
      <c r="H12194" s="12">
        <v>5.2322000618327396</v>
      </c>
      <c r="I12194" s="20">
        <v>0.486112489888328</v>
      </c>
      <c r="J12194" s="28">
        <v>0.62688741196182496</v>
      </c>
      <c r="K12194" s="29">
        <v>0.98289565623980701</v>
      </c>
    </row>
    <row r="12195" spans="1:11" x14ac:dyDescent="0.35">
      <c r="A12195" s="9" t="str">
        <f>HYPERLINK("http://www.ensembl.org/id/WBGene00010754", "WBGene00010754")</f>
        <v>WBGene00010754</v>
      </c>
      <c r="B12195" s="9" t="str">
        <f>HYPERLINK("http://www.ncbi.nlm.nih.gov/gene/180143", "180143")</f>
        <v>180143</v>
      </c>
      <c r="C12195" s="9"/>
      <c r="D12195" t="str">
        <f>"K10G4.5"</f>
        <v>K10G4.5</v>
      </c>
      <c r="F12195" t="s">
        <v>11</v>
      </c>
      <c r="G12195" t="s">
        <v>54</v>
      </c>
      <c r="H12195" s="12">
        <v>-2.1283539859133298</v>
      </c>
      <c r="I12195" s="20">
        <v>-0.85163508837796098</v>
      </c>
      <c r="J12195" s="28">
        <v>0.39441665836135897</v>
      </c>
      <c r="K12195" s="29">
        <v>0.98289565623980701</v>
      </c>
    </row>
    <row r="12196" spans="1:11" x14ac:dyDescent="0.35">
      <c r="A12196" s="9" t="str">
        <f>HYPERLINK("http://www.ensembl.org/id/WBGene00044381", "WBGene00044381")</f>
        <v>WBGene00044381</v>
      </c>
      <c r="B12196" s="9" t="str">
        <f>HYPERLINK("http://www.ncbi.nlm.nih.gov/gene/3565830", "3565830")</f>
        <v>3565830</v>
      </c>
      <c r="C12196" s="9"/>
      <c r="D12196" t="str">
        <f>"K10G6.5"</f>
        <v>K10G6.5</v>
      </c>
      <c r="F12196" t="s">
        <v>11</v>
      </c>
      <c r="G12196" t="s">
        <v>25</v>
      </c>
      <c r="H12196" s="12">
        <v>3.5227018545059199</v>
      </c>
      <c r="I12196" s="20">
        <v>0.36849691206929103</v>
      </c>
      <c r="J12196" s="28">
        <v>0.71250274722433404</v>
      </c>
      <c r="K12196" s="29">
        <v>0.98289565623980701</v>
      </c>
    </row>
    <row r="12197" spans="1:11" x14ac:dyDescent="0.35">
      <c r="A12197" s="9" t="str">
        <f>HYPERLINK("http://www.ensembl.org/id/WBGene00010765", "WBGene00010765")</f>
        <v>WBGene00010765</v>
      </c>
      <c r="B12197" s="9" t="str">
        <f>HYPERLINK("http://www.ncbi.nlm.nih.gov/gene/3565646", "3565646")</f>
        <v>3565646</v>
      </c>
      <c r="C12197" s="9"/>
      <c r="D12197" t="str">
        <f>"K10H10.10"</f>
        <v>K10H10.10</v>
      </c>
      <c r="F12197" t="s">
        <v>11</v>
      </c>
      <c r="G12197" t="s">
        <v>3948</v>
      </c>
      <c r="H12197" s="12">
        <v>2.9348994596239701</v>
      </c>
      <c r="I12197" s="20">
        <v>0.634780511713123</v>
      </c>
      <c r="J12197" s="28">
        <v>0.525571575257338</v>
      </c>
      <c r="K12197" s="29">
        <v>0.98289565623980701</v>
      </c>
    </row>
    <row r="12198" spans="1:11" x14ac:dyDescent="0.35">
      <c r="A12198" s="9" t="str">
        <f>HYPERLINK("http://www.ensembl.org/id/WBGene00045403", "WBGene00045403")</f>
        <v>WBGene00045403</v>
      </c>
      <c r="B12198" s="9" t="str">
        <f>HYPERLINK("http://www.ncbi.nlm.nih.gov/gene/6418629", "6418629")</f>
        <v>6418629</v>
      </c>
      <c r="C12198" s="9"/>
      <c r="D12198" t="str">
        <f>"K10H10.12"</f>
        <v>K10H10.12</v>
      </c>
      <c r="F12198" t="s">
        <v>11</v>
      </c>
      <c r="G12198" t="s">
        <v>25</v>
      </c>
      <c r="H12198" s="12">
        <v>1.94918408973373</v>
      </c>
      <c r="I12198" s="20">
        <v>1.08231980236805</v>
      </c>
      <c r="J12198" s="28">
        <v>0.27911044985748901</v>
      </c>
      <c r="K12198" s="29">
        <v>0.98289565623980701</v>
      </c>
    </row>
    <row r="12199" spans="1:11" x14ac:dyDescent="0.35">
      <c r="A12199" s="9" t="str">
        <f>HYPERLINK("http://www.ensembl.org/id/WBGene00194888", "WBGene00194888")</f>
        <v>WBGene00194888</v>
      </c>
      <c r="B12199" s="9" t="str">
        <f>HYPERLINK("http://www.ncbi.nlm.nih.gov/gene/13187981", "13187981")</f>
        <v>13187981</v>
      </c>
      <c r="C12199" s="9"/>
      <c r="D12199" t="str">
        <f>"K10H10.13"</f>
        <v>K10H10.13</v>
      </c>
      <c r="F12199" t="s">
        <v>11</v>
      </c>
      <c r="H12199" s="12">
        <v>20.658980212134001</v>
      </c>
      <c r="I12199" s="20">
        <v>1.1693177896185201</v>
      </c>
      <c r="J12199" s="28">
        <v>0.24227561835236699</v>
      </c>
      <c r="K12199" s="29">
        <v>0.98289565623980701</v>
      </c>
    </row>
    <row r="12200" spans="1:11" x14ac:dyDescent="0.35">
      <c r="A12200" s="9" t="str">
        <f>HYPERLINK("http://www.ensembl.org/id/WBGene00199674", "WBGene00199674")</f>
        <v>WBGene00199674</v>
      </c>
      <c r="B12200" s="9"/>
      <c r="C12200" s="9"/>
      <c r="D12200" t="str">
        <f>"K10H10.14"</f>
        <v>K10H10.14</v>
      </c>
      <c r="F12200" t="s">
        <v>481</v>
      </c>
      <c r="H12200" s="12">
        <v>-3.3062271141133701</v>
      </c>
      <c r="I12200" s="20">
        <v>-0.366461905584539</v>
      </c>
      <c r="J12200" s="28">
        <v>0.71402043343558397</v>
      </c>
      <c r="K12200" s="29">
        <v>0.98289565623980701</v>
      </c>
    </row>
    <row r="12201" spans="1:11" x14ac:dyDescent="0.35">
      <c r="A12201" s="9" t="str">
        <f>HYPERLINK("http://www.ensembl.org/id/WBGene00010761", "WBGene00010761")</f>
        <v>WBGene00010761</v>
      </c>
      <c r="B12201" s="9" t="str">
        <f>HYPERLINK("http://www.ncbi.nlm.nih.gov/gene/187284", "187284")</f>
        <v>187284</v>
      </c>
      <c r="C12201" s="9"/>
      <c r="D12201" t="str">
        <f>"K10H10.5"</f>
        <v>K10H10.5</v>
      </c>
      <c r="F12201" t="s">
        <v>11</v>
      </c>
      <c r="G12201" t="s">
        <v>25</v>
      </c>
      <c r="H12201" s="12">
        <v>4.4368407117627902</v>
      </c>
      <c r="I12201" s="20">
        <v>0.43709475933309699</v>
      </c>
      <c r="J12201" s="28">
        <v>0.66204262779770495</v>
      </c>
      <c r="K12201" s="29">
        <v>0.98289565623980701</v>
      </c>
    </row>
    <row r="12202" spans="1:11" x14ac:dyDescent="0.35">
      <c r="A12202" s="9" t="str">
        <f>HYPERLINK("http://www.ensembl.org/id/WBGene00010763", "WBGene00010763")</f>
        <v>WBGene00010763</v>
      </c>
      <c r="B12202" s="9" t="str">
        <f>HYPERLINK("http://www.ncbi.nlm.nih.gov/gene/187286", "187286")</f>
        <v>187286</v>
      </c>
      <c r="C12202" s="9"/>
      <c r="D12202" t="str">
        <f>"K10H10.7"</f>
        <v>K10H10.7</v>
      </c>
      <c r="F12202" t="s">
        <v>11</v>
      </c>
      <c r="G12202" t="s">
        <v>4377</v>
      </c>
      <c r="H12202" s="12">
        <v>2.4578120077400301</v>
      </c>
      <c r="I12202" s="20">
        <v>0.26093350314551</v>
      </c>
      <c r="J12202" s="28">
        <v>0.79414378780213601</v>
      </c>
      <c r="K12202" s="29">
        <v>0.98289565623980701</v>
      </c>
    </row>
    <row r="12203" spans="1:11" x14ac:dyDescent="0.35">
      <c r="A12203" s="9" t="str">
        <f>HYPERLINK("http://www.ensembl.org/id/WBGene00019642", "WBGene00019642")</f>
        <v>WBGene00019642</v>
      </c>
      <c r="B12203" s="9" t="str">
        <f>HYPERLINK("http://www.ncbi.nlm.nih.gov/gene/179078", "179078")</f>
        <v>179078</v>
      </c>
      <c r="C12203" s="9"/>
      <c r="D12203" t="str">
        <f>"K11C4.1"</f>
        <v>K11C4.1</v>
      </c>
      <c r="F12203" t="s">
        <v>11</v>
      </c>
      <c r="G12203" t="s">
        <v>1763</v>
      </c>
      <c r="H12203" s="12">
        <v>1.3795676226028699</v>
      </c>
      <c r="I12203" s="20">
        <v>0.41807011923781301</v>
      </c>
      <c r="J12203" s="28">
        <v>0.67589585115281803</v>
      </c>
      <c r="K12203" s="29">
        <v>0.98289565623980701</v>
      </c>
    </row>
    <row r="12204" spans="1:11" x14ac:dyDescent="0.35">
      <c r="A12204" s="9" t="str">
        <f>HYPERLINK("http://www.ensembl.org/id/WBGene00201654", "WBGene00201654")</f>
        <v>WBGene00201654</v>
      </c>
      <c r="B12204" s="9"/>
      <c r="C12204" s="9"/>
      <c r="D12204" t="str">
        <f>"K11C4.12"</f>
        <v>K11C4.12</v>
      </c>
      <c r="F12204" t="s">
        <v>481</v>
      </c>
      <c r="H12204" s="12">
        <v>4.4368407117627902</v>
      </c>
      <c r="I12204" s="20">
        <v>0.43709475933309699</v>
      </c>
      <c r="J12204" s="28">
        <v>0.66204262779770495</v>
      </c>
      <c r="K12204" s="29">
        <v>0.98289565623980701</v>
      </c>
    </row>
    <row r="12205" spans="1:11" x14ac:dyDescent="0.35">
      <c r="A12205" s="9" t="str">
        <f>HYPERLINK("http://www.ensembl.org/id/WBGene00045084", "WBGene00045084")</f>
        <v>WBGene00045084</v>
      </c>
      <c r="B12205" s="9"/>
      <c r="C12205" s="9"/>
      <c r="D12205" t="str">
        <f>"K11C4.6"</f>
        <v>K11C4.6</v>
      </c>
      <c r="F12205" t="s">
        <v>2977</v>
      </c>
      <c r="H12205" s="12">
        <v>-2.4991590031922399</v>
      </c>
      <c r="I12205" s="20">
        <v>-0.26577412737581302</v>
      </c>
      <c r="J12205" s="28">
        <v>0.79041317015736101</v>
      </c>
      <c r="K12205" s="29">
        <v>0.98289565623980701</v>
      </c>
    </row>
    <row r="12206" spans="1:11" x14ac:dyDescent="0.35">
      <c r="A12206" s="9" t="str">
        <f>HYPERLINK("http://www.ensembl.org/id/WBGene00196871", "WBGene00196871")</f>
        <v>WBGene00196871</v>
      </c>
      <c r="B12206" s="9"/>
      <c r="C12206" s="9"/>
      <c r="D12206" t="str">
        <f>"K11C4.8"</f>
        <v>K11C4.8</v>
      </c>
      <c r="F12206" t="s">
        <v>481</v>
      </c>
      <c r="H12206" s="12">
        <v>3.28624938312884</v>
      </c>
      <c r="I12206" s="20">
        <v>0.36379512681977599</v>
      </c>
      <c r="J12206" s="28">
        <v>0.716011001908614</v>
      </c>
      <c r="K12206" s="29">
        <v>0.98289565623980701</v>
      </c>
    </row>
    <row r="12207" spans="1:11" x14ac:dyDescent="0.35">
      <c r="A12207" s="9" t="str">
        <f>HYPERLINK("http://www.ensembl.org/id/WBGene00019651", "WBGene00019651")</f>
        <v>WBGene00019651</v>
      </c>
      <c r="B12207" s="9" t="str">
        <f>HYPERLINK("http://www.ncbi.nlm.nih.gov/gene/259619", "259619")</f>
        <v>259619</v>
      </c>
      <c r="C12207" s="9"/>
      <c r="D12207" t="str">
        <f>"K11D12.12"</f>
        <v>K11D12.12</v>
      </c>
      <c r="F12207" t="s">
        <v>11</v>
      </c>
      <c r="H12207" s="12">
        <v>-1.3121196402887401</v>
      </c>
      <c r="I12207" s="20">
        <v>-1.0260621582944101</v>
      </c>
      <c r="J12207" s="28">
        <v>0.30486228595510201</v>
      </c>
      <c r="K12207" s="29">
        <v>0.98289565623980701</v>
      </c>
    </row>
    <row r="12208" spans="1:11" x14ac:dyDescent="0.35">
      <c r="A12208" s="9" t="str">
        <f>HYPERLINK("http://www.ensembl.org/id/WBGene00044535", "WBGene00044535")</f>
        <v>WBGene00044535</v>
      </c>
      <c r="B12208" s="9" t="str">
        <f>HYPERLINK("http://www.ncbi.nlm.nih.gov/gene/3896821", "3896821")</f>
        <v>3896821</v>
      </c>
      <c r="C12208" s="9"/>
      <c r="D12208" t="str">
        <f>"K11D12.13"</f>
        <v>K11D12.13</v>
      </c>
      <c r="F12208" t="s">
        <v>11</v>
      </c>
      <c r="G12208" t="s">
        <v>50</v>
      </c>
      <c r="H12208" s="12">
        <v>-1.24105305223559</v>
      </c>
      <c r="I12208" s="20">
        <v>-1.1352719271093701</v>
      </c>
      <c r="J12208" s="28">
        <v>0.25626140072152198</v>
      </c>
      <c r="K12208" s="29">
        <v>0.98289565623980701</v>
      </c>
    </row>
    <row r="12209" spans="1:11" x14ac:dyDescent="0.35">
      <c r="A12209" s="9" t="str">
        <f>HYPERLINK("http://www.ensembl.org/id/WBGene00019646", "WBGene00019646")</f>
        <v>WBGene00019646</v>
      </c>
      <c r="B12209" s="9" t="str">
        <f>HYPERLINK("http://www.ncbi.nlm.nih.gov/gene/187293", "187293")</f>
        <v>187293</v>
      </c>
      <c r="C12209" s="9"/>
      <c r="D12209" t="str">
        <f>"K11D12.6"</f>
        <v>K11D12.6</v>
      </c>
      <c r="F12209" t="s">
        <v>11</v>
      </c>
      <c r="G12209" t="s">
        <v>50</v>
      </c>
      <c r="H12209" s="12">
        <v>-1.33343310097301</v>
      </c>
      <c r="I12209" s="20">
        <v>-0.52969873021633895</v>
      </c>
      <c r="J12209" s="28">
        <v>0.59632082848262602</v>
      </c>
      <c r="K12209" s="29">
        <v>0.98289565623980701</v>
      </c>
    </row>
    <row r="12210" spans="1:11" x14ac:dyDescent="0.35">
      <c r="A12210" s="9" t="str">
        <f>HYPERLINK("http://www.ensembl.org/id/WBGene00019647", "WBGene00019647")</f>
        <v>WBGene00019647</v>
      </c>
      <c r="B12210" s="9" t="str">
        <f>HYPERLINK("http://www.ncbi.nlm.nih.gov/gene/178891", "178891")</f>
        <v>178891</v>
      </c>
      <c r="C12210" s="9"/>
      <c r="D12210" t="str">
        <f>"K11D12.7"</f>
        <v>K11D12.7</v>
      </c>
      <c r="F12210" t="s">
        <v>11</v>
      </c>
      <c r="G12210" t="s">
        <v>50</v>
      </c>
      <c r="H12210" s="12">
        <v>1.16105786783098</v>
      </c>
      <c r="I12210" s="20">
        <v>0.77916772036988102</v>
      </c>
      <c r="J12210" s="28">
        <v>0.43588092232430098</v>
      </c>
      <c r="K12210" s="29">
        <v>0.98289565623980701</v>
      </c>
    </row>
    <row r="12211" spans="1:11" x14ac:dyDescent="0.35">
      <c r="A12211" s="9" t="str">
        <f>HYPERLINK("http://www.ensembl.org/id/WBGene00019649", "WBGene00019649")</f>
        <v>WBGene00019649</v>
      </c>
      <c r="B12211" s="9" t="str">
        <f>HYPERLINK("http://www.ncbi.nlm.nih.gov/gene/178892", "178892")</f>
        <v>178892</v>
      </c>
      <c r="C12211" s="9"/>
      <c r="D12211" t="str">
        <f>"K11D12.9"</f>
        <v>K11D12.9</v>
      </c>
      <c r="F12211" t="s">
        <v>11</v>
      </c>
      <c r="G12211" t="s">
        <v>9496</v>
      </c>
      <c r="H12211" s="12">
        <v>-1.25141683218903</v>
      </c>
      <c r="I12211" s="20">
        <v>-0.77991022241536501</v>
      </c>
      <c r="J12211" s="28">
        <v>0.435443721011119</v>
      </c>
      <c r="K12211" s="29">
        <v>0.98289565623980701</v>
      </c>
    </row>
    <row r="12212" spans="1:11" x14ac:dyDescent="0.35">
      <c r="A12212" s="9" t="str">
        <f>HYPERLINK("http://www.ensembl.org/id/WBGene00010768", "WBGene00010768")</f>
        <v>WBGene00010768</v>
      </c>
      <c r="B12212" s="9" t="str">
        <f>HYPERLINK("http://www.ncbi.nlm.nih.gov/gene/187290", "187290")</f>
        <v>187290</v>
      </c>
      <c r="C12212" s="9"/>
      <c r="D12212" t="str">
        <f>"K11D2.1"</f>
        <v>K11D2.1</v>
      </c>
      <c r="F12212" t="s">
        <v>11</v>
      </c>
      <c r="H12212" s="12">
        <v>1.1182784524606799</v>
      </c>
      <c r="I12212" s="20">
        <v>0.304424449152353</v>
      </c>
      <c r="J12212" s="28">
        <v>0.76080454342349202</v>
      </c>
      <c r="K12212" s="29">
        <v>0.98289565623980701</v>
      </c>
    </row>
    <row r="12213" spans="1:11" x14ac:dyDescent="0.35">
      <c r="A12213" s="9" t="str">
        <f>HYPERLINK("http://www.ensembl.org/id/WBGene00010770", "WBGene00010770")</f>
        <v>WBGene00010770</v>
      </c>
      <c r="B12213" s="9" t="str">
        <f>HYPERLINK("http://www.ncbi.nlm.nih.gov/gene/187291", "187291")</f>
        <v>187291</v>
      </c>
      <c r="C12213" s="9"/>
      <c r="D12213" t="str">
        <f>"K11D2.4"</f>
        <v>K11D2.4</v>
      </c>
      <c r="F12213" t="s">
        <v>11</v>
      </c>
      <c r="H12213" s="12">
        <v>-1.21655654221941</v>
      </c>
      <c r="I12213" s="20">
        <v>-0.99530503120744596</v>
      </c>
      <c r="J12213" s="28">
        <v>0.31958793153978199</v>
      </c>
      <c r="K12213" s="29">
        <v>0.98289565623980701</v>
      </c>
    </row>
    <row r="12214" spans="1:11" x14ac:dyDescent="0.35">
      <c r="A12214" s="9" t="str">
        <f>HYPERLINK("http://www.ensembl.org/id/WBGene00010771", "WBGene00010771")</f>
        <v>WBGene00010771</v>
      </c>
      <c r="B12214" s="9" t="str">
        <f>HYPERLINK("http://www.ncbi.nlm.nih.gov/gene/3565891", "3565891")</f>
        <v>3565891</v>
      </c>
      <c r="C12214" s="9"/>
      <c r="D12214" t="str">
        <f>"K11D2.5"</f>
        <v>K11D2.5</v>
      </c>
      <c r="F12214" t="s">
        <v>11</v>
      </c>
      <c r="G12214" t="s">
        <v>7211</v>
      </c>
      <c r="H12214" s="12">
        <v>-1.1138480999945299</v>
      </c>
      <c r="I12214" s="20">
        <v>-0.36924932172955099</v>
      </c>
      <c r="J12214" s="28">
        <v>0.711941895886534</v>
      </c>
      <c r="K12214" s="29">
        <v>0.98289565623980701</v>
      </c>
    </row>
    <row r="12215" spans="1:11" x14ac:dyDescent="0.35">
      <c r="A12215" s="9" t="str">
        <f>HYPERLINK("http://www.ensembl.org/id/WBGene00197122", "WBGene00197122")</f>
        <v>WBGene00197122</v>
      </c>
      <c r="B12215" s="9"/>
      <c r="C12215" s="9"/>
      <c r="D12215" t="str">
        <f>"K11D5.1"</f>
        <v>K11D5.1</v>
      </c>
      <c r="F12215" t="s">
        <v>481</v>
      </c>
      <c r="H12215" s="12">
        <v>-3.7261494131482999</v>
      </c>
      <c r="I12215" s="20">
        <v>-0.38454673129429601</v>
      </c>
      <c r="J12215" s="28">
        <v>0.70057326682554</v>
      </c>
      <c r="K12215" s="29">
        <v>0.98289565623980701</v>
      </c>
    </row>
    <row r="12216" spans="1:11" x14ac:dyDescent="0.35">
      <c r="A12216" s="9" t="str">
        <f>HYPERLINK("http://www.ensembl.org/id/WBGene00235318", "WBGene00235318")</f>
        <v>WBGene00235318</v>
      </c>
      <c r="B12216" s="9"/>
      <c r="C12216" s="9"/>
      <c r="D12216" t="str">
        <f>"K11D5.2"</f>
        <v>K11D5.2</v>
      </c>
      <c r="F12216" t="s">
        <v>481</v>
      </c>
      <c r="H12216" s="12">
        <v>5.9495765472548197</v>
      </c>
      <c r="I12216" s="20">
        <v>0.52429389276509997</v>
      </c>
      <c r="J12216" s="28">
        <v>0.60007414400596704</v>
      </c>
      <c r="K12216" s="29">
        <v>0.98289565623980701</v>
      </c>
    </row>
    <row r="12217" spans="1:11" x14ac:dyDescent="0.35">
      <c r="A12217" s="9" t="str">
        <f>HYPERLINK("http://www.ensembl.org/id/WBGene00010774", "WBGene00010774")</f>
        <v>WBGene00010774</v>
      </c>
      <c r="B12217" s="9" t="str">
        <f>HYPERLINK("http://www.ncbi.nlm.nih.gov/gene/187296", "187296")</f>
        <v>187296</v>
      </c>
      <c r="C12217" s="9"/>
      <c r="D12217" t="str">
        <f>"K11E4.2"</f>
        <v>K11E4.2</v>
      </c>
      <c r="F12217" t="s">
        <v>11</v>
      </c>
      <c r="H12217" s="12">
        <v>-1.3932805171492999</v>
      </c>
      <c r="I12217" s="20">
        <v>-0.99916202931679698</v>
      </c>
      <c r="J12217" s="28">
        <v>0.31771620652017502</v>
      </c>
      <c r="K12217" s="29">
        <v>0.98289565623980701</v>
      </c>
    </row>
    <row r="12218" spans="1:11" x14ac:dyDescent="0.35">
      <c r="A12218" s="9" t="str">
        <f>HYPERLINK("http://www.ensembl.org/id/WBGene00077679", "WBGene00077679")</f>
        <v>WBGene00077679</v>
      </c>
      <c r="B12218" s="9" t="str">
        <f>HYPERLINK("http://www.ncbi.nlm.nih.gov/gene/6418860", "6418860")</f>
        <v>6418860</v>
      </c>
      <c r="C12218" s="9"/>
      <c r="D12218" t="str">
        <f>"K11E4.6"</f>
        <v>K11E4.6</v>
      </c>
      <c r="F12218" t="s">
        <v>11</v>
      </c>
      <c r="G12218" t="s">
        <v>4731</v>
      </c>
      <c r="H12218" s="12">
        <v>1.35471843120998</v>
      </c>
      <c r="I12218" s="20">
        <v>0.39004439114772599</v>
      </c>
      <c r="J12218" s="28">
        <v>0.696503721939701</v>
      </c>
      <c r="K12218" s="29">
        <v>0.98289565623980701</v>
      </c>
    </row>
    <row r="12219" spans="1:11" x14ac:dyDescent="0.35">
      <c r="A12219" s="9" t="str">
        <f>HYPERLINK("http://www.ensembl.org/id/WBGene00014439", "WBGene00014439")</f>
        <v>WBGene00014439</v>
      </c>
      <c r="B12219" s="9"/>
      <c r="C12219" s="9"/>
      <c r="D12219" t="str">
        <f>"K11E4.t2"</f>
        <v>K11E4.t2</v>
      </c>
      <c r="F12219" t="s">
        <v>4208</v>
      </c>
      <c r="H12219" s="12">
        <v>2.3893468495514898</v>
      </c>
      <c r="I12219" s="20">
        <v>0.25323547253672701</v>
      </c>
      <c r="J12219" s="28">
        <v>0.80008625651646104</v>
      </c>
      <c r="K12219" s="29">
        <v>0.98289565623980701</v>
      </c>
    </row>
    <row r="12220" spans="1:11" x14ac:dyDescent="0.35">
      <c r="A12220" s="9" t="str">
        <f>HYPERLINK("http://www.ensembl.org/id/WBGene00019657", "WBGene00019657")</f>
        <v>WBGene00019657</v>
      </c>
      <c r="B12220" s="9" t="str">
        <f>HYPERLINK("http://www.ncbi.nlm.nih.gov/gene/180941", "180941")</f>
        <v>180941</v>
      </c>
      <c r="C12220" s="9" t="str">
        <f>HYPERLINK("http://www.ncbi.nlm.nih.gov/gene/91289", "91289")</f>
        <v>91289</v>
      </c>
      <c r="D12220" t="str">
        <f>"K11G12.6"</f>
        <v>K11G12.6</v>
      </c>
      <c r="E12220" t="s">
        <v>6461</v>
      </c>
      <c r="F12220" t="s">
        <v>11</v>
      </c>
      <c r="G12220" t="s">
        <v>6462</v>
      </c>
      <c r="H12220" s="12">
        <v>-1.07067343033649</v>
      </c>
      <c r="I12220" s="20">
        <v>-0.351411986110164</v>
      </c>
      <c r="J12220" s="28">
        <v>0.72527929148343995</v>
      </c>
      <c r="K12220" s="29">
        <v>0.98289565623980701</v>
      </c>
    </row>
    <row r="12221" spans="1:11" x14ac:dyDescent="0.35">
      <c r="A12221" s="9" t="str">
        <f>HYPERLINK("http://www.ensembl.org/id/WBGene00199150", "WBGene00199150")</f>
        <v>WBGene00199150</v>
      </c>
      <c r="B12221" s="9"/>
      <c r="C12221" s="9"/>
      <c r="D12221" t="str">
        <f>"K11G9.11"</f>
        <v>K11G9.11</v>
      </c>
      <c r="F12221" t="s">
        <v>481</v>
      </c>
      <c r="H12221" s="12">
        <v>-2.4991590031922399</v>
      </c>
      <c r="I12221" s="20">
        <v>-0.26577412737581302</v>
      </c>
      <c r="J12221" s="28">
        <v>0.79041317015736101</v>
      </c>
      <c r="K12221" s="29">
        <v>0.98289565623980701</v>
      </c>
    </row>
    <row r="12222" spans="1:11" x14ac:dyDescent="0.35">
      <c r="A12222" s="9" t="str">
        <f>HYPERLINK("http://www.ensembl.org/id/WBGene00019655", "WBGene00019655")</f>
        <v>WBGene00019655</v>
      </c>
      <c r="B12222" s="9" t="str">
        <f>HYPERLINK("http://www.ncbi.nlm.nih.gov/gene/179059", "179059")</f>
        <v>179059</v>
      </c>
      <c r="C12222" s="9"/>
      <c r="D12222" t="str">
        <f>"K11G9.5"</f>
        <v>K11G9.5</v>
      </c>
      <c r="F12222" t="s">
        <v>11</v>
      </c>
      <c r="G12222" t="s">
        <v>230</v>
      </c>
      <c r="H12222" s="12">
        <v>1.1592898706480199</v>
      </c>
      <c r="I12222" s="20">
        <v>0.60012706099476398</v>
      </c>
      <c r="J12222" s="28">
        <v>0.54842155902909195</v>
      </c>
      <c r="K12222" s="29">
        <v>0.98289565623980701</v>
      </c>
    </row>
    <row r="12223" spans="1:11" x14ac:dyDescent="0.35">
      <c r="A12223" s="9" t="str">
        <f>HYPERLINK("http://www.ensembl.org/id/WBGene00044723", "WBGene00044723")</f>
        <v>WBGene00044723</v>
      </c>
      <c r="B12223" s="9" t="str">
        <f>HYPERLINK("http://www.ncbi.nlm.nih.gov/gene/4363080", "4363080")</f>
        <v>4363080</v>
      </c>
      <c r="C12223" s="9"/>
      <c r="D12223" t="str">
        <f>"K11H12.11"</f>
        <v>K11H12.11</v>
      </c>
      <c r="F12223" t="s">
        <v>11</v>
      </c>
      <c r="H12223" s="12">
        <v>2.7474049859631098</v>
      </c>
      <c r="I12223" s="20">
        <v>1.07335431063763</v>
      </c>
      <c r="J12223" s="28">
        <v>0.28311217592292598</v>
      </c>
      <c r="K12223" s="29">
        <v>0.98289565623980701</v>
      </c>
    </row>
    <row r="12224" spans="1:11" x14ac:dyDescent="0.35">
      <c r="A12224" s="9" t="str">
        <f>HYPERLINK("http://www.ensembl.org/id/WBGene00196668", "WBGene00196668")</f>
        <v>WBGene00196668</v>
      </c>
      <c r="B12224" s="9"/>
      <c r="C12224" s="9"/>
      <c r="D12224" t="str">
        <f>"K11H12.14"</f>
        <v>K11H12.14</v>
      </c>
      <c r="F12224" t="s">
        <v>481</v>
      </c>
      <c r="H12224" s="12">
        <v>2.3893468495514898</v>
      </c>
      <c r="I12224" s="20">
        <v>0.25323547253672701</v>
      </c>
      <c r="J12224" s="28">
        <v>0.80008625651646104</v>
      </c>
      <c r="K12224" s="29">
        <v>0.98289565623980701</v>
      </c>
    </row>
    <row r="12225" spans="1:11" x14ac:dyDescent="0.35">
      <c r="A12225" s="9" t="str">
        <f>HYPERLINK("http://www.ensembl.org/id/WBGene00019659", "WBGene00019659")</f>
        <v>WBGene00019659</v>
      </c>
      <c r="B12225" s="9" t="str">
        <f>HYPERLINK("http://www.ncbi.nlm.nih.gov/gene/187311", "187311")</f>
        <v>187311</v>
      </c>
      <c r="C12225" s="9"/>
      <c r="D12225" t="str">
        <f>"K11H12.3"</f>
        <v>K11H12.3</v>
      </c>
      <c r="F12225" t="s">
        <v>11</v>
      </c>
      <c r="H12225" s="12">
        <v>1.44948596404942</v>
      </c>
      <c r="I12225" s="20">
        <v>0.55147934802157605</v>
      </c>
      <c r="J12225" s="28">
        <v>0.581305119995155</v>
      </c>
      <c r="K12225" s="29">
        <v>0.98289565623980701</v>
      </c>
    </row>
    <row r="12226" spans="1:11" x14ac:dyDescent="0.35">
      <c r="A12226" s="9" t="str">
        <f>HYPERLINK("http://www.ensembl.org/id/WBGene00019660", "WBGene00019660")</f>
        <v>WBGene00019660</v>
      </c>
      <c r="B12226" s="9" t="str">
        <f>HYPERLINK("http://www.ncbi.nlm.nih.gov/gene/176894", "176894")</f>
        <v>176894</v>
      </c>
      <c r="C12226" s="9"/>
      <c r="D12226" t="str">
        <f>"K11H12.4"</f>
        <v>K11H12.4</v>
      </c>
      <c r="F12226" t="s">
        <v>11</v>
      </c>
      <c r="H12226" s="12">
        <v>-1.2952766706671499</v>
      </c>
      <c r="I12226" s="20">
        <v>-0.62246592522843902</v>
      </c>
      <c r="J12226" s="28">
        <v>0.53363554293439897</v>
      </c>
      <c r="K12226" s="29">
        <v>0.98289565623980701</v>
      </c>
    </row>
    <row r="12227" spans="1:11" x14ac:dyDescent="0.35">
      <c r="A12227" s="9" t="str">
        <f>HYPERLINK("http://www.ensembl.org/id/WBGene00198138", "WBGene00198138")</f>
        <v>WBGene00198138</v>
      </c>
      <c r="B12227" s="9"/>
      <c r="C12227" s="9"/>
      <c r="D12227" t="str">
        <f>"K11H3.10"</f>
        <v>K11H3.10</v>
      </c>
      <c r="F12227" t="s">
        <v>481</v>
      </c>
      <c r="H12227" s="12">
        <v>-2.4295389261469</v>
      </c>
      <c r="I12227" s="20">
        <v>-0.25808529976640998</v>
      </c>
      <c r="J12227" s="28">
        <v>0.79634107645457397</v>
      </c>
      <c r="K12227" s="29">
        <v>0.98289565623980701</v>
      </c>
    </row>
    <row r="12228" spans="1:11" x14ac:dyDescent="0.35">
      <c r="A12228" s="9" t="str">
        <f>HYPERLINK("http://www.ensembl.org/id/WBGene00010780", "WBGene00010780")</f>
        <v>WBGene00010780</v>
      </c>
      <c r="B12228" s="9" t="str">
        <f>HYPERLINK("http://www.ncbi.nlm.nih.gov/gene/176398", "176398")</f>
        <v>176398</v>
      </c>
      <c r="C12228" s="9"/>
      <c r="D12228" t="str">
        <f>"K11H3.3"</f>
        <v>K11H3.3</v>
      </c>
      <c r="E12228" t="s">
        <v>6711</v>
      </c>
      <c r="F12228" t="s">
        <v>11</v>
      </c>
      <c r="G12228" t="s">
        <v>6712</v>
      </c>
      <c r="H12228" s="12">
        <v>-1.08580280183481</v>
      </c>
      <c r="I12228" s="20">
        <v>-0.45596199682251398</v>
      </c>
      <c r="J12228" s="28">
        <v>0.64841730641408302</v>
      </c>
      <c r="K12228" s="29">
        <v>0.98289565623980701</v>
      </c>
    </row>
    <row r="12229" spans="1:11" x14ac:dyDescent="0.35">
      <c r="A12229" s="9" t="str">
        <f>HYPERLINK("http://www.ensembl.org/id/WBGene00014445", "WBGene00014445")</f>
        <v>WBGene00014445</v>
      </c>
      <c r="B12229" s="9"/>
      <c r="C12229" s="9"/>
      <c r="D12229" t="str">
        <f>"K11H3.t2"</f>
        <v>K11H3.t2</v>
      </c>
      <c r="F12229" t="s">
        <v>4208</v>
      </c>
      <c r="H12229" s="12">
        <v>-2.4295389261469</v>
      </c>
      <c r="I12229" s="20">
        <v>-0.25808529976640998</v>
      </c>
      <c r="J12229" s="28">
        <v>0.79634107645457397</v>
      </c>
      <c r="K12229" s="29">
        <v>0.98289565623980701</v>
      </c>
    </row>
    <row r="12230" spans="1:11" x14ac:dyDescent="0.35">
      <c r="A12230" s="9" t="str">
        <f>HYPERLINK("http://www.ensembl.org/id/WBGene00019673", "WBGene00019673")</f>
        <v>WBGene00019673</v>
      </c>
      <c r="B12230" s="9" t="str">
        <f>HYPERLINK("http://www.ncbi.nlm.nih.gov/gene/171704", "171704")</f>
        <v>171704</v>
      </c>
      <c r="C12230" s="9" t="str">
        <f>HYPERLINK("http://www.ncbi.nlm.nih.gov/gene/5184", "5184")</f>
        <v>5184</v>
      </c>
      <c r="D12230" t="str">
        <f>"K12C11.1"</f>
        <v>K12C11.1</v>
      </c>
      <c r="F12230" t="s">
        <v>11</v>
      </c>
      <c r="G12230" t="s">
        <v>8299</v>
      </c>
      <c r="H12230" s="12">
        <v>-1.16983531022706</v>
      </c>
      <c r="I12230" s="20">
        <v>-0.80163614274402495</v>
      </c>
      <c r="J12230" s="28">
        <v>0.42276346424948602</v>
      </c>
      <c r="K12230" s="29">
        <v>0.98289565623980701</v>
      </c>
    </row>
    <row r="12231" spans="1:11" x14ac:dyDescent="0.35">
      <c r="A12231" s="9" t="str">
        <f>HYPERLINK("http://www.ensembl.org/id/WBGene00019674", "WBGene00019674")</f>
        <v>WBGene00019674</v>
      </c>
      <c r="B12231" s="9" t="str">
        <f>HYPERLINK("http://www.ncbi.nlm.nih.gov/gene/187321", "187321")</f>
        <v>187321</v>
      </c>
      <c r="C12231" s="9"/>
      <c r="D12231" t="str">
        <f>"K12C11.3"</f>
        <v>K12C11.3</v>
      </c>
      <c r="F12231" t="s">
        <v>11</v>
      </c>
      <c r="G12231" t="s">
        <v>2090</v>
      </c>
      <c r="H12231" s="12">
        <v>-1.30262238009846</v>
      </c>
      <c r="I12231" s="20">
        <v>-0.565829296494617</v>
      </c>
      <c r="J12231" s="28">
        <v>0.57150982889035695</v>
      </c>
      <c r="K12231" s="29">
        <v>0.98289565623980701</v>
      </c>
    </row>
    <row r="12232" spans="1:11" x14ac:dyDescent="0.35">
      <c r="A12232" s="9" t="str">
        <f>HYPERLINK("http://www.ensembl.org/id/WBGene00045052", "WBGene00045052")</f>
        <v>WBGene00045052</v>
      </c>
      <c r="B12232" s="9" t="str">
        <f>HYPERLINK("http://www.ncbi.nlm.nih.gov/gene/4926921", "4926921")</f>
        <v>4926921</v>
      </c>
      <c r="C12232" s="9"/>
      <c r="D12232" t="str">
        <f>"K12C11.6"</f>
        <v>K12C11.6</v>
      </c>
      <c r="F12232" t="s">
        <v>11</v>
      </c>
      <c r="G12232" t="s">
        <v>2090</v>
      </c>
      <c r="H12232" s="12">
        <v>-1.42507932137545</v>
      </c>
      <c r="I12232" s="20">
        <v>-1.1945824221866099</v>
      </c>
      <c r="J12232" s="28">
        <v>0.232250220339834</v>
      </c>
      <c r="K12232" s="29">
        <v>0.98289565623980701</v>
      </c>
    </row>
    <row r="12233" spans="1:11" x14ac:dyDescent="0.35">
      <c r="A12233" s="9" t="str">
        <f>HYPERLINK("http://www.ensembl.org/id/WBGene00045053", "WBGene00045053")</f>
        <v>WBGene00045053</v>
      </c>
      <c r="B12233" s="9" t="str">
        <f>HYPERLINK("http://www.ncbi.nlm.nih.gov/gene/4926895", "4926895")</f>
        <v>4926895</v>
      </c>
      <c r="C12233" s="9"/>
      <c r="D12233" t="str">
        <f>"K12C11.7"</f>
        <v>K12C11.7</v>
      </c>
      <c r="F12233" t="s">
        <v>11</v>
      </c>
      <c r="G12233" t="s">
        <v>2090</v>
      </c>
      <c r="H12233" s="12">
        <v>-1.36812771344918</v>
      </c>
      <c r="I12233" s="20">
        <v>-0.92052272689641201</v>
      </c>
      <c r="J12233" s="28">
        <v>0.35729966215917502</v>
      </c>
      <c r="K12233" s="29">
        <v>0.98289565623980701</v>
      </c>
    </row>
    <row r="12234" spans="1:11" x14ac:dyDescent="0.35">
      <c r="A12234" s="9" t="str">
        <f>HYPERLINK("http://www.ensembl.org/id/WBGene00199331", "WBGene00199331")</f>
        <v>WBGene00199331</v>
      </c>
      <c r="B12234" s="9"/>
      <c r="C12234" s="9"/>
      <c r="D12234" t="str">
        <f>"K12D12.9"</f>
        <v>K12D12.9</v>
      </c>
      <c r="F12234" t="s">
        <v>481</v>
      </c>
      <c r="H12234" s="12">
        <v>20.658980212134001</v>
      </c>
      <c r="I12234" s="20">
        <v>1.1693177896185201</v>
      </c>
      <c r="J12234" s="28">
        <v>0.24227561835236699</v>
      </c>
      <c r="K12234" s="29">
        <v>0.98289565623980701</v>
      </c>
    </row>
    <row r="12235" spans="1:11" x14ac:dyDescent="0.35">
      <c r="A12235" s="9" t="str">
        <f>HYPERLINK("http://www.ensembl.org/id/WBGene00019675", "WBGene00019675")</f>
        <v>WBGene00019675</v>
      </c>
      <c r="B12235" s="9" t="str">
        <f>HYPERLINK("http://www.ncbi.nlm.nih.gov/gene/187323", "187323")</f>
        <v>187323</v>
      </c>
      <c r="C12235" s="9"/>
      <c r="D12235" t="str">
        <f>"K12D9.1"</f>
        <v>K12D9.1</v>
      </c>
      <c r="F12235" t="s">
        <v>11</v>
      </c>
      <c r="H12235" s="12">
        <v>-2.3544457791943398</v>
      </c>
      <c r="I12235" s="20">
        <v>-0.64929135992457798</v>
      </c>
      <c r="J12235" s="28">
        <v>0.51615006932594998</v>
      </c>
      <c r="K12235" s="29">
        <v>0.98289565623980701</v>
      </c>
    </row>
    <row r="12236" spans="1:11" x14ac:dyDescent="0.35">
      <c r="A12236" s="9" t="str">
        <f>HYPERLINK("http://www.ensembl.org/id/WBGene00198264", "WBGene00198264")</f>
        <v>WBGene00198264</v>
      </c>
      <c r="B12236" s="9"/>
      <c r="C12236" s="9"/>
      <c r="D12236" t="str">
        <f>"K12F2.3"</f>
        <v>K12F2.3</v>
      </c>
      <c r="F12236" t="s">
        <v>481</v>
      </c>
      <c r="H12236" s="12">
        <v>2.3893468495514898</v>
      </c>
      <c r="I12236" s="20">
        <v>0.25323547253672701</v>
      </c>
      <c r="J12236" s="28">
        <v>0.80008625651646104</v>
      </c>
      <c r="K12236" s="29">
        <v>0.98289565623980701</v>
      </c>
    </row>
    <row r="12237" spans="1:11" x14ac:dyDescent="0.35">
      <c r="A12237" s="9" t="str">
        <f>HYPERLINK("http://www.ensembl.org/id/WBGene00199968", "WBGene00199968")</f>
        <v>WBGene00199968</v>
      </c>
      <c r="B12237" s="9"/>
      <c r="C12237" s="9"/>
      <c r="D12237" t="str">
        <f>"K12F2.4"</f>
        <v>K12F2.4</v>
      </c>
      <c r="F12237" t="s">
        <v>481</v>
      </c>
      <c r="H12237" s="12">
        <v>-2.4295389261469</v>
      </c>
      <c r="I12237" s="20">
        <v>-0.25808529976640998</v>
      </c>
      <c r="J12237" s="28">
        <v>0.79634107645457397</v>
      </c>
      <c r="K12237" s="29">
        <v>0.98289565623980701</v>
      </c>
    </row>
    <row r="12238" spans="1:11" x14ac:dyDescent="0.35">
      <c r="A12238" s="9" t="str">
        <f>HYPERLINK("http://www.ensembl.org/id/WBGene00201995", "WBGene00201995")</f>
        <v>WBGene00201995</v>
      </c>
      <c r="B12238" s="9"/>
      <c r="C12238" s="9"/>
      <c r="D12238" t="str">
        <f>"K12G11.13"</f>
        <v>K12G11.13</v>
      </c>
      <c r="F12238" t="s">
        <v>481</v>
      </c>
      <c r="H12238" s="12">
        <v>-3.7261494131482999</v>
      </c>
      <c r="I12238" s="20">
        <v>-0.38454673129429601</v>
      </c>
      <c r="J12238" s="28">
        <v>0.70057326682554</v>
      </c>
      <c r="K12238" s="29">
        <v>0.98289565623980701</v>
      </c>
    </row>
    <row r="12239" spans="1:11" x14ac:dyDescent="0.35">
      <c r="A12239" s="9" t="str">
        <f>HYPERLINK("http://www.ensembl.org/id/WBGene00010792", "WBGene00010792")</f>
        <v>WBGene00010792</v>
      </c>
      <c r="B12239" s="9" t="str">
        <f>HYPERLINK("http://www.ncbi.nlm.nih.gov/gene/3565780", "3565780")</f>
        <v>3565780</v>
      </c>
      <c r="C12239" s="9"/>
      <c r="D12239" t="str">
        <f>"K12G11.6"</f>
        <v>K12G11.6</v>
      </c>
      <c r="F12239" t="s">
        <v>11</v>
      </c>
      <c r="G12239" t="s">
        <v>50</v>
      </c>
      <c r="H12239" s="12">
        <v>1.62966324627781</v>
      </c>
      <c r="I12239" s="20">
        <v>0.90621619705883005</v>
      </c>
      <c r="J12239" s="28">
        <v>0.36482143162603498</v>
      </c>
      <c r="K12239" s="29">
        <v>0.98289565623980701</v>
      </c>
    </row>
    <row r="12240" spans="1:11" x14ac:dyDescent="0.35">
      <c r="A12240" s="9" t="str">
        <f>HYPERLINK("http://www.ensembl.org/id/WBGene00196213", "WBGene00196213")</f>
        <v>WBGene00196213</v>
      </c>
      <c r="B12240" s="9"/>
      <c r="C12240" s="9"/>
      <c r="D12240" t="str">
        <f>"K12G11.7"</f>
        <v>K12G11.7</v>
      </c>
      <c r="F12240" t="s">
        <v>481</v>
      </c>
      <c r="H12240" s="12">
        <v>-3.7261494131482999</v>
      </c>
      <c r="I12240" s="20">
        <v>-0.38454673129429601</v>
      </c>
      <c r="J12240" s="28">
        <v>0.70057326682554</v>
      </c>
      <c r="K12240" s="29">
        <v>0.98289565623980701</v>
      </c>
    </row>
    <row r="12241" spans="1:11" x14ac:dyDescent="0.35">
      <c r="A12241" s="9" t="str">
        <f>HYPERLINK("http://www.ensembl.org/id/WBGene00019691", "WBGene00019691")</f>
        <v>WBGene00019691</v>
      </c>
      <c r="B12241" s="9" t="str">
        <f>HYPERLINK("http://www.ncbi.nlm.nih.gov/gene/187348", "187348")</f>
        <v>187348</v>
      </c>
      <c r="C12241" s="9"/>
      <c r="D12241" t="str">
        <f>"K12H6.12"</f>
        <v>K12H6.12</v>
      </c>
      <c r="F12241" t="s">
        <v>11</v>
      </c>
      <c r="H12241" s="12">
        <v>1.12839844860334</v>
      </c>
      <c r="I12241" s="20">
        <v>0.38441099818821001</v>
      </c>
      <c r="J12241" s="28">
        <v>0.70067385021711304</v>
      </c>
      <c r="K12241" s="29">
        <v>0.98289565623980701</v>
      </c>
    </row>
    <row r="12242" spans="1:11" x14ac:dyDescent="0.35">
      <c r="A12242" s="9" t="str">
        <f>HYPERLINK("http://www.ensembl.org/id/WBGene00019684", "WBGene00019684")</f>
        <v>WBGene00019684</v>
      </c>
      <c r="B12242" s="9" t="str">
        <f>HYPERLINK("http://www.ncbi.nlm.nih.gov/gene/187343", "187343")</f>
        <v>187343</v>
      </c>
      <c r="C12242" s="9"/>
      <c r="D12242" t="str">
        <f>"K12H6.4"</f>
        <v>K12H6.4</v>
      </c>
      <c r="F12242" t="s">
        <v>11</v>
      </c>
      <c r="H12242" s="12">
        <v>-10.994907597368501</v>
      </c>
      <c r="I12242" s="20">
        <v>-0.714795004154681</v>
      </c>
      <c r="J12242" s="28">
        <v>0.47473572263588099</v>
      </c>
      <c r="K12242" s="29">
        <v>0.98289565623980701</v>
      </c>
    </row>
    <row r="12243" spans="1:11" x14ac:dyDescent="0.35">
      <c r="A12243" s="9" t="str">
        <f>HYPERLINK("http://www.ensembl.org/id/WBGene00019687", "WBGene00019687")</f>
        <v>WBGene00019687</v>
      </c>
      <c r="B12243" s="9" t="str">
        <f>HYPERLINK("http://www.ncbi.nlm.nih.gov/gene/187345", "187345")</f>
        <v>187345</v>
      </c>
      <c r="C12243" s="9"/>
      <c r="D12243" t="str">
        <f>"K12H6.7"</f>
        <v>K12H6.7</v>
      </c>
      <c r="F12243" t="s">
        <v>11</v>
      </c>
      <c r="H12243" s="12">
        <v>-1.1400187495024201</v>
      </c>
      <c r="I12243" s="20">
        <v>-0.31058611200882202</v>
      </c>
      <c r="J12243" s="28">
        <v>0.75611528640546399</v>
      </c>
      <c r="K12243" s="29">
        <v>0.98289565623980701</v>
      </c>
    </row>
    <row r="12244" spans="1:11" x14ac:dyDescent="0.35">
      <c r="A12244" s="9" t="str">
        <f>HYPERLINK("http://www.ensembl.org/id/WBGene00019689", "WBGene00019689")</f>
        <v>WBGene00019689</v>
      </c>
      <c r="B12244" s="9" t="str">
        <f>HYPERLINK("http://www.ncbi.nlm.nih.gov/gene/173627", "173627")</f>
        <v>173627</v>
      </c>
      <c r="C12244" s="9"/>
      <c r="D12244" t="str">
        <f>"K12H6.9"</f>
        <v>K12H6.9</v>
      </c>
      <c r="F12244" t="s">
        <v>11</v>
      </c>
      <c r="H12244" s="12">
        <v>-2.31573505537866</v>
      </c>
      <c r="I12244" s="20">
        <v>-0.697086136543006</v>
      </c>
      <c r="J12244" s="28">
        <v>0.48574888963735602</v>
      </c>
      <c r="K12244" s="29">
        <v>0.98289565623980701</v>
      </c>
    </row>
    <row r="12245" spans="1:11" x14ac:dyDescent="0.35">
      <c r="A12245" s="9" t="str">
        <f>HYPERLINK("http://www.ensembl.org/id/WBGene00002181", "WBGene00002181")</f>
        <v>WBGene00002181</v>
      </c>
      <c r="B12245" s="9" t="str">
        <f>HYPERLINK("http://www.ncbi.nlm.nih.gov/gene/173282", "173282")</f>
        <v>173282</v>
      </c>
      <c r="C12245" s="9" t="str">
        <f>HYPERLINK("http://www.ncbi.nlm.nih.gov/gene/3730", "3730")</f>
        <v>3730</v>
      </c>
      <c r="D12245" t="str">
        <f>"kal-1"</f>
        <v>kal-1</v>
      </c>
      <c r="E12245" t="s">
        <v>5529</v>
      </c>
      <c r="F12245" t="s">
        <v>11</v>
      </c>
      <c r="G12245" t="s">
        <v>5530</v>
      </c>
      <c r="H12245" s="12">
        <v>1.1498210252432799</v>
      </c>
      <c r="I12245" s="20">
        <v>0.62450802820352702</v>
      </c>
      <c r="J12245" s="28">
        <v>0.53229399961370205</v>
      </c>
      <c r="K12245" s="29">
        <v>0.98289565623980701</v>
      </c>
    </row>
    <row r="12246" spans="1:11" x14ac:dyDescent="0.35">
      <c r="A12246" s="9" t="str">
        <f>HYPERLINK("http://www.ensembl.org/id/WBGene00002182", "WBGene00002182")</f>
        <v>WBGene00002182</v>
      </c>
      <c r="B12246" s="9" t="str">
        <f>HYPERLINK("http://www.ncbi.nlm.nih.gov/gene/176041", "176041")</f>
        <v>176041</v>
      </c>
      <c r="C12246" s="9" t="str">
        <f>HYPERLINK("http://www.ncbi.nlm.nih.gov/gene/22920", "22920")</f>
        <v>22920</v>
      </c>
      <c r="D12246" t="str">
        <f>"kap-1"</f>
        <v>kap-1</v>
      </c>
      <c r="E12246" t="s">
        <v>5460</v>
      </c>
      <c r="F12246" t="s">
        <v>11</v>
      </c>
      <c r="G12246" t="s">
        <v>5461</v>
      </c>
      <c r="H12246" s="12">
        <v>1.1618140636051599</v>
      </c>
      <c r="I12246" s="20">
        <v>0.58698519082659495</v>
      </c>
      <c r="J12246" s="28">
        <v>0.55721365276388102</v>
      </c>
      <c r="K12246" s="29">
        <v>0.98289565623980701</v>
      </c>
    </row>
    <row r="12247" spans="1:11" x14ac:dyDescent="0.35">
      <c r="A12247" s="9" t="str">
        <f>HYPERLINK("http://www.ensembl.org/id/WBGene00002183", "WBGene00002183")</f>
        <v>WBGene00002183</v>
      </c>
      <c r="B12247" s="9" t="str">
        <f>HYPERLINK("http://www.ncbi.nlm.nih.gov/gene/174161", "174161")</f>
        <v>174161</v>
      </c>
      <c r="C12247" s="9" t="str">
        <f>HYPERLINK("http://www.ncbi.nlm.nih.gov/gene/38", "38")</f>
        <v>38</v>
      </c>
      <c r="D12247" t="str">
        <f>"kat-1"</f>
        <v>kat-1</v>
      </c>
      <c r="E12247" t="s">
        <v>5285</v>
      </c>
      <c r="F12247" t="s">
        <v>11</v>
      </c>
      <c r="G12247" t="s">
        <v>5286</v>
      </c>
      <c r="H12247" s="12">
        <v>1.19524682222124</v>
      </c>
      <c r="I12247" s="20">
        <v>0.92491589562225796</v>
      </c>
      <c r="J12247" s="28">
        <v>0.35500965753621899</v>
      </c>
      <c r="K12247" s="29">
        <v>0.98289565623980701</v>
      </c>
    </row>
    <row r="12248" spans="1:11" x14ac:dyDescent="0.35">
      <c r="A12248" s="9" t="str">
        <f>HYPERLINK("http://www.ensembl.org/id/WBGene00020064", "WBGene00020064")</f>
        <v>WBGene00020064</v>
      </c>
      <c r="B12248" s="9" t="str">
        <f>HYPERLINK("http://www.ncbi.nlm.nih.gov/gene/24104812", "24104812")</f>
        <v>24104812</v>
      </c>
      <c r="C12248" s="9"/>
      <c r="D12248" t="str">
        <f>"kbp-1"</f>
        <v>kbp-1</v>
      </c>
      <c r="E12248" t="s">
        <v>3220</v>
      </c>
      <c r="F12248" t="s">
        <v>11</v>
      </c>
      <c r="G12248" t="s">
        <v>9219</v>
      </c>
      <c r="H12248" s="12">
        <v>-1.22889525995669</v>
      </c>
      <c r="I12248" s="20">
        <v>-0.79635182564128104</v>
      </c>
      <c r="J12248" s="28">
        <v>0.42582757050499798</v>
      </c>
      <c r="K12248" s="29">
        <v>0.98289565623980701</v>
      </c>
    </row>
    <row r="12249" spans="1:11" x14ac:dyDescent="0.35">
      <c r="A12249" s="9" t="str">
        <f>HYPERLINK("http://www.ensembl.org/id/WBGene00017832", "WBGene00017832")</f>
        <v>WBGene00017832</v>
      </c>
      <c r="B12249" s="9" t="str">
        <f>HYPERLINK("http://www.ncbi.nlm.nih.gov/gene/266885", "266885")</f>
        <v>266885</v>
      </c>
      <c r="C12249" s="9"/>
      <c r="D12249" t="str">
        <f>"kbp-2"</f>
        <v>kbp-2</v>
      </c>
      <c r="E12249" t="s">
        <v>3220</v>
      </c>
      <c r="F12249" t="s">
        <v>11</v>
      </c>
      <c r="G12249" t="s">
        <v>8137</v>
      </c>
      <c r="H12249" s="12">
        <v>-1.16203580873811</v>
      </c>
      <c r="I12249" s="20">
        <v>-0.56189936159616505</v>
      </c>
      <c r="J12249" s="28">
        <v>0.57418458868018396</v>
      </c>
      <c r="K12249" s="29">
        <v>0.98289565623980701</v>
      </c>
    </row>
    <row r="12250" spans="1:11" x14ac:dyDescent="0.35">
      <c r="A12250" s="9" t="str">
        <f>HYPERLINK("http://www.ensembl.org/id/WBGene00009179", "WBGene00009179")</f>
        <v>WBGene00009179</v>
      </c>
      <c r="B12250" s="9" t="str">
        <f>HYPERLINK("http://www.ncbi.nlm.nih.gov/gene/175097", "175097")</f>
        <v>175097</v>
      </c>
      <c r="C12250" s="9"/>
      <c r="D12250" t="str">
        <f>"kbp-3"</f>
        <v>kbp-3</v>
      </c>
      <c r="E12250" t="s">
        <v>9773</v>
      </c>
      <c r="F12250" t="s">
        <v>11</v>
      </c>
      <c r="H12250" s="12">
        <v>-1.2992418915388</v>
      </c>
      <c r="I12250" s="20">
        <v>-1.04728451509508</v>
      </c>
      <c r="J12250" s="28">
        <v>0.294968375747103</v>
      </c>
      <c r="K12250" s="29">
        <v>0.98289565623980701</v>
      </c>
    </row>
    <row r="12251" spans="1:11" x14ac:dyDescent="0.35">
      <c r="A12251" s="9" t="str">
        <f>HYPERLINK("http://www.ensembl.org/id/WBGene00016387", "WBGene00016387")</f>
        <v>WBGene00016387</v>
      </c>
      <c r="B12251" s="9" t="str">
        <f>HYPERLINK("http://www.ncbi.nlm.nih.gov/gene/172970", "172970")</f>
        <v>172970</v>
      </c>
      <c r="C12251" s="9"/>
      <c r="D12251" t="str">
        <f>"kbp-5"</f>
        <v>kbp-5</v>
      </c>
      <c r="E12251" t="s">
        <v>3220</v>
      </c>
      <c r="F12251" t="s">
        <v>11</v>
      </c>
      <c r="G12251" t="s">
        <v>9829</v>
      </c>
      <c r="H12251" s="12">
        <v>-1.3159735031133699</v>
      </c>
      <c r="I12251" s="20">
        <v>-1.0988901562557101</v>
      </c>
      <c r="J12251" s="28">
        <v>0.27181598083938902</v>
      </c>
      <c r="K12251" s="29">
        <v>0.98289565623980701</v>
      </c>
    </row>
    <row r="12252" spans="1:11" x14ac:dyDescent="0.35">
      <c r="A12252" s="9" t="str">
        <f>HYPERLINK("http://www.ensembl.org/id/WBGene00009919", "WBGene00009919")</f>
        <v>WBGene00009919</v>
      </c>
      <c r="B12252" s="9" t="str">
        <f>HYPERLINK("http://www.ncbi.nlm.nih.gov/gene/172487", "172487")</f>
        <v>172487</v>
      </c>
      <c r="C12252" s="9" t="str">
        <f>HYPERLINK("http://www.ncbi.nlm.nih.gov/gene/28512", "28512")</f>
        <v>28512</v>
      </c>
      <c r="D12252" t="str">
        <f>"kbrl-1"</f>
        <v>kbrl-1</v>
      </c>
      <c r="E12252" t="s">
        <v>9286</v>
      </c>
      <c r="F12252" t="s">
        <v>11</v>
      </c>
      <c r="G12252" t="s">
        <v>9287</v>
      </c>
      <c r="H12252" s="12">
        <v>-1.2345240178899399</v>
      </c>
      <c r="I12252" s="20">
        <v>-1.1113370903742601</v>
      </c>
      <c r="J12252" s="28">
        <v>0.26642327994743997</v>
      </c>
      <c r="K12252" s="29">
        <v>0.98289565623980701</v>
      </c>
    </row>
    <row r="12253" spans="1:11" x14ac:dyDescent="0.35">
      <c r="A12253" s="9" t="str">
        <f>HYPERLINK("http://www.ensembl.org/id/WBGene00006504", "WBGene00006504")</f>
        <v>WBGene00006504</v>
      </c>
      <c r="B12253" s="9" t="str">
        <f>HYPERLINK("http://www.ncbi.nlm.nih.gov/gene/177495", "177495")</f>
        <v>177495</v>
      </c>
      <c r="C12253" s="9"/>
      <c r="D12253" t="str">
        <f>"kcc-1"</f>
        <v>kcc-1</v>
      </c>
      <c r="E12253" t="s">
        <v>5837</v>
      </c>
      <c r="F12253" t="s">
        <v>11</v>
      </c>
      <c r="G12253" t="s">
        <v>8552</v>
      </c>
      <c r="H12253" s="12">
        <v>-1.18305503562806</v>
      </c>
      <c r="I12253" s="20">
        <v>-0.88981500585284501</v>
      </c>
      <c r="J12253" s="28">
        <v>0.37356522774755002</v>
      </c>
      <c r="K12253" s="29">
        <v>0.98289565623980701</v>
      </c>
    </row>
    <row r="12254" spans="1:11" x14ac:dyDescent="0.35">
      <c r="A12254" s="9" t="str">
        <f>HYPERLINK("http://www.ensembl.org/id/WBGene00019205", "WBGene00019205")</f>
        <v>WBGene00019205</v>
      </c>
      <c r="B12254" s="9" t="str">
        <f>HYPERLINK("http://www.ncbi.nlm.nih.gov/gene/177370", "177370")</f>
        <v>177370</v>
      </c>
      <c r="C12254" s="9" t="str">
        <f>HYPERLINK("http://www.ncbi.nlm.nih.gov/gene/6560", "6560")</f>
        <v>6560</v>
      </c>
      <c r="D12254" t="str">
        <f>"kcc-2"</f>
        <v>kcc-2</v>
      </c>
      <c r="E12254" t="s">
        <v>5837</v>
      </c>
      <c r="F12254" t="s">
        <v>11</v>
      </c>
      <c r="G12254" t="s">
        <v>5838</v>
      </c>
      <c r="H12254" s="12">
        <v>1.0949480359541599</v>
      </c>
      <c r="I12254" s="20">
        <v>0.49481947615470401</v>
      </c>
      <c r="J12254" s="28">
        <v>0.62072755516071898</v>
      </c>
      <c r="K12254" s="29">
        <v>0.98289565623980701</v>
      </c>
    </row>
    <row r="12255" spans="1:11" x14ac:dyDescent="0.35">
      <c r="A12255" s="9" t="str">
        <f>HYPERLINK("http://www.ensembl.org/id/WBGene00002184", "WBGene00002184")</f>
        <v>WBGene00002184</v>
      </c>
      <c r="B12255" s="9" t="str">
        <f>HYPERLINK("http://www.ncbi.nlm.nih.gov/gene/174791", "174791")</f>
        <v>174791</v>
      </c>
      <c r="C12255" s="9" t="str">
        <f>HYPERLINK("http://www.ncbi.nlm.nih.gov/gene/26249", "26249")</f>
        <v>26249</v>
      </c>
      <c r="D12255" t="str">
        <f>"kel-1"</f>
        <v>kel-1</v>
      </c>
      <c r="E12255" t="s">
        <v>7090</v>
      </c>
      <c r="F12255" t="s">
        <v>11</v>
      </c>
      <c r="G12255" t="s">
        <v>54</v>
      </c>
      <c r="H12255" s="12">
        <v>-1.1065185330335301</v>
      </c>
      <c r="I12255" s="20">
        <v>-0.44156181824957402</v>
      </c>
      <c r="J12255" s="28">
        <v>0.65880631862817596</v>
      </c>
      <c r="K12255" s="29">
        <v>0.98289565623980701</v>
      </c>
    </row>
    <row r="12256" spans="1:11" x14ac:dyDescent="0.35">
      <c r="A12256" s="9" t="str">
        <f>HYPERLINK("http://www.ensembl.org/id/WBGene00020030", "WBGene00020030")</f>
        <v>WBGene00020030</v>
      </c>
      <c r="B12256" s="9" t="str">
        <f>HYPERLINK("http://www.ncbi.nlm.nih.gov/gene/172012", "172012")</f>
        <v>172012</v>
      </c>
      <c r="C12256" s="9" t="str">
        <f>HYPERLINK("http://www.ncbi.nlm.nih.gov/gene/27252", "27252")</f>
        <v>27252</v>
      </c>
      <c r="D12256" t="str">
        <f>"kel-20"</f>
        <v>kel-20</v>
      </c>
      <c r="E12256" t="s">
        <v>7431</v>
      </c>
      <c r="F12256" t="s">
        <v>11</v>
      </c>
      <c r="G12256" t="s">
        <v>54</v>
      </c>
      <c r="H12256" s="12">
        <v>-1.1251357183527999</v>
      </c>
      <c r="I12256" s="20">
        <v>-0.61411504450698895</v>
      </c>
      <c r="J12256" s="28">
        <v>0.53913930736217897</v>
      </c>
      <c r="K12256" s="29">
        <v>0.98289565623980701</v>
      </c>
    </row>
    <row r="12257" spans="1:11" x14ac:dyDescent="0.35">
      <c r="A12257" s="9" t="str">
        <f>HYPERLINK("http://www.ensembl.org/id/WBGene00002185", "WBGene00002185")</f>
        <v>WBGene00002185</v>
      </c>
      <c r="B12257" s="9" t="str">
        <f>HYPERLINK("http://www.ncbi.nlm.nih.gov/gene/176775", "176775")</f>
        <v>176775</v>
      </c>
      <c r="C12257" s="9" t="str">
        <f>HYPERLINK("http://www.ncbi.nlm.nih.gov/gene/23276", "23276")</f>
        <v>23276</v>
      </c>
      <c r="D12257" t="str">
        <f>"kel-3"</f>
        <v>kel-3</v>
      </c>
      <c r="E12257" t="s">
        <v>7431</v>
      </c>
      <c r="F12257" t="s">
        <v>11</v>
      </c>
      <c r="G12257" t="s">
        <v>54</v>
      </c>
      <c r="H12257" s="12">
        <v>-1.1341419555560499</v>
      </c>
      <c r="I12257" s="20">
        <v>-0.64846356867039101</v>
      </c>
      <c r="J12257" s="28">
        <v>0.51668516665998299</v>
      </c>
      <c r="K12257" s="29">
        <v>0.98289565623980701</v>
      </c>
    </row>
    <row r="12258" spans="1:11" x14ac:dyDescent="0.35">
      <c r="A12258" s="9" t="str">
        <f>HYPERLINK("http://www.ensembl.org/id/WBGene00020952", "WBGene00020952")</f>
        <v>WBGene00020952</v>
      </c>
      <c r="B12258" s="9" t="str">
        <f>HYPERLINK("http://www.ncbi.nlm.nih.gov/gene/3565011", "3565011")</f>
        <v>3565011</v>
      </c>
      <c r="C12258" s="9" t="str">
        <f>HYPERLINK("http://www.ncbi.nlm.nih.gov/gene/57563", "57563")</f>
        <v>57563</v>
      </c>
      <c r="D12258" t="str">
        <f>"kel-8"</f>
        <v>kel-8</v>
      </c>
      <c r="E12258" t="s">
        <v>9511</v>
      </c>
      <c r="F12258" t="s">
        <v>11</v>
      </c>
      <c r="G12258" t="s">
        <v>9512</v>
      </c>
      <c r="H12258" s="12">
        <v>-1.2536060698763001</v>
      </c>
      <c r="I12258" s="20">
        <v>-1.1528632532513901</v>
      </c>
      <c r="J12258" s="28">
        <v>0.248966516927703</v>
      </c>
      <c r="K12258" s="29">
        <v>0.98289565623980701</v>
      </c>
    </row>
    <row r="12259" spans="1:11" x14ac:dyDescent="0.35">
      <c r="A12259" s="9" t="str">
        <f>HYPERLINK("http://www.ensembl.org/id/WBGene00002187", "WBGene00002187")</f>
        <v>WBGene00002187</v>
      </c>
      <c r="B12259" s="9" t="str">
        <f>HYPERLINK("http://www.ncbi.nlm.nih.gov/gene/176866", "176866")</f>
        <v>176866</v>
      </c>
      <c r="C12259" s="9"/>
      <c r="D12259" t="str">
        <f>"kgb-1"</f>
        <v>kgb-1</v>
      </c>
      <c r="E12259" t="s">
        <v>6912</v>
      </c>
      <c r="F12259" t="s">
        <v>11</v>
      </c>
      <c r="G12259" t="s">
        <v>2583</v>
      </c>
      <c r="H12259" s="12">
        <v>-1.09679224032066</v>
      </c>
      <c r="I12259" s="20">
        <v>-0.49398706060800401</v>
      </c>
      <c r="J12259" s="28">
        <v>0.62131531774665605</v>
      </c>
      <c r="K12259" s="29">
        <v>0.98289565623980701</v>
      </c>
    </row>
    <row r="12260" spans="1:11" x14ac:dyDescent="0.35">
      <c r="A12260" s="9" t="str">
        <f>HYPERLINK("http://www.ensembl.org/id/WBGene00002196", "WBGene00002196")</f>
        <v>WBGene00002196</v>
      </c>
      <c r="B12260" s="9" t="str">
        <f>HYPERLINK("http://www.ncbi.nlm.nih.gov/gene/172610", "172610")</f>
        <v>172610</v>
      </c>
      <c r="C12260" s="9" t="str">
        <f>HYPERLINK("http://www.ncbi.nlm.nih.gov/gene/1460", "1460")</f>
        <v>1460</v>
      </c>
      <c r="D12260" t="str">
        <f>"kin-10"</f>
        <v>kin-10</v>
      </c>
      <c r="E12260" t="s">
        <v>7809</v>
      </c>
      <c r="F12260" t="s">
        <v>11</v>
      </c>
      <c r="G12260" t="s">
        <v>7810</v>
      </c>
      <c r="H12260" s="12">
        <v>-1.14609751589697</v>
      </c>
      <c r="I12260" s="20">
        <v>-0.75535767085192795</v>
      </c>
      <c r="J12260" s="28">
        <v>0.45003440401489803</v>
      </c>
      <c r="K12260" s="29">
        <v>0.98289565623980701</v>
      </c>
    </row>
    <row r="12261" spans="1:11" x14ac:dyDescent="0.35">
      <c r="A12261" s="9" t="str">
        <f>HYPERLINK("http://www.ensembl.org/id/WBGene00002198", "WBGene00002198")</f>
        <v>WBGene00002198</v>
      </c>
      <c r="B12261" s="9" t="str">
        <f>HYPERLINK("http://www.ncbi.nlm.nih.gov/gene/172440", "172440")</f>
        <v>172440</v>
      </c>
      <c r="C12261" s="9" t="str">
        <f>HYPERLINK("http://www.ncbi.nlm.nih.gov/gene/2241", "2241")</f>
        <v>2241</v>
      </c>
      <c r="D12261" t="str">
        <f>"kin-14"</f>
        <v>kin-14</v>
      </c>
      <c r="E12261" t="s">
        <v>2588</v>
      </c>
      <c r="F12261" t="s">
        <v>11</v>
      </c>
      <c r="G12261" t="s">
        <v>2589</v>
      </c>
      <c r="H12261" s="12">
        <v>-1.20004564933277</v>
      </c>
      <c r="I12261" s="20">
        <v>-0.80600697473710403</v>
      </c>
      <c r="J12261" s="28">
        <v>0.42023882748951402</v>
      </c>
      <c r="K12261" s="29">
        <v>0.98289565623980701</v>
      </c>
    </row>
    <row r="12262" spans="1:11" x14ac:dyDescent="0.35">
      <c r="A12262" s="9" t="str">
        <f>HYPERLINK("http://www.ensembl.org/id/WBGene00002200", "WBGene00002200")</f>
        <v>WBGene00002200</v>
      </c>
      <c r="B12262" s="9" t="str">
        <f>HYPERLINK("http://www.ncbi.nlm.nih.gov/gene/174499", "174499")</f>
        <v>174499</v>
      </c>
      <c r="C12262" s="9"/>
      <c r="D12262" t="str">
        <f>"kin-16"</f>
        <v>kin-16</v>
      </c>
      <c r="E12262" t="s">
        <v>4846</v>
      </c>
      <c r="F12262" t="s">
        <v>11</v>
      </c>
      <c r="G12262" t="s">
        <v>859</v>
      </c>
      <c r="H12262" s="12">
        <v>1.33623872801596</v>
      </c>
      <c r="I12262" s="20">
        <v>0.551826769355512</v>
      </c>
      <c r="J12262" s="28">
        <v>0.58106704485054494</v>
      </c>
      <c r="K12262" s="29">
        <v>0.98289565623980701</v>
      </c>
    </row>
    <row r="12263" spans="1:11" x14ac:dyDescent="0.35">
      <c r="A12263" s="9" t="str">
        <f>HYPERLINK("http://www.ensembl.org/id/WBGene00002202", "WBGene00002202")</f>
        <v>WBGene00002202</v>
      </c>
      <c r="B12263" s="9" t="str">
        <f>HYPERLINK("http://www.ncbi.nlm.nih.gov/gene/175524", "175524")</f>
        <v>175524</v>
      </c>
      <c r="C12263" s="9" t="str">
        <f>HYPERLINK("http://www.ncbi.nlm.nih.gov/gene/122011", "122011")</f>
        <v>122011</v>
      </c>
      <c r="D12263" t="str">
        <f>"kin-19"</f>
        <v>kin-19</v>
      </c>
      <c r="E12263" t="s">
        <v>7844</v>
      </c>
      <c r="F12263" t="s">
        <v>11</v>
      </c>
      <c r="G12263" t="s">
        <v>444</v>
      </c>
      <c r="H12263" s="12">
        <v>-1.14790741692174</v>
      </c>
      <c r="I12263" s="20">
        <v>-0.77691212954702904</v>
      </c>
      <c r="J12263" s="28">
        <v>0.43721061446943399</v>
      </c>
      <c r="K12263" s="29">
        <v>0.98289565623980701</v>
      </c>
    </row>
    <row r="12264" spans="1:11" x14ac:dyDescent="0.35">
      <c r="A12264" s="9" t="str">
        <f>HYPERLINK("http://www.ensembl.org/id/WBGene00002190", "WBGene00002190")</f>
        <v>WBGene00002190</v>
      </c>
      <c r="B12264" s="9" t="str">
        <f>HYPERLINK("http://www.ncbi.nlm.nih.gov/gene/180864", "180864")</f>
        <v>180864</v>
      </c>
      <c r="C12264" s="9" t="str">
        <f>HYPERLINK("http://www.ncbi.nlm.nih.gov/gene/5575", "5575")</f>
        <v>5575</v>
      </c>
      <c r="D12264" t="str">
        <f>"kin-2"</f>
        <v>kin-2</v>
      </c>
      <c r="E12264" t="s">
        <v>7513</v>
      </c>
      <c r="F12264" t="s">
        <v>11</v>
      </c>
      <c r="G12264" t="s">
        <v>7514</v>
      </c>
      <c r="H12264" s="12">
        <v>-1.1302975319883</v>
      </c>
      <c r="I12264" s="20">
        <v>-0.66747450357671001</v>
      </c>
      <c r="J12264" s="28">
        <v>0.50446909032689202</v>
      </c>
      <c r="K12264" s="29">
        <v>0.98289565623980701</v>
      </c>
    </row>
    <row r="12265" spans="1:11" x14ac:dyDescent="0.35">
      <c r="A12265" s="9" t="str">
        <f>HYPERLINK("http://www.ensembl.org/id/WBGene00002204", "WBGene00002204")</f>
        <v>WBGene00002204</v>
      </c>
      <c r="B12265" s="9" t="str">
        <f>HYPERLINK("http://www.ncbi.nlm.nih.gov/gene/177826", "177826")</f>
        <v>177826</v>
      </c>
      <c r="C12265" s="9"/>
      <c r="D12265" t="str">
        <f>"kin-21"</f>
        <v>kin-21</v>
      </c>
      <c r="E12265" t="s">
        <v>2588</v>
      </c>
      <c r="F12265" t="s">
        <v>11</v>
      </c>
      <c r="G12265" t="s">
        <v>2589</v>
      </c>
      <c r="H12265" s="12">
        <v>6.3044386968115296</v>
      </c>
      <c r="I12265" s="20">
        <v>0.82755323009584703</v>
      </c>
      <c r="J12265" s="28">
        <v>0.40792356462048501</v>
      </c>
      <c r="K12265" s="29">
        <v>0.98289565623980701</v>
      </c>
    </row>
    <row r="12266" spans="1:11" x14ac:dyDescent="0.35">
      <c r="A12266" s="9" t="str">
        <f>HYPERLINK("http://www.ensembl.org/id/WBGene00002205", "WBGene00002205")</f>
        <v>WBGene00002205</v>
      </c>
      <c r="B12266" s="9" t="str">
        <f>HYPERLINK("http://www.ncbi.nlm.nih.gov/gene/173050", "173050")</f>
        <v>173050</v>
      </c>
      <c r="C12266" s="9"/>
      <c r="D12266" t="str">
        <f>"kin-23"</f>
        <v>kin-23</v>
      </c>
      <c r="F12266" t="s">
        <v>11</v>
      </c>
      <c r="G12266" t="s">
        <v>4200</v>
      </c>
      <c r="H12266" s="12">
        <v>18.9953913565923</v>
      </c>
      <c r="I12266" s="20">
        <v>1.08747390098948</v>
      </c>
      <c r="J12266" s="28">
        <v>0.27682742672302701</v>
      </c>
      <c r="K12266" s="29">
        <v>0.98289565623980701</v>
      </c>
    </row>
    <row r="12267" spans="1:11" x14ac:dyDescent="0.35">
      <c r="A12267" s="9" t="str">
        <f>HYPERLINK("http://www.ensembl.org/id/WBGene00002206", "WBGene00002206")</f>
        <v>WBGene00002206</v>
      </c>
      <c r="B12267" s="9" t="str">
        <f>HYPERLINK("http://www.ncbi.nlm.nih.gov/gene/177829", "177829")</f>
        <v>177829</v>
      </c>
      <c r="C12267" s="9"/>
      <c r="D12267" t="str">
        <f>"kin-24"</f>
        <v>kin-24</v>
      </c>
      <c r="E12267" t="s">
        <v>2588</v>
      </c>
      <c r="F12267" t="s">
        <v>11</v>
      </c>
      <c r="G12267" t="s">
        <v>2589</v>
      </c>
      <c r="H12267" s="12">
        <v>1.4096386165972301</v>
      </c>
      <c r="I12267" s="20">
        <v>0.25347819150615403</v>
      </c>
      <c r="J12267" s="28">
        <v>0.79989871165600601</v>
      </c>
      <c r="K12267" s="29">
        <v>0.98289565623980701</v>
      </c>
    </row>
    <row r="12268" spans="1:11" x14ac:dyDescent="0.35">
      <c r="A12268" s="9" t="str">
        <f>HYPERLINK("http://www.ensembl.org/id/WBGene00002191", "WBGene00002191")</f>
        <v>WBGene00002191</v>
      </c>
      <c r="B12268" s="9" t="str">
        <f>HYPERLINK("http://www.ncbi.nlm.nih.gov/gene/172978", "172978")</f>
        <v>172978</v>
      </c>
      <c r="C12268" s="9" t="str">
        <f>HYPERLINK("http://www.ncbi.nlm.nih.gov/gene/1457", "1457")</f>
        <v>1457</v>
      </c>
      <c r="D12268" t="str">
        <f>"kin-3"</f>
        <v>kin-3</v>
      </c>
      <c r="E12268" t="s">
        <v>8293</v>
      </c>
      <c r="F12268" t="s">
        <v>11</v>
      </c>
      <c r="G12268" t="s">
        <v>444</v>
      </c>
      <c r="H12268" s="12">
        <v>-1.1695998095731599</v>
      </c>
      <c r="I12268" s="20">
        <v>-0.845936192941527</v>
      </c>
      <c r="J12268" s="28">
        <v>0.39758834056304099</v>
      </c>
      <c r="K12268" s="29">
        <v>0.98289565623980701</v>
      </c>
    </row>
    <row r="12269" spans="1:11" x14ac:dyDescent="0.35">
      <c r="A12269" s="9" t="str">
        <f>HYPERLINK("http://www.ensembl.org/id/WBGene00002212", "WBGene00002212")</f>
        <v>WBGene00002212</v>
      </c>
      <c r="B12269" s="9"/>
      <c r="C12269" s="9"/>
      <c r="D12269" t="str">
        <f>"kin-31"</f>
        <v>kin-31</v>
      </c>
      <c r="F12269" t="s">
        <v>80</v>
      </c>
      <c r="H12269" s="12">
        <v>1.30952851036206</v>
      </c>
      <c r="I12269" s="20">
        <v>0.25611356291821002</v>
      </c>
      <c r="J12269" s="28">
        <v>0.79786314948339898</v>
      </c>
      <c r="K12269" s="29">
        <v>0.98289565623980701</v>
      </c>
    </row>
    <row r="12270" spans="1:11" x14ac:dyDescent="0.35">
      <c r="A12270" s="9" t="str">
        <f>HYPERLINK("http://www.ensembl.org/id/WBGene00002213", "WBGene00002213")</f>
        <v>WBGene00002213</v>
      </c>
      <c r="B12270" s="9" t="str">
        <f>HYPERLINK("http://www.ncbi.nlm.nih.gov/gene/172135", "172135")</f>
        <v>172135</v>
      </c>
      <c r="C12270" s="9" t="str">
        <f>HYPERLINK("http://www.ncbi.nlm.nih.gov/gene/5747", "5747")</f>
        <v>5747</v>
      </c>
      <c r="D12270" t="str">
        <f>"kin-32"</f>
        <v>kin-32</v>
      </c>
      <c r="E12270" t="s">
        <v>5396</v>
      </c>
      <c r="F12270" t="s">
        <v>11</v>
      </c>
      <c r="G12270" t="s">
        <v>5397</v>
      </c>
      <c r="H12270" s="12">
        <v>1.17410141521857</v>
      </c>
      <c r="I12270" s="20">
        <v>0.76942192961540901</v>
      </c>
      <c r="J12270" s="28">
        <v>0.44164287428169902</v>
      </c>
      <c r="K12270" s="29">
        <v>0.98289565623980701</v>
      </c>
    </row>
    <row r="12271" spans="1:11" x14ac:dyDescent="0.35">
      <c r="A12271" s="9" t="str">
        <f>HYPERLINK("http://www.ensembl.org/id/WBGene00002192", "WBGene00002192")</f>
        <v>WBGene00002192</v>
      </c>
      <c r="B12271" s="9" t="str">
        <f>HYPERLINK("http://www.ncbi.nlm.nih.gov/gene/178068", "178068")</f>
        <v>178068</v>
      </c>
      <c r="C12271" s="9"/>
      <c r="D12271" t="str">
        <f>"kin-4"</f>
        <v>kin-4</v>
      </c>
      <c r="E12271" t="s">
        <v>6612</v>
      </c>
      <c r="F12271" t="s">
        <v>11</v>
      </c>
      <c r="G12271" t="s">
        <v>6613</v>
      </c>
      <c r="H12271" s="12">
        <v>-1.0798644528978001</v>
      </c>
      <c r="I12271" s="20">
        <v>-0.41483833406419801</v>
      </c>
      <c r="J12271" s="28">
        <v>0.67826025495033204</v>
      </c>
      <c r="K12271" s="29">
        <v>0.98289565623980701</v>
      </c>
    </row>
    <row r="12272" spans="1:11" x14ac:dyDescent="0.35">
      <c r="A12272" s="9" t="str">
        <f>HYPERLINK("http://www.ensembl.org/id/WBGene00002193", "WBGene00002193")</f>
        <v>WBGene00002193</v>
      </c>
      <c r="B12272" s="9" t="str">
        <f>HYPERLINK("http://www.ncbi.nlm.nih.gov/gene/188489", "188489")</f>
        <v>188489</v>
      </c>
      <c r="C12272" s="9"/>
      <c r="D12272" t="str">
        <f>"kin-5"</f>
        <v>kin-5</v>
      </c>
      <c r="E12272" t="s">
        <v>2588</v>
      </c>
      <c r="F12272" t="s">
        <v>11</v>
      </c>
      <c r="G12272" t="s">
        <v>2589</v>
      </c>
      <c r="H12272" s="12">
        <v>-1.4521615616822601</v>
      </c>
      <c r="I12272" s="20">
        <v>-0.34380289898879202</v>
      </c>
      <c r="J12272" s="28">
        <v>0.73099451991101605</v>
      </c>
      <c r="K12272" s="29">
        <v>0.98289565623980701</v>
      </c>
    </row>
    <row r="12273" spans="1:11" x14ac:dyDescent="0.35">
      <c r="A12273" s="9" t="str">
        <f>HYPERLINK("http://www.ensembl.org/id/WBGene00002194", "WBGene00002194")</f>
        <v>WBGene00002194</v>
      </c>
      <c r="B12273" s="9" t="str">
        <f>HYPERLINK("http://www.ncbi.nlm.nih.gov/gene/174783", "174783")</f>
        <v>174783</v>
      </c>
      <c r="C12273" s="9"/>
      <c r="D12273" t="str">
        <f>"kin-6"</f>
        <v>kin-6</v>
      </c>
      <c r="E12273" t="s">
        <v>4519</v>
      </c>
      <c r="F12273" t="s">
        <v>11</v>
      </c>
      <c r="G12273" t="s">
        <v>859</v>
      </c>
      <c r="H12273" s="12">
        <v>1.7797527545636</v>
      </c>
      <c r="I12273" s="20">
        <v>0.97601788586397598</v>
      </c>
      <c r="J12273" s="28">
        <v>0.32905560100318798</v>
      </c>
      <c r="K12273" s="29">
        <v>0.98289565623980701</v>
      </c>
    </row>
    <row r="12274" spans="1:11" x14ac:dyDescent="0.35">
      <c r="A12274" s="9" t="str">
        <f>HYPERLINK("http://www.ensembl.org/id/WBGene00016202", "WBGene00016202")</f>
        <v>WBGene00016202</v>
      </c>
      <c r="B12274" s="9" t="str">
        <f>HYPERLINK("http://www.ncbi.nlm.nih.gov/gene/176116", "176116")</f>
        <v>176116</v>
      </c>
      <c r="C12274" s="9"/>
      <c r="D12274" t="str">
        <f>"kle-2"</f>
        <v>kle-2</v>
      </c>
      <c r="E12274" t="s">
        <v>7817</v>
      </c>
      <c r="F12274" t="s">
        <v>11</v>
      </c>
      <c r="G12274" t="s">
        <v>7818</v>
      </c>
      <c r="H12274" s="12">
        <v>-1.14633753415628</v>
      </c>
      <c r="I12274" s="20">
        <v>-0.62997525996137504</v>
      </c>
      <c r="J12274" s="28">
        <v>0.52871077092247198</v>
      </c>
      <c r="K12274" s="29">
        <v>0.98289565623980701</v>
      </c>
    </row>
    <row r="12275" spans="1:11" x14ac:dyDescent="0.35">
      <c r="A12275" s="9" t="str">
        <f>HYPERLINK("http://www.ensembl.org/id/WBGene00018990", "WBGene00018990")</f>
        <v>WBGene00018990</v>
      </c>
      <c r="B12275" s="9" t="str">
        <f>HYPERLINK("http://www.ncbi.nlm.nih.gov/gene/175404", "175404")</f>
        <v>175404</v>
      </c>
      <c r="C12275" s="9"/>
      <c r="D12275" t="str">
        <f>"klf-1"</f>
        <v>klf-1</v>
      </c>
      <c r="E12275" t="s">
        <v>2465</v>
      </c>
      <c r="F12275" t="s">
        <v>11</v>
      </c>
      <c r="G12275" t="s">
        <v>5502</v>
      </c>
      <c r="H12275" s="12">
        <v>1.15652116007451</v>
      </c>
      <c r="I12275" s="20">
        <v>0.73765788637818797</v>
      </c>
      <c r="J12275" s="28">
        <v>0.460722369626969</v>
      </c>
      <c r="K12275" s="29">
        <v>0.98289565623980701</v>
      </c>
    </row>
    <row r="12276" spans="1:11" x14ac:dyDescent="0.35">
      <c r="A12276" s="9" t="str">
        <f>HYPERLINK("http://www.ensembl.org/id/WBGene00009998", "WBGene00009998")</f>
        <v>WBGene00009998</v>
      </c>
      <c r="B12276" s="9" t="str">
        <f>HYPERLINK("http://www.ncbi.nlm.nih.gov/gene/186179", "186179")</f>
        <v>186179</v>
      </c>
      <c r="C12276" s="9"/>
      <c r="D12276" t="str">
        <f>"klf-2"</f>
        <v>klf-2</v>
      </c>
      <c r="E12276" t="s">
        <v>2465</v>
      </c>
      <c r="F12276" t="s">
        <v>11</v>
      </c>
      <c r="G12276" t="s">
        <v>4458</v>
      </c>
      <c r="H12276" s="12">
        <v>1.9763006930870699</v>
      </c>
      <c r="I12276" s="20">
        <v>0.93289984945341298</v>
      </c>
      <c r="J12276" s="28">
        <v>0.350871680120104</v>
      </c>
      <c r="K12276" s="29">
        <v>0.98289565623980701</v>
      </c>
    </row>
    <row r="12277" spans="1:11" x14ac:dyDescent="0.35">
      <c r="A12277" s="9" t="str">
        <f>HYPERLINK("http://www.ensembl.org/id/WBGene00016848", "WBGene00016848")</f>
        <v>WBGene00016848</v>
      </c>
      <c r="B12277" s="9" t="str">
        <f>HYPERLINK("http://www.ncbi.nlm.nih.gov/gene/177557", "177557")</f>
        <v>177557</v>
      </c>
      <c r="C12277" s="9"/>
      <c r="D12277" t="str">
        <f>"klo-1"</f>
        <v>klo-1</v>
      </c>
      <c r="E12277" t="s">
        <v>8462</v>
      </c>
      <c r="F12277" t="s">
        <v>11</v>
      </c>
      <c r="G12277" t="s">
        <v>8463</v>
      </c>
      <c r="H12277" s="12">
        <v>-1.28443426091685</v>
      </c>
      <c r="I12277" s="20">
        <v>-1.15701916749575</v>
      </c>
      <c r="J12277" s="28">
        <v>0.247264529358</v>
      </c>
      <c r="K12277" s="29">
        <v>0.98289565623980701</v>
      </c>
    </row>
    <row r="12278" spans="1:11" x14ac:dyDescent="0.35">
      <c r="A12278" s="9" t="str">
        <f>HYPERLINK("http://www.ensembl.org/id/WBGene00017103", "WBGene00017103")</f>
        <v>WBGene00017103</v>
      </c>
      <c r="B12278" s="9" t="str">
        <f>HYPERLINK("http://www.ncbi.nlm.nih.gov/gene/184000", "184000")</f>
        <v>184000</v>
      </c>
      <c r="C12278" s="9"/>
      <c r="D12278" t="str">
        <f>"klo-2"</f>
        <v>klo-2</v>
      </c>
      <c r="E12278" t="s">
        <v>8462</v>
      </c>
      <c r="F12278" t="s">
        <v>11</v>
      </c>
      <c r="G12278" t="s">
        <v>8463</v>
      </c>
      <c r="H12278" s="12">
        <v>-1.1791806022828999</v>
      </c>
      <c r="I12278" s="20">
        <v>-0.78316734962829004</v>
      </c>
      <c r="J12278" s="28">
        <v>0.433528845483033</v>
      </c>
      <c r="K12278" s="29">
        <v>0.98289565623980701</v>
      </c>
    </row>
    <row r="12279" spans="1:11" x14ac:dyDescent="0.35">
      <c r="A12279" s="9" t="str">
        <f>HYPERLINK("http://www.ensembl.org/id/WBGene00002221", "WBGene00002221")</f>
        <v>WBGene00002221</v>
      </c>
      <c r="B12279" s="9"/>
      <c r="C12279" s="9"/>
      <c r="D12279" t="str">
        <f>"klp-10"</f>
        <v>klp-10</v>
      </c>
      <c r="F12279" t="s">
        <v>80</v>
      </c>
      <c r="H12279" s="12">
        <v>-1.17754483844444</v>
      </c>
      <c r="I12279" s="20">
        <v>-0.57607561191027601</v>
      </c>
      <c r="J12279" s="28">
        <v>0.56456407504230799</v>
      </c>
      <c r="K12279" s="29">
        <v>0.98289565623980701</v>
      </c>
    </row>
    <row r="12280" spans="1:11" x14ac:dyDescent="0.35">
      <c r="A12280" s="9" t="str">
        <f>HYPERLINK("http://www.ensembl.org/id/WBGene00002222", "WBGene00002222")</f>
        <v>WBGene00002222</v>
      </c>
      <c r="B12280" s="9" t="str">
        <f>HYPERLINK("http://www.ncbi.nlm.nih.gov/gene/177685", "177685")</f>
        <v>177685</v>
      </c>
      <c r="C12280" s="9" t="str">
        <f>HYPERLINK("http://www.ncbi.nlm.nih.gov/gene/9371", "9371")</f>
        <v>9371</v>
      </c>
      <c r="D12280" t="str">
        <f>"klp-11"</f>
        <v>klp-11</v>
      </c>
      <c r="E12280" t="s">
        <v>469</v>
      </c>
      <c r="F12280" t="s">
        <v>11</v>
      </c>
      <c r="G12280" t="s">
        <v>5572</v>
      </c>
      <c r="H12280" s="12">
        <v>1.1442621003901401</v>
      </c>
      <c r="I12280" s="20">
        <v>0.61404938128200004</v>
      </c>
      <c r="J12280" s="28">
        <v>0.53918269606885905</v>
      </c>
      <c r="K12280" s="29">
        <v>0.98289565623980701</v>
      </c>
    </row>
    <row r="12281" spans="1:11" x14ac:dyDescent="0.35">
      <c r="A12281" s="9" t="str">
        <f>HYPERLINK("http://www.ensembl.org/id/WBGene00002230", "WBGene00002230")</f>
        <v>WBGene00002230</v>
      </c>
      <c r="B12281" s="9" t="str">
        <f>HYPERLINK("http://www.ncbi.nlm.nih.gov/gene/3565057", "3565057")</f>
        <v>3565057</v>
      </c>
      <c r="C12281" s="9" t="str">
        <f>HYPERLINK("http://www.ncbi.nlm.nih.gov/gene/11127", "11127")</f>
        <v>11127</v>
      </c>
      <c r="D12281" t="str">
        <f>"klp-20"</f>
        <v>klp-20</v>
      </c>
      <c r="E12281" t="s">
        <v>5526</v>
      </c>
      <c r="F12281" t="s">
        <v>11</v>
      </c>
      <c r="G12281" t="s">
        <v>4822</v>
      </c>
      <c r="H12281" s="12">
        <v>1.1503283215786799</v>
      </c>
      <c r="I12281" s="20">
        <v>0.65269226091769295</v>
      </c>
      <c r="J12281" s="28">
        <v>0.51395469274356498</v>
      </c>
      <c r="K12281" s="29">
        <v>0.98289565623980701</v>
      </c>
    </row>
    <row r="12282" spans="1:11" x14ac:dyDescent="0.35">
      <c r="A12282" s="9" t="str">
        <f>HYPERLINK("http://www.ensembl.org/id/WBGene00002216", "WBGene00002216")</f>
        <v>WBGene00002216</v>
      </c>
      <c r="B12282" s="9" t="str">
        <f>HYPERLINK("http://www.ncbi.nlm.nih.gov/gene/191697", "191697")</f>
        <v>191697</v>
      </c>
      <c r="C12282" s="9"/>
      <c r="D12282" t="str">
        <f>"klp-3"</f>
        <v>klp-3</v>
      </c>
      <c r="E12282" t="s">
        <v>5459</v>
      </c>
      <c r="F12282" t="s">
        <v>11</v>
      </c>
      <c r="G12282" t="s">
        <v>4822</v>
      </c>
      <c r="H12282" s="12">
        <v>1.1621089138087299</v>
      </c>
      <c r="I12282" s="20">
        <v>0.67434415552405302</v>
      </c>
      <c r="J12282" s="28">
        <v>0.50009253769505402</v>
      </c>
      <c r="K12282" s="29">
        <v>0.98289565623980701</v>
      </c>
    </row>
    <row r="12283" spans="1:11" x14ac:dyDescent="0.35">
      <c r="A12283" s="9" t="str">
        <f>HYPERLINK("http://www.ensembl.org/id/WBGene00002217", "WBGene00002217")</f>
        <v>WBGene00002217</v>
      </c>
      <c r="B12283" s="9" t="str">
        <f>HYPERLINK("http://www.ncbi.nlm.nih.gov/gene/180608", "180608")</f>
        <v>180608</v>
      </c>
      <c r="C12283" s="9" t="str">
        <f>HYPERLINK("http://www.ncbi.nlm.nih.gov/gene/63971", "63971")</f>
        <v>63971</v>
      </c>
      <c r="D12283" t="str">
        <f>"klp-4"</f>
        <v>klp-4</v>
      </c>
      <c r="E12283" t="s">
        <v>469</v>
      </c>
      <c r="F12283" t="s">
        <v>11</v>
      </c>
      <c r="G12283" t="s">
        <v>5215</v>
      </c>
      <c r="H12283" s="12">
        <v>1.2140280017724301</v>
      </c>
      <c r="I12283" s="20">
        <v>1.03911332526228</v>
      </c>
      <c r="J12283" s="28">
        <v>0.29875203437312298</v>
      </c>
      <c r="K12283" s="29">
        <v>0.98289565623980701</v>
      </c>
    </row>
    <row r="12284" spans="1:11" x14ac:dyDescent="0.35">
      <c r="A12284" s="9" t="str">
        <f>HYPERLINK("http://www.ensembl.org/id/WBGene00022592", "WBGene00022592")</f>
        <v>WBGene00022592</v>
      </c>
      <c r="B12284" s="9" t="str">
        <f>HYPERLINK("http://www.ncbi.nlm.nih.gov/gene/172339", "172339")</f>
        <v>172339</v>
      </c>
      <c r="C12284" s="9"/>
      <c r="D12284" t="str">
        <f>"klu-2"</f>
        <v>klu-2</v>
      </c>
      <c r="E12284" t="s">
        <v>1480</v>
      </c>
      <c r="F12284" t="s">
        <v>11</v>
      </c>
      <c r="G12284" t="s">
        <v>485</v>
      </c>
      <c r="H12284" s="12">
        <v>1.1244496235089001</v>
      </c>
      <c r="I12284" s="20">
        <v>0.53408185249458096</v>
      </c>
      <c r="J12284" s="28">
        <v>0.59328490470918305</v>
      </c>
      <c r="K12284" s="29">
        <v>0.98289565623980701</v>
      </c>
    </row>
    <row r="12285" spans="1:11" x14ac:dyDescent="0.35">
      <c r="A12285" s="9" t="str">
        <f>HYPERLINK("http://www.ensembl.org/id/WBGene00011089", "WBGene00011089")</f>
        <v>WBGene00011089</v>
      </c>
      <c r="B12285" s="9" t="str">
        <f>HYPERLINK("http://www.ncbi.nlm.nih.gov/gene/179657", "179657")</f>
        <v>179657</v>
      </c>
      <c r="C12285" s="9" t="str">
        <f>HYPERLINK("http://www.ncbi.nlm.nih.gov/gene/8564", "8564")</f>
        <v>8564</v>
      </c>
      <c r="D12285" t="str">
        <f>"kmo-1"</f>
        <v>kmo-1</v>
      </c>
      <c r="E12285" t="s">
        <v>7733</v>
      </c>
      <c r="F12285" t="s">
        <v>11</v>
      </c>
      <c r="G12285" t="s">
        <v>7734</v>
      </c>
      <c r="H12285" s="12">
        <v>-1.1418399368577301</v>
      </c>
      <c r="I12285" s="20">
        <v>-0.57224297333612295</v>
      </c>
      <c r="J12285" s="28">
        <v>0.56715737785137899</v>
      </c>
      <c r="K12285" s="29">
        <v>0.98289565623980701</v>
      </c>
    </row>
    <row r="12286" spans="1:11" x14ac:dyDescent="0.35">
      <c r="A12286" s="9" t="str">
        <f>HYPERLINK("http://www.ensembl.org/id/WBGene00002231", "WBGene00002231")</f>
        <v>WBGene00002231</v>
      </c>
      <c r="B12286" s="9" t="str">
        <f>HYPERLINK("http://www.ncbi.nlm.nih.gov/gene/176164", "176164")</f>
        <v>176164</v>
      </c>
      <c r="C12286" s="9"/>
      <c r="D12286" t="str">
        <f>"knl-1"</f>
        <v>knl-1</v>
      </c>
      <c r="E12286" t="s">
        <v>8174</v>
      </c>
      <c r="F12286" t="s">
        <v>11</v>
      </c>
      <c r="H12286" s="12">
        <v>-1.16381028755951</v>
      </c>
      <c r="I12286" s="20">
        <v>-0.62324237112777803</v>
      </c>
      <c r="J12286" s="28">
        <v>0.533125261730103</v>
      </c>
      <c r="K12286" s="29">
        <v>0.98289565623980701</v>
      </c>
    </row>
    <row r="12287" spans="1:11" x14ac:dyDescent="0.35">
      <c r="A12287" s="9" t="str">
        <f>HYPERLINK("http://www.ensembl.org/id/WBGene00019432", "WBGene00019432")</f>
        <v>WBGene00019432</v>
      </c>
      <c r="B12287" s="9" t="str">
        <f>HYPERLINK("http://www.ncbi.nlm.nih.gov/gene/172350", "172350")</f>
        <v>172350</v>
      </c>
      <c r="C12287" s="9"/>
      <c r="D12287" t="str">
        <f>"knl-2"</f>
        <v>knl-2</v>
      </c>
      <c r="E12287" t="s">
        <v>7364</v>
      </c>
      <c r="F12287" t="s">
        <v>11</v>
      </c>
      <c r="H12287" s="12">
        <v>-1.1217967620410401</v>
      </c>
      <c r="I12287" s="20">
        <v>-0.558756915473965</v>
      </c>
      <c r="J12287" s="28">
        <v>0.576327630155402</v>
      </c>
      <c r="K12287" s="29">
        <v>0.98289565623980701</v>
      </c>
    </row>
    <row r="12288" spans="1:11" x14ac:dyDescent="0.35">
      <c r="A12288" s="9" t="str">
        <f>HYPERLINK("http://www.ensembl.org/id/WBGene00020392", "WBGene00020392")</f>
        <v>WBGene00020392</v>
      </c>
      <c r="B12288" s="9" t="str">
        <f>HYPERLINK("http://www.ncbi.nlm.nih.gov/gene/178669", "178669")</f>
        <v>178669</v>
      </c>
      <c r="C12288" s="9"/>
      <c r="D12288" t="str">
        <f>"knl-3"</f>
        <v>knl-3</v>
      </c>
      <c r="E12288" t="s">
        <v>9711</v>
      </c>
      <c r="F12288" t="s">
        <v>11</v>
      </c>
      <c r="G12288" t="s">
        <v>9712</v>
      </c>
      <c r="H12288" s="12">
        <v>-1.28524412186545</v>
      </c>
      <c r="I12288" s="20">
        <v>-1.0325963386814501</v>
      </c>
      <c r="J12288" s="28">
        <v>0.30179284230846898</v>
      </c>
      <c r="K12288" s="29">
        <v>0.98289565623980701</v>
      </c>
    </row>
    <row r="12289" spans="1:11" x14ac:dyDescent="0.35">
      <c r="A12289" s="9" t="str">
        <f>HYPERLINK("http://www.ensembl.org/id/WBGene00002232", "WBGene00002232")</f>
        <v>WBGene00002232</v>
      </c>
      <c r="B12289" s="9" t="str">
        <f>HYPERLINK("http://www.ncbi.nlm.nih.gov/gene/173051", "173051")</f>
        <v>173051</v>
      </c>
      <c r="C12289" s="9" t="str">
        <f>HYPERLINK("http://www.ncbi.nlm.nih.gov/gene/5045", "5045")</f>
        <v>5045</v>
      </c>
      <c r="D12289" t="str">
        <f>"kpc-1"</f>
        <v>kpc-1</v>
      </c>
      <c r="E12289" t="s">
        <v>5375</v>
      </c>
      <c r="F12289" t="s">
        <v>11</v>
      </c>
      <c r="G12289" t="s">
        <v>2003</v>
      </c>
      <c r="H12289" s="12">
        <v>1.18061764171669</v>
      </c>
      <c r="I12289" s="20">
        <v>0.88946637399391604</v>
      </c>
      <c r="J12289" s="28">
        <v>0.37375248715996501</v>
      </c>
      <c r="K12289" s="29">
        <v>0.98289565623980701</v>
      </c>
    </row>
    <row r="12290" spans="1:11" x14ac:dyDescent="0.35">
      <c r="A12290" s="9" t="str">
        <f>HYPERLINK("http://www.ensembl.org/id/WBGene00002234", "WBGene00002234")</f>
        <v>WBGene00002234</v>
      </c>
      <c r="B12290" s="9" t="str">
        <f>HYPERLINK("http://www.ncbi.nlm.nih.gov/gene/181078", "181078")</f>
        <v>181078</v>
      </c>
      <c r="C12290" s="9"/>
      <c r="D12290" t="str">
        <f>"kqt-2"</f>
        <v>kqt-2</v>
      </c>
      <c r="E12290" t="s">
        <v>4761</v>
      </c>
      <c r="F12290" t="s">
        <v>11</v>
      </c>
      <c r="G12290" t="s">
        <v>7684</v>
      </c>
      <c r="H12290" s="12">
        <v>-1.13931117536805</v>
      </c>
      <c r="I12290" s="20">
        <v>-0.47434526689712297</v>
      </c>
      <c r="J12290" s="28">
        <v>0.63525371650194695</v>
      </c>
      <c r="K12290" s="29">
        <v>0.98289565623980701</v>
      </c>
    </row>
    <row r="12291" spans="1:11" x14ac:dyDescent="0.35">
      <c r="A12291" s="9" t="str">
        <f>HYPERLINK("http://www.ensembl.org/id/WBGene00002235", "WBGene00002235")</f>
        <v>WBGene00002235</v>
      </c>
      <c r="B12291" s="9" t="str">
        <f>HYPERLINK("http://www.ncbi.nlm.nih.gov/gene/191699", "191699")</f>
        <v>191699</v>
      </c>
      <c r="C12291" s="9" t="str">
        <f>HYPERLINK("http://www.ncbi.nlm.nih.gov/gene/3784", "3784")</f>
        <v>3784</v>
      </c>
      <c r="D12291" t="str">
        <f>"kqt-3"</f>
        <v>kqt-3</v>
      </c>
      <c r="E12291" t="s">
        <v>4761</v>
      </c>
      <c r="F12291" t="s">
        <v>11</v>
      </c>
      <c r="G12291" t="s">
        <v>4762</v>
      </c>
      <c r="H12291" s="12">
        <v>1.40324187024693</v>
      </c>
      <c r="I12291" s="20">
        <v>1.07574589942914</v>
      </c>
      <c r="J12291" s="28">
        <v>0.28204091366713602</v>
      </c>
      <c r="K12291" s="29">
        <v>0.98289565623980701</v>
      </c>
    </row>
    <row r="12292" spans="1:11" x14ac:dyDescent="0.35">
      <c r="A12292" s="9" t="str">
        <f>HYPERLINK("http://www.ensembl.org/id/WBGene00013955", "WBGene00013955")</f>
        <v>WBGene00013955</v>
      </c>
      <c r="B12292" s="9" t="str">
        <f>HYPERLINK("http://www.ncbi.nlm.nih.gov/gene/191275", "191275")</f>
        <v>191275</v>
      </c>
      <c r="C12292" s="9" t="str">
        <f>HYPERLINK("http://www.ncbi.nlm.nih.gov/gene/889", "889")</f>
        <v>889</v>
      </c>
      <c r="D12292" t="str">
        <f>"kri-1"</f>
        <v>kri-1</v>
      </c>
      <c r="E12292" t="s">
        <v>4934</v>
      </c>
      <c r="F12292" t="s">
        <v>11</v>
      </c>
      <c r="G12292" t="s">
        <v>4935</v>
      </c>
      <c r="H12292" s="12">
        <v>1.2922450365367</v>
      </c>
      <c r="I12292" s="20">
        <v>0.53838868085628599</v>
      </c>
      <c r="J12292" s="28">
        <v>0.59030873922883098</v>
      </c>
      <c r="K12292" s="29">
        <v>0.98289565623980701</v>
      </c>
    </row>
    <row r="12293" spans="1:11" x14ac:dyDescent="0.35">
      <c r="A12293" s="9" t="str">
        <f>HYPERLINK("http://www.ensembl.org/id/WBGene00015461", "WBGene00015461")</f>
        <v>WBGene00015461</v>
      </c>
      <c r="B12293" s="9" t="str">
        <f>HYPERLINK("http://www.ncbi.nlm.nih.gov/gene/179115", "179115")</f>
        <v>179115</v>
      </c>
      <c r="C12293" s="9" t="str">
        <f>HYPERLINK("http://www.ncbi.nlm.nih.gov/gene/11103", "11103")</f>
        <v>11103</v>
      </c>
      <c r="D12293" t="str">
        <f>"krr-1"</f>
        <v>krr-1</v>
      </c>
      <c r="E12293" t="s">
        <v>8765</v>
      </c>
      <c r="F12293" t="s">
        <v>11</v>
      </c>
      <c r="G12293" t="s">
        <v>8766</v>
      </c>
      <c r="H12293" s="12">
        <v>-1.1948566073146401</v>
      </c>
      <c r="I12293" s="20">
        <v>-0.78080016070173297</v>
      </c>
      <c r="J12293" s="28">
        <v>0.43492003952891201</v>
      </c>
      <c r="K12293" s="29">
        <v>0.98289565623980701</v>
      </c>
    </row>
    <row r="12294" spans="1:11" x14ac:dyDescent="0.35">
      <c r="A12294" s="9" t="str">
        <f>HYPERLINK("http://www.ensembl.org/id/WBGene00002239", "WBGene00002239")</f>
        <v>WBGene00002239</v>
      </c>
      <c r="B12294" s="9" t="str">
        <f>HYPERLINK("http://www.ncbi.nlm.nih.gov/gene/181082", "181082")</f>
        <v>181082</v>
      </c>
      <c r="C12294" s="9"/>
      <c r="D12294" t="str">
        <f>"ksr-1"</f>
        <v>ksr-1</v>
      </c>
      <c r="E12294" t="s">
        <v>6779</v>
      </c>
      <c r="F12294" t="s">
        <v>11</v>
      </c>
      <c r="G12294" t="s">
        <v>6780</v>
      </c>
      <c r="H12294" s="12">
        <v>-1.0885965026397399</v>
      </c>
      <c r="I12294" s="20">
        <v>-0.45572085458339401</v>
      </c>
      <c r="J12294" s="28">
        <v>0.648590723554065</v>
      </c>
      <c r="K12294" s="29">
        <v>0.98289565623980701</v>
      </c>
    </row>
    <row r="12295" spans="1:11" x14ac:dyDescent="0.35">
      <c r="A12295" s="9" t="str">
        <f>HYPERLINK("http://www.ensembl.org/id/WBGene00002241", "WBGene00002241")</f>
        <v>WBGene00002241</v>
      </c>
      <c r="B12295" s="9" t="str">
        <f>HYPERLINK("http://www.ncbi.nlm.nih.gov/gene/179651", "179651")</f>
        <v>179651</v>
      </c>
      <c r="C12295" s="9"/>
      <c r="D12295" t="str">
        <f>"kup-1"</f>
        <v>kup-1</v>
      </c>
      <c r="F12295" t="s">
        <v>11</v>
      </c>
      <c r="H12295" s="12">
        <v>-1.2401901975110301</v>
      </c>
      <c r="I12295" s="20">
        <v>-1.05116900112483</v>
      </c>
      <c r="J12295" s="28">
        <v>0.29318097763309903</v>
      </c>
      <c r="K12295" s="29">
        <v>0.98289565623980701</v>
      </c>
    </row>
    <row r="12296" spans="1:11" x14ac:dyDescent="0.35">
      <c r="A12296" s="9" t="str">
        <f>HYPERLINK("http://www.ensembl.org/id/WBGene00206383", "WBGene00206383")</f>
        <v>WBGene00206383</v>
      </c>
      <c r="B12296" s="9" t="str">
        <f>HYPERLINK("http://www.ncbi.nlm.nih.gov/gene/13214870", "13214870")</f>
        <v>13214870</v>
      </c>
      <c r="C12296" s="9"/>
      <c r="D12296" t="str">
        <f>"kvs-2"</f>
        <v>kvs-2</v>
      </c>
      <c r="F12296" t="s">
        <v>11</v>
      </c>
      <c r="G12296" t="s">
        <v>25</v>
      </c>
      <c r="H12296" s="12">
        <v>3.0278855929696502</v>
      </c>
      <c r="I12296" s="20">
        <v>0.84202695452390297</v>
      </c>
      <c r="J12296" s="28">
        <v>0.39977286595424</v>
      </c>
      <c r="K12296" s="29">
        <v>0.98289565623980701</v>
      </c>
    </row>
    <row r="12297" spans="1:11" x14ac:dyDescent="0.35">
      <c r="A12297" s="9" t="str">
        <f>HYPERLINK("http://www.ensembl.org/id/WBGene00012967", "WBGene00012967")</f>
        <v>WBGene00012967</v>
      </c>
      <c r="B12297" s="9" t="str">
        <f>HYPERLINK("http://www.ncbi.nlm.nih.gov/gene/190011", "190011")</f>
        <v>190011</v>
      </c>
      <c r="C12297" s="9"/>
      <c r="D12297" t="str">
        <f>"kvs-4"</f>
        <v>kvs-4</v>
      </c>
      <c r="E12297" t="s">
        <v>4951</v>
      </c>
      <c r="F12297" t="s">
        <v>11</v>
      </c>
      <c r="G12297" t="s">
        <v>4952</v>
      </c>
      <c r="H12297" s="12">
        <v>1.28428549093739</v>
      </c>
      <c r="I12297" s="20">
        <v>0.811354587960602</v>
      </c>
      <c r="J12297" s="28">
        <v>0.41716207003816203</v>
      </c>
      <c r="K12297" s="29">
        <v>0.98289565623980701</v>
      </c>
    </row>
    <row r="12298" spans="1:11" x14ac:dyDescent="0.35">
      <c r="A12298" s="9" t="str">
        <f>HYPERLINK("http://www.ensembl.org/id/WBGene00021546", "WBGene00021546")</f>
        <v>WBGene00021546</v>
      </c>
      <c r="B12298" s="9" t="str">
        <f>HYPERLINK("http://www.ncbi.nlm.nih.gov/gene/3565323", "3565323")</f>
        <v>3565323</v>
      </c>
      <c r="C12298" s="9" t="str">
        <f>HYPERLINK("http://www.ncbi.nlm.nih.gov/gene/54896", "54896")</f>
        <v>54896</v>
      </c>
      <c r="D12298" t="str">
        <f>"laat-1"</f>
        <v>laat-1</v>
      </c>
      <c r="E12298" t="s">
        <v>8977</v>
      </c>
      <c r="F12298" t="s">
        <v>11</v>
      </c>
      <c r="G12298" t="s">
        <v>25</v>
      </c>
      <c r="H12298" s="12">
        <v>-1.21181838824915</v>
      </c>
      <c r="I12298" s="20">
        <v>-0.983509456056191</v>
      </c>
      <c r="J12298" s="28">
        <v>0.32535676364691202</v>
      </c>
      <c r="K12298" s="29">
        <v>0.98289565623980701</v>
      </c>
    </row>
    <row r="12299" spans="1:11" x14ac:dyDescent="0.35">
      <c r="A12299" s="9" t="str">
        <f>HYPERLINK("http://www.ensembl.org/id/WBGene00012777", "WBGene00012777")</f>
        <v>WBGene00012777</v>
      </c>
      <c r="B12299" s="9" t="str">
        <f>HYPERLINK("http://www.ncbi.nlm.nih.gov/gene/189839", "189839")</f>
        <v>189839</v>
      </c>
      <c r="C12299" s="9"/>
      <c r="D12299" t="str">
        <f>"lact-8"</f>
        <v>lact-8</v>
      </c>
      <c r="E12299" t="s">
        <v>1085</v>
      </c>
      <c r="F12299" t="s">
        <v>11</v>
      </c>
      <c r="H12299" s="12">
        <v>1.6780570847731</v>
      </c>
      <c r="I12299" s="20">
        <v>1.09923226555722</v>
      </c>
      <c r="J12299" s="28">
        <v>0.27166676838529602</v>
      </c>
      <c r="K12299" s="29">
        <v>0.98289565623980701</v>
      </c>
    </row>
    <row r="12300" spans="1:11" x14ac:dyDescent="0.35">
      <c r="A12300" s="9" t="str">
        <f>HYPERLINK("http://www.ensembl.org/id/WBGene00012890", "WBGene00012890")</f>
        <v>WBGene00012890</v>
      </c>
      <c r="B12300" s="9" t="str">
        <f>HYPERLINK("http://www.ncbi.nlm.nih.gov/gene/189927", "189927")</f>
        <v>189927</v>
      </c>
      <c r="C12300" s="9" t="str">
        <f>HYPERLINK("http://www.ncbi.nlm.nih.gov/gene/114294", "114294")</f>
        <v>114294</v>
      </c>
      <c r="D12300" t="str">
        <f>"lact-9"</f>
        <v>lact-9</v>
      </c>
      <c r="E12300" t="s">
        <v>1085</v>
      </c>
      <c r="F12300" t="s">
        <v>11</v>
      </c>
      <c r="H12300" s="12">
        <v>-1.10265765273845</v>
      </c>
      <c r="I12300" s="20">
        <v>-0.45064586193216299</v>
      </c>
      <c r="J12300" s="28">
        <v>0.65224480699572296</v>
      </c>
      <c r="K12300" s="29">
        <v>0.98289565623980701</v>
      </c>
    </row>
    <row r="12301" spans="1:11" x14ac:dyDescent="0.35">
      <c r="A12301" s="9" t="str">
        <f>HYPERLINK("http://www.ensembl.org/id/WBGene00002244", "WBGene00002244")</f>
        <v>WBGene00002244</v>
      </c>
      <c r="B12301" s="9" t="str">
        <f>HYPERLINK("http://www.ncbi.nlm.nih.gov/gene/190611", "190611")</f>
        <v>190611</v>
      </c>
      <c r="C12301" s="9" t="str">
        <f>HYPERLINK("http://www.ncbi.nlm.nih.gov/gene/1654", "1654")</f>
        <v>1654</v>
      </c>
      <c r="D12301" t="str">
        <f>"laf-1"</f>
        <v>laf-1</v>
      </c>
      <c r="E12301" t="s">
        <v>6698</v>
      </c>
      <c r="F12301" t="s">
        <v>11</v>
      </c>
      <c r="G12301" t="s">
        <v>221</v>
      </c>
      <c r="H12301" s="12">
        <v>-1.085363908942</v>
      </c>
      <c r="I12301" s="20">
        <v>-0.44429363982957998</v>
      </c>
      <c r="J12301" s="28">
        <v>0.65683029897949197</v>
      </c>
      <c r="K12301" s="29">
        <v>0.98289565623980701</v>
      </c>
    </row>
    <row r="12302" spans="1:11" x14ac:dyDescent="0.35">
      <c r="A12302" s="9" t="str">
        <f>HYPERLINK("http://www.ensembl.org/id/WBGene00002245", "WBGene00002245")</f>
        <v>WBGene00002245</v>
      </c>
      <c r="B12302" s="9" t="str">
        <f>HYPERLINK("http://www.ncbi.nlm.nih.gov/gene/177373", "177373")</f>
        <v>177373</v>
      </c>
      <c r="C12302" s="9" t="str">
        <f>HYPERLINK("http://www.ncbi.nlm.nih.gov/gene/3516", "3516")</f>
        <v>3516</v>
      </c>
      <c r="D12302" t="str">
        <f>"lag-1"</f>
        <v>lag-1</v>
      </c>
      <c r="E12302" t="s">
        <v>8958</v>
      </c>
      <c r="F12302" t="s">
        <v>11</v>
      </c>
      <c r="G12302" t="s">
        <v>8959</v>
      </c>
      <c r="H12302" s="12">
        <v>-1.2106801612312299</v>
      </c>
      <c r="I12302" s="20">
        <v>-1.0258334839530401</v>
      </c>
      <c r="J12302" s="28">
        <v>0.30497008007202298</v>
      </c>
      <c r="K12302" s="29">
        <v>0.98289565623980701</v>
      </c>
    </row>
    <row r="12303" spans="1:11" x14ac:dyDescent="0.35">
      <c r="A12303" s="9" t="str">
        <f>HYPERLINK("http://www.ensembl.org/id/WBGene00002246", "WBGene00002246")</f>
        <v>WBGene00002246</v>
      </c>
      <c r="B12303" s="9" t="str">
        <f>HYPERLINK("http://www.ncbi.nlm.nih.gov/gene/178755", "178755")</f>
        <v>178755</v>
      </c>
      <c r="C12303" s="9"/>
      <c r="D12303" t="str">
        <f>"lag-2"</f>
        <v>lag-2</v>
      </c>
      <c r="F12303" t="s">
        <v>11</v>
      </c>
      <c r="G12303" t="s">
        <v>4563</v>
      </c>
      <c r="H12303" s="12">
        <v>1.6960874827351999</v>
      </c>
      <c r="I12303" s="20">
        <v>1.0924564672950401</v>
      </c>
      <c r="J12303" s="28">
        <v>0.27463251490602703</v>
      </c>
      <c r="K12303" s="29">
        <v>0.98289565623980701</v>
      </c>
    </row>
    <row r="12304" spans="1:11" x14ac:dyDescent="0.35">
      <c r="A12304" s="9" t="str">
        <f>HYPERLINK("http://www.ensembl.org/id/WBGene00002249", "WBGene00002249")</f>
        <v>WBGene00002249</v>
      </c>
      <c r="B12304" s="9" t="str">
        <f>HYPERLINK("http://www.ncbi.nlm.nih.gov/gene/176185", "176185")</f>
        <v>176185</v>
      </c>
      <c r="C12304" s="9" t="str">
        <f>HYPERLINK("http://www.ncbi.nlm.nih.gov/gene/79716", "79716")</f>
        <v>79716</v>
      </c>
      <c r="D12304" t="str">
        <f>"lap-1"</f>
        <v>lap-1</v>
      </c>
      <c r="E12304" t="s">
        <v>7632</v>
      </c>
      <c r="F12304" t="s">
        <v>11</v>
      </c>
      <c r="G12304" t="s">
        <v>7633</v>
      </c>
      <c r="H12304" s="12">
        <v>-1.13698115250966</v>
      </c>
      <c r="I12304" s="20">
        <v>-0.69119832048227503</v>
      </c>
      <c r="J12304" s="28">
        <v>0.48944091919861199</v>
      </c>
      <c r="K12304" s="29">
        <v>0.98289565623980701</v>
      </c>
    </row>
    <row r="12305" spans="1:11" x14ac:dyDescent="0.35">
      <c r="A12305" s="9" t="str">
        <f>HYPERLINK("http://www.ensembl.org/id/WBGene00002250", "WBGene00002250")</f>
        <v>WBGene00002250</v>
      </c>
      <c r="B12305" s="9" t="str">
        <f>HYPERLINK("http://www.ncbi.nlm.nih.gov/gene/179790", "179790")</f>
        <v>179790</v>
      </c>
      <c r="C12305" s="9"/>
      <c r="D12305" t="str">
        <f>"lap-2"</f>
        <v>lap-2</v>
      </c>
      <c r="E12305" t="s">
        <v>5124</v>
      </c>
      <c r="F12305" t="s">
        <v>11</v>
      </c>
      <c r="G12305" t="s">
        <v>5125</v>
      </c>
      <c r="H12305" s="12">
        <v>1.23365815353416</v>
      </c>
      <c r="I12305" s="20">
        <v>1.17658442225854</v>
      </c>
      <c r="J12305" s="28">
        <v>0.239361418396972</v>
      </c>
      <c r="K12305" s="29">
        <v>0.98289565623980701</v>
      </c>
    </row>
    <row r="12306" spans="1:11" x14ac:dyDescent="0.35">
      <c r="A12306" s="9" t="str">
        <f>HYPERLINK("http://www.ensembl.org/id/WBGene00020097", "WBGene00020097")</f>
        <v>WBGene00020097</v>
      </c>
      <c r="B12306" s="9" t="str">
        <f>HYPERLINK("http://www.ncbi.nlm.nih.gov/gene/175680", "175680")</f>
        <v>175680</v>
      </c>
      <c r="C12306" s="9"/>
      <c r="D12306" t="str">
        <f>"larp-1"</f>
        <v>larp-1</v>
      </c>
      <c r="E12306" t="s">
        <v>8670</v>
      </c>
      <c r="F12306" t="s">
        <v>11</v>
      </c>
      <c r="H12306" s="12">
        <v>-1.19002550200293</v>
      </c>
      <c r="I12306" s="20">
        <v>-0.94947619599845401</v>
      </c>
      <c r="J12306" s="28">
        <v>0.34237847313761499</v>
      </c>
      <c r="K12306" s="29">
        <v>0.98289565623980701</v>
      </c>
    </row>
    <row r="12307" spans="1:11" x14ac:dyDescent="0.35">
      <c r="A12307" s="9" t="str">
        <f>HYPERLINK("http://www.ensembl.org/id/WBGene00004147", "WBGene00004147")</f>
        <v>WBGene00004147</v>
      </c>
      <c r="B12307" s="9" t="str">
        <f>HYPERLINK("http://www.ncbi.nlm.nih.gov/gene/171942", "171942")</f>
        <v>171942</v>
      </c>
      <c r="C12307" s="9"/>
      <c r="D12307" t="str">
        <f>"larp-5"</f>
        <v>larp-5</v>
      </c>
      <c r="E12307" t="s">
        <v>8576</v>
      </c>
      <c r="F12307" t="s">
        <v>11</v>
      </c>
      <c r="G12307" t="s">
        <v>35</v>
      </c>
      <c r="H12307" s="12">
        <v>-1.18434747419353</v>
      </c>
      <c r="I12307" s="20">
        <v>-0.93703500607008094</v>
      </c>
      <c r="J12307" s="28">
        <v>0.34874055148328498</v>
      </c>
      <c r="K12307" s="29">
        <v>0.98289565623980701</v>
      </c>
    </row>
    <row r="12308" spans="1:11" x14ac:dyDescent="0.35">
      <c r="A12308" s="9" t="str">
        <f>HYPERLINK("http://www.ensembl.org/id/WBGene00003073", "WBGene00003073")</f>
        <v>WBGene00003073</v>
      </c>
      <c r="B12308" s="9" t="str">
        <f>HYPERLINK("http://www.ncbi.nlm.nih.gov/gene/175538", "175538")</f>
        <v>175538</v>
      </c>
      <c r="C12308" s="9" t="str">
        <f>HYPERLINK("http://www.ncbi.nlm.nih.gov/gene/51520", "51520")</f>
        <v>51520</v>
      </c>
      <c r="D12308" t="str">
        <f>"lars-1"</f>
        <v>lars-1</v>
      </c>
      <c r="E12308" t="s">
        <v>7712</v>
      </c>
      <c r="F12308" t="s">
        <v>11</v>
      </c>
      <c r="G12308" t="s">
        <v>7713</v>
      </c>
      <c r="H12308" s="12">
        <v>-1.14086079510205</v>
      </c>
      <c r="I12308" s="20">
        <v>-0.71726334942619896</v>
      </c>
      <c r="J12308" s="28">
        <v>0.47321161721570598</v>
      </c>
      <c r="K12308" s="29">
        <v>0.98289565623980701</v>
      </c>
    </row>
    <row r="12309" spans="1:11" x14ac:dyDescent="0.35">
      <c r="A12309" s="9" t="str">
        <f>HYPERLINK("http://www.ensembl.org/id/WBGene00002251", "WBGene00002251")</f>
        <v>WBGene00002251</v>
      </c>
      <c r="B12309" s="9" t="str">
        <f>HYPERLINK("http://www.ncbi.nlm.nih.gov/gene/174419", "174419")</f>
        <v>174419</v>
      </c>
      <c r="C12309" s="9" t="str">
        <f>HYPERLINK("http://www.ncbi.nlm.nih.gov/gene/23266", "23266")</f>
        <v>23266</v>
      </c>
      <c r="D12309" t="str">
        <f>"lat-1"</f>
        <v>lat-1</v>
      </c>
      <c r="E12309" t="s">
        <v>9067</v>
      </c>
      <c r="F12309" t="s">
        <v>11</v>
      </c>
      <c r="G12309" t="s">
        <v>919</v>
      </c>
      <c r="H12309" s="12">
        <v>-1.21818293551026</v>
      </c>
      <c r="I12309" s="20">
        <v>-1.0770065436263601</v>
      </c>
      <c r="J12309" s="28">
        <v>0.28147734233695398</v>
      </c>
      <c r="K12309" s="29">
        <v>0.98289565623980701</v>
      </c>
    </row>
    <row r="12310" spans="1:11" x14ac:dyDescent="0.35">
      <c r="A12310" s="9" t="str">
        <f>HYPERLINK("http://www.ensembl.org/id/WBGene00002253", "WBGene00002253")</f>
        <v>WBGene00002253</v>
      </c>
      <c r="B12310" s="9" t="str">
        <f>HYPERLINK("http://www.ncbi.nlm.nih.gov/gene/180616", "180616")</f>
        <v>180616</v>
      </c>
      <c r="C12310" s="9"/>
      <c r="D12310" t="str">
        <f>"lbp-1"</f>
        <v>lbp-1</v>
      </c>
      <c r="E12310" t="s">
        <v>6949</v>
      </c>
      <c r="F12310" t="s">
        <v>11</v>
      </c>
      <c r="G12310" t="s">
        <v>2037</v>
      </c>
      <c r="H12310" s="12">
        <v>-1.09930842089466</v>
      </c>
      <c r="I12310" s="20">
        <v>-0.52720265571692004</v>
      </c>
      <c r="J12310" s="28">
        <v>0.598052864647594</v>
      </c>
      <c r="K12310" s="29">
        <v>0.98289565623980701</v>
      </c>
    </row>
    <row r="12311" spans="1:11" x14ac:dyDescent="0.35">
      <c r="A12311" s="9" t="str">
        <f>HYPERLINK("http://www.ensembl.org/id/WBGene00002254", "WBGene00002254")</f>
        <v>WBGene00002254</v>
      </c>
      <c r="B12311" s="9" t="str">
        <f>HYPERLINK("http://www.ncbi.nlm.nih.gov/gene/180617", "180617")</f>
        <v>180617</v>
      </c>
      <c r="C12311" s="9"/>
      <c r="D12311" t="str">
        <f>"lbp-2"</f>
        <v>lbp-2</v>
      </c>
      <c r="E12311" t="s">
        <v>5159</v>
      </c>
      <c r="F12311" t="s">
        <v>11</v>
      </c>
      <c r="G12311" t="s">
        <v>2037</v>
      </c>
      <c r="H12311" s="12">
        <v>1.2263673571499101</v>
      </c>
      <c r="I12311" s="20">
        <v>1.1482453776695301</v>
      </c>
      <c r="J12311" s="28">
        <v>0.25086728126335001</v>
      </c>
      <c r="K12311" s="29">
        <v>0.98289565623980701</v>
      </c>
    </row>
    <row r="12312" spans="1:11" x14ac:dyDescent="0.35">
      <c r="A12312" s="9" t="str">
        <f>HYPERLINK("http://www.ensembl.org/id/WBGene00002255", "WBGene00002255")</f>
        <v>WBGene00002255</v>
      </c>
      <c r="B12312" s="9" t="str">
        <f>HYPERLINK("http://www.ncbi.nlm.nih.gov/gene/180615", "180615")</f>
        <v>180615</v>
      </c>
      <c r="C12312" s="9"/>
      <c r="D12312" t="str">
        <f>"lbp-3"</f>
        <v>lbp-3</v>
      </c>
      <c r="E12312" t="s">
        <v>5715</v>
      </c>
      <c r="F12312" t="s">
        <v>11</v>
      </c>
      <c r="G12312" t="s">
        <v>2037</v>
      </c>
      <c r="H12312" s="12">
        <v>1.11696504297854</v>
      </c>
      <c r="I12312" s="20">
        <v>0.59151789608338701</v>
      </c>
      <c r="J12312" s="28">
        <v>0.55417346783334098</v>
      </c>
      <c r="K12312" s="29">
        <v>0.98289565623980701</v>
      </c>
    </row>
    <row r="12313" spans="1:11" x14ac:dyDescent="0.35">
      <c r="A12313" s="9" t="str">
        <f>HYPERLINK("http://www.ensembl.org/id/WBGene00002257", "WBGene00002257")</f>
        <v>WBGene00002257</v>
      </c>
      <c r="B12313" s="9" t="str">
        <f>HYPERLINK("http://www.ncbi.nlm.nih.gov/gene/191700", "191700")</f>
        <v>191700</v>
      </c>
      <c r="C12313" s="9" t="str">
        <f>HYPERLINK("http://www.ncbi.nlm.nih.gov/gene/2167", "2167")</f>
        <v>2167</v>
      </c>
      <c r="D12313" t="str">
        <f>"lbp-5"</f>
        <v>lbp-5</v>
      </c>
      <c r="E12313" t="s">
        <v>8215</v>
      </c>
      <c r="F12313" t="s">
        <v>11</v>
      </c>
      <c r="G12313" t="s">
        <v>2037</v>
      </c>
      <c r="H12313" s="12">
        <v>-1.16630915523645</v>
      </c>
      <c r="I12313" s="20">
        <v>-0.71344521203456401</v>
      </c>
      <c r="J12313" s="28">
        <v>0.47557030440180798</v>
      </c>
      <c r="K12313" s="29">
        <v>0.98289565623980701</v>
      </c>
    </row>
    <row r="12314" spans="1:11" x14ac:dyDescent="0.35">
      <c r="A12314" s="9" t="str">
        <f>HYPERLINK("http://www.ensembl.org/id/WBGene00002261", "WBGene00002261")</f>
        <v>WBGene00002261</v>
      </c>
      <c r="B12314" s="9" t="str">
        <f>HYPERLINK("http://www.ncbi.nlm.nih.gov/gene/181292", "181292")</f>
        <v>181292</v>
      </c>
      <c r="C12314" s="9" t="str">
        <f>HYPERLINK("http://www.ncbi.nlm.nih.gov/gene/9079", "9079")</f>
        <v>9079</v>
      </c>
      <c r="D12314" t="str">
        <f>"ldb-1"</f>
        <v>ldb-1</v>
      </c>
      <c r="E12314" t="s">
        <v>5500</v>
      </c>
      <c r="F12314" t="s">
        <v>11</v>
      </c>
      <c r="G12314" t="s">
        <v>5501</v>
      </c>
      <c r="H12314" s="12">
        <v>1.1568103314542799</v>
      </c>
      <c r="I12314" s="20">
        <v>0.77750103431615303</v>
      </c>
      <c r="J12314" s="28">
        <v>0.43686322446030501</v>
      </c>
      <c r="K12314" s="29">
        <v>0.98289565623980701</v>
      </c>
    </row>
    <row r="12315" spans="1:11" x14ac:dyDescent="0.35">
      <c r="A12315" s="9" t="str">
        <f>HYPERLINK("http://www.ensembl.org/id/WBGene00017719", "WBGene00017719")</f>
        <v>WBGene00017719</v>
      </c>
      <c r="B12315" s="9" t="str">
        <f>HYPERLINK("http://www.ncbi.nlm.nih.gov/gene/178692", "178692")</f>
        <v>178692</v>
      </c>
      <c r="C12315" s="9" t="str">
        <f>HYPERLINK("http://www.ncbi.nlm.nih.gov/gene/51097", "51097")</f>
        <v>51097</v>
      </c>
      <c r="D12315" t="str">
        <f>"ldp-1"</f>
        <v>ldp-1</v>
      </c>
      <c r="E12315" t="s">
        <v>9117</v>
      </c>
      <c r="F12315" t="s">
        <v>11</v>
      </c>
      <c r="G12315" t="s">
        <v>489</v>
      </c>
      <c r="H12315" s="12">
        <v>-1.2217745010843899</v>
      </c>
      <c r="I12315" s="20">
        <v>-1.09662529667033</v>
      </c>
      <c r="J12315" s="28">
        <v>0.272805224548476</v>
      </c>
      <c r="K12315" s="29">
        <v>0.98289565623980701</v>
      </c>
    </row>
    <row r="12316" spans="1:11" x14ac:dyDescent="0.35">
      <c r="A12316" s="9" t="str">
        <f>HYPERLINK("http://www.ensembl.org/id/WBGene00002274", "WBGene00002274")</f>
        <v>WBGene00002274</v>
      </c>
      <c r="B12316" s="9" t="str">
        <f>HYPERLINK("http://www.ncbi.nlm.nih.gov/gene/177420", "177420")</f>
        <v>177420</v>
      </c>
      <c r="C12316" s="9"/>
      <c r="D12316" t="str">
        <f>"lec-11"</f>
        <v>lec-11</v>
      </c>
      <c r="E12316" t="s">
        <v>2043</v>
      </c>
      <c r="F12316" t="s">
        <v>11</v>
      </c>
      <c r="G12316" t="s">
        <v>5482</v>
      </c>
      <c r="H12316" s="12">
        <v>1.15961491889501</v>
      </c>
      <c r="I12316" s="20">
        <v>0.71985787424108705</v>
      </c>
      <c r="J12316" s="28">
        <v>0.47161250722374198</v>
      </c>
      <c r="K12316" s="29">
        <v>0.98289565623980701</v>
      </c>
    </row>
    <row r="12317" spans="1:11" x14ac:dyDescent="0.35">
      <c r="A12317" s="9" t="str">
        <f>HYPERLINK("http://www.ensembl.org/id/WBGene00017080", "WBGene00017080")</f>
        <v>WBGene00017080</v>
      </c>
      <c r="B12317" s="9" t="str">
        <f>HYPERLINK("http://www.ncbi.nlm.nih.gov/gene/178548", "178548")</f>
        <v>178548</v>
      </c>
      <c r="C12317" s="9"/>
      <c r="D12317" t="str">
        <f>"lec-12"</f>
        <v>lec-12</v>
      </c>
      <c r="E12317" t="s">
        <v>2043</v>
      </c>
      <c r="F12317" t="s">
        <v>11</v>
      </c>
      <c r="G12317" t="s">
        <v>8192</v>
      </c>
      <c r="H12317" s="12">
        <v>-1.1647738671546499</v>
      </c>
      <c r="I12317" s="20">
        <v>-0.81908668038945898</v>
      </c>
      <c r="J12317" s="28">
        <v>0.41273696070609001</v>
      </c>
      <c r="K12317" s="29">
        <v>0.98289565623980701</v>
      </c>
    </row>
    <row r="12318" spans="1:11" x14ac:dyDescent="0.35">
      <c r="A12318" s="9" t="str">
        <f>HYPERLINK("http://www.ensembl.org/id/WBGene00002265", "WBGene00002265")</f>
        <v>WBGene00002265</v>
      </c>
      <c r="B12318" s="9" t="str">
        <f>HYPERLINK("http://www.ncbi.nlm.nih.gov/gene/174560", "174560")</f>
        <v>174560</v>
      </c>
      <c r="C12318" s="9"/>
      <c r="D12318" t="str">
        <f>"lec-2"</f>
        <v>lec-2</v>
      </c>
      <c r="E12318" t="s">
        <v>2043</v>
      </c>
      <c r="F12318" t="s">
        <v>11</v>
      </c>
      <c r="G12318" t="s">
        <v>6205</v>
      </c>
      <c r="H12318" s="12">
        <v>-1.05366348578917</v>
      </c>
      <c r="I12318" s="20">
        <v>-0.29603121100303198</v>
      </c>
      <c r="J12318" s="28">
        <v>0.76720624611891697</v>
      </c>
      <c r="K12318" s="29">
        <v>0.98289565623980701</v>
      </c>
    </row>
    <row r="12319" spans="1:11" x14ac:dyDescent="0.35">
      <c r="A12319" s="9" t="str">
        <f>HYPERLINK("http://www.ensembl.org/id/WBGene00002270", "WBGene00002270")</f>
        <v>WBGene00002270</v>
      </c>
      <c r="B12319" s="9" t="str">
        <f>HYPERLINK("http://www.ncbi.nlm.nih.gov/gene/181199", "181199")</f>
        <v>181199</v>
      </c>
      <c r="C12319" s="9"/>
      <c r="D12319" t="str">
        <f>"lec-7"</f>
        <v>lec-7</v>
      </c>
      <c r="E12319" t="s">
        <v>5576</v>
      </c>
      <c r="F12319" t="s">
        <v>11</v>
      </c>
      <c r="G12319" t="s">
        <v>47</v>
      </c>
      <c r="H12319" s="12">
        <v>1.1429208675934801</v>
      </c>
      <c r="I12319" s="20">
        <v>0.63313790665826697</v>
      </c>
      <c r="J12319" s="28">
        <v>0.52664359005927397</v>
      </c>
      <c r="K12319" s="29">
        <v>0.98289565623980701</v>
      </c>
    </row>
    <row r="12320" spans="1:11" x14ac:dyDescent="0.35">
      <c r="A12320" s="9" t="str">
        <f>HYPERLINK("http://www.ensembl.org/id/WBGene00002272", "WBGene00002272")</f>
        <v>WBGene00002272</v>
      </c>
      <c r="B12320" s="9" t="str">
        <f>HYPERLINK("http://www.ncbi.nlm.nih.gov/gene/181786", "181786")</f>
        <v>181786</v>
      </c>
      <c r="C12320" s="9"/>
      <c r="D12320" t="str">
        <f>"lec-9"</f>
        <v>lec-9</v>
      </c>
      <c r="E12320" t="s">
        <v>2043</v>
      </c>
      <c r="F12320" t="s">
        <v>11</v>
      </c>
      <c r="G12320" t="s">
        <v>8794</v>
      </c>
      <c r="H12320" s="12">
        <v>-1.19714082780864</v>
      </c>
      <c r="I12320" s="20">
        <v>-0.80954415554415604</v>
      </c>
      <c r="J12320" s="28">
        <v>0.41820221514503497</v>
      </c>
      <c r="K12320" s="29">
        <v>0.98289565623980701</v>
      </c>
    </row>
    <row r="12321" spans="1:11" x14ac:dyDescent="0.35">
      <c r="A12321" s="9" t="str">
        <f>HYPERLINK("http://www.ensembl.org/id/WBGene00002275", "WBGene00002275")</f>
        <v>WBGene00002275</v>
      </c>
      <c r="B12321" s="9" t="str">
        <f>HYPERLINK("http://www.ncbi.nlm.nih.gov/gene/175058", "175058")</f>
        <v>175058</v>
      </c>
      <c r="C12321" s="9"/>
      <c r="D12321" t="str">
        <f>"lem-2"</f>
        <v>lem-2</v>
      </c>
      <c r="E12321" t="s">
        <v>9160</v>
      </c>
      <c r="F12321" t="s">
        <v>11</v>
      </c>
      <c r="G12321" t="s">
        <v>9161</v>
      </c>
      <c r="H12321" s="12">
        <v>-1.2253087304242301</v>
      </c>
      <c r="I12321" s="20">
        <v>-0.90741699623289496</v>
      </c>
      <c r="J12321" s="28">
        <v>0.36418632489877001</v>
      </c>
      <c r="K12321" s="29">
        <v>0.98289565623980701</v>
      </c>
    </row>
    <row r="12322" spans="1:11" x14ac:dyDescent="0.35">
      <c r="A12322" s="9" t="str">
        <f>HYPERLINK("http://www.ensembl.org/id/WBGene00007110", "WBGene00007110")</f>
        <v>WBGene00007110</v>
      </c>
      <c r="B12322" s="9" t="str">
        <f>HYPERLINK("http://www.ncbi.nlm.nih.gov/gene/178052", "178052")</f>
        <v>178052</v>
      </c>
      <c r="C12322" s="9"/>
      <c r="D12322" t="str">
        <f>"leo-1"</f>
        <v>leo-1</v>
      </c>
      <c r="E12322" t="s">
        <v>8900</v>
      </c>
      <c r="F12322" t="s">
        <v>11</v>
      </c>
      <c r="G12322" t="s">
        <v>8886</v>
      </c>
      <c r="H12322" s="12">
        <v>-1.20612201165049</v>
      </c>
      <c r="I12322" s="20">
        <v>-0.92754740905167998</v>
      </c>
      <c r="J12322" s="28">
        <v>0.35364238870174602</v>
      </c>
      <c r="K12322" s="29">
        <v>0.98289565623980701</v>
      </c>
    </row>
    <row r="12323" spans="1:11" x14ac:dyDescent="0.35">
      <c r="A12323" s="9" t="str">
        <f>HYPERLINK("http://www.ensembl.org/id/WBGene00002278", "WBGene00002278")</f>
        <v>WBGene00002278</v>
      </c>
      <c r="B12323" s="9" t="str">
        <f>HYPERLINK("http://www.ncbi.nlm.nih.gov/gene/176918", "176918")</f>
        <v>176918</v>
      </c>
      <c r="C12323" s="9" t="str">
        <f>HYPERLINK("http://www.ncbi.nlm.nih.gov/gene/23608", "23608")</f>
        <v>23608</v>
      </c>
      <c r="D12323" t="str">
        <f>"lep-2"</f>
        <v>lep-2</v>
      </c>
      <c r="E12323" t="s">
        <v>6915</v>
      </c>
      <c r="F12323" t="s">
        <v>11</v>
      </c>
      <c r="G12323" t="s">
        <v>6916</v>
      </c>
      <c r="H12323" s="12">
        <v>-1.0970525802961399</v>
      </c>
      <c r="I12323" s="20">
        <v>-0.43012941933573501</v>
      </c>
      <c r="J12323" s="28">
        <v>0.66710150066556095</v>
      </c>
      <c r="K12323" s="29">
        <v>0.98289565623980701</v>
      </c>
    </row>
    <row r="12324" spans="1:11" x14ac:dyDescent="0.35">
      <c r="A12324" s="9" t="str">
        <f>HYPERLINK("http://www.ensembl.org/id/WBGene00010424", "WBGene00010424")</f>
        <v>WBGene00010424</v>
      </c>
      <c r="B12324" s="9"/>
      <c r="C12324" s="9"/>
      <c r="D12324" t="str">
        <f>"lep-5"</f>
        <v>lep-5</v>
      </c>
      <c r="F12324" t="s">
        <v>1510</v>
      </c>
      <c r="H12324" s="12">
        <v>-1.1401153317763499</v>
      </c>
      <c r="I12324" s="20">
        <v>-0.70575996741815505</v>
      </c>
      <c r="J12324" s="28">
        <v>0.48033742137845298</v>
      </c>
      <c r="K12324" s="29">
        <v>0.98289565623980701</v>
      </c>
    </row>
    <row r="12325" spans="1:11" x14ac:dyDescent="0.35">
      <c r="A12325" s="9" t="str">
        <f>HYPERLINK("http://www.ensembl.org/id/WBGene00002295", "WBGene00002295")</f>
        <v>WBGene00002295</v>
      </c>
      <c r="B12325" s="9" t="str">
        <f>HYPERLINK("http://www.ncbi.nlm.nih.gov/gene/174402", "174402")</f>
        <v>174402</v>
      </c>
      <c r="C12325" s="9"/>
      <c r="D12325" t="str">
        <f>"let-19"</f>
        <v>let-19</v>
      </c>
      <c r="E12325" t="s">
        <v>5161</v>
      </c>
      <c r="F12325" t="s">
        <v>11</v>
      </c>
      <c r="G12325" t="s">
        <v>1666</v>
      </c>
      <c r="H12325" s="12">
        <v>1.22563890203807</v>
      </c>
      <c r="I12325" s="20">
        <v>1.08392141710859</v>
      </c>
      <c r="J12325" s="28">
        <v>0.278399642710986</v>
      </c>
      <c r="K12325" s="29">
        <v>0.98289565623980701</v>
      </c>
    </row>
    <row r="12326" spans="1:11" x14ac:dyDescent="0.35">
      <c r="A12326" s="9" t="str">
        <f>HYPERLINK("http://www.ensembl.org/id/WBGene00002280", "WBGene00002280")</f>
        <v>WBGene00002280</v>
      </c>
      <c r="B12326" s="9" t="str">
        <f>HYPERLINK("http://www.ncbi.nlm.nih.gov/gene/181708", "181708")</f>
        <v>181708</v>
      </c>
      <c r="C12326" s="9" t="str">
        <f>HYPERLINK("http://www.ncbi.nlm.nih.gov/gene/1284", "1284")</f>
        <v>1284</v>
      </c>
      <c r="D12326" t="str">
        <f>"let-2"</f>
        <v>let-2</v>
      </c>
      <c r="E12326" t="s">
        <v>6364</v>
      </c>
      <c r="F12326" t="s">
        <v>11</v>
      </c>
      <c r="G12326" t="s">
        <v>6365</v>
      </c>
      <c r="H12326" s="12">
        <v>-1.0652323575262399</v>
      </c>
      <c r="I12326" s="20">
        <v>-0.32401927345611398</v>
      </c>
      <c r="J12326" s="28">
        <v>0.74592344262619004</v>
      </c>
      <c r="K12326" s="29">
        <v>0.98289565623980701</v>
      </c>
    </row>
    <row r="12327" spans="1:11" x14ac:dyDescent="0.35">
      <c r="A12327" s="9" t="str">
        <f>HYPERLINK("http://www.ensembl.org/id/WBGene00020263", "WBGene00020263")</f>
        <v>WBGene00020263</v>
      </c>
      <c r="B12327" s="9" t="str">
        <f>HYPERLINK("http://www.ncbi.nlm.nih.gov/gene/172199", "172199")</f>
        <v>172199</v>
      </c>
      <c r="C12327" s="9"/>
      <c r="D12327" t="str">
        <f>"let-355"</f>
        <v>let-355</v>
      </c>
      <c r="F12327" t="s">
        <v>11</v>
      </c>
      <c r="G12327" t="s">
        <v>9708</v>
      </c>
      <c r="H12327" s="12">
        <v>-1.2850160438076801</v>
      </c>
      <c r="I12327" s="20">
        <v>-1.0696351501192001</v>
      </c>
      <c r="J12327" s="28">
        <v>0.28478356694960799</v>
      </c>
      <c r="K12327" s="29">
        <v>0.98289565623980701</v>
      </c>
    </row>
    <row r="12328" spans="1:11" x14ac:dyDescent="0.35">
      <c r="A12328" s="9" t="str">
        <f>HYPERLINK("http://www.ensembl.org/id/WBGene00002583", "WBGene00002583")</f>
        <v>WBGene00002583</v>
      </c>
      <c r="B12328" s="9" t="str">
        <f>HYPERLINK("http://www.ncbi.nlm.nih.gov/gene/172167", "172167")</f>
        <v>172167</v>
      </c>
      <c r="C12328" s="9"/>
      <c r="D12328" t="str">
        <f>"let-363"</f>
        <v>let-363</v>
      </c>
      <c r="E12328" t="s">
        <v>7001</v>
      </c>
      <c r="F12328" t="s">
        <v>11</v>
      </c>
      <c r="G12328" t="s">
        <v>7002</v>
      </c>
      <c r="H12328" s="12">
        <v>-1.1017352761294401</v>
      </c>
      <c r="I12328" s="20">
        <v>-0.52759733324055802</v>
      </c>
      <c r="J12328" s="28">
        <v>0.59777884431746198</v>
      </c>
      <c r="K12328" s="29">
        <v>0.98289565623980701</v>
      </c>
    </row>
    <row r="12329" spans="1:11" x14ac:dyDescent="0.35">
      <c r="A12329" s="9" t="str">
        <f>HYPERLINK("http://www.ensembl.org/id/WBGene00002601", "WBGene00002601")</f>
        <v>WBGene00002601</v>
      </c>
      <c r="B12329" s="9" t="str">
        <f>HYPERLINK("http://www.ncbi.nlm.nih.gov/gene/172331", "172331")</f>
        <v>172331</v>
      </c>
      <c r="C12329" s="9"/>
      <c r="D12329" t="str">
        <f>"let-381"</f>
        <v>let-381</v>
      </c>
      <c r="F12329" t="s">
        <v>11</v>
      </c>
      <c r="G12329" t="s">
        <v>9872</v>
      </c>
      <c r="H12329" s="12">
        <v>-1.34095993443702</v>
      </c>
      <c r="I12329" s="20">
        <v>-1.1531501584318899</v>
      </c>
      <c r="J12329" s="28">
        <v>0.24884875698172099</v>
      </c>
      <c r="K12329" s="29">
        <v>0.98289565623980701</v>
      </c>
    </row>
    <row r="12330" spans="1:11" x14ac:dyDescent="0.35">
      <c r="A12330" s="9" t="str">
        <f>HYPERLINK("http://www.ensembl.org/id/WBGene00002637", "WBGene00002637")</f>
        <v>WBGene00002637</v>
      </c>
      <c r="B12330" s="9" t="str">
        <f>HYPERLINK("http://www.ncbi.nlm.nih.gov/gene/178970", "178970")</f>
        <v>178970</v>
      </c>
      <c r="C12330" s="9" t="str">
        <f>HYPERLINK("http://www.ncbi.nlm.nih.gov/gene/1108", "1108")</f>
        <v>1108</v>
      </c>
      <c r="D12330" t="str">
        <f>"let-418"</f>
        <v>let-418</v>
      </c>
      <c r="F12330" t="s">
        <v>11</v>
      </c>
      <c r="G12330" t="s">
        <v>2791</v>
      </c>
      <c r="H12330" s="12">
        <v>1.0764723819586599</v>
      </c>
      <c r="I12330" s="20">
        <v>0.38497637065913798</v>
      </c>
      <c r="J12330" s="28">
        <v>0.70025492233957998</v>
      </c>
      <c r="K12330" s="29">
        <v>0.98289565623980701</v>
      </c>
    </row>
    <row r="12331" spans="1:11" x14ac:dyDescent="0.35">
      <c r="A12331" s="9" t="str">
        <f>HYPERLINK("http://www.ensembl.org/id/WBGene00002324", "WBGene00002324")</f>
        <v>WBGene00002324</v>
      </c>
      <c r="B12331" s="9" t="str">
        <f>HYPERLINK("http://www.ncbi.nlm.nih.gov/gene/173353", "173353")</f>
        <v>173353</v>
      </c>
      <c r="C12331" s="9" t="str">
        <f>HYPERLINK("http://www.ncbi.nlm.nih.gov/gene/9443", "9443")</f>
        <v>9443</v>
      </c>
      <c r="D12331" t="str">
        <f>"let-49"</f>
        <v>let-49</v>
      </c>
      <c r="E12331" t="s">
        <v>8666</v>
      </c>
      <c r="F12331" t="s">
        <v>11</v>
      </c>
      <c r="G12331" t="s">
        <v>1666</v>
      </c>
      <c r="H12331" s="12">
        <v>-1.1896856645434</v>
      </c>
      <c r="I12331" s="20">
        <v>-0.78387759110208499</v>
      </c>
      <c r="J12331" s="28">
        <v>0.433111939838286</v>
      </c>
      <c r="K12331" s="29">
        <v>0.98289565623980701</v>
      </c>
    </row>
    <row r="12332" spans="1:11" x14ac:dyDescent="0.35">
      <c r="A12332" s="9" t="str">
        <f>HYPERLINK("http://www.ensembl.org/id/WBGene00010870", "WBGene00010870")</f>
        <v>WBGene00010870</v>
      </c>
      <c r="B12332" s="9" t="str">
        <f>HYPERLINK("http://www.ncbi.nlm.nih.gov/gene/187451", "187451")</f>
        <v>187451</v>
      </c>
      <c r="C12332" s="9"/>
      <c r="D12332" t="str">
        <f>"let-522"</f>
        <v>let-522</v>
      </c>
      <c r="F12332" t="s">
        <v>11</v>
      </c>
      <c r="G12332" t="s">
        <v>25</v>
      </c>
      <c r="H12332" s="12">
        <v>1.20810135212986</v>
      </c>
      <c r="I12332" s="20">
        <v>0.90117980527722896</v>
      </c>
      <c r="J12332" s="28">
        <v>0.367492726494413</v>
      </c>
      <c r="K12332" s="29">
        <v>0.98289565623980701</v>
      </c>
    </row>
    <row r="12333" spans="1:11" x14ac:dyDescent="0.35">
      <c r="A12333" s="9" t="str">
        <f>HYPERLINK("http://www.ensembl.org/id/WBGene00002804", "WBGene00002804")</f>
        <v>WBGene00002804</v>
      </c>
      <c r="B12333" s="9" t="str">
        <f>HYPERLINK("http://www.ncbi.nlm.nih.gov/gene/172153", "172153")</f>
        <v>172153</v>
      </c>
      <c r="C12333" s="9"/>
      <c r="D12333" t="str">
        <f>"let-630"</f>
        <v>let-630</v>
      </c>
      <c r="F12333" t="s">
        <v>11</v>
      </c>
      <c r="G12333" t="s">
        <v>9491</v>
      </c>
      <c r="H12333" s="12">
        <v>-1.25106601304299</v>
      </c>
      <c r="I12333" s="20">
        <v>-1.06320076626391</v>
      </c>
      <c r="J12333" s="28">
        <v>0.28769091499426802</v>
      </c>
      <c r="K12333" s="29">
        <v>0.98289565623980701</v>
      </c>
    </row>
    <row r="12334" spans="1:11" x14ac:dyDescent="0.35">
      <c r="A12334" s="9" t="str">
        <f>HYPERLINK("http://www.ensembl.org/id/WBGene00002344", "WBGene00002344")</f>
        <v>WBGene00002344</v>
      </c>
      <c r="B12334" s="9" t="str">
        <f>HYPERLINK("http://www.ncbi.nlm.nih.gov/gene/178006", "178006")</f>
        <v>178006</v>
      </c>
      <c r="C12334" s="9" t="str">
        <f>HYPERLINK("http://www.ncbi.nlm.nih.gov/gene/7322", "7322")</f>
        <v>7322</v>
      </c>
      <c r="D12334" t="str">
        <f>"let-70"</f>
        <v>let-70</v>
      </c>
      <c r="E12334" t="s">
        <v>6554</v>
      </c>
      <c r="F12334" t="s">
        <v>11</v>
      </c>
      <c r="G12334" t="s">
        <v>6555</v>
      </c>
      <c r="H12334" s="12">
        <v>-1.0759840154823801</v>
      </c>
      <c r="I12334" s="20">
        <v>-0.41149658447987902</v>
      </c>
      <c r="J12334" s="28">
        <v>0.68070844521533302</v>
      </c>
      <c r="K12334" s="29">
        <v>0.98289565623980701</v>
      </c>
    </row>
    <row r="12335" spans="1:11" x14ac:dyDescent="0.35">
      <c r="A12335" s="9" t="str">
        <f>HYPERLINK("http://www.ensembl.org/id/WBGene00002845", "WBGene00002845")</f>
        <v>WBGene00002845</v>
      </c>
      <c r="B12335" s="9" t="str">
        <f>HYPERLINK("http://www.ncbi.nlm.nih.gov/gene/175971", "175971")</f>
        <v>175971</v>
      </c>
      <c r="C12335" s="9" t="str">
        <f>HYPERLINK("http://www.ncbi.nlm.nih.gov/gene/23019", "23019")</f>
        <v>23019</v>
      </c>
      <c r="D12335" t="str">
        <f>"let-711"</f>
        <v>let-711</v>
      </c>
      <c r="E12335" t="s">
        <v>6984</v>
      </c>
      <c r="F12335" t="s">
        <v>11</v>
      </c>
      <c r="G12335" t="s">
        <v>6985</v>
      </c>
      <c r="H12335" s="12">
        <v>-1.1009152083718501</v>
      </c>
      <c r="I12335" s="20">
        <v>-0.52028518893432196</v>
      </c>
      <c r="J12335" s="28">
        <v>0.602864817418032</v>
      </c>
      <c r="K12335" s="29">
        <v>0.98289565623980701</v>
      </c>
    </row>
    <row r="12336" spans="1:11" x14ac:dyDescent="0.35">
      <c r="A12336" s="9" t="str">
        <f>HYPERLINK("http://www.ensembl.org/id/WBGene00002850", "WBGene00002850")</f>
        <v>WBGene00002850</v>
      </c>
      <c r="B12336" s="9" t="str">
        <f>HYPERLINK("http://www.ncbi.nlm.nih.gov/gene/175906", "175906")</f>
        <v>175906</v>
      </c>
      <c r="C12336" s="9"/>
      <c r="D12336" t="str">
        <f>"let-716"</f>
        <v>let-716</v>
      </c>
      <c r="F12336" t="s">
        <v>11</v>
      </c>
      <c r="G12336" t="s">
        <v>9623</v>
      </c>
      <c r="H12336" s="12">
        <v>-1.2664689905314299</v>
      </c>
      <c r="I12336" s="20">
        <v>-1.20896714407064</v>
      </c>
      <c r="J12336" s="28">
        <v>0.226675468373887</v>
      </c>
      <c r="K12336" s="29">
        <v>0.98289565623980701</v>
      </c>
    </row>
    <row r="12337" spans="1:11" x14ac:dyDescent="0.35">
      <c r="A12337" s="9" t="str">
        <f>HYPERLINK("http://www.ensembl.org/id/WBGene00002855", "WBGene00002855")</f>
        <v>WBGene00002855</v>
      </c>
      <c r="B12337" s="9" t="str">
        <f>HYPERLINK("http://www.ncbi.nlm.nih.gov/gene/175916", "175916")</f>
        <v>175916</v>
      </c>
      <c r="C12337" s="9" t="str">
        <f>HYPERLINK("http://www.ncbi.nlm.nih.gov/gene/2110", "2110")</f>
        <v>2110</v>
      </c>
      <c r="D12337" t="str">
        <f>"let-721"</f>
        <v>let-721</v>
      </c>
      <c r="E12337" t="s">
        <v>6480</v>
      </c>
      <c r="F12337" t="s">
        <v>11</v>
      </c>
      <c r="G12337" t="s">
        <v>6481</v>
      </c>
      <c r="H12337" s="12">
        <v>-1.0715007386891799</v>
      </c>
      <c r="I12337" s="20">
        <v>-0.383030873278766</v>
      </c>
      <c r="J12337" s="28">
        <v>0.70169687295211902</v>
      </c>
      <c r="K12337" s="29">
        <v>0.98289565623980701</v>
      </c>
    </row>
    <row r="12338" spans="1:11" x14ac:dyDescent="0.35">
      <c r="A12338" s="9" t="str">
        <f>HYPERLINK("http://www.ensembl.org/id/WBGene00002957", "WBGene00002957")</f>
        <v>WBGene00002957</v>
      </c>
      <c r="B12338" s="9" t="str">
        <f>HYPERLINK("http://www.ncbi.nlm.nih.gov/gene/174689", "174689")</f>
        <v>174689</v>
      </c>
      <c r="C12338" s="9"/>
      <c r="D12338" t="str">
        <f>"let-858"</f>
        <v>let-858</v>
      </c>
      <c r="E12338" t="s">
        <v>6320</v>
      </c>
      <c r="F12338" t="s">
        <v>11</v>
      </c>
      <c r="G12338" t="s">
        <v>6321</v>
      </c>
      <c r="H12338" s="12">
        <v>-1.0625229251446799</v>
      </c>
      <c r="I12338" s="20">
        <v>-0.303966818576275</v>
      </c>
      <c r="J12338" s="28">
        <v>0.76115317070972799</v>
      </c>
      <c r="K12338" s="29">
        <v>0.98289565623980701</v>
      </c>
    </row>
    <row r="12339" spans="1:11" x14ac:dyDescent="0.35">
      <c r="A12339" s="9" t="str">
        <f>HYPERLINK("http://www.ensembl.org/id/WBGene00002363", "WBGene00002363")</f>
        <v>WBGene00002363</v>
      </c>
      <c r="B12339" s="9" t="str">
        <f>HYPERLINK("http://www.ncbi.nlm.nih.gov/gene/178117", "178117")</f>
        <v>178117</v>
      </c>
      <c r="C12339" s="9" t="str">
        <f>HYPERLINK("http://www.ncbi.nlm.nih.gov/gene/5515", "5515")</f>
        <v>5515</v>
      </c>
      <c r="D12339" t="str">
        <f>"let-92"</f>
        <v>let-92</v>
      </c>
      <c r="E12339" t="s">
        <v>7550</v>
      </c>
      <c r="F12339" t="s">
        <v>11</v>
      </c>
      <c r="G12339" t="s">
        <v>423</v>
      </c>
      <c r="H12339" s="12">
        <v>-1.1324183971334301</v>
      </c>
      <c r="I12339" s="20">
        <v>-0.69513672985041397</v>
      </c>
      <c r="J12339" s="28">
        <v>0.48696961845037201</v>
      </c>
      <c r="K12339" s="29">
        <v>0.98289565623980701</v>
      </c>
    </row>
    <row r="12340" spans="1:11" x14ac:dyDescent="0.35">
      <c r="A12340" s="9" t="str">
        <f>HYPERLINK("http://www.ensembl.org/id/WBGene00010279", "WBGene00010279")</f>
        <v>WBGene00010279</v>
      </c>
      <c r="B12340" s="9" t="str">
        <f>HYPERLINK("http://www.ncbi.nlm.nih.gov/gene/179854", "179854")</f>
        <v>179854</v>
      </c>
      <c r="C12340" s="9" t="str">
        <f>HYPERLINK("http://www.ncbi.nlm.nih.gov/gene/3954", "3954")</f>
        <v>3954</v>
      </c>
      <c r="D12340" t="str">
        <f>"letm-1"</f>
        <v>letm-1</v>
      </c>
      <c r="E12340" t="s">
        <v>9033</v>
      </c>
      <c r="F12340" t="s">
        <v>11</v>
      </c>
      <c r="G12340" t="s">
        <v>9034</v>
      </c>
      <c r="H12340" s="12">
        <v>-1.21622492584745</v>
      </c>
      <c r="I12340" s="20">
        <v>-1.0484955698118501</v>
      </c>
      <c r="J12340" s="28">
        <v>0.29441034235198599</v>
      </c>
      <c r="K12340" s="29">
        <v>0.98289565623980701</v>
      </c>
    </row>
    <row r="12341" spans="1:11" x14ac:dyDescent="0.35">
      <c r="A12341" s="9" t="str">
        <f>HYPERLINK("http://www.ensembl.org/id/WBGene00002978", "WBGene00002978")</f>
        <v>WBGene00002978</v>
      </c>
      <c r="B12341" s="9" t="str">
        <f>HYPERLINK("http://www.ncbi.nlm.nih.gov/gene/173319", "173319")</f>
        <v>173319</v>
      </c>
      <c r="C12341" s="9" t="str">
        <f>HYPERLINK("http://www.ncbi.nlm.nih.gov/gene/7168", "7168")</f>
        <v>7168</v>
      </c>
      <c r="D12341" t="str">
        <f>"lev-11"</f>
        <v>lev-11</v>
      </c>
      <c r="E12341" t="s">
        <v>6661</v>
      </c>
      <c r="F12341" t="s">
        <v>11</v>
      </c>
      <c r="G12341" t="s">
        <v>6662</v>
      </c>
      <c r="H12341" s="12">
        <v>-1.0835653363170901</v>
      </c>
      <c r="I12341" s="20">
        <v>-0.41849872357878698</v>
      </c>
      <c r="J12341" s="28">
        <v>0.67558251959385496</v>
      </c>
      <c r="K12341" s="29">
        <v>0.98289565623980701</v>
      </c>
    </row>
    <row r="12342" spans="1:11" x14ac:dyDescent="0.35">
      <c r="A12342" s="9" t="str">
        <f>HYPERLINK("http://www.ensembl.org/id/WBGene00002975", "WBGene00002975")</f>
        <v>WBGene00002975</v>
      </c>
      <c r="B12342" s="9" t="str">
        <f>HYPERLINK("http://www.ncbi.nlm.nih.gov/gene/191600", "191600")</f>
        <v>191600</v>
      </c>
      <c r="C12342" s="9"/>
      <c r="D12342" t="str">
        <f>"lev-8"</f>
        <v>lev-8</v>
      </c>
      <c r="F12342" t="s">
        <v>11</v>
      </c>
      <c r="G12342" t="s">
        <v>1743</v>
      </c>
      <c r="H12342" s="12">
        <v>1.1778913774027699</v>
      </c>
      <c r="I12342" s="20">
        <v>0.49426279441853799</v>
      </c>
      <c r="J12342" s="28">
        <v>0.621120597310586</v>
      </c>
      <c r="K12342" s="29">
        <v>0.98289565623980701</v>
      </c>
    </row>
    <row r="12343" spans="1:11" x14ac:dyDescent="0.35">
      <c r="A12343" s="9" t="str">
        <f>HYPERLINK("http://www.ensembl.org/id/WBGene00022500", "WBGene00022500")</f>
        <v>WBGene00022500</v>
      </c>
      <c r="B12343" s="9" t="str">
        <f>HYPERLINK("http://www.ncbi.nlm.nih.gov/gene/180771", "180771")</f>
        <v>180771</v>
      </c>
      <c r="C12343" s="9"/>
      <c r="D12343" t="str">
        <f>"lfi-1"</f>
        <v>lfi-1</v>
      </c>
      <c r="E12343" t="s">
        <v>5807</v>
      </c>
      <c r="F12343" t="s">
        <v>11</v>
      </c>
      <c r="G12343" t="s">
        <v>5808</v>
      </c>
      <c r="H12343" s="12">
        <v>1.09887770490915</v>
      </c>
      <c r="I12343" s="20">
        <v>0.52197497165363804</v>
      </c>
      <c r="J12343" s="28">
        <v>0.60168775691357201</v>
      </c>
      <c r="K12343" s="29">
        <v>0.98289565623980701</v>
      </c>
    </row>
    <row r="12344" spans="1:11" x14ac:dyDescent="0.35">
      <c r="A12344" s="9" t="str">
        <f>HYPERLINK("http://www.ensembl.org/id/WBGene00020236", "WBGene00020236")</f>
        <v>WBGene00020236</v>
      </c>
      <c r="B12344" s="9" t="str">
        <f>HYPERLINK("http://www.ncbi.nlm.nih.gov/gene/188099", "188099")</f>
        <v>188099</v>
      </c>
      <c r="C12344" s="9"/>
      <c r="D12344" t="str">
        <f>"lgc-1"</f>
        <v>lgc-1</v>
      </c>
      <c r="E12344" t="s">
        <v>505</v>
      </c>
      <c r="F12344" t="s">
        <v>11</v>
      </c>
      <c r="G12344" t="s">
        <v>906</v>
      </c>
      <c r="H12344" s="12">
        <v>-1.5968144146840599</v>
      </c>
      <c r="I12344" s="20">
        <v>-0.98040429314253297</v>
      </c>
      <c r="J12344" s="28">
        <v>0.32688659142140603</v>
      </c>
      <c r="K12344" s="29">
        <v>0.98289565623980701</v>
      </c>
    </row>
    <row r="12345" spans="1:11" x14ac:dyDescent="0.35">
      <c r="A12345" s="9" t="str">
        <f>HYPERLINK("http://www.ensembl.org/id/WBGene00020048", "WBGene00020048")</f>
        <v>WBGene00020048</v>
      </c>
      <c r="B12345" s="9" t="str">
        <f>HYPERLINK("http://www.ncbi.nlm.nih.gov/gene/187855", "187855")</f>
        <v>187855</v>
      </c>
      <c r="C12345" s="9"/>
      <c r="D12345" t="str">
        <f>"lgc-12"</f>
        <v>lgc-12</v>
      </c>
      <c r="E12345" t="s">
        <v>505</v>
      </c>
      <c r="F12345" t="s">
        <v>11</v>
      </c>
      <c r="G12345" t="s">
        <v>906</v>
      </c>
      <c r="H12345" s="12">
        <v>-1.1609078221568201</v>
      </c>
      <c r="I12345" s="20">
        <v>-0.26357144930280502</v>
      </c>
      <c r="J12345" s="28">
        <v>0.79211016091997799</v>
      </c>
      <c r="K12345" s="29">
        <v>0.98289565623980701</v>
      </c>
    </row>
    <row r="12346" spans="1:11" x14ac:dyDescent="0.35">
      <c r="A12346" s="9" t="str">
        <f>HYPERLINK("http://www.ensembl.org/id/WBGene00011354", "WBGene00011354")</f>
        <v>WBGene00011354</v>
      </c>
      <c r="B12346" s="9" t="str">
        <f>HYPERLINK("http://www.ncbi.nlm.nih.gov/gene/187971", "187971")</f>
        <v>187971</v>
      </c>
      <c r="C12346" s="9"/>
      <c r="D12346" t="str">
        <f>"lgc-13"</f>
        <v>lgc-13</v>
      </c>
      <c r="E12346" t="s">
        <v>505</v>
      </c>
      <c r="F12346" t="s">
        <v>11</v>
      </c>
      <c r="G12346" t="s">
        <v>906</v>
      </c>
      <c r="H12346" s="12">
        <v>-1.1007135506632</v>
      </c>
      <c r="I12346" s="20">
        <v>-0.26052353208792101</v>
      </c>
      <c r="J12346" s="28">
        <v>0.79445996585927003</v>
      </c>
      <c r="K12346" s="29">
        <v>0.98289565623980701</v>
      </c>
    </row>
    <row r="12347" spans="1:11" x14ac:dyDescent="0.35">
      <c r="A12347" s="9" t="str">
        <f>HYPERLINK("http://www.ensembl.org/id/WBGene00011355", "WBGene00011355")</f>
        <v>WBGene00011355</v>
      </c>
      <c r="B12347" s="9" t="str">
        <f>HYPERLINK("http://www.ncbi.nlm.nih.gov/gene/187972", "187972")</f>
        <v>187972</v>
      </c>
      <c r="C12347" s="9"/>
      <c r="D12347" t="str">
        <f>"lgc-14"</f>
        <v>lgc-14</v>
      </c>
      <c r="E12347" t="s">
        <v>505</v>
      </c>
      <c r="F12347" t="s">
        <v>11</v>
      </c>
      <c r="G12347" t="s">
        <v>906</v>
      </c>
      <c r="H12347" s="12">
        <v>-1.4444089367742401</v>
      </c>
      <c r="I12347" s="20">
        <v>-0.52326078885397298</v>
      </c>
      <c r="J12347" s="28">
        <v>0.60079278384963097</v>
      </c>
      <c r="K12347" s="29">
        <v>0.98289565623980701</v>
      </c>
    </row>
    <row r="12348" spans="1:11" x14ac:dyDescent="0.35">
      <c r="A12348" s="9" t="str">
        <f>HYPERLINK("http://www.ensembl.org/id/WBGene00011356", "WBGene00011356")</f>
        <v>WBGene00011356</v>
      </c>
      <c r="B12348" s="9" t="str">
        <f>HYPERLINK("http://www.ncbi.nlm.nih.gov/gene/187973", "187973")</f>
        <v>187973</v>
      </c>
      <c r="C12348" s="9"/>
      <c r="D12348" t="str">
        <f>"lgc-15"</f>
        <v>lgc-15</v>
      </c>
      <c r="E12348" t="s">
        <v>505</v>
      </c>
      <c r="F12348" t="s">
        <v>11</v>
      </c>
      <c r="G12348" t="s">
        <v>906</v>
      </c>
      <c r="H12348" s="12">
        <v>1.61793625758953</v>
      </c>
      <c r="I12348" s="20">
        <v>0.36065373146083202</v>
      </c>
      <c r="J12348" s="28">
        <v>0.718358316868424</v>
      </c>
      <c r="K12348" s="29">
        <v>0.98289565623980701</v>
      </c>
    </row>
    <row r="12349" spans="1:11" x14ac:dyDescent="0.35">
      <c r="A12349" s="9" t="str">
        <f>HYPERLINK("http://www.ensembl.org/id/WBGene00011359", "WBGene00011359")</f>
        <v>WBGene00011359</v>
      </c>
      <c r="B12349" s="9" t="str">
        <f>HYPERLINK("http://www.ncbi.nlm.nih.gov/gene/187976", "187976")</f>
        <v>187976</v>
      </c>
      <c r="C12349" s="9"/>
      <c r="D12349" t="str">
        <f>"lgc-17"</f>
        <v>lgc-17</v>
      </c>
      <c r="E12349" t="s">
        <v>505</v>
      </c>
      <c r="F12349" t="s">
        <v>11</v>
      </c>
      <c r="G12349" t="s">
        <v>906</v>
      </c>
      <c r="H12349" s="12">
        <v>8.4812861841413305</v>
      </c>
      <c r="I12349" s="20">
        <v>0.72035110111219103</v>
      </c>
      <c r="J12349" s="28">
        <v>0.47130884904435499</v>
      </c>
      <c r="K12349" s="29">
        <v>0.98289565623980701</v>
      </c>
    </row>
    <row r="12350" spans="1:11" x14ac:dyDescent="0.35">
      <c r="A12350" s="9" t="str">
        <f>HYPERLINK("http://www.ensembl.org/id/WBGene00011360", "WBGene00011360")</f>
        <v>WBGene00011360</v>
      </c>
      <c r="B12350" s="9" t="str">
        <f>HYPERLINK("http://www.ncbi.nlm.nih.gov/gene/187977", "187977")</f>
        <v>187977</v>
      </c>
      <c r="C12350" s="9"/>
      <c r="D12350" t="str">
        <f>"lgc-18"</f>
        <v>lgc-18</v>
      </c>
      <c r="E12350" t="s">
        <v>505</v>
      </c>
      <c r="F12350" t="s">
        <v>11</v>
      </c>
      <c r="G12350" t="s">
        <v>906</v>
      </c>
      <c r="H12350" s="12">
        <v>1.90708030319786</v>
      </c>
      <c r="I12350" s="20">
        <v>0.398003195431407</v>
      </c>
      <c r="J12350" s="28">
        <v>0.69062783030596597</v>
      </c>
      <c r="K12350" s="29">
        <v>0.98289565623980701</v>
      </c>
    </row>
    <row r="12351" spans="1:11" x14ac:dyDescent="0.35">
      <c r="A12351" s="9" t="str">
        <f>HYPERLINK("http://www.ensembl.org/id/WBGene00013655", "WBGene00013655")</f>
        <v>WBGene00013655</v>
      </c>
      <c r="B12351" s="9" t="str">
        <f>HYPERLINK("http://www.ncbi.nlm.nih.gov/gene/190895", "190895")</f>
        <v>190895</v>
      </c>
      <c r="C12351" s="9"/>
      <c r="D12351" t="str">
        <f>"lgc-19"</f>
        <v>lgc-19</v>
      </c>
      <c r="E12351" t="s">
        <v>505</v>
      </c>
      <c r="F12351" t="s">
        <v>11</v>
      </c>
      <c r="G12351" t="s">
        <v>906</v>
      </c>
      <c r="H12351" s="12">
        <v>3.1713897727018501</v>
      </c>
      <c r="I12351" s="20">
        <v>0.57044874242209098</v>
      </c>
      <c r="J12351" s="28">
        <v>0.56837337809309596</v>
      </c>
      <c r="K12351" s="29">
        <v>0.98289565623980701</v>
      </c>
    </row>
    <row r="12352" spans="1:11" x14ac:dyDescent="0.35">
      <c r="A12352" s="9" t="str">
        <f>HYPERLINK("http://www.ensembl.org/id/WBGene00007903", "WBGene00007903")</f>
        <v>WBGene00007903</v>
      </c>
      <c r="B12352" s="9" t="str">
        <f>HYPERLINK("http://www.ncbi.nlm.nih.gov/gene/181516", "181516")</f>
        <v>181516</v>
      </c>
      <c r="C12352" s="9"/>
      <c r="D12352" t="str">
        <f>"lgc-21"</f>
        <v>lgc-21</v>
      </c>
      <c r="E12352" t="s">
        <v>505</v>
      </c>
      <c r="F12352" t="s">
        <v>11</v>
      </c>
      <c r="G12352" t="s">
        <v>906</v>
      </c>
      <c r="H12352" s="12">
        <v>1.55506178790217</v>
      </c>
      <c r="I12352" s="20">
        <v>0.88697356598272004</v>
      </c>
      <c r="J12352" s="28">
        <v>0.375093132406842</v>
      </c>
      <c r="K12352" s="29">
        <v>0.98289565623980701</v>
      </c>
    </row>
    <row r="12353" spans="1:11" x14ac:dyDescent="0.35">
      <c r="A12353" s="9" t="str">
        <f>HYPERLINK("http://www.ensembl.org/id/WBGene00017483", "WBGene00017483")</f>
        <v>WBGene00017483</v>
      </c>
      <c r="B12353" s="9" t="str">
        <f>HYPERLINK("http://www.ncbi.nlm.nih.gov/gene/184533", "184533")</f>
        <v>184533</v>
      </c>
      <c r="C12353" s="9"/>
      <c r="D12353" t="str">
        <f>"lgc-22"</f>
        <v>lgc-22</v>
      </c>
      <c r="E12353" t="s">
        <v>505</v>
      </c>
      <c r="F12353" t="s">
        <v>11</v>
      </c>
      <c r="G12353" t="s">
        <v>4809</v>
      </c>
      <c r="H12353" s="12">
        <v>1.36365124452723</v>
      </c>
      <c r="I12353" s="20">
        <v>1.1855930994067501</v>
      </c>
      <c r="J12353" s="28">
        <v>0.23578302870359499</v>
      </c>
      <c r="K12353" s="29">
        <v>0.98289565623980701</v>
      </c>
    </row>
    <row r="12354" spans="1:11" x14ac:dyDescent="0.35">
      <c r="A12354" s="9" t="str">
        <f>HYPERLINK("http://www.ensembl.org/id/WBGene00008997", "WBGene00008997")</f>
        <v>WBGene00008997</v>
      </c>
      <c r="B12354" s="9" t="str">
        <f>HYPERLINK("http://www.ncbi.nlm.nih.gov/gene/184752", "184752")</f>
        <v>184752</v>
      </c>
      <c r="C12354" s="9"/>
      <c r="D12354" t="str">
        <f>"lgc-31"</f>
        <v>lgc-31</v>
      </c>
      <c r="E12354" t="s">
        <v>505</v>
      </c>
      <c r="F12354" t="s">
        <v>11</v>
      </c>
      <c r="G12354" t="s">
        <v>906</v>
      </c>
      <c r="H12354" s="12">
        <v>1.13218763229723</v>
      </c>
      <c r="I12354" s="20">
        <v>0.48335496897359997</v>
      </c>
      <c r="J12354" s="28">
        <v>0.62884371613549295</v>
      </c>
      <c r="K12354" s="29">
        <v>0.98289565623980701</v>
      </c>
    </row>
    <row r="12355" spans="1:11" x14ac:dyDescent="0.35">
      <c r="A12355" s="9" t="str">
        <f>HYPERLINK("http://www.ensembl.org/id/WBGene00020569", "WBGene00020569")</f>
        <v>WBGene00020569</v>
      </c>
      <c r="B12355" s="9" t="str">
        <f>HYPERLINK("http://www.ncbi.nlm.nih.gov/gene/188603", "188603")</f>
        <v>188603</v>
      </c>
      <c r="C12355" s="9"/>
      <c r="D12355" t="str">
        <f>"lgc-32"</f>
        <v>lgc-32</v>
      </c>
      <c r="E12355" t="s">
        <v>505</v>
      </c>
      <c r="F12355" t="s">
        <v>11</v>
      </c>
      <c r="G12355" t="s">
        <v>812</v>
      </c>
      <c r="H12355" s="12">
        <v>1.7110770066568</v>
      </c>
      <c r="I12355" s="20">
        <v>0.7387603264757</v>
      </c>
      <c r="J12355" s="28">
        <v>0.46005254658942701</v>
      </c>
      <c r="K12355" s="29">
        <v>0.98289565623980701</v>
      </c>
    </row>
    <row r="12356" spans="1:11" x14ac:dyDescent="0.35">
      <c r="A12356" s="9" t="str">
        <f>HYPERLINK("http://www.ensembl.org/id/WBGene00020836", "WBGene00020836")</f>
        <v>WBGene00020836</v>
      </c>
      <c r="B12356" s="9" t="str">
        <f>HYPERLINK("http://www.ncbi.nlm.nih.gov/gene/173443", "173443")</f>
        <v>173443</v>
      </c>
      <c r="C12356" s="9"/>
      <c r="D12356" t="str">
        <f>"lgc-34"</f>
        <v>lgc-34</v>
      </c>
      <c r="E12356" t="s">
        <v>505</v>
      </c>
      <c r="F12356" t="s">
        <v>11</v>
      </c>
      <c r="G12356" t="s">
        <v>506</v>
      </c>
      <c r="H12356" s="12">
        <v>-1.13030603661193</v>
      </c>
      <c r="I12356" s="20">
        <v>-0.53318660387000205</v>
      </c>
      <c r="J12356" s="28">
        <v>0.593904413785037</v>
      </c>
      <c r="K12356" s="29">
        <v>0.98289565623980701</v>
      </c>
    </row>
    <row r="12357" spans="1:11" x14ac:dyDescent="0.35">
      <c r="A12357" s="9" t="str">
        <f>HYPERLINK("http://www.ensembl.org/id/WBGene00017314", "WBGene00017314")</f>
        <v>WBGene00017314</v>
      </c>
      <c r="B12357" s="9" t="str">
        <f>HYPERLINK("http://www.ncbi.nlm.nih.gov/gene/184265", "184265")</f>
        <v>184265</v>
      </c>
      <c r="C12357" s="9"/>
      <c r="D12357" t="str">
        <f>"lgc-39"</f>
        <v>lgc-39</v>
      </c>
      <c r="E12357" t="s">
        <v>505</v>
      </c>
      <c r="F12357" t="s">
        <v>11</v>
      </c>
      <c r="G12357" t="s">
        <v>912</v>
      </c>
      <c r="H12357" s="12">
        <v>1.0811173715816</v>
      </c>
      <c r="I12357" s="20">
        <v>0.330092799695689</v>
      </c>
      <c r="J12357" s="28">
        <v>0.74132984361682397</v>
      </c>
      <c r="K12357" s="29">
        <v>0.98289565623980701</v>
      </c>
    </row>
    <row r="12358" spans="1:11" x14ac:dyDescent="0.35">
      <c r="A12358" s="9" t="str">
        <f>HYPERLINK("http://www.ensembl.org/id/WBGene00017580", "WBGene00017580")</f>
        <v>WBGene00017580</v>
      </c>
      <c r="B12358" s="9" t="str">
        <f>HYPERLINK("http://www.ncbi.nlm.nih.gov/gene/181155", "181155")</f>
        <v>181155</v>
      </c>
      <c r="C12358" s="9"/>
      <c r="D12358" t="str">
        <f>"lgc-4"</f>
        <v>lgc-4</v>
      </c>
      <c r="E12358" t="s">
        <v>4689</v>
      </c>
      <c r="F12358" t="s">
        <v>11</v>
      </c>
      <c r="G12358" t="s">
        <v>870</v>
      </c>
      <c r="H12358" s="12">
        <v>1.4957276570601401</v>
      </c>
      <c r="I12358" s="20">
        <v>1.2060316299943501</v>
      </c>
      <c r="J12358" s="28">
        <v>0.22780529480335299</v>
      </c>
      <c r="K12358" s="29">
        <v>0.98289565623980701</v>
      </c>
    </row>
    <row r="12359" spans="1:11" x14ac:dyDescent="0.35">
      <c r="A12359" s="9" t="str">
        <f>HYPERLINK("http://www.ensembl.org/id/WBGene00008022", "WBGene00008022")</f>
        <v>WBGene00008022</v>
      </c>
      <c r="B12359" s="9" t="str">
        <f>HYPERLINK("http://www.ncbi.nlm.nih.gov/gene/183331", "183331")</f>
        <v>183331</v>
      </c>
      <c r="C12359" s="9"/>
      <c r="D12359" t="str">
        <f>"lgc-41"</f>
        <v>lgc-41</v>
      </c>
      <c r="E12359" t="s">
        <v>505</v>
      </c>
      <c r="F12359" t="s">
        <v>11</v>
      </c>
      <c r="G12359" t="s">
        <v>506</v>
      </c>
      <c r="H12359" s="12">
        <v>-1.1127145187778</v>
      </c>
      <c r="I12359" s="20">
        <v>-0.32416671578007</v>
      </c>
      <c r="J12359" s="28">
        <v>0.74581181957424703</v>
      </c>
      <c r="K12359" s="29">
        <v>0.98289565623980701</v>
      </c>
    </row>
    <row r="12360" spans="1:11" x14ac:dyDescent="0.35">
      <c r="A12360" s="9" t="str">
        <f>HYPERLINK("http://www.ensembl.org/id/WBGene00021437", "WBGene00021437")</f>
        <v>WBGene00021437</v>
      </c>
      <c r="B12360" s="9" t="str">
        <f>HYPERLINK("http://www.ncbi.nlm.nih.gov/gene/189722", "189722")</f>
        <v>189722</v>
      </c>
      <c r="C12360" s="9"/>
      <c r="D12360" t="str">
        <f>"lgc-42"</f>
        <v>lgc-42</v>
      </c>
      <c r="E12360" t="s">
        <v>505</v>
      </c>
      <c r="F12360" t="s">
        <v>11</v>
      </c>
      <c r="G12360" t="s">
        <v>506</v>
      </c>
      <c r="H12360" s="12">
        <v>-1.1196512878560201</v>
      </c>
      <c r="I12360" s="20">
        <v>-0.53233292526920695</v>
      </c>
      <c r="J12360" s="28">
        <v>0.594495432048466</v>
      </c>
      <c r="K12360" s="29">
        <v>0.98289565623980701</v>
      </c>
    </row>
    <row r="12361" spans="1:11" x14ac:dyDescent="0.35">
      <c r="A12361" s="9" t="str">
        <f>HYPERLINK("http://www.ensembl.org/id/WBGene00008223", "WBGene00008223")</f>
        <v>WBGene00008223</v>
      </c>
      <c r="B12361" s="9" t="str">
        <f>HYPERLINK("http://www.ncbi.nlm.nih.gov/gene/183638", "183638")</f>
        <v>183638</v>
      </c>
      <c r="C12361" s="9"/>
      <c r="D12361" t="str">
        <f>"lgc-48"</f>
        <v>lgc-48</v>
      </c>
      <c r="E12361" t="s">
        <v>505</v>
      </c>
      <c r="F12361" t="s">
        <v>11</v>
      </c>
      <c r="G12361" t="s">
        <v>506</v>
      </c>
      <c r="H12361" s="12">
        <v>2.1148291960246199</v>
      </c>
      <c r="I12361" s="20">
        <v>0.82590666074604102</v>
      </c>
      <c r="J12361" s="28">
        <v>0.40885704190660499</v>
      </c>
      <c r="K12361" s="29">
        <v>0.98289565623980701</v>
      </c>
    </row>
    <row r="12362" spans="1:11" x14ac:dyDescent="0.35">
      <c r="A12362" s="9" t="str">
        <f>HYPERLINK("http://www.ensembl.org/id/WBGene00017543", "WBGene00017543")</f>
        <v>WBGene00017543</v>
      </c>
      <c r="B12362" s="9" t="str">
        <f>HYPERLINK("http://www.ncbi.nlm.nih.gov/gene/184620", "184620")</f>
        <v>184620</v>
      </c>
      <c r="C12362" s="9"/>
      <c r="D12362" t="str">
        <f>"lgc-5"</f>
        <v>lgc-5</v>
      </c>
      <c r="E12362" t="s">
        <v>505</v>
      </c>
      <c r="F12362" t="s">
        <v>11</v>
      </c>
      <c r="G12362" t="s">
        <v>906</v>
      </c>
      <c r="H12362" s="12">
        <v>1.89569102907416</v>
      </c>
      <c r="I12362" s="20">
        <v>0.36288194419192399</v>
      </c>
      <c r="J12362" s="28">
        <v>0.71669307516259295</v>
      </c>
      <c r="K12362" s="29">
        <v>0.98289565623980701</v>
      </c>
    </row>
    <row r="12363" spans="1:11" x14ac:dyDescent="0.35">
      <c r="A12363" s="9" t="str">
        <f>HYPERLINK("http://www.ensembl.org/id/WBGene00017399", "WBGene00017399")</f>
        <v>WBGene00017399</v>
      </c>
      <c r="B12363" s="9" t="str">
        <f>HYPERLINK("http://www.ncbi.nlm.nih.gov/gene/184377", "184377")</f>
        <v>184377</v>
      </c>
      <c r="C12363" s="9"/>
      <c r="D12363" t="str">
        <f>"lgc-51"</f>
        <v>lgc-51</v>
      </c>
      <c r="E12363" t="s">
        <v>505</v>
      </c>
      <c r="F12363" t="s">
        <v>11</v>
      </c>
      <c r="G12363" t="s">
        <v>506</v>
      </c>
      <c r="H12363" s="12">
        <v>1.7576874672715599</v>
      </c>
      <c r="I12363" s="20">
        <v>0.270179177523315</v>
      </c>
      <c r="J12363" s="28">
        <v>0.78702241113302596</v>
      </c>
      <c r="K12363" s="29">
        <v>0.98289565623980701</v>
      </c>
    </row>
    <row r="12364" spans="1:11" x14ac:dyDescent="0.35">
      <c r="A12364" s="9" t="str">
        <f>HYPERLINK("http://www.ensembl.org/id/WBGene00020528", "WBGene00020528")</f>
        <v>WBGene00020528</v>
      </c>
      <c r="B12364" s="9" t="str">
        <f>HYPERLINK("http://www.ncbi.nlm.nih.gov/gene/188525", "188525")</f>
        <v>188525</v>
      </c>
      <c r="C12364" s="9"/>
      <c r="D12364" t="str">
        <f>"lgc-54"</f>
        <v>lgc-54</v>
      </c>
      <c r="E12364" t="s">
        <v>505</v>
      </c>
      <c r="F12364" t="s">
        <v>11</v>
      </c>
      <c r="G12364" t="s">
        <v>506</v>
      </c>
      <c r="H12364" s="12">
        <v>1.5104221512968401</v>
      </c>
      <c r="I12364" s="20">
        <v>1.09430876045268</v>
      </c>
      <c r="J12364" s="28">
        <v>0.27381958442208598</v>
      </c>
      <c r="K12364" s="29">
        <v>0.98289565623980701</v>
      </c>
    </row>
    <row r="12365" spans="1:11" x14ac:dyDescent="0.35">
      <c r="A12365" s="9" t="str">
        <f>HYPERLINK("http://www.ensembl.org/id/WBGene00013300", "WBGene00013300")</f>
        <v>WBGene00013300</v>
      </c>
      <c r="B12365" s="9" t="str">
        <f>HYPERLINK("http://www.ncbi.nlm.nih.gov/gene/190370", "190370")</f>
        <v>190370</v>
      </c>
      <c r="C12365" s="9"/>
      <c r="D12365" t="str">
        <f>"lgc-7"</f>
        <v>lgc-7</v>
      </c>
      <c r="E12365" t="s">
        <v>505</v>
      </c>
      <c r="F12365" t="s">
        <v>11</v>
      </c>
      <c r="G12365" t="s">
        <v>906</v>
      </c>
      <c r="H12365" s="12">
        <v>-2.7497667167578501</v>
      </c>
      <c r="I12365" s="20">
        <v>-0.60687023039203403</v>
      </c>
      <c r="J12365" s="28">
        <v>0.543937035799685</v>
      </c>
      <c r="K12365" s="29">
        <v>0.98289565623980701</v>
      </c>
    </row>
    <row r="12366" spans="1:11" x14ac:dyDescent="0.35">
      <c r="A12366" s="9" t="str">
        <f>HYPERLINK("http://www.ensembl.org/id/WBGene00015412", "WBGene00015412")</f>
        <v>WBGene00015412</v>
      </c>
      <c r="B12366" s="9" t="str">
        <f>HYPERLINK("http://www.ncbi.nlm.nih.gov/gene/182195", "182195")</f>
        <v>182195</v>
      </c>
      <c r="C12366" s="9"/>
      <c r="D12366" t="str">
        <f>"lgc-9"</f>
        <v>lgc-9</v>
      </c>
      <c r="E12366" t="s">
        <v>505</v>
      </c>
      <c r="F12366" t="s">
        <v>11</v>
      </c>
      <c r="G12366" t="s">
        <v>906</v>
      </c>
      <c r="H12366" s="12">
        <v>1.20119341485901</v>
      </c>
      <c r="I12366" s="20">
        <v>0.372774212340024</v>
      </c>
      <c r="J12366" s="28">
        <v>0.70931649726964396</v>
      </c>
      <c r="K12366" s="29">
        <v>0.98289565623980701</v>
      </c>
    </row>
    <row r="12367" spans="1:11" x14ac:dyDescent="0.35">
      <c r="A12367" s="9" t="str">
        <f>HYPERLINK("http://www.ensembl.org/id/WBGene00002982", "WBGene00002982")</f>
        <v>WBGene00002982</v>
      </c>
      <c r="B12367" s="9" t="str">
        <f>HYPERLINK("http://www.ncbi.nlm.nih.gov/gene/175793", "175793")</f>
        <v>175793</v>
      </c>
      <c r="C12367" s="9"/>
      <c r="D12367" t="str">
        <f>"lgg-3"</f>
        <v>lgg-3</v>
      </c>
      <c r="E12367" t="s">
        <v>8465</v>
      </c>
      <c r="F12367" t="s">
        <v>11</v>
      </c>
      <c r="G12367" t="s">
        <v>8466</v>
      </c>
      <c r="H12367" s="12">
        <v>-1.17932590329787</v>
      </c>
      <c r="I12367" s="20">
        <v>-0.73090315400821104</v>
      </c>
      <c r="J12367" s="28">
        <v>0.46483830938238402</v>
      </c>
      <c r="K12367" s="29">
        <v>0.98289565623980701</v>
      </c>
    </row>
    <row r="12368" spans="1:11" x14ac:dyDescent="0.35">
      <c r="A12368" s="9" t="str">
        <f>HYPERLINK("http://www.ensembl.org/id/WBGene00018987", "WBGene00018987")</f>
        <v>WBGene00018987</v>
      </c>
      <c r="B12368" s="9" t="str">
        <f>HYPERLINK("http://www.ncbi.nlm.nih.gov/gene/180435", "180435")</f>
        <v>180435</v>
      </c>
      <c r="C12368" s="9"/>
      <c r="D12368" t="str">
        <f>"lgl-1"</f>
        <v>lgl-1</v>
      </c>
      <c r="E12368" t="s">
        <v>5281</v>
      </c>
      <c r="F12368" t="s">
        <v>11</v>
      </c>
      <c r="G12368" t="s">
        <v>5282</v>
      </c>
      <c r="H12368" s="12">
        <v>1.1961831922750501</v>
      </c>
      <c r="I12368" s="20">
        <v>0.87004461053966697</v>
      </c>
      <c r="J12368" s="28">
        <v>0.384276025517442</v>
      </c>
      <c r="K12368" s="29">
        <v>0.98289565623980701</v>
      </c>
    </row>
    <row r="12369" spans="1:11" x14ac:dyDescent="0.35">
      <c r="A12369" s="9" t="str">
        <f>HYPERLINK("http://www.ensembl.org/id/WBGene00002983", "WBGene00002983")</f>
        <v>WBGene00002983</v>
      </c>
      <c r="B12369" s="9" t="str">
        <f>HYPERLINK("http://www.ncbi.nlm.nih.gov/gene/180825", "180825")</f>
        <v>180825</v>
      </c>
      <c r="C12369" s="9"/>
      <c r="D12369" t="str">
        <f>"lgx-1"</f>
        <v>lgx-1</v>
      </c>
      <c r="E12369" t="s">
        <v>4807</v>
      </c>
      <c r="F12369" t="s">
        <v>11</v>
      </c>
      <c r="G12369" t="s">
        <v>4808</v>
      </c>
      <c r="H12369" s="12">
        <v>1.36494982901802</v>
      </c>
      <c r="I12369" s="20">
        <v>1.0339967763590501</v>
      </c>
      <c r="J12369" s="28">
        <v>0.301137670267835</v>
      </c>
      <c r="K12369" s="29">
        <v>0.98289565623980701</v>
      </c>
    </row>
    <row r="12370" spans="1:11" x14ac:dyDescent="0.35">
      <c r="A12370" s="9" t="str">
        <f>HYPERLINK("http://www.ensembl.org/id/WBGene00015586", "WBGene00015586")</f>
        <v>WBGene00015586</v>
      </c>
      <c r="B12370" s="9" t="str">
        <f>HYPERLINK("http://www.ncbi.nlm.nih.gov/gene/181749", "181749")</f>
        <v>181749</v>
      </c>
      <c r="C12370" s="9"/>
      <c r="D12370" t="str">
        <f>"lido-1"</f>
        <v>lido-1</v>
      </c>
      <c r="F12370" t="s">
        <v>11</v>
      </c>
      <c r="G12370" t="s">
        <v>228</v>
      </c>
      <c r="H12370" s="12">
        <v>-1.1864027953226199</v>
      </c>
      <c r="I12370" s="20">
        <v>-0.58957471768628</v>
      </c>
      <c r="J12370" s="28">
        <v>0.55547580576218702</v>
      </c>
      <c r="K12370" s="29">
        <v>0.98289565623980701</v>
      </c>
    </row>
    <row r="12371" spans="1:11" x14ac:dyDescent="0.35">
      <c r="A12371" s="9" t="str">
        <f>HYPERLINK("http://www.ensembl.org/id/WBGene00016575", "WBGene00016575")</f>
        <v>WBGene00016575</v>
      </c>
      <c r="B12371" s="9" t="str">
        <f>HYPERLINK("http://www.ncbi.nlm.nih.gov/gene/173647", "173647")</f>
        <v>173647</v>
      </c>
      <c r="C12371" s="9"/>
      <c r="D12371" t="str">
        <f>"lido-10"</f>
        <v>lido-10</v>
      </c>
      <c r="F12371" t="s">
        <v>11</v>
      </c>
      <c r="G12371" t="s">
        <v>228</v>
      </c>
      <c r="H12371" s="12">
        <v>1.1101901965827701</v>
      </c>
      <c r="I12371" s="20">
        <v>0.381719885587741</v>
      </c>
      <c r="J12371" s="28">
        <v>0.70266914846672601</v>
      </c>
      <c r="K12371" s="29">
        <v>0.98289565623980701</v>
      </c>
    </row>
    <row r="12372" spans="1:11" x14ac:dyDescent="0.35">
      <c r="A12372" s="9" t="str">
        <f>HYPERLINK("http://www.ensembl.org/id/WBGene00016574", "WBGene00016574")</f>
        <v>WBGene00016574</v>
      </c>
      <c r="B12372" s="9" t="str">
        <f>HYPERLINK("http://www.ncbi.nlm.nih.gov/gene/173648", "173648")</f>
        <v>173648</v>
      </c>
      <c r="C12372" s="9"/>
      <c r="D12372" t="str">
        <f>"lido-11"</f>
        <v>lido-11</v>
      </c>
      <c r="F12372" t="s">
        <v>11</v>
      </c>
      <c r="G12372" t="s">
        <v>228</v>
      </c>
      <c r="H12372" s="12">
        <v>-1.10854912907758</v>
      </c>
      <c r="I12372" s="20">
        <v>-0.44584575480536498</v>
      </c>
      <c r="J12372" s="28">
        <v>0.65570866834460995</v>
      </c>
      <c r="K12372" s="29">
        <v>0.98289565623980701</v>
      </c>
    </row>
    <row r="12373" spans="1:11" x14ac:dyDescent="0.35">
      <c r="A12373" s="9" t="str">
        <f>HYPERLINK("http://www.ensembl.org/id/WBGene00016573", "WBGene00016573")</f>
        <v>WBGene00016573</v>
      </c>
      <c r="B12373" s="9" t="str">
        <f>HYPERLINK("http://www.ncbi.nlm.nih.gov/gene/173649", "173649")</f>
        <v>173649</v>
      </c>
      <c r="C12373" s="9"/>
      <c r="D12373" t="str">
        <f>"lido-12"</f>
        <v>lido-12</v>
      </c>
      <c r="F12373" t="s">
        <v>11</v>
      </c>
      <c r="G12373" t="s">
        <v>228</v>
      </c>
      <c r="H12373" s="12">
        <v>-1.22847554901985</v>
      </c>
      <c r="I12373" s="20">
        <v>-0.89233467311176595</v>
      </c>
      <c r="J12373" s="28">
        <v>0.372213574784171</v>
      </c>
      <c r="K12373" s="29">
        <v>0.98289565623980701</v>
      </c>
    </row>
    <row r="12374" spans="1:11" x14ac:dyDescent="0.35">
      <c r="A12374" s="9" t="str">
        <f>HYPERLINK("http://www.ensembl.org/id/WBGene00015200", "WBGene00015200")</f>
        <v>WBGene00015200</v>
      </c>
      <c r="B12374" s="9" t="str">
        <f>HYPERLINK("http://www.ncbi.nlm.nih.gov/gene/173651", "173651")</f>
        <v>173651</v>
      </c>
      <c r="C12374" s="9"/>
      <c r="D12374" t="str">
        <f>"lido-13"</f>
        <v>lido-13</v>
      </c>
      <c r="F12374" t="s">
        <v>11</v>
      </c>
      <c r="G12374" t="s">
        <v>228</v>
      </c>
      <c r="H12374" s="12">
        <v>-1.0804418498389701</v>
      </c>
      <c r="I12374" s="20">
        <v>-0.33918066691679499</v>
      </c>
      <c r="J12374" s="28">
        <v>0.73447363251682096</v>
      </c>
      <c r="K12374" s="29">
        <v>0.98289565623980701</v>
      </c>
    </row>
    <row r="12375" spans="1:11" x14ac:dyDescent="0.35">
      <c r="A12375" s="9" t="str">
        <f>HYPERLINK("http://www.ensembl.org/id/WBGene00017451", "WBGene00017451")</f>
        <v>WBGene00017451</v>
      </c>
      <c r="B12375" s="9" t="str">
        <f>HYPERLINK("http://www.ncbi.nlm.nih.gov/gene/184453", "184453")</f>
        <v>184453</v>
      </c>
      <c r="C12375" s="9"/>
      <c r="D12375" t="str">
        <f>"lido-14"</f>
        <v>lido-14</v>
      </c>
      <c r="F12375" t="s">
        <v>11</v>
      </c>
      <c r="G12375" t="s">
        <v>228</v>
      </c>
      <c r="H12375" s="12">
        <v>-2.3893252702618799</v>
      </c>
      <c r="I12375" s="20">
        <v>-1.0862442303515301</v>
      </c>
      <c r="J12375" s="28">
        <v>0.27737095350540097</v>
      </c>
      <c r="K12375" s="29">
        <v>0.98289565623980701</v>
      </c>
    </row>
    <row r="12376" spans="1:11" x14ac:dyDescent="0.35">
      <c r="A12376" s="9" t="str">
        <f>HYPERLINK("http://www.ensembl.org/id/WBGene00018804", "WBGene00018804")</f>
        <v>WBGene00018804</v>
      </c>
      <c r="B12376" s="9" t="str">
        <f>HYPERLINK("http://www.ncbi.nlm.nih.gov/gene/173726", "173726")</f>
        <v>173726</v>
      </c>
      <c r="C12376" s="9"/>
      <c r="D12376" t="str">
        <f>"lido-15"</f>
        <v>lido-15</v>
      </c>
      <c r="F12376" t="s">
        <v>11</v>
      </c>
      <c r="G12376" t="s">
        <v>228</v>
      </c>
      <c r="H12376" s="12">
        <v>-1.29141759040233</v>
      </c>
      <c r="I12376" s="20">
        <v>-1.16246794322028</v>
      </c>
      <c r="J12376" s="28">
        <v>0.24504543877915999</v>
      </c>
      <c r="K12376" s="29">
        <v>0.98289565623980701</v>
      </c>
    </row>
    <row r="12377" spans="1:11" x14ac:dyDescent="0.35">
      <c r="A12377" s="9" t="str">
        <f>HYPERLINK("http://www.ensembl.org/id/WBGene00020898", "WBGene00020898")</f>
        <v>WBGene00020898</v>
      </c>
      <c r="B12377" s="9" t="str">
        <f>HYPERLINK("http://www.ncbi.nlm.nih.gov/gene/189045", "189045")</f>
        <v>189045</v>
      </c>
      <c r="C12377" s="9"/>
      <c r="D12377" t="str">
        <f>"lido-16"</f>
        <v>lido-16</v>
      </c>
      <c r="E12377" t="s">
        <v>10043</v>
      </c>
      <c r="F12377" t="s">
        <v>11</v>
      </c>
      <c r="G12377" t="s">
        <v>228</v>
      </c>
      <c r="H12377" s="12">
        <v>-2.1832445874178199</v>
      </c>
      <c r="I12377" s="20">
        <v>-0.56842691680819302</v>
      </c>
      <c r="J12377" s="28">
        <v>0.569745117649894</v>
      </c>
      <c r="K12377" s="29">
        <v>0.98289565623980701</v>
      </c>
    </row>
    <row r="12378" spans="1:11" x14ac:dyDescent="0.35">
      <c r="A12378" s="9" t="str">
        <f>HYPERLINK("http://www.ensembl.org/id/WBGene00015988", "WBGene00015988")</f>
        <v>WBGene00015988</v>
      </c>
      <c r="B12378" s="9" t="str">
        <f>HYPERLINK("http://www.ncbi.nlm.nih.gov/gene/176079", "176079")</f>
        <v>176079</v>
      </c>
      <c r="C12378" s="9"/>
      <c r="D12378" t="str">
        <f>"lido-18"</f>
        <v>lido-18</v>
      </c>
      <c r="F12378" t="s">
        <v>11</v>
      </c>
      <c r="G12378" t="s">
        <v>417</v>
      </c>
      <c r="H12378" s="12">
        <v>1.9029766244105</v>
      </c>
      <c r="I12378" s="20">
        <v>0.670769286074124</v>
      </c>
      <c r="J12378" s="28">
        <v>0.50236751651480605</v>
      </c>
      <c r="K12378" s="29">
        <v>0.98289565623980701</v>
      </c>
    </row>
    <row r="12379" spans="1:11" x14ac:dyDescent="0.35">
      <c r="A12379" s="9" t="str">
        <f>HYPERLINK("http://www.ensembl.org/id/WBGene00019576", "WBGene00019576")</f>
        <v>WBGene00019576</v>
      </c>
      <c r="B12379" s="9" t="str">
        <f>HYPERLINK("http://www.ncbi.nlm.nih.gov/gene/187221", "187221")</f>
        <v>187221</v>
      </c>
      <c r="C12379" s="9"/>
      <c r="D12379" t="str">
        <f>"lido-5"</f>
        <v>lido-5</v>
      </c>
      <c r="F12379" t="s">
        <v>11</v>
      </c>
      <c r="G12379" t="s">
        <v>228</v>
      </c>
      <c r="H12379" s="12">
        <v>-1.4302394189862699</v>
      </c>
      <c r="I12379" s="20">
        <v>-0.80252039117608498</v>
      </c>
      <c r="J12379" s="28">
        <v>0.42225199783752598</v>
      </c>
      <c r="K12379" s="29">
        <v>0.98289565623980701</v>
      </c>
    </row>
    <row r="12380" spans="1:11" x14ac:dyDescent="0.35">
      <c r="A12380" s="9" t="str">
        <f>HYPERLINK("http://www.ensembl.org/id/WBGene00019577", "WBGene00019577")</f>
        <v>WBGene00019577</v>
      </c>
      <c r="B12380" s="9" t="str">
        <f>HYPERLINK("http://www.ncbi.nlm.nih.gov/gene/187222", "187222")</f>
        <v>187222</v>
      </c>
      <c r="C12380" s="9"/>
      <c r="D12380" t="str">
        <f>"lido-6"</f>
        <v>lido-6</v>
      </c>
      <c r="F12380" t="s">
        <v>11</v>
      </c>
      <c r="G12380" t="s">
        <v>228</v>
      </c>
      <c r="H12380" s="12">
        <v>-1.2534520487911101</v>
      </c>
      <c r="I12380" s="20">
        <v>-0.64356315896327199</v>
      </c>
      <c r="J12380" s="28">
        <v>0.51985874652778996</v>
      </c>
      <c r="K12380" s="29">
        <v>0.98289565623980701</v>
      </c>
    </row>
    <row r="12381" spans="1:11" x14ac:dyDescent="0.35">
      <c r="A12381" s="9" t="str">
        <f>HYPERLINK("http://www.ensembl.org/id/WBGene00019511", "WBGene00019511")</f>
        <v>WBGene00019511</v>
      </c>
      <c r="B12381" s="9" t="str">
        <f>HYPERLINK("http://www.ncbi.nlm.nih.gov/gene/173645", "173645")</f>
        <v>173645</v>
      </c>
      <c r="C12381" s="9"/>
      <c r="D12381" t="str">
        <f>"lido-8"</f>
        <v>lido-8</v>
      </c>
      <c r="F12381" t="s">
        <v>11</v>
      </c>
      <c r="G12381" t="s">
        <v>228</v>
      </c>
      <c r="H12381" s="12">
        <v>1.2188133891309201</v>
      </c>
      <c r="I12381" s="20">
        <v>1.0477056571897201</v>
      </c>
      <c r="J12381" s="28">
        <v>0.29477424032569799</v>
      </c>
      <c r="K12381" s="29">
        <v>0.98289565623980701</v>
      </c>
    </row>
    <row r="12382" spans="1:11" x14ac:dyDescent="0.35">
      <c r="A12382" s="9" t="str">
        <f>HYPERLINK("http://www.ensembl.org/id/WBGene00002985", "WBGene00002985")</f>
        <v>WBGene00002985</v>
      </c>
      <c r="B12382" s="9" t="str">
        <f>HYPERLINK("http://www.ncbi.nlm.nih.gov/gene/179502", "179502")</f>
        <v>179502</v>
      </c>
      <c r="C12382" s="9" t="str">
        <f>HYPERLINK("http://www.ncbi.nlm.nih.gov/gene/3978", "3978")</f>
        <v>3978</v>
      </c>
      <c r="D12382" t="str">
        <f>"lig-1"</f>
        <v>lig-1</v>
      </c>
      <c r="E12382" t="s">
        <v>9740</v>
      </c>
      <c r="F12382" t="s">
        <v>11</v>
      </c>
      <c r="G12382" t="s">
        <v>9741</v>
      </c>
      <c r="H12382" s="12">
        <v>-1.2913384440358699</v>
      </c>
      <c r="I12382" s="20">
        <v>-1.0759162464390399</v>
      </c>
      <c r="J12382" s="28">
        <v>0.281964715303333</v>
      </c>
      <c r="K12382" s="29">
        <v>0.98289565623980701</v>
      </c>
    </row>
    <row r="12383" spans="1:11" x14ac:dyDescent="0.35">
      <c r="A12383" s="9" t="str">
        <f>HYPERLINK("http://www.ensembl.org/id/WBGene00002986", "WBGene00002986")</f>
        <v>WBGene00002986</v>
      </c>
      <c r="B12383" s="9" t="str">
        <f>HYPERLINK("http://www.ncbi.nlm.nih.gov/gene/176067", "176067")</f>
        <v>176067</v>
      </c>
      <c r="C12383" s="9"/>
      <c r="D12383" t="str">
        <f>"lig-4"</f>
        <v>lig-4</v>
      </c>
      <c r="E12383" t="s">
        <v>7528</v>
      </c>
      <c r="F12383" t="s">
        <v>11</v>
      </c>
      <c r="G12383" t="s">
        <v>7529</v>
      </c>
      <c r="H12383" s="12">
        <v>-1.1307245224470699</v>
      </c>
      <c r="I12383" s="20">
        <v>-0.58600206188753001</v>
      </c>
      <c r="J12383" s="28">
        <v>0.55787412924427604</v>
      </c>
      <c r="K12383" s="29">
        <v>0.98289565623980701</v>
      </c>
    </row>
    <row r="12384" spans="1:11" x14ac:dyDescent="0.35">
      <c r="A12384" s="9" t="str">
        <f>HYPERLINK("http://www.ensembl.org/id/WBGene00002988", "WBGene00002988")</f>
        <v>WBGene00002988</v>
      </c>
      <c r="B12384" s="9" t="str">
        <f>HYPERLINK("http://www.ncbi.nlm.nih.gov/gene/180459", "180459")</f>
        <v>180459</v>
      </c>
      <c r="C12384" s="9" t="str">
        <f>HYPERLINK("http://www.ncbi.nlm.nih.gov/gene/4010", "4010")</f>
        <v>4010</v>
      </c>
      <c r="D12384" t="str">
        <f>"lim-6"</f>
        <v>lim-6</v>
      </c>
      <c r="E12384" t="s">
        <v>3548</v>
      </c>
      <c r="F12384" t="s">
        <v>11</v>
      </c>
      <c r="G12384" t="s">
        <v>9608</v>
      </c>
      <c r="H12384" s="12">
        <v>-1.26354061131761</v>
      </c>
      <c r="I12384" s="20">
        <v>-1.0197539542739</v>
      </c>
      <c r="J12384" s="28">
        <v>0.30784516599487399</v>
      </c>
      <c r="K12384" s="29">
        <v>0.98289565623980701</v>
      </c>
    </row>
    <row r="12385" spans="1:11" x14ac:dyDescent="0.35">
      <c r="A12385" s="9" t="str">
        <f>HYPERLINK("http://www.ensembl.org/id/WBGene00002989", "WBGene00002989")</f>
        <v>WBGene00002989</v>
      </c>
      <c r="B12385" s="9" t="str">
        <f>HYPERLINK("http://www.ncbi.nlm.nih.gov/gene/172236", "172236")</f>
        <v>172236</v>
      </c>
      <c r="C12385" s="9" t="str">
        <f>HYPERLINK("http://www.ncbi.nlm.nih.gov/gene/3670", "3670")</f>
        <v>3670</v>
      </c>
      <c r="D12385" t="str">
        <f>"lim-7"</f>
        <v>lim-7</v>
      </c>
      <c r="E12385" t="s">
        <v>4853</v>
      </c>
      <c r="F12385" t="s">
        <v>11</v>
      </c>
      <c r="G12385" t="s">
        <v>4854</v>
      </c>
      <c r="H12385" s="12">
        <v>1.33227886417735</v>
      </c>
      <c r="I12385" s="20">
        <v>1.18276515301929</v>
      </c>
      <c r="J12385" s="28">
        <v>0.236902234664079</v>
      </c>
      <c r="K12385" s="29">
        <v>0.98289565623980701</v>
      </c>
    </row>
    <row r="12386" spans="1:11" x14ac:dyDescent="0.35">
      <c r="A12386" s="9" t="str">
        <f>HYPERLINK("http://www.ensembl.org/id/WBGene00017904", "WBGene00017904")</f>
        <v>WBGene00017904</v>
      </c>
      <c r="B12386" s="9" t="str">
        <f>HYPERLINK("http://www.ncbi.nlm.nih.gov/gene/175952", "175952")</f>
        <v>175952</v>
      </c>
      <c r="C12386" s="9"/>
      <c r="D12386" t="str">
        <f>"lim-8"</f>
        <v>lim-8</v>
      </c>
      <c r="E12386" t="s">
        <v>3548</v>
      </c>
      <c r="F12386" t="s">
        <v>11</v>
      </c>
      <c r="G12386" t="s">
        <v>6884</v>
      </c>
      <c r="H12386" s="12">
        <v>-1.0940731031217199</v>
      </c>
      <c r="I12386" s="20">
        <v>-0.48161208281782097</v>
      </c>
      <c r="J12386" s="28">
        <v>0.63008154115521198</v>
      </c>
      <c r="K12386" s="29">
        <v>0.98289565623980701</v>
      </c>
    </row>
    <row r="12387" spans="1:11" x14ac:dyDescent="0.35">
      <c r="A12387" s="9" t="str">
        <f>HYPERLINK("http://www.ensembl.org/id/WBGene00006407", "WBGene00006407")</f>
        <v>WBGene00006407</v>
      </c>
      <c r="B12387" s="9" t="str">
        <f>HYPERLINK("http://www.ncbi.nlm.nih.gov/gene/3565712", "3565712")</f>
        <v>3565712</v>
      </c>
      <c r="C12387" s="9" t="str">
        <f>HYPERLINK("http://www.ncbi.nlm.nih.gov/gene/2274", "2274")</f>
        <v>2274</v>
      </c>
      <c r="D12387" t="str">
        <f>"lim-9"</f>
        <v>lim-9</v>
      </c>
      <c r="E12387" t="s">
        <v>3548</v>
      </c>
      <c r="F12387" t="s">
        <v>11</v>
      </c>
      <c r="G12387" t="s">
        <v>5448</v>
      </c>
      <c r="H12387" s="12">
        <v>1.1633347381780099</v>
      </c>
      <c r="I12387" s="20">
        <v>0.83274329996385399</v>
      </c>
      <c r="J12387" s="28">
        <v>0.40498951853605902</v>
      </c>
      <c r="K12387" s="29">
        <v>0.98289565623980701</v>
      </c>
    </row>
    <row r="12388" spans="1:11" x14ac:dyDescent="0.35">
      <c r="A12388" s="9" t="str">
        <f>HYPERLINK("http://www.ensembl.org/id/WBGene00003001", "WBGene00003001")</f>
        <v>WBGene00003001</v>
      </c>
      <c r="B12388" s="9" t="str">
        <f>HYPERLINK("http://www.ncbi.nlm.nih.gov/gene/176282", "176282")</f>
        <v>176282</v>
      </c>
      <c r="C12388" s="9"/>
      <c r="D12388" t="str">
        <f>"lin-12"</f>
        <v>lin-12</v>
      </c>
      <c r="F12388" t="s">
        <v>11</v>
      </c>
      <c r="G12388" t="s">
        <v>343</v>
      </c>
      <c r="H12388" s="12">
        <v>-1.1363297506040999</v>
      </c>
      <c r="I12388" s="20">
        <v>-0.62444551471823895</v>
      </c>
      <c r="J12388" s="28">
        <v>0.53233504199923898</v>
      </c>
      <c r="K12388" s="29">
        <v>0.98289565623980701</v>
      </c>
    </row>
    <row r="12389" spans="1:11" x14ac:dyDescent="0.35">
      <c r="A12389" s="9" t="str">
        <f>HYPERLINK("http://www.ensembl.org/id/WBGene00003003", "WBGene00003003")</f>
        <v>WBGene00003003</v>
      </c>
      <c r="B12389" s="9" t="str">
        <f>HYPERLINK("http://www.ncbi.nlm.nih.gov/gene/181337", "181337")</f>
        <v>181337</v>
      </c>
      <c r="C12389" s="9"/>
      <c r="D12389" t="str">
        <f>"lin-14"</f>
        <v>lin-14</v>
      </c>
      <c r="F12389" t="s">
        <v>11</v>
      </c>
      <c r="H12389" s="12">
        <v>1.05698602360219</v>
      </c>
      <c r="I12389" s="20">
        <v>0.294658671801385</v>
      </c>
      <c r="J12389" s="28">
        <v>0.76825463723088105</v>
      </c>
      <c r="K12389" s="29">
        <v>0.98289565623980701</v>
      </c>
    </row>
    <row r="12390" spans="1:11" x14ac:dyDescent="0.35">
      <c r="A12390" s="9" t="str">
        <f>HYPERLINK("http://www.ensembl.org/id/WBGene00023498", "WBGene00023498")</f>
        <v>WBGene00023498</v>
      </c>
      <c r="B12390" s="9" t="str">
        <f>HYPERLINK("http://www.ncbi.nlm.nih.gov/gene/181663", "181663")</f>
        <v>181663</v>
      </c>
      <c r="C12390" s="9"/>
      <c r="D12390" t="str">
        <f>"lin-15A"</f>
        <v>lin-15A</v>
      </c>
      <c r="F12390" t="s">
        <v>11</v>
      </c>
      <c r="H12390" s="12">
        <v>1.1315481600167501</v>
      </c>
      <c r="I12390" s="20">
        <v>0.55606973979932395</v>
      </c>
      <c r="J12390" s="28">
        <v>0.57816318047461301</v>
      </c>
      <c r="K12390" s="29">
        <v>0.98289565623980701</v>
      </c>
    </row>
    <row r="12391" spans="1:11" x14ac:dyDescent="0.35">
      <c r="A12391" s="9" t="str">
        <f>HYPERLINK("http://www.ensembl.org/id/WBGene00023497", "WBGene00023497")</f>
        <v>WBGene00023497</v>
      </c>
      <c r="B12391" s="9" t="str">
        <f>HYPERLINK("http://www.ncbi.nlm.nih.gov/gene/181662", "181662")</f>
        <v>181662</v>
      </c>
      <c r="C12391" s="9"/>
      <c r="D12391" t="str">
        <f>"lin-15B"</f>
        <v>lin-15B</v>
      </c>
      <c r="F12391" t="s">
        <v>11</v>
      </c>
      <c r="G12391" t="s">
        <v>1755</v>
      </c>
      <c r="H12391" s="12">
        <v>1.1498155300800299</v>
      </c>
      <c r="I12391" s="20">
        <v>0.68773812499516496</v>
      </c>
      <c r="J12391" s="28">
        <v>0.49161770689689199</v>
      </c>
      <c r="K12391" s="29">
        <v>0.98289565623980701</v>
      </c>
    </row>
    <row r="12392" spans="1:11" x14ac:dyDescent="0.35">
      <c r="A12392" s="9" t="str">
        <f>HYPERLINK("http://www.ensembl.org/id/WBGene00003006", "WBGene00003006")</f>
        <v>WBGene00003006</v>
      </c>
      <c r="B12392" s="9" t="str">
        <f>HYPERLINK("http://www.ncbi.nlm.nih.gov/gene/171832", "171832")</f>
        <v>171832</v>
      </c>
      <c r="C12392" s="9"/>
      <c r="D12392" t="str">
        <f>"lin-17"</f>
        <v>lin-17</v>
      </c>
      <c r="E12392" t="s">
        <v>5102</v>
      </c>
      <c r="F12392" t="s">
        <v>11</v>
      </c>
      <c r="G12392" t="s">
        <v>5103</v>
      </c>
      <c r="H12392" s="12">
        <v>1.24006649408794</v>
      </c>
      <c r="I12392" s="20">
        <v>1.03630799320767</v>
      </c>
      <c r="J12392" s="28">
        <v>0.30005847828881399</v>
      </c>
      <c r="K12392" s="29">
        <v>0.98289565623980701</v>
      </c>
    </row>
    <row r="12393" spans="1:11" x14ac:dyDescent="0.35">
      <c r="A12393" s="9" t="str">
        <f>HYPERLINK("http://www.ensembl.org/id/WBGene00003007", "WBGene00003007")</f>
        <v>WBGene00003007</v>
      </c>
      <c r="B12393" s="9" t="str">
        <f>HYPERLINK("http://www.ncbi.nlm.nih.gov/gene/180679", "180679")</f>
        <v>180679</v>
      </c>
      <c r="C12393" s="9" t="str">
        <f>HYPERLINK("http://www.ncbi.nlm.nih.gov/gene/6259", "6259")</f>
        <v>6259</v>
      </c>
      <c r="D12393" t="str">
        <f>"lin-18"</f>
        <v>lin-18</v>
      </c>
      <c r="E12393" t="s">
        <v>4961</v>
      </c>
      <c r="F12393" t="s">
        <v>11</v>
      </c>
      <c r="G12393" t="s">
        <v>4962</v>
      </c>
      <c r="H12393" s="12">
        <v>1.2782987496202001</v>
      </c>
      <c r="I12393" s="20">
        <v>1.0366989293823601</v>
      </c>
      <c r="J12393" s="28">
        <v>0.29987619112883102</v>
      </c>
      <c r="K12393" s="29">
        <v>0.98289565623980701</v>
      </c>
    </row>
    <row r="12394" spans="1:11" x14ac:dyDescent="0.35">
      <c r="A12394" s="9" t="str">
        <f>HYPERLINK("http://www.ensembl.org/id/WBGene00002991", "WBGene00002991")</f>
        <v>WBGene00002991</v>
      </c>
      <c r="B12394" s="9" t="str">
        <f>HYPERLINK("http://www.ncbi.nlm.nih.gov/gene/181400", "181400")</f>
        <v>181400</v>
      </c>
      <c r="C12394" s="9" t="str">
        <f>HYPERLINK("http://www.ncbi.nlm.nih.gov/gene/8573", "8573")</f>
        <v>8573</v>
      </c>
      <c r="D12394" t="str">
        <f>"lin-2"</f>
        <v>lin-2</v>
      </c>
      <c r="F12394" t="s">
        <v>11</v>
      </c>
      <c r="G12394" t="s">
        <v>5790</v>
      </c>
      <c r="H12394" s="12">
        <v>1.10296766479771</v>
      </c>
      <c r="I12394" s="20">
        <v>0.46686232400370298</v>
      </c>
      <c r="J12394" s="28">
        <v>0.64059838228900801</v>
      </c>
      <c r="K12394" s="29">
        <v>0.98289565623980701</v>
      </c>
    </row>
    <row r="12395" spans="1:11" x14ac:dyDescent="0.35">
      <c r="A12395" s="9" t="str">
        <f>HYPERLINK("http://www.ensembl.org/id/WBGene00003008", "WBGene00003008")</f>
        <v>WBGene00003008</v>
      </c>
      <c r="B12395" s="9" t="str">
        <f>HYPERLINK("http://www.ncbi.nlm.nih.gov/gene/177082", "177082")</f>
        <v>177082</v>
      </c>
      <c r="C12395" s="9"/>
      <c r="D12395" t="str">
        <f>"lin-22"</f>
        <v>lin-22</v>
      </c>
      <c r="E12395" t="s">
        <v>4804</v>
      </c>
      <c r="F12395" t="s">
        <v>11</v>
      </c>
      <c r="G12395" t="s">
        <v>4805</v>
      </c>
      <c r="H12395" s="12">
        <v>1.36737191721116</v>
      </c>
      <c r="I12395" s="20">
        <v>0.40784787826772001</v>
      </c>
      <c r="J12395" s="28">
        <v>0.68338536060997901</v>
      </c>
      <c r="K12395" s="29">
        <v>0.98289565623980701</v>
      </c>
    </row>
    <row r="12396" spans="1:11" x14ac:dyDescent="0.35">
      <c r="A12396" s="9" t="str">
        <f>HYPERLINK("http://www.ensembl.org/id/WBGene00003009", "WBGene00003009")</f>
        <v>WBGene00003009</v>
      </c>
      <c r="B12396" s="9" t="str">
        <f>HYPERLINK("http://www.ncbi.nlm.nih.gov/gene/174058", "174058")</f>
        <v>174058</v>
      </c>
      <c r="C12396" s="9" t="str">
        <f>HYPERLINK("http://www.ncbi.nlm.nih.gov/gene/23291", "23291")</f>
        <v>23291</v>
      </c>
      <c r="D12396" t="str">
        <f>"lin-23"</f>
        <v>lin-23</v>
      </c>
      <c r="E12396" t="s">
        <v>8746</v>
      </c>
      <c r="F12396" t="s">
        <v>11</v>
      </c>
      <c r="G12396" t="s">
        <v>8747</v>
      </c>
      <c r="H12396" s="12">
        <v>-1.1939722632949299</v>
      </c>
      <c r="I12396" s="20">
        <v>-0.96828155644931502</v>
      </c>
      <c r="J12396" s="28">
        <v>0.33290377330774701</v>
      </c>
      <c r="K12396" s="29">
        <v>0.98289565623980701</v>
      </c>
    </row>
    <row r="12397" spans="1:11" x14ac:dyDescent="0.35">
      <c r="A12397" s="9" t="str">
        <f>HYPERLINK("http://www.ensembl.org/id/WBGene00003010", "WBGene00003010")</f>
        <v>WBGene00003010</v>
      </c>
      <c r="B12397" s="9" t="str">
        <f>HYPERLINK("http://www.ncbi.nlm.nih.gov/gene/178159", "178159")</f>
        <v>178159</v>
      </c>
      <c r="C12397" s="9"/>
      <c r="D12397" t="str">
        <f>"lin-24"</f>
        <v>lin-24</v>
      </c>
      <c r="F12397" t="s">
        <v>11</v>
      </c>
      <c r="H12397" s="12">
        <v>-1.21540998885229</v>
      </c>
      <c r="I12397" s="20">
        <v>-0.990690868144395</v>
      </c>
      <c r="J12397" s="28">
        <v>0.32183655148645601</v>
      </c>
      <c r="K12397" s="29">
        <v>0.98289565623980701</v>
      </c>
    </row>
    <row r="12398" spans="1:11" x14ac:dyDescent="0.35">
      <c r="A12398" s="9" t="str">
        <f>HYPERLINK("http://www.ensembl.org/id/WBGene00003012", "WBGene00003012")</f>
        <v>WBGene00003012</v>
      </c>
      <c r="B12398" s="9" t="str">
        <f>HYPERLINK("http://www.ncbi.nlm.nih.gov/gene/3565051", "3565051")</f>
        <v>3565051</v>
      </c>
      <c r="C12398" s="9"/>
      <c r="D12398" t="str">
        <f>"lin-26"</f>
        <v>lin-26</v>
      </c>
      <c r="E12398" t="s">
        <v>6471</v>
      </c>
      <c r="F12398" t="s">
        <v>11</v>
      </c>
      <c r="H12398" s="12">
        <v>-1.0709647346941999</v>
      </c>
      <c r="I12398" s="20">
        <v>-0.33148963784639801</v>
      </c>
      <c r="J12398" s="28">
        <v>0.74027466677188902</v>
      </c>
      <c r="K12398" s="29">
        <v>0.98289565623980701</v>
      </c>
    </row>
    <row r="12399" spans="1:11" x14ac:dyDescent="0.35">
      <c r="A12399" s="9" t="str">
        <f>HYPERLINK("http://www.ensembl.org/id/WBGene00003014", "WBGene00003014")</f>
        <v>WBGene00003014</v>
      </c>
      <c r="B12399" s="9" t="str">
        <f>HYPERLINK("http://www.ncbi.nlm.nih.gov/gene/172626", "172626")</f>
        <v>172626</v>
      </c>
      <c r="C12399" s="9"/>
      <c r="D12399" t="str">
        <f>"lin-28"</f>
        <v>lin-28</v>
      </c>
      <c r="F12399" t="s">
        <v>11</v>
      </c>
      <c r="G12399" t="s">
        <v>7093</v>
      </c>
      <c r="H12399" s="12">
        <v>-1.1066683816730101</v>
      </c>
      <c r="I12399" s="20">
        <v>-0.50807419580514002</v>
      </c>
      <c r="J12399" s="28">
        <v>0.61140131087477201</v>
      </c>
      <c r="K12399" s="29">
        <v>0.98289565623980701</v>
      </c>
    </row>
    <row r="12400" spans="1:11" x14ac:dyDescent="0.35">
      <c r="A12400" s="9" t="str">
        <f>HYPERLINK("http://www.ensembl.org/id/WBGene00003018", "WBGene00003018")</f>
        <v>WBGene00003018</v>
      </c>
      <c r="B12400" s="9" t="str">
        <f>HYPERLINK("http://www.ncbi.nlm.nih.gov/gene/191703", "191703")</f>
        <v>191703</v>
      </c>
      <c r="C12400" s="9"/>
      <c r="D12400" t="str">
        <f>"lin-32"</f>
        <v>lin-32</v>
      </c>
      <c r="F12400" t="s">
        <v>11</v>
      </c>
      <c r="G12400" t="s">
        <v>1659</v>
      </c>
      <c r="H12400" s="12">
        <v>1.5178855990086599</v>
      </c>
      <c r="I12400" s="20">
        <v>0.89472833475604896</v>
      </c>
      <c r="J12400" s="28">
        <v>0.370932328085536</v>
      </c>
      <c r="K12400" s="29">
        <v>0.98289565623980701</v>
      </c>
    </row>
    <row r="12401" spans="1:11" x14ac:dyDescent="0.35">
      <c r="A12401" s="9" t="str">
        <f>HYPERLINK("http://www.ensembl.org/id/WBGene00003019", "WBGene00003019")</f>
        <v>WBGene00003019</v>
      </c>
      <c r="B12401" s="9" t="str">
        <f>HYPERLINK("http://www.ncbi.nlm.nih.gov/gene/177361", "177361")</f>
        <v>177361</v>
      </c>
      <c r="C12401" s="9"/>
      <c r="D12401" t="str">
        <f>"lin-33"</f>
        <v>lin-33</v>
      </c>
      <c r="F12401" t="s">
        <v>11</v>
      </c>
      <c r="H12401" s="12">
        <v>1.1265117542024099</v>
      </c>
      <c r="I12401" s="20">
        <v>0.58673457476914503</v>
      </c>
      <c r="J12401" s="28">
        <v>0.55738198312791498</v>
      </c>
      <c r="K12401" s="29">
        <v>0.98289565623980701</v>
      </c>
    </row>
    <row r="12402" spans="1:11" x14ac:dyDescent="0.35">
      <c r="A12402" s="9" t="str">
        <f>HYPERLINK("http://www.ensembl.org/id/WBGene00003020", "WBGene00003020")</f>
        <v>WBGene00003020</v>
      </c>
      <c r="B12402" s="9" t="str">
        <f>HYPERLINK("http://www.ncbi.nlm.nih.gov/gene/172249", "172249")</f>
        <v>172249</v>
      </c>
      <c r="C12402" s="9" t="str">
        <f>HYPERLINK("http://www.ncbi.nlm.nih.gov/gene/5933", "5933")</f>
        <v>5933</v>
      </c>
      <c r="D12402" t="str">
        <f>"lin-35"</f>
        <v>lin-35</v>
      </c>
      <c r="E12402" t="s">
        <v>6515</v>
      </c>
      <c r="F12402" t="s">
        <v>11</v>
      </c>
      <c r="G12402" t="s">
        <v>6516</v>
      </c>
      <c r="H12402" s="12">
        <v>-1.0730556711346599</v>
      </c>
      <c r="I12402" s="20">
        <v>-0.32350891185647201</v>
      </c>
      <c r="J12402" s="28">
        <v>0.74630985940977801</v>
      </c>
      <c r="K12402" s="29">
        <v>0.98289565623980701</v>
      </c>
    </row>
    <row r="12403" spans="1:11" x14ac:dyDescent="0.35">
      <c r="A12403" s="9" t="str">
        <f>HYPERLINK("http://www.ensembl.org/id/WBGene00003021", "WBGene00003021")</f>
        <v>WBGene00003021</v>
      </c>
      <c r="B12403" s="9" t="str">
        <f>HYPERLINK("http://www.ncbi.nlm.nih.gov/gene/176128", "176128")</f>
        <v>176128</v>
      </c>
      <c r="C12403" s="9"/>
      <c r="D12403" t="str">
        <f>"lin-36"</f>
        <v>lin-36</v>
      </c>
      <c r="F12403" t="s">
        <v>11</v>
      </c>
      <c r="H12403" s="12">
        <v>-1.09109281296413</v>
      </c>
      <c r="I12403" s="20">
        <v>-0.41579575836149801</v>
      </c>
      <c r="J12403" s="28">
        <v>0.67755946293467895</v>
      </c>
      <c r="K12403" s="29">
        <v>0.98289565623980701</v>
      </c>
    </row>
    <row r="12404" spans="1:11" x14ac:dyDescent="0.35">
      <c r="A12404" s="9" t="str">
        <f>HYPERLINK("http://www.ensembl.org/id/WBGene00003022", "WBGene00003022")</f>
        <v>WBGene00003022</v>
      </c>
      <c r="B12404" s="9" t="str">
        <f>HYPERLINK("http://www.ncbi.nlm.nih.gov/gene/175986", "175986")</f>
        <v>175986</v>
      </c>
      <c r="C12404" s="9"/>
      <c r="D12404" t="str">
        <f>"lin-37"</f>
        <v>lin-37</v>
      </c>
      <c r="F12404" t="s">
        <v>11</v>
      </c>
      <c r="G12404" t="s">
        <v>7494</v>
      </c>
      <c r="H12404" s="12">
        <v>-1.12904010906295</v>
      </c>
      <c r="I12404" s="20">
        <v>-0.53390171755840099</v>
      </c>
      <c r="J12404" s="28">
        <v>0.593409533699784</v>
      </c>
      <c r="K12404" s="29">
        <v>0.98289565623980701</v>
      </c>
    </row>
    <row r="12405" spans="1:11" x14ac:dyDescent="0.35">
      <c r="A12405" s="9" t="str">
        <f>HYPERLINK("http://www.ensembl.org/id/WBGene00013006", "WBGene00013006")</f>
        <v>WBGene00013006</v>
      </c>
      <c r="B12405" s="9" t="str">
        <f>HYPERLINK("http://www.ncbi.nlm.nih.gov/gene/190028", "190028")</f>
        <v>190028</v>
      </c>
      <c r="C12405" s="9"/>
      <c r="D12405" t="str">
        <f>"lin-38"</f>
        <v>lin-38</v>
      </c>
      <c r="F12405" t="s">
        <v>11</v>
      </c>
      <c r="G12405" t="s">
        <v>1755</v>
      </c>
      <c r="H12405" s="12">
        <v>1.13413450132903</v>
      </c>
      <c r="I12405" s="20">
        <v>0.52840851808459499</v>
      </c>
      <c r="J12405" s="28">
        <v>0.59721582663675299</v>
      </c>
      <c r="K12405" s="29">
        <v>0.98289565623980701</v>
      </c>
    </row>
    <row r="12406" spans="1:11" x14ac:dyDescent="0.35">
      <c r="A12406" s="9" t="str">
        <f>HYPERLINK("http://www.ensembl.org/id/WBGene00003024", "WBGene00003024")</f>
        <v>WBGene00003024</v>
      </c>
      <c r="B12406" s="9" t="str">
        <f>HYPERLINK("http://www.ncbi.nlm.nih.gov/gene/176068", "176068")</f>
        <v>176068</v>
      </c>
      <c r="C12406" s="9"/>
      <c r="D12406" t="str">
        <f>"lin-39"</f>
        <v>lin-39</v>
      </c>
      <c r="E12406" t="s">
        <v>5559</v>
      </c>
      <c r="F12406" t="s">
        <v>11</v>
      </c>
      <c r="G12406" t="s">
        <v>2223</v>
      </c>
      <c r="H12406" s="12">
        <v>1.14671032082504</v>
      </c>
      <c r="I12406" s="20">
        <v>0.54686488987904402</v>
      </c>
      <c r="J12406" s="28">
        <v>0.58447155853857402</v>
      </c>
      <c r="K12406" s="29">
        <v>0.98289565623980701</v>
      </c>
    </row>
    <row r="12407" spans="1:11" x14ac:dyDescent="0.35">
      <c r="A12407" s="9" t="str">
        <f>HYPERLINK("http://www.ensembl.org/id/WBGene00002993", "WBGene00002993")</f>
        <v>WBGene00002993</v>
      </c>
      <c r="B12407" s="9"/>
      <c r="C12407" s="9"/>
      <c r="D12407" t="str">
        <f>"lin-4"</f>
        <v>lin-4</v>
      </c>
      <c r="F12407" t="s">
        <v>1486</v>
      </c>
      <c r="H12407" s="12">
        <v>4.6387698961716399</v>
      </c>
      <c r="I12407" s="20">
        <v>0.44985450087338802</v>
      </c>
      <c r="J12407" s="28">
        <v>0.65281535672642099</v>
      </c>
      <c r="K12407" s="29">
        <v>0.98289565623980701</v>
      </c>
    </row>
    <row r="12408" spans="1:11" x14ac:dyDescent="0.35">
      <c r="A12408" s="9" t="str">
        <f>HYPERLINK("http://www.ensembl.org/id/WBGene00003025", "WBGene00003025")</f>
        <v>WBGene00003025</v>
      </c>
      <c r="B12408" s="9" t="str">
        <f>HYPERLINK("http://www.ncbi.nlm.nih.gov/gene/178788", "178788")</f>
        <v>178788</v>
      </c>
      <c r="C12408" s="9" t="str">
        <f>HYPERLINK("http://www.ncbi.nlm.nih.gov/gene/57504", "57504")</f>
        <v>57504</v>
      </c>
      <c r="D12408" t="str">
        <f>"lin-40"</f>
        <v>lin-40</v>
      </c>
      <c r="F12408" t="s">
        <v>11</v>
      </c>
      <c r="G12408" t="s">
        <v>5783</v>
      </c>
      <c r="H12408" s="12">
        <v>1.1039247632578</v>
      </c>
      <c r="I12408" s="20">
        <v>0.51558152780023403</v>
      </c>
      <c r="J12408" s="28">
        <v>0.60614671458950498</v>
      </c>
      <c r="K12408" s="29">
        <v>0.98289565623980701</v>
      </c>
    </row>
    <row r="12409" spans="1:11" x14ac:dyDescent="0.35">
      <c r="A12409" s="9" t="str">
        <f>HYPERLINK("http://www.ensembl.org/id/WBGene00003034", "WBGene00003034")</f>
        <v>WBGene00003034</v>
      </c>
      <c r="B12409" s="9" t="str">
        <f>HYPERLINK("http://www.ncbi.nlm.nih.gov/gene/177666", "177666")</f>
        <v>177666</v>
      </c>
      <c r="C12409" s="9"/>
      <c r="D12409" t="str">
        <f>"lin-49"</f>
        <v>lin-49</v>
      </c>
      <c r="F12409" t="s">
        <v>11</v>
      </c>
      <c r="G12409" t="s">
        <v>54</v>
      </c>
      <c r="H12409" s="12">
        <v>-1.0638248128932699</v>
      </c>
      <c r="I12409" s="20">
        <v>-0.34048687314454501</v>
      </c>
      <c r="J12409" s="28">
        <v>0.73348990662389801</v>
      </c>
      <c r="K12409" s="29">
        <v>0.98289565623980701</v>
      </c>
    </row>
    <row r="12410" spans="1:11" x14ac:dyDescent="0.35">
      <c r="A12410" s="9" t="str">
        <f>HYPERLINK("http://www.ensembl.org/id/WBGene00002994", "WBGene00002994")</f>
        <v>WBGene00002994</v>
      </c>
      <c r="B12410" s="9" t="str">
        <f>HYPERLINK("http://www.ncbi.nlm.nih.gov/gene/174267", "174267")</f>
        <v>174267</v>
      </c>
      <c r="C12410" s="9"/>
      <c r="D12410" t="str">
        <f>"lin-5"</f>
        <v>lin-5</v>
      </c>
      <c r="E12410" t="s">
        <v>8339</v>
      </c>
      <c r="F12410" t="s">
        <v>11</v>
      </c>
      <c r="H12410" s="12">
        <v>-1.1724151255305499</v>
      </c>
      <c r="I12410" s="20">
        <v>-0.84115726661099</v>
      </c>
      <c r="J12410" s="28">
        <v>0.40025983688184003</v>
      </c>
      <c r="K12410" s="29">
        <v>0.98289565623980701</v>
      </c>
    </row>
    <row r="12411" spans="1:11" x14ac:dyDescent="0.35">
      <c r="A12411" s="9" t="str">
        <f>HYPERLINK("http://www.ensembl.org/id/WBGene00003035", "WBGene00003035")</f>
        <v>WBGene00003035</v>
      </c>
      <c r="B12411" s="9" t="str">
        <f>HYPERLINK("http://www.ncbi.nlm.nih.gov/gene/176393", "176393")</f>
        <v>176393</v>
      </c>
      <c r="C12411" s="9"/>
      <c r="D12411" t="str">
        <f>"lin-52"</f>
        <v>lin-52</v>
      </c>
      <c r="F12411" t="s">
        <v>11</v>
      </c>
      <c r="G12411" t="s">
        <v>9183</v>
      </c>
      <c r="H12411" s="12">
        <v>-1.2268172258635199</v>
      </c>
      <c r="I12411" s="20">
        <v>-0.91640251549059504</v>
      </c>
      <c r="J12411" s="28">
        <v>0.35945581645783098</v>
      </c>
      <c r="K12411" s="29">
        <v>0.98289565623980701</v>
      </c>
    </row>
    <row r="12412" spans="1:11" x14ac:dyDescent="0.35">
      <c r="A12412" s="9" t="str">
        <f>HYPERLINK("http://www.ensembl.org/id/WBGene00003036", "WBGene00003036")</f>
        <v>WBGene00003036</v>
      </c>
      <c r="B12412" s="9" t="str">
        <f>HYPERLINK("http://www.ncbi.nlm.nih.gov/gene/172802", "172802")</f>
        <v>172802</v>
      </c>
      <c r="C12412" s="9" t="str">
        <f>HYPERLINK("http://www.ncbi.nlm.nih.gov/gene/5928", "5928")</f>
        <v>5928</v>
      </c>
      <c r="D12412" t="str">
        <f>"lin-53"</f>
        <v>lin-53</v>
      </c>
      <c r="E12412" t="s">
        <v>7602</v>
      </c>
      <c r="F12412" t="s">
        <v>11</v>
      </c>
      <c r="G12412" t="s">
        <v>54</v>
      </c>
      <c r="H12412" s="12">
        <v>-1.1351489103813901</v>
      </c>
      <c r="I12412" s="20">
        <v>-0.55904908100708495</v>
      </c>
      <c r="J12412" s="28">
        <v>0.57612822416482801</v>
      </c>
      <c r="K12412" s="29">
        <v>0.98289565623980701</v>
      </c>
    </row>
    <row r="12413" spans="1:11" x14ac:dyDescent="0.35">
      <c r="A12413" s="9" t="str">
        <f>HYPERLINK("http://www.ensembl.org/id/WBGene00003038", "WBGene00003038")</f>
        <v>WBGene00003038</v>
      </c>
      <c r="B12413" s="9" t="str">
        <f>HYPERLINK("http://www.ncbi.nlm.nih.gov/gene/174609", "174609")</f>
        <v>174609</v>
      </c>
      <c r="C12413" s="9"/>
      <c r="D12413" t="str">
        <f>"lin-56"</f>
        <v>lin-56</v>
      </c>
      <c r="F12413" t="s">
        <v>11</v>
      </c>
      <c r="H12413" s="12">
        <v>1.2330905605484199</v>
      </c>
      <c r="I12413" s="20">
        <v>0.84287651485894199</v>
      </c>
      <c r="J12413" s="28">
        <v>0.39929750941150299</v>
      </c>
      <c r="K12413" s="29">
        <v>0.98289565623980701</v>
      </c>
    </row>
    <row r="12414" spans="1:11" x14ac:dyDescent="0.35">
      <c r="A12414" s="9" t="str">
        <f>HYPERLINK("http://www.ensembl.org/id/WBGene00003040", "WBGene00003040")</f>
        <v>WBGene00003040</v>
      </c>
      <c r="B12414" s="9" t="str">
        <f>HYPERLINK("http://www.ncbi.nlm.nih.gov/gene/266825", "266825")</f>
        <v>266825</v>
      </c>
      <c r="C12414" s="9"/>
      <c r="D12414" t="str">
        <f>"lin-59"</f>
        <v>lin-59</v>
      </c>
      <c r="E12414" t="s">
        <v>6362</v>
      </c>
      <c r="F12414" t="s">
        <v>11</v>
      </c>
      <c r="G12414" t="s">
        <v>6363</v>
      </c>
      <c r="H12414" s="12">
        <v>-1.06522212125322</v>
      </c>
      <c r="I12414" s="20">
        <v>-0.35097894151374898</v>
      </c>
      <c r="J12414" s="28">
        <v>0.725604146906208</v>
      </c>
      <c r="K12414" s="29">
        <v>0.98289565623980701</v>
      </c>
    </row>
    <row r="12415" spans="1:11" x14ac:dyDescent="0.35">
      <c r="A12415" s="9" t="str">
        <f>HYPERLINK("http://www.ensembl.org/id/WBGene00003041", "WBGene00003041")</f>
        <v>WBGene00003041</v>
      </c>
      <c r="B12415" s="9" t="str">
        <f>HYPERLINK("http://www.ncbi.nlm.nih.gov/gene/172467", "172467")</f>
        <v>172467</v>
      </c>
      <c r="C12415" s="9" t="str">
        <f>HYPERLINK("http://www.ncbi.nlm.nih.gov/gene/83746", "83746")</f>
        <v>83746</v>
      </c>
      <c r="D12415" t="str">
        <f>"lin-61"</f>
        <v>lin-61</v>
      </c>
      <c r="F12415" t="s">
        <v>11</v>
      </c>
      <c r="G12415" t="s">
        <v>801</v>
      </c>
      <c r="H12415" s="12">
        <v>-1.1452157838675801</v>
      </c>
      <c r="I12415" s="20">
        <v>-0.66036952996395304</v>
      </c>
      <c r="J12415" s="28">
        <v>0.50901672068375003</v>
      </c>
      <c r="K12415" s="29">
        <v>0.98289565623980701</v>
      </c>
    </row>
    <row r="12416" spans="1:11" x14ac:dyDescent="0.35">
      <c r="A12416" s="9" t="str">
        <f>HYPERLINK("http://www.ensembl.org/id/WBGene00002996", "WBGene00002996")</f>
        <v>WBGene00002996</v>
      </c>
      <c r="B12416" s="9" t="str">
        <f>HYPERLINK("http://www.ncbi.nlm.nih.gov/gene/175089", "175089")</f>
        <v>175089</v>
      </c>
      <c r="C12416" s="9" t="str">
        <f>HYPERLINK("http://www.ncbi.nlm.nih.gov/gene/64130", "64130")</f>
        <v>64130</v>
      </c>
      <c r="D12416" t="str">
        <f>"lin-7"</f>
        <v>lin-7</v>
      </c>
      <c r="F12416" t="s">
        <v>11</v>
      </c>
      <c r="G12416" t="s">
        <v>9599</v>
      </c>
      <c r="H12416" s="12">
        <v>-1.26277785092977</v>
      </c>
      <c r="I12416" s="20">
        <v>-1.0759353030116301</v>
      </c>
      <c r="J12416" s="28">
        <v>0.28195619192678401</v>
      </c>
      <c r="K12416" s="29">
        <v>0.98289565623980701</v>
      </c>
    </row>
    <row r="12417" spans="1:11" x14ac:dyDescent="0.35">
      <c r="A12417" s="9" t="str">
        <f>HYPERLINK("http://www.ensembl.org/id/WBGene00002998", "WBGene00002998")</f>
        <v>WBGene00002998</v>
      </c>
      <c r="B12417" s="9" t="str">
        <f>HYPERLINK("http://www.ncbi.nlm.nih.gov/gene/176256", "176256")</f>
        <v>176256</v>
      </c>
      <c r="C12417" s="9" t="str">
        <f>HYPERLINK("http://www.ncbi.nlm.nih.gov/gene/286826", "286826")</f>
        <v>286826</v>
      </c>
      <c r="D12417" t="str">
        <f>"lin-9"</f>
        <v>lin-9</v>
      </c>
      <c r="F12417" t="s">
        <v>11</v>
      </c>
      <c r="G12417" t="s">
        <v>7823</v>
      </c>
      <c r="H12417" s="12">
        <v>-1.14689492516229</v>
      </c>
      <c r="I12417" s="20">
        <v>-0.65512990874703803</v>
      </c>
      <c r="J12417" s="28">
        <v>0.51238411707160803</v>
      </c>
      <c r="K12417" s="29">
        <v>0.98289565623980701</v>
      </c>
    </row>
    <row r="12418" spans="1:11" x14ac:dyDescent="0.35">
      <c r="A12418" s="9" t="str">
        <f>HYPERLINK("http://www.ensembl.org/id/WBGene00219665", "WBGene00219665")</f>
        <v>WBGene00219665</v>
      </c>
      <c r="B12418" s="9"/>
      <c r="C12418" s="9"/>
      <c r="D12418" t="str">
        <f>"linc-101"</f>
        <v>linc-101</v>
      </c>
      <c r="F12418" t="s">
        <v>1510</v>
      </c>
      <c r="H12418" s="12">
        <v>2.4396959857246201</v>
      </c>
      <c r="I12418" s="20">
        <v>1.11044536838747</v>
      </c>
      <c r="J12418" s="28">
        <v>0.26680715741368899</v>
      </c>
      <c r="K12418" s="29">
        <v>0.98289565623980701</v>
      </c>
    </row>
    <row r="12419" spans="1:11" x14ac:dyDescent="0.35">
      <c r="A12419" s="9" t="str">
        <f>HYPERLINK("http://www.ensembl.org/id/WBGene00219564", "WBGene00219564")</f>
        <v>WBGene00219564</v>
      </c>
      <c r="B12419" s="9"/>
      <c r="C12419" s="9"/>
      <c r="D12419" t="str">
        <f>"linc-102"</f>
        <v>linc-102</v>
      </c>
      <c r="F12419" t="s">
        <v>1510</v>
      </c>
      <c r="H12419" s="12">
        <v>1.68449110033424</v>
      </c>
      <c r="I12419" s="20">
        <v>0.50630774234991704</v>
      </c>
      <c r="J12419" s="28">
        <v>0.61264062865392799</v>
      </c>
      <c r="K12419" s="29">
        <v>0.98289565623980701</v>
      </c>
    </row>
    <row r="12420" spans="1:11" x14ac:dyDescent="0.35">
      <c r="A12420" s="9" t="str">
        <f>HYPERLINK("http://www.ensembl.org/id/WBGene00219743", "WBGene00219743")</f>
        <v>WBGene00219743</v>
      </c>
      <c r="B12420" s="9"/>
      <c r="C12420" s="9"/>
      <c r="D12420" t="str">
        <f>"linc-103"</f>
        <v>linc-103</v>
      </c>
      <c r="F12420" t="s">
        <v>1510</v>
      </c>
      <c r="H12420" s="12">
        <v>-1.19054168783355</v>
      </c>
      <c r="I12420" s="20">
        <v>-0.43852734460996901</v>
      </c>
      <c r="J12420" s="28">
        <v>0.66100405234459203</v>
      </c>
      <c r="K12420" s="29">
        <v>0.98289565623980701</v>
      </c>
    </row>
    <row r="12421" spans="1:11" x14ac:dyDescent="0.35">
      <c r="A12421" s="9" t="str">
        <f>HYPERLINK("http://www.ensembl.org/id/WBGene00219614", "WBGene00219614")</f>
        <v>WBGene00219614</v>
      </c>
      <c r="B12421" s="9"/>
      <c r="C12421" s="9"/>
      <c r="D12421" t="str">
        <f>"linc-105"</f>
        <v>linc-105</v>
      </c>
      <c r="F12421" t="s">
        <v>1510</v>
      </c>
      <c r="H12421" s="12">
        <v>3.5227018545059199</v>
      </c>
      <c r="I12421" s="20">
        <v>0.36849691206929103</v>
      </c>
      <c r="J12421" s="28">
        <v>0.71250274722433404</v>
      </c>
      <c r="K12421" s="29">
        <v>0.98289565623980701</v>
      </c>
    </row>
    <row r="12422" spans="1:11" x14ac:dyDescent="0.35">
      <c r="A12422" s="9" t="str">
        <f>HYPERLINK("http://www.ensembl.org/id/WBGene00219691", "WBGene00219691")</f>
        <v>WBGene00219691</v>
      </c>
      <c r="B12422" s="9"/>
      <c r="C12422" s="9"/>
      <c r="D12422" t="str">
        <f>"linc-106"</f>
        <v>linc-106</v>
      </c>
      <c r="F12422" t="s">
        <v>1510</v>
      </c>
      <c r="H12422" s="12">
        <v>5.23100187001008</v>
      </c>
      <c r="I12422" s="20">
        <v>1.11258089193302</v>
      </c>
      <c r="J12422" s="28">
        <v>0.26588847077005601</v>
      </c>
      <c r="K12422" s="29">
        <v>0.98289565623980701</v>
      </c>
    </row>
    <row r="12423" spans="1:11" x14ac:dyDescent="0.35">
      <c r="A12423" s="9" t="str">
        <f>HYPERLINK("http://www.ensembl.org/id/WBGene00219655", "WBGene00219655")</f>
        <v>WBGene00219655</v>
      </c>
      <c r="B12423" s="9"/>
      <c r="C12423" s="9"/>
      <c r="D12423" t="str">
        <f>"linc-107"</f>
        <v>linc-107</v>
      </c>
      <c r="F12423" t="s">
        <v>1510</v>
      </c>
      <c r="H12423" s="12">
        <v>2.3380447786086398</v>
      </c>
      <c r="I12423" s="20">
        <v>0.73511402128882897</v>
      </c>
      <c r="J12423" s="28">
        <v>0.46227005576374802</v>
      </c>
      <c r="K12423" s="29">
        <v>0.98289565623980701</v>
      </c>
    </row>
    <row r="12424" spans="1:11" x14ac:dyDescent="0.35">
      <c r="A12424" s="9" t="str">
        <f>HYPERLINK("http://www.ensembl.org/id/WBGene00219586", "WBGene00219586")</f>
        <v>WBGene00219586</v>
      </c>
      <c r="B12424" s="9"/>
      <c r="C12424" s="9"/>
      <c r="D12424" t="str">
        <f>"linc-108"</f>
        <v>linc-108</v>
      </c>
      <c r="F12424" t="s">
        <v>1510</v>
      </c>
      <c r="H12424" s="12">
        <v>-5.4967879193631202</v>
      </c>
      <c r="I12424" s="20">
        <v>-0.50254160819837501</v>
      </c>
      <c r="J12424" s="28">
        <v>0.61528659178453604</v>
      </c>
      <c r="K12424" s="29">
        <v>0.98289565623980701</v>
      </c>
    </row>
    <row r="12425" spans="1:11" x14ac:dyDescent="0.35">
      <c r="A12425" s="9" t="str">
        <f>HYPERLINK("http://www.ensembl.org/id/WBGene00219615", "WBGene00219615")</f>
        <v>WBGene00219615</v>
      </c>
      <c r="B12425" s="9"/>
      <c r="C12425" s="9"/>
      <c r="D12425" t="str">
        <f>"linc-109"</f>
        <v>linc-109</v>
      </c>
      <c r="F12425" t="s">
        <v>1510</v>
      </c>
      <c r="H12425" s="12">
        <v>1.9159335962269599</v>
      </c>
      <c r="I12425" s="20">
        <v>0.72394033293841797</v>
      </c>
      <c r="J12425" s="28">
        <v>0.46910236708000902</v>
      </c>
      <c r="K12425" s="29">
        <v>0.98289565623980701</v>
      </c>
    </row>
    <row r="12426" spans="1:11" x14ac:dyDescent="0.35">
      <c r="A12426" s="9" t="str">
        <f>HYPERLINK("http://www.ensembl.org/id/WBGene00219758", "WBGene00219758")</f>
        <v>WBGene00219758</v>
      </c>
      <c r="B12426" s="9"/>
      <c r="C12426" s="9"/>
      <c r="D12426" t="str">
        <f>"linc-11"</f>
        <v>linc-11</v>
      </c>
      <c r="F12426" t="s">
        <v>1510</v>
      </c>
      <c r="H12426" s="12">
        <v>1.27455802800711</v>
      </c>
      <c r="I12426" s="20">
        <v>0.92100196171487003</v>
      </c>
      <c r="J12426" s="28">
        <v>0.35704940282866199</v>
      </c>
      <c r="K12426" s="29">
        <v>0.98289565623980701</v>
      </c>
    </row>
    <row r="12427" spans="1:11" x14ac:dyDescent="0.35">
      <c r="A12427" s="9" t="str">
        <f>HYPERLINK("http://www.ensembl.org/id/WBGene00219605", "WBGene00219605")</f>
        <v>WBGene00219605</v>
      </c>
      <c r="B12427" s="9"/>
      <c r="C12427" s="9"/>
      <c r="D12427" t="str">
        <f>"linc-110"</f>
        <v>linc-110</v>
      </c>
      <c r="F12427" t="s">
        <v>1510</v>
      </c>
      <c r="H12427" s="12">
        <v>-2.7763297476792199</v>
      </c>
      <c r="I12427" s="20">
        <v>-0.66910464710223105</v>
      </c>
      <c r="J12427" s="28">
        <v>0.50342872578661002</v>
      </c>
      <c r="K12427" s="29">
        <v>0.98289565623980701</v>
      </c>
    </row>
    <row r="12428" spans="1:11" x14ac:dyDescent="0.35">
      <c r="A12428" s="9" t="str">
        <f>HYPERLINK("http://www.ensembl.org/id/WBGene00219740", "WBGene00219740")</f>
        <v>WBGene00219740</v>
      </c>
      <c r="B12428" s="9"/>
      <c r="C12428" s="9"/>
      <c r="D12428" t="str">
        <f>"linc-117"</f>
        <v>linc-117</v>
      </c>
      <c r="F12428" t="s">
        <v>1510</v>
      </c>
      <c r="H12428" s="12">
        <v>-4.7467792185731703</v>
      </c>
      <c r="I12428" s="20">
        <v>-0.52614829068776403</v>
      </c>
      <c r="J12428" s="28">
        <v>0.59878517842770296</v>
      </c>
      <c r="K12428" s="29">
        <v>0.98289565623980701</v>
      </c>
    </row>
    <row r="12429" spans="1:11" x14ac:dyDescent="0.35">
      <c r="A12429" s="9" t="str">
        <f>HYPERLINK("http://www.ensembl.org/id/WBGene00219687", "WBGene00219687")</f>
        <v>WBGene00219687</v>
      </c>
      <c r="B12429" s="9"/>
      <c r="C12429" s="9"/>
      <c r="D12429" t="str">
        <f>"linc-12"</f>
        <v>linc-12</v>
      </c>
      <c r="F12429" t="s">
        <v>1510</v>
      </c>
      <c r="H12429" s="12">
        <v>1.3156878131377601</v>
      </c>
      <c r="I12429" s="20">
        <v>0.38854473621852997</v>
      </c>
      <c r="J12429" s="28">
        <v>0.69761295459378103</v>
      </c>
      <c r="K12429" s="29">
        <v>0.98289565623980701</v>
      </c>
    </row>
    <row r="12430" spans="1:11" x14ac:dyDescent="0.35">
      <c r="A12430" s="9" t="str">
        <f>HYPERLINK("http://www.ensembl.org/id/WBGene00219565", "WBGene00219565")</f>
        <v>WBGene00219565</v>
      </c>
      <c r="B12430" s="9"/>
      <c r="C12430" s="9"/>
      <c r="D12430" t="str">
        <f>"linc-120"</f>
        <v>linc-120</v>
      </c>
      <c r="F12430" t="s">
        <v>1510</v>
      </c>
      <c r="H12430" s="12">
        <v>2.4090404009889999</v>
      </c>
      <c r="I12430" s="20">
        <v>0.39278149808262902</v>
      </c>
      <c r="J12430" s="28">
        <v>0.69448087107453704</v>
      </c>
      <c r="K12430" s="29">
        <v>0.98289565623980701</v>
      </c>
    </row>
    <row r="12431" spans="1:11" x14ac:dyDescent="0.35">
      <c r="A12431" s="9" t="str">
        <f>HYPERLINK("http://www.ensembl.org/id/WBGene00194923", "WBGene00194923")</f>
        <v>WBGene00194923</v>
      </c>
      <c r="B12431" s="9"/>
      <c r="C12431" s="9"/>
      <c r="D12431" t="str">
        <f>"linc-121"</f>
        <v>linc-121</v>
      </c>
      <c r="F12431" t="s">
        <v>1510</v>
      </c>
      <c r="H12431" s="12">
        <v>2.5494470594118899</v>
      </c>
      <c r="I12431" s="20">
        <v>0.31908451726144499</v>
      </c>
      <c r="J12431" s="28">
        <v>0.74966242392848603</v>
      </c>
      <c r="K12431" s="29">
        <v>0.98289565623980701</v>
      </c>
    </row>
    <row r="12432" spans="1:11" x14ac:dyDescent="0.35">
      <c r="A12432" s="9" t="str">
        <f>HYPERLINK("http://www.ensembl.org/id/WBGene00219674", "WBGene00219674")</f>
        <v>WBGene00219674</v>
      </c>
      <c r="B12432" s="9"/>
      <c r="C12432" s="9"/>
      <c r="D12432" t="str">
        <f>"linc-122"</f>
        <v>linc-122</v>
      </c>
      <c r="F12432" t="s">
        <v>1510</v>
      </c>
      <c r="H12432" s="12">
        <v>-2.4991590031922399</v>
      </c>
      <c r="I12432" s="20">
        <v>-0.26577412737581302</v>
      </c>
      <c r="J12432" s="28">
        <v>0.79041317015736101</v>
      </c>
      <c r="K12432" s="29">
        <v>0.98289565623980701</v>
      </c>
    </row>
    <row r="12433" spans="1:11" x14ac:dyDescent="0.35">
      <c r="A12433" s="9" t="str">
        <f>HYPERLINK("http://www.ensembl.org/id/WBGene00219611", "WBGene00219611")</f>
        <v>WBGene00219611</v>
      </c>
      <c r="B12433" s="9"/>
      <c r="C12433" s="9"/>
      <c r="D12433" t="str">
        <f>"linc-123"</f>
        <v>linc-123</v>
      </c>
      <c r="F12433" t="s">
        <v>1510</v>
      </c>
      <c r="H12433" s="12">
        <v>2.8755883694684199</v>
      </c>
      <c r="I12433" s="20">
        <v>0.36355013483266901</v>
      </c>
      <c r="J12433" s="28">
        <v>0.71619396880790798</v>
      </c>
      <c r="K12433" s="29">
        <v>0.98289565623980701</v>
      </c>
    </row>
    <row r="12434" spans="1:11" x14ac:dyDescent="0.35">
      <c r="A12434" s="9" t="str">
        <f>HYPERLINK("http://www.ensembl.org/id/WBGene00219637", "WBGene00219637")</f>
        <v>WBGene00219637</v>
      </c>
      <c r="B12434" s="9"/>
      <c r="C12434" s="9"/>
      <c r="D12434" t="str">
        <f>"linc-124"</f>
        <v>linc-124</v>
      </c>
      <c r="F12434" t="s">
        <v>1510</v>
      </c>
      <c r="H12434" s="12">
        <v>-5.6886150111594302</v>
      </c>
      <c r="I12434" s="20">
        <v>-1.03721587044535</v>
      </c>
      <c r="J12434" s="28">
        <v>0.29963526335534302</v>
      </c>
      <c r="K12434" s="29">
        <v>0.98289565623980701</v>
      </c>
    </row>
    <row r="12435" spans="1:11" x14ac:dyDescent="0.35">
      <c r="A12435" s="9" t="str">
        <f>HYPERLINK("http://www.ensembl.org/id/WBGene00219695", "WBGene00219695")</f>
        <v>WBGene00219695</v>
      </c>
      <c r="B12435" s="9"/>
      <c r="C12435" s="9"/>
      <c r="D12435" t="str">
        <f>"linc-126"</f>
        <v>linc-126</v>
      </c>
      <c r="F12435" t="s">
        <v>1510</v>
      </c>
      <c r="H12435" s="12">
        <v>2.0677203875291599</v>
      </c>
      <c r="I12435" s="20">
        <v>0.44847329556521698</v>
      </c>
      <c r="J12435" s="28">
        <v>0.65381165460608504</v>
      </c>
      <c r="K12435" s="29">
        <v>0.98289565623980701</v>
      </c>
    </row>
    <row r="12436" spans="1:11" x14ac:dyDescent="0.35">
      <c r="A12436" s="9" t="str">
        <f>HYPERLINK("http://www.ensembl.org/id/WBGene00219739", "WBGene00219739")</f>
        <v>WBGene00219739</v>
      </c>
      <c r="B12436" s="9"/>
      <c r="C12436" s="9"/>
      <c r="D12436" t="str">
        <f>"linc-136"</f>
        <v>linc-136</v>
      </c>
      <c r="F12436" t="s">
        <v>1510</v>
      </c>
      <c r="H12436" s="12">
        <v>8.6612513373528799</v>
      </c>
      <c r="I12436" s="20">
        <v>1.20545768926796</v>
      </c>
      <c r="J12436" s="28">
        <v>0.22802666240783101</v>
      </c>
      <c r="K12436" s="29">
        <v>0.98289565623980701</v>
      </c>
    </row>
    <row r="12437" spans="1:11" x14ac:dyDescent="0.35">
      <c r="A12437" s="9" t="str">
        <f>HYPERLINK("http://www.ensembl.org/id/WBGene00219702", "WBGene00219702")</f>
        <v>WBGene00219702</v>
      </c>
      <c r="B12437" s="9"/>
      <c r="C12437" s="9"/>
      <c r="D12437" t="str">
        <f>"linc-138"</f>
        <v>linc-138</v>
      </c>
      <c r="F12437" t="s">
        <v>1510</v>
      </c>
      <c r="H12437" s="12">
        <v>1.8779507492376399</v>
      </c>
      <c r="I12437" s="20">
        <v>0.62882093831043295</v>
      </c>
      <c r="J12437" s="28">
        <v>0.52946629055343897</v>
      </c>
      <c r="K12437" s="29">
        <v>0.98289565623980701</v>
      </c>
    </row>
    <row r="12438" spans="1:11" x14ac:dyDescent="0.35">
      <c r="A12438" s="9" t="str">
        <f>HYPERLINK("http://www.ensembl.org/id/WBGene00195060", "WBGene00195060")</f>
        <v>WBGene00195060</v>
      </c>
      <c r="B12438" s="9"/>
      <c r="C12438" s="9"/>
      <c r="D12438" t="str">
        <f>"linc-14"</f>
        <v>linc-14</v>
      </c>
      <c r="F12438" t="s">
        <v>1510</v>
      </c>
      <c r="H12438" s="12">
        <v>1.1997900302014499</v>
      </c>
      <c r="I12438" s="20">
        <v>0.42508981880114199</v>
      </c>
      <c r="J12438" s="28">
        <v>0.67077119954460696</v>
      </c>
      <c r="K12438" s="29">
        <v>0.98289565623980701</v>
      </c>
    </row>
    <row r="12439" spans="1:11" x14ac:dyDescent="0.35">
      <c r="A12439" s="9" t="str">
        <f>HYPERLINK("http://www.ensembl.org/id/WBGene00219596", "WBGene00219596")</f>
        <v>WBGene00219596</v>
      </c>
      <c r="B12439" s="9"/>
      <c r="C12439" s="9"/>
      <c r="D12439" t="str">
        <f>"linc-140"</f>
        <v>linc-140</v>
      </c>
      <c r="F12439" t="s">
        <v>1510</v>
      </c>
      <c r="H12439" s="12">
        <v>2.0325488855818401</v>
      </c>
      <c r="I12439" s="20">
        <v>0.65696921664316399</v>
      </c>
      <c r="J12439" s="28">
        <v>0.51120071025650704</v>
      </c>
      <c r="K12439" s="29">
        <v>0.98289565623980701</v>
      </c>
    </row>
    <row r="12440" spans="1:11" x14ac:dyDescent="0.35">
      <c r="A12440" s="9" t="str">
        <f>HYPERLINK("http://www.ensembl.org/id/WBGene00219578", "WBGene00219578")</f>
        <v>WBGene00219578</v>
      </c>
      <c r="B12440" s="9"/>
      <c r="C12440" s="9"/>
      <c r="D12440" t="str">
        <f>"linc-141"</f>
        <v>linc-141</v>
      </c>
      <c r="F12440" t="s">
        <v>1510</v>
      </c>
      <c r="H12440" s="12">
        <v>18.675346917252099</v>
      </c>
      <c r="I12440" s="20">
        <v>1.0483735932338201</v>
      </c>
      <c r="J12440" s="28">
        <v>0.294466515011581</v>
      </c>
      <c r="K12440" s="29">
        <v>0.98289565623980701</v>
      </c>
    </row>
    <row r="12441" spans="1:11" x14ac:dyDescent="0.35">
      <c r="A12441" s="9" t="str">
        <f>HYPERLINK("http://www.ensembl.org/id/WBGene00219561", "WBGene00219561")</f>
        <v>WBGene00219561</v>
      </c>
      <c r="B12441" s="9"/>
      <c r="C12441" s="9"/>
      <c r="D12441" t="str">
        <f>"linc-142"</f>
        <v>linc-142</v>
      </c>
      <c r="F12441" t="s">
        <v>1510</v>
      </c>
      <c r="H12441" s="12">
        <v>1.9558358073425</v>
      </c>
      <c r="I12441" s="20">
        <v>0.53086944986833995</v>
      </c>
      <c r="J12441" s="28">
        <v>0.59550924932736105</v>
      </c>
      <c r="K12441" s="29">
        <v>0.98289565623980701</v>
      </c>
    </row>
    <row r="12442" spans="1:11" x14ac:dyDescent="0.35">
      <c r="A12442" s="9" t="str">
        <f>HYPERLINK("http://www.ensembl.org/id/WBGene00219761", "WBGene00219761")</f>
        <v>WBGene00219761</v>
      </c>
      <c r="B12442" s="9"/>
      <c r="C12442" s="9"/>
      <c r="D12442" t="str">
        <f>"linc-143"</f>
        <v>linc-143</v>
      </c>
      <c r="F12442" t="s">
        <v>1510</v>
      </c>
      <c r="H12442" s="12">
        <v>-5.34569669856364</v>
      </c>
      <c r="I12442" s="20">
        <v>-1.0030022179165401</v>
      </c>
      <c r="J12442" s="28">
        <v>0.31585979112851598</v>
      </c>
      <c r="K12442" s="29">
        <v>0.98289565623980701</v>
      </c>
    </row>
    <row r="12443" spans="1:11" x14ac:dyDescent="0.35">
      <c r="A12443" s="9" t="str">
        <f>HYPERLINK("http://www.ensembl.org/id/WBGene00219572", "WBGene00219572")</f>
        <v>WBGene00219572</v>
      </c>
      <c r="B12443" s="9"/>
      <c r="C12443" s="9"/>
      <c r="D12443" t="str">
        <f>"linc-146"</f>
        <v>linc-146</v>
      </c>
      <c r="F12443" t="s">
        <v>1510</v>
      </c>
      <c r="H12443" s="12">
        <v>7.7332001203887399</v>
      </c>
      <c r="I12443" s="20">
        <v>0.82261633065247097</v>
      </c>
      <c r="J12443" s="28">
        <v>0.41072620892744899</v>
      </c>
      <c r="K12443" s="29">
        <v>0.98289565623980701</v>
      </c>
    </row>
    <row r="12444" spans="1:11" x14ac:dyDescent="0.35">
      <c r="A12444" s="9" t="str">
        <f>HYPERLINK("http://www.ensembl.org/id/WBGene00219613", "WBGene00219613")</f>
        <v>WBGene00219613</v>
      </c>
      <c r="B12444" s="9"/>
      <c r="C12444" s="9"/>
      <c r="D12444" t="str">
        <f>"linc-148"</f>
        <v>linc-148</v>
      </c>
      <c r="F12444" t="s">
        <v>1510</v>
      </c>
      <c r="H12444" s="12">
        <v>-2.4991590031922399</v>
      </c>
      <c r="I12444" s="20">
        <v>-0.26577412737581302</v>
      </c>
      <c r="J12444" s="28">
        <v>0.79041317015736101</v>
      </c>
      <c r="K12444" s="29">
        <v>0.98289565623980701</v>
      </c>
    </row>
    <row r="12445" spans="1:11" x14ac:dyDescent="0.35">
      <c r="A12445" s="9" t="str">
        <f>HYPERLINK("http://www.ensembl.org/id/WBGene00219602", "WBGene00219602")</f>
        <v>WBGene00219602</v>
      </c>
      <c r="B12445" s="9"/>
      <c r="C12445" s="9"/>
      <c r="D12445" t="str">
        <f>"linc-151"</f>
        <v>linc-151</v>
      </c>
      <c r="F12445" t="s">
        <v>1510</v>
      </c>
      <c r="H12445" s="12">
        <v>-1.75833476329376</v>
      </c>
      <c r="I12445" s="20">
        <v>-0.68214498885377495</v>
      </c>
      <c r="J12445" s="28">
        <v>0.49514727546262099</v>
      </c>
      <c r="K12445" s="29">
        <v>0.98289565623980701</v>
      </c>
    </row>
    <row r="12446" spans="1:11" x14ac:dyDescent="0.35">
      <c r="A12446" s="9" t="str">
        <f>HYPERLINK("http://www.ensembl.org/id/WBGene00219612", "WBGene00219612")</f>
        <v>WBGene00219612</v>
      </c>
      <c r="B12446" s="9"/>
      <c r="C12446" s="9"/>
      <c r="D12446" t="str">
        <f>"linc-153"</f>
        <v>linc-153</v>
      </c>
      <c r="F12446" t="s">
        <v>1510</v>
      </c>
      <c r="H12446" s="12">
        <v>6.61045742799383</v>
      </c>
      <c r="I12446" s="20">
        <v>0.55558174612790701</v>
      </c>
      <c r="J12446" s="28">
        <v>0.57849681292850097</v>
      </c>
      <c r="K12446" s="29">
        <v>0.98289565623980701</v>
      </c>
    </row>
    <row r="12447" spans="1:11" x14ac:dyDescent="0.35">
      <c r="A12447" s="9" t="str">
        <f>HYPERLINK("http://www.ensembl.org/id/WBGene00219654", "WBGene00219654")</f>
        <v>WBGene00219654</v>
      </c>
      <c r="B12447" s="9"/>
      <c r="C12447" s="9"/>
      <c r="D12447" t="str">
        <f>"linc-156"</f>
        <v>linc-156</v>
      </c>
      <c r="F12447" t="s">
        <v>1510</v>
      </c>
      <c r="H12447" s="12">
        <v>4.4368407117627902</v>
      </c>
      <c r="I12447" s="20">
        <v>0.43709475933309699</v>
      </c>
      <c r="J12447" s="28">
        <v>0.66204262779770495</v>
      </c>
      <c r="K12447" s="29">
        <v>0.98289565623980701</v>
      </c>
    </row>
    <row r="12448" spans="1:11" x14ac:dyDescent="0.35">
      <c r="A12448" s="9" t="str">
        <f>HYPERLINK("http://www.ensembl.org/id/WBGene00219626", "WBGene00219626")</f>
        <v>WBGene00219626</v>
      </c>
      <c r="B12448" s="9"/>
      <c r="C12448" s="9"/>
      <c r="D12448" t="str">
        <f>"linc-157"</f>
        <v>linc-157</v>
      </c>
      <c r="F12448" t="s">
        <v>1510</v>
      </c>
      <c r="H12448" s="12">
        <v>-2.49655962055553</v>
      </c>
      <c r="I12448" s="20">
        <v>-0.66801738347273398</v>
      </c>
      <c r="J12448" s="28">
        <v>0.50412249620163196</v>
      </c>
      <c r="K12448" s="29">
        <v>0.98289565623980701</v>
      </c>
    </row>
    <row r="12449" spans="1:11" x14ac:dyDescent="0.35">
      <c r="A12449" s="9" t="str">
        <f>HYPERLINK("http://www.ensembl.org/id/WBGene00219706", "WBGene00219706")</f>
        <v>WBGene00219706</v>
      </c>
      <c r="B12449" s="9"/>
      <c r="C12449" s="9"/>
      <c r="D12449" t="str">
        <f>"linc-158"</f>
        <v>linc-158</v>
      </c>
      <c r="F12449" t="s">
        <v>1510</v>
      </c>
      <c r="H12449" s="12">
        <v>-4.7167679298615104</v>
      </c>
      <c r="I12449" s="20">
        <v>-0.454742638005115</v>
      </c>
      <c r="J12449" s="28">
        <v>0.64929440216969203</v>
      </c>
      <c r="K12449" s="29">
        <v>0.98289565623980701</v>
      </c>
    </row>
    <row r="12450" spans="1:11" x14ac:dyDescent="0.35">
      <c r="A12450" s="9" t="str">
        <f>HYPERLINK("http://www.ensembl.org/id/WBGene00219728", "WBGene00219728")</f>
        <v>WBGene00219728</v>
      </c>
      <c r="B12450" s="9"/>
      <c r="C12450" s="9"/>
      <c r="D12450" t="str">
        <f>"linc-16"</f>
        <v>linc-16</v>
      </c>
      <c r="F12450" t="s">
        <v>1510</v>
      </c>
      <c r="H12450" s="12">
        <v>1.2210723935631</v>
      </c>
      <c r="I12450" s="20">
        <v>0.45991344925231098</v>
      </c>
      <c r="J12450" s="28">
        <v>0.64557834618337995</v>
      </c>
      <c r="K12450" s="29">
        <v>0.98289565623980701</v>
      </c>
    </row>
    <row r="12451" spans="1:11" x14ac:dyDescent="0.35">
      <c r="A12451" s="9" t="str">
        <f>HYPERLINK("http://www.ensembl.org/id/WBGene00219768", "WBGene00219768")</f>
        <v>WBGene00219768</v>
      </c>
      <c r="B12451" s="9"/>
      <c r="C12451" s="9"/>
      <c r="D12451" t="str">
        <f>"linc-160"</f>
        <v>linc-160</v>
      </c>
      <c r="F12451" t="s">
        <v>1510</v>
      </c>
      <c r="H12451" s="12">
        <v>10.8131830636529</v>
      </c>
      <c r="I12451" s="20">
        <v>0.70982715185838596</v>
      </c>
      <c r="J12451" s="28">
        <v>0.477811329444844</v>
      </c>
      <c r="K12451" s="29">
        <v>0.98289565623980701</v>
      </c>
    </row>
    <row r="12452" spans="1:11" x14ac:dyDescent="0.35">
      <c r="A12452" s="9" t="str">
        <f>HYPERLINK("http://www.ensembl.org/id/WBGene00219628", "WBGene00219628")</f>
        <v>WBGene00219628</v>
      </c>
      <c r="B12452" s="9"/>
      <c r="C12452" s="9"/>
      <c r="D12452" t="str">
        <f>"linc-161"</f>
        <v>linc-161</v>
      </c>
      <c r="F12452" t="s">
        <v>1510</v>
      </c>
      <c r="H12452" s="12">
        <v>3.6645215954135</v>
      </c>
      <c r="I12452" s="20">
        <v>0.37967131826092498</v>
      </c>
      <c r="J12452" s="28">
        <v>0.70418941338960395</v>
      </c>
      <c r="K12452" s="29">
        <v>0.98289565623980701</v>
      </c>
    </row>
    <row r="12453" spans="1:11" x14ac:dyDescent="0.35">
      <c r="A12453" s="9" t="str">
        <f>HYPERLINK("http://www.ensembl.org/id/WBGene00219584", "WBGene00219584")</f>
        <v>WBGene00219584</v>
      </c>
      <c r="B12453" s="9"/>
      <c r="C12453" s="9"/>
      <c r="D12453" t="str">
        <f>"linc-162"</f>
        <v>linc-162</v>
      </c>
      <c r="F12453" t="s">
        <v>1510</v>
      </c>
      <c r="H12453" s="12">
        <v>2.3444892507898301</v>
      </c>
      <c r="I12453" s="20">
        <v>0.253126732237689</v>
      </c>
      <c r="J12453" s="28">
        <v>0.80017028205419904</v>
      </c>
      <c r="K12453" s="29">
        <v>0.98289565623980701</v>
      </c>
    </row>
    <row r="12454" spans="1:11" x14ac:dyDescent="0.35">
      <c r="A12454" s="9" t="str">
        <f>HYPERLINK("http://www.ensembl.org/id/WBGene00219697", "WBGene00219697")</f>
        <v>WBGene00219697</v>
      </c>
      <c r="B12454" s="9"/>
      <c r="C12454" s="9"/>
      <c r="D12454" t="str">
        <f>"linc-169"</f>
        <v>linc-169</v>
      </c>
      <c r="F12454" t="s">
        <v>1510</v>
      </c>
      <c r="H12454" s="12">
        <v>-2.3516671637483699</v>
      </c>
      <c r="I12454" s="20">
        <v>-0.56693878388743602</v>
      </c>
      <c r="J12454" s="28">
        <v>0.57075577295400703</v>
      </c>
      <c r="K12454" s="29">
        <v>0.98289565623980701</v>
      </c>
    </row>
    <row r="12455" spans="1:11" x14ac:dyDescent="0.35">
      <c r="A12455" s="9" t="str">
        <f>HYPERLINK("http://www.ensembl.org/id/WBGene00219755", "WBGene00219755")</f>
        <v>WBGene00219755</v>
      </c>
      <c r="B12455" s="9"/>
      <c r="C12455" s="9"/>
      <c r="D12455" t="str">
        <f>"linc-17"</f>
        <v>linc-17</v>
      </c>
      <c r="F12455" t="s">
        <v>1510</v>
      </c>
      <c r="H12455" s="12">
        <v>2.1497898937057802</v>
      </c>
      <c r="I12455" s="20">
        <v>1.15894116024659</v>
      </c>
      <c r="J12455" s="28">
        <v>0.24648016983717899</v>
      </c>
      <c r="K12455" s="29">
        <v>0.98289565623980701</v>
      </c>
    </row>
    <row r="12456" spans="1:11" x14ac:dyDescent="0.35">
      <c r="A12456" s="9" t="str">
        <f>HYPERLINK("http://www.ensembl.org/id/WBGene00219580", "WBGene00219580")</f>
        <v>WBGene00219580</v>
      </c>
      <c r="B12456" s="9"/>
      <c r="C12456" s="9"/>
      <c r="D12456" t="str">
        <f>"linc-18"</f>
        <v>linc-18</v>
      </c>
      <c r="F12456" t="s">
        <v>1510</v>
      </c>
      <c r="H12456" s="12">
        <v>2.4578120077400301</v>
      </c>
      <c r="I12456" s="20">
        <v>0.26093350314551</v>
      </c>
      <c r="J12456" s="28">
        <v>0.79414378780213601</v>
      </c>
      <c r="K12456" s="29">
        <v>0.98289565623980701</v>
      </c>
    </row>
    <row r="12457" spans="1:11" x14ac:dyDescent="0.35">
      <c r="A12457" s="9" t="str">
        <f>HYPERLINK("http://www.ensembl.org/id/WBGene00219720", "WBGene00219720")</f>
        <v>WBGene00219720</v>
      </c>
      <c r="B12457" s="9"/>
      <c r="C12457" s="9"/>
      <c r="D12457" t="str">
        <f>"linc-2"</f>
        <v>linc-2</v>
      </c>
      <c r="F12457" t="s">
        <v>1510</v>
      </c>
      <c r="H12457" s="12">
        <v>1.2454702545912499</v>
      </c>
      <c r="I12457" s="20">
        <v>0.44244074901312003</v>
      </c>
      <c r="J12457" s="28">
        <v>0.65817029724674603</v>
      </c>
      <c r="K12457" s="29">
        <v>0.98289565623980701</v>
      </c>
    </row>
    <row r="12458" spans="1:11" x14ac:dyDescent="0.35">
      <c r="A12458" s="9" t="str">
        <f>HYPERLINK("http://www.ensembl.org/id/WBGene00219736", "WBGene00219736")</f>
        <v>WBGene00219736</v>
      </c>
      <c r="B12458" s="9"/>
      <c r="C12458" s="9"/>
      <c r="D12458" t="str">
        <f>"linc-20"</f>
        <v>linc-20</v>
      </c>
      <c r="F12458" t="s">
        <v>1510</v>
      </c>
      <c r="H12458" s="12">
        <v>1.5789074597206301</v>
      </c>
      <c r="I12458" s="20">
        <v>0.58760033508444498</v>
      </c>
      <c r="J12458" s="28">
        <v>0.55680058607747396</v>
      </c>
      <c r="K12458" s="29">
        <v>0.98289565623980701</v>
      </c>
    </row>
    <row r="12459" spans="1:11" x14ac:dyDescent="0.35">
      <c r="A12459" s="9" t="str">
        <f>HYPERLINK("http://www.ensembl.org/id/WBGene00219688", "WBGene00219688")</f>
        <v>WBGene00219688</v>
      </c>
      <c r="B12459" s="9"/>
      <c r="C12459" s="9"/>
      <c r="D12459" t="str">
        <f>"linc-21"</f>
        <v>linc-21</v>
      </c>
      <c r="F12459" t="s">
        <v>1510</v>
      </c>
      <c r="H12459" s="12">
        <v>-1.0815413155556299</v>
      </c>
      <c r="I12459" s="20">
        <v>-0.322911445388051</v>
      </c>
      <c r="J12459" s="28">
        <v>0.74676230810984101</v>
      </c>
      <c r="K12459" s="29">
        <v>0.98289565623980701</v>
      </c>
    </row>
    <row r="12460" spans="1:11" x14ac:dyDescent="0.35">
      <c r="A12460" s="9" t="str">
        <f>HYPERLINK("http://www.ensembl.org/id/WBGene00219771", "WBGene00219771")</f>
        <v>WBGene00219771</v>
      </c>
      <c r="B12460" s="9"/>
      <c r="C12460" s="9"/>
      <c r="D12460" t="str">
        <f>"linc-24"</f>
        <v>linc-24</v>
      </c>
      <c r="F12460" t="s">
        <v>1510</v>
      </c>
      <c r="H12460" s="12">
        <v>1.1529518879288001</v>
      </c>
      <c r="I12460" s="20">
        <v>0.32325485216216798</v>
      </c>
      <c r="J12460" s="28">
        <v>0.74650224275679</v>
      </c>
      <c r="K12460" s="29">
        <v>0.98289565623980701</v>
      </c>
    </row>
    <row r="12461" spans="1:11" x14ac:dyDescent="0.35">
      <c r="A12461" s="9" t="str">
        <f>HYPERLINK("http://www.ensembl.org/id/WBGene00219684", "WBGene00219684")</f>
        <v>WBGene00219684</v>
      </c>
      <c r="B12461" s="9"/>
      <c r="C12461" s="9"/>
      <c r="D12461" t="str">
        <f>"linc-26"</f>
        <v>linc-26</v>
      </c>
      <c r="F12461" t="s">
        <v>1510</v>
      </c>
      <c r="H12461" s="12">
        <v>1.69478916943602</v>
      </c>
      <c r="I12461" s="20">
        <v>0.476474546001109</v>
      </c>
      <c r="J12461" s="28">
        <v>0.63373633722759803</v>
      </c>
      <c r="K12461" s="29">
        <v>0.98289565623980701</v>
      </c>
    </row>
    <row r="12462" spans="1:11" x14ac:dyDescent="0.35">
      <c r="A12462" s="9" t="str">
        <f>HYPERLINK("http://www.ensembl.org/id/WBGene00219713", "WBGene00219713")</f>
        <v>WBGene00219713</v>
      </c>
      <c r="B12462" s="9"/>
      <c r="C12462" s="9"/>
      <c r="D12462" t="str">
        <f>"linc-27"</f>
        <v>linc-27</v>
      </c>
      <c r="F12462" t="s">
        <v>1510</v>
      </c>
      <c r="H12462" s="12">
        <v>2.54402737984329</v>
      </c>
      <c r="I12462" s="20">
        <v>1.08897331339931</v>
      </c>
      <c r="J12462" s="28">
        <v>0.27616565415865602</v>
      </c>
      <c r="K12462" s="29">
        <v>0.98289565623980701</v>
      </c>
    </row>
    <row r="12463" spans="1:11" x14ac:dyDescent="0.35">
      <c r="A12463" s="9" t="str">
        <f>HYPERLINK("http://www.ensembl.org/id/WBGene00219562", "WBGene00219562")</f>
        <v>WBGene00219562</v>
      </c>
      <c r="B12463" s="9"/>
      <c r="C12463" s="9"/>
      <c r="D12463" t="str">
        <f>"linc-28"</f>
        <v>linc-28</v>
      </c>
      <c r="F12463" t="s">
        <v>1510</v>
      </c>
      <c r="H12463" s="12">
        <v>-1.48736756224693</v>
      </c>
      <c r="I12463" s="20">
        <v>-0.34866413075350799</v>
      </c>
      <c r="J12463" s="28">
        <v>0.72734147583785203</v>
      </c>
      <c r="K12463" s="29">
        <v>0.98289565623980701</v>
      </c>
    </row>
    <row r="12464" spans="1:11" x14ac:dyDescent="0.35">
      <c r="A12464" s="9" t="str">
        <f>HYPERLINK("http://www.ensembl.org/id/WBGene00219749", "WBGene00219749")</f>
        <v>WBGene00219749</v>
      </c>
      <c r="B12464" s="9"/>
      <c r="C12464" s="9"/>
      <c r="D12464" t="str">
        <f>"linc-30"</f>
        <v>linc-30</v>
      </c>
      <c r="F12464" t="s">
        <v>1510</v>
      </c>
      <c r="H12464" s="12">
        <v>6.6455025956121299</v>
      </c>
      <c r="I12464" s="20">
        <v>0.92043798768465701</v>
      </c>
      <c r="J12464" s="28">
        <v>0.35734392497915102</v>
      </c>
      <c r="K12464" s="29">
        <v>0.98289565623980701</v>
      </c>
    </row>
    <row r="12465" spans="1:11" x14ac:dyDescent="0.35">
      <c r="A12465" s="9" t="str">
        <f>HYPERLINK("http://www.ensembl.org/id/WBGene00219666", "WBGene00219666")</f>
        <v>WBGene00219666</v>
      </c>
      <c r="B12465" s="9"/>
      <c r="C12465" s="9"/>
      <c r="D12465" t="str">
        <f>"linc-31"</f>
        <v>linc-31</v>
      </c>
      <c r="F12465" t="s">
        <v>1510</v>
      </c>
      <c r="H12465" s="12">
        <v>-2.8168299036705799</v>
      </c>
      <c r="I12465" s="20">
        <v>-0.37699042193643401</v>
      </c>
      <c r="J12465" s="28">
        <v>0.70618072287494404</v>
      </c>
      <c r="K12465" s="29">
        <v>0.98289565623980701</v>
      </c>
    </row>
    <row r="12466" spans="1:11" x14ac:dyDescent="0.35">
      <c r="A12466" s="9" t="str">
        <f>HYPERLINK("http://www.ensembl.org/id/WBGene00219773", "WBGene00219773")</f>
        <v>WBGene00219773</v>
      </c>
      <c r="B12466" s="9"/>
      <c r="C12466" s="9"/>
      <c r="D12466" t="str">
        <f>"linc-32"</f>
        <v>linc-32</v>
      </c>
      <c r="F12466" t="s">
        <v>1510</v>
      </c>
      <c r="H12466" s="12">
        <v>2.3893468495514898</v>
      </c>
      <c r="I12466" s="20">
        <v>0.25323547253672701</v>
      </c>
      <c r="J12466" s="28">
        <v>0.80008625651646104</v>
      </c>
      <c r="K12466" s="29">
        <v>0.98289565623980701</v>
      </c>
    </row>
    <row r="12467" spans="1:11" x14ac:dyDescent="0.35">
      <c r="A12467" s="9" t="str">
        <f>HYPERLINK("http://www.ensembl.org/id/WBGene00219566", "WBGene00219566")</f>
        <v>WBGene00219566</v>
      </c>
      <c r="B12467" s="9"/>
      <c r="C12467" s="9"/>
      <c r="D12467" t="str">
        <f>"linc-33"</f>
        <v>linc-33</v>
      </c>
      <c r="F12467" t="s">
        <v>1510</v>
      </c>
      <c r="H12467" s="12">
        <v>-1.8469382546072499</v>
      </c>
      <c r="I12467" s="20">
        <v>-0.55556316514150605</v>
      </c>
      <c r="J12467" s="28">
        <v>0.578509518201346</v>
      </c>
      <c r="K12467" s="29">
        <v>0.98289565623980701</v>
      </c>
    </row>
    <row r="12468" spans="1:11" x14ac:dyDescent="0.35">
      <c r="A12468" s="9" t="str">
        <f>HYPERLINK("http://www.ensembl.org/id/WBGene00194814", "WBGene00194814")</f>
        <v>WBGene00194814</v>
      </c>
      <c r="B12468" s="9"/>
      <c r="C12468" s="9"/>
      <c r="D12468" t="str">
        <f>"linc-34"</f>
        <v>linc-34</v>
      </c>
      <c r="F12468" t="s">
        <v>1510</v>
      </c>
      <c r="H12468" s="12">
        <v>-1.3363294819451399</v>
      </c>
      <c r="I12468" s="20">
        <v>-0.85125685569646503</v>
      </c>
      <c r="J12468" s="28">
        <v>0.39462668578056098</v>
      </c>
      <c r="K12468" s="29">
        <v>0.98289565623980701</v>
      </c>
    </row>
    <row r="12469" spans="1:11" x14ac:dyDescent="0.35">
      <c r="A12469" s="9" t="str">
        <f>HYPERLINK("http://www.ensembl.org/id/WBGene00219680", "WBGene00219680")</f>
        <v>WBGene00219680</v>
      </c>
      <c r="B12469" s="9"/>
      <c r="C12469" s="9"/>
      <c r="D12469" t="str">
        <f>"linc-35"</f>
        <v>linc-35</v>
      </c>
      <c r="F12469" t="s">
        <v>1510</v>
      </c>
      <c r="H12469" s="12">
        <v>-1.23524125915516</v>
      </c>
      <c r="I12469" s="20">
        <v>-0.47990366271055601</v>
      </c>
      <c r="J12469" s="28">
        <v>0.63129589669640795</v>
      </c>
      <c r="K12469" s="29">
        <v>0.98289565623980701</v>
      </c>
    </row>
    <row r="12470" spans="1:11" x14ac:dyDescent="0.35">
      <c r="A12470" s="9" t="str">
        <f>HYPERLINK("http://www.ensembl.org/id/WBGene00219694", "WBGene00219694")</f>
        <v>WBGene00219694</v>
      </c>
      <c r="B12470" s="9"/>
      <c r="C12470" s="9"/>
      <c r="D12470" t="str">
        <f>"linc-36"</f>
        <v>linc-36</v>
      </c>
      <c r="F12470" t="s">
        <v>1510</v>
      </c>
      <c r="H12470" s="12">
        <v>-2.70983243603734</v>
      </c>
      <c r="I12470" s="20">
        <v>-0.47573539639755003</v>
      </c>
      <c r="J12470" s="28">
        <v>0.63426290023624099</v>
      </c>
      <c r="K12470" s="29">
        <v>0.98289565623980701</v>
      </c>
    </row>
    <row r="12471" spans="1:11" x14ac:dyDescent="0.35">
      <c r="A12471" s="9" t="str">
        <f>HYPERLINK("http://www.ensembl.org/id/WBGene00219306", "WBGene00219306")</f>
        <v>WBGene00219306</v>
      </c>
      <c r="B12471" s="9"/>
      <c r="C12471" s="9"/>
      <c r="D12471" t="str">
        <f>"linc-4"</f>
        <v>linc-4</v>
      </c>
      <c r="F12471" t="s">
        <v>1510</v>
      </c>
      <c r="H12471" s="12">
        <v>1.36956636028763</v>
      </c>
      <c r="I12471" s="20">
        <v>0.75415341347577303</v>
      </c>
      <c r="J12471" s="28">
        <v>0.45075710750514397</v>
      </c>
      <c r="K12471" s="29">
        <v>0.98289565623980701</v>
      </c>
    </row>
    <row r="12472" spans="1:11" x14ac:dyDescent="0.35">
      <c r="A12472" s="9" t="str">
        <f>HYPERLINK("http://www.ensembl.org/id/WBGene00219718", "WBGene00219718")</f>
        <v>WBGene00219718</v>
      </c>
      <c r="B12472" s="9"/>
      <c r="C12472" s="9"/>
      <c r="D12472" t="str">
        <f>"linc-42"</f>
        <v>linc-42</v>
      </c>
      <c r="F12472" t="s">
        <v>1510</v>
      </c>
      <c r="H12472" s="12">
        <v>1.41169637409629</v>
      </c>
      <c r="I12472" s="20">
        <v>0.26625168679217898</v>
      </c>
      <c r="J12472" s="28">
        <v>0.79004537880889103</v>
      </c>
      <c r="K12472" s="29">
        <v>0.98289565623980701</v>
      </c>
    </row>
    <row r="12473" spans="1:11" x14ac:dyDescent="0.35">
      <c r="A12473" s="9" t="str">
        <f>HYPERLINK("http://www.ensembl.org/id/WBGene00219675", "WBGene00219675")</f>
        <v>WBGene00219675</v>
      </c>
      <c r="B12473" s="9"/>
      <c r="C12473" s="9"/>
      <c r="D12473" t="str">
        <f>"linc-44"</f>
        <v>linc-44</v>
      </c>
      <c r="F12473" t="s">
        <v>1510</v>
      </c>
      <c r="H12473" s="12">
        <v>2.2558258558037001</v>
      </c>
      <c r="I12473" s="20">
        <v>0.594752472771929</v>
      </c>
      <c r="J12473" s="28">
        <v>0.55200894106014198</v>
      </c>
      <c r="K12473" s="29">
        <v>0.98289565623980701</v>
      </c>
    </row>
    <row r="12474" spans="1:11" x14ac:dyDescent="0.35">
      <c r="A12474" s="9" t="str">
        <f>HYPERLINK("http://www.ensembl.org/id/WBGene00219661", "WBGene00219661")</f>
        <v>WBGene00219661</v>
      </c>
      <c r="B12474" s="9"/>
      <c r="C12474" s="9"/>
      <c r="D12474" t="str">
        <f>"linc-45"</f>
        <v>linc-45</v>
      </c>
      <c r="F12474" t="s">
        <v>1510</v>
      </c>
      <c r="H12474" s="12">
        <v>-1.3610202633408901</v>
      </c>
      <c r="I12474" s="20">
        <v>-0.95208806251578504</v>
      </c>
      <c r="J12474" s="28">
        <v>0.34105232261995</v>
      </c>
      <c r="K12474" s="29">
        <v>0.98289565623980701</v>
      </c>
    </row>
    <row r="12475" spans="1:11" x14ac:dyDescent="0.35">
      <c r="A12475" s="9" t="str">
        <f>HYPERLINK("http://www.ensembl.org/id/WBGene00219676", "WBGene00219676")</f>
        <v>WBGene00219676</v>
      </c>
      <c r="B12475" s="9"/>
      <c r="C12475" s="9"/>
      <c r="D12475" t="str">
        <f>"linc-48"</f>
        <v>linc-48</v>
      </c>
      <c r="F12475" t="s">
        <v>1510</v>
      </c>
      <c r="H12475" s="12">
        <v>6.3922182715604503</v>
      </c>
      <c r="I12475" s="20">
        <v>1.0294398567071401</v>
      </c>
      <c r="J12475" s="28">
        <v>0.30327302811192602</v>
      </c>
      <c r="K12475" s="29">
        <v>0.98289565623980701</v>
      </c>
    </row>
    <row r="12476" spans="1:11" x14ac:dyDescent="0.35">
      <c r="A12476" s="9" t="str">
        <f>HYPERLINK("http://www.ensembl.org/id/WBGene00219682", "WBGene00219682")</f>
        <v>WBGene00219682</v>
      </c>
      <c r="B12476" s="9"/>
      <c r="C12476" s="9"/>
      <c r="D12476" t="str">
        <f>"linc-50"</f>
        <v>linc-50</v>
      </c>
      <c r="F12476" t="s">
        <v>1510</v>
      </c>
      <c r="H12476" s="12">
        <v>1.6860164610102299</v>
      </c>
      <c r="I12476" s="20">
        <v>0.80447374685805595</v>
      </c>
      <c r="J12476" s="28">
        <v>0.42112342531788099</v>
      </c>
      <c r="K12476" s="29">
        <v>0.98289565623980701</v>
      </c>
    </row>
    <row r="12477" spans="1:11" x14ac:dyDescent="0.35">
      <c r="A12477" s="9" t="str">
        <f>HYPERLINK("http://www.ensembl.org/id/WBGene00219742", "WBGene00219742")</f>
        <v>WBGene00219742</v>
      </c>
      <c r="B12477" s="9"/>
      <c r="C12477" s="9"/>
      <c r="D12477" t="str">
        <f>"linc-52"</f>
        <v>linc-52</v>
      </c>
      <c r="F12477" t="s">
        <v>1510</v>
      </c>
      <c r="H12477" s="12">
        <v>-1.6061718250430299</v>
      </c>
      <c r="I12477" s="20">
        <v>-0.29143458400850297</v>
      </c>
      <c r="J12477" s="28">
        <v>0.77071896767055004</v>
      </c>
      <c r="K12477" s="29">
        <v>0.98289565623980701</v>
      </c>
    </row>
    <row r="12478" spans="1:11" x14ac:dyDescent="0.35">
      <c r="A12478" s="9" t="str">
        <f>HYPERLINK("http://www.ensembl.org/id/WBGene00219574", "WBGene00219574")</f>
        <v>WBGene00219574</v>
      </c>
      <c r="B12478" s="9"/>
      <c r="C12478" s="9"/>
      <c r="D12478" t="str">
        <f>"linc-54"</f>
        <v>linc-54</v>
      </c>
      <c r="F12478" t="s">
        <v>1510</v>
      </c>
      <c r="H12478" s="12">
        <v>-1.4998138214110299</v>
      </c>
      <c r="I12478" s="20">
        <v>-0.299059268879591</v>
      </c>
      <c r="J12478" s="28">
        <v>0.76489482355526595</v>
      </c>
      <c r="K12478" s="29">
        <v>0.98289565623980701</v>
      </c>
    </row>
    <row r="12479" spans="1:11" x14ac:dyDescent="0.35">
      <c r="A12479" s="9" t="str">
        <f>HYPERLINK("http://www.ensembl.org/id/WBGene00219649", "WBGene00219649")</f>
        <v>WBGene00219649</v>
      </c>
      <c r="B12479" s="9"/>
      <c r="C12479" s="9"/>
      <c r="D12479" t="str">
        <f>"linc-55"</f>
        <v>linc-55</v>
      </c>
      <c r="F12479" t="s">
        <v>1510</v>
      </c>
      <c r="H12479" s="12">
        <v>1.9891205394062901</v>
      </c>
      <c r="I12479" s="20">
        <v>0.724969109565478</v>
      </c>
      <c r="J12479" s="28">
        <v>0.46847098137266802</v>
      </c>
      <c r="K12479" s="29">
        <v>0.98289565623980701</v>
      </c>
    </row>
    <row r="12480" spans="1:11" x14ac:dyDescent="0.35">
      <c r="A12480" s="9" t="str">
        <f>HYPERLINK("http://www.ensembl.org/id/WBGene00219650", "WBGene00219650")</f>
        <v>WBGene00219650</v>
      </c>
      <c r="B12480" s="9"/>
      <c r="C12480" s="9"/>
      <c r="D12480" t="str">
        <f>"linc-56"</f>
        <v>linc-56</v>
      </c>
      <c r="F12480" t="s">
        <v>1510</v>
      </c>
      <c r="H12480" s="12">
        <v>1.1667905421037399</v>
      </c>
      <c r="I12480" s="20">
        <v>0.60792970769233101</v>
      </c>
      <c r="J12480" s="28">
        <v>0.54323409532903799</v>
      </c>
      <c r="K12480" s="29">
        <v>0.98289565623980701</v>
      </c>
    </row>
    <row r="12481" spans="1:11" x14ac:dyDescent="0.35">
      <c r="A12481" s="9" t="str">
        <f>HYPERLINK("http://www.ensembl.org/id/WBGene00219719", "WBGene00219719")</f>
        <v>WBGene00219719</v>
      </c>
      <c r="B12481" s="9"/>
      <c r="C12481" s="9"/>
      <c r="D12481" t="str">
        <f>"linc-57"</f>
        <v>linc-57</v>
      </c>
      <c r="F12481" t="s">
        <v>1510</v>
      </c>
      <c r="H12481" s="12">
        <v>-3.71932966445589</v>
      </c>
      <c r="I12481" s="20">
        <v>-0.56955407480233899</v>
      </c>
      <c r="J12481" s="28">
        <v>0.56898018467641098</v>
      </c>
      <c r="K12481" s="29">
        <v>0.98289565623980701</v>
      </c>
    </row>
    <row r="12482" spans="1:11" x14ac:dyDescent="0.35">
      <c r="A12482" s="9" t="str">
        <f>HYPERLINK("http://www.ensembl.org/id/WBGene00219608", "WBGene00219608")</f>
        <v>WBGene00219608</v>
      </c>
      <c r="B12482" s="9"/>
      <c r="C12482" s="9"/>
      <c r="D12482" t="str">
        <f>"linc-58"</f>
        <v>linc-58</v>
      </c>
      <c r="F12482" t="s">
        <v>1510</v>
      </c>
      <c r="H12482" s="12">
        <v>8.38675423776297</v>
      </c>
      <c r="I12482" s="20">
        <v>0.88182376132569296</v>
      </c>
      <c r="J12482" s="28">
        <v>0.37787212001537401</v>
      </c>
      <c r="K12482" s="29">
        <v>0.98289565623980701</v>
      </c>
    </row>
    <row r="12483" spans="1:11" x14ac:dyDescent="0.35">
      <c r="A12483" s="9" t="str">
        <f>HYPERLINK("http://www.ensembl.org/id/WBGene00219618", "WBGene00219618")</f>
        <v>WBGene00219618</v>
      </c>
      <c r="B12483" s="9"/>
      <c r="C12483" s="9"/>
      <c r="D12483" t="str">
        <f>"linc-60"</f>
        <v>linc-60</v>
      </c>
      <c r="F12483" t="s">
        <v>1510</v>
      </c>
      <c r="H12483" s="12">
        <v>-7.9500140730388296</v>
      </c>
      <c r="I12483" s="20">
        <v>-0.99281111327486704</v>
      </c>
      <c r="J12483" s="28">
        <v>0.32080201308317002</v>
      </c>
      <c r="K12483" s="29">
        <v>0.98289565623980701</v>
      </c>
    </row>
    <row r="12484" spans="1:11" x14ac:dyDescent="0.35">
      <c r="A12484" s="9" t="str">
        <f>HYPERLINK("http://www.ensembl.org/id/WBGene00195170", "WBGene00195170")</f>
        <v>WBGene00195170</v>
      </c>
      <c r="B12484" s="9"/>
      <c r="C12484" s="9"/>
      <c r="D12484" t="str">
        <f>"linc-61"</f>
        <v>linc-61</v>
      </c>
      <c r="F12484" t="s">
        <v>1510</v>
      </c>
      <c r="H12484" s="12">
        <v>-1.6311012771445299</v>
      </c>
      <c r="I12484" s="20">
        <v>-0.52098692187386397</v>
      </c>
      <c r="J12484" s="28">
        <v>0.60237588191509295</v>
      </c>
      <c r="K12484" s="29">
        <v>0.98289565623980701</v>
      </c>
    </row>
    <row r="12485" spans="1:11" x14ac:dyDescent="0.35">
      <c r="A12485" s="9" t="str">
        <f>HYPERLINK("http://www.ensembl.org/id/WBGene00219648", "WBGene00219648")</f>
        <v>WBGene00219648</v>
      </c>
      <c r="B12485" s="9"/>
      <c r="C12485" s="9"/>
      <c r="D12485" t="str">
        <f>"linc-67"</f>
        <v>linc-67</v>
      </c>
      <c r="F12485" t="s">
        <v>1510</v>
      </c>
      <c r="H12485" s="12">
        <v>1.4998576711568801</v>
      </c>
      <c r="I12485" s="20">
        <v>0.51646608246610703</v>
      </c>
      <c r="J12485" s="28">
        <v>0.60552892208017695</v>
      </c>
      <c r="K12485" s="29">
        <v>0.98289565623980701</v>
      </c>
    </row>
    <row r="12486" spans="1:11" x14ac:dyDescent="0.35">
      <c r="A12486" s="9" t="str">
        <f>HYPERLINK("http://www.ensembl.org/id/WBGene00219756", "WBGene00219756")</f>
        <v>WBGene00219756</v>
      </c>
      <c r="B12486" s="9"/>
      <c r="C12486" s="9"/>
      <c r="D12486" t="str">
        <f>"linc-68"</f>
        <v>linc-68</v>
      </c>
      <c r="F12486" t="s">
        <v>1510</v>
      </c>
      <c r="H12486" s="12">
        <v>-1.9790485821497199</v>
      </c>
      <c r="I12486" s="20">
        <v>-0.91801036276437298</v>
      </c>
      <c r="J12486" s="28">
        <v>0.35861344062620698</v>
      </c>
      <c r="K12486" s="29">
        <v>0.98289565623980701</v>
      </c>
    </row>
    <row r="12487" spans="1:11" x14ac:dyDescent="0.35">
      <c r="A12487" s="9" t="str">
        <f>HYPERLINK("http://www.ensembl.org/id/WBGene00219644", "WBGene00219644")</f>
        <v>WBGene00219644</v>
      </c>
      <c r="B12487" s="9"/>
      <c r="C12487" s="9"/>
      <c r="D12487" t="str">
        <f>"linc-69"</f>
        <v>linc-69</v>
      </c>
      <c r="F12487" t="s">
        <v>1510</v>
      </c>
      <c r="H12487" s="12">
        <v>11.170998397396099</v>
      </c>
      <c r="I12487" s="20">
        <v>0.72284615686154896</v>
      </c>
      <c r="J12487" s="28">
        <v>0.46977440626377698</v>
      </c>
      <c r="K12487" s="29">
        <v>0.98289565623980701</v>
      </c>
    </row>
    <row r="12488" spans="1:11" x14ac:dyDescent="0.35">
      <c r="A12488" s="9" t="str">
        <f>HYPERLINK("http://www.ensembl.org/id/WBGene00219609", "WBGene00219609")</f>
        <v>WBGene00219609</v>
      </c>
      <c r="B12488" s="9"/>
      <c r="C12488" s="9"/>
      <c r="D12488" t="str">
        <f>"linc-7"</f>
        <v>linc-7</v>
      </c>
      <c r="F12488" t="s">
        <v>1510</v>
      </c>
      <c r="H12488" s="12">
        <v>1.2638955895050299</v>
      </c>
      <c r="I12488" s="20">
        <v>0.79643538514355805</v>
      </c>
      <c r="J12488" s="28">
        <v>0.42577901797813</v>
      </c>
      <c r="K12488" s="29">
        <v>0.98289565623980701</v>
      </c>
    </row>
    <row r="12489" spans="1:11" x14ac:dyDescent="0.35">
      <c r="A12489" s="9" t="str">
        <f>HYPERLINK("http://www.ensembl.org/id/WBGene00219757", "WBGene00219757")</f>
        <v>WBGene00219757</v>
      </c>
      <c r="B12489" s="9"/>
      <c r="C12489" s="9"/>
      <c r="D12489" t="str">
        <f>"linc-71"</f>
        <v>linc-71</v>
      </c>
      <c r="F12489" t="s">
        <v>1510</v>
      </c>
      <c r="H12489" s="12">
        <v>-1.54633925322833</v>
      </c>
      <c r="I12489" s="20">
        <v>-0.30021509353341602</v>
      </c>
      <c r="J12489" s="28">
        <v>0.76401309281108598</v>
      </c>
      <c r="K12489" s="29">
        <v>0.98289565623980701</v>
      </c>
    </row>
    <row r="12490" spans="1:11" x14ac:dyDescent="0.35">
      <c r="A12490" s="9" t="str">
        <f>HYPERLINK("http://www.ensembl.org/id/WBGene00219590", "WBGene00219590")</f>
        <v>WBGene00219590</v>
      </c>
      <c r="B12490" s="9"/>
      <c r="C12490" s="9"/>
      <c r="D12490" t="str">
        <f>"linc-72"</f>
        <v>linc-72</v>
      </c>
      <c r="F12490" t="s">
        <v>1510</v>
      </c>
      <c r="H12490" s="12">
        <v>-5.7240770346231198</v>
      </c>
      <c r="I12490" s="20">
        <v>-0.63906553810324995</v>
      </c>
      <c r="J12490" s="28">
        <v>0.52278029759756095</v>
      </c>
      <c r="K12490" s="29">
        <v>0.98289565623980701</v>
      </c>
    </row>
    <row r="12491" spans="1:11" x14ac:dyDescent="0.35">
      <c r="A12491" s="9" t="str">
        <f>HYPERLINK("http://www.ensembl.org/id/WBGene00219643", "WBGene00219643")</f>
        <v>WBGene00219643</v>
      </c>
      <c r="B12491" s="9"/>
      <c r="C12491" s="9"/>
      <c r="D12491" t="str">
        <f>"linc-78"</f>
        <v>linc-78</v>
      </c>
      <c r="F12491" t="s">
        <v>1510</v>
      </c>
      <c r="H12491" s="12">
        <v>2.4578120077400301</v>
      </c>
      <c r="I12491" s="20">
        <v>0.26093350314551</v>
      </c>
      <c r="J12491" s="28">
        <v>0.79414378780213601</v>
      </c>
      <c r="K12491" s="29">
        <v>0.98289565623980701</v>
      </c>
    </row>
    <row r="12492" spans="1:11" x14ac:dyDescent="0.35">
      <c r="A12492" s="9" t="str">
        <f>HYPERLINK("http://www.ensembl.org/id/WBGene00219707", "WBGene00219707")</f>
        <v>WBGene00219707</v>
      </c>
      <c r="B12492" s="9"/>
      <c r="C12492" s="9"/>
      <c r="D12492" t="str">
        <f>"linc-8"</f>
        <v>linc-8</v>
      </c>
      <c r="F12492" t="s">
        <v>1510</v>
      </c>
      <c r="H12492" s="12">
        <v>1.1724346175242599</v>
      </c>
      <c r="I12492" s="20">
        <v>0.67602516610380603</v>
      </c>
      <c r="J12492" s="28">
        <v>0.49902466709914001</v>
      </c>
      <c r="K12492" s="29">
        <v>0.98289565623980701</v>
      </c>
    </row>
    <row r="12493" spans="1:11" x14ac:dyDescent="0.35">
      <c r="A12493" s="9" t="str">
        <f>HYPERLINK("http://www.ensembl.org/id/WBGene00219588", "WBGene00219588")</f>
        <v>WBGene00219588</v>
      </c>
      <c r="B12493" s="9"/>
      <c r="C12493" s="9"/>
      <c r="D12493" t="str">
        <f>"linc-80"</f>
        <v>linc-80</v>
      </c>
      <c r="F12493" t="s">
        <v>1510</v>
      </c>
      <c r="H12493" s="12">
        <v>-3.20559863628272</v>
      </c>
      <c r="I12493" s="20">
        <v>-0.55293094581264102</v>
      </c>
      <c r="J12493" s="28">
        <v>0.58031069619131503</v>
      </c>
      <c r="K12493" s="29">
        <v>0.98289565623980701</v>
      </c>
    </row>
    <row r="12494" spans="1:11" x14ac:dyDescent="0.35">
      <c r="A12494" s="9" t="str">
        <f>HYPERLINK("http://www.ensembl.org/id/WBGene00219570", "WBGene00219570")</f>
        <v>WBGene00219570</v>
      </c>
      <c r="B12494" s="9"/>
      <c r="C12494" s="9"/>
      <c r="D12494" t="str">
        <f>"linc-82"</f>
        <v>linc-82</v>
      </c>
      <c r="F12494" t="s">
        <v>1510</v>
      </c>
      <c r="H12494" s="12">
        <v>8.0645875767637207</v>
      </c>
      <c r="I12494" s="20">
        <v>0.85801550300948304</v>
      </c>
      <c r="J12494" s="28">
        <v>0.39088390296488701</v>
      </c>
      <c r="K12494" s="29">
        <v>0.98289565623980701</v>
      </c>
    </row>
    <row r="12495" spans="1:11" x14ac:dyDescent="0.35">
      <c r="A12495" s="9" t="str">
        <f>HYPERLINK("http://www.ensembl.org/id/WBGene00194800", "WBGene00194800")</f>
        <v>WBGene00194800</v>
      </c>
      <c r="B12495" s="9"/>
      <c r="C12495" s="9"/>
      <c r="D12495" t="str">
        <f>"linc-83"</f>
        <v>linc-83</v>
      </c>
      <c r="F12495" t="s">
        <v>1510</v>
      </c>
      <c r="H12495" s="12">
        <v>-3.5004395618362398</v>
      </c>
      <c r="I12495" s="20">
        <v>-0.78428826794445605</v>
      </c>
      <c r="J12495" s="28">
        <v>0.43287098193138301</v>
      </c>
      <c r="K12495" s="29">
        <v>0.98289565623980701</v>
      </c>
    </row>
    <row r="12496" spans="1:11" x14ac:dyDescent="0.35">
      <c r="A12496" s="9" t="str">
        <f>HYPERLINK("http://www.ensembl.org/id/WBGene00219754", "WBGene00219754")</f>
        <v>WBGene00219754</v>
      </c>
      <c r="B12496" s="9"/>
      <c r="C12496" s="9"/>
      <c r="D12496" t="str">
        <f>"linc-85"</f>
        <v>linc-85</v>
      </c>
      <c r="F12496" t="s">
        <v>1510</v>
      </c>
      <c r="H12496" s="12">
        <v>-2.0438246254691599</v>
      </c>
      <c r="I12496" s="20">
        <v>-0.312141964559559</v>
      </c>
      <c r="J12496" s="28">
        <v>0.75493263551800405</v>
      </c>
      <c r="K12496" s="29">
        <v>0.98289565623980701</v>
      </c>
    </row>
    <row r="12497" spans="1:11" x14ac:dyDescent="0.35">
      <c r="A12497" s="9" t="str">
        <f>HYPERLINK("http://www.ensembl.org/id/WBGene00219716", "WBGene00219716")</f>
        <v>WBGene00219716</v>
      </c>
      <c r="B12497" s="9"/>
      <c r="C12497" s="9"/>
      <c r="D12497" t="str">
        <f>"linc-88"</f>
        <v>linc-88</v>
      </c>
      <c r="F12497" t="s">
        <v>1510</v>
      </c>
      <c r="H12497" s="12">
        <v>-3.40517997462055</v>
      </c>
      <c r="I12497" s="20">
        <v>-0.44562966553438899</v>
      </c>
      <c r="J12497" s="28">
        <v>0.65586477808227595</v>
      </c>
      <c r="K12497" s="29">
        <v>0.98289565623980701</v>
      </c>
    </row>
    <row r="12498" spans="1:11" x14ac:dyDescent="0.35">
      <c r="A12498" s="9" t="str">
        <f>HYPERLINK("http://www.ensembl.org/id/WBGene00219646", "WBGene00219646")</f>
        <v>WBGene00219646</v>
      </c>
      <c r="B12498" s="9"/>
      <c r="C12498" s="9"/>
      <c r="D12498" t="str">
        <f>"linc-89"</f>
        <v>linc-89</v>
      </c>
      <c r="F12498" t="s">
        <v>1510</v>
      </c>
      <c r="H12498" s="12">
        <v>5.4058944669092801</v>
      </c>
      <c r="I12498" s="20">
        <v>0.49762513753689303</v>
      </c>
      <c r="J12498" s="28">
        <v>0.61874828254921799</v>
      </c>
      <c r="K12498" s="29">
        <v>0.98289565623980701</v>
      </c>
    </row>
    <row r="12499" spans="1:11" x14ac:dyDescent="0.35">
      <c r="A12499" s="9" t="str">
        <f>HYPERLINK("http://www.ensembl.org/id/WBGene00219678", "WBGene00219678")</f>
        <v>WBGene00219678</v>
      </c>
      <c r="B12499" s="9"/>
      <c r="C12499" s="9"/>
      <c r="D12499" t="str">
        <f>"linc-9"</f>
        <v>linc-9</v>
      </c>
      <c r="F12499" t="s">
        <v>1510</v>
      </c>
      <c r="H12499" s="12">
        <v>1.1890202073547</v>
      </c>
      <c r="I12499" s="20">
        <v>0.31846128609271102</v>
      </c>
      <c r="J12499" s="28">
        <v>0.75013505639436695</v>
      </c>
      <c r="K12499" s="29">
        <v>0.98289565623980701</v>
      </c>
    </row>
    <row r="12500" spans="1:11" x14ac:dyDescent="0.35">
      <c r="A12500" s="9" t="str">
        <f>HYPERLINK("http://www.ensembl.org/id/WBGene00219745", "WBGene00219745")</f>
        <v>WBGene00219745</v>
      </c>
      <c r="B12500" s="9"/>
      <c r="C12500" s="9"/>
      <c r="D12500" t="str">
        <f>"linc-90"</f>
        <v>linc-90</v>
      </c>
      <c r="F12500" t="s">
        <v>1510</v>
      </c>
      <c r="H12500" s="12">
        <v>2.3893468495514898</v>
      </c>
      <c r="I12500" s="20">
        <v>0.25323547253672701</v>
      </c>
      <c r="J12500" s="28">
        <v>0.80008625651646104</v>
      </c>
      <c r="K12500" s="29">
        <v>0.98289565623980701</v>
      </c>
    </row>
    <row r="12501" spans="1:11" x14ac:dyDescent="0.35">
      <c r="A12501" s="9" t="str">
        <f>HYPERLINK("http://www.ensembl.org/id/WBGene00219698", "WBGene00219698")</f>
        <v>WBGene00219698</v>
      </c>
      <c r="B12501" s="9"/>
      <c r="C12501" s="9"/>
      <c r="D12501" t="str">
        <f>"linc-92"</f>
        <v>linc-92</v>
      </c>
      <c r="F12501" t="s">
        <v>1510</v>
      </c>
      <c r="H12501" s="12">
        <v>2.7889187303171101</v>
      </c>
      <c r="I12501" s="20">
        <v>0.78243540928030597</v>
      </c>
      <c r="J12501" s="28">
        <v>0.43395873088137799</v>
      </c>
      <c r="K12501" s="29">
        <v>0.98289565623980701</v>
      </c>
    </row>
    <row r="12502" spans="1:11" x14ac:dyDescent="0.35">
      <c r="A12502" s="9" t="str">
        <f>HYPERLINK("http://www.ensembl.org/id/WBGene00219604", "WBGene00219604")</f>
        <v>WBGene00219604</v>
      </c>
      <c r="B12502" s="9"/>
      <c r="C12502" s="9"/>
      <c r="D12502" t="str">
        <f>"linc-93"</f>
        <v>linc-93</v>
      </c>
      <c r="F12502" t="s">
        <v>1510</v>
      </c>
      <c r="H12502" s="12">
        <v>5.2322000618327396</v>
      </c>
      <c r="I12502" s="20">
        <v>0.486112489888328</v>
      </c>
      <c r="J12502" s="28">
        <v>0.62688741196182496</v>
      </c>
      <c r="K12502" s="29">
        <v>0.98289565623980701</v>
      </c>
    </row>
    <row r="12503" spans="1:11" x14ac:dyDescent="0.35">
      <c r="A12503" s="9" t="str">
        <f>HYPERLINK("http://www.ensembl.org/id/WBGene00219563", "WBGene00219563")</f>
        <v>WBGene00219563</v>
      </c>
      <c r="B12503" s="9"/>
      <c r="C12503" s="9"/>
      <c r="D12503" t="str">
        <f>"linc-95"</f>
        <v>linc-95</v>
      </c>
      <c r="F12503" t="s">
        <v>1510</v>
      </c>
      <c r="H12503" s="12">
        <v>-2.4295389261469</v>
      </c>
      <c r="I12503" s="20">
        <v>-0.25808529976640998</v>
      </c>
      <c r="J12503" s="28">
        <v>0.79634107645457397</v>
      </c>
      <c r="K12503" s="29">
        <v>0.98289565623980701</v>
      </c>
    </row>
    <row r="12504" spans="1:11" x14ac:dyDescent="0.35">
      <c r="A12504" s="9" t="str">
        <f>HYPERLINK("http://www.ensembl.org/id/WBGene00008510", "WBGene00008510")</f>
        <v>WBGene00008510</v>
      </c>
      <c r="B12504" s="9" t="str">
        <f>HYPERLINK("http://www.ncbi.nlm.nih.gov/gene/184068", "184068")</f>
        <v>184068</v>
      </c>
      <c r="C12504" s="9" t="str">
        <f>HYPERLINK("http://www.ncbi.nlm.nih.gov/gene/3988", "3988")</f>
        <v>3988</v>
      </c>
      <c r="D12504" t="str">
        <f>"lipl-7"</f>
        <v>lipl-7</v>
      </c>
      <c r="E12504" t="s">
        <v>18</v>
      </c>
      <c r="F12504" t="s">
        <v>11</v>
      </c>
      <c r="G12504" t="s">
        <v>2177</v>
      </c>
      <c r="H12504" s="12">
        <v>-1.1851243632069699</v>
      </c>
      <c r="I12504" s="20">
        <v>-0.832452796543389</v>
      </c>
      <c r="J12504" s="28">
        <v>0.405153411612443</v>
      </c>
      <c r="K12504" s="29">
        <v>0.98289565623980701</v>
      </c>
    </row>
    <row r="12505" spans="1:11" x14ac:dyDescent="0.35">
      <c r="A12505" s="9" t="str">
        <f>HYPERLINK("http://www.ensembl.org/id/WBGene00013050", "WBGene00013050")</f>
        <v>WBGene00013050</v>
      </c>
      <c r="B12505" s="9" t="str">
        <f>HYPERLINK("http://www.ncbi.nlm.nih.gov/gene/190108", "190108")</f>
        <v>190108</v>
      </c>
      <c r="C12505" s="9"/>
      <c r="D12505" t="str">
        <f>"lipl-8"</f>
        <v>lipl-8</v>
      </c>
      <c r="E12505" t="s">
        <v>18</v>
      </c>
      <c r="F12505" t="s">
        <v>11</v>
      </c>
      <c r="G12505" t="s">
        <v>2177</v>
      </c>
      <c r="H12505" s="12">
        <v>-1.6003167582648901</v>
      </c>
      <c r="I12505" s="20">
        <v>-0.58236144748768104</v>
      </c>
      <c r="J12505" s="28">
        <v>0.56032324386730004</v>
      </c>
      <c r="K12505" s="29">
        <v>0.98289565623980701</v>
      </c>
    </row>
    <row r="12506" spans="1:11" x14ac:dyDescent="0.35">
      <c r="A12506" s="9" t="str">
        <f>HYPERLINK("http://www.ensembl.org/id/WBGene00009727", "WBGene00009727")</f>
        <v>WBGene00009727</v>
      </c>
      <c r="B12506" s="9" t="str">
        <f>HYPERLINK("http://www.ncbi.nlm.nih.gov/gene/185800", "185800")</f>
        <v>185800</v>
      </c>
      <c r="C12506" s="9"/>
      <c r="D12506" t="str">
        <f>"lips-1"</f>
        <v>lips-1</v>
      </c>
      <c r="E12506" t="s">
        <v>430</v>
      </c>
      <c r="F12506" t="s">
        <v>11</v>
      </c>
      <c r="G12506" t="s">
        <v>431</v>
      </c>
      <c r="H12506" s="12">
        <v>1.29380319925008</v>
      </c>
      <c r="I12506" s="20">
        <v>0.63340361724905403</v>
      </c>
      <c r="J12506" s="28">
        <v>0.52647010344790002</v>
      </c>
      <c r="K12506" s="29">
        <v>0.98289565623980701</v>
      </c>
    </row>
    <row r="12507" spans="1:11" x14ac:dyDescent="0.35">
      <c r="A12507" s="9" t="str">
        <f>HYPERLINK("http://www.ensembl.org/id/WBGene00020472", "WBGene00020472")</f>
        <v>WBGene00020472</v>
      </c>
      <c r="B12507" s="9" t="str">
        <f>HYPERLINK("http://www.ncbi.nlm.nih.gov/gene/188467", "188467")</f>
        <v>188467</v>
      </c>
      <c r="C12507" s="9"/>
      <c r="D12507" t="str">
        <f>"lips-11"</f>
        <v>lips-11</v>
      </c>
      <c r="E12507" t="s">
        <v>430</v>
      </c>
      <c r="F12507" t="s">
        <v>11</v>
      </c>
      <c r="G12507" t="s">
        <v>431</v>
      </c>
      <c r="H12507" s="12">
        <v>2.3893468495514898</v>
      </c>
      <c r="I12507" s="20">
        <v>0.25323547253672701</v>
      </c>
      <c r="J12507" s="28">
        <v>0.80008625651646104</v>
      </c>
      <c r="K12507" s="29">
        <v>0.98289565623980701</v>
      </c>
    </row>
    <row r="12508" spans="1:11" x14ac:dyDescent="0.35">
      <c r="A12508" s="9" t="str">
        <f>HYPERLINK("http://www.ensembl.org/id/WBGene00020473", "WBGene00020473")</f>
        <v>WBGene00020473</v>
      </c>
      <c r="B12508" s="9" t="str">
        <f>HYPERLINK("http://www.ncbi.nlm.nih.gov/gene/188468", "188468")</f>
        <v>188468</v>
      </c>
      <c r="C12508" s="9"/>
      <c r="D12508" t="str">
        <f>"lips-12"</f>
        <v>lips-12</v>
      </c>
      <c r="E12508" t="s">
        <v>430</v>
      </c>
      <c r="F12508" t="s">
        <v>11</v>
      </c>
      <c r="G12508" t="s">
        <v>431</v>
      </c>
      <c r="H12508" s="12">
        <v>-1.98539956709831</v>
      </c>
      <c r="I12508" s="20">
        <v>-0.57775579777492703</v>
      </c>
      <c r="J12508" s="28">
        <v>0.56342900186228195</v>
      </c>
      <c r="K12508" s="29">
        <v>0.98289565623980701</v>
      </c>
    </row>
    <row r="12509" spans="1:11" x14ac:dyDescent="0.35">
      <c r="A12509" s="9" t="str">
        <f>HYPERLINK("http://www.ensembl.org/id/WBGene00020474", "WBGene00020474")</f>
        <v>WBGene00020474</v>
      </c>
      <c r="B12509" s="9" t="str">
        <f>HYPERLINK("http://www.ncbi.nlm.nih.gov/gene/188469", "188469")</f>
        <v>188469</v>
      </c>
      <c r="C12509" s="9"/>
      <c r="D12509" t="str">
        <f>"lips-13"</f>
        <v>lips-13</v>
      </c>
      <c r="E12509" t="s">
        <v>430</v>
      </c>
      <c r="F12509" t="s">
        <v>11</v>
      </c>
      <c r="G12509" t="s">
        <v>431</v>
      </c>
      <c r="H12509" s="12">
        <v>1.99779819320082</v>
      </c>
      <c r="I12509" s="20">
        <v>0.83527812317549599</v>
      </c>
      <c r="J12509" s="28">
        <v>0.40356113197549298</v>
      </c>
      <c r="K12509" s="29">
        <v>0.98289565623980701</v>
      </c>
    </row>
    <row r="12510" spans="1:11" x14ac:dyDescent="0.35">
      <c r="A12510" s="9" t="str">
        <f>HYPERLINK("http://www.ensembl.org/id/WBGene00012588", "WBGene00012588")</f>
        <v>WBGene00012588</v>
      </c>
      <c r="B12510" s="9"/>
      <c r="C12510" s="9"/>
      <c r="D12510" t="str">
        <f>"lips-16"</f>
        <v>lips-16</v>
      </c>
      <c r="F12510" t="s">
        <v>80</v>
      </c>
      <c r="H12510" s="12">
        <v>1.0888039301696399</v>
      </c>
      <c r="I12510" s="20">
        <v>0.36352230770545702</v>
      </c>
      <c r="J12510" s="28">
        <v>0.71621475191918704</v>
      </c>
      <c r="K12510" s="29">
        <v>0.98289565623980701</v>
      </c>
    </row>
    <row r="12511" spans="1:11" x14ac:dyDescent="0.35">
      <c r="A12511" s="9" t="str">
        <f>HYPERLINK("http://www.ensembl.org/id/WBGene00008655", "WBGene00008655")</f>
        <v>WBGene00008655</v>
      </c>
      <c r="B12511" s="9" t="str">
        <f>HYPERLINK("http://www.ncbi.nlm.nih.gov/gene/184306", "184306")</f>
        <v>184306</v>
      </c>
      <c r="C12511" s="9"/>
      <c r="D12511" t="str">
        <f>"lips-3"</f>
        <v>lips-3</v>
      </c>
      <c r="E12511" t="s">
        <v>430</v>
      </c>
      <c r="F12511" t="s">
        <v>11</v>
      </c>
      <c r="G12511" t="s">
        <v>431</v>
      </c>
      <c r="H12511" s="12">
        <v>1.4042419133389601</v>
      </c>
      <c r="I12511" s="20">
        <v>0.91550962769303501</v>
      </c>
      <c r="J12511" s="28">
        <v>0.35992415049962001</v>
      </c>
      <c r="K12511" s="29">
        <v>0.98289565623980701</v>
      </c>
    </row>
    <row r="12512" spans="1:11" x14ac:dyDescent="0.35">
      <c r="A12512" s="9" t="str">
        <f>HYPERLINK("http://www.ensembl.org/id/WBGene00011725", "WBGene00011725")</f>
        <v>WBGene00011725</v>
      </c>
      <c r="B12512" s="9" t="str">
        <f>HYPERLINK("http://www.ncbi.nlm.nih.gov/gene/188437", "188437")</f>
        <v>188437</v>
      </c>
      <c r="C12512" s="9"/>
      <c r="D12512" t="str">
        <f>"lips-5"</f>
        <v>lips-5</v>
      </c>
      <c r="E12512" t="s">
        <v>430</v>
      </c>
      <c r="F12512" t="s">
        <v>11</v>
      </c>
      <c r="G12512" t="s">
        <v>431</v>
      </c>
      <c r="H12512" s="12">
        <v>1.44866813717178</v>
      </c>
      <c r="I12512" s="20">
        <v>1.07105993366</v>
      </c>
      <c r="J12512" s="28">
        <v>0.28414248204192599</v>
      </c>
      <c r="K12512" s="29">
        <v>0.98289565623980701</v>
      </c>
    </row>
    <row r="12513" spans="1:11" x14ac:dyDescent="0.35">
      <c r="A12513" s="9" t="str">
        <f>HYPERLINK("http://www.ensembl.org/id/WBGene00014009", "WBGene00014009")</f>
        <v>WBGene00014009</v>
      </c>
      <c r="B12513" s="9" t="str">
        <f>HYPERLINK("http://www.ncbi.nlm.nih.gov/gene/191364", "191364")</f>
        <v>191364</v>
      </c>
      <c r="C12513" s="9"/>
      <c r="D12513" t="str">
        <f>"lips-6"</f>
        <v>lips-6</v>
      </c>
      <c r="E12513" t="s">
        <v>430</v>
      </c>
      <c r="F12513" t="s">
        <v>11</v>
      </c>
      <c r="G12513" t="s">
        <v>431</v>
      </c>
      <c r="H12513" s="12">
        <v>1.3459356782065599</v>
      </c>
      <c r="I12513" s="20">
        <v>0.27923548681795402</v>
      </c>
      <c r="J12513" s="28">
        <v>0.78006411174877399</v>
      </c>
      <c r="K12513" s="29">
        <v>0.98289565623980701</v>
      </c>
    </row>
    <row r="12514" spans="1:11" x14ac:dyDescent="0.35">
      <c r="A12514" s="9" t="str">
        <f>HYPERLINK("http://www.ensembl.org/id/WBGene00003044", "WBGene00003044")</f>
        <v>WBGene00003044</v>
      </c>
      <c r="B12514" s="9" t="str">
        <f>HYPERLINK("http://www.ncbi.nlm.nih.gov/gene/174240", "174240")</f>
        <v>174240</v>
      </c>
      <c r="C12514" s="9"/>
      <c r="D12514" t="str">
        <f>"lir-1"</f>
        <v>lir-1</v>
      </c>
      <c r="E12514" t="s">
        <v>6256</v>
      </c>
      <c r="F12514" t="s">
        <v>11</v>
      </c>
      <c r="G12514" t="s">
        <v>54</v>
      </c>
      <c r="H12514" s="12">
        <v>-1.0571730569928901</v>
      </c>
      <c r="I12514" s="20">
        <v>-0.267271259244028</v>
      </c>
      <c r="J12514" s="28">
        <v>0.78926031388580498</v>
      </c>
      <c r="K12514" s="29">
        <v>0.98289565623980701</v>
      </c>
    </row>
    <row r="12515" spans="1:11" x14ac:dyDescent="0.35">
      <c r="A12515" s="9" t="str">
        <f>HYPERLINK("http://www.ensembl.org/id/WBGene00003045", "WBGene00003045")</f>
        <v>WBGene00003045</v>
      </c>
      <c r="B12515" s="9" t="str">
        <f>HYPERLINK("http://www.ncbi.nlm.nih.gov/gene/174239", "174239")</f>
        <v>174239</v>
      </c>
      <c r="C12515" s="9"/>
      <c r="D12515" t="str">
        <f>"lir-2"</f>
        <v>lir-2</v>
      </c>
      <c r="E12515" t="s">
        <v>5711</v>
      </c>
      <c r="F12515" t="s">
        <v>11</v>
      </c>
      <c r="G12515" t="s">
        <v>4121</v>
      </c>
      <c r="H12515" s="12">
        <v>1.11797596896631</v>
      </c>
      <c r="I12515" s="20">
        <v>0.45838741703704899</v>
      </c>
      <c r="J12515" s="28">
        <v>0.64667413014546404</v>
      </c>
      <c r="K12515" s="29">
        <v>0.98289565623980701</v>
      </c>
    </row>
    <row r="12516" spans="1:11" x14ac:dyDescent="0.35">
      <c r="A12516" s="9" t="str">
        <f>HYPERLINK("http://www.ensembl.org/id/WBGene00003046", "WBGene00003046")</f>
        <v>WBGene00003046</v>
      </c>
      <c r="B12516" s="9" t="str">
        <f>HYPERLINK("http://www.ncbi.nlm.nih.gov/gene/174707", "174707")</f>
        <v>174707</v>
      </c>
      <c r="C12516" s="9"/>
      <c r="D12516" t="str">
        <f>"lir-3"</f>
        <v>lir-3</v>
      </c>
      <c r="E12516" t="s">
        <v>8920</v>
      </c>
      <c r="F12516" t="s">
        <v>11</v>
      </c>
      <c r="H12516" s="12">
        <v>-1.20815496363101</v>
      </c>
      <c r="I12516" s="20">
        <v>-0.66336621251619998</v>
      </c>
      <c r="J12516" s="28">
        <v>0.50709603978393503</v>
      </c>
      <c r="K12516" s="29">
        <v>0.98289565623980701</v>
      </c>
    </row>
    <row r="12517" spans="1:11" x14ac:dyDescent="0.35">
      <c r="A12517" s="9" t="str">
        <f>HYPERLINK("http://www.ensembl.org/id/WBGene00003047", "WBGene00003047")</f>
        <v>WBGene00003047</v>
      </c>
      <c r="B12517" s="9" t="str">
        <f>HYPERLINK("http://www.ncbi.nlm.nih.gov/gene/176758", "176758")</f>
        <v>176758</v>
      </c>
      <c r="C12517" s="9" t="str">
        <f>HYPERLINK("http://www.ncbi.nlm.nih.gov/gene/5048", "5048")</f>
        <v>5048</v>
      </c>
      <c r="D12517" t="str">
        <f>"lis-1"</f>
        <v>lis-1</v>
      </c>
      <c r="E12517" t="s">
        <v>6329</v>
      </c>
      <c r="F12517" t="s">
        <v>11</v>
      </c>
      <c r="G12517" t="s">
        <v>54</v>
      </c>
      <c r="H12517" s="12">
        <v>-1.0628792069578099</v>
      </c>
      <c r="I12517" s="20">
        <v>-0.32970552397773001</v>
      </c>
      <c r="J12517" s="28">
        <v>0.741622479407964</v>
      </c>
      <c r="K12517" s="29">
        <v>0.98289565623980701</v>
      </c>
    </row>
    <row r="12518" spans="1:11" x14ac:dyDescent="0.35">
      <c r="A12518" s="9" t="str">
        <f>HYPERLINK("http://www.ensembl.org/id/WBGene00003048", "WBGene00003048")</f>
        <v>WBGene00003048</v>
      </c>
      <c r="B12518" s="9" t="str">
        <f>HYPERLINK("http://www.ncbi.nlm.nih.gov/gene/176808", "176808")</f>
        <v>176808</v>
      </c>
      <c r="C12518" s="9" t="str">
        <f>HYPERLINK("http://www.ncbi.nlm.nih.gov/gene/51701", "51701")</f>
        <v>51701</v>
      </c>
      <c r="D12518" t="str">
        <f>"lit-1"</f>
        <v>lit-1</v>
      </c>
      <c r="E12518" t="s">
        <v>5854</v>
      </c>
      <c r="F12518" t="s">
        <v>11</v>
      </c>
      <c r="G12518" t="s">
        <v>2583</v>
      </c>
      <c r="H12518" s="12">
        <v>1.09325057076687</v>
      </c>
      <c r="I12518" s="20">
        <v>0.48638320287367398</v>
      </c>
      <c r="J12518" s="28">
        <v>0.62669549758357501</v>
      </c>
      <c r="K12518" s="29">
        <v>0.98289565623980701</v>
      </c>
    </row>
    <row r="12519" spans="1:11" x14ac:dyDescent="0.35">
      <c r="A12519" s="9" t="str">
        <f>HYPERLINK("http://www.ensembl.org/id/WBGene00001803", "WBGene00001803")</f>
        <v>WBGene00001803</v>
      </c>
      <c r="B12519" s="9" t="str">
        <f>HYPERLINK("http://www.ncbi.nlm.nih.gov/gene/180894", "180894")</f>
        <v>180894</v>
      </c>
      <c r="C12519" s="9"/>
      <c r="D12519" t="str">
        <f>"lite-1"</f>
        <v>lite-1</v>
      </c>
      <c r="E12519" t="s">
        <v>6101</v>
      </c>
      <c r="F12519" t="s">
        <v>11</v>
      </c>
      <c r="G12519" t="s">
        <v>4817</v>
      </c>
      <c r="H12519" s="12">
        <v>1.0607566715011101</v>
      </c>
      <c r="I12519" s="20">
        <v>0.256749091425236</v>
      </c>
      <c r="J12519" s="28">
        <v>0.79737247199471795</v>
      </c>
      <c r="K12519" s="29">
        <v>0.98289565623980701</v>
      </c>
    </row>
    <row r="12520" spans="1:11" x14ac:dyDescent="0.35">
      <c r="A12520" s="9" t="str">
        <f>HYPERLINK("http://www.ensembl.org/id/WBGene00015008", "WBGene00015008")</f>
        <v>WBGene00015008</v>
      </c>
      <c r="B12520" s="9" t="str">
        <f>HYPERLINK("http://www.ncbi.nlm.nih.gov/gene/172073", "172073")</f>
        <v>172073</v>
      </c>
      <c r="C12520" s="9"/>
      <c r="D12520" t="str">
        <f>"lmd-2"</f>
        <v>lmd-2</v>
      </c>
      <c r="E12520" t="s">
        <v>2968</v>
      </c>
      <c r="F12520" t="s">
        <v>11</v>
      </c>
      <c r="H12520" s="12">
        <v>-1.1088914865547099</v>
      </c>
      <c r="I12520" s="20">
        <v>-0.40533153624391499</v>
      </c>
      <c r="J12520" s="28">
        <v>0.68523382844974001</v>
      </c>
      <c r="K12520" s="29">
        <v>0.98289565623980701</v>
      </c>
    </row>
    <row r="12521" spans="1:11" x14ac:dyDescent="0.35">
      <c r="A12521" s="9" t="str">
        <f>HYPERLINK("http://www.ensembl.org/id/WBGene00018700", "WBGene00018700")</f>
        <v>WBGene00018700</v>
      </c>
      <c r="B12521" s="9" t="str">
        <f>HYPERLINK("http://www.ncbi.nlm.nih.gov/gene/179225", "179225")</f>
        <v>179225</v>
      </c>
      <c r="C12521" s="9"/>
      <c r="D12521" t="str">
        <f>"lmd-3"</f>
        <v>lmd-3</v>
      </c>
      <c r="E12521" t="s">
        <v>2968</v>
      </c>
      <c r="F12521" t="s">
        <v>11</v>
      </c>
      <c r="G12521" t="s">
        <v>8245</v>
      </c>
      <c r="H12521" s="12">
        <v>-1.16734160294508</v>
      </c>
      <c r="I12521" s="20">
        <v>-0.85994125304442104</v>
      </c>
      <c r="J12521" s="28">
        <v>0.38982142678750198</v>
      </c>
      <c r="K12521" s="29">
        <v>0.98289565623980701</v>
      </c>
    </row>
    <row r="12522" spans="1:11" x14ac:dyDescent="0.35">
      <c r="A12522" s="9" t="str">
        <f>HYPERLINK("http://www.ensembl.org/id/WBGene00003053", "WBGene00003053")</f>
        <v>WBGene00003053</v>
      </c>
      <c r="B12522" s="9" t="str">
        <f>HYPERLINK("http://www.ncbi.nlm.nih.gov/gene/180912", "180912")</f>
        <v>180912</v>
      </c>
      <c r="C12522" s="9"/>
      <c r="D12522" t="str">
        <f>"lmp-1"</f>
        <v>lmp-1</v>
      </c>
      <c r="E12522" t="s">
        <v>7607</v>
      </c>
      <c r="F12522" t="s">
        <v>11</v>
      </c>
      <c r="G12522" t="s">
        <v>427</v>
      </c>
      <c r="H12522" s="12">
        <v>-1.13561463688744</v>
      </c>
      <c r="I12522" s="20">
        <v>-0.70447370163324396</v>
      </c>
      <c r="J12522" s="28">
        <v>0.481137821933875</v>
      </c>
      <c r="K12522" s="29">
        <v>0.98289565623980701</v>
      </c>
    </row>
    <row r="12523" spans="1:11" x14ac:dyDescent="0.35">
      <c r="A12523" s="9" t="str">
        <f>HYPERLINK("http://www.ensembl.org/id/WBGene00015471", "WBGene00015471")</f>
        <v>WBGene00015471</v>
      </c>
      <c r="B12523" s="9" t="str">
        <f>HYPERLINK("http://www.ncbi.nlm.nih.gov/gene/180467", "180467")</f>
        <v>180467</v>
      </c>
      <c r="C12523" s="9"/>
      <c r="D12523" t="str">
        <f>"lmp-2"</f>
        <v>lmp-2</v>
      </c>
      <c r="E12523" t="s">
        <v>7698</v>
      </c>
      <c r="F12523" t="s">
        <v>11</v>
      </c>
      <c r="G12523" t="s">
        <v>7699</v>
      </c>
      <c r="H12523" s="12">
        <v>-1.13976993371616</v>
      </c>
      <c r="I12523" s="20">
        <v>-0.54150267933754703</v>
      </c>
      <c r="J12523" s="28">
        <v>0.58816115138740599</v>
      </c>
      <c r="K12523" s="29">
        <v>0.98289565623980701</v>
      </c>
    </row>
    <row r="12524" spans="1:11" x14ac:dyDescent="0.35">
      <c r="A12524" s="9" t="str">
        <f>HYPERLINK("http://www.ensembl.org/id/WBGene00022402", "WBGene00022402")</f>
        <v>WBGene00022402</v>
      </c>
      <c r="B12524" s="9" t="str">
        <f>HYPERLINK("http://www.ncbi.nlm.nih.gov/gene/179177", "179177")</f>
        <v>179177</v>
      </c>
      <c r="C12524" s="9"/>
      <c r="D12524" t="str">
        <f>"lmtr-2"</f>
        <v>lmtr-2</v>
      </c>
      <c r="E12524" t="s">
        <v>8241</v>
      </c>
      <c r="F12524" t="s">
        <v>11</v>
      </c>
      <c r="G12524" t="s">
        <v>8242</v>
      </c>
      <c r="H12524" s="12">
        <v>-1.1672598454740899</v>
      </c>
      <c r="I12524" s="20">
        <v>-0.80194595977805905</v>
      </c>
      <c r="J12524" s="28">
        <v>0.42258421879665098</v>
      </c>
      <c r="K12524" s="29">
        <v>0.98289565623980701</v>
      </c>
    </row>
    <row r="12525" spans="1:11" x14ac:dyDescent="0.35">
      <c r="A12525" s="9" t="str">
        <f>HYPERLINK("http://www.ensembl.org/id/WBGene00020101", "WBGene00020101")</f>
        <v>WBGene00020101</v>
      </c>
      <c r="B12525" s="9" t="str">
        <f>HYPERLINK("http://www.ncbi.nlm.nih.gov/gene/187904", "187904")</f>
        <v>187904</v>
      </c>
      <c r="C12525" s="9"/>
      <c r="D12525" t="str">
        <f>"lmtr-5"</f>
        <v>lmtr-5</v>
      </c>
      <c r="E12525" t="s">
        <v>4028</v>
      </c>
      <c r="F12525" t="s">
        <v>11</v>
      </c>
      <c r="G12525" t="s">
        <v>8026</v>
      </c>
      <c r="H12525" s="12">
        <v>-1.1568497815362599</v>
      </c>
      <c r="I12525" s="20">
        <v>-0.71315665407592699</v>
      </c>
      <c r="J12525" s="28">
        <v>0.47574882526898898</v>
      </c>
      <c r="K12525" s="29">
        <v>0.98289565623980701</v>
      </c>
    </row>
    <row r="12526" spans="1:11" x14ac:dyDescent="0.35">
      <c r="A12526" s="9" t="str">
        <f>HYPERLINK("http://www.ensembl.org/id/WBGene00014023", "WBGene00014023")</f>
        <v>WBGene00014023</v>
      </c>
      <c r="B12526" s="9" t="str">
        <f>HYPERLINK("http://www.ncbi.nlm.nih.gov/gene/176253", "176253")</f>
        <v>176253</v>
      </c>
      <c r="C12526" s="9" t="str">
        <f>HYPERLINK("http://www.ncbi.nlm.nih.gov/gene/81533", "81533")</f>
        <v>81533</v>
      </c>
      <c r="D12526" t="str">
        <f>"lnkn-1"</f>
        <v>lnkn-1</v>
      </c>
      <c r="F12526" t="s">
        <v>11</v>
      </c>
      <c r="H12526" s="12">
        <v>-1.1047705339246301</v>
      </c>
      <c r="I12526" s="20">
        <v>-0.54335942324916797</v>
      </c>
      <c r="J12526" s="28">
        <v>0.586882357712875</v>
      </c>
      <c r="K12526" s="29">
        <v>0.98289565623980701</v>
      </c>
    </row>
    <row r="12527" spans="1:11" x14ac:dyDescent="0.35">
      <c r="A12527" s="9" t="str">
        <f>HYPERLINK("http://www.ensembl.org/id/WBGene00016289", "WBGene00016289")</f>
        <v>WBGene00016289</v>
      </c>
      <c r="B12527" s="9" t="str">
        <f>HYPERLINK("http://www.ncbi.nlm.nih.gov/gene/183098", "183098")</f>
        <v>183098</v>
      </c>
      <c r="C12527" s="9"/>
      <c r="D12527" t="str">
        <f>"lntl-1"</f>
        <v>lntl-1</v>
      </c>
      <c r="E12527" t="s">
        <v>5187</v>
      </c>
      <c r="F12527" t="s">
        <v>11</v>
      </c>
      <c r="G12527" t="s">
        <v>54</v>
      </c>
      <c r="H12527" s="12">
        <v>1.2192313330292199</v>
      </c>
      <c r="I12527" s="20">
        <v>1.0389610880543401</v>
      </c>
      <c r="J12527" s="28">
        <v>0.29882283369140999</v>
      </c>
      <c r="K12527" s="29">
        <v>0.98289565623980701</v>
      </c>
    </row>
    <row r="12528" spans="1:11" x14ac:dyDescent="0.35">
      <c r="A12528" s="9" t="str">
        <f>HYPERLINK("http://www.ensembl.org/id/WBGene00003056", "WBGene00003056")</f>
        <v>WBGene00003056</v>
      </c>
      <c r="B12528" s="9" t="str">
        <f>HYPERLINK("http://www.ncbi.nlm.nih.gov/gene/180750", "180750")</f>
        <v>180750</v>
      </c>
      <c r="C12528" s="9"/>
      <c r="D12528" t="str">
        <f>"lon-2"</f>
        <v>lon-2</v>
      </c>
      <c r="E12528" t="s">
        <v>6104</v>
      </c>
      <c r="F12528" t="s">
        <v>11</v>
      </c>
      <c r="G12528" t="s">
        <v>6105</v>
      </c>
      <c r="H12528" s="12">
        <v>1.0599458739008101</v>
      </c>
      <c r="I12528" s="20">
        <v>0.25679148067638802</v>
      </c>
      <c r="J12528" s="28">
        <v>0.79733974703840205</v>
      </c>
      <c r="K12528" s="29">
        <v>0.98289565623980701</v>
      </c>
    </row>
    <row r="12529" spans="1:11" x14ac:dyDescent="0.35">
      <c r="A12529" s="9" t="str">
        <f>HYPERLINK("http://www.ensembl.org/id/WBGene00016391", "WBGene00016391")</f>
        <v>WBGene00016391</v>
      </c>
      <c r="B12529" s="9" t="str">
        <f>HYPERLINK("http://www.ncbi.nlm.nih.gov/gene/172966", "172966")</f>
        <v>172966</v>
      </c>
      <c r="C12529" s="9" t="str">
        <f>HYPERLINK("http://www.ncbi.nlm.nih.gov/gene/9361", "9361")</f>
        <v>9361</v>
      </c>
      <c r="D12529" t="str">
        <f>"lonp-1"</f>
        <v>lonp-1</v>
      </c>
      <c r="E12529" t="s">
        <v>7344</v>
      </c>
      <c r="F12529" t="s">
        <v>11</v>
      </c>
      <c r="G12529" t="s">
        <v>5569</v>
      </c>
      <c r="H12529" s="12">
        <v>-1.1204981604179201</v>
      </c>
      <c r="I12529" s="20">
        <v>-0.59617668944796298</v>
      </c>
      <c r="J12529" s="28">
        <v>0.55105719638574102</v>
      </c>
      <c r="K12529" s="29">
        <v>0.98289565623980701</v>
      </c>
    </row>
    <row r="12530" spans="1:11" x14ac:dyDescent="0.35">
      <c r="A12530" s="9" t="str">
        <f>HYPERLINK("http://www.ensembl.org/id/WBGene00013541", "WBGene00013541")</f>
        <v>WBGene00013541</v>
      </c>
      <c r="B12530" s="9" t="str">
        <f>HYPERLINK("http://www.ncbi.nlm.nih.gov/gene/176643", "176643")</f>
        <v>176643</v>
      </c>
      <c r="C12530" s="9"/>
      <c r="D12530" t="str">
        <f>"lonp-2"</f>
        <v>lonp-2</v>
      </c>
      <c r="E12530" t="s">
        <v>5568</v>
      </c>
      <c r="F12530" t="s">
        <v>11</v>
      </c>
      <c r="G12530" t="s">
        <v>5569</v>
      </c>
      <c r="H12530" s="12">
        <v>1.1451198912035601</v>
      </c>
      <c r="I12530" s="20">
        <v>0.66997363146264499</v>
      </c>
      <c r="J12530" s="28">
        <v>0.50287459960338798</v>
      </c>
      <c r="K12530" s="29">
        <v>0.98289565623980701</v>
      </c>
    </row>
    <row r="12531" spans="1:11" x14ac:dyDescent="0.35">
      <c r="A12531" s="9" t="str">
        <f>HYPERLINK("http://www.ensembl.org/id/WBGene00003059", "WBGene00003059")</f>
        <v>WBGene00003059</v>
      </c>
      <c r="B12531" s="9" t="str">
        <f>HYPERLINK("http://www.ncbi.nlm.nih.gov/gene/172320", "172320")</f>
        <v>172320</v>
      </c>
      <c r="C12531" s="9" t="str">
        <f>HYPERLINK("http://www.ncbi.nlm.nih.gov/gene/25983", "25983")</f>
        <v>25983</v>
      </c>
      <c r="D12531" t="str">
        <f>"lpd-2"</f>
        <v>lpd-2</v>
      </c>
      <c r="E12531" t="s">
        <v>6589</v>
      </c>
      <c r="F12531" t="s">
        <v>11</v>
      </c>
      <c r="G12531" t="s">
        <v>9501</v>
      </c>
      <c r="H12531" s="12">
        <v>-1.3051089449544799</v>
      </c>
      <c r="I12531" s="20">
        <v>-1.14019364829468</v>
      </c>
      <c r="J12531" s="28">
        <v>0.25420563313389899</v>
      </c>
      <c r="K12531" s="29">
        <v>0.98289565623980701</v>
      </c>
    </row>
    <row r="12532" spans="1:11" x14ac:dyDescent="0.35">
      <c r="A12532" s="9" t="str">
        <f>HYPERLINK("http://www.ensembl.org/id/WBGene00003060", "WBGene00003060")</f>
        <v>WBGene00003060</v>
      </c>
      <c r="B12532" s="9" t="str">
        <f>HYPERLINK("http://www.ncbi.nlm.nih.gov/gene/171926", "171926")</f>
        <v>171926</v>
      </c>
      <c r="C12532" s="9"/>
      <c r="D12532" t="str">
        <f>"lpd-3"</f>
        <v>lpd-3</v>
      </c>
      <c r="E12532" t="s">
        <v>6589</v>
      </c>
      <c r="F12532" t="s">
        <v>11</v>
      </c>
      <c r="G12532" t="s">
        <v>6590</v>
      </c>
      <c r="H12532" s="12">
        <v>-1.07864072846962</v>
      </c>
      <c r="I12532" s="20">
        <v>-0.409431394265171</v>
      </c>
      <c r="J12532" s="28">
        <v>0.68222310445921397</v>
      </c>
      <c r="K12532" s="29">
        <v>0.98289565623980701</v>
      </c>
    </row>
    <row r="12533" spans="1:11" x14ac:dyDescent="0.35">
      <c r="A12533" s="9" t="str">
        <f>HYPERLINK("http://www.ensembl.org/id/WBGene00003062", "WBGene00003062")</f>
        <v>WBGene00003062</v>
      </c>
      <c r="B12533" s="9" t="str">
        <f>HYPERLINK("http://www.ncbi.nlm.nih.gov/gene/171886", "171886")</f>
        <v>171886</v>
      </c>
      <c r="C12533" s="9"/>
      <c r="D12533" t="str">
        <f>"lpd-6"</f>
        <v>lpd-6</v>
      </c>
      <c r="E12533" t="s">
        <v>6589</v>
      </c>
      <c r="F12533" t="s">
        <v>11</v>
      </c>
      <c r="G12533" t="s">
        <v>7831</v>
      </c>
      <c r="H12533" s="12">
        <v>-1.1473503230053199</v>
      </c>
      <c r="I12533" s="20">
        <v>-0.68036863125057601</v>
      </c>
      <c r="J12533" s="28">
        <v>0.49627107808561099</v>
      </c>
      <c r="K12533" s="29">
        <v>0.98289565623980701</v>
      </c>
    </row>
    <row r="12534" spans="1:11" x14ac:dyDescent="0.35">
      <c r="A12534" s="9" t="str">
        <f>HYPERLINK("http://www.ensembl.org/id/WBGene00003063", "WBGene00003063")</f>
        <v>WBGene00003063</v>
      </c>
      <c r="B12534" s="9" t="str">
        <f>HYPERLINK("http://www.ncbi.nlm.nih.gov/gene/176072", "176072")</f>
        <v>176072</v>
      </c>
      <c r="C12534" s="9" t="str">
        <f>HYPERLINK("http://www.ncbi.nlm.nih.gov/gene/23481", "23481")</f>
        <v>23481</v>
      </c>
      <c r="D12534" t="str">
        <f>"lpd-7"</f>
        <v>lpd-7</v>
      </c>
      <c r="E12534" t="s">
        <v>7391</v>
      </c>
      <c r="F12534" t="s">
        <v>11</v>
      </c>
      <c r="G12534" t="s">
        <v>7392</v>
      </c>
      <c r="H12534" s="12">
        <v>-1.12322574684889</v>
      </c>
      <c r="I12534" s="20">
        <v>-0.61358265858883299</v>
      </c>
      <c r="J12534" s="28">
        <v>0.53949114579415203</v>
      </c>
      <c r="K12534" s="29">
        <v>0.98289565623980701</v>
      </c>
    </row>
    <row r="12535" spans="1:11" x14ac:dyDescent="0.35">
      <c r="A12535" s="9" t="str">
        <f>HYPERLINK("http://www.ensembl.org/id/WBGene00003064", "WBGene00003064")</f>
        <v>WBGene00003064</v>
      </c>
      <c r="B12535" s="9" t="str">
        <f>HYPERLINK("http://www.ncbi.nlm.nih.gov/gene/177928", "177928")</f>
        <v>177928</v>
      </c>
      <c r="C12535" s="9" t="str">
        <f>HYPERLINK("http://www.ncbi.nlm.nih.gov/gene/27247", "27247")</f>
        <v>27247</v>
      </c>
      <c r="D12535" t="str">
        <f>"lpd-8"</f>
        <v>lpd-8</v>
      </c>
      <c r="E12535" t="s">
        <v>6589</v>
      </c>
      <c r="F12535" t="s">
        <v>11</v>
      </c>
      <c r="G12535" t="s">
        <v>7445</v>
      </c>
      <c r="H12535" s="12">
        <v>-1.12577260258925</v>
      </c>
      <c r="I12535" s="20">
        <v>-0.587248429365683</v>
      </c>
      <c r="J12535" s="28">
        <v>0.5570368709672</v>
      </c>
      <c r="K12535" s="29">
        <v>0.98289565623980701</v>
      </c>
    </row>
    <row r="12536" spans="1:11" x14ac:dyDescent="0.35">
      <c r="A12536" s="9" t="str">
        <f>HYPERLINK("http://www.ensembl.org/id/WBGene00010425", "WBGene00010425")</f>
        <v>WBGene00010425</v>
      </c>
      <c r="B12536" s="9" t="str">
        <f>HYPERLINK("http://www.ncbi.nlm.nih.gov/gene/179853", "179853")</f>
        <v>179853</v>
      </c>
      <c r="C12536" s="9"/>
      <c r="D12536" t="str">
        <f>"lpin-1"</f>
        <v>lpin-1</v>
      </c>
      <c r="E12536" t="s">
        <v>8816</v>
      </c>
      <c r="F12536" t="s">
        <v>11</v>
      </c>
      <c r="G12536" t="s">
        <v>8817</v>
      </c>
      <c r="H12536" s="12">
        <v>-1.1993222349602</v>
      </c>
      <c r="I12536" s="20">
        <v>-1.01664890900932</v>
      </c>
      <c r="J12536" s="28">
        <v>0.30932047856258799</v>
      </c>
      <c r="K12536" s="29">
        <v>0.98289565623980701</v>
      </c>
    </row>
    <row r="12537" spans="1:11" x14ac:dyDescent="0.35">
      <c r="A12537" s="9" t="str">
        <f>HYPERLINK("http://www.ensembl.org/id/WBGene00003066", "WBGene00003066")</f>
        <v>WBGene00003066</v>
      </c>
      <c r="B12537" s="9" t="str">
        <f>HYPERLINK("http://www.ncbi.nlm.nih.gov/gene/177729", "177729")</f>
        <v>177729</v>
      </c>
      <c r="C12537" s="9"/>
      <c r="D12537" t="str">
        <f>"lpl-1"</f>
        <v>lpl-1</v>
      </c>
      <c r="E12537" t="s">
        <v>8399</v>
      </c>
      <c r="F12537" t="s">
        <v>11</v>
      </c>
      <c r="G12537" t="s">
        <v>8400</v>
      </c>
      <c r="H12537" s="12">
        <v>-1.1750457031236099</v>
      </c>
      <c r="I12537" s="20">
        <v>-0.73430180988330496</v>
      </c>
      <c r="J12537" s="28">
        <v>0.46276481508864498</v>
      </c>
      <c r="K12537" s="29">
        <v>0.98289565623980701</v>
      </c>
    </row>
    <row r="12538" spans="1:11" x14ac:dyDescent="0.35">
      <c r="A12538" s="9" t="str">
        <f>HYPERLINK("http://www.ensembl.org/id/WBGene00011726", "WBGene00011726")</f>
        <v>WBGene00011726</v>
      </c>
      <c r="B12538" s="9" t="str">
        <f>HYPERLINK("http://www.ncbi.nlm.nih.gov/gene/178111", "178111")</f>
        <v>178111</v>
      </c>
      <c r="C12538" s="9"/>
      <c r="D12538" t="str">
        <f>"lpr-2"</f>
        <v>lpr-2</v>
      </c>
      <c r="E12538" t="s">
        <v>865</v>
      </c>
      <c r="F12538" t="s">
        <v>11</v>
      </c>
      <c r="G12538" t="s">
        <v>9889</v>
      </c>
      <c r="H12538" s="12">
        <v>-1.35164750475514</v>
      </c>
      <c r="I12538" s="20">
        <v>-1.13127625402343</v>
      </c>
      <c r="J12538" s="28">
        <v>0.257938835655177</v>
      </c>
      <c r="K12538" s="29">
        <v>0.98289565623980701</v>
      </c>
    </row>
    <row r="12539" spans="1:11" x14ac:dyDescent="0.35">
      <c r="A12539" s="9" t="str">
        <f>HYPERLINK("http://www.ensembl.org/id/WBGene00012255", "WBGene00012255")</f>
        <v>WBGene00012255</v>
      </c>
      <c r="B12539" s="9" t="str">
        <f>HYPERLINK("http://www.ncbi.nlm.nih.gov/gene/181296", "181296")</f>
        <v>181296</v>
      </c>
      <c r="C12539" s="9"/>
      <c r="D12539" t="str">
        <f>"lpr-6"</f>
        <v>lpr-6</v>
      </c>
      <c r="E12539" t="s">
        <v>865</v>
      </c>
      <c r="F12539" t="s">
        <v>11</v>
      </c>
      <c r="G12539" t="s">
        <v>6637</v>
      </c>
      <c r="H12539" s="12">
        <v>-1.08196553596745</v>
      </c>
      <c r="I12539" s="20">
        <v>-0.288398200477816</v>
      </c>
      <c r="J12539" s="28">
        <v>0.77304194505310597</v>
      </c>
      <c r="K12539" s="29">
        <v>0.98289565623980701</v>
      </c>
    </row>
    <row r="12540" spans="1:11" x14ac:dyDescent="0.35">
      <c r="A12540" s="9" t="str">
        <f>HYPERLINK("http://www.ensembl.org/id/WBGene00003067", "WBGene00003067")</f>
        <v>WBGene00003067</v>
      </c>
      <c r="B12540" s="9"/>
      <c r="C12540" s="9"/>
      <c r="D12540" t="str">
        <f>"lrg-1"</f>
        <v>lrg-1</v>
      </c>
      <c r="F12540" t="s">
        <v>80</v>
      </c>
      <c r="H12540" s="12">
        <v>-1.2136938569667099</v>
      </c>
      <c r="I12540" s="20">
        <v>-0.45174741908691801</v>
      </c>
      <c r="J12540" s="28">
        <v>0.65145095308253398</v>
      </c>
      <c r="K12540" s="29">
        <v>0.98289565623980701</v>
      </c>
    </row>
    <row r="12541" spans="1:11" x14ac:dyDescent="0.35">
      <c r="A12541" s="9" t="str">
        <f>HYPERLINK("http://www.ensembl.org/id/WBGene00003068", "WBGene00003068")</f>
        <v>WBGene00003068</v>
      </c>
      <c r="B12541" s="9" t="str">
        <f>HYPERLINK("http://www.ncbi.nlm.nih.gov/gene/172995", "172995")</f>
        <v>172995</v>
      </c>
      <c r="C12541" s="9"/>
      <c r="D12541" t="str">
        <f>"lrk-1"</f>
        <v>lrk-1</v>
      </c>
      <c r="E12541" t="s">
        <v>5660</v>
      </c>
      <c r="F12541" t="s">
        <v>11</v>
      </c>
      <c r="G12541" t="s">
        <v>86</v>
      </c>
      <c r="H12541" s="12">
        <v>1.12759630062373</v>
      </c>
      <c r="I12541" s="20">
        <v>0.62708520485915897</v>
      </c>
      <c r="J12541" s="28">
        <v>0.53060338480220104</v>
      </c>
      <c r="K12541" s="29">
        <v>0.98289565623980701</v>
      </c>
    </row>
    <row r="12542" spans="1:11" x14ac:dyDescent="0.35">
      <c r="A12542" s="9" t="str">
        <f>HYPERLINK("http://www.ensembl.org/id/WBGene00008093", "WBGene00008093")</f>
        <v>WBGene00008093</v>
      </c>
      <c r="B12542" s="9" t="str">
        <f>HYPERLINK("http://www.ncbi.nlm.nih.gov/gene/181553", "181553")</f>
        <v>181553</v>
      </c>
      <c r="C12542" s="9" t="str">
        <f>HYPERLINK("http://www.ncbi.nlm.nih.gov/gene/131578", "131578")</f>
        <v>131578</v>
      </c>
      <c r="D12542" t="str">
        <f>"lron-1"</f>
        <v>lron-1</v>
      </c>
      <c r="E12542" t="s">
        <v>814</v>
      </c>
      <c r="F12542" t="s">
        <v>11</v>
      </c>
      <c r="G12542" t="s">
        <v>417</v>
      </c>
      <c r="H12542" s="12">
        <v>-1.12876466456392</v>
      </c>
      <c r="I12542" s="20">
        <v>-0.26146041541015502</v>
      </c>
      <c r="J12542" s="28">
        <v>0.79373747197167099</v>
      </c>
      <c r="K12542" s="29">
        <v>0.98289565623980701</v>
      </c>
    </row>
    <row r="12543" spans="1:11" x14ac:dyDescent="0.35">
      <c r="A12543" s="9" t="str">
        <f>HYPERLINK("http://www.ensembl.org/id/WBGene00012646", "WBGene00012646")</f>
        <v>WBGene00012646</v>
      </c>
      <c r="B12543" s="9" t="str">
        <f>HYPERLINK("http://www.ncbi.nlm.nih.gov/gene/189707", "189707")</f>
        <v>189707</v>
      </c>
      <c r="C12543" s="9"/>
      <c r="D12543" t="str">
        <f>"lron-10"</f>
        <v>lron-10</v>
      </c>
      <c r="E12543" t="s">
        <v>814</v>
      </c>
      <c r="F12543" t="s">
        <v>11</v>
      </c>
      <c r="H12543" s="12">
        <v>-1.16065167634313</v>
      </c>
      <c r="I12543" s="20">
        <v>-0.78409808117727597</v>
      </c>
      <c r="J12543" s="28">
        <v>0.432982561254244</v>
      </c>
      <c r="K12543" s="29">
        <v>0.98289565623980701</v>
      </c>
    </row>
    <row r="12544" spans="1:11" x14ac:dyDescent="0.35">
      <c r="A12544" s="9" t="str">
        <f>HYPERLINK("http://www.ensembl.org/id/WBGene00011454", "WBGene00011454")</f>
        <v>WBGene00011454</v>
      </c>
      <c r="B12544" s="9" t="str">
        <f>HYPERLINK("http://www.ncbi.nlm.nih.gov/gene/188075", "188075")</f>
        <v>188075</v>
      </c>
      <c r="C12544" s="9"/>
      <c r="D12544" t="str">
        <f>"lron-14"</f>
        <v>lron-14</v>
      </c>
      <c r="E12544" t="s">
        <v>814</v>
      </c>
      <c r="F12544" t="s">
        <v>11</v>
      </c>
      <c r="G12544" t="s">
        <v>4800</v>
      </c>
      <c r="H12544" s="12">
        <v>1.3678528013406801</v>
      </c>
      <c r="I12544" s="20">
        <v>0.939279349373213</v>
      </c>
      <c r="J12544" s="28">
        <v>0.34758733827508398</v>
      </c>
      <c r="K12544" s="29">
        <v>0.98289565623980701</v>
      </c>
    </row>
    <row r="12545" spans="1:11" x14ac:dyDescent="0.35">
      <c r="A12545" s="9" t="str">
        <f>HYPERLINK("http://www.ensembl.org/id/WBGene00007261", "WBGene00007261")</f>
        <v>WBGene00007261</v>
      </c>
      <c r="B12545" s="9" t="str">
        <f>HYPERLINK("http://www.ncbi.nlm.nih.gov/gene/181643", "181643")</f>
        <v>181643</v>
      </c>
      <c r="C12545" s="9"/>
      <c r="D12545" t="str">
        <f>"lron-3"</f>
        <v>lron-3</v>
      </c>
      <c r="E12545" t="s">
        <v>814</v>
      </c>
      <c r="F12545" t="s">
        <v>11</v>
      </c>
      <c r="G12545" t="s">
        <v>3583</v>
      </c>
      <c r="H12545" s="12">
        <v>1.13095775380744</v>
      </c>
      <c r="I12545" s="20">
        <v>0.63091089198509298</v>
      </c>
      <c r="J12545" s="28">
        <v>0.52809878966837498</v>
      </c>
      <c r="K12545" s="29">
        <v>0.98289565623980701</v>
      </c>
    </row>
    <row r="12546" spans="1:11" x14ac:dyDescent="0.35">
      <c r="A12546" s="9" t="str">
        <f>HYPERLINK("http://www.ensembl.org/id/WBGene00008051", "WBGene00008051")</f>
        <v>WBGene00008051</v>
      </c>
      <c r="B12546" s="9" t="str">
        <f>HYPERLINK("http://www.ncbi.nlm.nih.gov/gene/183375", "183375")</f>
        <v>183375</v>
      </c>
      <c r="C12546" s="9"/>
      <c r="D12546" t="str">
        <f>"lron-4"</f>
        <v>lron-4</v>
      </c>
      <c r="E12546" t="s">
        <v>814</v>
      </c>
      <c r="F12546" t="s">
        <v>11</v>
      </c>
      <c r="G12546" t="s">
        <v>54</v>
      </c>
      <c r="H12546" s="12">
        <v>1.72968949506597</v>
      </c>
      <c r="I12546" s="20">
        <v>0.97774372651000996</v>
      </c>
      <c r="J12546" s="28">
        <v>0.32820108935954501</v>
      </c>
      <c r="K12546" s="29">
        <v>0.98289565623980701</v>
      </c>
    </row>
    <row r="12547" spans="1:11" x14ac:dyDescent="0.35">
      <c r="A12547" s="9" t="str">
        <f>HYPERLINK("http://www.ensembl.org/id/WBGene00019351", "WBGene00019351")</f>
        <v>WBGene00019351</v>
      </c>
      <c r="B12547" s="9" t="str">
        <f>HYPERLINK("http://www.ncbi.nlm.nih.gov/gene/180991", "180991")</f>
        <v>180991</v>
      </c>
      <c r="C12547" s="9"/>
      <c r="D12547" t="str">
        <f>"lron-7"</f>
        <v>lron-7</v>
      </c>
      <c r="E12547" t="s">
        <v>814</v>
      </c>
      <c r="F12547" t="s">
        <v>11</v>
      </c>
      <c r="G12547" t="s">
        <v>417</v>
      </c>
      <c r="H12547" s="12">
        <v>-1.2019298222402499</v>
      </c>
      <c r="I12547" s="20">
        <v>-0.96102695324758303</v>
      </c>
      <c r="J12547" s="28">
        <v>0.336538615770821</v>
      </c>
      <c r="K12547" s="29">
        <v>0.98289565623980701</v>
      </c>
    </row>
    <row r="12548" spans="1:11" x14ac:dyDescent="0.35">
      <c r="A12548" s="9" t="str">
        <f>HYPERLINK("http://www.ensembl.org/id/WBGene00020693", "WBGene00020693")</f>
        <v>WBGene00020693</v>
      </c>
      <c r="B12548" s="9" t="str">
        <f>HYPERLINK("http://www.ncbi.nlm.nih.gov/gene/181983", "181983")</f>
        <v>181983</v>
      </c>
      <c r="C12548" s="9"/>
      <c r="D12548" t="str">
        <f>"lron-8"</f>
        <v>lron-8</v>
      </c>
      <c r="E12548" t="s">
        <v>814</v>
      </c>
      <c r="F12548" t="s">
        <v>11</v>
      </c>
      <c r="G12548" t="s">
        <v>5004</v>
      </c>
      <c r="H12548" s="12">
        <v>1.26482845983273</v>
      </c>
      <c r="I12548" s="20">
        <v>0.90844011241112199</v>
      </c>
      <c r="J12548" s="28">
        <v>0.36364574100750102</v>
      </c>
      <c r="K12548" s="29">
        <v>0.98289565623980701</v>
      </c>
    </row>
    <row r="12549" spans="1:11" x14ac:dyDescent="0.35">
      <c r="A12549" s="9" t="str">
        <f>HYPERLINK("http://www.ensembl.org/id/WBGene00003076", "WBGene00003076")</f>
        <v>WBGene00003076</v>
      </c>
      <c r="B12549" s="9" t="str">
        <f>HYPERLINK("http://www.ncbi.nlm.nih.gov/gene/174700", "174700")</f>
        <v>174700</v>
      </c>
      <c r="C12549" s="9" t="str">
        <f>HYPERLINK("http://www.ncbi.nlm.nih.gov/gene/27257", "27257")</f>
        <v>27257</v>
      </c>
      <c r="D12549" t="str">
        <f>"lsm-1"</f>
        <v>lsm-1</v>
      </c>
      <c r="E12549" t="s">
        <v>8771</v>
      </c>
      <c r="F12549" t="s">
        <v>11</v>
      </c>
      <c r="G12549" t="s">
        <v>8772</v>
      </c>
      <c r="H12549" s="12">
        <v>-1.1953690700289701</v>
      </c>
      <c r="I12549" s="20">
        <v>-0.80559719895610304</v>
      </c>
      <c r="J12549" s="28">
        <v>0.42047514121743701</v>
      </c>
      <c r="K12549" s="29">
        <v>0.98289565623980701</v>
      </c>
    </row>
    <row r="12550" spans="1:11" x14ac:dyDescent="0.35">
      <c r="A12550" s="9" t="str">
        <f>HYPERLINK("http://www.ensembl.org/id/WBGene00003077", "WBGene00003077")</f>
        <v>WBGene00003077</v>
      </c>
      <c r="B12550" s="9" t="str">
        <f>HYPERLINK("http://www.ncbi.nlm.nih.gov/gene/178303", "178303")</f>
        <v>178303</v>
      </c>
      <c r="C12550" s="9" t="str">
        <f>HYPERLINK("http://www.ncbi.nlm.nih.gov/gene/27258", "27258")</f>
        <v>27258</v>
      </c>
      <c r="D12550" t="str">
        <f>"lsm-3"</f>
        <v>lsm-3</v>
      </c>
      <c r="E12550" t="s">
        <v>7362</v>
      </c>
      <c r="F12550" t="s">
        <v>11</v>
      </c>
      <c r="G12550" t="s">
        <v>7363</v>
      </c>
      <c r="H12550" s="12">
        <v>-1.1217964958234901</v>
      </c>
      <c r="I12550" s="20">
        <v>-0.51400454590616795</v>
      </c>
      <c r="J12550" s="28">
        <v>0.60724881239825401</v>
      </c>
      <c r="K12550" s="29">
        <v>0.98289565623980701</v>
      </c>
    </row>
    <row r="12551" spans="1:11" x14ac:dyDescent="0.35">
      <c r="A12551" s="9" t="str">
        <f>HYPERLINK("http://www.ensembl.org/id/WBGene00003078", "WBGene00003078")</f>
        <v>WBGene00003078</v>
      </c>
      <c r="B12551" s="9" t="str">
        <f>HYPERLINK("http://www.ncbi.nlm.nih.gov/gene/174193", "174193")</f>
        <v>174193</v>
      </c>
      <c r="C12551" s="9"/>
      <c r="D12551" t="str">
        <f>"lsm-4"</f>
        <v>lsm-4</v>
      </c>
      <c r="E12551" t="s">
        <v>8301</v>
      </c>
      <c r="F12551" t="s">
        <v>11</v>
      </c>
      <c r="G12551" t="s">
        <v>8302</v>
      </c>
      <c r="H12551" s="12">
        <v>-1.17019433022327</v>
      </c>
      <c r="I12551" s="20">
        <v>-0.72769400618171798</v>
      </c>
      <c r="J12551" s="28">
        <v>0.46680092025425401</v>
      </c>
      <c r="K12551" s="29">
        <v>0.98289565623980701</v>
      </c>
    </row>
    <row r="12552" spans="1:11" x14ac:dyDescent="0.35">
      <c r="A12552" s="9" t="str">
        <f>HYPERLINK("http://www.ensembl.org/id/WBGene00003079", "WBGene00003079")</f>
        <v>WBGene00003079</v>
      </c>
      <c r="B12552" s="9" t="str">
        <f>HYPERLINK("http://www.ncbi.nlm.nih.gov/gene/180047", "180047")</f>
        <v>180047</v>
      </c>
      <c r="C12552" s="9" t="str">
        <f>HYPERLINK("http://www.ncbi.nlm.nih.gov/gene/23658", "23658")</f>
        <v>23658</v>
      </c>
      <c r="D12552" t="str">
        <f>"lsm-5"</f>
        <v>lsm-5</v>
      </c>
      <c r="E12552" t="s">
        <v>8364</v>
      </c>
      <c r="F12552" t="s">
        <v>11</v>
      </c>
      <c r="G12552" t="s">
        <v>8365</v>
      </c>
      <c r="H12552" s="12">
        <v>-1.1734620217127101</v>
      </c>
      <c r="I12552" s="20">
        <v>-0.73806980826746205</v>
      </c>
      <c r="J12552" s="28">
        <v>0.46047202941070697</v>
      </c>
      <c r="K12552" s="29">
        <v>0.98289565623980701</v>
      </c>
    </row>
    <row r="12553" spans="1:11" x14ac:dyDescent="0.35">
      <c r="A12553" s="9" t="str">
        <f>HYPERLINK("http://www.ensembl.org/id/WBGene00003080", "WBGene00003080")</f>
        <v>WBGene00003080</v>
      </c>
      <c r="B12553" s="9" t="str">
        <f>HYPERLINK("http://www.ncbi.nlm.nih.gov/gene/190601", "190601")</f>
        <v>190601</v>
      </c>
      <c r="C12553" s="9" t="str">
        <f>HYPERLINK("http://www.ncbi.nlm.nih.gov/gene/11157", "11157")</f>
        <v>11157</v>
      </c>
      <c r="D12553" t="str">
        <f>"lsm-6"</f>
        <v>lsm-6</v>
      </c>
      <c r="E12553" t="s">
        <v>8954</v>
      </c>
      <c r="F12553" t="s">
        <v>11</v>
      </c>
      <c r="G12553" t="s">
        <v>8955</v>
      </c>
      <c r="H12553" s="12">
        <v>-1.2105242183368501</v>
      </c>
      <c r="I12553" s="20">
        <v>-0.83132772590275195</v>
      </c>
      <c r="J12553" s="28">
        <v>0.40578851578207198</v>
      </c>
      <c r="K12553" s="29">
        <v>0.98289565623980701</v>
      </c>
    </row>
    <row r="12554" spans="1:11" x14ac:dyDescent="0.35">
      <c r="A12554" s="9" t="str">
        <f>HYPERLINK("http://www.ensembl.org/id/WBGene00003082", "WBGene00003082")</f>
        <v>WBGene00003082</v>
      </c>
      <c r="B12554" s="9" t="str">
        <f>HYPERLINK("http://www.ncbi.nlm.nih.gov/gene/177393", "177393")</f>
        <v>177393</v>
      </c>
      <c r="C12554" s="9" t="str">
        <f>HYPERLINK("http://www.ncbi.nlm.nih.gov/gene/51691", "51691")</f>
        <v>51691</v>
      </c>
      <c r="D12554" t="str">
        <f>"lsm-8"</f>
        <v>lsm-8</v>
      </c>
      <c r="E12554" t="s">
        <v>7225</v>
      </c>
      <c r="F12554" t="s">
        <v>11</v>
      </c>
      <c r="G12554" t="s">
        <v>7226</v>
      </c>
      <c r="H12554" s="12">
        <v>-1.1143824095705299</v>
      </c>
      <c r="I12554" s="20">
        <v>-0.52949503669518105</v>
      </c>
      <c r="J12554" s="28">
        <v>0.59646208658545696</v>
      </c>
      <c r="K12554" s="29">
        <v>0.98289565623980701</v>
      </c>
    </row>
    <row r="12555" spans="1:11" x14ac:dyDescent="0.35">
      <c r="A12555" s="9" t="str">
        <f>HYPERLINK("http://www.ensembl.org/id/WBGene00003084", "WBGene00003084")</f>
        <v>WBGene00003084</v>
      </c>
      <c r="B12555" s="9" t="str">
        <f>HYPERLINK("http://www.ncbi.nlm.nih.gov/gene/180712", "180712")</f>
        <v>180712</v>
      </c>
      <c r="C12555" s="9"/>
      <c r="D12555" t="str">
        <f>"lst-2"</f>
        <v>lst-2</v>
      </c>
      <c r="E12555" t="s">
        <v>6873</v>
      </c>
      <c r="F12555" t="s">
        <v>11</v>
      </c>
      <c r="G12555" t="s">
        <v>51</v>
      </c>
      <c r="H12555" s="12">
        <v>-1.09369186857988</v>
      </c>
      <c r="I12555" s="20">
        <v>-0.47268868761266802</v>
      </c>
      <c r="J12555" s="28">
        <v>0.63643529847888902</v>
      </c>
      <c r="K12555" s="29">
        <v>0.98289565623980701</v>
      </c>
    </row>
    <row r="12556" spans="1:11" x14ac:dyDescent="0.35">
      <c r="A12556" s="9" t="str">
        <f>HYPERLINK("http://www.ensembl.org/id/WBGene00016889", "WBGene00016889")</f>
        <v>WBGene00016889</v>
      </c>
      <c r="B12556" s="9" t="str">
        <f>HYPERLINK("http://www.ncbi.nlm.nih.gov/gene/174146", "174146")</f>
        <v>174146</v>
      </c>
      <c r="C12556" s="9" t="str">
        <f>HYPERLINK("http://www.ncbi.nlm.nih.gov/gene/23258", "23258")</f>
        <v>23258</v>
      </c>
      <c r="D12556" t="str">
        <f>"lst-6"</f>
        <v>lst-6</v>
      </c>
      <c r="E12556" t="s">
        <v>1305</v>
      </c>
      <c r="F12556" t="s">
        <v>11</v>
      </c>
      <c r="G12556" t="s">
        <v>6315</v>
      </c>
      <c r="H12556" s="12">
        <v>-1.06224759064473</v>
      </c>
      <c r="I12556" s="20">
        <v>-0.32039300383999098</v>
      </c>
      <c r="J12556" s="28">
        <v>0.74867042838918896</v>
      </c>
      <c r="K12556" s="29">
        <v>0.98289565623980701</v>
      </c>
    </row>
    <row r="12557" spans="1:11" x14ac:dyDescent="0.35">
      <c r="A12557" s="9" t="str">
        <f>HYPERLINK("http://www.ensembl.org/id/WBGene00045419", "WBGene00045419")</f>
        <v>WBGene00045419</v>
      </c>
      <c r="B12557" s="9" t="str">
        <f>HYPERLINK("http://www.ncbi.nlm.nih.gov/gene/3565873", "3565873")</f>
        <v>3565873</v>
      </c>
      <c r="C12557" s="9"/>
      <c r="D12557" t="str">
        <f>"lsy-12"</f>
        <v>lsy-12</v>
      </c>
      <c r="E12557" t="s">
        <v>3339</v>
      </c>
      <c r="F12557" t="s">
        <v>11</v>
      </c>
      <c r="G12557" t="s">
        <v>7993</v>
      </c>
      <c r="H12557" s="12">
        <v>-1.15483958772163</v>
      </c>
      <c r="I12557" s="20">
        <v>-0.78296879827631705</v>
      </c>
      <c r="J12557" s="28">
        <v>0.43364543491201601</v>
      </c>
      <c r="K12557" s="29">
        <v>0.98289565623980701</v>
      </c>
    </row>
    <row r="12558" spans="1:11" x14ac:dyDescent="0.35">
      <c r="A12558" s="9" t="str">
        <f>HYPERLINK("http://www.ensembl.org/id/WBGene00009834", "WBGene00009834")</f>
        <v>WBGene00009834</v>
      </c>
      <c r="B12558" s="9" t="str">
        <f>HYPERLINK("http://www.ncbi.nlm.nih.gov/gene/180149", "180149")</f>
        <v>180149</v>
      </c>
      <c r="C12558" s="9"/>
      <c r="D12558" t="str">
        <f>"lsy-27"</f>
        <v>lsy-27</v>
      </c>
      <c r="F12558" t="s">
        <v>11</v>
      </c>
      <c r="G12558" t="s">
        <v>1791</v>
      </c>
      <c r="H12558" s="12">
        <v>-1.106765023001</v>
      </c>
      <c r="I12558" s="20">
        <v>-0.30459279501668701</v>
      </c>
      <c r="J12558" s="28">
        <v>0.76067630817252296</v>
      </c>
      <c r="K12558" s="29">
        <v>0.98289565623980701</v>
      </c>
    </row>
    <row r="12559" spans="1:11" x14ac:dyDescent="0.35">
      <c r="A12559" s="9" t="str">
        <f>HYPERLINK("http://www.ensembl.org/id/WBGene00016589", "WBGene00016589")</f>
        <v>WBGene00016589</v>
      </c>
      <c r="B12559" s="9" t="str">
        <f>HYPERLINK("http://www.ncbi.nlm.nih.gov/gene/178176", "178176")</f>
        <v>178176</v>
      </c>
      <c r="C12559" s="9" t="str">
        <f>HYPERLINK("http://www.ncbi.nlm.nih.gov/gene/4048", "4048")</f>
        <v>4048</v>
      </c>
      <c r="D12559" t="str">
        <f>"ltah-1.1"</f>
        <v>ltah-1.1</v>
      </c>
      <c r="E12559" t="s">
        <v>8858</v>
      </c>
      <c r="F12559" t="s">
        <v>11</v>
      </c>
      <c r="G12559" t="s">
        <v>802</v>
      </c>
      <c r="H12559" s="12">
        <v>-1.2027083484125101</v>
      </c>
      <c r="I12559" s="20">
        <v>-0.95336806216516701</v>
      </c>
      <c r="J12559" s="28">
        <v>0.340403617441071</v>
      </c>
      <c r="K12559" s="29">
        <v>0.98289565623980701</v>
      </c>
    </row>
    <row r="12560" spans="1:11" x14ac:dyDescent="0.35">
      <c r="A12560" s="9" t="str">
        <f>HYPERLINK("http://www.ensembl.org/id/WBGene00022610", "WBGene00022610")</f>
        <v>WBGene00022610</v>
      </c>
      <c r="B12560" s="9" t="str">
        <f>HYPERLINK("http://www.ncbi.nlm.nih.gov/gene/177123", "177123")</f>
        <v>177123</v>
      </c>
      <c r="C12560" s="9" t="str">
        <f>HYPERLINK("http://www.ncbi.nlm.nih.gov/gene/4048", "4048")</f>
        <v>4048</v>
      </c>
      <c r="D12560" t="str">
        <f>"ltah-1.2"</f>
        <v>ltah-1.2</v>
      </c>
      <c r="E12560" t="s">
        <v>8187</v>
      </c>
      <c r="F12560" t="s">
        <v>11</v>
      </c>
      <c r="G12560" t="s">
        <v>8188</v>
      </c>
      <c r="H12560" s="12">
        <v>-1.1644458269436699</v>
      </c>
      <c r="I12560" s="20">
        <v>-0.77027012906917902</v>
      </c>
      <c r="J12560" s="28">
        <v>0.44113967162058698</v>
      </c>
      <c r="K12560" s="29">
        <v>0.98289565623980701</v>
      </c>
    </row>
    <row r="12561" spans="1:11" x14ac:dyDescent="0.35">
      <c r="A12561" s="9" t="str">
        <f>HYPERLINK("http://www.ensembl.org/id/WBGene00009134", "WBGene00009134")</f>
        <v>WBGene00009134</v>
      </c>
      <c r="B12561" s="9" t="str">
        <f>HYPERLINK("http://www.ncbi.nlm.nih.gov/gene/184941", "184941")</f>
        <v>184941</v>
      </c>
      <c r="C12561" s="9"/>
      <c r="D12561" t="str">
        <f>"lurp-2"</f>
        <v>lurp-2</v>
      </c>
      <c r="E12561" t="s">
        <v>2631</v>
      </c>
      <c r="F12561" t="s">
        <v>11</v>
      </c>
      <c r="H12561" s="12">
        <v>3.86408975716183</v>
      </c>
      <c r="I12561" s="20">
        <v>0.90136160011011102</v>
      </c>
      <c r="J12561" s="28">
        <v>0.367396091303825</v>
      </c>
      <c r="K12561" s="29">
        <v>0.98289565623980701</v>
      </c>
    </row>
    <row r="12562" spans="1:11" x14ac:dyDescent="0.35">
      <c r="A12562" s="9" t="str">
        <f>HYPERLINK("http://www.ensembl.org/id/WBGene00009136", "WBGene00009136")</f>
        <v>WBGene00009136</v>
      </c>
      <c r="B12562" s="9" t="str">
        <f>HYPERLINK("http://www.ncbi.nlm.nih.gov/gene/184942", "184942")</f>
        <v>184942</v>
      </c>
      <c r="C12562" s="9"/>
      <c r="D12562" t="str">
        <f>"lurp-3"</f>
        <v>lurp-3</v>
      </c>
      <c r="E12562" t="s">
        <v>2631</v>
      </c>
      <c r="F12562" t="s">
        <v>11</v>
      </c>
      <c r="G12562" t="s">
        <v>2770</v>
      </c>
      <c r="H12562" s="12">
        <v>1.9602117850512799</v>
      </c>
      <c r="I12562" s="20">
        <v>0.71292539343877304</v>
      </c>
      <c r="J12562" s="28">
        <v>0.47589192477998199</v>
      </c>
      <c r="K12562" s="29">
        <v>0.98289565623980701</v>
      </c>
    </row>
    <row r="12563" spans="1:11" x14ac:dyDescent="0.35">
      <c r="A12563" s="9" t="str">
        <f>HYPERLINK("http://www.ensembl.org/id/WBGene00077698", "WBGene00077698")</f>
        <v>WBGene00077698</v>
      </c>
      <c r="B12563" s="9" t="str">
        <f>HYPERLINK("http://www.ncbi.nlm.nih.gov/gene/6418704", "6418704")</f>
        <v>6418704</v>
      </c>
      <c r="C12563" s="9"/>
      <c r="D12563" t="str">
        <f>"lurp-4"</f>
        <v>lurp-4</v>
      </c>
      <c r="E12563" t="s">
        <v>2631</v>
      </c>
      <c r="F12563" t="s">
        <v>11</v>
      </c>
      <c r="H12563" s="12">
        <v>1.5155428972645699</v>
      </c>
      <c r="I12563" s="20">
        <v>0.75017408289291998</v>
      </c>
      <c r="J12563" s="28">
        <v>0.45314986584770001</v>
      </c>
      <c r="K12563" s="29">
        <v>0.98289565623980701</v>
      </c>
    </row>
    <row r="12564" spans="1:11" x14ac:dyDescent="0.35">
      <c r="A12564" s="9" t="str">
        <f>HYPERLINK("http://www.ensembl.org/id/WBGene00003099", "WBGene00003099")</f>
        <v>WBGene00003099</v>
      </c>
      <c r="B12564" s="9" t="str">
        <f>HYPERLINK("http://www.ncbi.nlm.nih.gov/gene/184622", "184622")</f>
        <v>184622</v>
      </c>
      <c r="C12564" s="9"/>
      <c r="D12564" t="str">
        <f>"lys-10"</f>
        <v>lys-10</v>
      </c>
      <c r="E12564" t="s">
        <v>4549</v>
      </c>
      <c r="F12564" t="s">
        <v>11</v>
      </c>
      <c r="G12564" t="s">
        <v>10050</v>
      </c>
      <c r="H12564" s="12">
        <v>-2.4084835458323202</v>
      </c>
      <c r="I12564" s="20">
        <v>-1.0549772896843901</v>
      </c>
      <c r="J12564" s="28">
        <v>0.29143571145839298</v>
      </c>
      <c r="K12564" s="29">
        <v>0.98289565623980701</v>
      </c>
    </row>
    <row r="12565" spans="1:11" x14ac:dyDescent="0.35">
      <c r="A12565" s="9" t="str">
        <f>HYPERLINK("http://www.ensembl.org/id/WBGene00003093", "WBGene00003093")</f>
        <v>WBGene00003093</v>
      </c>
      <c r="B12565" s="9" t="str">
        <f>HYPERLINK("http://www.ncbi.nlm.nih.gov/gene/178086", "178086")</f>
        <v>178086</v>
      </c>
      <c r="C12565" s="9"/>
      <c r="D12565" t="str">
        <f>"lys-4"</f>
        <v>lys-4</v>
      </c>
      <c r="E12565" t="s">
        <v>4549</v>
      </c>
      <c r="F12565" t="s">
        <v>11</v>
      </c>
      <c r="G12565" t="s">
        <v>8694</v>
      </c>
      <c r="H12565" s="12">
        <v>-1.19169330771811</v>
      </c>
      <c r="I12565" s="20">
        <v>-0.88400439912569295</v>
      </c>
      <c r="J12565" s="28">
        <v>0.37669383810423102</v>
      </c>
      <c r="K12565" s="29">
        <v>0.98289565623980701</v>
      </c>
    </row>
    <row r="12566" spans="1:11" x14ac:dyDescent="0.35">
      <c r="A12566" s="9" t="str">
        <f>HYPERLINK("http://www.ensembl.org/id/WBGene00003094", "WBGene00003094")</f>
        <v>WBGene00003094</v>
      </c>
      <c r="B12566" s="9" t="str">
        <f>HYPERLINK("http://www.ncbi.nlm.nih.gov/gene/186491", "186491")</f>
        <v>186491</v>
      </c>
      <c r="C12566" s="9"/>
      <c r="D12566" t="str">
        <f>"lys-5"</f>
        <v>lys-5</v>
      </c>
      <c r="E12566" t="s">
        <v>4704</v>
      </c>
      <c r="F12566" t="s">
        <v>11</v>
      </c>
      <c r="G12566" t="s">
        <v>202</v>
      </c>
      <c r="H12566" s="12">
        <v>1.4694276657476</v>
      </c>
      <c r="I12566" s="20">
        <v>0.96123863437699897</v>
      </c>
      <c r="J12566" s="28">
        <v>0.33643219491624199</v>
      </c>
      <c r="K12566" s="29">
        <v>0.98289565623980701</v>
      </c>
    </row>
    <row r="12567" spans="1:11" x14ac:dyDescent="0.35">
      <c r="A12567" s="9" t="str">
        <f>HYPERLINK("http://www.ensembl.org/id/WBGene00003097", "WBGene00003097")</f>
        <v>WBGene00003097</v>
      </c>
      <c r="B12567" s="9" t="str">
        <f>HYPERLINK("http://www.ncbi.nlm.nih.gov/gene/173944", "173944")</f>
        <v>173944</v>
      </c>
      <c r="C12567" s="9"/>
      <c r="D12567" t="str">
        <f>"lys-8"</f>
        <v>lys-8</v>
      </c>
      <c r="E12567" t="s">
        <v>4549</v>
      </c>
      <c r="F12567" t="s">
        <v>11</v>
      </c>
      <c r="G12567" t="s">
        <v>7203</v>
      </c>
      <c r="H12567" s="12">
        <v>-1.1134730108737301</v>
      </c>
      <c r="I12567" s="20">
        <v>-0.398464905881594</v>
      </c>
      <c r="J12567" s="28">
        <v>0.69028752219235801</v>
      </c>
      <c r="K12567" s="29">
        <v>0.98289565623980701</v>
      </c>
    </row>
    <row r="12568" spans="1:11" x14ac:dyDescent="0.35">
      <c r="A12568" s="9" t="str">
        <f>HYPERLINK("http://www.ensembl.org/id/WBGene00003098", "WBGene00003098")</f>
        <v>WBGene00003098</v>
      </c>
      <c r="B12568" s="9" t="str">
        <f>HYPERLINK("http://www.ncbi.nlm.nih.gov/gene/183772", "183772")</f>
        <v>183772</v>
      </c>
      <c r="C12568" s="9"/>
      <c r="D12568" t="str">
        <f>"lys-9"</f>
        <v>lys-9</v>
      </c>
      <c r="E12568" t="s">
        <v>4549</v>
      </c>
      <c r="F12568" t="s">
        <v>11</v>
      </c>
      <c r="G12568" t="s">
        <v>4550</v>
      </c>
      <c r="H12568" s="12">
        <v>1.71741479312429</v>
      </c>
      <c r="I12568" s="20">
        <v>0.28761201736444097</v>
      </c>
      <c r="J12568" s="28">
        <v>0.77364374488588195</v>
      </c>
      <c r="K12568" s="29">
        <v>0.98289565623980701</v>
      </c>
    </row>
    <row r="12569" spans="1:11" x14ac:dyDescent="0.35">
      <c r="A12569" s="9" t="str">
        <f>HYPERLINK("http://www.ensembl.org/id/WBGene00011361", "WBGene00011361")</f>
        <v>WBGene00011361</v>
      </c>
      <c r="B12569" s="9" t="str">
        <f>HYPERLINK("http://www.ncbi.nlm.nih.gov/gene/181379", "181379")</f>
        <v>181379</v>
      </c>
      <c r="C12569" s="9"/>
      <c r="D12569" t="str">
        <f>"lyst-1"</f>
        <v>lyst-1</v>
      </c>
      <c r="E12569" t="s">
        <v>5446</v>
      </c>
      <c r="F12569" t="s">
        <v>11</v>
      </c>
      <c r="G12569" t="s">
        <v>5447</v>
      </c>
      <c r="H12569" s="12">
        <v>1.16378812251576</v>
      </c>
      <c r="I12569" s="20">
        <v>0.55763494835231497</v>
      </c>
      <c r="J12569" s="28">
        <v>0.57709368674544903</v>
      </c>
      <c r="K12569" s="29">
        <v>0.98289565623980701</v>
      </c>
    </row>
    <row r="12570" spans="1:11" x14ac:dyDescent="0.35">
      <c r="A12570" s="9" t="str">
        <f>HYPERLINK("http://www.ensembl.org/id/WBGene00010795", "WBGene00010795")</f>
        <v>WBGene00010795</v>
      </c>
      <c r="B12570" s="9" t="str">
        <f>HYPERLINK("http://www.ncbi.nlm.nih.gov/gene/187349", "187349")</f>
        <v>187349</v>
      </c>
      <c r="C12570" s="9"/>
      <c r="D12570" t="str">
        <f>"M01A8.1"</f>
        <v>M01A8.1</v>
      </c>
      <c r="F12570" t="s">
        <v>11</v>
      </c>
      <c r="G12570" t="s">
        <v>2948</v>
      </c>
      <c r="H12570" s="12">
        <v>-1.0746306962385199</v>
      </c>
      <c r="I12570" s="20">
        <v>-0.30491236206953098</v>
      </c>
      <c r="J12570" s="28">
        <v>0.76043290025806498</v>
      </c>
      <c r="K12570" s="29">
        <v>0.98289565623980701</v>
      </c>
    </row>
    <row r="12571" spans="1:11" x14ac:dyDescent="0.35">
      <c r="A12571" s="9" t="str">
        <f>HYPERLINK("http://www.ensembl.org/id/WBGene00019697", "WBGene00019697")</f>
        <v>WBGene00019697</v>
      </c>
      <c r="B12571" s="9" t="str">
        <f>HYPERLINK("http://www.ncbi.nlm.nih.gov/gene/3565638", "3565638")</f>
        <v>3565638</v>
      </c>
      <c r="C12571" s="9"/>
      <c r="D12571" t="str">
        <f>"M01B12.4"</f>
        <v>M01B12.4</v>
      </c>
      <c r="F12571" t="s">
        <v>11</v>
      </c>
      <c r="H12571" s="12">
        <v>-1.1071424685045801</v>
      </c>
      <c r="I12571" s="20">
        <v>-0.553345043345848</v>
      </c>
      <c r="J12571" s="28">
        <v>0.58002716295402601</v>
      </c>
      <c r="K12571" s="29">
        <v>0.98289565623980701</v>
      </c>
    </row>
    <row r="12572" spans="1:11" x14ac:dyDescent="0.35">
      <c r="A12572" s="9" t="str">
        <f>HYPERLINK("http://www.ensembl.org/id/WBGene00010801", "WBGene00010801")</f>
        <v>WBGene00010801</v>
      </c>
      <c r="B12572" s="9" t="str">
        <f>HYPERLINK("http://www.ncbi.nlm.nih.gov/gene/187359", "187359")</f>
        <v>187359</v>
      </c>
      <c r="C12572" s="9"/>
      <c r="D12572" t="str">
        <f>"M01B2.8"</f>
        <v>M01B2.8</v>
      </c>
      <c r="F12572" t="s">
        <v>11</v>
      </c>
      <c r="H12572" s="12">
        <v>5.4058944669092801</v>
      </c>
      <c r="I12572" s="20">
        <v>0.49762513753689303</v>
      </c>
      <c r="J12572" s="28">
        <v>0.61874828254921799</v>
      </c>
      <c r="K12572" s="29">
        <v>0.98289565623980701</v>
      </c>
    </row>
    <row r="12573" spans="1:11" x14ac:dyDescent="0.35">
      <c r="A12573" s="9" t="str">
        <f>HYPERLINK("http://www.ensembl.org/id/WBGene00220026", "WBGene00220026")</f>
        <v>WBGene00220026</v>
      </c>
      <c r="B12573" s="9"/>
      <c r="C12573" s="9"/>
      <c r="D12573" t="str">
        <f>"M01D1.11"</f>
        <v>M01D1.11</v>
      </c>
      <c r="F12573" t="s">
        <v>2977</v>
      </c>
      <c r="H12573" s="12">
        <v>5.9495765472548197</v>
      </c>
      <c r="I12573" s="20">
        <v>0.52429389276509997</v>
      </c>
      <c r="J12573" s="28">
        <v>0.60007414400596704</v>
      </c>
      <c r="K12573" s="29">
        <v>0.98289565623980701</v>
      </c>
    </row>
    <row r="12574" spans="1:11" x14ac:dyDescent="0.35">
      <c r="A12574" s="9" t="str">
        <f>HYPERLINK("http://www.ensembl.org/id/WBGene00269373", "WBGene00269373")</f>
        <v>WBGene00269373</v>
      </c>
      <c r="B12574" s="9" t="str">
        <f>HYPERLINK("http://www.ncbi.nlm.nih.gov/gene/26591692", "26591692")</f>
        <v>26591692</v>
      </c>
      <c r="C12574" s="9"/>
      <c r="D12574" t="str">
        <f>"M01D1.12"</f>
        <v>M01D1.12</v>
      </c>
      <c r="F12574" t="s">
        <v>11</v>
      </c>
      <c r="H12574" s="12">
        <v>1.5544546174081899</v>
      </c>
      <c r="I12574" s="20">
        <v>0.93375280669372196</v>
      </c>
      <c r="J12574" s="28">
        <v>0.35043141854297299</v>
      </c>
      <c r="K12574" s="29">
        <v>0.98289565623980701</v>
      </c>
    </row>
    <row r="12575" spans="1:11" x14ac:dyDescent="0.35">
      <c r="A12575" s="9" t="str">
        <f>HYPERLINK("http://www.ensembl.org/id/WBGene00019709", "WBGene00019709")</f>
        <v>WBGene00019709</v>
      </c>
      <c r="B12575" s="9" t="str">
        <f>HYPERLINK("http://www.ncbi.nlm.nih.gov/gene/187371", "187371")</f>
        <v>187371</v>
      </c>
      <c r="C12575" s="9"/>
      <c r="D12575" t="str">
        <f>"M01E10.3"</f>
        <v>M01E10.3</v>
      </c>
      <c r="F12575" t="s">
        <v>11</v>
      </c>
      <c r="H12575" s="12">
        <v>2.3893468495514898</v>
      </c>
      <c r="I12575" s="20">
        <v>0.25323547253672701</v>
      </c>
      <c r="J12575" s="28">
        <v>0.80008625651646104</v>
      </c>
      <c r="K12575" s="29">
        <v>0.98289565623980701</v>
      </c>
    </row>
    <row r="12576" spans="1:11" x14ac:dyDescent="0.35">
      <c r="A12576" s="9" t="str">
        <f>HYPERLINK("http://www.ensembl.org/id/WBGene00019710", "WBGene00019710")</f>
        <v>WBGene00019710</v>
      </c>
      <c r="B12576" s="9" t="str">
        <f>HYPERLINK("http://www.ncbi.nlm.nih.gov/gene/187374", "187374")</f>
        <v>187374</v>
      </c>
      <c r="C12576" s="9" t="str">
        <f>HYPERLINK("http://www.ncbi.nlm.nih.gov/gene/23463", "23463")</f>
        <v>23463</v>
      </c>
      <c r="D12576" t="str">
        <f>"M01E11.1"</f>
        <v>M01E11.1</v>
      </c>
      <c r="E12576" t="s">
        <v>8261</v>
      </c>
      <c r="F12576" t="s">
        <v>11</v>
      </c>
      <c r="G12576" t="s">
        <v>8262</v>
      </c>
      <c r="H12576" s="12">
        <v>-1.16793737726297</v>
      </c>
      <c r="I12576" s="20">
        <v>-0.63268633893927995</v>
      </c>
      <c r="J12576" s="28">
        <v>0.52693849265356296</v>
      </c>
      <c r="K12576" s="29">
        <v>0.98289565623980701</v>
      </c>
    </row>
    <row r="12577" spans="1:11" x14ac:dyDescent="0.35">
      <c r="A12577" s="9" t="str">
        <f>HYPERLINK("http://www.ensembl.org/id/WBGene00019711", "WBGene00019711")</f>
        <v>WBGene00019711</v>
      </c>
      <c r="B12577" s="9" t="str">
        <f>HYPERLINK("http://www.ncbi.nlm.nih.gov/gene/172214", "172214")</f>
        <v>172214</v>
      </c>
      <c r="C12577" s="9" t="str">
        <f>HYPERLINK("http://www.ncbi.nlm.nih.gov/gene/56259", "56259")</f>
        <v>56259</v>
      </c>
      <c r="D12577" t="str">
        <f>"M01E11.2"</f>
        <v>M01E11.2</v>
      </c>
      <c r="F12577" t="s">
        <v>11</v>
      </c>
      <c r="G12577" t="s">
        <v>9305</v>
      </c>
      <c r="H12577" s="12">
        <v>-1.2361321527206901</v>
      </c>
      <c r="I12577" s="20">
        <v>-1.0555258644947201</v>
      </c>
      <c r="J12577" s="28">
        <v>0.29118488673940501</v>
      </c>
      <c r="K12577" s="29">
        <v>0.98289565623980701</v>
      </c>
    </row>
    <row r="12578" spans="1:11" x14ac:dyDescent="0.35">
      <c r="A12578" s="9" t="str">
        <f>HYPERLINK("http://www.ensembl.org/id/WBGene00196903", "WBGene00196903")</f>
        <v>WBGene00196903</v>
      </c>
      <c r="B12578" s="9"/>
      <c r="C12578" s="9"/>
      <c r="D12578" t="str">
        <f>"M01E11.9"</f>
        <v>M01E11.9</v>
      </c>
      <c r="F12578" t="s">
        <v>481</v>
      </c>
      <c r="H12578" s="12">
        <v>-1.7456946353443601</v>
      </c>
      <c r="I12578" s="20">
        <v>-0.43272633536752603</v>
      </c>
      <c r="J12578" s="28">
        <v>0.66521359516959799</v>
      </c>
      <c r="K12578" s="29">
        <v>0.98289565623980701</v>
      </c>
    </row>
    <row r="12579" spans="1:11" x14ac:dyDescent="0.35">
      <c r="A12579" s="9" t="str">
        <f>HYPERLINK("http://www.ensembl.org/id/WBGene00010806", "WBGene00010806")</f>
        <v>WBGene00010806</v>
      </c>
      <c r="B12579" s="9" t="str">
        <f>HYPERLINK("http://www.ncbi.nlm.nih.gov/gene/173193", "173193")</f>
        <v>173193</v>
      </c>
      <c r="C12579" s="9"/>
      <c r="D12579" t="str">
        <f>"M01E5.3"</f>
        <v>M01E5.3</v>
      </c>
      <c r="F12579" t="s">
        <v>11</v>
      </c>
      <c r="H12579" s="12">
        <v>-1.1585545301592</v>
      </c>
      <c r="I12579" s="20">
        <v>-0.80334887009340805</v>
      </c>
      <c r="J12579" s="28">
        <v>0.421773118808553</v>
      </c>
      <c r="K12579" s="29">
        <v>0.98289565623980701</v>
      </c>
    </row>
    <row r="12580" spans="1:11" x14ac:dyDescent="0.35">
      <c r="A12580" s="9" t="str">
        <f>HYPERLINK("http://www.ensembl.org/id/WBGene00010809", "WBGene00010809")</f>
        <v>WBGene00010809</v>
      </c>
      <c r="B12580" s="9" t="str">
        <f>HYPERLINK("http://www.ncbi.nlm.nih.gov/gene/3564813", "3564813")</f>
        <v>3564813</v>
      </c>
      <c r="C12580" s="9" t="str">
        <f>HYPERLINK("http://www.ncbi.nlm.nih.gov/gene/11019", "11019")</f>
        <v>11019</v>
      </c>
      <c r="D12580" t="str">
        <f>"M01F1.3"</f>
        <v>M01F1.3</v>
      </c>
      <c r="E12580" t="s">
        <v>9200</v>
      </c>
      <c r="F12580" t="s">
        <v>11</v>
      </c>
      <c r="G12580" t="s">
        <v>9201</v>
      </c>
      <c r="H12580" s="12">
        <v>-1.2276913151534601</v>
      </c>
      <c r="I12580" s="20">
        <v>-1.11162873854431</v>
      </c>
      <c r="J12580" s="28">
        <v>0.26629781082495402</v>
      </c>
      <c r="K12580" s="29">
        <v>0.98289565623980701</v>
      </c>
    </row>
    <row r="12581" spans="1:11" x14ac:dyDescent="0.35">
      <c r="A12581" s="9" t="str">
        <f>HYPERLINK("http://www.ensembl.org/id/WBGene00010810", "WBGene00010810")</f>
        <v>WBGene00010810</v>
      </c>
      <c r="B12581" s="9" t="str">
        <f>HYPERLINK("http://www.ncbi.nlm.nih.gov/gene/175457", "175457")</f>
        <v>175457</v>
      </c>
      <c r="C12581" s="9" t="str">
        <f>HYPERLINK("http://www.ncbi.nlm.nih.gov/gene/23731", "23731")</f>
        <v>23731</v>
      </c>
      <c r="D12581" t="str">
        <f>"M01F1.4"</f>
        <v>M01F1.4</v>
      </c>
      <c r="F12581" t="s">
        <v>11</v>
      </c>
      <c r="G12581" t="s">
        <v>417</v>
      </c>
      <c r="H12581" s="12">
        <v>-1.15947640467989</v>
      </c>
      <c r="I12581" s="20">
        <v>-0.79535448702373401</v>
      </c>
      <c r="J12581" s="28">
        <v>0.42640732681361498</v>
      </c>
      <c r="K12581" s="29">
        <v>0.98289565623980701</v>
      </c>
    </row>
    <row r="12582" spans="1:11" x14ac:dyDescent="0.35">
      <c r="A12582" s="9" t="str">
        <f>HYPERLINK("http://www.ensembl.org/id/WBGene00010825", "WBGene00010825")</f>
        <v>WBGene00010825</v>
      </c>
      <c r="B12582" s="9" t="str">
        <f>HYPERLINK("http://www.ncbi.nlm.nih.gov/gene/173093", "173093")</f>
        <v>173093</v>
      </c>
      <c r="C12582" s="9"/>
      <c r="D12582" t="str">
        <f>"M01G12.14"</f>
        <v>M01G12.14</v>
      </c>
      <c r="F12582" t="s">
        <v>11</v>
      </c>
      <c r="G12582" t="s">
        <v>644</v>
      </c>
      <c r="H12582" s="12">
        <v>-1.34578608140217</v>
      </c>
      <c r="I12582" s="20">
        <v>-0.579464421036467</v>
      </c>
      <c r="J12582" s="28">
        <v>0.56227584685196697</v>
      </c>
      <c r="K12582" s="29">
        <v>0.98289565623980701</v>
      </c>
    </row>
    <row r="12583" spans="1:11" x14ac:dyDescent="0.35">
      <c r="A12583" s="9" t="str">
        <f>HYPERLINK("http://www.ensembl.org/id/WBGene00010819", "WBGene00010819")</f>
        <v>WBGene00010819</v>
      </c>
      <c r="B12583" s="9" t="str">
        <f>HYPERLINK("http://www.ncbi.nlm.nih.gov/gene/187382", "187382")</f>
        <v>187382</v>
      </c>
      <c r="C12583" s="9"/>
      <c r="D12583" t="str">
        <f>"M01G12.5"</f>
        <v>M01G12.5</v>
      </c>
      <c r="F12583" t="s">
        <v>11</v>
      </c>
      <c r="H12583" s="12">
        <v>4.4368407117627902</v>
      </c>
      <c r="I12583" s="20">
        <v>0.43709475933309699</v>
      </c>
      <c r="J12583" s="28">
        <v>0.66204262779770495</v>
      </c>
      <c r="K12583" s="29">
        <v>0.98289565623980701</v>
      </c>
    </row>
    <row r="12584" spans="1:11" x14ac:dyDescent="0.35">
      <c r="A12584" s="9" t="str">
        <f>HYPERLINK("http://www.ensembl.org/id/WBGene00010820", "WBGene00010820")</f>
        <v>WBGene00010820</v>
      </c>
      <c r="B12584" s="9" t="str">
        <f>HYPERLINK("http://www.ncbi.nlm.nih.gov/gene/187383", "187383")</f>
        <v>187383</v>
      </c>
      <c r="C12584" s="9"/>
      <c r="D12584" t="str">
        <f>"M01G12.6"</f>
        <v>M01G12.6</v>
      </c>
      <c r="F12584" t="s">
        <v>11</v>
      </c>
      <c r="G12584" t="s">
        <v>10066</v>
      </c>
      <c r="H12584" s="12">
        <v>-2.4991590031922399</v>
      </c>
      <c r="I12584" s="20">
        <v>-0.26577412737581302</v>
      </c>
      <c r="J12584" s="28">
        <v>0.79041317015736101</v>
      </c>
      <c r="K12584" s="29">
        <v>0.98289565623980701</v>
      </c>
    </row>
    <row r="12585" spans="1:11" x14ac:dyDescent="0.35">
      <c r="A12585" s="9" t="str">
        <f>HYPERLINK("http://www.ensembl.org/id/WBGene00010821", "WBGene00010821")</f>
        <v>WBGene00010821</v>
      </c>
      <c r="B12585" s="9" t="str">
        <f>HYPERLINK("http://www.ncbi.nlm.nih.gov/gene/187384", "187384")</f>
        <v>187384</v>
      </c>
      <c r="C12585" s="9"/>
      <c r="D12585" t="str">
        <f>"M01G12.7"</f>
        <v>M01G12.7</v>
      </c>
      <c r="F12585" t="s">
        <v>11</v>
      </c>
      <c r="G12585" t="s">
        <v>644</v>
      </c>
      <c r="H12585" s="12">
        <v>2.3893468495514898</v>
      </c>
      <c r="I12585" s="20">
        <v>0.25323547253672701</v>
      </c>
      <c r="J12585" s="28">
        <v>0.80008625651646104</v>
      </c>
      <c r="K12585" s="29">
        <v>0.98289565623980701</v>
      </c>
    </row>
    <row r="12586" spans="1:11" x14ac:dyDescent="0.35">
      <c r="A12586" s="9" t="str">
        <f>HYPERLINK("http://www.ensembl.org/id/WBGene00014806", "WBGene00014806")</f>
        <v>WBGene00014806</v>
      </c>
      <c r="B12586" s="9"/>
      <c r="C12586" s="9"/>
      <c r="D12586" t="str">
        <f>"M01G12.8"</f>
        <v>M01G12.8</v>
      </c>
      <c r="F12586" t="s">
        <v>80</v>
      </c>
      <c r="H12586" s="12">
        <v>2.3893468495514898</v>
      </c>
      <c r="I12586" s="20">
        <v>0.25323547253672701</v>
      </c>
      <c r="J12586" s="28">
        <v>0.80008625651646104</v>
      </c>
      <c r="K12586" s="29">
        <v>0.98289565623980701</v>
      </c>
    </row>
    <row r="12587" spans="1:11" x14ac:dyDescent="0.35">
      <c r="A12587" s="9" t="str">
        <f>HYPERLINK("http://www.ensembl.org/id/WBGene00010822", "WBGene00010822")</f>
        <v>WBGene00010822</v>
      </c>
      <c r="B12587" s="9" t="str">
        <f>HYPERLINK("http://www.ncbi.nlm.nih.gov/gene/187385", "187385")</f>
        <v>187385</v>
      </c>
      <c r="C12587" s="9"/>
      <c r="D12587" t="str">
        <f>"M01G12.9"</f>
        <v>M01G12.9</v>
      </c>
      <c r="F12587" t="s">
        <v>11</v>
      </c>
      <c r="G12587" t="s">
        <v>644</v>
      </c>
      <c r="H12587" s="12">
        <v>-1.20162097997497</v>
      </c>
      <c r="I12587" s="20">
        <v>-0.59675498364194102</v>
      </c>
      <c r="J12587" s="28">
        <v>0.55067097698001499</v>
      </c>
      <c r="K12587" s="29">
        <v>0.98289565623980701</v>
      </c>
    </row>
    <row r="12588" spans="1:11" x14ac:dyDescent="0.35">
      <c r="A12588" s="9" t="str">
        <f>HYPERLINK("http://www.ensembl.org/id/WBGene00019716", "WBGene00019716")</f>
        <v>WBGene00019716</v>
      </c>
      <c r="B12588" s="9" t="str">
        <f>HYPERLINK("http://www.ncbi.nlm.nih.gov/gene/175305", "175305")</f>
        <v>175305</v>
      </c>
      <c r="C12588" s="9" t="str">
        <f>HYPERLINK("http://www.ncbi.nlm.nih.gov/gene/144404", "144404")</f>
        <v>144404</v>
      </c>
      <c r="D12588" t="str">
        <f>"M01G5.3"</f>
        <v>M01G5.3</v>
      </c>
      <c r="F12588" t="s">
        <v>11</v>
      </c>
      <c r="G12588" t="s">
        <v>25</v>
      </c>
      <c r="H12588" s="12">
        <v>-1.2306013014697299</v>
      </c>
      <c r="I12588" s="20">
        <v>-1.02645696579562</v>
      </c>
      <c r="J12588" s="28">
        <v>0.30467623834471602</v>
      </c>
      <c r="K12588" s="29">
        <v>0.98289565623980701</v>
      </c>
    </row>
    <row r="12589" spans="1:11" x14ac:dyDescent="0.35">
      <c r="A12589" s="9" t="str">
        <f>HYPERLINK("http://www.ensembl.org/id/WBGene00271788", "WBGene00271788")</f>
        <v>WBGene00271788</v>
      </c>
      <c r="B12589" s="9" t="str">
        <f>HYPERLINK("http://www.ncbi.nlm.nih.gov/gene/34700639", "34700639")</f>
        <v>34700639</v>
      </c>
      <c r="C12589" s="9"/>
      <c r="D12589" t="str">
        <f>"M01H9.10"</f>
        <v>M01H9.10</v>
      </c>
      <c r="F12589" t="s">
        <v>11</v>
      </c>
      <c r="G12589" t="s">
        <v>25</v>
      </c>
      <c r="H12589" s="12">
        <v>-1.53604714734326</v>
      </c>
      <c r="I12589" s="20">
        <v>-0.28041018412461199</v>
      </c>
      <c r="J12589" s="28">
        <v>0.77916282454605401</v>
      </c>
      <c r="K12589" s="29">
        <v>0.98289565623980701</v>
      </c>
    </row>
    <row r="12590" spans="1:11" x14ac:dyDescent="0.35">
      <c r="A12590" s="9" t="str">
        <f>HYPERLINK("http://www.ensembl.org/id/WBGene00019718", "WBGene00019718")</f>
        <v>WBGene00019718</v>
      </c>
      <c r="B12590" s="9" t="str">
        <f>HYPERLINK("http://www.ncbi.nlm.nih.gov/gene/187390", "187390")</f>
        <v>187390</v>
      </c>
      <c r="C12590" s="9"/>
      <c r="D12590" t="str">
        <f>"M01H9.2"</f>
        <v>M01H9.2</v>
      </c>
      <c r="F12590" t="s">
        <v>11</v>
      </c>
      <c r="H12590" s="12">
        <v>1.3683645352753699</v>
      </c>
      <c r="I12590" s="20">
        <v>0.50833795336065901</v>
      </c>
      <c r="J12590" s="28">
        <v>0.61121635777670302</v>
      </c>
      <c r="K12590" s="29">
        <v>0.98289565623980701</v>
      </c>
    </row>
    <row r="12591" spans="1:11" x14ac:dyDescent="0.35">
      <c r="A12591" s="9" t="str">
        <f>HYPERLINK("http://www.ensembl.org/id/WBGene00019720", "WBGene00019720")</f>
        <v>WBGene00019720</v>
      </c>
      <c r="B12591" s="9" t="str">
        <f>HYPERLINK("http://www.ncbi.nlm.nih.gov/gene/187391", "187391")</f>
        <v>187391</v>
      </c>
      <c r="C12591" s="9"/>
      <c r="D12591" t="str">
        <f>"M01H9.4"</f>
        <v>M01H9.4</v>
      </c>
      <c r="F12591" t="s">
        <v>11</v>
      </c>
      <c r="H12591" s="12">
        <v>-1.2666921027301401</v>
      </c>
      <c r="I12591" s="20">
        <v>-0.88194780304502196</v>
      </c>
      <c r="J12591" s="28">
        <v>0.377805034689073</v>
      </c>
      <c r="K12591" s="29">
        <v>0.98289565623980701</v>
      </c>
    </row>
    <row r="12592" spans="1:11" x14ac:dyDescent="0.35">
      <c r="A12592" s="9" t="str">
        <f>HYPERLINK("http://www.ensembl.org/id/WBGene00196280", "WBGene00196280")</f>
        <v>WBGene00196280</v>
      </c>
      <c r="B12592" s="9"/>
      <c r="C12592" s="9"/>
      <c r="D12592" t="str">
        <f>"M01H9.7"</f>
        <v>M01H9.7</v>
      </c>
      <c r="F12592" t="s">
        <v>481</v>
      </c>
      <c r="H12592" s="12">
        <v>5.4058944669092801</v>
      </c>
      <c r="I12592" s="20">
        <v>0.49762513753689303</v>
      </c>
      <c r="J12592" s="28">
        <v>0.61874828254921799</v>
      </c>
      <c r="K12592" s="29">
        <v>0.98289565623980701</v>
      </c>
    </row>
    <row r="12593" spans="1:11" x14ac:dyDescent="0.35">
      <c r="A12593" s="9" t="str">
        <f>HYPERLINK("http://www.ensembl.org/id/WBGene00196454", "WBGene00196454")</f>
        <v>WBGene00196454</v>
      </c>
      <c r="B12593" s="9"/>
      <c r="C12593" s="9"/>
      <c r="D12593" t="str">
        <f>"M01H9.8"</f>
        <v>M01H9.8</v>
      </c>
      <c r="F12593" t="s">
        <v>481</v>
      </c>
      <c r="H12593" s="12">
        <v>-2.4991590031922399</v>
      </c>
      <c r="I12593" s="20">
        <v>-0.26577412737581302</v>
      </c>
      <c r="J12593" s="28">
        <v>0.79041317015736101</v>
      </c>
      <c r="K12593" s="29">
        <v>0.98289565623980701</v>
      </c>
    </row>
    <row r="12594" spans="1:11" x14ac:dyDescent="0.35">
      <c r="A12594" s="9" t="str">
        <f>HYPERLINK("http://www.ensembl.org/id/WBGene00010828", "WBGene00010828")</f>
        <v>WBGene00010828</v>
      </c>
      <c r="B12594" s="9" t="str">
        <f>HYPERLINK("http://www.ncbi.nlm.nih.gov/gene/178236", "178236")</f>
        <v>178236</v>
      </c>
      <c r="C12594" s="9"/>
      <c r="D12594" t="str">
        <f>"M02B1.3"</f>
        <v>M02B1.3</v>
      </c>
      <c r="F12594" t="s">
        <v>11</v>
      </c>
      <c r="G12594" t="s">
        <v>3092</v>
      </c>
      <c r="H12594" s="12">
        <v>-1.23459583924397</v>
      </c>
      <c r="I12594" s="20">
        <v>-1.1649309020774601</v>
      </c>
      <c r="J12594" s="28">
        <v>0.24404696363699099</v>
      </c>
      <c r="K12594" s="29">
        <v>0.98289565623980701</v>
      </c>
    </row>
    <row r="12595" spans="1:11" x14ac:dyDescent="0.35">
      <c r="A12595" s="9" t="str">
        <f>HYPERLINK("http://www.ensembl.org/id/WBGene00010829", "WBGene00010829")</f>
        <v>WBGene00010829</v>
      </c>
      <c r="B12595" s="9" t="str">
        <f>HYPERLINK("http://www.ncbi.nlm.nih.gov/gene/187395", "187395")</f>
        <v>187395</v>
      </c>
      <c r="C12595" s="9"/>
      <c r="D12595" t="str">
        <f>"M02B1.4"</f>
        <v>M02B1.4</v>
      </c>
      <c r="F12595" t="s">
        <v>11</v>
      </c>
      <c r="G12595" t="s">
        <v>25</v>
      </c>
      <c r="H12595" s="12">
        <v>1.8477010456226</v>
      </c>
      <c r="I12595" s="20">
        <v>0.598868500730108</v>
      </c>
      <c r="J12595" s="28">
        <v>0.54926057816145402</v>
      </c>
      <c r="K12595" s="29">
        <v>0.98289565623980701</v>
      </c>
    </row>
    <row r="12596" spans="1:11" x14ac:dyDescent="0.35">
      <c r="A12596" s="9" t="str">
        <f>HYPERLINK("http://www.ensembl.org/id/WBGene00019724", "WBGene00019724")</f>
        <v>WBGene00019724</v>
      </c>
      <c r="B12596" s="9" t="str">
        <f>HYPERLINK("http://www.ncbi.nlm.nih.gov/gene/187397", "187397")</f>
        <v>187397</v>
      </c>
      <c r="C12596" s="9" t="str">
        <f>HYPERLINK("http://www.ncbi.nlm.nih.gov/gene/79033", "79033")</f>
        <v>79033</v>
      </c>
      <c r="D12596" t="str">
        <f>"M02B7.2"</f>
        <v>M02B7.2</v>
      </c>
      <c r="F12596" t="s">
        <v>11</v>
      </c>
      <c r="G12596" t="s">
        <v>9885</v>
      </c>
      <c r="H12596" s="12">
        <v>-1.3487381569130901</v>
      </c>
      <c r="I12596" s="20">
        <v>-1.0304990421665301</v>
      </c>
      <c r="J12596" s="28">
        <v>0.30277580165305001</v>
      </c>
      <c r="K12596" s="29">
        <v>0.98289565623980701</v>
      </c>
    </row>
    <row r="12597" spans="1:11" x14ac:dyDescent="0.35">
      <c r="A12597" s="9" t="str">
        <f>HYPERLINK("http://www.ensembl.org/id/WBGene00019728", "WBGene00019728")</f>
        <v>WBGene00019728</v>
      </c>
      <c r="B12597" s="9" t="str">
        <f>HYPERLINK("http://www.ncbi.nlm.nih.gov/gene/187399", "187399")</f>
        <v>187399</v>
      </c>
      <c r="C12597" s="9"/>
      <c r="D12597" t="str">
        <f>"M02D8.2"</f>
        <v>M02D8.2</v>
      </c>
      <c r="F12597" t="s">
        <v>11</v>
      </c>
      <c r="H12597" s="12">
        <v>-1.15132671486129</v>
      </c>
      <c r="I12597" s="20">
        <v>-0.68560122849174099</v>
      </c>
      <c r="J12597" s="28">
        <v>0.49296460664513803</v>
      </c>
      <c r="K12597" s="29">
        <v>0.98289565623980701</v>
      </c>
    </row>
    <row r="12598" spans="1:11" x14ac:dyDescent="0.35">
      <c r="A12598" s="9" t="str">
        <f>HYPERLINK("http://www.ensembl.org/id/WBGene00019729", "WBGene00019729")</f>
        <v>WBGene00019729</v>
      </c>
      <c r="B12598" s="9" t="str">
        <f>HYPERLINK("http://www.ncbi.nlm.nih.gov/gene/181120", "181120")</f>
        <v>181120</v>
      </c>
      <c r="C12598" s="9"/>
      <c r="D12598" t="str">
        <f>"M02D8.3"</f>
        <v>M02D8.3</v>
      </c>
      <c r="F12598" t="s">
        <v>11</v>
      </c>
      <c r="H12598" s="12">
        <v>1.10964528727201</v>
      </c>
      <c r="I12598" s="20">
        <v>0.50810934715926204</v>
      </c>
      <c r="J12598" s="28">
        <v>0.61137666047385397</v>
      </c>
      <c r="K12598" s="29">
        <v>0.98289565623980701</v>
      </c>
    </row>
    <row r="12599" spans="1:11" x14ac:dyDescent="0.35">
      <c r="A12599" s="9" t="str">
        <f>HYPERLINK("http://www.ensembl.org/id/WBGene00019731", "WBGene00019731")</f>
        <v>WBGene00019731</v>
      </c>
      <c r="B12599" s="9" t="str">
        <f>HYPERLINK("http://www.ncbi.nlm.nih.gov/gene/181122", "181122")</f>
        <v>181122</v>
      </c>
      <c r="C12599" s="9"/>
      <c r="D12599" t="str">
        <f>"M02D8.5"</f>
        <v>M02D8.5</v>
      </c>
      <c r="F12599" t="s">
        <v>11</v>
      </c>
      <c r="H12599" s="12">
        <v>1.26256140072492</v>
      </c>
      <c r="I12599" s="20">
        <v>0.86627951969078698</v>
      </c>
      <c r="J12599" s="28">
        <v>0.386336894658662</v>
      </c>
      <c r="K12599" s="29">
        <v>0.98289565623980701</v>
      </c>
    </row>
    <row r="12600" spans="1:11" x14ac:dyDescent="0.35">
      <c r="A12600" s="9" t="str">
        <f>HYPERLINK("http://www.ensembl.org/id/WBGene00019732", "WBGene00019732")</f>
        <v>WBGene00019732</v>
      </c>
      <c r="B12600" s="9" t="str">
        <f>HYPERLINK("http://www.ncbi.nlm.nih.gov/gene/259718", "259718")</f>
        <v>259718</v>
      </c>
      <c r="C12600" s="9"/>
      <c r="D12600" t="str">
        <f>"M02D8.6"</f>
        <v>M02D8.6</v>
      </c>
      <c r="F12600" t="s">
        <v>11</v>
      </c>
      <c r="H12600" s="12">
        <v>-1.21586840948261</v>
      </c>
      <c r="I12600" s="20">
        <v>-0.98395713223966996</v>
      </c>
      <c r="J12600" s="28">
        <v>0.32513659073158102</v>
      </c>
      <c r="K12600" s="29">
        <v>0.98289565623980701</v>
      </c>
    </row>
    <row r="12601" spans="1:11" x14ac:dyDescent="0.35">
      <c r="A12601" s="9" t="str">
        <f>HYPERLINK("http://www.ensembl.org/id/WBGene00019733", "WBGene00019733")</f>
        <v>WBGene00019733</v>
      </c>
      <c r="B12601" s="9" t="str">
        <f>HYPERLINK("http://www.ncbi.nlm.nih.gov/gene/180389", "180389")</f>
        <v>180389</v>
      </c>
      <c r="C12601" s="9"/>
      <c r="D12601" t="str">
        <f>"M02E1.1"</f>
        <v>M02E1.1</v>
      </c>
      <c r="F12601" t="s">
        <v>11</v>
      </c>
      <c r="H12601" s="12">
        <v>-1.11539384534811</v>
      </c>
      <c r="I12601" s="20">
        <v>-0.59491255017920097</v>
      </c>
      <c r="J12601" s="28">
        <v>0.55190192774342695</v>
      </c>
      <c r="K12601" s="29">
        <v>0.98289565623980701</v>
      </c>
    </row>
    <row r="12602" spans="1:11" x14ac:dyDescent="0.35">
      <c r="A12602" s="9" t="str">
        <f>HYPERLINK("http://www.ensembl.org/id/WBGene00284848", "WBGene00284848")</f>
        <v>WBGene00284848</v>
      </c>
      <c r="B12602" s="9" t="str">
        <f>HYPERLINK("http://www.ncbi.nlm.nih.gov/gene/36312791", "36312791")</f>
        <v>36312791</v>
      </c>
      <c r="C12602" s="9"/>
      <c r="D12602" t="str">
        <f>"M02E1.4"</f>
        <v>M02E1.4</v>
      </c>
      <c r="F12602" t="s">
        <v>11</v>
      </c>
      <c r="H12602" s="12">
        <v>-1.4729328689761001</v>
      </c>
      <c r="I12602" s="20">
        <v>-1.0852457486962399</v>
      </c>
      <c r="J12602" s="28">
        <v>0.27781282687374498</v>
      </c>
      <c r="K12602" s="29">
        <v>0.98289565623980701</v>
      </c>
    </row>
    <row r="12603" spans="1:11" x14ac:dyDescent="0.35">
      <c r="A12603" s="9" t="str">
        <f>HYPERLINK("http://www.ensembl.org/id/WBGene00201129", "WBGene00201129")</f>
        <v>WBGene00201129</v>
      </c>
      <c r="B12603" s="9"/>
      <c r="C12603" s="9"/>
      <c r="D12603" t="str">
        <f>"M02F4.11"</f>
        <v>M02F4.11</v>
      </c>
      <c r="F12603" t="s">
        <v>481</v>
      </c>
      <c r="H12603" s="12">
        <v>-2.4991590031922399</v>
      </c>
      <c r="I12603" s="20">
        <v>-0.26577412737581302</v>
      </c>
      <c r="J12603" s="28">
        <v>0.79041317015736101</v>
      </c>
      <c r="K12603" s="29">
        <v>0.98289565623980701</v>
      </c>
    </row>
    <row r="12604" spans="1:11" x14ac:dyDescent="0.35">
      <c r="A12604" s="9" t="str">
        <f>HYPERLINK("http://www.ensembl.org/id/WBGene00019736", "WBGene00019736")</f>
        <v>WBGene00019736</v>
      </c>
      <c r="B12604" s="9" t="str">
        <f>HYPERLINK("http://www.ncbi.nlm.nih.gov/gene/187401", "187401")</f>
        <v>187401</v>
      </c>
      <c r="C12604" s="9"/>
      <c r="D12604" t="str">
        <f>"M02F4.2"</f>
        <v>M02F4.2</v>
      </c>
      <c r="F12604" t="s">
        <v>11</v>
      </c>
      <c r="H12604" s="12">
        <v>-2.8535396893595202</v>
      </c>
      <c r="I12604" s="20">
        <v>-0.83386059472956797</v>
      </c>
      <c r="J12604" s="28">
        <v>0.40435954474406399</v>
      </c>
      <c r="K12604" s="29">
        <v>0.98289565623980701</v>
      </c>
    </row>
    <row r="12605" spans="1:11" x14ac:dyDescent="0.35">
      <c r="A12605" s="9" t="str">
        <f>HYPERLINK("http://www.ensembl.org/id/WBGene00019739", "WBGene00019739")</f>
        <v>WBGene00019739</v>
      </c>
      <c r="B12605" s="9"/>
      <c r="C12605" s="9"/>
      <c r="D12605" t="str">
        <f>"M02F4.9"</f>
        <v>M02F4.9</v>
      </c>
      <c r="F12605" t="s">
        <v>80</v>
      </c>
      <c r="H12605" s="12">
        <v>8.0921279299725004</v>
      </c>
      <c r="I12605" s="20">
        <v>0.88082747474951395</v>
      </c>
      <c r="J12605" s="28">
        <v>0.37841120657925298</v>
      </c>
      <c r="K12605" s="29">
        <v>0.98289565623980701</v>
      </c>
    </row>
    <row r="12606" spans="1:11" x14ac:dyDescent="0.35">
      <c r="A12606" s="9" t="str">
        <f>HYPERLINK("http://www.ensembl.org/id/WBGene00194935", "WBGene00194935")</f>
        <v>WBGene00194935</v>
      </c>
      <c r="B12606" s="9" t="str">
        <f>HYPERLINK("http://www.ncbi.nlm.nih.gov/gene/13186765", "13186765")</f>
        <v>13186765</v>
      </c>
      <c r="C12606" s="9"/>
      <c r="D12606" t="str">
        <f>"M02G9.4"</f>
        <v>M02G9.4</v>
      </c>
      <c r="F12606" t="s">
        <v>11</v>
      </c>
      <c r="H12606" s="12">
        <v>-19.176534527412699</v>
      </c>
      <c r="I12606" s="20">
        <v>-1.06749940192321</v>
      </c>
      <c r="J12606" s="28">
        <v>0.28574638357159698</v>
      </c>
      <c r="K12606" s="29">
        <v>0.98289565623980701</v>
      </c>
    </row>
    <row r="12607" spans="1:11" x14ac:dyDescent="0.35">
      <c r="A12607" s="9" t="str">
        <f>HYPERLINK("http://www.ensembl.org/id/WBGene00077490", "WBGene00077490")</f>
        <v>WBGene00077490</v>
      </c>
      <c r="B12607" s="9" t="str">
        <f>HYPERLINK("http://www.ncbi.nlm.nih.gov/gene/6418630", "6418630")</f>
        <v>6418630</v>
      </c>
      <c r="C12607" s="9"/>
      <c r="D12607" t="str">
        <f>"M03A1.8"</f>
        <v>M03A1.8</v>
      </c>
      <c r="F12607" t="s">
        <v>11</v>
      </c>
      <c r="G12607" t="s">
        <v>25</v>
      </c>
      <c r="H12607" s="12">
        <v>1.31259555480843</v>
      </c>
      <c r="I12607" s="20">
        <v>0.45700293340482701</v>
      </c>
      <c r="J12607" s="28">
        <v>0.64766893706527995</v>
      </c>
      <c r="K12607" s="29">
        <v>0.98289565623980701</v>
      </c>
    </row>
    <row r="12608" spans="1:11" x14ac:dyDescent="0.35">
      <c r="A12608" s="9" t="str">
        <f>HYPERLINK("http://www.ensembl.org/id/WBGene00220028", "WBGene00220028")</f>
        <v>WBGene00220028</v>
      </c>
      <c r="B12608" s="9"/>
      <c r="C12608" s="9"/>
      <c r="D12608" t="str">
        <f>"M03A8.6"</f>
        <v>M03A8.6</v>
      </c>
      <c r="F12608" t="s">
        <v>481</v>
      </c>
      <c r="H12608" s="12">
        <v>-7.7904337984490803</v>
      </c>
      <c r="I12608" s="20">
        <v>-0.60901310058451197</v>
      </c>
      <c r="J12608" s="28">
        <v>0.54251575542982</v>
      </c>
      <c r="K12608" s="29">
        <v>0.98289565623980701</v>
      </c>
    </row>
    <row r="12609" spans="1:11" x14ac:dyDescent="0.35">
      <c r="A12609" s="9" t="str">
        <f>HYPERLINK("http://www.ensembl.org/id/WBGene00010835", "WBGene00010835")</f>
        <v>WBGene00010835</v>
      </c>
      <c r="B12609" s="9" t="str">
        <f>HYPERLINK("http://www.ncbi.nlm.nih.gov/gene/181498", "181498")</f>
        <v>181498</v>
      </c>
      <c r="C12609" s="9"/>
      <c r="D12609" t="str">
        <f>"M03B6.3"</f>
        <v>M03B6.3</v>
      </c>
      <c r="F12609" t="s">
        <v>11</v>
      </c>
      <c r="H12609" s="12">
        <v>1.31819435962069</v>
      </c>
      <c r="I12609" s="20">
        <v>1.1853473442501901</v>
      </c>
      <c r="J12609" s="28">
        <v>0.235880141637341</v>
      </c>
      <c r="K12609" s="29">
        <v>0.98289565623980701</v>
      </c>
    </row>
    <row r="12610" spans="1:11" x14ac:dyDescent="0.35">
      <c r="A12610" s="9" t="str">
        <f>HYPERLINK("http://www.ensembl.org/id/WBGene00010837", "WBGene00010837")</f>
        <v>WBGene00010837</v>
      </c>
      <c r="B12610" s="9" t="str">
        <f>HYPERLINK("http://www.ncbi.nlm.nih.gov/gene/3565481", "3565481")</f>
        <v>3565481</v>
      </c>
      <c r="C12610" s="9"/>
      <c r="D12610" t="str">
        <f>"M03B6.5"</f>
        <v>M03B6.5</v>
      </c>
      <c r="F12610" t="s">
        <v>11</v>
      </c>
      <c r="G12610" t="s">
        <v>25</v>
      </c>
      <c r="H12610" s="12">
        <v>-1.44882273497508</v>
      </c>
      <c r="I12610" s="20">
        <v>-0.83680281746590701</v>
      </c>
      <c r="J12610" s="28">
        <v>0.40270341344911498</v>
      </c>
      <c r="K12610" s="29">
        <v>0.98289565623980701</v>
      </c>
    </row>
    <row r="12611" spans="1:11" x14ac:dyDescent="0.35">
      <c r="A12611" s="9" t="str">
        <f>HYPERLINK("http://www.ensembl.org/id/WBGene00010838", "WBGene00010838")</f>
        <v>WBGene00010838</v>
      </c>
      <c r="B12611" s="9" t="str">
        <f>HYPERLINK("http://www.ncbi.nlm.nih.gov/gene/176456", "176456")</f>
        <v>176456</v>
      </c>
      <c r="C12611" s="9" t="str">
        <f>HYPERLINK("http://www.ncbi.nlm.nih.gov/gene/55351", "55351")</f>
        <v>55351</v>
      </c>
      <c r="D12611" t="str">
        <f>"M03C11.1"</f>
        <v>M03C11.1</v>
      </c>
      <c r="F12611" t="s">
        <v>11</v>
      </c>
      <c r="G12611" t="s">
        <v>4903</v>
      </c>
      <c r="H12611" s="12">
        <v>1.3095874598821</v>
      </c>
      <c r="I12611" s="20">
        <v>1.1421761596679301</v>
      </c>
      <c r="J12611" s="28">
        <v>0.25338080347196101</v>
      </c>
      <c r="K12611" s="29">
        <v>0.98289565623980701</v>
      </c>
    </row>
    <row r="12612" spans="1:11" x14ac:dyDescent="0.35">
      <c r="A12612" s="9" t="str">
        <f>HYPERLINK("http://www.ensembl.org/id/WBGene00010843", "WBGene00010843")</f>
        <v>WBGene00010843</v>
      </c>
      <c r="B12612" s="9" t="str">
        <f>HYPERLINK("http://www.ncbi.nlm.nih.gov/gene/187420", "187420")</f>
        <v>187420</v>
      </c>
      <c r="C12612" s="9"/>
      <c r="D12612" t="str">
        <f>"M03C11.6"</f>
        <v>M03C11.6</v>
      </c>
      <c r="F12612" t="s">
        <v>11</v>
      </c>
      <c r="H12612" s="12">
        <v>-1.36442443254178</v>
      </c>
      <c r="I12612" s="20">
        <v>-0.77335003754911602</v>
      </c>
      <c r="J12612" s="28">
        <v>0.43931525008964201</v>
      </c>
      <c r="K12612" s="29">
        <v>0.98289565623980701</v>
      </c>
    </row>
    <row r="12613" spans="1:11" x14ac:dyDescent="0.35">
      <c r="A12613" s="9" t="str">
        <f>HYPERLINK("http://www.ensembl.org/id/WBGene00194868", "WBGene00194868")</f>
        <v>WBGene00194868</v>
      </c>
      <c r="B12613" s="9" t="str">
        <f>HYPERLINK("http://www.ncbi.nlm.nih.gov/gene/13191124", "13191124")</f>
        <v>13191124</v>
      </c>
      <c r="C12613" s="9"/>
      <c r="D12613" t="str">
        <f>"M03C11.9"</f>
        <v>M03C11.9</v>
      </c>
      <c r="F12613" t="s">
        <v>11</v>
      </c>
      <c r="G12613" t="s">
        <v>25</v>
      </c>
      <c r="H12613" s="12">
        <v>-2.0826973964813802</v>
      </c>
      <c r="I12613" s="20">
        <v>-0.29801621006211798</v>
      </c>
      <c r="J12613" s="28">
        <v>0.76569079161662801</v>
      </c>
      <c r="K12613" s="29">
        <v>0.98289565623980701</v>
      </c>
    </row>
    <row r="12614" spans="1:11" x14ac:dyDescent="0.35">
      <c r="A12614" s="9" t="str">
        <f>HYPERLINK("http://www.ensembl.org/id/WBGene00220029", "WBGene00220029")</f>
        <v>WBGene00220029</v>
      </c>
      <c r="B12614" s="9"/>
      <c r="C12614" s="9"/>
      <c r="D12614" t="str">
        <f>"M03D4.78"</f>
        <v>M03D4.78</v>
      </c>
      <c r="F12614" t="s">
        <v>2977</v>
      </c>
      <c r="H12614" s="12">
        <v>-3.7261494131482999</v>
      </c>
      <c r="I12614" s="20">
        <v>-0.38454673129429601</v>
      </c>
      <c r="J12614" s="28">
        <v>0.70057326682554</v>
      </c>
      <c r="K12614" s="29">
        <v>0.98289565623980701</v>
      </c>
    </row>
    <row r="12615" spans="1:11" x14ac:dyDescent="0.35">
      <c r="A12615" s="9" t="str">
        <f>HYPERLINK("http://www.ensembl.org/id/WBGene00019753", "WBGene00019753")</f>
        <v>WBGene00019753</v>
      </c>
      <c r="B12615" s="9" t="str">
        <f>HYPERLINK("http://www.ncbi.nlm.nih.gov/gene/187422", "187422")</f>
        <v>187422</v>
      </c>
      <c r="C12615" s="9"/>
      <c r="D12615" t="str">
        <f>"M03E7.1"</f>
        <v>M03E7.1</v>
      </c>
      <c r="E12615" t="s">
        <v>899</v>
      </c>
      <c r="F12615" t="s">
        <v>11</v>
      </c>
      <c r="G12615" t="s">
        <v>3403</v>
      </c>
      <c r="H12615" s="12">
        <v>1.3325866287225201</v>
      </c>
      <c r="I12615" s="20">
        <v>0.86107908072283201</v>
      </c>
      <c r="J12615" s="28">
        <v>0.38919448986219501</v>
      </c>
      <c r="K12615" s="29">
        <v>0.98289565623980701</v>
      </c>
    </row>
    <row r="12616" spans="1:11" x14ac:dyDescent="0.35">
      <c r="A12616" s="9" t="str">
        <f>HYPERLINK("http://www.ensembl.org/id/WBGene00019756", "WBGene00019756")</f>
        <v>WBGene00019756</v>
      </c>
      <c r="B12616" s="9" t="str">
        <f>HYPERLINK("http://www.ncbi.nlm.nih.gov/gene/187424", "187424")</f>
        <v>187424</v>
      </c>
      <c r="C12616" s="9"/>
      <c r="D12616" t="str">
        <f>"M03E7.4"</f>
        <v>M03E7.4</v>
      </c>
      <c r="F12616" t="s">
        <v>11</v>
      </c>
      <c r="G12616" t="s">
        <v>4694</v>
      </c>
      <c r="H12616" s="12">
        <v>1.4857713145283999</v>
      </c>
      <c r="I12616" s="20">
        <v>0.56275457927586103</v>
      </c>
      <c r="J12616" s="28">
        <v>0.57360201314664405</v>
      </c>
      <c r="K12616" s="29">
        <v>0.98289565623980701</v>
      </c>
    </row>
    <row r="12617" spans="1:11" x14ac:dyDescent="0.35">
      <c r="A12617" s="9" t="str">
        <f>HYPERLINK("http://www.ensembl.org/id/WBGene00196681", "WBGene00196681")</f>
        <v>WBGene00196681</v>
      </c>
      <c r="B12617" s="9"/>
      <c r="C12617" s="9"/>
      <c r="D12617" t="str">
        <f>"M03F4.10"</f>
        <v>M03F4.10</v>
      </c>
      <c r="F12617" t="s">
        <v>481</v>
      </c>
      <c r="H12617" s="12">
        <v>13.2083681824683</v>
      </c>
      <c r="I12617" s="20">
        <v>0.79736709025154395</v>
      </c>
      <c r="J12617" s="28">
        <v>0.42523786651974499</v>
      </c>
      <c r="K12617" s="29">
        <v>0.98289565623980701</v>
      </c>
    </row>
    <row r="12618" spans="1:11" x14ac:dyDescent="0.35">
      <c r="A12618" s="9" t="str">
        <f>HYPERLINK("http://www.ensembl.org/id/WBGene00019759", "WBGene00019759")</f>
        <v>WBGene00019759</v>
      </c>
      <c r="B12618" s="9" t="str">
        <f>HYPERLINK("http://www.ncbi.nlm.nih.gov/gene/180768", "180768")</f>
        <v>180768</v>
      </c>
      <c r="C12618" s="9"/>
      <c r="D12618" t="str">
        <f>"M03F4.6"</f>
        <v>M03F4.6</v>
      </c>
      <c r="F12618" t="s">
        <v>11</v>
      </c>
      <c r="H12618" s="12">
        <v>1.2287289796248</v>
      </c>
      <c r="I12618" s="20">
        <v>0.64354661797786294</v>
      </c>
      <c r="J12618" s="28">
        <v>0.51986947572208897</v>
      </c>
      <c r="K12618" s="29">
        <v>0.98289565623980701</v>
      </c>
    </row>
    <row r="12619" spans="1:11" x14ac:dyDescent="0.35">
      <c r="A12619" s="9" t="str">
        <f>HYPERLINK("http://www.ensembl.org/id/WBGene00019762", "WBGene00019762")</f>
        <v>WBGene00019762</v>
      </c>
      <c r="B12619" s="9" t="str">
        <f>HYPERLINK("http://www.ncbi.nlm.nih.gov/gene/178979", "178979")</f>
        <v>178979</v>
      </c>
      <c r="C12619" s="9" t="str">
        <f>HYPERLINK("http://www.ncbi.nlm.nih.gov/gene/51340", "51340")</f>
        <v>51340</v>
      </c>
      <c r="D12619" t="str">
        <f>"M03F8.3"</f>
        <v>M03F8.3</v>
      </c>
      <c r="F12619" t="s">
        <v>11</v>
      </c>
      <c r="G12619" t="s">
        <v>6674</v>
      </c>
      <c r="H12619" s="12">
        <v>-1.08410236090054</v>
      </c>
      <c r="I12619" s="20">
        <v>-0.370510307006163</v>
      </c>
      <c r="J12619" s="28">
        <v>0.71100229827426398</v>
      </c>
      <c r="K12619" s="29">
        <v>0.98289565623980701</v>
      </c>
    </row>
    <row r="12620" spans="1:11" x14ac:dyDescent="0.35">
      <c r="A12620" s="9" t="str">
        <f>HYPERLINK("http://www.ensembl.org/id/WBGene00019764", "WBGene00019764")</f>
        <v>WBGene00019764</v>
      </c>
      <c r="B12620" s="9" t="str">
        <f>HYPERLINK("http://www.ncbi.nlm.nih.gov/gene/187431", "187431")</f>
        <v>187431</v>
      </c>
      <c r="C12620" s="9"/>
      <c r="D12620" t="str">
        <f>"M03F8.5"</f>
        <v>M03F8.5</v>
      </c>
      <c r="F12620" t="s">
        <v>11</v>
      </c>
      <c r="G12620" t="s">
        <v>1180</v>
      </c>
      <c r="H12620" s="12">
        <v>1.6655182343039501</v>
      </c>
      <c r="I12620" s="20">
        <v>0.99209102290705298</v>
      </c>
      <c r="J12620" s="28">
        <v>0.321153125272719</v>
      </c>
      <c r="K12620" s="29">
        <v>0.98289565623980701</v>
      </c>
    </row>
    <row r="12621" spans="1:11" x14ac:dyDescent="0.35">
      <c r="A12621" s="9" t="str">
        <f>HYPERLINK("http://www.ensembl.org/id/WBGene00019765", "WBGene00019765")</f>
        <v>WBGene00019765</v>
      </c>
      <c r="B12621" s="9" t="str">
        <f>HYPERLINK("http://www.ncbi.nlm.nih.gov/gene/187432", "187432")</f>
        <v>187432</v>
      </c>
      <c r="C12621" s="9"/>
      <c r="D12621" t="str">
        <f>"M03F8.6"</f>
        <v>M03F8.6</v>
      </c>
      <c r="F12621" t="s">
        <v>11</v>
      </c>
      <c r="G12621" t="s">
        <v>4861</v>
      </c>
      <c r="H12621" s="12">
        <v>1.3267040632132501</v>
      </c>
      <c r="I12621" s="20">
        <v>0.98013981679527995</v>
      </c>
      <c r="J12621" s="28">
        <v>0.32701710715968002</v>
      </c>
      <c r="K12621" s="29">
        <v>0.98289565623980701</v>
      </c>
    </row>
    <row r="12622" spans="1:11" x14ac:dyDescent="0.35">
      <c r="A12622" s="9" t="str">
        <f>HYPERLINK("http://www.ensembl.org/id/WBGene00189957", "WBGene00189957")</f>
        <v>WBGene00189957</v>
      </c>
      <c r="B12622" s="9" t="str">
        <f>HYPERLINK("http://www.ncbi.nlm.nih.gov/gene/13213068", "13213068")</f>
        <v>13213068</v>
      </c>
      <c r="C12622" s="9"/>
      <c r="D12622" t="str">
        <f>"M03F8.7"</f>
        <v>M03F8.7</v>
      </c>
      <c r="F12622" t="s">
        <v>11</v>
      </c>
      <c r="G12622" t="s">
        <v>1015</v>
      </c>
      <c r="H12622" s="12">
        <v>2.9754659352609001</v>
      </c>
      <c r="I12622" s="20">
        <v>0.49695545167261801</v>
      </c>
      <c r="J12622" s="28">
        <v>0.61922046646316298</v>
      </c>
      <c r="K12622" s="29">
        <v>0.98289565623980701</v>
      </c>
    </row>
    <row r="12623" spans="1:11" x14ac:dyDescent="0.35">
      <c r="A12623" s="9" t="str">
        <f>HYPERLINK("http://www.ensembl.org/id/WBGene00201578", "WBGene00201578")</f>
        <v>WBGene00201578</v>
      </c>
      <c r="B12623" s="9"/>
      <c r="C12623" s="9"/>
      <c r="D12623" t="str">
        <f>"M04B2.12"</f>
        <v>M04B2.12</v>
      </c>
      <c r="F12623" t="s">
        <v>481</v>
      </c>
      <c r="H12623" s="12">
        <v>-2.3838754719136599</v>
      </c>
      <c r="I12623" s="20">
        <v>-0.25807578497976902</v>
      </c>
      <c r="J12623" s="28">
        <v>0.79634841949468704</v>
      </c>
      <c r="K12623" s="29">
        <v>0.98289565623980701</v>
      </c>
    </row>
    <row r="12624" spans="1:11" x14ac:dyDescent="0.35">
      <c r="A12624" s="9" t="str">
        <f>HYPERLINK("http://www.ensembl.org/id/WBGene00201711", "WBGene00201711")</f>
        <v>WBGene00201711</v>
      </c>
      <c r="B12624" s="9"/>
      <c r="C12624" s="9"/>
      <c r="D12624" t="str">
        <f>"M04B2.13"</f>
        <v>M04B2.13</v>
      </c>
      <c r="F12624" t="s">
        <v>481</v>
      </c>
      <c r="H12624" s="12">
        <v>7.9483032226155101</v>
      </c>
      <c r="I12624" s="20">
        <v>0.92563256876654798</v>
      </c>
      <c r="J12624" s="28">
        <v>0.35463696181987198</v>
      </c>
      <c r="K12624" s="29">
        <v>0.98289565623980701</v>
      </c>
    </row>
    <row r="12625" spans="1:11" x14ac:dyDescent="0.35">
      <c r="A12625" s="9" t="str">
        <f>HYPERLINK("http://www.ensembl.org/id/WBGene00010846", "WBGene00010846")</f>
        <v>WBGene00010846</v>
      </c>
      <c r="B12625" s="9" t="str">
        <f>HYPERLINK("http://www.ncbi.nlm.nih.gov/gene/178075", "178075")</f>
        <v>178075</v>
      </c>
      <c r="C12625" s="9" t="str">
        <f>HYPERLINK("http://www.ncbi.nlm.nih.gov/gene/25917", "25917")</f>
        <v>25917</v>
      </c>
      <c r="D12625" t="str">
        <f>"M04B2.2"</f>
        <v>M04B2.2</v>
      </c>
      <c r="F12625" t="s">
        <v>11</v>
      </c>
      <c r="G12625" t="s">
        <v>9830</v>
      </c>
      <c r="H12625" s="12">
        <v>-1.3176183017676899</v>
      </c>
      <c r="I12625" s="20">
        <v>-1.0194954113199299</v>
      </c>
      <c r="J12625" s="28">
        <v>0.30796783052684701</v>
      </c>
      <c r="K12625" s="29">
        <v>0.98289565623980701</v>
      </c>
    </row>
    <row r="12626" spans="1:11" x14ac:dyDescent="0.35">
      <c r="A12626" s="9" t="str">
        <f>HYPERLINK("http://www.ensembl.org/id/WBGene00010847", "WBGene00010847")</f>
        <v>WBGene00010847</v>
      </c>
      <c r="B12626" s="9" t="str">
        <f>HYPERLINK("http://www.ncbi.nlm.nih.gov/gene/178073", "178073")</f>
        <v>178073</v>
      </c>
      <c r="C12626" s="9" t="str">
        <f>HYPERLINK("http://www.ncbi.nlm.nih.gov/gene/55572", "55572")</f>
        <v>55572</v>
      </c>
      <c r="D12626" t="str">
        <f>"M04B2.4"</f>
        <v>M04B2.4</v>
      </c>
      <c r="F12626" t="s">
        <v>11</v>
      </c>
      <c r="G12626" t="s">
        <v>8581</v>
      </c>
      <c r="H12626" s="12">
        <v>-1.18447707245423</v>
      </c>
      <c r="I12626" s="20">
        <v>-0.78250843510340995</v>
      </c>
      <c r="J12626" s="28">
        <v>0.433915830075426</v>
      </c>
      <c r="K12626" s="29">
        <v>0.98289565623980701</v>
      </c>
    </row>
    <row r="12627" spans="1:11" x14ac:dyDescent="0.35">
      <c r="A12627" s="9" t="str">
        <f>HYPERLINK("http://www.ensembl.org/id/WBGene00045319", "WBGene00045319")</f>
        <v>WBGene00045319</v>
      </c>
      <c r="B12627" s="9"/>
      <c r="C12627" s="9"/>
      <c r="D12627" t="str">
        <f>"M04B2.8"</f>
        <v>M04B2.8</v>
      </c>
      <c r="F12627" t="s">
        <v>80</v>
      </c>
      <c r="H12627" s="12">
        <v>-3.7261494131482999</v>
      </c>
      <c r="I12627" s="20">
        <v>-0.38454673129429601</v>
      </c>
      <c r="J12627" s="28">
        <v>0.70057326682554</v>
      </c>
      <c r="K12627" s="29">
        <v>0.98289565623980701</v>
      </c>
    </row>
    <row r="12628" spans="1:11" x14ac:dyDescent="0.35">
      <c r="A12628" s="9" t="str">
        <f>HYPERLINK("http://www.ensembl.org/id/WBGene00010850", "WBGene00010850")</f>
        <v>WBGene00010850</v>
      </c>
      <c r="B12628" s="9" t="str">
        <f>HYPERLINK("http://www.ncbi.nlm.nih.gov/gene/3565716", "3565716")</f>
        <v>3565716</v>
      </c>
      <c r="C12628" s="9"/>
      <c r="D12628" t="str">
        <f>"M04C3.1"</f>
        <v>M04C3.1</v>
      </c>
      <c r="F12628" t="s">
        <v>11</v>
      </c>
      <c r="G12628" t="s">
        <v>2012</v>
      </c>
      <c r="H12628" s="12">
        <v>1.0614718582862701</v>
      </c>
      <c r="I12628" s="20">
        <v>0.274829123271708</v>
      </c>
      <c r="J12628" s="28">
        <v>0.78344752219324898</v>
      </c>
      <c r="K12628" s="29">
        <v>0.98289565623980701</v>
      </c>
    </row>
    <row r="12629" spans="1:11" x14ac:dyDescent="0.35">
      <c r="A12629" s="9" t="str">
        <f>HYPERLINK("http://www.ensembl.org/id/WBGene00010851", "WBGene00010851")</f>
        <v>WBGene00010851</v>
      </c>
      <c r="B12629" s="9" t="str">
        <f>HYPERLINK("http://www.ncbi.nlm.nih.gov/gene/180274", "180274")</f>
        <v>180274</v>
      </c>
      <c r="C12629" s="9"/>
      <c r="D12629" t="str">
        <f>"M04C3.2"</f>
        <v>M04C3.2</v>
      </c>
      <c r="F12629" t="s">
        <v>11</v>
      </c>
      <c r="G12629" t="s">
        <v>8108</v>
      </c>
      <c r="H12629" s="12">
        <v>-1.16087142245154</v>
      </c>
      <c r="I12629" s="20">
        <v>-0.39077242680027602</v>
      </c>
      <c r="J12629" s="28">
        <v>0.695965457864401</v>
      </c>
      <c r="K12629" s="29">
        <v>0.98289565623980701</v>
      </c>
    </row>
    <row r="12630" spans="1:11" x14ac:dyDescent="0.35">
      <c r="A12630" s="9" t="str">
        <f>HYPERLINK("http://www.ensembl.org/id/WBGene00206418", "WBGene00206418")</f>
        <v>WBGene00206418</v>
      </c>
      <c r="B12630" s="9" t="str">
        <f>HYPERLINK("http://www.ncbi.nlm.nih.gov/gene/13218533", "13218533")</f>
        <v>13218533</v>
      </c>
      <c r="C12630" s="9"/>
      <c r="D12630" t="str">
        <f>"M04C3.5"</f>
        <v>M04C3.5</v>
      </c>
      <c r="F12630" t="s">
        <v>11</v>
      </c>
      <c r="H12630" s="12">
        <v>-1.2889575597010801</v>
      </c>
      <c r="I12630" s="20">
        <v>-0.44544315916013499</v>
      </c>
      <c r="J12630" s="28">
        <v>0.65599952828518804</v>
      </c>
      <c r="K12630" s="29">
        <v>0.98289565623980701</v>
      </c>
    </row>
    <row r="12631" spans="1:11" x14ac:dyDescent="0.35">
      <c r="A12631" s="9" t="str">
        <f>HYPERLINK("http://www.ensembl.org/id/WBGene00010854", "WBGene00010854")</f>
        <v>WBGene00010854</v>
      </c>
      <c r="B12631" s="9" t="str">
        <f>HYPERLINK("http://www.ncbi.nlm.nih.gov/gene/187437", "187437")</f>
        <v>187437</v>
      </c>
      <c r="C12631" s="9"/>
      <c r="D12631" t="str">
        <f>"M04C7.3"</f>
        <v>M04C7.3</v>
      </c>
      <c r="F12631" t="s">
        <v>11</v>
      </c>
      <c r="H12631" s="12">
        <v>3.5592998890273599</v>
      </c>
      <c r="I12631" s="20">
        <v>0.94988530414067096</v>
      </c>
      <c r="J12631" s="28">
        <v>0.34217053483562898</v>
      </c>
      <c r="K12631" s="29">
        <v>0.98289565623980701</v>
      </c>
    </row>
    <row r="12632" spans="1:11" x14ac:dyDescent="0.35">
      <c r="A12632" s="9" t="str">
        <f>HYPERLINK("http://www.ensembl.org/id/WBGene00010855", "WBGene00010855")</f>
        <v>WBGene00010855</v>
      </c>
      <c r="B12632" s="9" t="str">
        <f>HYPERLINK("http://www.ncbi.nlm.nih.gov/gene/3565595", "3565595")</f>
        <v>3565595</v>
      </c>
      <c r="C12632" s="9"/>
      <c r="D12632" t="str">
        <f>"M04C7.4"</f>
        <v>M04C7.4</v>
      </c>
      <c r="F12632" t="s">
        <v>11</v>
      </c>
      <c r="G12632" t="s">
        <v>25</v>
      </c>
      <c r="H12632" s="12">
        <v>2.4301809267013299</v>
      </c>
      <c r="I12632" s="20">
        <v>1.15081547307108</v>
      </c>
      <c r="J12632" s="28">
        <v>0.249808157788174</v>
      </c>
      <c r="K12632" s="29">
        <v>0.98289565623980701</v>
      </c>
    </row>
    <row r="12633" spans="1:11" x14ac:dyDescent="0.35">
      <c r="A12633" s="9" t="str">
        <f>HYPERLINK("http://www.ensembl.org/id/WBGene00010856", "WBGene00010856")</f>
        <v>WBGene00010856</v>
      </c>
      <c r="B12633" s="9" t="str">
        <f>HYPERLINK("http://www.ncbi.nlm.nih.gov/gene/187438", "187438")</f>
        <v>187438</v>
      </c>
      <c r="C12633" s="9" t="str">
        <f>HYPERLINK("http://www.ncbi.nlm.nih.gov/gene/54858", "54858")</f>
        <v>54858</v>
      </c>
      <c r="D12633" t="str">
        <f>"M04C9.1"</f>
        <v>M04C9.1</v>
      </c>
      <c r="F12633" t="s">
        <v>11</v>
      </c>
      <c r="G12633" t="s">
        <v>4311</v>
      </c>
      <c r="H12633" s="12">
        <v>-1.27983032834651</v>
      </c>
      <c r="I12633" s="20">
        <v>-0.43389392993026699</v>
      </c>
      <c r="J12633" s="28">
        <v>0.66436546786499495</v>
      </c>
      <c r="K12633" s="29">
        <v>0.98289565623980701</v>
      </c>
    </row>
    <row r="12634" spans="1:11" x14ac:dyDescent="0.35">
      <c r="A12634" s="9" t="str">
        <f>HYPERLINK("http://www.ensembl.org/id/WBGene00010858", "WBGene00010858")</f>
        <v>WBGene00010858</v>
      </c>
      <c r="B12634" s="9" t="str">
        <f>HYPERLINK("http://www.ncbi.nlm.nih.gov/gene/187440", "187440")</f>
        <v>187440</v>
      </c>
      <c r="C12634" s="9" t="str">
        <f>HYPERLINK("http://www.ncbi.nlm.nih.gov/gene/54858", "54858")</f>
        <v>54858</v>
      </c>
      <c r="D12634" t="str">
        <f>"M04C9.3"</f>
        <v>M04C9.3</v>
      </c>
      <c r="F12634" t="s">
        <v>11</v>
      </c>
      <c r="G12634" t="s">
        <v>5577</v>
      </c>
      <c r="H12634" s="12">
        <v>1.14254524248442</v>
      </c>
      <c r="I12634" s="20">
        <v>0.563762430923341</v>
      </c>
      <c r="J12634" s="28">
        <v>0.57291582297369104</v>
      </c>
      <c r="K12634" s="29">
        <v>0.98289565623980701</v>
      </c>
    </row>
    <row r="12635" spans="1:11" x14ac:dyDescent="0.35">
      <c r="A12635" s="9" t="str">
        <f>HYPERLINK("http://www.ensembl.org/id/WBGene00010859", "WBGene00010859")</f>
        <v>WBGene00010859</v>
      </c>
      <c r="B12635" s="9" t="str">
        <f>HYPERLINK("http://www.ncbi.nlm.nih.gov/gene/187441", "187441")</f>
        <v>187441</v>
      </c>
      <c r="C12635" s="9"/>
      <c r="D12635" t="str">
        <f>"M04C9.4"</f>
        <v>M04C9.4</v>
      </c>
      <c r="F12635" t="s">
        <v>11</v>
      </c>
      <c r="H12635" s="12">
        <v>-1.61644161796791</v>
      </c>
      <c r="I12635" s="20">
        <v>-0.84262965431400705</v>
      </c>
      <c r="J12635" s="28">
        <v>0.39943560082018198</v>
      </c>
      <c r="K12635" s="29">
        <v>0.98289565623980701</v>
      </c>
    </row>
    <row r="12636" spans="1:11" x14ac:dyDescent="0.35">
      <c r="A12636" s="9" t="str">
        <f>HYPERLINK("http://www.ensembl.org/id/WBGene00198335", "WBGene00198335")</f>
        <v>WBGene00198335</v>
      </c>
      <c r="B12636" s="9"/>
      <c r="C12636" s="9"/>
      <c r="D12636" t="str">
        <f>"M04C9.9"</f>
        <v>M04C9.9</v>
      </c>
      <c r="F12636" t="s">
        <v>481</v>
      </c>
      <c r="H12636" s="12">
        <v>13.2083681824683</v>
      </c>
      <c r="I12636" s="20">
        <v>0.79736709025154395</v>
      </c>
      <c r="J12636" s="28">
        <v>0.42523786651974499</v>
      </c>
      <c r="K12636" s="29">
        <v>0.98289565623980701</v>
      </c>
    </row>
    <row r="12637" spans="1:11" x14ac:dyDescent="0.35">
      <c r="A12637" s="9" t="str">
        <f>HYPERLINK("http://www.ensembl.org/id/WBGene00014807", "WBGene00014807")</f>
        <v>WBGene00014807</v>
      </c>
      <c r="B12637" s="9" t="str">
        <f>HYPERLINK("http://www.ncbi.nlm.nih.gov/gene/13182108", "13182108")</f>
        <v>13182108</v>
      </c>
      <c r="C12637" s="9"/>
      <c r="D12637" t="str">
        <f>"M04D5.1"</f>
        <v>M04D5.1</v>
      </c>
      <c r="F12637" t="s">
        <v>11</v>
      </c>
      <c r="G12637" t="s">
        <v>4521</v>
      </c>
      <c r="H12637" s="12">
        <v>1.7769241473114701</v>
      </c>
      <c r="I12637" s="20">
        <v>0.57703524049545096</v>
      </c>
      <c r="J12637" s="28">
        <v>0.56391564970798602</v>
      </c>
      <c r="K12637" s="29">
        <v>0.98289565623980701</v>
      </c>
    </row>
    <row r="12638" spans="1:11" x14ac:dyDescent="0.35">
      <c r="A12638" s="9" t="str">
        <f>HYPERLINK("http://www.ensembl.org/id/WBGene00010862", "WBGene00010862")</f>
        <v>WBGene00010862</v>
      </c>
      <c r="B12638" s="9" t="str">
        <f>HYPERLINK("http://www.ncbi.nlm.nih.gov/gene/187443", "187443")</f>
        <v>187443</v>
      </c>
      <c r="C12638" s="9"/>
      <c r="D12638" t="str">
        <f>"M04D8.4"</f>
        <v>M04D8.4</v>
      </c>
      <c r="F12638" t="s">
        <v>11</v>
      </c>
      <c r="G12638" t="s">
        <v>25</v>
      </c>
      <c r="H12638" s="12">
        <v>2.3893468495514898</v>
      </c>
      <c r="I12638" s="20">
        <v>0.25323547253672701</v>
      </c>
      <c r="J12638" s="28">
        <v>0.80008625651646104</v>
      </c>
      <c r="K12638" s="29">
        <v>0.98289565623980701</v>
      </c>
    </row>
    <row r="12639" spans="1:11" x14ac:dyDescent="0.35">
      <c r="A12639" s="9" t="str">
        <f>HYPERLINK("http://www.ensembl.org/id/WBGene00010863", "WBGene00010863")</f>
        <v>WBGene00010863</v>
      </c>
      <c r="B12639" s="9" t="str">
        <f>HYPERLINK("http://www.ncbi.nlm.nih.gov/gene/187444", "187444")</f>
        <v>187444</v>
      </c>
      <c r="C12639" s="9"/>
      <c r="D12639" t="str">
        <f>"M04D8.5"</f>
        <v>M04D8.5</v>
      </c>
      <c r="F12639" t="s">
        <v>11</v>
      </c>
      <c r="G12639" t="s">
        <v>25</v>
      </c>
      <c r="H12639" s="12">
        <v>5.2954185682811996</v>
      </c>
      <c r="I12639" s="20">
        <v>0.58847157202951395</v>
      </c>
      <c r="J12639" s="28">
        <v>0.55621580972939799</v>
      </c>
      <c r="K12639" s="29">
        <v>0.98289565623980701</v>
      </c>
    </row>
    <row r="12640" spans="1:11" x14ac:dyDescent="0.35">
      <c r="A12640" s="9" t="str">
        <f>HYPERLINK("http://www.ensembl.org/id/WBGene00019768", "WBGene00019768")</f>
        <v>WBGene00019768</v>
      </c>
      <c r="B12640" s="9" t="str">
        <f>HYPERLINK("http://www.ncbi.nlm.nih.gov/gene/187447", "187447")</f>
        <v>187447</v>
      </c>
      <c r="C12640" s="9"/>
      <c r="D12640" t="str">
        <f>"M04F3.2"</f>
        <v>M04F3.2</v>
      </c>
      <c r="F12640" t="s">
        <v>11</v>
      </c>
      <c r="H12640" s="12">
        <v>1.34574679477262</v>
      </c>
      <c r="I12640" s="20">
        <v>0.82084958122650897</v>
      </c>
      <c r="J12640" s="28">
        <v>0.41173195281603597</v>
      </c>
      <c r="K12640" s="29">
        <v>0.98289565623980701</v>
      </c>
    </row>
    <row r="12641" spans="1:11" x14ac:dyDescent="0.35">
      <c r="A12641" s="9" t="str">
        <f>HYPERLINK("http://www.ensembl.org/id/WBGene00019770", "WBGene00019770")</f>
        <v>WBGene00019770</v>
      </c>
      <c r="B12641" s="9" t="str">
        <f>HYPERLINK("http://www.ncbi.nlm.nih.gov/gene/187448", "187448")</f>
        <v>187448</v>
      </c>
      <c r="C12641" s="9" t="str">
        <f>HYPERLINK("http://www.ncbi.nlm.nih.gov/gene/10016", "10016")</f>
        <v>10016</v>
      </c>
      <c r="D12641" t="str">
        <f>"M04F3.4"</f>
        <v>M04F3.4</v>
      </c>
      <c r="F12641" t="s">
        <v>11</v>
      </c>
      <c r="G12641" t="s">
        <v>325</v>
      </c>
      <c r="H12641" s="12">
        <v>-1.24422394122202</v>
      </c>
      <c r="I12641" s="20">
        <v>-1.1973887332756099</v>
      </c>
      <c r="J12641" s="28">
        <v>0.231155073035539</v>
      </c>
      <c r="K12641" s="29">
        <v>0.98289565623980701</v>
      </c>
    </row>
    <row r="12642" spans="1:11" x14ac:dyDescent="0.35">
      <c r="A12642" s="9" t="str">
        <f>HYPERLINK("http://www.ensembl.org/id/WBGene00019771", "WBGene00019771")</f>
        <v>WBGene00019771</v>
      </c>
      <c r="B12642" s="9" t="str">
        <f>HYPERLINK("http://www.ncbi.nlm.nih.gov/gene/172093", "172093")</f>
        <v>172093</v>
      </c>
      <c r="C12642" s="9"/>
      <c r="D12642" t="str">
        <f>"M04F3.5"</f>
        <v>M04F3.5</v>
      </c>
      <c r="F12642" t="s">
        <v>11</v>
      </c>
      <c r="G12642" t="s">
        <v>7183</v>
      </c>
      <c r="H12642" s="12">
        <v>-1.11189776726263</v>
      </c>
      <c r="I12642" s="20">
        <v>-0.55222665271028004</v>
      </c>
      <c r="J12642" s="28">
        <v>0.58079307589764695</v>
      </c>
      <c r="K12642" s="29">
        <v>0.98289565623980701</v>
      </c>
    </row>
    <row r="12643" spans="1:11" x14ac:dyDescent="0.35">
      <c r="A12643" s="9" t="str">
        <f>HYPERLINK("http://www.ensembl.org/id/WBGene00284852", "WBGene00284852")</f>
        <v>WBGene00284852</v>
      </c>
      <c r="B12643" s="9"/>
      <c r="C12643" s="9"/>
      <c r="D12643" t="str">
        <f>"M04F3.7"</f>
        <v>M04F3.7</v>
      </c>
      <c r="F12643" t="s">
        <v>1510</v>
      </c>
      <c r="H12643" s="12">
        <v>1.20420776704719</v>
      </c>
      <c r="I12643" s="20">
        <v>0.50402680333639505</v>
      </c>
      <c r="J12643" s="28">
        <v>0.61424254191869498</v>
      </c>
      <c r="K12643" s="29">
        <v>0.98289565623980701</v>
      </c>
    </row>
    <row r="12644" spans="1:11" x14ac:dyDescent="0.35">
      <c r="A12644" s="9" t="str">
        <f>HYPERLINK("http://www.ensembl.org/id/WBGene00010869", "WBGene00010869")</f>
        <v>WBGene00010869</v>
      </c>
      <c r="B12644" s="9" t="str">
        <f>HYPERLINK("http://www.ncbi.nlm.nih.gov/gene/187450", "187450")</f>
        <v>187450</v>
      </c>
      <c r="C12644" s="9"/>
      <c r="D12644" t="str">
        <f>"M05B5.1"</f>
        <v>M05B5.1</v>
      </c>
      <c r="F12644" t="s">
        <v>11</v>
      </c>
      <c r="G12644" t="s">
        <v>4317</v>
      </c>
      <c r="H12644" s="12">
        <v>-1.2984926841814901</v>
      </c>
      <c r="I12644" s="20">
        <v>-0.27482830968696498</v>
      </c>
      <c r="J12644" s="28">
        <v>0.78344814728180401</v>
      </c>
      <c r="K12644" s="29">
        <v>0.98289565623980701</v>
      </c>
    </row>
    <row r="12645" spans="1:11" x14ac:dyDescent="0.35">
      <c r="A12645" s="9" t="str">
        <f>HYPERLINK("http://www.ensembl.org/id/WBGene00010872", "WBGene00010872")</f>
        <v>WBGene00010872</v>
      </c>
      <c r="B12645" s="9" t="str">
        <f>HYPERLINK("http://www.ncbi.nlm.nih.gov/gene/172457", "172457")</f>
        <v>172457</v>
      </c>
      <c r="C12645" s="9" t="str">
        <f>HYPERLINK("http://www.ncbi.nlm.nih.gov/gene/23659", "23659")</f>
        <v>23659</v>
      </c>
      <c r="D12645" t="str">
        <f>"M05B5.4"</f>
        <v>M05B5.4</v>
      </c>
      <c r="F12645" t="s">
        <v>11</v>
      </c>
      <c r="G12645" t="s">
        <v>8537</v>
      </c>
      <c r="H12645" s="12">
        <v>-1.1825350994880699</v>
      </c>
      <c r="I12645" s="20">
        <v>-0.84516815353772601</v>
      </c>
      <c r="J12645" s="28">
        <v>0.39801696043225698</v>
      </c>
      <c r="K12645" s="29">
        <v>0.98289565623980701</v>
      </c>
    </row>
    <row r="12646" spans="1:11" x14ac:dyDescent="0.35">
      <c r="A12646" s="9" t="str">
        <f>HYPERLINK("http://www.ensembl.org/id/WBGene00194654", "WBGene00194654")</f>
        <v>WBGene00194654</v>
      </c>
      <c r="B12646" s="9" t="str">
        <f>HYPERLINK("http://www.ncbi.nlm.nih.gov/gene/13180816", "13180816")</f>
        <v>13180816</v>
      </c>
      <c r="C12646" s="9"/>
      <c r="D12646" t="str">
        <f>"M05B5.7"</f>
        <v>M05B5.7</v>
      </c>
      <c r="F12646" t="s">
        <v>11</v>
      </c>
      <c r="G12646" t="s">
        <v>25</v>
      </c>
      <c r="H12646" s="12">
        <v>-1.67554783862862</v>
      </c>
      <c r="I12646" s="20">
        <v>-0.296038069406585</v>
      </c>
      <c r="J12646" s="28">
        <v>0.76720100850995299</v>
      </c>
      <c r="K12646" s="29">
        <v>0.98289565623980701</v>
      </c>
    </row>
    <row r="12647" spans="1:11" x14ac:dyDescent="0.35">
      <c r="A12647" s="9" t="str">
        <f>HYPERLINK("http://www.ensembl.org/id/WBGene00199992", "WBGene00199992")</f>
        <v>WBGene00199992</v>
      </c>
      <c r="B12647" s="9"/>
      <c r="C12647" s="9"/>
      <c r="D12647" t="str">
        <f>"M05B5.9"</f>
        <v>M05B5.9</v>
      </c>
      <c r="F12647" t="s">
        <v>481</v>
      </c>
      <c r="H12647" s="12">
        <v>-5.8112743568295402</v>
      </c>
      <c r="I12647" s="20">
        <v>-0.65308305132984301</v>
      </c>
      <c r="J12647" s="28">
        <v>0.51370273815078205</v>
      </c>
      <c r="K12647" s="29">
        <v>0.98289565623980701</v>
      </c>
    </row>
    <row r="12648" spans="1:11" x14ac:dyDescent="0.35">
      <c r="A12648" s="9" t="str">
        <f>HYPERLINK("http://www.ensembl.org/id/WBGene00044168", "WBGene00044168")</f>
        <v>WBGene00044168</v>
      </c>
      <c r="B12648" s="9"/>
      <c r="C12648" s="9"/>
      <c r="D12648" t="str">
        <f>"M05D6.10"</f>
        <v>M05D6.10</v>
      </c>
      <c r="F12648" t="s">
        <v>80</v>
      </c>
      <c r="H12648" s="12">
        <v>-1.3570379607371701</v>
      </c>
      <c r="I12648" s="20">
        <v>-0.46275876206298799</v>
      </c>
      <c r="J12648" s="28">
        <v>0.64353729309757202</v>
      </c>
      <c r="K12648" s="29">
        <v>0.98289565623980701</v>
      </c>
    </row>
    <row r="12649" spans="1:11" x14ac:dyDescent="0.35">
      <c r="A12649" s="9" t="str">
        <f>HYPERLINK("http://www.ensembl.org/id/WBGene00010878", "WBGene00010878")</f>
        <v>WBGene00010878</v>
      </c>
      <c r="B12649" s="9" t="str">
        <f>HYPERLINK("http://www.ncbi.nlm.nih.gov/gene/174357", "174357")</f>
        <v>174357</v>
      </c>
      <c r="C12649" s="9"/>
      <c r="D12649" t="str">
        <f>"M05D6.5"</f>
        <v>M05D6.5</v>
      </c>
      <c r="F12649" t="s">
        <v>11</v>
      </c>
      <c r="G12649" t="s">
        <v>8243</v>
      </c>
      <c r="H12649" s="12">
        <v>-1.1672817031784799</v>
      </c>
      <c r="I12649" s="20">
        <v>-0.72993749722174395</v>
      </c>
      <c r="J12649" s="28">
        <v>0.46542839059785202</v>
      </c>
      <c r="K12649" s="29">
        <v>0.98289565623980701</v>
      </c>
    </row>
    <row r="12650" spans="1:11" x14ac:dyDescent="0.35">
      <c r="A12650" s="9" t="str">
        <f>HYPERLINK("http://www.ensembl.org/id/WBGene00010880", "WBGene00010880")</f>
        <v>WBGene00010880</v>
      </c>
      <c r="B12650" s="9" t="str">
        <f>HYPERLINK("http://www.ncbi.nlm.nih.gov/gene/3565415", "3565415")</f>
        <v>3565415</v>
      </c>
      <c r="C12650" s="9"/>
      <c r="D12650" t="str">
        <f>"M05D6.8"</f>
        <v>M05D6.8</v>
      </c>
      <c r="F12650" t="s">
        <v>11</v>
      </c>
      <c r="H12650" s="12">
        <v>1.3000070714068599</v>
      </c>
      <c r="I12650" s="20">
        <v>0.31806790702307602</v>
      </c>
      <c r="J12650" s="28">
        <v>0.75043342694293003</v>
      </c>
      <c r="K12650" s="29">
        <v>0.98289565623980701</v>
      </c>
    </row>
    <row r="12651" spans="1:11" x14ac:dyDescent="0.35">
      <c r="A12651" s="9" t="str">
        <f>HYPERLINK("http://www.ensembl.org/id/WBGene00010881", "WBGene00010881")</f>
        <v>WBGene00010881</v>
      </c>
      <c r="B12651" s="9" t="str">
        <f>HYPERLINK("http://www.ncbi.nlm.nih.gov/gene/3564998", "3564998")</f>
        <v>3564998</v>
      </c>
      <c r="C12651" s="9"/>
      <c r="D12651" t="str">
        <f>"M05D6.9"</f>
        <v>M05D6.9</v>
      </c>
      <c r="F12651" t="s">
        <v>11</v>
      </c>
      <c r="H12651" s="12">
        <v>1.4348648417968</v>
      </c>
      <c r="I12651" s="20">
        <v>0.71825840922662199</v>
      </c>
      <c r="J12651" s="28">
        <v>0.47259796943058302</v>
      </c>
      <c r="K12651" s="29">
        <v>0.98289565623980701</v>
      </c>
    </row>
    <row r="12652" spans="1:11" x14ac:dyDescent="0.35">
      <c r="A12652" s="9" t="str">
        <f>HYPERLINK("http://www.ensembl.org/id/WBGene00010910", "WBGene00010910")</f>
        <v>WBGene00010910</v>
      </c>
      <c r="B12652" s="9" t="str">
        <f>HYPERLINK("http://www.ncbi.nlm.nih.gov/gene/174670", "174670")</f>
        <v>174670</v>
      </c>
      <c r="C12652" s="9"/>
      <c r="D12652" t="str">
        <f>"M106.2"</f>
        <v>M106.2</v>
      </c>
      <c r="F12652" t="s">
        <v>11</v>
      </c>
      <c r="G12652" t="s">
        <v>9310</v>
      </c>
      <c r="H12652" s="12">
        <v>-1.2367137939194</v>
      </c>
      <c r="I12652" s="20">
        <v>-1.09604887976312</v>
      </c>
      <c r="J12652" s="28">
        <v>0.27305738417883402</v>
      </c>
      <c r="K12652" s="29">
        <v>0.98289565623980701</v>
      </c>
    </row>
    <row r="12653" spans="1:11" x14ac:dyDescent="0.35">
      <c r="A12653" s="9" t="str">
        <f>HYPERLINK("http://www.ensembl.org/id/WBGene00010911", "WBGene00010911")</f>
        <v>WBGene00010911</v>
      </c>
      <c r="B12653" s="9" t="str">
        <f>HYPERLINK("http://www.ncbi.nlm.nih.gov/gene/174671", "174671")</f>
        <v>174671</v>
      </c>
      <c r="C12653" s="9" t="str">
        <f>HYPERLINK("http://www.ncbi.nlm.nih.gov/gene/145482", "145482")</f>
        <v>145482</v>
      </c>
      <c r="D12653" t="str">
        <f>"M106.3"</f>
        <v>M106.3</v>
      </c>
      <c r="F12653" t="s">
        <v>11</v>
      </c>
      <c r="G12653" t="s">
        <v>7824</v>
      </c>
      <c r="H12653" s="12">
        <v>-1.1469226296505599</v>
      </c>
      <c r="I12653" s="20">
        <v>-0.73926794670080698</v>
      </c>
      <c r="J12653" s="28">
        <v>0.45974430887817802</v>
      </c>
      <c r="K12653" s="29">
        <v>0.98289565623980701</v>
      </c>
    </row>
    <row r="12654" spans="1:11" x14ac:dyDescent="0.35">
      <c r="A12654" s="9" t="str">
        <f>HYPERLINK("http://www.ensembl.org/id/WBGene00014447", "WBGene00014447")</f>
        <v>WBGene00014447</v>
      </c>
      <c r="B12654" s="9"/>
      <c r="C12654" s="9"/>
      <c r="D12654" t="str">
        <f>"M106.6"</f>
        <v>M106.6</v>
      </c>
      <c r="F12654" t="s">
        <v>2977</v>
      </c>
      <c r="H12654" s="12">
        <v>-3.7261494131482999</v>
      </c>
      <c r="I12654" s="20">
        <v>-0.38454673129429601</v>
      </c>
      <c r="J12654" s="28">
        <v>0.70057326682554</v>
      </c>
      <c r="K12654" s="29">
        <v>0.98289565623980701</v>
      </c>
    </row>
    <row r="12655" spans="1:11" x14ac:dyDescent="0.35">
      <c r="A12655" s="9" t="str">
        <f>HYPERLINK("http://www.ensembl.org/id/WBGene00044924", "WBGene00044924")</f>
        <v>WBGene00044924</v>
      </c>
      <c r="B12655" s="9" t="str">
        <f>HYPERLINK("http://www.ncbi.nlm.nih.gov/gene/4926972", "4926972")</f>
        <v>4926972</v>
      </c>
      <c r="C12655" s="9"/>
      <c r="D12655" t="str">
        <f>"M106.7"</f>
        <v>M106.7</v>
      </c>
      <c r="F12655" t="s">
        <v>11</v>
      </c>
      <c r="G12655" t="s">
        <v>9086</v>
      </c>
      <c r="H12655" s="12">
        <v>-1.2193598122465099</v>
      </c>
      <c r="I12655" s="20">
        <v>-0.76474743823527402</v>
      </c>
      <c r="J12655" s="28">
        <v>0.44442195216938502</v>
      </c>
      <c r="K12655" s="29">
        <v>0.98289565623980701</v>
      </c>
    </row>
    <row r="12656" spans="1:11" x14ac:dyDescent="0.35">
      <c r="A12656" s="9" t="str">
        <f>HYPERLINK("http://www.ensembl.org/id/WBGene00077658", "WBGene00077658")</f>
        <v>WBGene00077658</v>
      </c>
      <c r="B12656" s="9" t="str">
        <f>HYPERLINK("http://www.ncbi.nlm.nih.gov/gene/6418631", "6418631")</f>
        <v>6418631</v>
      </c>
      <c r="C12656" s="9"/>
      <c r="D12656" t="str">
        <f>"M106.8"</f>
        <v>M106.8</v>
      </c>
      <c r="F12656" t="s">
        <v>11</v>
      </c>
      <c r="G12656" t="s">
        <v>25</v>
      </c>
      <c r="H12656" s="12">
        <v>-1.24310944207192</v>
      </c>
      <c r="I12656" s="20">
        <v>-1.0180686129251999</v>
      </c>
      <c r="J12656" s="28">
        <v>0.30864535019638201</v>
      </c>
      <c r="K12656" s="29">
        <v>0.98289565623980701</v>
      </c>
    </row>
    <row r="12657" spans="1:11" x14ac:dyDescent="0.35">
      <c r="A12657" s="9" t="str">
        <f>HYPERLINK("http://www.ensembl.org/id/WBGene00010915", "WBGene00010915")</f>
        <v>WBGene00010915</v>
      </c>
      <c r="B12657" s="9" t="str">
        <f>HYPERLINK("http://www.ncbi.nlm.nih.gov/gene/187474", "187474")</f>
        <v>187474</v>
      </c>
      <c r="C12657" s="9" t="str">
        <f>HYPERLINK("http://www.ncbi.nlm.nih.gov/gene/375775", "375775")</f>
        <v>375775</v>
      </c>
      <c r="D12657" t="str">
        <f>"M110.7"</f>
        <v>M110.7</v>
      </c>
      <c r="E12657" t="s">
        <v>10029</v>
      </c>
      <c r="F12657" t="s">
        <v>11</v>
      </c>
      <c r="G12657" t="s">
        <v>10030</v>
      </c>
      <c r="H12657" s="12">
        <v>-1.8749817538576501</v>
      </c>
      <c r="I12657" s="20">
        <v>-0.40298661417825798</v>
      </c>
      <c r="J12657" s="28">
        <v>0.68695807184654101</v>
      </c>
      <c r="K12657" s="29">
        <v>0.98289565623980701</v>
      </c>
    </row>
    <row r="12658" spans="1:11" x14ac:dyDescent="0.35">
      <c r="A12658" s="9" t="str">
        <f>HYPERLINK("http://www.ensembl.org/id/WBGene00010917", "WBGene00010917")</f>
        <v>WBGene00010917</v>
      </c>
      <c r="B12658" s="9" t="str">
        <f>HYPERLINK("http://www.ncbi.nlm.nih.gov/gene/3564934", "3564934")</f>
        <v>3564934</v>
      </c>
      <c r="C12658" s="9"/>
      <c r="D12658" t="str">
        <f>"M110.9"</f>
        <v>M110.9</v>
      </c>
      <c r="F12658" t="s">
        <v>11</v>
      </c>
      <c r="H12658" s="12">
        <v>-3.0527739414926298</v>
      </c>
      <c r="I12658" s="20">
        <v>-0.73305372675430602</v>
      </c>
      <c r="J12658" s="28">
        <v>0.463525661292504</v>
      </c>
      <c r="K12658" s="29">
        <v>0.98289565623980701</v>
      </c>
    </row>
    <row r="12659" spans="1:11" x14ac:dyDescent="0.35">
      <c r="A12659" s="9" t="str">
        <f>HYPERLINK("http://www.ensembl.org/id/WBGene00019788", "WBGene00019788")</f>
        <v>WBGene00019788</v>
      </c>
      <c r="B12659" s="9" t="str">
        <f>HYPERLINK("http://www.ncbi.nlm.nih.gov/gene/177641", "177641")</f>
        <v>177641</v>
      </c>
      <c r="C12659" s="9"/>
      <c r="D12659" t="str">
        <f>"M116.1"</f>
        <v>M116.1</v>
      </c>
      <c r="E12659" t="s">
        <v>90</v>
      </c>
      <c r="F12659" t="s">
        <v>11</v>
      </c>
      <c r="G12659" t="s">
        <v>54</v>
      </c>
      <c r="H12659" s="12">
        <v>-3.7261494131482999</v>
      </c>
      <c r="I12659" s="20">
        <v>-0.38454673129429601</v>
      </c>
      <c r="J12659" s="28">
        <v>0.70057326682554</v>
      </c>
      <c r="K12659" s="29">
        <v>0.98289565623980701</v>
      </c>
    </row>
    <row r="12660" spans="1:11" x14ac:dyDescent="0.35">
      <c r="A12660" s="9" t="str">
        <f>HYPERLINK("http://www.ensembl.org/id/WBGene00019789", "WBGene00019789")</f>
        <v>WBGene00019789</v>
      </c>
      <c r="B12660" s="9"/>
      <c r="C12660" s="9"/>
      <c r="D12660" t="str">
        <f>"M116.2"</f>
        <v>M116.2</v>
      </c>
      <c r="F12660" t="s">
        <v>80</v>
      </c>
      <c r="H12660" s="12">
        <v>-1.0868171716460899</v>
      </c>
      <c r="I12660" s="20">
        <v>-0.25549174406428699</v>
      </c>
      <c r="J12660" s="28">
        <v>0.79834331936064495</v>
      </c>
      <c r="K12660" s="29">
        <v>0.98289565623980701</v>
      </c>
    </row>
    <row r="12661" spans="1:11" x14ac:dyDescent="0.35">
      <c r="A12661" s="9" t="str">
        <f>HYPERLINK("http://www.ensembl.org/id/WBGene00200601", "WBGene00200601")</f>
        <v>WBGene00200601</v>
      </c>
      <c r="B12661" s="9"/>
      <c r="C12661" s="9"/>
      <c r="D12661" t="str">
        <f>"M117.12"</f>
        <v>M117.12</v>
      </c>
      <c r="F12661" t="s">
        <v>481</v>
      </c>
      <c r="H12661" s="12">
        <v>3.5227018545059199</v>
      </c>
      <c r="I12661" s="20">
        <v>0.36849691206929103</v>
      </c>
      <c r="J12661" s="28">
        <v>0.71250274722433404</v>
      </c>
      <c r="K12661" s="29">
        <v>0.98289565623980701</v>
      </c>
    </row>
    <row r="12662" spans="1:11" x14ac:dyDescent="0.35">
      <c r="A12662" s="9" t="str">
        <f>HYPERLINK("http://www.ensembl.org/id/WBGene00010919", "WBGene00010919")</f>
        <v>WBGene00010919</v>
      </c>
      <c r="B12662" s="9" t="str">
        <f>HYPERLINK("http://www.ncbi.nlm.nih.gov/gene/187477", "187477")</f>
        <v>187477</v>
      </c>
      <c r="C12662" s="9"/>
      <c r="D12662" t="str">
        <f>"M117.3"</f>
        <v>M117.3</v>
      </c>
      <c r="F12662" t="s">
        <v>11</v>
      </c>
      <c r="H12662" s="12">
        <v>-1.53863928459871</v>
      </c>
      <c r="I12662" s="20">
        <v>-0.353479942521011</v>
      </c>
      <c r="J12662" s="28">
        <v>0.72372866304809402</v>
      </c>
      <c r="K12662" s="29">
        <v>0.98289565623980701</v>
      </c>
    </row>
    <row r="12663" spans="1:11" x14ac:dyDescent="0.35">
      <c r="A12663" s="9" t="str">
        <f>HYPERLINK("http://www.ensembl.org/id/WBGene00010920", "WBGene00010920")</f>
        <v>WBGene00010920</v>
      </c>
      <c r="B12663" s="9" t="str">
        <f>HYPERLINK("http://www.ncbi.nlm.nih.gov/gene/178114", "178114")</f>
        <v>178114</v>
      </c>
      <c r="C12663" s="9"/>
      <c r="D12663" t="str">
        <f>"M117.4"</f>
        <v>M117.4</v>
      </c>
      <c r="F12663" t="s">
        <v>11</v>
      </c>
      <c r="H12663" s="12">
        <v>1.8110853333445001</v>
      </c>
      <c r="I12663" s="20">
        <v>0.894999982916454</v>
      </c>
      <c r="J12663" s="28">
        <v>0.37078709710903701</v>
      </c>
      <c r="K12663" s="29">
        <v>0.98289565623980701</v>
      </c>
    </row>
    <row r="12664" spans="1:11" x14ac:dyDescent="0.35">
      <c r="A12664" s="9" t="str">
        <f>HYPERLINK("http://www.ensembl.org/id/WBGene00044253", "WBGene00044253")</f>
        <v>WBGene00044253</v>
      </c>
      <c r="B12664" s="9" t="str">
        <f>HYPERLINK("http://www.ncbi.nlm.nih.gov/gene/3565902", "3565902")</f>
        <v>3565902</v>
      </c>
      <c r="C12664" s="9"/>
      <c r="D12664" t="str">
        <f>"M117.6"</f>
        <v>M117.6</v>
      </c>
      <c r="F12664" t="s">
        <v>11</v>
      </c>
      <c r="G12664" t="s">
        <v>25</v>
      </c>
      <c r="H12664" s="12">
        <v>-1.46191248005345</v>
      </c>
      <c r="I12664" s="20">
        <v>-0.64195388765777806</v>
      </c>
      <c r="J12664" s="28">
        <v>0.52090312379959303</v>
      </c>
      <c r="K12664" s="29">
        <v>0.98289565623980701</v>
      </c>
    </row>
    <row r="12665" spans="1:11" x14ac:dyDescent="0.35">
      <c r="A12665" s="9" t="str">
        <f>HYPERLINK("http://www.ensembl.org/id/WBGene00195569", "WBGene00195569")</f>
        <v>WBGene00195569</v>
      </c>
      <c r="B12665" s="9"/>
      <c r="C12665" s="9"/>
      <c r="D12665" t="str">
        <f>"M117.9"</f>
        <v>M117.9</v>
      </c>
      <c r="F12665" t="s">
        <v>481</v>
      </c>
      <c r="H12665" s="12">
        <v>2.4578120077400301</v>
      </c>
      <c r="I12665" s="20">
        <v>0.26093350314551</v>
      </c>
      <c r="J12665" s="28">
        <v>0.79414378780213601</v>
      </c>
      <c r="K12665" s="29">
        <v>0.98289565623980701</v>
      </c>
    </row>
    <row r="12666" spans="1:11" x14ac:dyDescent="0.35">
      <c r="A12666" s="9" t="str">
        <f>HYPERLINK("http://www.ensembl.org/id/WBGene00014809", "WBGene00014809")</f>
        <v>WBGene00014809</v>
      </c>
      <c r="B12666" s="9"/>
      <c r="C12666" s="9"/>
      <c r="D12666" t="str">
        <f>"M142.3"</f>
        <v>M142.3</v>
      </c>
      <c r="F12666" t="s">
        <v>80</v>
      </c>
      <c r="H12666" s="12">
        <v>-1.3977677706504199</v>
      </c>
      <c r="I12666" s="20">
        <v>-0.53294203042375998</v>
      </c>
      <c r="J12666" s="28">
        <v>0.59407370925306502</v>
      </c>
      <c r="K12666" s="29">
        <v>0.98289565623980701</v>
      </c>
    </row>
    <row r="12667" spans="1:11" x14ac:dyDescent="0.35">
      <c r="A12667" s="9" t="str">
        <f>HYPERLINK("http://www.ensembl.org/id/WBGene00010922", "WBGene00010922")</f>
        <v>WBGene00010922</v>
      </c>
      <c r="B12667" s="9" t="str">
        <f>HYPERLINK("http://www.ncbi.nlm.nih.gov/gene/176523", "176523")</f>
        <v>176523</v>
      </c>
      <c r="C12667" s="9"/>
      <c r="D12667" t="str">
        <f>"M142.5"</f>
        <v>M142.5</v>
      </c>
      <c r="F12667" t="s">
        <v>11</v>
      </c>
      <c r="H12667" s="12">
        <v>-1.1674200982968901</v>
      </c>
      <c r="I12667" s="20">
        <v>-0.69055406835800204</v>
      </c>
      <c r="J12667" s="28">
        <v>0.489845820698395</v>
      </c>
      <c r="K12667" s="29">
        <v>0.98289565623980701</v>
      </c>
    </row>
    <row r="12668" spans="1:11" x14ac:dyDescent="0.35">
      <c r="A12668" s="9" t="str">
        <f>HYPERLINK("http://www.ensembl.org/id/WBGene00043057", "WBGene00043057")</f>
        <v>WBGene00043057</v>
      </c>
      <c r="B12668" s="9" t="str">
        <f>HYPERLINK("http://www.ncbi.nlm.nih.gov/gene/176524", "176524")</f>
        <v>176524</v>
      </c>
      <c r="C12668" s="9" t="str">
        <f>HYPERLINK("http://www.ncbi.nlm.nih.gov/gene/221143", "221143")</f>
        <v>221143</v>
      </c>
      <c r="D12668" t="str">
        <f>"M142.8"</f>
        <v>M142.8</v>
      </c>
      <c r="E12668" t="s">
        <v>9696</v>
      </c>
      <c r="F12668" t="s">
        <v>11</v>
      </c>
      <c r="G12668" t="s">
        <v>9697</v>
      </c>
      <c r="H12668" s="12">
        <v>-1.2828546365033699</v>
      </c>
      <c r="I12668" s="20">
        <v>-0.99007338264324596</v>
      </c>
      <c r="J12668" s="28">
        <v>0.32213825230468002</v>
      </c>
      <c r="K12668" s="29">
        <v>0.98289565623980701</v>
      </c>
    </row>
    <row r="12669" spans="1:11" x14ac:dyDescent="0.35">
      <c r="A12669" s="9" t="str">
        <f>HYPERLINK("http://www.ensembl.org/id/WBGene00019793", "WBGene00019793")</f>
        <v>WBGene00019793</v>
      </c>
      <c r="B12669" s="9" t="str">
        <f>HYPERLINK("http://www.ncbi.nlm.nih.gov/gene/173708", "173708")</f>
        <v>173708</v>
      </c>
      <c r="C12669" s="9"/>
      <c r="D12669" t="str">
        <f>"M151.1"</f>
        <v>M151.1</v>
      </c>
      <c r="F12669" t="s">
        <v>11</v>
      </c>
      <c r="H12669" s="12">
        <v>-2.19452468071532</v>
      </c>
      <c r="I12669" s="20">
        <v>-0.62319622143111397</v>
      </c>
      <c r="J12669" s="28">
        <v>0.53315558446900202</v>
      </c>
      <c r="K12669" s="29">
        <v>0.98289565623980701</v>
      </c>
    </row>
    <row r="12670" spans="1:11" x14ac:dyDescent="0.35">
      <c r="A12670" s="9" t="str">
        <f>HYPERLINK("http://www.ensembl.org/id/WBGene00219238", "WBGene00219238")</f>
        <v>WBGene00219238</v>
      </c>
      <c r="B12670" s="9"/>
      <c r="C12670" s="9"/>
      <c r="D12670" t="str">
        <f>"M151.9"</f>
        <v>M151.9</v>
      </c>
      <c r="F12670" t="s">
        <v>80</v>
      </c>
      <c r="H12670" s="12">
        <v>-2.2881348682749199</v>
      </c>
      <c r="I12670" s="20">
        <v>-0.44952133126545801</v>
      </c>
      <c r="J12670" s="28">
        <v>0.65305562370748804</v>
      </c>
      <c r="K12670" s="29">
        <v>0.98289565623980701</v>
      </c>
    </row>
    <row r="12671" spans="1:11" x14ac:dyDescent="0.35">
      <c r="A12671" s="9" t="str">
        <f>HYPERLINK("http://www.ensembl.org/id/WBGene00010924", "WBGene00010924")</f>
        <v>WBGene00010924</v>
      </c>
      <c r="B12671" s="9" t="str">
        <f>HYPERLINK("http://www.ncbi.nlm.nih.gov/gene/181380", "181380")</f>
        <v>181380</v>
      </c>
      <c r="C12671" s="9" t="str">
        <f>HYPERLINK("http://www.ncbi.nlm.nih.gov/gene/65263", "65263")</f>
        <v>65263</v>
      </c>
      <c r="D12671" t="str">
        <f>"M153.1"</f>
        <v>M153.1</v>
      </c>
      <c r="F12671" t="s">
        <v>11</v>
      </c>
      <c r="G12671" t="s">
        <v>7551</v>
      </c>
      <c r="H12671" s="12">
        <v>-1.1325066536411801</v>
      </c>
      <c r="I12671" s="20">
        <v>-0.51743142247568297</v>
      </c>
      <c r="J12671" s="28">
        <v>0.60485502931686697</v>
      </c>
      <c r="K12671" s="29">
        <v>0.98289565623980701</v>
      </c>
    </row>
    <row r="12672" spans="1:11" x14ac:dyDescent="0.35">
      <c r="A12672" s="9" t="str">
        <f>HYPERLINK("http://www.ensembl.org/id/WBGene00010925", "WBGene00010925")</f>
        <v>WBGene00010925</v>
      </c>
      <c r="B12672" s="9" t="str">
        <f>HYPERLINK("http://www.ncbi.nlm.nih.gov/gene/187483", "187483")</f>
        <v>187483</v>
      </c>
      <c r="C12672" s="9"/>
      <c r="D12672" t="str">
        <f>"M153.2"</f>
        <v>M153.2</v>
      </c>
      <c r="F12672" t="s">
        <v>11</v>
      </c>
      <c r="G12672" t="s">
        <v>25</v>
      </c>
      <c r="H12672" s="12">
        <v>1.24463716963252</v>
      </c>
      <c r="I12672" s="20">
        <v>0.68976004046643602</v>
      </c>
      <c r="J12672" s="28">
        <v>0.49034510158793398</v>
      </c>
      <c r="K12672" s="29">
        <v>0.98289565623980701</v>
      </c>
    </row>
    <row r="12673" spans="1:11" x14ac:dyDescent="0.35">
      <c r="A12673" s="9" t="str">
        <f>HYPERLINK("http://www.ensembl.org/id/WBGene00010926", "WBGene00010926")</f>
        <v>WBGene00010926</v>
      </c>
      <c r="B12673" s="9" t="str">
        <f>HYPERLINK("http://www.ncbi.nlm.nih.gov/gene/187484", "187484")</f>
        <v>187484</v>
      </c>
      <c r="C12673" s="9"/>
      <c r="D12673" t="str">
        <f>"M153.3"</f>
        <v>M153.3</v>
      </c>
      <c r="F12673" t="s">
        <v>11</v>
      </c>
      <c r="H12673" s="12">
        <v>-1.9639834104423499</v>
      </c>
      <c r="I12673" s="20">
        <v>-0.304963748067278</v>
      </c>
      <c r="J12673" s="28">
        <v>0.76039376277098603</v>
      </c>
      <c r="K12673" s="29">
        <v>0.98289565623980701</v>
      </c>
    </row>
    <row r="12674" spans="1:11" x14ac:dyDescent="0.35">
      <c r="A12674" s="9" t="str">
        <f>HYPERLINK("http://www.ensembl.org/id/WBGene00044144", "WBGene00044144")</f>
        <v>WBGene00044144</v>
      </c>
      <c r="B12674" s="9" t="str">
        <f>HYPERLINK("http://www.ncbi.nlm.nih.gov/gene/3565375", "3565375")</f>
        <v>3565375</v>
      </c>
      <c r="C12674" s="9" t="str">
        <f>HYPERLINK("http://www.ncbi.nlm.nih.gov/gene/133923", "133923")</f>
        <v>133923</v>
      </c>
      <c r="D12674" t="str">
        <f>"M153.4"</f>
        <v>M153.4</v>
      </c>
      <c r="F12674" t="s">
        <v>11</v>
      </c>
      <c r="H12674" s="12">
        <v>1.3186212735143401</v>
      </c>
      <c r="I12674" s="20">
        <v>1.05170835560029</v>
      </c>
      <c r="J12674" s="28">
        <v>0.29293337627889499</v>
      </c>
      <c r="K12674" s="29">
        <v>0.98289565623980701</v>
      </c>
    </row>
    <row r="12675" spans="1:11" x14ac:dyDescent="0.35">
      <c r="A12675" s="9" t="str">
        <f>HYPERLINK("http://www.ensembl.org/id/WBGene00045481", "WBGene00045481")</f>
        <v>WBGene00045481</v>
      </c>
      <c r="B12675" s="9" t="str">
        <f>HYPERLINK("http://www.ncbi.nlm.nih.gov/gene/6418862", "6418862")</f>
        <v>6418862</v>
      </c>
      <c r="C12675" s="9"/>
      <c r="D12675" t="str">
        <f>"M153.5"</f>
        <v>M153.5</v>
      </c>
      <c r="F12675" t="s">
        <v>11</v>
      </c>
      <c r="H12675" s="12">
        <v>2.7762273884023099</v>
      </c>
      <c r="I12675" s="20">
        <v>1.0658356076742901</v>
      </c>
      <c r="J12675" s="28">
        <v>0.28649796145839501</v>
      </c>
      <c r="K12675" s="29">
        <v>0.98289565623980701</v>
      </c>
    </row>
    <row r="12676" spans="1:11" x14ac:dyDescent="0.35">
      <c r="A12676" s="9" t="str">
        <f>HYPERLINK("http://www.ensembl.org/id/WBGene00077666", "WBGene00077666")</f>
        <v>WBGene00077666</v>
      </c>
      <c r="B12676" s="9"/>
      <c r="C12676" s="9"/>
      <c r="D12676" t="str">
        <f>"M162.13"</f>
        <v>M162.13</v>
      </c>
      <c r="F12676" t="s">
        <v>80</v>
      </c>
      <c r="H12676" s="12">
        <v>-3.7261494131482999</v>
      </c>
      <c r="I12676" s="20">
        <v>-0.38454673129429601</v>
      </c>
      <c r="J12676" s="28">
        <v>0.70057326682554</v>
      </c>
      <c r="K12676" s="29">
        <v>0.98289565623980701</v>
      </c>
    </row>
    <row r="12677" spans="1:11" x14ac:dyDescent="0.35">
      <c r="A12677" s="9" t="str">
        <f>HYPERLINK("http://www.ensembl.org/id/WBGene00010932", "WBGene00010932")</f>
        <v>WBGene00010932</v>
      </c>
      <c r="B12677" s="9"/>
      <c r="C12677" s="9"/>
      <c r="D12677" t="str">
        <f>"M162.6"</f>
        <v>M162.6</v>
      </c>
      <c r="F12677" t="s">
        <v>80</v>
      </c>
      <c r="H12677" s="12">
        <v>17.223130728813899</v>
      </c>
      <c r="I12677" s="20">
        <v>0.99938245926255598</v>
      </c>
      <c r="J12677" s="28">
        <v>0.31760945369935101</v>
      </c>
      <c r="K12677" s="29">
        <v>0.98289565623980701</v>
      </c>
    </row>
    <row r="12678" spans="1:11" x14ac:dyDescent="0.35">
      <c r="A12678" s="9" t="str">
        <f>HYPERLINK("http://www.ensembl.org/id/WBGene00010933", "WBGene00010933")</f>
        <v>WBGene00010933</v>
      </c>
      <c r="B12678" s="9" t="str">
        <f>HYPERLINK("http://www.ncbi.nlm.nih.gov/gene/187490", "187490")</f>
        <v>187490</v>
      </c>
      <c r="C12678" s="9"/>
      <c r="D12678" t="str">
        <f>"M162.7"</f>
        <v>M162.7</v>
      </c>
      <c r="F12678" t="s">
        <v>11</v>
      </c>
      <c r="H12678" s="12">
        <v>-1.5656854830920699</v>
      </c>
      <c r="I12678" s="20">
        <v>-0.349166967394062</v>
      </c>
      <c r="J12678" s="28">
        <v>0.72696396361182503</v>
      </c>
      <c r="K12678" s="29">
        <v>0.98289565623980701</v>
      </c>
    </row>
    <row r="12679" spans="1:11" x14ac:dyDescent="0.35">
      <c r="A12679" s="9" t="str">
        <f>HYPERLINK("http://www.ensembl.org/id/WBGene00014811", "WBGene00014811")</f>
        <v>WBGene00014811</v>
      </c>
      <c r="B12679" s="9"/>
      <c r="C12679" s="9"/>
      <c r="D12679" t="str">
        <f>"M162.9"</f>
        <v>M162.9</v>
      </c>
      <c r="F12679" t="s">
        <v>80</v>
      </c>
      <c r="H12679" s="12">
        <v>-2.0413956545873799</v>
      </c>
      <c r="I12679" s="20">
        <v>-0.943926808413453</v>
      </c>
      <c r="J12679" s="28">
        <v>0.34520705145393499</v>
      </c>
      <c r="K12679" s="29">
        <v>0.98289565623980701</v>
      </c>
    </row>
    <row r="12680" spans="1:11" x14ac:dyDescent="0.35">
      <c r="A12680" s="9" t="str">
        <f>HYPERLINK("http://www.ensembl.org/id/WBGene00010935", "WBGene00010935")</f>
        <v>WBGene00010935</v>
      </c>
      <c r="B12680" s="9" t="str">
        <f>HYPERLINK("http://www.ncbi.nlm.nih.gov/gene/181546", "181546")</f>
        <v>181546</v>
      </c>
      <c r="C12680" s="9"/>
      <c r="D12680" t="str">
        <f>"M163.1"</f>
        <v>M163.1</v>
      </c>
      <c r="F12680" t="s">
        <v>11</v>
      </c>
      <c r="H12680" s="12">
        <v>1.1023533251828399</v>
      </c>
      <c r="I12680" s="20">
        <v>0.50686827986303595</v>
      </c>
      <c r="J12680" s="28">
        <v>0.61224724352676296</v>
      </c>
      <c r="K12680" s="29">
        <v>0.98289565623980701</v>
      </c>
    </row>
    <row r="12681" spans="1:11" x14ac:dyDescent="0.35">
      <c r="A12681" s="9" t="str">
        <f>HYPERLINK("http://www.ensembl.org/id/WBGene00045158", "WBGene00045158")</f>
        <v>WBGene00045158</v>
      </c>
      <c r="B12681" s="9"/>
      <c r="C12681" s="9"/>
      <c r="D12681" t="str">
        <f>"M163.14"</f>
        <v>M163.14</v>
      </c>
      <c r="F12681" t="s">
        <v>2977</v>
      </c>
      <c r="H12681" s="12">
        <v>-3.7261494131482999</v>
      </c>
      <c r="I12681" s="20">
        <v>-0.38454673129429601</v>
      </c>
      <c r="J12681" s="28">
        <v>0.70057326682554</v>
      </c>
      <c r="K12681" s="29">
        <v>0.98289565623980701</v>
      </c>
    </row>
    <row r="12682" spans="1:11" x14ac:dyDescent="0.35">
      <c r="A12682" s="9" t="str">
        <f>HYPERLINK("http://www.ensembl.org/id/WBGene00197597", "WBGene00197597")</f>
        <v>WBGene00197597</v>
      </c>
      <c r="B12682" s="9"/>
      <c r="C12682" s="9"/>
      <c r="D12682" t="str">
        <f>"M163.17"</f>
        <v>M163.17</v>
      </c>
      <c r="F12682" t="s">
        <v>481</v>
      </c>
      <c r="H12682" s="12">
        <v>-2.4991590031922399</v>
      </c>
      <c r="I12682" s="20">
        <v>-0.26577412737581302</v>
      </c>
      <c r="J12682" s="28">
        <v>0.79041317015736101</v>
      </c>
      <c r="K12682" s="29">
        <v>0.98289565623980701</v>
      </c>
    </row>
    <row r="12683" spans="1:11" x14ac:dyDescent="0.35">
      <c r="A12683" s="9" t="str">
        <f>HYPERLINK("http://www.ensembl.org/id/WBGene00304194", "WBGene00304194")</f>
        <v>WBGene00304194</v>
      </c>
      <c r="B12683" s="9"/>
      <c r="C12683" s="9"/>
      <c r="D12683" t="str">
        <f>"M163.21"</f>
        <v>M163.21</v>
      </c>
      <c r="F12683" t="s">
        <v>11</v>
      </c>
      <c r="H12683" s="12">
        <v>-3.7261494131482999</v>
      </c>
      <c r="I12683" s="20">
        <v>-0.38454673129429601</v>
      </c>
      <c r="J12683" s="28">
        <v>0.70057326682554</v>
      </c>
      <c r="K12683" s="29">
        <v>0.98289565623980701</v>
      </c>
    </row>
    <row r="12684" spans="1:11" x14ac:dyDescent="0.35">
      <c r="A12684" s="9" t="str">
        <f>HYPERLINK("http://www.ensembl.org/id/WBGene00010937", "WBGene00010937")</f>
        <v>WBGene00010937</v>
      </c>
      <c r="B12684" s="9" t="str">
        <f>HYPERLINK("http://www.ncbi.nlm.nih.gov/gene/187493", "187493")</f>
        <v>187493</v>
      </c>
      <c r="C12684" s="9"/>
      <c r="D12684" t="str">
        <f>"M163.5"</f>
        <v>M163.5</v>
      </c>
      <c r="F12684" t="s">
        <v>11</v>
      </c>
      <c r="H12684" s="12">
        <v>3.5109083563192001</v>
      </c>
      <c r="I12684" s="20">
        <v>1.0977478401004299</v>
      </c>
      <c r="J12684" s="28">
        <v>0.27231461343494001</v>
      </c>
      <c r="K12684" s="29">
        <v>0.98289565623980701</v>
      </c>
    </row>
    <row r="12685" spans="1:11" x14ac:dyDescent="0.35">
      <c r="A12685" s="9" t="str">
        <f>HYPERLINK("http://www.ensembl.org/id/WBGene00010938", "WBGene00010938")</f>
        <v>WBGene00010938</v>
      </c>
      <c r="B12685" s="9" t="str">
        <f>HYPERLINK("http://www.ncbi.nlm.nih.gov/gene/187494", "187494")</f>
        <v>187494</v>
      </c>
      <c r="C12685" s="9"/>
      <c r="D12685" t="str">
        <f>"M163.6"</f>
        <v>M163.6</v>
      </c>
      <c r="F12685" t="s">
        <v>11</v>
      </c>
      <c r="H12685" s="12">
        <v>2.3893468495514898</v>
      </c>
      <c r="I12685" s="20">
        <v>0.25323547253672701</v>
      </c>
      <c r="J12685" s="28">
        <v>0.80008625651646104</v>
      </c>
      <c r="K12685" s="29">
        <v>0.98289565623980701</v>
      </c>
    </row>
    <row r="12686" spans="1:11" x14ac:dyDescent="0.35">
      <c r="A12686" s="9" t="str">
        <f>HYPERLINK("http://www.ensembl.org/id/WBGene00202355", "WBGene00202355")</f>
        <v>WBGene00202355</v>
      </c>
      <c r="B12686" s="9"/>
      <c r="C12686" s="9"/>
      <c r="D12686" t="str">
        <f>"M176.15"</f>
        <v>M176.15</v>
      </c>
      <c r="F12686" t="s">
        <v>481</v>
      </c>
      <c r="H12686" s="12">
        <v>-2.4295389261469</v>
      </c>
      <c r="I12686" s="20">
        <v>-0.25808529976640998</v>
      </c>
      <c r="J12686" s="28">
        <v>0.79634107645457397</v>
      </c>
      <c r="K12686" s="29">
        <v>0.98289565623980701</v>
      </c>
    </row>
    <row r="12687" spans="1:11" x14ac:dyDescent="0.35">
      <c r="A12687" s="9" t="str">
        <f>HYPERLINK("http://www.ensembl.org/id/WBGene00303071", "WBGene00303071")</f>
        <v>WBGene00303071</v>
      </c>
      <c r="B12687" s="9" t="str">
        <f>HYPERLINK("http://www.ncbi.nlm.nih.gov/gene/36805029", "36805029")</f>
        <v>36805029</v>
      </c>
      <c r="C12687" s="9"/>
      <c r="D12687" t="str">
        <f>"M176.16"</f>
        <v>M176.16</v>
      </c>
      <c r="F12687" t="s">
        <v>11</v>
      </c>
      <c r="H12687" s="12">
        <v>1.9003010826455899</v>
      </c>
      <c r="I12687" s="20">
        <v>0.622484622951754</v>
      </c>
      <c r="J12687" s="28">
        <v>0.53362325186808501</v>
      </c>
      <c r="K12687" s="29">
        <v>0.98289565623980701</v>
      </c>
    </row>
    <row r="12688" spans="1:11" x14ac:dyDescent="0.35">
      <c r="A12688" s="9" t="str">
        <f>HYPERLINK("http://www.ensembl.org/id/WBGene00271634", "WBGene00271634")</f>
        <v>WBGene00271634</v>
      </c>
      <c r="B12688" s="9"/>
      <c r="C12688" s="9"/>
      <c r="D12688" t="str">
        <f>"M18.12"</f>
        <v>M18.12</v>
      </c>
      <c r="F12688" t="s">
        <v>481</v>
      </c>
      <c r="H12688" s="12">
        <v>-2.4295389261469</v>
      </c>
      <c r="I12688" s="20">
        <v>-0.25808529976640998</v>
      </c>
      <c r="J12688" s="28">
        <v>0.79634107645457397</v>
      </c>
      <c r="K12688" s="29">
        <v>0.98289565623980701</v>
      </c>
    </row>
    <row r="12689" spans="1:11" x14ac:dyDescent="0.35">
      <c r="A12689" s="9" t="str">
        <f>HYPERLINK("http://www.ensembl.org/id/WBGene00010889", "WBGene00010889")</f>
        <v>WBGene00010889</v>
      </c>
      <c r="B12689" s="9" t="str">
        <f>HYPERLINK("http://www.ncbi.nlm.nih.gov/gene/178154", "178154")</f>
        <v>178154</v>
      </c>
      <c r="C12689" s="9" t="str">
        <f>HYPERLINK("http://www.ncbi.nlm.nih.gov/gene/54529", "54529")</f>
        <v>54529</v>
      </c>
      <c r="D12689" t="str">
        <f>"M18.3"</f>
        <v>M18.3</v>
      </c>
      <c r="F12689" t="s">
        <v>11</v>
      </c>
      <c r="G12689" t="s">
        <v>9414</v>
      </c>
      <c r="H12689" s="12">
        <v>-1.24483914183389</v>
      </c>
      <c r="I12689" s="20">
        <v>-0.95936299445301598</v>
      </c>
      <c r="J12689" s="28">
        <v>0.33737591064106298</v>
      </c>
      <c r="K12689" s="29">
        <v>0.98289565623980701</v>
      </c>
    </row>
    <row r="12690" spans="1:11" x14ac:dyDescent="0.35">
      <c r="A12690" s="9" t="str">
        <f>HYPERLINK("http://www.ensembl.org/id/WBGene00010891", "WBGene00010891")</f>
        <v>WBGene00010891</v>
      </c>
      <c r="B12690" s="9" t="str">
        <f>HYPERLINK("http://www.ncbi.nlm.nih.gov/gene/187461", "187461")</f>
        <v>187461</v>
      </c>
      <c r="C12690" s="9"/>
      <c r="D12690" t="str">
        <f>"M18.6"</f>
        <v>M18.6</v>
      </c>
      <c r="F12690" t="s">
        <v>11</v>
      </c>
      <c r="G12690" t="s">
        <v>7129</v>
      </c>
      <c r="H12690" s="12">
        <v>-1.1088647811497401</v>
      </c>
      <c r="I12690" s="20">
        <v>-0.45995456656544798</v>
      </c>
      <c r="J12690" s="28">
        <v>0.64554883207856195</v>
      </c>
      <c r="K12690" s="29">
        <v>0.98289565623980701</v>
      </c>
    </row>
    <row r="12691" spans="1:11" x14ac:dyDescent="0.35">
      <c r="A12691" s="9" t="str">
        <f>HYPERLINK("http://www.ensembl.org/id/WBGene00010948", "WBGene00010948")</f>
        <v>WBGene00010948</v>
      </c>
      <c r="B12691" s="9" t="str">
        <f>HYPERLINK("http://www.ncbi.nlm.nih.gov/gene/174337", "174337")</f>
        <v>174337</v>
      </c>
      <c r="C12691" s="9"/>
      <c r="D12691" t="str">
        <f>"M195.2"</f>
        <v>M195.2</v>
      </c>
      <c r="F12691" t="s">
        <v>11</v>
      </c>
      <c r="H12691" s="12">
        <v>1.84963026827729</v>
      </c>
      <c r="I12691" s="20">
        <v>0.58009997167382699</v>
      </c>
      <c r="J12691" s="28">
        <v>0.561847202865009</v>
      </c>
      <c r="K12691" s="29">
        <v>0.98289565623980701</v>
      </c>
    </row>
    <row r="12692" spans="1:11" x14ac:dyDescent="0.35">
      <c r="A12692" s="9" t="str">
        <f>HYPERLINK("http://www.ensembl.org/id/WBGene00196570", "WBGene00196570")</f>
        <v>WBGene00196570</v>
      </c>
      <c r="B12692" s="9"/>
      <c r="C12692" s="9"/>
      <c r="D12692" t="str">
        <f>"M195.5"</f>
        <v>M195.5</v>
      </c>
      <c r="F12692" t="s">
        <v>481</v>
      </c>
      <c r="H12692" s="12">
        <v>2.3893468495514898</v>
      </c>
      <c r="I12692" s="20">
        <v>0.25323547253672701</v>
      </c>
      <c r="J12692" s="28">
        <v>0.80008625651646104</v>
      </c>
      <c r="K12692" s="29">
        <v>0.98289565623980701</v>
      </c>
    </row>
    <row r="12693" spans="1:11" x14ac:dyDescent="0.35">
      <c r="A12693" s="9" t="str">
        <f>HYPERLINK("http://www.ensembl.org/id/WBGene00197265", "WBGene00197265")</f>
        <v>WBGene00197265</v>
      </c>
      <c r="B12693" s="9"/>
      <c r="C12693" s="9"/>
      <c r="D12693" t="str">
        <f>"M195.6"</f>
        <v>M195.6</v>
      </c>
      <c r="F12693" t="s">
        <v>481</v>
      </c>
      <c r="H12693" s="12">
        <v>-5.4967879193631202</v>
      </c>
      <c r="I12693" s="20">
        <v>-0.50254160819837501</v>
      </c>
      <c r="J12693" s="28">
        <v>0.61528659178453604</v>
      </c>
      <c r="K12693" s="29">
        <v>0.98289565623980701</v>
      </c>
    </row>
    <row r="12694" spans="1:11" x14ac:dyDescent="0.35">
      <c r="A12694" s="9" t="str">
        <f>HYPERLINK("http://www.ensembl.org/id/WBGene00219395", "WBGene00219395")</f>
        <v>WBGene00219395</v>
      </c>
      <c r="B12694" s="9" t="str">
        <f>HYPERLINK("http://www.ncbi.nlm.nih.gov/gene/13204091", "13204091")</f>
        <v>13204091</v>
      </c>
      <c r="C12694" s="9"/>
      <c r="D12694" t="str">
        <f>"M199.134"</f>
        <v>M199.134</v>
      </c>
      <c r="F12694" t="s">
        <v>11</v>
      </c>
      <c r="G12694" t="s">
        <v>25</v>
      </c>
      <c r="H12694" s="12">
        <v>2.3893468495514898</v>
      </c>
      <c r="I12694" s="20">
        <v>0.25323547253672701</v>
      </c>
      <c r="J12694" s="28">
        <v>0.80008625651646104</v>
      </c>
      <c r="K12694" s="29">
        <v>0.98289565623980701</v>
      </c>
    </row>
    <row r="12695" spans="1:11" x14ac:dyDescent="0.35">
      <c r="A12695" s="9" t="str">
        <f>HYPERLINK("http://www.ensembl.org/id/WBGene00010955", "WBGene00010955")</f>
        <v>WBGene00010955</v>
      </c>
      <c r="B12695" s="9" t="str">
        <f>HYPERLINK("http://www.ncbi.nlm.nih.gov/gene/3565163", "3565163")</f>
        <v>3565163</v>
      </c>
      <c r="C12695" s="9"/>
      <c r="D12695" t="str">
        <f>"M199.7"</f>
        <v>M199.7</v>
      </c>
      <c r="F12695" t="s">
        <v>11</v>
      </c>
      <c r="H12695" s="12">
        <v>-4.7069891493991998</v>
      </c>
      <c r="I12695" s="20">
        <v>-0.56731576878075296</v>
      </c>
      <c r="J12695" s="28">
        <v>0.57049966550338205</v>
      </c>
      <c r="K12695" s="29">
        <v>0.98289565623980701</v>
      </c>
    </row>
    <row r="12696" spans="1:11" x14ac:dyDescent="0.35">
      <c r="A12696" s="9" t="str">
        <f>HYPERLINK("http://www.ensembl.org/id/WBGene00010896", "WBGene00010896")</f>
        <v>WBGene00010896</v>
      </c>
      <c r="B12696" s="9" t="str">
        <f>HYPERLINK("http://www.ncbi.nlm.nih.gov/gene/174645", "174645")</f>
        <v>174645</v>
      </c>
      <c r="C12696" s="9" t="str">
        <f>HYPERLINK("http://www.ncbi.nlm.nih.gov/gene/4809", "4809")</f>
        <v>4809</v>
      </c>
      <c r="D12696" t="str">
        <f>"M28.5"</f>
        <v>M28.5</v>
      </c>
      <c r="E12696" t="s">
        <v>8711</v>
      </c>
      <c r="F12696" t="s">
        <v>11</v>
      </c>
      <c r="G12696" t="s">
        <v>8712</v>
      </c>
      <c r="H12696" s="12">
        <v>-1.1924342325158599</v>
      </c>
      <c r="I12696" s="20">
        <v>-0.84767212274235604</v>
      </c>
      <c r="J12696" s="28">
        <v>0.39662059575152497</v>
      </c>
      <c r="K12696" s="29">
        <v>0.98289565623980701</v>
      </c>
    </row>
    <row r="12697" spans="1:11" x14ac:dyDescent="0.35">
      <c r="A12697" s="9" t="str">
        <f>HYPERLINK("http://www.ensembl.org/id/WBGene00010899", "WBGene00010899")</f>
        <v>WBGene00010899</v>
      </c>
      <c r="B12697" s="9" t="str">
        <f>HYPERLINK("http://www.ncbi.nlm.nih.gov/gene/174641", "174641")</f>
        <v>174641</v>
      </c>
      <c r="C12697" s="9"/>
      <c r="D12697" t="str">
        <f>"M28.8"</f>
        <v>M28.8</v>
      </c>
      <c r="F12697" t="s">
        <v>11</v>
      </c>
      <c r="G12697" t="s">
        <v>25</v>
      </c>
      <c r="H12697" s="12">
        <v>-1.0639384483642</v>
      </c>
      <c r="I12697" s="20">
        <v>-0.32444027265605302</v>
      </c>
      <c r="J12697" s="28">
        <v>0.74560473405949801</v>
      </c>
      <c r="K12697" s="29">
        <v>0.98289565623980701</v>
      </c>
    </row>
    <row r="12698" spans="1:11" x14ac:dyDescent="0.35">
      <c r="A12698" s="9" t="str">
        <f>HYPERLINK("http://www.ensembl.org/id/WBGene00019777", "WBGene00019777")</f>
        <v>WBGene00019777</v>
      </c>
      <c r="B12698" s="9" t="str">
        <f>HYPERLINK("http://www.ncbi.nlm.nih.gov/gene/177114", "177114")</f>
        <v>177114</v>
      </c>
      <c r="C12698" s="9"/>
      <c r="D12698" t="str">
        <f>"M57.1"</f>
        <v>M57.1</v>
      </c>
      <c r="F12698" t="s">
        <v>11</v>
      </c>
      <c r="G12698" t="s">
        <v>54</v>
      </c>
      <c r="H12698" s="12">
        <v>1.1321338662262701</v>
      </c>
      <c r="I12698" s="20">
        <v>0.50619659676919204</v>
      </c>
      <c r="J12698" s="28">
        <v>0.61271864387093</v>
      </c>
      <c r="K12698" s="29">
        <v>0.98289565623980701</v>
      </c>
    </row>
    <row r="12699" spans="1:11" x14ac:dyDescent="0.35">
      <c r="A12699" s="9" t="str">
        <f>HYPERLINK("http://www.ensembl.org/id/WBGene00220034", "WBGene00220034")</f>
        <v>WBGene00220034</v>
      </c>
      <c r="B12699" s="9"/>
      <c r="C12699" s="9"/>
      <c r="D12699" t="str">
        <f>"M57.3"</f>
        <v>M57.3</v>
      </c>
      <c r="F12699" t="s">
        <v>481</v>
      </c>
      <c r="H12699" s="12">
        <v>-2.8168299036705799</v>
      </c>
      <c r="I12699" s="20">
        <v>-0.37699042193643401</v>
      </c>
      <c r="J12699" s="28">
        <v>0.70618072287494404</v>
      </c>
      <c r="K12699" s="29">
        <v>0.98289565623980701</v>
      </c>
    </row>
    <row r="12700" spans="1:11" x14ac:dyDescent="0.35">
      <c r="A12700" s="9" t="str">
        <f>HYPERLINK("http://www.ensembl.org/id/WBGene00206478", "WBGene00206478")</f>
        <v>WBGene00206478</v>
      </c>
      <c r="B12700" s="9" t="str">
        <f>HYPERLINK("http://www.ncbi.nlm.nih.gov/gene/13219106", "13219106")</f>
        <v>13219106</v>
      </c>
      <c r="C12700" s="9"/>
      <c r="D12700" t="str">
        <f>"M6.11"</f>
        <v>M6.11</v>
      </c>
      <c r="E12700" t="s">
        <v>2043</v>
      </c>
      <c r="F12700" t="s">
        <v>11</v>
      </c>
      <c r="G12700" t="s">
        <v>4290</v>
      </c>
      <c r="H12700" s="12">
        <v>2.3893468495514898</v>
      </c>
      <c r="I12700" s="20">
        <v>0.25323547253672701</v>
      </c>
      <c r="J12700" s="28">
        <v>0.80008625651646104</v>
      </c>
      <c r="K12700" s="29">
        <v>0.98289565623980701</v>
      </c>
    </row>
    <row r="12701" spans="1:11" x14ac:dyDescent="0.35">
      <c r="A12701" s="9" t="str">
        <f>HYPERLINK("http://www.ensembl.org/id/WBGene00198008", "WBGene00198008")</f>
        <v>WBGene00198008</v>
      </c>
      <c r="B12701" s="9"/>
      <c r="C12701" s="9"/>
      <c r="D12701" t="str">
        <f>"M60.9"</f>
        <v>M60.9</v>
      </c>
      <c r="F12701" t="s">
        <v>481</v>
      </c>
      <c r="H12701" s="12">
        <v>5.2954185682811996</v>
      </c>
      <c r="I12701" s="20">
        <v>0.58847157202951395</v>
      </c>
      <c r="J12701" s="28">
        <v>0.55621580972939799</v>
      </c>
      <c r="K12701" s="29">
        <v>0.98289565623980701</v>
      </c>
    </row>
    <row r="12702" spans="1:11" x14ac:dyDescent="0.35">
      <c r="A12702" s="9" t="str">
        <f>HYPERLINK("http://www.ensembl.org/id/WBGene00010886", "WBGene00010886")</f>
        <v>WBGene00010886</v>
      </c>
      <c r="B12702" s="9" t="str">
        <f>HYPERLINK("http://www.ncbi.nlm.nih.gov/gene/178010", "178010")</f>
        <v>178010</v>
      </c>
      <c r="C12702" s="9"/>
      <c r="D12702" t="str">
        <f>"M7.10"</f>
        <v>M7.10</v>
      </c>
      <c r="F12702" t="s">
        <v>11</v>
      </c>
      <c r="H12702" s="12">
        <v>3.5227018545059199</v>
      </c>
      <c r="I12702" s="20">
        <v>0.36849691206929103</v>
      </c>
      <c r="J12702" s="28">
        <v>0.71250274722433404</v>
      </c>
      <c r="K12702" s="29">
        <v>0.98289565623980701</v>
      </c>
    </row>
    <row r="12703" spans="1:11" x14ac:dyDescent="0.35">
      <c r="A12703" s="9" t="str">
        <f>HYPERLINK("http://www.ensembl.org/id/WBGene00010883", "WBGene00010883")</f>
        <v>WBGene00010883</v>
      </c>
      <c r="B12703" s="9" t="str">
        <f>HYPERLINK("http://www.ncbi.nlm.nih.gov/gene/187456", "187456")</f>
        <v>187456</v>
      </c>
      <c r="C12703" s="9"/>
      <c r="D12703" t="str">
        <f>"M7.7"</f>
        <v>M7.7</v>
      </c>
      <c r="F12703" t="s">
        <v>11</v>
      </c>
      <c r="G12703" t="s">
        <v>1763</v>
      </c>
      <c r="H12703" s="12">
        <v>2.3300519932698598</v>
      </c>
      <c r="I12703" s="20">
        <v>0.66681499985178905</v>
      </c>
      <c r="J12703" s="28">
        <v>0.50489031029957798</v>
      </c>
      <c r="K12703" s="29">
        <v>0.98289565623980701</v>
      </c>
    </row>
    <row r="12704" spans="1:11" x14ac:dyDescent="0.35">
      <c r="A12704" s="9" t="str">
        <f>HYPERLINK("http://www.ensembl.org/id/WBGene00010884", "WBGene00010884")</f>
        <v>WBGene00010884</v>
      </c>
      <c r="B12704" s="9" t="str">
        <f>HYPERLINK("http://www.ncbi.nlm.nih.gov/gene/187457", "187457")</f>
        <v>187457</v>
      </c>
      <c r="C12704" s="9"/>
      <c r="D12704" t="str">
        <f>"M7.8"</f>
        <v>M7.8</v>
      </c>
      <c r="F12704" t="s">
        <v>11</v>
      </c>
      <c r="G12704" t="s">
        <v>386</v>
      </c>
      <c r="H12704" s="12">
        <v>-1.2137009694050001</v>
      </c>
      <c r="I12704" s="20">
        <v>-1.0217658443909701</v>
      </c>
      <c r="J12704" s="28">
        <v>0.30689173868761499</v>
      </c>
      <c r="K12704" s="29">
        <v>0.98289565623980701</v>
      </c>
    </row>
    <row r="12705" spans="1:11" x14ac:dyDescent="0.35">
      <c r="A12705" s="9" t="str">
        <f>HYPERLINK("http://www.ensembl.org/id/WBGene00200102", "WBGene00200102")</f>
        <v>WBGene00200102</v>
      </c>
      <c r="B12705" s="9"/>
      <c r="C12705" s="9"/>
      <c r="D12705" t="str">
        <f>"M70.10"</f>
        <v>M70.10</v>
      </c>
      <c r="F12705" t="s">
        <v>481</v>
      </c>
      <c r="H12705" s="12">
        <v>3.5227018545059199</v>
      </c>
      <c r="I12705" s="20">
        <v>0.36849691206929103</v>
      </c>
      <c r="J12705" s="28">
        <v>0.71250274722433404</v>
      </c>
      <c r="K12705" s="29">
        <v>0.98289565623980701</v>
      </c>
    </row>
    <row r="12706" spans="1:11" x14ac:dyDescent="0.35">
      <c r="A12706" s="9" t="str">
        <f>HYPERLINK("http://www.ensembl.org/id/WBGene00019785", "WBGene00019785")</f>
        <v>WBGene00019785</v>
      </c>
      <c r="B12706" s="9" t="str">
        <f>HYPERLINK("http://www.ncbi.nlm.nih.gov/gene/177013", "177013")</f>
        <v>177013</v>
      </c>
      <c r="C12706" s="9"/>
      <c r="D12706" t="str">
        <f>"M70.3"</f>
        <v>M70.3</v>
      </c>
      <c r="F12706" t="s">
        <v>11</v>
      </c>
      <c r="G12706" t="s">
        <v>25</v>
      </c>
      <c r="H12706" s="12">
        <v>1.7286860477944901</v>
      </c>
      <c r="I12706" s="20">
        <v>0.74916272866878797</v>
      </c>
      <c r="J12706" s="28">
        <v>0.45375913053359701</v>
      </c>
      <c r="K12706" s="29">
        <v>0.98289565623980701</v>
      </c>
    </row>
    <row r="12707" spans="1:11" x14ac:dyDescent="0.35">
      <c r="A12707" s="9" t="str">
        <f>HYPERLINK("http://www.ensembl.org/id/WBGene00019786", "WBGene00019786")</f>
        <v>WBGene00019786</v>
      </c>
      <c r="B12707" s="9" t="str">
        <f>HYPERLINK("http://www.ncbi.nlm.nih.gov/gene/177015", "177015")</f>
        <v>177015</v>
      </c>
      <c r="C12707" s="9"/>
      <c r="D12707" t="str">
        <f>"M70.4"</f>
        <v>M70.4</v>
      </c>
      <c r="F12707" t="s">
        <v>11</v>
      </c>
      <c r="G12707" t="s">
        <v>1508</v>
      </c>
      <c r="H12707" s="12">
        <v>-1.2633828041203099</v>
      </c>
      <c r="I12707" s="20">
        <v>-1.1631551785780201</v>
      </c>
      <c r="J12707" s="28">
        <v>0.24476654803352099</v>
      </c>
      <c r="K12707" s="29">
        <v>0.98289565623980701</v>
      </c>
    </row>
    <row r="12708" spans="1:11" x14ac:dyDescent="0.35">
      <c r="A12708" s="9" t="str">
        <f>HYPERLINK("http://www.ensembl.org/id/WBGene00010902", "WBGene00010902")</f>
        <v>WBGene00010902</v>
      </c>
      <c r="B12708" s="9" t="str">
        <f>HYPERLINK("http://www.ncbi.nlm.nih.gov/gene/187470", "187470")</f>
        <v>187470</v>
      </c>
      <c r="C12708" s="9"/>
      <c r="D12708" t="str">
        <f>"M79.2"</f>
        <v>M79.2</v>
      </c>
      <c r="F12708" t="s">
        <v>11</v>
      </c>
      <c r="G12708" t="s">
        <v>5605</v>
      </c>
      <c r="H12708" s="12">
        <v>1.1359855361820601</v>
      </c>
      <c r="I12708" s="20">
        <v>0.644990723989182</v>
      </c>
      <c r="J12708" s="28">
        <v>0.51893319694760298</v>
      </c>
      <c r="K12708" s="29">
        <v>0.98289565623980701</v>
      </c>
    </row>
    <row r="12709" spans="1:11" x14ac:dyDescent="0.35">
      <c r="A12709" s="9" t="str">
        <f>HYPERLINK("http://www.ensembl.org/id/WBGene00196321", "WBGene00196321")</f>
        <v>WBGene00196321</v>
      </c>
      <c r="B12709" s="9"/>
      <c r="C12709" s="9"/>
      <c r="D12709" t="str">
        <f>"M79.7"</f>
        <v>M79.7</v>
      </c>
      <c r="F12709" t="s">
        <v>481</v>
      </c>
      <c r="H12709" s="12">
        <v>2.4578120077400301</v>
      </c>
      <c r="I12709" s="20">
        <v>0.26093350314551</v>
      </c>
      <c r="J12709" s="28">
        <v>0.79414378780213601</v>
      </c>
      <c r="K12709" s="29">
        <v>0.98289565623980701</v>
      </c>
    </row>
    <row r="12710" spans="1:11" x14ac:dyDescent="0.35">
      <c r="A12710" s="9" t="str">
        <f>HYPERLINK("http://www.ensembl.org/id/WBGene00195340", "WBGene00195340")</f>
        <v>WBGene00195340</v>
      </c>
      <c r="B12710" s="9"/>
      <c r="C12710" s="9"/>
      <c r="D12710" t="str">
        <f>"M88.9"</f>
        <v>M88.9</v>
      </c>
      <c r="F12710" t="s">
        <v>481</v>
      </c>
      <c r="H12710" s="12">
        <v>4.8330720971898202</v>
      </c>
      <c r="I12710" s="20">
        <v>0.53826283632608196</v>
      </c>
      <c r="J12710" s="28">
        <v>0.59039560452453599</v>
      </c>
      <c r="K12710" s="29">
        <v>0.98289565623980701</v>
      </c>
    </row>
    <row r="12711" spans="1:11" x14ac:dyDescent="0.35">
      <c r="A12711" s="9" t="str">
        <f>HYPERLINK("http://www.ensembl.org/id/WBGene00003107", "WBGene00003107")</f>
        <v>WBGene00003107</v>
      </c>
      <c r="B12711" s="9" t="str">
        <f>HYPERLINK("http://www.ncbi.nlm.nih.gov/gene/187916", "187916")</f>
        <v>187916</v>
      </c>
      <c r="C12711" s="9"/>
      <c r="D12711" t="str">
        <f>"mab-10"</f>
        <v>mab-10</v>
      </c>
      <c r="F12711" t="s">
        <v>11</v>
      </c>
      <c r="G12711" t="s">
        <v>5670</v>
      </c>
      <c r="H12711" s="12">
        <v>1.12565723404833</v>
      </c>
      <c r="I12711" s="20">
        <v>0.54355166928591003</v>
      </c>
      <c r="J12711" s="28">
        <v>0.58675002587729297</v>
      </c>
      <c r="K12711" s="29">
        <v>0.98289565623980701</v>
      </c>
    </row>
    <row r="12712" spans="1:11" x14ac:dyDescent="0.35">
      <c r="A12712" s="9" t="str">
        <f>HYPERLINK("http://www.ensembl.org/id/WBGene00003111", "WBGene00003111")</f>
        <v>WBGene00003111</v>
      </c>
      <c r="B12712" s="9" t="str">
        <f>HYPERLINK("http://www.ncbi.nlm.nih.gov/gene/171727", "171727")</f>
        <v>171727</v>
      </c>
      <c r="C12712" s="9"/>
      <c r="D12712" t="str">
        <f>"mab-20"</f>
        <v>mab-20</v>
      </c>
      <c r="E12712" t="s">
        <v>5192</v>
      </c>
      <c r="F12712" t="s">
        <v>11</v>
      </c>
      <c r="G12712" t="s">
        <v>5193</v>
      </c>
      <c r="H12712" s="12">
        <v>1.21828385858917</v>
      </c>
      <c r="I12712" s="20">
        <v>0.98607035946422295</v>
      </c>
      <c r="J12712" s="28">
        <v>0.32409858752764797</v>
      </c>
      <c r="K12712" s="29">
        <v>0.98289565623980701</v>
      </c>
    </row>
    <row r="12713" spans="1:11" x14ac:dyDescent="0.35">
      <c r="A12713" s="9" t="str">
        <f>HYPERLINK("http://www.ensembl.org/id/WBGene00003112", "WBGene00003112")</f>
        <v>WBGene00003112</v>
      </c>
      <c r="B12713" s="9" t="str">
        <f>HYPERLINK("http://www.ncbi.nlm.nih.gov/gene/175607", "175607")</f>
        <v>175607</v>
      </c>
      <c r="C12713" s="9" t="str">
        <f>HYPERLINK("http://www.ncbi.nlm.nih.gov/gene/4081", "4081")</f>
        <v>4081</v>
      </c>
      <c r="D12713" t="str">
        <f>"mab-21"</f>
        <v>mab-21</v>
      </c>
      <c r="E12713" t="s">
        <v>5200</v>
      </c>
      <c r="F12713" t="s">
        <v>11</v>
      </c>
      <c r="H12713" s="12">
        <v>1.2175117604047501</v>
      </c>
      <c r="I12713" s="20">
        <v>0.64343863418004599</v>
      </c>
      <c r="J12713" s="28">
        <v>0.51993952146248101</v>
      </c>
      <c r="K12713" s="29">
        <v>0.98289565623980701</v>
      </c>
    </row>
    <row r="12714" spans="1:11" x14ac:dyDescent="0.35">
      <c r="A12714" s="9" t="str">
        <f>HYPERLINK("http://www.ensembl.org/id/WBGene00003100", "WBGene00003100")</f>
        <v>WBGene00003100</v>
      </c>
      <c r="B12714" s="9" t="str">
        <f>HYPERLINK("http://www.ncbi.nlm.nih.gov/gene/174533", "174533")</f>
        <v>174533</v>
      </c>
      <c r="C12714" s="9"/>
      <c r="D12714" t="str">
        <f>"mab-3"</f>
        <v>mab-3</v>
      </c>
      <c r="E12714" t="s">
        <v>4538</v>
      </c>
      <c r="F12714" t="s">
        <v>11</v>
      </c>
      <c r="G12714" t="s">
        <v>4539</v>
      </c>
      <c r="H12714" s="12">
        <v>1.74658546108559</v>
      </c>
      <c r="I12714" s="20">
        <v>0.75419076288693199</v>
      </c>
      <c r="J12714" s="28">
        <v>0.45073468336588801</v>
      </c>
      <c r="K12714" s="29">
        <v>0.98289565623980701</v>
      </c>
    </row>
    <row r="12715" spans="1:11" x14ac:dyDescent="0.35">
      <c r="A12715" s="9" t="str">
        <f>HYPERLINK("http://www.ensembl.org/id/WBGene00003106", "WBGene00003106")</f>
        <v>WBGene00003106</v>
      </c>
      <c r="B12715" s="9" t="str">
        <f>HYPERLINK("http://www.ncbi.nlm.nih.gov/gene/173441", "173441")</f>
        <v>173441</v>
      </c>
      <c r="C12715" s="9"/>
      <c r="D12715" t="str">
        <f>"mab-9"</f>
        <v>mab-9</v>
      </c>
      <c r="E12715" t="s">
        <v>4769</v>
      </c>
      <c r="F12715" t="s">
        <v>11</v>
      </c>
      <c r="G12715" t="s">
        <v>4770</v>
      </c>
      <c r="H12715" s="12">
        <v>1.3950002297872</v>
      </c>
      <c r="I12715" s="20">
        <v>1.08179084220501</v>
      </c>
      <c r="J12715" s="28">
        <v>0.27934547674251098</v>
      </c>
      <c r="K12715" s="29">
        <v>0.98289565623980701</v>
      </c>
    </row>
    <row r="12716" spans="1:11" x14ac:dyDescent="0.35">
      <c r="A12716" s="9" t="str">
        <f>HYPERLINK("http://www.ensembl.org/id/WBGene00003119", "WBGene00003119")</f>
        <v>WBGene00003119</v>
      </c>
      <c r="B12716" s="9" t="str">
        <f>HYPERLINK("http://www.ncbi.nlm.nih.gov/gene/174974", "174974")</f>
        <v>174974</v>
      </c>
      <c r="C12716" s="9" t="str">
        <f>HYPERLINK("http://www.ncbi.nlm.nih.gov/gene/4931", "4931")</f>
        <v>4931</v>
      </c>
      <c r="D12716" t="str">
        <f>"mac-1"</f>
        <v>mac-1</v>
      </c>
      <c r="F12716" t="s">
        <v>11</v>
      </c>
      <c r="G12716" t="s">
        <v>1460</v>
      </c>
      <c r="H12716" s="12">
        <v>-1.25126664566094</v>
      </c>
      <c r="I12716" s="20">
        <v>-1.0474442460725999</v>
      </c>
      <c r="J12716" s="28">
        <v>0.29489473388930199</v>
      </c>
      <c r="K12716" s="29">
        <v>0.98289565623980701</v>
      </c>
    </row>
    <row r="12717" spans="1:11" x14ac:dyDescent="0.35">
      <c r="A12717" s="9" t="str">
        <f>HYPERLINK("http://www.ensembl.org/id/WBGene00017066", "WBGene00017066")</f>
        <v>WBGene00017066</v>
      </c>
      <c r="B12717" s="9" t="str">
        <f>HYPERLINK("http://www.ncbi.nlm.nih.gov/gene/183963", "183963")</f>
        <v>183963</v>
      </c>
      <c r="C12717" s="9" t="str">
        <f>HYPERLINK("http://www.ncbi.nlm.nih.gov/gene/55219", "55219")</f>
        <v>55219</v>
      </c>
      <c r="D12717" t="str">
        <f>"maco-1"</f>
        <v>maco-1</v>
      </c>
      <c r="E12717" t="s">
        <v>9442</v>
      </c>
      <c r="F12717" t="s">
        <v>11</v>
      </c>
      <c r="G12717" t="s">
        <v>9443</v>
      </c>
      <c r="H12717" s="12">
        <v>-1.24672900335343</v>
      </c>
      <c r="I12717" s="20">
        <v>-1.18246650265229</v>
      </c>
      <c r="J12717" s="28">
        <v>0.237020649272734</v>
      </c>
      <c r="K12717" s="29">
        <v>0.98289565623980701</v>
      </c>
    </row>
    <row r="12718" spans="1:11" x14ac:dyDescent="0.35">
      <c r="A12718" s="9" t="str">
        <f>HYPERLINK("http://www.ensembl.org/id/WBGene00016539", "WBGene00016539")</f>
        <v>WBGene00016539</v>
      </c>
      <c r="B12718" s="9" t="str">
        <f>HYPERLINK("http://www.ncbi.nlm.nih.gov/gene/178619", "178619")</f>
        <v>178619</v>
      </c>
      <c r="C12718" s="9" t="str">
        <f>HYPERLINK("http://www.ncbi.nlm.nih.gov/gene/114088", "114088")</f>
        <v>114088</v>
      </c>
      <c r="D12718" t="str">
        <f>"madd-2"</f>
        <v>madd-2</v>
      </c>
      <c r="F12718" t="s">
        <v>11</v>
      </c>
      <c r="G12718" t="s">
        <v>6553</v>
      </c>
      <c r="H12718" s="12">
        <v>-1.0759534238866799</v>
      </c>
      <c r="I12718" s="20">
        <v>-0.37952369784298601</v>
      </c>
      <c r="J12718" s="28">
        <v>0.704299009923397</v>
      </c>
      <c r="K12718" s="29">
        <v>0.98289565623980701</v>
      </c>
    </row>
    <row r="12719" spans="1:11" x14ac:dyDescent="0.35">
      <c r="A12719" s="9" t="str">
        <f>HYPERLINK("http://www.ensembl.org/id/WBGene00006517", "WBGene00006517")</f>
        <v>WBGene00006517</v>
      </c>
      <c r="B12719" s="9" t="str">
        <f>HYPERLINK("http://www.ncbi.nlm.nih.gov/gene/3565068", "3565068")</f>
        <v>3565068</v>
      </c>
      <c r="C12719" s="9" t="str">
        <f>HYPERLINK("http://www.ncbi.nlm.nih.gov/gene/1196", "1196")</f>
        <v>1196</v>
      </c>
      <c r="D12719" t="str">
        <f>"madd-3"</f>
        <v>madd-3</v>
      </c>
      <c r="E12719" t="s">
        <v>8083</v>
      </c>
      <c r="F12719" t="s">
        <v>11</v>
      </c>
      <c r="G12719" t="s">
        <v>2105</v>
      </c>
      <c r="H12719" s="12">
        <v>-1.16014501587196</v>
      </c>
      <c r="I12719" s="20">
        <v>-0.77516185212435795</v>
      </c>
      <c r="J12719" s="28">
        <v>0.43824402672227297</v>
      </c>
      <c r="K12719" s="29">
        <v>0.98289565623980701</v>
      </c>
    </row>
    <row r="12720" spans="1:11" x14ac:dyDescent="0.35">
      <c r="A12720" s="9" t="str">
        <f>HYPERLINK("http://www.ensembl.org/id/WBGene00009958", "WBGene00009958")</f>
        <v>WBGene00009958</v>
      </c>
      <c r="B12720" s="9" t="str">
        <f>HYPERLINK("http://www.ncbi.nlm.nih.gov/gene/172706", "172706")</f>
        <v>172706</v>
      </c>
      <c r="C12720" s="9"/>
      <c r="D12720" t="str">
        <f>"madd-4"</f>
        <v>madd-4</v>
      </c>
      <c r="F12720" t="s">
        <v>11</v>
      </c>
      <c r="H12720" s="12">
        <v>1.14596935103937</v>
      </c>
      <c r="I12720" s="20">
        <v>0.60404881361467799</v>
      </c>
      <c r="J12720" s="28">
        <v>0.54581118909757698</v>
      </c>
      <c r="K12720" s="29">
        <v>0.98289565623980701</v>
      </c>
    </row>
    <row r="12721" spans="1:11" x14ac:dyDescent="0.35">
      <c r="A12721" s="9" t="str">
        <f>HYPERLINK("http://www.ensembl.org/id/WBGene00021942", "WBGene00021942")</f>
        <v>WBGene00021942</v>
      </c>
      <c r="B12721" s="9" t="str">
        <f>HYPERLINK("http://www.ncbi.nlm.nih.gov/gene/190316", "190316")</f>
        <v>190316</v>
      </c>
      <c r="C12721" s="9"/>
      <c r="D12721" t="str">
        <f>"madf-1"</f>
        <v>madf-1</v>
      </c>
      <c r="E12721" t="s">
        <v>881</v>
      </c>
      <c r="F12721" t="s">
        <v>11</v>
      </c>
      <c r="H12721" s="12">
        <v>-1.11612451542159</v>
      </c>
      <c r="I12721" s="20">
        <v>-0.30314254376454702</v>
      </c>
      <c r="J12721" s="28">
        <v>0.761781233334901</v>
      </c>
      <c r="K12721" s="29">
        <v>0.98289565623980701</v>
      </c>
    </row>
    <row r="12722" spans="1:11" x14ac:dyDescent="0.35">
      <c r="A12722" s="9" t="str">
        <f>HYPERLINK("http://www.ensembl.org/id/WBGene00013717", "WBGene00013717")</f>
        <v>WBGene00013717</v>
      </c>
      <c r="B12722" s="9" t="str">
        <f>HYPERLINK("http://www.ncbi.nlm.nih.gov/gene/190925", "190925")</f>
        <v>190925</v>
      </c>
      <c r="C12722" s="9"/>
      <c r="D12722" t="str">
        <f>"madf-10"</f>
        <v>madf-10</v>
      </c>
      <c r="E12722" t="s">
        <v>881</v>
      </c>
      <c r="F12722" t="s">
        <v>11</v>
      </c>
      <c r="G12722" t="s">
        <v>2011</v>
      </c>
      <c r="H12722" s="12">
        <v>1.08655455622482</v>
      </c>
      <c r="I12722" s="20">
        <v>0.28953877033567799</v>
      </c>
      <c r="J12722" s="28">
        <v>0.77216911532312105</v>
      </c>
      <c r="K12722" s="29">
        <v>0.98289565623980701</v>
      </c>
    </row>
    <row r="12723" spans="1:11" x14ac:dyDescent="0.35">
      <c r="A12723" s="9" t="str">
        <f>HYPERLINK("http://www.ensembl.org/id/WBGene00009461", "WBGene00009461")</f>
        <v>WBGene00009461</v>
      </c>
      <c r="B12723" s="9" t="str">
        <f>HYPERLINK("http://www.ncbi.nlm.nih.gov/gene/173019", "173019")</f>
        <v>173019</v>
      </c>
      <c r="C12723" s="9"/>
      <c r="D12723" t="str">
        <f>"madf-2"</f>
        <v>madf-2</v>
      </c>
      <c r="E12723" t="s">
        <v>881</v>
      </c>
      <c r="F12723" t="s">
        <v>11</v>
      </c>
      <c r="G12723" t="s">
        <v>2011</v>
      </c>
      <c r="H12723" s="12">
        <v>1.0746113784781901</v>
      </c>
      <c r="I12723" s="20">
        <v>0.28813344077564601</v>
      </c>
      <c r="J12723" s="28">
        <v>0.77324459552533698</v>
      </c>
      <c r="K12723" s="29">
        <v>0.98289565623980701</v>
      </c>
    </row>
    <row r="12724" spans="1:11" x14ac:dyDescent="0.35">
      <c r="A12724" s="9" t="str">
        <f>HYPERLINK("http://www.ensembl.org/id/WBGene00019218", "WBGene00019218")</f>
        <v>WBGene00019218</v>
      </c>
      <c r="B12724" s="9" t="str">
        <f>HYPERLINK("http://www.ncbi.nlm.nih.gov/gene/186755", "186755")</f>
        <v>186755</v>
      </c>
      <c r="C12724" s="9"/>
      <c r="D12724" t="str">
        <f>"madf-3"</f>
        <v>madf-3</v>
      </c>
      <c r="E12724" t="s">
        <v>881</v>
      </c>
      <c r="F12724" t="s">
        <v>11</v>
      </c>
      <c r="G12724" t="s">
        <v>882</v>
      </c>
      <c r="H12724" s="12">
        <v>-1.1275259500914601</v>
      </c>
      <c r="I12724" s="20">
        <v>-0.51466128787173604</v>
      </c>
      <c r="J12724" s="28">
        <v>0.60678972956687205</v>
      </c>
      <c r="K12724" s="29">
        <v>0.98289565623980701</v>
      </c>
    </row>
    <row r="12725" spans="1:11" x14ac:dyDescent="0.35">
      <c r="A12725" s="9" t="str">
        <f>HYPERLINK("http://www.ensembl.org/id/WBGene00011575", "WBGene00011575")</f>
        <v>WBGene00011575</v>
      </c>
      <c r="B12725" s="9" t="str">
        <f>HYPERLINK("http://www.ncbi.nlm.nih.gov/gene/179386", "179386")</f>
        <v>179386</v>
      </c>
      <c r="C12725" s="9"/>
      <c r="D12725" t="str">
        <f>"madf-4"</f>
        <v>madf-4</v>
      </c>
      <c r="E12725" t="s">
        <v>881</v>
      </c>
      <c r="F12725" t="s">
        <v>11</v>
      </c>
      <c r="G12725" t="s">
        <v>2011</v>
      </c>
      <c r="H12725" s="12">
        <v>1.1353536153936801</v>
      </c>
      <c r="I12725" s="20">
        <v>0.32402811586632602</v>
      </c>
      <c r="J12725" s="28">
        <v>0.74591674821881304</v>
      </c>
      <c r="K12725" s="29">
        <v>0.98289565623980701</v>
      </c>
    </row>
    <row r="12726" spans="1:11" x14ac:dyDescent="0.35">
      <c r="A12726" s="9" t="str">
        <f>HYPERLINK("http://www.ensembl.org/id/WBGene00022608", "WBGene00022608")</f>
        <v>WBGene00022608</v>
      </c>
      <c r="B12726" s="9" t="str">
        <f>HYPERLINK("http://www.ncbi.nlm.nih.gov/gene/191167", "191167")</f>
        <v>191167</v>
      </c>
      <c r="C12726" s="9"/>
      <c r="D12726" t="str">
        <f>"madf-9"</f>
        <v>madf-9</v>
      </c>
      <c r="E12726" t="s">
        <v>881</v>
      </c>
      <c r="F12726" t="s">
        <v>11</v>
      </c>
      <c r="G12726" t="s">
        <v>2011</v>
      </c>
      <c r="H12726" s="12">
        <v>-1.0685695202033401</v>
      </c>
      <c r="I12726" s="20">
        <v>-0.30299682705896203</v>
      </c>
      <c r="J12726" s="28">
        <v>0.76189227965289397</v>
      </c>
      <c r="K12726" s="29">
        <v>0.98289565623980701</v>
      </c>
    </row>
    <row r="12727" spans="1:11" x14ac:dyDescent="0.35">
      <c r="A12727" s="9" t="str">
        <f>HYPERLINK("http://www.ensembl.org/id/WBGene00077521", "WBGene00077521")</f>
        <v>WBGene00077521</v>
      </c>
      <c r="B12727" s="9" t="str">
        <f>HYPERLINK("http://www.ncbi.nlm.nih.gov/gene/6418592", "6418592")</f>
        <v>6418592</v>
      </c>
      <c r="C12727" s="9"/>
      <c r="D12727" t="str">
        <f>"maf-1"</f>
        <v>maf-1</v>
      </c>
      <c r="E12727" t="s">
        <v>5578</v>
      </c>
      <c r="F12727" t="s">
        <v>11</v>
      </c>
      <c r="G12727" t="s">
        <v>4359</v>
      </c>
      <c r="H12727" s="12">
        <v>1.1425282139097599</v>
      </c>
      <c r="I12727" s="20">
        <v>0.45208655441683798</v>
      </c>
      <c r="J12727" s="28">
        <v>0.65120662952725195</v>
      </c>
      <c r="K12727" s="29">
        <v>0.98289565623980701</v>
      </c>
    </row>
    <row r="12728" spans="1:11" x14ac:dyDescent="0.35">
      <c r="A12728" s="9" t="str">
        <f>HYPERLINK("http://www.ensembl.org/id/WBGene00016622", "WBGene00016622")</f>
        <v>WBGene00016622</v>
      </c>
      <c r="B12728" s="9" t="str">
        <f>HYPERLINK("http://www.ncbi.nlm.nih.gov/gene/172953", "172953")</f>
        <v>172953</v>
      </c>
      <c r="C12728" s="9" t="str">
        <f>HYPERLINK("http://www.ncbi.nlm.nih.gov/gene/84232", "84232")</f>
        <v>84232</v>
      </c>
      <c r="D12728" t="str">
        <f>"mafr-1"</f>
        <v>mafr-1</v>
      </c>
      <c r="E12728" t="s">
        <v>7213</v>
      </c>
      <c r="F12728" t="s">
        <v>11</v>
      </c>
      <c r="G12728" t="s">
        <v>7214</v>
      </c>
      <c r="H12728" s="12">
        <v>-1.11397326289934</v>
      </c>
      <c r="I12728" s="20">
        <v>-0.52438177330574798</v>
      </c>
      <c r="J12728" s="28">
        <v>0.60001303116757099</v>
      </c>
      <c r="K12728" s="29">
        <v>0.98289565623980701</v>
      </c>
    </row>
    <row r="12729" spans="1:11" x14ac:dyDescent="0.35">
      <c r="A12729" s="9" t="str">
        <f>HYPERLINK("http://www.ensembl.org/id/WBGene00010444", "WBGene00010444")</f>
        <v>WBGene00010444</v>
      </c>
      <c r="B12729" s="9" t="str">
        <f>HYPERLINK("http://www.ncbi.nlm.nih.gov/gene/178107", "178107")</f>
        <v>178107</v>
      </c>
      <c r="C12729" s="9" t="str">
        <f>HYPERLINK("http://www.ncbi.nlm.nih.gov/gene/9863", "9863")</f>
        <v>9863</v>
      </c>
      <c r="D12729" t="str">
        <f>"magi-1"</f>
        <v>magi-1</v>
      </c>
      <c r="E12729" t="s">
        <v>5184</v>
      </c>
      <c r="F12729" t="s">
        <v>11</v>
      </c>
      <c r="G12729" t="s">
        <v>5185</v>
      </c>
      <c r="H12729" s="12">
        <v>1.2198334742283901</v>
      </c>
      <c r="I12729" s="20">
        <v>1.0824854873418299</v>
      </c>
      <c r="J12729" s="28">
        <v>0.27903686059376098</v>
      </c>
      <c r="K12729" s="29">
        <v>0.98289565623980701</v>
      </c>
    </row>
    <row r="12730" spans="1:11" x14ac:dyDescent="0.35">
      <c r="A12730" s="9" t="str">
        <f>HYPERLINK("http://www.ensembl.org/id/WBGene00006467", "WBGene00006467")</f>
        <v>WBGene00006467</v>
      </c>
      <c r="B12730" s="9" t="str">
        <f>HYPERLINK("http://www.ncbi.nlm.nih.gov/gene/3565703", "3565703")</f>
        <v>3565703</v>
      </c>
      <c r="C12730" s="9"/>
      <c r="D12730" t="str">
        <f>"magu-2"</f>
        <v>magu-2</v>
      </c>
      <c r="E12730" t="s">
        <v>3684</v>
      </c>
      <c r="F12730" t="s">
        <v>11</v>
      </c>
      <c r="G12730" t="s">
        <v>5538</v>
      </c>
      <c r="H12730" s="12">
        <v>1.1491970667975999</v>
      </c>
      <c r="I12730" s="20">
        <v>0.64614512128627599</v>
      </c>
      <c r="J12730" s="28">
        <v>0.51818537619801797</v>
      </c>
      <c r="K12730" s="29">
        <v>0.98289565623980701</v>
      </c>
    </row>
    <row r="12731" spans="1:11" x14ac:dyDescent="0.35">
      <c r="A12731" s="9" t="str">
        <f>HYPERLINK("http://www.ensembl.org/id/WBGene00009678", "WBGene00009678")</f>
        <v>WBGene00009678</v>
      </c>
      <c r="B12731" s="9" t="str">
        <f>HYPERLINK("http://www.ncbi.nlm.nih.gov/gene/177860", "177860")</f>
        <v>177860</v>
      </c>
      <c r="C12731" s="9"/>
      <c r="D12731" t="str">
        <f>"magu-4"</f>
        <v>magu-4</v>
      </c>
      <c r="E12731" t="s">
        <v>3684</v>
      </c>
      <c r="F12731" t="s">
        <v>11</v>
      </c>
      <c r="G12731" t="s">
        <v>54</v>
      </c>
      <c r="H12731" s="12">
        <v>1.1644945458259399</v>
      </c>
      <c r="I12731" s="20">
        <v>0.83050372270625705</v>
      </c>
      <c r="J12731" s="28">
        <v>0.406254043936631</v>
      </c>
      <c r="K12731" s="29">
        <v>0.98289565623980701</v>
      </c>
    </row>
    <row r="12732" spans="1:11" x14ac:dyDescent="0.35">
      <c r="A12732" s="9" t="str">
        <f>HYPERLINK("http://www.ensembl.org/id/WBGene00015248", "WBGene00015248")</f>
        <v>WBGene00015248</v>
      </c>
      <c r="B12732" s="9" t="str">
        <f>HYPERLINK("http://www.ncbi.nlm.nih.gov/gene/177106", "177106")</f>
        <v>177106</v>
      </c>
      <c r="C12732" s="9"/>
      <c r="D12732" t="str">
        <f>"mai-2"</f>
        <v>mai-2</v>
      </c>
      <c r="E12732" t="s">
        <v>7592</v>
      </c>
      <c r="F12732" t="s">
        <v>11</v>
      </c>
      <c r="G12732" t="s">
        <v>7593</v>
      </c>
      <c r="H12732" s="12">
        <v>-1.1347086929002099</v>
      </c>
      <c r="I12732" s="20">
        <v>-0.669711433727601</v>
      </c>
      <c r="J12732" s="28">
        <v>0.5030417615478</v>
      </c>
      <c r="K12732" s="29">
        <v>0.98289565623980701</v>
      </c>
    </row>
    <row r="12733" spans="1:11" x14ac:dyDescent="0.35">
      <c r="A12733" s="9" t="str">
        <f>HYPERLINK("http://www.ensembl.org/id/WBGene00010681", "WBGene00010681")</f>
        <v>WBGene00010681</v>
      </c>
      <c r="B12733" s="9" t="str">
        <f>HYPERLINK("http://www.ncbi.nlm.nih.gov/gene/174398", "174398")</f>
        <v>174398</v>
      </c>
      <c r="C12733" s="9"/>
      <c r="D12733" t="str">
        <f>"mak-1"</f>
        <v>mak-1</v>
      </c>
      <c r="E12733" t="s">
        <v>6095</v>
      </c>
      <c r="F12733" t="s">
        <v>11</v>
      </c>
      <c r="G12733" t="s">
        <v>444</v>
      </c>
      <c r="H12733" s="12">
        <v>1.0626625442980999</v>
      </c>
      <c r="I12733" s="20">
        <v>0.32890421798380298</v>
      </c>
      <c r="J12733" s="28">
        <v>0.74222808604620205</v>
      </c>
      <c r="K12733" s="29">
        <v>0.98289565623980701</v>
      </c>
    </row>
    <row r="12734" spans="1:11" x14ac:dyDescent="0.35">
      <c r="A12734" s="9" t="str">
        <f>HYPERLINK("http://www.ensembl.org/id/WBGene00007007", "WBGene00007007")</f>
        <v>WBGene00007007</v>
      </c>
      <c r="B12734" s="9" t="str">
        <f>HYPERLINK("http://www.ncbi.nlm.nih.gov/gene/176914", "176914")</f>
        <v>176914</v>
      </c>
      <c r="C12734" s="9" t="str">
        <f>HYPERLINK("http://www.ncbi.nlm.nih.gov/gene/7867", "7867")</f>
        <v>7867</v>
      </c>
      <c r="D12734" t="str">
        <f>"mak-2"</f>
        <v>mak-2</v>
      </c>
      <c r="E12734" t="s">
        <v>7207</v>
      </c>
      <c r="F12734" t="s">
        <v>11</v>
      </c>
      <c r="G12734" t="s">
        <v>444</v>
      </c>
      <c r="H12734" s="12">
        <v>-1.1136331199454701</v>
      </c>
      <c r="I12734" s="20">
        <v>-0.56939092077622599</v>
      </c>
      <c r="J12734" s="28">
        <v>0.56909087693256699</v>
      </c>
      <c r="K12734" s="29">
        <v>0.98289565623980701</v>
      </c>
    </row>
    <row r="12735" spans="1:11" x14ac:dyDescent="0.35">
      <c r="A12735" s="9" t="str">
        <f>HYPERLINK("http://www.ensembl.org/id/WBGene00008150", "WBGene00008150")</f>
        <v>WBGene00008150</v>
      </c>
      <c r="B12735" s="9" t="str">
        <f>HYPERLINK("http://www.ncbi.nlm.nih.gov/gene/177854", "177854")</f>
        <v>177854</v>
      </c>
      <c r="C12735" s="9"/>
      <c r="D12735" t="str">
        <f>"mam-2"</f>
        <v>mam-2</v>
      </c>
      <c r="E12735" t="s">
        <v>679</v>
      </c>
      <c r="F12735" t="s">
        <v>11</v>
      </c>
      <c r="G12735" t="s">
        <v>427</v>
      </c>
      <c r="H12735" s="12">
        <v>1.9683731206801101</v>
      </c>
      <c r="I12735" s="20">
        <v>0.85470737385778295</v>
      </c>
      <c r="J12735" s="28">
        <v>0.39271316730809003</v>
      </c>
      <c r="K12735" s="29">
        <v>0.98289565623980701</v>
      </c>
    </row>
    <row r="12736" spans="1:11" x14ac:dyDescent="0.35">
      <c r="A12736" s="9" t="str">
        <f>HYPERLINK("http://www.ensembl.org/id/WBGene00011572", "WBGene00011572")</f>
        <v>WBGene00011572</v>
      </c>
      <c r="B12736" s="9" t="str">
        <f>HYPERLINK("http://www.ncbi.nlm.nih.gov/gene/188217", "188217")</f>
        <v>188217</v>
      </c>
      <c r="C12736" s="9"/>
      <c r="D12736" t="str">
        <f>"mam-5"</f>
        <v>mam-5</v>
      </c>
      <c r="E12736" t="s">
        <v>679</v>
      </c>
      <c r="F12736" t="s">
        <v>11</v>
      </c>
      <c r="G12736" t="s">
        <v>427</v>
      </c>
      <c r="H12736" s="12">
        <v>1.3124238208385</v>
      </c>
      <c r="I12736" s="20">
        <v>0.37719410277377402</v>
      </c>
      <c r="J12736" s="28">
        <v>0.70602936249665504</v>
      </c>
      <c r="K12736" s="29">
        <v>0.98289565623980701</v>
      </c>
    </row>
    <row r="12737" spans="1:11" x14ac:dyDescent="0.35">
      <c r="A12737" s="9" t="str">
        <f>HYPERLINK("http://www.ensembl.org/id/WBGene00009593", "WBGene00009593")</f>
        <v>WBGene00009593</v>
      </c>
      <c r="B12737" s="9" t="str">
        <f>HYPERLINK("http://www.ncbi.nlm.nih.gov/gene/185552", "185552")</f>
        <v>185552</v>
      </c>
      <c r="C12737" s="9"/>
      <c r="D12737" t="str">
        <f>"mam-7"</f>
        <v>mam-7</v>
      </c>
      <c r="E12737" t="s">
        <v>679</v>
      </c>
      <c r="F12737" t="s">
        <v>11</v>
      </c>
      <c r="G12737" t="s">
        <v>427</v>
      </c>
      <c r="H12737" s="12">
        <v>2.20918333845459</v>
      </c>
      <c r="I12737" s="20">
        <v>0.416665609070135</v>
      </c>
      <c r="J12737" s="28">
        <v>0.67692301270072197</v>
      </c>
      <c r="K12737" s="29">
        <v>0.98289565623980701</v>
      </c>
    </row>
    <row r="12738" spans="1:11" x14ac:dyDescent="0.35">
      <c r="A12738" s="9" t="str">
        <f>HYPERLINK("http://www.ensembl.org/id/WBGene00020743", "WBGene00020743")</f>
        <v>WBGene00020743</v>
      </c>
      <c r="B12738" s="9" t="str">
        <f>HYPERLINK("http://www.ncbi.nlm.nih.gov/gene/188817", "188817")</f>
        <v>188817</v>
      </c>
      <c r="C12738" s="9"/>
      <c r="D12738" t="str">
        <f>"mam-8"</f>
        <v>mam-8</v>
      </c>
      <c r="E12738" t="s">
        <v>679</v>
      </c>
      <c r="F12738" t="s">
        <v>11</v>
      </c>
      <c r="G12738" t="s">
        <v>427</v>
      </c>
      <c r="H12738" s="12">
        <v>1.3147287954426601</v>
      </c>
      <c r="I12738" s="20">
        <v>0.44227996044366302</v>
      </c>
      <c r="J12738" s="28">
        <v>0.658286630340432</v>
      </c>
      <c r="K12738" s="29">
        <v>0.98289565623980701</v>
      </c>
    </row>
    <row r="12739" spans="1:11" x14ac:dyDescent="0.35">
      <c r="A12739" s="9" t="str">
        <f>HYPERLINK("http://www.ensembl.org/id/WBGene00021888", "WBGene00021888")</f>
        <v>WBGene00021888</v>
      </c>
      <c r="B12739" s="9" t="str">
        <f>HYPERLINK("http://www.ncbi.nlm.nih.gov/gene/177074", "177074")</f>
        <v>177074</v>
      </c>
      <c r="C12739" s="9" t="str">
        <f>HYPERLINK("http://www.ncbi.nlm.nih.gov/gene/7873", "7873")</f>
        <v>7873</v>
      </c>
      <c r="D12739" t="str">
        <f>"manf-1"</f>
        <v>manf-1</v>
      </c>
      <c r="E12739" t="s">
        <v>6371</v>
      </c>
      <c r="F12739" t="s">
        <v>11</v>
      </c>
      <c r="H12739" s="12">
        <v>-1.0653791348078101</v>
      </c>
      <c r="I12739" s="20">
        <v>-0.33063574262086498</v>
      </c>
      <c r="J12739" s="28">
        <v>0.74091964455241399</v>
      </c>
      <c r="K12739" s="29">
        <v>0.98289565623980701</v>
      </c>
    </row>
    <row r="12740" spans="1:11" x14ac:dyDescent="0.35">
      <c r="A12740" s="9" t="str">
        <f>HYPERLINK("http://www.ensembl.org/id/WBGene00008258", "WBGene00008258")</f>
        <v>WBGene00008258</v>
      </c>
      <c r="B12740" s="9" t="str">
        <f>HYPERLINK("http://www.ncbi.nlm.nih.gov/gene/179642", "179642")</f>
        <v>179642</v>
      </c>
      <c r="C12740" s="9" t="str">
        <f>HYPERLINK("http://www.ncbi.nlm.nih.gov/gene/10905", "10905")</f>
        <v>10905</v>
      </c>
      <c r="D12740" t="str">
        <f>"mans-2"</f>
        <v>mans-2</v>
      </c>
      <c r="E12740" t="s">
        <v>5385</v>
      </c>
      <c r="F12740" t="s">
        <v>11</v>
      </c>
      <c r="G12740" t="s">
        <v>5386</v>
      </c>
      <c r="H12740" s="12">
        <v>1.17705272820783</v>
      </c>
      <c r="I12740" s="20">
        <v>0.87164396689655999</v>
      </c>
      <c r="J12740" s="28">
        <v>0.38340263718310102</v>
      </c>
      <c r="K12740" s="29">
        <v>0.98289565623980701</v>
      </c>
    </row>
    <row r="12741" spans="1:11" x14ac:dyDescent="0.35">
      <c r="A12741" s="9" t="str">
        <f>HYPERLINK("http://www.ensembl.org/id/WBGene00020197", "WBGene00020197")</f>
        <v>WBGene00020197</v>
      </c>
      <c r="B12741" s="9" t="str">
        <f>HYPERLINK("http://www.ncbi.nlm.nih.gov/gene/180787", "180787")</f>
        <v>180787</v>
      </c>
      <c r="C12741" s="9" t="str">
        <f>HYPERLINK("http://www.ncbi.nlm.nih.gov/gene/11253", "11253")</f>
        <v>11253</v>
      </c>
      <c r="D12741" t="str">
        <f>"mans-3"</f>
        <v>mans-3</v>
      </c>
      <c r="E12741" t="s">
        <v>932</v>
      </c>
      <c r="F12741" t="s">
        <v>11</v>
      </c>
      <c r="G12741" t="s">
        <v>933</v>
      </c>
      <c r="H12741" s="12">
        <v>1.1477035185651501</v>
      </c>
      <c r="I12741" s="20">
        <v>0.67931168147687404</v>
      </c>
      <c r="J12741" s="28">
        <v>0.49694039641134302</v>
      </c>
      <c r="K12741" s="29">
        <v>0.98289565623980701</v>
      </c>
    </row>
    <row r="12742" spans="1:11" x14ac:dyDescent="0.35">
      <c r="A12742" s="9" t="str">
        <f>HYPERLINK("http://www.ensembl.org/id/WBGene00003129", "WBGene00003129")</f>
        <v>WBGene00003129</v>
      </c>
      <c r="B12742" s="9" t="str">
        <f>HYPERLINK("http://www.ncbi.nlm.nih.gov/gene/177128", "177128")</f>
        <v>177128</v>
      </c>
      <c r="C12742" s="9" t="str">
        <f>HYPERLINK("http://www.ncbi.nlm.nih.gov/gene/23173", "23173")</f>
        <v>23173</v>
      </c>
      <c r="D12742" t="str">
        <f>"map-1"</f>
        <v>map-1</v>
      </c>
      <c r="E12742" t="s">
        <v>9654</v>
      </c>
      <c r="F12742" t="s">
        <v>11</v>
      </c>
      <c r="G12742" t="s">
        <v>9655</v>
      </c>
      <c r="H12742" s="12">
        <v>-1.27398181794385</v>
      </c>
      <c r="I12742" s="20">
        <v>-1.18717977843859</v>
      </c>
      <c r="J12742" s="28">
        <v>0.235156715387661</v>
      </c>
      <c r="K12742" s="29">
        <v>0.98289565623980701</v>
      </c>
    </row>
    <row r="12743" spans="1:11" x14ac:dyDescent="0.35">
      <c r="A12743" s="9" t="str">
        <f>HYPERLINK("http://www.ensembl.org/id/WBGene00009306", "WBGene00009306")</f>
        <v>WBGene00009306</v>
      </c>
      <c r="B12743" s="9" t="str">
        <f>HYPERLINK("http://www.ncbi.nlm.nih.gov/gene/173357", "173357")</f>
        <v>173357</v>
      </c>
      <c r="C12743" s="9"/>
      <c r="D12743" t="str">
        <f>"maph-1.1"</f>
        <v>maph-1.1</v>
      </c>
      <c r="E12743" t="s">
        <v>6151</v>
      </c>
      <c r="F12743" t="s">
        <v>11</v>
      </c>
      <c r="G12743" t="s">
        <v>6152</v>
      </c>
      <c r="H12743" s="12">
        <v>1.0494774641170399</v>
      </c>
      <c r="I12743" s="20">
        <v>0.26577095263443001</v>
      </c>
      <c r="J12743" s="28">
        <v>0.79041561533384297</v>
      </c>
      <c r="K12743" s="29">
        <v>0.98289565623980701</v>
      </c>
    </row>
    <row r="12744" spans="1:11" x14ac:dyDescent="0.35">
      <c r="A12744" s="9" t="str">
        <f>HYPERLINK("http://www.ensembl.org/id/WBGene00016397", "WBGene00016397")</f>
        <v>WBGene00016397</v>
      </c>
      <c r="B12744" s="9" t="str">
        <f>HYPERLINK("http://www.ncbi.nlm.nih.gov/gene/177490", "177490")</f>
        <v>177490</v>
      </c>
      <c r="C12744" s="9"/>
      <c r="D12744" t="str">
        <f>"maph-9"</f>
        <v>maph-9</v>
      </c>
      <c r="F12744" t="s">
        <v>11</v>
      </c>
      <c r="G12744" t="s">
        <v>4499</v>
      </c>
      <c r="H12744" s="12">
        <v>1.8455834035365499</v>
      </c>
      <c r="I12744" s="20">
        <v>1.0375166769955899</v>
      </c>
      <c r="J12744" s="28">
        <v>0.29949512760156599</v>
      </c>
      <c r="K12744" s="29">
        <v>0.98289565623980701</v>
      </c>
    </row>
    <row r="12745" spans="1:11" x14ac:dyDescent="0.35">
      <c r="A12745" s="9" t="str">
        <f>HYPERLINK("http://www.ensembl.org/id/WBGene00008433", "WBGene00008433")</f>
        <v>WBGene00008433</v>
      </c>
      <c r="B12745" s="9" t="str">
        <f>HYPERLINK("http://www.ncbi.nlm.nih.gov/gene/183961", "183961")</f>
        <v>183961</v>
      </c>
      <c r="C12745" s="9"/>
      <c r="D12745" t="str">
        <f>"marc-2"</f>
        <v>marc-2</v>
      </c>
      <c r="E12745" t="s">
        <v>114</v>
      </c>
      <c r="F12745" t="s">
        <v>11</v>
      </c>
      <c r="G12745" t="s">
        <v>115</v>
      </c>
      <c r="H12745" s="12">
        <v>-6.57831821686427</v>
      </c>
      <c r="I12745" s="20">
        <v>-0.89467647153822905</v>
      </c>
      <c r="J12745" s="28">
        <v>0.37096005967780998</v>
      </c>
      <c r="K12745" s="29">
        <v>0.98289565623980701</v>
      </c>
    </row>
    <row r="12746" spans="1:11" x14ac:dyDescent="0.35">
      <c r="A12746" s="9" t="str">
        <f>HYPERLINK("http://www.ensembl.org/id/WBGene00016903", "WBGene00016903")</f>
        <v>WBGene00016903</v>
      </c>
      <c r="B12746" s="9" t="str">
        <f>HYPERLINK("http://www.ncbi.nlm.nih.gov/gene/171616", "171616")</f>
        <v>171616</v>
      </c>
      <c r="C12746" s="9"/>
      <c r="D12746" t="str">
        <f>"marc-4"</f>
        <v>marc-4</v>
      </c>
      <c r="E12746" t="s">
        <v>114</v>
      </c>
      <c r="F12746" t="s">
        <v>11</v>
      </c>
      <c r="G12746" t="s">
        <v>6016</v>
      </c>
      <c r="H12746" s="12">
        <v>1.0725052566625299</v>
      </c>
      <c r="I12746" s="20">
        <v>0.28516152614733598</v>
      </c>
      <c r="J12746" s="28">
        <v>0.77552039480132295</v>
      </c>
      <c r="K12746" s="29">
        <v>0.98289565623980701</v>
      </c>
    </row>
    <row r="12747" spans="1:11" x14ac:dyDescent="0.35">
      <c r="A12747" s="9" t="str">
        <f>HYPERLINK("http://www.ensembl.org/id/WBGene00013273", "WBGene00013273")</f>
        <v>WBGene00013273</v>
      </c>
      <c r="B12747" s="9" t="str">
        <f>HYPERLINK("http://www.ncbi.nlm.nih.gov/gene/174876", "174876")</f>
        <v>174876</v>
      </c>
      <c r="C12747" s="9"/>
      <c r="D12747" t="str">
        <f>"marc-5"</f>
        <v>marc-5</v>
      </c>
      <c r="E12747" t="s">
        <v>114</v>
      </c>
      <c r="F12747" t="s">
        <v>11</v>
      </c>
      <c r="G12747" t="s">
        <v>6016</v>
      </c>
      <c r="H12747" s="12">
        <v>-1.17823501933436</v>
      </c>
      <c r="I12747" s="20">
        <v>-0.82245276784079202</v>
      </c>
      <c r="J12747" s="28">
        <v>0.41081925773710498</v>
      </c>
      <c r="K12747" s="29">
        <v>0.98289565623980701</v>
      </c>
    </row>
    <row r="12748" spans="1:11" x14ac:dyDescent="0.35">
      <c r="A12748" s="9" t="str">
        <f>HYPERLINK("http://www.ensembl.org/id/WBGene00018847", "WBGene00018847")</f>
        <v>WBGene00018847</v>
      </c>
      <c r="B12748" s="9" t="str">
        <f>HYPERLINK("http://www.ncbi.nlm.nih.gov/gene/172986", "172986")</f>
        <v>172986</v>
      </c>
      <c r="C12748" s="9" t="str">
        <f>HYPERLINK("http://www.ncbi.nlm.nih.gov/gene/10299", "10299")</f>
        <v>10299</v>
      </c>
      <c r="D12748" t="str">
        <f>"marc-6"</f>
        <v>marc-6</v>
      </c>
      <c r="E12748" t="s">
        <v>114</v>
      </c>
      <c r="F12748" t="s">
        <v>11</v>
      </c>
      <c r="G12748" t="s">
        <v>6992</v>
      </c>
      <c r="H12748" s="12">
        <v>-1.1014191333251899</v>
      </c>
      <c r="I12748" s="20">
        <v>-0.51949323432761296</v>
      </c>
      <c r="J12748" s="28">
        <v>0.60341682970637001</v>
      </c>
      <c r="K12748" s="29">
        <v>0.98289565623980701</v>
      </c>
    </row>
    <row r="12749" spans="1:11" x14ac:dyDescent="0.35">
      <c r="A12749" s="9" t="str">
        <f>HYPERLINK("http://www.ensembl.org/id/WBGene00003132", "WBGene00003132")</f>
        <v>WBGene00003132</v>
      </c>
      <c r="B12749" s="9" t="str">
        <f>HYPERLINK("http://www.ncbi.nlm.nih.gov/gene/172145", "172145")</f>
        <v>172145</v>
      </c>
      <c r="C12749" s="9"/>
      <c r="D12749" t="str">
        <f>"mat-1"</f>
        <v>mat-1</v>
      </c>
      <c r="E12749" t="s">
        <v>8633</v>
      </c>
      <c r="F12749" t="s">
        <v>11</v>
      </c>
      <c r="G12749" t="s">
        <v>54</v>
      </c>
      <c r="H12749" s="12">
        <v>-1.18789940693111</v>
      </c>
      <c r="I12749" s="20">
        <v>-0.92832105453371605</v>
      </c>
      <c r="J12749" s="28">
        <v>0.35324105574063303</v>
      </c>
      <c r="K12749" s="29">
        <v>0.98289565623980701</v>
      </c>
    </row>
    <row r="12750" spans="1:11" x14ac:dyDescent="0.35">
      <c r="A12750" s="9" t="str">
        <f>HYPERLINK("http://www.ensembl.org/id/WBGene00003133", "WBGene00003133")</f>
        <v>WBGene00003133</v>
      </c>
      <c r="B12750" s="9" t="str">
        <f>HYPERLINK("http://www.ncbi.nlm.nih.gov/gene/174698", "174698")</f>
        <v>174698</v>
      </c>
      <c r="C12750" s="9"/>
      <c r="D12750" t="str">
        <f>"mat-2"</f>
        <v>mat-2</v>
      </c>
      <c r="E12750" t="s">
        <v>8577</v>
      </c>
      <c r="F12750" t="s">
        <v>11</v>
      </c>
      <c r="G12750" t="s">
        <v>8578</v>
      </c>
      <c r="H12750" s="12">
        <v>-1.1844106813384201</v>
      </c>
      <c r="I12750" s="20">
        <v>-0.79445223773258</v>
      </c>
      <c r="J12750" s="28">
        <v>0.42693220374305102</v>
      </c>
      <c r="K12750" s="29">
        <v>0.98289565623980701</v>
      </c>
    </row>
    <row r="12751" spans="1:11" x14ac:dyDescent="0.35">
      <c r="A12751" s="9" t="str">
        <f>HYPERLINK("http://www.ensembl.org/id/WBGene00016544", "WBGene00016544")</f>
        <v>WBGene00016544</v>
      </c>
      <c r="B12751" s="9" t="str">
        <f>HYPERLINK("http://www.ncbi.nlm.nih.gov/gene/183351", "183351")</f>
        <v>183351</v>
      </c>
      <c r="C12751" s="9"/>
      <c r="D12751" t="str">
        <f>"math-18"</f>
        <v>math-18</v>
      </c>
      <c r="E12751" t="s">
        <v>596</v>
      </c>
      <c r="F12751" t="s">
        <v>11</v>
      </c>
      <c r="G12751" t="s">
        <v>54</v>
      </c>
      <c r="H12751" s="12">
        <v>-2.1759166663359002</v>
      </c>
      <c r="I12751" s="20">
        <v>-1.0238811510035899</v>
      </c>
      <c r="J12751" s="28">
        <v>0.30589141416023102</v>
      </c>
      <c r="K12751" s="29">
        <v>0.98289565623980701</v>
      </c>
    </row>
    <row r="12752" spans="1:11" x14ac:dyDescent="0.35">
      <c r="A12752" s="9" t="str">
        <f>HYPERLINK("http://www.ensembl.org/id/WBGene00016555", "WBGene00016555")</f>
        <v>WBGene00016555</v>
      </c>
      <c r="B12752" s="9" t="str">
        <f>HYPERLINK("http://www.ncbi.nlm.nih.gov/gene/173562", "173562")</f>
        <v>173562</v>
      </c>
      <c r="C12752" s="9"/>
      <c r="D12752" t="str">
        <f>"math-20"</f>
        <v>math-20</v>
      </c>
      <c r="E12752" t="s">
        <v>596</v>
      </c>
      <c r="F12752" t="s">
        <v>11</v>
      </c>
      <c r="G12752" t="s">
        <v>54</v>
      </c>
      <c r="H12752" s="12">
        <v>-1.2814935317465199</v>
      </c>
      <c r="I12752" s="20">
        <v>-0.77456604193186196</v>
      </c>
      <c r="J12752" s="28">
        <v>0.43859612971318501</v>
      </c>
      <c r="K12752" s="29">
        <v>0.98289565623980701</v>
      </c>
    </row>
    <row r="12753" spans="1:11" x14ac:dyDescent="0.35">
      <c r="A12753" s="9" t="str">
        <f>HYPERLINK("http://www.ensembl.org/id/WBGene00016556", "WBGene00016556")</f>
        <v>WBGene00016556</v>
      </c>
      <c r="B12753" s="9" t="str">
        <f>HYPERLINK("http://www.ncbi.nlm.nih.gov/gene/183363", "183363")</f>
        <v>183363</v>
      </c>
      <c r="C12753" s="9"/>
      <c r="D12753" t="str">
        <f>"math-21"</f>
        <v>math-21</v>
      </c>
      <c r="E12753" t="s">
        <v>596</v>
      </c>
      <c r="F12753" t="s">
        <v>11</v>
      </c>
      <c r="G12753" t="s">
        <v>54</v>
      </c>
      <c r="H12753" s="12">
        <v>-1.67163527715197</v>
      </c>
      <c r="I12753" s="20">
        <v>-0.70273971401759705</v>
      </c>
      <c r="J12753" s="28">
        <v>0.48221797323041099</v>
      </c>
      <c r="K12753" s="29">
        <v>0.98289565623980701</v>
      </c>
    </row>
    <row r="12754" spans="1:11" x14ac:dyDescent="0.35">
      <c r="A12754" s="9" t="str">
        <f>HYPERLINK("http://www.ensembl.org/id/WBGene00016717", "WBGene00016717")</f>
        <v>WBGene00016717</v>
      </c>
      <c r="B12754" s="9" t="str">
        <f>HYPERLINK("http://www.ncbi.nlm.nih.gov/gene/173557", "173557")</f>
        <v>173557</v>
      </c>
      <c r="C12754" s="9"/>
      <c r="D12754" t="str">
        <f>"math-22"</f>
        <v>math-22</v>
      </c>
      <c r="E12754" t="s">
        <v>596</v>
      </c>
      <c r="F12754" t="s">
        <v>11</v>
      </c>
      <c r="G12754" t="s">
        <v>54</v>
      </c>
      <c r="H12754" s="12">
        <v>-1.5754692070617899</v>
      </c>
      <c r="I12754" s="20">
        <v>-0.951330619198825</v>
      </c>
      <c r="J12754" s="28">
        <v>0.34143656825237201</v>
      </c>
      <c r="K12754" s="29">
        <v>0.98289565623980701</v>
      </c>
    </row>
    <row r="12755" spans="1:11" x14ac:dyDescent="0.35">
      <c r="A12755" s="9" t="str">
        <f>HYPERLINK("http://www.ensembl.org/id/WBGene00016718", "WBGene00016718")</f>
        <v>WBGene00016718</v>
      </c>
      <c r="B12755" s="9" t="str">
        <f>HYPERLINK("http://www.ncbi.nlm.nih.gov/gene/183514", "183514")</f>
        <v>183514</v>
      </c>
      <c r="C12755" s="9"/>
      <c r="D12755" t="str">
        <f>"math-23"</f>
        <v>math-23</v>
      </c>
      <c r="E12755" t="s">
        <v>596</v>
      </c>
      <c r="F12755" t="s">
        <v>11</v>
      </c>
      <c r="G12755" t="s">
        <v>54</v>
      </c>
      <c r="H12755" s="12">
        <v>2.5043725645474999</v>
      </c>
      <c r="I12755" s="20">
        <v>1.07968543477026</v>
      </c>
      <c r="J12755" s="28">
        <v>0.28028228207029499</v>
      </c>
      <c r="K12755" s="29">
        <v>0.98289565623980701</v>
      </c>
    </row>
    <row r="12756" spans="1:11" x14ac:dyDescent="0.35">
      <c r="A12756" s="9" t="str">
        <f>HYPERLINK("http://www.ensembl.org/id/WBGene00016719", "WBGene00016719")</f>
        <v>WBGene00016719</v>
      </c>
      <c r="B12756" s="9" t="str">
        <f>HYPERLINK("http://www.ncbi.nlm.nih.gov/gene/183515", "183515")</f>
        <v>183515</v>
      </c>
      <c r="C12756" s="9"/>
      <c r="D12756" t="str">
        <f>"math-24"</f>
        <v>math-24</v>
      </c>
      <c r="E12756" t="s">
        <v>596</v>
      </c>
      <c r="F12756" t="s">
        <v>11</v>
      </c>
      <c r="G12756" t="s">
        <v>54</v>
      </c>
      <c r="H12756" s="12">
        <v>-1.2930693441268399</v>
      </c>
      <c r="I12756" s="20">
        <v>-0.85222666708375705</v>
      </c>
      <c r="J12756" s="28">
        <v>0.39408829845934501</v>
      </c>
      <c r="K12756" s="29">
        <v>0.98289565623980701</v>
      </c>
    </row>
    <row r="12757" spans="1:11" x14ac:dyDescent="0.35">
      <c r="A12757" s="9" t="str">
        <f>HYPERLINK("http://www.ensembl.org/id/WBGene00018100", "WBGene00018100")</f>
        <v>WBGene00018100</v>
      </c>
      <c r="B12757" s="9" t="str">
        <f>HYPERLINK("http://www.ncbi.nlm.nih.gov/gene/173546", "173546")</f>
        <v>173546</v>
      </c>
      <c r="C12757" s="9"/>
      <c r="D12757" t="str">
        <f>"math-26"</f>
        <v>math-26</v>
      </c>
      <c r="E12757" t="s">
        <v>596</v>
      </c>
      <c r="F12757" t="s">
        <v>11</v>
      </c>
      <c r="G12757" t="s">
        <v>54</v>
      </c>
      <c r="H12757" s="12">
        <v>1.13085484451968</v>
      </c>
      <c r="I12757" s="20">
        <v>0.38385556957816802</v>
      </c>
      <c r="J12757" s="28">
        <v>0.70108549859472302</v>
      </c>
      <c r="K12757" s="29">
        <v>0.98289565623980701</v>
      </c>
    </row>
    <row r="12758" spans="1:11" x14ac:dyDescent="0.35">
      <c r="A12758" s="9" t="str">
        <f>HYPERLINK("http://www.ensembl.org/id/WBGene00018101", "WBGene00018101")</f>
        <v>WBGene00018101</v>
      </c>
      <c r="B12758" s="9" t="str">
        <f>HYPERLINK("http://www.ncbi.nlm.nih.gov/gene/173545", "173545")</f>
        <v>173545</v>
      </c>
      <c r="C12758" s="9"/>
      <c r="D12758" t="str">
        <f>"math-27"</f>
        <v>math-27</v>
      </c>
      <c r="E12758" t="s">
        <v>596</v>
      </c>
      <c r="F12758" t="s">
        <v>11</v>
      </c>
      <c r="G12758" t="s">
        <v>54</v>
      </c>
      <c r="H12758" s="12">
        <v>-1.29812546479692</v>
      </c>
      <c r="I12758" s="20">
        <v>-0.97157462694468699</v>
      </c>
      <c r="J12758" s="28">
        <v>0.33126221040113302</v>
      </c>
      <c r="K12758" s="29">
        <v>0.98289565623980701</v>
      </c>
    </row>
    <row r="12759" spans="1:11" x14ac:dyDescent="0.35">
      <c r="A12759" s="9" t="str">
        <f>HYPERLINK("http://www.ensembl.org/id/WBGene00018441", "WBGene00018441")</f>
        <v>WBGene00018441</v>
      </c>
      <c r="B12759" s="9" t="str">
        <f>HYPERLINK("http://www.ncbi.nlm.nih.gov/gene/185772", "185772")</f>
        <v>185772</v>
      </c>
      <c r="C12759" s="9"/>
      <c r="D12759" t="str">
        <f>"math-29"</f>
        <v>math-29</v>
      </c>
      <c r="E12759" t="s">
        <v>596</v>
      </c>
      <c r="F12759" t="s">
        <v>11</v>
      </c>
      <c r="G12759" t="s">
        <v>54</v>
      </c>
      <c r="H12759" s="12">
        <v>-1.95095021000869</v>
      </c>
      <c r="I12759" s="20">
        <v>-0.27109980765326402</v>
      </c>
      <c r="J12759" s="28">
        <v>0.78631426950972505</v>
      </c>
      <c r="K12759" s="29">
        <v>0.98289565623980701</v>
      </c>
    </row>
    <row r="12760" spans="1:11" x14ac:dyDescent="0.35">
      <c r="A12760" s="9" t="str">
        <f>HYPERLINK("http://www.ensembl.org/id/WBGene00018662", "WBGene00018662")</f>
        <v>WBGene00018662</v>
      </c>
      <c r="B12760" s="9"/>
      <c r="C12760" s="9"/>
      <c r="D12760" t="str">
        <f>"math-30"</f>
        <v>math-30</v>
      </c>
      <c r="F12760" t="s">
        <v>80</v>
      </c>
      <c r="H12760" s="12">
        <v>2.4578120077400301</v>
      </c>
      <c r="I12760" s="20">
        <v>0.26093350314551</v>
      </c>
      <c r="J12760" s="28">
        <v>0.79414378780213601</v>
      </c>
      <c r="K12760" s="29">
        <v>0.98289565623980701</v>
      </c>
    </row>
    <row r="12761" spans="1:11" x14ac:dyDescent="0.35">
      <c r="A12761" s="9" t="str">
        <f>HYPERLINK("http://www.ensembl.org/id/WBGene00018663", "WBGene00018663")</f>
        <v>WBGene00018663</v>
      </c>
      <c r="B12761" s="9" t="str">
        <f>HYPERLINK("http://www.ncbi.nlm.nih.gov/gene/186088", "186088")</f>
        <v>186088</v>
      </c>
      <c r="C12761" s="9"/>
      <c r="D12761" t="str">
        <f>"math-31"</f>
        <v>math-31</v>
      </c>
      <c r="E12761" t="s">
        <v>596</v>
      </c>
      <c r="F12761" t="s">
        <v>11</v>
      </c>
      <c r="G12761" t="s">
        <v>54</v>
      </c>
      <c r="H12761" s="12">
        <v>-2.4295389261469</v>
      </c>
      <c r="I12761" s="20">
        <v>-0.25808529976640998</v>
      </c>
      <c r="J12761" s="28">
        <v>0.79634107645457397</v>
      </c>
      <c r="K12761" s="29">
        <v>0.98289565623980701</v>
      </c>
    </row>
    <row r="12762" spans="1:11" x14ac:dyDescent="0.35">
      <c r="A12762" s="9" t="str">
        <f>HYPERLINK("http://www.ensembl.org/id/WBGene00010406", "WBGene00010406")</f>
        <v>WBGene00010406</v>
      </c>
      <c r="B12762" s="9" t="str">
        <f>HYPERLINK("http://www.ncbi.nlm.nih.gov/gene/179538", "179538")</f>
        <v>179538</v>
      </c>
      <c r="C12762" s="9" t="str">
        <f>HYPERLINK("http://www.ncbi.nlm.nih.gov/gene/7874", "7874")</f>
        <v>7874</v>
      </c>
      <c r="D12762" t="str">
        <f>"math-33"</f>
        <v>math-33</v>
      </c>
      <c r="E12762" t="s">
        <v>7887</v>
      </c>
      <c r="F12762" t="s">
        <v>11</v>
      </c>
      <c r="G12762" t="s">
        <v>7888</v>
      </c>
      <c r="H12762" s="12">
        <v>-1.1497937203752799</v>
      </c>
      <c r="I12762" s="20">
        <v>-0.77733041468156205</v>
      </c>
      <c r="J12762" s="28">
        <v>0.43696385519877101</v>
      </c>
      <c r="K12762" s="29">
        <v>0.98289565623980701</v>
      </c>
    </row>
    <row r="12763" spans="1:11" x14ac:dyDescent="0.35">
      <c r="A12763" s="9" t="str">
        <f>HYPERLINK("http://www.ensembl.org/id/WBGene00020075", "WBGene00020075")</f>
        <v>WBGene00020075</v>
      </c>
      <c r="B12763" s="9"/>
      <c r="C12763" s="9"/>
      <c r="D12763" t="str">
        <f>"math-35"</f>
        <v>math-35</v>
      </c>
      <c r="F12763" t="s">
        <v>80</v>
      </c>
      <c r="H12763" s="12">
        <v>-1.2632462079961999</v>
      </c>
      <c r="I12763" s="20">
        <v>-0.50128063305823101</v>
      </c>
      <c r="J12763" s="28">
        <v>0.61617363334177</v>
      </c>
      <c r="K12763" s="29">
        <v>0.98289565623980701</v>
      </c>
    </row>
    <row r="12764" spans="1:11" x14ac:dyDescent="0.35">
      <c r="A12764" s="9" t="str">
        <f>HYPERLINK("http://www.ensembl.org/id/WBGene00020080", "WBGene00020080")</f>
        <v>WBGene00020080</v>
      </c>
      <c r="B12764" s="9" t="str">
        <f>HYPERLINK("http://www.ncbi.nlm.nih.gov/gene/187883", "187883")</f>
        <v>187883</v>
      </c>
      <c r="C12764" s="9"/>
      <c r="D12764" t="str">
        <f>"math-37"</f>
        <v>math-37</v>
      </c>
      <c r="E12764" t="s">
        <v>596</v>
      </c>
      <c r="F12764" t="s">
        <v>11</v>
      </c>
      <c r="G12764" t="s">
        <v>54</v>
      </c>
      <c r="H12764" s="12">
        <v>-1.3101564646470001</v>
      </c>
      <c r="I12764" s="20">
        <v>-0.490202343222648</v>
      </c>
      <c r="J12764" s="28">
        <v>0.62399072286317503</v>
      </c>
      <c r="K12764" s="29">
        <v>0.98289565623980701</v>
      </c>
    </row>
    <row r="12765" spans="1:11" x14ac:dyDescent="0.35">
      <c r="A12765" s="9" t="str">
        <f>HYPERLINK("http://www.ensembl.org/id/WBGene00020358", "WBGene00020358")</f>
        <v>WBGene00020358</v>
      </c>
      <c r="B12765" s="9" t="str">
        <f>HYPERLINK("http://www.ncbi.nlm.nih.gov/gene/173552", "173552")</f>
        <v>173552</v>
      </c>
      <c r="C12765" s="9"/>
      <c r="D12765" t="str">
        <f>"math-39"</f>
        <v>math-39</v>
      </c>
      <c r="E12765" t="s">
        <v>596</v>
      </c>
      <c r="F12765" t="s">
        <v>11</v>
      </c>
      <c r="G12765" t="s">
        <v>54</v>
      </c>
      <c r="H12765" s="12">
        <v>-1.1767363581655199</v>
      </c>
      <c r="I12765" s="20">
        <v>-0.42024985431244799</v>
      </c>
      <c r="J12765" s="28">
        <v>0.67430293836717403</v>
      </c>
      <c r="K12765" s="29">
        <v>0.98289565623980701</v>
      </c>
    </row>
    <row r="12766" spans="1:11" x14ac:dyDescent="0.35">
      <c r="A12766" s="9" t="str">
        <f>HYPERLINK("http://www.ensembl.org/id/WBGene00015609", "WBGene00015609")</f>
        <v>WBGene00015609</v>
      </c>
      <c r="B12766" s="9" t="str">
        <f>HYPERLINK("http://www.ncbi.nlm.nih.gov/gene/173548", "173548")</f>
        <v>173548</v>
      </c>
      <c r="C12766" s="9"/>
      <c r="D12766" t="str">
        <f>"math-4"</f>
        <v>math-4</v>
      </c>
      <c r="E12766" t="s">
        <v>596</v>
      </c>
      <c r="F12766" t="s">
        <v>11</v>
      </c>
      <c r="G12766" t="s">
        <v>54</v>
      </c>
      <c r="H12766" s="12">
        <v>1.23653873032658</v>
      </c>
      <c r="I12766" s="20">
        <v>1.0547788778462901</v>
      </c>
      <c r="J12766" s="28">
        <v>0.29152646700788298</v>
      </c>
      <c r="K12766" s="29">
        <v>0.98289565623980701</v>
      </c>
    </row>
    <row r="12767" spans="1:11" x14ac:dyDescent="0.35">
      <c r="A12767" s="9" t="str">
        <f>HYPERLINK("http://www.ensembl.org/id/WBGene00020359", "WBGene00020359")</f>
        <v>WBGene00020359</v>
      </c>
      <c r="B12767" s="9" t="str">
        <f>HYPERLINK("http://www.ncbi.nlm.nih.gov/gene/353389", "353389")</f>
        <v>353389</v>
      </c>
      <c r="C12767" s="9"/>
      <c r="D12767" t="str">
        <f>"math-40"</f>
        <v>math-40</v>
      </c>
      <c r="E12767" t="s">
        <v>596</v>
      </c>
      <c r="F12767" t="s">
        <v>11</v>
      </c>
      <c r="G12767" t="s">
        <v>54</v>
      </c>
      <c r="H12767" s="12">
        <v>-1.2925373498285999</v>
      </c>
      <c r="I12767" s="20">
        <v>-0.69176020316154696</v>
      </c>
      <c r="J12767" s="28">
        <v>0.48908793265783901</v>
      </c>
      <c r="K12767" s="29">
        <v>0.98289565623980701</v>
      </c>
    </row>
    <row r="12768" spans="1:11" x14ac:dyDescent="0.35">
      <c r="A12768" s="9" t="str">
        <f>HYPERLINK("http://www.ensembl.org/id/WBGene00020360", "WBGene00020360")</f>
        <v>WBGene00020360</v>
      </c>
      <c r="B12768" s="9" t="str">
        <f>HYPERLINK("http://www.ncbi.nlm.nih.gov/gene/3565234", "3565234")</f>
        <v>3565234</v>
      </c>
      <c r="C12768" s="9"/>
      <c r="D12768" t="str">
        <f>"math-41"</f>
        <v>math-41</v>
      </c>
      <c r="E12768" t="s">
        <v>596</v>
      </c>
      <c r="F12768" t="s">
        <v>11</v>
      </c>
      <c r="G12768" t="s">
        <v>54</v>
      </c>
      <c r="H12768" s="12">
        <v>1.17453177943009</v>
      </c>
      <c r="I12768" s="20">
        <v>0.592035126608079</v>
      </c>
      <c r="J12768" s="28">
        <v>0.55382706665280301</v>
      </c>
      <c r="K12768" s="29">
        <v>0.98289565623980701</v>
      </c>
    </row>
    <row r="12769" spans="1:11" x14ac:dyDescent="0.35">
      <c r="A12769" s="9" t="str">
        <f>HYPERLINK("http://www.ensembl.org/id/WBGene00021193", "WBGene00021193")</f>
        <v>WBGene00021193</v>
      </c>
      <c r="B12769" s="9" t="str">
        <f>HYPERLINK("http://www.ncbi.nlm.nih.gov/gene/189440", "189440")</f>
        <v>189440</v>
      </c>
      <c r="C12769" s="9"/>
      <c r="D12769" t="str">
        <f>"math-44"</f>
        <v>math-44</v>
      </c>
      <c r="E12769" t="s">
        <v>596</v>
      </c>
      <c r="F12769" t="s">
        <v>11</v>
      </c>
      <c r="G12769" t="s">
        <v>54</v>
      </c>
      <c r="H12769" s="12">
        <v>-1.7448017094903101</v>
      </c>
      <c r="I12769" s="20">
        <v>-0.68272976022692</v>
      </c>
      <c r="J12769" s="28">
        <v>0.494777620805607</v>
      </c>
      <c r="K12769" s="29">
        <v>0.98289565623980701</v>
      </c>
    </row>
    <row r="12770" spans="1:11" x14ac:dyDescent="0.35">
      <c r="A12770" s="9" t="str">
        <f>HYPERLINK("http://www.ensembl.org/id/WBGene00021175", "WBGene00021175")</f>
        <v>WBGene00021175</v>
      </c>
      <c r="B12770" s="9" t="str">
        <f>HYPERLINK("http://www.ncbi.nlm.nih.gov/gene/189404", "189404")</f>
        <v>189404</v>
      </c>
      <c r="C12770" s="9"/>
      <c r="D12770" t="str">
        <f>"math-46"</f>
        <v>math-46</v>
      </c>
      <c r="E12770" t="s">
        <v>596</v>
      </c>
      <c r="F12770" t="s">
        <v>11</v>
      </c>
      <c r="H12770" s="12">
        <v>2.7278088159012102</v>
      </c>
      <c r="I12770" s="20">
        <v>0.84384321737562396</v>
      </c>
      <c r="J12770" s="28">
        <v>0.39875702190772599</v>
      </c>
      <c r="K12770" s="29">
        <v>0.98289565623980701</v>
      </c>
    </row>
    <row r="12771" spans="1:11" x14ac:dyDescent="0.35">
      <c r="A12771" s="9" t="str">
        <f>HYPERLINK("http://www.ensembl.org/id/WBGene00022689", "WBGene00022689")</f>
        <v>WBGene00022689</v>
      </c>
      <c r="B12771" s="9" t="str">
        <f>HYPERLINK("http://www.ncbi.nlm.nih.gov/gene/191261", "191261")</f>
        <v>191261</v>
      </c>
      <c r="C12771" s="9"/>
      <c r="D12771" t="str">
        <f>"math-48"</f>
        <v>math-48</v>
      </c>
      <c r="E12771" t="s">
        <v>596</v>
      </c>
      <c r="F12771" t="s">
        <v>11</v>
      </c>
      <c r="G12771" t="s">
        <v>54</v>
      </c>
      <c r="H12771" s="12">
        <v>-2.3838754719136599</v>
      </c>
      <c r="I12771" s="20">
        <v>-0.25807578497976902</v>
      </c>
      <c r="J12771" s="28">
        <v>0.79634841949468704</v>
      </c>
      <c r="K12771" s="29">
        <v>0.98289565623980701</v>
      </c>
    </row>
    <row r="12772" spans="1:11" x14ac:dyDescent="0.35">
      <c r="A12772" s="9" t="str">
        <f>HYPERLINK("http://www.ensembl.org/id/WBGene00022691", "WBGene00022691")</f>
        <v>WBGene00022691</v>
      </c>
      <c r="B12772" s="9" t="str">
        <f>HYPERLINK("http://www.ncbi.nlm.nih.gov/gene/173561", "173561")</f>
        <v>173561</v>
      </c>
      <c r="C12772" s="9"/>
      <c r="D12772" t="str">
        <f>"math-50"</f>
        <v>math-50</v>
      </c>
      <c r="E12772" t="s">
        <v>596</v>
      </c>
      <c r="F12772" t="s">
        <v>11</v>
      </c>
      <c r="G12772" t="s">
        <v>54</v>
      </c>
      <c r="H12772" s="12">
        <v>-11.359794722088999</v>
      </c>
      <c r="I12772" s="20">
        <v>-0.75222598084001502</v>
      </c>
      <c r="J12772" s="28">
        <v>0.45191517202849601</v>
      </c>
      <c r="K12772" s="29">
        <v>0.98289565623980701</v>
      </c>
    </row>
    <row r="12773" spans="1:11" x14ac:dyDescent="0.35">
      <c r="A12773" s="9" t="str">
        <f>HYPERLINK("http://www.ensembl.org/id/WBGene00015835", "WBGene00015835")</f>
        <v>WBGene00015835</v>
      </c>
      <c r="B12773" s="9" t="str">
        <f>HYPERLINK("http://www.ncbi.nlm.nih.gov/gene/182665", "182665")</f>
        <v>182665</v>
      </c>
      <c r="C12773" s="9"/>
      <c r="D12773" t="str">
        <f>"math-6"</f>
        <v>math-6</v>
      </c>
      <c r="E12773" t="s">
        <v>596</v>
      </c>
      <c r="F12773" t="s">
        <v>11</v>
      </c>
      <c r="G12773" t="s">
        <v>54</v>
      </c>
      <c r="H12773" s="12">
        <v>2.3893468495514898</v>
      </c>
      <c r="I12773" s="20">
        <v>0.25323547253672701</v>
      </c>
      <c r="J12773" s="28">
        <v>0.80008625651646104</v>
      </c>
      <c r="K12773" s="29">
        <v>0.98289565623980701</v>
      </c>
    </row>
    <row r="12774" spans="1:11" x14ac:dyDescent="0.35">
      <c r="A12774" s="9" t="str">
        <f>HYPERLINK("http://www.ensembl.org/id/WBGene00015836", "WBGene00015836")</f>
        <v>WBGene00015836</v>
      </c>
      <c r="B12774" s="9" t="str">
        <f>HYPERLINK("http://www.ncbi.nlm.nih.gov/gene/182666", "182666")</f>
        <v>182666</v>
      </c>
      <c r="C12774" s="9"/>
      <c r="D12774" t="str">
        <f>"math-7"</f>
        <v>math-7</v>
      </c>
      <c r="E12774" t="s">
        <v>596</v>
      </c>
      <c r="F12774" t="s">
        <v>11</v>
      </c>
      <c r="G12774" t="s">
        <v>54</v>
      </c>
      <c r="H12774" s="12">
        <v>2.3625248369496998</v>
      </c>
      <c r="I12774" s="20">
        <v>0.27133230146732801</v>
      </c>
      <c r="J12774" s="28">
        <v>0.786135464981218</v>
      </c>
      <c r="K12774" s="29">
        <v>0.98289565623980701</v>
      </c>
    </row>
    <row r="12775" spans="1:11" x14ac:dyDescent="0.35">
      <c r="A12775" s="9" t="str">
        <f>HYPERLINK("http://www.ensembl.org/id/WBGene00015837", "WBGene00015837")</f>
        <v>WBGene00015837</v>
      </c>
      <c r="B12775" s="9" t="str">
        <f>HYPERLINK("http://www.ncbi.nlm.nih.gov/gene/182667", "182667")</f>
        <v>182667</v>
      </c>
      <c r="C12775" s="9"/>
      <c r="D12775" t="str">
        <f>"math-8"</f>
        <v>math-8</v>
      </c>
      <c r="E12775" t="s">
        <v>596</v>
      </c>
      <c r="F12775" t="s">
        <v>11</v>
      </c>
      <c r="G12775" t="s">
        <v>54</v>
      </c>
      <c r="H12775" s="12">
        <v>2.1179709964042801</v>
      </c>
      <c r="I12775" s="20">
        <v>0.300827502990479</v>
      </c>
      <c r="J12775" s="28">
        <v>0.76354603491985695</v>
      </c>
      <c r="K12775" s="29">
        <v>0.98289565623980701</v>
      </c>
    </row>
    <row r="12776" spans="1:11" x14ac:dyDescent="0.35">
      <c r="A12776" s="9" t="str">
        <f>HYPERLINK("http://www.ensembl.org/id/WBGene00003136", "WBGene00003136")</f>
        <v>WBGene00003136</v>
      </c>
      <c r="B12776" s="9" t="str">
        <f>HYPERLINK("http://www.ncbi.nlm.nih.gov/gene/172598", "172598")</f>
        <v>172598</v>
      </c>
      <c r="C12776" s="9" t="str">
        <f>HYPERLINK("http://www.ncbi.nlm.nih.gov/gene/23383", "23383")</f>
        <v>23383</v>
      </c>
      <c r="D12776" t="str">
        <f>"mau-2"</f>
        <v>mau-2</v>
      </c>
      <c r="E12776" t="s">
        <v>9614</v>
      </c>
      <c r="F12776" t="s">
        <v>11</v>
      </c>
      <c r="G12776" t="s">
        <v>9615</v>
      </c>
      <c r="H12776" s="12">
        <v>-1.2647493274978301</v>
      </c>
      <c r="I12776" s="20">
        <v>-1.0337516648346501</v>
      </c>
      <c r="J12776" s="28">
        <v>0.30125227327038001</v>
      </c>
      <c r="K12776" s="29">
        <v>0.98289565623980701</v>
      </c>
    </row>
    <row r="12777" spans="1:11" x14ac:dyDescent="0.35">
      <c r="A12777" s="9" t="str">
        <f>HYPERLINK("http://www.ensembl.org/id/WBGene00003143", "WBGene00003143")</f>
        <v>WBGene00003143</v>
      </c>
      <c r="B12777" s="9" t="str">
        <f>HYPERLINK("http://www.ncbi.nlm.nih.gov/gene/179794", "179794")</f>
        <v>179794</v>
      </c>
      <c r="C12777" s="9" t="str">
        <f>HYPERLINK("http://www.ncbi.nlm.nih.gov/gene/57475", "57475")</f>
        <v>57475</v>
      </c>
      <c r="D12777" t="str">
        <f>"max-1"</f>
        <v>max-1</v>
      </c>
      <c r="E12777" t="s">
        <v>4917</v>
      </c>
      <c r="F12777" t="s">
        <v>11</v>
      </c>
      <c r="G12777" t="s">
        <v>4918</v>
      </c>
      <c r="H12777" s="12">
        <v>1.3019975799472101</v>
      </c>
      <c r="I12777" s="20">
        <v>1.18060290039366</v>
      </c>
      <c r="J12777" s="28">
        <v>0.23776051089451999</v>
      </c>
      <c r="K12777" s="29">
        <v>0.98289565623980701</v>
      </c>
    </row>
    <row r="12778" spans="1:11" x14ac:dyDescent="0.35">
      <c r="A12778" s="9" t="str">
        <f>HYPERLINK("http://www.ensembl.org/id/WBGene00003144", "WBGene00003144")</f>
        <v>WBGene00003144</v>
      </c>
      <c r="B12778" s="9" t="str">
        <f>HYPERLINK("http://www.ncbi.nlm.nih.gov/gene/3565400", "3565400")</f>
        <v>3565400</v>
      </c>
      <c r="C12778" s="9"/>
      <c r="D12778" t="str">
        <f>"max-2"</f>
        <v>max-2</v>
      </c>
      <c r="E12778" t="s">
        <v>8961</v>
      </c>
      <c r="F12778" t="s">
        <v>11</v>
      </c>
      <c r="G12778" t="s">
        <v>8962</v>
      </c>
      <c r="H12778" s="12">
        <v>-1.21102407088028</v>
      </c>
      <c r="I12778" s="20">
        <v>-1.04999958370395</v>
      </c>
      <c r="J12778" s="28">
        <v>0.29371830414988798</v>
      </c>
      <c r="K12778" s="29">
        <v>0.98289565623980701</v>
      </c>
    </row>
    <row r="12779" spans="1:11" x14ac:dyDescent="0.35">
      <c r="A12779" s="9" t="str">
        <f>HYPERLINK("http://www.ensembl.org/id/WBGene00023409", "WBGene00023409")</f>
        <v>WBGene00023409</v>
      </c>
      <c r="B12779" s="9" t="str">
        <f>HYPERLINK("http://www.ncbi.nlm.nih.gov/gene/3565704", "3565704")</f>
        <v>3565704</v>
      </c>
      <c r="C12779" s="9"/>
      <c r="D12779" t="str">
        <f>"mbd-2"</f>
        <v>mbd-2</v>
      </c>
      <c r="E12779" t="s">
        <v>6087</v>
      </c>
      <c r="F12779" t="s">
        <v>11</v>
      </c>
      <c r="H12779" s="12">
        <v>1.0638829596181301</v>
      </c>
      <c r="I12779" s="20">
        <v>0.28263483737170603</v>
      </c>
      <c r="J12779" s="28">
        <v>0.77745677233166</v>
      </c>
      <c r="K12779" s="29">
        <v>0.98289565623980701</v>
      </c>
    </row>
    <row r="12780" spans="1:11" x14ac:dyDescent="0.35">
      <c r="A12780" s="9" t="str">
        <f>HYPERLINK("http://www.ensembl.org/id/WBGene00003149", "WBGene00003149")</f>
        <v>WBGene00003149</v>
      </c>
      <c r="B12780" s="9" t="str">
        <f>HYPERLINK("http://www.ncbi.nlm.nih.gov/gene/181578", "181578")</f>
        <v>181578</v>
      </c>
      <c r="C12780" s="9"/>
      <c r="D12780" t="str">
        <f>"mbk-1"</f>
        <v>mbk-1</v>
      </c>
      <c r="E12780" t="s">
        <v>6102</v>
      </c>
      <c r="F12780" t="s">
        <v>11</v>
      </c>
      <c r="G12780" t="s">
        <v>6103</v>
      </c>
      <c r="H12780" s="12">
        <v>1.0601683976073399</v>
      </c>
      <c r="I12780" s="20">
        <v>0.31188598478796098</v>
      </c>
      <c r="J12780" s="28">
        <v>0.75512717413899499</v>
      </c>
      <c r="K12780" s="29">
        <v>0.98289565623980701</v>
      </c>
    </row>
    <row r="12781" spans="1:11" x14ac:dyDescent="0.35">
      <c r="A12781" s="9" t="str">
        <f>HYPERLINK("http://www.ensembl.org/id/WBGene00003150", "WBGene00003150")</f>
        <v>WBGene00003150</v>
      </c>
      <c r="B12781" s="9" t="str">
        <f>HYPERLINK("http://www.ncbi.nlm.nih.gov/gene/178250", "178250")</f>
        <v>178250</v>
      </c>
      <c r="C12781" s="9" t="str">
        <f>HYPERLINK("http://www.ncbi.nlm.nih.gov/gene/8445", "8445")</f>
        <v>8445</v>
      </c>
      <c r="D12781" t="str">
        <f>"mbk-2"</f>
        <v>mbk-2</v>
      </c>
      <c r="E12781" t="s">
        <v>7704</v>
      </c>
      <c r="F12781" t="s">
        <v>11</v>
      </c>
      <c r="G12781" t="s">
        <v>7705</v>
      </c>
      <c r="H12781" s="12">
        <v>-1.1400900192704799</v>
      </c>
      <c r="I12781" s="20">
        <v>-0.69366031594559496</v>
      </c>
      <c r="J12781" s="28">
        <v>0.48789525839949299</v>
      </c>
      <c r="K12781" s="29">
        <v>0.98289565623980701</v>
      </c>
    </row>
    <row r="12782" spans="1:11" x14ac:dyDescent="0.35">
      <c r="A12782" s="9" t="str">
        <f>HYPERLINK("http://www.ensembl.org/id/WBGene00016934", "WBGene00016934")</f>
        <v>WBGene00016934</v>
      </c>
      <c r="B12782" s="9" t="str">
        <f>HYPERLINK("http://www.ncbi.nlm.nih.gov/gene/180824", "180824")</f>
        <v>180824</v>
      </c>
      <c r="C12782" s="9" t="str">
        <f>HYPERLINK("http://www.ncbi.nlm.nih.gov/gene/129642", "129642")</f>
        <v>129642</v>
      </c>
      <c r="D12782" t="str">
        <f>"mboa-3"</f>
        <v>mboa-3</v>
      </c>
      <c r="E12782" t="s">
        <v>8101</v>
      </c>
      <c r="F12782" t="s">
        <v>11</v>
      </c>
      <c r="G12782" t="s">
        <v>8102</v>
      </c>
      <c r="H12782" s="12">
        <v>-1.1607111510025501</v>
      </c>
      <c r="I12782" s="20">
        <v>-0.77869283969541803</v>
      </c>
      <c r="J12782" s="28">
        <v>0.43616067502857703</v>
      </c>
      <c r="K12782" s="29">
        <v>0.98289565623980701</v>
      </c>
    </row>
    <row r="12783" spans="1:11" x14ac:dyDescent="0.35">
      <c r="A12783" s="9" t="str">
        <f>HYPERLINK("http://www.ensembl.org/id/WBGene00007446", "WBGene00007446")</f>
        <v>WBGene00007446</v>
      </c>
      <c r="B12783" s="9" t="str">
        <f>HYPERLINK("http://www.ncbi.nlm.nih.gov/gene/182414", "182414")</f>
        <v>182414</v>
      </c>
      <c r="C12783" s="9" t="str">
        <f>HYPERLINK("http://www.ncbi.nlm.nih.gov/gene/129642", "129642")</f>
        <v>129642</v>
      </c>
      <c r="D12783" t="str">
        <f>"mboa-4"</f>
        <v>mboa-4</v>
      </c>
      <c r="E12783" t="s">
        <v>10037</v>
      </c>
      <c r="F12783" t="s">
        <v>11</v>
      </c>
      <c r="G12783" t="s">
        <v>8102</v>
      </c>
      <c r="H12783" s="12">
        <v>-2.0668202416619099</v>
      </c>
      <c r="I12783" s="20">
        <v>-0.72027831224069605</v>
      </c>
      <c r="J12783" s="28">
        <v>0.47135365518008798</v>
      </c>
      <c r="K12783" s="29">
        <v>0.98289565623980701</v>
      </c>
    </row>
    <row r="12784" spans="1:11" x14ac:dyDescent="0.35">
      <c r="A12784" s="9" t="str">
        <f>HYPERLINK("http://www.ensembl.org/id/WBGene00013995", "WBGene00013995")</f>
        <v>WBGene00013995</v>
      </c>
      <c r="B12784" s="9"/>
      <c r="C12784" s="9"/>
      <c r="D12784" t="str">
        <f>"mboa-5"</f>
        <v>mboa-5</v>
      </c>
      <c r="F12784" t="s">
        <v>80</v>
      </c>
      <c r="H12784" s="12">
        <v>-1.5478354245358801</v>
      </c>
      <c r="I12784" s="20">
        <v>-0.67885759038441695</v>
      </c>
      <c r="J12784" s="28">
        <v>0.49722809935248102</v>
      </c>
      <c r="K12784" s="29">
        <v>0.98289565623980701</v>
      </c>
    </row>
    <row r="12785" spans="1:11" x14ac:dyDescent="0.35">
      <c r="A12785" s="9" t="str">
        <f>HYPERLINK("http://www.ensembl.org/id/WBGene00020115", "WBGene00020115")</f>
        <v>WBGene00020115</v>
      </c>
      <c r="B12785" s="9" t="str">
        <f>HYPERLINK("http://www.ncbi.nlm.nih.gov/gene/175339", "175339")</f>
        <v>175339</v>
      </c>
      <c r="C12785" s="9" t="str">
        <f>HYPERLINK("http://www.ncbi.nlm.nih.gov/gene/10162", "10162")</f>
        <v>10162</v>
      </c>
      <c r="D12785" t="str">
        <f>"mboa-6"</f>
        <v>mboa-6</v>
      </c>
      <c r="E12785" t="s">
        <v>8279</v>
      </c>
      <c r="F12785" t="s">
        <v>11</v>
      </c>
      <c r="H12785" s="12">
        <v>-1.1687268969128699</v>
      </c>
      <c r="I12785" s="20">
        <v>-0.85675156698585098</v>
      </c>
      <c r="J12785" s="28">
        <v>0.391582197738857</v>
      </c>
      <c r="K12785" s="29">
        <v>0.98289565623980701</v>
      </c>
    </row>
    <row r="12786" spans="1:11" x14ac:dyDescent="0.35">
      <c r="A12786" s="9" t="str">
        <f>HYPERLINK("http://www.ensembl.org/id/WBGene00008806", "WBGene00008806")</f>
        <v>WBGene00008806</v>
      </c>
      <c r="B12786" s="9" t="str">
        <f>HYPERLINK("http://www.ncbi.nlm.nih.gov/gene/181252", "181252")</f>
        <v>181252</v>
      </c>
      <c r="C12786" s="9" t="str">
        <f>HYPERLINK("http://www.ncbi.nlm.nih.gov/gene/79143", "79143")</f>
        <v>79143</v>
      </c>
      <c r="D12786" t="str">
        <f>"mboa-7"</f>
        <v>mboa-7</v>
      </c>
      <c r="E12786" t="s">
        <v>7008</v>
      </c>
      <c r="F12786" t="s">
        <v>11</v>
      </c>
      <c r="H12786" s="12">
        <v>-1.1020537634051</v>
      </c>
      <c r="I12786" s="20">
        <v>-0.40182251651078399</v>
      </c>
      <c r="J12786" s="28">
        <v>0.68781464987441998</v>
      </c>
      <c r="K12786" s="29">
        <v>0.98289565623980701</v>
      </c>
    </row>
    <row r="12787" spans="1:11" x14ac:dyDescent="0.35">
      <c r="A12787" s="9" t="str">
        <f>HYPERLINK("http://www.ensembl.org/id/WBGene00011315", "WBGene00011315")</f>
        <v>WBGene00011315</v>
      </c>
      <c r="B12787" s="9" t="str">
        <f>HYPERLINK("http://www.ncbi.nlm.nih.gov/gene/187937", "187937")</f>
        <v>187937</v>
      </c>
      <c r="C12787" s="9"/>
      <c r="D12787" t="str">
        <f>"mbr-1"</f>
        <v>mbr-1</v>
      </c>
      <c r="E12787" t="s">
        <v>4974</v>
      </c>
      <c r="F12787" t="s">
        <v>11</v>
      </c>
      <c r="G12787" t="s">
        <v>350</v>
      </c>
      <c r="H12787" s="12">
        <v>1.2722459411835401</v>
      </c>
      <c r="I12787" s="20">
        <v>0.81573549994425998</v>
      </c>
      <c r="J12787" s="28">
        <v>0.41465143047723002</v>
      </c>
      <c r="K12787" s="29">
        <v>0.98289565623980701</v>
      </c>
    </row>
    <row r="12788" spans="1:11" x14ac:dyDescent="0.35">
      <c r="A12788" s="9" t="str">
        <f>HYPERLINK("http://www.ensembl.org/id/WBGene00019875", "WBGene00019875")</f>
        <v>WBGene00019875</v>
      </c>
      <c r="B12788" s="9" t="str">
        <f>HYPERLINK("http://www.ncbi.nlm.nih.gov/gene/177004", "177004")</f>
        <v>177004</v>
      </c>
      <c r="C12788" s="9" t="str">
        <f>HYPERLINK("http://www.ncbi.nlm.nih.gov/gene/492", "492")</f>
        <v>492</v>
      </c>
      <c r="D12788" t="str">
        <f>"mca-2"</f>
        <v>mca-2</v>
      </c>
      <c r="E12788" t="s">
        <v>2910</v>
      </c>
      <c r="F12788" t="s">
        <v>11</v>
      </c>
      <c r="G12788" t="s">
        <v>5766</v>
      </c>
      <c r="H12788" s="12">
        <v>1.10780819931805</v>
      </c>
      <c r="I12788" s="20">
        <v>0.55939810319628303</v>
      </c>
      <c r="J12788" s="28">
        <v>0.575890055611462</v>
      </c>
      <c r="K12788" s="29">
        <v>0.98289565623980701</v>
      </c>
    </row>
    <row r="12789" spans="1:11" x14ac:dyDescent="0.35">
      <c r="A12789" s="9" t="str">
        <f>HYPERLINK("http://www.ensembl.org/id/WBGene00003153", "WBGene00003153")</f>
        <v>WBGene00003153</v>
      </c>
      <c r="B12789" s="9" t="str">
        <f>HYPERLINK("http://www.ncbi.nlm.nih.gov/gene/177089", "177089")</f>
        <v>177089</v>
      </c>
      <c r="C12789" s="9" t="str">
        <f>HYPERLINK("http://www.ncbi.nlm.nih.gov/gene/492", "492")</f>
        <v>492</v>
      </c>
      <c r="D12789" t="str">
        <f>"mca-3"</f>
        <v>mca-3</v>
      </c>
      <c r="E12789" t="s">
        <v>2910</v>
      </c>
      <c r="F12789" t="s">
        <v>11</v>
      </c>
      <c r="G12789" t="s">
        <v>6144</v>
      </c>
      <c r="H12789" s="12">
        <v>1.0509329840474599</v>
      </c>
      <c r="I12789" s="20">
        <v>0.27759209963800102</v>
      </c>
      <c r="J12789" s="28">
        <v>0.78132549746189295</v>
      </c>
      <c r="K12789" s="29">
        <v>0.98289565623980701</v>
      </c>
    </row>
    <row r="12790" spans="1:11" x14ac:dyDescent="0.35">
      <c r="A12790" s="9" t="str">
        <f>HYPERLINK("http://www.ensembl.org/id/WBGene00009319", "WBGene00009319")</f>
        <v>WBGene00009319</v>
      </c>
      <c r="B12790" s="9" t="str">
        <f>HYPERLINK("http://www.ncbi.nlm.nih.gov/gene/177841", "177841")</f>
        <v>177841</v>
      </c>
      <c r="C12790" s="9" t="str">
        <f>HYPERLINK("http://www.ncbi.nlm.nih.gov/gene/56922", "56922")</f>
        <v>56922</v>
      </c>
      <c r="D12790" t="str">
        <f>"mccc-1"</f>
        <v>mccc-1</v>
      </c>
      <c r="E12790" t="s">
        <v>6216</v>
      </c>
      <c r="F12790" t="s">
        <v>11</v>
      </c>
      <c r="G12790" t="s">
        <v>6217</v>
      </c>
      <c r="H12790" s="12">
        <v>-1.05436390876348</v>
      </c>
      <c r="I12790" s="20">
        <v>-0.270683111306246</v>
      </c>
      <c r="J12790" s="28">
        <v>0.786634767280596</v>
      </c>
      <c r="K12790" s="29">
        <v>0.98289565623980701</v>
      </c>
    </row>
    <row r="12791" spans="1:11" x14ac:dyDescent="0.35">
      <c r="A12791" s="9" t="str">
        <f>HYPERLINK("http://www.ensembl.org/id/WBGene00013096", "WBGene00013096")</f>
        <v>WBGene00013096</v>
      </c>
      <c r="B12791" s="9" t="str">
        <f>HYPERLINK("http://www.ncbi.nlm.nih.gov/gene/175040", "175040")</f>
        <v>175040</v>
      </c>
      <c r="C12791" s="9"/>
      <c r="D12791" t="str">
        <f>"mcd-1"</f>
        <v>mcd-1</v>
      </c>
      <c r="E12791" t="s">
        <v>7282</v>
      </c>
      <c r="F12791" t="s">
        <v>11</v>
      </c>
      <c r="H12791" s="12">
        <v>-1.11715772532833</v>
      </c>
      <c r="I12791" s="20">
        <v>-0.55616172443526901</v>
      </c>
      <c r="J12791" s="28">
        <v>0.57810030237936105</v>
      </c>
      <c r="K12791" s="29">
        <v>0.98289565623980701</v>
      </c>
    </row>
    <row r="12792" spans="1:11" x14ac:dyDescent="0.35">
      <c r="A12792" s="9" t="str">
        <f>HYPERLINK("http://www.ensembl.org/id/WBGene00003159", "WBGene00003159")</f>
        <v>WBGene00003159</v>
      </c>
      <c r="B12792" s="9" t="str">
        <f>HYPERLINK("http://www.ncbi.nlm.nih.gov/gene/178831", "178831")</f>
        <v>178831</v>
      </c>
      <c r="C12792" s="9" t="str">
        <f>HYPERLINK("http://www.ncbi.nlm.nih.gov/gene/4176", "4176")</f>
        <v>4176</v>
      </c>
      <c r="D12792" t="str">
        <f>"mcm-7"</f>
        <v>mcm-7</v>
      </c>
      <c r="E12792" t="s">
        <v>9254</v>
      </c>
      <c r="F12792" t="s">
        <v>11</v>
      </c>
      <c r="G12792" t="s">
        <v>9255</v>
      </c>
      <c r="H12792" s="12">
        <v>-1.23096929904069</v>
      </c>
      <c r="I12792" s="20">
        <v>-0.82975203607392101</v>
      </c>
      <c r="J12792" s="28">
        <v>0.40667899414987302</v>
      </c>
      <c r="K12792" s="29">
        <v>0.98289565623980701</v>
      </c>
    </row>
    <row r="12793" spans="1:11" x14ac:dyDescent="0.35">
      <c r="A12793" s="9" t="str">
        <f>HYPERLINK("http://www.ensembl.org/id/WBGene00015678", "WBGene00015678")</f>
        <v>WBGene00015678</v>
      </c>
      <c r="B12793" s="9" t="str">
        <f>HYPERLINK("http://www.ncbi.nlm.nih.gov/gene/178982", "178982")</f>
        <v>178982</v>
      </c>
      <c r="C12793" s="9" t="str">
        <f>HYPERLINK("http://www.ncbi.nlm.nih.gov/gene/390637", "390637")</f>
        <v>390637</v>
      </c>
      <c r="D12793" t="str">
        <f>"mcp-1"</f>
        <v>mcp-1</v>
      </c>
      <c r="E12793" t="s">
        <v>5351</v>
      </c>
      <c r="F12793" t="s">
        <v>11</v>
      </c>
      <c r="G12793" t="s">
        <v>5352</v>
      </c>
      <c r="H12793" s="12">
        <v>1.1846704424583001</v>
      </c>
      <c r="I12793" s="20">
        <v>0.80410050804265398</v>
      </c>
      <c r="J12793" s="28">
        <v>0.42133893120426003</v>
      </c>
      <c r="K12793" s="29">
        <v>0.98289565623980701</v>
      </c>
    </row>
    <row r="12794" spans="1:11" x14ac:dyDescent="0.35">
      <c r="A12794" s="9" t="str">
        <f>HYPERLINK("http://www.ensembl.org/id/WBGene00010420", "WBGene00010420")</f>
        <v>WBGene00010420</v>
      </c>
      <c r="B12794" s="9" t="str">
        <f>HYPERLINK("http://www.ncbi.nlm.nih.gov/gene/173133", "173133")</f>
        <v>173133</v>
      </c>
      <c r="C12794" s="9"/>
      <c r="D12794" t="str">
        <f>"mcrs-1"</f>
        <v>mcrs-1</v>
      </c>
      <c r="E12794" t="s">
        <v>9220</v>
      </c>
      <c r="F12794" t="s">
        <v>11</v>
      </c>
      <c r="G12794" t="s">
        <v>9221</v>
      </c>
      <c r="H12794" s="12">
        <v>-1.2289806615779499</v>
      </c>
      <c r="I12794" s="20">
        <v>-0.94197607967074004</v>
      </c>
      <c r="J12794" s="28">
        <v>0.34620488673417099</v>
      </c>
      <c r="K12794" s="29">
        <v>0.98289565623980701</v>
      </c>
    </row>
    <row r="12795" spans="1:11" x14ac:dyDescent="0.35">
      <c r="A12795" s="9" t="str">
        <f>HYPERLINK("http://www.ensembl.org/id/WBGene00015273", "WBGene00015273")</f>
        <v>WBGene00015273</v>
      </c>
      <c r="B12795" s="9" t="str">
        <f>HYPERLINK("http://www.ncbi.nlm.nih.gov/gene/182056", "182056")</f>
        <v>182056</v>
      </c>
      <c r="C12795" s="9" t="str">
        <f>HYPERLINK("http://www.ncbi.nlm.nih.gov/gene/117247", "117247")</f>
        <v>117247</v>
      </c>
      <c r="D12795" t="str">
        <f>"mct-2"</f>
        <v>mct-2</v>
      </c>
      <c r="E12795" t="s">
        <v>730</v>
      </c>
      <c r="F12795" t="s">
        <v>11</v>
      </c>
      <c r="G12795" t="s">
        <v>731</v>
      </c>
      <c r="H12795" s="12">
        <v>-3.1031326686782701</v>
      </c>
      <c r="I12795" s="20">
        <v>-0.74783099327665803</v>
      </c>
      <c r="J12795" s="28">
        <v>0.45456210508072997</v>
      </c>
      <c r="K12795" s="29">
        <v>0.98289565623980701</v>
      </c>
    </row>
    <row r="12796" spans="1:11" x14ac:dyDescent="0.35">
      <c r="A12796" s="9" t="str">
        <f>HYPERLINK("http://www.ensembl.org/id/WBGene00010834", "WBGene00010834")</f>
        <v>WBGene00010834</v>
      </c>
      <c r="B12796" s="9" t="str">
        <f>HYPERLINK("http://www.ncbi.nlm.nih.gov/gene/181497", "181497")</f>
        <v>181497</v>
      </c>
      <c r="C12796" s="9" t="str">
        <f>HYPERLINK("http://www.ncbi.nlm.nih.gov/gene/117247", "117247")</f>
        <v>117247</v>
      </c>
      <c r="D12796" t="str">
        <f>"mct-3"</f>
        <v>mct-3</v>
      </c>
      <c r="E12796" t="s">
        <v>730</v>
      </c>
      <c r="F12796" t="s">
        <v>11</v>
      </c>
      <c r="G12796" t="s">
        <v>731</v>
      </c>
      <c r="H12796" s="12">
        <v>-1.0702168125934699</v>
      </c>
      <c r="I12796" s="20">
        <v>-0.32242250895715402</v>
      </c>
      <c r="J12796" s="28">
        <v>0.74713263427034604</v>
      </c>
      <c r="K12796" s="29">
        <v>0.98289565623980701</v>
      </c>
    </row>
    <row r="12797" spans="1:11" x14ac:dyDescent="0.35">
      <c r="A12797" s="9" t="str">
        <f>HYPERLINK("http://www.ensembl.org/id/WBGene00003986", "WBGene00003986")</f>
        <v>WBGene00003986</v>
      </c>
      <c r="B12797" s="9" t="str">
        <f>HYPERLINK("http://www.ncbi.nlm.nih.gov/gene/180766", "180766")</f>
        <v>180766</v>
      </c>
      <c r="C12797" s="9" t="str">
        <f>HYPERLINK("http://www.ncbi.nlm.nih.gov/gene/151473", "151473")</f>
        <v>151473</v>
      </c>
      <c r="D12797" t="str">
        <f>"mct-4"</f>
        <v>mct-4</v>
      </c>
      <c r="E12797" t="s">
        <v>730</v>
      </c>
      <c r="F12797" t="s">
        <v>11</v>
      </c>
      <c r="G12797" t="s">
        <v>731</v>
      </c>
      <c r="H12797" s="12">
        <v>-1.19152425606354</v>
      </c>
      <c r="I12797" s="20">
        <v>-0.91237661829855199</v>
      </c>
      <c r="J12797" s="28">
        <v>0.36157049368067201</v>
      </c>
      <c r="K12797" s="29">
        <v>0.98289565623980701</v>
      </c>
    </row>
    <row r="12798" spans="1:11" x14ac:dyDescent="0.35">
      <c r="A12798" s="9" t="str">
        <f>HYPERLINK("http://www.ensembl.org/id/WBGene00015676", "WBGene00015676")</f>
        <v>WBGene00015676</v>
      </c>
      <c r="B12798" s="9" t="str">
        <f>HYPERLINK("http://www.ncbi.nlm.nih.gov/gene/181724", "181724")</f>
        <v>181724</v>
      </c>
      <c r="C12798" s="9" t="str">
        <f>HYPERLINK("http://www.ncbi.nlm.nih.gov/gene/387700", "387700")</f>
        <v>387700</v>
      </c>
      <c r="D12798" t="str">
        <f>"mct-6"</f>
        <v>mct-6</v>
      </c>
      <c r="E12798" t="s">
        <v>730</v>
      </c>
      <c r="F12798" t="s">
        <v>11</v>
      </c>
      <c r="G12798" t="s">
        <v>731</v>
      </c>
      <c r="H12798" s="12">
        <v>-1.08087748634161</v>
      </c>
      <c r="I12798" s="20">
        <v>-0.41091008454095002</v>
      </c>
      <c r="J12798" s="28">
        <v>0.681138467532727</v>
      </c>
      <c r="K12798" s="29">
        <v>0.98289565623980701</v>
      </c>
    </row>
    <row r="12799" spans="1:11" x14ac:dyDescent="0.35">
      <c r="A12799" s="9" t="str">
        <f>HYPERLINK("http://www.ensembl.org/id/WBGene00017063", "WBGene00017063")</f>
        <v>WBGene00017063</v>
      </c>
      <c r="B12799" s="9" t="str">
        <f>HYPERLINK("http://www.ncbi.nlm.nih.gov/gene/172382", "172382")</f>
        <v>172382</v>
      </c>
      <c r="C12799" s="9" t="str">
        <f>HYPERLINK("http://www.ncbi.nlm.nih.gov/gene/79772", "79772")</f>
        <v>79772</v>
      </c>
      <c r="D12799" t="str">
        <f>"mctp-1"</f>
        <v>mctp-1</v>
      </c>
      <c r="E12799" t="s">
        <v>9338</v>
      </c>
      <c r="F12799" t="s">
        <v>11</v>
      </c>
      <c r="G12799" t="s">
        <v>9339</v>
      </c>
      <c r="H12799" s="12">
        <v>-1.2396569170015901</v>
      </c>
      <c r="I12799" s="20">
        <v>-1.1672960704747499</v>
      </c>
      <c r="J12799" s="28">
        <v>0.243090825017408</v>
      </c>
      <c r="K12799" s="29">
        <v>0.98289565623980701</v>
      </c>
    </row>
    <row r="12800" spans="1:11" x14ac:dyDescent="0.35">
      <c r="A12800" s="9" t="str">
        <f>HYPERLINK("http://www.ensembl.org/id/WBGene00003160", "WBGene00003160")</f>
        <v>WBGene00003160</v>
      </c>
      <c r="B12800" s="9" t="str">
        <f>HYPERLINK("http://www.ncbi.nlm.nih.gov/gene/179338", "179338")</f>
        <v>179338</v>
      </c>
      <c r="C12800" s="9"/>
      <c r="D12800" t="str">
        <f>"mdf-1"</f>
        <v>mdf-1</v>
      </c>
      <c r="E12800" t="s">
        <v>7456</v>
      </c>
      <c r="F12800" t="s">
        <v>11</v>
      </c>
      <c r="G12800" t="s">
        <v>7457</v>
      </c>
      <c r="H12800" s="12">
        <v>-1.12661267159414</v>
      </c>
      <c r="I12800" s="20">
        <v>-0.58850404653477195</v>
      </c>
      <c r="J12800" s="28">
        <v>0.55619401855542105</v>
      </c>
      <c r="K12800" s="29">
        <v>0.98289565623980701</v>
      </c>
    </row>
    <row r="12801" spans="1:11" x14ac:dyDescent="0.35">
      <c r="A12801" s="9" t="str">
        <f>HYPERLINK("http://www.ensembl.org/id/WBGene00003161", "WBGene00003161")</f>
        <v>WBGene00003161</v>
      </c>
      <c r="B12801" s="9" t="str">
        <f>HYPERLINK("http://www.ncbi.nlm.nih.gov/gene/177046", "177046")</f>
        <v>177046</v>
      </c>
      <c r="C12801" s="9" t="str">
        <f>HYPERLINK("http://www.ncbi.nlm.nih.gov/gene/4085", "4085")</f>
        <v>4085</v>
      </c>
      <c r="D12801" t="str">
        <f>"mdf-2"</f>
        <v>mdf-2</v>
      </c>
      <c r="E12801" t="s">
        <v>9742</v>
      </c>
      <c r="F12801" t="s">
        <v>11</v>
      </c>
      <c r="G12801" t="s">
        <v>9743</v>
      </c>
      <c r="H12801" s="12">
        <v>-1.29164042042506</v>
      </c>
      <c r="I12801" s="20">
        <v>-1.0065520504093299</v>
      </c>
      <c r="J12801" s="28">
        <v>0.31415008666887501</v>
      </c>
      <c r="K12801" s="29">
        <v>0.98289565623980701</v>
      </c>
    </row>
    <row r="12802" spans="1:11" x14ac:dyDescent="0.35">
      <c r="A12802" s="9" t="str">
        <f>HYPERLINK("http://www.ensembl.org/id/WBGene00003162", "WBGene00003162")</f>
        <v>WBGene00003162</v>
      </c>
      <c r="B12802" s="9" t="str">
        <f>HYPERLINK("http://www.ncbi.nlm.nih.gov/gene/175936", "175936")</f>
        <v>175936</v>
      </c>
      <c r="C12802" s="9" t="str">
        <f>HYPERLINK("http://www.ncbi.nlm.nih.gov/gene/4191", "4191")</f>
        <v>4191</v>
      </c>
      <c r="D12802" t="str">
        <f>"mdh-2"</f>
        <v>mdh-2</v>
      </c>
      <c r="E12802" t="s">
        <v>6566</v>
      </c>
      <c r="F12802" t="s">
        <v>11</v>
      </c>
      <c r="G12802" t="s">
        <v>6567</v>
      </c>
      <c r="H12802" s="12">
        <v>-1.07686920528272</v>
      </c>
      <c r="I12802" s="20">
        <v>-0.35653400762406101</v>
      </c>
      <c r="J12802" s="28">
        <v>0.72144068871501099</v>
      </c>
      <c r="K12802" s="29">
        <v>0.98289565623980701</v>
      </c>
    </row>
    <row r="12803" spans="1:11" x14ac:dyDescent="0.35">
      <c r="A12803" s="9" t="str">
        <f>HYPERLINK("http://www.ensembl.org/id/WBGene00011635", "WBGene00011635")</f>
        <v>WBGene00011635</v>
      </c>
      <c r="B12803" s="9" t="str">
        <f>HYPERLINK("http://www.ncbi.nlm.nih.gov/gene/174264", "174264")</f>
        <v>174264</v>
      </c>
      <c r="C12803" s="9"/>
      <c r="D12803" t="str">
        <f>"mdmh-35"</f>
        <v>mdmh-35</v>
      </c>
      <c r="E12803" t="s">
        <v>9436</v>
      </c>
      <c r="F12803" t="s">
        <v>11</v>
      </c>
      <c r="H12803" s="12">
        <v>-1.2462055007892701</v>
      </c>
      <c r="I12803" s="20">
        <v>-0.88755216289858996</v>
      </c>
      <c r="J12803" s="28">
        <v>0.37478169542531298</v>
      </c>
      <c r="K12803" s="29">
        <v>0.98289565623980701</v>
      </c>
    </row>
    <row r="12804" spans="1:11" x14ac:dyDescent="0.35">
      <c r="A12804" s="9" t="str">
        <f>HYPERLINK("http://www.ensembl.org/id/WBGene00007011", "WBGene00007011")</f>
        <v>WBGene00007011</v>
      </c>
      <c r="B12804" s="9" t="str">
        <f>HYPERLINK("http://www.ncbi.nlm.nih.gov/gene/181755", "181755")</f>
        <v>181755</v>
      </c>
      <c r="C12804" s="9"/>
      <c r="D12804" t="str">
        <f>"mdt-1.2"</f>
        <v>mdt-1.2</v>
      </c>
      <c r="E12804" t="s">
        <v>6443</v>
      </c>
      <c r="F12804" t="s">
        <v>11</v>
      </c>
      <c r="H12804" s="12">
        <v>-1.0694976699249099</v>
      </c>
      <c r="I12804" s="20">
        <v>-0.26172784800867999</v>
      </c>
      <c r="J12804" s="28">
        <v>0.793531269106588</v>
      </c>
      <c r="K12804" s="29">
        <v>0.98289565623980701</v>
      </c>
    </row>
    <row r="12805" spans="1:11" x14ac:dyDescent="0.35">
      <c r="A12805" s="9" t="str">
        <f>HYPERLINK("http://www.ensembl.org/id/WBGene00007014", "WBGene00007014")</f>
        <v>WBGene00007014</v>
      </c>
      <c r="B12805" s="9" t="str">
        <f>HYPERLINK("http://www.ncbi.nlm.nih.gov/gene/188311", "188311")</f>
        <v>188311</v>
      </c>
      <c r="C12805" s="9" t="str">
        <f>HYPERLINK("http://www.ncbi.nlm.nih.gov/gene/84246", "84246")</f>
        <v>84246</v>
      </c>
      <c r="D12805" t="str">
        <f>"mdt-10"</f>
        <v>mdt-10</v>
      </c>
      <c r="E12805" t="s">
        <v>8436</v>
      </c>
      <c r="F12805" t="s">
        <v>11</v>
      </c>
      <c r="G12805" t="s">
        <v>1666</v>
      </c>
      <c r="H12805" s="12">
        <v>-1.17767527135177</v>
      </c>
      <c r="I12805" s="20">
        <v>-0.64269813815282895</v>
      </c>
      <c r="J12805" s="28">
        <v>0.52041998936595801</v>
      </c>
      <c r="K12805" s="29">
        <v>0.98289565623980701</v>
      </c>
    </row>
    <row r="12806" spans="1:11" x14ac:dyDescent="0.35">
      <c r="A12806" s="9" t="str">
        <f>HYPERLINK("http://www.ensembl.org/id/WBGene00007016", "WBGene00007016")</f>
        <v>WBGene00007016</v>
      </c>
      <c r="B12806" s="9" t="str">
        <f>HYPERLINK("http://www.ncbi.nlm.nih.gov/gene/175817", "175817")</f>
        <v>175817</v>
      </c>
      <c r="C12806" s="9"/>
      <c r="D12806" t="str">
        <f>"mdt-15"</f>
        <v>mdt-15</v>
      </c>
      <c r="E12806" t="s">
        <v>6183</v>
      </c>
      <c r="F12806" t="s">
        <v>11</v>
      </c>
      <c r="G12806" t="s">
        <v>6184</v>
      </c>
      <c r="H12806" s="12">
        <v>-1.0520028896951701</v>
      </c>
      <c r="I12806" s="20">
        <v>-0.27539662645118901</v>
      </c>
      <c r="J12806" s="28">
        <v>0.78301153562332604</v>
      </c>
      <c r="K12806" s="29">
        <v>0.98289565623980701</v>
      </c>
    </row>
    <row r="12807" spans="1:11" x14ac:dyDescent="0.35">
      <c r="A12807" s="9" t="str">
        <f>HYPERLINK("http://www.ensembl.org/id/WBGene00007017", "WBGene00007017")</f>
        <v>WBGene00007017</v>
      </c>
      <c r="B12807" s="9" t="str">
        <f>HYPERLINK("http://www.ncbi.nlm.nih.gov/gene/180325", "180325")</f>
        <v>180325</v>
      </c>
      <c r="C12807" s="9" t="str">
        <f>HYPERLINK("http://www.ncbi.nlm.nih.gov/gene/9440", "9440")</f>
        <v>9440</v>
      </c>
      <c r="D12807" t="str">
        <f>"mdt-17"</f>
        <v>mdt-17</v>
      </c>
      <c r="E12807" t="s">
        <v>7952</v>
      </c>
      <c r="F12807" t="s">
        <v>11</v>
      </c>
      <c r="G12807" t="s">
        <v>1666</v>
      </c>
      <c r="H12807" s="12">
        <v>-1.15261479348302</v>
      </c>
      <c r="I12807" s="20">
        <v>-0.68790925961351501</v>
      </c>
      <c r="J12807" s="28">
        <v>0.49150992513931402</v>
      </c>
      <c r="K12807" s="29">
        <v>0.98289565623980701</v>
      </c>
    </row>
    <row r="12808" spans="1:11" x14ac:dyDescent="0.35">
      <c r="A12808" s="9" t="str">
        <f>HYPERLINK("http://www.ensembl.org/id/WBGene00007018", "WBGene00007018")</f>
        <v>WBGene00007018</v>
      </c>
      <c r="B12808" s="9" t="str">
        <f>HYPERLINK("http://www.ncbi.nlm.nih.gov/gene/183844", "183844")</f>
        <v>183844</v>
      </c>
      <c r="C12808" s="9" t="str">
        <f>HYPERLINK("http://www.ncbi.nlm.nih.gov/gene/54797", "54797")</f>
        <v>54797</v>
      </c>
      <c r="D12808" t="str">
        <f>"mdt-18"</f>
        <v>mdt-18</v>
      </c>
      <c r="E12808" t="s">
        <v>5171</v>
      </c>
      <c r="F12808" t="s">
        <v>11</v>
      </c>
      <c r="G12808" t="s">
        <v>5172</v>
      </c>
      <c r="H12808" s="12">
        <v>1.22374638347721</v>
      </c>
      <c r="I12808" s="20">
        <v>0.92000555471519097</v>
      </c>
      <c r="J12808" s="28">
        <v>0.35756985649418699</v>
      </c>
      <c r="K12808" s="29">
        <v>0.98289565623980701</v>
      </c>
    </row>
    <row r="12809" spans="1:11" x14ac:dyDescent="0.35">
      <c r="A12809" s="9" t="str">
        <f>HYPERLINK("http://www.ensembl.org/id/WBGene00007019", "WBGene00007019")</f>
        <v>WBGene00007019</v>
      </c>
      <c r="B12809" s="9" t="str">
        <f>HYPERLINK("http://www.ncbi.nlm.nih.gov/gene/175378", "175378")</f>
        <v>175378</v>
      </c>
      <c r="C12809" s="9"/>
      <c r="D12809" t="str">
        <f>"mdt-19"</f>
        <v>mdt-19</v>
      </c>
      <c r="E12809" t="s">
        <v>8671</v>
      </c>
      <c r="F12809" t="s">
        <v>11</v>
      </c>
      <c r="G12809" t="s">
        <v>1666</v>
      </c>
      <c r="H12809" s="12">
        <v>-1.1900987254583499</v>
      </c>
      <c r="I12809" s="20">
        <v>-0.84811846411368097</v>
      </c>
      <c r="J12809" s="28">
        <v>0.396371999650179</v>
      </c>
      <c r="K12809" s="29">
        <v>0.98289565623980701</v>
      </c>
    </row>
    <row r="12810" spans="1:11" x14ac:dyDescent="0.35">
      <c r="A12810" s="9" t="str">
        <f>HYPERLINK("http://www.ensembl.org/id/WBGene00007020", "WBGene00007020")</f>
        <v>WBGene00007020</v>
      </c>
      <c r="B12810" s="9" t="str">
        <f>HYPERLINK("http://www.ncbi.nlm.nih.gov/gene/176937", "176937")</f>
        <v>176937</v>
      </c>
      <c r="C12810" s="9" t="str">
        <f>HYPERLINK("http://www.ncbi.nlm.nih.gov/gene/9477", "9477")</f>
        <v>9477</v>
      </c>
      <c r="D12810" t="str">
        <f>"mdt-20"</f>
        <v>mdt-20</v>
      </c>
      <c r="E12810" t="s">
        <v>8168</v>
      </c>
      <c r="F12810" t="s">
        <v>11</v>
      </c>
      <c r="G12810" t="s">
        <v>5172</v>
      </c>
      <c r="H12810" s="12">
        <v>-1.16371404849069</v>
      </c>
      <c r="I12810" s="20">
        <v>-0.66588379954048404</v>
      </c>
      <c r="J12810" s="28">
        <v>0.50548537627193602</v>
      </c>
      <c r="K12810" s="29">
        <v>0.98289565623980701</v>
      </c>
    </row>
    <row r="12811" spans="1:11" x14ac:dyDescent="0.35">
      <c r="A12811" s="9" t="str">
        <f>HYPERLINK("http://www.ensembl.org/id/WBGene00007704", "WBGene00007704")</f>
        <v>WBGene00007704</v>
      </c>
      <c r="B12811" s="9" t="str">
        <f>HYPERLINK("http://www.ncbi.nlm.nih.gov/gene/3565572", "3565572")</f>
        <v>3565572</v>
      </c>
      <c r="C12811" s="9"/>
      <c r="D12811" t="str">
        <f>"mdt-21"</f>
        <v>mdt-21</v>
      </c>
      <c r="E12811" t="s">
        <v>7237</v>
      </c>
      <c r="F12811" t="s">
        <v>11</v>
      </c>
      <c r="G12811" t="s">
        <v>3142</v>
      </c>
      <c r="H12811" s="12">
        <v>-1.1148849388383499</v>
      </c>
      <c r="I12811" s="20">
        <v>-0.39941386914247001</v>
      </c>
      <c r="J12811" s="28">
        <v>0.68958827635245201</v>
      </c>
      <c r="K12811" s="29">
        <v>0.98289565623980701</v>
      </c>
    </row>
    <row r="12812" spans="1:11" x14ac:dyDescent="0.35">
      <c r="A12812" s="9" t="str">
        <f>HYPERLINK("http://www.ensembl.org/id/WBGene00007022", "WBGene00007022")</f>
        <v>WBGene00007022</v>
      </c>
      <c r="B12812" s="9" t="str">
        <f>HYPERLINK("http://www.ncbi.nlm.nih.gov/gene/174595", "174595")</f>
        <v>174595</v>
      </c>
      <c r="C12812" s="9"/>
      <c r="D12812" t="str">
        <f>"mdt-22"</f>
        <v>mdt-22</v>
      </c>
      <c r="E12812" t="s">
        <v>8879</v>
      </c>
      <c r="F12812" t="s">
        <v>11</v>
      </c>
      <c r="G12812" t="s">
        <v>1666</v>
      </c>
      <c r="H12812" s="12">
        <v>-1.2045934166022101</v>
      </c>
      <c r="I12812" s="20">
        <v>-0.73157314064512202</v>
      </c>
      <c r="J12812" s="28">
        <v>0.46442914712615202</v>
      </c>
      <c r="K12812" s="29">
        <v>0.98289565623980701</v>
      </c>
    </row>
    <row r="12813" spans="1:11" x14ac:dyDescent="0.35">
      <c r="A12813" s="9" t="str">
        <f>HYPERLINK("http://www.ensembl.org/id/WBGene00007023", "WBGene00007023")</f>
        <v>WBGene00007023</v>
      </c>
      <c r="B12813" s="9" t="str">
        <f>HYPERLINK("http://www.ncbi.nlm.nih.gov/gene/179303", "179303")</f>
        <v>179303</v>
      </c>
      <c r="C12813" s="9"/>
      <c r="D12813" t="str">
        <f>"mdt-27"</f>
        <v>mdt-27</v>
      </c>
      <c r="E12813" t="s">
        <v>3629</v>
      </c>
      <c r="F12813" t="s">
        <v>11</v>
      </c>
      <c r="G12813" t="s">
        <v>7568</v>
      </c>
      <c r="H12813" s="12">
        <v>-1.2501205268270099</v>
      </c>
      <c r="I12813" s="20">
        <v>-1.0778676227963799</v>
      </c>
      <c r="J12813" s="28">
        <v>0.28109283619233</v>
      </c>
      <c r="K12813" s="29">
        <v>0.98289565623980701</v>
      </c>
    </row>
    <row r="12814" spans="1:11" x14ac:dyDescent="0.35">
      <c r="A12814" s="9" t="str">
        <f>HYPERLINK("http://www.ensembl.org/id/WBGene00004125", "WBGene00004125")</f>
        <v>WBGene00004125</v>
      </c>
      <c r="B12814" s="9" t="str">
        <f>HYPERLINK("http://www.ncbi.nlm.nih.gov/gene/176130", "176130")</f>
        <v>176130</v>
      </c>
      <c r="C12814" s="9"/>
      <c r="D12814" t="str">
        <f>"mdt-30"</f>
        <v>mdt-30</v>
      </c>
      <c r="E12814" t="s">
        <v>9598</v>
      </c>
      <c r="F12814" t="s">
        <v>11</v>
      </c>
      <c r="H12814" s="12">
        <v>-1.2627377656741099</v>
      </c>
      <c r="I12814" s="20">
        <v>-1.1231185039342799</v>
      </c>
      <c r="J12814" s="28">
        <v>0.26138716835430897</v>
      </c>
      <c r="K12814" s="29">
        <v>0.98289565623980701</v>
      </c>
    </row>
    <row r="12815" spans="1:11" x14ac:dyDescent="0.35">
      <c r="A12815" s="9" t="str">
        <f>HYPERLINK("http://www.ensembl.org/id/WBGene00007026", "WBGene00007026")</f>
        <v>WBGene00007026</v>
      </c>
      <c r="B12815" s="9" t="str">
        <f>HYPERLINK("http://www.ncbi.nlm.nih.gov/gene/185213", "185213")</f>
        <v>185213</v>
      </c>
      <c r="C12815" s="9" t="str">
        <f>HYPERLINK("http://www.ncbi.nlm.nih.gov/gene/51003", "51003")</f>
        <v>51003</v>
      </c>
      <c r="D12815" t="str">
        <f>"mdt-31"</f>
        <v>mdt-31</v>
      </c>
      <c r="E12815" t="s">
        <v>6550</v>
      </c>
      <c r="F12815" t="s">
        <v>11</v>
      </c>
      <c r="G12815" t="s">
        <v>6551</v>
      </c>
      <c r="H12815" s="12">
        <v>-1.0755055498564701</v>
      </c>
      <c r="I12815" s="20">
        <v>-0.31120560667117703</v>
      </c>
      <c r="J12815" s="28">
        <v>0.75564432101977397</v>
      </c>
      <c r="K12815" s="29">
        <v>0.98289565623980701</v>
      </c>
    </row>
    <row r="12816" spans="1:11" x14ac:dyDescent="0.35">
      <c r="A12816" s="9" t="str">
        <f>HYPERLINK("http://www.ensembl.org/id/WBGene00007012", "WBGene00007012")</f>
        <v>WBGene00007012</v>
      </c>
      <c r="B12816" s="9" t="str">
        <f>HYPERLINK("http://www.ncbi.nlm.nih.gov/gene/173852", "173852")</f>
        <v>173852</v>
      </c>
      <c r="C12816" s="9"/>
      <c r="D12816" t="str">
        <f>"mdt-4"</f>
        <v>mdt-4</v>
      </c>
      <c r="E12816" t="s">
        <v>8438</v>
      </c>
      <c r="F12816" t="s">
        <v>11</v>
      </c>
      <c r="G12816" t="s">
        <v>1666</v>
      </c>
      <c r="H12816" s="12">
        <v>-1.1778657726431201</v>
      </c>
      <c r="I12816" s="20">
        <v>-0.783460768816992</v>
      </c>
      <c r="J12816" s="28">
        <v>0.43335658281476402</v>
      </c>
      <c r="K12816" s="29">
        <v>0.98289565623980701</v>
      </c>
    </row>
    <row r="12817" spans="1:11" x14ac:dyDescent="0.35">
      <c r="A12817" s="9" t="str">
        <f>HYPERLINK("http://www.ensembl.org/id/WBGene00014938", "WBGene00014938")</f>
        <v>WBGene00014938</v>
      </c>
      <c r="B12817" s="9" t="str">
        <f>HYPERLINK("http://www.ncbi.nlm.nih.gov/gene/36805063", "36805063")</f>
        <v>36805063</v>
      </c>
      <c r="C12817" s="9"/>
      <c r="D12817" t="str">
        <f>"mdt-9"</f>
        <v>mdt-9</v>
      </c>
      <c r="E12817" t="s">
        <v>3629</v>
      </c>
      <c r="F12817" t="s">
        <v>11</v>
      </c>
      <c r="G12817" t="s">
        <v>8425</v>
      </c>
      <c r="H12817" s="12">
        <v>-1.17696477492984</v>
      </c>
      <c r="I12817" s="20">
        <v>-0.71146815660937202</v>
      </c>
      <c r="J12817" s="28">
        <v>0.47679417674324198</v>
      </c>
      <c r="K12817" s="29">
        <v>0.98289565623980701</v>
      </c>
    </row>
    <row r="12818" spans="1:11" x14ac:dyDescent="0.35">
      <c r="A12818" s="9" t="str">
        <f>HYPERLINK("http://www.ensembl.org/id/WBGene00003174", "WBGene00003174")</f>
        <v>WBGene00003174</v>
      </c>
      <c r="B12818" s="9" t="str">
        <f>HYPERLINK("http://www.ncbi.nlm.nih.gov/gene/181101", "181101")</f>
        <v>181101</v>
      </c>
      <c r="C12818" s="9" t="str">
        <f>HYPERLINK("http://www.ncbi.nlm.nih.gov/gene/6340", "6340")</f>
        <v>6340</v>
      </c>
      <c r="D12818" t="str">
        <f>"mec-10"</f>
        <v>mec-10</v>
      </c>
      <c r="E12818" t="s">
        <v>4799</v>
      </c>
      <c r="F12818" t="s">
        <v>11</v>
      </c>
      <c r="G12818" t="s">
        <v>4758</v>
      </c>
      <c r="H12818" s="12">
        <v>1.3679501144911499</v>
      </c>
      <c r="I12818" s="20">
        <v>1.16561956645668</v>
      </c>
      <c r="J12818" s="28">
        <v>0.243768293296455</v>
      </c>
      <c r="K12818" s="29">
        <v>0.98289565623980701</v>
      </c>
    </row>
    <row r="12819" spans="1:11" x14ac:dyDescent="0.35">
      <c r="A12819" s="9" t="str">
        <f>HYPERLINK("http://www.ensembl.org/id/WBGene00003177", "WBGene00003177")</f>
        <v>WBGene00003177</v>
      </c>
      <c r="B12819" s="9" t="str">
        <f>HYPERLINK("http://www.ncbi.nlm.nih.gov/gene/174587", "174587")</f>
        <v>174587</v>
      </c>
      <c r="C12819" s="9" t="str">
        <f>HYPERLINK("http://www.ncbi.nlm.nih.gov/gene/84261", "84261")</f>
        <v>84261</v>
      </c>
      <c r="D12819" t="str">
        <f>"mec-15"</f>
        <v>mec-15</v>
      </c>
      <c r="E12819" t="s">
        <v>8403</v>
      </c>
      <c r="F12819" t="s">
        <v>11</v>
      </c>
      <c r="G12819" t="s">
        <v>54</v>
      </c>
      <c r="H12819" s="12">
        <v>-1.1752612031794401</v>
      </c>
      <c r="I12819" s="20">
        <v>-0.79341018881880498</v>
      </c>
      <c r="J12819" s="28">
        <v>0.42753887642602101</v>
      </c>
      <c r="K12819" s="29">
        <v>0.98289565623980701</v>
      </c>
    </row>
    <row r="12820" spans="1:11" x14ac:dyDescent="0.35">
      <c r="A12820" s="9" t="str">
        <f>HYPERLINK("http://www.ensembl.org/id/WBGene00003178", "WBGene00003178")</f>
        <v>WBGene00003178</v>
      </c>
      <c r="B12820" s="9" t="str">
        <f>HYPERLINK("http://www.ncbi.nlm.nih.gov/gene/177596", "177596")</f>
        <v>177596</v>
      </c>
      <c r="C12820" s="9"/>
      <c r="D12820" t="str">
        <f>"mec-17"</f>
        <v>mec-17</v>
      </c>
      <c r="E12820" t="s">
        <v>5258</v>
      </c>
      <c r="F12820" t="s">
        <v>11</v>
      </c>
      <c r="G12820" t="s">
        <v>5259</v>
      </c>
      <c r="H12820" s="12">
        <v>1.20250154528956</v>
      </c>
      <c r="I12820" s="20">
        <v>0.82869260655403698</v>
      </c>
      <c r="J12820" s="28">
        <v>0.40727837047537202</v>
      </c>
      <c r="K12820" s="29">
        <v>0.98289565623980701</v>
      </c>
    </row>
    <row r="12821" spans="1:11" x14ac:dyDescent="0.35">
      <c r="A12821" s="9" t="str">
        <f>HYPERLINK("http://www.ensembl.org/id/WBGene00003179", "WBGene00003179")</f>
        <v>WBGene00003179</v>
      </c>
      <c r="B12821" s="9" t="str">
        <f>HYPERLINK("http://www.ncbi.nlm.nih.gov/gene/180701", "180701")</f>
        <v>180701</v>
      </c>
      <c r="C12821" s="9"/>
      <c r="D12821" t="str">
        <f>"mec-18"</f>
        <v>mec-18</v>
      </c>
      <c r="F12821" t="s">
        <v>11</v>
      </c>
      <c r="G12821" t="s">
        <v>4904</v>
      </c>
      <c r="H12821" s="12">
        <v>1.30875015104823</v>
      </c>
      <c r="I12821" s="20">
        <v>1.12906193971549</v>
      </c>
      <c r="J12821" s="28">
        <v>0.25887170548876698</v>
      </c>
      <c r="K12821" s="29">
        <v>0.98289565623980701</v>
      </c>
    </row>
    <row r="12822" spans="1:11" x14ac:dyDescent="0.35">
      <c r="A12822" s="9" t="str">
        <f>HYPERLINK("http://www.ensembl.org/id/WBGene00008216", "WBGene00008216")</f>
        <v>WBGene00008216</v>
      </c>
      <c r="B12822" s="9" t="str">
        <f>HYPERLINK("http://www.ncbi.nlm.nih.gov/gene/183626", "183626")</f>
        <v>183626</v>
      </c>
      <c r="C12822" s="9"/>
      <c r="D12822" t="str">
        <f>"mec-19"</f>
        <v>mec-19</v>
      </c>
      <c r="F12822" t="s">
        <v>11</v>
      </c>
      <c r="G12822" t="s">
        <v>25</v>
      </c>
      <c r="H12822" s="12">
        <v>-1.3340900104100999</v>
      </c>
      <c r="I12822" s="20">
        <v>-0.785298054869776</v>
      </c>
      <c r="J12822" s="28">
        <v>0.432278836005762</v>
      </c>
      <c r="K12822" s="29">
        <v>0.98289565623980701</v>
      </c>
    </row>
    <row r="12823" spans="1:11" x14ac:dyDescent="0.35">
      <c r="A12823" s="9" t="str">
        <f>HYPERLINK("http://www.ensembl.org/id/WBGene00003168", "WBGene00003168")</f>
        <v>WBGene00003168</v>
      </c>
      <c r="B12823" s="9" t="str">
        <f>HYPERLINK("http://www.ncbi.nlm.nih.gov/gene/181728", "181728")</f>
        <v>181728</v>
      </c>
      <c r="C12823" s="9" t="str">
        <f>HYPERLINK("http://www.ncbi.nlm.nih.gov/gene/6340", "6340")</f>
        <v>6340</v>
      </c>
      <c r="D12823" t="str">
        <f>"mec-4"</f>
        <v>mec-4</v>
      </c>
      <c r="E12823" t="s">
        <v>7889</v>
      </c>
      <c r="F12823" t="s">
        <v>11</v>
      </c>
      <c r="G12823" t="s">
        <v>4758</v>
      </c>
      <c r="H12823" s="12">
        <v>-1.1499137400379</v>
      </c>
      <c r="I12823" s="20">
        <v>-0.57706611187558399</v>
      </c>
      <c r="J12823" s="28">
        <v>0.56389479573561796</v>
      </c>
      <c r="K12823" s="29">
        <v>0.98289565623980701</v>
      </c>
    </row>
    <row r="12824" spans="1:11" x14ac:dyDescent="0.35">
      <c r="A12824" s="9" t="str">
        <f>HYPERLINK("http://www.ensembl.org/id/WBGene00003169", "WBGene00003169")</f>
        <v>WBGene00003169</v>
      </c>
      <c r="B12824" s="9" t="str">
        <f>HYPERLINK("http://www.ncbi.nlm.nih.gov/gene/181678", "181678")</f>
        <v>181678</v>
      </c>
      <c r="C12824" s="9"/>
      <c r="D12824" t="str">
        <f>"mec-5"</f>
        <v>mec-5</v>
      </c>
      <c r="E12824" t="s">
        <v>5034</v>
      </c>
      <c r="F12824" t="s">
        <v>11</v>
      </c>
      <c r="G12824" t="s">
        <v>5035</v>
      </c>
      <c r="H12824" s="12">
        <v>1.2549042259244301</v>
      </c>
      <c r="I12824" s="20">
        <v>1.0199611031445499</v>
      </c>
      <c r="J12824" s="28">
        <v>0.307746908485939</v>
      </c>
      <c r="K12824" s="29">
        <v>0.98289565623980701</v>
      </c>
    </row>
    <row r="12825" spans="1:11" x14ac:dyDescent="0.35">
      <c r="A12825" s="9" t="str">
        <f>HYPERLINK("http://www.ensembl.org/id/WBGene00003170", "WBGene00003170")</f>
        <v>WBGene00003170</v>
      </c>
      <c r="B12825" s="9" t="str">
        <f>HYPERLINK("http://www.ncbi.nlm.nih.gov/gene/172389", "172389")</f>
        <v>172389</v>
      </c>
      <c r="C12825" s="9"/>
      <c r="D12825" t="str">
        <f>"mec-6"</f>
        <v>mec-6</v>
      </c>
      <c r="E12825" t="s">
        <v>5090</v>
      </c>
      <c r="F12825" t="s">
        <v>11</v>
      </c>
      <c r="G12825" t="s">
        <v>5091</v>
      </c>
      <c r="H12825" s="12">
        <v>1.2434231488735299</v>
      </c>
      <c r="I12825" s="20">
        <v>0.649002468819175</v>
      </c>
      <c r="J12825" s="28">
        <v>0.51633678044534403</v>
      </c>
      <c r="K12825" s="29">
        <v>0.98289565623980701</v>
      </c>
    </row>
    <row r="12826" spans="1:11" x14ac:dyDescent="0.35">
      <c r="A12826" s="9" t="str">
        <f>HYPERLINK("http://www.ensembl.org/id/WBGene00003171", "WBGene00003171")</f>
        <v>WBGene00003171</v>
      </c>
      <c r="B12826" s="9" t="str">
        <f>HYPERLINK("http://www.ncbi.nlm.nih.gov/gene/181036", "181036")</f>
        <v>181036</v>
      </c>
      <c r="C12826" s="9" t="str">
        <f>HYPERLINK("http://www.ncbi.nlm.nih.gov/gene/347733", "347733")</f>
        <v>347733</v>
      </c>
      <c r="D12826" t="str">
        <f>"mec-7"</f>
        <v>mec-7</v>
      </c>
      <c r="E12826" t="s">
        <v>4931</v>
      </c>
      <c r="F12826" t="s">
        <v>11</v>
      </c>
      <c r="G12826" t="s">
        <v>4932</v>
      </c>
      <c r="H12826" s="12">
        <v>1.2937665266015399</v>
      </c>
      <c r="I12826" s="20">
        <v>1.19863963284304</v>
      </c>
      <c r="J12826" s="28">
        <v>0.23066810041066599</v>
      </c>
      <c r="K12826" s="29">
        <v>0.98289565623980701</v>
      </c>
    </row>
    <row r="12827" spans="1:11" x14ac:dyDescent="0.35">
      <c r="A12827" s="9" t="str">
        <f>HYPERLINK("http://www.ensembl.org/id/WBGene00012375", "WBGene00012375")</f>
        <v>WBGene00012375</v>
      </c>
      <c r="B12827" s="9" t="str">
        <f>HYPERLINK("http://www.ncbi.nlm.nih.gov/gene/174963", "174963")</f>
        <v>174963</v>
      </c>
      <c r="C12827" s="9" t="str">
        <f>HYPERLINK("http://www.ncbi.nlm.nih.gov/gene/51102", "51102")</f>
        <v>51102</v>
      </c>
      <c r="D12827" t="str">
        <f>"mecr-1"</f>
        <v>mecr-1</v>
      </c>
      <c r="E12827" t="s">
        <v>5611</v>
      </c>
      <c r="F12827" t="s">
        <v>11</v>
      </c>
      <c r="G12827" t="s">
        <v>5612</v>
      </c>
      <c r="H12827" s="12">
        <v>-1.0647371407044299</v>
      </c>
      <c r="I12827" s="20">
        <v>-0.32837750880266903</v>
      </c>
      <c r="J12827" s="28">
        <v>0.74262624638532104</v>
      </c>
      <c r="K12827" s="29">
        <v>0.98289565623980701</v>
      </c>
    </row>
    <row r="12828" spans="1:11" x14ac:dyDescent="0.35">
      <c r="A12828" s="9" t="str">
        <f>HYPERLINK("http://www.ensembl.org/id/WBGene00003180", "WBGene00003180")</f>
        <v>WBGene00003180</v>
      </c>
      <c r="B12828" s="9" t="str">
        <f>HYPERLINK("http://www.ncbi.nlm.nih.gov/gene/191705", "191705")</f>
        <v>191705</v>
      </c>
      <c r="C12828" s="9"/>
      <c r="D12828" t="str">
        <f>"med-1"</f>
        <v>med-1</v>
      </c>
      <c r="E12828" t="s">
        <v>4474</v>
      </c>
      <c r="F12828" t="s">
        <v>11</v>
      </c>
      <c r="G12828" t="s">
        <v>4475</v>
      </c>
      <c r="H12828" s="12">
        <v>-10.994907597368501</v>
      </c>
      <c r="I12828" s="20">
        <v>-0.714795004154681</v>
      </c>
      <c r="J12828" s="28">
        <v>0.47473572263588099</v>
      </c>
      <c r="K12828" s="29">
        <v>0.98289565623980701</v>
      </c>
    </row>
    <row r="12829" spans="1:11" x14ac:dyDescent="0.35">
      <c r="A12829" s="9" t="str">
        <f>HYPERLINK("http://www.ensembl.org/id/WBGene00003181", "WBGene00003181")</f>
        <v>WBGene00003181</v>
      </c>
      <c r="B12829" s="9" t="str">
        <f>HYPERLINK("http://www.ncbi.nlm.nih.gov/gene/191706", "191706")</f>
        <v>191706</v>
      </c>
      <c r="C12829" s="9"/>
      <c r="D12829" t="str">
        <f>"med-2"</f>
        <v>med-2</v>
      </c>
      <c r="E12829" t="s">
        <v>4474</v>
      </c>
      <c r="F12829" t="s">
        <v>11</v>
      </c>
      <c r="G12829" t="s">
        <v>4475</v>
      </c>
      <c r="H12829" s="12">
        <v>1.92497486584292</v>
      </c>
      <c r="I12829" s="20">
        <v>0.78110606916987801</v>
      </c>
      <c r="J12829" s="28">
        <v>0.43474011262204398</v>
      </c>
      <c r="K12829" s="29">
        <v>0.98289565623980701</v>
      </c>
    </row>
    <row r="12830" spans="1:11" x14ac:dyDescent="0.35">
      <c r="A12830" s="9" t="str">
        <f>HYPERLINK("http://www.ensembl.org/id/WBGene00003182", "WBGene00003182")</f>
        <v>WBGene00003182</v>
      </c>
      <c r="B12830" s="9" t="str">
        <f>HYPERLINK("http://www.ncbi.nlm.nih.gov/gene/172732", "172732")</f>
        <v>172732</v>
      </c>
      <c r="C12830" s="9"/>
      <c r="D12830" t="str">
        <f>"mef-2"</f>
        <v>mef-2</v>
      </c>
      <c r="E12830" t="s">
        <v>6160</v>
      </c>
      <c r="F12830" t="s">
        <v>11</v>
      </c>
      <c r="G12830" t="s">
        <v>6161</v>
      </c>
      <c r="H12830" s="12">
        <v>-1.0495278957408301</v>
      </c>
      <c r="I12830" s="20">
        <v>-0.261800804158832</v>
      </c>
      <c r="J12830" s="28">
        <v>0.79347501905581197</v>
      </c>
      <c r="K12830" s="29">
        <v>0.98289565623980701</v>
      </c>
    </row>
    <row r="12831" spans="1:11" x14ac:dyDescent="0.35">
      <c r="A12831" s="9" t="str">
        <f>HYPERLINK("http://www.ensembl.org/id/WBGene00003186", "WBGene00003186")</f>
        <v>WBGene00003186</v>
      </c>
      <c r="B12831" s="9" t="str">
        <f>HYPERLINK("http://www.ncbi.nlm.nih.gov/gene/171872", "171872")</f>
        <v>171872</v>
      </c>
      <c r="C12831" s="9" t="str">
        <f>HYPERLINK("http://www.ncbi.nlm.nih.gov/gene/5604", "5604")</f>
        <v>5604</v>
      </c>
      <c r="D12831" t="str">
        <f>"mek-2"</f>
        <v>mek-2</v>
      </c>
      <c r="E12831" t="s">
        <v>6933</v>
      </c>
      <c r="F12831" t="s">
        <v>11</v>
      </c>
      <c r="G12831" t="s">
        <v>444</v>
      </c>
      <c r="H12831" s="12">
        <v>-1.0983346600546</v>
      </c>
      <c r="I12831" s="20">
        <v>-0.49161796319144102</v>
      </c>
      <c r="J12831" s="28">
        <v>0.622989442273572</v>
      </c>
      <c r="K12831" s="29">
        <v>0.98289565623980701</v>
      </c>
    </row>
    <row r="12832" spans="1:11" x14ac:dyDescent="0.35">
      <c r="A12832" s="9" t="str">
        <f>HYPERLINK("http://www.ensembl.org/id/WBGene00003196", "WBGene00003196")</f>
        <v>WBGene00003196</v>
      </c>
      <c r="B12832" s="9" t="str">
        <f>HYPERLINK("http://www.ncbi.nlm.nih.gov/gene/174484", "174484")</f>
        <v>174484</v>
      </c>
      <c r="C12832" s="9"/>
      <c r="D12832" t="str">
        <f>"mel-11"</f>
        <v>mel-11</v>
      </c>
      <c r="E12832" t="s">
        <v>7096</v>
      </c>
      <c r="F12832" t="s">
        <v>11</v>
      </c>
      <c r="G12832" t="s">
        <v>7097</v>
      </c>
      <c r="H12832" s="12">
        <v>-1.1068409889636699</v>
      </c>
      <c r="I12832" s="20">
        <v>-0.56033539268472699</v>
      </c>
      <c r="J12832" s="28">
        <v>0.575250690659311</v>
      </c>
      <c r="K12832" s="29">
        <v>0.98289565623980701</v>
      </c>
    </row>
    <row r="12833" spans="1:11" x14ac:dyDescent="0.35">
      <c r="A12833" s="9" t="str">
        <f>HYPERLINK("http://www.ensembl.org/id/WBGene00003210", "WBGene00003210")</f>
        <v>WBGene00003210</v>
      </c>
      <c r="B12833" s="9" t="str">
        <f>HYPERLINK("http://www.ncbi.nlm.nih.gov/gene/175634", "175634")</f>
        <v>175634</v>
      </c>
      <c r="C12833" s="9"/>
      <c r="D12833" t="str">
        <f>"mel-28"</f>
        <v>mel-28</v>
      </c>
      <c r="F12833" t="s">
        <v>11</v>
      </c>
      <c r="H12833" s="12">
        <v>-1.0758106656617099</v>
      </c>
      <c r="I12833" s="20">
        <v>-0.35894940410175602</v>
      </c>
      <c r="J12833" s="28">
        <v>0.71963293990842403</v>
      </c>
      <c r="K12833" s="29">
        <v>0.98289565623980701</v>
      </c>
    </row>
    <row r="12834" spans="1:11" x14ac:dyDescent="0.35">
      <c r="A12834" s="9" t="str">
        <f>HYPERLINK("http://www.ensembl.org/id/WBGene00003214", "WBGene00003214")</f>
        <v>WBGene00003214</v>
      </c>
      <c r="B12834" s="9" t="str">
        <f>HYPERLINK("http://www.ncbi.nlm.nih.gov/gene/175915", "175915")</f>
        <v>175915</v>
      </c>
      <c r="C12834" s="9" t="str">
        <f>HYPERLINK("http://www.ncbi.nlm.nih.gov/gene/6470", "6470")</f>
        <v>6470</v>
      </c>
      <c r="D12834" t="str">
        <f>"mel-32"</f>
        <v>mel-32</v>
      </c>
      <c r="E12834" t="s">
        <v>5756</v>
      </c>
      <c r="F12834" t="s">
        <v>11</v>
      </c>
      <c r="G12834" t="s">
        <v>5757</v>
      </c>
      <c r="H12834" s="12">
        <v>1.1088058087775201</v>
      </c>
      <c r="I12834" s="20">
        <v>0.50779384686799001</v>
      </c>
      <c r="J12834" s="28">
        <v>0.61159792542048697</v>
      </c>
      <c r="K12834" s="29">
        <v>0.98289565623980701</v>
      </c>
    </row>
    <row r="12835" spans="1:11" x14ac:dyDescent="0.35">
      <c r="A12835" s="9" t="str">
        <f>HYPERLINK("http://www.ensembl.org/id/WBGene00007128", "WBGene00007128")</f>
        <v>WBGene00007128</v>
      </c>
      <c r="B12835" s="9" t="str">
        <f>HYPERLINK("http://www.ncbi.nlm.nih.gov/gene/181891", "181891")</f>
        <v>181891</v>
      </c>
      <c r="C12835" s="9" t="str">
        <f>HYPERLINK("http://www.ncbi.nlm.nih.gov/gene/9570", "9570")</f>
        <v>9570</v>
      </c>
      <c r="D12835" t="str">
        <f>"memb-1"</f>
        <v>memb-1</v>
      </c>
      <c r="E12835" t="s">
        <v>9735</v>
      </c>
      <c r="F12835" t="s">
        <v>11</v>
      </c>
      <c r="G12835" t="s">
        <v>9736</v>
      </c>
      <c r="H12835" s="12">
        <v>-1.2905312468978301</v>
      </c>
      <c r="I12835" s="20">
        <v>-1.0456229195783999</v>
      </c>
      <c r="J12835" s="28">
        <v>0.29573516311817799</v>
      </c>
      <c r="K12835" s="29">
        <v>0.98289565623980701</v>
      </c>
    </row>
    <row r="12836" spans="1:11" x14ac:dyDescent="0.35">
      <c r="A12836" s="9" t="str">
        <f>HYPERLINK("http://www.ensembl.org/id/WBGene00019757", "WBGene00019757")</f>
        <v>WBGene00019757</v>
      </c>
      <c r="B12836" s="9" t="str">
        <f>HYPERLINK("http://www.ncbi.nlm.nih.gov/gene/187425", "187425")</f>
        <v>187425</v>
      </c>
      <c r="C12836" s="9"/>
      <c r="D12836" t="str">
        <f>"memb-2"</f>
        <v>memb-2</v>
      </c>
      <c r="E12836" t="s">
        <v>9855</v>
      </c>
      <c r="F12836" t="s">
        <v>11</v>
      </c>
      <c r="G12836" t="s">
        <v>9856</v>
      </c>
      <c r="H12836" s="12">
        <v>-1.33196477627495</v>
      </c>
      <c r="I12836" s="20">
        <v>-1.2084506759620299</v>
      </c>
      <c r="J12836" s="28">
        <v>0.226873957353323</v>
      </c>
      <c r="K12836" s="29">
        <v>0.98289565623980701</v>
      </c>
    </row>
    <row r="12837" spans="1:11" x14ac:dyDescent="0.35">
      <c r="A12837" s="9" t="str">
        <f>HYPERLINK("http://www.ensembl.org/id/WBGene00016500", "WBGene00016500")</f>
        <v>WBGene00016500</v>
      </c>
      <c r="B12837" s="9" t="str">
        <f>HYPERLINK("http://www.ncbi.nlm.nih.gov/gene/179163", "179163")</f>
        <v>179163</v>
      </c>
      <c r="C12837" s="9" t="str">
        <f>HYPERLINK("http://www.ncbi.nlm.nih.gov/gene/51072", "51072")</f>
        <v>51072</v>
      </c>
      <c r="D12837" t="str">
        <f>"memo-1"</f>
        <v>memo-1</v>
      </c>
      <c r="E12837" t="s">
        <v>6467</v>
      </c>
      <c r="F12837" t="s">
        <v>11</v>
      </c>
      <c r="H12837" s="12">
        <v>-1.0708285693206101</v>
      </c>
      <c r="I12837" s="20">
        <v>-0.36544614911025902</v>
      </c>
      <c r="J12837" s="28">
        <v>0.714778397778702</v>
      </c>
      <c r="K12837" s="29">
        <v>0.98289565623980701</v>
      </c>
    </row>
    <row r="12838" spans="1:11" x14ac:dyDescent="0.35">
      <c r="A12838" s="9" t="str">
        <f>HYPERLINK("http://www.ensembl.org/id/WBGene00012983", "WBGene00012983")</f>
        <v>WBGene00012983</v>
      </c>
      <c r="B12838" s="9" t="str">
        <f>HYPERLINK("http://www.ncbi.nlm.nih.gov/gene/175079", "175079")</f>
        <v>175079</v>
      </c>
      <c r="C12838" s="9" t="str">
        <f>HYPERLINK("http://www.ncbi.nlm.nih.gov/gene/10873", "10873")</f>
        <v>10873</v>
      </c>
      <c r="D12838" t="str">
        <f>"men-1"</f>
        <v>men-1</v>
      </c>
      <c r="E12838" t="s">
        <v>7635</v>
      </c>
      <c r="F12838" t="s">
        <v>11</v>
      </c>
      <c r="G12838" t="s">
        <v>7636</v>
      </c>
      <c r="H12838" s="12">
        <v>-1.1370222599762501</v>
      </c>
      <c r="I12838" s="20">
        <v>-0.68491978632513795</v>
      </c>
      <c r="J12838" s="28">
        <v>0.49339453949836298</v>
      </c>
      <c r="K12838" s="29">
        <v>0.98289565623980701</v>
      </c>
    </row>
    <row r="12839" spans="1:11" x14ac:dyDescent="0.35">
      <c r="A12839" s="9" t="str">
        <f>HYPERLINK("http://www.ensembl.org/id/WBGene00003218", "WBGene00003218")</f>
        <v>WBGene00003218</v>
      </c>
      <c r="B12839" s="9" t="str">
        <f>HYPERLINK("http://www.ncbi.nlm.nih.gov/gene/178074", "178074")</f>
        <v>178074</v>
      </c>
      <c r="C12839" s="9"/>
      <c r="D12839" t="str">
        <f>"mep-1"</f>
        <v>mep-1</v>
      </c>
      <c r="E12839" t="s">
        <v>6070</v>
      </c>
      <c r="F12839" t="s">
        <v>11</v>
      </c>
      <c r="H12839" s="12">
        <v>1.0654444498736999</v>
      </c>
      <c r="I12839" s="20">
        <v>0.33860094077964298</v>
      </c>
      <c r="J12839" s="28">
        <v>0.73491037378722901</v>
      </c>
      <c r="K12839" s="29">
        <v>0.98289565623980701</v>
      </c>
    </row>
    <row r="12840" spans="1:11" x14ac:dyDescent="0.35">
      <c r="A12840" s="9" t="str">
        <f>HYPERLINK("http://www.ensembl.org/id/WBGene00019883", "WBGene00019883")</f>
        <v>WBGene00019883</v>
      </c>
      <c r="B12840" s="9" t="str">
        <f>HYPERLINK("http://www.ncbi.nlm.nih.gov/gene/176183", "176183")</f>
        <v>176183</v>
      </c>
      <c r="C12840" s="9"/>
      <c r="D12840" t="str">
        <f>"met-2"</f>
        <v>met-2</v>
      </c>
      <c r="E12840" t="s">
        <v>9236</v>
      </c>
      <c r="F12840" t="s">
        <v>11</v>
      </c>
      <c r="G12840" t="s">
        <v>9237</v>
      </c>
      <c r="H12840" s="12">
        <v>-1.2297939355043199</v>
      </c>
      <c r="I12840" s="20">
        <v>-1.0891904900124001</v>
      </c>
      <c r="J12840" s="28">
        <v>0.27606989178378999</v>
      </c>
      <c r="K12840" s="29">
        <v>0.98289565623980701</v>
      </c>
    </row>
    <row r="12841" spans="1:11" x14ac:dyDescent="0.35">
      <c r="A12841" s="9" t="str">
        <f>HYPERLINK("http://www.ensembl.org/id/WBGene00044720", "WBGene00044720")</f>
        <v>WBGene00044720</v>
      </c>
      <c r="B12841" s="9" t="str">
        <f>HYPERLINK("http://www.ncbi.nlm.nih.gov/gene/4363033", "4363033")</f>
        <v>4363033</v>
      </c>
      <c r="C12841" s="9" t="str">
        <f>HYPERLINK("http://www.ncbi.nlm.nih.gov/gene/339175", "339175")</f>
        <v>339175</v>
      </c>
      <c r="D12841" t="str">
        <f>"metl-2"</f>
        <v>metl-2</v>
      </c>
      <c r="E12841" t="s">
        <v>1869</v>
      </c>
      <c r="F12841" t="s">
        <v>11</v>
      </c>
      <c r="G12841" t="s">
        <v>6444</v>
      </c>
      <c r="H12841" s="12">
        <v>-1.06958060568105</v>
      </c>
      <c r="I12841" s="20">
        <v>-0.26457918193123903</v>
      </c>
      <c r="J12841" s="28">
        <v>0.79133365917819198</v>
      </c>
      <c r="K12841" s="29">
        <v>0.98289565623980701</v>
      </c>
    </row>
    <row r="12842" spans="1:11" x14ac:dyDescent="0.35">
      <c r="A12842" s="9" t="str">
        <f>HYPERLINK("http://www.ensembl.org/id/WBGene00010988", "WBGene00010988")</f>
        <v>WBGene00010988</v>
      </c>
      <c r="B12842" s="9" t="str">
        <f>HYPERLINK("http://www.ncbi.nlm.nih.gov/gene/174681", "174681")</f>
        <v>174681</v>
      </c>
      <c r="C12842" s="9" t="str">
        <f>HYPERLINK("http://www.ncbi.nlm.nih.gov/gene/4548", "4548")</f>
        <v>4548</v>
      </c>
      <c r="E12842" t="s">
        <v>5457</v>
      </c>
      <c r="F12842" t="s">
        <v>11</v>
      </c>
      <c r="G12842" t="s">
        <v>5458</v>
      </c>
      <c r="H12842" s="12">
        <v>1.16218319672777</v>
      </c>
      <c r="I12842" s="20">
        <v>0.73177371759051901</v>
      </c>
      <c r="J12842" s="28">
        <v>0.46430669335458002</v>
      </c>
      <c r="K12842" s="29">
        <v>0.98289565623980701</v>
      </c>
    </row>
    <row r="12843" spans="1:11" x14ac:dyDescent="0.35">
      <c r="A12843" s="9" t="str">
        <f>HYPERLINK("http://www.ensembl.org/id/WBGene00014228", "WBGene00014228")</f>
        <v>WBGene00014228</v>
      </c>
      <c r="B12843" s="9" t="str">
        <f>HYPERLINK("http://www.ncbi.nlm.nih.gov/gene/191526", "191526")</f>
        <v>191526</v>
      </c>
      <c r="C12843" s="9" t="str">
        <f>HYPERLINK("http://www.ncbi.nlm.nih.gov/gene/79066", "79066")</f>
        <v>79066</v>
      </c>
      <c r="D12843" t="str">
        <f>"mett-10"</f>
        <v>mett-10</v>
      </c>
      <c r="E12843" t="s">
        <v>9714</v>
      </c>
      <c r="F12843" t="s">
        <v>11</v>
      </c>
      <c r="G12843" t="s">
        <v>2778</v>
      </c>
      <c r="H12843" s="12">
        <v>-1.28537426388873</v>
      </c>
      <c r="I12843" s="20">
        <v>-1.08711133192121</v>
      </c>
      <c r="J12843" s="28">
        <v>0.27698761038123898</v>
      </c>
      <c r="K12843" s="29">
        <v>0.98289565623980701</v>
      </c>
    </row>
    <row r="12844" spans="1:11" x14ac:dyDescent="0.35">
      <c r="A12844" s="9" t="str">
        <f>HYPERLINK("http://www.ensembl.org/id/WBGene00003225", "WBGene00003225")</f>
        <v>WBGene00003225</v>
      </c>
      <c r="B12844" s="9" t="str">
        <f>HYPERLINK("http://www.ncbi.nlm.nih.gov/gene/260040", "260040")</f>
        <v>260040</v>
      </c>
      <c r="C12844" s="9"/>
      <c r="D12844" t="str">
        <f>"mev-1"</f>
        <v>mev-1</v>
      </c>
      <c r="E12844" t="s">
        <v>7789</v>
      </c>
      <c r="F12844" t="s">
        <v>11</v>
      </c>
      <c r="G12844" t="s">
        <v>7790</v>
      </c>
      <c r="H12844" s="12">
        <v>-1.14487271632896</v>
      </c>
      <c r="I12844" s="20">
        <v>-0.67862936653428896</v>
      </c>
      <c r="J12844" s="28">
        <v>0.49737273086827499</v>
      </c>
      <c r="K12844" s="29">
        <v>0.98289565623980701</v>
      </c>
    </row>
    <row r="12845" spans="1:11" x14ac:dyDescent="0.35">
      <c r="A12845" s="9" t="str">
        <f>HYPERLINK("http://www.ensembl.org/id/WBGene00012204", "WBGene00012204")</f>
        <v>WBGene00012204</v>
      </c>
      <c r="B12845" s="9" t="str">
        <f>HYPERLINK("http://www.ncbi.nlm.nih.gov/gene/174752", "174752")</f>
        <v>174752</v>
      </c>
      <c r="C12845" s="9" t="str">
        <f>HYPERLINK("http://www.ncbi.nlm.nih.gov/gene/51312", "51312")</f>
        <v>51312</v>
      </c>
      <c r="D12845" t="str">
        <f>"mfn-1"</f>
        <v>mfn-1</v>
      </c>
      <c r="E12845" t="s">
        <v>8332</v>
      </c>
      <c r="F12845" t="s">
        <v>11</v>
      </c>
      <c r="H12845" s="12">
        <v>-1.1719318803115299</v>
      </c>
      <c r="I12845" s="20">
        <v>-0.82576042907161695</v>
      </c>
      <c r="J12845" s="28">
        <v>0.408940005369128</v>
      </c>
      <c r="K12845" s="29">
        <v>0.98289565623980701</v>
      </c>
    </row>
    <row r="12846" spans="1:11" x14ac:dyDescent="0.35">
      <c r="A12846" s="9" t="str">
        <f>HYPERLINK("http://www.ensembl.org/id/WBGene00003233", "WBGene00003233")</f>
        <v>WBGene00003233</v>
      </c>
      <c r="B12846" s="9" t="str">
        <f>HYPERLINK("http://www.ncbi.nlm.nih.gov/gene/172914", "172914")</f>
        <v>172914</v>
      </c>
      <c r="C12846" s="9"/>
      <c r="D12846" t="str">
        <f>"mgl-2"</f>
        <v>mgl-2</v>
      </c>
      <c r="E12846" t="s">
        <v>2645</v>
      </c>
      <c r="F12846" t="s">
        <v>11</v>
      </c>
      <c r="G12846" t="s">
        <v>5894</v>
      </c>
      <c r="H12846" s="12">
        <v>1.08842831320181</v>
      </c>
      <c r="I12846" s="20">
        <v>0.374369549258316</v>
      </c>
      <c r="J12846" s="28">
        <v>0.70812939469252001</v>
      </c>
      <c r="K12846" s="29">
        <v>0.98289565623980701</v>
      </c>
    </row>
    <row r="12847" spans="1:11" x14ac:dyDescent="0.35">
      <c r="A12847" s="9" t="str">
        <f>HYPERLINK("http://www.ensembl.org/id/WBGene00012933", "WBGene00012933")</f>
        <v>WBGene00012933</v>
      </c>
      <c r="B12847" s="9" t="str">
        <f>HYPERLINK("http://www.ncbi.nlm.nih.gov/gene/176558", "176558")</f>
        <v>176558</v>
      </c>
      <c r="C12847" s="9"/>
      <c r="D12847" t="str">
        <f>"mib-1"</f>
        <v>mib-1</v>
      </c>
      <c r="E12847" t="s">
        <v>5480</v>
      </c>
      <c r="F12847" t="s">
        <v>11</v>
      </c>
      <c r="G12847" t="s">
        <v>5481</v>
      </c>
      <c r="H12847" s="12">
        <v>1.1597687240154799</v>
      </c>
      <c r="I12847" s="20">
        <v>0.577414141418919</v>
      </c>
      <c r="J12847" s="28">
        <v>0.56365972348110605</v>
      </c>
      <c r="K12847" s="29">
        <v>0.98289565623980701</v>
      </c>
    </row>
    <row r="12848" spans="1:11" x14ac:dyDescent="0.35">
      <c r="A12848" s="9" t="str">
        <f>HYPERLINK("http://www.ensembl.org/id/WBGene00011890", "WBGene00011890")</f>
        <v>WBGene00011890</v>
      </c>
      <c r="B12848" s="9" t="str">
        <f>HYPERLINK("http://www.ncbi.nlm.nih.gov/gene/179475", "179475")</f>
        <v>179475</v>
      </c>
      <c r="C12848" s="9"/>
      <c r="D12848" t="str">
        <f>"mics-1"</f>
        <v>mics-1</v>
      </c>
      <c r="E12848" t="s">
        <v>7861</v>
      </c>
      <c r="F12848" t="s">
        <v>11</v>
      </c>
      <c r="G12848" t="s">
        <v>3583</v>
      </c>
      <c r="H12848" s="12">
        <v>-1.1485120453823501</v>
      </c>
      <c r="I12848" s="20">
        <v>-0.68029042628300995</v>
      </c>
      <c r="J12848" s="28">
        <v>0.49632058526428502</v>
      </c>
      <c r="K12848" s="29">
        <v>0.98289565623980701</v>
      </c>
    </row>
    <row r="12849" spans="1:11" x14ac:dyDescent="0.35">
      <c r="A12849" s="9" t="str">
        <f>HYPERLINK("http://www.ensembl.org/id/WBGene00003235", "WBGene00003235")</f>
        <v>WBGene00003235</v>
      </c>
      <c r="B12849" s="9" t="str">
        <f>HYPERLINK("http://www.ncbi.nlm.nih.gov/gene/179638", "179638")</f>
        <v>179638</v>
      </c>
      <c r="C12849" s="9"/>
      <c r="D12849" t="str">
        <f>"mif-2"</f>
        <v>mif-2</v>
      </c>
      <c r="E12849" t="s">
        <v>5487</v>
      </c>
      <c r="F12849" t="s">
        <v>11</v>
      </c>
      <c r="H12849" s="12">
        <v>1.15920029526837</v>
      </c>
      <c r="I12849" s="20">
        <v>0.67475033357860303</v>
      </c>
      <c r="J12849" s="28">
        <v>0.49983439996690798</v>
      </c>
      <c r="K12849" s="29">
        <v>0.98289565623980701</v>
      </c>
    </row>
    <row r="12850" spans="1:11" x14ac:dyDescent="0.35">
      <c r="A12850" s="9" t="str">
        <f>HYPERLINK("http://www.ensembl.org/id/WBGene00003236", "WBGene00003236")</f>
        <v>WBGene00003236</v>
      </c>
      <c r="B12850" s="9" t="str">
        <f>HYPERLINK("http://www.ncbi.nlm.nih.gov/gene/172481", "172481")</f>
        <v>172481</v>
      </c>
      <c r="C12850" s="9"/>
      <c r="D12850" t="str">
        <f>"mif-3"</f>
        <v>mif-3</v>
      </c>
      <c r="E12850" t="s">
        <v>8274</v>
      </c>
      <c r="F12850" t="s">
        <v>11</v>
      </c>
      <c r="H12850" s="12">
        <v>-1.1683332466230101</v>
      </c>
      <c r="I12850" s="20">
        <v>-0.69461158161833003</v>
      </c>
      <c r="J12850" s="28">
        <v>0.48729875218777102</v>
      </c>
      <c r="K12850" s="29">
        <v>0.98289565623980701</v>
      </c>
    </row>
    <row r="12851" spans="1:11" x14ac:dyDescent="0.35">
      <c r="A12851" s="9" t="str">
        <f>HYPERLINK("http://www.ensembl.org/id/WBGene00003238", "WBGene00003238")</f>
        <v>WBGene00003238</v>
      </c>
      <c r="B12851" s="9" t="str">
        <f>HYPERLINK("http://www.ncbi.nlm.nih.gov/gene/171677", "171677")</f>
        <v>171677</v>
      </c>
      <c r="C12851" s="9"/>
      <c r="D12851" t="str">
        <f>"mig-1"</f>
        <v>mig-1</v>
      </c>
      <c r="E12851" t="s">
        <v>6849</v>
      </c>
      <c r="F12851" t="s">
        <v>11</v>
      </c>
      <c r="G12851" t="s">
        <v>6850</v>
      </c>
      <c r="H12851" s="12">
        <v>-1.0925127628787401</v>
      </c>
      <c r="I12851" s="20">
        <v>-0.40462930867913899</v>
      </c>
      <c r="J12851" s="28">
        <v>0.68575001156482895</v>
      </c>
      <c r="K12851" s="29">
        <v>0.98289565623980701</v>
      </c>
    </row>
    <row r="12852" spans="1:11" x14ac:dyDescent="0.35">
      <c r="A12852" s="9" t="str">
        <f>HYPERLINK("http://www.ensembl.org/id/WBGene00003243", "WBGene00003243")</f>
        <v>WBGene00003243</v>
      </c>
      <c r="B12852" s="9" t="str">
        <f>HYPERLINK("http://www.ncbi.nlm.nih.gov/gene/176168", "176168")</f>
        <v>176168</v>
      </c>
      <c r="C12852" s="9"/>
      <c r="D12852" t="str">
        <f>"mig-10"</f>
        <v>mig-10</v>
      </c>
      <c r="E12852" t="s">
        <v>5996</v>
      </c>
      <c r="F12852" t="s">
        <v>11</v>
      </c>
      <c r="G12852" t="s">
        <v>3025</v>
      </c>
      <c r="H12852" s="12">
        <v>1.07470930762512</v>
      </c>
      <c r="I12852" s="20">
        <v>0.39414840666365702</v>
      </c>
      <c r="J12852" s="28">
        <v>0.69347147427216504</v>
      </c>
      <c r="K12852" s="29">
        <v>0.98289565623980701</v>
      </c>
    </row>
    <row r="12853" spans="1:11" x14ac:dyDescent="0.35">
      <c r="A12853" s="9" t="str">
        <f>HYPERLINK("http://www.ensembl.org/id/WBGene00003245", "WBGene00003245")</f>
        <v>WBGene00003245</v>
      </c>
      <c r="B12853" s="9" t="str">
        <f>HYPERLINK("http://www.ncbi.nlm.nih.gov/gene/180755", "180755")</f>
        <v>180755</v>
      </c>
      <c r="C12853" s="9"/>
      <c r="D12853" t="str">
        <f>"mig-13"</f>
        <v>mig-13</v>
      </c>
      <c r="E12853" t="s">
        <v>4851</v>
      </c>
      <c r="F12853" t="s">
        <v>11</v>
      </c>
      <c r="G12853" t="s">
        <v>54</v>
      </c>
      <c r="H12853" s="12">
        <v>1.33278662986471</v>
      </c>
      <c r="I12853" s="20">
        <v>1.06453768313328</v>
      </c>
      <c r="J12853" s="28">
        <v>0.287085192959873</v>
      </c>
      <c r="K12853" s="29">
        <v>0.98289565623980701</v>
      </c>
    </row>
    <row r="12854" spans="1:11" x14ac:dyDescent="0.35">
      <c r="A12854" s="9" t="str">
        <f>HYPERLINK("http://www.ensembl.org/id/WBGene00003247", "WBGene00003247")</f>
        <v>WBGene00003247</v>
      </c>
      <c r="B12854" s="9" t="str">
        <f>HYPERLINK("http://www.ncbi.nlm.nih.gov/gene/181248", "181248")</f>
        <v>181248</v>
      </c>
      <c r="C12854" s="9"/>
      <c r="D12854" t="str">
        <f>"mig-15"</f>
        <v>mig-15</v>
      </c>
      <c r="E12854" t="s">
        <v>5587</v>
      </c>
      <c r="F12854" t="s">
        <v>11</v>
      </c>
      <c r="G12854" t="s">
        <v>444</v>
      </c>
      <c r="H12854" s="12">
        <v>1.13943727379837</v>
      </c>
      <c r="I12854" s="20">
        <v>0.71249291641245305</v>
      </c>
      <c r="J12854" s="28">
        <v>0.476159596332978</v>
      </c>
      <c r="K12854" s="29">
        <v>0.98289565623980701</v>
      </c>
    </row>
    <row r="12855" spans="1:11" x14ac:dyDescent="0.35">
      <c r="A12855" s="9" t="str">
        <f>HYPERLINK("http://www.ensembl.org/id/WBGene00003249", "WBGene00003249")</f>
        <v>WBGene00003249</v>
      </c>
      <c r="B12855" s="9" t="str">
        <f>HYPERLINK("http://www.ncbi.nlm.nih.gov/gene/184362", "184362")</f>
        <v>184362</v>
      </c>
      <c r="C12855" s="9"/>
      <c r="D12855" t="str">
        <f>"mig-18"</f>
        <v>mig-18</v>
      </c>
      <c r="E12855" t="s">
        <v>9815</v>
      </c>
      <c r="F12855" t="s">
        <v>11</v>
      </c>
      <c r="H12855" s="12">
        <v>-1.30999980176064</v>
      </c>
      <c r="I12855" s="20">
        <v>-1.06250693935656</v>
      </c>
      <c r="J12855" s="28">
        <v>0.288005609394555</v>
      </c>
      <c r="K12855" s="29">
        <v>0.98289565623980701</v>
      </c>
    </row>
    <row r="12856" spans="1:11" x14ac:dyDescent="0.35">
      <c r="A12856" s="9" t="str">
        <f>HYPERLINK("http://www.ensembl.org/id/WBGene00003254", "WBGene00003254")</f>
        <v>WBGene00003254</v>
      </c>
      <c r="B12856" s="9" t="str">
        <f>HYPERLINK("http://www.ncbi.nlm.nih.gov/gene/180860", "180860")</f>
        <v>180860</v>
      </c>
      <c r="C12856" s="9" t="str">
        <f>HYPERLINK("http://www.ncbi.nlm.nih.gov/gene/57089", "57089")</f>
        <v>57089</v>
      </c>
      <c r="D12856" t="str">
        <f>"mig-23"</f>
        <v>mig-23</v>
      </c>
      <c r="E12856" t="s">
        <v>6793</v>
      </c>
      <c r="F12856" t="s">
        <v>11</v>
      </c>
      <c r="G12856" t="s">
        <v>423</v>
      </c>
      <c r="H12856" s="12">
        <v>-1.08923955139163</v>
      </c>
      <c r="I12856" s="20">
        <v>-0.42631528560995802</v>
      </c>
      <c r="J12856" s="28">
        <v>0.66987812113346101</v>
      </c>
      <c r="K12856" s="29">
        <v>0.98289565623980701</v>
      </c>
    </row>
    <row r="12857" spans="1:11" x14ac:dyDescent="0.35">
      <c r="A12857" s="9" t="str">
        <f>HYPERLINK("http://www.ensembl.org/id/WBGene00009587", "WBGene00009587")</f>
        <v>WBGene00009587</v>
      </c>
      <c r="B12857" s="9" t="str">
        <f>HYPERLINK("http://www.ncbi.nlm.nih.gov/gene/178082", "178082")</f>
        <v>178082</v>
      </c>
      <c r="C12857" s="9"/>
      <c r="D12857" t="str">
        <f>"mig-38"</f>
        <v>mig-38</v>
      </c>
      <c r="E12857" t="s">
        <v>6027</v>
      </c>
      <c r="F12857" t="s">
        <v>11</v>
      </c>
      <c r="G12857" t="s">
        <v>6028</v>
      </c>
      <c r="H12857" s="12">
        <v>1.07122921985752</v>
      </c>
      <c r="I12857" s="20">
        <v>0.37634861810854597</v>
      </c>
      <c r="J12857" s="28">
        <v>0.70665773950872002</v>
      </c>
      <c r="K12857" s="29">
        <v>0.98289565623980701</v>
      </c>
    </row>
    <row r="12858" spans="1:11" x14ac:dyDescent="0.35">
      <c r="A12858" s="9" t="str">
        <f>HYPERLINK("http://www.ensembl.org/id/WBGene00018369", "WBGene00018369")</f>
        <v>WBGene00018369</v>
      </c>
      <c r="B12858" s="9" t="str">
        <f>HYPERLINK("http://www.ncbi.nlm.nih.gov/gene/185686", "185686")</f>
        <v>185686</v>
      </c>
      <c r="C12858" s="9"/>
      <c r="D12858" t="str">
        <f>"mig-39"</f>
        <v>mig-39</v>
      </c>
      <c r="E12858" t="s">
        <v>7667</v>
      </c>
      <c r="F12858" t="s">
        <v>11</v>
      </c>
      <c r="G12858" t="s">
        <v>1659</v>
      </c>
      <c r="H12858" s="12">
        <v>-1.13827887464535</v>
      </c>
      <c r="I12858" s="20">
        <v>-0.65632478478822298</v>
      </c>
      <c r="J12858" s="28">
        <v>0.51161517382552102</v>
      </c>
      <c r="K12858" s="29">
        <v>0.98289565623980701</v>
      </c>
    </row>
    <row r="12859" spans="1:11" x14ac:dyDescent="0.35">
      <c r="A12859" s="9" t="str">
        <f>HYPERLINK("http://www.ensembl.org/id/WBGene00003242", "WBGene00003242")</f>
        <v>WBGene00003242</v>
      </c>
      <c r="B12859" s="9" t="str">
        <f>HYPERLINK("http://www.ncbi.nlm.nih.gov/gene/179162", "179162")</f>
        <v>179162</v>
      </c>
      <c r="C12859" s="9"/>
      <c r="D12859" t="str">
        <f>"mig-6"</f>
        <v>mig-6</v>
      </c>
      <c r="E12859" t="s">
        <v>9784</v>
      </c>
      <c r="F12859" t="s">
        <v>11</v>
      </c>
      <c r="G12859" t="s">
        <v>9785</v>
      </c>
      <c r="H12859" s="12">
        <v>-1.3018715896873601</v>
      </c>
      <c r="I12859" s="20">
        <v>-1.1915869588416901</v>
      </c>
      <c r="J12859" s="28">
        <v>0.23342324101106801</v>
      </c>
      <c r="K12859" s="29">
        <v>0.98289565623980701</v>
      </c>
    </row>
    <row r="12860" spans="1:11" x14ac:dyDescent="0.35">
      <c r="A12860" s="9" t="str">
        <f>HYPERLINK("http://www.ensembl.org/id/WBGene00077708", "WBGene00077708")</f>
        <v>WBGene00077708</v>
      </c>
      <c r="B12860" s="9"/>
      <c r="C12860" s="9"/>
      <c r="D12860" t="str">
        <f>"mir-1817"</f>
        <v>mir-1817</v>
      </c>
      <c r="F12860" t="s">
        <v>1486</v>
      </c>
      <c r="H12860" s="12">
        <v>2.4578120077400301</v>
      </c>
      <c r="I12860" s="20">
        <v>0.26093350314551</v>
      </c>
      <c r="J12860" s="28">
        <v>0.79414378780213601</v>
      </c>
      <c r="K12860" s="29">
        <v>0.98289565623980701</v>
      </c>
    </row>
    <row r="12861" spans="1:11" x14ac:dyDescent="0.35">
      <c r="A12861" s="9" t="str">
        <f>HYPERLINK("http://www.ensembl.org/id/WBGene00077709", "WBGene00077709")</f>
        <v>WBGene00077709</v>
      </c>
      <c r="B12861" s="9"/>
      <c r="C12861" s="9"/>
      <c r="D12861" t="str">
        <f>"mir-1822"</f>
        <v>mir-1822</v>
      </c>
      <c r="F12861" t="s">
        <v>1486</v>
      </c>
      <c r="H12861" s="12">
        <v>-2.4648119998584601</v>
      </c>
      <c r="I12861" s="20">
        <v>-0.50616032725794902</v>
      </c>
      <c r="J12861" s="28">
        <v>0.61274410308713501</v>
      </c>
      <c r="K12861" s="29">
        <v>0.98289565623980701</v>
      </c>
    </row>
    <row r="12862" spans="1:11" x14ac:dyDescent="0.35">
      <c r="A12862" s="9" t="str">
        <f>HYPERLINK("http://www.ensembl.org/id/WBGene00077705", "WBGene00077705")</f>
        <v>WBGene00077705</v>
      </c>
      <c r="B12862" s="9"/>
      <c r="C12862" s="9"/>
      <c r="D12862" t="str">
        <f>"mir-1829.1"</f>
        <v>mir-1829.1</v>
      </c>
      <c r="F12862" t="s">
        <v>1486</v>
      </c>
      <c r="H12862" s="12">
        <v>3.5227018545059199</v>
      </c>
      <c r="I12862" s="20">
        <v>0.36849691206929103</v>
      </c>
      <c r="J12862" s="28">
        <v>0.71250274722433404</v>
      </c>
      <c r="K12862" s="29">
        <v>0.98289565623980701</v>
      </c>
    </row>
    <row r="12863" spans="1:11" x14ac:dyDescent="0.35">
      <c r="A12863" s="9" t="str">
        <f>HYPERLINK("http://www.ensembl.org/id/WBGene00077706", "WBGene00077706")</f>
        <v>WBGene00077706</v>
      </c>
      <c r="B12863" s="9"/>
      <c r="C12863" s="9"/>
      <c r="D12863" t="str">
        <f>"mir-1829.2"</f>
        <v>mir-1829.2</v>
      </c>
      <c r="F12863" t="s">
        <v>1486</v>
      </c>
      <c r="H12863" s="12">
        <v>1.3231364916947299</v>
      </c>
      <c r="I12863" s="20">
        <v>0.258412906665557</v>
      </c>
      <c r="J12863" s="28">
        <v>0.79608825671197403</v>
      </c>
      <c r="K12863" s="29">
        <v>0.98289565623980701</v>
      </c>
    </row>
    <row r="12864" spans="1:11" x14ac:dyDescent="0.35">
      <c r="A12864" s="9" t="str">
        <f>HYPERLINK("http://www.ensembl.org/id/WBGene00077707", "WBGene00077707")</f>
        <v>WBGene00077707</v>
      </c>
      <c r="B12864" s="9"/>
      <c r="C12864" s="9"/>
      <c r="D12864" t="str">
        <f>"mir-1829.3"</f>
        <v>mir-1829.3</v>
      </c>
      <c r="F12864" t="s">
        <v>1486</v>
      </c>
      <c r="H12864" s="12">
        <v>-3.5819448292659501</v>
      </c>
      <c r="I12864" s="20">
        <v>-0.37337717500031398</v>
      </c>
      <c r="J12864" s="28">
        <v>0.70886774492290605</v>
      </c>
      <c r="K12864" s="29">
        <v>0.98289565623980701</v>
      </c>
    </row>
    <row r="12865" spans="1:11" x14ac:dyDescent="0.35">
      <c r="A12865" s="9" t="str">
        <f>HYPERLINK("http://www.ensembl.org/id/WBGene00077725", "WBGene00077725")</f>
        <v>WBGene00077725</v>
      </c>
      <c r="B12865" s="9"/>
      <c r="C12865" s="9"/>
      <c r="D12865" t="str">
        <f>"mir-1832.1"</f>
        <v>mir-1832.1</v>
      </c>
      <c r="F12865" t="s">
        <v>1486</v>
      </c>
      <c r="H12865" s="12">
        <v>2.4503481739523401</v>
      </c>
      <c r="I12865" s="20">
        <v>0.33144217176748902</v>
      </c>
      <c r="J12865" s="28">
        <v>0.74031051482116095</v>
      </c>
      <c r="K12865" s="29">
        <v>0.98289565623980701</v>
      </c>
    </row>
    <row r="12866" spans="1:11" x14ac:dyDescent="0.35">
      <c r="A12866" s="9" t="str">
        <f>HYPERLINK("http://www.ensembl.org/id/WBGene00003261", "WBGene00003261")</f>
        <v>WBGene00003261</v>
      </c>
      <c r="B12866" s="9"/>
      <c r="C12866" s="9"/>
      <c r="D12866" t="str">
        <f>"mir-2"</f>
        <v>mir-2</v>
      </c>
      <c r="F12866" t="s">
        <v>1486</v>
      </c>
      <c r="H12866" s="12">
        <v>5.2322000618327396</v>
      </c>
      <c r="I12866" s="20">
        <v>0.486112489888328</v>
      </c>
      <c r="J12866" s="28">
        <v>0.62688741196182496</v>
      </c>
      <c r="K12866" s="29">
        <v>0.98289565623980701</v>
      </c>
    </row>
    <row r="12867" spans="1:11" x14ac:dyDescent="0.35">
      <c r="A12867" s="9" t="str">
        <f>HYPERLINK("http://www.ensembl.org/id/WBGene00194804", "WBGene00194804")</f>
        <v>WBGene00194804</v>
      </c>
      <c r="B12867" s="9"/>
      <c r="C12867" s="9"/>
      <c r="D12867" t="str">
        <f>"mir-2207"</f>
        <v>mir-2207</v>
      </c>
      <c r="F12867" t="s">
        <v>1486</v>
      </c>
      <c r="H12867" s="12">
        <v>2.5964443813758602</v>
      </c>
      <c r="I12867" s="20">
        <v>0.32033355057255902</v>
      </c>
      <c r="J12867" s="28">
        <v>0.74871549235374901</v>
      </c>
      <c r="K12867" s="29">
        <v>0.98289565623980701</v>
      </c>
    </row>
    <row r="12868" spans="1:11" x14ac:dyDescent="0.35">
      <c r="A12868" s="9" t="str">
        <f>HYPERLINK("http://www.ensembl.org/id/WBGene00194810", "WBGene00194810")</f>
        <v>WBGene00194810</v>
      </c>
      <c r="B12868" s="9"/>
      <c r="C12868" s="9"/>
      <c r="D12868" t="str">
        <f>"mir-2218.2"</f>
        <v>mir-2218.2</v>
      </c>
      <c r="F12868" t="s">
        <v>1486</v>
      </c>
      <c r="H12868" s="12">
        <v>2.3893468495514898</v>
      </c>
      <c r="I12868" s="20">
        <v>0.25323547253672701</v>
      </c>
      <c r="J12868" s="28">
        <v>0.80008625651646104</v>
      </c>
      <c r="K12868" s="29">
        <v>0.98289565623980701</v>
      </c>
    </row>
    <row r="12869" spans="1:11" x14ac:dyDescent="0.35">
      <c r="A12869" s="9" t="str">
        <f>HYPERLINK("http://www.ensembl.org/id/WBGene00194830", "WBGene00194830")</f>
        <v>WBGene00194830</v>
      </c>
      <c r="B12869" s="9"/>
      <c r="C12869" s="9"/>
      <c r="D12869" t="str">
        <f>"mir-2219"</f>
        <v>mir-2219</v>
      </c>
      <c r="F12869" t="s">
        <v>1486</v>
      </c>
      <c r="H12869" s="12">
        <v>3.5227018545059199</v>
      </c>
      <c r="I12869" s="20">
        <v>0.36849691206929103</v>
      </c>
      <c r="J12869" s="28">
        <v>0.71250274722433404</v>
      </c>
      <c r="K12869" s="29">
        <v>0.98289565623980701</v>
      </c>
    </row>
    <row r="12870" spans="1:11" x14ac:dyDescent="0.35">
      <c r="A12870" s="9" t="str">
        <f>HYPERLINK("http://www.ensembl.org/id/WBGene00003328", "WBGene00003328")</f>
        <v>WBGene00003328</v>
      </c>
      <c r="B12870" s="9"/>
      <c r="C12870" s="9"/>
      <c r="D12870" t="str">
        <f>"mir-235"</f>
        <v>mir-235</v>
      </c>
      <c r="F12870" t="s">
        <v>1486</v>
      </c>
      <c r="H12870" s="12">
        <v>-2.4295389261469</v>
      </c>
      <c r="I12870" s="20">
        <v>-0.25808529976640998</v>
      </c>
      <c r="J12870" s="28">
        <v>0.79634107645457397</v>
      </c>
      <c r="K12870" s="29">
        <v>0.98289565623980701</v>
      </c>
    </row>
    <row r="12871" spans="1:11" x14ac:dyDescent="0.35">
      <c r="A12871" s="9" t="str">
        <f>HYPERLINK("http://www.ensembl.org/id/WBGene00003332", "WBGene00003332")</f>
        <v>WBGene00003332</v>
      </c>
      <c r="B12871" s="9"/>
      <c r="C12871" s="9"/>
      <c r="D12871" t="str">
        <f>"mir-239.1"</f>
        <v>mir-239.1</v>
      </c>
      <c r="F12871" t="s">
        <v>1486</v>
      </c>
      <c r="H12871" s="12">
        <v>2.2823775214898601</v>
      </c>
      <c r="I12871" s="20">
        <v>0.28531617361358103</v>
      </c>
      <c r="J12871" s="28">
        <v>0.77540192285876297</v>
      </c>
      <c r="K12871" s="29">
        <v>0.98289565623980701</v>
      </c>
    </row>
    <row r="12872" spans="1:11" x14ac:dyDescent="0.35">
      <c r="A12872" s="9" t="str">
        <f>HYPERLINK("http://www.ensembl.org/id/WBGene00003333", "WBGene00003333")</f>
        <v>WBGene00003333</v>
      </c>
      <c r="B12872" s="9"/>
      <c r="C12872" s="9"/>
      <c r="D12872" t="str">
        <f>"mir-239.2"</f>
        <v>mir-239.2</v>
      </c>
      <c r="F12872" t="s">
        <v>1486</v>
      </c>
      <c r="H12872" s="12">
        <v>1.3333709724742899</v>
      </c>
      <c r="I12872" s="20">
        <v>0.722400245829521</v>
      </c>
      <c r="J12872" s="28">
        <v>0.47004843581457401</v>
      </c>
      <c r="K12872" s="29">
        <v>0.98289565623980701</v>
      </c>
    </row>
    <row r="12873" spans="1:11" x14ac:dyDescent="0.35">
      <c r="A12873" s="9" t="str">
        <f>HYPERLINK("http://www.ensembl.org/id/WBGene00003334", "WBGene00003334")</f>
        <v>WBGene00003334</v>
      </c>
      <c r="B12873" s="9"/>
      <c r="C12873" s="9"/>
      <c r="D12873" t="str">
        <f>"mir-240"</f>
        <v>mir-240</v>
      </c>
      <c r="F12873" t="s">
        <v>1486</v>
      </c>
      <c r="H12873" s="12">
        <v>3.5518690361809102</v>
      </c>
      <c r="I12873" s="20">
        <v>0.53231093426673404</v>
      </c>
      <c r="J12873" s="28">
        <v>0.59451066039691003</v>
      </c>
      <c r="K12873" s="29">
        <v>0.98289565623980701</v>
      </c>
    </row>
    <row r="12874" spans="1:11" x14ac:dyDescent="0.35">
      <c r="A12874" s="9" t="str">
        <f>HYPERLINK("http://www.ensembl.org/id/WBGene00003336", "WBGene00003336")</f>
        <v>WBGene00003336</v>
      </c>
      <c r="B12874" s="9"/>
      <c r="C12874" s="9"/>
      <c r="D12874" t="str">
        <f>"mir-242"</f>
        <v>mir-242</v>
      </c>
      <c r="F12874" t="s">
        <v>1486</v>
      </c>
      <c r="H12874" s="12">
        <v>1.4958582461402401</v>
      </c>
      <c r="I12874" s="20">
        <v>0.31663508592999201</v>
      </c>
      <c r="J12874" s="28">
        <v>0.75152050985089902</v>
      </c>
      <c r="K12874" s="29">
        <v>0.98289565623980701</v>
      </c>
    </row>
    <row r="12875" spans="1:11" x14ac:dyDescent="0.35">
      <c r="A12875" s="9" t="str">
        <f>HYPERLINK("http://www.ensembl.org/id/WBGene00003337", "WBGene00003337")</f>
        <v>WBGene00003337</v>
      </c>
      <c r="B12875" s="9"/>
      <c r="C12875" s="9"/>
      <c r="D12875" t="str">
        <f>"mir-243"</f>
        <v>mir-243</v>
      </c>
      <c r="F12875" t="s">
        <v>1486</v>
      </c>
      <c r="H12875" s="12">
        <v>-1.84190291993237</v>
      </c>
      <c r="I12875" s="20">
        <v>-0.46044751526116101</v>
      </c>
      <c r="J12875" s="28">
        <v>0.64519503580697302</v>
      </c>
      <c r="K12875" s="29">
        <v>0.98289565623980701</v>
      </c>
    </row>
    <row r="12876" spans="1:11" x14ac:dyDescent="0.35">
      <c r="A12876" s="9" t="str">
        <f>HYPERLINK("http://www.ensembl.org/id/WBGene00003340", "WBGene00003340")</f>
        <v>WBGene00003340</v>
      </c>
      <c r="B12876" s="9"/>
      <c r="C12876" s="9"/>
      <c r="D12876" t="str">
        <f>"mir-246"</f>
        <v>mir-246</v>
      </c>
      <c r="F12876" t="s">
        <v>1486</v>
      </c>
      <c r="H12876" s="12">
        <v>-3.7261494131482999</v>
      </c>
      <c r="I12876" s="20">
        <v>-0.38454673129429601</v>
      </c>
      <c r="J12876" s="28">
        <v>0.70057326682554</v>
      </c>
      <c r="K12876" s="29">
        <v>0.98289565623980701</v>
      </c>
    </row>
    <row r="12877" spans="1:11" x14ac:dyDescent="0.35">
      <c r="A12877" s="9" t="str">
        <f>HYPERLINK("http://www.ensembl.org/id/WBGene00003353", "WBGene00003353")</f>
        <v>WBGene00003353</v>
      </c>
      <c r="B12877" s="9"/>
      <c r="C12877" s="9"/>
      <c r="D12877" t="str">
        <f>"mir-259"</f>
        <v>mir-259</v>
      </c>
      <c r="F12877" t="s">
        <v>1486</v>
      </c>
      <c r="H12877" s="12">
        <v>-2.4991590031922399</v>
      </c>
      <c r="I12877" s="20">
        <v>-0.26577412737581302</v>
      </c>
      <c r="J12877" s="28">
        <v>0.79041317015736101</v>
      </c>
      <c r="K12877" s="29">
        <v>0.98289565623980701</v>
      </c>
    </row>
    <row r="12878" spans="1:11" x14ac:dyDescent="0.35">
      <c r="A12878" s="9" t="str">
        <f>HYPERLINK("http://www.ensembl.org/id/WBGene00003357", "WBGene00003357")</f>
        <v>WBGene00003357</v>
      </c>
      <c r="B12878" s="9"/>
      <c r="C12878" s="9"/>
      <c r="D12878" t="str">
        <f>"mir-264"</f>
        <v>mir-264</v>
      </c>
      <c r="F12878" t="s">
        <v>1486</v>
      </c>
      <c r="H12878" s="12">
        <v>3.5117698950263998</v>
      </c>
      <c r="I12878" s="20">
        <v>0.745357812600695</v>
      </c>
      <c r="J12878" s="28">
        <v>0.45605544023719202</v>
      </c>
      <c r="K12878" s="29">
        <v>0.98289565623980701</v>
      </c>
    </row>
    <row r="12879" spans="1:11" x14ac:dyDescent="0.35">
      <c r="A12879" s="9" t="str">
        <f>HYPERLINK("http://www.ensembl.org/id/WBGene00003262", "WBGene00003262")</f>
        <v>WBGene00003262</v>
      </c>
      <c r="B12879" s="9"/>
      <c r="C12879" s="9"/>
      <c r="D12879" t="str">
        <f>"mir-34"</f>
        <v>mir-34</v>
      </c>
      <c r="F12879" t="s">
        <v>1486</v>
      </c>
      <c r="H12879" s="12">
        <v>-2.4295389261469</v>
      </c>
      <c r="I12879" s="20">
        <v>-0.25808529976640998</v>
      </c>
      <c r="J12879" s="28">
        <v>0.79634107645457397</v>
      </c>
      <c r="K12879" s="29">
        <v>0.98289565623980701</v>
      </c>
    </row>
    <row r="12880" spans="1:11" x14ac:dyDescent="0.35">
      <c r="A12880" s="9" t="str">
        <f>HYPERLINK("http://www.ensembl.org/id/WBGene00023453", "WBGene00023453")</f>
        <v>WBGene00023453</v>
      </c>
      <c r="B12880" s="9"/>
      <c r="C12880" s="9"/>
      <c r="D12880" t="str">
        <f>"mir-356.1"</f>
        <v>mir-356.1</v>
      </c>
      <c r="F12880" t="s">
        <v>1486</v>
      </c>
      <c r="H12880" s="12">
        <v>2.3893468495514898</v>
      </c>
      <c r="I12880" s="20">
        <v>0.25323547253672701</v>
      </c>
      <c r="J12880" s="28">
        <v>0.80008625651646104</v>
      </c>
      <c r="K12880" s="29">
        <v>0.98289565623980701</v>
      </c>
    </row>
    <row r="12881" spans="1:11" x14ac:dyDescent="0.35">
      <c r="A12881" s="9" t="str">
        <f>HYPERLINK("http://www.ensembl.org/id/WBGene00014391", "WBGene00014391")</f>
        <v>WBGene00014391</v>
      </c>
      <c r="B12881" s="9"/>
      <c r="C12881" s="9"/>
      <c r="D12881" t="str">
        <f>"mir-392"</f>
        <v>mir-392</v>
      </c>
      <c r="F12881" t="s">
        <v>1486</v>
      </c>
      <c r="H12881" s="12">
        <v>2.3893468495514898</v>
      </c>
      <c r="I12881" s="20">
        <v>0.25323547253672701</v>
      </c>
      <c r="J12881" s="28">
        <v>0.80008625651646104</v>
      </c>
      <c r="K12881" s="29">
        <v>0.98289565623980701</v>
      </c>
    </row>
    <row r="12882" spans="1:11" x14ac:dyDescent="0.35">
      <c r="A12882" s="9" t="str">
        <f>HYPERLINK("http://www.ensembl.org/id/WBGene00003275", "WBGene00003275")</f>
        <v>WBGene00003275</v>
      </c>
      <c r="B12882" s="9"/>
      <c r="C12882" s="9"/>
      <c r="D12882" t="str">
        <f>"mir-47"</f>
        <v>mir-47</v>
      </c>
      <c r="F12882" t="s">
        <v>1486</v>
      </c>
      <c r="H12882" s="12">
        <v>3.5891807454774201</v>
      </c>
      <c r="I12882" s="20">
        <v>0.62369846953748798</v>
      </c>
      <c r="J12882" s="28">
        <v>0.53282562838129999</v>
      </c>
      <c r="K12882" s="29">
        <v>0.98289565623980701</v>
      </c>
    </row>
    <row r="12883" spans="1:11" x14ac:dyDescent="0.35">
      <c r="A12883" s="9" t="str">
        <f>HYPERLINK("http://www.ensembl.org/id/WBGene00195238", "WBGene00195238")</f>
        <v>WBGene00195238</v>
      </c>
      <c r="B12883" s="9"/>
      <c r="C12883" s="9"/>
      <c r="D12883" t="str">
        <f>"mir-4805"</f>
        <v>mir-4805</v>
      </c>
      <c r="F12883" t="s">
        <v>1486</v>
      </c>
      <c r="H12883" s="12">
        <v>1.95969597900355</v>
      </c>
      <c r="I12883" s="20">
        <v>0.36009598501494899</v>
      </c>
      <c r="J12883" s="28">
        <v>0.71877535517417901</v>
      </c>
      <c r="K12883" s="29">
        <v>0.98289565623980701</v>
      </c>
    </row>
    <row r="12884" spans="1:11" x14ac:dyDescent="0.35">
      <c r="A12884" s="9" t="str">
        <f>HYPERLINK("http://www.ensembl.org/id/WBGene00219252", "WBGene00219252")</f>
        <v>WBGene00219252</v>
      </c>
      <c r="B12884" s="9"/>
      <c r="C12884" s="9"/>
      <c r="D12884" t="str">
        <f>"mir-4815"</f>
        <v>mir-4815</v>
      </c>
      <c r="F12884" t="s">
        <v>1486</v>
      </c>
      <c r="H12884" s="12">
        <v>3.9504197719073901</v>
      </c>
      <c r="I12884" s="20">
        <v>1.03026980556241</v>
      </c>
      <c r="J12884" s="28">
        <v>0.30288336901702401</v>
      </c>
      <c r="K12884" s="29">
        <v>0.98289565623980701</v>
      </c>
    </row>
    <row r="12885" spans="1:11" x14ac:dyDescent="0.35">
      <c r="A12885" s="9" t="str">
        <f>HYPERLINK("http://www.ensembl.org/id/WBGene00219227", "WBGene00219227")</f>
        <v>WBGene00219227</v>
      </c>
      <c r="B12885" s="9"/>
      <c r="C12885" s="9"/>
      <c r="D12885" t="str">
        <f>"mir-4932"</f>
        <v>mir-4932</v>
      </c>
      <c r="F12885" t="s">
        <v>1486</v>
      </c>
      <c r="H12885" s="12">
        <v>9.5215001458148301</v>
      </c>
      <c r="I12885" s="20">
        <v>0.67036031720767997</v>
      </c>
      <c r="J12885" s="28">
        <v>0.50262812496729803</v>
      </c>
      <c r="K12885" s="29">
        <v>0.98289565623980701</v>
      </c>
    </row>
    <row r="12886" spans="1:11" x14ac:dyDescent="0.35">
      <c r="A12886" s="9" t="str">
        <f>HYPERLINK("http://www.ensembl.org/id/WBGene00219230", "WBGene00219230")</f>
        <v>WBGene00219230</v>
      </c>
      <c r="B12886" s="9"/>
      <c r="C12886" s="9"/>
      <c r="D12886" t="str">
        <f>"mir-4935"</f>
        <v>mir-4935</v>
      </c>
      <c r="F12886" t="s">
        <v>1486</v>
      </c>
      <c r="H12886" s="12">
        <v>4.4368407117627902</v>
      </c>
      <c r="I12886" s="20">
        <v>0.43709475933309699</v>
      </c>
      <c r="J12886" s="28">
        <v>0.66204262779770495</v>
      </c>
      <c r="K12886" s="29">
        <v>0.98289565623980701</v>
      </c>
    </row>
    <row r="12887" spans="1:11" x14ac:dyDescent="0.35">
      <c r="A12887" s="9" t="str">
        <f>HYPERLINK("http://www.ensembl.org/id/WBGene00219266", "WBGene00219266")</f>
        <v>WBGene00219266</v>
      </c>
      <c r="B12887" s="9"/>
      <c r="C12887" s="9"/>
      <c r="D12887" t="str">
        <f>"mir-4938"</f>
        <v>mir-4938</v>
      </c>
      <c r="F12887" t="s">
        <v>1486</v>
      </c>
      <c r="H12887" s="12">
        <v>5.4058944669092801</v>
      </c>
      <c r="I12887" s="20">
        <v>0.49762513753689303</v>
      </c>
      <c r="J12887" s="28">
        <v>0.61874828254921799</v>
      </c>
      <c r="K12887" s="29">
        <v>0.98289565623980701</v>
      </c>
    </row>
    <row r="12888" spans="1:11" x14ac:dyDescent="0.35">
      <c r="A12888" s="9" t="str">
        <f>HYPERLINK("http://www.ensembl.org/id/WBGene00219267", "WBGene00219267")</f>
        <v>WBGene00219267</v>
      </c>
      <c r="B12888" s="9"/>
      <c r="C12888" s="9"/>
      <c r="D12888" t="str">
        <f>"mir-5548"</f>
        <v>mir-5548</v>
      </c>
      <c r="F12888" t="s">
        <v>1486</v>
      </c>
      <c r="H12888" s="12">
        <v>1.22809154398414</v>
      </c>
      <c r="I12888" s="20">
        <v>0.33438674676170499</v>
      </c>
      <c r="J12888" s="28">
        <v>0.73808773896633195</v>
      </c>
      <c r="K12888" s="29">
        <v>0.98289565623980701</v>
      </c>
    </row>
    <row r="12889" spans="1:11" x14ac:dyDescent="0.35">
      <c r="A12889" s="9" t="str">
        <f>HYPERLINK("http://www.ensembl.org/id/WBGene00235085", "WBGene00235085")</f>
        <v>WBGene00235085</v>
      </c>
      <c r="B12889" s="9"/>
      <c r="C12889" s="9"/>
      <c r="D12889" t="str">
        <f>"mir-5592.2"</f>
        <v>mir-5592.2</v>
      </c>
      <c r="F12889" t="s">
        <v>1486</v>
      </c>
      <c r="H12889" s="12">
        <v>-2.4295389261469</v>
      </c>
      <c r="I12889" s="20">
        <v>-0.25808529976640998</v>
      </c>
      <c r="J12889" s="28">
        <v>0.79634107645457397</v>
      </c>
      <c r="K12889" s="29">
        <v>0.98289565623980701</v>
      </c>
    </row>
    <row r="12890" spans="1:11" x14ac:dyDescent="0.35">
      <c r="A12890" s="9" t="str">
        <f>HYPERLINK("http://www.ensembl.org/id/WBGene00003299", "WBGene00003299")</f>
        <v>WBGene00003299</v>
      </c>
      <c r="B12890" s="9"/>
      <c r="C12890" s="9"/>
      <c r="D12890" t="str">
        <f>"mir-71"</f>
        <v>mir-71</v>
      </c>
      <c r="F12890" t="s">
        <v>1486</v>
      </c>
      <c r="H12890" s="12">
        <v>2.4578120077400301</v>
      </c>
      <c r="I12890" s="20">
        <v>0.26093350314551</v>
      </c>
      <c r="J12890" s="28">
        <v>0.79414378780213601</v>
      </c>
      <c r="K12890" s="29">
        <v>0.98289565623980701</v>
      </c>
    </row>
    <row r="12891" spans="1:11" x14ac:dyDescent="0.35">
      <c r="A12891" s="9" t="str">
        <f>HYPERLINK("http://www.ensembl.org/id/WBGene00045342", "WBGene00045342")</f>
        <v>WBGene00045342</v>
      </c>
      <c r="B12891" s="9"/>
      <c r="C12891" s="9"/>
      <c r="D12891" t="str">
        <f>"mir-785"</f>
        <v>mir-785</v>
      </c>
      <c r="F12891" t="s">
        <v>1486</v>
      </c>
      <c r="H12891" s="12">
        <v>-6.7350978273547204</v>
      </c>
      <c r="I12891" s="20">
        <v>-0.57518224984572797</v>
      </c>
      <c r="J12891" s="28">
        <v>0.565168046075332</v>
      </c>
      <c r="K12891" s="29">
        <v>0.98289565623980701</v>
      </c>
    </row>
    <row r="12892" spans="1:11" x14ac:dyDescent="0.35">
      <c r="A12892" s="9" t="str">
        <f>HYPERLINK("http://www.ensembl.org/id/WBGene00045326", "WBGene00045326")</f>
        <v>WBGene00045326</v>
      </c>
      <c r="B12892" s="9"/>
      <c r="C12892" s="9"/>
      <c r="D12892" t="str">
        <f>"mir-789.2"</f>
        <v>mir-789.2</v>
      </c>
      <c r="F12892" t="s">
        <v>1486</v>
      </c>
      <c r="H12892" s="12">
        <v>2.4578120077400301</v>
      </c>
      <c r="I12892" s="20">
        <v>0.26093350314551</v>
      </c>
      <c r="J12892" s="28">
        <v>0.79414378780213601</v>
      </c>
      <c r="K12892" s="29">
        <v>0.98289565623980701</v>
      </c>
    </row>
    <row r="12893" spans="1:11" x14ac:dyDescent="0.35">
      <c r="A12893" s="9" t="str">
        <f>HYPERLINK("http://www.ensembl.org/id/WBGene00003308", "WBGene00003308")</f>
        <v>WBGene00003308</v>
      </c>
      <c r="B12893" s="9"/>
      <c r="C12893" s="9"/>
      <c r="D12893" t="str">
        <f>"mir-80"</f>
        <v>mir-80</v>
      </c>
      <c r="F12893" t="s">
        <v>1486</v>
      </c>
      <c r="H12893" s="12">
        <v>1.7182683729670201</v>
      </c>
      <c r="I12893" s="20">
        <v>0.55719847159977298</v>
      </c>
      <c r="J12893" s="28">
        <v>0.57739183386745396</v>
      </c>
      <c r="K12893" s="29">
        <v>0.98289565623980701</v>
      </c>
    </row>
    <row r="12894" spans="1:11" x14ac:dyDescent="0.35">
      <c r="A12894" s="9" t="str">
        <f>HYPERLINK("http://www.ensembl.org/id/WBGene00045360", "WBGene00045360")</f>
        <v>WBGene00045360</v>
      </c>
      <c r="B12894" s="9"/>
      <c r="C12894" s="9"/>
      <c r="D12894" t="str">
        <f>"mir-800"</f>
        <v>mir-800</v>
      </c>
      <c r="F12894" t="s">
        <v>1486</v>
      </c>
      <c r="H12894" s="12">
        <v>-2.4295389261469</v>
      </c>
      <c r="I12894" s="20">
        <v>-0.25808529976640998</v>
      </c>
      <c r="J12894" s="28">
        <v>0.79634107645457397</v>
      </c>
      <c r="K12894" s="29">
        <v>0.98289565623980701</v>
      </c>
    </row>
    <row r="12895" spans="1:11" x14ac:dyDescent="0.35">
      <c r="A12895" s="9" t="str">
        <f>HYPERLINK("http://www.ensembl.org/id/WBGene00199918", "WBGene00199918")</f>
        <v>WBGene00199918</v>
      </c>
      <c r="B12895" s="9"/>
      <c r="C12895" s="9"/>
      <c r="D12895" t="str">
        <f>"mir-8192"</f>
        <v>mir-8192</v>
      </c>
      <c r="F12895" t="s">
        <v>1486</v>
      </c>
      <c r="H12895" s="12">
        <v>4.6483836116587396</v>
      </c>
      <c r="I12895" s="20">
        <v>0.94791011646354395</v>
      </c>
      <c r="J12895" s="28">
        <v>0.343175214369699</v>
      </c>
      <c r="K12895" s="29">
        <v>0.98289565623980701</v>
      </c>
    </row>
    <row r="12896" spans="1:11" x14ac:dyDescent="0.35">
      <c r="A12896" s="9" t="str">
        <f>HYPERLINK("http://www.ensembl.org/id/WBGene00255578", "WBGene00255578")</f>
        <v>WBGene00255578</v>
      </c>
      <c r="B12896" s="9"/>
      <c r="C12896" s="9"/>
      <c r="D12896" t="str">
        <f>"mir-8193"</f>
        <v>mir-8193</v>
      </c>
      <c r="F12896" t="s">
        <v>1486</v>
      </c>
      <c r="H12896" s="12">
        <v>-2.4991590031922399</v>
      </c>
      <c r="I12896" s="20">
        <v>-0.26577412737581302</v>
      </c>
      <c r="J12896" s="28">
        <v>0.79041317015736101</v>
      </c>
      <c r="K12896" s="29">
        <v>0.98289565623980701</v>
      </c>
    </row>
    <row r="12897" spans="1:11" x14ac:dyDescent="0.35">
      <c r="A12897" s="9" t="str">
        <f>HYPERLINK("http://www.ensembl.org/id/WBGene00255579", "WBGene00255579")</f>
        <v>WBGene00255579</v>
      </c>
      <c r="B12897" s="9"/>
      <c r="C12897" s="9"/>
      <c r="D12897" t="str">
        <f>"mir-8194"</f>
        <v>mir-8194</v>
      </c>
      <c r="F12897" t="s">
        <v>1486</v>
      </c>
      <c r="H12897" s="12">
        <v>-2.4991590031922399</v>
      </c>
      <c r="I12897" s="20">
        <v>-0.26577412737581302</v>
      </c>
      <c r="J12897" s="28">
        <v>0.79041317015736101</v>
      </c>
      <c r="K12897" s="29">
        <v>0.98289565623980701</v>
      </c>
    </row>
    <row r="12898" spans="1:11" x14ac:dyDescent="0.35">
      <c r="A12898" s="9" t="str">
        <f>HYPERLINK("http://www.ensembl.org/id/WBGene00219810", "WBGene00219810")</f>
        <v>WBGene00219810</v>
      </c>
      <c r="B12898" s="9"/>
      <c r="C12898" s="9"/>
      <c r="D12898" t="str">
        <f>"mir-8196.2"</f>
        <v>mir-8196.2</v>
      </c>
      <c r="F12898" t="s">
        <v>1486</v>
      </c>
      <c r="H12898" s="12">
        <v>2.4578120077400301</v>
      </c>
      <c r="I12898" s="20">
        <v>0.26093350314551</v>
      </c>
      <c r="J12898" s="28">
        <v>0.79414378780213601</v>
      </c>
      <c r="K12898" s="29">
        <v>0.98289565623980701</v>
      </c>
    </row>
    <row r="12899" spans="1:11" x14ac:dyDescent="0.35">
      <c r="A12899" s="9" t="str">
        <f>HYPERLINK("http://www.ensembl.org/id/WBGene00016553", "WBGene00016553")</f>
        <v>WBGene00016553</v>
      </c>
      <c r="B12899" s="9"/>
      <c r="C12899" s="9"/>
      <c r="D12899" t="str">
        <f>"mir-8199"</f>
        <v>mir-8199</v>
      </c>
      <c r="F12899" t="s">
        <v>1486</v>
      </c>
      <c r="H12899" s="12">
        <v>1.3500230357566301</v>
      </c>
      <c r="I12899" s="20">
        <v>0.59239676915089101</v>
      </c>
      <c r="J12899" s="28">
        <v>0.553584929320866</v>
      </c>
      <c r="K12899" s="29">
        <v>0.98289565623980701</v>
      </c>
    </row>
    <row r="12900" spans="1:11" x14ac:dyDescent="0.35">
      <c r="A12900" s="9" t="str">
        <f>HYPERLINK("http://www.ensembl.org/id/WBGene00003310", "WBGene00003310")</f>
        <v>WBGene00003310</v>
      </c>
      <c r="B12900" s="9"/>
      <c r="C12900" s="9"/>
      <c r="D12900" t="str">
        <f>"mir-82"</f>
        <v>mir-82</v>
      </c>
      <c r="F12900" t="s">
        <v>1486</v>
      </c>
      <c r="H12900" s="12">
        <v>2.4578120077400301</v>
      </c>
      <c r="I12900" s="20">
        <v>0.26093350314551</v>
      </c>
      <c r="J12900" s="28">
        <v>0.79414378780213601</v>
      </c>
      <c r="K12900" s="29">
        <v>0.98289565623980701</v>
      </c>
    </row>
    <row r="12901" spans="1:11" x14ac:dyDescent="0.35">
      <c r="A12901" s="9" t="str">
        <f>HYPERLINK("http://www.ensembl.org/id/WBGene00255582", "WBGene00255582")</f>
        <v>WBGene00255582</v>
      </c>
      <c r="B12901" s="9"/>
      <c r="C12901" s="9"/>
      <c r="D12901" t="str">
        <f>"mir-8201"</f>
        <v>mir-8201</v>
      </c>
      <c r="F12901" t="s">
        <v>1486</v>
      </c>
      <c r="H12901" s="12">
        <v>5.9495765472548197</v>
      </c>
      <c r="I12901" s="20">
        <v>0.52429389276509997</v>
      </c>
      <c r="J12901" s="28">
        <v>0.60007414400596704</v>
      </c>
      <c r="K12901" s="29">
        <v>0.98289565623980701</v>
      </c>
    </row>
    <row r="12902" spans="1:11" x14ac:dyDescent="0.35">
      <c r="A12902" s="9" t="str">
        <f>HYPERLINK("http://www.ensembl.org/id/WBGene00255568", "WBGene00255568")</f>
        <v>WBGene00255568</v>
      </c>
      <c r="B12902" s="9"/>
      <c r="C12902" s="9"/>
      <c r="D12902" t="str">
        <f>"mir-8204"</f>
        <v>mir-8204</v>
      </c>
      <c r="F12902" t="s">
        <v>1486</v>
      </c>
      <c r="H12902" s="12">
        <v>2.43628531154256</v>
      </c>
      <c r="I12902" s="20">
        <v>0.26397437090349102</v>
      </c>
      <c r="J12902" s="28">
        <v>0.79179966754305298</v>
      </c>
      <c r="K12902" s="29">
        <v>0.98289565623980701</v>
      </c>
    </row>
    <row r="12903" spans="1:11" x14ac:dyDescent="0.35">
      <c r="A12903" s="9" t="str">
        <f>HYPERLINK("http://www.ensembl.org/id/WBGene00201935", "WBGene00201935")</f>
        <v>WBGene00201935</v>
      </c>
      <c r="B12903" s="9"/>
      <c r="C12903" s="9"/>
      <c r="D12903" t="str">
        <f>"mir-8210"</f>
        <v>mir-8210</v>
      </c>
      <c r="F12903" t="s">
        <v>1486</v>
      </c>
      <c r="H12903" s="12">
        <v>2.3893468495514898</v>
      </c>
      <c r="I12903" s="20">
        <v>0.25323547253672701</v>
      </c>
      <c r="J12903" s="28">
        <v>0.80008625651646104</v>
      </c>
      <c r="K12903" s="29">
        <v>0.98289565623980701</v>
      </c>
    </row>
    <row r="12904" spans="1:11" x14ac:dyDescent="0.35">
      <c r="A12904" s="9" t="str">
        <f>HYPERLINK("http://www.ensembl.org/id/WBGene00003312", "WBGene00003312")</f>
        <v>WBGene00003312</v>
      </c>
      <c r="B12904" s="9"/>
      <c r="C12904" s="9"/>
      <c r="D12904" t="str">
        <f>"mir-84"</f>
        <v>mir-84</v>
      </c>
      <c r="F12904" t="s">
        <v>1486</v>
      </c>
      <c r="H12904" s="12">
        <v>3.6645215954135</v>
      </c>
      <c r="I12904" s="20">
        <v>0.37967131826092498</v>
      </c>
      <c r="J12904" s="28">
        <v>0.70418941338960395</v>
      </c>
      <c r="K12904" s="29">
        <v>0.98289565623980701</v>
      </c>
    </row>
    <row r="12905" spans="1:11" x14ac:dyDescent="0.35">
      <c r="A12905" s="9" t="str">
        <f>HYPERLINK("http://www.ensembl.org/id/WBGene00003313", "WBGene00003313")</f>
        <v>WBGene00003313</v>
      </c>
      <c r="B12905" s="9"/>
      <c r="C12905" s="9"/>
      <c r="D12905" t="str">
        <f>"mir-85"</f>
        <v>mir-85</v>
      </c>
      <c r="F12905" t="s">
        <v>1486</v>
      </c>
      <c r="H12905" s="12">
        <v>5.4058944669092801</v>
      </c>
      <c r="I12905" s="20">
        <v>0.49762513753689303</v>
      </c>
      <c r="J12905" s="28">
        <v>0.61874828254921799</v>
      </c>
      <c r="K12905" s="29">
        <v>0.98289565623980701</v>
      </c>
    </row>
    <row r="12906" spans="1:11" x14ac:dyDescent="0.35">
      <c r="A12906" s="9" t="str">
        <f>HYPERLINK("http://www.ensembl.org/id/WBGene00003314", "WBGene00003314")</f>
        <v>WBGene00003314</v>
      </c>
      <c r="B12906" s="9"/>
      <c r="C12906" s="9"/>
      <c r="D12906" t="str">
        <f>"mir-86"</f>
        <v>mir-86</v>
      </c>
      <c r="F12906" t="s">
        <v>1486</v>
      </c>
      <c r="H12906" s="12">
        <v>6.4074059556604599</v>
      </c>
      <c r="I12906" s="20">
        <v>0.93182618901911596</v>
      </c>
      <c r="J12906" s="28">
        <v>0.35142635786048898</v>
      </c>
      <c r="K12906" s="29">
        <v>0.98289565623980701</v>
      </c>
    </row>
    <row r="12907" spans="1:11" x14ac:dyDescent="0.35">
      <c r="A12907" s="9" t="str">
        <f>HYPERLINK("http://www.ensembl.org/id/WBGene00003315", "WBGene00003315")</f>
        <v>WBGene00003315</v>
      </c>
      <c r="B12907" s="9"/>
      <c r="C12907" s="9"/>
      <c r="D12907" t="str">
        <f>"mir-87"</f>
        <v>mir-87</v>
      </c>
      <c r="F12907" t="s">
        <v>1486</v>
      </c>
      <c r="H12907" s="12">
        <v>-1.4630275093188501</v>
      </c>
      <c r="I12907" s="20">
        <v>-0.38395686053494499</v>
      </c>
      <c r="J12907" s="28">
        <v>0.70101042162940597</v>
      </c>
      <c r="K12907" s="29">
        <v>0.98289565623980701</v>
      </c>
    </row>
    <row r="12908" spans="1:11" x14ac:dyDescent="0.35">
      <c r="A12908" s="9" t="str">
        <f>HYPERLINK("http://www.ensembl.org/id/WBGene00003318", "WBGene00003318")</f>
        <v>WBGene00003318</v>
      </c>
      <c r="B12908" s="9"/>
      <c r="C12908" s="9"/>
      <c r="D12908" t="str">
        <f>"mir-90"</f>
        <v>mir-90</v>
      </c>
      <c r="F12908" t="s">
        <v>1486</v>
      </c>
      <c r="H12908" s="12">
        <v>2.3893468495514898</v>
      </c>
      <c r="I12908" s="20">
        <v>0.25323547253672701</v>
      </c>
      <c r="J12908" s="28">
        <v>0.80008625651646104</v>
      </c>
      <c r="K12908" s="29">
        <v>0.98289565623980701</v>
      </c>
    </row>
    <row r="12909" spans="1:11" x14ac:dyDescent="0.35">
      <c r="A12909" s="9" t="str">
        <f>HYPERLINK("http://www.ensembl.org/id/WBGene00019544", "WBGene00019544")</f>
        <v>WBGene00019544</v>
      </c>
      <c r="B12909" s="9" t="str">
        <f>HYPERLINK("http://www.ncbi.nlm.nih.gov/gene/177238", "177238")</f>
        <v>177238</v>
      </c>
      <c r="C12909" s="9" t="str">
        <f>HYPERLINK("http://www.ncbi.nlm.nih.gov/gene/55288", "55288")</f>
        <v>55288</v>
      </c>
      <c r="D12909" t="str">
        <f>"miro-1"</f>
        <v>miro-1</v>
      </c>
      <c r="E12909" t="s">
        <v>8718</v>
      </c>
      <c r="F12909" t="s">
        <v>11</v>
      </c>
      <c r="G12909" t="s">
        <v>8719</v>
      </c>
      <c r="H12909" s="12">
        <v>-1.1927820513464999</v>
      </c>
      <c r="I12909" s="20">
        <v>-0.90888988433866902</v>
      </c>
      <c r="J12909" s="28">
        <v>0.36340825392491999</v>
      </c>
      <c r="K12909" s="29">
        <v>0.98289565623980701</v>
      </c>
    </row>
    <row r="12910" spans="1:11" x14ac:dyDescent="0.35">
      <c r="A12910" s="9" t="str">
        <f>HYPERLINK("http://www.ensembl.org/id/WBGene00016737", "WBGene00016737")</f>
        <v>WBGene00016737</v>
      </c>
      <c r="B12910" s="9"/>
      <c r="C12910" s="9"/>
      <c r="D12910" t="str">
        <f>"miro-2"</f>
        <v>miro-2</v>
      </c>
      <c r="F12910" t="s">
        <v>80</v>
      </c>
      <c r="H12910" s="12">
        <v>2.43628531154256</v>
      </c>
      <c r="I12910" s="20">
        <v>0.26397437090349102</v>
      </c>
      <c r="J12910" s="28">
        <v>0.79179966754305298</v>
      </c>
      <c r="K12910" s="29">
        <v>0.98289565623980701</v>
      </c>
    </row>
    <row r="12911" spans="1:11" x14ac:dyDescent="0.35">
      <c r="A12911" s="9" t="str">
        <f>HYPERLINK("http://www.ensembl.org/id/WBGene00021648", "WBGene00021648")</f>
        <v>WBGene00021648</v>
      </c>
      <c r="B12911" s="9" t="str">
        <f>HYPERLINK("http://www.ncbi.nlm.nih.gov/gene/171927", "171927")</f>
        <v>171927</v>
      </c>
      <c r="C12911" s="9"/>
      <c r="D12911" t="str">
        <f>"mis-12"</f>
        <v>mis-12</v>
      </c>
      <c r="E12911" t="s">
        <v>8304</v>
      </c>
      <c r="F12911" t="s">
        <v>11</v>
      </c>
      <c r="G12911" t="s">
        <v>8305</v>
      </c>
      <c r="H12911" s="12">
        <v>-1.17021605349184</v>
      </c>
      <c r="I12911" s="20">
        <v>-0.60952369669891404</v>
      </c>
      <c r="J12911" s="28">
        <v>0.54217737068559202</v>
      </c>
      <c r="K12911" s="29">
        <v>0.98289565623980701</v>
      </c>
    </row>
    <row r="12912" spans="1:11" x14ac:dyDescent="0.35">
      <c r="A12912" s="9" t="str">
        <f>HYPERLINK("http://www.ensembl.org/id/WBGene00015186", "WBGene00015186")</f>
        <v>WBGene00015186</v>
      </c>
      <c r="B12912" s="9" t="str">
        <f>HYPERLINK("http://www.ncbi.nlm.nih.gov/gene/173414", "173414")</f>
        <v>173414</v>
      </c>
      <c r="C12912" s="9" t="str">
        <f>HYPERLINK("http://www.ncbi.nlm.nih.gov/gene/8402", "8402")</f>
        <v>8402</v>
      </c>
      <c r="D12912" t="str">
        <f>"misc-1"</f>
        <v>misc-1</v>
      </c>
      <c r="E12912" t="s">
        <v>7375</v>
      </c>
      <c r="F12912" t="s">
        <v>11</v>
      </c>
      <c r="H12912" s="12">
        <v>-1.12263738897822</v>
      </c>
      <c r="I12912" s="20">
        <v>-0.58748924795405799</v>
      </c>
      <c r="J12912" s="28">
        <v>0.55687516955917904</v>
      </c>
      <c r="K12912" s="29">
        <v>0.98289565623980701</v>
      </c>
    </row>
    <row r="12913" spans="1:11" x14ac:dyDescent="0.35">
      <c r="A12913" s="9" t="str">
        <f>HYPERLINK("http://www.ensembl.org/id/WBGene00003367", "WBGene00003367")</f>
        <v>WBGene00003367</v>
      </c>
      <c r="B12913" s="9" t="str">
        <f>HYPERLINK("http://www.ncbi.nlm.nih.gov/gene/174669", "174669")</f>
        <v>174669</v>
      </c>
      <c r="C12913" s="9"/>
      <c r="D12913" t="str">
        <f>"mix-1"</f>
        <v>mix-1</v>
      </c>
      <c r="E12913" t="s">
        <v>5811</v>
      </c>
      <c r="F12913" t="s">
        <v>11</v>
      </c>
      <c r="G12913" t="s">
        <v>5149</v>
      </c>
      <c r="H12913" s="12">
        <v>1.0987503606253</v>
      </c>
      <c r="I12913" s="20">
        <v>0.45236580790562098</v>
      </c>
      <c r="J12913" s="28">
        <v>0.65100547481662896</v>
      </c>
      <c r="K12913" s="29">
        <v>0.98289565623980701</v>
      </c>
    </row>
    <row r="12914" spans="1:11" x14ac:dyDescent="0.35">
      <c r="A12914" s="9" t="str">
        <f>HYPERLINK("http://www.ensembl.org/id/WBGene00011259", "WBGene00011259")</f>
        <v>WBGene00011259</v>
      </c>
      <c r="B12914" s="9" t="str">
        <f>HYPERLINK("http://www.ncbi.nlm.nih.gov/gene/3565074", "3565074")</f>
        <v>3565074</v>
      </c>
      <c r="C12914" s="9"/>
      <c r="D12914" t="str">
        <f>"miz-1"</f>
        <v>miz-1</v>
      </c>
      <c r="E12914" t="s">
        <v>6096</v>
      </c>
      <c r="F12914" t="s">
        <v>11</v>
      </c>
      <c r="G12914" t="s">
        <v>6097</v>
      </c>
      <c r="H12914" s="12">
        <v>1.0616778462985099</v>
      </c>
      <c r="I12914" s="20">
        <v>0.33339051817763199</v>
      </c>
      <c r="J12914" s="28">
        <v>0.73883951957267602</v>
      </c>
      <c r="K12914" s="29">
        <v>0.98289565623980701</v>
      </c>
    </row>
    <row r="12915" spans="1:11" x14ac:dyDescent="0.35">
      <c r="A12915" s="9" t="str">
        <f>HYPERLINK("http://www.ensembl.org/id/WBGene00020100", "WBGene00020100")</f>
        <v>WBGene00020100</v>
      </c>
      <c r="B12915" s="9" t="str">
        <f>HYPERLINK("http://www.ncbi.nlm.nih.gov/gene/187903", "187903")</f>
        <v>187903</v>
      </c>
      <c r="C12915" s="9"/>
      <c r="D12915" t="str">
        <f>"mks-1"</f>
        <v>mks-1</v>
      </c>
      <c r="E12915" t="s">
        <v>2590</v>
      </c>
      <c r="F12915" t="s">
        <v>11</v>
      </c>
      <c r="H12915" s="12">
        <v>1.3941086123336801</v>
      </c>
      <c r="I12915" s="20">
        <v>0.46653391323895499</v>
      </c>
      <c r="J12915" s="28">
        <v>0.64083337869803703</v>
      </c>
      <c r="K12915" s="29">
        <v>0.98289565623980701</v>
      </c>
    </row>
    <row r="12916" spans="1:11" x14ac:dyDescent="0.35">
      <c r="A12916" s="9" t="str">
        <f>HYPERLINK("http://www.ensembl.org/id/WBGene00007490", "WBGene00007490")</f>
        <v>WBGene00007490</v>
      </c>
      <c r="B12916" s="9" t="str">
        <f>HYPERLINK("http://www.ncbi.nlm.nih.gov/gene/174654", "174654")</f>
        <v>174654</v>
      </c>
      <c r="C12916" s="9"/>
      <c r="D12916" t="str">
        <f>"mks-5"</f>
        <v>mks-5</v>
      </c>
      <c r="F12916" t="s">
        <v>11</v>
      </c>
      <c r="H12916" s="12">
        <v>1.23867453637249</v>
      </c>
      <c r="I12916" s="20">
        <v>0.47241871230686899</v>
      </c>
      <c r="J12916" s="28">
        <v>0.63662795051502996</v>
      </c>
      <c r="K12916" s="29">
        <v>0.98289565623980701</v>
      </c>
    </row>
    <row r="12917" spans="1:11" x14ac:dyDescent="0.35">
      <c r="A12917" s="9" t="str">
        <f>HYPERLINK("http://www.ensembl.org/id/WBGene00021416", "WBGene00021416")</f>
        <v>WBGene00021416</v>
      </c>
      <c r="B12917" s="9" t="str">
        <f>HYPERLINK("http://www.ncbi.nlm.nih.gov/gene/189676", "189676")</f>
        <v>189676</v>
      </c>
      <c r="C12917" s="9" t="str">
        <f>HYPERLINK("http://www.ncbi.nlm.nih.gov/gene/80776", "80776")</f>
        <v>80776</v>
      </c>
      <c r="D12917" t="str">
        <f>"mksr-2"</f>
        <v>mksr-2</v>
      </c>
      <c r="E12917" t="s">
        <v>9732</v>
      </c>
      <c r="F12917" t="s">
        <v>11</v>
      </c>
      <c r="G12917" t="s">
        <v>9733</v>
      </c>
      <c r="H12917" s="12">
        <v>-1.29029221734383</v>
      </c>
      <c r="I12917" s="20">
        <v>-0.37198554398009798</v>
      </c>
      <c r="J12917" s="28">
        <v>0.70990361252152001</v>
      </c>
      <c r="K12917" s="29">
        <v>0.98289565623980701</v>
      </c>
    </row>
    <row r="12918" spans="1:11" x14ac:dyDescent="0.35">
      <c r="A12918" s="9" t="str">
        <f>HYPERLINK("http://www.ensembl.org/id/WBGene00003370", "WBGene00003370")</f>
        <v>WBGene00003370</v>
      </c>
      <c r="B12918" s="9" t="str">
        <f>HYPERLINK("http://www.ncbi.nlm.nih.gov/gene/181775", "181775")</f>
        <v>181775</v>
      </c>
      <c r="C12918" s="9" t="str">
        <f>HYPERLINK("http://www.ncbi.nlm.nih.gov/gene/29895", "29895")</f>
        <v>29895</v>
      </c>
      <c r="D12918" t="str">
        <f>"mlc-2"</f>
        <v>mlc-2</v>
      </c>
      <c r="E12918" t="s">
        <v>5406</v>
      </c>
      <c r="F12918" t="s">
        <v>11</v>
      </c>
      <c r="G12918" t="s">
        <v>325</v>
      </c>
      <c r="H12918" s="12">
        <v>1.1705132397636999</v>
      </c>
      <c r="I12918" s="20">
        <v>0.74621697688459399</v>
      </c>
      <c r="J12918" s="28">
        <v>0.455536354343197</v>
      </c>
      <c r="K12918" s="29">
        <v>0.98289565623980701</v>
      </c>
    </row>
    <row r="12919" spans="1:11" x14ac:dyDescent="0.35">
      <c r="A12919" s="9" t="str">
        <f>HYPERLINK("http://www.ensembl.org/id/WBGene00011734", "WBGene00011734")</f>
        <v>WBGene00011734</v>
      </c>
      <c r="B12919" s="9" t="str">
        <f>HYPERLINK("http://www.ncbi.nlm.nih.gov/gene/176796", "176796")</f>
        <v>176796</v>
      </c>
      <c r="C12919" s="9" t="str">
        <f>HYPERLINK("http://www.ncbi.nlm.nih.gov/gene/4637", "4637")</f>
        <v>4637</v>
      </c>
      <c r="D12919" t="str">
        <f>"mlc-5"</f>
        <v>mlc-5</v>
      </c>
      <c r="E12919" t="s">
        <v>6864</v>
      </c>
      <c r="F12919" t="s">
        <v>11</v>
      </c>
      <c r="G12919" t="s">
        <v>325</v>
      </c>
      <c r="H12919" s="12">
        <v>-1.0930068457812601</v>
      </c>
      <c r="I12919" s="20">
        <v>-0.47730645462905102</v>
      </c>
      <c r="J12919" s="28">
        <v>0.63314391537910197</v>
      </c>
      <c r="K12919" s="29">
        <v>0.98289565623980701</v>
      </c>
    </row>
    <row r="12920" spans="1:11" x14ac:dyDescent="0.35">
      <c r="A12920" s="9" t="str">
        <f>HYPERLINK("http://www.ensembl.org/id/WBGene00010554", "WBGene00010554")</f>
        <v>WBGene00010554</v>
      </c>
      <c r="B12920" s="9" t="str">
        <f>HYPERLINK("http://www.ncbi.nlm.nih.gov/gene/186979", "186979")</f>
        <v>186979</v>
      </c>
      <c r="C12920" s="9"/>
      <c r="D12920" t="str">
        <f>"mlc-6"</f>
        <v>mlc-6</v>
      </c>
      <c r="E12920" t="s">
        <v>4768</v>
      </c>
      <c r="F12920" t="s">
        <v>11</v>
      </c>
      <c r="G12920" t="s">
        <v>325</v>
      </c>
      <c r="H12920" s="12">
        <v>1.3952679512849899</v>
      </c>
      <c r="I12920" s="20">
        <v>0.50922156308189204</v>
      </c>
      <c r="J12920" s="28">
        <v>0.61059693026987005</v>
      </c>
      <c r="K12920" s="29">
        <v>0.98289565623980701</v>
      </c>
    </row>
    <row r="12921" spans="1:11" x14ac:dyDescent="0.35">
      <c r="A12921" s="9" t="str">
        <f>HYPERLINK("http://www.ensembl.org/id/WBGene00023451", "WBGene00023451")</f>
        <v>WBGene00023451</v>
      </c>
      <c r="B12921" s="9" t="str">
        <f>HYPERLINK("http://www.ncbi.nlm.nih.gov/gene/176811", "176811")</f>
        <v>176811</v>
      </c>
      <c r="C12921" s="9"/>
      <c r="D12921" t="str">
        <f>"mlc-7"</f>
        <v>mlc-7</v>
      </c>
      <c r="E12921" t="s">
        <v>4768</v>
      </c>
      <c r="F12921" t="s">
        <v>11</v>
      </c>
      <c r="G12921" t="s">
        <v>325</v>
      </c>
      <c r="H12921" s="12">
        <v>-1.1577106267133299</v>
      </c>
      <c r="I12921" s="20">
        <v>-0.81420335753425399</v>
      </c>
      <c r="J12921" s="28">
        <v>0.41552846234812002</v>
      </c>
      <c r="K12921" s="29">
        <v>0.98289565623980701</v>
      </c>
    </row>
    <row r="12922" spans="1:11" x14ac:dyDescent="0.35">
      <c r="A12922" s="9" t="str">
        <f>HYPERLINK("http://www.ensembl.org/id/WBGene00003375", "WBGene00003375")</f>
        <v>WBGene00003375</v>
      </c>
      <c r="B12922" s="9" t="str">
        <f>HYPERLINK("http://www.ncbi.nlm.nih.gov/gene/175847", "175847")</f>
        <v>175847</v>
      </c>
      <c r="C12922" s="9" t="str">
        <f>HYPERLINK("http://www.ncbi.nlm.nih.gov/gene/1466", "1466")</f>
        <v>1466</v>
      </c>
      <c r="D12922" t="str">
        <f>"mlp-1"</f>
        <v>mlp-1</v>
      </c>
      <c r="E12922" t="s">
        <v>8850</v>
      </c>
      <c r="F12922" t="s">
        <v>11</v>
      </c>
      <c r="G12922" t="s">
        <v>8851</v>
      </c>
      <c r="H12922" s="12">
        <v>-1.20166423411569</v>
      </c>
      <c r="I12922" s="20">
        <v>-1.0040534298808499</v>
      </c>
      <c r="J12922" s="28">
        <v>0.31535286077201802</v>
      </c>
      <c r="K12922" s="29">
        <v>0.98289565623980701</v>
      </c>
    </row>
    <row r="12923" spans="1:11" x14ac:dyDescent="0.35">
      <c r="A12923" s="9" t="str">
        <f>HYPERLINK("http://www.ensembl.org/id/WBGene00003377", "WBGene00003377")</f>
        <v>WBGene00003377</v>
      </c>
      <c r="B12923" s="9" t="str">
        <f>HYPERLINK("http://www.ncbi.nlm.nih.gov/gene/180751", "180751")</f>
        <v>180751</v>
      </c>
      <c r="C12923" s="9"/>
      <c r="D12923" t="str">
        <f>"mls-2"</f>
        <v>mls-2</v>
      </c>
      <c r="E12923" t="s">
        <v>5606</v>
      </c>
      <c r="F12923" t="s">
        <v>11</v>
      </c>
      <c r="G12923" t="s">
        <v>5607</v>
      </c>
      <c r="H12923" s="12">
        <v>1.13598103766827</v>
      </c>
      <c r="I12923" s="20">
        <v>0.41497475384183202</v>
      </c>
      <c r="J12923" s="28">
        <v>0.67816038471877704</v>
      </c>
      <c r="K12923" s="29">
        <v>0.98289565623980701</v>
      </c>
    </row>
    <row r="12924" spans="1:11" x14ac:dyDescent="0.35">
      <c r="A12924" s="9" t="str">
        <f>HYPERLINK("http://www.ensembl.org/id/WBGene00015646", "WBGene00015646")</f>
        <v>WBGene00015646</v>
      </c>
      <c r="B12924" s="9" t="str">
        <f>HYPERLINK("http://www.ncbi.nlm.nih.gov/gene/173445", "173445")</f>
        <v>173445</v>
      </c>
      <c r="C12924" s="9"/>
      <c r="D12924" t="str">
        <f>"mlt-10"</f>
        <v>mlt-10</v>
      </c>
      <c r="F12924" t="s">
        <v>11</v>
      </c>
      <c r="G12924" t="s">
        <v>7454</v>
      </c>
      <c r="H12924" s="12">
        <v>-1.1263068243790599</v>
      </c>
      <c r="I12924" s="20">
        <v>-0.41792107387671601</v>
      </c>
      <c r="J12924" s="28">
        <v>0.67600482404805196</v>
      </c>
      <c r="K12924" s="29">
        <v>0.98289565623980701</v>
      </c>
    </row>
    <row r="12925" spans="1:11" x14ac:dyDescent="0.35">
      <c r="A12925" s="9" t="str">
        <f>HYPERLINK("http://www.ensembl.org/id/WBGene00012704", "WBGene00012704")</f>
        <v>WBGene00012704</v>
      </c>
      <c r="B12925" s="9" t="str">
        <f>HYPERLINK("http://www.ncbi.nlm.nih.gov/gene/189743", "189743")</f>
        <v>189743</v>
      </c>
      <c r="C12925" s="9" t="str">
        <f>HYPERLINK("http://www.ncbi.nlm.nih.gov/gene/124401", "124401")</f>
        <v>124401</v>
      </c>
      <c r="D12925" t="str">
        <f>"mlt-3"</f>
        <v>mlt-3</v>
      </c>
      <c r="F12925" t="s">
        <v>11</v>
      </c>
      <c r="G12925" t="s">
        <v>3722</v>
      </c>
      <c r="H12925" s="12">
        <v>1.25416851518766</v>
      </c>
      <c r="I12925" s="20">
        <v>0.76312108621744701</v>
      </c>
      <c r="J12925" s="28">
        <v>0.4453911856983</v>
      </c>
      <c r="K12925" s="29">
        <v>0.98289565623980701</v>
      </c>
    </row>
    <row r="12926" spans="1:11" x14ac:dyDescent="0.35">
      <c r="A12926" s="9" t="str">
        <f>HYPERLINK("http://www.ensembl.org/id/WBGene00013835", "WBGene00013835")</f>
        <v>WBGene00013835</v>
      </c>
      <c r="B12926" s="9" t="str">
        <f>HYPERLINK("http://www.ncbi.nlm.nih.gov/gene/180329", "180329")</f>
        <v>180329</v>
      </c>
      <c r="C12926" s="9" t="str">
        <f>HYPERLINK("http://www.ncbi.nlm.nih.gov/gene/27130", "27130")</f>
        <v>27130</v>
      </c>
      <c r="D12926" t="str">
        <f>"mlt-4"</f>
        <v>mlt-4</v>
      </c>
      <c r="E12926" t="s">
        <v>4726</v>
      </c>
      <c r="F12926" t="s">
        <v>11</v>
      </c>
      <c r="G12926" t="s">
        <v>3722</v>
      </c>
      <c r="H12926" s="12">
        <v>1.4462043834207501</v>
      </c>
      <c r="I12926" s="20">
        <v>0.53342742105542396</v>
      </c>
      <c r="J12926" s="28">
        <v>0.593737739996548</v>
      </c>
      <c r="K12926" s="29">
        <v>0.98289565623980701</v>
      </c>
    </row>
    <row r="12927" spans="1:11" x14ac:dyDescent="0.35">
      <c r="A12927" s="9" t="str">
        <f>HYPERLINK("http://www.ensembl.org/id/WBGene00021095", "WBGene00021095")</f>
        <v>WBGene00021095</v>
      </c>
      <c r="B12927" s="9" t="str">
        <f>HYPERLINK("http://www.ncbi.nlm.nih.gov/gene/173448", "173448")</f>
        <v>173448</v>
      </c>
      <c r="C12927" s="9"/>
      <c r="D12927" t="str">
        <f>"mlt-8"</f>
        <v>mlt-8</v>
      </c>
      <c r="F12927" t="s">
        <v>11</v>
      </c>
      <c r="G12927" t="s">
        <v>5582</v>
      </c>
      <c r="H12927" s="12">
        <v>1.14102865373314</v>
      </c>
      <c r="I12927" s="20">
        <v>0.61089152273759995</v>
      </c>
      <c r="J12927" s="28">
        <v>0.541271397363006</v>
      </c>
      <c r="K12927" s="29">
        <v>0.98289565623980701</v>
      </c>
    </row>
    <row r="12928" spans="1:11" x14ac:dyDescent="0.35">
      <c r="A12928" s="9" t="str">
        <f>HYPERLINK("http://www.ensembl.org/id/WBGene00009311", "WBGene00009311")</f>
        <v>WBGene00009311</v>
      </c>
      <c r="B12928" s="9" t="str">
        <f>HYPERLINK("http://www.ncbi.nlm.nih.gov/gene/3565295", "3565295")</f>
        <v>3565295</v>
      </c>
      <c r="C12928" s="9"/>
      <c r="D12928" t="str">
        <f>"mltn-1"</f>
        <v>mltn-1</v>
      </c>
      <c r="E12928" t="s">
        <v>4191</v>
      </c>
      <c r="F12928" t="s">
        <v>11</v>
      </c>
      <c r="G12928" t="s">
        <v>25</v>
      </c>
      <c r="H12928" s="12">
        <v>-1.62849217531066</v>
      </c>
      <c r="I12928" s="20">
        <v>-1.16228065397684</v>
      </c>
      <c r="J12928" s="28">
        <v>0.24512148230015801</v>
      </c>
      <c r="K12928" s="29">
        <v>0.98289565623980701</v>
      </c>
    </row>
    <row r="12929" spans="1:11" x14ac:dyDescent="0.35">
      <c r="A12929" s="9" t="str">
        <f>HYPERLINK("http://www.ensembl.org/id/WBGene00008965", "WBGene00008965")</f>
        <v>WBGene00008965</v>
      </c>
      <c r="B12929" s="9" t="str">
        <f>HYPERLINK("http://www.ncbi.nlm.nih.gov/gene/3565688", "3565688")</f>
        <v>3565688</v>
      </c>
      <c r="C12929" s="9"/>
      <c r="D12929" t="str">
        <f>"mltn-10"</f>
        <v>mltn-10</v>
      </c>
      <c r="E12929" t="s">
        <v>4191</v>
      </c>
      <c r="F12929" t="s">
        <v>11</v>
      </c>
      <c r="G12929" t="s">
        <v>25</v>
      </c>
      <c r="H12929" s="12">
        <v>1.3205097894378</v>
      </c>
      <c r="I12929" s="20">
        <v>0.31367699173288299</v>
      </c>
      <c r="J12929" s="28">
        <v>0.75376637735629404</v>
      </c>
      <c r="K12929" s="29">
        <v>0.98289565623980701</v>
      </c>
    </row>
    <row r="12930" spans="1:11" x14ac:dyDescent="0.35">
      <c r="A12930" s="9" t="str">
        <f>HYPERLINK("http://www.ensembl.org/id/WBGene00012310", "WBGene00012310")</f>
        <v>WBGene00012310</v>
      </c>
      <c r="B12930" s="9" t="str">
        <f>HYPERLINK("http://www.ncbi.nlm.nih.gov/gene/189257", "189257")</f>
        <v>189257</v>
      </c>
      <c r="C12930" s="9"/>
      <c r="D12930" t="str">
        <f>"mltn-11"</f>
        <v>mltn-11</v>
      </c>
      <c r="E12930" t="s">
        <v>4191</v>
      </c>
      <c r="F12930" t="s">
        <v>11</v>
      </c>
      <c r="G12930" t="s">
        <v>25</v>
      </c>
      <c r="H12930" s="12">
        <v>-2.4991590031922399</v>
      </c>
      <c r="I12930" s="20">
        <v>-0.26577412737581302</v>
      </c>
      <c r="J12930" s="28">
        <v>0.79041317015736101</v>
      </c>
      <c r="K12930" s="29">
        <v>0.98289565623980701</v>
      </c>
    </row>
    <row r="12931" spans="1:11" x14ac:dyDescent="0.35">
      <c r="A12931" s="9" t="str">
        <f>HYPERLINK("http://www.ensembl.org/id/WBGene00044074", "WBGene00044074")</f>
        <v>WBGene00044074</v>
      </c>
      <c r="B12931" s="9" t="str">
        <f>HYPERLINK("http://www.ncbi.nlm.nih.gov/gene/3565525", "3565525")</f>
        <v>3565525</v>
      </c>
      <c r="C12931" s="9"/>
      <c r="D12931" t="str">
        <f>"mltn-5"</f>
        <v>mltn-5</v>
      </c>
      <c r="E12931" t="s">
        <v>4191</v>
      </c>
      <c r="F12931" t="s">
        <v>11</v>
      </c>
      <c r="G12931" t="s">
        <v>25</v>
      </c>
      <c r="H12931" s="12">
        <v>2.2877898303280899</v>
      </c>
      <c r="I12931" s="20">
        <v>0.45844486600008699</v>
      </c>
      <c r="J12931" s="28">
        <v>0.64663286439281997</v>
      </c>
      <c r="K12931" s="29">
        <v>0.98289565623980701</v>
      </c>
    </row>
    <row r="12932" spans="1:11" x14ac:dyDescent="0.35">
      <c r="A12932" s="9" t="str">
        <f>HYPERLINK("http://www.ensembl.org/id/WBGene00021449", "WBGene00021449")</f>
        <v>WBGene00021449</v>
      </c>
      <c r="B12932" s="9" t="str">
        <f>HYPERLINK("http://www.ncbi.nlm.nih.gov/gene/189750", "189750")</f>
        <v>189750</v>
      </c>
      <c r="C12932" s="9"/>
      <c r="D12932" t="str">
        <f>"mltn-7"</f>
        <v>mltn-7</v>
      </c>
      <c r="E12932" t="s">
        <v>4191</v>
      </c>
      <c r="F12932" t="s">
        <v>11</v>
      </c>
      <c r="G12932" t="s">
        <v>25</v>
      </c>
      <c r="H12932" s="12">
        <v>1.46706622676569</v>
      </c>
      <c r="I12932" s="20">
        <v>0.57646296042687695</v>
      </c>
      <c r="J12932" s="28">
        <v>0.56430229873620996</v>
      </c>
      <c r="K12932" s="29">
        <v>0.98289565623980701</v>
      </c>
    </row>
    <row r="12933" spans="1:11" x14ac:dyDescent="0.35">
      <c r="A12933" s="9" t="str">
        <f>HYPERLINK("http://www.ensembl.org/id/WBGene00008964", "WBGene00008964")</f>
        <v>WBGene00008964</v>
      </c>
      <c r="B12933" s="9" t="str">
        <f>HYPERLINK("http://www.ncbi.nlm.nih.gov/gene/175122", "175122")</f>
        <v>175122</v>
      </c>
      <c r="C12933" s="9"/>
      <c r="D12933" t="str">
        <f>"mltn-9"</f>
        <v>mltn-9</v>
      </c>
      <c r="E12933" t="s">
        <v>4191</v>
      </c>
      <c r="F12933" t="s">
        <v>11</v>
      </c>
      <c r="H12933" s="12">
        <v>1.3754341199748199</v>
      </c>
      <c r="I12933" s="20">
        <v>0.75560223720436903</v>
      </c>
      <c r="J12933" s="28">
        <v>0.44988771419070001</v>
      </c>
      <c r="K12933" s="29">
        <v>0.98289565623980701</v>
      </c>
    </row>
    <row r="12934" spans="1:11" x14ac:dyDescent="0.35">
      <c r="A12934" s="9" t="str">
        <f>HYPERLINK("http://www.ensembl.org/id/WBGene00007587", "WBGene00007587")</f>
        <v>WBGene00007587</v>
      </c>
      <c r="B12934" s="9" t="str">
        <f>HYPERLINK("http://www.ncbi.nlm.nih.gov/gene/179724", "179724")</f>
        <v>179724</v>
      </c>
      <c r="C12934" s="9"/>
      <c r="D12934" t="str">
        <f>"mma-1"</f>
        <v>mma-1</v>
      </c>
      <c r="F12934" t="s">
        <v>11</v>
      </c>
      <c r="G12934" t="s">
        <v>54</v>
      </c>
      <c r="H12934" s="12">
        <v>-1.2584430968156799</v>
      </c>
      <c r="I12934" s="20">
        <v>-1.1822653943419299</v>
      </c>
      <c r="J12934" s="28">
        <v>0.237100412106238</v>
      </c>
      <c r="K12934" s="29">
        <v>0.98289565623980701</v>
      </c>
    </row>
    <row r="12935" spans="1:11" x14ac:dyDescent="0.35">
      <c r="A12935" s="9" t="str">
        <f>HYPERLINK("http://www.ensembl.org/id/WBGene00020169", "WBGene00020169")</f>
        <v>WBGene00020169</v>
      </c>
      <c r="B12935" s="9" t="str">
        <f>HYPERLINK("http://www.ncbi.nlm.nih.gov/gene/174164", "174164")</f>
        <v>174164</v>
      </c>
      <c r="C12935" s="9" t="str">
        <f>HYPERLINK("http://www.ncbi.nlm.nih.gov/gene/166785", "166785")</f>
        <v>166785</v>
      </c>
      <c r="D12935" t="str">
        <f>"mmaa-1"</f>
        <v>mmaa-1</v>
      </c>
      <c r="E12935" t="s">
        <v>8145</v>
      </c>
      <c r="F12935" t="s">
        <v>11</v>
      </c>
      <c r="G12935" t="s">
        <v>2097</v>
      </c>
      <c r="H12935" s="12">
        <v>-1.1622787292621199</v>
      </c>
      <c r="I12935" s="20">
        <v>-0.65692950449484899</v>
      </c>
      <c r="J12935" s="28">
        <v>0.51122624588211796</v>
      </c>
      <c r="K12935" s="29">
        <v>0.98289565623980701</v>
      </c>
    </row>
    <row r="12936" spans="1:11" x14ac:dyDescent="0.35">
      <c r="A12936" s="9" t="str">
        <f>HYPERLINK("http://www.ensembl.org/id/WBGene00016144", "WBGene00016144")</f>
        <v>WBGene00016144</v>
      </c>
      <c r="B12936" s="9" t="str">
        <f>HYPERLINK("http://www.ncbi.nlm.nih.gov/gene/175661", "175661")</f>
        <v>175661</v>
      </c>
      <c r="C12936" s="9"/>
      <c r="D12936" t="str">
        <f>"mmab-1"</f>
        <v>mmab-1</v>
      </c>
      <c r="E12936" t="s">
        <v>9091</v>
      </c>
      <c r="F12936" t="s">
        <v>11</v>
      </c>
      <c r="G12936" t="s">
        <v>9092</v>
      </c>
      <c r="H12936" s="12">
        <v>-1.2197504479819801</v>
      </c>
      <c r="I12936" s="20">
        <v>-0.94827183980331997</v>
      </c>
      <c r="J12936" s="28">
        <v>0.34299108289105801</v>
      </c>
      <c r="K12936" s="29">
        <v>0.98289565623980701</v>
      </c>
    </row>
    <row r="12937" spans="1:11" x14ac:dyDescent="0.35">
      <c r="A12937" s="9" t="str">
        <f>HYPERLINK("http://www.ensembl.org/id/WBGene00016060", "WBGene00016060")</f>
        <v>WBGene00016060</v>
      </c>
      <c r="B12937" s="9" t="str">
        <f>HYPERLINK("http://www.ncbi.nlm.nih.gov/gene/178935", "178935")</f>
        <v>178935</v>
      </c>
      <c r="C12937" s="9"/>
      <c r="D12937" t="str">
        <f>"mms-19"</f>
        <v>mms-19</v>
      </c>
      <c r="E12937" t="s">
        <v>8740</v>
      </c>
      <c r="F12937" t="s">
        <v>11</v>
      </c>
      <c r="G12937" t="s">
        <v>8741</v>
      </c>
      <c r="H12937" s="12">
        <v>-1.1937990488191801</v>
      </c>
      <c r="I12937" s="20">
        <v>-0.87034628122480695</v>
      </c>
      <c r="J12937" s="28">
        <v>0.38411119388141002</v>
      </c>
      <c r="K12937" s="29">
        <v>0.98289565623980701</v>
      </c>
    </row>
    <row r="12938" spans="1:11" x14ac:dyDescent="0.35">
      <c r="A12938" s="9" t="str">
        <f>HYPERLINK("http://www.ensembl.org/id/WBGene00018769", "WBGene00018769")</f>
        <v>WBGene00018769</v>
      </c>
      <c r="B12938" s="9" t="str">
        <f>HYPERLINK("http://www.ncbi.nlm.nih.gov/gene/173602", "173602")</f>
        <v>173602</v>
      </c>
      <c r="C12938" s="9" t="str">
        <f>HYPERLINK("http://www.ncbi.nlm.nih.gov/gene/4331", "4331")</f>
        <v>4331</v>
      </c>
      <c r="D12938" t="str">
        <f>"mnat-1"</f>
        <v>mnat-1</v>
      </c>
      <c r="E12938" t="s">
        <v>5830</v>
      </c>
      <c r="F12938" t="s">
        <v>11</v>
      </c>
      <c r="G12938" t="s">
        <v>5831</v>
      </c>
      <c r="H12938" s="12">
        <v>1.0952539254510201</v>
      </c>
      <c r="I12938" s="20">
        <v>0.432348893457427</v>
      </c>
      <c r="J12938" s="28">
        <v>0.66548785636628804</v>
      </c>
      <c r="K12938" s="29">
        <v>0.98289565623980701</v>
      </c>
    </row>
    <row r="12939" spans="1:11" x14ac:dyDescent="0.35">
      <c r="A12939" s="9" t="str">
        <f>HYPERLINK("http://www.ensembl.org/id/WBGene00011304", "WBGene00011304")</f>
        <v>WBGene00011304</v>
      </c>
      <c r="B12939" s="9" t="str">
        <f>HYPERLINK("http://www.ncbi.nlm.nih.gov/gene/174623", "174623")</f>
        <v>174623</v>
      </c>
      <c r="C12939" s="9" t="str">
        <f>HYPERLINK("http://www.ncbi.nlm.nih.gov/gene/2872", "2872")</f>
        <v>2872</v>
      </c>
      <c r="D12939" t="str">
        <f>"mnk-1"</f>
        <v>mnk-1</v>
      </c>
      <c r="E12939" t="s">
        <v>7402</v>
      </c>
      <c r="F12939" t="s">
        <v>11</v>
      </c>
      <c r="G12939" t="s">
        <v>444</v>
      </c>
      <c r="H12939" s="12">
        <v>-1.1237625173331001</v>
      </c>
      <c r="I12939" s="20">
        <v>-0.64542799813750396</v>
      </c>
      <c r="J12939" s="28">
        <v>0.51864986436164895</v>
      </c>
      <c r="K12939" s="29">
        <v>0.98289565623980701</v>
      </c>
    </row>
    <row r="12940" spans="1:11" x14ac:dyDescent="0.35">
      <c r="A12940" s="9" t="str">
        <f>HYPERLINK("http://www.ensembl.org/id/WBGene00020116", "WBGene00020116")</f>
        <v>WBGene00020116</v>
      </c>
      <c r="B12940" s="9" t="str">
        <f>HYPERLINK("http://www.ncbi.nlm.nih.gov/gene/175340", "175340")</f>
        <v>175340</v>
      </c>
      <c r="C12940" s="9"/>
      <c r="D12940" t="str">
        <f>"moa-1"</f>
        <v>moa-1</v>
      </c>
      <c r="E12940" t="s">
        <v>4965</v>
      </c>
      <c r="F12940" t="s">
        <v>11</v>
      </c>
      <c r="G12940" t="s">
        <v>4317</v>
      </c>
      <c r="H12940" s="12">
        <v>1.2762725466495899</v>
      </c>
      <c r="I12940" s="20">
        <v>0.28008222947811001</v>
      </c>
      <c r="J12940" s="28">
        <v>0.77941441812433498</v>
      </c>
      <c r="K12940" s="29">
        <v>0.98289565623980701</v>
      </c>
    </row>
    <row r="12941" spans="1:11" x14ac:dyDescent="0.35">
      <c r="A12941" s="9" t="str">
        <f>HYPERLINK("http://www.ensembl.org/id/WBGene00015205", "WBGene00015205")</f>
        <v>WBGene00015205</v>
      </c>
      <c r="B12941" s="9" t="str">
        <f>HYPERLINK("http://www.ncbi.nlm.nih.gov/gene/182004", "182004")</f>
        <v>182004</v>
      </c>
      <c r="C12941" s="9"/>
      <c r="D12941" t="str">
        <f>"moa-2"</f>
        <v>moa-2</v>
      </c>
      <c r="F12941" t="s">
        <v>11</v>
      </c>
      <c r="H12941" s="12">
        <v>-1.20426536843473</v>
      </c>
      <c r="I12941" s="20">
        <v>-0.72859269695789597</v>
      </c>
      <c r="J12941" s="28">
        <v>0.46625084710258202</v>
      </c>
      <c r="K12941" s="29">
        <v>0.98289565623980701</v>
      </c>
    </row>
    <row r="12942" spans="1:11" x14ac:dyDescent="0.35">
      <c r="A12942" s="9" t="str">
        <f>HYPERLINK("http://www.ensembl.org/id/WBGene00021348", "WBGene00021348")</f>
        <v>WBGene00021348</v>
      </c>
      <c r="B12942" s="9" t="str">
        <f>HYPERLINK("http://www.ncbi.nlm.nih.gov/gene/171764", "171764")</f>
        <v>171764</v>
      </c>
      <c r="C12942" s="9"/>
      <c r="D12942" t="str">
        <f>"moag-4"</f>
        <v>moag-4</v>
      </c>
      <c r="E12942" t="s">
        <v>6276</v>
      </c>
      <c r="F12942" t="s">
        <v>11</v>
      </c>
      <c r="G12942" t="s">
        <v>6277</v>
      </c>
      <c r="H12942" s="12">
        <v>-1.0587684554018</v>
      </c>
      <c r="I12942" s="20">
        <v>-0.29346072603672402</v>
      </c>
      <c r="J12942" s="28">
        <v>0.76917001472818003</v>
      </c>
      <c r="K12942" s="29">
        <v>0.98289565623980701</v>
      </c>
    </row>
    <row r="12943" spans="1:11" x14ac:dyDescent="0.35">
      <c r="A12943" s="9" t="str">
        <f>HYPERLINK("http://www.ensembl.org/id/WBGene00009551", "WBGene00009551")</f>
        <v>WBGene00009551</v>
      </c>
      <c r="B12943" s="9" t="str">
        <f>HYPERLINK("http://www.ncbi.nlm.nih.gov/gene/185482", "185482")</f>
        <v>185482</v>
      </c>
      <c r="C12943" s="9"/>
      <c r="D12943" t="str">
        <f>"mob-1"</f>
        <v>mob-1</v>
      </c>
      <c r="E12943" t="s">
        <v>7399</v>
      </c>
      <c r="F12943" t="s">
        <v>11</v>
      </c>
      <c r="H12943" s="12">
        <v>-1.1236816965882299</v>
      </c>
      <c r="I12943" s="20">
        <v>-0.51264887620810695</v>
      </c>
      <c r="J12943" s="28">
        <v>0.60819695725034095</v>
      </c>
      <c r="K12943" s="29">
        <v>0.98289565623980701</v>
      </c>
    </row>
    <row r="12944" spans="1:11" x14ac:dyDescent="0.35">
      <c r="A12944" s="9" t="str">
        <f>HYPERLINK("http://www.ensembl.org/id/WBGene00016238", "WBGene00016238")</f>
        <v>WBGene00016238</v>
      </c>
      <c r="B12944" s="9" t="str">
        <f>HYPERLINK("http://www.ncbi.nlm.nih.gov/gene/176158", "176158")</f>
        <v>176158</v>
      </c>
      <c r="C12944" s="9" t="str">
        <f>HYPERLINK("http://www.ncbi.nlm.nih.gov/gene/25843", "25843")</f>
        <v>25843</v>
      </c>
      <c r="D12944" t="str">
        <f>"mob-4"</f>
        <v>mob-4</v>
      </c>
      <c r="E12944" t="s">
        <v>9294</v>
      </c>
      <c r="F12944" t="s">
        <v>11</v>
      </c>
      <c r="H12944" s="12">
        <v>-1.23552414012715</v>
      </c>
      <c r="I12944" s="20">
        <v>-1.0332037159563501</v>
      </c>
      <c r="J12944" s="28">
        <v>0.30150857428055899</v>
      </c>
      <c r="K12944" s="29">
        <v>0.98289565623980701</v>
      </c>
    </row>
    <row r="12945" spans="1:11" x14ac:dyDescent="0.35">
      <c r="A12945" s="9" t="str">
        <f>HYPERLINK("http://www.ensembl.org/id/WBGene00003385", "WBGene00003385")</f>
        <v>WBGene00003385</v>
      </c>
      <c r="B12945" s="9" t="str">
        <f>HYPERLINK("http://www.ncbi.nlm.nih.gov/gene/189078", "189078")</f>
        <v>189078</v>
      </c>
      <c r="C12945" s="9"/>
      <c r="D12945" t="str">
        <f>"moc-2"</f>
        <v>moc-2</v>
      </c>
      <c r="E12945" t="s">
        <v>7566</v>
      </c>
      <c r="F12945" t="s">
        <v>11</v>
      </c>
      <c r="G12945" t="s">
        <v>7567</v>
      </c>
      <c r="H12945" s="12">
        <v>-1.13359658017347</v>
      </c>
      <c r="I12945" s="20">
        <v>-0.56933744896682803</v>
      </c>
      <c r="J12945" s="28">
        <v>0.56912715725264496</v>
      </c>
      <c r="K12945" s="29">
        <v>0.98289565623980701</v>
      </c>
    </row>
    <row r="12946" spans="1:11" x14ac:dyDescent="0.35">
      <c r="A12946" s="9" t="str">
        <f>HYPERLINK("http://www.ensembl.org/id/WBGene00018357", "WBGene00018357")</f>
        <v>WBGene00018357</v>
      </c>
      <c r="B12946" s="9" t="str">
        <f>HYPERLINK("http://www.ncbi.nlm.nih.gov/gene/177607", "177607")</f>
        <v>177607</v>
      </c>
      <c r="C12946" s="9" t="str">
        <f>HYPERLINK("http://www.ncbi.nlm.nih.gov/gene/27304", "27304")</f>
        <v>27304</v>
      </c>
      <c r="D12946" t="str">
        <f>"moc-3"</f>
        <v>moc-3</v>
      </c>
      <c r="E12946" t="s">
        <v>9582</v>
      </c>
      <c r="F12946" t="s">
        <v>11</v>
      </c>
      <c r="G12946" t="s">
        <v>9583</v>
      </c>
      <c r="H12946" s="12">
        <v>-1.2612398171544801</v>
      </c>
      <c r="I12946" s="20">
        <v>-0.95541497067665404</v>
      </c>
      <c r="J12946" s="28">
        <v>0.33936788623122499</v>
      </c>
      <c r="K12946" s="29">
        <v>0.98289565623980701</v>
      </c>
    </row>
    <row r="12947" spans="1:11" x14ac:dyDescent="0.35">
      <c r="A12947" s="9" t="str">
        <f>HYPERLINK("http://www.ensembl.org/id/WBGene00010983", "WBGene00010983")</f>
        <v>WBGene00010983</v>
      </c>
      <c r="B12947" s="9" t="str">
        <f>HYPERLINK("http://www.ncbi.nlm.nih.gov/gene/187534", "187534")</f>
        <v>187534</v>
      </c>
      <c r="C12947" s="9" t="str">
        <f>HYPERLINK("http://www.ncbi.nlm.nih.gov/gene/55034", "55034")</f>
        <v>55034</v>
      </c>
      <c r="D12947" t="str">
        <f>"mocs-1"</f>
        <v>mocs-1</v>
      </c>
      <c r="E12947" t="s">
        <v>5331</v>
      </c>
      <c r="F12947" t="s">
        <v>11</v>
      </c>
      <c r="G12947" t="s">
        <v>5332</v>
      </c>
      <c r="H12947" s="12">
        <v>1.1873809260139301</v>
      </c>
      <c r="I12947" s="20">
        <v>0.573129934032513</v>
      </c>
      <c r="J12947" s="28">
        <v>0.56655672063954299</v>
      </c>
      <c r="K12947" s="29">
        <v>0.98289565623980701</v>
      </c>
    </row>
    <row r="12948" spans="1:11" x14ac:dyDescent="0.35">
      <c r="A12948" s="9" t="str">
        <f>HYPERLINK("http://www.ensembl.org/id/WBGene00003386", "WBGene00003386")</f>
        <v>WBGene00003386</v>
      </c>
      <c r="B12948" s="9" t="str">
        <f>HYPERLINK("http://www.ncbi.nlm.nih.gov/gene/179269", "179269")</f>
        <v>179269</v>
      </c>
      <c r="C12948" s="9"/>
      <c r="D12948" t="str">
        <f>"mod-1"</f>
        <v>mod-1</v>
      </c>
      <c r="E12948" t="s">
        <v>4942</v>
      </c>
      <c r="F12948" t="s">
        <v>11</v>
      </c>
      <c r="G12948" t="s">
        <v>4943</v>
      </c>
      <c r="H12948" s="12">
        <v>1.2885720165583201</v>
      </c>
      <c r="I12948" s="20">
        <v>1.0955285294533399</v>
      </c>
      <c r="J12948" s="28">
        <v>0.27328515374985102</v>
      </c>
      <c r="K12948" s="29">
        <v>0.98289565623980701</v>
      </c>
    </row>
    <row r="12949" spans="1:11" x14ac:dyDescent="0.35">
      <c r="A12949" s="9" t="str">
        <f>HYPERLINK("http://www.ensembl.org/id/WBGene00003387", "WBGene00003387")</f>
        <v>WBGene00003387</v>
      </c>
      <c r="B12949" s="9" t="str">
        <f>HYPERLINK("http://www.ncbi.nlm.nih.gov/gene/171879", "171879")</f>
        <v>171879</v>
      </c>
      <c r="C12949" s="9"/>
      <c r="D12949" t="str">
        <f>"mod-5"</f>
        <v>mod-5</v>
      </c>
      <c r="E12949" t="s">
        <v>537</v>
      </c>
      <c r="F12949" t="s">
        <v>11</v>
      </c>
      <c r="G12949" t="s">
        <v>5555</v>
      </c>
      <c r="H12949" s="12">
        <v>1.14717844978994</v>
      </c>
      <c r="I12949" s="20">
        <v>0.33841428362471498</v>
      </c>
      <c r="J12949" s="28">
        <v>0.73505101168445097</v>
      </c>
      <c r="K12949" s="29">
        <v>0.98289565623980701</v>
      </c>
    </row>
    <row r="12950" spans="1:11" x14ac:dyDescent="0.35">
      <c r="A12950" s="9" t="str">
        <f>HYPERLINK("http://www.ensembl.org/id/WBGene00003389", "WBGene00003389")</f>
        <v>WBGene00003389</v>
      </c>
      <c r="B12950" s="9" t="str">
        <f>HYPERLINK("http://www.ncbi.nlm.nih.gov/gene/176409", "176409")</f>
        <v>176409</v>
      </c>
      <c r="C12950" s="9" t="str">
        <f>HYPERLINK("http://www.ncbi.nlm.nih.gov/gene/9785", "9785")</f>
        <v>9785</v>
      </c>
      <c r="D12950" t="str">
        <f>"mog-1"</f>
        <v>mog-1</v>
      </c>
      <c r="E12950" t="s">
        <v>6841</v>
      </c>
      <c r="F12950" t="s">
        <v>11</v>
      </c>
      <c r="G12950" t="s">
        <v>221</v>
      </c>
      <c r="H12950" s="12">
        <v>-1.0922399131451701</v>
      </c>
      <c r="I12950" s="20">
        <v>-0.47157314818101798</v>
      </c>
      <c r="J12950" s="28">
        <v>0.63723149669284296</v>
      </c>
      <c r="K12950" s="29">
        <v>0.98289565623980701</v>
      </c>
    </row>
    <row r="12951" spans="1:11" x14ac:dyDescent="0.35">
      <c r="A12951" s="9" t="str">
        <f>HYPERLINK("http://www.ensembl.org/id/WBGene00003390", "WBGene00003390")</f>
        <v>WBGene00003390</v>
      </c>
      <c r="B12951" s="9" t="str">
        <f>HYPERLINK("http://www.ncbi.nlm.nih.gov/gene/173767", "173767")</f>
        <v>173767</v>
      </c>
      <c r="C12951" s="9" t="str">
        <f>HYPERLINK("http://www.ncbi.nlm.nih.gov/gene/6627", "6627")</f>
        <v>6627</v>
      </c>
      <c r="D12951" t="str">
        <f>"mog-2"</f>
        <v>mog-2</v>
      </c>
      <c r="E12951" t="s">
        <v>7475</v>
      </c>
      <c r="F12951" t="s">
        <v>11</v>
      </c>
      <c r="G12951" t="s">
        <v>7476</v>
      </c>
      <c r="H12951" s="12">
        <v>-1.12813981663566</v>
      </c>
      <c r="I12951" s="20">
        <v>-0.51649554728300995</v>
      </c>
      <c r="J12951" s="28">
        <v>0.60550834805563702</v>
      </c>
      <c r="K12951" s="29">
        <v>0.98289565623980701</v>
      </c>
    </row>
    <row r="12952" spans="1:11" x14ac:dyDescent="0.35">
      <c r="A12952" s="9" t="str">
        <f>HYPERLINK("http://www.ensembl.org/id/WBGene00003391", "WBGene00003391")</f>
        <v>WBGene00003391</v>
      </c>
      <c r="B12952" s="9" t="str">
        <f>HYPERLINK("http://www.ncbi.nlm.nih.gov/gene/175730", "175730")</f>
        <v>175730</v>
      </c>
      <c r="C12952" s="9"/>
      <c r="D12952" t="str">
        <f>"mog-3"</f>
        <v>mog-3</v>
      </c>
      <c r="E12952" t="s">
        <v>7719</v>
      </c>
      <c r="F12952" t="s">
        <v>11</v>
      </c>
      <c r="G12952" t="s">
        <v>7720</v>
      </c>
      <c r="H12952" s="12">
        <v>-1.14121257924978</v>
      </c>
      <c r="I12952" s="20">
        <v>-0.69104026313626199</v>
      </c>
      <c r="J12952" s="28">
        <v>0.48954023886738401</v>
      </c>
      <c r="K12952" s="29">
        <v>0.98289565623980701</v>
      </c>
    </row>
    <row r="12953" spans="1:11" x14ac:dyDescent="0.35">
      <c r="A12953" s="9" t="str">
        <f>HYPERLINK("http://www.ensembl.org/id/WBGene00003392", "WBGene00003392")</f>
        <v>WBGene00003392</v>
      </c>
      <c r="B12953" s="9" t="str">
        <f>HYPERLINK("http://www.ncbi.nlm.nih.gov/gene/175117", "175117")</f>
        <v>175117</v>
      </c>
      <c r="C12953" s="9" t="str">
        <f>HYPERLINK("http://www.ncbi.nlm.nih.gov/gene/8449", "8449")</f>
        <v>8449</v>
      </c>
      <c r="D12953" t="str">
        <f>"mog-4"</f>
        <v>mog-4</v>
      </c>
      <c r="E12953" t="s">
        <v>8864</v>
      </c>
      <c r="F12953" t="s">
        <v>11</v>
      </c>
      <c r="G12953" t="s">
        <v>8865</v>
      </c>
      <c r="H12953" s="12">
        <v>-1.20314776193887</v>
      </c>
      <c r="I12953" s="20">
        <v>-0.91224729581117603</v>
      </c>
      <c r="J12953" s="28">
        <v>0.361638551748586</v>
      </c>
      <c r="K12953" s="29">
        <v>0.98289565623980701</v>
      </c>
    </row>
    <row r="12954" spans="1:11" x14ac:dyDescent="0.35">
      <c r="A12954" s="9" t="str">
        <f>HYPERLINK("http://www.ensembl.org/id/WBGene00003393", "WBGene00003393")</f>
        <v>WBGene00003393</v>
      </c>
      <c r="B12954" s="9" t="str">
        <f>HYPERLINK("http://www.ncbi.nlm.nih.gov/gene/173920", "173920")</f>
        <v>173920</v>
      </c>
      <c r="C12954" s="9" t="str">
        <f>HYPERLINK("http://www.ncbi.nlm.nih.gov/gene/1659", "1659")</f>
        <v>1659</v>
      </c>
      <c r="D12954" t="str">
        <f>"mog-5"</f>
        <v>mog-5</v>
      </c>
      <c r="E12954" t="s">
        <v>8073</v>
      </c>
      <c r="F12954" t="s">
        <v>11</v>
      </c>
      <c r="G12954" t="s">
        <v>8074</v>
      </c>
      <c r="H12954" s="12">
        <v>-1.1596985625927201</v>
      </c>
      <c r="I12954" s="20">
        <v>-0.75000562210052601</v>
      </c>
      <c r="J12954" s="28">
        <v>0.45325131871104402</v>
      </c>
      <c r="K12954" s="29">
        <v>0.98289565623980701</v>
      </c>
    </row>
    <row r="12955" spans="1:11" x14ac:dyDescent="0.35">
      <c r="A12955" s="9" t="str">
        <f>HYPERLINK("http://www.ensembl.org/id/WBGene00008685", "WBGene00008685")</f>
        <v>WBGene00008685</v>
      </c>
      <c r="B12955" s="9" t="str">
        <f>HYPERLINK("http://www.ncbi.nlm.nih.gov/gene/178153", "178153")</f>
        <v>178153</v>
      </c>
      <c r="C12955" s="9" t="str">
        <f>HYPERLINK("http://www.ncbi.nlm.nih.gov/gene/23041", "23041")</f>
        <v>23041</v>
      </c>
      <c r="D12955" t="str">
        <f>"mon-2"</f>
        <v>mon-2</v>
      </c>
      <c r="E12955" t="s">
        <v>7870</v>
      </c>
      <c r="F12955" t="s">
        <v>11</v>
      </c>
      <c r="G12955" t="s">
        <v>7871</v>
      </c>
      <c r="H12955" s="12">
        <v>-1.1490145430113501</v>
      </c>
      <c r="I12955" s="20">
        <v>-0.72296420664198402</v>
      </c>
      <c r="J12955" s="28">
        <v>0.46970187489799498</v>
      </c>
      <c r="K12955" s="29">
        <v>0.98289565623980701</v>
      </c>
    </row>
    <row r="12956" spans="1:11" x14ac:dyDescent="0.35">
      <c r="A12956" s="9" t="str">
        <f>HYPERLINK("http://www.ensembl.org/id/WBGene00019827", "WBGene00019827")</f>
        <v>WBGene00019827</v>
      </c>
      <c r="B12956" s="9" t="str">
        <f>HYPERLINK("http://www.ncbi.nlm.nih.gov/gene/180685", "180685")</f>
        <v>180685</v>
      </c>
      <c r="C12956" s="9" t="str">
        <f>HYPERLINK("http://www.ncbi.nlm.nih.gov/gene/51719", "51719")</f>
        <v>51719</v>
      </c>
      <c r="D12956" t="str">
        <f>"mop-25.1"</f>
        <v>mop-25.1</v>
      </c>
      <c r="E12956" t="s">
        <v>8477</v>
      </c>
      <c r="F12956" t="s">
        <v>11</v>
      </c>
      <c r="G12956" t="s">
        <v>8478</v>
      </c>
      <c r="H12956" s="12">
        <v>-1.17968703061752</v>
      </c>
      <c r="I12956" s="20">
        <v>-0.91478923951258795</v>
      </c>
      <c r="J12956" s="28">
        <v>0.36030228486906102</v>
      </c>
      <c r="K12956" s="29">
        <v>0.98289565623980701</v>
      </c>
    </row>
    <row r="12957" spans="1:11" x14ac:dyDescent="0.35">
      <c r="A12957" s="9" t="str">
        <f>HYPERLINK("http://www.ensembl.org/id/WBGene00013140", "WBGene00013140")</f>
        <v>WBGene00013140</v>
      </c>
      <c r="B12957" s="9" t="str">
        <f>HYPERLINK("http://www.ncbi.nlm.nih.gov/gene/174527", "174527")</f>
        <v>174527</v>
      </c>
      <c r="C12957" s="9" t="str">
        <f>HYPERLINK("http://www.ncbi.nlm.nih.gov/gene/51719", "51719")</f>
        <v>51719</v>
      </c>
      <c r="D12957" t="str">
        <f>"mop-25.2"</f>
        <v>mop-25.2</v>
      </c>
      <c r="E12957" t="s">
        <v>8963</v>
      </c>
      <c r="F12957" t="s">
        <v>11</v>
      </c>
      <c r="H12957" s="12">
        <v>-1.2112005979645299</v>
      </c>
      <c r="I12957" s="20">
        <v>-0.95829645543224895</v>
      </c>
      <c r="J12957" s="28">
        <v>0.33791329067786402</v>
      </c>
      <c r="K12957" s="29">
        <v>0.98289565623980701</v>
      </c>
    </row>
    <row r="12958" spans="1:11" x14ac:dyDescent="0.35">
      <c r="A12958" s="9" t="str">
        <f>HYPERLINK("http://www.ensembl.org/id/WBGene00011119", "WBGene00011119")</f>
        <v>WBGene00011119</v>
      </c>
      <c r="B12958" s="9" t="str">
        <f>HYPERLINK("http://www.ncbi.nlm.nih.gov/gene/259500", "259500")</f>
        <v>259500</v>
      </c>
      <c r="C12958" s="9" t="str">
        <f>HYPERLINK("http://www.ncbi.nlm.nih.gov/gene/51660", "51660")</f>
        <v>51660</v>
      </c>
      <c r="D12958" t="str">
        <f>"mpc-1"</f>
        <v>mpc-1</v>
      </c>
      <c r="E12958" t="s">
        <v>5023</v>
      </c>
      <c r="F12958" t="s">
        <v>11</v>
      </c>
      <c r="G12958" t="s">
        <v>5024</v>
      </c>
      <c r="H12958" s="12">
        <v>1.2576502757588901</v>
      </c>
      <c r="I12958" s="20">
        <v>1.1846186969203101</v>
      </c>
      <c r="J12958" s="28">
        <v>0.23616824119861499</v>
      </c>
      <c r="K12958" s="29">
        <v>0.98289565623980701</v>
      </c>
    </row>
    <row r="12959" spans="1:11" x14ac:dyDescent="0.35">
      <c r="A12959" s="9" t="str">
        <f>HYPERLINK("http://www.ensembl.org/id/WBGene00018181", "WBGene00018181")</f>
        <v>WBGene00018181</v>
      </c>
      <c r="B12959" s="9" t="str">
        <f>HYPERLINK("http://www.ncbi.nlm.nih.gov/gene/179218", "179218")</f>
        <v>179218</v>
      </c>
      <c r="C12959" s="9" t="str">
        <f>HYPERLINK("http://www.ncbi.nlm.nih.gov/gene/9526", "9526")</f>
        <v>9526</v>
      </c>
      <c r="D12959" t="str">
        <f>"mpdu-1"</f>
        <v>mpdu-1</v>
      </c>
      <c r="E12959" t="s">
        <v>7625</v>
      </c>
      <c r="F12959" t="s">
        <v>11</v>
      </c>
      <c r="G12959" t="s">
        <v>7626</v>
      </c>
      <c r="H12959" s="12">
        <v>-1.1367463811543199</v>
      </c>
      <c r="I12959" s="20">
        <v>-0.629330345328729</v>
      </c>
      <c r="J12959" s="28">
        <v>0.52913280888412195</v>
      </c>
      <c r="K12959" s="29">
        <v>0.98289565623980701</v>
      </c>
    </row>
    <row r="12960" spans="1:11" x14ac:dyDescent="0.35">
      <c r="A12960" s="9" t="str">
        <f>HYPERLINK("http://www.ensembl.org/id/WBGene00003401", "WBGene00003401")</f>
        <v>WBGene00003401</v>
      </c>
      <c r="B12960" s="9" t="str">
        <f>HYPERLINK("http://www.ncbi.nlm.nih.gov/gene/175545", "175545")</f>
        <v>175545</v>
      </c>
      <c r="C12960" s="9" t="str">
        <f>HYPERLINK("http://www.ncbi.nlm.nih.gov/gene/5594", "5594")</f>
        <v>5594</v>
      </c>
      <c r="D12960" t="str">
        <f>"mpk-1"</f>
        <v>mpk-1</v>
      </c>
      <c r="E12960" t="s">
        <v>7287</v>
      </c>
      <c r="F12960" t="s">
        <v>11</v>
      </c>
      <c r="G12960" t="s">
        <v>2583</v>
      </c>
      <c r="H12960" s="12">
        <v>-1.1174029711181499</v>
      </c>
      <c r="I12960" s="20">
        <v>-0.60039502489607099</v>
      </c>
      <c r="J12960" s="28">
        <v>0.54824300267503101</v>
      </c>
      <c r="K12960" s="29">
        <v>0.98289565623980701</v>
      </c>
    </row>
    <row r="12961" spans="1:11" x14ac:dyDescent="0.35">
      <c r="A12961" s="9" t="str">
        <f>HYPERLINK("http://www.ensembl.org/id/WBGene00003402", "WBGene00003402")</f>
        <v>WBGene00003402</v>
      </c>
      <c r="B12961" s="9" t="str">
        <f>HYPERLINK("http://www.ncbi.nlm.nih.gov/gene/173880", "173880")</f>
        <v>173880</v>
      </c>
      <c r="C12961" s="9"/>
      <c r="D12961" t="str">
        <f>"mpk-2"</f>
        <v>mpk-2</v>
      </c>
      <c r="E12961" t="s">
        <v>3953</v>
      </c>
      <c r="F12961" t="s">
        <v>11</v>
      </c>
      <c r="G12961" t="s">
        <v>5849</v>
      </c>
      <c r="H12961" s="12">
        <v>1.0938388614155401</v>
      </c>
      <c r="I12961" s="20">
        <v>0.373258022235543</v>
      </c>
      <c r="J12961" s="28">
        <v>0.70895641584739599</v>
      </c>
      <c r="K12961" s="29">
        <v>0.98289565623980701</v>
      </c>
    </row>
    <row r="12962" spans="1:11" x14ac:dyDescent="0.35">
      <c r="A12962" s="9" t="str">
        <f>HYPERLINK("http://www.ensembl.org/id/WBGene00022159", "WBGene00022159")</f>
        <v>WBGene00022159</v>
      </c>
      <c r="B12962" s="9" t="str">
        <f>HYPERLINK("http://www.ncbi.nlm.nih.gov/gene/171737", "171737")</f>
        <v>171737</v>
      </c>
      <c r="C12962" s="9" t="str">
        <f>HYPERLINK("http://www.ncbi.nlm.nih.gov/gene/23203", "23203")</f>
        <v>23203</v>
      </c>
      <c r="D12962" t="str">
        <f>"mppa-1"</f>
        <v>mppa-1</v>
      </c>
      <c r="E12962" t="s">
        <v>6976</v>
      </c>
      <c r="F12962" t="s">
        <v>11</v>
      </c>
      <c r="G12962" t="s">
        <v>6977</v>
      </c>
      <c r="H12962" s="12">
        <v>-1.1007599220044499</v>
      </c>
      <c r="I12962" s="20">
        <v>-0.40251259021066998</v>
      </c>
      <c r="J12962" s="28">
        <v>0.68730682448669</v>
      </c>
      <c r="K12962" s="29">
        <v>0.98289565623980701</v>
      </c>
    </row>
    <row r="12963" spans="1:11" x14ac:dyDescent="0.35">
      <c r="A12963" s="9" t="str">
        <f>HYPERLINK("http://www.ensembl.org/id/WBGene00013880", "WBGene00013880")</f>
        <v>WBGene00013880</v>
      </c>
      <c r="B12963" s="9" t="str">
        <f>HYPERLINK("http://www.ncbi.nlm.nih.gov/gene/177725", "177725")</f>
        <v>177725</v>
      </c>
      <c r="C12963" s="9" t="str">
        <f>HYPERLINK("http://www.ncbi.nlm.nih.gov/gene/9512", "9512")</f>
        <v>9512</v>
      </c>
      <c r="D12963" t="str">
        <f>"mppb-1"</f>
        <v>mppb-1</v>
      </c>
      <c r="E12963" t="s">
        <v>6356</v>
      </c>
      <c r="F12963" t="s">
        <v>11</v>
      </c>
      <c r="G12963" t="s">
        <v>6357</v>
      </c>
      <c r="H12963" s="12">
        <v>-1.06511168449431</v>
      </c>
      <c r="I12963" s="20">
        <v>-0.30058485510511801</v>
      </c>
      <c r="J12963" s="28">
        <v>0.76373108156017</v>
      </c>
      <c r="K12963" s="29">
        <v>0.98289565623980701</v>
      </c>
    </row>
    <row r="12964" spans="1:11" x14ac:dyDescent="0.35">
      <c r="A12964" s="9" t="str">
        <f>HYPERLINK("http://www.ensembl.org/id/WBGene00003403", "WBGene00003403")</f>
        <v>WBGene00003403</v>
      </c>
      <c r="B12964" s="9" t="str">
        <f>HYPERLINK("http://www.ncbi.nlm.nih.gov/gene/183012", "183012")</f>
        <v>183012</v>
      </c>
      <c r="C12964" s="9"/>
      <c r="D12964" t="str">
        <f>"mps-1"</f>
        <v>mps-1</v>
      </c>
      <c r="E12964" t="s">
        <v>4610</v>
      </c>
      <c r="F12964" t="s">
        <v>11</v>
      </c>
      <c r="G12964" t="s">
        <v>4611</v>
      </c>
      <c r="H12964" s="12">
        <v>1.60622315263708</v>
      </c>
      <c r="I12964" s="20">
        <v>1.1013139774276901</v>
      </c>
      <c r="J12964" s="28">
        <v>0.27076002991442899</v>
      </c>
      <c r="K12964" s="29">
        <v>0.98289565623980701</v>
      </c>
    </row>
    <row r="12965" spans="1:11" x14ac:dyDescent="0.35">
      <c r="A12965" s="9" t="str">
        <f>HYPERLINK("http://www.ensembl.org/id/WBGene00019282", "WBGene00019282")</f>
        <v>WBGene00019282</v>
      </c>
      <c r="B12965" s="9" t="str">
        <f>HYPERLINK("http://www.ncbi.nlm.nih.gov/gene/173419", "173419")</f>
        <v>173419</v>
      </c>
      <c r="C12965" s="9"/>
      <c r="D12965" t="str">
        <f>"mps-2"</f>
        <v>mps-2</v>
      </c>
      <c r="E12965" t="s">
        <v>5478</v>
      </c>
      <c r="F12965" t="s">
        <v>11</v>
      </c>
      <c r="G12965" t="s">
        <v>5479</v>
      </c>
      <c r="H12965" s="12">
        <v>1.1598175763679499</v>
      </c>
      <c r="I12965" s="20">
        <v>0.67752323431056805</v>
      </c>
      <c r="J12965" s="28">
        <v>0.49807403357242003</v>
      </c>
      <c r="K12965" s="29">
        <v>0.98289565623980701</v>
      </c>
    </row>
    <row r="12966" spans="1:11" x14ac:dyDescent="0.35">
      <c r="A12966" s="9" t="str">
        <f>HYPERLINK("http://www.ensembl.org/id/WBGene00020282", "WBGene00020282")</f>
        <v>WBGene00020282</v>
      </c>
      <c r="B12966" s="9" t="str">
        <f>HYPERLINK("http://www.ncbi.nlm.nih.gov/gene/188157", "188157")</f>
        <v>188157</v>
      </c>
      <c r="C12966" s="9"/>
      <c r="D12966" t="str">
        <f>"mps-3"</f>
        <v>mps-3</v>
      </c>
      <c r="E12966" t="s">
        <v>10093</v>
      </c>
      <c r="F12966" t="s">
        <v>11</v>
      </c>
      <c r="G12966" t="s">
        <v>10094</v>
      </c>
      <c r="H12966" s="12">
        <v>-3.4043023293691199</v>
      </c>
      <c r="I12966" s="20">
        <v>-0.83847205541697201</v>
      </c>
      <c r="J12966" s="28">
        <v>0.40176563581243802</v>
      </c>
      <c r="K12966" s="29">
        <v>0.98289565623980701</v>
      </c>
    </row>
    <row r="12967" spans="1:11" x14ac:dyDescent="0.35">
      <c r="A12967" s="9" t="str">
        <f>HYPERLINK("http://www.ensembl.org/id/WBGene00008409", "WBGene00008409")</f>
        <v>WBGene00008409</v>
      </c>
      <c r="B12967" s="9" t="str">
        <f>HYPERLINK("http://www.ncbi.nlm.nih.gov/gene/179617", "179617")</f>
        <v>179617</v>
      </c>
      <c r="C12967" s="9"/>
      <c r="D12967" t="str">
        <f>"mpst-1"</f>
        <v>mpst-1</v>
      </c>
      <c r="E12967" t="s">
        <v>9822</v>
      </c>
      <c r="F12967" t="s">
        <v>11</v>
      </c>
      <c r="G12967" t="s">
        <v>9823</v>
      </c>
      <c r="H12967" s="12">
        <v>-1.3124311428314399</v>
      </c>
      <c r="I12967" s="20">
        <v>-1.1011607901618701</v>
      </c>
      <c r="J12967" s="28">
        <v>0.27082668343668898</v>
      </c>
      <c r="K12967" s="29">
        <v>0.98289565623980701</v>
      </c>
    </row>
    <row r="12968" spans="1:11" x14ac:dyDescent="0.35">
      <c r="A12968" s="9" t="str">
        <f>HYPERLINK("http://www.ensembl.org/id/WBGene00003404", "WBGene00003404")</f>
        <v>WBGene00003404</v>
      </c>
      <c r="B12968" s="9" t="str">
        <f>HYPERLINK("http://www.ncbi.nlm.nih.gov/gene/174657", "174657")</f>
        <v>174657</v>
      </c>
      <c r="C12968" s="9"/>
      <c r="D12968" t="str">
        <f>"mpz-1"</f>
        <v>mpz-1</v>
      </c>
      <c r="E12968" t="s">
        <v>4873</v>
      </c>
      <c r="F12968" t="s">
        <v>11</v>
      </c>
      <c r="G12968" t="s">
        <v>7629</v>
      </c>
      <c r="H12968" s="12">
        <v>-1.13697156885385</v>
      </c>
      <c r="I12968" s="20">
        <v>-0.71058405910735001</v>
      </c>
      <c r="J12968" s="28">
        <v>0.47734202422003302</v>
      </c>
      <c r="K12968" s="29">
        <v>0.98289565623980701</v>
      </c>
    </row>
    <row r="12969" spans="1:11" x14ac:dyDescent="0.35">
      <c r="A12969" s="9" t="str">
        <f>HYPERLINK("http://www.ensembl.org/id/WBGene00017559", "WBGene00017559")</f>
        <v>WBGene00017559</v>
      </c>
      <c r="B12969" s="9" t="str">
        <f>HYPERLINK("http://www.ncbi.nlm.nih.gov/gene/174083", "174083")</f>
        <v>174083</v>
      </c>
      <c r="C12969" s="9"/>
      <c r="D12969" t="str">
        <f>"mpz-3"</f>
        <v>mpz-3</v>
      </c>
      <c r="E12969" t="s">
        <v>4873</v>
      </c>
      <c r="F12969" t="s">
        <v>11</v>
      </c>
      <c r="G12969" t="s">
        <v>54</v>
      </c>
      <c r="H12969" s="12">
        <v>1.3224258492558001</v>
      </c>
      <c r="I12969" s="20">
        <v>0.46956225763238602</v>
      </c>
      <c r="J12969" s="28">
        <v>0.63866779504854199</v>
      </c>
      <c r="K12969" s="29">
        <v>0.98289565623980701</v>
      </c>
    </row>
    <row r="12970" spans="1:11" x14ac:dyDescent="0.35">
      <c r="A12970" s="9" t="str">
        <f>HYPERLINK("http://www.ensembl.org/id/WBGene00019165", "WBGene00019165")</f>
        <v>WBGene00019165</v>
      </c>
      <c r="B12970" s="9" t="str">
        <f>HYPERLINK("http://www.ncbi.nlm.nih.gov/gene/177255", "177255")</f>
        <v>177255</v>
      </c>
      <c r="C12970" s="9"/>
      <c r="D12970" t="str">
        <f>"mpz-4"</f>
        <v>mpz-4</v>
      </c>
      <c r="E12970" t="s">
        <v>4873</v>
      </c>
      <c r="F12970" t="s">
        <v>11</v>
      </c>
      <c r="G12970" t="s">
        <v>54</v>
      </c>
      <c r="H12970" s="12">
        <v>-1.2011575410905699</v>
      </c>
      <c r="I12970" s="20">
        <v>-0.56966547550667801</v>
      </c>
      <c r="J12970" s="28">
        <v>0.568904610499536</v>
      </c>
      <c r="K12970" s="29">
        <v>0.98289565623980701</v>
      </c>
    </row>
    <row r="12971" spans="1:11" x14ac:dyDescent="0.35">
      <c r="A12971" s="9" t="str">
        <f>HYPERLINK("http://www.ensembl.org/id/WBGene00011241", "WBGene00011241")</f>
        <v>WBGene00011241</v>
      </c>
      <c r="B12971" s="9" t="str">
        <f>HYPERLINK("http://www.ncbi.nlm.nih.gov/gene/3565993", "3565993")</f>
        <v>3565993</v>
      </c>
      <c r="C12971" s="9"/>
      <c r="D12971" t="str">
        <f>"mpz-5"</f>
        <v>mpz-5</v>
      </c>
      <c r="E12971" t="s">
        <v>4873</v>
      </c>
      <c r="F12971" t="s">
        <v>11</v>
      </c>
      <c r="H12971" s="12">
        <v>-1.33351484312184</v>
      </c>
      <c r="I12971" s="20">
        <v>-0.41154381607073298</v>
      </c>
      <c r="J12971" s="28">
        <v>0.68067381948087302</v>
      </c>
      <c r="K12971" s="29">
        <v>0.98289565623980701</v>
      </c>
    </row>
    <row r="12972" spans="1:11" x14ac:dyDescent="0.35">
      <c r="A12972" s="9" t="str">
        <f>HYPERLINK("http://www.ensembl.org/id/WBGene00006437", "WBGene00006437")</f>
        <v>WBGene00006437</v>
      </c>
      <c r="B12972" s="9" t="str">
        <f>HYPERLINK("http://www.ncbi.nlm.nih.gov/gene/179013", "179013")</f>
        <v>179013</v>
      </c>
      <c r="C12972" s="9" t="str">
        <f>HYPERLINK("http://www.ncbi.nlm.nih.gov/gene/8476", "8476")</f>
        <v>8476</v>
      </c>
      <c r="D12972" t="str">
        <f>"mrck-1"</f>
        <v>mrck-1</v>
      </c>
      <c r="E12972" t="s">
        <v>6282</v>
      </c>
      <c r="F12972" t="s">
        <v>11</v>
      </c>
      <c r="G12972" t="s">
        <v>6283</v>
      </c>
      <c r="H12972" s="12">
        <v>-1.0593825800636101</v>
      </c>
      <c r="I12972" s="20">
        <v>-0.315387552444509</v>
      </c>
      <c r="J12972" s="28">
        <v>0.752467416659516</v>
      </c>
      <c r="K12972" s="29">
        <v>0.98289565623980701</v>
      </c>
    </row>
    <row r="12973" spans="1:11" x14ac:dyDescent="0.35">
      <c r="A12973" s="9" t="str">
        <f>HYPERLINK("http://www.ensembl.org/id/WBGene00003406", "WBGene00003406")</f>
        <v>WBGene00003406</v>
      </c>
      <c r="B12973" s="9" t="str">
        <f>HYPERLINK("http://www.ncbi.nlm.nih.gov/gene/176702", "176702")</f>
        <v>176702</v>
      </c>
      <c r="C12973" s="9" t="str">
        <f>HYPERLINK("http://www.ncbi.nlm.nih.gov/gene/10933", "10933")</f>
        <v>10933</v>
      </c>
      <c r="D12973" t="str">
        <f>"mrg-1"</f>
        <v>mrg-1</v>
      </c>
      <c r="E12973" t="s">
        <v>9347</v>
      </c>
      <c r="F12973" t="s">
        <v>11</v>
      </c>
      <c r="G12973" t="s">
        <v>9348</v>
      </c>
      <c r="H12973" s="12">
        <v>-1.23996610225905</v>
      </c>
      <c r="I12973" s="20">
        <v>-0.97762985407035397</v>
      </c>
      <c r="J12973" s="28">
        <v>0.32825742637509397</v>
      </c>
      <c r="K12973" s="29">
        <v>0.98289565623980701</v>
      </c>
    </row>
    <row r="12974" spans="1:11" x14ac:dyDescent="0.35">
      <c r="A12974" s="9" t="str">
        <f>HYPERLINK("http://www.ensembl.org/id/WBGene00003409", "WBGene00003409")</f>
        <v>WBGene00003409</v>
      </c>
      <c r="B12974" s="9" t="str">
        <f>HYPERLINK("http://www.ncbi.nlm.nih.gov/gene/181677", "181677")</f>
        <v>181677</v>
      </c>
      <c r="C12974" s="9" t="str">
        <f>HYPERLINK("http://www.ncbi.nlm.nih.gov/gene/8714", "8714")</f>
        <v>8714</v>
      </c>
      <c r="D12974" t="str">
        <f>"mrp-3"</f>
        <v>mrp-3</v>
      </c>
      <c r="F12974" t="s">
        <v>11</v>
      </c>
      <c r="G12974" t="s">
        <v>2945</v>
      </c>
      <c r="H12974" s="12">
        <v>-1.2690698833632601</v>
      </c>
      <c r="I12974" s="20">
        <v>-1.1385389881694199</v>
      </c>
      <c r="J12974" s="28">
        <v>0.254895488376434</v>
      </c>
      <c r="K12974" s="29">
        <v>0.98289565623980701</v>
      </c>
    </row>
    <row r="12975" spans="1:11" x14ac:dyDescent="0.35">
      <c r="A12975" s="9" t="str">
        <f>HYPERLINK("http://www.ensembl.org/id/WBGene00003411", "WBGene00003411")</f>
        <v>WBGene00003411</v>
      </c>
      <c r="B12975" s="9" t="str">
        <f>HYPERLINK("http://www.ncbi.nlm.nih.gov/gene/181587", "181587")</f>
        <v>181587</v>
      </c>
      <c r="C12975" s="9" t="str">
        <f>HYPERLINK("http://www.ncbi.nlm.nih.gov/gene/10057", "10057")</f>
        <v>10057</v>
      </c>
      <c r="D12975" t="str">
        <f>"mrp-5"</f>
        <v>mrp-5</v>
      </c>
      <c r="F12975" t="s">
        <v>11</v>
      </c>
      <c r="G12975" t="s">
        <v>6138</v>
      </c>
      <c r="H12975" s="12">
        <v>1.05187700488411</v>
      </c>
      <c r="I12975" s="20">
        <v>0.27888182337936901</v>
      </c>
      <c r="J12975" s="28">
        <v>0.78033551819489699</v>
      </c>
      <c r="K12975" s="29">
        <v>0.98289565623980701</v>
      </c>
    </row>
    <row r="12976" spans="1:11" x14ac:dyDescent="0.35">
      <c r="A12976" s="9" t="str">
        <f>HYPERLINK("http://www.ensembl.org/id/WBGene00003412", "WBGene00003412")</f>
        <v>WBGene00003412</v>
      </c>
      <c r="B12976" s="9" t="str">
        <f>HYPERLINK("http://www.ncbi.nlm.nih.gov/gene/180691", "180691")</f>
        <v>180691</v>
      </c>
      <c r="C12976" s="9" t="str">
        <f>HYPERLINK("http://www.ncbi.nlm.nih.gov/gene/10257", "10257")</f>
        <v>10257</v>
      </c>
      <c r="D12976" t="str">
        <f>"mrp-6"</f>
        <v>mrp-6</v>
      </c>
      <c r="F12976" t="s">
        <v>11</v>
      </c>
      <c r="G12976" t="s">
        <v>6902</v>
      </c>
      <c r="H12976" s="12">
        <v>-1.09611982740904</v>
      </c>
      <c r="I12976" s="20">
        <v>-0.38912393656897998</v>
      </c>
      <c r="J12976" s="28">
        <v>0.69718446733160999</v>
      </c>
      <c r="K12976" s="29">
        <v>0.98289565623980701</v>
      </c>
    </row>
    <row r="12977" spans="1:11" x14ac:dyDescent="0.35">
      <c r="A12977" s="9" t="str">
        <f>HYPERLINK("http://www.ensembl.org/id/WBGene00003414", "WBGene00003414")</f>
        <v>WBGene00003414</v>
      </c>
      <c r="B12977" s="9" t="str">
        <f>HYPERLINK("http://www.ncbi.nlm.nih.gov/gene/190710", "190710")</f>
        <v>190710</v>
      </c>
      <c r="C12977" s="9"/>
      <c r="D12977" t="str">
        <f>"mrp-8"</f>
        <v>mrp-8</v>
      </c>
      <c r="F12977" t="s">
        <v>11</v>
      </c>
      <c r="G12977" t="s">
        <v>2945</v>
      </c>
      <c r="H12977" s="12">
        <v>1.1100983693478099</v>
      </c>
      <c r="I12977" s="20">
        <v>0.43485881594174097</v>
      </c>
      <c r="J12977" s="28">
        <v>0.66366490985771898</v>
      </c>
      <c r="K12977" s="29">
        <v>0.98289565623980701</v>
      </c>
    </row>
    <row r="12978" spans="1:11" x14ac:dyDescent="0.35">
      <c r="A12978" s="9" t="str">
        <f>HYPERLINK("http://www.ensembl.org/id/WBGene00017997", "WBGene00017997")</f>
        <v>WBGene00017997</v>
      </c>
      <c r="B12978" s="9" t="str">
        <f>HYPERLINK("http://www.ncbi.nlm.nih.gov/gene/177549", "177549")</f>
        <v>177549</v>
      </c>
      <c r="C12978" s="9"/>
      <c r="D12978" t="str">
        <f>"mrpl-1"</f>
        <v>mrpl-1</v>
      </c>
      <c r="E12978" t="s">
        <v>1844</v>
      </c>
      <c r="F12978" t="s">
        <v>11</v>
      </c>
      <c r="G12978" t="s">
        <v>7751</v>
      </c>
      <c r="H12978" s="12">
        <v>-1.1425342062450301</v>
      </c>
      <c r="I12978" s="20">
        <v>-0.62224255851773003</v>
      </c>
      <c r="J12978" s="28">
        <v>0.53378238551142698</v>
      </c>
      <c r="K12978" s="29">
        <v>0.98289565623980701</v>
      </c>
    </row>
    <row r="12979" spans="1:11" x14ac:dyDescent="0.35">
      <c r="A12979" s="9" t="str">
        <f>HYPERLINK("http://www.ensembl.org/id/WBGene00010458", "WBGene00010458")</f>
        <v>WBGene00010458</v>
      </c>
      <c r="B12979" s="9" t="str">
        <f>HYPERLINK("http://www.ncbi.nlm.nih.gov/gene/186840", "186840")</f>
        <v>186840</v>
      </c>
      <c r="C12979" s="9"/>
      <c r="D12979" t="str">
        <f>"mrpl-10"</f>
        <v>mrpl-10</v>
      </c>
      <c r="E12979" t="s">
        <v>1844</v>
      </c>
      <c r="F12979" t="s">
        <v>11</v>
      </c>
      <c r="G12979" t="s">
        <v>6859</v>
      </c>
      <c r="H12979" s="12">
        <v>-1.0928098407348401</v>
      </c>
      <c r="I12979" s="20">
        <v>-0.41668152375915002</v>
      </c>
      <c r="J12979" s="28">
        <v>0.67691137042726901</v>
      </c>
      <c r="K12979" s="29">
        <v>0.98289565623980701</v>
      </c>
    </row>
    <row r="12980" spans="1:11" x14ac:dyDescent="0.35">
      <c r="A12980" s="9" t="str">
        <f>HYPERLINK("http://www.ensembl.org/id/WBGene00008769", "WBGene00008769")</f>
        <v>WBGene00008769</v>
      </c>
      <c r="B12980" s="9" t="str">
        <f>HYPERLINK("http://www.ncbi.nlm.nih.gov/gene/172479", "172479")</f>
        <v>172479</v>
      </c>
      <c r="C12980" s="9" t="str">
        <f>HYPERLINK("http://www.ncbi.nlm.nih.gov/gene/28998", "28998")</f>
        <v>28998</v>
      </c>
      <c r="D12980" t="str">
        <f>"mrpl-13"</f>
        <v>mrpl-13</v>
      </c>
      <c r="E12980" t="s">
        <v>1844</v>
      </c>
      <c r="F12980" t="s">
        <v>11</v>
      </c>
      <c r="G12980" t="s">
        <v>9490</v>
      </c>
      <c r="H12980" s="12">
        <v>-1.25095444903158</v>
      </c>
      <c r="I12980" s="20">
        <v>-0.93018033130908295</v>
      </c>
      <c r="J12980" s="28">
        <v>0.35227772378413902</v>
      </c>
      <c r="K12980" s="29">
        <v>0.98289565623980701</v>
      </c>
    </row>
    <row r="12981" spans="1:11" x14ac:dyDescent="0.35">
      <c r="A12981" s="9" t="str">
        <f>HYPERLINK("http://www.ensembl.org/id/WBGene00018475", "WBGene00018475")</f>
        <v>WBGene00018475</v>
      </c>
      <c r="B12981" s="9" t="str">
        <f>HYPERLINK("http://www.ncbi.nlm.nih.gov/gene/185803", "185803")</f>
        <v>185803</v>
      </c>
      <c r="C12981" s="9"/>
      <c r="D12981" t="str">
        <f>"mrpl-14"</f>
        <v>mrpl-14</v>
      </c>
      <c r="E12981" t="s">
        <v>1844</v>
      </c>
      <c r="F12981" t="s">
        <v>11</v>
      </c>
      <c r="G12981" t="s">
        <v>7820</v>
      </c>
      <c r="H12981" s="12">
        <v>-1.14670093970539</v>
      </c>
      <c r="I12981" s="20">
        <v>-0.66053670285140997</v>
      </c>
      <c r="J12981" s="28">
        <v>0.50890947331557401</v>
      </c>
      <c r="K12981" s="29">
        <v>0.98289565623980701</v>
      </c>
    </row>
    <row r="12982" spans="1:11" x14ac:dyDescent="0.35">
      <c r="A12982" s="9" t="str">
        <f>HYPERLINK("http://www.ensembl.org/id/WBGene00022373", "WBGene00022373")</f>
        <v>WBGene00022373</v>
      </c>
      <c r="B12982" s="9" t="str">
        <f>HYPERLINK("http://www.ncbi.nlm.nih.gov/gene/171710", "171710")</f>
        <v>171710</v>
      </c>
      <c r="C12982" s="9" t="str">
        <f>HYPERLINK("http://www.ncbi.nlm.nih.gov/gene/29088", "29088")</f>
        <v>29088</v>
      </c>
      <c r="D12982" t="str">
        <f>"mrpl-15"</f>
        <v>mrpl-15</v>
      </c>
      <c r="E12982" t="s">
        <v>1844</v>
      </c>
      <c r="F12982" t="s">
        <v>11</v>
      </c>
      <c r="G12982" t="s">
        <v>8183</v>
      </c>
      <c r="H12982" s="12">
        <v>-1.1641561730793299</v>
      </c>
      <c r="I12982" s="20">
        <v>-0.71229433315580404</v>
      </c>
      <c r="J12982" s="28">
        <v>0.47628253243804303</v>
      </c>
      <c r="K12982" s="29">
        <v>0.98289565623980701</v>
      </c>
    </row>
    <row r="12983" spans="1:11" x14ac:dyDescent="0.35">
      <c r="A12983" s="9" t="str">
        <f>HYPERLINK("http://www.ensembl.org/id/WBGene00021829", "WBGene00021829")</f>
        <v>WBGene00021829</v>
      </c>
      <c r="B12983" s="9" t="str">
        <f>HYPERLINK("http://www.ncbi.nlm.nih.gov/gene/171889", "171889")</f>
        <v>171889</v>
      </c>
      <c r="C12983" s="9"/>
      <c r="D12983" t="str">
        <f>"mrpl-17"</f>
        <v>mrpl-17</v>
      </c>
      <c r="E12983" t="s">
        <v>1844</v>
      </c>
      <c r="F12983" t="s">
        <v>11</v>
      </c>
      <c r="G12983" t="s">
        <v>8183</v>
      </c>
      <c r="H12983" s="12">
        <v>-1.28607627833497</v>
      </c>
      <c r="I12983" s="20">
        <v>-1.1169572878693701</v>
      </c>
      <c r="J12983" s="28">
        <v>0.26401258807521</v>
      </c>
      <c r="K12983" s="29">
        <v>0.98289565623980701</v>
      </c>
    </row>
    <row r="12984" spans="1:11" x14ac:dyDescent="0.35">
      <c r="A12984" s="9" t="str">
        <f>HYPERLINK("http://www.ensembl.org/id/WBGene00022470", "WBGene00022470")</f>
        <v>WBGene00022470</v>
      </c>
      <c r="B12984" s="9" t="str">
        <f>HYPERLINK("http://www.ncbi.nlm.nih.gov/gene/172052", "172052")</f>
        <v>172052</v>
      </c>
      <c r="C12984" s="9" t="str">
        <f>HYPERLINK("http://www.ncbi.nlm.nih.gov/gene/9801", "9801")</f>
        <v>9801</v>
      </c>
      <c r="D12984" t="str">
        <f>"mrpl-19"</f>
        <v>mrpl-19</v>
      </c>
      <c r="E12984" t="s">
        <v>8378</v>
      </c>
      <c r="F12984" t="s">
        <v>11</v>
      </c>
      <c r="G12984" t="s">
        <v>2882</v>
      </c>
      <c r="H12984" s="12">
        <v>-1.1742049895064901</v>
      </c>
      <c r="I12984" s="20">
        <v>-0.75410843100713698</v>
      </c>
      <c r="J12984" s="28">
        <v>0.45078411527916901</v>
      </c>
      <c r="K12984" s="29">
        <v>0.98289565623980701</v>
      </c>
    </row>
    <row r="12985" spans="1:11" x14ac:dyDescent="0.35">
      <c r="A12985" s="9" t="str">
        <f>HYPERLINK("http://www.ensembl.org/id/WBGene00018932", "WBGene00018932")</f>
        <v>WBGene00018932</v>
      </c>
      <c r="B12985" s="9" t="str">
        <f>HYPERLINK("http://www.ncbi.nlm.nih.gov/gene/176903", "176903")</f>
        <v>176903</v>
      </c>
      <c r="C12985" s="9" t="str">
        <f>HYPERLINK("http://www.ncbi.nlm.nih.gov/gene/51069", "51069")</f>
        <v>51069</v>
      </c>
      <c r="D12985" t="str">
        <f>"mrpl-2"</f>
        <v>mrpl-2</v>
      </c>
      <c r="E12985" t="s">
        <v>1844</v>
      </c>
      <c r="F12985" t="s">
        <v>11</v>
      </c>
      <c r="G12985" t="s">
        <v>8890</v>
      </c>
      <c r="H12985" s="12">
        <v>-1.2052708152620699</v>
      </c>
      <c r="I12985" s="20">
        <v>-0.80396093264457402</v>
      </c>
      <c r="J12985" s="28">
        <v>0.42141953783317398</v>
      </c>
      <c r="K12985" s="29">
        <v>0.98289565623980701</v>
      </c>
    </row>
    <row r="12986" spans="1:11" x14ac:dyDescent="0.35">
      <c r="A12986" s="9" t="str">
        <f>HYPERLINK("http://www.ensembl.org/id/WBGene00012992", "WBGene00012992")</f>
        <v>WBGene00012992</v>
      </c>
      <c r="B12986" s="9" t="str">
        <f>HYPERLINK("http://www.ncbi.nlm.nih.gov/gene/174976", "174976")</f>
        <v>174976</v>
      </c>
      <c r="C12986" s="9"/>
      <c r="D12986" t="str">
        <f>"mrpl-20"</f>
        <v>mrpl-20</v>
      </c>
      <c r="E12986" t="s">
        <v>1844</v>
      </c>
      <c r="F12986" t="s">
        <v>11</v>
      </c>
      <c r="G12986" t="s">
        <v>8443</v>
      </c>
      <c r="H12986" s="12">
        <v>-1.1780886441459</v>
      </c>
      <c r="I12986" s="20">
        <v>-0.69433804820282796</v>
      </c>
      <c r="J12986" s="28">
        <v>0.48747023530213002</v>
      </c>
      <c r="K12986" s="29">
        <v>0.98289565623980701</v>
      </c>
    </row>
    <row r="12987" spans="1:11" x14ac:dyDescent="0.35">
      <c r="A12987" s="9" t="str">
        <f>HYPERLINK("http://www.ensembl.org/id/WBGene00019076", "WBGene00019076")</f>
        <v>WBGene00019076</v>
      </c>
      <c r="B12987" s="9" t="str">
        <f>HYPERLINK("http://www.ncbi.nlm.nih.gov/gene/172204", "172204")</f>
        <v>172204</v>
      </c>
      <c r="C12987" s="9" t="str">
        <f>HYPERLINK("http://www.ncbi.nlm.nih.gov/gene/79590", "79590")</f>
        <v>79590</v>
      </c>
      <c r="D12987" t="str">
        <f>"mrpl-24"</f>
        <v>mrpl-24</v>
      </c>
      <c r="E12987" t="s">
        <v>7807</v>
      </c>
      <c r="F12987" t="s">
        <v>11</v>
      </c>
      <c r="G12987" t="s">
        <v>7808</v>
      </c>
      <c r="H12987" s="12">
        <v>-1.14591954771076</v>
      </c>
      <c r="I12987" s="20">
        <v>-0.61033726949901401</v>
      </c>
      <c r="J12987" s="28">
        <v>0.54163841333246499</v>
      </c>
      <c r="K12987" s="29">
        <v>0.98289565623980701</v>
      </c>
    </row>
    <row r="12988" spans="1:11" x14ac:dyDescent="0.35">
      <c r="A12988" s="9" t="str">
        <f>HYPERLINK("http://www.ensembl.org/id/WBGene00020796", "WBGene00020796")</f>
        <v>WBGene00020796</v>
      </c>
      <c r="B12988" s="9" t="str">
        <f>HYPERLINK("http://www.ncbi.nlm.nih.gov/gene/173400", "173400")</f>
        <v>173400</v>
      </c>
      <c r="C12988" s="9" t="str">
        <f>HYPERLINK("http://www.ncbi.nlm.nih.gov/gene/10573", "10573")</f>
        <v>10573</v>
      </c>
      <c r="D12988" t="str">
        <f>"mrpl-28"</f>
        <v>mrpl-28</v>
      </c>
      <c r="E12988" t="s">
        <v>1844</v>
      </c>
      <c r="F12988" t="s">
        <v>11</v>
      </c>
      <c r="G12988" t="s">
        <v>8721</v>
      </c>
      <c r="H12988" s="12">
        <v>-1.19295361564752</v>
      </c>
      <c r="I12988" s="20">
        <v>-0.84288820233919903</v>
      </c>
      <c r="J12988" s="28">
        <v>0.39929097226002003</v>
      </c>
      <c r="K12988" s="29">
        <v>0.98289565623980701</v>
      </c>
    </row>
    <row r="12989" spans="1:11" x14ac:dyDescent="0.35">
      <c r="A12989" s="9" t="str">
        <f>HYPERLINK("http://www.ensembl.org/id/WBGene00021021", "WBGene00021021")</f>
        <v>WBGene00021021</v>
      </c>
      <c r="B12989" s="9" t="str">
        <f>HYPERLINK("http://www.ncbi.nlm.nih.gov/gene/175359", "175359")</f>
        <v>175359</v>
      </c>
      <c r="C12989" s="9"/>
      <c r="D12989" t="str">
        <f>"mrpl-30"</f>
        <v>mrpl-30</v>
      </c>
      <c r="E12989" t="s">
        <v>1844</v>
      </c>
      <c r="F12989" t="s">
        <v>11</v>
      </c>
      <c r="G12989" t="s">
        <v>9048</v>
      </c>
      <c r="H12989" s="12">
        <v>-1.2168874471236499</v>
      </c>
      <c r="I12989" s="20">
        <v>-0.79453263991993395</v>
      </c>
      <c r="J12989" s="28">
        <v>0.42688541508092598</v>
      </c>
      <c r="K12989" s="29">
        <v>0.98289565623980701</v>
      </c>
    </row>
    <row r="12990" spans="1:11" x14ac:dyDescent="0.35">
      <c r="A12990" s="9" t="str">
        <f>HYPERLINK("http://www.ensembl.org/id/WBGene00016249", "WBGene00016249")</f>
        <v>WBGene00016249</v>
      </c>
      <c r="B12990" s="9" t="str">
        <f>HYPERLINK("http://www.ncbi.nlm.nih.gov/gene/176197", "176197")</f>
        <v>176197</v>
      </c>
      <c r="C12990" s="9"/>
      <c r="D12990" t="str">
        <f>"mrpl-32"</f>
        <v>mrpl-32</v>
      </c>
      <c r="E12990" t="s">
        <v>9752</v>
      </c>
      <c r="F12990" t="s">
        <v>11</v>
      </c>
      <c r="G12990" t="s">
        <v>9753</v>
      </c>
      <c r="H12990" s="12">
        <v>-1.29379523679183</v>
      </c>
      <c r="I12990" s="20">
        <v>-1.1454250879935199</v>
      </c>
      <c r="J12990" s="28">
        <v>0.25203311073658502</v>
      </c>
      <c r="K12990" s="29">
        <v>0.98289565623980701</v>
      </c>
    </row>
    <row r="12991" spans="1:11" x14ac:dyDescent="0.35">
      <c r="A12991" s="9" t="str">
        <f>HYPERLINK("http://www.ensembl.org/id/WBGene00010812", "WBGene00010812")</f>
        <v>WBGene00010812</v>
      </c>
      <c r="B12991" s="9" t="str">
        <f>HYPERLINK("http://www.ncbi.nlm.nih.gov/gene/187375", "187375")</f>
        <v>187375</v>
      </c>
      <c r="C12991" s="9"/>
      <c r="D12991" t="str">
        <f>"mrpl-35"</f>
        <v>mrpl-35</v>
      </c>
      <c r="E12991" t="s">
        <v>8510</v>
      </c>
      <c r="F12991" t="s">
        <v>11</v>
      </c>
      <c r="G12991" t="s">
        <v>2759</v>
      </c>
      <c r="H12991" s="12">
        <v>-1.1812300673360501</v>
      </c>
      <c r="I12991" s="20">
        <v>-0.60202067830797601</v>
      </c>
      <c r="J12991" s="28">
        <v>0.54716037299423304</v>
      </c>
      <c r="K12991" s="29">
        <v>0.98289565623980701</v>
      </c>
    </row>
    <row r="12992" spans="1:11" x14ac:dyDescent="0.35">
      <c r="A12992" s="9" t="str">
        <f>HYPERLINK("http://www.ensembl.org/id/WBGene00010783", "WBGene00010783")</f>
        <v>WBGene00010783</v>
      </c>
      <c r="B12992" s="9" t="str">
        <f>HYPERLINK("http://www.ncbi.nlm.nih.gov/gene/259526", "259526")</f>
        <v>259526</v>
      </c>
      <c r="C12992" s="9"/>
      <c r="D12992" t="str">
        <f>"mrpl-36"</f>
        <v>mrpl-36</v>
      </c>
      <c r="E12992" t="s">
        <v>8623</v>
      </c>
      <c r="F12992" t="s">
        <v>11</v>
      </c>
      <c r="G12992" t="s">
        <v>8624</v>
      </c>
      <c r="H12992" s="12">
        <v>-1.1874534308267199</v>
      </c>
      <c r="I12992" s="20">
        <v>-0.63210180824170903</v>
      </c>
      <c r="J12992" s="28">
        <v>0.527320353706073</v>
      </c>
      <c r="K12992" s="29">
        <v>0.98289565623980701</v>
      </c>
    </row>
    <row r="12993" spans="1:11" x14ac:dyDescent="0.35">
      <c r="A12993" s="9" t="str">
        <f>HYPERLINK("http://www.ensembl.org/id/WBGene00021327", "WBGene00021327")</f>
        <v>WBGene00021327</v>
      </c>
      <c r="B12993" s="9" t="str">
        <f>HYPERLINK("http://www.ncbi.nlm.nih.gov/gene/171682", "171682")</f>
        <v>171682</v>
      </c>
      <c r="C12993" s="9"/>
      <c r="D12993" t="str">
        <f>"mrpl-38"</f>
        <v>mrpl-38</v>
      </c>
      <c r="E12993" t="s">
        <v>1844</v>
      </c>
      <c r="F12993" t="s">
        <v>11</v>
      </c>
      <c r="G12993" t="s">
        <v>6772</v>
      </c>
      <c r="H12993" s="12">
        <v>-1.26427217039518</v>
      </c>
      <c r="I12993" s="20">
        <v>-1.1367674505936001</v>
      </c>
      <c r="J12993" s="28">
        <v>0.255635513693179</v>
      </c>
      <c r="K12993" s="29">
        <v>0.98289565623980701</v>
      </c>
    </row>
    <row r="12994" spans="1:11" x14ac:dyDescent="0.35">
      <c r="A12994" s="9" t="str">
        <f>HYPERLINK("http://www.ensembl.org/id/WBGene00044344", "WBGene00044344")</f>
        <v>WBGene00044344</v>
      </c>
      <c r="B12994" s="9" t="str">
        <f>HYPERLINK("http://www.ncbi.nlm.nih.gov/gene/3565110", "3565110")</f>
        <v>3565110</v>
      </c>
      <c r="C12994" s="9"/>
      <c r="D12994" t="str">
        <f>"mrpl-39"</f>
        <v>mrpl-39</v>
      </c>
      <c r="E12994" t="s">
        <v>1844</v>
      </c>
      <c r="F12994" t="s">
        <v>11</v>
      </c>
      <c r="G12994" t="s">
        <v>9849</v>
      </c>
      <c r="H12994" s="12">
        <v>-1.32669691436784</v>
      </c>
      <c r="I12994" s="20">
        <v>-1.20493846876721</v>
      </c>
      <c r="J12994" s="28">
        <v>0.22822705654186201</v>
      </c>
      <c r="K12994" s="29">
        <v>0.98289565623980701</v>
      </c>
    </row>
    <row r="12995" spans="1:11" x14ac:dyDescent="0.35">
      <c r="A12995" s="9" t="str">
        <f>HYPERLINK("http://www.ensembl.org/id/WBGene00020717", "WBGene00020717")</f>
        <v>WBGene00020717</v>
      </c>
      <c r="B12995" s="9" t="str">
        <f>HYPERLINK("http://www.ncbi.nlm.nih.gov/gene/179230", "179230")</f>
        <v>179230</v>
      </c>
      <c r="C12995" s="9" t="str">
        <f>HYPERLINK("http://www.ncbi.nlm.nih.gov/gene/51073", "51073")</f>
        <v>51073</v>
      </c>
      <c r="D12995" t="str">
        <f>"mrpl-4"</f>
        <v>mrpl-4</v>
      </c>
      <c r="E12995" t="s">
        <v>1844</v>
      </c>
      <c r="F12995" t="s">
        <v>11</v>
      </c>
      <c r="G12995" t="s">
        <v>7580</v>
      </c>
      <c r="H12995" s="12">
        <v>-1.1473173950891999</v>
      </c>
      <c r="I12995" s="20">
        <v>-0.60436243979286397</v>
      </c>
      <c r="J12995" s="28">
        <v>0.54560270178541803</v>
      </c>
      <c r="K12995" s="29">
        <v>0.98289565623980701</v>
      </c>
    </row>
    <row r="12996" spans="1:11" x14ac:dyDescent="0.35">
      <c r="A12996" s="9" t="str">
        <f>HYPERLINK("http://www.ensembl.org/id/WBGene00018793", "WBGene00018793")</f>
        <v>WBGene00018793</v>
      </c>
      <c r="B12996" s="9" t="str">
        <f>HYPERLINK("http://www.ncbi.nlm.nih.gov/gene/175174", "175174")</f>
        <v>175174</v>
      </c>
      <c r="C12996" s="9" t="str">
        <f>HYPERLINK("http://www.ncbi.nlm.nih.gov/gene/64976", "64976")</f>
        <v>64976</v>
      </c>
      <c r="D12996" t="str">
        <f>"mrpl-40"</f>
        <v>mrpl-40</v>
      </c>
      <c r="E12996" t="s">
        <v>1844</v>
      </c>
      <c r="F12996" t="s">
        <v>11</v>
      </c>
      <c r="G12996" t="s">
        <v>7345</v>
      </c>
      <c r="H12996" s="12">
        <v>-1.1205857921228199</v>
      </c>
      <c r="I12996" s="20">
        <v>-0.55180812614060804</v>
      </c>
      <c r="J12996" s="28">
        <v>0.58107981920582297</v>
      </c>
      <c r="K12996" s="29">
        <v>0.98289565623980701</v>
      </c>
    </row>
    <row r="12997" spans="1:11" x14ac:dyDescent="0.35">
      <c r="A12997" s="9" t="str">
        <f>HYPERLINK("http://www.ensembl.org/id/WBGene00015185", "WBGene00015185")</f>
        <v>WBGene00015185</v>
      </c>
      <c r="B12997" s="9" t="str">
        <f>HYPERLINK("http://www.ncbi.nlm.nih.gov/gene/173415", "173415")</f>
        <v>173415</v>
      </c>
      <c r="C12997" s="9"/>
      <c r="D12997" t="str">
        <f>"mrpl-41"</f>
        <v>mrpl-41</v>
      </c>
      <c r="E12997" t="s">
        <v>7314</v>
      </c>
      <c r="F12997" t="s">
        <v>11</v>
      </c>
      <c r="G12997" t="s">
        <v>7315</v>
      </c>
      <c r="H12997" s="12">
        <v>-1.11897258149969</v>
      </c>
      <c r="I12997" s="20">
        <v>-0.52917845664801799</v>
      </c>
      <c r="J12997" s="28">
        <v>0.59668165987543398</v>
      </c>
      <c r="K12997" s="29">
        <v>0.98289565623980701</v>
      </c>
    </row>
    <row r="12998" spans="1:11" x14ac:dyDescent="0.35">
      <c r="A12998" s="9" t="str">
        <f>HYPERLINK("http://www.ensembl.org/id/WBGene00008514", "WBGene00008514")</f>
        <v>WBGene00008514</v>
      </c>
      <c r="B12998" s="9" t="str">
        <f>HYPERLINK("http://www.ncbi.nlm.nih.gov/gene/176285", "176285")</f>
        <v>176285</v>
      </c>
      <c r="C12998" s="9" t="str">
        <f>HYPERLINK("http://www.ncbi.nlm.nih.gov/gene/64087", "64087")</f>
        <v>64087</v>
      </c>
      <c r="D12998" t="str">
        <f>"mrpl-44"</f>
        <v>mrpl-44</v>
      </c>
      <c r="E12998" t="s">
        <v>1844</v>
      </c>
      <c r="F12998" t="s">
        <v>11</v>
      </c>
      <c r="G12998" t="s">
        <v>8212</v>
      </c>
      <c r="H12998" s="12">
        <v>-1.1661514715574499</v>
      </c>
      <c r="I12998" s="20">
        <v>-0.74448307725056095</v>
      </c>
      <c r="J12998" s="28">
        <v>0.45658427540018298</v>
      </c>
      <c r="K12998" s="29">
        <v>0.98289565623980701</v>
      </c>
    </row>
    <row r="12999" spans="1:11" x14ac:dyDescent="0.35">
      <c r="A12999" s="9" t="str">
        <f>HYPERLINK("http://www.ensembl.org/id/WBGene00021935", "WBGene00021935")</f>
        <v>WBGene00021935</v>
      </c>
      <c r="B12999" s="9" t="str">
        <f>HYPERLINK("http://www.ncbi.nlm.nih.gov/gene/190311", "190311")</f>
        <v>190311</v>
      </c>
      <c r="C12999" s="9" t="str">
        <f>HYPERLINK("http://www.ncbi.nlm.nih.gov/gene/26589", "26589")</f>
        <v>26589</v>
      </c>
      <c r="D12999" t="str">
        <f>"mrpl-46"</f>
        <v>mrpl-46</v>
      </c>
      <c r="E12999" t="s">
        <v>1844</v>
      </c>
      <c r="F12999" t="s">
        <v>11</v>
      </c>
      <c r="G12999" t="s">
        <v>8891</v>
      </c>
      <c r="H12999" s="12">
        <v>-1.2054007938853</v>
      </c>
      <c r="I12999" s="20">
        <v>-0.75657412449884998</v>
      </c>
      <c r="J12999" s="28">
        <v>0.44930504837478702</v>
      </c>
      <c r="K12999" s="29">
        <v>0.98289565623980701</v>
      </c>
    </row>
    <row r="13000" spans="1:11" x14ac:dyDescent="0.35">
      <c r="A13000" s="9" t="str">
        <f>HYPERLINK("http://www.ensembl.org/id/WBGene00015092", "WBGene00015092")</f>
        <v>WBGene00015092</v>
      </c>
      <c r="B13000" s="9" t="str">
        <f>HYPERLINK("http://www.ncbi.nlm.nih.gov/gene/172164", "172164")</f>
        <v>172164</v>
      </c>
      <c r="C13000" s="9"/>
      <c r="D13000" t="str">
        <f>"mrpl-47"</f>
        <v>mrpl-47</v>
      </c>
      <c r="E13000" t="s">
        <v>1844</v>
      </c>
      <c r="F13000" t="s">
        <v>11</v>
      </c>
      <c r="G13000" t="s">
        <v>7147</v>
      </c>
      <c r="H13000" s="12">
        <v>-1.11023766395861</v>
      </c>
      <c r="I13000" s="20">
        <v>-0.50654824212327398</v>
      </c>
      <c r="J13000" s="28">
        <v>0.61247183227382096</v>
      </c>
      <c r="K13000" s="29">
        <v>0.98289565623980701</v>
      </c>
    </row>
    <row r="13001" spans="1:11" x14ac:dyDescent="0.35">
      <c r="A13001" s="9" t="str">
        <f>HYPERLINK("http://www.ensembl.org/id/WBGene00016989", "WBGene00016989")</f>
        <v>WBGene00016989</v>
      </c>
      <c r="B13001" s="9" t="str">
        <f>HYPERLINK("http://www.ncbi.nlm.nih.gov/gene/259341", "259341")</f>
        <v>259341</v>
      </c>
      <c r="C13001" s="9"/>
      <c r="D13001" t="str">
        <f>"mrpl-48"</f>
        <v>mrpl-48</v>
      </c>
      <c r="E13001" t="s">
        <v>1844</v>
      </c>
      <c r="F13001" t="s">
        <v>11</v>
      </c>
      <c r="G13001" t="s">
        <v>6740</v>
      </c>
      <c r="H13001" s="12">
        <v>-1.0866135453419601</v>
      </c>
      <c r="I13001" s="20">
        <v>-0.35947898898633601</v>
      </c>
      <c r="J13001" s="28">
        <v>0.71923679317534805</v>
      </c>
      <c r="K13001" s="29">
        <v>0.98289565623980701</v>
      </c>
    </row>
    <row r="13002" spans="1:11" x14ac:dyDescent="0.35">
      <c r="A13002" s="9" t="str">
        <f>HYPERLINK("http://www.ensembl.org/id/WBGene00011247", "WBGene00011247")</f>
        <v>WBGene00011247</v>
      </c>
      <c r="B13002" s="9" t="str">
        <f>HYPERLINK("http://www.ncbi.nlm.nih.gov/gene/187809", "187809")</f>
        <v>187809</v>
      </c>
      <c r="C13002" s="9"/>
      <c r="D13002" t="str">
        <f>"mrpl-49"</f>
        <v>mrpl-49</v>
      </c>
      <c r="E13002" t="s">
        <v>8278</v>
      </c>
      <c r="F13002" t="s">
        <v>11</v>
      </c>
      <c r="G13002" t="s">
        <v>2882</v>
      </c>
      <c r="H13002" s="12">
        <v>-1.1684758379226701</v>
      </c>
      <c r="I13002" s="20">
        <v>-0.60215870866934196</v>
      </c>
      <c r="J13002" s="28">
        <v>0.54706849823672099</v>
      </c>
      <c r="K13002" s="29">
        <v>0.98289565623980701</v>
      </c>
    </row>
    <row r="13003" spans="1:11" x14ac:dyDescent="0.35">
      <c r="A13003" s="9" t="str">
        <f>HYPERLINK("http://www.ensembl.org/id/WBGene00011883", "WBGene00011883")</f>
        <v>WBGene00011883</v>
      </c>
      <c r="B13003" s="9" t="str">
        <f>HYPERLINK("http://www.ncbi.nlm.nih.gov/gene/174422", "174422")</f>
        <v>174422</v>
      </c>
      <c r="C13003" s="9"/>
      <c r="D13003" t="str">
        <f>"mrpl-50"</f>
        <v>mrpl-50</v>
      </c>
      <c r="E13003" t="s">
        <v>1844</v>
      </c>
      <c r="F13003" t="s">
        <v>11</v>
      </c>
      <c r="G13003" t="s">
        <v>7472</v>
      </c>
      <c r="H13003" s="12">
        <v>-1.1278891000971401</v>
      </c>
      <c r="I13003" s="20">
        <v>-0.58056194437397401</v>
      </c>
      <c r="J13003" s="28">
        <v>0.561535726821069</v>
      </c>
      <c r="K13003" s="29">
        <v>0.98289565623980701</v>
      </c>
    </row>
    <row r="13004" spans="1:11" x14ac:dyDescent="0.35">
      <c r="A13004" s="9" t="str">
        <f>HYPERLINK("http://www.ensembl.org/id/WBGene00008459", "WBGene00008459")</f>
        <v>WBGene00008459</v>
      </c>
      <c r="B13004" s="9" t="str">
        <f>HYPERLINK("http://www.ncbi.nlm.nih.gov/gene/3565796", "3565796")</f>
        <v>3565796</v>
      </c>
      <c r="C13004" s="9"/>
      <c r="D13004" t="str">
        <f>"mrpl-53"</f>
        <v>mrpl-53</v>
      </c>
      <c r="E13004" t="s">
        <v>1844</v>
      </c>
      <c r="F13004" t="s">
        <v>11</v>
      </c>
      <c r="G13004" t="s">
        <v>6772</v>
      </c>
      <c r="H13004" s="12">
        <v>-1.0883083667290301</v>
      </c>
      <c r="I13004" s="20">
        <v>-0.31948794556309101</v>
      </c>
      <c r="J13004" s="28">
        <v>0.74935653086555898</v>
      </c>
      <c r="K13004" s="29">
        <v>0.98289565623980701</v>
      </c>
    </row>
    <row r="13005" spans="1:11" x14ac:dyDescent="0.35">
      <c r="A13005" s="9" t="str">
        <f>HYPERLINK("http://www.ensembl.org/id/WBGene00009128", "WBGene00009128")</f>
        <v>WBGene00009128</v>
      </c>
      <c r="B13005" s="9" t="str">
        <f>HYPERLINK("http://www.ncbi.nlm.nih.gov/gene/172741", "172741")</f>
        <v>172741</v>
      </c>
      <c r="C13005" s="9"/>
      <c r="D13005" t="str">
        <f>"mrpl-54"</f>
        <v>mrpl-54</v>
      </c>
      <c r="E13005" t="s">
        <v>1844</v>
      </c>
      <c r="F13005" t="s">
        <v>11</v>
      </c>
      <c r="G13005" t="s">
        <v>9721</v>
      </c>
      <c r="H13005" s="12">
        <v>-1.2863973439012899</v>
      </c>
      <c r="I13005" s="20">
        <v>-0.92106087528463498</v>
      </c>
      <c r="J13005" s="28">
        <v>0.35701864542726802</v>
      </c>
      <c r="K13005" s="29">
        <v>0.98289565623980701</v>
      </c>
    </row>
    <row r="13006" spans="1:11" x14ac:dyDescent="0.35">
      <c r="A13006" s="9" t="str">
        <f>HYPERLINK("http://www.ensembl.org/id/WBGene00022045", "WBGene00022045")</f>
        <v>WBGene00022045</v>
      </c>
      <c r="B13006" s="9" t="str">
        <f>HYPERLINK("http://www.ncbi.nlm.nih.gov/gene/176873", "176873")</f>
        <v>176873</v>
      </c>
      <c r="C13006" s="9"/>
      <c r="D13006" t="str">
        <f>"mrpl-55"</f>
        <v>mrpl-55</v>
      </c>
      <c r="E13006" t="s">
        <v>1844</v>
      </c>
      <c r="F13006" t="s">
        <v>11</v>
      </c>
      <c r="G13006" t="s">
        <v>6820</v>
      </c>
      <c r="H13006" s="12">
        <v>-1.0907738881426601</v>
      </c>
      <c r="I13006" s="20">
        <v>-0.36886013954557401</v>
      </c>
      <c r="J13006" s="28">
        <v>0.71223197553003903</v>
      </c>
      <c r="K13006" s="29">
        <v>0.98289565623980701</v>
      </c>
    </row>
    <row r="13007" spans="1:11" x14ac:dyDescent="0.35">
      <c r="A13007" s="9" t="str">
        <f>HYPERLINK("http://www.ensembl.org/id/WBGene00015025", "WBGene00015025")</f>
        <v>WBGene00015025</v>
      </c>
      <c r="B13007" s="9" t="str">
        <f>HYPERLINK("http://www.ncbi.nlm.nih.gov/gene/181833", "181833")</f>
        <v>181833</v>
      </c>
      <c r="C13007" s="9"/>
      <c r="D13007" t="str">
        <f>"mrpl-9"</f>
        <v>mrpl-9</v>
      </c>
      <c r="E13007" t="s">
        <v>1844</v>
      </c>
      <c r="F13007" t="s">
        <v>11</v>
      </c>
      <c r="G13007" t="s">
        <v>7517</v>
      </c>
      <c r="H13007" s="12">
        <v>-1.1303683754789899</v>
      </c>
      <c r="I13007" s="20">
        <v>-0.59772555692739404</v>
      </c>
      <c r="J13007" s="28">
        <v>0.55002306972267001</v>
      </c>
      <c r="K13007" s="29">
        <v>0.98289565623980701</v>
      </c>
    </row>
    <row r="13008" spans="1:11" x14ac:dyDescent="0.35">
      <c r="A13008" s="9" t="str">
        <f>HYPERLINK("http://www.ensembl.org/id/WBGene00045095", "WBGene00045095")</f>
        <v>WBGene00045095</v>
      </c>
      <c r="B13008" s="9"/>
      <c r="C13008" s="9"/>
      <c r="D13008" t="str">
        <f>"mrpr-1"</f>
        <v>mrpr-1</v>
      </c>
      <c r="F13008" t="s">
        <v>481</v>
      </c>
      <c r="H13008" s="12">
        <v>-3.2035722220826099</v>
      </c>
      <c r="I13008" s="20">
        <v>-0.52599423242316801</v>
      </c>
      <c r="J13008" s="28">
        <v>0.59889221429994999</v>
      </c>
      <c r="K13008" s="29">
        <v>0.98289565623980701</v>
      </c>
    </row>
    <row r="13009" spans="1:11" x14ac:dyDescent="0.35">
      <c r="A13009" s="9" t="str">
        <f>HYPERLINK("http://www.ensembl.org/id/WBGene00012556", "WBGene00012556")</f>
        <v>WBGene00012556</v>
      </c>
      <c r="B13009" s="9" t="str">
        <f>HYPERLINK("http://www.ncbi.nlm.nih.gov/gene/189618", "189618")</f>
        <v>189618</v>
      </c>
      <c r="C13009" s="9" t="str">
        <f>HYPERLINK("http://www.ncbi.nlm.nih.gov/gene/55173", "55173")</f>
        <v>55173</v>
      </c>
      <c r="D13009" t="str">
        <f>"mrps-10"</f>
        <v>mrps-10</v>
      </c>
      <c r="E13009" t="s">
        <v>8320</v>
      </c>
      <c r="F13009" t="s">
        <v>11</v>
      </c>
      <c r="G13009" t="s">
        <v>8321</v>
      </c>
      <c r="H13009" s="12">
        <v>-1.1712184946053199</v>
      </c>
      <c r="I13009" s="20">
        <v>-0.64151919690509995</v>
      </c>
      <c r="J13009" s="28">
        <v>0.52118541258615503</v>
      </c>
      <c r="K13009" s="29">
        <v>0.98289565623980701</v>
      </c>
    </row>
    <row r="13010" spans="1:11" x14ac:dyDescent="0.35">
      <c r="A13010" s="9" t="str">
        <f>HYPERLINK("http://www.ensembl.org/id/WBGene00011391", "WBGene00011391")</f>
        <v>WBGene00011391</v>
      </c>
      <c r="B13010" s="9" t="str">
        <f>HYPERLINK("http://www.ncbi.nlm.nih.gov/gene/180368", "180368")</f>
        <v>180368</v>
      </c>
      <c r="C13010" s="9" t="str">
        <f>HYPERLINK("http://www.ncbi.nlm.nih.gov/gene/6183", "6183")</f>
        <v>6183</v>
      </c>
      <c r="D13010" t="str">
        <f>"mrps-12"</f>
        <v>mrps-12</v>
      </c>
      <c r="E13010" t="s">
        <v>3053</v>
      </c>
      <c r="F13010" t="s">
        <v>11</v>
      </c>
      <c r="G13010" t="s">
        <v>5999</v>
      </c>
      <c r="H13010" s="12">
        <v>1.0737006933069499</v>
      </c>
      <c r="I13010" s="20">
        <v>0.307634691256092</v>
      </c>
      <c r="J13010" s="28">
        <v>0.75836031972869</v>
      </c>
      <c r="K13010" s="29">
        <v>0.98289565623980701</v>
      </c>
    </row>
    <row r="13011" spans="1:11" x14ac:dyDescent="0.35">
      <c r="A13011" s="9" t="str">
        <f>HYPERLINK("http://www.ensembl.org/id/WBGene00011334", "WBGene00011334")</f>
        <v>WBGene00011334</v>
      </c>
      <c r="B13011" s="9" t="str">
        <f>HYPERLINK("http://www.ncbi.nlm.nih.gov/gene/174588", "174588")</f>
        <v>174588</v>
      </c>
      <c r="C13011" s="9"/>
      <c r="D13011" t="str">
        <f>"mrps-14"</f>
        <v>mrps-14</v>
      </c>
      <c r="E13011" t="s">
        <v>9106</v>
      </c>
      <c r="F13011" t="s">
        <v>11</v>
      </c>
      <c r="G13011" t="s">
        <v>9107</v>
      </c>
      <c r="H13011" s="12">
        <v>-1.22127371985852</v>
      </c>
      <c r="I13011" s="20">
        <v>-0.95091883557908596</v>
      </c>
      <c r="J13011" s="28">
        <v>0.34164557938981299</v>
      </c>
      <c r="K13011" s="29">
        <v>0.98289565623980701</v>
      </c>
    </row>
    <row r="13012" spans="1:11" x14ac:dyDescent="0.35">
      <c r="A13012" s="9" t="str">
        <f>HYPERLINK("http://www.ensembl.org/id/WBGene00010624", "WBGene00010624")</f>
        <v>WBGene00010624</v>
      </c>
      <c r="B13012" s="9" t="str">
        <f>HYPERLINK("http://www.ncbi.nlm.nih.gov/gene/187087", "187087")</f>
        <v>187087</v>
      </c>
      <c r="C13012" s="9"/>
      <c r="D13012" t="str">
        <f>"mrps-15"</f>
        <v>mrps-15</v>
      </c>
      <c r="E13012" t="s">
        <v>8634</v>
      </c>
      <c r="F13012" t="s">
        <v>11</v>
      </c>
      <c r="G13012" t="s">
        <v>7716</v>
      </c>
      <c r="H13012" s="12">
        <v>-1.1879289617011699</v>
      </c>
      <c r="I13012" s="20">
        <v>-0.77995666929949203</v>
      </c>
      <c r="J13012" s="28">
        <v>0.43541638048867698</v>
      </c>
      <c r="K13012" s="29">
        <v>0.98289565623980701</v>
      </c>
    </row>
    <row r="13013" spans="1:11" x14ac:dyDescent="0.35">
      <c r="A13013" s="9" t="str">
        <f>HYPERLINK("http://www.ensembl.org/id/WBGene00018961", "WBGene00018961")</f>
        <v>WBGene00018961</v>
      </c>
      <c r="B13013" s="9" t="str">
        <f>HYPERLINK("http://www.ncbi.nlm.nih.gov/gene/3565469", "3565469")</f>
        <v>3565469</v>
      </c>
      <c r="C13013" s="9" t="str">
        <f>HYPERLINK("http://www.ncbi.nlm.nih.gov/gene/51021", "51021")</f>
        <v>51021</v>
      </c>
      <c r="D13013" t="str">
        <f>"mrps-16"</f>
        <v>mrps-16</v>
      </c>
      <c r="E13013" t="s">
        <v>9424</v>
      </c>
      <c r="F13013" t="s">
        <v>11</v>
      </c>
      <c r="G13013" t="s">
        <v>9425</v>
      </c>
      <c r="H13013" s="12">
        <v>-1.2451274200423901</v>
      </c>
      <c r="I13013" s="20">
        <v>-0.98329207584168299</v>
      </c>
      <c r="J13013" s="28">
        <v>0.32546370900960198</v>
      </c>
      <c r="K13013" s="29">
        <v>0.98289565623980701</v>
      </c>
    </row>
    <row r="13014" spans="1:11" x14ac:dyDescent="0.35">
      <c r="A13014" s="9" t="str">
        <f>HYPERLINK("http://www.ensembl.org/id/WBGene00015487", "WBGene00015487")</f>
        <v>WBGene00015487</v>
      </c>
      <c r="B13014" s="9" t="str">
        <f>HYPERLINK("http://www.ncbi.nlm.nih.gov/gene/175912", "175912")</f>
        <v>175912</v>
      </c>
      <c r="C13014" s="9"/>
      <c r="D13014" t="str">
        <f>"mrps-17"</f>
        <v>mrps-17</v>
      </c>
      <c r="E13014" t="s">
        <v>8084</v>
      </c>
      <c r="F13014" t="s">
        <v>11</v>
      </c>
      <c r="G13014" t="s">
        <v>8085</v>
      </c>
      <c r="H13014" s="12">
        <v>-1.1601978162706299</v>
      </c>
      <c r="I13014" s="20">
        <v>-0.64212161272159995</v>
      </c>
      <c r="J13014" s="28">
        <v>0.52079422396355801</v>
      </c>
      <c r="K13014" s="29">
        <v>0.98289565623980701</v>
      </c>
    </row>
    <row r="13015" spans="1:11" x14ac:dyDescent="0.35">
      <c r="A13015" s="9" t="str">
        <f>HYPERLINK("http://www.ensembl.org/id/WBGene00020499", "WBGene00020499")</f>
        <v>WBGene00020499</v>
      </c>
      <c r="B13015" s="9" t="str">
        <f>HYPERLINK("http://www.ncbi.nlm.nih.gov/gene/188492", "188492")</f>
        <v>188492</v>
      </c>
      <c r="C13015" s="9" t="str">
        <f>HYPERLINK("http://www.ncbi.nlm.nih.gov/gene/51023", "51023")</f>
        <v>51023</v>
      </c>
      <c r="D13015" t="str">
        <f>"mrps-18.C"</f>
        <v>mrps-18.C</v>
      </c>
      <c r="E13015" t="s">
        <v>3053</v>
      </c>
      <c r="F13015" t="s">
        <v>11</v>
      </c>
      <c r="G13015" t="s">
        <v>9903</v>
      </c>
      <c r="H13015" s="12">
        <v>-1.3603294592255</v>
      </c>
      <c r="I13015" s="20">
        <v>-1.19719520121912</v>
      </c>
      <c r="J13015" s="28">
        <v>0.23123047986037501</v>
      </c>
      <c r="K13015" s="29">
        <v>0.98289565623980701</v>
      </c>
    </row>
    <row r="13016" spans="1:11" x14ac:dyDescent="0.35">
      <c r="A13016" s="9" t="str">
        <f>HYPERLINK("http://www.ensembl.org/id/WBGene00022583", "WBGene00022583")</f>
        <v>WBGene00022583</v>
      </c>
      <c r="B13016" s="9" t="str">
        <f>HYPERLINK("http://www.ncbi.nlm.nih.gov/gene/176176", "176176")</f>
        <v>176176</v>
      </c>
      <c r="C13016" s="9"/>
      <c r="D13016" t="str">
        <f>"mrps-18A"</f>
        <v>mrps-18A</v>
      </c>
      <c r="E13016" t="s">
        <v>3053</v>
      </c>
      <c r="F13016" t="s">
        <v>11</v>
      </c>
      <c r="G13016" t="s">
        <v>9051</v>
      </c>
      <c r="H13016" s="12">
        <v>-1.21699161498634</v>
      </c>
      <c r="I13016" s="20">
        <v>-0.91491472668825002</v>
      </c>
      <c r="J13016" s="28">
        <v>0.360236398265325</v>
      </c>
      <c r="K13016" s="29">
        <v>0.98289565623980701</v>
      </c>
    </row>
    <row r="13017" spans="1:11" x14ac:dyDescent="0.35">
      <c r="A13017" s="9" t="str">
        <f>HYPERLINK("http://www.ensembl.org/id/WBGene00011759", "WBGene00011759")</f>
        <v>WBGene00011759</v>
      </c>
      <c r="B13017" s="9" t="str">
        <f>HYPERLINK("http://www.ncbi.nlm.nih.gov/gene/188488", "188488")</f>
        <v>188488</v>
      </c>
      <c r="C13017" s="9"/>
      <c r="D13017" t="str">
        <f>"mrps-18B"</f>
        <v>mrps-18B</v>
      </c>
      <c r="E13017" t="s">
        <v>3053</v>
      </c>
      <c r="F13017" t="s">
        <v>11</v>
      </c>
      <c r="G13017" t="s">
        <v>9182</v>
      </c>
      <c r="H13017" s="12">
        <v>-1.22681577277718</v>
      </c>
      <c r="I13017" s="20">
        <v>-0.92777109856940199</v>
      </c>
      <c r="J13017" s="28">
        <v>0.35352631889293001</v>
      </c>
      <c r="K13017" s="29">
        <v>0.98289565623980701</v>
      </c>
    </row>
    <row r="13018" spans="1:11" x14ac:dyDescent="0.35">
      <c r="A13018" s="9" t="str">
        <f>HYPERLINK("http://www.ensembl.org/id/WBGene00020718", "WBGene00020718")</f>
        <v>WBGene00020718</v>
      </c>
      <c r="B13018" s="9" t="str">
        <f>HYPERLINK("http://www.ncbi.nlm.nih.gov/gene/179229", "179229")</f>
        <v>179229</v>
      </c>
      <c r="C13018" s="9" t="str">
        <f>HYPERLINK("http://www.ncbi.nlm.nih.gov/gene/51116", "51116")</f>
        <v>51116</v>
      </c>
      <c r="D13018" t="str">
        <f>"mrps-2"</f>
        <v>mrps-2</v>
      </c>
      <c r="E13018" t="s">
        <v>3053</v>
      </c>
      <c r="F13018" t="s">
        <v>11</v>
      </c>
      <c r="G13018" t="s">
        <v>9171</v>
      </c>
      <c r="H13018" s="12">
        <v>-1.2259422000637501</v>
      </c>
      <c r="I13018" s="20">
        <v>-0.935425634774116</v>
      </c>
      <c r="J13018" s="28">
        <v>0.34956899106549999</v>
      </c>
      <c r="K13018" s="29">
        <v>0.98289565623980701</v>
      </c>
    </row>
    <row r="13019" spans="1:11" x14ac:dyDescent="0.35">
      <c r="A13019" s="9" t="str">
        <f>HYPERLINK("http://www.ensembl.org/id/WBGene00017924", "WBGene00017924")</f>
        <v>WBGene00017924</v>
      </c>
      <c r="B13019" s="9" t="str">
        <f>HYPERLINK("http://www.ncbi.nlm.nih.gov/gene/185109", "185109")</f>
        <v>185109</v>
      </c>
      <c r="C13019" s="9"/>
      <c r="D13019" t="str">
        <f>"mrps-21"</f>
        <v>mrps-21</v>
      </c>
      <c r="E13019" t="s">
        <v>3053</v>
      </c>
      <c r="F13019" t="s">
        <v>11</v>
      </c>
      <c r="G13019" t="s">
        <v>9246</v>
      </c>
      <c r="H13019" s="12">
        <v>-1.2303969766709699</v>
      </c>
      <c r="I13019" s="20">
        <v>-0.76875489279671205</v>
      </c>
      <c r="J13019" s="28">
        <v>0.44203883119181397</v>
      </c>
      <c r="K13019" s="29">
        <v>0.98289565623980701</v>
      </c>
    </row>
    <row r="13020" spans="1:11" x14ac:dyDescent="0.35">
      <c r="A13020" s="9" t="str">
        <f>HYPERLINK("http://www.ensembl.org/id/WBGene00007564", "WBGene00007564")</f>
        <v>WBGene00007564</v>
      </c>
      <c r="B13020" s="9" t="str">
        <f>HYPERLINK("http://www.ncbi.nlm.nih.gov/gene/174632", "174632")</f>
        <v>174632</v>
      </c>
      <c r="C13020" s="9" t="str">
        <f>HYPERLINK("http://www.ncbi.nlm.nih.gov/gene/56945", "56945")</f>
        <v>56945</v>
      </c>
      <c r="D13020" t="str">
        <f>"mrps-22"</f>
        <v>mrps-22</v>
      </c>
      <c r="E13020" t="s">
        <v>3053</v>
      </c>
      <c r="F13020" t="s">
        <v>11</v>
      </c>
      <c r="G13020" t="s">
        <v>7639</v>
      </c>
      <c r="H13020" s="12">
        <v>-1.1370773115686901</v>
      </c>
      <c r="I13020" s="20">
        <v>-0.576183379967659</v>
      </c>
      <c r="J13020" s="28">
        <v>0.56449123780325605</v>
      </c>
      <c r="K13020" s="29">
        <v>0.98289565623980701</v>
      </c>
    </row>
    <row r="13021" spans="1:11" x14ac:dyDescent="0.35">
      <c r="A13021" s="9" t="str">
        <f>HYPERLINK("http://www.ensembl.org/id/WBGene00023487", "WBGene00023487")</f>
        <v>WBGene00023487</v>
      </c>
      <c r="B13021" s="9" t="str">
        <f>HYPERLINK("http://www.ncbi.nlm.nih.gov/gene/259579", "259579")</f>
        <v>259579</v>
      </c>
      <c r="C13021" s="9" t="str">
        <f>HYPERLINK("http://www.ncbi.nlm.nih.gov/gene/64951", "64951")</f>
        <v>64951</v>
      </c>
      <c r="D13021" t="str">
        <f>"mrps-24"</f>
        <v>mrps-24</v>
      </c>
      <c r="E13021" t="s">
        <v>7715</v>
      </c>
      <c r="F13021" t="s">
        <v>11</v>
      </c>
      <c r="G13021" t="s">
        <v>7716</v>
      </c>
      <c r="H13021" s="12">
        <v>-1.14108653098084</v>
      </c>
      <c r="I13021" s="20">
        <v>-0.55719568798700303</v>
      </c>
      <c r="J13021" s="28">
        <v>0.57739373552138296</v>
      </c>
      <c r="K13021" s="29">
        <v>0.98289565623980701</v>
      </c>
    </row>
    <row r="13022" spans="1:11" x14ac:dyDescent="0.35">
      <c r="A13022" s="9" t="str">
        <f>HYPERLINK("http://www.ensembl.org/id/WBGene00021920", "WBGene00021920")</f>
        <v>WBGene00021920</v>
      </c>
      <c r="B13022" s="9" t="str">
        <f>HYPERLINK("http://www.ncbi.nlm.nih.gov/gene/176926", "176926")</f>
        <v>176926</v>
      </c>
      <c r="C13022" s="9" t="str">
        <f>HYPERLINK("http://www.ncbi.nlm.nih.gov/gene/64432", "64432")</f>
        <v>64432</v>
      </c>
      <c r="D13022" t="str">
        <f>"mrps-25"</f>
        <v>mrps-25</v>
      </c>
      <c r="E13022" t="s">
        <v>7689</v>
      </c>
      <c r="F13022" t="s">
        <v>11</v>
      </c>
      <c r="G13022" t="s">
        <v>7328</v>
      </c>
      <c r="H13022" s="12">
        <v>-1.13937901255454</v>
      </c>
      <c r="I13022" s="20">
        <v>-0.593127461346593</v>
      </c>
      <c r="J13022" s="28">
        <v>0.55309585353027402</v>
      </c>
      <c r="K13022" s="29">
        <v>0.98289565623980701</v>
      </c>
    </row>
    <row r="13023" spans="1:11" x14ac:dyDescent="0.35">
      <c r="A13023" s="9" t="str">
        <f>HYPERLINK("http://www.ensembl.org/id/WBGene00016412", "WBGene00016412")</f>
        <v>WBGene00016412</v>
      </c>
      <c r="B13023" s="9" t="str">
        <f>HYPERLINK("http://www.ncbi.nlm.nih.gov/gene/175718", "175718")</f>
        <v>175718</v>
      </c>
      <c r="C13023" s="9"/>
      <c r="D13023" t="str">
        <f>"mrps-26"</f>
        <v>mrps-26</v>
      </c>
      <c r="E13023" t="s">
        <v>3053</v>
      </c>
      <c r="F13023" t="s">
        <v>11</v>
      </c>
      <c r="G13023" t="s">
        <v>8321</v>
      </c>
      <c r="H13023" s="12">
        <v>-1.27479493457699</v>
      </c>
      <c r="I13023" s="20">
        <v>-1.12210066979892</v>
      </c>
      <c r="J13023" s="28">
        <v>0.26181963913643103</v>
      </c>
      <c r="K13023" s="29">
        <v>0.98289565623980701</v>
      </c>
    </row>
    <row r="13024" spans="1:11" x14ac:dyDescent="0.35">
      <c r="A13024" s="9" t="str">
        <f>HYPERLINK("http://www.ensembl.org/id/WBGene00012830", "WBGene00012830")</f>
        <v>WBGene00012830</v>
      </c>
      <c r="B13024" s="9" t="str">
        <f>HYPERLINK("http://www.ncbi.nlm.nih.gov/gene/180287", "180287")</f>
        <v>180287</v>
      </c>
      <c r="C13024" s="9"/>
      <c r="D13024" t="str">
        <f>"mrps-28"</f>
        <v>mrps-28</v>
      </c>
      <c r="E13024" t="s">
        <v>3053</v>
      </c>
      <c r="F13024" t="s">
        <v>11</v>
      </c>
      <c r="G13024" t="s">
        <v>9486</v>
      </c>
      <c r="H13024" s="12">
        <v>-1.2504338658312499</v>
      </c>
      <c r="I13024" s="20">
        <v>-0.91185155798679896</v>
      </c>
      <c r="J13024" s="28">
        <v>0.36184686511183101</v>
      </c>
      <c r="K13024" s="29">
        <v>0.98289565623980701</v>
      </c>
    </row>
    <row r="13025" spans="1:11" x14ac:dyDescent="0.35">
      <c r="A13025" s="9" t="str">
        <f>HYPERLINK("http://www.ensembl.org/id/WBGene00044321", "WBGene00044321")</f>
        <v>WBGene00044321</v>
      </c>
      <c r="B13025" s="9" t="str">
        <f>HYPERLINK("http://www.ncbi.nlm.nih.gov/gene/172957", "172957")</f>
        <v>172957</v>
      </c>
      <c r="C13025" s="9"/>
      <c r="D13025" t="str">
        <f>"mrps-30"</f>
        <v>mrps-30</v>
      </c>
      <c r="E13025" t="s">
        <v>3053</v>
      </c>
      <c r="F13025" t="s">
        <v>11</v>
      </c>
      <c r="G13025" t="s">
        <v>2882</v>
      </c>
      <c r="H13025" s="12">
        <v>-1.2579021538075199</v>
      </c>
      <c r="I13025" s="20">
        <v>-1.1098946877397999</v>
      </c>
      <c r="J13025" s="28">
        <v>0.267044409909931</v>
      </c>
      <c r="K13025" s="29">
        <v>0.98289565623980701</v>
      </c>
    </row>
    <row r="13026" spans="1:11" x14ac:dyDescent="0.35">
      <c r="A13026" s="9" t="str">
        <f>HYPERLINK("http://www.ensembl.org/id/WBGene00007859", "WBGene00007859")</f>
        <v>WBGene00007859</v>
      </c>
      <c r="B13026" s="9" t="str">
        <f>HYPERLINK("http://www.ncbi.nlm.nih.gov/gene/183104", "183104")</f>
        <v>183104</v>
      </c>
      <c r="C13026" s="9"/>
      <c r="D13026" t="str">
        <f>"mrps-31"</f>
        <v>mrps-31</v>
      </c>
      <c r="E13026" t="s">
        <v>7327</v>
      </c>
      <c r="F13026" t="s">
        <v>11</v>
      </c>
      <c r="G13026" t="s">
        <v>7328</v>
      </c>
      <c r="H13026" s="12">
        <v>-1.1194321928489099</v>
      </c>
      <c r="I13026" s="20">
        <v>-0.40805379005613301</v>
      </c>
      <c r="J13026" s="28">
        <v>0.68323418463283103</v>
      </c>
      <c r="K13026" s="29">
        <v>0.98289565623980701</v>
      </c>
    </row>
    <row r="13027" spans="1:11" x14ac:dyDescent="0.35">
      <c r="A13027" s="9" t="str">
        <f>HYPERLINK("http://www.ensembl.org/id/WBGene00009013", "WBGene00009013")</f>
        <v>WBGene00009013</v>
      </c>
      <c r="B13027" s="9" t="str">
        <f>HYPERLINK("http://www.ncbi.nlm.nih.gov/gene/184770", "184770")</f>
        <v>184770</v>
      </c>
      <c r="C13027" s="9"/>
      <c r="D13027" t="str">
        <f>"mrps-33"</f>
        <v>mrps-33</v>
      </c>
      <c r="E13027" t="s">
        <v>3053</v>
      </c>
      <c r="F13027" t="s">
        <v>11</v>
      </c>
      <c r="G13027" t="s">
        <v>2759</v>
      </c>
      <c r="H13027" s="12">
        <v>-1.22446068264584</v>
      </c>
      <c r="I13027" s="20">
        <v>-0.86393078704367399</v>
      </c>
      <c r="J13027" s="28">
        <v>0.387625913073394</v>
      </c>
      <c r="K13027" s="29">
        <v>0.98289565623980701</v>
      </c>
    </row>
    <row r="13028" spans="1:11" x14ac:dyDescent="0.35">
      <c r="A13028" s="9" t="str">
        <f>HYPERLINK("http://www.ensembl.org/id/WBGene00012697", "WBGene00012697")</f>
        <v>WBGene00012697</v>
      </c>
      <c r="B13028" s="9" t="str">
        <f>HYPERLINK("http://www.ncbi.nlm.nih.gov/gene/180240", "180240")</f>
        <v>180240</v>
      </c>
      <c r="C13028" s="9" t="str">
        <f>HYPERLINK("http://www.ncbi.nlm.nih.gov/gene/60488", "60488")</f>
        <v>60488</v>
      </c>
      <c r="D13028" t="str">
        <f>"mrps-35"</f>
        <v>mrps-35</v>
      </c>
      <c r="E13028" t="s">
        <v>3053</v>
      </c>
      <c r="F13028" t="s">
        <v>11</v>
      </c>
      <c r="G13028" t="s">
        <v>8783</v>
      </c>
      <c r="H13028" s="12">
        <v>-1.19602536936614</v>
      </c>
      <c r="I13028" s="20">
        <v>-0.81855584078763599</v>
      </c>
      <c r="J13028" s="28">
        <v>0.41303987030954598</v>
      </c>
      <c r="K13028" s="29">
        <v>0.98289565623980701</v>
      </c>
    </row>
    <row r="13029" spans="1:11" x14ac:dyDescent="0.35">
      <c r="A13029" s="9" t="str">
        <f>HYPERLINK("http://www.ensembl.org/id/WBGene00008452", "WBGene00008452")</f>
        <v>WBGene00008452</v>
      </c>
      <c r="B13029" s="9" t="str">
        <f>HYPERLINK("http://www.ncbi.nlm.nih.gov/gene/179721", "179721")</f>
        <v>179721</v>
      </c>
      <c r="C13029" s="9" t="str">
        <f>HYPERLINK("http://www.ncbi.nlm.nih.gov/gene/64969", "64969")</f>
        <v>64969</v>
      </c>
      <c r="D13029" t="str">
        <f>"mrps-5"</f>
        <v>mrps-5</v>
      </c>
      <c r="E13029" t="s">
        <v>7470</v>
      </c>
      <c r="F13029" t="s">
        <v>11</v>
      </c>
      <c r="G13029" t="s">
        <v>7471</v>
      </c>
      <c r="H13029" s="12">
        <v>-1.1278629937972999</v>
      </c>
      <c r="I13029" s="20">
        <v>-0.62408566499548201</v>
      </c>
      <c r="J13029" s="28">
        <v>0.53257132763359105</v>
      </c>
      <c r="K13029" s="29">
        <v>0.98289565623980701</v>
      </c>
    </row>
    <row r="13030" spans="1:11" x14ac:dyDescent="0.35">
      <c r="A13030" s="9" t="str">
        <f>HYPERLINK("http://www.ensembl.org/id/WBGene00020037", "WBGene00020037")</f>
        <v>WBGene00020037</v>
      </c>
      <c r="B13030" s="9" t="str">
        <f>HYPERLINK("http://www.ncbi.nlm.nih.gov/gene/187843", "187843")</f>
        <v>187843</v>
      </c>
      <c r="C13030" s="9"/>
      <c r="D13030" t="str">
        <f>"mrps-6"</f>
        <v>mrps-6</v>
      </c>
      <c r="E13030" t="s">
        <v>3053</v>
      </c>
      <c r="F13030" t="s">
        <v>11</v>
      </c>
      <c r="G13030" t="s">
        <v>6394</v>
      </c>
      <c r="H13030" s="12">
        <v>-1.06690275600383</v>
      </c>
      <c r="I13030" s="20">
        <v>-0.30474860639642098</v>
      </c>
      <c r="J13030" s="28">
        <v>0.76055762675968797</v>
      </c>
      <c r="K13030" s="29">
        <v>0.98289565623980701</v>
      </c>
    </row>
    <row r="13031" spans="1:11" x14ac:dyDescent="0.35">
      <c r="A13031" s="9" t="str">
        <f>HYPERLINK("http://www.ensembl.org/id/WBGene00013324", "WBGene00013324")</f>
        <v>WBGene00013324</v>
      </c>
      <c r="B13031" s="9" t="str">
        <f>HYPERLINK("http://www.ncbi.nlm.nih.gov/gene/190379", "190379")</f>
        <v>190379</v>
      </c>
      <c r="C13031" s="9" t="str">
        <f>HYPERLINK("http://www.ncbi.nlm.nih.gov/gene/51081", "51081")</f>
        <v>51081</v>
      </c>
      <c r="D13031" t="str">
        <f>"mrps-7"</f>
        <v>mrps-7</v>
      </c>
      <c r="E13031" t="s">
        <v>9409</v>
      </c>
      <c r="F13031" t="s">
        <v>11</v>
      </c>
      <c r="G13031" t="s">
        <v>9410</v>
      </c>
      <c r="H13031" s="12">
        <v>-1.2445828490950801</v>
      </c>
      <c r="I13031" s="20">
        <v>-0.90802144121727202</v>
      </c>
      <c r="J13031" s="28">
        <v>0.36386689360413199</v>
      </c>
      <c r="K13031" s="29">
        <v>0.98289565623980701</v>
      </c>
    </row>
    <row r="13032" spans="1:11" x14ac:dyDescent="0.35">
      <c r="A13032" s="9" t="str">
        <f>HYPERLINK("http://www.ensembl.org/id/WBGene00017319", "WBGene00017319")</f>
        <v>WBGene00017319</v>
      </c>
      <c r="B13032" s="9" t="str">
        <f>HYPERLINK("http://www.ncbi.nlm.nih.gov/gene/184267", "184267")</f>
        <v>184267</v>
      </c>
      <c r="C13032" s="9" t="str">
        <f>HYPERLINK("http://www.ncbi.nlm.nih.gov/gene/64965", "64965")</f>
        <v>64965</v>
      </c>
      <c r="D13032" t="str">
        <f>"mrps-9"</f>
        <v>mrps-9</v>
      </c>
      <c r="E13032" t="s">
        <v>8572</v>
      </c>
      <c r="F13032" t="s">
        <v>11</v>
      </c>
      <c r="G13032" t="s">
        <v>8573</v>
      </c>
      <c r="H13032" s="12">
        <v>-1.184302160708</v>
      </c>
      <c r="I13032" s="20">
        <v>-0.77002650160637198</v>
      </c>
      <c r="J13032" s="28">
        <v>0.44128417237079998</v>
      </c>
      <c r="K13032" s="29">
        <v>0.98289565623980701</v>
      </c>
    </row>
    <row r="13033" spans="1:11" x14ac:dyDescent="0.35">
      <c r="A13033" s="9" t="str">
        <f>HYPERLINK("http://www.ensembl.org/id/WBGene00020625", "WBGene00020625")</f>
        <v>WBGene00020625</v>
      </c>
      <c r="B13033" s="9" t="str">
        <f>HYPERLINK("http://www.ncbi.nlm.nih.gov/gene/171976", "171976")</f>
        <v>171976</v>
      </c>
      <c r="C13033" s="9"/>
      <c r="D13033" t="str">
        <f>"mrrf-1"</f>
        <v>mrrf-1</v>
      </c>
      <c r="E13033" t="s">
        <v>9133</v>
      </c>
      <c r="F13033" t="s">
        <v>11</v>
      </c>
      <c r="G13033" t="s">
        <v>9134</v>
      </c>
      <c r="H13033" s="12">
        <v>-1.22304168644254</v>
      </c>
      <c r="I13033" s="20">
        <v>-0.79133872815349704</v>
      </c>
      <c r="J13033" s="28">
        <v>0.428746354482194</v>
      </c>
      <c r="K13033" s="29">
        <v>0.98289565623980701</v>
      </c>
    </row>
    <row r="13034" spans="1:11" x14ac:dyDescent="0.35">
      <c r="A13034" s="9" t="str">
        <f>HYPERLINK("http://www.ensembl.org/id/WBGene00003417", "WBGene00003417")</f>
        <v>WBGene00003417</v>
      </c>
      <c r="B13034" s="9" t="str">
        <f>HYPERLINK("http://www.ncbi.nlm.nih.gov/gene/176608", "176608")</f>
        <v>176608</v>
      </c>
      <c r="C13034" s="9" t="str">
        <f>HYPERLINK("http://www.ncbi.nlm.nih.gov/gene/5810", "5810")</f>
        <v>5810</v>
      </c>
      <c r="D13034" t="str">
        <f>"mrt-2"</f>
        <v>mrt-2</v>
      </c>
      <c r="E13034" t="s">
        <v>7173</v>
      </c>
      <c r="F13034" t="s">
        <v>11</v>
      </c>
      <c r="G13034" t="s">
        <v>7174</v>
      </c>
      <c r="H13034" s="12">
        <v>-1.1114028300896699</v>
      </c>
      <c r="I13034" s="20">
        <v>-0.40548293457780099</v>
      </c>
      <c r="J13034" s="28">
        <v>0.68512256003094696</v>
      </c>
      <c r="K13034" s="29">
        <v>0.98289565623980701</v>
      </c>
    </row>
    <row r="13035" spans="1:11" x14ac:dyDescent="0.35">
      <c r="A13035" s="9" t="str">
        <f>HYPERLINK("http://www.ensembl.org/id/WBGene00016447", "WBGene00016447")</f>
        <v>WBGene00016447</v>
      </c>
      <c r="B13035" s="9" t="str">
        <f>HYPERLINK("http://www.ncbi.nlm.nih.gov/gene/175648", "175648")</f>
        <v>175648</v>
      </c>
      <c r="C13035" s="9"/>
      <c r="D13035" t="str">
        <f>"msd-4"</f>
        <v>msd-4</v>
      </c>
      <c r="E13035" t="s">
        <v>9793</v>
      </c>
      <c r="F13035" t="s">
        <v>11</v>
      </c>
      <c r="G13035" t="s">
        <v>9794</v>
      </c>
      <c r="H13035" s="12">
        <v>-1.30303745568027</v>
      </c>
      <c r="I13035" s="20">
        <v>-0.65947643592262095</v>
      </c>
      <c r="J13035" s="28">
        <v>0.50958987290706004</v>
      </c>
      <c r="K13035" s="29">
        <v>0.98289565623980701</v>
      </c>
    </row>
    <row r="13036" spans="1:11" x14ac:dyDescent="0.35">
      <c r="A13036" s="9" t="str">
        <f>HYPERLINK("http://www.ensembl.org/id/WBGene00003420", "WBGene00003420")</f>
        <v>WBGene00003420</v>
      </c>
      <c r="B13036" s="9"/>
      <c r="C13036" s="9"/>
      <c r="D13036" t="str">
        <f>"msh-4"</f>
        <v>msh-4</v>
      </c>
      <c r="F13036" t="s">
        <v>80</v>
      </c>
      <c r="H13036" s="12">
        <v>1.2015922765792899</v>
      </c>
      <c r="I13036" s="20">
        <v>0.28248536810879998</v>
      </c>
      <c r="J13036" s="28">
        <v>0.77757136448283504</v>
      </c>
      <c r="K13036" s="29">
        <v>0.98289565623980701</v>
      </c>
    </row>
    <row r="13037" spans="1:11" x14ac:dyDescent="0.35">
      <c r="A13037" s="9" t="str">
        <f>HYPERLINK("http://www.ensembl.org/id/WBGene00003423", "WBGene00003423")</f>
        <v>WBGene00003423</v>
      </c>
      <c r="B13037" s="9" t="str">
        <f>HYPERLINK("http://www.ncbi.nlm.nih.gov/gene/175514", "175514")</f>
        <v>175514</v>
      </c>
      <c r="C13037" s="9"/>
      <c r="D13037" t="str">
        <f>"msi-1"</f>
        <v>msi-1</v>
      </c>
      <c r="E13037" t="s">
        <v>6140</v>
      </c>
      <c r="F13037" t="s">
        <v>11</v>
      </c>
      <c r="G13037" t="s">
        <v>6141</v>
      </c>
      <c r="H13037" s="12">
        <v>1.05168158774516</v>
      </c>
      <c r="I13037" s="20">
        <v>0.26822768414124798</v>
      </c>
      <c r="J13037" s="28">
        <v>0.78852406664329</v>
      </c>
      <c r="K13037" s="29">
        <v>0.98289565623980701</v>
      </c>
    </row>
    <row r="13038" spans="1:11" x14ac:dyDescent="0.35">
      <c r="A13038" s="9" t="str">
        <f>HYPERLINK("http://www.ensembl.org/id/WBGene00003468", "WBGene00003468")</f>
        <v>WBGene00003468</v>
      </c>
      <c r="B13038" s="9" t="str">
        <f>HYPERLINK("http://www.ncbi.nlm.nih.gov/gene/259801", "259801")</f>
        <v>259801</v>
      </c>
      <c r="C13038" s="9"/>
      <c r="D13038" t="str">
        <f>"msp-113"</f>
        <v>msp-113</v>
      </c>
      <c r="E13038" t="s">
        <v>3447</v>
      </c>
      <c r="F13038" t="s">
        <v>11</v>
      </c>
      <c r="H13038" s="12">
        <v>-2.5516199772643602</v>
      </c>
      <c r="I13038" s="20">
        <v>-1.0624408369740901</v>
      </c>
      <c r="J13038" s="28">
        <v>0.28803560311542697</v>
      </c>
      <c r="K13038" s="29">
        <v>0.98289565623980701</v>
      </c>
    </row>
    <row r="13039" spans="1:11" x14ac:dyDescent="0.35">
      <c r="A13039" s="9" t="str">
        <f>HYPERLINK("http://www.ensembl.org/id/WBGene00003424", "WBGene00003424")</f>
        <v>WBGene00003424</v>
      </c>
      <c r="B13039" s="9" t="str">
        <f>HYPERLINK("http://www.ncbi.nlm.nih.gov/gene/173825", "173825")</f>
        <v>173825</v>
      </c>
      <c r="C13039" s="9"/>
      <c r="D13039" t="str">
        <f>"msp-3"</f>
        <v>msp-3</v>
      </c>
      <c r="E13039" t="s">
        <v>5370</v>
      </c>
      <c r="F13039" t="s">
        <v>11</v>
      </c>
      <c r="H13039" s="12">
        <v>1.1817297772712401</v>
      </c>
      <c r="I13039" s="20">
        <v>0.28322707575061101</v>
      </c>
      <c r="J13039" s="28">
        <v>0.77700277428672304</v>
      </c>
      <c r="K13039" s="29">
        <v>0.98289565623980701</v>
      </c>
    </row>
    <row r="13040" spans="1:11" x14ac:dyDescent="0.35">
      <c r="A13040" s="9" t="str">
        <f>HYPERLINK("http://www.ensembl.org/id/WBGene00003431", "WBGene00003431")</f>
        <v>WBGene00003431</v>
      </c>
      <c r="B13040" s="9" t="str">
        <f>HYPERLINK("http://www.ncbi.nlm.nih.gov/gene/173844", "173844")</f>
        <v>173844</v>
      </c>
      <c r="C13040" s="9"/>
      <c r="D13040" t="str">
        <f>"msp-33"</f>
        <v>msp-33</v>
      </c>
      <c r="E13040" t="s">
        <v>9873</v>
      </c>
      <c r="F13040" t="s">
        <v>11</v>
      </c>
      <c r="H13040" s="12">
        <v>-1.34179408695858</v>
      </c>
      <c r="I13040" s="20">
        <v>-0.609938539465535</v>
      </c>
      <c r="J13040" s="28">
        <v>0.54190252159171903</v>
      </c>
      <c r="K13040" s="29">
        <v>0.98289565623980701</v>
      </c>
    </row>
    <row r="13041" spans="1:11" x14ac:dyDescent="0.35">
      <c r="A13041" s="9" t="str">
        <f>HYPERLINK("http://www.ensembl.org/id/WBGene00003432", "WBGene00003432")</f>
        <v>WBGene00003432</v>
      </c>
      <c r="B13041" s="9" t="str">
        <f>HYPERLINK("http://www.ncbi.nlm.nih.gov/gene/177874", "177874")</f>
        <v>177874</v>
      </c>
      <c r="C13041" s="9"/>
      <c r="D13041" t="str">
        <f>"msp-36"</f>
        <v>msp-36</v>
      </c>
      <c r="E13041" t="s">
        <v>9901</v>
      </c>
      <c r="F13041" t="s">
        <v>11</v>
      </c>
      <c r="H13041" s="12">
        <v>-1.3585723343490601</v>
      </c>
      <c r="I13041" s="20">
        <v>-0.82028273450211997</v>
      </c>
      <c r="J13041" s="28">
        <v>0.41205494663060299</v>
      </c>
      <c r="K13041" s="29">
        <v>0.98289565623980701</v>
      </c>
    </row>
    <row r="13042" spans="1:11" x14ac:dyDescent="0.35">
      <c r="A13042" s="9" t="str">
        <f>HYPERLINK("http://www.ensembl.org/id/WBGene00003434", "WBGene00003434")</f>
        <v>WBGene00003434</v>
      </c>
      <c r="B13042" s="9" t="str">
        <f>HYPERLINK("http://www.ncbi.nlm.nih.gov/gene/177887", "177887")</f>
        <v>177887</v>
      </c>
      <c r="C13042" s="9"/>
      <c r="D13042" t="str">
        <f>"msp-38"</f>
        <v>msp-38</v>
      </c>
      <c r="E13042" t="s">
        <v>4933</v>
      </c>
      <c r="F13042" t="s">
        <v>11</v>
      </c>
      <c r="H13042" s="12">
        <v>1.29278820233244</v>
      </c>
      <c r="I13042" s="20">
        <v>0.425961300357872</v>
      </c>
      <c r="J13042" s="28">
        <v>0.67013604565042295</v>
      </c>
      <c r="K13042" s="29">
        <v>0.98289565623980701</v>
      </c>
    </row>
    <row r="13043" spans="1:11" x14ac:dyDescent="0.35">
      <c r="A13043" s="9" t="str">
        <f>HYPERLINK("http://www.ensembl.org/id/WBGene00003435", "WBGene00003435")</f>
        <v>WBGene00003435</v>
      </c>
      <c r="B13043" s="9" t="str">
        <f>HYPERLINK("http://www.ncbi.nlm.nih.gov/gene/173830", "173830")</f>
        <v>173830</v>
      </c>
      <c r="C13043" s="9"/>
      <c r="D13043" t="str">
        <f>"msp-40"</f>
        <v>msp-40</v>
      </c>
      <c r="E13043" t="s">
        <v>3447</v>
      </c>
      <c r="F13043" t="s">
        <v>11</v>
      </c>
      <c r="H13043" s="12">
        <v>1.2901220980949</v>
      </c>
      <c r="I13043" s="20">
        <v>0.56212058665090003</v>
      </c>
      <c r="J13043" s="28">
        <v>0.57403386298885895</v>
      </c>
      <c r="K13043" s="29">
        <v>0.98289565623980701</v>
      </c>
    </row>
    <row r="13044" spans="1:11" x14ac:dyDescent="0.35">
      <c r="A13044" s="9" t="str">
        <f>HYPERLINK("http://www.ensembl.org/id/WBGene00003437", "WBGene00003437")</f>
        <v>WBGene00003437</v>
      </c>
      <c r="B13044" s="9"/>
      <c r="C13044" s="9"/>
      <c r="D13044" t="str">
        <f>"msp-42"</f>
        <v>msp-42</v>
      </c>
      <c r="F13044" t="s">
        <v>80</v>
      </c>
      <c r="H13044" s="12">
        <v>10.5012433709758</v>
      </c>
      <c r="I13044" s="20">
        <v>1.01669485237427</v>
      </c>
      <c r="J13044" s="28">
        <v>0.30929861531068698</v>
      </c>
      <c r="K13044" s="29">
        <v>0.98289565623980701</v>
      </c>
    </row>
    <row r="13045" spans="1:11" x14ac:dyDescent="0.35">
      <c r="A13045" s="9" t="str">
        <f>HYPERLINK("http://www.ensembl.org/id/WBGene00003443", "WBGene00003443")</f>
        <v>WBGene00003443</v>
      </c>
      <c r="B13045" s="9" t="str">
        <f>HYPERLINK("http://www.ncbi.nlm.nih.gov/gene/173890", "173890")</f>
        <v>173890</v>
      </c>
      <c r="C13045" s="9"/>
      <c r="D13045" t="str">
        <f>"msp-50"</f>
        <v>msp-50</v>
      </c>
      <c r="E13045" t="s">
        <v>3447</v>
      </c>
      <c r="F13045" t="s">
        <v>11</v>
      </c>
      <c r="H13045" s="12">
        <v>1.3210979729147401</v>
      </c>
      <c r="I13045" s="20">
        <v>0.66669553145820204</v>
      </c>
      <c r="J13045" s="28">
        <v>0.50496663367111405</v>
      </c>
      <c r="K13045" s="29">
        <v>0.98289565623980701</v>
      </c>
    </row>
    <row r="13046" spans="1:11" x14ac:dyDescent="0.35">
      <c r="A13046" s="9" t="str">
        <f>HYPERLINK("http://www.ensembl.org/id/WBGene00003444", "WBGene00003444")</f>
        <v>WBGene00003444</v>
      </c>
      <c r="B13046" s="9" t="str">
        <f>HYPERLINK("http://www.ncbi.nlm.nih.gov/gene/191292", "191292")</f>
        <v>191292</v>
      </c>
      <c r="C13046" s="9"/>
      <c r="D13046" t="str">
        <f>"msp-51"</f>
        <v>msp-51</v>
      </c>
      <c r="E13046" t="s">
        <v>3447</v>
      </c>
      <c r="F13046" t="s">
        <v>11</v>
      </c>
      <c r="H13046" s="12">
        <v>-1.6005698416076499</v>
      </c>
      <c r="I13046" s="20">
        <v>-0.69214295267021997</v>
      </c>
      <c r="J13046" s="28">
        <v>0.48884755989378897</v>
      </c>
      <c r="K13046" s="29">
        <v>0.98289565623980701</v>
      </c>
    </row>
    <row r="13047" spans="1:11" x14ac:dyDescent="0.35">
      <c r="A13047" s="9" t="str">
        <f>HYPERLINK("http://www.ensembl.org/id/WBGene00003445", "WBGene00003445")</f>
        <v>WBGene00003445</v>
      </c>
      <c r="B13047" s="9"/>
      <c r="C13047" s="9"/>
      <c r="D13047" t="str">
        <f>"msp-52"</f>
        <v>msp-52</v>
      </c>
      <c r="F13047" t="s">
        <v>80</v>
      </c>
      <c r="H13047" s="12">
        <v>3.4241197291119199</v>
      </c>
      <c r="I13047" s="20">
        <v>0.85813123655788703</v>
      </c>
      <c r="J13047" s="28">
        <v>0.39082000073574102</v>
      </c>
      <c r="K13047" s="29">
        <v>0.98289565623980701</v>
      </c>
    </row>
    <row r="13048" spans="1:11" x14ac:dyDescent="0.35">
      <c r="A13048" s="9" t="str">
        <f>HYPERLINK("http://www.ensembl.org/id/WBGene00003448", "WBGene00003448")</f>
        <v>WBGene00003448</v>
      </c>
      <c r="B13048" s="9" t="str">
        <f>HYPERLINK("http://www.ncbi.nlm.nih.gov/gene/177272", "177272")</f>
        <v>177272</v>
      </c>
      <c r="C13048" s="9"/>
      <c r="D13048" t="str">
        <f>"msp-55"</f>
        <v>msp-55</v>
      </c>
      <c r="E13048" t="s">
        <v>9401</v>
      </c>
      <c r="F13048" t="s">
        <v>11</v>
      </c>
      <c r="H13048" s="12">
        <v>-1.24418478311356</v>
      </c>
      <c r="I13048" s="20">
        <v>-0.36282238765695701</v>
      </c>
      <c r="J13048" s="28">
        <v>0.71673756691483104</v>
      </c>
      <c r="K13048" s="29">
        <v>0.98289565623980701</v>
      </c>
    </row>
    <row r="13049" spans="1:11" x14ac:dyDescent="0.35">
      <c r="A13049" s="9" t="str">
        <f>HYPERLINK("http://www.ensembl.org/id/WBGene00003450", "WBGene00003450")</f>
        <v>WBGene00003450</v>
      </c>
      <c r="B13049" s="9" t="str">
        <f>HYPERLINK("http://www.ncbi.nlm.nih.gov/gene/177274", "177274")</f>
        <v>177274</v>
      </c>
      <c r="C13049" s="9"/>
      <c r="D13049" t="str">
        <f>"msp-57"</f>
        <v>msp-57</v>
      </c>
      <c r="E13049" t="s">
        <v>9401</v>
      </c>
      <c r="F13049" t="s">
        <v>11</v>
      </c>
      <c r="H13049" s="12">
        <v>-1.46314780167819</v>
      </c>
      <c r="I13049" s="20">
        <v>-0.89443581436120501</v>
      </c>
      <c r="J13049" s="28">
        <v>0.37108875743904501</v>
      </c>
      <c r="K13049" s="29">
        <v>0.98289565623980701</v>
      </c>
    </row>
    <row r="13050" spans="1:11" x14ac:dyDescent="0.35">
      <c r="A13050" s="9" t="str">
        <f>HYPERLINK("http://www.ensembl.org/id/WBGene00003456", "WBGene00003456")</f>
        <v>WBGene00003456</v>
      </c>
      <c r="B13050" s="9" t="str">
        <f>HYPERLINK("http://www.ncbi.nlm.nih.gov/gene/173980", "173980")</f>
        <v>173980</v>
      </c>
      <c r="C13050" s="9"/>
      <c r="D13050" t="str">
        <f>"msp-63"</f>
        <v>msp-63</v>
      </c>
      <c r="E13050" t="s">
        <v>4357</v>
      </c>
      <c r="F13050" t="s">
        <v>11</v>
      </c>
      <c r="H13050" s="12">
        <v>2.7317832714674002</v>
      </c>
      <c r="I13050" s="20">
        <v>0.58425564788235496</v>
      </c>
      <c r="J13050" s="28">
        <v>0.55904832707952401</v>
      </c>
      <c r="K13050" s="29">
        <v>0.98289565623980701</v>
      </c>
    </row>
    <row r="13051" spans="1:11" x14ac:dyDescent="0.35">
      <c r="A13051" s="9" t="str">
        <f>HYPERLINK("http://www.ensembl.org/id/WBGene00003457", "WBGene00003457")</f>
        <v>WBGene00003457</v>
      </c>
      <c r="B13051" s="9" t="str">
        <f>HYPERLINK("http://www.ncbi.nlm.nih.gov/gene/173983", "173983")</f>
        <v>173983</v>
      </c>
      <c r="C13051" s="9"/>
      <c r="D13051" t="str">
        <f>"msp-64"</f>
        <v>msp-64</v>
      </c>
      <c r="E13051" t="s">
        <v>3447</v>
      </c>
      <c r="F13051" t="s">
        <v>11</v>
      </c>
      <c r="H13051" s="12">
        <v>-1.3768138934701899</v>
      </c>
      <c r="I13051" s="20">
        <v>-0.67861772789188501</v>
      </c>
      <c r="J13051" s="28">
        <v>0.49738010718548797</v>
      </c>
      <c r="K13051" s="29">
        <v>0.98289565623980701</v>
      </c>
    </row>
    <row r="13052" spans="1:11" x14ac:dyDescent="0.35">
      <c r="A13052" s="9" t="str">
        <f>HYPERLINK("http://www.ensembl.org/id/WBGene00003460", "WBGene00003460")</f>
        <v>WBGene00003460</v>
      </c>
      <c r="B13052" s="9"/>
      <c r="C13052" s="9"/>
      <c r="D13052" t="str">
        <f>"msp-71"</f>
        <v>msp-71</v>
      </c>
      <c r="F13052" t="s">
        <v>80</v>
      </c>
      <c r="H13052" s="12">
        <v>1.7531573121702999</v>
      </c>
      <c r="I13052" s="20">
        <v>0.31745340993743598</v>
      </c>
      <c r="J13052" s="28">
        <v>0.75089958600067197</v>
      </c>
      <c r="K13052" s="29">
        <v>0.98289565623980701</v>
      </c>
    </row>
    <row r="13053" spans="1:11" x14ac:dyDescent="0.35">
      <c r="A13053" s="9" t="str">
        <f>HYPERLINK("http://www.ensembl.org/id/WBGene00003462", "WBGene00003462")</f>
        <v>WBGene00003462</v>
      </c>
      <c r="B13053" s="9" t="str">
        <f>HYPERLINK("http://www.ncbi.nlm.nih.gov/gene/173882", "173882")</f>
        <v>173882</v>
      </c>
      <c r="C13053" s="9"/>
      <c r="D13053" t="str">
        <f>"msp-74"</f>
        <v>msp-74</v>
      </c>
      <c r="E13053" t="s">
        <v>4271</v>
      </c>
      <c r="F13053" t="s">
        <v>11</v>
      </c>
      <c r="H13053" s="12">
        <v>4.6387698961716399</v>
      </c>
      <c r="I13053" s="20">
        <v>0.44985450087338802</v>
      </c>
      <c r="J13053" s="28">
        <v>0.65281535672642099</v>
      </c>
      <c r="K13053" s="29">
        <v>0.98289565623980701</v>
      </c>
    </row>
    <row r="13054" spans="1:11" x14ac:dyDescent="0.35">
      <c r="A13054" s="9" t="str">
        <f>HYPERLINK("http://www.ensembl.org/id/WBGene00003463", "WBGene00003463")</f>
        <v>WBGene00003463</v>
      </c>
      <c r="B13054" s="9" t="str">
        <f>HYPERLINK("http://www.ncbi.nlm.nih.gov/gene/177802", "177802")</f>
        <v>177802</v>
      </c>
      <c r="C13054" s="9"/>
      <c r="D13054" t="str">
        <f>"msp-76"</f>
        <v>msp-76</v>
      </c>
      <c r="E13054" t="s">
        <v>9901</v>
      </c>
      <c r="F13054" t="s">
        <v>11</v>
      </c>
      <c r="H13054" s="12">
        <v>-1.5082802723701301</v>
      </c>
      <c r="I13054" s="20">
        <v>-1.14156590253887</v>
      </c>
      <c r="J13054" s="28">
        <v>0.253634503941567</v>
      </c>
      <c r="K13054" s="29">
        <v>0.98289565623980701</v>
      </c>
    </row>
    <row r="13055" spans="1:11" x14ac:dyDescent="0.35">
      <c r="A13055" s="9" t="str">
        <f>HYPERLINK("http://www.ensembl.org/id/WBGene00003464", "WBGene00003464")</f>
        <v>WBGene00003464</v>
      </c>
      <c r="B13055" s="9" t="str">
        <f>HYPERLINK("http://www.ncbi.nlm.nih.gov/gene/177844", "177844")</f>
        <v>177844</v>
      </c>
      <c r="C13055" s="9"/>
      <c r="D13055" t="str">
        <f>"msp-77"</f>
        <v>msp-77</v>
      </c>
      <c r="E13055" t="s">
        <v>9730</v>
      </c>
      <c r="F13055" t="s">
        <v>11</v>
      </c>
      <c r="H13055" s="12">
        <v>-1.2898806879792999</v>
      </c>
      <c r="I13055" s="20">
        <v>-0.54877769258946196</v>
      </c>
      <c r="J13055" s="28">
        <v>0.58315802086541102</v>
      </c>
      <c r="K13055" s="29">
        <v>0.98289565623980701</v>
      </c>
    </row>
    <row r="13056" spans="1:11" x14ac:dyDescent="0.35">
      <c r="A13056" s="9" t="str">
        <f>HYPERLINK("http://www.ensembl.org/id/WBGene00003465", "WBGene00003465")</f>
        <v>WBGene00003465</v>
      </c>
      <c r="B13056" s="9" t="str">
        <f>HYPERLINK("http://www.ncbi.nlm.nih.gov/gene/177814", "177814")</f>
        <v>177814</v>
      </c>
      <c r="C13056" s="9"/>
      <c r="D13056" t="str">
        <f>"msp-78"</f>
        <v>msp-78</v>
      </c>
      <c r="E13056" t="s">
        <v>8113</v>
      </c>
      <c r="F13056" t="s">
        <v>11</v>
      </c>
      <c r="H13056" s="12">
        <v>-1.1610202521211299</v>
      </c>
      <c r="I13056" s="20">
        <v>-0.25515533873669299</v>
      </c>
      <c r="J13056" s="28">
        <v>0.79860312410161405</v>
      </c>
      <c r="K13056" s="29">
        <v>0.98289565623980701</v>
      </c>
    </row>
    <row r="13057" spans="1:11" x14ac:dyDescent="0.35">
      <c r="A13057" s="9" t="str">
        <f>HYPERLINK("http://www.ensembl.org/id/WBGene00003466", "WBGene00003466")</f>
        <v>WBGene00003466</v>
      </c>
      <c r="B13057" s="9" t="str">
        <f>HYPERLINK("http://www.ncbi.nlm.nih.gov/gene/177812", "177812")</f>
        <v>177812</v>
      </c>
      <c r="C13057" s="9"/>
      <c r="D13057" t="str">
        <f>"msp-79"</f>
        <v>msp-79</v>
      </c>
      <c r="E13057" t="s">
        <v>9730</v>
      </c>
      <c r="F13057" t="s">
        <v>11</v>
      </c>
      <c r="H13057" s="12">
        <v>-1.5460569296603599</v>
      </c>
      <c r="I13057" s="20">
        <v>-0.57247510580003602</v>
      </c>
      <c r="J13057" s="28">
        <v>0.56700014632889095</v>
      </c>
      <c r="K13057" s="29">
        <v>0.98289565623980701</v>
      </c>
    </row>
    <row r="13058" spans="1:11" x14ac:dyDescent="0.35">
      <c r="A13058" s="9" t="str">
        <f>HYPERLINK("http://www.ensembl.org/id/WBGene00017978", "WBGene00017978")</f>
        <v>WBGene00017978</v>
      </c>
      <c r="B13058" s="9" t="str">
        <f>HYPERLINK("http://www.ncbi.nlm.nih.gov/gene/171830", "171830")</f>
        <v>171830</v>
      </c>
      <c r="C13058" s="9"/>
      <c r="D13058" t="str">
        <f>"msrp-1"</f>
        <v>msrp-1</v>
      </c>
      <c r="E13058" t="s">
        <v>4316</v>
      </c>
      <c r="F13058" t="s">
        <v>11</v>
      </c>
      <c r="H13058" s="12">
        <v>2.0770255633833901</v>
      </c>
      <c r="I13058" s="20">
        <v>0.97472971774082595</v>
      </c>
      <c r="J13058" s="28">
        <v>0.32969434774837802</v>
      </c>
      <c r="K13058" s="29">
        <v>0.98289565623980701</v>
      </c>
    </row>
    <row r="13059" spans="1:11" x14ac:dyDescent="0.35">
      <c r="A13059" s="9" t="str">
        <f>HYPERLINK("http://www.ensembl.org/id/WBGene00022751", "WBGene00022751")</f>
        <v>WBGene00022751</v>
      </c>
      <c r="B13059" s="9" t="str">
        <f>HYPERLINK("http://www.ncbi.nlm.nih.gov/gene/172289", "172289")</f>
        <v>172289</v>
      </c>
      <c r="C13059" s="9"/>
      <c r="D13059" t="str">
        <f>"msrp-2"</f>
        <v>msrp-2</v>
      </c>
      <c r="E13059" t="s">
        <v>4316</v>
      </c>
      <c r="F13059" t="s">
        <v>11</v>
      </c>
      <c r="H13059" s="12">
        <v>1.1770901894433199</v>
      </c>
      <c r="I13059" s="20">
        <v>0.39891125174633602</v>
      </c>
      <c r="J13059" s="28">
        <v>0.68995859820544503</v>
      </c>
      <c r="K13059" s="29">
        <v>0.98289565623980701</v>
      </c>
    </row>
    <row r="13060" spans="1:11" x14ac:dyDescent="0.35">
      <c r="A13060" s="9" t="str">
        <f>HYPERLINK("http://www.ensembl.org/id/WBGene00018497", "WBGene00018497")</f>
        <v>WBGene00018497</v>
      </c>
      <c r="B13060" s="9" t="str">
        <f>HYPERLINK("http://www.ncbi.nlm.nih.gov/gene/185859", "185859")</f>
        <v>185859</v>
      </c>
      <c r="C13060" s="9"/>
      <c r="D13060" t="str">
        <f>"msrp-3"</f>
        <v>msrp-3</v>
      </c>
      <c r="E13060" t="s">
        <v>4316</v>
      </c>
      <c r="F13060" t="s">
        <v>11</v>
      </c>
      <c r="H13060" s="12">
        <v>1.6218772854205501</v>
      </c>
      <c r="I13060" s="20">
        <v>0.32945959716224599</v>
      </c>
      <c r="J13060" s="28">
        <v>0.74180832762565097</v>
      </c>
      <c r="K13060" s="29">
        <v>0.98289565623980701</v>
      </c>
    </row>
    <row r="13061" spans="1:11" x14ac:dyDescent="0.35">
      <c r="A13061" s="9" t="str">
        <f>HYPERLINK("http://www.ensembl.org/id/WBGene00018500", "WBGene00018500")</f>
        <v>WBGene00018500</v>
      </c>
      <c r="B13061" s="9" t="str">
        <f>HYPERLINK("http://www.ncbi.nlm.nih.gov/gene/185862", "185862")</f>
        <v>185862</v>
      </c>
      <c r="C13061" s="9"/>
      <c r="D13061" t="str">
        <f>"msrp-4"</f>
        <v>msrp-4</v>
      </c>
      <c r="E13061" t="s">
        <v>4316</v>
      </c>
      <c r="F13061" t="s">
        <v>11</v>
      </c>
      <c r="H13061" s="12">
        <v>3.1706514592375101</v>
      </c>
      <c r="I13061" s="20">
        <v>0.44390112599266301</v>
      </c>
      <c r="J13061" s="28">
        <v>0.65711407043763304</v>
      </c>
      <c r="K13061" s="29">
        <v>0.98289565623980701</v>
      </c>
    </row>
    <row r="13062" spans="1:11" x14ac:dyDescent="0.35">
      <c r="A13062" s="9" t="str">
        <f>HYPERLINK("http://www.ensembl.org/id/WBGene00017058", "WBGene00017058")</f>
        <v>WBGene00017058</v>
      </c>
      <c r="B13062" s="9" t="str">
        <f>HYPERLINK("http://www.ncbi.nlm.nih.gov/gene/173607", "173607")</f>
        <v>173607</v>
      </c>
      <c r="C13062" s="9"/>
      <c r="D13062" t="str">
        <f>"msrp-6"</f>
        <v>msrp-6</v>
      </c>
      <c r="E13062" t="s">
        <v>4316</v>
      </c>
      <c r="F13062" t="s">
        <v>11</v>
      </c>
      <c r="H13062" s="12">
        <v>1.94531048999612</v>
      </c>
      <c r="I13062" s="20">
        <v>0.34949819462736098</v>
      </c>
      <c r="J13062" s="28">
        <v>0.72671532595018395</v>
      </c>
      <c r="K13062" s="29">
        <v>0.98289565623980701</v>
      </c>
    </row>
    <row r="13063" spans="1:11" x14ac:dyDescent="0.35">
      <c r="A13063" s="9" t="str">
        <f>HYPERLINK("http://www.ensembl.org/id/WBGene00011070", "WBGene00011070")</f>
        <v>WBGene00011070</v>
      </c>
      <c r="B13063" s="9" t="str">
        <f>HYPERLINK("http://www.ncbi.nlm.nih.gov/gene/187643", "187643")</f>
        <v>187643</v>
      </c>
      <c r="C13063" s="9"/>
      <c r="D13063" t="str">
        <f>"msrp-7"</f>
        <v>msrp-7</v>
      </c>
      <c r="E13063" t="s">
        <v>4316</v>
      </c>
      <c r="F13063" t="s">
        <v>11</v>
      </c>
      <c r="H13063" s="12">
        <v>1.2746533851842501</v>
      </c>
      <c r="I13063" s="20">
        <v>0.61601988821750098</v>
      </c>
      <c r="J13063" s="28">
        <v>0.53788139370269406</v>
      </c>
      <c r="K13063" s="29">
        <v>0.98289565623980701</v>
      </c>
    </row>
    <row r="13064" spans="1:11" x14ac:dyDescent="0.35">
      <c r="A13064" s="9" t="str">
        <f>HYPERLINK("http://www.ensembl.org/id/WBGene00018395", "WBGene00018395")</f>
        <v>WBGene00018395</v>
      </c>
      <c r="B13064" s="9" t="str">
        <f>HYPERLINK("http://www.ncbi.nlm.nih.gov/gene/174207", "174207")</f>
        <v>174207</v>
      </c>
      <c r="C13064" s="9" t="str">
        <f>HYPERLINK("http://www.ncbi.nlm.nih.gov/gene/23788", "23788")</f>
        <v>23788</v>
      </c>
      <c r="D13064" t="str">
        <f>"mtch-1"</f>
        <v>mtch-1</v>
      </c>
      <c r="E13064" t="s">
        <v>8361</v>
      </c>
      <c r="F13064" t="s">
        <v>11</v>
      </c>
      <c r="G13064" t="s">
        <v>25</v>
      </c>
      <c r="H13064" s="12">
        <v>-1.1733469770479501</v>
      </c>
      <c r="I13064" s="20">
        <v>-0.87535229271188497</v>
      </c>
      <c r="J13064" s="28">
        <v>0.38138224926381797</v>
      </c>
      <c r="K13064" s="29">
        <v>0.98289565623980701</v>
      </c>
    </row>
    <row r="13065" spans="1:11" x14ac:dyDescent="0.35">
      <c r="A13065" s="9" t="str">
        <f>HYPERLINK("http://www.ensembl.org/id/WBGene00009557", "WBGene00009557")</f>
        <v>WBGene00009557</v>
      </c>
      <c r="B13065" s="9" t="str">
        <f>HYPERLINK("http://www.ncbi.nlm.nih.gov/gene/3564835", "3564835")</f>
        <v>3564835</v>
      </c>
      <c r="C13065" s="9" t="str">
        <f>HYPERLINK("http://www.ncbi.nlm.nih.gov/gene/84705", "84705")</f>
        <v>84705</v>
      </c>
      <c r="D13065" t="str">
        <f>"mtcu-1"</f>
        <v>mtcu-1</v>
      </c>
      <c r="E13065" t="s">
        <v>9934</v>
      </c>
      <c r="F13065" t="s">
        <v>11</v>
      </c>
      <c r="G13065" t="s">
        <v>9935</v>
      </c>
      <c r="H13065" s="12">
        <v>-1.4274520344799699</v>
      </c>
      <c r="I13065" s="20">
        <v>-1.1191749549146399</v>
      </c>
      <c r="J13065" s="28">
        <v>0.26306550784073501</v>
      </c>
      <c r="K13065" s="29">
        <v>0.98289565623980701</v>
      </c>
    </row>
    <row r="13066" spans="1:11" x14ac:dyDescent="0.35">
      <c r="A13066" s="9" t="str">
        <f>HYPERLINK("http://www.ensembl.org/id/WBGene00015512", "WBGene00015512")</f>
        <v>WBGene00015512</v>
      </c>
      <c r="B13066" s="9" t="str">
        <f>HYPERLINK("http://www.ncbi.nlm.nih.gov/gene/174254", "174254")</f>
        <v>174254</v>
      </c>
      <c r="C13066" s="9" t="str">
        <f>HYPERLINK("http://www.ncbi.nlm.nih.gov/gene/4524", "4524")</f>
        <v>4524</v>
      </c>
      <c r="E13066" t="s">
        <v>5553</v>
      </c>
      <c r="F13066" t="s">
        <v>11</v>
      </c>
      <c r="G13066" t="s">
        <v>5554</v>
      </c>
      <c r="H13066" s="12">
        <v>1.1471895181738001</v>
      </c>
      <c r="I13066" s="20">
        <v>0.70531154019998799</v>
      </c>
      <c r="J13066" s="28">
        <v>0.480616380340954</v>
      </c>
      <c r="K13066" s="29">
        <v>0.98289565623980701</v>
      </c>
    </row>
    <row r="13067" spans="1:11" x14ac:dyDescent="0.35">
      <c r="A13067" s="9" t="str">
        <f>HYPERLINK("http://www.ensembl.org/id/WBGene00003472", "WBGene00003472")</f>
        <v>WBGene00003472</v>
      </c>
      <c r="B13067" s="9" t="str">
        <f>HYPERLINK("http://www.ncbi.nlm.nih.gov/gene/172246", "172246")</f>
        <v>172246</v>
      </c>
      <c r="C13067" s="9"/>
      <c r="D13067" t="str">
        <f>"mtk-1"</f>
        <v>mtk-1</v>
      </c>
      <c r="E13067" t="s">
        <v>8387</v>
      </c>
      <c r="F13067" t="s">
        <v>11</v>
      </c>
      <c r="G13067" t="s">
        <v>1276</v>
      </c>
      <c r="H13067" s="12">
        <v>-1.17456844513418</v>
      </c>
      <c r="I13067" s="20">
        <v>-0.86537490606330003</v>
      </c>
      <c r="J13067" s="28">
        <v>0.386833049560036</v>
      </c>
      <c r="K13067" s="29">
        <v>0.98289565623980701</v>
      </c>
    </row>
    <row r="13068" spans="1:11" x14ac:dyDescent="0.35">
      <c r="A13068" s="9" t="str">
        <f>HYPERLINK("http://www.ensembl.org/id/WBGene00003475", "WBGene00003475")</f>
        <v>WBGene00003475</v>
      </c>
      <c r="B13068" s="9" t="str">
        <f>HYPERLINK("http://www.ncbi.nlm.nih.gov/gene/172148", "172148")</f>
        <v>172148</v>
      </c>
      <c r="C13068" s="9" t="str">
        <f>HYPERLINK("http://www.ncbi.nlm.nih.gov/gene/4534", "4534")</f>
        <v>4534</v>
      </c>
      <c r="D13068" t="str">
        <f>"mtm-1"</f>
        <v>mtm-1</v>
      </c>
      <c r="E13068" t="s">
        <v>6584</v>
      </c>
      <c r="F13068" t="s">
        <v>11</v>
      </c>
      <c r="G13068" t="s">
        <v>6585</v>
      </c>
      <c r="H13068" s="12">
        <v>-1.0778907841206999</v>
      </c>
      <c r="I13068" s="20">
        <v>-0.37880772004268798</v>
      </c>
      <c r="J13068" s="28">
        <v>0.704830654125711</v>
      </c>
      <c r="K13068" s="29">
        <v>0.98289565623980701</v>
      </c>
    </row>
    <row r="13069" spans="1:11" x14ac:dyDescent="0.35">
      <c r="A13069" s="9" t="str">
        <f>HYPERLINK("http://www.ensembl.org/id/WBGene00003476", "WBGene00003476")</f>
        <v>WBGene00003476</v>
      </c>
      <c r="B13069" s="9" t="str">
        <f>HYPERLINK("http://www.ncbi.nlm.nih.gov/gene/175490", "175490")</f>
        <v>175490</v>
      </c>
      <c r="C13069" s="9"/>
      <c r="D13069" t="str">
        <f>"mtm-3"</f>
        <v>mtm-3</v>
      </c>
      <c r="E13069" t="s">
        <v>6263</v>
      </c>
      <c r="F13069" t="s">
        <v>11</v>
      </c>
      <c r="G13069" t="s">
        <v>6264</v>
      </c>
      <c r="H13069" s="12">
        <v>-1.0574893655408799</v>
      </c>
      <c r="I13069" s="20">
        <v>-0.314976845227811</v>
      </c>
      <c r="J13069" s="28">
        <v>0.75277923454727103</v>
      </c>
      <c r="K13069" s="29">
        <v>0.98289565623980701</v>
      </c>
    </row>
    <row r="13070" spans="1:11" x14ac:dyDescent="0.35">
      <c r="A13070" s="9" t="str">
        <f>HYPERLINK("http://www.ensembl.org/id/WBGene00003478", "WBGene00003478")</f>
        <v>WBGene00003478</v>
      </c>
      <c r="B13070" s="9" t="str">
        <f>HYPERLINK("http://www.ncbi.nlm.nih.gov/gene/176757", "176757")</f>
        <v>176757</v>
      </c>
      <c r="C13070" s="9" t="str">
        <f>HYPERLINK("http://www.ncbi.nlm.nih.gov/gene/55613", "55613")</f>
        <v>55613</v>
      </c>
      <c r="D13070" t="str">
        <f>"mtm-6"</f>
        <v>mtm-6</v>
      </c>
      <c r="E13070" t="s">
        <v>6463</v>
      </c>
      <c r="F13070" t="s">
        <v>11</v>
      </c>
      <c r="G13070" t="s">
        <v>6464</v>
      </c>
      <c r="H13070" s="12">
        <v>-1.0707271115813</v>
      </c>
      <c r="I13070" s="20">
        <v>-0.352803581740816</v>
      </c>
      <c r="J13070" s="28">
        <v>0.72423569839087099</v>
      </c>
      <c r="K13070" s="29">
        <v>0.98289565623980701</v>
      </c>
    </row>
    <row r="13071" spans="1:11" x14ac:dyDescent="0.35">
      <c r="A13071" s="9" t="str">
        <f>HYPERLINK("http://www.ensembl.org/id/WBGene00077690", "WBGene00077690")</f>
        <v>WBGene00077690</v>
      </c>
      <c r="B13071" s="9" t="str">
        <f>HYPERLINK("http://www.ncbi.nlm.nih.gov/gene/6418865", "6418865")</f>
        <v>6418865</v>
      </c>
      <c r="C13071" s="9" t="str">
        <f>HYPERLINK("http://www.ncbi.nlm.nih.gov/gene/51537", "51537")</f>
        <v>51537</v>
      </c>
      <c r="D13071" t="str">
        <f>"mtp-18"</f>
        <v>mtp-18</v>
      </c>
      <c r="E13071" t="s">
        <v>9559</v>
      </c>
      <c r="F13071" t="s">
        <v>11</v>
      </c>
      <c r="H13071" s="12">
        <v>-1.2589228442287601</v>
      </c>
      <c r="I13071" s="20">
        <v>-0.89081782337063597</v>
      </c>
      <c r="J13071" s="28">
        <v>0.37302691171186803</v>
      </c>
      <c r="K13071" s="29">
        <v>0.98289565623980701</v>
      </c>
    </row>
    <row r="13072" spans="1:11" x14ac:dyDescent="0.35">
      <c r="A13072" s="9" t="str">
        <f>HYPERLINK("http://www.ensembl.org/id/WBGene00006510", "WBGene00006510")</f>
        <v>WBGene00006510</v>
      </c>
      <c r="B13072" s="9" t="str">
        <f>HYPERLINK("http://www.ncbi.nlm.nih.gov/gene/174471", "174471")</f>
        <v>174471</v>
      </c>
      <c r="C13072" s="9" t="str">
        <f>HYPERLINK("http://www.ncbi.nlm.nih.gov/gene/4552", "4552")</f>
        <v>4552</v>
      </c>
      <c r="D13072" t="str">
        <f>"mtrr-1"</f>
        <v>mtrr-1</v>
      </c>
      <c r="E13072" t="s">
        <v>5270</v>
      </c>
      <c r="F13072" t="s">
        <v>11</v>
      </c>
      <c r="G13072" t="s">
        <v>5271</v>
      </c>
      <c r="H13072" s="12">
        <v>1.1997497716901799</v>
      </c>
      <c r="I13072" s="20">
        <v>0.87592294217012701</v>
      </c>
      <c r="J13072" s="28">
        <v>0.381071926435192</v>
      </c>
      <c r="K13072" s="29">
        <v>0.98289565623980701</v>
      </c>
    </row>
    <row r="13073" spans="1:11" x14ac:dyDescent="0.35">
      <c r="A13073" s="9" t="str">
        <f>HYPERLINK("http://www.ensembl.org/id/WBGene00019800", "WBGene00019800")</f>
        <v>WBGene00019800</v>
      </c>
      <c r="B13073" s="9" t="str">
        <f>HYPERLINK("http://www.ncbi.nlm.nih.gov/gene/187502", "187502")</f>
        <v>187502</v>
      </c>
      <c r="C13073" s="9"/>
      <c r="D13073" t="str">
        <f>"mtss-1"</f>
        <v>mtss-1</v>
      </c>
      <c r="E13073" t="s">
        <v>9658</v>
      </c>
      <c r="F13073" t="s">
        <v>11</v>
      </c>
      <c r="G13073" t="s">
        <v>9659</v>
      </c>
      <c r="H13073" s="12">
        <v>-1.2740000137982299</v>
      </c>
      <c r="I13073" s="20">
        <v>-1.1132766239318801</v>
      </c>
      <c r="J13073" s="28">
        <v>0.26558964282620801</v>
      </c>
      <c r="K13073" s="29">
        <v>0.98289565623980701</v>
      </c>
    </row>
    <row r="13074" spans="1:11" x14ac:dyDescent="0.35">
      <c r="A13074" s="9" t="str">
        <f>HYPERLINK("http://www.ensembl.org/id/WBGene00007114", "WBGene00007114")</f>
        <v>WBGene00007114</v>
      </c>
      <c r="B13074" s="9" t="str">
        <f>HYPERLINK("http://www.ncbi.nlm.nih.gov/gene/178038", "178038")</f>
        <v>178038</v>
      </c>
      <c r="C13074" s="9" t="str">
        <f>HYPERLINK("http://www.ncbi.nlm.nih.gov/gene/55687", "55687")</f>
        <v>55687</v>
      </c>
      <c r="D13074" t="str">
        <f>"mttu-1"</f>
        <v>mttu-1</v>
      </c>
      <c r="E13074" t="s">
        <v>9945</v>
      </c>
      <c r="F13074" t="s">
        <v>11</v>
      </c>
      <c r="G13074" t="s">
        <v>9946</v>
      </c>
      <c r="H13074" s="12">
        <v>-1.45204997068263</v>
      </c>
      <c r="I13074" s="20">
        <v>-1.0817432898467101</v>
      </c>
      <c r="J13074" s="28">
        <v>0.27936661173416</v>
      </c>
      <c r="K13074" s="29">
        <v>0.98289565623980701</v>
      </c>
    </row>
    <row r="13075" spans="1:11" x14ac:dyDescent="0.35">
      <c r="A13075" s="9" t="str">
        <f>HYPERLINK("http://www.ensembl.org/id/WBGene00022516", "WBGene00022516")</f>
        <v>WBGene00022516</v>
      </c>
      <c r="B13075" s="9" t="str">
        <f>HYPERLINK("http://www.ncbi.nlm.nih.gov/gene/176087", "176087")</f>
        <v>176087</v>
      </c>
      <c r="C13075" s="9" t="str">
        <f>HYPERLINK("http://www.ncbi.nlm.nih.gov/gene/10651", "10651")</f>
        <v>10651</v>
      </c>
      <c r="D13075" t="str">
        <f>"mtx-2"</f>
        <v>mtx-2</v>
      </c>
      <c r="E13075" t="s">
        <v>6909</v>
      </c>
      <c r="F13075" t="s">
        <v>11</v>
      </c>
      <c r="G13075" t="s">
        <v>2472</v>
      </c>
      <c r="H13075" s="12">
        <v>-1.09654425102921</v>
      </c>
      <c r="I13075" s="20">
        <v>-0.47163098927303898</v>
      </c>
      <c r="J13075" s="28">
        <v>0.63719020324459397</v>
      </c>
      <c r="K13075" s="29">
        <v>0.98289565623980701</v>
      </c>
    </row>
    <row r="13076" spans="1:11" x14ac:dyDescent="0.35">
      <c r="A13076" s="9" t="str">
        <f>HYPERLINK("http://www.ensembl.org/id/WBGene00003495", "WBGene00003495")</f>
        <v>WBGene00003495</v>
      </c>
      <c r="B13076" s="9" t="str">
        <f>HYPERLINK("http://www.ncbi.nlm.nih.gov/gene/180914", "180914")</f>
        <v>180914</v>
      </c>
      <c r="C13076" s="9"/>
      <c r="D13076" t="str">
        <f>"mup-2"</f>
        <v>mup-2</v>
      </c>
      <c r="E13076" t="s">
        <v>8668</v>
      </c>
      <c r="F13076" t="s">
        <v>11</v>
      </c>
      <c r="G13076" t="s">
        <v>8669</v>
      </c>
      <c r="H13076" s="12">
        <v>-1.18987090623017</v>
      </c>
      <c r="I13076" s="20">
        <v>-0.73757994761586398</v>
      </c>
      <c r="J13076" s="28">
        <v>0.46076974446449298</v>
      </c>
      <c r="K13076" s="29">
        <v>0.98289565623980701</v>
      </c>
    </row>
    <row r="13077" spans="1:11" x14ac:dyDescent="0.35">
      <c r="A13077" s="9" t="str">
        <f>HYPERLINK("http://www.ensembl.org/id/WBGene00009507", "WBGene00009507")</f>
        <v>WBGene00009507</v>
      </c>
      <c r="B13077" s="9" t="str">
        <f>HYPERLINK("http://www.ncbi.nlm.nih.gov/gene/172929", "172929")</f>
        <v>172929</v>
      </c>
      <c r="C13077" s="9"/>
      <c r="D13077" t="str">
        <f>"mus-101"</f>
        <v>mus-101</v>
      </c>
      <c r="F13077" t="s">
        <v>11</v>
      </c>
      <c r="G13077" t="s">
        <v>8844</v>
      </c>
      <c r="H13077" s="12">
        <v>-1.2010396051513399</v>
      </c>
      <c r="I13077" s="20">
        <v>-0.86225574909671998</v>
      </c>
      <c r="J13077" s="28">
        <v>0.38854679766595901</v>
      </c>
      <c r="K13077" s="29">
        <v>0.98289565623980701</v>
      </c>
    </row>
    <row r="13078" spans="1:11" x14ac:dyDescent="0.35">
      <c r="A13078" s="9" t="str">
        <f>HYPERLINK("http://www.ensembl.org/id/WBGene00016602", "WBGene00016602")</f>
        <v>WBGene00016602</v>
      </c>
      <c r="B13078" s="9" t="str">
        <f>HYPERLINK("http://www.ncbi.nlm.nih.gov/gene/172027", "172027")</f>
        <v>172027</v>
      </c>
      <c r="C13078" s="9"/>
      <c r="D13078" t="str">
        <f>"mus-81"</f>
        <v>mus-81</v>
      </c>
      <c r="F13078" t="s">
        <v>11</v>
      </c>
      <c r="G13078" t="s">
        <v>9028</v>
      </c>
      <c r="H13078" s="12">
        <v>-1.2156276081119399</v>
      </c>
      <c r="I13078" s="20">
        <v>-0.93916838881168496</v>
      </c>
      <c r="J13078" s="28">
        <v>0.34764429619486797</v>
      </c>
      <c r="K13078" s="29">
        <v>0.98289565623980701</v>
      </c>
    </row>
    <row r="13079" spans="1:11" x14ac:dyDescent="0.35">
      <c r="A13079" s="9" t="str">
        <f>HYPERLINK("http://www.ensembl.org/id/WBGene00011323", "WBGene00011323")</f>
        <v>WBGene00011323</v>
      </c>
      <c r="B13079" s="9" t="str">
        <f>HYPERLINK("http://www.ncbi.nlm.nih.gov/gene/180000", "180000")</f>
        <v>180000</v>
      </c>
      <c r="C13079" s="9"/>
      <c r="D13079" t="str">
        <f>"mut-15"</f>
        <v>mut-15</v>
      </c>
      <c r="E13079" t="s">
        <v>721</v>
      </c>
      <c r="F13079" t="s">
        <v>11</v>
      </c>
      <c r="G13079" t="s">
        <v>8025</v>
      </c>
      <c r="H13079" s="12">
        <v>-1.1566720822238501</v>
      </c>
      <c r="I13079" s="20">
        <v>-0.68513336729536201</v>
      </c>
      <c r="J13079" s="28">
        <v>0.49325976621916701</v>
      </c>
      <c r="K13079" s="29">
        <v>0.98289565623980701</v>
      </c>
    </row>
    <row r="13080" spans="1:11" x14ac:dyDescent="0.35">
      <c r="A13080" s="9" t="str">
        <f>HYPERLINK("http://www.ensembl.org/id/WBGene00003508", "WBGene00003508")</f>
        <v>WBGene00003508</v>
      </c>
      <c r="B13080" s="9" t="str">
        <f>HYPERLINK("http://www.ncbi.nlm.nih.gov/gene/172873", "172873")</f>
        <v>172873</v>
      </c>
      <c r="C13080" s="9"/>
      <c r="D13080" t="str">
        <f>"mut-16"</f>
        <v>mut-16</v>
      </c>
      <c r="E13080" t="s">
        <v>721</v>
      </c>
      <c r="F13080" t="s">
        <v>11</v>
      </c>
      <c r="G13080" t="s">
        <v>8884</v>
      </c>
      <c r="H13080" s="12">
        <v>-1.20495453800327</v>
      </c>
      <c r="I13080" s="20">
        <v>-0.91979537373393605</v>
      </c>
      <c r="J13080" s="28">
        <v>0.35767970137433702</v>
      </c>
      <c r="K13080" s="29">
        <v>0.98289565623980701</v>
      </c>
    </row>
    <row r="13081" spans="1:11" x14ac:dyDescent="0.35">
      <c r="A13081" s="9" t="str">
        <f>HYPERLINK("http://www.ensembl.org/id/WBGene00015508", "WBGene00015508")</f>
        <v>WBGene00015508</v>
      </c>
      <c r="B13081" s="9" t="str">
        <f>HYPERLINK("http://www.ncbi.nlm.nih.gov/gene/182286", "182286")</f>
        <v>182286</v>
      </c>
      <c r="C13081" s="9" t="str">
        <f>HYPERLINK("http://www.ncbi.nlm.nih.gov/gene/89853", "89853")</f>
        <v>89853</v>
      </c>
      <c r="D13081" t="str">
        <f>"mvb-12"</f>
        <v>mvb-12</v>
      </c>
      <c r="E13081" t="s">
        <v>7630</v>
      </c>
      <c r="F13081" t="s">
        <v>11</v>
      </c>
      <c r="G13081" t="s">
        <v>7631</v>
      </c>
      <c r="H13081" s="12">
        <v>-1.1369736613550601</v>
      </c>
      <c r="I13081" s="20">
        <v>-0.64864344306647903</v>
      </c>
      <c r="J13081" s="28">
        <v>0.51656886857079198</v>
      </c>
      <c r="K13081" s="29">
        <v>0.98289565623980701</v>
      </c>
    </row>
    <row r="13082" spans="1:11" x14ac:dyDescent="0.35">
      <c r="A13082" s="9" t="str">
        <f>HYPERLINK("http://www.ensembl.org/id/WBGene00003510", "WBGene00003510")</f>
        <v>WBGene00003510</v>
      </c>
      <c r="B13082" s="9" t="str">
        <f>HYPERLINK("http://www.ncbi.nlm.nih.gov/gene/175184", "175184")</f>
        <v>175184</v>
      </c>
      <c r="C13082" s="9"/>
      <c r="D13082" t="str">
        <f>"mxl-2"</f>
        <v>mxl-2</v>
      </c>
      <c r="E13082" t="s">
        <v>8368</v>
      </c>
      <c r="F13082" t="s">
        <v>11</v>
      </c>
      <c r="G13082" t="s">
        <v>8369</v>
      </c>
      <c r="H13082" s="12">
        <v>-1.1735787657102901</v>
      </c>
      <c r="I13082" s="20">
        <v>-0.81336752012885805</v>
      </c>
      <c r="J13082" s="28">
        <v>0.41600737554820499</v>
      </c>
      <c r="K13082" s="29">
        <v>0.98289565623980701</v>
      </c>
    </row>
    <row r="13083" spans="1:11" x14ac:dyDescent="0.35">
      <c r="A13083" s="9" t="str">
        <f>HYPERLINK("http://www.ensembl.org/id/WBGene00012478", "WBGene00012478")</f>
        <v>WBGene00012478</v>
      </c>
      <c r="B13083" s="9" t="str">
        <f>HYPERLINK("http://www.ncbi.nlm.nih.gov/gene/173151", "173151")</f>
        <v>173151</v>
      </c>
      <c r="C13083" s="9"/>
      <c r="D13083" t="str">
        <f>"mxt-1"</f>
        <v>mxt-1</v>
      </c>
      <c r="E13083" t="s">
        <v>6359</v>
      </c>
      <c r="F13083" t="s">
        <v>11</v>
      </c>
      <c r="G13083" t="s">
        <v>6360</v>
      </c>
      <c r="H13083" s="12">
        <v>-1.0651550329236601</v>
      </c>
      <c r="I13083" s="20">
        <v>-0.29808584490096701</v>
      </c>
      <c r="J13083" s="28">
        <v>0.76563764489401298</v>
      </c>
      <c r="K13083" s="29">
        <v>0.98289565623980701</v>
      </c>
    </row>
    <row r="13084" spans="1:11" x14ac:dyDescent="0.35">
      <c r="A13084" s="9" t="str">
        <f>HYPERLINK("http://www.ensembl.org/id/WBGene00003515", "WBGene00003515")</f>
        <v>WBGene00003515</v>
      </c>
      <c r="B13084" s="9" t="str">
        <f>HYPERLINK("http://www.ncbi.nlm.nih.gov/gene/179676", "179676")</f>
        <v>179676</v>
      </c>
      <c r="C13084" s="9" t="str">
        <f>HYPERLINK("http://www.ncbi.nlm.nih.gov/gene/57644", "57644")</f>
        <v>57644</v>
      </c>
      <c r="D13084" t="str">
        <f>"myo-3"</f>
        <v>myo-3</v>
      </c>
      <c r="E13084" t="s">
        <v>6024</v>
      </c>
      <c r="F13084" t="s">
        <v>11</v>
      </c>
      <c r="G13084" t="s">
        <v>6025</v>
      </c>
      <c r="H13084" s="12">
        <v>1.0713667229777399</v>
      </c>
      <c r="I13084" s="20">
        <v>0.341052939718199</v>
      </c>
      <c r="J13084" s="28">
        <v>0.73306372812774101</v>
      </c>
      <c r="K13084" s="29">
        <v>0.98289565623980701</v>
      </c>
    </row>
    <row r="13085" spans="1:11" x14ac:dyDescent="0.35">
      <c r="A13085" s="9" t="str">
        <f>HYPERLINK("http://www.ensembl.org/id/WBGene00004134", "WBGene00004134")</f>
        <v>WBGene00004134</v>
      </c>
      <c r="B13085" s="9" t="str">
        <f>HYPERLINK("http://www.ncbi.nlm.nih.gov/gene/174614", "174614")</f>
        <v>174614</v>
      </c>
      <c r="C13085" s="9" t="str">
        <f>HYPERLINK("http://www.ncbi.nlm.nih.gov/gene/196446", "196446")</f>
        <v>196446</v>
      </c>
      <c r="D13085" t="str">
        <f>"myrf-1"</f>
        <v>myrf-1</v>
      </c>
      <c r="E13085" t="s">
        <v>5380</v>
      </c>
      <c r="F13085" t="s">
        <v>11</v>
      </c>
      <c r="G13085" t="s">
        <v>5381</v>
      </c>
      <c r="H13085" s="12">
        <v>1.1782101121414801</v>
      </c>
      <c r="I13085" s="20">
        <v>0.79383177935557703</v>
      </c>
      <c r="J13085" s="28">
        <v>0.42729336927814099</v>
      </c>
      <c r="K13085" s="29">
        <v>0.98289565623980701</v>
      </c>
    </row>
    <row r="13086" spans="1:11" x14ac:dyDescent="0.35">
      <c r="A13086" s="9" t="str">
        <f>HYPERLINK("http://www.ensembl.org/id/WBGene00008999", "WBGene00008999")</f>
        <v>WBGene00008999</v>
      </c>
      <c r="B13086" s="9" t="str">
        <f>HYPERLINK("http://www.ncbi.nlm.nih.gov/gene/181229", "181229")</f>
        <v>181229</v>
      </c>
      <c r="C13086" s="9" t="str">
        <f>HYPERLINK("http://www.ncbi.nlm.nih.gov/gene/196446", "196446")</f>
        <v>196446</v>
      </c>
      <c r="D13086" t="str">
        <f>"myrf-2"</f>
        <v>myrf-2</v>
      </c>
      <c r="E13086" t="s">
        <v>5681</v>
      </c>
      <c r="F13086" t="s">
        <v>11</v>
      </c>
      <c r="G13086" t="s">
        <v>5381</v>
      </c>
      <c r="H13086" s="12">
        <v>1.12391347605724</v>
      </c>
      <c r="I13086" s="20">
        <v>0.64125816320334295</v>
      </c>
      <c r="J13086" s="28">
        <v>0.52135496607589504</v>
      </c>
      <c r="K13086" s="29">
        <v>0.98289565623980701</v>
      </c>
    </row>
    <row r="13087" spans="1:11" x14ac:dyDescent="0.35">
      <c r="A13087" s="9" t="str">
        <f>HYPERLINK("http://www.ensembl.org/id/WBGene00007029", "WBGene00007029")</f>
        <v>WBGene00007029</v>
      </c>
      <c r="B13087" s="9" t="str">
        <f>HYPERLINK("http://www.ncbi.nlm.nih.gov/gene/179096", "179096")</f>
        <v>179096</v>
      </c>
      <c r="C13087" s="9" t="str">
        <f>HYPERLINK("http://www.ncbi.nlm.nih.gov/gene/10524", "10524")</f>
        <v>10524</v>
      </c>
      <c r="D13087" t="str">
        <f>"mys-1"</f>
        <v>mys-1</v>
      </c>
      <c r="E13087" t="s">
        <v>9150</v>
      </c>
      <c r="F13087" t="s">
        <v>11</v>
      </c>
      <c r="G13087" t="s">
        <v>9151</v>
      </c>
      <c r="H13087" s="12">
        <v>-1.2247565992603</v>
      </c>
      <c r="I13087" s="20">
        <v>-0.99691685371132199</v>
      </c>
      <c r="J13087" s="28">
        <v>0.31880487026495202</v>
      </c>
      <c r="K13087" s="29">
        <v>0.98289565623980701</v>
      </c>
    </row>
    <row r="13088" spans="1:11" x14ac:dyDescent="0.35">
      <c r="A13088" s="9" t="str">
        <f>HYPERLINK("http://www.ensembl.org/id/WBGene00010537", "WBGene00010537")</f>
        <v>WBGene00010537</v>
      </c>
      <c r="B13088" s="9" t="str">
        <f>HYPERLINK("http://www.ncbi.nlm.nih.gov/gene/173281", "173281")</f>
        <v>173281</v>
      </c>
      <c r="C13088" s="9" t="str">
        <f>HYPERLINK("http://www.ncbi.nlm.nih.gov/gene/84148", "84148")</f>
        <v>84148</v>
      </c>
      <c r="D13088" t="str">
        <f>"mys-2"</f>
        <v>mys-2</v>
      </c>
      <c r="E13088" t="s">
        <v>3339</v>
      </c>
      <c r="F13088" t="s">
        <v>11</v>
      </c>
      <c r="G13088" t="s">
        <v>7901</v>
      </c>
      <c r="H13088" s="12">
        <v>-1.1505524869028501</v>
      </c>
      <c r="I13088" s="20">
        <v>-0.65966258860886495</v>
      </c>
      <c r="J13088" s="28">
        <v>0.50947037965441799</v>
      </c>
      <c r="K13088" s="29">
        <v>0.98289565623980701</v>
      </c>
    </row>
    <row r="13089" spans="1:11" x14ac:dyDescent="0.35">
      <c r="A13089" s="9" t="str">
        <f>HYPERLINK("http://www.ensembl.org/id/WBGene00044431", "WBGene00044431")</f>
        <v>WBGene00044431</v>
      </c>
      <c r="B13089" s="9" t="str">
        <f>HYPERLINK("http://www.ncbi.nlm.nih.gov/gene/3565198", "3565198")</f>
        <v>3565198</v>
      </c>
      <c r="C13089" s="9"/>
      <c r="D13089" t="str">
        <f>"mzt-1"</f>
        <v>mzt-1</v>
      </c>
      <c r="E13089" t="s">
        <v>9864</v>
      </c>
      <c r="F13089" t="s">
        <v>11</v>
      </c>
      <c r="G13089" t="s">
        <v>9865</v>
      </c>
      <c r="H13089" s="12">
        <v>-1.33576289274673</v>
      </c>
      <c r="I13089" s="20">
        <v>-1.1672093448430501</v>
      </c>
      <c r="J13089" s="28">
        <v>0.243125837991546</v>
      </c>
      <c r="K13089" s="29">
        <v>0.98289565623980701</v>
      </c>
    </row>
    <row r="13090" spans="1:11" x14ac:dyDescent="0.35">
      <c r="A13090" s="9" t="str">
        <f>HYPERLINK("http://www.ensembl.org/id/WBGene00003516", "WBGene00003516")</f>
        <v>WBGene00003516</v>
      </c>
      <c r="B13090" s="9" t="str">
        <f>HYPERLINK("http://www.ncbi.nlm.nih.gov/gene/172021", "172021")</f>
        <v>172021</v>
      </c>
      <c r="C13090" s="9"/>
      <c r="D13090" t="str">
        <f>"nab-1"</f>
        <v>nab-1</v>
      </c>
      <c r="E13090" t="s">
        <v>6133</v>
      </c>
      <c r="F13090" t="s">
        <v>11</v>
      </c>
      <c r="G13090" t="s">
        <v>6134</v>
      </c>
      <c r="H13090" s="12">
        <v>1.0526064290644901</v>
      </c>
      <c r="I13090" s="20">
        <v>0.274676998872454</v>
      </c>
      <c r="J13090" s="28">
        <v>0.78356440392998195</v>
      </c>
      <c r="K13090" s="29">
        <v>0.98289565623980701</v>
      </c>
    </row>
    <row r="13091" spans="1:11" x14ac:dyDescent="0.35">
      <c r="A13091" s="9" t="str">
        <f>HYPERLINK("http://www.ensembl.org/id/WBGene00003517", "WBGene00003517")</f>
        <v>WBGene00003517</v>
      </c>
      <c r="B13091" s="9" t="str">
        <f>HYPERLINK("http://www.ncbi.nlm.nih.gov/gene/181585", "181585")</f>
        <v>181585</v>
      </c>
      <c r="C13091" s="9" t="str">
        <f>HYPERLINK("http://www.ncbi.nlm.nih.gov/gene/9058", "9058")</f>
        <v>9058</v>
      </c>
      <c r="D13091" t="str">
        <f>"nac-1"</f>
        <v>nac-1</v>
      </c>
      <c r="E13091" t="s">
        <v>8909</v>
      </c>
      <c r="F13091" t="s">
        <v>11</v>
      </c>
      <c r="G13091" t="s">
        <v>3399</v>
      </c>
      <c r="H13091" s="12">
        <v>-1.2068315834048799</v>
      </c>
      <c r="I13091" s="20">
        <v>-0.60464688529729804</v>
      </c>
      <c r="J13091" s="28">
        <v>0.54541364689689698</v>
      </c>
      <c r="K13091" s="29">
        <v>0.98289565623980701</v>
      </c>
    </row>
    <row r="13092" spans="1:11" x14ac:dyDescent="0.35">
      <c r="A13092" s="9" t="str">
        <f>HYPERLINK("http://www.ensembl.org/id/WBGene00003518", "WBGene00003518")</f>
        <v>WBGene00003518</v>
      </c>
      <c r="B13092" s="9" t="str">
        <f>HYPERLINK("http://www.ncbi.nlm.nih.gov/gene/187898", "187898")</f>
        <v>187898</v>
      </c>
      <c r="C13092" s="9" t="str">
        <f>HYPERLINK("http://www.ncbi.nlm.nih.gov/gene/64849", "64849")</f>
        <v>64849</v>
      </c>
      <c r="D13092" t="str">
        <f>"nac-2"</f>
        <v>nac-2</v>
      </c>
      <c r="E13092" t="s">
        <v>5690</v>
      </c>
      <c r="F13092" t="s">
        <v>11</v>
      </c>
      <c r="G13092" t="s">
        <v>5691</v>
      </c>
      <c r="H13092" s="12">
        <v>1.1222639180979599</v>
      </c>
      <c r="I13092" s="20">
        <v>0.51787294063021705</v>
      </c>
      <c r="J13092" s="28">
        <v>0.60454692269739196</v>
      </c>
      <c r="K13092" s="29">
        <v>0.98289565623980701</v>
      </c>
    </row>
    <row r="13093" spans="1:11" x14ac:dyDescent="0.35">
      <c r="A13093" s="9" t="str">
        <f>HYPERLINK("http://www.ensembl.org/id/WBGene00021371", "WBGene00021371")</f>
        <v>WBGene00021371</v>
      </c>
      <c r="B13093" s="9" t="str">
        <f>HYPERLINK("http://www.ncbi.nlm.nih.gov/gene/177137", "177137")</f>
        <v>177137</v>
      </c>
      <c r="C13093" s="9" t="str">
        <f>HYPERLINK("http://www.ncbi.nlm.nih.gov/gene/222236", "222236")</f>
        <v>222236</v>
      </c>
      <c r="D13093" t="str">
        <f>"nape-1"</f>
        <v>nape-1</v>
      </c>
      <c r="E13093" t="s">
        <v>8359</v>
      </c>
      <c r="F13093" t="s">
        <v>11</v>
      </c>
      <c r="G13093" t="s">
        <v>8360</v>
      </c>
      <c r="H13093" s="12">
        <v>-1.1732956993797901</v>
      </c>
      <c r="I13093" s="20">
        <v>-0.79832003728919898</v>
      </c>
      <c r="J13093" s="28">
        <v>0.42468479308546903</v>
      </c>
      <c r="K13093" s="29">
        <v>0.98289565623980701</v>
      </c>
    </row>
    <row r="13094" spans="1:11" x14ac:dyDescent="0.35">
      <c r="A13094" s="9" t="str">
        <f>HYPERLINK("http://www.ensembl.org/id/WBGene00003520", "WBGene00003520")</f>
        <v>WBGene00003520</v>
      </c>
      <c r="B13094" s="9" t="str">
        <f>HYPERLINK("http://www.ncbi.nlm.nih.gov/gene/185811", "185811")</f>
        <v>185811</v>
      </c>
      <c r="C13094" s="9"/>
      <c r="D13094" t="str">
        <f>"nas-1"</f>
        <v>nas-1</v>
      </c>
      <c r="E13094" t="s">
        <v>4737</v>
      </c>
      <c r="F13094" t="s">
        <v>11</v>
      </c>
      <c r="G13094" t="s">
        <v>1542</v>
      </c>
      <c r="H13094" s="12">
        <v>1.43024250642242</v>
      </c>
      <c r="I13094" s="20">
        <v>0.38130121930367999</v>
      </c>
      <c r="J13094" s="28">
        <v>0.70297974900222504</v>
      </c>
      <c r="K13094" s="29">
        <v>0.98289565623980701</v>
      </c>
    </row>
    <row r="13095" spans="1:11" x14ac:dyDescent="0.35">
      <c r="A13095" s="9" t="str">
        <f>HYPERLINK("http://www.ensembl.org/id/WBGene00003529", "WBGene00003529")</f>
        <v>WBGene00003529</v>
      </c>
      <c r="B13095" s="9" t="str">
        <f>HYPERLINK("http://www.ncbi.nlm.nih.gov/gene/181287", "181287")</f>
        <v>181287</v>
      </c>
      <c r="C13095" s="9"/>
      <c r="D13095" t="str">
        <f>"nas-10"</f>
        <v>nas-10</v>
      </c>
      <c r="E13095" t="s">
        <v>4333</v>
      </c>
      <c r="F13095" t="s">
        <v>11</v>
      </c>
      <c r="G13095" t="s">
        <v>1542</v>
      </c>
      <c r="H13095" s="12">
        <v>2.9279887769053001</v>
      </c>
      <c r="I13095" s="20">
        <v>0.80677378886599505</v>
      </c>
      <c r="J13095" s="28">
        <v>0.41979682286194298</v>
      </c>
      <c r="K13095" s="29">
        <v>0.98289565623980701</v>
      </c>
    </row>
    <row r="13096" spans="1:11" x14ac:dyDescent="0.35">
      <c r="A13096" s="9" t="str">
        <f>HYPERLINK("http://www.ensembl.org/id/WBGene00003531", "WBGene00003531")</f>
        <v>WBGene00003531</v>
      </c>
      <c r="B13096" s="9" t="str">
        <f>HYPERLINK("http://www.ncbi.nlm.nih.gov/gene/182848", "182848")</f>
        <v>182848</v>
      </c>
      <c r="C13096" s="9"/>
      <c r="D13096" t="str">
        <f>"nas-12"</f>
        <v>nas-12</v>
      </c>
      <c r="E13096" t="s">
        <v>4579</v>
      </c>
      <c r="F13096" t="s">
        <v>11</v>
      </c>
      <c r="G13096" t="s">
        <v>1542</v>
      </c>
      <c r="H13096" s="12">
        <v>1.65709149128789</v>
      </c>
      <c r="I13096" s="20">
        <v>0.38566514619868297</v>
      </c>
      <c r="J13096" s="28">
        <v>0.69974467885737801</v>
      </c>
      <c r="K13096" s="29">
        <v>0.98289565623980701</v>
      </c>
    </row>
    <row r="13097" spans="1:11" x14ac:dyDescent="0.35">
      <c r="A13097" s="9" t="str">
        <f>HYPERLINK("http://www.ensembl.org/id/WBGene00003532", "WBGene00003532")</f>
        <v>WBGene00003532</v>
      </c>
      <c r="B13097" s="9" t="str">
        <f>HYPERLINK("http://www.ncbi.nlm.nih.gov/gene/185492", "185492")</f>
        <v>185492</v>
      </c>
      <c r="C13097" s="9"/>
      <c r="D13097" t="str">
        <f>"nas-13"</f>
        <v>nas-13</v>
      </c>
      <c r="E13097" t="s">
        <v>4555</v>
      </c>
      <c r="F13097" t="s">
        <v>11</v>
      </c>
      <c r="G13097" t="s">
        <v>1542</v>
      </c>
      <c r="H13097" s="12">
        <v>1.7056136924441201</v>
      </c>
      <c r="I13097" s="20">
        <v>0.67771180781267903</v>
      </c>
      <c r="J13097" s="28">
        <v>0.49795443824688002</v>
      </c>
      <c r="K13097" s="29">
        <v>0.98289565623980701</v>
      </c>
    </row>
    <row r="13098" spans="1:11" x14ac:dyDescent="0.35">
      <c r="A13098" s="9" t="str">
        <f>HYPERLINK("http://www.ensembl.org/id/WBGene00003533", "WBGene00003533")</f>
        <v>WBGene00003533</v>
      </c>
      <c r="B13098" s="9" t="str">
        <f>HYPERLINK("http://www.ncbi.nlm.nih.gov/gene/184247", "184247")</f>
        <v>184247</v>
      </c>
      <c r="C13098" s="9"/>
      <c r="D13098" t="str">
        <f>"nas-14"</f>
        <v>nas-14</v>
      </c>
      <c r="E13098" t="s">
        <v>10038</v>
      </c>
      <c r="F13098" t="s">
        <v>11</v>
      </c>
      <c r="G13098" t="s">
        <v>1542</v>
      </c>
      <c r="H13098" s="12">
        <v>-2.1027309948382502</v>
      </c>
      <c r="I13098" s="20">
        <v>-0.93145973084849498</v>
      </c>
      <c r="J13098" s="28">
        <v>0.35161580569879503</v>
      </c>
      <c r="K13098" s="29">
        <v>0.98289565623980701</v>
      </c>
    </row>
    <row r="13099" spans="1:11" x14ac:dyDescent="0.35">
      <c r="A13099" s="9" t="str">
        <f>HYPERLINK("http://www.ensembl.org/id/WBGene00003534", "WBGene00003534")</f>
        <v>WBGene00003534</v>
      </c>
      <c r="B13099" s="9" t="str">
        <f>HYPERLINK("http://www.ncbi.nlm.nih.gov/gene/180426", "180426")</f>
        <v>180426</v>
      </c>
      <c r="C13099" s="9"/>
      <c r="D13099" t="str">
        <f>"nas-15"</f>
        <v>nas-15</v>
      </c>
      <c r="E13099" t="s">
        <v>4493</v>
      </c>
      <c r="F13099" t="s">
        <v>11</v>
      </c>
      <c r="G13099" t="s">
        <v>1542</v>
      </c>
      <c r="H13099" s="12">
        <v>1.8593463375240999</v>
      </c>
      <c r="I13099" s="20">
        <v>0.99959753172504695</v>
      </c>
      <c r="J13099" s="28">
        <v>0.31750531813767602</v>
      </c>
      <c r="K13099" s="29">
        <v>0.98289565623980701</v>
      </c>
    </row>
    <row r="13100" spans="1:11" x14ac:dyDescent="0.35">
      <c r="A13100" s="9" t="str">
        <f>HYPERLINK("http://www.ensembl.org/id/WBGene00003538", "WBGene00003538")</f>
        <v>WBGene00003538</v>
      </c>
      <c r="B13100" s="9" t="str">
        <f>HYPERLINK("http://www.ncbi.nlm.nih.gov/gene/186926", "186926")</f>
        <v>186926</v>
      </c>
      <c r="C13100" s="9"/>
      <c r="D13100" t="str">
        <f>"nas-19"</f>
        <v>nas-19</v>
      </c>
      <c r="E13100" t="s">
        <v>10115</v>
      </c>
      <c r="F13100" t="s">
        <v>11</v>
      </c>
      <c r="G13100" t="s">
        <v>267</v>
      </c>
      <c r="H13100" s="12">
        <v>-4.7467792185731703</v>
      </c>
      <c r="I13100" s="20">
        <v>-0.52614829068776403</v>
      </c>
      <c r="J13100" s="28">
        <v>0.59878517842770296</v>
      </c>
      <c r="K13100" s="29">
        <v>0.98289565623980701</v>
      </c>
    </row>
    <row r="13101" spans="1:11" x14ac:dyDescent="0.35">
      <c r="A13101" s="9" t="str">
        <f>HYPERLINK("http://www.ensembl.org/id/WBGene00003540", "WBGene00003540")</f>
        <v>WBGene00003540</v>
      </c>
      <c r="B13101" s="9" t="str">
        <f>HYPERLINK("http://www.ncbi.nlm.nih.gov/gene/188422", "188422")</f>
        <v>188422</v>
      </c>
      <c r="C13101" s="9"/>
      <c r="D13101" t="str">
        <f>"nas-21"</f>
        <v>nas-21</v>
      </c>
      <c r="E13101" t="s">
        <v>4409</v>
      </c>
      <c r="F13101" t="s">
        <v>11</v>
      </c>
      <c r="G13101" t="s">
        <v>267</v>
      </c>
      <c r="H13101" s="12">
        <v>2.34517578363692</v>
      </c>
      <c r="I13101" s="20">
        <v>0.957400156006743</v>
      </c>
      <c r="J13101" s="28">
        <v>0.33836531974862599</v>
      </c>
      <c r="K13101" s="29">
        <v>0.98289565623980701</v>
      </c>
    </row>
    <row r="13102" spans="1:11" x14ac:dyDescent="0.35">
      <c r="A13102" s="9" t="str">
        <f>HYPERLINK("http://www.ensembl.org/id/WBGene00003541", "WBGene00003541")</f>
        <v>WBGene00003541</v>
      </c>
      <c r="B13102" s="9" t="str">
        <f>HYPERLINK("http://www.ncbi.nlm.nih.gov/gene/188423", "188423")</f>
        <v>188423</v>
      </c>
      <c r="C13102" s="9"/>
      <c r="D13102" t="str">
        <f>"nas-22"</f>
        <v>nas-22</v>
      </c>
      <c r="E13102" t="s">
        <v>9991</v>
      </c>
      <c r="F13102" t="s">
        <v>11</v>
      </c>
      <c r="G13102" t="s">
        <v>267</v>
      </c>
      <c r="H13102" s="12">
        <v>-1.6043344636424199</v>
      </c>
      <c r="I13102" s="20">
        <v>-0.82044183307005203</v>
      </c>
      <c r="J13102" s="28">
        <v>0.41196427582352102</v>
      </c>
      <c r="K13102" s="29">
        <v>0.98289565623980701</v>
      </c>
    </row>
    <row r="13103" spans="1:11" x14ac:dyDescent="0.35">
      <c r="A13103" s="9" t="str">
        <f>HYPERLINK("http://www.ensembl.org/id/WBGene00003543", "WBGene00003543")</f>
        <v>WBGene00003543</v>
      </c>
      <c r="B13103" s="9" t="str">
        <f>HYPERLINK("http://www.ncbi.nlm.nih.gov/gene/184744", "184744")</f>
        <v>184744</v>
      </c>
      <c r="C13103" s="9"/>
      <c r="D13103" t="str">
        <f>"nas-24"</f>
        <v>nas-24</v>
      </c>
      <c r="E13103" t="s">
        <v>4412</v>
      </c>
      <c r="F13103" t="s">
        <v>11</v>
      </c>
      <c r="G13103" t="s">
        <v>267</v>
      </c>
      <c r="H13103" s="12">
        <v>2.3444892507898301</v>
      </c>
      <c r="I13103" s="20">
        <v>0.253126732237689</v>
      </c>
      <c r="J13103" s="28">
        <v>0.80017028205419904</v>
      </c>
      <c r="K13103" s="29">
        <v>0.98289565623980701</v>
      </c>
    </row>
    <row r="13104" spans="1:11" x14ac:dyDescent="0.35">
      <c r="A13104" s="9" t="str">
        <f>HYPERLINK("http://www.ensembl.org/id/WBGene00003545", "WBGene00003545")</f>
        <v>WBGene00003545</v>
      </c>
      <c r="B13104" s="9" t="str">
        <f>HYPERLINK("http://www.ncbi.nlm.nih.gov/gene/188809", "188809")</f>
        <v>188809</v>
      </c>
      <c r="C13104" s="9"/>
      <c r="D13104" t="str">
        <f>"nas-27"</f>
        <v>nas-27</v>
      </c>
      <c r="E13104" t="s">
        <v>10039</v>
      </c>
      <c r="F13104" t="s">
        <v>11</v>
      </c>
      <c r="G13104" t="s">
        <v>267</v>
      </c>
      <c r="H13104" s="12">
        <v>-2.1090148869071901</v>
      </c>
      <c r="I13104" s="20">
        <v>-0.820999966373959</v>
      </c>
      <c r="J13104" s="28">
        <v>0.41164628736911002</v>
      </c>
      <c r="K13104" s="29">
        <v>0.98289565623980701</v>
      </c>
    </row>
    <row r="13105" spans="1:11" x14ac:dyDescent="0.35">
      <c r="A13105" s="9" t="str">
        <f>HYPERLINK("http://www.ensembl.org/id/WBGene00003546", "WBGene00003546")</f>
        <v>WBGene00003546</v>
      </c>
      <c r="B13105" s="9" t="str">
        <f>HYPERLINK("http://www.ncbi.nlm.nih.gov/gene/185658", "185658")</f>
        <v>185658</v>
      </c>
      <c r="C13105" s="9"/>
      <c r="D13105" t="str">
        <f>"nas-28"</f>
        <v>nas-28</v>
      </c>
      <c r="E13105" t="s">
        <v>9832</v>
      </c>
      <c r="F13105" t="s">
        <v>11</v>
      </c>
      <c r="G13105" t="s">
        <v>267</v>
      </c>
      <c r="H13105" s="12">
        <v>-1.3181997055721599</v>
      </c>
      <c r="I13105" s="20">
        <v>-0.624857315122329</v>
      </c>
      <c r="J13105" s="28">
        <v>0.53206470948815299</v>
      </c>
      <c r="K13105" s="29">
        <v>0.98289565623980701</v>
      </c>
    </row>
    <row r="13106" spans="1:11" x14ac:dyDescent="0.35">
      <c r="A13106" s="9" t="str">
        <f>HYPERLINK("http://www.ensembl.org/id/WBGene00003547", "WBGene00003547")</f>
        <v>WBGene00003547</v>
      </c>
      <c r="B13106" s="9" t="str">
        <f>HYPERLINK("http://www.ncbi.nlm.nih.gov/gene/186488", "186488")</f>
        <v>186488</v>
      </c>
      <c r="C13106" s="9"/>
      <c r="D13106" t="str">
        <f>"nas-29"</f>
        <v>nas-29</v>
      </c>
      <c r="E13106" t="s">
        <v>4919</v>
      </c>
      <c r="F13106" t="s">
        <v>11</v>
      </c>
      <c r="G13106" t="s">
        <v>267</v>
      </c>
      <c r="H13106" s="12">
        <v>1.30065883113725</v>
      </c>
      <c r="I13106" s="20">
        <v>0.40410632121595402</v>
      </c>
      <c r="J13106" s="28">
        <v>0.68613453681839098</v>
      </c>
      <c r="K13106" s="29">
        <v>0.98289565623980701</v>
      </c>
    </row>
    <row r="13107" spans="1:11" x14ac:dyDescent="0.35">
      <c r="A13107" s="9" t="str">
        <f>HYPERLINK("http://www.ensembl.org/id/WBGene00003522", "WBGene00003522")</f>
        <v>WBGene00003522</v>
      </c>
      <c r="B13107" s="9" t="str">
        <f>HYPERLINK("http://www.ncbi.nlm.nih.gov/gene/187045", "187045")</f>
        <v>187045</v>
      </c>
      <c r="C13107" s="9"/>
      <c r="D13107" t="str">
        <f>"nas-3"</f>
        <v>nas-3</v>
      </c>
      <c r="E13107" t="s">
        <v>4482</v>
      </c>
      <c r="F13107" t="s">
        <v>11</v>
      </c>
      <c r="G13107" t="s">
        <v>1542</v>
      </c>
      <c r="H13107" s="12">
        <v>1.8865796857117101</v>
      </c>
      <c r="I13107" s="20">
        <v>0.95386933687081898</v>
      </c>
      <c r="J13107" s="28">
        <v>0.34014978646426502</v>
      </c>
      <c r="K13107" s="29">
        <v>0.98289565623980701</v>
      </c>
    </row>
    <row r="13108" spans="1:11" x14ac:dyDescent="0.35">
      <c r="A13108" s="9" t="str">
        <f>HYPERLINK("http://www.ensembl.org/id/WBGene00003548", "WBGene00003548")</f>
        <v>WBGene00003548</v>
      </c>
      <c r="B13108" s="9" t="str">
        <f>HYPERLINK("http://www.ncbi.nlm.nih.gov/gene/190803", "190803")</f>
        <v>190803</v>
      </c>
      <c r="C13108" s="9"/>
      <c r="D13108" t="str">
        <f>"nas-30"</f>
        <v>nas-30</v>
      </c>
      <c r="E13108" t="s">
        <v>4868</v>
      </c>
      <c r="F13108" t="s">
        <v>11</v>
      </c>
      <c r="G13108" t="s">
        <v>1542</v>
      </c>
      <c r="H13108" s="12">
        <v>1.32577982843612</v>
      </c>
      <c r="I13108" s="20">
        <v>0.614106304557966</v>
      </c>
      <c r="J13108" s="28">
        <v>0.53914508241292802</v>
      </c>
      <c r="K13108" s="29">
        <v>0.98289565623980701</v>
      </c>
    </row>
    <row r="13109" spans="1:11" x14ac:dyDescent="0.35">
      <c r="A13109" s="9" t="str">
        <f>HYPERLINK("http://www.ensembl.org/id/WBGene00003554", "WBGene00003554")</f>
        <v>WBGene00003554</v>
      </c>
      <c r="B13109" s="9" t="str">
        <f>HYPERLINK("http://www.ncbi.nlm.nih.gov/gene/180407", "180407")</f>
        <v>180407</v>
      </c>
      <c r="C13109" s="9"/>
      <c r="D13109" t="str">
        <f>"nas-38"</f>
        <v>nas-38</v>
      </c>
      <c r="E13109" t="s">
        <v>9970</v>
      </c>
      <c r="F13109" t="s">
        <v>11</v>
      </c>
      <c r="G13109" t="s">
        <v>267</v>
      </c>
      <c r="H13109" s="12">
        <v>-1.51891345605629</v>
      </c>
      <c r="I13109" s="20">
        <v>-0.68715897886805699</v>
      </c>
      <c r="J13109" s="28">
        <v>0.49198255120460299</v>
      </c>
      <c r="K13109" s="29">
        <v>0.98289565623980701</v>
      </c>
    </row>
    <row r="13110" spans="1:11" x14ac:dyDescent="0.35">
      <c r="A13110" s="9" t="str">
        <f>HYPERLINK("http://www.ensembl.org/id/WBGene00003524", "WBGene00003524")</f>
        <v>WBGene00003524</v>
      </c>
      <c r="B13110" s="9" t="str">
        <f>HYPERLINK("http://www.ncbi.nlm.nih.gov/gene/188819", "188819")</f>
        <v>188819</v>
      </c>
      <c r="C13110" s="9"/>
      <c r="D13110" t="str">
        <f>"nas-5"</f>
        <v>nas-5</v>
      </c>
      <c r="E13110" t="s">
        <v>5213</v>
      </c>
      <c r="F13110" t="s">
        <v>11</v>
      </c>
      <c r="G13110" t="s">
        <v>1542</v>
      </c>
      <c r="H13110" s="12">
        <v>1.214753826875</v>
      </c>
      <c r="I13110" s="20">
        <v>0.46691822117982501</v>
      </c>
      <c r="J13110" s="28">
        <v>0.64055838829687295</v>
      </c>
      <c r="K13110" s="29">
        <v>0.98289565623980701</v>
      </c>
    </row>
    <row r="13111" spans="1:11" x14ac:dyDescent="0.35">
      <c r="A13111" s="9" t="str">
        <f>HYPERLINK("http://www.ensembl.org/id/WBGene00003525", "WBGene00003525")</f>
        <v>WBGene00003525</v>
      </c>
      <c r="B13111" s="9" t="str">
        <f>HYPERLINK("http://www.ncbi.nlm.nih.gov/gene/181796", "181796")</f>
        <v>181796</v>
      </c>
      <c r="C13111" s="9"/>
      <c r="D13111" t="str">
        <f>"nas-6"</f>
        <v>nas-6</v>
      </c>
      <c r="E13111" t="s">
        <v>4532</v>
      </c>
      <c r="F13111" t="s">
        <v>11</v>
      </c>
      <c r="G13111" t="s">
        <v>4533</v>
      </c>
      <c r="H13111" s="12">
        <v>1.7653711832116801</v>
      </c>
      <c r="I13111" s="20">
        <v>0.68484275821442997</v>
      </c>
      <c r="J13111" s="28">
        <v>0.49344315040382902</v>
      </c>
      <c r="K13111" s="29">
        <v>0.98289565623980701</v>
      </c>
    </row>
    <row r="13112" spans="1:11" x14ac:dyDescent="0.35">
      <c r="A13112" s="9" t="str">
        <f>HYPERLINK("http://www.ensembl.org/id/WBGene00003526", "WBGene00003526")</f>
        <v>WBGene00003526</v>
      </c>
      <c r="B13112" s="9" t="str">
        <f>HYPERLINK("http://www.ncbi.nlm.nih.gov/gene/182368", "182368")</f>
        <v>182368</v>
      </c>
      <c r="C13112" s="9"/>
      <c r="D13112" t="str">
        <f>"nas-7"</f>
        <v>nas-7</v>
      </c>
      <c r="E13112" t="s">
        <v>5588</v>
      </c>
      <c r="F13112" t="s">
        <v>11</v>
      </c>
      <c r="G13112" t="s">
        <v>1542</v>
      </c>
      <c r="H13112" s="12">
        <v>1.1393682076526499</v>
      </c>
      <c r="I13112" s="20">
        <v>0.437543403706185</v>
      </c>
      <c r="J13112" s="28">
        <v>0.66171730588822197</v>
      </c>
      <c r="K13112" s="29">
        <v>0.98289565623980701</v>
      </c>
    </row>
    <row r="13113" spans="1:11" x14ac:dyDescent="0.35">
      <c r="A13113" s="9" t="str">
        <f>HYPERLINK("http://www.ensembl.org/id/WBGene00020719", "WBGene00020719")</f>
        <v>WBGene00020719</v>
      </c>
      <c r="B13113" s="9" t="str">
        <f>HYPERLINK("http://www.ncbi.nlm.nih.gov/gene/179228", "179228")</f>
        <v>179228</v>
      </c>
      <c r="C13113" s="9" t="str">
        <f>HYPERLINK("http://www.ncbi.nlm.nih.gov/gene/60560", "60560")</f>
        <v>60560</v>
      </c>
      <c r="D13113" t="str">
        <f>"natc-1"</f>
        <v>natc-1</v>
      </c>
      <c r="E13113" t="s">
        <v>7619</v>
      </c>
      <c r="F13113" t="s">
        <v>11</v>
      </c>
      <c r="G13113" t="s">
        <v>9595</v>
      </c>
      <c r="H13113" s="12">
        <v>-1.2625702715499501</v>
      </c>
      <c r="I13113" s="20">
        <v>-1.20231775917529</v>
      </c>
      <c r="J13113" s="28">
        <v>0.229240438869383</v>
      </c>
      <c r="K13113" s="29">
        <v>0.98289565623980701</v>
      </c>
    </row>
    <row r="13114" spans="1:11" x14ac:dyDescent="0.35">
      <c r="A13114" s="9" t="str">
        <f>HYPERLINK("http://www.ensembl.org/id/WBGene00015074", "WBGene00015074")</f>
        <v>WBGene00015074</v>
      </c>
      <c r="B13114" s="9" t="str">
        <f>HYPERLINK("http://www.ncbi.nlm.nih.gov/gene/178916", "178916")</f>
        <v>178916</v>
      </c>
      <c r="C13114" s="9"/>
      <c r="D13114" t="str">
        <f>"natc-2"</f>
        <v>natc-2</v>
      </c>
      <c r="E13114" t="s">
        <v>7619</v>
      </c>
      <c r="F13114" t="s">
        <v>11</v>
      </c>
      <c r="G13114" t="s">
        <v>7620</v>
      </c>
      <c r="H13114" s="12">
        <v>-1.13644361416977</v>
      </c>
      <c r="I13114" s="20">
        <v>-0.642982224415379</v>
      </c>
      <c r="J13114" s="28">
        <v>0.52023563407415596</v>
      </c>
      <c r="K13114" s="29">
        <v>0.98289565623980701</v>
      </c>
    </row>
    <row r="13115" spans="1:11" x14ac:dyDescent="0.35">
      <c r="A13115" s="9" t="str">
        <f>HYPERLINK("http://www.ensembl.org/id/WBGene00043064", "WBGene00043064")</f>
        <v>WBGene00043064</v>
      </c>
      <c r="B13115" s="9" t="str">
        <f>HYPERLINK("http://www.ncbi.nlm.nih.gov/gene/259570", "259570")</f>
        <v>259570</v>
      </c>
      <c r="C13115" s="9"/>
      <c r="D13115" t="str">
        <f>"nbet-1"</f>
        <v>nbet-1</v>
      </c>
      <c r="E13115" t="s">
        <v>7468</v>
      </c>
      <c r="F13115" t="s">
        <v>11</v>
      </c>
      <c r="G13115" t="s">
        <v>7469</v>
      </c>
      <c r="H13115" s="12">
        <v>-1.12785363547299</v>
      </c>
      <c r="I13115" s="20">
        <v>-0.58445601223104504</v>
      </c>
      <c r="J13115" s="28">
        <v>0.558913551606532</v>
      </c>
      <c r="K13115" s="29">
        <v>0.98289565623980701</v>
      </c>
    </row>
    <row r="13116" spans="1:11" x14ac:dyDescent="0.35">
      <c r="A13116" s="9" t="str">
        <f>HYPERLINK("http://www.ensembl.org/id/WBGene00003558", "WBGene00003558")</f>
        <v>WBGene00003558</v>
      </c>
      <c r="B13116" s="9" t="str">
        <f>HYPERLINK("http://www.ncbi.nlm.nih.gov/gene/175674", "175674")</f>
        <v>175674</v>
      </c>
      <c r="C13116" s="9" t="str">
        <f>HYPERLINK("http://www.ncbi.nlm.nih.gov/gene/259232", "259232")</f>
        <v>259232</v>
      </c>
      <c r="D13116" t="str">
        <f>"nca-2"</f>
        <v>nca-2</v>
      </c>
      <c r="E13116" t="s">
        <v>5687</v>
      </c>
      <c r="F13116" t="s">
        <v>11</v>
      </c>
      <c r="G13116" t="s">
        <v>5688</v>
      </c>
      <c r="H13116" s="12">
        <v>1.1226998282505201</v>
      </c>
      <c r="I13116" s="20">
        <v>0.45538764419784</v>
      </c>
      <c r="J13116" s="28">
        <v>0.64883038274720395</v>
      </c>
      <c r="K13116" s="29">
        <v>0.98289565623980701</v>
      </c>
    </row>
    <row r="13117" spans="1:11" x14ac:dyDescent="0.35">
      <c r="A13117" s="9" t="str">
        <f>HYPERLINK("http://www.ensembl.org/id/WBGene00018156", "WBGene00018156")</f>
        <v>WBGene00018156</v>
      </c>
      <c r="B13117" s="9" t="str">
        <f>HYPERLINK("http://www.ncbi.nlm.nih.gov/gene/172345", "172345")</f>
        <v>172345</v>
      </c>
      <c r="C13117" s="9" t="str">
        <f>HYPERLINK("http://www.ncbi.nlm.nih.gov/gene/4686", "4686")</f>
        <v>4686</v>
      </c>
      <c r="D13117" t="str">
        <f>"ncbp-1"</f>
        <v>ncbp-1</v>
      </c>
      <c r="E13117" t="s">
        <v>8020</v>
      </c>
      <c r="F13117" t="s">
        <v>11</v>
      </c>
      <c r="G13117" t="s">
        <v>8021</v>
      </c>
      <c r="H13117" s="12">
        <v>-1.1563118875570699</v>
      </c>
      <c r="I13117" s="20">
        <v>-0.659362804769273</v>
      </c>
      <c r="J13117" s="28">
        <v>0.50966282108042604</v>
      </c>
      <c r="K13117" s="29">
        <v>0.98289565623980701</v>
      </c>
    </row>
    <row r="13118" spans="1:11" x14ac:dyDescent="0.35">
      <c r="A13118" s="9" t="str">
        <f>HYPERLINK("http://www.ensembl.org/id/WBGene00009141", "WBGene00009141")</f>
        <v>WBGene00009141</v>
      </c>
      <c r="B13118" s="9" t="str">
        <f>HYPERLINK("http://www.ncbi.nlm.nih.gov/gene/184953", "184953")</f>
        <v>184953</v>
      </c>
      <c r="C13118" s="9"/>
      <c r="D13118" t="str">
        <f>"ncbp-2"</f>
        <v>ncbp-2</v>
      </c>
      <c r="E13118" t="s">
        <v>7967</v>
      </c>
      <c r="F13118" t="s">
        <v>11</v>
      </c>
      <c r="G13118" t="s">
        <v>7968</v>
      </c>
      <c r="H13118" s="12">
        <v>-1.1538099605054699</v>
      </c>
      <c r="I13118" s="20">
        <v>-0.66525089397627202</v>
      </c>
      <c r="J13118" s="28">
        <v>0.50589003332057103</v>
      </c>
      <c r="K13118" s="29">
        <v>0.98289565623980701</v>
      </c>
    </row>
    <row r="13119" spans="1:11" x14ac:dyDescent="0.35">
      <c r="A13119" s="9" t="str">
        <f>HYPERLINK("http://www.ensembl.org/id/WBGene00012810", "WBGene00012810")</f>
        <v>WBGene00012810</v>
      </c>
      <c r="B13119" s="9" t="str">
        <f>HYPERLINK("http://www.ncbi.nlm.nih.gov/gene/189866", "189866")</f>
        <v>189866</v>
      </c>
      <c r="C13119" s="9" t="str">
        <f>HYPERLINK("http://www.ncbi.nlm.nih.gov/gene/57552", "57552")</f>
        <v>57552</v>
      </c>
      <c r="D13119" t="str">
        <f>"nceh-1"</f>
        <v>nceh-1</v>
      </c>
      <c r="E13119" t="s">
        <v>9893</v>
      </c>
      <c r="F13119" t="s">
        <v>11</v>
      </c>
      <c r="G13119" t="s">
        <v>146</v>
      </c>
      <c r="H13119" s="12">
        <v>-1.353418456475</v>
      </c>
      <c r="I13119" s="20">
        <v>-0.57701676869890695</v>
      </c>
      <c r="J13119" s="28">
        <v>0.56392812779665902</v>
      </c>
      <c r="K13119" s="29">
        <v>0.98289565623980701</v>
      </c>
    </row>
    <row r="13120" spans="1:11" x14ac:dyDescent="0.35">
      <c r="A13120" s="9" t="str">
        <f>HYPERLINK("http://www.ensembl.org/id/WBGene00006410", "WBGene00006410")</f>
        <v>WBGene00006410</v>
      </c>
      <c r="B13120" s="9" t="str">
        <f>HYPERLINK("http://www.ncbi.nlm.nih.gov/gene/180690", "180690")</f>
        <v>180690</v>
      </c>
      <c r="C13120" s="9" t="str">
        <f>HYPERLINK("http://www.ncbi.nlm.nih.gov/gene/8440", "8440")</f>
        <v>8440</v>
      </c>
      <c r="D13120" t="str">
        <f>"nck-1"</f>
        <v>nck-1</v>
      </c>
      <c r="E13120" t="s">
        <v>6047</v>
      </c>
      <c r="F13120" t="s">
        <v>11</v>
      </c>
      <c r="G13120" t="s">
        <v>6048</v>
      </c>
      <c r="H13120" s="12">
        <v>1.06983521533902</v>
      </c>
      <c r="I13120" s="20">
        <v>0.36101579972118297</v>
      </c>
      <c r="J13120" s="28">
        <v>0.71808763599527203</v>
      </c>
      <c r="K13120" s="29">
        <v>0.98289565623980701</v>
      </c>
    </row>
    <row r="13121" spans="1:11" x14ac:dyDescent="0.35">
      <c r="A13121" s="9" t="str">
        <f>HYPERLINK("http://www.ensembl.org/id/WBGene00003561", "WBGene00003561")</f>
        <v>WBGene00003561</v>
      </c>
      <c r="B13121" s="9" t="str">
        <f>HYPERLINK("http://www.ncbi.nlm.nih.gov/gene/180719", "180719")</f>
        <v>180719</v>
      </c>
      <c r="C13121" s="9"/>
      <c r="D13121" t="str">
        <f>"ncr-1"</f>
        <v>ncr-1</v>
      </c>
      <c r="E13121" t="s">
        <v>6410</v>
      </c>
      <c r="F13121" t="s">
        <v>11</v>
      </c>
      <c r="G13121" t="s">
        <v>1268</v>
      </c>
      <c r="H13121" s="12">
        <v>-1.0682252985224501</v>
      </c>
      <c r="I13121" s="20">
        <v>-0.36148376266881599</v>
      </c>
      <c r="J13121" s="28">
        <v>0.71773784106884397</v>
      </c>
      <c r="K13121" s="29">
        <v>0.98289565623980701</v>
      </c>
    </row>
    <row r="13122" spans="1:11" x14ac:dyDescent="0.35">
      <c r="A13122" s="9" t="str">
        <f>HYPERLINK("http://www.ensembl.org/id/WBGene00003564", "WBGene00003564")</f>
        <v>WBGene00003564</v>
      </c>
      <c r="B13122" s="9" t="str">
        <f>HYPERLINK("http://www.ncbi.nlm.nih.gov/gene/172866", "172866")</f>
        <v>172866</v>
      </c>
      <c r="C13122" s="9"/>
      <c r="D13122" t="str">
        <f>"ncs-2"</f>
        <v>ncs-2</v>
      </c>
      <c r="E13122" t="s">
        <v>5977</v>
      </c>
      <c r="F13122" t="s">
        <v>11</v>
      </c>
      <c r="G13122" t="s">
        <v>325</v>
      </c>
      <c r="H13122" s="12">
        <v>1.0771910778252101</v>
      </c>
      <c r="I13122" s="20">
        <v>0.415214416705116</v>
      </c>
      <c r="J13122" s="28">
        <v>0.67798494594977199</v>
      </c>
      <c r="K13122" s="29">
        <v>0.98289565623980701</v>
      </c>
    </row>
    <row r="13123" spans="1:11" x14ac:dyDescent="0.35">
      <c r="A13123" s="9" t="str">
        <f>HYPERLINK("http://www.ensembl.org/id/WBGene00003565", "WBGene00003565")</f>
        <v>WBGene00003565</v>
      </c>
      <c r="B13123" s="9" t="str">
        <f>HYPERLINK("http://www.ncbi.nlm.nih.gov/gene/186953", "186953")</f>
        <v>186953</v>
      </c>
      <c r="C13123" s="9"/>
      <c r="D13123" t="str">
        <f>"ncs-3"</f>
        <v>ncs-3</v>
      </c>
      <c r="E13123" t="s">
        <v>3304</v>
      </c>
      <c r="F13123" t="s">
        <v>11</v>
      </c>
      <c r="G13123" t="s">
        <v>325</v>
      </c>
      <c r="H13123" s="12">
        <v>1.21645070325483</v>
      </c>
      <c r="I13123" s="20">
        <v>0.74222134020976305</v>
      </c>
      <c r="J13123" s="28">
        <v>0.45795324100141599</v>
      </c>
      <c r="K13123" s="29">
        <v>0.98289565623980701</v>
      </c>
    </row>
    <row r="13124" spans="1:11" x14ac:dyDescent="0.35">
      <c r="A13124" s="9" t="str">
        <f>HYPERLINK("http://www.ensembl.org/id/WBGene00003575", "WBGene00003575")</f>
        <v>WBGene00003575</v>
      </c>
      <c r="B13124" s="9" t="str">
        <f>HYPERLINK("http://www.ncbi.nlm.nih.gov/gene/190821", "190821")</f>
        <v>190821</v>
      </c>
      <c r="C13124" s="9" t="str">
        <f>HYPERLINK("http://www.ncbi.nlm.nih.gov/gene/80024", "80024")</f>
        <v>80024</v>
      </c>
      <c r="D13124" t="str">
        <f>"ncx-10"</f>
        <v>ncx-10</v>
      </c>
      <c r="E13124" t="s">
        <v>542</v>
      </c>
      <c r="F13124" t="s">
        <v>11</v>
      </c>
      <c r="G13124" t="s">
        <v>1632</v>
      </c>
      <c r="H13124" s="12">
        <v>1.23740731539728</v>
      </c>
      <c r="I13124" s="20">
        <v>0.43382861732082101</v>
      </c>
      <c r="J13124" s="28">
        <v>0.66441289886211796</v>
      </c>
      <c r="K13124" s="29">
        <v>0.98289565623980701</v>
      </c>
    </row>
    <row r="13125" spans="1:11" x14ac:dyDescent="0.35">
      <c r="A13125" s="9" t="str">
        <f>HYPERLINK("http://www.ensembl.org/id/WBGene00003568", "WBGene00003568")</f>
        <v>WBGene00003568</v>
      </c>
      <c r="B13125" s="9" t="str">
        <f>HYPERLINK("http://www.ncbi.nlm.nih.gov/gene/177963", "177963")</f>
        <v>177963</v>
      </c>
      <c r="C13125" s="9"/>
      <c r="D13125" t="str">
        <f>"ncx-3"</f>
        <v>ncx-3</v>
      </c>
      <c r="E13125" t="s">
        <v>542</v>
      </c>
      <c r="F13125" t="s">
        <v>11</v>
      </c>
      <c r="G13125" t="s">
        <v>5216</v>
      </c>
      <c r="H13125" s="12">
        <v>1.21402105963314</v>
      </c>
      <c r="I13125" s="20">
        <v>0.90593057614777195</v>
      </c>
      <c r="J13125" s="28">
        <v>0.36497259929353099</v>
      </c>
      <c r="K13125" s="29">
        <v>0.98289565623980701</v>
      </c>
    </row>
    <row r="13126" spans="1:11" x14ac:dyDescent="0.35">
      <c r="A13126" s="9" t="str">
        <f>HYPERLINK("http://www.ensembl.org/id/WBGene00003569", "WBGene00003569")</f>
        <v>WBGene00003569</v>
      </c>
      <c r="B13126" s="9" t="str">
        <f>HYPERLINK("http://www.ncbi.nlm.nih.gov/gene/172834", "172834")</f>
        <v>172834</v>
      </c>
      <c r="C13126" s="9" t="str">
        <f>HYPERLINK("http://www.ncbi.nlm.nih.gov/gene/9187", "9187")</f>
        <v>9187</v>
      </c>
      <c r="D13126" t="str">
        <f>"ncx-4"</f>
        <v>ncx-4</v>
      </c>
      <c r="E13126" t="s">
        <v>542</v>
      </c>
      <c r="F13126" t="s">
        <v>11</v>
      </c>
      <c r="G13126" t="s">
        <v>5668</v>
      </c>
      <c r="H13126" s="12">
        <v>1.1261238180939199</v>
      </c>
      <c r="I13126" s="20">
        <v>0.577950368681171</v>
      </c>
      <c r="J13126" s="28">
        <v>0.56329762786370297</v>
      </c>
      <c r="K13126" s="29">
        <v>0.98289565623980701</v>
      </c>
    </row>
    <row r="13127" spans="1:11" x14ac:dyDescent="0.35">
      <c r="A13127" s="9" t="str">
        <f>HYPERLINK("http://www.ensembl.org/id/WBGene00003570", "WBGene00003570")</f>
        <v>WBGene00003570</v>
      </c>
      <c r="B13127" s="9" t="str">
        <f>HYPERLINK("http://www.ncbi.nlm.nih.gov/gene/191715", "191715")</f>
        <v>191715</v>
      </c>
      <c r="C13127" s="9" t="str">
        <f>HYPERLINK("http://www.ncbi.nlm.nih.gov/gene/9187", "9187")</f>
        <v>9187</v>
      </c>
      <c r="D13127" t="str">
        <f>"ncx-5"</f>
        <v>ncx-5</v>
      </c>
      <c r="E13127" t="s">
        <v>542</v>
      </c>
      <c r="F13127" t="s">
        <v>11</v>
      </c>
      <c r="G13127" t="s">
        <v>4450</v>
      </c>
      <c r="H13127" s="12">
        <v>2.03891708293903</v>
      </c>
      <c r="I13127" s="20">
        <v>1.0967223544750799</v>
      </c>
      <c r="J13127" s="28">
        <v>0.27276278126688103</v>
      </c>
      <c r="K13127" s="29">
        <v>0.98289565623980701</v>
      </c>
    </row>
    <row r="13128" spans="1:11" x14ac:dyDescent="0.35">
      <c r="A13128" s="9" t="str">
        <f>HYPERLINK("http://www.ensembl.org/id/WBGene00003571", "WBGene00003571")</f>
        <v>WBGene00003571</v>
      </c>
      <c r="B13128" s="9" t="str">
        <f>HYPERLINK("http://www.ncbi.nlm.nih.gov/gene/182354", "182354")</f>
        <v>182354</v>
      </c>
      <c r="C13128" s="9" t="str">
        <f>HYPERLINK("http://www.ncbi.nlm.nih.gov/gene/80024", "80024")</f>
        <v>80024</v>
      </c>
      <c r="D13128" t="str">
        <f>"ncx-6"</f>
        <v>ncx-6</v>
      </c>
      <c r="E13128" t="s">
        <v>4678</v>
      </c>
      <c r="F13128" t="s">
        <v>11</v>
      </c>
      <c r="G13128" t="s">
        <v>1217</v>
      </c>
      <c r="H13128" s="12">
        <v>1.5065582593345299</v>
      </c>
      <c r="I13128" s="20">
        <v>0.95335698095343202</v>
      </c>
      <c r="J13128" s="28">
        <v>0.34040923001618401</v>
      </c>
      <c r="K13128" s="29">
        <v>0.98289565623980701</v>
      </c>
    </row>
    <row r="13129" spans="1:11" x14ac:dyDescent="0.35">
      <c r="A13129" s="9" t="str">
        <f>HYPERLINK("http://www.ensembl.org/id/WBGene00003572", "WBGene00003572")</f>
        <v>WBGene00003572</v>
      </c>
      <c r="B13129" s="9" t="str">
        <f>HYPERLINK("http://www.ncbi.nlm.nih.gov/gene/176370", "176370")</f>
        <v>176370</v>
      </c>
      <c r="C13129" s="9" t="str">
        <f>HYPERLINK("http://www.ncbi.nlm.nih.gov/gene/80024", "80024")</f>
        <v>80024</v>
      </c>
      <c r="D13129" t="str">
        <f>"ncx-7"</f>
        <v>ncx-7</v>
      </c>
      <c r="E13129" t="s">
        <v>9301</v>
      </c>
      <c r="F13129" t="s">
        <v>11</v>
      </c>
      <c r="G13129" t="s">
        <v>1217</v>
      </c>
      <c r="H13129" s="12">
        <v>-1.2359913107898599</v>
      </c>
      <c r="I13129" s="20">
        <v>-0.25577239720535599</v>
      </c>
      <c r="J13129" s="28">
        <v>0.798126588935688</v>
      </c>
      <c r="K13129" s="29">
        <v>0.98289565623980701</v>
      </c>
    </row>
    <row r="13130" spans="1:11" x14ac:dyDescent="0.35">
      <c r="A13130" s="9" t="str">
        <f>HYPERLINK("http://www.ensembl.org/id/WBGene00003576", "WBGene00003576")</f>
        <v>WBGene00003576</v>
      </c>
      <c r="B13130" s="9" t="str">
        <f>HYPERLINK("http://www.ncbi.nlm.nih.gov/gene/177873", "177873")</f>
        <v>177873</v>
      </c>
      <c r="C13130" s="9"/>
      <c r="D13130" t="str">
        <f>"ndc-80"</f>
        <v>ndc-80</v>
      </c>
      <c r="E13130" t="s">
        <v>9250</v>
      </c>
      <c r="F13130" t="s">
        <v>11</v>
      </c>
      <c r="G13130" t="s">
        <v>9251</v>
      </c>
      <c r="H13130" s="12">
        <v>-1.2306338460702</v>
      </c>
      <c r="I13130" s="20">
        <v>-0.87074742725055798</v>
      </c>
      <c r="J13130" s="28">
        <v>0.38389207635239497</v>
      </c>
      <c r="K13130" s="29">
        <v>0.98289565623980701</v>
      </c>
    </row>
    <row r="13131" spans="1:11" x14ac:dyDescent="0.35">
      <c r="A13131" s="9" t="str">
        <f>HYPERLINK("http://www.ensembl.org/id/WBGene00009119", "WBGene00009119")</f>
        <v>WBGene00009119</v>
      </c>
      <c r="B13131" s="9" t="str">
        <f>HYPERLINK("http://www.ncbi.nlm.nih.gov/gene/172939", "172939")</f>
        <v>172939</v>
      </c>
      <c r="C13131" s="9" t="str">
        <f>HYPERLINK("http://www.ncbi.nlm.nih.gov/gene/654364", "654364")</f>
        <v>654364</v>
      </c>
      <c r="D13131" t="str">
        <f>"ndk-1"</f>
        <v>ndk-1</v>
      </c>
      <c r="E13131" t="s">
        <v>8610</v>
      </c>
      <c r="F13131" t="s">
        <v>11</v>
      </c>
      <c r="G13131" t="s">
        <v>8611</v>
      </c>
      <c r="H13131" s="12">
        <v>-1.1864852607213201</v>
      </c>
      <c r="I13131" s="20">
        <v>-0.92306213418754302</v>
      </c>
      <c r="J13131" s="28">
        <v>0.35597482617225401</v>
      </c>
      <c r="K13131" s="29">
        <v>0.98289565623980701</v>
      </c>
    </row>
    <row r="13132" spans="1:11" x14ac:dyDescent="0.35">
      <c r="A13132" s="9" t="str">
        <f>HYPERLINK("http://www.ensembl.org/id/WBGene00021839", "WBGene00021839")</f>
        <v>WBGene00021839</v>
      </c>
      <c r="B13132" s="9" t="str">
        <f>HYPERLINK("http://www.ncbi.nlm.nih.gov/gene/266824", "266824")</f>
        <v>266824</v>
      </c>
      <c r="C13132" s="9"/>
      <c r="D13132" t="str">
        <f>"nduf-5"</f>
        <v>nduf-5</v>
      </c>
      <c r="E13132" t="s">
        <v>1235</v>
      </c>
      <c r="F13132" t="s">
        <v>11</v>
      </c>
      <c r="G13132" t="s">
        <v>6318</v>
      </c>
      <c r="H13132" s="12">
        <v>-1.0624011290385</v>
      </c>
      <c r="I13132" s="20">
        <v>-0.30854391887307198</v>
      </c>
      <c r="J13132" s="28">
        <v>0.75766848674545495</v>
      </c>
      <c r="K13132" s="29">
        <v>0.98289565623980701</v>
      </c>
    </row>
    <row r="13133" spans="1:11" x14ac:dyDescent="0.35">
      <c r="A13133" s="9" t="str">
        <f>HYPERLINK("http://www.ensembl.org/id/WBGene00012376", "WBGene00012376")</f>
        <v>WBGene00012376</v>
      </c>
      <c r="B13133" s="9" t="str">
        <f>HYPERLINK("http://www.ncbi.nlm.nih.gov/gene/172734", "172734")</f>
        <v>172734</v>
      </c>
      <c r="C13133" s="9" t="str">
        <f>HYPERLINK("http://www.ncbi.nlm.nih.gov/gene/374291", "374291")</f>
        <v>374291</v>
      </c>
      <c r="D13133" t="str">
        <f>"nduf-7"</f>
        <v>nduf-7</v>
      </c>
      <c r="E13133" t="s">
        <v>6372</v>
      </c>
      <c r="F13133" t="s">
        <v>11</v>
      </c>
      <c r="G13133" t="s">
        <v>6373</v>
      </c>
      <c r="H13133" s="12">
        <v>-1.0654798276914399</v>
      </c>
      <c r="I13133" s="20">
        <v>-0.34533811492540101</v>
      </c>
      <c r="J13133" s="28">
        <v>0.729840195565994</v>
      </c>
      <c r="K13133" s="29">
        <v>0.98289565623980701</v>
      </c>
    </row>
    <row r="13134" spans="1:11" x14ac:dyDescent="0.35">
      <c r="A13134" s="9" t="str">
        <f>HYPERLINK("http://www.ensembl.org/id/WBGene00003579", "WBGene00003579")</f>
        <v>WBGene00003579</v>
      </c>
      <c r="B13134" s="9" t="str">
        <f>HYPERLINK("http://www.ncbi.nlm.nih.gov/gene/189126", "189126")</f>
        <v>189126</v>
      </c>
      <c r="C13134" s="9" t="str">
        <f>HYPERLINK("http://www.ncbi.nlm.nih.gov/gene/11164", "11164")</f>
        <v>11164</v>
      </c>
      <c r="D13134" t="str">
        <f>"ndx-2"</f>
        <v>ndx-2</v>
      </c>
      <c r="E13134" t="s">
        <v>5507</v>
      </c>
      <c r="F13134" t="s">
        <v>11</v>
      </c>
      <c r="G13134" t="s">
        <v>423</v>
      </c>
      <c r="H13134" s="12">
        <v>1.1546369600826001</v>
      </c>
      <c r="I13134" s="20">
        <v>0.54692471325194503</v>
      </c>
      <c r="J13134" s="28">
        <v>0.58443045648354197</v>
      </c>
      <c r="K13134" s="29">
        <v>0.98289565623980701</v>
      </c>
    </row>
    <row r="13135" spans="1:11" x14ac:dyDescent="0.35">
      <c r="A13135" s="9" t="str">
        <f>HYPERLINK("http://www.ensembl.org/id/WBGene00003580", "WBGene00003580")</f>
        <v>WBGene00003580</v>
      </c>
      <c r="B13135" s="9" t="str">
        <f>HYPERLINK("http://www.ncbi.nlm.nih.gov/gene/173857", "173857")</f>
        <v>173857</v>
      </c>
      <c r="C13135" s="9" t="str">
        <f>HYPERLINK("http://www.ncbi.nlm.nih.gov/gene/254552", "254552")</f>
        <v>254552</v>
      </c>
      <c r="D13135" t="str">
        <f>"ndx-3"</f>
        <v>ndx-3</v>
      </c>
      <c r="E13135" t="s">
        <v>6882</v>
      </c>
      <c r="F13135" t="s">
        <v>11</v>
      </c>
      <c r="G13135" t="s">
        <v>6883</v>
      </c>
      <c r="H13135" s="12">
        <v>-1.09405143251745</v>
      </c>
      <c r="I13135" s="20">
        <v>-0.34340189554272499</v>
      </c>
      <c r="J13135" s="28">
        <v>0.73129613370125601</v>
      </c>
      <c r="K13135" s="29">
        <v>0.98289565623980701</v>
      </c>
    </row>
    <row r="13136" spans="1:11" x14ac:dyDescent="0.35">
      <c r="A13136" s="9" t="str">
        <f>HYPERLINK("http://www.ensembl.org/id/WBGene00003581", "WBGene00003581")</f>
        <v>WBGene00003581</v>
      </c>
      <c r="B13136" s="9" t="str">
        <f>HYPERLINK("http://www.ncbi.nlm.nih.gov/gene/189639", "189639")</f>
        <v>189639</v>
      </c>
      <c r="C13136" s="9" t="str">
        <f>HYPERLINK("http://www.ncbi.nlm.nih.gov/gene/318", "318")</f>
        <v>318</v>
      </c>
      <c r="D13136" t="str">
        <f>"ndx-4"</f>
        <v>ndx-4</v>
      </c>
      <c r="E13136" t="s">
        <v>7936</v>
      </c>
      <c r="F13136" t="s">
        <v>11</v>
      </c>
      <c r="G13136" t="s">
        <v>7937</v>
      </c>
      <c r="H13136" s="12">
        <v>-1.15176998756146</v>
      </c>
      <c r="I13136" s="20">
        <v>-0.69814570138449505</v>
      </c>
      <c r="J13136" s="28">
        <v>0.48508607974266199</v>
      </c>
      <c r="K13136" s="29">
        <v>0.98289565623980701</v>
      </c>
    </row>
    <row r="13137" spans="1:11" x14ac:dyDescent="0.35">
      <c r="A13137" s="9" t="str">
        <f>HYPERLINK("http://www.ensembl.org/id/WBGene00003583", "WBGene00003583")</f>
        <v>WBGene00003583</v>
      </c>
      <c r="B13137" s="9" t="str">
        <f>HYPERLINK("http://www.ncbi.nlm.nih.gov/gene/173916", "173916")</f>
        <v>173916</v>
      </c>
      <c r="C13137" s="9" t="str">
        <f>HYPERLINK("http://www.ncbi.nlm.nih.gov/gene/53343", "53343")</f>
        <v>53343</v>
      </c>
      <c r="D13137" t="str">
        <f>"ndx-6"</f>
        <v>ndx-6</v>
      </c>
      <c r="E13137" t="s">
        <v>5551</v>
      </c>
      <c r="F13137" t="s">
        <v>11</v>
      </c>
      <c r="G13137" t="s">
        <v>5552</v>
      </c>
      <c r="H13137" s="12">
        <v>1.14723431791437</v>
      </c>
      <c r="I13137" s="20">
        <v>0.61894838754855397</v>
      </c>
      <c r="J13137" s="28">
        <v>0.53595036046860101</v>
      </c>
      <c r="K13137" s="29">
        <v>0.98289565623980701</v>
      </c>
    </row>
    <row r="13138" spans="1:11" x14ac:dyDescent="0.35">
      <c r="A13138" s="9" t="str">
        <f>HYPERLINK("http://www.ensembl.org/id/WBGene00003584", "WBGene00003584")</f>
        <v>WBGene00003584</v>
      </c>
      <c r="B13138" s="9" t="str">
        <f>HYPERLINK("http://www.ncbi.nlm.nih.gov/gene/183413", "183413")</f>
        <v>183413</v>
      </c>
      <c r="C13138" s="9" t="str">
        <f>HYPERLINK("http://www.ncbi.nlm.nih.gov/gene/390916", "390916")</f>
        <v>390916</v>
      </c>
      <c r="D13138" t="str">
        <f>"ndx-7"</f>
        <v>ndx-7</v>
      </c>
      <c r="E13138" t="s">
        <v>6523</v>
      </c>
      <c r="F13138" t="s">
        <v>11</v>
      </c>
      <c r="G13138" t="s">
        <v>423</v>
      </c>
      <c r="H13138" s="12">
        <v>-1.07331651997375</v>
      </c>
      <c r="I13138" s="20">
        <v>-0.316083078041768</v>
      </c>
      <c r="J13138" s="28">
        <v>0.751939450574162</v>
      </c>
      <c r="K13138" s="29">
        <v>0.98289565623980701</v>
      </c>
    </row>
    <row r="13139" spans="1:11" x14ac:dyDescent="0.35">
      <c r="A13139" s="9" t="str">
        <f>HYPERLINK("http://www.ensembl.org/id/WBGene00003586", "WBGene00003586")</f>
        <v>WBGene00003586</v>
      </c>
      <c r="B13139" s="9" t="str">
        <f>HYPERLINK("http://www.ncbi.nlm.nih.gov/gene/177996", "177996")</f>
        <v>177996</v>
      </c>
      <c r="C13139" s="9" t="str">
        <f>HYPERLINK("http://www.ncbi.nlm.nih.gov/gene/25961", "25961")</f>
        <v>25961</v>
      </c>
      <c r="D13139" t="str">
        <f>"ndx-9"</f>
        <v>ndx-9</v>
      </c>
      <c r="E13139" t="s">
        <v>6233</v>
      </c>
      <c r="F13139" t="s">
        <v>11</v>
      </c>
      <c r="G13139" t="s">
        <v>423</v>
      </c>
      <c r="H13139" s="12">
        <v>-1.0548004933352699</v>
      </c>
      <c r="I13139" s="20">
        <v>-0.259776205609208</v>
      </c>
      <c r="J13139" s="28">
        <v>0.79503640616672899</v>
      </c>
      <c r="K13139" s="29">
        <v>0.98289565623980701</v>
      </c>
    </row>
    <row r="13140" spans="1:11" x14ac:dyDescent="0.35">
      <c r="A13140" s="9" t="str">
        <f>HYPERLINK("http://www.ensembl.org/id/WBGene00022631", "WBGene00022631")</f>
        <v>WBGene00022631</v>
      </c>
      <c r="B13140" s="9" t="str">
        <f>HYPERLINK("http://www.ncbi.nlm.nih.gov/gene/191199", "191199")</f>
        <v>191199</v>
      </c>
      <c r="C13140" s="9"/>
      <c r="D13140" t="str">
        <f>"nekl-2"</f>
        <v>nekl-2</v>
      </c>
      <c r="E13140" t="s">
        <v>4773</v>
      </c>
      <c r="F13140" t="s">
        <v>11</v>
      </c>
      <c r="G13140" t="s">
        <v>444</v>
      </c>
      <c r="H13140" s="12">
        <v>1.3930668681023399</v>
      </c>
      <c r="I13140" s="20">
        <v>1.1884516569197501</v>
      </c>
      <c r="J13140" s="28">
        <v>0.23465551510292701</v>
      </c>
      <c r="K13140" s="29">
        <v>0.98289565623980701</v>
      </c>
    </row>
    <row r="13141" spans="1:11" x14ac:dyDescent="0.35">
      <c r="A13141" s="9" t="str">
        <f>HYPERLINK("http://www.ensembl.org/id/WBGene00013926", "WBGene00013926")</f>
        <v>WBGene00013926</v>
      </c>
      <c r="B13141" s="9" t="str">
        <f>HYPERLINK("http://www.ncbi.nlm.nih.gov/gene/174787", "174787")</f>
        <v>174787</v>
      </c>
      <c r="C13141" s="9" t="str">
        <f>HYPERLINK("http://www.ncbi.nlm.nih.gov/gene/9718", "9718")</f>
        <v>9718</v>
      </c>
      <c r="D13141" t="str">
        <f>"nep-1"</f>
        <v>nep-1</v>
      </c>
      <c r="E13141" t="s">
        <v>5173</v>
      </c>
      <c r="F13141" t="s">
        <v>11</v>
      </c>
      <c r="G13141" t="s">
        <v>1479</v>
      </c>
      <c r="H13141" s="12">
        <v>1.2234559824614299</v>
      </c>
      <c r="I13141" s="20">
        <v>0.82828929896690995</v>
      </c>
      <c r="J13141" s="28">
        <v>0.40750668165700499</v>
      </c>
      <c r="K13141" s="29">
        <v>0.98289565623980701</v>
      </c>
    </row>
    <row r="13142" spans="1:11" x14ac:dyDescent="0.35">
      <c r="A13142" s="9" t="str">
        <f>HYPERLINK("http://www.ensembl.org/id/WBGene00017555", "WBGene00017555")</f>
        <v>WBGene00017555</v>
      </c>
      <c r="B13142" s="9" t="str">
        <f>HYPERLINK("http://www.ncbi.nlm.nih.gov/gene/173684", "173684")</f>
        <v>173684</v>
      </c>
      <c r="C13142" s="9"/>
      <c r="D13142" t="str">
        <f>"nep-10"</f>
        <v>nep-10</v>
      </c>
      <c r="E13142" t="s">
        <v>683</v>
      </c>
      <c r="F13142" t="s">
        <v>11</v>
      </c>
      <c r="G13142" t="s">
        <v>4293</v>
      </c>
      <c r="H13142" s="12">
        <v>-2.7670782459394698</v>
      </c>
      <c r="I13142" s="20">
        <v>-0.77706657930087597</v>
      </c>
      <c r="J13142" s="28">
        <v>0.43711949046690002</v>
      </c>
      <c r="K13142" s="29">
        <v>0.98289565623980701</v>
      </c>
    </row>
    <row r="13143" spans="1:11" x14ac:dyDescent="0.35">
      <c r="A13143" s="9" t="str">
        <f>HYPERLINK("http://www.ensembl.org/id/WBGene00018196", "WBGene00018196")</f>
        <v>WBGene00018196</v>
      </c>
      <c r="B13143" s="9" t="str">
        <f>HYPERLINK("http://www.ncbi.nlm.nih.gov/gene/173672", "173672")</f>
        <v>173672</v>
      </c>
      <c r="C13143" s="9"/>
      <c r="D13143" t="str">
        <f>"nep-13"</f>
        <v>nep-13</v>
      </c>
      <c r="E13143" t="s">
        <v>683</v>
      </c>
      <c r="F13143" t="s">
        <v>11</v>
      </c>
      <c r="G13143" t="s">
        <v>4293</v>
      </c>
      <c r="H13143" s="12">
        <v>-1.3373987371653799</v>
      </c>
      <c r="I13143" s="20">
        <v>-0.26678380197188201</v>
      </c>
      <c r="J13143" s="28">
        <v>0.78963562654139197</v>
      </c>
      <c r="K13143" s="29">
        <v>0.98289565623980701</v>
      </c>
    </row>
    <row r="13144" spans="1:11" x14ac:dyDescent="0.35">
      <c r="A13144" s="9" t="str">
        <f>HYPERLINK("http://www.ensembl.org/id/WBGene00018227", "WBGene00018227")</f>
        <v>WBGene00018227</v>
      </c>
      <c r="B13144" s="9" t="str">
        <f>HYPERLINK("http://www.ncbi.nlm.nih.gov/gene/185513", "185513")</f>
        <v>185513</v>
      </c>
      <c r="C13144" s="9"/>
      <c r="D13144" t="str">
        <f>"nep-15"</f>
        <v>nep-15</v>
      </c>
      <c r="E13144" t="s">
        <v>683</v>
      </c>
      <c r="F13144" t="s">
        <v>11</v>
      </c>
      <c r="G13144" t="s">
        <v>5064</v>
      </c>
      <c r="H13144" s="12">
        <v>-1.52192322187954</v>
      </c>
      <c r="I13144" s="20">
        <v>-0.51991768253222803</v>
      </c>
      <c r="J13144" s="28">
        <v>0.60312095036421098</v>
      </c>
      <c r="K13144" s="29">
        <v>0.98289565623980701</v>
      </c>
    </row>
    <row r="13145" spans="1:11" x14ac:dyDescent="0.35">
      <c r="A13145" s="9" t="str">
        <f>HYPERLINK("http://www.ensembl.org/id/WBGene00020292", "WBGene00020292")</f>
        <v>WBGene00020292</v>
      </c>
      <c r="B13145" s="9" t="str">
        <f>HYPERLINK("http://www.ncbi.nlm.nih.gov/gene/188175", "188175")</f>
        <v>188175</v>
      </c>
      <c r="C13145" s="9"/>
      <c r="D13145" t="str">
        <f>"nep-19"</f>
        <v>nep-19</v>
      </c>
      <c r="E13145" t="s">
        <v>683</v>
      </c>
      <c r="F13145" t="s">
        <v>11</v>
      </c>
      <c r="G13145" t="s">
        <v>1479</v>
      </c>
      <c r="H13145" s="12">
        <v>3.28624938312884</v>
      </c>
      <c r="I13145" s="20">
        <v>0.36379512681977599</v>
      </c>
      <c r="J13145" s="28">
        <v>0.716011001908614</v>
      </c>
      <c r="K13145" s="29">
        <v>0.98289565623980701</v>
      </c>
    </row>
    <row r="13146" spans="1:11" x14ac:dyDescent="0.35">
      <c r="A13146" s="9" t="str">
        <f>HYPERLINK("http://www.ensembl.org/id/WBGene00020230", "WBGene00020230")</f>
        <v>WBGene00020230</v>
      </c>
      <c r="B13146" s="9" t="str">
        <f>HYPERLINK("http://www.ncbi.nlm.nih.gov/gene/188090", "188090")</f>
        <v>188090</v>
      </c>
      <c r="C13146" s="9" t="str">
        <f>HYPERLINK("http://www.ncbi.nlm.nih.gov/gene/79258", "79258")</f>
        <v>79258</v>
      </c>
      <c r="D13146" t="str">
        <f>"nep-2"</f>
        <v>nep-2</v>
      </c>
      <c r="E13146" t="s">
        <v>7058</v>
      </c>
      <c r="F13146" t="s">
        <v>11</v>
      </c>
      <c r="G13146" t="s">
        <v>1479</v>
      </c>
      <c r="H13146" s="12">
        <v>-1.10498342497242</v>
      </c>
      <c r="I13146" s="20">
        <v>-0.52919102008387298</v>
      </c>
      <c r="J13146" s="28">
        <v>0.59667294543837202</v>
      </c>
      <c r="K13146" s="29">
        <v>0.98289565623980701</v>
      </c>
    </row>
    <row r="13147" spans="1:11" x14ac:dyDescent="0.35">
      <c r="A13147" s="9" t="str">
        <f>HYPERLINK("http://www.ensembl.org/id/WBGene00011794", "WBGene00011794")</f>
        <v>WBGene00011794</v>
      </c>
      <c r="B13147" s="9" t="str">
        <f>HYPERLINK("http://www.ncbi.nlm.nih.gov/gene/179925", "179925")</f>
        <v>179925</v>
      </c>
      <c r="C13147" s="9"/>
      <c r="D13147" t="str">
        <f>"nep-21"</f>
        <v>nep-21</v>
      </c>
      <c r="E13147" t="s">
        <v>5875</v>
      </c>
      <c r="F13147" t="s">
        <v>11</v>
      </c>
      <c r="G13147" t="s">
        <v>5876</v>
      </c>
      <c r="H13147" s="12">
        <v>1.0908591020993901</v>
      </c>
      <c r="I13147" s="20">
        <v>0.45489353290796702</v>
      </c>
      <c r="J13147" s="28">
        <v>0.64918583571316102</v>
      </c>
      <c r="K13147" s="29">
        <v>0.98289565623980701</v>
      </c>
    </row>
    <row r="13148" spans="1:11" x14ac:dyDescent="0.35">
      <c r="A13148" s="9" t="str">
        <f>HYPERLINK("http://www.ensembl.org/id/WBGene00013785", "WBGene00013785")</f>
        <v>WBGene00013785</v>
      </c>
      <c r="B13148" s="9" t="str">
        <f>HYPERLINK("http://www.ncbi.nlm.nih.gov/gene/178472", "178472")</f>
        <v>178472</v>
      </c>
      <c r="C13148" s="9"/>
      <c r="D13148" t="str">
        <f>"nep-23"</f>
        <v>nep-23</v>
      </c>
      <c r="E13148" t="s">
        <v>683</v>
      </c>
      <c r="F13148" t="s">
        <v>11</v>
      </c>
      <c r="G13148" t="s">
        <v>4293</v>
      </c>
      <c r="H13148" s="12">
        <v>2.09179433750705</v>
      </c>
      <c r="I13148" s="20">
        <v>0.68543411247331898</v>
      </c>
      <c r="J13148" s="28">
        <v>0.493070024255224</v>
      </c>
      <c r="K13148" s="29">
        <v>0.98289565623980701</v>
      </c>
    </row>
    <row r="13149" spans="1:11" x14ac:dyDescent="0.35">
      <c r="A13149" s="9" t="str">
        <f>HYPERLINK("http://www.ensembl.org/id/WBGene00013786", "WBGene00013786")</f>
        <v>WBGene00013786</v>
      </c>
      <c r="B13149" s="9" t="str">
        <f>HYPERLINK("http://www.ncbi.nlm.nih.gov/gene/190993", "190993")</f>
        <v>190993</v>
      </c>
      <c r="C13149" s="9"/>
      <c r="D13149" t="str">
        <f>"nep-24"</f>
        <v>nep-24</v>
      </c>
      <c r="E13149" t="s">
        <v>683</v>
      </c>
      <c r="F13149" t="s">
        <v>11</v>
      </c>
      <c r="G13149" t="s">
        <v>688</v>
      </c>
      <c r="H13149" s="12">
        <v>1.32033766825454</v>
      </c>
      <c r="I13149" s="20">
        <v>0.62427799401961304</v>
      </c>
      <c r="J13149" s="28">
        <v>0.532445033353382</v>
      </c>
      <c r="K13149" s="29">
        <v>0.98289565623980701</v>
      </c>
    </row>
    <row r="13150" spans="1:11" x14ac:dyDescent="0.35">
      <c r="A13150" s="9" t="str">
        <f>HYPERLINK("http://www.ensembl.org/id/WBGene00022874", "WBGene00022874")</f>
        <v>WBGene00022874</v>
      </c>
      <c r="B13150" s="9" t="str">
        <f>HYPERLINK("http://www.ncbi.nlm.nih.gov/gene/191543", "191543")</f>
        <v>191543</v>
      </c>
      <c r="C13150" s="9"/>
      <c r="D13150" t="str">
        <f>"nep-25"</f>
        <v>nep-25</v>
      </c>
      <c r="E13150" t="s">
        <v>683</v>
      </c>
      <c r="F13150" t="s">
        <v>11</v>
      </c>
      <c r="G13150" t="s">
        <v>5064</v>
      </c>
      <c r="H13150" s="12">
        <v>1.24899565801627</v>
      </c>
      <c r="I13150" s="20">
        <v>0.55401953312900198</v>
      </c>
      <c r="J13150" s="28">
        <v>0.579565477822933</v>
      </c>
      <c r="K13150" s="29">
        <v>0.98289565623980701</v>
      </c>
    </row>
    <row r="13151" spans="1:11" x14ac:dyDescent="0.35">
      <c r="A13151" s="9" t="str">
        <f>HYPERLINK("http://www.ensembl.org/id/WBGene00016778", "WBGene00016778")</f>
        <v>WBGene00016778</v>
      </c>
      <c r="B13151" s="9" t="str">
        <f>HYPERLINK("http://www.ncbi.nlm.nih.gov/gene/173730", "173730")</f>
        <v>173730</v>
      </c>
      <c r="C13151" s="9"/>
      <c r="D13151" t="str">
        <f>"nep-3"</f>
        <v>nep-3</v>
      </c>
      <c r="E13151" t="s">
        <v>683</v>
      </c>
      <c r="F13151" t="s">
        <v>11</v>
      </c>
      <c r="G13151" t="s">
        <v>4293</v>
      </c>
      <c r="H13151" s="12">
        <v>-2.7175492581379399</v>
      </c>
      <c r="I13151" s="20">
        <v>-0.52805139632569098</v>
      </c>
      <c r="J13151" s="28">
        <v>0.59746366381337601</v>
      </c>
      <c r="K13151" s="29">
        <v>0.98289565623980701</v>
      </c>
    </row>
    <row r="13152" spans="1:11" x14ac:dyDescent="0.35">
      <c r="A13152" s="9" t="str">
        <f>HYPERLINK("http://www.ensembl.org/id/WBGene00016896", "WBGene00016896")</f>
        <v>WBGene00016896</v>
      </c>
      <c r="B13152" s="9" t="str">
        <f>HYPERLINK("http://www.ncbi.nlm.nih.gov/gene/183746", "183746")</f>
        <v>183746</v>
      </c>
      <c r="C13152" s="9"/>
      <c r="D13152" t="str">
        <f>"nep-4"</f>
        <v>nep-4</v>
      </c>
      <c r="E13152" t="s">
        <v>683</v>
      </c>
      <c r="F13152" t="s">
        <v>11</v>
      </c>
      <c r="G13152" t="s">
        <v>5064</v>
      </c>
      <c r="H13152" s="12">
        <v>1.24310674599619</v>
      </c>
      <c r="I13152" s="20">
        <v>1.1119404971054401</v>
      </c>
      <c r="J13152" s="28">
        <v>0.26616373504317298</v>
      </c>
      <c r="K13152" s="29">
        <v>0.98289565623980701</v>
      </c>
    </row>
    <row r="13153" spans="1:11" x14ac:dyDescent="0.35">
      <c r="A13153" s="9" t="str">
        <f>HYPERLINK("http://www.ensembl.org/id/WBGene00017550", "WBGene00017550")</f>
        <v>WBGene00017550</v>
      </c>
      <c r="B13153" s="9" t="str">
        <f>HYPERLINK("http://www.ncbi.nlm.nih.gov/gene/184628", "184628")</f>
        <v>184628</v>
      </c>
      <c r="C13153" s="9"/>
      <c r="D13153" t="str">
        <f>"nep-6"</f>
        <v>nep-6</v>
      </c>
      <c r="E13153" t="s">
        <v>683</v>
      </c>
      <c r="F13153" t="s">
        <v>11</v>
      </c>
      <c r="G13153" t="s">
        <v>4293</v>
      </c>
      <c r="H13153" s="12">
        <v>2.6724752996529202</v>
      </c>
      <c r="I13153" s="20">
        <v>0.52168898958265997</v>
      </c>
      <c r="J13153" s="28">
        <v>0.60188689200719803</v>
      </c>
      <c r="K13153" s="29">
        <v>0.98289565623980701</v>
      </c>
    </row>
    <row r="13154" spans="1:11" x14ac:dyDescent="0.35">
      <c r="A13154" s="9" t="str">
        <f>HYPERLINK("http://www.ensembl.org/id/WBGene00017552", "WBGene00017552")</f>
        <v>WBGene00017552</v>
      </c>
      <c r="B13154" s="9" t="str">
        <f>HYPERLINK("http://www.ncbi.nlm.nih.gov/gene/184630", "184630")</f>
        <v>184630</v>
      </c>
      <c r="C13154" s="9"/>
      <c r="D13154" t="str">
        <f>"nep-7"</f>
        <v>nep-7</v>
      </c>
      <c r="E13154" t="s">
        <v>683</v>
      </c>
      <c r="F13154" t="s">
        <v>11</v>
      </c>
      <c r="G13154" t="s">
        <v>1479</v>
      </c>
      <c r="H13154" s="12">
        <v>5.7240911494525104</v>
      </c>
      <c r="I13154" s="20">
        <v>0.63713704464777798</v>
      </c>
      <c r="J13154" s="28">
        <v>0.52403558058044697</v>
      </c>
      <c r="K13154" s="29">
        <v>0.98289565623980701</v>
      </c>
    </row>
    <row r="13155" spans="1:11" x14ac:dyDescent="0.35">
      <c r="A13155" s="9" t="str">
        <f>HYPERLINK("http://www.ensembl.org/id/WBGene00017553", "WBGene00017553")</f>
        <v>WBGene00017553</v>
      </c>
      <c r="B13155" s="9" t="str">
        <f>HYPERLINK("http://www.ncbi.nlm.nih.gov/gene/184631", "184631")</f>
        <v>184631</v>
      </c>
      <c r="C13155" s="9"/>
      <c r="D13155" t="str">
        <f>"nep-8"</f>
        <v>nep-8</v>
      </c>
      <c r="E13155" t="s">
        <v>683</v>
      </c>
      <c r="F13155" t="s">
        <v>11</v>
      </c>
      <c r="G13155" t="s">
        <v>4293</v>
      </c>
      <c r="H13155" s="12">
        <v>3.7052956586800398</v>
      </c>
      <c r="I13155" s="20">
        <v>1.0321411860480401</v>
      </c>
      <c r="J13155" s="28">
        <v>0.30200598222558001</v>
      </c>
      <c r="K13155" s="29">
        <v>0.98289565623980701</v>
      </c>
    </row>
    <row r="13156" spans="1:11" x14ac:dyDescent="0.35">
      <c r="A13156" s="9" t="str">
        <f>HYPERLINK("http://www.ensembl.org/id/WBGene00011828", "WBGene00011828")</f>
        <v>WBGene00011828</v>
      </c>
      <c r="B13156" s="9" t="str">
        <f>HYPERLINK("http://www.ncbi.nlm.nih.gov/gene/172625", "172625")</f>
        <v>172625</v>
      </c>
      <c r="C13156" s="9"/>
      <c r="D13156" t="str">
        <f>"nepr-1"</f>
        <v>nepr-1</v>
      </c>
      <c r="E13156" t="s">
        <v>7076</v>
      </c>
      <c r="F13156" t="s">
        <v>11</v>
      </c>
      <c r="G13156" t="s">
        <v>7077</v>
      </c>
      <c r="H13156" s="12">
        <v>-1.1058853291978701</v>
      </c>
      <c r="I13156" s="20">
        <v>-0.50736315418656597</v>
      </c>
      <c r="J13156" s="28">
        <v>0.61190003369383805</v>
      </c>
      <c r="K13156" s="29">
        <v>0.98289565623980701</v>
      </c>
    </row>
    <row r="13157" spans="1:11" x14ac:dyDescent="0.35">
      <c r="A13157" s="9" t="str">
        <f>HYPERLINK("http://www.ensembl.org/id/WBGene00003589", "WBGene00003589")</f>
        <v>WBGene00003589</v>
      </c>
      <c r="B13157" s="9" t="str">
        <f>HYPERLINK("http://www.ncbi.nlm.nih.gov/gene/176446", "176446")</f>
        <v>176446</v>
      </c>
      <c r="C13157" s="9" t="str">
        <f>HYPERLINK("http://www.ncbi.nlm.nih.gov/gene/310", "310")</f>
        <v>310</v>
      </c>
      <c r="D13157" t="str">
        <f>"nex-2"</f>
        <v>nex-2</v>
      </c>
      <c r="E13157" t="s">
        <v>1798</v>
      </c>
      <c r="F13157" t="s">
        <v>11</v>
      </c>
      <c r="G13157" t="s">
        <v>1799</v>
      </c>
      <c r="H13157" s="12">
        <v>-1.1312094549751499</v>
      </c>
      <c r="I13157" s="20">
        <v>-0.69126414496920097</v>
      </c>
      <c r="J13157" s="28">
        <v>0.48939955977684801</v>
      </c>
      <c r="K13157" s="29">
        <v>0.98289565623980701</v>
      </c>
    </row>
    <row r="13158" spans="1:11" x14ac:dyDescent="0.35">
      <c r="A13158" s="9" t="str">
        <f>HYPERLINK("http://www.ensembl.org/id/WBGene00003592", "WBGene00003592")</f>
        <v>WBGene00003592</v>
      </c>
      <c r="B13158" s="9" t="str">
        <f>HYPERLINK("http://www.ncbi.nlm.nih.gov/gene/174225", "174225")</f>
        <v>174225</v>
      </c>
      <c r="C13158" s="9"/>
      <c r="D13158" t="str">
        <f>"nfi-1"</f>
        <v>nfi-1</v>
      </c>
      <c r="E13158" t="s">
        <v>7124</v>
      </c>
      <c r="F13158" t="s">
        <v>11</v>
      </c>
      <c r="G13158" t="s">
        <v>7125</v>
      </c>
      <c r="H13158" s="12">
        <v>-1.10839000554022</v>
      </c>
      <c r="I13158" s="20">
        <v>-0.50313680581877396</v>
      </c>
      <c r="J13158" s="28">
        <v>0.61486809111582696</v>
      </c>
      <c r="K13158" s="29">
        <v>0.98289565623980701</v>
      </c>
    </row>
    <row r="13159" spans="1:11" x14ac:dyDescent="0.35">
      <c r="A13159" s="9" t="str">
        <f>HYPERLINK("http://www.ensembl.org/id/WBGene00007877", "WBGene00007877")</f>
        <v>WBGene00007877</v>
      </c>
      <c r="B13159" s="9" t="str">
        <f>HYPERLINK("http://www.ncbi.nlm.nih.gov/gene/181625", "181625")</f>
        <v>181625</v>
      </c>
      <c r="C13159" s="9"/>
      <c r="D13159" t="str">
        <f>"nfki-1"</f>
        <v>nfki-1</v>
      </c>
      <c r="E13159" t="s">
        <v>6212</v>
      </c>
      <c r="F13159" t="s">
        <v>11</v>
      </c>
      <c r="G13159" t="s">
        <v>6213</v>
      </c>
      <c r="H13159" s="12">
        <v>-1.05414365191193</v>
      </c>
      <c r="I13159" s="20">
        <v>-0.29187883540180398</v>
      </c>
      <c r="J13159" s="28">
        <v>0.77037926612496799</v>
      </c>
      <c r="K13159" s="29">
        <v>0.98289565623980701</v>
      </c>
    </row>
    <row r="13160" spans="1:11" x14ac:dyDescent="0.35">
      <c r="A13160" s="9" t="str">
        <f>HYPERLINK("http://www.ensembl.org/id/WBGene00003593", "WBGene00003593")</f>
        <v>WBGene00003593</v>
      </c>
      <c r="B13160" s="9" t="str">
        <f>HYPERLINK("http://www.ncbi.nlm.nih.gov/gene/175870", "175870")</f>
        <v>175870</v>
      </c>
      <c r="C13160" s="9"/>
      <c r="D13160" t="str">
        <f>"nfm-1"</f>
        <v>nfm-1</v>
      </c>
      <c r="E13160" t="s">
        <v>6032</v>
      </c>
      <c r="F13160" t="s">
        <v>11</v>
      </c>
      <c r="G13160" t="s">
        <v>6033</v>
      </c>
      <c r="H13160" s="12">
        <v>1.0708066148442901</v>
      </c>
      <c r="I13160" s="20">
        <v>0.36246597877879799</v>
      </c>
      <c r="J13160" s="28">
        <v>0.71700384251063898</v>
      </c>
      <c r="K13160" s="29">
        <v>0.98289565623980701</v>
      </c>
    </row>
    <row r="13161" spans="1:11" x14ac:dyDescent="0.35">
      <c r="A13161" s="9" t="str">
        <f>HYPERLINK("http://www.ensembl.org/id/WBGene00003594", "WBGene00003594")</f>
        <v>WBGene00003594</v>
      </c>
      <c r="B13161" s="9" t="str">
        <f>HYPERLINK("http://www.ncbi.nlm.nih.gov/gene/176628", "176628")</f>
        <v>176628</v>
      </c>
      <c r="C13161" s="9"/>
      <c r="D13161" t="str">
        <f>"nft-1"</f>
        <v>nft-1</v>
      </c>
      <c r="E13161" t="s">
        <v>8944</v>
      </c>
      <c r="F13161" t="s">
        <v>11</v>
      </c>
      <c r="G13161" t="s">
        <v>8945</v>
      </c>
      <c r="H13161" s="12">
        <v>-1.2098736439758599</v>
      </c>
      <c r="I13161" s="20">
        <v>-0.95293696461038302</v>
      </c>
      <c r="J13161" s="28">
        <v>0.34062200978750401</v>
      </c>
      <c r="K13161" s="29">
        <v>0.98289565623980701</v>
      </c>
    </row>
    <row r="13162" spans="1:11" x14ac:dyDescent="0.35">
      <c r="A13162" s="9" t="str">
        <f>HYPERLINK("http://www.ensembl.org/id/WBGene00011614", "WBGene00011614")</f>
        <v>WBGene00011614</v>
      </c>
      <c r="B13162" s="9" t="str">
        <f>HYPERLINK("http://www.ncbi.nlm.nih.gov/gene/181368", "181368")</f>
        <v>181368</v>
      </c>
      <c r="C13162" s="9"/>
      <c r="D13162" t="str">
        <f>"nfya-1"</f>
        <v>nfya-1</v>
      </c>
      <c r="E13162" t="s">
        <v>1836</v>
      </c>
      <c r="F13162" t="s">
        <v>11</v>
      </c>
      <c r="G13162" t="s">
        <v>6643</v>
      </c>
      <c r="H13162" s="12">
        <v>-1.0825117716133199</v>
      </c>
      <c r="I13162" s="20">
        <v>-0.32117618798223802</v>
      </c>
      <c r="J13162" s="28">
        <v>0.74807687623277896</v>
      </c>
      <c r="K13162" s="29">
        <v>0.98289565623980701</v>
      </c>
    </row>
    <row r="13163" spans="1:11" x14ac:dyDescent="0.35">
      <c r="A13163" s="9" t="str">
        <f>HYPERLINK("http://www.ensembl.org/id/WBGene00021132", "WBGene00021132")</f>
        <v>WBGene00021132</v>
      </c>
      <c r="B13163" s="9" t="str">
        <f>HYPERLINK("http://www.ncbi.nlm.nih.gov/gene/173435", "173435")</f>
        <v>173435</v>
      </c>
      <c r="C13163" s="9"/>
      <c r="D13163" t="str">
        <f>"nfyb-1"</f>
        <v>nfyb-1</v>
      </c>
      <c r="E13163" t="s">
        <v>8853</v>
      </c>
      <c r="F13163" t="s">
        <v>11</v>
      </c>
      <c r="G13163" t="s">
        <v>8854</v>
      </c>
      <c r="H13163" s="12">
        <v>-1.20181770400862</v>
      </c>
      <c r="I13163" s="20">
        <v>-0.855106862397641</v>
      </c>
      <c r="J13163" s="28">
        <v>0.39249199089467401</v>
      </c>
      <c r="K13163" s="29">
        <v>0.98289565623980701</v>
      </c>
    </row>
    <row r="13164" spans="1:11" x14ac:dyDescent="0.35">
      <c r="A13164" s="9" t="str">
        <f>HYPERLINK("http://www.ensembl.org/id/WBGene00003595", "WBGene00003595")</f>
        <v>WBGene00003595</v>
      </c>
      <c r="B13164" s="9" t="str">
        <f>HYPERLINK("http://www.ncbi.nlm.nih.gov/gene/177045", "177045")</f>
        <v>177045</v>
      </c>
      <c r="C13164" s="9"/>
      <c r="D13164" t="str">
        <f>"ngn-1"</f>
        <v>ngn-1</v>
      </c>
      <c r="E13164" t="s">
        <v>9494</v>
      </c>
      <c r="F13164" t="s">
        <v>11</v>
      </c>
      <c r="G13164" t="s">
        <v>9495</v>
      </c>
      <c r="H13164" s="12">
        <v>-1.25132134162861</v>
      </c>
      <c r="I13164" s="20">
        <v>-0.52431850679816305</v>
      </c>
      <c r="J13164" s="28">
        <v>0.60005702692448903</v>
      </c>
      <c r="K13164" s="29">
        <v>0.98289565623980701</v>
      </c>
    </row>
    <row r="13165" spans="1:11" x14ac:dyDescent="0.35">
      <c r="A13165" s="9" t="str">
        <f>HYPERLINK("http://www.ensembl.org/id/WBGene00003596", "WBGene00003596")</f>
        <v>WBGene00003596</v>
      </c>
      <c r="B13165" s="9" t="str">
        <f>HYPERLINK("http://www.ncbi.nlm.nih.gov/gene/172624", "172624")</f>
        <v>172624</v>
      </c>
      <c r="C13165" s="9" t="str">
        <f>HYPERLINK("http://www.ncbi.nlm.nih.gov/gene/29889", "29889")</f>
        <v>29889</v>
      </c>
      <c r="D13165" t="str">
        <f>"ngp-1"</f>
        <v>ngp-1</v>
      </c>
      <c r="E13165" t="s">
        <v>6438</v>
      </c>
      <c r="F13165" t="s">
        <v>11</v>
      </c>
      <c r="G13165" t="s">
        <v>6439</v>
      </c>
      <c r="H13165" s="12">
        <v>-1.0692297098236401</v>
      </c>
      <c r="I13165" s="20">
        <v>-0.35318998286641901</v>
      </c>
      <c r="J13165" s="28">
        <v>0.72394601710825901</v>
      </c>
      <c r="K13165" s="29">
        <v>0.98289565623980701</v>
      </c>
    </row>
    <row r="13166" spans="1:11" x14ac:dyDescent="0.35">
      <c r="A13166" s="9" t="str">
        <f>HYPERLINK("http://www.ensembl.org/id/WBGene00003598", "WBGene00003598")</f>
        <v>WBGene00003598</v>
      </c>
      <c r="B13166" s="9" t="str">
        <f>HYPERLINK("http://www.ncbi.nlm.nih.gov/gene/175654", "175654")</f>
        <v>175654</v>
      </c>
      <c r="C13166" s="9"/>
      <c r="D13166" t="str">
        <f>"nhl-2"</f>
        <v>nhl-2</v>
      </c>
      <c r="E13166" t="s">
        <v>6380</v>
      </c>
      <c r="F13166" t="s">
        <v>11</v>
      </c>
      <c r="G13166" t="s">
        <v>6381</v>
      </c>
      <c r="H13166" s="12">
        <v>-1.0660222311896399</v>
      </c>
      <c r="I13166" s="20">
        <v>-0.35033032387842</v>
      </c>
      <c r="J13166" s="28">
        <v>0.72609081028962497</v>
      </c>
      <c r="K13166" s="29">
        <v>0.98289565623980701</v>
      </c>
    </row>
    <row r="13167" spans="1:11" x14ac:dyDescent="0.35">
      <c r="A13167" s="9" t="str">
        <f>HYPERLINK("http://www.ensembl.org/id/WBGene00003599", "WBGene00003599")</f>
        <v>WBGene00003599</v>
      </c>
      <c r="B13167" s="9" t="str">
        <f>HYPERLINK("http://www.ncbi.nlm.nih.gov/gene/173452", "173452")</f>
        <v>173452</v>
      </c>
      <c r="C13167" s="9"/>
      <c r="D13167" t="str">
        <f>"nhl-3"</f>
        <v>nhl-3</v>
      </c>
      <c r="E13167" t="s">
        <v>6380</v>
      </c>
      <c r="F13167" t="s">
        <v>11</v>
      </c>
      <c r="G13167" t="s">
        <v>6454</v>
      </c>
      <c r="H13167" s="12">
        <v>-1.0703307701851199</v>
      </c>
      <c r="I13167" s="20">
        <v>-0.35947948585280698</v>
      </c>
      <c r="J13167" s="28">
        <v>0.71923642153844702</v>
      </c>
      <c r="K13167" s="29">
        <v>0.98289565623980701</v>
      </c>
    </row>
    <row r="13168" spans="1:11" x14ac:dyDescent="0.35">
      <c r="A13168" s="9" t="str">
        <f>HYPERLINK("http://www.ensembl.org/id/WBGene00003600", "WBGene00003600")</f>
        <v>WBGene00003600</v>
      </c>
      <c r="B13168" s="9" t="str">
        <f>HYPERLINK("http://www.ncbi.nlm.nih.gov/gene/181783", "181783")</f>
        <v>181783</v>
      </c>
      <c r="C13168" s="9"/>
      <c r="D13168" t="str">
        <f>"nhr-1"</f>
        <v>nhr-1</v>
      </c>
      <c r="E13168" t="s">
        <v>5111</v>
      </c>
      <c r="F13168" t="s">
        <v>11</v>
      </c>
      <c r="G13168" t="s">
        <v>2789</v>
      </c>
      <c r="H13168" s="12">
        <v>1.2375971817603499</v>
      </c>
      <c r="I13168" s="20">
        <v>1.1406926528436201</v>
      </c>
      <c r="J13168" s="28">
        <v>0.253997845083348</v>
      </c>
      <c r="K13168" s="29">
        <v>0.98289565623980701</v>
      </c>
    </row>
    <row r="13169" spans="1:11" x14ac:dyDescent="0.35">
      <c r="A13169" s="9" t="str">
        <f>HYPERLINK("http://www.ensembl.org/id/WBGene00003690", "WBGene00003690")</f>
        <v>WBGene00003690</v>
      </c>
      <c r="B13169" s="9" t="str">
        <f>HYPERLINK("http://www.ncbi.nlm.nih.gov/gene/177806", "177806")</f>
        <v>177806</v>
      </c>
      <c r="C13169" s="9"/>
      <c r="D13169" t="str">
        <f>"nhr-100"</f>
        <v>nhr-100</v>
      </c>
      <c r="E13169" t="s">
        <v>6114</v>
      </c>
      <c r="F13169" t="s">
        <v>11</v>
      </c>
      <c r="G13169" t="s">
        <v>852</v>
      </c>
      <c r="H13169" s="12">
        <v>1.05784289054459</v>
      </c>
      <c r="I13169" s="20">
        <v>0.27731630886116698</v>
      </c>
      <c r="J13169" s="28">
        <v>0.7815372378098</v>
      </c>
      <c r="K13169" s="29">
        <v>0.98289565623980701</v>
      </c>
    </row>
    <row r="13170" spans="1:11" x14ac:dyDescent="0.35">
      <c r="A13170" s="9" t="str">
        <f>HYPERLINK("http://www.ensembl.org/id/WBGene00003691", "WBGene00003691")</f>
        <v>WBGene00003691</v>
      </c>
      <c r="B13170" s="9" t="str">
        <f>HYPERLINK("http://www.ncbi.nlm.nih.gov/gene/179588", "179588")</f>
        <v>179588</v>
      </c>
      <c r="C13170" s="9"/>
      <c r="D13170" t="str">
        <f>"nhr-101"</f>
        <v>nhr-101</v>
      </c>
      <c r="E13170" t="s">
        <v>637</v>
      </c>
      <c r="F13170" t="s">
        <v>11</v>
      </c>
      <c r="G13170" t="s">
        <v>638</v>
      </c>
      <c r="H13170" s="12">
        <v>1.3372684837480799</v>
      </c>
      <c r="I13170" s="20">
        <v>1.10918478852707</v>
      </c>
      <c r="J13170" s="28">
        <v>0.26735047336287499</v>
      </c>
      <c r="K13170" s="29">
        <v>0.98289565623980701</v>
      </c>
    </row>
    <row r="13171" spans="1:11" x14ac:dyDescent="0.35">
      <c r="A13171" s="9" t="str">
        <f>HYPERLINK("http://www.ensembl.org/id/WBGene00003693", "WBGene00003693")</f>
        <v>WBGene00003693</v>
      </c>
      <c r="B13171" s="9" t="str">
        <f>HYPERLINK("http://www.ncbi.nlm.nih.gov/gene/178701", "178701")</f>
        <v>178701</v>
      </c>
      <c r="C13171" s="9"/>
      <c r="D13171" t="str">
        <f>"nhr-103"</f>
        <v>nhr-103</v>
      </c>
      <c r="E13171" t="s">
        <v>5408</v>
      </c>
      <c r="F13171" t="s">
        <v>11</v>
      </c>
      <c r="G13171" t="s">
        <v>852</v>
      </c>
      <c r="H13171" s="12">
        <v>1.16966475165615</v>
      </c>
      <c r="I13171" s="20">
        <v>0.65679350936283798</v>
      </c>
      <c r="J13171" s="28">
        <v>0.51131369824477502</v>
      </c>
      <c r="K13171" s="29">
        <v>0.98289565623980701</v>
      </c>
    </row>
    <row r="13172" spans="1:11" x14ac:dyDescent="0.35">
      <c r="A13172" s="9" t="str">
        <f>HYPERLINK("http://www.ensembl.org/id/WBGene00003695", "WBGene00003695")</f>
        <v>WBGene00003695</v>
      </c>
      <c r="B13172" s="9" t="str">
        <f>HYPERLINK("http://www.ncbi.nlm.nih.gov/gene/177476", "177476")</f>
        <v>177476</v>
      </c>
      <c r="C13172" s="9"/>
      <c r="D13172" t="str">
        <f>"nhr-105"</f>
        <v>nhr-105</v>
      </c>
      <c r="E13172" t="s">
        <v>637</v>
      </c>
      <c r="F13172" t="s">
        <v>11</v>
      </c>
      <c r="G13172" t="s">
        <v>1073</v>
      </c>
      <c r="H13172" s="12">
        <v>1.0687110949885801</v>
      </c>
      <c r="I13172" s="20">
        <v>0.31257782901951803</v>
      </c>
      <c r="J13172" s="28">
        <v>0.75460142452578904</v>
      </c>
      <c r="K13172" s="29">
        <v>0.98289565623980701</v>
      </c>
    </row>
    <row r="13173" spans="1:11" x14ac:dyDescent="0.35">
      <c r="A13173" s="9" t="str">
        <f>HYPERLINK("http://www.ensembl.org/id/WBGene00003696", "WBGene00003696")</f>
        <v>WBGene00003696</v>
      </c>
      <c r="B13173" s="9" t="str">
        <f>HYPERLINK("http://www.ncbi.nlm.nih.gov/gene/178571", "178571")</f>
        <v>178571</v>
      </c>
      <c r="C13173" s="9"/>
      <c r="D13173" t="str">
        <f>"nhr-106"</f>
        <v>nhr-106</v>
      </c>
      <c r="E13173" t="s">
        <v>9283</v>
      </c>
      <c r="F13173" t="s">
        <v>11</v>
      </c>
      <c r="G13173" t="s">
        <v>852</v>
      </c>
      <c r="H13173" s="12">
        <v>-1.2338522402994001</v>
      </c>
      <c r="I13173" s="20">
        <v>-0.69834240639871903</v>
      </c>
      <c r="J13173" s="28">
        <v>0.48496308501573598</v>
      </c>
      <c r="K13173" s="29">
        <v>0.98289565623980701</v>
      </c>
    </row>
    <row r="13174" spans="1:11" x14ac:dyDescent="0.35">
      <c r="A13174" s="9" t="str">
        <f>HYPERLINK("http://www.ensembl.org/id/WBGene00003697", "WBGene00003697")</f>
        <v>WBGene00003697</v>
      </c>
      <c r="B13174" s="9" t="str">
        <f>HYPERLINK("http://www.ncbi.nlm.nih.gov/gene/179083", "179083")</f>
        <v>179083</v>
      </c>
      <c r="C13174" s="9"/>
      <c r="D13174" t="str">
        <f>"nhr-107"</f>
        <v>nhr-107</v>
      </c>
      <c r="E13174" t="s">
        <v>4945</v>
      </c>
      <c r="F13174" t="s">
        <v>11</v>
      </c>
      <c r="G13174" t="s">
        <v>1073</v>
      </c>
      <c r="H13174" s="12">
        <v>1.2868937044711199</v>
      </c>
      <c r="I13174" s="20">
        <v>0.97317565951266805</v>
      </c>
      <c r="J13174" s="28">
        <v>0.330466005961151</v>
      </c>
      <c r="K13174" s="29">
        <v>0.98289565623980701</v>
      </c>
    </row>
    <row r="13175" spans="1:11" x14ac:dyDescent="0.35">
      <c r="A13175" s="9" t="str">
        <f>HYPERLINK("http://www.ensembl.org/id/WBGene00003698", "WBGene00003698")</f>
        <v>WBGene00003698</v>
      </c>
      <c r="B13175" s="9" t="str">
        <f>HYPERLINK("http://www.ncbi.nlm.nih.gov/gene/180065", "180065")</f>
        <v>180065</v>
      </c>
      <c r="C13175" s="9"/>
      <c r="D13175" t="str">
        <f>"nhr-108"</f>
        <v>nhr-108</v>
      </c>
      <c r="E13175" t="s">
        <v>10009</v>
      </c>
      <c r="F13175" t="s">
        <v>11</v>
      </c>
      <c r="G13175" t="s">
        <v>852</v>
      </c>
      <c r="H13175" s="12">
        <v>-1.70231471494942</v>
      </c>
      <c r="I13175" s="20">
        <v>-1.0517274524423601</v>
      </c>
      <c r="J13175" s="28">
        <v>0.29292461206911802</v>
      </c>
      <c r="K13175" s="29">
        <v>0.98289565623980701</v>
      </c>
    </row>
    <row r="13176" spans="1:11" x14ac:dyDescent="0.35">
      <c r="A13176" s="9" t="str">
        <f>HYPERLINK("http://www.ensembl.org/id/WBGene00003699", "WBGene00003699")</f>
        <v>WBGene00003699</v>
      </c>
      <c r="B13176" s="9" t="str">
        <f>HYPERLINK("http://www.ncbi.nlm.nih.gov/gene/173780", "173780")</f>
        <v>173780</v>
      </c>
      <c r="C13176" s="9"/>
      <c r="D13176" t="str">
        <f>"nhr-109"</f>
        <v>nhr-109</v>
      </c>
      <c r="E13176" t="s">
        <v>637</v>
      </c>
      <c r="F13176" t="s">
        <v>11</v>
      </c>
      <c r="G13176" t="s">
        <v>9746</v>
      </c>
      <c r="H13176" s="12">
        <v>-1.29318969470511</v>
      </c>
      <c r="I13176" s="20">
        <v>-1.0069803013642</v>
      </c>
      <c r="J13176" s="28">
        <v>0.31394424053888098</v>
      </c>
      <c r="K13176" s="29">
        <v>0.98289565623980701</v>
      </c>
    </row>
    <row r="13177" spans="1:11" x14ac:dyDescent="0.35">
      <c r="A13177" s="9" t="str">
        <f>HYPERLINK("http://www.ensembl.org/id/WBGene00003610", "WBGene00003610")</f>
        <v>WBGene00003610</v>
      </c>
      <c r="B13177" s="9" t="str">
        <f>HYPERLINK("http://www.ncbi.nlm.nih.gov/gene/177724", "177724")</f>
        <v>177724</v>
      </c>
      <c r="C13177" s="9"/>
      <c r="D13177" t="str">
        <f>"nhr-11"</f>
        <v>nhr-11</v>
      </c>
      <c r="E13177" t="s">
        <v>5826</v>
      </c>
      <c r="F13177" t="s">
        <v>11</v>
      </c>
      <c r="G13177" t="s">
        <v>2789</v>
      </c>
      <c r="H13177" s="12">
        <v>1.0960111265041901</v>
      </c>
      <c r="I13177" s="20">
        <v>0.35096073442048797</v>
      </c>
      <c r="J13177" s="28">
        <v>0.725617806334377</v>
      </c>
      <c r="K13177" s="29">
        <v>0.98289565623980701</v>
      </c>
    </row>
    <row r="13178" spans="1:11" x14ac:dyDescent="0.35">
      <c r="A13178" s="9" t="str">
        <f>HYPERLINK("http://www.ensembl.org/id/WBGene00003700", "WBGene00003700")</f>
        <v>WBGene00003700</v>
      </c>
      <c r="B13178" s="9" t="str">
        <f>HYPERLINK("http://www.ncbi.nlm.nih.gov/gene/178651", "178651")</f>
        <v>178651</v>
      </c>
      <c r="C13178" s="9"/>
      <c r="D13178" t="str">
        <f>"nhr-110"</f>
        <v>nhr-110</v>
      </c>
      <c r="E13178" t="s">
        <v>637</v>
      </c>
      <c r="F13178" t="s">
        <v>11</v>
      </c>
      <c r="G13178" t="s">
        <v>1073</v>
      </c>
      <c r="H13178" s="12">
        <v>-1.0757021914368099</v>
      </c>
      <c r="I13178" s="20">
        <v>-0.25556958575897898</v>
      </c>
      <c r="J13178" s="28">
        <v>0.79828320565301603</v>
      </c>
      <c r="K13178" s="29">
        <v>0.98289565623980701</v>
      </c>
    </row>
    <row r="13179" spans="1:11" x14ac:dyDescent="0.35">
      <c r="A13179" s="9" t="str">
        <f>HYPERLINK("http://www.ensembl.org/id/WBGene00003701", "WBGene00003701")</f>
        <v>WBGene00003701</v>
      </c>
      <c r="B13179" s="9" t="str">
        <f>HYPERLINK("http://www.ncbi.nlm.nih.gov/gene/185757", "185757")</f>
        <v>185757</v>
      </c>
      <c r="C13179" s="9"/>
      <c r="D13179" t="str">
        <f>"nhr-111"</f>
        <v>nhr-111</v>
      </c>
      <c r="E13179" t="s">
        <v>10080</v>
      </c>
      <c r="F13179" t="s">
        <v>11</v>
      </c>
      <c r="G13179" t="s">
        <v>852</v>
      </c>
      <c r="H13179" s="12">
        <v>-2.77300264035618</v>
      </c>
      <c r="I13179" s="20">
        <v>-0.47711258857765798</v>
      </c>
      <c r="J13179" s="28">
        <v>0.63328195098232298</v>
      </c>
      <c r="K13179" s="29">
        <v>0.98289565623980701</v>
      </c>
    </row>
    <row r="13180" spans="1:11" x14ac:dyDescent="0.35">
      <c r="A13180" s="9" t="str">
        <f>HYPERLINK("http://www.ensembl.org/id/WBGene00003706", "WBGene00003706")</f>
        <v>WBGene00003706</v>
      </c>
      <c r="B13180" s="9" t="str">
        <f>HYPERLINK("http://www.ncbi.nlm.nih.gov/gene/180129", "180129")</f>
        <v>180129</v>
      </c>
      <c r="C13180" s="9"/>
      <c r="D13180" t="str">
        <f>"nhr-116"</f>
        <v>nhr-116</v>
      </c>
      <c r="E13180" t="s">
        <v>4981</v>
      </c>
      <c r="F13180" t="s">
        <v>11</v>
      </c>
      <c r="G13180" t="s">
        <v>638</v>
      </c>
      <c r="H13180" s="12">
        <v>1.27145833389007</v>
      </c>
      <c r="I13180" s="20">
        <v>0.71805584220183405</v>
      </c>
      <c r="J13180" s="28">
        <v>0.472722855844597</v>
      </c>
      <c r="K13180" s="29">
        <v>0.98289565623980701</v>
      </c>
    </row>
    <row r="13181" spans="1:11" x14ac:dyDescent="0.35">
      <c r="A13181" s="9" t="str">
        <f>HYPERLINK("http://www.ensembl.org/id/WBGene00003709", "WBGene00003709")</f>
        <v>WBGene00003709</v>
      </c>
      <c r="B13181" s="9" t="str">
        <f>HYPERLINK("http://www.ncbi.nlm.nih.gov/gene/187340", "187340")</f>
        <v>187340</v>
      </c>
      <c r="C13181" s="9"/>
      <c r="D13181" t="str">
        <f>"nhr-119"</f>
        <v>nhr-119</v>
      </c>
      <c r="E13181" t="s">
        <v>637</v>
      </c>
      <c r="F13181" t="s">
        <v>11</v>
      </c>
      <c r="G13181" t="s">
        <v>1073</v>
      </c>
      <c r="H13181" s="12">
        <v>-1.14785959524569</v>
      </c>
      <c r="I13181" s="20">
        <v>-0.68563412777270505</v>
      </c>
      <c r="J13181" s="28">
        <v>0.49294385503896998</v>
      </c>
      <c r="K13181" s="29">
        <v>0.98289565623980701</v>
      </c>
    </row>
    <row r="13182" spans="1:11" x14ac:dyDescent="0.35">
      <c r="A13182" s="9" t="str">
        <f>HYPERLINK("http://www.ensembl.org/id/WBGene00003710", "WBGene00003710")</f>
        <v>WBGene00003710</v>
      </c>
      <c r="B13182" s="9" t="str">
        <f>HYPERLINK("http://www.ncbi.nlm.nih.gov/gene/182882", "182882")</f>
        <v>182882</v>
      </c>
      <c r="C13182" s="9"/>
      <c r="D13182" t="str">
        <f>"nhr-120"</f>
        <v>nhr-120</v>
      </c>
      <c r="E13182" t="s">
        <v>7106</v>
      </c>
      <c r="F13182" t="s">
        <v>11</v>
      </c>
      <c r="G13182" t="s">
        <v>638</v>
      </c>
      <c r="H13182" s="12">
        <v>-1.1070407378865801</v>
      </c>
      <c r="I13182" s="20">
        <v>-0.51420382593584102</v>
      </c>
      <c r="J13182" s="28">
        <v>0.60710949314173301</v>
      </c>
      <c r="K13182" s="29">
        <v>0.98289565623980701</v>
      </c>
    </row>
    <row r="13183" spans="1:11" x14ac:dyDescent="0.35">
      <c r="A13183" s="9" t="str">
        <f>HYPERLINK("http://www.ensembl.org/id/WBGene00003713", "WBGene00003713")</f>
        <v>WBGene00003713</v>
      </c>
      <c r="B13183" s="9" t="str">
        <f>HYPERLINK("http://www.ncbi.nlm.nih.gov/gene/187411", "187411")</f>
        <v>187411</v>
      </c>
      <c r="C13183" s="9"/>
      <c r="D13183" t="str">
        <f>"nhr-123"</f>
        <v>nhr-123</v>
      </c>
      <c r="E13183" t="s">
        <v>4991</v>
      </c>
      <c r="F13183" t="s">
        <v>11</v>
      </c>
      <c r="G13183" t="s">
        <v>1073</v>
      </c>
      <c r="H13183" s="12">
        <v>1.2679159063839101</v>
      </c>
      <c r="I13183" s="20">
        <v>0.57014659775268495</v>
      </c>
      <c r="J13183" s="28">
        <v>0.56857827252270499</v>
      </c>
      <c r="K13183" s="29">
        <v>0.98289565623980701</v>
      </c>
    </row>
    <row r="13184" spans="1:11" x14ac:dyDescent="0.35">
      <c r="A13184" s="9" t="str">
        <f>HYPERLINK("http://www.ensembl.org/id/WBGene00003714", "WBGene00003714")</f>
        <v>WBGene00003714</v>
      </c>
      <c r="B13184" s="9" t="str">
        <f>HYPERLINK("http://www.ncbi.nlm.nih.gov/gene/182733", "182733")</f>
        <v>182733</v>
      </c>
      <c r="C13184" s="9"/>
      <c r="D13184" t="str">
        <f>"nhr-124"</f>
        <v>nhr-124</v>
      </c>
      <c r="E13184" t="s">
        <v>4481</v>
      </c>
      <c r="F13184" t="s">
        <v>11</v>
      </c>
      <c r="G13184" t="s">
        <v>2789</v>
      </c>
      <c r="H13184" s="12">
        <v>1.89416457282731</v>
      </c>
      <c r="I13184" s="20">
        <v>0.71184322057398797</v>
      </c>
      <c r="J13184" s="28">
        <v>0.47656186543486601</v>
      </c>
      <c r="K13184" s="29">
        <v>0.98289565623980701</v>
      </c>
    </row>
    <row r="13185" spans="1:11" x14ac:dyDescent="0.35">
      <c r="A13185" s="9" t="str">
        <f>HYPERLINK("http://www.ensembl.org/id/WBGene00003717", "WBGene00003717")</f>
        <v>WBGene00003717</v>
      </c>
      <c r="B13185" s="9" t="str">
        <f>HYPERLINK("http://www.ncbi.nlm.nih.gov/gene/188480", "188480")</f>
        <v>188480</v>
      </c>
      <c r="C13185" s="9"/>
      <c r="D13185" t="str">
        <f>"nhr-127"</f>
        <v>nhr-127</v>
      </c>
      <c r="E13185" t="s">
        <v>9947</v>
      </c>
      <c r="F13185" t="s">
        <v>11</v>
      </c>
      <c r="G13185" t="s">
        <v>852</v>
      </c>
      <c r="H13185" s="12">
        <v>-1.45408433403589</v>
      </c>
      <c r="I13185" s="20">
        <v>-0.73087168009603698</v>
      </c>
      <c r="J13185" s="28">
        <v>0.46485753549634101</v>
      </c>
      <c r="K13185" s="29">
        <v>0.98289565623980701</v>
      </c>
    </row>
    <row r="13186" spans="1:11" x14ac:dyDescent="0.35">
      <c r="A13186" s="9" t="str">
        <f>HYPERLINK("http://www.ensembl.org/id/WBGene00003718", "WBGene00003718")</f>
        <v>WBGene00003718</v>
      </c>
      <c r="B13186" s="9" t="str">
        <f>HYPERLINK("http://www.ncbi.nlm.nih.gov/gene/178700", "178700")</f>
        <v>178700</v>
      </c>
      <c r="C13186" s="9"/>
      <c r="D13186" t="str">
        <f>"nhr-128"</f>
        <v>nhr-128</v>
      </c>
      <c r="E13186" t="s">
        <v>637</v>
      </c>
      <c r="F13186" t="s">
        <v>11</v>
      </c>
      <c r="G13186" t="s">
        <v>1073</v>
      </c>
      <c r="H13186" s="12">
        <v>1.29906834936685</v>
      </c>
      <c r="I13186" s="20">
        <v>0.86233054559937405</v>
      </c>
      <c r="J13186" s="28">
        <v>0.38850564844318802</v>
      </c>
      <c r="K13186" s="29">
        <v>0.98289565623980701</v>
      </c>
    </row>
    <row r="13187" spans="1:11" x14ac:dyDescent="0.35">
      <c r="A13187" s="9" t="str">
        <f>HYPERLINK("http://www.ensembl.org/id/WBGene00003612", "WBGene00003612")</f>
        <v>WBGene00003612</v>
      </c>
      <c r="B13187" s="9" t="str">
        <f>HYPERLINK("http://www.ncbi.nlm.nih.gov/gene/178696", "178696")</f>
        <v>178696</v>
      </c>
      <c r="C13187" s="9"/>
      <c r="D13187" t="str">
        <f>"nhr-13"</f>
        <v>nhr-13</v>
      </c>
      <c r="E13187" t="s">
        <v>9871</v>
      </c>
      <c r="F13187" t="s">
        <v>11</v>
      </c>
      <c r="G13187" t="s">
        <v>852</v>
      </c>
      <c r="H13187" s="12">
        <v>-1.3405128253963201</v>
      </c>
      <c r="I13187" s="20">
        <v>-1.1759059859388601</v>
      </c>
      <c r="J13187" s="28">
        <v>0.23963244659980101</v>
      </c>
      <c r="K13187" s="29">
        <v>0.98289565623980701</v>
      </c>
    </row>
    <row r="13188" spans="1:11" x14ac:dyDescent="0.35">
      <c r="A13188" s="9" t="str">
        <f>HYPERLINK("http://www.ensembl.org/id/WBGene00003723", "WBGene00003723")</f>
        <v>WBGene00003723</v>
      </c>
      <c r="B13188" s="9" t="str">
        <f>HYPERLINK("http://www.ncbi.nlm.nih.gov/gene/185729", "185729")</f>
        <v>185729</v>
      </c>
      <c r="C13188" s="9"/>
      <c r="D13188" t="str">
        <f>"nhr-133"</f>
        <v>nhr-133</v>
      </c>
      <c r="E13188" t="s">
        <v>6379</v>
      </c>
      <c r="F13188" t="s">
        <v>11</v>
      </c>
      <c r="G13188" t="s">
        <v>852</v>
      </c>
      <c r="H13188" s="12">
        <v>-1.0656999804137</v>
      </c>
      <c r="I13188" s="20">
        <v>-0.32042562809441799</v>
      </c>
      <c r="J13188" s="28">
        <v>0.74864570045372503</v>
      </c>
      <c r="K13188" s="29">
        <v>0.98289565623980701</v>
      </c>
    </row>
    <row r="13189" spans="1:11" x14ac:dyDescent="0.35">
      <c r="A13189" s="9" t="str">
        <f>HYPERLINK("http://www.ensembl.org/id/WBGene00003724", "WBGene00003724")</f>
        <v>WBGene00003724</v>
      </c>
      <c r="B13189" s="9" t="str">
        <f>HYPERLINK("http://www.ncbi.nlm.nih.gov/gene/185728", "185728")</f>
        <v>185728</v>
      </c>
      <c r="C13189" s="9"/>
      <c r="D13189" t="str">
        <f>"nhr-134"</f>
        <v>nhr-134</v>
      </c>
      <c r="E13189" t="s">
        <v>5848</v>
      </c>
      <c r="F13189" t="s">
        <v>11</v>
      </c>
      <c r="G13189" t="s">
        <v>852</v>
      </c>
      <c r="H13189" s="12">
        <v>1.09389590428703</v>
      </c>
      <c r="I13189" s="20">
        <v>0.43315147424636202</v>
      </c>
      <c r="J13189" s="28">
        <v>0.66490472949174995</v>
      </c>
      <c r="K13189" s="29">
        <v>0.98289565623980701</v>
      </c>
    </row>
    <row r="13190" spans="1:11" x14ac:dyDescent="0.35">
      <c r="A13190" s="9" t="str">
        <f>HYPERLINK("http://www.ensembl.org/id/WBGene00003726", "WBGene00003726")</f>
        <v>WBGene00003726</v>
      </c>
      <c r="B13190" s="9" t="str">
        <f>HYPERLINK("http://www.ncbi.nlm.nih.gov/gene/182566", "182566")</f>
        <v>182566</v>
      </c>
      <c r="C13190" s="9"/>
      <c r="D13190" t="str">
        <f>"nhr-136"</f>
        <v>nhr-136</v>
      </c>
      <c r="E13190" t="s">
        <v>5070</v>
      </c>
      <c r="F13190" t="s">
        <v>11</v>
      </c>
      <c r="G13190" t="s">
        <v>2789</v>
      </c>
      <c r="H13190" s="12">
        <v>1.2473852714498499</v>
      </c>
      <c r="I13190" s="20">
        <v>0.97708984538563803</v>
      </c>
      <c r="J13190" s="28">
        <v>0.32852467455277901</v>
      </c>
      <c r="K13190" s="29">
        <v>0.98289565623980701</v>
      </c>
    </row>
    <row r="13191" spans="1:11" x14ac:dyDescent="0.35">
      <c r="A13191" s="9" t="str">
        <f>HYPERLINK("http://www.ensembl.org/id/WBGene00003613", "WBGene00003613")</f>
        <v>WBGene00003613</v>
      </c>
      <c r="B13191" s="9" t="str">
        <f>HYPERLINK("http://www.ncbi.nlm.nih.gov/gene/181102", "181102")</f>
        <v>181102</v>
      </c>
      <c r="C13191" s="9"/>
      <c r="D13191" t="str">
        <f>"nhr-14"</f>
        <v>nhr-14</v>
      </c>
      <c r="E13191" t="s">
        <v>5077</v>
      </c>
      <c r="F13191" t="s">
        <v>11</v>
      </c>
      <c r="G13191" t="s">
        <v>852</v>
      </c>
      <c r="H13191" s="12">
        <v>1.24569704929822</v>
      </c>
      <c r="I13191" s="20">
        <v>1.0556488807004401</v>
      </c>
      <c r="J13191" s="28">
        <v>0.29112866000205501</v>
      </c>
      <c r="K13191" s="29">
        <v>0.98289565623980701</v>
      </c>
    </row>
    <row r="13192" spans="1:11" x14ac:dyDescent="0.35">
      <c r="A13192" s="9" t="str">
        <f>HYPERLINK("http://www.ensembl.org/id/WBGene00017787", "WBGene00017787")</f>
        <v>WBGene00017787</v>
      </c>
      <c r="B13192" s="9" t="str">
        <f>HYPERLINK("http://www.ncbi.nlm.nih.gov/gene/184926", "184926")</f>
        <v>184926</v>
      </c>
      <c r="C13192" s="9"/>
      <c r="D13192" t="str">
        <f>"nhr-141"</f>
        <v>nhr-141</v>
      </c>
      <c r="E13192" t="s">
        <v>637</v>
      </c>
      <c r="F13192" t="s">
        <v>11</v>
      </c>
      <c r="G13192" t="s">
        <v>638</v>
      </c>
      <c r="H13192" s="12">
        <v>1.1306274417539901</v>
      </c>
      <c r="I13192" s="20">
        <v>0.30898252542647298</v>
      </c>
      <c r="J13192" s="28">
        <v>0.75733481955717097</v>
      </c>
      <c r="K13192" s="29">
        <v>0.98289565623980701</v>
      </c>
    </row>
    <row r="13193" spans="1:11" x14ac:dyDescent="0.35">
      <c r="A13193" s="9" t="str">
        <f>HYPERLINK("http://www.ensembl.org/id/WBGene00019116", "WBGene00019116")</f>
        <v>WBGene00019116</v>
      </c>
      <c r="B13193" s="9" t="str">
        <f>HYPERLINK("http://www.ncbi.nlm.nih.gov/gene/186626", "186626")</f>
        <v>186626</v>
      </c>
      <c r="C13193" s="9"/>
      <c r="D13193" t="str">
        <f>"nhr-143"</f>
        <v>nhr-143</v>
      </c>
      <c r="E13193" t="s">
        <v>637</v>
      </c>
      <c r="F13193" t="s">
        <v>11</v>
      </c>
      <c r="G13193" t="s">
        <v>1073</v>
      </c>
      <c r="H13193" s="12">
        <v>-1.12961881987322</v>
      </c>
      <c r="I13193" s="20">
        <v>-0.45768610545556698</v>
      </c>
      <c r="J13193" s="28">
        <v>0.64717797181125902</v>
      </c>
      <c r="K13193" s="29">
        <v>0.98289565623980701</v>
      </c>
    </row>
    <row r="13194" spans="1:11" x14ac:dyDescent="0.35">
      <c r="A13194" s="9" t="str">
        <f>HYPERLINK("http://www.ensembl.org/id/WBGene00019117", "WBGene00019117")</f>
        <v>WBGene00019117</v>
      </c>
      <c r="B13194" s="9"/>
      <c r="C13194" s="9"/>
      <c r="D13194" t="str">
        <f>"nhr-144"</f>
        <v>nhr-144</v>
      </c>
      <c r="F13194" t="s">
        <v>80</v>
      </c>
      <c r="H13194" s="12">
        <v>-1.1005369632631901</v>
      </c>
      <c r="I13194" s="20">
        <v>-0.26502178353533001</v>
      </c>
      <c r="J13194" s="28">
        <v>0.79099268080832497</v>
      </c>
      <c r="K13194" s="29">
        <v>0.98289565623980701</v>
      </c>
    </row>
    <row r="13195" spans="1:11" x14ac:dyDescent="0.35">
      <c r="A13195" s="9" t="str">
        <f>HYPERLINK("http://www.ensembl.org/id/WBGene00045255", "WBGene00045255")</f>
        <v>WBGene00045255</v>
      </c>
      <c r="B13195" s="9" t="str">
        <f>HYPERLINK("http://www.ncbi.nlm.nih.gov/gene/6418682", "6418682")</f>
        <v>6418682</v>
      </c>
      <c r="C13195" s="9"/>
      <c r="D13195" t="str">
        <f>"nhr-146"</f>
        <v>nhr-146</v>
      </c>
      <c r="E13195" t="s">
        <v>637</v>
      </c>
      <c r="F13195" t="s">
        <v>11</v>
      </c>
      <c r="G13195" t="s">
        <v>2013</v>
      </c>
      <c r="H13195" s="12">
        <v>1.1326572712092</v>
      </c>
      <c r="I13195" s="20">
        <v>0.49487193515204703</v>
      </c>
      <c r="J13195" s="28">
        <v>0.62069052234716104</v>
      </c>
      <c r="K13195" s="29">
        <v>0.98289565623980701</v>
      </c>
    </row>
    <row r="13196" spans="1:11" x14ac:dyDescent="0.35">
      <c r="A13196" s="9" t="str">
        <f>HYPERLINK("http://www.ensembl.org/id/WBGene00015395", "WBGene00015395")</f>
        <v>WBGene00015395</v>
      </c>
      <c r="B13196" s="9" t="str">
        <f>HYPERLINK("http://www.ncbi.nlm.nih.gov/gene/182170", "182170")</f>
        <v>182170</v>
      </c>
      <c r="C13196" s="9"/>
      <c r="D13196" t="str">
        <f>"nhr-147"</f>
        <v>nhr-147</v>
      </c>
      <c r="E13196" t="s">
        <v>637</v>
      </c>
      <c r="F13196" t="s">
        <v>11</v>
      </c>
      <c r="G13196" t="s">
        <v>638</v>
      </c>
      <c r="H13196" s="12">
        <v>1.39203078236191</v>
      </c>
      <c r="I13196" s="20">
        <v>0.41850580669721399</v>
      </c>
      <c r="J13196" s="28">
        <v>0.67557734194615604</v>
      </c>
      <c r="K13196" s="29">
        <v>0.98289565623980701</v>
      </c>
    </row>
    <row r="13197" spans="1:11" x14ac:dyDescent="0.35">
      <c r="A13197" s="9" t="str">
        <f>HYPERLINK("http://www.ensembl.org/id/WBGene00015396", "WBGene00015396")</f>
        <v>WBGene00015396</v>
      </c>
      <c r="B13197" s="9" t="str">
        <f>HYPERLINK("http://www.ncbi.nlm.nih.gov/gene/182172", "182172")</f>
        <v>182172</v>
      </c>
      <c r="C13197" s="9"/>
      <c r="D13197" t="str">
        <f>"nhr-148"</f>
        <v>nhr-148</v>
      </c>
      <c r="E13197" t="s">
        <v>637</v>
      </c>
      <c r="F13197" t="s">
        <v>11</v>
      </c>
      <c r="G13197" t="s">
        <v>638</v>
      </c>
      <c r="H13197" s="12">
        <v>1.55931532617933</v>
      </c>
      <c r="I13197" s="20">
        <v>0.662737452823704</v>
      </c>
      <c r="J13197" s="28">
        <v>0.50749871845777295</v>
      </c>
      <c r="K13197" s="29">
        <v>0.98289565623980701</v>
      </c>
    </row>
    <row r="13198" spans="1:11" x14ac:dyDescent="0.35">
      <c r="A13198" s="9" t="str">
        <f>HYPERLINK("http://www.ensembl.org/id/WBGene00015397", "WBGene00015397")</f>
        <v>WBGene00015397</v>
      </c>
      <c r="B13198" s="9" t="str">
        <f>HYPERLINK("http://www.ncbi.nlm.nih.gov/gene/182174", "182174")</f>
        <v>182174</v>
      </c>
      <c r="C13198" s="9"/>
      <c r="D13198" t="str">
        <f>"nhr-149"</f>
        <v>nhr-149</v>
      </c>
      <c r="E13198" t="s">
        <v>637</v>
      </c>
      <c r="F13198" t="s">
        <v>11</v>
      </c>
      <c r="G13198" t="s">
        <v>638</v>
      </c>
      <c r="H13198" s="12">
        <v>-1.4876458500562799</v>
      </c>
      <c r="I13198" s="20">
        <v>-0.30800870472777597</v>
      </c>
      <c r="J13198" s="28">
        <v>0.75807570872161301</v>
      </c>
      <c r="K13198" s="29">
        <v>0.98289565623980701</v>
      </c>
    </row>
    <row r="13199" spans="1:11" x14ac:dyDescent="0.35">
      <c r="A13199" s="9" t="str">
        <f>HYPERLINK("http://www.ensembl.org/id/WBGene00003614", "WBGene00003614")</f>
        <v>WBGene00003614</v>
      </c>
      <c r="B13199" s="9" t="str">
        <f>HYPERLINK("http://www.ncbi.nlm.nih.gov/gene/178558", "178558")</f>
        <v>178558</v>
      </c>
      <c r="C13199" s="9"/>
      <c r="D13199" t="str">
        <f>"nhr-15"</f>
        <v>nhr-15</v>
      </c>
      <c r="E13199" t="s">
        <v>637</v>
      </c>
      <c r="F13199" t="s">
        <v>11</v>
      </c>
      <c r="G13199" t="s">
        <v>1073</v>
      </c>
      <c r="H13199" s="12">
        <v>1.5219472871986499</v>
      </c>
      <c r="I13199" s="20">
        <v>1.1953021990934201</v>
      </c>
      <c r="J13199" s="28">
        <v>0.23196898089986001</v>
      </c>
      <c r="K13199" s="29">
        <v>0.98289565623980701</v>
      </c>
    </row>
    <row r="13200" spans="1:11" x14ac:dyDescent="0.35">
      <c r="A13200" s="9" t="str">
        <f>HYPERLINK("http://www.ensembl.org/id/WBGene00007367", "WBGene00007367")</f>
        <v>WBGene00007367</v>
      </c>
      <c r="B13200" s="9" t="str">
        <f>HYPERLINK("http://www.ncbi.nlm.nih.gov/gene/182297", "182297")</f>
        <v>182297</v>
      </c>
      <c r="C13200" s="9"/>
      <c r="D13200" t="str">
        <f>"nhr-150"</f>
        <v>nhr-150</v>
      </c>
      <c r="E13200" t="s">
        <v>4963</v>
      </c>
      <c r="F13200" t="s">
        <v>11</v>
      </c>
      <c r="G13200" t="s">
        <v>852</v>
      </c>
      <c r="H13200" s="12">
        <v>1.2780923712832299</v>
      </c>
      <c r="I13200" s="20">
        <v>0.345932452990238</v>
      </c>
      <c r="J13200" s="28">
        <v>0.72939347867082505</v>
      </c>
      <c r="K13200" s="29">
        <v>0.98289565623980701</v>
      </c>
    </row>
    <row r="13201" spans="1:11" x14ac:dyDescent="0.35">
      <c r="A13201" s="9" t="str">
        <f>HYPERLINK("http://www.ensembl.org/id/WBGene00007547", "WBGene00007547")</f>
        <v>WBGene00007547</v>
      </c>
      <c r="B13201" s="9" t="str">
        <f>HYPERLINK("http://www.ncbi.nlm.nih.gov/gene/182565", "182565")</f>
        <v>182565</v>
      </c>
      <c r="C13201" s="9"/>
      <c r="D13201" t="str">
        <f>"nhr-154"</f>
        <v>nhr-154</v>
      </c>
      <c r="E13201" t="s">
        <v>8098</v>
      </c>
      <c r="F13201" t="s">
        <v>11</v>
      </c>
      <c r="G13201" t="s">
        <v>852</v>
      </c>
      <c r="H13201" s="12">
        <v>-1.1604745180081699</v>
      </c>
      <c r="I13201" s="20">
        <v>-0.65366396247052405</v>
      </c>
      <c r="J13201" s="28">
        <v>0.51332832570998999</v>
      </c>
      <c r="K13201" s="29">
        <v>0.98289565623980701</v>
      </c>
    </row>
    <row r="13202" spans="1:11" x14ac:dyDescent="0.35">
      <c r="A13202" s="9" t="str">
        <f>HYPERLINK("http://www.ensembl.org/id/WBGene00015897", "WBGene00015897")</f>
        <v>WBGene00015897</v>
      </c>
      <c r="B13202" s="9" t="str">
        <f>HYPERLINK("http://www.ncbi.nlm.nih.gov/gene/182727", "182727")</f>
        <v>182727</v>
      </c>
      <c r="C13202" s="9"/>
      <c r="D13202" t="str">
        <f>"nhr-156"</f>
        <v>nhr-156</v>
      </c>
      <c r="E13202" t="s">
        <v>637</v>
      </c>
      <c r="F13202" t="s">
        <v>11</v>
      </c>
      <c r="G13202" t="s">
        <v>1073</v>
      </c>
      <c r="H13202" s="12">
        <v>1.31093453624886</v>
      </c>
      <c r="I13202" s="20">
        <v>0.91713333018377596</v>
      </c>
      <c r="J13202" s="28">
        <v>0.35907277743872701</v>
      </c>
      <c r="K13202" s="29">
        <v>0.98289565623980701</v>
      </c>
    </row>
    <row r="13203" spans="1:11" x14ac:dyDescent="0.35">
      <c r="A13203" s="9" t="str">
        <f>HYPERLINK("http://www.ensembl.org/id/WBGene00015900", "WBGene00015900")</f>
        <v>WBGene00015900</v>
      </c>
      <c r="B13203" s="9" t="str">
        <f>HYPERLINK("http://www.ncbi.nlm.nih.gov/gene/182730", "182730")</f>
        <v>182730</v>
      </c>
      <c r="C13203" s="9"/>
      <c r="D13203" t="str">
        <f>"nhr-157"</f>
        <v>nhr-157</v>
      </c>
      <c r="E13203" t="s">
        <v>637</v>
      </c>
      <c r="F13203" t="s">
        <v>11</v>
      </c>
      <c r="G13203" t="s">
        <v>1073</v>
      </c>
      <c r="H13203" s="12">
        <v>1.9610075939004601</v>
      </c>
      <c r="I13203" s="20">
        <v>0.963038529126924</v>
      </c>
      <c r="J13203" s="28">
        <v>0.33552818820709301</v>
      </c>
      <c r="K13203" s="29">
        <v>0.98289565623980701</v>
      </c>
    </row>
    <row r="13204" spans="1:11" x14ac:dyDescent="0.35">
      <c r="A13204" s="9" t="str">
        <f>HYPERLINK("http://www.ensembl.org/id/WBGene00003615", "WBGene00003615")</f>
        <v>WBGene00003615</v>
      </c>
      <c r="B13204" s="9" t="str">
        <f>HYPERLINK("http://www.ncbi.nlm.nih.gov/gene/173781", "173781")</f>
        <v>173781</v>
      </c>
      <c r="C13204" s="9"/>
      <c r="D13204" t="str">
        <f>"nhr-16"</f>
        <v>nhr-16</v>
      </c>
      <c r="E13204" t="s">
        <v>8308</v>
      </c>
      <c r="F13204" t="s">
        <v>11</v>
      </c>
      <c r="G13204" t="s">
        <v>852</v>
      </c>
      <c r="H13204" s="12">
        <v>-1.17036234541177</v>
      </c>
      <c r="I13204" s="20">
        <v>-0.33809185833704702</v>
      </c>
      <c r="J13204" s="28">
        <v>0.73529396577962802</v>
      </c>
      <c r="K13204" s="29">
        <v>0.98289565623980701</v>
      </c>
    </row>
    <row r="13205" spans="1:11" x14ac:dyDescent="0.35">
      <c r="A13205" s="9" t="str">
        <f>HYPERLINK("http://www.ensembl.org/id/WBGene00016364", "WBGene00016364")</f>
        <v>WBGene00016364</v>
      </c>
      <c r="B13205" s="9" t="str">
        <f>HYPERLINK("http://www.ncbi.nlm.nih.gov/gene/183178", "183178")</f>
        <v>183178</v>
      </c>
      <c r="C13205" s="9"/>
      <c r="D13205" t="str">
        <f>"nhr-161"</f>
        <v>nhr-161</v>
      </c>
      <c r="E13205" t="s">
        <v>637</v>
      </c>
      <c r="F13205" t="s">
        <v>11</v>
      </c>
      <c r="G13205" t="s">
        <v>1073</v>
      </c>
      <c r="H13205" s="12">
        <v>-1.10185790828026</v>
      </c>
      <c r="I13205" s="20">
        <v>-0.25918052028947502</v>
      </c>
      <c r="J13205" s="28">
        <v>0.79549596026315195</v>
      </c>
      <c r="K13205" s="29">
        <v>0.98289565623980701</v>
      </c>
    </row>
    <row r="13206" spans="1:11" x14ac:dyDescent="0.35">
      <c r="A13206" s="9" t="str">
        <f>HYPERLINK("http://www.ensembl.org/id/WBGene00008056", "WBGene00008056")</f>
        <v>WBGene00008056</v>
      </c>
      <c r="B13206" s="9" t="str">
        <f>HYPERLINK("http://www.ncbi.nlm.nih.gov/gene/183381", "183381")</f>
        <v>183381</v>
      </c>
      <c r="C13206" s="9"/>
      <c r="D13206" t="str">
        <f>"nhr-164"</f>
        <v>nhr-164</v>
      </c>
      <c r="E13206" t="s">
        <v>10044</v>
      </c>
      <c r="F13206" t="s">
        <v>11</v>
      </c>
      <c r="G13206" t="s">
        <v>852</v>
      </c>
      <c r="H13206" s="12">
        <v>-2.2054337955735699</v>
      </c>
      <c r="I13206" s="20">
        <v>-0.42829578272895702</v>
      </c>
      <c r="J13206" s="28">
        <v>0.66843578893262001</v>
      </c>
      <c r="K13206" s="29">
        <v>0.98289565623980701</v>
      </c>
    </row>
    <row r="13207" spans="1:11" x14ac:dyDescent="0.35">
      <c r="A13207" s="9" t="str">
        <f>HYPERLINK("http://www.ensembl.org/id/WBGene00016772", "WBGene00016772")</f>
        <v>WBGene00016772</v>
      </c>
      <c r="B13207" s="9" t="str">
        <f>HYPERLINK("http://www.ncbi.nlm.nih.gov/gene/183605", "183605")</f>
        <v>183605</v>
      </c>
      <c r="C13207" s="9"/>
      <c r="D13207" t="str">
        <f>"nhr-166"</f>
        <v>nhr-166</v>
      </c>
      <c r="E13207" t="s">
        <v>637</v>
      </c>
      <c r="F13207" t="s">
        <v>11</v>
      </c>
      <c r="G13207" t="s">
        <v>1073</v>
      </c>
      <c r="H13207" s="12">
        <v>-1.8638665144066699</v>
      </c>
      <c r="I13207" s="20">
        <v>-0.271142229186777</v>
      </c>
      <c r="J13207" s="28">
        <v>0.78628164344686602</v>
      </c>
      <c r="K13207" s="29">
        <v>0.98289565623980701</v>
      </c>
    </row>
    <row r="13208" spans="1:11" x14ac:dyDescent="0.35">
      <c r="A13208" s="9" t="str">
        <f>HYPERLINK("http://www.ensembl.org/id/WBGene00008208", "WBGene00008208")</f>
        <v>WBGene00008208</v>
      </c>
      <c r="B13208" s="9" t="str">
        <f>HYPERLINK("http://www.ncbi.nlm.nih.gov/gene/183613", "183613")</f>
        <v>183613</v>
      </c>
      <c r="C13208" s="9"/>
      <c r="D13208" t="str">
        <f>"nhr-167"</f>
        <v>nhr-167</v>
      </c>
      <c r="E13208" t="s">
        <v>4759</v>
      </c>
      <c r="F13208" t="s">
        <v>11</v>
      </c>
      <c r="G13208" t="s">
        <v>852</v>
      </c>
      <c r="H13208" s="12">
        <v>1.4057499091357999</v>
      </c>
      <c r="I13208" s="20">
        <v>0.56842774860229195</v>
      </c>
      <c r="J13208" s="28">
        <v>0.569744552981434</v>
      </c>
      <c r="K13208" s="29">
        <v>0.98289565623980701</v>
      </c>
    </row>
    <row r="13209" spans="1:11" x14ac:dyDescent="0.35">
      <c r="A13209" s="9" t="str">
        <f>HYPERLINK("http://www.ensembl.org/id/WBGene00008221", "WBGene00008221")</f>
        <v>WBGene00008221</v>
      </c>
      <c r="B13209" s="9" t="str">
        <f>HYPERLINK("http://www.ncbi.nlm.nih.gov/gene/353455", "353455")</f>
        <v>353455</v>
      </c>
      <c r="C13209" s="9"/>
      <c r="D13209" t="str">
        <f>"nhr-168"</f>
        <v>nhr-168</v>
      </c>
      <c r="E13209" t="s">
        <v>637</v>
      </c>
      <c r="F13209" t="s">
        <v>11</v>
      </c>
      <c r="G13209" t="s">
        <v>638</v>
      </c>
      <c r="H13209" s="12">
        <v>1.1180765226590501</v>
      </c>
      <c r="I13209" s="20">
        <v>0.38952806631042602</v>
      </c>
      <c r="J13209" s="28">
        <v>0.69688555293229604</v>
      </c>
      <c r="K13209" s="29">
        <v>0.98289565623980701</v>
      </c>
    </row>
    <row r="13210" spans="1:11" x14ac:dyDescent="0.35">
      <c r="A13210" s="9" t="str">
        <f>HYPERLINK("http://www.ensembl.org/id/WBGene00008289", "WBGene00008289")</f>
        <v>WBGene00008289</v>
      </c>
      <c r="B13210" s="9" t="str">
        <f>HYPERLINK("http://www.ncbi.nlm.nih.gov/gene/183768", "183768")</f>
        <v>183768</v>
      </c>
      <c r="C13210" s="9"/>
      <c r="D13210" t="str">
        <f>"nhr-169"</f>
        <v>nhr-169</v>
      </c>
      <c r="E13210" t="s">
        <v>10034</v>
      </c>
      <c r="F13210" t="s">
        <v>11</v>
      </c>
      <c r="G13210" t="s">
        <v>852</v>
      </c>
      <c r="H13210" s="12">
        <v>-1.9669504568564999</v>
      </c>
      <c r="I13210" s="20">
        <v>-0.32405330302666502</v>
      </c>
      <c r="J13210" s="28">
        <v>0.74589767964154696</v>
      </c>
      <c r="K13210" s="29">
        <v>0.98289565623980701</v>
      </c>
    </row>
    <row r="13211" spans="1:11" x14ac:dyDescent="0.35">
      <c r="A13211" s="9" t="str">
        <f>HYPERLINK("http://www.ensembl.org/id/WBGene00008309", "WBGene00008309")</f>
        <v>WBGene00008309</v>
      </c>
      <c r="B13211" s="9" t="str">
        <f>HYPERLINK("http://www.ncbi.nlm.nih.gov/gene/183795", "183795")</f>
        <v>183795</v>
      </c>
      <c r="C13211" s="9"/>
      <c r="D13211" t="str">
        <f>"nhr-170"</f>
        <v>nhr-170</v>
      </c>
      <c r="E13211" t="s">
        <v>637</v>
      </c>
      <c r="F13211" t="s">
        <v>11</v>
      </c>
      <c r="G13211" t="s">
        <v>1073</v>
      </c>
      <c r="H13211" s="12">
        <v>-1.21126100129476</v>
      </c>
      <c r="I13211" s="20">
        <v>-0.77399511973343205</v>
      </c>
      <c r="J13211" s="28">
        <v>0.43893367725952098</v>
      </c>
      <c r="K13211" s="29">
        <v>0.98289565623980701</v>
      </c>
    </row>
    <row r="13212" spans="1:11" x14ac:dyDescent="0.35">
      <c r="A13212" s="9" t="str">
        <f>HYPERLINK("http://www.ensembl.org/id/WBGene00016926", "WBGene00016926")</f>
        <v>WBGene00016926</v>
      </c>
      <c r="B13212" s="9" t="str">
        <f>HYPERLINK("http://www.ncbi.nlm.nih.gov/gene/183807", "183807")</f>
        <v>183807</v>
      </c>
      <c r="C13212" s="9"/>
      <c r="D13212" t="str">
        <f>"nhr-171"</f>
        <v>nhr-171</v>
      </c>
      <c r="E13212" t="s">
        <v>637</v>
      </c>
      <c r="F13212" t="s">
        <v>11</v>
      </c>
      <c r="G13212" t="s">
        <v>1073</v>
      </c>
      <c r="H13212" s="12">
        <v>2.0428848928076202</v>
      </c>
      <c r="I13212" s="20">
        <v>0.93400735157604298</v>
      </c>
      <c r="J13212" s="28">
        <v>0.35030010081103202</v>
      </c>
      <c r="K13212" s="29">
        <v>0.98289565623980701</v>
      </c>
    </row>
    <row r="13213" spans="1:11" x14ac:dyDescent="0.35">
      <c r="A13213" s="9" t="str">
        <f>HYPERLINK("http://www.ensembl.org/id/WBGene00016927", "WBGene00016927")</f>
        <v>WBGene00016927</v>
      </c>
      <c r="B13213" s="9" t="str">
        <f>HYPERLINK("http://www.ncbi.nlm.nih.gov/gene/183808", "183808")</f>
        <v>183808</v>
      </c>
      <c r="C13213" s="9"/>
      <c r="D13213" t="str">
        <f>"nhr-172"</f>
        <v>nhr-172</v>
      </c>
      <c r="E13213" t="s">
        <v>637</v>
      </c>
      <c r="F13213" t="s">
        <v>11</v>
      </c>
      <c r="G13213" t="s">
        <v>1073</v>
      </c>
      <c r="H13213" s="12">
        <v>2.4959243025294802</v>
      </c>
      <c r="I13213" s="20">
        <v>0.95714235106006895</v>
      </c>
      <c r="J13213" s="28">
        <v>0.338495409915198</v>
      </c>
      <c r="K13213" s="29">
        <v>0.98289565623980701</v>
      </c>
    </row>
    <row r="13214" spans="1:11" x14ac:dyDescent="0.35">
      <c r="A13214" s="9" t="str">
        <f>HYPERLINK("http://www.ensembl.org/id/WBGene00016975", "WBGene00016975")</f>
        <v>WBGene00016975</v>
      </c>
      <c r="B13214" s="9" t="str">
        <f>HYPERLINK("http://www.ncbi.nlm.nih.gov/gene/183862", "183862")</f>
        <v>183862</v>
      </c>
      <c r="C13214" s="9"/>
      <c r="D13214" t="str">
        <f>"nhr-173"</f>
        <v>nhr-173</v>
      </c>
      <c r="E13214" t="s">
        <v>637</v>
      </c>
      <c r="F13214" t="s">
        <v>11</v>
      </c>
      <c r="G13214" t="s">
        <v>638</v>
      </c>
      <c r="H13214" s="12">
        <v>1.2592929705607301</v>
      </c>
      <c r="I13214" s="20">
        <v>1.04441413431608</v>
      </c>
      <c r="J13214" s="28">
        <v>0.29629382700193801</v>
      </c>
      <c r="K13214" s="29">
        <v>0.98289565623980701</v>
      </c>
    </row>
    <row r="13215" spans="1:11" x14ac:dyDescent="0.35">
      <c r="A13215" s="9" t="str">
        <f>HYPERLINK("http://www.ensembl.org/id/WBGene00008474", "WBGene00008474")</f>
        <v>WBGene00008474</v>
      </c>
      <c r="B13215" s="9" t="str">
        <f>HYPERLINK("http://www.ncbi.nlm.nih.gov/gene/184021", "184021")</f>
        <v>184021</v>
      </c>
      <c r="C13215" s="9"/>
      <c r="D13215" t="str">
        <f>"nhr-174"</f>
        <v>nhr-174</v>
      </c>
      <c r="E13215" t="s">
        <v>4279</v>
      </c>
      <c r="F13215" t="s">
        <v>11</v>
      </c>
      <c r="G13215" t="s">
        <v>852</v>
      </c>
      <c r="H13215" s="12">
        <v>4.4368407117627902</v>
      </c>
      <c r="I13215" s="20">
        <v>0.43709475933309699</v>
      </c>
      <c r="J13215" s="28">
        <v>0.66204262779770495</v>
      </c>
      <c r="K13215" s="29">
        <v>0.98289565623980701</v>
      </c>
    </row>
    <row r="13216" spans="1:11" x14ac:dyDescent="0.35">
      <c r="A13216" s="9" t="str">
        <f>HYPERLINK("http://www.ensembl.org/id/WBGene00008630", "WBGene00008630")</f>
        <v>WBGene00008630</v>
      </c>
      <c r="B13216" s="9" t="str">
        <f>HYPERLINK("http://www.ncbi.nlm.nih.gov/gene/184255", "184255")</f>
        <v>184255</v>
      </c>
      <c r="C13216" s="9"/>
      <c r="D13216" t="str">
        <f>"nhr-175"</f>
        <v>nhr-175</v>
      </c>
      <c r="E13216" t="s">
        <v>637</v>
      </c>
      <c r="F13216" t="s">
        <v>11</v>
      </c>
      <c r="G13216" t="s">
        <v>1073</v>
      </c>
      <c r="H13216" s="12">
        <v>1.87534924252868</v>
      </c>
      <c r="I13216" s="20">
        <v>0.40120586594907898</v>
      </c>
      <c r="J13216" s="28">
        <v>0.68826856231809197</v>
      </c>
      <c r="K13216" s="29">
        <v>0.98289565623980701</v>
      </c>
    </row>
    <row r="13217" spans="1:11" x14ac:dyDescent="0.35">
      <c r="A13217" s="9" t="str">
        <f>HYPERLINK("http://www.ensembl.org/id/WBGene00017510", "WBGene00017510")</f>
        <v>WBGene00017510</v>
      </c>
      <c r="B13217" s="9" t="str">
        <f>HYPERLINK("http://www.ncbi.nlm.nih.gov/gene/184560", "184560")</f>
        <v>184560</v>
      </c>
      <c r="C13217" s="9"/>
      <c r="D13217" t="str">
        <f>"nhr-178"</f>
        <v>nhr-178</v>
      </c>
      <c r="E13217" t="s">
        <v>637</v>
      </c>
      <c r="F13217" t="s">
        <v>11</v>
      </c>
      <c r="G13217" t="s">
        <v>1073</v>
      </c>
      <c r="H13217" s="12">
        <v>1.4887068422563301</v>
      </c>
      <c r="I13217" s="20">
        <v>0.94416600701142295</v>
      </c>
      <c r="J13217" s="28">
        <v>0.34508482310622002</v>
      </c>
      <c r="K13217" s="29">
        <v>0.98289565623980701</v>
      </c>
    </row>
    <row r="13218" spans="1:11" x14ac:dyDescent="0.35">
      <c r="A13218" s="9" t="str">
        <f>HYPERLINK("http://www.ensembl.org/id/WBGene00017512", "WBGene00017512")</f>
        <v>WBGene00017512</v>
      </c>
      <c r="B13218" s="9" t="str">
        <f>HYPERLINK("http://www.ncbi.nlm.nih.gov/gene/184562", "184562")</f>
        <v>184562</v>
      </c>
      <c r="C13218" s="9"/>
      <c r="D13218" t="str">
        <f>"nhr-179"</f>
        <v>nhr-179</v>
      </c>
      <c r="E13218" t="s">
        <v>637</v>
      </c>
      <c r="F13218" t="s">
        <v>11</v>
      </c>
      <c r="G13218" t="s">
        <v>1073</v>
      </c>
      <c r="H13218" s="12">
        <v>1.1481304616813299</v>
      </c>
      <c r="I13218" s="20">
        <v>0.37022460740836399</v>
      </c>
      <c r="J13218" s="28">
        <v>0.71121514312908696</v>
      </c>
      <c r="K13218" s="29">
        <v>0.98289565623980701</v>
      </c>
    </row>
    <row r="13219" spans="1:11" x14ac:dyDescent="0.35">
      <c r="A13219" s="9" t="str">
        <f>HYPERLINK("http://www.ensembl.org/id/WBGene00003617", "WBGene00003617")</f>
        <v>WBGene00003617</v>
      </c>
      <c r="B13219" s="9" t="str">
        <f>HYPERLINK("http://www.ncbi.nlm.nih.gov/gene/178702", "178702")</f>
        <v>178702</v>
      </c>
      <c r="C13219" s="9"/>
      <c r="D13219" t="str">
        <f>"nhr-18"</f>
        <v>nhr-18</v>
      </c>
      <c r="E13219" t="s">
        <v>5971</v>
      </c>
      <c r="F13219" t="s">
        <v>11</v>
      </c>
      <c r="G13219" t="s">
        <v>852</v>
      </c>
      <c r="H13219" s="12">
        <v>1.07815183964123</v>
      </c>
      <c r="I13219" s="20">
        <v>0.35873094393913102</v>
      </c>
      <c r="J13219" s="28">
        <v>0.71979637716848999</v>
      </c>
      <c r="K13219" s="29">
        <v>0.98289565623980701</v>
      </c>
    </row>
    <row r="13220" spans="1:11" x14ac:dyDescent="0.35">
      <c r="A13220" s="9" t="str">
        <f>HYPERLINK("http://www.ensembl.org/id/WBGene00018265", "WBGene00018265")</f>
        <v>WBGene00018265</v>
      </c>
      <c r="B13220" s="9" t="str">
        <f>HYPERLINK("http://www.ncbi.nlm.nih.gov/gene/185593", "185593")</f>
        <v>185593</v>
      </c>
      <c r="C13220" s="9"/>
      <c r="D13220" t="str">
        <f>"nhr-182"</f>
        <v>nhr-182</v>
      </c>
      <c r="E13220" t="s">
        <v>637</v>
      </c>
      <c r="F13220" t="s">
        <v>11</v>
      </c>
      <c r="G13220" t="s">
        <v>1073</v>
      </c>
      <c r="H13220" s="12">
        <v>1.10492850763405</v>
      </c>
      <c r="I13220" s="20">
        <v>0.40851982458208902</v>
      </c>
      <c r="J13220" s="28">
        <v>0.68289207908709504</v>
      </c>
      <c r="K13220" s="29">
        <v>0.98289565623980701</v>
      </c>
    </row>
    <row r="13221" spans="1:11" x14ac:dyDescent="0.35">
      <c r="A13221" s="9" t="str">
        <f>HYPERLINK("http://www.ensembl.org/id/WBGene00018266", "WBGene00018266")</f>
        <v>WBGene00018266</v>
      </c>
      <c r="B13221" s="9" t="str">
        <f>HYPERLINK("http://www.ncbi.nlm.nih.gov/gene/185594", "185594")</f>
        <v>185594</v>
      </c>
      <c r="C13221" s="9"/>
      <c r="D13221" t="str">
        <f>"nhr-183"</f>
        <v>nhr-183</v>
      </c>
      <c r="E13221" t="s">
        <v>637</v>
      </c>
      <c r="F13221" t="s">
        <v>11</v>
      </c>
      <c r="G13221" t="s">
        <v>1073</v>
      </c>
      <c r="H13221" s="12">
        <v>1.2596809822042401</v>
      </c>
      <c r="I13221" s="20">
        <v>0.84306712324764999</v>
      </c>
      <c r="J13221" s="28">
        <v>0.39919090457242701</v>
      </c>
      <c r="K13221" s="29">
        <v>0.98289565623980701</v>
      </c>
    </row>
    <row r="13222" spans="1:11" x14ac:dyDescent="0.35">
      <c r="A13222" s="9" t="str">
        <f>HYPERLINK("http://www.ensembl.org/id/WBGene00018539", "WBGene00018539")</f>
        <v>WBGene00018539</v>
      </c>
      <c r="B13222" s="9" t="str">
        <f>HYPERLINK("http://www.ncbi.nlm.nih.gov/gene/185907", "185907")</f>
        <v>185907</v>
      </c>
      <c r="C13222" s="9"/>
      <c r="D13222" t="str">
        <f>"nhr-185"</f>
        <v>nhr-185</v>
      </c>
      <c r="E13222" t="s">
        <v>637</v>
      </c>
      <c r="F13222" t="s">
        <v>11</v>
      </c>
      <c r="G13222" t="s">
        <v>1073</v>
      </c>
      <c r="H13222" s="12">
        <v>8.8262852994867007</v>
      </c>
      <c r="I13222" s="20">
        <v>0.96024843751704403</v>
      </c>
      <c r="J13222" s="28">
        <v>0.33693019405373398</v>
      </c>
      <c r="K13222" s="29">
        <v>0.98289565623980701</v>
      </c>
    </row>
    <row r="13223" spans="1:11" x14ac:dyDescent="0.35">
      <c r="A13223" s="9" t="str">
        <f>HYPERLINK("http://www.ensembl.org/id/WBGene00018542", "WBGene00018542")</f>
        <v>WBGene00018542</v>
      </c>
      <c r="B13223" s="9" t="str">
        <f>HYPERLINK("http://www.ncbi.nlm.nih.gov/gene/185910", "185910")</f>
        <v>185910</v>
      </c>
      <c r="C13223" s="9"/>
      <c r="D13223" t="str">
        <f>"nhr-187"</f>
        <v>nhr-187</v>
      </c>
      <c r="E13223" t="s">
        <v>637</v>
      </c>
      <c r="F13223" t="s">
        <v>11</v>
      </c>
      <c r="G13223" t="s">
        <v>1073</v>
      </c>
      <c r="H13223" s="12">
        <v>1.4243987614834701</v>
      </c>
      <c r="I13223" s="20">
        <v>0.33401504724203102</v>
      </c>
      <c r="J13223" s="28">
        <v>0.73836820406941195</v>
      </c>
      <c r="K13223" s="29">
        <v>0.98289565623980701</v>
      </c>
    </row>
    <row r="13224" spans="1:11" x14ac:dyDescent="0.35">
      <c r="A13224" s="9" t="str">
        <f>HYPERLINK("http://www.ensembl.org/id/WBGene00018544", "WBGene00018544")</f>
        <v>WBGene00018544</v>
      </c>
      <c r="B13224" s="9" t="str">
        <f>HYPERLINK("http://www.ncbi.nlm.nih.gov/gene/185912", "185912")</f>
        <v>185912</v>
      </c>
      <c r="C13224" s="9"/>
      <c r="D13224" t="str">
        <f>"nhr-188"</f>
        <v>nhr-188</v>
      </c>
      <c r="E13224" t="s">
        <v>637</v>
      </c>
      <c r="F13224" t="s">
        <v>11</v>
      </c>
      <c r="G13224" t="s">
        <v>1073</v>
      </c>
      <c r="H13224" s="12">
        <v>2.5494470594118899</v>
      </c>
      <c r="I13224" s="20">
        <v>0.31908451726144499</v>
      </c>
      <c r="J13224" s="28">
        <v>0.74966242392848603</v>
      </c>
      <c r="K13224" s="29">
        <v>0.98289565623980701</v>
      </c>
    </row>
    <row r="13225" spans="1:11" x14ac:dyDescent="0.35">
      <c r="A13225" s="9" t="str">
        <f>HYPERLINK("http://www.ensembl.org/id/WBGene00003618", "WBGene00003618")</f>
        <v>WBGene00003618</v>
      </c>
      <c r="B13225" s="9" t="str">
        <f>HYPERLINK("http://www.ncbi.nlm.nih.gov/gene/174512", "174512")</f>
        <v>174512</v>
      </c>
      <c r="C13225" s="9"/>
      <c r="D13225" t="str">
        <f>"nhr-19"</f>
        <v>nhr-19</v>
      </c>
      <c r="E13225" t="s">
        <v>9298</v>
      </c>
      <c r="F13225" t="s">
        <v>11</v>
      </c>
      <c r="G13225" t="s">
        <v>852</v>
      </c>
      <c r="H13225" s="12">
        <v>-1.2358592346628801</v>
      </c>
      <c r="I13225" s="20">
        <v>-1.15141758832883</v>
      </c>
      <c r="J13225" s="28">
        <v>0.24956048142575299</v>
      </c>
      <c r="K13225" s="29">
        <v>0.98289565623980701</v>
      </c>
    </row>
    <row r="13226" spans="1:11" x14ac:dyDescent="0.35">
      <c r="A13226" s="9" t="str">
        <f>HYPERLINK("http://www.ensembl.org/id/WBGene00018622", "WBGene00018622")</f>
        <v>WBGene00018622</v>
      </c>
      <c r="B13226" s="9" t="str">
        <f>HYPERLINK("http://www.ncbi.nlm.nih.gov/gene/185999", "185999")</f>
        <v>185999</v>
      </c>
      <c r="C13226" s="9"/>
      <c r="D13226" t="str">
        <f>"nhr-190"</f>
        <v>nhr-190</v>
      </c>
      <c r="E13226" t="s">
        <v>637</v>
      </c>
      <c r="F13226" t="s">
        <v>11</v>
      </c>
      <c r="G13226" t="s">
        <v>1073</v>
      </c>
      <c r="H13226" s="12">
        <v>-1.1229786612460999</v>
      </c>
      <c r="I13226" s="20">
        <v>-0.41007091294533998</v>
      </c>
      <c r="J13226" s="28">
        <v>0.68175392916493105</v>
      </c>
      <c r="K13226" s="29">
        <v>0.98289565623980701</v>
      </c>
    </row>
    <row r="13227" spans="1:11" x14ac:dyDescent="0.35">
      <c r="A13227" s="9" t="str">
        <f>HYPERLINK("http://www.ensembl.org/id/WBGene00010215", "WBGene00010215")</f>
        <v>WBGene00010215</v>
      </c>
      <c r="B13227" s="9" t="str">
        <f>HYPERLINK("http://www.ncbi.nlm.nih.gov/gene/180098", "180098")</f>
        <v>180098</v>
      </c>
      <c r="C13227" s="9"/>
      <c r="D13227" t="str">
        <f>"nhr-193"</f>
        <v>nhr-193</v>
      </c>
      <c r="E13227" t="s">
        <v>637</v>
      </c>
      <c r="F13227" t="s">
        <v>11</v>
      </c>
      <c r="G13227" t="s">
        <v>1073</v>
      </c>
      <c r="H13227" s="12">
        <v>-1.4709568337182699</v>
      </c>
      <c r="I13227" s="20">
        <v>-1.0678168321398001</v>
      </c>
      <c r="J13227" s="28">
        <v>0.28560314383239599</v>
      </c>
      <c r="K13227" s="29">
        <v>0.98289565623980701</v>
      </c>
    </row>
    <row r="13228" spans="1:11" x14ac:dyDescent="0.35">
      <c r="A13228" s="9" t="str">
        <f>HYPERLINK("http://www.ensembl.org/id/WBGene00019114", "WBGene00019114")</f>
        <v>WBGene00019114</v>
      </c>
      <c r="B13228" s="9"/>
      <c r="C13228" s="9"/>
      <c r="D13228" t="str">
        <f>"nhr-194"</f>
        <v>nhr-194</v>
      </c>
      <c r="F13228" t="s">
        <v>80</v>
      </c>
      <c r="H13228" s="12">
        <v>1.33962855829006</v>
      </c>
      <c r="I13228" s="20">
        <v>0.91155961933639995</v>
      </c>
      <c r="J13228" s="28">
        <v>0.36200058757439602</v>
      </c>
      <c r="K13228" s="29">
        <v>0.98289565623980701</v>
      </c>
    </row>
    <row r="13229" spans="1:11" x14ac:dyDescent="0.35">
      <c r="A13229" s="9" t="str">
        <f>HYPERLINK("http://www.ensembl.org/id/WBGene00010600", "WBGene00010600")</f>
        <v>WBGene00010600</v>
      </c>
      <c r="B13229" s="9" t="str">
        <f>HYPERLINK("http://www.ncbi.nlm.nih.gov/gene/187053", "187053")</f>
        <v>187053</v>
      </c>
      <c r="C13229" s="9"/>
      <c r="D13229" t="str">
        <f>"nhr-196"</f>
        <v>nhr-196</v>
      </c>
      <c r="E13229" t="s">
        <v>637</v>
      </c>
      <c r="F13229" t="s">
        <v>11</v>
      </c>
      <c r="G13229" t="s">
        <v>1073</v>
      </c>
      <c r="H13229" s="12">
        <v>15.4310788203624</v>
      </c>
      <c r="I13229" s="20">
        <v>0.98793301332604</v>
      </c>
      <c r="J13229" s="28">
        <v>0.32318545590394598</v>
      </c>
      <c r="K13229" s="29">
        <v>0.98289565623980701</v>
      </c>
    </row>
    <row r="13230" spans="1:11" x14ac:dyDescent="0.35">
      <c r="A13230" s="9" t="str">
        <f>HYPERLINK("http://www.ensembl.org/id/WBGene00010603", "WBGene00010603")</f>
        <v>WBGene00010603</v>
      </c>
      <c r="B13230" s="9" t="str">
        <f>HYPERLINK("http://www.ncbi.nlm.nih.gov/gene/187056", "187056")</f>
        <v>187056</v>
      </c>
      <c r="C13230" s="9"/>
      <c r="D13230" t="str">
        <f>"nhr-198"</f>
        <v>nhr-198</v>
      </c>
      <c r="E13230" t="s">
        <v>637</v>
      </c>
      <c r="F13230" t="s">
        <v>11</v>
      </c>
      <c r="G13230" t="s">
        <v>1073</v>
      </c>
      <c r="H13230" s="12">
        <v>2.3061382890903701</v>
      </c>
      <c r="I13230" s="20">
        <v>0.40737604464489002</v>
      </c>
      <c r="J13230" s="28">
        <v>0.68373181851100895</v>
      </c>
      <c r="K13230" s="29">
        <v>0.98289565623980701</v>
      </c>
    </row>
    <row r="13231" spans="1:11" x14ac:dyDescent="0.35">
      <c r="A13231" s="9" t="str">
        <f>HYPERLINK("http://www.ensembl.org/id/WBGene00010604", "WBGene00010604")</f>
        <v>WBGene00010604</v>
      </c>
      <c r="B13231" s="9" t="str">
        <f>HYPERLINK("http://www.ncbi.nlm.nih.gov/gene/187058", "187058")</f>
        <v>187058</v>
      </c>
      <c r="C13231" s="9"/>
      <c r="D13231" t="str">
        <f>"nhr-199"</f>
        <v>nhr-199</v>
      </c>
      <c r="E13231" t="s">
        <v>4649</v>
      </c>
      <c r="F13231" t="s">
        <v>11</v>
      </c>
      <c r="G13231" t="s">
        <v>852</v>
      </c>
      <c r="H13231" s="12">
        <v>1.53472548657298</v>
      </c>
      <c r="I13231" s="20">
        <v>0.77266053188135997</v>
      </c>
      <c r="J13231" s="28">
        <v>0.43972331039534601</v>
      </c>
      <c r="K13231" s="29">
        <v>0.98289565623980701</v>
      </c>
    </row>
    <row r="13232" spans="1:11" x14ac:dyDescent="0.35">
      <c r="A13232" s="9" t="str">
        <f>HYPERLINK("http://www.ensembl.org/id/WBGene00003601", "WBGene00003601")</f>
        <v>WBGene00003601</v>
      </c>
      <c r="B13232" s="9" t="str">
        <f>HYPERLINK("http://www.ncbi.nlm.nih.gov/gene/172251", "172251")</f>
        <v>172251</v>
      </c>
      <c r="C13232" s="9"/>
      <c r="D13232" t="str">
        <f>"nhr-2"</f>
        <v>nhr-2</v>
      </c>
      <c r="E13232" t="s">
        <v>5978</v>
      </c>
      <c r="F13232" t="s">
        <v>11</v>
      </c>
      <c r="G13232" t="s">
        <v>852</v>
      </c>
      <c r="H13232" s="12">
        <v>1.0769856469727901</v>
      </c>
      <c r="I13232" s="20">
        <v>0.27823408475493999</v>
      </c>
      <c r="J13232" s="28">
        <v>0.78083267159070902</v>
      </c>
      <c r="K13232" s="29">
        <v>0.98289565623980701</v>
      </c>
    </row>
    <row r="13233" spans="1:11" x14ac:dyDescent="0.35">
      <c r="A13233" s="9" t="str">
        <f>HYPERLINK("http://www.ensembl.org/id/WBGene00003619", "WBGene00003619")</f>
        <v>WBGene00003619</v>
      </c>
      <c r="B13233" s="9" t="str">
        <f>HYPERLINK("http://www.ncbi.nlm.nih.gov/gene/175546", "175546")</f>
        <v>175546</v>
      </c>
      <c r="C13233" s="9"/>
      <c r="D13233" t="str">
        <f>"nhr-20"</f>
        <v>nhr-20</v>
      </c>
      <c r="E13233" t="s">
        <v>7598</v>
      </c>
      <c r="F13233" t="s">
        <v>11</v>
      </c>
      <c r="G13233" t="s">
        <v>852</v>
      </c>
      <c r="H13233" s="12">
        <v>-1.1349153479552401</v>
      </c>
      <c r="I13233" s="20">
        <v>-0.65096446842142297</v>
      </c>
      <c r="J13233" s="28">
        <v>0.515069423662322</v>
      </c>
      <c r="K13233" s="29">
        <v>0.98289565623980701</v>
      </c>
    </row>
    <row r="13234" spans="1:11" x14ac:dyDescent="0.35">
      <c r="A13234" s="9" t="str">
        <f>HYPERLINK("http://www.ensembl.org/id/WBGene00019741", "WBGene00019741")</f>
        <v>WBGene00019741</v>
      </c>
      <c r="B13234" s="9" t="str">
        <f>HYPERLINK("http://www.ncbi.nlm.nih.gov/gene/187408", "187408")</f>
        <v>187408</v>
      </c>
      <c r="C13234" s="9"/>
      <c r="D13234" t="str">
        <f>"nhr-201"</f>
        <v>nhr-201</v>
      </c>
      <c r="E13234" t="s">
        <v>637</v>
      </c>
      <c r="F13234" t="s">
        <v>11</v>
      </c>
      <c r="G13234" t="s">
        <v>1073</v>
      </c>
      <c r="H13234" s="12">
        <v>1.09151719592201</v>
      </c>
      <c r="I13234" s="20">
        <v>0.30810581636710099</v>
      </c>
      <c r="J13234" s="28">
        <v>0.75800181556305202</v>
      </c>
      <c r="K13234" s="29">
        <v>0.98289565623980701</v>
      </c>
    </row>
    <row r="13235" spans="1:11" x14ac:dyDescent="0.35">
      <c r="A13235" s="9" t="str">
        <f>HYPERLINK("http://www.ensembl.org/id/WBGene00019742", "WBGene00019742")</f>
        <v>WBGene00019742</v>
      </c>
      <c r="B13235" s="9" t="str">
        <f>HYPERLINK("http://www.ncbi.nlm.nih.gov/gene/187409", "187409")</f>
        <v>187409</v>
      </c>
      <c r="C13235" s="9"/>
      <c r="D13235" t="str">
        <f>"nhr-202"</f>
        <v>nhr-202</v>
      </c>
      <c r="E13235" t="s">
        <v>637</v>
      </c>
      <c r="F13235" t="s">
        <v>11</v>
      </c>
      <c r="G13235" t="s">
        <v>1073</v>
      </c>
      <c r="H13235" s="12">
        <v>1.1314843095392599</v>
      </c>
      <c r="I13235" s="20">
        <v>0.38278605634450102</v>
      </c>
      <c r="J13235" s="28">
        <v>0.70187840095418796</v>
      </c>
      <c r="K13235" s="29">
        <v>0.98289565623980701</v>
      </c>
    </row>
    <row r="13236" spans="1:11" x14ac:dyDescent="0.35">
      <c r="A13236" s="9" t="str">
        <f>HYPERLINK("http://www.ensembl.org/id/WBGene00019743", "WBGene00019743")</f>
        <v>WBGene00019743</v>
      </c>
      <c r="B13236" s="9" t="str">
        <f>HYPERLINK("http://www.ncbi.nlm.nih.gov/gene/187410", "187410")</f>
        <v>187410</v>
      </c>
      <c r="C13236" s="9"/>
      <c r="D13236" t="str">
        <f>"nhr-203"</f>
        <v>nhr-203</v>
      </c>
      <c r="E13236" t="s">
        <v>637</v>
      </c>
      <c r="F13236" t="s">
        <v>11</v>
      </c>
      <c r="G13236" t="s">
        <v>1073</v>
      </c>
      <c r="H13236" s="12">
        <v>1.0783277476539099</v>
      </c>
      <c r="I13236" s="20">
        <v>0.26546049572080599</v>
      </c>
      <c r="J13236" s="28">
        <v>0.79065473829809596</v>
      </c>
      <c r="K13236" s="29">
        <v>0.98289565623980701</v>
      </c>
    </row>
    <row r="13237" spans="1:11" x14ac:dyDescent="0.35">
      <c r="A13237" s="9" t="str">
        <f>HYPERLINK("http://www.ensembl.org/id/WBGene00019816", "WBGene00019816")</f>
        <v>WBGene00019816</v>
      </c>
      <c r="B13237" s="9" t="str">
        <f>HYPERLINK("http://www.ncbi.nlm.nih.gov/gene/187519", "187519")</f>
        <v>187519</v>
      </c>
      <c r="C13237" s="9"/>
      <c r="D13237" t="str">
        <f>"nhr-204"</f>
        <v>nhr-204</v>
      </c>
      <c r="E13237" t="s">
        <v>637</v>
      </c>
      <c r="F13237" t="s">
        <v>11</v>
      </c>
      <c r="G13237" t="s">
        <v>1073</v>
      </c>
      <c r="H13237" s="12">
        <v>1.20146155116659</v>
      </c>
      <c r="I13237" s="20">
        <v>0.64559507942570005</v>
      </c>
      <c r="J13237" s="28">
        <v>0.51854162484449395</v>
      </c>
      <c r="K13237" s="29">
        <v>0.98289565623980701</v>
      </c>
    </row>
    <row r="13238" spans="1:11" x14ac:dyDescent="0.35">
      <c r="A13238" s="9" t="str">
        <f>HYPERLINK("http://www.ensembl.org/id/WBGene00011002", "WBGene00011002")</f>
        <v>WBGene00011002</v>
      </c>
      <c r="B13238" s="9" t="str">
        <f>HYPERLINK("http://www.ncbi.nlm.nih.gov/gene/187567", "187567")</f>
        <v>187567</v>
      </c>
      <c r="C13238" s="9"/>
      <c r="D13238" t="str">
        <f>"nhr-205"</f>
        <v>nhr-205</v>
      </c>
      <c r="E13238" t="s">
        <v>637</v>
      </c>
      <c r="F13238" t="s">
        <v>11</v>
      </c>
      <c r="G13238" t="s">
        <v>2013</v>
      </c>
      <c r="H13238" s="12">
        <v>1.35028905455523</v>
      </c>
      <c r="I13238" s="20">
        <v>0.50735428584564302</v>
      </c>
      <c r="J13238" s="28">
        <v>0.61190625506263996</v>
      </c>
      <c r="K13238" s="29">
        <v>0.98289565623980701</v>
      </c>
    </row>
    <row r="13239" spans="1:11" x14ac:dyDescent="0.35">
      <c r="A13239" s="9" t="str">
        <f>HYPERLINK("http://www.ensembl.org/id/WBGene00011097", "WBGene00011097")</f>
        <v>WBGene00011097</v>
      </c>
      <c r="B13239" s="9" t="str">
        <f>HYPERLINK("http://www.ncbi.nlm.nih.gov/gene/187660", "187660")</f>
        <v>187660</v>
      </c>
      <c r="C13239" s="9"/>
      <c r="D13239" t="str">
        <f>"nhr-206"</f>
        <v>nhr-206</v>
      </c>
      <c r="E13239" t="s">
        <v>637</v>
      </c>
      <c r="F13239" t="s">
        <v>11</v>
      </c>
      <c r="G13239" t="s">
        <v>4754</v>
      </c>
      <c r="H13239" s="12">
        <v>-1.3251141989360999</v>
      </c>
      <c r="I13239" s="20">
        <v>-1.1545243536148899</v>
      </c>
      <c r="J13239" s="28">
        <v>0.24828525999613801</v>
      </c>
      <c r="K13239" s="29">
        <v>0.98289565623980701</v>
      </c>
    </row>
    <row r="13240" spans="1:11" x14ac:dyDescent="0.35">
      <c r="A13240" s="9" t="str">
        <f>HYPERLINK("http://www.ensembl.org/id/WBGene00011099", "WBGene00011099")</f>
        <v>WBGene00011099</v>
      </c>
      <c r="B13240" s="9" t="str">
        <f>HYPERLINK("http://www.ncbi.nlm.nih.gov/gene/187662", "187662")</f>
        <v>187662</v>
      </c>
      <c r="C13240" s="9"/>
      <c r="D13240" t="str">
        <f>"nhr-208"</f>
        <v>nhr-208</v>
      </c>
      <c r="E13240" t="s">
        <v>637</v>
      </c>
      <c r="F13240" t="s">
        <v>11</v>
      </c>
      <c r="G13240" t="s">
        <v>4754</v>
      </c>
      <c r="H13240" s="12">
        <v>1.4155852599780501</v>
      </c>
      <c r="I13240" s="20">
        <v>1.10717897047547</v>
      </c>
      <c r="J13240" s="28">
        <v>0.268216557802264</v>
      </c>
      <c r="K13240" s="29">
        <v>0.98289565623980701</v>
      </c>
    </row>
    <row r="13241" spans="1:11" x14ac:dyDescent="0.35">
      <c r="A13241" s="9" t="str">
        <f>HYPERLINK("http://www.ensembl.org/id/WBGene00011100", "WBGene00011100")</f>
        <v>WBGene00011100</v>
      </c>
      <c r="B13241" s="9" t="str">
        <f>HYPERLINK("http://www.ncbi.nlm.nih.gov/gene/187663", "187663")</f>
        <v>187663</v>
      </c>
      <c r="C13241" s="9"/>
      <c r="D13241" t="str">
        <f>"nhr-209"</f>
        <v>nhr-209</v>
      </c>
      <c r="E13241" t="s">
        <v>637</v>
      </c>
      <c r="F13241" t="s">
        <v>11</v>
      </c>
      <c r="G13241" t="s">
        <v>638</v>
      </c>
      <c r="H13241" s="12">
        <v>-1.0713455927947899</v>
      </c>
      <c r="I13241" s="20">
        <v>-0.27696371539574799</v>
      </c>
      <c r="J13241" s="28">
        <v>0.781807967558664</v>
      </c>
      <c r="K13241" s="29">
        <v>0.98289565623980701</v>
      </c>
    </row>
    <row r="13242" spans="1:11" x14ac:dyDescent="0.35">
      <c r="A13242" s="9" t="str">
        <f>HYPERLINK("http://www.ensembl.org/id/WBGene00003620", "WBGene00003620")</f>
        <v>WBGene00003620</v>
      </c>
      <c r="B13242" s="9" t="str">
        <f>HYPERLINK("http://www.ncbi.nlm.nih.gov/gene/174202", "174202")</f>
        <v>174202</v>
      </c>
      <c r="C13242" s="9"/>
      <c r="D13242" t="str">
        <f>"nhr-21"</f>
        <v>nhr-21</v>
      </c>
      <c r="E13242" t="s">
        <v>637</v>
      </c>
      <c r="F13242" t="s">
        <v>11</v>
      </c>
      <c r="G13242" t="s">
        <v>1073</v>
      </c>
      <c r="H13242" s="12">
        <v>-1.0599076448701601</v>
      </c>
      <c r="I13242" s="20">
        <v>-0.31900545454080798</v>
      </c>
      <c r="J13242" s="28">
        <v>0.74972237658934904</v>
      </c>
      <c r="K13242" s="29">
        <v>0.98289565623980701</v>
      </c>
    </row>
    <row r="13243" spans="1:11" x14ac:dyDescent="0.35">
      <c r="A13243" s="9" t="str">
        <f>HYPERLINK("http://www.ensembl.org/id/WBGene00020015", "WBGene00020015")</f>
        <v>WBGene00020015</v>
      </c>
      <c r="B13243" s="9" t="str">
        <f>HYPERLINK("http://www.ncbi.nlm.nih.gov/gene/187830", "187830")</f>
        <v>187830</v>
      </c>
      <c r="C13243" s="9"/>
      <c r="D13243" t="str">
        <f>"nhr-210"</f>
        <v>nhr-210</v>
      </c>
      <c r="E13243" t="s">
        <v>637</v>
      </c>
      <c r="F13243" t="s">
        <v>11</v>
      </c>
      <c r="G13243" t="s">
        <v>1073</v>
      </c>
      <c r="H13243" s="12">
        <v>1.5422010456484301</v>
      </c>
      <c r="I13243" s="20">
        <v>0.94495525379593104</v>
      </c>
      <c r="J13243" s="28">
        <v>0.34468172083454302</v>
      </c>
      <c r="K13243" s="29">
        <v>0.98289565623980701</v>
      </c>
    </row>
    <row r="13244" spans="1:11" x14ac:dyDescent="0.35">
      <c r="A13244" s="9" t="str">
        <f>HYPERLINK("http://www.ensembl.org/id/WBGene00020152", "WBGene00020152")</f>
        <v>WBGene00020152</v>
      </c>
      <c r="B13244" s="9" t="str">
        <f>HYPERLINK("http://www.ncbi.nlm.nih.gov/gene/187963", "187963")</f>
        <v>187963</v>
      </c>
      <c r="C13244" s="9"/>
      <c r="D13244" t="str">
        <f>"nhr-211"</f>
        <v>nhr-211</v>
      </c>
      <c r="E13244" t="s">
        <v>637</v>
      </c>
      <c r="F13244" t="s">
        <v>11</v>
      </c>
      <c r="G13244" t="s">
        <v>1073</v>
      </c>
      <c r="H13244" s="12">
        <v>1.10583181476264</v>
      </c>
      <c r="I13244" s="20">
        <v>0.34232931936400102</v>
      </c>
      <c r="J13244" s="28">
        <v>0.73210307334136004</v>
      </c>
      <c r="K13244" s="29">
        <v>0.98289565623980701</v>
      </c>
    </row>
    <row r="13245" spans="1:11" x14ac:dyDescent="0.35">
      <c r="A13245" s="9" t="str">
        <f>HYPERLINK("http://www.ensembl.org/id/WBGene00020153", "WBGene00020153")</f>
        <v>WBGene00020153</v>
      </c>
      <c r="B13245" s="9" t="str">
        <f>HYPERLINK("http://www.ncbi.nlm.nih.gov/gene/187964", "187964")</f>
        <v>187964</v>
      </c>
      <c r="C13245" s="9"/>
      <c r="D13245" t="str">
        <f>"nhr-212"</f>
        <v>nhr-212</v>
      </c>
      <c r="E13245" t="s">
        <v>637</v>
      </c>
      <c r="F13245" t="s">
        <v>11</v>
      </c>
      <c r="G13245" t="s">
        <v>1073</v>
      </c>
      <c r="H13245" s="12">
        <v>1.1540817586032499</v>
      </c>
      <c r="I13245" s="20">
        <v>0.62266935153324499</v>
      </c>
      <c r="J13245" s="28">
        <v>0.53350182705915405</v>
      </c>
      <c r="K13245" s="29">
        <v>0.98289565623980701</v>
      </c>
    </row>
    <row r="13246" spans="1:11" x14ac:dyDescent="0.35">
      <c r="A13246" s="9" t="str">
        <f>HYPERLINK("http://www.ensembl.org/id/WBGene00011750", "WBGene00011750")</f>
        <v>WBGene00011750</v>
      </c>
      <c r="B13246" s="9" t="str">
        <f>HYPERLINK("http://www.ncbi.nlm.nih.gov/gene/188479", "188479")</f>
        <v>188479</v>
      </c>
      <c r="C13246" s="9"/>
      <c r="D13246" t="str">
        <f>"nhr-218"</f>
        <v>nhr-218</v>
      </c>
      <c r="E13246" t="s">
        <v>10025</v>
      </c>
      <c r="F13246" t="s">
        <v>11</v>
      </c>
      <c r="G13246" t="s">
        <v>852</v>
      </c>
      <c r="H13246" s="12">
        <v>-1.8379647376158299</v>
      </c>
      <c r="I13246" s="20">
        <v>-0.52059630566277804</v>
      </c>
      <c r="J13246" s="28">
        <v>0.60264802343121304</v>
      </c>
      <c r="K13246" s="29">
        <v>0.98289565623980701</v>
      </c>
    </row>
    <row r="13247" spans="1:11" x14ac:dyDescent="0.35">
      <c r="A13247" s="9" t="str">
        <f>HYPERLINK("http://www.ensembl.org/id/WBGene00020555", "WBGene00020555")</f>
        <v>WBGene00020555</v>
      </c>
      <c r="B13247" s="9" t="str">
        <f>HYPERLINK("http://www.ncbi.nlm.nih.gov/gene/3565145", "3565145")</f>
        <v>3565145</v>
      </c>
      <c r="C13247" s="9"/>
      <c r="D13247" t="str">
        <f>"nhr-219"</f>
        <v>nhr-219</v>
      </c>
      <c r="E13247" t="s">
        <v>637</v>
      </c>
      <c r="F13247" t="s">
        <v>11</v>
      </c>
      <c r="G13247" t="s">
        <v>2789</v>
      </c>
      <c r="H13247" s="12">
        <v>2.5414106562260002</v>
      </c>
      <c r="I13247" s="20">
        <v>0.79541775497842204</v>
      </c>
      <c r="J13247" s="28">
        <v>0.42637053526864699</v>
      </c>
      <c r="K13247" s="29">
        <v>0.98289565623980701</v>
      </c>
    </row>
    <row r="13248" spans="1:11" x14ac:dyDescent="0.35">
      <c r="A13248" s="9" t="str">
        <f>HYPERLINK("http://www.ensembl.org/id/WBGene00003621", "WBGene00003621")</f>
        <v>WBGene00003621</v>
      </c>
      <c r="B13248" s="9" t="str">
        <f>HYPERLINK("http://www.ncbi.nlm.nih.gov/gene/174066", "174066")</f>
        <v>174066</v>
      </c>
      <c r="C13248" s="9"/>
      <c r="D13248" t="str">
        <f>"nhr-22"</f>
        <v>nhr-22</v>
      </c>
      <c r="E13248" t="s">
        <v>8061</v>
      </c>
      <c r="F13248" t="s">
        <v>11</v>
      </c>
      <c r="G13248" t="s">
        <v>852</v>
      </c>
      <c r="H13248" s="12">
        <v>-1.1591844234267901</v>
      </c>
      <c r="I13248" s="20">
        <v>-0.713621377199671</v>
      </c>
      <c r="J13248" s="28">
        <v>0.475461335148952</v>
      </c>
      <c r="K13248" s="29">
        <v>0.98289565623980701</v>
      </c>
    </row>
    <row r="13249" spans="1:11" x14ac:dyDescent="0.35">
      <c r="A13249" s="9" t="str">
        <f>HYPERLINK("http://www.ensembl.org/id/WBGene00020591", "WBGene00020591")</f>
        <v>WBGene00020591</v>
      </c>
      <c r="B13249" s="9"/>
      <c r="C13249" s="9"/>
      <c r="D13249" t="str">
        <f>"nhr-220"</f>
        <v>nhr-220</v>
      </c>
      <c r="F13249" t="s">
        <v>80</v>
      </c>
      <c r="H13249" s="12">
        <v>1.2174664049339301</v>
      </c>
      <c r="I13249" s="20">
        <v>0.31047127778176098</v>
      </c>
      <c r="J13249" s="28">
        <v>0.75620259808117196</v>
      </c>
      <c r="K13249" s="29">
        <v>0.98289565623980701</v>
      </c>
    </row>
    <row r="13250" spans="1:11" x14ac:dyDescent="0.35">
      <c r="A13250" s="9" t="str">
        <f>HYPERLINK("http://www.ensembl.org/id/WBGene00020748", "WBGene00020748")</f>
        <v>WBGene00020748</v>
      </c>
      <c r="B13250" s="9" t="str">
        <f>HYPERLINK("http://www.ncbi.nlm.nih.gov/gene/188826", "188826")</f>
        <v>188826</v>
      </c>
      <c r="C13250" s="9"/>
      <c r="D13250" t="str">
        <f>"nhr-221"</f>
        <v>nhr-221</v>
      </c>
      <c r="E13250" t="s">
        <v>637</v>
      </c>
      <c r="F13250" t="s">
        <v>11</v>
      </c>
      <c r="G13250" t="s">
        <v>638</v>
      </c>
      <c r="H13250" s="12">
        <v>1.9204534977998999</v>
      </c>
      <c r="I13250" s="20">
        <v>0.870058456355981</v>
      </c>
      <c r="J13250" s="28">
        <v>0.38426845927228798</v>
      </c>
      <c r="K13250" s="29">
        <v>0.98289565623980701</v>
      </c>
    </row>
    <row r="13251" spans="1:11" x14ac:dyDescent="0.35">
      <c r="A13251" s="9" t="str">
        <f>HYPERLINK("http://www.ensembl.org/id/WBGene00020750", "WBGene00020750")</f>
        <v>WBGene00020750</v>
      </c>
      <c r="B13251" s="9" t="str">
        <f>HYPERLINK("http://www.ncbi.nlm.nih.gov/gene/188828", "188828")</f>
        <v>188828</v>
      </c>
      <c r="C13251" s="9"/>
      <c r="D13251" t="str">
        <f>"nhr-222"</f>
        <v>nhr-222</v>
      </c>
      <c r="E13251" t="s">
        <v>637</v>
      </c>
      <c r="F13251" t="s">
        <v>11</v>
      </c>
      <c r="G13251" t="s">
        <v>1073</v>
      </c>
      <c r="H13251" s="12">
        <v>4.3736944023619504</v>
      </c>
      <c r="I13251" s="20">
        <v>0.891956239023316</v>
      </c>
      <c r="J13251" s="28">
        <v>0.372416388683729</v>
      </c>
      <c r="K13251" s="29">
        <v>0.98289565623980701</v>
      </c>
    </row>
    <row r="13252" spans="1:11" x14ac:dyDescent="0.35">
      <c r="A13252" s="9" t="str">
        <f>HYPERLINK("http://www.ensembl.org/id/WBGene00020849", "WBGene00020849")</f>
        <v>WBGene00020849</v>
      </c>
      <c r="B13252" s="9" t="str">
        <f>HYPERLINK("http://www.ncbi.nlm.nih.gov/gene/188974", "188974")</f>
        <v>188974</v>
      </c>
      <c r="C13252" s="9"/>
      <c r="D13252" t="str">
        <f>"nhr-225"</f>
        <v>nhr-225</v>
      </c>
      <c r="E13252" t="s">
        <v>637</v>
      </c>
      <c r="F13252" t="s">
        <v>11</v>
      </c>
      <c r="G13252" t="s">
        <v>1073</v>
      </c>
      <c r="H13252" s="12">
        <v>1.5088057599612901</v>
      </c>
      <c r="I13252" s="20">
        <v>1.0711455438928399</v>
      </c>
      <c r="J13252" s="28">
        <v>0.28410399264005198</v>
      </c>
      <c r="K13252" s="29">
        <v>0.98289565623980701</v>
      </c>
    </row>
    <row r="13253" spans="1:11" x14ac:dyDescent="0.35">
      <c r="A13253" s="9" t="str">
        <f>HYPERLINK("http://www.ensembl.org/id/WBGene00020850", "WBGene00020850")</f>
        <v>WBGene00020850</v>
      </c>
      <c r="B13253" s="9" t="str">
        <f>HYPERLINK("http://www.ncbi.nlm.nih.gov/gene/188975", "188975")</f>
        <v>188975</v>
      </c>
      <c r="C13253" s="9"/>
      <c r="D13253" t="str">
        <f>"nhr-226"</f>
        <v>nhr-226</v>
      </c>
      <c r="E13253" t="s">
        <v>637</v>
      </c>
      <c r="F13253" t="s">
        <v>11</v>
      </c>
      <c r="G13253" t="s">
        <v>1073</v>
      </c>
      <c r="H13253" s="12">
        <v>1.1496016034191601</v>
      </c>
      <c r="I13253" s="20">
        <v>0.34818329720955798</v>
      </c>
      <c r="J13253" s="28">
        <v>0.72770253081730696</v>
      </c>
      <c r="K13253" s="29">
        <v>0.98289565623980701</v>
      </c>
    </row>
    <row r="13254" spans="1:11" x14ac:dyDescent="0.35">
      <c r="A13254" s="9" t="str">
        <f>HYPERLINK("http://www.ensembl.org/id/WBGene00020852", "WBGene00020852")</f>
        <v>WBGene00020852</v>
      </c>
      <c r="B13254" s="9" t="str">
        <f>HYPERLINK("http://www.ncbi.nlm.nih.gov/gene/188977", "188977")</f>
        <v>188977</v>
      </c>
      <c r="C13254" s="9"/>
      <c r="D13254" t="str">
        <f>"nhr-228"</f>
        <v>nhr-228</v>
      </c>
      <c r="E13254" t="s">
        <v>637</v>
      </c>
      <c r="F13254" t="s">
        <v>11</v>
      </c>
      <c r="G13254" t="s">
        <v>1073</v>
      </c>
      <c r="H13254" s="12">
        <v>1.0644389380519399</v>
      </c>
      <c r="I13254" s="20">
        <v>0.28632123895043898</v>
      </c>
      <c r="J13254" s="28">
        <v>0.77463209242673403</v>
      </c>
      <c r="K13254" s="29">
        <v>0.98289565623980701</v>
      </c>
    </row>
    <row r="13255" spans="1:11" x14ac:dyDescent="0.35">
      <c r="A13255" s="9" t="str">
        <f>HYPERLINK("http://www.ensembl.org/id/WBGene00013795", "WBGene00013795")</f>
        <v>WBGene00013795</v>
      </c>
      <c r="B13255" s="9" t="str">
        <f>HYPERLINK("http://www.ncbi.nlm.nih.gov/gene/191001", "191001")</f>
        <v>191001</v>
      </c>
      <c r="C13255" s="9"/>
      <c r="D13255" t="str">
        <f>"nhr-229"</f>
        <v>nhr-229</v>
      </c>
      <c r="E13255" t="s">
        <v>637</v>
      </c>
      <c r="F13255" t="s">
        <v>11</v>
      </c>
      <c r="G13255" t="s">
        <v>638</v>
      </c>
      <c r="H13255" s="12">
        <v>-3.3673523105458498</v>
      </c>
      <c r="I13255" s="20">
        <v>-0.62690113120374202</v>
      </c>
      <c r="J13255" s="28">
        <v>0.53072404573560605</v>
      </c>
      <c r="K13255" s="29">
        <v>0.98289565623980701</v>
      </c>
    </row>
    <row r="13256" spans="1:11" x14ac:dyDescent="0.35">
      <c r="A13256" s="9" t="str">
        <f>HYPERLINK("http://www.ensembl.org/id/WBGene00003622", "WBGene00003622")</f>
        <v>WBGene00003622</v>
      </c>
      <c r="B13256" s="9" t="str">
        <f>HYPERLINK("http://www.ncbi.nlm.nih.gov/gene/172460", "172460")</f>
        <v>172460</v>
      </c>
      <c r="C13256" s="9" t="str">
        <f>HYPERLINK("http://www.ncbi.nlm.nih.gov/gene/6096", "6096")</f>
        <v>6096</v>
      </c>
      <c r="D13256" t="str">
        <f>"nhr-23"</f>
        <v>nhr-23</v>
      </c>
      <c r="E13256" t="s">
        <v>9850</v>
      </c>
      <c r="F13256" t="s">
        <v>11</v>
      </c>
      <c r="G13256" t="s">
        <v>852</v>
      </c>
      <c r="H13256" s="12">
        <v>-1.3282669372379401</v>
      </c>
      <c r="I13256" s="20">
        <v>-1.1956264410327899</v>
      </c>
      <c r="J13256" s="28">
        <v>0.231842368412325</v>
      </c>
      <c r="K13256" s="29">
        <v>0.98289565623980701</v>
      </c>
    </row>
    <row r="13257" spans="1:11" x14ac:dyDescent="0.35">
      <c r="A13257" s="9" t="str">
        <f>HYPERLINK("http://www.ensembl.org/id/WBGene00012449", "WBGene00012449")</f>
        <v>WBGene00012449</v>
      </c>
      <c r="B13257" s="9" t="str">
        <f>HYPERLINK("http://www.ncbi.nlm.nih.gov/gene/189445", "189445")</f>
        <v>189445</v>
      </c>
      <c r="C13257" s="9"/>
      <c r="D13257" t="str">
        <f>"nhr-231"</f>
        <v>nhr-231</v>
      </c>
      <c r="E13257" t="s">
        <v>637</v>
      </c>
      <c r="F13257" t="s">
        <v>11</v>
      </c>
      <c r="G13257" t="s">
        <v>1073</v>
      </c>
      <c r="H13257" s="12">
        <v>1.4117491339461199</v>
      </c>
      <c r="I13257" s="20">
        <v>0.99944693115233896</v>
      </c>
      <c r="J13257" s="28">
        <v>0.31757823481771702</v>
      </c>
      <c r="K13257" s="29">
        <v>0.98289565623980701</v>
      </c>
    </row>
    <row r="13258" spans="1:11" x14ac:dyDescent="0.35">
      <c r="A13258" s="9" t="str">
        <f>HYPERLINK("http://www.ensembl.org/id/WBGene00012494", "WBGene00012494")</f>
        <v>WBGene00012494</v>
      </c>
      <c r="B13258" s="9" t="str">
        <f>HYPERLINK("http://www.ncbi.nlm.nih.gov/gene/179426", "179426")</f>
        <v>179426</v>
      </c>
      <c r="C13258" s="9"/>
      <c r="D13258" t="str">
        <f>"nhr-232"</f>
        <v>nhr-232</v>
      </c>
      <c r="E13258" t="s">
        <v>637</v>
      </c>
      <c r="F13258" t="s">
        <v>11</v>
      </c>
      <c r="G13258" t="s">
        <v>1073</v>
      </c>
      <c r="H13258" s="12">
        <v>-1.1003472695982299</v>
      </c>
      <c r="I13258" s="20">
        <v>-0.348625981381609</v>
      </c>
      <c r="J13258" s="28">
        <v>0.72737011975925903</v>
      </c>
      <c r="K13258" s="29">
        <v>0.98289565623980701</v>
      </c>
    </row>
    <row r="13259" spans="1:11" x14ac:dyDescent="0.35">
      <c r="A13259" s="9" t="str">
        <f>HYPERLINK("http://www.ensembl.org/id/WBGene00012596", "WBGene00012596")</f>
        <v>WBGene00012596</v>
      </c>
      <c r="B13259" s="9" t="str">
        <f>HYPERLINK("http://www.ncbi.nlm.nih.gov/gene/189663", "189663")</f>
        <v>189663</v>
      </c>
      <c r="C13259" s="9"/>
      <c r="D13259" t="str">
        <f>"nhr-234"</f>
        <v>nhr-234</v>
      </c>
      <c r="E13259" t="s">
        <v>637</v>
      </c>
      <c r="F13259" t="s">
        <v>11</v>
      </c>
      <c r="G13259" t="s">
        <v>2033</v>
      </c>
      <c r="H13259" s="12">
        <v>-9.6815265259172598</v>
      </c>
      <c r="I13259" s="20">
        <v>-0.67531719156077197</v>
      </c>
      <c r="J13259" s="28">
        <v>0.49947426381858001</v>
      </c>
      <c r="K13259" s="29">
        <v>0.98289565623980701</v>
      </c>
    </row>
    <row r="13260" spans="1:11" x14ac:dyDescent="0.35">
      <c r="A13260" s="9" t="str">
        <f>HYPERLINK("http://www.ensembl.org/id/WBGene00012597", "WBGene00012597")</f>
        <v>WBGene00012597</v>
      </c>
      <c r="B13260" s="9" t="str">
        <f>HYPERLINK("http://www.ncbi.nlm.nih.gov/gene/189664", "189664")</f>
        <v>189664</v>
      </c>
      <c r="C13260" s="9"/>
      <c r="D13260" t="str">
        <f>"nhr-235"</f>
        <v>nhr-235</v>
      </c>
      <c r="E13260" t="s">
        <v>637</v>
      </c>
      <c r="F13260" t="s">
        <v>11</v>
      </c>
      <c r="G13260" t="s">
        <v>228</v>
      </c>
      <c r="H13260" s="12">
        <v>2.3444892507898301</v>
      </c>
      <c r="I13260" s="20">
        <v>0.253126732237689</v>
      </c>
      <c r="J13260" s="28">
        <v>0.80017028205419904</v>
      </c>
      <c r="K13260" s="29">
        <v>0.98289565623980701</v>
      </c>
    </row>
    <row r="13261" spans="1:11" x14ac:dyDescent="0.35">
      <c r="A13261" s="9" t="str">
        <f>HYPERLINK("http://www.ensembl.org/id/WBGene00021610", "WBGene00021610")</f>
        <v>WBGene00021610</v>
      </c>
      <c r="B13261" s="9" t="str">
        <f>HYPERLINK("http://www.ncbi.nlm.nih.gov/gene/189970", "189970")</f>
        <v>189970</v>
      </c>
      <c r="C13261" s="9"/>
      <c r="D13261" t="str">
        <f>"nhr-237"</f>
        <v>nhr-237</v>
      </c>
      <c r="E13261" t="s">
        <v>637</v>
      </c>
      <c r="F13261" t="s">
        <v>11</v>
      </c>
      <c r="G13261" t="s">
        <v>2013</v>
      </c>
      <c r="H13261" s="12">
        <v>1.3011112048436699</v>
      </c>
      <c r="I13261" s="20">
        <v>0.71583039541932303</v>
      </c>
      <c r="J13261" s="28">
        <v>0.47409608158306799</v>
      </c>
      <c r="K13261" s="29">
        <v>0.98289565623980701</v>
      </c>
    </row>
    <row r="13262" spans="1:11" x14ac:dyDescent="0.35">
      <c r="A13262" s="9" t="str">
        <f>HYPERLINK("http://www.ensembl.org/id/WBGene00021848", "WBGene00021848")</f>
        <v>WBGene00021848</v>
      </c>
      <c r="B13262" s="9" t="str">
        <f>HYPERLINK("http://www.ncbi.nlm.nih.gov/gene/190264", "190264")</f>
        <v>190264</v>
      </c>
      <c r="C13262" s="9"/>
      <c r="D13262" t="str">
        <f>"nhr-239"</f>
        <v>nhr-239</v>
      </c>
      <c r="E13262" t="s">
        <v>637</v>
      </c>
      <c r="F13262" t="s">
        <v>11</v>
      </c>
      <c r="G13262" t="s">
        <v>4457</v>
      </c>
      <c r="H13262" s="12">
        <v>1.9927689016035799</v>
      </c>
      <c r="I13262" s="20">
        <v>0.51338057897929501</v>
      </c>
      <c r="J13262" s="28">
        <v>0.60768512805999897</v>
      </c>
      <c r="K13262" s="29">
        <v>0.98289565623980701</v>
      </c>
    </row>
    <row r="13263" spans="1:11" x14ac:dyDescent="0.35">
      <c r="A13263" s="9" t="str">
        <f>HYPERLINK("http://www.ensembl.org/id/WBGene00013363", "WBGene00013363")</f>
        <v>WBGene00013363</v>
      </c>
      <c r="B13263" s="9"/>
      <c r="C13263" s="9"/>
      <c r="D13263" t="str">
        <f>"nhr-240"</f>
        <v>nhr-240</v>
      </c>
      <c r="F13263" t="s">
        <v>80</v>
      </c>
      <c r="H13263" s="12">
        <v>-1.72865434396663</v>
      </c>
      <c r="I13263" s="20">
        <v>-0.34738049028939699</v>
      </c>
      <c r="J13263" s="28">
        <v>0.72830548833210496</v>
      </c>
      <c r="K13263" s="29">
        <v>0.98289565623980701</v>
      </c>
    </row>
    <row r="13264" spans="1:11" x14ac:dyDescent="0.35">
      <c r="A13264" s="9" t="str">
        <f>HYPERLINK("http://www.ensembl.org/id/WBGene00013483", "WBGene00013483")</f>
        <v>WBGene00013483</v>
      </c>
      <c r="B13264" s="9" t="str">
        <f>HYPERLINK("http://www.ncbi.nlm.nih.gov/gene/190558", "190558")</f>
        <v>190558</v>
      </c>
      <c r="C13264" s="9"/>
      <c r="D13264" t="str">
        <f>"nhr-241"</f>
        <v>nhr-241</v>
      </c>
      <c r="E13264" t="s">
        <v>637</v>
      </c>
      <c r="F13264" t="s">
        <v>11</v>
      </c>
      <c r="G13264" t="s">
        <v>1073</v>
      </c>
      <c r="H13264" s="12">
        <v>2.3893468495514898</v>
      </c>
      <c r="I13264" s="20">
        <v>0.25323547253672701</v>
      </c>
      <c r="J13264" s="28">
        <v>0.80008625651646104</v>
      </c>
      <c r="K13264" s="29">
        <v>0.98289565623980701</v>
      </c>
    </row>
    <row r="13265" spans="1:11" x14ac:dyDescent="0.35">
      <c r="A13265" s="9" t="str">
        <f>HYPERLINK("http://www.ensembl.org/id/WBGene00013584", "WBGene00013584")</f>
        <v>WBGene00013584</v>
      </c>
      <c r="B13265" s="9" t="str">
        <f>HYPERLINK("http://www.ncbi.nlm.nih.gov/gene/190741", "190741")</f>
        <v>190741</v>
      </c>
      <c r="C13265" s="9"/>
      <c r="D13265" t="str">
        <f>"nhr-243"</f>
        <v>nhr-243</v>
      </c>
      <c r="E13265" t="s">
        <v>637</v>
      </c>
      <c r="F13265" t="s">
        <v>11</v>
      </c>
      <c r="G13265" t="s">
        <v>1073</v>
      </c>
      <c r="H13265" s="12">
        <v>-1.1016663038479799</v>
      </c>
      <c r="I13265" s="20">
        <v>-0.36214826327003302</v>
      </c>
      <c r="J13265" s="28">
        <v>0.71724123901907799</v>
      </c>
      <c r="K13265" s="29">
        <v>0.98289565623980701</v>
      </c>
    </row>
    <row r="13266" spans="1:11" x14ac:dyDescent="0.35">
      <c r="A13266" s="9" t="str">
        <f>HYPERLINK("http://www.ensembl.org/id/WBGene00014186", "WBGene00014186")</f>
        <v>WBGene00014186</v>
      </c>
      <c r="B13266" s="9" t="str">
        <f>HYPERLINK("http://www.ncbi.nlm.nih.gov/gene/191495", "191495")</f>
        <v>191495</v>
      </c>
      <c r="C13266" s="9"/>
      <c r="D13266" t="str">
        <f>"nhr-244"</f>
        <v>nhr-244</v>
      </c>
      <c r="E13266" t="s">
        <v>637</v>
      </c>
      <c r="F13266" t="s">
        <v>11</v>
      </c>
      <c r="G13266" t="s">
        <v>228</v>
      </c>
      <c r="H13266" s="12">
        <v>2.3893468495514898</v>
      </c>
      <c r="I13266" s="20">
        <v>0.25323547253672701</v>
      </c>
      <c r="J13266" s="28">
        <v>0.80008625651646104</v>
      </c>
      <c r="K13266" s="29">
        <v>0.98289565623980701</v>
      </c>
    </row>
    <row r="13267" spans="1:11" x14ac:dyDescent="0.35">
      <c r="A13267" s="9" t="str">
        <f>HYPERLINK("http://www.ensembl.org/id/WBGene00013940", "WBGene00013940")</f>
        <v>WBGene00013940</v>
      </c>
      <c r="B13267" s="9" t="str">
        <f>HYPERLINK("http://www.ncbi.nlm.nih.gov/gene/191246", "191246")</f>
        <v>191246</v>
      </c>
      <c r="C13267" s="9"/>
      <c r="D13267" t="str">
        <f>"nhr-248"</f>
        <v>nhr-248</v>
      </c>
      <c r="E13267" t="s">
        <v>637</v>
      </c>
      <c r="F13267" t="s">
        <v>11</v>
      </c>
      <c r="G13267" t="s">
        <v>1073</v>
      </c>
      <c r="H13267" s="12">
        <v>5.4058944669092801</v>
      </c>
      <c r="I13267" s="20">
        <v>0.49762513753689303</v>
      </c>
      <c r="J13267" s="28">
        <v>0.61874828254921799</v>
      </c>
      <c r="K13267" s="29">
        <v>0.98289565623980701</v>
      </c>
    </row>
    <row r="13268" spans="1:11" x14ac:dyDescent="0.35">
      <c r="A13268" s="9" t="str">
        <f>HYPERLINK("http://www.ensembl.org/id/WBGene00022755", "WBGene00022755")</f>
        <v>WBGene00022755</v>
      </c>
      <c r="B13268" s="9"/>
      <c r="C13268" s="9"/>
      <c r="D13268" t="str">
        <f>"nhr-250"</f>
        <v>nhr-250</v>
      </c>
      <c r="F13268" t="s">
        <v>80</v>
      </c>
      <c r="H13268" s="12">
        <v>1.8726642379965699</v>
      </c>
      <c r="I13268" s="20">
        <v>1.02342236075625</v>
      </c>
      <c r="J13268" s="28">
        <v>0.30610819140776502</v>
      </c>
      <c r="K13268" s="29">
        <v>0.98289565623980701</v>
      </c>
    </row>
    <row r="13269" spans="1:11" x14ac:dyDescent="0.35">
      <c r="A13269" s="9" t="str">
        <f>HYPERLINK("http://www.ensembl.org/id/WBGene00022756", "WBGene00022756")</f>
        <v>WBGene00022756</v>
      </c>
      <c r="B13269" s="9" t="str">
        <f>HYPERLINK("http://www.ncbi.nlm.nih.gov/gene/191329", "191329")</f>
        <v>191329</v>
      </c>
      <c r="C13269" s="9"/>
      <c r="D13269" t="str">
        <f>"nhr-251"</f>
        <v>nhr-251</v>
      </c>
      <c r="E13269" t="s">
        <v>637</v>
      </c>
      <c r="F13269" t="s">
        <v>11</v>
      </c>
      <c r="G13269" t="s">
        <v>1073</v>
      </c>
      <c r="H13269" s="12">
        <v>4.6654079932490999</v>
      </c>
      <c r="I13269" s="20">
        <v>0.52614446217109401</v>
      </c>
      <c r="J13269" s="28">
        <v>0.59878783828128901</v>
      </c>
      <c r="K13269" s="29">
        <v>0.98289565623980701</v>
      </c>
    </row>
    <row r="13270" spans="1:11" x14ac:dyDescent="0.35">
      <c r="A13270" s="9" t="str">
        <f>HYPERLINK("http://www.ensembl.org/id/WBGene00022639", "WBGene00022639")</f>
        <v>WBGene00022639</v>
      </c>
      <c r="B13270" s="9" t="str">
        <f>HYPERLINK("http://www.ncbi.nlm.nih.gov/gene/191205", "191205")</f>
        <v>191205</v>
      </c>
      <c r="C13270" s="9"/>
      <c r="D13270" t="str">
        <f>"nhr-253"</f>
        <v>nhr-253</v>
      </c>
      <c r="E13270" t="s">
        <v>637</v>
      </c>
      <c r="F13270" t="s">
        <v>11</v>
      </c>
      <c r="G13270" t="s">
        <v>1073</v>
      </c>
      <c r="H13270" s="12">
        <v>3.5227018545059199</v>
      </c>
      <c r="I13270" s="20">
        <v>0.36849691206929103</v>
      </c>
      <c r="J13270" s="28">
        <v>0.71250274722433404</v>
      </c>
      <c r="K13270" s="29">
        <v>0.98289565623980701</v>
      </c>
    </row>
    <row r="13271" spans="1:11" x14ac:dyDescent="0.35">
      <c r="A13271" s="9" t="str">
        <f>HYPERLINK("http://www.ensembl.org/id/WBGene00022640", "WBGene00022640")</f>
        <v>WBGene00022640</v>
      </c>
      <c r="B13271" s="9" t="str">
        <f>HYPERLINK("http://www.ncbi.nlm.nih.gov/gene/191206", "191206")</f>
        <v>191206</v>
      </c>
      <c r="C13271" s="9"/>
      <c r="D13271" t="str">
        <f>"nhr-254"</f>
        <v>nhr-254</v>
      </c>
      <c r="E13271" t="s">
        <v>637</v>
      </c>
      <c r="F13271" t="s">
        <v>11</v>
      </c>
      <c r="G13271" t="s">
        <v>1073</v>
      </c>
      <c r="H13271" s="12">
        <v>3.5227018545059199</v>
      </c>
      <c r="I13271" s="20">
        <v>0.36849691206929103</v>
      </c>
      <c r="J13271" s="28">
        <v>0.71250274722433404</v>
      </c>
      <c r="K13271" s="29">
        <v>0.98289565623980701</v>
      </c>
    </row>
    <row r="13272" spans="1:11" x14ac:dyDescent="0.35">
      <c r="A13272" s="9" t="str">
        <f>HYPERLINK("http://www.ensembl.org/id/WBGene00014068", "WBGene00014068")</f>
        <v>WBGene00014068</v>
      </c>
      <c r="B13272" s="9" t="str">
        <f>HYPERLINK("http://www.ncbi.nlm.nih.gov/gene/191392", "191392")</f>
        <v>191392</v>
      </c>
      <c r="C13272" s="9"/>
      <c r="D13272" t="str">
        <f>"nhr-255"</f>
        <v>nhr-255</v>
      </c>
      <c r="E13272" t="s">
        <v>637</v>
      </c>
      <c r="F13272" t="s">
        <v>11</v>
      </c>
      <c r="G13272" t="s">
        <v>1073</v>
      </c>
      <c r="H13272" s="12">
        <v>6.9318611662251302</v>
      </c>
      <c r="I13272" s="20">
        <v>0.62474731658329397</v>
      </c>
      <c r="J13272" s="28">
        <v>0.53213691286130105</v>
      </c>
      <c r="K13272" s="29">
        <v>0.98289565623980701</v>
      </c>
    </row>
    <row r="13273" spans="1:11" x14ac:dyDescent="0.35">
      <c r="A13273" s="9" t="str">
        <f>HYPERLINK("http://www.ensembl.org/id/WBGene00022805", "WBGene00022805")</f>
        <v>WBGene00022805</v>
      </c>
      <c r="B13273" s="9" t="str">
        <f>HYPERLINK("http://www.ncbi.nlm.nih.gov/gene/191409", "191409")</f>
        <v>191409</v>
      </c>
      <c r="C13273" s="9"/>
      <c r="D13273" t="str">
        <f>"nhr-256"</f>
        <v>nhr-256</v>
      </c>
      <c r="E13273" t="s">
        <v>637</v>
      </c>
      <c r="F13273" t="s">
        <v>11</v>
      </c>
      <c r="G13273" t="s">
        <v>1073</v>
      </c>
      <c r="H13273" s="12">
        <v>-1.14081192746271</v>
      </c>
      <c r="I13273" s="20">
        <v>-0.590251543994464</v>
      </c>
      <c r="J13273" s="28">
        <v>0.55502202028783698</v>
      </c>
      <c r="K13273" s="29">
        <v>0.98289565623980701</v>
      </c>
    </row>
    <row r="13274" spans="1:11" x14ac:dyDescent="0.35">
      <c r="A13274" s="9" t="str">
        <f>HYPERLINK("http://www.ensembl.org/id/WBGene00016126", "WBGene00016126")</f>
        <v>WBGene00016126</v>
      </c>
      <c r="B13274" s="9" t="str">
        <f>HYPERLINK("http://www.ncbi.nlm.nih.gov/gene/182927", "182927")</f>
        <v>182927</v>
      </c>
      <c r="C13274" s="9"/>
      <c r="D13274" t="str">
        <f>"nhr-258"</f>
        <v>nhr-258</v>
      </c>
      <c r="E13274" t="s">
        <v>637</v>
      </c>
      <c r="F13274" t="s">
        <v>11</v>
      </c>
      <c r="G13274" t="s">
        <v>3197</v>
      </c>
      <c r="H13274" s="12">
        <v>2.5844184049632801</v>
      </c>
      <c r="I13274" s="20">
        <v>1.0562302143257101</v>
      </c>
      <c r="J13274" s="28">
        <v>0.29086304993951101</v>
      </c>
      <c r="K13274" s="29">
        <v>0.98289565623980701</v>
      </c>
    </row>
    <row r="13275" spans="1:11" x14ac:dyDescent="0.35">
      <c r="A13275" s="9" t="str">
        <f>HYPERLINK("http://www.ensembl.org/id/WBGene00016777", "WBGene00016777")</f>
        <v>WBGene00016777</v>
      </c>
      <c r="B13275" s="9" t="str">
        <f>HYPERLINK("http://www.ncbi.nlm.nih.gov/gene/183611", "183611")</f>
        <v>183611</v>
      </c>
      <c r="C13275" s="9"/>
      <c r="D13275" t="str">
        <f>"nhr-261"</f>
        <v>nhr-261</v>
      </c>
      <c r="E13275" t="s">
        <v>637</v>
      </c>
      <c r="F13275" t="s">
        <v>11</v>
      </c>
      <c r="G13275" t="s">
        <v>1073</v>
      </c>
      <c r="H13275" s="12">
        <v>2.43628531154256</v>
      </c>
      <c r="I13275" s="20">
        <v>0.26397437090349102</v>
      </c>
      <c r="J13275" s="28">
        <v>0.79179966754305298</v>
      </c>
      <c r="K13275" s="29">
        <v>0.98289565623980701</v>
      </c>
    </row>
    <row r="13276" spans="1:11" x14ac:dyDescent="0.35">
      <c r="A13276" s="9" t="str">
        <f>HYPERLINK("http://www.ensembl.org/id/WBGene00008619", "WBGene00008619")</f>
        <v>WBGene00008619</v>
      </c>
      <c r="B13276" s="9" t="str">
        <f>HYPERLINK("http://www.ncbi.nlm.nih.gov/gene/184235", "184235")</f>
        <v>184235</v>
      </c>
      <c r="C13276" s="9"/>
      <c r="D13276" t="str">
        <f>"nhr-262"</f>
        <v>nhr-262</v>
      </c>
      <c r="E13276" t="s">
        <v>637</v>
      </c>
      <c r="F13276" t="s">
        <v>11</v>
      </c>
      <c r="G13276" t="s">
        <v>1073</v>
      </c>
      <c r="H13276" s="12">
        <v>7.8750041662741399</v>
      </c>
      <c r="I13276" s="20">
        <v>0.66270036837280499</v>
      </c>
      <c r="J13276" s="28">
        <v>0.507522473818947</v>
      </c>
      <c r="K13276" s="29">
        <v>0.98289565623980701</v>
      </c>
    </row>
    <row r="13277" spans="1:11" x14ac:dyDescent="0.35">
      <c r="A13277" s="9" t="str">
        <f>HYPERLINK("http://www.ensembl.org/id/WBGene00009608", "WBGene00009608")</f>
        <v>WBGene00009608</v>
      </c>
      <c r="B13277" s="9" t="str">
        <f>HYPERLINK("http://www.ncbi.nlm.nih.gov/gene/185603", "185603")</f>
        <v>185603</v>
      </c>
      <c r="C13277" s="9"/>
      <c r="D13277" t="str">
        <f>"nhr-265"</f>
        <v>nhr-265</v>
      </c>
      <c r="E13277" t="s">
        <v>637</v>
      </c>
      <c r="F13277" t="s">
        <v>11</v>
      </c>
      <c r="G13277" t="s">
        <v>1073</v>
      </c>
      <c r="H13277" s="12">
        <v>3.5227018545059199</v>
      </c>
      <c r="I13277" s="20">
        <v>0.36849691206929103</v>
      </c>
      <c r="J13277" s="28">
        <v>0.71250274722433404</v>
      </c>
      <c r="K13277" s="29">
        <v>0.98289565623980701</v>
      </c>
    </row>
    <row r="13278" spans="1:11" x14ac:dyDescent="0.35">
      <c r="A13278" s="9" t="str">
        <f>HYPERLINK("http://www.ensembl.org/id/WBGene00008901", "WBGene00008901")</f>
        <v>WBGene00008901</v>
      </c>
      <c r="B13278" s="9" t="str">
        <f>HYPERLINK("http://www.ncbi.nlm.nih.gov/gene/184597", "184597")</f>
        <v>184597</v>
      </c>
      <c r="C13278" s="9"/>
      <c r="D13278" t="str">
        <f>"nhr-27"</f>
        <v>nhr-27</v>
      </c>
      <c r="E13278" t="s">
        <v>637</v>
      </c>
      <c r="F13278" t="s">
        <v>11</v>
      </c>
      <c r="G13278" t="s">
        <v>1073</v>
      </c>
      <c r="H13278" s="12">
        <v>6.1504663358285701</v>
      </c>
      <c r="I13278" s="20">
        <v>0.98530717639646803</v>
      </c>
      <c r="J13278" s="28">
        <v>0.32447320873700503</v>
      </c>
      <c r="K13278" s="29">
        <v>0.98289565623980701</v>
      </c>
    </row>
    <row r="13279" spans="1:11" x14ac:dyDescent="0.35">
      <c r="A13279" s="9" t="str">
        <f>HYPERLINK("http://www.ensembl.org/id/WBGene00020062", "WBGene00020062")</f>
        <v>WBGene00020062</v>
      </c>
      <c r="B13279" s="9" t="str">
        <f>HYPERLINK("http://www.ncbi.nlm.nih.gov/gene/187867", "187867")</f>
        <v>187867</v>
      </c>
      <c r="C13279" s="9"/>
      <c r="D13279" t="str">
        <f>"nhr-270"</f>
        <v>nhr-270</v>
      </c>
      <c r="E13279" t="s">
        <v>637</v>
      </c>
      <c r="F13279" t="s">
        <v>11</v>
      </c>
      <c r="G13279" t="s">
        <v>1073</v>
      </c>
      <c r="H13279" s="12">
        <v>1.2338132158459001</v>
      </c>
      <c r="I13279" s="20">
        <v>0.301126099477316</v>
      </c>
      <c r="J13279" s="28">
        <v>0.76331833963933304</v>
      </c>
      <c r="K13279" s="29">
        <v>0.98289565623980701</v>
      </c>
    </row>
    <row r="13280" spans="1:11" x14ac:dyDescent="0.35">
      <c r="A13280" s="9" t="str">
        <f>HYPERLINK("http://www.ensembl.org/id/WBGene00011396", "WBGene00011396")</f>
        <v>WBGene00011396</v>
      </c>
      <c r="B13280" s="9" t="str">
        <f>HYPERLINK("http://www.ncbi.nlm.nih.gov/gene/188016", "188016")</f>
        <v>188016</v>
      </c>
      <c r="C13280" s="9"/>
      <c r="D13280" t="str">
        <f>"nhr-271"</f>
        <v>nhr-271</v>
      </c>
      <c r="E13280" t="s">
        <v>637</v>
      </c>
      <c r="F13280" t="s">
        <v>11</v>
      </c>
      <c r="G13280" t="s">
        <v>1073</v>
      </c>
      <c r="H13280" s="12">
        <v>2.6988900804940998</v>
      </c>
      <c r="I13280" s="20">
        <v>0.66950462399048105</v>
      </c>
      <c r="J13280" s="28">
        <v>0.50317363205255194</v>
      </c>
      <c r="K13280" s="29">
        <v>0.98289565623980701</v>
      </c>
    </row>
    <row r="13281" spans="1:11" x14ac:dyDescent="0.35">
      <c r="A13281" s="9" t="str">
        <f>HYPERLINK("http://www.ensembl.org/id/WBGene00020460", "WBGene00020460")</f>
        <v>WBGene00020460</v>
      </c>
      <c r="B13281" s="9" t="str">
        <f>HYPERLINK("http://www.ncbi.nlm.nih.gov/gene/188451", "188451")</f>
        <v>188451</v>
      </c>
      <c r="C13281" s="9"/>
      <c r="D13281" t="str">
        <f>"nhr-273"</f>
        <v>nhr-273</v>
      </c>
      <c r="E13281" t="s">
        <v>637</v>
      </c>
      <c r="F13281" t="s">
        <v>11</v>
      </c>
      <c r="G13281" t="s">
        <v>2013</v>
      </c>
      <c r="H13281" s="12">
        <v>-1.59035911177804</v>
      </c>
      <c r="I13281" s="20">
        <v>-0.71703986593689095</v>
      </c>
      <c r="J13281" s="28">
        <v>0.47334949848813401</v>
      </c>
      <c r="K13281" s="29">
        <v>0.98289565623980701</v>
      </c>
    </row>
    <row r="13282" spans="1:11" x14ac:dyDescent="0.35">
      <c r="A13282" s="9" t="str">
        <f>HYPERLINK("http://www.ensembl.org/id/WBGene00021522", "WBGene00021522")</f>
        <v>WBGene00021522</v>
      </c>
      <c r="B13282" s="9" t="str">
        <f>HYPERLINK("http://www.ncbi.nlm.nih.gov/gene/189825", "189825")</f>
        <v>189825</v>
      </c>
      <c r="C13282" s="9"/>
      <c r="D13282" t="str">
        <f>"nhr-274"</f>
        <v>nhr-274</v>
      </c>
      <c r="E13282" t="s">
        <v>637</v>
      </c>
      <c r="F13282" t="s">
        <v>11</v>
      </c>
      <c r="G13282" t="s">
        <v>1073</v>
      </c>
      <c r="H13282" s="12">
        <v>-1.1159827750180999</v>
      </c>
      <c r="I13282" s="20">
        <v>-0.53779977153497804</v>
      </c>
      <c r="J13282" s="28">
        <v>0.59071528973070397</v>
      </c>
      <c r="K13282" s="29">
        <v>0.98289565623980701</v>
      </c>
    </row>
    <row r="13283" spans="1:11" x14ac:dyDescent="0.35">
      <c r="A13283" s="9" t="str">
        <f>HYPERLINK("http://www.ensembl.org/id/WBGene00003624", "WBGene00003624")</f>
        <v>WBGene00003624</v>
      </c>
      <c r="B13283" s="9" t="str">
        <f>HYPERLINK("http://www.ncbi.nlm.nih.gov/gene/181705", "181705")</f>
        <v>181705</v>
      </c>
      <c r="C13283" s="9"/>
      <c r="D13283" t="str">
        <f>"nhr-28"</f>
        <v>nhr-28</v>
      </c>
      <c r="E13283" t="s">
        <v>5710</v>
      </c>
      <c r="F13283" t="s">
        <v>11</v>
      </c>
      <c r="G13283" t="s">
        <v>852</v>
      </c>
      <c r="H13283" s="12">
        <v>1.11801334049207</v>
      </c>
      <c r="I13283" s="20">
        <v>0.525690468056497</v>
      </c>
      <c r="J13283" s="28">
        <v>0.59910328768028898</v>
      </c>
      <c r="K13283" s="29">
        <v>0.98289565623980701</v>
      </c>
    </row>
    <row r="13284" spans="1:11" x14ac:dyDescent="0.35">
      <c r="A13284" s="9" t="str">
        <f>HYPERLINK("http://www.ensembl.org/id/WBGene00008884", "WBGene00008884")</f>
        <v>WBGene00008884</v>
      </c>
      <c r="B13284" s="9" t="str">
        <f>HYPERLINK("http://www.ncbi.nlm.nih.gov/gene/184567", "184567")</f>
        <v>184567</v>
      </c>
      <c r="C13284" s="9"/>
      <c r="D13284" t="str">
        <f>"nhr-281"</f>
        <v>nhr-281</v>
      </c>
      <c r="E13284" t="s">
        <v>637</v>
      </c>
      <c r="F13284" t="s">
        <v>11</v>
      </c>
      <c r="G13284" t="s">
        <v>1073</v>
      </c>
      <c r="H13284" s="12">
        <v>1.7640315319054101</v>
      </c>
      <c r="I13284" s="20">
        <v>0.40234360384101597</v>
      </c>
      <c r="J13284" s="28">
        <v>0.68743116856133002</v>
      </c>
      <c r="K13284" s="29">
        <v>0.98289565623980701</v>
      </c>
    </row>
    <row r="13285" spans="1:11" x14ac:dyDescent="0.35">
      <c r="A13285" s="9" t="str">
        <f>HYPERLINK("http://www.ensembl.org/id/WBGene00010186", "WBGene00010186")</f>
        <v>WBGene00010186</v>
      </c>
      <c r="B13285" s="9" t="str">
        <f>HYPERLINK("http://www.ncbi.nlm.nih.gov/gene/3565118", "3565118")</f>
        <v>3565118</v>
      </c>
      <c r="C13285" s="9"/>
      <c r="D13285" t="str">
        <f>"nhr-283"</f>
        <v>nhr-283</v>
      </c>
      <c r="E13285" t="s">
        <v>637</v>
      </c>
      <c r="F13285" t="s">
        <v>11</v>
      </c>
      <c r="G13285" t="s">
        <v>1073</v>
      </c>
      <c r="H13285" s="12">
        <v>-1.7952344341101301</v>
      </c>
      <c r="I13285" s="20">
        <v>-0.28836998460691399</v>
      </c>
      <c r="J13285" s="28">
        <v>0.77306354110623599</v>
      </c>
      <c r="K13285" s="29">
        <v>0.98289565623980701</v>
      </c>
    </row>
    <row r="13286" spans="1:11" x14ac:dyDescent="0.35">
      <c r="A13286" s="9" t="str">
        <f>HYPERLINK("http://www.ensembl.org/id/WBGene00012056", "WBGene00012056")</f>
        <v>WBGene00012056</v>
      </c>
      <c r="B13286" s="9" t="str">
        <f>HYPERLINK("http://www.ncbi.nlm.nih.gov/gene/3565155", "3565155")</f>
        <v>3565155</v>
      </c>
      <c r="C13286" s="9"/>
      <c r="D13286" t="str">
        <f>"nhr-285"</f>
        <v>nhr-285</v>
      </c>
      <c r="E13286" t="s">
        <v>637</v>
      </c>
      <c r="F13286" t="s">
        <v>11</v>
      </c>
      <c r="G13286" t="s">
        <v>1073</v>
      </c>
      <c r="H13286" s="12">
        <v>-2.9399633858075398</v>
      </c>
      <c r="I13286" s="20">
        <v>-0.39963062514823</v>
      </c>
      <c r="J13286" s="28">
        <v>0.68942859632951004</v>
      </c>
      <c r="K13286" s="29">
        <v>0.98289565623980701</v>
      </c>
    </row>
    <row r="13287" spans="1:11" x14ac:dyDescent="0.35">
      <c r="A13287" s="9" t="str">
        <f>HYPERLINK("http://www.ensembl.org/id/WBGene00044699", "WBGene00044699")</f>
        <v>WBGene00044699</v>
      </c>
      <c r="B13287" s="9" t="str">
        <f>HYPERLINK("http://www.ncbi.nlm.nih.gov/gene/4363091", "4363091")</f>
        <v>4363091</v>
      </c>
      <c r="C13287" s="9"/>
      <c r="D13287" t="str">
        <f>"nhr-286"</f>
        <v>nhr-286</v>
      </c>
      <c r="E13287" t="s">
        <v>637</v>
      </c>
      <c r="F13287" t="s">
        <v>11</v>
      </c>
      <c r="G13287" t="s">
        <v>2013</v>
      </c>
      <c r="H13287" s="12">
        <v>-1.1188856916243699</v>
      </c>
      <c r="I13287" s="20">
        <v>-0.43116814412277199</v>
      </c>
      <c r="J13287" s="28">
        <v>0.66634611495206097</v>
      </c>
      <c r="K13287" s="29">
        <v>0.98289565623980701</v>
      </c>
    </row>
    <row r="13288" spans="1:11" x14ac:dyDescent="0.35">
      <c r="A13288" s="9" t="str">
        <f>HYPERLINK("http://www.ensembl.org/id/WBGene00021521", "WBGene00021521")</f>
        <v>WBGene00021521</v>
      </c>
      <c r="B13288" s="9"/>
      <c r="C13288" s="9"/>
      <c r="D13288" t="str">
        <f>"nhr-287"</f>
        <v>nhr-287</v>
      </c>
      <c r="F13288" t="s">
        <v>80</v>
      </c>
      <c r="H13288" s="12">
        <v>-1.32180730479678</v>
      </c>
      <c r="I13288" s="20">
        <v>-0.382206818107929</v>
      </c>
      <c r="J13288" s="28">
        <v>0.70230796494879599</v>
      </c>
      <c r="K13288" s="29">
        <v>0.98289565623980701</v>
      </c>
    </row>
    <row r="13289" spans="1:11" x14ac:dyDescent="0.35">
      <c r="A13289" s="9" t="str">
        <f>HYPERLINK("http://www.ensembl.org/id/WBGene00003602", "WBGene00003602")</f>
        <v>WBGene00003602</v>
      </c>
      <c r="B13289" s="9" t="str">
        <f>HYPERLINK("http://www.ncbi.nlm.nih.gov/gene/181551", "181551")</f>
        <v>181551</v>
      </c>
      <c r="C13289" s="9"/>
      <c r="D13289" t="str">
        <f>"nhr-3"</f>
        <v>nhr-3</v>
      </c>
      <c r="E13289" t="s">
        <v>5197</v>
      </c>
      <c r="F13289" t="s">
        <v>11</v>
      </c>
      <c r="G13289" t="s">
        <v>1135</v>
      </c>
      <c r="H13289" s="12">
        <v>1.21765761787112</v>
      </c>
      <c r="I13289" s="20">
        <v>1.0246378469060899</v>
      </c>
      <c r="J13289" s="28">
        <v>0.30553409966012002</v>
      </c>
      <c r="K13289" s="29">
        <v>0.98289565623980701</v>
      </c>
    </row>
    <row r="13290" spans="1:11" x14ac:dyDescent="0.35">
      <c r="A13290" s="9" t="str">
        <f>HYPERLINK("http://www.ensembl.org/id/WBGene00016091", "WBGene00016091")</f>
        <v>WBGene00016091</v>
      </c>
      <c r="B13290" s="9" t="str">
        <f>HYPERLINK("http://www.ncbi.nlm.nih.gov/gene/182887", "182887")</f>
        <v>182887</v>
      </c>
      <c r="C13290" s="9"/>
      <c r="D13290" t="str">
        <f>"nhr-30"</f>
        <v>nhr-30</v>
      </c>
      <c r="E13290" t="s">
        <v>637</v>
      </c>
      <c r="F13290" t="s">
        <v>11</v>
      </c>
      <c r="G13290" t="s">
        <v>1073</v>
      </c>
      <c r="H13290" s="12">
        <v>1.62464683951166</v>
      </c>
      <c r="I13290" s="20">
        <v>0.45554500504139001</v>
      </c>
      <c r="J13290" s="28">
        <v>0.64871719754950796</v>
      </c>
      <c r="K13290" s="29">
        <v>0.98289565623980701</v>
      </c>
    </row>
    <row r="13291" spans="1:11" x14ac:dyDescent="0.35">
      <c r="A13291" s="9" t="str">
        <f>HYPERLINK("http://www.ensembl.org/id/WBGene00003625", "WBGene00003625")</f>
        <v>WBGene00003625</v>
      </c>
      <c r="B13291" s="9" t="str">
        <f>HYPERLINK("http://www.ncbi.nlm.nih.gov/gene/177601", "177601")</f>
        <v>177601</v>
      </c>
      <c r="C13291" s="9"/>
      <c r="D13291" t="str">
        <f>"nhr-31"</f>
        <v>nhr-31</v>
      </c>
      <c r="E13291" t="s">
        <v>6088</v>
      </c>
      <c r="F13291" t="s">
        <v>11</v>
      </c>
      <c r="G13291" t="s">
        <v>852</v>
      </c>
      <c r="H13291" s="12">
        <v>1.0635206952120599</v>
      </c>
      <c r="I13291" s="20">
        <v>0.30937201850138002</v>
      </c>
      <c r="J13291" s="28">
        <v>0.75703855304309897</v>
      </c>
      <c r="K13291" s="29">
        <v>0.98289565623980701</v>
      </c>
    </row>
    <row r="13292" spans="1:11" x14ac:dyDescent="0.35">
      <c r="A13292" s="9" t="str">
        <f>HYPERLINK("http://www.ensembl.org/id/WBGene00003626", "WBGene00003626")</f>
        <v>WBGene00003626</v>
      </c>
      <c r="B13292" s="9" t="str">
        <f>HYPERLINK("http://www.ncbi.nlm.nih.gov/gene/187178", "187178")</f>
        <v>187178</v>
      </c>
      <c r="C13292" s="9"/>
      <c r="D13292" t="str">
        <f>"nhr-32"</f>
        <v>nhr-32</v>
      </c>
      <c r="E13292" t="s">
        <v>637</v>
      </c>
      <c r="F13292" t="s">
        <v>11</v>
      </c>
      <c r="G13292" t="s">
        <v>2013</v>
      </c>
      <c r="H13292" s="12">
        <v>-1.2686623946457101</v>
      </c>
      <c r="I13292" s="20">
        <v>-1.16710871494457</v>
      </c>
      <c r="J13292" s="28">
        <v>0.24316646885502599</v>
      </c>
      <c r="K13292" s="29">
        <v>0.98289565623980701</v>
      </c>
    </row>
    <row r="13293" spans="1:11" x14ac:dyDescent="0.35">
      <c r="A13293" s="9" t="str">
        <f>HYPERLINK("http://www.ensembl.org/id/WBGene00018412", "WBGene00018412")</f>
        <v>WBGene00018412</v>
      </c>
      <c r="B13293" s="9" t="str">
        <f>HYPERLINK("http://www.ncbi.nlm.nih.gov/gene/185727", "185727")</f>
        <v>185727</v>
      </c>
      <c r="C13293" s="9"/>
      <c r="D13293" t="str">
        <f>"nhr-37"</f>
        <v>nhr-37</v>
      </c>
      <c r="E13293" t="s">
        <v>637</v>
      </c>
      <c r="F13293" t="s">
        <v>11</v>
      </c>
      <c r="G13293" t="s">
        <v>1073</v>
      </c>
      <c r="H13293" s="12">
        <v>7.1970547870379002</v>
      </c>
      <c r="I13293" s="20">
        <v>1.1311700862118299</v>
      </c>
      <c r="J13293" s="28">
        <v>0.25798350987903301</v>
      </c>
      <c r="K13293" s="29">
        <v>0.98289565623980701</v>
      </c>
    </row>
    <row r="13294" spans="1:11" x14ac:dyDescent="0.35">
      <c r="A13294" s="9" t="str">
        <f>HYPERLINK("http://www.ensembl.org/id/WBGene00018404", "WBGene00018404")</f>
        <v>WBGene00018404</v>
      </c>
      <c r="B13294" s="9" t="str">
        <f>HYPERLINK("http://www.ncbi.nlm.nih.gov/gene/185720", "185720")</f>
        <v>185720</v>
      </c>
      <c r="C13294" s="9"/>
      <c r="D13294" t="str">
        <f>"nhr-39"</f>
        <v>nhr-39</v>
      </c>
      <c r="E13294" t="s">
        <v>637</v>
      </c>
      <c r="F13294" t="s">
        <v>11</v>
      </c>
      <c r="G13294" t="s">
        <v>1073</v>
      </c>
      <c r="H13294" s="12">
        <v>1.7250398534342399</v>
      </c>
      <c r="I13294" s="20">
        <v>0.32369425440396798</v>
      </c>
      <c r="J13294" s="28">
        <v>0.74616952118857605</v>
      </c>
      <c r="K13294" s="29">
        <v>0.98289565623980701</v>
      </c>
    </row>
    <row r="13295" spans="1:11" x14ac:dyDescent="0.35">
      <c r="A13295" s="9" t="str">
        <f>HYPERLINK("http://www.ensembl.org/id/WBGene00003603", "WBGene00003603")</f>
        <v>WBGene00003603</v>
      </c>
      <c r="B13295" s="9" t="str">
        <f>HYPERLINK("http://www.ncbi.nlm.nih.gov/gene/177839", "177839")</f>
        <v>177839</v>
      </c>
      <c r="C13295" s="9"/>
      <c r="D13295" t="str">
        <f>"nhr-4"</f>
        <v>nhr-4</v>
      </c>
      <c r="E13295" t="s">
        <v>8374</v>
      </c>
      <c r="F13295" t="s">
        <v>11</v>
      </c>
      <c r="G13295" t="s">
        <v>852</v>
      </c>
      <c r="H13295" s="12">
        <v>-1.17415714657808</v>
      </c>
      <c r="I13295" s="20">
        <v>-0.83760946690215299</v>
      </c>
      <c r="J13295" s="28">
        <v>0.402250074196498</v>
      </c>
      <c r="K13295" s="29">
        <v>0.98289565623980701</v>
      </c>
    </row>
    <row r="13296" spans="1:11" x14ac:dyDescent="0.35">
      <c r="A13296" s="9" t="str">
        <f>HYPERLINK("http://www.ensembl.org/id/WBGene00003630", "WBGene00003630")</f>
        <v>WBGene00003630</v>
      </c>
      <c r="B13296" s="9" t="str">
        <f>HYPERLINK("http://www.ncbi.nlm.nih.gov/gene/180560", "180560")</f>
        <v>180560</v>
      </c>
      <c r="C13296" s="9"/>
      <c r="D13296" t="str">
        <f>"nhr-40"</f>
        <v>nhr-40</v>
      </c>
      <c r="E13296" t="s">
        <v>5589</v>
      </c>
      <c r="F13296" t="s">
        <v>11</v>
      </c>
      <c r="G13296" t="s">
        <v>852</v>
      </c>
      <c r="H13296" s="12">
        <v>1.1392360709664699</v>
      </c>
      <c r="I13296" s="20">
        <v>0.67332237949109497</v>
      </c>
      <c r="J13296" s="28">
        <v>0.50074221812016895</v>
      </c>
      <c r="K13296" s="29">
        <v>0.98289565623980701</v>
      </c>
    </row>
    <row r="13297" spans="1:11" x14ac:dyDescent="0.35">
      <c r="A13297" s="9" t="str">
        <f>HYPERLINK("http://www.ensembl.org/id/WBGene00022423", "WBGene00022423")</f>
        <v>WBGene00022423</v>
      </c>
      <c r="B13297" s="9" t="str">
        <f>HYPERLINK("http://www.ncbi.nlm.nih.gov/gene/190865", "190865")</f>
        <v>190865</v>
      </c>
      <c r="C13297" s="9"/>
      <c r="D13297" t="str">
        <f>"nhr-41"</f>
        <v>nhr-41</v>
      </c>
      <c r="E13297" t="s">
        <v>637</v>
      </c>
      <c r="F13297" t="s">
        <v>11</v>
      </c>
      <c r="G13297" t="s">
        <v>1073</v>
      </c>
      <c r="H13297" s="12">
        <v>-1.0785345963891599</v>
      </c>
      <c r="I13297" s="20">
        <v>-0.34717869564755799</v>
      </c>
      <c r="J13297" s="28">
        <v>0.72845707501774304</v>
      </c>
      <c r="K13297" s="29">
        <v>0.98289565623980701</v>
      </c>
    </row>
    <row r="13298" spans="1:11" x14ac:dyDescent="0.35">
      <c r="A13298" s="9" t="str">
        <f>HYPERLINK("http://www.ensembl.org/id/WBGene00003632", "WBGene00003632")</f>
        <v>WBGene00003632</v>
      </c>
      <c r="B13298" s="9" t="str">
        <f>HYPERLINK("http://www.ncbi.nlm.nih.gov/gene/179084", "179084")</f>
        <v>179084</v>
      </c>
      <c r="C13298" s="9"/>
      <c r="D13298" t="str">
        <f>"nhr-42"</f>
        <v>nhr-42</v>
      </c>
      <c r="E13298" t="s">
        <v>5052</v>
      </c>
      <c r="F13298" t="s">
        <v>11</v>
      </c>
      <c r="G13298" t="s">
        <v>852</v>
      </c>
      <c r="H13298" s="12">
        <v>1.25077239078853</v>
      </c>
      <c r="I13298" s="20">
        <v>1.06032600111714</v>
      </c>
      <c r="J13298" s="28">
        <v>0.28899631424411298</v>
      </c>
      <c r="K13298" s="29">
        <v>0.98289565623980701</v>
      </c>
    </row>
    <row r="13299" spans="1:11" x14ac:dyDescent="0.35">
      <c r="A13299" s="9" t="str">
        <f>HYPERLINK("http://www.ensembl.org/id/WBGene00003636", "WBGene00003636")</f>
        <v>WBGene00003636</v>
      </c>
      <c r="B13299" s="9" t="str">
        <f>HYPERLINK("http://www.ncbi.nlm.nih.gov/gene/177350", "177350")</f>
        <v>177350</v>
      </c>
      <c r="C13299" s="9"/>
      <c r="D13299" t="str">
        <f>"nhr-46"</f>
        <v>nhr-46</v>
      </c>
      <c r="E13299" t="s">
        <v>637</v>
      </c>
      <c r="F13299" t="s">
        <v>11</v>
      </c>
      <c r="G13299" t="s">
        <v>1073</v>
      </c>
      <c r="H13299" s="12">
        <v>1.1010823776359699</v>
      </c>
      <c r="I13299" s="20">
        <v>0.50624470337801297</v>
      </c>
      <c r="J13299" s="28">
        <v>0.61268487637978597</v>
      </c>
      <c r="K13299" s="29">
        <v>0.98289565623980701</v>
      </c>
    </row>
    <row r="13300" spans="1:11" x14ac:dyDescent="0.35">
      <c r="A13300" s="9" t="str">
        <f>HYPERLINK("http://www.ensembl.org/id/WBGene00003637", "WBGene00003637")</f>
        <v>WBGene00003637</v>
      </c>
      <c r="B13300" s="9" t="str">
        <f>HYPERLINK("http://www.ncbi.nlm.nih.gov/gene/178933", "178933")</f>
        <v>178933</v>
      </c>
      <c r="C13300" s="9"/>
      <c r="D13300" t="str">
        <f>"nhr-47"</f>
        <v>nhr-47</v>
      </c>
      <c r="E13300" t="s">
        <v>5945</v>
      </c>
      <c r="F13300" t="s">
        <v>11</v>
      </c>
      <c r="G13300" t="s">
        <v>852</v>
      </c>
      <c r="H13300" s="12">
        <v>1.08139959978704</v>
      </c>
      <c r="I13300" s="20">
        <v>0.37510153526998402</v>
      </c>
      <c r="J13300" s="28">
        <v>0.70758495527756504</v>
      </c>
      <c r="K13300" s="29">
        <v>0.98289565623980701</v>
      </c>
    </row>
    <row r="13301" spans="1:11" x14ac:dyDescent="0.35">
      <c r="A13301" s="9" t="str">
        <f>HYPERLINK("http://www.ensembl.org/id/WBGene00003638", "WBGene00003638")</f>
        <v>WBGene00003638</v>
      </c>
      <c r="B13301" s="9" t="str">
        <f>HYPERLINK("http://www.ncbi.nlm.nih.gov/gene/181661", "181661")</f>
        <v>181661</v>
      </c>
      <c r="C13301" s="9"/>
      <c r="D13301" t="str">
        <f>"nhr-48"</f>
        <v>nhr-48</v>
      </c>
      <c r="E13301" t="s">
        <v>6112</v>
      </c>
      <c r="F13301" t="s">
        <v>11</v>
      </c>
      <c r="G13301" t="s">
        <v>852</v>
      </c>
      <c r="H13301" s="12">
        <v>1.0585565099346399</v>
      </c>
      <c r="I13301" s="20">
        <v>0.30817414095616402</v>
      </c>
      <c r="J13301" s="28">
        <v>0.75794982806636702</v>
      </c>
      <c r="K13301" s="29">
        <v>0.98289565623980701</v>
      </c>
    </row>
    <row r="13302" spans="1:11" x14ac:dyDescent="0.35">
      <c r="A13302" s="9" t="str">
        <f>HYPERLINK("http://www.ensembl.org/id/WBGene00003639", "WBGene00003639")</f>
        <v>WBGene00003639</v>
      </c>
      <c r="B13302" s="9" t="str">
        <f>HYPERLINK("http://www.ncbi.nlm.nih.gov/gene/172839", "172839")</f>
        <v>172839</v>
      </c>
      <c r="C13302" s="9"/>
      <c r="D13302" t="str">
        <f>"nhr-49"</f>
        <v>nhr-49</v>
      </c>
      <c r="E13302" t="s">
        <v>6465</v>
      </c>
      <c r="F13302" t="s">
        <v>11</v>
      </c>
      <c r="G13302" t="s">
        <v>6466</v>
      </c>
      <c r="H13302" s="12">
        <v>-1.07076199705334</v>
      </c>
      <c r="I13302" s="20">
        <v>-0.37573480453292502</v>
      </c>
      <c r="J13302" s="28">
        <v>0.70711406037164004</v>
      </c>
      <c r="K13302" s="29">
        <v>0.98289565623980701</v>
      </c>
    </row>
    <row r="13303" spans="1:11" x14ac:dyDescent="0.35">
      <c r="A13303" s="9" t="str">
        <f>HYPERLINK("http://www.ensembl.org/id/WBGene00003640", "WBGene00003640")</f>
        <v>WBGene00003640</v>
      </c>
      <c r="B13303" s="9" t="str">
        <f>HYPERLINK("http://www.ncbi.nlm.nih.gov/gene/180067", "180067")</f>
        <v>180067</v>
      </c>
      <c r="C13303" s="9"/>
      <c r="D13303" t="str">
        <f>"nhr-50"</f>
        <v>nhr-50</v>
      </c>
      <c r="E13303" t="s">
        <v>637</v>
      </c>
      <c r="F13303" t="s">
        <v>11</v>
      </c>
      <c r="G13303" t="s">
        <v>1073</v>
      </c>
      <c r="H13303" s="12">
        <v>1.2281905894438701</v>
      </c>
      <c r="I13303" s="20">
        <v>0.81327085557920098</v>
      </c>
      <c r="J13303" s="28">
        <v>0.41606278284690301</v>
      </c>
      <c r="K13303" s="29">
        <v>0.98289565623980701</v>
      </c>
    </row>
    <row r="13304" spans="1:11" x14ac:dyDescent="0.35">
      <c r="A13304" s="9" t="str">
        <f>HYPERLINK("http://www.ensembl.org/id/WBGene00003641", "WBGene00003641")</f>
        <v>WBGene00003641</v>
      </c>
      <c r="B13304" s="9" t="str">
        <f>HYPERLINK("http://www.ncbi.nlm.nih.gov/gene/180052", "180052")</f>
        <v>180052</v>
      </c>
      <c r="C13304" s="9"/>
      <c r="D13304" t="str">
        <f>"nhr-51"</f>
        <v>nhr-51</v>
      </c>
      <c r="E13304" t="s">
        <v>4221</v>
      </c>
      <c r="F13304" t="s">
        <v>11</v>
      </c>
      <c r="G13304" t="s">
        <v>852</v>
      </c>
      <c r="H13304" s="12">
        <v>9.2455261317335005</v>
      </c>
      <c r="I13304" s="20">
        <v>1.17211150130759</v>
      </c>
      <c r="J13304" s="28">
        <v>0.241152292896024</v>
      </c>
      <c r="K13304" s="29">
        <v>0.98289565623980701</v>
      </c>
    </row>
    <row r="13305" spans="1:11" x14ac:dyDescent="0.35">
      <c r="A13305" s="9" t="str">
        <f>HYPERLINK("http://www.ensembl.org/id/WBGene00003642", "WBGene00003642")</f>
        <v>WBGene00003642</v>
      </c>
      <c r="B13305" s="9" t="str">
        <f>HYPERLINK("http://www.ncbi.nlm.nih.gov/gene/3565623", "3565623")</f>
        <v>3565623</v>
      </c>
      <c r="C13305" s="9"/>
      <c r="D13305" t="str">
        <f>"nhr-52"</f>
        <v>nhr-52</v>
      </c>
      <c r="E13305" t="s">
        <v>10090</v>
      </c>
      <c r="F13305" t="s">
        <v>11</v>
      </c>
      <c r="G13305" t="s">
        <v>852</v>
      </c>
      <c r="H13305" s="12">
        <v>-3.2978214438642501</v>
      </c>
      <c r="I13305" s="20">
        <v>-0.48962115667700401</v>
      </c>
      <c r="J13305" s="28">
        <v>0.62440200262039702</v>
      </c>
      <c r="K13305" s="29">
        <v>0.98289565623980701</v>
      </c>
    </row>
    <row r="13306" spans="1:11" x14ac:dyDescent="0.35">
      <c r="A13306" s="9" t="str">
        <f>HYPERLINK("http://www.ensembl.org/id/WBGene00003643", "WBGene00003643")</f>
        <v>WBGene00003643</v>
      </c>
      <c r="B13306" s="9" t="str">
        <f>HYPERLINK("http://www.ncbi.nlm.nih.gov/gene/180053", "180053")</f>
        <v>180053</v>
      </c>
      <c r="C13306" s="9"/>
      <c r="D13306" t="str">
        <f>"nhr-53"</f>
        <v>nhr-53</v>
      </c>
      <c r="E13306" t="s">
        <v>5439</v>
      </c>
      <c r="F13306" t="s">
        <v>11</v>
      </c>
      <c r="G13306" t="s">
        <v>852</v>
      </c>
      <c r="H13306" s="12">
        <v>1.16459934798402</v>
      </c>
      <c r="I13306" s="20">
        <v>0.402300760292014</v>
      </c>
      <c r="J13306" s="28">
        <v>0.68746269517802605</v>
      </c>
      <c r="K13306" s="29">
        <v>0.98289565623980701</v>
      </c>
    </row>
    <row r="13307" spans="1:11" x14ac:dyDescent="0.35">
      <c r="A13307" s="9" t="str">
        <f>HYPERLINK("http://www.ensembl.org/id/WBGene00003644", "WBGene00003644")</f>
        <v>WBGene00003644</v>
      </c>
      <c r="B13307" s="9" t="str">
        <f>HYPERLINK("http://www.ncbi.nlm.nih.gov/gene/180106", "180106")</f>
        <v>180106</v>
      </c>
      <c r="C13307" s="9"/>
      <c r="D13307" t="str">
        <f>"nhr-54"</f>
        <v>nhr-54</v>
      </c>
      <c r="E13307" t="s">
        <v>8627</v>
      </c>
      <c r="F13307" t="s">
        <v>11</v>
      </c>
      <c r="G13307" t="s">
        <v>852</v>
      </c>
      <c r="H13307" s="12">
        <v>-1.18760117819089</v>
      </c>
      <c r="I13307" s="20">
        <v>-0.52953454904629005</v>
      </c>
      <c r="J13307" s="28">
        <v>0.59643468422935797</v>
      </c>
      <c r="K13307" s="29">
        <v>0.98289565623980701</v>
      </c>
    </row>
    <row r="13308" spans="1:11" x14ac:dyDescent="0.35">
      <c r="A13308" s="9" t="str">
        <f>HYPERLINK("http://www.ensembl.org/id/WBGene00003645", "WBGene00003645")</f>
        <v>WBGene00003645</v>
      </c>
      <c r="B13308" s="9" t="str">
        <f>HYPERLINK("http://www.ncbi.nlm.nih.gov/gene/178570", "178570")</f>
        <v>178570</v>
      </c>
      <c r="C13308" s="9"/>
      <c r="D13308" t="str">
        <f>"nhr-55"</f>
        <v>nhr-55</v>
      </c>
      <c r="E13308" t="s">
        <v>9357</v>
      </c>
      <c r="F13308" t="s">
        <v>11</v>
      </c>
      <c r="G13308" t="s">
        <v>852</v>
      </c>
      <c r="H13308" s="12">
        <v>-1.2406685388990299</v>
      </c>
      <c r="I13308" s="20">
        <v>-0.99905712524091295</v>
      </c>
      <c r="J13308" s="28">
        <v>0.317767019155131</v>
      </c>
      <c r="K13308" s="29">
        <v>0.98289565623980701</v>
      </c>
    </row>
    <row r="13309" spans="1:11" x14ac:dyDescent="0.35">
      <c r="A13309" s="9" t="str">
        <f>HYPERLINK("http://www.ensembl.org/id/WBGene00003646", "WBGene00003646")</f>
        <v>WBGene00003646</v>
      </c>
      <c r="B13309" s="9" t="str">
        <f>HYPERLINK("http://www.ncbi.nlm.nih.gov/gene/178699", "178699")</f>
        <v>178699</v>
      </c>
      <c r="C13309" s="9"/>
      <c r="D13309" t="str">
        <f>"nhr-56"</f>
        <v>nhr-56</v>
      </c>
      <c r="E13309" t="s">
        <v>637</v>
      </c>
      <c r="F13309" t="s">
        <v>11</v>
      </c>
      <c r="G13309" t="s">
        <v>1073</v>
      </c>
      <c r="H13309" s="12">
        <v>1.181395463966</v>
      </c>
      <c r="I13309" s="20">
        <v>0.69109736927587495</v>
      </c>
      <c r="J13309" s="28">
        <v>0.48950435340637399</v>
      </c>
      <c r="K13309" s="29">
        <v>0.98289565623980701</v>
      </c>
    </row>
    <row r="13310" spans="1:11" x14ac:dyDescent="0.35">
      <c r="A13310" s="9" t="str">
        <f>HYPERLINK("http://www.ensembl.org/id/WBGene00003649", "WBGene00003649")</f>
        <v>WBGene00003649</v>
      </c>
      <c r="B13310" s="9" t="str">
        <f>HYPERLINK("http://www.ncbi.nlm.nih.gov/gene/178707", "178707")</f>
        <v>178707</v>
      </c>
      <c r="C13310" s="9"/>
      <c r="D13310" t="str">
        <f>"nhr-59"</f>
        <v>nhr-59</v>
      </c>
      <c r="E13310" t="s">
        <v>4905</v>
      </c>
      <c r="F13310" t="s">
        <v>11</v>
      </c>
      <c r="G13310" t="s">
        <v>4906</v>
      </c>
      <c r="H13310" s="12">
        <v>1.3086758621701999</v>
      </c>
      <c r="I13310" s="20">
        <v>0.92889791085219997</v>
      </c>
      <c r="J13310" s="28">
        <v>0.35294199578299301</v>
      </c>
      <c r="K13310" s="29">
        <v>0.98289565623980701</v>
      </c>
    </row>
    <row r="13311" spans="1:11" x14ac:dyDescent="0.35">
      <c r="A13311" s="9" t="str">
        <f>HYPERLINK("http://www.ensembl.org/id/WBGene00003605", "WBGene00003605")</f>
        <v>WBGene00003605</v>
      </c>
      <c r="B13311" s="9" t="str">
        <f>HYPERLINK("http://www.ncbi.nlm.nih.gov/gene/175462", "175462")</f>
        <v>175462</v>
      </c>
      <c r="C13311" s="9"/>
      <c r="D13311" t="str">
        <f>"nhr-6"</f>
        <v>nhr-6</v>
      </c>
      <c r="E13311" t="s">
        <v>5055</v>
      </c>
      <c r="F13311" t="s">
        <v>11</v>
      </c>
      <c r="G13311" t="s">
        <v>852</v>
      </c>
      <c r="H13311" s="12">
        <v>1.2507162056083501</v>
      </c>
      <c r="I13311" s="20">
        <v>0.87234996337394999</v>
      </c>
      <c r="J13311" s="28">
        <v>0.38301748846644801</v>
      </c>
      <c r="K13311" s="29">
        <v>0.98289565623980701</v>
      </c>
    </row>
    <row r="13312" spans="1:11" x14ac:dyDescent="0.35">
      <c r="A13312" s="9" t="str">
        <f>HYPERLINK("http://www.ensembl.org/id/WBGene00003650", "WBGene00003650")</f>
        <v>WBGene00003650</v>
      </c>
      <c r="B13312" s="9" t="str">
        <f>HYPERLINK("http://www.ncbi.nlm.nih.gov/gene/180059", "180059")</f>
        <v>180059</v>
      </c>
      <c r="C13312" s="9"/>
      <c r="D13312" t="str">
        <f>"nhr-60"</f>
        <v>nhr-60</v>
      </c>
      <c r="E13312" t="s">
        <v>8077</v>
      </c>
      <c r="F13312" t="s">
        <v>11</v>
      </c>
      <c r="G13312" t="s">
        <v>852</v>
      </c>
      <c r="H13312" s="12">
        <v>-1.15994597051016</v>
      </c>
      <c r="I13312" s="20">
        <v>-0.35682223171236799</v>
      </c>
      <c r="J13312" s="28">
        <v>0.72122489190602901</v>
      </c>
      <c r="K13312" s="29">
        <v>0.98289565623980701</v>
      </c>
    </row>
    <row r="13313" spans="1:11" x14ac:dyDescent="0.35">
      <c r="A13313" s="9" t="str">
        <f>HYPERLINK("http://www.ensembl.org/id/WBGene00003653", "WBGene00003653")</f>
        <v>WBGene00003653</v>
      </c>
      <c r="B13313" s="9" t="str">
        <f>HYPERLINK("http://www.ncbi.nlm.nih.gov/gene/180068", "180068")</f>
        <v>180068</v>
      </c>
      <c r="C13313" s="9"/>
      <c r="D13313" t="str">
        <f>"nhr-63"</f>
        <v>nhr-63</v>
      </c>
      <c r="E13313" t="s">
        <v>637</v>
      </c>
      <c r="F13313" t="s">
        <v>11</v>
      </c>
      <c r="G13313" t="s">
        <v>1073</v>
      </c>
      <c r="H13313" s="12">
        <v>1.42241698312417</v>
      </c>
      <c r="I13313" s="20">
        <v>1.05921022552643</v>
      </c>
      <c r="J13313" s="28">
        <v>0.289504049146595</v>
      </c>
      <c r="K13313" s="29">
        <v>0.98289565623980701</v>
      </c>
    </row>
    <row r="13314" spans="1:11" x14ac:dyDescent="0.35">
      <c r="A13314" s="9" t="str">
        <f>HYPERLINK("http://www.ensembl.org/id/WBGene00003654", "WBGene00003654")</f>
        <v>WBGene00003654</v>
      </c>
      <c r="B13314" s="9" t="str">
        <f>HYPERLINK("http://www.ncbi.nlm.nih.gov/gene/171884", "171884")</f>
        <v>171884</v>
      </c>
      <c r="C13314" s="9" t="str">
        <f>HYPERLINK("http://www.ncbi.nlm.nih.gov/gene/3174", "3174")</f>
        <v>3174</v>
      </c>
      <c r="D13314" t="str">
        <f>"nhr-64"</f>
        <v>nhr-64</v>
      </c>
      <c r="E13314" t="s">
        <v>8169</v>
      </c>
      <c r="F13314" t="s">
        <v>11</v>
      </c>
      <c r="G13314" t="s">
        <v>8170</v>
      </c>
      <c r="H13314" s="12">
        <v>-1.1637381441595001</v>
      </c>
      <c r="I13314" s="20">
        <v>-0.71517637078281404</v>
      </c>
      <c r="J13314" s="28">
        <v>0.47450006794277599</v>
      </c>
      <c r="K13314" s="29">
        <v>0.98289565623980701</v>
      </c>
    </row>
    <row r="13315" spans="1:11" x14ac:dyDescent="0.35">
      <c r="A13315" s="9" t="str">
        <f>HYPERLINK("http://www.ensembl.org/id/WBGene00003655", "WBGene00003655")</f>
        <v>WBGene00003655</v>
      </c>
      <c r="B13315" s="9" t="str">
        <f>HYPERLINK("http://www.ncbi.nlm.nih.gov/gene/180230", "180230")</f>
        <v>180230</v>
      </c>
      <c r="C13315" s="9"/>
      <c r="D13315" t="str">
        <f>"nhr-65"</f>
        <v>nhr-65</v>
      </c>
      <c r="E13315" t="s">
        <v>7771</v>
      </c>
      <c r="F13315" t="s">
        <v>11</v>
      </c>
      <c r="G13315" t="s">
        <v>852</v>
      </c>
      <c r="H13315" s="12">
        <v>-1.1440340486400999</v>
      </c>
      <c r="I13315" s="20">
        <v>-0.473789192072542</v>
      </c>
      <c r="J13315" s="28">
        <v>0.63565024250885405</v>
      </c>
      <c r="K13315" s="29">
        <v>0.98289565623980701</v>
      </c>
    </row>
    <row r="13316" spans="1:11" x14ac:dyDescent="0.35">
      <c r="A13316" s="9" t="str">
        <f>HYPERLINK("http://www.ensembl.org/id/WBGene00003656", "WBGene00003656")</f>
        <v>WBGene00003656</v>
      </c>
      <c r="B13316" s="9" t="str">
        <f>HYPERLINK("http://www.ncbi.nlm.nih.gov/gene/177618", "177618")</f>
        <v>177618</v>
      </c>
      <c r="C13316" s="9"/>
      <c r="D13316" t="str">
        <f>"nhr-66"</f>
        <v>nhr-66</v>
      </c>
      <c r="E13316" t="s">
        <v>637</v>
      </c>
      <c r="F13316" t="s">
        <v>11</v>
      </c>
      <c r="G13316" t="s">
        <v>2013</v>
      </c>
      <c r="H13316" s="12">
        <v>-1.2533585422229301</v>
      </c>
      <c r="I13316" s="20">
        <v>-1.2087385976712799</v>
      </c>
      <c r="J13316" s="28">
        <v>0.22676328802277501</v>
      </c>
      <c r="K13316" s="29">
        <v>0.98289565623980701</v>
      </c>
    </row>
    <row r="13317" spans="1:11" x14ac:dyDescent="0.35">
      <c r="A13317" s="9" t="str">
        <f>HYPERLINK("http://www.ensembl.org/id/WBGene00003658", "WBGene00003658")</f>
        <v>WBGene00003658</v>
      </c>
      <c r="B13317" s="9" t="str">
        <f>HYPERLINK("http://www.ncbi.nlm.nih.gov/gene/179589", "179589")</f>
        <v>179589</v>
      </c>
      <c r="C13317" s="9"/>
      <c r="D13317" t="str">
        <f>"nhr-68"</f>
        <v>nhr-68</v>
      </c>
      <c r="E13317" t="s">
        <v>637</v>
      </c>
      <c r="F13317" t="s">
        <v>11</v>
      </c>
      <c r="G13317" t="s">
        <v>5697</v>
      </c>
      <c r="H13317" s="12">
        <v>1.1217603606770801</v>
      </c>
      <c r="I13317" s="20">
        <v>0.57991937416522299</v>
      </c>
      <c r="J13317" s="28">
        <v>0.56196898989724198</v>
      </c>
      <c r="K13317" s="29">
        <v>0.98289565623980701</v>
      </c>
    </row>
    <row r="13318" spans="1:11" x14ac:dyDescent="0.35">
      <c r="A13318" s="9" t="str">
        <f>HYPERLINK("http://www.ensembl.org/id/WBGene00003659", "WBGene00003659")</f>
        <v>WBGene00003659</v>
      </c>
      <c r="B13318" s="9" t="str">
        <f>HYPERLINK("http://www.ncbi.nlm.nih.gov/gene/172840", "172840")</f>
        <v>172840</v>
      </c>
      <c r="C13318" s="9"/>
      <c r="D13318" t="str">
        <f>"nhr-69"</f>
        <v>nhr-69</v>
      </c>
      <c r="E13318" t="s">
        <v>7224</v>
      </c>
      <c r="F13318" t="s">
        <v>11</v>
      </c>
      <c r="G13318" t="s">
        <v>852</v>
      </c>
      <c r="H13318" s="12">
        <v>-1.11426424643317</v>
      </c>
      <c r="I13318" s="20">
        <v>-0.52987054098682396</v>
      </c>
      <c r="J13318" s="28">
        <v>0.596201692391094</v>
      </c>
      <c r="K13318" s="29">
        <v>0.98289565623980701</v>
      </c>
    </row>
    <row r="13319" spans="1:11" x14ac:dyDescent="0.35">
      <c r="A13319" s="9" t="str">
        <f>HYPERLINK("http://www.ensembl.org/id/WBGene00003660", "WBGene00003660")</f>
        <v>WBGene00003660</v>
      </c>
      <c r="B13319" s="9" t="str">
        <f>HYPERLINK("http://www.ncbi.nlm.nih.gov/gene/180217", "180217")</f>
        <v>180217</v>
      </c>
      <c r="C13319" s="9"/>
      <c r="D13319" t="str">
        <f>"nhr-70"</f>
        <v>nhr-70</v>
      </c>
      <c r="E13319" t="s">
        <v>637</v>
      </c>
      <c r="F13319" t="s">
        <v>11</v>
      </c>
      <c r="G13319" t="s">
        <v>2013</v>
      </c>
      <c r="H13319" s="12">
        <v>-1.14304919663008</v>
      </c>
      <c r="I13319" s="20">
        <v>-0.66678875912313695</v>
      </c>
      <c r="J13319" s="28">
        <v>0.50490707388511802</v>
      </c>
      <c r="K13319" s="29">
        <v>0.98289565623980701</v>
      </c>
    </row>
    <row r="13320" spans="1:11" x14ac:dyDescent="0.35">
      <c r="A13320" s="9" t="str">
        <f>HYPERLINK("http://www.ensembl.org/id/WBGene00003661", "WBGene00003661")</f>
        <v>WBGene00003661</v>
      </c>
      <c r="B13320" s="9" t="str">
        <f>HYPERLINK("http://www.ncbi.nlm.nih.gov/gene/181491", "181491")</f>
        <v>181491</v>
      </c>
      <c r="C13320" s="9"/>
      <c r="D13320" t="str">
        <f>"nhr-71"</f>
        <v>nhr-71</v>
      </c>
      <c r="E13320" t="s">
        <v>7537</v>
      </c>
      <c r="F13320" t="s">
        <v>11</v>
      </c>
      <c r="G13320" t="s">
        <v>852</v>
      </c>
      <c r="H13320" s="12">
        <v>-1.13119541473782</v>
      </c>
      <c r="I13320" s="20">
        <v>-0.58994539820528302</v>
      </c>
      <c r="J13320" s="28">
        <v>0.55522725658116701</v>
      </c>
      <c r="K13320" s="29">
        <v>0.98289565623980701</v>
      </c>
    </row>
    <row r="13321" spans="1:11" x14ac:dyDescent="0.35">
      <c r="A13321" s="9" t="str">
        <f>HYPERLINK("http://www.ensembl.org/id/WBGene00003662", "WBGene00003662")</f>
        <v>WBGene00003662</v>
      </c>
      <c r="B13321" s="9" t="str">
        <f>HYPERLINK("http://www.ncbi.nlm.nih.gov/gene/191721", "191721")</f>
        <v>191721</v>
      </c>
      <c r="C13321" s="9"/>
      <c r="D13321" t="str">
        <f>"nhr-72"</f>
        <v>nhr-72</v>
      </c>
      <c r="E13321" t="s">
        <v>637</v>
      </c>
      <c r="F13321" t="s">
        <v>11</v>
      </c>
      <c r="G13321" t="s">
        <v>1073</v>
      </c>
      <c r="H13321" s="12">
        <v>1.66750536585599</v>
      </c>
      <c r="I13321" s="20">
        <v>0.442000206890101</v>
      </c>
      <c r="J13321" s="28">
        <v>0.65848905621493203</v>
      </c>
      <c r="K13321" s="29">
        <v>0.98289565623980701</v>
      </c>
    </row>
    <row r="13322" spans="1:11" x14ac:dyDescent="0.35">
      <c r="A13322" s="9" t="str">
        <f>HYPERLINK("http://www.ensembl.org/id/WBGene00003663", "WBGene00003663")</f>
        <v>WBGene00003663</v>
      </c>
      <c r="B13322" s="9" t="str">
        <f>HYPERLINK("http://www.ncbi.nlm.nih.gov/gene/191722", "191722")</f>
        <v>191722</v>
      </c>
      <c r="C13322" s="9"/>
      <c r="D13322" t="str">
        <f>"nhr-73"</f>
        <v>nhr-73</v>
      </c>
      <c r="E13322" t="s">
        <v>637</v>
      </c>
      <c r="F13322" t="s">
        <v>11</v>
      </c>
      <c r="G13322" t="s">
        <v>1073</v>
      </c>
      <c r="H13322" s="12">
        <v>5.4310141578380504</v>
      </c>
      <c r="I13322" s="20">
        <v>0.92824130883961298</v>
      </c>
      <c r="J13322" s="28">
        <v>0.35328241095095703</v>
      </c>
      <c r="K13322" s="29">
        <v>0.98289565623980701</v>
      </c>
    </row>
    <row r="13323" spans="1:11" x14ac:dyDescent="0.35">
      <c r="A13323" s="9" t="str">
        <f>HYPERLINK("http://www.ensembl.org/id/WBGene00003665", "WBGene00003665")</f>
        <v>WBGene00003665</v>
      </c>
      <c r="B13323" s="9"/>
      <c r="C13323" s="9"/>
      <c r="D13323" t="str">
        <f>"nhr-75"</f>
        <v>nhr-75</v>
      </c>
      <c r="F13323" t="s">
        <v>80</v>
      </c>
      <c r="H13323" s="12">
        <v>2.4578120077400301</v>
      </c>
      <c r="I13323" s="20">
        <v>0.26093350314551</v>
      </c>
      <c r="J13323" s="28">
        <v>0.79414378780213601</v>
      </c>
      <c r="K13323" s="29">
        <v>0.98289565623980701</v>
      </c>
    </row>
    <row r="13324" spans="1:11" x14ac:dyDescent="0.35">
      <c r="A13324" s="9" t="str">
        <f>HYPERLINK("http://www.ensembl.org/id/WBGene00003669", "WBGene00003669")</f>
        <v>WBGene00003669</v>
      </c>
      <c r="B13324" s="9" t="str">
        <f>HYPERLINK("http://www.ncbi.nlm.nih.gov/gene/180265", "180265")</f>
        <v>180265</v>
      </c>
      <c r="C13324" s="9"/>
      <c r="D13324" t="str">
        <f>"nhr-79"</f>
        <v>nhr-79</v>
      </c>
      <c r="E13324" t="s">
        <v>9114</v>
      </c>
      <c r="F13324" t="s">
        <v>11</v>
      </c>
      <c r="G13324" t="s">
        <v>2789</v>
      </c>
      <c r="H13324" s="12">
        <v>-1.2216010046818799</v>
      </c>
      <c r="I13324" s="20">
        <v>-0.749270931705045</v>
      </c>
      <c r="J13324" s="28">
        <v>0.45369392429519501</v>
      </c>
      <c r="K13324" s="29">
        <v>0.98289565623980701</v>
      </c>
    </row>
    <row r="13325" spans="1:11" x14ac:dyDescent="0.35">
      <c r="A13325" s="9" t="str">
        <f>HYPERLINK("http://www.ensembl.org/id/WBGene00003672", "WBGene00003672")</f>
        <v>WBGene00003672</v>
      </c>
      <c r="B13325" s="9" t="str">
        <f>HYPERLINK("http://www.ncbi.nlm.nih.gov/gene/191729", "191729")</f>
        <v>191729</v>
      </c>
      <c r="C13325" s="9"/>
      <c r="D13325" t="str">
        <f>"nhr-82"</f>
        <v>nhr-82</v>
      </c>
      <c r="E13325" t="s">
        <v>637</v>
      </c>
      <c r="F13325" t="s">
        <v>11</v>
      </c>
      <c r="G13325" t="s">
        <v>1073</v>
      </c>
      <c r="H13325" s="12">
        <v>1.76683809936739</v>
      </c>
      <c r="I13325" s="20">
        <v>0.31950972279956402</v>
      </c>
      <c r="J13325" s="28">
        <v>0.749340019745109</v>
      </c>
      <c r="K13325" s="29">
        <v>0.98289565623980701</v>
      </c>
    </row>
    <row r="13326" spans="1:11" x14ac:dyDescent="0.35">
      <c r="A13326" s="9" t="str">
        <f>HYPERLINK("http://www.ensembl.org/id/WBGene00003674", "WBGene00003674")</f>
        <v>WBGene00003674</v>
      </c>
      <c r="B13326" s="9" t="str">
        <f>HYPERLINK("http://www.ncbi.nlm.nih.gov/gene/191731", "191731")</f>
        <v>191731</v>
      </c>
      <c r="C13326" s="9"/>
      <c r="D13326" t="str">
        <f>"nhr-84"</f>
        <v>nhr-84</v>
      </c>
      <c r="E13326" t="s">
        <v>637</v>
      </c>
      <c r="F13326" t="s">
        <v>11</v>
      </c>
      <c r="G13326" t="s">
        <v>1073</v>
      </c>
      <c r="H13326" s="12">
        <v>-1.10126995952553</v>
      </c>
      <c r="I13326" s="20">
        <v>-0.45917595675042799</v>
      </c>
      <c r="J13326" s="28">
        <v>0.64610781479482604</v>
      </c>
      <c r="K13326" s="29">
        <v>0.98289565623980701</v>
      </c>
    </row>
    <row r="13327" spans="1:11" x14ac:dyDescent="0.35">
      <c r="A13327" s="9" t="str">
        <f>HYPERLINK("http://www.ensembl.org/id/WBGene00003675", "WBGene00003675")</f>
        <v>WBGene00003675</v>
      </c>
      <c r="B13327" s="9" t="str">
        <f>HYPERLINK("http://www.ncbi.nlm.nih.gov/gene/191732", "191732")</f>
        <v>191732</v>
      </c>
      <c r="C13327" s="9"/>
      <c r="D13327" t="str">
        <f>"nhr-85"</f>
        <v>nhr-85</v>
      </c>
      <c r="E13327" t="s">
        <v>5934</v>
      </c>
      <c r="F13327" t="s">
        <v>11</v>
      </c>
      <c r="G13327" t="s">
        <v>852</v>
      </c>
      <c r="H13327" s="12">
        <v>1.0833787192000699</v>
      </c>
      <c r="I13327" s="20">
        <v>0.39080989345286299</v>
      </c>
      <c r="J13327" s="28">
        <v>0.69593776150278797</v>
      </c>
      <c r="K13327" s="29">
        <v>0.98289565623980701</v>
      </c>
    </row>
    <row r="13328" spans="1:11" x14ac:dyDescent="0.35">
      <c r="A13328" s="9" t="str">
        <f>HYPERLINK("http://www.ensembl.org/id/WBGene00003678", "WBGene00003678")</f>
        <v>WBGene00003678</v>
      </c>
      <c r="B13328" s="9" t="str">
        <f>HYPERLINK("http://www.ncbi.nlm.nih.gov/gene/173641", "173641")</f>
        <v>173641</v>
      </c>
      <c r="C13328" s="9"/>
      <c r="D13328" t="str">
        <f>"nhr-88"</f>
        <v>nhr-88</v>
      </c>
      <c r="E13328" t="s">
        <v>637</v>
      </c>
      <c r="F13328" t="s">
        <v>11</v>
      </c>
      <c r="G13328" t="s">
        <v>1073</v>
      </c>
      <c r="H13328" s="12">
        <v>1.07040295312597</v>
      </c>
      <c r="I13328" s="20">
        <v>0.37373582236018599</v>
      </c>
      <c r="J13328" s="28">
        <v>0.708600871083501</v>
      </c>
      <c r="K13328" s="29">
        <v>0.98289565623980701</v>
      </c>
    </row>
    <row r="13329" spans="1:11" x14ac:dyDescent="0.35">
      <c r="A13329" s="9" t="str">
        <f>HYPERLINK("http://www.ensembl.org/id/WBGene00003608", "WBGene00003608")</f>
        <v>WBGene00003608</v>
      </c>
      <c r="B13329" s="9" t="str">
        <f>HYPERLINK("http://www.ncbi.nlm.nih.gov/gene/191718", "191718")</f>
        <v>191718</v>
      </c>
      <c r="C13329" s="9"/>
      <c r="D13329" t="str">
        <f>"nhr-9"</f>
        <v>nhr-9</v>
      </c>
      <c r="E13329" t="s">
        <v>4240</v>
      </c>
      <c r="F13329" t="s">
        <v>11</v>
      </c>
      <c r="G13329" t="s">
        <v>852</v>
      </c>
      <c r="H13329" s="12">
        <v>6.61045742799383</v>
      </c>
      <c r="I13329" s="20">
        <v>0.55558174612790701</v>
      </c>
      <c r="J13329" s="28">
        <v>0.57849681292850097</v>
      </c>
      <c r="K13329" s="29">
        <v>0.98289565623980701</v>
      </c>
    </row>
    <row r="13330" spans="1:11" x14ac:dyDescent="0.35">
      <c r="A13330" s="9" t="str">
        <f>HYPERLINK("http://www.ensembl.org/id/WBGene00003680", "WBGene00003680")</f>
        <v>WBGene00003680</v>
      </c>
      <c r="B13330" s="9" t="str">
        <f>HYPERLINK("http://www.ncbi.nlm.nih.gov/gene/178577", "178577")</f>
        <v>178577</v>
      </c>
      <c r="C13330" s="9"/>
      <c r="D13330" t="str">
        <f>"nhr-90"</f>
        <v>nhr-90</v>
      </c>
      <c r="E13330" t="s">
        <v>8536</v>
      </c>
      <c r="F13330" t="s">
        <v>11</v>
      </c>
      <c r="G13330" t="s">
        <v>852</v>
      </c>
      <c r="H13330" s="12">
        <v>-1.18241109502779</v>
      </c>
      <c r="I13330" s="20">
        <v>-0.70232769911732296</v>
      </c>
      <c r="J13330" s="28">
        <v>0.48247482299843297</v>
      </c>
      <c r="K13330" s="29">
        <v>0.98289565623980701</v>
      </c>
    </row>
    <row r="13331" spans="1:11" x14ac:dyDescent="0.35">
      <c r="A13331" s="9" t="str">
        <f>HYPERLINK("http://www.ensembl.org/id/WBGene00003682", "WBGene00003682")</f>
        <v>WBGene00003682</v>
      </c>
      <c r="B13331" s="9" t="str">
        <f>HYPERLINK("http://www.ncbi.nlm.nih.gov/gene/176971", "176971")</f>
        <v>176971</v>
      </c>
      <c r="C13331" s="9"/>
      <c r="D13331" t="str">
        <f>"nhr-92"</f>
        <v>nhr-92</v>
      </c>
      <c r="E13331" t="s">
        <v>637</v>
      </c>
      <c r="F13331" t="s">
        <v>11</v>
      </c>
      <c r="G13331" t="s">
        <v>2013</v>
      </c>
      <c r="H13331" s="12">
        <v>-1.10061920287573</v>
      </c>
      <c r="I13331" s="20">
        <v>-0.35857095662619698</v>
      </c>
      <c r="J13331" s="28">
        <v>0.71991607708466598</v>
      </c>
      <c r="K13331" s="29">
        <v>0.98289565623980701</v>
      </c>
    </row>
    <row r="13332" spans="1:11" x14ac:dyDescent="0.35">
      <c r="A13332" s="9" t="str">
        <f>HYPERLINK("http://www.ensembl.org/id/WBGene00003683", "WBGene00003683")</f>
        <v>WBGene00003683</v>
      </c>
      <c r="B13332" s="9" t="str">
        <f>HYPERLINK("http://www.ncbi.nlm.nih.gov/gene/13212318", "13212318")</f>
        <v>13212318</v>
      </c>
      <c r="C13332" s="9"/>
      <c r="D13332" t="str">
        <f>"nhr-93"</f>
        <v>nhr-93</v>
      </c>
      <c r="E13332" t="s">
        <v>637</v>
      </c>
      <c r="F13332" t="s">
        <v>11</v>
      </c>
      <c r="G13332" t="s">
        <v>638</v>
      </c>
      <c r="H13332" s="12">
        <v>1.21174748425857</v>
      </c>
      <c r="I13332" s="20">
        <v>0.38361920905298003</v>
      </c>
      <c r="J13332" s="28">
        <v>0.70126070062063395</v>
      </c>
      <c r="K13332" s="29">
        <v>0.98289565623980701</v>
      </c>
    </row>
    <row r="13333" spans="1:11" x14ac:dyDescent="0.35">
      <c r="A13333" s="9" t="str">
        <f>HYPERLINK("http://www.ensembl.org/id/WBGene00003685", "WBGene00003685")</f>
        <v>WBGene00003685</v>
      </c>
      <c r="B13333" s="9" t="str">
        <f>HYPERLINK("http://www.ncbi.nlm.nih.gov/gene/180254", "180254")</f>
        <v>180254</v>
      </c>
      <c r="C13333" s="9"/>
      <c r="D13333" t="str">
        <f>"nhr-95"</f>
        <v>nhr-95</v>
      </c>
      <c r="E13333" t="s">
        <v>637</v>
      </c>
      <c r="F13333" t="s">
        <v>11</v>
      </c>
      <c r="G13333" t="s">
        <v>1073</v>
      </c>
      <c r="H13333" s="12">
        <v>1.1031007523199401</v>
      </c>
      <c r="I13333" s="20">
        <v>0.45679262963928402</v>
      </c>
      <c r="J13333" s="28">
        <v>0.647820103862215</v>
      </c>
      <c r="K13333" s="29">
        <v>0.98289565623980701</v>
      </c>
    </row>
    <row r="13334" spans="1:11" x14ac:dyDescent="0.35">
      <c r="A13334" s="9" t="str">
        <f>HYPERLINK("http://www.ensembl.org/id/WBGene00003688", "WBGene00003688")</f>
        <v>WBGene00003688</v>
      </c>
      <c r="B13334" s="9" t="str">
        <f>HYPERLINK("http://www.ncbi.nlm.nih.gov/gene/178568", "178568")</f>
        <v>178568</v>
      </c>
      <c r="C13334" s="9"/>
      <c r="D13334" t="str">
        <f>"nhr-98"</f>
        <v>nhr-98</v>
      </c>
      <c r="E13334" t="s">
        <v>9462</v>
      </c>
      <c r="F13334" t="s">
        <v>11</v>
      </c>
      <c r="G13334" t="s">
        <v>1073</v>
      </c>
      <c r="H13334" s="12">
        <v>-1.2481652911296</v>
      </c>
      <c r="I13334" s="20">
        <v>-0.82374453714171103</v>
      </c>
      <c r="J13334" s="28">
        <v>0.41008472759099801</v>
      </c>
      <c r="K13334" s="29">
        <v>0.98289565623980701</v>
      </c>
    </row>
    <row r="13335" spans="1:11" x14ac:dyDescent="0.35">
      <c r="A13335" s="9" t="str">
        <f>HYPERLINK("http://www.ensembl.org/id/WBGene00003689", "WBGene00003689")</f>
        <v>WBGene00003689</v>
      </c>
      <c r="B13335" s="9" t="str">
        <f>HYPERLINK("http://www.ncbi.nlm.nih.gov/gene/178569", "178569")</f>
        <v>178569</v>
      </c>
      <c r="C13335" s="9"/>
      <c r="D13335" t="str">
        <f>"nhr-99"</f>
        <v>nhr-99</v>
      </c>
      <c r="E13335" t="s">
        <v>637</v>
      </c>
      <c r="F13335" t="s">
        <v>11</v>
      </c>
      <c r="G13335" t="s">
        <v>1073</v>
      </c>
      <c r="H13335" s="12">
        <v>1.0929462638751199</v>
      </c>
      <c r="I13335" s="20">
        <v>0.37921044157261602</v>
      </c>
      <c r="J13335" s="28">
        <v>0.70453159836990698</v>
      </c>
      <c r="K13335" s="29">
        <v>0.98289565623980701</v>
      </c>
    </row>
    <row r="13336" spans="1:11" x14ac:dyDescent="0.35">
      <c r="A13336" s="9" t="str">
        <f>HYPERLINK("http://www.ensembl.org/id/WBGene00003732", "WBGene00003732")</f>
        <v>WBGene00003732</v>
      </c>
      <c r="B13336" s="9" t="str">
        <f>HYPERLINK("http://www.ncbi.nlm.nih.gov/gene/180964", "180964")</f>
        <v>180964</v>
      </c>
      <c r="C13336" s="9"/>
      <c r="D13336" t="str">
        <f>"nhx-4"</f>
        <v>nhx-4</v>
      </c>
      <c r="E13336" t="s">
        <v>2819</v>
      </c>
      <c r="F13336" t="s">
        <v>11</v>
      </c>
      <c r="G13336" t="s">
        <v>2820</v>
      </c>
      <c r="H13336" s="12">
        <v>1.0656174843867601</v>
      </c>
      <c r="I13336" s="20">
        <v>0.31850136419101799</v>
      </c>
      <c r="J13336" s="28">
        <v>0.75010466001570797</v>
      </c>
      <c r="K13336" s="29">
        <v>0.98289565623980701</v>
      </c>
    </row>
    <row r="13337" spans="1:11" x14ac:dyDescent="0.35">
      <c r="A13337" s="9" t="str">
        <f>HYPERLINK("http://www.ensembl.org/id/WBGene00003733", "WBGene00003733")</f>
        <v>WBGene00003733</v>
      </c>
      <c r="B13337" s="9" t="str">
        <f>HYPERLINK("http://www.ncbi.nlm.nih.gov/gene/181258", "181258")</f>
        <v>181258</v>
      </c>
      <c r="C13337" s="9" t="str">
        <f>HYPERLINK("http://www.ncbi.nlm.nih.gov/gene/10479", "10479")</f>
        <v>10479</v>
      </c>
      <c r="D13337" t="str">
        <f>"nhx-5"</f>
        <v>nhx-5</v>
      </c>
      <c r="E13337" t="s">
        <v>2819</v>
      </c>
      <c r="F13337" t="s">
        <v>11</v>
      </c>
      <c r="G13337" t="s">
        <v>7175</v>
      </c>
      <c r="H13337" s="12">
        <v>-1.11165213971232</v>
      </c>
      <c r="I13337" s="20">
        <v>-0.51737985509135798</v>
      </c>
      <c r="J13337" s="28">
        <v>0.60489101941092904</v>
      </c>
      <c r="K13337" s="29">
        <v>0.98289565623980701</v>
      </c>
    </row>
    <row r="13338" spans="1:11" x14ac:dyDescent="0.35">
      <c r="A13338" s="9" t="str">
        <f>HYPERLINK("http://www.ensembl.org/id/WBGene00003735", "WBGene00003735")</f>
        <v>WBGene00003735</v>
      </c>
      <c r="B13338" s="9" t="str">
        <f>HYPERLINK("http://www.ncbi.nlm.nih.gov/gene/189474", "189474")</f>
        <v>189474</v>
      </c>
      <c r="C13338" s="9" t="str">
        <f>HYPERLINK("http://www.ncbi.nlm.nih.gov/gene/23315", "23315")</f>
        <v>23315</v>
      </c>
      <c r="D13338" t="str">
        <f>"nhx-8"</f>
        <v>nhx-8</v>
      </c>
      <c r="E13338" t="s">
        <v>2819</v>
      </c>
      <c r="F13338" t="s">
        <v>11</v>
      </c>
      <c r="G13338" t="s">
        <v>6853</v>
      </c>
      <c r="H13338" s="12">
        <v>-1.0926863675410801</v>
      </c>
      <c r="I13338" s="20">
        <v>-0.42482124301704999</v>
      </c>
      <c r="J13338" s="28">
        <v>0.67096699062360798</v>
      </c>
      <c r="K13338" s="29">
        <v>0.98289565623980701</v>
      </c>
    </row>
    <row r="13339" spans="1:11" x14ac:dyDescent="0.35">
      <c r="A13339" s="9" t="str">
        <f>HYPERLINK("http://www.ensembl.org/id/WBGene00010700", "WBGene00010700")</f>
        <v>WBGene00010700</v>
      </c>
      <c r="B13339" s="9" t="str">
        <f>HYPERLINK("http://www.ncbi.nlm.nih.gov/gene/181650", "181650")</f>
        <v>181650</v>
      </c>
      <c r="C13339" s="9"/>
      <c r="D13339" t="str">
        <f>"nipi-3"</f>
        <v>nipi-3</v>
      </c>
      <c r="F13339" t="s">
        <v>11</v>
      </c>
      <c r="G13339" t="s">
        <v>444</v>
      </c>
      <c r="H13339" s="12">
        <v>-1.1107931648281499</v>
      </c>
      <c r="I13339" s="20">
        <v>-0.56209091355660601</v>
      </c>
      <c r="J13339" s="28">
        <v>0.574054078858655</v>
      </c>
      <c r="K13339" s="29">
        <v>0.98289565623980701</v>
      </c>
    </row>
    <row r="13340" spans="1:11" x14ac:dyDescent="0.35">
      <c r="A13340" s="9" t="str">
        <f>HYPERLINK("http://www.ensembl.org/id/WBGene00009232", "WBGene00009232")</f>
        <v>WBGene00009232</v>
      </c>
      <c r="B13340" s="9" t="str">
        <f>HYPERLINK("http://www.ncbi.nlm.nih.gov/gene/185086", "185086")</f>
        <v>185086</v>
      </c>
      <c r="C13340" s="9" t="str">
        <f>HYPERLINK("http://www.ncbi.nlm.nih.gov/gene/56267", "56267")</f>
        <v>56267</v>
      </c>
      <c r="D13340" t="str">
        <f>"nkat-1"</f>
        <v>nkat-1</v>
      </c>
      <c r="E13340" t="s">
        <v>4596</v>
      </c>
      <c r="F13340" t="s">
        <v>11</v>
      </c>
      <c r="G13340" t="s">
        <v>4597</v>
      </c>
      <c r="H13340" s="12">
        <v>1.6311136646622999</v>
      </c>
      <c r="I13340" s="20">
        <v>0.53734292214806401</v>
      </c>
      <c r="J13340" s="28">
        <v>0.59103076204684901</v>
      </c>
      <c r="K13340" s="29">
        <v>0.98289565623980701</v>
      </c>
    </row>
    <row r="13341" spans="1:11" x14ac:dyDescent="0.35">
      <c r="A13341" s="9" t="str">
        <f>HYPERLINK("http://www.ensembl.org/id/WBGene00007646", "WBGene00007646")</f>
        <v>WBGene00007646</v>
      </c>
      <c r="B13341" s="9" t="str">
        <f>HYPERLINK("http://www.ncbi.nlm.nih.gov/gene/182726", "182726")</f>
        <v>182726</v>
      </c>
      <c r="C13341" s="9"/>
      <c r="D13341" t="str">
        <f>"nkb-1"</f>
        <v>nkb-1</v>
      </c>
      <c r="E13341" t="s">
        <v>6002</v>
      </c>
      <c r="F13341" t="s">
        <v>11</v>
      </c>
      <c r="G13341" t="s">
        <v>6003</v>
      </c>
      <c r="H13341" s="12">
        <v>1.0734226416278401</v>
      </c>
      <c r="I13341" s="20">
        <v>0.38960042948489199</v>
      </c>
      <c r="J13341" s="28">
        <v>0.69683203450523901</v>
      </c>
      <c r="K13341" s="29">
        <v>0.98289565623980701</v>
      </c>
    </row>
    <row r="13342" spans="1:11" x14ac:dyDescent="0.35">
      <c r="A13342" s="9" t="str">
        <f>HYPERLINK("http://www.ensembl.org/id/WBGene00010117", "WBGene00010117")</f>
        <v>WBGene00010117</v>
      </c>
      <c r="B13342" s="9" t="str">
        <f>HYPERLINK("http://www.ncbi.nlm.nih.gov/gene/181494", "181494")</f>
        <v>181494</v>
      </c>
      <c r="C13342" s="9"/>
      <c r="D13342" t="str">
        <f>"nkb-3"</f>
        <v>nkb-3</v>
      </c>
      <c r="E13342" t="s">
        <v>5907</v>
      </c>
      <c r="F13342" t="s">
        <v>11</v>
      </c>
      <c r="G13342" t="s">
        <v>5908</v>
      </c>
      <c r="H13342" s="12">
        <v>1.0863669805240199</v>
      </c>
      <c r="I13342" s="20">
        <v>0.42130828248884</v>
      </c>
      <c r="J13342" s="28">
        <v>0.67352998298168099</v>
      </c>
      <c r="K13342" s="29">
        <v>0.98289565623980701</v>
      </c>
    </row>
    <row r="13343" spans="1:11" x14ac:dyDescent="0.35">
      <c r="A13343" s="9" t="str">
        <f>HYPERLINK("http://www.ensembl.org/id/WBGene00018854", "WBGene00018854")</f>
        <v>WBGene00018854</v>
      </c>
      <c r="B13343" s="9" t="str">
        <f>HYPERLINK("http://www.ncbi.nlm.nih.gov/gene/180454", "180454")</f>
        <v>180454</v>
      </c>
      <c r="C13343" s="9"/>
      <c r="D13343" t="str">
        <f>"nlf-1"</f>
        <v>nlf-1</v>
      </c>
      <c r="E13343" t="s">
        <v>5263</v>
      </c>
      <c r="F13343" t="s">
        <v>11</v>
      </c>
      <c r="H13343" s="12">
        <v>1.2016816499032099</v>
      </c>
      <c r="I13343" s="20">
        <v>0.82495045367933395</v>
      </c>
      <c r="J13343" s="28">
        <v>0.409399720355974</v>
      </c>
      <c r="K13343" s="29">
        <v>0.98289565623980701</v>
      </c>
    </row>
    <row r="13344" spans="1:11" x14ac:dyDescent="0.35">
      <c r="A13344" s="9" t="str">
        <f>HYPERLINK("http://www.ensembl.org/id/WBGene00006412", "WBGene00006412")</f>
        <v>WBGene00006412</v>
      </c>
      <c r="B13344" s="9" t="str">
        <f>HYPERLINK("http://www.ncbi.nlm.nih.gov/gene/181484", "181484")</f>
        <v>181484</v>
      </c>
      <c r="C13344" s="9" t="str">
        <f>HYPERLINK("http://www.ncbi.nlm.nih.gov/gene/22829", "22829")</f>
        <v>22829</v>
      </c>
      <c r="D13344" t="str">
        <f>"nlg-1"</f>
        <v>nlg-1</v>
      </c>
      <c r="E13344" t="s">
        <v>7239</v>
      </c>
      <c r="F13344" t="s">
        <v>11</v>
      </c>
      <c r="G13344" t="s">
        <v>7240</v>
      </c>
      <c r="H13344" s="12">
        <v>-1.11499269956575</v>
      </c>
      <c r="I13344" s="20">
        <v>-0.481887975432437</v>
      </c>
      <c r="J13344" s="28">
        <v>0.62988552858083302</v>
      </c>
      <c r="K13344" s="29">
        <v>0.98289565623980701</v>
      </c>
    </row>
    <row r="13345" spans="1:11" x14ac:dyDescent="0.35">
      <c r="A13345" s="9" t="str">
        <f>HYPERLINK("http://www.ensembl.org/id/WBGene00003752", "WBGene00003752")</f>
        <v>WBGene00003752</v>
      </c>
      <c r="B13345" s="9" t="str">
        <f>HYPERLINK("http://www.ncbi.nlm.nih.gov/gene/181137", "181137")</f>
        <v>181137</v>
      </c>
      <c r="C13345" s="9"/>
      <c r="D13345" t="str">
        <f>"nlp-14"</f>
        <v>nlp-14</v>
      </c>
      <c r="E13345" t="s">
        <v>76</v>
      </c>
      <c r="F13345" t="s">
        <v>11</v>
      </c>
      <c r="G13345" t="s">
        <v>5740</v>
      </c>
      <c r="H13345" s="12">
        <v>1.11265332812544</v>
      </c>
      <c r="I13345" s="20">
        <v>0.54666926806215599</v>
      </c>
      <c r="J13345" s="28">
        <v>0.58460597122498603</v>
      </c>
      <c r="K13345" s="29">
        <v>0.98289565623980701</v>
      </c>
    </row>
    <row r="13346" spans="1:11" x14ac:dyDescent="0.35">
      <c r="A13346" s="9" t="str">
        <f>HYPERLINK("http://www.ensembl.org/id/WBGene00003753", "WBGene00003753")</f>
        <v>WBGene00003753</v>
      </c>
      <c r="B13346" s="9" t="str">
        <f>HYPERLINK("http://www.ncbi.nlm.nih.gov/gene/173174", "173174")</f>
        <v>173174</v>
      </c>
      <c r="C13346" s="9"/>
      <c r="D13346" t="str">
        <f>"nlp-15"</f>
        <v>nlp-15</v>
      </c>
      <c r="E13346" t="s">
        <v>76</v>
      </c>
      <c r="F13346" t="s">
        <v>11</v>
      </c>
      <c r="G13346" t="s">
        <v>5308</v>
      </c>
      <c r="H13346" s="12">
        <v>1.19129391643083</v>
      </c>
      <c r="I13346" s="20">
        <v>0.904049211123784</v>
      </c>
      <c r="J13346" s="28">
        <v>0.36596930757997398</v>
      </c>
      <c r="K13346" s="29">
        <v>0.98289565623980701</v>
      </c>
    </row>
    <row r="13347" spans="1:11" x14ac:dyDescent="0.35">
      <c r="A13347" s="9" t="str">
        <f>HYPERLINK("http://www.ensembl.org/id/WBGene00003740", "WBGene00003740")</f>
        <v>WBGene00003740</v>
      </c>
      <c r="B13347" s="9" t="str">
        <f>HYPERLINK("http://www.ncbi.nlm.nih.gov/gene/188857", "188857")</f>
        <v>188857</v>
      </c>
      <c r="C13347" s="9"/>
      <c r="D13347" t="str">
        <f>"nlp-2"</f>
        <v>nlp-2</v>
      </c>
      <c r="E13347" t="s">
        <v>76</v>
      </c>
      <c r="F13347" t="s">
        <v>11</v>
      </c>
      <c r="G13347" t="s">
        <v>6190</v>
      </c>
      <c r="H13347" s="12">
        <v>-1.0527265004233901</v>
      </c>
      <c r="I13347" s="20">
        <v>-0.26844685393405199</v>
      </c>
      <c r="J13347" s="28">
        <v>0.78835537829162405</v>
      </c>
      <c r="K13347" s="29">
        <v>0.98289565623980701</v>
      </c>
    </row>
    <row r="13348" spans="1:11" x14ac:dyDescent="0.35">
      <c r="A13348" s="9" t="str">
        <f>HYPERLINK("http://www.ensembl.org/id/WBGene00003760", "WBGene00003760")</f>
        <v>WBGene00003760</v>
      </c>
      <c r="B13348" s="9" t="str">
        <f>HYPERLINK("http://www.ncbi.nlm.nih.gov/gene/188855", "188855")</f>
        <v>188855</v>
      </c>
      <c r="C13348" s="9"/>
      <c r="D13348" t="str">
        <f>"nlp-22"</f>
        <v>nlp-22</v>
      </c>
      <c r="E13348" t="s">
        <v>76</v>
      </c>
      <c r="F13348" t="s">
        <v>11</v>
      </c>
      <c r="G13348" t="s">
        <v>6190</v>
      </c>
      <c r="H13348" s="12">
        <v>-1.4601965165994899</v>
      </c>
      <c r="I13348" s="20">
        <v>-0.43247996099232799</v>
      </c>
      <c r="J13348" s="28">
        <v>0.66539261348707501</v>
      </c>
      <c r="K13348" s="29">
        <v>0.98289565623980701</v>
      </c>
    </row>
    <row r="13349" spans="1:11" x14ac:dyDescent="0.35">
      <c r="A13349" s="9" t="str">
        <f>HYPERLINK("http://www.ensembl.org/id/WBGene00003761", "WBGene00003761")</f>
        <v>WBGene00003761</v>
      </c>
      <c r="B13349" s="9" t="str">
        <f>HYPERLINK("http://www.ncbi.nlm.nih.gov/gene/188856", "188856")</f>
        <v>188856</v>
      </c>
      <c r="C13349" s="9"/>
      <c r="D13349" t="str">
        <f>"nlp-23"</f>
        <v>nlp-23</v>
      </c>
      <c r="E13349" t="s">
        <v>76</v>
      </c>
      <c r="F13349" t="s">
        <v>11</v>
      </c>
      <c r="G13349" t="s">
        <v>77</v>
      </c>
      <c r="H13349" s="12">
        <v>-1.3793413421574101</v>
      </c>
      <c r="I13349" s="20">
        <v>-0.40763899986184898</v>
      </c>
      <c r="J13349" s="28">
        <v>0.68353872758550605</v>
      </c>
      <c r="K13349" s="29">
        <v>0.98289565623980701</v>
      </c>
    </row>
    <row r="13350" spans="1:11" x14ac:dyDescent="0.35">
      <c r="A13350" s="9" t="str">
        <f>HYPERLINK("http://www.ensembl.org/id/WBGene00003763", "WBGene00003763")</f>
        <v>WBGene00003763</v>
      </c>
      <c r="B13350" s="9" t="str">
        <f>HYPERLINK("http://www.ncbi.nlm.nih.gov/gene/189877", "189877")</f>
        <v>189877</v>
      </c>
      <c r="C13350" s="9"/>
      <c r="D13350" t="str">
        <f>"nlp-25"</f>
        <v>nlp-25</v>
      </c>
      <c r="E13350" t="s">
        <v>76</v>
      </c>
      <c r="F13350" t="s">
        <v>11</v>
      </c>
      <c r="G13350" t="s">
        <v>77</v>
      </c>
      <c r="H13350" s="12">
        <v>2.0028478147829798</v>
      </c>
      <c r="I13350" s="20">
        <v>0.76363764580418303</v>
      </c>
      <c r="J13350" s="28">
        <v>0.445083208649665</v>
      </c>
      <c r="K13350" s="29">
        <v>0.98289565623980701</v>
      </c>
    </row>
    <row r="13351" spans="1:11" x14ac:dyDescent="0.35">
      <c r="A13351" s="9" t="str">
        <f>HYPERLINK("http://www.ensembl.org/id/WBGene00003764", "WBGene00003764")</f>
        <v>WBGene00003764</v>
      </c>
      <c r="B13351" s="9" t="str">
        <f>HYPERLINK("http://www.ncbi.nlm.nih.gov/gene/180281", "180281")</f>
        <v>180281</v>
      </c>
      <c r="C13351" s="9"/>
      <c r="D13351" t="str">
        <f>"nlp-26"</f>
        <v>nlp-26</v>
      </c>
      <c r="E13351" t="s">
        <v>76</v>
      </c>
      <c r="F13351" t="s">
        <v>11</v>
      </c>
      <c r="G13351" t="s">
        <v>77</v>
      </c>
      <c r="H13351" s="12">
        <v>1.3031624005719</v>
      </c>
      <c r="I13351" s="20">
        <v>0.40288160431780201</v>
      </c>
      <c r="J13351" s="28">
        <v>0.68703532478502105</v>
      </c>
      <c r="K13351" s="29">
        <v>0.98289565623980701</v>
      </c>
    </row>
    <row r="13352" spans="1:11" x14ac:dyDescent="0.35">
      <c r="A13352" s="9" t="str">
        <f>HYPERLINK("http://www.ensembl.org/id/WBGene00003766", "WBGene00003766")</f>
        <v>WBGene00003766</v>
      </c>
      <c r="B13352" s="9" t="str">
        <f>HYPERLINK("http://www.ncbi.nlm.nih.gov/gene/181845", "181845")</f>
        <v>181845</v>
      </c>
      <c r="C13352" s="9"/>
      <c r="D13352" t="str">
        <f>"nlp-28"</f>
        <v>nlp-28</v>
      </c>
      <c r="E13352" t="s">
        <v>5586</v>
      </c>
      <c r="F13352" t="s">
        <v>11</v>
      </c>
      <c r="H13352" s="12">
        <v>1.13998094423604</v>
      </c>
      <c r="I13352" s="20">
        <v>0.55755250533869305</v>
      </c>
      <c r="J13352" s="28">
        <v>0.57714999609430995</v>
      </c>
      <c r="K13352" s="29">
        <v>0.98289565623980701</v>
      </c>
    </row>
    <row r="13353" spans="1:11" x14ac:dyDescent="0.35">
      <c r="A13353" s="9" t="str">
        <f>HYPERLINK("http://www.ensembl.org/id/WBGene00003768", "WBGene00003768")</f>
        <v>WBGene00003768</v>
      </c>
      <c r="B13353" s="9" t="str">
        <f>HYPERLINK("http://www.ncbi.nlm.nih.gov/gene/3565444", "3565444")</f>
        <v>3565444</v>
      </c>
      <c r="C13353" s="9"/>
      <c r="D13353" t="str">
        <f>"nlp-30"</f>
        <v>nlp-30</v>
      </c>
      <c r="E13353" t="s">
        <v>4461</v>
      </c>
      <c r="F13353" t="s">
        <v>11</v>
      </c>
      <c r="H13353" s="12">
        <v>1.9594537185929199</v>
      </c>
      <c r="I13353" s="20">
        <v>0.92744321119899098</v>
      </c>
      <c r="J13353" s="28">
        <v>0.35369646394085602</v>
      </c>
      <c r="K13353" s="29">
        <v>0.98289565623980701</v>
      </c>
    </row>
    <row r="13354" spans="1:11" x14ac:dyDescent="0.35">
      <c r="A13354" s="9" t="str">
        <f>HYPERLINK("http://www.ensembl.org/id/WBGene00003771", "WBGene00003771")</f>
        <v>WBGene00003771</v>
      </c>
      <c r="B13354" s="9" t="str">
        <f>HYPERLINK("http://www.ncbi.nlm.nih.gov/gene/179545", "179545")</f>
        <v>179545</v>
      </c>
      <c r="C13354" s="9"/>
      <c r="D13354" t="str">
        <f>"nlp-33"</f>
        <v>nlp-33</v>
      </c>
      <c r="E13354" t="s">
        <v>4651</v>
      </c>
      <c r="F13354" t="s">
        <v>11</v>
      </c>
      <c r="H13354" s="12">
        <v>1.5327920897429399</v>
      </c>
      <c r="I13354" s="20">
        <v>1.14228728838577</v>
      </c>
      <c r="J13354" s="28">
        <v>0.25333462327165202</v>
      </c>
      <c r="K13354" s="29">
        <v>0.98289565623980701</v>
      </c>
    </row>
    <row r="13355" spans="1:11" x14ac:dyDescent="0.35">
      <c r="A13355" s="9" t="str">
        <f>HYPERLINK("http://www.ensembl.org/id/WBGene00007185", "WBGene00007185")</f>
        <v>WBGene00007185</v>
      </c>
      <c r="B13355" s="9" t="str">
        <f>HYPERLINK("http://www.ncbi.nlm.nih.gov/gene/176333", "176333")</f>
        <v>176333</v>
      </c>
      <c r="C13355" s="9"/>
      <c r="D13355" t="str">
        <f>"nlp-36"</f>
        <v>nlp-36</v>
      </c>
      <c r="E13355" t="s">
        <v>7352</v>
      </c>
      <c r="F13355" t="s">
        <v>11</v>
      </c>
      <c r="H13355" s="12">
        <v>-1.1211422025672699</v>
      </c>
      <c r="I13355" s="20">
        <v>-0.57595422315200295</v>
      </c>
      <c r="J13355" s="28">
        <v>0.56464612352525201</v>
      </c>
      <c r="K13355" s="29">
        <v>0.98289565623980701</v>
      </c>
    </row>
    <row r="13356" spans="1:11" x14ac:dyDescent="0.35">
      <c r="A13356" s="9" t="str">
        <f>HYPERLINK("http://www.ensembl.org/id/WBGene00007219", "WBGene00007219")</f>
        <v>WBGene00007219</v>
      </c>
      <c r="B13356" s="9" t="str">
        <f>HYPERLINK("http://www.ncbi.nlm.nih.gov/gene/173209", "173209")</f>
        <v>173209</v>
      </c>
      <c r="C13356" s="9"/>
      <c r="D13356" t="str">
        <f>"nlp-38"</f>
        <v>nlp-38</v>
      </c>
      <c r="E13356" t="s">
        <v>76</v>
      </c>
      <c r="F13356" t="s">
        <v>11</v>
      </c>
      <c r="G13356" t="s">
        <v>5654</v>
      </c>
      <c r="H13356" s="12">
        <v>1.12853946055597</v>
      </c>
      <c r="I13356" s="20">
        <v>0.581765631457834</v>
      </c>
      <c r="J13356" s="28">
        <v>0.56072455683871802</v>
      </c>
      <c r="K13356" s="29">
        <v>0.98289565623980701</v>
      </c>
    </row>
    <row r="13357" spans="1:11" x14ac:dyDescent="0.35">
      <c r="A13357" s="9" t="str">
        <f>HYPERLINK("http://www.ensembl.org/id/WBGene00007316", "WBGene00007316")</f>
        <v>WBGene00007316</v>
      </c>
      <c r="B13357" s="9" t="str">
        <f>HYPERLINK("http://www.ncbi.nlm.nih.gov/gene/3564788", "3564788")</f>
        <v>3564788</v>
      </c>
      <c r="C13357" s="9"/>
      <c r="D13357" t="str">
        <f>"nlp-41"</f>
        <v>nlp-41</v>
      </c>
      <c r="E13357" t="s">
        <v>76</v>
      </c>
      <c r="F13357" t="s">
        <v>11</v>
      </c>
      <c r="G13357" t="s">
        <v>77</v>
      </c>
      <c r="H13357" s="12">
        <v>1.1412274096088699</v>
      </c>
      <c r="I13357" s="20">
        <v>0.60864144114365604</v>
      </c>
      <c r="J13357" s="28">
        <v>0.54276212956967196</v>
      </c>
      <c r="K13357" s="29">
        <v>0.98289565623980701</v>
      </c>
    </row>
    <row r="13358" spans="1:11" x14ac:dyDescent="0.35">
      <c r="A13358" s="9" t="str">
        <f>HYPERLINK("http://www.ensembl.org/id/WBGene00012145", "WBGene00012145")</f>
        <v>WBGene00012145</v>
      </c>
      <c r="B13358" s="9" t="str">
        <f>HYPERLINK("http://www.ncbi.nlm.nih.gov/gene/3565773", "3565773")</f>
        <v>3565773</v>
      </c>
      <c r="C13358" s="9"/>
      <c r="D13358" t="str">
        <f>"nlp-46"</f>
        <v>nlp-46</v>
      </c>
      <c r="E13358" t="s">
        <v>76</v>
      </c>
      <c r="F13358" t="s">
        <v>11</v>
      </c>
      <c r="G13358" t="s">
        <v>77</v>
      </c>
      <c r="H13358" s="12">
        <v>1.31260363625995</v>
      </c>
      <c r="I13358" s="20">
        <v>0.87265197929902305</v>
      </c>
      <c r="J13358" s="28">
        <v>0.382852799371732</v>
      </c>
      <c r="K13358" s="29">
        <v>0.98289565623980701</v>
      </c>
    </row>
    <row r="13359" spans="1:11" x14ac:dyDescent="0.35">
      <c r="A13359" s="9" t="str">
        <f>HYPERLINK("http://www.ensembl.org/id/WBGene00019160", "WBGene00019160")</f>
        <v>WBGene00019160</v>
      </c>
      <c r="B13359" s="9" t="str">
        <f>HYPERLINK("http://www.ncbi.nlm.nih.gov/gene/180857", "180857")</f>
        <v>180857</v>
      </c>
      <c r="C13359" s="9"/>
      <c r="D13359" t="str">
        <f>"nlp-49"</f>
        <v>nlp-49</v>
      </c>
      <c r="E13359" t="s">
        <v>8027</v>
      </c>
      <c r="F13359" t="s">
        <v>11</v>
      </c>
      <c r="G13359" t="s">
        <v>77</v>
      </c>
      <c r="H13359" s="12">
        <v>-1.1569198423304199</v>
      </c>
      <c r="I13359" s="20">
        <v>-0.647187794515663</v>
      </c>
      <c r="J13359" s="28">
        <v>0.51751040975589802</v>
      </c>
      <c r="K13359" s="29">
        <v>0.98289565623980701</v>
      </c>
    </row>
    <row r="13360" spans="1:11" x14ac:dyDescent="0.35">
      <c r="A13360" s="9" t="str">
        <f>HYPERLINK("http://www.ensembl.org/id/WBGene00003743", "WBGene00003743")</f>
        <v>WBGene00003743</v>
      </c>
      <c r="B13360" s="9" t="str">
        <f>HYPERLINK("http://www.ncbi.nlm.nih.gov/gene/185270", "185270")</f>
        <v>185270</v>
      </c>
      <c r="C13360" s="9"/>
      <c r="D13360" t="str">
        <f>"nlp-5"</f>
        <v>nlp-5</v>
      </c>
      <c r="E13360" t="s">
        <v>76</v>
      </c>
      <c r="F13360" t="s">
        <v>11</v>
      </c>
      <c r="G13360" t="s">
        <v>77</v>
      </c>
      <c r="H13360" s="12">
        <v>-1.10229461867559</v>
      </c>
      <c r="I13360" s="20">
        <v>-0.40773460649407101</v>
      </c>
      <c r="J13360" s="28">
        <v>0.68346852770739996</v>
      </c>
      <c r="K13360" s="29">
        <v>0.98289565623980701</v>
      </c>
    </row>
    <row r="13361" spans="1:11" x14ac:dyDescent="0.35">
      <c r="A13361" s="9" t="str">
        <f>HYPERLINK("http://www.ensembl.org/id/WBGene00012440", "WBGene00012440")</f>
        <v>WBGene00012440</v>
      </c>
      <c r="B13361" s="9" t="str">
        <f>HYPERLINK("http://www.ncbi.nlm.nih.gov/gene/181483", "181483")</f>
        <v>181483</v>
      </c>
      <c r="C13361" s="9"/>
      <c r="D13361" t="str">
        <f>"nlp-53"</f>
        <v>nlp-53</v>
      </c>
      <c r="E13361" t="s">
        <v>76</v>
      </c>
      <c r="F13361" t="s">
        <v>11</v>
      </c>
      <c r="G13361" t="s">
        <v>77</v>
      </c>
      <c r="H13361" s="12">
        <v>1.2288457500969201</v>
      </c>
      <c r="I13361" s="20">
        <v>0.842813215915311</v>
      </c>
      <c r="J13361" s="28">
        <v>0.39933291549142103</v>
      </c>
      <c r="K13361" s="29">
        <v>0.98289565623980701</v>
      </c>
    </row>
    <row r="13362" spans="1:11" x14ac:dyDescent="0.35">
      <c r="A13362" s="9" t="str">
        <f>HYPERLINK("http://www.ensembl.org/id/WBGene00008820", "WBGene00008820")</f>
        <v>WBGene00008820</v>
      </c>
      <c r="B13362" s="9" t="str">
        <f>HYPERLINK("http://www.ncbi.nlm.nih.gov/gene/184487", "184487")</f>
        <v>184487</v>
      </c>
      <c r="C13362" s="9"/>
      <c r="D13362" t="str">
        <f>"nlp-55"</f>
        <v>nlp-55</v>
      </c>
      <c r="E13362" t="s">
        <v>76</v>
      </c>
      <c r="F13362" t="s">
        <v>11</v>
      </c>
      <c r="G13362" t="s">
        <v>77</v>
      </c>
      <c r="H13362" s="12">
        <v>1.2483720741837201</v>
      </c>
      <c r="I13362" s="20">
        <v>1.11203884686725</v>
      </c>
      <c r="J13362" s="28">
        <v>0.26612144810470101</v>
      </c>
      <c r="K13362" s="29">
        <v>0.98289565623980701</v>
      </c>
    </row>
    <row r="13363" spans="1:11" x14ac:dyDescent="0.35">
      <c r="A13363" s="9" t="str">
        <f>HYPERLINK("http://www.ensembl.org/id/WBGene00008589", "WBGene00008589")</f>
        <v>WBGene00008589</v>
      </c>
      <c r="B13363" s="9" t="str">
        <f>HYPERLINK("http://www.ncbi.nlm.nih.gov/gene/184213", "184213")</f>
        <v>184213</v>
      </c>
      <c r="C13363" s="9"/>
      <c r="D13363" t="str">
        <f>"nlp-57"</f>
        <v>nlp-57</v>
      </c>
      <c r="E13363" t="s">
        <v>76</v>
      </c>
      <c r="F13363" t="s">
        <v>11</v>
      </c>
      <c r="G13363" t="s">
        <v>77</v>
      </c>
      <c r="H13363" s="12">
        <v>1.2322549196930499</v>
      </c>
      <c r="I13363" s="20">
        <v>0.61074205818064398</v>
      </c>
      <c r="J13363" s="28">
        <v>0.54137035772227504</v>
      </c>
      <c r="K13363" s="29">
        <v>0.98289565623980701</v>
      </c>
    </row>
    <row r="13364" spans="1:11" x14ac:dyDescent="0.35">
      <c r="A13364" s="9" t="str">
        <f>HYPERLINK("http://www.ensembl.org/id/WBGene00017236", "WBGene00017236")</f>
        <v>WBGene00017236</v>
      </c>
      <c r="B13364" s="9" t="str">
        <f>HYPERLINK("http://www.ncbi.nlm.nih.gov/gene/184172", "184172")</f>
        <v>184172</v>
      </c>
      <c r="C13364" s="9"/>
      <c r="D13364" t="str">
        <f>"nlp-60"</f>
        <v>nlp-60</v>
      </c>
      <c r="E13364" t="s">
        <v>76</v>
      </c>
      <c r="F13364" t="s">
        <v>11</v>
      </c>
      <c r="G13364" t="s">
        <v>183</v>
      </c>
      <c r="H13364" s="12">
        <v>2.5033750389847298</v>
      </c>
      <c r="I13364" s="20">
        <v>0.85648750854625999</v>
      </c>
      <c r="J13364" s="28">
        <v>0.39172817933662402</v>
      </c>
      <c r="K13364" s="29">
        <v>0.98289565623980701</v>
      </c>
    </row>
    <row r="13365" spans="1:11" x14ac:dyDescent="0.35">
      <c r="A13365" s="9" t="str">
        <f>HYPERLINK("http://www.ensembl.org/id/WBGene00044028", "WBGene00044028")</f>
        <v>WBGene00044028</v>
      </c>
      <c r="B13365" s="9" t="str">
        <f>HYPERLINK("http://www.ncbi.nlm.nih.gov/gene/3565890", "3565890")</f>
        <v>3565890</v>
      </c>
      <c r="C13365" s="9"/>
      <c r="D13365" t="str">
        <f>"nlp-63"</f>
        <v>nlp-63</v>
      </c>
      <c r="E13365" t="s">
        <v>76</v>
      </c>
      <c r="F13365" t="s">
        <v>11</v>
      </c>
      <c r="G13365" t="s">
        <v>77</v>
      </c>
      <c r="H13365" s="12">
        <v>1.286311561075</v>
      </c>
      <c r="I13365" s="20">
        <v>0.50160499854545504</v>
      </c>
      <c r="J13365" s="28">
        <v>0.61594540260460695</v>
      </c>
      <c r="K13365" s="29">
        <v>0.98289565623980701</v>
      </c>
    </row>
    <row r="13366" spans="1:11" x14ac:dyDescent="0.35">
      <c r="A13366" s="9" t="str">
        <f>HYPERLINK("http://www.ensembl.org/id/WBGene00019734", "WBGene00019734")</f>
        <v>WBGene00019734</v>
      </c>
      <c r="B13366" s="9" t="str">
        <f>HYPERLINK("http://www.ncbi.nlm.nih.gov/gene/180387", "180387")</f>
        <v>180387</v>
      </c>
      <c r="C13366" s="9"/>
      <c r="D13366" t="str">
        <f>"nlp-64"</f>
        <v>nlp-64</v>
      </c>
      <c r="E13366" t="s">
        <v>76</v>
      </c>
      <c r="F13366" t="s">
        <v>11</v>
      </c>
      <c r="G13366" t="s">
        <v>77</v>
      </c>
      <c r="H13366" s="12">
        <v>1.1956793746727199</v>
      </c>
      <c r="I13366" s="20">
        <v>0.72700785335927998</v>
      </c>
      <c r="J13366" s="28">
        <v>0.46722114485278199</v>
      </c>
      <c r="K13366" s="29">
        <v>0.98289565623980701</v>
      </c>
    </row>
    <row r="13367" spans="1:11" x14ac:dyDescent="0.35">
      <c r="A13367" s="9" t="str">
        <f>HYPERLINK("http://www.ensembl.org/id/WBGene00011899", "WBGene00011899")</f>
        <v>WBGene00011899</v>
      </c>
      <c r="B13367" s="9" t="str">
        <f>HYPERLINK("http://www.ncbi.nlm.nih.gov/gene/176474", "176474")</f>
        <v>176474</v>
      </c>
      <c r="C13367" s="9"/>
      <c r="D13367" t="str">
        <f>"nlp-68"</f>
        <v>nlp-68</v>
      </c>
      <c r="E13367" t="s">
        <v>5454</v>
      </c>
      <c r="F13367" t="s">
        <v>11</v>
      </c>
      <c r="H13367" s="12">
        <v>1.16259607729516</v>
      </c>
      <c r="I13367" s="20">
        <v>0.62128871208418002</v>
      </c>
      <c r="J13367" s="28">
        <v>0.534409679341176</v>
      </c>
      <c r="K13367" s="29">
        <v>0.98289565623980701</v>
      </c>
    </row>
    <row r="13368" spans="1:11" x14ac:dyDescent="0.35">
      <c r="A13368" s="9" t="str">
        <f>HYPERLINK("http://www.ensembl.org/id/WBGene00003745", "WBGene00003745")</f>
        <v>WBGene00003745</v>
      </c>
      <c r="B13368" s="9" t="str">
        <f>HYPERLINK("http://www.ncbi.nlm.nih.gov/gene/184647", "184647")</f>
        <v>184647</v>
      </c>
      <c r="C13368" s="9"/>
      <c r="D13368" t="str">
        <f>"nlp-7"</f>
        <v>nlp-7</v>
      </c>
      <c r="E13368" t="s">
        <v>5176</v>
      </c>
      <c r="F13368" t="s">
        <v>11</v>
      </c>
      <c r="H13368" s="12">
        <v>1.2224201748177099</v>
      </c>
      <c r="I13368" s="20">
        <v>1.0310570352670001</v>
      </c>
      <c r="J13368" s="28">
        <v>0.30251407423758703</v>
      </c>
      <c r="K13368" s="29">
        <v>0.98289565623980701</v>
      </c>
    </row>
    <row r="13369" spans="1:11" x14ac:dyDescent="0.35">
      <c r="A13369" s="9" t="str">
        <f>HYPERLINK("http://www.ensembl.org/id/WBGene00044513", "WBGene00044513")</f>
        <v>WBGene00044513</v>
      </c>
      <c r="B13369" s="9" t="str">
        <f>HYPERLINK("http://www.ncbi.nlm.nih.gov/gene/3896862", "3896862")</f>
        <v>3896862</v>
      </c>
      <c r="C13369" s="9"/>
      <c r="D13369" t="str">
        <f>"nlp-70"</f>
        <v>nlp-70</v>
      </c>
      <c r="E13369" t="s">
        <v>76</v>
      </c>
      <c r="F13369" t="s">
        <v>11</v>
      </c>
      <c r="G13369" t="s">
        <v>77</v>
      </c>
      <c r="H13369" s="12">
        <v>1.3850167859956799</v>
      </c>
      <c r="I13369" s="20">
        <v>1.17285246804731</v>
      </c>
      <c r="J13369" s="28">
        <v>0.240854973373965</v>
      </c>
      <c r="K13369" s="29">
        <v>0.98289565623980701</v>
      </c>
    </row>
    <row r="13370" spans="1:11" x14ac:dyDescent="0.35">
      <c r="A13370" s="9" t="str">
        <f>HYPERLINK("http://www.ensembl.org/id/WBGene00195143", "WBGene00195143")</f>
        <v>WBGene00195143</v>
      </c>
      <c r="B13370" s="9" t="str">
        <f>HYPERLINK("http://www.ncbi.nlm.nih.gov/gene/13186373", "13186373")</f>
        <v>13186373</v>
      </c>
      <c r="C13370" s="9"/>
      <c r="D13370" t="str">
        <f>"nlp-78"</f>
        <v>nlp-78</v>
      </c>
      <c r="E13370" t="s">
        <v>76</v>
      </c>
      <c r="F13370" t="s">
        <v>11</v>
      </c>
      <c r="G13370" t="s">
        <v>77</v>
      </c>
      <c r="H13370" s="12">
        <v>1.2082761937658</v>
      </c>
      <c r="I13370" s="20">
        <v>0.49431707510790601</v>
      </c>
      <c r="J13370" s="28">
        <v>0.62108226796091903</v>
      </c>
      <c r="K13370" s="29">
        <v>0.98289565623980701</v>
      </c>
    </row>
    <row r="13371" spans="1:11" x14ac:dyDescent="0.35">
      <c r="A13371" s="9" t="str">
        <f>HYPERLINK("http://www.ensembl.org/id/WBGene00008626", "WBGene00008626")</f>
        <v>WBGene00008626</v>
      </c>
      <c r="B13371" s="9" t="str">
        <f>HYPERLINK("http://www.ncbi.nlm.nih.gov/gene/3565694", "3565694")</f>
        <v>3565694</v>
      </c>
      <c r="C13371" s="9"/>
      <c r="D13371" t="str">
        <f>"nlp-79"</f>
        <v>nlp-79</v>
      </c>
      <c r="E13371" t="s">
        <v>76</v>
      </c>
      <c r="F13371" t="s">
        <v>11</v>
      </c>
      <c r="G13371" t="s">
        <v>77</v>
      </c>
      <c r="H13371" s="12">
        <v>1.1777592954718401</v>
      </c>
      <c r="I13371" s="20">
        <v>0.60901945041510397</v>
      </c>
      <c r="J13371" s="28">
        <v>0.54251154659278999</v>
      </c>
      <c r="K13371" s="29">
        <v>0.98289565623980701</v>
      </c>
    </row>
    <row r="13372" spans="1:11" x14ac:dyDescent="0.35">
      <c r="A13372" s="9" t="str">
        <f>HYPERLINK("http://www.ensembl.org/id/WBGene00003747", "WBGene00003747")</f>
        <v>WBGene00003747</v>
      </c>
      <c r="B13372" s="9" t="str">
        <f>HYPERLINK("http://www.ncbi.nlm.nih.gov/gene/178825", "178825")</f>
        <v>178825</v>
      </c>
      <c r="C13372" s="9"/>
      <c r="D13372" t="str">
        <f>"nlp-9"</f>
        <v>nlp-9</v>
      </c>
      <c r="E13372" t="s">
        <v>76</v>
      </c>
      <c r="F13372" t="s">
        <v>11</v>
      </c>
      <c r="G13372" t="s">
        <v>77</v>
      </c>
      <c r="H13372" s="12">
        <v>1.21138682565359</v>
      </c>
      <c r="I13372" s="20">
        <v>1.01974854413981</v>
      </c>
      <c r="J13372" s="28">
        <v>0.30784773247720998</v>
      </c>
      <c r="K13372" s="29">
        <v>0.98289565623980701</v>
      </c>
    </row>
    <row r="13373" spans="1:11" x14ac:dyDescent="0.35">
      <c r="A13373" s="9" t="str">
        <f>HYPERLINK("http://www.ensembl.org/id/WBGene00003773", "WBGene00003773")</f>
        <v>WBGene00003773</v>
      </c>
      <c r="B13373" s="9" t="str">
        <f>HYPERLINK("http://www.ncbi.nlm.nih.gov/gene/191734", "191734")</f>
        <v>191734</v>
      </c>
      <c r="C13373" s="9"/>
      <c r="D13373" t="str">
        <f>"nlt-1"</f>
        <v>nlt-1</v>
      </c>
      <c r="E13373" t="s">
        <v>8382</v>
      </c>
      <c r="F13373" t="s">
        <v>11</v>
      </c>
      <c r="H13373" s="12">
        <v>-1.1742785929358699</v>
      </c>
      <c r="I13373" s="20">
        <v>-0.82872683824956495</v>
      </c>
      <c r="J13373" s="28">
        <v>0.40725899553049799</v>
      </c>
      <c r="K13373" s="29">
        <v>0.98289565623980701</v>
      </c>
    </row>
    <row r="13374" spans="1:11" x14ac:dyDescent="0.35">
      <c r="A13374" s="9" t="str">
        <f>HYPERLINK("http://www.ensembl.org/id/WBGene00017304", "WBGene00017304")</f>
        <v>WBGene00017304</v>
      </c>
      <c r="B13374" s="9" t="str">
        <f>HYPERLINK("http://www.ncbi.nlm.nih.gov/gene/175765", "175765")</f>
        <v>175765</v>
      </c>
      <c r="C13374" s="9" t="str">
        <f>HYPERLINK("http://www.ncbi.nlm.nih.gov/gene/54784", "54784")</f>
        <v>54784</v>
      </c>
      <c r="D13374" t="str">
        <f>"nmad-1"</f>
        <v>nmad-1</v>
      </c>
      <c r="E13374" t="s">
        <v>8679</v>
      </c>
      <c r="F13374" t="s">
        <v>11</v>
      </c>
      <c r="G13374" t="s">
        <v>8680</v>
      </c>
      <c r="H13374" s="12">
        <v>-1.1903781801884801</v>
      </c>
      <c r="I13374" s="20">
        <v>-0.92097082090780302</v>
      </c>
      <c r="J13374" s="28">
        <v>0.35706566139231999</v>
      </c>
      <c r="K13374" s="29">
        <v>0.98289565623980701</v>
      </c>
    </row>
    <row r="13375" spans="1:11" x14ac:dyDescent="0.35">
      <c r="A13375" s="9" t="str">
        <f>HYPERLINK("http://www.ensembl.org/id/WBGene00012295", "WBGene00012295")</f>
        <v>WBGene00012295</v>
      </c>
      <c r="B13375" s="9" t="str">
        <f>HYPERLINK("http://www.ncbi.nlm.nih.gov/gene/189236", "189236")</f>
        <v>189236</v>
      </c>
      <c r="C13375" s="9"/>
      <c r="D13375" t="str">
        <f>"nmat-1"</f>
        <v>nmat-1</v>
      </c>
      <c r="E13375" t="s">
        <v>5388</v>
      </c>
      <c r="F13375" t="s">
        <v>11</v>
      </c>
      <c r="G13375" t="s">
        <v>5389</v>
      </c>
      <c r="H13375" s="12">
        <v>1.17643674795108</v>
      </c>
      <c r="I13375" s="20">
        <v>0.45181123348725799</v>
      </c>
      <c r="J13375" s="28">
        <v>0.65140497635970696</v>
      </c>
      <c r="K13375" s="29">
        <v>0.98289565623980701</v>
      </c>
    </row>
    <row r="13376" spans="1:11" x14ac:dyDescent="0.35">
      <c r="A13376" s="9" t="str">
        <f>HYPERLINK("http://www.ensembl.org/id/WBGene00003774", "WBGene00003774")</f>
        <v>WBGene00003774</v>
      </c>
      <c r="B13376" s="9" t="str">
        <f>HYPERLINK("http://www.ncbi.nlm.nih.gov/gene/173929", "173929")</f>
        <v>173929</v>
      </c>
      <c r="C13376" s="9" t="str">
        <f>HYPERLINK("http://www.ncbi.nlm.nih.gov/gene/2902", "2902")</f>
        <v>2902</v>
      </c>
      <c r="D13376" t="str">
        <f>"nmr-1"</f>
        <v>nmr-1</v>
      </c>
      <c r="E13376" t="s">
        <v>5086</v>
      </c>
      <c r="F13376" t="s">
        <v>11</v>
      </c>
      <c r="G13376" t="s">
        <v>5087</v>
      </c>
      <c r="H13376" s="12">
        <v>1.24347604582003</v>
      </c>
      <c r="I13376" s="20">
        <v>0.579884459251089</v>
      </c>
      <c r="J13376" s="28">
        <v>0.56199253645418601</v>
      </c>
      <c r="K13376" s="29">
        <v>0.98289565623980701</v>
      </c>
    </row>
    <row r="13377" spans="1:11" x14ac:dyDescent="0.35">
      <c r="A13377" s="9" t="str">
        <f>HYPERLINK("http://www.ensembl.org/id/WBGene00020549", "WBGene00020549")</f>
        <v>WBGene00020549</v>
      </c>
      <c r="B13377" s="9" t="str">
        <f>HYPERLINK("http://www.ncbi.nlm.nih.gov/gene/175861", "175861")</f>
        <v>175861</v>
      </c>
      <c r="C13377" s="9" t="str">
        <f>HYPERLINK("http://www.ncbi.nlm.nih.gov/gene/9397", "9397")</f>
        <v>9397</v>
      </c>
      <c r="D13377" t="str">
        <f>"nmt-1"</f>
        <v>nmt-1</v>
      </c>
      <c r="E13377" t="s">
        <v>8132</v>
      </c>
      <c r="F13377" t="s">
        <v>11</v>
      </c>
      <c r="G13377" t="s">
        <v>8133</v>
      </c>
      <c r="H13377" s="12">
        <v>-1.1617634492233699</v>
      </c>
      <c r="I13377" s="20">
        <v>-0.78840367300831005</v>
      </c>
      <c r="J13377" s="28">
        <v>0.43046062304821198</v>
      </c>
      <c r="K13377" s="29">
        <v>0.98289565623980701</v>
      </c>
    </row>
    <row r="13378" spans="1:11" x14ac:dyDescent="0.35">
      <c r="A13378" s="9" t="str">
        <f>HYPERLINK("http://www.ensembl.org/id/WBGene00019434", "WBGene00019434")</f>
        <v>WBGene00019434</v>
      </c>
      <c r="B13378" s="9" t="str">
        <f>HYPERLINK("http://www.ncbi.nlm.nih.gov/gene/172355", "172355")</f>
        <v>172355</v>
      </c>
      <c r="C13378" s="9" t="str">
        <f>HYPERLINK("http://www.ncbi.nlm.nih.gov/gene/22911", "22911")</f>
        <v>22911</v>
      </c>
      <c r="D13378" t="str">
        <f>"nmtn-1"</f>
        <v>nmtn-1</v>
      </c>
      <c r="E13378" t="s">
        <v>4883</v>
      </c>
      <c r="F13378" t="s">
        <v>11</v>
      </c>
      <c r="G13378" t="s">
        <v>54</v>
      </c>
      <c r="H13378" s="12">
        <v>1.3153496335279999</v>
      </c>
      <c r="I13378" s="20">
        <v>1.1268730147472801</v>
      </c>
      <c r="J13378" s="28">
        <v>0.25979617420074003</v>
      </c>
      <c r="K13378" s="29">
        <v>0.98289565623980701</v>
      </c>
    </row>
    <row r="13379" spans="1:11" x14ac:dyDescent="0.35">
      <c r="A13379" s="9" t="str">
        <f>HYPERLINK("http://www.ensembl.org/id/WBGene00019616", "WBGene00019616")</f>
        <v>WBGene00019616</v>
      </c>
      <c r="B13379" s="9" t="str">
        <f>HYPERLINK("http://www.ncbi.nlm.nih.gov/gene/173398", "173398")</f>
        <v>173398</v>
      </c>
      <c r="C13379" s="9"/>
      <c r="D13379" t="str">
        <f>"nmur-2"</f>
        <v>nmur-2</v>
      </c>
      <c r="E13379" t="s">
        <v>2798</v>
      </c>
      <c r="F13379" t="s">
        <v>11</v>
      </c>
      <c r="G13379" t="s">
        <v>9866</v>
      </c>
      <c r="H13379" s="12">
        <v>-1.3366968403041899</v>
      </c>
      <c r="I13379" s="20">
        <v>-0.48483116548942601</v>
      </c>
      <c r="J13379" s="28">
        <v>0.627796113460514</v>
      </c>
      <c r="K13379" s="29">
        <v>0.98289565623980701</v>
      </c>
    </row>
    <row r="13380" spans="1:11" x14ac:dyDescent="0.35">
      <c r="A13380" s="9" t="str">
        <f>HYPERLINK("http://www.ensembl.org/id/WBGene00009926", "WBGene00009926")</f>
        <v>WBGene00009926</v>
      </c>
      <c r="B13380" s="9" t="str">
        <f>HYPERLINK("http://www.ncbi.nlm.nih.gov/gene/178365", "178365")</f>
        <v>178365</v>
      </c>
      <c r="C13380" s="9"/>
      <c r="D13380" t="str">
        <f>"noah-2"</f>
        <v>noah-2</v>
      </c>
      <c r="E13380" t="s">
        <v>3085</v>
      </c>
      <c r="F13380" t="s">
        <v>11</v>
      </c>
      <c r="G13380" t="s">
        <v>3086</v>
      </c>
      <c r="H13380" s="12">
        <v>1.2382877086756101</v>
      </c>
      <c r="I13380" s="20">
        <v>1.0930837413573899</v>
      </c>
      <c r="J13380" s="28">
        <v>0.27435703382735899</v>
      </c>
      <c r="K13380" s="29">
        <v>0.98289565623980701</v>
      </c>
    </row>
    <row r="13381" spans="1:11" x14ac:dyDescent="0.35">
      <c r="A13381" s="9" t="str">
        <f>HYPERLINK("http://www.ensembl.org/id/WBGene00003779", "WBGene00003779")</f>
        <v>WBGene00003779</v>
      </c>
      <c r="B13381" s="9" t="str">
        <f>HYPERLINK("http://www.ncbi.nlm.nih.gov/gene/176641", "176641")</f>
        <v>176641</v>
      </c>
      <c r="C13381" s="9"/>
      <c r="D13381" t="str">
        <f>"nob-1"</f>
        <v>nob-1</v>
      </c>
      <c r="E13381" t="s">
        <v>7156</v>
      </c>
      <c r="F13381" t="s">
        <v>11</v>
      </c>
      <c r="G13381" t="s">
        <v>7157</v>
      </c>
      <c r="H13381" s="12">
        <v>-1.1104297392004101</v>
      </c>
      <c r="I13381" s="20">
        <v>-0.45052367846448199</v>
      </c>
      <c r="J13381" s="28">
        <v>0.65233288466915995</v>
      </c>
      <c r="K13381" s="29">
        <v>0.98289565623980701</v>
      </c>
    </row>
    <row r="13382" spans="1:11" x14ac:dyDescent="0.35">
      <c r="A13382" s="9" t="str">
        <f>HYPERLINK("http://www.ensembl.org/id/WBGene00011647", "WBGene00011647")</f>
        <v>WBGene00011647</v>
      </c>
      <c r="B13382" s="9" t="str">
        <f>HYPERLINK("http://www.ncbi.nlm.nih.gov/gene/3565610", "3565610")</f>
        <v>3565610</v>
      </c>
      <c r="C13382" s="9"/>
      <c r="D13382" t="str">
        <f>"noca-1"</f>
        <v>noca-1</v>
      </c>
      <c r="E13382" t="s">
        <v>6503</v>
      </c>
      <c r="F13382" t="s">
        <v>11</v>
      </c>
      <c r="H13382" s="12">
        <v>-1.0724854457744599</v>
      </c>
      <c r="I13382" s="20">
        <v>-0.375536837527151</v>
      </c>
      <c r="J13382" s="28">
        <v>0.70726125532040296</v>
      </c>
      <c r="K13382" s="29">
        <v>0.98289565623980701</v>
      </c>
    </row>
    <row r="13383" spans="1:11" x14ac:dyDescent="0.35">
      <c r="A13383" s="9" t="str">
        <f>HYPERLINK("http://www.ensembl.org/id/WBGene00020297", "WBGene00020297")</f>
        <v>WBGene00020297</v>
      </c>
      <c r="B13383" s="9" t="str">
        <f>HYPERLINK("http://www.ncbi.nlm.nih.gov/gene/176863", "176863")</f>
        <v>176863</v>
      </c>
      <c r="C13383" s="9" t="str">
        <f>HYPERLINK("http://www.ncbi.nlm.nih.gov/gene/23560", "23560")</f>
        <v>23560</v>
      </c>
      <c r="D13383" t="str">
        <f>"nog-1"</f>
        <v>nog-1</v>
      </c>
      <c r="E13383" t="s">
        <v>8776</v>
      </c>
      <c r="F13383" t="s">
        <v>11</v>
      </c>
      <c r="G13383" t="s">
        <v>8777</v>
      </c>
      <c r="H13383" s="12">
        <v>-1.1958415039550101</v>
      </c>
      <c r="I13383" s="20">
        <v>-0.95349780274156404</v>
      </c>
      <c r="J13383" s="28">
        <v>0.34033790893671001</v>
      </c>
      <c r="K13383" s="29">
        <v>0.98289565623980701</v>
      </c>
    </row>
    <row r="13384" spans="1:11" x14ac:dyDescent="0.35">
      <c r="A13384" s="9" t="str">
        <f>HYPERLINK("http://www.ensembl.org/id/WBGene00021660", "WBGene00021660")</f>
        <v>WBGene00021660</v>
      </c>
      <c r="B13384" s="9" t="str">
        <f>HYPERLINK("http://www.ncbi.nlm.nih.gov/gene/171622", "171622")</f>
        <v>171622</v>
      </c>
      <c r="C13384" s="9"/>
      <c r="D13384" t="str">
        <f>"nol-14"</f>
        <v>nol-14</v>
      </c>
      <c r="E13384" t="s">
        <v>3130</v>
      </c>
      <c r="F13384" t="s">
        <v>11</v>
      </c>
      <c r="G13384" t="s">
        <v>7206</v>
      </c>
      <c r="H13384" s="12">
        <v>-1.11362445949057</v>
      </c>
      <c r="I13384" s="20">
        <v>-0.47303698295118701</v>
      </c>
      <c r="J13384" s="28">
        <v>0.63618679426400504</v>
      </c>
      <c r="K13384" s="29">
        <v>0.98289565623980701</v>
      </c>
    </row>
    <row r="13385" spans="1:11" x14ac:dyDescent="0.35">
      <c r="A13385" s="9" t="str">
        <f>HYPERLINK("http://www.ensembl.org/id/WBGene00010627", "WBGene00010627")</f>
        <v>WBGene00010627</v>
      </c>
      <c r="B13385" s="9" t="str">
        <f>HYPERLINK("http://www.ncbi.nlm.nih.gov/gene/179442", "179442")</f>
        <v>179442</v>
      </c>
      <c r="C13385" s="9" t="str">
        <f>HYPERLINK("http://www.ncbi.nlm.nih.gov/gene/10528", "10528")</f>
        <v>10528</v>
      </c>
      <c r="D13385" t="str">
        <f>"nol-56"</f>
        <v>nol-56</v>
      </c>
      <c r="E13385" t="s">
        <v>8482</v>
      </c>
      <c r="F13385" t="s">
        <v>11</v>
      </c>
      <c r="H13385" s="12">
        <v>-1.17987142450959</v>
      </c>
      <c r="I13385" s="20">
        <v>-0.81156731634152202</v>
      </c>
      <c r="J13385" s="28">
        <v>0.41703995172518799</v>
      </c>
      <c r="K13385" s="29">
        <v>0.98289565623980701</v>
      </c>
    </row>
    <row r="13386" spans="1:11" x14ac:dyDescent="0.35">
      <c r="A13386" s="9" t="str">
        <f>HYPERLINK("http://www.ensembl.org/id/WBGene00020915", "WBGene00020915")</f>
        <v>WBGene00020915</v>
      </c>
      <c r="B13386" s="9" t="str">
        <f>HYPERLINK("http://www.ncbi.nlm.nih.gov/gene/171901", "171901")</f>
        <v>171901</v>
      </c>
      <c r="C13386" s="9" t="str">
        <f>HYPERLINK("http://www.ncbi.nlm.nih.gov/gene/51602", "51602")</f>
        <v>51602</v>
      </c>
      <c r="D13386" t="str">
        <f>"nol-58"</f>
        <v>nol-58</v>
      </c>
      <c r="E13386" t="s">
        <v>3130</v>
      </c>
      <c r="F13386" t="s">
        <v>11</v>
      </c>
      <c r="G13386" t="s">
        <v>8271</v>
      </c>
      <c r="H13386" s="12">
        <v>-1.16817301059704</v>
      </c>
      <c r="I13386" s="20">
        <v>-0.76552075528030405</v>
      </c>
      <c r="J13386" s="28">
        <v>0.44396151212183199</v>
      </c>
      <c r="K13386" s="29">
        <v>0.98289565623980701</v>
      </c>
    </row>
    <row r="13387" spans="1:11" x14ac:dyDescent="0.35">
      <c r="A13387" s="9" t="str">
        <f>HYPERLINK("http://www.ensembl.org/id/WBGene00021789", "WBGene00021789")</f>
        <v>WBGene00021789</v>
      </c>
      <c r="B13387" s="9" t="str">
        <f>HYPERLINK("http://www.ncbi.nlm.nih.gov/gene/173520", "173520")</f>
        <v>173520</v>
      </c>
      <c r="C13387" s="9"/>
      <c r="D13387" t="str">
        <f>"nol-6"</f>
        <v>nol-6</v>
      </c>
      <c r="E13387" t="s">
        <v>9476</v>
      </c>
      <c r="F13387" t="s">
        <v>11</v>
      </c>
      <c r="G13387" t="s">
        <v>9477</v>
      </c>
      <c r="H13387" s="12">
        <v>-1.24936226764619</v>
      </c>
      <c r="I13387" s="20">
        <v>-0.91739926951980899</v>
      </c>
      <c r="J13387" s="28">
        <v>0.358933455391862</v>
      </c>
      <c r="K13387" s="29">
        <v>0.98289565623980701</v>
      </c>
    </row>
    <row r="13388" spans="1:11" x14ac:dyDescent="0.35">
      <c r="A13388" s="9" t="str">
        <f>HYPERLINK("http://www.ensembl.org/id/WBGene00010709", "WBGene00010709")</f>
        <v>WBGene00010709</v>
      </c>
      <c r="B13388" s="9" t="str">
        <f>HYPERLINK("http://www.ncbi.nlm.nih.gov/gene/187190", "187190")</f>
        <v>187190</v>
      </c>
      <c r="C13388" s="9"/>
      <c r="D13388" t="str">
        <f>"nol-9"</f>
        <v>nol-9</v>
      </c>
      <c r="E13388" t="s">
        <v>9923</v>
      </c>
      <c r="F13388" t="s">
        <v>11</v>
      </c>
      <c r="H13388" s="12">
        <v>-1.3892823558323699</v>
      </c>
      <c r="I13388" s="20">
        <v>-1.2075843557355099</v>
      </c>
      <c r="J13388" s="28">
        <v>0.22720717974808799</v>
      </c>
      <c r="K13388" s="29">
        <v>0.98289565623980701</v>
      </c>
    </row>
    <row r="13389" spans="1:11" x14ac:dyDescent="0.35">
      <c r="A13389" s="9" t="str">
        <f>HYPERLINK("http://www.ensembl.org/id/WBGene00017778", "WBGene00017778")</f>
        <v>WBGene00017778</v>
      </c>
      <c r="B13389" s="9" t="str">
        <f>HYPERLINK("http://www.ncbi.nlm.nih.gov/gene/175844", "175844")</f>
        <v>175844</v>
      </c>
      <c r="C13389" s="9"/>
      <c r="D13389" t="str">
        <f>"nono-1"</f>
        <v>nono-1</v>
      </c>
      <c r="E13389" t="s">
        <v>5832</v>
      </c>
      <c r="F13389" t="s">
        <v>11</v>
      </c>
      <c r="G13389" t="s">
        <v>5833</v>
      </c>
      <c r="H13389" s="12">
        <v>1.09523244899617</v>
      </c>
      <c r="I13389" s="20">
        <v>0.471756559544452</v>
      </c>
      <c r="J13389" s="28">
        <v>0.63710056100150803</v>
      </c>
      <c r="K13389" s="29">
        <v>0.98289565623980701</v>
      </c>
    </row>
    <row r="13390" spans="1:11" x14ac:dyDescent="0.35">
      <c r="A13390" s="9" t="str">
        <f>HYPERLINK("http://www.ensembl.org/id/WBGene00017664", "WBGene00017664")</f>
        <v>WBGene00017664</v>
      </c>
      <c r="B13390" s="9" t="str">
        <f>HYPERLINK("http://www.ncbi.nlm.nih.gov/gene/184779", "184779")</f>
        <v>184779</v>
      </c>
      <c r="C13390" s="9"/>
      <c r="D13390" t="str">
        <f>"npax-1"</f>
        <v>npax-1</v>
      </c>
      <c r="E13390" t="s">
        <v>2170</v>
      </c>
      <c r="F13390" t="s">
        <v>11</v>
      </c>
      <c r="G13390" t="s">
        <v>2171</v>
      </c>
      <c r="H13390" s="12">
        <v>2.29586237166435</v>
      </c>
      <c r="I13390" s="20">
        <v>0.651549490332759</v>
      </c>
      <c r="J13390" s="28">
        <v>0.51469184077473495</v>
      </c>
      <c r="K13390" s="29">
        <v>0.98289565623980701</v>
      </c>
    </row>
    <row r="13391" spans="1:11" x14ac:dyDescent="0.35">
      <c r="A13391" s="9" t="str">
        <f>HYPERLINK("http://www.ensembl.org/id/WBGene00011257", "WBGene00011257")</f>
        <v>WBGene00011257</v>
      </c>
      <c r="B13391" s="9" t="str">
        <f>HYPERLINK("http://www.ncbi.nlm.nih.gov/gene/187848", "187848")</f>
        <v>187848</v>
      </c>
      <c r="C13391" s="9"/>
      <c r="D13391" t="str">
        <f>"npax-3"</f>
        <v>npax-3</v>
      </c>
      <c r="E13391" t="s">
        <v>2170</v>
      </c>
      <c r="F13391" t="s">
        <v>11</v>
      </c>
      <c r="G13391" t="s">
        <v>2171</v>
      </c>
      <c r="H13391" s="12">
        <v>1.5688448497076699</v>
      </c>
      <c r="I13391" s="20">
        <v>0.38712551970759002</v>
      </c>
      <c r="J13391" s="28">
        <v>0.69866328574787395</v>
      </c>
      <c r="K13391" s="29">
        <v>0.98289565623980701</v>
      </c>
    </row>
    <row r="13392" spans="1:11" x14ac:dyDescent="0.35">
      <c r="A13392" s="9" t="str">
        <f>HYPERLINK("http://www.ensembl.org/id/WBGene00007496", "WBGene00007496")</f>
        <v>WBGene00007496</v>
      </c>
      <c r="B13392" s="9" t="str">
        <f>HYPERLINK("http://www.ncbi.nlm.nih.gov/gene/182466", "182466")</f>
        <v>182466</v>
      </c>
      <c r="C13392" s="9"/>
      <c r="D13392" t="str">
        <f>"npax-4"</f>
        <v>npax-4</v>
      </c>
      <c r="E13392" t="s">
        <v>2170</v>
      </c>
      <c r="F13392" t="s">
        <v>11</v>
      </c>
      <c r="G13392" t="s">
        <v>2171</v>
      </c>
      <c r="H13392" s="12">
        <v>-1.48521639040557</v>
      </c>
      <c r="I13392" s="20">
        <v>-0.48466131449622502</v>
      </c>
      <c r="J13392" s="28">
        <v>0.62791661237324903</v>
      </c>
      <c r="K13392" s="29">
        <v>0.98289565623980701</v>
      </c>
    </row>
    <row r="13393" spans="1:11" x14ac:dyDescent="0.35">
      <c r="A13393" s="9" t="str">
        <f>HYPERLINK("http://www.ensembl.org/id/WBGene00010898", "WBGene00010898")</f>
        <v>WBGene00010898</v>
      </c>
      <c r="B13393" s="9" t="str">
        <f>HYPERLINK("http://www.ncbi.nlm.nih.gov/gene/174643", "174643")</f>
        <v>174643</v>
      </c>
      <c r="C13393" s="9"/>
      <c r="D13393" t="str">
        <f>"nphp-1"</f>
        <v>nphp-1</v>
      </c>
      <c r="E13393" t="s">
        <v>4902</v>
      </c>
      <c r="F13393" t="s">
        <v>11</v>
      </c>
      <c r="G13393" t="s">
        <v>54</v>
      </c>
      <c r="H13393" s="12">
        <v>1.30963489770812</v>
      </c>
      <c r="I13393" s="20">
        <v>0.56510143831676696</v>
      </c>
      <c r="J13393" s="28">
        <v>0.57200477025982999</v>
      </c>
      <c r="K13393" s="29">
        <v>0.98289565623980701</v>
      </c>
    </row>
    <row r="13394" spans="1:11" x14ac:dyDescent="0.35">
      <c r="A13394" s="9" t="str">
        <f>HYPERLINK("http://www.ensembl.org/id/WBGene00021304", "WBGene00021304")</f>
        <v>WBGene00021304</v>
      </c>
      <c r="B13394" s="9" t="str">
        <f>HYPERLINK("http://www.ncbi.nlm.nih.gov/gene/178671", "178671")</f>
        <v>178671</v>
      </c>
      <c r="C13394" s="9"/>
      <c r="D13394" t="str">
        <f>"nphp-2"</f>
        <v>nphp-2</v>
      </c>
      <c r="E13394" t="s">
        <v>4616</v>
      </c>
      <c r="F13394" t="s">
        <v>11</v>
      </c>
      <c r="G13394" t="s">
        <v>4617</v>
      </c>
      <c r="H13394" s="12">
        <v>1.59911507083885</v>
      </c>
      <c r="I13394" s="20">
        <v>1.10540092565819</v>
      </c>
      <c r="J13394" s="28">
        <v>0.26898590285695001</v>
      </c>
      <c r="K13394" s="29">
        <v>0.98289565623980701</v>
      </c>
    </row>
    <row r="13395" spans="1:11" x14ac:dyDescent="0.35">
      <c r="A13395" s="9" t="str">
        <f>HYPERLINK("http://www.ensembl.org/id/WBGene00011261", "WBGene00011261")</f>
        <v>WBGene00011261</v>
      </c>
      <c r="B13395" s="9" t="str">
        <f>HYPERLINK("http://www.ncbi.nlm.nih.gov/gene/179620", "179620")</f>
        <v>179620</v>
      </c>
      <c r="C13395" s="9" t="str">
        <f>HYPERLINK("http://www.ncbi.nlm.nih.gov/gene/261734", "261734")</f>
        <v>261734</v>
      </c>
      <c r="D13395" t="str">
        <f>"nphp-4"</f>
        <v>nphp-4</v>
      </c>
      <c r="E13395" t="s">
        <v>5133</v>
      </c>
      <c r="F13395" t="s">
        <v>11</v>
      </c>
      <c r="G13395" t="s">
        <v>5134</v>
      </c>
      <c r="H13395" s="12">
        <v>1.2331824535467599</v>
      </c>
      <c r="I13395" s="20">
        <v>0.79812894901925302</v>
      </c>
      <c r="J13395" s="28">
        <v>0.42479566359546</v>
      </c>
      <c r="K13395" s="29">
        <v>0.98289565623980701</v>
      </c>
    </row>
    <row r="13396" spans="1:11" x14ac:dyDescent="0.35">
      <c r="A13396" s="9" t="str">
        <f>HYPERLINK("http://www.ensembl.org/id/WBGene00019120", "WBGene00019120")</f>
        <v>WBGene00019120</v>
      </c>
      <c r="B13396" s="9" t="str">
        <f>HYPERLINK("http://www.ncbi.nlm.nih.gov/gene/173952", "173952")</f>
        <v>173952</v>
      </c>
      <c r="C13396" s="9" t="str">
        <f>HYPERLINK("http://www.ncbi.nlm.nih.gov/gene/55666", "55666")</f>
        <v>55666</v>
      </c>
      <c r="D13396" t="str">
        <f>"npl-4.1"</f>
        <v>npl-4.1</v>
      </c>
      <c r="E13396" t="s">
        <v>9892</v>
      </c>
      <c r="F13396" t="s">
        <v>11</v>
      </c>
      <c r="G13396" t="s">
        <v>4847</v>
      </c>
      <c r="H13396" s="12">
        <v>-1.35303197885361</v>
      </c>
      <c r="I13396" s="20">
        <v>-1.1486690268600801</v>
      </c>
      <c r="J13396" s="28">
        <v>0.25069248214682499</v>
      </c>
      <c r="K13396" s="29">
        <v>0.98289565623980701</v>
      </c>
    </row>
    <row r="13397" spans="1:11" x14ac:dyDescent="0.35">
      <c r="A13397" s="9" t="str">
        <f>HYPERLINK("http://www.ensembl.org/id/WBGene00019121", "WBGene00019121")</f>
        <v>WBGene00019121</v>
      </c>
      <c r="B13397" s="9" t="str">
        <f>HYPERLINK("http://www.ncbi.nlm.nih.gov/gene/3565577", "3565577")</f>
        <v>3565577</v>
      </c>
      <c r="C13397" s="9" t="str">
        <f>HYPERLINK("http://www.ncbi.nlm.nih.gov/gene/55666", "55666")</f>
        <v>55666</v>
      </c>
      <c r="D13397" t="str">
        <f>"npl-4.2"</f>
        <v>npl-4.2</v>
      </c>
      <c r="E13397" t="s">
        <v>8513</v>
      </c>
      <c r="F13397" t="s">
        <v>11</v>
      </c>
      <c r="G13397" t="s">
        <v>4847</v>
      </c>
      <c r="H13397" s="12">
        <v>-1.1815950792963501</v>
      </c>
      <c r="I13397" s="20">
        <v>-0.74985085295569698</v>
      </c>
      <c r="J13397" s="28">
        <v>0.45334453729352597</v>
      </c>
      <c r="K13397" s="29">
        <v>0.98289565623980701</v>
      </c>
    </row>
    <row r="13398" spans="1:11" x14ac:dyDescent="0.35">
      <c r="A13398" s="9" t="str">
        <f>HYPERLINK("http://www.ensembl.org/id/WBGene00003787", "WBGene00003787")</f>
        <v>WBGene00003787</v>
      </c>
      <c r="B13398" s="9" t="str">
        <f>HYPERLINK("http://www.ncbi.nlm.nih.gov/gene/177836", "177836")</f>
        <v>177836</v>
      </c>
      <c r="C13398" s="9"/>
      <c r="D13398" t="str">
        <f>"npp-1"</f>
        <v>npp-1</v>
      </c>
      <c r="E13398" t="s">
        <v>375</v>
      </c>
      <c r="F13398" t="s">
        <v>11</v>
      </c>
      <c r="G13398" t="s">
        <v>9327</v>
      </c>
      <c r="H13398" s="12">
        <v>-1.2386697734510299</v>
      </c>
      <c r="I13398" s="20">
        <v>-0.92509851754399397</v>
      </c>
      <c r="J13398" s="28">
        <v>0.35491466412863798</v>
      </c>
      <c r="K13398" s="29">
        <v>0.98289565623980701</v>
      </c>
    </row>
    <row r="13399" spans="1:11" x14ac:dyDescent="0.35">
      <c r="A13399" s="9" t="str">
        <f>HYPERLINK("http://www.ensembl.org/id/WBGene00003796", "WBGene00003796")</f>
        <v>WBGene00003796</v>
      </c>
      <c r="B13399" s="9" t="str">
        <f>HYPERLINK("http://www.ncbi.nlm.nih.gov/gene/175852", "175852")</f>
        <v>175852</v>
      </c>
      <c r="C13399" s="9"/>
      <c r="D13399" t="str">
        <f>"npp-10"</f>
        <v>npp-10</v>
      </c>
      <c r="E13399" t="s">
        <v>7682</v>
      </c>
      <c r="F13399" t="s">
        <v>11</v>
      </c>
      <c r="G13399" t="s">
        <v>7683</v>
      </c>
      <c r="H13399" s="12">
        <v>-1.1391616933758</v>
      </c>
      <c r="I13399" s="20">
        <v>-0.67110618373436204</v>
      </c>
      <c r="J13399" s="28">
        <v>0.50215288790716694</v>
      </c>
      <c r="K13399" s="29">
        <v>0.98289565623980701</v>
      </c>
    </row>
    <row r="13400" spans="1:11" x14ac:dyDescent="0.35">
      <c r="A13400" s="9" t="str">
        <f>HYPERLINK("http://www.ensembl.org/id/WBGene00003799", "WBGene00003799")</f>
        <v>WBGene00003799</v>
      </c>
      <c r="B13400" s="9" t="str">
        <f>HYPERLINK("http://www.ncbi.nlm.nih.gov/gene/171774", "171774")</f>
        <v>171774</v>
      </c>
      <c r="C13400" s="9" t="str">
        <f>HYPERLINK("http://www.ncbi.nlm.nih.gov/gene/9688", "9688")</f>
        <v>9688</v>
      </c>
      <c r="D13400" t="str">
        <f>"npp-13"</f>
        <v>npp-13</v>
      </c>
      <c r="E13400" t="s">
        <v>9070</v>
      </c>
      <c r="F13400" t="s">
        <v>11</v>
      </c>
      <c r="G13400" t="s">
        <v>9071</v>
      </c>
      <c r="H13400" s="12">
        <v>-1.21849982770423</v>
      </c>
      <c r="I13400" s="20">
        <v>-0.96798771405934503</v>
      </c>
      <c r="J13400" s="28">
        <v>0.33305050560892802</v>
      </c>
      <c r="K13400" s="29">
        <v>0.98289565623980701</v>
      </c>
    </row>
    <row r="13401" spans="1:11" x14ac:dyDescent="0.35">
      <c r="A13401" s="9" t="str">
        <f>HYPERLINK("http://www.ensembl.org/id/WBGene00019940", "WBGene00019940")</f>
        <v>WBGene00019940</v>
      </c>
      <c r="B13401" s="9" t="str">
        <f>HYPERLINK("http://www.ncbi.nlm.nih.gov/gene/174232", "174232")</f>
        <v>174232</v>
      </c>
      <c r="C13401" s="9"/>
      <c r="D13401" t="str">
        <f>"npp-21"</f>
        <v>npp-21</v>
      </c>
      <c r="E13401" t="s">
        <v>375</v>
      </c>
      <c r="F13401" t="s">
        <v>11</v>
      </c>
      <c r="G13401" t="s">
        <v>8759</v>
      </c>
      <c r="H13401" s="12">
        <v>-1.1946894260328</v>
      </c>
      <c r="I13401" s="20">
        <v>-0.89335530880242597</v>
      </c>
      <c r="J13401" s="28">
        <v>0.37166692765734299</v>
      </c>
      <c r="K13401" s="29">
        <v>0.98289565623980701</v>
      </c>
    </row>
    <row r="13402" spans="1:11" x14ac:dyDescent="0.35">
      <c r="A13402" s="9" t="str">
        <f>HYPERLINK("http://www.ensembl.org/id/WBGene00007493", "WBGene00007493")</f>
        <v>WBGene00007493</v>
      </c>
      <c r="B13402" s="9" t="str">
        <f>HYPERLINK("http://www.ncbi.nlm.nih.gov/gene/182462", "182462")</f>
        <v>182462</v>
      </c>
      <c r="C13402" s="9"/>
      <c r="D13402" t="str">
        <f>"npp-23"</f>
        <v>npp-23</v>
      </c>
      <c r="E13402" t="s">
        <v>375</v>
      </c>
      <c r="F13402" t="s">
        <v>11</v>
      </c>
      <c r="G13402" t="s">
        <v>9768</v>
      </c>
      <c r="H13402" s="12">
        <v>-1.29870251524254</v>
      </c>
      <c r="I13402" s="20">
        <v>-1.2022654676589</v>
      </c>
      <c r="J13402" s="28">
        <v>0.22926069161221599</v>
      </c>
      <c r="K13402" s="29">
        <v>0.98289565623980701</v>
      </c>
    </row>
    <row r="13403" spans="1:11" x14ac:dyDescent="0.35">
      <c r="A13403" s="9" t="str">
        <f>HYPERLINK("http://www.ensembl.org/id/WBGene00022672", "WBGene00022672")</f>
        <v>WBGene00022672</v>
      </c>
      <c r="B13403" s="9" t="str">
        <f>HYPERLINK("http://www.ncbi.nlm.nih.gov/gene/3564830", "3564830")</f>
        <v>3564830</v>
      </c>
      <c r="C13403" s="9"/>
      <c r="D13403" t="str">
        <f>"npp-24"</f>
        <v>npp-24</v>
      </c>
      <c r="F13403" t="s">
        <v>11</v>
      </c>
      <c r="H13403" s="12">
        <v>-1.25378536419458</v>
      </c>
      <c r="I13403" s="20">
        <v>-1.0584079323753399</v>
      </c>
      <c r="J13403" s="28">
        <v>0.28986950459658001</v>
      </c>
      <c r="K13403" s="29">
        <v>0.98289565623980701</v>
      </c>
    </row>
    <row r="13404" spans="1:11" x14ac:dyDescent="0.35">
      <c r="A13404" s="9" t="str">
        <f>HYPERLINK("http://www.ensembl.org/id/WBGene00003789", "WBGene00003789")</f>
        <v>WBGene00003789</v>
      </c>
      <c r="B13404" s="9" t="str">
        <f>HYPERLINK("http://www.ncbi.nlm.nih.gov/gene/174823", "174823")</f>
        <v>174823</v>
      </c>
      <c r="C13404" s="9"/>
      <c r="D13404" t="str">
        <f>"npp-3"</f>
        <v>npp-3</v>
      </c>
      <c r="E13404" t="s">
        <v>375</v>
      </c>
      <c r="F13404" t="s">
        <v>11</v>
      </c>
      <c r="G13404" t="s">
        <v>9123</v>
      </c>
      <c r="H13404" s="12">
        <v>-1.2224429529329499</v>
      </c>
      <c r="I13404" s="20">
        <v>-0.95123413186567496</v>
      </c>
      <c r="J13404" s="28">
        <v>0.34148553548268901</v>
      </c>
      <c r="K13404" s="29">
        <v>0.98289565623980701</v>
      </c>
    </row>
    <row r="13405" spans="1:11" x14ac:dyDescent="0.35">
      <c r="A13405" s="9" t="str">
        <f>HYPERLINK("http://www.ensembl.org/id/WBGene00003790", "WBGene00003790")</f>
        <v>WBGene00003790</v>
      </c>
      <c r="B13405" s="9" t="str">
        <f>HYPERLINK("http://www.ncbi.nlm.nih.gov/gene/173329", "173329")</f>
        <v>173329</v>
      </c>
      <c r="C13405" s="9"/>
      <c r="D13405" t="str">
        <f>"npp-4"</f>
        <v>npp-4</v>
      </c>
      <c r="E13405" t="s">
        <v>375</v>
      </c>
      <c r="F13405" t="s">
        <v>11</v>
      </c>
      <c r="G13405" t="s">
        <v>7884</v>
      </c>
      <c r="H13405" s="12">
        <v>-1.1496501260735099</v>
      </c>
      <c r="I13405" s="20">
        <v>-0.66245624377176804</v>
      </c>
      <c r="J13405" s="28">
        <v>0.50767886843371002</v>
      </c>
      <c r="K13405" s="29">
        <v>0.98289565623980701</v>
      </c>
    </row>
    <row r="13406" spans="1:11" x14ac:dyDescent="0.35">
      <c r="A13406" s="9" t="str">
        <f>HYPERLINK("http://www.ensembl.org/id/WBGene00003794", "WBGene00003794")</f>
        <v>WBGene00003794</v>
      </c>
      <c r="B13406" s="9" t="str">
        <f>HYPERLINK("http://www.ncbi.nlm.nih.gov/gene/176966", "176966")</f>
        <v>176966</v>
      </c>
      <c r="C13406" s="9" t="str">
        <f>HYPERLINK("http://www.ncbi.nlm.nih.gov/gene/9631", "9631")</f>
        <v>9631</v>
      </c>
      <c r="D13406" t="str">
        <f>"npp-8"</f>
        <v>npp-8</v>
      </c>
      <c r="E13406" t="s">
        <v>375</v>
      </c>
      <c r="F13406" t="s">
        <v>11</v>
      </c>
      <c r="G13406" t="s">
        <v>9684</v>
      </c>
      <c r="H13406" s="12">
        <v>-1.27993115245041</v>
      </c>
      <c r="I13406" s="20">
        <v>-1.1913179836244701</v>
      </c>
      <c r="J13406" s="28">
        <v>0.23352877661764501</v>
      </c>
      <c r="K13406" s="29">
        <v>0.98289565623980701</v>
      </c>
    </row>
    <row r="13407" spans="1:11" x14ac:dyDescent="0.35">
      <c r="A13407" s="9" t="str">
        <f>HYPERLINK("http://www.ensembl.org/id/WBGene00016110", "WBGene00016110")</f>
        <v>WBGene00016110</v>
      </c>
      <c r="B13407" s="9" t="str">
        <f>HYPERLINK("http://www.ncbi.nlm.nih.gov/gene/182921", "182921")</f>
        <v>182921</v>
      </c>
      <c r="C13407" s="9" t="str">
        <f>HYPERLINK("http://www.ncbi.nlm.nih.gov/gene/5540,100996758", "5540,100996758")</f>
        <v>5540,100996758</v>
      </c>
      <c r="D13407" t="str">
        <f>"npr-11"</f>
        <v>npr-11</v>
      </c>
      <c r="E13407" t="s">
        <v>5011</v>
      </c>
      <c r="F13407" t="s">
        <v>11</v>
      </c>
      <c r="G13407" t="s">
        <v>5012</v>
      </c>
      <c r="H13407" s="12">
        <v>1.2625059546541</v>
      </c>
      <c r="I13407" s="20">
        <v>0.67329321536707198</v>
      </c>
      <c r="J13407" s="28">
        <v>0.50076076824051796</v>
      </c>
      <c r="K13407" s="29">
        <v>0.98289565623980701</v>
      </c>
    </row>
    <row r="13408" spans="1:11" x14ac:dyDescent="0.35">
      <c r="A13408" s="9" t="str">
        <f>HYPERLINK("http://www.ensembl.org/id/WBGene00020689", "WBGene00020689")</f>
        <v>WBGene00020689</v>
      </c>
      <c r="B13408" s="9" t="str">
        <f>HYPERLINK("http://www.ncbi.nlm.nih.gov/gene/188742", "188742")</f>
        <v>188742</v>
      </c>
      <c r="C13408" s="9" t="str">
        <f>HYPERLINK("http://www.ncbi.nlm.nih.gov/gene/5540,100996758", "5540,100996758")</f>
        <v>5540,100996758</v>
      </c>
      <c r="D13408" t="str">
        <f>"npr-12"</f>
        <v>npr-12</v>
      </c>
      <c r="E13408" t="s">
        <v>1021</v>
      </c>
      <c r="F13408" t="s">
        <v>11</v>
      </c>
      <c r="G13408" t="s">
        <v>2585</v>
      </c>
      <c r="H13408" s="12">
        <v>1.3503232687614899</v>
      </c>
      <c r="I13408" s="20">
        <v>1.03608268814641</v>
      </c>
      <c r="J13408" s="28">
        <v>0.30016356791483401</v>
      </c>
      <c r="K13408" s="29">
        <v>0.98289565623980701</v>
      </c>
    </row>
    <row r="13409" spans="1:11" x14ac:dyDescent="0.35">
      <c r="A13409" s="9" t="str">
        <f>HYPERLINK("http://www.ensembl.org/id/WBGene00013883", "WBGene00013883")</f>
        <v>WBGene00013883</v>
      </c>
      <c r="B13409" s="9" t="str">
        <f>HYPERLINK("http://www.ncbi.nlm.nih.gov/gene/191160", "191160")</f>
        <v>191160</v>
      </c>
      <c r="C13409" s="9"/>
      <c r="D13409" t="str">
        <f>"npr-13"</f>
        <v>npr-13</v>
      </c>
      <c r="E13409" t="s">
        <v>1021</v>
      </c>
      <c r="F13409" t="s">
        <v>11</v>
      </c>
      <c r="G13409" t="s">
        <v>1259</v>
      </c>
      <c r="H13409" s="12">
        <v>1.5774209034744899</v>
      </c>
      <c r="I13409" s="20">
        <v>1.03224214749064</v>
      </c>
      <c r="J13409" s="28">
        <v>0.30195869512627099</v>
      </c>
      <c r="K13409" s="29">
        <v>0.98289565623980701</v>
      </c>
    </row>
    <row r="13410" spans="1:11" x14ac:dyDescent="0.35">
      <c r="A13410" s="9" t="str">
        <f>HYPERLINK("http://www.ensembl.org/id/WBGene00012275", "WBGene00012275")</f>
        <v>WBGene00012275</v>
      </c>
      <c r="B13410" s="9" t="str">
        <f>HYPERLINK("http://www.ncbi.nlm.nih.gov/gene/189211", "189211")</f>
        <v>189211</v>
      </c>
      <c r="C13410" s="9"/>
      <c r="D13410" t="str">
        <f>"npr-14"</f>
        <v>npr-14</v>
      </c>
      <c r="E13410" t="s">
        <v>1021</v>
      </c>
      <c r="F13410" t="s">
        <v>11</v>
      </c>
      <c r="G13410" t="s">
        <v>5696</v>
      </c>
      <c r="H13410" s="12">
        <v>1.1217707274808999</v>
      </c>
      <c r="I13410" s="20">
        <v>0.345166349108397</v>
      </c>
      <c r="J13410" s="28">
        <v>0.72996931542524601</v>
      </c>
      <c r="K13410" s="29">
        <v>0.98289565623980701</v>
      </c>
    </row>
    <row r="13411" spans="1:11" x14ac:dyDescent="0.35">
      <c r="A13411" s="9" t="str">
        <f>HYPERLINK("http://www.ensembl.org/id/WBGene00015559", "WBGene00015559")</f>
        <v>WBGene00015559</v>
      </c>
      <c r="B13411" s="9" t="str">
        <f>HYPERLINK("http://www.ncbi.nlm.nih.gov/gene/176124", "176124")</f>
        <v>176124</v>
      </c>
      <c r="C13411" s="9"/>
      <c r="D13411" t="str">
        <f>"npr-17"</f>
        <v>npr-17</v>
      </c>
      <c r="E13411" t="s">
        <v>4828</v>
      </c>
      <c r="F13411" t="s">
        <v>11</v>
      </c>
      <c r="G13411" t="s">
        <v>4829</v>
      </c>
      <c r="H13411" s="12">
        <v>1.3457443881448901</v>
      </c>
      <c r="I13411" s="20">
        <v>0.796207576331874</v>
      </c>
      <c r="J13411" s="28">
        <v>0.42591139464927402</v>
      </c>
      <c r="K13411" s="29">
        <v>0.98289565623980701</v>
      </c>
    </row>
    <row r="13412" spans="1:11" x14ac:dyDescent="0.35">
      <c r="A13412" s="9" t="str">
        <f>HYPERLINK("http://www.ensembl.org/id/WBGene00008065", "WBGene00008065")</f>
        <v>WBGene00008065</v>
      </c>
      <c r="B13412" s="9" t="str">
        <f>HYPERLINK("http://www.ncbi.nlm.nih.gov/gene/183408", "183408")</f>
        <v>183408</v>
      </c>
      <c r="C13412" s="9"/>
      <c r="D13412" t="str">
        <f>"npr-18"</f>
        <v>npr-18</v>
      </c>
      <c r="E13412" t="s">
        <v>4625</v>
      </c>
      <c r="F13412" t="s">
        <v>11</v>
      </c>
      <c r="G13412" t="s">
        <v>4626</v>
      </c>
      <c r="H13412" s="12">
        <v>1.5806121425441599</v>
      </c>
      <c r="I13412" s="20">
        <v>1.1202839055910301</v>
      </c>
      <c r="J13412" s="28">
        <v>0.26259279827570398</v>
      </c>
      <c r="K13412" s="29">
        <v>0.98289565623980701</v>
      </c>
    </row>
    <row r="13413" spans="1:11" x14ac:dyDescent="0.35">
      <c r="A13413" s="9" t="str">
        <f>HYPERLINK("http://www.ensembl.org/id/WBGene00015364", "WBGene00015364")</f>
        <v>WBGene00015364</v>
      </c>
      <c r="B13413" s="9" t="str">
        <f>HYPERLINK("http://www.ncbi.nlm.nih.gov/gene/182130", "182130")</f>
        <v>182130</v>
      </c>
      <c r="C13413" s="9"/>
      <c r="D13413" t="str">
        <f>"npr-19"</f>
        <v>npr-19</v>
      </c>
      <c r="E13413" t="s">
        <v>1021</v>
      </c>
      <c r="F13413" t="s">
        <v>11</v>
      </c>
      <c r="G13413" t="s">
        <v>1089</v>
      </c>
      <c r="H13413" s="12">
        <v>1.5568134566433101</v>
      </c>
      <c r="I13413" s="20">
        <v>0.91857410582028298</v>
      </c>
      <c r="J13413" s="28">
        <v>0.35831838116348802</v>
      </c>
      <c r="K13413" s="29">
        <v>0.98289565623980701</v>
      </c>
    </row>
    <row r="13414" spans="1:11" x14ac:dyDescent="0.35">
      <c r="A13414" s="9" t="str">
        <f>HYPERLINK("http://www.ensembl.org/id/WBGene00011578", "WBGene00011578")</f>
        <v>WBGene00011578</v>
      </c>
      <c r="B13414" s="9" t="str">
        <f>HYPERLINK("http://www.ncbi.nlm.nih.gov/gene/188226", "188226")</f>
        <v>188226</v>
      </c>
      <c r="C13414" s="9"/>
      <c r="D13414" t="str">
        <f>"npr-20"</f>
        <v>npr-20</v>
      </c>
      <c r="E13414" t="s">
        <v>1021</v>
      </c>
      <c r="F13414" t="s">
        <v>11</v>
      </c>
      <c r="G13414" t="s">
        <v>1089</v>
      </c>
      <c r="H13414" s="12">
        <v>1.5250059989979601</v>
      </c>
      <c r="I13414" s="20">
        <v>1.18636167835497</v>
      </c>
      <c r="J13414" s="28">
        <v>0.23547949860966</v>
      </c>
      <c r="K13414" s="29">
        <v>0.98289565623980701</v>
      </c>
    </row>
    <row r="13415" spans="1:11" x14ac:dyDescent="0.35">
      <c r="A13415" s="9" t="str">
        <f>HYPERLINK("http://www.ensembl.org/id/WBGene00021328", "WBGene00021328")</f>
        <v>WBGene00021328</v>
      </c>
      <c r="B13415" s="9" t="str">
        <f>HYPERLINK("http://www.ncbi.nlm.nih.gov/gene/189587", "189587")</f>
        <v>189587</v>
      </c>
      <c r="C13415" s="9"/>
      <c r="D13415" t="str">
        <f>"npr-23"</f>
        <v>npr-23</v>
      </c>
      <c r="E13415" t="s">
        <v>1021</v>
      </c>
      <c r="F13415" t="s">
        <v>11</v>
      </c>
      <c r="G13415" t="s">
        <v>1022</v>
      </c>
      <c r="H13415" s="12">
        <v>-1.0819668752614</v>
      </c>
      <c r="I13415" s="20">
        <v>-0.297491349450624</v>
      </c>
      <c r="J13415" s="28">
        <v>0.76609141135964598</v>
      </c>
      <c r="K13415" s="29">
        <v>0.98289565623980701</v>
      </c>
    </row>
    <row r="13416" spans="1:11" x14ac:dyDescent="0.35">
      <c r="A13416" s="9" t="str">
        <f>HYPERLINK("http://www.ensembl.org/id/WBGene00020086", "WBGene00020086")</f>
        <v>WBGene00020086</v>
      </c>
      <c r="B13416" s="9" t="str">
        <f>HYPERLINK("http://www.ncbi.nlm.nih.gov/gene/187897", "187897")</f>
        <v>187897</v>
      </c>
      <c r="C13416" s="9" t="str">
        <f>HYPERLINK("http://www.ncbi.nlm.nih.gov/gene/6752", "6752")</f>
        <v>6752</v>
      </c>
      <c r="D13416" t="str">
        <f>"npr-24"</f>
        <v>npr-24</v>
      </c>
      <c r="E13416" t="s">
        <v>1021</v>
      </c>
      <c r="F13416" t="s">
        <v>11</v>
      </c>
      <c r="G13416" t="s">
        <v>4136</v>
      </c>
      <c r="H13416" s="12">
        <v>1.29745846260315</v>
      </c>
      <c r="I13416" s="20">
        <v>0.79458849717485902</v>
      </c>
      <c r="J13416" s="28">
        <v>0.42685291167713102</v>
      </c>
      <c r="K13416" s="29">
        <v>0.98289565623980701</v>
      </c>
    </row>
    <row r="13417" spans="1:11" x14ac:dyDescent="0.35">
      <c r="A13417" s="9" t="str">
        <f>HYPERLINK("http://www.ensembl.org/id/WBGene00011381", "WBGene00011381")</f>
        <v>WBGene00011381</v>
      </c>
      <c r="B13417" s="9" t="str">
        <f>HYPERLINK("http://www.ncbi.nlm.nih.gov/gene/179570", "179570")</f>
        <v>179570</v>
      </c>
      <c r="C13417" s="9"/>
      <c r="D13417" t="str">
        <f>"npr-25"</f>
        <v>npr-25</v>
      </c>
      <c r="E13417" t="s">
        <v>1021</v>
      </c>
      <c r="F13417" t="s">
        <v>11</v>
      </c>
      <c r="G13417" t="s">
        <v>271</v>
      </c>
      <c r="H13417" s="12">
        <v>1.29702885077178</v>
      </c>
      <c r="I13417" s="20">
        <v>0.88887053742165301</v>
      </c>
      <c r="J13417" s="28">
        <v>0.37407266122296901</v>
      </c>
      <c r="K13417" s="29">
        <v>0.98289565623980701</v>
      </c>
    </row>
    <row r="13418" spans="1:11" x14ac:dyDescent="0.35">
      <c r="A13418" s="9" t="str">
        <f>HYPERLINK("http://www.ensembl.org/id/WBGene00011372", "WBGene00011372")</f>
        <v>WBGene00011372</v>
      </c>
      <c r="B13418" s="9" t="str">
        <f>HYPERLINK("http://www.ncbi.nlm.nih.gov/gene/24104836", "24104836")</f>
        <v>24104836</v>
      </c>
      <c r="C13418" s="9"/>
      <c r="D13418" t="str">
        <f>"npr-26"</f>
        <v>npr-26</v>
      </c>
      <c r="E13418" t="s">
        <v>1021</v>
      </c>
      <c r="F13418" t="s">
        <v>11</v>
      </c>
      <c r="G13418" t="s">
        <v>4136</v>
      </c>
      <c r="H13418" s="12">
        <v>1.47123274121105</v>
      </c>
      <c r="I13418" s="20">
        <v>1.1658443415038999</v>
      </c>
      <c r="J13418" s="28">
        <v>0.24367738572738501</v>
      </c>
      <c r="K13418" s="29">
        <v>0.98289565623980701</v>
      </c>
    </row>
    <row r="13419" spans="1:11" x14ac:dyDescent="0.35">
      <c r="A13419" s="9" t="str">
        <f>HYPERLINK("http://www.ensembl.org/id/WBGene00009278", "WBGene00009278")</f>
        <v>WBGene00009278</v>
      </c>
      <c r="B13419" s="9" t="str">
        <f>HYPERLINK("http://www.ncbi.nlm.nih.gov/gene/185141", "185141")</f>
        <v>185141</v>
      </c>
      <c r="C13419" s="9"/>
      <c r="D13419" t="str">
        <f>"npr-33"</f>
        <v>npr-33</v>
      </c>
      <c r="E13419" t="s">
        <v>1021</v>
      </c>
      <c r="F13419" t="s">
        <v>11</v>
      </c>
      <c r="G13419" t="s">
        <v>271</v>
      </c>
      <c r="H13419" s="12">
        <v>1.4418986349483001</v>
      </c>
      <c r="I13419" s="20">
        <v>0.83320418547229302</v>
      </c>
      <c r="J13419" s="28">
        <v>0.40472958247702701</v>
      </c>
      <c r="K13419" s="29">
        <v>0.98289565623980701</v>
      </c>
    </row>
    <row r="13420" spans="1:11" x14ac:dyDescent="0.35">
      <c r="A13420" s="9" t="str">
        <f>HYPERLINK("http://www.ensembl.org/id/WBGene00016842", "WBGene00016842")</f>
        <v>WBGene00016842</v>
      </c>
      <c r="B13420" s="9" t="str">
        <f>HYPERLINK("http://www.ncbi.nlm.nih.gov/gene/183681", "183681")</f>
        <v>183681</v>
      </c>
      <c r="C13420" s="9"/>
      <c r="D13420" t="str">
        <f>"npr-35"</f>
        <v>npr-35</v>
      </c>
      <c r="E13420" t="s">
        <v>1021</v>
      </c>
      <c r="F13420" t="s">
        <v>11</v>
      </c>
      <c r="G13420" t="s">
        <v>271</v>
      </c>
      <c r="H13420" s="12">
        <v>1.3149995092598501</v>
      </c>
      <c r="I13420" s="20">
        <v>0.92291743885177602</v>
      </c>
      <c r="J13420" s="28">
        <v>0.35605023195554297</v>
      </c>
      <c r="K13420" s="29">
        <v>0.98289565623980701</v>
      </c>
    </row>
    <row r="13421" spans="1:11" x14ac:dyDescent="0.35">
      <c r="A13421" s="9" t="str">
        <f>HYPERLINK("http://www.ensembl.org/id/WBGene00021983", "WBGene00021983")</f>
        <v>WBGene00021983</v>
      </c>
      <c r="B13421" s="9" t="str">
        <f>HYPERLINK("http://www.ncbi.nlm.nih.gov/gene/190386", "190386")</f>
        <v>190386</v>
      </c>
      <c r="C13421" s="9"/>
      <c r="D13421" t="str">
        <f>"npr-5"</f>
        <v>npr-5</v>
      </c>
      <c r="E13421" t="s">
        <v>1021</v>
      </c>
      <c r="F13421" t="s">
        <v>11</v>
      </c>
      <c r="G13421" t="s">
        <v>5415</v>
      </c>
      <c r="H13421" s="12">
        <v>1.1688888206065799</v>
      </c>
      <c r="I13421" s="20">
        <v>0.59549870712882003</v>
      </c>
      <c r="J13421" s="28">
        <v>0.55151016306329403</v>
      </c>
      <c r="K13421" s="29">
        <v>0.98289565623980701</v>
      </c>
    </row>
    <row r="13422" spans="1:11" x14ac:dyDescent="0.35">
      <c r="A13422" s="9" t="str">
        <f>HYPERLINK("http://www.ensembl.org/id/WBGene00018067", "WBGene00018067")</f>
        <v>WBGene00018067</v>
      </c>
      <c r="B13422" s="9" t="str">
        <f>HYPERLINK("http://www.ncbi.nlm.nih.gov/gene/185321", "185321")</f>
        <v>185321</v>
      </c>
      <c r="C13422" s="9" t="str">
        <f>HYPERLINK("http://www.ncbi.nlm.nih.gov/gene/4886", "4886")</f>
        <v>4886</v>
      </c>
      <c r="D13422" t="str">
        <f>"npr-7"</f>
        <v>npr-7</v>
      </c>
      <c r="E13422" t="s">
        <v>1021</v>
      </c>
      <c r="F13422" t="s">
        <v>11</v>
      </c>
      <c r="G13422" t="s">
        <v>2585</v>
      </c>
      <c r="H13422" s="12">
        <v>1.40220034509613</v>
      </c>
      <c r="I13422" s="20">
        <v>0.87362591120329303</v>
      </c>
      <c r="J13422" s="28">
        <v>0.382322010563868</v>
      </c>
      <c r="K13422" s="29">
        <v>0.98289565623980701</v>
      </c>
    </row>
    <row r="13423" spans="1:11" x14ac:dyDescent="0.35">
      <c r="A13423" s="9" t="str">
        <f>HYPERLINK("http://www.ensembl.org/id/WBGene00013974", "WBGene00013974")</f>
        <v>WBGene00013974</v>
      </c>
      <c r="B13423" s="9" t="str">
        <f>HYPERLINK("http://www.ncbi.nlm.nih.gov/gene/191320", "191320")</f>
        <v>191320</v>
      </c>
      <c r="C13423" s="9" t="str">
        <f>HYPERLINK("http://www.ncbi.nlm.nih.gov/gene/8811", "8811")</f>
        <v>8811</v>
      </c>
      <c r="D13423" t="str">
        <f>"npr-9"</f>
        <v>npr-9</v>
      </c>
      <c r="E13423" t="s">
        <v>4699</v>
      </c>
      <c r="F13423" t="s">
        <v>11</v>
      </c>
      <c r="G13423" t="s">
        <v>1429</v>
      </c>
      <c r="H13423" s="12">
        <v>1.4750568772783901</v>
      </c>
      <c r="I13423" s="20">
        <v>0.65711925246595104</v>
      </c>
      <c r="J13423" s="28">
        <v>0.51110424053735803</v>
      </c>
      <c r="K13423" s="29">
        <v>0.98289565623980701</v>
      </c>
    </row>
    <row r="13424" spans="1:11" x14ac:dyDescent="0.35">
      <c r="A13424" s="9" t="str">
        <f>HYPERLINK("http://www.ensembl.org/id/WBGene00018635", "WBGene00018635")</f>
        <v>WBGene00018635</v>
      </c>
      <c r="B13424" s="9" t="str">
        <f>HYPERLINK("http://www.ncbi.nlm.nih.gov/gene/177532", "177532")</f>
        <v>177532</v>
      </c>
      <c r="C13424" s="9" t="str">
        <f>HYPERLINK("http://www.ncbi.nlm.nih.gov/gene/10641", "10641")</f>
        <v>10641</v>
      </c>
      <c r="D13424" t="str">
        <f>"nprl-2"</f>
        <v>nprl-2</v>
      </c>
      <c r="E13424" t="s">
        <v>9629</v>
      </c>
      <c r="F13424" t="s">
        <v>11</v>
      </c>
      <c r="G13424" t="s">
        <v>9630</v>
      </c>
      <c r="H13424" s="12">
        <v>-1.2691411079872701</v>
      </c>
      <c r="I13424" s="20">
        <v>-1.10338937250967</v>
      </c>
      <c r="J13424" s="28">
        <v>0.26985810985176001</v>
      </c>
      <c r="K13424" s="29">
        <v>0.98289565623980701</v>
      </c>
    </row>
    <row r="13425" spans="1:11" x14ac:dyDescent="0.35">
      <c r="A13425" s="9" t="str">
        <f>HYPERLINK("http://www.ensembl.org/id/WBGene00021882", "WBGene00021882")</f>
        <v>WBGene00021882</v>
      </c>
      <c r="B13425" s="9" t="str">
        <f>HYPERLINK("http://www.ncbi.nlm.nih.gov/gene/177070", "177070")</f>
        <v>177070</v>
      </c>
      <c r="C13425" s="9" t="str">
        <f>HYPERLINK("http://www.ncbi.nlm.nih.gov/gene/93100", "93100")</f>
        <v>93100</v>
      </c>
      <c r="D13425" t="str">
        <f>"nprt-1"</f>
        <v>nprt-1</v>
      </c>
      <c r="E13425" t="s">
        <v>7766</v>
      </c>
      <c r="F13425" t="s">
        <v>11</v>
      </c>
      <c r="G13425" t="s">
        <v>7767</v>
      </c>
      <c r="H13425" s="12">
        <v>-1.14305674401152</v>
      </c>
      <c r="I13425" s="20">
        <v>-0.68652128174243598</v>
      </c>
      <c r="J13425" s="28">
        <v>0.49238444883361898</v>
      </c>
      <c r="K13425" s="29">
        <v>0.98289565623980701</v>
      </c>
    </row>
    <row r="13426" spans="1:11" x14ac:dyDescent="0.35">
      <c r="A13426" s="9" t="str">
        <f>HYPERLINK("http://www.ensembl.org/id/WBGene00007651", "WBGene00007651")</f>
        <v>WBGene00007651</v>
      </c>
      <c r="B13426" s="9" t="str">
        <f>HYPERLINK("http://www.ncbi.nlm.nih.gov/gene/181206", "181206")</f>
        <v>181206</v>
      </c>
      <c r="C13426" s="9"/>
      <c r="D13426" t="str">
        <f>"nra-3"</f>
        <v>nra-3</v>
      </c>
      <c r="E13426" t="s">
        <v>6020</v>
      </c>
      <c r="F13426" t="s">
        <v>11</v>
      </c>
      <c r="G13426" t="s">
        <v>619</v>
      </c>
      <c r="H13426" s="12">
        <v>1.0634981270049899</v>
      </c>
      <c r="I13426" s="20">
        <v>0.32535171102640198</v>
      </c>
      <c r="J13426" s="28">
        <v>0.74491489805684197</v>
      </c>
      <c r="K13426" s="29">
        <v>0.98289565623980701</v>
      </c>
    </row>
    <row r="13427" spans="1:11" x14ac:dyDescent="0.35">
      <c r="A13427" s="9" t="str">
        <f>HYPERLINK("http://www.ensembl.org/id/WBGene00015344", "WBGene00015344")</f>
        <v>WBGene00015344</v>
      </c>
      <c r="B13427" s="9" t="str">
        <f>HYPERLINK("http://www.ncbi.nlm.nih.gov/gene/3565008", "3565008")</f>
        <v>3565008</v>
      </c>
      <c r="C13427" s="9" t="str">
        <f>HYPERLINK("http://www.ncbi.nlm.nih.gov/gene/23420,283820,408050", "23420,283820,408050")</f>
        <v>23420,283820,408050</v>
      </c>
      <c r="D13427" t="str">
        <f>"nra-4"</f>
        <v>nra-4</v>
      </c>
      <c r="E13427" t="s">
        <v>6020</v>
      </c>
      <c r="F13427" t="s">
        <v>11</v>
      </c>
      <c r="G13427" t="s">
        <v>6021</v>
      </c>
      <c r="H13427" s="12">
        <v>1.0722380321940801</v>
      </c>
      <c r="I13427" s="20">
        <v>0.372870449448507</v>
      </c>
      <c r="J13427" s="28">
        <v>0.70924486644965101</v>
      </c>
      <c r="K13427" s="29">
        <v>0.98289565623980701</v>
      </c>
    </row>
    <row r="13428" spans="1:11" x14ac:dyDescent="0.35">
      <c r="A13428" s="9" t="str">
        <f>HYPERLINK("http://www.ensembl.org/id/WBGene00007577", "WBGene00007577")</f>
        <v>WBGene00007577</v>
      </c>
      <c r="B13428" s="9" t="str">
        <f>HYPERLINK("http://www.ncbi.nlm.nih.gov/gene/175477", "175477")</f>
        <v>175477</v>
      </c>
      <c r="C13428" s="9"/>
      <c r="D13428" t="str">
        <f>"nrde-1"</f>
        <v>nrde-1</v>
      </c>
      <c r="F13428" t="s">
        <v>11</v>
      </c>
      <c r="G13428" t="s">
        <v>8924</v>
      </c>
      <c r="H13428" s="12">
        <v>-1.2081914151550199</v>
      </c>
      <c r="I13428" s="20">
        <v>-0.91895068770832</v>
      </c>
      <c r="J13428" s="28">
        <v>0.35812136574398301</v>
      </c>
      <c r="K13428" s="29">
        <v>0.98289565623980701</v>
      </c>
    </row>
    <row r="13429" spans="1:11" x14ac:dyDescent="0.35">
      <c r="A13429" s="9" t="str">
        <f>HYPERLINK("http://www.ensembl.org/id/WBGene00019862", "WBGene00019862")</f>
        <v>WBGene00019862</v>
      </c>
      <c r="B13429" s="9" t="str">
        <f>HYPERLINK("http://www.ncbi.nlm.nih.gov/gene/180392", "180392")</f>
        <v>180392</v>
      </c>
      <c r="C13429" s="9"/>
      <c r="D13429" t="str">
        <f>"nrde-3"</f>
        <v>nrde-3</v>
      </c>
      <c r="E13429" t="s">
        <v>6031</v>
      </c>
      <c r="F13429" t="s">
        <v>11</v>
      </c>
      <c r="G13429" t="s">
        <v>445</v>
      </c>
      <c r="H13429" s="12">
        <v>1.0708208449053001</v>
      </c>
      <c r="I13429" s="20">
        <v>0.31977126125767302</v>
      </c>
      <c r="J13429" s="28">
        <v>0.74914173482976598</v>
      </c>
      <c r="K13429" s="29">
        <v>0.98289565623980701</v>
      </c>
    </row>
    <row r="13430" spans="1:11" x14ac:dyDescent="0.35">
      <c r="A13430" s="9" t="str">
        <f>HYPERLINK("http://www.ensembl.org/id/WBGene00001584", "WBGene00001584")</f>
        <v>WBGene00001584</v>
      </c>
      <c r="B13430" s="9" t="str">
        <f>HYPERLINK("http://www.ncbi.nlm.nih.gov/gene/177544", "177544")</f>
        <v>177544</v>
      </c>
      <c r="C13430" s="9"/>
      <c r="D13430" t="str">
        <f>"nrde-4"</f>
        <v>nrde-4</v>
      </c>
      <c r="F13430" t="s">
        <v>11</v>
      </c>
      <c r="G13430" t="s">
        <v>7613</v>
      </c>
      <c r="H13430" s="12">
        <v>-1.1359018892235799</v>
      </c>
      <c r="I13430" s="20">
        <v>-0.593785646054375</v>
      </c>
      <c r="J13430" s="28">
        <v>0.55265549074554199</v>
      </c>
      <c r="K13430" s="29">
        <v>0.98289565623980701</v>
      </c>
    </row>
    <row r="13431" spans="1:11" x14ac:dyDescent="0.35">
      <c r="A13431" s="9" t="str">
        <f>HYPERLINK("http://www.ensembl.org/id/WBGene00006438", "WBGene00006438")</f>
        <v>WBGene00006438</v>
      </c>
      <c r="B13431" s="9" t="str">
        <f>HYPERLINK("http://www.ncbi.nlm.nih.gov/gene/177736", "177736")</f>
        <v>177736</v>
      </c>
      <c r="C13431" s="9" t="str">
        <f>HYPERLINK("http://www.ncbi.nlm.nih.gov/gene/9351", "9351")</f>
        <v>9351</v>
      </c>
      <c r="D13431" t="str">
        <f>"nrfl-1"</f>
        <v>nrfl-1</v>
      </c>
      <c r="E13431" t="s">
        <v>8588</v>
      </c>
      <c r="F13431" t="s">
        <v>11</v>
      </c>
      <c r="G13431" t="s">
        <v>8589</v>
      </c>
      <c r="H13431" s="12">
        <v>-1.18500508535926</v>
      </c>
      <c r="I13431" s="20">
        <v>-0.91204904977029799</v>
      </c>
      <c r="J13431" s="28">
        <v>0.36174289754951799</v>
      </c>
      <c r="K13431" s="29">
        <v>0.98289565623980701</v>
      </c>
    </row>
    <row r="13432" spans="1:11" x14ac:dyDescent="0.35">
      <c r="A13432" s="9" t="str">
        <f>HYPERLINK("http://www.ensembl.org/id/WBGene00013440", "WBGene00013440")</f>
        <v>WBGene00013440</v>
      </c>
      <c r="B13432" s="9" t="str">
        <f>HYPERLINK("http://www.ncbi.nlm.nih.gov/gene/190498", "190498")</f>
        <v>190498</v>
      </c>
      <c r="C13432" s="9"/>
      <c r="D13432" t="str">
        <f>"nrps-1"</f>
        <v>nrps-1</v>
      </c>
      <c r="E13432" t="s">
        <v>5476</v>
      </c>
      <c r="F13432" t="s">
        <v>11</v>
      </c>
      <c r="G13432" t="s">
        <v>5477</v>
      </c>
      <c r="H13432" s="12">
        <v>1.1600769353455</v>
      </c>
      <c r="I13432" s="20">
        <v>0.38703767095793701</v>
      </c>
      <c r="J13432" s="28">
        <v>0.69872831967881299</v>
      </c>
      <c r="K13432" s="29">
        <v>0.98289565623980701</v>
      </c>
    </row>
    <row r="13433" spans="1:11" x14ac:dyDescent="0.35">
      <c r="A13433" s="9" t="str">
        <f>HYPERLINK("http://www.ensembl.org/id/WBGene00003818", "WBGene00003818")</f>
        <v>WBGene00003818</v>
      </c>
      <c r="B13433" s="9" t="str">
        <f>HYPERLINK("http://www.ncbi.nlm.nih.gov/gene/266842", "266842")</f>
        <v>266842</v>
      </c>
      <c r="C13433" s="9" t="str">
        <f>HYPERLINK("http://www.ncbi.nlm.nih.gov/gene/4905", "4905")</f>
        <v>4905</v>
      </c>
      <c r="D13433" t="str">
        <f>"nsf-1"</f>
        <v>nsf-1</v>
      </c>
      <c r="E13433" t="s">
        <v>9140</v>
      </c>
      <c r="F13433" t="s">
        <v>11</v>
      </c>
      <c r="G13433" t="s">
        <v>9141</v>
      </c>
      <c r="H13433" s="12">
        <v>-1.2238057796348301</v>
      </c>
      <c r="I13433" s="20">
        <v>-1.0635702254402399</v>
      </c>
      <c r="J13433" s="28">
        <v>0.287523436568354</v>
      </c>
      <c r="K13433" s="29">
        <v>0.98289565623980701</v>
      </c>
    </row>
    <row r="13434" spans="1:11" x14ac:dyDescent="0.35">
      <c r="A13434" s="9" t="str">
        <f>HYPERLINK("http://www.ensembl.org/id/WBGene00044276", "WBGene00044276")</f>
        <v>WBGene00044276</v>
      </c>
      <c r="B13434" s="9"/>
      <c r="C13434" s="9"/>
      <c r="D13434" t="str">
        <f>"nspa-11"</f>
        <v>nspa-11</v>
      </c>
      <c r="F13434" t="s">
        <v>80</v>
      </c>
      <c r="H13434" s="12">
        <v>-3.7261494131482999</v>
      </c>
      <c r="I13434" s="20">
        <v>-0.38454673129429601</v>
      </c>
      <c r="J13434" s="28">
        <v>0.70057326682554</v>
      </c>
      <c r="K13434" s="29">
        <v>0.98289565623980701</v>
      </c>
    </row>
    <row r="13435" spans="1:11" x14ac:dyDescent="0.35">
      <c r="A13435" s="9" t="str">
        <f>HYPERLINK("http://www.ensembl.org/id/WBGene00044277", "WBGene00044277")</f>
        <v>WBGene00044277</v>
      </c>
      <c r="B13435" s="9"/>
      <c r="C13435" s="9"/>
      <c r="D13435" t="str">
        <f>"nspa-12"</f>
        <v>nspa-12</v>
      </c>
      <c r="F13435" t="s">
        <v>80</v>
      </c>
      <c r="H13435" s="12">
        <v>2.3893468495514898</v>
      </c>
      <c r="I13435" s="20">
        <v>0.25323547253672701</v>
      </c>
      <c r="J13435" s="28">
        <v>0.80008625651646104</v>
      </c>
      <c r="K13435" s="29">
        <v>0.98289565623980701</v>
      </c>
    </row>
    <row r="13436" spans="1:11" x14ac:dyDescent="0.35">
      <c r="A13436" s="9" t="str">
        <f>HYPERLINK("http://www.ensembl.org/id/WBGene00044271", "WBGene00044271")</f>
        <v>WBGene00044271</v>
      </c>
      <c r="B13436" s="9" t="str">
        <f>HYPERLINK("http://www.ncbi.nlm.nih.gov/gene/3565045", "3565045")</f>
        <v>3565045</v>
      </c>
      <c r="C13436" s="9"/>
      <c r="D13436" t="str">
        <f>"nspa-2"</f>
        <v>nspa-2</v>
      </c>
      <c r="E13436" t="s">
        <v>4255</v>
      </c>
      <c r="F13436" t="s">
        <v>11</v>
      </c>
      <c r="H13436" s="12">
        <v>-2.4295389261469</v>
      </c>
      <c r="I13436" s="20">
        <v>-0.25808529976640998</v>
      </c>
      <c r="J13436" s="28">
        <v>0.79634107645457397</v>
      </c>
      <c r="K13436" s="29">
        <v>0.98289565623980701</v>
      </c>
    </row>
    <row r="13437" spans="1:11" x14ac:dyDescent="0.35">
      <c r="A13437" s="9" t="str">
        <f>HYPERLINK("http://www.ensembl.org/id/WBGene00044272", "WBGene00044272")</f>
        <v>WBGene00044272</v>
      </c>
      <c r="B13437" s="9" t="str">
        <f>HYPERLINK("http://www.ncbi.nlm.nih.gov/gene/3564808", "3564808")</f>
        <v>3564808</v>
      </c>
      <c r="C13437" s="9"/>
      <c r="D13437" t="str">
        <f>"nspa-4"</f>
        <v>nspa-4</v>
      </c>
      <c r="E13437" t="s">
        <v>4255</v>
      </c>
      <c r="F13437" t="s">
        <v>11</v>
      </c>
      <c r="H13437" s="12">
        <v>5.4058944669092801</v>
      </c>
      <c r="I13437" s="20">
        <v>0.49762513753689303</v>
      </c>
      <c r="J13437" s="28">
        <v>0.61874828254921799</v>
      </c>
      <c r="K13437" s="29">
        <v>0.98289565623980701</v>
      </c>
    </row>
    <row r="13438" spans="1:11" x14ac:dyDescent="0.35">
      <c r="A13438" s="9" t="str">
        <f>HYPERLINK("http://www.ensembl.org/id/WBGene00013887", "WBGene00013887")</f>
        <v>WBGene00013887</v>
      </c>
      <c r="B13438" s="9" t="str">
        <f>HYPERLINK("http://www.ncbi.nlm.nih.gov/gene/179983", "179983")</f>
        <v>179983</v>
      </c>
      <c r="C13438" s="9"/>
      <c r="D13438" t="str">
        <f>"nspa-5"</f>
        <v>nspa-5</v>
      </c>
      <c r="E13438" t="s">
        <v>4255</v>
      </c>
      <c r="F13438" t="s">
        <v>11</v>
      </c>
      <c r="H13438" s="12">
        <v>-1.43248282930005</v>
      </c>
      <c r="I13438" s="20">
        <v>-0.412277705319957</v>
      </c>
      <c r="J13438" s="28">
        <v>0.68013588782309098</v>
      </c>
      <c r="K13438" s="29">
        <v>0.98289565623980701</v>
      </c>
    </row>
    <row r="13439" spans="1:11" x14ac:dyDescent="0.35">
      <c r="A13439" s="9" t="str">
        <f>HYPERLINK("http://www.ensembl.org/id/WBGene00018170", "WBGene00018170")</f>
        <v>WBGene00018170</v>
      </c>
      <c r="B13439" s="9" t="str">
        <f>HYPERLINK("http://www.ncbi.nlm.nih.gov/gene/3564940", "3564940")</f>
        <v>3564940</v>
      </c>
      <c r="C13439" s="9"/>
      <c r="D13439" t="str">
        <f>"nspb-1"</f>
        <v>nspb-1</v>
      </c>
      <c r="E13439" t="s">
        <v>1851</v>
      </c>
      <c r="F13439" t="s">
        <v>11</v>
      </c>
      <c r="H13439" s="12">
        <v>10.8131830636529</v>
      </c>
      <c r="I13439" s="20">
        <v>0.70982715185838596</v>
      </c>
      <c r="J13439" s="28">
        <v>0.477811329444844</v>
      </c>
      <c r="K13439" s="29">
        <v>0.98289565623980701</v>
      </c>
    </row>
    <row r="13440" spans="1:11" x14ac:dyDescent="0.35">
      <c r="A13440" s="9" t="str">
        <f>HYPERLINK("http://www.ensembl.org/id/WBGene00007246", "WBGene00007246")</f>
        <v>WBGene00007246</v>
      </c>
      <c r="B13440" s="9" t="str">
        <f>HYPERLINK("http://www.ncbi.nlm.nih.gov/gene/182088", "182088")</f>
        <v>182088</v>
      </c>
      <c r="C13440" s="9"/>
      <c r="D13440" t="str">
        <f>"nspb-10"</f>
        <v>nspb-10</v>
      </c>
      <c r="E13440" t="s">
        <v>1851</v>
      </c>
      <c r="F13440" t="s">
        <v>11</v>
      </c>
      <c r="H13440" s="12">
        <v>3.6411813568658902</v>
      </c>
      <c r="I13440" s="20">
        <v>0.945298496479682</v>
      </c>
      <c r="J13440" s="28">
        <v>0.344506505802955</v>
      </c>
      <c r="K13440" s="29">
        <v>0.98289565623980701</v>
      </c>
    </row>
    <row r="13441" spans="1:11" x14ac:dyDescent="0.35">
      <c r="A13441" s="9" t="str">
        <f>HYPERLINK("http://www.ensembl.org/id/WBGene00017305", "WBGene00017305")</f>
        <v>WBGene00017305</v>
      </c>
      <c r="B13441" s="9" t="str">
        <f>HYPERLINK("http://www.ncbi.nlm.nih.gov/gene/184261", "184261")</f>
        <v>184261</v>
      </c>
      <c r="C13441" s="9"/>
      <c r="D13441" t="str">
        <f>"nspb-12"</f>
        <v>nspb-12</v>
      </c>
      <c r="E13441" t="s">
        <v>1851</v>
      </c>
      <c r="F13441" t="s">
        <v>11</v>
      </c>
      <c r="H13441" s="12">
        <v>1.85179343024154</v>
      </c>
      <c r="I13441" s="20">
        <v>0.89785236915523503</v>
      </c>
      <c r="J13441" s="28">
        <v>0.36926426084856701</v>
      </c>
      <c r="K13441" s="29">
        <v>0.98289565623980701</v>
      </c>
    </row>
    <row r="13442" spans="1:11" x14ac:dyDescent="0.35">
      <c r="A13442" s="9" t="str">
        <f>HYPERLINK("http://www.ensembl.org/id/WBGene00018162", "WBGene00018162")</f>
        <v>WBGene00018162</v>
      </c>
      <c r="B13442" s="9" t="str">
        <f>HYPERLINK("http://www.ncbi.nlm.nih.gov/gene/185443", "185443")</f>
        <v>185443</v>
      </c>
      <c r="C13442" s="9"/>
      <c r="D13442" t="str">
        <f>"nspb-3"</f>
        <v>nspb-3</v>
      </c>
      <c r="E13442" t="s">
        <v>1851</v>
      </c>
      <c r="F13442" t="s">
        <v>11</v>
      </c>
      <c r="H13442" s="12">
        <v>2.4239262637421901</v>
      </c>
      <c r="I13442" s="20">
        <v>0.506258789952308</v>
      </c>
      <c r="J13442" s="28">
        <v>0.61267498874071902</v>
      </c>
      <c r="K13442" s="29">
        <v>0.98289565623980701</v>
      </c>
    </row>
    <row r="13443" spans="1:11" x14ac:dyDescent="0.35">
      <c r="A13443" s="9" t="str">
        <f>HYPERLINK("http://www.ensembl.org/id/WBGene00018167", "WBGene00018167")</f>
        <v>WBGene00018167</v>
      </c>
      <c r="B13443" s="9" t="str">
        <f>HYPERLINK("http://www.ncbi.nlm.nih.gov/gene/185446", "185446")</f>
        <v>185446</v>
      </c>
      <c r="C13443" s="9"/>
      <c r="D13443" t="str">
        <f>"nspb-4"</f>
        <v>nspb-4</v>
      </c>
      <c r="E13443" t="s">
        <v>1851</v>
      </c>
      <c r="F13443" t="s">
        <v>11</v>
      </c>
      <c r="H13443" s="12">
        <v>1.55410724109481</v>
      </c>
      <c r="I13443" s="20">
        <v>0.35604068198209399</v>
      </c>
      <c r="J13443" s="28">
        <v>0.72181009895568404</v>
      </c>
      <c r="K13443" s="29">
        <v>0.98289565623980701</v>
      </c>
    </row>
    <row r="13444" spans="1:11" x14ac:dyDescent="0.35">
      <c r="A13444" s="9" t="str">
        <f>HYPERLINK("http://www.ensembl.org/id/WBGene00018166", "WBGene00018166")</f>
        <v>WBGene00018166</v>
      </c>
      <c r="B13444" s="9" t="str">
        <f>HYPERLINK("http://www.ncbi.nlm.nih.gov/gene/185445", "185445")</f>
        <v>185445</v>
      </c>
      <c r="C13444" s="9"/>
      <c r="D13444" t="str">
        <f>"nspb-5"</f>
        <v>nspb-5</v>
      </c>
      <c r="E13444" t="s">
        <v>1851</v>
      </c>
      <c r="F13444" t="s">
        <v>11</v>
      </c>
      <c r="H13444" s="12">
        <v>2.7440434468269799</v>
      </c>
      <c r="I13444" s="20">
        <v>0.89581671638789095</v>
      </c>
      <c r="J13444" s="28">
        <v>0.37035066038667702</v>
      </c>
      <c r="K13444" s="29">
        <v>0.98289565623980701</v>
      </c>
    </row>
    <row r="13445" spans="1:11" x14ac:dyDescent="0.35">
      <c r="A13445" s="9" t="str">
        <f>HYPERLINK("http://www.ensembl.org/id/WBGene00007243", "WBGene00007243")</f>
        <v>WBGene00007243</v>
      </c>
      <c r="B13445" s="9" t="str">
        <f>HYPERLINK("http://www.ncbi.nlm.nih.gov/gene/182086", "182086")</f>
        <v>182086</v>
      </c>
      <c r="C13445" s="9"/>
      <c r="D13445" t="str">
        <f>"nspb-7"</f>
        <v>nspb-7</v>
      </c>
      <c r="E13445" t="s">
        <v>1851</v>
      </c>
      <c r="F13445" t="s">
        <v>11</v>
      </c>
      <c r="H13445" s="12">
        <v>6.4017502572409999</v>
      </c>
      <c r="I13445" s="20">
        <v>1.1027448077775099</v>
      </c>
      <c r="J13445" s="28">
        <v>0.27013800229653201</v>
      </c>
      <c r="K13445" s="29">
        <v>0.98289565623980701</v>
      </c>
    </row>
    <row r="13446" spans="1:11" x14ac:dyDescent="0.35">
      <c r="A13446" s="9" t="str">
        <f>HYPERLINK("http://www.ensembl.org/id/WBGene00007251", "WBGene00007251")</f>
        <v>WBGene00007251</v>
      </c>
      <c r="B13446" s="9" t="str">
        <f>HYPERLINK("http://www.ncbi.nlm.nih.gov/gene/3564924", "3564924")</f>
        <v>3564924</v>
      </c>
      <c r="C13446" s="9"/>
      <c r="D13446" t="str">
        <f>"nspb-9"</f>
        <v>nspb-9</v>
      </c>
      <c r="E13446" t="s">
        <v>1851</v>
      </c>
      <c r="F13446" t="s">
        <v>11</v>
      </c>
      <c r="H13446" s="12">
        <v>3.3072969085722499</v>
      </c>
      <c r="I13446" s="20">
        <v>1.0031687698568701</v>
      </c>
      <c r="J13446" s="28">
        <v>0.31577943843547002</v>
      </c>
      <c r="K13446" s="29">
        <v>0.98289565623980701</v>
      </c>
    </row>
    <row r="13447" spans="1:11" x14ac:dyDescent="0.35">
      <c r="A13447" s="9" t="str">
        <f>HYPERLINK("http://www.ensembl.org/id/WBGene00023477", "WBGene00023477")</f>
        <v>WBGene00023477</v>
      </c>
      <c r="B13447" s="9" t="str">
        <f>HYPERLINK("http://www.ncbi.nlm.nih.gov/gene/259717", "259717")</f>
        <v>259717</v>
      </c>
      <c r="C13447" s="9"/>
      <c r="D13447" t="str">
        <f>"nspc-1"</f>
        <v>nspc-1</v>
      </c>
      <c r="E13447" t="s">
        <v>4037</v>
      </c>
      <c r="F13447" t="s">
        <v>11</v>
      </c>
      <c r="H13447" s="12">
        <v>1.1355985076080399</v>
      </c>
      <c r="I13447" s="20">
        <v>0.65603899672924904</v>
      </c>
      <c r="J13447" s="28">
        <v>0.51179903330954901</v>
      </c>
      <c r="K13447" s="29">
        <v>0.98289565623980701</v>
      </c>
    </row>
    <row r="13448" spans="1:11" x14ac:dyDescent="0.35">
      <c r="A13448" s="9" t="str">
        <f>HYPERLINK("http://www.ensembl.org/id/WBGene00009640", "WBGene00009640")</f>
        <v>WBGene00009640</v>
      </c>
      <c r="B13448" s="9" t="str">
        <f>HYPERLINK("http://www.ncbi.nlm.nih.gov/gene/181392", "181392")</f>
        <v>181392</v>
      </c>
      <c r="C13448" s="9"/>
      <c r="D13448" t="str">
        <f>"nspc-10"</f>
        <v>nspc-10</v>
      </c>
      <c r="E13448" t="s">
        <v>4037</v>
      </c>
      <c r="F13448" t="s">
        <v>11</v>
      </c>
      <c r="H13448" s="12">
        <v>1.1115340000006599</v>
      </c>
      <c r="I13448" s="20">
        <v>0.58674933038565302</v>
      </c>
      <c r="J13448" s="28">
        <v>0.55737207159144797</v>
      </c>
      <c r="K13448" s="29">
        <v>0.98289565623980701</v>
      </c>
    </row>
    <row r="13449" spans="1:11" x14ac:dyDescent="0.35">
      <c r="A13449" s="9" t="str">
        <f>HYPERLINK("http://www.ensembl.org/id/WBGene00044398", "WBGene00044398")</f>
        <v>WBGene00044398</v>
      </c>
      <c r="B13449" s="9"/>
      <c r="C13449" s="9"/>
      <c r="D13449" t="str">
        <f>"nspc-11"</f>
        <v>nspc-11</v>
      </c>
      <c r="F13449" t="s">
        <v>80</v>
      </c>
      <c r="H13449" s="12">
        <v>-2.4295389261469</v>
      </c>
      <c r="I13449" s="20">
        <v>-0.25808529976640998</v>
      </c>
      <c r="J13449" s="28">
        <v>0.79634107645457397</v>
      </c>
      <c r="K13449" s="29">
        <v>0.98289565623980701</v>
      </c>
    </row>
    <row r="13450" spans="1:11" x14ac:dyDescent="0.35">
      <c r="A13450" s="9" t="str">
        <f>HYPERLINK("http://www.ensembl.org/id/WBGene00023493", "WBGene00023493")</f>
        <v>WBGene00023493</v>
      </c>
      <c r="B13450" s="9" t="str">
        <f>HYPERLINK("http://www.ncbi.nlm.nih.gov/gene/181394", "181394")</f>
        <v>181394</v>
      </c>
      <c r="C13450" s="9"/>
      <c r="D13450" t="str">
        <f>"nspc-12"</f>
        <v>nspc-12</v>
      </c>
      <c r="E13450" t="s">
        <v>4037</v>
      </c>
      <c r="F13450" t="s">
        <v>11</v>
      </c>
      <c r="H13450" s="12">
        <v>1.1199369473626499</v>
      </c>
      <c r="I13450" s="20">
        <v>0.30623221390545802</v>
      </c>
      <c r="J13450" s="28">
        <v>0.75942784667683705</v>
      </c>
      <c r="K13450" s="29">
        <v>0.98289565623980701</v>
      </c>
    </row>
    <row r="13451" spans="1:11" x14ac:dyDescent="0.35">
      <c r="A13451" s="9" t="str">
        <f>HYPERLINK("http://www.ensembl.org/id/WBGene00009637", "WBGene00009637")</f>
        <v>WBGene00009637</v>
      </c>
      <c r="B13451" s="9" t="str">
        <f>HYPERLINK("http://www.ncbi.nlm.nih.gov/gene/185671", "185671")</f>
        <v>185671</v>
      </c>
      <c r="C13451" s="9"/>
      <c r="D13451" t="str">
        <f>"nspc-13"</f>
        <v>nspc-13</v>
      </c>
      <c r="E13451" t="s">
        <v>4037</v>
      </c>
      <c r="F13451" t="s">
        <v>11</v>
      </c>
      <c r="H13451" s="12">
        <v>1.11266868871963</v>
      </c>
      <c r="I13451" s="20">
        <v>0.57598576442079197</v>
      </c>
      <c r="J13451" s="28">
        <v>0.56462480375679003</v>
      </c>
      <c r="K13451" s="29">
        <v>0.98289565623980701</v>
      </c>
    </row>
    <row r="13452" spans="1:11" x14ac:dyDescent="0.35">
      <c r="A13452" s="9" t="str">
        <f>HYPERLINK("http://www.ensembl.org/id/WBGene00009638", "WBGene00009638")</f>
        <v>WBGene00009638</v>
      </c>
      <c r="B13452" s="9" t="str">
        <f>HYPERLINK("http://www.ncbi.nlm.nih.gov/gene/181395", "181395")</f>
        <v>181395</v>
      </c>
      <c r="C13452" s="9"/>
      <c r="D13452" t="str">
        <f>"nspc-14"</f>
        <v>nspc-14</v>
      </c>
      <c r="E13452" t="s">
        <v>4037</v>
      </c>
      <c r="F13452" t="s">
        <v>11</v>
      </c>
      <c r="H13452" s="12">
        <v>1.18955207139899</v>
      </c>
      <c r="I13452" s="20">
        <v>0.94903154847337601</v>
      </c>
      <c r="J13452" s="28">
        <v>0.342604566739101</v>
      </c>
      <c r="K13452" s="29">
        <v>0.98289565623980701</v>
      </c>
    </row>
    <row r="13453" spans="1:11" x14ac:dyDescent="0.35">
      <c r="A13453" s="9" t="str">
        <f>HYPERLINK("http://www.ensembl.org/id/WBGene00009639", "WBGene00009639")</f>
        <v>WBGene00009639</v>
      </c>
      <c r="B13453" s="9" t="str">
        <f>HYPERLINK("http://www.ncbi.nlm.nih.gov/gene/181396", "181396")</f>
        <v>181396</v>
      </c>
      <c r="C13453" s="9"/>
      <c r="D13453" t="str">
        <f>"nspc-15"</f>
        <v>nspc-15</v>
      </c>
      <c r="E13453" t="s">
        <v>4037</v>
      </c>
      <c r="F13453" t="s">
        <v>11</v>
      </c>
      <c r="H13453" s="12">
        <v>1.2769812708799899</v>
      </c>
      <c r="I13453" s="20">
        <v>0.50679154492792899</v>
      </c>
      <c r="J13453" s="28">
        <v>0.61230108949061302</v>
      </c>
      <c r="K13453" s="29">
        <v>0.98289565623980701</v>
      </c>
    </row>
    <row r="13454" spans="1:11" x14ac:dyDescent="0.35">
      <c r="A13454" s="9" t="str">
        <f>HYPERLINK("http://www.ensembl.org/id/WBGene00008357", "WBGene00008357")</f>
        <v>WBGene00008357</v>
      </c>
      <c r="B13454" s="9" t="str">
        <f>HYPERLINK("http://www.ncbi.nlm.nih.gov/gene/183904", "183904")</f>
        <v>183904</v>
      </c>
      <c r="C13454" s="9"/>
      <c r="D13454" t="str">
        <f>"nspc-16"</f>
        <v>nspc-16</v>
      </c>
      <c r="E13454" t="s">
        <v>4037</v>
      </c>
      <c r="F13454" t="s">
        <v>11</v>
      </c>
      <c r="H13454" s="12">
        <v>-1.2142421128921399</v>
      </c>
      <c r="I13454" s="20">
        <v>-1.0317375512856599</v>
      </c>
      <c r="J13454" s="28">
        <v>0.30219508102619402</v>
      </c>
      <c r="K13454" s="29">
        <v>0.98289565623980701</v>
      </c>
    </row>
    <row r="13455" spans="1:11" x14ac:dyDescent="0.35">
      <c r="A13455" s="9" t="str">
        <f>HYPERLINK("http://www.ensembl.org/id/WBGene00008359", "WBGene00008359")</f>
        <v>WBGene00008359</v>
      </c>
      <c r="B13455" s="9" t="str">
        <f>HYPERLINK("http://www.ncbi.nlm.nih.gov/gene/181548", "181548")</f>
        <v>181548</v>
      </c>
      <c r="C13455" s="9"/>
      <c r="D13455" t="str">
        <f>"nspc-17"</f>
        <v>nspc-17</v>
      </c>
      <c r="E13455" t="s">
        <v>4037</v>
      </c>
      <c r="F13455" t="s">
        <v>11</v>
      </c>
      <c r="H13455" s="12">
        <v>1.0891981052867199</v>
      </c>
      <c r="I13455" s="20">
        <v>0.42713751415588103</v>
      </c>
      <c r="J13455" s="28">
        <v>0.669279170423841</v>
      </c>
      <c r="K13455" s="29">
        <v>0.98289565623980701</v>
      </c>
    </row>
    <row r="13456" spans="1:11" x14ac:dyDescent="0.35">
      <c r="A13456" s="9" t="str">
        <f>HYPERLINK("http://www.ensembl.org/id/WBGene00008360", "WBGene00008360")</f>
        <v>WBGene00008360</v>
      </c>
      <c r="B13456" s="9" t="str">
        <f>HYPERLINK("http://www.ncbi.nlm.nih.gov/gene/3565534", "3565534")</f>
        <v>3565534</v>
      </c>
      <c r="C13456" s="9"/>
      <c r="D13456" t="str">
        <f>"nspc-19"</f>
        <v>nspc-19</v>
      </c>
      <c r="E13456" t="s">
        <v>4037</v>
      </c>
      <c r="F13456" t="s">
        <v>11</v>
      </c>
      <c r="H13456" s="12">
        <v>-1.1734181807770101</v>
      </c>
      <c r="I13456" s="20">
        <v>-0.81041039651012503</v>
      </c>
      <c r="J13456" s="28">
        <v>0.41770434456474398</v>
      </c>
      <c r="K13456" s="29">
        <v>0.98289565623980701</v>
      </c>
    </row>
    <row r="13457" spans="1:11" x14ac:dyDescent="0.35">
      <c r="A13457" s="9" t="str">
        <f>HYPERLINK("http://www.ensembl.org/id/WBGene00044337", "WBGene00044337")</f>
        <v>WBGene00044337</v>
      </c>
      <c r="B13457" s="9" t="str">
        <f>HYPERLINK("http://www.ncbi.nlm.nih.gov/gene/3564889", "3564889")</f>
        <v>3564889</v>
      </c>
      <c r="C13457" s="9"/>
      <c r="D13457" t="str">
        <f>"nspc-2"</f>
        <v>nspc-2</v>
      </c>
      <c r="E13457" t="s">
        <v>4037</v>
      </c>
      <c r="F13457" t="s">
        <v>11</v>
      </c>
      <c r="H13457" s="12">
        <v>-4.6945259223778102</v>
      </c>
      <c r="I13457" s="20">
        <v>-0.745008356265776</v>
      </c>
      <c r="J13457" s="28">
        <v>0.45626666828569901</v>
      </c>
      <c r="K13457" s="29">
        <v>0.98289565623980701</v>
      </c>
    </row>
    <row r="13458" spans="1:11" x14ac:dyDescent="0.35">
      <c r="A13458" s="9" t="str">
        <f>HYPERLINK("http://www.ensembl.org/id/WBGene00008356", "WBGene00008356")</f>
        <v>WBGene00008356</v>
      </c>
      <c r="B13458" s="9" t="str">
        <f>HYPERLINK("http://www.ncbi.nlm.nih.gov/gene/181549", "181549")</f>
        <v>181549</v>
      </c>
      <c r="C13458" s="9"/>
      <c r="D13458" t="str">
        <f>"nspc-20"</f>
        <v>nspc-20</v>
      </c>
      <c r="E13458" t="s">
        <v>4037</v>
      </c>
      <c r="F13458" t="s">
        <v>11</v>
      </c>
      <c r="H13458" s="12">
        <v>1.13586170452983</v>
      </c>
      <c r="I13458" s="20">
        <v>0.68352482779394896</v>
      </c>
      <c r="J13458" s="28">
        <v>0.49427526719042902</v>
      </c>
      <c r="K13458" s="29">
        <v>0.98289565623980701</v>
      </c>
    </row>
    <row r="13459" spans="1:11" x14ac:dyDescent="0.35">
      <c r="A13459" s="9" t="str">
        <f>HYPERLINK("http://www.ensembl.org/id/WBGene00044338", "WBGene00044338")</f>
        <v>WBGene00044338</v>
      </c>
      <c r="B13459" s="9" t="str">
        <f>HYPERLINK("http://www.ncbi.nlm.nih.gov/gene/3565449", "3565449")</f>
        <v>3565449</v>
      </c>
      <c r="C13459" s="9"/>
      <c r="D13459" t="str">
        <f>"nspc-3"</f>
        <v>nspc-3</v>
      </c>
      <c r="E13459" t="s">
        <v>4037</v>
      </c>
      <c r="F13459" t="s">
        <v>11</v>
      </c>
      <c r="H13459" s="12">
        <v>1.14837071754861</v>
      </c>
      <c r="I13459" s="20">
        <v>0.50989730484475404</v>
      </c>
      <c r="J13459" s="28">
        <v>0.610123410236735</v>
      </c>
      <c r="K13459" s="29">
        <v>0.98289565623980701</v>
      </c>
    </row>
    <row r="13460" spans="1:11" x14ac:dyDescent="0.35">
      <c r="A13460" s="9" t="str">
        <f>HYPERLINK("http://www.ensembl.org/id/WBGene00044357", "WBGene00044357")</f>
        <v>WBGene00044357</v>
      </c>
      <c r="B13460" s="9" t="str">
        <f>HYPERLINK("http://www.ncbi.nlm.nih.gov/gene/3566000", "3566000")</f>
        <v>3566000</v>
      </c>
      <c r="C13460" s="9"/>
      <c r="D13460" t="str">
        <f>"nspc-6"</f>
        <v>nspc-6</v>
      </c>
      <c r="E13460" t="s">
        <v>4037</v>
      </c>
      <c r="F13460" t="s">
        <v>11</v>
      </c>
      <c r="H13460" s="12">
        <v>-3.8322143300299398</v>
      </c>
      <c r="I13460" s="20">
        <v>-0.99714816294991804</v>
      </c>
      <c r="J13460" s="28">
        <v>0.31869259795643001</v>
      </c>
      <c r="K13460" s="29">
        <v>0.98289565623980701</v>
      </c>
    </row>
    <row r="13461" spans="1:11" x14ac:dyDescent="0.35">
      <c r="A13461" s="9" t="str">
        <f>HYPERLINK("http://www.ensembl.org/id/WBGene00015392", "WBGene00015392")</f>
        <v>WBGene00015392</v>
      </c>
      <c r="B13461" s="9" t="str">
        <f>HYPERLINK("http://www.ncbi.nlm.nih.gov/gene/181107", "181107")</f>
        <v>181107</v>
      </c>
      <c r="C13461" s="9"/>
      <c r="D13461" t="str">
        <f>"nspc-7"</f>
        <v>nspc-7</v>
      </c>
      <c r="E13461" t="s">
        <v>4037</v>
      </c>
      <c r="F13461" t="s">
        <v>11</v>
      </c>
      <c r="H13461" s="12">
        <v>1.2013601508320899</v>
      </c>
      <c r="I13461" s="20">
        <v>0.88976972910604901</v>
      </c>
      <c r="J13461" s="28">
        <v>0.37358954380672998</v>
      </c>
      <c r="K13461" s="29">
        <v>0.98289565623980701</v>
      </c>
    </row>
    <row r="13462" spans="1:11" x14ac:dyDescent="0.35">
      <c r="A13462" s="9" t="str">
        <f>HYPERLINK("http://www.ensembl.org/id/WBGene00009634", "WBGene00009634")</f>
        <v>WBGene00009634</v>
      </c>
      <c r="B13462" s="9" t="str">
        <f>HYPERLINK("http://www.ncbi.nlm.nih.gov/gene/181391", "181391")</f>
        <v>181391</v>
      </c>
      <c r="C13462" s="9"/>
      <c r="D13462" t="str">
        <f>"nspc-9"</f>
        <v>nspc-9</v>
      </c>
      <c r="E13462" t="s">
        <v>4037</v>
      </c>
      <c r="F13462" t="s">
        <v>11</v>
      </c>
      <c r="H13462" s="12">
        <v>1.2271032446595</v>
      </c>
      <c r="I13462" s="20">
        <v>1.08754556132615</v>
      </c>
      <c r="J13462" s="28">
        <v>0.27679577453273402</v>
      </c>
      <c r="K13462" s="29">
        <v>0.98289565623980701</v>
      </c>
    </row>
    <row r="13463" spans="1:11" x14ac:dyDescent="0.35">
      <c r="A13463" s="9" t="str">
        <f>HYPERLINK("http://www.ensembl.org/id/WBGene00020860", "WBGene00020860")</f>
        <v>WBGene00020860</v>
      </c>
      <c r="B13463" s="9" t="str">
        <f>HYPERLINK("http://www.ncbi.nlm.nih.gov/gene/353386", "353386")</f>
        <v>353386</v>
      </c>
      <c r="C13463" s="9"/>
      <c r="D13463" t="str">
        <f>"nspd-10"</f>
        <v>nspd-10</v>
      </c>
      <c r="E13463" t="s">
        <v>5563</v>
      </c>
      <c r="F13463" t="s">
        <v>11</v>
      </c>
      <c r="H13463" s="12">
        <v>-1.5239146287657299</v>
      </c>
      <c r="I13463" s="20">
        <v>-0.64369059165393905</v>
      </c>
      <c r="J13463" s="28">
        <v>0.51977609203528796</v>
      </c>
      <c r="K13463" s="29">
        <v>0.98289565623980701</v>
      </c>
    </row>
    <row r="13464" spans="1:11" x14ac:dyDescent="0.35">
      <c r="A13464" s="9" t="str">
        <f>HYPERLINK("http://www.ensembl.org/id/WBGene00044997", "WBGene00044997")</f>
        <v>WBGene00044997</v>
      </c>
      <c r="B13464" s="9"/>
      <c r="C13464" s="9"/>
      <c r="D13464" t="str">
        <f>"nspd-11"</f>
        <v>nspd-11</v>
      </c>
      <c r="F13464" t="s">
        <v>80</v>
      </c>
      <c r="H13464" s="12">
        <v>3.25094561890712</v>
      </c>
      <c r="I13464" s="20">
        <v>1.0401542967591999</v>
      </c>
      <c r="J13464" s="28">
        <v>0.29826822106355499</v>
      </c>
      <c r="K13464" s="29">
        <v>0.98289565623980701</v>
      </c>
    </row>
    <row r="13465" spans="1:11" x14ac:dyDescent="0.35">
      <c r="A13465" s="9" t="str">
        <f>HYPERLINK("http://www.ensembl.org/id/WBGene00012781", "WBGene00012781")</f>
        <v>WBGene00012781</v>
      </c>
      <c r="B13465" s="9" t="str">
        <f>HYPERLINK("http://www.ncbi.nlm.nih.gov/gene/177910", "177910")</f>
        <v>177910</v>
      </c>
      <c r="C13465" s="9"/>
      <c r="D13465" t="str">
        <f>"nspd-7"</f>
        <v>nspd-7</v>
      </c>
      <c r="E13465" t="s">
        <v>5563</v>
      </c>
      <c r="F13465" t="s">
        <v>11</v>
      </c>
      <c r="H13465" s="12">
        <v>1.1456801336214899</v>
      </c>
      <c r="I13465" s="20">
        <v>0.34416230541880899</v>
      </c>
      <c r="J13465" s="28">
        <v>0.73072422854988694</v>
      </c>
      <c r="K13465" s="29">
        <v>0.98289565623980701</v>
      </c>
    </row>
    <row r="13466" spans="1:11" x14ac:dyDescent="0.35">
      <c r="A13466" s="9" t="str">
        <f>HYPERLINK("http://www.ensembl.org/id/WBGene00012591", "WBGene00012591")</f>
        <v>WBGene00012591</v>
      </c>
      <c r="B13466" s="9" t="str">
        <f>HYPERLINK("http://www.ncbi.nlm.nih.gov/gene/189660", "189660")</f>
        <v>189660</v>
      </c>
      <c r="C13466" s="9"/>
      <c r="D13466" t="str">
        <f>"nspe-1"</f>
        <v>nspe-1</v>
      </c>
      <c r="E13466" t="s">
        <v>2921</v>
      </c>
      <c r="F13466" t="s">
        <v>11</v>
      </c>
      <c r="H13466" s="12">
        <v>2.4617657135836502</v>
      </c>
      <c r="I13466" s="20">
        <v>1.0753409162421701</v>
      </c>
      <c r="J13466" s="28">
        <v>0.28222212381396</v>
      </c>
      <c r="K13466" s="29">
        <v>0.98289565623980701</v>
      </c>
    </row>
    <row r="13467" spans="1:11" x14ac:dyDescent="0.35">
      <c r="A13467" s="9" t="str">
        <f>HYPERLINK("http://www.ensembl.org/id/WBGene00012589", "WBGene00012589")</f>
        <v>WBGene00012589</v>
      </c>
      <c r="B13467" s="9" t="str">
        <f>HYPERLINK("http://www.ncbi.nlm.nih.gov/gene/189658", "189658")</f>
        <v>189658</v>
      </c>
      <c r="C13467" s="9"/>
      <c r="D13467" t="str">
        <f>"nspe-4"</f>
        <v>nspe-4</v>
      </c>
      <c r="E13467" t="s">
        <v>2921</v>
      </c>
      <c r="F13467" t="s">
        <v>11</v>
      </c>
      <c r="H13467" s="12">
        <v>1.21940612815708</v>
      </c>
      <c r="I13467" s="20">
        <v>0.41601691154853299</v>
      </c>
      <c r="J13467" s="28">
        <v>0.67739762827070105</v>
      </c>
      <c r="K13467" s="29">
        <v>0.98289565623980701</v>
      </c>
    </row>
    <row r="13468" spans="1:11" x14ac:dyDescent="0.35">
      <c r="A13468" s="9" t="str">
        <f>HYPERLINK("http://www.ensembl.org/id/WBGene00012603", "WBGene00012603")</f>
        <v>WBGene00012603</v>
      </c>
      <c r="B13468" s="9" t="str">
        <f>HYPERLINK("http://www.ncbi.nlm.nih.gov/gene/3564817", "3564817")</f>
        <v>3564817</v>
      </c>
      <c r="C13468" s="9"/>
      <c r="D13468" t="str">
        <f>"nspe-6"</f>
        <v>nspe-6</v>
      </c>
      <c r="E13468" t="s">
        <v>2921</v>
      </c>
      <c r="F13468" t="s">
        <v>11</v>
      </c>
      <c r="H13468" s="12">
        <v>2.3150937298346799</v>
      </c>
      <c r="I13468" s="20">
        <v>0.86164582783343002</v>
      </c>
      <c r="J13468" s="28">
        <v>0.38888244430423202</v>
      </c>
      <c r="K13468" s="29">
        <v>0.98289565623980701</v>
      </c>
    </row>
    <row r="13469" spans="1:11" x14ac:dyDescent="0.35">
      <c r="A13469" s="9" t="str">
        <f>HYPERLINK("http://www.ensembl.org/id/WBGene00003821", "WBGene00003821")</f>
        <v>WBGene00003821</v>
      </c>
      <c r="B13469" s="9" t="str">
        <f>HYPERLINK("http://www.ncbi.nlm.nih.gov/gene/174329", "174329")</f>
        <v>174329</v>
      </c>
      <c r="C13469" s="9"/>
      <c r="D13469" t="str">
        <f>"nst-1"</f>
        <v>nst-1</v>
      </c>
      <c r="E13469" t="s">
        <v>7474</v>
      </c>
      <c r="F13469" t="s">
        <v>11</v>
      </c>
      <c r="G13469" t="s">
        <v>2097</v>
      </c>
      <c r="H13469" s="12">
        <v>-1.1281194965411501</v>
      </c>
      <c r="I13469" s="20">
        <v>-0.60232190115338302</v>
      </c>
      <c r="J13469" s="28">
        <v>0.54695988510243798</v>
      </c>
      <c r="K13469" s="29">
        <v>0.98289565623980701</v>
      </c>
    </row>
    <row r="13470" spans="1:11" x14ac:dyDescent="0.35">
      <c r="A13470" s="9" t="str">
        <f>HYPERLINK("http://www.ensembl.org/id/WBGene00008237", "WBGene00008237")</f>
        <v>WBGene00008237</v>
      </c>
      <c r="B13470" s="9" t="str">
        <f>HYPERLINK("http://www.ncbi.nlm.nih.gov/gene/179342", "179342")</f>
        <v>179342</v>
      </c>
      <c r="C13470" s="9" t="str">
        <f>HYPERLINK("http://www.ncbi.nlm.nih.gov/gene/55343", "55343")</f>
        <v>55343</v>
      </c>
      <c r="D13470" t="str">
        <f>"nstp-10"</f>
        <v>nstp-10</v>
      </c>
      <c r="E13470" t="s">
        <v>7378</v>
      </c>
      <c r="F13470" t="s">
        <v>11</v>
      </c>
      <c r="G13470" t="s">
        <v>25</v>
      </c>
      <c r="H13470" s="12">
        <v>-1.1227142755416299</v>
      </c>
      <c r="I13470" s="20">
        <v>-0.59142427071478498</v>
      </c>
      <c r="J13470" s="28">
        <v>0.55423618222822102</v>
      </c>
      <c r="K13470" s="29">
        <v>0.98289565623980701</v>
      </c>
    </row>
    <row r="13471" spans="1:11" x14ac:dyDescent="0.35">
      <c r="A13471" s="9" t="str">
        <f>HYPERLINK("http://www.ensembl.org/id/WBGene00015038", "WBGene00015038")</f>
        <v>WBGene00015038</v>
      </c>
      <c r="B13471" s="9" t="str">
        <f>HYPERLINK("http://www.ncbi.nlm.nih.gov/gene/177116", "177116")</f>
        <v>177116</v>
      </c>
      <c r="C13471" s="9"/>
      <c r="D13471" t="str">
        <f>"nstp-6"</f>
        <v>nstp-6</v>
      </c>
      <c r="E13471" t="s">
        <v>1978</v>
      </c>
      <c r="F13471" t="s">
        <v>11</v>
      </c>
      <c r="G13471" t="s">
        <v>1979</v>
      </c>
      <c r="H13471" s="12">
        <v>-1.2055194354751599</v>
      </c>
      <c r="I13471" s="20">
        <v>-0.79650239344737295</v>
      </c>
      <c r="J13471" s="28">
        <v>0.42574008491464299</v>
      </c>
      <c r="K13471" s="29">
        <v>0.98289565623980701</v>
      </c>
    </row>
    <row r="13472" spans="1:11" x14ac:dyDescent="0.35">
      <c r="A13472" s="9" t="str">
        <f>HYPERLINK("http://www.ensembl.org/id/WBGene00018414", "WBGene00018414")</f>
        <v>WBGene00018414</v>
      </c>
      <c r="B13472" s="9" t="str">
        <f>HYPERLINK("http://www.ncbi.nlm.nih.gov/gene/178698", "178698")</f>
        <v>178698</v>
      </c>
      <c r="C13472" s="9"/>
      <c r="D13472" t="str">
        <f>"nstp-8"</f>
        <v>nstp-8</v>
      </c>
      <c r="E13472" t="s">
        <v>4343</v>
      </c>
      <c r="F13472" t="s">
        <v>11</v>
      </c>
      <c r="G13472" t="s">
        <v>1979</v>
      </c>
      <c r="H13472" s="12">
        <v>2.8684837131319401</v>
      </c>
      <c r="I13472" s="20">
        <v>0.59589464841765705</v>
      </c>
      <c r="J13472" s="28">
        <v>0.55124560855331595</v>
      </c>
      <c r="K13472" s="29">
        <v>0.98289565623980701</v>
      </c>
    </row>
    <row r="13473" spans="1:11" x14ac:dyDescent="0.35">
      <c r="A13473" s="9" t="str">
        <f>HYPERLINK("http://www.ensembl.org/id/WBGene00003822", "WBGene00003822")</f>
        <v>WBGene00003822</v>
      </c>
      <c r="B13473" s="9" t="str">
        <f>HYPERLINK("http://www.ncbi.nlm.nih.gov/gene/24104671", "24104671")</f>
        <v>24104671</v>
      </c>
      <c r="C13473" s="9"/>
      <c r="D13473" t="str">
        <f>"nsy-1"</f>
        <v>nsy-1</v>
      </c>
      <c r="E13473" t="s">
        <v>5442</v>
      </c>
      <c r="F13473" t="s">
        <v>11</v>
      </c>
      <c r="G13473" t="s">
        <v>5443</v>
      </c>
      <c r="H13473" s="12">
        <v>1.16405518401663</v>
      </c>
      <c r="I13473" s="20">
        <v>0.82679342240653497</v>
      </c>
      <c r="J13473" s="28">
        <v>0.40835415883320803</v>
      </c>
      <c r="K13473" s="29">
        <v>0.98289565623980701</v>
      </c>
    </row>
    <row r="13474" spans="1:11" x14ac:dyDescent="0.35">
      <c r="A13474" s="9" t="str">
        <f>HYPERLINK("http://www.ensembl.org/id/WBGene00013530", "WBGene00013530")</f>
        <v>WBGene00013530</v>
      </c>
      <c r="B13474" s="9" t="str">
        <f>HYPERLINK("http://www.ncbi.nlm.nih.gov/gene/178432", "178432")</f>
        <v>178432</v>
      </c>
      <c r="C13474" s="9"/>
      <c r="D13474" t="str">
        <f>"ntl-11"</f>
        <v>ntl-11</v>
      </c>
      <c r="E13474" t="s">
        <v>6145</v>
      </c>
      <c r="F13474" t="s">
        <v>11</v>
      </c>
      <c r="G13474" t="s">
        <v>9459</v>
      </c>
      <c r="H13474" s="12">
        <v>-1.2478502609961399</v>
      </c>
      <c r="I13474" s="20">
        <v>-1.09525389929365</v>
      </c>
      <c r="J13474" s="28">
        <v>0.27340541819290898</v>
      </c>
      <c r="K13474" s="29">
        <v>0.98289565623980701</v>
      </c>
    </row>
    <row r="13475" spans="1:11" x14ac:dyDescent="0.35">
      <c r="A13475" s="9" t="str">
        <f>HYPERLINK("http://www.ensembl.org/id/WBGene00003825", "WBGene00003825")</f>
        <v>WBGene00003825</v>
      </c>
      <c r="B13475" s="9" t="str">
        <f>HYPERLINK("http://www.ncbi.nlm.nih.gov/gene/173773", "173773")</f>
        <v>173773</v>
      </c>
      <c r="C13475" s="9" t="str">
        <f>HYPERLINK("http://www.ncbi.nlm.nih.gov/gene/4848", "4848")</f>
        <v>4848</v>
      </c>
      <c r="D13475" t="str">
        <f>"ntl-2"</f>
        <v>ntl-2</v>
      </c>
      <c r="E13475" t="s">
        <v>6145</v>
      </c>
      <c r="F13475" t="s">
        <v>11</v>
      </c>
      <c r="G13475" t="s">
        <v>6146</v>
      </c>
      <c r="H13475" s="12">
        <v>1.05088990391433</v>
      </c>
      <c r="I13475" s="20">
        <v>0.27539855875014202</v>
      </c>
      <c r="J13475" s="28">
        <v>0.78301005124330403</v>
      </c>
      <c r="K13475" s="29">
        <v>0.98289565623980701</v>
      </c>
    </row>
    <row r="13476" spans="1:11" x14ac:dyDescent="0.35">
      <c r="A13476" s="9" t="str">
        <f>HYPERLINK("http://www.ensembl.org/id/WBGene00003826", "WBGene00003826")</f>
        <v>WBGene00003826</v>
      </c>
      <c r="B13476" s="9" t="str">
        <f>HYPERLINK("http://www.ncbi.nlm.nih.gov/gene/176614", "176614")</f>
        <v>176614</v>
      </c>
      <c r="C13476" s="9"/>
      <c r="D13476" t="str">
        <f>"ntl-3"</f>
        <v>ntl-3</v>
      </c>
      <c r="E13476" t="s">
        <v>6145</v>
      </c>
      <c r="F13476" t="s">
        <v>11</v>
      </c>
      <c r="G13476" t="s">
        <v>8724</v>
      </c>
      <c r="H13476" s="12">
        <v>-1.1931862629161201</v>
      </c>
      <c r="I13476" s="20">
        <v>-0.97330976251062995</v>
      </c>
      <c r="J13476" s="28">
        <v>0.33039937188462498</v>
      </c>
      <c r="K13476" s="29">
        <v>0.98289565623980701</v>
      </c>
    </row>
    <row r="13477" spans="1:11" x14ac:dyDescent="0.35">
      <c r="A13477" s="9" t="str">
        <f>HYPERLINK("http://www.ensembl.org/id/WBGene00003827", "WBGene00003827")</f>
        <v>WBGene00003827</v>
      </c>
      <c r="B13477" s="9" t="str">
        <f>HYPERLINK("http://www.ncbi.nlm.nih.gov/gene/177580", "177580")</f>
        <v>177580</v>
      </c>
      <c r="C13477" s="9"/>
      <c r="D13477" t="str">
        <f>"ntl-4"</f>
        <v>ntl-4</v>
      </c>
      <c r="E13477" t="s">
        <v>6145</v>
      </c>
      <c r="F13477" t="s">
        <v>11</v>
      </c>
      <c r="G13477" t="s">
        <v>6157</v>
      </c>
      <c r="H13477" s="12">
        <v>-1.04836444070817</v>
      </c>
      <c r="I13477" s="20">
        <v>-0.25617338481247398</v>
      </c>
      <c r="J13477" s="28">
        <v>0.79781695891516902</v>
      </c>
      <c r="K13477" s="29">
        <v>0.98289565623980701</v>
      </c>
    </row>
    <row r="13478" spans="1:11" x14ac:dyDescent="0.35">
      <c r="A13478" s="9" t="str">
        <f>HYPERLINK("http://www.ensembl.org/id/WBGene00008808", "WBGene00008808")</f>
        <v>WBGene00008808</v>
      </c>
      <c r="B13478" s="9" t="str">
        <f>HYPERLINK("http://www.ncbi.nlm.nih.gov/gene/184471", "184471")</f>
        <v>184471</v>
      </c>
      <c r="C13478" s="9" t="str">
        <f>HYPERLINK("http://www.ncbi.nlm.nih.gov/gene/552", "552")</f>
        <v>552</v>
      </c>
      <c r="D13478" t="str">
        <f>"ntr-2"</f>
        <v>ntr-2</v>
      </c>
      <c r="E13478" t="s">
        <v>4615</v>
      </c>
      <c r="F13478" t="s">
        <v>11</v>
      </c>
      <c r="G13478" t="s">
        <v>1429</v>
      </c>
      <c r="H13478" s="12">
        <v>1.60016380118658</v>
      </c>
      <c r="I13478" s="20">
        <v>0.94289477774750996</v>
      </c>
      <c r="J13478" s="28">
        <v>0.34573472633626301</v>
      </c>
      <c r="K13478" s="29">
        <v>0.98289565623980701</v>
      </c>
    </row>
    <row r="13479" spans="1:11" x14ac:dyDescent="0.35">
      <c r="A13479" s="9" t="str">
        <f>HYPERLINK("http://www.ensembl.org/id/WBGene00008225", "WBGene00008225")</f>
        <v>WBGene00008225</v>
      </c>
      <c r="B13479" s="9" t="str">
        <f>HYPERLINK("http://www.ncbi.nlm.nih.gov/gene/183640", "183640")</f>
        <v>183640</v>
      </c>
      <c r="C13479" s="9" t="str">
        <f>HYPERLINK("http://www.ncbi.nlm.nih.gov/gene/51103", "51103")</f>
        <v>51103</v>
      </c>
      <c r="D13479" t="str">
        <f>"nuaf-1"</f>
        <v>nuaf-1</v>
      </c>
      <c r="E13479" t="s">
        <v>8506</v>
      </c>
      <c r="F13479" t="s">
        <v>11</v>
      </c>
      <c r="G13479" t="s">
        <v>8507</v>
      </c>
      <c r="H13479" s="12">
        <v>-1.1812119316135501</v>
      </c>
      <c r="I13479" s="20">
        <v>-0.79787691216215995</v>
      </c>
      <c r="J13479" s="28">
        <v>0.42494192268617298</v>
      </c>
      <c r="K13479" s="29">
        <v>0.98289565623980701</v>
      </c>
    </row>
    <row r="13480" spans="1:11" x14ac:dyDescent="0.35">
      <c r="A13480" s="9" t="str">
        <f>HYPERLINK("http://www.ensembl.org/id/WBGene00011123", "WBGene00011123")</f>
        <v>WBGene00011123</v>
      </c>
      <c r="B13480" s="9" t="str">
        <f>HYPERLINK("http://www.ncbi.nlm.nih.gov/gene/187686", "187686")</f>
        <v>187686</v>
      </c>
      <c r="C13480" s="9" t="str">
        <f>HYPERLINK("http://www.ncbi.nlm.nih.gov/gene/25915", "25915")</f>
        <v>25915</v>
      </c>
      <c r="D13480" t="str">
        <f>"nuaf-3"</f>
        <v>nuaf-3</v>
      </c>
      <c r="E13480" t="s">
        <v>7131</v>
      </c>
      <c r="F13480" t="s">
        <v>11</v>
      </c>
      <c r="G13480" t="s">
        <v>7132</v>
      </c>
      <c r="H13480" s="12">
        <v>-1.10888097409655</v>
      </c>
      <c r="I13480" s="20">
        <v>-0.464811965327601</v>
      </c>
      <c r="J13480" s="28">
        <v>0.642066118365062</v>
      </c>
      <c r="K13480" s="29">
        <v>0.98289565623980701</v>
      </c>
    </row>
    <row r="13481" spans="1:11" x14ac:dyDescent="0.35">
      <c r="A13481" s="9" t="str">
        <f>HYPERLINK("http://www.ensembl.org/id/WBGene00008664", "WBGene00008664")</f>
        <v>WBGene00008664</v>
      </c>
      <c r="B13481" s="9" t="str">
        <f>HYPERLINK("http://www.ncbi.nlm.nih.gov/gene/172868", "172868")</f>
        <v>172868</v>
      </c>
      <c r="C13481" s="9" t="str">
        <f>HYPERLINK("http://www.ncbi.nlm.nih.gov/gene/4682", "4682")</f>
        <v>4682</v>
      </c>
      <c r="D13481" t="str">
        <f>"nubp-1"</f>
        <v>nubp-1</v>
      </c>
      <c r="E13481" t="s">
        <v>7721</v>
      </c>
      <c r="F13481" t="s">
        <v>11</v>
      </c>
      <c r="G13481" t="s">
        <v>7722</v>
      </c>
      <c r="H13481" s="12">
        <v>-1.1412261528676699</v>
      </c>
      <c r="I13481" s="20">
        <v>-0.67022481848180804</v>
      </c>
      <c r="J13481" s="28">
        <v>0.50271448498587801</v>
      </c>
      <c r="K13481" s="29">
        <v>0.98289565623980701</v>
      </c>
    </row>
    <row r="13482" spans="1:11" x14ac:dyDescent="0.35">
      <c r="A13482" s="9" t="str">
        <f>HYPERLINK("http://www.ensembl.org/id/WBGene00003828", "WBGene00003828")</f>
        <v>WBGene00003828</v>
      </c>
      <c r="B13482" s="9" t="str">
        <f>HYPERLINK("http://www.ncbi.nlm.nih.gov/gene/181174", "181174")</f>
        <v>181174</v>
      </c>
      <c r="C13482" s="9" t="str">
        <f>HYPERLINK("http://www.ncbi.nlm.nih.gov/gene/58511", "58511")</f>
        <v>58511</v>
      </c>
      <c r="D13482" t="str">
        <f>"nuc-1"</f>
        <v>nuc-1</v>
      </c>
      <c r="E13482" t="s">
        <v>9104</v>
      </c>
      <c r="F13482" t="s">
        <v>11</v>
      </c>
      <c r="G13482" t="s">
        <v>4867</v>
      </c>
      <c r="H13482" s="12">
        <v>-1.22091151384351</v>
      </c>
      <c r="I13482" s="20">
        <v>-1.0546056671700901</v>
      </c>
      <c r="J13482" s="28">
        <v>0.29160571082464498</v>
      </c>
      <c r="K13482" s="29">
        <v>0.98289565623980701</v>
      </c>
    </row>
    <row r="13483" spans="1:11" x14ac:dyDescent="0.35">
      <c r="A13483" s="9" t="str">
        <f>HYPERLINK("http://www.ensembl.org/id/WBGene00009674", "WBGene00009674")</f>
        <v>WBGene00009674</v>
      </c>
      <c r="B13483" s="9" t="str">
        <f>HYPERLINK("http://www.ncbi.nlm.nih.gov/gene/181230", "181230")</f>
        <v>181230</v>
      </c>
      <c r="C13483" s="9" t="str">
        <f>HYPERLINK("http://www.ncbi.nlm.nih.gov/gene/4925", "4925")</f>
        <v>4925</v>
      </c>
      <c r="D13483" t="str">
        <f>"nucb-1"</f>
        <v>nucb-1</v>
      </c>
      <c r="E13483" t="s">
        <v>5819</v>
      </c>
      <c r="F13483" t="s">
        <v>11</v>
      </c>
      <c r="G13483" t="s">
        <v>5820</v>
      </c>
      <c r="H13483" s="12">
        <v>1.0967983742719001</v>
      </c>
      <c r="I13483" s="20">
        <v>0.48414909599330203</v>
      </c>
      <c r="J13483" s="28">
        <v>0.62828006019224603</v>
      </c>
      <c r="K13483" s="29">
        <v>0.98289565623980701</v>
      </c>
    </row>
    <row r="13484" spans="1:11" x14ac:dyDescent="0.35">
      <c r="A13484" s="9" t="str">
        <f>HYPERLINK("http://www.ensembl.org/id/WBGene00003829", "WBGene00003829")</f>
        <v>WBGene00003829</v>
      </c>
      <c r="B13484" s="9" t="str">
        <f>HYPERLINK("http://www.ncbi.nlm.nih.gov/gene/176754", "176754")</f>
        <v>176754</v>
      </c>
      <c r="C13484" s="9" t="str">
        <f>HYPERLINK("http://www.ncbi.nlm.nih.gov/gene/10726", "10726")</f>
        <v>10726</v>
      </c>
      <c r="D13484" t="str">
        <f>"nud-1"</f>
        <v>nud-1</v>
      </c>
      <c r="E13484" t="s">
        <v>9505</v>
      </c>
      <c r="F13484" t="s">
        <v>11</v>
      </c>
      <c r="G13484" t="s">
        <v>9506</v>
      </c>
      <c r="H13484" s="12">
        <v>-1.25339836118774</v>
      </c>
      <c r="I13484" s="20">
        <v>-1.13798454324691</v>
      </c>
      <c r="J13484" s="28">
        <v>0.25512693660206698</v>
      </c>
      <c r="K13484" s="29">
        <v>0.98289565623980701</v>
      </c>
    </row>
    <row r="13485" spans="1:11" x14ac:dyDescent="0.35">
      <c r="A13485" s="9" t="str">
        <f>HYPERLINK("http://www.ensembl.org/id/WBGene00020417", "WBGene00020417")</f>
        <v>WBGene00020417</v>
      </c>
      <c r="B13485" s="9" t="str">
        <f>HYPERLINK("http://www.ncbi.nlm.nih.gov/gene/172363", "172363")</f>
        <v>172363</v>
      </c>
      <c r="C13485" s="9" t="str">
        <f>HYPERLINK("http://www.ncbi.nlm.nih.gov/gene/4722", "4722")</f>
        <v>4722</v>
      </c>
      <c r="D13485" t="str">
        <f>"nuo-2"</f>
        <v>nuo-2</v>
      </c>
      <c r="E13485" t="s">
        <v>6942</v>
      </c>
      <c r="F13485" t="s">
        <v>11</v>
      </c>
      <c r="G13485" t="s">
        <v>7311</v>
      </c>
      <c r="H13485" s="12">
        <v>-1.11884949028512</v>
      </c>
      <c r="I13485" s="20">
        <v>-0.58460394750762801</v>
      </c>
      <c r="J13485" s="28">
        <v>0.55881405277946705</v>
      </c>
      <c r="K13485" s="29">
        <v>0.98289565623980701</v>
      </c>
    </row>
    <row r="13486" spans="1:11" x14ac:dyDescent="0.35">
      <c r="A13486" s="9" t="str">
        <f>HYPERLINK("http://www.ensembl.org/id/WBGene00013308", "WBGene00013308")</f>
        <v>WBGene00013308</v>
      </c>
      <c r="B13486" s="9" t="str">
        <f>HYPERLINK("http://www.ncbi.nlm.nih.gov/gene/36805062", "36805062")</f>
        <v>36805062</v>
      </c>
      <c r="C13486" s="9"/>
      <c r="D13486" t="str">
        <f>"nuo-3"</f>
        <v>nuo-3</v>
      </c>
      <c r="E13486" t="s">
        <v>6942</v>
      </c>
      <c r="F13486" t="s">
        <v>11</v>
      </c>
      <c r="G13486" t="s">
        <v>8191</v>
      </c>
      <c r="H13486" s="12">
        <v>-1.1647048772286499</v>
      </c>
      <c r="I13486" s="20">
        <v>-0.72414900517265701</v>
      </c>
      <c r="J13486" s="28">
        <v>0.46897426171764001</v>
      </c>
      <c r="K13486" s="29">
        <v>0.98289565623980701</v>
      </c>
    </row>
    <row r="13487" spans="1:11" x14ac:dyDescent="0.35">
      <c r="A13487" s="9" t="str">
        <f>HYPERLINK("http://www.ensembl.org/id/WBGene00019401", "WBGene00019401")</f>
        <v>WBGene00019401</v>
      </c>
      <c r="B13487" s="9" t="str">
        <f>HYPERLINK("http://www.ncbi.nlm.nih.gov/gene/176001", "176001")</f>
        <v>176001</v>
      </c>
      <c r="C13487" s="9" t="str">
        <f>HYPERLINK("http://www.ncbi.nlm.nih.gov/gene/4705", "4705")</f>
        <v>4705</v>
      </c>
      <c r="D13487" t="str">
        <f>"nuo-4"</f>
        <v>nuo-4</v>
      </c>
      <c r="E13487" t="s">
        <v>6347</v>
      </c>
      <c r="F13487" t="s">
        <v>11</v>
      </c>
      <c r="G13487" t="s">
        <v>6348</v>
      </c>
      <c r="H13487" s="12">
        <v>-1.06407786916549</v>
      </c>
      <c r="I13487" s="20">
        <v>-0.33137962495831702</v>
      </c>
      <c r="J13487" s="28">
        <v>0.74035775322859898</v>
      </c>
      <c r="K13487" s="29">
        <v>0.98289565623980701</v>
      </c>
    </row>
    <row r="13488" spans="1:11" x14ac:dyDescent="0.35">
      <c r="A13488" s="9" t="str">
        <f>HYPERLINK("http://www.ensembl.org/id/WBGene00021562", "WBGene00021562")</f>
        <v>WBGene00021562</v>
      </c>
      <c r="B13488" s="9" t="str">
        <f>HYPERLINK("http://www.ncbi.nlm.nih.gov/gene/178735", "178735")</f>
        <v>178735</v>
      </c>
      <c r="C13488" s="9" t="str">
        <f>HYPERLINK("http://www.ncbi.nlm.nih.gov/gene/4719", "4719")</f>
        <v>4719</v>
      </c>
      <c r="D13488" t="str">
        <f>"nuo-5"</f>
        <v>nuo-5</v>
      </c>
      <c r="E13488" t="s">
        <v>6942</v>
      </c>
      <c r="F13488" t="s">
        <v>11</v>
      </c>
      <c r="G13488" t="s">
        <v>6943</v>
      </c>
      <c r="H13488" s="12">
        <v>-1.09899628394008</v>
      </c>
      <c r="I13488" s="20">
        <v>-0.50924939275810999</v>
      </c>
      <c r="J13488" s="28">
        <v>0.61057742565295303</v>
      </c>
      <c r="K13488" s="29">
        <v>0.98289565623980701</v>
      </c>
    </row>
    <row r="13489" spans="1:11" x14ac:dyDescent="0.35">
      <c r="A13489" s="9" t="str">
        <f>HYPERLINK("http://www.ensembl.org/id/WBGene00009180", "WBGene00009180")</f>
        <v>WBGene00009180</v>
      </c>
      <c r="B13489" s="9" t="str">
        <f>HYPERLINK("http://www.ncbi.nlm.nih.gov/gene/175098", "175098")</f>
        <v>175098</v>
      </c>
      <c r="C13489" s="9"/>
      <c r="D13489" t="str">
        <f>"nurf-1"</f>
        <v>nurf-1</v>
      </c>
      <c r="E13489" t="s">
        <v>6125</v>
      </c>
      <c r="F13489" t="s">
        <v>11</v>
      </c>
      <c r="G13489" t="s">
        <v>6126</v>
      </c>
      <c r="H13489" s="12">
        <v>1.05526614840657</v>
      </c>
      <c r="I13489" s="20">
        <v>0.297067487733854</v>
      </c>
      <c r="J13489" s="28">
        <v>0.76641498553459197</v>
      </c>
      <c r="K13489" s="29">
        <v>0.98289565623980701</v>
      </c>
    </row>
    <row r="13490" spans="1:11" x14ac:dyDescent="0.35">
      <c r="A13490" s="9" t="str">
        <f>HYPERLINK("http://www.ensembl.org/id/WBGene00003834", "WBGene00003834")</f>
        <v>WBGene00003834</v>
      </c>
      <c r="B13490" s="9" t="str">
        <f>HYPERLINK("http://www.ncbi.nlm.nih.gov/gene/191736", "191736")</f>
        <v>191736</v>
      </c>
      <c r="C13490" s="9" t="str">
        <f>HYPERLINK("http://www.ncbi.nlm.nih.gov/gene/10482", "10482")</f>
        <v>10482</v>
      </c>
      <c r="D13490" t="str">
        <f>"nxf-1"</f>
        <v>nxf-1</v>
      </c>
      <c r="E13490" t="s">
        <v>9110</v>
      </c>
      <c r="F13490" t="s">
        <v>11</v>
      </c>
      <c r="G13490" t="s">
        <v>9111</v>
      </c>
      <c r="H13490" s="12">
        <v>-1.22133070166382</v>
      </c>
      <c r="I13490" s="20">
        <v>-1.09171329515798</v>
      </c>
      <c r="J13490" s="28">
        <v>0.27495913955664902</v>
      </c>
      <c r="K13490" s="29">
        <v>0.98289565623980701</v>
      </c>
    </row>
    <row r="13491" spans="1:11" x14ac:dyDescent="0.35">
      <c r="A13491" s="9" t="str">
        <f>HYPERLINK("http://www.ensembl.org/id/WBGene00007177", "WBGene00007177")</f>
        <v>WBGene00007177</v>
      </c>
      <c r="B13491" s="9" t="str">
        <f>HYPERLINK("http://www.ncbi.nlm.nih.gov/gene/181961", "181961")</f>
        <v>181961</v>
      </c>
      <c r="C13491" s="9"/>
      <c r="D13491" t="str">
        <f>"oac-1"</f>
        <v>oac-1</v>
      </c>
      <c r="E13491" t="s">
        <v>883</v>
      </c>
      <c r="F13491" t="s">
        <v>11</v>
      </c>
      <c r="G13491" t="s">
        <v>1992</v>
      </c>
      <c r="H13491" s="12">
        <v>5.7490122204546701</v>
      </c>
      <c r="I13491" s="20">
        <v>1.1727443468393599</v>
      </c>
      <c r="J13491" s="28">
        <v>0.24089834187907699</v>
      </c>
      <c r="K13491" s="29">
        <v>0.98289565623980701</v>
      </c>
    </row>
    <row r="13492" spans="1:11" x14ac:dyDescent="0.35">
      <c r="A13492" s="9" t="str">
        <f>HYPERLINK("http://www.ensembl.org/id/WBGene00017061", "WBGene00017061")</f>
        <v>WBGene00017061</v>
      </c>
      <c r="B13492" s="9" t="str">
        <f>HYPERLINK("http://www.ncbi.nlm.nih.gov/gene/183958", "183958")</f>
        <v>183958</v>
      </c>
      <c r="C13492" s="9"/>
      <c r="D13492" t="str">
        <f>"oac-12"</f>
        <v>oac-12</v>
      </c>
      <c r="E13492" t="s">
        <v>883</v>
      </c>
      <c r="F13492" t="s">
        <v>11</v>
      </c>
      <c r="G13492" t="s">
        <v>1992</v>
      </c>
      <c r="H13492" s="12">
        <v>-2.2773456770676201</v>
      </c>
      <c r="I13492" s="20">
        <v>-0.54053356487160498</v>
      </c>
      <c r="J13492" s="28">
        <v>0.58882911990847298</v>
      </c>
      <c r="K13492" s="29">
        <v>0.98289565623980701</v>
      </c>
    </row>
    <row r="13493" spans="1:11" x14ac:dyDescent="0.35">
      <c r="A13493" s="9" t="str">
        <f>HYPERLINK("http://www.ensembl.org/id/WBGene00008475", "WBGene00008475")</f>
        <v>WBGene00008475</v>
      </c>
      <c r="B13493" s="9" t="str">
        <f>HYPERLINK("http://www.ncbi.nlm.nih.gov/gene/184022", "184022")</f>
        <v>184022</v>
      </c>
      <c r="C13493" s="9"/>
      <c r="D13493" t="str">
        <f>"oac-13"</f>
        <v>oac-13</v>
      </c>
      <c r="E13493" t="s">
        <v>883</v>
      </c>
      <c r="F13493" t="s">
        <v>11</v>
      </c>
      <c r="G13493" t="s">
        <v>1992</v>
      </c>
      <c r="H13493" s="12">
        <v>4.2779691524712202</v>
      </c>
      <c r="I13493" s="20">
        <v>0.76718871504814701</v>
      </c>
      <c r="J13493" s="28">
        <v>0.44296932147602802</v>
      </c>
      <c r="K13493" s="29">
        <v>0.98289565623980701</v>
      </c>
    </row>
    <row r="13494" spans="1:11" x14ac:dyDescent="0.35">
      <c r="A13494" s="9" t="str">
        <f>HYPERLINK("http://www.ensembl.org/id/WBGene00008906", "WBGene00008906")</f>
        <v>WBGene00008906</v>
      </c>
      <c r="B13494" s="9" t="str">
        <f>HYPERLINK("http://www.ncbi.nlm.nih.gov/gene/184612", "184612")</f>
        <v>184612</v>
      </c>
      <c r="C13494" s="9"/>
      <c r="D13494" t="str">
        <f>"oac-17"</f>
        <v>oac-17</v>
      </c>
      <c r="E13494" t="s">
        <v>883</v>
      </c>
      <c r="F13494" t="s">
        <v>11</v>
      </c>
      <c r="G13494" t="s">
        <v>1992</v>
      </c>
      <c r="H13494" s="12">
        <v>4.6387698961716399</v>
      </c>
      <c r="I13494" s="20">
        <v>0.44985450087338802</v>
      </c>
      <c r="J13494" s="28">
        <v>0.65281535672642099</v>
      </c>
      <c r="K13494" s="29">
        <v>0.98289565623980701</v>
      </c>
    </row>
    <row r="13495" spans="1:11" x14ac:dyDescent="0.35">
      <c r="A13495" s="9" t="str">
        <f>HYPERLINK("http://www.ensembl.org/id/WBGene00018141", "WBGene00018141")</f>
        <v>WBGene00018141</v>
      </c>
      <c r="B13495" s="9" t="str">
        <f>HYPERLINK("http://www.ncbi.nlm.nih.gov/gene/185417", "185417")</f>
        <v>185417</v>
      </c>
      <c r="C13495" s="9"/>
      <c r="D13495" t="str">
        <f>"oac-21"</f>
        <v>oac-21</v>
      </c>
      <c r="E13495" t="s">
        <v>883</v>
      </c>
      <c r="F13495" t="s">
        <v>11</v>
      </c>
      <c r="G13495" t="s">
        <v>1992</v>
      </c>
      <c r="H13495" s="12">
        <v>4.9426611675734602</v>
      </c>
      <c r="I13495" s="20">
        <v>0.77154926188425899</v>
      </c>
      <c r="J13495" s="28">
        <v>0.44038143509234501</v>
      </c>
      <c r="K13495" s="29">
        <v>0.98289565623980701</v>
      </c>
    </row>
    <row r="13496" spans="1:11" x14ac:dyDescent="0.35">
      <c r="A13496" s="9" t="str">
        <f>HYPERLINK("http://www.ensembl.org/id/WBGene00018211", "WBGene00018211")</f>
        <v>WBGene00018211</v>
      </c>
      <c r="B13496" s="9" t="str">
        <f>HYPERLINK("http://www.ncbi.nlm.nih.gov/gene/185503", "185503")</f>
        <v>185503</v>
      </c>
      <c r="C13496" s="9"/>
      <c r="D13496" t="str">
        <f>"oac-24"</f>
        <v>oac-24</v>
      </c>
      <c r="E13496" t="s">
        <v>883</v>
      </c>
      <c r="F13496" t="s">
        <v>11</v>
      </c>
      <c r="G13496" t="s">
        <v>1992</v>
      </c>
      <c r="H13496" s="12">
        <v>3.3977094599268201</v>
      </c>
      <c r="I13496" s="20">
        <v>0.84543982239862503</v>
      </c>
      <c r="J13496" s="28">
        <v>0.39786531833335298</v>
      </c>
      <c r="K13496" s="29">
        <v>0.98289565623980701</v>
      </c>
    </row>
    <row r="13497" spans="1:11" x14ac:dyDescent="0.35">
      <c r="A13497" s="9" t="str">
        <f>HYPERLINK("http://www.ensembl.org/id/WBGene00009609", "WBGene00009609")</f>
        <v>WBGene00009609</v>
      </c>
      <c r="B13497" s="9" t="str">
        <f>HYPERLINK("http://www.ncbi.nlm.nih.gov/gene/185604", "185604")</f>
        <v>185604</v>
      </c>
      <c r="C13497" s="9"/>
      <c r="D13497" t="str">
        <f>"oac-27"</f>
        <v>oac-27</v>
      </c>
      <c r="E13497" t="s">
        <v>883</v>
      </c>
      <c r="F13497" t="s">
        <v>11</v>
      </c>
      <c r="G13497" t="s">
        <v>1992</v>
      </c>
      <c r="H13497" s="12">
        <v>-3.5819448292659501</v>
      </c>
      <c r="I13497" s="20">
        <v>-0.37337717500031398</v>
      </c>
      <c r="J13497" s="28">
        <v>0.70886774492290605</v>
      </c>
      <c r="K13497" s="29">
        <v>0.98289565623980701</v>
      </c>
    </row>
    <row r="13498" spans="1:11" x14ac:dyDescent="0.35">
      <c r="A13498" s="9" t="str">
        <f>HYPERLINK("http://www.ensembl.org/id/WBGene00007361", "WBGene00007361")</f>
        <v>WBGene00007361</v>
      </c>
      <c r="B13498" s="9" t="str">
        <f>HYPERLINK("http://www.ncbi.nlm.nih.gov/gene/182290", "182290")</f>
        <v>182290</v>
      </c>
      <c r="C13498" s="9"/>
      <c r="D13498" t="str">
        <f>"oac-3"</f>
        <v>oac-3</v>
      </c>
      <c r="E13498" t="s">
        <v>883</v>
      </c>
      <c r="F13498" t="s">
        <v>11</v>
      </c>
      <c r="G13498" t="s">
        <v>884</v>
      </c>
      <c r="H13498" s="12">
        <v>-1.32420141457087</v>
      </c>
      <c r="I13498" s="20">
        <v>-0.31715001816045502</v>
      </c>
      <c r="J13498" s="28">
        <v>0.75112977332215702</v>
      </c>
      <c r="K13498" s="29">
        <v>0.98289565623980701</v>
      </c>
    </row>
    <row r="13499" spans="1:11" x14ac:dyDescent="0.35">
      <c r="A13499" s="9" t="str">
        <f>HYPERLINK("http://www.ensembl.org/id/WBGene00009972", "WBGene00009972")</f>
        <v>WBGene00009972</v>
      </c>
      <c r="B13499" s="9"/>
      <c r="C13499" s="9"/>
      <c r="D13499" t="str">
        <f>"oac-33"</f>
        <v>oac-33</v>
      </c>
      <c r="F13499" t="s">
        <v>80</v>
      </c>
      <c r="H13499" s="12">
        <v>1.1612813276841301</v>
      </c>
      <c r="I13499" s="20">
        <v>0.39893833898641101</v>
      </c>
      <c r="J13499" s="28">
        <v>0.68993863879123596</v>
      </c>
      <c r="K13499" s="29">
        <v>0.98289565623980701</v>
      </c>
    </row>
    <row r="13500" spans="1:11" x14ac:dyDescent="0.35">
      <c r="A13500" s="9" t="str">
        <f>HYPERLINK("http://www.ensembl.org/id/WBGene00010157", "WBGene00010157")</f>
        <v>WBGene00010157</v>
      </c>
      <c r="B13500" s="9" t="str">
        <f>HYPERLINK("http://www.ncbi.nlm.nih.gov/gene/173024", "173024")</f>
        <v>173024</v>
      </c>
      <c r="C13500" s="9"/>
      <c r="D13500" t="str">
        <f>"oac-34"</f>
        <v>oac-34</v>
      </c>
      <c r="E13500" t="s">
        <v>883</v>
      </c>
      <c r="F13500" t="s">
        <v>11</v>
      </c>
      <c r="G13500" t="s">
        <v>1992</v>
      </c>
      <c r="H13500" s="12">
        <v>2.55113635411585</v>
      </c>
      <c r="I13500" s="20">
        <v>0.62407968795359903</v>
      </c>
      <c r="J13500" s="28">
        <v>0.53257525274537598</v>
      </c>
      <c r="K13500" s="29">
        <v>0.98289565623980701</v>
      </c>
    </row>
    <row r="13501" spans="1:11" x14ac:dyDescent="0.35">
      <c r="A13501" s="9" t="str">
        <f>HYPERLINK("http://www.ensembl.org/id/WBGene00010171", "WBGene00010171")</f>
        <v>WBGene00010171</v>
      </c>
      <c r="B13501" s="9" t="str">
        <f>HYPERLINK("http://www.ncbi.nlm.nih.gov/gene/186421", "186421")</f>
        <v>186421</v>
      </c>
      <c r="C13501" s="9"/>
      <c r="D13501" t="str">
        <f>"oac-35"</f>
        <v>oac-35</v>
      </c>
      <c r="E13501" t="s">
        <v>883</v>
      </c>
      <c r="F13501" t="s">
        <v>11</v>
      </c>
      <c r="G13501" t="s">
        <v>1992</v>
      </c>
      <c r="H13501" s="12">
        <v>2.3893468495514898</v>
      </c>
      <c r="I13501" s="20">
        <v>0.25323547253672701</v>
      </c>
      <c r="J13501" s="28">
        <v>0.80008625651646104</v>
      </c>
      <c r="K13501" s="29">
        <v>0.98289565623980701</v>
      </c>
    </row>
    <row r="13502" spans="1:11" x14ac:dyDescent="0.35">
      <c r="A13502" s="9" t="str">
        <f>HYPERLINK("http://www.ensembl.org/id/WBGene00015873", "WBGene00015873")</f>
        <v>WBGene00015873</v>
      </c>
      <c r="B13502" s="9" t="str">
        <f>HYPERLINK("http://www.ncbi.nlm.nih.gov/gene/182701", "182701")</f>
        <v>182701</v>
      </c>
      <c r="C13502" s="9"/>
      <c r="D13502" t="str">
        <f>"oac-4"</f>
        <v>oac-4</v>
      </c>
      <c r="E13502" t="s">
        <v>883</v>
      </c>
      <c r="F13502" t="s">
        <v>11</v>
      </c>
      <c r="G13502" t="s">
        <v>1992</v>
      </c>
      <c r="H13502" s="12">
        <v>20.901393112954899</v>
      </c>
      <c r="I13502" s="20">
        <v>1.143037777283</v>
      </c>
      <c r="J13502" s="28">
        <v>0.25302290659746701</v>
      </c>
      <c r="K13502" s="29">
        <v>0.98289565623980701</v>
      </c>
    </row>
    <row r="13503" spans="1:11" x14ac:dyDescent="0.35">
      <c r="A13503" s="9" t="str">
        <f>HYPERLINK("http://www.ensembl.org/id/WBGene00019849", "WBGene00019849")</f>
        <v>WBGene00019849</v>
      </c>
      <c r="B13503" s="9" t="str">
        <f>HYPERLINK("http://www.ncbi.nlm.nih.gov/gene/179279", "179279")</f>
        <v>179279</v>
      </c>
      <c r="C13503" s="9"/>
      <c r="D13503" t="str">
        <f>"oac-40"</f>
        <v>oac-40</v>
      </c>
      <c r="E13503" t="s">
        <v>883</v>
      </c>
      <c r="F13503" t="s">
        <v>11</v>
      </c>
      <c r="G13503" t="s">
        <v>1992</v>
      </c>
      <c r="H13503" s="12">
        <v>1.64335458639178</v>
      </c>
      <c r="I13503" s="20">
        <v>0.536206237818451</v>
      </c>
      <c r="J13503" s="28">
        <v>0.59181602289632396</v>
      </c>
      <c r="K13503" s="29">
        <v>0.98289565623980701</v>
      </c>
    </row>
    <row r="13504" spans="1:11" x14ac:dyDescent="0.35">
      <c r="A13504" s="9" t="str">
        <f>HYPERLINK("http://www.ensembl.org/id/WBGene00011515", "WBGene00011515")</f>
        <v>WBGene00011515</v>
      </c>
      <c r="B13504" s="9" t="str">
        <f>HYPERLINK("http://www.ncbi.nlm.nih.gov/gene/188167", "188167")</f>
        <v>188167</v>
      </c>
      <c r="C13504" s="9"/>
      <c r="D13504" t="str">
        <f>"oac-42"</f>
        <v>oac-42</v>
      </c>
      <c r="E13504" t="s">
        <v>883</v>
      </c>
      <c r="F13504" t="s">
        <v>11</v>
      </c>
      <c r="G13504" t="s">
        <v>1992</v>
      </c>
      <c r="H13504" s="12">
        <v>7.8691597089380902</v>
      </c>
      <c r="I13504" s="20">
        <v>0.61251365190975104</v>
      </c>
      <c r="J13504" s="28">
        <v>0.54019796842331003</v>
      </c>
      <c r="K13504" s="29">
        <v>0.98289565623980701</v>
      </c>
    </row>
    <row r="13505" spans="1:11" x14ac:dyDescent="0.35">
      <c r="A13505" s="9" t="str">
        <f>HYPERLINK("http://www.ensembl.org/id/WBGene00011653", "WBGene00011653")</f>
        <v>WBGene00011653</v>
      </c>
      <c r="B13505" s="9" t="str">
        <f>HYPERLINK("http://www.ncbi.nlm.nih.gov/gene/188332", "188332")</f>
        <v>188332</v>
      </c>
      <c r="C13505" s="9"/>
      <c r="D13505" t="str">
        <f>"oac-43"</f>
        <v>oac-43</v>
      </c>
      <c r="E13505" t="s">
        <v>883</v>
      </c>
      <c r="F13505" t="s">
        <v>11</v>
      </c>
      <c r="G13505" t="s">
        <v>1992</v>
      </c>
      <c r="H13505" s="12">
        <v>2.1882464882841299</v>
      </c>
      <c r="I13505" s="20">
        <v>0.37229884723380702</v>
      </c>
      <c r="J13505" s="28">
        <v>0.70967035681139301</v>
      </c>
      <c r="K13505" s="29">
        <v>0.98289565623980701</v>
      </c>
    </row>
    <row r="13506" spans="1:11" x14ac:dyDescent="0.35">
      <c r="A13506" s="9" t="str">
        <f>HYPERLINK("http://www.ensembl.org/id/WBGene00011933", "WBGene00011933")</f>
        <v>WBGene00011933</v>
      </c>
      <c r="B13506" s="9"/>
      <c r="C13506" s="9"/>
      <c r="D13506" t="str">
        <f>"oac-47"</f>
        <v>oac-47</v>
      </c>
      <c r="F13506" t="s">
        <v>80</v>
      </c>
      <c r="H13506" s="12">
        <v>19.071979282918999</v>
      </c>
      <c r="I13506" s="20">
        <v>1.2028966879384799</v>
      </c>
      <c r="J13506" s="28">
        <v>0.22901630219432401</v>
      </c>
      <c r="K13506" s="29">
        <v>0.98289565623980701</v>
      </c>
    </row>
    <row r="13507" spans="1:11" x14ac:dyDescent="0.35">
      <c r="A13507" s="9" t="str">
        <f>HYPERLINK("http://www.ensembl.org/id/WBGene00020864", "WBGene00020864")</f>
        <v>WBGene00020864</v>
      </c>
      <c r="B13507" s="9" t="str">
        <f>HYPERLINK("http://www.ncbi.nlm.nih.gov/gene/179284", "179284")</f>
        <v>179284</v>
      </c>
      <c r="C13507" s="9"/>
      <c r="D13507" t="str">
        <f>"oac-50"</f>
        <v>oac-50</v>
      </c>
      <c r="E13507" t="s">
        <v>883</v>
      </c>
      <c r="F13507" t="s">
        <v>11</v>
      </c>
      <c r="G13507" t="s">
        <v>25</v>
      </c>
      <c r="H13507" s="12">
        <v>-2.1553736833814501</v>
      </c>
      <c r="I13507" s="20">
        <v>-0.80283709603299103</v>
      </c>
      <c r="J13507" s="28">
        <v>0.42206889785567397</v>
      </c>
      <c r="K13507" s="29">
        <v>0.98289565623980701</v>
      </c>
    </row>
    <row r="13508" spans="1:11" x14ac:dyDescent="0.35">
      <c r="A13508" s="9" t="str">
        <f>HYPERLINK("http://www.ensembl.org/id/WBGene00020976", "WBGene00020976")</f>
        <v>WBGene00020976</v>
      </c>
      <c r="B13508" s="9" t="str">
        <f>HYPERLINK("http://www.ncbi.nlm.nih.gov/gene/189146", "189146")</f>
        <v>189146</v>
      </c>
      <c r="C13508" s="9"/>
      <c r="D13508" t="str">
        <f>"oac-51"</f>
        <v>oac-51</v>
      </c>
      <c r="E13508" t="s">
        <v>883</v>
      </c>
      <c r="F13508" t="s">
        <v>11</v>
      </c>
      <c r="G13508" t="s">
        <v>1992</v>
      </c>
      <c r="H13508" s="12">
        <v>1.11325308874816</v>
      </c>
      <c r="I13508" s="20">
        <v>0.27498741653861603</v>
      </c>
      <c r="J13508" s="28">
        <v>0.78332590591835105</v>
      </c>
      <c r="K13508" s="29">
        <v>0.98289565623980701</v>
      </c>
    </row>
    <row r="13509" spans="1:11" x14ac:dyDescent="0.35">
      <c r="A13509" s="9" t="str">
        <f>HYPERLINK("http://www.ensembl.org/id/WBGene00020977", "WBGene00020977")</f>
        <v>WBGene00020977</v>
      </c>
      <c r="B13509" s="9" t="str">
        <f>HYPERLINK("http://www.ncbi.nlm.nih.gov/gene/189147", "189147")</f>
        <v>189147</v>
      </c>
      <c r="C13509" s="9"/>
      <c r="D13509" t="str">
        <f>"oac-52"</f>
        <v>oac-52</v>
      </c>
      <c r="E13509" t="s">
        <v>883</v>
      </c>
      <c r="F13509" t="s">
        <v>11</v>
      </c>
      <c r="G13509" t="s">
        <v>1992</v>
      </c>
      <c r="H13509" s="12">
        <v>2.8730513913817002</v>
      </c>
      <c r="I13509" s="20">
        <v>1.0199692010668999</v>
      </c>
      <c r="J13509" s="28">
        <v>0.30774306779715599</v>
      </c>
      <c r="K13509" s="29">
        <v>0.98289565623980701</v>
      </c>
    </row>
    <row r="13510" spans="1:11" x14ac:dyDescent="0.35">
      <c r="A13510" s="9" t="str">
        <f>HYPERLINK("http://www.ensembl.org/id/WBGene00021479", "WBGene00021479")</f>
        <v>WBGene00021479</v>
      </c>
      <c r="B13510" s="9" t="str">
        <f>HYPERLINK("http://www.ncbi.nlm.nih.gov/gene/178792", "178792")</f>
        <v>178792</v>
      </c>
      <c r="C13510" s="9"/>
      <c r="D13510" t="str">
        <f>"oac-55"</f>
        <v>oac-55</v>
      </c>
      <c r="E13510" t="s">
        <v>883</v>
      </c>
      <c r="F13510" t="s">
        <v>11</v>
      </c>
      <c r="G13510" t="s">
        <v>884</v>
      </c>
      <c r="H13510" s="12">
        <v>1.28733623261693</v>
      </c>
      <c r="I13510" s="20">
        <v>0.26402359356498201</v>
      </c>
      <c r="J13510" s="28">
        <v>0.79176173857939602</v>
      </c>
      <c r="K13510" s="29">
        <v>0.98289565623980701</v>
      </c>
    </row>
    <row r="13511" spans="1:11" x14ac:dyDescent="0.35">
      <c r="A13511" s="9" t="str">
        <f>HYPERLINK("http://www.ensembl.org/id/WBGene00019580", "WBGene00019580")</f>
        <v>WBGene00019580</v>
      </c>
      <c r="B13511" s="9" t="str">
        <f>HYPERLINK("http://www.ncbi.nlm.nih.gov/gene/187225", "187225")</f>
        <v>187225</v>
      </c>
      <c r="C13511" s="9"/>
      <c r="D13511" t="str">
        <f>"oac-58"</f>
        <v>oac-58</v>
      </c>
      <c r="E13511" t="s">
        <v>883</v>
      </c>
      <c r="F13511" t="s">
        <v>11</v>
      </c>
      <c r="G13511" t="s">
        <v>1992</v>
      </c>
      <c r="H13511" s="12">
        <v>2.4936262654613701</v>
      </c>
      <c r="I13511" s="20">
        <v>1.0684777399572201</v>
      </c>
      <c r="J13511" s="28">
        <v>0.28530506627617103</v>
      </c>
      <c r="K13511" s="29">
        <v>0.98289565623980701</v>
      </c>
    </row>
    <row r="13512" spans="1:11" x14ac:dyDescent="0.35">
      <c r="A13512" s="9" t="str">
        <f>HYPERLINK("http://www.ensembl.org/id/WBGene00016585", "WBGene00016585")</f>
        <v>WBGene00016585</v>
      </c>
      <c r="B13512" s="9" t="str">
        <f>HYPERLINK("http://www.ncbi.nlm.nih.gov/gene/178180", "178180")</f>
        <v>178180</v>
      </c>
      <c r="C13512" s="9"/>
      <c r="D13512" t="str">
        <f>"oac-59"</f>
        <v>oac-59</v>
      </c>
      <c r="E13512" t="s">
        <v>883</v>
      </c>
      <c r="F13512" t="s">
        <v>11</v>
      </c>
      <c r="G13512" t="s">
        <v>1992</v>
      </c>
      <c r="H13512" s="12">
        <v>-1.2114244408281301</v>
      </c>
      <c r="I13512" s="20">
        <v>-0.99855546174603005</v>
      </c>
      <c r="J13512" s="28">
        <v>0.318010084716633</v>
      </c>
      <c r="K13512" s="29">
        <v>0.98289565623980701</v>
      </c>
    </row>
    <row r="13513" spans="1:11" x14ac:dyDescent="0.35">
      <c r="A13513" s="9" t="str">
        <f>HYPERLINK("http://www.ensembl.org/id/WBGene00007833", "WBGene00007833")</f>
        <v>WBGene00007833</v>
      </c>
      <c r="B13513" s="9" t="str">
        <f>HYPERLINK("http://www.ncbi.nlm.nih.gov/gene/180094", "180094")</f>
        <v>180094</v>
      </c>
      <c r="C13513" s="9"/>
      <c r="D13513" t="str">
        <f>"oac-6"</f>
        <v>oac-6</v>
      </c>
      <c r="E13513" t="s">
        <v>883</v>
      </c>
      <c r="F13513" t="s">
        <v>11</v>
      </c>
      <c r="G13513" t="s">
        <v>884</v>
      </c>
      <c r="H13513" s="12">
        <v>-1.77293788989963</v>
      </c>
      <c r="I13513" s="20">
        <v>-0.59047805088495897</v>
      </c>
      <c r="J13513" s="28">
        <v>0.554870196779781</v>
      </c>
      <c r="K13513" s="29">
        <v>0.98289565623980701</v>
      </c>
    </row>
    <row r="13514" spans="1:11" x14ac:dyDescent="0.35">
      <c r="A13514" s="9" t="str">
        <f>HYPERLINK("http://www.ensembl.org/id/WBGene00008077", "WBGene00008077")</f>
        <v>WBGene00008077</v>
      </c>
      <c r="B13514" s="9" t="str">
        <f>HYPERLINK("http://www.ncbi.nlm.nih.gov/gene/3565159", "3565159")</f>
        <v>3565159</v>
      </c>
      <c r="C13514" s="9"/>
      <c r="D13514" t="str">
        <f>"oac-8"</f>
        <v>oac-8</v>
      </c>
      <c r="E13514" t="s">
        <v>883</v>
      </c>
      <c r="F13514" t="s">
        <v>11</v>
      </c>
      <c r="G13514" t="s">
        <v>1992</v>
      </c>
      <c r="H13514" s="12">
        <v>1.31436609265728</v>
      </c>
      <c r="I13514" s="20">
        <v>0.50989084959373598</v>
      </c>
      <c r="J13514" s="28">
        <v>0.61012793292503398</v>
      </c>
      <c r="K13514" s="29">
        <v>0.98289565623980701</v>
      </c>
    </row>
    <row r="13515" spans="1:11" x14ac:dyDescent="0.35">
      <c r="A13515" s="9" t="str">
        <f>HYPERLINK("http://www.ensembl.org/id/WBGene00016753", "WBGene00016753")</f>
        <v>WBGene00016753</v>
      </c>
      <c r="B13515" s="9" t="str">
        <f>HYPERLINK("http://www.ncbi.nlm.nih.gov/gene/172323", "172323")</f>
        <v>172323</v>
      </c>
      <c r="C13515" s="9"/>
      <c r="D13515" t="str">
        <f>"oac-9"</f>
        <v>oac-9</v>
      </c>
      <c r="E13515" t="s">
        <v>883</v>
      </c>
      <c r="F13515" t="s">
        <v>11</v>
      </c>
      <c r="G13515" t="s">
        <v>884</v>
      </c>
      <c r="H13515" s="12">
        <v>1.30432302229462</v>
      </c>
      <c r="I13515" s="20">
        <v>0.276320831522882</v>
      </c>
      <c r="J13515" s="28">
        <v>0.78230165729884904</v>
      </c>
      <c r="K13515" s="29">
        <v>0.98289565623980701</v>
      </c>
    </row>
    <row r="13516" spans="1:11" x14ac:dyDescent="0.35">
      <c r="A13516" s="9" t="str">
        <f>HYPERLINK("http://www.ensembl.org/id/WBGene00022748", "WBGene00022748")</f>
        <v>WBGene00022748</v>
      </c>
      <c r="B13516" s="9" t="str">
        <f>HYPERLINK("http://www.ncbi.nlm.nih.gov/gene/172291", "172291")</f>
        <v>172291</v>
      </c>
      <c r="C13516" s="9"/>
      <c r="D13516" t="str">
        <f>"oaz-1"</f>
        <v>oaz-1</v>
      </c>
      <c r="E13516" t="s">
        <v>8895</v>
      </c>
      <c r="F13516" t="s">
        <v>11</v>
      </c>
      <c r="G13516" t="s">
        <v>8896</v>
      </c>
      <c r="H13516" s="12">
        <v>-1.2057709686956399</v>
      </c>
      <c r="I13516" s="20">
        <v>-1.0391651139954201</v>
      </c>
      <c r="J13516" s="28">
        <v>0.29872795209777298</v>
      </c>
      <c r="K13516" s="29">
        <v>0.98289565623980701</v>
      </c>
    </row>
    <row r="13517" spans="1:11" x14ac:dyDescent="0.35">
      <c r="A13517" s="9" t="str">
        <f>HYPERLINK("http://www.ensembl.org/id/WBGene00008832", "WBGene00008832")</f>
        <v>WBGene00008832</v>
      </c>
      <c r="B13517" s="9" t="str">
        <f>HYPERLINK("http://www.ncbi.nlm.nih.gov/gene/180003", "180003")</f>
        <v>180003</v>
      </c>
      <c r="C13517" s="9" t="str">
        <f>HYPERLINK("http://www.ncbi.nlm.nih.gov/gene/9885", "9885")</f>
        <v>9885</v>
      </c>
      <c r="D13517" t="str">
        <f>"obr-2"</f>
        <v>obr-2</v>
      </c>
      <c r="E13517" t="s">
        <v>2242</v>
      </c>
      <c r="F13517" t="s">
        <v>11</v>
      </c>
      <c r="G13517" t="s">
        <v>5274</v>
      </c>
      <c r="H13517" s="12">
        <v>1.1989927768009101</v>
      </c>
      <c r="I13517" s="20">
        <v>0.96287003968599805</v>
      </c>
      <c r="J13517" s="28">
        <v>0.33561274650842399</v>
      </c>
      <c r="K13517" s="29">
        <v>0.98289565623980701</v>
      </c>
    </row>
    <row r="13518" spans="1:11" x14ac:dyDescent="0.35">
      <c r="A13518" s="9" t="str">
        <f>HYPERLINK("http://www.ensembl.org/id/WBGene00014215", "WBGene00014215")</f>
        <v>WBGene00014215</v>
      </c>
      <c r="B13518" s="9" t="str">
        <f>HYPERLINK("http://www.ncbi.nlm.nih.gov/gene/181495", "181495")</f>
        <v>181495</v>
      </c>
      <c r="C13518" s="9" t="str">
        <f>HYPERLINK("http://www.ncbi.nlm.nih.gov/gene/114882", "114882")</f>
        <v>114882</v>
      </c>
      <c r="D13518" t="str">
        <f>"obr-3"</f>
        <v>obr-3</v>
      </c>
      <c r="E13518" t="s">
        <v>9115</v>
      </c>
      <c r="F13518" t="s">
        <v>11</v>
      </c>
      <c r="G13518" t="s">
        <v>9116</v>
      </c>
      <c r="H13518" s="12">
        <v>-1.2217603282365701</v>
      </c>
      <c r="I13518" s="20">
        <v>-1.0942472656511499</v>
      </c>
      <c r="J13518" s="28">
        <v>0.273846546708922</v>
      </c>
      <c r="K13518" s="29">
        <v>0.98289565623980701</v>
      </c>
    </row>
    <row r="13519" spans="1:11" x14ac:dyDescent="0.35">
      <c r="A13519" s="9" t="str">
        <f>HYPERLINK("http://www.ensembl.org/id/WBGene00003840", "WBGene00003840")</f>
        <v>WBGene00003840</v>
      </c>
      <c r="B13519" s="9" t="str">
        <f>HYPERLINK("http://www.ncbi.nlm.nih.gov/gene/188364", "188364")</f>
        <v>188364</v>
      </c>
      <c r="C13519" s="9"/>
      <c r="D13519" t="str">
        <f>"ocr-3"</f>
        <v>ocr-3</v>
      </c>
      <c r="E13519" t="s">
        <v>1244</v>
      </c>
      <c r="F13519" t="s">
        <v>11</v>
      </c>
      <c r="G13519" t="s">
        <v>3593</v>
      </c>
      <c r="H13519" s="12">
        <v>1.7254700789072099</v>
      </c>
      <c r="I13519" s="20">
        <v>1.1953661354162399</v>
      </c>
      <c r="J13519" s="28">
        <v>0.23194401066789599</v>
      </c>
      <c r="K13519" s="29">
        <v>0.98289565623980701</v>
      </c>
    </row>
    <row r="13520" spans="1:11" x14ac:dyDescent="0.35">
      <c r="A13520" s="9" t="str">
        <f>HYPERLINK("http://www.ensembl.org/id/WBGene00003841", "WBGene00003841")</f>
        <v>WBGene00003841</v>
      </c>
      <c r="B13520" s="9" t="str">
        <f>HYPERLINK("http://www.ncbi.nlm.nih.gov/gene/177506", "177506")</f>
        <v>177506</v>
      </c>
      <c r="C13520" s="9"/>
      <c r="D13520" t="str">
        <f>"ocr-4"</f>
        <v>ocr-4</v>
      </c>
      <c r="E13520" t="s">
        <v>1244</v>
      </c>
      <c r="F13520" t="s">
        <v>11</v>
      </c>
      <c r="G13520" t="s">
        <v>3593</v>
      </c>
      <c r="H13520" s="12">
        <v>3.4897025572290401</v>
      </c>
      <c r="I13520" s="20">
        <v>1.0557753230315901</v>
      </c>
      <c r="J13520" s="28">
        <v>0.291070874902435</v>
      </c>
      <c r="K13520" s="29">
        <v>0.98289565623980701</v>
      </c>
    </row>
    <row r="13521" spans="1:11" x14ac:dyDescent="0.35">
      <c r="A13521" s="9" t="str">
        <f>HYPERLINK("http://www.ensembl.org/id/WBGene00007620", "WBGene00007620")</f>
        <v>WBGene00007620</v>
      </c>
      <c r="B13521" s="9" t="str">
        <f>HYPERLINK("http://www.ncbi.nlm.nih.gov/gene/172822", "172822")</f>
        <v>172822</v>
      </c>
      <c r="C13521" s="9" t="str">
        <f>HYPERLINK("http://www.ncbi.nlm.nih.gov/gene/3633", "3633")</f>
        <v>3633</v>
      </c>
      <c r="D13521" t="str">
        <f>"ocrl-1"</f>
        <v>ocrl-1</v>
      </c>
      <c r="E13521" t="s">
        <v>9225</v>
      </c>
      <c r="F13521" t="s">
        <v>11</v>
      </c>
      <c r="G13521" t="s">
        <v>9226</v>
      </c>
      <c r="H13521" s="12">
        <v>-1.22930425250243</v>
      </c>
      <c r="I13521" s="20">
        <v>-1.07243579360574</v>
      </c>
      <c r="J13521" s="28">
        <v>0.28352433822294798</v>
      </c>
      <c r="K13521" s="29">
        <v>0.98289565623980701</v>
      </c>
    </row>
    <row r="13522" spans="1:11" x14ac:dyDescent="0.35">
      <c r="A13522" s="9" t="str">
        <f>HYPERLINK("http://www.ensembl.org/id/WBGene00003843", "WBGene00003843")</f>
        <v>WBGene00003843</v>
      </c>
      <c r="B13522" s="9" t="str">
        <f>HYPERLINK("http://www.ncbi.nlm.nih.gov/gene/181325", "181325")</f>
        <v>181325</v>
      </c>
      <c r="C13522" s="9"/>
      <c r="D13522" t="str">
        <f>"oct-2"</f>
        <v>oct-2</v>
      </c>
      <c r="E13522" t="s">
        <v>5874</v>
      </c>
      <c r="F13522" t="s">
        <v>11</v>
      </c>
      <c r="G13522" t="s">
        <v>230</v>
      </c>
      <c r="H13522" s="12">
        <v>1.0911850897513899</v>
      </c>
      <c r="I13522" s="20">
        <v>0.39215394150213501</v>
      </c>
      <c r="J13522" s="28">
        <v>0.69494447334689102</v>
      </c>
      <c r="K13522" s="29">
        <v>0.98289565623980701</v>
      </c>
    </row>
    <row r="13523" spans="1:11" x14ac:dyDescent="0.35">
      <c r="A13523" s="9" t="str">
        <f>HYPERLINK("http://www.ensembl.org/id/WBGene00006411", "WBGene00006411")</f>
        <v>WBGene00006411</v>
      </c>
      <c r="B13523" s="9" t="str">
        <f>HYPERLINK("http://www.ncbi.nlm.nih.gov/gene/184469", "184469")</f>
        <v>184469</v>
      </c>
      <c r="C13523" s="9" t="str">
        <f>HYPERLINK("http://www.ncbi.nlm.nih.gov/gene/150", "150")</f>
        <v>150</v>
      </c>
      <c r="D13523" t="str">
        <f>"octr-1"</f>
        <v>octr-1</v>
      </c>
      <c r="E13523" t="s">
        <v>5474</v>
      </c>
      <c r="F13523" t="s">
        <v>11</v>
      </c>
      <c r="G13523" t="s">
        <v>5475</v>
      </c>
      <c r="H13523" s="12">
        <v>1.1601041268777299</v>
      </c>
      <c r="I13523" s="20">
        <v>0.54271259356851997</v>
      </c>
      <c r="J13523" s="28">
        <v>0.587327701971045</v>
      </c>
      <c r="K13523" s="29">
        <v>0.98289565623980701</v>
      </c>
    </row>
    <row r="13524" spans="1:11" x14ac:dyDescent="0.35">
      <c r="A13524" s="9" t="str">
        <f>HYPERLINK("http://www.ensembl.org/id/WBGene00003845", "WBGene00003845")</f>
        <v>WBGene00003845</v>
      </c>
      <c r="B13524" s="9" t="str">
        <f>HYPERLINK("http://www.ncbi.nlm.nih.gov/gene/181893", "181893")</f>
        <v>181893</v>
      </c>
      <c r="C13524" s="9"/>
      <c r="D13524" t="str">
        <f>"odd-1"</f>
        <v>odd-1</v>
      </c>
      <c r="E13524" t="s">
        <v>4568</v>
      </c>
      <c r="F13524" t="s">
        <v>11</v>
      </c>
      <c r="H13524" s="12">
        <v>1.6875913184086899</v>
      </c>
      <c r="I13524" s="20">
        <v>0.930350738818017</v>
      </c>
      <c r="J13524" s="28">
        <v>0.35218951519469399</v>
      </c>
      <c r="K13524" s="29">
        <v>0.98289565623980701</v>
      </c>
    </row>
    <row r="13525" spans="1:11" x14ac:dyDescent="0.35">
      <c r="A13525" s="9" t="str">
        <f>HYPERLINK("http://www.ensembl.org/id/WBGene00003846", "WBGene00003846")</f>
        <v>WBGene00003846</v>
      </c>
      <c r="B13525" s="9" t="str">
        <f>HYPERLINK("http://www.ncbi.nlm.nih.gov/gene/183219", "183219")</f>
        <v>183219</v>
      </c>
      <c r="C13525" s="9"/>
      <c r="D13525" t="str">
        <f>"odd-2"</f>
        <v>odd-2</v>
      </c>
      <c r="E13525" t="s">
        <v>5180</v>
      </c>
      <c r="F13525" t="s">
        <v>11</v>
      </c>
      <c r="H13525" s="12">
        <v>1.22010276068984</v>
      </c>
      <c r="I13525" s="20">
        <v>0.84836863737938795</v>
      </c>
      <c r="J13525" s="28">
        <v>0.39623270327948401</v>
      </c>
      <c r="K13525" s="29">
        <v>0.98289565623980701</v>
      </c>
    </row>
    <row r="13526" spans="1:11" x14ac:dyDescent="0.35">
      <c r="A13526" s="9" t="str">
        <f>HYPERLINK("http://www.ensembl.org/id/WBGene00003848", "WBGene00003848")</f>
        <v>WBGene00003848</v>
      </c>
      <c r="B13526" s="9" t="str">
        <f>HYPERLINK("http://www.ncbi.nlm.nih.gov/gene/181479", "181479")</f>
        <v>181479</v>
      </c>
      <c r="C13526" s="9"/>
      <c r="D13526" t="str">
        <f>"odr-1"</f>
        <v>odr-1</v>
      </c>
      <c r="E13526" t="s">
        <v>4537</v>
      </c>
      <c r="F13526" t="s">
        <v>11</v>
      </c>
      <c r="G13526" t="s">
        <v>3383</v>
      </c>
      <c r="H13526" s="12">
        <v>1.7507720048879001</v>
      </c>
      <c r="I13526" s="20">
        <v>0.568365817013744</v>
      </c>
      <c r="J13526" s="28">
        <v>0.56978659634540796</v>
      </c>
      <c r="K13526" s="29">
        <v>0.98289565623980701</v>
      </c>
    </row>
    <row r="13527" spans="1:11" x14ac:dyDescent="0.35">
      <c r="A13527" s="9" t="str">
        <f>HYPERLINK("http://www.ensembl.org/id/WBGene00018160", "WBGene00018160")</f>
        <v>WBGene00018160</v>
      </c>
      <c r="B13527" s="9" t="str">
        <f>HYPERLINK("http://www.ncbi.nlm.nih.gov/gene/177417", "177417")</f>
        <v>177417</v>
      </c>
      <c r="C13527" s="9"/>
      <c r="D13527" t="str">
        <f>"odr-8"</f>
        <v>odr-8</v>
      </c>
      <c r="E13527" t="s">
        <v>9426</v>
      </c>
      <c r="F13527" t="s">
        <v>11</v>
      </c>
      <c r="G13527" t="s">
        <v>9427</v>
      </c>
      <c r="H13527" s="12">
        <v>-1.2451803816437399</v>
      </c>
      <c r="I13527" s="20">
        <v>-1.1453157898645701</v>
      </c>
      <c r="J13527" s="28">
        <v>0.25207836745818801</v>
      </c>
      <c r="K13527" s="29">
        <v>0.98289565623980701</v>
      </c>
    </row>
    <row r="13528" spans="1:11" x14ac:dyDescent="0.35">
      <c r="A13528" s="9" t="str">
        <f>HYPERLINK("http://www.ensembl.org/id/WBGene00020596", "WBGene00020596")</f>
        <v>WBGene00020596</v>
      </c>
      <c r="B13528" s="9" t="str">
        <f>HYPERLINK("http://www.ncbi.nlm.nih.gov/gene/181164", "181164")</f>
        <v>181164</v>
      </c>
      <c r="C13528" s="9" t="str">
        <f>HYPERLINK("http://www.ncbi.nlm.nih.gov/gene/10724", "10724")</f>
        <v>10724</v>
      </c>
      <c r="D13528" t="str">
        <f>"oga-1"</f>
        <v>oga-1</v>
      </c>
      <c r="E13528" t="s">
        <v>7530</v>
      </c>
      <c r="F13528" t="s">
        <v>11</v>
      </c>
      <c r="G13528" t="s">
        <v>7531</v>
      </c>
      <c r="H13528" s="12">
        <v>-1.1307647740219999</v>
      </c>
      <c r="I13528" s="20">
        <v>-0.67431905082946797</v>
      </c>
      <c r="J13528" s="28">
        <v>0.50010849476448804</v>
      </c>
      <c r="K13528" s="29">
        <v>0.98289565623980701</v>
      </c>
    </row>
    <row r="13529" spans="1:11" x14ac:dyDescent="0.35">
      <c r="A13529" s="9" t="str">
        <f>HYPERLINK("http://www.ensembl.org/id/WBGene00020679", "WBGene00020679")</f>
        <v>WBGene00020679</v>
      </c>
      <c r="B13529" s="9" t="str">
        <f>HYPERLINK("http://www.ncbi.nlm.nih.gov/gene/177235", "177235")</f>
        <v>177235</v>
      </c>
      <c r="C13529" s="9" t="str">
        <f>HYPERLINK("http://www.ncbi.nlm.nih.gov/gene/4967", "4967")</f>
        <v>4967</v>
      </c>
      <c r="D13529" t="str">
        <f>"ogdh-1"</f>
        <v>ogdh-1</v>
      </c>
      <c r="E13529" t="s">
        <v>8833</v>
      </c>
      <c r="F13529" t="s">
        <v>11</v>
      </c>
      <c r="G13529" t="s">
        <v>5904</v>
      </c>
      <c r="H13529" s="12">
        <v>-1.2001475651525899</v>
      </c>
      <c r="I13529" s="20">
        <v>-0.93208457138117395</v>
      </c>
      <c r="J13529" s="28">
        <v>0.35129282084046698</v>
      </c>
      <c r="K13529" s="29">
        <v>0.98289565623980701</v>
      </c>
    </row>
    <row r="13530" spans="1:11" x14ac:dyDescent="0.35">
      <c r="A13530" s="9" t="str">
        <f>HYPERLINK("http://www.ensembl.org/id/WBGene00014098", "WBGene00014098")</f>
        <v>WBGene00014098</v>
      </c>
      <c r="B13530" s="9" t="str">
        <f>HYPERLINK("http://www.ncbi.nlm.nih.gov/gene/179674", "179674")</f>
        <v>179674</v>
      </c>
      <c r="C13530" s="9" t="str">
        <f>HYPERLINK("http://www.ncbi.nlm.nih.gov/gene/55526", "55526")</f>
        <v>55526</v>
      </c>
      <c r="D13530" t="str">
        <f>"ogdh-2"</f>
        <v>ogdh-2</v>
      </c>
      <c r="E13530" t="s">
        <v>5903</v>
      </c>
      <c r="F13530" t="s">
        <v>11</v>
      </c>
      <c r="G13530" t="s">
        <v>5904</v>
      </c>
      <c r="H13530" s="12">
        <v>1.0865921786819599</v>
      </c>
      <c r="I13530" s="20">
        <v>0.445482985737921</v>
      </c>
      <c r="J13530" s="28">
        <v>0.655970752781874</v>
      </c>
      <c r="K13530" s="29">
        <v>0.98289565623980701</v>
      </c>
    </row>
    <row r="13531" spans="1:11" x14ac:dyDescent="0.35">
      <c r="A13531" s="9" t="str">
        <f>HYPERLINK("http://www.ensembl.org/id/WBGene00003858", "WBGene00003858")</f>
        <v>WBGene00003858</v>
      </c>
      <c r="B13531" s="9" t="str">
        <f>HYPERLINK("http://www.ncbi.nlm.nih.gov/gene/176000", "176000")</f>
        <v>176000</v>
      </c>
      <c r="C13531" s="9" t="str">
        <f>HYPERLINK("http://www.ncbi.nlm.nih.gov/gene/8473", "8473")</f>
        <v>8473</v>
      </c>
      <c r="D13531" t="str">
        <f>"ogt-1"</f>
        <v>ogt-1</v>
      </c>
      <c r="E13531" t="s">
        <v>7920</v>
      </c>
      <c r="F13531" t="s">
        <v>11</v>
      </c>
      <c r="G13531" t="s">
        <v>7921</v>
      </c>
      <c r="H13531" s="12">
        <v>-1.1514944731531001</v>
      </c>
      <c r="I13531" s="20">
        <v>-0.78643990954519705</v>
      </c>
      <c r="J13531" s="28">
        <v>0.43160981013802502</v>
      </c>
      <c r="K13531" s="29">
        <v>0.98289565623980701</v>
      </c>
    </row>
    <row r="13532" spans="1:11" x14ac:dyDescent="0.35">
      <c r="A13532" s="9" t="str">
        <f>HYPERLINK("http://www.ensembl.org/id/WBGene00003859", "WBGene00003859")</f>
        <v>WBGene00003859</v>
      </c>
      <c r="B13532" s="9" t="str">
        <f>HYPERLINK("http://www.ncbi.nlm.nih.gov/gene/182450", "182450")</f>
        <v>182450</v>
      </c>
      <c r="C13532" s="9"/>
      <c r="D13532" t="str">
        <f>"oig-1"</f>
        <v>oig-1</v>
      </c>
      <c r="E13532" t="s">
        <v>5126</v>
      </c>
      <c r="F13532" t="s">
        <v>11</v>
      </c>
      <c r="H13532" s="12">
        <v>1.23365276302111</v>
      </c>
      <c r="I13532" s="20">
        <v>0.85742855817226205</v>
      </c>
      <c r="J13532" s="28">
        <v>0.39120808200108198</v>
      </c>
      <c r="K13532" s="29">
        <v>0.98289565623980701</v>
      </c>
    </row>
    <row r="13533" spans="1:11" x14ac:dyDescent="0.35">
      <c r="A13533" s="9" t="str">
        <f>HYPERLINK("http://www.ensembl.org/id/WBGene00043050", "WBGene00043050")</f>
        <v>WBGene00043050</v>
      </c>
      <c r="B13533" s="9" t="str">
        <f>HYPERLINK("http://www.ncbi.nlm.nih.gov/gene/259448", "259448")</f>
        <v>259448</v>
      </c>
      <c r="C13533" s="9"/>
      <c r="D13533" t="str">
        <f>"oig-4"</f>
        <v>oig-4</v>
      </c>
      <c r="E13533" t="s">
        <v>5051</v>
      </c>
      <c r="F13533" t="s">
        <v>11</v>
      </c>
      <c r="H13533" s="12">
        <v>1.25082583954369</v>
      </c>
      <c r="I13533" s="20">
        <v>0.70419627359395598</v>
      </c>
      <c r="J13533" s="28">
        <v>0.481310551356668</v>
      </c>
      <c r="K13533" s="29">
        <v>0.98289565623980701</v>
      </c>
    </row>
    <row r="13534" spans="1:11" x14ac:dyDescent="0.35">
      <c r="A13534" s="9" t="str">
        <f>HYPERLINK("http://www.ensembl.org/id/WBGene00003862", "WBGene00003862")</f>
        <v>WBGene00003862</v>
      </c>
      <c r="B13534" s="9" t="str">
        <f>HYPERLINK("http://www.ncbi.nlm.nih.gov/gene/191737", "191737")</f>
        <v>191737</v>
      </c>
      <c r="C13534" s="9"/>
      <c r="D13534" t="str">
        <f>"old-1"</f>
        <v>old-1</v>
      </c>
      <c r="E13534" t="s">
        <v>4247</v>
      </c>
      <c r="F13534" t="s">
        <v>11</v>
      </c>
      <c r="G13534" t="s">
        <v>4200</v>
      </c>
      <c r="H13534" s="12">
        <v>6.1039599971990803</v>
      </c>
      <c r="I13534" s="20">
        <v>1.0102743349523</v>
      </c>
      <c r="J13534" s="28">
        <v>0.312363873773359</v>
      </c>
      <c r="K13534" s="29">
        <v>0.98289565623980701</v>
      </c>
    </row>
    <row r="13535" spans="1:11" x14ac:dyDescent="0.35">
      <c r="A13535" s="9" t="str">
        <f>HYPERLINK("http://www.ensembl.org/id/WBGene00003863", "WBGene00003863")</f>
        <v>WBGene00003863</v>
      </c>
      <c r="B13535" s="9" t="str">
        <f>HYPERLINK("http://www.ncbi.nlm.nih.gov/gene/191738", "191738")</f>
        <v>191738</v>
      </c>
      <c r="C13535" s="9"/>
      <c r="D13535" t="str">
        <f>"old-2"</f>
        <v>old-2</v>
      </c>
      <c r="E13535" t="s">
        <v>4386</v>
      </c>
      <c r="F13535" t="s">
        <v>11</v>
      </c>
      <c r="G13535" t="s">
        <v>4387</v>
      </c>
      <c r="H13535" s="12">
        <v>2.4578120077400301</v>
      </c>
      <c r="I13535" s="20">
        <v>0.26093350314551</v>
      </c>
      <c r="J13535" s="28">
        <v>0.79414378780213601</v>
      </c>
      <c r="K13535" s="29">
        <v>0.98289565623980701</v>
      </c>
    </row>
    <row r="13536" spans="1:11" x14ac:dyDescent="0.35">
      <c r="A13536" s="9" t="str">
        <f>HYPERLINK("http://www.ensembl.org/id/WBGene00003870", "WBGene00003870")</f>
        <v>WBGene00003870</v>
      </c>
      <c r="B13536" s="9" t="str">
        <f>HYPERLINK("http://www.ncbi.nlm.nih.gov/gene/174433", "174433")</f>
        <v>174433</v>
      </c>
      <c r="C13536" s="9" t="str">
        <f>HYPERLINK("http://www.ncbi.nlm.nih.gov/gene/27348", "27348")</f>
        <v>27348</v>
      </c>
      <c r="D13536" t="str">
        <f>"ooc-5"</f>
        <v>ooc-5</v>
      </c>
      <c r="E13536" t="s">
        <v>9022</v>
      </c>
      <c r="F13536" t="s">
        <v>11</v>
      </c>
      <c r="G13536" t="s">
        <v>9023</v>
      </c>
      <c r="H13536" s="12">
        <v>-1.2150714906558799</v>
      </c>
      <c r="I13536" s="20">
        <v>-0.86777567488718099</v>
      </c>
      <c r="J13536" s="28">
        <v>0.38551714902356998</v>
      </c>
      <c r="K13536" s="29">
        <v>0.98289565623980701</v>
      </c>
    </row>
    <row r="13537" spans="1:11" x14ac:dyDescent="0.35">
      <c r="A13537" s="9" t="str">
        <f>HYPERLINK("http://www.ensembl.org/id/WBGene00015648", "WBGene00015648")</f>
        <v>WBGene00015648</v>
      </c>
      <c r="B13537" s="9" t="str">
        <f>HYPERLINK("http://www.ncbi.nlm.nih.gov/gene/175221", "175221")</f>
        <v>175221</v>
      </c>
      <c r="C13537" s="9"/>
      <c r="D13537" t="str">
        <f>"orai-1"</f>
        <v>orai-1</v>
      </c>
      <c r="F13537" t="s">
        <v>11</v>
      </c>
      <c r="G13537" t="s">
        <v>7983</v>
      </c>
      <c r="H13537" s="12">
        <v>-1.1545774260367001</v>
      </c>
      <c r="I13537" s="20">
        <v>-0.70265986612360598</v>
      </c>
      <c r="J13537" s="28">
        <v>0.48226774453721899</v>
      </c>
      <c r="K13537" s="29">
        <v>0.98289565623980701</v>
      </c>
    </row>
    <row r="13538" spans="1:11" x14ac:dyDescent="0.35">
      <c r="A13538" s="9" t="str">
        <f>HYPERLINK("http://www.ensembl.org/id/WBGene00003882", "WBGene00003882")</f>
        <v>WBGene00003882</v>
      </c>
      <c r="B13538" s="9" t="str">
        <f>HYPERLINK("http://www.ncbi.nlm.nih.gov/gene/174676", "174676")</f>
        <v>174676</v>
      </c>
      <c r="C13538" s="9"/>
      <c r="D13538" t="str">
        <f>"orc-2"</f>
        <v>orc-2</v>
      </c>
      <c r="E13538" t="s">
        <v>7617</v>
      </c>
      <c r="F13538" t="s">
        <v>11</v>
      </c>
      <c r="G13538" t="s">
        <v>7618</v>
      </c>
      <c r="H13538" s="12">
        <v>-1.1362337615979901</v>
      </c>
      <c r="I13538" s="20">
        <v>-0.56495495900556103</v>
      </c>
      <c r="J13538" s="28">
        <v>0.57210440036823695</v>
      </c>
      <c r="K13538" s="29">
        <v>0.98289565623980701</v>
      </c>
    </row>
    <row r="13539" spans="1:11" x14ac:dyDescent="0.35">
      <c r="A13539" s="9" t="str">
        <f>HYPERLINK("http://www.ensembl.org/id/WBGene00003884", "WBGene00003884")</f>
        <v>WBGene00003884</v>
      </c>
      <c r="B13539" s="9" t="str">
        <f>HYPERLINK("http://www.ncbi.nlm.nih.gov/gene/177141", "177141")</f>
        <v>177141</v>
      </c>
      <c r="C13539" s="9" t="str">
        <f>HYPERLINK("http://www.ncbi.nlm.nih.gov/gene/57576", "57576")</f>
        <v>57576</v>
      </c>
      <c r="D13539" t="str">
        <f>"osm-3"</f>
        <v>osm-3</v>
      </c>
      <c r="E13539" t="s">
        <v>4821</v>
      </c>
      <c r="F13539" t="s">
        <v>11</v>
      </c>
      <c r="G13539" t="s">
        <v>4822</v>
      </c>
      <c r="H13539" s="12">
        <v>1.34775450812802</v>
      </c>
      <c r="I13539" s="20">
        <v>0.86068972492763596</v>
      </c>
      <c r="J13539" s="28">
        <v>0.38940895372113998</v>
      </c>
      <c r="K13539" s="29">
        <v>0.98289565623980701</v>
      </c>
    </row>
    <row r="13540" spans="1:11" x14ac:dyDescent="0.35">
      <c r="A13540" s="9" t="str">
        <f>HYPERLINK("http://www.ensembl.org/id/WBGene00003888", "WBGene00003888")</f>
        <v>WBGene00003888</v>
      </c>
      <c r="B13540" s="9" t="str">
        <f>HYPERLINK("http://www.ncbi.nlm.nih.gov/gene/187684", "187684")</f>
        <v>187684</v>
      </c>
      <c r="C13540" s="9"/>
      <c r="D13540" t="str">
        <f>"osm-8"</f>
        <v>osm-8</v>
      </c>
      <c r="E13540" t="s">
        <v>4886</v>
      </c>
      <c r="F13540" t="s">
        <v>11</v>
      </c>
      <c r="H13540" s="12">
        <v>1.3143998809334001</v>
      </c>
      <c r="I13540" s="20">
        <v>0.325890819260026</v>
      </c>
      <c r="J13540" s="28">
        <v>0.74450696202083499</v>
      </c>
      <c r="K13540" s="29">
        <v>0.98289565623980701</v>
      </c>
    </row>
    <row r="13541" spans="1:11" x14ac:dyDescent="0.35">
      <c r="A13541" s="9" t="str">
        <f>HYPERLINK("http://www.ensembl.org/id/WBGene00003889", "WBGene00003889")</f>
        <v>WBGene00003889</v>
      </c>
      <c r="B13541" s="9" t="str">
        <f>HYPERLINK("http://www.ncbi.nlm.nih.gov/gene/177117", "177117")</f>
        <v>177117</v>
      </c>
      <c r="C13541" s="9"/>
      <c r="D13541" t="str">
        <f>"osm-9"</f>
        <v>osm-9</v>
      </c>
      <c r="E13541" t="s">
        <v>4668</v>
      </c>
      <c r="F13541" t="s">
        <v>11</v>
      </c>
      <c r="G13541" t="s">
        <v>4669</v>
      </c>
      <c r="H13541" s="12">
        <v>1.5129479526543299</v>
      </c>
      <c r="I13541" s="20">
        <v>1.18278283425918</v>
      </c>
      <c r="J13541" s="28">
        <v>0.23689522537926999</v>
      </c>
      <c r="K13541" s="29">
        <v>0.98289565623980701</v>
      </c>
    </row>
    <row r="13542" spans="1:11" x14ac:dyDescent="0.35">
      <c r="A13542" s="9" t="str">
        <f>HYPERLINK("http://www.ensembl.org/id/WBGene00003893", "WBGene00003893")</f>
        <v>WBGene00003893</v>
      </c>
      <c r="B13542" s="9" t="str">
        <f>HYPERLINK("http://www.ncbi.nlm.nih.gov/gene/176931", "176931")</f>
        <v>176931</v>
      </c>
      <c r="C13542" s="9" t="str">
        <f>HYPERLINK("http://www.ncbi.nlm.nih.gov/gene/8404", "8404")</f>
        <v>8404</v>
      </c>
      <c r="D13542" t="str">
        <f>"ost-1"</f>
        <v>ost-1</v>
      </c>
      <c r="E13542" t="s">
        <v>6121</v>
      </c>
      <c r="F13542" t="s">
        <v>11</v>
      </c>
      <c r="G13542" t="s">
        <v>6122</v>
      </c>
      <c r="H13542" s="12">
        <v>1.0563397052104</v>
      </c>
      <c r="I13542" s="20">
        <v>0.27432571270936401</v>
      </c>
      <c r="J13542" s="28">
        <v>0.78383432627759497</v>
      </c>
      <c r="K13542" s="29">
        <v>0.98289565623980701</v>
      </c>
    </row>
    <row r="13543" spans="1:11" x14ac:dyDescent="0.35">
      <c r="A13543" s="9" t="str">
        <f>HYPERLINK("http://www.ensembl.org/id/WBGene00015942", "WBGene00015942")</f>
        <v>WBGene00015942</v>
      </c>
      <c r="B13543" s="9" t="str">
        <f>HYPERLINK("http://www.ncbi.nlm.nih.gov/gene/173966", "173966")</f>
        <v>173966</v>
      </c>
      <c r="C13543" s="9"/>
      <c r="D13543" t="str">
        <f>"osta-2"</f>
        <v>osta-2</v>
      </c>
      <c r="E13543" t="s">
        <v>7707</v>
      </c>
      <c r="F13543" t="s">
        <v>11</v>
      </c>
      <c r="H13543" s="12">
        <v>-1.1403951493462201</v>
      </c>
      <c r="I13543" s="20">
        <v>-0.70282714975212002</v>
      </c>
      <c r="J13543" s="28">
        <v>0.48216347542506099</v>
      </c>
      <c r="K13543" s="29">
        <v>0.98289565623980701</v>
      </c>
    </row>
    <row r="13544" spans="1:11" x14ac:dyDescent="0.35">
      <c r="A13544" s="9" t="str">
        <f>HYPERLINK("http://www.ensembl.org/id/WBGene00012182", "WBGene00012182")</f>
        <v>WBGene00012182</v>
      </c>
      <c r="B13544" s="9" t="str">
        <f>HYPERLINK("http://www.ncbi.nlm.nih.gov/gene/175140", "175140")</f>
        <v>175140</v>
      </c>
      <c r="C13544" s="9"/>
      <c r="D13544" t="str">
        <f>"osta-3"</f>
        <v>osta-3</v>
      </c>
      <c r="E13544" t="s">
        <v>8037</v>
      </c>
      <c r="F13544" t="s">
        <v>11</v>
      </c>
      <c r="G13544" t="s">
        <v>25</v>
      </c>
      <c r="H13544" s="12">
        <v>-1.1575238087477899</v>
      </c>
      <c r="I13544" s="20">
        <v>-0.79033180978851703</v>
      </c>
      <c r="J13544" s="28">
        <v>0.42933401430162099</v>
      </c>
      <c r="K13544" s="29">
        <v>0.98289565623980701</v>
      </c>
    </row>
    <row r="13545" spans="1:11" x14ac:dyDescent="0.35">
      <c r="A13545" s="9" t="str">
        <f>HYPERLINK("http://www.ensembl.org/id/WBGene00019693", "WBGene00019693")</f>
        <v>WBGene00019693</v>
      </c>
      <c r="B13545" s="9" t="str">
        <f>HYPERLINK("http://www.ncbi.nlm.nih.gov/gene/172208", "172208")</f>
        <v>172208</v>
      </c>
      <c r="C13545" s="9" t="str">
        <f>HYPERLINK("http://www.ncbi.nlm.nih.gov/gene/6185", "6185")</f>
        <v>6185</v>
      </c>
      <c r="D13545" t="str">
        <f>"ostd-1"</f>
        <v>ostd-1</v>
      </c>
      <c r="E13545" t="s">
        <v>6170</v>
      </c>
      <c r="F13545" t="s">
        <v>11</v>
      </c>
      <c r="G13545" t="s">
        <v>6171</v>
      </c>
      <c r="H13545" s="12">
        <v>-1.0508659659485799</v>
      </c>
      <c r="I13545" s="20">
        <v>-0.26852505398946203</v>
      </c>
      <c r="J13545" s="28">
        <v>0.78829519247926205</v>
      </c>
      <c r="K13545" s="29">
        <v>0.98289565623980701</v>
      </c>
    </row>
    <row r="13546" spans="1:11" x14ac:dyDescent="0.35">
      <c r="A13546" s="9" t="str">
        <f>HYPERLINK("http://www.ensembl.org/id/WBGene00015035", "WBGene00015035")</f>
        <v>WBGene00015035</v>
      </c>
      <c r="B13546" s="9" t="str">
        <f>HYPERLINK("http://www.ncbi.nlm.nih.gov/gene/181841", "181841")</f>
        <v>181841</v>
      </c>
      <c r="C13546" s="9"/>
      <c r="D13546" t="str">
        <f>"otpl-1"</f>
        <v>otpl-1</v>
      </c>
      <c r="E13546" t="s">
        <v>233</v>
      </c>
      <c r="F13546" t="s">
        <v>11</v>
      </c>
      <c r="G13546" t="s">
        <v>234</v>
      </c>
      <c r="H13546" s="12">
        <v>-1.0752947892290201</v>
      </c>
      <c r="I13546" s="20">
        <v>-0.33933510278798101</v>
      </c>
      <c r="J13546" s="28">
        <v>0.73435730151086698</v>
      </c>
      <c r="K13546" s="29">
        <v>0.98289565623980701</v>
      </c>
    </row>
    <row r="13547" spans="1:11" x14ac:dyDescent="0.35">
      <c r="A13547" s="9" t="str">
        <f>HYPERLINK("http://www.ensembl.org/id/WBGene00017449", "WBGene00017449")</f>
        <v>WBGene00017449</v>
      </c>
      <c r="B13547" s="9" t="str">
        <f>HYPERLINK("http://www.ncbi.nlm.nih.gov/gene/259710", "259710")</f>
        <v>259710</v>
      </c>
      <c r="C13547" s="9"/>
      <c r="D13547" t="str">
        <f>"otpl-3"</f>
        <v>otpl-3</v>
      </c>
      <c r="E13547" t="s">
        <v>233</v>
      </c>
      <c r="F13547" t="s">
        <v>11</v>
      </c>
      <c r="G13547" t="s">
        <v>234</v>
      </c>
      <c r="H13547" s="12">
        <v>1.23948577914813</v>
      </c>
      <c r="I13547" s="20">
        <v>0.73539389311646497</v>
      </c>
      <c r="J13547" s="28">
        <v>0.46209963998728498</v>
      </c>
      <c r="K13547" s="29">
        <v>0.98289565623980701</v>
      </c>
    </row>
    <row r="13548" spans="1:11" x14ac:dyDescent="0.35">
      <c r="A13548" s="9" t="str">
        <f>HYPERLINK("http://www.ensembl.org/id/WBGene00015249", "WBGene00015249")</f>
        <v>WBGene00015249</v>
      </c>
      <c r="B13548" s="9" t="str">
        <f>HYPERLINK("http://www.ncbi.nlm.nih.gov/gene/177104", "177104")</f>
        <v>177104</v>
      </c>
      <c r="C13548" s="9"/>
      <c r="D13548" t="str">
        <f>"otub-4"</f>
        <v>otub-4</v>
      </c>
      <c r="E13548" t="s">
        <v>1693</v>
      </c>
      <c r="F13548" t="s">
        <v>11</v>
      </c>
      <c r="G13548" t="s">
        <v>7545</v>
      </c>
      <c r="H13548" s="12">
        <v>-1.13203301334425</v>
      </c>
      <c r="I13548" s="20">
        <v>-0.62080642802895103</v>
      </c>
      <c r="J13548" s="28">
        <v>0.534726993355784</v>
      </c>
      <c r="K13548" s="29">
        <v>0.98289565623980701</v>
      </c>
    </row>
    <row r="13549" spans="1:11" x14ac:dyDescent="0.35">
      <c r="A13549" s="9" t="str">
        <f>HYPERLINK("http://www.ensembl.org/id/WBGene00007215", "WBGene00007215")</f>
        <v>WBGene00007215</v>
      </c>
      <c r="B13549" s="9" t="str">
        <f>HYPERLINK("http://www.ncbi.nlm.nih.gov/gene/173207", "173207")</f>
        <v>173207</v>
      </c>
      <c r="C13549" s="9" t="str">
        <f>HYPERLINK("http://www.ncbi.nlm.nih.gov/gene/5018", "5018")</f>
        <v>5018</v>
      </c>
      <c r="D13549" t="str">
        <f>"oxa-1"</f>
        <v>oxa-1</v>
      </c>
      <c r="E13549" t="s">
        <v>6693</v>
      </c>
      <c r="F13549" t="s">
        <v>11</v>
      </c>
      <c r="G13549" t="s">
        <v>6694</v>
      </c>
      <c r="H13549" s="12">
        <v>-1.08491957312065</v>
      </c>
      <c r="I13549" s="20">
        <v>-0.35295117989529601</v>
      </c>
      <c r="J13549" s="28">
        <v>0.72412504078168705</v>
      </c>
      <c r="K13549" s="29">
        <v>0.98289565623980701</v>
      </c>
    </row>
    <row r="13550" spans="1:11" x14ac:dyDescent="0.35">
      <c r="A13550" s="9" t="str">
        <f>HYPERLINK("http://www.ensembl.org/id/WBGene00003898", "WBGene00003898")</f>
        <v>WBGene00003898</v>
      </c>
      <c r="B13550" s="9" t="str">
        <f>HYPERLINK("http://www.ncbi.nlm.nih.gov/gene/176515", "176515")</f>
        <v>176515</v>
      </c>
      <c r="C13550" s="9" t="str">
        <f>HYPERLINK("http://www.ncbi.nlm.nih.gov/gene/89910", "89910")</f>
        <v>89910</v>
      </c>
      <c r="D13550" t="str">
        <f>"oxi-1"</f>
        <v>oxi-1</v>
      </c>
      <c r="E13550" t="s">
        <v>7099</v>
      </c>
      <c r="F13550" t="s">
        <v>11</v>
      </c>
      <c r="G13550" t="s">
        <v>7100</v>
      </c>
      <c r="H13550" s="12">
        <v>-1.10696584559475</v>
      </c>
      <c r="I13550" s="20">
        <v>-0.52347945253711603</v>
      </c>
      <c r="J13550" s="28">
        <v>0.60064064625179003</v>
      </c>
      <c r="K13550" s="29">
        <v>0.98289565623980701</v>
      </c>
    </row>
    <row r="13551" spans="1:11" x14ac:dyDescent="0.35">
      <c r="A13551" s="9" t="str">
        <f>HYPERLINK("http://www.ensembl.org/id/WBGene00021902", "WBGene00021902")</f>
        <v>WBGene00021902</v>
      </c>
      <c r="B13551" s="9" t="str">
        <f>HYPERLINK("http://www.ncbi.nlm.nih.gov/gene/175702", "175702")</f>
        <v>175702</v>
      </c>
      <c r="C13551" s="9"/>
      <c r="D13551" t="str">
        <f>"oxy-4"</f>
        <v>oxy-4</v>
      </c>
      <c r="E13551" t="s">
        <v>8418</v>
      </c>
      <c r="F13551" t="s">
        <v>11</v>
      </c>
      <c r="H13551" s="12">
        <v>-1.1762589201568601</v>
      </c>
      <c r="I13551" s="20">
        <v>-0.69263445937648205</v>
      </c>
      <c r="J13551" s="28">
        <v>0.488538979265222</v>
      </c>
      <c r="K13551" s="29">
        <v>0.98289565623980701</v>
      </c>
    </row>
    <row r="13552" spans="1:11" x14ac:dyDescent="0.35">
      <c r="A13552" s="9" t="str">
        <f>HYPERLINK("http://www.ensembl.org/id/WBGene00045483", "WBGene00045483")</f>
        <v>WBGene00045483</v>
      </c>
      <c r="B13552" s="9" t="str">
        <f>HYPERLINK("http://www.ncbi.nlm.nih.gov/gene/24104659", "24104659")</f>
        <v>24104659</v>
      </c>
      <c r="C13552" s="9"/>
      <c r="D13552" t="str">
        <f>"oxy-5"</f>
        <v>oxy-5</v>
      </c>
      <c r="F13552" t="s">
        <v>11</v>
      </c>
      <c r="G13552" t="s">
        <v>1865</v>
      </c>
      <c r="H13552" s="12">
        <v>-1.2245110226299201</v>
      </c>
      <c r="I13552" s="20">
        <v>-0.99724302725385705</v>
      </c>
      <c r="J13552" s="28">
        <v>0.31864656044128198</v>
      </c>
      <c r="K13552" s="29">
        <v>0.98289565623980701</v>
      </c>
    </row>
    <row r="13553" spans="1:11" x14ac:dyDescent="0.35">
      <c r="A13553" s="9" t="str">
        <f>HYPERLINK("http://www.ensembl.org/id/WBGene00003901", "WBGene00003901")</f>
        <v>WBGene00003901</v>
      </c>
      <c r="B13553" s="9" t="str">
        <f>HYPERLINK("http://www.ncbi.nlm.nih.gov/gene/175750", "175750")</f>
        <v>175750</v>
      </c>
      <c r="C13553" s="9" t="str">
        <f>HYPERLINK("http://www.ncbi.nlm.nih.gov/gene/5518", "5518")</f>
        <v>5518</v>
      </c>
      <c r="D13553" t="str">
        <f>"paa-1"</f>
        <v>paa-1</v>
      </c>
      <c r="E13553" t="s">
        <v>6274</v>
      </c>
      <c r="F13553" t="s">
        <v>11</v>
      </c>
      <c r="G13553" t="s">
        <v>54</v>
      </c>
      <c r="H13553" s="12">
        <v>-1.0582078657154399</v>
      </c>
      <c r="I13553" s="20">
        <v>-0.31659172826172999</v>
      </c>
      <c r="J13553" s="28">
        <v>0.75155341306025902</v>
      </c>
      <c r="K13553" s="29">
        <v>0.98289565623980701</v>
      </c>
    </row>
    <row r="13554" spans="1:11" x14ac:dyDescent="0.35">
      <c r="A13554" s="9" t="str">
        <f>HYPERLINK("http://www.ensembl.org/id/WBGene00003903", "WBGene00003903")</f>
        <v>WBGene00003903</v>
      </c>
      <c r="B13554" s="9" t="str">
        <f>HYPERLINK("http://www.ncbi.nlm.nih.gov/gene/181473", "181473")</f>
        <v>181473</v>
      </c>
      <c r="C13554" s="9" t="str">
        <f>HYPERLINK("http://www.ncbi.nlm.nih.gov/gene/26986", "26986")</f>
        <v>26986</v>
      </c>
      <c r="D13554" t="str">
        <f>"pab-2"</f>
        <v>pab-2</v>
      </c>
      <c r="E13554" t="s">
        <v>8306</v>
      </c>
      <c r="F13554" t="s">
        <v>11</v>
      </c>
      <c r="G13554" t="s">
        <v>8307</v>
      </c>
      <c r="H13554" s="12">
        <v>-1.17028422696865</v>
      </c>
      <c r="I13554" s="20">
        <v>-0.88341681442736197</v>
      </c>
      <c r="J13554" s="28">
        <v>0.37701110927260101</v>
      </c>
      <c r="K13554" s="29">
        <v>0.98289565623980701</v>
      </c>
    </row>
    <row r="13555" spans="1:11" x14ac:dyDescent="0.35">
      <c r="A13555" s="9" t="str">
        <f>HYPERLINK("http://www.ensembl.org/id/WBGene00015418", "WBGene00015418")</f>
        <v>WBGene00015418</v>
      </c>
      <c r="B13555" s="9" t="str">
        <f>HYPERLINK("http://www.ncbi.nlm.nih.gov/gene/176201", "176201")</f>
        <v>176201</v>
      </c>
      <c r="C13555" s="9"/>
      <c r="D13555" t="str">
        <f>"pac-1"</f>
        <v>pac-1</v>
      </c>
      <c r="E13555" t="s">
        <v>5951</v>
      </c>
      <c r="F13555" t="s">
        <v>11</v>
      </c>
      <c r="G13555" t="s">
        <v>3025</v>
      </c>
      <c r="H13555" s="12">
        <v>1.0807438477282301</v>
      </c>
      <c r="I13555" s="20">
        <v>0.42079223119132902</v>
      </c>
      <c r="J13555" s="28">
        <v>0.67390680506674705</v>
      </c>
      <c r="K13555" s="29">
        <v>0.98289565623980701</v>
      </c>
    </row>
    <row r="13556" spans="1:11" x14ac:dyDescent="0.35">
      <c r="A13556" s="9" t="str">
        <f>HYPERLINK("http://www.ensembl.org/id/WBGene00015116", "WBGene00015116")</f>
        <v>WBGene00015116</v>
      </c>
      <c r="B13556" s="9" t="str">
        <f>HYPERLINK("http://www.ncbi.nlm.nih.gov/gene/173772", "173772")</f>
        <v>173772</v>
      </c>
      <c r="C13556" s="9" t="str">
        <f>HYPERLINK("http://www.ncbi.nlm.nih.gov/gene/10606", "10606")</f>
        <v>10606</v>
      </c>
      <c r="D13556" t="str">
        <f>"pacs-1"</f>
        <v>pacs-1</v>
      </c>
      <c r="E13556" t="s">
        <v>6635</v>
      </c>
      <c r="F13556" t="s">
        <v>11</v>
      </c>
      <c r="G13556" t="s">
        <v>6636</v>
      </c>
      <c r="H13556" s="12">
        <v>-1.0819102891908301</v>
      </c>
      <c r="I13556" s="20">
        <v>-0.40097781523133302</v>
      </c>
      <c r="J13556" s="28">
        <v>0.68843645741542203</v>
      </c>
      <c r="K13556" s="29">
        <v>0.98289565623980701</v>
      </c>
    </row>
    <row r="13557" spans="1:11" x14ac:dyDescent="0.35">
      <c r="A13557" s="9" t="str">
        <f>HYPERLINK("http://www.ensembl.org/id/WBGene00003905", "WBGene00003905")</f>
        <v>WBGene00003905</v>
      </c>
      <c r="B13557" s="9" t="str">
        <f>HYPERLINK("http://www.ncbi.nlm.nih.gov/gene/173156", "173156")</f>
        <v>173156</v>
      </c>
      <c r="C13557" s="9"/>
      <c r="D13557" t="str">
        <f>"pad-1"</f>
        <v>pad-1</v>
      </c>
      <c r="F13557" t="s">
        <v>11</v>
      </c>
      <c r="G13557" t="s">
        <v>6501</v>
      </c>
      <c r="H13557" s="12">
        <v>-1.07241329812564</v>
      </c>
      <c r="I13557" s="20">
        <v>-0.370205080002245</v>
      </c>
      <c r="J13557" s="28">
        <v>0.71122969177686401</v>
      </c>
      <c r="K13557" s="29">
        <v>0.98289565623980701</v>
      </c>
    </row>
    <row r="13558" spans="1:11" x14ac:dyDescent="0.35">
      <c r="A13558" s="9" t="str">
        <f>HYPERLINK("http://www.ensembl.org/id/WBGene00010757", "WBGene00010757")</f>
        <v>WBGene00010757</v>
      </c>
      <c r="B13558" s="9" t="str">
        <f>HYPERLINK("http://www.ncbi.nlm.nih.gov/gene/259529", "259529")</f>
        <v>259529</v>
      </c>
      <c r="C13558" s="9" t="str">
        <f>HYPERLINK("http://www.ncbi.nlm.nih.gov/gene/23275", "23275")</f>
        <v>23275</v>
      </c>
      <c r="D13558" t="str">
        <f>"pad-2"</f>
        <v>pad-2</v>
      </c>
      <c r="E13558" t="s">
        <v>5177</v>
      </c>
      <c r="F13558" t="s">
        <v>11</v>
      </c>
      <c r="G13558" t="s">
        <v>5178</v>
      </c>
      <c r="H13558" s="12">
        <v>1.2209894350514601</v>
      </c>
      <c r="I13558" s="20">
        <v>0.81141321411084599</v>
      </c>
      <c r="J13558" s="28">
        <v>0.417128413155335</v>
      </c>
      <c r="K13558" s="29">
        <v>0.98289565623980701</v>
      </c>
    </row>
    <row r="13559" spans="1:11" x14ac:dyDescent="0.35">
      <c r="A13559" s="9" t="str">
        <f>HYPERLINK("http://www.ensembl.org/id/WBGene00003906", "WBGene00003906")</f>
        <v>WBGene00003906</v>
      </c>
      <c r="B13559" s="9" t="str">
        <f>HYPERLINK("http://www.ncbi.nlm.nih.gov/gene/172120", "172120")</f>
        <v>172120</v>
      </c>
      <c r="C13559" s="9" t="str">
        <f>HYPERLINK("http://www.ncbi.nlm.nih.gov/gene/5051", "5051")</f>
        <v>5051</v>
      </c>
      <c r="D13559" t="str">
        <f>"paf-1"</f>
        <v>paf-1</v>
      </c>
      <c r="E13559" t="s">
        <v>4476</v>
      </c>
      <c r="F13559" t="s">
        <v>11</v>
      </c>
      <c r="G13559" t="s">
        <v>4477</v>
      </c>
      <c r="H13559" s="12">
        <v>1.9237964413461</v>
      </c>
      <c r="I13559" s="20">
        <v>0.34748616729451898</v>
      </c>
      <c r="J13559" s="28">
        <v>0.72822610876382599</v>
      </c>
      <c r="K13559" s="29">
        <v>0.98289565623980701</v>
      </c>
    </row>
    <row r="13560" spans="1:11" x14ac:dyDescent="0.35">
      <c r="A13560" s="9" t="str">
        <f>HYPERLINK("http://www.ensembl.org/id/WBGene00003907", "WBGene00003907")</f>
        <v>WBGene00003907</v>
      </c>
      <c r="B13560" s="9" t="str">
        <f>HYPERLINK("http://www.ncbi.nlm.nih.gov/gene/180704", "180704")</f>
        <v>180704</v>
      </c>
      <c r="C13560" s="9" t="str">
        <f>HYPERLINK("http://www.ncbi.nlm.nih.gov/gene/5051", "5051")</f>
        <v>5051</v>
      </c>
      <c r="D13560" t="str">
        <f>"paf-2"</f>
        <v>paf-2</v>
      </c>
      <c r="E13560" t="s">
        <v>9402</v>
      </c>
      <c r="F13560" t="s">
        <v>11</v>
      </c>
      <c r="G13560" t="s">
        <v>9403</v>
      </c>
      <c r="H13560" s="12">
        <v>-1.2441951471220201</v>
      </c>
      <c r="I13560" s="20">
        <v>-1.12309850775106</v>
      </c>
      <c r="J13560" s="28">
        <v>0.26139565983768698</v>
      </c>
      <c r="K13560" s="29">
        <v>0.98289565623980701</v>
      </c>
    </row>
    <row r="13561" spans="1:11" x14ac:dyDescent="0.35">
      <c r="A13561" s="9" t="str">
        <f>HYPERLINK("http://www.ensembl.org/id/WBGene00008338", "WBGene00008338")</f>
        <v>WBGene00008338</v>
      </c>
      <c r="B13561" s="9" t="str">
        <f>HYPERLINK("http://www.ncbi.nlm.nih.gov/gene/179583", "179583")</f>
        <v>179583</v>
      </c>
      <c r="C13561" s="9" t="str">
        <f>HYPERLINK("http://www.ncbi.nlm.nih.gov/gene/54623", "54623")</f>
        <v>54623</v>
      </c>
      <c r="D13561" t="str">
        <f>"pafo-1"</f>
        <v>pafo-1</v>
      </c>
      <c r="E13561" t="s">
        <v>9275</v>
      </c>
      <c r="F13561" t="s">
        <v>11</v>
      </c>
      <c r="G13561" t="s">
        <v>8886</v>
      </c>
      <c r="H13561" s="12">
        <v>-1.2328383644060299</v>
      </c>
      <c r="I13561" s="20">
        <v>-0.95156983732910205</v>
      </c>
      <c r="J13561" s="28">
        <v>0.34131518466275201</v>
      </c>
      <c r="K13561" s="29">
        <v>0.98289565623980701</v>
      </c>
    </row>
    <row r="13562" spans="1:11" x14ac:dyDescent="0.35">
      <c r="A13562" s="9" t="str">
        <f>HYPERLINK("http://www.ensembl.org/id/WBGene00003911", "WBGene00003911")</f>
        <v>WBGene00003911</v>
      </c>
      <c r="B13562" s="9" t="str">
        <f>HYPERLINK("http://www.ncbi.nlm.nih.gov/gene/180873", "180873")</f>
        <v>180873</v>
      </c>
      <c r="C13562" s="9" t="str">
        <f>HYPERLINK("http://www.ncbi.nlm.nih.gov/gene/5058", "5058")</f>
        <v>5058</v>
      </c>
      <c r="D13562" t="str">
        <f>"pak-1"</f>
        <v>pak-1</v>
      </c>
      <c r="E13562" t="s">
        <v>5365</v>
      </c>
      <c r="F13562" t="s">
        <v>11</v>
      </c>
      <c r="G13562" t="s">
        <v>2542</v>
      </c>
      <c r="H13562" s="12">
        <v>1.18233312096537</v>
      </c>
      <c r="I13562" s="20">
        <v>0.90522975015895302</v>
      </c>
      <c r="J13562" s="28">
        <v>0.36534368407246898</v>
      </c>
      <c r="K13562" s="29">
        <v>0.98289565623980701</v>
      </c>
    </row>
    <row r="13563" spans="1:11" x14ac:dyDescent="0.35">
      <c r="A13563" s="9" t="str">
        <f>HYPERLINK("http://www.ensembl.org/id/WBGene00008858", "WBGene00008858")</f>
        <v>WBGene00008858</v>
      </c>
      <c r="B13563" s="9" t="str">
        <f>HYPERLINK("http://www.ncbi.nlm.nih.gov/gene/184528", "184528")</f>
        <v>184528</v>
      </c>
      <c r="C13563" s="9"/>
      <c r="D13563" t="str">
        <f>"pals-1"</f>
        <v>pals-1</v>
      </c>
      <c r="E13563" t="s">
        <v>1147</v>
      </c>
      <c r="F13563" t="s">
        <v>11</v>
      </c>
      <c r="H13563" s="12">
        <v>1.3515357785423201</v>
      </c>
      <c r="I13563" s="20">
        <v>0.38741499979579602</v>
      </c>
      <c r="J13563" s="28">
        <v>0.69844900093486995</v>
      </c>
      <c r="K13563" s="29">
        <v>0.98289565623980701</v>
      </c>
    </row>
    <row r="13564" spans="1:11" x14ac:dyDescent="0.35">
      <c r="A13564" s="9" t="str">
        <f>HYPERLINK("http://www.ensembl.org/id/WBGene00044708", "WBGene00044708")</f>
        <v>WBGene00044708</v>
      </c>
      <c r="B13564" s="9" t="str">
        <f>HYPERLINK("http://www.ncbi.nlm.nih.gov/gene/4363012", "4363012")</f>
        <v>4363012</v>
      </c>
      <c r="C13564" s="9"/>
      <c r="D13564" t="str">
        <f>"pals-11"</f>
        <v>pals-11</v>
      </c>
      <c r="E13564" t="s">
        <v>1147</v>
      </c>
      <c r="F13564" t="s">
        <v>11</v>
      </c>
      <c r="H13564" s="12">
        <v>15.311360389193499</v>
      </c>
      <c r="I13564" s="20">
        <v>0.90351699119264905</v>
      </c>
      <c r="J13564" s="28">
        <v>0.36625157460114899</v>
      </c>
      <c r="K13564" s="29">
        <v>0.98289565623980701</v>
      </c>
    </row>
    <row r="13565" spans="1:11" x14ac:dyDescent="0.35">
      <c r="A13565" s="9" t="str">
        <f>HYPERLINK("http://www.ensembl.org/id/WBGene00044709", "WBGene00044709")</f>
        <v>WBGene00044709</v>
      </c>
      <c r="B13565" s="9" t="str">
        <f>HYPERLINK("http://www.ncbi.nlm.nih.gov/gene/4363010", "4363010")</f>
        <v>4363010</v>
      </c>
      <c r="C13565" s="9"/>
      <c r="D13565" t="str">
        <f>"pals-12"</f>
        <v>pals-12</v>
      </c>
      <c r="E13565" t="s">
        <v>1147</v>
      </c>
      <c r="F13565" t="s">
        <v>11</v>
      </c>
      <c r="H13565" s="12">
        <v>-2.4991590031922399</v>
      </c>
      <c r="I13565" s="20">
        <v>-0.26577412737581302</v>
      </c>
      <c r="J13565" s="28">
        <v>0.79041317015736101</v>
      </c>
      <c r="K13565" s="29">
        <v>0.98289565623980701</v>
      </c>
    </row>
    <row r="13566" spans="1:11" x14ac:dyDescent="0.35">
      <c r="A13566" s="9" t="str">
        <f>HYPERLINK("http://www.ensembl.org/id/WBGene00012505", "WBGene00012505")</f>
        <v>WBGene00012505</v>
      </c>
      <c r="B13566" s="9" t="str">
        <f>HYPERLINK("http://www.ncbi.nlm.nih.gov/gene/189548", "189548")</f>
        <v>189548</v>
      </c>
      <c r="C13566" s="9"/>
      <c r="D13566" t="str">
        <f>"pals-13"</f>
        <v>pals-13</v>
      </c>
      <c r="E13566" t="s">
        <v>1147</v>
      </c>
      <c r="F13566" t="s">
        <v>11</v>
      </c>
      <c r="H13566" s="12">
        <v>-5.4967879193631202</v>
      </c>
      <c r="I13566" s="20">
        <v>-0.50254160819837501</v>
      </c>
      <c r="J13566" s="28">
        <v>0.61528659178453604</v>
      </c>
      <c r="K13566" s="29">
        <v>0.98289565623980701</v>
      </c>
    </row>
    <row r="13567" spans="1:11" x14ac:dyDescent="0.35">
      <c r="A13567" s="9" t="str">
        <f>HYPERLINK("http://www.ensembl.org/id/WBGene00009061", "WBGene00009061")</f>
        <v>WBGene00009061</v>
      </c>
      <c r="B13567" s="9" t="str">
        <f>HYPERLINK("http://www.ncbi.nlm.nih.gov/gene/184866", "184866")</f>
        <v>184866</v>
      </c>
      <c r="C13567" s="9"/>
      <c r="D13567" t="str">
        <f>"pals-14"</f>
        <v>pals-14</v>
      </c>
      <c r="E13567" t="s">
        <v>1147</v>
      </c>
      <c r="F13567" t="s">
        <v>11</v>
      </c>
      <c r="H13567" s="12">
        <v>-2.1964670900057701</v>
      </c>
      <c r="I13567" s="20">
        <v>-1.09912956033751</v>
      </c>
      <c r="J13567" s="28">
        <v>0.271711557818615</v>
      </c>
      <c r="K13567" s="29">
        <v>0.98289565623980701</v>
      </c>
    </row>
    <row r="13568" spans="1:11" x14ac:dyDescent="0.35">
      <c r="A13568" s="9" t="str">
        <f>HYPERLINK("http://www.ensembl.org/id/WBGene00022337", "WBGene00022337")</f>
        <v>WBGene00022337</v>
      </c>
      <c r="B13568" s="9" t="str">
        <f>HYPERLINK("http://www.ncbi.nlm.nih.gov/gene/190767", "190767")</f>
        <v>190767</v>
      </c>
      <c r="C13568" s="9"/>
      <c r="D13568" t="str">
        <f>"pals-16"</f>
        <v>pals-16</v>
      </c>
      <c r="E13568" t="s">
        <v>1147</v>
      </c>
      <c r="F13568" t="s">
        <v>11</v>
      </c>
      <c r="H13568" s="12">
        <v>-1.75043144973611</v>
      </c>
      <c r="I13568" s="20">
        <v>-1.0869283280854101</v>
      </c>
      <c r="J13568" s="28">
        <v>0.277068485781784</v>
      </c>
      <c r="K13568" s="29">
        <v>0.98289565623980701</v>
      </c>
    </row>
    <row r="13569" spans="1:11" x14ac:dyDescent="0.35">
      <c r="A13569" s="9" t="str">
        <f>HYPERLINK("http://www.ensembl.org/id/WBGene00022346", "WBGene00022346")</f>
        <v>WBGene00022346</v>
      </c>
      <c r="B13569" s="9" t="str">
        <f>HYPERLINK("http://www.ncbi.nlm.nih.gov/gene/175297", "175297")</f>
        <v>175297</v>
      </c>
      <c r="C13569" s="9"/>
      <c r="D13569" t="str">
        <f>"pals-17"</f>
        <v>pals-17</v>
      </c>
      <c r="E13569" t="s">
        <v>1147</v>
      </c>
      <c r="F13569" t="s">
        <v>11</v>
      </c>
      <c r="H13569" s="12">
        <v>-1.21049214897785</v>
      </c>
      <c r="I13569" s="20">
        <v>-0.58336703485376895</v>
      </c>
      <c r="J13569" s="28">
        <v>0.55964624449119105</v>
      </c>
      <c r="K13569" s="29">
        <v>0.98289565623980701</v>
      </c>
    </row>
    <row r="13570" spans="1:11" x14ac:dyDescent="0.35">
      <c r="A13570" s="9" t="str">
        <f>HYPERLINK("http://www.ensembl.org/id/WBGene00044761", "WBGene00044761")</f>
        <v>WBGene00044761</v>
      </c>
      <c r="B13570" s="9" t="str">
        <f>HYPERLINK("http://www.ncbi.nlm.nih.gov/gene/4363048", "4363048")</f>
        <v>4363048</v>
      </c>
      <c r="C13570" s="9"/>
      <c r="D13570" t="str">
        <f>"pals-19"</f>
        <v>pals-19</v>
      </c>
      <c r="E13570" t="s">
        <v>1147</v>
      </c>
      <c r="F13570" t="s">
        <v>11</v>
      </c>
      <c r="H13570" s="12">
        <v>-1.42768083964697</v>
      </c>
      <c r="I13570" s="20">
        <v>-0.81850928361401898</v>
      </c>
      <c r="J13570" s="28">
        <v>0.413066443211344</v>
      </c>
      <c r="K13570" s="29">
        <v>0.98289565623980701</v>
      </c>
    </row>
    <row r="13571" spans="1:11" x14ac:dyDescent="0.35">
      <c r="A13571" s="9" t="str">
        <f>HYPERLINK("http://www.ensembl.org/id/WBGene00007656", "WBGene00007656")</f>
        <v>WBGene00007656</v>
      </c>
      <c r="B13571" s="9" t="str">
        <f>HYPERLINK("http://www.ncbi.nlm.nih.gov/gene/182746", "182746")</f>
        <v>182746</v>
      </c>
      <c r="C13571" s="9"/>
      <c r="D13571" t="str">
        <f>"pals-2"</f>
        <v>pals-2</v>
      </c>
      <c r="E13571" t="s">
        <v>1147</v>
      </c>
      <c r="F13571" t="s">
        <v>11</v>
      </c>
      <c r="H13571" s="12">
        <v>4.9526753665276404</v>
      </c>
      <c r="I13571" s="20">
        <v>1.11120380803718</v>
      </c>
      <c r="J13571" s="28">
        <v>0.26648063250024201</v>
      </c>
      <c r="K13571" s="29">
        <v>0.98289565623980701</v>
      </c>
    </row>
    <row r="13572" spans="1:11" x14ac:dyDescent="0.35">
      <c r="A13572" s="9" t="str">
        <f>HYPERLINK("http://www.ensembl.org/id/WBGene00194746", "WBGene00194746")</f>
        <v>WBGene00194746</v>
      </c>
      <c r="B13572" s="9" t="str">
        <f>HYPERLINK("http://www.ncbi.nlm.nih.gov/gene/13188497", "13188497")</f>
        <v>13188497</v>
      </c>
      <c r="C13572" s="9"/>
      <c r="D13572" t="str">
        <f>"pals-20"</f>
        <v>pals-20</v>
      </c>
      <c r="E13572" t="s">
        <v>1147</v>
      </c>
      <c r="F13572" t="s">
        <v>11</v>
      </c>
      <c r="H13572" s="12">
        <v>-2.01268232747181</v>
      </c>
      <c r="I13572" s="20">
        <v>-0.50019419882479699</v>
      </c>
      <c r="J13572" s="28">
        <v>0.61693834274595205</v>
      </c>
      <c r="K13572" s="29">
        <v>0.98289565623980701</v>
      </c>
    </row>
    <row r="13573" spans="1:11" x14ac:dyDescent="0.35">
      <c r="A13573" s="9" t="str">
        <f>HYPERLINK("http://www.ensembl.org/id/WBGene00255597", "WBGene00255597")</f>
        <v>WBGene00255597</v>
      </c>
      <c r="B13573" s="9" t="str">
        <f>HYPERLINK("http://www.ncbi.nlm.nih.gov/gene/25503004", "25503004")</f>
        <v>25503004</v>
      </c>
      <c r="C13573" s="9"/>
      <c r="D13573" t="str">
        <f>"pals-21"</f>
        <v>pals-21</v>
      </c>
      <c r="E13573" t="s">
        <v>1147</v>
      </c>
      <c r="F13573" t="s">
        <v>11</v>
      </c>
      <c r="H13573" s="12">
        <v>-6.7350978273547204</v>
      </c>
      <c r="I13573" s="20">
        <v>-0.57518224984572797</v>
      </c>
      <c r="J13573" s="28">
        <v>0.565168046075332</v>
      </c>
      <c r="K13573" s="29">
        <v>0.98289565623980701</v>
      </c>
    </row>
    <row r="13574" spans="1:11" x14ac:dyDescent="0.35">
      <c r="A13574" s="9" t="str">
        <f>HYPERLINK("http://www.ensembl.org/id/WBGene00016216", "WBGene00016216")</f>
        <v>WBGene00016216</v>
      </c>
      <c r="B13574" s="9" t="str">
        <f>HYPERLINK("http://www.ncbi.nlm.nih.gov/gene/175180", "175180")</f>
        <v>175180</v>
      </c>
      <c r="C13574" s="9"/>
      <c r="D13574" t="str">
        <f>"pals-22"</f>
        <v>pals-22</v>
      </c>
      <c r="E13574" t="s">
        <v>1147</v>
      </c>
      <c r="F13574" t="s">
        <v>11</v>
      </c>
      <c r="H13574" s="12">
        <v>1.20470393828833</v>
      </c>
      <c r="I13574" s="20">
        <v>0.73532576325738297</v>
      </c>
      <c r="J13574" s="28">
        <v>0.46214112147237302</v>
      </c>
      <c r="K13574" s="29">
        <v>0.98289565623980701</v>
      </c>
    </row>
    <row r="13575" spans="1:11" x14ac:dyDescent="0.35">
      <c r="A13575" s="9" t="str">
        <f>HYPERLINK("http://www.ensembl.org/id/WBGene00016218", "WBGene00016218")</f>
        <v>WBGene00016218</v>
      </c>
      <c r="B13575" s="9" t="str">
        <f>HYPERLINK("http://www.ncbi.nlm.nih.gov/gene/3565025", "3565025")</f>
        <v>3565025</v>
      </c>
      <c r="C13575" s="9"/>
      <c r="D13575" t="str">
        <f>"pals-23"</f>
        <v>pals-23</v>
      </c>
      <c r="E13575" t="s">
        <v>1147</v>
      </c>
      <c r="F13575" t="s">
        <v>11</v>
      </c>
      <c r="G13575" t="s">
        <v>264</v>
      </c>
      <c r="H13575" s="12">
        <v>-1.3753459761256801</v>
      </c>
      <c r="I13575" s="20">
        <v>-1.0557970581613301</v>
      </c>
      <c r="J13575" s="28">
        <v>0.29106094256103299</v>
      </c>
      <c r="K13575" s="29">
        <v>0.98289565623980701</v>
      </c>
    </row>
    <row r="13576" spans="1:11" x14ac:dyDescent="0.35">
      <c r="A13576" s="9" t="str">
        <f>HYPERLINK("http://www.ensembl.org/id/WBGene00016219", "WBGene00016219")</f>
        <v>WBGene00016219</v>
      </c>
      <c r="B13576" s="9" t="str">
        <f>HYPERLINK("http://www.ncbi.nlm.nih.gov/gene/175178", "175178")</f>
        <v>175178</v>
      </c>
      <c r="C13576" s="9"/>
      <c r="D13576" t="str">
        <f>"pals-24"</f>
        <v>pals-24</v>
      </c>
      <c r="E13576" t="s">
        <v>1147</v>
      </c>
      <c r="F13576" t="s">
        <v>11</v>
      </c>
      <c r="H13576" s="12">
        <v>-1.27065388680938</v>
      </c>
      <c r="I13576" s="20">
        <v>-0.85290986938393099</v>
      </c>
      <c r="J13576" s="28">
        <v>0.39370928818065198</v>
      </c>
      <c r="K13576" s="29">
        <v>0.98289565623980701</v>
      </c>
    </row>
    <row r="13577" spans="1:11" x14ac:dyDescent="0.35">
      <c r="A13577" s="9" t="str">
        <f>HYPERLINK("http://www.ensembl.org/id/WBGene00020540", "WBGene00020540")</f>
        <v>WBGene00020540</v>
      </c>
      <c r="B13577" s="9" t="str">
        <f>HYPERLINK("http://www.ncbi.nlm.nih.gov/gene/188564", "188564")</f>
        <v>188564</v>
      </c>
      <c r="C13577" s="9"/>
      <c r="D13577" t="str">
        <f>"pals-25"</f>
        <v>pals-25</v>
      </c>
      <c r="E13577" t="s">
        <v>1147</v>
      </c>
      <c r="F13577" t="s">
        <v>11</v>
      </c>
      <c r="H13577" s="12">
        <v>1.08181756288885</v>
      </c>
      <c r="I13577" s="20">
        <v>0.295672053867508</v>
      </c>
      <c r="J13577" s="28">
        <v>0.76748054122172804</v>
      </c>
      <c r="K13577" s="29">
        <v>0.98289565623980701</v>
      </c>
    </row>
    <row r="13578" spans="1:11" x14ac:dyDescent="0.35">
      <c r="A13578" s="9" t="str">
        <f>HYPERLINK("http://www.ensembl.org/id/WBGene00007134", "WBGene00007134")</f>
        <v>WBGene00007134</v>
      </c>
      <c r="B13578" s="9" t="str">
        <f>HYPERLINK("http://www.ncbi.nlm.nih.gov/gene/181903", "181903")</f>
        <v>181903</v>
      </c>
      <c r="C13578" s="9"/>
      <c r="D13578" t="str">
        <f>"pals-28"</f>
        <v>pals-28</v>
      </c>
      <c r="E13578" t="s">
        <v>1147</v>
      </c>
      <c r="F13578" t="s">
        <v>11</v>
      </c>
      <c r="H13578" s="12">
        <v>-2.8533424367948301</v>
      </c>
      <c r="I13578" s="20">
        <v>-0.54103030355746895</v>
      </c>
      <c r="J13578" s="28">
        <v>0.58848669575113599</v>
      </c>
      <c r="K13578" s="29">
        <v>0.98289565623980701</v>
      </c>
    </row>
    <row r="13579" spans="1:11" x14ac:dyDescent="0.35">
      <c r="A13579" s="9" t="str">
        <f>HYPERLINK("http://www.ensembl.org/id/WBGene00012091", "WBGene00012091")</f>
        <v>WBGene00012091</v>
      </c>
      <c r="B13579" s="9" t="str">
        <f>HYPERLINK("http://www.ncbi.nlm.nih.gov/gene/189000", "189000")</f>
        <v>189000</v>
      </c>
      <c r="C13579" s="9"/>
      <c r="D13579" t="str">
        <f>"pals-29"</f>
        <v>pals-29</v>
      </c>
      <c r="E13579" t="s">
        <v>1147</v>
      </c>
      <c r="F13579" t="s">
        <v>11</v>
      </c>
      <c r="H13579" s="12">
        <v>-6.8245526920337101</v>
      </c>
      <c r="I13579" s="20">
        <v>-1.0103582025775599</v>
      </c>
      <c r="J13579" s="28">
        <v>0.312323705445054</v>
      </c>
      <c r="K13579" s="29">
        <v>0.98289565623980701</v>
      </c>
    </row>
    <row r="13580" spans="1:11" x14ac:dyDescent="0.35">
      <c r="A13580" s="9" t="str">
        <f>HYPERLINK("http://www.ensembl.org/id/WBGene00007657", "WBGene00007657")</f>
        <v>WBGene00007657</v>
      </c>
      <c r="B13580" s="9" t="str">
        <f>HYPERLINK("http://www.ncbi.nlm.nih.gov/gene/173179", "173179")</f>
        <v>173179</v>
      </c>
      <c r="C13580" s="9"/>
      <c r="D13580" t="str">
        <f>"pals-3"</f>
        <v>pals-3</v>
      </c>
      <c r="E13580" t="s">
        <v>1147</v>
      </c>
      <c r="F13580" t="s">
        <v>11</v>
      </c>
      <c r="H13580" s="12">
        <v>-1.2678749083099901</v>
      </c>
      <c r="I13580" s="20">
        <v>-0.32499543171323397</v>
      </c>
      <c r="J13580" s="28">
        <v>0.74518452915661904</v>
      </c>
      <c r="K13580" s="29">
        <v>0.98289565623980701</v>
      </c>
    </row>
    <row r="13581" spans="1:11" x14ac:dyDescent="0.35">
      <c r="A13581" s="9" t="str">
        <f>HYPERLINK("http://www.ensembl.org/id/WBGene00021081", "WBGene00021081")</f>
        <v>WBGene00021081</v>
      </c>
      <c r="B13581" s="9" t="str">
        <f>HYPERLINK("http://www.ncbi.nlm.nih.gov/gene/189288", "189288")</f>
        <v>189288</v>
      </c>
      <c r="C13581" s="9"/>
      <c r="D13581" t="str">
        <f>"pals-33"</f>
        <v>pals-33</v>
      </c>
      <c r="E13581" t="s">
        <v>1147</v>
      </c>
      <c r="F13581" t="s">
        <v>11</v>
      </c>
      <c r="H13581" s="12">
        <v>1.19503523529079</v>
      </c>
      <c r="I13581" s="20">
        <v>0.39832317270817502</v>
      </c>
      <c r="J13581" s="28">
        <v>0.69039198133034696</v>
      </c>
      <c r="K13581" s="29">
        <v>0.98289565623980701</v>
      </c>
    </row>
    <row r="13582" spans="1:11" x14ac:dyDescent="0.35">
      <c r="A13582" s="9" t="str">
        <f>HYPERLINK("http://www.ensembl.org/id/WBGene00017823", "WBGene00017823")</f>
        <v>WBGene00017823</v>
      </c>
      <c r="B13582" s="9" t="str">
        <f>HYPERLINK("http://www.ncbi.nlm.nih.gov/gene/184977", "184977")</f>
        <v>184977</v>
      </c>
      <c r="C13582" s="9"/>
      <c r="D13582" t="str">
        <f>"pals-34"</f>
        <v>pals-34</v>
      </c>
      <c r="E13582" t="s">
        <v>1147</v>
      </c>
      <c r="F13582" t="s">
        <v>11</v>
      </c>
      <c r="H13582" s="12">
        <v>-1.19366198615327</v>
      </c>
      <c r="I13582" s="20">
        <v>-0.88826946474286095</v>
      </c>
      <c r="J13582" s="28">
        <v>0.37439582077738298</v>
      </c>
      <c r="K13582" s="29">
        <v>0.98289565623980701</v>
      </c>
    </row>
    <row r="13583" spans="1:11" x14ac:dyDescent="0.35">
      <c r="A13583" s="9" t="str">
        <f>HYPERLINK("http://www.ensembl.org/id/WBGene00044787", "WBGene00044787")</f>
        <v>WBGene00044787</v>
      </c>
      <c r="B13583" s="9"/>
      <c r="C13583" s="9"/>
      <c r="D13583" t="str">
        <f>"pals-36"</f>
        <v>pals-36</v>
      </c>
      <c r="F13583" t="s">
        <v>80</v>
      </c>
      <c r="H13583" s="12">
        <v>2.2601570097622798</v>
      </c>
      <c r="I13583" s="20">
        <v>0.31681166613803102</v>
      </c>
      <c r="J13583" s="28">
        <v>0.75138651156509595</v>
      </c>
      <c r="K13583" s="29">
        <v>0.98289565623980701</v>
      </c>
    </row>
    <row r="13584" spans="1:11" x14ac:dyDescent="0.35">
      <c r="A13584" s="9" t="str">
        <f>HYPERLINK("http://www.ensembl.org/id/WBGene00138721", "WBGene00138721")</f>
        <v>WBGene00138721</v>
      </c>
      <c r="B13584" s="9" t="str">
        <f>HYPERLINK("http://www.ncbi.nlm.nih.gov/gene/13215782", "13215782")</f>
        <v>13215782</v>
      </c>
      <c r="C13584" s="9"/>
      <c r="D13584" t="str">
        <f>"pals-37"</f>
        <v>pals-37</v>
      </c>
      <c r="E13584" t="s">
        <v>1147</v>
      </c>
      <c r="F13584" t="s">
        <v>11</v>
      </c>
      <c r="G13584" t="s">
        <v>9985</v>
      </c>
      <c r="H13584" s="12">
        <v>-1.57386439316115</v>
      </c>
      <c r="I13584" s="20">
        <v>-0.81355868695245304</v>
      </c>
      <c r="J13584" s="28">
        <v>0.41589781317501801</v>
      </c>
      <c r="K13584" s="29">
        <v>0.98289565623980701</v>
      </c>
    </row>
    <row r="13585" spans="1:11" x14ac:dyDescent="0.35">
      <c r="A13585" s="9" t="str">
        <f>HYPERLINK("http://www.ensembl.org/id/WBGene00008302", "WBGene00008302")</f>
        <v>WBGene00008302</v>
      </c>
      <c r="B13585" s="9" t="str">
        <f>HYPERLINK("http://www.ncbi.nlm.nih.gov/gene/183785", "183785")</f>
        <v>183785</v>
      </c>
      <c r="C13585" s="9"/>
      <c r="D13585" t="str">
        <f>"pals-38"</f>
        <v>pals-38</v>
      </c>
      <c r="E13585" t="s">
        <v>1147</v>
      </c>
      <c r="F13585" t="s">
        <v>11</v>
      </c>
      <c r="H13585" s="12">
        <v>1.6402340702929299</v>
      </c>
      <c r="I13585" s="20">
        <v>0.78636314660488105</v>
      </c>
      <c r="J13585" s="28">
        <v>0.431654767608454</v>
      </c>
      <c r="K13585" s="29">
        <v>0.98289565623980701</v>
      </c>
    </row>
    <row r="13586" spans="1:11" x14ac:dyDescent="0.35">
      <c r="A13586" s="9" t="str">
        <f>HYPERLINK("http://www.ensembl.org/id/WBGene00022344", "WBGene00022344")</f>
        <v>WBGene00022344</v>
      </c>
      <c r="B13586" s="9" t="str">
        <f>HYPERLINK("http://www.ncbi.nlm.nih.gov/gene/190773", "190773")</f>
        <v>190773</v>
      </c>
      <c r="C13586" s="9"/>
      <c r="D13586" t="str">
        <f>"pals-40"</f>
        <v>pals-40</v>
      </c>
      <c r="E13586" t="s">
        <v>1147</v>
      </c>
      <c r="F13586" t="s">
        <v>11</v>
      </c>
      <c r="H13586" s="12">
        <v>-2.1284192580330199</v>
      </c>
      <c r="I13586" s="20">
        <v>-0.36369296990972</v>
      </c>
      <c r="J13586" s="28">
        <v>0.71608729357767897</v>
      </c>
      <c r="K13586" s="29">
        <v>0.98289565623980701</v>
      </c>
    </row>
    <row r="13587" spans="1:11" x14ac:dyDescent="0.35">
      <c r="A13587" s="9" t="str">
        <f>HYPERLINK("http://www.ensembl.org/id/WBGene00007659", "WBGene00007659")</f>
        <v>WBGene00007659</v>
      </c>
      <c r="B13587" s="9" t="str">
        <f>HYPERLINK("http://www.ncbi.nlm.nih.gov/gene/182748", "182748")</f>
        <v>182748</v>
      </c>
      <c r="C13587" s="9"/>
      <c r="D13587" t="str">
        <f>"pals-5"</f>
        <v>pals-5</v>
      </c>
      <c r="E13587" t="s">
        <v>1147</v>
      </c>
      <c r="F13587" t="s">
        <v>11</v>
      </c>
      <c r="G13587" t="s">
        <v>1739</v>
      </c>
      <c r="H13587" s="12">
        <v>-1.9367885848833899</v>
      </c>
      <c r="I13587" s="20">
        <v>-0.641520571103117</v>
      </c>
      <c r="J13587" s="28">
        <v>0.52118452005595906</v>
      </c>
      <c r="K13587" s="29">
        <v>0.98289565623980701</v>
      </c>
    </row>
    <row r="13588" spans="1:11" x14ac:dyDescent="0.35">
      <c r="A13588" s="9" t="str">
        <f>HYPERLINK("http://www.ensembl.org/id/WBGene00007662", "WBGene00007662")</f>
        <v>WBGene00007662</v>
      </c>
      <c r="B13588" s="9" t="str">
        <f>HYPERLINK("http://www.ncbi.nlm.nih.gov/gene/3565285", "3565285")</f>
        <v>3565285</v>
      </c>
      <c r="C13588" s="9"/>
      <c r="D13588" t="str">
        <f>"pals-8"</f>
        <v>pals-8</v>
      </c>
      <c r="E13588" t="s">
        <v>1147</v>
      </c>
      <c r="F13588" t="s">
        <v>11</v>
      </c>
      <c r="H13588" s="12">
        <v>6.3178024075772896</v>
      </c>
      <c r="I13588" s="20">
        <v>1.0252743024854301</v>
      </c>
      <c r="J13588" s="28">
        <v>0.30523377749046399</v>
      </c>
      <c r="K13588" s="29">
        <v>0.98289565623980701</v>
      </c>
    </row>
    <row r="13589" spans="1:11" x14ac:dyDescent="0.35">
      <c r="A13589" s="9" t="str">
        <f>HYPERLINK("http://www.ensembl.org/id/WBGene00044237", "WBGene00044237")</f>
        <v>WBGene00044237</v>
      </c>
      <c r="B13589" s="9" t="str">
        <f>HYPERLINK("http://www.ncbi.nlm.nih.gov/gene/3565621", "3565621")</f>
        <v>3565621</v>
      </c>
      <c r="C13589" s="9"/>
      <c r="D13589" t="str">
        <f>"pals-9"</f>
        <v>pals-9</v>
      </c>
      <c r="E13589" t="s">
        <v>1147</v>
      </c>
      <c r="F13589" t="s">
        <v>11</v>
      </c>
      <c r="H13589" s="12">
        <v>1.39697461816443</v>
      </c>
      <c r="I13589" s="20">
        <v>0.38155926669116202</v>
      </c>
      <c r="J13589" s="28">
        <v>0.70278830269863102</v>
      </c>
      <c r="K13589" s="29">
        <v>0.98289565623980701</v>
      </c>
    </row>
    <row r="13590" spans="1:11" x14ac:dyDescent="0.35">
      <c r="A13590" s="9" t="str">
        <f>HYPERLINK("http://www.ensembl.org/id/WBGene00003914", "WBGene00003914")</f>
        <v>WBGene00003914</v>
      </c>
      <c r="B13590" s="9" t="str">
        <f>HYPERLINK("http://www.ncbi.nlm.nih.gov/gene/177528", "177528")</f>
        <v>177528</v>
      </c>
      <c r="C13590" s="9" t="str">
        <f>HYPERLINK("http://www.ncbi.nlm.nih.gov/gene/9520", "9520")</f>
        <v>9520</v>
      </c>
      <c r="D13590" t="str">
        <f>"pam-1"</f>
        <v>pam-1</v>
      </c>
      <c r="E13590" t="s">
        <v>8331</v>
      </c>
      <c r="F13590" t="s">
        <v>11</v>
      </c>
      <c r="G13590" t="s">
        <v>802</v>
      </c>
      <c r="H13590" s="12">
        <v>-1.1719230116222401</v>
      </c>
      <c r="I13590" s="20">
        <v>-0.87451166027418703</v>
      </c>
      <c r="J13590" s="28">
        <v>0.38183967299786198</v>
      </c>
      <c r="K13590" s="29">
        <v>0.98289565623980701</v>
      </c>
    </row>
    <row r="13591" spans="1:11" x14ac:dyDescent="0.35">
      <c r="A13591" s="9" t="str">
        <f>HYPERLINK("http://www.ensembl.org/id/WBGene00012528", "WBGene00012528")</f>
        <v>WBGene00012528</v>
      </c>
      <c r="B13591" s="9" t="str">
        <f>HYPERLINK("http://www.ncbi.nlm.nih.gov/gene/179458", "179458")</f>
        <v>179458</v>
      </c>
      <c r="C13591" s="9" t="str">
        <f>HYPERLINK("http://www.ncbi.nlm.nih.gov/gene/10914", "10914")</f>
        <v>10914</v>
      </c>
      <c r="D13591" t="str">
        <f>"pap-1"</f>
        <v>pap-1</v>
      </c>
      <c r="E13591" t="s">
        <v>6300</v>
      </c>
      <c r="F13591" t="s">
        <v>11</v>
      </c>
      <c r="G13591" t="s">
        <v>4686</v>
      </c>
      <c r="H13591" s="12">
        <v>-1.0608514227126</v>
      </c>
      <c r="I13591" s="20">
        <v>-0.31257012859369099</v>
      </c>
      <c r="J13591" s="28">
        <v>0.75460727564540797</v>
      </c>
      <c r="K13591" s="29">
        <v>0.98289565623980701</v>
      </c>
    </row>
    <row r="13592" spans="1:11" x14ac:dyDescent="0.35">
      <c r="A13592" s="9" t="str">
        <f>HYPERLINK("http://www.ensembl.org/id/WBGene00008936", "WBGene00008936")</f>
        <v>WBGene00008936</v>
      </c>
      <c r="B13592" s="9" t="str">
        <f>HYPERLINK("http://www.ncbi.nlm.nih.gov/gene/179747", "179747")</f>
        <v>179747</v>
      </c>
      <c r="C13592" s="9"/>
      <c r="D13592" t="str">
        <f>"papl-1"</f>
        <v>papl-1</v>
      </c>
      <c r="E13592" t="s">
        <v>1200</v>
      </c>
      <c r="F13592" t="s">
        <v>11</v>
      </c>
      <c r="G13592" t="s">
        <v>1201</v>
      </c>
      <c r="H13592" s="12">
        <v>1.09084554918997</v>
      </c>
      <c r="I13592" s="20">
        <v>0.313928055358909</v>
      </c>
      <c r="J13592" s="28">
        <v>0.75357568164363198</v>
      </c>
      <c r="K13592" s="29">
        <v>0.98289565623980701</v>
      </c>
    </row>
    <row r="13593" spans="1:11" x14ac:dyDescent="0.35">
      <c r="A13593" s="9" t="str">
        <f>HYPERLINK("http://www.ensembl.org/id/WBGene00016610", "WBGene00016610")</f>
        <v>WBGene00016610</v>
      </c>
      <c r="B13593" s="9" t="str">
        <f>HYPERLINK("http://www.ncbi.nlm.nih.gov/gene/177416", "177416")</f>
        <v>177416</v>
      </c>
      <c r="C13593" s="9" t="str">
        <f>HYPERLINK("http://www.ncbi.nlm.nih.gov/gene/51094", "51094")</f>
        <v>51094</v>
      </c>
      <c r="D13593" t="str">
        <f>"paqr-1"</f>
        <v>paqr-1</v>
      </c>
      <c r="E13593" t="s">
        <v>9030</v>
      </c>
      <c r="F13593" t="s">
        <v>11</v>
      </c>
      <c r="G13593" t="s">
        <v>9031</v>
      </c>
      <c r="H13593" s="12">
        <v>-1.2157294815405499</v>
      </c>
      <c r="I13593" s="20">
        <v>-1.0612327438215901</v>
      </c>
      <c r="J13593" s="28">
        <v>0.28858414215860301</v>
      </c>
      <c r="K13593" s="29">
        <v>0.98289565623980701</v>
      </c>
    </row>
    <row r="13594" spans="1:11" x14ac:dyDescent="0.35">
      <c r="A13594" s="9" t="str">
        <f>HYPERLINK("http://www.ensembl.org/id/WBGene00021313", "WBGene00021313")</f>
        <v>WBGene00021313</v>
      </c>
      <c r="B13594" s="9" t="str">
        <f>HYPERLINK("http://www.ncbi.nlm.nih.gov/gene/175739", "175739")</f>
        <v>175739</v>
      </c>
      <c r="C13594" s="9" t="str">
        <f>HYPERLINK("http://www.ncbi.nlm.nih.gov/gene/51094", "51094")</f>
        <v>51094</v>
      </c>
      <c r="D13594" t="str">
        <f>"paqr-2"</f>
        <v>paqr-2</v>
      </c>
      <c r="E13594" t="s">
        <v>7071</v>
      </c>
      <c r="F13594" t="s">
        <v>11</v>
      </c>
      <c r="G13594" t="s">
        <v>7072</v>
      </c>
      <c r="H13594" s="12">
        <v>-1.10554544610667</v>
      </c>
      <c r="I13594" s="20">
        <v>-0.53228890097132797</v>
      </c>
      <c r="J13594" s="28">
        <v>0.59452591821118095</v>
      </c>
      <c r="K13594" s="29">
        <v>0.98289565623980701</v>
      </c>
    </row>
    <row r="13595" spans="1:11" x14ac:dyDescent="0.35">
      <c r="A13595" s="9" t="str">
        <f>HYPERLINK("http://www.ensembl.org/id/WBGene00003918", "WBGene00003918")</f>
        <v>WBGene00003918</v>
      </c>
      <c r="B13595" s="9" t="str">
        <f>HYPERLINK("http://www.ncbi.nlm.nih.gov/gene/175783", "175783")</f>
        <v>175783</v>
      </c>
      <c r="C13595" s="9"/>
      <c r="D13595" t="str">
        <f>"par-3"</f>
        <v>par-3</v>
      </c>
      <c r="E13595" t="s">
        <v>8916</v>
      </c>
      <c r="F13595" t="s">
        <v>11</v>
      </c>
      <c r="G13595" t="s">
        <v>8917</v>
      </c>
      <c r="H13595" s="12">
        <v>-1.2078606791836899</v>
      </c>
      <c r="I13595" s="20">
        <v>-1.0518408331487299</v>
      </c>
      <c r="J13595" s="28">
        <v>0.29287258131625998</v>
      </c>
      <c r="K13595" s="29">
        <v>0.98289565623980701</v>
      </c>
    </row>
    <row r="13596" spans="1:11" x14ac:dyDescent="0.35">
      <c r="A13596" s="9" t="str">
        <f>HYPERLINK("http://www.ensembl.org/id/WBGene00003920", "WBGene00003920")</f>
        <v>WBGene00003920</v>
      </c>
      <c r="B13596" s="9" t="str">
        <f>HYPERLINK("http://www.ncbi.nlm.nih.gov/gene/178113", "178113")</f>
        <v>178113</v>
      </c>
      <c r="C13596" s="9" t="str">
        <f>HYPERLINK("http://www.ncbi.nlm.nih.gov/gene/7534", "7534")</f>
        <v>7534</v>
      </c>
      <c r="D13596" t="str">
        <f>"par-5"</f>
        <v>par-5</v>
      </c>
      <c r="E13596" t="s">
        <v>7426</v>
      </c>
      <c r="F13596" t="s">
        <v>11</v>
      </c>
      <c r="H13596" s="12">
        <v>-1.12499920018887</v>
      </c>
      <c r="I13596" s="20">
        <v>-0.66412816917440598</v>
      </c>
      <c r="J13596" s="28">
        <v>0.50660828238826405</v>
      </c>
      <c r="K13596" s="29">
        <v>0.98289565623980701</v>
      </c>
    </row>
    <row r="13597" spans="1:11" x14ac:dyDescent="0.35">
      <c r="A13597" s="9" t="str">
        <f>HYPERLINK("http://www.ensembl.org/id/WBGene00003921", "WBGene00003921")</f>
        <v>WBGene00003921</v>
      </c>
      <c r="B13597" s="9" t="str">
        <f>HYPERLINK("http://www.ncbi.nlm.nih.gov/gene/173137", "173137")</f>
        <v>173137</v>
      </c>
      <c r="C13597" s="9" t="str">
        <f>HYPERLINK("http://www.ncbi.nlm.nih.gov/gene/84552", "84552")</f>
        <v>84552</v>
      </c>
      <c r="D13597" t="str">
        <f>"par-6"</f>
        <v>par-6</v>
      </c>
      <c r="E13597" t="s">
        <v>6472</v>
      </c>
      <c r="F13597" t="s">
        <v>11</v>
      </c>
      <c r="G13597" t="s">
        <v>6473</v>
      </c>
      <c r="H13597" s="12">
        <v>-1.07109656636287</v>
      </c>
      <c r="I13597" s="20">
        <v>-0.352519018125172</v>
      </c>
      <c r="J13597" s="28">
        <v>0.72444905830594097</v>
      </c>
      <c r="K13597" s="29">
        <v>0.98289565623980701</v>
      </c>
    </row>
    <row r="13598" spans="1:11" x14ac:dyDescent="0.35">
      <c r="A13598" s="9" t="str">
        <f>HYPERLINK("http://www.ensembl.org/id/WBGene00004051", "WBGene00004051")</f>
        <v>WBGene00004051</v>
      </c>
      <c r="B13598" s="9" t="str">
        <f>HYPERLINK("http://www.ncbi.nlm.nih.gov/gene/177683", "177683")</f>
        <v>177683</v>
      </c>
      <c r="C13598" s="9"/>
      <c r="D13598" t="str">
        <f>"parg-1"</f>
        <v>parg-1</v>
      </c>
      <c r="E13598" t="s">
        <v>8705</v>
      </c>
      <c r="F13598" t="s">
        <v>11</v>
      </c>
      <c r="G13598" t="s">
        <v>8706</v>
      </c>
      <c r="H13598" s="12">
        <v>-1.19233156673788</v>
      </c>
      <c r="I13598" s="20">
        <v>-0.88111416255944097</v>
      </c>
      <c r="J13598" s="28">
        <v>0.37825603247987899</v>
      </c>
      <c r="K13598" s="29">
        <v>0.98289565623980701</v>
      </c>
    </row>
    <row r="13599" spans="1:11" x14ac:dyDescent="0.35">
      <c r="A13599" s="9" t="str">
        <f>HYPERLINK("http://www.ensembl.org/id/WBGene00004052", "WBGene00004052")</f>
        <v>WBGene00004052</v>
      </c>
      <c r="B13599" s="9" t="str">
        <f>HYPERLINK("http://www.ncbi.nlm.nih.gov/gene/186765", "186765")</f>
        <v>186765</v>
      </c>
      <c r="C13599" s="9"/>
      <c r="D13599" t="str">
        <f>"parg-2"</f>
        <v>parg-2</v>
      </c>
      <c r="E13599" t="s">
        <v>4495</v>
      </c>
      <c r="F13599" t="s">
        <v>11</v>
      </c>
      <c r="G13599" t="s">
        <v>4496</v>
      </c>
      <c r="H13599" s="12">
        <v>1.8515619919850701</v>
      </c>
      <c r="I13599" s="20">
        <v>1.04627532882389</v>
      </c>
      <c r="J13599" s="28">
        <v>0.29543393257192602</v>
      </c>
      <c r="K13599" s="29">
        <v>0.98289565623980701</v>
      </c>
    </row>
    <row r="13600" spans="1:11" x14ac:dyDescent="0.35">
      <c r="A13600" s="9" t="str">
        <f>HYPERLINK("http://www.ensembl.org/id/WBGene00010734", "WBGene00010734")</f>
        <v>WBGene00010734</v>
      </c>
      <c r="B13600" s="9" t="str">
        <f>HYPERLINK("http://www.ncbi.nlm.nih.gov/gene/187256", "187256")</f>
        <v>187256</v>
      </c>
      <c r="C13600" s="9" t="str">
        <f>HYPERLINK("http://www.ncbi.nlm.nih.gov/gene/5073", "5073")</f>
        <v>5073</v>
      </c>
      <c r="D13600" t="str">
        <f>"parn-1"</f>
        <v>parn-1</v>
      </c>
      <c r="E13600" t="s">
        <v>9949</v>
      </c>
      <c r="F13600" t="s">
        <v>11</v>
      </c>
      <c r="G13600" t="s">
        <v>91</v>
      </c>
      <c r="H13600" s="12">
        <v>-1.4583686414024699</v>
      </c>
      <c r="I13600" s="20">
        <v>-1.1417628139873699</v>
      </c>
      <c r="J13600" s="28">
        <v>0.253552623183252</v>
      </c>
      <c r="K13600" s="29">
        <v>0.98289565623980701</v>
      </c>
    </row>
    <row r="13601" spans="1:11" x14ac:dyDescent="0.35">
      <c r="A13601" s="9" t="str">
        <f>HYPERLINK("http://www.ensembl.org/id/WBGene00004050", "WBGene00004050")</f>
        <v>WBGene00004050</v>
      </c>
      <c r="B13601" s="9" t="str">
        <f>HYPERLINK("http://www.ncbi.nlm.nih.gov/gene/3565967", "3565967")</f>
        <v>3565967</v>
      </c>
      <c r="C13601" s="9"/>
      <c r="D13601" t="str">
        <f>"parp-2"</f>
        <v>parp-2</v>
      </c>
      <c r="E13601" t="s">
        <v>9645</v>
      </c>
      <c r="F13601" t="s">
        <v>11</v>
      </c>
      <c r="G13601" t="s">
        <v>9646</v>
      </c>
      <c r="H13601" s="12">
        <v>-1.27230203370128</v>
      </c>
      <c r="I13601" s="20">
        <v>-1.0308046527058901</v>
      </c>
      <c r="J13601" s="28">
        <v>0.30263243597198197</v>
      </c>
      <c r="K13601" s="29">
        <v>0.98289565623980701</v>
      </c>
    </row>
    <row r="13602" spans="1:11" x14ac:dyDescent="0.35">
      <c r="A13602" s="9" t="str">
        <f>HYPERLINK("http://www.ensembl.org/id/WBGene00004189", "WBGene00004189")</f>
        <v>WBGene00004189</v>
      </c>
      <c r="B13602" s="9" t="str">
        <f>HYPERLINK("http://www.ncbi.nlm.nih.gov/gene/176024", "176024")</f>
        <v>176024</v>
      </c>
      <c r="C13602" s="9"/>
      <c r="D13602" t="str">
        <f>"pars-1"</f>
        <v>pars-1</v>
      </c>
      <c r="E13602" t="s">
        <v>6572</v>
      </c>
      <c r="F13602" t="s">
        <v>11</v>
      </c>
      <c r="G13602" t="s">
        <v>8982</v>
      </c>
      <c r="H13602" s="12">
        <v>-1.2118892822127001</v>
      </c>
      <c r="I13602" s="20">
        <v>-1.0136012630667901</v>
      </c>
      <c r="J13602" s="28">
        <v>0.310773054747841</v>
      </c>
      <c r="K13602" s="29">
        <v>0.98289565623980701</v>
      </c>
    </row>
    <row r="13603" spans="1:11" x14ac:dyDescent="0.35">
      <c r="A13603" s="9" t="str">
        <f>HYPERLINK("http://www.ensembl.org/id/WBGene00004190", "WBGene00004190")</f>
        <v>WBGene00004190</v>
      </c>
      <c r="B13603" s="9" t="str">
        <f>HYPERLINK("http://www.ncbi.nlm.nih.gov/gene/173117", "173117")</f>
        <v>173117</v>
      </c>
      <c r="C13603" s="9" t="str">
        <f>HYPERLINK("http://www.ncbi.nlm.nih.gov/gene/25973", "25973")</f>
        <v>25973</v>
      </c>
      <c r="D13603" t="str">
        <f>"pars-2"</f>
        <v>pars-2</v>
      </c>
      <c r="E13603" t="s">
        <v>6572</v>
      </c>
      <c r="F13603" t="s">
        <v>11</v>
      </c>
      <c r="G13603" t="s">
        <v>6573</v>
      </c>
      <c r="H13603" s="12">
        <v>-1.07726263648798</v>
      </c>
      <c r="I13603" s="20">
        <v>-0.31908469191387401</v>
      </c>
      <c r="J13603" s="28">
        <v>0.74966229149254904</v>
      </c>
      <c r="K13603" s="29">
        <v>0.98289565623980701</v>
      </c>
    </row>
    <row r="13604" spans="1:11" x14ac:dyDescent="0.35">
      <c r="A13604" s="9" t="str">
        <f>HYPERLINK("http://www.ensembl.org/id/WBGene00003929", "WBGene00003929")</f>
        <v>WBGene00003929</v>
      </c>
      <c r="B13604" s="9" t="str">
        <f>HYPERLINK("http://www.ncbi.nlm.nih.gov/gene/176240", "176240")</f>
        <v>176240</v>
      </c>
      <c r="C13604" s="9" t="str">
        <f>HYPERLINK("http://www.ncbi.nlm.nih.gov/gene/8516", "8516")</f>
        <v>8516</v>
      </c>
      <c r="D13604" t="str">
        <f>"pat-2"</f>
        <v>pat-2</v>
      </c>
      <c r="E13604" t="s">
        <v>6000</v>
      </c>
      <c r="F13604" t="s">
        <v>11</v>
      </c>
      <c r="G13604" t="s">
        <v>6001</v>
      </c>
      <c r="H13604" s="12">
        <v>1.07347372047946</v>
      </c>
      <c r="I13604" s="20">
        <v>0.360118792367913</v>
      </c>
      <c r="J13604" s="28">
        <v>0.71875830001133401</v>
      </c>
      <c r="K13604" s="29">
        <v>0.98289565623980701</v>
      </c>
    </row>
    <row r="13605" spans="1:11" x14ac:dyDescent="0.35">
      <c r="A13605" s="9" t="str">
        <f>HYPERLINK("http://www.ensembl.org/id/WBGene00003937", "WBGene00003937")</f>
        <v>WBGene00003937</v>
      </c>
      <c r="B13605" s="9" t="str">
        <f>HYPERLINK("http://www.ncbi.nlm.nih.gov/gene/187105", "187105")</f>
        <v>187105</v>
      </c>
      <c r="C13605" s="9"/>
      <c r="D13605" t="str">
        <f>"pax-1"</f>
        <v>pax-1</v>
      </c>
      <c r="E13605" t="s">
        <v>1141</v>
      </c>
      <c r="F13605" t="s">
        <v>11</v>
      </c>
      <c r="G13605" t="s">
        <v>4562</v>
      </c>
      <c r="H13605" s="12">
        <v>-1.29965702015854</v>
      </c>
      <c r="I13605" s="20">
        <v>-0.32859189701248598</v>
      </c>
      <c r="J13605" s="28">
        <v>0.74246417352620098</v>
      </c>
      <c r="K13605" s="29">
        <v>0.98289565623980701</v>
      </c>
    </row>
    <row r="13606" spans="1:11" x14ac:dyDescent="0.35">
      <c r="A13606" s="9" t="str">
        <f>HYPERLINK("http://www.ensembl.org/id/WBGene00003938", "WBGene00003938")</f>
        <v>WBGene00003938</v>
      </c>
      <c r="B13606" s="9" t="str">
        <f>HYPERLINK("http://www.ncbi.nlm.nih.gov/gene/187062", "187062")</f>
        <v>187062</v>
      </c>
      <c r="C13606" s="9"/>
      <c r="D13606" t="str">
        <f>"pax-2"</f>
        <v>pax-2</v>
      </c>
      <c r="E13606" t="s">
        <v>1141</v>
      </c>
      <c r="F13606" t="s">
        <v>11</v>
      </c>
      <c r="G13606" t="s">
        <v>4562</v>
      </c>
      <c r="H13606" s="12">
        <v>1.6971639885887699</v>
      </c>
      <c r="I13606" s="20">
        <v>0.58624245850438705</v>
      </c>
      <c r="J13606" s="28">
        <v>0.55771259306733301</v>
      </c>
      <c r="K13606" s="29">
        <v>0.98289565623980701</v>
      </c>
    </row>
    <row r="13607" spans="1:11" x14ac:dyDescent="0.35">
      <c r="A13607" s="9" t="str">
        <f>HYPERLINK("http://www.ensembl.org/id/WBGene00011034", "WBGene00011034")</f>
        <v>WBGene00011034</v>
      </c>
      <c r="B13607" s="9" t="str">
        <f>HYPERLINK("http://www.ncbi.nlm.nih.gov/gene/187613", "187613")</f>
        <v>187613</v>
      </c>
      <c r="C13607" s="9"/>
      <c r="D13607" t="str">
        <f>"paxt-1"</f>
        <v>paxt-1</v>
      </c>
      <c r="E13607" t="s">
        <v>9754</v>
      </c>
      <c r="F13607" t="s">
        <v>11</v>
      </c>
      <c r="H13607" s="12">
        <v>-1.2938874428135001</v>
      </c>
      <c r="I13607" s="20">
        <v>-1.1554893227716001</v>
      </c>
      <c r="J13607" s="28">
        <v>0.24789010250346799</v>
      </c>
      <c r="K13607" s="29">
        <v>0.98289565623980701</v>
      </c>
    </row>
    <row r="13608" spans="1:11" x14ac:dyDescent="0.35">
      <c r="A13608" s="9" t="str">
        <f>HYPERLINK("http://www.ensembl.org/id/WBGene00003941", "WBGene00003941")</f>
        <v>WBGene00003941</v>
      </c>
      <c r="B13608" s="9" t="str">
        <f>HYPERLINK("http://www.ncbi.nlm.nih.gov/gene/175385", "175385")</f>
        <v>175385</v>
      </c>
      <c r="C13608" s="9" t="str">
        <f>HYPERLINK("http://www.ncbi.nlm.nih.gov/gene/63928", "63928")</f>
        <v>63928</v>
      </c>
      <c r="D13608" t="str">
        <f>"pbo-1"</f>
        <v>pbo-1</v>
      </c>
      <c r="F13608" t="s">
        <v>11</v>
      </c>
      <c r="G13608" t="s">
        <v>325</v>
      </c>
      <c r="H13608" s="12">
        <v>-1.1970946106811799</v>
      </c>
      <c r="I13608" s="20">
        <v>-0.95583845924224098</v>
      </c>
      <c r="J13608" s="28">
        <v>0.33915385457048403</v>
      </c>
      <c r="K13608" s="29">
        <v>0.98289565623980701</v>
      </c>
    </row>
    <row r="13609" spans="1:11" x14ac:dyDescent="0.35">
      <c r="A13609" s="9" t="str">
        <f>HYPERLINK("http://www.ensembl.org/id/WBGene00003943", "WBGene00003943")</f>
        <v>WBGene00003943</v>
      </c>
      <c r="B13609" s="9" t="str">
        <f>HYPERLINK("http://www.ncbi.nlm.nih.gov/gene/181285", "181285")</f>
        <v>181285</v>
      </c>
      <c r="C13609" s="9"/>
      <c r="D13609" t="str">
        <f>"pbo-4"</f>
        <v>pbo-4</v>
      </c>
      <c r="E13609" t="s">
        <v>8229</v>
      </c>
      <c r="F13609" t="s">
        <v>11</v>
      </c>
      <c r="G13609" t="s">
        <v>1346</v>
      </c>
      <c r="H13609" s="12">
        <v>-1.1669171722115901</v>
      </c>
      <c r="I13609" s="20">
        <v>-0.68758792425105197</v>
      </c>
      <c r="J13609" s="28">
        <v>0.49171231481018701</v>
      </c>
      <c r="K13609" s="29">
        <v>0.98289565623980701</v>
      </c>
    </row>
    <row r="13610" spans="1:11" x14ac:dyDescent="0.35">
      <c r="A13610" s="9" t="str">
        <f>HYPERLINK("http://www.ensembl.org/id/WBGene00017375", "WBGene00017375")</f>
        <v>WBGene00017375</v>
      </c>
      <c r="B13610" s="9" t="str">
        <f>HYPERLINK("http://www.ncbi.nlm.nih.gov/gene/24104421", "24104421")</f>
        <v>24104421</v>
      </c>
      <c r="C13610" s="9"/>
      <c r="D13610" t="str">
        <f>"pbo-6"</f>
        <v>pbo-6</v>
      </c>
      <c r="E13610" t="s">
        <v>4824</v>
      </c>
      <c r="F13610" t="s">
        <v>11</v>
      </c>
      <c r="G13610" t="s">
        <v>774</v>
      </c>
      <c r="H13610" s="12">
        <v>1.3471331994043201</v>
      </c>
      <c r="I13610" s="20">
        <v>0.80078359244501096</v>
      </c>
      <c r="J13610" s="28">
        <v>0.42325693925970598</v>
      </c>
      <c r="K13610" s="29">
        <v>0.98289565623980701</v>
      </c>
    </row>
    <row r="13611" spans="1:11" x14ac:dyDescent="0.35">
      <c r="A13611" s="9" t="str">
        <f>HYPERLINK("http://www.ensembl.org/id/WBGene00003949", "WBGene00003949")</f>
        <v>WBGene00003949</v>
      </c>
      <c r="B13611" s="9" t="str">
        <f>HYPERLINK("http://www.ncbi.nlm.nih.gov/gene/173858", "173858")</f>
        <v>173858</v>
      </c>
      <c r="C13611" s="9" t="str">
        <f>HYPERLINK("http://www.ncbi.nlm.nih.gov/gene/5691", "5691")</f>
        <v>5691</v>
      </c>
      <c r="D13611" t="str">
        <f>"pbs-3"</f>
        <v>pbs-3</v>
      </c>
      <c r="E13611" t="s">
        <v>8594</v>
      </c>
      <c r="F13611" t="s">
        <v>11</v>
      </c>
      <c r="G13611" t="s">
        <v>8595</v>
      </c>
      <c r="H13611" s="12">
        <v>-1.18577387019171</v>
      </c>
      <c r="I13611" s="20">
        <v>-0.91981147274543695</v>
      </c>
      <c r="J13611" s="28">
        <v>0.35767128695054601</v>
      </c>
      <c r="K13611" s="29">
        <v>0.98289565623980701</v>
      </c>
    </row>
    <row r="13612" spans="1:11" x14ac:dyDescent="0.35">
      <c r="A13612" s="9" t="str">
        <f>HYPERLINK("http://www.ensembl.org/id/WBGene00003951", "WBGene00003951")</f>
        <v>WBGene00003951</v>
      </c>
      <c r="B13612" s="9" t="str">
        <f>HYPERLINK("http://www.ncbi.nlm.nih.gov/gene/173334", "173334")</f>
        <v>173334</v>
      </c>
      <c r="C13612" s="9" t="str">
        <f>HYPERLINK("http://www.ncbi.nlm.nih.gov/gene/5693", "5693")</f>
        <v>5693</v>
      </c>
      <c r="D13612" t="str">
        <f>"pbs-5"</f>
        <v>pbs-5</v>
      </c>
      <c r="E13612" t="s">
        <v>8000</v>
      </c>
      <c r="F13612" t="s">
        <v>11</v>
      </c>
      <c r="G13612" t="s">
        <v>2766</v>
      </c>
      <c r="H13612" s="12">
        <v>-1.1551185739781999</v>
      </c>
      <c r="I13612" s="20">
        <v>-0.79259656001120105</v>
      </c>
      <c r="J13612" s="28">
        <v>0.42801291358490201</v>
      </c>
      <c r="K13612" s="29">
        <v>0.98289565623980701</v>
      </c>
    </row>
    <row r="13613" spans="1:11" x14ac:dyDescent="0.35">
      <c r="A13613" s="9" t="str">
        <f>HYPERLINK("http://www.ensembl.org/id/WBGene00003953", "WBGene00003953")</f>
        <v>WBGene00003953</v>
      </c>
      <c r="B13613" s="9" t="str">
        <f>HYPERLINK("http://www.ncbi.nlm.nih.gov/gene/172674", "172674")</f>
        <v>172674</v>
      </c>
      <c r="C13613" s="9"/>
      <c r="D13613" t="str">
        <f>"pbs-7"</f>
        <v>pbs-7</v>
      </c>
      <c r="E13613" t="s">
        <v>2413</v>
      </c>
      <c r="F13613" t="s">
        <v>11</v>
      </c>
      <c r="G13613" t="s">
        <v>8802</v>
      </c>
      <c r="H13613" s="12">
        <v>-1.19815514613883</v>
      </c>
      <c r="I13613" s="20">
        <v>-0.984811385611015</v>
      </c>
      <c r="J13613" s="28">
        <v>0.32471672696249398</v>
      </c>
      <c r="K13613" s="29">
        <v>0.98289565623980701</v>
      </c>
    </row>
    <row r="13614" spans="1:11" x14ac:dyDescent="0.35">
      <c r="A13614" s="9" t="str">
        <f>HYPERLINK("http://www.ensembl.org/id/WBGene00021636", "WBGene00021636")</f>
        <v>WBGene00021636</v>
      </c>
      <c r="B13614" s="9" t="str">
        <f>HYPERLINK("http://www.ncbi.nlm.nih.gov/gene/171920", "171920")</f>
        <v>171920</v>
      </c>
      <c r="C13614" s="9" t="str">
        <f>HYPERLINK("http://www.ncbi.nlm.nih.gov/gene/8850", "8850")</f>
        <v>8850</v>
      </c>
      <c r="D13614" t="str">
        <f>"pcaf-1"</f>
        <v>pcaf-1</v>
      </c>
      <c r="E13614" t="s">
        <v>7222</v>
      </c>
      <c r="F13614" t="s">
        <v>11</v>
      </c>
      <c r="G13614" t="s">
        <v>7223</v>
      </c>
      <c r="H13614" s="12">
        <v>-1.1142294699717199</v>
      </c>
      <c r="I13614" s="20">
        <v>-0.47548168137949498</v>
      </c>
      <c r="J13614" s="28">
        <v>0.63444368705950405</v>
      </c>
      <c r="K13614" s="29">
        <v>0.98289565623980701</v>
      </c>
    </row>
    <row r="13615" spans="1:11" x14ac:dyDescent="0.35">
      <c r="A13615" s="9" t="str">
        <f>HYPERLINK("http://www.ensembl.org/id/WBGene00003956", "WBGene00003956")</f>
        <v>WBGene00003956</v>
      </c>
      <c r="B13615" s="9" t="str">
        <f>HYPERLINK("http://www.ncbi.nlm.nih.gov/gene/176086", "176086")</f>
        <v>176086</v>
      </c>
      <c r="C13615" s="9"/>
      <c r="D13615" t="str">
        <f>"pcp-1"</f>
        <v>pcp-1</v>
      </c>
      <c r="E13615" t="s">
        <v>7068</v>
      </c>
      <c r="F13615" t="s">
        <v>11</v>
      </c>
      <c r="G13615" t="s">
        <v>1681</v>
      </c>
      <c r="H13615" s="12">
        <v>-1.10547474785306</v>
      </c>
      <c r="I13615" s="20">
        <v>-0.51958952786625401</v>
      </c>
      <c r="J13615" s="28">
        <v>0.60334969855130804</v>
      </c>
      <c r="K13615" s="29">
        <v>0.98289565623980701</v>
      </c>
    </row>
    <row r="13616" spans="1:11" x14ac:dyDescent="0.35">
      <c r="A13616" s="9" t="str">
        <f>HYPERLINK("http://www.ensembl.org/id/WBGene00017122", "WBGene00017122")</f>
        <v>WBGene00017122</v>
      </c>
      <c r="B13616" s="9" t="str">
        <f>HYPERLINK("http://www.ncbi.nlm.nih.gov/gene/184039", "184039")</f>
        <v>184039</v>
      </c>
      <c r="C13616" s="9"/>
      <c r="D13616" t="str">
        <f>"pcrg-1"</f>
        <v>pcrg-1</v>
      </c>
      <c r="E13616" t="s">
        <v>4979</v>
      </c>
      <c r="F13616" t="s">
        <v>11</v>
      </c>
      <c r="G13616" t="s">
        <v>4980</v>
      </c>
      <c r="H13616" s="12">
        <v>1.27167535503745</v>
      </c>
      <c r="I13616" s="20">
        <v>0.48564608132499698</v>
      </c>
      <c r="J13616" s="28">
        <v>0.62721811846864495</v>
      </c>
      <c r="K13616" s="29">
        <v>0.98289565623980701</v>
      </c>
    </row>
    <row r="13617" spans="1:11" x14ac:dyDescent="0.35">
      <c r="A13617" s="9" t="str">
        <f>HYPERLINK("http://www.ensembl.org/id/WBGene00003960", "WBGene00003960")</f>
        <v>WBGene00003960</v>
      </c>
      <c r="B13617" s="9" t="str">
        <f>HYPERLINK("http://www.ncbi.nlm.nih.gov/gene/174775", "174775")</f>
        <v>174775</v>
      </c>
      <c r="C13617" s="9"/>
      <c r="D13617" t="str">
        <f>"pcs-1"</f>
        <v>pcs-1</v>
      </c>
      <c r="E13617" t="s">
        <v>9568</v>
      </c>
      <c r="F13617" t="s">
        <v>11</v>
      </c>
      <c r="G13617" t="s">
        <v>9569</v>
      </c>
      <c r="H13617" s="12">
        <v>-1.2598277636434301</v>
      </c>
      <c r="I13617" s="20">
        <v>-1.0713654715341101</v>
      </c>
      <c r="J13617" s="28">
        <v>0.28400513181483</v>
      </c>
      <c r="K13617" s="29">
        <v>0.98289565623980701</v>
      </c>
    </row>
    <row r="13618" spans="1:11" x14ac:dyDescent="0.35">
      <c r="A13618" s="9" t="str">
        <f>HYPERLINK("http://www.ensembl.org/id/WBGene00003961", "WBGene00003961")</f>
        <v>WBGene00003961</v>
      </c>
      <c r="B13618" s="9" t="str">
        <f>HYPERLINK("http://www.ncbi.nlm.nih.gov/gene/177615", "177615")</f>
        <v>177615</v>
      </c>
      <c r="C13618" s="9" t="str">
        <f>HYPERLINK("http://www.ncbi.nlm.nih.gov/gene/5128", "5128")</f>
        <v>5128</v>
      </c>
      <c r="D13618" t="str">
        <f>"pct-1"</f>
        <v>pct-1</v>
      </c>
      <c r="E13618" t="s">
        <v>6867</v>
      </c>
      <c r="F13618" t="s">
        <v>11</v>
      </c>
      <c r="G13618" t="s">
        <v>444</v>
      </c>
      <c r="H13618" s="12">
        <v>-1.09343086632071</v>
      </c>
      <c r="I13618" s="20">
        <v>-0.45288237292500999</v>
      </c>
      <c r="J13618" s="28">
        <v>0.65063344443569104</v>
      </c>
      <c r="K13618" s="29">
        <v>0.98289565623980701</v>
      </c>
    </row>
    <row r="13619" spans="1:11" x14ac:dyDescent="0.35">
      <c r="A13619" s="9" t="str">
        <f>HYPERLINK("http://www.ensembl.org/id/WBGene00017241", "WBGene00017241")</f>
        <v>WBGene00017241</v>
      </c>
      <c r="B13619" s="9" t="str">
        <f>HYPERLINK("http://www.ncbi.nlm.nih.gov/gene/181021", "181021")</f>
        <v>181021</v>
      </c>
      <c r="C13619" s="9" t="str">
        <f>HYPERLINK("http://www.ncbi.nlm.nih.gov/gene/5130", "5130")</f>
        <v>5130</v>
      </c>
      <c r="D13619" t="str">
        <f>"pcyt-1"</f>
        <v>pcyt-1</v>
      </c>
      <c r="E13619" t="s">
        <v>6770</v>
      </c>
      <c r="F13619" t="s">
        <v>11</v>
      </c>
      <c r="G13619" t="s">
        <v>6771</v>
      </c>
      <c r="H13619" s="12">
        <v>-1.0883059677423801</v>
      </c>
      <c r="I13619" s="20">
        <v>-0.45796699634197202</v>
      </c>
      <c r="J13619" s="28">
        <v>0.64697615258873198</v>
      </c>
      <c r="K13619" s="29">
        <v>0.98289565623980701</v>
      </c>
    </row>
    <row r="13620" spans="1:11" x14ac:dyDescent="0.35">
      <c r="A13620" s="9" t="str">
        <f>HYPERLINK("http://www.ensembl.org/id/WBGene00021352", "WBGene00021352")</f>
        <v>WBGene00021352</v>
      </c>
      <c r="B13620" s="9" t="str">
        <f>HYPERLINK("http://www.ncbi.nlm.nih.gov/gene/171770", "171770")</f>
        <v>171770</v>
      </c>
      <c r="C13620" s="9" t="str">
        <f>HYPERLINK("http://www.ncbi.nlm.nih.gov/gene/5833", "5833")</f>
        <v>5833</v>
      </c>
      <c r="D13620" t="str">
        <f>"pcyt-2.1"</f>
        <v>pcyt-2.1</v>
      </c>
      <c r="E13620" t="s">
        <v>7220</v>
      </c>
      <c r="F13620" t="s">
        <v>11</v>
      </c>
      <c r="G13620" t="s">
        <v>7221</v>
      </c>
      <c r="H13620" s="12">
        <v>-1.1141728401583999</v>
      </c>
      <c r="I13620" s="20">
        <v>-0.58938327878641805</v>
      </c>
      <c r="J13620" s="28">
        <v>0.55560419089527302</v>
      </c>
      <c r="K13620" s="29">
        <v>0.98289565623980701</v>
      </c>
    </row>
    <row r="13621" spans="1:11" x14ac:dyDescent="0.35">
      <c r="A13621" s="9" t="str">
        <f>HYPERLINK("http://www.ensembl.org/id/WBGene00016531", "WBGene00016531")</f>
        <v>WBGene00016531</v>
      </c>
      <c r="B13621" s="9" t="str">
        <f>HYPERLINK("http://www.ncbi.nlm.nih.gov/gene/181047", "181047")</f>
        <v>181047</v>
      </c>
      <c r="C13621" s="9"/>
      <c r="D13621" t="str">
        <f>"pcyt-2.2"</f>
        <v>pcyt-2.2</v>
      </c>
      <c r="E13621" t="s">
        <v>7220</v>
      </c>
      <c r="F13621" t="s">
        <v>11</v>
      </c>
      <c r="G13621" t="s">
        <v>9095</v>
      </c>
      <c r="H13621" s="12">
        <v>-1.2201842997989001</v>
      </c>
      <c r="I13621" s="20">
        <v>-0.90725951969557606</v>
      </c>
      <c r="J13621" s="28">
        <v>0.36426957536820898</v>
      </c>
      <c r="K13621" s="29">
        <v>0.98289565623980701</v>
      </c>
    </row>
    <row r="13622" spans="1:11" x14ac:dyDescent="0.35">
      <c r="A13622" s="9" t="str">
        <f>HYPERLINK("http://www.ensembl.org/id/WBGene00011116", "WBGene00011116")</f>
        <v>WBGene00011116</v>
      </c>
      <c r="B13622" s="9" t="str">
        <f>HYPERLINK("http://www.ncbi.nlm.nih.gov/gene/259501", "259501")</f>
        <v>259501</v>
      </c>
      <c r="C13622" s="9" t="str">
        <f>HYPERLINK("http://www.ncbi.nlm.nih.gov/gene/5134", "5134")</f>
        <v>5134</v>
      </c>
      <c r="D13622" t="str">
        <f>"pdcd-2"</f>
        <v>pdcd-2</v>
      </c>
      <c r="E13622" t="s">
        <v>9413</v>
      </c>
      <c r="F13622" t="s">
        <v>11</v>
      </c>
      <c r="G13622" t="s">
        <v>318</v>
      </c>
      <c r="H13622" s="12">
        <v>-1.2447843555428899</v>
      </c>
      <c r="I13622" s="20">
        <v>-1.1064952327319</v>
      </c>
      <c r="J13622" s="28">
        <v>0.26851222630255001</v>
      </c>
      <c r="K13622" s="29">
        <v>0.98289565623980701</v>
      </c>
    </row>
    <row r="13623" spans="1:11" x14ac:dyDescent="0.35">
      <c r="A13623" s="9" t="str">
        <f>HYPERLINK("http://www.ensembl.org/id/WBGene00011146", "WBGene00011146")</f>
        <v>WBGene00011146</v>
      </c>
      <c r="B13623" s="9" t="str">
        <f>HYPERLINK("http://www.ncbi.nlm.nih.gov/gene/176270", "176270")</f>
        <v>176270</v>
      </c>
      <c r="C13623" s="9"/>
      <c r="D13623" t="str">
        <f>"pde-2"</f>
        <v>pde-2</v>
      </c>
      <c r="E13623" t="s">
        <v>6500</v>
      </c>
      <c r="F13623" t="s">
        <v>11</v>
      </c>
      <c r="G13623" t="s">
        <v>2507</v>
      </c>
      <c r="H13623" s="12">
        <v>-1.0723914702075199</v>
      </c>
      <c r="I13623" s="20">
        <v>-0.38897060939669897</v>
      </c>
      <c r="J13623" s="28">
        <v>0.69729788801585901</v>
      </c>
      <c r="K13623" s="29">
        <v>0.98289565623980701</v>
      </c>
    </row>
    <row r="13624" spans="1:11" x14ac:dyDescent="0.35">
      <c r="A13624" s="9" t="str">
        <f>HYPERLINK("http://www.ensembl.org/id/WBGene00020114", "WBGene00020114")</f>
        <v>WBGene00020114</v>
      </c>
      <c r="B13624" s="9" t="str">
        <f>HYPERLINK("http://www.ncbi.nlm.nih.gov/gene/174235", "174235")</f>
        <v>174235</v>
      </c>
      <c r="C13624" s="9" t="str">
        <f>HYPERLINK("http://www.ncbi.nlm.nih.gov/gene/5144", "5144")</f>
        <v>5144</v>
      </c>
      <c r="D13624" t="str">
        <f>"pde-4"</f>
        <v>pde-4</v>
      </c>
      <c r="E13624" t="s">
        <v>5955</v>
      </c>
      <c r="F13624" t="s">
        <v>11</v>
      </c>
      <c r="G13624" t="s">
        <v>5956</v>
      </c>
      <c r="H13624" s="12">
        <v>1.08024364841272</v>
      </c>
      <c r="I13624" s="20">
        <v>0.41066647523055699</v>
      </c>
      <c r="J13624" s="28">
        <v>0.68131711258606498</v>
      </c>
      <c r="K13624" s="29">
        <v>0.98289565623980701</v>
      </c>
    </row>
    <row r="13625" spans="1:11" x14ac:dyDescent="0.35">
      <c r="A13625" s="9" t="str">
        <f>HYPERLINK("http://www.ensembl.org/id/WBGene00015413", "WBGene00015413")</f>
        <v>WBGene00015413</v>
      </c>
      <c r="B13625" s="9" t="str">
        <f>HYPERLINK("http://www.ncbi.nlm.nih.gov/gene/177108", "177108")</f>
        <v>177108</v>
      </c>
      <c r="C13625" s="9" t="str">
        <f>HYPERLINK("http://www.ncbi.nlm.nih.gov/gene/5162", "5162")</f>
        <v>5162</v>
      </c>
      <c r="D13625" t="str">
        <f>"pdhb-1"</f>
        <v>pdhb-1</v>
      </c>
      <c r="E13625" t="s">
        <v>6270</v>
      </c>
      <c r="F13625" t="s">
        <v>11</v>
      </c>
      <c r="G13625" t="s">
        <v>6271</v>
      </c>
      <c r="H13625" s="12">
        <v>-1.05793439794968</v>
      </c>
      <c r="I13625" s="20">
        <v>-0.283160184562953</v>
      </c>
      <c r="J13625" s="28">
        <v>0.77705404791572497</v>
      </c>
      <c r="K13625" s="29">
        <v>0.98289565623980701</v>
      </c>
    </row>
    <row r="13626" spans="1:11" x14ac:dyDescent="0.35">
      <c r="A13626" s="9" t="str">
        <f>HYPERLINK("http://www.ensembl.org/id/WBGene00022719", "WBGene00022719")</f>
        <v>WBGene00022719</v>
      </c>
      <c r="B13626" s="9" t="str">
        <f>HYPERLINK("http://www.ncbi.nlm.nih.gov/gene/176226", "176226")</f>
        <v>176226</v>
      </c>
      <c r="C13626" s="9" t="str">
        <f>HYPERLINK("http://www.ncbi.nlm.nih.gov/gene/5165", "5165")</f>
        <v>5165</v>
      </c>
      <c r="D13626" t="str">
        <f>"pdhk-2"</f>
        <v>pdhk-2</v>
      </c>
      <c r="E13626" t="s">
        <v>8213</v>
      </c>
      <c r="F13626" t="s">
        <v>11</v>
      </c>
      <c r="G13626" t="s">
        <v>8214</v>
      </c>
      <c r="H13626" s="12">
        <v>-1.1662080971564801</v>
      </c>
      <c r="I13626" s="20">
        <v>-0.82420039433607994</v>
      </c>
      <c r="J13626" s="28">
        <v>0.40982570302084698</v>
      </c>
      <c r="K13626" s="29">
        <v>0.98289565623980701</v>
      </c>
    </row>
    <row r="13627" spans="1:11" x14ac:dyDescent="0.35">
      <c r="A13627" s="9" t="str">
        <f>HYPERLINK("http://www.ensembl.org/id/WBGene00003962", "WBGene00003962")</f>
        <v>WBGene00003962</v>
      </c>
      <c r="B13627" s="9" t="str">
        <f>HYPERLINK("http://www.ncbi.nlm.nih.gov/gene/175472", "175472")</f>
        <v>175472</v>
      </c>
      <c r="C13627" s="9"/>
      <c r="D13627" t="str">
        <f>"pdi-1"</f>
        <v>pdi-1</v>
      </c>
      <c r="E13627" t="s">
        <v>8355</v>
      </c>
      <c r="F13627" t="s">
        <v>11</v>
      </c>
      <c r="G13627" t="s">
        <v>7216</v>
      </c>
      <c r="H13627" s="12">
        <v>-1.1731053332228201</v>
      </c>
      <c r="I13627" s="20">
        <v>-0.86232313662828397</v>
      </c>
      <c r="J13627" s="28">
        <v>0.38850972436296</v>
      </c>
      <c r="K13627" s="29">
        <v>0.98289565623980701</v>
      </c>
    </row>
    <row r="13628" spans="1:11" x14ac:dyDescent="0.35">
      <c r="A13628" s="9" t="str">
        <f>HYPERLINK("http://www.ensembl.org/id/WBGene00003964", "WBGene00003964")</f>
        <v>WBGene00003964</v>
      </c>
      <c r="B13628" s="9" t="str">
        <f>HYPERLINK("http://www.ncbi.nlm.nih.gov/gene/172433", "172433")</f>
        <v>172433</v>
      </c>
      <c r="C13628" s="9" t="str">
        <f>HYPERLINK("http://www.ncbi.nlm.nih.gov/gene/2923", "2923")</f>
        <v>2923</v>
      </c>
      <c r="D13628" t="str">
        <f>"pdi-3"</f>
        <v>pdi-3</v>
      </c>
      <c r="F13628" t="s">
        <v>11</v>
      </c>
      <c r="G13628" t="s">
        <v>7360</v>
      </c>
      <c r="H13628" s="12">
        <v>-1.1216159387936799</v>
      </c>
      <c r="I13628" s="20">
        <v>-0.64437658111162999</v>
      </c>
      <c r="J13628" s="28">
        <v>0.51933126689334397</v>
      </c>
      <c r="K13628" s="29">
        <v>0.98289565623980701</v>
      </c>
    </row>
    <row r="13629" spans="1:11" x14ac:dyDescent="0.35">
      <c r="A13629" s="9" t="str">
        <f>HYPERLINK("http://www.ensembl.org/id/WBGene00015168", "WBGene00015168")</f>
        <v>WBGene00015168</v>
      </c>
      <c r="B13629" s="9" t="str">
        <f>HYPERLINK("http://www.ncbi.nlm.nih.gov/gene/180974", "180974")</f>
        <v>180974</v>
      </c>
      <c r="C13629" s="9" t="str">
        <f>HYPERLINK("http://www.ncbi.nlm.nih.gov/gene/10130", "10130")</f>
        <v>10130</v>
      </c>
      <c r="D13629" t="str">
        <f>"pdi-6"</f>
        <v>pdi-6</v>
      </c>
      <c r="E13629" t="s">
        <v>7215</v>
      </c>
      <c r="F13629" t="s">
        <v>11</v>
      </c>
      <c r="G13629" t="s">
        <v>7216</v>
      </c>
      <c r="H13629" s="12">
        <v>-1.1140390996652101</v>
      </c>
      <c r="I13629" s="20">
        <v>-0.60111673885376704</v>
      </c>
      <c r="J13629" s="28">
        <v>0.54776223521669598</v>
      </c>
      <c r="K13629" s="29">
        <v>0.98289565623980701</v>
      </c>
    </row>
    <row r="13630" spans="1:11" x14ac:dyDescent="0.35">
      <c r="A13630" s="9" t="str">
        <f>HYPERLINK("http://www.ensembl.org/id/WBGene00003965", "WBGene00003965")</f>
        <v>WBGene00003965</v>
      </c>
      <c r="B13630" s="9" t="str">
        <f>HYPERLINK("http://www.ncbi.nlm.nih.gov/gene/180475", "180475")</f>
        <v>180475</v>
      </c>
      <c r="C13630" s="9" t="str">
        <f>HYPERLINK("http://www.ncbi.nlm.nih.gov/gene/5170", "5170")</f>
        <v>5170</v>
      </c>
      <c r="D13630" t="str">
        <f>"pdk-1"</f>
        <v>pdk-1</v>
      </c>
      <c r="E13630" t="s">
        <v>9845</v>
      </c>
      <c r="F13630" t="s">
        <v>11</v>
      </c>
      <c r="G13630" t="s">
        <v>2542</v>
      </c>
      <c r="H13630" s="12">
        <v>-1.32381969965194</v>
      </c>
      <c r="I13630" s="20">
        <v>-1.2059260813173001</v>
      </c>
      <c r="J13630" s="28">
        <v>0.22784599318740401</v>
      </c>
      <c r="K13630" s="29">
        <v>0.98289565623980701</v>
      </c>
    </row>
    <row r="13631" spans="1:11" x14ac:dyDescent="0.35">
      <c r="A13631" s="9" t="str">
        <f>HYPERLINK("http://www.ensembl.org/id/WBGene00013718", "WBGene00013718")</f>
        <v>WBGene00013718</v>
      </c>
      <c r="B13631" s="9" t="str">
        <f>HYPERLINK("http://www.ncbi.nlm.nih.gov/gene/172922", "172922")</f>
        <v>172922</v>
      </c>
      <c r="C13631" s="9" t="str">
        <f>HYPERLINK("http://www.ncbi.nlm.nih.gov/gene/55066", "55066")</f>
        <v>55066</v>
      </c>
      <c r="D13631" t="str">
        <f>"pdpr-1"</f>
        <v>pdpr-1</v>
      </c>
      <c r="E13631" t="s">
        <v>7873</v>
      </c>
      <c r="F13631" t="s">
        <v>11</v>
      </c>
      <c r="G13631" t="s">
        <v>7874</v>
      </c>
      <c r="H13631" s="12">
        <v>-1.1490959374551799</v>
      </c>
      <c r="I13631" s="20">
        <v>-0.73857486801517003</v>
      </c>
      <c r="J13631" s="28">
        <v>0.46016518971739301</v>
      </c>
      <c r="K13631" s="29">
        <v>0.98289565623980701</v>
      </c>
    </row>
    <row r="13632" spans="1:11" x14ac:dyDescent="0.35">
      <c r="A13632" s="9" t="str">
        <f>HYPERLINK("http://www.ensembl.org/id/WBGene00003967", "WBGene00003967")</f>
        <v>WBGene00003967</v>
      </c>
      <c r="B13632" s="9" t="str">
        <f>HYPERLINK("http://www.ncbi.nlm.nih.gov/gene/176816", "176816")</f>
        <v>176816</v>
      </c>
      <c r="C13632" s="9" t="str">
        <f>HYPERLINK("http://www.ncbi.nlm.nih.gov/gene/5071", "5071")</f>
        <v>5071</v>
      </c>
      <c r="D13632" t="str">
        <f>"pdr-1"</f>
        <v>pdr-1</v>
      </c>
      <c r="E13632" t="s">
        <v>8692</v>
      </c>
      <c r="F13632" t="s">
        <v>11</v>
      </c>
      <c r="G13632" t="s">
        <v>8693</v>
      </c>
      <c r="H13632" s="12">
        <v>-1.19106789852819</v>
      </c>
      <c r="I13632" s="20">
        <v>-0.89054466749203798</v>
      </c>
      <c r="J13632" s="28">
        <v>0.37317349513716602</v>
      </c>
      <c r="K13632" s="29">
        <v>0.98289565623980701</v>
      </c>
    </row>
    <row r="13633" spans="1:11" x14ac:dyDescent="0.35">
      <c r="A13633" s="9" t="str">
        <f>HYPERLINK("http://www.ensembl.org/id/WBGene00003968", "WBGene00003968")</f>
        <v>WBGene00003968</v>
      </c>
      <c r="B13633" s="9" t="str">
        <f>HYPERLINK("http://www.ncbi.nlm.nih.gov/gene/180532", "180532")</f>
        <v>180532</v>
      </c>
      <c r="C13633" s="9"/>
      <c r="D13633" t="str">
        <f>"peb-1"</f>
        <v>peb-1</v>
      </c>
      <c r="E13633" t="s">
        <v>6945</v>
      </c>
      <c r="F13633" t="s">
        <v>11</v>
      </c>
      <c r="G13633" t="s">
        <v>6946</v>
      </c>
      <c r="H13633" s="12">
        <v>-1.09918931708999</v>
      </c>
      <c r="I13633" s="20">
        <v>-0.45968048992787303</v>
      </c>
      <c r="J13633" s="28">
        <v>0.64574557547661005</v>
      </c>
      <c r="K13633" s="29">
        <v>0.98289565623980701</v>
      </c>
    </row>
    <row r="13634" spans="1:11" x14ac:dyDescent="0.35">
      <c r="A13634" s="9" t="str">
        <f>HYPERLINK("http://www.ensembl.org/id/WBGene00077563", "WBGene00077563")</f>
        <v>WBGene00077563</v>
      </c>
      <c r="B13634" s="9" t="str">
        <f>HYPERLINK("http://www.ncbi.nlm.nih.gov/gene/13179502", "13179502")</f>
        <v>13179502</v>
      </c>
      <c r="C13634" s="9"/>
      <c r="D13634" t="str">
        <f>"peel-1"</f>
        <v>peel-1</v>
      </c>
      <c r="E13634" t="s">
        <v>4372</v>
      </c>
      <c r="F13634" t="s">
        <v>11</v>
      </c>
      <c r="G13634" t="s">
        <v>25</v>
      </c>
      <c r="H13634" s="12">
        <v>2.5072500239966198</v>
      </c>
      <c r="I13634" s="20">
        <v>0.419065536341448</v>
      </c>
      <c r="J13634" s="28">
        <v>0.67516823696274697</v>
      </c>
      <c r="K13634" s="29">
        <v>0.98289565623980701</v>
      </c>
    </row>
    <row r="13635" spans="1:11" x14ac:dyDescent="0.35">
      <c r="A13635" s="9" t="str">
        <f>HYPERLINK("http://www.ensembl.org/id/WBGene00003969", "WBGene00003969")</f>
        <v>WBGene00003969</v>
      </c>
      <c r="B13635" s="9" t="str">
        <f>HYPERLINK("http://www.ncbi.nlm.nih.gov/gene/175257", "175257")</f>
        <v>175257</v>
      </c>
      <c r="C13635" s="9" t="str">
        <f>HYPERLINK("http://www.ncbi.nlm.nih.gov/gene/5475", "5475")</f>
        <v>5475</v>
      </c>
      <c r="D13635" t="str">
        <f>"pef-1"</f>
        <v>pef-1</v>
      </c>
      <c r="E13635" t="s">
        <v>5624</v>
      </c>
      <c r="F13635" t="s">
        <v>11</v>
      </c>
      <c r="G13635" t="s">
        <v>5625</v>
      </c>
      <c r="H13635" s="12">
        <v>1.13338578959068</v>
      </c>
      <c r="I13635" s="20">
        <v>0.41629887861109199</v>
      </c>
      <c r="J13635" s="28">
        <v>0.67719131304676705</v>
      </c>
      <c r="K13635" s="29">
        <v>0.98289565623980701</v>
      </c>
    </row>
    <row r="13636" spans="1:11" x14ac:dyDescent="0.35">
      <c r="A13636" s="9" t="str">
        <f>HYPERLINK("http://www.ensembl.org/id/WBGene00003970", "WBGene00003970")</f>
        <v>WBGene00003970</v>
      </c>
      <c r="B13636" s="9" t="str">
        <f>HYPERLINK("http://www.ncbi.nlm.nih.gov/gene/181334", "181334")</f>
        <v>181334</v>
      </c>
      <c r="C13636" s="9"/>
      <c r="D13636" t="str">
        <f>"pek-1"</f>
        <v>pek-1</v>
      </c>
      <c r="E13636" t="s">
        <v>7236</v>
      </c>
      <c r="F13636" t="s">
        <v>11</v>
      </c>
      <c r="G13636" t="s">
        <v>86</v>
      </c>
      <c r="H13636" s="12">
        <v>-1.1148538354897299</v>
      </c>
      <c r="I13636" s="20">
        <v>-0.59449709026491104</v>
      </c>
      <c r="J13636" s="28">
        <v>0.55217968786381999</v>
      </c>
      <c r="K13636" s="29">
        <v>0.98289565623980701</v>
      </c>
    </row>
    <row r="13637" spans="1:11" x14ac:dyDescent="0.35">
      <c r="A13637" s="9" t="str">
        <f>HYPERLINK("http://www.ensembl.org/id/WBGene00017766", "WBGene00017766")</f>
        <v>WBGene00017766</v>
      </c>
      <c r="B13637" s="9" t="str">
        <f>HYPERLINK("http://www.ncbi.nlm.nih.gov/gene/178959", "178959")</f>
        <v>178959</v>
      </c>
      <c r="C13637" s="9" t="str">
        <f>HYPERLINK("http://www.ncbi.nlm.nih.gov/gene/57161", "57161")</f>
        <v>57161</v>
      </c>
      <c r="D13637" t="str">
        <f>"peli-1"</f>
        <v>peli-1</v>
      </c>
      <c r="E13637" t="s">
        <v>8322</v>
      </c>
      <c r="F13637" t="s">
        <v>11</v>
      </c>
      <c r="G13637" t="s">
        <v>8323</v>
      </c>
      <c r="H13637" s="12">
        <v>-1.1714228813875001</v>
      </c>
      <c r="I13637" s="20">
        <v>-0.85887507100947103</v>
      </c>
      <c r="J13637" s="28">
        <v>0.39040944433793801</v>
      </c>
      <c r="K13637" s="29">
        <v>0.98289565623980701</v>
      </c>
    </row>
    <row r="13638" spans="1:11" x14ac:dyDescent="0.35">
      <c r="A13638" s="9" t="str">
        <f>HYPERLINK("http://www.ensembl.org/id/WBGene00011280", "WBGene00011280")</f>
        <v>WBGene00011280</v>
      </c>
      <c r="B13638" s="9" t="str">
        <f>HYPERLINK("http://www.ncbi.nlm.nih.gov/gene/187888", "187888")</f>
        <v>187888</v>
      </c>
      <c r="C13638" s="9" t="str">
        <f>HYPERLINK("http://www.ncbi.nlm.nih.gov/gene/53918", "53918")</f>
        <v>53918</v>
      </c>
      <c r="D13638" t="str">
        <f>"pelo-1"</f>
        <v>pelo-1</v>
      </c>
      <c r="F13638" t="s">
        <v>11</v>
      </c>
      <c r="G13638" t="s">
        <v>9230</v>
      </c>
      <c r="H13638" s="12">
        <v>-1.22952305487615</v>
      </c>
      <c r="I13638" s="20">
        <v>-0.85252520206211801</v>
      </c>
      <c r="J13638" s="28">
        <v>0.39392265736162002</v>
      </c>
      <c r="K13638" s="29">
        <v>0.98289565623980701</v>
      </c>
    </row>
    <row r="13639" spans="1:11" x14ac:dyDescent="0.35">
      <c r="A13639" s="9" t="str">
        <f>HYPERLINK("http://www.ensembl.org/id/WBGene00003975", "WBGene00003975")</f>
        <v>WBGene00003975</v>
      </c>
      <c r="B13639" s="9" t="str">
        <f>HYPERLINK("http://www.ncbi.nlm.nih.gov/gene/176565", "176565")</f>
        <v>176565</v>
      </c>
      <c r="C13639" s="9" t="str">
        <f>HYPERLINK("http://www.ncbi.nlm.nih.gov/gene/55851", "55851")</f>
        <v>55851</v>
      </c>
      <c r="D13639" t="str">
        <f>"pen-2"</f>
        <v>pen-2</v>
      </c>
      <c r="E13639" t="s">
        <v>7310</v>
      </c>
      <c r="F13639" t="s">
        <v>11</v>
      </c>
      <c r="H13639" s="12">
        <v>-1.1188429912859901</v>
      </c>
      <c r="I13639" s="20">
        <v>-0.41737296924737599</v>
      </c>
      <c r="J13639" s="28">
        <v>0.67640562315351405</v>
      </c>
      <c r="K13639" s="29">
        <v>0.98289565623980701</v>
      </c>
    </row>
    <row r="13640" spans="1:11" x14ac:dyDescent="0.35">
      <c r="A13640" s="9" t="str">
        <f>HYPERLINK("http://www.ensembl.org/id/WBGene00009807", "WBGene00009807")</f>
        <v>WBGene00009807</v>
      </c>
      <c r="B13640" s="9" t="str">
        <f>HYPERLINK("http://www.ncbi.nlm.nih.gov/gene/185898", "185898")</f>
        <v>185898</v>
      </c>
      <c r="C13640" s="9"/>
      <c r="D13640" t="str">
        <f>"pepm-1"</f>
        <v>pepm-1</v>
      </c>
      <c r="E13640" t="s">
        <v>4721</v>
      </c>
      <c r="F13640" t="s">
        <v>11</v>
      </c>
      <c r="H13640" s="12">
        <v>1.4514127745544301</v>
      </c>
      <c r="I13640" s="20">
        <v>0.80271109248529804</v>
      </c>
      <c r="J13640" s="28">
        <v>0.42214174006508298</v>
      </c>
      <c r="K13640" s="29">
        <v>0.98289565623980701</v>
      </c>
    </row>
    <row r="13641" spans="1:11" x14ac:dyDescent="0.35">
      <c r="A13641" s="9" t="str">
        <f>HYPERLINK("http://www.ensembl.org/id/WBGene00022776", "WBGene00022776")</f>
        <v>WBGene00022776</v>
      </c>
      <c r="B13641" s="9" t="str">
        <f>HYPERLINK("http://www.ncbi.nlm.nih.gov/gene/177324", "177324")</f>
        <v>177324</v>
      </c>
      <c r="C13641" s="9" t="str">
        <f>HYPERLINK("http://www.ncbi.nlm.nih.gov/gene/51234", "51234")</f>
        <v>51234</v>
      </c>
      <c r="D13641" t="str">
        <f>"perm-3"</f>
        <v>perm-3</v>
      </c>
      <c r="E13641" t="s">
        <v>8598</v>
      </c>
      <c r="F13641" t="s">
        <v>11</v>
      </c>
      <c r="G13641" t="s">
        <v>8599</v>
      </c>
      <c r="H13641" s="12">
        <v>-1.1858528549777101</v>
      </c>
      <c r="I13641" s="20">
        <v>-0.87893551205155895</v>
      </c>
      <c r="J13641" s="28">
        <v>0.37943624249038699</v>
      </c>
      <c r="K13641" s="29">
        <v>0.98289565623980701</v>
      </c>
    </row>
    <row r="13642" spans="1:11" x14ac:dyDescent="0.35">
      <c r="A13642" s="9" t="str">
        <f>HYPERLINK("http://www.ensembl.org/id/WBGene00003983", "WBGene00003983")</f>
        <v>WBGene00003983</v>
      </c>
      <c r="B13642" s="9" t="str">
        <f>HYPERLINK("http://www.ncbi.nlm.nih.gov/gene/174920", "174920")</f>
        <v>174920</v>
      </c>
      <c r="C13642" s="9"/>
      <c r="D13642" t="str">
        <f>"pes-10"</f>
        <v>pes-10</v>
      </c>
      <c r="E13642" t="s">
        <v>7735</v>
      </c>
      <c r="F13642" t="s">
        <v>11</v>
      </c>
      <c r="H13642" s="12">
        <v>-1.1418976581845</v>
      </c>
      <c r="I13642" s="20">
        <v>-0.309417185147217</v>
      </c>
      <c r="J13642" s="28">
        <v>0.757004199504548</v>
      </c>
      <c r="K13642" s="29">
        <v>0.98289565623980701</v>
      </c>
    </row>
    <row r="13643" spans="1:11" x14ac:dyDescent="0.35">
      <c r="A13643" s="9" t="str">
        <f>HYPERLINK("http://www.ensembl.org/id/WBGene00010158", "WBGene00010158")</f>
        <v>WBGene00010158</v>
      </c>
      <c r="B13643" s="9" t="str">
        <f>HYPERLINK("http://www.ncbi.nlm.nih.gov/gene/173026", "173026")</f>
        <v>173026</v>
      </c>
      <c r="C13643" s="9"/>
      <c r="D13643" t="str">
        <f>"pes-2.2"</f>
        <v>pes-2.2</v>
      </c>
      <c r="E13643" t="s">
        <v>4402</v>
      </c>
      <c r="F13643" t="s">
        <v>11</v>
      </c>
      <c r="G13643" t="s">
        <v>54</v>
      </c>
      <c r="H13643" s="12">
        <v>2.3893468495514898</v>
      </c>
      <c r="I13643" s="20">
        <v>0.25323547253672701</v>
      </c>
      <c r="J13643" s="28">
        <v>0.80008625651646104</v>
      </c>
      <c r="K13643" s="29">
        <v>0.98289565623980701</v>
      </c>
    </row>
    <row r="13644" spans="1:11" x14ac:dyDescent="0.35">
      <c r="A13644" s="9" t="str">
        <f>HYPERLINK("http://www.ensembl.org/id/WBGene00003979", "WBGene00003979")</f>
        <v>WBGene00003979</v>
      </c>
      <c r="B13644" s="9" t="str">
        <f>HYPERLINK("http://www.ncbi.nlm.nih.gov/gene/174819", "174819")</f>
        <v>174819</v>
      </c>
      <c r="C13644" s="9"/>
      <c r="D13644" t="str">
        <f>"pes-5"</f>
        <v>pes-5</v>
      </c>
      <c r="E13644" t="s">
        <v>1587</v>
      </c>
      <c r="F13644" t="s">
        <v>11</v>
      </c>
      <c r="G13644" t="s">
        <v>25</v>
      </c>
      <c r="H13644" s="12">
        <v>-1.2951342245620101</v>
      </c>
      <c r="I13644" s="20">
        <v>-0.952311230955876</v>
      </c>
      <c r="J13644" s="28">
        <v>0.34093916367910299</v>
      </c>
      <c r="K13644" s="29">
        <v>0.98289565623980701</v>
      </c>
    </row>
    <row r="13645" spans="1:11" x14ac:dyDescent="0.35">
      <c r="A13645" s="9" t="str">
        <f>HYPERLINK("http://www.ensembl.org/id/WBGene00003981", "WBGene00003981")</f>
        <v>WBGene00003981</v>
      </c>
      <c r="B13645" s="9" t="str">
        <f>HYPERLINK("http://www.ncbi.nlm.nih.gov/gene/191742", "191742")</f>
        <v>191742</v>
      </c>
      <c r="C13645" s="9"/>
      <c r="D13645" t="str">
        <f>"pes-8"</f>
        <v>pes-8</v>
      </c>
      <c r="E13645" t="s">
        <v>1587</v>
      </c>
      <c r="F13645" t="s">
        <v>11</v>
      </c>
      <c r="H13645" s="12">
        <v>1.2065424895740999</v>
      </c>
      <c r="I13645" s="20">
        <v>0.856722974110664</v>
      </c>
      <c r="J13645" s="28">
        <v>0.39159800337887402</v>
      </c>
      <c r="K13645" s="29">
        <v>0.98289565623980701</v>
      </c>
    </row>
    <row r="13646" spans="1:11" x14ac:dyDescent="0.35">
      <c r="A13646" s="9" t="str">
        <f>HYPERLINK("http://www.ensembl.org/id/WBGene00007443", "WBGene00007443")</f>
        <v>WBGene00007443</v>
      </c>
      <c r="B13646" s="9" t="str">
        <f>HYPERLINK("http://www.ncbi.nlm.nih.gov/gene/178021", "178021")</f>
        <v>178021</v>
      </c>
      <c r="C13646" s="9"/>
      <c r="D13646" t="str">
        <f>"pfd-1"</f>
        <v>pfd-1</v>
      </c>
      <c r="E13646" t="s">
        <v>5983</v>
      </c>
      <c r="F13646" t="s">
        <v>11</v>
      </c>
      <c r="G13646" t="s">
        <v>5984</v>
      </c>
      <c r="H13646" s="12">
        <v>1.0767144902377099</v>
      </c>
      <c r="I13646" s="20">
        <v>0.37626442241621699</v>
      </c>
      <c r="J13646" s="28">
        <v>0.70672032597796197</v>
      </c>
      <c r="K13646" s="29">
        <v>0.98289565623980701</v>
      </c>
    </row>
    <row r="13647" spans="1:11" x14ac:dyDescent="0.35">
      <c r="A13647" s="9" t="str">
        <f>HYPERLINK("http://www.ensembl.org/id/WBGene00019220", "WBGene00019220")</f>
        <v>WBGene00019220</v>
      </c>
      <c r="B13647" s="9" t="str">
        <f>HYPERLINK("http://www.ncbi.nlm.nih.gov/gene/173768", "173768")</f>
        <v>173768</v>
      </c>
      <c r="C13647" s="9"/>
      <c r="D13647" t="str">
        <f>"pfd-2"</f>
        <v>pfd-2</v>
      </c>
      <c r="E13647" t="s">
        <v>6546</v>
      </c>
      <c r="F13647" t="s">
        <v>11</v>
      </c>
      <c r="G13647" t="s">
        <v>5984</v>
      </c>
      <c r="H13647" s="12">
        <v>-1.0751361524306899</v>
      </c>
      <c r="I13647" s="20">
        <v>-0.35641184267505599</v>
      </c>
      <c r="J13647" s="28">
        <v>0.72153216176069501</v>
      </c>
      <c r="K13647" s="29">
        <v>0.98289565623980701</v>
      </c>
    </row>
    <row r="13648" spans="1:11" x14ac:dyDescent="0.35">
      <c r="A13648" s="9" t="str">
        <f>HYPERLINK("http://www.ensembl.org/id/WBGene00006889", "WBGene00006889")</f>
        <v>WBGene00006889</v>
      </c>
      <c r="B13648" s="9" t="str">
        <f>HYPERLINK("http://www.ncbi.nlm.nih.gov/gene/173141", "173141")</f>
        <v>173141</v>
      </c>
      <c r="C13648" s="9" t="str">
        <f>HYPERLINK("http://www.ncbi.nlm.nih.gov/gene/7411", "7411")</f>
        <v>7411</v>
      </c>
      <c r="D13648" t="str">
        <f>"pfd-3"</f>
        <v>pfd-3</v>
      </c>
      <c r="E13648" t="s">
        <v>6561</v>
      </c>
      <c r="F13648" t="s">
        <v>11</v>
      </c>
      <c r="G13648" t="s">
        <v>6562</v>
      </c>
      <c r="H13648" s="12">
        <v>-1.07628911563867</v>
      </c>
      <c r="I13648" s="20">
        <v>-0.364890169120972</v>
      </c>
      <c r="J13648" s="28">
        <v>0.71519339301737594</v>
      </c>
      <c r="K13648" s="29">
        <v>0.98289565623980701</v>
      </c>
    </row>
    <row r="13649" spans="1:11" x14ac:dyDescent="0.35">
      <c r="A13649" s="9" t="str">
        <f>HYPERLINK("http://www.ensembl.org/id/WBGene00007107", "WBGene00007107")</f>
        <v>WBGene00007107</v>
      </c>
      <c r="B13649" s="9" t="str">
        <f>HYPERLINK("http://www.ncbi.nlm.nih.gov/gene/178045", "178045")</f>
        <v>178045</v>
      </c>
      <c r="C13649" s="9"/>
      <c r="D13649" t="str">
        <f>"pfd-4"</f>
        <v>pfd-4</v>
      </c>
      <c r="E13649" t="s">
        <v>7137</v>
      </c>
      <c r="F13649" t="s">
        <v>11</v>
      </c>
      <c r="G13649" t="s">
        <v>5984</v>
      </c>
      <c r="H13649" s="12">
        <v>-1.10955161443905</v>
      </c>
      <c r="I13649" s="20">
        <v>-0.52460206065111903</v>
      </c>
      <c r="J13649" s="28">
        <v>0.59985985394479602</v>
      </c>
      <c r="K13649" s="29">
        <v>0.98289565623980701</v>
      </c>
    </row>
    <row r="13650" spans="1:11" x14ac:dyDescent="0.35">
      <c r="A13650" s="9" t="str">
        <f>HYPERLINK("http://www.ensembl.org/id/WBGene00020112", "WBGene00020112")</f>
        <v>WBGene00020112</v>
      </c>
      <c r="B13650" s="9" t="str">
        <f>HYPERLINK("http://www.ncbi.nlm.nih.gov/gene/176013", "176013")</f>
        <v>176013</v>
      </c>
      <c r="C13650" s="9"/>
      <c r="D13650" t="str">
        <f>"pfd-5"</f>
        <v>pfd-5</v>
      </c>
      <c r="E13650" t="s">
        <v>8202</v>
      </c>
      <c r="F13650" t="s">
        <v>11</v>
      </c>
      <c r="G13650" t="s">
        <v>5984</v>
      </c>
      <c r="H13650" s="12">
        <v>-1.1654498596759499</v>
      </c>
      <c r="I13650" s="20">
        <v>-0.77421983507423398</v>
      </c>
      <c r="J13650" s="28">
        <v>0.43880080052339199</v>
      </c>
      <c r="K13650" s="29">
        <v>0.98289565623980701</v>
      </c>
    </row>
    <row r="13651" spans="1:11" x14ac:dyDescent="0.35">
      <c r="A13651" s="9" t="str">
        <f>HYPERLINK("http://www.ensembl.org/id/WBGene00009004", "WBGene00009004")</f>
        <v>WBGene00009004</v>
      </c>
      <c r="B13651" s="9" t="str">
        <f>HYPERLINK("http://www.ncbi.nlm.nih.gov/gene/172474", "172474")</f>
        <v>172474</v>
      </c>
      <c r="C13651" s="9"/>
      <c r="D13651" t="str">
        <f>"pfd-6"</f>
        <v>pfd-6</v>
      </c>
      <c r="E13651" t="s">
        <v>8935</v>
      </c>
      <c r="F13651" t="s">
        <v>11</v>
      </c>
      <c r="G13651" t="s">
        <v>5984</v>
      </c>
      <c r="H13651" s="12">
        <v>-1.20914588715148</v>
      </c>
      <c r="I13651" s="20">
        <v>-0.96230947740066997</v>
      </c>
      <c r="J13651" s="28">
        <v>0.33589416968013802</v>
      </c>
      <c r="K13651" s="29">
        <v>0.98289565623980701</v>
      </c>
    </row>
    <row r="13652" spans="1:11" x14ac:dyDescent="0.35">
      <c r="A13652" s="9" t="str">
        <f>HYPERLINK("http://www.ensembl.org/id/WBGene00022199", "WBGene00022199")</f>
        <v>WBGene00022199</v>
      </c>
      <c r="B13652" s="9" t="str">
        <f>HYPERLINK("http://www.ncbi.nlm.nih.gov/gene/180583", "180583")</f>
        <v>180583</v>
      </c>
      <c r="C13652" s="9" t="str">
        <f>HYPERLINK("http://www.ncbi.nlm.nih.gov/gene/5213", "5213")</f>
        <v>5213</v>
      </c>
      <c r="D13652" t="str">
        <f>"pfk-1.1"</f>
        <v>pfk-1.1</v>
      </c>
      <c r="E13652" t="s">
        <v>8709</v>
      </c>
      <c r="F13652" t="s">
        <v>11</v>
      </c>
      <c r="G13652" t="s">
        <v>8710</v>
      </c>
      <c r="H13652" s="12">
        <v>-1.1924233911525499</v>
      </c>
      <c r="I13652" s="20">
        <v>-0.94946490408456496</v>
      </c>
      <c r="J13652" s="28">
        <v>0.34238421364941002</v>
      </c>
      <c r="K13652" s="29">
        <v>0.98289565623980701</v>
      </c>
    </row>
    <row r="13653" spans="1:11" x14ac:dyDescent="0.35">
      <c r="A13653" s="9" t="str">
        <f>HYPERLINK("http://www.ensembl.org/id/WBGene00008230", "WBGene00008230")</f>
        <v>WBGene00008230</v>
      </c>
      <c r="B13653" s="9" t="str">
        <f>HYPERLINK("http://www.ncbi.nlm.nih.gov/gene/179335", "179335")</f>
        <v>179335</v>
      </c>
      <c r="C13653" s="9"/>
      <c r="D13653" t="str">
        <f>"pfk-1.2"</f>
        <v>pfk-1.2</v>
      </c>
      <c r="E13653" t="s">
        <v>10045</v>
      </c>
      <c r="F13653" t="s">
        <v>11</v>
      </c>
      <c r="G13653" t="s">
        <v>8710</v>
      </c>
      <c r="H13653" s="12">
        <v>-2.2398545613785701</v>
      </c>
      <c r="I13653" s="20">
        <v>-0.50760432388365395</v>
      </c>
      <c r="J13653" s="28">
        <v>0.61173085769337798</v>
      </c>
      <c r="K13653" s="29">
        <v>0.98289565623980701</v>
      </c>
    </row>
    <row r="13654" spans="1:11" x14ac:dyDescent="0.35">
      <c r="A13654" s="9" t="str">
        <f>HYPERLINK("http://www.ensembl.org/id/WBGene00019295", "WBGene00019295")</f>
        <v>WBGene00019295</v>
      </c>
      <c r="B13654" s="9" t="str">
        <f>HYPERLINK("http://www.ncbi.nlm.nih.gov/gene/177363", "177363")</f>
        <v>177363</v>
      </c>
      <c r="C13654" s="9" t="str">
        <f>HYPERLINK("http://www.ncbi.nlm.nih.gov/gene/5209", "5209")</f>
        <v>5209</v>
      </c>
      <c r="D13654" t="str">
        <f>"pfkb-1.2"</f>
        <v>pfkb-1.2</v>
      </c>
      <c r="E13654" t="s">
        <v>8871</v>
      </c>
      <c r="F13654" t="s">
        <v>11</v>
      </c>
      <c r="G13654" t="s">
        <v>8872</v>
      </c>
      <c r="H13654" s="12">
        <v>-1.2037358067273001</v>
      </c>
      <c r="I13654" s="20">
        <v>-0.968335540866609</v>
      </c>
      <c r="J13654" s="28">
        <v>0.33287682034137001</v>
      </c>
      <c r="K13654" s="29">
        <v>0.98289565623980701</v>
      </c>
    </row>
    <row r="13655" spans="1:11" x14ac:dyDescent="0.35">
      <c r="A13655" s="9" t="str">
        <f>HYPERLINK("http://www.ensembl.org/id/WBGene00003991", "WBGene00003991")</f>
        <v>WBGene00003991</v>
      </c>
      <c r="B13655" s="9" t="str">
        <f>HYPERLINK("http://www.ncbi.nlm.nih.gov/gene/180460", "180460")</f>
        <v>180460</v>
      </c>
      <c r="C13655" s="9"/>
      <c r="D13655" t="str">
        <f>"pfn-3"</f>
        <v>pfn-3</v>
      </c>
      <c r="E13655" t="s">
        <v>4986</v>
      </c>
      <c r="F13655" t="s">
        <v>11</v>
      </c>
      <c r="G13655" t="s">
        <v>1729</v>
      </c>
      <c r="H13655" s="12">
        <v>1.27015010313195</v>
      </c>
      <c r="I13655" s="20">
        <v>1.0671661531351899</v>
      </c>
      <c r="J13655" s="28">
        <v>0.28589681364402802</v>
      </c>
      <c r="K13655" s="29">
        <v>0.98289565623980701</v>
      </c>
    </row>
    <row r="13656" spans="1:11" x14ac:dyDescent="0.35">
      <c r="A13656" s="9" t="str">
        <f>HYPERLINK("http://www.ensembl.org/id/WBGene00011051", "WBGene00011051")</f>
        <v>WBGene00011051</v>
      </c>
      <c r="B13656" s="9" t="str">
        <f>HYPERLINK("http://www.ncbi.nlm.nih.gov/gene/175092", "175092")</f>
        <v>175092</v>
      </c>
      <c r="C13656" s="9"/>
      <c r="D13656" t="str">
        <f>"pfs-2"</f>
        <v>pfs-2</v>
      </c>
      <c r="E13656" t="s">
        <v>6426</v>
      </c>
      <c r="F13656" t="s">
        <v>11</v>
      </c>
      <c r="G13656" t="s">
        <v>6427</v>
      </c>
      <c r="H13656" s="12">
        <v>-1.06883269460576</v>
      </c>
      <c r="I13656" s="20">
        <v>-0.34234687524213903</v>
      </c>
      <c r="J13656" s="28">
        <v>0.73208986300221701</v>
      </c>
      <c r="K13656" s="29">
        <v>0.98289565623980701</v>
      </c>
    </row>
    <row r="13657" spans="1:11" x14ac:dyDescent="0.35">
      <c r="A13657" s="9" t="str">
        <f>HYPERLINK("http://www.ensembl.org/id/WBGene00011239", "WBGene00011239")</f>
        <v>WBGene00011239</v>
      </c>
      <c r="B13657" s="9" t="str">
        <f>HYPERLINK("http://www.ncbi.nlm.nih.gov/gene/177925", "177925")</f>
        <v>177925</v>
      </c>
      <c r="C13657" s="9" t="str">
        <f>HYPERLINK("http://www.ncbi.nlm.nih.gov/gene/80142", "80142")</f>
        <v>80142</v>
      </c>
      <c r="D13657" t="str">
        <f>"pges-2"</f>
        <v>pges-2</v>
      </c>
      <c r="E13657" t="s">
        <v>8422</v>
      </c>
      <c r="F13657" t="s">
        <v>11</v>
      </c>
      <c r="G13657" t="s">
        <v>8423</v>
      </c>
      <c r="H13657" s="12">
        <v>-1.1768295270409299</v>
      </c>
      <c r="I13657" s="20">
        <v>-0.81094514240319304</v>
      </c>
      <c r="J13657" s="28">
        <v>0.41739717464218001</v>
      </c>
      <c r="K13657" s="29">
        <v>0.98289565623980701</v>
      </c>
    </row>
    <row r="13658" spans="1:11" x14ac:dyDescent="0.35">
      <c r="A13658" s="9" t="str">
        <f>HYPERLINK("http://www.ensembl.org/id/WBGene00004006", "WBGene00004006")</f>
        <v>WBGene00004006</v>
      </c>
      <c r="B13658" s="9" t="str">
        <f>HYPERLINK("http://www.ncbi.nlm.nih.gov/gene/181415", "181415")</f>
        <v>181415</v>
      </c>
      <c r="C13658" s="9"/>
      <c r="D13658" t="str">
        <f>"pgp-12"</f>
        <v>pgp-12</v>
      </c>
      <c r="E13658" t="s">
        <v>1379</v>
      </c>
      <c r="F13658" t="s">
        <v>11</v>
      </c>
      <c r="G13658" t="s">
        <v>23</v>
      </c>
      <c r="H13658" s="12">
        <v>1.7302350955660999</v>
      </c>
      <c r="I13658" s="20">
        <v>1.0842612706648</v>
      </c>
      <c r="J13658" s="28">
        <v>0.278248972044989</v>
      </c>
      <c r="K13658" s="29">
        <v>0.98289565623980701</v>
      </c>
    </row>
    <row r="13659" spans="1:11" x14ac:dyDescent="0.35">
      <c r="A13659" s="9" t="str">
        <f>HYPERLINK("http://www.ensembl.org/id/WBGene00004009", "WBGene00004009")</f>
        <v>WBGene00004009</v>
      </c>
      <c r="B13659" s="9"/>
      <c r="C13659" s="9"/>
      <c r="D13659" t="str">
        <f>"pgp-15"</f>
        <v>pgp-15</v>
      </c>
      <c r="F13659" t="s">
        <v>80</v>
      </c>
      <c r="H13659" s="12">
        <v>1.38711578064616</v>
      </c>
      <c r="I13659" s="20">
        <v>0.66138033339812696</v>
      </c>
      <c r="J13659" s="28">
        <v>0.50836843494196504</v>
      </c>
      <c r="K13659" s="29">
        <v>0.98289565623980701</v>
      </c>
    </row>
    <row r="13660" spans="1:11" x14ac:dyDescent="0.35">
      <c r="A13660" s="9" t="str">
        <f>HYPERLINK("http://www.ensembl.org/id/WBGene00003997", "WBGene00003997")</f>
        <v>WBGene00003997</v>
      </c>
      <c r="B13660" s="9" t="str">
        <f>HYPERLINK("http://www.ncbi.nlm.nih.gov/gene/181326", "181326")</f>
        <v>181326</v>
      </c>
      <c r="C13660" s="9"/>
      <c r="D13660" t="str">
        <f>"pgp-3"</f>
        <v>pgp-3</v>
      </c>
      <c r="E13660" t="s">
        <v>7496</v>
      </c>
      <c r="F13660" t="s">
        <v>11</v>
      </c>
      <c r="G13660" t="s">
        <v>2143</v>
      </c>
      <c r="H13660" s="12">
        <v>-1.12914046544794</v>
      </c>
      <c r="I13660" s="20">
        <v>-0.28023286853054402</v>
      </c>
      <c r="J13660" s="28">
        <v>0.77929885104736096</v>
      </c>
      <c r="K13660" s="29">
        <v>0.98289565623980701</v>
      </c>
    </row>
    <row r="13661" spans="1:11" x14ac:dyDescent="0.35">
      <c r="A13661" s="9" t="str">
        <f>HYPERLINK("http://www.ensembl.org/id/WBGene00003998", "WBGene00003998")</f>
        <v>WBGene00003998</v>
      </c>
      <c r="B13661" s="9" t="str">
        <f>HYPERLINK("http://www.ncbi.nlm.nih.gov/gene/181327", "181327")</f>
        <v>181327</v>
      </c>
      <c r="C13661" s="9"/>
      <c r="D13661" t="str">
        <f>"pgp-4"</f>
        <v>pgp-4</v>
      </c>
      <c r="E13661" t="s">
        <v>1379</v>
      </c>
      <c r="F13661" t="s">
        <v>11</v>
      </c>
      <c r="G13661" t="s">
        <v>5260</v>
      </c>
      <c r="H13661" s="12">
        <v>1.2024125875490901</v>
      </c>
      <c r="I13661" s="20">
        <v>0.71027705872413105</v>
      </c>
      <c r="J13661" s="28">
        <v>0.47753234326572302</v>
      </c>
      <c r="K13661" s="29">
        <v>0.98289565623980701</v>
      </c>
    </row>
    <row r="13662" spans="1:11" x14ac:dyDescent="0.35">
      <c r="A13662" s="9" t="str">
        <f>HYPERLINK("http://www.ensembl.org/id/WBGene00004003", "WBGene00004003")</f>
        <v>WBGene00004003</v>
      </c>
      <c r="B13662" s="9" t="str">
        <f>HYPERLINK("http://www.ncbi.nlm.nih.gov/gene/180165", "180165")</f>
        <v>180165</v>
      </c>
      <c r="C13662" s="9" t="str">
        <f>HYPERLINK("http://www.ncbi.nlm.nih.gov/gene/5243", "5243")</f>
        <v>5243</v>
      </c>
      <c r="D13662" t="str">
        <f>"pgp-9"</f>
        <v>pgp-9</v>
      </c>
      <c r="E13662" t="s">
        <v>1379</v>
      </c>
      <c r="F13662" t="s">
        <v>11</v>
      </c>
      <c r="G13662" t="s">
        <v>6089</v>
      </c>
      <c r="H13662" s="12">
        <v>1.06329302031774</v>
      </c>
      <c r="I13662" s="20">
        <v>0.26416609904495197</v>
      </c>
      <c r="J13662" s="28">
        <v>0.791651932482201</v>
      </c>
      <c r="K13662" s="29">
        <v>0.98289565623980701</v>
      </c>
    </row>
    <row r="13663" spans="1:11" x14ac:dyDescent="0.35">
      <c r="A13663" s="9" t="str">
        <f>HYPERLINK("http://www.ensembl.org/id/WBGene00016892", "WBGene00016892")</f>
        <v>WBGene00016892</v>
      </c>
      <c r="B13663" s="9" t="str">
        <f>HYPERLINK("http://www.ncbi.nlm.nih.gov/gene/178964", "178964")</f>
        <v>178964</v>
      </c>
      <c r="C13663" s="9" t="str">
        <f>HYPERLINK("http://www.ncbi.nlm.nih.gov/gene/283871", "283871")</f>
        <v>283871</v>
      </c>
      <c r="D13663" t="str">
        <f>"pgph-3"</f>
        <v>pgph-3</v>
      </c>
      <c r="E13663" t="s">
        <v>1661</v>
      </c>
      <c r="F13663" t="s">
        <v>11</v>
      </c>
      <c r="G13663" t="s">
        <v>1662</v>
      </c>
      <c r="H13663" s="12">
        <v>1.28722658331374</v>
      </c>
      <c r="I13663" s="20">
        <v>0.96005131687681899</v>
      </c>
      <c r="J13663" s="28">
        <v>0.337029388366546</v>
      </c>
      <c r="K13663" s="29">
        <v>0.98289565623980701</v>
      </c>
    </row>
    <row r="13664" spans="1:11" x14ac:dyDescent="0.35">
      <c r="A13664" s="9" t="str">
        <f>HYPERLINK("http://www.ensembl.org/id/WBGene00011936", "WBGene00011936")</f>
        <v>WBGene00011936</v>
      </c>
      <c r="B13664" s="9" t="str">
        <f>HYPERLINK("http://www.ncbi.nlm.nih.gov/gene/173054", "173054")</f>
        <v>173054</v>
      </c>
      <c r="C13664" s="9"/>
      <c r="D13664" t="str">
        <f>"pgrn-1"</f>
        <v>pgrn-1</v>
      </c>
      <c r="E13664" t="s">
        <v>6936</v>
      </c>
      <c r="F13664" t="s">
        <v>11</v>
      </c>
      <c r="G13664" t="s">
        <v>6937</v>
      </c>
      <c r="H13664" s="12">
        <v>-1.09862884939312</v>
      </c>
      <c r="I13664" s="20">
        <v>-0.48221838200797301</v>
      </c>
      <c r="J13664" s="28">
        <v>0.62965081993182803</v>
      </c>
      <c r="K13664" s="29">
        <v>0.98289565623980701</v>
      </c>
    </row>
    <row r="13665" spans="1:11" x14ac:dyDescent="0.35">
      <c r="A13665" s="9" t="str">
        <f>HYPERLINK("http://www.ensembl.org/id/WBGene00004010", "WBGene00004010")</f>
        <v>WBGene00004010</v>
      </c>
      <c r="B13665" s="9" t="str">
        <f>HYPERLINK("http://www.ncbi.nlm.nih.gov/gene/176543", "176543")</f>
        <v>176543</v>
      </c>
      <c r="C13665" s="9"/>
      <c r="D13665" t="str">
        <f>"pha-1"</f>
        <v>pha-1</v>
      </c>
      <c r="E13665" t="s">
        <v>5073</v>
      </c>
      <c r="F13665" t="s">
        <v>11</v>
      </c>
      <c r="G13665" t="s">
        <v>5074</v>
      </c>
      <c r="H13665" s="12">
        <v>1.24628569438646</v>
      </c>
      <c r="I13665" s="20">
        <v>0.93686207387644804</v>
      </c>
      <c r="J13665" s="28">
        <v>0.34882951015839297</v>
      </c>
      <c r="K13665" s="29">
        <v>0.98289565623980701</v>
      </c>
    </row>
    <row r="13666" spans="1:11" x14ac:dyDescent="0.35">
      <c r="A13666" s="9" t="str">
        <f>HYPERLINK("http://www.ensembl.org/id/WBGene00016732", "WBGene00016732")</f>
        <v>WBGene00016732</v>
      </c>
      <c r="B13666" s="9" t="str">
        <f>HYPERLINK("http://www.ncbi.nlm.nih.gov/gene/172129", "172129")</f>
        <v>172129</v>
      </c>
      <c r="C13666" s="9"/>
      <c r="D13666" t="str">
        <f>"phat-1"</f>
        <v>phat-1</v>
      </c>
      <c r="E13666" t="s">
        <v>424</v>
      </c>
      <c r="F13666" t="s">
        <v>11</v>
      </c>
      <c r="G13666" t="s">
        <v>425</v>
      </c>
      <c r="H13666" s="12">
        <v>-2.1761422317799499</v>
      </c>
      <c r="I13666" s="20">
        <v>-0.66239284279344801</v>
      </c>
      <c r="J13666" s="28">
        <v>0.50771948941857703</v>
      </c>
      <c r="K13666" s="29">
        <v>0.98289565623980701</v>
      </c>
    </row>
    <row r="13667" spans="1:11" x14ac:dyDescent="0.35">
      <c r="A13667" s="9" t="str">
        <f>HYPERLINK("http://www.ensembl.org/id/WBGene00016733", "WBGene00016733")</f>
        <v>WBGene00016733</v>
      </c>
      <c r="B13667" s="9" t="str">
        <f>HYPERLINK("http://www.ncbi.nlm.nih.gov/gene/172130", "172130")</f>
        <v>172130</v>
      </c>
      <c r="C13667" s="9"/>
      <c r="D13667" t="str">
        <f>"phat-2"</f>
        <v>phat-2</v>
      </c>
      <c r="E13667" t="s">
        <v>424</v>
      </c>
      <c r="F13667" t="s">
        <v>11</v>
      </c>
      <c r="G13667" t="s">
        <v>425</v>
      </c>
      <c r="H13667" s="12">
        <v>1.5812797675269299</v>
      </c>
      <c r="I13667" s="20">
        <v>0.79145835043210899</v>
      </c>
      <c r="J13667" s="28">
        <v>0.42867657137778198</v>
      </c>
      <c r="K13667" s="29">
        <v>0.98289565623980701</v>
      </c>
    </row>
    <row r="13668" spans="1:11" x14ac:dyDescent="0.35">
      <c r="A13668" s="9" t="str">
        <f>HYPERLINK("http://www.ensembl.org/id/WBGene00020237", "WBGene00020237")</f>
        <v>WBGene00020237</v>
      </c>
      <c r="B13668" s="9" t="str">
        <f>HYPERLINK("http://www.ncbi.nlm.nih.gov/gene/178812", "178812")</f>
        <v>178812</v>
      </c>
      <c r="C13668" s="9"/>
      <c r="D13668" t="str">
        <f>"phat-4"</f>
        <v>phat-4</v>
      </c>
      <c r="E13668" t="s">
        <v>424</v>
      </c>
      <c r="F13668" t="s">
        <v>11</v>
      </c>
      <c r="G13668" t="s">
        <v>425</v>
      </c>
      <c r="H13668" s="12">
        <v>1.8198361365584701</v>
      </c>
      <c r="I13668" s="20">
        <v>0.51277989730669205</v>
      </c>
      <c r="J13668" s="28">
        <v>0.60810529331669705</v>
      </c>
      <c r="K13668" s="29">
        <v>0.98289565623980701</v>
      </c>
    </row>
    <row r="13669" spans="1:11" x14ac:dyDescent="0.35">
      <c r="A13669" s="9" t="str">
        <f>HYPERLINK("http://www.ensembl.org/id/WBGene00011683", "WBGene00011683")</f>
        <v>WBGene00011683</v>
      </c>
      <c r="B13669" s="9" t="str">
        <f>HYPERLINK("http://www.ncbi.nlm.nih.gov/gene/181614", "181614")</f>
        <v>181614</v>
      </c>
      <c r="C13669" s="9"/>
      <c r="D13669" t="str">
        <f>"phat-6"</f>
        <v>phat-6</v>
      </c>
      <c r="E13669" t="s">
        <v>424</v>
      </c>
      <c r="F13669" t="s">
        <v>11</v>
      </c>
      <c r="G13669" t="s">
        <v>425</v>
      </c>
      <c r="H13669" s="12">
        <v>1.6972516119135099</v>
      </c>
      <c r="I13669" s="20">
        <v>0.997213467343677</v>
      </c>
      <c r="J13669" s="28">
        <v>0.318660905357605</v>
      </c>
      <c r="K13669" s="29">
        <v>0.98289565623980701</v>
      </c>
    </row>
    <row r="13670" spans="1:11" x14ac:dyDescent="0.35">
      <c r="A13670" s="9" t="str">
        <f>HYPERLINK("http://www.ensembl.org/id/WBGene00018013", "WBGene00018013")</f>
        <v>WBGene00018013</v>
      </c>
      <c r="B13670" s="9" t="str">
        <f>HYPERLINK("http://www.ncbi.nlm.nih.gov/gene/3565141", "3565141")</f>
        <v>3565141</v>
      </c>
      <c r="C13670" s="9" t="str">
        <f>HYPERLINK("http://www.ncbi.nlm.nih.gov/gene/55274", "55274")</f>
        <v>55274</v>
      </c>
      <c r="D13670" t="str">
        <f>"phf-10"</f>
        <v>phf-10</v>
      </c>
      <c r="E13670" t="s">
        <v>2651</v>
      </c>
      <c r="F13670" t="s">
        <v>11</v>
      </c>
      <c r="G13670" t="s">
        <v>9412</v>
      </c>
      <c r="H13670" s="12">
        <v>-1.2447162498009801</v>
      </c>
      <c r="I13670" s="20">
        <v>-0.99193901938899098</v>
      </c>
      <c r="J13670" s="28">
        <v>0.32122727344445401</v>
      </c>
      <c r="K13670" s="29">
        <v>0.98289565623980701</v>
      </c>
    </row>
    <row r="13671" spans="1:11" x14ac:dyDescent="0.35">
      <c r="A13671" s="9" t="str">
        <f>HYPERLINK("http://www.ensembl.org/id/WBGene00021810", "WBGene00021810")</f>
        <v>WBGene00021810</v>
      </c>
      <c r="B13671" s="9" t="str">
        <f>HYPERLINK("http://www.ncbi.nlm.nih.gov/gene/175435", "175435")</f>
        <v>175435</v>
      </c>
      <c r="C13671" s="9"/>
      <c r="D13671" t="str">
        <f>"phf-15"</f>
        <v>phf-15</v>
      </c>
      <c r="E13671" t="s">
        <v>2651</v>
      </c>
      <c r="F13671" t="s">
        <v>11</v>
      </c>
      <c r="G13671" t="s">
        <v>2652</v>
      </c>
      <c r="H13671" s="12">
        <v>-1.07127555714908</v>
      </c>
      <c r="I13671" s="20">
        <v>-0.33748104367397203</v>
      </c>
      <c r="J13671" s="28">
        <v>0.73575429980576401</v>
      </c>
      <c r="K13671" s="29">
        <v>0.98289565623980701</v>
      </c>
    </row>
    <row r="13672" spans="1:11" x14ac:dyDescent="0.35">
      <c r="A13672" s="9" t="str">
        <f>HYPERLINK("http://www.ensembl.org/id/WBGene00008902", "WBGene00008902")</f>
        <v>WBGene00008902</v>
      </c>
      <c r="B13672" s="9" t="str">
        <f>HYPERLINK("http://www.ncbi.nlm.nih.gov/gene/184600", "184600")</f>
        <v>184600</v>
      </c>
      <c r="C13672" s="9"/>
      <c r="D13672" t="str">
        <f>"phf-32"</f>
        <v>phf-32</v>
      </c>
      <c r="E13672" t="s">
        <v>2651</v>
      </c>
      <c r="F13672" t="s">
        <v>11</v>
      </c>
      <c r="G13672" t="s">
        <v>10120</v>
      </c>
      <c r="H13672" s="12">
        <v>-6.83538669401264</v>
      </c>
      <c r="I13672" s="20">
        <v>-0.88046889369931203</v>
      </c>
      <c r="J13672" s="28">
        <v>0.37860534914223298</v>
      </c>
      <c r="K13672" s="29">
        <v>0.98289565623980701</v>
      </c>
    </row>
    <row r="13673" spans="1:11" x14ac:dyDescent="0.35">
      <c r="A13673" s="9" t="str">
        <f>HYPERLINK("http://www.ensembl.org/id/WBGene00009025", "WBGene00009025")</f>
        <v>WBGene00009025</v>
      </c>
      <c r="B13673" s="9" t="str">
        <f>HYPERLINK("http://www.ncbi.nlm.nih.gov/gene/184793", "184793")</f>
        <v>184793</v>
      </c>
      <c r="C13673" s="9"/>
      <c r="D13673" t="str">
        <f>"phf-34"</f>
        <v>phf-34</v>
      </c>
      <c r="E13673" t="s">
        <v>2651</v>
      </c>
      <c r="F13673" t="s">
        <v>11</v>
      </c>
      <c r="G13673" t="s">
        <v>51</v>
      </c>
      <c r="H13673" s="12">
        <v>-1.08084608268654</v>
      </c>
      <c r="I13673" s="20">
        <v>-0.33596370471963699</v>
      </c>
      <c r="J13673" s="28">
        <v>0.73689823666257104</v>
      </c>
      <c r="K13673" s="29">
        <v>0.98289565623980701</v>
      </c>
    </row>
    <row r="13674" spans="1:11" x14ac:dyDescent="0.35">
      <c r="A13674" s="9" t="str">
        <f>HYPERLINK("http://www.ensembl.org/id/WBGene00004016", "WBGene00004016")</f>
        <v>WBGene00004016</v>
      </c>
      <c r="B13674" s="9" t="str">
        <f>HYPERLINK("http://www.ncbi.nlm.nih.gov/gene/3564851", "3564851")</f>
        <v>3564851</v>
      </c>
      <c r="C13674" s="9" t="str">
        <f>HYPERLINK("http://www.ncbi.nlm.nih.gov/gene/84844", "84844")</f>
        <v>84844</v>
      </c>
      <c r="D13674" t="str">
        <f>"phf-5"</f>
        <v>phf-5</v>
      </c>
      <c r="E13674" t="s">
        <v>6423</v>
      </c>
      <c r="F13674" t="s">
        <v>11</v>
      </c>
      <c r="G13674" t="s">
        <v>6424</v>
      </c>
      <c r="H13674" s="12">
        <v>-1.0687943152064701</v>
      </c>
      <c r="I13674" s="20">
        <v>-0.31413175540944899</v>
      </c>
      <c r="J13674" s="28">
        <v>0.753420972041286</v>
      </c>
      <c r="K13674" s="29">
        <v>0.98289565623980701</v>
      </c>
    </row>
    <row r="13675" spans="1:11" x14ac:dyDescent="0.35">
      <c r="A13675" s="9" t="str">
        <f>HYPERLINK("http://www.ensembl.org/id/WBGene00009455", "WBGene00009455")</f>
        <v>WBGene00009455</v>
      </c>
      <c r="B13675" s="9" t="str">
        <f>HYPERLINK("http://www.ncbi.nlm.nih.gov/gene/185336", "185336")</f>
        <v>185336</v>
      </c>
      <c r="C13675" s="9" t="str">
        <f>HYPERLINK("http://www.ncbi.nlm.nih.gov/gene/29085", "29085")</f>
        <v>29085</v>
      </c>
      <c r="D13675" t="str">
        <f>"phip-1"</f>
        <v>phip-1</v>
      </c>
      <c r="E13675" t="s">
        <v>9008</v>
      </c>
      <c r="F13675" t="s">
        <v>11</v>
      </c>
      <c r="G13675" t="s">
        <v>9009</v>
      </c>
      <c r="H13675" s="12">
        <v>-1.2142083917199</v>
      </c>
      <c r="I13675" s="20">
        <v>-0.86723886462738198</v>
      </c>
      <c r="J13675" s="28">
        <v>0.38581114583188503</v>
      </c>
      <c r="K13675" s="29">
        <v>0.98289565623980701</v>
      </c>
    </row>
    <row r="13676" spans="1:11" x14ac:dyDescent="0.35">
      <c r="A13676" s="9" t="str">
        <f>HYPERLINK("http://www.ensembl.org/id/WBGene00016152", "WBGene00016152")</f>
        <v>WBGene00016152</v>
      </c>
      <c r="B13676" s="9" t="str">
        <f>HYPERLINK("http://www.ncbi.nlm.nih.gov/gene/182948", "182948")</f>
        <v>182948</v>
      </c>
      <c r="C13676" s="9"/>
      <c r="D13676" t="str">
        <f>"pho-12"</f>
        <v>pho-12</v>
      </c>
      <c r="E13676" t="s">
        <v>501</v>
      </c>
      <c r="F13676" t="s">
        <v>11</v>
      </c>
      <c r="G13676" t="s">
        <v>37</v>
      </c>
      <c r="H13676" s="12">
        <v>-1.12029747852768</v>
      </c>
      <c r="I13676" s="20">
        <v>-0.327256616718473</v>
      </c>
      <c r="J13676" s="28">
        <v>0.74347380223660897</v>
      </c>
      <c r="K13676" s="29">
        <v>0.98289565623980701</v>
      </c>
    </row>
    <row r="13677" spans="1:11" x14ac:dyDescent="0.35">
      <c r="A13677" s="9" t="str">
        <f>HYPERLINK("http://www.ensembl.org/id/WBGene00008560", "WBGene00008560")</f>
        <v>WBGene00008560</v>
      </c>
      <c r="B13677" s="9" t="str">
        <f>HYPERLINK("http://www.ncbi.nlm.nih.gov/gene/184165", "184165")</f>
        <v>184165</v>
      </c>
      <c r="C13677" s="9"/>
      <c r="D13677" t="str">
        <f>"pho-13"</f>
        <v>pho-13</v>
      </c>
      <c r="E13677" t="s">
        <v>501</v>
      </c>
      <c r="F13677" t="s">
        <v>11</v>
      </c>
      <c r="G13677" t="s">
        <v>37</v>
      </c>
      <c r="H13677" s="12">
        <v>1.1770020740809499</v>
      </c>
      <c r="I13677" s="20">
        <v>0.36388386577695098</v>
      </c>
      <c r="J13677" s="28">
        <v>0.71594473318457397</v>
      </c>
      <c r="K13677" s="29">
        <v>0.98289565623980701</v>
      </c>
    </row>
    <row r="13678" spans="1:11" x14ac:dyDescent="0.35">
      <c r="A13678" s="9" t="str">
        <f>HYPERLINK("http://www.ensembl.org/id/WBGene00020471", "WBGene00020471")</f>
        <v>WBGene00020471</v>
      </c>
      <c r="B13678" s="9" t="str">
        <f>HYPERLINK("http://www.ncbi.nlm.nih.gov/gene/188466", "188466")</f>
        <v>188466</v>
      </c>
      <c r="C13678" s="9"/>
      <c r="D13678" t="str">
        <f>"pho-14"</f>
        <v>pho-14</v>
      </c>
      <c r="E13678" t="s">
        <v>501</v>
      </c>
      <c r="F13678" t="s">
        <v>11</v>
      </c>
      <c r="G13678" t="s">
        <v>37</v>
      </c>
      <c r="H13678" s="12">
        <v>1.0534780333884799</v>
      </c>
      <c r="I13678" s="20">
        <v>0.27989531835409598</v>
      </c>
      <c r="J13678" s="28">
        <v>0.77955781914137701</v>
      </c>
      <c r="K13678" s="29">
        <v>0.98289565623980701</v>
      </c>
    </row>
    <row r="13679" spans="1:11" x14ac:dyDescent="0.35">
      <c r="A13679" s="9" t="str">
        <f>HYPERLINK("http://www.ensembl.org/id/WBGene00011879", "WBGene00011879")</f>
        <v>WBGene00011879</v>
      </c>
      <c r="B13679" s="9" t="str">
        <f>HYPERLINK("http://www.ncbi.nlm.nih.gov/gene/188683", "188683")</f>
        <v>188683</v>
      </c>
      <c r="C13679" s="9" t="str">
        <f>HYPERLINK("http://www.ncbi.nlm.nih.gov/gene/55", "55")</f>
        <v>55</v>
      </c>
      <c r="D13679" t="str">
        <f>"pho-7"</f>
        <v>pho-7</v>
      </c>
      <c r="E13679" t="s">
        <v>501</v>
      </c>
      <c r="F13679" t="s">
        <v>11</v>
      </c>
      <c r="G13679" t="s">
        <v>37</v>
      </c>
      <c r="H13679" s="12">
        <v>-1.38676967211978</v>
      </c>
      <c r="I13679" s="20">
        <v>-0.77789437004058504</v>
      </c>
      <c r="J13679" s="28">
        <v>0.43663128757358399</v>
      </c>
      <c r="K13679" s="29">
        <v>0.98289565623980701</v>
      </c>
    </row>
    <row r="13680" spans="1:11" x14ac:dyDescent="0.35">
      <c r="A13680" s="9" t="str">
        <f>HYPERLINK("http://www.ensembl.org/id/WBGene00012815", "WBGene00012815")</f>
        <v>WBGene00012815</v>
      </c>
      <c r="B13680" s="9" t="str">
        <f>HYPERLINK("http://www.ncbi.nlm.nih.gov/gene/189869", "189869")</f>
        <v>189869</v>
      </c>
      <c r="C13680" s="9"/>
      <c r="D13680" t="str">
        <f>"phy-4"</f>
        <v>phy-4</v>
      </c>
      <c r="E13680" t="s">
        <v>2535</v>
      </c>
      <c r="F13680" t="s">
        <v>11</v>
      </c>
      <c r="G13680" t="s">
        <v>4434</v>
      </c>
      <c r="H13680" s="12">
        <v>2.1609411393206699</v>
      </c>
      <c r="I13680" s="20">
        <v>0.41838485553044003</v>
      </c>
      <c r="J13680" s="28">
        <v>0.67566575744521895</v>
      </c>
      <c r="K13680" s="29">
        <v>0.98289565623980701</v>
      </c>
    </row>
    <row r="13681" spans="1:11" x14ac:dyDescent="0.35">
      <c r="A13681" s="9" t="str">
        <f>HYPERLINK("http://www.ensembl.org/id/WBGene00017549", "WBGene00017549")</f>
        <v>WBGene00017549</v>
      </c>
      <c r="B13681" s="9" t="str">
        <f>HYPERLINK("http://www.ncbi.nlm.nih.gov/gene/184627", "184627")</f>
        <v>184627</v>
      </c>
      <c r="C13681" s="9"/>
      <c r="D13681" t="str">
        <f>"pid-1"</f>
        <v>pid-1</v>
      </c>
      <c r="E13681" t="s">
        <v>9940</v>
      </c>
      <c r="F13681" t="s">
        <v>11</v>
      </c>
      <c r="H13681" s="12">
        <v>-1.4375107810979999</v>
      </c>
      <c r="I13681" s="20">
        <v>-1.2093345549055201</v>
      </c>
      <c r="J13681" s="28">
        <v>0.22653434049461199</v>
      </c>
      <c r="K13681" s="29">
        <v>0.98289565623980701</v>
      </c>
    </row>
    <row r="13682" spans="1:11" x14ac:dyDescent="0.35">
      <c r="A13682" s="9" t="str">
        <f>HYPERLINK("http://www.ensembl.org/id/WBGene00004028", "WBGene00004028")</f>
        <v>WBGene00004028</v>
      </c>
      <c r="B13682" s="9" t="str">
        <f>HYPERLINK("http://www.ncbi.nlm.nih.gov/gene/171665", "171665")</f>
        <v>171665</v>
      </c>
      <c r="C13682" s="9" t="str">
        <f>HYPERLINK("http://www.ncbi.nlm.nih.gov/gene/80119", "80119")</f>
        <v>80119</v>
      </c>
      <c r="D13682" t="str">
        <f>"pif-1"</f>
        <v>pif-1</v>
      </c>
      <c r="E13682" t="s">
        <v>8409</v>
      </c>
      <c r="F13682" t="s">
        <v>11</v>
      </c>
      <c r="G13682" t="s">
        <v>8410</v>
      </c>
      <c r="H13682" s="12">
        <v>-1.17562481459599</v>
      </c>
      <c r="I13682" s="20">
        <v>-0.62738013849795105</v>
      </c>
      <c r="J13682" s="28">
        <v>0.53041008379229904</v>
      </c>
      <c r="K13682" s="29">
        <v>0.98289565623980701</v>
      </c>
    </row>
    <row r="13683" spans="1:11" x14ac:dyDescent="0.35">
      <c r="A13683" s="9" t="str">
        <f>HYPERLINK("http://www.ensembl.org/id/WBGene00018076", "WBGene00018076")</f>
        <v>WBGene00018076</v>
      </c>
      <c r="B13683" s="9" t="str">
        <f>HYPERLINK("http://www.ncbi.nlm.nih.gov/gene/180443", "180443")</f>
        <v>180443</v>
      </c>
      <c r="C13683" s="9" t="str">
        <f>HYPERLINK("http://www.ncbi.nlm.nih.gov/gene/5298", "5298")</f>
        <v>5298</v>
      </c>
      <c r="D13683" t="str">
        <f>"pifk-1"</f>
        <v>pifk-1</v>
      </c>
      <c r="E13683" t="s">
        <v>9433</v>
      </c>
      <c r="F13683" t="s">
        <v>11</v>
      </c>
      <c r="G13683" t="s">
        <v>9434</v>
      </c>
      <c r="H13683" s="12">
        <v>-1.2457291970114399</v>
      </c>
      <c r="I13683" s="20">
        <v>-1.0413605879612999</v>
      </c>
      <c r="J13683" s="28">
        <v>0.29770822685896198</v>
      </c>
      <c r="K13683" s="29">
        <v>0.98289565623980701</v>
      </c>
    </row>
    <row r="13684" spans="1:11" x14ac:dyDescent="0.35">
      <c r="A13684" s="9" t="str">
        <f>HYPERLINK("http://www.ensembl.org/id/WBGene00021012", "WBGene00021012")</f>
        <v>WBGene00021012</v>
      </c>
      <c r="B13684" s="9" t="str">
        <f>HYPERLINK("http://www.ncbi.nlm.nih.gov/gene/176877", "176877")</f>
        <v>176877</v>
      </c>
      <c r="C13684" s="9" t="str">
        <f>HYPERLINK("http://www.ncbi.nlm.nih.gov/gene/9833", "9833")</f>
        <v>9833</v>
      </c>
      <c r="D13684" t="str">
        <f>"pig-1"</f>
        <v>pig-1</v>
      </c>
      <c r="E13684" t="s">
        <v>9861</v>
      </c>
      <c r="F13684" t="s">
        <v>11</v>
      </c>
      <c r="G13684" t="s">
        <v>2542</v>
      </c>
      <c r="H13684" s="12">
        <v>-1.3343922359250699</v>
      </c>
      <c r="I13684" s="20">
        <v>-1.1593714107434201</v>
      </c>
      <c r="J13684" s="28">
        <v>0.246304824989558</v>
      </c>
      <c r="K13684" s="29">
        <v>0.98289565623980701</v>
      </c>
    </row>
    <row r="13685" spans="1:11" x14ac:dyDescent="0.35">
      <c r="A13685" s="9" t="str">
        <f>HYPERLINK("http://www.ensembl.org/id/WBGene00004029", "WBGene00004029")</f>
        <v>WBGene00004029</v>
      </c>
      <c r="B13685" s="9" t="str">
        <f>HYPERLINK("http://www.ncbi.nlm.nih.gov/gene/178306", "178306")</f>
        <v>178306</v>
      </c>
      <c r="C13685" s="9"/>
      <c r="D13685" t="str">
        <f>"pik-1"</f>
        <v>pik-1</v>
      </c>
      <c r="E13685" t="s">
        <v>8597</v>
      </c>
      <c r="F13685" t="s">
        <v>11</v>
      </c>
      <c r="G13685" t="s">
        <v>444</v>
      </c>
      <c r="H13685" s="12">
        <v>-1.18583387391867</v>
      </c>
      <c r="I13685" s="20">
        <v>-0.73315035649448401</v>
      </c>
      <c r="J13685" s="28">
        <v>0.4634667297833</v>
      </c>
      <c r="K13685" s="29">
        <v>0.98289565623980701</v>
      </c>
    </row>
    <row r="13686" spans="1:11" x14ac:dyDescent="0.35">
      <c r="A13686" s="9" t="str">
        <f>HYPERLINK("http://www.ensembl.org/id/WBGene00009552", "WBGene00009552")</f>
        <v>WBGene00009552</v>
      </c>
      <c r="B13686" s="9" t="str">
        <f>HYPERLINK("http://www.ncbi.nlm.nih.gov/gene/181618", "181618")</f>
        <v>181618</v>
      </c>
      <c r="C13686" s="9" t="str">
        <f>HYPERLINK("http://www.ncbi.nlm.nih.gov/gene/5286", "5286")</f>
        <v>5286</v>
      </c>
      <c r="D13686" t="str">
        <f>"piki-1"</f>
        <v>piki-1</v>
      </c>
      <c r="E13686" t="s">
        <v>6208</v>
      </c>
      <c r="F13686" t="s">
        <v>11</v>
      </c>
      <c r="G13686" t="s">
        <v>6209</v>
      </c>
      <c r="H13686" s="12">
        <v>-1.05386204437714</v>
      </c>
      <c r="I13686" s="20">
        <v>-0.27718921008691699</v>
      </c>
      <c r="J13686" s="28">
        <v>0.78163482425811903</v>
      </c>
      <c r="K13686" s="29">
        <v>0.98289565623980701</v>
      </c>
    </row>
    <row r="13687" spans="1:11" x14ac:dyDescent="0.35">
      <c r="A13687" s="9" t="str">
        <f>HYPERLINK("http://www.ensembl.org/id/WBGene00022448", "WBGene00022448")</f>
        <v>WBGene00022448</v>
      </c>
      <c r="B13687" s="9" t="str">
        <f>HYPERLINK("http://www.ncbi.nlm.nih.gov/gene/190941", "190941")</f>
        <v>190941</v>
      </c>
      <c r="C13687" s="9" t="str">
        <f>HYPERLINK("http://www.ncbi.nlm.nih.gov/gene/5300", "5300")</f>
        <v>5300</v>
      </c>
      <c r="D13687" t="str">
        <f>"pinn-1"</f>
        <v>pinn-1</v>
      </c>
      <c r="E13687" t="s">
        <v>8860</v>
      </c>
      <c r="F13687" t="s">
        <v>11</v>
      </c>
      <c r="G13687" t="s">
        <v>8861</v>
      </c>
      <c r="H13687" s="12">
        <v>-1.20276503187811</v>
      </c>
      <c r="I13687" s="20">
        <v>-0.85199581592061602</v>
      </c>
      <c r="J13687" s="28">
        <v>0.39421641432440502</v>
      </c>
      <c r="K13687" s="29">
        <v>0.98289565623980701</v>
      </c>
    </row>
    <row r="13688" spans="1:11" x14ac:dyDescent="0.35">
      <c r="A13688" s="9" t="str">
        <f>HYPERLINK("http://www.ensembl.org/id/WBGene00011967", "WBGene00011967")</f>
        <v>WBGene00011967</v>
      </c>
      <c r="B13688" s="9" t="str">
        <f>HYPERLINK("http://www.ncbi.nlm.nih.gov/gene/174460", "174460")</f>
        <v>174460</v>
      </c>
      <c r="C13688" s="9" t="str">
        <f>HYPERLINK("http://www.ncbi.nlm.nih.gov/gene/8446", "8446")</f>
        <v>8446</v>
      </c>
      <c r="D13688" t="str">
        <f>"pir-1"</f>
        <v>pir-1</v>
      </c>
      <c r="E13688" t="s">
        <v>9750</v>
      </c>
      <c r="F13688" t="s">
        <v>11</v>
      </c>
      <c r="G13688" t="s">
        <v>9751</v>
      </c>
      <c r="H13688" s="12">
        <v>-1.29378424978726</v>
      </c>
      <c r="I13688" s="20">
        <v>-1.17053801690967</v>
      </c>
      <c r="J13688" s="28">
        <v>0.241784524406434</v>
      </c>
      <c r="K13688" s="29">
        <v>0.98289565623980701</v>
      </c>
    </row>
    <row r="13689" spans="1:11" x14ac:dyDescent="0.35">
      <c r="A13689" s="9" t="str">
        <f>HYPERLINK("http://www.ensembl.org/id/WBGene00012897", "WBGene00012897")</f>
        <v>WBGene00012897</v>
      </c>
      <c r="B13689" s="9" t="str">
        <f>HYPERLINK("http://www.ncbi.nlm.nih.gov/gene/174902", "174902")</f>
        <v>174902</v>
      </c>
      <c r="C13689" s="9" t="str">
        <f>HYPERLINK("http://www.ncbi.nlm.nih.gov/gene/10423", "10423")</f>
        <v>10423</v>
      </c>
      <c r="D13689" t="str">
        <f>"pisy-1"</f>
        <v>pisy-1</v>
      </c>
      <c r="E13689" t="s">
        <v>6535</v>
      </c>
      <c r="F13689" t="s">
        <v>11</v>
      </c>
      <c r="G13689" t="s">
        <v>6536</v>
      </c>
      <c r="H13689" s="12">
        <v>-1.07480524695525</v>
      </c>
      <c r="I13689" s="20">
        <v>-0.358246971261453</v>
      </c>
      <c r="J13689" s="28">
        <v>0.72015849871761495</v>
      </c>
      <c r="K13689" s="29">
        <v>0.98289565623980701</v>
      </c>
    </row>
    <row r="13690" spans="1:11" x14ac:dyDescent="0.35">
      <c r="A13690" s="9" t="str">
        <f>HYPERLINK("http://www.ensembl.org/id/WBGene00012285", "WBGene00012285")</f>
        <v>WBGene00012285</v>
      </c>
      <c r="B13690" s="9" t="str">
        <f>HYPERLINK("http://www.ncbi.nlm.nih.gov/gene/174883", "174883")</f>
        <v>174883</v>
      </c>
      <c r="C13690" s="9"/>
      <c r="D13690" t="str">
        <f>"pitr-6"</f>
        <v>pitr-6</v>
      </c>
      <c r="E13690" t="s">
        <v>2064</v>
      </c>
      <c r="F13690" t="s">
        <v>11</v>
      </c>
      <c r="G13690" t="s">
        <v>2065</v>
      </c>
      <c r="H13690" s="12">
        <v>1.25345011274939</v>
      </c>
      <c r="I13690" s="20">
        <v>0.42985055492107499</v>
      </c>
      <c r="J13690" s="28">
        <v>0.66730435509895403</v>
      </c>
      <c r="K13690" s="29">
        <v>0.98289565623980701</v>
      </c>
    </row>
    <row r="13691" spans="1:11" x14ac:dyDescent="0.35">
      <c r="A13691" s="9" t="str">
        <f>HYPERLINK("http://www.ensembl.org/id/WBGene00010776", "WBGene00010776")</f>
        <v>WBGene00010776</v>
      </c>
      <c r="B13691" s="9" t="str">
        <f>HYPERLINK("http://www.ncbi.nlm.nih.gov/gene/181490", "181490")</f>
        <v>181490</v>
      </c>
      <c r="C13691" s="9" t="str">
        <f>HYPERLINK("http://www.ncbi.nlm.nih.gov/gene/8874", "8874")</f>
        <v>8874</v>
      </c>
      <c r="D13691" t="str">
        <f>"pix-1"</f>
        <v>pix-1</v>
      </c>
      <c r="E13691" t="s">
        <v>5920</v>
      </c>
      <c r="F13691" t="s">
        <v>11</v>
      </c>
      <c r="G13691" t="s">
        <v>5921</v>
      </c>
      <c r="H13691" s="12">
        <v>1.08420022493723</v>
      </c>
      <c r="I13691" s="20">
        <v>0.37348116764004102</v>
      </c>
      <c r="J13691" s="28">
        <v>0.70879035906119003</v>
      </c>
      <c r="K13691" s="29">
        <v>0.98289565623980701</v>
      </c>
    </row>
    <row r="13692" spans="1:11" x14ac:dyDescent="0.35">
      <c r="A13692" s="9" t="str">
        <f>HYPERLINK("http://www.ensembl.org/id/WBGene00004032", "WBGene00004032")</f>
        <v>WBGene00004032</v>
      </c>
      <c r="B13692" s="9" t="str">
        <f>HYPERLINK("http://www.ncbi.nlm.nih.gov/gene/179649", "179649")</f>
        <v>179649</v>
      </c>
      <c r="C13692" s="9" t="str">
        <f>HYPERLINK("http://www.ncbi.nlm.nih.gov/gene/5581", "5581")</f>
        <v>5581</v>
      </c>
      <c r="D13692" t="str">
        <f>"pkc-1"</f>
        <v>pkc-1</v>
      </c>
      <c r="E13692" t="s">
        <v>7585</v>
      </c>
      <c r="F13692" t="s">
        <v>11</v>
      </c>
      <c r="G13692" t="s">
        <v>7586</v>
      </c>
      <c r="H13692" s="12">
        <v>-1.1343271392548799</v>
      </c>
      <c r="I13692" s="20">
        <v>-0.68413483896344696</v>
      </c>
      <c r="J13692" s="28">
        <v>0.49389002419727601</v>
      </c>
      <c r="K13692" s="29">
        <v>0.98289565623980701</v>
      </c>
    </row>
    <row r="13693" spans="1:11" x14ac:dyDescent="0.35">
      <c r="A13693" s="9" t="str">
        <f>HYPERLINK("http://www.ensembl.org/id/WBGene00004033", "WBGene00004033")</f>
        <v>WBGene00004033</v>
      </c>
      <c r="B13693" s="9" t="str">
        <f>HYPERLINK("http://www.ncbi.nlm.nih.gov/gene/181166", "181166")</f>
        <v>181166</v>
      </c>
      <c r="C13693" s="9" t="str">
        <f>HYPERLINK("http://www.ncbi.nlm.nih.gov/gene/5578", "5578")</f>
        <v>5578</v>
      </c>
      <c r="D13693" t="str">
        <f>"pkc-2"</f>
        <v>pkc-2</v>
      </c>
      <c r="E13693" t="s">
        <v>7658</v>
      </c>
      <c r="F13693" t="s">
        <v>11</v>
      </c>
      <c r="G13693" t="s">
        <v>7659</v>
      </c>
      <c r="H13693" s="12">
        <v>-1.13792968032254</v>
      </c>
      <c r="I13693" s="20">
        <v>-0.70162616640270803</v>
      </c>
      <c r="J13693" s="28">
        <v>0.48291232897375302</v>
      </c>
      <c r="K13693" s="29">
        <v>0.98289565623980701</v>
      </c>
    </row>
    <row r="13694" spans="1:11" x14ac:dyDescent="0.35">
      <c r="A13694" s="9" t="str">
        <f>HYPERLINK("http://www.ensembl.org/id/WBGene00004034", "WBGene00004034")</f>
        <v>WBGene00004034</v>
      </c>
      <c r="B13694" s="9" t="str">
        <f>HYPERLINK("http://www.ncbi.nlm.nih.gov/gene/173914", "173914")</f>
        <v>173914</v>
      </c>
      <c r="C13694" s="9" t="str">
        <f>HYPERLINK("http://www.ncbi.nlm.nih.gov/gene/5584", "5584")</f>
        <v>5584</v>
      </c>
      <c r="D13694" t="str">
        <f>"pkc-3"</f>
        <v>pkc-3</v>
      </c>
      <c r="E13694" t="s">
        <v>9264</v>
      </c>
      <c r="F13694" t="s">
        <v>11</v>
      </c>
      <c r="G13694" t="s">
        <v>9265</v>
      </c>
      <c r="H13694" s="12">
        <v>-1.23188415437897</v>
      </c>
      <c r="I13694" s="20">
        <v>-1.1197090707887101</v>
      </c>
      <c r="J13694" s="28">
        <v>0.26283775836177597</v>
      </c>
      <c r="K13694" s="29">
        <v>0.98289565623980701</v>
      </c>
    </row>
    <row r="13695" spans="1:11" x14ac:dyDescent="0.35">
      <c r="A13695" s="9" t="str">
        <f>HYPERLINK("http://www.ensembl.org/id/WBGene00016558", "WBGene00016558")</f>
        <v>WBGene00016558</v>
      </c>
      <c r="B13695" s="9" t="str">
        <f>HYPERLINK("http://www.ncbi.nlm.nih.gov/gene/180815", "180815")</f>
        <v>180815</v>
      </c>
      <c r="C13695" s="9"/>
      <c r="D13695" t="str">
        <f>"pks-1"</f>
        <v>pks-1</v>
      </c>
      <c r="E13695" t="s">
        <v>5422</v>
      </c>
      <c r="F13695" t="s">
        <v>11</v>
      </c>
      <c r="G13695" t="s">
        <v>5423</v>
      </c>
      <c r="H13695" s="12">
        <v>1.16639846669419</v>
      </c>
      <c r="I13695" s="20">
        <v>0.69611547413132202</v>
      </c>
      <c r="J13695" s="28">
        <v>0.486356516525769</v>
      </c>
      <c r="K13695" s="29">
        <v>0.98289565623980701</v>
      </c>
    </row>
    <row r="13696" spans="1:11" x14ac:dyDescent="0.35">
      <c r="A13696" s="9" t="str">
        <f>HYPERLINK("http://www.ensembl.org/id/WBGene00004036", "WBGene00004036")</f>
        <v>WBGene00004036</v>
      </c>
      <c r="B13696" s="9" t="str">
        <f>HYPERLINK("http://www.ncbi.nlm.nih.gov/gene/181274", "181274")</f>
        <v>181274</v>
      </c>
      <c r="C13696" s="9" t="str">
        <f>HYPERLINK("http://www.ncbi.nlm.nih.gov/gene/51196", "51196")</f>
        <v>51196</v>
      </c>
      <c r="D13696" t="str">
        <f>"plc-1"</f>
        <v>plc-1</v>
      </c>
      <c r="E13696" t="s">
        <v>6227</v>
      </c>
      <c r="F13696" t="s">
        <v>11</v>
      </c>
      <c r="G13696" t="s">
        <v>6228</v>
      </c>
      <c r="H13696" s="12">
        <v>-1.0545872594279899</v>
      </c>
      <c r="I13696" s="20">
        <v>-0.28461660419905699</v>
      </c>
      <c r="J13696" s="28">
        <v>0.77593788886126303</v>
      </c>
      <c r="K13696" s="29">
        <v>0.98289565623980701</v>
      </c>
    </row>
    <row r="13697" spans="1:11" x14ac:dyDescent="0.35">
      <c r="A13697" s="9" t="str">
        <f>HYPERLINK("http://www.ensembl.org/id/WBGene00004037", "WBGene00004037")</f>
        <v>WBGene00004037</v>
      </c>
      <c r="B13697" s="9" t="str">
        <f>HYPERLINK("http://www.ncbi.nlm.nih.gov/gene/180029", "180029")</f>
        <v>180029</v>
      </c>
      <c r="C13697" s="9"/>
      <c r="D13697" t="str">
        <f>"plc-2"</f>
        <v>plc-2</v>
      </c>
      <c r="E13697" t="s">
        <v>5162</v>
      </c>
      <c r="F13697" t="s">
        <v>11</v>
      </c>
      <c r="G13697" t="s">
        <v>7053</v>
      </c>
      <c r="H13697" s="12">
        <v>-1.1047387353345799</v>
      </c>
      <c r="I13697" s="20">
        <v>-0.504166765743703</v>
      </c>
      <c r="J13697" s="28">
        <v>0.61414419258893405</v>
      </c>
      <c r="K13697" s="29">
        <v>0.98289565623980701</v>
      </c>
    </row>
    <row r="13698" spans="1:11" x14ac:dyDescent="0.35">
      <c r="A13698" s="9" t="str">
        <f>HYPERLINK("http://www.ensembl.org/id/WBGene00004038", "WBGene00004038")</f>
        <v>WBGene00004038</v>
      </c>
      <c r="B13698" s="9" t="str">
        <f>HYPERLINK("http://www.ncbi.nlm.nih.gov/gene/174586", "174586")</f>
        <v>174586</v>
      </c>
      <c r="C13698" s="9" t="str">
        <f>HYPERLINK("http://www.ncbi.nlm.nih.gov/gene/5335", "5335")</f>
        <v>5335</v>
      </c>
      <c r="D13698" t="str">
        <f>"plc-3"</f>
        <v>plc-3</v>
      </c>
      <c r="E13698" t="s">
        <v>8690</v>
      </c>
      <c r="F13698" t="s">
        <v>11</v>
      </c>
      <c r="G13698" t="s">
        <v>8691</v>
      </c>
      <c r="H13698" s="12">
        <v>-1.19082734692548</v>
      </c>
      <c r="I13698" s="20">
        <v>-0.86020789884692495</v>
      </c>
      <c r="J13698" s="28">
        <v>0.38967445131724998</v>
      </c>
      <c r="K13698" s="29">
        <v>0.98289565623980701</v>
      </c>
    </row>
    <row r="13699" spans="1:11" x14ac:dyDescent="0.35">
      <c r="A13699" s="9" t="str">
        <f>HYPERLINK("http://www.ensembl.org/id/WBGene00004039", "WBGene00004039")</f>
        <v>WBGene00004039</v>
      </c>
      <c r="B13699" s="9" t="str">
        <f>HYPERLINK("http://www.ncbi.nlm.nih.gov/gene/177525", "177525")</f>
        <v>177525</v>
      </c>
      <c r="C13699" s="9" t="str">
        <f>HYPERLINK("http://www.ncbi.nlm.nih.gov/gene/113026", "113026")</f>
        <v>113026</v>
      </c>
      <c r="D13699" t="str">
        <f>"plc-4"</f>
        <v>plc-4</v>
      </c>
      <c r="E13699" t="s">
        <v>5162</v>
      </c>
      <c r="F13699" t="s">
        <v>11</v>
      </c>
      <c r="G13699" t="s">
        <v>6068</v>
      </c>
      <c r="H13699" s="12">
        <v>1.06556464943722</v>
      </c>
      <c r="I13699" s="20">
        <v>0.328050613276132</v>
      </c>
      <c r="J13699" s="28">
        <v>0.742873394308735</v>
      </c>
      <c r="K13699" s="29">
        <v>0.98289565623980701</v>
      </c>
    </row>
    <row r="13700" spans="1:11" x14ac:dyDescent="0.35">
      <c r="A13700" s="9" t="str">
        <f>HYPERLINK("http://www.ensembl.org/id/WBGene00004041", "WBGene00004041")</f>
        <v>WBGene00004041</v>
      </c>
      <c r="B13700" s="9"/>
      <c r="C13700" s="9"/>
      <c r="D13700" t="str">
        <f>"plg-1"</f>
        <v>plg-1</v>
      </c>
      <c r="F13700" t="s">
        <v>80</v>
      </c>
      <c r="H13700" s="12">
        <v>1.5783255968918299</v>
      </c>
      <c r="I13700" s="20">
        <v>0.52669151300603101</v>
      </c>
      <c r="J13700" s="28">
        <v>0.59840783023699595</v>
      </c>
      <c r="K13700" s="29">
        <v>0.98289565623980701</v>
      </c>
    </row>
    <row r="13701" spans="1:11" x14ac:dyDescent="0.35">
      <c r="A13701" s="9" t="str">
        <f>HYPERLINK("http://www.ensembl.org/id/WBGene00004045", "WBGene00004045")</f>
        <v>WBGene00004045</v>
      </c>
      <c r="B13701" s="9" t="str">
        <f>HYPERLINK("http://www.ncbi.nlm.nih.gov/gene/187273", "187273")</f>
        <v>187273</v>
      </c>
      <c r="C13701" s="9" t="str">
        <f>HYPERLINK("http://www.ncbi.nlm.nih.gov/gene/23228", "23228")</f>
        <v>23228</v>
      </c>
      <c r="D13701" t="str">
        <f>"pll-1"</f>
        <v>pll-1</v>
      </c>
      <c r="E13701" t="s">
        <v>5162</v>
      </c>
      <c r="F13701" t="s">
        <v>11</v>
      </c>
      <c r="G13701" t="s">
        <v>5163</v>
      </c>
      <c r="H13701" s="12">
        <v>1.22537831892118</v>
      </c>
      <c r="I13701" s="20">
        <v>1.0050060825375799</v>
      </c>
      <c r="J13701" s="28">
        <v>0.31489392099539698</v>
      </c>
      <c r="K13701" s="29">
        <v>0.98289565623980701</v>
      </c>
    </row>
    <row r="13702" spans="1:11" x14ac:dyDescent="0.35">
      <c r="A13702" s="9" t="str">
        <f>HYPERLINK("http://www.ensembl.org/id/WBGene00004046", "WBGene00004046")</f>
        <v>WBGene00004046</v>
      </c>
      <c r="B13702" s="9" t="str">
        <f>HYPERLINK("http://www.ncbi.nlm.nih.gov/gene/177540", "177540")</f>
        <v>177540</v>
      </c>
      <c r="C13702" s="9"/>
      <c r="D13702" t="str">
        <f>"plp-1"</f>
        <v>plp-1</v>
      </c>
      <c r="E13702" t="s">
        <v>9214</v>
      </c>
      <c r="F13702" t="s">
        <v>11</v>
      </c>
      <c r="G13702" t="s">
        <v>9215</v>
      </c>
      <c r="H13702" s="12">
        <v>-1.22845550458043</v>
      </c>
      <c r="I13702" s="20">
        <v>-1.1453207745392899</v>
      </c>
      <c r="J13702" s="28">
        <v>0.25207630334679998</v>
      </c>
      <c r="K13702" s="29">
        <v>0.98289565623980701</v>
      </c>
    </row>
    <row r="13703" spans="1:11" x14ac:dyDescent="0.35">
      <c r="A13703" s="9" t="str">
        <f>HYPERLINK("http://www.ensembl.org/id/WBGene00008976", "WBGene00008976")</f>
        <v>WBGene00008976</v>
      </c>
      <c r="B13703" s="9" t="str">
        <f>HYPERLINK("http://www.ncbi.nlm.nih.gov/gene/184719", "184719")</f>
        <v>184719</v>
      </c>
      <c r="C13703" s="9"/>
      <c r="D13703" t="str">
        <f>"plp-2"</f>
        <v>plp-2</v>
      </c>
      <c r="E13703" t="s">
        <v>9214</v>
      </c>
      <c r="F13703" t="s">
        <v>11</v>
      </c>
      <c r="G13703" t="s">
        <v>9902</v>
      </c>
      <c r="H13703" s="12">
        <v>-1.3600541521482701</v>
      </c>
      <c r="I13703" s="20">
        <v>-0.70340830157837297</v>
      </c>
      <c r="J13703" s="28">
        <v>0.48180133450654899</v>
      </c>
      <c r="K13703" s="29">
        <v>0.98289565623980701</v>
      </c>
    </row>
    <row r="13704" spans="1:11" x14ac:dyDescent="0.35">
      <c r="A13704" s="9" t="str">
        <f>HYPERLINK("http://www.ensembl.org/id/WBGene00020895", "WBGene00020895")</f>
        <v>WBGene00020895</v>
      </c>
      <c r="B13704" s="9" t="str">
        <f>HYPERLINK("http://www.ncbi.nlm.nih.gov/gene/174071", "174071")</f>
        <v>174071</v>
      </c>
      <c r="C13704" s="9"/>
      <c r="D13704" t="str">
        <f>"plpp-1.2"</f>
        <v>plpp-1.2</v>
      </c>
      <c r="E13704" t="s">
        <v>6620</v>
      </c>
      <c r="F13704" t="s">
        <v>11</v>
      </c>
      <c r="G13704" t="s">
        <v>6621</v>
      </c>
      <c r="H13704" s="12">
        <v>-1.0800853625435201</v>
      </c>
      <c r="I13704" s="20">
        <v>-0.34061300041998599</v>
      </c>
      <c r="J13704" s="28">
        <v>0.73339494118382398</v>
      </c>
      <c r="K13704" s="29">
        <v>0.98289565623980701</v>
      </c>
    </row>
    <row r="13705" spans="1:11" x14ac:dyDescent="0.35">
      <c r="A13705" s="9" t="str">
        <f>HYPERLINK("http://www.ensembl.org/id/WBGene00023404", "WBGene00023404")</f>
        <v>WBGene00023404</v>
      </c>
      <c r="B13705" s="9" t="str">
        <f>HYPERLINK("http://www.ncbi.nlm.nih.gov/gene/176575", "176575")</f>
        <v>176575</v>
      </c>
      <c r="C13705" s="9"/>
      <c r="D13705" t="str">
        <f>"plr-1"</f>
        <v>plr-1</v>
      </c>
      <c r="E13705" t="s">
        <v>4992</v>
      </c>
      <c r="F13705" t="s">
        <v>11</v>
      </c>
      <c r="H13705" s="12">
        <v>1.2677987332329299</v>
      </c>
      <c r="I13705" s="20">
        <v>1.0101868344232201</v>
      </c>
      <c r="J13705" s="28">
        <v>0.31240578570580102</v>
      </c>
      <c r="K13705" s="29">
        <v>0.98289565623980701</v>
      </c>
    </row>
    <row r="13706" spans="1:11" x14ac:dyDescent="0.35">
      <c r="A13706" s="9" t="str">
        <f>HYPERLINK("http://www.ensembl.org/id/WBGene00006481", "WBGene00006481")</f>
        <v>WBGene00006481</v>
      </c>
      <c r="B13706" s="9" t="str">
        <f>HYPERLINK("http://www.ncbi.nlm.nih.gov/gene/179500", "179500")</f>
        <v>179500</v>
      </c>
      <c r="C13706" s="9" t="str">
        <f>HYPERLINK("http://www.ncbi.nlm.nih.gov/gene/5356", "5356")</f>
        <v>5356</v>
      </c>
      <c r="D13706" t="str">
        <f>"plrg-1"</f>
        <v>plrg-1</v>
      </c>
      <c r="E13706" t="s">
        <v>9464</v>
      </c>
      <c r="F13706" t="s">
        <v>11</v>
      </c>
      <c r="G13706" t="s">
        <v>9465</v>
      </c>
      <c r="H13706" s="12">
        <v>-1.24831416417302</v>
      </c>
      <c r="I13706" s="20">
        <v>-1.04043366468092</v>
      </c>
      <c r="J13706" s="28">
        <v>0.29813846808299299</v>
      </c>
      <c r="K13706" s="29">
        <v>0.98289565623980701</v>
      </c>
    </row>
    <row r="13707" spans="1:11" x14ac:dyDescent="0.35">
      <c r="A13707" s="9" t="str">
        <f>HYPERLINK("http://www.ensembl.org/id/WBGene00004047", "WBGene00004047")</f>
        <v>WBGene00004047</v>
      </c>
      <c r="B13707" s="9" t="str">
        <f>HYPERLINK("http://www.ncbi.nlm.nih.gov/gene/246019", "246019")</f>
        <v>246019</v>
      </c>
      <c r="C13707" s="9" t="str">
        <f>HYPERLINK("http://www.ncbi.nlm.nih.gov/gene/5362", "5362")</f>
        <v>5362</v>
      </c>
      <c r="D13707" t="str">
        <f>"plx-1"</f>
        <v>plx-1</v>
      </c>
      <c r="E13707" t="s">
        <v>6149</v>
      </c>
      <c r="F13707" t="s">
        <v>11</v>
      </c>
      <c r="G13707" t="s">
        <v>6150</v>
      </c>
      <c r="H13707" s="12">
        <v>1.0496328457594399</v>
      </c>
      <c r="I13707" s="20">
        <v>0.25753096336546799</v>
      </c>
      <c r="J13707" s="28">
        <v>0.796768915834</v>
      </c>
      <c r="K13707" s="29">
        <v>0.98289565623980701</v>
      </c>
    </row>
    <row r="13708" spans="1:11" x14ac:dyDescent="0.35">
      <c r="A13708" s="9" t="str">
        <f>HYPERLINK("http://www.ensembl.org/id/WBGene00004055", "WBGene00004055")</f>
        <v>WBGene00004055</v>
      </c>
      <c r="B13708" s="9" t="str">
        <f>HYPERLINK("http://www.ncbi.nlm.nih.gov/gene/191743", "191743")</f>
        <v>191743</v>
      </c>
      <c r="C13708" s="9" t="str">
        <f>HYPERLINK("http://www.ncbi.nlm.nih.gov/gene/1432", "1432")</f>
        <v>1432</v>
      </c>
      <c r="D13708" t="str">
        <f>"pmk-1"</f>
        <v>pmk-1</v>
      </c>
      <c r="E13708" t="s">
        <v>5546</v>
      </c>
      <c r="F13708" t="s">
        <v>11</v>
      </c>
      <c r="G13708" t="s">
        <v>2583</v>
      </c>
      <c r="H13708" s="12">
        <v>1.1479339560973501</v>
      </c>
      <c r="I13708" s="20">
        <v>0.70187271089317704</v>
      </c>
      <c r="J13708" s="28">
        <v>0.48275854867156498</v>
      </c>
      <c r="K13708" s="29">
        <v>0.98289565623980701</v>
      </c>
    </row>
    <row r="13709" spans="1:11" x14ac:dyDescent="0.35">
      <c r="A13709" s="9" t="str">
        <f>HYPERLINK("http://www.ensembl.org/id/WBGene00004056", "WBGene00004056")</f>
        <v>WBGene00004056</v>
      </c>
      <c r="B13709" s="9" t="str">
        <f>HYPERLINK("http://www.ncbi.nlm.nih.gov/gene/177611", "177611")</f>
        <v>177611</v>
      </c>
      <c r="C13709" s="9"/>
      <c r="D13709" t="str">
        <f>"pmk-2"</f>
        <v>pmk-2</v>
      </c>
      <c r="E13709" t="s">
        <v>4928</v>
      </c>
      <c r="F13709" t="s">
        <v>11</v>
      </c>
      <c r="G13709" t="s">
        <v>4929</v>
      </c>
      <c r="H13709" s="12">
        <v>1.2942551979180901</v>
      </c>
      <c r="I13709" s="20">
        <v>1.1621160824258601</v>
      </c>
      <c r="J13709" s="28">
        <v>0.24518831560690099</v>
      </c>
      <c r="K13709" s="29">
        <v>0.98289565623980701</v>
      </c>
    </row>
    <row r="13710" spans="1:11" x14ac:dyDescent="0.35">
      <c r="A13710" s="9" t="str">
        <f>HYPERLINK("http://www.ensembl.org/id/WBGene00004057", "WBGene00004057")</f>
        <v>WBGene00004057</v>
      </c>
      <c r="B13710" s="9" t="str">
        <f>HYPERLINK("http://www.ncbi.nlm.nih.gov/gene/177610", "177610")</f>
        <v>177610</v>
      </c>
      <c r="C13710" s="9"/>
      <c r="D13710" t="str">
        <f>"pmk-3"</f>
        <v>pmk-3</v>
      </c>
      <c r="E13710" t="s">
        <v>5735</v>
      </c>
      <c r="F13710" t="s">
        <v>11</v>
      </c>
      <c r="G13710" t="s">
        <v>5736</v>
      </c>
      <c r="H13710" s="12">
        <v>1.1132264704583701</v>
      </c>
      <c r="I13710" s="20">
        <v>0.548790036794779</v>
      </c>
      <c r="J13710" s="28">
        <v>0.58314954846787903</v>
      </c>
      <c r="K13710" s="29">
        <v>0.98289565623980701</v>
      </c>
    </row>
    <row r="13711" spans="1:11" x14ac:dyDescent="0.35">
      <c r="A13711" s="9" t="str">
        <f>HYPERLINK("http://www.ensembl.org/id/WBGene00004058", "WBGene00004058")</f>
        <v>WBGene00004058</v>
      </c>
      <c r="B13711" s="9" t="str">
        <f>HYPERLINK("http://www.ncbi.nlm.nih.gov/gene/174126", "174126")</f>
        <v>174126</v>
      </c>
      <c r="C13711" s="9" t="str">
        <f>HYPERLINK("http://www.ncbi.nlm.nih.gov/gene/5825", "5825")</f>
        <v>5825</v>
      </c>
      <c r="D13711" t="str">
        <f>"pmp-1"</f>
        <v>pmp-1</v>
      </c>
      <c r="E13711" t="s">
        <v>4747</v>
      </c>
      <c r="F13711" t="s">
        <v>11</v>
      </c>
      <c r="G13711" t="s">
        <v>4748</v>
      </c>
      <c r="H13711" s="12">
        <v>1.41909774286694</v>
      </c>
      <c r="I13711" s="20">
        <v>0.76949840534479497</v>
      </c>
      <c r="J13711" s="28">
        <v>0.44159749082720601</v>
      </c>
      <c r="K13711" s="29">
        <v>0.98289565623980701</v>
      </c>
    </row>
    <row r="13712" spans="1:11" x14ac:dyDescent="0.35">
      <c r="A13712" s="9" t="str">
        <f>HYPERLINK("http://www.ensembl.org/id/WBGene00004059", "WBGene00004059")</f>
        <v>WBGene00004059</v>
      </c>
      <c r="B13712" s="9" t="str">
        <f>HYPERLINK("http://www.ncbi.nlm.nih.gov/gene/174127", "174127")</f>
        <v>174127</v>
      </c>
      <c r="C13712" s="9" t="str">
        <f>HYPERLINK("http://www.ncbi.nlm.nih.gov/gene/5825", "5825")</f>
        <v>5825</v>
      </c>
      <c r="D13712" t="str">
        <f>"pmp-2"</f>
        <v>pmp-2</v>
      </c>
      <c r="E13712" t="s">
        <v>4747</v>
      </c>
      <c r="F13712" t="s">
        <v>11</v>
      </c>
      <c r="G13712" t="s">
        <v>4748</v>
      </c>
      <c r="H13712" s="12">
        <v>1.21062748496087</v>
      </c>
      <c r="I13712" s="20">
        <v>0.94858525018212203</v>
      </c>
      <c r="J13712" s="28">
        <v>0.34283159567950999</v>
      </c>
      <c r="K13712" s="29">
        <v>0.98289565623980701</v>
      </c>
    </row>
    <row r="13713" spans="1:11" x14ac:dyDescent="0.35">
      <c r="A13713" s="9" t="str">
        <f>HYPERLINK("http://www.ensembl.org/id/WBGene00004062", "WBGene00004062")</f>
        <v>WBGene00004062</v>
      </c>
      <c r="B13713" s="9" t="str">
        <f>HYPERLINK("http://www.ncbi.nlm.nih.gov/gene/179056", "179056")</f>
        <v>179056</v>
      </c>
      <c r="C13713" s="9"/>
      <c r="D13713" t="str">
        <f>"pmp-5"</f>
        <v>pmp-5</v>
      </c>
      <c r="E13713" t="s">
        <v>4747</v>
      </c>
      <c r="F13713" t="s">
        <v>11</v>
      </c>
      <c r="G13713" t="s">
        <v>5747</v>
      </c>
      <c r="H13713" s="12">
        <v>1.11122095438441</v>
      </c>
      <c r="I13713" s="20">
        <v>0.45571843235578402</v>
      </c>
      <c r="J13713" s="28">
        <v>0.64859246559271799</v>
      </c>
      <c r="K13713" s="29">
        <v>0.98289565623980701</v>
      </c>
    </row>
    <row r="13714" spans="1:11" x14ac:dyDescent="0.35">
      <c r="A13714" s="9" t="str">
        <f>HYPERLINK("http://www.ensembl.org/id/WBGene00004064", "WBGene00004064")</f>
        <v>WBGene00004064</v>
      </c>
      <c r="B13714" s="9" t="str">
        <f>HYPERLINK("http://www.ncbi.nlm.nih.gov/gene/179587", "179587")</f>
        <v>179587</v>
      </c>
      <c r="C13714" s="9" t="str">
        <f>HYPERLINK("http://www.ncbi.nlm.nih.gov/gene/5395", "5395")</f>
        <v>5395</v>
      </c>
      <c r="D13714" t="str">
        <f>"pms-2"</f>
        <v>pms-2</v>
      </c>
      <c r="E13714" t="s">
        <v>6802</v>
      </c>
      <c r="F13714" t="s">
        <v>11</v>
      </c>
      <c r="G13714" t="s">
        <v>6803</v>
      </c>
      <c r="H13714" s="12">
        <v>-1.0898300085339001</v>
      </c>
      <c r="I13714" s="20">
        <v>-0.39513104489260897</v>
      </c>
      <c r="J13714" s="28">
        <v>0.69274617860993204</v>
      </c>
      <c r="K13714" s="29">
        <v>0.98289565623980701</v>
      </c>
    </row>
    <row r="13715" spans="1:11" x14ac:dyDescent="0.35">
      <c r="A13715" s="9" t="str">
        <f>HYPERLINK("http://www.ensembl.org/id/WBGene00018811", "WBGene00018811")</f>
        <v>WBGene00018811</v>
      </c>
      <c r="B13715" s="9" t="str">
        <f>HYPERLINK("http://www.ncbi.nlm.nih.gov/gene/178854", "178854")</f>
        <v>178854</v>
      </c>
      <c r="C13715" s="9"/>
      <c r="D13715" t="str">
        <f>"pmt-2"</f>
        <v>pmt-2</v>
      </c>
      <c r="E13715" t="s">
        <v>834</v>
      </c>
      <c r="F13715" t="s">
        <v>11</v>
      </c>
      <c r="G13715" t="s">
        <v>6382</v>
      </c>
      <c r="H13715" s="12">
        <v>-1.0661443951059499</v>
      </c>
      <c r="I13715" s="20">
        <v>-0.35071095617039399</v>
      </c>
      <c r="J13715" s="28">
        <v>0.72580520519212399</v>
      </c>
      <c r="K13715" s="29">
        <v>0.98289565623980701</v>
      </c>
    </row>
    <row r="13716" spans="1:11" x14ac:dyDescent="0.35">
      <c r="A13716" s="9" t="str">
        <f>HYPERLINK("http://www.ensembl.org/id/WBGene00010160", "WBGene00010160")</f>
        <v>WBGene00010160</v>
      </c>
      <c r="B13716" s="9" t="str">
        <f>HYPERLINK("http://www.ncbi.nlm.nih.gov/gene/173028", "173028")</f>
        <v>173028</v>
      </c>
      <c r="C13716" s="9" t="str">
        <f>HYPERLINK("http://www.ncbi.nlm.nih.gov/gene/55768", "55768")</f>
        <v>55768</v>
      </c>
      <c r="D13716" t="str">
        <f>"png-1"</f>
        <v>png-1</v>
      </c>
      <c r="E13716" t="s">
        <v>9005</v>
      </c>
      <c r="F13716" t="s">
        <v>11</v>
      </c>
      <c r="G13716" t="s">
        <v>9006</v>
      </c>
      <c r="H13716" s="12">
        <v>-1.2141534451029199</v>
      </c>
      <c r="I13716" s="20">
        <v>-0.96036949156073104</v>
      </c>
      <c r="J13716" s="28">
        <v>0.336869286994599</v>
      </c>
      <c r="K13716" s="29">
        <v>0.98289565623980701</v>
      </c>
    </row>
    <row r="13717" spans="1:11" x14ac:dyDescent="0.35">
      <c r="A13717" s="9" t="str">
        <f>HYPERLINK("http://www.ensembl.org/id/WBGene00004076", "WBGene00004076")</f>
        <v>WBGene00004076</v>
      </c>
      <c r="B13717" s="9" t="str">
        <f>HYPERLINK("http://www.ncbi.nlm.nih.gov/gene/173500", "173500")</f>
        <v>173500</v>
      </c>
      <c r="C13717" s="9"/>
      <c r="D13717" t="str">
        <f>"pod-2"</f>
        <v>pod-2</v>
      </c>
      <c r="F13717" t="s">
        <v>11</v>
      </c>
      <c r="G13717" t="s">
        <v>7146</v>
      </c>
      <c r="H13717" s="12">
        <v>-1.1101280773802</v>
      </c>
      <c r="I13717" s="20">
        <v>-0.58639966301185498</v>
      </c>
      <c r="J13717" s="28">
        <v>0.55760697071627996</v>
      </c>
      <c r="K13717" s="29">
        <v>0.98289565623980701</v>
      </c>
    </row>
    <row r="13718" spans="1:11" x14ac:dyDescent="0.35">
      <c r="A13718" s="9" t="str">
        <f>HYPERLINK("http://www.ensembl.org/id/WBGene00012936", "WBGene00012936")</f>
        <v>WBGene00012936</v>
      </c>
      <c r="B13718" s="9" t="str">
        <f>HYPERLINK("http://www.ncbi.nlm.nih.gov/gene/176544", "176544")</f>
        <v>176544</v>
      </c>
      <c r="C13718" s="9" t="str">
        <f>HYPERLINK("http://www.ncbi.nlm.nih.gov/gene/5422", "5422")</f>
        <v>5422</v>
      </c>
      <c r="D13718" t="str">
        <f>"pola-1"</f>
        <v>pola-1</v>
      </c>
      <c r="E13718" t="s">
        <v>2612</v>
      </c>
      <c r="F13718" t="s">
        <v>11</v>
      </c>
      <c r="G13718" t="s">
        <v>9688</v>
      </c>
      <c r="H13718" s="12">
        <v>-1.28117839864252</v>
      </c>
      <c r="I13718" s="20">
        <v>-1.1324260713119501</v>
      </c>
      <c r="J13718" s="28">
        <v>0.25745534912050499</v>
      </c>
      <c r="K13718" s="29">
        <v>0.98289565623980701</v>
      </c>
    </row>
    <row r="13719" spans="1:11" x14ac:dyDescent="0.35">
      <c r="A13719" s="9" t="str">
        <f>HYPERLINK("http://www.ensembl.org/id/WBGene00017237", "WBGene00017237")</f>
        <v>WBGene00017237</v>
      </c>
      <c r="B13719" s="9" t="str">
        <f>HYPERLINK("http://www.ncbi.nlm.nih.gov/gene/177673", "177673")</f>
        <v>177673</v>
      </c>
      <c r="C13719" s="9" t="str">
        <f>HYPERLINK("http://www.ncbi.nlm.nih.gov/gene/5427", "5427")</f>
        <v>5427</v>
      </c>
      <c r="D13719" t="str">
        <f>"pole-2"</f>
        <v>pole-2</v>
      </c>
      <c r="E13719" t="s">
        <v>7389</v>
      </c>
      <c r="F13719" t="s">
        <v>11</v>
      </c>
      <c r="G13719" t="s">
        <v>7390</v>
      </c>
      <c r="H13719" s="12">
        <v>-1.1231482586835899</v>
      </c>
      <c r="I13719" s="20">
        <v>-0.48725099782474302</v>
      </c>
      <c r="J13719" s="28">
        <v>0.62608046906765402</v>
      </c>
      <c r="K13719" s="29">
        <v>0.98289565623980701</v>
      </c>
    </row>
    <row r="13720" spans="1:11" x14ac:dyDescent="0.35">
      <c r="A13720" s="9" t="str">
        <f>HYPERLINK("http://www.ensembl.org/id/WBGene00013150", "WBGene00013150")</f>
        <v>WBGene00013150</v>
      </c>
      <c r="B13720" s="9" t="str">
        <f>HYPERLINK("http://www.ncbi.nlm.nih.gov/gene/175152", "175152")</f>
        <v>175152</v>
      </c>
      <c r="C13720" s="9"/>
      <c r="D13720" t="str">
        <f>"pole-4"</f>
        <v>pole-4</v>
      </c>
      <c r="F13720" t="s">
        <v>11</v>
      </c>
      <c r="G13720" t="s">
        <v>9729</v>
      </c>
      <c r="H13720" s="12">
        <v>-1.2884796796736</v>
      </c>
      <c r="I13720" s="20">
        <v>-1.0192694089786201</v>
      </c>
      <c r="J13720" s="28">
        <v>0.30807508280052498</v>
      </c>
      <c r="K13720" s="29">
        <v>0.98289565623980701</v>
      </c>
    </row>
    <row r="13721" spans="1:11" x14ac:dyDescent="0.35">
      <c r="A13721" s="9" t="str">
        <f>HYPERLINK("http://www.ensembl.org/id/WBGene00010775", "WBGene00010775")</f>
        <v>WBGene00010775</v>
      </c>
      <c r="B13721" s="9" t="str">
        <f>HYPERLINK("http://www.ncbi.nlm.nih.gov/gene/187297", "187297")</f>
        <v>187297</v>
      </c>
      <c r="C13721" s="9"/>
      <c r="D13721" t="str">
        <f>"poml-1"</f>
        <v>poml-1</v>
      </c>
      <c r="E13721" t="s">
        <v>2084</v>
      </c>
      <c r="F13721" t="s">
        <v>11</v>
      </c>
      <c r="G13721" t="s">
        <v>4798</v>
      </c>
      <c r="H13721" s="12">
        <v>1.36820100058507</v>
      </c>
      <c r="I13721" s="20">
        <v>0.43447981436262201</v>
      </c>
      <c r="J13721" s="28">
        <v>0.66394004992604105</v>
      </c>
      <c r="K13721" s="29">
        <v>0.98289565623980701</v>
      </c>
    </row>
    <row r="13722" spans="1:11" x14ac:dyDescent="0.35">
      <c r="A13722" s="9" t="str">
        <f>HYPERLINK("http://www.ensembl.org/id/WBGene00017089", "WBGene00017089")</f>
        <v>WBGene00017089</v>
      </c>
      <c r="B13722" s="9" t="str">
        <f>HYPERLINK("http://www.ncbi.nlm.nih.gov/gene/171999", "171999")</f>
        <v>171999</v>
      </c>
      <c r="C13722" s="9" t="str">
        <f>HYPERLINK("http://www.ncbi.nlm.nih.gov/gene/5446", "5446")</f>
        <v>5446</v>
      </c>
      <c r="D13722" t="str">
        <f>"poml-2"</f>
        <v>poml-2</v>
      </c>
      <c r="E13722" t="s">
        <v>2084</v>
      </c>
      <c r="F13722" t="s">
        <v>11</v>
      </c>
      <c r="G13722" t="s">
        <v>4798</v>
      </c>
      <c r="H13722" s="12">
        <v>-1.1073238462146699</v>
      </c>
      <c r="I13722" s="20">
        <v>-0.36810869820595199</v>
      </c>
      <c r="J13722" s="28">
        <v>0.71279218534995203</v>
      </c>
      <c r="K13722" s="29">
        <v>0.98289565623980701</v>
      </c>
    </row>
    <row r="13723" spans="1:11" x14ac:dyDescent="0.35">
      <c r="A13723" s="9" t="str">
        <f>HYPERLINK("http://www.ensembl.org/id/WBGene00015105", "WBGene00015105")</f>
        <v>WBGene00015105</v>
      </c>
      <c r="B13723" s="9" t="str">
        <f>HYPERLINK("http://www.ncbi.nlm.nih.gov/gene/181894", "181894")</f>
        <v>181894</v>
      </c>
      <c r="C13723" s="9"/>
      <c r="D13723" t="str">
        <f>"pot-1"</f>
        <v>pot-1</v>
      </c>
      <c r="E13723" t="s">
        <v>8398</v>
      </c>
      <c r="F13723" t="s">
        <v>11</v>
      </c>
      <c r="H13723" s="12">
        <v>-1.17503407832661</v>
      </c>
      <c r="I13723" s="20">
        <v>-0.57285957849102198</v>
      </c>
      <c r="J13723" s="28">
        <v>0.56673977534828601</v>
      </c>
      <c r="K13723" s="29">
        <v>0.98289565623980701</v>
      </c>
    </row>
    <row r="13724" spans="1:11" x14ac:dyDescent="0.35">
      <c r="A13724" s="9" t="str">
        <f>HYPERLINK("http://www.ensembl.org/id/WBGene00007065", "WBGene00007065")</f>
        <v>WBGene00007065</v>
      </c>
      <c r="B13724" s="9" t="str">
        <f>HYPERLINK("http://www.ncbi.nlm.nih.gov/gene/181793", "181793")</f>
        <v>181793</v>
      </c>
      <c r="C13724" s="9"/>
      <c r="D13724" t="str">
        <f>"pot-3"</f>
        <v>pot-3</v>
      </c>
      <c r="E13724" t="s">
        <v>1886</v>
      </c>
      <c r="F13724" t="s">
        <v>11</v>
      </c>
      <c r="G13724" t="s">
        <v>9954</v>
      </c>
      <c r="H13724" s="12">
        <v>-1.4641559290322801</v>
      </c>
      <c r="I13724" s="20">
        <v>-1.15818511556646</v>
      </c>
      <c r="J13724" s="28">
        <v>0.24678850113845699</v>
      </c>
      <c r="K13724" s="29">
        <v>0.98289565623980701</v>
      </c>
    </row>
    <row r="13725" spans="1:11" x14ac:dyDescent="0.35">
      <c r="A13725" s="9" t="str">
        <f>HYPERLINK("http://www.ensembl.org/id/WBGene00011407", "WBGene00011407")</f>
        <v>WBGene00011407</v>
      </c>
      <c r="B13725" s="9" t="str">
        <f>HYPERLINK("http://www.ncbi.nlm.nih.gov/gene/175613", "175613")</f>
        <v>175613</v>
      </c>
      <c r="C13725" s="9" t="str">
        <f>HYPERLINK("http://www.ncbi.nlm.nih.gov/gene/5471", "5471")</f>
        <v>5471</v>
      </c>
      <c r="D13725" t="str">
        <f>"ppat-1"</f>
        <v>ppat-1</v>
      </c>
      <c r="E13725" t="s">
        <v>5009</v>
      </c>
      <c r="F13725" t="s">
        <v>11</v>
      </c>
      <c r="G13725" t="s">
        <v>5010</v>
      </c>
      <c r="H13725" s="12">
        <v>1.26369846521257</v>
      </c>
      <c r="I13725" s="20">
        <v>1.04028721517807</v>
      </c>
      <c r="J13725" s="28">
        <v>0.298206482139935</v>
      </c>
      <c r="K13725" s="29">
        <v>0.98289565623980701</v>
      </c>
    </row>
    <row r="13726" spans="1:11" x14ac:dyDescent="0.35">
      <c r="A13726" s="9" t="str">
        <f>HYPERLINK("http://www.ensembl.org/id/WBGene00008878", "WBGene00008878")</f>
        <v>WBGene00008878</v>
      </c>
      <c r="B13726" s="9" t="str">
        <f>HYPERLINK("http://www.ncbi.nlm.nih.gov/gene/172761", "172761")</f>
        <v>172761</v>
      </c>
      <c r="C13726" s="9"/>
      <c r="D13726" t="str">
        <f>"ppfr-1"</f>
        <v>ppfr-1</v>
      </c>
      <c r="E13726" t="s">
        <v>6565</v>
      </c>
      <c r="F13726" t="s">
        <v>11</v>
      </c>
      <c r="H13726" s="12">
        <v>-1.0768377020076401</v>
      </c>
      <c r="I13726" s="20">
        <v>-0.40380114083131102</v>
      </c>
      <c r="J13726" s="28">
        <v>0.68635895750653297</v>
      </c>
      <c r="K13726" s="29">
        <v>0.98289565623980701</v>
      </c>
    </row>
    <row r="13727" spans="1:11" x14ac:dyDescent="0.35">
      <c r="A13727" s="9" t="str">
        <f>HYPERLINK("http://www.ensembl.org/id/WBGene00021425", "WBGene00021425")</f>
        <v>WBGene00021425</v>
      </c>
      <c r="B13727" s="9" t="str">
        <f>HYPERLINK("http://www.ncbi.nlm.nih.gov/gene/177021", "177021")</f>
        <v>177021</v>
      </c>
      <c r="C13727" s="9" t="str">
        <f>HYPERLINK("http://www.ncbi.nlm.nih.gov/gene/6687", "6687")</f>
        <v>6687</v>
      </c>
      <c r="D13727" t="str">
        <f>"ppgn-1"</f>
        <v>ppgn-1</v>
      </c>
      <c r="E13727" t="s">
        <v>6896</v>
      </c>
      <c r="F13727" t="s">
        <v>11</v>
      </c>
      <c r="G13727" t="s">
        <v>6897</v>
      </c>
      <c r="H13727" s="12">
        <v>-1.0955410793261999</v>
      </c>
      <c r="I13727" s="20">
        <v>-0.43711437321218199</v>
      </c>
      <c r="J13727" s="28">
        <v>0.66202840400822005</v>
      </c>
      <c r="K13727" s="29">
        <v>0.98289565623980701</v>
      </c>
    </row>
    <row r="13728" spans="1:11" x14ac:dyDescent="0.35">
      <c r="A13728" s="9" t="str">
        <f>HYPERLINK("http://www.ensembl.org/id/WBGene00004085", "WBGene00004085")</f>
        <v>WBGene00004085</v>
      </c>
      <c r="B13728" s="9" t="str">
        <f>HYPERLINK("http://www.ncbi.nlm.nih.gov/gene/176657", "176657")</f>
        <v>176657</v>
      </c>
      <c r="C13728" s="9" t="str">
        <f>HYPERLINK("http://www.ncbi.nlm.nih.gov/gene/5531", "5531")</f>
        <v>5531</v>
      </c>
      <c r="D13728" t="str">
        <f>"pph-4.1"</f>
        <v>pph-4.1</v>
      </c>
      <c r="E13728" t="s">
        <v>6358</v>
      </c>
      <c r="F13728" t="s">
        <v>11</v>
      </c>
      <c r="G13728" t="s">
        <v>423</v>
      </c>
      <c r="H13728" s="12">
        <v>-1.06511431409409</v>
      </c>
      <c r="I13728" s="20">
        <v>-0.30942984281974201</v>
      </c>
      <c r="J13728" s="28">
        <v>0.756994572224436</v>
      </c>
      <c r="K13728" s="29">
        <v>0.98289565623980701</v>
      </c>
    </row>
    <row r="13729" spans="1:11" x14ac:dyDescent="0.35">
      <c r="A13729" s="9" t="str">
        <f>HYPERLINK("http://www.ensembl.org/id/WBGene00012665", "WBGene00012665")</f>
        <v>WBGene00012665</v>
      </c>
      <c r="B13729" s="9" t="str">
        <f>HYPERLINK("http://www.ncbi.nlm.nih.gov/gene/180263", "180263")</f>
        <v>180263</v>
      </c>
      <c r="C13729" s="9" t="str">
        <f>HYPERLINK("http://www.ncbi.nlm.nih.gov/gene/5536", "5536")</f>
        <v>5536</v>
      </c>
      <c r="D13729" t="str">
        <f>"pph-5"</f>
        <v>pph-5</v>
      </c>
      <c r="E13729" t="s">
        <v>8176</v>
      </c>
      <c r="F13729" t="s">
        <v>11</v>
      </c>
      <c r="G13729" t="s">
        <v>8177</v>
      </c>
      <c r="H13729" s="12">
        <v>-1.1639641774562699</v>
      </c>
      <c r="I13729" s="20">
        <v>-0.75257115382304496</v>
      </c>
      <c r="J13729" s="28">
        <v>0.45170765725502199</v>
      </c>
      <c r="K13729" s="29">
        <v>0.98289565623980701</v>
      </c>
    </row>
    <row r="13730" spans="1:11" x14ac:dyDescent="0.35">
      <c r="A13730" s="9" t="str">
        <f>HYPERLINK("http://www.ensembl.org/id/WBGene00007922", "WBGene00007922")</f>
        <v>WBGene00007922</v>
      </c>
      <c r="B13730" s="9" t="str">
        <f>HYPERLINK("http://www.ncbi.nlm.nih.gov/gene/183199", "183199")</f>
        <v>183199</v>
      </c>
      <c r="C13730" s="9" t="str">
        <f>HYPERLINK("http://www.ncbi.nlm.nih.gov/gene/5537", "5537")</f>
        <v>5537</v>
      </c>
      <c r="D13730" t="str">
        <f>"pph-6"</f>
        <v>pph-6</v>
      </c>
      <c r="E13730" t="s">
        <v>7996</v>
      </c>
      <c r="F13730" t="s">
        <v>11</v>
      </c>
      <c r="G13730" t="s">
        <v>423</v>
      </c>
      <c r="H13730" s="12">
        <v>-1.15496611843416</v>
      </c>
      <c r="I13730" s="20">
        <v>-0.65653270911751505</v>
      </c>
      <c r="J13730" s="28">
        <v>0.51148142902526295</v>
      </c>
      <c r="K13730" s="29">
        <v>0.98289565623980701</v>
      </c>
    </row>
    <row r="13731" spans="1:11" x14ac:dyDescent="0.35">
      <c r="A13731" s="9" t="str">
        <f>HYPERLINK("http://www.ensembl.org/id/WBGene00004089", "WBGene00004089")</f>
        <v>WBGene00004089</v>
      </c>
      <c r="B13731" s="9" t="str">
        <f>HYPERLINK("http://www.ncbi.nlm.nih.gov/gene/181428", "181428")</f>
        <v>181428</v>
      </c>
      <c r="C13731" s="9"/>
      <c r="D13731" t="str">
        <f>"ppk-3"</f>
        <v>ppk-3</v>
      </c>
      <c r="E13731" t="s">
        <v>8927</v>
      </c>
      <c r="F13731" t="s">
        <v>11</v>
      </c>
      <c r="G13731" t="s">
        <v>8928</v>
      </c>
      <c r="H13731" s="12">
        <v>-1.2084763344</v>
      </c>
      <c r="I13731" s="20">
        <v>-0.98374082306365196</v>
      </c>
      <c r="J13731" s="28">
        <v>0.325242962264844</v>
      </c>
      <c r="K13731" s="29">
        <v>0.98289565623980701</v>
      </c>
    </row>
    <row r="13732" spans="1:11" x14ac:dyDescent="0.35">
      <c r="A13732" s="9" t="str">
        <f>HYPERLINK("http://www.ensembl.org/id/WBGene00006460", "WBGene00006460")</f>
        <v>WBGene00006460</v>
      </c>
      <c r="B13732" s="9" t="str">
        <f>HYPERLINK("http://www.ncbi.nlm.nih.gov/gene/179469", "179469")</f>
        <v>179469</v>
      </c>
      <c r="C13732" s="9" t="str">
        <f>HYPERLINK("http://www.ncbi.nlm.nih.gov/gene/5495", "5495")</f>
        <v>5495</v>
      </c>
      <c r="D13732" t="str">
        <f>"ppm-1.A"</f>
        <v>ppm-1.A</v>
      </c>
      <c r="E13732" t="s">
        <v>9328</v>
      </c>
      <c r="F13732" t="s">
        <v>11</v>
      </c>
      <c r="G13732" t="s">
        <v>9329</v>
      </c>
      <c r="H13732" s="12">
        <v>-1.2387493977556101</v>
      </c>
      <c r="I13732" s="20">
        <v>-1.1910637138912099</v>
      </c>
      <c r="J13732" s="28">
        <v>0.23362857345319901</v>
      </c>
      <c r="K13732" s="29">
        <v>0.98289565623980701</v>
      </c>
    </row>
    <row r="13733" spans="1:11" x14ac:dyDescent="0.35">
      <c r="A13733" s="9" t="str">
        <f>HYPERLINK("http://www.ensembl.org/id/WBGene00021856", "WBGene00021856")</f>
        <v>WBGene00021856</v>
      </c>
      <c r="B13733" s="9" t="str">
        <f>HYPERLINK("http://www.ncbi.nlm.nih.gov/gene/190269", "190269")</f>
        <v>190269</v>
      </c>
      <c r="C13733" s="9"/>
      <c r="D13733" t="str">
        <f>"ppm-1.D"</f>
        <v>ppm-1.D</v>
      </c>
      <c r="E13733" t="s">
        <v>7507</v>
      </c>
      <c r="F13733" t="s">
        <v>11</v>
      </c>
      <c r="G13733" t="s">
        <v>7508</v>
      </c>
      <c r="H13733" s="12">
        <v>-1.12995954152236</v>
      </c>
      <c r="I13733" s="20">
        <v>-0.55753051436141798</v>
      </c>
      <c r="J13733" s="28">
        <v>0.57716501657463903</v>
      </c>
      <c r="K13733" s="29">
        <v>0.98289565623980701</v>
      </c>
    </row>
    <row r="13734" spans="1:11" x14ac:dyDescent="0.35">
      <c r="A13734" s="9" t="str">
        <f>HYPERLINK("http://www.ensembl.org/id/WBGene00018362", "WBGene00018362")</f>
        <v>WBGene00018362</v>
      </c>
      <c r="B13734" s="9" t="str">
        <f>HYPERLINK("http://www.ncbi.nlm.nih.gov/gene/175233", "175233")</f>
        <v>175233</v>
      </c>
      <c r="C13734" s="9"/>
      <c r="D13734" t="str">
        <f>"ppm-1.G"</f>
        <v>ppm-1.G</v>
      </c>
      <c r="E13734" t="s">
        <v>7415</v>
      </c>
      <c r="F13734" t="s">
        <v>11</v>
      </c>
      <c r="G13734" t="s">
        <v>7416</v>
      </c>
      <c r="H13734" s="12">
        <v>-1.1242200160812299</v>
      </c>
      <c r="I13734" s="20">
        <v>-0.51834727089815302</v>
      </c>
      <c r="J13734" s="28">
        <v>0.60421599714047403</v>
      </c>
      <c r="K13734" s="29">
        <v>0.98289565623980701</v>
      </c>
    </row>
    <row r="13735" spans="1:11" x14ac:dyDescent="0.35">
      <c r="A13735" s="9" t="str">
        <f>HYPERLINK("http://www.ensembl.org/id/WBGene00011953", "WBGene00011953")</f>
        <v>WBGene00011953</v>
      </c>
      <c r="B13735" s="9" t="str">
        <f>HYPERLINK("http://www.ncbi.nlm.nih.gov/gene/175610", "175610")</f>
        <v>175610</v>
      </c>
      <c r="C13735" s="9"/>
      <c r="D13735" t="str">
        <f>"ppm-2"</f>
        <v>ppm-2</v>
      </c>
      <c r="E13735" t="s">
        <v>8490</v>
      </c>
      <c r="F13735" t="s">
        <v>11</v>
      </c>
      <c r="G13735" t="s">
        <v>1944</v>
      </c>
      <c r="H13735" s="12">
        <v>-1.1803840935535199</v>
      </c>
      <c r="I13735" s="20">
        <v>-0.92834479414346804</v>
      </c>
      <c r="J13735" s="28">
        <v>0.35322874524023901</v>
      </c>
      <c r="K13735" s="29">
        <v>0.98289565623980701</v>
      </c>
    </row>
    <row r="13736" spans="1:11" x14ac:dyDescent="0.35">
      <c r="A13736" s="9" t="str">
        <f>HYPERLINK("http://www.ensembl.org/id/WBGene00004091", "WBGene00004091")</f>
        <v>WBGene00004091</v>
      </c>
      <c r="B13736" s="9" t="str">
        <f>HYPERLINK("http://www.ncbi.nlm.nih.gov/gene/177893", "177893")</f>
        <v>177893</v>
      </c>
      <c r="C13736" s="9" t="str">
        <f>HYPERLINK("http://www.ncbi.nlm.nih.gov/gene/9060", "9060")</f>
        <v>9060</v>
      </c>
      <c r="D13736" t="str">
        <f>"pps-1"</f>
        <v>pps-1</v>
      </c>
      <c r="E13736" t="s">
        <v>5930</v>
      </c>
      <c r="F13736" t="s">
        <v>11</v>
      </c>
      <c r="G13736" t="s">
        <v>5931</v>
      </c>
      <c r="H13736" s="12">
        <v>1.08377882379183</v>
      </c>
      <c r="I13736" s="20">
        <v>0.42273280256330098</v>
      </c>
      <c r="J13736" s="28">
        <v>0.67249021990548896</v>
      </c>
      <c r="K13736" s="29">
        <v>0.98289565623980701</v>
      </c>
    </row>
    <row r="13737" spans="1:11" x14ac:dyDescent="0.35">
      <c r="A13737" s="9" t="str">
        <f>HYPERLINK("http://www.ensembl.org/id/WBGene00004092", "WBGene00004092")</f>
        <v>WBGene00004092</v>
      </c>
      <c r="B13737" s="9" t="str">
        <f>HYPERLINK("http://www.ncbi.nlm.nih.gov/gene/191744", "191744")</f>
        <v>191744</v>
      </c>
      <c r="C13737" s="9" t="str">
        <f>HYPERLINK("http://www.ncbi.nlm.nih.gov/gene/5538", "5538")</f>
        <v>5538</v>
      </c>
      <c r="D13737" t="str">
        <f>"ppt-1"</f>
        <v>ppt-1</v>
      </c>
      <c r="E13737" t="s">
        <v>5910</v>
      </c>
      <c r="F13737" t="s">
        <v>11</v>
      </c>
      <c r="G13737" t="s">
        <v>5911</v>
      </c>
      <c r="H13737" s="12">
        <v>1.08620394397825</v>
      </c>
      <c r="I13737" s="20">
        <v>0.31019745010611999</v>
      </c>
      <c r="J13737" s="28">
        <v>0.75641080948400297</v>
      </c>
      <c r="K13737" s="29">
        <v>0.98289565623980701</v>
      </c>
    </row>
    <row r="13738" spans="1:11" x14ac:dyDescent="0.35">
      <c r="A13738" s="9" t="str">
        <f>HYPERLINK("http://www.ensembl.org/id/WBGene00012348", "WBGene00012348")</f>
        <v>WBGene00012348</v>
      </c>
      <c r="B13738" s="9" t="str">
        <f>HYPERLINK("http://www.ncbi.nlm.nih.gov/gene/180100", "180100")</f>
        <v>180100</v>
      </c>
      <c r="C13738" s="9" t="str">
        <f>HYPERLINK("http://www.ncbi.nlm.nih.gov/gene/5529", "5529")</f>
        <v>5529</v>
      </c>
      <c r="D13738" t="str">
        <f>"pptr-1"</f>
        <v>pptr-1</v>
      </c>
      <c r="E13738" t="s">
        <v>7184</v>
      </c>
      <c r="F13738" t="s">
        <v>11</v>
      </c>
      <c r="G13738" t="s">
        <v>7185</v>
      </c>
      <c r="H13738" s="12">
        <v>-1.1119759597466901</v>
      </c>
      <c r="I13738" s="20">
        <v>-0.59003492296478299</v>
      </c>
      <c r="J13738" s="28">
        <v>0.55516723647062205</v>
      </c>
      <c r="K13738" s="29">
        <v>0.98289565623980701</v>
      </c>
    </row>
    <row r="13739" spans="1:11" x14ac:dyDescent="0.35">
      <c r="A13739" s="9" t="str">
        <f>HYPERLINK("http://www.ensembl.org/id/WBGene00007554", "WBGene00007554")</f>
        <v>WBGene00007554</v>
      </c>
      <c r="B13739" s="9" t="str">
        <f>HYPERLINK("http://www.ncbi.nlm.nih.gov/gene/179526", "179526")</f>
        <v>179526</v>
      </c>
      <c r="C13739" s="9" t="str">
        <f>HYPERLINK("http://www.ncbi.nlm.nih.gov/gene/5528", "5528")</f>
        <v>5528</v>
      </c>
      <c r="D13739" t="str">
        <f>"pptr-2"</f>
        <v>pptr-2</v>
      </c>
      <c r="E13739" t="s">
        <v>7063</v>
      </c>
      <c r="F13739" t="s">
        <v>11</v>
      </c>
      <c r="G13739" t="s">
        <v>7064</v>
      </c>
      <c r="H13739" s="12">
        <v>-1.1051507464841901</v>
      </c>
      <c r="I13739" s="20">
        <v>-0.541102539896405</v>
      </c>
      <c r="J13739" s="28">
        <v>0.58843690767902601</v>
      </c>
      <c r="K13739" s="29">
        <v>0.98289565623980701</v>
      </c>
    </row>
    <row r="13740" spans="1:11" x14ac:dyDescent="0.35">
      <c r="A13740" s="9" t="str">
        <f>HYPERLINK("http://www.ensembl.org/id/WBGene00020647", "WBGene00020647")</f>
        <v>WBGene00020647</v>
      </c>
      <c r="B13740" s="9" t="str">
        <f>HYPERLINK("http://www.ncbi.nlm.nih.gov/gene/176847", "176847")</f>
        <v>176847</v>
      </c>
      <c r="C13740" s="9" t="str">
        <f>HYPERLINK("http://www.ncbi.nlm.nih.gov/gene/10084", "10084")</f>
        <v>10084</v>
      </c>
      <c r="D13740" t="str">
        <f>"pqbp-1.1"</f>
        <v>pqbp-1.1</v>
      </c>
      <c r="E13740" t="s">
        <v>8395</v>
      </c>
      <c r="F13740" t="s">
        <v>11</v>
      </c>
      <c r="G13740" t="s">
        <v>8396</v>
      </c>
      <c r="H13740" s="12">
        <v>-1.1749822475641101</v>
      </c>
      <c r="I13740" s="20">
        <v>-0.75922265013532797</v>
      </c>
      <c r="J13740" s="28">
        <v>0.44771937896014002</v>
      </c>
      <c r="K13740" s="29">
        <v>0.98289565623980701</v>
      </c>
    </row>
    <row r="13741" spans="1:11" x14ac:dyDescent="0.35">
      <c r="A13741" s="9" t="str">
        <f>HYPERLINK("http://www.ensembl.org/id/WBGene00020295", "WBGene00020295")</f>
        <v>WBGene00020295</v>
      </c>
      <c r="B13741" s="9"/>
      <c r="C13741" s="9"/>
      <c r="D13741" t="str">
        <f>"pqbp-1.2"</f>
        <v>pqbp-1.2</v>
      </c>
      <c r="F13741" t="s">
        <v>80</v>
      </c>
      <c r="H13741" s="12">
        <v>-1.2282047290695699</v>
      </c>
      <c r="I13741" s="20">
        <v>-0.61508702105825797</v>
      </c>
      <c r="J13741" s="28">
        <v>0.53849725292829798</v>
      </c>
      <c r="K13741" s="29">
        <v>0.98289565623980701</v>
      </c>
    </row>
    <row r="13742" spans="1:11" x14ac:dyDescent="0.35">
      <c r="A13742" s="9" t="str">
        <f>HYPERLINK("http://www.ensembl.org/id/WBGene00004095", "WBGene00004095")</f>
        <v>WBGene00004095</v>
      </c>
      <c r="B13742" s="9" t="str">
        <f>HYPERLINK("http://www.ncbi.nlm.nih.gov/gene/175731", "175731")</f>
        <v>175731</v>
      </c>
      <c r="C13742" s="9"/>
      <c r="D13742" t="str">
        <f>"pqe-1"</f>
        <v>pqe-1</v>
      </c>
      <c r="E13742" t="s">
        <v>7666</v>
      </c>
      <c r="F13742" t="s">
        <v>11</v>
      </c>
      <c r="G13742" t="s">
        <v>91</v>
      </c>
      <c r="H13742" s="12">
        <v>-1.1382692812995401</v>
      </c>
      <c r="I13742" s="20">
        <v>-0.71603825550511002</v>
      </c>
      <c r="J13742" s="28">
        <v>0.47396772748236699</v>
      </c>
      <c r="K13742" s="29">
        <v>0.98289565623980701</v>
      </c>
    </row>
    <row r="13743" spans="1:11" x14ac:dyDescent="0.35">
      <c r="A13743" s="9" t="str">
        <f>HYPERLINK("http://www.ensembl.org/id/WBGene00004097", "WBGene00004097")</f>
        <v>WBGene00004097</v>
      </c>
      <c r="B13743" s="9" t="str">
        <f>HYPERLINK("http://www.ncbi.nlm.nih.gov/gene/176371", "176371")</f>
        <v>176371</v>
      </c>
      <c r="C13743" s="9"/>
      <c r="D13743" t="str">
        <f>"pqm-96"</f>
        <v>pqm-96</v>
      </c>
      <c r="E13743" t="s">
        <v>10122</v>
      </c>
      <c r="F13743" t="s">
        <v>11</v>
      </c>
      <c r="H13743" s="12">
        <v>-10.994907597368501</v>
      </c>
      <c r="I13743" s="20">
        <v>-0.714795004154681</v>
      </c>
      <c r="J13743" s="28">
        <v>0.47473572263588099</v>
      </c>
      <c r="K13743" s="29">
        <v>0.98289565623980701</v>
      </c>
    </row>
    <row r="13744" spans="1:11" x14ac:dyDescent="0.35">
      <c r="A13744" s="9" t="str">
        <f>HYPERLINK("http://www.ensembl.org/id/WBGene00004102", "WBGene00004102")</f>
        <v>WBGene00004102</v>
      </c>
      <c r="B13744" s="9" t="str">
        <f>HYPERLINK("http://www.ncbi.nlm.nih.gov/gene/182449", "182449")</f>
        <v>182449</v>
      </c>
      <c r="C13744" s="9"/>
      <c r="D13744" t="str">
        <f>"pqn-10"</f>
        <v>pqn-10</v>
      </c>
      <c r="E13744" t="s">
        <v>432</v>
      </c>
      <c r="F13744" t="s">
        <v>11</v>
      </c>
      <c r="G13744" t="s">
        <v>25</v>
      </c>
      <c r="H13744" s="12">
        <v>2.2030049179898499</v>
      </c>
      <c r="I13744" s="20">
        <v>0.83480167655052495</v>
      </c>
      <c r="J13744" s="28">
        <v>0.40382938174690802</v>
      </c>
      <c r="K13744" s="29">
        <v>0.98289565623980701</v>
      </c>
    </row>
    <row r="13745" spans="1:11" x14ac:dyDescent="0.35">
      <c r="A13745" s="9" t="str">
        <f>HYPERLINK("http://www.ensembl.org/id/WBGene00004107", "WBGene00004107")</f>
        <v>WBGene00004107</v>
      </c>
      <c r="B13745" s="9" t="str">
        <f>HYPERLINK("http://www.ncbi.nlm.nih.gov/gene/182836", "182836")</f>
        <v>182836</v>
      </c>
      <c r="C13745" s="9"/>
      <c r="D13745" t="str">
        <f>"pqn-16"</f>
        <v>pqn-16</v>
      </c>
      <c r="E13745" t="s">
        <v>432</v>
      </c>
      <c r="F13745" t="s">
        <v>11</v>
      </c>
      <c r="H13745" s="12">
        <v>1.5137284036921299</v>
      </c>
      <c r="I13745" s="20">
        <v>0.606554932730338</v>
      </c>
      <c r="J13745" s="28">
        <v>0.54414631635397603</v>
      </c>
      <c r="K13745" s="29">
        <v>0.98289565623980701</v>
      </c>
    </row>
    <row r="13746" spans="1:11" x14ac:dyDescent="0.35">
      <c r="A13746" s="9" t="str">
        <f>HYPERLINK("http://www.ensembl.org/id/WBGene00004108", "WBGene00004108")</f>
        <v>WBGene00004108</v>
      </c>
      <c r="B13746" s="9" t="str">
        <f>HYPERLINK("http://www.ncbi.nlm.nih.gov/gene/181425", "181425")</f>
        <v>181425</v>
      </c>
      <c r="C13746" s="9"/>
      <c r="D13746" t="str">
        <f>"pqn-18"</f>
        <v>pqn-18</v>
      </c>
      <c r="E13746" t="s">
        <v>432</v>
      </c>
      <c r="F13746" t="s">
        <v>11</v>
      </c>
      <c r="H13746" s="12">
        <v>1.1935035648218899</v>
      </c>
      <c r="I13746" s="20">
        <v>0.91108611151628205</v>
      </c>
      <c r="J13746" s="28">
        <v>0.362250003625811</v>
      </c>
      <c r="K13746" s="29">
        <v>0.98289565623980701</v>
      </c>
    </row>
    <row r="13747" spans="1:11" x14ac:dyDescent="0.35">
      <c r="A13747" s="9" t="str">
        <f>HYPERLINK("http://www.ensembl.org/id/WBGene00004098", "WBGene00004098")</f>
        <v>WBGene00004098</v>
      </c>
      <c r="B13747" s="9" t="str">
        <f>HYPERLINK("http://www.ncbi.nlm.nih.gov/gene/181801", "181801")</f>
        <v>181801</v>
      </c>
      <c r="C13747" s="9"/>
      <c r="D13747" t="str">
        <f>"pqn-2"</f>
        <v>pqn-2</v>
      </c>
      <c r="E13747" t="s">
        <v>432</v>
      </c>
      <c r="F13747" t="s">
        <v>11</v>
      </c>
      <c r="H13747" s="12">
        <v>4.46861620574923</v>
      </c>
      <c r="I13747" s="20">
        <v>1.1374533853930799</v>
      </c>
      <c r="J13747" s="28">
        <v>0.25534880084655698</v>
      </c>
      <c r="K13747" s="29">
        <v>0.98289565623980701</v>
      </c>
    </row>
    <row r="13748" spans="1:11" x14ac:dyDescent="0.35">
      <c r="A13748" s="9" t="str">
        <f>HYPERLINK("http://www.ensembl.org/id/WBGene00004113", "WBGene00004113")</f>
        <v>WBGene00004113</v>
      </c>
      <c r="B13748" s="9" t="str">
        <f>HYPERLINK("http://www.ncbi.nlm.nih.gov/gene/183891", "183891")</f>
        <v>183891</v>
      </c>
      <c r="C13748" s="9"/>
      <c r="D13748" t="str">
        <f>"pqn-24"</f>
        <v>pqn-24</v>
      </c>
      <c r="E13748" t="s">
        <v>432</v>
      </c>
      <c r="F13748" t="s">
        <v>11</v>
      </c>
      <c r="G13748" t="s">
        <v>1865</v>
      </c>
      <c r="H13748" s="12">
        <v>-1.08260685368194</v>
      </c>
      <c r="I13748" s="20">
        <v>-0.37468781653587901</v>
      </c>
      <c r="J13748" s="28">
        <v>0.70789265426418901</v>
      </c>
      <c r="K13748" s="29">
        <v>0.98289565623980701</v>
      </c>
    </row>
    <row r="13749" spans="1:11" x14ac:dyDescent="0.35">
      <c r="A13749" s="9" t="str">
        <f>HYPERLINK("http://www.ensembl.org/id/WBGene00004115", "WBGene00004115")</f>
        <v>WBGene00004115</v>
      </c>
      <c r="B13749" s="9" t="str">
        <f>HYPERLINK("http://www.ncbi.nlm.nih.gov/gene/183974", "183974")</f>
        <v>183974</v>
      </c>
      <c r="C13749" s="9"/>
      <c r="D13749" t="str">
        <f>"pqn-26"</f>
        <v>pqn-26</v>
      </c>
      <c r="E13749" t="s">
        <v>432</v>
      </c>
      <c r="F13749" t="s">
        <v>11</v>
      </c>
      <c r="G13749" t="s">
        <v>4394</v>
      </c>
      <c r="H13749" s="12">
        <v>-1.1159132630438999</v>
      </c>
      <c r="I13749" s="20">
        <v>-0.307992448898325</v>
      </c>
      <c r="J13749" s="28">
        <v>0.75808807815091395</v>
      </c>
      <c r="K13749" s="29">
        <v>0.98289565623980701</v>
      </c>
    </row>
    <row r="13750" spans="1:11" x14ac:dyDescent="0.35">
      <c r="A13750" s="9" t="str">
        <f>HYPERLINK("http://www.ensembl.org/id/WBGene00004116", "WBGene00004116")</f>
        <v>WBGene00004116</v>
      </c>
      <c r="B13750" s="9" t="str">
        <f>HYPERLINK("http://www.ncbi.nlm.nih.gov/gene/3564944", "3564944")</f>
        <v>3564944</v>
      </c>
      <c r="C13750" s="9"/>
      <c r="D13750" t="str">
        <f>"pqn-27"</f>
        <v>pqn-27</v>
      </c>
      <c r="E13750" t="s">
        <v>432</v>
      </c>
      <c r="F13750" t="s">
        <v>11</v>
      </c>
      <c r="H13750" s="12">
        <v>-1.06711790058161</v>
      </c>
      <c r="I13750" s="20">
        <v>-0.34327253343947001</v>
      </c>
      <c r="J13750" s="28">
        <v>0.73139344196336797</v>
      </c>
      <c r="K13750" s="29">
        <v>0.98289565623980701</v>
      </c>
    </row>
    <row r="13751" spans="1:11" x14ac:dyDescent="0.35">
      <c r="A13751" s="9" t="str">
        <f>HYPERLINK("http://www.ensembl.org/id/WBGene00004118", "WBGene00004118")</f>
        <v>WBGene00004118</v>
      </c>
      <c r="B13751" s="9" t="str">
        <f>HYPERLINK("http://www.ncbi.nlm.nih.gov/gene/184312", "184312")</f>
        <v>184312</v>
      </c>
      <c r="C13751" s="9"/>
      <c r="D13751" t="str">
        <f>"pqn-29"</f>
        <v>pqn-29</v>
      </c>
      <c r="E13751" t="s">
        <v>432</v>
      </c>
      <c r="F13751" t="s">
        <v>11</v>
      </c>
      <c r="H13751" s="12">
        <v>-1.35927182159163</v>
      </c>
      <c r="I13751" s="20">
        <v>-0.779153491980627</v>
      </c>
      <c r="J13751" s="28">
        <v>0.43588930277951399</v>
      </c>
      <c r="K13751" s="29">
        <v>0.98289565623980701</v>
      </c>
    </row>
    <row r="13752" spans="1:11" x14ac:dyDescent="0.35">
      <c r="A13752" s="9" t="str">
        <f>HYPERLINK("http://www.ensembl.org/id/WBGene00004128", "WBGene00004128")</f>
        <v>WBGene00004128</v>
      </c>
      <c r="B13752" s="9" t="str">
        <f>HYPERLINK("http://www.ncbi.nlm.nih.gov/gene/175335", "175335")</f>
        <v>175335</v>
      </c>
      <c r="C13752" s="9"/>
      <c r="D13752" t="str">
        <f>"pqn-41"</f>
        <v>pqn-41</v>
      </c>
      <c r="E13752" t="s">
        <v>6458</v>
      </c>
      <c r="F13752" t="s">
        <v>11</v>
      </c>
      <c r="H13752" s="12">
        <v>-1.07050729112995</v>
      </c>
      <c r="I13752" s="20">
        <v>-0.37004444074536202</v>
      </c>
      <c r="J13752" s="28">
        <v>0.71134937802116305</v>
      </c>
      <c r="K13752" s="29">
        <v>0.98289565623980701</v>
      </c>
    </row>
    <row r="13753" spans="1:11" x14ac:dyDescent="0.35">
      <c r="A13753" s="9" t="str">
        <f>HYPERLINK("http://www.ensembl.org/id/WBGene00004129", "WBGene00004129")</f>
        <v>WBGene00004129</v>
      </c>
      <c r="B13753" s="9" t="str">
        <f>HYPERLINK("http://www.ncbi.nlm.nih.gov/gene/173600", "173600")</f>
        <v>173600</v>
      </c>
      <c r="C13753" s="9"/>
      <c r="D13753" t="str">
        <f>"pqn-42"</f>
        <v>pqn-42</v>
      </c>
      <c r="E13753" t="s">
        <v>432</v>
      </c>
      <c r="F13753" t="s">
        <v>11</v>
      </c>
      <c r="H13753" s="12">
        <v>1.2577187989895999</v>
      </c>
      <c r="I13753" s="20">
        <v>0.88657049654716202</v>
      </c>
      <c r="J13753" s="28">
        <v>0.375310184019578</v>
      </c>
      <c r="K13753" s="29">
        <v>0.98289565623980701</v>
      </c>
    </row>
    <row r="13754" spans="1:11" x14ac:dyDescent="0.35">
      <c r="A13754" s="9" t="str">
        <f>HYPERLINK("http://www.ensembl.org/id/WBGene00004131", "WBGene00004131")</f>
        <v>WBGene00004131</v>
      </c>
      <c r="B13754" s="9" t="str">
        <f>HYPERLINK("http://www.ncbi.nlm.nih.gov/gene/172187", "172187")</f>
        <v>172187</v>
      </c>
      <c r="C13754" s="9" t="str">
        <f>HYPERLINK("http://www.ncbi.nlm.nih.gov/gene/54855", "54855")</f>
        <v>54855</v>
      </c>
      <c r="D13754" t="str">
        <f>"pqn-44"</f>
        <v>pqn-44</v>
      </c>
      <c r="E13754" t="s">
        <v>432</v>
      </c>
      <c r="F13754" t="s">
        <v>11</v>
      </c>
      <c r="G13754" t="s">
        <v>6158</v>
      </c>
      <c r="H13754" s="12">
        <v>-1.0489583525661199</v>
      </c>
      <c r="I13754" s="20">
        <v>-0.266592801276333</v>
      </c>
      <c r="J13754" s="28">
        <v>0.78978269885431795</v>
      </c>
      <c r="K13754" s="29">
        <v>0.98289565623980701</v>
      </c>
    </row>
    <row r="13755" spans="1:11" x14ac:dyDescent="0.35">
      <c r="A13755" s="9" t="str">
        <f>HYPERLINK("http://www.ensembl.org/id/WBGene00004138", "WBGene00004138")</f>
        <v>WBGene00004138</v>
      </c>
      <c r="B13755" s="9" t="str">
        <f>HYPERLINK("http://www.ncbi.nlm.nih.gov/gene/179656", "179656")</f>
        <v>179656</v>
      </c>
      <c r="C13755" s="9"/>
      <c r="D13755" t="str">
        <f>"pqn-53"</f>
        <v>pqn-53</v>
      </c>
      <c r="E13755" t="s">
        <v>432</v>
      </c>
      <c r="F13755" t="s">
        <v>11</v>
      </c>
      <c r="G13755" t="s">
        <v>228</v>
      </c>
      <c r="H13755" s="12">
        <v>1.2007290209719099</v>
      </c>
      <c r="I13755" s="20">
        <v>1.0053860059483799</v>
      </c>
      <c r="J13755" s="28">
        <v>0.31471101564910903</v>
      </c>
      <c r="K13755" s="29">
        <v>0.98289565623980701</v>
      </c>
    </row>
    <row r="13756" spans="1:11" x14ac:dyDescent="0.35">
      <c r="A13756" s="9" t="str">
        <f>HYPERLINK("http://www.ensembl.org/id/WBGene00004141", "WBGene00004141")</f>
        <v>WBGene00004141</v>
      </c>
      <c r="B13756" s="9" t="str">
        <f>HYPERLINK("http://www.ncbi.nlm.nih.gov/gene/187751", "187751")</f>
        <v>187751</v>
      </c>
      <c r="C13756" s="9"/>
      <c r="D13756" t="str">
        <f>"pqn-57"</f>
        <v>pqn-57</v>
      </c>
      <c r="E13756" t="s">
        <v>4462</v>
      </c>
      <c r="F13756" t="s">
        <v>11</v>
      </c>
      <c r="G13756" t="s">
        <v>1683</v>
      </c>
      <c r="H13756" s="12">
        <v>1.9561173881285501</v>
      </c>
      <c r="I13756" s="20">
        <v>0.257782736541043</v>
      </c>
      <c r="J13756" s="28">
        <v>0.79657458856254804</v>
      </c>
      <c r="K13756" s="29">
        <v>0.98289565623980701</v>
      </c>
    </row>
    <row r="13757" spans="1:11" x14ac:dyDescent="0.35">
      <c r="A13757" s="9" t="str">
        <f>HYPERLINK("http://www.ensembl.org/id/WBGene00004143", "WBGene00004143")</f>
        <v>WBGene00004143</v>
      </c>
      <c r="B13757" s="9" t="str">
        <f>HYPERLINK("http://www.ncbi.nlm.nih.gov/gene/266819", "266819")</f>
        <v>266819</v>
      </c>
      <c r="C13757" s="9"/>
      <c r="D13757" t="str">
        <f>"pqn-59"</f>
        <v>pqn-59</v>
      </c>
      <c r="E13757" t="s">
        <v>432</v>
      </c>
      <c r="F13757" t="s">
        <v>11</v>
      </c>
      <c r="G13757" t="s">
        <v>8484</v>
      </c>
      <c r="H13757" s="12">
        <v>-1.17991369785605</v>
      </c>
      <c r="I13757" s="20">
        <v>-0.92357582478153499</v>
      </c>
      <c r="J13757" s="28">
        <v>0.35570720543899798</v>
      </c>
      <c r="K13757" s="29">
        <v>0.98289565623980701</v>
      </c>
    </row>
    <row r="13758" spans="1:11" x14ac:dyDescent="0.35">
      <c r="A13758" s="9" t="str">
        <f>HYPERLINK("http://www.ensembl.org/id/WBGene00004145", "WBGene00004145")</f>
        <v>WBGene00004145</v>
      </c>
      <c r="B13758" s="9" t="str">
        <f>HYPERLINK("http://www.ncbi.nlm.nih.gov/gene/180789", "180789")</f>
        <v>180789</v>
      </c>
      <c r="C13758" s="9"/>
      <c r="D13758" t="str">
        <f>"pqn-62"</f>
        <v>pqn-62</v>
      </c>
      <c r="E13758" t="s">
        <v>432</v>
      </c>
      <c r="F13758" t="s">
        <v>11</v>
      </c>
      <c r="H13758" s="12">
        <v>-1.1445742042477101</v>
      </c>
      <c r="I13758" s="20">
        <v>-0.63603027418908498</v>
      </c>
      <c r="J13758" s="28">
        <v>0.524756689934745</v>
      </c>
      <c r="K13758" s="29">
        <v>0.98289565623980701</v>
      </c>
    </row>
    <row r="13759" spans="1:11" x14ac:dyDescent="0.35">
      <c r="A13759" s="9" t="str">
        <f>HYPERLINK("http://www.ensembl.org/id/WBGene00004148", "WBGene00004148")</f>
        <v>WBGene00004148</v>
      </c>
      <c r="B13759" s="9" t="str">
        <f>HYPERLINK("http://www.ncbi.nlm.nih.gov/gene/180734", "180734")</f>
        <v>180734</v>
      </c>
      <c r="C13759" s="9"/>
      <c r="D13759" t="str">
        <f>"pqn-65"</f>
        <v>pqn-65</v>
      </c>
      <c r="E13759" t="s">
        <v>432</v>
      </c>
      <c r="F13759" t="s">
        <v>11</v>
      </c>
      <c r="H13759" s="12">
        <v>1.07166640669378</v>
      </c>
      <c r="I13759" s="20">
        <v>0.37099869557987503</v>
      </c>
      <c r="J13759" s="28">
        <v>0.71063850326949396</v>
      </c>
      <c r="K13759" s="29">
        <v>0.98289565623980701</v>
      </c>
    </row>
    <row r="13760" spans="1:11" x14ac:dyDescent="0.35">
      <c r="A13760" s="9" t="str">
        <f>HYPERLINK("http://www.ensembl.org/id/WBGene00004152", "WBGene00004152")</f>
        <v>WBGene00004152</v>
      </c>
      <c r="B13760" s="9" t="str">
        <f>HYPERLINK("http://www.ncbi.nlm.nih.gov/gene/179552", "179552")</f>
        <v>179552</v>
      </c>
      <c r="C13760" s="9"/>
      <c r="D13760" t="str">
        <f>"pqn-70"</f>
        <v>pqn-70</v>
      </c>
      <c r="E13760" t="s">
        <v>432</v>
      </c>
      <c r="F13760" t="s">
        <v>11</v>
      </c>
      <c r="H13760" s="12">
        <v>1.1828955570530999</v>
      </c>
      <c r="I13760" s="20">
        <v>0.89834889490720804</v>
      </c>
      <c r="J13760" s="28">
        <v>0.36899957288879098</v>
      </c>
      <c r="K13760" s="29">
        <v>0.98289565623980701</v>
      </c>
    </row>
    <row r="13761" spans="1:11" x14ac:dyDescent="0.35">
      <c r="A13761" s="9" t="str">
        <f>HYPERLINK("http://www.ensembl.org/id/WBGene00004153", "WBGene00004153")</f>
        <v>WBGene00004153</v>
      </c>
      <c r="B13761" s="9" t="str">
        <f>HYPERLINK("http://www.ncbi.nlm.nih.gov/gene/188802", "188802")</f>
        <v>188802</v>
      </c>
      <c r="C13761" s="9"/>
      <c r="D13761" t="str">
        <f>"pqn-71"</f>
        <v>pqn-71</v>
      </c>
      <c r="E13761" t="s">
        <v>432</v>
      </c>
      <c r="F13761" t="s">
        <v>11</v>
      </c>
      <c r="G13761" t="s">
        <v>54</v>
      </c>
      <c r="H13761" s="12">
        <v>1.31414607024765</v>
      </c>
      <c r="I13761" s="20">
        <v>0.371093292941929</v>
      </c>
      <c r="J13761" s="28">
        <v>0.71056804640492299</v>
      </c>
      <c r="K13761" s="29">
        <v>0.98289565623980701</v>
      </c>
    </row>
    <row r="13762" spans="1:11" x14ac:dyDescent="0.35">
      <c r="A13762" s="9" t="str">
        <f>HYPERLINK("http://www.ensembl.org/id/WBGene00004155", "WBGene00004155")</f>
        <v>WBGene00004155</v>
      </c>
      <c r="B13762" s="9" t="str">
        <f>HYPERLINK("http://www.ncbi.nlm.nih.gov/gene/174366", "174366")</f>
        <v>174366</v>
      </c>
      <c r="C13762" s="9"/>
      <c r="D13762" t="str">
        <f>"pqn-73"</f>
        <v>pqn-73</v>
      </c>
      <c r="E13762" t="s">
        <v>432</v>
      </c>
      <c r="F13762" t="s">
        <v>11</v>
      </c>
      <c r="G13762" t="s">
        <v>25</v>
      </c>
      <c r="H13762" s="12">
        <v>1.0825234852441199</v>
      </c>
      <c r="I13762" s="20">
        <v>0.29645562172539602</v>
      </c>
      <c r="J13762" s="28">
        <v>0.76688215320993103</v>
      </c>
      <c r="K13762" s="29">
        <v>0.98289565623980701</v>
      </c>
    </row>
    <row r="13763" spans="1:11" x14ac:dyDescent="0.35">
      <c r="A13763" s="9" t="str">
        <f>HYPERLINK("http://www.ensembl.org/id/WBGene00004158", "WBGene00004158")</f>
        <v>WBGene00004158</v>
      </c>
      <c r="B13763" s="9" t="str">
        <f>HYPERLINK("http://www.ncbi.nlm.nih.gov/gene/190869", "190869")</f>
        <v>190869</v>
      </c>
      <c r="C13763" s="9"/>
      <c r="D13763" t="str">
        <f>"pqn-76"</f>
        <v>pqn-76</v>
      </c>
      <c r="E13763" t="s">
        <v>432</v>
      </c>
      <c r="F13763" t="s">
        <v>11</v>
      </c>
      <c r="H13763" s="12">
        <v>2.3893468495514898</v>
      </c>
      <c r="I13763" s="20">
        <v>0.25323547253672701</v>
      </c>
      <c r="J13763" s="28">
        <v>0.80008625651646104</v>
      </c>
      <c r="K13763" s="29">
        <v>0.98289565623980701</v>
      </c>
    </row>
    <row r="13764" spans="1:11" x14ac:dyDescent="0.35">
      <c r="A13764" s="9" t="str">
        <f>HYPERLINK("http://www.ensembl.org/id/WBGene00004100", "WBGene00004100")</f>
        <v>WBGene00004100</v>
      </c>
      <c r="B13764" s="9" t="str">
        <f>HYPERLINK("http://www.ncbi.nlm.nih.gov/gene/176411", "176411")</f>
        <v>176411</v>
      </c>
      <c r="C13764" s="9"/>
      <c r="D13764" t="str">
        <f>"pqn-8"</f>
        <v>pqn-8</v>
      </c>
      <c r="E13764" t="s">
        <v>5633</v>
      </c>
      <c r="F13764" t="s">
        <v>11</v>
      </c>
      <c r="H13764" s="12">
        <v>1.13186913021238</v>
      </c>
      <c r="I13764" s="20">
        <v>0.42903265126233098</v>
      </c>
      <c r="J13764" s="28">
        <v>0.66789946323629301</v>
      </c>
      <c r="K13764" s="29">
        <v>0.98289565623980701</v>
      </c>
    </row>
    <row r="13765" spans="1:11" x14ac:dyDescent="0.35">
      <c r="A13765" s="9" t="str">
        <f>HYPERLINK("http://www.ensembl.org/id/WBGene00004161", "WBGene00004161")</f>
        <v>WBGene00004161</v>
      </c>
      <c r="B13765" s="9" t="str">
        <f>HYPERLINK("http://www.ncbi.nlm.nih.gov/gene/176683", "176683")</f>
        <v>176683</v>
      </c>
      <c r="C13765" s="9"/>
      <c r="D13765" t="str">
        <f>"pqn-80"</f>
        <v>pqn-80</v>
      </c>
      <c r="E13765" t="s">
        <v>432</v>
      </c>
      <c r="F13765" t="s">
        <v>11</v>
      </c>
      <c r="H13765" s="12">
        <v>1.24451718509045</v>
      </c>
      <c r="I13765" s="20">
        <v>1.1108435588622201</v>
      </c>
      <c r="J13765" s="28">
        <v>0.26663569337508403</v>
      </c>
      <c r="K13765" s="29">
        <v>0.98289565623980701</v>
      </c>
    </row>
    <row r="13766" spans="1:11" x14ac:dyDescent="0.35">
      <c r="A13766" s="9" t="str">
        <f>HYPERLINK("http://www.ensembl.org/id/WBGene00004163", "WBGene00004163")</f>
        <v>WBGene00004163</v>
      </c>
      <c r="B13766" s="9" t="str">
        <f>HYPERLINK("http://www.ncbi.nlm.nih.gov/gene/175330", "175330")</f>
        <v>175330</v>
      </c>
      <c r="C13766" s="9"/>
      <c r="D13766" t="str">
        <f>"pqn-82"</f>
        <v>pqn-82</v>
      </c>
      <c r="E13766" t="s">
        <v>432</v>
      </c>
      <c r="F13766" t="s">
        <v>11</v>
      </c>
      <c r="H13766" s="12">
        <v>-1.39800303627636</v>
      </c>
      <c r="I13766" s="20">
        <v>-1.08320806590706</v>
      </c>
      <c r="J13766" s="28">
        <v>0.27871608036752998</v>
      </c>
      <c r="K13766" s="29">
        <v>0.98289565623980701</v>
      </c>
    </row>
    <row r="13767" spans="1:11" x14ac:dyDescent="0.35">
      <c r="A13767" s="9" t="str">
        <f>HYPERLINK("http://www.ensembl.org/id/WBGene00004164", "WBGene00004164")</f>
        <v>WBGene00004164</v>
      </c>
      <c r="B13767" s="9" t="str">
        <f>HYPERLINK("http://www.ncbi.nlm.nih.gov/gene/176729", "176729")</f>
        <v>176729</v>
      </c>
      <c r="C13767" s="9"/>
      <c r="D13767" t="str">
        <f>"pqn-83"</f>
        <v>pqn-83</v>
      </c>
      <c r="E13767" t="s">
        <v>432</v>
      </c>
      <c r="F13767" t="s">
        <v>11</v>
      </c>
      <c r="G13767" t="s">
        <v>25</v>
      </c>
      <c r="H13767" s="12">
        <v>1.2322978830781699</v>
      </c>
      <c r="I13767" s="20">
        <v>1.10075153908722</v>
      </c>
      <c r="J13767" s="28">
        <v>0.271004808383567</v>
      </c>
      <c r="K13767" s="29">
        <v>0.98289565623980701</v>
      </c>
    </row>
    <row r="13768" spans="1:11" x14ac:dyDescent="0.35">
      <c r="A13768" s="9" t="str">
        <f>HYPERLINK("http://www.ensembl.org/id/WBGene00004165", "WBGene00004165")</f>
        <v>WBGene00004165</v>
      </c>
      <c r="B13768" s="9" t="str">
        <f>HYPERLINK("http://www.ncbi.nlm.nih.gov/gene/176601", "176601")</f>
        <v>176601</v>
      </c>
      <c r="C13768" s="9"/>
      <c r="D13768" t="str">
        <f>"pqn-84"</f>
        <v>pqn-84</v>
      </c>
      <c r="E13768" t="s">
        <v>2043</v>
      </c>
      <c r="F13768" t="s">
        <v>11</v>
      </c>
      <c r="G13768" t="s">
        <v>4290</v>
      </c>
      <c r="H13768" s="12">
        <v>3.7677886093386199</v>
      </c>
      <c r="I13768" s="20">
        <v>1.2024079097853799</v>
      </c>
      <c r="J13768" s="28">
        <v>0.229205526116599</v>
      </c>
      <c r="K13768" s="29">
        <v>0.98289565623980701</v>
      </c>
    </row>
    <row r="13769" spans="1:11" x14ac:dyDescent="0.35">
      <c r="A13769" s="9" t="str">
        <f>HYPERLINK("http://www.ensembl.org/id/WBGene00004166", "WBGene00004166")</f>
        <v>WBGene00004166</v>
      </c>
      <c r="B13769" s="9" t="str">
        <f>HYPERLINK("http://www.ncbi.nlm.nih.gov/gene/173410", "173410")</f>
        <v>173410</v>
      </c>
      <c r="C13769" s="9"/>
      <c r="D13769" t="str">
        <f>"pqn-85"</f>
        <v>pqn-85</v>
      </c>
      <c r="E13769" t="s">
        <v>6338</v>
      </c>
      <c r="F13769" t="s">
        <v>11</v>
      </c>
      <c r="G13769" t="s">
        <v>6339</v>
      </c>
      <c r="H13769" s="12">
        <v>-1.06349727275585</v>
      </c>
      <c r="I13769" s="20">
        <v>-0.32275797919584198</v>
      </c>
      <c r="J13769" s="28">
        <v>0.74687853890377198</v>
      </c>
      <c r="K13769" s="29">
        <v>0.98289565623980701</v>
      </c>
    </row>
    <row r="13770" spans="1:11" x14ac:dyDescent="0.35">
      <c r="A13770" s="9" t="str">
        <f>HYPERLINK("http://www.ensembl.org/id/WBGene00004169", "WBGene00004169")</f>
        <v>WBGene00004169</v>
      </c>
      <c r="B13770" s="9" t="str">
        <f>HYPERLINK("http://www.ncbi.nlm.nih.gov/gene/177412", "177412")</f>
        <v>177412</v>
      </c>
      <c r="C13770" s="9"/>
      <c r="D13770" t="str">
        <f>"pqn-89"</f>
        <v>pqn-89</v>
      </c>
      <c r="E13770" t="s">
        <v>432</v>
      </c>
      <c r="F13770" t="s">
        <v>11</v>
      </c>
      <c r="G13770" t="s">
        <v>25</v>
      </c>
      <c r="H13770" s="12">
        <v>-1.0553676547811699</v>
      </c>
      <c r="I13770" s="20">
        <v>-0.27223588953386502</v>
      </c>
      <c r="J13770" s="28">
        <v>0.785440647706797</v>
      </c>
      <c r="K13770" s="29">
        <v>0.98289565623980701</v>
      </c>
    </row>
    <row r="13771" spans="1:11" x14ac:dyDescent="0.35">
      <c r="A13771" s="9" t="str">
        <f>HYPERLINK("http://www.ensembl.org/id/WBGene00004171", "WBGene00004171")</f>
        <v>WBGene00004171</v>
      </c>
      <c r="B13771" s="9" t="str">
        <f>HYPERLINK("http://www.ncbi.nlm.nih.gov/gene/190672", "190672")</f>
        <v>190672</v>
      </c>
      <c r="C13771" s="9"/>
      <c r="D13771" t="str">
        <f>"pqn-91"</f>
        <v>pqn-91</v>
      </c>
      <c r="E13771" t="s">
        <v>432</v>
      </c>
      <c r="F13771" t="s">
        <v>11</v>
      </c>
      <c r="H13771" s="12">
        <v>-2.4772140472330402</v>
      </c>
      <c r="I13771" s="20">
        <v>-0.26891282500069902</v>
      </c>
      <c r="J13771" s="28">
        <v>0.78799676746418601</v>
      </c>
      <c r="K13771" s="29">
        <v>0.98289565623980701</v>
      </c>
    </row>
    <row r="13772" spans="1:11" x14ac:dyDescent="0.35">
      <c r="A13772" s="9" t="str">
        <f>HYPERLINK("http://www.ensembl.org/id/WBGene00004172", "WBGene00004172")</f>
        <v>WBGene00004172</v>
      </c>
      <c r="B13772" s="9" t="str">
        <f>HYPERLINK("http://www.ncbi.nlm.nih.gov/gene/190711", "190711")</f>
        <v>190711</v>
      </c>
      <c r="C13772" s="9"/>
      <c r="D13772" t="str">
        <f>"pqn-92"</f>
        <v>pqn-92</v>
      </c>
      <c r="E13772" t="s">
        <v>432</v>
      </c>
      <c r="F13772" t="s">
        <v>11</v>
      </c>
      <c r="H13772" s="12">
        <v>1.1514055768554201</v>
      </c>
      <c r="I13772" s="20">
        <v>0.67279047904258904</v>
      </c>
      <c r="J13772" s="28">
        <v>0.50108059574578301</v>
      </c>
      <c r="K13772" s="29">
        <v>0.98289565623980701</v>
      </c>
    </row>
    <row r="13773" spans="1:11" x14ac:dyDescent="0.35">
      <c r="A13773" s="9" t="str">
        <f>HYPERLINK("http://www.ensembl.org/id/WBGene00017070", "WBGene00017070")</f>
        <v>WBGene00017070</v>
      </c>
      <c r="B13773" s="9" t="str">
        <f>HYPERLINK("http://www.ncbi.nlm.nih.gov/gene/177637", "177637")</f>
        <v>177637</v>
      </c>
      <c r="C13773" s="9" t="str">
        <f>HYPERLINK("http://www.ncbi.nlm.nih.gov/gene/10550", "10550")</f>
        <v>10550</v>
      </c>
      <c r="D13773" t="str">
        <f>"praf-3"</f>
        <v>praf-3</v>
      </c>
      <c r="E13773" t="s">
        <v>7717</v>
      </c>
      <c r="F13773" t="s">
        <v>11</v>
      </c>
      <c r="G13773" t="s">
        <v>417</v>
      </c>
      <c r="H13773" s="12">
        <v>-1.1411941680089901</v>
      </c>
      <c r="I13773" s="20">
        <v>-0.704617587504343</v>
      </c>
      <c r="J13773" s="28">
        <v>0.48104825046981398</v>
      </c>
      <c r="K13773" s="29">
        <v>0.98289565623980701</v>
      </c>
    </row>
    <row r="13774" spans="1:11" x14ac:dyDescent="0.35">
      <c r="A13774" s="9" t="str">
        <f>HYPERLINK("http://www.ensembl.org/id/WBGene00006434", "WBGene00006434")</f>
        <v>WBGene00006434</v>
      </c>
      <c r="B13774" s="9" t="str">
        <f>HYPERLINK("http://www.ncbi.nlm.nih.gov/gene/266858", "266858")</f>
        <v>266858</v>
      </c>
      <c r="C13774" s="9" t="str">
        <f>HYPERLINK("http://www.ncbi.nlm.nih.gov/gene/7001", "7001")</f>
        <v>7001</v>
      </c>
      <c r="D13774" t="str">
        <f>"prdx-2"</f>
        <v>prdx-2</v>
      </c>
      <c r="E13774" t="s">
        <v>8448</v>
      </c>
      <c r="F13774" t="s">
        <v>11</v>
      </c>
      <c r="G13774" t="s">
        <v>9177</v>
      </c>
      <c r="H13774" s="12">
        <v>-1.2263879973159499</v>
      </c>
      <c r="I13774" s="20">
        <v>-1.14496539784809</v>
      </c>
      <c r="J13774" s="28">
        <v>0.25222349133984001</v>
      </c>
      <c r="K13774" s="29">
        <v>0.98289565623980701</v>
      </c>
    </row>
    <row r="13775" spans="1:11" x14ac:dyDescent="0.35">
      <c r="A13775" s="9" t="str">
        <f>HYPERLINK("http://www.ensembl.org/id/WBGene00011110", "WBGene00011110")</f>
        <v>WBGene00011110</v>
      </c>
      <c r="B13775" s="9" t="str">
        <f>HYPERLINK("http://www.ncbi.nlm.nih.gov/gene/175573", "175573")</f>
        <v>175573</v>
      </c>
      <c r="C13775" s="9" t="str">
        <f>HYPERLINK("http://www.ncbi.nlm.nih.gov/gene/10935", "10935")</f>
        <v>10935</v>
      </c>
      <c r="D13775" t="str">
        <f>"prdx-3"</f>
        <v>prdx-3</v>
      </c>
      <c r="E13775" t="s">
        <v>8376</v>
      </c>
      <c r="F13775" t="s">
        <v>11</v>
      </c>
      <c r="G13775" t="s">
        <v>8377</v>
      </c>
      <c r="H13775" s="12">
        <v>-1.17420011972306</v>
      </c>
      <c r="I13775" s="20">
        <v>-0.79920788306902102</v>
      </c>
      <c r="J13775" s="28">
        <v>0.42416988173030001</v>
      </c>
      <c r="K13775" s="29">
        <v>0.98289565623980701</v>
      </c>
    </row>
    <row r="13776" spans="1:11" x14ac:dyDescent="0.35">
      <c r="A13776" s="9" t="str">
        <f>HYPERLINK("http://www.ensembl.org/id/WBGene00021401", "WBGene00021401")</f>
        <v>WBGene00021401</v>
      </c>
      <c r="B13776" s="9" t="str">
        <f>HYPERLINK("http://www.ncbi.nlm.nih.gov/gene/176837", "176837")</f>
        <v>176837</v>
      </c>
      <c r="C13776" s="9" t="str">
        <f>HYPERLINK("http://www.ncbi.nlm.nih.gov/gene/9588", "9588")</f>
        <v>9588</v>
      </c>
      <c r="D13776" t="str">
        <f>"prdx-6"</f>
        <v>prdx-6</v>
      </c>
      <c r="E13776" t="s">
        <v>8448</v>
      </c>
      <c r="F13776" t="s">
        <v>11</v>
      </c>
      <c r="G13776" t="s">
        <v>8449</v>
      </c>
      <c r="H13776" s="12">
        <v>-1.1782793748092399</v>
      </c>
      <c r="I13776" s="20">
        <v>-0.69052825538961404</v>
      </c>
      <c r="J13776" s="28">
        <v>0.48986204746463102</v>
      </c>
      <c r="K13776" s="29">
        <v>0.98289565623980701</v>
      </c>
    </row>
    <row r="13777" spans="1:11" x14ac:dyDescent="0.35">
      <c r="A13777" s="9" t="str">
        <f>HYPERLINK("http://www.ensembl.org/id/WBGene00004179", "WBGene00004179")</f>
        <v>WBGene00004179</v>
      </c>
      <c r="B13777" s="9"/>
      <c r="C13777" s="9"/>
      <c r="D13777" t="str">
        <f>"prg-2"</f>
        <v>prg-2</v>
      </c>
      <c r="F13777" t="s">
        <v>80</v>
      </c>
      <c r="H13777" s="12">
        <v>-1.13703249616032</v>
      </c>
      <c r="I13777" s="20">
        <v>-0.47988324556135697</v>
      </c>
      <c r="J13777" s="28">
        <v>0.63131041536017896</v>
      </c>
      <c r="K13777" s="29">
        <v>0.98289565623980701</v>
      </c>
    </row>
    <row r="13778" spans="1:11" x14ac:dyDescent="0.35">
      <c r="A13778" s="9" t="str">
        <f>HYPERLINK("http://www.ensembl.org/id/WBGene00022391", "WBGene00022391")</f>
        <v>WBGene00022391</v>
      </c>
      <c r="B13778" s="9" t="str">
        <f>HYPERLINK("http://www.ncbi.nlm.nih.gov/gene/190810", "190810")</f>
        <v>190810</v>
      </c>
      <c r="C13778" s="9"/>
      <c r="D13778" t="str">
        <f>"prhg-1"</f>
        <v>prhg-1</v>
      </c>
      <c r="F13778" t="s">
        <v>11</v>
      </c>
      <c r="G13778" t="s">
        <v>4989</v>
      </c>
      <c r="H13778" s="12">
        <v>1.26862177611814</v>
      </c>
      <c r="I13778" s="20">
        <v>1.12240751983067</v>
      </c>
      <c r="J13778" s="28">
        <v>0.26168920861867101</v>
      </c>
      <c r="K13778" s="29">
        <v>0.98289565623980701</v>
      </c>
    </row>
    <row r="13779" spans="1:11" x14ac:dyDescent="0.35">
      <c r="A13779" s="9" t="str">
        <f>HYPERLINK("http://www.ensembl.org/id/WBGene00004180", "WBGene00004180")</f>
        <v>WBGene00004180</v>
      </c>
      <c r="B13779" s="9" t="str">
        <f>HYPERLINK("http://www.ncbi.nlm.nih.gov/gene/176358", "176358")</f>
        <v>176358</v>
      </c>
      <c r="C13779" s="9" t="str">
        <f>HYPERLINK("http://www.ncbi.nlm.nih.gov/gene/5557", "5557")</f>
        <v>5557</v>
      </c>
      <c r="D13779" t="str">
        <f>"pri-1"</f>
        <v>pri-1</v>
      </c>
      <c r="E13779" t="s">
        <v>9591</v>
      </c>
      <c r="F13779" t="s">
        <v>11</v>
      </c>
      <c r="G13779" t="s">
        <v>9592</v>
      </c>
      <c r="H13779" s="12">
        <v>-1.26205067468826</v>
      </c>
      <c r="I13779" s="20">
        <v>-0.88597923825855895</v>
      </c>
      <c r="J13779" s="28">
        <v>0.37562871509312901</v>
      </c>
      <c r="K13779" s="29">
        <v>0.98289565623980701</v>
      </c>
    </row>
    <row r="13780" spans="1:11" x14ac:dyDescent="0.35">
      <c r="A13780" s="9" t="str">
        <f>HYPERLINK("http://www.ensembl.org/id/WBGene00004182", "WBGene00004182")</f>
        <v>WBGene00004182</v>
      </c>
      <c r="B13780" s="9" t="str">
        <f>HYPERLINK("http://www.ncbi.nlm.nih.gov/gene/175980", "175980")</f>
        <v>175980</v>
      </c>
      <c r="C13780" s="9"/>
      <c r="D13780" t="str">
        <f>"prk-1"</f>
        <v>prk-1</v>
      </c>
      <c r="E13780" t="s">
        <v>5851</v>
      </c>
      <c r="F13780" t="s">
        <v>11</v>
      </c>
      <c r="G13780" t="s">
        <v>5852</v>
      </c>
      <c r="H13780" s="12">
        <v>1.09355834236597</v>
      </c>
      <c r="I13780" s="20">
        <v>0.45232127416617302</v>
      </c>
      <c r="J13780" s="28">
        <v>0.65103755210971903</v>
      </c>
      <c r="K13780" s="29">
        <v>0.98289565623980701</v>
      </c>
    </row>
    <row r="13781" spans="1:11" x14ac:dyDescent="0.35">
      <c r="A13781" s="9" t="str">
        <f>HYPERLINK("http://www.ensembl.org/id/WBGene00022727", "WBGene00022727")</f>
        <v>WBGene00022727</v>
      </c>
      <c r="B13781" s="9" t="str">
        <f>HYPERLINK("http://www.ncbi.nlm.nih.gov/gene/177463", "177463")</f>
        <v>177463</v>
      </c>
      <c r="C13781" s="9"/>
      <c r="D13781" t="str">
        <f>"prkl-1"</f>
        <v>prkl-1</v>
      </c>
      <c r="E13781" t="s">
        <v>5805</v>
      </c>
      <c r="F13781" t="s">
        <v>11</v>
      </c>
      <c r="G13781" t="s">
        <v>3465</v>
      </c>
      <c r="H13781" s="12">
        <v>1.09950716851296</v>
      </c>
      <c r="I13781" s="20">
        <v>0.44807443215237902</v>
      </c>
      <c r="J13781" s="28">
        <v>0.65409947969000304</v>
      </c>
      <c r="K13781" s="29">
        <v>0.98289565623980701</v>
      </c>
    </row>
    <row r="13782" spans="1:11" x14ac:dyDescent="0.35">
      <c r="A13782" s="9" t="str">
        <f>HYPERLINK("http://www.ensembl.org/id/WBGene00015999", "WBGene00015999")</f>
        <v>WBGene00015999</v>
      </c>
      <c r="B13782" s="9" t="str">
        <f>HYPERLINK("http://www.ncbi.nlm.nih.gov/gene/182806", "182806")</f>
        <v>182806</v>
      </c>
      <c r="C13782" s="9"/>
      <c r="D13782" t="str">
        <f>"prmt-4"</f>
        <v>prmt-4</v>
      </c>
      <c r="E13782" t="s">
        <v>9747</v>
      </c>
      <c r="F13782" t="s">
        <v>11</v>
      </c>
      <c r="H13782" s="12">
        <v>-2.3838754719136599</v>
      </c>
      <c r="I13782" s="20">
        <v>-0.25807578497976902</v>
      </c>
      <c r="J13782" s="28">
        <v>0.79634841949468704</v>
      </c>
      <c r="K13782" s="29">
        <v>0.98289565623980701</v>
      </c>
    </row>
    <row r="13783" spans="1:11" x14ac:dyDescent="0.35">
      <c r="A13783" s="9" t="str">
        <f>HYPERLINK("http://www.ensembl.org/id/WBGene00012298", "WBGene00012298")</f>
        <v>WBGene00012298</v>
      </c>
      <c r="B13783" s="9" t="str">
        <f>HYPERLINK("http://www.ncbi.nlm.nih.gov/gene/172727", "172727")</f>
        <v>172727</v>
      </c>
      <c r="C13783" s="9" t="str">
        <f>HYPERLINK("http://www.ncbi.nlm.nih.gov/gene/54496", "54496")</f>
        <v>54496</v>
      </c>
      <c r="D13783" t="str">
        <f>"prmt-7"</f>
        <v>prmt-7</v>
      </c>
      <c r="E13783" t="s">
        <v>7263</v>
      </c>
      <c r="F13783" t="s">
        <v>11</v>
      </c>
      <c r="G13783" t="s">
        <v>7264</v>
      </c>
      <c r="H13783" s="12">
        <v>-1.1161005156202899</v>
      </c>
      <c r="I13783" s="20">
        <v>-0.51850934098184498</v>
      </c>
      <c r="J13783" s="28">
        <v>0.60410294450064705</v>
      </c>
      <c r="K13783" s="29">
        <v>0.98289565623980701</v>
      </c>
    </row>
    <row r="13784" spans="1:11" x14ac:dyDescent="0.35">
      <c r="A13784" s="9" t="str">
        <f>HYPERLINK("http://www.ensembl.org/id/WBGene00011939", "WBGene00011939")</f>
        <v>WBGene00011939</v>
      </c>
      <c r="B13784" s="9" t="str">
        <f>HYPERLINK("http://www.ncbi.nlm.nih.gov/gene/178221", "178221")</f>
        <v>178221</v>
      </c>
      <c r="C13784" s="9"/>
      <c r="D13784" t="str">
        <f>"prmt-9"</f>
        <v>prmt-9</v>
      </c>
      <c r="E13784" t="s">
        <v>9747</v>
      </c>
      <c r="F13784" t="s">
        <v>11</v>
      </c>
      <c r="G13784" t="s">
        <v>9748</v>
      </c>
      <c r="H13784" s="12">
        <v>-1.29319073009009</v>
      </c>
      <c r="I13784" s="20">
        <v>-1.11356956411062</v>
      </c>
      <c r="J13784" s="28">
        <v>0.26546388958607497</v>
      </c>
      <c r="K13784" s="29">
        <v>0.98289565623980701</v>
      </c>
    </row>
    <row r="13785" spans="1:11" x14ac:dyDescent="0.35">
      <c r="A13785" s="9" t="str">
        <f>HYPERLINK("http://www.ensembl.org/id/WBGene00004185", "WBGene00004185")</f>
        <v>WBGene00004185</v>
      </c>
      <c r="B13785" s="9" t="str">
        <f>HYPERLINK("http://www.ncbi.nlm.nih.gov/gene/174622", "174622")</f>
        <v>174622</v>
      </c>
      <c r="C13785" s="9" t="str">
        <f>HYPERLINK("http://www.ncbi.nlm.nih.gov/gene/57418", "57418")</f>
        <v>57418</v>
      </c>
      <c r="D13785" t="str">
        <f>"pro-1"</f>
        <v>pro-1</v>
      </c>
      <c r="E13785" t="s">
        <v>6203</v>
      </c>
      <c r="F13785" t="s">
        <v>11</v>
      </c>
      <c r="G13785" t="s">
        <v>54</v>
      </c>
      <c r="H13785" s="12">
        <v>-1.0535512968399401</v>
      </c>
      <c r="I13785" s="20">
        <v>-0.27156122823398998</v>
      </c>
      <c r="J13785" s="28">
        <v>0.78595941479058595</v>
      </c>
      <c r="K13785" s="29">
        <v>0.98289565623980701</v>
      </c>
    </row>
    <row r="13786" spans="1:11" x14ac:dyDescent="0.35">
      <c r="A13786" s="9" t="str">
        <f>HYPERLINK("http://www.ensembl.org/id/WBGene00007413", "WBGene00007413")</f>
        <v>WBGene00007413</v>
      </c>
      <c r="B13786" s="9" t="str">
        <f>HYPERLINK("http://www.ncbi.nlm.nih.gov/gene/174598", "174598")</f>
        <v>174598</v>
      </c>
      <c r="C13786" s="9" t="str">
        <f>HYPERLINK("http://www.ncbi.nlm.nih.gov/gene/26155", "26155")</f>
        <v>26155</v>
      </c>
      <c r="D13786" t="str">
        <f>"pro-2"</f>
        <v>pro-2</v>
      </c>
      <c r="E13786" t="s">
        <v>8033</v>
      </c>
      <c r="F13786" t="s">
        <v>11</v>
      </c>
      <c r="H13786" s="12">
        <v>-1.1574848889912099</v>
      </c>
      <c r="I13786" s="20">
        <v>-0.720219302384</v>
      </c>
      <c r="J13786" s="28">
        <v>0.47138998118841902</v>
      </c>
      <c r="K13786" s="29">
        <v>0.98289565623980701</v>
      </c>
    </row>
    <row r="13787" spans="1:11" x14ac:dyDescent="0.35">
      <c r="A13787" s="9" t="str">
        <f>HYPERLINK("http://www.ensembl.org/id/WBGene00018625", "WBGene00018625")</f>
        <v>WBGene00018625</v>
      </c>
      <c r="B13787" s="9" t="str">
        <f>HYPERLINK("http://www.ncbi.nlm.nih.gov/gene/172999", "172999")</f>
        <v>172999</v>
      </c>
      <c r="C13787" s="9" t="str">
        <f>HYPERLINK("http://www.ncbi.nlm.nih.gov/gene/51362", "51362")</f>
        <v>51362</v>
      </c>
      <c r="D13787" t="str">
        <f>"prp-17"</f>
        <v>prp-17</v>
      </c>
      <c r="E13787" t="s">
        <v>7306</v>
      </c>
      <c r="F13787" t="s">
        <v>11</v>
      </c>
      <c r="G13787" t="s">
        <v>769</v>
      </c>
      <c r="H13787" s="12">
        <v>-1.1709014832973801</v>
      </c>
      <c r="I13787" s="20">
        <v>-0.72877838728558397</v>
      </c>
      <c r="J13787" s="28">
        <v>0.46613723412735097</v>
      </c>
      <c r="K13787" s="29">
        <v>0.98289565623980701</v>
      </c>
    </row>
    <row r="13788" spans="1:11" x14ac:dyDescent="0.35">
      <c r="A13788" s="9" t="str">
        <f>HYPERLINK("http://www.ensembl.org/id/WBGene00020423", "WBGene00020423")</f>
        <v>WBGene00020423</v>
      </c>
      <c r="B13788" s="9" t="str">
        <f>HYPERLINK("http://www.ncbi.nlm.nih.gov/gene/24104882", "24104882")</f>
        <v>24104882</v>
      </c>
      <c r="C13788" s="9"/>
      <c r="D13788" t="str">
        <f>"prp-19"</f>
        <v>prp-19</v>
      </c>
      <c r="E13788" t="s">
        <v>9222</v>
      </c>
      <c r="F13788" t="s">
        <v>11</v>
      </c>
      <c r="G13788" t="s">
        <v>9223</v>
      </c>
      <c r="H13788" s="12">
        <v>-1.2291295585803199</v>
      </c>
      <c r="I13788" s="20">
        <v>-0.98625702099398105</v>
      </c>
      <c r="J13788" s="28">
        <v>0.32400700447764902</v>
      </c>
      <c r="K13788" s="29">
        <v>0.98289565623980701</v>
      </c>
    </row>
    <row r="13789" spans="1:11" x14ac:dyDescent="0.35">
      <c r="A13789" s="9" t="str">
        <f>HYPERLINK("http://www.ensembl.org/id/WBGene00004188", "WBGene00004188")</f>
        <v>WBGene00004188</v>
      </c>
      <c r="B13789" s="9" t="str">
        <f>HYPERLINK("http://www.ncbi.nlm.nih.gov/gene/173440", "173440")</f>
        <v>173440</v>
      </c>
      <c r="C13789" s="9" t="str">
        <f>HYPERLINK("http://www.ncbi.nlm.nih.gov/gene/10291", "10291")</f>
        <v>10291</v>
      </c>
      <c r="D13789" t="str">
        <f>"prp-21"</f>
        <v>prp-21</v>
      </c>
      <c r="E13789" t="s">
        <v>7826</v>
      </c>
      <c r="F13789" t="s">
        <v>11</v>
      </c>
      <c r="G13789" t="s">
        <v>7827</v>
      </c>
      <c r="H13789" s="12">
        <v>-1.14698709046851</v>
      </c>
      <c r="I13789" s="20">
        <v>-0.60231427292901196</v>
      </c>
      <c r="J13789" s="28">
        <v>0.54696496184693799</v>
      </c>
      <c r="K13789" s="29">
        <v>0.98289565623980701</v>
      </c>
    </row>
    <row r="13790" spans="1:11" x14ac:dyDescent="0.35">
      <c r="A13790" s="9" t="str">
        <f>HYPERLINK("http://www.ensembl.org/id/WBGene00022458", "WBGene00022458")</f>
        <v>WBGene00022458</v>
      </c>
      <c r="B13790" s="9" t="str">
        <f>HYPERLINK("http://www.ncbi.nlm.nih.gov/gene/172146", "172146")</f>
        <v>172146</v>
      </c>
      <c r="C13790" s="9" t="str">
        <f>HYPERLINK("http://www.ncbi.nlm.nih.gov/gene/26121", "26121")</f>
        <v>26121</v>
      </c>
      <c r="D13790" t="str">
        <f>"prp-31"</f>
        <v>prp-31</v>
      </c>
      <c r="E13790" t="s">
        <v>7306</v>
      </c>
      <c r="F13790" t="s">
        <v>11</v>
      </c>
      <c r="G13790" t="s">
        <v>8763</v>
      </c>
      <c r="H13790" s="12">
        <v>-1.1947740222571199</v>
      </c>
      <c r="I13790" s="20">
        <v>-0.85278801867046095</v>
      </c>
      <c r="J13790" s="28">
        <v>0.39377686936605599</v>
      </c>
      <c r="K13790" s="29">
        <v>0.98289565623980701</v>
      </c>
    </row>
    <row r="13791" spans="1:11" x14ac:dyDescent="0.35">
      <c r="A13791" s="9" t="str">
        <f>HYPERLINK("http://www.ensembl.org/id/WBGene00008380", "WBGene00008380")</f>
        <v>WBGene00008380</v>
      </c>
      <c r="B13791" s="9" t="str">
        <f>HYPERLINK("http://www.ncbi.nlm.nih.gov/gene/179499", "179499")</f>
        <v>179499</v>
      </c>
      <c r="C13791" s="9"/>
      <c r="D13791" t="str">
        <f>"prp-38"</f>
        <v>prp-38</v>
      </c>
      <c r="E13791" t="s">
        <v>7306</v>
      </c>
      <c r="F13791" t="s">
        <v>11</v>
      </c>
      <c r="G13791" t="s">
        <v>7710</v>
      </c>
      <c r="H13791" s="12">
        <v>-1.28847434831781</v>
      </c>
      <c r="I13791" s="20">
        <v>-1.1367071105500901</v>
      </c>
      <c r="J13791" s="28">
        <v>0.25566074583824999</v>
      </c>
      <c r="K13791" s="29">
        <v>0.98289565623980701</v>
      </c>
    </row>
    <row r="13792" spans="1:11" x14ac:dyDescent="0.35">
      <c r="A13792" s="9" t="str">
        <f>HYPERLINK("http://www.ensembl.org/id/WBGene00007972", "WBGene00007972")</f>
        <v>WBGene00007972</v>
      </c>
      <c r="B13792" s="9" t="str">
        <f>HYPERLINK("http://www.ncbi.nlm.nih.gov/gene/183250", "183250")</f>
        <v>183250</v>
      </c>
      <c r="C13792" s="9" t="str">
        <f>HYPERLINK("http://www.ncbi.nlm.nih.gov/gene/9128", "9128")</f>
        <v>9128</v>
      </c>
      <c r="D13792" t="str">
        <f>"prp-4"</f>
        <v>prp-4</v>
      </c>
      <c r="E13792" t="s">
        <v>7306</v>
      </c>
      <c r="F13792" t="s">
        <v>11</v>
      </c>
      <c r="G13792" t="s">
        <v>7307</v>
      </c>
      <c r="H13792" s="12">
        <v>-1.11864772594419</v>
      </c>
      <c r="I13792" s="20">
        <v>-0.491414966189469</v>
      </c>
      <c r="J13792" s="28">
        <v>0.62313298111045001</v>
      </c>
      <c r="K13792" s="29">
        <v>0.98289565623980701</v>
      </c>
    </row>
    <row r="13793" spans="1:11" x14ac:dyDescent="0.35">
      <c r="A13793" s="9" t="str">
        <f>HYPERLINK("http://www.ensembl.org/id/WBGene00004187", "WBGene00004187")</f>
        <v>WBGene00004187</v>
      </c>
      <c r="B13793" s="9" t="str">
        <f>HYPERLINK("http://www.ncbi.nlm.nih.gov/gene/176153", "176153")</f>
        <v>176153</v>
      </c>
      <c r="C13793" s="9" t="str">
        <f>HYPERLINK("http://www.ncbi.nlm.nih.gov/gene/10594", "10594")</f>
        <v>10594</v>
      </c>
      <c r="D13793" t="str">
        <f>"prp-8"</f>
        <v>prp-8</v>
      </c>
      <c r="E13793" t="s">
        <v>6214</v>
      </c>
      <c r="F13793" t="s">
        <v>11</v>
      </c>
      <c r="G13793" t="s">
        <v>6215</v>
      </c>
      <c r="H13793" s="12">
        <v>-1.0542576462270099</v>
      </c>
      <c r="I13793" s="20">
        <v>-0.27549330881534101</v>
      </c>
      <c r="J13793" s="28">
        <v>0.78293726580238199</v>
      </c>
      <c r="K13793" s="29">
        <v>0.98289565623980701</v>
      </c>
    </row>
    <row r="13794" spans="1:11" x14ac:dyDescent="0.35">
      <c r="A13794" s="9" t="str">
        <f>HYPERLINK("http://www.ensembl.org/id/WBGene00004191", "WBGene00004191")</f>
        <v>WBGene00004191</v>
      </c>
      <c r="B13794" s="9" t="str">
        <f>HYPERLINK("http://www.ncbi.nlm.nih.gov/gene/181538", "181538")</f>
        <v>181538</v>
      </c>
      <c r="C13794" s="9"/>
      <c r="D13794" t="str">
        <f>"prx-1"</f>
        <v>prx-1</v>
      </c>
      <c r="E13794" t="s">
        <v>2484</v>
      </c>
      <c r="F13794" t="s">
        <v>11</v>
      </c>
      <c r="G13794" t="s">
        <v>5387</v>
      </c>
      <c r="H13794" s="12">
        <v>1.1767560556289201</v>
      </c>
      <c r="I13794" s="20">
        <v>0.62882919762901301</v>
      </c>
      <c r="J13794" s="28">
        <v>0.52946088276481595</v>
      </c>
      <c r="K13794" s="29">
        <v>0.98289565623980701</v>
      </c>
    </row>
    <row r="13795" spans="1:11" x14ac:dyDescent="0.35">
      <c r="A13795" s="9" t="str">
        <f>HYPERLINK("http://www.ensembl.org/id/WBGene00006946", "WBGene00006946")</f>
        <v>WBGene00006946</v>
      </c>
      <c r="B13795" s="9" t="str">
        <f>HYPERLINK("http://www.ncbi.nlm.nih.gov/gene/175719", "175719")</f>
        <v>175719</v>
      </c>
      <c r="C13795" s="9" t="str">
        <f>HYPERLINK("http://www.ncbi.nlm.nih.gov/gene/10352", "10352")</f>
        <v>10352</v>
      </c>
      <c r="D13795" t="str">
        <f>"prx-10"</f>
        <v>prx-10</v>
      </c>
      <c r="E13795" t="s">
        <v>9851</v>
      </c>
      <c r="F13795" t="s">
        <v>11</v>
      </c>
      <c r="G13795" t="s">
        <v>9852</v>
      </c>
      <c r="H13795" s="12">
        <v>-1.32864297849613</v>
      </c>
      <c r="I13795" s="20">
        <v>-1.1523797339706601</v>
      </c>
      <c r="J13795" s="28">
        <v>0.24916506508729699</v>
      </c>
      <c r="K13795" s="29">
        <v>0.98289565623980701</v>
      </c>
    </row>
    <row r="13796" spans="1:11" x14ac:dyDescent="0.35">
      <c r="A13796" s="9" t="str">
        <f>HYPERLINK("http://www.ensembl.org/id/WBGene00004197", "WBGene00004197")</f>
        <v>WBGene00004197</v>
      </c>
      <c r="B13796" s="9" t="str">
        <f>HYPERLINK("http://www.ncbi.nlm.nih.gov/gene/181331", "181331")</f>
        <v>181331</v>
      </c>
      <c r="C13796" s="9" t="str">
        <f>HYPERLINK("http://www.ncbi.nlm.nih.gov/gene/5193", "5193")</f>
        <v>5193</v>
      </c>
      <c r="D13796" t="str">
        <f>"prx-12"</f>
        <v>prx-12</v>
      </c>
      <c r="E13796" t="s">
        <v>5496</v>
      </c>
      <c r="F13796" t="s">
        <v>11</v>
      </c>
      <c r="G13796" t="s">
        <v>5497</v>
      </c>
      <c r="H13796" s="12">
        <v>1.15812642047107</v>
      </c>
      <c r="I13796" s="20">
        <v>0.57044487608230698</v>
      </c>
      <c r="J13796" s="28">
        <v>0.56837599976470599</v>
      </c>
      <c r="K13796" s="29">
        <v>0.98289565623980701</v>
      </c>
    </row>
    <row r="13797" spans="1:11" x14ac:dyDescent="0.35">
      <c r="A13797" s="9" t="str">
        <f>HYPERLINK("http://www.ensembl.org/id/WBGene00004201", "WBGene00004201")</f>
        <v>WBGene00004201</v>
      </c>
      <c r="B13797" s="9" t="str">
        <f>HYPERLINK("http://www.ncbi.nlm.nih.gov/gene/176239", "176239")</f>
        <v>176239</v>
      </c>
      <c r="C13797" s="9"/>
      <c r="D13797" t="str">
        <f>"prx-19"</f>
        <v>prx-19</v>
      </c>
      <c r="E13797" t="s">
        <v>6538</v>
      </c>
      <c r="F13797" t="s">
        <v>11</v>
      </c>
      <c r="G13797" t="s">
        <v>6539</v>
      </c>
      <c r="H13797" s="12">
        <v>-1.0749552656485399</v>
      </c>
      <c r="I13797" s="20">
        <v>-0.37889133780503897</v>
      </c>
      <c r="J13797" s="28">
        <v>0.70476855691137896</v>
      </c>
      <c r="K13797" s="29">
        <v>0.98289565623980701</v>
      </c>
    </row>
    <row r="13798" spans="1:11" x14ac:dyDescent="0.35">
      <c r="A13798" s="9" t="str">
        <f>HYPERLINK("http://www.ensembl.org/id/WBGene00004192", "WBGene00004192")</f>
        <v>WBGene00004192</v>
      </c>
      <c r="B13798" s="9" t="str">
        <f>HYPERLINK("http://www.ncbi.nlm.nih.gov/gene/178094", "178094")</f>
        <v>178094</v>
      </c>
      <c r="C13798" s="9"/>
      <c r="D13798" t="str">
        <f>"prx-2"</f>
        <v>prx-2</v>
      </c>
      <c r="E13798" t="s">
        <v>2484</v>
      </c>
      <c r="F13798" t="s">
        <v>11</v>
      </c>
      <c r="G13798" t="s">
        <v>9675</v>
      </c>
      <c r="H13798" s="12">
        <v>-1.2765644420272599</v>
      </c>
      <c r="I13798" s="20">
        <v>-0.82771577874284596</v>
      </c>
      <c r="J13798" s="28">
        <v>0.40783148105054301</v>
      </c>
      <c r="K13798" s="29">
        <v>0.98289565623980701</v>
      </c>
    </row>
    <row r="13799" spans="1:11" x14ac:dyDescent="0.35">
      <c r="A13799" s="9" t="str">
        <f>HYPERLINK("http://www.ensembl.org/id/WBGene00004193", "WBGene00004193")</f>
        <v>WBGene00004193</v>
      </c>
      <c r="B13799" s="9" t="str">
        <f>HYPERLINK("http://www.ncbi.nlm.nih.gov/gene/182644", "182644")</f>
        <v>182644</v>
      </c>
      <c r="C13799" s="9"/>
      <c r="D13799" t="str">
        <f>"prx-3"</f>
        <v>prx-3</v>
      </c>
      <c r="E13799" t="s">
        <v>2484</v>
      </c>
      <c r="F13799" t="s">
        <v>11</v>
      </c>
      <c r="G13799" t="s">
        <v>5761</v>
      </c>
      <c r="H13799" s="12">
        <v>1.1082836709127899</v>
      </c>
      <c r="I13799" s="20">
        <v>0.442833281332141</v>
      </c>
      <c r="J13799" s="28">
        <v>0.65788632862254903</v>
      </c>
      <c r="K13799" s="29">
        <v>0.98289565623980701</v>
      </c>
    </row>
    <row r="13800" spans="1:11" x14ac:dyDescent="0.35">
      <c r="A13800" s="9" t="str">
        <f>HYPERLINK("http://www.ensembl.org/id/WBGene00004194", "WBGene00004194")</f>
        <v>WBGene00004194</v>
      </c>
      <c r="B13800" s="9" t="str">
        <f>HYPERLINK("http://www.ncbi.nlm.nih.gov/gene/174392", "174392")</f>
        <v>174392</v>
      </c>
      <c r="C13800" s="9" t="str">
        <f>HYPERLINK("http://www.ncbi.nlm.nih.gov/gene/5830", "5830")</f>
        <v>5830</v>
      </c>
      <c r="D13800" t="str">
        <f>"prx-5"</f>
        <v>prx-5</v>
      </c>
      <c r="E13800" t="s">
        <v>2484</v>
      </c>
      <c r="F13800" t="s">
        <v>11</v>
      </c>
      <c r="G13800" t="s">
        <v>7758</v>
      </c>
      <c r="H13800" s="12">
        <v>-1.1426663867505999</v>
      </c>
      <c r="I13800" s="20">
        <v>-0.60247326540416202</v>
      </c>
      <c r="J13800" s="28">
        <v>0.54685915381898498</v>
      </c>
      <c r="K13800" s="29">
        <v>0.98289565623980701</v>
      </c>
    </row>
    <row r="13801" spans="1:11" x14ac:dyDescent="0.35">
      <c r="A13801" s="9" t="str">
        <f>HYPERLINK("http://www.ensembl.org/id/WBGene00004202", "WBGene00004202")</f>
        <v>WBGene00004202</v>
      </c>
      <c r="B13801" s="9" t="str">
        <f>HYPERLINK("http://www.ncbi.nlm.nih.gov/gene/173287", "173287")</f>
        <v>173287</v>
      </c>
      <c r="C13801" s="9"/>
      <c r="D13801" t="str">
        <f>"pry-1"</f>
        <v>pry-1</v>
      </c>
      <c r="E13801" t="s">
        <v>8288</v>
      </c>
      <c r="F13801" t="s">
        <v>11</v>
      </c>
      <c r="G13801" t="s">
        <v>1205</v>
      </c>
      <c r="H13801" s="12">
        <v>-1.1691016206898099</v>
      </c>
      <c r="I13801" s="20">
        <v>-0.77923651137538996</v>
      </c>
      <c r="J13801" s="28">
        <v>0.435840406051901</v>
      </c>
      <c r="K13801" s="29">
        <v>0.98289565623980701</v>
      </c>
    </row>
    <row r="13802" spans="1:11" x14ac:dyDescent="0.35">
      <c r="A13802" s="9" t="str">
        <f>HYPERLINK("http://www.ensembl.org/id/WBGene00015159", "WBGene00015159")</f>
        <v>WBGene00015159</v>
      </c>
      <c r="B13802" s="9" t="str">
        <f>HYPERLINK("http://www.ncbi.nlm.nih.gov/gene/176027", "176027")</f>
        <v>176027</v>
      </c>
      <c r="C13802" s="9" t="str">
        <f>HYPERLINK("http://www.ncbi.nlm.nih.gov/gene/23761", "23761")</f>
        <v>23761</v>
      </c>
      <c r="D13802" t="str">
        <f>"psd-1"</f>
        <v>psd-1</v>
      </c>
      <c r="E13802" t="s">
        <v>5347</v>
      </c>
      <c r="F13802" t="s">
        <v>11</v>
      </c>
      <c r="G13802" t="s">
        <v>5348</v>
      </c>
      <c r="H13802" s="12">
        <v>1.1851006596609199</v>
      </c>
      <c r="I13802" s="20">
        <v>0.91184487601926401</v>
      </c>
      <c r="J13802" s="28">
        <v>0.361850383093893</v>
      </c>
      <c r="K13802" s="29">
        <v>0.98289565623980701</v>
      </c>
    </row>
    <row r="13803" spans="1:11" x14ac:dyDescent="0.35">
      <c r="A13803" s="9" t="str">
        <f>HYPERLINK("http://www.ensembl.org/id/WBGene00016623", "WBGene00016623")</f>
        <v>WBGene00016623</v>
      </c>
      <c r="B13803" s="9" t="str">
        <f>HYPERLINK("http://www.ncbi.nlm.nih.gov/gene/24104302", "24104302")</f>
        <v>24104302</v>
      </c>
      <c r="C13803" s="9"/>
      <c r="D13803" t="str">
        <f>"psmd-9"</f>
        <v>psmd-9</v>
      </c>
      <c r="E13803" t="s">
        <v>9612</v>
      </c>
      <c r="F13803" t="s">
        <v>11</v>
      </c>
      <c r="G13803" t="s">
        <v>9613</v>
      </c>
      <c r="H13803" s="12">
        <v>-1.2645971413583901</v>
      </c>
      <c r="I13803" s="20">
        <v>-1.04960361613552</v>
      </c>
      <c r="J13803" s="28">
        <v>0.29390039381995398</v>
      </c>
      <c r="K13803" s="29">
        <v>0.98289565623980701</v>
      </c>
    </row>
    <row r="13804" spans="1:11" x14ac:dyDescent="0.35">
      <c r="A13804" s="9" t="str">
        <f>HYPERLINK("http://www.ensembl.org/id/WBGene00013920", "WBGene00013920")</f>
        <v>WBGene00013920</v>
      </c>
      <c r="B13804" s="9" t="str">
        <f>HYPERLINK("http://www.ncbi.nlm.nih.gov/gene/181211", "181211")</f>
        <v>181211</v>
      </c>
      <c r="C13804" s="9" t="str">
        <f>HYPERLINK("http://www.ncbi.nlm.nih.gov/gene/9791", "9791")</f>
        <v>9791</v>
      </c>
      <c r="D13804" t="str">
        <f>"pssy-1"</f>
        <v>pssy-1</v>
      </c>
      <c r="E13804" t="s">
        <v>695</v>
      </c>
      <c r="F13804" t="s">
        <v>11</v>
      </c>
      <c r="G13804" t="s">
        <v>696</v>
      </c>
      <c r="H13804" s="12">
        <v>-1.1062202938185</v>
      </c>
      <c r="I13804" s="20">
        <v>-0.52411650840604895</v>
      </c>
      <c r="J13804" s="28">
        <v>0.60019750710095099</v>
      </c>
      <c r="K13804" s="29">
        <v>0.98289565623980701</v>
      </c>
    </row>
    <row r="13805" spans="1:11" x14ac:dyDescent="0.35">
      <c r="A13805" s="9" t="str">
        <f>HYPERLINK("http://www.ensembl.org/id/WBGene00013041", "WBGene00013041")</f>
        <v>WBGene00013041</v>
      </c>
      <c r="B13805" s="9" t="str">
        <f>HYPERLINK("http://www.ncbi.nlm.nih.gov/gene/190070", "190070")</f>
        <v>190070</v>
      </c>
      <c r="C13805" s="9"/>
      <c r="D13805" t="str">
        <f>"pstk-1"</f>
        <v>pstk-1</v>
      </c>
      <c r="E13805" t="s">
        <v>9936</v>
      </c>
      <c r="F13805" t="s">
        <v>11</v>
      </c>
      <c r="G13805" t="s">
        <v>9937</v>
      </c>
      <c r="H13805" s="12">
        <v>-1.4276640385238699</v>
      </c>
      <c r="I13805" s="20">
        <v>-0.86358914733559899</v>
      </c>
      <c r="J13805" s="28">
        <v>0.38781362804469199</v>
      </c>
      <c r="K13805" s="29">
        <v>0.98289565623980701</v>
      </c>
    </row>
    <row r="13806" spans="1:11" x14ac:dyDescent="0.35">
      <c r="A13806" s="9" t="str">
        <f>HYPERLINK("http://www.ensembl.org/id/WBGene00004209", "WBGene00004209")</f>
        <v>WBGene00004209</v>
      </c>
      <c r="B13806" s="9" t="str">
        <f>HYPERLINK("http://www.ncbi.nlm.nih.gov/gene/191745", "191745")</f>
        <v>191745</v>
      </c>
      <c r="C13806" s="9" t="str">
        <f>HYPERLINK("http://www.ncbi.nlm.nih.gov/gene/5727", "5727")</f>
        <v>5727</v>
      </c>
      <c r="D13806" t="str">
        <f>"ptc-2"</f>
        <v>ptc-2</v>
      </c>
      <c r="E13806" t="s">
        <v>10013</v>
      </c>
      <c r="F13806" t="s">
        <v>11</v>
      </c>
      <c r="G13806" t="s">
        <v>1268</v>
      </c>
      <c r="H13806" s="12">
        <v>-1.72660588594252</v>
      </c>
      <c r="I13806" s="20">
        <v>-0.25352315916571999</v>
      </c>
      <c r="J13806" s="28">
        <v>0.79986396716920705</v>
      </c>
      <c r="K13806" s="29">
        <v>0.98289565623980701</v>
      </c>
    </row>
    <row r="13807" spans="1:11" x14ac:dyDescent="0.35">
      <c r="A13807" s="9" t="str">
        <f>HYPERLINK("http://www.ensembl.org/id/WBGene00004215", "WBGene00004215")</f>
        <v>WBGene00004215</v>
      </c>
      <c r="B13807" s="9" t="str">
        <f>HYPERLINK("http://www.ncbi.nlm.nih.gov/gene/174685", "174685")</f>
        <v>174685</v>
      </c>
      <c r="C13807" s="9" t="str">
        <f>HYPERLINK("http://www.ncbi.nlm.nih.gov/gene/5789", "5789")</f>
        <v>5789</v>
      </c>
      <c r="D13807" t="str">
        <f>"ptp-3"</f>
        <v>ptp-3</v>
      </c>
      <c r="E13807" t="s">
        <v>5335</v>
      </c>
      <c r="F13807" t="s">
        <v>11</v>
      </c>
      <c r="G13807" t="s">
        <v>5336</v>
      </c>
      <c r="H13807" s="12">
        <v>1.18647774041913</v>
      </c>
      <c r="I13807" s="20">
        <v>0.93966836701242196</v>
      </c>
      <c r="J13807" s="28">
        <v>0.34738769587449903</v>
      </c>
      <c r="K13807" s="29">
        <v>0.98289565623980701</v>
      </c>
    </row>
    <row r="13808" spans="1:11" x14ac:dyDescent="0.35">
      <c r="A13808" s="9" t="str">
        <f>HYPERLINK("http://www.ensembl.org/id/WBGene00016053", "WBGene00016053")</f>
        <v>WBGene00016053</v>
      </c>
      <c r="B13808" s="9" t="str">
        <f>HYPERLINK("http://www.ncbi.nlm.nih.gov/gene/177291", "177291")</f>
        <v>177291</v>
      </c>
      <c r="C13808" s="9"/>
      <c r="D13808" t="str">
        <f>"ptp-5.1"</f>
        <v>ptp-5.1</v>
      </c>
      <c r="F13808" t="s">
        <v>11</v>
      </c>
      <c r="G13808" t="s">
        <v>4525</v>
      </c>
      <c r="H13808" s="12">
        <v>1.76935000575529</v>
      </c>
      <c r="I13808" s="20">
        <v>0.430899045902502</v>
      </c>
      <c r="J13808" s="28">
        <v>0.66654177723149999</v>
      </c>
      <c r="K13808" s="29">
        <v>0.98289565623980701</v>
      </c>
    </row>
    <row r="13809" spans="1:11" x14ac:dyDescent="0.35">
      <c r="A13809" s="9" t="str">
        <f>HYPERLINK("http://www.ensembl.org/id/WBGene00013304", "WBGene00013304")</f>
        <v>WBGene00013304</v>
      </c>
      <c r="B13809" s="9" t="str">
        <f>HYPERLINK("http://www.ncbi.nlm.nih.gov/gene/190372", "190372")</f>
        <v>190372</v>
      </c>
      <c r="C13809" s="9"/>
      <c r="D13809" t="str">
        <f>"ptp-5.2"</f>
        <v>ptp-5.2</v>
      </c>
      <c r="F13809" t="s">
        <v>11</v>
      </c>
      <c r="G13809" t="s">
        <v>1020</v>
      </c>
      <c r="H13809" s="12">
        <v>1.5293113711986099</v>
      </c>
      <c r="I13809" s="20">
        <v>0.40190594636162502</v>
      </c>
      <c r="J13809" s="28">
        <v>0.68775324634070001</v>
      </c>
      <c r="K13809" s="29">
        <v>0.98289565623980701</v>
      </c>
    </row>
    <row r="13810" spans="1:11" x14ac:dyDescent="0.35">
      <c r="A13810" s="9" t="str">
        <f>HYPERLINK("http://www.ensembl.org/id/WBGene00021207", "WBGene00021207")</f>
        <v>WBGene00021207</v>
      </c>
      <c r="B13810" s="9" t="str">
        <f>HYPERLINK("http://www.ncbi.nlm.nih.gov/gene/171660", "171660")</f>
        <v>171660</v>
      </c>
      <c r="C13810" s="9"/>
      <c r="D13810" t="str">
        <f>"ptp-5.3"</f>
        <v>ptp-5.3</v>
      </c>
      <c r="F13810" t="s">
        <v>11</v>
      </c>
      <c r="G13810" t="s">
        <v>4312</v>
      </c>
      <c r="H13810" s="12">
        <v>3.3190446731021699</v>
      </c>
      <c r="I13810" s="20">
        <v>0.86963077422861801</v>
      </c>
      <c r="J13810" s="28">
        <v>0.38450221438598198</v>
      </c>
      <c r="K13810" s="29">
        <v>0.98289565623980701</v>
      </c>
    </row>
    <row r="13811" spans="1:11" x14ac:dyDescent="0.35">
      <c r="A13811" s="9" t="str">
        <f>HYPERLINK("http://www.ensembl.org/id/WBGene00015010", "WBGene00015010")</f>
        <v>WBGene00015010</v>
      </c>
      <c r="B13811" s="9" t="str">
        <f>HYPERLINK("http://www.ncbi.nlm.nih.gov/gene/181823", "181823")</f>
        <v>181823</v>
      </c>
      <c r="C13811" s="9" t="str">
        <f>HYPERLINK("http://www.ncbi.nlm.nih.gov/gene/5805", "5805")</f>
        <v>5805</v>
      </c>
      <c r="D13811" t="str">
        <f>"ptps-1"</f>
        <v>ptps-1</v>
      </c>
      <c r="E13811" t="s">
        <v>9372</v>
      </c>
      <c r="F13811" t="s">
        <v>11</v>
      </c>
      <c r="G13811" t="s">
        <v>9373</v>
      </c>
      <c r="H13811" s="12">
        <v>-1.24182501763569</v>
      </c>
      <c r="I13811" s="20">
        <v>-0.75970414451214896</v>
      </c>
      <c r="J13811" s="28">
        <v>0.44743145083887698</v>
      </c>
      <c r="K13811" s="29">
        <v>0.98289565623980701</v>
      </c>
    </row>
    <row r="13812" spans="1:11" x14ac:dyDescent="0.35">
      <c r="A13812" s="9" t="str">
        <f>HYPERLINK("http://www.ensembl.org/id/WBGene00004216", "WBGene00004216")</f>
        <v>WBGene00004216</v>
      </c>
      <c r="B13812" s="9" t="str">
        <f>HYPERLINK("http://www.ncbi.nlm.nih.gov/gene/191746", "191746")</f>
        <v>191746</v>
      </c>
      <c r="C13812" s="9"/>
      <c r="D13812" t="str">
        <f>"ptr-1"</f>
        <v>ptr-1</v>
      </c>
      <c r="E13812" t="s">
        <v>134</v>
      </c>
      <c r="F13812" t="s">
        <v>11</v>
      </c>
      <c r="G13812" t="s">
        <v>193</v>
      </c>
      <c r="H13812" s="12">
        <v>1.11744828088049</v>
      </c>
      <c r="I13812" s="20">
        <v>0.31082792340558502</v>
      </c>
      <c r="J13812" s="28">
        <v>0.75593144061887796</v>
      </c>
      <c r="K13812" s="29">
        <v>0.98289565623980701</v>
      </c>
    </row>
    <row r="13813" spans="1:11" x14ac:dyDescent="0.35">
      <c r="A13813" s="9" t="str">
        <f>HYPERLINK("http://www.ensembl.org/id/WBGene00004230", "WBGene00004230")</f>
        <v>WBGene00004230</v>
      </c>
      <c r="B13813" s="9" t="str">
        <f>HYPERLINK("http://www.ncbi.nlm.nih.gov/gene/191750", "191750")</f>
        <v>191750</v>
      </c>
      <c r="C13813" s="9"/>
      <c r="D13813" t="str">
        <f>"ptr-16"</f>
        <v>ptr-16</v>
      </c>
      <c r="E13813" t="s">
        <v>134</v>
      </c>
      <c r="F13813" t="s">
        <v>11</v>
      </c>
      <c r="G13813" t="s">
        <v>404</v>
      </c>
      <c r="H13813" s="12">
        <v>1.47804891000282</v>
      </c>
      <c r="I13813" s="20">
        <v>0.54274837577060098</v>
      </c>
      <c r="J13813" s="28">
        <v>0.58730306172611302</v>
      </c>
      <c r="K13813" s="29">
        <v>0.98289565623980701</v>
      </c>
    </row>
    <row r="13814" spans="1:11" x14ac:dyDescent="0.35">
      <c r="A13814" s="9" t="str">
        <f>HYPERLINK("http://www.ensembl.org/id/WBGene00004235", "WBGene00004235")</f>
        <v>WBGene00004235</v>
      </c>
      <c r="B13814" s="9" t="str">
        <f>HYPERLINK("http://www.ncbi.nlm.nih.gov/gene/191752", "191752")</f>
        <v>191752</v>
      </c>
      <c r="C13814" s="9"/>
      <c r="D13814" t="str">
        <f>"ptr-21"</f>
        <v>ptr-21</v>
      </c>
      <c r="E13814" t="s">
        <v>134</v>
      </c>
      <c r="F13814" t="s">
        <v>11</v>
      </c>
      <c r="G13814" t="s">
        <v>404</v>
      </c>
      <c r="H13814" s="12">
        <v>-1.0647513864290199</v>
      </c>
      <c r="I13814" s="20">
        <v>-0.32644914533624803</v>
      </c>
      <c r="J13814" s="28">
        <v>0.74408455964171305</v>
      </c>
      <c r="K13814" s="29">
        <v>0.98289565623980701</v>
      </c>
    </row>
    <row r="13815" spans="1:11" x14ac:dyDescent="0.35">
      <c r="A13815" s="9" t="str">
        <f>HYPERLINK("http://www.ensembl.org/id/WBGene00004238", "WBGene00004238")</f>
        <v>WBGene00004238</v>
      </c>
      <c r="B13815" s="9" t="str">
        <f>HYPERLINK("http://www.ncbi.nlm.nih.gov/gene/181456", "181456")</f>
        <v>181456</v>
      </c>
      <c r="C13815" s="9"/>
      <c r="D13815" t="str">
        <f>"ptr-24"</f>
        <v>ptr-24</v>
      </c>
      <c r="E13815" t="s">
        <v>134</v>
      </c>
      <c r="F13815" t="s">
        <v>11</v>
      </c>
      <c r="G13815" t="s">
        <v>404</v>
      </c>
      <c r="H13815" s="12">
        <v>-1.1288341712607399</v>
      </c>
      <c r="I13815" s="20">
        <v>-0.55363524162810696</v>
      </c>
      <c r="J13815" s="28">
        <v>0.57982850244218098</v>
      </c>
      <c r="K13815" s="29">
        <v>0.98289565623980701</v>
      </c>
    </row>
    <row r="13816" spans="1:11" x14ac:dyDescent="0.35">
      <c r="A13816" s="9" t="str">
        <f>HYPERLINK("http://www.ensembl.org/id/WBGene00004220", "WBGene00004220")</f>
        <v>WBGene00004220</v>
      </c>
      <c r="B13816" s="9" t="str">
        <f>HYPERLINK("http://www.ncbi.nlm.nih.gov/gene/181764", "181764")</f>
        <v>181764</v>
      </c>
      <c r="C13816" s="9"/>
      <c r="D13816" t="str">
        <f>"ptr-5"</f>
        <v>ptr-5</v>
      </c>
      <c r="E13816" t="s">
        <v>134</v>
      </c>
      <c r="F13816" t="s">
        <v>11</v>
      </c>
      <c r="G13816" t="s">
        <v>404</v>
      </c>
      <c r="H13816" s="12">
        <v>-1.2157676131211701</v>
      </c>
      <c r="I13816" s="20">
        <v>-1.04542289467745</v>
      </c>
      <c r="J13816" s="28">
        <v>0.295827559834133</v>
      </c>
      <c r="K13816" s="29">
        <v>0.98289565623980701</v>
      </c>
    </row>
    <row r="13817" spans="1:11" x14ac:dyDescent="0.35">
      <c r="A13817" s="9" t="str">
        <f>HYPERLINK("http://www.ensembl.org/id/WBGene00004223", "WBGene00004223")</f>
        <v>WBGene00004223</v>
      </c>
      <c r="B13817" s="9" t="str">
        <f>HYPERLINK("http://www.ncbi.nlm.nih.gov/gene/191747", "191747")</f>
        <v>191747</v>
      </c>
      <c r="C13817" s="9"/>
      <c r="D13817" t="str">
        <f>"ptr-9"</f>
        <v>ptr-9</v>
      </c>
      <c r="E13817" t="s">
        <v>4340</v>
      </c>
      <c r="F13817" t="s">
        <v>11</v>
      </c>
      <c r="G13817" t="s">
        <v>1268</v>
      </c>
      <c r="H13817" s="12">
        <v>2.8877030845892002</v>
      </c>
      <c r="I13817" s="20">
        <v>0.94685656420402797</v>
      </c>
      <c r="J13817" s="28">
        <v>0.343711873906348</v>
      </c>
      <c r="K13817" s="29">
        <v>0.98289565623980701</v>
      </c>
    </row>
    <row r="13818" spans="1:11" x14ac:dyDescent="0.35">
      <c r="A13818" s="9" t="str">
        <f>HYPERLINK("http://www.ensembl.org/id/WBGene00004121", "WBGene00004121")</f>
        <v>WBGene00004121</v>
      </c>
      <c r="B13818" s="9" t="str">
        <f>HYPERLINK("http://www.ncbi.nlm.nih.gov/gene/181743", "181743")</f>
        <v>181743</v>
      </c>
      <c r="C13818" s="9"/>
      <c r="D13818" t="str">
        <f>"ptrn-1"</f>
        <v>ptrn-1</v>
      </c>
      <c r="E13818" t="s">
        <v>5041</v>
      </c>
      <c r="F13818" t="s">
        <v>11</v>
      </c>
      <c r="G13818" t="s">
        <v>5042</v>
      </c>
      <c r="H13818" s="12">
        <v>1.25319867004167</v>
      </c>
      <c r="I13818" s="20">
        <v>1.19439057382113</v>
      </c>
      <c r="J13818" s="28">
        <v>0.23232522235243899</v>
      </c>
      <c r="K13818" s="29">
        <v>0.98289565623980701</v>
      </c>
    </row>
    <row r="13819" spans="1:11" x14ac:dyDescent="0.35">
      <c r="A13819" s="9" t="str">
        <f>HYPERLINK("http://www.ensembl.org/id/WBGene00017499", "WBGene00017499")</f>
        <v>WBGene00017499</v>
      </c>
      <c r="B13819" s="9" t="str">
        <f>HYPERLINK("http://www.ncbi.nlm.nih.gov/gene/178714", "178714")</f>
        <v>178714</v>
      </c>
      <c r="C13819" s="9"/>
      <c r="D13819" t="str">
        <f>"pud-1.1"</f>
        <v>pud-1.1</v>
      </c>
      <c r="E13819" t="s">
        <v>4437</v>
      </c>
      <c r="F13819" t="s">
        <v>11</v>
      </c>
      <c r="H13819" s="12">
        <v>-2.9937297343925802</v>
      </c>
      <c r="I13819" s="20">
        <v>-0.55255826444120004</v>
      </c>
      <c r="J13819" s="28">
        <v>0.58056592722938405</v>
      </c>
      <c r="K13819" s="29">
        <v>0.98289565623980701</v>
      </c>
    </row>
    <row r="13820" spans="1:11" x14ac:dyDescent="0.35">
      <c r="A13820" s="9" t="str">
        <f>HYPERLINK("http://www.ensembl.org/id/WBGene00017490", "WBGene00017490")</f>
        <v>WBGene00017490</v>
      </c>
      <c r="B13820" s="9" t="str">
        <f>HYPERLINK("http://www.ncbi.nlm.nih.gov/gene/178713", "178713")</f>
        <v>178713</v>
      </c>
      <c r="C13820" s="9"/>
      <c r="D13820" t="str">
        <f>"pud-2.1"</f>
        <v>pud-2.1</v>
      </c>
      <c r="E13820" t="s">
        <v>4437</v>
      </c>
      <c r="F13820" t="s">
        <v>11</v>
      </c>
      <c r="H13820" s="12">
        <v>2.14111885353377</v>
      </c>
      <c r="I13820" s="20">
        <v>0.41140047981467398</v>
      </c>
      <c r="J13820" s="28">
        <v>0.68077890214242398</v>
      </c>
      <c r="K13820" s="29">
        <v>0.98289565623980701</v>
      </c>
    </row>
    <row r="13821" spans="1:11" x14ac:dyDescent="0.35">
      <c r="A13821" s="9" t="str">
        <f>HYPERLINK("http://www.ensembl.org/id/WBGene00017500", "WBGene00017500")</f>
        <v>WBGene00017500</v>
      </c>
      <c r="B13821" s="9" t="str">
        <f>HYPERLINK("http://www.ncbi.nlm.nih.gov/gene/178710", "178710")</f>
        <v>178710</v>
      </c>
      <c r="C13821" s="9"/>
      <c r="D13821" t="str">
        <f>"pud-2.2"</f>
        <v>pud-2.2</v>
      </c>
      <c r="E13821" t="s">
        <v>4437</v>
      </c>
      <c r="F13821" t="s">
        <v>11</v>
      </c>
      <c r="H13821" s="12">
        <v>-4.0271644433061304</v>
      </c>
      <c r="I13821" s="20">
        <v>-0.47804524091721101</v>
      </c>
      <c r="J13821" s="28">
        <v>0.63261800531855095</v>
      </c>
      <c r="K13821" s="29">
        <v>0.98289565623980701</v>
      </c>
    </row>
    <row r="13822" spans="1:11" x14ac:dyDescent="0.35">
      <c r="A13822" s="9" t="str">
        <f>HYPERLINK("http://www.ensembl.org/id/WBGene00017501", "WBGene00017501")</f>
        <v>WBGene00017501</v>
      </c>
      <c r="B13822" s="9" t="str">
        <f>HYPERLINK("http://www.ncbi.nlm.nih.gov/gene/178711", "178711")</f>
        <v>178711</v>
      </c>
      <c r="C13822" s="9"/>
      <c r="D13822" t="str">
        <f>"pud-3"</f>
        <v>pud-3</v>
      </c>
      <c r="E13822" t="s">
        <v>9920</v>
      </c>
      <c r="F13822" t="s">
        <v>11</v>
      </c>
      <c r="H13822" s="12">
        <v>-1.3821899631533801</v>
      </c>
      <c r="I13822" s="20">
        <v>-1.1204337823163499</v>
      </c>
      <c r="J13822" s="28">
        <v>0.26252895573163998</v>
      </c>
      <c r="K13822" s="29">
        <v>0.98289565623980701</v>
      </c>
    </row>
    <row r="13823" spans="1:11" x14ac:dyDescent="0.35">
      <c r="A13823" s="9" t="str">
        <f>HYPERLINK("http://www.ensembl.org/id/WBGene00014165", "WBGene00014165")</f>
        <v>WBGene00014165</v>
      </c>
      <c r="B13823" s="9" t="str">
        <f>HYPERLINK("http://www.ncbi.nlm.nih.gov/gene/174572", "174572")</f>
        <v>174572</v>
      </c>
      <c r="C13823" s="9" t="str">
        <f>HYPERLINK("http://www.ncbi.nlm.nih.gov/gene/9933", "9933")</f>
        <v>9933</v>
      </c>
      <c r="D13823" t="str">
        <f>"puf-12"</f>
        <v>puf-12</v>
      </c>
      <c r="E13823" t="s">
        <v>6169</v>
      </c>
      <c r="F13823" t="s">
        <v>11</v>
      </c>
      <c r="G13823" t="s">
        <v>35</v>
      </c>
      <c r="H13823" s="12">
        <v>-1.0508561352839201</v>
      </c>
      <c r="I13823" s="20">
        <v>-0.25405409812440399</v>
      </c>
      <c r="J13823" s="28">
        <v>0.79945376449635597</v>
      </c>
      <c r="K13823" s="29">
        <v>0.98289565623980701</v>
      </c>
    </row>
    <row r="13824" spans="1:11" x14ac:dyDescent="0.35">
      <c r="A13824" s="9" t="str">
        <f>HYPERLINK("http://www.ensembl.org/id/WBGene00004240", "WBGene00004240")</f>
        <v>WBGene00004240</v>
      </c>
      <c r="B13824" s="9"/>
      <c r="C13824" s="9"/>
      <c r="D13824" t="str">
        <f>"puf-4"</f>
        <v>puf-4</v>
      </c>
      <c r="F13824" t="s">
        <v>80</v>
      </c>
      <c r="H13824" s="12">
        <v>-1.4229882984556399</v>
      </c>
      <c r="I13824" s="20">
        <v>-0.51514656915490098</v>
      </c>
      <c r="J13824" s="28">
        <v>0.60645060269168305</v>
      </c>
      <c r="K13824" s="29">
        <v>0.98289565623980701</v>
      </c>
    </row>
    <row r="13825" spans="1:11" x14ac:dyDescent="0.35">
      <c r="A13825" s="9" t="str">
        <f>HYPERLINK("http://www.ensembl.org/id/WBGene00019082", "WBGene00019082")</f>
        <v>WBGene00019082</v>
      </c>
      <c r="B13825" s="9" t="str">
        <f>HYPERLINK("http://www.ncbi.nlm.nih.gov/gene/172207", "172207")</f>
        <v>172207</v>
      </c>
      <c r="C13825" s="9"/>
      <c r="D13825" t="str">
        <f>"pup-3"</f>
        <v>pup-3</v>
      </c>
      <c r="E13825" t="s">
        <v>1316</v>
      </c>
      <c r="F13825" t="s">
        <v>11</v>
      </c>
      <c r="G13825" t="s">
        <v>2656</v>
      </c>
      <c r="H13825" s="12">
        <v>-1.08065675881309</v>
      </c>
      <c r="I13825" s="20">
        <v>-0.26031163880784403</v>
      </c>
      <c r="J13825" s="28">
        <v>0.79462339552818895</v>
      </c>
      <c r="K13825" s="29">
        <v>0.98289565623980701</v>
      </c>
    </row>
    <row r="13826" spans="1:11" x14ac:dyDescent="0.35">
      <c r="A13826" s="9" t="str">
        <f>HYPERLINK("http://www.ensembl.org/id/WBGene00004248", "WBGene00004248")</f>
        <v>WBGene00004248</v>
      </c>
      <c r="B13826" s="9" t="str">
        <f>HYPERLINK("http://www.ncbi.nlm.nih.gov/gene/180123", "180123")</f>
        <v>180123</v>
      </c>
      <c r="C13826" s="9" t="str">
        <f>HYPERLINK("http://www.ncbi.nlm.nih.gov/gene/80324", "80324")</f>
        <v>80324</v>
      </c>
      <c r="D13826" t="str">
        <f>"pus-1"</f>
        <v>pus-1</v>
      </c>
      <c r="E13826" t="s">
        <v>6575</v>
      </c>
      <c r="F13826" t="s">
        <v>11</v>
      </c>
      <c r="G13826" t="s">
        <v>9502</v>
      </c>
      <c r="H13826" s="12">
        <v>-1.25256615002727</v>
      </c>
      <c r="I13826" s="20">
        <v>-1.0632071190574599</v>
      </c>
      <c r="J13826" s="28">
        <v>0.28768803467259202</v>
      </c>
      <c r="K13826" s="29">
        <v>0.98289565623980701</v>
      </c>
    </row>
    <row r="13827" spans="1:11" x14ac:dyDescent="0.35">
      <c r="A13827" s="9" t="str">
        <f>HYPERLINK("http://www.ensembl.org/id/WBGene00004249", "WBGene00004249")</f>
        <v>WBGene00004249</v>
      </c>
      <c r="B13827" s="9" t="str">
        <f>HYPERLINK("http://www.ncbi.nlm.nih.gov/gene/175327", "175327")</f>
        <v>175327</v>
      </c>
      <c r="C13827" s="9"/>
      <c r="D13827" t="str">
        <f>"pvf-1"</f>
        <v>pvf-1</v>
      </c>
      <c r="E13827" t="s">
        <v>9698</v>
      </c>
      <c r="F13827" t="s">
        <v>11</v>
      </c>
      <c r="G13827" t="s">
        <v>9699</v>
      </c>
      <c r="H13827" s="12">
        <v>-1.28305128297557</v>
      </c>
      <c r="I13827" s="20">
        <v>-1.0905435122203899</v>
      </c>
      <c r="J13827" s="28">
        <v>0.27547379701435698</v>
      </c>
      <c r="K13827" s="29">
        <v>0.98289565623980701</v>
      </c>
    </row>
    <row r="13828" spans="1:11" x14ac:dyDescent="0.35">
      <c r="A13828" s="9" t="str">
        <f>HYPERLINK("http://www.ensembl.org/id/WBGene00004254", "WBGene00004254")</f>
        <v>WBGene00004254</v>
      </c>
      <c r="B13828" s="9" t="str">
        <f>HYPERLINK("http://www.ncbi.nlm.nih.gov/gene/177894", "177894")</f>
        <v>177894</v>
      </c>
      <c r="C13828" s="9" t="str">
        <f>HYPERLINK("http://www.ncbi.nlm.nih.gov/gene/51735", "51735")</f>
        <v>51735</v>
      </c>
      <c r="D13828" t="str">
        <f>"pxf-1"</f>
        <v>pxf-1</v>
      </c>
      <c r="E13828" t="s">
        <v>7118</v>
      </c>
      <c r="F13828" t="s">
        <v>11</v>
      </c>
      <c r="G13828" t="s">
        <v>7119</v>
      </c>
      <c r="H13828" s="12">
        <v>-1.1078025197618899</v>
      </c>
      <c r="I13828" s="20">
        <v>-0.53272386959223395</v>
      </c>
      <c r="J13828" s="28">
        <v>0.59422474034458095</v>
      </c>
      <c r="K13828" s="29">
        <v>0.98289565623980701</v>
      </c>
    </row>
    <row r="13829" spans="1:11" x14ac:dyDescent="0.35">
      <c r="A13829" s="9" t="str">
        <f>HYPERLINK("http://www.ensembl.org/id/WBGene00016197", "WBGene00016197")</f>
        <v>WBGene00016197</v>
      </c>
      <c r="B13829" s="9" t="str">
        <f>HYPERLINK("http://www.ncbi.nlm.nih.gov/gene/175831", "175831")</f>
        <v>175831</v>
      </c>
      <c r="C13829" s="9"/>
      <c r="D13829" t="str">
        <f>"pxl-1"</f>
        <v>pxl-1</v>
      </c>
      <c r="E13829" t="s">
        <v>5938</v>
      </c>
      <c r="F13829" t="s">
        <v>11</v>
      </c>
      <c r="H13829" s="12">
        <v>1.0821874319507301</v>
      </c>
      <c r="I13829" s="20">
        <v>0.40550406480657297</v>
      </c>
      <c r="J13829" s="28">
        <v>0.68510703116180904</v>
      </c>
      <c r="K13829" s="29">
        <v>0.98289565623980701</v>
      </c>
    </row>
    <row r="13830" spans="1:11" x14ac:dyDescent="0.35">
      <c r="A13830" s="9" t="str">
        <f>HYPERLINK("http://www.ensembl.org/id/WBGene00009126", "WBGene00009126")</f>
        <v>WBGene00009126</v>
      </c>
      <c r="B13830" s="9" t="str">
        <f>HYPERLINK("http://www.ncbi.nlm.nih.gov/gene/172744", "172744")</f>
        <v>172744</v>
      </c>
      <c r="C13830" s="9" t="str">
        <f>HYPERLINK("http://www.ncbi.nlm.nih.gov/gene/5315", "5315")</f>
        <v>5315</v>
      </c>
      <c r="D13830" t="str">
        <f>"pyk-1"</f>
        <v>pyk-1</v>
      </c>
      <c r="E13830" t="s">
        <v>6162</v>
      </c>
      <c r="F13830" t="s">
        <v>11</v>
      </c>
      <c r="G13830" t="s">
        <v>6163</v>
      </c>
      <c r="H13830" s="12">
        <v>-1.0499576410101299</v>
      </c>
      <c r="I13830" s="20">
        <v>-0.26468671376282199</v>
      </c>
      <c r="J13830" s="28">
        <v>0.79125081344353299</v>
      </c>
      <c r="K13830" s="29">
        <v>0.98289565623980701</v>
      </c>
    </row>
    <row r="13831" spans="1:11" x14ac:dyDescent="0.35">
      <c r="A13831" s="9" t="str">
        <f>HYPERLINK("http://www.ensembl.org/id/WBGene00014001", "WBGene00014001")</f>
        <v>WBGene00014001</v>
      </c>
      <c r="B13831" s="9" t="str">
        <f>HYPERLINK("http://www.ncbi.nlm.nih.gov/gene/177984", "177984")</f>
        <v>177984</v>
      </c>
      <c r="C13831" s="9" t="str">
        <f>HYPERLINK("http://www.ncbi.nlm.nih.gov/gene/5315", "5315")</f>
        <v>5315</v>
      </c>
      <c r="D13831" t="str">
        <f>"pyk-2"</f>
        <v>pyk-2</v>
      </c>
      <c r="E13831" t="s">
        <v>6162</v>
      </c>
      <c r="F13831" t="s">
        <v>11</v>
      </c>
      <c r="G13831" t="s">
        <v>9325</v>
      </c>
      <c r="H13831" s="12">
        <v>-1.23834591041536</v>
      </c>
      <c r="I13831" s="20">
        <v>-1.1481113231250299</v>
      </c>
      <c r="J13831" s="28">
        <v>0.25092261034455898</v>
      </c>
      <c r="K13831" s="29">
        <v>0.98289565623980701</v>
      </c>
    </row>
    <row r="13832" spans="1:11" x14ac:dyDescent="0.35">
      <c r="A13832" s="9" t="str">
        <f>HYPERLINK("http://www.ensembl.org/id/WBGene00007698", "WBGene00007698")</f>
        <v>WBGene00007698</v>
      </c>
      <c r="B13832" s="9" t="str">
        <f>HYPERLINK("http://www.ncbi.nlm.nih.gov/gene/177900", "177900")</f>
        <v>177900</v>
      </c>
      <c r="C13832" s="9"/>
      <c r="D13832" t="str">
        <f>"qns-1"</f>
        <v>qns-1</v>
      </c>
      <c r="E13832" t="s">
        <v>7832</v>
      </c>
      <c r="F13832" t="s">
        <v>11</v>
      </c>
      <c r="G13832" t="s">
        <v>7833</v>
      </c>
      <c r="H13832" s="12">
        <v>-1.1473571155355999</v>
      </c>
      <c r="I13832" s="20">
        <v>-0.71971411651639605</v>
      </c>
      <c r="J13832" s="28">
        <v>0.47170103285444898</v>
      </c>
      <c r="K13832" s="29">
        <v>0.98289565623980701</v>
      </c>
    </row>
    <row r="13833" spans="1:11" x14ac:dyDescent="0.35">
      <c r="A13833" s="9" t="str">
        <f>HYPERLINK("http://www.ensembl.org/id/WBGene00019808", "WBGene00019808")</f>
        <v>WBGene00019808</v>
      </c>
      <c r="B13833" s="9" t="str">
        <f>HYPERLINK("http://www.ncbi.nlm.nih.gov/gene/259621", "259621")</f>
        <v>259621</v>
      </c>
      <c r="C13833" s="9"/>
      <c r="D13833" t="str">
        <f>"R01B10.6"</f>
        <v>R01B10.6</v>
      </c>
      <c r="F13833" t="s">
        <v>11</v>
      </c>
      <c r="G13833" t="s">
        <v>8219</v>
      </c>
      <c r="H13833" s="12">
        <v>-1.1663758750245601</v>
      </c>
      <c r="I13833" s="20">
        <v>-0.712807790934884</v>
      </c>
      <c r="J13833" s="28">
        <v>0.47596470393519902</v>
      </c>
      <c r="K13833" s="29">
        <v>0.98289565623980701</v>
      </c>
    </row>
    <row r="13834" spans="1:11" x14ac:dyDescent="0.35">
      <c r="A13834" s="9" t="str">
        <f>HYPERLINK("http://www.ensembl.org/id/WBGene00200055", "WBGene00200055")</f>
        <v>WBGene00200055</v>
      </c>
      <c r="B13834" s="9"/>
      <c r="C13834" s="9"/>
      <c r="D13834" t="str">
        <f>"R01E6.16"</f>
        <v>R01E6.16</v>
      </c>
      <c r="F13834" t="s">
        <v>481</v>
      </c>
      <c r="H13834" s="12">
        <v>2.4578120077400301</v>
      </c>
      <c r="I13834" s="20">
        <v>0.26093350314551</v>
      </c>
      <c r="J13834" s="28">
        <v>0.79414378780213601</v>
      </c>
      <c r="K13834" s="29">
        <v>0.98289565623980701</v>
      </c>
    </row>
    <row r="13835" spans="1:11" x14ac:dyDescent="0.35">
      <c r="A13835" s="9" t="str">
        <f>HYPERLINK("http://www.ensembl.org/id/WBGene00010971", "WBGene00010971")</f>
        <v>WBGene00010971</v>
      </c>
      <c r="B13835" s="9" t="str">
        <f>HYPERLINK("http://www.ncbi.nlm.nih.gov/gene/187507", "187507")</f>
        <v>187507</v>
      </c>
      <c r="C13835" s="9"/>
      <c r="D13835" t="str">
        <f>"R01E6.7"</f>
        <v>R01E6.7</v>
      </c>
      <c r="F13835" t="s">
        <v>11</v>
      </c>
      <c r="H13835" s="12">
        <v>1.49062201956916</v>
      </c>
      <c r="I13835" s="20">
        <v>0.91963705764330905</v>
      </c>
      <c r="J13835" s="28">
        <v>0.35776245462501699</v>
      </c>
      <c r="K13835" s="29">
        <v>0.98289565623980701</v>
      </c>
    </row>
    <row r="13836" spans="1:11" x14ac:dyDescent="0.35">
      <c r="A13836" s="9" t="str">
        <f>HYPERLINK("http://www.ensembl.org/id/WBGene00010972", "WBGene00010972")</f>
        <v>WBGene00010972</v>
      </c>
      <c r="B13836" s="9" t="str">
        <f>HYPERLINK("http://www.ncbi.nlm.nih.gov/gene/187514", "187514")</f>
        <v>187514</v>
      </c>
      <c r="C13836" s="9"/>
      <c r="D13836" t="str">
        <f>"R01H10.4"</f>
        <v>R01H10.4</v>
      </c>
      <c r="F13836" t="s">
        <v>11</v>
      </c>
      <c r="H13836" s="12">
        <v>1.4648389004770901</v>
      </c>
      <c r="I13836" s="20">
        <v>0.95089914272447496</v>
      </c>
      <c r="J13836" s="28">
        <v>0.34165557704470101</v>
      </c>
      <c r="K13836" s="29">
        <v>0.98289565623980701</v>
      </c>
    </row>
    <row r="13837" spans="1:11" x14ac:dyDescent="0.35">
      <c r="A13837" s="9" t="str">
        <f>HYPERLINK("http://www.ensembl.org/id/WBGene00019810", "WBGene00019810")</f>
        <v>WBGene00019810</v>
      </c>
      <c r="B13837" s="9" t="str">
        <f>HYPERLINK("http://www.ncbi.nlm.nih.gov/gene/187509", "187509")</f>
        <v>187509</v>
      </c>
      <c r="C13837" s="9"/>
      <c r="D13837" t="str">
        <f>"R01H2.2"</f>
        <v>R01H2.2</v>
      </c>
      <c r="F13837" t="s">
        <v>11</v>
      </c>
      <c r="H13837" s="12">
        <v>1.9674550948117899</v>
      </c>
      <c r="I13837" s="20">
        <v>0.51255207920706503</v>
      </c>
      <c r="J13837" s="28">
        <v>0.608264681549191</v>
      </c>
      <c r="K13837" s="29">
        <v>0.98289565623980701</v>
      </c>
    </row>
    <row r="13838" spans="1:11" x14ac:dyDescent="0.35">
      <c r="A13838" s="9" t="str">
        <f>HYPERLINK("http://www.ensembl.org/id/WBGene00019812", "WBGene00019812")</f>
        <v>WBGene00019812</v>
      </c>
      <c r="B13838" s="9" t="str">
        <f>HYPERLINK("http://www.ncbi.nlm.nih.gov/gene/187511", "187511")</f>
        <v>187511</v>
      </c>
      <c r="C13838" s="9"/>
      <c r="D13838" t="str">
        <f>"R01H2.4"</f>
        <v>R01H2.4</v>
      </c>
      <c r="F13838" t="s">
        <v>11</v>
      </c>
      <c r="H13838" s="12">
        <v>1.7749739119261301</v>
      </c>
      <c r="I13838" s="20">
        <v>0.41413466607535898</v>
      </c>
      <c r="J13838" s="28">
        <v>0.67877548615398497</v>
      </c>
      <c r="K13838" s="29">
        <v>0.98289565623980701</v>
      </c>
    </row>
    <row r="13839" spans="1:11" x14ac:dyDescent="0.35">
      <c r="A13839" s="9" t="str">
        <f>HYPERLINK("http://www.ensembl.org/id/WBGene00045190", "WBGene00045190")</f>
        <v>WBGene00045190</v>
      </c>
      <c r="B13839" s="9" t="str">
        <f>HYPERLINK("http://www.ncbi.nlm.nih.gov/gene/4927043", "4927043")</f>
        <v>4927043</v>
      </c>
      <c r="C13839" s="9"/>
      <c r="D13839" t="str">
        <f>"R01H2.8"</f>
        <v>R01H2.8</v>
      </c>
      <c r="F13839" t="s">
        <v>11</v>
      </c>
      <c r="G13839" t="s">
        <v>25</v>
      </c>
      <c r="H13839" s="12">
        <v>2.2363390288168898</v>
      </c>
      <c r="I13839" s="20">
        <v>0.80162329686800504</v>
      </c>
      <c r="J13839" s="28">
        <v>0.42277089722588801</v>
      </c>
      <c r="K13839" s="29">
        <v>0.98289565623980701</v>
      </c>
    </row>
    <row r="13840" spans="1:11" x14ac:dyDescent="0.35">
      <c r="A13840" s="9" t="str">
        <f>HYPERLINK("http://www.ensembl.org/id/WBGene00019814", "WBGene00019814")</f>
        <v>WBGene00019814</v>
      </c>
      <c r="B13840" s="9" t="str">
        <f>HYPERLINK("http://www.ncbi.nlm.nih.gov/gene/178550", "178550")</f>
        <v>178550</v>
      </c>
      <c r="C13840" s="9"/>
      <c r="D13840" t="str">
        <f>"R02C2.1"</f>
        <v>R02C2.1</v>
      </c>
      <c r="F13840" t="s">
        <v>11</v>
      </c>
      <c r="G13840" t="s">
        <v>7376</v>
      </c>
      <c r="H13840" s="12">
        <v>-1.1226529140033199</v>
      </c>
      <c r="I13840" s="20">
        <v>-0.27230312791976702</v>
      </c>
      <c r="J13840" s="28">
        <v>0.78538895133465503</v>
      </c>
      <c r="K13840" s="29">
        <v>0.98289565623980701</v>
      </c>
    </row>
    <row r="13841" spans="1:11" x14ac:dyDescent="0.35">
      <c r="A13841" s="9" t="str">
        <f>HYPERLINK("http://www.ensembl.org/id/WBGene00019817", "WBGene00019817")</f>
        <v>WBGene00019817</v>
      </c>
      <c r="B13841" s="9" t="str">
        <f>HYPERLINK("http://www.ncbi.nlm.nih.gov/gene/178551", "178551")</f>
        <v>178551</v>
      </c>
      <c r="C13841" s="9"/>
      <c r="D13841" t="str">
        <f>"R02C2.6"</f>
        <v>R02C2.6</v>
      </c>
      <c r="F13841" t="s">
        <v>11</v>
      </c>
      <c r="G13841" t="s">
        <v>4318</v>
      </c>
      <c r="H13841" s="12">
        <v>1.2430118994900301</v>
      </c>
      <c r="I13841" s="20">
        <v>0.43438081781517202</v>
      </c>
      <c r="J13841" s="28">
        <v>0.66401192494569306</v>
      </c>
      <c r="K13841" s="29">
        <v>0.98289565623980701</v>
      </c>
    </row>
    <row r="13842" spans="1:11" x14ac:dyDescent="0.35">
      <c r="A13842" s="9" t="str">
        <f>HYPERLINK("http://www.ensembl.org/id/WBGene00255728", "WBGene00255728")</f>
        <v>WBGene00255728</v>
      </c>
      <c r="B13842" s="9"/>
      <c r="C13842" s="9"/>
      <c r="D13842" t="str">
        <f>"R02C2.8"</f>
        <v>R02C2.8</v>
      </c>
      <c r="F13842" t="s">
        <v>80</v>
      </c>
      <c r="H13842" s="12">
        <v>6.2514608453248997</v>
      </c>
      <c r="I13842" s="20">
        <v>0.54591286118210802</v>
      </c>
      <c r="J13842" s="28">
        <v>0.58512583723197797</v>
      </c>
      <c r="K13842" s="29">
        <v>0.98289565623980701</v>
      </c>
    </row>
    <row r="13843" spans="1:11" x14ac:dyDescent="0.35">
      <c r="A13843" s="9" t="str">
        <f>HYPERLINK("http://www.ensembl.org/id/WBGene00019822", "WBGene00019822")</f>
        <v>WBGene00019822</v>
      </c>
      <c r="B13843" s="9" t="str">
        <f>HYPERLINK("http://www.ncbi.nlm.nih.gov/gene/176839", "176839")</f>
        <v>176839</v>
      </c>
      <c r="C13843" s="9" t="str">
        <f>HYPERLINK("http://www.ncbi.nlm.nih.gov/gene/55726", "55726")</f>
        <v>55726</v>
      </c>
      <c r="D13843" t="str">
        <f>"R02D3.4"</f>
        <v>R02D3.4</v>
      </c>
      <c r="F13843" t="s">
        <v>11</v>
      </c>
      <c r="G13843" t="s">
        <v>7581</v>
      </c>
      <c r="H13843" s="12">
        <v>-1.1341570065711399</v>
      </c>
      <c r="I13843" s="20">
        <v>-0.61044880079164998</v>
      </c>
      <c r="J13843" s="28">
        <v>0.54156454944644805</v>
      </c>
      <c r="K13843" s="29">
        <v>0.98289565623980701</v>
      </c>
    </row>
    <row r="13844" spans="1:11" x14ac:dyDescent="0.35">
      <c r="A13844" s="9" t="str">
        <f>HYPERLINK("http://www.ensembl.org/id/WBGene00019824", "WBGene00019824")</f>
        <v>WBGene00019824</v>
      </c>
      <c r="B13844" s="9" t="str">
        <f>HYPERLINK("http://www.ncbi.nlm.nih.gov/gene/176844", "176844")</f>
        <v>176844</v>
      </c>
      <c r="C13844" s="9"/>
      <c r="D13844" t="str">
        <f>"R02D3.7"</f>
        <v>R02D3.7</v>
      </c>
      <c r="F13844" t="s">
        <v>11</v>
      </c>
      <c r="H13844" s="12">
        <v>-1.2866430966465601</v>
      </c>
      <c r="I13844" s="20">
        <v>-1.16695357586697</v>
      </c>
      <c r="J13844" s="28">
        <v>0.24322911798474101</v>
      </c>
      <c r="K13844" s="29">
        <v>0.98289565623980701</v>
      </c>
    </row>
    <row r="13845" spans="1:11" x14ac:dyDescent="0.35">
      <c r="A13845" s="9" t="str">
        <f>HYPERLINK("http://www.ensembl.org/id/WBGene00194788", "WBGene00194788")</f>
        <v>WBGene00194788</v>
      </c>
      <c r="B13845" s="9" t="str">
        <f>HYPERLINK("http://www.ncbi.nlm.nih.gov/gene/13216575", "13216575")</f>
        <v>13216575</v>
      </c>
      <c r="C13845" s="9"/>
      <c r="D13845" t="str">
        <f>"R02D5.10"</f>
        <v>R02D5.10</v>
      </c>
      <c r="F13845" t="s">
        <v>11</v>
      </c>
      <c r="H13845" s="12">
        <v>-4.26687764763484</v>
      </c>
      <c r="I13845" s="20">
        <v>-0.61688381460044195</v>
      </c>
      <c r="J13845" s="28">
        <v>0.53731136327246698</v>
      </c>
      <c r="K13845" s="29">
        <v>0.98289565623980701</v>
      </c>
    </row>
    <row r="13846" spans="1:11" x14ac:dyDescent="0.35">
      <c r="A13846" s="9" t="str">
        <f>HYPERLINK("http://www.ensembl.org/id/WBGene00196041", "WBGene00196041")</f>
        <v>WBGene00196041</v>
      </c>
      <c r="B13846" s="9"/>
      <c r="C13846" s="9"/>
      <c r="D13846" t="str">
        <f>"R02D5.11"</f>
        <v>R02D5.11</v>
      </c>
      <c r="F13846" t="s">
        <v>481</v>
      </c>
      <c r="H13846" s="12">
        <v>3.1706514592375101</v>
      </c>
      <c r="I13846" s="20">
        <v>0.44390112599266301</v>
      </c>
      <c r="J13846" s="28">
        <v>0.65711407043763304</v>
      </c>
      <c r="K13846" s="29">
        <v>0.98289565623980701</v>
      </c>
    </row>
    <row r="13847" spans="1:11" x14ac:dyDescent="0.35">
      <c r="A13847" s="9" t="str">
        <f>HYPERLINK("http://www.ensembl.org/id/WBGene00199015", "WBGene00199015")</f>
        <v>WBGene00199015</v>
      </c>
      <c r="B13847" s="9"/>
      <c r="C13847" s="9"/>
      <c r="D13847" t="str">
        <f>"R02D5.14"</f>
        <v>R02D5.14</v>
      </c>
      <c r="F13847" t="s">
        <v>481</v>
      </c>
      <c r="H13847" s="12">
        <v>8.4931602587397403</v>
      </c>
      <c r="I13847" s="20">
        <v>0.94069062912628099</v>
      </c>
      <c r="J13847" s="28">
        <v>0.34686342257757302</v>
      </c>
      <c r="K13847" s="29">
        <v>0.98289565623980701</v>
      </c>
    </row>
    <row r="13848" spans="1:11" x14ac:dyDescent="0.35">
      <c r="A13848" s="9" t="str">
        <f>HYPERLINK("http://www.ensembl.org/id/WBGene00199291", "WBGene00199291")</f>
        <v>WBGene00199291</v>
      </c>
      <c r="B13848" s="9"/>
      <c r="C13848" s="9"/>
      <c r="D13848" t="str">
        <f>"R02D5.15"</f>
        <v>R02D5.15</v>
      </c>
      <c r="F13848" t="s">
        <v>481</v>
      </c>
      <c r="H13848" s="12">
        <v>3.6645215954135</v>
      </c>
      <c r="I13848" s="20">
        <v>0.37967131826092498</v>
      </c>
      <c r="J13848" s="28">
        <v>0.70418941338960395</v>
      </c>
      <c r="K13848" s="29">
        <v>0.98289565623980701</v>
      </c>
    </row>
    <row r="13849" spans="1:11" x14ac:dyDescent="0.35">
      <c r="A13849" s="9" t="str">
        <f>HYPERLINK("http://www.ensembl.org/id/WBGene00200862", "WBGene00200862")</f>
        <v>WBGene00200862</v>
      </c>
      <c r="B13849" s="9"/>
      <c r="C13849" s="9"/>
      <c r="D13849" t="str">
        <f>"R02D5.20"</f>
        <v>R02D5.20</v>
      </c>
      <c r="F13849" t="s">
        <v>481</v>
      </c>
      <c r="H13849" s="12">
        <v>1.71741479312429</v>
      </c>
      <c r="I13849" s="20">
        <v>0.28761201736444097</v>
      </c>
      <c r="J13849" s="28">
        <v>0.77364374488588195</v>
      </c>
      <c r="K13849" s="29">
        <v>0.98289565623980701</v>
      </c>
    </row>
    <row r="13850" spans="1:11" x14ac:dyDescent="0.35">
      <c r="A13850" s="9" t="str">
        <f>HYPERLINK("http://www.ensembl.org/id/WBGene00201473", "WBGene00201473")</f>
        <v>WBGene00201473</v>
      </c>
      <c r="B13850" s="9"/>
      <c r="C13850" s="9"/>
      <c r="D13850" t="str">
        <f>"R02D5.21"</f>
        <v>R02D5.21</v>
      </c>
      <c r="F13850" t="s">
        <v>481</v>
      </c>
      <c r="H13850" s="12">
        <v>-2.32806922451122</v>
      </c>
      <c r="I13850" s="20">
        <v>-0.28296842763464503</v>
      </c>
      <c r="J13850" s="28">
        <v>0.77720103937969098</v>
      </c>
      <c r="K13850" s="29">
        <v>0.98289565623980701</v>
      </c>
    </row>
    <row r="13851" spans="1:11" x14ac:dyDescent="0.35">
      <c r="A13851" s="9" t="str">
        <f>HYPERLINK("http://www.ensembl.org/id/WBGene00201679", "WBGene00201679")</f>
        <v>WBGene00201679</v>
      </c>
      <c r="B13851" s="9"/>
      <c r="C13851" s="9"/>
      <c r="D13851" t="str">
        <f>"R02D5.22"</f>
        <v>R02D5.22</v>
      </c>
      <c r="F13851" t="s">
        <v>481</v>
      </c>
      <c r="H13851" s="12">
        <v>2.37071216927878</v>
      </c>
      <c r="I13851" s="20">
        <v>0.48086377560043198</v>
      </c>
      <c r="J13851" s="28">
        <v>0.63061331977220403</v>
      </c>
      <c r="K13851" s="29">
        <v>0.98289565623980701</v>
      </c>
    </row>
    <row r="13852" spans="1:11" x14ac:dyDescent="0.35">
      <c r="A13852" s="9" t="str">
        <f>HYPERLINK("http://www.ensembl.org/id/WBGene00202293", "WBGene00202293")</f>
        <v>WBGene00202293</v>
      </c>
      <c r="B13852" s="9"/>
      <c r="C13852" s="9"/>
      <c r="D13852" t="str">
        <f>"R02D5.23"</f>
        <v>R02D5.23</v>
      </c>
      <c r="F13852" t="s">
        <v>481</v>
      </c>
      <c r="H13852" s="12">
        <v>-2.4295389261469</v>
      </c>
      <c r="I13852" s="20">
        <v>-0.25808529976640998</v>
      </c>
      <c r="J13852" s="28">
        <v>0.79634107645457397</v>
      </c>
      <c r="K13852" s="29">
        <v>0.98289565623980701</v>
      </c>
    </row>
    <row r="13853" spans="1:11" x14ac:dyDescent="0.35">
      <c r="A13853" s="9" t="str">
        <f>HYPERLINK("http://www.ensembl.org/id/WBGene00235335", "WBGene00235335")</f>
        <v>WBGene00235335</v>
      </c>
      <c r="B13853" s="9" t="str">
        <f>HYPERLINK("http://www.ncbi.nlm.nih.gov/gene/24104786", "24104786")</f>
        <v>24104786</v>
      </c>
      <c r="C13853" s="9"/>
      <c r="D13853" t="str">
        <f>"R02D5.24"</f>
        <v>R02D5.24</v>
      </c>
      <c r="F13853" t="s">
        <v>11</v>
      </c>
      <c r="H13853" s="12">
        <v>-3.8117711228402902</v>
      </c>
      <c r="I13853" s="20">
        <v>-0.42004545650932301</v>
      </c>
      <c r="J13853" s="28">
        <v>0.67445224688133198</v>
      </c>
      <c r="K13853" s="29">
        <v>0.98289565623980701</v>
      </c>
    </row>
    <row r="13854" spans="1:11" x14ac:dyDescent="0.35">
      <c r="A13854" s="9" t="str">
        <f>HYPERLINK("http://www.ensembl.org/id/WBGene00010978", "WBGene00010978")</f>
        <v>WBGene00010978</v>
      </c>
      <c r="B13854" s="9" t="str">
        <f>HYPERLINK("http://www.ncbi.nlm.nih.gov/gene/187522", "187522")</f>
        <v>187522</v>
      </c>
      <c r="C13854" s="9"/>
      <c r="D13854" t="str">
        <f>"R02D5.4"</f>
        <v>R02D5.4</v>
      </c>
      <c r="F13854" t="s">
        <v>11</v>
      </c>
      <c r="H13854" s="12">
        <v>-1.3218712319385</v>
      </c>
      <c r="I13854" s="20">
        <v>-0.57124804923502503</v>
      </c>
      <c r="J13854" s="28">
        <v>0.56783151165216805</v>
      </c>
      <c r="K13854" s="29">
        <v>0.98289565623980701</v>
      </c>
    </row>
    <row r="13855" spans="1:11" x14ac:dyDescent="0.35">
      <c r="A13855" s="9" t="str">
        <f>HYPERLINK("http://www.ensembl.org/id/WBGene00050937", "WBGene00050937")</f>
        <v>WBGene00050937</v>
      </c>
      <c r="B13855" s="9" t="str">
        <f>HYPERLINK("http://www.ncbi.nlm.nih.gov/gene/6418757", "6418757")</f>
        <v>6418757</v>
      </c>
      <c r="C13855" s="9"/>
      <c r="D13855" t="str">
        <f>"R02D5.8"</f>
        <v>R02D5.8</v>
      </c>
      <c r="F13855" t="s">
        <v>11</v>
      </c>
      <c r="G13855" t="s">
        <v>8497</v>
      </c>
      <c r="H13855" s="12">
        <v>-1.18062012875911</v>
      </c>
      <c r="I13855" s="20">
        <v>-0.56756987380588897</v>
      </c>
      <c r="J13855" s="28">
        <v>0.57032706828989799</v>
      </c>
      <c r="K13855" s="29">
        <v>0.98289565623980701</v>
      </c>
    </row>
    <row r="13856" spans="1:11" x14ac:dyDescent="0.35">
      <c r="A13856" s="9" t="str">
        <f>HYPERLINK("http://www.ensembl.org/id/WBGene00077577", "WBGene00077577")</f>
        <v>WBGene00077577</v>
      </c>
      <c r="B13856" s="9" t="str">
        <f>HYPERLINK("http://www.ncbi.nlm.nih.gov/gene/6418756", "6418756")</f>
        <v>6418756</v>
      </c>
      <c r="C13856" s="9"/>
      <c r="D13856" t="str">
        <f>"R02D5.9"</f>
        <v>R02D5.9</v>
      </c>
      <c r="F13856" t="s">
        <v>11</v>
      </c>
      <c r="G13856" t="s">
        <v>25</v>
      </c>
      <c r="H13856" s="12">
        <v>-1.17701414974408</v>
      </c>
      <c r="I13856" s="20">
        <v>-0.29051580403006899</v>
      </c>
      <c r="J13856" s="28">
        <v>0.77142166201719498</v>
      </c>
      <c r="K13856" s="29">
        <v>0.98289565623980701</v>
      </c>
    </row>
    <row r="13857" spans="1:11" x14ac:dyDescent="0.35">
      <c r="A13857" s="9" t="str">
        <f>HYPERLINK("http://www.ensembl.org/id/WBGene00196426", "WBGene00196426")</f>
        <v>WBGene00196426</v>
      </c>
      <c r="B13857" s="9"/>
      <c r="C13857" s="9"/>
      <c r="D13857" t="str">
        <f>"R02E12.10"</f>
        <v>R02E12.10</v>
      </c>
      <c r="F13857" t="s">
        <v>481</v>
      </c>
      <c r="H13857" s="12">
        <v>3.5227018545059199</v>
      </c>
      <c r="I13857" s="20">
        <v>0.36849691206929103</v>
      </c>
      <c r="J13857" s="28">
        <v>0.71250274722433404</v>
      </c>
      <c r="K13857" s="29">
        <v>0.98289565623980701</v>
      </c>
    </row>
    <row r="13858" spans="1:11" x14ac:dyDescent="0.35">
      <c r="A13858" s="9" t="str">
        <f>HYPERLINK("http://www.ensembl.org/id/WBGene00303425", "WBGene00303425")</f>
        <v>WBGene00303425</v>
      </c>
      <c r="B13858" s="9"/>
      <c r="C13858" s="9"/>
      <c r="D13858" t="str">
        <f>"R02E12.12"</f>
        <v>R02E12.12</v>
      </c>
      <c r="F13858" t="s">
        <v>11</v>
      </c>
      <c r="G13858" t="s">
        <v>51</v>
      </c>
      <c r="H13858" s="12">
        <v>1.7238291401707799</v>
      </c>
      <c r="I13858" s="20">
        <v>1.0976625551172901</v>
      </c>
      <c r="J13858" s="28">
        <v>0.27235186629374503</v>
      </c>
      <c r="K13858" s="29">
        <v>0.98289565623980701</v>
      </c>
    </row>
    <row r="13859" spans="1:11" x14ac:dyDescent="0.35">
      <c r="A13859" s="9" t="str">
        <f>HYPERLINK("http://www.ensembl.org/id/WBGene00019828", "WBGene00019828")</f>
        <v>WBGene00019828</v>
      </c>
      <c r="B13859" s="9" t="str">
        <f>HYPERLINK("http://www.ncbi.nlm.nih.gov/gene/187525", "187525")</f>
        <v>187525</v>
      </c>
      <c r="C13859" s="9" t="str">
        <f>HYPERLINK("http://www.ncbi.nlm.nih.gov/gene/83659", "83659")</f>
        <v>83659</v>
      </c>
      <c r="D13859" t="str">
        <f>"R02E12.4"</f>
        <v>R02E12.4</v>
      </c>
      <c r="F13859" t="s">
        <v>11</v>
      </c>
      <c r="G13859" t="s">
        <v>4540</v>
      </c>
      <c r="H13859" s="12">
        <v>1.74582177419744</v>
      </c>
      <c r="I13859" s="20">
        <v>0.90964146536912205</v>
      </c>
      <c r="J13859" s="28">
        <v>0.36301162321824898</v>
      </c>
      <c r="K13859" s="29">
        <v>0.98289565623980701</v>
      </c>
    </row>
    <row r="13860" spans="1:11" x14ac:dyDescent="0.35">
      <c r="A13860" s="9" t="str">
        <f>HYPERLINK("http://www.ensembl.org/id/WBGene00019829", "WBGene00019829")</f>
        <v>WBGene00019829</v>
      </c>
      <c r="B13860" s="9" t="str">
        <f>HYPERLINK("http://www.ncbi.nlm.nih.gov/gene/187526", "187526")</f>
        <v>187526</v>
      </c>
      <c r="C13860" s="9"/>
      <c r="D13860" t="str">
        <f>"R02E12.5"</f>
        <v>R02E12.5</v>
      </c>
      <c r="F13860" t="s">
        <v>11</v>
      </c>
      <c r="H13860" s="12">
        <v>1.2299521332266099</v>
      </c>
      <c r="I13860" s="20">
        <v>0.81747320472588902</v>
      </c>
      <c r="J13860" s="28">
        <v>0.41365805600821198</v>
      </c>
      <c r="K13860" s="29">
        <v>0.98289565623980701</v>
      </c>
    </row>
    <row r="13861" spans="1:11" x14ac:dyDescent="0.35">
      <c r="A13861" s="9" t="str">
        <f>HYPERLINK("http://www.ensembl.org/id/WBGene00044021", "WBGene00044021")</f>
        <v>WBGene00044021</v>
      </c>
      <c r="B13861" s="9" t="str">
        <f>HYPERLINK("http://www.ncbi.nlm.nih.gov/gene/3565414", "3565414")</f>
        <v>3565414</v>
      </c>
      <c r="C13861" s="9"/>
      <c r="D13861" t="str">
        <f>"R02E4.2"</f>
        <v>R02E4.2</v>
      </c>
      <c r="F13861" t="s">
        <v>11</v>
      </c>
      <c r="G13861" t="s">
        <v>25</v>
      </c>
      <c r="H13861" s="12">
        <v>1.36656699380666</v>
      </c>
      <c r="I13861" s="20">
        <v>0.81272252516962695</v>
      </c>
      <c r="J13861" s="28">
        <v>0.41637716361114901</v>
      </c>
      <c r="K13861" s="29">
        <v>0.98289565623980701</v>
      </c>
    </row>
    <row r="13862" spans="1:11" x14ac:dyDescent="0.35">
      <c r="A13862" s="9" t="str">
        <f>HYPERLINK("http://www.ensembl.org/id/WBGene00044724", "WBGene00044724")</f>
        <v>WBGene00044724</v>
      </c>
      <c r="B13862" s="9" t="str">
        <f>HYPERLINK("http://www.ncbi.nlm.nih.gov/gene/4363121", "4363121")</f>
        <v>4363121</v>
      </c>
      <c r="C13862" s="9"/>
      <c r="D13862" t="str">
        <f>"R02E4.3"</f>
        <v>R02E4.3</v>
      </c>
      <c r="F13862" t="s">
        <v>11</v>
      </c>
      <c r="H13862" s="12">
        <v>1.1298748624598101</v>
      </c>
      <c r="I13862" s="20">
        <v>0.41419835708848302</v>
      </c>
      <c r="J13862" s="28">
        <v>0.67872884491209096</v>
      </c>
      <c r="K13862" s="29">
        <v>0.98289565623980701</v>
      </c>
    </row>
    <row r="13863" spans="1:11" x14ac:dyDescent="0.35">
      <c r="A13863" s="9" t="str">
        <f>HYPERLINK("http://www.ensembl.org/id/WBGene00235320", "WBGene00235320")</f>
        <v>WBGene00235320</v>
      </c>
      <c r="B13863" s="9" t="str">
        <f>HYPERLINK("http://www.ncbi.nlm.nih.gov/gene/24104787", "24104787")</f>
        <v>24104787</v>
      </c>
      <c r="C13863" s="9"/>
      <c r="D13863" t="str">
        <f>"R02F11.11"</f>
        <v>R02F11.11</v>
      </c>
      <c r="F13863" t="s">
        <v>11</v>
      </c>
      <c r="G13863" t="s">
        <v>25</v>
      </c>
      <c r="H13863" s="12">
        <v>3.5227018545059199</v>
      </c>
      <c r="I13863" s="20">
        <v>0.36849691206929103</v>
      </c>
      <c r="J13863" s="28">
        <v>0.71250274722433404</v>
      </c>
      <c r="K13863" s="29">
        <v>0.98289565623980701</v>
      </c>
    </row>
    <row r="13864" spans="1:11" x14ac:dyDescent="0.35">
      <c r="A13864" s="9" t="str">
        <f>HYPERLINK("http://www.ensembl.org/id/WBGene00201217", "WBGene00201217")</f>
        <v>WBGene00201217</v>
      </c>
      <c r="B13864" s="9"/>
      <c r="C13864" s="9"/>
      <c r="D13864" t="str">
        <f>"R02F11.8"</f>
        <v>R02F11.8</v>
      </c>
      <c r="F13864" t="s">
        <v>481</v>
      </c>
      <c r="H13864" s="12">
        <v>-2.4991590031922399</v>
      </c>
      <c r="I13864" s="20">
        <v>-0.26577412737581302</v>
      </c>
      <c r="J13864" s="28">
        <v>0.79041317015736101</v>
      </c>
      <c r="K13864" s="29">
        <v>0.98289565623980701</v>
      </c>
    </row>
    <row r="13865" spans="1:11" x14ac:dyDescent="0.35">
      <c r="A13865" s="9" t="str">
        <f>HYPERLINK("http://www.ensembl.org/id/WBGene00202496", "WBGene00202496")</f>
        <v>WBGene00202496</v>
      </c>
      <c r="B13865" s="9" t="str">
        <f>HYPERLINK("http://www.ncbi.nlm.nih.gov/gene/13212672", "13212672")</f>
        <v>13212672</v>
      </c>
      <c r="C13865" s="9"/>
      <c r="D13865" t="str">
        <f>"R02F11.9"</f>
        <v>R02F11.9</v>
      </c>
      <c r="F13865" t="s">
        <v>11</v>
      </c>
      <c r="G13865" t="s">
        <v>25</v>
      </c>
      <c r="H13865" s="12">
        <v>6.7698431498674303</v>
      </c>
      <c r="I13865" s="20">
        <v>0.98617531059185803</v>
      </c>
      <c r="J13865" s="28">
        <v>0.32404709254826702</v>
      </c>
      <c r="K13865" s="29">
        <v>0.98289565623980701</v>
      </c>
    </row>
    <row r="13866" spans="1:11" x14ac:dyDescent="0.35">
      <c r="A13866" s="9" t="str">
        <f>HYPERLINK("http://www.ensembl.org/id/WBGene00019836", "WBGene00019836")</f>
        <v>WBGene00019836</v>
      </c>
      <c r="B13866" s="9" t="str">
        <f>HYPERLINK("http://www.ncbi.nlm.nih.gov/gene/175754", "175754")</f>
        <v>175754</v>
      </c>
      <c r="C13866" s="9"/>
      <c r="D13866" t="str">
        <f>"R02F2.7"</f>
        <v>R02F2.7</v>
      </c>
      <c r="F13866" t="s">
        <v>11</v>
      </c>
      <c r="H13866" s="12">
        <v>-1.2962152367127999</v>
      </c>
      <c r="I13866" s="20">
        <v>-1.07473676998795</v>
      </c>
      <c r="J13866" s="28">
        <v>0.28249259638819102</v>
      </c>
      <c r="K13866" s="29">
        <v>0.98289565623980701</v>
      </c>
    </row>
    <row r="13867" spans="1:11" x14ac:dyDescent="0.35">
      <c r="A13867" s="9" t="str">
        <f>HYPERLINK("http://www.ensembl.org/id/WBGene00019838", "WBGene00019838")</f>
        <v>WBGene00019838</v>
      </c>
      <c r="B13867" s="9" t="str">
        <f>HYPERLINK("http://www.ncbi.nlm.nih.gov/gene/259963", "259963")</f>
        <v>259963</v>
      </c>
      <c r="C13867" s="9" t="str">
        <f>HYPERLINK("http://www.ncbi.nlm.nih.gov/gene/3396", "3396")</f>
        <v>3396</v>
      </c>
      <c r="D13867" t="str">
        <f>"R02F2.9"</f>
        <v>R02F2.9</v>
      </c>
      <c r="F13867" t="s">
        <v>11</v>
      </c>
      <c r="G13867" t="s">
        <v>8683</v>
      </c>
      <c r="H13867" s="12">
        <v>-1.1904912915282599</v>
      </c>
      <c r="I13867" s="20">
        <v>-0.74665401071444304</v>
      </c>
      <c r="J13867" s="28">
        <v>0.45527243691649699</v>
      </c>
      <c r="K13867" s="29">
        <v>0.98289565623980701</v>
      </c>
    </row>
    <row r="13868" spans="1:11" x14ac:dyDescent="0.35">
      <c r="A13868" s="9" t="str">
        <f>HYPERLINK("http://www.ensembl.org/id/WBGene00202056", "WBGene00202056")</f>
        <v>WBGene00202056</v>
      </c>
      <c r="B13868" s="9"/>
      <c r="C13868" s="9"/>
      <c r="D13868" t="str">
        <f>"R03A10.14"</f>
        <v>R03A10.14</v>
      </c>
      <c r="F13868" t="s">
        <v>481</v>
      </c>
      <c r="H13868" s="12">
        <v>5.4058944669092801</v>
      </c>
      <c r="I13868" s="20">
        <v>0.49762513753689303</v>
      </c>
      <c r="J13868" s="28">
        <v>0.61874828254921799</v>
      </c>
      <c r="K13868" s="29">
        <v>0.98289565623980701</v>
      </c>
    </row>
    <row r="13869" spans="1:11" x14ac:dyDescent="0.35">
      <c r="A13869" s="9" t="str">
        <f>HYPERLINK("http://www.ensembl.org/id/WBGene00010987", "WBGene00010987")</f>
        <v>WBGene00010987</v>
      </c>
      <c r="B13869" s="9" t="str">
        <f>HYPERLINK("http://www.ncbi.nlm.nih.gov/gene/175150", "175150")</f>
        <v>175150</v>
      </c>
      <c r="C13869" s="9"/>
      <c r="D13869" t="str">
        <f>"R03C1.1"</f>
        <v>R03C1.1</v>
      </c>
      <c r="F13869" t="s">
        <v>11</v>
      </c>
      <c r="H13869" s="12">
        <v>10.0632593831078</v>
      </c>
      <c r="I13869" s="20">
        <v>0.94588130211428201</v>
      </c>
      <c r="J13869" s="28">
        <v>0.344209131311217</v>
      </c>
      <c r="K13869" s="29">
        <v>0.98289565623980701</v>
      </c>
    </row>
    <row r="13870" spans="1:11" x14ac:dyDescent="0.35">
      <c r="A13870" s="9" t="str">
        <f>HYPERLINK("http://www.ensembl.org/id/WBGene00014814", "WBGene00014814")</f>
        <v>WBGene00014814</v>
      </c>
      <c r="B13870" s="9"/>
      <c r="C13870" s="9"/>
      <c r="D13870" t="str">
        <f>"R03D7.3"</f>
        <v>R03D7.3</v>
      </c>
      <c r="F13870" t="s">
        <v>80</v>
      </c>
      <c r="H13870" s="12">
        <v>2.0500022750814999</v>
      </c>
      <c r="I13870" s="20">
        <v>0.99360711798053203</v>
      </c>
      <c r="J13870" s="28">
        <v>0.32041417747064799</v>
      </c>
      <c r="K13870" s="29">
        <v>0.98289565623980701</v>
      </c>
    </row>
    <row r="13871" spans="1:11" x14ac:dyDescent="0.35">
      <c r="A13871" s="9" t="str">
        <f>HYPERLINK("http://www.ensembl.org/id/WBGene00010991", "WBGene00010991")</f>
        <v>WBGene00010991</v>
      </c>
      <c r="B13871" s="9" t="str">
        <f>HYPERLINK("http://www.ncbi.nlm.nih.gov/gene/187536", "187536")</f>
        <v>187536</v>
      </c>
      <c r="C13871" s="9"/>
      <c r="D13871" t="str">
        <f>"R03D7.5"</f>
        <v>R03D7.5</v>
      </c>
      <c r="E13871" t="s">
        <v>10095</v>
      </c>
      <c r="F13871" t="s">
        <v>11</v>
      </c>
      <c r="G13871" t="s">
        <v>10096</v>
      </c>
      <c r="H13871" s="12">
        <v>-3.4451766330355702</v>
      </c>
      <c r="I13871" s="20">
        <v>-0.69776236086994203</v>
      </c>
      <c r="J13871" s="28">
        <v>0.48532582151501502</v>
      </c>
      <c r="K13871" s="29">
        <v>0.98289565623980701</v>
      </c>
    </row>
    <row r="13872" spans="1:11" x14ac:dyDescent="0.35">
      <c r="A13872" s="9" t="str">
        <f>HYPERLINK("http://www.ensembl.org/id/WBGene00010992", "WBGene00010992")</f>
        <v>WBGene00010992</v>
      </c>
      <c r="B13872" s="9" t="str">
        <f>HYPERLINK("http://www.ncbi.nlm.nih.gov/gene/174684", "174684")</f>
        <v>174684</v>
      </c>
      <c r="C13872" s="9"/>
      <c r="D13872" t="str">
        <f>"R03D7.8"</f>
        <v>R03D7.8</v>
      </c>
      <c r="F13872" t="s">
        <v>11</v>
      </c>
      <c r="G13872" t="s">
        <v>4643</v>
      </c>
      <c r="H13872" s="12">
        <v>1.5444121485261799</v>
      </c>
      <c r="I13872" s="20">
        <v>0.29409467981665699</v>
      </c>
      <c r="J13872" s="28">
        <v>0.76868555611200495</v>
      </c>
      <c r="K13872" s="29">
        <v>0.98289565623980701</v>
      </c>
    </row>
    <row r="13873" spans="1:11" x14ac:dyDescent="0.35">
      <c r="A13873" s="9" t="str">
        <f>HYPERLINK("http://www.ensembl.org/id/WBGene00196969", "WBGene00196969")</f>
        <v>WBGene00196969</v>
      </c>
      <c r="B13873" s="9"/>
      <c r="C13873" s="9"/>
      <c r="D13873" t="str">
        <f>"R03E9.6"</f>
        <v>R03E9.6</v>
      </c>
      <c r="F13873" t="s">
        <v>481</v>
      </c>
      <c r="H13873" s="12">
        <v>2.43628531154256</v>
      </c>
      <c r="I13873" s="20">
        <v>0.26397437090349102</v>
      </c>
      <c r="J13873" s="28">
        <v>0.79179966754305298</v>
      </c>
      <c r="K13873" s="29">
        <v>0.98289565623980701</v>
      </c>
    </row>
    <row r="13874" spans="1:11" x14ac:dyDescent="0.35">
      <c r="A13874" s="9" t="str">
        <f>HYPERLINK("http://www.ensembl.org/id/WBGene00199051", "WBGene00199051")</f>
        <v>WBGene00199051</v>
      </c>
      <c r="B13874" s="9"/>
      <c r="C13874" s="9"/>
      <c r="D13874" t="str">
        <f>"R03E9.7"</f>
        <v>R03E9.7</v>
      </c>
      <c r="F13874" t="s">
        <v>481</v>
      </c>
      <c r="H13874" s="12">
        <v>4.7126261895714903</v>
      </c>
      <c r="I13874" s="20">
        <v>0.74885982485759695</v>
      </c>
      <c r="J13874" s="28">
        <v>0.45394169712659599</v>
      </c>
      <c r="K13874" s="29">
        <v>0.98289565623980701</v>
      </c>
    </row>
    <row r="13875" spans="1:11" x14ac:dyDescent="0.35">
      <c r="A13875" s="9" t="str">
        <f>HYPERLINK("http://www.ensembl.org/id/WBGene00200041", "WBGene00200041")</f>
        <v>WBGene00200041</v>
      </c>
      <c r="B13875" s="9"/>
      <c r="C13875" s="9"/>
      <c r="D13875" t="str">
        <f>"R03E9.8"</f>
        <v>R03E9.8</v>
      </c>
      <c r="F13875" t="s">
        <v>481</v>
      </c>
      <c r="H13875" s="12">
        <v>-9.6815265259172598</v>
      </c>
      <c r="I13875" s="20">
        <v>-0.67531719156077197</v>
      </c>
      <c r="J13875" s="28">
        <v>0.49947426381858001</v>
      </c>
      <c r="K13875" s="29">
        <v>0.98289565623980701</v>
      </c>
    </row>
    <row r="13876" spans="1:11" x14ac:dyDescent="0.35">
      <c r="A13876" s="9" t="str">
        <f>HYPERLINK("http://www.ensembl.org/id/WBGene00200645", "WBGene00200645")</f>
        <v>WBGene00200645</v>
      </c>
      <c r="B13876" s="9"/>
      <c r="C13876" s="9"/>
      <c r="D13876" t="str">
        <f>"R03E9.9"</f>
        <v>R03E9.9</v>
      </c>
      <c r="F13876" t="s">
        <v>481</v>
      </c>
      <c r="H13876" s="12">
        <v>-1.1752069842044099</v>
      </c>
      <c r="I13876" s="20">
        <v>-0.32271244714890301</v>
      </c>
      <c r="J13876" s="28">
        <v>0.746913024648582</v>
      </c>
      <c r="K13876" s="29">
        <v>0.98289565623980701</v>
      </c>
    </row>
    <row r="13877" spans="1:11" x14ac:dyDescent="0.35">
      <c r="A13877" s="9" t="str">
        <f>HYPERLINK("http://www.ensembl.org/id/WBGene00019847", "WBGene00019847")</f>
        <v>WBGene00019847</v>
      </c>
      <c r="B13877" s="9" t="str">
        <f>HYPERLINK("http://www.ncbi.nlm.nih.gov/gene/187543", "187543")</f>
        <v>187543</v>
      </c>
      <c r="C13877" s="9"/>
      <c r="D13877" t="str">
        <f>"R03G5.6"</f>
        <v>R03G5.6</v>
      </c>
      <c r="F13877" t="s">
        <v>11</v>
      </c>
      <c r="G13877" t="s">
        <v>25</v>
      </c>
      <c r="H13877" s="12">
        <v>-1.1717564328711001</v>
      </c>
      <c r="I13877" s="20">
        <v>-0.77376029233006904</v>
      </c>
      <c r="J13877" s="28">
        <v>0.43907255806976297</v>
      </c>
      <c r="K13877" s="29">
        <v>0.98289565623980701</v>
      </c>
    </row>
    <row r="13878" spans="1:11" x14ac:dyDescent="0.35">
      <c r="A13878" s="9" t="str">
        <f>HYPERLINK("http://www.ensembl.org/id/WBGene00010998", "WBGene00010998")</f>
        <v>WBGene00010998</v>
      </c>
      <c r="B13878" s="9" t="str">
        <f>HYPERLINK("http://www.ncbi.nlm.nih.gov/gene/181437", "181437")</f>
        <v>181437</v>
      </c>
      <c r="C13878" s="9"/>
      <c r="D13878" t="str">
        <f>"R03G8.3"</f>
        <v>R03G8.3</v>
      </c>
      <c r="F13878" t="s">
        <v>11</v>
      </c>
      <c r="G13878" t="s">
        <v>790</v>
      </c>
      <c r="H13878" s="12">
        <v>1.47592821431822</v>
      </c>
      <c r="I13878" s="20">
        <v>0.93294616189941804</v>
      </c>
      <c r="J13878" s="28">
        <v>0.35084776653486999</v>
      </c>
      <c r="K13878" s="29">
        <v>0.98289565623980701</v>
      </c>
    </row>
    <row r="13879" spans="1:11" x14ac:dyDescent="0.35">
      <c r="A13879" s="9" t="str">
        <f>HYPERLINK("http://www.ensembl.org/id/WBGene00271824", "WBGene00271824")</f>
        <v>WBGene00271824</v>
      </c>
      <c r="B13879" s="9" t="str">
        <f>HYPERLINK("http://www.ncbi.nlm.nih.gov/gene/34700642", "34700642")</f>
        <v>34700642</v>
      </c>
      <c r="C13879" s="9"/>
      <c r="D13879" t="str">
        <f>"R03H10.11"</f>
        <v>R03H10.11</v>
      </c>
      <c r="F13879" t="s">
        <v>11</v>
      </c>
      <c r="H13879" s="12">
        <v>1.15701697144751</v>
      </c>
      <c r="I13879" s="20">
        <v>0.339269147589918</v>
      </c>
      <c r="J13879" s="28">
        <v>0.73440698245170599</v>
      </c>
      <c r="K13879" s="29">
        <v>0.98289565623980701</v>
      </c>
    </row>
    <row r="13880" spans="1:11" x14ac:dyDescent="0.35">
      <c r="A13880" s="9" t="str">
        <f>HYPERLINK("http://www.ensembl.org/id/WBGene00303363", "WBGene00303363")</f>
        <v>WBGene00303363</v>
      </c>
      <c r="B13880" s="9"/>
      <c r="C13880" s="9"/>
      <c r="D13880" t="str">
        <f>"R03H10.12"</f>
        <v>R03H10.12</v>
      </c>
      <c r="F13880" t="s">
        <v>80</v>
      </c>
      <c r="H13880" s="12">
        <v>-1.24404223798142</v>
      </c>
      <c r="I13880" s="20">
        <v>-0.261878618208227</v>
      </c>
      <c r="J13880" s="28">
        <v>0.79341502469158198</v>
      </c>
      <c r="K13880" s="29">
        <v>0.98289565623980701</v>
      </c>
    </row>
    <row r="13881" spans="1:11" x14ac:dyDescent="0.35">
      <c r="A13881" s="9" t="str">
        <f>HYPERLINK("http://www.ensembl.org/id/WBGene00019855", "WBGene00019855")</f>
        <v>WBGene00019855</v>
      </c>
      <c r="B13881" s="9" t="str">
        <f>HYPERLINK("http://www.ncbi.nlm.nih.gov/gene/173751", "173751")</f>
        <v>173751</v>
      </c>
      <c r="C13881" s="9"/>
      <c r="D13881" t="str">
        <f>"R03H10.2"</f>
        <v>R03H10.2</v>
      </c>
      <c r="F13881" t="s">
        <v>11</v>
      </c>
      <c r="G13881" t="s">
        <v>25</v>
      </c>
      <c r="H13881" s="12">
        <v>1.3236719099180301</v>
      </c>
      <c r="I13881" s="20">
        <v>1.06924266795115</v>
      </c>
      <c r="J13881" s="28">
        <v>0.28496033703978202</v>
      </c>
      <c r="K13881" s="29">
        <v>0.98289565623980701</v>
      </c>
    </row>
    <row r="13882" spans="1:11" x14ac:dyDescent="0.35">
      <c r="A13882" s="9" t="str">
        <f>HYPERLINK("http://www.ensembl.org/id/WBGene00019858", "WBGene00019858")</f>
        <v>WBGene00019858</v>
      </c>
      <c r="B13882" s="9" t="str">
        <f>HYPERLINK("http://www.ncbi.nlm.nih.gov/gene/187558", "187558")</f>
        <v>187558</v>
      </c>
      <c r="C13882" s="9"/>
      <c r="D13882" t="str">
        <f>"R03H10.6"</f>
        <v>R03H10.6</v>
      </c>
      <c r="F13882" t="s">
        <v>11</v>
      </c>
      <c r="G13882" t="s">
        <v>4498</v>
      </c>
      <c r="H13882" s="12">
        <v>1.84941266098047</v>
      </c>
      <c r="I13882" s="20">
        <v>0.93746031245745798</v>
      </c>
      <c r="J13882" s="28">
        <v>0.34852182940396298</v>
      </c>
      <c r="K13882" s="29">
        <v>0.98289565623980701</v>
      </c>
    </row>
    <row r="13883" spans="1:11" x14ac:dyDescent="0.35">
      <c r="A13883" s="9" t="str">
        <f>HYPERLINK("http://www.ensembl.org/id/WBGene00023327", "WBGene00023327")</f>
        <v>WBGene00023327</v>
      </c>
      <c r="B13883" s="9"/>
      <c r="C13883" s="9"/>
      <c r="D13883" t="str">
        <f>"R03H4.8"</f>
        <v>R03H4.8</v>
      </c>
      <c r="F13883" t="s">
        <v>80</v>
      </c>
      <c r="H13883" s="12">
        <v>11.170998397396099</v>
      </c>
      <c r="I13883" s="20">
        <v>0.72284615686154896</v>
      </c>
      <c r="J13883" s="28">
        <v>0.46977440626377698</v>
      </c>
      <c r="K13883" s="29">
        <v>0.98289565623980701</v>
      </c>
    </row>
    <row r="13884" spans="1:11" x14ac:dyDescent="0.35">
      <c r="A13884" s="9" t="str">
        <f>HYPERLINK("http://www.ensembl.org/id/WBGene00019863", "WBGene00019863")</f>
        <v>WBGene00019863</v>
      </c>
      <c r="B13884" s="9" t="str">
        <f>HYPERLINK("http://www.ncbi.nlm.nih.gov/gene/187563", "187563")</f>
        <v>187563</v>
      </c>
      <c r="C13884" s="9"/>
      <c r="D13884" t="str">
        <f>"R04A9.3"</f>
        <v>R04A9.3</v>
      </c>
      <c r="F13884" t="s">
        <v>11</v>
      </c>
      <c r="H13884" s="12">
        <v>1.2574599219748701</v>
      </c>
      <c r="I13884" s="20">
        <v>0.93629167578606698</v>
      </c>
      <c r="J13884" s="28">
        <v>0.34912303287805801</v>
      </c>
      <c r="K13884" s="29">
        <v>0.98289565623980701</v>
      </c>
    </row>
    <row r="13885" spans="1:11" x14ac:dyDescent="0.35">
      <c r="A13885" s="9" t="str">
        <f>HYPERLINK("http://www.ensembl.org/id/WBGene00044281", "WBGene00044281")</f>
        <v>WBGene00044281</v>
      </c>
      <c r="B13885" s="9" t="str">
        <f>HYPERLINK("http://www.ncbi.nlm.nih.gov/gene/3565956", "3565956")</f>
        <v>3565956</v>
      </c>
      <c r="C13885" s="9"/>
      <c r="D13885" t="str">
        <f>"R04A9.7"</f>
        <v>R04A9.7</v>
      </c>
      <c r="F13885" t="s">
        <v>11</v>
      </c>
      <c r="G13885" t="s">
        <v>4709</v>
      </c>
      <c r="H13885" s="12">
        <v>1.46187568346136</v>
      </c>
      <c r="I13885" s="20">
        <v>1.1848022726460301</v>
      </c>
      <c r="J13885" s="28">
        <v>0.23609563382815499</v>
      </c>
      <c r="K13885" s="29">
        <v>0.98289565623980701</v>
      </c>
    </row>
    <row r="13886" spans="1:11" x14ac:dyDescent="0.35">
      <c r="A13886" s="9" t="str">
        <f>HYPERLINK("http://www.ensembl.org/id/WBGene00019866", "WBGene00019866")</f>
        <v>WBGene00019866</v>
      </c>
      <c r="B13886" s="9" t="str">
        <f>HYPERLINK("http://www.ncbi.nlm.nih.gov/gene/187565", "187565")</f>
        <v>187565</v>
      </c>
      <c r="C13886" s="9"/>
      <c r="D13886" t="str">
        <f>"R04B3.1"</f>
        <v>R04B3.1</v>
      </c>
      <c r="F13886" t="s">
        <v>11</v>
      </c>
      <c r="H13886" s="12">
        <v>1.2819539199972101</v>
      </c>
      <c r="I13886" s="20">
        <v>0.35491388760289599</v>
      </c>
      <c r="J13886" s="28">
        <v>0.72265410410768005</v>
      </c>
      <c r="K13886" s="29">
        <v>0.98289565623980701</v>
      </c>
    </row>
    <row r="13887" spans="1:11" x14ac:dyDescent="0.35">
      <c r="A13887" s="9" t="str">
        <f>HYPERLINK("http://www.ensembl.org/id/WBGene00019868", "WBGene00019868")</f>
        <v>WBGene00019868</v>
      </c>
      <c r="B13887" s="9" t="str">
        <f>HYPERLINK("http://www.ncbi.nlm.nih.gov/gene/180551", "180551")</f>
        <v>180551</v>
      </c>
      <c r="C13887" s="9"/>
      <c r="D13887" t="str">
        <f>"R04B3.3"</f>
        <v>R04B3.3</v>
      </c>
      <c r="F13887" t="s">
        <v>11</v>
      </c>
      <c r="H13887" s="12">
        <v>-1.2810511903743</v>
      </c>
      <c r="I13887" s="20">
        <v>-0.65452295595955401</v>
      </c>
      <c r="J13887" s="28">
        <v>0.51277494243461197</v>
      </c>
      <c r="K13887" s="29">
        <v>0.98289565623980701</v>
      </c>
    </row>
    <row r="13888" spans="1:11" x14ac:dyDescent="0.35">
      <c r="A13888" s="9" t="str">
        <f>HYPERLINK("http://www.ensembl.org/id/WBGene00011001", "WBGene00011001")</f>
        <v>WBGene00011001</v>
      </c>
      <c r="B13888" s="9" t="str">
        <f>HYPERLINK("http://www.ncbi.nlm.nih.gov/gene/187566", "187566")</f>
        <v>187566</v>
      </c>
      <c r="C13888" s="9"/>
      <c r="D13888" t="str">
        <f>"R04B5.1"</f>
        <v>R04B5.1</v>
      </c>
      <c r="F13888" t="s">
        <v>11</v>
      </c>
      <c r="G13888" t="s">
        <v>25</v>
      </c>
      <c r="H13888" s="12">
        <v>-2.4295389261469</v>
      </c>
      <c r="I13888" s="20">
        <v>-0.25808529976640998</v>
      </c>
      <c r="J13888" s="28">
        <v>0.79634107645457397</v>
      </c>
      <c r="K13888" s="29">
        <v>0.98289565623980701</v>
      </c>
    </row>
    <row r="13889" spans="1:11" x14ac:dyDescent="0.35">
      <c r="A13889" s="9" t="str">
        <f>HYPERLINK("http://www.ensembl.org/id/WBGene00011003", "WBGene00011003")</f>
        <v>WBGene00011003</v>
      </c>
      <c r="B13889" s="9" t="str">
        <f>HYPERLINK("http://www.ncbi.nlm.nih.gov/gene/179405", "179405")</f>
        <v>179405</v>
      </c>
      <c r="C13889" s="9" t="str">
        <f>HYPERLINK("http://www.ncbi.nlm.nih.gov/gene/6652", "6652")</f>
        <v>6652</v>
      </c>
      <c r="D13889" t="str">
        <f>"R04B5.5"</f>
        <v>R04B5.5</v>
      </c>
      <c r="F13889" t="s">
        <v>11</v>
      </c>
      <c r="G13889" t="s">
        <v>9118</v>
      </c>
      <c r="H13889" s="12">
        <v>-1.22189957168792</v>
      </c>
      <c r="I13889" s="20">
        <v>-0.90712815438348304</v>
      </c>
      <c r="J13889" s="28">
        <v>0.36433903115593702</v>
      </c>
      <c r="K13889" s="29">
        <v>0.98289565623980701</v>
      </c>
    </row>
    <row r="13890" spans="1:11" x14ac:dyDescent="0.35">
      <c r="A13890" s="9" t="str">
        <f>HYPERLINK("http://www.ensembl.org/id/WBGene00011004", "WBGene00011004")</f>
        <v>WBGene00011004</v>
      </c>
      <c r="B13890" s="9" t="str">
        <f>HYPERLINK("http://www.ncbi.nlm.nih.gov/gene/179404", "179404")</f>
        <v>179404</v>
      </c>
      <c r="C13890" s="9" t="str">
        <f>HYPERLINK("http://www.ncbi.nlm.nih.gov/gene/6652", "6652")</f>
        <v>6652</v>
      </c>
      <c r="D13890" t="str">
        <f>"R04B5.6"</f>
        <v>R04B5.6</v>
      </c>
      <c r="F13890" t="s">
        <v>11</v>
      </c>
      <c r="G13890" t="s">
        <v>9118</v>
      </c>
      <c r="H13890" s="12">
        <v>-1.24871778530051</v>
      </c>
      <c r="I13890" s="20">
        <v>-0.34164096117659298</v>
      </c>
      <c r="J13890" s="28">
        <v>0.73262110742339404</v>
      </c>
      <c r="K13890" s="29">
        <v>0.98289565623980701</v>
      </c>
    </row>
    <row r="13891" spans="1:11" x14ac:dyDescent="0.35">
      <c r="A13891" s="9" t="str">
        <f>HYPERLINK("http://www.ensembl.org/id/WBGene00199916", "WBGene00199916")</f>
        <v>WBGene00199916</v>
      </c>
      <c r="B13891" s="9"/>
      <c r="C13891" s="9"/>
      <c r="D13891" t="str">
        <f>"R04E5.17"</f>
        <v>R04E5.17</v>
      </c>
      <c r="F13891" t="s">
        <v>481</v>
      </c>
      <c r="H13891" s="12">
        <v>-3.5819448292659501</v>
      </c>
      <c r="I13891" s="20">
        <v>-0.37337717500031398</v>
      </c>
      <c r="J13891" s="28">
        <v>0.70886774492290605</v>
      </c>
      <c r="K13891" s="29">
        <v>0.98289565623980701</v>
      </c>
    </row>
    <row r="13892" spans="1:11" x14ac:dyDescent="0.35">
      <c r="A13892" s="9" t="str">
        <f>HYPERLINK("http://www.ensembl.org/id/WBGene00019870", "WBGene00019870")</f>
        <v>WBGene00019870</v>
      </c>
      <c r="B13892" s="9" t="str">
        <f>HYPERLINK("http://www.ncbi.nlm.nih.gov/gene/181126", "181126")</f>
        <v>181126</v>
      </c>
      <c r="C13892" s="9"/>
      <c r="D13892" t="str">
        <f>"R04E5.7"</f>
        <v>R04E5.7</v>
      </c>
      <c r="F13892" t="s">
        <v>11</v>
      </c>
      <c r="H13892" s="12">
        <v>1.6084471775261999</v>
      </c>
      <c r="I13892" s="20">
        <v>1.18755962684996</v>
      </c>
      <c r="J13892" s="28">
        <v>0.235006951870145</v>
      </c>
      <c r="K13892" s="29">
        <v>0.98289565623980701</v>
      </c>
    </row>
    <row r="13893" spans="1:11" x14ac:dyDescent="0.35">
      <c r="A13893" s="9" t="str">
        <f>HYPERLINK("http://www.ensembl.org/id/WBGene00019871", "WBGene00019871")</f>
        <v>WBGene00019871</v>
      </c>
      <c r="B13893" s="9" t="str">
        <f>HYPERLINK("http://www.ncbi.nlm.nih.gov/gene/181127", "181127")</f>
        <v>181127</v>
      </c>
      <c r="C13893" s="9"/>
      <c r="D13893" t="str">
        <f>"R04E5.8"</f>
        <v>R04E5.8</v>
      </c>
      <c r="F13893" t="s">
        <v>11</v>
      </c>
      <c r="H13893" s="12">
        <v>1.0502740560719499</v>
      </c>
      <c r="I13893" s="20">
        <v>0.26030137224538102</v>
      </c>
      <c r="J13893" s="28">
        <v>0.79463131418154398</v>
      </c>
      <c r="K13893" s="29">
        <v>0.98289565623980701</v>
      </c>
    </row>
    <row r="13894" spans="1:11" x14ac:dyDescent="0.35">
      <c r="A13894" s="9" t="str">
        <f>HYPERLINK("http://www.ensembl.org/id/WBGene00019872", "WBGene00019872")</f>
        <v>WBGene00019872</v>
      </c>
      <c r="B13894" s="9" t="str">
        <f>HYPERLINK("http://www.ncbi.nlm.nih.gov/gene/181128", "181128")</f>
        <v>181128</v>
      </c>
      <c r="C13894" s="9"/>
      <c r="D13894" t="str">
        <f>"R04E5.9"</f>
        <v>R04E5.9</v>
      </c>
      <c r="F13894" t="s">
        <v>11</v>
      </c>
      <c r="H13894" s="12">
        <v>1.0579167400113201</v>
      </c>
      <c r="I13894" s="20">
        <v>0.26707025870747497</v>
      </c>
      <c r="J13894" s="28">
        <v>0.78941506623871605</v>
      </c>
      <c r="K13894" s="29">
        <v>0.98289565623980701</v>
      </c>
    </row>
    <row r="13895" spans="1:11" x14ac:dyDescent="0.35">
      <c r="A13895" s="9" t="str">
        <f>HYPERLINK("http://www.ensembl.org/id/WBGene00198845", "WBGene00198845")</f>
        <v>WBGene00198845</v>
      </c>
      <c r="B13895" s="9"/>
      <c r="C13895" s="9"/>
      <c r="D13895" t="str">
        <f>"R04F11.19"</f>
        <v>R04F11.19</v>
      </c>
      <c r="F13895" t="s">
        <v>481</v>
      </c>
      <c r="H13895" s="12">
        <v>-2.4991590031922399</v>
      </c>
      <c r="I13895" s="20">
        <v>-0.26577412737581302</v>
      </c>
      <c r="J13895" s="28">
        <v>0.79041317015736101</v>
      </c>
      <c r="K13895" s="29">
        <v>0.98289565623980701</v>
      </c>
    </row>
    <row r="13896" spans="1:11" x14ac:dyDescent="0.35">
      <c r="A13896" s="9" t="str">
        <f>HYPERLINK("http://www.ensembl.org/id/WBGene00199879", "WBGene00199879")</f>
        <v>WBGene00199879</v>
      </c>
      <c r="B13896" s="9"/>
      <c r="C13896" s="9"/>
      <c r="D13896" t="str">
        <f>"R04F11.22"</f>
        <v>R04F11.22</v>
      </c>
      <c r="F13896" t="s">
        <v>481</v>
      </c>
      <c r="H13896" s="12">
        <v>3.6645215954135</v>
      </c>
      <c r="I13896" s="20">
        <v>0.37967131826092498</v>
      </c>
      <c r="J13896" s="28">
        <v>0.70418941338960395</v>
      </c>
      <c r="K13896" s="29">
        <v>0.98289565623980701</v>
      </c>
    </row>
    <row r="13897" spans="1:11" x14ac:dyDescent="0.35">
      <c r="A13897" s="9" t="str">
        <f>HYPERLINK("http://www.ensembl.org/id/WBGene00201085", "WBGene00201085")</f>
        <v>WBGene00201085</v>
      </c>
      <c r="B13897" s="9"/>
      <c r="C13897" s="9"/>
      <c r="D13897" t="str">
        <f>"R04F11.25"</f>
        <v>R04F11.25</v>
      </c>
      <c r="F13897" t="s">
        <v>481</v>
      </c>
      <c r="H13897" s="12">
        <v>-2.4991590031922399</v>
      </c>
      <c r="I13897" s="20">
        <v>-0.26577412737581302</v>
      </c>
      <c r="J13897" s="28">
        <v>0.79041317015736101</v>
      </c>
      <c r="K13897" s="29">
        <v>0.98289565623980701</v>
      </c>
    </row>
    <row r="13898" spans="1:11" x14ac:dyDescent="0.35">
      <c r="A13898" s="9" t="str">
        <f>HYPERLINK("http://www.ensembl.org/id/WBGene00011017", "WBGene00011017")</f>
        <v>WBGene00011017</v>
      </c>
      <c r="B13898" s="9" t="str">
        <f>HYPERLINK("http://www.ncbi.nlm.nih.gov/gene/179689", "179689")</f>
        <v>179689</v>
      </c>
      <c r="C13898" s="9"/>
      <c r="D13898" t="str">
        <f>"R04F11.5"</f>
        <v>R04F11.5</v>
      </c>
      <c r="F13898" t="s">
        <v>11</v>
      </c>
      <c r="G13898" t="s">
        <v>8500</v>
      </c>
      <c r="H13898" s="12">
        <v>-1.1806677294663499</v>
      </c>
      <c r="I13898" s="20">
        <v>-0.61169865446593896</v>
      </c>
      <c r="J13898" s="28">
        <v>0.54073715228846297</v>
      </c>
      <c r="K13898" s="29">
        <v>0.98289565623980701</v>
      </c>
    </row>
    <row r="13899" spans="1:11" x14ac:dyDescent="0.35">
      <c r="A13899" s="9" t="str">
        <f>HYPERLINK("http://www.ensembl.org/id/WBGene00011018", "WBGene00011018")</f>
        <v>WBGene00011018</v>
      </c>
      <c r="B13899" s="9" t="str">
        <f>HYPERLINK("http://www.ncbi.nlm.nih.gov/gene/178372", "178372")</f>
        <v>178372</v>
      </c>
      <c r="C13899" s="9"/>
      <c r="D13899" t="str">
        <f>"R05A10.1"</f>
        <v>R05A10.1</v>
      </c>
      <c r="F13899" t="s">
        <v>11</v>
      </c>
      <c r="H13899" s="12">
        <v>1.4479843301484601</v>
      </c>
      <c r="I13899" s="20">
        <v>0.52729362783057399</v>
      </c>
      <c r="J13899" s="28">
        <v>0.59798969863621898</v>
      </c>
      <c r="K13899" s="29">
        <v>0.98289565623980701</v>
      </c>
    </row>
    <row r="13900" spans="1:11" x14ac:dyDescent="0.35">
      <c r="A13900" s="9" t="str">
        <f>HYPERLINK("http://www.ensembl.org/id/WBGene00011025", "WBGene00011025")</f>
        <v>WBGene00011025</v>
      </c>
      <c r="B13900" s="9" t="str">
        <f>HYPERLINK("http://www.ncbi.nlm.nih.gov/gene/187598", "187598")</f>
        <v>187598</v>
      </c>
      <c r="C13900" s="9"/>
      <c r="D13900" t="str">
        <f>"R05A10.8"</f>
        <v>R05A10.8</v>
      </c>
      <c r="F13900" t="s">
        <v>11</v>
      </c>
      <c r="G13900" t="s">
        <v>25</v>
      </c>
      <c r="H13900" s="12">
        <v>7.6616465944663696</v>
      </c>
      <c r="I13900" s="20">
        <v>0.60406875593600395</v>
      </c>
      <c r="J13900" s="28">
        <v>0.54579793098927099</v>
      </c>
      <c r="K13900" s="29">
        <v>0.98289565623980701</v>
      </c>
    </row>
    <row r="13901" spans="1:11" x14ac:dyDescent="0.35">
      <c r="A13901" s="9" t="str">
        <f>HYPERLINK("http://www.ensembl.org/id/WBGene00019874", "WBGene00019874")</f>
        <v>WBGene00019874</v>
      </c>
      <c r="B13901" s="9" t="str">
        <f>HYPERLINK("http://www.ncbi.nlm.nih.gov/gene/187600", "187600")</f>
        <v>187600</v>
      </c>
      <c r="C13901" s="9"/>
      <c r="D13901" t="str">
        <f>"R05C11.2"</f>
        <v>R05C11.2</v>
      </c>
      <c r="F13901" t="s">
        <v>11</v>
      </c>
      <c r="H13901" s="12">
        <v>3.7887761749513098</v>
      </c>
      <c r="I13901" s="20">
        <v>0.64465298642378699</v>
      </c>
      <c r="J13901" s="28">
        <v>0.51915208932733004</v>
      </c>
      <c r="K13901" s="29">
        <v>0.98289565623980701</v>
      </c>
    </row>
    <row r="13902" spans="1:11" x14ac:dyDescent="0.35">
      <c r="A13902" s="9" t="str">
        <f>HYPERLINK("http://www.ensembl.org/id/WBGene00044467", "WBGene00044467")</f>
        <v>WBGene00044467</v>
      </c>
      <c r="B13902" s="9" t="str">
        <f>HYPERLINK("http://www.ncbi.nlm.nih.gov/gene/3896789", "3896789")</f>
        <v>3896789</v>
      </c>
      <c r="C13902" s="9"/>
      <c r="D13902" t="str">
        <f>"R05C11.4"</f>
        <v>R05C11.4</v>
      </c>
      <c r="F13902" t="s">
        <v>11</v>
      </c>
      <c r="G13902" t="s">
        <v>25</v>
      </c>
      <c r="H13902" s="12">
        <v>1.1563482938932901</v>
      </c>
      <c r="I13902" s="20">
        <v>0.64578589525535901</v>
      </c>
      <c r="J13902" s="28">
        <v>0.518418023766825</v>
      </c>
      <c r="K13902" s="29">
        <v>0.98289565623980701</v>
      </c>
    </row>
    <row r="13903" spans="1:11" x14ac:dyDescent="0.35">
      <c r="A13903" s="9" t="str">
        <f>HYPERLINK("http://www.ensembl.org/id/WBGene00011033", "WBGene00011033")</f>
        <v>WBGene00011033</v>
      </c>
      <c r="B13903" s="9" t="str">
        <f>HYPERLINK("http://www.ncbi.nlm.nih.gov/gene/172649", "172649")</f>
        <v>172649</v>
      </c>
      <c r="C13903" s="9"/>
      <c r="D13903" t="str">
        <f>"R05D11.5"</f>
        <v>R05D11.5</v>
      </c>
      <c r="F13903" t="s">
        <v>11</v>
      </c>
      <c r="G13903" t="s">
        <v>6703</v>
      </c>
      <c r="H13903" s="12">
        <v>-1.0854807721511299</v>
      </c>
      <c r="I13903" s="20">
        <v>-0.39925397850616501</v>
      </c>
      <c r="J13903" s="28">
        <v>0.68970607360095004</v>
      </c>
      <c r="K13903" s="29">
        <v>0.98289565623980701</v>
      </c>
    </row>
    <row r="13904" spans="1:11" x14ac:dyDescent="0.35">
      <c r="A13904" s="9" t="str">
        <f>HYPERLINK("http://www.ensembl.org/id/WBGene00019877", "WBGene00019877")</f>
        <v>WBGene00019877</v>
      </c>
      <c r="B13904" s="9" t="str">
        <f>HYPERLINK("http://www.ncbi.nlm.nih.gov/gene/176182", "176182")</f>
        <v>176182</v>
      </c>
      <c r="C13904" s="9" t="str">
        <f>HYPERLINK("http://www.ncbi.nlm.nih.gov/gene/55716", "55716")</f>
        <v>55716</v>
      </c>
      <c r="D13904" t="str">
        <f>"R05D3.2"</f>
        <v>R05D3.2</v>
      </c>
      <c r="E13904" t="s">
        <v>6345</v>
      </c>
      <c r="F13904" t="s">
        <v>11</v>
      </c>
      <c r="G13904" t="s">
        <v>6346</v>
      </c>
      <c r="H13904" s="12">
        <v>-1.0640460505248199</v>
      </c>
      <c r="I13904" s="20">
        <v>-0.336554818370144</v>
      </c>
      <c r="J13904" s="28">
        <v>0.73645252074635603</v>
      </c>
      <c r="K13904" s="29">
        <v>0.98289565623980701</v>
      </c>
    </row>
    <row r="13905" spans="1:11" x14ac:dyDescent="0.35">
      <c r="A13905" s="9" t="str">
        <f>HYPERLINK("http://www.ensembl.org/id/WBGene00019881", "WBGene00019881")</f>
        <v>WBGene00019881</v>
      </c>
      <c r="B13905" s="9" t="str">
        <f>HYPERLINK("http://www.ncbi.nlm.nih.gov/gene/187602", "187602")</f>
        <v>187602</v>
      </c>
      <c r="C13905" s="9"/>
      <c r="D13905" t="str">
        <f>"R05D3.8"</f>
        <v>R05D3.8</v>
      </c>
      <c r="E13905" t="s">
        <v>9693</v>
      </c>
      <c r="F13905" t="s">
        <v>11</v>
      </c>
      <c r="G13905" t="s">
        <v>2343</v>
      </c>
      <c r="H13905" s="12">
        <v>-1.2823840907138</v>
      </c>
      <c r="I13905" s="20">
        <v>-0.96557309816860903</v>
      </c>
      <c r="J13905" s="28">
        <v>0.334257842089622</v>
      </c>
      <c r="K13905" s="29">
        <v>0.98289565623980701</v>
      </c>
    </row>
    <row r="13906" spans="1:11" x14ac:dyDescent="0.35">
      <c r="A13906" s="9" t="str">
        <f>HYPERLINK("http://www.ensembl.org/id/WBGene00011026", "WBGene00011026")</f>
        <v>WBGene00011026</v>
      </c>
      <c r="B13906" s="9" t="str">
        <f>HYPERLINK("http://www.ncbi.nlm.nih.gov/gene/187603", "187603")</f>
        <v>187603</v>
      </c>
      <c r="C13906" s="9"/>
      <c r="D13906" t="str">
        <f>"R05D7.1"</f>
        <v>R05D7.1</v>
      </c>
      <c r="F13906" t="s">
        <v>11</v>
      </c>
      <c r="G13906" t="s">
        <v>25</v>
      </c>
      <c r="H13906" s="12">
        <v>1.0954792082831799</v>
      </c>
      <c r="I13906" s="20">
        <v>0.36385080513400703</v>
      </c>
      <c r="J13906" s="28">
        <v>0.71596942205293601</v>
      </c>
      <c r="K13906" s="29">
        <v>0.98289565623980701</v>
      </c>
    </row>
    <row r="13907" spans="1:11" x14ac:dyDescent="0.35">
      <c r="A13907" s="9" t="str">
        <f>HYPERLINK("http://www.ensembl.org/id/WBGene00011027", "WBGene00011027")</f>
        <v>WBGene00011027</v>
      </c>
      <c r="B13907" s="9" t="str">
        <f>HYPERLINK("http://www.ncbi.nlm.nih.gov/gene/187604", "187604")</f>
        <v>187604</v>
      </c>
      <c r="C13907" s="9"/>
      <c r="D13907" t="str">
        <f>"R05D7.2"</f>
        <v>R05D7.2</v>
      </c>
      <c r="F13907" t="s">
        <v>11</v>
      </c>
      <c r="H13907" s="12">
        <v>1.5674625140907701</v>
      </c>
      <c r="I13907" s="20">
        <v>0.29985474520289102</v>
      </c>
      <c r="J13907" s="28">
        <v>0.76428795485531398</v>
      </c>
      <c r="K13907" s="29">
        <v>0.98289565623980701</v>
      </c>
    </row>
    <row r="13908" spans="1:11" x14ac:dyDescent="0.35">
      <c r="A13908" s="9" t="str">
        <f>HYPERLINK("http://www.ensembl.org/id/WBGene00011030", "WBGene00011030")</f>
        <v>WBGene00011030</v>
      </c>
      <c r="B13908" s="9" t="str">
        <f>HYPERLINK("http://www.ncbi.nlm.nih.gov/gene/173097", "173097")</f>
        <v>173097</v>
      </c>
      <c r="C13908" s="9"/>
      <c r="D13908" t="str">
        <f>"R05D7.5"</f>
        <v>R05D7.5</v>
      </c>
      <c r="F13908" t="s">
        <v>11</v>
      </c>
      <c r="H13908" s="12">
        <v>-1.14068424968694</v>
      </c>
      <c r="I13908" s="20">
        <v>-0.68468399631094801</v>
      </c>
      <c r="J13908" s="28">
        <v>0.49354334996638199</v>
      </c>
      <c r="K13908" s="29">
        <v>0.98289565623980701</v>
      </c>
    </row>
    <row r="13909" spans="1:11" x14ac:dyDescent="0.35">
      <c r="A13909" s="9" t="str">
        <f>HYPERLINK("http://www.ensembl.org/id/WBGene00014483", "WBGene00014483")</f>
        <v>WBGene00014483</v>
      </c>
      <c r="B13909" s="9"/>
      <c r="C13909" s="9"/>
      <c r="D13909" t="str">
        <f>"R05D7.6"</f>
        <v>R05D7.6</v>
      </c>
      <c r="F13909" t="s">
        <v>4205</v>
      </c>
      <c r="H13909" s="12">
        <v>4.4368407117627902</v>
      </c>
      <c r="I13909" s="20">
        <v>0.43709475933309699</v>
      </c>
      <c r="J13909" s="28">
        <v>0.66204262779770495</v>
      </c>
      <c r="K13909" s="29">
        <v>0.98289565623980701</v>
      </c>
    </row>
    <row r="13910" spans="1:11" x14ac:dyDescent="0.35">
      <c r="A13910" s="9" t="str">
        <f>HYPERLINK("http://www.ensembl.org/id/WBGene00077559", "WBGene00077559")</f>
        <v>WBGene00077559</v>
      </c>
      <c r="B13910" s="9" t="str">
        <f>HYPERLINK("http://www.ncbi.nlm.nih.gov/gene/6418600", "6418600")</f>
        <v>6418600</v>
      </c>
      <c r="C13910" s="9"/>
      <c r="D13910" t="str">
        <f>"R05D7.7"</f>
        <v>R05D7.7</v>
      </c>
      <c r="F13910" t="s">
        <v>11</v>
      </c>
      <c r="G13910" t="s">
        <v>25</v>
      </c>
      <c r="H13910" s="12">
        <v>-1.1311199209395599</v>
      </c>
      <c r="I13910" s="20">
        <v>-0.53719295080876395</v>
      </c>
      <c r="J13910" s="28">
        <v>0.59113433999312803</v>
      </c>
      <c r="K13910" s="29">
        <v>0.98289565623980701</v>
      </c>
    </row>
    <row r="13911" spans="1:11" x14ac:dyDescent="0.35">
      <c r="A13911" s="9" t="str">
        <f>HYPERLINK("http://www.ensembl.org/id/WBGene00019886", "WBGene00019886")</f>
        <v>WBGene00019886</v>
      </c>
      <c r="B13911" s="9" t="str">
        <f>HYPERLINK("http://www.ncbi.nlm.nih.gov/gene/187609", "187609")</f>
        <v>187609</v>
      </c>
      <c r="C13911" s="9"/>
      <c r="D13911" t="str">
        <f>"R05D8.9"</f>
        <v>R05D8.9</v>
      </c>
      <c r="F13911" t="s">
        <v>11</v>
      </c>
      <c r="G13911" t="s">
        <v>489</v>
      </c>
      <c r="H13911" s="12">
        <v>-2.6114870227648699</v>
      </c>
      <c r="I13911" s="20">
        <v>-0.34600978721752301</v>
      </c>
      <c r="J13911" s="28">
        <v>0.72933535940062599</v>
      </c>
      <c r="K13911" s="29">
        <v>0.98289565623980701</v>
      </c>
    </row>
    <row r="13912" spans="1:11" x14ac:dyDescent="0.35">
      <c r="A13912" s="9" t="str">
        <f>HYPERLINK("http://www.ensembl.org/id/WBGene00196322", "WBGene00196322")</f>
        <v>WBGene00196322</v>
      </c>
      <c r="B13912" s="9"/>
      <c r="C13912" s="9"/>
      <c r="D13912" t="str">
        <f>"R05F9.14"</f>
        <v>R05F9.14</v>
      </c>
      <c r="F13912" t="s">
        <v>481</v>
      </c>
      <c r="H13912" s="12">
        <v>-7.9500140730388296</v>
      </c>
      <c r="I13912" s="20">
        <v>-0.99281111327486704</v>
      </c>
      <c r="J13912" s="28">
        <v>0.32080201308317002</v>
      </c>
      <c r="K13912" s="29">
        <v>0.98289565623980701</v>
      </c>
    </row>
    <row r="13913" spans="1:11" x14ac:dyDescent="0.35">
      <c r="A13913" s="9" t="str">
        <f>HYPERLINK("http://www.ensembl.org/id/WBGene00202479", "WBGene00202479")</f>
        <v>WBGene00202479</v>
      </c>
      <c r="B13913" s="9"/>
      <c r="C13913" s="9"/>
      <c r="D13913" t="str">
        <f>"R05F9.15"</f>
        <v>R05F9.15</v>
      </c>
      <c r="F13913" t="s">
        <v>481</v>
      </c>
      <c r="H13913" s="12">
        <v>-2.9560744995019101</v>
      </c>
      <c r="I13913" s="20">
        <v>-0.60157079465556595</v>
      </c>
      <c r="J13913" s="28">
        <v>0.54745987424294995</v>
      </c>
      <c r="K13913" s="29">
        <v>0.98289565623980701</v>
      </c>
    </row>
    <row r="13914" spans="1:11" x14ac:dyDescent="0.35">
      <c r="A13914" s="9" t="str">
        <f>HYPERLINK("http://www.ensembl.org/id/WBGene00019892", "WBGene00019892")</f>
        <v>WBGene00019892</v>
      </c>
      <c r="B13914" s="9" t="str">
        <f>HYPERLINK("http://www.ncbi.nlm.nih.gov/gene/173845", "173845")</f>
        <v>173845</v>
      </c>
      <c r="C13914" s="9"/>
      <c r="D13914" t="str">
        <f>"R05F9.9"</f>
        <v>R05F9.9</v>
      </c>
      <c r="F13914" t="s">
        <v>11</v>
      </c>
      <c r="H13914" s="12">
        <v>-1.1594326730131399</v>
      </c>
      <c r="I13914" s="20">
        <v>-0.63582576224169796</v>
      </c>
      <c r="J13914" s="28">
        <v>0.52488999401287595</v>
      </c>
      <c r="K13914" s="29">
        <v>0.98289565623980701</v>
      </c>
    </row>
    <row r="13915" spans="1:11" x14ac:dyDescent="0.35">
      <c r="A13915" s="9" t="str">
        <f>HYPERLINK("http://www.ensembl.org/id/WBGene00019896", "WBGene00019896")</f>
        <v>WBGene00019896</v>
      </c>
      <c r="B13915" s="9" t="str">
        <f>HYPERLINK("http://www.ncbi.nlm.nih.gov/gene/187619", "187619")</f>
        <v>187619</v>
      </c>
      <c r="C13915" s="9"/>
      <c r="D13915" t="str">
        <f>"R05G6.1"</f>
        <v>R05G6.1</v>
      </c>
      <c r="F13915" t="s">
        <v>11</v>
      </c>
      <c r="H13915" s="12">
        <v>1.29749506775185</v>
      </c>
      <c r="I13915" s="20">
        <v>0.98835023918337095</v>
      </c>
      <c r="J13915" s="28">
        <v>0.32298114877210499</v>
      </c>
      <c r="K13915" s="29">
        <v>0.98289565623980701</v>
      </c>
    </row>
    <row r="13916" spans="1:11" x14ac:dyDescent="0.35">
      <c r="A13916" s="9" t="str">
        <f>HYPERLINK("http://www.ensembl.org/id/WBGene00200388", "WBGene00200388")</f>
        <v>WBGene00200388</v>
      </c>
      <c r="B13916" s="9"/>
      <c r="C13916" s="9"/>
      <c r="D13916" t="str">
        <f>"R05G6.18"</f>
        <v>R05G6.18</v>
      </c>
      <c r="F13916" t="s">
        <v>481</v>
      </c>
      <c r="H13916" s="12">
        <v>2.3893468495514898</v>
      </c>
      <c r="I13916" s="20">
        <v>0.25323547253672701</v>
      </c>
      <c r="J13916" s="28">
        <v>0.80008625651646104</v>
      </c>
      <c r="K13916" s="29">
        <v>0.98289565623980701</v>
      </c>
    </row>
    <row r="13917" spans="1:11" x14ac:dyDescent="0.35">
      <c r="A13917" s="9" t="str">
        <f>HYPERLINK("http://www.ensembl.org/id/WBGene00202375", "WBGene00202375")</f>
        <v>WBGene00202375</v>
      </c>
      <c r="B13917" s="9"/>
      <c r="C13917" s="9"/>
      <c r="D13917" t="str">
        <f>"R05G6.19"</f>
        <v>R05G6.19</v>
      </c>
      <c r="F13917" t="s">
        <v>481</v>
      </c>
      <c r="H13917" s="12">
        <v>-2.4295389261469</v>
      </c>
      <c r="I13917" s="20">
        <v>-0.25808529976640998</v>
      </c>
      <c r="J13917" s="28">
        <v>0.79634107645457397</v>
      </c>
      <c r="K13917" s="29">
        <v>0.98289565623980701</v>
      </c>
    </row>
    <row r="13918" spans="1:11" x14ac:dyDescent="0.35">
      <c r="A13918" s="9" t="str">
        <f>HYPERLINK("http://www.ensembl.org/id/WBGene00043466", "WBGene00043466")</f>
        <v>WBGene00043466</v>
      </c>
      <c r="B13918" s="9" t="str">
        <f>HYPERLINK("http://www.ncbi.nlm.nih.gov/gene/24104791", "24104791")</f>
        <v>24104791</v>
      </c>
      <c r="C13918" s="9"/>
      <c r="D13918" t="str">
        <f>"R05G6.3"</f>
        <v>R05G6.3</v>
      </c>
      <c r="F13918" t="s">
        <v>11</v>
      </c>
      <c r="H13918" s="12">
        <v>-5.5794491025289696</v>
      </c>
      <c r="I13918" s="20">
        <v>-0.504738274115201</v>
      </c>
      <c r="J13918" s="28">
        <v>0.61374267489732603</v>
      </c>
      <c r="K13918" s="29">
        <v>0.98289565623980701</v>
      </c>
    </row>
    <row r="13919" spans="1:11" x14ac:dyDescent="0.35">
      <c r="A13919" s="9" t="str">
        <f>HYPERLINK("http://www.ensembl.org/id/WBGene00019898", "WBGene00019898")</f>
        <v>WBGene00019898</v>
      </c>
      <c r="B13919" s="9" t="str">
        <f>HYPERLINK("http://www.ncbi.nlm.nih.gov/gene/177526", "177526")</f>
        <v>177526</v>
      </c>
      <c r="C13919" s="9" t="str">
        <f>HYPERLINK("http://www.ncbi.nlm.nih.gov/gene/51070", "51070")</f>
        <v>51070</v>
      </c>
      <c r="D13919" t="str">
        <f>"R05G6.4"</f>
        <v>R05G6.4</v>
      </c>
      <c r="E13919" t="s">
        <v>8631</v>
      </c>
      <c r="F13919" t="s">
        <v>11</v>
      </c>
      <c r="G13919" t="s">
        <v>8632</v>
      </c>
      <c r="H13919" s="12">
        <v>-1.18782639794405</v>
      </c>
      <c r="I13919" s="20">
        <v>-0.74964301544745204</v>
      </c>
      <c r="J13919" s="28">
        <v>0.45346973635694199</v>
      </c>
      <c r="K13919" s="29">
        <v>0.98289565623980701</v>
      </c>
    </row>
    <row r="13920" spans="1:11" x14ac:dyDescent="0.35">
      <c r="A13920" s="9" t="str">
        <f>HYPERLINK("http://www.ensembl.org/id/WBGene00019901", "WBGene00019901")</f>
        <v>WBGene00019901</v>
      </c>
      <c r="B13920" s="9" t="str">
        <f>HYPERLINK("http://www.ncbi.nlm.nih.gov/gene/187624", "187624")</f>
        <v>187624</v>
      </c>
      <c r="C13920" s="9"/>
      <c r="D13920" t="str">
        <f>"R05G6.9"</f>
        <v>R05G6.9</v>
      </c>
      <c r="F13920" t="s">
        <v>11</v>
      </c>
      <c r="G13920" t="s">
        <v>325</v>
      </c>
      <c r="H13920" s="12">
        <v>2.2551812683408499</v>
      </c>
      <c r="I13920" s="20">
        <v>0.68720628917045901</v>
      </c>
      <c r="J13920" s="28">
        <v>0.491952741716289</v>
      </c>
      <c r="K13920" s="29">
        <v>0.98289565623980701</v>
      </c>
    </row>
    <row r="13921" spans="1:11" x14ac:dyDescent="0.35">
      <c r="A13921" s="9" t="str">
        <f>HYPERLINK("http://www.ensembl.org/id/WBGene00206514", "WBGene00206514")</f>
        <v>WBGene00206514</v>
      </c>
      <c r="B13921" s="9" t="str">
        <f>HYPERLINK("http://www.ncbi.nlm.nih.gov/gene/13185428", "13185428")</f>
        <v>13185428</v>
      </c>
      <c r="C13921" s="9"/>
      <c r="D13921" t="str">
        <f>"R05G9.5"</f>
        <v>R05G9.5</v>
      </c>
      <c r="F13921" t="s">
        <v>11</v>
      </c>
      <c r="H13921" s="12">
        <v>1.48049436586477</v>
      </c>
      <c r="I13921" s="20">
        <v>0.753060417315913</v>
      </c>
      <c r="J13921" s="28">
        <v>0.451413608959566</v>
      </c>
      <c r="K13921" s="29">
        <v>0.98289565623980701</v>
      </c>
    </row>
    <row r="13922" spans="1:11" x14ac:dyDescent="0.35">
      <c r="A13922" s="9" t="str">
        <f>HYPERLINK("http://www.ensembl.org/id/WBGene00011042", "WBGene00011042")</f>
        <v>WBGene00011042</v>
      </c>
      <c r="B13922" s="9" t="str">
        <f>HYPERLINK("http://www.ncbi.nlm.nih.gov/gene/175144", "175144")</f>
        <v>175144</v>
      </c>
      <c r="C13922" s="9"/>
      <c r="D13922" t="str">
        <f>"R05H10.1"</f>
        <v>R05H10.1</v>
      </c>
      <c r="F13922" t="s">
        <v>11</v>
      </c>
      <c r="G13922" t="s">
        <v>386</v>
      </c>
      <c r="H13922" s="12">
        <v>-1.3502395106807901</v>
      </c>
      <c r="I13922" s="20">
        <v>-0.59365690389828896</v>
      </c>
      <c r="J13922" s="28">
        <v>0.55274161299436397</v>
      </c>
      <c r="K13922" s="29">
        <v>0.98289565623980701</v>
      </c>
    </row>
    <row r="13923" spans="1:11" x14ac:dyDescent="0.35">
      <c r="A13923" s="9" t="str">
        <f>HYPERLINK("http://www.ensembl.org/id/WBGene00011046", "WBGene00011046")</f>
        <v>WBGene00011046</v>
      </c>
      <c r="B13923" s="9" t="str">
        <f>HYPERLINK("http://www.ncbi.nlm.nih.gov/gene/3565038", "3565038")</f>
        <v>3565038</v>
      </c>
      <c r="C13923" s="9"/>
      <c r="D13923" t="str">
        <f>"R05H10.7"</f>
        <v>R05H10.7</v>
      </c>
      <c r="F13923" t="s">
        <v>11</v>
      </c>
      <c r="G13923" t="s">
        <v>386</v>
      </c>
      <c r="H13923" s="12">
        <v>-2.7543765420314799</v>
      </c>
      <c r="I13923" s="20">
        <v>-1.00951086253113</v>
      </c>
      <c r="J13923" s="28">
        <v>0.31272969476495799</v>
      </c>
      <c r="K13923" s="29">
        <v>0.98289565623980701</v>
      </c>
    </row>
    <row r="13924" spans="1:11" x14ac:dyDescent="0.35">
      <c r="A13924" s="9" t="str">
        <f>HYPERLINK("http://www.ensembl.org/id/WBGene00019908", "WBGene00019908")</f>
        <v>WBGene00019908</v>
      </c>
      <c r="B13924" s="9" t="str">
        <f>HYPERLINK("http://www.ncbi.nlm.nih.gov/gene/353418", "353418")</f>
        <v>353418</v>
      </c>
      <c r="C13924" s="9"/>
      <c r="D13924" t="str">
        <f>"R05H11.2"</f>
        <v>R05H11.2</v>
      </c>
      <c r="F13924" t="s">
        <v>11</v>
      </c>
      <c r="H13924" s="12">
        <v>1.24492310475275</v>
      </c>
      <c r="I13924" s="20">
        <v>0.47659569597819201</v>
      </c>
      <c r="J13924" s="28">
        <v>0.63365004883881604</v>
      </c>
      <c r="K13924" s="29">
        <v>0.98289565623980701</v>
      </c>
    </row>
    <row r="13925" spans="1:11" x14ac:dyDescent="0.35">
      <c r="A13925" s="9" t="str">
        <f>HYPERLINK("http://www.ensembl.org/id/WBGene00011039", "WBGene00011039")</f>
        <v>WBGene00011039</v>
      </c>
      <c r="B13925" s="9" t="str">
        <f>HYPERLINK("http://www.ncbi.nlm.nih.gov/gene/174581", "174581")</f>
        <v>174581</v>
      </c>
      <c r="C13925" s="9"/>
      <c r="D13925" t="str">
        <f>"R05H5.4"</f>
        <v>R05H5.4</v>
      </c>
      <c r="E13925" t="s">
        <v>2588</v>
      </c>
      <c r="F13925" t="s">
        <v>11</v>
      </c>
      <c r="G13925" t="s">
        <v>2589</v>
      </c>
      <c r="H13925" s="12">
        <v>-1.27782033714957</v>
      </c>
      <c r="I13925" s="20">
        <v>-1.1411808580635301</v>
      </c>
      <c r="J13925" s="28">
        <v>0.25379466835964398</v>
      </c>
      <c r="K13925" s="29">
        <v>0.98289565623980701</v>
      </c>
    </row>
    <row r="13926" spans="1:11" x14ac:dyDescent="0.35">
      <c r="A13926" s="9" t="str">
        <f>HYPERLINK("http://www.ensembl.org/id/WBGene00011041", "WBGene00011041")</f>
        <v>WBGene00011041</v>
      </c>
      <c r="B13926" s="9" t="str">
        <f>HYPERLINK("http://www.ncbi.nlm.nih.gov/gene/187629", "187629")</f>
        <v>187629</v>
      </c>
      <c r="C13926" s="9"/>
      <c r="D13926" t="str">
        <f>"R05H5.7"</f>
        <v>R05H5.7</v>
      </c>
      <c r="F13926" t="s">
        <v>11</v>
      </c>
      <c r="H13926" s="12">
        <v>1.43642474978809</v>
      </c>
      <c r="I13926" s="20">
        <v>1.19481477427719</v>
      </c>
      <c r="J13926" s="28">
        <v>0.23215940664203499</v>
      </c>
      <c r="K13926" s="29">
        <v>0.98289565623980701</v>
      </c>
    </row>
    <row r="13927" spans="1:11" x14ac:dyDescent="0.35">
      <c r="A13927" s="9" t="str">
        <f>HYPERLINK("http://www.ensembl.org/id/WBGene00019909", "WBGene00019909")</f>
        <v>WBGene00019909</v>
      </c>
      <c r="B13927" s="9" t="str">
        <f>HYPERLINK("http://www.ncbi.nlm.nih.gov/gene/187633", "187633")</f>
        <v>187633</v>
      </c>
      <c r="C13927" s="9"/>
      <c r="D13927" t="str">
        <f>"R06A10.1"</f>
        <v>R06A10.1</v>
      </c>
      <c r="F13927" t="s">
        <v>11</v>
      </c>
      <c r="G13927" t="s">
        <v>25</v>
      </c>
      <c r="H13927" s="12">
        <v>1.14451124023823</v>
      </c>
      <c r="I13927" s="20">
        <v>0.42823564253975499</v>
      </c>
      <c r="J13927" s="28">
        <v>0.66847956911292505</v>
      </c>
      <c r="K13927" s="29">
        <v>0.98289565623980701</v>
      </c>
    </row>
    <row r="13928" spans="1:11" x14ac:dyDescent="0.35">
      <c r="A13928" s="9" t="str">
        <f>HYPERLINK("http://www.ensembl.org/id/WBGene00019911", "WBGene00019911")</f>
        <v>WBGene00019911</v>
      </c>
      <c r="B13928" s="9" t="str">
        <f>HYPERLINK("http://www.ncbi.nlm.nih.gov/gene/171688", "171688")</f>
        <v>171688</v>
      </c>
      <c r="C13928" s="9" t="str">
        <f>HYPERLINK("http://www.ncbi.nlm.nih.gov/gene/5681", "5681")</f>
        <v>5681</v>
      </c>
      <c r="D13928" t="str">
        <f>"R06A10.4"</f>
        <v>R06A10.4</v>
      </c>
      <c r="F13928" t="s">
        <v>11</v>
      </c>
      <c r="G13928" t="s">
        <v>1808</v>
      </c>
      <c r="H13928" s="12">
        <v>1.2811126004894999</v>
      </c>
      <c r="I13928" s="20">
        <v>0.92278067725530499</v>
      </c>
      <c r="J13928" s="28">
        <v>0.35612151244811302</v>
      </c>
      <c r="K13928" s="29">
        <v>0.98289565623980701</v>
      </c>
    </row>
    <row r="13929" spans="1:11" x14ac:dyDescent="0.35">
      <c r="A13929" s="9" t="str">
        <f>HYPERLINK("http://www.ensembl.org/id/WBGene00044895", "WBGene00044895")</f>
        <v>WBGene00044895</v>
      </c>
      <c r="B13929" s="9" t="str">
        <f>HYPERLINK("http://www.ncbi.nlm.nih.gov/gene/4926918", "4926918")</f>
        <v>4926918</v>
      </c>
      <c r="C13929" s="9"/>
      <c r="D13929" t="str">
        <f>"R06A10.5"</f>
        <v>R06A10.5</v>
      </c>
      <c r="F13929" t="s">
        <v>11</v>
      </c>
      <c r="G13929" t="s">
        <v>25</v>
      </c>
      <c r="H13929" s="12">
        <v>1.8275704515536799</v>
      </c>
      <c r="I13929" s="20">
        <v>0.28126804803518302</v>
      </c>
      <c r="J13929" s="28">
        <v>0.77850481542759498</v>
      </c>
      <c r="K13929" s="29">
        <v>0.98289565623980701</v>
      </c>
    </row>
    <row r="13930" spans="1:11" x14ac:dyDescent="0.35">
      <c r="A13930" s="9" t="str">
        <f>HYPERLINK("http://www.ensembl.org/id/WBGene00011047", "WBGene00011047")</f>
        <v>WBGene00011047</v>
      </c>
      <c r="B13930" s="9" t="str">
        <f>HYPERLINK("http://www.ncbi.nlm.nih.gov/gene/175093", "175093")</f>
        <v>175093</v>
      </c>
      <c r="C13930" s="9"/>
      <c r="D13930" t="str">
        <f>"R06A4.2"</f>
        <v>R06A4.2</v>
      </c>
      <c r="F13930" t="s">
        <v>11</v>
      </c>
      <c r="H13930" s="12">
        <v>-1.09845913225801</v>
      </c>
      <c r="I13930" s="20">
        <v>-0.43763341224670299</v>
      </c>
      <c r="J13930" s="28">
        <v>0.66165204640318698</v>
      </c>
      <c r="K13930" s="29">
        <v>0.98289565623980701</v>
      </c>
    </row>
    <row r="13931" spans="1:11" x14ac:dyDescent="0.35">
      <c r="A13931" s="9" t="str">
        <f>HYPERLINK("http://www.ensembl.org/id/WBGene00019912", "WBGene00019912")</f>
        <v>WBGene00019912</v>
      </c>
      <c r="B13931" s="9"/>
      <c r="C13931" s="9"/>
      <c r="D13931" t="str">
        <f>"R06B10.1"</f>
        <v>R06B10.1</v>
      </c>
      <c r="F13931" t="s">
        <v>80</v>
      </c>
      <c r="H13931" s="12">
        <v>2.2170236267607901</v>
      </c>
      <c r="I13931" s="20">
        <v>0.62416390154401602</v>
      </c>
      <c r="J13931" s="28">
        <v>0.53251995119441498</v>
      </c>
      <c r="K13931" s="29">
        <v>0.98289565623980701</v>
      </c>
    </row>
    <row r="13932" spans="1:11" x14ac:dyDescent="0.35">
      <c r="A13932" s="9" t="str">
        <f>HYPERLINK("http://www.ensembl.org/id/WBGene00011056", "WBGene00011056")</f>
        <v>WBGene00011056</v>
      </c>
      <c r="B13932" s="9" t="str">
        <f>HYPERLINK("http://www.ncbi.nlm.nih.gov/gene/175019", "175019")</f>
        <v>175019</v>
      </c>
      <c r="C13932" s="9"/>
      <c r="D13932" t="str">
        <f>"R06B9.5"</f>
        <v>R06B9.5</v>
      </c>
      <c r="F13932" t="s">
        <v>11</v>
      </c>
      <c r="H13932" s="12">
        <v>-1.1567853138266799</v>
      </c>
      <c r="I13932" s="20">
        <v>-0.53237849921227198</v>
      </c>
      <c r="J13932" s="28">
        <v>0.59446387353243502</v>
      </c>
      <c r="K13932" s="29">
        <v>0.98289565623980701</v>
      </c>
    </row>
    <row r="13933" spans="1:11" x14ac:dyDescent="0.35">
      <c r="A13933" s="9" t="str">
        <f>HYPERLINK("http://www.ensembl.org/id/WBGene00199432", "WBGene00199432")</f>
        <v>WBGene00199432</v>
      </c>
      <c r="B13933" s="9"/>
      <c r="C13933" s="9"/>
      <c r="D13933" t="str">
        <f>"R06C1.10"</f>
        <v>R06C1.10</v>
      </c>
      <c r="F13933" t="s">
        <v>481</v>
      </c>
      <c r="H13933" s="12">
        <v>-2.4295389261469</v>
      </c>
      <c r="I13933" s="20">
        <v>-0.25808529976640998</v>
      </c>
      <c r="J13933" s="28">
        <v>0.79634107645457397</v>
      </c>
      <c r="K13933" s="29">
        <v>0.98289565623980701</v>
      </c>
    </row>
    <row r="13934" spans="1:11" x14ac:dyDescent="0.35">
      <c r="A13934" s="9" t="str">
        <f>HYPERLINK("http://www.ensembl.org/id/WBGene00011059", "WBGene00011059")</f>
        <v>WBGene00011059</v>
      </c>
      <c r="B13934" s="9" t="str">
        <f>HYPERLINK("http://www.ncbi.nlm.nih.gov/gene/173076", "173076")</f>
        <v>173076</v>
      </c>
      <c r="C13934" s="9"/>
      <c r="D13934" t="str">
        <f>"R06C1.4"</f>
        <v>R06C1.4</v>
      </c>
      <c r="F13934" t="s">
        <v>11</v>
      </c>
      <c r="G13934" t="s">
        <v>5196</v>
      </c>
      <c r="H13934" s="12">
        <v>1.21778437742261</v>
      </c>
      <c r="I13934" s="20">
        <v>0.971081087813084</v>
      </c>
      <c r="J13934" s="28">
        <v>0.33150790072412301</v>
      </c>
      <c r="K13934" s="29">
        <v>0.98289565623980701</v>
      </c>
    </row>
    <row r="13935" spans="1:11" x14ac:dyDescent="0.35">
      <c r="A13935" s="9" t="str">
        <f>HYPERLINK("http://www.ensembl.org/id/WBGene00011060", "WBGene00011060")</f>
        <v>WBGene00011060</v>
      </c>
      <c r="B13935" s="9" t="str">
        <f>HYPERLINK("http://www.ncbi.nlm.nih.gov/gene/173077", "173077")</f>
        <v>173077</v>
      </c>
      <c r="C13935" s="9"/>
      <c r="D13935" t="str">
        <f>"R06C1.6"</f>
        <v>R06C1.6</v>
      </c>
      <c r="F13935" t="s">
        <v>11</v>
      </c>
      <c r="H13935" s="12">
        <v>1.1548116955954999</v>
      </c>
      <c r="I13935" s="20">
        <v>0.70962918426510102</v>
      </c>
      <c r="J13935" s="28">
        <v>0.47793411691270998</v>
      </c>
      <c r="K13935" s="29">
        <v>0.98289565623980701</v>
      </c>
    </row>
    <row r="13936" spans="1:11" x14ac:dyDescent="0.35">
      <c r="A13936" s="9" t="str">
        <f>HYPERLINK("http://www.ensembl.org/id/WBGene00197341", "WBGene00197341")</f>
        <v>WBGene00197341</v>
      </c>
      <c r="B13936" s="9"/>
      <c r="C13936" s="9"/>
      <c r="D13936" t="str">
        <f>"R06C1.8"</f>
        <v>R06C1.8</v>
      </c>
      <c r="F13936" t="s">
        <v>481</v>
      </c>
      <c r="H13936" s="12">
        <v>-4.7167679298615104</v>
      </c>
      <c r="I13936" s="20">
        <v>-0.454742638005115</v>
      </c>
      <c r="J13936" s="28">
        <v>0.64929440216969203</v>
      </c>
      <c r="K13936" s="29">
        <v>0.98289565623980701</v>
      </c>
    </row>
    <row r="13937" spans="1:11" x14ac:dyDescent="0.35">
      <c r="A13937" s="9" t="str">
        <f>HYPERLINK("http://www.ensembl.org/id/WBGene00269421", "WBGene00269421")</f>
        <v>WBGene00269421</v>
      </c>
      <c r="B13937" s="9" t="str">
        <f>HYPERLINK("http://www.ncbi.nlm.nih.gov/gene/27219627", "27219627")</f>
        <v>27219627</v>
      </c>
      <c r="C13937" s="9"/>
      <c r="D13937" t="str">
        <f>"R06F6.14"</f>
        <v>R06F6.14</v>
      </c>
      <c r="F13937" t="s">
        <v>11</v>
      </c>
      <c r="H13937" s="12">
        <v>1.5844775546770899</v>
      </c>
      <c r="I13937" s="20">
        <v>1.09208564208642</v>
      </c>
      <c r="J13937" s="28">
        <v>0.27479545969667901</v>
      </c>
      <c r="K13937" s="29">
        <v>0.98289565623980701</v>
      </c>
    </row>
    <row r="13938" spans="1:11" x14ac:dyDescent="0.35">
      <c r="A13938" s="9" t="str">
        <f>HYPERLINK("http://www.ensembl.org/id/WBGene00011071", "WBGene00011071")</f>
        <v>WBGene00011071</v>
      </c>
      <c r="B13938" s="9" t="str">
        <f>HYPERLINK("http://www.ncbi.nlm.nih.gov/gene/174664", "174664")</f>
        <v>174664</v>
      </c>
      <c r="C13938" s="9" t="str">
        <f>HYPERLINK("http://www.ncbi.nlm.nih.gov/gene/57589", "57589")</f>
        <v>57589</v>
      </c>
      <c r="D13938" t="str">
        <f>"R06F6.8"</f>
        <v>R06F6.8</v>
      </c>
      <c r="E13938" t="s">
        <v>6325</v>
      </c>
      <c r="F13938" t="s">
        <v>11</v>
      </c>
      <c r="G13938" t="s">
        <v>6326</v>
      </c>
      <c r="H13938" s="12">
        <v>-1.06282625456415</v>
      </c>
      <c r="I13938" s="20">
        <v>-0.31151288747169398</v>
      </c>
      <c r="J13938" s="28">
        <v>0.75541074716009304</v>
      </c>
      <c r="K13938" s="29">
        <v>0.98289565623980701</v>
      </c>
    </row>
    <row r="13939" spans="1:11" x14ac:dyDescent="0.35">
      <c r="A13939" s="9" t="str">
        <f>HYPERLINK("http://www.ensembl.org/id/WBGene00011073", "WBGene00011073")</f>
        <v>WBGene00011073</v>
      </c>
      <c r="B13939" s="9" t="str">
        <f>HYPERLINK("http://www.ncbi.nlm.nih.gov/gene/259723", "259723")</f>
        <v>259723</v>
      </c>
      <c r="C13939" s="9"/>
      <c r="D13939" t="str">
        <f>"R07A4.2"</f>
        <v>R07A4.2</v>
      </c>
      <c r="F13939" t="s">
        <v>11</v>
      </c>
      <c r="G13939" t="s">
        <v>25</v>
      </c>
      <c r="H13939" s="12">
        <v>-1.1529505987773601</v>
      </c>
      <c r="I13939" s="20">
        <v>-0.409530296499655</v>
      </c>
      <c r="J13939" s="28">
        <v>0.682150537972671</v>
      </c>
      <c r="K13939" s="29">
        <v>0.98289565623980701</v>
      </c>
    </row>
    <row r="13940" spans="1:11" x14ac:dyDescent="0.35">
      <c r="A13940" s="9" t="str">
        <f>HYPERLINK("http://www.ensembl.org/id/WBGene00011074", "WBGene00011074")</f>
        <v>WBGene00011074</v>
      </c>
      <c r="B13940" s="9" t="str">
        <f>HYPERLINK("http://www.ncbi.nlm.nih.gov/gene/181270", "181270")</f>
        <v>181270</v>
      </c>
      <c r="C13940" s="9"/>
      <c r="D13940" t="str">
        <f>"R07A4.3"</f>
        <v>R07A4.3</v>
      </c>
      <c r="F13940" t="s">
        <v>11</v>
      </c>
      <c r="H13940" s="12">
        <v>1.3667737968604701</v>
      </c>
      <c r="I13940" s="20">
        <v>0.519082137497068</v>
      </c>
      <c r="J13940" s="28">
        <v>0.60370346411781195</v>
      </c>
      <c r="K13940" s="29">
        <v>0.98289565623980701</v>
      </c>
    </row>
    <row r="13941" spans="1:11" x14ac:dyDescent="0.35">
      <c r="A13941" s="9" t="str">
        <f>HYPERLINK("http://www.ensembl.org/id/WBGene00138711", "WBGene00138711")</f>
        <v>WBGene00138711</v>
      </c>
      <c r="B13941" s="9" t="str">
        <f>HYPERLINK("http://www.ncbi.nlm.nih.gov/gene/7040171", "7040171")</f>
        <v>7040171</v>
      </c>
      <c r="C13941" s="9"/>
      <c r="D13941" t="str">
        <f>"R07B1.13"</f>
        <v>R07B1.13</v>
      </c>
      <c r="F13941" t="s">
        <v>11</v>
      </c>
      <c r="H13941" s="12">
        <v>1.42177887199409</v>
      </c>
      <c r="I13941" s="20">
        <v>0.52565300943312698</v>
      </c>
      <c r="J13941" s="28">
        <v>0.59912931847387396</v>
      </c>
      <c r="K13941" s="29">
        <v>0.98289565623980701</v>
      </c>
    </row>
    <row r="13942" spans="1:11" x14ac:dyDescent="0.35">
      <c r="A13942" s="9" t="str">
        <f>HYPERLINK("http://www.ensembl.org/id/WBGene00196919", "WBGene00196919")</f>
        <v>WBGene00196919</v>
      </c>
      <c r="B13942" s="9"/>
      <c r="C13942" s="9"/>
      <c r="D13942" t="str">
        <f>"R07B1.18"</f>
        <v>R07B1.18</v>
      </c>
      <c r="F13942" t="s">
        <v>481</v>
      </c>
      <c r="H13942" s="12">
        <v>-2.4991590031922399</v>
      </c>
      <c r="I13942" s="20">
        <v>-0.26577412737581302</v>
      </c>
      <c r="J13942" s="28">
        <v>0.79041317015736101</v>
      </c>
      <c r="K13942" s="29">
        <v>0.98289565623980701</v>
      </c>
    </row>
    <row r="13943" spans="1:11" x14ac:dyDescent="0.35">
      <c r="A13943" s="9" t="str">
        <f>HYPERLINK("http://www.ensembl.org/id/WBGene00201120", "WBGene00201120")</f>
        <v>WBGene00201120</v>
      </c>
      <c r="B13943" s="9"/>
      <c r="C13943" s="9"/>
      <c r="D13943" t="str">
        <f>"R07B1.22"</f>
        <v>R07B1.22</v>
      </c>
      <c r="F13943" t="s">
        <v>481</v>
      </c>
      <c r="H13943" s="12">
        <v>-3.7261494131482999</v>
      </c>
      <c r="I13943" s="20">
        <v>-0.38454673129429601</v>
      </c>
      <c r="J13943" s="28">
        <v>0.70057326682554</v>
      </c>
      <c r="K13943" s="29">
        <v>0.98289565623980701</v>
      </c>
    </row>
    <row r="13944" spans="1:11" x14ac:dyDescent="0.35">
      <c r="A13944" s="9" t="str">
        <f>HYPERLINK("http://www.ensembl.org/id/WBGene00011078", "WBGene00011078")</f>
        <v>WBGene00011078</v>
      </c>
      <c r="B13944" s="9" t="str">
        <f>HYPERLINK("http://www.ncbi.nlm.nih.gov/gene/187647", "187647")</f>
        <v>187647</v>
      </c>
      <c r="C13944" s="9"/>
      <c r="D13944" t="str">
        <f>"R07B1.6"</f>
        <v>R07B1.6</v>
      </c>
      <c r="F13944" t="s">
        <v>11</v>
      </c>
      <c r="H13944" s="12">
        <v>1.52625427210904</v>
      </c>
      <c r="I13944" s="20">
        <v>0.29627854866480602</v>
      </c>
      <c r="J13944" s="28">
        <v>0.76701736661933395</v>
      </c>
      <c r="K13944" s="29">
        <v>0.98289565623980701</v>
      </c>
    </row>
    <row r="13945" spans="1:11" x14ac:dyDescent="0.35">
      <c r="A13945" s="9" t="str">
        <f>HYPERLINK("http://www.ensembl.org/id/WBGene00011081", "WBGene00011081")</f>
        <v>WBGene00011081</v>
      </c>
      <c r="B13945" s="9" t="str">
        <f>HYPERLINK("http://www.ncbi.nlm.nih.gov/gene/181201", "181201")</f>
        <v>181201</v>
      </c>
      <c r="C13945" s="9"/>
      <c r="D13945" t="str">
        <f>"R07B1.9"</f>
        <v>R07B1.9</v>
      </c>
      <c r="F13945" t="s">
        <v>11</v>
      </c>
      <c r="H13945" s="12">
        <v>1.08725918595477</v>
      </c>
      <c r="I13945" s="20">
        <v>0.277136189666568</v>
      </c>
      <c r="J13945" s="28">
        <v>0.78167553435714898</v>
      </c>
      <c r="K13945" s="29">
        <v>0.98289565623980701</v>
      </c>
    </row>
    <row r="13946" spans="1:11" x14ac:dyDescent="0.35">
      <c r="A13946" s="9" t="str">
        <f>HYPERLINK("http://www.ensembl.org/id/WBGene00077498", "WBGene00077498")</f>
        <v>WBGene00077498</v>
      </c>
      <c r="B13946" s="9"/>
      <c r="C13946" s="9"/>
      <c r="D13946" t="str">
        <f>"R07B5.10"</f>
        <v>R07B5.10</v>
      </c>
      <c r="F13946" t="s">
        <v>80</v>
      </c>
      <c r="H13946" s="12">
        <v>-2.4991590031922399</v>
      </c>
      <c r="I13946" s="20">
        <v>-0.26577412737581302</v>
      </c>
      <c r="J13946" s="28">
        <v>0.79041317015736101</v>
      </c>
      <c r="K13946" s="29">
        <v>0.98289565623980701</v>
      </c>
    </row>
    <row r="13947" spans="1:11" x14ac:dyDescent="0.35">
      <c r="A13947" s="9" t="str">
        <f>HYPERLINK("http://www.ensembl.org/id/WBGene00199744", "WBGene00199744")</f>
        <v>WBGene00199744</v>
      </c>
      <c r="B13947" s="9"/>
      <c r="C13947" s="9"/>
      <c r="D13947" t="str">
        <f>"R07B5.11"</f>
        <v>R07B5.11</v>
      </c>
      <c r="F13947" t="s">
        <v>481</v>
      </c>
      <c r="H13947" s="12">
        <v>2.3893468495514898</v>
      </c>
      <c r="I13947" s="20">
        <v>0.25323547253672701</v>
      </c>
      <c r="J13947" s="28">
        <v>0.80008625651646104</v>
      </c>
      <c r="K13947" s="29">
        <v>0.98289565623980701</v>
      </c>
    </row>
    <row r="13948" spans="1:11" x14ac:dyDescent="0.35">
      <c r="A13948" s="9" t="str">
        <f>HYPERLINK("http://www.ensembl.org/id/WBGene00011094", "WBGene00011094")</f>
        <v>WBGene00011094</v>
      </c>
      <c r="B13948" s="9" t="str">
        <f>HYPERLINK("http://www.ncbi.nlm.nih.gov/gene/187658", "187658")</f>
        <v>187658</v>
      </c>
      <c r="C13948" s="9" t="str">
        <f>HYPERLINK("http://www.ncbi.nlm.nih.gov/gene/283130", "283130")</f>
        <v>283130</v>
      </c>
      <c r="D13948" t="str">
        <f>"R07B7.10"</f>
        <v>R07B7.10</v>
      </c>
      <c r="F13948" t="s">
        <v>11</v>
      </c>
      <c r="G13948" t="s">
        <v>5284</v>
      </c>
      <c r="H13948" s="12">
        <v>1.19578316316636</v>
      </c>
      <c r="I13948" s="20">
        <v>0.80024793315587295</v>
      </c>
      <c r="J13948" s="28">
        <v>0.42356716313157999</v>
      </c>
      <c r="K13948" s="29">
        <v>0.98289565623980701</v>
      </c>
    </row>
    <row r="13949" spans="1:11" x14ac:dyDescent="0.35">
      <c r="A13949" s="9" t="str">
        <f>HYPERLINK("http://www.ensembl.org/id/WBGene00011092", "WBGene00011092")</f>
        <v>WBGene00011092</v>
      </c>
      <c r="B13949" s="9" t="str">
        <f>HYPERLINK("http://www.ncbi.nlm.nih.gov/gene/187657", "187657")</f>
        <v>187657</v>
      </c>
      <c r="C13949" s="9"/>
      <c r="D13949" t="str">
        <f>"R07B7.8"</f>
        <v>R07B7.8</v>
      </c>
      <c r="F13949" t="s">
        <v>11</v>
      </c>
      <c r="G13949" t="s">
        <v>4921</v>
      </c>
      <c r="H13949" s="12">
        <v>1.29910649952621</v>
      </c>
      <c r="I13949" s="20">
        <v>1.12988169339998</v>
      </c>
      <c r="J13949" s="28">
        <v>0.258526078794867</v>
      </c>
      <c r="K13949" s="29">
        <v>0.98289565623980701</v>
      </c>
    </row>
    <row r="13950" spans="1:11" x14ac:dyDescent="0.35">
      <c r="A13950" s="9" t="str">
        <f>HYPERLINK("http://www.ensembl.org/id/WBGene00011093", "WBGene00011093")</f>
        <v>WBGene00011093</v>
      </c>
      <c r="B13950" s="9" t="str">
        <f>HYPERLINK("http://www.ncbi.nlm.nih.gov/gene/179659", "179659")</f>
        <v>179659</v>
      </c>
      <c r="C13950" s="9"/>
      <c r="D13950" t="str">
        <f>"R07B7.9"</f>
        <v>R07B7.9</v>
      </c>
      <c r="F13950" t="s">
        <v>11</v>
      </c>
      <c r="G13950" t="s">
        <v>5221</v>
      </c>
      <c r="H13950" s="12">
        <v>-1.09449340289471</v>
      </c>
      <c r="I13950" s="20">
        <v>-0.37260742521034701</v>
      </c>
      <c r="J13950" s="28">
        <v>0.70944064568524401</v>
      </c>
      <c r="K13950" s="29">
        <v>0.98289565623980701</v>
      </c>
    </row>
    <row r="13951" spans="1:11" x14ac:dyDescent="0.35">
      <c r="A13951" s="9" t="str">
        <f>HYPERLINK("http://www.ensembl.org/id/WBGene00019931", "WBGene00019931")</f>
        <v>WBGene00019931</v>
      </c>
      <c r="B13951" s="9" t="str">
        <f>HYPERLINK("http://www.ncbi.nlm.nih.gov/gene/177179", "177179")</f>
        <v>177179</v>
      </c>
      <c r="C13951" s="9"/>
      <c r="D13951" t="str">
        <f>"R07C12.1"</f>
        <v>R07C12.1</v>
      </c>
      <c r="F13951" t="s">
        <v>11</v>
      </c>
      <c r="H13951" s="12">
        <v>7.1508580806528403</v>
      </c>
      <c r="I13951" s="20">
        <v>1.18848984177864</v>
      </c>
      <c r="J13951" s="28">
        <v>0.23464047956853001</v>
      </c>
      <c r="K13951" s="29">
        <v>0.98289565623980701</v>
      </c>
    </row>
    <row r="13952" spans="1:11" x14ac:dyDescent="0.35">
      <c r="A13952" s="9" t="str">
        <f>HYPERLINK("http://www.ensembl.org/id/WBGene00019932", "WBGene00019932")</f>
        <v>WBGene00019932</v>
      </c>
      <c r="B13952" s="9"/>
      <c r="C13952" s="9"/>
      <c r="D13952" t="str">
        <f>"R07C12.2"</f>
        <v>R07C12.2</v>
      </c>
      <c r="F13952" t="s">
        <v>80</v>
      </c>
      <c r="H13952" s="12">
        <v>1.1718902652913801</v>
      </c>
      <c r="I13952" s="20">
        <v>0.60679353660315505</v>
      </c>
      <c r="J13952" s="28">
        <v>0.54398793803841405</v>
      </c>
      <c r="K13952" s="29">
        <v>0.98289565623980701</v>
      </c>
    </row>
    <row r="13953" spans="1:11" x14ac:dyDescent="0.35">
      <c r="A13953" s="9" t="str">
        <f>HYPERLINK("http://www.ensembl.org/id/WBGene00019933", "WBGene00019933")</f>
        <v>WBGene00019933</v>
      </c>
      <c r="B13953" s="9" t="str">
        <f>HYPERLINK("http://www.ncbi.nlm.nih.gov/gene/187674", "187674")</f>
        <v>187674</v>
      </c>
      <c r="C13953" s="9"/>
      <c r="D13953" t="str">
        <f>"R07C12.3"</f>
        <v>R07C12.3</v>
      </c>
      <c r="F13953" t="s">
        <v>11</v>
      </c>
      <c r="H13953" s="12">
        <v>-3.2035722220826099</v>
      </c>
      <c r="I13953" s="20">
        <v>-0.52599423242316801</v>
      </c>
      <c r="J13953" s="28">
        <v>0.59889221429994999</v>
      </c>
      <c r="K13953" s="29">
        <v>0.98289565623980701</v>
      </c>
    </row>
    <row r="13954" spans="1:11" x14ac:dyDescent="0.35">
      <c r="A13954" s="9" t="str">
        <f>HYPERLINK("http://www.ensembl.org/id/WBGene00019929", "WBGene00019929")</f>
        <v>WBGene00019929</v>
      </c>
      <c r="B13954" s="9" t="str">
        <f>HYPERLINK("http://www.ncbi.nlm.nih.gov/gene/187672", "187672")</f>
        <v>187672</v>
      </c>
      <c r="C13954" s="9"/>
      <c r="D13954" t="str">
        <f>"R07C3.13"</f>
        <v>R07C3.13</v>
      </c>
      <c r="F13954" t="s">
        <v>11</v>
      </c>
      <c r="H13954" s="12">
        <v>1.60811869246523</v>
      </c>
      <c r="I13954" s="20">
        <v>0.34193858348550099</v>
      </c>
      <c r="J13954" s="28">
        <v>0.73239711241162098</v>
      </c>
      <c r="K13954" s="29">
        <v>0.98289565623980701</v>
      </c>
    </row>
    <row r="13955" spans="1:11" x14ac:dyDescent="0.35">
      <c r="A13955" s="9" t="str">
        <f>HYPERLINK("http://www.ensembl.org/id/WBGene00269338", "WBGene00269338")</f>
        <v>WBGene00269338</v>
      </c>
      <c r="B13955" s="9"/>
      <c r="C13955" s="9"/>
      <c r="D13955" t="str">
        <f>"R07C3.16"</f>
        <v>R07C3.16</v>
      </c>
      <c r="F13955" t="s">
        <v>80</v>
      </c>
      <c r="H13955" s="12">
        <v>2.43628531154256</v>
      </c>
      <c r="I13955" s="20">
        <v>0.26397437090349102</v>
      </c>
      <c r="J13955" s="28">
        <v>0.79179966754305298</v>
      </c>
      <c r="K13955" s="29">
        <v>0.98289565623980701</v>
      </c>
    </row>
    <row r="13956" spans="1:11" x14ac:dyDescent="0.35">
      <c r="A13956" s="9" t="str">
        <f>HYPERLINK("http://www.ensembl.org/id/WBGene00019919", "WBGene00019919")</f>
        <v>WBGene00019919</v>
      </c>
      <c r="B13956" s="9" t="str">
        <f>HYPERLINK("http://www.ncbi.nlm.nih.gov/gene/187665", "187665")</f>
        <v>187665</v>
      </c>
      <c r="C13956" s="9"/>
      <c r="D13956" t="str">
        <f>"R07C3.3"</f>
        <v>R07C3.3</v>
      </c>
      <c r="F13956" t="s">
        <v>11</v>
      </c>
      <c r="G13956" t="s">
        <v>4242</v>
      </c>
      <c r="H13956" s="12">
        <v>6.61045742799383</v>
      </c>
      <c r="I13956" s="20">
        <v>0.55558174612790701</v>
      </c>
      <c r="J13956" s="28">
        <v>0.57849681292850097</v>
      </c>
      <c r="K13956" s="29">
        <v>0.98289565623980701</v>
      </c>
    </row>
    <row r="13957" spans="1:11" x14ac:dyDescent="0.35">
      <c r="A13957" s="9" t="str">
        <f>HYPERLINK("http://www.ensembl.org/id/WBGene00199254", "WBGene00199254")</f>
        <v>WBGene00199254</v>
      </c>
      <c r="B13957" s="9"/>
      <c r="C13957" s="9"/>
      <c r="D13957" t="str">
        <f>"R07D5.6"</f>
        <v>R07D5.6</v>
      </c>
      <c r="F13957" t="s">
        <v>481</v>
      </c>
      <c r="H13957" s="12">
        <v>4.6735026405940001</v>
      </c>
      <c r="I13957" s="20">
        <v>0.83549561031447805</v>
      </c>
      <c r="J13957" s="28">
        <v>0.403438717484215</v>
      </c>
      <c r="K13957" s="29">
        <v>0.98289565623980701</v>
      </c>
    </row>
    <row r="13958" spans="1:11" x14ac:dyDescent="0.35">
      <c r="A13958" s="9" t="str">
        <f>HYPERLINK("http://www.ensembl.org/id/WBGene00019935", "WBGene00019935")</f>
        <v>WBGene00019935</v>
      </c>
      <c r="B13958" s="9" t="str">
        <f>HYPERLINK("http://www.ncbi.nlm.nih.gov/gene/180863", "180863")</f>
        <v>180863</v>
      </c>
      <c r="C13958" s="9"/>
      <c r="D13958" t="str">
        <f>"R07E4.1"</f>
        <v>R07E4.1</v>
      </c>
      <c r="F13958" t="s">
        <v>11</v>
      </c>
      <c r="G13958" t="s">
        <v>5990</v>
      </c>
      <c r="H13958" s="12">
        <v>1.07615302716348</v>
      </c>
      <c r="I13958" s="20">
        <v>0.35933892870693301</v>
      </c>
      <c r="J13958" s="28">
        <v>0.71934155549311096</v>
      </c>
      <c r="K13958" s="29">
        <v>0.98289565623980701</v>
      </c>
    </row>
    <row r="13959" spans="1:11" x14ac:dyDescent="0.35">
      <c r="A13959" s="9" t="str">
        <f>HYPERLINK("http://www.ensembl.org/id/WBGene00019938", "WBGene00019938")</f>
        <v>WBGene00019938</v>
      </c>
      <c r="B13959" s="9" t="str">
        <f>HYPERLINK("http://www.ncbi.nlm.nih.gov/gene/180861", "180861")</f>
        <v>180861</v>
      </c>
      <c r="C13959" s="9"/>
      <c r="D13959" t="str">
        <f>"R07E4.5"</f>
        <v>R07E4.5</v>
      </c>
      <c r="F13959" t="s">
        <v>11</v>
      </c>
      <c r="H13959" s="12">
        <v>-1.30679104563752</v>
      </c>
      <c r="I13959" s="20">
        <v>-1.1754098352428299</v>
      </c>
      <c r="J13959" s="28">
        <v>0.23983079053953801</v>
      </c>
      <c r="K13959" s="29">
        <v>0.98289565623980701</v>
      </c>
    </row>
    <row r="13960" spans="1:11" x14ac:dyDescent="0.35">
      <c r="A13960" s="9" t="str">
        <f>HYPERLINK("http://www.ensembl.org/id/WBGene00195795", "WBGene00195795")</f>
        <v>WBGene00195795</v>
      </c>
      <c r="B13960" s="9"/>
      <c r="C13960" s="9"/>
      <c r="D13960" t="str">
        <f>"R07E4.7"</f>
        <v>R07E4.7</v>
      </c>
      <c r="F13960" t="s">
        <v>481</v>
      </c>
      <c r="H13960" s="12">
        <v>3.6645215954135</v>
      </c>
      <c r="I13960" s="20">
        <v>0.37967131826092498</v>
      </c>
      <c r="J13960" s="28">
        <v>0.70418941338960395</v>
      </c>
      <c r="K13960" s="29">
        <v>0.98289565623980701</v>
      </c>
    </row>
    <row r="13961" spans="1:11" x14ac:dyDescent="0.35">
      <c r="A13961" s="9" t="str">
        <f>HYPERLINK("http://www.ensembl.org/id/WBGene00011109", "WBGene00011109")</f>
        <v>WBGene00011109</v>
      </c>
      <c r="B13961" s="9" t="str">
        <f>HYPERLINK("http://www.ncbi.nlm.nih.gov/gene/175574", "175574")</f>
        <v>175574</v>
      </c>
      <c r="C13961" s="9"/>
      <c r="D13961" t="str">
        <f>"R07E5.1"</f>
        <v>R07E5.1</v>
      </c>
      <c r="E13961" t="s">
        <v>7518</v>
      </c>
      <c r="F13961" t="s">
        <v>11</v>
      </c>
      <c r="G13961" t="s">
        <v>7519</v>
      </c>
      <c r="H13961" s="12">
        <v>-1.1305173208552399</v>
      </c>
      <c r="I13961" s="20">
        <v>-0.59908627330819797</v>
      </c>
      <c r="J13961" s="28">
        <v>0.54911535479876705</v>
      </c>
      <c r="K13961" s="29">
        <v>0.98289565623980701</v>
      </c>
    </row>
    <row r="13962" spans="1:11" x14ac:dyDescent="0.35">
      <c r="A13962" s="9" t="str">
        <f>HYPERLINK("http://www.ensembl.org/id/WBGene00011117", "WBGene00011117")</f>
        <v>WBGene00011117</v>
      </c>
      <c r="B13962" s="9" t="str">
        <f>HYPERLINK("http://www.ncbi.nlm.nih.gov/gene/175576", "175576")</f>
        <v>175576</v>
      </c>
      <c r="C13962" s="9"/>
      <c r="D13962" t="str">
        <f>"R07E5.11"</f>
        <v>R07E5.11</v>
      </c>
      <c r="F13962" t="s">
        <v>11</v>
      </c>
      <c r="H13962" s="12">
        <v>-1.3157160497817999</v>
      </c>
      <c r="I13962" s="20">
        <v>-1.04525715404557</v>
      </c>
      <c r="J13962" s="28">
        <v>0.295904134391484</v>
      </c>
      <c r="K13962" s="29">
        <v>0.98289565623980701</v>
      </c>
    </row>
    <row r="13963" spans="1:11" x14ac:dyDescent="0.35">
      <c r="A13963" s="9" t="str">
        <f>HYPERLINK("http://www.ensembl.org/id/WBGene00011120", "WBGene00011120")</f>
        <v>WBGene00011120</v>
      </c>
      <c r="B13963" s="9" t="str">
        <f>HYPERLINK("http://www.ncbi.nlm.nih.gov/gene/175570", "175570")</f>
        <v>175570</v>
      </c>
      <c r="C13963" s="9"/>
      <c r="D13963" t="str">
        <f>"R07E5.15"</f>
        <v>R07E5.15</v>
      </c>
      <c r="F13963" t="s">
        <v>11</v>
      </c>
      <c r="H13963" s="12">
        <v>1.7748644763973001</v>
      </c>
      <c r="I13963" s="20">
        <v>0.55879737812871499</v>
      </c>
      <c r="J13963" s="28">
        <v>0.57630001203368597</v>
      </c>
      <c r="K13963" s="29">
        <v>0.98289565623980701</v>
      </c>
    </row>
    <row r="13964" spans="1:11" x14ac:dyDescent="0.35">
      <c r="A13964" s="9" t="str">
        <f>HYPERLINK("http://www.ensembl.org/id/WBGene00014484", "WBGene00014484")</f>
        <v>WBGene00014484</v>
      </c>
      <c r="B13964" s="9"/>
      <c r="C13964" s="9"/>
      <c r="D13964" t="str">
        <f>"R07E5.16"</f>
        <v>R07E5.16</v>
      </c>
      <c r="F13964" t="s">
        <v>4205</v>
      </c>
      <c r="H13964" s="12">
        <v>-2.3838754719136599</v>
      </c>
      <c r="I13964" s="20">
        <v>-0.25807578497976902</v>
      </c>
      <c r="J13964" s="28">
        <v>0.79634841949468704</v>
      </c>
      <c r="K13964" s="29">
        <v>0.98289565623980701</v>
      </c>
    </row>
    <row r="13965" spans="1:11" x14ac:dyDescent="0.35">
      <c r="A13965" s="9" t="str">
        <f>HYPERLINK("http://www.ensembl.org/id/WBGene00011121", "WBGene00011121")</f>
        <v>WBGene00011121</v>
      </c>
      <c r="B13965" s="9" t="str">
        <f>HYPERLINK("http://www.ncbi.nlm.nih.gov/gene/3564897", "3564897")</f>
        <v>3564897</v>
      </c>
      <c r="C13965" s="9"/>
      <c r="D13965" t="str">
        <f>"R07E5.17"</f>
        <v>R07E5.17</v>
      </c>
      <c r="F13965" t="s">
        <v>11</v>
      </c>
      <c r="G13965" t="s">
        <v>25</v>
      </c>
      <c r="H13965" s="12">
        <v>-1.4438569324208801</v>
      </c>
      <c r="I13965" s="20">
        <v>-0.54287025755596596</v>
      </c>
      <c r="J13965" s="28">
        <v>0.58721913540600601</v>
      </c>
      <c r="K13965" s="29">
        <v>0.98289565623980701</v>
      </c>
    </row>
    <row r="13966" spans="1:11" x14ac:dyDescent="0.35">
      <c r="A13966" s="9" t="str">
        <f>HYPERLINK("http://www.ensembl.org/id/WBGene00011113", "WBGene00011113")</f>
        <v>WBGene00011113</v>
      </c>
      <c r="B13966" s="9" t="str">
        <f>HYPERLINK("http://www.ncbi.nlm.nih.gov/gene/187681", "187681")</f>
        <v>187681</v>
      </c>
      <c r="C13966" s="9"/>
      <c r="D13966" t="str">
        <f>"R07E5.5"</f>
        <v>R07E5.5</v>
      </c>
      <c r="F13966" t="s">
        <v>11</v>
      </c>
      <c r="H13966" s="12">
        <v>-3.5948720441579298</v>
      </c>
      <c r="I13966" s="20">
        <v>-0.58884001829584798</v>
      </c>
      <c r="J13966" s="28">
        <v>0.55596859786865305</v>
      </c>
      <c r="K13966" s="29">
        <v>0.98289565623980701</v>
      </c>
    </row>
    <row r="13967" spans="1:11" x14ac:dyDescent="0.35">
      <c r="A13967" s="9" t="str">
        <f>HYPERLINK("http://www.ensembl.org/id/WBGene00011114", "WBGene00011114")</f>
        <v>WBGene00011114</v>
      </c>
      <c r="B13967" s="9" t="str">
        <f>HYPERLINK("http://www.ncbi.nlm.nih.gov/gene/175569", "175569")</f>
        <v>175569</v>
      </c>
      <c r="C13967" s="9"/>
      <c r="D13967" t="str">
        <f>"R07E5.6"</f>
        <v>R07E5.6</v>
      </c>
      <c r="F13967" t="s">
        <v>11</v>
      </c>
      <c r="H13967" s="12">
        <v>1.7783685272813701</v>
      </c>
      <c r="I13967" s="20">
        <v>0.50033198241625498</v>
      </c>
      <c r="J13967" s="28">
        <v>0.61684133786044504</v>
      </c>
      <c r="K13967" s="29">
        <v>0.98289565623980701</v>
      </c>
    </row>
    <row r="13968" spans="1:11" x14ac:dyDescent="0.35">
      <c r="A13968" s="9" t="str">
        <f>HYPERLINK("http://www.ensembl.org/id/WBGene00011115", "WBGene00011115")</f>
        <v>WBGene00011115</v>
      </c>
      <c r="B13968" s="9" t="str">
        <f>HYPERLINK("http://www.ncbi.nlm.nih.gov/gene/175577", "175577")</f>
        <v>175577</v>
      </c>
      <c r="C13968" s="9"/>
      <c r="D13968" t="str">
        <f>"R07E5.7"</f>
        <v>R07E5.7</v>
      </c>
      <c r="F13968" t="s">
        <v>11</v>
      </c>
      <c r="G13968" t="s">
        <v>8503</v>
      </c>
      <c r="H13968" s="12">
        <v>-1.18109921739882</v>
      </c>
      <c r="I13968" s="20">
        <v>-0.86368858539151505</v>
      </c>
      <c r="J13968" s="28">
        <v>0.38775898578894602</v>
      </c>
      <c r="K13968" s="29">
        <v>0.98289565623980701</v>
      </c>
    </row>
    <row r="13969" spans="1:11" x14ac:dyDescent="0.35">
      <c r="A13969" s="9" t="str">
        <f>HYPERLINK("http://www.ensembl.org/id/WBGene00197283", "WBGene00197283")</f>
        <v>WBGene00197283</v>
      </c>
      <c r="B13969" s="9"/>
      <c r="C13969" s="9"/>
      <c r="D13969" t="str">
        <f>"R07G3.11"</f>
        <v>R07G3.11</v>
      </c>
      <c r="F13969" t="s">
        <v>481</v>
      </c>
      <c r="H13969" s="12">
        <v>-2.4991590031922399</v>
      </c>
      <c r="I13969" s="20">
        <v>-0.26577412737581302</v>
      </c>
      <c r="J13969" s="28">
        <v>0.79041317015736101</v>
      </c>
      <c r="K13969" s="29">
        <v>0.98289565623980701</v>
      </c>
    </row>
    <row r="13970" spans="1:11" x14ac:dyDescent="0.35">
      <c r="A13970" s="9" t="str">
        <f>HYPERLINK("http://www.ensembl.org/id/WBGene00198326", "WBGene00198326")</f>
        <v>WBGene00198326</v>
      </c>
      <c r="B13970" s="9"/>
      <c r="C13970" s="9"/>
      <c r="D13970" t="str">
        <f>"R07G3.12"</f>
        <v>R07G3.12</v>
      </c>
      <c r="F13970" t="s">
        <v>481</v>
      </c>
      <c r="H13970" s="12">
        <v>2.3893468495514898</v>
      </c>
      <c r="I13970" s="20">
        <v>0.25323547253672701</v>
      </c>
      <c r="J13970" s="28">
        <v>0.80008625651646104</v>
      </c>
      <c r="K13970" s="29">
        <v>0.98289565623980701</v>
      </c>
    </row>
    <row r="13971" spans="1:11" x14ac:dyDescent="0.35">
      <c r="A13971" s="9" t="str">
        <f>HYPERLINK("http://www.ensembl.org/id/WBGene00200514", "WBGene00200514")</f>
        <v>WBGene00200514</v>
      </c>
      <c r="B13971" s="9"/>
      <c r="C13971" s="9"/>
      <c r="D13971" t="str">
        <f>"R07G3.14"</f>
        <v>R07G3.14</v>
      </c>
      <c r="F13971" t="s">
        <v>481</v>
      </c>
      <c r="H13971" s="12">
        <v>9.5215001458148301</v>
      </c>
      <c r="I13971" s="20">
        <v>0.67036031720767997</v>
      </c>
      <c r="J13971" s="28">
        <v>0.50262812496729803</v>
      </c>
      <c r="K13971" s="29">
        <v>0.98289565623980701</v>
      </c>
    </row>
    <row r="13972" spans="1:11" x14ac:dyDescent="0.35">
      <c r="A13972" s="9" t="str">
        <f>HYPERLINK("http://www.ensembl.org/id/WBGene00019943", "WBGene00019943")</f>
        <v>WBGene00019943</v>
      </c>
      <c r="B13972" s="9" t="str">
        <f>HYPERLINK("http://www.ncbi.nlm.nih.gov/gene/187685", "187685")</f>
        <v>187685</v>
      </c>
      <c r="C13972" s="9"/>
      <c r="D13972" t="str">
        <f>"R07G3.7"</f>
        <v>R07G3.7</v>
      </c>
      <c r="F13972" t="s">
        <v>11</v>
      </c>
      <c r="H13972" s="12">
        <v>-1.22255271266524</v>
      </c>
      <c r="I13972" s="20">
        <v>-0.99700039567496901</v>
      </c>
      <c r="J13972" s="28">
        <v>0.31876431788535198</v>
      </c>
      <c r="K13972" s="29">
        <v>0.98289565623980701</v>
      </c>
    </row>
    <row r="13973" spans="1:11" x14ac:dyDescent="0.35">
      <c r="A13973" s="9" t="str">
        <f>HYPERLINK("http://www.ensembl.org/id/WBGene00019944", "WBGene00019944")</f>
        <v>WBGene00019944</v>
      </c>
      <c r="B13973" s="9" t="str">
        <f>HYPERLINK("http://www.ncbi.nlm.nih.gov/gene/174234", "174234")</f>
        <v>174234</v>
      </c>
      <c r="C13973" s="9" t="str">
        <f>HYPERLINK("http://www.ncbi.nlm.nih.gov/gene/81553", "81553")</f>
        <v>81553</v>
      </c>
      <c r="D13973" t="str">
        <f>"R07G3.8"</f>
        <v>R07G3.8</v>
      </c>
      <c r="F13973" t="s">
        <v>11</v>
      </c>
      <c r="G13973" t="s">
        <v>5869</v>
      </c>
      <c r="H13973" s="12">
        <v>1.0914546279230899</v>
      </c>
      <c r="I13973" s="20">
        <v>0.39584023660539902</v>
      </c>
      <c r="J13973" s="28">
        <v>0.69222289160900397</v>
      </c>
      <c r="K13973" s="29">
        <v>0.98289565623980701</v>
      </c>
    </row>
    <row r="13974" spans="1:11" x14ac:dyDescent="0.35">
      <c r="A13974" s="9" t="str">
        <f>HYPERLINK("http://www.ensembl.org/id/WBGene00235134", "WBGene00235134")</f>
        <v>WBGene00235134</v>
      </c>
      <c r="B13974" s="9" t="str">
        <f>HYPERLINK("http://www.ncbi.nlm.nih.gov/gene/24104795", "24104795")</f>
        <v>24104795</v>
      </c>
      <c r="C13974" s="9"/>
      <c r="D13974" t="str">
        <f>"R07H5.16"</f>
        <v>R07H5.16</v>
      </c>
      <c r="F13974" t="s">
        <v>11</v>
      </c>
      <c r="H13974" s="12">
        <v>2.0174677342631799</v>
      </c>
      <c r="I13974" s="20">
        <v>0.292755713341387</v>
      </c>
      <c r="J13974" s="28">
        <v>0.76970888142491001</v>
      </c>
      <c r="K13974" s="29">
        <v>0.98289565623980701</v>
      </c>
    </row>
    <row r="13975" spans="1:11" x14ac:dyDescent="0.35">
      <c r="A13975" s="9" t="str">
        <f>HYPERLINK("http://www.ensembl.org/id/WBGene00011128", "WBGene00011128")</f>
        <v>WBGene00011128</v>
      </c>
      <c r="B13975" s="9" t="str">
        <f>HYPERLINK("http://www.ncbi.nlm.nih.gov/gene/178028", "178028")</f>
        <v>178028</v>
      </c>
      <c r="C13975" s="9" t="str">
        <f>HYPERLINK("http://www.ncbi.nlm.nih.gov/gene/132", "132")</f>
        <v>132</v>
      </c>
      <c r="D13975" t="str">
        <f>"R07H5.8"</f>
        <v>R07H5.8</v>
      </c>
      <c r="F13975" t="s">
        <v>11</v>
      </c>
      <c r="G13975" t="s">
        <v>6055</v>
      </c>
      <c r="H13975" s="12">
        <v>1.06849965488398</v>
      </c>
      <c r="I13975" s="20">
        <v>0.364803513958119</v>
      </c>
      <c r="J13975" s="28">
        <v>0.71525808185331297</v>
      </c>
      <c r="K13975" s="29">
        <v>0.98289565623980701</v>
      </c>
    </row>
    <row r="13976" spans="1:11" x14ac:dyDescent="0.35">
      <c r="A13976" s="9" t="str">
        <f>HYPERLINK("http://www.ensembl.org/id/WBGene00011129", "WBGene00011129")</f>
        <v>WBGene00011129</v>
      </c>
      <c r="B13976" s="9" t="str">
        <f>HYPERLINK("http://www.ncbi.nlm.nih.gov/gene/187690", "187690")</f>
        <v>187690</v>
      </c>
      <c r="C13976" s="9"/>
      <c r="D13976" t="str">
        <f>"R07H5.9"</f>
        <v>R07H5.9</v>
      </c>
      <c r="F13976" t="s">
        <v>11</v>
      </c>
      <c r="H13976" s="12">
        <v>1.46023072053198</v>
      </c>
      <c r="I13976" s="20">
        <v>0.48017786845377097</v>
      </c>
      <c r="J13976" s="28">
        <v>0.63110092238980098</v>
      </c>
      <c r="K13976" s="29">
        <v>0.98289565623980701</v>
      </c>
    </row>
    <row r="13977" spans="1:11" x14ac:dyDescent="0.35">
      <c r="A13977" s="9" t="str">
        <f>HYPERLINK("http://www.ensembl.org/id/WBGene00011132", "WBGene00011132")</f>
        <v>WBGene00011132</v>
      </c>
      <c r="B13977" s="9" t="str">
        <f>HYPERLINK("http://www.ncbi.nlm.nih.gov/gene/179975", "179975")</f>
        <v>179975</v>
      </c>
      <c r="C13977" s="9"/>
      <c r="D13977" t="str">
        <f>"R08A2.1"</f>
        <v>R08A2.1</v>
      </c>
      <c r="F13977" t="s">
        <v>11</v>
      </c>
      <c r="H13977" s="12">
        <v>-2.72325207578902</v>
      </c>
      <c r="I13977" s="20">
        <v>-0.78446149426944001</v>
      </c>
      <c r="J13977" s="28">
        <v>0.432769367491871</v>
      </c>
      <c r="K13977" s="29">
        <v>0.98289565623980701</v>
      </c>
    </row>
    <row r="13978" spans="1:11" x14ac:dyDescent="0.35">
      <c r="A13978" s="9" t="str">
        <f>HYPERLINK("http://www.ensembl.org/id/WBGene00011133", "WBGene00011133")</f>
        <v>WBGene00011133</v>
      </c>
      <c r="B13978" s="9" t="str">
        <f>HYPERLINK("http://www.ncbi.nlm.nih.gov/gene/187692", "187692")</f>
        <v>187692</v>
      </c>
      <c r="C13978" s="9"/>
      <c r="D13978" t="str">
        <f>"R08A2.2"</f>
        <v>R08A2.2</v>
      </c>
      <c r="E13978" t="s">
        <v>2496</v>
      </c>
      <c r="F13978" t="s">
        <v>11</v>
      </c>
      <c r="G13978" t="s">
        <v>2497</v>
      </c>
      <c r="H13978" s="12">
        <v>-2.0326138062282002</v>
      </c>
      <c r="I13978" s="20">
        <v>-0.51406537960082299</v>
      </c>
      <c r="J13978" s="28">
        <v>0.60720628125884402</v>
      </c>
      <c r="K13978" s="29">
        <v>0.98289565623980701</v>
      </c>
    </row>
    <row r="13979" spans="1:11" x14ac:dyDescent="0.35">
      <c r="A13979" s="9" t="str">
        <f>HYPERLINK("http://www.ensembl.org/id/WBGene00011136", "WBGene00011136")</f>
        <v>WBGene00011136</v>
      </c>
      <c r="B13979" s="9" t="str">
        <f>HYPERLINK("http://www.ncbi.nlm.nih.gov/gene/187694", "187694")</f>
        <v>187694</v>
      </c>
      <c r="C13979" s="9"/>
      <c r="D13979" t="str">
        <f>"R08A2.5"</f>
        <v>R08A2.5</v>
      </c>
      <c r="F13979" t="s">
        <v>11</v>
      </c>
      <c r="H13979" s="12">
        <v>-1.6647489753807201</v>
      </c>
      <c r="I13979" s="20">
        <v>-0.45033468761127798</v>
      </c>
      <c r="J13979" s="28">
        <v>0.65246913093682002</v>
      </c>
      <c r="K13979" s="29">
        <v>0.98289565623980701</v>
      </c>
    </row>
    <row r="13980" spans="1:11" x14ac:dyDescent="0.35">
      <c r="A13980" s="9" t="str">
        <f>HYPERLINK("http://www.ensembl.org/id/WBGene00219318", "WBGene00219318")</f>
        <v>WBGene00219318</v>
      </c>
      <c r="B13980" s="9" t="str">
        <f>HYPERLINK("http://www.ncbi.nlm.nih.gov/gene/13216656", "13216656")</f>
        <v>13216656</v>
      </c>
      <c r="C13980" s="9"/>
      <c r="D13980" t="str">
        <f>"R08A2.9"</f>
        <v>R08A2.9</v>
      </c>
      <c r="F13980" t="s">
        <v>11</v>
      </c>
      <c r="H13980" s="12">
        <v>-3.7261494131482999</v>
      </c>
      <c r="I13980" s="20">
        <v>-0.38454673129429601</v>
      </c>
      <c r="J13980" s="28">
        <v>0.70057326682554</v>
      </c>
      <c r="K13980" s="29">
        <v>0.98289565623980701</v>
      </c>
    </row>
    <row r="13981" spans="1:11" x14ac:dyDescent="0.35">
      <c r="A13981" s="9" t="str">
        <f>HYPERLINK("http://www.ensembl.org/id/WBGene00011139", "WBGene00011139")</f>
        <v>WBGene00011139</v>
      </c>
      <c r="B13981" s="9" t="str">
        <f>HYPERLINK("http://www.ncbi.nlm.nih.gov/gene/181301", "181301")</f>
        <v>181301</v>
      </c>
      <c r="C13981" s="9"/>
      <c r="D13981" t="str">
        <f>"R08B4.3"</f>
        <v>R08B4.3</v>
      </c>
      <c r="F13981" t="s">
        <v>11</v>
      </c>
      <c r="G13981" t="s">
        <v>7176</v>
      </c>
      <c r="H13981" s="12">
        <v>-1.1116953652683299</v>
      </c>
      <c r="I13981" s="20">
        <v>-0.39772114535090503</v>
      </c>
      <c r="J13981" s="28">
        <v>0.69083574879782805</v>
      </c>
      <c r="K13981" s="29">
        <v>0.98289565623980701</v>
      </c>
    </row>
    <row r="13982" spans="1:11" x14ac:dyDescent="0.35">
      <c r="A13982" s="9" t="str">
        <f>HYPERLINK("http://www.ensembl.org/id/WBGene00011140", "WBGene00011140")</f>
        <v>WBGene00011140</v>
      </c>
      <c r="B13982" s="9" t="str">
        <f>HYPERLINK("http://www.ncbi.nlm.nih.gov/gene/259725", "259725")</f>
        <v>259725</v>
      </c>
      <c r="C13982" s="9"/>
      <c r="D13982" t="str">
        <f>"R08B4.4"</f>
        <v>R08B4.4</v>
      </c>
      <c r="F13982" t="s">
        <v>11</v>
      </c>
      <c r="G13982" t="s">
        <v>25</v>
      </c>
      <c r="H13982" s="12">
        <v>1.2829485436477801</v>
      </c>
      <c r="I13982" s="20">
        <v>0.41990411113757597</v>
      </c>
      <c r="J13982" s="28">
        <v>0.67455550435129596</v>
      </c>
      <c r="K13982" s="29">
        <v>0.98289565623980701</v>
      </c>
    </row>
    <row r="13983" spans="1:11" x14ac:dyDescent="0.35">
      <c r="A13983" s="9" t="str">
        <f>HYPERLINK("http://www.ensembl.org/id/WBGene00197137", "WBGene00197137")</f>
        <v>WBGene00197137</v>
      </c>
      <c r="B13983" s="9"/>
      <c r="C13983" s="9"/>
      <c r="D13983" t="str">
        <f>"R08B4.7"</f>
        <v>R08B4.7</v>
      </c>
      <c r="F13983" t="s">
        <v>481</v>
      </c>
      <c r="H13983" s="12">
        <v>-2.4295389261469</v>
      </c>
      <c r="I13983" s="20">
        <v>-0.25808529976640998</v>
      </c>
      <c r="J13983" s="28">
        <v>0.79634107645457397</v>
      </c>
      <c r="K13983" s="29">
        <v>0.98289565623980701</v>
      </c>
    </row>
    <row r="13984" spans="1:11" x14ac:dyDescent="0.35">
      <c r="A13984" s="9" t="str">
        <f>HYPERLINK("http://www.ensembl.org/id/WBGene00197300", "WBGene00197300")</f>
        <v>WBGene00197300</v>
      </c>
      <c r="B13984" s="9"/>
      <c r="C13984" s="9"/>
      <c r="D13984" t="str">
        <f>"R08B4.8"</f>
        <v>R08B4.8</v>
      </c>
      <c r="F13984" t="s">
        <v>481</v>
      </c>
      <c r="H13984" s="12">
        <v>4.4368407117627902</v>
      </c>
      <c r="I13984" s="20">
        <v>0.43709475933309699</v>
      </c>
      <c r="J13984" s="28">
        <v>0.66204262779770495</v>
      </c>
      <c r="K13984" s="29">
        <v>0.98289565623980701</v>
      </c>
    </row>
    <row r="13985" spans="1:11" x14ac:dyDescent="0.35">
      <c r="A13985" s="9" t="str">
        <f>HYPERLINK("http://www.ensembl.org/id/WBGene00019945", "WBGene00019945")</f>
        <v>WBGene00019945</v>
      </c>
      <c r="B13985" s="9" t="str">
        <f>HYPERLINK("http://www.ncbi.nlm.nih.gov/gene/187695", "187695")</f>
        <v>187695</v>
      </c>
      <c r="C13985" s="9"/>
      <c r="D13985" t="str">
        <f>"R08C7.1"</f>
        <v>R08C7.1</v>
      </c>
      <c r="F13985" t="s">
        <v>11</v>
      </c>
      <c r="G13985" t="s">
        <v>25</v>
      </c>
      <c r="H13985" s="12">
        <v>1.5891136781592901</v>
      </c>
      <c r="I13985" s="20">
        <v>0.63816558876903795</v>
      </c>
      <c r="J13985" s="28">
        <v>0.52336589479383899</v>
      </c>
      <c r="K13985" s="29">
        <v>0.98289565623980701</v>
      </c>
    </row>
    <row r="13986" spans="1:11" x14ac:dyDescent="0.35">
      <c r="A13986" s="9" t="str">
        <f>HYPERLINK("http://www.ensembl.org/id/WBGene00019955", "WBGene00019955")</f>
        <v>WBGene00019955</v>
      </c>
      <c r="B13986" s="9" t="str">
        <f>HYPERLINK("http://www.ncbi.nlm.nih.gov/gene/177214", "177214")</f>
        <v>177214</v>
      </c>
      <c r="C13986" s="9"/>
      <c r="D13986" t="str">
        <f>"R08C7.12"</f>
        <v>R08C7.12</v>
      </c>
      <c r="F13986" t="s">
        <v>11</v>
      </c>
      <c r="H13986" s="12">
        <v>-1.14070455765045</v>
      </c>
      <c r="I13986" s="20">
        <v>-0.64836970268388205</v>
      </c>
      <c r="J13986" s="28">
        <v>0.51674586125622102</v>
      </c>
      <c r="K13986" s="29">
        <v>0.98289565623980701</v>
      </c>
    </row>
    <row r="13987" spans="1:11" x14ac:dyDescent="0.35">
      <c r="A13987" s="9" t="str">
        <f>HYPERLINK("http://www.ensembl.org/id/WBGene00197297", "WBGene00197297")</f>
        <v>WBGene00197297</v>
      </c>
      <c r="B13987" s="9"/>
      <c r="C13987" s="9"/>
      <c r="D13987" t="str">
        <f>"R08C7.17"</f>
        <v>R08C7.17</v>
      </c>
      <c r="F13987" t="s">
        <v>481</v>
      </c>
      <c r="H13987" s="12">
        <v>2.2823775214898601</v>
      </c>
      <c r="I13987" s="20">
        <v>0.28531617361358103</v>
      </c>
      <c r="J13987" s="28">
        <v>0.77540192285876297</v>
      </c>
      <c r="K13987" s="29">
        <v>0.98289565623980701</v>
      </c>
    </row>
    <row r="13988" spans="1:11" x14ac:dyDescent="0.35">
      <c r="A13988" s="9" t="str">
        <f>HYPERLINK("http://www.ensembl.org/id/WBGene00019948", "WBGene00019948")</f>
        <v>WBGene00019948</v>
      </c>
      <c r="B13988" s="9" t="str">
        <f>HYPERLINK("http://www.ncbi.nlm.nih.gov/gene/187696", "187696")</f>
        <v>187696</v>
      </c>
      <c r="C13988" s="9"/>
      <c r="D13988" t="str">
        <f>"R08C7.4"</f>
        <v>R08C7.4</v>
      </c>
      <c r="F13988" t="s">
        <v>11</v>
      </c>
      <c r="G13988" t="s">
        <v>1212</v>
      </c>
      <c r="H13988" s="12">
        <v>2.69033938242602</v>
      </c>
      <c r="I13988" s="20">
        <v>0.67105808739747697</v>
      </c>
      <c r="J13988" s="28">
        <v>0.50218352584528902</v>
      </c>
      <c r="K13988" s="29">
        <v>0.98289565623980701</v>
      </c>
    </row>
    <row r="13989" spans="1:11" x14ac:dyDescent="0.35">
      <c r="A13989" s="9" t="str">
        <f>HYPERLINK("http://www.ensembl.org/id/WBGene00019949", "WBGene00019949")</f>
        <v>WBGene00019949</v>
      </c>
      <c r="B13989" s="9" t="str">
        <f>HYPERLINK("http://www.ncbi.nlm.nih.gov/gene/177207", "177207")</f>
        <v>177207</v>
      </c>
      <c r="C13989" s="9"/>
      <c r="D13989" t="str">
        <f>"R08C7.5"</f>
        <v>R08C7.5</v>
      </c>
      <c r="F13989" t="s">
        <v>11</v>
      </c>
      <c r="H13989" s="12">
        <v>-1.80019997218822</v>
      </c>
      <c r="I13989" s="20">
        <v>-0.48120566373471702</v>
      </c>
      <c r="J13989" s="28">
        <v>0.63037033590921698</v>
      </c>
      <c r="K13989" s="29">
        <v>0.98289565623980701</v>
      </c>
    </row>
    <row r="13990" spans="1:11" x14ac:dyDescent="0.35">
      <c r="A13990" s="9" t="str">
        <f>HYPERLINK("http://www.ensembl.org/id/WBGene00019951", "WBGene00019951")</f>
        <v>WBGene00019951</v>
      </c>
      <c r="B13990" s="9" t="str">
        <f>HYPERLINK("http://www.ncbi.nlm.nih.gov/gene/177208", "177208")</f>
        <v>177208</v>
      </c>
      <c r="C13990" s="9"/>
      <c r="D13990" t="str">
        <f>"R08C7.8"</f>
        <v>R08C7.8</v>
      </c>
      <c r="E13990" t="s">
        <v>2496</v>
      </c>
      <c r="F13990" t="s">
        <v>11</v>
      </c>
      <c r="G13990" t="s">
        <v>2497</v>
      </c>
      <c r="H13990" s="12">
        <v>5.7989814072259502</v>
      </c>
      <c r="I13990" s="20">
        <v>1.1719505529704299</v>
      </c>
      <c r="J13990" s="28">
        <v>0.24121690900274501</v>
      </c>
      <c r="K13990" s="29">
        <v>0.98289565623980701</v>
      </c>
    </row>
    <row r="13991" spans="1:11" x14ac:dyDescent="0.35">
      <c r="A13991" s="9" t="str">
        <f>HYPERLINK("http://www.ensembl.org/id/WBGene00011144", "WBGene00011144")</f>
        <v>WBGene00011144</v>
      </c>
      <c r="B13991" s="9" t="str">
        <f>HYPERLINK("http://www.ncbi.nlm.nih.gov/gene/176269", "176269")</f>
        <v>176269</v>
      </c>
      <c r="C13991" s="9"/>
      <c r="D13991" t="str">
        <f>"R08D7.4"</f>
        <v>R08D7.4</v>
      </c>
      <c r="F13991" t="s">
        <v>11</v>
      </c>
      <c r="H13991" s="12">
        <v>-1.1095014227163</v>
      </c>
      <c r="I13991" s="20">
        <v>-0.50594156654967803</v>
      </c>
      <c r="J13991" s="28">
        <v>0.61289767106807702</v>
      </c>
      <c r="K13991" s="29">
        <v>0.98289565623980701</v>
      </c>
    </row>
    <row r="13992" spans="1:11" x14ac:dyDescent="0.35">
      <c r="A13992" s="9" t="str">
        <f>HYPERLINK("http://www.ensembl.org/id/WBGene00201895", "WBGene00201895")</f>
        <v>WBGene00201895</v>
      </c>
      <c r="B13992" s="9"/>
      <c r="C13992" s="9"/>
      <c r="D13992" t="str">
        <f>"R08E3.12"</f>
        <v>R08E3.12</v>
      </c>
      <c r="F13992" t="s">
        <v>481</v>
      </c>
      <c r="H13992" s="12">
        <v>2.3893468495514898</v>
      </c>
      <c r="I13992" s="20">
        <v>0.25323547253672701</v>
      </c>
      <c r="J13992" s="28">
        <v>0.80008625651646104</v>
      </c>
      <c r="K13992" s="29">
        <v>0.98289565623980701</v>
      </c>
    </row>
    <row r="13993" spans="1:11" x14ac:dyDescent="0.35">
      <c r="A13993" s="9" t="str">
        <f>HYPERLINK("http://www.ensembl.org/id/WBGene00019959", "WBGene00019959")</f>
        <v>WBGene00019959</v>
      </c>
      <c r="B13993" s="9" t="str">
        <f>HYPERLINK("http://www.ncbi.nlm.nih.gov/gene/180757", "180757")</f>
        <v>180757</v>
      </c>
      <c r="C13993" s="9"/>
      <c r="D13993" t="str">
        <f>"R08E3.3"</f>
        <v>R08E3.3</v>
      </c>
      <c r="F13993" t="s">
        <v>11</v>
      </c>
      <c r="G13993" t="s">
        <v>6684</v>
      </c>
      <c r="H13993" s="12">
        <v>-1.0846473555331799</v>
      </c>
      <c r="I13993" s="20">
        <v>-0.38077491489820797</v>
      </c>
      <c r="J13993" s="28">
        <v>0.70337027455226298</v>
      </c>
      <c r="K13993" s="29">
        <v>0.98289565623980701</v>
      </c>
    </row>
    <row r="13994" spans="1:11" x14ac:dyDescent="0.35">
      <c r="A13994" s="9" t="str">
        <f>HYPERLINK("http://www.ensembl.org/id/WBGene00196013", "WBGene00196013")</f>
        <v>WBGene00196013</v>
      </c>
      <c r="B13994" s="9"/>
      <c r="C13994" s="9"/>
      <c r="D13994" t="str">
        <f>"R08E3.5"</f>
        <v>R08E3.5</v>
      </c>
      <c r="F13994" t="s">
        <v>481</v>
      </c>
      <c r="H13994" s="12">
        <v>2.4578120077400301</v>
      </c>
      <c r="I13994" s="20">
        <v>0.26093350314551</v>
      </c>
      <c r="J13994" s="28">
        <v>0.79414378780213601</v>
      </c>
      <c r="K13994" s="29">
        <v>0.98289565623980701</v>
      </c>
    </row>
    <row r="13995" spans="1:11" x14ac:dyDescent="0.35">
      <c r="A13995" s="9" t="str">
        <f>HYPERLINK("http://www.ensembl.org/id/WBGene00019961", "WBGene00019961")</f>
        <v>WBGene00019961</v>
      </c>
      <c r="B13995" s="9" t="str">
        <f>HYPERLINK("http://www.ncbi.nlm.nih.gov/gene/178794", "178794")</f>
        <v>178794</v>
      </c>
      <c r="C13995" s="9"/>
      <c r="D13995" t="str">
        <f>"R08E5.1"</f>
        <v>R08E5.1</v>
      </c>
      <c r="F13995" t="s">
        <v>11</v>
      </c>
      <c r="H13995" s="12">
        <v>1.7019225407085801</v>
      </c>
      <c r="I13995" s="20">
        <v>1.1039628241038699</v>
      </c>
      <c r="J13995" s="28">
        <v>0.269609264478121</v>
      </c>
      <c r="K13995" s="29">
        <v>0.98289565623980701</v>
      </c>
    </row>
    <row r="13996" spans="1:11" x14ac:dyDescent="0.35">
      <c r="A13996" s="9" t="str">
        <f>HYPERLINK("http://www.ensembl.org/id/WBGene00019963", "WBGene00019963")</f>
        <v>WBGene00019963</v>
      </c>
      <c r="B13996" s="9" t="str">
        <f>HYPERLINK("http://www.ncbi.nlm.nih.gov/gene/178795", "178795")</f>
        <v>178795</v>
      </c>
      <c r="C13996" s="9"/>
      <c r="D13996" t="str">
        <f>"R08E5.3"</f>
        <v>R08E5.3</v>
      </c>
      <c r="F13996" t="s">
        <v>11</v>
      </c>
      <c r="H13996" s="12">
        <v>1.22463895384136</v>
      </c>
      <c r="I13996" s="20">
        <v>0.969079701349987</v>
      </c>
      <c r="J13996" s="28">
        <v>0.33250542461821903</v>
      </c>
      <c r="K13996" s="29">
        <v>0.98289565623980701</v>
      </c>
    </row>
    <row r="13997" spans="1:11" x14ac:dyDescent="0.35">
      <c r="A13997" s="9" t="str">
        <f>HYPERLINK("http://www.ensembl.org/id/WBGene00019970", "WBGene00019970")</f>
        <v>WBGene00019970</v>
      </c>
      <c r="B13997" s="9" t="str">
        <f>HYPERLINK("http://www.ncbi.nlm.nih.gov/gene/187708", "187708")</f>
        <v>187708</v>
      </c>
      <c r="C13997" s="9"/>
      <c r="D13997" t="str">
        <f>"R08F11.7"</f>
        <v>R08F11.7</v>
      </c>
      <c r="F13997" t="s">
        <v>11</v>
      </c>
      <c r="G13997" t="s">
        <v>9973</v>
      </c>
      <c r="H13997" s="12">
        <v>-1.5231397705665699</v>
      </c>
      <c r="I13997" s="20">
        <v>-1.11185322686483</v>
      </c>
      <c r="J13997" s="28">
        <v>0.26620126204977301</v>
      </c>
      <c r="K13997" s="29">
        <v>0.98289565623980701</v>
      </c>
    </row>
    <row r="13998" spans="1:11" x14ac:dyDescent="0.35">
      <c r="A13998" s="9" t="str">
        <f>HYPERLINK("http://www.ensembl.org/id/WBGene00011151", "WBGene00011151")</f>
        <v>WBGene00011151</v>
      </c>
      <c r="B13998" s="9"/>
      <c r="C13998" s="9"/>
      <c r="D13998" t="str">
        <f>"R08H2.10"</f>
        <v>R08H2.10</v>
      </c>
      <c r="F13998" t="s">
        <v>80</v>
      </c>
      <c r="H13998" s="12">
        <v>2.3893468495514898</v>
      </c>
      <c r="I13998" s="20">
        <v>0.25323547253672701</v>
      </c>
      <c r="J13998" s="28">
        <v>0.80008625651646104</v>
      </c>
      <c r="K13998" s="29">
        <v>0.98289565623980701</v>
      </c>
    </row>
    <row r="13999" spans="1:11" x14ac:dyDescent="0.35">
      <c r="A13999" s="9" t="str">
        <f>HYPERLINK("http://www.ensembl.org/id/WBGene00019972", "WBGene00019972")</f>
        <v>WBGene00019972</v>
      </c>
      <c r="B13999" s="9" t="str">
        <f>HYPERLINK("http://www.ncbi.nlm.nih.gov/gene/178603", "178603")</f>
        <v>178603</v>
      </c>
      <c r="C13999" s="9"/>
      <c r="D13999" t="str">
        <f>"R09A1.2"</f>
        <v>R09A1.2</v>
      </c>
      <c r="F13999" t="s">
        <v>11</v>
      </c>
      <c r="G13999" t="s">
        <v>54</v>
      </c>
      <c r="H13999" s="12">
        <v>-1.2651126246287501</v>
      </c>
      <c r="I13999" s="20">
        <v>-0.56760013324345304</v>
      </c>
      <c r="J13999" s="28">
        <v>0.57030651665693699</v>
      </c>
      <c r="K13999" s="29">
        <v>0.98289565623980701</v>
      </c>
    </row>
    <row r="14000" spans="1:11" x14ac:dyDescent="0.35">
      <c r="A14000" s="9" t="str">
        <f>HYPERLINK("http://www.ensembl.org/id/WBGene00019973", "WBGene00019973")</f>
        <v>WBGene00019973</v>
      </c>
      <c r="B14000" s="9" t="str">
        <f>HYPERLINK("http://www.ncbi.nlm.nih.gov/gene/178604", "178604")</f>
        <v>178604</v>
      </c>
      <c r="C14000" s="9"/>
      <c r="D14000" t="str">
        <f>"R09A1.3"</f>
        <v>R09A1.3</v>
      </c>
      <c r="F14000" t="s">
        <v>11</v>
      </c>
      <c r="H14000" s="12">
        <v>-1.3335409823443101</v>
      </c>
      <c r="I14000" s="20">
        <v>-0.92679371129204902</v>
      </c>
      <c r="J14000" s="28">
        <v>0.35403365071984</v>
      </c>
      <c r="K14000" s="29">
        <v>0.98289565623980701</v>
      </c>
    </row>
    <row r="14001" spans="1:11" x14ac:dyDescent="0.35">
      <c r="A14001" s="9" t="str">
        <f>HYPERLINK("http://www.ensembl.org/id/WBGene00195938", "WBGene00195938")</f>
        <v>WBGene00195938</v>
      </c>
      <c r="B14001" s="9"/>
      <c r="C14001" s="9"/>
      <c r="D14001" t="str">
        <f>"R09A8.6"</f>
        <v>R09A8.6</v>
      </c>
      <c r="F14001" t="s">
        <v>481</v>
      </c>
      <c r="H14001" s="12">
        <v>-6.5816209523590601</v>
      </c>
      <c r="I14001" s="20">
        <v>-0.73756827122545399</v>
      </c>
      <c r="J14001" s="28">
        <v>0.46077684215714998</v>
      </c>
      <c r="K14001" s="29">
        <v>0.98289565623980701</v>
      </c>
    </row>
    <row r="14002" spans="1:11" x14ac:dyDescent="0.35">
      <c r="A14002" s="9" t="str">
        <f>HYPERLINK("http://www.ensembl.org/id/WBGene00219278", "WBGene00219278")</f>
        <v>WBGene00219278</v>
      </c>
      <c r="B14002" s="9" t="str">
        <f>HYPERLINK("http://www.ncbi.nlm.nih.gov/gene/13223232", "13223232")</f>
        <v>13223232</v>
      </c>
      <c r="C14002" s="9"/>
      <c r="D14002" t="str">
        <f>"R09A8.9"</f>
        <v>R09A8.9</v>
      </c>
      <c r="F14002" t="s">
        <v>11</v>
      </c>
      <c r="H14002" s="12">
        <v>1.65921257148734</v>
      </c>
      <c r="I14002" s="20">
        <v>0.43816605529932701</v>
      </c>
      <c r="J14002" s="28">
        <v>0.66126591333190399</v>
      </c>
      <c r="K14002" s="29">
        <v>0.98289565623980701</v>
      </c>
    </row>
    <row r="14003" spans="1:11" x14ac:dyDescent="0.35">
      <c r="A14003" s="9" t="str">
        <f>HYPERLINK("http://www.ensembl.org/id/WBGene00014820", "WBGene00014820")</f>
        <v>WBGene00014820</v>
      </c>
      <c r="B14003" s="9"/>
      <c r="C14003" s="9"/>
      <c r="D14003" t="str">
        <f>"R09B3.6"</f>
        <v>R09B3.6</v>
      </c>
      <c r="F14003" t="s">
        <v>80</v>
      </c>
      <c r="H14003" s="12">
        <v>1.2840043731732</v>
      </c>
      <c r="I14003" s="20">
        <v>0.46160057728046</v>
      </c>
      <c r="J14003" s="28">
        <v>0.64436778052940102</v>
      </c>
      <c r="K14003" s="29">
        <v>0.98289565623980701</v>
      </c>
    </row>
    <row r="14004" spans="1:11" x14ac:dyDescent="0.35">
      <c r="A14004" s="9" t="str">
        <f>HYPERLINK("http://www.ensembl.org/id/WBGene00011168", "WBGene00011168")</f>
        <v>WBGene00011168</v>
      </c>
      <c r="B14004" s="9" t="str">
        <f>HYPERLINK("http://www.ncbi.nlm.nih.gov/gene/174501", "174501")</f>
        <v>174501</v>
      </c>
      <c r="C14004" s="9"/>
      <c r="D14004" t="str">
        <f>"R09D1.12"</f>
        <v>R09D1.12</v>
      </c>
      <c r="F14004" t="s">
        <v>11</v>
      </c>
      <c r="G14004" t="s">
        <v>4265</v>
      </c>
      <c r="H14004" s="12">
        <v>-1.3448607709987499</v>
      </c>
      <c r="I14004" s="20">
        <v>-0.54676954075726103</v>
      </c>
      <c r="J14004" s="28">
        <v>0.584537071580432</v>
      </c>
      <c r="K14004" s="29">
        <v>0.98289565623980701</v>
      </c>
    </row>
    <row r="14005" spans="1:11" x14ac:dyDescent="0.35">
      <c r="A14005" s="9" t="str">
        <f>HYPERLINK("http://www.ensembl.org/id/WBGene00011160", "WBGene00011160")</f>
        <v>WBGene00011160</v>
      </c>
      <c r="B14005" s="9"/>
      <c r="C14005" s="9"/>
      <c r="D14005" t="str">
        <f>"R09D1.4"</f>
        <v>R09D1.4</v>
      </c>
      <c r="F14005" t="s">
        <v>80</v>
      </c>
      <c r="H14005" s="12">
        <v>-2.3700125250522901</v>
      </c>
      <c r="I14005" s="20">
        <v>-0.29053697296179998</v>
      </c>
      <c r="J14005" s="28">
        <v>0.77140546964177203</v>
      </c>
      <c r="K14005" s="29">
        <v>0.98289565623980701</v>
      </c>
    </row>
    <row r="14006" spans="1:11" x14ac:dyDescent="0.35">
      <c r="A14006" s="9" t="str">
        <f>HYPERLINK("http://www.ensembl.org/id/WBGene00011165", "WBGene00011165")</f>
        <v>WBGene00011165</v>
      </c>
      <c r="B14006" s="9"/>
      <c r="C14006" s="9"/>
      <c r="D14006" t="str">
        <f>"R09D1.9"</f>
        <v>R09D1.9</v>
      </c>
      <c r="F14006" t="s">
        <v>80</v>
      </c>
      <c r="H14006" s="12">
        <v>-1.6320960214656199</v>
      </c>
      <c r="I14006" s="20">
        <v>-0.37121031118981501</v>
      </c>
      <c r="J14006" s="28">
        <v>0.71048089370913303</v>
      </c>
      <c r="K14006" s="29">
        <v>0.98289565623980701</v>
      </c>
    </row>
    <row r="14007" spans="1:11" x14ac:dyDescent="0.35">
      <c r="A14007" s="9" t="str">
        <f>HYPERLINK("http://www.ensembl.org/id/WBGene00011171", "WBGene00011171")</f>
        <v>WBGene00011171</v>
      </c>
      <c r="B14007" s="9" t="str">
        <f>HYPERLINK("http://www.ncbi.nlm.nih.gov/gene/177920", "177920")</f>
        <v>177920</v>
      </c>
      <c r="C14007" s="9"/>
      <c r="D14007" t="str">
        <f>"R09E10.1"</f>
        <v>R09E10.1</v>
      </c>
      <c r="F14007" t="s">
        <v>11</v>
      </c>
      <c r="H14007" s="12">
        <v>-1.08717757813497</v>
      </c>
      <c r="I14007" s="20">
        <v>-0.31575095906325301</v>
      </c>
      <c r="J14007" s="28">
        <v>0.75219154409564204</v>
      </c>
      <c r="K14007" s="29">
        <v>0.98289565623980701</v>
      </c>
    </row>
    <row r="14008" spans="1:11" x14ac:dyDescent="0.35">
      <c r="A14008" s="9" t="str">
        <f>HYPERLINK("http://www.ensembl.org/id/WBGene00011175", "WBGene00011175")</f>
        <v>WBGene00011175</v>
      </c>
      <c r="B14008" s="9" t="str">
        <f>HYPERLINK("http://www.ncbi.nlm.nih.gov/gene/187743", "187743")</f>
        <v>187743</v>
      </c>
      <c r="C14008" s="9"/>
      <c r="D14008" t="str">
        <f>"R09E10.5"</f>
        <v>R09E10.5</v>
      </c>
      <c r="F14008" t="s">
        <v>11</v>
      </c>
      <c r="G14008" t="s">
        <v>5541</v>
      </c>
      <c r="H14008" s="12">
        <v>1.1484556635790899</v>
      </c>
      <c r="I14008" s="20">
        <v>0.55479841176504496</v>
      </c>
      <c r="J14008" s="28">
        <v>0.579032553615208</v>
      </c>
      <c r="K14008" s="29">
        <v>0.98289565623980701</v>
      </c>
    </row>
    <row r="14009" spans="1:11" x14ac:dyDescent="0.35">
      <c r="A14009" s="9" t="str">
        <f>HYPERLINK("http://www.ensembl.org/id/WBGene00044514", "WBGene00044514")</f>
        <v>WBGene00044514</v>
      </c>
      <c r="B14009" s="9" t="str">
        <f>HYPERLINK("http://www.ncbi.nlm.nih.gov/gene/3896848", "3896848")</f>
        <v>3896848</v>
      </c>
      <c r="C14009" s="9"/>
      <c r="D14009" t="str">
        <f>"R09E12.9"</f>
        <v>R09E12.9</v>
      </c>
      <c r="F14009" t="s">
        <v>11</v>
      </c>
      <c r="H14009" s="12">
        <v>-1.1036252577022101</v>
      </c>
      <c r="I14009" s="20">
        <v>-0.38025080420806301</v>
      </c>
      <c r="J14009" s="28">
        <v>0.70375925011548801</v>
      </c>
      <c r="K14009" s="29">
        <v>0.98289565623980701</v>
      </c>
    </row>
    <row r="14010" spans="1:11" x14ac:dyDescent="0.35">
      <c r="A14010" s="9" t="str">
        <f>HYPERLINK("http://www.ensembl.org/id/WBGene00019986", "WBGene00019986")</f>
        <v>WBGene00019986</v>
      </c>
      <c r="B14010" s="9" t="str">
        <f>HYPERLINK("http://www.ncbi.nlm.nih.gov/gene/181087", "181087")</f>
        <v>181087</v>
      </c>
      <c r="C14010" s="9"/>
      <c r="D14010" t="str">
        <f>"R09F10.1"</f>
        <v>R09F10.1</v>
      </c>
      <c r="F14010" t="s">
        <v>11</v>
      </c>
      <c r="G14010" t="s">
        <v>9757</v>
      </c>
      <c r="H14010" s="12">
        <v>-1.2950386011311199</v>
      </c>
      <c r="I14010" s="20">
        <v>-1.13510718151614</v>
      </c>
      <c r="J14010" s="28">
        <v>0.25633041292909903</v>
      </c>
      <c r="K14010" s="29">
        <v>0.98289565623980701</v>
      </c>
    </row>
    <row r="14011" spans="1:11" x14ac:dyDescent="0.35">
      <c r="A14011" s="9" t="str">
        <f>HYPERLINK("http://www.ensembl.org/id/WBGene00019987", "WBGene00019987")</f>
        <v>WBGene00019987</v>
      </c>
      <c r="B14011" s="9" t="str">
        <f>HYPERLINK("http://www.ncbi.nlm.nih.gov/gene/181085", "181085")</f>
        <v>181085</v>
      </c>
      <c r="C14011" s="9"/>
      <c r="D14011" t="str">
        <f>"R09F10.3"</f>
        <v>R09F10.3</v>
      </c>
      <c r="F14011" t="s">
        <v>11</v>
      </c>
      <c r="G14011" t="s">
        <v>7568</v>
      </c>
      <c r="H14011" s="12">
        <v>-1.1337155275661801</v>
      </c>
      <c r="I14011" s="20">
        <v>-0.58416895287245596</v>
      </c>
      <c r="J14011" s="28">
        <v>0.55910664753906902</v>
      </c>
      <c r="K14011" s="29">
        <v>0.98289565623980701</v>
      </c>
    </row>
    <row r="14012" spans="1:11" x14ac:dyDescent="0.35">
      <c r="A14012" s="9" t="str">
        <f>HYPERLINK("http://www.ensembl.org/id/WBGene00019988", "WBGene00019988")</f>
        <v>WBGene00019988</v>
      </c>
      <c r="B14012" s="9" t="str">
        <f>HYPERLINK("http://www.ncbi.nlm.nih.gov/gene/187750", "187750")</f>
        <v>187750</v>
      </c>
      <c r="C14012" s="9"/>
      <c r="D14012" t="str">
        <f>"R09F10.5"</f>
        <v>R09F10.5</v>
      </c>
      <c r="F14012" t="s">
        <v>11</v>
      </c>
      <c r="G14012" t="s">
        <v>25</v>
      </c>
      <c r="H14012" s="12">
        <v>1.10901231925567</v>
      </c>
      <c r="I14012" s="20">
        <v>0.47992268428798401</v>
      </c>
      <c r="J14012" s="28">
        <v>0.63128237055370695</v>
      </c>
      <c r="K14012" s="29">
        <v>0.98289565623980701</v>
      </c>
    </row>
    <row r="14013" spans="1:11" x14ac:dyDescent="0.35">
      <c r="A14013" s="9" t="str">
        <f>HYPERLINK("http://www.ensembl.org/id/WBGene00011182", "WBGene00011182")</f>
        <v>WBGene00011182</v>
      </c>
      <c r="B14013" s="9" t="str">
        <f>HYPERLINK("http://www.ncbi.nlm.nih.gov/gene/177952", "177952")</f>
        <v>177952</v>
      </c>
      <c r="C14013" s="9"/>
      <c r="D14013" t="str">
        <f>"R09H10.5"</f>
        <v>R09H10.5</v>
      </c>
      <c r="F14013" t="s">
        <v>11</v>
      </c>
      <c r="H14013" s="12">
        <v>-1.0679880888866899</v>
      </c>
      <c r="I14013" s="20">
        <v>-0.28697942639334001</v>
      </c>
      <c r="J14013" s="28">
        <v>0.77412807331746603</v>
      </c>
      <c r="K14013" s="29">
        <v>0.98289565623980701</v>
      </c>
    </row>
    <row r="14014" spans="1:11" x14ac:dyDescent="0.35">
      <c r="A14014" s="9" t="str">
        <f>HYPERLINK("http://www.ensembl.org/id/WBGene00011183", "WBGene00011183")</f>
        <v>WBGene00011183</v>
      </c>
      <c r="B14014" s="9" t="str">
        <f>HYPERLINK("http://www.ncbi.nlm.nih.gov/gene/3565342", "3565342")</f>
        <v>3565342</v>
      </c>
      <c r="C14014" s="9"/>
      <c r="D14014" t="str">
        <f>"R09H10.6"</f>
        <v>R09H10.6</v>
      </c>
      <c r="F14014" t="s">
        <v>11</v>
      </c>
      <c r="G14014" t="s">
        <v>325</v>
      </c>
      <c r="H14014" s="12">
        <v>21.2556444912755</v>
      </c>
      <c r="I14014" s="20">
        <v>1.18457169096875</v>
      </c>
      <c r="J14014" s="28">
        <v>0.236186835403803</v>
      </c>
      <c r="K14014" s="29">
        <v>0.98289565623980701</v>
      </c>
    </row>
    <row r="14015" spans="1:11" x14ac:dyDescent="0.35">
      <c r="A14015" s="9" t="str">
        <f>HYPERLINK("http://www.ensembl.org/id/WBGene00011184", "WBGene00011184")</f>
        <v>WBGene00011184</v>
      </c>
      <c r="B14015" s="9" t="str">
        <f>HYPERLINK("http://www.ncbi.nlm.nih.gov/gene/3565792", "3565792")</f>
        <v>3565792</v>
      </c>
      <c r="C14015" s="9"/>
      <c r="D14015" t="str">
        <f>"R09H10.7"</f>
        <v>R09H10.7</v>
      </c>
      <c r="F14015" t="s">
        <v>11</v>
      </c>
      <c r="G14015" t="s">
        <v>25</v>
      </c>
      <c r="H14015" s="12">
        <v>1.2196473676198301</v>
      </c>
      <c r="I14015" s="20">
        <v>0.45236777617658702</v>
      </c>
      <c r="J14015" s="28">
        <v>0.65100405710184905</v>
      </c>
      <c r="K14015" s="29">
        <v>0.98289565623980701</v>
      </c>
    </row>
    <row r="14016" spans="1:11" x14ac:dyDescent="0.35">
      <c r="A14016" s="9" t="str">
        <f>HYPERLINK("http://www.ensembl.org/id/WBGene00019991", "WBGene00019991")</f>
        <v>WBGene00019991</v>
      </c>
      <c r="B14016" s="9" t="str">
        <f>HYPERLINK("http://www.ncbi.nlm.nih.gov/gene/24104798", "24104798")</f>
        <v>24104798</v>
      </c>
      <c r="C14016" s="9"/>
      <c r="D14016" t="str">
        <f>"R09H3.3"</f>
        <v>R09H3.3</v>
      </c>
      <c r="F14016" t="s">
        <v>11</v>
      </c>
      <c r="H14016" s="12">
        <v>7.6616465944663696</v>
      </c>
      <c r="I14016" s="20">
        <v>0.60406875593600395</v>
      </c>
      <c r="J14016" s="28">
        <v>0.54579793098927099</v>
      </c>
      <c r="K14016" s="29">
        <v>0.98289565623980701</v>
      </c>
    </row>
    <row r="14017" spans="1:11" x14ac:dyDescent="0.35">
      <c r="A14017" s="9" t="str">
        <f>HYPERLINK("http://www.ensembl.org/id/WBGene00011297", "WBGene00011297")</f>
        <v>WBGene00011297</v>
      </c>
      <c r="B14017" s="9" t="str">
        <f>HYPERLINK("http://www.ncbi.nlm.nih.gov/gene/3564803", "3564803")</f>
        <v>3564803</v>
      </c>
      <c r="C14017" s="9"/>
      <c r="D14017" t="str">
        <f>"R102.10"</f>
        <v>R102.10</v>
      </c>
      <c r="F14017" t="s">
        <v>11</v>
      </c>
      <c r="H14017" s="12">
        <v>1.9862728677183299</v>
      </c>
      <c r="I14017" s="20">
        <v>0.65377623748418001</v>
      </c>
      <c r="J14017" s="28">
        <v>0.51325597791301203</v>
      </c>
      <c r="K14017" s="29">
        <v>0.98289565623980701</v>
      </c>
    </row>
    <row r="14018" spans="1:11" x14ac:dyDescent="0.35">
      <c r="A14018" s="9" t="str">
        <f>HYPERLINK("http://www.ensembl.org/id/WBGene00077714", "WBGene00077714")</f>
        <v>WBGene00077714</v>
      </c>
      <c r="B14018" s="9" t="str">
        <f>HYPERLINK("http://www.ncbi.nlm.nih.gov/gene/7040123", "7040123")</f>
        <v>7040123</v>
      </c>
      <c r="C14018" s="9"/>
      <c r="D14018" t="str">
        <f>"R102.11"</f>
        <v>R102.11</v>
      </c>
      <c r="F14018" t="s">
        <v>11</v>
      </c>
      <c r="H14018" s="12">
        <v>1.76476061583332</v>
      </c>
      <c r="I14018" s="20">
        <v>0.58969535683572005</v>
      </c>
      <c r="J14018" s="28">
        <v>0.555394908679538</v>
      </c>
      <c r="K14018" s="29">
        <v>0.98289565623980701</v>
      </c>
    </row>
    <row r="14019" spans="1:11" x14ac:dyDescent="0.35">
      <c r="A14019" s="9" t="str">
        <f>HYPERLINK("http://www.ensembl.org/id/WBGene00011291", "WBGene00011291")</f>
        <v>WBGene00011291</v>
      </c>
      <c r="B14019" s="9" t="str">
        <f>HYPERLINK("http://www.ncbi.nlm.nih.gov/gene/177961", "177961")</f>
        <v>177961</v>
      </c>
      <c r="C14019" s="9"/>
      <c r="D14019" t="str">
        <f>"R102.4"</f>
        <v>R102.4</v>
      </c>
      <c r="F14019" t="s">
        <v>11</v>
      </c>
      <c r="G14019" t="s">
        <v>6917</v>
      </c>
      <c r="H14019" s="12">
        <v>-1.09721524652473</v>
      </c>
      <c r="I14019" s="20">
        <v>-0.42533931391329999</v>
      </c>
      <c r="J14019" s="28">
        <v>0.67058933825418499</v>
      </c>
      <c r="K14019" s="29">
        <v>0.98289565623980701</v>
      </c>
    </row>
    <row r="14020" spans="1:11" x14ac:dyDescent="0.35">
      <c r="A14020" s="9" t="str">
        <f>HYPERLINK("http://www.ensembl.org/id/WBGene00011294", "WBGene00011294")</f>
        <v>WBGene00011294</v>
      </c>
      <c r="B14020" s="9"/>
      <c r="C14020" s="9"/>
      <c r="D14020" t="str">
        <f>"R102.7"</f>
        <v>R102.7</v>
      </c>
      <c r="F14020" t="s">
        <v>80</v>
      </c>
      <c r="H14020" s="12">
        <v>2.7590943457620201</v>
      </c>
      <c r="I14020" s="20">
        <v>0.399394997622048</v>
      </c>
      <c r="J14020" s="28">
        <v>0.68960217929659196</v>
      </c>
      <c r="K14020" s="29">
        <v>0.98289565623980701</v>
      </c>
    </row>
    <row r="14021" spans="1:11" x14ac:dyDescent="0.35">
      <c r="A14021" s="9" t="str">
        <f>HYPERLINK("http://www.ensembl.org/id/WBGene00011295", "WBGene00011295")</f>
        <v>WBGene00011295</v>
      </c>
      <c r="B14021" s="9" t="str">
        <f>HYPERLINK("http://www.ncbi.nlm.nih.gov/gene/187894", "187894")</f>
        <v>187894</v>
      </c>
      <c r="C14021" s="9"/>
      <c r="D14021" t="str">
        <f>"R102.8"</f>
        <v>R102.8</v>
      </c>
      <c r="F14021" t="s">
        <v>11</v>
      </c>
      <c r="H14021" s="12">
        <v>-1.72015738873766</v>
      </c>
      <c r="I14021" s="20">
        <v>-0.27236994838053602</v>
      </c>
      <c r="J14021" s="28">
        <v>0.78533757722282105</v>
      </c>
      <c r="K14021" s="29">
        <v>0.98289565623980701</v>
      </c>
    </row>
    <row r="14022" spans="1:11" x14ac:dyDescent="0.35">
      <c r="A14022" s="9" t="str">
        <f>HYPERLINK("http://www.ensembl.org/id/WBGene00020084", "WBGene00020084")</f>
        <v>WBGene00020084</v>
      </c>
      <c r="B14022" s="9" t="str">
        <f>HYPERLINK("http://www.ncbi.nlm.nih.gov/gene/187895", "187895")</f>
        <v>187895</v>
      </c>
      <c r="C14022" s="9"/>
      <c r="D14022" t="str">
        <f>"R105.1"</f>
        <v>R105.1</v>
      </c>
      <c r="F14022" t="s">
        <v>11</v>
      </c>
      <c r="G14022" t="s">
        <v>63</v>
      </c>
      <c r="H14022" s="12">
        <v>1.4615335339856601</v>
      </c>
      <c r="I14022" s="20">
        <v>0.66640606075364905</v>
      </c>
      <c r="J14022" s="28">
        <v>0.50515158963471496</v>
      </c>
      <c r="K14022" s="29">
        <v>0.98289565623980701</v>
      </c>
    </row>
    <row r="14023" spans="1:11" x14ac:dyDescent="0.35">
      <c r="A14023" s="9" t="str">
        <f>HYPERLINK("http://www.ensembl.org/id/WBGene00235120", "WBGene00235120")</f>
        <v>WBGene00235120</v>
      </c>
      <c r="B14023" s="9" t="str">
        <f>HYPERLINK("http://www.ncbi.nlm.nih.gov/gene/24104800", "24104800")</f>
        <v>24104800</v>
      </c>
      <c r="C14023" s="9"/>
      <c r="D14023" t="str">
        <f>"R105.5"</f>
        <v>R105.5</v>
      </c>
      <c r="F14023" t="s">
        <v>11</v>
      </c>
      <c r="G14023" t="s">
        <v>63</v>
      </c>
      <c r="H14023" s="12">
        <v>-2.4991590031922399</v>
      </c>
      <c r="I14023" s="20">
        <v>-0.26577412737581302</v>
      </c>
      <c r="J14023" s="28">
        <v>0.79041317015736101</v>
      </c>
      <c r="K14023" s="29">
        <v>0.98289565623980701</v>
      </c>
    </row>
    <row r="14024" spans="1:11" x14ac:dyDescent="0.35">
      <c r="A14024" s="9" t="str">
        <f>HYPERLINK("http://www.ensembl.org/id/WBGene00271642", "WBGene00271642")</f>
        <v>WBGene00271642</v>
      </c>
      <c r="B14024" s="9"/>
      <c r="C14024" s="9"/>
      <c r="D14024" t="str">
        <f>"R106.8"</f>
        <v>R106.8</v>
      </c>
      <c r="F14024" t="s">
        <v>481</v>
      </c>
      <c r="H14024" s="12">
        <v>-1.0589813126294401</v>
      </c>
      <c r="I14024" s="20">
        <v>-0.31065181243901202</v>
      </c>
      <c r="J14024" s="28">
        <v>0.75606533393060404</v>
      </c>
      <c r="K14024" s="29">
        <v>0.98289565623980701</v>
      </c>
    </row>
    <row r="14025" spans="1:11" x14ac:dyDescent="0.35">
      <c r="A14025" s="9" t="str">
        <f>HYPERLINK("http://www.ensembl.org/id/WBGene00011298", "WBGene00011298")</f>
        <v>WBGene00011298</v>
      </c>
      <c r="B14025" s="9" t="str">
        <f>HYPERLINK("http://www.ncbi.nlm.nih.gov/gene/176277", "176277")</f>
        <v>176277</v>
      </c>
      <c r="C14025" s="9"/>
      <c r="D14025" t="str">
        <f>"R107.2"</f>
        <v>R107.2</v>
      </c>
      <c r="E14025" t="s">
        <v>8950</v>
      </c>
      <c r="F14025" t="s">
        <v>11</v>
      </c>
      <c r="G14025" t="s">
        <v>8951</v>
      </c>
      <c r="H14025" s="12">
        <v>-1.2103075566420201</v>
      </c>
      <c r="I14025" s="20">
        <v>-0.889490441224978</v>
      </c>
      <c r="J14025" s="28">
        <v>0.37373955814591697</v>
      </c>
      <c r="K14025" s="29">
        <v>0.98289565623980701</v>
      </c>
    </row>
    <row r="14026" spans="1:11" x14ac:dyDescent="0.35">
      <c r="A14026" s="9" t="str">
        <f>HYPERLINK("http://www.ensembl.org/id/WBGene00011300", "WBGene00011300")</f>
        <v>WBGene00011300</v>
      </c>
      <c r="B14026" s="9" t="str">
        <f>HYPERLINK("http://www.ncbi.nlm.nih.gov/gene/176279", "176279")</f>
        <v>176279</v>
      </c>
      <c r="C14026" s="9"/>
      <c r="D14026" t="str">
        <f>"R107.5"</f>
        <v>R107.5</v>
      </c>
      <c r="F14026" t="s">
        <v>11</v>
      </c>
      <c r="H14026" s="12">
        <v>1.08800513593561</v>
      </c>
      <c r="I14026" s="20">
        <v>0.46967226876193502</v>
      </c>
      <c r="J14026" s="28">
        <v>0.63858918339137805</v>
      </c>
      <c r="K14026" s="29">
        <v>0.98289565623980701</v>
      </c>
    </row>
    <row r="14027" spans="1:11" x14ac:dyDescent="0.35">
      <c r="A14027" s="9" t="str">
        <f>HYPERLINK("http://www.ensembl.org/id/WBGene00194871", "WBGene00194871")</f>
        <v>WBGene00194871</v>
      </c>
      <c r="B14027" s="9" t="str">
        <f>HYPERLINK("http://www.ncbi.nlm.nih.gov/gene/13190673", "13190673")</f>
        <v>13190673</v>
      </c>
      <c r="C14027" s="9"/>
      <c r="D14027" t="str">
        <f>"R107.9"</f>
        <v>R107.9</v>
      </c>
      <c r="F14027" t="s">
        <v>11</v>
      </c>
      <c r="H14027" s="12">
        <v>2.4578120077400301</v>
      </c>
      <c r="I14027" s="20">
        <v>0.26093350314551</v>
      </c>
      <c r="J14027" s="28">
        <v>0.79414378780213601</v>
      </c>
      <c r="K14027" s="29">
        <v>0.98289565623980701</v>
      </c>
    </row>
    <row r="14028" spans="1:11" x14ac:dyDescent="0.35">
      <c r="A14028" s="9" t="str">
        <f>HYPERLINK("http://www.ensembl.org/id/WBGene00011185", "WBGene00011185")</f>
        <v>WBGene00011185</v>
      </c>
      <c r="B14028" s="9" t="str">
        <f>HYPERLINK("http://www.ncbi.nlm.nih.gov/gene/179888", "179888")</f>
        <v>179888</v>
      </c>
      <c r="C14028" s="9"/>
      <c r="D14028" t="str">
        <f>"R10D12.1"</f>
        <v>R10D12.1</v>
      </c>
      <c r="F14028" t="s">
        <v>11</v>
      </c>
      <c r="G14028" t="s">
        <v>230</v>
      </c>
      <c r="H14028" s="12">
        <v>1.4784699626781399</v>
      </c>
      <c r="I14028" s="20">
        <v>0.76464213070125497</v>
      </c>
      <c r="J14028" s="28">
        <v>0.44448467431313698</v>
      </c>
      <c r="K14028" s="29">
        <v>0.98289565623980701</v>
      </c>
    </row>
    <row r="14029" spans="1:11" x14ac:dyDescent="0.35">
      <c r="A14029" s="9" t="str">
        <f>HYPERLINK("http://www.ensembl.org/id/WBGene00011194", "WBGene00011194")</f>
        <v>WBGene00011194</v>
      </c>
      <c r="B14029" s="9" t="str">
        <f>HYPERLINK("http://www.ncbi.nlm.nih.gov/gene/179891", "179891")</f>
        <v>179891</v>
      </c>
      <c r="C14029" s="9"/>
      <c r="D14029" t="str">
        <f>"R10D12.13"</f>
        <v>R10D12.13</v>
      </c>
      <c r="F14029" t="s">
        <v>11</v>
      </c>
      <c r="H14029" s="12">
        <v>-1.2230217710967</v>
      </c>
      <c r="I14029" s="20">
        <v>-0.83062597130392102</v>
      </c>
      <c r="J14029" s="28">
        <v>0.40618495833618701</v>
      </c>
      <c r="K14029" s="29">
        <v>0.98289565623980701</v>
      </c>
    </row>
    <row r="14030" spans="1:11" x14ac:dyDescent="0.35">
      <c r="A14030" s="9" t="str">
        <f>HYPERLINK("http://www.ensembl.org/id/WBGene00201783", "WBGene00201783")</f>
        <v>WBGene00201783</v>
      </c>
      <c r="B14030" s="9"/>
      <c r="C14030" s="9"/>
      <c r="D14030" t="str">
        <f>"R10D12.19"</f>
        <v>R10D12.19</v>
      </c>
      <c r="F14030" t="s">
        <v>481</v>
      </c>
      <c r="H14030" s="12">
        <v>5.2322000618327396</v>
      </c>
      <c r="I14030" s="20">
        <v>0.486112489888328</v>
      </c>
      <c r="J14030" s="28">
        <v>0.62688741196182496</v>
      </c>
      <c r="K14030" s="29">
        <v>0.98289565623980701</v>
      </c>
    </row>
    <row r="14031" spans="1:11" x14ac:dyDescent="0.35">
      <c r="A14031" s="9" t="str">
        <f>HYPERLINK("http://www.ensembl.org/id/WBGene00011187", "WBGene00011187")</f>
        <v>WBGene00011187</v>
      </c>
      <c r="B14031" s="9" t="str">
        <f>HYPERLINK("http://www.ncbi.nlm.nih.gov/gene/187763", "187763")</f>
        <v>187763</v>
      </c>
      <c r="C14031" s="9"/>
      <c r="D14031" t="str">
        <f>"R10D12.6"</f>
        <v>R10D12.6</v>
      </c>
      <c r="F14031" t="s">
        <v>11</v>
      </c>
      <c r="G14031" t="s">
        <v>25</v>
      </c>
      <c r="H14031" s="12">
        <v>-5.3201785866927001</v>
      </c>
      <c r="I14031" s="20">
        <v>-0.49101042295714697</v>
      </c>
      <c r="J14031" s="28">
        <v>0.62341907564475696</v>
      </c>
      <c r="K14031" s="29">
        <v>0.98289565623980701</v>
      </c>
    </row>
    <row r="14032" spans="1:11" x14ac:dyDescent="0.35">
      <c r="A14032" s="9" t="str">
        <f>HYPERLINK("http://www.ensembl.org/id/WBGene00011188", "WBGene00011188")</f>
        <v>WBGene00011188</v>
      </c>
      <c r="B14032" s="9" t="str">
        <f>HYPERLINK("http://www.ncbi.nlm.nih.gov/gene/187764", "187764")</f>
        <v>187764</v>
      </c>
      <c r="C14032" s="9"/>
      <c r="D14032" t="str">
        <f>"R10D12.7"</f>
        <v>R10D12.7</v>
      </c>
      <c r="F14032" t="s">
        <v>11</v>
      </c>
      <c r="G14032" t="s">
        <v>25</v>
      </c>
      <c r="H14032" s="12">
        <v>2.26634394182939</v>
      </c>
      <c r="I14032" s="20">
        <v>0.66787598730418896</v>
      </c>
      <c r="J14032" s="28">
        <v>0.50421275651950703</v>
      </c>
      <c r="K14032" s="29">
        <v>0.98289565623980701</v>
      </c>
    </row>
    <row r="14033" spans="1:11" x14ac:dyDescent="0.35">
      <c r="A14033" s="9" t="str">
        <f>HYPERLINK("http://www.ensembl.org/id/WBGene00196856", "WBGene00196856")</f>
        <v>WBGene00196856</v>
      </c>
      <c r="B14033" s="9"/>
      <c r="C14033" s="9"/>
      <c r="D14033" t="str">
        <f>"R10E11.10"</f>
        <v>R10E11.10</v>
      </c>
      <c r="F14033" t="s">
        <v>481</v>
      </c>
      <c r="H14033" s="12">
        <v>2.4578120077400301</v>
      </c>
      <c r="I14033" s="20">
        <v>0.26093350314551</v>
      </c>
      <c r="J14033" s="28">
        <v>0.79414378780213601</v>
      </c>
      <c r="K14033" s="29">
        <v>0.98289565623980701</v>
      </c>
    </row>
    <row r="14034" spans="1:11" x14ac:dyDescent="0.35">
      <c r="A14034" s="9" t="str">
        <f>HYPERLINK("http://www.ensembl.org/id/WBGene00200960", "WBGene00200960")</f>
        <v>WBGene00200960</v>
      </c>
      <c r="B14034" s="9"/>
      <c r="C14034" s="9"/>
      <c r="D14034" t="str">
        <f>"R10E11.12"</f>
        <v>R10E11.12</v>
      </c>
      <c r="F14034" t="s">
        <v>481</v>
      </c>
      <c r="H14034" s="12">
        <v>5.4552761280866902</v>
      </c>
      <c r="I14034" s="20">
        <v>0.76142467042008599</v>
      </c>
      <c r="J14034" s="28">
        <v>0.44640345667389703</v>
      </c>
      <c r="K14034" s="29">
        <v>0.98289565623980701</v>
      </c>
    </row>
    <row r="14035" spans="1:11" x14ac:dyDescent="0.35">
      <c r="A14035" s="9" t="str">
        <f>HYPERLINK("http://www.ensembl.org/id/WBGene00011220", "WBGene00011220")</f>
        <v>WBGene00011220</v>
      </c>
      <c r="B14035" s="9" t="str">
        <f>HYPERLINK("http://www.ncbi.nlm.nih.gov/gene/187781", "187781")</f>
        <v>187781</v>
      </c>
      <c r="C14035" s="9"/>
      <c r="D14035" t="str">
        <f>"R10E11.9"</f>
        <v>R10E11.9</v>
      </c>
      <c r="F14035" t="s">
        <v>11</v>
      </c>
      <c r="G14035" t="s">
        <v>25</v>
      </c>
      <c r="H14035" s="12">
        <v>1.88455911219698</v>
      </c>
      <c r="I14035" s="20">
        <v>1.1575636819819</v>
      </c>
      <c r="J14035" s="28">
        <v>0.24704213738320499</v>
      </c>
      <c r="K14035" s="29">
        <v>0.98289565623980701</v>
      </c>
    </row>
    <row r="14036" spans="1:11" x14ac:dyDescent="0.35">
      <c r="A14036" s="9" t="str">
        <f>HYPERLINK("http://www.ensembl.org/id/WBGene00200256", "WBGene00200256")</f>
        <v>WBGene00200256</v>
      </c>
      <c r="B14036" s="9"/>
      <c r="C14036" s="9"/>
      <c r="D14036" t="str">
        <f>"R10E12.8"</f>
        <v>R10E12.8</v>
      </c>
      <c r="F14036" t="s">
        <v>481</v>
      </c>
      <c r="H14036" s="12">
        <v>-2.4991590031922399</v>
      </c>
      <c r="I14036" s="20">
        <v>-0.26577412737581302</v>
      </c>
      <c r="J14036" s="28">
        <v>0.79041317015736101</v>
      </c>
      <c r="K14036" s="29">
        <v>0.98289565623980701</v>
      </c>
    </row>
    <row r="14037" spans="1:11" x14ac:dyDescent="0.35">
      <c r="A14037" s="9" t="str">
        <f>HYPERLINK("http://www.ensembl.org/id/WBGene00011198", "WBGene00011198")</f>
        <v>WBGene00011198</v>
      </c>
      <c r="B14037" s="9" t="str">
        <f>HYPERLINK("http://www.ncbi.nlm.nih.gov/gene/175550", "175550")</f>
        <v>175550</v>
      </c>
      <c r="C14037" s="9"/>
      <c r="D14037" t="str">
        <f>"R10E4.1"</f>
        <v>R10E4.1</v>
      </c>
      <c r="F14037" t="s">
        <v>11</v>
      </c>
      <c r="G14037" t="s">
        <v>54</v>
      </c>
      <c r="H14037" s="12">
        <v>-1.08121323562965</v>
      </c>
      <c r="I14037" s="20">
        <v>-0.41961816697710602</v>
      </c>
      <c r="J14037" s="28">
        <v>0.67476441475847304</v>
      </c>
      <c r="K14037" s="29">
        <v>0.98289565623980701</v>
      </c>
    </row>
    <row r="14038" spans="1:11" x14ac:dyDescent="0.35">
      <c r="A14038" s="9" t="str">
        <f>HYPERLINK("http://www.ensembl.org/id/WBGene00011206", "WBGene00011206")</f>
        <v>WBGene00011206</v>
      </c>
      <c r="B14038" s="9" t="str">
        <f>HYPERLINK("http://www.ncbi.nlm.nih.gov/gene/175554", "175554")</f>
        <v>175554</v>
      </c>
      <c r="C14038" s="9"/>
      <c r="D14038" t="str">
        <f>"R10E4.11"</f>
        <v>R10E4.11</v>
      </c>
      <c r="F14038" t="s">
        <v>11</v>
      </c>
      <c r="G14038" t="s">
        <v>1791</v>
      </c>
      <c r="H14038" s="12">
        <v>-1.2307996041959399</v>
      </c>
      <c r="I14038" s="20">
        <v>-0.90160138528597999</v>
      </c>
      <c r="J14038" s="28">
        <v>0.36726865487688398</v>
      </c>
      <c r="K14038" s="29">
        <v>0.98289565623980701</v>
      </c>
    </row>
    <row r="14039" spans="1:11" x14ac:dyDescent="0.35">
      <c r="A14039" s="9" t="str">
        <f>HYPERLINK("http://www.ensembl.org/id/WBGene00011205", "WBGene00011205")</f>
        <v>WBGene00011205</v>
      </c>
      <c r="B14039" s="9" t="str">
        <f>HYPERLINK("http://www.ncbi.nlm.nih.gov/gene/187773", "187773")</f>
        <v>187773</v>
      </c>
      <c r="C14039" s="9"/>
      <c r="D14039" t="str">
        <f>"R10E4.9"</f>
        <v>R10E4.9</v>
      </c>
      <c r="E14039" t="s">
        <v>7365</v>
      </c>
      <c r="F14039" t="s">
        <v>11</v>
      </c>
      <c r="G14039" t="s">
        <v>7366</v>
      </c>
      <c r="H14039" s="12">
        <v>-1.1218071944838699</v>
      </c>
      <c r="I14039" s="20">
        <v>-0.52846737482490702</v>
      </c>
      <c r="J14039" s="28">
        <v>0.59717498542447101</v>
      </c>
      <c r="K14039" s="29">
        <v>0.98289565623980701</v>
      </c>
    </row>
    <row r="14040" spans="1:11" x14ac:dyDescent="0.35">
      <c r="A14040" s="9" t="str">
        <f>HYPERLINK("http://www.ensembl.org/id/WBGene00011207", "WBGene00011207")</f>
        <v>WBGene00011207</v>
      </c>
      <c r="B14040" s="9" t="str">
        <f>HYPERLINK("http://www.ncbi.nlm.nih.gov/gene/180194", "180194")</f>
        <v>180194</v>
      </c>
      <c r="C14040" s="9"/>
      <c r="D14040" t="str">
        <f>"R10E8.1"</f>
        <v>R10E8.1</v>
      </c>
      <c r="F14040" t="s">
        <v>11</v>
      </c>
      <c r="H14040" s="12">
        <v>1.1541158256648401</v>
      </c>
      <c r="I14040" s="20">
        <v>0.52927085302447896</v>
      </c>
      <c r="J14040" s="28">
        <v>0.59661757188167397</v>
      </c>
      <c r="K14040" s="29">
        <v>0.98289565623980701</v>
      </c>
    </row>
    <row r="14041" spans="1:11" x14ac:dyDescent="0.35">
      <c r="A14041" s="9" t="str">
        <f>HYPERLINK("http://www.ensembl.org/id/WBGene00011210", "WBGene00011210")</f>
        <v>WBGene00011210</v>
      </c>
      <c r="B14041" s="9"/>
      <c r="C14041" s="9"/>
      <c r="D14041" t="str">
        <f>"R10E8.4"</f>
        <v>R10E8.4</v>
      </c>
      <c r="F14041" t="s">
        <v>80</v>
      </c>
      <c r="H14041" s="12">
        <v>-2.4991590031922399</v>
      </c>
      <c r="I14041" s="20">
        <v>-0.26577412737581302</v>
      </c>
      <c r="J14041" s="28">
        <v>0.79041317015736101</v>
      </c>
      <c r="K14041" s="29">
        <v>0.98289565623980701</v>
      </c>
    </row>
    <row r="14042" spans="1:11" x14ac:dyDescent="0.35">
      <c r="A14042" s="9" t="str">
        <f>HYPERLINK("http://www.ensembl.org/id/WBGene00011212", "WBGene00011212")</f>
        <v>WBGene00011212</v>
      </c>
      <c r="B14042" s="9" t="str">
        <f>HYPERLINK("http://www.ncbi.nlm.nih.gov/gene/180195", "180195")</f>
        <v>180195</v>
      </c>
      <c r="C14042" s="9"/>
      <c r="D14042" t="str">
        <f>"R10E8.6"</f>
        <v>R10E8.6</v>
      </c>
      <c r="F14042" t="s">
        <v>11</v>
      </c>
      <c r="G14042" t="s">
        <v>54</v>
      </c>
      <c r="H14042" s="12">
        <v>-1.2977136880865501</v>
      </c>
      <c r="I14042" s="20">
        <v>-1.1635270829795601</v>
      </c>
      <c r="J14042" s="28">
        <v>0.24461571640191501</v>
      </c>
      <c r="K14042" s="29">
        <v>0.98289565623980701</v>
      </c>
    </row>
    <row r="14043" spans="1:11" x14ac:dyDescent="0.35">
      <c r="A14043" s="9" t="str">
        <f>HYPERLINK("http://www.ensembl.org/id/WBGene00014821", "WBGene00014821")</f>
        <v>WBGene00014821</v>
      </c>
      <c r="B14043" s="9"/>
      <c r="C14043" s="9"/>
      <c r="D14043" t="str">
        <f>"R10E8.7"</f>
        <v>R10E8.7</v>
      </c>
      <c r="F14043" t="s">
        <v>80</v>
      </c>
      <c r="H14043" s="12">
        <v>1.2641867516488601</v>
      </c>
      <c r="I14043" s="20">
        <v>0.85670019135168296</v>
      </c>
      <c r="J14043" s="28">
        <v>0.39161059756569599</v>
      </c>
      <c r="K14043" s="29">
        <v>0.98289565623980701</v>
      </c>
    </row>
    <row r="14044" spans="1:11" x14ac:dyDescent="0.35">
      <c r="A14044" s="9" t="str">
        <f>HYPERLINK("http://www.ensembl.org/id/WBGene00011213", "WBGene00011213")</f>
        <v>WBGene00011213</v>
      </c>
      <c r="B14044" s="9" t="str">
        <f>HYPERLINK("http://www.ncbi.nlm.nih.gov/gene/259680", "259680")</f>
        <v>259680</v>
      </c>
      <c r="C14044" s="9"/>
      <c r="D14044" t="str">
        <f>"R10E8.8"</f>
        <v>R10E8.8</v>
      </c>
      <c r="F14044" t="s">
        <v>11</v>
      </c>
      <c r="G14044" t="s">
        <v>54</v>
      </c>
      <c r="H14044" s="12">
        <v>-1.13281321174336</v>
      </c>
      <c r="I14044" s="20">
        <v>-0.405836571408902</v>
      </c>
      <c r="J14044" s="28">
        <v>0.68486268542987705</v>
      </c>
      <c r="K14044" s="29">
        <v>0.98289565623980701</v>
      </c>
    </row>
    <row r="14045" spans="1:11" x14ac:dyDescent="0.35">
      <c r="A14045" s="9" t="str">
        <f>HYPERLINK("http://www.ensembl.org/id/WBGene00011214", "WBGene00011214")</f>
        <v>WBGene00011214</v>
      </c>
      <c r="B14045" s="9" t="str">
        <f>HYPERLINK("http://www.ncbi.nlm.nih.gov/gene/175513", "175513")</f>
        <v>175513</v>
      </c>
      <c r="C14045" s="9"/>
      <c r="D14045" t="str">
        <f>"R10E9.2"</f>
        <v>R10E9.2</v>
      </c>
      <c r="F14045" t="s">
        <v>11</v>
      </c>
      <c r="H14045" s="12">
        <v>1.4065131565162501</v>
      </c>
      <c r="I14045" s="20">
        <v>0.83405393932376604</v>
      </c>
      <c r="J14045" s="28">
        <v>0.40425058915664802</v>
      </c>
      <c r="K14045" s="29">
        <v>0.98289565623980701</v>
      </c>
    </row>
    <row r="14046" spans="1:11" x14ac:dyDescent="0.35">
      <c r="A14046" s="9" t="str">
        <f>HYPERLINK("http://www.ensembl.org/id/WBGene00019997", "WBGene00019997")</f>
        <v>WBGene00019997</v>
      </c>
      <c r="B14046" s="9" t="str">
        <f>HYPERLINK("http://www.ncbi.nlm.nih.gov/gene/175405", "175405")</f>
        <v>175405</v>
      </c>
      <c r="C14046" s="9"/>
      <c r="D14046" t="str">
        <f>"R10F2.6"</f>
        <v>R10F2.6</v>
      </c>
      <c r="F14046" t="s">
        <v>11</v>
      </c>
      <c r="G14046" t="s">
        <v>4312</v>
      </c>
      <c r="H14046" s="12">
        <v>1.3000486991526801</v>
      </c>
      <c r="I14046" s="20">
        <v>0.531963190967498</v>
      </c>
      <c r="J14046" s="28">
        <v>0.59475148967161595</v>
      </c>
      <c r="K14046" s="29">
        <v>0.98289565623980701</v>
      </c>
    </row>
    <row r="14047" spans="1:11" x14ac:dyDescent="0.35">
      <c r="A14047" s="9" t="str">
        <f>HYPERLINK("http://www.ensembl.org/id/WBGene00019998", "WBGene00019998")</f>
        <v>WBGene00019998</v>
      </c>
      <c r="B14047" s="9" t="str">
        <f>HYPERLINK("http://www.ncbi.nlm.nih.gov/gene/259445", "259445")</f>
        <v>259445</v>
      </c>
      <c r="C14047" s="9"/>
      <c r="D14047" t="str">
        <f>"R10H1.1"</f>
        <v>R10H1.1</v>
      </c>
      <c r="F14047" t="s">
        <v>11</v>
      </c>
      <c r="H14047" s="12">
        <v>-1.16445339990469</v>
      </c>
      <c r="I14047" s="20">
        <v>-0.73893322305486098</v>
      </c>
      <c r="J14047" s="28">
        <v>0.45994754715371999</v>
      </c>
      <c r="K14047" s="29">
        <v>0.98289565623980701</v>
      </c>
    </row>
    <row r="14048" spans="1:11" x14ac:dyDescent="0.35">
      <c r="A14048" s="9" t="str">
        <f>HYPERLINK("http://www.ensembl.org/id/WBGene00011222", "WBGene00011222")</f>
        <v>WBGene00011222</v>
      </c>
      <c r="B14048" s="9" t="str">
        <f>HYPERLINK("http://www.ncbi.nlm.nih.gov/gene/177930", "177930")</f>
        <v>177930</v>
      </c>
      <c r="C14048" s="9"/>
      <c r="D14048" t="str">
        <f>"R10H10.3"</f>
        <v>R10H10.3</v>
      </c>
      <c r="F14048" t="s">
        <v>11</v>
      </c>
      <c r="H14048" s="12">
        <v>-1.25537278064799</v>
      </c>
      <c r="I14048" s="20">
        <v>-1.06587513784995</v>
      </c>
      <c r="J14048" s="28">
        <v>0.28648008921018098</v>
      </c>
      <c r="K14048" s="29">
        <v>0.98289565623980701</v>
      </c>
    </row>
    <row r="14049" spans="1:11" x14ac:dyDescent="0.35">
      <c r="A14049" s="9" t="str">
        <f>HYPERLINK("http://www.ensembl.org/id/WBGene00011228", "WBGene00011228")</f>
        <v>WBGene00011228</v>
      </c>
      <c r="B14049" s="9" t="str">
        <f>HYPERLINK("http://www.ncbi.nlm.nih.gov/gene/187791", "187791")</f>
        <v>187791</v>
      </c>
      <c r="C14049" s="9"/>
      <c r="D14049" t="str">
        <f>"R11.3"</f>
        <v>R11.3</v>
      </c>
      <c r="F14049" t="s">
        <v>11</v>
      </c>
      <c r="H14049" s="12">
        <v>1.2116463829528701</v>
      </c>
      <c r="I14049" s="20">
        <v>0.453522764464036</v>
      </c>
      <c r="J14049" s="28">
        <v>0.65017235495812598</v>
      </c>
      <c r="K14049" s="29">
        <v>0.98289565623980701</v>
      </c>
    </row>
    <row r="14050" spans="1:11" x14ac:dyDescent="0.35">
      <c r="A14050" s="9" t="str">
        <f>HYPERLINK("http://www.ensembl.org/id/WBGene00020088", "WBGene00020088")</f>
        <v>WBGene00020088</v>
      </c>
      <c r="B14050" s="9" t="str">
        <f>HYPERLINK("http://www.ncbi.nlm.nih.gov/gene/187899", "187899")</f>
        <v>187899</v>
      </c>
      <c r="C14050" s="9"/>
      <c r="D14050" t="str">
        <f>"R119.2"</f>
        <v>R119.2</v>
      </c>
      <c r="F14050" t="s">
        <v>11</v>
      </c>
      <c r="G14050" t="s">
        <v>8788</v>
      </c>
      <c r="H14050" s="12">
        <v>-1.1964320084896201</v>
      </c>
      <c r="I14050" s="20">
        <v>-0.78345064386137697</v>
      </c>
      <c r="J14050" s="28">
        <v>0.43336252638768702</v>
      </c>
      <c r="K14050" s="29">
        <v>0.98289565623980701</v>
      </c>
    </row>
    <row r="14051" spans="1:11" x14ac:dyDescent="0.35">
      <c r="A14051" s="9" t="str">
        <f>HYPERLINK("http://www.ensembl.org/id/WBGene00020089", "WBGene00020089")</f>
        <v>WBGene00020089</v>
      </c>
      <c r="B14051" s="9" t="str">
        <f>HYPERLINK("http://www.ncbi.nlm.nih.gov/gene/171628", "171628")</f>
        <v>171628</v>
      </c>
      <c r="C14051" s="9"/>
      <c r="D14051" t="str">
        <f>"R119.3"</f>
        <v>R119.3</v>
      </c>
      <c r="F14051" t="s">
        <v>11</v>
      </c>
      <c r="G14051" t="s">
        <v>9811</v>
      </c>
      <c r="H14051" s="12">
        <v>-1.30809954578553</v>
      </c>
      <c r="I14051" s="20">
        <v>-1.13698049483583</v>
      </c>
      <c r="J14051" s="28">
        <v>0.25554643971079599</v>
      </c>
      <c r="K14051" s="29">
        <v>0.98289565623980701</v>
      </c>
    </row>
    <row r="14052" spans="1:11" x14ac:dyDescent="0.35">
      <c r="A14052" s="9" t="str">
        <f>HYPERLINK("http://www.ensembl.org/id/WBGene00020090", "WBGene00020090")</f>
        <v>WBGene00020090</v>
      </c>
      <c r="B14052" s="9" t="str">
        <f>HYPERLINK("http://www.ncbi.nlm.nih.gov/gene/171631", "171631")</f>
        <v>171631</v>
      </c>
      <c r="C14052" s="9" t="str">
        <f>HYPERLINK("http://www.ncbi.nlm.nih.gov/gene/55251", "55251")</f>
        <v>55251</v>
      </c>
      <c r="D14052" t="str">
        <f>"R119.5"</f>
        <v>R119.5</v>
      </c>
      <c r="F14052" t="s">
        <v>11</v>
      </c>
      <c r="G14052" t="s">
        <v>5225</v>
      </c>
      <c r="H14052" s="12">
        <v>1.2130464909407499</v>
      </c>
      <c r="I14052" s="20">
        <v>0.92288016774678205</v>
      </c>
      <c r="J14052" s="28">
        <v>0.35606965685865</v>
      </c>
      <c r="K14052" s="29">
        <v>0.98289565623980701</v>
      </c>
    </row>
    <row r="14053" spans="1:11" x14ac:dyDescent="0.35">
      <c r="A14053" s="9" t="str">
        <f>HYPERLINK("http://www.ensembl.org/id/WBGene00011234", "WBGene00011234")</f>
        <v>WBGene00011234</v>
      </c>
      <c r="B14053" s="9" t="str">
        <f>HYPERLINK("http://www.ncbi.nlm.nih.gov/gene/187797", "187797")</f>
        <v>187797</v>
      </c>
      <c r="C14053" s="9"/>
      <c r="D14053" t="str">
        <f>"R11A5.6"</f>
        <v>R11A5.6</v>
      </c>
      <c r="F14053" t="s">
        <v>11</v>
      </c>
      <c r="H14053" s="12">
        <v>2.3893468495514898</v>
      </c>
      <c r="I14053" s="20">
        <v>0.25323547253672701</v>
      </c>
      <c r="J14053" s="28">
        <v>0.80008625651646104</v>
      </c>
      <c r="K14053" s="29">
        <v>0.98289565623980701</v>
      </c>
    </row>
    <row r="14054" spans="1:11" x14ac:dyDescent="0.35">
      <c r="A14054" s="9" t="str">
        <f>HYPERLINK("http://www.ensembl.org/id/WBGene00200537", "WBGene00200537")</f>
        <v>WBGene00200537</v>
      </c>
      <c r="B14054" s="9"/>
      <c r="C14054" s="9"/>
      <c r="D14054" t="str">
        <f>"R11B5.10"</f>
        <v>R11B5.10</v>
      </c>
      <c r="F14054" t="s">
        <v>481</v>
      </c>
      <c r="H14054" s="12">
        <v>-8.0014360469151899</v>
      </c>
      <c r="I14054" s="20">
        <v>-0.61746222315259702</v>
      </c>
      <c r="J14054" s="28">
        <v>0.536929891129723</v>
      </c>
      <c r="K14054" s="29">
        <v>0.98289565623980701</v>
      </c>
    </row>
    <row r="14055" spans="1:11" x14ac:dyDescent="0.35">
      <c r="A14055" s="9" t="str">
        <f>HYPERLINK("http://www.ensembl.org/id/WBGene00202393", "WBGene00202393")</f>
        <v>WBGene00202393</v>
      </c>
      <c r="B14055" s="9"/>
      <c r="C14055" s="9"/>
      <c r="D14055" t="str">
        <f>"R11B5.12"</f>
        <v>R11B5.12</v>
      </c>
      <c r="F14055" t="s">
        <v>481</v>
      </c>
      <c r="H14055" s="12">
        <v>4.4368407117627902</v>
      </c>
      <c r="I14055" s="20">
        <v>0.43709475933309699</v>
      </c>
      <c r="J14055" s="28">
        <v>0.66204262779770495</v>
      </c>
      <c r="K14055" s="29">
        <v>0.98289565623980701</v>
      </c>
    </row>
    <row r="14056" spans="1:11" x14ac:dyDescent="0.35">
      <c r="A14056" s="9" t="str">
        <f>HYPERLINK("http://www.ensembl.org/id/WBGene00197498", "WBGene00197498")</f>
        <v>WBGene00197498</v>
      </c>
      <c r="B14056" s="9"/>
      <c r="C14056" s="9"/>
      <c r="D14056" t="str">
        <f>"R11B5.6"</f>
        <v>R11B5.6</v>
      </c>
      <c r="F14056" t="s">
        <v>481</v>
      </c>
      <c r="H14056" s="12">
        <v>-5.3069945552768703</v>
      </c>
      <c r="I14056" s="20">
        <v>-0.652346236607525</v>
      </c>
      <c r="J14056" s="28">
        <v>0.51417783890577595</v>
      </c>
      <c r="K14056" s="29">
        <v>0.98289565623980701</v>
      </c>
    </row>
    <row r="14057" spans="1:11" x14ac:dyDescent="0.35">
      <c r="A14057" s="9" t="str">
        <f>HYPERLINK("http://www.ensembl.org/id/WBGene00198157", "WBGene00198157")</f>
        <v>WBGene00198157</v>
      </c>
      <c r="B14057" s="9"/>
      <c r="C14057" s="9"/>
      <c r="D14057" t="str">
        <f>"R11B5.7"</f>
        <v>R11B5.7</v>
      </c>
      <c r="F14057" t="s">
        <v>481</v>
      </c>
      <c r="H14057" s="12">
        <v>2.4578120077400301</v>
      </c>
      <c r="I14057" s="20">
        <v>0.26093350314551</v>
      </c>
      <c r="J14057" s="28">
        <v>0.79414378780213601</v>
      </c>
      <c r="K14057" s="29">
        <v>0.98289565623980701</v>
      </c>
    </row>
    <row r="14058" spans="1:11" x14ac:dyDescent="0.35">
      <c r="A14058" s="9" t="str">
        <f>HYPERLINK("http://www.ensembl.org/id/WBGene00200360", "WBGene00200360")</f>
        <v>WBGene00200360</v>
      </c>
      <c r="B14058" s="9"/>
      <c r="C14058" s="9"/>
      <c r="D14058" t="str">
        <f>"R11B5.9"</f>
        <v>R11B5.9</v>
      </c>
      <c r="F14058" t="s">
        <v>481</v>
      </c>
      <c r="H14058" s="12">
        <v>-3.7261494131482999</v>
      </c>
      <c r="I14058" s="20">
        <v>-0.38454673129429601</v>
      </c>
      <c r="J14058" s="28">
        <v>0.70057326682554</v>
      </c>
      <c r="K14058" s="29">
        <v>0.98289565623980701</v>
      </c>
    </row>
    <row r="14059" spans="1:11" x14ac:dyDescent="0.35">
      <c r="A14059" s="9" t="str">
        <f>HYPERLINK("http://www.ensembl.org/id/WBGene00023125", "WBGene00023125")</f>
        <v>WBGene00023125</v>
      </c>
      <c r="B14059" s="9"/>
      <c r="C14059" s="9"/>
      <c r="D14059" t="str">
        <f>"R11B5.t2"</f>
        <v>R11B5.t2</v>
      </c>
      <c r="F14059" t="s">
        <v>4208</v>
      </c>
      <c r="H14059" s="12">
        <v>-2.4295389261469</v>
      </c>
      <c r="I14059" s="20">
        <v>-0.25808529976640998</v>
      </c>
      <c r="J14059" s="28">
        <v>0.79634107645457397</v>
      </c>
      <c r="K14059" s="29">
        <v>0.98289565623980701</v>
      </c>
    </row>
    <row r="14060" spans="1:11" x14ac:dyDescent="0.35">
      <c r="A14060" s="9" t="str">
        <f>HYPERLINK("http://www.ensembl.org/id/WBGene00011242", "WBGene00011242")</f>
        <v>WBGene00011242</v>
      </c>
      <c r="B14060" s="9" t="str">
        <f>HYPERLINK("http://www.ncbi.nlm.nih.gov/gene/179738", "179738")</f>
        <v>179738</v>
      </c>
      <c r="C14060" s="9"/>
      <c r="D14060" t="str">
        <f>"R11D1.1"</f>
        <v>R11D1.1</v>
      </c>
      <c r="F14060" t="s">
        <v>11</v>
      </c>
      <c r="G14060" t="s">
        <v>9400</v>
      </c>
      <c r="H14060" s="12">
        <v>-1.24390348140059</v>
      </c>
      <c r="I14060" s="20">
        <v>-1.0650153525180299</v>
      </c>
      <c r="J14060" s="28">
        <v>0.28686898235360803</v>
      </c>
      <c r="K14060" s="29">
        <v>0.98289565623980701</v>
      </c>
    </row>
    <row r="14061" spans="1:11" x14ac:dyDescent="0.35">
      <c r="A14061" s="9" t="str">
        <f>HYPERLINK("http://www.ensembl.org/id/WBGene00011248", "WBGene00011248")</f>
        <v>WBGene00011248</v>
      </c>
      <c r="B14061" s="9" t="str">
        <f>HYPERLINK("http://www.ncbi.nlm.nih.gov/gene/179740", "179740")</f>
        <v>179740</v>
      </c>
      <c r="C14061" s="9"/>
      <c r="D14061" t="str">
        <f>"R11D1.10"</f>
        <v>R11D1.10</v>
      </c>
      <c r="F14061" t="s">
        <v>11</v>
      </c>
      <c r="G14061" t="s">
        <v>6094</v>
      </c>
      <c r="H14061" s="12">
        <v>1.0627425182919901</v>
      </c>
      <c r="I14061" s="20">
        <v>0.26301548837273497</v>
      </c>
      <c r="J14061" s="28">
        <v>0.79253864129259399</v>
      </c>
      <c r="K14061" s="29">
        <v>0.98289565623980701</v>
      </c>
    </row>
    <row r="14062" spans="1:11" x14ac:dyDescent="0.35">
      <c r="A14062" s="9" t="str">
        <f>HYPERLINK("http://www.ensembl.org/id/WBGene00011243", "WBGene00011243")</f>
        <v>WBGene00011243</v>
      </c>
      <c r="B14062" s="9" t="str">
        <f>HYPERLINK("http://www.ncbi.nlm.nih.gov/gene/187803", "187803")</f>
        <v>187803</v>
      </c>
      <c r="C14062" s="9"/>
      <c r="D14062" t="str">
        <f>"R11D1.2"</f>
        <v>R11D1.2</v>
      </c>
      <c r="F14062" t="s">
        <v>11</v>
      </c>
      <c r="G14062" t="s">
        <v>54</v>
      </c>
      <c r="H14062" s="12">
        <v>2.0439432287232999</v>
      </c>
      <c r="I14062" s="20">
        <v>0.823474988367626</v>
      </c>
      <c r="J14062" s="28">
        <v>0.41023793482562598</v>
      </c>
      <c r="K14062" s="29">
        <v>0.98289565623980701</v>
      </c>
    </row>
    <row r="14063" spans="1:11" x14ac:dyDescent="0.35">
      <c r="A14063" s="9" t="str">
        <f>HYPERLINK("http://www.ensembl.org/id/WBGene00011246", "WBGene00011246")</f>
        <v>WBGene00011246</v>
      </c>
      <c r="B14063" s="9" t="str">
        <f>HYPERLINK("http://www.ncbi.nlm.nih.gov/gene/187808", "187808")</f>
        <v>187808</v>
      </c>
      <c r="C14063" s="9"/>
      <c r="D14063" t="str">
        <f>"R11D1.7"</f>
        <v>R11D1.7</v>
      </c>
      <c r="F14063" t="s">
        <v>11</v>
      </c>
      <c r="G14063" t="s">
        <v>25</v>
      </c>
      <c r="H14063" s="12">
        <v>5.0824379438143099</v>
      </c>
      <c r="I14063" s="20">
        <v>0.88614343203194801</v>
      </c>
      <c r="J14063" s="28">
        <v>0.37554024154840099</v>
      </c>
      <c r="K14063" s="29">
        <v>0.98289565623980701</v>
      </c>
    </row>
    <row r="14064" spans="1:11" x14ac:dyDescent="0.35">
      <c r="A14064" s="9" t="str">
        <f>HYPERLINK("http://www.ensembl.org/id/WBGene00020003", "WBGene00020003")</f>
        <v>WBGene00020003</v>
      </c>
      <c r="B14064" s="9" t="str">
        <f>HYPERLINK("http://www.ncbi.nlm.nih.gov/gene/187810", "187810")</f>
        <v>187810</v>
      </c>
      <c r="C14064" s="9"/>
      <c r="D14064" t="str">
        <f>"R11E3.1"</f>
        <v>R11E3.1</v>
      </c>
      <c r="E14064" t="s">
        <v>2588</v>
      </c>
      <c r="F14064" t="s">
        <v>11</v>
      </c>
      <c r="G14064" t="s">
        <v>2589</v>
      </c>
      <c r="H14064" s="12">
        <v>1.2926198448670001</v>
      </c>
      <c r="I14064" s="20">
        <v>0.67167004018260701</v>
      </c>
      <c r="J14064" s="28">
        <v>0.50179377841419004</v>
      </c>
      <c r="K14064" s="29">
        <v>0.98289565623980701</v>
      </c>
    </row>
    <row r="14065" spans="1:11" x14ac:dyDescent="0.35">
      <c r="A14065" s="9" t="str">
        <f>HYPERLINK("http://www.ensembl.org/id/WBGene00220042", "WBGene00220042")</f>
        <v>WBGene00220042</v>
      </c>
      <c r="B14065" s="9"/>
      <c r="C14065" s="9"/>
      <c r="D14065" t="str">
        <f>"R11E3.18"</f>
        <v>R11E3.18</v>
      </c>
      <c r="F14065" t="s">
        <v>481</v>
      </c>
      <c r="H14065" s="12">
        <v>3.1121151470619299</v>
      </c>
      <c r="I14065" s="20">
        <v>0.79784173881797005</v>
      </c>
      <c r="J14065" s="28">
        <v>0.42496233641026099</v>
      </c>
      <c r="K14065" s="29">
        <v>0.98289565623980701</v>
      </c>
    </row>
    <row r="14066" spans="1:11" x14ac:dyDescent="0.35">
      <c r="A14066" s="9" t="str">
        <f>HYPERLINK("http://www.ensembl.org/id/WBGene00235374", "WBGene00235374")</f>
        <v>WBGene00235374</v>
      </c>
      <c r="B14066" s="9" t="str">
        <f>HYPERLINK("http://www.ncbi.nlm.nih.gov/gene/24104808", "24104808")</f>
        <v>24104808</v>
      </c>
      <c r="C14066" s="9"/>
      <c r="D14066" t="str">
        <f>"R11E3.19"</f>
        <v>R11E3.19</v>
      </c>
      <c r="F14066" t="s">
        <v>11</v>
      </c>
      <c r="H14066" s="12">
        <v>1.97176673699177</v>
      </c>
      <c r="I14066" s="20">
        <v>1.0627349890376201</v>
      </c>
      <c r="J14066" s="28">
        <v>0.28790214883267201</v>
      </c>
      <c r="K14066" s="29">
        <v>0.98289565623980701</v>
      </c>
    </row>
    <row r="14067" spans="1:11" x14ac:dyDescent="0.35">
      <c r="A14067" s="9" t="str">
        <f>HYPERLINK("http://www.ensembl.org/id/WBGene00020004", "WBGene00020004")</f>
        <v>WBGene00020004</v>
      </c>
      <c r="B14067" s="9" t="str">
        <f>HYPERLINK("http://www.ncbi.nlm.nih.gov/gene/187811", "187811")</f>
        <v>187811</v>
      </c>
      <c r="C14067" s="9"/>
      <c r="D14067" t="str">
        <f>"R11E3.2"</f>
        <v>R11E3.2</v>
      </c>
      <c r="F14067" t="s">
        <v>11</v>
      </c>
      <c r="G14067" t="s">
        <v>230</v>
      </c>
      <c r="H14067" s="12">
        <v>1.2779271562408601</v>
      </c>
      <c r="I14067" s="20">
        <v>0.79104329603564505</v>
      </c>
      <c r="J14067" s="28">
        <v>0.42891872668834602</v>
      </c>
      <c r="K14067" s="29">
        <v>0.98289565623980701</v>
      </c>
    </row>
    <row r="14068" spans="1:11" x14ac:dyDescent="0.35">
      <c r="A14068" s="9" t="str">
        <f>HYPERLINK("http://www.ensembl.org/id/WBGene00020007", "WBGene00020007")</f>
        <v>WBGene00020007</v>
      </c>
      <c r="B14068" s="9" t="str">
        <f>HYPERLINK("http://www.ncbi.nlm.nih.gov/gene/173747", "173747")</f>
        <v>173747</v>
      </c>
      <c r="C14068" s="9" t="str">
        <f>HYPERLINK("http://www.ncbi.nlm.nih.gov/gene/2710", "2710")</f>
        <v>2710</v>
      </c>
      <c r="D14068" t="str">
        <f>"R11F4.1"</f>
        <v>R11F4.1</v>
      </c>
      <c r="E14068" t="s">
        <v>6040</v>
      </c>
      <c r="F14068" t="s">
        <v>11</v>
      </c>
      <c r="G14068" t="s">
        <v>6041</v>
      </c>
      <c r="H14068" s="12">
        <v>1.0703207857908299</v>
      </c>
      <c r="I14068" s="20">
        <v>0.354736670991325</v>
      </c>
      <c r="J14068" s="28">
        <v>0.72278687578423395</v>
      </c>
      <c r="K14068" s="29">
        <v>0.98289565623980701</v>
      </c>
    </row>
    <row r="14069" spans="1:11" x14ac:dyDescent="0.35">
      <c r="A14069" s="9" t="str">
        <f>HYPERLINK("http://www.ensembl.org/id/WBGene00020008", "WBGene00020008")</f>
        <v>WBGene00020008</v>
      </c>
      <c r="B14069" s="9" t="str">
        <f>HYPERLINK("http://www.ncbi.nlm.nih.gov/gene/173746", "173746")</f>
        <v>173746</v>
      </c>
      <c r="C14069" s="9"/>
      <c r="D14069" t="str">
        <f>"R11F4.2"</f>
        <v>R11F4.2</v>
      </c>
      <c r="F14069" t="s">
        <v>11</v>
      </c>
      <c r="G14069" t="s">
        <v>1089</v>
      </c>
      <c r="H14069" s="12">
        <v>1.5977310917874901</v>
      </c>
      <c r="I14069" s="20">
        <v>1.1715092431197101</v>
      </c>
      <c r="J14069" s="28">
        <v>0.24139414468968801</v>
      </c>
      <c r="K14069" s="29">
        <v>0.98289565623980701</v>
      </c>
    </row>
    <row r="14070" spans="1:11" x14ac:dyDescent="0.35">
      <c r="A14070" s="9" t="str">
        <f>HYPERLINK("http://www.ensembl.org/id/WBGene00020010", "WBGene00020010")</f>
        <v>WBGene00020010</v>
      </c>
      <c r="B14070" s="9" t="str">
        <f>HYPERLINK("http://www.ncbi.nlm.nih.gov/gene/187815", "187815")</f>
        <v>187815</v>
      </c>
      <c r="C14070" s="9"/>
      <c r="D14070" t="str">
        <f>"R11G1.1"</f>
        <v>R11G1.1</v>
      </c>
      <c r="F14070" t="s">
        <v>11</v>
      </c>
      <c r="G14070" t="s">
        <v>4507</v>
      </c>
      <c r="H14070" s="12">
        <v>1.8182411195980901</v>
      </c>
      <c r="I14070" s="20">
        <v>0.99180785587903297</v>
      </c>
      <c r="J14070" s="28">
        <v>0.32129126472942199</v>
      </c>
      <c r="K14070" s="29">
        <v>0.98289565623980701</v>
      </c>
    </row>
    <row r="14071" spans="1:11" x14ac:dyDescent="0.35">
      <c r="A14071" s="9" t="str">
        <f>HYPERLINK("http://www.ensembl.org/id/WBGene00020011", "WBGene00020011")</f>
        <v>WBGene00020011</v>
      </c>
      <c r="B14071" s="9" t="str">
        <f>HYPERLINK("http://www.ncbi.nlm.nih.gov/gene/187816", "187816")</f>
        <v>187816</v>
      </c>
      <c r="C14071" s="9"/>
      <c r="D14071" t="str">
        <f>"R11G1.2"</f>
        <v>R11G1.2</v>
      </c>
      <c r="F14071" t="s">
        <v>11</v>
      </c>
      <c r="H14071" s="12">
        <v>-1.07463348209123</v>
      </c>
      <c r="I14071" s="20">
        <v>-0.32081686634293599</v>
      </c>
      <c r="J14071" s="28">
        <v>0.74834917698874204</v>
      </c>
      <c r="K14071" s="29">
        <v>0.98289565623980701</v>
      </c>
    </row>
    <row r="14072" spans="1:11" x14ac:dyDescent="0.35">
      <c r="A14072" s="9" t="str">
        <f>HYPERLINK("http://www.ensembl.org/id/WBGene00020012", "WBGene00020012")</f>
        <v>WBGene00020012</v>
      </c>
      <c r="B14072" s="9" t="str">
        <f>HYPERLINK("http://www.ncbi.nlm.nih.gov/gene/180654", "180654")</f>
        <v>180654</v>
      </c>
      <c r="C14072" s="9"/>
      <c r="D14072" t="str">
        <f>"R11G1.6"</f>
        <v>R11G1.6</v>
      </c>
      <c r="F14072" t="s">
        <v>11</v>
      </c>
      <c r="G14072" t="s">
        <v>6591</v>
      </c>
      <c r="H14072" s="12">
        <v>-1.07869573858587</v>
      </c>
      <c r="I14072" s="20">
        <v>-0.35838746339768701</v>
      </c>
      <c r="J14072" s="28">
        <v>0.72005337220048604</v>
      </c>
      <c r="K14072" s="29">
        <v>0.98289565623980701</v>
      </c>
    </row>
    <row r="14073" spans="1:11" x14ac:dyDescent="0.35">
      <c r="A14073" s="9" t="str">
        <f>HYPERLINK("http://www.ensembl.org/id/WBGene00020013", "WBGene00020013")</f>
        <v>WBGene00020013</v>
      </c>
      <c r="B14073" s="9"/>
      <c r="C14073" s="9"/>
      <c r="D14073" t="str">
        <f>"R11G11.3"</f>
        <v>R11G11.3</v>
      </c>
      <c r="F14073" t="s">
        <v>80</v>
      </c>
      <c r="H14073" s="12">
        <v>7.6616465944663696</v>
      </c>
      <c r="I14073" s="20">
        <v>0.60406875593600395</v>
      </c>
      <c r="J14073" s="28">
        <v>0.54579793098927099</v>
      </c>
      <c r="K14073" s="29">
        <v>0.98289565623980701</v>
      </c>
    </row>
    <row r="14074" spans="1:11" x14ac:dyDescent="0.35">
      <c r="A14074" s="9" t="str">
        <f>HYPERLINK("http://www.ensembl.org/id/WBGene00020014", "WBGene00020014")</f>
        <v>WBGene00020014</v>
      </c>
      <c r="B14074" s="9" t="str">
        <f>HYPERLINK("http://www.ncbi.nlm.nih.gov/gene/187825", "187825")</f>
        <v>187825</v>
      </c>
      <c r="C14074" s="9"/>
      <c r="D14074" t="str">
        <f>"R11G11.6"</f>
        <v>R11G11.6</v>
      </c>
      <c r="F14074" t="s">
        <v>11</v>
      </c>
      <c r="H14074" s="12">
        <v>3.3946496613605901</v>
      </c>
      <c r="I14074" s="20">
        <v>0.70274131330951195</v>
      </c>
      <c r="J14074" s="28">
        <v>0.48221697637793598</v>
      </c>
      <c r="K14074" s="29">
        <v>0.98289565623980701</v>
      </c>
    </row>
    <row r="14075" spans="1:11" x14ac:dyDescent="0.35">
      <c r="A14075" s="9" t="str">
        <f>HYPERLINK("http://www.ensembl.org/id/WBGene00011250", "WBGene00011250")</f>
        <v>WBGene00011250</v>
      </c>
      <c r="B14075" s="9" t="str">
        <f>HYPERLINK("http://www.ncbi.nlm.nih.gov/gene/179964", "179964")</f>
        <v>179964</v>
      </c>
      <c r="C14075" s="9" t="str">
        <f>HYPERLINK("http://www.ncbi.nlm.nih.gov/gene/57515", "57515")</f>
        <v>57515</v>
      </c>
      <c r="D14075" t="str">
        <f>"R11H6.2"</f>
        <v>R11H6.2</v>
      </c>
      <c r="F14075" t="s">
        <v>11</v>
      </c>
      <c r="G14075" t="s">
        <v>25</v>
      </c>
      <c r="H14075" s="12">
        <v>-1.21031293069396</v>
      </c>
      <c r="I14075" s="20">
        <v>-0.95631797858356904</v>
      </c>
      <c r="J14075" s="28">
        <v>0.33891160945289101</v>
      </c>
      <c r="K14075" s="29">
        <v>0.98289565623980701</v>
      </c>
    </row>
    <row r="14076" spans="1:11" x14ac:dyDescent="0.35">
      <c r="A14076" s="9" t="str">
        <f>HYPERLINK("http://www.ensembl.org/id/WBGene00014822", "WBGene00014822")</f>
        <v>WBGene00014822</v>
      </c>
      <c r="B14076" s="9"/>
      <c r="C14076" s="9"/>
      <c r="D14076" t="str">
        <f>"R11H6.6"</f>
        <v>R11H6.6</v>
      </c>
      <c r="F14076" t="s">
        <v>80</v>
      </c>
      <c r="H14076" s="12">
        <v>-1.94441061279869</v>
      </c>
      <c r="I14076" s="20">
        <v>-0.97868766112004002</v>
      </c>
      <c r="J14076" s="28">
        <v>0.327734330590989</v>
      </c>
      <c r="K14076" s="29">
        <v>0.98289565623980701</v>
      </c>
    </row>
    <row r="14077" spans="1:11" x14ac:dyDescent="0.35">
      <c r="A14077" s="9" t="str">
        <f>HYPERLINK("http://www.ensembl.org/id/WBGene00077579", "WBGene00077579")</f>
        <v>WBGene00077579</v>
      </c>
      <c r="B14077" s="9"/>
      <c r="C14077" s="9"/>
      <c r="D14077" t="str">
        <f>"R11H6.7"</f>
        <v>R11H6.7</v>
      </c>
      <c r="F14077" t="s">
        <v>80</v>
      </c>
      <c r="H14077" s="12">
        <v>-2.4295389261469</v>
      </c>
      <c r="I14077" s="20">
        <v>-0.25808529976640998</v>
      </c>
      <c r="J14077" s="28">
        <v>0.79634107645457397</v>
      </c>
      <c r="K14077" s="29">
        <v>0.98289565623980701</v>
      </c>
    </row>
    <row r="14078" spans="1:11" x14ac:dyDescent="0.35">
      <c r="A14078" s="9" t="str">
        <f>HYPERLINK("http://www.ensembl.org/id/WBGene00020017", "WBGene00020017")</f>
        <v>WBGene00020017</v>
      </c>
      <c r="B14078" s="9" t="str">
        <f>HYPERLINK("http://www.ncbi.nlm.nih.gov/gene/178632", "178632")</f>
        <v>178632</v>
      </c>
      <c r="C14078" s="9"/>
      <c r="D14078" t="str">
        <f>"R12A1.3"</f>
        <v>R12A1.3</v>
      </c>
      <c r="F14078" t="s">
        <v>11</v>
      </c>
      <c r="G14078" t="s">
        <v>4418</v>
      </c>
      <c r="H14078" s="12">
        <v>2.2768214879755999</v>
      </c>
      <c r="I14078" s="20">
        <v>1.0862037798128401</v>
      </c>
      <c r="J14078" s="28">
        <v>0.27738884539139602</v>
      </c>
      <c r="K14078" s="29">
        <v>0.98289565623980701</v>
      </c>
    </row>
    <row r="14079" spans="1:11" x14ac:dyDescent="0.35">
      <c r="A14079" s="9" t="str">
        <f>HYPERLINK("http://www.ensembl.org/id/WBGene00200251", "WBGene00200251")</f>
        <v>WBGene00200251</v>
      </c>
      <c r="B14079" s="9"/>
      <c r="C14079" s="9"/>
      <c r="D14079" t="str">
        <f>"R12B2.12"</f>
        <v>R12B2.12</v>
      </c>
      <c r="F14079" t="s">
        <v>481</v>
      </c>
      <c r="H14079" s="12">
        <v>2.4578120077400301</v>
      </c>
      <c r="I14079" s="20">
        <v>0.26093350314551</v>
      </c>
      <c r="J14079" s="28">
        <v>0.79414378780213601</v>
      </c>
      <c r="K14079" s="29">
        <v>0.98289565623980701</v>
      </c>
    </row>
    <row r="14080" spans="1:11" x14ac:dyDescent="0.35">
      <c r="A14080" s="9" t="str">
        <f>HYPERLINK("http://www.ensembl.org/id/WBGene00020018", "WBGene00020018")</f>
        <v>WBGene00020018</v>
      </c>
      <c r="B14080" s="9" t="str">
        <f>HYPERLINK("http://www.ncbi.nlm.nih.gov/gene/187835", "187835")</f>
        <v>187835</v>
      </c>
      <c r="C14080" s="9"/>
      <c r="D14080" t="str">
        <f>"R12B2.2"</f>
        <v>R12B2.2</v>
      </c>
      <c r="F14080" t="s">
        <v>11</v>
      </c>
      <c r="G14080" t="s">
        <v>5384</v>
      </c>
      <c r="H14080" s="12">
        <v>1.1772651666818501</v>
      </c>
      <c r="I14080" s="20">
        <v>0.63645279133172505</v>
      </c>
      <c r="J14080" s="28">
        <v>0.52448134158588</v>
      </c>
      <c r="K14080" s="29">
        <v>0.98289565623980701</v>
      </c>
    </row>
    <row r="14081" spans="1:11" x14ac:dyDescent="0.35">
      <c r="A14081" s="9" t="str">
        <f>HYPERLINK("http://www.ensembl.org/id/WBGene00020019", "WBGene00020019")</f>
        <v>WBGene00020019</v>
      </c>
      <c r="B14081" s="9" t="str">
        <f>HYPERLINK("http://www.ncbi.nlm.nih.gov/gene/187836", "187836")</f>
        <v>187836</v>
      </c>
      <c r="C14081" s="9"/>
      <c r="D14081" t="str">
        <f>"R12B2.3"</f>
        <v>R12B2.3</v>
      </c>
      <c r="F14081" t="s">
        <v>11</v>
      </c>
      <c r="H14081" s="12">
        <v>1.7573524036271</v>
      </c>
      <c r="I14081" s="20">
        <v>0.414939136426762</v>
      </c>
      <c r="J14081" s="28">
        <v>0.67818645898135699</v>
      </c>
      <c r="K14081" s="29">
        <v>0.98289565623980701</v>
      </c>
    </row>
    <row r="14082" spans="1:11" x14ac:dyDescent="0.35">
      <c r="A14082" s="9" t="str">
        <f>HYPERLINK("http://www.ensembl.org/id/WBGene00020020", "WBGene00020020")</f>
        <v>WBGene00020020</v>
      </c>
      <c r="B14082" s="9" t="str">
        <f>HYPERLINK("http://www.ncbi.nlm.nih.gov/gene/187837", "187837")</f>
        <v>187837</v>
      </c>
      <c r="C14082" s="9"/>
      <c r="D14082" t="str">
        <f>"R12B2.6"</f>
        <v>R12B2.6</v>
      </c>
      <c r="F14082" t="s">
        <v>11</v>
      </c>
      <c r="H14082" s="12">
        <v>1.4623270352164099</v>
      </c>
      <c r="I14082" s="20">
        <v>0.331331640749225</v>
      </c>
      <c r="J14082" s="28">
        <v>0.74039399391237803</v>
      </c>
      <c r="K14082" s="29">
        <v>0.98289565623980701</v>
      </c>
    </row>
    <row r="14083" spans="1:11" x14ac:dyDescent="0.35">
      <c r="A14083" s="9" t="str">
        <f>HYPERLINK("http://www.ensembl.org/id/WBGene00020021", "WBGene00020021")</f>
        <v>WBGene00020021</v>
      </c>
      <c r="B14083" s="9" t="str">
        <f>HYPERLINK("http://www.ncbi.nlm.nih.gov/gene/259510", "259510")</f>
        <v>259510</v>
      </c>
      <c r="C14083" s="9"/>
      <c r="D14083" t="str">
        <f>"R12B2.7"</f>
        <v>R12B2.7</v>
      </c>
      <c r="F14083" t="s">
        <v>11</v>
      </c>
      <c r="G14083" t="s">
        <v>25</v>
      </c>
      <c r="H14083" s="12">
        <v>-1.9478633810310799</v>
      </c>
      <c r="I14083" s="20">
        <v>-0.42946976522494601</v>
      </c>
      <c r="J14083" s="28">
        <v>0.66758139234514102</v>
      </c>
      <c r="K14083" s="29">
        <v>0.98289565623980701</v>
      </c>
    </row>
    <row r="14084" spans="1:11" x14ac:dyDescent="0.35">
      <c r="A14084" s="9" t="str">
        <f>HYPERLINK("http://www.ensembl.org/id/WBGene00044411", "WBGene00044411")</f>
        <v>WBGene00044411</v>
      </c>
      <c r="B14084" s="9" t="str">
        <f>HYPERLINK("http://www.ncbi.nlm.nih.gov/gene/3896755", "3896755")</f>
        <v>3896755</v>
      </c>
      <c r="C14084" s="9"/>
      <c r="D14084" t="str">
        <f>"R12B2.8"</f>
        <v>R12B2.8</v>
      </c>
      <c r="F14084" t="s">
        <v>11</v>
      </c>
      <c r="G14084" t="s">
        <v>25</v>
      </c>
      <c r="H14084" s="12">
        <v>1.2951244716571</v>
      </c>
      <c r="I14084" s="20">
        <v>0.70567507377544403</v>
      </c>
      <c r="J14084" s="28">
        <v>0.48039022550006799</v>
      </c>
      <c r="K14084" s="29">
        <v>0.98289565623980701</v>
      </c>
    </row>
    <row r="14085" spans="1:11" x14ac:dyDescent="0.35">
      <c r="A14085" s="9" t="str">
        <f>HYPERLINK("http://www.ensembl.org/id/WBGene00044395", "WBGene00044395")</f>
        <v>WBGene00044395</v>
      </c>
      <c r="B14085" s="9" t="str">
        <f>HYPERLINK("http://www.ncbi.nlm.nih.gov/gene/3565674", "3565674")</f>
        <v>3565674</v>
      </c>
      <c r="C14085" s="9"/>
      <c r="D14085" t="str">
        <f>"R12C12.10"</f>
        <v>R12C12.10</v>
      </c>
      <c r="F14085" t="s">
        <v>11</v>
      </c>
      <c r="H14085" s="12">
        <v>-1.5577697411557001</v>
      </c>
      <c r="I14085" s="20">
        <v>-0.43286954866544203</v>
      </c>
      <c r="J14085" s="28">
        <v>0.66510954359038998</v>
      </c>
      <c r="K14085" s="29">
        <v>0.98289565623980701</v>
      </c>
    </row>
    <row r="14086" spans="1:11" x14ac:dyDescent="0.35">
      <c r="A14086" s="9" t="str">
        <f>HYPERLINK("http://www.ensembl.org/id/WBGene00020025", "WBGene00020025")</f>
        <v>WBGene00020025</v>
      </c>
      <c r="B14086" s="9" t="str">
        <f>HYPERLINK("http://www.ncbi.nlm.nih.gov/gene/174010", "174010")</f>
        <v>174010</v>
      </c>
      <c r="C14086" s="9"/>
      <c r="D14086" t="str">
        <f>"R12C12.5"</f>
        <v>R12C12.5</v>
      </c>
      <c r="F14086" t="s">
        <v>11</v>
      </c>
      <c r="G14086" t="s">
        <v>7241</v>
      </c>
      <c r="H14086" s="12">
        <v>-1.1152519929559299</v>
      </c>
      <c r="I14086" s="20">
        <v>-0.49924057347950901</v>
      </c>
      <c r="J14086" s="28">
        <v>0.61760991442866997</v>
      </c>
      <c r="K14086" s="29">
        <v>0.98289565623980701</v>
      </c>
    </row>
    <row r="14087" spans="1:11" x14ac:dyDescent="0.35">
      <c r="A14087" s="9" t="str">
        <f>HYPERLINK("http://www.ensembl.org/id/WBGene00020026", "WBGene00020026")</f>
        <v>WBGene00020026</v>
      </c>
      <c r="B14087" s="9" t="str">
        <f>HYPERLINK("http://www.ncbi.nlm.nih.gov/gene/187840", "187840")</f>
        <v>187840</v>
      </c>
      <c r="C14087" s="9" t="str">
        <f>HYPERLINK("http://www.ncbi.nlm.nih.gov/gene/252839", "252839")</f>
        <v>252839</v>
      </c>
      <c r="D14087" t="str">
        <f>"R12C12.6"</f>
        <v>R12C12.6</v>
      </c>
      <c r="F14087" t="s">
        <v>11</v>
      </c>
      <c r="G14087" t="s">
        <v>3015</v>
      </c>
      <c r="H14087" s="12">
        <v>-1.0649789329630699</v>
      </c>
      <c r="I14087" s="20">
        <v>-0.30686062478472298</v>
      </c>
      <c r="J14087" s="28">
        <v>0.75894946088745996</v>
      </c>
      <c r="K14087" s="29">
        <v>0.98289565623980701</v>
      </c>
    </row>
    <row r="14088" spans="1:11" x14ac:dyDescent="0.35">
      <c r="A14088" s="9" t="str">
        <f>HYPERLINK("http://www.ensembl.org/id/WBGene00020027", "WBGene00020027")</f>
        <v>WBGene00020027</v>
      </c>
      <c r="B14088" s="9" t="str">
        <f>HYPERLINK("http://www.ncbi.nlm.nih.gov/gene/187841", "187841")</f>
        <v>187841</v>
      </c>
      <c r="C14088" s="9"/>
      <c r="D14088" t="str">
        <f>"R12C12.7"</f>
        <v>R12C12.7</v>
      </c>
      <c r="F14088" t="s">
        <v>11</v>
      </c>
      <c r="H14088" s="12">
        <v>-1.2915513827859</v>
      </c>
      <c r="I14088" s="20">
        <v>-1.1784669920232</v>
      </c>
      <c r="J14088" s="28">
        <v>0.23861048397461601</v>
      </c>
      <c r="K14088" s="29">
        <v>0.98289565623980701</v>
      </c>
    </row>
    <row r="14089" spans="1:11" x14ac:dyDescent="0.35">
      <c r="A14089" s="9" t="str">
        <f>HYPERLINK("http://www.ensembl.org/id/WBGene00020028", "WBGene00020028")</f>
        <v>WBGene00020028</v>
      </c>
      <c r="B14089" s="9"/>
      <c r="C14089" s="9"/>
      <c r="D14089" t="str">
        <f>"R12C12.8"</f>
        <v>R12C12.8</v>
      </c>
      <c r="F14089" t="s">
        <v>80</v>
      </c>
      <c r="H14089" s="12">
        <v>-1.08166772600314</v>
      </c>
      <c r="I14089" s="20">
        <v>-0.32122902614397503</v>
      </c>
      <c r="J14089" s="28">
        <v>0.74803683712064595</v>
      </c>
      <c r="K14089" s="29">
        <v>0.98289565623980701</v>
      </c>
    </row>
    <row r="14090" spans="1:11" x14ac:dyDescent="0.35">
      <c r="A14090" s="9" t="str">
        <f>HYPERLINK("http://www.ensembl.org/id/WBGene00020029", "WBGene00020029")</f>
        <v>WBGene00020029</v>
      </c>
      <c r="B14090" s="9" t="str">
        <f>HYPERLINK("http://www.ncbi.nlm.nih.gov/gene/174009", "174009")</f>
        <v>174009</v>
      </c>
      <c r="C14090" s="9"/>
      <c r="D14090" t="str">
        <f>"R12C12.9"</f>
        <v>R12C12.9</v>
      </c>
      <c r="F14090" t="s">
        <v>11</v>
      </c>
      <c r="G14090" t="s">
        <v>25</v>
      </c>
      <c r="H14090" s="12">
        <v>1.1039252701665001</v>
      </c>
      <c r="I14090" s="20">
        <v>0.34466493349773603</v>
      </c>
      <c r="J14090" s="28">
        <v>0.73034628352118203</v>
      </c>
      <c r="K14090" s="29">
        <v>0.98289565623980701</v>
      </c>
    </row>
    <row r="14091" spans="1:11" x14ac:dyDescent="0.35">
      <c r="A14091" s="9" t="str">
        <f>HYPERLINK("http://www.ensembl.org/id/WBGene00020036", "WBGene00020036")</f>
        <v>WBGene00020036</v>
      </c>
      <c r="B14091" s="9" t="str">
        <f>HYPERLINK("http://www.ncbi.nlm.nih.gov/gene/172008", "172008")</f>
        <v>172008</v>
      </c>
      <c r="C14091" s="9"/>
      <c r="D14091" t="str">
        <f>"R12E2.11"</f>
        <v>R12E2.11</v>
      </c>
      <c r="E14091" t="s">
        <v>9470</v>
      </c>
      <c r="F14091" t="s">
        <v>11</v>
      </c>
      <c r="G14091" t="s">
        <v>9471</v>
      </c>
      <c r="H14091" s="12">
        <v>-1.24862054100576</v>
      </c>
      <c r="I14091" s="20">
        <v>-1.15430514115484</v>
      </c>
      <c r="J14091" s="28">
        <v>0.24837508948815301</v>
      </c>
      <c r="K14091" s="29">
        <v>0.98289565623980701</v>
      </c>
    </row>
    <row r="14092" spans="1:11" x14ac:dyDescent="0.35">
      <c r="A14092" s="9" t="str">
        <f>HYPERLINK("http://www.ensembl.org/id/WBGene00020038", "WBGene00020038")</f>
        <v>WBGene00020038</v>
      </c>
      <c r="B14092" s="9" t="str">
        <f>HYPERLINK("http://www.ncbi.nlm.nih.gov/gene/172010", "172010")</f>
        <v>172010</v>
      </c>
      <c r="C14092" s="9" t="str">
        <f>HYPERLINK("http://www.ncbi.nlm.nih.gov/gene/6388", "6388")</f>
        <v>6388</v>
      </c>
      <c r="D14092" t="str">
        <f>"R12E2.13"</f>
        <v>R12E2.13</v>
      </c>
      <c r="F14092" t="s">
        <v>11</v>
      </c>
      <c r="G14092" t="s">
        <v>7247</v>
      </c>
      <c r="H14092" s="12">
        <v>-1.11537993838445</v>
      </c>
      <c r="I14092" s="20">
        <v>-0.58485308066905195</v>
      </c>
      <c r="J14092" s="28">
        <v>0.55864650937205695</v>
      </c>
      <c r="K14092" s="29">
        <v>0.98289565623980701</v>
      </c>
    </row>
    <row r="14093" spans="1:11" x14ac:dyDescent="0.35">
      <c r="A14093" s="9" t="str">
        <f>HYPERLINK("http://www.ensembl.org/id/WBGene00020039", "WBGene00020039")</f>
        <v>WBGene00020039</v>
      </c>
      <c r="B14093" s="9" t="str">
        <f>HYPERLINK("http://www.ncbi.nlm.nih.gov/gene/172001", "172001")</f>
        <v>172001</v>
      </c>
      <c r="C14093" s="9"/>
      <c r="D14093" t="str">
        <f>"R12E2.14"</f>
        <v>R12E2.14</v>
      </c>
      <c r="F14093" t="s">
        <v>11</v>
      </c>
      <c r="H14093" s="12">
        <v>-1.3512146166044099</v>
      </c>
      <c r="I14093" s="20">
        <v>-0.408961212727669</v>
      </c>
      <c r="J14093" s="28">
        <v>0.68256812594834304</v>
      </c>
      <c r="K14093" s="29">
        <v>0.98289565623980701</v>
      </c>
    </row>
    <row r="14094" spans="1:11" x14ac:dyDescent="0.35">
      <c r="A14094" s="9" t="str">
        <f>HYPERLINK("http://www.ensembl.org/id/WBGene00020040", "WBGene00020040")</f>
        <v>WBGene00020040</v>
      </c>
      <c r="B14094" s="9" t="str">
        <f>HYPERLINK("http://www.ncbi.nlm.nih.gov/gene/172000", "172000")</f>
        <v>172000</v>
      </c>
      <c r="C14094" s="9"/>
      <c r="D14094" t="str">
        <f>"R12E2.15"</f>
        <v>R12E2.15</v>
      </c>
      <c r="F14094" t="s">
        <v>11</v>
      </c>
      <c r="H14094" s="12">
        <v>-2.3068571207866899</v>
      </c>
      <c r="I14094" s="20">
        <v>-1.0856108550516901</v>
      </c>
      <c r="J14094" s="28">
        <v>0.277651195213372</v>
      </c>
      <c r="K14094" s="29">
        <v>0.98289565623980701</v>
      </c>
    </row>
    <row r="14095" spans="1:11" x14ac:dyDescent="0.35">
      <c r="A14095" s="9" t="str">
        <f>HYPERLINK("http://www.ensembl.org/id/WBGene00044929", "WBGene00044929")</f>
        <v>WBGene00044929</v>
      </c>
      <c r="B14095" s="9"/>
      <c r="C14095" s="9"/>
      <c r="D14095" t="str">
        <f>"R12E2.17"</f>
        <v>R12E2.17</v>
      </c>
      <c r="F14095" t="s">
        <v>2977</v>
      </c>
      <c r="H14095" s="12">
        <v>-1.4799755115106701</v>
      </c>
      <c r="I14095" s="20">
        <v>-0.39337686344175499</v>
      </c>
      <c r="J14095" s="28">
        <v>0.69404115541937605</v>
      </c>
      <c r="K14095" s="29">
        <v>0.98289565623980701</v>
      </c>
    </row>
    <row r="14096" spans="1:11" x14ac:dyDescent="0.35">
      <c r="A14096" s="9" t="str">
        <f>HYPERLINK("http://www.ensembl.org/id/WBGene00020033", "WBGene00020033")</f>
        <v>WBGene00020033</v>
      </c>
      <c r="B14096" s="9" t="str">
        <f>HYPERLINK("http://www.ncbi.nlm.nih.gov/gene/172002", "172002")</f>
        <v>172002</v>
      </c>
      <c r="C14096" s="9"/>
      <c r="D14096" t="str">
        <f>"R12E2.7"</f>
        <v>R12E2.7</v>
      </c>
      <c r="F14096" t="s">
        <v>11</v>
      </c>
      <c r="H14096" s="12">
        <v>1.6812245830997601</v>
      </c>
      <c r="I14096" s="20">
        <v>1.0180849110132999</v>
      </c>
      <c r="J14096" s="28">
        <v>0.30863760543776803</v>
      </c>
      <c r="K14096" s="29">
        <v>0.98289565623980701</v>
      </c>
    </row>
    <row r="14097" spans="1:11" x14ac:dyDescent="0.35">
      <c r="A14097" s="9" t="str">
        <f>HYPERLINK("http://www.ensembl.org/id/WBGene00020034", "WBGene00020034")</f>
        <v>WBGene00020034</v>
      </c>
      <c r="B14097" s="9" t="str">
        <f>HYPERLINK("http://www.ncbi.nlm.nih.gov/gene/172003", "172003")</f>
        <v>172003</v>
      </c>
      <c r="C14097" s="9"/>
      <c r="D14097" t="str">
        <f>"R12E2.8"</f>
        <v>R12E2.8</v>
      </c>
      <c r="F14097" t="s">
        <v>11</v>
      </c>
      <c r="H14097" s="12">
        <v>-1.80079637206609</v>
      </c>
      <c r="I14097" s="20">
        <v>-0.73196517229431801</v>
      </c>
      <c r="J14097" s="28">
        <v>0.46418982554640598</v>
      </c>
      <c r="K14097" s="29">
        <v>0.98289565623980701</v>
      </c>
    </row>
    <row r="14098" spans="1:11" x14ac:dyDescent="0.35">
      <c r="A14098" s="9" t="str">
        <f>HYPERLINK("http://www.ensembl.org/id/WBGene00200473", "WBGene00200473")</f>
        <v>WBGene00200473</v>
      </c>
      <c r="B14098" s="9"/>
      <c r="C14098" s="9"/>
      <c r="D14098" t="str">
        <f>"R12G8.4"</f>
        <v>R12G8.4</v>
      </c>
      <c r="F14098" t="s">
        <v>481</v>
      </c>
      <c r="H14098" s="12">
        <v>4.4368407117627902</v>
      </c>
      <c r="I14098" s="20">
        <v>0.43709475933309699</v>
      </c>
      <c r="J14098" s="28">
        <v>0.66204262779770495</v>
      </c>
      <c r="K14098" s="29">
        <v>0.98289565623980701</v>
      </c>
    </row>
    <row r="14099" spans="1:11" x14ac:dyDescent="0.35">
      <c r="A14099" s="9" t="str">
        <f>HYPERLINK("http://www.ensembl.org/id/WBGene00011255", "WBGene00011255")</f>
        <v>WBGene00011255</v>
      </c>
      <c r="B14099" s="9" t="str">
        <f>HYPERLINK("http://www.ncbi.nlm.nih.gov/gene/187847", "187847")</f>
        <v>187847</v>
      </c>
      <c r="C14099" s="9"/>
      <c r="D14099" t="str">
        <f>"R12H7.4"</f>
        <v>R12H7.4</v>
      </c>
      <c r="F14099" t="s">
        <v>11</v>
      </c>
      <c r="G14099" t="s">
        <v>25</v>
      </c>
      <c r="H14099" s="12">
        <v>-1.4159667978689101</v>
      </c>
      <c r="I14099" s="20">
        <v>-0.25809741243460299</v>
      </c>
      <c r="J14099" s="28">
        <v>0.79633172852449996</v>
      </c>
      <c r="K14099" s="29">
        <v>0.98289565623980701</v>
      </c>
    </row>
    <row r="14100" spans="1:11" x14ac:dyDescent="0.35">
      <c r="A14100" s="9" t="str">
        <f>HYPERLINK("http://www.ensembl.org/id/WBGene00014825", "WBGene00014825")</f>
        <v>WBGene00014825</v>
      </c>
      <c r="B14100" s="9"/>
      <c r="C14100" s="9"/>
      <c r="D14100" t="str">
        <f>"R13.5"</f>
        <v>R13.5</v>
      </c>
      <c r="F14100" t="s">
        <v>80</v>
      </c>
      <c r="H14100" s="12">
        <v>5.7240911494525104</v>
      </c>
      <c r="I14100" s="20">
        <v>0.63713704464777798</v>
      </c>
      <c r="J14100" s="28">
        <v>0.52403558058044697</v>
      </c>
      <c r="K14100" s="29">
        <v>0.98289565623980701</v>
      </c>
    </row>
    <row r="14101" spans="1:11" x14ac:dyDescent="0.35">
      <c r="A14101" s="9" t="str">
        <f>HYPERLINK("http://www.ensembl.org/id/WBGene00077753", "WBGene00077753")</f>
        <v>WBGene00077753</v>
      </c>
      <c r="B14101" s="9"/>
      <c r="C14101" s="9"/>
      <c r="D14101" t="str">
        <f>"R13.6"</f>
        <v>R13.6</v>
      </c>
      <c r="F14101" t="s">
        <v>80</v>
      </c>
      <c r="H14101" s="12">
        <v>2.3893468495514898</v>
      </c>
      <c r="I14101" s="20">
        <v>0.25323547253672701</v>
      </c>
      <c r="J14101" s="28">
        <v>0.80008625651646104</v>
      </c>
      <c r="K14101" s="29">
        <v>0.98289565623980701</v>
      </c>
    </row>
    <row r="14102" spans="1:11" x14ac:dyDescent="0.35">
      <c r="A14102" s="9" t="str">
        <f>HYPERLINK("http://www.ensembl.org/id/WBGene00200155", "WBGene00200155")</f>
        <v>WBGene00200155</v>
      </c>
      <c r="B14102" s="9"/>
      <c r="C14102" s="9"/>
      <c r="D14102" t="str">
        <f>"R13.9"</f>
        <v>R13.9</v>
      </c>
      <c r="F14102" t="s">
        <v>481</v>
      </c>
      <c r="H14102" s="12">
        <v>-3.5819448292659501</v>
      </c>
      <c r="I14102" s="20">
        <v>-0.37337717500031398</v>
      </c>
      <c r="J14102" s="28">
        <v>0.70886774492290605</v>
      </c>
      <c r="K14102" s="29">
        <v>0.98289565623980701</v>
      </c>
    </row>
    <row r="14103" spans="1:11" x14ac:dyDescent="0.35">
      <c r="A14103" s="9" t="str">
        <f>HYPERLINK("http://www.ensembl.org/id/WBGene00044504", "WBGene00044504")</f>
        <v>WBGene00044504</v>
      </c>
      <c r="B14103" s="9" t="str">
        <f>HYPERLINK("http://www.ncbi.nlm.nih.gov/gene/3896768", "3896768")</f>
        <v>3896768</v>
      </c>
      <c r="C14103" s="9"/>
      <c r="D14103" t="str">
        <f>"R13A1.10"</f>
        <v>R13A1.10</v>
      </c>
      <c r="F14103" t="s">
        <v>11</v>
      </c>
      <c r="G14103" t="s">
        <v>54</v>
      </c>
      <c r="H14103" s="12">
        <v>1.3665286893333299</v>
      </c>
      <c r="I14103" s="20">
        <v>0.57180859801740902</v>
      </c>
      <c r="J14103" s="28">
        <v>0.56745165171491396</v>
      </c>
      <c r="K14103" s="29">
        <v>0.98289565623980701</v>
      </c>
    </row>
    <row r="14104" spans="1:11" x14ac:dyDescent="0.35">
      <c r="A14104" s="9" t="str">
        <f>HYPERLINK("http://www.ensembl.org/id/WBGene00195627", "WBGene00195627")</f>
        <v>WBGene00195627</v>
      </c>
      <c r="B14104" s="9"/>
      <c r="C14104" s="9"/>
      <c r="D14104" t="str">
        <f>"R13A1.13"</f>
        <v>R13A1.13</v>
      </c>
      <c r="F14104" t="s">
        <v>481</v>
      </c>
      <c r="H14104" s="12">
        <v>3.5227018545059199</v>
      </c>
      <c r="I14104" s="20">
        <v>0.36849691206929103</v>
      </c>
      <c r="J14104" s="28">
        <v>0.71250274722433404</v>
      </c>
      <c r="K14104" s="29">
        <v>0.98289565623980701</v>
      </c>
    </row>
    <row r="14105" spans="1:11" x14ac:dyDescent="0.35">
      <c r="A14105" s="9" t="str">
        <f>HYPERLINK("http://www.ensembl.org/id/WBGene00020052", "WBGene00020052")</f>
        <v>WBGene00020052</v>
      </c>
      <c r="B14105" s="9" t="str">
        <f>HYPERLINK("http://www.ncbi.nlm.nih.gov/gene/260136", "260136")</f>
        <v>260136</v>
      </c>
      <c r="C14105" s="9"/>
      <c r="D14105" t="str">
        <f>"R13A5.10"</f>
        <v>R13A5.10</v>
      </c>
      <c r="F14105" t="s">
        <v>11</v>
      </c>
      <c r="G14105" t="s">
        <v>1412</v>
      </c>
      <c r="H14105" s="12">
        <v>1.1604281149519899</v>
      </c>
      <c r="I14105" s="20">
        <v>0.30763409936507102</v>
      </c>
      <c r="J14105" s="28">
        <v>0.75836077016276104</v>
      </c>
      <c r="K14105" s="29">
        <v>0.98289565623980701</v>
      </c>
    </row>
    <row r="14106" spans="1:11" x14ac:dyDescent="0.35">
      <c r="A14106" s="9" t="str">
        <f>HYPERLINK("http://www.ensembl.org/id/WBGene00020053", "WBGene00020053")</f>
        <v>WBGene00020053</v>
      </c>
      <c r="B14106" s="9" t="str">
        <f>HYPERLINK("http://www.ncbi.nlm.nih.gov/gene/176075", "176075")</f>
        <v>176075</v>
      </c>
      <c r="C14106" s="9"/>
      <c r="D14106" t="str">
        <f>"R13A5.11"</f>
        <v>R13A5.11</v>
      </c>
      <c r="E14106" t="s">
        <v>2496</v>
      </c>
      <c r="F14106" t="s">
        <v>11</v>
      </c>
      <c r="G14106" t="s">
        <v>636</v>
      </c>
      <c r="H14106" s="12">
        <v>-1.3240240667110601</v>
      </c>
      <c r="I14106" s="20">
        <v>-0.41179023176977297</v>
      </c>
      <c r="J14106" s="28">
        <v>0.68049318171739404</v>
      </c>
      <c r="K14106" s="29">
        <v>0.98289565623980701</v>
      </c>
    </row>
    <row r="14107" spans="1:11" x14ac:dyDescent="0.35">
      <c r="A14107" s="9" t="str">
        <f>HYPERLINK("http://www.ensembl.org/id/WBGene00194726", "WBGene00194726")</f>
        <v>WBGene00194726</v>
      </c>
      <c r="B14107" s="9" t="str">
        <f>HYPERLINK("http://www.ncbi.nlm.nih.gov/gene/13190191", "13190191")</f>
        <v>13190191</v>
      </c>
      <c r="C14107" s="9"/>
      <c r="D14107" t="str">
        <f>"R13A5.15"</f>
        <v>R13A5.15</v>
      </c>
      <c r="E14107" t="s">
        <v>1828</v>
      </c>
      <c r="F14107" t="s">
        <v>11</v>
      </c>
      <c r="G14107" t="s">
        <v>1829</v>
      </c>
      <c r="H14107" s="12">
        <v>1.13195064829848</v>
      </c>
      <c r="I14107" s="20">
        <v>0.30733467257399</v>
      </c>
      <c r="J14107" s="28">
        <v>0.75858864699436301</v>
      </c>
      <c r="K14107" s="29">
        <v>0.98289565623980701</v>
      </c>
    </row>
    <row r="14108" spans="1:11" x14ac:dyDescent="0.35">
      <c r="A14108" s="9" t="str">
        <f>HYPERLINK("http://www.ensembl.org/id/WBGene00206411", "WBGene00206411")</f>
        <v>WBGene00206411</v>
      </c>
      <c r="B14108" s="9"/>
      <c r="C14108" s="9"/>
      <c r="D14108" t="str">
        <f>"R13D11.11"</f>
        <v>R13D11.11</v>
      </c>
      <c r="F14108" t="s">
        <v>80</v>
      </c>
      <c r="H14108" s="12">
        <v>1.3938048456987899</v>
      </c>
      <c r="I14108" s="20">
        <v>0.390399742026102</v>
      </c>
      <c r="J14108" s="28">
        <v>0.69624097858886203</v>
      </c>
      <c r="K14108" s="29">
        <v>0.98289565623980701</v>
      </c>
    </row>
    <row r="14109" spans="1:11" x14ac:dyDescent="0.35">
      <c r="A14109" s="9" t="str">
        <f>HYPERLINK("http://www.ensembl.org/id/WBGene00196960", "WBGene00196960")</f>
        <v>WBGene00196960</v>
      </c>
      <c r="B14109" s="9"/>
      <c r="C14109" s="9"/>
      <c r="D14109" t="str">
        <f>"R13F6.11"</f>
        <v>R13F6.11</v>
      </c>
      <c r="F14109" t="s">
        <v>481</v>
      </c>
      <c r="H14109" s="12">
        <v>2.3893468495514898</v>
      </c>
      <c r="I14109" s="20">
        <v>0.25323547253672701</v>
      </c>
      <c r="J14109" s="28">
        <v>0.80008625651646104</v>
      </c>
      <c r="K14109" s="29">
        <v>0.98289565623980701</v>
      </c>
    </row>
    <row r="14110" spans="1:11" x14ac:dyDescent="0.35">
      <c r="A14110" s="9" t="str">
        <f>HYPERLINK("http://www.ensembl.org/id/WBGene00197637", "WBGene00197637")</f>
        <v>WBGene00197637</v>
      </c>
      <c r="B14110" s="9"/>
      <c r="C14110" s="9"/>
      <c r="D14110" t="str">
        <f>"R13F6.13"</f>
        <v>R13F6.13</v>
      </c>
      <c r="F14110" t="s">
        <v>481</v>
      </c>
      <c r="H14110" s="12">
        <v>-3.7261494131482999</v>
      </c>
      <c r="I14110" s="20">
        <v>-0.38454673129429601</v>
      </c>
      <c r="J14110" s="28">
        <v>0.70057326682554</v>
      </c>
      <c r="K14110" s="29">
        <v>0.98289565623980701</v>
      </c>
    </row>
    <row r="14111" spans="1:11" x14ac:dyDescent="0.35">
      <c r="A14111" s="9" t="str">
        <f>HYPERLINK("http://www.ensembl.org/id/WBGene00198908", "WBGene00198908")</f>
        <v>WBGene00198908</v>
      </c>
      <c r="B14111" s="9"/>
      <c r="C14111" s="9"/>
      <c r="D14111" t="str">
        <f>"R13H4.10"</f>
        <v>R13H4.10</v>
      </c>
      <c r="F14111" t="s">
        <v>481</v>
      </c>
      <c r="H14111" s="12">
        <v>-2.4295389261469</v>
      </c>
      <c r="I14111" s="20">
        <v>-0.25808529976640998</v>
      </c>
      <c r="J14111" s="28">
        <v>0.79634107645457397</v>
      </c>
      <c r="K14111" s="29">
        <v>0.98289565623980701</v>
      </c>
    </row>
    <row r="14112" spans="1:11" x14ac:dyDescent="0.35">
      <c r="A14112" s="9" t="str">
        <f>HYPERLINK("http://www.ensembl.org/id/WBGene00202011", "WBGene00202011")</f>
        <v>WBGene00202011</v>
      </c>
      <c r="B14112" s="9"/>
      <c r="C14112" s="9"/>
      <c r="D14112" t="str">
        <f>"R13H4.13"</f>
        <v>R13H4.13</v>
      </c>
      <c r="F14112" t="s">
        <v>481</v>
      </c>
      <c r="H14112" s="12">
        <v>-2.1292332732199601</v>
      </c>
      <c r="I14112" s="20">
        <v>-0.42690566810189101</v>
      </c>
      <c r="J14112" s="28">
        <v>0.66944803693312405</v>
      </c>
      <c r="K14112" s="29">
        <v>0.98289565623980701</v>
      </c>
    </row>
    <row r="14113" spans="1:11" x14ac:dyDescent="0.35">
      <c r="A14113" s="9" t="str">
        <f>HYPERLINK("http://www.ensembl.org/id/WBGene00014826", "WBGene00014826")</f>
        <v>WBGene00014826</v>
      </c>
      <c r="B14113" s="9" t="str">
        <f>HYPERLINK("http://www.ncbi.nlm.nih.gov/gene/6418761", "6418761")</f>
        <v>6418761</v>
      </c>
      <c r="C14113" s="9"/>
      <c r="D14113" t="str">
        <f>"R13H4.2"</f>
        <v>R13H4.2</v>
      </c>
      <c r="F14113" t="s">
        <v>11</v>
      </c>
      <c r="H14113" s="12">
        <v>1.08522813649289</v>
      </c>
      <c r="I14113" s="20">
        <v>0.39169126482074601</v>
      </c>
      <c r="J14113" s="28">
        <v>0.69528634503106601</v>
      </c>
      <c r="K14113" s="29">
        <v>0.98289565623980701</v>
      </c>
    </row>
    <row r="14114" spans="1:11" x14ac:dyDescent="0.35">
      <c r="A14114" s="9" t="str">
        <f>HYPERLINK("http://www.ensembl.org/id/WBGene00011263", "WBGene00011263")</f>
        <v>WBGene00011263</v>
      </c>
      <c r="B14114" s="9" t="str">
        <f>HYPERLINK("http://www.ncbi.nlm.nih.gov/gene/179625", "179625")</f>
        <v>179625</v>
      </c>
      <c r="C14114" s="9"/>
      <c r="D14114" t="str">
        <f>"R13H4.5"</f>
        <v>R13H4.5</v>
      </c>
      <c r="F14114" t="s">
        <v>11</v>
      </c>
      <c r="G14114" t="s">
        <v>54</v>
      </c>
      <c r="H14114" s="12">
        <v>1.1499418305634801</v>
      </c>
      <c r="I14114" s="20">
        <v>0.69879079003529898</v>
      </c>
      <c r="J14114" s="28">
        <v>0.48468278508960999</v>
      </c>
      <c r="K14114" s="29">
        <v>0.98289565623980701</v>
      </c>
    </row>
    <row r="14115" spans="1:11" x14ac:dyDescent="0.35">
      <c r="A14115" s="9" t="str">
        <f>HYPERLINK("http://www.ensembl.org/id/WBGene00011264", "WBGene00011264")</f>
        <v>WBGene00011264</v>
      </c>
      <c r="B14115" s="9" t="str">
        <f>HYPERLINK("http://www.ncbi.nlm.nih.gov/gene/187873", "187873")</f>
        <v>187873</v>
      </c>
      <c r="C14115" s="9"/>
      <c r="D14115" t="str">
        <f>"R13H4.6"</f>
        <v>R13H4.6</v>
      </c>
      <c r="F14115" t="s">
        <v>11</v>
      </c>
      <c r="G14115" t="s">
        <v>4289</v>
      </c>
      <c r="H14115" s="12">
        <v>3.7941109371613702</v>
      </c>
      <c r="I14115" s="20">
        <v>0.75837556595008404</v>
      </c>
      <c r="J14115" s="28">
        <v>0.44822618110138202</v>
      </c>
      <c r="K14115" s="29">
        <v>0.98289565623980701</v>
      </c>
    </row>
    <row r="14116" spans="1:11" x14ac:dyDescent="0.35">
      <c r="A14116" s="9" t="str">
        <f>HYPERLINK("http://www.ensembl.org/id/WBGene00011265", "WBGene00011265")</f>
        <v>WBGene00011265</v>
      </c>
      <c r="B14116" s="9" t="str">
        <f>HYPERLINK("http://www.ncbi.nlm.nih.gov/gene/187874", "187874")</f>
        <v>187874</v>
      </c>
      <c r="C14116" s="9"/>
      <c r="D14116" t="str">
        <f>"R13H4.7"</f>
        <v>R13H4.7</v>
      </c>
      <c r="F14116" t="s">
        <v>11</v>
      </c>
      <c r="G14116" t="s">
        <v>25</v>
      </c>
      <c r="H14116" s="12">
        <v>1.4404840173571001</v>
      </c>
      <c r="I14116" s="20">
        <v>0.72019594923492902</v>
      </c>
      <c r="J14116" s="28">
        <v>0.47140435763156002</v>
      </c>
      <c r="K14116" s="29">
        <v>0.98289565623980701</v>
      </c>
    </row>
    <row r="14117" spans="1:11" x14ac:dyDescent="0.35">
      <c r="A14117" s="9" t="str">
        <f>HYPERLINK("http://www.ensembl.org/id/WBGene00196799", "WBGene00196799")</f>
        <v>WBGene00196799</v>
      </c>
      <c r="B14117" s="9"/>
      <c r="C14117" s="9"/>
      <c r="D14117" t="str">
        <f>"R13H4.9"</f>
        <v>R13H4.9</v>
      </c>
      <c r="F14117" t="s">
        <v>481</v>
      </c>
      <c r="H14117" s="12">
        <v>3.5227018545059199</v>
      </c>
      <c r="I14117" s="20">
        <v>0.36849691206929103</v>
      </c>
      <c r="J14117" s="28">
        <v>0.71250274722433404</v>
      </c>
      <c r="K14117" s="29">
        <v>0.98289565623980701</v>
      </c>
    </row>
    <row r="14118" spans="1:11" x14ac:dyDescent="0.35">
      <c r="A14118" s="9" t="str">
        <f>HYPERLINK("http://www.ensembl.org/id/WBGene00198076", "WBGene00198076")</f>
        <v>WBGene00198076</v>
      </c>
      <c r="B14118" s="9"/>
      <c r="C14118" s="9"/>
      <c r="D14118" t="str">
        <f>"R13H7.19"</f>
        <v>R13H7.19</v>
      </c>
      <c r="F14118" t="s">
        <v>481</v>
      </c>
      <c r="H14118" s="12">
        <v>3.5227018545059199</v>
      </c>
      <c r="I14118" s="20">
        <v>0.36849691206929103</v>
      </c>
      <c r="J14118" s="28">
        <v>0.71250274722433404</v>
      </c>
      <c r="K14118" s="29">
        <v>0.98289565623980701</v>
      </c>
    </row>
    <row r="14119" spans="1:11" x14ac:dyDescent="0.35">
      <c r="A14119" s="9" t="str">
        <f>HYPERLINK("http://www.ensembl.org/id/WBGene00020071", "WBGene00020071")</f>
        <v>WBGene00020071</v>
      </c>
      <c r="B14119" s="9" t="str">
        <f>HYPERLINK("http://www.ncbi.nlm.nih.gov/gene/177276", "177276")</f>
        <v>177276</v>
      </c>
      <c r="C14119" s="9"/>
      <c r="D14119" t="str">
        <f>"R13H9.5"</f>
        <v>R13H9.5</v>
      </c>
      <c r="F14119" t="s">
        <v>11</v>
      </c>
      <c r="G14119" t="s">
        <v>1763</v>
      </c>
      <c r="H14119" s="12">
        <v>-5.85879369118424</v>
      </c>
      <c r="I14119" s="20">
        <v>-0.90731415580410801</v>
      </c>
      <c r="J14119" s="28">
        <v>0.36424069046908403</v>
      </c>
      <c r="K14119" s="29">
        <v>0.98289565623980701</v>
      </c>
    </row>
    <row r="14120" spans="1:11" x14ac:dyDescent="0.35">
      <c r="A14120" s="9" t="str">
        <f>HYPERLINK("http://www.ensembl.org/id/WBGene00020099", "WBGene00020099")</f>
        <v>WBGene00020099</v>
      </c>
      <c r="B14120" s="9" t="str">
        <f>HYPERLINK("http://www.ncbi.nlm.nih.gov/gene/175679", "175679")</f>
        <v>175679</v>
      </c>
      <c r="C14120" s="9"/>
      <c r="D14120" t="str">
        <f>"R144.11"</f>
        <v>R144.11</v>
      </c>
      <c r="F14120" t="s">
        <v>11</v>
      </c>
      <c r="G14120" t="s">
        <v>25</v>
      </c>
      <c r="H14120" s="12">
        <v>1.11769142603182</v>
      </c>
      <c r="I14120" s="20">
        <v>0.42700405000627401</v>
      </c>
      <c r="J14120" s="28">
        <v>0.669376377821852</v>
      </c>
      <c r="K14120" s="29">
        <v>0.98289565623980701</v>
      </c>
    </row>
    <row r="14121" spans="1:11" x14ac:dyDescent="0.35">
      <c r="A14121" s="9" t="str">
        <f>HYPERLINK("http://www.ensembl.org/id/WBGene00043060", "WBGene00043060")</f>
        <v>WBGene00043060</v>
      </c>
      <c r="B14121" s="9" t="str">
        <f>HYPERLINK("http://www.ncbi.nlm.nih.gov/gene/259331", "259331")</f>
        <v>259331</v>
      </c>
      <c r="C14121" s="9"/>
      <c r="D14121" t="str">
        <f>"R144.12"</f>
        <v>R144.12</v>
      </c>
      <c r="F14121" t="s">
        <v>11</v>
      </c>
      <c r="H14121" s="12">
        <v>-1.09666703986333</v>
      </c>
      <c r="I14121" s="20">
        <v>-0.41351206340041802</v>
      </c>
      <c r="J14121" s="28">
        <v>0.67923148592154203</v>
      </c>
      <c r="K14121" s="29">
        <v>0.98289565623980701</v>
      </c>
    </row>
    <row r="14122" spans="1:11" x14ac:dyDescent="0.35">
      <c r="A14122" s="9" t="str">
        <f>HYPERLINK("http://www.ensembl.org/id/WBGene00044648", "WBGene00044648")</f>
        <v>WBGene00044648</v>
      </c>
      <c r="B14122" s="9" t="str">
        <f>HYPERLINK("http://www.ncbi.nlm.nih.gov/gene/4363058", "4363058")</f>
        <v>4363058</v>
      </c>
      <c r="C14122" s="9" t="str">
        <f>HYPERLINK("http://www.ncbi.nlm.nih.gov/gene/93058", "93058")</f>
        <v>93058</v>
      </c>
      <c r="D14122" t="str">
        <f>"R144.13"</f>
        <v>R144.13</v>
      </c>
      <c r="F14122" t="s">
        <v>11</v>
      </c>
      <c r="G14122" t="s">
        <v>8450</v>
      </c>
      <c r="H14122" s="12">
        <v>-1.1786430618372801</v>
      </c>
      <c r="I14122" s="20">
        <v>-0.62518760981469801</v>
      </c>
      <c r="J14122" s="28">
        <v>0.53184793287985599</v>
      </c>
      <c r="K14122" s="29">
        <v>0.98289565623980701</v>
      </c>
    </row>
    <row r="14123" spans="1:11" x14ac:dyDescent="0.35">
      <c r="A14123" s="9" t="str">
        <f>HYPERLINK("http://www.ensembl.org/id/WBGene00020093", "WBGene00020093")</f>
        <v>WBGene00020093</v>
      </c>
      <c r="B14123" s="9" t="str">
        <f>HYPERLINK("http://www.ncbi.nlm.nih.gov/gene/187900", "187900")</f>
        <v>187900</v>
      </c>
      <c r="C14123" s="9"/>
      <c r="D14123" t="str">
        <f>"R144.3"</f>
        <v>R144.3</v>
      </c>
      <c r="F14123" t="s">
        <v>11</v>
      </c>
      <c r="G14123" t="s">
        <v>8450</v>
      </c>
      <c r="H14123" s="12">
        <v>-1.2539406148885399</v>
      </c>
      <c r="I14123" s="20">
        <v>-0.97847517001305995</v>
      </c>
      <c r="J14123" s="28">
        <v>0.32783936604934899</v>
      </c>
      <c r="K14123" s="29">
        <v>0.98289565623980701</v>
      </c>
    </row>
    <row r="14124" spans="1:11" x14ac:dyDescent="0.35">
      <c r="A14124" s="9" t="str">
        <f>HYPERLINK("http://www.ensembl.org/id/WBGene00020102", "WBGene00020102")</f>
        <v>WBGene00020102</v>
      </c>
      <c r="B14124" s="9" t="str">
        <f>HYPERLINK("http://www.ncbi.nlm.nih.gov/gene/175423", "175423")</f>
        <v>175423</v>
      </c>
      <c r="C14124" s="9"/>
      <c r="D14124" t="str">
        <f>"R148.3"</f>
        <v>R148.3</v>
      </c>
      <c r="F14124" t="s">
        <v>11</v>
      </c>
      <c r="H14124" s="12">
        <v>-1.09847437441504</v>
      </c>
      <c r="I14124" s="20">
        <v>-0.50062825598102401</v>
      </c>
      <c r="J14124" s="28">
        <v>0.61663277266036598</v>
      </c>
      <c r="K14124" s="29">
        <v>0.98289565623980701</v>
      </c>
    </row>
    <row r="14125" spans="1:11" x14ac:dyDescent="0.35">
      <c r="A14125" s="9" t="str">
        <f>HYPERLINK("http://www.ensembl.org/id/WBGene00023333", "WBGene00023333")</f>
        <v>WBGene00023333</v>
      </c>
      <c r="B14125" s="9"/>
      <c r="C14125" s="9"/>
      <c r="D14125" t="str">
        <f>"R148.t3"</f>
        <v>R148.t3</v>
      </c>
      <c r="F14125" t="s">
        <v>80</v>
      </c>
      <c r="H14125" s="12">
        <v>2.3893468495514898</v>
      </c>
      <c r="I14125" s="20">
        <v>0.25323547253672701</v>
      </c>
      <c r="J14125" s="28">
        <v>0.80008625651646104</v>
      </c>
      <c r="K14125" s="29">
        <v>0.98289565623980701</v>
      </c>
    </row>
    <row r="14126" spans="1:11" x14ac:dyDescent="0.35">
      <c r="A14126" s="9" t="str">
        <f>HYPERLINK("http://www.ensembl.org/id/WBGene00020106", "WBGene00020106")</f>
        <v>WBGene00020106</v>
      </c>
      <c r="B14126" s="9" t="str">
        <f>HYPERLINK("http://www.ncbi.nlm.nih.gov/gene/187907", "187907")</f>
        <v>187907</v>
      </c>
      <c r="C14126" s="9"/>
      <c r="D14126" t="str">
        <f>"R151.1"</f>
        <v>R151.1</v>
      </c>
      <c r="F14126" t="s">
        <v>11</v>
      </c>
      <c r="G14126" t="s">
        <v>5498</v>
      </c>
      <c r="H14126" s="12">
        <v>1.15780783915378</v>
      </c>
      <c r="I14126" s="20">
        <v>0.48488817074239199</v>
      </c>
      <c r="J14126" s="28">
        <v>0.62775567393668796</v>
      </c>
      <c r="K14126" s="29">
        <v>0.98289565623980701</v>
      </c>
    </row>
    <row r="14127" spans="1:11" x14ac:dyDescent="0.35">
      <c r="A14127" s="9" t="str">
        <f>HYPERLINK("http://www.ensembl.org/id/WBGene00020113", "WBGene00020113")</f>
        <v>WBGene00020113</v>
      </c>
      <c r="B14127" s="9" t="str">
        <f>HYPERLINK("http://www.ncbi.nlm.nih.gov/gene/24104817", "24104817")</f>
        <v>24104817</v>
      </c>
      <c r="C14127" s="9"/>
      <c r="D14127" t="str">
        <f>"R151.10"</f>
        <v>R151.10</v>
      </c>
      <c r="E14127" t="s">
        <v>7892</v>
      </c>
      <c r="F14127" t="s">
        <v>11</v>
      </c>
      <c r="G14127" t="s">
        <v>7893</v>
      </c>
      <c r="H14127" s="12">
        <v>-1.15003247335083</v>
      </c>
      <c r="I14127" s="20">
        <v>-0.60966160421429405</v>
      </c>
      <c r="J14127" s="28">
        <v>0.54208599400326096</v>
      </c>
      <c r="K14127" s="29">
        <v>0.98289565623980701</v>
      </c>
    </row>
    <row r="14128" spans="1:11" x14ac:dyDescent="0.35">
      <c r="A14128" s="9" t="str">
        <f>HYPERLINK("http://www.ensembl.org/id/WBGene00023466", "WBGene00023466")</f>
        <v>WBGene00023466</v>
      </c>
      <c r="B14128" s="9"/>
      <c r="C14128" s="9"/>
      <c r="D14128" t="str">
        <f>"R151.11"</f>
        <v>R151.11</v>
      </c>
      <c r="F14128" t="s">
        <v>2977</v>
      </c>
      <c r="H14128" s="12">
        <v>2.4578120077400301</v>
      </c>
      <c r="I14128" s="20">
        <v>0.26093350314551</v>
      </c>
      <c r="J14128" s="28">
        <v>0.79414378780213601</v>
      </c>
      <c r="K14128" s="29">
        <v>0.98289565623980701</v>
      </c>
    </row>
    <row r="14129" spans="1:11" x14ac:dyDescent="0.35">
      <c r="A14129" s="9" t="str">
        <f>HYPERLINK("http://www.ensembl.org/id/WBGene00044944", "WBGene00044944")</f>
        <v>WBGene00044944</v>
      </c>
      <c r="B14129" s="9"/>
      <c r="C14129" s="9"/>
      <c r="D14129" t="str">
        <f>"R151.13"</f>
        <v>R151.13</v>
      </c>
      <c r="F14129" t="s">
        <v>2977</v>
      </c>
      <c r="H14129" s="12">
        <v>-2.4991590031922399</v>
      </c>
      <c r="I14129" s="20">
        <v>-0.26577412737581302</v>
      </c>
      <c r="J14129" s="28">
        <v>0.79041317015736101</v>
      </c>
      <c r="K14129" s="29">
        <v>0.98289565623980701</v>
      </c>
    </row>
    <row r="14130" spans="1:11" x14ac:dyDescent="0.35">
      <c r="A14130" s="9" t="str">
        <f>HYPERLINK("http://www.ensembl.org/id/WBGene00199701", "WBGene00199701")</f>
        <v>WBGene00199701</v>
      </c>
      <c r="B14130" s="9"/>
      <c r="C14130" s="9"/>
      <c r="D14130" t="str">
        <f>"R151.17"</f>
        <v>R151.17</v>
      </c>
      <c r="F14130" t="s">
        <v>481</v>
      </c>
      <c r="H14130" s="12">
        <v>-5.4967879193631202</v>
      </c>
      <c r="I14130" s="20">
        <v>-0.50254160819837501</v>
      </c>
      <c r="J14130" s="28">
        <v>0.61528659178453604</v>
      </c>
      <c r="K14130" s="29">
        <v>0.98289565623980701</v>
      </c>
    </row>
    <row r="14131" spans="1:11" x14ac:dyDescent="0.35">
      <c r="A14131" s="9" t="str">
        <f>HYPERLINK("http://www.ensembl.org/id/WBGene00020109", "WBGene00020109")</f>
        <v>WBGene00020109</v>
      </c>
      <c r="B14131" s="9" t="str">
        <f>HYPERLINK("http://www.ncbi.nlm.nih.gov/gene/176018", "176018")</f>
        <v>176018</v>
      </c>
      <c r="C14131" s="9" t="str">
        <f>HYPERLINK("http://www.ncbi.nlm.nih.gov/gene/51009", "51009")</f>
        <v>51009</v>
      </c>
      <c r="D14131" t="str">
        <f>"R151.6"</f>
        <v>R151.6</v>
      </c>
      <c r="E14131" t="s">
        <v>7676</v>
      </c>
      <c r="F14131" t="s">
        <v>11</v>
      </c>
      <c r="G14131" t="s">
        <v>7677</v>
      </c>
      <c r="H14131" s="12">
        <v>-1.13884725707271</v>
      </c>
      <c r="I14131" s="20">
        <v>-0.65902239260495699</v>
      </c>
      <c r="J14131" s="28">
        <v>0.50988138933309701</v>
      </c>
      <c r="K14131" s="29">
        <v>0.98289565623980701</v>
      </c>
    </row>
    <row r="14132" spans="1:11" x14ac:dyDescent="0.35">
      <c r="A14132" s="9" t="str">
        <f>HYPERLINK("http://www.ensembl.org/id/WBGene00020111", "WBGene00020111")</f>
        <v>WBGene00020111</v>
      </c>
      <c r="B14132" s="9" t="str">
        <f>HYPERLINK("http://www.ncbi.nlm.nih.gov/gene/176020", "176020")</f>
        <v>176020</v>
      </c>
      <c r="C14132" s="9"/>
      <c r="D14132" t="str">
        <f>"R151.8"</f>
        <v>R151.8</v>
      </c>
      <c r="F14132" t="s">
        <v>11</v>
      </c>
      <c r="G14132" t="s">
        <v>8667</v>
      </c>
      <c r="H14132" s="12">
        <v>-1.1897495102209901</v>
      </c>
      <c r="I14132" s="20">
        <v>-0.82192319632727595</v>
      </c>
      <c r="J14132" s="28">
        <v>0.411120610129592</v>
      </c>
      <c r="K14132" s="29">
        <v>0.98289565623980701</v>
      </c>
    </row>
    <row r="14133" spans="1:11" x14ac:dyDescent="0.35">
      <c r="A14133" s="9" t="str">
        <f>HYPERLINK("http://www.ensembl.org/id/WBGene00196288", "WBGene00196288")</f>
        <v>WBGene00196288</v>
      </c>
      <c r="B14133" s="9"/>
      <c r="C14133" s="9"/>
      <c r="D14133" t="str">
        <f>"R153.3"</f>
        <v>R153.3</v>
      </c>
      <c r="F14133" t="s">
        <v>481</v>
      </c>
      <c r="H14133" s="12">
        <v>-3.5819448292659501</v>
      </c>
      <c r="I14133" s="20">
        <v>-0.37337717500031398</v>
      </c>
      <c r="J14133" s="28">
        <v>0.70886774492290605</v>
      </c>
      <c r="K14133" s="29">
        <v>0.98289565623980701</v>
      </c>
    </row>
    <row r="14134" spans="1:11" x14ac:dyDescent="0.35">
      <c r="A14134" s="9" t="str">
        <f>HYPERLINK("http://www.ensembl.org/id/WBGene00020117", "WBGene00020117")</f>
        <v>WBGene00020117</v>
      </c>
      <c r="B14134" s="9" t="str">
        <f>HYPERLINK("http://www.ncbi.nlm.nih.gov/gene/187909", "187909")</f>
        <v>187909</v>
      </c>
      <c r="C14134" s="9"/>
      <c r="D14134" t="str">
        <f>"R155.3"</f>
        <v>R155.3</v>
      </c>
      <c r="E14134" t="s">
        <v>4323</v>
      </c>
      <c r="F14134" t="s">
        <v>11</v>
      </c>
      <c r="G14134" t="s">
        <v>4317</v>
      </c>
      <c r="H14134" s="12">
        <v>-2.0223100495139201</v>
      </c>
      <c r="I14134" s="20">
        <v>-0.50223680412634097</v>
      </c>
      <c r="J14134" s="28">
        <v>0.61550095682763195</v>
      </c>
      <c r="K14134" s="29">
        <v>0.98289565623980701</v>
      </c>
    </row>
    <row r="14135" spans="1:11" x14ac:dyDescent="0.35">
      <c r="A14135" s="9" t="str">
        <f>HYPERLINK("http://www.ensembl.org/id/WBGene00020118", "WBGene00020118")</f>
        <v>WBGene00020118</v>
      </c>
      <c r="B14135" s="9" t="str">
        <f>HYPERLINK("http://www.ncbi.nlm.nih.gov/gene/187910", "187910")</f>
        <v>187910</v>
      </c>
      <c r="C14135" s="9"/>
      <c r="D14135" t="str">
        <f>"R155.4"</f>
        <v>R155.4</v>
      </c>
      <c r="F14135" t="s">
        <v>11</v>
      </c>
      <c r="H14135" s="12">
        <v>2.02548392423195</v>
      </c>
      <c r="I14135" s="20">
        <v>0.47769112605607</v>
      </c>
      <c r="J14135" s="28">
        <v>0.63287006123912504</v>
      </c>
      <c r="K14135" s="29">
        <v>0.98289565623980701</v>
      </c>
    </row>
    <row r="14136" spans="1:11" x14ac:dyDescent="0.35">
      <c r="A14136" s="9" t="str">
        <f>HYPERLINK("http://www.ensembl.org/id/WBGene00020122", "WBGene00020122")</f>
        <v>WBGene00020122</v>
      </c>
      <c r="B14136" s="9" t="str">
        <f>HYPERLINK("http://www.ncbi.nlm.nih.gov/gene/187914", "187914")</f>
        <v>187914</v>
      </c>
      <c r="C14136" s="9"/>
      <c r="D14136" t="str">
        <f>"R160.5"</f>
        <v>R160.5</v>
      </c>
      <c r="F14136" t="s">
        <v>11</v>
      </c>
      <c r="G14136" t="s">
        <v>25</v>
      </c>
      <c r="H14136" s="12">
        <v>-3.20559863628272</v>
      </c>
      <c r="I14136" s="20">
        <v>-0.55293094581264102</v>
      </c>
      <c r="J14136" s="28">
        <v>0.58031069619131503</v>
      </c>
      <c r="K14136" s="29">
        <v>0.98289565623980701</v>
      </c>
    </row>
    <row r="14137" spans="1:11" x14ac:dyDescent="0.35">
      <c r="A14137" s="9" t="str">
        <f>HYPERLINK("http://www.ensembl.org/id/WBGene00197667", "WBGene00197667")</f>
        <v>WBGene00197667</v>
      </c>
      <c r="B14137" s="9"/>
      <c r="C14137" s="9"/>
      <c r="D14137" t="str">
        <f>"R160.8"</f>
        <v>R160.8</v>
      </c>
      <c r="F14137" t="s">
        <v>481</v>
      </c>
      <c r="H14137" s="12">
        <v>2.3893468495514898</v>
      </c>
      <c r="I14137" s="20">
        <v>0.25323547253672701</v>
      </c>
      <c r="J14137" s="28">
        <v>0.80008625651646104</v>
      </c>
      <c r="K14137" s="29">
        <v>0.98289565623980701</v>
      </c>
    </row>
    <row r="14138" spans="1:11" x14ac:dyDescent="0.35">
      <c r="A14138" s="9" t="str">
        <f>HYPERLINK("http://www.ensembl.org/id/WBGene00198006", "WBGene00198006")</f>
        <v>WBGene00198006</v>
      </c>
      <c r="B14138" s="9"/>
      <c r="C14138" s="9"/>
      <c r="D14138" t="str">
        <f>"R160.9"</f>
        <v>R160.9</v>
      </c>
      <c r="F14138" t="s">
        <v>481</v>
      </c>
      <c r="H14138" s="12">
        <v>-2.09198084910894</v>
      </c>
      <c r="I14138" s="20">
        <v>-0.49599022666898701</v>
      </c>
      <c r="J14138" s="28">
        <v>0.61990130638601904</v>
      </c>
      <c r="K14138" s="29">
        <v>0.98289565623980701</v>
      </c>
    </row>
    <row r="14139" spans="1:11" x14ac:dyDescent="0.35">
      <c r="A14139" s="9" t="str">
        <f>HYPERLINK("http://www.ensembl.org/id/WBGene00014492", "WBGene00014492")</f>
        <v>WBGene00014492</v>
      </c>
      <c r="B14139" s="9"/>
      <c r="C14139" s="9"/>
      <c r="D14139" t="str">
        <f>"R166.6"</f>
        <v>R166.6</v>
      </c>
      <c r="F14139" t="s">
        <v>481</v>
      </c>
      <c r="H14139" s="12">
        <v>3.76010897660976</v>
      </c>
      <c r="I14139" s="20">
        <v>0.57326939422927703</v>
      </c>
      <c r="J14139" s="28">
        <v>0.56646230479044701</v>
      </c>
      <c r="K14139" s="29">
        <v>0.98289565623980701</v>
      </c>
    </row>
    <row r="14140" spans="1:11" x14ac:dyDescent="0.35">
      <c r="A14140" s="9" t="str">
        <f>HYPERLINK("http://www.ensembl.org/id/WBGene00045074", "WBGene00045074")</f>
        <v>WBGene00045074</v>
      </c>
      <c r="B14140" s="9"/>
      <c r="C14140" s="9"/>
      <c r="D14140" t="str">
        <f>"R166.7"</f>
        <v>R166.7</v>
      </c>
      <c r="F14140" t="s">
        <v>2977</v>
      </c>
      <c r="H14140" s="12">
        <v>1.6186006655359599</v>
      </c>
      <c r="I14140" s="20">
        <v>0.386653147172689</v>
      </c>
      <c r="J14140" s="28">
        <v>0.69901300647183195</v>
      </c>
      <c r="K14140" s="29">
        <v>0.98289565623980701</v>
      </c>
    </row>
    <row r="14141" spans="1:11" x14ac:dyDescent="0.35">
      <c r="A14141" s="9" t="str">
        <f>HYPERLINK("http://www.ensembl.org/id/WBGene00199114", "WBGene00199114")</f>
        <v>WBGene00199114</v>
      </c>
      <c r="B14141" s="9"/>
      <c r="C14141" s="9"/>
      <c r="D14141" t="str">
        <f>"R166.9"</f>
        <v>R166.9</v>
      </c>
      <c r="F14141" t="s">
        <v>481</v>
      </c>
      <c r="H14141" s="12">
        <v>1.53850208036259</v>
      </c>
      <c r="I14141" s="20">
        <v>0.32652886282723698</v>
      </c>
      <c r="J14141" s="28">
        <v>0.74402425553933105</v>
      </c>
      <c r="K14141" s="29">
        <v>0.98289565623980701</v>
      </c>
    </row>
    <row r="14142" spans="1:11" x14ac:dyDescent="0.35">
      <c r="A14142" s="9" t="str">
        <f>HYPERLINK("http://www.ensembl.org/id/WBGene00011305", "WBGene00011305")</f>
        <v>WBGene00011305</v>
      </c>
      <c r="B14142" s="9" t="str">
        <f>HYPERLINK("http://www.ncbi.nlm.nih.gov/gene/179780", "179780")</f>
        <v>179780</v>
      </c>
      <c r="C14142" s="9" t="str">
        <f>HYPERLINK("http://www.ncbi.nlm.nih.gov/gene/128989", "128989")</f>
        <v>128989</v>
      </c>
      <c r="D14142" t="str">
        <f>"R186.1"</f>
        <v>R186.1</v>
      </c>
      <c r="F14142" t="s">
        <v>11</v>
      </c>
      <c r="G14142" t="s">
        <v>5068</v>
      </c>
      <c r="H14142" s="12">
        <v>-1.1612694525837199</v>
      </c>
      <c r="I14142" s="20">
        <v>-0.698612072692681</v>
      </c>
      <c r="J14142" s="28">
        <v>0.48479449688148002</v>
      </c>
      <c r="K14142" s="29">
        <v>0.98289565623980701</v>
      </c>
    </row>
    <row r="14143" spans="1:11" x14ac:dyDescent="0.35">
      <c r="A14143" s="9" t="str">
        <f>HYPERLINK("http://www.ensembl.org/id/WBGene00011306", "WBGene00011306")</f>
        <v>WBGene00011306</v>
      </c>
      <c r="B14143" s="9" t="str">
        <f>HYPERLINK("http://www.ncbi.nlm.nih.gov/gene/179781", "179781")</f>
        <v>179781</v>
      </c>
      <c r="C14143" s="9" t="str">
        <f>HYPERLINK("http://www.ncbi.nlm.nih.gov/gene/58477", "58477")</f>
        <v>58477</v>
      </c>
      <c r="D14143" t="str">
        <f>"R186.3"</f>
        <v>R186.3</v>
      </c>
      <c r="F14143" t="s">
        <v>11</v>
      </c>
      <c r="G14143" t="s">
        <v>7394</v>
      </c>
      <c r="H14143" s="12">
        <v>-1.12348577844174</v>
      </c>
      <c r="I14143" s="20">
        <v>-0.59489942130976103</v>
      </c>
      <c r="J14143" s="28">
        <v>0.55191070413781096</v>
      </c>
      <c r="K14143" s="29">
        <v>0.98289565623980701</v>
      </c>
    </row>
    <row r="14144" spans="1:11" x14ac:dyDescent="0.35">
      <c r="A14144" s="9" t="str">
        <f>HYPERLINK("http://www.ensembl.org/id/WBGene00011309", "WBGene00011309")</f>
        <v>WBGene00011309</v>
      </c>
      <c r="B14144" s="9" t="str">
        <f>HYPERLINK("http://www.ncbi.nlm.nih.gov/gene/3565661", "3565661")</f>
        <v>3565661</v>
      </c>
      <c r="C14144" s="9"/>
      <c r="D14144" t="str">
        <f>"R186.8"</f>
        <v>R186.8</v>
      </c>
      <c r="F14144" t="s">
        <v>11</v>
      </c>
      <c r="G14144" t="s">
        <v>4239</v>
      </c>
      <c r="H14144" s="12">
        <v>-1.0935675829804401</v>
      </c>
      <c r="I14144" s="20">
        <v>-0.31892705773346203</v>
      </c>
      <c r="J14144" s="28">
        <v>0.74978182578628005</v>
      </c>
      <c r="K14144" s="29">
        <v>0.98289565623980701</v>
      </c>
    </row>
    <row r="14145" spans="1:11" x14ac:dyDescent="0.35">
      <c r="A14145" s="9" t="str">
        <f>HYPERLINK("http://www.ensembl.org/id/WBGene00020127", "WBGene00020127")</f>
        <v>WBGene00020127</v>
      </c>
      <c r="B14145" s="9" t="str">
        <f>HYPERLINK("http://www.ncbi.nlm.nih.gov/gene/187920", "187920")</f>
        <v>187920</v>
      </c>
      <c r="C14145" s="9"/>
      <c r="D14145" t="str">
        <f>"R193.1"</f>
        <v>R193.1</v>
      </c>
      <c r="F14145" t="s">
        <v>11</v>
      </c>
      <c r="H14145" s="12">
        <v>-3.5819448292659501</v>
      </c>
      <c r="I14145" s="20">
        <v>-0.37337717500031398</v>
      </c>
      <c r="J14145" s="28">
        <v>0.70886774492290605</v>
      </c>
      <c r="K14145" s="29">
        <v>0.98289565623980701</v>
      </c>
    </row>
    <row r="14146" spans="1:11" x14ac:dyDescent="0.35">
      <c r="A14146" s="9" t="str">
        <f>HYPERLINK("http://www.ensembl.org/id/WBGene00020128", "WBGene00020128")</f>
        <v>WBGene00020128</v>
      </c>
      <c r="B14146" s="9" t="str">
        <f>HYPERLINK("http://www.ncbi.nlm.nih.gov/gene/182256", "182256")</f>
        <v>182256</v>
      </c>
      <c r="C14146" s="9"/>
      <c r="D14146" t="str">
        <f>"R193.2"</f>
        <v>R193.2</v>
      </c>
      <c r="F14146" t="s">
        <v>11</v>
      </c>
      <c r="G14146" t="s">
        <v>25</v>
      </c>
      <c r="H14146" s="12">
        <v>1.42762488813139</v>
      </c>
      <c r="I14146" s="20">
        <v>0.396145708309183</v>
      </c>
      <c r="J14146" s="28">
        <v>0.69199754029532101</v>
      </c>
      <c r="K14146" s="29">
        <v>0.98289565623980701</v>
      </c>
    </row>
    <row r="14147" spans="1:11" x14ac:dyDescent="0.35">
      <c r="A14147" s="9" t="str">
        <f>HYPERLINK("http://www.ensembl.org/id/WBGene00195624", "WBGene00195624")</f>
        <v>WBGene00195624</v>
      </c>
      <c r="B14147" s="9"/>
      <c r="C14147" s="9"/>
      <c r="D14147" t="str">
        <f>"R31.4"</f>
        <v>R31.4</v>
      </c>
      <c r="F14147" t="s">
        <v>481</v>
      </c>
      <c r="H14147" s="12">
        <v>-7.52928964606844</v>
      </c>
      <c r="I14147" s="20">
        <v>-1.0789374822961399</v>
      </c>
      <c r="J14147" s="28">
        <v>0.280615598233171</v>
      </c>
      <c r="K14147" s="29">
        <v>0.98289565623980701</v>
      </c>
    </row>
    <row r="14148" spans="1:11" x14ac:dyDescent="0.35">
      <c r="A14148" s="9" t="str">
        <f>HYPERLINK("http://www.ensembl.org/id/WBGene00220046", "WBGene00220046")</f>
        <v>WBGene00220046</v>
      </c>
      <c r="B14148" s="9"/>
      <c r="C14148" s="9"/>
      <c r="D14148" t="str">
        <f>"R31.7"</f>
        <v>R31.7</v>
      </c>
      <c r="F14148" t="s">
        <v>481</v>
      </c>
      <c r="H14148" s="12">
        <v>4.0963990052708601</v>
      </c>
      <c r="I14148" s="20">
        <v>0.63537495515817699</v>
      </c>
      <c r="J14148" s="28">
        <v>0.52518389832035295</v>
      </c>
      <c r="K14148" s="29">
        <v>0.98289565623980701</v>
      </c>
    </row>
    <row r="14149" spans="1:11" x14ac:dyDescent="0.35">
      <c r="A14149" s="9" t="str">
        <f>HYPERLINK("http://www.ensembl.org/id/WBGene00020077", "WBGene00020077")</f>
        <v>WBGene00020077</v>
      </c>
      <c r="B14149" s="9" t="str">
        <f>HYPERLINK("http://www.ncbi.nlm.nih.gov/gene/187879", "187879")</f>
        <v>187879</v>
      </c>
      <c r="C14149" s="9"/>
      <c r="D14149" t="str">
        <f>"R52.5"</f>
        <v>R52.5</v>
      </c>
      <c r="F14149" t="s">
        <v>11</v>
      </c>
      <c r="H14149" s="12">
        <v>3.5227018545059199</v>
      </c>
      <c r="I14149" s="20">
        <v>0.36849691206929103</v>
      </c>
      <c r="J14149" s="28">
        <v>0.71250274722433404</v>
      </c>
      <c r="K14149" s="29">
        <v>0.98289565623980701</v>
      </c>
    </row>
    <row r="14150" spans="1:11" x14ac:dyDescent="0.35">
      <c r="A14150" s="9" t="str">
        <f>HYPERLINK("http://www.ensembl.org/id/WBGene00020078", "WBGene00020078")</f>
        <v>WBGene00020078</v>
      </c>
      <c r="B14150" s="9" t="str">
        <f>HYPERLINK("http://www.ncbi.nlm.nih.gov/gene/187880", "187880")</f>
        <v>187880</v>
      </c>
      <c r="C14150" s="9"/>
      <c r="D14150" t="str">
        <f>"R52.6"</f>
        <v>R52.6</v>
      </c>
      <c r="F14150" t="s">
        <v>11</v>
      </c>
      <c r="H14150" s="12">
        <v>2.2989867478861101</v>
      </c>
      <c r="I14150" s="20">
        <v>0.39977594961380197</v>
      </c>
      <c r="J14150" s="28">
        <v>0.68932154630716602</v>
      </c>
      <c r="K14150" s="29">
        <v>0.98289565623980701</v>
      </c>
    </row>
    <row r="14151" spans="1:11" x14ac:dyDescent="0.35">
      <c r="A14151" s="9" t="str">
        <f>HYPERLINK("http://www.ensembl.org/id/WBGene00011273", "WBGene00011273")</f>
        <v>WBGene00011273</v>
      </c>
      <c r="B14151" s="9" t="str">
        <f>HYPERLINK("http://www.ncbi.nlm.nih.gov/gene/174554", "174554")</f>
        <v>174554</v>
      </c>
      <c r="C14151" s="9"/>
      <c r="D14151" t="str">
        <f>"R53.4"</f>
        <v>R53.4</v>
      </c>
      <c r="E14151" t="s">
        <v>6592</v>
      </c>
      <c r="F14151" t="s">
        <v>11</v>
      </c>
      <c r="G14151" t="s">
        <v>6593</v>
      </c>
      <c r="H14151" s="12">
        <v>-1.0787061166979699</v>
      </c>
      <c r="I14151" s="20">
        <v>-0.40863905029360398</v>
      </c>
      <c r="J14151" s="28">
        <v>0.68280456861209204</v>
      </c>
      <c r="K14151" s="29">
        <v>0.98289565623980701</v>
      </c>
    </row>
    <row r="14152" spans="1:11" x14ac:dyDescent="0.35">
      <c r="A14152" s="9" t="str">
        <f>HYPERLINK("http://www.ensembl.org/id/WBGene00011277", "WBGene00011277")</f>
        <v>WBGene00011277</v>
      </c>
      <c r="B14152" s="9" t="str">
        <f>HYPERLINK("http://www.ncbi.nlm.nih.gov/gene/187886", "187886")</f>
        <v>187886</v>
      </c>
      <c r="C14152" s="9"/>
      <c r="D14152" t="str">
        <f>"R53.8"</f>
        <v>R53.8</v>
      </c>
      <c r="F14152" t="s">
        <v>11</v>
      </c>
      <c r="H14152" s="12">
        <v>3.5227018545059199</v>
      </c>
      <c r="I14152" s="20">
        <v>0.36849691206929103</v>
      </c>
      <c r="J14152" s="28">
        <v>0.71250274722433404</v>
      </c>
      <c r="K14152" s="29">
        <v>0.98289565623980701</v>
      </c>
    </row>
    <row r="14153" spans="1:11" x14ac:dyDescent="0.35">
      <c r="A14153" s="9" t="str">
        <f>HYPERLINK("http://www.ensembl.org/id/WBGene00020083", "WBGene00020083")</f>
        <v>WBGene00020083</v>
      </c>
      <c r="B14153" s="9" t="str">
        <f>HYPERLINK("http://www.ncbi.nlm.nih.gov/gene/180385", "180385")</f>
        <v>180385</v>
      </c>
      <c r="C14153" s="9"/>
      <c r="D14153" t="str">
        <f>"R57.2"</f>
        <v>R57.2</v>
      </c>
      <c r="F14153" t="s">
        <v>11</v>
      </c>
      <c r="H14153" s="12">
        <v>1.2966302208484699</v>
      </c>
      <c r="I14153" s="20">
        <v>0.51599459658472102</v>
      </c>
      <c r="J14153" s="28">
        <v>0.60585818313519602</v>
      </c>
      <c r="K14153" s="29">
        <v>0.98289565623980701</v>
      </c>
    </row>
    <row r="14154" spans="1:11" x14ac:dyDescent="0.35">
      <c r="A14154" s="9" t="str">
        <f>HYPERLINK("http://www.ensembl.org/id/WBGene00220047", "WBGene00220047")</f>
        <v>WBGene00220047</v>
      </c>
      <c r="B14154" s="9"/>
      <c r="C14154" s="9"/>
      <c r="D14154" t="str">
        <f>"R74.11"</f>
        <v>R74.11</v>
      </c>
      <c r="F14154" t="s">
        <v>481</v>
      </c>
      <c r="H14154" s="12">
        <v>-1.9735079792199799</v>
      </c>
      <c r="I14154" s="20">
        <v>-1.02420530065508</v>
      </c>
      <c r="J14154" s="28">
        <v>0.30573831563347498</v>
      </c>
      <c r="K14154" s="29">
        <v>0.98289565623980701</v>
      </c>
    </row>
    <row r="14155" spans="1:11" x14ac:dyDescent="0.35">
      <c r="A14155" s="9" t="str">
        <f>HYPERLINK("http://www.ensembl.org/id/WBGene00011278", "WBGene00011278")</f>
        <v>WBGene00011278</v>
      </c>
      <c r="B14155" s="9" t="str">
        <f>HYPERLINK("http://www.ncbi.nlm.nih.gov/gene/175539", "175539")</f>
        <v>175539</v>
      </c>
      <c r="C14155" s="9"/>
      <c r="D14155" t="str">
        <f>"R74.2"</f>
        <v>R74.2</v>
      </c>
      <c r="F14155" t="s">
        <v>11</v>
      </c>
      <c r="H14155" s="12">
        <v>-2.3013751956739301</v>
      </c>
      <c r="I14155" s="20">
        <v>-0.80112314084351299</v>
      </c>
      <c r="J14155" s="28">
        <v>0.42306036073016901</v>
      </c>
      <c r="K14155" s="29">
        <v>0.98289565623980701</v>
      </c>
    </row>
    <row r="14156" spans="1:11" x14ac:dyDescent="0.35">
      <c r="A14156" s="9" t="str">
        <f>HYPERLINK("http://www.ensembl.org/id/WBGene00011281", "WBGene00011281")</f>
        <v>WBGene00011281</v>
      </c>
      <c r="B14156" s="9" t="str">
        <f>HYPERLINK("http://www.ncbi.nlm.nih.gov/gene/175543", "175543")</f>
        <v>175543</v>
      </c>
      <c r="C14156" s="9" t="str">
        <f>HYPERLINK("http://www.ncbi.nlm.nih.gov/gene/24140", "24140")</f>
        <v>24140</v>
      </c>
      <c r="D14156" t="str">
        <f>"R74.7"</f>
        <v>R74.7</v>
      </c>
      <c r="E14156" t="s">
        <v>9198</v>
      </c>
      <c r="F14156" t="s">
        <v>11</v>
      </c>
      <c r="G14156" t="s">
        <v>9199</v>
      </c>
      <c r="H14156" s="12">
        <v>-1.22757274747059</v>
      </c>
      <c r="I14156" s="20">
        <v>-0.99243771893488997</v>
      </c>
      <c r="J14156" s="28">
        <v>0.320984046832265</v>
      </c>
      <c r="K14156" s="29">
        <v>0.98289565623980701</v>
      </c>
    </row>
    <row r="14157" spans="1:11" x14ac:dyDescent="0.35">
      <c r="A14157" s="9" t="str">
        <f>HYPERLINK("http://www.ensembl.org/id/WBGene00197913", "WBGene00197913")</f>
        <v>WBGene00197913</v>
      </c>
      <c r="B14157" s="9"/>
      <c r="C14157" s="9"/>
      <c r="D14157" t="str">
        <f>"R90.7"</f>
        <v>R90.7</v>
      </c>
      <c r="F14157" t="s">
        <v>481</v>
      </c>
      <c r="H14157" s="12">
        <v>-3.7261494131482999</v>
      </c>
      <c r="I14157" s="20">
        <v>-0.38454673129429601</v>
      </c>
      <c r="J14157" s="28">
        <v>0.70057326682554</v>
      </c>
      <c r="K14157" s="29">
        <v>0.98289565623980701</v>
      </c>
    </row>
    <row r="14158" spans="1:11" x14ac:dyDescent="0.35">
      <c r="A14158" s="9" t="str">
        <f>HYPERLINK("http://www.ensembl.org/id/WBGene00004266", "WBGene00004266")</f>
        <v>WBGene00004266</v>
      </c>
      <c r="B14158" s="9" t="str">
        <f>HYPERLINK("http://www.ncbi.nlm.nih.gov/gene/178620", "178620")</f>
        <v>178620</v>
      </c>
      <c r="C14158" s="9" t="str">
        <f>HYPERLINK("http://www.ncbi.nlm.nih.gov/gene/5861", "5861")</f>
        <v>5861</v>
      </c>
      <c r="D14158" t="str">
        <f>"rab-1"</f>
        <v>rab-1</v>
      </c>
      <c r="E14158" t="s">
        <v>2093</v>
      </c>
      <c r="F14158" t="s">
        <v>11</v>
      </c>
      <c r="G14158" t="s">
        <v>7499</v>
      </c>
      <c r="H14158" s="12">
        <v>-1.1293580253075499</v>
      </c>
      <c r="I14158" s="20">
        <v>-0.66969539378751397</v>
      </c>
      <c r="J14158" s="28">
        <v>0.50305198862861</v>
      </c>
      <c r="K14158" s="29">
        <v>0.98289565623980701</v>
      </c>
    </row>
    <row r="14159" spans="1:11" x14ac:dyDescent="0.35">
      <c r="A14159" s="9" t="str">
        <f>HYPERLINK("http://www.ensembl.org/id/WBGene00004273", "WBGene00004273")</f>
        <v>WBGene00004273</v>
      </c>
      <c r="B14159" s="9" t="str">
        <f>HYPERLINK("http://www.ncbi.nlm.nih.gov/gene/266836", "266836")</f>
        <v>266836</v>
      </c>
      <c r="C14159" s="9" t="str">
        <f>HYPERLINK("http://www.ncbi.nlm.nih.gov/gene/10890", "10890")</f>
        <v>10890</v>
      </c>
      <c r="D14159" t="str">
        <f>"rab-10"</f>
        <v>rab-10</v>
      </c>
      <c r="E14159" t="s">
        <v>7289</v>
      </c>
      <c r="F14159" t="s">
        <v>11</v>
      </c>
      <c r="G14159" t="s">
        <v>2097</v>
      </c>
      <c r="H14159" s="12">
        <v>-1.11782852068817</v>
      </c>
      <c r="I14159" s="20">
        <v>-0.60868213583458297</v>
      </c>
      <c r="J14159" s="28">
        <v>0.54273515022122998</v>
      </c>
      <c r="K14159" s="29">
        <v>0.98289565623980701</v>
      </c>
    </row>
    <row r="14160" spans="1:11" x14ac:dyDescent="0.35">
      <c r="A14160" s="9" t="str">
        <f>HYPERLINK("http://www.ensembl.org/id/WBGene00004274", "WBGene00004274")</f>
        <v>WBGene00004274</v>
      </c>
      <c r="B14160" s="9" t="str">
        <f>HYPERLINK("http://www.ncbi.nlm.nih.gov/gene/171601", "171601")</f>
        <v>171601</v>
      </c>
      <c r="C14160" s="9" t="str">
        <f>HYPERLINK("http://www.ncbi.nlm.nih.gov/gene/8766", "8766")</f>
        <v>8766</v>
      </c>
      <c r="D14160" t="str">
        <f>"rab-11.1"</f>
        <v>rab-11.1</v>
      </c>
      <c r="E14160" t="s">
        <v>7142</v>
      </c>
      <c r="F14160" t="s">
        <v>11</v>
      </c>
      <c r="G14160" t="s">
        <v>7143</v>
      </c>
      <c r="H14160" s="12">
        <v>-1.1098240169331499</v>
      </c>
      <c r="I14160" s="20">
        <v>-0.57688144023111898</v>
      </c>
      <c r="J14160" s="28">
        <v>0.56401954909093399</v>
      </c>
      <c r="K14160" s="29">
        <v>0.98289565623980701</v>
      </c>
    </row>
    <row r="14161" spans="1:11" x14ac:dyDescent="0.35">
      <c r="A14161" s="9" t="str">
        <f>HYPERLINK("http://www.ensembl.org/id/WBGene00004275", "WBGene00004275")</f>
        <v>WBGene00004275</v>
      </c>
      <c r="B14161" s="9" t="str">
        <f>HYPERLINK("http://www.ncbi.nlm.nih.gov/gene/4363014", "4363014")</f>
        <v>4363014</v>
      </c>
      <c r="C14161" s="9"/>
      <c r="D14161" t="str">
        <f>"rab-11.2"</f>
        <v>rab-11.2</v>
      </c>
      <c r="E14161" t="s">
        <v>2093</v>
      </c>
      <c r="F14161" t="s">
        <v>11</v>
      </c>
      <c r="G14161" t="s">
        <v>4389</v>
      </c>
      <c r="H14161" s="12">
        <v>2.44277510937478</v>
      </c>
      <c r="I14161" s="20">
        <v>0.87609170528956803</v>
      </c>
      <c r="J14161" s="28">
        <v>0.38098018168166498</v>
      </c>
      <c r="K14161" s="29">
        <v>0.98289565623980701</v>
      </c>
    </row>
    <row r="14162" spans="1:11" x14ac:dyDescent="0.35">
      <c r="A14162" s="9" t="str">
        <f>HYPERLINK("http://www.ensembl.org/id/WBGene00004276", "WBGene00004276")</f>
        <v>WBGene00004276</v>
      </c>
      <c r="B14162" s="9" t="str">
        <f>HYPERLINK("http://www.ncbi.nlm.nih.gov/gene/181649", "181649")</f>
        <v>181649</v>
      </c>
      <c r="C14162" s="9"/>
      <c r="D14162" t="str">
        <f>"rab-14"</f>
        <v>rab-14</v>
      </c>
      <c r="E14162" t="s">
        <v>2093</v>
      </c>
      <c r="F14162" t="s">
        <v>11</v>
      </c>
      <c r="G14162" t="s">
        <v>8237</v>
      </c>
      <c r="H14162" s="12">
        <v>-1.16711524052083</v>
      </c>
      <c r="I14162" s="20">
        <v>-0.82950518000440199</v>
      </c>
      <c r="J14162" s="28">
        <v>0.40681860686729698</v>
      </c>
      <c r="K14162" s="29">
        <v>0.98289565623980701</v>
      </c>
    </row>
    <row r="14163" spans="1:11" x14ac:dyDescent="0.35">
      <c r="A14163" s="9" t="str">
        <f>HYPERLINK("http://www.ensembl.org/id/WBGene00004277", "WBGene00004277")</f>
        <v>WBGene00004277</v>
      </c>
      <c r="B14163" s="9" t="str">
        <f>HYPERLINK("http://www.ncbi.nlm.nih.gov/gene/175272", "175272")</f>
        <v>175272</v>
      </c>
      <c r="C14163" s="9" t="str">
        <f>HYPERLINK("http://www.ncbi.nlm.nih.gov/gene/22931", "22931")</f>
        <v>22931</v>
      </c>
      <c r="D14163" t="str">
        <f>"rab-18"</f>
        <v>rab-18</v>
      </c>
      <c r="E14163" t="s">
        <v>7166</v>
      </c>
      <c r="F14163" t="s">
        <v>11</v>
      </c>
      <c r="G14163" t="s">
        <v>2097</v>
      </c>
      <c r="H14163" s="12">
        <v>-1.11090843295261</v>
      </c>
      <c r="I14163" s="20">
        <v>-0.57000652636296301</v>
      </c>
      <c r="J14163" s="28">
        <v>0.56867327160416603</v>
      </c>
      <c r="K14163" s="29">
        <v>0.98289565623980701</v>
      </c>
    </row>
    <row r="14164" spans="1:11" x14ac:dyDescent="0.35">
      <c r="A14164" s="9" t="str">
        <f>HYPERLINK("http://www.ensembl.org/id/WBGene00004278", "WBGene00004278")</f>
        <v>WBGene00004278</v>
      </c>
      <c r="B14164" s="9" t="str">
        <f>HYPERLINK("http://www.ncbi.nlm.nih.gov/gene/178301", "178301")</f>
        <v>178301</v>
      </c>
      <c r="C14164" s="9" t="str">
        <f>HYPERLINK("http://www.ncbi.nlm.nih.gov/gene/339122", "339122")</f>
        <v>339122</v>
      </c>
      <c r="D14164" t="str">
        <f>"rab-19"</f>
        <v>rab-19</v>
      </c>
      <c r="E14164" t="s">
        <v>2093</v>
      </c>
      <c r="F14164" t="s">
        <v>11</v>
      </c>
      <c r="G14164" t="s">
        <v>6100</v>
      </c>
      <c r="H14164" s="12">
        <v>1.0609137901289001</v>
      </c>
      <c r="I14164" s="20">
        <v>0.30905181818039301</v>
      </c>
      <c r="J14164" s="28">
        <v>0.75728210966313003</v>
      </c>
      <c r="K14164" s="29">
        <v>0.98289565623980701</v>
      </c>
    </row>
    <row r="14165" spans="1:11" x14ac:dyDescent="0.35">
      <c r="A14165" s="9" t="str">
        <f>HYPERLINK("http://www.ensembl.org/id/WBGene00004279", "WBGene00004279")</f>
        <v>WBGene00004279</v>
      </c>
      <c r="B14165" s="9" t="str">
        <f>HYPERLINK("http://www.ncbi.nlm.nih.gov/gene/187932", "187932")</f>
        <v>187932</v>
      </c>
      <c r="C14165" s="9" t="str">
        <f>HYPERLINK("http://www.ncbi.nlm.nih.gov/gene/23011", "23011")</f>
        <v>23011</v>
      </c>
      <c r="D14165" t="str">
        <f>"rab-21"</f>
        <v>rab-21</v>
      </c>
      <c r="E14165" t="s">
        <v>2093</v>
      </c>
      <c r="F14165" t="s">
        <v>11</v>
      </c>
      <c r="G14165" t="s">
        <v>9709</v>
      </c>
      <c r="H14165" s="12">
        <v>-1.28504438882035</v>
      </c>
      <c r="I14165" s="20">
        <v>-1.17335174830889</v>
      </c>
      <c r="J14165" s="28">
        <v>0.24065477836072199</v>
      </c>
      <c r="K14165" s="29">
        <v>0.98289565623980701</v>
      </c>
    </row>
    <row r="14166" spans="1:11" x14ac:dyDescent="0.35">
      <c r="A14166" s="9" t="str">
        <f>HYPERLINK("http://www.ensembl.org/id/WBGene00004281", "WBGene00004281")</f>
        <v>WBGene00004281</v>
      </c>
      <c r="B14166" s="9" t="str">
        <f>HYPERLINK("http://www.ncbi.nlm.nih.gov/gene/189429", "189429")</f>
        <v>189429</v>
      </c>
      <c r="C14166" s="9" t="str">
        <f>HYPERLINK("http://www.ncbi.nlm.nih.gov/gene/9364", "9364")</f>
        <v>9364</v>
      </c>
      <c r="D14166" t="str">
        <f>"rab-28"</f>
        <v>rab-28</v>
      </c>
      <c r="E14166" t="s">
        <v>4890</v>
      </c>
      <c r="F14166" t="s">
        <v>11</v>
      </c>
      <c r="G14166" t="s">
        <v>2097</v>
      </c>
      <c r="H14166" s="12">
        <v>1.3135699604831901</v>
      </c>
      <c r="I14166" s="20">
        <v>0.59874349544361705</v>
      </c>
      <c r="J14166" s="28">
        <v>0.54934394748042203</v>
      </c>
      <c r="K14166" s="29">
        <v>0.98289565623980701</v>
      </c>
    </row>
    <row r="14167" spans="1:11" x14ac:dyDescent="0.35">
      <c r="A14167" s="9" t="str">
        <f>HYPERLINK("http://www.ensembl.org/id/WBGene00004267", "WBGene00004267")</f>
        <v>WBGene00004267</v>
      </c>
      <c r="B14167" s="9" t="str">
        <f>HYPERLINK("http://www.ncbi.nlm.nih.gov/gene/173971", "173971")</f>
        <v>173971</v>
      </c>
      <c r="C14167" s="9" t="str">
        <f>HYPERLINK("http://www.ncbi.nlm.nih.gov/gene/115827", "115827")</f>
        <v>115827</v>
      </c>
      <c r="D14167" t="str">
        <f>"rab-3"</f>
        <v>rab-3</v>
      </c>
      <c r="E14167" t="s">
        <v>4977</v>
      </c>
      <c r="F14167" t="s">
        <v>11</v>
      </c>
      <c r="G14167" t="s">
        <v>4978</v>
      </c>
      <c r="H14167" s="12">
        <v>1.2718679845649401</v>
      </c>
      <c r="I14167" s="20">
        <v>1.2032636848267999</v>
      </c>
      <c r="J14167" s="28">
        <v>0.22887429736707099</v>
      </c>
      <c r="K14167" s="29">
        <v>0.98289565623980701</v>
      </c>
    </row>
    <row r="14168" spans="1:11" x14ac:dyDescent="0.35">
      <c r="A14168" s="9" t="str">
        <f>HYPERLINK("http://www.ensembl.org/id/WBGene00004282", "WBGene00004282")</f>
        <v>WBGene00004282</v>
      </c>
      <c r="B14168" s="9" t="str">
        <f>HYPERLINK("http://www.ncbi.nlm.nih.gov/gene/176476", "176476")</f>
        <v>176476</v>
      </c>
      <c r="C14168" s="9" t="str">
        <f>HYPERLINK("http://www.ncbi.nlm.nih.gov/gene/27314", "27314")</f>
        <v>27314</v>
      </c>
      <c r="D14168" t="str">
        <f>"rab-30"</f>
        <v>rab-30</v>
      </c>
      <c r="E14168" t="s">
        <v>2093</v>
      </c>
      <c r="F14168" t="s">
        <v>11</v>
      </c>
      <c r="G14168" t="s">
        <v>5218</v>
      </c>
      <c r="H14168" s="12">
        <v>1.2137883218158301</v>
      </c>
      <c r="I14168" s="20">
        <v>0.85089899740038</v>
      </c>
      <c r="J14168" s="28">
        <v>0.394825461850494</v>
      </c>
      <c r="K14168" s="29">
        <v>0.98289565623980701</v>
      </c>
    </row>
    <row r="14169" spans="1:11" x14ac:dyDescent="0.35">
      <c r="A14169" s="9" t="str">
        <f>HYPERLINK("http://www.ensembl.org/id/WBGene00004283", "WBGene00004283")</f>
        <v>WBGene00004283</v>
      </c>
      <c r="B14169" s="9" t="str">
        <f>HYPERLINK("http://www.ncbi.nlm.nih.gov/gene/176470", "176470")</f>
        <v>176470</v>
      </c>
      <c r="C14169" s="9" t="str">
        <f>HYPERLINK("http://www.ncbi.nlm.nih.gov/gene/83452", "83452")</f>
        <v>83452</v>
      </c>
      <c r="D14169" t="str">
        <f>"rab-33"</f>
        <v>rab-33</v>
      </c>
      <c r="E14169" t="s">
        <v>8804</v>
      </c>
      <c r="F14169" t="s">
        <v>11</v>
      </c>
      <c r="G14169" t="s">
        <v>8805</v>
      </c>
      <c r="H14169" s="12">
        <v>-1.19850452315502</v>
      </c>
      <c r="I14169" s="20">
        <v>-0.88091765180952197</v>
      </c>
      <c r="J14169" s="28">
        <v>0.37836239266101501</v>
      </c>
      <c r="K14169" s="29">
        <v>0.98289565623980701</v>
      </c>
    </row>
    <row r="14170" spans="1:11" x14ac:dyDescent="0.35">
      <c r="A14170" s="9" t="str">
        <f>HYPERLINK("http://www.ensembl.org/id/WBGene00004284", "WBGene00004284")</f>
        <v>WBGene00004284</v>
      </c>
      <c r="B14170" s="9" t="str">
        <f>HYPERLINK("http://www.ncbi.nlm.nih.gov/gene/176560", "176560")</f>
        <v>176560</v>
      </c>
      <c r="C14170" s="9" t="str">
        <f>HYPERLINK("http://www.ncbi.nlm.nih.gov/gene/11021", "11021")</f>
        <v>11021</v>
      </c>
      <c r="D14170" t="str">
        <f>"rab-35"</f>
        <v>rab-35</v>
      </c>
      <c r="E14170" t="s">
        <v>2093</v>
      </c>
      <c r="F14170" t="s">
        <v>11</v>
      </c>
      <c r="G14170" t="s">
        <v>6868</v>
      </c>
      <c r="H14170" s="12">
        <v>-1.09343754935297</v>
      </c>
      <c r="I14170" s="20">
        <v>-0.46272149950361702</v>
      </c>
      <c r="J14170" s="28">
        <v>0.64356400564738103</v>
      </c>
      <c r="K14170" s="29">
        <v>0.98289565623980701</v>
      </c>
    </row>
    <row r="14171" spans="1:11" x14ac:dyDescent="0.35">
      <c r="A14171" s="9" t="str">
        <f>HYPERLINK("http://www.ensembl.org/id/WBGene00004286", "WBGene00004286")</f>
        <v>WBGene00004286</v>
      </c>
      <c r="B14171" s="9" t="str">
        <f>HYPERLINK("http://www.ncbi.nlm.nih.gov/gene/183941", "183941")</f>
        <v>183941</v>
      </c>
      <c r="C14171" s="9" t="str">
        <f>HYPERLINK("http://www.ncbi.nlm.nih.gov/gene/116442", "116442")</f>
        <v>116442</v>
      </c>
      <c r="D14171" t="str">
        <f>"rab-39"</f>
        <v>rab-39</v>
      </c>
      <c r="E14171" t="s">
        <v>2093</v>
      </c>
      <c r="F14171" t="s">
        <v>11</v>
      </c>
      <c r="G14171" t="s">
        <v>6934</v>
      </c>
      <c r="H14171" s="12">
        <v>-1.09849358194768</v>
      </c>
      <c r="I14171" s="20">
        <v>-0.46809991715025101</v>
      </c>
      <c r="J14171" s="28">
        <v>0.63971313851318601</v>
      </c>
      <c r="K14171" s="29">
        <v>0.98289565623980701</v>
      </c>
    </row>
    <row r="14172" spans="1:11" x14ac:dyDescent="0.35">
      <c r="A14172" s="9" t="str">
        <f>HYPERLINK("http://www.ensembl.org/id/WBGene00004270", "WBGene00004270")</f>
        <v>WBGene00004270</v>
      </c>
      <c r="B14172" s="9" t="str">
        <f>HYPERLINK("http://www.ncbi.nlm.nih.gov/gene/181759", "181759")</f>
        <v>181759</v>
      </c>
      <c r="C14172" s="9"/>
      <c r="D14172" t="str">
        <f>"rab-6.2"</f>
        <v>rab-6.2</v>
      </c>
      <c r="E14172" t="s">
        <v>5671</v>
      </c>
      <c r="F14172" t="s">
        <v>11</v>
      </c>
      <c r="G14172" t="s">
        <v>2097</v>
      </c>
      <c r="H14172" s="12">
        <v>1.1254344713009901</v>
      </c>
      <c r="I14172" s="20">
        <v>0.61770463799763697</v>
      </c>
      <c r="J14172" s="28">
        <v>0.53677005413815204</v>
      </c>
      <c r="K14172" s="29">
        <v>0.98289565623980701</v>
      </c>
    </row>
    <row r="14173" spans="1:11" x14ac:dyDescent="0.35">
      <c r="A14173" s="9" t="str">
        <f>HYPERLINK("http://www.ensembl.org/id/WBGene00004271", "WBGene00004271")</f>
        <v>WBGene00004271</v>
      </c>
      <c r="B14173" s="9" t="str">
        <f>HYPERLINK("http://www.ncbi.nlm.nih.gov/gene/174834", "174834")</f>
        <v>174834</v>
      </c>
      <c r="C14173" s="9"/>
      <c r="D14173" t="str">
        <f>"rab-7"</f>
        <v>rab-7</v>
      </c>
      <c r="E14173" t="s">
        <v>2093</v>
      </c>
      <c r="F14173" t="s">
        <v>11</v>
      </c>
      <c r="G14173" t="s">
        <v>7904</v>
      </c>
      <c r="H14173" s="12">
        <v>-1.15097491542912</v>
      </c>
      <c r="I14173" s="20">
        <v>-0.77612736313043096</v>
      </c>
      <c r="J14173" s="28">
        <v>0.43767378870127499</v>
      </c>
      <c r="K14173" s="29">
        <v>0.98289565623980701</v>
      </c>
    </row>
    <row r="14174" spans="1:11" x14ac:dyDescent="0.35">
      <c r="A14174" s="9" t="str">
        <f>HYPERLINK("http://www.ensembl.org/id/WBGene00017161", "WBGene00017161")</f>
        <v>WBGene00017161</v>
      </c>
      <c r="B14174" s="9" t="str">
        <f>HYPERLINK("http://www.ncbi.nlm.nih.gov/gene/175823", "175823")</f>
        <v>175823</v>
      </c>
      <c r="C14174" s="9"/>
      <c r="D14174" t="str">
        <f>"rabn-5"</f>
        <v>rabn-5</v>
      </c>
      <c r="E14174" t="s">
        <v>7687</v>
      </c>
      <c r="F14174" t="s">
        <v>11</v>
      </c>
      <c r="G14174" t="s">
        <v>7688</v>
      </c>
      <c r="H14174" s="12">
        <v>-1.13936998653251</v>
      </c>
      <c r="I14174" s="20">
        <v>-0.664056803450774</v>
      </c>
      <c r="J14174" s="28">
        <v>0.50665395582724204</v>
      </c>
      <c r="K14174" s="29">
        <v>0.98289565623980701</v>
      </c>
    </row>
    <row r="14175" spans="1:11" x14ac:dyDescent="0.35">
      <c r="A14175" s="9" t="str">
        <f>HYPERLINK("http://www.ensembl.org/id/WBGene00012644", "WBGene00012644")</f>
        <v>WBGene00012644</v>
      </c>
      <c r="B14175" s="9" t="str">
        <f>HYPERLINK("http://www.ncbi.nlm.nih.gov/gene/176481", "176481")</f>
        <v>176481</v>
      </c>
      <c r="C14175" s="9" t="str">
        <f>HYPERLINK("http://www.ncbi.nlm.nih.gov/gene/27342", "27342")</f>
        <v>27342</v>
      </c>
      <c r="D14175" t="str">
        <f>"rabx-5"</f>
        <v>rabx-5</v>
      </c>
      <c r="E14175" t="s">
        <v>6452</v>
      </c>
      <c r="F14175" t="s">
        <v>11</v>
      </c>
      <c r="G14175" t="s">
        <v>6453</v>
      </c>
      <c r="H14175" s="12">
        <v>-1.0700599649888101</v>
      </c>
      <c r="I14175" s="20">
        <v>-0.34771959931352697</v>
      </c>
      <c r="J14175" s="28">
        <v>0.72805077600302304</v>
      </c>
      <c r="K14175" s="29">
        <v>0.98289565623980701</v>
      </c>
    </row>
    <row r="14176" spans="1:11" x14ac:dyDescent="0.35">
      <c r="A14176" s="9" t="str">
        <f>HYPERLINK("http://www.ensembl.org/id/WBGene00004287", "WBGene00004287")</f>
        <v>WBGene00004287</v>
      </c>
      <c r="B14176" s="9" t="str">
        <f>HYPERLINK("http://www.ncbi.nlm.nih.gov/gene/186939", "186939")</f>
        <v>186939</v>
      </c>
      <c r="C14176" s="9" t="str">
        <f>HYPERLINK("http://www.ncbi.nlm.nih.gov/gene/5881", "5881")</f>
        <v>5881</v>
      </c>
      <c r="D14176" t="str">
        <f>"rac-2"</f>
        <v>rac-2</v>
      </c>
      <c r="E14176" t="s">
        <v>10065</v>
      </c>
      <c r="F14176" t="s">
        <v>11</v>
      </c>
      <c r="G14176" t="s">
        <v>4103</v>
      </c>
      <c r="H14176" s="12">
        <v>-2.4991590031922399</v>
      </c>
      <c r="I14176" s="20">
        <v>-0.26577412737581302</v>
      </c>
      <c r="J14176" s="28">
        <v>0.79041317015736101</v>
      </c>
      <c r="K14176" s="29">
        <v>0.98289565623980701</v>
      </c>
    </row>
    <row r="14177" spans="1:11" x14ac:dyDescent="0.35">
      <c r="A14177" s="9" t="str">
        <f>HYPERLINK("http://www.ensembl.org/id/WBGene00044670", "WBGene00044670")</f>
        <v>WBGene00044670</v>
      </c>
      <c r="B14177" s="9"/>
      <c r="C14177" s="9"/>
      <c r="D14177" t="str">
        <f>"rac-3"</f>
        <v>rac-3</v>
      </c>
      <c r="F14177" t="s">
        <v>80</v>
      </c>
      <c r="H14177" s="12">
        <v>10.8131830636529</v>
      </c>
      <c r="I14177" s="20">
        <v>0.70982715185838596</v>
      </c>
      <c r="J14177" s="28">
        <v>0.477811329444844</v>
      </c>
      <c r="K14177" s="29">
        <v>0.98289565623980701</v>
      </c>
    </row>
    <row r="14178" spans="1:11" x14ac:dyDescent="0.35">
      <c r="A14178" s="9" t="str">
        <f>HYPERLINK("http://www.ensembl.org/id/WBGene00010556", "WBGene00010556")</f>
        <v>WBGene00010556</v>
      </c>
      <c r="B14178" s="9" t="str">
        <f>HYPERLINK("http://www.ncbi.nlm.nih.gov/gene/177895", "177895")</f>
        <v>177895</v>
      </c>
      <c r="C14178" s="9" t="str">
        <f>HYPERLINK("http://www.ncbi.nlm.nih.gov/gene/10399", "10399")</f>
        <v>10399</v>
      </c>
      <c r="D14178" t="str">
        <f>"rack-1"</f>
        <v>rack-1</v>
      </c>
      <c r="E14178" t="s">
        <v>8659</v>
      </c>
      <c r="F14178" t="s">
        <v>11</v>
      </c>
      <c r="G14178" t="s">
        <v>54</v>
      </c>
      <c r="H14178" s="12">
        <v>-1.18913532275982</v>
      </c>
      <c r="I14178" s="20">
        <v>-0.92587850131346905</v>
      </c>
      <c r="J14178" s="28">
        <v>0.35450912504031601</v>
      </c>
      <c r="K14178" s="29">
        <v>0.98289565623980701</v>
      </c>
    </row>
    <row r="14179" spans="1:11" x14ac:dyDescent="0.35">
      <c r="A14179" s="9" t="str">
        <f>HYPERLINK("http://www.ensembl.org/id/WBGene00013924", "WBGene00013924")</f>
        <v>WBGene00013924</v>
      </c>
      <c r="B14179" s="9" t="str">
        <f>HYPERLINK("http://www.ncbi.nlm.nih.gov/gene/174785", "174785")</f>
        <v>174785</v>
      </c>
      <c r="C14179" s="9" t="str">
        <f>HYPERLINK("http://www.ncbi.nlm.nih.gov/gene/5887", "5887")</f>
        <v>5887</v>
      </c>
      <c r="D14179" t="str">
        <f>"rad-23"</f>
        <v>rad-23</v>
      </c>
      <c r="F14179" t="s">
        <v>11</v>
      </c>
      <c r="G14179" t="s">
        <v>9094</v>
      </c>
      <c r="H14179" s="12">
        <v>-1.2198576767974001</v>
      </c>
      <c r="I14179" s="20">
        <v>-1.0808041655042699</v>
      </c>
      <c r="J14179" s="28">
        <v>0.27978423514982598</v>
      </c>
      <c r="K14179" s="29">
        <v>0.98289565623980701</v>
      </c>
    </row>
    <row r="14180" spans="1:11" x14ac:dyDescent="0.35">
      <c r="A14180" s="9" t="str">
        <f>HYPERLINK("http://www.ensembl.org/id/WBGene00007761", "WBGene00007761")</f>
        <v>WBGene00007761</v>
      </c>
      <c r="B14180" s="9" t="str">
        <f>HYPERLINK("http://www.ncbi.nlm.nih.gov/gene/177706", "177706")</f>
        <v>177706</v>
      </c>
      <c r="C14180" s="9"/>
      <c r="D14180" t="str">
        <f>"rad-26"</f>
        <v>rad-26</v>
      </c>
      <c r="F14180" t="s">
        <v>11</v>
      </c>
      <c r="G14180" t="s">
        <v>6294</v>
      </c>
      <c r="H14180" s="12">
        <v>-1.06046494266296</v>
      </c>
      <c r="I14180" s="20">
        <v>-0.32455571014076001</v>
      </c>
      <c r="J14180" s="28">
        <v>0.74551735214798598</v>
      </c>
      <c r="K14180" s="29">
        <v>0.98289565623980701</v>
      </c>
    </row>
    <row r="14181" spans="1:11" x14ac:dyDescent="0.35">
      <c r="A14181" s="9" t="str">
        <f>HYPERLINK("http://www.ensembl.org/id/WBGene00044305", "WBGene00044305")</f>
        <v>WBGene00044305</v>
      </c>
      <c r="B14181" s="9" t="str">
        <f>HYPERLINK("http://www.ncbi.nlm.nih.gov/gene/3565366", "3565366")</f>
        <v>3565366</v>
      </c>
      <c r="C14181" s="9" t="str">
        <f>HYPERLINK("http://www.ncbi.nlm.nih.gov/gene/84816", "84816")</f>
        <v>84816</v>
      </c>
      <c r="D14181" t="str">
        <f>"rad-8"</f>
        <v>rad-8</v>
      </c>
      <c r="E14181" t="s">
        <v>8730</v>
      </c>
      <c r="F14181" t="s">
        <v>11</v>
      </c>
      <c r="G14181" t="s">
        <v>8731</v>
      </c>
      <c r="H14181" s="12">
        <v>-1.1933991986930099</v>
      </c>
      <c r="I14181" s="20">
        <v>-0.86952146217760895</v>
      </c>
      <c r="J14181" s="28">
        <v>0.38456197423294303</v>
      </c>
      <c r="K14181" s="29">
        <v>0.98289565623980701</v>
      </c>
    </row>
    <row r="14182" spans="1:11" x14ac:dyDescent="0.35">
      <c r="A14182" s="9" t="str">
        <f>HYPERLINK("http://www.ensembl.org/id/WBGene00004300", "WBGene00004300")</f>
        <v>WBGene00004300</v>
      </c>
      <c r="B14182" s="9" t="str">
        <f>HYPERLINK("http://www.ncbi.nlm.nih.gov/gene/174687", "174687")</f>
        <v>174687</v>
      </c>
      <c r="C14182" s="9"/>
      <c r="D14182" t="str">
        <f>"ram-2"</f>
        <v>ram-2</v>
      </c>
      <c r="F14182" t="s">
        <v>11</v>
      </c>
      <c r="G14182" t="s">
        <v>10027</v>
      </c>
      <c r="H14182" s="12">
        <v>-1.8589905481292199</v>
      </c>
      <c r="I14182" s="20">
        <v>-0.60691428737366604</v>
      </c>
      <c r="J14182" s="28">
        <v>0.54390779592428695</v>
      </c>
      <c r="K14182" s="29">
        <v>0.98289565623980701</v>
      </c>
    </row>
    <row r="14183" spans="1:11" x14ac:dyDescent="0.35">
      <c r="A14183" s="9" t="str">
        <f>HYPERLINK("http://www.ensembl.org/id/WBGene00004301", "WBGene00004301")</f>
        <v>WBGene00004301</v>
      </c>
      <c r="B14183" s="9" t="str">
        <f>HYPERLINK("http://www.ncbi.nlm.nih.gov/gene/181550", "181550")</f>
        <v>181550</v>
      </c>
      <c r="C14183" s="9"/>
      <c r="D14183" t="str">
        <f>"ram-5"</f>
        <v>ram-5</v>
      </c>
      <c r="E14183" t="s">
        <v>4598</v>
      </c>
      <c r="F14183" t="s">
        <v>11</v>
      </c>
      <c r="G14183" t="s">
        <v>4599</v>
      </c>
      <c r="H14183" s="12">
        <v>1.6309034276024299</v>
      </c>
      <c r="I14183" s="20">
        <v>0.675985247248857</v>
      </c>
      <c r="J14183" s="28">
        <v>0.49905001170434599</v>
      </c>
      <c r="K14183" s="29">
        <v>0.98289565623980701</v>
      </c>
    </row>
    <row r="14184" spans="1:11" x14ac:dyDescent="0.35">
      <c r="A14184" s="9" t="str">
        <f>HYPERLINK("http://www.ensembl.org/id/WBGene00004303", "WBGene00004303")</f>
        <v>WBGene00004303</v>
      </c>
      <c r="B14184" s="9" t="str">
        <f>HYPERLINK("http://www.ncbi.nlm.nih.gov/gene/176115", "176115")</f>
        <v>176115</v>
      </c>
      <c r="C14184" s="9"/>
      <c r="D14184" t="str">
        <f>"ran-2"</f>
        <v>ran-2</v>
      </c>
      <c r="E14184" t="s">
        <v>8255</v>
      </c>
      <c r="F14184" t="s">
        <v>11</v>
      </c>
      <c r="G14184" t="s">
        <v>8256</v>
      </c>
      <c r="H14184" s="12">
        <v>-1.16763995885297</v>
      </c>
      <c r="I14184" s="20">
        <v>-0.76700495919924905</v>
      </c>
      <c r="J14184" s="28">
        <v>0.443078566997128</v>
      </c>
      <c r="K14184" s="29">
        <v>0.98289565623980701</v>
      </c>
    </row>
    <row r="14185" spans="1:11" x14ac:dyDescent="0.35">
      <c r="A14185" s="9" t="str">
        <f>HYPERLINK("http://www.ensembl.org/id/WBGene00004305", "WBGene00004305")</f>
        <v>WBGene00004305</v>
      </c>
      <c r="B14185" s="9" t="str">
        <f>HYPERLINK("http://www.ncbi.nlm.nih.gov/gene/172648", "172648")</f>
        <v>172648</v>
      </c>
      <c r="C14185" s="9" t="str">
        <f>HYPERLINK("http://www.ncbi.nlm.nih.gov/gene/10204", "10204")</f>
        <v>10204</v>
      </c>
      <c r="D14185" t="str">
        <f>"ran-4"</f>
        <v>ran-4</v>
      </c>
      <c r="E14185" t="s">
        <v>9564</v>
      </c>
      <c r="F14185" t="s">
        <v>11</v>
      </c>
      <c r="H14185" s="12">
        <v>-1.2591376445340401</v>
      </c>
      <c r="I14185" s="20">
        <v>-1.18066706985078</v>
      </c>
      <c r="J14185" s="28">
        <v>0.23773500813876799</v>
      </c>
      <c r="K14185" s="29">
        <v>0.98289565623980701</v>
      </c>
    </row>
    <row r="14186" spans="1:11" x14ac:dyDescent="0.35">
      <c r="A14186" s="9" t="str">
        <f>HYPERLINK("http://www.ensembl.org/id/WBGene00004311", "WBGene00004311")</f>
        <v>WBGene00004311</v>
      </c>
      <c r="B14186" s="9" t="str">
        <f>HYPERLINK("http://www.ncbi.nlm.nih.gov/gene/175625", "175625")</f>
        <v>175625</v>
      </c>
      <c r="C14186" s="9" t="str">
        <f>HYPERLINK("http://www.ncbi.nlm.nih.gov/gene/22808", "22808")</f>
        <v>22808</v>
      </c>
      <c r="D14186" t="str">
        <f>"ras-2"</f>
        <v>ras-2</v>
      </c>
      <c r="E14186" t="s">
        <v>5645</v>
      </c>
      <c r="F14186" t="s">
        <v>11</v>
      </c>
      <c r="G14186" t="s">
        <v>5646</v>
      </c>
      <c r="H14186" s="12">
        <v>1.1301559692204</v>
      </c>
      <c r="I14186" s="20">
        <v>0.56322039743391195</v>
      </c>
      <c r="J14186" s="28">
        <v>0.57328481503886597</v>
      </c>
      <c r="K14186" s="29">
        <v>0.98289565623980701</v>
      </c>
    </row>
    <row r="14187" spans="1:11" x14ac:dyDescent="0.35">
      <c r="A14187" s="9" t="str">
        <f>HYPERLINK("http://www.ensembl.org/id/WBGene00004312", "WBGene00004312")</f>
        <v>WBGene00004312</v>
      </c>
      <c r="B14187" s="9" t="str">
        <f>HYPERLINK("http://www.ncbi.nlm.nih.gov/gene/172801", "172801")</f>
        <v>172801</v>
      </c>
      <c r="C14187" s="9"/>
      <c r="D14187" t="str">
        <f>"rba-1"</f>
        <v>rba-1</v>
      </c>
      <c r="E14187" t="s">
        <v>9634</v>
      </c>
      <c r="F14187" t="s">
        <v>11</v>
      </c>
      <c r="G14187" t="s">
        <v>9635</v>
      </c>
      <c r="H14187" s="12">
        <v>-1.2704508307787401</v>
      </c>
      <c r="I14187" s="20">
        <v>-1.0258941252200999</v>
      </c>
      <c r="J14187" s="28">
        <v>0.304941492101719</v>
      </c>
      <c r="K14187" s="29">
        <v>0.98289565623980701</v>
      </c>
    </row>
    <row r="14188" spans="1:11" x14ac:dyDescent="0.35">
      <c r="A14188" s="9" t="str">
        <f>HYPERLINK("http://www.ensembl.org/id/WBGene00017683", "WBGene00017683")</f>
        <v>WBGene00017683</v>
      </c>
      <c r="B14188" s="9" t="str">
        <f>HYPERLINK("http://www.ncbi.nlm.nih.gov/gene/174019", "174019")</f>
        <v>174019</v>
      </c>
      <c r="C14188" s="9" t="str">
        <f>HYPERLINK("http://www.ncbi.nlm.nih.gov/gene/5929", "5929")</f>
        <v>5929</v>
      </c>
      <c r="D14188" t="str">
        <f>"rbbp-5"</f>
        <v>rbbp-5</v>
      </c>
      <c r="E14188" t="s">
        <v>7436</v>
      </c>
      <c r="F14188" t="s">
        <v>11</v>
      </c>
      <c r="G14188" t="s">
        <v>7437</v>
      </c>
      <c r="H14188" s="12">
        <v>-1.12550649762244</v>
      </c>
      <c r="I14188" s="20">
        <v>-0.54163986436266998</v>
      </c>
      <c r="J14188" s="28">
        <v>0.58806662401113297</v>
      </c>
      <c r="K14188" s="29">
        <v>0.98289565623980701</v>
      </c>
    </row>
    <row r="14189" spans="1:11" x14ac:dyDescent="0.35">
      <c r="A14189" s="9" t="str">
        <f>HYPERLINK("http://www.ensembl.org/id/WBGene00004314", "WBGene00004314")</f>
        <v>WBGene00004314</v>
      </c>
      <c r="B14189" s="9" t="str">
        <f>HYPERLINK("http://www.ncbi.nlm.nih.gov/gene/190267", "190267")</f>
        <v>190267</v>
      </c>
      <c r="C14189" s="9" t="str">
        <f>HYPERLINK("http://www.ncbi.nlm.nih.gov/gene/23335", "23335")</f>
        <v>23335</v>
      </c>
      <c r="D14189" t="str">
        <f>"rbc-2"</f>
        <v>rbc-2</v>
      </c>
      <c r="E14189" t="s">
        <v>6502</v>
      </c>
      <c r="F14189" t="s">
        <v>11</v>
      </c>
      <c r="G14189" t="s">
        <v>54</v>
      </c>
      <c r="H14189" s="12">
        <v>-1.07241761895565</v>
      </c>
      <c r="I14189" s="20">
        <v>-0.35741903102738798</v>
      </c>
      <c r="J14189" s="28">
        <v>0.72077813171606897</v>
      </c>
      <c r="K14189" s="29">
        <v>0.98289565623980701</v>
      </c>
    </row>
    <row r="14190" spans="1:11" x14ac:dyDescent="0.35">
      <c r="A14190" s="9" t="str">
        <f>HYPERLINK("http://www.ensembl.org/id/WBGene00004315", "WBGene00004315")</f>
        <v>WBGene00004315</v>
      </c>
      <c r="B14190" s="9" t="str">
        <f>HYPERLINK("http://www.ncbi.nlm.nih.gov/gene/178229", "178229")</f>
        <v>178229</v>
      </c>
      <c r="C14190" s="9" t="str">
        <f>HYPERLINK("http://www.ncbi.nlm.nih.gov/gene/9904", "9904")</f>
        <v>9904</v>
      </c>
      <c r="D14190" t="str">
        <f>"rbd-1"</f>
        <v>rbd-1</v>
      </c>
      <c r="E14190" t="s">
        <v>7701</v>
      </c>
      <c r="F14190" t="s">
        <v>11</v>
      </c>
      <c r="G14190" t="s">
        <v>7702</v>
      </c>
      <c r="H14190" s="12">
        <v>-1.1398855045746299</v>
      </c>
      <c r="I14190" s="20">
        <v>-0.566438858578175</v>
      </c>
      <c r="J14190" s="28">
        <v>0.57109548530601295</v>
      </c>
      <c r="K14190" s="29">
        <v>0.98289565623980701</v>
      </c>
    </row>
    <row r="14191" spans="1:11" x14ac:dyDescent="0.35">
      <c r="A14191" s="9" t="str">
        <f>HYPERLINK("http://www.ensembl.org/id/WBGene00004316", "WBGene00004316")</f>
        <v>WBGene00004316</v>
      </c>
      <c r="B14191" s="9" t="str">
        <f>HYPERLINK("http://www.ncbi.nlm.nih.gov/gene/175943", "175943")</f>
        <v>175943</v>
      </c>
      <c r="C14191" s="9" t="str">
        <f>HYPERLINK("http://www.ncbi.nlm.nih.gov/gene/22895", "22895")</f>
        <v>22895</v>
      </c>
      <c r="D14191" t="str">
        <f>"rbf-1"</f>
        <v>rbf-1</v>
      </c>
      <c r="E14191" t="s">
        <v>6117</v>
      </c>
      <c r="F14191" t="s">
        <v>11</v>
      </c>
      <c r="G14191" t="s">
        <v>6118</v>
      </c>
      <c r="H14191" s="12">
        <v>1.0566302612943099</v>
      </c>
      <c r="I14191" s="20">
        <v>0.28600790198064902</v>
      </c>
      <c r="J14191" s="28">
        <v>0.77487206934747599</v>
      </c>
      <c r="K14191" s="29">
        <v>0.98289565623980701</v>
      </c>
    </row>
    <row r="14192" spans="1:11" x14ac:dyDescent="0.35">
      <c r="A14192" s="9" t="str">
        <f>HYPERLINK("http://www.ensembl.org/id/WBGene00013703", "WBGene00013703")</f>
        <v>WBGene00013703</v>
      </c>
      <c r="B14192" s="9" t="str">
        <f>HYPERLINK("http://www.ncbi.nlm.nih.gov/gene/172878", "172878")</f>
        <v>172878</v>
      </c>
      <c r="C14192" s="9"/>
      <c r="D14192" t="str">
        <f>"rbm-12"</f>
        <v>rbm-12</v>
      </c>
      <c r="E14192" t="s">
        <v>2341</v>
      </c>
      <c r="F14192" t="s">
        <v>11</v>
      </c>
      <c r="G14192" t="s">
        <v>7254</v>
      </c>
      <c r="H14192" s="12">
        <v>-1.1156176832939899</v>
      </c>
      <c r="I14192" s="20">
        <v>-0.56231970973432799</v>
      </c>
      <c r="J14192" s="28">
        <v>0.57389821190327295</v>
      </c>
      <c r="K14192" s="29">
        <v>0.98289565623980701</v>
      </c>
    </row>
    <row r="14193" spans="1:11" x14ac:dyDescent="0.35">
      <c r="A14193" s="9" t="str">
        <f>HYPERLINK("http://www.ensembl.org/id/WBGene00010233", "WBGene00010233")</f>
        <v>WBGene00010233</v>
      </c>
      <c r="B14193" s="9" t="str">
        <f>HYPERLINK("http://www.ncbi.nlm.nih.gov/gene/178091", "178091")</f>
        <v>178091</v>
      </c>
      <c r="C14193" s="9" t="str">
        <f>HYPERLINK("http://www.ncbi.nlm.nih.gov/gene/84991", "84991")</f>
        <v>84991</v>
      </c>
      <c r="D14193" t="str">
        <f>"rbm-17"</f>
        <v>rbm-17</v>
      </c>
      <c r="E14193" t="s">
        <v>2341</v>
      </c>
      <c r="F14193" t="s">
        <v>11</v>
      </c>
      <c r="G14193" t="s">
        <v>7127</v>
      </c>
      <c r="H14193" s="12">
        <v>-1.1086843640509101</v>
      </c>
      <c r="I14193" s="20">
        <v>-0.466148941471416</v>
      </c>
      <c r="J14193" s="28">
        <v>0.64110889353439504</v>
      </c>
      <c r="K14193" s="29">
        <v>0.98289565623980701</v>
      </c>
    </row>
    <row r="14194" spans="1:11" x14ac:dyDescent="0.35">
      <c r="A14194" s="9" t="str">
        <f>HYPERLINK("http://www.ensembl.org/id/WBGene00011722", "WBGene00011722")</f>
        <v>WBGene00011722</v>
      </c>
      <c r="B14194" s="9" t="str">
        <f>HYPERLINK("http://www.ncbi.nlm.nih.gov/gene/177979", "177979")</f>
        <v>177979</v>
      </c>
      <c r="C14194" s="9" t="str">
        <f>HYPERLINK("http://www.ncbi.nlm.nih.gov/gene/55696", "55696")</f>
        <v>55696</v>
      </c>
      <c r="D14194" t="str">
        <f>"rbm-22"</f>
        <v>rbm-22</v>
      </c>
      <c r="E14194" t="s">
        <v>2341</v>
      </c>
      <c r="F14194" t="s">
        <v>11</v>
      </c>
      <c r="G14194" t="s">
        <v>9032</v>
      </c>
      <c r="H14194" s="12">
        <v>-1.2159102734653899</v>
      </c>
      <c r="I14194" s="20">
        <v>-1.05764628107256</v>
      </c>
      <c r="J14194" s="28">
        <v>0.29021673439846302</v>
      </c>
      <c r="K14194" s="29">
        <v>0.98289565623980701</v>
      </c>
    </row>
    <row r="14195" spans="1:11" x14ac:dyDescent="0.35">
      <c r="A14195" s="9" t="str">
        <f>HYPERLINK("http://www.ensembl.org/id/WBGene00012245", "WBGene00012245")</f>
        <v>WBGene00012245</v>
      </c>
      <c r="B14195" s="9" t="str">
        <f>HYPERLINK("http://www.ncbi.nlm.nih.gov/gene/259655", "259655")</f>
        <v>259655</v>
      </c>
      <c r="C14195" s="9"/>
      <c r="D14195" t="str">
        <f>"rbm-25"</f>
        <v>rbm-25</v>
      </c>
      <c r="E14195" t="s">
        <v>2341</v>
      </c>
      <c r="F14195" t="s">
        <v>11</v>
      </c>
      <c r="G14195" t="s">
        <v>6312</v>
      </c>
      <c r="H14195" s="12">
        <v>-1.06216361109319</v>
      </c>
      <c r="I14195" s="20">
        <v>-0.33037461175863803</v>
      </c>
      <c r="J14195" s="28">
        <v>0.74111692246892102</v>
      </c>
      <c r="K14195" s="29">
        <v>0.98289565623980701</v>
      </c>
    </row>
    <row r="14196" spans="1:11" x14ac:dyDescent="0.35">
      <c r="A14196" s="9" t="str">
        <f>HYPERLINK("http://www.ensembl.org/id/WBGene00011043", "WBGene00011043")</f>
        <v>WBGene00011043</v>
      </c>
      <c r="B14196" s="9" t="str">
        <f>HYPERLINK("http://www.ncbi.nlm.nih.gov/gene/175145", "175145")</f>
        <v>175145</v>
      </c>
      <c r="C14196" s="9"/>
      <c r="D14196" t="str">
        <f>"rbm-28"</f>
        <v>rbm-28</v>
      </c>
      <c r="E14196" t="s">
        <v>2341</v>
      </c>
      <c r="F14196" t="s">
        <v>11</v>
      </c>
      <c r="G14196" t="s">
        <v>7798</v>
      </c>
      <c r="H14196" s="12">
        <v>-1.16631502128161</v>
      </c>
      <c r="I14196" s="20">
        <v>-0.72318763279041398</v>
      </c>
      <c r="J14196" s="28">
        <v>0.46956461582540099</v>
      </c>
      <c r="K14196" s="29">
        <v>0.98289565623980701</v>
      </c>
    </row>
    <row r="14197" spans="1:11" x14ac:dyDescent="0.35">
      <c r="A14197" s="9" t="str">
        <f>HYPERLINK("http://www.ensembl.org/id/WBGene00011155", "WBGene00011155")</f>
        <v>WBGene00011155</v>
      </c>
      <c r="B14197" s="9" t="str">
        <f>HYPERLINK("http://www.ncbi.nlm.nih.gov/gene/173070", "173070")</f>
        <v>173070</v>
      </c>
      <c r="C14197" s="9"/>
      <c r="D14197" t="str">
        <f>"rbm-3.1"</f>
        <v>rbm-3.1</v>
      </c>
      <c r="E14197" t="s">
        <v>2341</v>
      </c>
      <c r="F14197" t="s">
        <v>11</v>
      </c>
      <c r="G14197" t="s">
        <v>5196</v>
      </c>
      <c r="H14197" s="12">
        <v>-1.1794560704899699</v>
      </c>
      <c r="I14197" s="20">
        <v>-0.79407602028572</v>
      </c>
      <c r="J14197" s="28">
        <v>0.42715117668823499</v>
      </c>
      <c r="K14197" s="29">
        <v>0.98289565623980701</v>
      </c>
    </row>
    <row r="14198" spans="1:11" x14ac:dyDescent="0.35">
      <c r="A14198" s="9" t="str">
        <f>HYPERLINK("http://www.ensembl.org/id/WBGene00008688", "WBGene00008688")</f>
        <v>WBGene00008688</v>
      </c>
      <c r="B14198" s="9" t="str">
        <f>HYPERLINK("http://www.ncbi.nlm.nih.gov/gene/178148", "178148")</f>
        <v>178148</v>
      </c>
      <c r="C14198" s="9"/>
      <c r="D14198" t="str">
        <f>"rbm-34"</f>
        <v>rbm-34</v>
      </c>
      <c r="E14198" t="s">
        <v>2341</v>
      </c>
      <c r="F14198" t="s">
        <v>11</v>
      </c>
      <c r="G14198" t="s">
        <v>2343</v>
      </c>
      <c r="H14198" s="12">
        <v>1.0635654228812601</v>
      </c>
      <c r="I14198" s="20">
        <v>0.29806537530009802</v>
      </c>
      <c r="J14198" s="28">
        <v>0.76565326759446595</v>
      </c>
      <c r="K14198" s="29">
        <v>0.98289565623980701</v>
      </c>
    </row>
    <row r="14199" spans="1:11" x14ac:dyDescent="0.35">
      <c r="A14199" s="9" t="str">
        <f>HYPERLINK("http://www.ensembl.org/id/WBGene00021921", "WBGene00021921")</f>
        <v>WBGene00021921</v>
      </c>
      <c r="B14199" s="9" t="str">
        <f>HYPERLINK("http://www.ncbi.nlm.nih.gov/gene/176922", "176922")</f>
        <v>176922</v>
      </c>
      <c r="C14199" s="9"/>
      <c r="D14199" t="str">
        <f>"rbm-39"</f>
        <v>rbm-39</v>
      </c>
      <c r="E14199" t="s">
        <v>2341</v>
      </c>
      <c r="F14199" t="s">
        <v>11</v>
      </c>
      <c r="G14199" t="s">
        <v>7614</v>
      </c>
      <c r="H14199" s="12">
        <v>-1.1359896816627699</v>
      </c>
      <c r="I14199" s="20">
        <v>-0.61842498782629995</v>
      </c>
      <c r="J14199" s="28">
        <v>0.53629523045362004</v>
      </c>
      <c r="K14199" s="29">
        <v>0.98289565623980701</v>
      </c>
    </row>
    <row r="14200" spans="1:11" x14ac:dyDescent="0.35">
      <c r="A14200" s="9" t="str">
        <f>HYPERLINK("http://www.ensembl.org/id/WBGene00021901", "WBGene00021901")</f>
        <v>WBGene00021901</v>
      </c>
      <c r="B14200" s="9" t="str">
        <f>HYPERLINK("http://www.ncbi.nlm.nih.gov/gene/175700", "175700")</f>
        <v>175700</v>
      </c>
      <c r="C14200" s="9"/>
      <c r="D14200" t="str">
        <f>"rbm-42"</f>
        <v>rbm-42</v>
      </c>
      <c r="E14200" t="s">
        <v>2341</v>
      </c>
      <c r="F14200" t="s">
        <v>11</v>
      </c>
      <c r="G14200" t="s">
        <v>9586</v>
      </c>
      <c r="H14200" s="12">
        <v>-1.2616413106420701</v>
      </c>
      <c r="I14200" s="20">
        <v>-1.0628070849119899</v>
      </c>
      <c r="J14200" s="28">
        <v>0.28786944591398</v>
      </c>
      <c r="K14200" s="29">
        <v>0.98289565623980701</v>
      </c>
    </row>
    <row r="14201" spans="1:11" x14ac:dyDescent="0.35">
      <c r="A14201" s="9" t="str">
        <f>HYPERLINK("http://www.ensembl.org/id/WBGene00012558", "WBGene00012558")</f>
        <v>WBGene00012558</v>
      </c>
      <c r="B14201" s="9" t="str">
        <f>HYPERLINK("http://www.ncbi.nlm.nih.gov/gene/176710", "176710")</f>
        <v>176710</v>
      </c>
      <c r="C14201" s="9"/>
      <c r="D14201" t="str">
        <f>"rbm-7"</f>
        <v>rbm-7</v>
      </c>
      <c r="E14201" t="s">
        <v>2341</v>
      </c>
      <c r="F14201" t="s">
        <v>11</v>
      </c>
      <c r="G14201" t="s">
        <v>9651</v>
      </c>
      <c r="H14201" s="12">
        <v>-1.2733427928405501</v>
      </c>
      <c r="I14201" s="20">
        <v>-1.11228611872325</v>
      </c>
      <c r="J14201" s="28">
        <v>0.26601515033362899</v>
      </c>
      <c r="K14201" s="29">
        <v>0.98289565623980701</v>
      </c>
    </row>
    <row r="14202" spans="1:11" x14ac:dyDescent="0.35">
      <c r="A14202" s="9" t="str">
        <f>HYPERLINK("http://www.ensembl.org/id/WBGene00004319", "WBGene00004319")</f>
        <v>WBGene00004319</v>
      </c>
      <c r="B14202" s="9" t="str">
        <f>HYPERLINK("http://www.ncbi.nlm.nih.gov/gene/177985", "177985")</f>
        <v>177985</v>
      </c>
      <c r="C14202" s="9" t="str">
        <f>HYPERLINK("http://www.ncbi.nlm.nih.gov/gene/10765", "10765")</f>
        <v>10765</v>
      </c>
      <c r="D14202" t="str">
        <f>"rbr-2"</f>
        <v>rbr-2</v>
      </c>
      <c r="E14202" t="s">
        <v>6663</v>
      </c>
      <c r="F14202" t="s">
        <v>11</v>
      </c>
      <c r="G14202" t="s">
        <v>6664</v>
      </c>
      <c r="H14202" s="12">
        <v>-1.08359432939179</v>
      </c>
      <c r="I14202" s="20">
        <v>-0.43837370229049299</v>
      </c>
      <c r="J14202" s="28">
        <v>0.66111540658958901</v>
      </c>
      <c r="K14202" s="29">
        <v>0.98289565623980701</v>
      </c>
    </row>
    <row r="14203" spans="1:11" x14ac:dyDescent="0.35">
      <c r="A14203" s="9" t="str">
        <f>HYPERLINK("http://www.ensembl.org/id/WBGene00004320", "WBGene00004320")</f>
        <v>WBGene00004320</v>
      </c>
      <c r="B14203" s="9" t="str">
        <f>HYPERLINK("http://www.ncbi.nlm.nih.gov/gene/179358", "179358")</f>
        <v>179358</v>
      </c>
      <c r="C14203" s="9" t="str">
        <f>HYPERLINK("http://www.ncbi.nlm.nih.gov/gene/9978", "9978")</f>
        <v>9978</v>
      </c>
      <c r="D14203" t="str">
        <f>"rbx-1"</f>
        <v>rbx-1</v>
      </c>
      <c r="E14203" t="s">
        <v>8618</v>
      </c>
      <c r="F14203" t="s">
        <v>11</v>
      </c>
      <c r="G14203" t="s">
        <v>8619</v>
      </c>
      <c r="H14203" s="12">
        <v>-1.1866043394043599</v>
      </c>
      <c r="I14203" s="20">
        <v>-0.889569700735515</v>
      </c>
      <c r="J14203" s="28">
        <v>0.37369698157233699</v>
      </c>
      <c r="K14203" s="29">
        <v>0.98289565623980701</v>
      </c>
    </row>
    <row r="14204" spans="1:11" x14ac:dyDescent="0.35">
      <c r="A14204" s="9" t="str">
        <f>HYPERLINK("http://www.ensembl.org/id/WBGene00019993", "WBGene00019993")</f>
        <v>WBGene00019993</v>
      </c>
      <c r="B14204" s="9" t="str">
        <f>HYPERLINK("http://www.ncbi.nlm.nih.gov/gene/172344", "172344")</f>
        <v>172344</v>
      </c>
      <c r="C14204" s="9" t="str">
        <f>HYPERLINK("http://www.ncbi.nlm.nih.gov/gene/9616", "9616")</f>
        <v>9616</v>
      </c>
      <c r="D14204" t="str">
        <f>"rbx-2"</f>
        <v>rbx-2</v>
      </c>
      <c r="E14204" t="s">
        <v>8340</v>
      </c>
      <c r="F14204" t="s">
        <v>11</v>
      </c>
      <c r="G14204" t="s">
        <v>8341</v>
      </c>
      <c r="H14204" s="12">
        <v>-1.1725164535385799</v>
      </c>
      <c r="I14204" s="20">
        <v>-0.66911386365388104</v>
      </c>
      <c r="J14204" s="28">
        <v>0.50342284696691597</v>
      </c>
      <c r="K14204" s="29">
        <v>0.98289565623980701</v>
      </c>
    </row>
    <row r="14205" spans="1:11" x14ac:dyDescent="0.35">
      <c r="A14205" s="9" t="str">
        <f>HYPERLINK("http://www.ensembl.org/id/WBGene00004321", "WBGene00004321")</f>
        <v>WBGene00004321</v>
      </c>
      <c r="B14205" s="9" t="str">
        <f>HYPERLINK("http://www.ncbi.nlm.nih.gov/gene/175788", "175788")</f>
        <v>175788</v>
      </c>
      <c r="C14205" s="9" t="str">
        <f>HYPERLINK("http://www.ncbi.nlm.nih.gov/gene/11123", "11123")</f>
        <v>11123</v>
      </c>
      <c r="D14205" t="str">
        <f>"rcan-1"</f>
        <v>rcan-1</v>
      </c>
      <c r="E14205" t="s">
        <v>6718</v>
      </c>
      <c r="F14205" t="s">
        <v>11</v>
      </c>
      <c r="G14205" t="s">
        <v>6719</v>
      </c>
      <c r="H14205" s="12">
        <v>-1.0859620318836201</v>
      </c>
      <c r="I14205" s="20">
        <v>-0.43081065081023701</v>
      </c>
      <c r="J14205" s="28">
        <v>0.66660605457079902</v>
      </c>
      <c r="K14205" s="29">
        <v>0.98289565623980701</v>
      </c>
    </row>
    <row r="14206" spans="1:11" x14ac:dyDescent="0.35">
      <c r="A14206" s="9" t="str">
        <f>HYPERLINK("http://www.ensembl.org/id/WBGene00004322", "WBGene00004322")</f>
        <v>WBGene00004322</v>
      </c>
      <c r="B14206" s="9" t="str">
        <f>HYPERLINK("http://www.ncbi.nlm.nih.gov/gene/175522", "175522")</f>
        <v>175522</v>
      </c>
      <c r="C14206" s="9" t="str">
        <f>HYPERLINK("http://www.ncbi.nlm.nih.gov/gene/9400", "9400")</f>
        <v>9400</v>
      </c>
      <c r="D14206" t="str">
        <f>"rcq-5"</f>
        <v>rcq-5</v>
      </c>
      <c r="E14206" t="s">
        <v>4233</v>
      </c>
      <c r="F14206" t="s">
        <v>11</v>
      </c>
      <c r="G14206" t="s">
        <v>9320</v>
      </c>
      <c r="H14206" s="12">
        <v>-1.23776311307689</v>
      </c>
      <c r="I14206" s="20">
        <v>-1.0221042540776999</v>
      </c>
      <c r="J14206" s="28">
        <v>0.30673155995389101</v>
      </c>
      <c r="K14206" s="29">
        <v>0.98289565623980701</v>
      </c>
    </row>
    <row r="14207" spans="1:11" x14ac:dyDescent="0.35">
      <c r="A14207" s="9" t="str">
        <f>HYPERLINK("http://www.ensembl.org/id/WBGene00004323", "WBGene00004323")</f>
        <v>WBGene00004323</v>
      </c>
      <c r="B14207" s="9" t="str">
        <f>HYPERLINK("http://www.ncbi.nlm.nih.gov/gene/179393", "179393")</f>
        <v>179393</v>
      </c>
      <c r="C14207" s="9"/>
      <c r="D14207" t="str">
        <f>"rde-1"</f>
        <v>rde-1</v>
      </c>
      <c r="E14207" t="s">
        <v>6672</v>
      </c>
      <c r="F14207" t="s">
        <v>11</v>
      </c>
      <c r="G14207" t="s">
        <v>6673</v>
      </c>
      <c r="H14207" s="12">
        <v>-1.08403658977073</v>
      </c>
      <c r="I14207" s="20">
        <v>-0.42065415458773697</v>
      </c>
      <c r="J14207" s="28">
        <v>0.67400764286558501</v>
      </c>
      <c r="K14207" s="29">
        <v>0.98289565623980701</v>
      </c>
    </row>
    <row r="14208" spans="1:11" x14ac:dyDescent="0.35">
      <c r="A14208" s="9" t="str">
        <f>HYPERLINK("http://www.ensembl.org/id/WBGene00021634", "WBGene00021634")</f>
        <v>WBGene00021634</v>
      </c>
      <c r="B14208" s="9" t="str">
        <f>HYPERLINK("http://www.ncbi.nlm.nih.gov/gene/171923", "171923")</f>
        <v>171923</v>
      </c>
      <c r="C14208" s="9"/>
      <c r="D14208" t="str">
        <f>"rde-10"</f>
        <v>rde-10</v>
      </c>
      <c r="E14208" t="s">
        <v>6889</v>
      </c>
      <c r="F14208" t="s">
        <v>11</v>
      </c>
      <c r="G14208" t="s">
        <v>6890</v>
      </c>
      <c r="H14208" s="12">
        <v>-1.0946578444745501</v>
      </c>
      <c r="I14208" s="20">
        <v>-0.40774890913474299</v>
      </c>
      <c r="J14208" s="28">
        <v>0.68345802612280704</v>
      </c>
      <c r="K14208" s="29">
        <v>0.98289565623980701</v>
      </c>
    </row>
    <row r="14209" spans="1:11" x14ac:dyDescent="0.35">
      <c r="A14209" s="9" t="str">
        <f>HYPERLINK("http://www.ensembl.org/id/WBGene00010280", "WBGene00010280")</f>
        <v>WBGene00010280</v>
      </c>
      <c r="B14209" s="9" t="str">
        <f>HYPERLINK("http://www.ncbi.nlm.nih.gov/gene/179855", "179855")</f>
        <v>179855</v>
      </c>
      <c r="C14209" s="9"/>
      <c r="D14209" t="str">
        <f>"rde-12"</f>
        <v>rde-12</v>
      </c>
      <c r="E14209" t="s">
        <v>6327</v>
      </c>
      <c r="F14209" t="s">
        <v>11</v>
      </c>
      <c r="G14209" t="s">
        <v>6328</v>
      </c>
      <c r="H14209" s="12">
        <v>-1.0628450858879299</v>
      </c>
      <c r="I14209" s="20">
        <v>-0.33642980360670399</v>
      </c>
      <c r="J14209" s="28">
        <v>0.73654677792099799</v>
      </c>
      <c r="K14209" s="29">
        <v>0.98289565623980701</v>
      </c>
    </row>
    <row r="14210" spans="1:11" x14ac:dyDescent="0.35">
      <c r="A14210" s="9" t="str">
        <f>HYPERLINK("http://www.ensembl.org/id/WBGene00022620", "WBGene00022620")</f>
        <v>WBGene00022620</v>
      </c>
      <c r="B14210" s="9" t="str">
        <f>HYPERLINK("http://www.ncbi.nlm.nih.gov/gene/177483", "177483")</f>
        <v>177483</v>
      </c>
      <c r="C14210" s="9"/>
      <c r="D14210" t="str">
        <f>"rde-8"</f>
        <v>rde-8</v>
      </c>
      <c r="F14210" t="s">
        <v>11</v>
      </c>
      <c r="G14210" t="s">
        <v>9739</v>
      </c>
      <c r="H14210" s="12">
        <v>-1.29131294967304</v>
      </c>
      <c r="I14210" s="20">
        <v>-1.1659838203586801</v>
      </c>
      <c r="J14210" s="28">
        <v>0.243620987155517</v>
      </c>
      <c r="K14210" s="29">
        <v>0.98289565623980701</v>
      </c>
    </row>
    <row r="14211" spans="1:11" x14ac:dyDescent="0.35">
      <c r="A14211" s="9" t="str">
        <f>HYPERLINK("http://www.ensembl.org/id/WBGene00004328", "WBGene00004328")</f>
        <v>WBGene00004328</v>
      </c>
      <c r="B14211" s="9" t="str">
        <f>HYPERLINK("http://www.ncbi.nlm.nih.gov/gene/186178", "186178")</f>
        <v>186178</v>
      </c>
      <c r="C14211" s="9"/>
      <c r="D14211" t="str">
        <f>"rdy-2"</f>
        <v>rdy-2</v>
      </c>
      <c r="F14211" t="s">
        <v>11</v>
      </c>
      <c r="G14211" t="s">
        <v>25</v>
      </c>
      <c r="H14211" s="12">
        <v>1.15062041031357</v>
      </c>
      <c r="I14211" s="20">
        <v>0.31716684558769698</v>
      </c>
      <c r="J14211" s="28">
        <v>0.75111700555197602</v>
      </c>
      <c r="K14211" s="29">
        <v>0.98289565623980701</v>
      </c>
    </row>
    <row r="14212" spans="1:11" x14ac:dyDescent="0.35">
      <c r="A14212" s="9" t="str">
        <f>HYPERLINK("http://www.ensembl.org/id/WBGene00004334", "WBGene00004334")</f>
        <v>WBGene00004334</v>
      </c>
      <c r="B14212" s="9" t="str">
        <f>HYPERLINK("http://www.ncbi.nlm.nih.gov/gene/174585", "174585")</f>
        <v>174585</v>
      </c>
      <c r="C14212" s="9"/>
      <c r="D14212" t="str">
        <f>"ref-1"</f>
        <v>ref-1</v>
      </c>
      <c r="E14212" t="s">
        <v>7637</v>
      </c>
      <c r="F14212" t="s">
        <v>11</v>
      </c>
      <c r="G14212" t="s">
        <v>7638</v>
      </c>
      <c r="H14212" s="12">
        <v>-1.1370309071878999</v>
      </c>
      <c r="I14212" s="20">
        <v>-0.38486030139313998</v>
      </c>
      <c r="J14212" s="28">
        <v>0.70034091953787403</v>
      </c>
      <c r="K14212" s="29">
        <v>0.98289565623980701</v>
      </c>
    </row>
    <row r="14213" spans="1:11" x14ac:dyDescent="0.35">
      <c r="A14213" s="9" t="str">
        <f>HYPERLINK("http://www.ensembl.org/id/WBGene00016260", "WBGene00016260")</f>
        <v>WBGene00016260</v>
      </c>
      <c r="B14213" s="9" t="str">
        <f>HYPERLINK("http://www.ncbi.nlm.nih.gov/gene/172426", "172426")</f>
        <v>172426</v>
      </c>
      <c r="C14213" s="9"/>
      <c r="D14213" t="str">
        <f>"rege-1"</f>
        <v>rege-1</v>
      </c>
      <c r="E14213" t="s">
        <v>8558</v>
      </c>
      <c r="F14213" t="s">
        <v>11</v>
      </c>
      <c r="G14213" t="s">
        <v>8559</v>
      </c>
      <c r="H14213" s="12">
        <v>-1.18363283684911</v>
      </c>
      <c r="I14213" s="20">
        <v>-0.81200015821494897</v>
      </c>
      <c r="J14213" s="28">
        <v>0.41679154070852997</v>
      </c>
      <c r="K14213" s="29">
        <v>0.98289565623980701</v>
      </c>
    </row>
    <row r="14214" spans="1:11" x14ac:dyDescent="0.35">
      <c r="A14214" s="9" t="str">
        <f>HYPERLINK("http://www.ensembl.org/id/WBGene00007270", "WBGene00007270")</f>
        <v>WBGene00007270</v>
      </c>
      <c r="B14214" s="9" t="str">
        <f>HYPERLINK("http://www.ncbi.nlm.nih.gov/gene/175526", "175526")</f>
        <v>175526</v>
      </c>
      <c r="C14214" s="9"/>
      <c r="D14214" t="str">
        <f>"rei-1"</f>
        <v>rei-1</v>
      </c>
      <c r="E14214" t="s">
        <v>5969</v>
      </c>
      <c r="F14214" t="s">
        <v>11</v>
      </c>
      <c r="G14214" t="s">
        <v>5970</v>
      </c>
      <c r="H14214" s="12">
        <v>1.0783706416737699</v>
      </c>
      <c r="I14214" s="20">
        <v>0.39503622450088</v>
      </c>
      <c r="J14214" s="28">
        <v>0.69281615427897902</v>
      </c>
      <c r="K14214" s="29">
        <v>0.98289565623980701</v>
      </c>
    </row>
    <row r="14215" spans="1:11" x14ac:dyDescent="0.35">
      <c r="A14215" s="9" t="str">
        <f>HYPERLINK("http://www.ensembl.org/id/WBGene00019365", "WBGene00019365")</f>
        <v>WBGene00019365</v>
      </c>
      <c r="B14215" s="9" t="str">
        <f>HYPERLINK("http://www.ncbi.nlm.nih.gov/gene/180461", "180461")</f>
        <v>180461</v>
      </c>
      <c r="C14215" s="9"/>
      <c r="D14215" t="str">
        <f>"rei-2"</f>
        <v>rei-2</v>
      </c>
      <c r="E14215" t="s">
        <v>7087</v>
      </c>
      <c r="F14215" t="s">
        <v>11</v>
      </c>
      <c r="G14215" t="s">
        <v>7088</v>
      </c>
      <c r="H14215" s="12">
        <v>-1.10645326191091</v>
      </c>
      <c r="I14215" s="20">
        <v>-0.54241704693616599</v>
      </c>
      <c r="J14215" s="28">
        <v>0.587531238803913</v>
      </c>
      <c r="K14215" s="29">
        <v>0.98289565623980701</v>
      </c>
    </row>
    <row r="14216" spans="1:11" x14ac:dyDescent="0.35">
      <c r="A14216" s="9" t="str">
        <f>HYPERLINK("http://www.ensembl.org/id/WBGene00022051", "WBGene00022051")</f>
        <v>WBGene00022051</v>
      </c>
      <c r="B14216" s="9" t="str">
        <f>HYPERLINK("http://www.ncbi.nlm.nih.gov/gene/175311", "175311")</f>
        <v>175311</v>
      </c>
      <c r="C14216" s="9" t="str">
        <f>HYPERLINK("http://www.ncbi.nlm.nih.gov/gene/1122", "1122")</f>
        <v>1122</v>
      </c>
      <c r="D14216" t="str">
        <f>"rep-1"</f>
        <v>rep-1</v>
      </c>
      <c r="E14216" t="s">
        <v>6544</v>
      </c>
      <c r="F14216" t="s">
        <v>11</v>
      </c>
      <c r="G14216" t="s">
        <v>6898</v>
      </c>
      <c r="H14216" s="12">
        <v>-1.0956756830449601</v>
      </c>
      <c r="I14216" s="20">
        <v>-0.45353815493772798</v>
      </c>
      <c r="J14216" s="28">
        <v>0.65016127528217105</v>
      </c>
      <c r="K14216" s="29">
        <v>0.98289565623980701</v>
      </c>
    </row>
    <row r="14217" spans="1:11" x14ac:dyDescent="0.35">
      <c r="A14217" s="9" t="str">
        <f>HYPERLINK("http://www.ensembl.org/id/WBGene00012696", "WBGene00012696")</f>
        <v>WBGene00012696</v>
      </c>
      <c r="B14217" s="9" t="str">
        <f>HYPERLINK("http://www.ncbi.nlm.nih.gov/gene/180241", "180241")</f>
        <v>180241</v>
      </c>
      <c r="C14217" s="9"/>
      <c r="D14217" t="str">
        <f>"reps-1"</f>
        <v>reps-1</v>
      </c>
      <c r="E14217" t="s">
        <v>8072</v>
      </c>
      <c r="F14217" t="s">
        <v>11</v>
      </c>
      <c r="G14217" t="s">
        <v>442</v>
      </c>
      <c r="H14217" s="12">
        <v>-1.1594578341061801</v>
      </c>
      <c r="I14217" s="20">
        <v>-0.66444838325251399</v>
      </c>
      <c r="J14217" s="28">
        <v>0.50640337482752595</v>
      </c>
      <c r="K14217" s="29">
        <v>0.98289565623980701</v>
      </c>
    </row>
    <row r="14218" spans="1:11" x14ac:dyDescent="0.35">
      <c r="A14218" s="9" t="str">
        <f>HYPERLINK("http://www.ensembl.org/id/WBGene00009783", "WBGene00009783")</f>
        <v>WBGene00009783</v>
      </c>
      <c r="B14218" s="9" t="str">
        <f>HYPERLINK("http://www.ncbi.nlm.nih.gov/gene/174410", "174410")</f>
        <v>174410</v>
      </c>
      <c r="C14218" s="9" t="str">
        <f>HYPERLINK("http://www.ncbi.nlm.nih.gov/gene/11079", "11079")</f>
        <v>11079</v>
      </c>
      <c r="D14218" t="str">
        <f>"rer-1"</f>
        <v>rer-1</v>
      </c>
      <c r="F14218" t="s">
        <v>11</v>
      </c>
      <c r="G14218" t="s">
        <v>7219</v>
      </c>
      <c r="H14218" s="12">
        <v>-1.1141072109758501</v>
      </c>
      <c r="I14218" s="20">
        <v>-0.57423429668303005</v>
      </c>
      <c r="J14218" s="28">
        <v>0.56580926370630602</v>
      </c>
      <c r="K14218" s="29">
        <v>0.98289565623980701</v>
      </c>
    </row>
    <row r="14219" spans="1:11" x14ac:dyDescent="0.35">
      <c r="A14219" s="9" t="str">
        <f>HYPERLINK("http://www.ensembl.org/id/WBGene00014066", "WBGene00014066")</f>
        <v>WBGene00014066</v>
      </c>
      <c r="B14219" s="9" t="str">
        <f>HYPERLINK("http://www.ncbi.nlm.nih.gov/gene/174275", "174275")</f>
        <v>174275</v>
      </c>
      <c r="C14219" s="9"/>
      <c r="D14219" t="str">
        <f>"rev-1"</f>
        <v>rev-1</v>
      </c>
      <c r="E14219" t="s">
        <v>7044</v>
      </c>
      <c r="F14219" t="s">
        <v>11</v>
      </c>
      <c r="G14219" t="s">
        <v>7045</v>
      </c>
      <c r="H14219" s="12">
        <v>-1.1042376487632</v>
      </c>
      <c r="I14219" s="20">
        <v>-0.47859435557500601</v>
      </c>
      <c r="J14219" s="28">
        <v>0.63222723459972796</v>
      </c>
      <c r="K14219" s="29">
        <v>0.98289565623980701</v>
      </c>
    </row>
    <row r="14220" spans="1:11" x14ac:dyDescent="0.35">
      <c r="A14220" s="9" t="str">
        <f>HYPERLINK("http://www.ensembl.org/id/WBGene00004337", "WBGene00004337")</f>
        <v>WBGene00004337</v>
      </c>
      <c r="B14220" s="9" t="str">
        <f>HYPERLINK("http://www.ncbi.nlm.nih.gov/gene/179967", "179967")</f>
        <v>179967</v>
      </c>
      <c r="C14220" s="9"/>
      <c r="D14220" t="str">
        <f>"rfc-1"</f>
        <v>rfc-1</v>
      </c>
      <c r="E14220" t="s">
        <v>8933</v>
      </c>
      <c r="F14220" t="s">
        <v>11</v>
      </c>
      <c r="G14220" t="s">
        <v>8934</v>
      </c>
      <c r="H14220" s="12">
        <v>-1.2090127279913401</v>
      </c>
      <c r="I14220" s="20">
        <v>-0.90931662231551302</v>
      </c>
      <c r="J14220" s="28">
        <v>0.36318301888677801</v>
      </c>
      <c r="K14220" s="29">
        <v>0.98289565623980701</v>
      </c>
    </row>
    <row r="14221" spans="1:11" x14ac:dyDescent="0.35">
      <c r="A14221" s="9" t="str">
        <f>HYPERLINK("http://www.ensembl.org/id/WBGene00018869", "WBGene00018869")</f>
        <v>WBGene00018869</v>
      </c>
      <c r="B14221" s="9" t="str">
        <f>HYPERLINK("http://www.ncbi.nlm.nih.gov/gene/173998", "173998")</f>
        <v>173998</v>
      </c>
      <c r="C14221" s="9"/>
      <c r="D14221" t="str">
        <f>"rfip-1"</f>
        <v>rfip-1</v>
      </c>
      <c r="E14221" t="s">
        <v>5887</v>
      </c>
      <c r="F14221" t="s">
        <v>11</v>
      </c>
      <c r="G14221" t="s">
        <v>5888</v>
      </c>
      <c r="H14221" s="12">
        <v>1.08883107742539</v>
      </c>
      <c r="I14221" s="20">
        <v>0.471087400712346</v>
      </c>
      <c r="J14221" s="28">
        <v>0.63757832206498699</v>
      </c>
      <c r="K14221" s="29">
        <v>0.98289565623980701</v>
      </c>
    </row>
    <row r="14222" spans="1:11" x14ac:dyDescent="0.35">
      <c r="A14222" s="9" t="str">
        <f>HYPERLINK("http://www.ensembl.org/id/WBGene00004341", "WBGene00004341")</f>
        <v>WBGene00004341</v>
      </c>
      <c r="B14222" s="9" t="str">
        <f>HYPERLINK("http://www.ncbi.nlm.nih.gov/gene/175982", "175982")</f>
        <v>175982</v>
      </c>
      <c r="C14222" s="9" t="str">
        <f>HYPERLINK("http://www.ncbi.nlm.nih.gov/gene/9039", "9039")</f>
        <v>9039</v>
      </c>
      <c r="D14222" t="str">
        <f>"rfl-1"</f>
        <v>rfl-1</v>
      </c>
      <c r="E14222" t="s">
        <v>6695</v>
      </c>
      <c r="F14222" t="s">
        <v>11</v>
      </c>
      <c r="G14222" t="s">
        <v>6696</v>
      </c>
      <c r="H14222" s="12">
        <v>-1.08499470322834</v>
      </c>
      <c r="I14222" s="20">
        <v>-0.40337816906294699</v>
      </c>
      <c r="J14222" s="28">
        <v>0.68667004424393396</v>
      </c>
      <c r="K14222" s="29">
        <v>0.98289565623980701</v>
      </c>
    </row>
    <row r="14223" spans="1:11" x14ac:dyDescent="0.35">
      <c r="A14223" s="9" t="str">
        <f>HYPERLINK("http://www.ensembl.org/id/WBGene00007008", "WBGene00007008")</f>
        <v>WBGene00007008</v>
      </c>
      <c r="B14223" s="9" t="str">
        <f>HYPERLINK("http://www.ncbi.nlm.nih.gov/gene/176180", "176180")</f>
        <v>176180</v>
      </c>
      <c r="C14223" s="9" t="str">
        <f>HYPERLINK("http://www.ncbi.nlm.nih.gov/gene/9810", "9810")</f>
        <v>9810</v>
      </c>
      <c r="D14223" t="str">
        <f>"rfp-1"</f>
        <v>rfp-1</v>
      </c>
      <c r="E14223" t="s">
        <v>6618</v>
      </c>
      <c r="F14223" t="s">
        <v>11</v>
      </c>
      <c r="G14223" t="s">
        <v>6619</v>
      </c>
      <c r="H14223" s="12">
        <v>-1.0800691443902499</v>
      </c>
      <c r="I14223" s="20">
        <v>-0.37004990223420597</v>
      </c>
      <c r="J14223" s="28">
        <v>0.71134530875520996</v>
      </c>
      <c r="K14223" s="29">
        <v>0.98289565623980701</v>
      </c>
    </row>
    <row r="14224" spans="1:11" x14ac:dyDescent="0.35">
      <c r="A14224" s="9" t="str">
        <f>HYPERLINK("http://www.ensembl.org/id/WBGene00004342", "WBGene00004342")</f>
        <v>WBGene00004342</v>
      </c>
      <c r="B14224" s="9" t="str">
        <f>HYPERLINK("http://www.ncbi.nlm.nih.gov/gene/24104262", "24104262")</f>
        <v>24104262</v>
      </c>
      <c r="C14224" s="9"/>
      <c r="D14224" t="str">
        <f>"rfs-1"</f>
        <v>rfs-1</v>
      </c>
      <c r="E14224" t="s">
        <v>9212</v>
      </c>
      <c r="F14224" t="s">
        <v>11</v>
      </c>
      <c r="G14224" t="s">
        <v>9213</v>
      </c>
      <c r="H14224" s="12">
        <v>-1.2281754617374201</v>
      </c>
      <c r="I14224" s="20">
        <v>-0.60415022083361603</v>
      </c>
      <c r="J14224" s="28">
        <v>0.545743772933313</v>
      </c>
      <c r="K14224" s="29">
        <v>0.98289565623980701</v>
      </c>
    </row>
    <row r="14225" spans="1:11" x14ac:dyDescent="0.35">
      <c r="A14225" s="9" t="str">
        <f>HYPERLINK("http://www.ensembl.org/id/WBGene00012203", "WBGene00012203")</f>
        <v>WBGene00012203</v>
      </c>
      <c r="B14225" s="9" t="str">
        <f>HYPERLINK("http://www.ncbi.nlm.nih.gov/gene/174751", "174751")</f>
        <v>174751</v>
      </c>
      <c r="C14225" s="9" t="str">
        <f>HYPERLINK("http://www.ncbi.nlm.nih.gov/gene/392", "392")</f>
        <v>392</v>
      </c>
      <c r="D14225" t="str">
        <f>"rga-1"</f>
        <v>rga-1</v>
      </c>
      <c r="E14225" t="s">
        <v>256</v>
      </c>
      <c r="F14225" t="s">
        <v>11</v>
      </c>
      <c r="G14225" t="s">
        <v>8266</v>
      </c>
      <c r="H14225" s="12">
        <v>-1.1680368701467601</v>
      </c>
      <c r="I14225" s="20">
        <v>-0.80421032012147498</v>
      </c>
      <c r="J14225" s="28">
        <v>0.421275519642137</v>
      </c>
      <c r="K14225" s="29">
        <v>0.98289565623980701</v>
      </c>
    </row>
    <row r="14226" spans="1:11" x14ac:dyDescent="0.35">
      <c r="A14226" s="9" t="str">
        <f>HYPERLINK("http://www.ensembl.org/id/WBGene00022286", "WBGene00022286")</f>
        <v>WBGene00022286</v>
      </c>
      <c r="B14226" s="9" t="str">
        <f>HYPERLINK("http://www.ncbi.nlm.nih.gov/gene/178629", "178629")</f>
        <v>178629</v>
      </c>
      <c r="C14226" s="9"/>
      <c r="D14226" t="str">
        <f>"rga-4"</f>
        <v>rga-4</v>
      </c>
      <c r="E14226" t="s">
        <v>256</v>
      </c>
      <c r="F14226" t="s">
        <v>11</v>
      </c>
      <c r="G14226" t="s">
        <v>8232</v>
      </c>
      <c r="H14226" s="12">
        <v>-1.1670176008653099</v>
      </c>
      <c r="I14226" s="20">
        <v>-0.83884245358211595</v>
      </c>
      <c r="J14226" s="28">
        <v>0.40155772396084799</v>
      </c>
      <c r="K14226" s="29">
        <v>0.98289565623980701</v>
      </c>
    </row>
    <row r="14227" spans="1:11" x14ac:dyDescent="0.35">
      <c r="A14227" s="9" t="str">
        <f>HYPERLINK("http://www.ensembl.org/id/WBGene00010374", "WBGene00010374")</f>
        <v>WBGene00010374</v>
      </c>
      <c r="B14227" s="9" t="str">
        <f>HYPERLINK("http://www.ncbi.nlm.nih.gov/gene/178348", "178348")</f>
        <v>178348</v>
      </c>
      <c r="C14227" s="9"/>
      <c r="D14227" t="str">
        <f>"rga-5"</f>
        <v>rga-5</v>
      </c>
      <c r="E14227" t="s">
        <v>256</v>
      </c>
      <c r="F14227" t="s">
        <v>11</v>
      </c>
      <c r="G14227" t="s">
        <v>3025</v>
      </c>
      <c r="H14227" s="12">
        <v>-1.2308358735830101</v>
      </c>
      <c r="I14227" s="20">
        <v>-0.98632457728205503</v>
      </c>
      <c r="J14227" s="28">
        <v>0.32397386301902997</v>
      </c>
      <c r="K14227" s="29">
        <v>0.98289565623980701</v>
      </c>
    </row>
    <row r="14228" spans="1:11" x14ac:dyDescent="0.35">
      <c r="A14228" s="9" t="str">
        <f>HYPERLINK("http://www.ensembl.org/id/WBGene00021324", "WBGene00021324")</f>
        <v>WBGene00021324</v>
      </c>
      <c r="B14228" s="9" t="str">
        <f>HYPERLINK("http://www.ncbi.nlm.nih.gov/gene/180799", "180799")</f>
        <v>180799</v>
      </c>
      <c r="C14228" s="9"/>
      <c r="D14228" t="str">
        <f>"rga-8"</f>
        <v>rga-8</v>
      </c>
      <c r="E14228" t="s">
        <v>256</v>
      </c>
      <c r="F14228" t="s">
        <v>11</v>
      </c>
      <c r="G14228" t="s">
        <v>7466</v>
      </c>
      <c r="H14228" s="12">
        <v>-1.1276305421933699</v>
      </c>
      <c r="I14228" s="20">
        <v>-0.57649075563377805</v>
      </c>
      <c r="J14228" s="28">
        <v>0.56428351653916298</v>
      </c>
      <c r="K14228" s="29">
        <v>0.98289565623980701</v>
      </c>
    </row>
    <row r="14229" spans="1:11" x14ac:dyDescent="0.35">
      <c r="A14229" s="9" t="str">
        <f>HYPERLINK("http://www.ensembl.org/id/WBGene00007064", "WBGene00007064")</f>
        <v>WBGene00007064</v>
      </c>
      <c r="B14229" s="9" t="str">
        <f>HYPERLINK("http://www.ncbi.nlm.nih.gov/gene/353411", "353411")</f>
        <v>353411</v>
      </c>
      <c r="C14229" s="9"/>
      <c r="D14229" t="str">
        <f>"rga-9"</f>
        <v>rga-9</v>
      </c>
      <c r="E14229" t="s">
        <v>256</v>
      </c>
      <c r="F14229" t="s">
        <v>11</v>
      </c>
      <c r="G14229" t="s">
        <v>6181</v>
      </c>
      <c r="H14229" s="12">
        <v>-1.0516214369775501</v>
      </c>
      <c r="I14229" s="20">
        <v>-0.25771928307247199</v>
      </c>
      <c r="J14229" s="28">
        <v>0.79662356296264303</v>
      </c>
      <c r="K14229" s="29">
        <v>0.98289565623980701</v>
      </c>
    </row>
    <row r="14230" spans="1:11" x14ac:dyDescent="0.35">
      <c r="A14230" s="9" t="str">
        <f>HYPERLINK("http://www.ensembl.org/id/WBGene00009100", "WBGene00009100")</f>
        <v>WBGene00009100</v>
      </c>
      <c r="B14230" s="9" t="str">
        <f>HYPERLINK("http://www.ncbi.nlm.nih.gov/gene/179344", "179344")</f>
        <v>179344</v>
      </c>
      <c r="C14230" s="9" t="str">
        <f>HYPERLINK("http://www.ncbi.nlm.nih.gov/gene/25780", "25780")</f>
        <v>25780</v>
      </c>
      <c r="D14230" t="str">
        <f>"rgef-1"</f>
        <v>rgef-1</v>
      </c>
      <c r="E14230" t="s">
        <v>8253</v>
      </c>
      <c r="F14230" t="s">
        <v>11</v>
      </c>
      <c r="G14230" t="s">
        <v>8254</v>
      </c>
      <c r="H14230" s="12">
        <v>-1.1675986380349099</v>
      </c>
      <c r="I14230" s="20">
        <v>-0.68246273036641503</v>
      </c>
      <c r="J14230" s="28">
        <v>0.494946401518912</v>
      </c>
      <c r="K14230" s="29">
        <v>0.98289565623980701</v>
      </c>
    </row>
    <row r="14231" spans="1:11" x14ac:dyDescent="0.35">
      <c r="A14231" s="9" t="str">
        <f>HYPERLINK("http://www.ensembl.org/id/WBGene00004344", "WBGene00004344")</f>
        <v>WBGene00004344</v>
      </c>
      <c r="B14231" s="9" t="str">
        <f>HYPERLINK("http://www.ncbi.nlm.nih.gov/gene/176415", "176415")</f>
        <v>176415</v>
      </c>
      <c r="C14231" s="9" t="str">
        <f>HYPERLINK("http://www.ncbi.nlm.nih.gov/gene/8601", "8601")</f>
        <v>8601</v>
      </c>
      <c r="D14231" t="str">
        <f>"rgs-1"</f>
        <v>rgs-1</v>
      </c>
      <c r="E14231" t="s">
        <v>5234</v>
      </c>
      <c r="F14231" t="s">
        <v>11</v>
      </c>
      <c r="G14231" t="s">
        <v>5235</v>
      </c>
      <c r="H14231" s="12">
        <v>1.2091933768470799</v>
      </c>
      <c r="I14231" s="20">
        <v>0.78214673870159002</v>
      </c>
      <c r="J14231" s="28">
        <v>0.43412834147023699</v>
      </c>
      <c r="K14231" s="29">
        <v>0.98289565623980701</v>
      </c>
    </row>
    <row r="14232" spans="1:11" x14ac:dyDescent="0.35">
      <c r="A14232" s="9" t="str">
        <f>HYPERLINK("http://www.ensembl.org/id/WBGene00004347", "WBGene00004347")</f>
        <v>WBGene00004347</v>
      </c>
      <c r="B14232" s="9" t="str">
        <f>HYPERLINK("http://www.ncbi.nlm.nih.gov/gene/189666", "189666")</f>
        <v>189666</v>
      </c>
      <c r="C14232" s="9"/>
      <c r="D14232" t="str">
        <f>"rgs-4"</f>
        <v>rgs-4</v>
      </c>
      <c r="E14232" t="s">
        <v>5078</v>
      </c>
      <c r="F14232" t="s">
        <v>11</v>
      </c>
      <c r="H14232" s="12">
        <v>1.24569113213965</v>
      </c>
      <c r="I14232" s="20">
        <v>1.07901755075488</v>
      </c>
      <c r="J14232" s="28">
        <v>0.28057990381189601</v>
      </c>
      <c r="K14232" s="29">
        <v>0.98289565623980701</v>
      </c>
    </row>
    <row r="14233" spans="1:11" x14ac:dyDescent="0.35">
      <c r="A14233" s="9" t="str">
        <f>HYPERLINK("http://www.ensembl.org/id/WBGene00004348", "WBGene00004348")</f>
        <v>WBGene00004348</v>
      </c>
      <c r="B14233" s="9" t="str">
        <f>HYPERLINK("http://www.ncbi.nlm.nih.gov/gene/175794", "175794")</f>
        <v>175794</v>
      </c>
      <c r="C14233" s="9"/>
      <c r="D14233" t="str">
        <f>"rgs-5"</f>
        <v>rgs-5</v>
      </c>
      <c r="E14233" t="s">
        <v>5435</v>
      </c>
      <c r="F14233" t="s">
        <v>11</v>
      </c>
      <c r="G14233" t="s">
        <v>5436</v>
      </c>
      <c r="H14233" s="12">
        <v>1.1646360256204</v>
      </c>
      <c r="I14233" s="20">
        <v>0.68497355579513997</v>
      </c>
      <c r="J14233" s="28">
        <v>0.49336060817739502</v>
      </c>
      <c r="K14233" s="29">
        <v>0.98289565623980701</v>
      </c>
    </row>
    <row r="14234" spans="1:11" x14ac:dyDescent="0.35">
      <c r="A14234" s="9" t="str">
        <f>HYPERLINK("http://www.ensembl.org/id/WBGene00004351", "WBGene00004351")</f>
        <v>WBGene00004351</v>
      </c>
      <c r="B14234" s="9" t="str">
        <f>HYPERLINK("http://www.ncbi.nlm.nih.gov/gene/180507", "180507")</f>
        <v>180507</v>
      </c>
      <c r="C14234" s="9"/>
      <c r="D14234" t="str">
        <f>"rgs-8.1"</f>
        <v>rgs-8.1</v>
      </c>
      <c r="E14234" t="s">
        <v>5078</v>
      </c>
      <c r="F14234" t="s">
        <v>11</v>
      </c>
      <c r="H14234" s="12">
        <v>-2.4295389261469</v>
      </c>
      <c r="I14234" s="20">
        <v>-0.25808529976640998</v>
      </c>
      <c r="J14234" s="28">
        <v>0.79634107645457397</v>
      </c>
      <c r="K14234" s="29">
        <v>0.98289565623980701</v>
      </c>
    </row>
    <row r="14235" spans="1:11" x14ac:dyDescent="0.35">
      <c r="A14235" s="9" t="str">
        <f>HYPERLINK("http://www.ensembl.org/id/WBGene00006468", "WBGene00006468")</f>
        <v>WBGene00006468</v>
      </c>
      <c r="B14235" s="9" t="str">
        <f>HYPERLINK("http://www.ncbi.nlm.nih.gov/gene/184419", "184419")</f>
        <v>184419</v>
      </c>
      <c r="C14235" s="9"/>
      <c r="D14235" t="str">
        <f>"rhgf-1"</f>
        <v>rhgf-1</v>
      </c>
      <c r="E14235" t="s">
        <v>6005</v>
      </c>
      <c r="F14235" t="s">
        <v>11</v>
      </c>
      <c r="G14235" t="s">
        <v>9191</v>
      </c>
      <c r="H14235" s="12">
        <v>-1.2271450158388599</v>
      </c>
      <c r="I14235" s="20">
        <v>-1.1180701801900299</v>
      </c>
      <c r="J14235" s="28">
        <v>0.26353702107016402</v>
      </c>
      <c r="K14235" s="29">
        <v>0.98289565623980701</v>
      </c>
    </row>
    <row r="14236" spans="1:11" x14ac:dyDescent="0.35">
      <c r="A14236" s="9" t="str">
        <f>HYPERLINK("http://www.ensembl.org/id/WBGene00006476", "WBGene00006476")</f>
        <v>WBGene00006476</v>
      </c>
      <c r="B14236" s="9" t="str">
        <f>HYPERLINK("http://www.ncbi.nlm.nih.gov/gene/173748", "173748")</f>
        <v>173748</v>
      </c>
      <c r="C14236" s="9"/>
      <c r="D14236" t="str">
        <f>"rhgf-2"</f>
        <v>rhgf-2</v>
      </c>
      <c r="E14236" t="s">
        <v>6005</v>
      </c>
      <c r="F14236" t="s">
        <v>11</v>
      </c>
      <c r="G14236" t="s">
        <v>6006</v>
      </c>
      <c r="H14236" s="12">
        <v>1.0733371947127599</v>
      </c>
      <c r="I14236" s="20">
        <v>0.368590129064507</v>
      </c>
      <c r="J14236" s="28">
        <v>0.71243325418869297</v>
      </c>
      <c r="K14236" s="29">
        <v>0.98289565623980701</v>
      </c>
    </row>
    <row r="14237" spans="1:11" x14ac:dyDescent="0.35">
      <c r="A14237" s="9" t="str">
        <f>HYPERLINK("http://www.ensembl.org/id/WBGene00004358", "WBGene00004358")</f>
        <v>WBGene00004358</v>
      </c>
      <c r="B14237" s="9" t="str">
        <f>HYPERLINK("http://www.ncbi.nlm.nih.gov/gene/178927", "178927")</f>
        <v>178927</v>
      </c>
      <c r="C14237" s="9" t="str">
        <f>HYPERLINK("http://www.ncbi.nlm.nih.gov/gene/6005", "6005")</f>
        <v>6005</v>
      </c>
      <c r="D14237" t="str">
        <f>"rhr-1"</f>
        <v>rhr-1</v>
      </c>
      <c r="E14237" t="s">
        <v>4806</v>
      </c>
      <c r="F14237" t="s">
        <v>11</v>
      </c>
      <c r="G14237" t="s">
        <v>2781</v>
      </c>
      <c r="H14237" s="12">
        <v>-1.1828323061517501</v>
      </c>
      <c r="I14237" s="20">
        <v>-0.91330957269329904</v>
      </c>
      <c r="J14237" s="28">
        <v>0.361079749143141</v>
      </c>
      <c r="K14237" s="29">
        <v>0.98289565623980701</v>
      </c>
    </row>
    <row r="14238" spans="1:11" x14ac:dyDescent="0.35">
      <c r="A14238" s="9" t="str">
        <f>HYPERLINK("http://www.ensembl.org/id/WBGene00004359", "WBGene00004359")</f>
        <v>WBGene00004359</v>
      </c>
      <c r="B14238" s="9" t="str">
        <f>HYPERLINK("http://www.ncbi.nlm.nih.gov/gene/179606", "179606")</f>
        <v>179606</v>
      </c>
      <c r="C14238" s="9" t="str">
        <f>HYPERLINK("http://www.ncbi.nlm.nih.gov/gene/6005", "6005")</f>
        <v>6005</v>
      </c>
      <c r="D14238" t="str">
        <f>"rhr-2"</f>
        <v>rhr-2</v>
      </c>
      <c r="E14238" t="s">
        <v>4806</v>
      </c>
      <c r="F14238" t="s">
        <v>11</v>
      </c>
      <c r="G14238" t="s">
        <v>2781</v>
      </c>
      <c r="H14238" s="12">
        <v>1.3663018209694999</v>
      </c>
      <c r="I14238" s="20">
        <v>0.76932996310024704</v>
      </c>
      <c r="J14238" s="28">
        <v>0.44169745406358102</v>
      </c>
      <c r="K14238" s="29">
        <v>0.98289565623980701</v>
      </c>
    </row>
    <row r="14239" spans="1:11" x14ac:dyDescent="0.35">
      <c r="A14239" s="9" t="str">
        <f>HYPERLINK("http://www.ensembl.org/id/WBGene00004360", "WBGene00004360")</f>
        <v>WBGene00004360</v>
      </c>
      <c r="B14239" s="9" t="str">
        <f>HYPERLINK("http://www.ncbi.nlm.nih.gov/gene/178080", "178080")</f>
        <v>178080</v>
      </c>
      <c r="C14239" s="9" t="str">
        <f>HYPERLINK("http://www.ncbi.nlm.nih.gov/gene/2131", "2131")</f>
        <v>2131</v>
      </c>
      <c r="D14239" t="str">
        <f>"rib-1"</f>
        <v>rib-1</v>
      </c>
      <c r="E14239" t="s">
        <v>9553</v>
      </c>
      <c r="F14239" t="s">
        <v>11</v>
      </c>
      <c r="G14239" t="s">
        <v>9554</v>
      </c>
      <c r="H14239" s="12">
        <v>-1.2582661830738699</v>
      </c>
      <c r="I14239" s="20">
        <v>-1.06473945735527</v>
      </c>
      <c r="J14239" s="28">
        <v>0.28699384916401499</v>
      </c>
      <c r="K14239" s="29">
        <v>0.98289565623980701</v>
      </c>
    </row>
    <row r="14240" spans="1:11" x14ac:dyDescent="0.35">
      <c r="A14240" s="9" t="str">
        <f>HYPERLINK("http://www.ensembl.org/id/WBGene00004361", "WBGene00004361")</f>
        <v>WBGene00004361</v>
      </c>
      <c r="B14240" s="9" t="str">
        <f>HYPERLINK("http://www.ncbi.nlm.nih.gov/gene/176502", "176502")</f>
        <v>176502</v>
      </c>
      <c r="C14240" s="9"/>
      <c r="D14240" t="str">
        <f>"rib-2"</f>
        <v>rib-2</v>
      </c>
      <c r="E14240" t="s">
        <v>5821</v>
      </c>
      <c r="F14240" t="s">
        <v>11</v>
      </c>
      <c r="G14240" t="s">
        <v>5822</v>
      </c>
      <c r="H14240" s="12">
        <v>1.0965877289366199</v>
      </c>
      <c r="I14240" s="20">
        <v>0.40261213317996197</v>
      </c>
      <c r="J14240" s="28">
        <v>0.68723358242841204</v>
      </c>
      <c r="K14240" s="29">
        <v>0.98289565623980701</v>
      </c>
    </row>
    <row r="14241" spans="1:11" x14ac:dyDescent="0.35">
      <c r="A14241" s="9" t="str">
        <f>HYPERLINK("http://www.ensembl.org/id/WBGene00020683", "WBGene00020683")</f>
        <v>WBGene00020683</v>
      </c>
      <c r="B14241" s="9" t="str">
        <f>HYPERLINK("http://www.ncbi.nlm.nih.gov/gene/177456", "177456")</f>
        <v>177456</v>
      </c>
      <c r="C14241" s="9" t="str">
        <f>HYPERLINK("http://www.ncbi.nlm.nih.gov/gene/6184", "6184")</f>
        <v>6184</v>
      </c>
      <c r="D14241" t="str">
        <f>"ribo-1"</f>
        <v>ribo-1</v>
      </c>
      <c r="E14241" t="s">
        <v>6644</v>
      </c>
      <c r="F14241" t="s">
        <v>11</v>
      </c>
      <c r="G14241" t="s">
        <v>6645</v>
      </c>
      <c r="H14241" s="12">
        <v>-1.08258132322018</v>
      </c>
      <c r="I14241" s="20">
        <v>-0.44264800742684701</v>
      </c>
      <c r="J14241" s="28">
        <v>0.65802035468894604</v>
      </c>
      <c r="K14241" s="29">
        <v>0.98289565623980701</v>
      </c>
    </row>
    <row r="14242" spans="1:11" x14ac:dyDescent="0.35">
      <c r="A14242" s="9" t="str">
        <f>HYPERLINK("http://www.ensembl.org/id/WBGene00004367", "WBGene00004367")</f>
        <v>WBGene00004367</v>
      </c>
      <c r="B14242" s="9" t="str">
        <f>HYPERLINK("http://www.ncbi.nlm.nih.gov/gene/177048", "177048")</f>
        <v>177048</v>
      </c>
      <c r="C14242" s="9"/>
      <c r="D14242" t="str">
        <f>"ric-8"</f>
        <v>ric-8</v>
      </c>
      <c r="E14242" t="s">
        <v>5846</v>
      </c>
      <c r="F14242" t="s">
        <v>11</v>
      </c>
      <c r="G14242" t="s">
        <v>5847</v>
      </c>
      <c r="H14242" s="12">
        <v>1.09404573630468</v>
      </c>
      <c r="I14242" s="20">
        <v>0.44535268220322899</v>
      </c>
      <c r="J14242" s="28">
        <v>0.65606490160306496</v>
      </c>
      <c r="K14242" s="29">
        <v>0.98289565623980701</v>
      </c>
    </row>
    <row r="14243" spans="1:11" x14ac:dyDescent="0.35">
      <c r="A14243" s="9" t="str">
        <f>HYPERLINK("http://www.ensembl.org/id/WBGene00004369", "WBGene00004369")</f>
        <v>WBGene00004369</v>
      </c>
      <c r="B14243" s="9" t="str">
        <f>HYPERLINK("http://www.ncbi.nlm.nih.gov/gene/181115", "181115")</f>
        <v>181115</v>
      </c>
      <c r="C14243" s="9"/>
      <c r="D14243" t="str">
        <f>"rig-1"</f>
        <v>rig-1</v>
      </c>
      <c r="E14243" t="s">
        <v>2887</v>
      </c>
      <c r="F14243" t="s">
        <v>11</v>
      </c>
      <c r="G14243" t="s">
        <v>417</v>
      </c>
      <c r="H14243" s="12">
        <v>1.1322820290634601</v>
      </c>
      <c r="I14243" s="20">
        <v>0.63764235301901895</v>
      </c>
      <c r="J14243" s="28">
        <v>0.52370651906643095</v>
      </c>
      <c r="K14243" s="29">
        <v>0.98289565623980701</v>
      </c>
    </row>
    <row r="14244" spans="1:11" x14ac:dyDescent="0.35">
      <c r="A14244" s="9" t="str">
        <f>HYPERLINK("http://www.ensembl.org/id/WBGene00004371", "WBGene00004371")</f>
        <v>WBGene00004371</v>
      </c>
      <c r="B14244" s="9" t="str">
        <f>HYPERLINK("http://www.ncbi.nlm.nih.gov/gene/177597", "177597")</f>
        <v>177597</v>
      </c>
      <c r="C14244" s="9" t="str">
        <f>HYPERLINK("http://www.ncbi.nlm.nih.gov/gene/54549", "54549")</f>
        <v>54549</v>
      </c>
      <c r="D14244" t="str">
        <f>"rig-4"</f>
        <v>rig-4</v>
      </c>
      <c r="F14244" t="s">
        <v>11</v>
      </c>
      <c r="G14244" t="s">
        <v>5613</v>
      </c>
      <c r="H14244" s="12">
        <v>1.1345664284321599</v>
      </c>
      <c r="I14244" s="20">
        <v>0.62048323513302694</v>
      </c>
      <c r="J14244" s="28">
        <v>0.53493968809470605</v>
      </c>
      <c r="K14244" s="29">
        <v>0.98289565623980701</v>
      </c>
    </row>
    <row r="14245" spans="1:11" x14ac:dyDescent="0.35">
      <c r="A14245" s="9" t="str">
        <f>HYPERLINK("http://www.ensembl.org/id/WBGene00008262", "WBGene00008262")</f>
        <v>WBGene00008262</v>
      </c>
      <c r="B14245" s="9" t="str">
        <f>HYPERLINK("http://www.ncbi.nlm.nih.gov/gene/179958", "179958")</f>
        <v>179958</v>
      </c>
      <c r="C14245" s="9"/>
      <c r="D14245" t="str">
        <f>"ril-1"</f>
        <v>ril-1</v>
      </c>
      <c r="E14245" t="s">
        <v>7737</v>
      </c>
      <c r="F14245" t="s">
        <v>11</v>
      </c>
      <c r="G14245" t="s">
        <v>25</v>
      </c>
      <c r="H14245" s="12">
        <v>-1.14208873409317</v>
      </c>
      <c r="I14245" s="20">
        <v>-0.72136223426716295</v>
      </c>
      <c r="J14245" s="28">
        <v>0.470686675928225</v>
      </c>
      <c r="K14245" s="29">
        <v>0.98289565623980701</v>
      </c>
    </row>
    <row r="14246" spans="1:11" x14ac:dyDescent="0.35">
      <c r="A14246" s="9" t="str">
        <f>HYPERLINK("http://www.ensembl.org/id/WBGene00007586", "WBGene00007586")</f>
        <v>WBGene00007586</v>
      </c>
      <c r="B14246" s="9" t="str">
        <f>HYPERLINK("http://www.ncbi.nlm.nih.gov/gene/179725", "179725")</f>
        <v>179725</v>
      </c>
      <c r="C14246" s="9"/>
      <c r="D14246" t="str">
        <f>"ril-2"</f>
        <v>ril-2</v>
      </c>
      <c r="E14246" t="s">
        <v>7737</v>
      </c>
      <c r="F14246" t="s">
        <v>11</v>
      </c>
      <c r="G14246" t="s">
        <v>9487</v>
      </c>
      <c r="H14246" s="12">
        <v>-1.2505569331669799</v>
      </c>
      <c r="I14246" s="20">
        <v>-1.2041881515587101</v>
      </c>
      <c r="J14246" s="28">
        <v>0.228516864455172</v>
      </c>
      <c r="K14246" s="29">
        <v>0.98289565623980701</v>
      </c>
    </row>
    <row r="14247" spans="1:11" x14ac:dyDescent="0.35">
      <c r="A14247" s="9" t="str">
        <f>HYPERLINK("http://www.ensembl.org/id/WBGene00007860", "WBGene00007860")</f>
        <v>WBGene00007860</v>
      </c>
      <c r="B14247" s="9" t="str">
        <f>HYPERLINK("http://www.ncbi.nlm.nih.gov/gene/175465", "175465")</f>
        <v>175465</v>
      </c>
      <c r="C14247" s="9" t="str">
        <f>HYPERLINK("http://www.ncbi.nlm.nih.gov/gene/353116", "353116")</f>
        <v>353116</v>
      </c>
      <c r="D14247" t="str">
        <f>"rilp-1"</f>
        <v>rilp-1</v>
      </c>
      <c r="E14247" t="s">
        <v>8238</v>
      </c>
      <c r="F14247" t="s">
        <v>11</v>
      </c>
      <c r="G14247" t="s">
        <v>8239</v>
      </c>
      <c r="H14247" s="12">
        <v>-1.1671377494042601</v>
      </c>
      <c r="I14247" s="20">
        <v>-0.80138528652507202</v>
      </c>
      <c r="J14247" s="28">
        <v>0.42290863038892201</v>
      </c>
      <c r="K14247" s="29">
        <v>0.98289565623980701</v>
      </c>
    </row>
    <row r="14248" spans="1:11" x14ac:dyDescent="0.35">
      <c r="A14248" s="9" t="str">
        <f>HYPERLINK("http://www.ensembl.org/id/WBGene00006513", "WBGene00006513")</f>
        <v>WBGene00006513</v>
      </c>
      <c r="B14248" s="9" t="str">
        <f>HYPERLINK("http://www.ncbi.nlm.nih.gov/gene/189724", "189724")</f>
        <v>189724</v>
      </c>
      <c r="C14248" s="9"/>
      <c r="D14248" t="str">
        <f>"rimb-1"</f>
        <v>rimb-1</v>
      </c>
      <c r="E14248" t="s">
        <v>5363</v>
      </c>
      <c r="F14248" t="s">
        <v>11</v>
      </c>
      <c r="G14248" t="s">
        <v>5364</v>
      </c>
      <c r="H14248" s="12">
        <v>1.1823863560300101</v>
      </c>
      <c r="I14248" s="20">
        <v>0.81121216267338703</v>
      </c>
      <c r="J14248" s="28">
        <v>0.41724384211705401</v>
      </c>
      <c r="K14248" s="29">
        <v>0.98289565623980701</v>
      </c>
    </row>
    <row r="14249" spans="1:11" x14ac:dyDescent="0.35">
      <c r="A14249" s="9" t="str">
        <f>HYPERLINK("http://www.ensembl.org/id/WBGene00008183", "WBGene00008183")</f>
        <v>WBGene00008183</v>
      </c>
      <c r="B14249" s="9" t="str">
        <f>HYPERLINK("http://www.ncbi.nlm.nih.gov/gene/3565509", "3565509")</f>
        <v>3565509</v>
      </c>
      <c r="C14249" s="9"/>
      <c r="D14249" t="str">
        <f>"rin-1"</f>
        <v>rin-1</v>
      </c>
      <c r="E14249" t="s">
        <v>6862</v>
      </c>
      <c r="F14249" t="s">
        <v>11</v>
      </c>
      <c r="G14249" t="s">
        <v>6863</v>
      </c>
      <c r="H14249" s="12">
        <v>-1.0929913472124499</v>
      </c>
      <c r="I14249" s="20">
        <v>-0.48704850292052798</v>
      </c>
      <c r="J14249" s="28">
        <v>0.62622395915115203</v>
      </c>
      <c r="K14249" s="29">
        <v>0.98289565623980701</v>
      </c>
    </row>
    <row r="14250" spans="1:11" x14ac:dyDescent="0.35">
      <c r="A14250" s="9" t="str">
        <f>HYPERLINK("http://www.ensembl.org/id/WBGene00019698", "WBGene00019698")</f>
        <v>WBGene00019698</v>
      </c>
      <c r="B14250" s="9" t="str">
        <f>HYPERLINK("http://www.ncbi.nlm.nih.gov/gene/171883", "171883")</f>
        <v>171883</v>
      </c>
      <c r="C14250" s="9" t="str">
        <f>HYPERLINK("http://www.ncbi.nlm.nih.gov/gene/83732", "83732")</f>
        <v>83732</v>
      </c>
      <c r="D14250" t="str">
        <f>"riok-1"</f>
        <v>riok-1</v>
      </c>
      <c r="E14250" t="s">
        <v>7744</v>
      </c>
      <c r="F14250" t="s">
        <v>11</v>
      </c>
      <c r="G14250" t="s">
        <v>7745</v>
      </c>
      <c r="H14250" s="12">
        <v>-1.1423069751219199</v>
      </c>
      <c r="I14250" s="20">
        <v>-0.693103163102606</v>
      </c>
      <c r="J14250" s="28">
        <v>0.48824481277432902</v>
      </c>
      <c r="K14250" s="29">
        <v>0.98289565623980701</v>
      </c>
    </row>
    <row r="14251" spans="1:11" x14ac:dyDescent="0.35">
      <c r="A14251" s="9" t="str">
        <f>HYPERLINK("http://www.ensembl.org/id/WBGene00013688", "WBGene00013688")</f>
        <v>WBGene00013688</v>
      </c>
      <c r="B14251" s="9" t="str">
        <f>HYPERLINK("http://www.ncbi.nlm.nih.gov/gene/173322", "173322")</f>
        <v>173322</v>
      </c>
      <c r="C14251" s="9" t="str">
        <f>HYPERLINK("http://www.ncbi.nlm.nih.gov/gene/55781", "55781")</f>
        <v>55781</v>
      </c>
      <c r="D14251" t="str">
        <f>"riok-2"</f>
        <v>riok-2</v>
      </c>
      <c r="E14251" t="s">
        <v>8157</v>
      </c>
      <c r="F14251" t="s">
        <v>11</v>
      </c>
      <c r="G14251" t="s">
        <v>8158</v>
      </c>
      <c r="H14251" s="12">
        <v>-1.1630018354124201</v>
      </c>
      <c r="I14251" s="20">
        <v>-0.75981733095730497</v>
      </c>
      <c r="J14251" s="28">
        <v>0.44736378192674803</v>
      </c>
      <c r="K14251" s="29">
        <v>0.98289565623980701</v>
      </c>
    </row>
    <row r="14252" spans="1:11" x14ac:dyDescent="0.35">
      <c r="A14252" s="9" t="str">
        <f>HYPERLINK("http://www.ensembl.org/id/WBGene00014012", "WBGene00014012")</f>
        <v>WBGene00014012</v>
      </c>
      <c r="B14252" s="9" t="str">
        <f>HYPERLINK("http://www.ncbi.nlm.nih.gov/gene/176387", "176387")</f>
        <v>176387</v>
      </c>
      <c r="C14252" s="9" t="str">
        <f>HYPERLINK("http://www.ncbi.nlm.nih.gov/gene/8780", "8780")</f>
        <v>8780</v>
      </c>
      <c r="D14252" t="str">
        <f>"riok-3"</f>
        <v>riok-3</v>
      </c>
      <c r="E14252" t="s">
        <v>7294</v>
      </c>
      <c r="F14252" t="s">
        <v>11</v>
      </c>
      <c r="G14252" t="s">
        <v>7295</v>
      </c>
      <c r="H14252" s="12">
        <v>-1.11797168795957</v>
      </c>
      <c r="I14252" s="20">
        <v>-0.56854132652733103</v>
      </c>
      <c r="J14252" s="28">
        <v>0.56966745242652295</v>
      </c>
      <c r="K14252" s="29">
        <v>0.98289565623980701</v>
      </c>
    </row>
    <row r="14253" spans="1:11" x14ac:dyDescent="0.35">
      <c r="A14253" s="9" t="str">
        <f>HYPERLINK("http://www.ensembl.org/id/WBGene00010973", "WBGene00010973")</f>
        <v>WBGene00010973</v>
      </c>
      <c r="B14253" s="9" t="str">
        <f>HYPERLINK("http://www.ncbi.nlm.nih.gov/gene/187515", "187515")</f>
        <v>187515</v>
      </c>
      <c r="C14253" s="9"/>
      <c r="D14253" t="str">
        <f>"rip-1"</f>
        <v>rip-1</v>
      </c>
      <c r="E14253" t="s">
        <v>8825</v>
      </c>
      <c r="F14253" t="s">
        <v>11</v>
      </c>
      <c r="G14253" t="s">
        <v>8826</v>
      </c>
      <c r="H14253" s="12">
        <v>-1.1997346248718499</v>
      </c>
      <c r="I14253" s="20">
        <v>-0.345353144788143</v>
      </c>
      <c r="J14253" s="28">
        <v>0.72982889767673897</v>
      </c>
      <c r="K14253" s="29">
        <v>0.98289565623980701</v>
      </c>
    </row>
    <row r="14254" spans="1:11" x14ac:dyDescent="0.35">
      <c r="A14254" s="9" t="str">
        <f>HYPERLINK("http://www.ensembl.org/id/WBGene00004408", "WBGene00004408")</f>
        <v>WBGene00004408</v>
      </c>
      <c r="B14254" s="9" t="str">
        <f>HYPERLINK("http://www.ncbi.nlm.nih.gov/gene/172943", "172943")</f>
        <v>172943</v>
      </c>
      <c r="C14254" s="9" t="str">
        <f>HYPERLINK("http://www.ncbi.nlm.nih.gov/gene/6175", "6175")</f>
        <v>6175</v>
      </c>
      <c r="D14254" t="str">
        <f>"rla-0"</f>
        <v>rla-0</v>
      </c>
      <c r="E14254" t="s">
        <v>8881</v>
      </c>
      <c r="F14254" t="s">
        <v>11</v>
      </c>
      <c r="G14254" t="s">
        <v>8882</v>
      </c>
      <c r="H14254" s="12">
        <v>-1.2046583425389901</v>
      </c>
      <c r="I14254" s="20">
        <v>-1.00233834914419</v>
      </c>
      <c r="J14254" s="28">
        <v>0.31618020685460402</v>
      </c>
      <c r="K14254" s="29">
        <v>0.98289565623980701</v>
      </c>
    </row>
    <row r="14255" spans="1:11" x14ac:dyDescent="0.35">
      <c r="A14255" s="9" t="str">
        <f>HYPERLINK("http://www.ensembl.org/id/WBGene00004409", "WBGene00004409")</f>
        <v>WBGene00004409</v>
      </c>
      <c r="B14255" s="9" t="str">
        <f>HYPERLINK("http://www.ncbi.nlm.nih.gov/gene/171766", "171766")</f>
        <v>171766</v>
      </c>
      <c r="C14255" s="9"/>
      <c r="D14255" t="str">
        <f>"rla-1"</f>
        <v>rla-1</v>
      </c>
      <c r="E14255" t="s">
        <v>7511</v>
      </c>
      <c r="F14255" t="s">
        <v>11</v>
      </c>
      <c r="G14255" t="s">
        <v>7512</v>
      </c>
      <c r="H14255" s="12">
        <v>-1.1302258957778599</v>
      </c>
      <c r="I14255" s="20">
        <v>-0.647395646926891</v>
      </c>
      <c r="J14255" s="28">
        <v>0.517375912522824</v>
      </c>
      <c r="K14255" s="29">
        <v>0.98289565623980701</v>
      </c>
    </row>
    <row r="14256" spans="1:11" x14ac:dyDescent="0.35">
      <c r="A14256" s="9" t="str">
        <f>HYPERLINK("http://www.ensembl.org/id/WBGene00004410", "WBGene00004410")</f>
        <v>WBGene00004410</v>
      </c>
      <c r="B14256" s="9" t="str">
        <f>HYPERLINK("http://www.ncbi.nlm.nih.gov/gene/178297", "178297")</f>
        <v>178297</v>
      </c>
      <c r="C14256" s="9"/>
      <c r="D14256" t="str">
        <f>"rla-2"</f>
        <v>rla-2</v>
      </c>
      <c r="E14256" t="s">
        <v>7730</v>
      </c>
      <c r="F14256" t="s">
        <v>11</v>
      </c>
      <c r="G14256" t="s">
        <v>7731</v>
      </c>
      <c r="H14256" s="12">
        <v>-1.1417331070110499</v>
      </c>
      <c r="I14256" s="20">
        <v>-0.71672217529050197</v>
      </c>
      <c r="J14256" s="28">
        <v>0.47354554021831302</v>
      </c>
      <c r="K14256" s="29">
        <v>0.98289565623980701</v>
      </c>
    </row>
    <row r="14257" spans="1:11" x14ac:dyDescent="0.35">
      <c r="A14257" s="9" t="str">
        <f>HYPERLINK("http://www.ensembl.org/id/WBGene00011970", "WBGene00011970")</f>
        <v>WBGene00011970</v>
      </c>
      <c r="B14257" s="9" t="str">
        <f>HYPERLINK("http://www.ncbi.nlm.nih.gov/gene/172530", "172530")</f>
        <v>172530</v>
      </c>
      <c r="C14257" s="9"/>
      <c r="D14257" t="str">
        <f>"rlbp-1"</f>
        <v>rlbp-1</v>
      </c>
      <c r="E14257" t="s">
        <v>8473</v>
      </c>
      <c r="F14257" t="s">
        <v>11</v>
      </c>
      <c r="G14257" t="s">
        <v>8474</v>
      </c>
      <c r="H14257" s="12">
        <v>-1.17953164807053</v>
      </c>
      <c r="I14257" s="20">
        <v>-0.86368343997068198</v>
      </c>
      <c r="J14257" s="28">
        <v>0.38776181313658897</v>
      </c>
      <c r="K14257" s="29">
        <v>0.98289565623980701</v>
      </c>
    </row>
    <row r="14258" spans="1:11" x14ac:dyDescent="0.35">
      <c r="A14258" s="9" t="str">
        <f>HYPERLINK("http://www.ensembl.org/id/WBGene00010923", "WBGene00010923")</f>
        <v>WBGene00010923</v>
      </c>
      <c r="B14258" s="9" t="str">
        <f>HYPERLINK("http://www.ncbi.nlm.nih.gov/gene/176525", "176525")</f>
        <v>176525</v>
      </c>
      <c r="C14258" s="9"/>
      <c r="D14258" t="str">
        <f>"rle-1"</f>
        <v>rle-1</v>
      </c>
      <c r="E14258" t="s">
        <v>6758</v>
      </c>
      <c r="F14258" t="s">
        <v>11</v>
      </c>
      <c r="G14258" t="s">
        <v>6759</v>
      </c>
      <c r="H14258" s="12">
        <v>-1.0879003485041201</v>
      </c>
      <c r="I14258" s="20">
        <v>-0.450935108930208</v>
      </c>
      <c r="J14258" s="28">
        <v>0.65203631855462796</v>
      </c>
      <c r="K14258" s="29">
        <v>0.98289565623980701</v>
      </c>
    </row>
    <row r="14259" spans="1:11" x14ac:dyDescent="0.35">
      <c r="A14259" s="9" t="str">
        <f>HYPERLINK("http://www.ensembl.org/id/WBGene00007786", "WBGene00007786")</f>
        <v>WBGene00007786</v>
      </c>
      <c r="B14259" s="9" t="str">
        <f>HYPERLINK("http://www.ncbi.nlm.nih.gov/gene/179391", "179391")</f>
        <v>179391</v>
      </c>
      <c r="C14259" s="9"/>
      <c r="D14259" t="str">
        <f>"rmd-2"</f>
        <v>rmd-2</v>
      </c>
      <c r="E14259" t="s">
        <v>4319</v>
      </c>
      <c r="F14259" t="s">
        <v>11</v>
      </c>
      <c r="G14259" t="s">
        <v>8828</v>
      </c>
      <c r="H14259" s="12">
        <v>-1.19991097753538</v>
      </c>
      <c r="I14259" s="20">
        <v>-1.0183931454172299</v>
      </c>
      <c r="J14259" s="28">
        <v>0.30849115840185898</v>
      </c>
      <c r="K14259" s="29">
        <v>0.98289565623980701</v>
      </c>
    </row>
    <row r="14260" spans="1:11" x14ac:dyDescent="0.35">
      <c r="A14260" s="9" t="str">
        <f>HYPERLINK("http://www.ensembl.org/id/WBGene00018125", "WBGene00018125")</f>
        <v>WBGene00018125</v>
      </c>
      <c r="B14260" s="9"/>
      <c r="C14260" s="9"/>
      <c r="D14260" t="str">
        <f>"rmd-4"</f>
        <v>rmd-4</v>
      </c>
      <c r="F14260" t="s">
        <v>80</v>
      </c>
      <c r="H14260" s="12">
        <v>-4.7167679298615104</v>
      </c>
      <c r="I14260" s="20">
        <v>-0.454742638005115</v>
      </c>
      <c r="J14260" s="28">
        <v>0.64929440216969203</v>
      </c>
      <c r="K14260" s="29">
        <v>0.98289565623980701</v>
      </c>
    </row>
    <row r="14261" spans="1:11" x14ac:dyDescent="0.35">
      <c r="A14261" s="9" t="str">
        <f>HYPERLINK("http://www.ensembl.org/id/WBGene00020070", "WBGene00020070")</f>
        <v>WBGene00020070</v>
      </c>
      <c r="B14261" s="9" t="str">
        <f>HYPERLINK("http://www.ncbi.nlm.nih.gov/gene/177278", "177278")</f>
        <v>177278</v>
      </c>
      <c r="C14261" s="9"/>
      <c r="D14261" t="str">
        <f>"rmd-6"</f>
        <v>rmd-6</v>
      </c>
      <c r="E14261" t="s">
        <v>4319</v>
      </c>
      <c r="F14261" t="s">
        <v>11</v>
      </c>
      <c r="G14261" t="s">
        <v>4320</v>
      </c>
      <c r="H14261" s="12">
        <v>3.12390427838382</v>
      </c>
      <c r="I14261" s="20">
        <v>0.64707934638439801</v>
      </c>
      <c r="J14261" s="28">
        <v>0.51758059160542802</v>
      </c>
      <c r="K14261" s="29">
        <v>0.98289565623980701</v>
      </c>
    </row>
    <row r="14262" spans="1:11" x14ac:dyDescent="0.35">
      <c r="A14262" s="9" t="str">
        <f>HYPERLINK("http://www.ensembl.org/id/WBGene00004373", "WBGene00004373")</f>
        <v>WBGene00004373</v>
      </c>
      <c r="B14262" s="9" t="str">
        <f>HYPERLINK("http://www.ncbi.nlm.nih.gov/gene/179010", "179010")</f>
        <v>179010</v>
      </c>
      <c r="C14262" s="9" t="str">
        <f>HYPERLINK("http://www.ncbi.nlm.nih.gov/gene/10938", "10938")</f>
        <v>10938</v>
      </c>
      <c r="D14262" t="str">
        <f>"rme-1"</f>
        <v>rme-1</v>
      </c>
      <c r="E14262" t="s">
        <v>44</v>
      </c>
      <c r="F14262" t="s">
        <v>11</v>
      </c>
      <c r="G14262" t="s">
        <v>7299</v>
      </c>
      <c r="H14262" s="12">
        <v>-1.1183670872440099</v>
      </c>
      <c r="I14262" s="20">
        <v>-0.60205685495044703</v>
      </c>
      <c r="J14262" s="28">
        <v>0.54713629262427399</v>
      </c>
      <c r="K14262" s="29">
        <v>0.98289565623980701</v>
      </c>
    </row>
    <row r="14263" spans="1:11" x14ac:dyDescent="0.35">
      <c r="A14263" s="9" t="str">
        <f>HYPERLINK("http://www.ensembl.org/id/WBGene00004375", "WBGene00004375")</f>
        <v>WBGene00004375</v>
      </c>
      <c r="B14263" s="9" t="str">
        <f>HYPERLINK("http://www.ncbi.nlm.nih.gov/gene/185870", "185870")</f>
        <v>185870</v>
      </c>
      <c r="C14263" s="9"/>
      <c r="D14263" t="str">
        <f>"rme-4"</f>
        <v>rme-4</v>
      </c>
      <c r="E14263" t="s">
        <v>44</v>
      </c>
      <c r="F14263" t="s">
        <v>11</v>
      </c>
      <c r="G14263" t="s">
        <v>6660</v>
      </c>
      <c r="H14263" s="12">
        <v>-1.0835389158753701</v>
      </c>
      <c r="I14263" s="20">
        <v>-0.41108385544326698</v>
      </c>
      <c r="J14263" s="28">
        <v>0.68101104772981202</v>
      </c>
      <c r="K14263" s="29">
        <v>0.98289565623980701</v>
      </c>
    </row>
    <row r="14264" spans="1:11" x14ac:dyDescent="0.35">
      <c r="A14264" s="9" t="str">
        <f>HYPERLINK("http://www.ensembl.org/id/WBGene00004378", "WBGene00004378")</f>
        <v>WBGene00004378</v>
      </c>
      <c r="B14264" s="9" t="str">
        <f>HYPERLINK("http://www.ncbi.nlm.nih.gov/gene/172594", "172594")</f>
        <v>172594</v>
      </c>
      <c r="C14264" s="9" t="str">
        <f>HYPERLINK("http://www.ncbi.nlm.nih.gov/gene/23317", "23317")</f>
        <v>23317</v>
      </c>
      <c r="D14264" t="str">
        <f>"rme-8"</f>
        <v>rme-8</v>
      </c>
      <c r="E14264" t="s">
        <v>9046</v>
      </c>
      <c r="F14264" t="s">
        <v>11</v>
      </c>
      <c r="G14264" t="s">
        <v>9047</v>
      </c>
      <c r="H14264" s="12">
        <v>-1.2168088697970101</v>
      </c>
      <c r="I14264" s="20">
        <v>-1.0549319899130301</v>
      </c>
      <c r="J14264" s="28">
        <v>0.291456430351338</v>
      </c>
      <c r="K14264" s="29">
        <v>0.98289565623980701</v>
      </c>
    </row>
    <row r="14265" spans="1:11" x14ac:dyDescent="0.35">
      <c r="A14265" s="9" t="str">
        <f>HYPERLINK("http://www.ensembl.org/id/WBGene00010476", "WBGene00010476")</f>
        <v>WBGene00010476</v>
      </c>
      <c r="B14265" s="9" t="str">
        <f>HYPERLINK("http://www.ncbi.nlm.nih.gov/gene/176507", "176507")</f>
        <v>176507</v>
      </c>
      <c r="C14265" s="9"/>
      <c r="D14265" t="str">
        <f>"rnf-113"</f>
        <v>rnf-113</v>
      </c>
      <c r="E14265" t="s">
        <v>8636</v>
      </c>
      <c r="F14265" t="s">
        <v>11</v>
      </c>
      <c r="G14265" t="s">
        <v>8637</v>
      </c>
      <c r="H14265" s="12">
        <v>-1.18804938268092</v>
      </c>
      <c r="I14265" s="20">
        <v>-0.84594208414265104</v>
      </c>
      <c r="J14265" s="28">
        <v>0.39758505393529697</v>
      </c>
      <c r="K14265" s="29">
        <v>0.98289565623980701</v>
      </c>
    </row>
    <row r="14266" spans="1:11" x14ac:dyDescent="0.35">
      <c r="A14266" s="9" t="str">
        <f>HYPERLINK("http://www.ensembl.org/id/WBGene00022471", "WBGene00022471")</f>
        <v>WBGene00022471</v>
      </c>
      <c r="B14266" s="9" t="str">
        <f>HYPERLINK("http://www.ncbi.nlm.nih.gov/gene/172053", "172053")</f>
        <v>172053</v>
      </c>
      <c r="C14266" s="9"/>
      <c r="D14266" t="str">
        <f>"rnf-145"</f>
        <v>rnf-145</v>
      </c>
      <c r="E14266" t="s">
        <v>1638</v>
      </c>
      <c r="F14266" t="s">
        <v>11</v>
      </c>
      <c r="G14266" t="s">
        <v>5246</v>
      </c>
      <c r="H14266" s="12">
        <v>1.2064669963392001</v>
      </c>
      <c r="I14266" s="20">
        <v>0.92423527762166802</v>
      </c>
      <c r="J14266" s="28">
        <v>0.35536383207771699</v>
      </c>
      <c r="K14266" s="29">
        <v>0.98289565623980701</v>
      </c>
    </row>
    <row r="14267" spans="1:11" x14ac:dyDescent="0.35">
      <c r="A14267" s="9" t="str">
        <f>HYPERLINK("http://www.ensembl.org/id/WBGene00004381", "WBGene00004381")</f>
        <v>WBGene00004381</v>
      </c>
      <c r="B14267" s="9" t="str">
        <f>HYPERLINK("http://www.ncbi.nlm.nih.gov/gene/175532", "175532")</f>
        <v>175532</v>
      </c>
      <c r="C14267" s="9" t="str">
        <f>HYPERLINK("http://www.ncbi.nlm.nih.gov/gene/91445", "91445")</f>
        <v>91445</v>
      </c>
      <c r="D14267" t="str">
        <f>"rnf-5"</f>
        <v>rnf-5</v>
      </c>
      <c r="E14267" t="s">
        <v>7482</v>
      </c>
      <c r="F14267" t="s">
        <v>11</v>
      </c>
      <c r="G14267" t="s">
        <v>7483</v>
      </c>
      <c r="H14267" s="12">
        <v>-1.1285779215115199</v>
      </c>
      <c r="I14267" s="20">
        <v>-0.61893717703789597</v>
      </c>
      <c r="J14267" s="28">
        <v>0.53595774594448597</v>
      </c>
      <c r="K14267" s="29">
        <v>0.98289565623980701</v>
      </c>
    </row>
    <row r="14268" spans="1:11" x14ac:dyDescent="0.35">
      <c r="A14268" s="9" t="str">
        <f>HYPERLINK("http://www.ensembl.org/id/WBGene00004382", "WBGene00004382")</f>
        <v>WBGene00004382</v>
      </c>
      <c r="B14268" s="9" t="str">
        <f>HYPERLINK("http://www.ncbi.nlm.nih.gov/gene/3565940", "3565940")</f>
        <v>3565940</v>
      </c>
      <c r="C14268" s="9" t="str">
        <f>HYPERLINK("http://www.ncbi.nlm.nih.gov/gene/246243", "246243")</f>
        <v>246243</v>
      </c>
      <c r="D14268" t="str">
        <f>"rnh-1.0"</f>
        <v>rnh-1.0</v>
      </c>
      <c r="E14268" t="s">
        <v>5953</v>
      </c>
      <c r="F14268" t="s">
        <v>11</v>
      </c>
      <c r="G14268" t="s">
        <v>5954</v>
      </c>
      <c r="H14268" s="12">
        <v>1.0803628688984299</v>
      </c>
      <c r="I14268" s="20">
        <v>0.39124696783165602</v>
      </c>
      <c r="J14268" s="28">
        <v>0.69561469428453104</v>
      </c>
      <c r="K14268" s="29">
        <v>0.98289565623980701</v>
      </c>
    </row>
    <row r="14269" spans="1:11" x14ac:dyDescent="0.35">
      <c r="A14269" s="9" t="str">
        <f>HYPERLINK("http://www.ensembl.org/id/WBGene00022888", "WBGene00022888")</f>
        <v>WBGene00022888</v>
      </c>
      <c r="B14269" s="9" t="str">
        <f>HYPERLINK("http://www.ncbi.nlm.nih.gov/gene/174222", "174222")</f>
        <v>174222</v>
      </c>
      <c r="C14269" s="9"/>
      <c r="D14269" t="str">
        <f>"rnh-1.1"</f>
        <v>rnh-1.1</v>
      </c>
      <c r="E14269" t="s">
        <v>436</v>
      </c>
      <c r="F14269" t="s">
        <v>11</v>
      </c>
      <c r="G14269" t="s">
        <v>437</v>
      </c>
      <c r="H14269" s="12">
        <v>1.71112647522382</v>
      </c>
      <c r="I14269" s="20">
        <v>0.50405067598989595</v>
      </c>
      <c r="J14269" s="28">
        <v>0.61422576649868099</v>
      </c>
      <c r="K14269" s="29">
        <v>0.98289565623980701</v>
      </c>
    </row>
    <row r="14270" spans="1:11" x14ac:dyDescent="0.35">
      <c r="A14270" s="9" t="str">
        <f>HYPERLINK("http://www.ensembl.org/id/WBGene00004385", "WBGene00004385")</f>
        <v>WBGene00004385</v>
      </c>
      <c r="B14270" s="9" t="str">
        <f>HYPERLINK("http://www.ncbi.nlm.nih.gov/gene/177181", "177181")</f>
        <v>177181</v>
      </c>
      <c r="C14270" s="9" t="str">
        <f>HYPERLINK("http://www.ncbi.nlm.nih.gov/gene/6626", "6626")</f>
        <v>6626</v>
      </c>
      <c r="D14270" t="str">
        <f>"rnp-2"</f>
        <v>rnp-2</v>
      </c>
      <c r="E14270" t="s">
        <v>174</v>
      </c>
      <c r="F14270" t="s">
        <v>11</v>
      </c>
      <c r="G14270" t="s">
        <v>9267</v>
      </c>
      <c r="H14270" s="12">
        <v>-1.2321404902483299</v>
      </c>
      <c r="I14270" s="20">
        <v>-0.92529984751319805</v>
      </c>
      <c r="J14270" s="28">
        <v>0.35480995805948101</v>
      </c>
      <c r="K14270" s="29">
        <v>0.98289565623980701</v>
      </c>
    </row>
    <row r="14271" spans="1:11" x14ac:dyDescent="0.35">
      <c r="A14271" s="9" t="str">
        <f>HYPERLINK("http://www.ensembl.org/id/WBGene00004386", "WBGene00004386")</f>
        <v>WBGene00004386</v>
      </c>
      <c r="B14271" s="9" t="str">
        <f>HYPERLINK("http://www.ncbi.nlm.nih.gov/gene/177182", "177182")</f>
        <v>177182</v>
      </c>
      <c r="C14271" s="9" t="str">
        <f>HYPERLINK("http://www.ncbi.nlm.nih.gov/gene/6629", "6629")</f>
        <v>6629</v>
      </c>
      <c r="D14271" t="str">
        <f>"rnp-3"</f>
        <v>rnp-3</v>
      </c>
      <c r="E14271" t="s">
        <v>174</v>
      </c>
      <c r="F14271" t="s">
        <v>11</v>
      </c>
      <c r="G14271" t="s">
        <v>6349</v>
      </c>
      <c r="H14271" s="12">
        <v>-1.0640976467060499</v>
      </c>
      <c r="I14271" s="20">
        <v>-0.27885509711984402</v>
      </c>
      <c r="J14271" s="28">
        <v>0.78035602940196802</v>
      </c>
      <c r="K14271" s="29">
        <v>0.98289565623980701</v>
      </c>
    </row>
    <row r="14272" spans="1:11" x14ac:dyDescent="0.35">
      <c r="A14272" s="9" t="str">
        <f>HYPERLINK("http://www.ensembl.org/id/WBGene00004387", "WBGene00004387")</f>
        <v>WBGene00004387</v>
      </c>
      <c r="B14272" s="9" t="str">
        <f>HYPERLINK("http://www.ncbi.nlm.nih.gov/gene/175572", "175572")</f>
        <v>175572</v>
      </c>
      <c r="C14272" s="9" t="str">
        <f>HYPERLINK("http://www.ncbi.nlm.nih.gov/gene/9939", "9939")</f>
        <v>9939</v>
      </c>
      <c r="D14272" t="str">
        <f>"rnp-4"</f>
        <v>rnp-4</v>
      </c>
      <c r="E14272" t="s">
        <v>9124</v>
      </c>
      <c r="F14272" t="s">
        <v>11</v>
      </c>
      <c r="G14272" t="s">
        <v>9125</v>
      </c>
      <c r="H14272" s="12">
        <v>-1.22261638479783</v>
      </c>
      <c r="I14272" s="20">
        <v>-0.95891884801622096</v>
      </c>
      <c r="J14272" s="28">
        <v>0.33759962886115502</v>
      </c>
      <c r="K14272" s="29">
        <v>0.98289565623980701</v>
      </c>
    </row>
    <row r="14273" spans="1:11" x14ac:dyDescent="0.35">
      <c r="A14273" s="9" t="str">
        <f>HYPERLINK("http://www.ensembl.org/id/WBGene00004388", "WBGene00004388")</f>
        <v>WBGene00004388</v>
      </c>
      <c r="B14273" s="9" t="str">
        <f>HYPERLINK("http://www.ncbi.nlm.nih.gov/gene/175244", "175244")</f>
        <v>175244</v>
      </c>
      <c r="C14273" s="9"/>
      <c r="D14273" t="str">
        <f>"rnp-5"</f>
        <v>rnp-5</v>
      </c>
      <c r="E14273" t="s">
        <v>174</v>
      </c>
      <c r="F14273" t="s">
        <v>11</v>
      </c>
      <c r="G14273" t="s">
        <v>9174</v>
      </c>
      <c r="H14273" s="12">
        <v>-1.2262127468053901</v>
      </c>
      <c r="I14273" s="20">
        <v>-0.84839976032115905</v>
      </c>
      <c r="J14273" s="28">
        <v>0.39621537610588098</v>
      </c>
      <c r="K14273" s="29">
        <v>0.98289565623980701</v>
      </c>
    </row>
    <row r="14274" spans="1:11" x14ac:dyDescent="0.35">
      <c r="A14274" s="9" t="str">
        <f>HYPERLINK("http://www.ensembl.org/id/WBGene00004389", "WBGene00004389")</f>
        <v>WBGene00004389</v>
      </c>
      <c r="B14274" s="9" t="str">
        <f>HYPERLINK("http://www.ncbi.nlm.nih.gov/gene/171922", "171922")</f>
        <v>171922</v>
      </c>
      <c r="C14274" s="9" t="str">
        <f>HYPERLINK("http://www.ncbi.nlm.nih.gov/gene/22827", "22827")</f>
        <v>22827</v>
      </c>
      <c r="D14274" t="str">
        <f>"rnp-6"</f>
        <v>rnp-6</v>
      </c>
      <c r="E14274" t="s">
        <v>174</v>
      </c>
      <c r="F14274" t="s">
        <v>11</v>
      </c>
      <c r="G14274" t="s">
        <v>8379</v>
      </c>
      <c r="H14274" s="12">
        <v>-1.17421585554829</v>
      </c>
      <c r="I14274" s="20">
        <v>-0.81347393020041003</v>
      </c>
      <c r="J14274" s="28">
        <v>0.41594638723622002</v>
      </c>
      <c r="K14274" s="29">
        <v>0.98289565623980701</v>
      </c>
    </row>
    <row r="14275" spans="1:11" x14ac:dyDescent="0.35">
      <c r="A14275" s="9" t="str">
        <f>HYPERLINK("http://www.ensembl.org/id/WBGene00004392", "WBGene00004392")</f>
        <v>WBGene00004392</v>
      </c>
      <c r="B14275" s="9" t="str">
        <f>HYPERLINK("http://www.ncbi.nlm.nih.gov/gene/175525", "175525")</f>
        <v>175525</v>
      </c>
      <c r="C14275" s="9" t="str">
        <f>HYPERLINK("http://www.ncbi.nlm.nih.gov/gene/6241", "6241")</f>
        <v>6241</v>
      </c>
      <c r="D14275" t="str">
        <f>"rnr-2"</f>
        <v>rnr-2</v>
      </c>
      <c r="E14275" t="s">
        <v>9575</v>
      </c>
      <c r="F14275" t="s">
        <v>11</v>
      </c>
      <c r="G14275" t="s">
        <v>9576</v>
      </c>
      <c r="H14275" s="12">
        <v>-1.2604979896472199</v>
      </c>
      <c r="I14275" s="20">
        <v>-0.95511314756176602</v>
      </c>
      <c r="J14275" s="28">
        <v>0.339520480882741</v>
      </c>
      <c r="K14275" s="29">
        <v>0.98289565623980701</v>
      </c>
    </row>
    <row r="14276" spans="1:11" x14ac:dyDescent="0.35">
      <c r="A14276" s="9" t="str">
        <f>HYPERLINK("http://www.ensembl.org/id/WBGene00019624", "WBGene00019624")</f>
        <v>WBGene00019624</v>
      </c>
      <c r="B14276" s="9" t="str">
        <f>HYPERLINK("http://www.ncbi.nlm.nih.gov/gene/190096", "190096")</f>
        <v>190096</v>
      </c>
      <c r="C14276" s="9" t="str">
        <f>HYPERLINK("http://www.ncbi.nlm.nih.gov/gene/8635", "8635")</f>
        <v>8635</v>
      </c>
      <c r="D14276" t="str">
        <f>"rnst-2"</f>
        <v>rnst-2</v>
      </c>
      <c r="F14276" t="s">
        <v>11</v>
      </c>
      <c r="G14276" t="s">
        <v>5106</v>
      </c>
      <c r="H14276" s="12">
        <v>1.2390845110411099</v>
      </c>
      <c r="I14276" s="20">
        <v>1.0335693521206299</v>
      </c>
      <c r="J14276" s="28">
        <v>0.30133753323919599</v>
      </c>
      <c r="K14276" s="29">
        <v>0.98289565623980701</v>
      </c>
    </row>
    <row r="14277" spans="1:11" x14ac:dyDescent="0.35">
      <c r="A14277" s="9" t="str">
        <f>HYPERLINK("http://www.ensembl.org/id/WBGene00004397", "WBGene00004397")</f>
        <v>WBGene00004397</v>
      </c>
      <c r="B14277" s="9" t="str">
        <f>HYPERLINK("http://www.ncbi.nlm.nih.gov/gene/174397", "174397")</f>
        <v>174397</v>
      </c>
      <c r="C14277" s="9"/>
      <c r="D14277" t="str">
        <f>"rol-6"</f>
        <v>rol-6</v>
      </c>
      <c r="E14277" t="s">
        <v>4502</v>
      </c>
      <c r="F14277" t="s">
        <v>11</v>
      </c>
      <c r="G14277" t="s">
        <v>4503</v>
      </c>
      <c r="H14277" s="12">
        <v>1.84054929547924</v>
      </c>
      <c r="I14277" s="20">
        <v>0.65863818734195201</v>
      </c>
      <c r="J14277" s="28">
        <v>0.51012813470384299</v>
      </c>
      <c r="K14277" s="29">
        <v>0.98289565623980701</v>
      </c>
    </row>
    <row r="14278" spans="1:11" x14ac:dyDescent="0.35">
      <c r="A14278" s="9" t="str">
        <f>HYPERLINK("http://www.ensembl.org/id/WBGene00004400", "WBGene00004400")</f>
        <v>WBGene00004400</v>
      </c>
      <c r="B14278" s="9" t="str">
        <f>HYPERLINK("http://www.ncbi.nlm.nih.gov/gene/184989", "184989")</f>
        <v>184989</v>
      </c>
      <c r="C14278" s="9" t="str">
        <f>HYPERLINK("http://www.ncbi.nlm.nih.gov/gene/54933", "54933")</f>
        <v>54933</v>
      </c>
      <c r="D14278" t="str">
        <f>"rom-1"</f>
        <v>rom-1</v>
      </c>
      <c r="E14278" t="s">
        <v>6940</v>
      </c>
      <c r="F14278" t="s">
        <v>11</v>
      </c>
      <c r="G14278" t="s">
        <v>6941</v>
      </c>
      <c r="H14278" s="12">
        <v>-1.0988611239964301</v>
      </c>
      <c r="I14278" s="20">
        <v>-0.37876045970082201</v>
      </c>
      <c r="J14278" s="28">
        <v>0.70486575203131796</v>
      </c>
      <c r="K14278" s="29">
        <v>0.98289565623980701</v>
      </c>
    </row>
    <row r="14279" spans="1:11" x14ac:dyDescent="0.35">
      <c r="A14279" s="9" t="str">
        <f>HYPERLINK("http://www.ensembl.org/id/WBGene00004401", "WBGene00004401")</f>
        <v>WBGene00004401</v>
      </c>
      <c r="B14279" s="9" t="str">
        <f>HYPERLINK("http://www.ncbi.nlm.nih.gov/gene/183564", "183564")</f>
        <v>183564</v>
      </c>
      <c r="C14279" s="9"/>
      <c r="D14279" t="str">
        <f>"rom-2"</f>
        <v>rom-2</v>
      </c>
      <c r="E14279" t="s">
        <v>5527</v>
      </c>
      <c r="F14279" t="s">
        <v>11</v>
      </c>
      <c r="G14279" t="s">
        <v>5528</v>
      </c>
      <c r="H14279" s="12">
        <v>1.15019493912575</v>
      </c>
      <c r="I14279" s="20">
        <v>0.33538104828285298</v>
      </c>
      <c r="J14279" s="28">
        <v>0.73733766224213704</v>
      </c>
      <c r="K14279" s="29">
        <v>0.98289565623980701</v>
      </c>
    </row>
    <row r="14280" spans="1:11" x14ac:dyDescent="0.35">
      <c r="A14280" s="9" t="str">
        <f>HYPERLINK("http://www.ensembl.org/id/WBGene00004402", "WBGene00004402")</f>
        <v>WBGene00004402</v>
      </c>
      <c r="B14280" s="9" t="str">
        <f>HYPERLINK("http://www.ncbi.nlm.nih.gov/gene/191000", "191000")</f>
        <v>191000</v>
      </c>
      <c r="C14280" s="9" t="str">
        <f>HYPERLINK("http://www.ncbi.nlm.nih.gov/gene/79651", "79651")</f>
        <v>79651</v>
      </c>
      <c r="D14280" t="str">
        <f>"rom-3"</f>
        <v>rom-3</v>
      </c>
      <c r="E14280" t="s">
        <v>4285</v>
      </c>
      <c r="F14280" t="s">
        <v>11</v>
      </c>
      <c r="G14280" t="s">
        <v>4286</v>
      </c>
      <c r="H14280" s="12">
        <v>3.9990967312522598</v>
      </c>
      <c r="I14280" s="20">
        <v>0.73685490170808798</v>
      </c>
      <c r="J14280" s="28">
        <v>0.461210591891757</v>
      </c>
      <c r="K14280" s="29">
        <v>0.98289565623980701</v>
      </c>
    </row>
    <row r="14281" spans="1:11" x14ac:dyDescent="0.35">
      <c r="A14281" s="9" t="str">
        <f>HYPERLINK("http://www.ensembl.org/id/WBGene00004403", "WBGene00004403")</f>
        <v>WBGene00004403</v>
      </c>
      <c r="B14281" s="9" t="str">
        <f>HYPERLINK("http://www.ncbi.nlm.nih.gov/gene/3565076", "3565076")</f>
        <v>3565076</v>
      </c>
      <c r="C14281" s="9" t="str">
        <f>HYPERLINK("http://www.ncbi.nlm.nih.gov/gene/79651", "79651")</f>
        <v>79651</v>
      </c>
      <c r="D14281" t="str">
        <f>"rom-4"</f>
        <v>rom-4</v>
      </c>
      <c r="E14281" t="s">
        <v>4285</v>
      </c>
      <c r="F14281" t="s">
        <v>11</v>
      </c>
      <c r="G14281" t="s">
        <v>4286</v>
      </c>
      <c r="H14281" s="12">
        <v>-1.0779275230021601</v>
      </c>
      <c r="I14281" s="20">
        <v>-0.36537305213774202</v>
      </c>
      <c r="J14281" s="28">
        <v>0.71483295409579595</v>
      </c>
      <c r="K14281" s="29">
        <v>0.98289565623980701</v>
      </c>
    </row>
    <row r="14282" spans="1:11" x14ac:dyDescent="0.35">
      <c r="A14282" s="9" t="str">
        <f>HYPERLINK("http://www.ensembl.org/id/WBGene00004404", "WBGene00004404")</f>
        <v>WBGene00004404</v>
      </c>
      <c r="B14282" s="9" t="str">
        <f>HYPERLINK("http://www.ncbi.nlm.nih.gov/gene/190260", "190260")</f>
        <v>190260</v>
      </c>
      <c r="C14282" s="9"/>
      <c r="D14282" t="str">
        <f>"rom-5"</f>
        <v>rom-5</v>
      </c>
      <c r="E14282" t="s">
        <v>4285</v>
      </c>
      <c r="F14282" t="s">
        <v>11</v>
      </c>
      <c r="G14282" t="s">
        <v>8244</v>
      </c>
      <c r="H14282" s="12">
        <v>-1.1673204814795399</v>
      </c>
      <c r="I14282" s="20">
        <v>-0.68109838472471895</v>
      </c>
      <c r="J14282" s="28">
        <v>0.49580923908286201</v>
      </c>
      <c r="K14282" s="29">
        <v>0.98289565623980701</v>
      </c>
    </row>
    <row r="14283" spans="1:11" x14ac:dyDescent="0.35">
      <c r="A14283" s="9" t="str">
        <f>HYPERLINK("http://www.ensembl.org/id/WBGene00008860", "WBGene00008860")</f>
        <v>WBGene00008860</v>
      </c>
      <c r="B14283" s="9" t="str">
        <f>HYPERLINK("http://www.ncbi.nlm.nih.gov/gene/174968", "174968")</f>
        <v>174968</v>
      </c>
      <c r="C14283" s="9"/>
      <c r="D14283" t="str">
        <f>"romo-1"</f>
        <v>romo-1</v>
      </c>
      <c r="E14283" t="s">
        <v>9755</v>
      </c>
      <c r="F14283" t="s">
        <v>11</v>
      </c>
      <c r="G14283" t="s">
        <v>4308</v>
      </c>
      <c r="H14283" s="12">
        <v>-1.29401512907326</v>
      </c>
      <c r="I14283" s="20">
        <v>-1.1582085481340001</v>
      </c>
      <c r="J14283" s="28">
        <v>0.24677894077708601</v>
      </c>
      <c r="K14283" s="29">
        <v>0.98289565623980701</v>
      </c>
    </row>
    <row r="14284" spans="1:11" x14ac:dyDescent="0.35">
      <c r="A14284" s="9" t="str">
        <f>HYPERLINK("http://www.ensembl.org/id/WBGene00009508", "WBGene00009508")</f>
        <v>WBGene00009508</v>
      </c>
      <c r="B14284" s="9" t="str">
        <f>HYPERLINK("http://www.ncbi.nlm.nih.gov/gene/172928", "172928")</f>
        <v>172928</v>
      </c>
      <c r="C14284" s="9"/>
      <c r="D14284" t="str">
        <f>"row-1"</f>
        <v>row-1</v>
      </c>
      <c r="E14284" t="s">
        <v>7760</v>
      </c>
      <c r="F14284" t="s">
        <v>11</v>
      </c>
      <c r="G14284" t="s">
        <v>7761</v>
      </c>
      <c r="H14284" s="12">
        <v>-1.1427985619677901</v>
      </c>
      <c r="I14284" s="20">
        <v>-0.62686689797762396</v>
      </c>
      <c r="J14284" s="28">
        <v>0.53074648727233098</v>
      </c>
      <c r="K14284" s="29">
        <v>0.98289565623980701</v>
      </c>
    </row>
    <row r="14285" spans="1:11" x14ac:dyDescent="0.35">
      <c r="A14285" s="9" t="str">
        <f>HYPERLINK("http://www.ensembl.org/id/WBGene00017546", "WBGene00017546")</f>
        <v>WBGene00017546</v>
      </c>
      <c r="B14285" s="9" t="str">
        <f>HYPERLINK("http://www.ncbi.nlm.nih.gov/gene/174238", "174238")</f>
        <v>174238</v>
      </c>
      <c r="C14285" s="9"/>
      <c r="D14285" t="str">
        <f>"rpa-1"</f>
        <v>rpa-1</v>
      </c>
      <c r="E14285" t="s">
        <v>9604</v>
      </c>
      <c r="F14285" t="s">
        <v>11</v>
      </c>
      <c r="G14285" t="s">
        <v>9605</v>
      </c>
      <c r="H14285" s="12">
        <v>-1.2630008481392001</v>
      </c>
      <c r="I14285" s="20">
        <v>-1.1047250018035599</v>
      </c>
      <c r="J14285" s="28">
        <v>0.26927876646622501</v>
      </c>
      <c r="K14285" s="29">
        <v>0.98289565623980701</v>
      </c>
    </row>
    <row r="14286" spans="1:11" x14ac:dyDescent="0.35">
      <c r="A14286" s="9" t="str">
        <f>HYPERLINK("http://www.ensembl.org/id/WBGene00019767", "WBGene00019767")</f>
        <v>WBGene00019767</v>
      </c>
      <c r="B14286" s="9" t="str">
        <f>HYPERLINK("http://www.ncbi.nlm.nih.gov/gene/172092", "172092")</f>
        <v>172092</v>
      </c>
      <c r="C14286" s="9"/>
      <c r="D14286" t="str">
        <f>"rpa-2"</f>
        <v>rpa-2</v>
      </c>
      <c r="E14286" t="s">
        <v>4925</v>
      </c>
      <c r="F14286" t="s">
        <v>11</v>
      </c>
      <c r="G14286" t="s">
        <v>7881</v>
      </c>
      <c r="H14286" s="12">
        <v>-1.14955662076206</v>
      </c>
      <c r="I14286" s="20">
        <v>-0.73101067142284304</v>
      </c>
      <c r="J14286" s="28">
        <v>0.46477263476733899</v>
      </c>
      <c r="K14286" s="29">
        <v>0.98289565623980701</v>
      </c>
    </row>
    <row r="14287" spans="1:11" x14ac:dyDescent="0.35">
      <c r="A14287" s="9" t="str">
        <f>HYPERLINK("http://www.ensembl.org/id/WBGene00019079", "WBGene00019079")</f>
        <v>WBGene00019079</v>
      </c>
      <c r="B14287" s="9" t="str">
        <f>HYPERLINK("http://www.ncbi.nlm.nih.gov/gene/186576", "186576")</f>
        <v>186576</v>
      </c>
      <c r="C14287" s="9"/>
      <c r="D14287" t="str">
        <f>"rpa-4"</f>
        <v>rpa-4</v>
      </c>
      <c r="E14287" t="s">
        <v>4925</v>
      </c>
      <c r="F14287" t="s">
        <v>11</v>
      </c>
      <c r="G14287" t="s">
        <v>4926</v>
      </c>
      <c r="H14287" s="12">
        <v>1.2963837485990299</v>
      </c>
      <c r="I14287" s="20">
        <v>0.58817649038235598</v>
      </c>
      <c r="J14287" s="28">
        <v>0.55641383569276404</v>
      </c>
      <c r="K14287" s="29">
        <v>0.98289565623980701</v>
      </c>
    </row>
    <row r="14288" spans="1:11" x14ac:dyDescent="0.35">
      <c r="A14288" s="9" t="str">
        <f>HYPERLINK("http://www.ensembl.org/id/WBGene00019275", "WBGene00019275")</f>
        <v>WBGene00019275</v>
      </c>
      <c r="B14288" s="9" t="str">
        <f>HYPERLINK("http://www.ncbi.nlm.nih.gov/gene/178823", "178823")</f>
        <v>178823</v>
      </c>
      <c r="C14288" s="9" t="str">
        <f>HYPERLINK("http://www.ncbi.nlm.nih.gov/gene/9533", "9533")</f>
        <v>9533</v>
      </c>
      <c r="D14288" t="str">
        <f>"rpac-40"</f>
        <v>rpac-40</v>
      </c>
      <c r="E14288" t="s">
        <v>9673</v>
      </c>
      <c r="F14288" t="s">
        <v>11</v>
      </c>
      <c r="G14288" t="s">
        <v>9674</v>
      </c>
      <c r="H14288" s="12">
        <v>-1.2763046897851</v>
      </c>
      <c r="I14288" s="20">
        <v>-1.05905924664687</v>
      </c>
      <c r="J14288" s="28">
        <v>0.28957279836786198</v>
      </c>
      <c r="K14288" s="29">
        <v>0.98289565623980701</v>
      </c>
    </row>
    <row r="14289" spans="1:11" x14ac:dyDescent="0.35">
      <c r="A14289" s="9" t="str">
        <f>HYPERLINK("http://www.ensembl.org/id/WBGene00016375", "WBGene00016375")</f>
        <v>WBGene00016375</v>
      </c>
      <c r="B14289" s="9" t="str">
        <f>HYPERLINK("http://www.ncbi.nlm.nih.gov/gene/183187", "183187")</f>
        <v>183187</v>
      </c>
      <c r="C14289" s="9"/>
      <c r="D14289" t="str">
        <f>"rpap-3"</f>
        <v>rpap-3</v>
      </c>
      <c r="E14289" t="s">
        <v>9431</v>
      </c>
      <c r="F14289" t="s">
        <v>11</v>
      </c>
      <c r="G14289" t="s">
        <v>9432</v>
      </c>
      <c r="H14289" s="12">
        <v>-1.2453847875792901</v>
      </c>
      <c r="I14289" s="20">
        <v>-0.94379726290361599</v>
      </c>
      <c r="J14289" s="28">
        <v>0.34527325957451699</v>
      </c>
      <c r="K14289" s="29">
        <v>0.98289565623980701</v>
      </c>
    </row>
    <row r="14290" spans="1:11" x14ac:dyDescent="0.35">
      <c r="A14290" s="9" t="str">
        <f>HYPERLINK("http://www.ensembl.org/id/WBGene00021347", "WBGene00021347")</f>
        <v>WBGene00021347</v>
      </c>
      <c r="B14290" s="9" t="str">
        <f>HYPERLINK("http://www.ncbi.nlm.nih.gov/gene/171763", "171763")</f>
        <v>171763</v>
      </c>
      <c r="C14290" s="9" t="str">
        <f>HYPERLINK("http://www.ncbi.nlm.nih.gov/gene/5441", "5441")</f>
        <v>5441</v>
      </c>
      <c r="D14290" t="str">
        <f>"rpb-10"</f>
        <v>rpb-10</v>
      </c>
      <c r="E14290" t="s">
        <v>8625</v>
      </c>
      <c r="F14290" t="s">
        <v>11</v>
      </c>
      <c r="G14290" t="s">
        <v>8626</v>
      </c>
      <c r="H14290" s="12">
        <v>-1.18746030666865</v>
      </c>
      <c r="I14290" s="20">
        <v>-0.66864106939838697</v>
      </c>
      <c r="J14290" s="28">
        <v>0.50372446771454504</v>
      </c>
      <c r="K14290" s="29">
        <v>0.98289565623980701</v>
      </c>
    </row>
    <row r="14291" spans="1:11" x14ac:dyDescent="0.35">
      <c r="A14291" s="9" t="str">
        <f>HYPERLINK("http://www.ensembl.org/id/WBGene00012187", "WBGene00012187")</f>
        <v>WBGene00012187</v>
      </c>
      <c r="B14291" s="9" t="str">
        <f>HYPERLINK("http://www.ncbi.nlm.nih.gov/gene/175056", "175056")</f>
        <v>175056</v>
      </c>
      <c r="C14291" s="9" t="str">
        <f>HYPERLINK("http://www.ncbi.nlm.nih.gov/gene/5439", "5439")</f>
        <v>5439</v>
      </c>
      <c r="D14291" t="str">
        <f>"rpb-11"</f>
        <v>rpb-11</v>
      </c>
      <c r="E14291" t="s">
        <v>8548</v>
      </c>
      <c r="F14291" t="s">
        <v>11</v>
      </c>
      <c r="G14291" t="s">
        <v>8549</v>
      </c>
      <c r="H14291" s="12">
        <v>-1.18287094803679</v>
      </c>
      <c r="I14291" s="20">
        <v>-0.68644176599509099</v>
      </c>
      <c r="J14291" s="28">
        <v>0.49243457460565698</v>
      </c>
      <c r="K14291" s="29">
        <v>0.98289565623980701</v>
      </c>
    </row>
    <row r="14292" spans="1:11" x14ac:dyDescent="0.35">
      <c r="A14292" s="9" t="str">
        <f>HYPERLINK("http://www.ensembl.org/id/WBGene00009078", "WBGene00009078")</f>
        <v>WBGene00009078</v>
      </c>
      <c r="B14292" s="9" t="str">
        <f>HYPERLINK("http://www.ncbi.nlm.nih.gov/gene/184886", "184886")</f>
        <v>184886</v>
      </c>
      <c r="C14292" s="9"/>
      <c r="D14292" t="str">
        <f>"rpb-12"</f>
        <v>rpb-12</v>
      </c>
      <c r="E14292" t="s">
        <v>1965</v>
      </c>
      <c r="F14292" t="s">
        <v>11</v>
      </c>
      <c r="G14292" t="s">
        <v>8990</v>
      </c>
      <c r="H14292" s="12">
        <v>-1.21217747513674</v>
      </c>
      <c r="I14292" s="20">
        <v>-0.76352761658346402</v>
      </c>
      <c r="J14292" s="28">
        <v>0.445148798791203</v>
      </c>
      <c r="K14292" s="29">
        <v>0.98289565623980701</v>
      </c>
    </row>
    <row r="14293" spans="1:11" x14ac:dyDescent="0.35">
      <c r="A14293" s="9" t="str">
        <f>HYPERLINK("http://www.ensembl.org/id/WBGene00016140", "WBGene00016140")</f>
        <v>WBGene00016140</v>
      </c>
      <c r="B14293" s="9" t="str">
        <f>HYPERLINK("http://www.ncbi.nlm.nih.gov/gene/175668", "175668")</f>
        <v>175668</v>
      </c>
      <c r="C14293" s="9" t="str">
        <f>HYPERLINK("http://www.ncbi.nlm.nih.gov/gene/5431", "5431")</f>
        <v>5431</v>
      </c>
      <c r="D14293" t="str">
        <f>"rpb-2"</f>
        <v>rpb-2</v>
      </c>
      <c r="E14293" t="s">
        <v>7266</v>
      </c>
      <c r="F14293" t="s">
        <v>11</v>
      </c>
      <c r="G14293" t="s">
        <v>7267</v>
      </c>
      <c r="H14293" s="12">
        <v>-1.1162051098139201</v>
      </c>
      <c r="I14293" s="20">
        <v>-0.55217577828395503</v>
      </c>
      <c r="J14293" s="28">
        <v>0.58082792773730196</v>
      </c>
      <c r="K14293" s="29">
        <v>0.98289565623980701</v>
      </c>
    </row>
    <row r="14294" spans="1:11" x14ac:dyDescent="0.35">
      <c r="A14294" s="9" t="str">
        <f>HYPERLINK("http://www.ensembl.org/id/WBGene00018391", "WBGene00018391")</f>
        <v>WBGene00018391</v>
      </c>
      <c r="B14294" s="9" t="str">
        <f>HYPERLINK("http://www.ncbi.nlm.nih.gov/gene/174208", "174208")</f>
        <v>174208</v>
      </c>
      <c r="C14294" s="9" t="str">
        <f>HYPERLINK("http://www.ncbi.nlm.nih.gov/gene/5433", "5433")</f>
        <v>5433</v>
      </c>
      <c r="D14294" t="str">
        <f>"rpb-4"</f>
        <v>rpb-4</v>
      </c>
      <c r="E14294" t="s">
        <v>1965</v>
      </c>
      <c r="F14294" t="s">
        <v>11</v>
      </c>
      <c r="G14294" t="s">
        <v>9321</v>
      </c>
      <c r="H14294" s="12">
        <v>-1.2378115384066199</v>
      </c>
      <c r="I14294" s="20">
        <v>-0.98395993912155399</v>
      </c>
      <c r="J14294" s="28">
        <v>0.32513521057678402</v>
      </c>
      <c r="K14294" s="29">
        <v>0.98289565623980701</v>
      </c>
    </row>
    <row r="14295" spans="1:11" x14ac:dyDescent="0.35">
      <c r="A14295" s="9" t="str">
        <f>HYPERLINK("http://www.ensembl.org/id/WBGene00019246", "WBGene00019246")</f>
        <v>WBGene00019246</v>
      </c>
      <c r="B14295" s="9" t="str">
        <f>HYPERLINK("http://www.ncbi.nlm.nih.gov/gene/172412", "172412")</f>
        <v>172412</v>
      </c>
      <c r="C14295" s="9"/>
      <c r="D14295" t="str">
        <f>"rpb-5"</f>
        <v>rpb-5</v>
      </c>
      <c r="E14295" t="s">
        <v>9723</v>
      </c>
      <c r="F14295" t="s">
        <v>11</v>
      </c>
      <c r="G14295" t="s">
        <v>9724</v>
      </c>
      <c r="H14295" s="12">
        <v>-1.28786161733487</v>
      </c>
      <c r="I14295" s="20">
        <v>-1.1538406355673401</v>
      </c>
      <c r="J14295" s="28">
        <v>0.24856551100445401</v>
      </c>
      <c r="K14295" s="29">
        <v>0.98289565623980701</v>
      </c>
    </row>
    <row r="14296" spans="1:11" x14ac:dyDescent="0.35">
      <c r="A14296" s="9" t="str">
        <f>HYPERLINK("http://www.ensembl.org/id/WBGene00007355", "WBGene00007355")</f>
        <v>WBGene00007355</v>
      </c>
      <c r="B14296" s="9" t="str">
        <f>HYPERLINK("http://www.ncbi.nlm.nih.gov/gene/174630", "174630")</f>
        <v>174630</v>
      </c>
      <c r="C14296" s="9" t="str">
        <f>HYPERLINK("http://www.ncbi.nlm.nih.gov/gene/5435", "5435")</f>
        <v>5435</v>
      </c>
      <c r="D14296" t="str">
        <f>"rpb-6"</f>
        <v>rpb-6</v>
      </c>
      <c r="E14296" t="s">
        <v>8614</v>
      </c>
      <c r="F14296" t="s">
        <v>11</v>
      </c>
      <c r="G14296" t="s">
        <v>8615</v>
      </c>
      <c r="H14296" s="12">
        <v>-1.18657520161057</v>
      </c>
      <c r="I14296" s="20">
        <v>-0.76930777497673997</v>
      </c>
      <c r="J14296" s="28">
        <v>0.44171062272740702</v>
      </c>
      <c r="K14296" s="29">
        <v>0.98289565623980701</v>
      </c>
    </row>
    <row r="14297" spans="1:11" x14ac:dyDescent="0.35">
      <c r="A14297" s="9" t="str">
        <f>HYPERLINK("http://www.ensembl.org/id/WBGene00021845", "WBGene00021845")</f>
        <v>WBGene00021845</v>
      </c>
      <c r="B14297" s="9" t="str">
        <f>HYPERLINK("http://www.ncbi.nlm.nih.gov/gene/171877", "171877")</f>
        <v>171877</v>
      </c>
      <c r="C14297" s="9" t="str">
        <f>HYPERLINK("http://www.ncbi.nlm.nih.gov/gene/5436", "5436")</f>
        <v>5436</v>
      </c>
      <c r="D14297" t="str">
        <f>"rpb-7"</f>
        <v>rpb-7</v>
      </c>
      <c r="E14297" t="s">
        <v>1965</v>
      </c>
      <c r="F14297" t="s">
        <v>11</v>
      </c>
      <c r="G14297" t="s">
        <v>9690</v>
      </c>
      <c r="H14297" s="12">
        <v>-1.2819633686102001</v>
      </c>
      <c r="I14297" s="20">
        <v>-1.1925986125817001</v>
      </c>
      <c r="J14297" s="28">
        <v>0.23302660948744799</v>
      </c>
      <c r="K14297" s="29">
        <v>0.98289565623980701</v>
      </c>
    </row>
    <row r="14298" spans="1:11" x14ac:dyDescent="0.35">
      <c r="A14298" s="9" t="str">
        <f>HYPERLINK("http://www.ensembl.org/id/WBGene00017830", "WBGene00017830")</f>
        <v>WBGene00017830</v>
      </c>
      <c r="B14298" s="9" t="str">
        <f>HYPERLINK("http://www.ncbi.nlm.nih.gov/gene/175660", "175660")</f>
        <v>175660</v>
      </c>
      <c r="C14298" s="9" t="str">
        <f>HYPERLINK("http://www.ncbi.nlm.nih.gov/gene/5437", "5437")</f>
        <v>5437</v>
      </c>
      <c r="D14298" t="str">
        <f>"rpb-8"</f>
        <v>rpb-8</v>
      </c>
      <c r="E14298" t="s">
        <v>9303</v>
      </c>
      <c r="F14298" t="s">
        <v>11</v>
      </c>
      <c r="G14298" t="s">
        <v>9304</v>
      </c>
      <c r="H14298" s="12">
        <v>-1.2360752829350301</v>
      </c>
      <c r="I14298" s="20">
        <v>-0.91878156086773799</v>
      </c>
      <c r="J14298" s="28">
        <v>0.35820983898451197</v>
      </c>
      <c r="K14298" s="29">
        <v>0.98289565623980701</v>
      </c>
    </row>
    <row r="14299" spans="1:11" x14ac:dyDescent="0.35">
      <c r="A14299" s="9" t="str">
        <f>HYPERLINK("http://www.ensembl.org/id/WBGene00022400", "WBGene00022400")</f>
        <v>WBGene00022400</v>
      </c>
      <c r="B14299" s="9" t="str">
        <f>HYPERLINK("http://www.ncbi.nlm.nih.gov/gene/179178", "179178")</f>
        <v>179178</v>
      </c>
      <c r="C14299" s="9" t="str">
        <f>HYPERLINK("http://www.ncbi.nlm.nih.gov/gene/5438", "5438")</f>
        <v>5438</v>
      </c>
      <c r="D14299" t="str">
        <f>"rpb-9"</f>
        <v>rpb-9</v>
      </c>
      <c r="E14299" t="s">
        <v>2533</v>
      </c>
      <c r="F14299" t="s">
        <v>11</v>
      </c>
      <c r="G14299" t="s">
        <v>8056</v>
      </c>
      <c r="H14299" s="12">
        <v>-1.1588487244786401</v>
      </c>
      <c r="I14299" s="20">
        <v>-0.74926620562223201</v>
      </c>
      <c r="J14299" s="28">
        <v>0.453696772257206</v>
      </c>
      <c r="K14299" s="29">
        <v>0.98289565623980701</v>
      </c>
    </row>
    <row r="14300" spans="1:11" x14ac:dyDescent="0.35">
      <c r="A14300" s="9" t="str">
        <f>HYPERLINK("http://www.ensembl.org/id/WBGene00022309", "WBGene00022309")</f>
        <v>WBGene00022309</v>
      </c>
      <c r="B14300" s="9" t="str">
        <f>HYPERLINK("http://www.ncbi.nlm.nih.gov/gene/176950", "176950")</f>
        <v>176950</v>
      </c>
      <c r="C14300" s="9" t="str">
        <f>HYPERLINK("http://www.ncbi.nlm.nih.gov/gene/51728", "51728")</f>
        <v>51728</v>
      </c>
      <c r="D14300" t="str">
        <f>"rpc-11"</f>
        <v>rpc-11</v>
      </c>
      <c r="E14300" t="s">
        <v>2533</v>
      </c>
      <c r="F14300" t="s">
        <v>11</v>
      </c>
      <c r="G14300" t="s">
        <v>7112</v>
      </c>
      <c r="H14300" s="12">
        <v>-1.1072891261220501</v>
      </c>
      <c r="I14300" s="20">
        <v>-0.33102310445469102</v>
      </c>
      <c r="J14300" s="28">
        <v>0.74062703363038696</v>
      </c>
      <c r="K14300" s="29">
        <v>0.98289565623980701</v>
      </c>
    </row>
    <row r="14301" spans="1:11" x14ac:dyDescent="0.35">
      <c r="A14301" s="9" t="str">
        <f>HYPERLINK("http://www.ensembl.org/id/WBGene00014111", "WBGene00014111")</f>
        <v>WBGene00014111</v>
      </c>
      <c r="B14301" s="9" t="str">
        <f>HYPERLINK("http://www.ncbi.nlm.nih.gov/gene/179418", "179418")</f>
        <v>179418</v>
      </c>
      <c r="C14301" s="9" t="str">
        <f>HYPERLINK("http://www.ncbi.nlm.nih.gov/gene/171568", "171568")</f>
        <v>171568</v>
      </c>
      <c r="D14301" t="str">
        <f>"rpc-25"</f>
        <v>rpc-25</v>
      </c>
      <c r="E14301" t="s">
        <v>9803</v>
      </c>
      <c r="F14301" t="s">
        <v>11</v>
      </c>
      <c r="G14301" t="s">
        <v>9804</v>
      </c>
      <c r="H14301" s="12">
        <v>-1.3070587431974201</v>
      </c>
      <c r="I14301" s="20">
        <v>-1.0521643417614299</v>
      </c>
      <c r="J14301" s="28">
        <v>0.292724156333668</v>
      </c>
      <c r="K14301" s="29">
        <v>0.98289565623980701</v>
      </c>
    </row>
    <row r="14302" spans="1:11" x14ac:dyDescent="0.35">
      <c r="A14302" s="9" t="str">
        <f>HYPERLINK("http://www.ensembl.org/id/WBGene00012332", "WBGene00012332")</f>
        <v>WBGene00012332</v>
      </c>
      <c r="B14302" s="9" t="str">
        <f>HYPERLINK("http://www.ncbi.nlm.nih.gov/gene/189281", "189281")</f>
        <v>189281</v>
      </c>
      <c r="C14302" s="9"/>
      <c r="D14302" t="str">
        <f>"rpi-1"</f>
        <v>rpi-1</v>
      </c>
      <c r="F14302" t="s">
        <v>11</v>
      </c>
      <c r="G14302" t="s">
        <v>4736</v>
      </c>
      <c r="H14302" s="12">
        <v>1.4309197902129001</v>
      </c>
      <c r="I14302" s="20">
        <v>0.87387213200205904</v>
      </c>
      <c r="J14302" s="28">
        <v>0.38218789274489501</v>
      </c>
      <c r="K14302" s="29">
        <v>0.98289565623980701</v>
      </c>
    </row>
    <row r="14303" spans="1:11" x14ac:dyDescent="0.35">
      <c r="A14303" s="9" t="str">
        <f>HYPERLINK("http://www.ensembl.org/id/WBGene00019536", "WBGene00019536")</f>
        <v>WBGene00019536</v>
      </c>
      <c r="B14303" s="9" t="str">
        <f>HYPERLINK("http://www.ncbi.nlm.nih.gov/gene/187156", "187156")</f>
        <v>187156</v>
      </c>
      <c r="C14303" s="9"/>
      <c r="D14303" t="str">
        <f>"rpi-2"</f>
        <v>rpi-2</v>
      </c>
      <c r="F14303" t="s">
        <v>11</v>
      </c>
      <c r="G14303" t="s">
        <v>4923</v>
      </c>
      <c r="H14303" s="12">
        <v>1.2978951926011999</v>
      </c>
      <c r="I14303" s="20">
        <v>0.53868577293685904</v>
      </c>
      <c r="J14303" s="28">
        <v>0.59010369215141301</v>
      </c>
      <c r="K14303" s="29">
        <v>0.98289565623980701</v>
      </c>
    </row>
    <row r="14304" spans="1:11" x14ac:dyDescent="0.35">
      <c r="A14304" s="9" t="str">
        <f>HYPERLINK("http://www.ensembl.org/id/WBGene00015101", "WBGene00015101")</f>
        <v>WBGene00015101</v>
      </c>
      <c r="B14304" s="9" t="str">
        <f>HYPERLINK("http://www.ncbi.nlm.nih.gov/gene/175995", "175995")</f>
        <v>175995</v>
      </c>
      <c r="C14304" s="9" t="str">
        <f>HYPERLINK("http://www.ncbi.nlm.nih.gov/gene/22934", "22934")</f>
        <v>22934</v>
      </c>
      <c r="D14304" t="str">
        <f>"rpia-1"</f>
        <v>rpia-1</v>
      </c>
      <c r="E14304" t="s">
        <v>6521</v>
      </c>
      <c r="F14304" t="s">
        <v>11</v>
      </c>
      <c r="G14304" t="s">
        <v>6522</v>
      </c>
      <c r="H14304" s="12">
        <v>-1.0732506848477501</v>
      </c>
      <c r="I14304" s="20">
        <v>-0.35495817070602997</v>
      </c>
      <c r="J14304" s="28">
        <v>0.72262092826303803</v>
      </c>
      <c r="K14304" s="29">
        <v>0.98289565623980701</v>
      </c>
    </row>
    <row r="14305" spans="1:11" x14ac:dyDescent="0.35">
      <c r="A14305" s="9" t="str">
        <f>HYPERLINK("http://www.ensembl.org/id/WBGene00004412", "WBGene00004412")</f>
        <v>WBGene00004412</v>
      </c>
      <c r="B14305" s="9" t="str">
        <f>HYPERLINK("http://www.ncbi.nlm.nih.gov/gene/171853", "171853")</f>
        <v>171853</v>
      </c>
      <c r="C14305" s="9" t="str">
        <f>HYPERLINK("http://www.ncbi.nlm.nih.gov/gene/4736", "4736")</f>
        <v>4736</v>
      </c>
      <c r="D14305" t="str">
        <f>"rpl-1"</f>
        <v>rpl-1</v>
      </c>
      <c r="E14305" t="s">
        <v>7569</v>
      </c>
      <c r="F14305" t="s">
        <v>11</v>
      </c>
      <c r="G14305" t="s">
        <v>7570</v>
      </c>
      <c r="H14305" s="12">
        <v>-1.1338500162279901</v>
      </c>
      <c r="I14305" s="20">
        <v>-0.67760283796936804</v>
      </c>
      <c r="J14305" s="28">
        <v>0.49802354621938999</v>
      </c>
      <c r="K14305" s="29">
        <v>0.98289565623980701</v>
      </c>
    </row>
    <row r="14306" spans="1:11" x14ac:dyDescent="0.35">
      <c r="A14306" s="9" t="str">
        <f>HYPERLINK("http://www.ensembl.org/id/WBGene00004421", "WBGene00004421")</f>
        <v>WBGene00004421</v>
      </c>
      <c r="B14306" s="9" t="str">
        <f>HYPERLINK("http://www.ncbi.nlm.nih.gov/gene/174311", "174311")</f>
        <v>174311</v>
      </c>
      <c r="C14306" s="9" t="str">
        <f>HYPERLINK("http://www.ncbi.nlm.nih.gov/gene/140801", "140801")</f>
        <v>140801</v>
      </c>
      <c r="D14306" t="str">
        <f>"rpl-10"</f>
        <v>rpl-10</v>
      </c>
      <c r="E14306" t="s">
        <v>8096</v>
      </c>
      <c r="F14306" t="s">
        <v>11</v>
      </c>
      <c r="G14306" t="s">
        <v>8097</v>
      </c>
      <c r="H14306" s="12">
        <v>-1.160442289646</v>
      </c>
      <c r="I14306" s="20">
        <v>-0.806143548960504</v>
      </c>
      <c r="J14306" s="28">
        <v>0.42016008379449798</v>
      </c>
      <c r="K14306" s="29">
        <v>0.98289565623980701</v>
      </c>
    </row>
    <row r="14307" spans="1:11" x14ac:dyDescent="0.35">
      <c r="A14307" s="9" t="str">
        <f>HYPERLINK("http://www.ensembl.org/id/WBGene00004423", "WBGene00004423")</f>
        <v>WBGene00004423</v>
      </c>
      <c r="B14307" s="9" t="str">
        <f>HYPERLINK("http://www.ncbi.nlm.nih.gov/gene/180535", "180535")</f>
        <v>180535</v>
      </c>
      <c r="C14307" s="9" t="str">
        <f>HYPERLINK("http://www.ncbi.nlm.nih.gov/gene/6135", "6135")</f>
        <v>6135</v>
      </c>
      <c r="D14307" t="str">
        <f>"rpl-11.2"</f>
        <v>rpl-11.2</v>
      </c>
      <c r="E14307" t="s">
        <v>7650</v>
      </c>
      <c r="F14307" t="s">
        <v>11</v>
      </c>
      <c r="G14307" t="s">
        <v>1092</v>
      </c>
      <c r="H14307" s="12">
        <v>-1.1376600049693699</v>
      </c>
      <c r="I14307" s="20">
        <v>-0.69240516714158096</v>
      </c>
      <c r="J14307" s="28">
        <v>0.48868292179559297</v>
      </c>
      <c r="K14307" s="29">
        <v>0.98289565623980701</v>
      </c>
    </row>
    <row r="14308" spans="1:11" x14ac:dyDescent="0.35">
      <c r="A14308" s="9" t="str">
        <f>HYPERLINK("http://www.ensembl.org/id/WBGene00004424", "WBGene00004424")</f>
        <v>WBGene00004424</v>
      </c>
      <c r="B14308" s="9" t="str">
        <f>HYPERLINK("http://www.ncbi.nlm.nih.gov/gene/178279", "178279")</f>
        <v>178279</v>
      </c>
      <c r="C14308" s="9" t="str">
        <f>HYPERLINK("http://www.ncbi.nlm.nih.gov/gene/6136", "6136")</f>
        <v>6136</v>
      </c>
      <c r="D14308" t="str">
        <f>"rpl-12"</f>
        <v>rpl-12</v>
      </c>
      <c r="E14308" t="s">
        <v>7371</v>
      </c>
      <c r="F14308" t="s">
        <v>11</v>
      </c>
      <c r="G14308" t="s">
        <v>7372</v>
      </c>
      <c r="H14308" s="12">
        <v>-1.12235040754407</v>
      </c>
      <c r="I14308" s="20">
        <v>-0.63467460048117497</v>
      </c>
      <c r="J14308" s="28">
        <v>0.52564066252268205</v>
      </c>
      <c r="K14308" s="29">
        <v>0.98289565623980701</v>
      </c>
    </row>
    <row r="14309" spans="1:11" x14ac:dyDescent="0.35">
      <c r="A14309" s="9" t="str">
        <f>HYPERLINK("http://www.ensembl.org/id/WBGene00004425", "WBGene00004425")</f>
        <v>WBGene00004425</v>
      </c>
      <c r="B14309" s="9" t="str">
        <f>HYPERLINK("http://www.ncbi.nlm.nih.gov/gene/171949", "171949")</f>
        <v>171949</v>
      </c>
      <c r="C14309" s="9" t="str">
        <f>HYPERLINK("http://www.ncbi.nlm.nih.gov/gene/6137", "6137")</f>
        <v>6137</v>
      </c>
      <c r="D14309" t="str">
        <f>"rpl-13"</f>
        <v>rpl-13</v>
      </c>
      <c r="E14309" t="s">
        <v>8808</v>
      </c>
      <c r="F14309" t="s">
        <v>11</v>
      </c>
      <c r="G14309" t="s">
        <v>8809</v>
      </c>
      <c r="H14309" s="12">
        <v>-1.1986379038558499</v>
      </c>
      <c r="I14309" s="20">
        <v>-0.98103856437004</v>
      </c>
      <c r="J14309" s="28">
        <v>0.32657372446120497</v>
      </c>
      <c r="K14309" s="29">
        <v>0.98289565623980701</v>
      </c>
    </row>
    <row r="14310" spans="1:11" x14ac:dyDescent="0.35">
      <c r="A14310" s="9" t="str">
        <f>HYPERLINK("http://www.ensembl.org/id/WBGene00004426", "WBGene00004426")</f>
        <v>WBGene00004426</v>
      </c>
      <c r="B14310" s="9" t="str">
        <f>HYPERLINK("http://www.ncbi.nlm.nih.gov/gene/172818", "172818")</f>
        <v>172818</v>
      </c>
      <c r="C14310" s="9" t="str">
        <f>HYPERLINK("http://www.ncbi.nlm.nih.gov/gene/9045", "9045")</f>
        <v>9045</v>
      </c>
      <c r="D14310" t="str">
        <f>"rpl-14"</f>
        <v>rpl-14</v>
      </c>
      <c r="E14310" t="s">
        <v>4238</v>
      </c>
      <c r="F14310" t="s">
        <v>11</v>
      </c>
      <c r="G14310" t="s">
        <v>7196</v>
      </c>
      <c r="H14310" s="12">
        <v>-1.11295699694295</v>
      </c>
      <c r="I14310" s="20">
        <v>-0.57406643904066901</v>
      </c>
      <c r="J14310" s="28">
        <v>0.56592284292748496</v>
      </c>
      <c r="K14310" s="29">
        <v>0.98289565623980701</v>
      </c>
    </row>
    <row r="14311" spans="1:11" x14ac:dyDescent="0.35">
      <c r="A14311" s="9" t="str">
        <f>HYPERLINK("http://www.ensembl.org/id/WBGene00004427", "WBGene00004427")</f>
        <v>WBGene00004427</v>
      </c>
      <c r="B14311" s="9" t="str">
        <f>HYPERLINK("http://www.ncbi.nlm.nih.gov/gene/176891", "176891")</f>
        <v>176891</v>
      </c>
      <c r="C14311" s="9"/>
      <c r="D14311" t="str">
        <f>"rpl-15"</f>
        <v>rpl-15</v>
      </c>
      <c r="E14311" t="s">
        <v>8324</v>
      </c>
      <c r="F14311" t="s">
        <v>11</v>
      </c>
      <c r="G14311" t="s">
        <v>8325</v>
      </c>
      <c r="H14311" s="12">
        <v>-1.17145131300357</v>
      </c>
      <c r="I14311" s="20">
        <v>-0.84692392718695797</v>
      </c>
      <c r="J14311" s="28">
        <v>0.39703752479622501</v>
      </c>
      <c r="K14311" s="29">
        <v>0.98289565623980701</v>
      </c>
    </row>
    <row r="14312" spans="1:11" x14ac:dyDescent="0.35">
      <c r="A14312" s="9" t="str">
        <f>HYPERLINK("http://www.ensembl.org/id/WBGene00004428", "WBGene00004428")</f>
        <v>WBGene00004428</v>
      </c>
      <c r="B14312" s="9" t="str">
        <f>HYPERLINK("http://www.ncbi.nlm.nih.gov/gene/175455", "175455")</f>
        <v>175455</v>
      </c>
      <c r="C14312" s="9" t="str">
        <f>HYPERLINK("http://www.ncbi.nlm.nih.gov/gene/23521", "23521")</f>
        <v>23521</v>
      </c>
      <c r="D14312" t="str">
        <f>"rpl-16"</f>
        <v>rpl-16</v>
      </c>
      <c r="E14312" t="s">
        <v>7694</v>
      </c>
      <c r="F14312" t="s">
        <v>11</v>
      </c>
      <c r="G14312" t="s">
        <v>7695</v>
      </c>
      <c r="H14312" s="12">
        <v>-1.1396128339729199</v>
      </c>
      <c r="I14312" s="20">
        <v>-0.70840857750082098</v>
      </c>
      <c r="J14312" s="28">
        <v>0.47869156733916701</v>
      </c>
      <c r="K14312" s="29">
        <v>0.98289565623980701</v>
      </c>
    </row>
    <row r="14313" spans="1:11" x14ac:dyDescent="0.35">
      <c r="A14313" s="9" t="str">
        <f>HYPERLINK("http://www.ensembl.org/id/WBGene00004429", "WBGene00004429")</f>
        <v>WBGene00004429</v>
      </c>
      <c r="B14313" s="9" t="str">
        <f>HYPERLINK("http://www.ncbi.nlm.nih.gov/gene/171692", "171692")</f>
        <v>171692</v>
      </c>
      <c r="C14313" s="9" t="str">
        <f>HYPERLINK("http://www.ncbi.nlm.nih.gov/gene/100526842", "100526842")</f>
        <v>100526842</v>
      </c>
      <c r="D14313" t="str">
        <f>"rpl-17"</f>
        <v>rpl-17</v>
      </c>
      <c r="E14313" t="s">
        <v>8250</v>
      </c>
      <c r="F14313" t="s">
        <v>11</v>
      </c>
      <c r="G14313" t="s">
        <v>8251</v>
      </c>
      <c r="H14313" s="12">
        <v>-1.1675028352791701</v>
      </c>
      <c r="I14313" s="20">
        <v>-0.83557015225700104</v>
      </c>
      <c r="J14313" s="28">
        <v>0.40339676603396302</v>
      </c>
      <c r="K14313" s="29">
        <v>0.98289565623980701</v>
      </c>
    </row>
    <row r="14314" spans="1:11" x14ac:dyDescent="0.35">
      <c r="A14314" s="9" t="str">
        <f>HYPERLINK("http://www.ensembl.org/id/WBGene00004430", "WBGene00004430")</f>
        <v>WBGene00004430</v>
      </c>
      <c r="B14314" s="9" t="str">
        <f>HYPERLINK("http://www.ncbi.nlm.nih.gov/gene/178342", "178342")</f>
        <v>178342</v>
      </c>
      <c r="C14314" s="9" t="str">
        <f>HYPERLINK("http://www.ncbi.nlm.nih.gov/gene/6141", "6141")</f>
        <v>6141</v>
      </c>
      <c r="D14314" t="str">
        <f>"rpl-18"</f>
        <v>rpl-18</v>
      </c>
      <c r="E14314" t="s">
        <v>8514</v>
      </c>
      <c r="F14314" t="s">
        <v>11</v>
      </c>
      <c r="G14314" t="s">
        <v>8515</v>
      </c>
      <c r="H14314" s="12">
        <v>-1.18161377780443</v>
      </c>
      <c r="I14314" s="20">
        <v>-0.89000693271956699</v>
      </c>
      <c r="J14314" s="28">
        <v>0.373462163528756</v>
      </c>
      <c r="K14314" s="29">
        <v>0.98289565623980701</v>
      </c>
    </row>
    <row r="14315" spans="1:11" x14ac:dyDescent="0.35">
      <c r="A14315" s="9" t="str">
        <f>HYPERLINK("http://www.ensembl.org/id/WBGene00004431", "WBGene00004431")</f>
        <v>WBGene00004431</v>
      </c>
      <c r="B14315" s="9" t="str">
        <f>HYPERLINK("http://www.ncbi.nlm.nih.gov/gene/172201", "172201")</f>
        <v>172201</v>
      </c>
      <c r="C14315" s="9" t="str">
        <f>HYPERLINK("http://www.ncbi.nlm.nih.gov/gene/6143", "6143")</f>
        <v>6143</v>
      </c>
      <c r="D14315" t="str">
        <f>"rpl-19"</f>
        <v>rpl-19</v>
      </c>
      <c r="E14315" t="s">
        <v>7674</v>
      </c>
      <c r="F14315" t="s">
        <v>11</v>
      </c>
      <c r="G14315" t="s">
        <v>7675</v>
      </c>
      <c r="H14315" s="12">
        <v>-1.1387310393097101</v>
      </c>
      <c r="I14315" s="20">
        <v>-0.697170646114742</v>
      </c>
      <c r="J14315" s="28">
        <v>0.48569600676813601</v>
      </c>
      <c r="K14315" s="29">
        <v>0.98289565623980701</v>
      </c>
    </row>
    <row r="14316" spans="1:11" x14ac:dyDescent="0.35">
      <c r="A14316" s="9" t="str">
        <f>HYPERLINK("http://www.ensembl.org/id/WBGene00004413", "WBGene00004413")</f>
        <v>WBGene00004413</v>
      </c>
      <c r="B14316" s="9" t="str">
        <f>HYPERLINK("http://www.ncbi.nlm.nih.gov/gene/180343", "180343")</f>
        <v>180343</v>
      </c>
      <c r="C14316" s="9" t="str">
        <f>HYPERLINK("http://www.ncbi.nlm.nih.gov/gene/6132", "6132")</f>
        <v>6132</v>
      </c>
      <c r="D14316" t="str">
        <f>"rpl-2"</f>
        <v>rpl-2</v>
      </c>
      <c r="E14316" t="s">
        <v>8574</v>
      </c>
      <c r="F14316" t="s">
        <v>11</v>
      </c>
      <c r="G14316" t="s">
        <v>8575</v>
      </c>
      <c r="H14316" s="12">
        <v>-1.1843469819901999</v>
      </c>
      <c r="I14316" s="20">
        <v>-0.91632398930007097</v>
      </c>
      <c r="J14316" s="28">
        <v>0.35949698934859098</v>
      </c>
      <c r="K14316" s="29">
        <v>0.98289565623980701</v>
      </c>
    </row>
    <row r="14317" spans="1:11" x14ac:dyDescent="0.35">
      <c r="A14317" s="9" t="str">
        <f>HYPERLINK("http://www.ensembl.org/id/WBGene00004432", "WBGene00004432")</f>
        <v>WBGene00004432</v>
      </c>
      <c r="B14317" s="9" t="str">
        <f>HYPERLINK("http://www.ncbi.nlm.nih.gov/gene/24104384", "24104384")</f>
        <v>24104384</v>
      </c>
      <c r="C14317" s="9"/>
      <c r="D14317" t="str">
        <f>"rpl-20"</f>
        <v>rpl-20</v>
      </c>
      <c r="E14317" t="s">
        <v>8336</v>
      </c>
      <c r="F14317" t="s">
        <v>11</v>
      </c>
      <c r="G14317" t="s">
        <v>7498</v>
      </c>
      <c r="H14317" s="12">
        <v>-1.17210409697894</v>
      </c>
      <c r="I14317" s="20">
        <v>-0.85550068383626898</v>
      </c>
      <c r="J14317" s="28">
        <v>0.39227402600820199</v>
      </c>
      <c r="K14317" s="29">
        <v>0.98289565623980701</v>
      </c>
    </row>
    <row r="14318" spans="1:11" x14ac:dyDescent="0.35">
      <c r="A14318" s="9" t="str">
        <f>HYPERLINK("http://www.ensembl.org/id/WBGene00004433", "WBGene00004433")</f>
        <v>WBGene00004433</v>
      </c>
      <c r="B14318" s="9" t="str">
        <f>HYPERLINK("http://www.ncbi.nlm.nih.gov/gene/176146", "176146")</f>
        <v>176146</v>
      </c>
      <c r="C14318" s="9" t="str">
        <f>HYPERLINK("http://www.ncbi.nlm.nih.gov/gene/6144", "6144")</f>
        <v>6144</v>
      </c>
      <c r="D14318" t="str">
        <f>"rpl-21"</f>
        <v>rpl-21</v>
      </c>
      <c r="E14318" t="s">
        <v>7838</v>
      </c>
      <c r="F14318" t="s">
        <v>11</v>
      </c>
      <c r="G14318" t="s">
        <v>7498</v>
      </c>
      <c r="H14318" s="12">
        <v>-1.1475428695860499</v>
      </c>
      <c r="I14318" s="20">
        <v>-0.749147298369085</v>
      </c>
      <c r="J14318" s="28">
        <v>0.45376842970332698</v>
      </c>
      <c r="K14318" s="29">
        <v>0.98289565623980701</v>
      </c>
    </row>
    <row r="14319" spans="1:11" x14ac:dyDescent="0.35">
      <c r="A14319" s="9" t="str">
        <f>HYPERLINK("http://www.ensembl.org/id/WBGene00004434", "WBGene00004434")</f>
        <v>WBGene00004434</v>
      </c>
      <c r="B14319" s="9" t="str">
        <f>HYPERLINK("http://www.ncbi.nlm.nih.gov/gene/173873", "173873")</f>
        <v>173873</v>
      </c>
      <c r="C14319" s="9" t="str">
        <f>HYPERLINK("http://www.ncbi.nlm.nih.gov/gene/6146", "6146")</f>
        <v>6146</v>
      </c>
      <c r="D14319" t="str">
        <f>"rpl-22"</f>
        <v>rpl-22</v>
      </c>
      <c r="E14319" t="s">
        <v>7811</v>
      </c>
      <c r="F14319" t="s">
        <v>11</v>
      </c>
      <c r="G14319" t="s">
        <v>7812</v>
      </c>
      <c r="H14319" s="12">
        <v>-1.1461650666438801</v>
      </c>
      <c r="I14319" s="20">
        <v>-0.73670077644113496</v>
      </c>
      <c r="J14319" s="28">
        <v>0.46130433456862302</v>
      </c>
      <c r="K14319" s="29">
        <v>0.98289565623980701</v>
      </c>
    </row>
    <row r="14320" spans="1:11" x14ac:dyDescent="0.35">
      <c r="A14320" s="9" t="str">
        <f>HYPERLINK("http://www.ensembl.org/id/WBGene00004435", "WBGene00004435")</f>
        <v>WBGene00004435</v>
      </c>
      <c r="B14320" s="9" t="str">
        <f>HYPERLINK("http://www.ncbi.nlm.nih.gov/gene/175796", "175796")</f>
        <v>175796</v>
      </c>
      <c r="C14320" s="9" t="str">
        <f>HYPERLINK("http://www.ncbi.nlm.nih.gov/gene/9349", "9349")</f>
        <v>9349</v>
      </c>
      <c r="D14320" t="str">
        <f>"rpl-23"</f>
        <v>rpl-23</v>
      </c>
      <c r="E14320" t="s">
        <v>8471</v>
      </c>
      <c r="F14320" t="s">
        <v>11</v>
      </c>
      <c r="G14320" t="s">
        <v>8472</v>
      </c>
      <c r="H14320" s="12">
        <v>-1.17947891721714</v>
      </c>
      <c r="I14320" s="20">
        <v>-0.91357563543633102</v>
      </c>
      <c r="J14320" s="28">
        <v>0.36093987373165598</v>
      </c>
      <c r="K14320" s="29">
        <v>0.98289565623980701</v>
      </c>
    </row>
    <row r="14321" spans="1:11" x14ac:dyDescent="0.35">
      <c r="A14321" s="9" t="str">
        <f>HYPERLINK("http://www.ensembl.org/id/WBGene00004436", "WBGene00004436")</f>
        <v>WBGene00004436</v>
      </c>
      <c r="B14321" s="9" t="str">
        <f>HYPERLINK("http://www.ncbi.nlm.nih.gov/gene/172062", "172062")</f>
        <v>172062</v>
      </c>
      <c r="C14321" s="9" t="str">
        <f>HYPERLINK("http://www.ncbi.nlm.nih.gov/gene/6152", "6152")</f>
        <v>6152</v>
      </c>
      <c r="D14321" t="str">
        <f>"rpl-24.1"</f>
        <v>rpl-24.1</v>
      </c>
      <c r="E14321" t="s">
        <v>7746</v>
      </c>
      <c r="F14321" t="s">
        <v>11</v>
      </c>
      <c r="G14321" t="s">
        <v>7747</v>
      </c>
      <c r="H14321" s="12">
        <v>-1.1423734657670099</v>
      </c>
      <c r="I14321" s="20">
        <v>-0.72234465432001804</v>
      </c>
      <c r="J14321" s="28">
        <v>0.47008260513410899</v>
      </c>
      <c r="K14321" s="29">
        <v>0.98289565623980701</v>
      </c>
    </row>
    <row r="14322" spans="1:11" x14ac:dyDescent="0.35">
      <c r="A14322" s="9" t="str">
        <f>HYPERLINK("http://www.ensembl.org/id/WBGene00004437", "WBGene00004437")</f>
        <v>WBGene00004437</v>
      </c>
      <c r="B14322" s="9" t="str">
        <f>HYPERLINK("http://www.ncbi.nlm.nih.gov/gene/172815", "172815")</f>
        <v>172815</v>
      </c>
      <c r="C14322" s="9" t="str">
        <f>HYPERLINK("http://www.ncbi.nlm.nih.gov/gene/51187", "51187")</f>
        <v>51187</v>
      </c>
      <c r="D14322" t="str">
        <f>"rpl-24.2"</f>
        <v>rpl-24.2</v>
      </c>
      <c r="E14322" t="s">
        <v>7927</v>
      </c>
      <c r="F14322" t="s">
        <v>11</v>
      </c>
      <c r="G14322" t="s">
        <v>7928</v>
      </c>
      <c r="H14322" s="12">
        <v>-1.1516105554526801</v>
      </c>
      <c r="I14322" s="20">
        <v>-0.70763037510670601</v>
      </c>
      <c r="J14322" s="28">
        <v>0.47917482476401901</v>
      </c>
      <c r="K14322" s="29">
        <v>0.98289565623980701</v>
      </c>
    </row>
    <row r="14323" spans="1:11" x14ac:dyDescent="0.35">
      <c r="A14323" s="9" t="str">
        <f>HYPERLINK("http://www.ensembl.org/id/WBGene00004438", "WBGene00004438")</f>
        <v>WBGene00004438</v>
      </c>
      <c r="B14323" s="9" t="str">
        <f>HYPERLINK("http://www.ncbi.nlm.nih.gov/gene/180748", "180748")</f>
        <v>180748</v>
      </c>
      <c r="C14323" s="9"/>
      <c r="D14323" t="str">
        <f>"rpl-25.1"</f>
        <v>rpl-25.1</v>
      </c>
      <c r="E14323" t="s">
        <v>6818</v>
      </c>
      <c r="F14323" t="s">
        <v>11</v>
      </c>
      <c r="G14323" t="s">
        <v>6819</v>
      </c>
      <c r="H14323" s="12">
        <v>-1.0907143767052301</v>
      </c>
      <c r="I14323" s="20">
        <v>-0.468843883153928</v>
      </c>
      <c r="J14323" s="28">
        <v>0.63918123026505802</v>
      </c>
      <c r="K14323" s="29">
        <v>0.98289565623980701</v>
      </c>
    </row>
    <row r="14324" spans="1:11" x14ac:dyDescent="0.35">
      <c r="A14324" s="9" t="str">
        <f>HYPERLINK("http://www.ensembl.org/id/WBGene00004439", "WBGene00004439")</f>
        <v>WBGene00004439</v>
      </c>
      <c r="B14324" s="9" t="str">
        <f>HYPERLINK("http://www.ncbi.nlm.nih.gov/gene/172617", "172617")</f>
        <v>172617</v>
      </c>
      <c r="C14324" s="9"/>
      <c r="D14324" t="str">
        <f>"rpl-25.2"</f>
        <v>rpl-25.2</v>
      </c>
      <c r="E14324" t="s">
        <v>9435</v>
      </c>
      <c r="F14324" t="s">
        <v>11</v>
      </c>
      <c r="G14324" t="s">
        <v>6819</v>
      </c>
      <c r="H14324" s="12">
        <v>-1.2457344458731301</v>
      </c>
      <c r="I14324" s="20">
        <v>-1.1740691883591099</v>
      </c>
      <c r="J14324" s="28">
        <v>0.24036731370554901</v>
      </c>
      <c r="K14324" s="29">
        <v>0.98289565623980701</v>
      </c>
    </row>
    <row r="14325" spans="1:11" x14ac:dyDescent="0.35">
      <c r="A14325" s="9" t="str">
        <f>HYPERLINK("http://www.ensembl.org/id/WBGene00004440", "WBGene00004440")</f>
        <v>WBGene00004440</v>
      </c>
      <c r="B14325" s="9" t="str">
        <f>HYPERLINK("http://www.ncbi.nlm.nih.gov/gene/174379", "174379")</f>
        <v>174379</v>
      </c>
      <c r="C14325" s="9" t="str">
        <f>HYPERLINK("http://www.ncbi.nlm.nih.gov/gene/6154", "6154")</f>
        <v>6154</v>
      </c>
      <c r="D14325" t="str">
        <f>"rpl-26"</f>
        <v>rpl-26</v>
      </c>
      <c r="E14325" t="s">
        <v>8522</v>
      </c>
      <c r="F14325" t="s">
        <v>11</v>
      </c>
      <c r="G14325" t="s">
        <v>8523</v>
      </c>
      <c r="H14325" s="12">
        <v>-1.18183459788754</v>
      </c>
      <c r="I14325" s="20">
        <v>-0.89501614044625299</v>
      </c>
      <c r="J14325" s="28">
        <v>0.37077845993789998</v>
      </c>
      <c r="K14325" s="29">
        <v>0.98289565623980701</v>
      </c>
    </row>
    <row r="14326" spans="1:11" x14ac:dyDescent="0.35">
      <c r="A14326" s="9" t="str">
        <f>HYPERLINK("http://www.ensembl.org/id/WBGene00004441", "WBGene00004441")</f>
        <v>WBGene00004441</v>
      </c>
      <c r="B14326" s="9" t="str">
        <f>HYPERLINK("http://www.ncbi.nlm.nih.gov/gene/171750", "171750")</f>
        <v>171750</v>
      </c>
      <c r="C14326" s="9" t="str">
        <f>HYPERLINK("http://www.ncbi.nlm.nih.gov/gene/6155", "6155")</f>
        <v>6155</v>
      </c>
      <c r="D14326" t="str">
        <f>"rpl-27"</f>
        <v>rpl-27</v>
      </c>
      <c r="E14326" t="s">
        <v>7577</v>
      </c>
      <c r="F14326" t="s">
        <v>11</v>
      </c>
      <c r="G14326" t="s">
        <v>7578</v>
      </c>
      <c r="H14326" s="12">
        <v>-1.1340811845727099</v>
      </c>
      <c r="I14326" s="20">
        <v>-0.69019912938565098</v>
      </c>
      <c r="J14326" s="28">
        <v>0.49006897078659001</v>
      </c>
      <c r="K14326" s="29">
        <v>0.98289565623980701</v>
      </c>
    </row>
    <row r="14327" spans="1:11" x14ac:dyDescent="0.35">
      <c r="A14327" s="9" t="str">
        <f>HYPERLINK("http://www.ensembl.org/id/WBGene00004442", "WBGene00004442")</f>
        <v>WBGene00004442</v>
      </c>
      <c r="B14327" s="9" t="str">
        <f>HYPERLINK("http://www.ncbi.nlm.nih.gov/gene/179739", "179739")</f>
        <v>179739</v>
      </c>
      <c r="C14327" s="9"/>
      <c r="D14327" t="str">
        <f>"rpl-28"</f>
        <v>rpl-28</v>
      </c>
      <c r="E14327" t="s">
        <v>8442</v>
      </c>
      <c r="F14327" t="s">
        <v>11</v>
      </c>
      <c r="G14327" t="s">
        <v>7498</v>
      </c>
      <c r="H14327" s="12">
        <v>-1.1780715090282501</v>
      </c>
      <c r="I14327" s="20">
        <v>-0.896138818990039</v>
      </c>
      <c r="J14327" s="28">
        <v>0.37017862663273499</v>
      </c>
      <c r="K14327" s="29">
        <v>0.98289565623980701</v>
      </c>
    </row>
    <row r="14328" spans="1:11" x14ac:dyDescent="0.35">
      <c r="A14328" s="9" t="str">
        <f>HYPERLINK("http://www.ensembl.org/id/WBGene00004443", "WBGene00004443")</f>
        <v>WBGene00004443</v>
      </c>
      <c r="B14328" s="9" t="str">
        <f>HYPERLINK("http://www.ncbi.nlm.nih.gov/gene/178352", "178352")</f>
        <v>178352</v>
      </c>
      <c r="C14328" s="9"/>
      <c r="D14328" t="str">
        <f>"rpl-29"</f>
        <v>rpl-29</v>
      </c>
      <c r="E14328" t="s">
        <v>7860</v>
      </c>
      <c r="F14328" t="s">
        <v>11</v>
      </c>
      <c r="G14328" t="s">
        <v>7846</v>
      </c>
      <c r="H14328" s="12">
        <v>-1.14850502874484</v>
      </c>
      <c r="I14328" s="20">
        <v>-0.76074055259734596</v>
      </c>
      <c r="J14328" s="28">
        <v>0.44681204798889002</v>
      </c>
      <c r="K14328" s="29">
        <v>0.98289565623980701</v>
      </c>
    </row>
    <row r="14329" spans="1:11" x14ac:dyDescent="0.35">
      <c r="A14329" s="9" t="str">
        <f>HYPERLINK("http://www.ensembl.org/id/WBGene00004414", "WBGene00004414")</f>
        <v>WBGene00004414</v>
      </c>
      <c r="B14329" s="9" t="str">
        <f>HYPERLINK("http://www.ncbi.nlm.nih.gov/gene/175501", "175501")</f>
        <v>175501</v>
      </c>
      <c r="C14329" s="9" t="str">
        <f>HYPERLINK("http://www.ncbi.nlm.nih.gov/gene/6122", "6122")</f>
        <v>6122</v>
      </c>
      <c r="D14329" t="str">
        <f>"rpl-3"</f>
        <v>rpl-3</v>
      </c>
      <c r="E14329" t="s">
        <v>8267</v>
      </c>
      <c r="F14329" t="s">
        <v>11</v>
      </c>
      <c r="G14329" t="s">
        <v>8268</v>
      </c>
      <c r="H14329" s="12">
        <v>-1.1680986330041601</v>
      </c>
      <c r="I14329" s="20">
        <v>-0.84127370315042205</v>
      </c>
      <c r="J14329" s="28">
        <v>0.40019461902561798</v>
      </c>
      <c r="K14329" s="29">
        <v>0.98289565623980701</v>
      </c>
    </row>
    <row r="14330" spans="1:11" x14ac:dyDescent="0.35">
      <c r="A14330" s="9" t="str">
        <f>HYPERLINK("http://www.ensembl.org/id/WBGene00004444", "WBGene00004444")</f>
        <v>WBGene00004444</v>
      </c>
      <c r="B14330" s="9" t="str">
        <f>HYPERLINK("http://www.ncbi.nlm.nih.gov/gene/172921", "172921")</f>
        <v>172921</v>
      </c>
      <c r="C14330" s="9" t="str">
        <f>HYPERLINK("http://www.ncbi.nlm.nih.gov/gene/6156", "6156")</f>
        <v>6156</v>
      </c>
      <c r="D14330" t="str">
        <f>"rpl-30"</f>
        <v>rpl-30</v>
      </c>
      <c r="E14330" t="s">
        <v>4238</v>
      </c>
      <c r="F14330" t="s">
        <v>11</v>
      </c>
      <c r="G14330" t="s">
        <v>7788</v>
      </c>
      <c r="H14330" s="12">
        <v>-1.1447178691759701</v>
      </c>
      <c r="I14330" s="20">
        <v>-0.72402833426428004</v>
      </c>
      <c r="J14330" s="28">
        <v>0.46904834008276902</v>
      </c>
      <c r="K14330" s="29">
        <v>0.98289565623980701</v>
      </c>
    </row>
    <row r="14331" spans="1:11" x14ac:dyDescent="0.35">
      <c r="A14331" s="9" t="str">
        <f>HYPERLINK("http://www.ensembl.org/id/WBGene00004445", "WBGene00004445")</f>
        <v>WBGene00004445</v>
      </c>
      <c r="B14331" s="9" t="str">
        <f>HYPERLINK("http://www.ncbi.nlm.nih.gov/gene/173235", "173235")</f>
        <v>173235</v>
      </c>
      <c r="C14331" s="9" t="str">
        <f>HYPERLINK("http://www.ncbi.nlm.nih.gov/gene/6160", "6160")</f>
        <v>6160</v>
      </c>
      <c r="D14331" t="str">
        <f>"rpl-31"</f>
        <v>rpl-31</v>
      </c>
      <c r="E14331" t="s">
        <v>7845</v>
      </c>
      <c r="F14331" t="s">
        <v>11</v>
      </c>
      <c r="G14331" t="s">
        <v>7846</v>
      </c>
      <c r="H14331" s="12">
        <v>-1.1479138317155999</v>
      </c>
      <c r="I14331" s="20">
        <v>-0.74822342664925501</v>
      </c>
      <c r="J14331" s="28">
        <v>0.45432540282116801</v>
      </c>
      <c r="K14331" s="29">
        <v>0.98289565623980701</v>
      </c>
    </row>
    <row r="14332" spans="1:11" x14ac:dyDescent="0.35">
      <c r="A14332" s="9" t="str">
        <f>HYPERLINK("http://www.ensembl.org/id/WBGene00004446", "WBGene00004446")</f>
        <v>WBGene00004446</v>
      </c>
      <c r="B14332" s="9" t="str">
        <f>HYPERLINK("http://www.ncbi.nlm.nih.gov/gene/174443", "174443")</f>
        <v>174443</v>
      </c>
      <c r="C14332" s="9" t="str">
        <f>HYPERLINK("http://www.ncbi.nlm.nih.gov/gene/6161", "6161")</f>
        <v>6161</v>
      </c>
      <c r="D14332" t="str">
        <f>"rpl-32"</f>
        <v>rpl-32</v>
      </c>
      <c r="E14332" t="s">
        <v>4238</v>
      </c>
      <c r="F14332" t="s">
        <v>11</v>
      </c>
      <c r="G14332" t="s">
        <v>7498</v>
      </c>
      <c r="H14332" s="12">
        <v>-1.1837935643574899</v>
      </c>
      <c r="I14332" s="20">
        <v>-0.92037453087591703</v>
      </c>
      <c r="J14332" s="28">
        <v>0.35737707337429198</v>
      </c>
      <c r="K14332" s="29">
        <v>0.98289565623980701</v>
      </c>
    </row>
    <row r="14333" spans="1:11" x14ac:dyDescent="0.35">
      <c r="A14333" s="9" t="str">
        <f>HYPERLINK("http://www.ensembl.org/id/WBGene00004447", "WBGene00004447")</f>
        <v>WBGene00004447</v>
      </c>
      <c r="B14333" s="9" t="str">
        <f>HYPERLINK("http://www.ncbi.nlm.nih.gov/gene/174166", "174166")</f>
        <v>174166</v>
      </c>
      <c r="C14333" s="9" t="str">
        <f>HYPERLINK("http://www.ncbi.nlm.nih.gov/gene/6165", "6165")</f>
        <v>6165</v>
      </c>
      <c r="D14333" t="str">
        <f>"rpl-33"</f>
        <v>rpl-33</v>
      </c>
      <c r="E14333" t="s">
        <v>8738</v>
      </c>
      <c r="F14333" t="s">
        <v>11</v>
      </c>
      <c r="G14333" t="s">
        <v>8739</v>
      </c>
      <c r="H14333" s="12">
        <v>-1.19370859984378</v>
      </c>
      <c r="I14333" s="20">
        <v>-0.95039140894471397</v>
      </c>
      <c r="J14333" s="28">
        <v>0.34191340761907002</v>
      </c>
      <c r="K14333" s="29">
        <v>0.98289565623980701</v>
      </c>
    </row>
    <row r="14334" spans="1:11" x14ac:dyDescent="0.35">
      <c r="A14334" s="9" t="str">
        <f>HYPERLINK("http://www.ensembl.org/id/WBGene00004448", "WBGene00004448")</f>
        <v>WBGene00004448</v>
      </c>
      <c r="B14334" s="9" t="str">
        <f>HYPERLINK("http://www.ncbi.nlm.nih.gov/gene/178173", "178173")</f>
        <v>178173</v>
      </c>
      <c r="C14334" s="9"/>
      <c r="D14334" t="str">
        <f>"rpl-34"</f>
        <v>rpl-34</v>
      </c>
      <c r="E14334" t="s">
        <v>4238</v>
      </c>
      <c r="F14334" t="s">
        <v>11</v>
      </c>
      <c r="G14334" t="s">
        <v>7828</v>
      </c>
      <c r="H14334" s="12">
        <v>-1.1472416928953799</v>
      </c>
      <c r="I14334" s="20">
        <v>-0.74262374699254796</v>
      </c>
      <c r="J14334" s="28">
        <v>0.457709507236503</v>
      </c>
      <c r="K14334" s="29">
        <v>0.98289565623980701</v>
      </c>
    </row>
    <row r="14335" spans="1:11" x14ac:dyDescent="0.35">
      <c r="A14335" s="9" t="str">
        <f>HYPERLINK("http://www.ensembl.org/id/WBGene00004449", "WBGene00004449")</f>
        <v>WBGene00004449</v>
      </c>
      <c r="B14335" s="9" t="str">
        <f>HYPERLINK("http://www.ncbi.nlm.nih.gov/gene/176097", "176097")</f>
        <v>176097</v>
      </c>
      <c r="C14335" s="9" t="str">
        <f>HYPERLINK("http://www.ncbi.nlm.nih.gov/gene/11224", "11224")</f>
        <v>11224</v>
      </c>
      <c r="D14335" t="str">
        <f>"rpl-35"</f>
        <v>rpl-35</v>
      </c>
      <c r="E14335" t="s">
        <v>8205</v>
      </c>
      <c r="F14335" t="s">
        <v>11</v>
      </c>
      <c r="G14335" t="s">
        <v>8206</v>
      </c>
      <c r="H14335" s="12">
        <v>-1.16565466813748</v>
      </c>
      <c r="I14335" s="20">
        <v>-0.83282590853265404</v>
      </c>
      <c r="J14335" s="28">
        <v>0.40494292056678499</v>
      </c>
      <c r="K14335" s="29">
        <v>0.98289565623980701</v>
      </c>
    </row>
    <row r="14336" spans="1:11" x14ac:dyDescent="0.35">
      <c r="A14336" s="9" t="str">
        <f>HYPERLINK("http://www.ensembl.org/id/WBGene00004450", "WBGene00004450")</f>
        <v>WBGene00004450</v>
      </c>
      <c r="B14336" s="9" t="str">
        <f>HYPERLINK("http://www.ncbi.nlm.nih.gov/gene/176007", "176007")</f>
        <v>176007</v>
      </c>
      <c r="C14336" s="9"/>
      <c r="D14336" t="str">
        <f>"rpl-36"</f>
        <v>rpl-36</v>
      </c>
      <c r="E14336" t="s">
        <v>7692</v>
      </c>
      <c r="F14336" t="s">
        <v>11</v>
      </c>
      <c r="G14336" t="s">
        <v>7693</v>
      </c>
      <c r="H14336" s="12">
        <v>-1.1395362823465001</v>
      </c>
      <c r="I14336" s="20">
        <v>-0.70153601140467903</v>
      </c>
      <c r="J14336" s="28">
        <v>0.48296856912992497</v>
      </c>
      <c r="K14336" s="29">
        <v>0.98289565623980701</v>
      </c>
    </row>
    <row r="14337" spans="1:11" x14ac:dyDescent="0.35">
      <c r="A14337" s="9" t="str">
        <f>HYPERLINK("http://www.ensembl.org/id/WBGene00004454", "WBGene00004454")</f>
        <v>WBGene00004454</v>
      </c>
      <c r="B14337" s="9" t="str">
        <f>HYPERLINK("http://www.ncbi.nlm.nih.gov/gene/174695", "174695")</f>
        <v>174695</v>
      </c>
      <c r="C14337" s="9" t="str">
        <f>HYPERLINK("http://www.ncbi.nlm.nih.gov/gene/6173", "6173")</f>
        <v>6173</v>
      </c>
      <c r="D14337" t="str">
        <f>"rpl-36.A"</f>
        <v>rpl-36.A</v>
      </c>
      <c r="E14337" t="s">
        <v>8607</v>
      </c>
      <c r="F14337" t="s">
        <v>11</v>
      </c>
      <c r="G14337" t="s">
        <v>7498</v>
      </c>
      <c r="H14337" s="12">
        <v>-1.1862155999817801</v>
      </c>
      <c r="I14337" s="20">
        <v>-0.92988974686308201</v>
      </c>
      <c r="J14337" s="28">
        <v>0.35242817220183498</v>
      </c>
      <c r="K14337" s="29">
        <v>0.98289565623980701</v>
      </c>
    </row>
    <row r="14338" spans="1:11" x14ac:dyDescent="0.35">
      <c r="A14338" s="9" t="str">
        <f>HYPERLINK("http://www.ensembl.org/id/WBGene00004451", "WBGene00004451")</f>
        <v>WBGene00004451</v>
      </c>
      <c r="B14338" s="9" t="str">
        <f>HYPERLINK("http://www.ncbi.nlm.nih.gov/gene/175460", "175460")</f>
        <v>175460</v>
      </c>
      <c r="C14338" s="9" t="str">
        <f>HYPERLINK("http://www.ncbi.nlm.nih.gov/gene/6167", "6167")</f>
        <v>6167</v>
      </c>
      <c r="D14338" t="str">
        <f>"rpl-37"</f>
        <v>rpl-37</v>
      </c>
      <c r="E14338" t="s">
        <v>7754</v>
      </c>
      <c r="F14338" t="s">
        <v>11</v>
      </c>
      <c r="G14338" t="s">
        <v>7755</v>
      </c>
      <c r="H14338" s="12">
        <v>-1.1426071087052301</v>
      </c>
      <c r="I14338" s="20">
        <v>-0.63476271608193002</v>
      </c>
      <c r="J14338" s="28">
        <v>0.52558318325291997</v>
      </c>
      <c r="K14338" s="29">
        <v>0.98289565623980701</v>
      </c>
    </row>
    <row r="14339" spans="1:11" x14ac:dyDescent="0.35">
      <c r="A14339" s="9" t="str">
        <f>HYPERLINK("http://www.ensembl.org/id/WBGene00004452", "WBGene00004452")</f>
        <v>WBGene00004452</v>
      </c>
      <c r="B14339" s="9" t="str">
        <f>HYPERLINK("http://www.ncbi.nlm.nih.gov/gene/180044", "180044")</f>
        <v>180044</v>
      </c>
      <c r="C14339" s="9" t="str">
        <f>HYPERLINK("http://www.ncbi.nlm.nih.gov/gene/6169", "6169")</f>
        <v>6169</v>
      </c>
      <c r="D14339" t="str">
        <f>"rpl-38"</f>
        <v>rpl-38</v>
      </c>
      <c r="E14339" t="s">
        <v>7795</v>
      </c>
      <c r="F14339" t="s">
        <v>11</v>
      </c>
      <c r="G14339" t="s">
        <v>7796</v>
      </c>
      <c r="H14339" s="12">
        <v>-1.14525246222801</v>
      </c>
      <c r="I14339" s="20">
        <v>-0.75095606427532902</v>
      </c>
      <c r="J14339" s="28">
        <v>0.45267909775339299</v>
      </c>
      <c r="K14339" s="29">
        <v>0.98289565623980701</v>
      </c>
    </row>
    <row r="14340" spans="1:11" x14ac:dyDescent="0.35">
      <c r="A14340" s="9" t="str">
        <f>HYPERLINK("http://www.ensembl.org/id/WBGene00004453", "WBGene00004453")</f>
        <v>WBGene00004453</v>
      </c>
      <c r="B14340" s="9" t="str">
        <f>HYPERLINK("http://www.ncbi.nlm.nih.gov/gene/179153", "179153")</f>
        <v>179153</v>
      </c>
      <c r="C14340" s="9"/>
      <c r="D14340" t="str">
        <f>"rpl-39"</f>
        <v>rpl-39</v>
      </c>
      <c r="E14340" t="s">
        <v>7497</v>
      </c>
      <c r="F14340" t="s">
        <v>11</v>
      </c>
      <c r="G14340" t="s">
        <v>7498</v>
      </c>
      <c r="H14340" s="12">
        <v>-1.12919073985837</v>
      </c>
      <c r="I14340" s="20">
        <v>-0.65468755219773</v>
      </c>
      <c r="J14340" s="28">
        <v>0.51266894127211304</v>
      </c>
      <c r="K14340" s="29">
        <v>0.98289565623980701</v>
      </c>
    </row>
    <row r="14341" spans="1:11" x14ac:dyDescent="0.35">
      <c r="A14341" s="9" t="str">
        <f>HYPERLINK("http://www.ensembl.org/id/WBGene00004415", "WBGene00004415")</f>
        <v>WBGene00004415</v>
      </c>
      <c r="B14341" s="9" t="str">
        <f>HYPERLINK("http://www.ncbi.nlm.nih.gov/gene/172074", "172074")</f>
        <v>172074</v>
      </c>
      <c r="C14341" s="9" t="str">
        <f>HYPERLINK("http://www.ncbi.nlm.nih.gov/gene/6124", "6124")</f>
        <v>6124</v>
      </c>
      <c r="D14341" t="str">
        <f>"rpl-4"</f>
        <v>rpl-4</v>
      </c>
      <c r="E14341" t="s">
        <v>8622</v>
      </c>
      <c r="F14341" t="s">
        <v>11</v>
      </c>
      <c r="G14341" t="s">
        <v>7675</v>
      </c>
      <c r="H14341" s="12">
        <v>-1.1869611631225301</v>
      </c>
      <c r="I14341" s="20">
        <v>-0.92670572960146202</v>
      </c>
      <c r="J14341" s="28">
        <v>0.35407934188042101</v>
      </c>
      <c r="K14341" s="29">
        <v>0.98289565623980701</v>
      </c>
    </row>
    <row r="14342" spans="1:11" x14ac:dyDescent="0.35">
      <c r="A14342" s="9" t="str">
        <f>HYPERLINK("http://www.ensembl.org/id/WBGene00023068", "WBGene00023068")</f>
        <v>WBGene00023068</v>
      </c>
      <c r="B14342" s="9" t="str">
        <f>HYPERLINK("http://www.ncbi.nlm.nih.gov/gene/172095", "172095")</f>
        <v>172095</v>
      </c>
      <c r="C14342" s="9"/>
      <c r="D14342" t="str">
        <f>"rpl-41.2"</f>
        <v>rpl-41.2</v>
      </c>
      <c r="E14342" t="s">
        <v>4238</v>
      </c>
      <c r="F14342" t="s">
        <v>11</v>
      </c>
      <c r="G14342" t="s">
        <v>7580</v>
      </c>
      <c r="H14342" s="12">
        <v>-1.15252598681634</v>
      </c>
      <c r="I14342" s="20">
        <v>-0.78770316681214303</v>
      </c>
      <c r="J14342" s="28">
        <v>0.43087035278114899</v>
      </c>
      <c r="K14342" s="29">
        <v>0.98289565623980701</v>
      </c>
    </row>
    <row r="14343" spans="1:11" x14ac:dyDescent="0.35">
      <c r="A14343" s="9" t="str">
        <f>HYPERLINK("http://www.ensembl.org/id/WBGene00004455", "WBGene00004455")</f>
        <v>WBGene00004455</v>
      </c>
      <c r="B14343" s="9" t="str">
        <f>HYPERLINK("http://www.ncbi.nlm.nih.gov/gene/191758", "191758")</f>
        <v>191758</v>
      </c>
      <c r="C14343" s="9"/>
      <c r="D14343" t="str">
        <f>"rpl-42"</f>
        <v>rpl-42</v>
      </c>
      <c r="E14343" t="s">
        <v>4238</v>
      </c>
      <c r="F14343" t="s">
        <v>11</v>
      </c>
      <c r="G14343" t="s">
        <v>4239</v>
      </c>
      <c r="H14343" s="12">
        <v>6.6601674719235602</v>
      </c>
      <c r="I14343" s="20">
        <v>1.1123343765634801</v>
      </c>
      <c r="J14343" s="28">
        <v>0.265994408555982</v>
      </c>
      <c r="K14343" s="29">
        <v>0.98289565623980701</v>
      </c>
    </row>
    <row r="14344" spans="1:11" x14ac:dyDescent="0.35">
      <c r="A14344" s="9" t="str">
        <f>HYPERLINK("http://www.ensembl.org/id/WBGene00004456", "WBGene00004456")</f>
        <v>WBGene00004456</v>
      </c>
      <c r="B14344" s="9" t="str">
        <f>HYPERLINK("http://www.ncbi.nlm.nih.gov/gene/175070", "175070")</f>
        <v>175070</v>
      </c>
      <c r="C14344" s="9" t="str">
        <f>HYPERLINK("http://www.ncbi.nlm.nih.gov/gene/6168", "6168")</f>
        <v>6168</v>
      </c>
      <c r="D14344" t="str">
        <f>"rpl-43"</f>
        <v>rpl-43</v>
      </c>
      <c r="E14344" t="s">
        <v>7776</v>
      </c>
      <c r="F14344" t="s">
        <v>11</v>
      </c>
      <c r="G14344" t="s">
        <v>7777</v>
      </c>
      <c r="H14344" s="12">
        <v>-1.1442208077427201</v>
      </c>
      <c r="I14344" s="20">
        <v>-0.73036685327651296</v>
      </c>
      <c r="J14344" s="28">
        <v>0.46516597379679198</v>
      </c>
      <c r="K14344" s="29">
        <v>0.98289565623980701</v>
      </c>
    </row>
    <row r="14345" spans="1:11" x14ac:dyDescent="0.35">
      <c r="A14345" s="9" t="str">
        <f>HYPERLINK("http://www.ensembl.org/id/WBGene00004416", "WBGene00004416")</f>
        <v>WBGene00004416</v>
      </c>
      <c r="B14345" s="9" t="str">
        <f>HYPERLINK("http://www.ncbi.nlm.nih.gov/gene/174371", "174371")</f>
        <v>174371</v>
      </c>
      <c r="C14345" s="9" t="str">
        <f>HYPERLINK("http://www.ncbi.nlm.nih.gov/gene/6125", "6125")</f>
        <v>6125</v>
      </c>
      <c r="D14345" t="str">
        <f>"rpl-5"</f>
        <v>rpl-5</v>
      </c>
      <c r="E14345" t="s">
        <v>7642</v>
      </c>
      <c r="F14345" t="s">
        <v>11</v>
      </c>
      <c r="G14345" t="s">
        <v>7643</v>
      </c>
      <c r="H14345" s="12">
        <v>-1.1371961927419201</v>
      </c>
      <c r="I14345" s="20">
        <v>-0.69346122708724101</v>
      </c>
      <c r="J14345" s="28">
        <v>0.48802015005731703</v>
      </c>
      <c r="K14345" s="29">
        <v>0.98289565623980701</v>
      </c>
    </row>
    <row r="14346" spans="1:11" x14ac:dyDescent="0.35">
      <c r="A14346" s="9" t="str">
        <f>HYPERLINK("http://www.ensembl.org/id/WBGene00004417", "WBGene00004417")</f>
        <v>WBGene00004417</v>
      </c>
      <c r="B14346" s="9" t="str">
        <f>HYPERLINK("http://www.ncbi.nlm.nih.gov/gene/176015", "176015")</f>
        <v>176015</v>
      </c>
      <c r="C14346" s="9" t="str">
        <f>HYPERLINK("http://www.ncbi.nlm.nih.gov/gene/6128", "6128")</f>
        <v>6128</v>
      </c>
      <c r="D14346" t="str">
        <f>"rpl-6"</f>
        <v>rpl-6</v>
      </c>
      <c r="E14346" t="s">
        <v>7492</v>
      </c>
      <c r="F14346" t="s">
        <v>11</v>
      </c>
      <c r="G14346" t="s">
        <v>7493</v>
      </c>
      <c r="H14346" s="12">
        <v>-1.1290190695690501</v>
      </c>
      <c r="I14346" s="20">
        <v>-0.66192841526676005</v>
      </c>
      <c r="J14346" s="28">
        <v>0.50801709998706401</v>
      </c>
      <c r="K14346" s="29">
        <v>0.98289565623980701</v>
      </c>
    </row>
    <row r="14347" spans="1:11" x14ac:dyDescent="0.35">
      <c r="A14347" s="9" t="str">
        <f>HYPERLINK("http://www.ensembl.org/id/WBGene00004418", "WBGene00004418")</f>
        <v>WBGene00004418</v>
      </c>
      <c r="B14347" s="9" t="str">
        <f>HYPERLINK("http://www.ncbi.nlm.nih.gov/gene/171602", "171602")</f>
        <v>171602</v>
      </c>
      <c r="C14347" s="9" t="str">
        <f>HYPERLINK("http://www.ncbi.nlm.nih.gov/gene/6129", "6129")</f>
        <v>6129</v>
      </c>
      <c r="D14347" t="str">
        <f>"rpl-7"</f>
        <v>rpl-7</v>
      </c>
      <c r="E14347" t="s">
        <v>8384</v>
      </c>
      <c r="F14347" t="s">
        <v>11</v>
      </c>
      <c r="G14347" t="s">
        <v>8385</v>
      </c>
      <c r="H14347" s="12">
        <v>-1.1745048669532701</v>
      </c>
      <c r="I14347" s="20">
        <v>-0.87972215738855097</v>
      </c>
      <c r="J14347" s="28">
        <v>0.37900984306011598</v>
      </c>
      <c r="K14347" s="29">
        <v>0.98289565623980701</v>
      </c>
    </row>
    <row r="14348" spans="1:11" x14ac:dyDescent="0.35">
      <c r="A14348" s="9" t="str">
        <f>HYPERLINK("http://www.ensembl.org/id/WBGene00004419", "WBGene00004419")</f>
        <v>WBGene00004419</v>
      </c>
      <c r="B14348" s="9" t="str">
        <f>HYPERLINK("http://www.ncbi.nlm.nih.gov/gene/177203", "177203")</f>
        <v>177203</v>
      </c>
      <c r="C14348" s="9"/>
      <c r="D14348" t="str">
        <f>"rpl-7A"</f>
        <v>rpl-7A</v>
      </c>
      <c r="E14348" t="s">
        <v>7708</v>
      </c>
      <c r="F14348" t="s">
        <v>11</v>
      </c>
      <c r="G14348" t="s">
        <v>7709</v>
      </c>
      <c r="H14348" s="12">
        <v>-1.14048712666986</v>
      </c>
      <c r="I14348" s="20">
        <v>-0.70963435387370299</v>
      </c>
      <c r="J14348" s="28">
        <v>0.47793091029405499</v>
      </c>
      <c r="K14348" s="29">
        <v>0.98289565623980701</v>
      </c>
    </row>
    <row r="14349" spans="1:11" x14ac:dyDescent="0.35">
      <c r="A14349" s="9" t="str">
        <f>HYPERLINK("http://www.ensembl.org/id/WBGene00004420", "WBGene00004420")</f>
        <v>WBGene00004420</v>
      </c>
      <c r="B14349" s="9" t="str">
        <f>HYPERLINK("http://www.ncbi.nlm.nih.gov/gene/176071", "176071")</f>
        <v>176071</v>
      </c>
      <c r="C14349" s="9" t="str">
        <f>HYPERLINK("http://www.ncbi.nlm.nih.gov/gene/6133", "6133")</f>
        <v>6133</v>
      </c>
      <c r="D14349" t="str">
        <f>"rpl-9"</f>
        <v>rpl-9</v>
      </c>
      <c r="E14349" t="s">
        <v>8526</v>
      </c>
      <c r="F14349" t="s">
        <v>11</v>
      </c>
      <c r="G14349" t="s">
        <v>8527</v>
      </c>
      <c r="H14349" s="12">
        <v>-1.1818715236258199</v>
      </c>
      <c r="I14349" s="20">
        <v>-0.89788020571952898</v>
      </c>
      <c r="J14349" s="28">
        <v>0.36924941860913901</v>
      </c>
      <c r="K14349" s="29">
        <v>0.98289565623980701</v>
      </c>
    </row>
    <row r="14350" spans="1:11" x14ac:dyDescent="0.35">
      <c r="A14350" s="9" t="str">
        <f>HYPERLINK("http://www.ensembl.org/id/WBGene00004457", "WBGene00004457")</f>
        <v>WBGene00004457</v>
      </c>
      <c r="B14350" s="9" t="str">
        <f>HYPERLINK("http://www.ncbi.nlm.nih.gov/gene/179259", "179259")</f>
        <v>179259</v>
      </c>
      <c r="C14350" s="9" t="str">
        <f>HYPERLINK("http://www.ncbi.nlm.nih.gov/gene/23077", "23077")</f>
        <v>23077</v>
      </c>
      <c r="D14350" t="str">
        <f>"rpm-1"</f>
        <v>rpm-1</v>
      </c>
      <c r="E14350" t="s">
        <v>5751</v>
      </c>
      <c r="F14350" t="s">
        <v>11</v>
      </c>
      <c r="G14350" t="s">
        <v>5752</v>
      </c>
      <c r="H14350" s="12">
        <v>1.1093630991141501</v>
      </c>
      <c r="I14350" s="20">
        <v>0.52079031565575995</v>
      </c>
      <c r="J14350" s="28">
        <v>0.60251285014562495</v>
      </c>
      <c r="K14350" s="29">
        <v>0.98289565623980701</v>
      </c>
    </row>
    <row r="14351" spans="1:11" x14ac:dyDescent="0.35">
      <c r="A14351" s="9" t="str">
        <f>HYPERLINK("http://www.ensembl.org/id/WBGene00004466", "WBGene00004466")</f>
        <v>WBGene00004466</v>
      </c>
      <c r="B14351" s="9" t="str">
        <f>HYPERLINK("http://www.ncbi.nlm.nih.gov/gene/172977", "172977")</f>
        <v>172977</v>
      </c>
      <c r="C14351" s="9" t="str">
        <f>HYPERLINK("http://www.ncbi.nlm.nih.gov/gene/5710", "5710")</f>
        <v>5710</v>
      </c>
      <c r="D14351" t="str">
        <f>"rpn-10"</f>
        <v>rpn-10</v>
      </c>
      <c r="E14351" t="s">
        <v>7859</v>
      </c>
      <c r="F14351" t="s">
        <v>11</v>
      </c>
      <c r="H14351" s="12">
        <v>-1.1484978942934001</v>
      </c>
      <c r="I14351" s="20">
        <v>-0.75729582994317901</v>
      </c>
      <c r="J14351" s="28">
        <v>0.44887264865314003</v>
      </c>
      <c r="K14351" s="29">
        <v>0.98289565623980701</v>
      </c>
    </row>
    <row r="14352" spans="1:11" x14ac:dyDescent="0.35">
      <c r="A14352" s="9" t="str">
        <f>HYPERLINK("http://www.ensembl.org/id/WBGene00004468", "WBGene00004468")</f>
        <v>WBGene00004468</v>
      </c>
      <c r="B14352" s="9" t="str">
        <f>HYPERLINK("http://www.ncbi.nlm.nih.gov/gene/174786", "174786")</f>
        <v>174786</v>
      </c>
      <c r="C14352" s="9" t="str">
        <f>HYPERLINK("http://www.ncbi.nlm.nih.gov/gene/5714", "5714")</f>
        <v>5714</v>
      </c>
      <c r="D14352" t="str">
        <f>"rpn-12"</f>
        <v>rpn-12</v>
      </c>
      <c r="E14352" t="s">
        <v>8918</v>
      </c>
      <c r="F14352" t="s">
        <v>11</v>
      </c>
      <c r="G14352" t="s">
        <v>8919</v>
      </c>
      <c r="H14352" s="12">
        <v>-1.2080617949311601</v>
      </c>
      <c r="I14352" s="20">
        <v>-1.00348771768901</v>
      </c>
      <c r="J14352" s="28">
        <v>0.31562560007885498</v>
      </c>
      <c r="K14352" s="29">
        <v>0.98289565623980701</v>
      </c>
    </row>
    <row r="14353" spans="1:11" x14ac:dyDescent="0.35">
      <c r="A14353" s="9" t="str">
        <f>HYPERLINK("http://www.ensembl.org/id/WBGene00016981", "WBGene00016981")</f>
        <v>WBGene00016981</v>
      </c>
      <c r="B14353" s="9" t="str">
        <f>HYPERLINK("http://www.ncbi.nlm.nih.gov/gene/3565888", "3565888")</f>
        <v>3565888</v>
      </c>
      <c r="C14353" s="9"/>
      <c r="D14353" t="str">
        <f>"rpn-13"</f>
        <v>rpn-13</v>
      </c>
      <c r="E14353" t="s">
        <v>7685</v>
      </c>
      <c r="F14353" t="s">
        <v>11</v>
      </c>
      <c r="G14353" t="s">
        <v>7686</v>
      </c>
      <c r="H14353" s="12">
        <v>-1.13933517271341</v>
      </c>
      <c r="I14353" s="20">
        <v>-0.70641095981896695</v>
      </c>
      <c r="J14353" s="28">
        <v>0.47993260715004998</v>
      </c>
      <c r="K14353" s="29">
        <v>0.98289565623980701</v>
      </c>
    </row>
    <row r="14354" spans="1:11" x14ac:dyDescent="0.35">
      <c r="A14354" s="9" t="str">
        <f>HYPERLINK("http://www.ensembl.org/id/WBGene00004460", "WBGene00004460")</f>
        <v>WBGene00004460</v>
      </c>
      <c r="B14354" s="9" t="str">
        <f>HYPERLINK("http://www.ncbi.nlm.nih.gov/gene/176196", "176196")</f>
        <v>176196</v>
      </c>
      <c r="C14354" s="9" t="str">
        <f>HYPERLINK("http://www.ncbi.nlm.nih.gov/gene/5709", "5709")</f>
        <v>5709</v>
      </c>
      <c r="D14354" t="str">
        <f>"rpn-3"</f>
        <v>rpn-3</v>
      </c>
      <c r="E14354" t="s">
        <v>8760</v>
      </c>
      <c r="F14354" t="s">
        <v>11</v>
      </c>
      <c r="G14354" t="s">
        <v>3902</v>
      </c>
      <c r="H14354" s="12">
        <v>-1.19470746864514</v>
      </c>
      <c r="I14354" s="20">
        <v>-0.98457486016169304</v>
      </c>
      <c r="J14354" s="28">
        <v>0.32483294338736302</v>
      </c>
      <c r="K14354" s="29">
        <v>0.98289565623980701</v>
      </c>
    </row>
    <row r="14355" spans="1:11" x14ac:dyDescent="0.35">
      <c r="A14355" s="9" t="str">
        <f>HYPERLINK("http://www.ensembl.org/id/WBGene00004462", "WBGene00004462")</f>
        <v>WBGene00004462</v>
      </c>
      <c r="B14355" s="9" t="str">
        <f>HYPERLINK("http://www.ncbi.nlm.nih.gov/gene/175972", "175972")</f>
        <v>175972</v>
      </c>
      <c r="C14355" s="9" t="str">
        <f>HYPERLINK("http://www.ncbi.nlm.nih.gov/gene/5717", "5717")</f>
        <v>5717</v>
      </c>
      <c r="D14355" t="str">
        <f>"rpn-6.1"</f>
        <v>rpn-6.1</v>
      </c>
      <c r="E14355" t="s">
        <v>8295</v>
      </c>
      <c r="F14355" t="s">
        <v>11</v>
      </c>
      <c r="H14355" s="12">
        <v>-1.1696416639646601</v>
      </c>
      <c r="I14355" s="20">
        <v>-0.85882048841229597</v>
      </c>
      <c r="J14355" s="28">
        <v>0.39043956206664199</v>
      </c>
      <c r="K14355" s="29">
        <v>0.98289565623980701</v>
      </c>
    </row>
    <row r="14356" spans="1:11" x14ac:dyDescent="0.35">
      <c r="A14356" s="9" t="str">
        <f>HYPERLINK("http://www.ensembl.org/id/WBGene00004465", "WBGene00004465")</f>
        <v>WBGene00004465</v>
      </c>
      <c r="B14356" s="9" t="str">
        <f>HYPERLINK("http://www.ncbi.nlm.nih.gov/gene/174715", "174715")</f>
        <v>174715</v>
      </c>
      <c r="C14356" s="9" t="str">
        <f>HYPERLINK("http://www.ncbi.nlm.nih.gov/gene/5719", "5719")</f>
        <v>5719</v>
      </c>
      <c r="D14356" t="str">
        <f>"rpn-9"</f>
        <v>rpn-9</v>
      </c>
      <c r="E14356" t="s">
        <v>2743</v>
      </c>
      <c r="F14356" t="s">
        <v>11</v>
      </c>
      <c r="G14356" t="s">
        <v>9466</v>
      </c>
      <c r="H14356" s="12">
        <v>-1.2483718865509299</v>
      </c>
      <c r="I14356" s="20">
        <v>-1.1972227726915501</v>
      </c>
      <c r="J14356" s="28">
        <v>0.23121973598780099</v>
      </c>
      <c r="K14356" s="29">
        <v>0.98289565623980701</v>
      </c>
    </row>
    <row r="14357" spans="1:11" x14ac:dyDescent="0.35">
      <c r="A14357" s="9" t="str">
        <f>HYPERLINK("http://www.ensembl.org/id/WBGene00012999", "WBGene00012999")</f>
        <v>WBGene00012999</v>
      </c>
      <c r="B14357" s="9" t="str">
        <f>HYPERLINK("http://www.ncbi.nlm.nih.gov/gene/175015", "175015")</f>
        <v>175015</v>
      </c>
      <c r="C14357" s="9" t="str">
        <f>HYPERLINK("http://www.ncbi.nlm.nih.gov/gene/25885", "25885")</f>
        <v>25885</v>
      </c>
      <c r="D14357" t="str">
        <f>"rpoa-1"</f>
        <v>rpoa-1</v>
      </c>
      <c r="E14357" t="s">
        <v>2533</v>
      </c>
      <c r="F14357" t="s">
        <v>11</v>
      </c>
      <c r="G14357" t="s">
        <v>5891</v>
      </c>
      <c r="H14357" s="12">
        <v>1.08863956278115</v>
      </c>
      <c r="I14357" s="20">
        <v>0.39283435594875599</v>
      </c>
      <c r="J14357" s="28">
        <v>0.69444182797495402</v>
      </c>
      <c r="K14357" s="29">
        <v>0.98289565623980701</v>
      </c>
    </row>
    <row r="14358" spans="1:11" x14ac:dyDescent="0.35">
      <c r="A14358" s="9" t="str">
        <f>HYPERLINK("http://www.ensembl.org/id/WBGene00017749", "WBGene00017749")</f>
        <v>WBGene00017749</v>
      </c>
      <c r="B14358" s="9" t="str">
        <f>HYPERLINK("http://www.ncbi.nlm.nih.gov/gene/24104475", "24104475")</f>
        <v>24104475</v>
      </c>
      <c r="C14358" s="9"/>
      <c r="D14358" t="str">
        <f>"rpoa-49"</f>
        <v>rpoa-49</v>
      </c>
      <c r="E14358" t="s">
        <v>7668</v>
      </c>
      <c r="F14358" t="s">
        <v>11</v>
      </c>
      <c r="G14358" t="s">
        <v>7669</v>
      </c>
      <c r="H14358" s="12">
        <v>-1.1385609943161901</v>
      </c>
      <c r="I14358" s="20">
        <v>-0.551829732600987</v>
      </c>
      <c r="J14358" s="28">
        <v>0.58106501444296799</v>
      </c>
      <c r="K14358" s="29">
        <v>0.98289565623980701</v>
      </c>
    </row>
    <row r="14359" spans="1:11" x14ac:dyDescent="0.35">
      <c r="A14359" s="9" t="str">
        <f>HYPERLINK("http://www.ensembl.org/id/WBGene00013680", "WBGene00013680")</f>
        <v>WBGene00013680</v>
      </c>
      <c r="B14359" s="9" t="str">
        <f>HYPERLINK("http://www.ncbi.nlm.nih.gov/gene/173317", "173317")</f>
        <v>173317</v>
      </c>
      <c r="C14359" s="9"/>
      <c r="D14359" t="str">
        <f>"rpom-1"</f>
        <v>rpom-1</v>
      </c>
      <c r="E14359" t="s">
        <v>9012</v>
      </c>
      <c r="F14359" t="s">
        <v>11</v>
      </c>
      <c r="G14359" t="s">
        <v>9013</v>
      </c>
      <c r="H14359" s="12">
        <v>-1.21455667850935</v>
      </c>
      <c r="I14359" s="20">
        <v>-0.90436131664257702</v>
      </c>
      <c r="J14359" s="28">
        <v>0.36580384312488301</v>
      </c>
      <c r="K14359" s="29">
        <v>0.98289565623980701</v>
      </c>
    </row>
    <row r="14360" spans="1:11" x14ac:dyDescent="0.35">
      <c r="A14360" s="9" t="str">
        <f>HYPERLINK("http://www.ensembl.org/id/WBGene00004469", "WBGene00004469")</f>
        <v>WBGene00004469</v>
      </c>
      <c r="B14360" s="9" t="str">
        <f>HYPERLINK("http://www.ncbi.nlm.nih.gov/gene/175628", "175628")</f>
        <v>175628</v>
      </c>
      <c r="C14360" s="9" t="str">
        <f>HYPERLINK("http://www.ncbi.nlm.nih.gov/gene/3921", "3921")</f>
        <v>3921</v>
      </c>
      <c r="D14360" t="str">
        <f>"rps-0"</f>
        <v>rps-0</v>
      </c>
      <c r="E14360" t="s">
        <v>8289</v>
      </c>
      <c r="F14360" t="s">
        <v>11</v>
      </c>
      <c r="G14360" t="s">
        <v>8290</v>
      </c>
      <c r="H14360" s="12">
        <v>-1.1691268693072601</v>
      </c>
      <c r="I14360" s="20">
        <v>-0.838712897891293</v>
      </c>
      <c r="J14360" s="28">
        <v>0.40163043880054999</v>
      </c>
      <c r="K14360" s="29">
        <v>0.98289565623980701</v>
      </c>
    </row>
    <row r="14361" spans="1:11" x14ac:dyDescent="0.35">
      <c r="A14361" s="9" t="str">
        <f>HYPERLINK("http://www.ensembl.org/id/WBGene00004470", "WBGene00004470")</f>
        <v>WBGene00004470</v>
      </c>
      <c r="B14361" s="9" t="str">
        <f>HYPERLINK("http://www.ncbi.nlm.nih.gov/gene/175584", "175584")</f>
        <v>175584</v>
      </c>
      <c r="C14361" s="9" t="str">
        <f>HYPERLINK("http://www.ncbi.nlm.nih.gov/gene/6189", "6189")</f>
        <v>6189</v>
      </c>
      <c r="D14361" t="str">
        <f>"rps-1"</f>
        <v>rps-1</v>
      </c>
      <c r="E14361" t="s">
        <v>8123</v>
      </c>
      <c r="F14361" t="s">
        <v>11</v>
      </c>
      <c r="G14361" t="s">
        <v>8124</v>
      </c>
      <c r="H14361" s="12">
        <v>-1.1614046975585399</v>
      </c>
      <c r="I14361" s="20">
        <v>-0.81597710405365498</v>
      </c>
      <c r="J14361" s="28">
        <v>0.41451323096680898</v>
      </c>
      <c r="K14361" s="29">
        <v>0.98289565623980701</v>
      </c>
    </row>
    <row r="14362" spans="1:11" x14ac:dyDescent="0.35">
      <c r="A14362" s="9" t="str">
        <f>HYPERLINK("http://www.ensembl.org/id/WBGene00004479", "WBGene00004479")</f>
        <v>WBGene00004479</v>
      </c>
      <c r="B14362" s="9" t="str">
        <f>HYPERLINK("http://www.ncbi.nlm.nih.gov/gene/172061", "172061")</f>
        <v>172061</v>
      </c>
      <c r="C14362" s="9" t="str">
        <f>HYPERLINK("http://www.ncbi.nlm.nih.gov/gene/100529239", "100529239")</f>
        <v>100529239</v>
      </c>
      <c r="D14362" t="str">
        <f>"rps-10"</f>
        <v>rps-10</v>
      </c>
      <c r="E14362" t="s">
        <v>7538</v>
      </c>
      <c r="F14362" t="s">
        <v>11</v>
      </c>
      <c r="G14362" t="s">
        <v>7852</v>
      </c>
      <c r="H14362" s="12">
        <v>-1.14808815926868</v>
      </c>
      <c r="I14362" s="20">
        <v>-0.74317001661455095</v>
      </c>
      <c r="J14362" s="28">
        <v>0.45737875372479803</v>
      </c>
      <c r="K14362" s="29">
        <v>0.98289565623980701</v>
      </c>
    </row>
    <row r="14363" spans="1:11" x14ac:dyDescent="0.35">
      <c r="A14363" s="9" t="str">
        <f>HYPERLINK("http://www.ensembl.org/id/WBGene00004480", "WBGene00004480")</f>
        <v>WBGene00004480</v>
      </c>
      <c r="B14363" s="9" t="str">
        <f>HYPERLINK("http://www.ncbi.nlm.nih.gov/gene/178083", "178083")</f>
        <v>178083</v>
      </c>
      <c r="C14363" s="9" t="str">
        <f>HYPERLINK("http://www.ncbi.nlm.nih.gov/gene/6205", "6205")</f>
        <v>6205</v>
      </c>
      <c r="D14363" t="str">
        <f>"rps-11"</f>
        <v>rps-11</v>
      </c>
      <c r="E14363" t="s">
        <v>7538</v>
      </c>
      <c r="F14363" t="s">
        <v>11</v>
      </c>
      <c r="G14363" t="s">
        <v>8218</v>
      </c>
      <c r="H14363" s="12">
        <v>-1.1663188303351599</v>
      </c>
      <c r="I14363" s="20">
        <v>-0.82521400953796997</v>
      </c>
      <c r="J14363" s="28">
        <v>0.40925010112078902</v>
      </c>
      <c r="K14363" s="29">
        <v>0.98289565623980701</v>
      </c>
    </row>
    <row r="14364" spans="1:11" x14ac:dyDescent="0.35">
      <c r="A14364" s="9" t="str">
        <f>HYPERLINK("http://www.ensembl.org/id/WBGene00004481", "WBGene00004481")</f>
        <v>WBGene00004481</v>
      </c>
      <c r="B14364" s="9" t="str">
        <f>HYPERLINK("http://www.ncbi.nlm.nih.gov/gene/175786", "175786")</f>
        <v>175786</v>
      </c>
      <c r="C14364" s="9" t="str">
        <f>HYPERLINK("http://www.ncbi.nlm.nih.gov/gene/6206", "6206")</f>
        <v>6206</v>
      </c>
      <c r="D14364" t="str">
        <f>"rps-12"</f>
        <v>rps-12</v>
      </c>
      <c r="E14364" t="s">
        <v>8814</v>
      </c>
      <c r="F14364" t="s">
        <v>11</v>
      </c>
      <c r="G14364" t="s">
        <v>8815</v>
      </c>
      <c r="H14364" s="12">
        <v>-1.19896422362976</v>
      </c>
      <c r="I14364" s="20">
        <v>-0.97727312772166197</v>
      </c>
      <c r="J14364" s="28">
        <v>0.32843395303209999</v>
      </c>
      <c r="K14364" s="29">
        <v>0.98289565623980701</v>
      </c>
    </row>
    <row r="14365" spans="1:11" x14ac:dyDescent="0.35">
      <c r="A14365" s="9" t="str">
        <f>HYPERLINK("http://www.ensembl.org/id/WBGene00004482", "WBGene00004482")</f>
        <v>WBGene00004482</v>
      </c>
      <c r="B14365" s="9" t="str">
        <f>HYPERLINK("http://www.ncbi.nlm.nih.gov/gene/175901", "175901")</f>
        <v>175901</v>
      </c>
      <c r="C14365" s="9" t="str">
        <f>HYPERLINK("http://www.ncbi.nlm.nih.gov/gene/6207", "6207")</f>
        <v>6207</v>
      </c>
      <c r="D14365" t="str">
        <f>"rps-13"</f>
        <v>rps-13</v>
      </c>
      <c r="E14365" t="s">
        <v>7856</v>
      </c>
      <c r="F14365" t="s">
        <v>11</v>
      </c>
      <c r="G14365" t="s">
        <v>7857</v>
      </c>
      <c r="H14365" s="12">
        <v>-1.14836460263842</v>
      </c>
      <c r="I14365" s="20">
        <v>-0.73988395762064996</v>
      </c>
      <c r="J14365" s="28">
        <v>0.45937040938141099</v>
      </c>
      <c r="K14365" s="29">
        <v>0.98289565623980701</v>
      </c>
    </row>
    <row r="14366" spans="1:11" x14ac:dyDescent="0.35">
      <c r="A14366" s="9" t="str">
        <f>HYPERLINK("http://www.ensembl.org/id/WBGene00004483", "WBGene00004483")</f>
        <v>WBGene00004483</v>
      </c>
      <c r="B14366" s="9" t="str">
        <f>HYPERLINK("http://www.ncbi.nlm.nih.gov/gene/176006", "176006")</f>
        <v>176006</v>
      </c>
      <c r="C14366" s="9" t="str">
        <f>HYPERLINK("http://www.ncbi.nlm.nih.gov/gene/6208", "6208")</f>
        <v>6208</v>
      </c>
      <c r="D14366" t="str">
        <f>"rps-14"</f>
        <v>rps-14</v>
      </c>
      <c r="E14366" t="s">
        <v>7947</v>
      </c>
      <c r="F14366" t="s">
        <v>11</v>
      </c>
      <c r="G14366" t="s">
        <v>7948</v>
      </c>
      <c r="H14366" s="12">
        <v>-1.15237663264802</v>
      </c>
      <c r="I14366" s="20">
        <v>-0.75513147069852105</v>
      </c>
      <c r="J14366" s="28">
        <v>0.450170101998496</v>
      </c>
      <c r="K14366" s="29">
        <v>0.98289565623980701</v>
      </c>
    </row>
    <row r="14367" spans="1:11" x14ac:dyDescent="0.35">
      <c r="A14367" s="9" t="str">
        <f>HYPERLINK("http://www.ensembl.org/id/WBGene00004484", "WBGene00004484")</f>
        <v>WBGene00004484</v>
      </c>
      <c r="B14367" s="9" t="str">
        <f>HYPERLINK("http://www.ncbi.nlm.nih.gov/gene/172693", "172693")</f>
        <v>172693</v>
      </c>
      <c r="C14367" s="9"/>
      <c r="D14367" t="str">
        <f>"rps-15"</f>
        <v>rps-15</v>
      </c>
      <c r="E14367" t="s">
        <v>8015</v>
      </c>
      <c r="F14367" t="s">
        <v>11</v>
      </c>
      <c r="G14367" t="s">
        <v>8016</v>
      </c>
      <c r="H14367" s="12">
        <v>-1.156218234502</v>
      </c>
      <c r="I14367" s="20">
        <v>-0.78575926405862995</v>
      </c>
      <c r="J14367" s="28">
        <v>0.43200853593406502</v>
      </c>
      <c r="K14367" s="29">
        <v>0.98289565623980701</v>
      </c>
    </row>
    <row r="14368" spans="1:11" x14ac:dyDescent="0.35">
      <c r="A14368" s="9" t="str">
        <f>HYPERLINK("http://www.ensembl.org/id/WBGene00004485", "WBGene00004485")</f>
        <v>WBGene00004485</v>
      </c>
      <c r="B14368" s="9" t="str">
        <f>HYPERLINK("http://www.ncbi.nlm.nih.gov/gene/179998", "179998")</f>
        <v>179998</v>
      </c>
      <c r="C14368" s="9" t="str">
        <f>HYPERLINK("http://www.ncbi.nlm.nih.gov/gene/6217", "6217")</f>
        <v>6217</v>
      </c>
      <c r="D14368" t="str">
        <f>"rps-16"</f>
        <v>rps-16</v>
      </c>
      <c r="E14368" t="s">
        <v>8042</v>
      </c>
      <c r="F14368" t="s">
        <v>11</v>
      </c>
      <c r="G14368" t="s">
        <v>8043</v>
      </c>
      <c r="H14368" s="12">
        <v>-1.1577834859922</v>
      </c>
      <c r="I14368" s="20">
        <v>-0.79950629627783898</v>
      </c>
      <c r="J14368" s="28">
        <v>0.423996897246677</v>
      </c>
      <c r="K14368" s="29">
        <v>0.98289565623980701</v>
      </c>
    </row>
    <row r="14369" spans="1:11" x14ac:dyDescent="0.35">
      <c r="A14369" s="9" t="str">
        <f>HYPERLINK("http://www.ensembl.org/id/WBGene00004486", "WBGene00004486")</f>
        <v>WBGene00004486</v>
      </c>
      <c r="B14369" s="9" t="str">
        <f>HYPERLINK("http://www.ncbi.nlm.nih.gov/gene/172313", "172313")</f>
        <v>172313</v>
      </c>
      <c r="C14369" s="9" t="str">
        <f>HYPERLINK("http://www.ncbi.nlm.nih.gov/gene/6218", "6218")</f>
        <v>6218</v>
      </c>
      <c r="D14369" t="str">
        <f>"rps-17"</f>
        <v>rps-17</v>
      </c>
      <c r="E14369" t="s">
        <v>7579</v>
      </c>
      <c r="F14369" t="s">
        <v>11</v>
      </c>
      <c r="G14369" t="s">
        <v>7580</v>
      </c>
      <c r="H14369" s="12">
        <v>-1.1340855873967399</v>
      </c>
      <c r="I14369" s="20">
        <v>-0.67565624846678796</v>
      </c>
      <c r="J14369" s="28">
        <v>0.49925892009886103</v>
      </c>
      <c r="K14369" s="29">
        <v>0.98289565623980701</v>
      </c>
    </row>
    <row r="14370" spans="1:11" x14ac:dyDescent="0.35">
      <c r="A14370" s="9" t="str">
        <f>HYPERLINK("http://www.ensembl.org/id/WBGene00004487", "WBGene00004487")</f>
        <v>WBGene00004487</v>
      </c>
      <c r="B14370" s="9" t="str">
        <f>HYPERLINK("http://www.ncbi.nlm.nih.gov/gene/178408", "178408")</f>
        <v>178408</v>
      </c>
      <c r="C14370" s="9" t="str">
        <f>HYPERLINK("http://www.ncbi.nlm.nih.gov/gene/6222", "6222")</f>
        <v>6222</v>
      </c>
      <c r="D14370" t="str">
        <f>"rps-18"</f>
        <v>rps-18</v>
      </c>
      <c r="E14370" t="s">
        <v>7538</v>
      </c>
      <c r="F14370" t="s">
        <v>11</v>
      </c>
      <c r="G14370" t="s">
        <v>8109</v>
      </c>
      <c r="H14370" s="12">
        <v>-1.1609459891951699</v>
      </c>
      <c r="I14370" s="20">
        <v>-0.811287434367297</v>
      </c>
      <c r="J14370" s="28">
        <v>0.41720062443653799</v>
      </c>
      <c r="K14370" s="29">
        <v>0.98289565623980701</v>
      </c>
    </row>
    <row r="14371" spans="1:11" x14ac:dyDescent="0.35">
      <c r="A14371" s="9" t="str">
        <f>HYPERLINK("http://www.ensembl.org/id/WBGene00004488", "WBGene00004488")</f>
        <v>WBGene00004488</v>
      </c>
      <c r="B14371" s="9" t="str">
        <f>HYPERLINK("http://www.ncbi.nlm.nih.gov/gene/172805", "172805")</f>
        <v>172805</v>
      </c>
      <c r="C14371" s="9"/>
      <c r="D14371" t="str">
        <f>"rps-19"</f>
        <v>rps-19</v>
      </c>
      <c r="E14371" t="s">
        <v>8199</v>
      </c>
      <c r="F14371" t="s">
        <v>11</v>
      </c>
      <c r="G14371" t="s">
        <v>8200</v>
      </c>
      <c r="H14371" s="12">
        <v>-1.16535164639558</v>
      </c>
      <c r="I14371" s="20">
        <v>-0.83079760671147995</v>
      </c>
      <c r="J14371" s="28">
        <v>0.406087974908792</v>
      </c>
      <c r="K14371" s="29">
        <v>0.98289565623980701</v>
      </c>
    </row>
    <row r="14372" spans="1:11" x14ac:dyDescent="0.35">
      <c r="A14372" s="9" t="str">
        <f>HYPERLINK("http://www.ensembl.org/id/WBGene00004471", "WBGene00004471")</f>
        <v>WBGene00004471</v>
      </c>
      <c r="B14372" s="9" t="str">
        <f>HYPERLINK("http://www.ncbi.nlm.nih.gov/gene/177583", "177583")</f>
        <v>177583</v>
      </c>
      <c r="C14372" s="9" t="str">
        <f>HYPERLINK("http://www.ncbi.nlm.nih.gov/gene/6187", "6187")</f>
        <v>6187</v>
      </c>
      <c r="D14372" t="str">
        <f>"rps-2"</f>
        <v>rps-2</v>
      </c>
      <c r="E14372" t="s">
        <v>8311</v>
      </c>
      <c r="F14372" t="s">
        <v>11</v>
      </c>
      <c r="G14372" t="s">
        <v>8312</v>
      </c>
      <c r="H14372" s="12">
        <v>-1.1705097430526401</v>
      </c>
      <c r="I14372" s="20">
        <v>-0.858416685824267</v>
      </c>
      <c r="J14372" s="28">
        <v>0.39066241717490102</v>
      </c>
      <c r="K14372" s="29">
        <v>0.98289565623980701</v>
      </c>
    </row>
    <row r="14373" spans="1:11" x14ac:dyDescent="0.35">
      <c r="A14373" s="9" t="str">
        <f>HYPERLINK("http://www.ensembl.org/id/WBGene00004489", "WBGene00004489")</f>
        <v>WBGene00004489</v>
      </c>
      <c r="B14373" s="9" t="str">
        <f>HYPERLINK("http://www.ncbi.nlm.nih.gov/gene/173309", "173309")</f>
        <v>173309</v>
      </c>
      <c r="C14373" s="9" t="str">
        <f>HYPERLINK("http://www.ncbi.nlm.nih.gov/gene/6224", "6224")</f>
        <v>6224</v>
      </c>
      <c r="D14373" t="str">
        <f>"rps-20"</f>
        <v>rps-20</v>
      </c>
      <c r="E14373" t="s">
        <v>7538</v>
      </c>
      <c r="F14373" t="s">
        <v>11</v>
      </c>
      <c r="G14373" t="s">
        <v>8063</v>
      </c>
      <c r="H14373" s="12">
        <v>-1.15932086370562</v>
      </c>
      <c r="I14373" s="20">
        <v>-0.80262678932136999</v>
      </c>
      <c r="J14373" s="28">
        <v>0.422190479542631</v>
      </c>
      <c r="K14373" s="29">
        <v>0.98289565623980701</v>
      </c>
    </row>
    <row r="14374" spans="1:11" x14ac:dyDescent="0.35">
      <c r="A14374" s="9" t="str">
        <f>HYPERLINK("http://www.ensembl.org/id/WBGene00004490", "WBGene00004490")</f>
        <v>WBGene00004490</v>
      </c>
      <c r="B14374" s="9" t="str">
        <f>HYPERLINK("http://www.ncbi.nlm.nih.gov/gene/176011", "176011")</f>
        <v>176011</v>
      </c>
      <c r="C14374" s="9" t="str">
        <f>HYPERLINK("http://www.ncbi.nlm.nih.gov/gene/6227", "6227")</f>
        <v>6227</v>
      </c>
      <c r="D14374" t="str">
        <f>"rps-21"</f>
        <v>rps-21</v>
      </c>
      <c r="E14374" t="s">
        <v>8991</v>
      </c>
      <c r="F14374" t="s">
        <v>11</v>
      </c>
      <c r="G14374" t="s">
        <v>8992</v>
      </c>
      <c r="H14374" s="12">
        <v>-1.2122682157545199</v>
      </c>
      <c r="I14374" s="20">
        <v>-1.0152244288477299</v>
      </c>
      <c r="J14374" s="28">
        <v>0.30999885830262502</v>
      </c>
      <c r="K14374" s="29">
        <v>0.98289565623980701</v>
      </c>
    </row>
    <row r="14375" spans="1:11" x14ac:dyDescent="0.35">
      <c r="A14375" s="9" t="str">
        <f>HYPERLINK("http://www.ensembl.org/id/WBGene00004491", "WBGene00004491")</f>
        <v>WBGene00004491</v>
      </c>
      <c r="B14375" s="9" t="str">
        <f>HYPERLINK("http://www.ncbi.nlm.nih.gov/gene/175338", "175338")</f>
        <v>175338</v>
      </c>
      <c r="C14375" s="9" t="str">
        <f>HYPERLINK("http://www.ncbi.nlm.nih.gov/gene/6210", "6210")</f>
        <v>6210</v>
      </c>
      <c r="D14375" t="str">
        <f>"rps-22"</f>
        <v>rps-22</v>
      </c>
      <c r="E14375" t="s">
        <v>7538</v>
      </c>
      <c r="F14375" t="s">
        <v>11</v>
      </c>
      <c r="G14375" t="s">
        <v>8218</v>
      </c>
      <c r="H14375" s="12">
        <v>-1.2102920404669399</v>
      </c>
      <c r="I14375" s="20">
        <v>-1.0244916426906101</v>
      </c>
      <c r="J14375" s="28">
        <v>0.30560311622661102</v>
      </c>
      <c r="K14375" s="29">
        <v>0.98289565623980701</v>
      </c>
    </row>
    <row r="14376" spans="1:11" x14ac:dyDescent="0.35">
      <c r="A14376" s="9" t="str">
        <f>HYPERLINK("http://www.ensembl.org/id/WBGene00004492", "WBGene00004492")</f>
        <v>WBGene00004492</v>
      </c>
      <c r="B14376" s="9" t="str">
        <f>HYPERLINK("http://www.ncbi.nlm.nih.gov/gene/178188", "178188")</f>
        <v>178188</v>
      </c>
      <c r="C14376" s="9" t="str">
        <f>HYPERLINK("http://www.ncbi.nlm.nih.gov/gene/6228", "6228")</f>
        <v>6228</v>
      </c>
      <c r="D14376" t="str">
        <f>"rps-23"</f>
        <v>rps-23</v>
      </c>
      <c r="E14376" t="s">
        <v>8664</v>
      </c>
      <c r="F14376" t="s">
        <v>11</v>
      </c>
      <c r="G14376" t="s">
        <v>8665</v>
      </c>
      <c r="H14376" s="12">
        <v>-1.18967883951081</v>
      </c>
      <c r="I14376" s="20">
        <v>-0.94978986049050995</v>
      </c>
      <c r="J14376" s="28">
        <v>0.34221903896585398</v>
      </c>
      <c r="K14376" s="29">
        <v>0.98289565623980701</v>
      </c>
    </row>
    <row r="14377" spans="1:11" x14ac:dyDescent="0.35">
      <c r="A14377" s="9" t="str">
        <f>HYPERLINK("http://www.ensembl.org/id/WBGene00004493", "WBGene00004493")</f>
        <v>WBGene00004493</v>
      </c>
      <c r="B14377" s="9" t="str">
        <f>HYPERLINK("http://www.ncbi.nlm.nih.gov/gene/176858", "176858")</f>
        <v>176858</v>
      </c>
      <c r="C14377" s="9" t="str">
        <f>HYPERLINK("http://www.ncbi.nlm.nih.gov/gene/6229", "6229")</f>
        <v>6229</v>
      </c>
      <c r="D14377" t="str">
        <f>"rps-24"</f>
        <v>rps-24</v>
      </c>
      <c r="E14377" t="s">
        <v>7538</v>
      </c>
      <c r="F14377" t="s">
        <v>11</v>
      </c>
      <c r="G14377" t="s">
        <v>7580</v>
      </c>
      <c r="H14377" s="12">
        <v>-1.1560035859457201</v>
      </c>
      <c r="I14377" s="20">
        <v>-0.779442483772399</v>
      </c>
      <c r="J14377" s="28">
        <v>0.43571910617693899</v>
      </c>
      <c r="K14377" s="29">
        <v>0.98289565623980701</v>
      </c>
    </row>
    <row r="14378" spans="1:11" x14ac:dyDescent="0.35">
      <c r="A14378" s="9" t="str">
        <f>HYPERLINK("http://www.ensembl.org/id/WBGene00004494", "WBGene00004494")</f>
        <v>WBGene00004494</v>
      </c>
      <c r="B14378" s="9" t="str">
        <f>HYPERLINK("http://www.ncbi.nlm.nih.gov/gene/177365", "177365")</f>
        <v>177365</v>
      </c>
      <c r="C14378" s="9" t="str">
        <f>HYPERLINK("http://www.ncbi.nlm.nih.gov/gene/6230", "6230")</f>
        <v>6230</v>
      </c>
      <c r="D14378" t="str">
        <f>"rps-25"</f>
        <v>rps-25</v>
      </c>
      <c r="E14378" t="s">
        <v>8736</v>
      </c>
      <c r="F14378" t="s">
        <v>11</v>
      </c>
      <c r="G14378" t="s">
        <v>8737</v>
      </c>
      <c r="H14378" s="12">
        <v>-1.19358385573452</v>
      </c>
      <c r="I14378" s="20">
        <v>-0.970500392040891</v>
      </c>
      <c r="J14378" s="28">
        <v>0.33179712959284602</v>
      </c>
      <c r="K14378" s="29">
        <v>0.98289565623980701</v>
      </c>
    </row>
    <row r="14379" spans="1:11" x14ac:dyDescent="0.35">
      <c r="A14379" s="9" t="str">
        <f>HYPERLINK("http://www.ensembl.org/id/WBGene00004495", "WBGene00004495")</f>
        <v>WBGene00004495</v>
      </c>
      <c r="B14379" s="9" t="str">
        <f>HYPERLINK("http://www.ncbi.nlm.nih.gov/gene/173342", "173342")</f>
        <v>173342</v>
      </c>
      <c r="C14379" s="9" t="str">
        <f>HYPERLINK("http://www.ncbi.nlm.nih.gov/gene/6231", "6231")</f>
        <v>6231</v>
      </c>
      <c r="D14379" t="str">
        <f>"rps-26"</f>
        <v>rps-26</v>
      </c>
      <c r="E14379" t="s">
        <v>8426</v>
      </c>
      <c r="F14379" t="s">
        <v>11</v>
      </c>
      <c r="G14379" t="s">
        <v>8427</v>
      </c>
      <c r="H14379" s="12">
        <v>-1.17701871011562</v>
      </c>
      <c r="I14379" s="20">
        <v>-0.88706594880656398</v>
      </c>
      <c r="J14379" s="28">
        <v>0.37504339547788801</v>
      </c>
      <c r="K14379" s="29">
        <v>0.98289565623980701</v>
      </c>
    </row>
    <row r="14380" spans="1:11" x14ac:dyDescent="0.35">
      <c r="A14380" s="9" t="str">
        <f>HYPERLINK("http://www.ensembl.org/id/WBGene00004496", "WBGene00004496")</f>
        <v>WBGene00004496</v>
      </c>
      <c r="B14380" s="9" t="str">
        <f>HYPERLINK("http://www.ncbi.nlm.nih.gov/gene/178538", "178538")</f>
        <v>178538</v>
      </c>
      <c r="C14380" s="9" t="str">
        <f>HYPERLINK("http://www.ncbi.nlm.nih.gov/gene/6232", "6232")</f>
        <v>6232</v>
      </c>
      <c r="D14380" t="str">
        <f>"rps-27"</f>
        <v>rps-27</v>
      </c>
      <c r="E14380" t="s">
        <v>7502</v>
      </c>
      <c r="F14380" t="s">
        <v>11</v>
      </c>
      <c r="G14380" t="s">
        <v>7503</v>
      </c>
      <c r="H14380" s="12">
        <v>-1.12964176683343</v>
      </c>
      <c r="I14380" s="20">
        <v>-0.64601018567187896</v>
      </c>
      <c r="J14380" s="28">
        <v>0.51827275897591696</v>
      </c>
      <c r="K14380" s="29">
        <v>0.98289565623980701</v>
      </c>
    </row>
    <row r="14381" spans="1:11" x14ac:dyDescent="0.35">
      <c r="A14381" s="9" t="str">
        <f>HYPERLINK("http://www.ensembl.org/id/WBGene00004497", "WBGene00004497")</f>
        <v>WBGene00004497</v>
      </c>
      <c r="B14381" s="9" t="str">
        <f>HYPERLINK("http://www.ncbi.nlm.nih.gov/gene/176975", "176975")</f>
        <v>176975</v>
      </c>
      <c r="C14381" s="9" t="str">
        <f>HYPERLINK("http://www.ncbi.nlm.nih.gov/gene/6234", "6234")</f>
        <v>6234</v>
      </c>
      <c r="D14381" t="str">
        <f>"rps-28"</f>
        <v>rps-28</v>
      </c>
      <c r="E14381" t="s">
        <v>7480</v>
      </c>
      <c r="F14381" t="s">
        <v>11</v>
      </c>
      <c r="G14381" t="s">
        <v>7481</v>
      </c>
      <c r="H14381" s="12">
        <v>-1.12847083964317</v>
      </c>
      <c r="I14381" s="20">
        <v>-0.65293505494905701</v>
      </c>
      <c r="J14381" s="28">
        <v>0.51379814840453897</v>
      </c>
      <c r="K14381" s="29">
        <v>0.98289565623980701</v>
      </c>
    </row>
    <row r="14382" spans="1:11" x14ac:dyDescent="0.35">
      <c r="A14382" s="9" t="str">
        <f>HYPERLINK("http://www.ensembl.org/id/WBGene00004498", "WBGene00004498")</f>
        <v>WBGene00004498</v>
      </c>
      <c r="B14382" s="9" t="str">
        <f>HYPERLINK("http://www.ncbi.nlm.nih.gov/gene/175235", "175235")</f>
        <v>175235</v>
      </c>
      <c r="C14382" s="9"/>
      <c r="D14382" t="str">
        <f>"rps-29"</f>
        <v>rps-29</v>
      </c>
      <c r="E14382" t="s">
        <v>7538</v>
      </c>
      <c r="F14382" t="s">
        <v>11</v>
      </c>
      <c r="G14382" t="s">
        <v>7539</v>
      </c>
      <c r="H14382" s="12">
        <v>-1.1316001308095001</v>
      </c>
      <c r="I14382" s="20">
        <v>-0.66446374326167901</v>
      </c>
      <c r="J14382" s="28">
        <v>0.50639354692986405</v>
      </c>
      <c r="K14382" s="29">
        <v>0.98289565623980701</v>
      </c>
    </row>
    <row r="14383" spans="1:11" x14ac:dyDescent="0.35">
      <c r="A14383" s="9" t="str">
        <f>HYPERLINK("http://www.ensembl.org/id/WBGene00004472", "WBGene00004472")</f>
        <v>WBGene00004472</v>
      </c>
      <c r="B14383" s="9" t="str">
        <f>HYPERLINK("http://www.ncbi.nlm.nih.gov/gene/175879", "175879")</f>
        <v>175879</v>
      </c>
      <c r="C14383" s="9" t="str">
        <f>HYPERLINK("http://www.ncbi.nlm.nih.gov/gene/6188", "6188")</f>
        <v>6188</v>
      </c>
      <c r="D14383" t="str">
        <f>"rps-3"</f>
        <v>rps-3</v>
      </c>
      <c r="E14383" t="s">
        <v>8284</v>
      </c>
      <c r="F14383" t="s">
        <v>11</v>
      </c>
      <c r="G14383" t="s">
        <v>8285</v>
      </c>
      <c r="H14383" s="12">
        <v>-1.1688391037450501</v>
      </c>
      <c r="I14383" s="20">
        <v>-0.845551467012851</v>
      </c>
      <c r="J14383" s="28">
        <v>0.397803009827707</v>
      </c>
      <c r="K14383" s="29">
        <v>0.98289565623980701</v>
      </c>
    </row>
    <row r="14384" spans="1:11" x14ac:dyDescent="0.35">
      <c r="A14384" s="9" t="str">
        <f>HYPERLINK("http://www.ensembl.org/id/WBGene00004499", "WBGene00004499")</f>
        <v>WBGene00004499</v>
      </c>
      <c r="B14384" s="9" t="str">
        <f>HYPERLINK("http://www.ncbi.nlm.nih.gov/gene/179154", "179154")</f>
        <v>179154</v>
      </c>
      <c r="C14384" s="9" t="str">
        <f>HYPERLINK("http://www.ncbi.nlm.nih.gov/gene/2197", "2197")</f>
        <v>2197</v>
      </c>
      <c r="D14384" t="str">
        <f>"rps-30"</f>
        <v>rps-30</v>
      </c>
      <c r="E14384" t="s">
        <v>7696</v>
      </c>
      <c r="F14384" t="s">
        <v>11</v>
      </c>
      <c r="G14384" t="s">
        <v>7697</v>
      </c>
      <c r="H14384" s="12">
        <v>-1.13975690240169</v>
      </c>
      <c r="I14384" s="20">
        <v>-0.71279079134925205</v>
      </c>
      <c r="J14384" s="28">
        <v>0.47597522475573301</v>
      </c>
      <c r="K14384" s="29">
        <v>0.98289565623980701</v>
      </c>
    </row>
    <row r="14385" spans="1:11" x14ac:dyDescent="0.35">
      <c r="A14385" s="9" t="str">
        <f>HYPERLINK("http://www.ensembl.org/id/WBGene00004473", "WBGene00004473")</f>
        <v>WBGene00004473</v>
      </c>
      <c r="B14385" s="9" t="str">
        <f>HYPERLINK("http://www.ncbi.nlm.nih.gov/gene/177481", "177481")</f>
        <v>177481</v>
      </c>
      <c r="C14385" s="9" t="str">
        <f>HYPERLINK("http://www.ncbi.nlm.nih.gov/gene/6191", "6191")</f>
        <v>6191</v>
      </c>
      <c r="D14385" t="str">
        <f>"rps-4"</f>
        <v>rps-4</v>
      </c>
      <c r="E14385" t="s">
        <v>7197</v>
      </c>
      <c r="F14385" t="s">
        <v>11</v>
      </c>
      <c r="G14385" t="s">
        <v>7198</v>
      </c>
      <c r="H14385" s="12">
        <v>-1.11297900559442</v>
      </c>
      <c r="I14385" s="20">
        <v>-0.570443359226673</v>
      </c>
      <c r="J14385" s="28">
        <v>0.56837702830944903</v>
      </c>
      <c r="K14385" s="29">
        <v>0.98289565623980701</v>
      </c>
    </row>
    <row r="14386" spans="1:11" x14ac:dyDescent="0.35">
      <c r="A14386" s="9" t="str">
        <f>HYPERLINK("http://www.ensembl.org/id/WBGene00004474", "WBGene00004474")</f>
        <v>WBGene00004474</v>
      </c>
      <c r="B14386" s="9" t="str">
        <f>HYPERLINK("http://www.ncbi.nlm.nih.gov/gene/178012", "178012")</f>
        <v>178012</v>
      </c>
      <c r="C14386" s="9" t="str">
        <f>HYPERLINK("http://www.ncbi.nlm.nih.gov/gene/6193", "6193")</f>
        <v>6193</v>
      </c>
      <c r="D14386" t="str">
        <f>"rps-5"</f>
        <v>rps-5</v>
      </c>
      <c r="E14386" t="s">
        <v>8391</v>
      </c>
      <c r="F14386" t="s">
        <v>11</v>
      </c>
      <c r="G14386" t="s">
        <v>8392</v>
      </c>
      <c r="H14386" s="12">
        <v>-1.1748473028940101</v>
      </c>
      <c r="I14386" s="20">
        <v>-0.86335523615244703</v>
      </c>
      <c r="J14386" s="28">
        <v>0.38794218319762303</v>
      </c>
      <c r="K14386" s="29">
        <v>0.98289565623980701</v>
      </c>
    </row>
    <row r="14387" spans="1:11" x14ac:dyDescent="0.35">
      <c r="A14387" s="9" t="str">
        <f>HYPERLINK("http://www.ensembl.org/id/WBGene00004475", "WBGene00004475")</f>
        <v>WBGene00004475</v>
      </c>
      <c r="B14387" s="9" t="str">
        <f>HYPERLINK("http://www.ncbi.nlm.nih.gov/gene/173260", "173260")</f>
        <v>173260</v>
      </c>
      <c r="C14387" s="9" t="str">
        <f>HYPERLINK("http://www.ncbi.nlm.nih.gov/gene/6194", "6194")</f>
        <v>6194</v>
      </c>
      <c r="D14387" t="str">
        <f>"rps-6"</f>
        <v>rps-6</v>
      </c>
      <c r="E14387" t="s">
        <v>8263</v>
      </c>
      <c r="F14387" t="s">
        <v>11</v>
      </c>
      <c r="G14387" t="s">
        <v>8264</v>
      </c>
      <c r="H14387" s="12">
        <v>-1.1680067129262099</v>
      </c>
      <c r="I14387" s="20">
        <v>-0.83850668941530204</v>
      </c>
      <c r="J14387" s="28">
        <v>0.401746192323718</v>
      </c>
      <c r="K14387" s="29">
        <v>0.98289565623980701</v>
      </c>
    </row>
    <row r="14388" spans="1:11" x14ac:dyDescent="0.35">
      <c r="A14388" s="9" t="str">
        <f>HYPERLINK("http://www.ensembl.org/id/WBGene00004476", "WBGene00004476")</f>
        <v>WBGene00004476</v>
      </c>
      <c r="B14388" s="9" t="str">
        <f>HYPERLINK("http://www.ncbi.nlm.nih.gov/gene/172901", "172901")</f>
        <v>172901</v>
      </c>
      <c r="C14388" s="9" t="str">
        <f>HYPERLINK("http://www.ncbi.nlm.nih.gov/gene/6201", "6201")</f>
        <v>6201</v>
      </c>
      <c r="D14388" t="str">
        <f>"rps-7"</f>
        <v>rps-7</v>
      </c>
      <c r="E14388" t="s">
        <v>8520</v>
      </c>
      <c r="F14388" t="s">
        <v>11</v>
      </c>
      <c r="G14388" t="s">
        <v>8521</v>
      </c>
      <c r="H14388" s="12">
        <v>-1.18180776032101</v>
      </c>
      <c r="I14388" s="20">
        <v>-0.90524431122483595</v>
      </c>
      <c r="J14388" s="28">
        <v>0.365335971646019</v>
      </c>
      <c r="K14388" s="29">
        <v>0.98289565623980701</v>
      </c>
    </row>
    <row r="14389" spans="1:11" x14ac:dyDescent="0.35">
      <c r="A14389" s="9" t="str">
        <f>HYPERLINK("http://www.ensembl.org/id/WBGene00004477", "WBGene00004477")</f>
        <v>WBGene00004477</v>
      </c>
      <c r="B14389" s="9" t="str">
        <f>HYPERLINK("http://www.ncbi.nlm.nih.gov/gene/177503", "177503")</f>
        <v>177503</v>
      </c>
      <c r="C14389" s="9" t="str">
        <f>HYPERLINK("http://www.ncbi.nlm.nih.gov/gene/6202", "6202")</f>
        <v>6202</v>
      </c>
      <c r="D14389" t="str">
        <f>"rps-8"</f>
        <v>rps-8</v>
      </c>
      <c r="E14389" t="s">
        <v>8612</v>
      </c>
      <c r="F14389" t="s">
        <v>11</v>
      </c>
      <c r="G14389" t="s">
        <v>8613</v>
      </c>
      <c r="H14389" s="12">
        <v>-1.18655489018677</v>
      </c>
      <c r="I14389" s="20">
        <v>-0.91577309930801898</v>
      </c>
      <c r="J14389" s="28">
        <v>0.359785915555281</v>
      </c>
      <c r="K14389" s="29">
        <v>0.98289565623980701</v>
      </c>
    </row>
    <row r="14390" spans="1:11" x14ac:dyDescent="0.35">
      <c r="A14390" s="9" t="str">
        <f>HYPERLINK("http://www.ensembl.org/id/WBGene00004478", "WBGene00004478")</f>
        <v>WBGene00004478</v>
      </c>
      <c r="B14390" s="9" t="str">
        <f>HYPERLINK("http://www.ncbi.nlm.nih.gov/gene/174699", "174699")</f>
        <v>174699</v>
      </c>
      <c r="C14390" s="9" t="str">
        <f>HYPERLINK("http://www.ncbi.nlm.nih.gov/gene/6203", "6203")</f>
        <v>6203</v>
      </c>
      <c r="D14390" t="str">
        <f>"rps-9"</f>
        <v>rps-9</v>
      </c>
      <c r="E14390" t="s">
        <v>8269</v>
      </c>
      <c r="F14390" t="s">
        <v>11</v>
      </c>
      <c r="G14390" t="s">
        <v>8270</v>
      </c>
      <c r="H14390" s="12">
        <v>-1.1681609633049901</v>
      </c>
      <c r="I14390" s="20">
        <v>-0.840197824178604</v>
      </c>
      <c r="J14390" s="28">
        <v>0.400797478168614</v>
      </c>
      <c r="K14390" s="29">
        <v>0.98289565623980701</v>
      </c>
    </row>
    <row r="14391" spans="1:11" x14ac:dyDescent="0.35">
      <c r="A14391" s="9" t="str">
        <f>HYPERLINK("http://www.ensembl.org/id/WBGene00004504", "WBGene00004504")</f>
        <v>WBGene00004504</v>
      </c>
      <c r="B14391" s="9" t="str">
        <f>HYPERLINK("http://www.ncbi.nlm.nih.gov/gene/173384", "173384")</f>
        <v>173384</v>
      </c>
      <c r="C14391" s="9" t="str">
        <f>HYPERLINK("http://www.ncbi.nlm.nih.gov/gene/5706", "5706")</f>
        <v>5706</v>
      </c>
      <c r="D14391" t="str">
        <f>"rpt-4"</f>
        <v>rpt-4</v>
      </c>
      <c r="E14391" t="s">
        <v>9360</v>
      </c>
      <c r="F14391" t="s">
        <v>11</v>
      </c>
      <c r="G14391" t="s">
        <v>9361</v>
      </c>
      <c r="H14391" s="12">
        <v>-1.24078868071125</v>
      </c>
      <c r="I14391" s="20">
        <v>-1.1822915912149701</v>
      </c>
      <c r="J14391" s="28">
        <v>0.237090020925047</v>
      </c>
      <c r="K14391" s="29">
        <v>0.98289565623980701</v>
      </c>
    </row>
    <row r="14392" spans="1:11" x14ac:dyDescent="0.35">
      <c r="A14392" s="9" t="str">
        <f>HYPERLINK("http://www.ensembl.org/id/WBGene00004506", "WBGene00004506")</f>
        <v>WBGene00004506</v>
      </c>
      <c r="B14392" s="9" t="str">
        <f>HYPERLINK("http://www.ncbi.nlm.nih.gov/gene/176661", "176661")</f>
        <v>176661</v>
      </c>
      <c r="C14392" s="9" t="str">
        <f>HYPERLINK("http://www.ncbi.nlm.nih.gov/gene/5705", "5705")</f>
        <v>5705</v>
      </c>
      <c r="D14392" t="str">
        <f>"rpt-6"</f>
        <v>rpt-6</v>
      </c>
      <c r="E14392" t="s">
        <v>8769</v>
      </c>
      <c r="F14392" t="s">
        <v>11</v>
      </c>
      <c r="G14392" t="s">
        <v>8770</v>
      </c>
      <c r="H14392" s="12">
        <v>-1.19534475402407</v>
      </c>
      <c r="I14392" s="20">
        <v>-0.97559118178687598</v>
      </c>
      <c r="J14392" s="28">
        <v>0.32926709617036198</v>
      </c>
      <c r="K14392" s="29">
        <v>0.98289565623980701</v>
      </c>
    </row>
    <row r="14393" spans="1:11" x14ac:dyDescent="0.35">
      <c r="A14393" s="9" t="str">
        <f>HYPERLINK("http://www.ensembl.org/id/WBGene00004507", "WBGene00004507")</f>
        <v>WBGene00004507</v>
      </c>
      <c r="B14393" s="9" t="str">
        <f>HYPERLINK("http://www.ncbi.nlm.nih.gov/gene/174105", "174105")</f>
        <v>174105</v>
      </c>
      <c r="C14393" s="9" t="str">
        <f>HYPERLINK("http://www.ncbi.nlm.nih.gov/gene/5913", "5913")</f>
        <v>5913</v>
      </c>
      <c r="D14393" t="str">
        <f>"rpy-1"</f>
        <v>rpy-1</v>
      </c>
      <c r="E14393" t="s">
        <v>5677</v>
      </c>
      <c r="F14393" t="s">
        <v>11</v>
      </c>
      <c r="G14393" t="s">
        <v>5678</v>
      </c>
      <c r="H14393" s="12">
        <v>1.1248508024893999</v>
      </c>
      <c r="I14393" s="20">
        <v>0.53657504193052596</v>
      </c>
      <c r="J14393" s="28">
        <v>0.59156118775651101</v>
      </c>
      <c r="K14393" s="29">
        <v>0.98289565623980701</v>
      </c>
    </row>
    <row r="14394" spans="1:11" x14ac:dyDescent="0.35">
      <c r="A14394" s="9" t="str">
        <f>HYPERLINK("http://www.ensembl.org/id/WBGene00009800", "WBGene00009800")</f>
        <v>WBGene00009800</v>
      </c>
      <c r="B14394" s="9" t="str">
        <f>HYPERLINK("http://www.ncbi.nlm.nih.gov/gene/181195", "181195")</f>
        <v>181195</v>
      </c>
      <c r="C14394" s="9"/>
      <c r="D14394" t="str">
        <f>"rrc-1"</f>
        <v>rrc-1</v>
      </c>
      <c r="E14394" t="s">
        <v>5923</v>
      </c>
      <c r="F14394" t="s">
        <v>11</v>
      </c>
      <c r="G14394" t="s">
        <v>5924</v>
      </c>
      <c r="H14394" s="12">
        <v>1.08412003516918</v>
      </c>
      <c r="I14394" s="20">
        <v>0.32212176064489501</v>
      </c>
      <c r="J14394" s="28">
        <v>0.74736045355935299</v>
      </c>
      <c r="K14394" s="29">
        <v>0.98289565623980701</v>
      </c>
    </row>
    <row r="14395" spans="1:11" x14ac:dyDescent="0.35">
      <c r="A14395" s="9" t="str">
        <f>HYPERLINK("http://www.ensembl.org/id/WBGene00004510", "WBGene00004510")</f>
        <v>WBGene00004510</v>
      </c>
      <c r="B14395" s="9" t="str">
        <f>HYPERLINK("http://www.ncbi.nlm.nih.gov/gene/174315", "174315")</f>
        <v>174315</v>
      </c>
      <c r="C14395" s="9"/>
      <c r="D14395" t="str">
        <f>"rrf-3"</f>
        <v>rrf-3</v>
      </c>
      <c r="E14395" t="s">
        <v>7290</v>
      </c>
      <c r="F14395" t="s">
        <v>11</v>
      </c>
      <c r="G14395" t="s">
        <v>7291</v>
      </c>
      <c r="H14395" s="12">
        <v>-1.11794016754532</v>
      </c>
      <c r="I14395" s="20">
        <v>-0.51454358011845702</v>
      </c>
      <c r="J14395" s="28">
        <v>0.60687199949929005</v>
      </c>
      <c r="K14395" s="29">
        <v>0.98289565623980701</v>
      </c>
    </row>
    <row r="14396" spans="1:11" x14ac:dyDescent="0.35">
      <c r="A14396" s="9" t="str">
        <f>HYPERLINK("http://www.ensembl.org/id/WBGene00004512", "WBGene00004512")</f>
        <v>WBGene00004512</v>
      </c>
      <c r="B14396" s="9"/>
      <c r="C14396" s="9"/>
      <c r="D14396" t="str">
        <f>"rrn-1.1"</f>
        <v>rrn-1.1</v>
      </c>
      <c r="F14396" t="s">
        <v>4385</v>
      </c>
      <c r="H14396" s="12">
        <v>-1.42293274637759</v>
      </c>
      <c r="I14396" s="20">
        <v>-0.56692650242294396</v>
      </c>
      <c r="J14396" s="28">
        <v>0.57076411737783195</v>
      </c>
      <c r="K14396" s="29">
        <v>0.98289565623980701</v>
      </c>
    </row>
    <row r="14397" spans="1:11" x14ac:dyDescent="0.35">
      <c r="A14397" s="9" t="str">
        <f>HYPERLINK("http://www.ensembl.org/id/WBGene00004567", "WBGene00004567")</f>
        <v>WBGene00004567</v>
      </c>
      <c r="B14397" s="9"/>
      <c r="C14397" s="9"/>
      <c r="D14397" t="str">
        <f>"rrn-2.1"</f>
        <v>rrn-2.1</v>
      </c>
      <c r="F14397" t="s">
        <v>4385</v>
      </c>
      <c r="H14397" s="12">
        <v>-1.35424841366021</v>
      </c>
      <c r="I14397" s="20">
        <v>-0.86622225960186905</v>
      </c>
      <c r="J14397" s="28">
        <v>0.38636828867141099</v>
      </c>
      <c r="K14397" s="29">
        <v>0.98289565623980701</v>
      </c>
    </row>
    <row r="14398" spans="1:11" x14ac:dyDescent="0.35">
      <c r="A14398" s="9" t="str">
        <f>HYPERLINK("http://www.ensembl.org/id/WBGene00004622", "WBGene00004622")</f>
        <v>WBGene00004622</v>
      </c>
      <c r="B14398" s="9"/>
      <c r="C14398" s="9"/>
      <c r="D14398" t="str">
        <f>"rrn-3.1"</f>
        <v>rrn-3.1</v>
      </c>
      <c r="F14398" t="s">
        <v>4385</v>
      </c>
      <c r="H14398" s="12">
        <v>1.14633438993671</v>
      </c>
      <c r="I14398" s="20">
        <v>0.55341207558066796</v>
      </c>
      <c r="J14398" s="28">
        <v>0.57998127198462701</v>
      </c>
      <c r="K14398" s="29">
        <v>0.98289565623980701</v>
      </c>
    </row>
    <row r="14399" spans="1:11" x14ac:dyDescent="0.35">
      <c r="A14399" s="9" t="str">
        <f>HYPERLINK("http://www.ensembl.org/id/WBGene00004677", "WBGene00004677")</f>
        <v>WBGene00004677</v>
      </c>
      <c r="B14399" s="9"/>
      <c r="C14399" s="9"/>
      <c r="D14399" t="str">
        <f>"rrn-3.56"</f>
        <v>rrn-3.56</v>
      </c>
      <c r="F14399" t="s">
        <v>80</v>
      </c>
      <c r="H14399" s="12">
        <v>-1.23914014870248</v>
      </c>
      <c r="I14399" s="20">
        <v>-0.76216818544121201</v>
      </c>
      <c r="J14399" s="28">
        <v>0.44595963151090101</v>
      </c>
      <c r="K14399" s="29">
        <v>0.98289565623980701</v>
      </c>
    </row>
    <row r="14400" spans="1:11" x14ac:dyDescent="0.35">
      <c r="A14400" s="9" t="str">
        <f>HYPERLINK("http://www.ensembl.org/id/WBGene00235197", "WBGene00235197")</f>
        <v>WBGene00235197</v>
      </c>
      <c r="B14400" s="9"/>
      <c r="C14400" s="9"/>
      <c r="D14400" t="str">
        <f>"rrn-4.16"</f>
        <v>rrn-4.16</v>
      </c>
      <c r="F14400" t="s">
        <v>4385</v>
      </c>
      <c r="H14400" s="12">
        <v>2.4578120077400301</v>
      </c>
      <c r="I14400" s="20">
        <v>0.26093350314551</v>
      </c>
      <c r="J14400" s="28">
        <v>0.79414378780213601</v>
      </c>
      <c r="K14400" s="29">
        <v>0.98289565623980701</v>
      </c>
    </row>
    <row r="14401" spans="1:11" x14ac:dyDescent="0.35">
      <c r="A14401" s="9" t="str">
        <f>HYPERLINK("http://www.ensembl.org/id/WBGene00008151", "WBGene00008151")</f>
        <v>WBGene00008151</v>
      </c>
      <c r="B14401" s="9" t="str">
        <f>HYPERLINK("http://www.ncbi.nlm.nih.gov/gene/177853", "177853")</f>
        <v>177853</v>
      </c>
      <c r="C14401" s="9" t="str">
        <f>HYPERLINK("http://www.ncbi.nlm.nih.gov/gene/8568", "8568")</f>
        <v>8568</v>
      </c>
      <c r="D14401" t="str">
        <f>"rrp-1"</f>
        <v>rrp-1</v>
      </c>
      <c r="E14401" t="s">
        <v>7438</v>
      </c>
      <c r="F14401" t="s">
        <v>11</v>
      </c>
      <c r="G14401" t="s">
        <v>7439</v>
      </c>
      <c r="H14401" s="12">
        <v>-1.1255139737195401</v>
      </c>
      <c r="I14401" s="20">
        <v>-0.51312539334489105</v>
      </c>
      <c r="J14401" s="28">
        <v>0.60786360967341102</v>
      </c>
      <c r="K14401" s="29">
        <v>0.98289565623980701</v>
      </c>
    </row>
    <row r="14402" spans="1:11" x14ac:dyDescent="0.35">
      <c r="A14402" s="9" t="str">
        <f>HYPERLINK("http://www.ensembl.org/id/WBGene00020296", "WBGene00020296")</f>
        <v>WBGene00020296</v>
      </c>
      <c r="B14402" s="9" t="str">
        <f>HYPERLINK("http://www.ncbi.nlm.nih.gov/gene/176864", "176864")</f>
        <v>176864</v>
      </c>
      <c r="C14402" s="9"/>
      <c r="D14402" t="str">
        <f>"rrp-8"</f>
        <v>rrp-8</v>
      </c>
      <c r="E14402" t="s">
        <v>7608</v>
      </c>
      <c r="F14402" t="s">
        <v>11</v>
      </c>
      <c r="G14402" t="s">
        <v>7609</v>
      </c>
      <c r="H14402" s="12">
        <v>-1.13562115744402</v>
      </c>
      <c r="I14402" s="20">
        <v>-0.58348128422744205</v>
      </c>
      <c r="J14402" s="28">
        <v>0.55956935260808005</v>
      </c>
      <c r="K14402" s="29">
        <v>0.98289565623980701</v>
      </c>
    </row>
    <row r="14403" spans="1:11" x14ac:dyDescent="0.35">
      <c r="A14403" s="9" t="str">
        <f>HYPERLINK("http://www.ensembl.org/id/WBGene00011531", "WBGene00011531")</f>
        <v>WBGene00011531</v>
      </c>
      <c r="B14403" s="9" t="str">
        <f>HYPERLINK("http://www.ncbi.nlm.nih.gov/gene/172729", "172729")</f>
        <v>172729</v>
      </c>
      <c r="C14403" s="9"/>
      <c r="D14403" t="str">
        <f>"rsbp-1"</f>
        <v>rsbp-1</v>
      </c>
      <c r="E14403" t="s">
        <v>5979</v>
      </c>
      <c r="F14403" t="s">
        <v>11</v>
      </c>
      <c r="G14403" t="s">
        <v>5980</v>
      </c>
      <c r="H14403" s="12">
        <v>1.0769828363780101</v>
      </c>
      <c r="I14403" s="20">
        <v>0.37143659013286501</v>
      </c>
      <c r="J14403" s="28">
        <v>0.710312376716281</v>
      </c>
      <c r="K14403" s="29">
        <v>0.98289565623980701</v>
      </c>
    </row>
    <row r="14404" spans="1:11" x14ac:dyDescent="0.35">
      <c r="A14404" s="9" t="str">
        <f>HYPERLINK("http://www.ensembl.org/id/WBGene00004681", "WBGene00004681")</f>
        <v>WBGene00004681</v>
      </c>
      <c r="B14404" s="9" t="str">
        <f>HYPERLINK("http://www.ncbi.nlm.nih.gov/gene/178322", "178322")</f>
        <v>178322</v>
      </c>
      <c r="C14404" s="9"/>
      <c r="D14404" t="str">
        <f>"rsd-2"</f>
        <v>rsd-2</v>
      </c>
      <c r="F14404" t="s">
        <v>11</v>
      </c>
      <c r="G14404" t="s">
        <v>8480</v>
      </c>
      <c r="H14404" s="12">
        <v>-1.1797647535306</v>
      </c>
      <c r="I14404" s="20">
        <v>-0.88124668405254702</v>
      </c>
      <c r="J14404" s="28">
        <v>0.37818431646929102</v>
      </c>
      <c r="K14404" s="29">
        <v>0.98289565623980701</v>
      </c>
    </row>
    <row r="14405" spans="1:11" x14ac:dyDescent="0.35">
      <c r="A14405" s="9" t="str">
        <f>HYPERLINK("http://www.ensembl.org/id/WBGene00004682", "WBGene00004682")</f>
        <v>WBGene00004682</v>
      </c>
      <c r="B14405" s="9" t="str">
        <f>HYPERLINK("http://www.ncbi.nlm.nih.gov/gene/181358", "181358")</f>
        <v>181358</v>
      </c>
      <c r="C14405" s="9"/>
      <c r="D14405" t="str">
        <f>"rsd-3"</f>
        <v>rsd-3</v>
      </c>
      <c r="F14405" t="s">
        <v>11</v>
      </c>
      <c r="G14405" t="s">
        <v>6230</v>
      </c>
      <c r="H14405" s="12">
        <v>-1.05471315998663</v>
      </c>
      <c r="I14405" s="20">
        <v>-0.28866357207730098</v>
      </c>
      <c r="J14405" s="28">
        <v>0.772838841753547</v>
      </c>
      <c r="K14405" s="29">
        <v>0.98289565623980701</v>
      </c>
    </row>
    <row r="14406" spans="1:11" x14ac:dyDescent="0.35">
      <c r="A14406" s="9" t="str">
        <f>HYPERLINK("http://www.ensembl.org/id/WBGene00004684", "WBGene00004684")</f>
        <v>WBGene00004684</v>
      </c>
      <c r="B14406" s="9" t="str">
        <f>HYPERLINK("http://www.ncbi.nlm.nih.gov/gene/172621", "172621")</f>
        <v>172621</v>
      </c>
      <c r="C14406" s="9"/>
      <c r="D14406" t="str">
        <f>"rsd-6"</f>
        <v>rsd-6</v>
      </c>
      <c r="F14406" t="s">
        <v>11</v>
      </c>
      <c r="G14406" t="s">
        <v>318</v>
      </c>
      <c r="H14406" s="12">
        <v>-1.2055680279104899</v>
      </c>
      <c r="I14406" s="20">
        <v>-0.93314557979355595</v>
      </c>
      <c r="J14406" s="28">
        <v>0.35074480824618398</v>
      </c>
      <c r="K14406" s="29">
        <v>0.98289565623980701</v>
      </c>
    </row>
    <row r="14407" spans="1:11" x14ac:dyDescent="0.35">
      <c r="A14407" s="9" t="str">
        <f>HYPERLINK("http://www.ensembl.org/id/WBGene00016344", "WBGene00016344")</f>
        <v>WBGene00016344</v>
      </c>
      <c r="B14407" s="9" t="str">
        <f>HYPERLINK("http://www.ncbi.nlm.nih.gov/gene/180593", "180593")</f>
        <v>180593</v>
      </c>
      <c r="C14407" s="9" t="str">
        <f>HYPERLINK("http://www.ncbi.nlm.nih.gov/gene/158158", "158158")</f>
        <v>158158</v>
      </c>
      <c r="D14407" t="str">
        <f>"rsef-1"</f>
        <v>rsef-1</v>
      </c>
      <c r="E14407" t="s">
        <v>6874</v>
      </c>
      <c r="F14407" t="s">
        <v>11</v>
      </c>
      <c r="G14407" t="s">
        <v>6875</v>
      </c>
      <c r="H14407" s="12">
        <v>-1.0938531118999999</v>
      </c>
      <c r="I14407" s="20">
        <v>-0.39296216669714901</v>
      </c>
      <c r="J14407" s="28">
        <v>0.69434742479424405</v>
      </c>
      <c r="K14407" s="29">
        <v>0.98289565623980701</v>
      </c>
    </row>
    <row r="14408" spans="1:11" x14ac:dyDescent="0.35">
      <c r="A14408" s="9" t="str">
        <f>HYPERLINK("http://www.ensembl.org/id/WBGene00011995", "WBGene00011995")</f>
        <v>WBGene00011995</v>
      </c>
      <c r="B14408" s="9" t="str">
        <f>HYPERLINK("http://www.ncbi.nlm.nih.gov/gene/174728", "174728")</f>
        <v>174728</v>
      </c>
      <c r="C14408" s="9" t="str">
        <f>HYPERLINK("http://www.ncbi.nlm.nih.gov/gene/11186", "11186")</f>
        <v>11186</v>
      </c>
      <c r="D14408" t="str">
        <f>"rsf-1"</f>
        <v>rsf-1</v>
      </c>
      <c r="E14408" t="s">
        <v>5153</v>
      </c>
      <c r="F14408" t="s">
        <v>11</v>
      </c>
      <c r="G14408" t="s">
        <v>5154</v>
      </c>
      <c r="H14408" s="12">
        <v>1.22862459058886</v>
      </c>
      <c r="I14408" s="20">
        <v>1.0572475787476101</v>
      </c>
      <c r="J14408" s="28">
        <v>0.29039861068816297</v>
      </c>
      <c r="K14408" s="29">
        <v>0.98289565623980701</v>
      </c>
    </row>
    <row r="14409" spans="1:11" x14ac:dyDescent="0.35">
      <c r="A14409" s="9" t="str">
        <f>HYPERLINK("http://www.ensembl.org/id/WBGene00008311", "WBGene00008311")</f>
        <v>WBGene00008311</v>
      </c>
      <c r="B14409" s="9" t="str">
        <f>HYPERLINK("http://www.ncbi.nlm.nih.gov/gene/172581", "172581")</f>
        <v>172581</v>
      </c>
      <c r="C14409" s="9" t="str">
        <f>HYPERLINK("http://www.ncbi.nlm.nih.gov/gene/9252", "9252")</f>
        <v>9252</v>
      </c>
      <c r="D14409" t="str">
        <f>"rskn-2"</f>
        <v>rskn-2</v>
      </c>
      <c r="E14409" t="s">
        <v>6305</v>
      </c>
      <c r="F14409" t="s">
        <v>11</v>
      </c>
      <c r="G14409" t="s">
        <v>940</v>
      </c>
      <c r="H14409" s="12">
        <v>-1.06130230395227</v>
      </c>
      <c r="I14409" s="20">
        <v>-0.33032492292422899</v>
      </c>
      <c r="J14409" s="28">
        <v>0.74115446308382404</v>
      </c>
      <c r="K14409" s="29">
        <v>0.98289565623980701</v>
      </c>
    </row>
    <row r="14410" spans="1:11" x14ac:dyDescent="0.35">
      <c r="A14410" s="9" t="str">
        <f>HYPERLINK("http://www.ensembl.org/id/WBGene00004698", "WBGene00004698")</f>
        <v>WBGene00004698</v>
      </c>
      <c r="B14410" s="9" t="str">
        <f>HYPERLINK("http://www.ncbi.nlm.nih.gov/gene/174748", "174748")</f>
        <v>174748</v>
      </c>
      <c r="C14410" s="9"/>
      <c r="D14410" t="str">
        <f>"rsp-1"</f>
        <v>rsp-1</v>
      </c>
      <c r="E14410" t="s">
        <v>7122</v>
      </c>
      <c r="F14410" t="s">
        <v>11</v>
      </c>
      <c r="G14410" t="s">
        <v>7123</v>
      </c>
      <c r="H14410" s="12">
        <v>-1.1083486144136601</v>
      </c>
      <c r="I14410" s="20">
        <v>-0.48734502395627899</v>
      </c>
      <c r="J14410" s="28">
        <v>0.62601384594461496</v>
      </c>
      <c r="K14410" s="29">
        <v>0.98289565623980701</v>
      </c>
    </row>
    <row r="14411" spans="1:11" x14ac:dyDescent="0.35">
      <c r="A14411" s="9" t="str">
        <f>HYPERLINK("http://www.ensembl.org/id/WBGene00004700", "WBGene00004700")</f>
        <v>WBGene00004700</v>
      </c>
      <c r="B14411" s="9" t="str">
        <f>HYPERLINK("http://www.ncbi.nlm.nih.gov/gene/176688", "176688")</f>
        <v>176688</v>
      </c>
      <c r="C14411" s="9" t="str">
        <f>HYPERLINK("http://www.ncbi.nlm.nih.gov/gene/6426", "6426")</f>
        <v>6426</v>
      </c>
      <c r="D14411" t="str">
        <f>"rsp-3"</f>
        <v>rsp-3</v>
      </c>
      <c r="E14411" t="s">
        <v>7308</v>
      </c>
      <c r="F14411" t="s">
        <v>11</v>
      </c>
      <c r="G14411" t="s">
        <v>7309</v>
      </c>
      <c r="H14411" s="12">
        <v>-1.1187027366605899</v>
      </c>
      <c r="I14411" s="20">
        <v>-0.52771580588219702</v>
      </c>
      <c r="J14411" s="28">
        <v>0.59769660117754497</v>
      </c>
      <c r="K14411" s="29">
        <v>0.98289565623980701</v>
      </c>
    </row>
    <row r="14412" spans="1:11" x14ac:dyDescent="0.35">
      <c r="A14412" s="9" t="str">
        <f>HYPERLINK("http://www.ensembl.org/id/WBGene00004703", "WBGene00004703")</f>
        <v>WBGene00004703</v>
      </c>
      <c r="B14412" s="9" t="str">
        <f>HYPERLINK("http://www.ncbi.nlm.nih.gov/gene/177566", "177566")</f>
        <v>177566</v>
      </c>
      <c r="C14412" s="9"/>
      <c r="D14412" t="str">
        <f>"rsp-6"</f>
        <v>rsp-6</v>
      </c>
      <c r="E14412" t="s">
        <v>6963</v>
      </c>
      <c r="F14412" t="s">
        <v>11</v>
      </c>
      <c r="G14412" t="s">
        <v>6964</v>
      </c>
      <c r="H14412" s="12">
        <v>-1.10014446821569</v>
      </c>
      <c r="I14412" s="20">
        <v>-0.44590206049919501</v>
      </c>
      <c r="J14412" s="28">
        <v>0.65566799379662299</v>
      </c>
      <c r="K14412" s="29">
        <v>0.98289565623980701</v>
      </c>
    </row>
    <row r="14413" spans="1:11" x14ac:dyDescent="0.35">
      <c r="A14413" s="9" t="str">
        <f>HYPERLINK("http://www.ensembl.org/id/WBGene00004704", "WBGene00004704")</f>
        <v>WBGene00004704</v>
      </c>
      <c r="B14413" s="9" t="str">
        <f>HYPERLINK("http://www.ncbi.nlm.nih.gov/gene/174646", "174646")</f>
        <v>174646</v>
      </c>
      <c r="C14413" s="9"/>
      <c r="D14413" t="str">
        <f>"rsp-7"</f>
        <v>rsp-7</v>
      </c>
      <c r="E14413" t="s">
        <v>6508</v>
      </c>
      <c r="F14413" t="s">
        <v>11</v>
      </c>
      <c r="G14413" t="s">
        <v>6509</v>
      </c>
      <c r="H14413" s="12">
        <v>-1.0725731713843101</v>
      </c>
      <c r="I14413" s="20">
        <v>-0.34101178105411301</v>
      </c>
      <c r="J14413" s="28">
        <v>0.73309471276674698</v>
      </c>
      <c r="K14413" s="29">
        <v>0.98289565623980701</v>
      </c>
    </row>
    <row r="14414" spans="1:11" x14ac:dyDescent="0.35">
      <c r="A14414" s="9" t="str">
        <f>HYPERLINK("http://www.ensembl.org/id/WBGene00004706", "WBGene00004706")</f>
        <v>WBGene00004706</v>
      </c>
      <c r="B14414" s="9" t="str">
        <f>HYPERLINK("http://www.ncbi.nlm.nih.gov/gene/173013", "173013")</f>
        <v>173013</v>
      </c>
      <c r="C14414" s="9"/>
      <c r="D14414" t="str">
        <f>"rsr-1"</f>
        <v>rsr-1</v>
      </c>
      <c r="E14414" t="s">
        <v>4185</v>
      </c>
      <c r="F14414" t="s">
        <v>11</v>
      </c>
      <c r="G14414" t="s">
        <v>4256</v>
      </c>
      <c r="H14414" s="12">
        <v>-1.19398473299082</v>
      </c>
      <c r="I14414" s="20">
        <v>-0.84159507235304198</v>
      </c>
      <c r="J14414" s="28">
        <v>0.40001464845197199</v>
      </c>
      <c r="K14414" s="29">
        <v>0.98289565623980701</v>
      </c>
    </row>
    <row r="14415" spans="1:11" x14ac:dyDescent="0.35">
      <c r="A14415" s="9" t="str">
        <f>HYPERLINK("http://www.ensembl.org/id/WBGene00013177", "WBGene00013177")</f>
        <v>WBGene00013177</v>
      </c>
      <c r="B14415" s="9" t="str">
        <f>HYPERLINK("http://www.ncbi.nlm.nih.gov/gene/173015", "173015")</f>
        <v>173015</v>
      </c>
      <c r="C14415" s="9"/>
      <c r="D14415" t="str">
        <f>"rsy-1"</f>
        <v>rsy-1</v>
      </c>
      <c r="E14415" t="s">
        <v>6010</v>
      </c>
      <c r="F14415" t="s">
        <v>11</v>
      </c>
      <c r="G14415" t="s">
        <v>6011</v>
      </c>
      <c r="H14415" s="12">
        <v>1.07323697632417</v>
      </c>
      <c r="I14415" s="20">
        <v>0.33980644614967698</v>
      </c>
      <c r="J14415" s="28">
        <v>0.73400229315818799</v>
      </c>
      <c r="K14415" s="29">
        <v>0.98289565623980701</v>
      </c>
    </row>
    <row r="14416" spans="1:11" x14ac:dyDescent="0.35">
      <c r="A14416" s="9" t="str">
        <f>HYPERLINK("http://www.ensembl.org/id/WBGene00009103", "WBGene00009103")</f>
        <v>WBGene00009103</v>
      </c>
      <c r="B14416" s="9" t="str">
        <f>HYPERLINK("http://www.ncbi.nlm.nih.gov/gene/179345", "179345")</f>
        <v>179345</v>
      </c>
      <c r="C14416" s="9"/>
      <c r="D14416" t="str">
        <f>"rtfo-1"</f>
        <v>rtfo-1</v>
      </c>
      <c r="E14416" t="s">
        <v>8276</v>
      </c>
      <c r="F14416" t="s">
        <v>11</v>
      </c>
      <c r="G14416" t="s">
        <v>8277</v>
      </c>
      <c r="H14416" s="12">
        <v>-1.1684515948485299</v>
      </c>
      <c r="I14416" s="20">
        <v>-0.72101413683267901</v>
      </c>
      <c r="J14416" s="28">
        <v>0.470900816969687</v>
      </c>
      <c r="K14416" s="29">
        <v>0.98289565623980701</v>
      </c>
    </row>
    <row r="14417" spans="1:11" x14ac:dyDescent="0.35">
      <c r="A14417" s="9" t="str">
        <f>HYPERLINK("http://www.ensembl.org/id/WBGene00020572", "WBGene00020572")</f>
        <v>WBGene00020572</v>
      </c>
      <c r="B14417" s="9" t="str">
        <f>HYPERLINK("http://www.ncbi.nlm.nih.gov/gene/180416", "180416")</f>
        <v>180416</v>
      </c>
      <c r="C14417" s="9"/>
      <c r="D14417" t="str">
        <f>"rund-1"</f>
        <v>rund-1</v>
      </c>
      <c r="E14417" t="s">
        <v>7723</v>
      </c>
      <c r="F14417" t="s">
        <v>11</v>
      </c>
      <c r="G14417" t="s">
        <v>7724</v>
      </c>
      <c r="H14417" s="12">
        <v>-1.1413362763272299</v>
      </c>
      <c r="I14417" s="20">
        <v>-0.67006257997569396</v>
      </c>
      <c r="J14417" s="28">
        <v>0.50281789790220899</v>
      </c>
      <c r="K14417" s="29">
        <v>0.98289565623980701</v>
      </c>
    </row>
    <row r="14418" spans="1:11" x14ac:dyDescent="0.35">
      <c r="A14418" s="9" t="str">
        <f>HYPERLINK("http://www.ensembl.org/id/WBGene00019245", "WBGene00019245")</f>
        <v>WBGene00019245</v>
      </c>
      <c r="B14418" s="9" t="str">
        <f>HYPERLINK("http://www.ncbi.nlm.nih.gov/gene/172413", "172413")</f>
        <v>172413</v>
      </c>
      <c r="C14418" s="9" t="str">
        <f>HYPERLINK("http://www.ncbi.nlm.nih.gov/gene/51428", "51428")</f>
        <v>51428</v>
      </c>
      <c r="D14418" t="str">
        <f>"sacy-1"</f>
        <v>sacy-1</v>
      </c>
      <c r="E14418" t="s">
        <v>7922</v>
      </c>
      <c r="F14418" t="s">
        <v>11</v>
      </c>
      <c r="G14418" t="s">
        <v>7923</v>
      </c>
      <c r="H14418" s="12">
        <v>-1.1515433433076701</v>
      </c>
      <c r="I14418" s="20">
        <v>-0.66171019763655103</v>
      </c>
      <c r="J14418" s="28">
        <v>0.50815696798662802</v>
      </c>
      <c r="K14418" s="29">
        <v>0.98289565623980701</v>
      </c>
    </row>
    <row r="14419" spans="1:11" x14ac:dyDescent="0.35">
      <c r="A14419" s="9" t="str">
        <f>HYPERLINK("http://www.ensembl.org/id/WBGene00018921", "WBGene00018921")</f>
        <v>WBGene00018921</v>
      </c>
      <c r="B14419" s="9" t="str">
        <f>HYPERLINK("http://www.ncbi.nlm.nih.gov/gene/171653", "171653")</f>
        <v>171653</v>
      </c>
      <c r="C14419" s="9"/>
      <c r="D14419" t="str">
        <f>"sago-2"</f>
        <v>sago-2</v>
      </c>
      <c r="E14419" t="s">
        <v>309</v>
      </c>
      <c r="F14419" t="s">
        <v>11</v>
      </c>
      <c r="G14419" t="s">
        <v>445</v>
      </c>
      <c r="H14419" s="12">
        <v>-1.2865651180586799</v>
      </c>
      <c r="I14419" s="20">
        <v>-0.80064557536807301</v>
      </c>
      <c r="J14419" s="28">
        <v>0.42333685830176698</v>
      </c>
      <c r="K14419" s="29">
        <v>0.98289565623980701</v>
      </c>
    </row>
    <row r="14420" spans="1:11" x14ac:dyDescent="0.35">
      <c r="A14420" s="9" t="str">
        <f>HYPERLINK("http://www.ensembl.org/id/WBGene00019126", "WBGene00019126")</f>
        <v>WBGene00019126</v>
      </c>
      <c r="B14420" s="9" t="str">
        <f>HYPERLINK("http://www.ncbi.nlm.nih.gov/gene/173955", "173955")</f>
        <v>173955</v>
      </c>
      <c r="C14420" s="9"/>
      <c r="D14420" t="str">
        <f>"sam-4"</f>
        <v>sam-4</v>
      </c>
      <c r="F14420" t="s">
        <v>11</v>
      </c>
      <c r="G14420" t="s">
        <v>8460</v>
      </c>
      <c r="H14420" s="12">
        <v>-1.1790311158266</v>
      </c>
      <c r="I14420" s="20">
        <v>-0.74994686180652503</v>
      </c>
      <c r="J14420" s="28">
        <v>0.45328670918972902</v>
      </c>
      <c r="K14420" s="29">
        <v>0.98289565623980701</v>
      </c>
    </row>
    <row r="14421" spans="1:11" x14ac:dyDescent="0.35">
      <c r="A14421" s="9" t="str">
        <f>HYPERLINK("http://www.ensembl.org/id/WBGene00015540", "WBGene00015540")</f>
        <v>WBGene00015540</v>
      </c>
      <c r="B14421" s="9" t="str">
        <f>HYPERLINK("http://www.ncbi.nlm.nih.gov/gene/177354", "177354")</f>
        <v>177354</v>
      </c>
      <c r="C14421" s="9" t="str">
        <f>HYPERLINK("http://www.ncbi.nlm.nih.gov/gene/4144", "4144")</f>
        <v>4144</v>
      </c>
      <c r="D14421" t="str">
        <f>"sams-4"</f>
        <v>sams-4</v>
      </c>
      <c r="E14421" t="s">
        <v>8175</v>
      </c>
      <c r="F14421" t="s">
        <v>11</v>
      </c>
      <c r="G14421" t="s">
        <v>1434</v>
      </c>
      <c r="H14421" s="12">
        <v>-1.16392720072872</v>
      </c>
      <c r="I14421" s="20">
        <v>-0.79109019790809698</v>
      </c>
      <c r="J14421" s="28">
        <v>0.42889135872940998</v>
      </c>
      <c r="K14421" s="29">
        <v>0.98289565623980701</v>
      </c>
    </row>
    <row r="14422" spans="1:11" x14ac:dyDescent="0.35">
      <c r="A14422" s="9" t="str">
        <f>HYPERLINK("http://www.ensembl.org/id/WBGene00006416", "WBGene00006416")</f>
        <v>WBGene00006416</v>
      </c>
      <c r="B14422" s="9" t="str">
        <f>HYPERLINK("http://www.ncbi.nlm.nih.gov/gene/177389", "177389")</f>
        <v>177389</v>
      </c>
      <c r="C14422" s="9" t="str">
        <f>HYPERLINK("http://www.ncbi.nlm.nih.gov/gene/4144", "4144")</f>
        <v>4144</v>
      </c>
      <c r="D14422" t="str">
        <f>"sams-5"</f>
        <v>sams-5</v>
      </c>
      <c r="E14422" t="s">
        <v>5597</v>
      </c>
      <c r="F14422" t="s">
        <v>11</v>
      </c>
      <c r="G14422" t="s">
        <v>1434</v>
      </c>
      <c r="H14422" s="12">
        <v>1.1372662196758301</v>
      </c>
      <c r="I14422" s="20">
        <v>0.524035692597281</v>
      </c>
      <c r="J14422" s="28">
        <v>0.60025371477896705</v>
      </c>
      <c r="K14422" s="29">
        <v>0.98289565623980701</v>
      </c>
    </row>
    <row r="14423" spans="1:11" x14ac:dyDescent="0.35">
      <c r="A14423" s="9" t="str">
        <f>HYPERLINK("http://www.ensembl.org/id/WBGene00021870", "WBGene00021870")</f>
        <v>WBGene00021870</v>
      </c>
      <c r="B14423" s="9" t="str">
        <f>HYPERLINK("http://www.ncbi.nlm.nih.gov/gene/177075", "177075")</f>
        <v>177075</v>
      </c>
      <c r="C14423" s="9"/>
      <c r="D14423" t="str">
        <f>"samt-1"</f>
        <v>samt-1</v>
      </c>
      <c r="E14423" t="s">
        <v>8789</v>
      </c>
      <c r="F14423" t="s">
        <v>11</v>
      </c>
      <c r="G14423" t="s">
        <v>8790</v>
      </c>
      <c r="H14423" s="12">
        <v>-1.1966759732155401</v>
      </c>
      <c r="I14423" s="20">
        <v>-0.88948925843752202</v>
      </c>
      <c r="J14423" s="28">
        <v>0.37374019353766402</v>
      </c>
      <c r="K14423" s="29">
        <v>0.98289565623980701</v>
      </c>
    </row>
    <row r="14424" spans="1:11" x14ac:dyDescent="0.35">
      <c r="A14424" s="9" t="str">
        <f>HYPERLINK("http://www.ensembl.org/id/WBGene00004723", "WBGene00004723")</f>
        <v>WBGene00004723</v>
      </c>
      <c r="B14424" s="9" t="str">
        <f>HYPERLINK("http://www.ncbi.nlm.nih.gov/gene/4363023", "4363023")</f>
        <v>4363023</v>
      </c>
      <c r="C14424" s="9"/>
      <c r="D14424" t="str">
        <f>"sap-49"</f>
        <v>sap-49</v>
      </c>
      <c r="E14424" t="s">
        <v>8372</v>
      </c>
      <c r="F14424" t="s">
        <v>11</v>
      </c>
      <c r="G14424" t="s">
        <v>8373</v>
      </c>
      <c r="H14424" s="12">
        <v>-1.17367905294847</v>
      </c>
      <c r="I14424" s="20">
        <v>-0.75607451240960399</v>
      </c>
      <c r="J14424" s="28">
        <v>0.449604522308584</v>
      </c>
      <c r="K14424" s="29">
        <v>0.98289565623980701</v>
      </c>
    </row>
    <row r="14425" spans="1:11" x14ac:dyDescent="0.35">
      <c r="A14425" s="9" t="str">
        <f>HYPERLINK("http://www.ensembl.org/id/WBGene00022678", "WBGene00022678")</f>
        <v>WBGene00022678</v>
      </c>
      <c r="B14425" s="9" t="str">
        <f>HYPERLINK("http://www.ncbi.nlm.nih.gov/gene/177217", "177217")</f>
        <v>177217</v>
      </c>
      <c r="C14425" s="9" t="str">
        <f>HYPERLINK("http://www.ncbi.nlm.nih.gov/gene/51128", "51128")</f>
        <v>51128</v>
      </c>
      <c r="D14425" t="str">
        <f>"sar-1"</f>
        <v>sar-1</v>
      </c>
      <c r="E14425" t="s">
        <v>7505</v>
      </c>
      <c r="F14425" t="s">
        <v>11</v>
      </c>
      <c r="G14425" t="s">
        <v>7506</v>
      </c>
      <c r="H14425" s="12">
        <v>-1.12982268392736</v>
      </c>
      <c r="I14425" s="20">
        <v>-0.67622149104002205</v>
      </c>
      <c r="J14425" s="28">
        <v>0.498900029740108</v>
      </c>
      <c r="K14425" s="29">
        <v>0.98289565623980701</v>
      </c>
    </row>
    <row r="14426" spans="1:11" x14ac:dyDescent="0.35">
      <c r="A14426" s="9" t="str">
        <f>HYPERLINK("http://www.ensembl.org/id/WBGene00005663", "WBGene00005663")</f>
        <v>WBGene00005663</v>
      </c>
      <c r="B14426" s="9" t="str">
        <f>HYPERLINK("http://www.ncbi.nlm.nih.gov/gene/177859", "177859")</f>
        <v>177859</v>
      </c>
      <c r="C14426" s="9" t="str">
        <f>HYPERLINK("http://www.ncbi.nlm.nih.gov/gene/6301", "6301")</f>
        <v>6301</v>
      </c>
      <c r="D14426" t="str">
        <f>"sars-1"</f>
        <v>sars-1</v>
      </c>
      <c r="E14426" t="s">
        <v>8648</v>
      </c>
      <c r="F14426" t="s">
        <v>11</v>
      </c>
      <c r="G14426" t="s">
        <v>8649</v>
      </c>
      <c r="H14426" s="12">
        <v>-1.18867850577582</v>
      </c>
      <c r="I14426" s="20">
        <v>-0.926990512639568</v>
      </c>
      <c r="J14426" s="28">
        <v>0.35393146019257599</v>
      </c>
      <c r="K14426" s="29">
        <v>0.98289565623980701</v>
      </c>
    </row>
    <row r="14427" spans="1:11" x14ac:dyDescent="0.35">
      <c r="A14427" s="9" t="str">
        <f>HYPERLINK("http://www.ensembl.org/id/WBGene00005662", "WBGene00005662")</f>
        <v>WBGene00005662</v>
      </c>
      <c r="B14427" s="9" t="str">
        <f>HYPERLINK("http://www.ncbi.nlm.nih.gov/gene/177200", "177200")</f>
        <v>177200</v>
      </c>
      <c r="C14427" s="9" t="str">
        <f>HYPERLINK("http://www.ncbi.nlm.nih.gov/gene/54938", "54938")</f>
        <v>54938</v>
      </c>
      <c r="D14427" t="str">
        <f>"sars-2"</f>
        <v>sars-2</v>
      </c>
      <c r="E14427" t="s">
        <v>8366</v>
      </c>
      <c r="F14427" t="s">
        <v>11</v>
      </c>
      <c r="G14427" t="s">
        <v>8367</v>
      </c>
      <c r="H14427" s="12">
        <v>-1.17350848323363</v>
      </c>
      <c r="I14427" s="20">
        <v>-0.79815458901440794</v>
      </c>
      <c r="J14427" s="28">
        <v>0.42478078614092302</v>
      </c>
      <c r="K14427" s="29">
        <v>0.98289565623980701</v>
      </c>
    </row>
    <row r="14428" spans="1:11" x14ac:dyDescent="0.35">
      <c r="A14428" s="9" t="str">
        <f>HYPERLINK("http://www.ensembl.org/id/WBGene00013742", "WBGene00013742")</f>
        <v>WBGene00013742</v>
      </c>
      <c r="B14428" s="9" t="str">
        <f>HYPERLINK("http://www.ncbi.nlm.nih.gov/gene/190956", "190956")</f>
        <v>190956</v>
      </c>
      <c r="C14428" s="9"/>
      <c r="D14428" t="str">
        <f>"sas-1"</f>
        <v>sas-1</v>
      </c>
      <c r="F14428" t="s">
        <v>11</v>
      </c>
      <c r="G14428" t="s">
        <v>9744</v>
      </c>
      <c r="H14428" s="12">
        <v>-1.29208716361937</v>
      </c>
      <c r="I14428" s="20">
        <v>-1.0595805355640699</v>
      </c>
      <c r="J14428" s="28">
        <v>0.28933547259542702</v>
      </c>
      <c r="K14428" s="29">
        <v>0.98289565623980701</v>
      </c>
    </row>
    <row r="14429" spans="1:11" x14ac:dyDescent="0.35">
      <c r="A14429" s="9" t="str">
        <f>HYPERLINK("http://www.ensembl.org/id/WBGene00004726", "WBGene00004726")</f>
        <v>WBGene00004726</v>
      </c>
      <c r="B14429" s="9" t="str">
        <f>HYPERLINK("http://www.ncbi.nlm.nih.gov/gene/176172", "176172")</f>
        <v>176172</v>
      </c>
      <c r="C14429" s="9"/>
      <c r="D14429" t="str">
        <f>"sas-4"</f>
        <v>sas-4</v>
      </c>
      <c r="E14429" t="s">
        <v>8603</v>
      </c>
      <c r="F14429" t="s">
        <v>11</v>
      </c>
      <c r="G14429" t="s">
        <v>8604</v>
      </c>
      <c r="H14429" s="12">
        <v>-1.1859886962686801</v>
      </c>
      <c r="I14429" s="20">
        <v>-0.737944355692422</v>
      </c>
      <c r="J14429" s="28">
        <v>0.46054826353742001</v>
      </c>
      <c r="K14429" s="29">
        <v>0.98289565623980701</v>
      </c>
    </row>
    <row r="14430" spans="1:11" x14ac:dyDescent="0.35">
      <c r="A14430" s="9" t="str">
        <f>HYPERLINK("http://www.ensembl.org/id/WBGene00009385", "WBGene00009385")</f>
        <v>WBGene00009385</v>
      </c>
      <c r="B14430" s="9" t="str">
        <f>HYPERLINK("http://www.ncbi.nlm.nih.gov/gene/179592", "179592")</f>
        <v>179592</v>
      </c>
      <c r="C14430" s="9"/>
      <c r="D14430" t="str">
        <f>"sas-5"</f>
        <v>sas-5</v>
      </c>
      <c r="E14430" t="s">
        <v>9777</v>
      </c>
      <c r="F14430" t="s">
        <v>11</v>
      </c>
      <c r="G14430" t="s">
        <v>9778</v>
      </c>
      <c r="H14430" s="12">
        <v>-1.29986061867215</v>
      </c>
      <c r="I14430" s="20">
        <v>-1.12476584750139</v>
      </c>
      <c r="J14430" s="28">
        <v>0.26068827023459501</v>
      </c>
      <c r="K14430" s="29">
        <v>0.98289565623980701</v>
      </c>
    </row>
    <row r="14431" spans="1:11" x14ac:dyDescent="0.35">
      <c r="A14431" s="9" t="str">
        <f>HYPERLINK("http://www.ensembl.org/id/WBGene00012888", "WBGene00012888")</f>
        <v>WBGene00012888</v>
      </c>
      <c r="B14431" s="9" t="str">
        <f>HYPERLINK("http://www.ncbi.nlm.nih.gov/gene/178345", "178345")</f>
        <v>178345</v>
      </c>
      <c r="C14431" s="9"/>
      <c r="D14431" t="str">
        <f>"sas-6"</f>
        <v>sas-6</v>
      </c>
      <c r="E14431" t="s">
        <v>9796</v>
      </c>
      <c r="F14431" t="s">
        <v>11</v>
      </c>
      <c r="G14431" t="s">
        <v>9797</v>
      </c>
      <c r="H14431" s="12">
        <v>-1.3044946775314601</v>
      </c>
      <c r="I14431" s="20">
        <v>-1.1283776433419599</v>
      </c>
      <c r="J14431" s="28">
        <v>0.25916046540039001</v>
      </c>
      <c r="K14431" s="29">
        <v>0.98289565623980701</v>
      </c>
    </row>
    <row r="14432" spans="1:11" x14ac:dyDescent="0.35">
      <c r="A14432" s="9" t="str">
        <f>HYPERLINK("http://www.ensembl.org/id/WBGene00020427", "WBGene00020427")</f>
        <v>WBGene00020427</v>
      </c>
      <c r="B14432" s="9" t="str">
        <f>HYPERLINK("http://www.ncbi.nlm.nih.gov/gene/188402", "188402")</f>
        <v>188402</v>
      </c>
      <c r="C14432" s="9"/>
      <c r="D14432" t="str">
        <f>"sav-1"</f>
        <v>sav-1</v>
      </c>
      <c r="E14432" t="s">
        <v>8498</v>
      </c>
      <c r="F14432" t="s">
        <v>11</v>
      </c>
      <c r="G14432" t="s">
        <v>8499</v>
      </c>
      <c r="H14432" s="12">
        <v>-1.1806508311411801</v>
      </c>
      <c r="I14432" s="20">
        <v>-0.89220734401506496</v>
      </c>
      <c r="J14432" s="28">
        <v>0.372281806528659</v>
      </c>
      <c r="K14432" s="29">
        <v>0.98289565623980701</v>
      </c>
    </row>
    <row r="14433" spans="1:11" x14ac:dyDescent="0.35">
      <c r="A14433" s="9" t="str">
        <f>HYPERLINK("http://www.ensembl.org/id/WBGene00004727", "WBGene00004727")</f>
        <v>WBGene00004727</v>
      </c>
      <c r="B14433" s="9" t="str">
        <f>HYPERLINK("http://www.ncbi.nlm.nih.gov/gene/180655", "180655")</f>
        <v>180655</v>
      </c>
      <c r="C14433" s="9" t="str">
        <f>HYPERLINK("http://www.ncbi.nlm.nih.gov/gene/23012", "23012")</f>
        <v>23012</v>
      </c>
      <c r="D14433" t="str">
        <f>"sax-1"</f>
        <v>sax-1</v>
      </c>
      <c r="E14433" t="s">
        <v>7102</v>
      </c>
      <c r="F14433" t="s">
        <v>11</v>
      </c>
      <c r="G14433" t="s">
        <v>7103</v>
      </c>
      <c r="H14433" s="12">
        <v>-1.10697621715407</v>
      </c>
      <c r="I14433" s="20">
        <v>-0.55620405585105503</v>
      </c>
      <c r="J14433" s="28">
        <v>0.57807136690166905</v>
      </c>
      <c r="K14433" s="29">
        <v>0.98289565623980701</v>
      </c>
    </row>
    <row r="14434" spans="1:11" x14ac:dyDescent="0.35">
      <c r="A14434" s="9" t="str">
        <f>HYPERLINK("http://www.ensembl.org/id/WBGene00004729", "WBGene00004729")</f>
        <v>WBGene00004729</v>
      </c>
      <c r="B14434" s="9" t="str">
        <f>HYPERLINK("http://www.ncbi.nlm.nih.gov/gene/180637", "180637")</f>
        <v>180637</v>
      </c>
      <c r="C14434" s="9" t="str">
        <f>HYPERLINK("http://www.ncbi.nlm.nih.gov/gene/6091", "6091")</f>
        <v>6091</v>
      </c>
      <c r="D14434" t="str">
        <f>"sax-3"</f>
        <v>sax-3</v>
      </c>
      <c r="F14434" t="s">
        <v>11</v>
      </c>
      <c r="G14434" t="s">
        <v>5533</v>
      </c>
      <c r="H14434" s="12">
        <v>1.1494291909474299</v>
      </c>
      <c r="I14434" s="20">
        <v>0.73853634458617301</v>
      </c>
      <c r="J14434" s="28">
        <v>0.460188589882007</v>
      </c>
      <c r="K14434" s="29">
        <v>0.98289565623980701</v>
      </c>
    </row>
    <row r="14435" spans="1:11" x14ac:dyDescent="0.35">
      <c r="A14435" s="9" t="str">
        <f>HYPERLINK("http://www.ensembl.org/id/WBGene00004732", "WBGene00004732")</f>
        <v>WBGene00004732</v>
      </c>
      <c r="B14435" s="9" t="str">
        <f>HYPERLINK("http://www.ncbi.nlm.nih.gov/gene/177602", "177602")</f>
        <v>177602</v>
      </c>
      <c r="C14435" s="9"/>
      <c r="D14435" t="str">
        <f>"sax-7"</f>
        <v>sax-7</v>
      </c>
      <c r="E14435" t="s">
        <v>6090</v>
      </c>
      <c r="F14435" t="s">
        <v>11</v>
      </c>
      <c r="G14435" t="s">
        <v>6091</v>
      </c>
      <c r="H14435" s="12">
        <v>1.0632367799642399</v>
      </c>
      <c r="I14435" s="20">
        <v>0.340350000142908</v>
      </c>
      <c r="J14435" s="28">
        <v>0.73359296749458403</v>
      </c>
      <c r="K14435" s="29">
        <v>0.98289565623980701</v>
      </c>
    </row>
    <row r="14436" spans="1:11" x14ac:dyDescent="0.35">
      <c r="A14436" s="9" t="str">
        <f>HYPERLINK("http://www.ensembl.org/id/WBGene00004735", "WBGene00004735")</f>
        <v>WBGene00004735</v>
      </c>
      <c r="B14436" s="9" t="str">
        <f>HYPERLINK("http://www.ncbi.nlm.nih.gov/gene/176574", "176574")</f>
        <v>176574</v>
      </c>
      <c r="C14436" s="9"/>
      <c r="D14436" t="str">
        <f>"sbp-1"</f>
        <v>sbp-1</v>
      </c>
      <c r="E14436" t="s">
        <v>5413</v>
      </c>
      <c r="F14436" t="s">
        <v>11</v>
      </c>
      <c r="G14436" t="s">
        <v>5414</v>
      </c>
      <c r="H14436" s="12">
        <v>1.16897227847897</v>
      </c>
      <c r="I14436" s="20">
        <v>0.77922481618223804</v>
      </c>
      <c r="J14436" s="28">
        <v>0.435847294090351</v>
      </c>
      <c r="K14436" s="29">
        <v>0.98289565623980701</v>
      </c>
    </row>
    <row r="14437" spans="1:11" x14ac:dyDescent="0.35">
      <c r="A14437" s="9" t="str">
        <f>HYPERLINK("http://www.ensembl.org/id/WBGene00004736", "WBGene00004736")</f>
        <v>WBGene00004736</v>
      </c>
      <c r="B14437" s="9" t="str">
        <f>HYPERLINK("http://www.ncbi.nlm.nih.gov/gene/176512", "176512")</f>
        <v>176512</v>
      </c>
      <c r="C14437" s="9" t="str">
        <f>HYPERLINK("http://www.ncbi.nlm.nih.gov/gene/487", "487")</f>
        <v>487</v>
      </c>
      <c r="D14437" t="str">
        <f>"sca-1"</f>
        <v>sca-1</v>
      </c>
      <c r="E14437" t="s">
        <v>2910</v>
      </c>
      <c r="F14437" t="s">
        <v>11</v>
      </c>
      <c r="G14437" t="s">
        <v>6304</v>
      </c>
      <c r="H14437" s="12">
        <v>-1.06119331388144</v>
      </c>
      <c r="I14437" s="20">
        <v>-0.32769302129248301</v>
      </c>
      <c r="J14437" s="28">
        <v>0.74314378050789898</v>
      </c>
      <c r="K14437" s="29">
        <v>0.98289565623980701</v>
      </c>
    </row>
    <row r="14438" spans="1:11" x14ac:dyDescent="0.35">
      <c r="A14438" s="9" t="str">
        <f>HYPERLINK("http://www.ensembl.org/id/WBGene00013039", "WBGene00013039")</f>
        <v>WBGene00013039</v>
      </c>
      <c r="B14438" s="9" t="str">
        <f>HYPERLINK("http://www.ncbi.nlm.nih.gov/gene/176673", "176673")</f>
        <v>176673</v>
      </c>
      <c r="C14438" s="9" t="str">
        <f>HYPERLINK("http://www.ncbi.nlm.nih.gov/gene/948", "948")</f>
        <v>948</v>
      </c>
      <c r="D14438" t="str">
        <f>"scav-3"</f>
        <v>scav-3</v>
      </c>
      <c r="E14438" t="s">
        <v>828</v>
      </c>
      <c r="F14438" t="s">
        <v>11</v>
      </c>
      <c r="G14438" t="s">
        <v>829</v>
      </c>
      <c r="H14438" s="12">
        <v>-1.09466228993062</v>
      </c>
      <c r="I14438" s="20">
        <v>-0.50057800919130002</v>
      </c>
      <c r="J14438" s="28">
        <v>0.61666814229091704</v>
      </c>
      <c r="K14438" s="29">
        <v>0.98289565623980701</v>
      </c>
    </row>
    <row r="14439" spans="1:11" x14ac:dyDescent="0.35">
      <c r="A14439" s="9" t="str">
        <f>HYPERLINK("http://www.ensembl.org/id/WBGene00008542", "WBGene00008542")</f>
        <v>WBGene00008542</v>
      </c>
      <c r="B14439" s="9" t="str">
        <f>HYPERLINK("http://www.ncbi.nlm.nih.gov/gene/184107", "184107")</f>
        <v>184107</v>
      </c>
      <c r="C14439" s="9"/>
      <c r="D14439" t="str">
        <f>"scav-6"</f>
        <v>scav-6</v>
      </c>
      <c r="E14439" t="s">
        <v>828</v>
      </c>
      <c r="F14439" t="s">
        <v>11</v>
      </c>
      <c r="G14439" t="s">
        <v>829</v>
      </c>
      <c r="H14439" s="12">
        <v>-1.1381118498807701</v>
      </c>
      <c r="I14439" s="20">
        <v>-0.48446021343403201</v>
      </c>
      <c r="J14439" s="28">
        <v>0.62805929412783401</v>
      </c>
      <c r="K14439" s="29">
        <v>0.98289565623980701</v>
      </c>
    </row>
    <row r="14440" spans="1:11" x14ac:dyDescent="0.35">
      <c r="A14440" s="9" t="str">
        <f>HYPERLINK("http://www.ensembl.org/id/WBGene00004737", "WBGene00004737")</f>
        <v>WBGene00004737</v>
      </c>
      <c r="B14440" s="9" t="str">
        <f>HYPERLINK("http://www.ncbi.nlm.nih.gov/gene/173808", "173808")</f>
        <v>173808</v>
      </c>
      <c r="C14440" s="9"/>
      <c r="D14440" t="str">
        <f>"scc-1"</f>
        <v>scc-1</v>
      </c>
      <c r="E14440" t="s">
        <v>9786</v>
      </c>
      <c r="F14440" t="s">
        <v>11</v>
      </c>
      <c r="G14440" t="s">
        <v>9787</v>
      </c>
      <c r="H14440" s="12">
        <v>-1.3021190731941401</v>
      </c>
      <c r="I14440" s="20">
        <v>-1.03885279774573</v>
      </c>
      <c r="J14440" s="28">
        <v>0.29887320191505201</v>
      </c>
      <c r="K14440" s="29">
        <v>0.98289565623980701</v>
      </c>
    </row>
    <row r="14441" spans="1:11" x14ac:dyDescent="0.35">
      <c r="A14441" s="9" t="str">
        <f>HYPERLINK("http://www.ensembl.org/id/WBGene00004738", "WBGene00004738")</f>
        <v>WBGene00004738</v>
      </c>
      <c r="B14441" s="9" t="str">
        <f>HYPERLINK("http://www.ncbi.nlm.nih.gov/gene/179749", "179749")</f>
        <v>179749</v>
      </c>
      <c r="C14441" s="9" t="str">
        <f>HYPERLINK("http://www.ncbi.nlm.nih.gov/gene/10735", "10735")</f>
        <v>10735</v>
      </c>
      <c r="D14441" t="str">
        <f>"scc-3"</f>
        <v>scc-3</v>
      </c>
      <c r="E14441" t="s">
        <v>7690</v>
      </c>
      <c r="F14441" t="s">
        <v>11</v>
      </c>
      <c r="G14441" t="s">
        <v>7691</v>
      </c>
      <c r="H14441" s="12">
        <v>-1.1393895739234501</v>
      </c>
      <c r="I14441" s="20">
        <v>-0.63961526641074096</v>
      </c>
      <c r="J14441" s="28">
        <v>0.522422754919312</v>
      </c>
      <c r="K14441" s="29">
        <v>0.98289565623980701</v>
      </c>
    </row>
    <row r="14442" spans="1:11" x14ac:dyDescent="0.35">
      <c r="A14442" s="9" t="str">
        <f>HYPERLINK("http://www.ensembl.org/id/WBGene00004739", "WBGene00004739")</f>
        <v>WBGene00004739</v>
      </c>
      <c r="B14442" s="9" t="str">
        <f>HYPERLINK("http://www.ncbi.nlm.nih.gov/gene/181408", "181408")</f>
        <v>181408</v>
      </c>
      <c r="C14442" s="9"/>
      <c r="D14442" t="str">
        <f>"scd-1"</f>
        <v>scd-1</v>
      </c>
      <c r="E14442" t="s">
        <v>5733</v>
      </c>
      <c r="F14442" t="s">
        <v>11</v>
      </c>
      <c r="H14442" s="12">
        <v>1.11403100870982</v>
      </c>
      <c r="I14442" s="20">
        <v>0.58411907552668096</v>
      </c>
      <c r="J14442" s="28">
        <v>0.55914020178597501</v>
      </c>
      <c r="K14442" s="29">
        <v>0.98289565623980701</v>
      </c>
    </row>
    <row r="14443" spans="1:11" x14ac:dyDescent="0.35">
      <c r="A14443" s="9" t="str">
        <f>HYPERLINK("http://www.ensembl.org/id/WBGene00009891", "WBGene00009891")</f>
        <v>WBGene00009891</v>
      </c>
      <c r="B14443" s="9" t="str">
        <f>HYPERLINK("http://www.ncbi.nlm.nih.gov/gene/186049", "186049")</f>
        <v>186049</v>
      </c>
      <c r="C14443" s="9"/>
      <c r="D14443" t="str">
        <f>"scl-10"</f>
        <v>scl-10</v>
      </c>
      <c r="E14443" t="s">
        <v>162</v>
      </c>
      <c r="F14443" t="s">
        <v>11</v>
      </c>
      <c r="G14443" t="s">
        <v>63</v>
      </c>
      <c r="H14443" s="12">
        <v>3.7495657430089002</v>
      </c>
      <c r="I14443" s="20">
        <v>0.41509078773660102</v>
      </c>
      <c r="J14443" s="28">
        <v>0.67807544303981004</v>
      </c>
      <c r="K14443" s="29">
        <v>0.98289565623980701</v>
      </c>
    </row>
    <row r="14444" spans="1:11" x14ac:dyDescent="0.35">
      <c r="A14444" s="9" t="str">
        <f>HYPERLINK("http://www.ensembl.org/id/WBGene00008625", "WBGene00008625")</f>
        <v>WBGene00008625</v>
      </c>
      <c r="B14444" s="9" t="str">
        <f>HYPERLINK("http://www.ncbi.nlm.nih.gov/gene/184246", "184246")</f>
        <v>184246</v>
      </c>
      <c r="C14444" s="9"/>
      <c r="D14444" t="str">
        <f>"scl-14"</f>
        <v>scl-14</v>
      </c>
      <c r="E14444" t="s">
        <v>162</v>
      </c>
      <c r="F14444" t="s">
        <v>11</v>
      </c>
      <c r="G14444" t="s">
        <v>63</v>
      </c>
      <c r="H14444" s="12">
        <v>-1.2215881039296099</v>
      </c>
      <c r="I14444" s="20">
        <v>-0.30188369647435798</v>
      </c>
      <c r="J14444" s="28">
        <v>0.76274072461323805</v>
      </c>
      <c r="K14444" s="29">
        <v>0.98289565623980701</v>
      </c>
    </row>
    <row r="14445" spans="1:11" x14ac:dyDescent="0.35">
      <c r="A14445" s="9" t="str">
        <f>HYPERLINK("http://www.ensembl.org/id/WBGene00017183", "WBGene00017183")</f>
        <v>WBGene00017183</v>
      </c>
      <c r="B14445" s="9" t="str">
        <f>HYPERLINK("http://www.ncbi.nlm.nih.gov/gene/184099", "184099")</f>
        <v>184099</v>
      </c>
      <c r="C14445" s="9"/>
      <c r="D14445" t="str">
        <f>"scl-15"</f>
        <v>scl-15</v>
      </c>
      <c r="E14445" t="s">
        <v>162</v>
      </c>
      <c r="F14445" t="s">
        <v>11</v>
      </c>
      <c r="G14445" t="s">
        <v>63</v>
      </c>
      <c r="H14445" s="12">
        <v>2.4578120077400301</v>
      </c>
      <c r="I14445" s="20">
        <v>0.26093350314551</v>
      </c>
      <c r="J14445" s="28">
        <v>0.79414378780213601</v>
      </c>
      <c r="K14445" s="29">
        <v>0.98289565623980701</v>
      </c>
    </row>
    <row r="14446" spans="1:11" x14ac:dyDescent="0.35">
      <c r="A14446" s="9" t="str">
        <f>HYPERLINK("http://www.ensembl.org/id/WBGene00011724", "WBGene00011724")</f>
        <v>WBGene00011724</v>
      </c>
      <c r="B14446" s="9" t="str">
        <f>HYPERLINK("http://www.ncbi.nlm.nih.gov/gene/188436", "188436")</f>
        <v>188436</v>
      </c>
      <c r="C14446" s="9"/>
      <c r="D14446" t="str">
        <f>"scl-18"</f>
        <v>scl-18</v>
      </c>
      <c r="E14446" t="s">
        <v>162</v>
      </c>
      <c r="F14446" t="s">
        <v>11</v>
      </c>
      <c r="G14446" t="s">
        <v>63</v>
      </c>
      <c r="H14446" s="12">
        <v>2.3893468495514898</v>
      </c>
      <c r="I14446" s="20">
        <v>0.25323547253672701</v>
      </c>
      <c r="J14446" s="28">
        <v>0.80008625651646104</v>
      </c>
      <c r="K14446" s="29">
        <v>0.98289565623980701</v>
      </c>
    </row>
    <row r="14447" spans="1:11" x14ac:dyDescent="0.35">
      <c r="A14447" s="9" t="str">
        <f>HYPERLINK("http://www.ensembl.org/id/WBGene00013971", "WBGene00013971")</f>
        <v>WBGene00013971</v>
      </c>
      <c r="B14447" s="9" t="str">
        <f>HYPERLINK("http://www.ncbi.nlm.nih.gov/gene/191308", "191308")</f>
        <v>191308</v>
      </c>
      <c r="C14447" s="9"/>
      <c r="D14447" t="str">
        <f>"scl-19"</f>
        <v>scl-19</v>
      </c>
      <c r="E14447" t="s">
        <v>162</v>
      </c>
      <c r="F14447" t="s">
        <v>11</v>
      </c>
      <c r="G14447" t="s">
        <v>63</v>
      </c>
      <c r="H14447" s="12">
        <v>-3.7261494131482999</v>
      </c>
      <c r="I14447" s="20">
        <v>-0.38454673129429601</v>
      </c>
      <c r="J14447" s="28">
        <v>0.70057326682554</v>
      </c>
      <c r="K14447" s="29">
        <v>0.98289565623980701</v>
      </c>
    </row>
    <row r="14448" spans="1:11" x14ac:dyDescent="0.35">
      <c r="A14448" s="9" t="str">
        <f>HYPERLINK("http://www.ensembl.org/id/WBGene00013972", "WBGene00013972")</f>
        <v>WBGene00013972</v>
      </c>
      <c r="B14448" s="9" t="str">
        <f>HYPERLINK("http://www.ncbi.nlm.nih.gov/gene/191309", "191309")</f>
        <v>191309</v>
      </c>
      <c r="C14448" s="9"/>
      <c r="D14448" t="str">
        <f>"scl-20"</f>
        <v>scl-20</v>
      </c>
      <c r="E14448" t="s">
        <v>162</v>
      </c>
      <c r="F14448" t="s">
        <v>11</v>
      </c>
      <c r="G14448" t="s">
        <v>63</v>
      </c>
      <c r="H14448" s="12">
        <v>-5.9147836814778696</v>
      </c>
      <c r="I14448" s="20">
        <v>-0.64732500741019305</v>
      </c>
      <c r="J14448" s="28">
        <v>0.51742161994361002</v>
      </c>
      <c r="K14448" s="29">
        <v>0.98289565623980701</v>
      </c>
    </row>
    <row r="14449" spans="1:11" x14ac:dyDescent="0.35">
      <c r="A14449" s="9" t="str">
        <f>HYPERLINK("http://www.ensembl.org/id/WBGene00015246", "WBGene00015246")</f>
        <v>WBGene00015246</v>
      </c>
      <c r="B14449" s="9" t="str">
        <f>HYPERLINK("http://www.ncbi.nlm.nih.gov/gene/182028", "182028")</f>
        <v>182028</v>
      </c>
      <c r="C14449" s="9"/>
      <c r="D14449" t="str">
        <f>"scl-23"</f>
        <v>scl-23</v>
      </c>
      <c r="E14449" t="s">
        <v>162</v>
      </c>
      <c r="F14449" t="s">
        <v>11</v>
      </c>
      <c r="G14449" t="s">
        <v>3509</v>
      </c>
      <c r="H14449" s="12">
        <v>2.9136135215456398</v>
      </c>
      <c r="I14449" s="20">
        <v>0.866043803113555</v>
      </c>
      <c r="J14449" s="28">
        <v>0.38646614107343702</v>
      </c>
      <c r="K14449" s="29">
        <v>0.98289565623980701</v>
      </c>
    </row>
    <row r="14450" spans="1:11" x14ac:dyDescent="0.35">
      <c r="A14450" s="9" t="str">
        <f>HYPERLINK("http://www.ensembl.org/id/WBGene00008575", "WBGene00008575")</f>
        <v>WBGene00008575</v>
      </c>
      <c r="B14450" s="9" t="str">
        <f>HYPERLINK("http://www.ncbi.nlm.nih.gov/gene/184188", "184188")</f>
        <v>184188</v>
      </c>
      <c r="C14450" s="9"/>
      <c r="D14450" t="str">
        <f>"scl-24"</f>
        <v>scl-24</v>
      </c>
      <c r="E14450" t="s">
        <v>162</v>
      </c>
      <c r="F14450" t="s">
        <v>11</v>
      </c>
      <c r="G14450" t="s">
        <v>63</v>
      </c>
      <c r="H14450" s="12">
        <v>2.45183258574394</v>
      </c>
      <c r="I14450" s="20">
        <v>0.75062281342727699</v>
      </c>
      <c r="J14450" s="28">
        <v>0.45287968749956697</v>
      </c>
      <c r="K14450" s="29">
        <v>0.98289565623980701</v>
      </c>
    </row>
    <row r="14451" spans="1:11" x14ac:dyDescent="0.35">
      <c r="A14451" s="9" t="str">
        <f>HYPERLINK("http://www.ensembl.org/id/WBGene00011841", "WBGene00011841")</f>
        <v>WBGene00011841</v>
      </c>
      <c r="B14451" s="9" t="str">
        <f>HYPERLINK("http://www.ncbi.nlm.nih.gov/gene/188600", "188600")</f>
        <v>188600</v>
      </c>
      <c r="C14451" s="9"/>
      <c r="D14451" t="str">
        <f>"scl-25"</f>
        <v>scl-25</v>
      </c>
      <c r="E14451" t="s">
        <v>162</v>
      </c>
      <c r="F14451" t="s">
        <v>11</v>
      </c>
      <c r="G14451" t="s">
        <v>63</v>
      </c>
      <c r="H14451" s="12">
        <v>7.3973354176256896</v>
      </c>
      <c r="I14451" s="20">
        <v>1.0835881872855599</v>
      </c>
      <c r="J14451" s="28">
        <v>0.27854743071235799</v>
      </c>
      <c r="K14451" s="29">
        <v>0.98289565623980701</v>
      </c>
    </row>
    <row r="14452" spans="1:11" x14ac:dyDescent="0.35">
      <c r="A14452" s="9" t="str">
        <f>HYPERLINK("http://www.ensembl.org/id/WBGene00008028", "WBGene00008028")</f>
        <v>WBGene00008028</v>
      </c>
      <c r="B14452" s="9" t="str">
        <f>HYPERLINK("http://www.ncbi.nlm.nih.gov/gene/183343", "183343")</f>
        <v>183343</v>
      </c>
      <c r="C14452" s="9"/>
      <c r="D14452" t="str">
        <f>"scl-6"</f>
        <v>scl-6</v>
      </c>
      <c r="E14452" t="s">
        <v>162</v>
      </c>
      <c r="F14452" t="s">
        <v>11</v>
      </c>
      <c r="G14452" t="s">
        <v>63</v>
      </c>
      <c r="H14452" s="12">
        <v>9.1890774438490901</v>
      </c>
      <c r="I14452" s="20">
        <v>0.780439195687054</v>
      </c>
      <c r="J14452" s="28">
        <v>0.43513240445527901</v>
      </c>
      <c r="K14452" s="29">
        <v>0.98289565623980701</v>
      </c>
    </row>
    <row r="14453" spans="1:11" x14ac:dyDescent="0.35">
      <c r="A14453" s="9" t="str">
        <f>HYPERLINK("http://www.ensembl.org/id/WBGene00008029", "WBGene00008029")</f>
        <v>WBGene00008029</v>
      </c>
      <c r="B14453" s="9" t="str">
        <f>HYPERLINK("http://www.ncbi.nlm.nih.gov/gene/183344", "183344")</f>
        <v>183344</v>
      </c>
      <c r="C14453" s="9"/>
      <c r="D14453" t="str">
        <f>"scl-7"</f>
        <v>scl-7</v>
      </c>
      <c r="E14453" t="s">
        <v>162</v>
      </c>
      <c r="F14453" t="s">
        <v>11</v>
      </c>
      <c r="G14453" t="s">
        <v>63</v>
      </c>
      <c r="H14453" s="12">
        <v>9.9320123134608593</v>
      </c>
      <c r="I14453" s="20">
        <v>0.68366985730865304</v>
      </c>
      <c r="J14453" s="28">
        <v>0.49418366151259002</v>
      </c>
      <c r="K14453" s="29">
        <v>0.98289565623980701</v>
      </c>
    </row>
    <row r="14454" spans="1:11" x14ac:dyDescent="0.35">
      <c r="A14454" s="9" t="str">
        <f>HYPERLINK("http://www.ensembl.org/id/WBGene00008030", "WBGene00008030")</f>
        <v>WBGene00008030</v>
      </c>
      <c r="B14454" s="9" t="str">
        <f>HYPERLINK("http://www.ncbi.nlm.nih.gov/gene/183345", "183345")</f>
        <v>183345</v>
      </c>
      <c r="C14454" s="9"/>
      <c r="D14454" t="str">
        <f>"scl-8"</f>
        <v>scl-8</v>
      </c>
      <c r="E14454" t="s">
        <v>162</v>
      </c>
      <c r="F14454" t="s">
        <v>11</v>
      </c>
      <c r="G14454" t="s">
        <v>63</v>
      </c>
      <c r="H14454" s="12">
        <v>3.5227018545059199</v>
      </c>
      <c r="I14454" s="20">
        <v>0.36849691206929103</v>
      </c>
      <c r="J14454" s="28">
        <v>0.71250274722433404</v>
      </c>
      <c r="K14454" s="29">
        <v>0.98289565623980701</v>
      </c>
    </row>
    <row r="14455" spans="1:11" x14ac:dyDescent="0.35">
      <c r="A14455" s="9" t="str">
        <f>HYPERLINK("http://www.ensembl.org/id/WBGene00009890", "WBGene00009890")</f>
        <v>WBGene00009890</v>
      </c>
      <c r="B14455" s="9" t="str">
        <f>HYPERLINK("http://www.ncbi.nlm.nih.gov/gene/186048", "186048")</f>
        <v>186048</v>
      </c>
      <c r="C14455" s="9"/>
      <c r="D14455" t="str">
        <f>"scl-9"</f>
        <v>scl-9</v>
      </c>
      <c r="E14455" t="s">
        <v>162</v>
      </c>
      <c r="F14455" t="s">
        <v>11</v>
      </c>
      <c r="G14455" t="s">
        <v>63</v>
      </c>
      <c r="H14455" s="12">
        <v>-5.4967879193631202</v>
      </c>
      <c r="I14455" s="20">
        <v>-0.50254160819837501</v>
      </c>
      <c r="J14455" s="28">
        <v>0.61528659178453604</v>
      </c>
      <c r="K14455" s="29">
        <v>0.98289565623980701</v>
      </c>
    </row>
    <row r="14456" spans="1:11" x14ac:dyDescent="0.35">
      <c r="A14456" s="9" t="str">
        <f>HYPERLINK("http://www.ensembl.org/id/WBGene00015297", "WBGene00015297")</f>
        <v>WBGene00015297</v>
      </c>
      <c r="B14456" s="9" t="str">
        <f>HYPERLINK("http://www.ncbi.nlm.nih.gov/gene/173763", "173763")</f>
        <v>173763</v>
      </c>
      <c r="C14456" s="9" t="str">
        <f>HYPERLINK("http://www.ncbi.nlm.nih.gov/gene/6341", "6341")</f>
        <v>6341</v>
      </c>
      <c r="D14456" t="str">
        <f>"sco-1"</f>
        <v>sco-1</v>
      </c>
      <c r="E14456" t="s">
        <v>6483</v>
      </c>
      <c r="F14456" t="s">
        <v>11</v>
      </c>
      <c r="G14456" t="s">
        <v>6484</v>
      </c>
      <c r="H14456" s="12">
        <v>-1.07162586388285</v>
      </c>
      <c r="I14456" s="20">
        <v>-0.31090481527952701</v>
      </c>
      <c r="J14456" s="28">
        <v>0.75587298370910105</v>
      </c>
      <c r="K14456" s="29">
        <v>0.98289565623980701</v>
      </c>
    </row>
    <row r="14457" spans="1:11" x14ac:dyDescent="0.35">
      <c r="A14457" s="9" t="str">
        <f>HYPERLINK("http://www.ensembl.org/id/WBGene00004744", "WBGene00004744")</f>
        <v>WBGene00004744</v>
      </c>
      <c r="B14457" s="9" t="str">
        <f>HYPERLINK("http://www.ncbi.nlm.nih.gov/gene/174479", "174479")</f>
        <v>174479</v>
      </c>
      <c r="C14457" s="9" t="str">
        <f>HYPERLINK("http://www.ncbi.nlm.nih.gov/gene/22937", "22937")</f>
        <v>22937</v>
      </c>
      <c r="D14457" t="str">
        <f>"scp-1"</f>
        <v>scp-1</v>
      </c>
      <c r="E14457" t="s">
        <v>6108</v>
      </c>
      <c r="F14457" t="s">
        <v>11</v>
      </c>
      <c r="G14457" t="s">
        <v>6109</v>
      </c>
      <c r="H14457" s="12">
        <v>1.0592252453584801</v>
      </c>
      <c r="I14457" s="20">
        <v>0.29873849539209302</v>
      </c>
      <c r="J14457" s="28">
        <v>0.76513958244445202</v>
      </c>
      <c r="K14457" s="29">
        <v>0.98289565623980701</v>
      </c>
    </row>
    <row r="14458" spans="1:11" x14ac:dyDescent="0.35">
      <c r="A14458" s="9" t="str">
        <f>HYPERLINK("http://www.ensembl.org/id/WBGene00021629", "WBGene00021629")</f>
        <v>WBGene00021629</v>
      </c>
      <c r="B14458" s="9" t="str">
        <f>HYPERLINK("http://www.ncbi.nlm.nih.gov/gene/172032", "172032")</f>
        <v>172032</v>
      </c>
      <c r="C14458" s="9"/>
      <c r="D14458" t="str">
        <f>"scpl-3"</f>
        <v>scpl-3</v>
      </c>
      <c r="E14458" t="s">
        <v>8796</v>
      </c>
      <c r="F14458" t="s">
        <v>11</v>
      </c>
      <c r="G14458" t="s">
        <v>8797</v>
      </c>
      <c r="H14458" s="12">
        <v>-1.1973497221279901</v>
      </c>
      <c r="I14458" s="20">
        <v>-0.86117874256169302</v>
      </c>
      <c r="J14458" s="28">
        <v>0.38913960596521402</v>
      </c>
      <c r="K14458" s="29">
        <v>0.98289565623980701</v>
      </c>
    </row>
    <row r="14459" spans="1:11" x14ac:dyDescent="0.35">
      <c r="A14459" s="9" t="str">
        <f>HYPERLINK("http://www.ensembl.org/id/WBGene00011897", "WBGene00011897")</f>
        <v>WBGene00011897</v>
      </c>
      <c r="B14459" s="9" t="str">
        <f>HYPERLINK("http://www.ncbi.nlm.nih.gov/gene/179481", "179481")</f>
        <v>179481</v>
      </c>
      <c r="C14459" s="9"/>
      <c r="D14459" t="str">
        <f>"scpl-4"</f>
        <v>scpl-4</v>
      </c>
      <c r="E14459" t="s">
        <v>9036</v>
      </c>
      <c r="F14459" t="s">
        <v>11</v>
      </c>
      <c r="G14459" t="s">
        <v>9037</v>
      </c>
      <c r="H14459" s="12">
        <v>-1.21632133218415</v>
      </c>
      <c r="I14459" s="20">
        <v>-0.98933797353094399</v>
      </c>
      <c r="J14459" s="28">
        <v>0.32249781082340601</v>
      </c>
      <c r="K14459" s="29">
        <v>0.98289565623980701</v>
      </c>
    </row>
    <row r="14460" spans="1:11" x14ac:dyDescent="0.35">
      <c r="A14460" s="9" t="str">
        <f>HYPERLINK("http://www.ensembl.org/id/WBGene00015437", "WBGene00015437")</f>
        <v>WBGene00015437</v>
      </c>
      <c r="B14460" s="9" t="str">
        <f>HYPERLINK("http://www.ncbi.nlm.nih.gov/gene/182212", "182212")</f>
        <v>182212</v>
      </c>
      <c r="C14460" s="9" t="str">
        <f>HYPERLINK("http://www.ncbi.nlm.nih.gov/gene/5359", "5359")</f>
        <v>5359</v>
      </c>
      <c r="D14460" t="str">
        <f>"scrm-3"</f>
        <v>scrm-3</v>
      </c>
      <c r="E14460" t="s">
        <v>1622</v>
      </c>
      <c r="F14460" t="s">
        <v>11</v>
      </c>
      <c r="G14460" t="s">
        <v>1623</v>
      </c>
      <c r="H14460" s="12">
        <v>1.0863712970745101</v>
      </c>
      <c r="I14460" s="20">
        <v>0.261971022457958</v>
      </c>
      <c r="J14460" s="28">
        <v>0.79334378292101904</v>
      </c>
      <c r="K14460" s="29">
        <v>0.98289565623980701</v>
      </c>
    </row>
    <row r="14461" spans="1:11" x14ac:dyDescent="0.35">
      <c r="A14461" s="9" t="str">
        <f>HYPERLINK("http://www.ensembl.org/id/WBGene00008681", "WBGene00008681")</f>
        <v>WBGene00008681</v>
      </c>
      <c r="B14461" s="9" t="str">
        <f>HYPERLINK("http://www.ncbi.nlm.nih.gov/gene/184340", "184340")</f>
        <v>184340</v>
      </c>
      <c r="C14461" s="9"/>
      <c r="D14461" t="str">
        <f>"scrm-4"</f>
        <v>scrm-4</v>
      </c>
      <c r="E14461" t="s">
        <v>1622</v>
      </c>
      <c r="F14461" t="s">
        <v>11</v>
      </c>
      <c r="G14461" t="s">
        <v>1623</v>
      </c>
      <c r="H14461" s="12">
        <v>-1.2596555917412999</v>
      </c>
      <c r="I14461" s="20">
        <v>-0.94601448855362202</v>
      </c>
      <c r="J14461" s="28">
        <v>0.34414119641193602</v>
      </c>
      <c r="K14461" s="29">
        <v>0.98289565623980701</v>
      </c>
    </row>
    <row r="14462" spans="1:11" x14ac:dyDescent="0.35">
      <c r="A14462" s="9" t="str">
        <f>HYPERLINK("http://www.ensembl.org/id/WBGene00019531", "WBGene00019531")</f>
        <v>WBGene00019531</v>
      </c>
      <c r="B14462" s="9" t="str">
        <f>HYPERLINK("http://www.ncbi.nlm.nih.gov/gene/177180", "177180")</f>
        <v>177180</v>
      </c>
      <c r="C14462" s="9"/>
      <c r="D14462" t="str">
        <f>"scrm-5"</f>
        <v>scrm-5</v>
      </c>
      <c r="E14462" t="s">
        <v>1622</v>
      </c>
      <c r="F14462" t="s">
        <v>11</v>
      </c>
      <c r="G14462" t="s">
        <v>4371</v>
      </c>
      <c r="H14462" s="12">
        <v>2.4528305722710901</v>
      </c>
      <c r="I14462" s="20">
        <v>0.96971372448404702</v>
      </c>
      <c r="J14462" s="28">
        <v>0.33218920748892</v>
      </c>
      <c r="K14462" s="29">
        <v>0.98289565623980701</v>
      </c>
    </row>
    <row r="14463" spans="1:11" x14ac:dyDescent="0.35">
      <c r="A14463" s="9" t="str">
        <f>HYPERLINK("http://www.ensembl.org/id/WBGene00009753", "WBGene00009753")</f>
        <v>WBGene00009753</v>
      </c>
      <c r="B14463" s="9" t="str">
        <f>HYPERLINK("http://www.ncbi.nlm.nih.gov/gene/185826", "185826")</f>
        <v>185826</v>
      </c>
      <c r="C14463" s="9"/>
      <c r="D14463" t="str">
        <f>"scrm-6"</f>
        <v>scrm-6</v>
      </c>
      <c r="E14463" t="s">
        <v>1622</v>
      </c>
      <c r="F14463" t="s">
        <v>11</v>
      </c>
      <c r="G14463" t="s">
        <v>4371</v>
      </c>
      <c r="H14463" s="12">
        <v>2.5172113963606999</v>
      </c>
      <c r="I14463" s="20">
        <v>0.48794542174621303</v>
      </c>
      <c r="J14463" s="28">
        <v>0.62558850029866098</v>
      </c>
      <c r="K14463" s="29">
        <v>0.98289565623980701</v>
      </c>
    </row>
    <row r="14464" spans="1:11" x14ac:dyDescent="0.35">
      <c r="A14464" s="9" t="str">
        <f>HYPERLINK("http://www.ensembl.org/id/WBGene00010237", "WBGene00010237")</f>
        <v>WBGene00010237</v>
      </c>
      <c r="B14464" s="9" t="str">
        <f>HYPERLINK("http://www.ncbi.nlm.nih.gov/gene/186496", "186496")</f>
        <v>186496</v>
      </c>
      <c r="C14464" s="9"/>
      <c r="D14464" t="str">
        <f>"scvp-1"</f>
        <v>scvp-1</v>
      </c>
      <c r="E14464" t="s">
        <v>4215</v>
      </c>
      <c r="F14464" t="s">
        <v>11</v>
      </c>
      <c r="H14464" s="12">
        <v>10.757537997597099</v>
      </c>
      <c r="I14464" s="20">
        <v>1.0893451637925999</v>
      </c>
      <c r="J14464" s="28">
        <v>0.27600170336736202</v>
      </c>
      <c r="K14464" s="29">
        <v>0.98289565623980701</v>
      </c>
    </row>
    <row r="14465" spans="1:11" x14ac:dyDescent="0.35">
      <c r="A14465" s="9" t="str">
        <f>HYPERLINK("http://www.ensembl.org/id/WBGene00004745", "WBGene00004745")</f>
        <v>WBGene00004745</v>
      </c>
      <c r="B14465" s="9" t="str">
        <f>HYPERLINK("http://www.ncbi.nlm.nih.gov/gene/181701", "181701")</f>
        <v>181701</v>
      </c>
      <c r="C14465" s="9"/>
      <c r="D14465" t="str">
        <f>"sdc-1"</f>
        <v>sdc-1</v>
      </c>
      <c r="E14465" t="s">
        <v>5728</v>
      </c>
      <c r="F14465" t="s">
        <v>11</v>
      </c>
      <c r="G14465" t="s">
        <v>5729</v>
      </c>
      <c r="H14465" s="12">
        <v>1.1145152712158499</v>
      </c>
      <c r="I14465" s="20">
        <v>0.474427959028692</v>
      </c>
      <c r="J14465" s="28">
        <v>0.63519475930111202</v>
      </c>
      <c r="K14465" s="29">
        <v>0.98289565623980701</v>
      </c>
    </row>
    <row r="14466" spans="1:11" x14ac:dyDescent="0.35">
      <c r="A14466" s="9" t="str">
        <f>HYPERLINK("http://www.ensembl.org/id/WBGene00004746", "WBGene00004746")</f>
        <v>WBGene00004746</v>
      </c>
      <c r="B14466" s="9" t="str">
        <f>HYPERLINK("http://www.ncbi.nlm.nih.gov/gene/181341", "181341")</f>
        <v>181341</v>
      </c>
      <c r="C14466" s="9"/>
      <c r="D14466" t="str">
        <f>"sdc-2"</f>
        <v>sdc-2</v>
      </c>
      <c r="E14466" t="s">
        <v>4975</v>
      </c>
      <c r="F14466" t="s">
        <v>11</v>
      </c>
      <c r="G14466" t="s">
        <v>4976</v>
      </c>
      <c r="H14466" s="12">
        <v>1.27195053998665</v>
      </c>
      <c r="I14466" s="20">
        <v>1.149943568706</v>
      </c>
      <c r="J14466" s="28">
        <v>0.25016711452872797</v>
      </c>
      <c r="K14466" s="29">
        <v>0.98289565623980701</v>
      </c>
    </row>
    <row r="14467" spans="1:11" x14ac:dyDescent="0.35">
      <c r="A14467" s="9" t="str">
        <f>HYPERLINK("http://www.ensembl.org/id/WBGene00004747", "WBGene00004747")</f>
        <v>WBGene00004747</v>
      </c>
      <c r="B14467" s="9" t="str">
        <f>HYPERLINK("http://www.ncbi.nlm.nih.gov/gene/180009", "180009")</f>
        <v>180009</v>
      </c>
      <c r="C14467" s="9"/>
      <c r="D14467" t="str">
        <f>"sdc-3"</f>
        <v>sdc-3</v>
      </c>
      <c r="E14467" t="s">
        <v>5863</v>
      </c>
      <c r="F14467" t="s">
        <v>11</v>
      </c>
      <c r="G14467" t="s">
        <v>5864</v>
      </c>
      <c r="H14467" s="12">
        <v>1.09211894592114</v>
      </c>
      <c r="I14467" s="20">
        <v>0.43336022390508899</v>
      </c>
      <c r="J14467" s="28">
        <v>0.66475309255958703</v>
      </c>
      <c r="K14467" s="29">
        <v>0.98289565623980701</v>
      </c>
    </row>
    <row r="14468" spans="1:11" x14ac:dyDescent="0.35">
      <c r="A14468" s="9" t="str">
        <f>HYPERLINK("http://www.ensembl.org/id/WBGene00004748", "WBGene00004748")</f>
        <v>WBGene00004748</v>
      </c>
      <c r="B14468" s="9" t="str">
        <f>HYPERLINK("http://www.ncbi.nlm.nih.gov/gene/189901", "189901")</f>
        <v>189901</v>
      </c>
      <c r="C14468" s="9"/>
      <c r="D14468" t="str">
        <f>"sdf-9"</f>
        <v>sdf-9</v>
      </c>
      <c r="F14468" t="s">
        <v>11</v>
      </c>
      <c r="G14468" t="s">
        <v>93</v>
      </c>
      <c r="H14468" s="12">
        <v>3.5352376722444698</v>
      </c>
      <c r="I14468" s="20">
        <v>0.59113799449030202</v>
      </c>
      <c r="J14468" s="28">
        <v>0.554427964191888</v>
      </c>
      <c r="K14468" s="29">
        <v>0.98289565623980701</v>
      </c>
    </row>
    <row r="14469" spans="1:11" x14ac:dyDescent="0.35">
      <c r="A14469" s="9" t="str">
        <f>HYPERLINK("http://www.ensembl.org/id/WBGene00015391", "WBGene00015391")</f>
        <v>WBGene00015391</v>
      </c>
      <c r="B14469" s="9" t="str">
        <f>HYPERLINK("http://www.ncbi.nlm.nih.gov/gene/181108", "181108")</f>
        <v>181108</v>
      </c>
      <c r="C14469" s="9" t="str">
        <f>HYPERLINK("http://www.ncbi.nlm.nih.gov/gene/6389", "6389")</f>
        <v>6389</v>
      </c>
      <c r="D14469" t="str">
        <f>"sdha-1"</f>
        <v>sdha-1</v>
      </c>
      <c r="E14469" t="s">
        <v>968</v>
      </c>
      <c r="F14469" t="s">
        <v>11</v>
      </c>
      <c r="G14469" t="s">
        <v>8720</v>
      </c>
      <c r="H14469" s="12">
        <v>-1.1928194845334801</v>
      </c>
      <c r="I14469" s="20">
        <v>-0.90591062009353096</v>
      </c>
      <c r="J14469" s="28">
        <v>0.36498316269304698</v>
      </c>
      <c r="K14469" s="29">
        <v>0.98289565623980701</v>
      </c>
    </row>
    <row r="14470" spans="1:11" x14ac:dyDescent="0.35">
      <c r="A14470" s="9" t="str">
        <f>HYPERLINK("http://www.ensembl.org/id/WBGene00009353", "WBGene00009353")</f>
        <v>WBGene00009353</v>
      </c>
      <c r="B14470" s="9" t="str">
        <f>HYPERLINK("http://www.ncbi.nlm.nih.gov/gene/174692", "174692")</f>
        <v>174692</v>
      </c>
      <c r="C14470" s="9"/>
      <c r="D14470" t="str">
        <f>"sdhd-1"</f>
        <v>sdhd-1</v>
      </c>
      <c r="E14470" t="s">
        <v>6725</v>
      </c>
      <c r="F14470" t="s">
        <v>11</v>
      </c>
      <c r="G14470" t="s">
        <v>6726</v>
      </c>
      <c r="H14470" s="12">
        <v>-1.08617529641448</v>
      </c>
      <c r="I14470" s="20">
        <v>-0.401224024853786</v>
      </c>
      <c r="J14470" s="28">
        <v>0.68825519406145497</v>
      </c>
      <c r="K14470" s="29">
        <v>0.98289565623980701</v>
      </c>
    </row>
    <row r="14471" spans="1:11" x14ac:dyDescent="0.35">
      <c r="A14471" s="9" t="str">
        <f>HYPERLINK("http://www.ensembl.org/id/WBGene00004749", "WBGene00004749")</f>
        <v>WBGene00004749</v>
      </c>
      <c r="B14471" s="9" t="str">
        <f>HYPERLINK("http://www.ncbi.nlm.nih.gov/gene/181259", "181259")</f>
        <v>181259</v>
      </c>
      <c r="C14471" s="9"/>
      <c r="D14471" t="str">
        <f>"sdn-1"</f>
        <v>sdn-1</v>
      </c>
      <c r="E14471" t="s">
        <v>5300</v>
      </c>
      <c r="F14471" t="s">
        <v>11</v>
      </c>
      <c r="G14471" t="s">
        <v>5301</v>
      </c>
      <c r="H14471" s="12">
        <v>1.1923648709149599</v>
      </c>
      <c r="I14471" s="20">
        <v>0.85927449542743695</v>
      </c>
      <c r="J14471" s="28">
        <v>0.39018909185491502</v>
      </c>
      <c r="K14471" s="29">
        <v>0.98289565623980701</v>
      </c>
    </row>
    <row r="14472" spans="1:11" x14ac:dyDescent="0.35">
      <c r="A14472" s="9" t="str">
        <f>HYPERLINK("http://www.ensembl.org/id/WBGene00018467", "WBGene00018467")</f>
        <v>WBGene00018467</v>
      </c>
      <c r="B14472" s="9" t="str">
        <f>HYPERLINK("http://www.ncbi.nlm.nih.gov/gene/181058", "181058")</f>
        <v>181058</v>
      </c>
      <c r="C14472" s="9" t="str">
        <f>HYPERLINK("http://www.ncbi.nlm.nih.gov/gene/11252", "11252")</f>
        <v>11252</v>
      </c>
      <c r="D14472" t="str">
        <f>"sdpn-1"</f>
        <v>sdpn-1</v>
      </c>
      <c r="E14472" t="s">
        <v>7177</v>
      </c>
      <c r="F14472" t="s">
        <v>11</v>
      </c>
      <c r="G14472" t="s">
        <v>7178</v>
      </c>
      <c r="H14472" s="12">
        <v>-1.11172441134855</v>
      </c>
      <c r="I14472" s="20">
        <v>-0.54582451421300304</v>
      </c>
      <c r="J14472" s="28">
        <v>0.58518657065832502</v>
      </c>
      <c r="K14472" s="29">
        <v>0.98289565623980701</v>
      </c>
    </row>
    <row r="14473" spans="1:11" x14ac:dyDescent="0.35">
      <c r="A14473" s="9" t="str">
        <f>HYPERLINK("http://www.ensembl.org/id/WBGene00011637", "WBGene00011637")</f>
        <v>WBGene00011637</v>
      </c>
      <c r="B14473" s="9" t="str">
        <f>HYPERLINK("http://www.ncbi.nlm.nih.gov/gene/174266", "174266")</f>
        <v>174266</v>
      </c>
      <c r="C14473" s="9" t="str">
        <f>HYPERLINK("http://www.ncbi.nlm.nih.gov/gene/5510", "5510")</f>
        <v>5510</v>
      </c>
      <c r="D14473" t="str">
        <f>"sds-22"</f>
        <v>sds-22</v>
      </c>
      <c r="E14473" t="s">
        <v>8561</v>
      </c>
      <c r="F14473" t="s">
        <v>11</v>
      </c>
      <c r="G14473" t="s">
        <v>8562</v>
      </c>
      <c r="H14473" s="12">
        <v>-1.18386173059623</v>
      </c>
      <c r="I14473" s="20">
        <v>-0.85583140989286299</v>
      </c>
      <c r="J14473" s="28">
        <v>0.39209103868773398</v>
      </c>
      <c r="K14473" s="29">
        <v>0.98289565623980701</v>
      </c>
    </row>
    <row r="14474" spans="1:11" x14ac:dyDescent="0.35">
      <c r="A14474" s="9" t="str">
        <f>HYPERLINK("http://www.ensembl.org/id/WBGene00015129", "WBGene00015129")</f>
        <v>WBGene00015129</v>
      </c>
      <c r="B14474" s="9" t="str">
        <f>HYPERLINK("http://www.ncbi.nlm.nih.gov/gene/181916", "181916")</f>
        <v>181916</v>
      </c>
      <c r="C14474" s="9"/>
      <c r="D14474" t="str">
        <f>"sdz-1"</f>
        <v>sdz-1</v>
      </c>
      <c r="E14474" t="s">
        <v>9905</v>
      </c>
      <c r="F14474" t="s">
        <v>11</v>
      </c>
      <c r="G14474" t="s">
        <v>9906</v>
      </c>
      <c r="H14474" s="12">
        <v>-1.3662829316989</v>
      </c>
      <c r="I14474" s="20">
        <v>-0.34511054235543698</v>
      </c>
      <c r="J14474" s="28">
        <v>0.73001126814469297</v>
      </c>
      <c r="K14474" s="29">
        <v>0.98289565623980701</v>
      </c>
    </row>
    <row r="14475" spans="1:11" x14ac:dyDescent="0.35">
      <c r="A14475" s="9" t="str">
        <f>HYPERLINK("http://www.ensembl.org/id/WBGene00017408", "WBGene00017408")</f>
        <v>WBGene00017408</v>
      </c>
      <c r="B14475" s="9" t="str">
        <f>HYPERLINK("http://www.ncbi.nlm.nih.gov/gene/173719", "173719")</f>
        <v>173719</v>
      </c>
      <c r="C14475" s="9"/>
      <c r="D14475" t="str">
        <f>"sdz-11"</f>
        <v>sdz-11</v>
      </c>
      <c r="E14475" t="s">
        <v>90</v>
      </c>
      <c r="F14475" t="s">
        <v>11</v>
      </c>
      <c r="G14475" t="s">
        <v>54</v>
      </c>
      <c r="H14475" s="12">
        <v>1.4949201870808799</v>
      </c>
      <c r="I14475" s="20">
        <v>0.56436356843475399</v>
      </c>
      <c r="J14475" s="28">
        <v>0.57250672739560404</v>
      </c>
      <c r="K14475" s="29">
        <v>0.98289565623980701</v>
      </c>
    </row>
    <row r="14476" spans="1:11" x14ac:dyDescent="0.35">
      <c r="A14476" s="9" t="str">
        <f>HYPERLINK("http://www.ensembl.org/id/WBGene00008755", "WBGene00008755")</f>
        <v>WBGene00008755</v>
      </c>
      <c r="B14476" s="9" t="str">
        <f>HYPERLINK("http://www.ncbi.nlm.nih.gov/gene/184424", "184424")</f>
        <v>184424</v>
      </c>
      <c r="C14476" s="9"/>
      <c r="D14476" t="str">
        <f>"sdz-13"</f>
        <v>sdz-13</v>
      </c>
      <c r="E14476" t="s">
        <v>90</v>
      </c>
      <c r="F14476" t="s">
        <v>11</v>
      </c>
      <c r="H14476" s="12">
        <v>-1.2795467375310099</v>
      </c>
      <c r="I14476" s="20">
        <v>-0.31364954887574698</v>
      </c>
      <c r="J14476" s="28">
        <v>0.75378722252582497</v>
      </c>
      <c r="K14476" s="29">
        <v>0.98289565623980701</v>
      </c>
    </row>
    <row r="14477" spans="1:11" x14ac:dyDescent="0.35">
      <c r="A14477" s="9" t="str">
        <f>HYPERLINK("http://www.ensembl.org/id/WBGene00008782", "WBGene00008782")</f>
        <v>WBGene00008782</v>
      </c>
      <c r="B14477" s="9" t="str">
        <f>HYPERLINK("http://www.ncbi.nlm.nih.gov/gene/173101", "173101")</f>
        <v>173101</v>
      </c>
      <c r="C14477" s="9"/>
      <c r="D14477" t="str">
        <f>"sdz-14"</f>
        <v>sdz-14</v>
      </c>
      <c r="E14477" t="s">
        <v>90</v>
      </c>
      <c r="F14477" t="s">
        <v>11</v>
      </c>
      <c r="H14477" s="12">
        <v>-1.1661834727401199</v>
      </c>
      <c r="I14477" s="20">
        <v>-0.39303072592623101</v>
      </c>
      <c r="J14477" s="28">
        <v>0.69429678774162196</v>
      </c>
      <c r="K14477" s="29">
        <v>0.98289565623980701</v>
      </c>
    </row>
    <row r="14478" spans="1:11" x14ac:dyDescent="0.35">
      <c r="A14478" s="9" t="str">
        <f>HYPERLINK("http://www.ensembl.org/id/WBGene00009297", "WBGene00009297")</f>
        <v>WBGene00009297</v>
      </c>
      <c r="B14478" s="9" t="str">
        <f>HYPERLINK("http://www.ncbi.nlm.nih.gov/gene/180147", "180147")</f>
        <v>180147</v>
      </c>
      <c r="C14478" s="9"/>
      <c r="D14478" t="str">
        <f>"sdz-16"</f>
        <v>sdz-16</v>
      </c>
      <c r="E14478" t="s">
        <v>90</v>
      </c>
      <c r="F14478" t="s">
        <v>11</v>
      </c>
      <c r="H14478" s="12">
        <v>-1.25480230412369</v>
      </c>
      <c r="I14478" s="20">
        <v>-0.42644232442687002</v>
      </c>
      <c r="J14478" s="28">
        <v>0.66978556624207997</v>
      </c>
      <c r="K14478" s="29">
        <v>0.98289565623980701</v>
      </c>
    </row>
    <row r="14479" spans="1:11" x14ac:dyDescent="0.35">
      <c r="A14479" s="9" t="str">
        <f>HYPERLINK("http://www.ensembl.org/id/WBGene00018442", "WBGene00018442")</f>
        <v>WBGene00018442</v>
      </c>
      <c r="B14479" s="9" t="str">
        <f>HYPERLINK("http://www.ncbi.nlm.nih.gov/gene/185773", "185773")</f>
        <v>185773</v>
      </c>
      <c r="C14479" s="9"/>
      <c r="D14479" t="str">
        <f>"sdz-18"</f>
        <v>sdz-18</v>
      </c>
      <c r="E14479" t="s">
        <v>90</v>
      </c>
      <c r="F14479" t="s">
        <v>11</v>
      </c>
      <c r="G14479" t="s">
        <v>54</v>
      </c>
      <c r="H14479" s="12">
        <v>-1.72158308560958</v>
      </c>
      <c r="I14479" s="20">
        <v>-0.80343207043130505</v>
      </c>
      <c r="J14479" s="28">
        <v>0.42172504478730199</v>
      </c>
      <c r="K14479" s="29">
        <v>0.98289565623980701</v>
      </c>
    </row>
    <row r="14480" spans="1:11" x14ac:dyDescent="0.35">
      <c r="A14480" s="9" t="str">
        <f>HYPERLINK("http://www.ensembl.org/id/WBGene00009728", "WBGene00009728")</f>
        <v>WBGene00009728</v>
      </c>
      <c r="B14480" s="9" t="str">
        <f>HYPERLINK("http://www.ncbi.nlm.nih.gov/gene/181407", "181407")</f>
        <v>181407</v>
      </c>
      <c r="C14480" s="9"/>
      <c r="D14480" t="str">
        <f>"sdz-19"</f>
        <v>sdz-19</v>
      </c>
      <c r="E14480" t="s">
        <v>90</v>
      </c>
      <c r="F14480" t="s">
        <v>11</v>
      </c>
      <c r="G14480" t="s">
        <v>1755</v>
      </c>
      <c r="H14480" s="12">
        <v>-1.54265635239435</v>
      </c>
      <c r="I14480" s="20">
        <v>-0.48203959721343898</v>
      </c>
      <c r="J14480" s="28">
        <v>0.629777817416737</v>
      </c>
      <c r="K14480" s="29">
        <v>0.98289565623980701</v>
      </c>
    </row>
    <row r="14481" spans="1:11" x14ac:dyDescent="0.35">
      <c r="A14481" s="9" t="str">
        <f>HYPERLINK("http://www.ensembl.org/id/WBGene00018828", "WBGene00018828")</f>
        <v>WBGene00018828</v>
      </c>
      <c r="B14481" s="9" t="str">
        <f>HYPERLINK("http://www.ncbi.nlm.nih.gov/gene/186248", "186248")</f>
        <v>186248</v>
      </c>
      <c r="C14481" s="9"/>
      <c r="D14481" t="str">
        <f>"sdz-21"</f>
        <v>sdz-21</v>
      </c>
      <c r="E14481" t="s">
        <v>90</v>
      </c>
      <c r="F14481" t="s">
        <v>11</v>
      </c>
      <c r="G14481" t="s">
        <v>25</v>
      </c>
      <c r="H14481" s="12">
        <v>1.6297950943406301</v>
      </c>
      <c r="I14481" s="20">
        <v>1.0715805205833799</v>
      </c>
      <c r="J14481" s="28">
        <v>0.28390848651291301</v>
      </c>
      <c r="K14481" s="29">
        <v>0.98289565623980701</v>
      </c>
    </row>
    <row r="14482" spans="1:11" x14ac:dyDescent="0.35">
      <c r="A14482" s="9" t="str">
        <f>HYPERLINK("http://www.ensembl.org/id/WBGene00019066", "WBGene00019066")</f>
        <v>WBGene00019066</v>
      </c>
      <c r="B14482" s="9" t="str">
        <f>HYPERLINK("http://www.ncbi.nlm.nih.gov/gene/186544", "186544")</f>
        <v>186544</v>
      </c>
      <c r="C14482" s="9"/>
      <c r="D14482" t="str">
        <f>"sdz-23"</f>
        <v>sdz-23</v>
      </c>
      <c r="E14482" t="s">
        <v>90</v>
      </c>
      <c r="F14482" t="s">
        <v>11</v>
      </c>
      <c r="G14482" t="s">
        <v>25</v>
      </c>
      <c r="H14482" s="12">
        <v>1.5756307222663199</v>
      </c>
      <c r="I14482" s="20">
        <v>0.364300145985333</v>
      </c>
      <c r="J14482" s="28">
        <v>0.71563389086951401</v>
      </c>
      <c r="K14482" s="29">
        <v>0.98289565623980701</v>
      </c>
    </row>
    <row r="14483" spans="1:11" x14ac:dyDescent="0.35">
      <c r="A14483" s="9" t="str">
        <f>HYPERLINK("http://www.ensembl.org/id/WBGene00019791", "WBGene00019791")</f>
        <v>WBGene00019791</v>
      </c>
      <c r="B14483" s="9" t="str">
        <f>HYPERLINK("http://www.ncbi.nlm.nih.gov/gene/177640", "177640")</f>
        <v>177640</v>
      </c>
      <c r="C14483" s="9"/>
      <c r="D14483" t="str">
        <f>"sdz-25"</f>
        <v>sdz-25</v>
      </c>
      <c r="E14483" t="s">
        <v>90</v>
      </c>
      <c r="F14483" t="s">
        <v>11</v>
      </c>
      <c r="G14483" t="s">
        <v>54</v>
      </c>
      <c r="H14483" s="12">
        <v>3.5227018545059199</v>
      </c>
      <c r="I14483" s="20">
        <v>0.36849691206929103</v>
      </c>
      <c r="J14483" s="28">
        <v>0.71250274722433404</v>
      </c>
      <c r="K14483" s="29">
        <v>0.98289565623980701</v>
      </c>
    </row>
    <row r="14484" spans="1:11" x14ac:dyDescent="0.35">
      <c r="A14484" s="9" t="str">
        <f>HYPERLINK("http://www.ensembl.org/id/WBGene00011049", "WBGene00011049")</f>
        <v>WBGene00011049</v>
      </c>
      <c r="B14484" s="9" t="str">
        <f>HYPERLINK("http://www.ncbi.nlm.nih.gov/gene/175095", "175095")</f>
        <v>175095</v>
      </c>
      <c r="C14484" s="9"/>
      <c r="D14484" t="str">
        <f>"sdz-26"</f>
        <v>sdz-26</v>
      </c>
      <c r="E14484" t="s">
        <v>90</v>
      </c>
      <c r="F14484" t="s">
        <v>11</v>
      </c>
      <c r="H14484" s="12">
        <v>-1.52392700177523</v>
      </c>
      <c r="I14484" s="20">
        <v>-0.86126916877172499</v>
      </c>
      <c r="J14484" s="28">
        <v>0.38908981221613098</v>
      </c>
      <c r="K14484" s="29">
        <v>0.98289565623980701</v>
      </c>
    </row>
    <row r="14485" spans="1:11" x14ac:dyDescent="0.35">
      <c r="A14485" s="9" t="str">
        <f>HYPERLINK("http://www.ensembl.org/id/WBGene00020073", "WBGene00020073")</f>
        <v>WBGene00020073</v>
      </c>
      <c r="B14485" s="9" t="str">
        <f>HYPERLINK("http://www.ncbi.nlm.nih.gov/gene/173569", "173569")</f>
        <v>173569</v>
      </c>
      <c r="C14485" s="9"/>
      <c r="D14485" t="str">
        <f>"sdz-28"</f>
        <v>sdz-28</v>
      </c>
      <c r="E14485" t="s">
        <v>90</v>
      </c>
      <c r="F14485" t="s">
        <v>11</v>
      </c>
      <c r="G14485" t="s">
        <v>5085</v>
      </c>
      <c r="H14485" s="12">
        <v>1.24383749329084</v>
      </c>
      <c r="I14485" s="20">
        <v>0.94061942342256299</v>
      </c>
      <c r="J14485" s="28">
        <v>0.34689992452567198</v>
      </c>
      <c r="K14485" s="29">
        <v>0.98289565623980701</v>
      </c>
    </row>
    <row r="14486" spans="1:11" x14ac:dyDescent="0.35">
      <c r="A14486" s="9" t="str">
        <f>HYPERLINK("http://www.ensembl.org/id/WBGene00020081", "WBGene00020081")</f>
        <v>WBGene00020081</v>
      </c>
      <c r="B14486" s="9"/>
      <c r="C14486" s="9"/>
      <c r="D14486" t="str">
        <f>"sdz-29"</f>
        <v>sdz-29</v>
      </c>
      <c r="F14486" t="s">
        <v>80</v>
      </c>
      <c r="H14486" s="12">
        <v>1.1853968430248201</v>
      </c>
      <c r="I14486" s="20">
        <v>0.54097473408684305</v>
      </c>
      <c r="J14486" s="28">
        <v>0.58852499769871702</v>
      </c>
      <c r="K14486" s="29">
        <v>0.98289565623980701</v>
      </c>
    </row>
    <row r="14487" spans="1:11" x14ac:dyDescent="0.35">
      <c r="A14487" s="9" t="str">
        <f>HYPERLINK("http://www.ensembl.org/id/WBGene00016211", "WBGene00016211")</f>
        <v>WBGene00016211</v>
      </c>
      <c r="B14487" s="9"/>
      <c r="C14487" s="9"/>
      <c r="D14487" t="str">
        <f>"sdz-3"</f>
        <v>sdz-3</v>
      </c>
      <c r="F14487" t="s">
        <v>80</v>
      </c>
      <c r="H14487" s="12">
        <v>5.0621823887371802</v>
      </c>
      <c r="I14487" s="20">
        <v>0.88437851299889902</v>
      </c>
      <c r="J14487" s="28">
        <v>0.37649191809895499</v>
      </c>
      <c r="K14487" s="29">
        <v>0.98289565623980701</v>
      </c>
    </row>
    <row r="14488" spans="1:11" x14ac:dyDescent="0.35">
      <c r="A14488" s="9" t="str">
        <f>HYPERLINK("http://www.ensembl.org/id/WBGene00011432", "WBGene00011432")</f>
        <v>WBGene00011432</v>
      </c>
      <c r="B14488" s="9" t="str">
        <f>HYPERLINK("http://www.ncbi.nlm.nih.gov/gene/173198", "173198")</f>
        <v>173198</v>
      </c>
      <c r="C14488" s="9"/>
      <c r="D14488" t="str">
        <f>"sdz-30"</f>
        <v>sdz-30</v>
      </c>
      <c r="E14488" t="s">
        <v>90</v>
      </c>
      <c r="F14488" t="s">
        <v>11</v>
      </c>
      <c r="G14488" t="s">
        <v>854</v>
      </c>
      <c r="H14488" s="12">
        <v>-1.26316733098087</v>
      </c>
      <c r="I14488" s="20">
        <v>-0.61426499090849296</v>
      </c>
      <c r="J14488" s="28">
        <v>0.53904023288472902</v>
      </c>
      <c r="K14488" s="29">
        <v>0.98289565623980701</v>
      </c>
    </row>
    <row r="14489" spans="1:11" x14ac:dyDescent="0.35">
      <c r="A14489" s="9" t="str">
        <f>HYPERLINK("http://www.ensembl.org/id/WBGene00021717", "WBGene00021717")</f>
        <v>WBGene00021717</v>
      </c>
      <c r="B14489" s="9" t="str">
        <f>HYPERLINK("http://www.ncbi.nlm.nih.gov/gene/190080", "190080")</f>
        <v>190080</v>
      </c>
      <c r="C14489" s="9"/>
      <c r="D14489" t="str">
        <f>"sdz-32"</f>
        <v>sdz-32</v>
      </c>
      <c r="E14489" t="s">
        <v>90</v>
      </c>
      <c r="F14489" t="s">
        <v>11</v>
      </c>
      <c r="H14489" s="12">
        <v>1.26619460131816</v>
      </c>
      <c r="I14489" s="20">
        <v>0.28196889687400201</v>
      </c>
      <c r="J14489" s="28">
        <v>0.77796735970836095</v>
      </c>
      <c r="K14489" s="29">
        <v>0.98289565623980701</v>
      </c>
    </row>
    <row r="14490" spans="1:11" x14ac:dyDescent="0.35">
      <c r="A14490" s="9" t="str">
        <f>HYPERLINK("http://www.ensembl.org/id/WBGene00022570", "WBGene00022570")</f>
        <v>WBGene00022570</v>
      </c>
      <c r="B14490" s="9" t="str">
        <f>HYPERLINK("http://www.ncbi.nlm.nih.gov/gene/191123", "191123")</f>
        <v>191123</v>
      </c>
      <c r="C14490" s="9"/>
      <c r="D14490" t="str">
        <f>"sdz-35"</f>
        <v>sdz-35</v>
      </c>
      <c r="E14490" t="s">
        <v>90</v>
      </c>
      <c r="F14490" t="s">
        <v>11</v>
      </c>
      <c r="G14490" t="s">
        <v>817</v>
      </c>
      <c r="H14490" s="12">
        <v>1.3520612427965699</v>
      </c>
      <c r="I14490" s="20">
        <v>0.33965659196036202</v>
      </c>
      <c r="J14490" s="28">
        <v>0.73411515479823197</v>
      </c>
      <c r="K14490" s="29">
        <v>0.98289565623980701</v>
      </c>
    </row>
    <row r="14491" spans="1:11" x14ac:dyDescent="0.35">
      <c r="A14491" s="9" t="str">
        <f>HYPERLINK("http://www.ensembl.org/id/WBGene00014242", "WBGene00014242")</f>
        <v>WBGene00014242</v>
      </c>
      <c r="B14491" s="9" t="str">
        <f>HYPERLINK("http://www.ncbi.nlm.nih.gov/gene/191553", "191553")</f>
        <v>191553</v>
      </c>
      <c r="C14491" s="9"/>
      <c r="D14491" t="str">
        <f>"sdz-36"</f>
        <v>sdz-36</v>
      </c>
      <c r="E14491" t="s">
        <v>90</v>
      </c>
      <c r="F14491" t="s">
        <v>11</v>
      </c>
      <c r="H14491" s="12">
        <v>-1.6182055260497801</v>
      </c>
      <c r="I14491" s="20">
        <v>-0.73690965839363998</v>
      </c>
      <c r="J14491" s="28">
        <v>0.46117729012765102</v>
      </c>
      <c r="K14491" s="29">
        <v>0.98289565623980701</v>
      </c>
    </row>
    <row r="14492" spans="1:11" x14ac:dyDescent="0.35">
      <c r="A14492" s="9" t="str">
        <f>HYPERLINK("http://www.ensembl.org/id/WBGene00014064", "WBGene00014064")</f>
        <v>WBGene00014064</v>
      </c>
      <c r="B14492" s="9" t="str">
        <f>HYPERLINK("http://www.ncbi.nlm.nih.gov/gene/191391", "191391")</f>
        <v>191391</v>
      </c>
      <c r="C14492" s="9"/>
      <c r="D14492" t="str">
        <f>"sdz-37"</f>
        <v>sdz-37</v>
      </c>
      <c r="E14492" t="s">
        <v>90</v>
      </c>
      <c r="F14492" t="s">
        <v>11</v>
      </c>
      <c r="H14492" s="12">
        <v>-1.18678351803128</v>
      </c>
      <c r="I14492" s="20">
        <v>-0.25786964256480599</v>
      </c>
      <c r="J14492" s="28">
        <v>0.79650751440588097</v>
      </c>
      <c r="K14492" s="29">
        <v>0.98289565623980701</v>
      </c>
    </row>
    <row r="14493" spans="1:11" x14ac:dyDescent="0.35">
      <c r="A14493" s="9" t="str">
        <f>HYPERLINK("http://www.ensembl.org/id/WBGene00016309", "WBGene00016309")</f>
        <v>WBGene00016309</v>
      </c>
      <c r="B14493" s="9" t="str">
        <f>HYPERLINK("http://www.ncbi.nlm.nih.gov/gene/183119", "183119")</f>
        <v>183119</v>
      </c>
      <c r="C14493" s="9"/>
      <c r="D14493" t="str">
        <f>"sdz-4"</f>
        <v>sdz-4</v>
      </c>
      <c r="E14493" t="s">
        <v>90</v>
      </c>
      <c r="F14493" t="s">
        <v>11</v>
      </c>
      <c r="H14493" s="12">
        <v>1.26776401919713</v>
      </c>
      <c r="I14493" s="20">
        <v>0.67323172484445004</v>
      </c>
      <c r="J14493" s="28">
        <v>0.50079988106987305</v>
      </c>
      <c r="K14493" s="29">
        <v>0.98289565623980701</v>
      </c>
    </row>
    <row r="14494" spans="1:11" x14ac:dyDescent="0.35">
      <c r="A14494" s="9" t="str">
        <f>HYPERLINK("http://www.ensembl.org/id/WBGene00016578", "WBGene00016578")</f>
        <v>WBGene00016578</v>
      </c>
      <c r="B14494" s="9" t="str">
        <f>HYPERLINK("http://www.ncbi.nlm.nih.gov/gene/353390", "353390")</f>
        <v>353390</v>
      </c>
      <c r="C14494" s="9"/>
      <c r="D14494" t="str">
        <f>"sdz-5"</f>
        <v>sdz-5</v>
      </c>
      <c r="E14494" t="s">
        <v>90</v>
      </c>
      <c r="F14494" t="s">
        <v>11</v>
      </c>
      <c r="H14494" s="12">
        <v>1.13828319466501</v>
      </c>
      <c r="I14494" s="20">
        <v>0.38614457934146601</v>
      </c>
      <c r="J14494" s="28">
        <v>0.69938959576996496</v>
      </c>
      <c r="K14494" s="29">
        <v>0.98289565623980701</v>
      </c>
    </row>
    <row r="14495" spans="1:11" x14ac:dyDescent="0.35">
      <c r="A14495" s="9" t="str">
        <f>HYPERLINK("http://www.ensembl.org/id/WBGene00008068", "WBGene00008068")</f>
        <v>WBGene00008068</v>
      </c>
      <c r="B14495" s="9" t="str">
        <f>HYPERLINK("http://www.ncbi.nlm.nih.gov/gene/183410", "183410")</f>
        <v>183410</v>
      </c>
      <c r="C14495" s="9"/>
      <c r="D14495" t="str">
        <f>"sdz-6"</f>
        <v>sdz-6</v>
      </c>
      <c r="E14495" t="s">
        <v>90</v>
      </c>
      <c r="F14495" t="s">
        <v>11</v>
      </c>
      <c r="G14495" t="s">
        <v>4287</v>
      </c>
      <c r="H14495" s="12">
        <v>3.9121532821164302</v>
      </c>
      <c r="I14495" s="20">
        <v>0.88062951106614296</v>
      </c>
      <c r="J14495" s="28">
        <v>0.37851838028158002</v>
      </c>
      <c r="K14495" s="29">
        <v>0.98289565623980701</v>
      </c>
    </row>
    <row r="14496" spans="1:11" x14ac:dyDescent="0.35">
      <c r="A14496" s="9" t="str">
        <f>HYPERLINK("http://www.ensembl.org/id/WBGene00016779", "WBGene00016779")</f>
        <v>WBGene00016779</v>
      </c>
      <c r="B14496" s="9" t="str">
        <f>HYPERLINK("http://www.ncbi.nlm.nih.gov/gene/260202", "260202")</f>
        <v>260202</v>
      </c>
      <c r="C14496" s="9"/>
      <c r="D14496" t="str">
        <f>"sdz-7"</f>
        <v>sdz-7</v>
      </c>
      <c r="E14496" t="s">
        <v>90</v>
      </c>
      <c r="F14496" t="s">
        <v>11</v>
      </c>
      <c r="H14496" s="12">
        <v>-1.4110714905583499</v>
      </c>
      <c r="I14496" s="20">
        <v>-0.46702008436564202</v>
      </c>
      <c r="J14496" s="28">
        <v>0.64048550866880505</v>
      </c>
      <c r="K14496" s="29">
        <v>0.98289565623980701</v>
      </c>
    </row>
    <row r="14497" spans="1:11" x14ac:dyDescent="0.35">
      <c r="A14497" s="9" t="str">
        <f>HYPERLINK("http://www.ensembl.org/id/WBGene00008334", "WBGene00008334")</f>
        <v>WBGene00008334</v>
      </c>
      <c r="B14497" s="9" t="str">
        <f>HYPERLINK("http://www.ncbi.nlm.nih.gov/gene/183834", "183834")</f>
        <v>183834</v>
      </c>
      <c r="C14497" s="9"/>
      <c r="D14497" t="str">
        <f>"sdz-8"</f>
        <v>sdz-8</v>
      </c>
      <c r="E14497" t="s">
        <v>90</v>
      </c>
      <c r="F14497" t="s">
        <v>11</v>
      </c>
      <c r="G14497" t="s">
        <v>489</v>
      </c>
      <c r="H14497" s="12">
        <v>1.17897729300493</v>
      </c>
      <c r="I14497" s="20">
        <v>0.540854024437326</v>
      </c>
      <c r="J14497" s="28">
        <v>0.58860820229043898</v>
      </c>
      <c r="K14497" s="29">
        <v>0.98289565623980701</v>
      </c>
    </row>
    <row r="14498" spans="1:11" x14ac:dyDescent="0.35">
      <c r="A14498" s="9" t="str">
        <f>HYPERLINK("http://www.ensembl.org/id/WBGene00004750", "WBGene00004750")</f>
        <v>WBGene00004750</v>
      </c>
      <c r="B14498" s="9" t="str">
        <f>HYPERLINK("http://www.ncbi.nlm.nih.gov/gene/173710", "173710")</f>
        <v>173710</v>
      </c>
      <c r="C14498" s="9"/>
      <c r="D14498" t="str">
        <f>"sea-1"</f>
        <v>sea-1</v>
      </c>
      <c r="E14498" t="s">
        <v>9639</v>
      </c>
      <c r="F14498" t="s">
        <v>11</v>
      </c>
      <c r="G14498" t="s">
        <v>9640</v>
      </c>
      <c r="H14498" s="12">
        <v>-1.2712150675957099</v>
      </c>
      <c r="I14498" s="20">
        <v>-0.80501935923291401</v>
      </c>
      <c r="J14498" s="28">
        <v>0.42080850837737299</v>
      </c>
      <c r="K14498" s="29">
        <v>0.98289565623980701</v>
      </c>
    </row>
    <row r="14499" spans="1:11" x14ac:dyDescent="0.35">
      <c r="A14499" s="9" t="str">
        <f>HYPERLINK("http://www.ensembl.org/id/WBGene00004751", "WBGene00004751")</f>
        <v>WBGene00004751</v>
      </c>
      <c r="B14499" s="9" t="str">
        <f>HYPERLINK("http://www.ncbi.nlm.nih.gov/gene/173738", "173738")</f>
        <v>173738</v>
      </c>
      <c r="C14499" s="9"/>
      <c r="D14499" t="str">
        <f>"sea-2"</f>
        <v>sea-2</v>
      </c>
      <c r="E14499" t="s">
        <v>5232</v>
      </c>
      <c r="F14499" t="s">
        <v>11</v>
      </c>
      <c r="G14499" t="s">
        <v>5233</v>
      </c>
      <c r="H14499" s="12">
        <v>1.2095878407751</v>
      </c>
      <c r="I14499" s="20">
        <v>1.0408736242099199</v>
      </c>
      <c r="J14499" s="28">
        <v>0.29793420446854602</v>
      </c>
      <c r="K14499" s="29">
        <v>0.98289565623980701</v>
      </c>
    </row>
    <row r="14500" spans="1:11" x14ac:dyDescent="0.35">
      <c r="A14500" s="9" t="str">
        <f>HYPERLINK("http://www.ensembl.org/id/WBGene00014035", "WBGene00014035")</f>
        <v>WBGene00014035</v>
      </c>
      <c r="B14500" s="9" t="str">
        <f>HYPERLINK("http://www.ncbi.nlm.nih.gov/gene/191374", "191374")</f>
        <v>191374</v>
      </c>
      <c r="C14500" s="9"/>
      <c r="D14500" t="str">
        <f>"seb-2"</f>
        <v>seb-2</v>
      </c>
      <c r="E14500" t="s">
        <v>6847</v>
      </c>
      <c r="F14500" t="s">
        <v>11</v>
      </c>
      <c r="G14500" t="s">
        <v>6848</v>
      </c>
      <c r="H14500" s="12">
        <v>-1.0925110628383801</v>
      </c>
      <c r="I14500" s="20">
        <v>-0.35635568849119897</v>
      </c>
      <c r="J14500" s="28">
        <v>0.72157420947984796</v>
      </c>
      <c r="K14500" s="29">
        <v>0.98289565623980701</v>
      </c>
    </row>
    <row r="14501" spans="1:11" x14ac:dyDescent="0.35">
      <c r="A14501" s="9" t="str">
        <f>HYPERLINK("http://www.ensembl.org/id/WBGene00007664", "WBGene00007664")</f>
        <v>WBGene00007664</v>
      </c>
      <c r="B14501" s="9" t="str">
        <f>HYPERLINK("http://www.ncbi.nlm.nih.gov/gene/181598", "181598")</f>
        <v>181598</v>
      </c>
      <c r="C14501" s="9" t="str">
        <f>HYPERLINK("http://www.ncbi.nlm.nih.gov/gene/1394", "1394")</f>
        <v>1394</v>
      </c>
      <c r="D14501" t="str">
        <f>"seb-3"</f>
        <v>seb-3</v>
      </c>
      <c r="E14501" t="s">
        <v>5798</v>
      </c>
      <c r="F14501" t="s">
        <v>11</v>
      </c>
      <c r="G14501" t="s">
        <v>5799</v>
      </c>
      <c r="H14501" s="12">
        <v>1.10151082752622</v>
      </c>
      <c r="I14501" s="20">
        <v>0.43329302942033099</v>
      </c>
      <c r="J14501" s="28">
        <v>0.66480190151636798</v>
      </c>
      <c r="K14501" s="29">
        <v>0.98289565623980701</v>
      </c>
    </row>
    <row r="14502" spans="1:11" x14ac:dyDescent="0.35">
      <c r="A14502" s="9" t="str">
        <f>HYPERLINK("http://www.ensembl.org/id/WBGene00016376", "WBGene00016376")</f>
        <v>WBGene00016376</v>
      </c>
      <c r="B14502" s="9" t="str">
        <f>HYPERLINK("http://www.ncbi.nlm.nih.gov/gene/177562", "177562")</f>
        <v>177562</v>
      </c>
      <c r="C14502" s="9" t="str">
        <f>HYPERLINK("http://www.ncbi.nlm.nih.gov/gene/10640", "10640")</f>
        <v>10640</v>
      </c>
      <c r="D14502" t="str">
        <f>"sec-10"</f>
        <v>sec-10</v>
      </c>
      <c r="E14502" t="s">
        <v>8226</v>
      </c>
      <c r="F14502" t="s">
        <v>11</v>
      </c>
      <c r="G14502" t="s">
        <v>8227</v>
      </c>
      <c r="H14502" s="12">
        <v>-1.16679240544426</v>
      </c>
      <c r="I14502" s="20">
        <v>-0.79952015007815003</v>
      </c>
      <c r="J14502" s="28">
        <v>0.42398886746341902</v>
      </c>
      <c r="K14502" s="29">
        <v>0.98289565623980701</v>
      </c>
    </row>
    <row r="14503" spans="1:11" x14ac:dyDescent="0.35">
      <c r="A14503" s="9" t="str">
        <f>HYPERLINK("http://www.ensembl.org/id/WBGene00021844", "WBGene00021844")</f>
        <v>WBGene00021844</v>
      </c>
      <c r="B14503" s="9" t="str">
        <f>HYPERLINK("http://www.ncbi.nlm.nih.gov/gene/171876", "171876")</f>
        <v>171876</v>
      </c>
      <c r="C14503" s="9" t="str">
        <f>HYPERLINK("http://www.ncbi.nlm.nih.gov/gene/90701", "90701")</f>
        <v>90701</v>
      </c>
      <c r="D14503" t="str">
        <f>"sec-11"</f>
        <v>sec-11</v>
      </c>
      <c r="E14503" t="s">
        <v>6603</v>
      </c>
      <c r="F14503" t="s">
        <v>11</v>
      </c>
      <c r="G14503" t="s">
        <v>6604</v>
      </c>
      <c r="H14503" s="12">
        <v>-1.0792206187448601</v>
      </c>
      <c r="I14503" s="20">
        <v>-0.404784072128896</v>
      </c>
      <c r="J14503" s="28">
        <v>0.68563623771388404</v>
      </c>
      <c r="K14503" s="29">
        <v>0.98289565623980701</v>
      </c>
    </row>
    <row r="14504" spans="1:11" x14ac:dyDescent="0.35">
      <c r="A14504" s="9" t="str">
        <f>HYPERLINK("http://www.ensembl.org/id/WBGene00010496", "WBGene00010496")</f>
        <v>WBGene00010496</v>
      </c>
      <c r="B14504" s="9" t="str">
        <f>HYPERLINK("http://www.ncbi.nlm.nih.gov/gene/172641", "172641")</f>
        <v>172641</v>
      </c>
      <c r="C14504" s="9" t="str">
        <f>HYPERLINK("http://www.ncbi.nlm.nih.gov/gene/10113", "10113")</f>
        <v>10113</v>
      </c>
      <c r="D14504" t="str">
        <f>"sec-12"</f>
        <v>sec-12</v>
      </c>
      <c r="E14504" t="s">
        <v>5814</v>
      </c>
      <c r="F14504" t="s">
        <v>11</v>
      </c>
      <c r="G14504" t="s">
        <v>7407</v>
      </c>
      <c r="H14504" s="12">
        <v>-1.12403658219368</v>
      </c>
      <c r="I14504" s="20">
        <v>-0.60024197456026696</v>
      </c>
      <c r="J14504" s="28">
        <v>0.54834498345416205</v>
      </c>
      <c r="K14504" s="29">
        <v>0.98289565623980701</v>
      </c>
    </row>
    <row r="14505" spans="1:11" x14ac:dyDescent="0.35">
      <c r="A14505" s="9" t="str">
        <f>HYPERLINK("http://www.ensembl.org/id/WBGene00016188", "WBGene00016188")</f>
        <v>WBGene00016188</v>
      </c>
      <c r="B14505" s="9" t="str">
        <f>HYPERLINK("http://www.ncbi.nlm.nih.gov/gene/181131", "181131")</f>
        <v>181131</v>
      </c>
      <c r="C14505" s="9" t="str">
        <f>HYPERLINK("http://www.ncbi.nlm.nih.gov/gene/23233", "23233")</f>
        <v>23233</v>
      </c>
      <c r="D14505" t="str">
        <f>"sec-15"</f>
        <v>sec-15</v>
      </c>
      <c r="E14505" t="s">
        <v>5867</v>
      </c>
      <c r="F14505" t="s">
        <v>11</v>
      </c>
      <c r="G14505" t="s">
        <v>5868</v>
      </c>
      <c r="H14505" s="12">
        <v>1.09159228598137</v>
      </c>
      <c r="I14505" s="20">
        <v>0.44430577719184999</v>
      </c>
      <c r="J14505" s="28">
        <v>0.65682152495128199</v>
      </c>
      <c r="K14505" s="29">
        <v>0.98289565623980701</v>
      </c>
    </row>
    <row r="14506" spans="1:11" x14ac:dyDescent="0.35">
      <c r="A14506" s="9" t="str">
        <f>HYPERLINK("http://www.ensembl.org/id/WBGene00013985", "WBGene00013985")</f>
        <v>WBGene00013985</v>
      </c>
      <c r="B14506" s="9" t="str">
        <f>HYPERLINK("http://www.ncbi.nlm.nih.gov/gene/176289", "176289")</f>
        <v>176289</v>
      </c>
      <c r="C14506" s="9"/>
      <c r="D14506" t="str">
        <f>"sec-16"</f>
        <v>sec-16</v>
      </c>
      <c r="E14506" t="s">
        <v>8105</v>
      </c>
      <c r="F14506" t="s">
        <v>11</v>
      </c>
      <c r="G14506" t="s">
        <v>8106</v>
      </c>
      <c r="H14506" s="12">
        <v>-1.1607955637201799</v>
      </c>
      <c r="I14506" s="20">
        <v>-0.80262165884527403</v>
      </c>
      <c r="J14506" s="28">
        <v>0.42219344580970902</v>
      </c>
      <c r="K14506" s="29">
        <v>0.98289565623980701</v>
      </c>
    </row>
    <row r="14507" spans="1:11" x14ac:dyDescent="0.35">
      <c r="A14507" s="9" t="str">
        <f>HYPERLINK("http://www.ensembl.org/id/WBGene00018239", "WBGene00018239")</f>
        <v>WBGene00018239</v>
      </c>
      <c r="B14507" s="9" t="str">
        <f>HYPERLINK("http://www.ncbi.nlm.nih.gov/gene/175187", "175187")</f>
        <v>175187</v>
      </c>
      <c r="C14507" s="9"/>
      <c r="D14507" t="str">
        <f>"sec-20"</f>
        <v>sec-20</v>
      </c>
      <c r="E14507" t="s">
        <v>5814</v>
      </c>
      <c r="F14507" t="s">
        <v>11</v>
      </c>
      <c r="G14507" t="s">
        <v>9007</v>
      </c>
      <c r="H14507" s="12">
        <v>-1.21420077322579</v>
      </c>
      <c r="I14507" s="20">
        <v>-0.92298311892079199</v>
      </c>
      <c r="J14507" s="28">
        <v>0.35601600253395399</v>
      </c>
      <c r="K14507" s="29">
        <v>0.98289565623980701</v>
      </c>
    </row>
    <row r="14508" spans="1:11" x14ac:dyDescent="0.35">
      <c r="A14508" s="9" t="str">
        <f>HYPERLINK("http://www.ensembl.org/id/WBGene00004754", "WBGene00004754")</f>
        <v>WBGene00004754</v>
      </c>
      <c r="B14508" s="9" t="str">
        <f>HYPERLINK("http://www.ncbi.nlm.nih.gov/gene/180317", "180317")</f>
        <v>180317</v>
      </c>
      <c r="C14508" s="9" t="str">
        <f>HYPERLINK("http://www.ncbi.nlm.nih.gov/gene/10484", "10484")</f>
        <v>10484</v>
      </c>
      <c r="D14508" t="str">
        <f>"sec-23"</f>
        <v>sec-23</v>
      </c>
      <c r="E14508" t="s">
        <v>7395</v>
      </c>
      <c r="F14508" t="s">
        <v>11</v>
      </c>
      <c r="G14508" t="s">
        <v>7396</v>
      </c>
      <c r="H14508" s="12">
        <v>-1.1235533308704599</v>
      </c>
      <c r="I14508" s="20">
        <v>-0.57406375700301904</v>
      </c>
      <c r="J14508" s="28">
        <v>0.5659246577907</v>
      </c>
      <c r="K14508" s="29">
        <v>0.98289565623980701</v>
      </c>
    </row>
    <row r="14509" spans="1:11" x14ac:dyDescent="0.35">
      <c r="A14509" s="9" t="str">
        <f>HYPERLINK("http://www.ensembl.org/id/WBGene00004755", "WBGene00004755")</f>
        <v>WBGene00004755</v>
      </c>
      <c r="B14509" s="9" t="str">
        <f>HYPERLINK("http://www.ncbi.nlm.nih.gov/gene/178078", "178078")</f>
        <v>178078</v>
      </c>
      <c r="C14509" s="9" t="str">
        <f>HYPERLINK("http://www.ncbi.nlm.nih.gov/gene/9632", "9632")</f>
        <v>9632</v>
      </c>
      <c r="D14509" t="str">
        <f>"sec-24.1"</f>
        <v>sec-24.1</v>
      </c>
      <c r="E14509" t="s">
        <v>5814</v>
      </c>
      <c r="F14509" t="s">
        <v>11</v>
      </c>
      <c r="G14509" t="s">
        <v>6187</v>
      </c>
      <c r="H14509" s="12">
        <v>-1.0522924696287499</v>
      </c>
      <c r="I14509" s="20">
        <v>-0.26562149636746901</v>
      </c>
      <c r="J14509" s="28">
        <v>0.79053072844565897</v>
      </c>
      <c r="K14509" s="29">
        <v>0.98289565623980701</v>
      </c>
    </row>
    <row r="14510" spans="1:11" x14ac:dyDescent="0.35">
      <c r="A14510" s="9" t="str">
        <f>HYPERLINK("http://www.ensembl.org/id/WBGene00011338", "WBGene00011338")</f>
        <v>WBGene00011338</v>
      </c>
      <c r="B14510" s="9" t="str">
        <f>HYPERLINK("http://www.ncbi.nlm.nih.gov/gene/178060", "178060")</f>
        <v>178060</v>
      </c>
      <c r="C14510" s="9"/>
      <c r="D14510" t="str">
        <f>"sec-31"</f>
        <v>sec-31</v>
      </c>
      <c r="E14510" t="s">
        <v>5814</v>
      </c>
      <c r="F14510" t="s">
        <v>11</v>
      </c>
      <c r="G14510" t="s">
        <v>6762</v>
      </c>
      <c r="H14510" s="12">
        <v>-1.0880858234078301</v>
      </c>
      <c r="I14510" s="20">
        <v>-0.45257618095121399</v>
      </c>
      <c r="J14510" s="28">
        <v>0.65085395354712705</v>
      </c>
      <c r="K14510" s="29">
        <v>0.98289565623980701</v>
      </c>
    </row>
    <row r="14511" spans="1:11" x14ac:dyDescent="0.35">
      <c r="A14511" s="9" t="str">
        <f>HYPERLINK("http://www.ensembl.org/id/WBGene00004752", "WBGene00004752")</f>
        <v>WBGene00004752</v>
      </c>
      <c r="B14511" s="9" t="str">
        <f>HYPERLINK("http://www.ncbi.nlm.nih.gov/gene/174459", "174459")</f>
        <v>174459</v>
      </c>
      <c r="C14511" s="9" t="str">
        <f>HYPERLINK("http://www.ncbi.nlm.nih.gov/gene/55770", "55770")</f>
        <v>55770</v>
      </c>
      <c r="D14511" t="str">
        <f>"sec-5"</f>
        <v>sec-5</v>
      </c>
      <c r="E14511" t="s">
        <v>9020</v>
      </c>
      <c r="F14511" t="s">
        <v>11</v>
      </c>
      <c r="G14511" t="s">
        <v>9021</v>
      </c>
      <c r="H14511" s="12">
        <v>-1.21496307796842</v>
      </c>
      <c r="I14511" s="20">
        <v>-1.0123812747979499</v>
      </c>
      <c r="J14511" s="28">
        <v>0.31135578798677899</v>
      </c>
      <c r="K14511" s="29">
        <v>0.98289565623980701</v>
      </c>
    </row>
    <row r="14512" spans="1:11" x14ac:dyDescent="0.35">
      <c r="A14512" s="9" t="str">
        <f>HYPERLINK("http://www.ensembl.org/id/WBGene00017284", "WBGene00017284")</f>
        <v>WBGene00017284</v>
      </c>
      <c r="B14512" s="9" t="str">
        <f>HYPERLINK("http://www.ncbi.nlm.nih.gov/gene/173910", "173910")</f>
        <v>173910</v>
      </c>
      <c r="C14512" s="9" t="str">
        <f>HYPERLINK("http://www.ncbi.nlm.nih.gov/gene/11336", "11336")</f>
        <v>11336</v>
      </c>
      <c r="D14512" t="str">
        <f>"sec-6"</f>
        <v>sec-6</v>
      </c>
      <c r="E14512" t="s">
        <v>6965</v>
      </c>
      <c r="F14512" t="s">
        <v>11</v>
      </c>
      <c r="G14512" t="s">
        <v>6966</v>
      </c>
      <c r="H14512" s="12">
        <v>-1.10017115950181</v>
      </c>
      <c r="I14512" s="20">
        <v>-0.498424644664407</v>
      </c>
      <c r="J14512" s="28">
        <v>0.61818476995768701</v>
      </c>
      <c r="K14512" s="29">
        <v>0.98289565623980701</v>
      </c>
    </row>
    <row r="14513" spans="1:11" x14ac:dyDescent="0.35">
      <c r="A14513" s="9" t="str">
        <f>HYPERLINK("http://www.ensembl.org/id/WBGene00013311", "WBGene00013311")</f>
        <v>WBGene00013311</v>
      </c>
      <c r="B14513" s="9" t="str">
        <f>HYPERLINK("http://www.ncbi.nlm.nih.gov/gene/178407", "178407")</f>
        <v>178407</v>
      </c>
      <c r="C14513" s="9" t="str">
        <f>HYPERLINK("http://www.ncbi.nlm.nih.gov/gene/55176", "55176")</f>
        <v>55176</v>
      </c>
      <c r="D14513" t="str">
        <f>"sec-61"</f>
        <v>sec-61</v>
      </c>
      <c r="E14513" t="s">
        <v>5814</v>
      </c>
      <c r="F14513" t="s">
        <v>11</v>
      </c>
      <c r="G14513" t="s">
        <v>5815</v>
      </c>
      <c r="H14513" s="12">
        <v>1.09749403641068</v>
      </c>
      <c r="I14513" s="20">
        <v>0.51648107737872995</v>
      </c>
      <c r="J14513" s="28">
        <v>0.60551845173331997</v>
      </c>
      <c r="K14513" s="29">
        <v>0.98289565623980701</v>
      </c>
    </row>
    <row r="14514" spans="1:11" x14ac:dyDescent="0.35">
      <c r="A14514" s="9" t="str">
        <f>HYPERLINK("http://www.ensembl.org/id/WBGene00004753", "WBGene00004753")</f>
        <v>WBGene00004753</v>
      </c>
      <c r="B14514" s="9" t="str">
        <f>HYPERLINK("http://www.ncbi.nlm.nih.gov/gene/172924", "172924")</f>
        <v>172924</v>
      </c>
      <c r="C14514" s="9" t="str">
        <f>HYPERLINK("http://www.ncbi.nlm.nih.gov/gene/60412", "60412")</f>
        <v>60412</v>
      </c>
      <c r="D14514" t="str">
        <f>"sec-8"</f>
        <v>sec-8</v>
      </c>
      <c r="E14514" t="s">
        <v>7957</v>
      </c>
      <c r="F14514" t="s">
        <v>11</v>
      </c>
      <c r="G14514" t="s">
        <v>7958</v>
      </c>
      <c r="H14514" s="12">
        <v>-1.15295513993187</v>
      </c>
      <c r="I14514" s="20">
        <v>-0.72909563646146802</v>
      </c>
      <c r="J14514" s="28">
        <v>0.46594316361269</v>
      </c>
      <c r="K14514" s="29">
        <v>0.98289565623980701</v>
      </c>
    </row>
    <row r="14515" spans="1:11" x14ac:dyDescent="0.35">
      <c r="A14515" s="9" t="str">
        <f>HYPERLINK("http://www.ensembl.org/id/WBGene00008379", "WBGene00008379")</f>
        <v>WBGene00008379</v>
      </c>
      <c r="B14515" s="9" t="str">
        <f>HYPERLINK("http://www.ncbi.nlm.nih.gov/gene/179498", "179498")</f>
        <v>179498</v>
      </c>
      <c r="C14515" s="9" t="str">
        <f>HYPERLINK("http://www.ncbi.nlm.nih.gov/gene/51091", "51091")</f>
        <v>51091</v>
      </c>
      <c r="D14515" t="str">
        <f>"secs-1"</f>
        <v>secs-1</v>
      </c>
      <c r="E14515" t="s">
        <v>9686</v>
      </c>
      <c r="F14515" t="s">
        <v>11</v>
      </c>
      <c r="G14515" t="s">
        <v>9687</v>
      </c>
      <c r="H14515" s="12">
        <v>-1.2808896621313901</v>
      </c>
      <c r="I14515" s="20">
        <v>-0.95355350100652403</v>
      </c>
      <c r="J14515" s="28">
        <v>0.34030970244765901</v>
      </c>
      <c r="K14515" s="29">
        <v>0.98289565623980701</v>
      </c>
    </row>
    <row r="14516" spans="1:11" x14ac:dyDescent="0.35">
      <c r="A14516" s="9" t="str">
        <f>HYPERLINK("http://www.ensembl.org/id/WBGene00021046", "WBGene00021046")</f>
        <v>WBGene00021046</v>
      </c>
      <c r="B14516" s="9" t="str">
        <f>HYPERLINK("http://www.ncbi.nlm.nih.gov/gene/180478", "180478")</f>
        <v>180478</v>
      </c>
      <c r="C14516" s="9" t="str">
        <f>HYPERLINK("http://www.ncbi.nlm.nih.gov/gene/6399", "6399")</f>
        <v>6399</v>
      </c>
      <c r="D14516" t="str">
        <f>"sedl-1"</f>
        <v>sedl-1</v>
      </c>
      <c r="E14516" t="s">
        <v>9555</v>
      </c>
      <c r="F14516" t="s">
        <v>11</v>
      </c>
      <c r="G14516" t="s">
        <v>9556</v>
      </c>
      <c r="H14516" s="12">
        <v>-1.2583012714544</v>
      </c>
      <c r="I14516" s="20">
        <v>-0.99256309542587096</v>
      </c>
      <c r="J14516" s="28">
        <v>0.32092291692319203</v>
      </c>
      <c r="K14516" s="29">
        <v>0.98289565623980701</v>
      </c>
    </row>
    <row r="14517" spans="1:11" x14ac:dyDescent="0.35">
      <c r="A14517" s="9" t="str">
        <f>HYPERLINK("http://www.ensembl.org/id/WBGene00022613", "WBGene00022613")</f>
        <v>WBGene00022613</v>
      </c>
      <c r="B14517" s="9" t="str">
        <f>HYPERLINK("http://www.ncbi.nlm.nih.gov/gene/180773", "180773")</f>
        <v>180773</v>
      </c>
      <c r="C14517" s="9"/>
      <c r="D14517" t="str">
        <f>"sek-3"</f>
        <v>sek-3</v>
      </c>
      <c r="E14517" t="s">
        <v>3955</v>
      </c>
      <c r="F14517" t="s">
        <v>11</v>
      </c>
      <c r="G14517" t="s">
        <v>6861</v>
      </c>
      <c r="H14517" s="12">
        <v>-1.09294055777056</v>
      </c>
      <c r="I14517" s="20">
        <v>-0.43139505532721101</v>
      </c>
      <c r="J14517" s="28">
        <v>0.66618114464383604</v>
      </c>
      <c r="K14517" s="29">
        <v>0.98289565623980701</v>
      </c>
    </row>
    <row r="14518" spans="1:11" x14ac:dyDescent="0.35">
      <c r="A14518" s="9" t="str">
        <f>HYPERLINK("http://www.ensembl.org/id/WBGene00018035", "WBGene00018035")</f>
        <v>WBGene00018035</v>
      </c>
      <c r="B14518" s="9" t="str">
        <f>HYPERLINK("http://www.ncbi.nlm.nih.gov/gene/180811", "180811")</f>
        <v>180811</v>
      </c>
      <c r="C14518" s="9"/>
      <c r="D14518" t="str">
        <f>"sek-4"</f>
        <v>sek-4</v>
      </c>
      <c r="E14518" t="s">
        <v>3955</v>
      </c>
      <c r="F14518" t="s">
        <v>11</v>
      </c>
      <c r="G14518" t="s">
        <v>9910</v>
      </c>
      <c r="H14518" s="12">
        <v>-1.3673864566729801</v>
      </c>
      <c r="I14518" s="20">
        <v>-1.17208347973048</v>
      </c>
      <c r="J14518" s="28">
        <v>0.24116354187321401</v>
      </c>
      <c r="K14518" s="29">
        <v>0.98289565623980701</v>
      </c>
    </row>
    <row r="14519" spans="1:11" x14ac:dyDescent="0.35">
      <c r="A14519" s="9" t="str">
        <f>HYPERLINK("http://www.ensembl.org/id/WBGene00018034", "WBGene00018034")</f>
        <v>WBGene00018034</v>
      </c>
      <c r="B14519" s="9" t="str">
        <f>HYPERLINK("http://www.ncbi.nlm.nih.gov/gene/185267", "185267")</f>
        <v>185267</v>
      </c>
      <c r="C14519" s="9"/>
      <c r="D14519" t="str">
        <f>"sek-5"</f>
        <v>sek-5</v>
      </c>
      <c r="E14519" t="s">
        <v>3955</v>
      </c>
      <c r="F14519" t="s">
        <v>11</v>
      </c>
      <c r="G14519" t="s">
        <v>9910</v>
      </c>
      <c r="H14519" s="12">
        <v>-5.4967879193631202</v>
      </c>
      <c r="I14519" s="20">
        <v>-0.50254160819837501</v>
      </c>
      <c r="J14519" s="28">
        <v>0.61528659178453604</v>
      </c>
      <c r="K14519" s="29">
        <v>0.98289565623980701</v>
      </c>
    </row>
    <row r="14520" spans="1:11" x14ac:dyDescent="0.35">
      <c r="A14520" s="9" t="str">
        <f>HYPERLINK("http://www.ensembl.org/id/WBGene00004759", "WBGene00004759")</f>
        <v>WBGene00004759</v>
      </c>
      <c r="B14520" s="9" t="str">
        <f>HYPERLINK("http://www.ncbi.nlm.nih.gov/gene/179720", "179720")</f>
        <v>179720</v>
      </c>
      <c r="C14520" s="9" t="str">
        <f>HYPERLINK("http://www.ncbi.nlm.nih.gov/gene/6400", "6400")</f>
        <v>6400</v>
      </c>
      <c r="D14520" t="str">
        <f>"sel-1"</f>
        <v>sel-1</v>
      </c>
      <c r="E14520" t="s">
        <v>8988</v>
      </c>
      <c r="F14520" t="s">
        <v>11</v>
      </c>
      <c r="G14520" t="s">
        <v>8989</v>
      </c>
      <c r="H14520" s="12">
        <v>-1.21215021876775</v>
      </c>
      <c r="I14520" s="20">
        <v>-1.0451629584225699</v>
      </c>
      <c r="J14520" s="28">
        <v>0.29594766003768203</v>
      </c>
      <c r="K14520" s="29">
        <v>0.98289565623980701</v>
      </c>
    </row>
    <row r="14521" spans="1:11" x14ac:dyDescent="0.35">
      <c r="A14521" s="9" t="str">
        <f>HYPERLINK("http://www.ensembl.org/id/WBGene00004767", "WBGene00004767")</f>
        <v>WBGene00004767</v>
      </c>
      <c r="B14521" s="9" t="str">
        <f>HYPERLINK("http://www.ncbi.nlm.nih.gov/gene/179878", "179878")</f>
        <v>179878</v>
      </c>
      <c r="C14521" s="9"/>
      <c r="D14521" t="str">
        <f>"sel-10"</f>
        <v>sel-10</v>
      </c>
      <c r="E14521" t="s">
        <v>9445</v>
      </c>
      <c r="F14521" t="s">
        <v>11</v>
      </c>
      <c r="G14521" t="s">
        <v>9446</v>
      </c>
      <c r="H14521" s="12">
        <v>-1.2471564531675201</v>
      </c>
      <c r="I14521" s="20">
        <v>-1.1544838427075701</v>
      </c>
      <c r="J14521" s="28">
        <v>0.24830185895618101</v>
      </c>
      <c r="K14521" s="29">
        <v>0.98289565623980701</v>
      </c>
    </row>
    <row r="14522" spans="1:11" x14ac:dyDescent="0.35">
      <c r="A14522" s="9" t="str">
        <f>HYPERLINK("http://www.ensembl.org/id/WBGene00004769", "WBGene00004769")</f>
        <v>WBGene00004769</v>
      </c>
      <c r="B14522" s="9" t="str">
        <f>HYPERLINK("http://www.ncbi.nlm.nih.gov/gene/180441", "180441")</f>
        <v>180441</v>
      </c>
      <c r="C14522" s="9" t="str">
        <f>HYPERLINK("http://www.ncbi.nlm.nih.gov/gene/5663", "5663")</f>
        <v>5663</v>
      </c>
      <c r="D14522" t="str">
        <f>"sel-12"</f>
        <v>sel-12</v>
      </c>
      <c r="E14522" t="s">
        <v>5368</v>
      </c>
      <c r="F14522" t="s">
        <v>11</v>
      </c>
      <c r="G14522" t="s">
        <v>5369</v>
      </c>
      <c r="H14522" s="12">
        <v>1.182263985261</v>
      </c>
      <c r="I14522" s="20">
        <v>0.749232939809098</v>
      </c>
      <c r="J14522" s="28">
        <v>0.45371681869402702</v>
      </c>
      <c r="K14522" s="29">
        <v>0.98289565623980701</v>
      </c>
    </row>
    <row r="14523" spans="1:11" x14ac:dyDescent="0.35">
      <c r="A14523" s="9" t="str">
        <f>HYPERLINK("http://www.ensembl.org/id/WBGene00011411", "WBGene00011411")</f>
        <v>WBGene00011411</v>
      </c>
      <c r="B14523" s="9" t="str">
        <f>HYPERLINK("http://www.ncbi.nlm.nih.gov/gene/175617", "175617")</f>
        <v>175617</v>
      </c>
      <c r="C14523" s="9"/>
      <c r="D14523" t="str">
        <f>"sel-13"</f>
        <v>sel-13</v>
      </c>
      <c r="E14523" t="s">
        <v>7054</v>
      </c>
      <c r="F14523" t="s">
        <v>11</v>
      </c>
      <c r="G14523" t="s">
        <v>7055</v>
      </c>
      <c r="H14523" s="12">
        <v>-1.10478720997088</v>
      </c>
      <c r="I14523" s="20">
        <v>-0.483871120576085</v>
      </c>
      <c r="J14523" s="28">
        <v>0.62847733711381704</v>
      </c>
      <c r="K14523" s="29">
        <v>0.98289565623980701</v>
      </c>
    </row>
    <row r="14524" spans="1:11" x14ac:dyDescent="0.35">
      <c r="A14524" s="9" t="str">
        <f>HYPERLINK("http://www.ensembl.org/id/WBGene00004760", "WBGene00004760")</f>
        <v>WBGene00004760</v>
      </c>
      <c r="B14524" s="9" t="str">
        <f>HYPERLINK("http://www.ncbi.nlm.nih.gov/gene/175606", "175606")</f>
        <v>175606</v>
      </c>
      <c r="C14524" s="9" t="str">
        <f>HYPERLINK("http://www.ncbi.nlm.nih.gov/gene/26960", "26960")</f>
        <v>26960</v>
      </c>
      <c r="D14524" t="str">
        <f>"sel-2"</f>
        <v>sel-2</v>
      </c>
      <c r="E14524" t="s">
        <v>5098</v>
      </c>
      <c r="F14524" t="s">
        <v>11</v>
      </c>
      <c r="G14524" t="s">
        <v>54</v>
      </c>
      <c r="H14524" s="12">
        <v>1.24162894954688</v>
      </c>
      <c r="I14524" s="20">
        <v>1.17231713133983</v>
      </c>
      <c r="J14524" s="28">
        <v>0.24106975611369</v>
      </c>
      <c r="K14524" s="29">
        <v>0.98289565623980701</v>
      </c>
    </row>
    <row r="14525" spans="1:11" x14ac:dyDescent="0.35">
      <c r="A14525" s="9" t="str">
        <f>HYPERLINK("http://www.ensembl.org/id/WBGene00004765", "WBGene00004765")</f>
        <v>WBGene00004765</v>
      </c>
      <c r="B14525" s="9" t="str">
        <f>HYPERLINK("http://www.ncbi.nlm.nih.gov/gene/175464", "175464")</f>
        <v>175464</v>
      </c>
      <c r="C14525" s="9"/>
      <c r="D14525" t="str">
        <f>"sel-8"</f>
        <v>sel-8</v>
      </c>
      <c r="F14525" t="s">
        <v>11</v>
      </c>
      <c r="H14525" s="12">
        <v>-1.18519669241876</v>
      </c>
      <c r="I14525" s="20">
        <v>-0.84453239439158601</v>
      </c>
      <c r="J14525" s="28">
        <v>0.39837196918344397</v>
      </c>
      <c r="K14525" s="29">
        <v>0.98289565623980701</v>
      </c>
    </row>
    <row r="14526" spans="1:11" x14ac:dyDescent="0.35">
      <c r="A14526" s="9" t="str">
        <f>HYPERLINK("http://www.ensembl.org/id/WBGene00004766", "WBGene00004766")</f>
        <v>WBGene00004766</v>
      </c>
      <c r="B14526" s="9" t="str">
        <f>HYPERLINK("http://www.ncbi.nlm.nih.gov/gene/179213", "179213")</f>
        <v>179213</v>
      </c>
      <c r="C14526" s="9" t="str">
        <f>HYPERLINK("http://www.ncbi.nlm.nih.gov/gene/10959", "10959")</f>
        <v>10959</v>
      </c>
      <c r="D14526" t="str">
        <f>"sel-9"</f>
        <v>sel-9</v>
      </c>
      <c r="E14526" t="s">
        <v>7953</v>
      </c>
      <c r="F14526" t="s">
        <v>11</v>
      </c>
      <c r="G14526" t="s">
        <v>7954</v>
      </c>
      <c r="H14526" s="12">
        <v>-1.1527554261322801</v>
      </c>
      <c r="I14526" s="20">
        <v>-0.76799283996150802</v>
      </c>
      <c r="J14526" s="28">
        <v>0.44249143870313501</v>
      </c>
      <c r="K14526" s="29">
        <v>0.98289565623980701</v>
      </c>
    </row>
    <row r="14527" spans="1:11" x14ac:dyDescent="0.35">
      <c r="A14527" s="9" t="str">
        <f>HYPERLINK("http://www.ensembl.org/id/WBGene00012867", "WBGene00012867")</f>
        <v>WBGene00012867</v>
      </c>
      <c r="B14527" s="9" t="str">
        <f>HYPERLINK("http://www.ncbi.nlm.nih.gov/gene/189912", "189912")</f>
        <v>189912</v>
      </c>
      <c r="C14527" s="9" t="str">
        <f>HYPERLINK("http://www.ncbi.nlm.nih.gov/gene/22929", "22929")</f>
        <v>22929</v>
      </c>
      <c r="D14527" t="str">
        <f>"seld-1"</f>
        <v>seld-1</v>
      </c>
      <c r="E14527" t="s">
        <v>6492</v>
      </c>
      <c r="F14527" t="s">
        <v>11</v>
      </c>
      <c r="G14527" t="s">
        <v>6493</v>
      </c>
      <c r="H14527" s="12">
        <v>-1.07214227101741</v>
      </c>
      <c r="I14527" s="20">
        <v>-0.309620616042179</v>
      </c>
      <c r="J14527" s="28">
        <v>0.75684947687368298</v>
      </c>
      <c r="K14527" s="29">
        <v>0.98289565623980701</v>
      </c>
    </row>
    <row r="14528" spans="1:11" x14ac:dyDescent="0.35">
      <c r="A14528" s="9" t="str">
        <f>HYPERLINK("http://www.ensembl.org/id/WBGene00009238", "WBGene00009238")</f>
        <v>WBGene00009238</v>
      </c>
      <c r="B14528" s="9" t="str">
        <f>HYPERLINK("http://www.ncbi.nlm.nih.gov/gene/185097", "185097")</f>
        <v>185097</v>
      </c>
      <c r="C14528" s="9"/>
      <c r="D14528" t="str">
        <f>"selt-1.2"</f>
        <v>selt-1.2</v>
      </c>
      <c r="E14528" t="s">
        <v>9838</v>
      </c>
      <c r="F14528" t="s">
        <v>11</v>
      </c>
      <c r="G14528" t="s">
        <v>9839</v>
      </c>
      <c r="H14528" s="12">
        <v>-1.32148229927127</v>
      </c>
      <c r="I14528" s="20">
        <v>-0.25527795193953501</v>
      </c>
      <c r="J14528" s="28">
        <v>0.79850842773928898</v>
      </c>
      <c r="K14528" s="29">
        <v>0.98289565623980701</v>
      </c>
    </row>
    <row r="14529" spans="1:11" x14ac:dyDescent="0.35">
      <c r="A14529" s="9" t="str">
        <f>HYPERLINK("http://www.ensembl.org/id/WBGene00004771", "WBGene00004771")</f>
        <v>WBGene00004771</v>
      </c>
      <c r="B14529" s="9" t="str">
        <f>HYPERLINK("http://www.ncbi.nlm.nih.gov/gene/172162", "172162")</f>
        <v>172162</v>
      </c>
      <c r="C14529" s="9"/>
      <c r="D14529" t="str">
        <f>"sem-2"</f>
        <v>sem-2</v>
      </c>
      <c r="E14529" t="s">
        <v>6053</v>
      </c>
      <c r="F14529" t="s">
        <v>11</v>
      </c>
      <c r="G14529" t="s">
        <v>6054</v>
      </c>
      <c r="H14529" s="12">
        <v>1.0686906718114</v>
      </c>
      <c r="I14529" s="20">
        <v>0.28376710517449499</v>
      </c>
      <c r="J14529" s="28">
        <v>0.77658886494736901</v>
      </c>
      <c r="K14529" s="29">
        <v>0.98289565623980701</v>
      </c>
    </row>
    <row r="14530" spans="1:11" x14ac:dyDescent="0.35">
      <c r="A14530" s="9" t="str">
        <f>HYPERLINK("http://www.ensembl.org/id/WBGene00004774", "WBGene00004774")</f>
        <v>WBGene00004774</v>
      </c>
      <c r="B14530" s="9" t="str">
        <f>HYPERLINK("http://www.ncbi.nlm.nih.gov/gene/181055", "181055")</f>
        <v>181055</v>
      </c>
      <c r="C14530" s="9" t="str">
        <f>HYPERLINK("http://www.ncbi.nlm.nih.gov/gene/2885", "2885")</f>
        <v>2885</v>
      </c>
      <c r="D14530" t="str">
        <f>"sem-5"</f>
        <v>sem-5</v>
      </c>
      <c r="E14530" t="s">
        <v>7342</v>
      </c>
      <c r="F14530" t="s">
        <v>11</v>
      </c>
      <c r="G14530" t="s">
        <v>7343</v>
      </c>
      <c r="H14530" s="12">
        <v>-1.12042197104459</v>
      </c>
      <c r="I14530" s="20">
        <v>-0.58614768152234298</v>
      </c>
      <c r="J14530" s="28">
        <v>0.55777627640105898</v>
      </c>
      <c r="K14530" s="29">
        <v>0.98289565623980701</v>
      </c>
    </row>
    <row r="14531" spans="1:11" x14ac:dyDescent="0.35">
      <c r="A14531" s="9" t="str">
        <f>HYPERLINK("http://www.ensembl.org/id/WBGene00010808", "WBGene00010808")</f>
        <v>WBGene00010808</v>
      </c>
      <c r="B14531" s="9" t="str">
        <f>HYPERLINK("http://www.ncbi.nlm.nih.gov/gene/173196", "173196")</f>
        <v>173196</v>
      </c>
      <c r="C14531" s="9"/>
      <c r="D14531" t="str">
        <f>"sepa-1"</f>
        <v>sepa-1</v>
      </c>
      <c r="F14531" t="s">
        <v>11</v>
      </c>
      <c r="G14531" t="s">
        <v>9628</v>
      </c>
      <c r="H14531" s="12">
        <v>-1.26908670757316</v>
      </c>
      <c r="I14531" s="20">
        <v>-0.255022554649113</v>
      </c>
      <c r="J14531" s="28">
        <v>0.79870567896097999</v>
      </c>
      <c r="K14531" s="29">
        <v>0.98289565623980701</v>
      </c>
    </row>
    <row r="14532" spans="1:11" x14ac:dyDescent="0.35">
      <c r="A14532" s="9" t="str">
        <f>HYPERLINK("http://www.ensembl.org/id/WBGene00004776", "WBGene00004776")</f>
        <v>WBGene00004776</v>
      </c>
      <c r="B14532" s="9" t="str">
        <f>HYPERLINK("http://www.ncbi.nlm.nih.gov/gene/181716", "181716")</f>
        <v>181716</v>
      </c>
      <c r="C14532" s="9" t="str">
        <f>HYPERLINK("http://www.ncbi.nlm.nih.gov/gene/3356", "3356")</f>
        <v>3356</v>
      </c>
      <c r="D14532" t="str">
        <f>"ser-1"</f>
        <v>ser-1</v>
      </c>
      <c r="E14532" t="s">
        <v>4835</v>
      </c>
      <c r="F14532" t="s">
        <v>11</v>
      </c>
      <c r="G14532" t="s">
        <v>4836</v>
      </c>
      <c r="H14532" s="12">
        <v>1.34254303341107</v>
      </c>
      <c r="I14532" s="20">
        <v>1.1588309763432101</v>
      </c>
      <c r="J14532" s="28">
        <v>0.24652508839422299</v>
      </c>
      <c r="K14532" s="29">
        <v>0.98289565623980701</v>
      </c>
    </row>
    <row r="14533" spans="1:11" x14ac:dyDescent="0.35">
      <c r="A14533" s="9" t="str">
        <f>HYPERLINK("http://www.ensembl.org/id/WBGene00004779", "WBGene00004779")</f>
        <v>WBGene00004779</v>
      </c>
      <c r="B14533" s="9" t="str">
        <f>HYPERLINK("http://www.ncbi.nlm.nih.gov/gene/175322", "175322")</f>
        <v>175322</v>
      </c>
      <c r="C14533" s="9" t="str">
        <f>HYPERLINK("http://www.ncbi.nlm.nih.gov/gene/3350", "3350")</f>
        <v>3350</v>
      </c>
      <c r="D14533" t="str">
        <f>"ser-4"</f>
        <v>ser-4</v>
      </c>
      <c r="E14533" t="s">
        <v>4835</v>
      </c>
      <c r="F14533" t="s">
        <v>11</v>
      </c>
      <c r="G14533" t="s">
        <v>5291</v>
      </c>
      <c r="H14533" s="12">
        <v>1.1946242192735801</v>
      </c>
      <c r="I14533" s="20">
        <v>0.83502143979182997</v>
      </c>
      <c r="J14533" s="28">
        <v>0.40370563702086198</v>
      </c>
      <c r="K14533" s="29">
        <v>0.98289565623980701</v>
      </c>
    </row>
    <row r="14534" spans="1:11" x14ac:dyDescent="0.35">
      <c r="A14534" s="9" t="str">
        <f>HYPERLINK("http://www.ensembl.org/id/WBGene00021897", "WBGene00021897")</f>
        <v>WBGene00021897</v>
      </c>
      <c r="B14534" s="9" t="str">
        <f>HYPERLINK("http://www.ncbi.nlm.nih.gov/gene/259560", "259560")</f>
        <v>259560</v>
      </c>
      <c r="C14534" s="9"/>
      <c r="D14534" t="str">
        <f>"ser-6"</f>
        <v>ser-6</v>
      </c>
      <c r="E14534" t="s">
        <v>2146</v>
      </c>
      <c r="F14534" t="s">
        <v>11</v>
      </c>
      <c r="G14534" t="s">
        <v>5403</v>
      </c>
      <c r="H14534" s="12">
        <v>1.17110203197309</v>
      </c>
      <c r="I14534" s="20">
        <v>0.54383209925532905</v>
      </c>
      <c r="J14534" s="28">
        <v>0.58655701776069402</v>
      </c>
      <c r="K14534" s="29">
        <v>0.98289565623980701</v>
      </c>
    </row>
    <row r="14535" spans="1:11" x14ac:dyDescent="0.35">
      <c r="A14535" s="9" t="str">
        <f>HYPERLINK("http://www.ensembl.org/id/WBGene00004780", "WBGene00004780")</f>
        <v>WBGene00004780</v>
      </c>
      <c r="B14535" s="9" t="str">
        <f>HYPERLINK("http://www.ncbi.nlm.nih.gov/gene/180565", "180565")</f>
        <v>180565</v>
      </c>
      <c r="C14535" s="9" t="str">
        <f>HYPERLINK("http://www.ncbi.nlm.nih.gov/gene/3363", "3363")</f>
        <v>3363</v>
      </c>
      <c r="D14535" t="str">
        <f>"ser-7"</f>
        <v>ser-7</v>
      </c>
      <c r="E14535" t="s">
        <v>2146</v>
      </c>
      <c r="F14535" t="s">
        <v>11</v>
      </c>
      <c r="G14535" t="s">
        <v>1426</v>
      </c>
      <c r="H14535" s="12">
        <v>1.38320964707571</v>
      </c>
      <c r="I14535" s="20">
        <v>1.0728427319243701</v>
      </c>
      <c r="J14535" s="28">
        <v>0.28334168438290902</v>
      </c>
      <c r="K14535" s="29">
        <v>0.98289565623980701</v>
      </c>
    </row>
    <row r="14536" spans="1:11" x14ac:dyDescent="0.35">
      <c r="A14536" s="9" t="str">
        <f>HYPERLINK("http://www.ensembl.org/id/WBGene00022279", "WBGene00022279")</f>
        <v>WBGene00022279</v>
      </c>
      <c r="B14536" s="9" t="str">
        <f>HYPERLINK("http://www.ncbi.nlm.nih.gov/gene/171593", "171593")</f>
        <v>171593</v>
      </c>
      <c r="C14536" s="9" t="str">
        <f>HYPERLINK("http://www.ncbi.nlm.nih.gov/gene/143686", "143686")</f>
        <v>143686</v>
      </c>
      <c r="D14536" t="str">
        <f>"sesn-1"</f>
        <v>sesn-1</v>
      </c>
      <c r="E14536" t="s">
        <v>5602</v>
      </c>
      <c r="F14536" t="s">
        <v>11</v>
      </c>
      <c r="G14536" t="s">
        <v>5603</v>
      </c>
      <c r="H14536" s="12">
        <v>1.136768814419</v>
      </c>
      <c r="I14536" s="20">
        <v>0.67126629921819603</v>
      </c>
      <c r="J14536" s="28">
        <v>0.50205089956745097</v>
      </c>
      <c r="K14536" s="29">
        <v>0.98289565623980701</v>
      </c>
    </row>
    <row r="14537" spans="1:11" x14ac:dyDescent="0.35">
      <c r="A14537" s="9" t="str">
        <f>HYPERLINK("http://www.ensembl.org/id/WBGene00018023", "WBGene00018023")</f>
        <v>WBGene00018023</v>
      </c>
      <c r="B14537" s="9" t="str">
        <f>HYPERLINK("http://www.ncbi.nlm.nih.gov/gene/185242", "185242")</f>
        <v>185242</v>
      </c>
      <c r="C14537" s="9"/>
      <c r="D14537" t="str">
        <f>"set-11"</f>
        <v>set-11</v>
      </c>
      <c r="E14537" t="s">
        <v>2055</v>
      </c>
      <c r="F14537" t="s">
        <v>11</v>
      </c>
      <c r="G14537" t="s">
        <v>5069</v>
      </c>
      <c r="H14537" s="12">
        <v>1.2473914447198</v>
      </c>
      <c r="I14537" s="20">
        <v>0.37645821394870199</v>
      </c>
      <c r="J14537" s="28">
        <v>0.70657627493070896</v>
      </c>
      <c r="K14537" s="29">
        <v>0.98289565623980701</v>
      </c>
    </row>
    <row r="14538" spans="1:11" x14ac:dyDescent="0.35">
      <c r="A14538" s="9" t="str">
        <f>HYPERLINK("http://www.ensembl.org/id/WBGene00011729", "WBGene00011729")</f>
        <v>WBGene00011729</v>
      </c>
      <c r="B14538" s="9" t="str">
        <f>HYPERLINK("http://www.ncbi.nlm.nih.gov/gene/176802", "176802")</f>
        <v>176802</v>
      </c>
      <c r="C14538" s="9"/>
      <c r="D14538" t="str">
        <f>"set-16"</f>
        <v>set-16</v>
      </c>
      <c r="E14538" t="s">
        <v>5744</v>
      </c>
      <c r="F14538" t="s">
        <v>11</v>
      </c>
      <c r="G14538" t="s">
        <v>5745</v>
      </c>
      <c r="H14538" s="12">
        <v>1.1121822847589899</v>
      </c>
      <c r="I14538" s="20">
        <v>0.55612659029497302</v>
      </c>
      <c r="J14538" s="28">
        <v>0.57812431870421099</v>
      </c>
      <c r="K14538" s="29">
        <v>0.98289565623980701</v>
      </c>
    </row>
    <row r="14539" spans="1:11" x14ac:dyDescent="0.35">
      <c r="A14539" s="9" t="str">
        <f>HYPERLINK("http://www.ensembl.org/id/WBGene00021282", "WBGene00021282")</f>
        <v>WBGene00021282</v>
      </c>
      <c r="B14539" s="9" t="str">
        <f>HYPERLINK("http://www.ncbi.nlm.nih.gov/gene/177204", "177204")</f>
        <v>177204</v>
      </c>
      <c r="C14539" s="9"/>
      <c r="D14539" t="str">
        <f>"set-21"</f>
        <v>set-21</v>
      </c>
      <c r="E14539" t="s">
        <v>2055</v>
      </c>
      <c r="F14539" t="s">
        <v>11</v>
      </c>
      <c r="G14539" t="s">
        <v>54</v>
      </c>
      <c r="H14539" s="12">
        <v>-1.1123559386064601</v>
      </c>
      <c r="I14539" s="20">
        <v>-0.34842749075896801</v>
      </c>
      <c r="J14539" s="28">
        <v>0.72751915980913495</v>
      </c>
      <c r="K14539" s="29">
        <v>0.98289565623980701</v>
      </c>
    </row>
    <row r="14540" spans="1:11" x14ac:dyDescent="0.35">
      <c r="A14540" s="9" t="str">
        <f>HYPERLINK("http://www.ensembl.org/id/WBGene00021515", "WBGene00021515")</f>
        <v>WBGene00021515</v>
      </c>
      <c r="B14540" s="9" t="str">
        <f>HYPERLINK("http://www.ncbi.nlm.nih.gov/gene/176969", "176969")</f>
        <v>176969</v>
      </c>
      <c r="C14540" s="9"/>
      <c r="D14540" t="str">
        <f>"set-23"</f>
        <v>set-23</v>
      </c>
      <c r="E14540" t="s">
        <v>9523</v>
      </c>
      <c r="F14540" t="s">
        <v>11</v>
      </c>
      <c r="G14540" t="s">
        <v>9524</v>
      </c>
      <c r="H14540" s="12">
        <v>-1.2552692496072699</v>
      </c>
      <c r="I14540" s="20">
        <v>-0.81057879655821896</v>
      </c>
      <c r="J14540" s="28">
        <v>0.417607597471367</v>
      </c>
      <c r="K14540" s="29">
        <v>0.98289565623980701</v>
      </c>
    </row>
    <row r="14541" spans="1:11" x14ac:dyDescent="0.35">
      <c r="A14541" s="9" t="str">
        <f>HYPERLINK("http://www.ensembl.org/id/WBGene00012802", "WBGene00012802")</f>
        <v>WBGene00012802</v>
      </c>
      <c r="B14541" s="9" t="str">
        <f>HYPERLINK("http://www.ncbi.nlm.nih.gov/gene/3565129", "3565129")</f>
        <v>3565129</v>
      </c>
      <c r="C14541" s="9"/>
      <c r="D14541" t="str">
        <f>"set-25"</f>
        <v>set-25</v>
      </c>
      <c r="E14541" t="s">
        <v>8550</v>
      </c>
      <c r="F14541" t="s">
        <v>11</v>
      </c>
      <c r="G14541" t="s">
        <v>8551</v>
      </c>
      <c r="H14541" s="12">
        <v>-1.1829350133847001</v>
      </c>
      <c r="I14541" s="20">
        <v>-0.68255503849955101</v>
      </c>
      <c r="J14541" s="28">
        <v>0.49488805313205098</v>
      </c>
      <c r="K14541" s="29">
        <v>0.98289565623980701</v>
      </c>
    </row>
    <row r="14542" spans="1:11" x14ac:dyDescent="0.35">
      <c r="A14542" s="9" t="str">
        <f>HYPERLINK("http://www.ensembl.org/id/WBGene00013106", "WBGene00013106")</f>
        <v>WBGene00013106</v>
      </c>
      <c r="B14542" s="9" t="str">
        <f>HYPERLINK("http://www.ncbi.nlm.nih.gov/gene/178463", "178463")</f>
        <v>178463</v>
      </c>
      <c r="C14542" s="9"/>
      <c r="D14542" t="str">
        <f>"set-26"</f>
        <v>set-26</v>
      </c>
      <c r="E14542" t="s">
        <v>5493</v>
      </c>
      <c r="F14542" t="s">
        <v>11</v>
      </c>
      <c r="G14542" t="s">
        <v>5494</v>
      </c>
      <c r="H14542" s="12">
        <v>1.15827691113333</v>
      </c>
      <c r="I14542" s="20">
        <v>0.75091748177182005</v>
      </c>
      <c r="J14542" s="28">
        <v>0.45270231869496602</v>
      </c>
      <c r="K14542" s="29">
        <v>0.98289565623980701</v>
      </c>
    </row>
    <row r="14543" spans="1:11" x14ac:dyDescent="0.35">
      <c r="A14543" s="9" t="str">
        <f>HYPERLINK("http://www.ensembl.org/id/WBGene00022173", "WBGene00022173")</f>
        <v>WBGene00022173</v>
      </c>
      <c r="B14543" s="9" t="str">
        <f>HYPERLINK("http://www.ncbi.nlm.nih.gov/gene/190607", "190607")</f>
        <v>190607</v>
      </c>
      <c r="C14543" s="9" t="str">
        <f>HYPERLINK("http://www.ncbi.nlm.nih.gov/gene/84193", "84193")</f>
        <v>84193</v>
      </c>
      <c r="D14543" t="str">
        <f>"set-27"</f>
        <v>set-27</v>
      </c>
      <c r="E14543" t="s">
        <v>2055</v>
      </c>
      <c r="F14543" t="s">
        <v>11</v>
      </c>
      <c r="G14543" t="s">
        <v>8949</v>
      </c>
      <c r="H14543" s="12">
        <v>-1.2102412995323699</v>
      </c>
      <c r="I14543" s="20">
        <v>-0.79445914526757899</v>
      </c>
      <c r="J14543" s="28">
        <v>0.426928183905189</v>
      </c>
      <c r="K14543" s="29">
        <v>0.98289565623980701</v>
      </c>
    </row>
    <row r="14544" spans="1:11" x14ac:dyDescent="0.35">
      <c r="A14544" s="9" t="str">
        <f>HYPERLINK("http://www.ensembl.org/id/WBGene00022371", "WBGene00022371")</f>
        <v>WBGene00022371</v>
      </c>
      <c r="B14544" s="9" t="str">
        <f>HYPERLINK("http://www.ncbi.nlm.nih.gov/gene/171705", "171705")</f>
        <v>171705</v>
      </c>
      <c r="C14544" s="9" t="str">
        <f>HYPERLINK("http://www.ncbi.nlm.nih.gov/gene/54093", "54093")</f>
        <v>54093</v>
      </c>
      <c r="D14544" t="str">
        <f>"set-29"</f>
        <v>set-29</v>
      </c>
      <c r="E14544" t="s">
        <v>2055</v>
      </c>
      <c r="F14544" t="s">
        <v>11</v>
      </c>
      <c r="G14544" t="s">
        <v>6757</v>
      </c>
      <c r="H14544" s="12">
        <v>-1.0878046750305399</v>
      </c>
      <c r="I14544" s="20">
        <v>-0.307971088545132</v>
      </c>
      <c r="J14544" s="28">
        <v>0.75810433182225001</v>
      </c>
      <c r="K14544" s="29">
        <v>0.98289565623980701</v>
      </c>
    </row>
    <row r="14545" spans="1:11" x14ac:dyDescent="0.35">
      <c r="A14545" s="9" t="str">
        <f>HYPERLINK("http://www.ensembl.org/id/WBGene00007403", "WBGene00007403")</f>
        <v>WBGene00007403</v>
      </c>
      <c r="B14545" s="9" t="str">
        <f>HYPERLINK("http://www.ncbi.nlm.nih.gov/gene/182356", "182356")</f>
        <v>182356</v>
      </c>
      <c r="C14545" s="9"/>
      <c r="D14545" t="str">
        <f>"set-3"</f>
        <v>set-3</v>
      </c>
      <c r="E14545" t="s">
        <v>8601</v>
      </c>
      <c r="F14545" t="s">
        <v>11</v>
      </c>
      <c r="G14545" t="s">
        <v>8602</v>
      </c>
      <c r="H14545" s="12">
        <v>-1.18596805596873</v>
      </c>
      <c r="I14545" s="20">
        <v>-0.71827156343788301</v>
      </c>
      <c r="J14545" s="28">
        <v>0.47258986023798</v>
      </c>
      <c r="K14545" s="29">
        <v>0.98289565623980701</v>
      </c>
    </row>
    <row r="14546" spans="1:11" x14ac:dyDescent="0.35">
      <c r="A14546" s="9" t="str">
        <f>HYPERLINK("http://www.ensembl.org/id/WBGene00022499", "WBGene00022499")</f>
        <v>WBGene00022499</v>
      </c>
      <c r="B14546" s="9" t="str">
        <f>HYPERLINK("http://www.ncbi.nlm.nih.gov/gene/180772", "180772")</f>
        <v>180772</v>
      </c>
      <c r="C14546" s="9" t="str">
        <f>HYPERLINK("http://www.ncbi.nlm.nih.gov/gene/64754", "64754")</f>
        <v>64754</v>
      </c>
      <c r="D14546" t="str">
        <f>"set-30"</f>
        <v>set-30</v>
      </c>
      <c r="E14546" t="s">
        <v>2055</v>
      </c>
      <c r="F14546" t="s">
        <v>11</v>
      </c>
      <c r="G14546" t="s">
        <v>5319</v>
      </c>
      <c r="H14546" s="12">
        <v>1.18873643922129</v>
      </c>
      <c r="I14546" s="20">
        <v>0.840866905384136</v>
      </c>
      <c r="J14546" s="28">
        <v>0.400422500396454</v>
      </c>
      <c r="K14546" s="29">
        <v>0.98289565623980701</v>
      </c>
    </row>
    <row r="14547" spans="1:11" x14ac:dyDescent="0.35">
      <c r="A14547" s="9" t="str">
        <f>HYPERLINK("http://www.ensembl.org/id/WBGene00016313", "WBGene00016313")</f>
        <v>WBGene00016313</v>
      </c>
      <c r="B14547" s="9" t="str">
        <f>HYPERLINK("http://www.ncbi.nlm.nih.gov/gene/174045", "174045")</f>
        <v>174045</v>
      </c>
      <c r="C14547" s="9" t="str">
        <f>HYPERLINK("http://www.ncbi.nlm.nih.gov/gene/51111", "51111")</f>
        <v>51111</v>
      </c>
      <c r="D14547" t="str">
        <f>"set-4"</f>
        <v>set-4</v>
      </c>
      <c r="E14547" t="s">
        <v>8698</v>
      </c>
      <c r="F14547" t="s">
        <v>11</v>
      </c>
      <c r="G14547" t="s">
        <v>8699</v>
      </c>
      <c r="H14547" s="12">
        <v>-1.19176625066057</v>
      </c>
      <c r="I14547" s="20">
        <v>-0.82984790803196895</v>
      </c>
      <c r="J14547" s="28">
        <v>0.40662478020388998</v>
      </c>
      <c r="K14547" s="29">
        <v>0.98289565623980701</v>
      </c>
    </row>
    <row r="14548" spans="1:11" x14ac:dyDescent="0.35">
      <c r="A14548" s="9" t="str">
        <f>HYPERLINK("http://www.ensembl.org/id/WBGene00017482", "WBGene00017482")</f>
        <v>WBGene00017482</v>
      </c>
      <c r="B14548" s="9" t="str">
        <f>HYPERLINK("http://www.ncbi.nlm.nih.gov/gene/177196", "177196")</f>
        <v>177196</v>
      </c>
      <c r="C14548" s="9"/>
      <c r="D14548" t="str">
        <f>"set-9"</f>
        <v>set-9</v>
      </c>
      <c r="E14548" t="s">
        <v>9332</v>
      </c>
      <c r="F14548" t="s">
        <v>11</v>
      </c>
      <c r="G14548" t="s">
        <v>9333</v>
      </c>
      <c r="H14548" s="12">
        <v>-1.2390525141794799</v>
      </c>
      <c r="I14548" s="20">
        <v>-0.88912418295694196</v>
      </c>
      <c r="J14548" s="28">
        <v>0.37393634351414801</v>
      </c>
      <c r="K14548" s="29">
        <v>0.98289565623980701</v>
      </c>
    </row>
    <row r="14549" spans="1:11" x14ac:dyDescent="0.35">
      <c r="A14549" s="9" t="str">
        <f>HYPERLINK("http://www.ensembl.org/id/WBGene00004783", "WBGene00004783")</f>
        <v>WBGene00004783</v>
      </c>
      <c r="B14549" s="9" t="str">
        <f>HYPERLINK("http://www.ncbi.nlm.nih.gov/gene/177394", "177394")</f>
        <v>177394</v>
      </c>
      <c r="C14549" s="9"/>
      <c r="D14549" t="str">
        <f>"seu-1"</f>
        <v>seu-1</v>
      </c>
      <c r="E14549" t="s">
        <v>6857</v>
      </c>
      <c r="F14549" t="s">
        <v>11</v>
      </c>
      <c r="G14549" t="s">
        <v>6858</v>
      </c>
      <c r="H14549" s="12">
        <v>-1.0927422483578</v>
      </c>
      <c r="I14549" s="20">
        <v>-0.48103271332515102</v>
      </c>
      <c r="J14549" s="28">
        <v>0.630493248777096</v>
      </c>
      <c r="K14549" s="29">
        <v>0.98289565623980701</v>
      </c>
    </row>
    <row r="14550" spans="1:11" x14ac:dyDescent="0.35">
      <c r="A14550" s="9" t="str">
        <f>HYPERLINK("http://www.ensembl.org/id/WBGene00004786", "WBGene00004786")</f>
        <v>WBGene00004786</v>
      </c>
      <c r="B14550" s="9" t="str">
        <f>HYPERLINK("http://www.ncbi.nlm.nih.gov/gene/181231", "181231")</f>
        <v>181231</v>
      </c>
      <c r="C14550" s="9"/>
      <c r="D14550" t="str">
        <f>"sex-1"</f>
        <v>sex-1</v>
      </c>
      <c r="E14550" t="s">
        <v>4878</v>
      </c>
      <c r="F14550" t="s">
        <v>11</v>
      </c>
      <c r="G14550" t="s">
        <v>852</v>
      </c>
      <c r="H14550" s="12">
        <v>1.3185778914859301</v>
      </c>
      <c r="I14550" s="20">
        <v>1.0651640345956701</v>
      </c>
      <c r="J14550" s="28">
        <v>0.28680170585723103</v>
      </c>
      <c r="K14550" s="29">
        <v>0.98289565623980701</v>
      </c>
    </row>
    <row r="14551" spans="1:11" x14ac:dyDescent="0.35">
      <c r="A14551" s="9" t="str">
        <f>HYPERLINK("http://www.ensembl.org/id/WBGene00013808", "WBGene00013808")</f>
        <v>WBGene00013808</v>
      </c>
      <c r="B14551" s="9" t="str">
        <f>HYPERLINK("http://www.ncbi.nlm.nih.gov/gene/178486", "178486")</f>
        <v>178486</v>
      </c>
      <c r="C14551" s="9"/>
      <c r="D14551" t="str">
        <f>"sfa-1"</f>
        <v>sfa-1</v>
      </c>
      <c r="E14551" t="s">
        <v>5827</v>
      </c>
      <c r="F14551" t="s">
        <v>11</v>
      </c>
      <c r="G14551" t="s">
        <v>5828</v>
      </c>
      <c r="H14551" s="12">
        <v>1.09562193162085</v>
      </c>
      <c r="I14551" s="20">
        <v>0.46417138168668698</v>
      </c>
      <c r="J14551" s="28">
        <v>0.64252496318789698</v>
      </c>
      <c r="K14551" s="29">
        <v>0.98289565623980701</v>
      </c>
    </row>
    <row r="14552" spans="1:11" x14ac:dyDescent="0.35">
      <c r="A14552" s="9" t="str">
        <f>HYPERLINK("http://www.ensembl.org/id/WBGene00011605", "WBGene00011605")</f>
        <v>WBGene00011605</v>
      </c>
      <c r="B14552" s="9" t="str">
        <f>HYPERLINK("http://www.ncbi.nlm.nih.gov/gene/175549", "175549")</f>
        <v>175549</v>
      </c>
      <c r="C14552" s="9" t="str">
        <f>HYPERLINK("http://www.ncbi.nlm.nih.gov/gene/23451", "23451")</f>
        <v>23451</v>
      </c>
      <c r="D14552" t="str">
        <f>"sftb-1"</f>
        <v>sftb-1</v>
      </c>
      <c r="E14552" t="s">
        <v>7409</v>
      </c>
      <c r="F14552" t="s">
        <v>11</v>
      </c>
      <c r="G14552" t="s">
        <v>7410</v>
      </c>
      <c r="H14552" s="12">
        <v>-1.12408800338478</v>
      </c>
      <c r="I14552" s="20">
        <v>-0.59829894286886898</v>
      </c>
      <c r="J14552" s="28">
        <v>0.549640481854206</v>
      </c>
      <c r="K14552" s="29">
        <v>0.98289565623980701</v>
      </c>
    </row>
    <row r="14553" spans="1:11" x14ac:dyDescent="0.35">
      <c r="A14553" s="9" t="str">
        <f>HYPERLINK("http://www.ensembl.org/id/WBGene00007690", "WBGene00007690")</f>
        <v>WBGene00007690</v>
      </c>
      <c r="B14553" s="9" t="str">
        <f>HYPERLINK("http://www.ncbi.nlm.nih.gov/gene/174427", "174427")</f>
        <v>174427</v>
      </c>
      <c r="C14553" s="9" t="str">
        <f>HYPERLINK("http://www.ncbi.nlm.nih.gov/gene/84826", "84826")</f>
        <v>84826</v>
      </c>
      <c r="D14553" t="str">
        <f>"sftd-3"</f>
        <v>sftd-3</v>
      </c>
      <c r="E14553" t="s">
        <v>6366</v>
      </c>
      <c r="F14553" t="s">
        <v>11</v>
      </c>
      <c r="G14553" t="s">
        <v>6367</v>
      </c>
      <c r="H14553" s="12">
        <v>-1.1412087144585099</v>
      </c>
      <c r="I14553" s="20">
        <v>-0.62484319621309503</v>
      </c>
      <c r="J14553" s="28">
        <v>0.53207397690520697</v>
      </c>
      <c r="K14553" s="29">
        <v>0.98289565623980701</v>
      </c>
    </row>
    <row r="14554" spans="1:11" x14ac:dyDescent="0.35">
      <c r="A14554" s="9" t="str">
        <f>HYPERLINK("http://www.ensembl.org/id/WBGene00007080", "WBGene00007080")</f>
        <v>WBGene00007080</v>
      </c>
      <c r="B14554" s="9" t="str">
        <f>HYPERLINK("http://www.ncbi.nlm.nih.gov/gene/181807", "181807")</f>
        <v>181807</v>
      </c>
      <c r="C14554" s="9" t="str">
        <f>HYPERLINK("http://www.ncbi.nlm.nih.gov/gene/81855", "81855")</f>
        <v>81855</v>
      </c>
      <c r="D14554" t="str">
        <f>"sfxn-1.1"</f>
        <v>sfxn-1.1</v>
      </c>
      <c r="E14554" t="s">
        <v>4431</v>
      </c>
      <c r="F14554" t="s">
        <v>11</v>
      </c>
      <c r="G14554" t="s">
        <v>4432</v>
      </c>
      <c r="H14554" s="12">
        <v>2.1904949189752401</v>
      </c>
      <c r="I14554" s="20">
        <v>0.84705305379641804</v>
      </c>
      <c r="J14554" s="28">
        <v>0.39696555062746802</v>
      </c>
      <c r="K14554" s="29">
        <v>0.98289565623980701</v>
      </c>
    </row>
    <row r="14555" spans="1:11" x14ac:dyDescent="0.35">
      <c r="A14555" s="9" t="str">
        <f>HYPERLINK("http://www.ensembl.org/id/WBGene00009513", "WBGene00009513")</f>
        <v>WBGene00009513</v>
      </c>
      <c r="B14555" s="9" t="str">
        <f>HYPERLINK("http://www.ncbi.nlm.nih.gov/gene/174708", "174708")</f>
        <v>174708</v>
      </c>
      <c r="C14555" s="9" t="str">
        <f>HYPERLINK("http://www.ncbi.nlm.nih.gov/gene/81855", "81855")</f>
        <v>81855</v>
      </c>
      <c r="D14555" t="str">
        <f>"sfxn-1.2"</f>
        <v>sfxn-1.2</v>
      </c>
      <c r="E14555" t="s">
        <v>4425</v>
      </c>
      <c r="F14555" t="s">
        <v>11</v>
      </c>
      <c r="G14555" t="s">
        <v>4426</v>
      </c>
      <c r="H14555" s="12">
        <v>2.06394737556329</v>
      </c>
      <c r="I14555" s="20">
        <v>0.55330070917446195</v>
      </c>
      <c r="J14555" s="28">
        <v>0.58005751552690199</v>
      </c>
      <c r="K14555" s="29">
        <v>0.98289565623980701</v>
      </c>
    </row>
    <row r="14556" spans="1:11" x14ac:dyDescent="0.35">
      <c r="A14556" s="9" t="str">
        <f>HYPERLINK("http://www.ensembl.org/id/WBGene00012402", "WBGene00012402")</f>
        <v>WBGene00012402</v>
      </c>
      <c r="B14556" s="9" t="str">
        <f>HYPERLINK("http://www.ncbi.nlm.nih.gov/gene/180055", "180055")</f>
        <v>180055</v>
      </c>
      <c r="C14556" s="9" t="str">
        <f>HYPERLINK("http://www.ncbi.nlm.nih.gov/gene/81855", "81855")</f>
        <v>81855</v>
      </c>
      <c r="D14556" t="str">
        <f>"sfxn-1.3"</f>
        <v>sfxn-1.3</v>
      </c>
      <c r="E14556" t="s">
        <v>4425</v>
      </c>
      <c r="F14556" t="s">
        <v>11</v>
      </c>
      <c r="G14556" t="s">
        <v>4426</v>
      </c>
      <c r="H14556" s="12">
        <v>2.1984315862700798</v>
      </c>
      <c r="I14556" s="20">
        <v>0.28497317452086202</v>
      </c>
      <c r="J14556" s="28">
        <v>0.77566469379881398</v>
      </c>
      <c r="K14556" s="29">
        <v>0.98289565623980701</v>
      </c>
    </row>
    <row r="14557" spans="1:11" x14ac:dyDescent="0.35">
      <c r="A14557" s="9" t="str">
        <f>HYPERLINK("http://www.ensembl.org/id/WBGene00011440", "WBGene00011440")</f>
        <v>WBGene00011440</v>
      </c>
      <c r="B14557" s="9" t="str">
        <f>HYPERLINK("http://www.ncbi.nlm.nih.gov/gene/181353", "181353")</f>
        <v>181353</v>
      </c>
      <c r="C14557" s="9" t="str">
        <f>HYPERLINK("http://www.ncbi.nlm.nih.gov/gene/94081", "94081")</f>
        <v>94081</v>
      </c>
      <c r="D14557" t="str">
        <f>"sfxn-1.5"</f>
        <v>sfxn-1.5</v>
      </c>
      <c r="E14557" t="s">
        <v>4425</v>
      </c>
      <c r="F14557" t="s">
        <v>11</v>
      </c>
      <c r="G14557" t="s">
        <v>4426</v>
      </c>
      <c r="H14557" s="12">
        <v>-1.0813352514905901</v>
      </c>
      <c r="I14557" s="20">
        <v>-0.40909721660676401</v>
      </c>
      <c r="J14557" s="28">
        <v>0.68246831882014802</v>
      </c>
      <c r="K14557" s="29">
        <v>0.98289565623980701</v>
      </c>
    </row>
    <row r="14558" spans="1:11" x14ac:dyDescent="0.35">
      <c r="A14558" s="9" t="str">
        <f>HYPERLINK("http://www.ensembl.org/id/WBGene00015777", "WBGene00015777")</f>
        <v>WBGene00015777</v>
      </c>
      <c r="B14558" s="9" t="str">
        <f>HYPERLINK("http://www.ncbi.nlm.nih.gov/gene/181054", "181054")</f>
        <v>181054</v>
      </c>
      <c r="C14558" s="9" t="str">
        <f>HYPERLINK("http://www.ncbi.nlm.nih.gov/gene/118980", "118980")</f>
        <v>118980</v>
      </c>
      <c r="D14558" t="str">
        <f>"sfxn-2"</f>
        <v>sfxn-2</v>
      </c>
      <c r="E14558" t="s">
        <v>4425</v>
      </c>
      <c r="F14558" t="s">
        <v>11</v>
      </c>
      <c r="G14558" t="s">
        <v>4426</v>
      </c>
      <c r="H14558" s="12">
        <v>1.11728315868092</v>
      </c>
      <c r="I14558" s="20">
        <v>0.497000008003111</v>
      </c>
      <c r="J14558" s="28">
        <v>0.61918904568315403</v>
      </c>
      <c r="K14558" s="29">
        <v>0.98289565623980701</v>
      </c>
    </row>
    <row r="14559" spans="1:11" x14ac:dyDescent="0.35">
      <c r="A14559" s="9" t="str">
        <f>HYPERLINK("http://www.ensembl.org/id/WBGene00044049", "WBGene00044049")</f>
        <v>WBGene00044049</v>
      </c>
      <c r="B14559" s="9" t="str">
        <f>HYPERLINK("http://www.ncbi.nlm.nih.gov/gene/174303", "174303")</f>
        <v>174303</v>
      </c>
      <c r="C14559" s="9" t="str">
        <f>HYPERLINK("http://www.ncbi.nlm.nih.gov/gene/94097", "94097")</f>
        <v>94097</v>
      </c>
      <c r="D14559" t="str">
        <f>"sfxn-5"</f>
        <v>sfxn-5</v>
      </c>
      <c r="E14559" t="s">
        <v>6653</v>
      </c>
      <c r="F14559" t="s">
        <v>11</v>
      </c>
      <c r="G14559" t="s">
        <v>6654</v>
      </c>
      <c r="H14559" s="12">
        <v>-1.0832987507029901</v>
      </c>
      <c r="I14559" s="20">
        <v>-0.35826406109062098</v>
      </c>
      <c r="J14559" s="28">
        <v>0.72014571057170695</v>
      </c>
      <c r="K14559" s="29">
        <v>0.98289565623980701</v>
      </c>
    </row>
    <row r="14560" spans="1:11" x14ac:dyDescent="0.35">
      <c r="A14560" s="9" t="str">
        <f>HYPERLINK("http://www.ensembl.org/id/WBGene00019227", "WBGene00019227")</f>
        <v>WBGene00019227</v>
      </c>
      <c r="B14560" s="9" t="str">
        <f>HYPERLINK("http://www.ncbi.nlm.nih.gov/gene/180946", "180946")</f>
        <v>180946</v>
      </c>
      <c r="C14560" s="9"/>
      <c r="D14560" t="str">
        <f>"sgca-1"</f>
        <v>sgca-1</v>
      </c>
      <c r="E14560" t="s">
        <v>5652</v>
      </c>
      <c r="F14560" t="s">
        <v>11</v>
      </c>
      <c r="G14560" t="s">
        <v>5653</v>
      </c>
      <c r="H14560" s="12">
        <v>1.1289384055090701</v>
      </c>
      <c r="I14560" s="20">
        <v>0.44486099729899298</v>
      </c>
      <c r="J14560" s="28">
        <v>0.65642021018708596</v>
      </c>
      <c r="K14560" s="29">
        <v>0.98289565623980701</v>
      </c>
    </row>
    <row r="14561" spans="1:11" x14ac:dyDescent="0.35">
      <c r="A14561" s="9" t="str">
        <f>HYPERLINK("http://www.ensembl.org/id/WBGene00019277", "WBGene00019277")</f>
        <v>WBGene00019277</v>
      </c>
      <c r="B14561" s="9" t="str">
        <f>HYPERLINK("http://www.ncbi.nlm.nih.gov/gene/186816", "186816")</f>
        <v>186816</v>
      </c>
      <c r="C14561" s="9"/>
      <c r="D14561" t="str">
        <f>"sgcb-1"</f>
        <v>sgcb-1</v>
      </c>
      <c r="E14561" t="s">
        <v>5198</v>
      </c>
      <c r="F14561" t="s">
        <v>11</v>
      </c>
      <c r="G14561" t="s">
        <v>5199</v>
      </c>
      <c r="H14561" s="12">
        <v>1.21760323623338</v>
      </c>
      <c r="I14561" s="20">
        <v>0.71425564330255098</v>
      </c>
      <c r="J14561" s="28">
        <v>0.47506911506223898</v>
      </c>
      <c r="K14561" s="29">
        <v>0.98289565623980701</v>
      </c>
    </row>
    <row r="14562" spans="1:11" x14ac:dyDescent="0.35">
      <c r="A14562" s="9" t="str">
        <f>HYPERLINK("http://www.ensembl.org/id/WBGene00004789", "WBGene00004789")</f>
        <v>WBGene00004789</v>
      </c>
      <c r="B14562" s="9" t="str">
        <f>HYPERLINK("http://www.ncbi.nlm.nih.gov/gene/181697", "181697")</f>
        <v>181697</v>
      </c>
      <c r="C14562" s="9" t="str">
        <f>HYPERLINK("http://www.ncbi.nlm.nih.gov/gene/6446", "6446")</f>
        <v>6446</v>
      </c>
      <c r="D14562" t="str">
        <f>"sgk-1"</f>
        <v>sgk-1</v>
      </c>
      <c r="E14562" t="s">
        <v>6691</v>
      </c>
      <c r="F14562" t="s">
        <v>11</v>
      </c>
      <c r="G14562" t="s">
        <v>6692</v>
      </c>
      <c r="H14562" s="12">
        <v>-1.08485773768514</v>
      </c>
      <c r="I14562" s="20">
        <v>-0.40792969591304801</v>
      </c>
      <c r="J14562" s="28">
        <v>0.68332529034565004</v>
      </c>
      <c r="K14562" s="29">
        <v>0.98289565623980701</v>
      </c>
    </row>
    <row r="14563" spans="1:11" x14ac:dyDescent="0.35">
      <c r="A14563" s="9" t="str">
        <f>HYPERLINK("http://www.ensembl.org/id/WBGene00020354", "WBGene00020354")</f>
        <v>WBGene00020354</v>
      </c>
      <c r="B14563" s="9" t="str">
        <f>HYPERLINK("http://www.ncbi.nlm.nih.gov/gene/177260", "177260")</f>
        <v>177260</v>
      </c>
      <c r="C14563" s="9"/>
      <c r="D14563" t="str">
        <f>"sgnh-1"</f>
        <v>sgnh-1</v>
      </c>
      <c r="E14563" t="s">
        <v>4796</v>
      </c>
      <c r="F14563" t="s">
        <v>11</v>
      </c>
      <c r="G14563" t="s">
        <v>2343</v>
      </c>
      <c r="H14563" s="12">
        <v>1.36924319576911</v>
      </c>
      <c r="I14563" s="20">
        <v>0.76627358589819405</v>
      </c>
      <c r="J14563" s="28">
        <v>0.44351353164225599</v>
      </c>
      <c r="K14563" s="29">
        <v>0.98289565623980701</v>
      </c>
    </row>
    <row r="14564" spans="1:11" x14ac:dyDescent="0.35">
      <c r="A14564" s="9" t="str">
        <f>HYPERLINK("http://www.ensembl.org/id/WBGene00019893", "WBGene00019893")</f>
        <v>WBGene00019893</v>
      </c>
      <c r="B14564" s="9" t="str">
        <f>HYPERLINK("http://www.ncbi.nlm.nih.gov/gene/173846", "173846")</f>
        <v>173846</v>
      </c>
      <c r="C14564" s="9" t="str">
        <f>HYPERLINK("http://www.ncbi.nlm.nih.gov/gene/6449", "6449")</f>
        <v>6449</v>
      </c>
      <c r="D14564" t="str">
        <f>"sgt-1"</f>
        <v>sgt-1</v>
      </c>
      <c r="E14564" t="s">
        <v>7583</v>
      </c>
      <c r="F14564" t="s">
        <v>11</v>
      </c>
      <c r="G14564" t="s">
        <v>7584</v>
      </c>
      <c r="H14564" s="12">
        <v>-1.13429018306262</v>
      </c>
      <c r="I14564" s="20">
        <v>-0.69610452495785702</v>
      </c>
      <c r="J14564" s="28">
        <v>0.48636337296368298</v>
      </c>
      <c r="K14564" s="29">
        <v>0.98289565623980701</v>
      </c>
    </row>
    <row r="14565" spans="1:11" x14ac:dyDescent="0.35">
      <c r="A14565" s="9" t="str">
        <f>HYPERLINK("http://www.ensembl.org/id/WBGene00008819", "WBGene00008819")</f>
        <v>WBGene00008819</v>
      </c>
      <c r="B14565" s="9" t="str">
        <f>HYPERLINK("http://www.ncbi.nlm.nih.gov/gene/174331", "174331")</f>
        <v>174331</v>
      </c>
      <c r="C14565" s="9" t="str">
        <f>HYPERLINK("http://www.ncbi.nlm.nih.gov/gene/3747", "3747")</f>
        <v>3747</v>
      </c>
      <c r="D14565" t="str">
        <f>"shw-1"</f>
        <v>shw-1</v>
      </c>
      <c r="E14565" t="s">
        <v>5155</v>
      </c>
      <c r="F14565" t="s">
        <v>11</v>
      </c>
      <c r="G14565" t="s">
        <v>5156</v>
      </c>
      <c r="H14565" s="12">
        <v>1.2268403440173401</v>
      </c>
      <c r="I14565" s="20">
        <v>0.91101193375751899</v>
      </c>
      <c r="J14565" s="28">
        <v>0.36228908585411601</v>
      </c>
      <c r="K14565" s="29">
        <v>0.98289565623980701</v>
      </c>
    </row>
    <row r="14566" spans="1:11" x14ac:dyDescent="0.35">
      <c r="A14566" s="9" t="str">
        <f>HYPERLINK("http://www.ensembl.org/id/WBGene00004793", "WBGene00004793")</f>
        <v>WBGene00004793</v>
      </c>
      <c r="B14566" s="9" t="str">
        <f>HYPERLINK("http://www.ncbi.nlm.nih.gov/gene/191761", "191761")</f>
        <v>191761</v>
      </c>
      <c r="C14566" s="9"/>
      <c r="D14566" t="str">
        <f>"shw-3"</f>
        <v>shw-3</v>
      </c>
      <c r="E14566" t="s">
        <v>5155</v>
      </c>
      <c r="F14566" t="s">
        <v>11</v>
      </c>
      <c r="G14566" t="s">
        <v>8889</v>
      </c>
      <c r="H14566" s="12">
        <v>-1.2050347982968499</v>
      </c>
      <c r="I14566" s="20">
        <v>-0.78603633660668404</v>
      </c>
      <c r="J14566" s="28">
        <v>0.431846199595319</v>
      </c>
      <c r="K14566" s="29">
        <v>0.98289565623980701</v>
      </c>
    </row>
    <row r="14567" spans="1:11" x14ac:dyDescent="0.35">
      <c r="A14567" s="9" t="str">
        <f>HYPERLINK("http://www.ensembl.org/id/WBGene00021369", "WBGene00021369")</f>
        <v>WBGene00021369</v>
      </c>
      <c r="B14567" s="9" t="str">
        <f>HYPERLINK("http://www.ncbi.nlm.nih.gov/gene/177138", "177138")</f>
        <v>177138</v>
      </c>
      <c r="C14567" s="9" t="str">
        <f>HYPERLINK("http://www.ncbi.nlm.nih.gov/gene/6477", "6477")</f>
        <v>6477</v>
      </c>
      <c r="D14567" t="str">
        <f>"siah-1"</f>
        <v>siah-1</v>
      </c>
      <c r="E14567" t="s">
        <v>9192</v>
      </c>
      <c r="F14567" t="s">
        <v>11</v>
      </c>
      <c r="G14567" t="s">
        <v>9193</v>
      </c>
      <c r="H14567" s="12">
        <v>-1.22726509704537</v>
      </c>
      <c r="I14567" s="20">
        <v>-1.0889846139622501</v>
      </c>
      <c r="J14567" s="28">
        <v>0.27616067070280198</v>
      </c>
      <c r="K14567" s="29">
        <v>0.98289565623980701</v>
      </c>
    </row>
    <row r="14568" spans="1:11" x14ac:dyDescent="0.35">
      <c r="A14568" s="9" t="str">
        <f>HYPERLINK("http://www.ensembl.org/id/WBGene00002207", "WBGene00002207")</f>
        <v>WBGene00002207</v>
      </c>
      <c r="B14568" s="9" t="str">
        <f>HYPERLINK("http://www.ncbi.nlm.nih.gov/gene/181756", "181756")</f>
        <v>181756</v>
      </c>
      <c r="C14568" s="9"/>
      <c r="D14568" t="str">
        <f>"sid-3"</f>
        <v>sid-3</v>
      </c>
      <c r="E14568" t="s">
        <v>5817</v>
      </c>
      <c r="F14568" t="s">
        <v>11</v>
      </c>
      <c r="G14568" t="s">
        <v>5818</v>
      </c>
      <c r="H14568" s="12">
        <v>1.0968433907364801</v>
      </c>
      <c r="I14568" s="20">
        <v>0.49738067450997298</v>
      </c>
      <c r="J14568" s="28">
        <v>0.61892063097396399</v>
      </c>
      <c r="K14568" s="29">
        <v>0.98289565623980701</v>
      </c>
    </row>
    <row r="14569" spans="1:11" x14ac:dyDescent="0.35">
      <c r="A14569" s="9" t="str">
        <f>HYPERLINK("http://www.ensembl.org/id/WBGene00017445", "WBGene00017445")</f>
        <v>WBGene00017445</v>
      </c>
      <c r="B14569" s="9" t="str">
        <f>HYPERLINK("http://www.ncbi.nlm.nih.gov/gene/184450", "184450")</f>
        <v>184450</v>
      </c>
      <c r="C14569" s="9"/>
      <c r="D14569" t="str">
        <f>"sid-5"</f>
        <v>sid-5</v>
      </c>
      <c r="E14569" t="s">
        <v>8921</v>
      </c>
      <c r="F14569" t="s">
        <v>11</v>
      </c>
      <c r="G14569" t="s">
        <v>8922</v>
      </c>
      <c r="H14569" s="12">
        <v>-1.2081775403650601</v>
      </c>
      <c r="I14569" s="20">
        <v>-0.85658898083417201</v>
      </c>
      <c r="J14569" s="28">
        <v>0.39167207767109702</v>
      </c>
      <c r="K14569" s="29">
        <v>0.98289565623980701</v>
      </c>
    </row>
    <row r="14570" spans="1:11" x14ac:dyDescent="0.35">
      <c r="A14570" s="9" t="str">
        <f>HYPERLINK("http://www.ensembl.org/id/WBGene00000890", "WBGene00000890")</f>
        <v>WBGene00000890</v>
      </c>
      <c r="B14570" s="9" t="str">
        <f>HYPERLINK("http://www.ncbi.nlm.nih.gov/gene/172664", "172664")</f>
        <v>172664</v>
      </c>
      <c r="C14570" s="9" t="str">
        <f>HYPERLINK("http://www.ncbi.nlm.nih.gov/gene/85313", "85313")</f>
        <v>85313</v>
      </c>
      <c r="D14570" t="str">
        <f>"sig-7"</f>
        <v>sig-7</v>
      </c>
      <c r="E14570" t="s">
        <v>8017</v>
      </c>
      <c r="F14570" t="s">
        <v>11</v>
      </c>
      <c r="G14570" t="s">
        <v>8018</v>
      </c>
      <c r="H14570" s="12">
        <v>-1.1562530391703401</v>
      </c>
      <c r="I14570" s="20">
        <v>-0.68661807067402603</v>
      </c>
      <c r="J14570" s="28">
        <v>0.49232343794612998</v>
      </c>
      <c r="K14570" s="29">
        <v>0.98289565623980701</v>
      </c>
    </row>
    <row r="14571" spans="1:11" x14ac:dyDescent="0.35">
      <c r="A14571" s="9" t="str">
        <f>HYPERLINK("http://www.ensembl.org/id/WBGene00004117", "WBGene00004117")</f>
        <v>WBGene00004117</v>
      </c>
      <c r="B14571" s="9" t="str">
        <f>HYPERLINK("http://www.ncbi.nlm.nih.gov/gene/172628", "172628")</f>
        <v>172628</v>
      </c>
      <c r="C14571" s="9"/>
      <c r="D14571" t="str">
        <f>"sin-3"</f>
        <v>sin-3</v>
      </c>
      <c r="E14571" t="s">
        <v>8734</v>
      </c>
      <c r="F14571" t="s">
        <v>11</v>
      </c>
      <c r="G14571" t="s">
        <v>8735</v>
      </c>
      <c r="H14571" s="12">
        <v>-1.1935058370027301</v>
      </c>
      <c r="I14571" s="20">
        <v>-0.95108498885140003</v>
      </c>
      <c r="J14571" s="28">
        <v>0.341561234264319</v>
      </c>
      <c r="K14571" s="29">
        <v>0.98289565623980701</v>
      </c>
    </row>
    <row r="14572" spans="1:11" x14ac:dyDescent="0.35">
      <c r="A14572" s="9" t="str">
        <f>HYPERLINK("http://www.ensembl.org/id/WBGene00004800", "WBGene00004800")</f>
        <v>WBGene00004800</v>
      </c>
      <c r="B14572" s="9" t="str">
        <f>HYPERLINK("http://www.ncbi.nlm.nih.gov/gene/177924", "177924")</f>
        <v>177924</v>
      </c>
      <c r="C14572" s="9"/>
      <c r="D14572" t="str">
        <f>"sir-2.1"</f>
        <v>sir-2.1</v>
      </c>
      <c r="E14572" t="s">
        <v>6286</v>
      </c>
      <c r="F14572" t="s">
        <v>11</v>
      </c>
      <c r="G14572" t="s">
        <v>6287</v>
      </c>
      <c r="H14572" s="12">
        <v>-1.0599802423551301</v>
      </c>
      <c r="I14572" s="20">
        <v>-0.29563436921966402</v>
      </c>
      <c r="J14572" s="28">
        <v>0.76750932338973898</v>
      </c>
      <c r="K14572" s="29">
        <v>0.98289565623980701</v>
      </c>
    </row>
    <row r="14573" spans="1:11" x14ac:dyDescent="0.35">
      <c r="A14573" s="9" t="str">
        <f>HYPERLINK("http://www.ensembl.org/id/WBGene00004802", "WBGene00004802")</f>
        <v>WBGene00004802</v>
      </c>
      <c r="B14573" s="9" t="str">
        <f>HYPERLINK("http://www.ncbi.nlm.nih.gov/gene/185876", "185876")</f>
        <v>185876</v>
      </c>
      <c r="C14573" s="9" t="str">
        <f>HYPERLINK("http://www.ncbi.nlm.nih.gov/gene/23409", "23409")</f>
        <v>23409</v>
      </c>
      <c r="D14573" t="str">
        <f>"sir-2.3"</f>
        <v>sir-2.3</v>
      </c>
      <c r="E14573" t="s">
        <v>4724</v>
      </c>
      <c r="F14573" t="s">
        <v>11</v>
      </c>
      <c r="G14573" t="s">
        <v>4725</v>
      </c>
      <c r="H14573" s="12">
        <v>1.44774151657481</v>
      </c>
      <c r="I14573" s="20">
        <v>0.69568159964807497</v>
      </c>
      <c r="J14573" s="28">
        <v>0.48662825131190401</v>
      </c>
      <c r="K14573" s="29">
        <v>0.98289565623980701</v>
      </c>
    </row>
    <row r="14574" spans="1:11" x14ac:dyDescent="0.35">
      <c r="A14574" s="9" t="str">
        <f>HYPERLINK("http://www.ensembl.org/id/WBGene00004803", "WBGene00004803")</f>
        <v>WBGene00004803</v>
      </c>
      <c r="B14574" s="9" t="str">
        <f>HYPERLINK("http://www.ncbi.nlm.nih.gov/gene/182284", "182284")</f>
        <v>182284</v>
      </c>
      <c r="C14574" s="9"/>
      <c r="D14574" t="str">
        <f>"sir-2.4"</f>
        <v>sir-2.4</v>
      </c>
      <c r="E14574" t="s">
        <v>8774</v>
      </c>
      <c r="F14574" t="s">
        <v>11</v>
      </c>
      <c r="G14574" t="s">
        <v>8775</v>
      </c>
      <c r="H14574" s="12">
        <v>-1.1955545548334501</v>
      </c>
      <c r="I14574" s="20">
        <v>-0.75799422174426601</v>
      </c>
      <c r="J14574" s="28">
        <v>0.44845444191002898</v>
      </c>
      <c r="K14574" s="29">
        <v>0.98289565623980701</v>
      </c>
    </row>
    <row r="14575" spans="1:11" x14ac:dyDescent="0.35">
      <c r="A14575" s="9" t="str">
        <f>HYPERLINK("http://www.ensembl.org/id/WBGene00010307", "WBGene00010307")</f>
        <v>WBGene00010307</v>
      </c>
      <c r="B14575" s="9" t="str">
        <f>HYPERLINK("http://www.ncbi.nlm.nih.gov/gene/176271", "176271")</f>
        <v>176271</v>
      </c>
      <c r="C14575" s="9"/>
      <c r="D14575" t="str">
        <f>"skat-1"</f>
        <v>skat-1</v>
      </c>
      <c r="E14575" t="s">
        <v>8652</v>
      </c>
      <c r="F14575" t="s">
        <v>11</v>
      </c>
      <c r="G14575" t="s">
        <v>8653</v>
      </c>
      <c r="H14575" s="12">
        <v>-1.1888109385829699</v>
      </c>
      <c r="I14575" s="20">
        <v>-0.89611850860919795</v>
      </c>
      <c r="J14575" s="28">
        <v>0.37018947286196402</v>
      </c>
      <c r="K14575" s="29">
        <v>0.98289565623980701</v>
      </c>
    </row>
    <row r="14576" spans="1:11" x14ac:dyDescent="0.35">
      <c r="A14576" s="9" t="str">
        <f>HYPERLINK("http://www.ensembl.org/id/WBGene00004804", "WBGene00004804")</f>
        <v>WBGene00004804</v>
      </c>
      <c r="B14576" s="9" t="str">
        <f>HYPERLINK("http://www.ncbi.nlm.nih.gov/gene/177343", "177343")</f>
        <v>177343</v>
      </c>
      <c r="C14576" s="9"/>
      <c r="D14576" t="str">
        <f>"skn-1"</f>
        <v>skn-1</v>
      </c>
      <c r="F14576" t="s">
        <v>11</v>
      </c>
      <c r="G14576" t="s">
        <v>7679</v>
      </c>
      <c r="H14576" s="12">
        <v>-1.13902536506495</v>
      </c>
      <c r="I14576" s="20">
        <v>-0.72394823434793798</v>
      </c>
      <c r="J14576" s="28">
        <v>0.46909751599618799</v>
      </c>
      <c r="K14576" s="29">
        <v>0.98289565623980701</v>
      </c>
    </row>
    <row r="14577" spans="1:11" x14ac:dyDescent="0.35">
      <c r="A14577" s="9" t="str">
        <f>HYPERLINK("http://www.ensembl.org/id/WBGene00020961", "WBGene00020961")</f>
        <v>WBGene00020961</v>
      </c>
      <c r="B14577" s="9" t="str">
        <f>HYPERLINK("http://www.ncbi.nlm.nih.gov/gene/189139", "189139")</f>
        <v>189139</v>
      </c>
      <c r="C14577" s="9"/>
      <c r="D14577" t="str">
        <f>"sknr-1"</f>
        <v>sknr-1</v>
      </c>
      <c r="E14577" t="s">
        <v>4358</v>
      </c>
      <c r="F14577" t="s">
        <v>11</v>
      </c>
      <c r="G14577" t="s">
        <v>4359</v>
      </c>
      <c r="H14577" s="12">
        <v>2.7057216902322301</v>
      </c>
      <c r="I14577" s="20">
        <v>0.71764300349490895</v>
      </c>
      <c r="J14577" s="28">
        <v>0.472977434977773</v>
      </c>
      <c r="K14577" s="29">
        <v>0.98289565623980701</v>
      </c>
    </row>
    <row r="14578" spans="1:11" x14ac:dyDescent="0.35">
      <c r="A14578" s="9" t="str">
        <f>HYPERLINK("http://www.ensembl.org/id/WBGene00004806", "WBGene00004806")</f>
        <v>WBGene00004806</v>
      </c>
      <c r="B14578" s="9" t="str">
        <f>HYPERLINK("http://www.ncbi.nlm.nih.gov/gene/179598", "179598")</f>
        <v>179598</v>
      </c>
      <c r="C14578" s="9" t="str">
        <f>HYPERLINK("http://www.ncbi.nlm.nih.gov/gene/22938", "22938")</f>
        <v>22938</v>
      </c>
      <c r="D14578" t="str">
        <f>"skp-1"</f>
        <v>skp-1</v>
      </c>
      <c r="E14578" t="s">
        <v>6416</v>
      </c>
      <c r="F14578" t="s">
        <v>11</v>
      </c>
      <c r="G14578" t="s">
        <v>6417</v>
      </c>
      <c r="H14578" s="12">
        <v>-1.06839748326307</v>
      </c>
      <c r="I14578" s="20">
        <v>-0.33214496749014299</v>
      </c>
      <c r="J14578" s="28">
        <v>0.73977979649952597</v>
      </c>
      <c r="K14578" s="29">
        <v>0.98289565623980701</v>
      </c>
    </row>
    <row r="14579" spans="1:11" x14ac:dyDescent="0.35">
      <c r="A14579" s="9" t="str">
        <f>HYPERLINK("http://www.ensembl.org/id/WBGene00015841", "WBGene00015841")</f>
        <v>WBGene00015841</v>
      </c>
      <c r="B14579" s="9" t="str">
        <f>HYPERLINK("http://www.ncbi.nlm.nih.gov/gene/173686", "173686")</f>
        <v>173686</v>
      </c>
      <c r="C14579" s="9"/>
      <c r="D14579" t="str">
        <f>"skpo-2"</f>
        <v>skpo-2</v>
      </c>
      <c r="E14579" t="s">
        <v>397</v>
      </c>
      <c r="F14579" t="s">
        <v>11</v>
      </c>
      <c r="G14579" t="s">
        <v>9719</v>
      </c>
      <c r="H14579" s="12">
        <v>-1.28600305263797</v>
      </c>
      <c r="I14579" s="20">
        <v>-0.54935905441596999</v>
      </c>
      <c r="J14579" s="28">
        <v>0.58275906774143504</v>
      </c>
      <c r="K14579" s="29">
        <v>0.98289565623980701</v>
      </c>
    </row>
    <row r="14580" spans="1:11" x14ac:dyDescent="0.35">
      <c r="A14580" s="9" t="str">
        <f>HYPERLINK("http://www.ensembl.org/id/WBGene00004816", "WBGene00004816")</f>
        <v>WBGene00004816</v>
      </c>
      <c r="B14580" s="9" t="str">
        <f>HYPERLINK("http://www.ncbi.nlm.nih.gov/gene/178447", "178447")</f>
        <v>178447</v>
      </c>
      <c r="C14580" s="9"/>
      <c r="D14580" t="str">
        <f>"skr-10"</f>
        <v>skr-10</v>
      </c>
      <c r="E14580" t="s">
        <v>9908</v>
      </c>
      <c r="F14580" t="s">
        <v>11</v>
      </c>
      <c r="G14580" t="s">
        <v>9909</v>
      </c>
      <c r="H14580" s="12">
        <v>-1.3664550278896599</v>
      </c>
      <c r="I14580" s="20">
        <v>-0.34649675101018101</v>
      </c>
      <c r="J14580" s="28">
        <v>0.72896942548889099</v>
      </c>
      <c r="K14580" s="29">
        <v>0.98289565623980701</v>
      </c>
    </row>
    <row r="14581" spans="1:11" x14ac:dyDescent="0.35">
      <c r="A14581" s="9" t="str">
        <f>HYPERLINK("http://www.ensembl.org/id/WBGene00004817", "WBGene00004817")</f>
        <v>WBGene00004817</v>
      </c>
      <c r="B14581" s="9"/>
      <c r="C14581" s="9"/>
      <c r="D14581" t="str">
        <f>"skr-11"</f>
        <v>skr-11</v>
      </c>
      <c r="F14581" t="s">
        <v>80</v>
      </c>
      <c r="H14581" s="12">
        <v>-1.6999576886101699</v>
      </c>
      <c r="I14581" s="20">
        <v>-0.67490560846373304</v>
      </c>
      <c r="J14581" s="28">
        <v>0.49973573704115798</v>
      </c>
      <c r="K14581" s="29">
        <v>0.98289565623980701</v>
      </c>
    </row>
    <row r="14582" spans="1:11" x14ac:dyDescent="0.35">
      <c r="A14582" s="9" t="str">
        <f>HYPERLINK("http://www.ensembl.org/id/WBGene00004818", "WBGene00004818")</f>
        <v>WBGene00004818</v>
      </c>
      <c r="B14582" s="9" t="str">
        <f>HYPERLINK("http://www.ncbi.nlm.nih.gov/gene/178496", "178496")</f>
        <v>178496</v>
      </c>
      <c r="C14582" s="9"/>
      <c r="D14582" t="str">
        <f>"skr-12"</f>
        <v>skr-12</v>
      </c>
      <c r="E14582" t="s">
        <v>9720</v>
      </c>
      <c r="F14582" t="s">
        <v>11</v>
      </c>
      <c r="G14582" t="s">
        <v>571</v>
      </c>
      <c r="H14582" s="12">
        <v>-1.2862472838124499</v>
      </c>
      <c r="I14582" s="20">
        <v>-0.60839363955637105</v>
      </c>
      <c r="J14582" s="28">
        <v>0.54292642894482801</v>
      </c>
      <c r="K14582" s="29">
        <v>0.98289565623980701</v>
      </c>
    </row>
    <row r="14583" spans="1:11" x14ac:dyDescent="0.35">
      <c r="A14583" s="9" t="str">
        <f>HYPERLINK("http://www.ensembl.org/id/WBGene00004819", "WBGene00004819")</f>
        <v>WBGene00004819</v>
      </c>
      <c r="B14583" s="9" t="str">
        <f>HYPERLINK("http://www.ncbi.nlm.nih.gov/gene/178493", "178493")</f>
        <v>178493</v>
      </c>
      <c r="C14583" s="9"/>
      <c r="D14583" t="str">
        <f>"skr-13"</f>
        <v>skr-13</v>
      </c>
      <c r="E14583" t="s">
        <v>9795</v>
      </c>
      <c r="F14583" t="s">
        <v>11</v>
      </c>
      <c r="G14583" t="s">
        <v>571</v>
      </c>
      <c r="H14583" s="12">
        <v>-1.30428917726644</v>
      </c>
      <c r="I14583" s="20">
        <v>-0.68475584973582904</v>
      </c>
      <c r="J14583" s="28">
        <v>0.49349799969143898</v>
      </c>
      <c r="K14583" s="29">
        <v>0.98289565623980701</v>
      </c>
    </row>
    <row r="14584" spans="1:11" x14ac:dyDescent="0.35">
      <c r="A14584" s="9" t="str">
        <f>HYPERLINK("http://www.ensembl.org/id/WBGene00004820", "WBGene00004820")</f>
        <v>WBGene00004820</v>
      </c>
      <c r="B14584" s="9" t="str">
        <f>HYPERLINK("http://www.ncbi.nlm.nih.gov/gene/178839", "178839")</f>
        <v>178839</v>
      </c>
      <c r="C14584" s="9"/>
      <c r="D14584" t="str">
        <f>"skr-14"</f>
        <v>skr-14</v>
      </c>
      <c r="E14584" t="s">
        <v>1041</v>
      </c>
      <c r="F14584" t="s">
        <v>11</v>
      </c>
      <c r="G14584" t="s">
        <v>571</v>
      </c>
      <c r="H14584" s="12">
        <v>-1.16883130828324</v>
      </c>
      <c r="I14584" s="20">
        <v>-0.47713059083714299</v>
      </c>
      <c r="J14584" s="28">
        <v>0.63326913255950801</v>
      </c>
      <c r="K14584" s="29">
        <v>0.98289565623980701</v>
      </c>
    </row>
    <row r="14585" spans="1:11" x14ac:dyDescent="0.35">
      <c r="A14585" s="9" t="str">
        <f>HYPERLINK("http://www.ensembl.org/id/WBGene00004821", "WBGene00004821")</f>
        <v>WBGene00004821</v>
      </c>
      <c r="B14585" s="9" t="str">
        <f>HYPERLINK("http://www.ncbi.nlm.nih.gov/gene/173729", "173729")</f>
        <v>173729</v>
      </c>
      <c r="C14585" s="9"/>
      <c r="D14585" t="str">
        <f>"skr-15"</f>
        <v>skr-15</v>
      </c>
      <c r="E14585" t="s">
        <v>7837</v>
      </c>
      <c r="F14585" t="s">
        <v>11</v>
      </c>
      <c r="G14585" t="s">
        <v>571</v>
      </c>
      <c r="H14585" s="12">
        <v>-1.1475405452841501</v>
      </c>
      <c r="I14585" s="20">
        <v>-0.40125940965194501</v>
      </c>
      <c r="J14585" s="28">
        <v>0.688229144693976</v>
      </c>
      <c r="K14585" s="29">
        <v>0.98289565623980701</v>
      </c>
    </row>
    <row r="14586" spans="1:11" x14ac:dyDescent="0.35">
      <c r="A14586" s="9" t="str">
        <f>HYPERLINK("http://www.ensembl.org/id/WBGene00004822", "WBGene00004822")</f>
        <v>WBGene00004822</v>
      </c>
      <c r="B14586" s="9" t="str">
        <f>HYPERLINK("http://www.ncbi.nlm.nih.gov/gene/191765", "191765")</f>
        <v>191765</v>
      </c>
      <c r="C14586" s="9"/>
      <c r="D14586" t="str">
        <f>"skr-16"</f>
        <v>skr-16</v>
      </c>
      <c r="E14586" t="s">
        <v>1041</v>
      </c>
      <c r="F14586" t="s">
        <v>11</v>
      </c>
      <c r="G14586" t="s">
        <v>571</v>
      </c>
      <c r="H14586" s="12">
        <v>-1.0940264736440799</v>
      </c>
      <c r="I14586" s="20">
        <v>-0.41492652290099102</v>
      </c>
      <c r="J14586" s="28">
        <v>0.678195692994365</v>
      </c>
      <c r="K14586" s="29">
        <v>0.98289565623980701</v>
      </c>
    </row>
    <row r="14587" spans="1:11" x14ac:dyDescent="0.35">
      <c r="A14587" s="9" t="str">
        <f>HYPERLINK("http://www.ensembl.org/id/WBGene00018935", "WBGene00018935")</f>
        <v>WBGene00018935</v>
      </c>
      <c r="B14587" s="9" t="str">
        <f>HYPERLINK("http://www.ncbi.nlm.nih.gov/gene/260116", "260116")</f>
        <v>260116</v>
      </c>
      <c r="C14587" s="9"/>
      <c r="D14587" t="str">
        <f>"skr-18"</f>
        <v>skr-18</v>
      </c>
      <c r="E14587" t="s">
        <v>1041</v>
      </c>
      <c r="F14587" t="s">
        <v>11</v>
      </c>
      <c r="G14587" t="s">
        <v>571</v>
      </c>
      <c r="H14587" s="12">
        <v>-1.26336004115763</v>
      </c>
      <c r="I14587" s="20">
        <v>-1.1267041653258001</v>
      </c>
      <c r="J14587" s="28">
        <v>0.25986758075810201</v>
      </c>
      <c r="K14587" s="29">
        <v>0.98289565623980701</v>
      </c>
    </row>
    <row r="14588" spans="1:11" x14ac:dyDescent="0.35">
      <c r="A14588" s="9" t="str">
        <f>HYPERLINK("http://www.ensembl.org/id/WBGene00004825", "WBGene00004825")</f>
        <v>WBGene00004825</v>
      </c>
      <c r="B14588" s="9" t="str">
        <f>HYPERLINK("http://www.ncbi.nlm.nih.gov/gene/181446", "181446")</f>
        <v>181446</v>
      </c>
      <c r="C14588" s="9"/>
      <c r="D14588" t="str">
        <f>"skr-19"</f>
        <v>skr-19</v>
      </c>
      <c r="E14588" t="s">
        <v>8654</v>
      </c>
      <c r="F14588" t="s">
        <v>11</v>
      </c>
      <c r="G14588" t="s">
        <v>571</v>
      </c>
      <c r="H14588" s="12">
        <v>-1.1888113868771599</v>
      </c>
      <c r="I14588" s="20">
        <v>-0.92398457445688498</v>
      </c>
      <c r="J14588" s="28">
        <v>0.35549434714760197</v>
      </c>
      <c r="K14588" s="29">
        <v>0.98289565623980701</v>
      </c>
    </row>
    <row r="14589" spans="1:11" x14ac:dyDescent="0.35">
      <c r="A14589" s="9" t="str">
        <f>HYPERLINK("http://www.ensembl.org/id/WBGene00004827", "WBGene00004827")</f>
        <v>WBGene00004827</v>
      </c>
      <c r="B14589" s="9" t="str">
        <f>HYPERLINK("http://www.ncbi.nlm.nih.gov/gene/181447", "181447")</f>
        <v>181447</v>
      </c>
      <c r="C14589" s="9"/>
      <c r="D14589" t="str">
        <f>"skr-21"</f>
        <v>skr-21</v>
      </c>
      <c r="E14589" t="s">
        <v>1041</v>
      </c>
      <c r="F14589" t="s">
        <v>11</v>
      </c>
      <c r="G14589" t="s">
        <v>4968</v>
      </c>
      <c r="H14589" s="12">
        <v>1.2749346320039401</v>
      </c>
      <c r="I14589" s="20">
        <v>0.98321066954061898</v>
      </c>
      <c r="J14589" s="28">
        <v>0.32550376465791298</v>
      </c>
      <c r="K14589" s="29">
        <v>0.98289565623980701</v>
      </c>
    </row>
    <row r="14590" spans="1:11" x14ac:dyDescent="0.35">
      <c r="A14590" s="9" t="str">
        <f>HYPERLINK("http://www.ensembl.org/id/WBGene00004809", "WBGene00004809")</f>
        <v>WBGene00004809</v>
      </c>
      <c r="B14590" s="9" t="str">
        <f>HYPERLINK("http://www.ncbi.nlm.nih.gov/gene/180081", "180081")</f>
        <v>180081</v>
      </c>
      <c r="C14590" s="9"/>
      <c r="D14590" t="str">
        <f>"skr-3"</f>
        <v>skr-3</v>
      </c>
      <c r="E14590" t="s">
        <v>5516</v>
      </c>
      <c r="F14590" t="s">
        <v>11</v>
      </c>
      <c r="G14590" t="s">
        <v>5517</v>
      </c>
      <c r="H14590" s="12">
        <v>1.1519920778624699</v>
      </c>
      <c r="I14590" s="20">
        <v>0.73579630006707397</v>
      </c>
      <c r="J14590" s="28">
        <v>0.46185467324324597</v>
      </c>
      <c r="K14590" s="29">
        <v>0.98289565623980701</v>
      </c>
    </row>
    <row r="14591" spans="1:11" x14ac:dyDescent="0.35">
      <c r="A14591" s="9" t="str">
        <f>HYPERLINK("http://www.ensembl.org/id/WBGene00004814", "WBGene00004814")</f>
        <v>WBGene00004814</v>
      </c>
      <c r="B14591" s="9" t="str">
        <f>HYPERLINK("http://www.ncbi.nlm.nih.gov/gene/178495", "178495")</f>
        <v>178495</v>
      </c>
      <c r="C14591" s="9"/>
      <c r="D14591" t="str">
        <f>"skr-8"</f>
        <v>skr-8</v>
      </c>
      <c r="E14591" t="s">
        <v>9775</v>
      </c>
      <c r="F14591" t="s">
        <v>11</v>
      </c>
      <c r="G14591" t="s">
        <v>571</v>
      </c>
      <c r="H14591" s="12">
        <v>-1.2996844295651</v>
      </c>
      <c r="I14591" s="20">
        <v>-0.74024146119481504</v>
      </c>
      <c r="J14591" s="28">
        <v>0.459153493941933</v>
      </c>
      <c r="K14591" s="29">
        <v>0.98289565623980701</v>
      </c>
    </row>
    <row r="14592" spans="1:11" x14ac:dyDescent="0.35">
      <c r="A14592" s="9" t="str">
        <f>HYPERLINK("http://www.ensembl.org/id/WBGene00004815", "WBGene00004815")</f>
        <v>WBGene00004815</v>
      </c>
      <c r="B14592" s="9" t="str">
        <f>HYPERLINK("http://www.ncbi.nlm.nih.gov/gene/178494", "178494")</f>
        <v>178494</v>
      </c>
      <c r="C14592" s="9"/>
      <c r="D14592" t="str">
        <f>"skr-9"</f>
        <v>skr-9</v>
      </c>
      <c r="E14592" t="s">
        <v>9988</v>
      </c>
      <c r="F14592" t="s">
        <v>11</v>
      </c>
      <c r="G14592" t="s">
        <v>571</v>
      </c>
      <c r="H14592" s="12">
        <v>-1.5828949664604799</v>
      </c>
      <c r="I14592" s="20">
        <v>-0.47314507525346799</v>
      </c>
      <c r="J14592" s="28">
        <v>0.63610968012886304</v>
      </c>
      <c r="K14592" s="29">
        <v>0.98289565623980701</v>
      </c>
    </row>
    <row r="14593" spans="1:11" x14ac:dyDescent="0.35">
      <c r="A14593" s="9" t="str">
        <f>HYPERLINK("http://www.ensembl.org/id/WBGene00022647", "WBGene00022647")</f>
        <v>WBGene00022647</v>
      </c>
      <c r="B14593" s="9" t="str">
        <f>HYPERLINK("http://www.ncbi.nlm.nih.gov/gene/181777", "181777")</f>
        <v>181777</v>
      </c>
      <c r="C14593" s="9"/>
      <c r="D14593" t="str">
        <f>"slc-17.1"</f>
        <v>slc-17.1</v>
      </c>
      <c r="E14593" t="s">
        <v>584</v>
      </c>
      <c r="F14593" t="s">
        <v>11</v>
      </c>
      <c r="G14593" t="s">
        <v>5167</v>
      </c>
      <c r="H14593" s="12">
        <v>1.22433286812621</v>
      </c>
      <c r="I14593" s="20">
        <v>0.97470588723100504</v>
      </c>
      <c r="J14593" s="28">
        <v>0.32970617182607298</v>
      </c>
      <c r="K14593" s="29">
        <v>0.98289565623980701</v>
      </c>
    </row>
    <row r="14594" spans="1:11" x14ac:dyDescent="0.35">
      <c r="A14594" s="9" t="str">
        <f>HYPERLINK("http://www.ensembl.org/id/WBGene00008000", "WBGene00008000")</f>
        <v>WBGene00008000</v>
      </c>
      <c r="B14594" s="9" t="str">
        <f>HYPERLINK("http://www.ncbi.nlm.nih.gov/gene/176317", "176317")</f>
        <v>176317</v>
      </c>
      <c r="C14594" s="9" t="str">
        <f>HYPERLINK("http://www.ncbi.nlm.nih.gov/gene/26503", "26503")</f>
        <v>26503</v>
      </c>
      <c r="D14594" t="str">
        <f>"slc-17.2"</f>
        <v>slc-17.2</v>
      </c>
      <c r="E14594" t="s">
        <v>8754</v>
      </c>
      <c r="F14594" t="s">
        <v>11</v>
      </c>
      <c r="G14594" t="s">
        <v>8755</v>
      </c>
      <c r="H14594" s="12">
        <v>-1.1944653332784001</v>
      </c>
      <c r="I14594" s="20">
        <v>-0.93993569257968401</v>
      </c>
      <c r="J14594" s="28">
        <v>0.34725054768889102</v>
      </c>
      <c r="K14594" s="29">
        <v>0.98289565623980701</v>
      </c>
    </row>
    <row r="14595" spans="1:11" x14ac:dyDescent="0.35">
      <c r="A14595" s="9" t="str">
        <f>HYPERLINK("http://www.ensembl.org/id/WBGene00012130", "WBGene00012130")</f>
        <v>WBGene00012130</v>
      </c>
      <c r="B14595" s="9" t="str">
        <f>HYPERLINK("http://www.ncbi.nlm.nih.gov/gene/189054", "189054")</f>
        <v>189054</v>
      </c>
      <c r="C14595" s="9"/>
      <c r="D14595" t="str">
        <f>"slc-17.4"</f>
        <v>slc-17.4</v>
      </c>
      <c r="E14595" t="s">
        <v>584</v>
      </c>
      <c r="F14595" t="s">
        <v>11</v>
      </c>
      <c r="G14595" t="s">
        <v>230</v>
      </c>
      <c r="H14595" s="12">
        <v>-1.10198623726221</v>
      </c>
      <c r="I14595" s="20">
        <v>-0.42949384123822698</v>
      </c>
      <c r="J14595" s="28">
        <v>0.667563874897664</v>
      </c>
      <c r="K14595" s="29">
        <v>0.98289565623980701</v>
      </c>
    </row>
    <row r="14596" spans="1:11" x14ac:dyDescent="0.35">
      <c r="A14596" s="9" t="str">
        <f>HYPERLINK("http://www.ensembl.org/id/WBGene00022788", "WBGene00022788")</f>
        <v>WBGene00022788</v>
      </c>
      <c r="B14596" s="9" t="str">
        <f>HYPERLINK("http://www.ncbi.nlm.nih.gov/gene/179308", "179308")</f>
        <v>179308</v>
      </c>
      <c r="C14596" s="9"/>
      <c r="D14596" t="str">
        <f>"slc-17.7"</f>
        <v>slc-17.7</v>
      </c>
      <c r="E14596" t="s">
        <v>584</v>
      </c>
      <c r="F14596" t="s">
        <v>11</v>
      </c>
      <c r="G14596" t="s">
        <v>230</v>
      </c>
      <c r="H14596" s="12">
        <v>1.12668402194561</v>
      </c>
      <c r="I14596" s="20">
        <v>0.62506078458625602</v>
      </c>
      <c r="J14596" s="28">
        <v>0.53193116459781797</v>
      </c>
      <c r="K14596" s="29">
        <v>0.98289565623980701</v>
      </c>
    </row>
    <row r="14597" spans="1:11" x14ac:dyDescent="0.35">
      <c r="A14597" s="9" t="str">
        <f>HYPERLINK("http://www.ensembl.org/id/WBGene00017798", "WBGene00017798")</f>
        <v>WBGene00017798</v>
      </c>
      <c r="B14597" s="9" t="str">
        <f>HYPERLINK("http://www.ncbi.nlm.nih.gov/gene/179234", "179234")</f>
        <v>179234</v>
      </c>
      <c r="C14597" s="9"/>
      <c r="D14597" t="str">
        <f>"slc-17.8"</f>
        <v>slc-17.8</v>
      </c>
      <c r="E14597" t="s">
        <v>584</v>
      </c>
      <c r="F14597" t="s">
        <v>11</v>
      </c>
      <c r="G14597" t="s">
        <v>2873</v>
      </c>
      <c r="H14597" s="12">
        <v>1.2176910640393901</v>
      </c>
      <c r="I14597" s="20">
        <v>0.30034828213348502</v>
      </c>
      <c r="J14597" s="28">
        <v>0.76391150838162802</v>
      </c>
      <c r="K14597" s="29">
        <v>0.98289565623980701</v>
      </c>
    </row>
    <row r="14598" spans="1:11" x14ac:dyDescent="0.35">
      <c r="A14598" s="9" t="str">
        <f>HYPERLINK("http://www.ensembl.org/id/WBGene00019656", "WBGene00019656")</f>
        <v>WBGene00019656</v>
      </c>
      <c r="B14598" s="9" t="str">
        <f>HYPERLINK("http://www.ncbi.nlm.nih.gov/gene/180940", "180940")</f>
        <v>180940</v>
      </c>
      <c r="C14598" s="9"/>
      <c r="D14598" t="str">
        <f>"slc-25A10"</f>
        <v>slc-25A10</v>
      </c>
      <c r="E14598" t="s">
        <v>9543</v>
      </c>
      <c r="F14598" t="s">
        <v>11</v>
      </c>
      <c r="G14598" t="s">
        <v>9544</v>
      </c>
      <c r="H14598" s="12">
        <v>-1.2567129244840001</v>
      </c>
      <c r="I14598" s="20">
        <v>-1.15967009908694</v>
      </c>
      <c r="J14598" s="28">
        <v>0.24618314857777801</v>
      </c>
      <c r="K14598" s="29">
        <v>0.98289565623980701</v>
      </c>
    </row>
    <row r="14599" spans="1:11" x14ac:dyDescent="0.35">
      <c r="A14599" s="9" t="str">
        <f>HYPERLINK("http://www.ensembl.org/id/WBGene00018901", "WBGene00018901")</f>
        <v>WBGene00018901</v>
      </c>
      <c r="B14599" s="9" t="str">
        <f>HYPERLINK("http://www.ncbi.nlm.nih.gov/gene/177518", "177518")</f>
        <v>177518</v>
      </c>
      <c r="C14599" s="9" t="str">
        <f>HYPERLINK("http://www.ncbi.nlm.nih.gov/gene/79751", "79751")</f>
        <v>79751</v>
      </c>
      <c r="D14599" t="str">
        <f>"slc-25A18.2"</f>
        <v>slc-25A18.2</v>
      </c>
      <c r="E14599" t="s">
        <v>584</v>
      </c>
      <c r="F14599" t="s">
        <v>11</v>
      </c>
      <c r="G14599" t="s">
        <v>9891</v>
      </c>
      <c r="H14599" s="12">
        <v>-1.35238325795876</v>
      </c>
      <c r="I14599" s="20">
        <v>-0.61715851702228397</v>
      </c>
      <c r="J14599" s="28">
        <v>0.53713017448810096</v>
      </c>
      <c r="K14599" s="29">
        <v>0.98289565623980701</v>
      </c>
    </row>
    <row r="14600" spans="1:11" x14ac:dyDescent="0.35">
      <c r="A14600" s="9" t="str">
        <f>HYPERLINK("http://www.ensembl.org/id/WBGene00008364", "WBGene00008364")</f>
        <v>WBGene00008364</v>
      </c>
      <c r="B14600" s="9" t="str">
        <f>HYPERLINK("http://www.ncbi.nlm.nih.gov/gene/177711", "177711")</f>
        <v>177711</v>
      </c>
      <c r="C14600" s="9" t="str">
        <f>HYPERLINK("http://www.ncbi.nlm.nih.gov/gene/115286", "115286")</f>
        <v>115286</v>
      </c>
      <c r="D14600" t="str">
        <f>"slc-25A26"</f>
        <v>slc-25A26</v>
      </c>
      <c r="E14600" t="s">
        <v>584</v>
      </c>
      <c r="F14600" t="s">
        <v>11</v>
      </c>
      <c r="G14600" t="s">
        <v>9767</v>
      </c>
      <c r="H14600" s="12">
        <v>-1.2984560078584499</v>
      </c>
      <c r="I14600" s="20">
        <v>-1.06554941056014</v>
      </c>
      <c r="J14600" s="28">
        <v>0.28662737838340102</v>
      </c>
      <c r="K14600" s="29">
        <v>0.98289565623980701</v>
      </c>
    </row>
    <row r="14601" spans="1:11" x14ac:dyDescent="0.35">
      <c r="A14601" s="9" t="str">
        <f>HYPERLINK("http://www.ensembl.org/id/WBGene00008320", "WBGene00008320")</f>
        <v>WBGene00008320</v>
      </c>
      <c r="B14601" s="9" t="str">
        <f>HYPERLINK("http://www.ncbi.nlm.nih.gov/gene/179969", "179969")</f>
        <v>179969</v>
      </c>
      <c r="C14601" s="9" t="str">
        <f>HYPERLINK("http://www.ncbi.nlm.nih.gov/gene/123096", "123096")</f>
        <v>123096</v>
      </c>
      <c r="D14601" t="str">
        <f>"slc-25A29"</f>
        <v>slc-25A29</v>
      </c>
      <c r="E14601" t="s">
        <v>584</v>
      </c>
      <c r="F14601" t="s">
        <v>11</v>
      </c>
      <c r="G14601" t="s">
        <v>5284</v>
      </c>
      <c r="H14601" s="12">
        <v>1.1756000921340199</v>
      </c>
      <c r="I14601" s="20">
        <v>0.42556902795179802</v>
      </c>
      <c r="J14601" s="28">
        <v>0.67042191279301799</v>
      </c>
      <c r="K14601" s="29">
        <v>0.98289565623980701</v>
      </c>
    </row>
    <row r="14602" spans="1:11" x14ac:dyDescent="0.35">
      <c r="A14602" s="9" t="str">
        <f>HYPERLINK("http://www.ensembl.org/id/WBGene00017867", "WBGene00017867")</f>
        <v>WBGene00017867</v>
      </c>
      <c r="B14602" s="9" t="str">
        <f>HYPERLINK("http://www.ncbi.nlm.nih.gov/gene/178770", "178770")</f>
        <v>178770</v>
      </c>
      <c r="C14602" s="9" t="str">
        <f>HYPERLINK("http://www.ncbi.nlm.nih.gov/gene/64078", "64078")</f>
        <v>64078</v>
      </c>
      <c r="D14602" t="str">
        <f>"slc-28.1"</f>
        <v>slc-28.1</v>
      </c>
      <c r="E14602" t="s">
        <v>5466</v>
      </c>
      <c r="F14602" t="s">
        <v>11</v>
      </c>
      <c r="G14602" t="s">
        <v>5467</v>
      </c>
      <c r="H14602" s="12">
        <v>1.1608687311705901</v>
      </c>
      <c r="I14602" s="20">
        <v>0.63032558620517098</v>
      </c>
      <c r="J14602" s="28">
        <v>0.52848158611173301</v>
      </c>
      <c r="K14602" s="29">
        <v>0.98289565623980701</v>
      </c>
    </row>
    <row r="14603" spans="1:11" x14ac:dyDescent="0.35">
      <c r="A14603" s="9" t="str">
        <f>HYPERLINK("http://www.ensembl.org/id/WBGene00017868", "WBGene00017868")</f>
        <v>WBGene00017868</v>
      </c>
      <c r="B14603" s="9" t="str">
        <f>HYPERLINK("http://www.ncbi.nlm.nih.gov/gene/178769", "178769")</f>
        <v>178769</v>
      </c>
      <c r="C14603" s="9" t="str">
        <f>HYPERLINK("http://www.ncbi.nlm.nih.gov/gene/64078", "64078")</f>
        <v>64078</v>
      </c>
      <c r="D14603" t="str">
        <f>"slc-28.2"</f>
        <v>slc-28.2</v>
      </c>
      <c r="E14603" t="s">
        <v>5466</v>
      </c>
      <c r="F14603" t="s">
        <v>11</v>
      </c>
      <c r="G14603" t="s">
        <v>5467</v>
      </c>
      <c r="H14603" s="12">
        <v>1.13814843161378</v>
      </c>
      <c r="I14603" s="20">
        <v>0.50490760645759203</v>
      </c>
      <c r="J14603" s="28">
        <v>0.61362373136612003</v>
      </c>
      <c r="K14603" s="29">
        <v>0.98289565623980701</v>
      </c>
    </row>
    <row r="14604" spans="1:11" x14ac:dyDescent="0.35">
      <c r="A14604" s="9" t="str">
        <f>HYPERLINK("http://www.ensembl.org/id/WBGene00012629", "WBGene00012629")</f>
        <v>WBGene00012629</v>
      </c>
      <c r="B14604" s="9" t="str">
        <f>HYPERLINK("http://www.ncbi.nlm.nih.gov/gene/189698", "189698")</f>
        <v>189698</v>
      </c>
      <c r="C14604" s="9"/>
      <c r="D14604" t="str">
        <f>"slc-36.3"</f>
        <v>slc-36.3</v>
      </c>
      <c r="E14604" t="s">
        <v>584</v>
      </c>
      <c r="F14604" t="s">
        <v>11</v>
      </c>
      <c r="G14604" t="s">
        <v>2245</v>
      </c>
      <c r="H14604" s="12">
        <v>-1.3362700181759899</v>
      </c>
      <c r="I14604" s="20">
        <v>-0.680958666922586</v>
      </c>
      <c r="J14604" s="28">
        <v>0.49589764451433199</v>
      </c>
      <c r="K14604" s="29">
        <v>0.98289565623980701</v>
      </c>
    </row>
    <row r="14605" spans="1:11" x14ac:dyDescent="0.35">
      <c r="A14605" s="9" t="str">
        <f>HYPERLINK("http://www.ensembl.org/id/WBGene00010340", "WBGene00010340")</f>
        <v>WBGene00010340</v>
      </c>
      <c r="B14605" s="9" t="str">
        <f>HYPERLINK("http://www.ncbi.nlm.nih.gov/gene/186633", "186633")</f>
        <v>186633</v>
      </c>
      <c r="C14605" s="9"/>
      <c r="D14605" t="str">
        <f>"slcf-1"</f>
        <v>slcf-1</v>
      </c>
      <c r="E14605" t="s">
        <v>5058</v>
      </c>
      <c r="F14605" t="s">
        <v>11</v>
      </c>
      <c r="G14605" t="s">
        <v>5059</v>
      </c>
      <c r="H14605" s="12">
        <v>1.24946847077987</v>
      </c>
      <c r="I14605" s="20">
        <v>0.92593918500503403</v>
      </c>
      <c r="J14605" s="28">
        <v>0.35447758587730999</v>
      </c>
      <c r="K14605" s="29">
        <v>0.98289565623980701</v>
      </c>
    </row>
    <row r="14606" spans="1:11" x14ac:dyDescent="0.35">
      <c r="A14606" s="9" t="str">
        <f>HYPERLINK("http://www.ensembl.org/id/WBGene00006865", "WBGene00006865")</f>
        <v>WBGene00006865</v>
      </c>
      <c r="B14606" s="9" t="str">
        <f>HYPERLINK("http://www.ncbi.nlm.nih.gov/gene/192084", "192084")</f>
        <v>192084</v>
      </c>
      <c r="C14606" s="9"/>
      <c r="D14606" t="str">
        <f>"slcf-2"</f>
        <v>slcf-2</v>
      </c>
      <c r="E14606" t="s">
        <v>5058</v>
      </c>
      <c r="F14606" t="s">
        <v>11</v>
      </c>
      <c r="G14606" t="s">
        <v>230</v>
      </c>
      <c r="H14606" s="12">
        <v>-1.0939662599586799</v>
      </c>
      <c r="I14606" s="20">
        <v>-0.44218950161453102</v>
      </c>
      <c r="J14606" s="28">
        <v>0.65835208238227705</v>
      </c>
      <c r="K14606" s="29">
        <v>0.98289565623980701</v>
      </c>
    </row>
    <row r="14607" spans="1:11" x14ac:dyDescent="0.35">
      <c r="A14607" s="9" t="str">
        <f>HYPERLINK("http://www.ensembl.org/id/WBGene00020466", "WBGene00020466")</f>
        <v>WBGene00020466</v>
      </c>
      <c r="B14607" s="9" t="str">
        <f>HYPERLINK("http://www.ncbi.nlm.nih.gov/gene/188455", "188455")</f>
        <v>188455</v>
      </c>
      <c r="C14607" s="9"/>
      <c r="D14607" t="str">
        <f>"sld-2"</f>
        <v>sld-2</v>
      </c>
      <c r="F14607" t="s">
        <v>11</v>
      </c>
      <c r="H14607" s="12">
        <v>-1.30089066521672</v>
      </c>
      <c r="I14607" s="20">
        <v>-1.13829826798976</v>
      </c>
      <c r="J14607" s="28">
        <v>0.25499595698642802</v>
      </c>
      <c r="K14607" s="29">
        <v>0.98289565623980701</v>
      </c>
    </row>
    <row r="14608" spans="1:11" x14ac:dyDescent="0.35">
      <c r="A14608" s="9" t="str">
        <f>HYPERLINK("http://www.ensembl.org/id/WBGene00013768", "WBGene00013768")</f>
        <v>WBGene00013768</v>
      </c>
      <c r="B14608" s="9" t="str">
        <f>HYPERLINK("http://www.ncbi.nlm.nih.gov/gene/190979", "190979")</f>
        <v>190979</v>
      </c>
      <c r="C14608" s="9" t="str">
        <f>HYPERLINK("http://www.ncbi.nlm.nih.gov/gene/84296", "84296")</f>
        <v>84296</v>
      </c>
      <c r="D14608" t="str">
        <f>"sld-5"</f>
        <v>sld-5</v>
      </c>
      <c r="E14608" t="s">
        <v>7258</v>
      </c>
      <c r="F14608" t="s">
        <v>11</v>
      </c>
      <c r="G14608" t="s">
        <v>7259</v>
      </c>
      <c r="H14608" s="12">
        <v>-1.11595063050805</v>
      </c>
      <c r="I14608" s="20">
        <v>-0.45383883139479902</v>
      </c>
      <c r="J14608" s="28">
        <v>0.64994483237311995</v>
      </c>
      <c r="K14608" s="29">
        <v>0.98289565623980701</v>
      </c>
    </row>
    <row r="14609" spans="1:11" x14ac:dyDescent="0.35">
      <c r="A14609" s="9" t="str">
        <f>HYPERLINK("http://www.ensembl.org/id/WBGene00004830", "WBGene00004830")</f>
        <v>WBGene00004830</v>
      </c>
      <c r="B14609" s="9" t="str">
        <f>HYPERLINK("http://www.ncbi.nlm.nih.gov/gene/180203", "180203")</f>
        <v>180203</v>
      </c>
      <c r="C14609" s="9" t="str">
        <f>HYPERLINK("http://www.ncbi.nlm.nih.gov/gene/3778", "3778")</f>
        <v>3778</v>
      </c>
      <c r="D14609" t="str">
        <f>"slo-1"</f>
        <v>slo-1</v>
      </c>
      <c r="E14609" t="s">
        <v>5557</v>
      </c>
      <c r="F14609" t="s">
        <v>11</v>
      </c>
      <c r="G14609" t="s">
        <v>5558</v>
      </c>
      <c r="H14609" s="12">
        <v>1.1467717489450899</v>
      </c>
      <c r="I14609" s="20">
        <v>0.61430538161648496</v>
      </c>
      <c r="J14609" s="28">
        <v>0.53901354698674198</v>
      </c>
      <c r="K14609" s="29">
        <v>0.98289565623980701</v>
      </c>
    </row>
    <row r="14610" spans="1:11" x14ac:dyDescent="0.35">
      <c r="A14610" s="9" t="str">
        <f>HYPERLINK("http://www.ensembl.org/id/WBGene00013350", "WBGene00013350")</f>
        <v>WBGene00013350</v>
      </c>
      <c r="B14610" s="9" t="str">
        <f>HYPERLINK("http://www.ncbi.nlm.nih.gov/gene/190396", "190396")</f>
        <v>190396</v>
      </c>
      <c r="C14610" s="9"/>
      <c r="D14610" t="str">
        <f>"slr-2"</f>
        <v>slr-2</v>
      </c>
      <c r="E14610" t="s">
        <v>7429</v>
      </c>
      <c r="F14610" t="s">
        <v>11</v>
      </c>
      <c r="H14610" s="12">
        <v>-1.12505163719104</v>
      </c>
      <c r="I14610" s="20">
        <v>-0.48060136898028499</v>
      </c>
      <c r="J14610" s="28">
        <v>0.63079984230071395</v>
      </c>
      <c r="K14610" s="29">
        <v>0.98289565623980701</v>
      </c>
    </row>
    <row r="14611" spans="1:11" x14ac:dyDescent="0.35">
      <c r="A14611" s="9" t="str">
        <f>HYPERLINK("http://www.ensembl.org/id/WBGene00008224", "WBGene00008224")</f>
        <v>WBGene00008224</v>
      </c>
      <c r="B14611" s="9" t="str">
        <f>HYPERLINK("http://www.ncbi.nlm.nih.gov/gene/179840", "179840")</f>
        <v>179840</v>
      </c>
      <c r="C14611" s="9"/>
      <c r="D14611" t="str">
        <f>"slrp-1"</f>
        <v>slrp-1</v>
      </c>
      <c r="E14611" t="s">
        <v>6166</v>
      </c>
      <c r="F14611" t="s">
        <v>11</v>
      </c>
      <c r="G14611" t="s">
        <v>2343</v>
      </c>
      <c r="H14611" s="12">
        <v>-1.0503076178845501</v>
      </c>
      <c r="I14611" s="20">
        <v>-0.25363747192456199</v>
      </c>
      <c r="J14611" s="28">
        <v>0.79977564462850603</v>
      </c>
      <c r="K14611" s="29">
        <v>0.98289565623980701</v>
      </c>
    </row>
    <row r="14612" spans="1:11" x14ac:dyDescent="0.35">
      <c r="A14612" s="9" t="str">
        <f>HYPERLINK("http://www.ensembl.org/id/WBGene00077488", "WBGene00077488")</f>
        <v>WBGene00077488</v>
      </c>
      <c r="B14612" s="9"/>
      <c r="C14612" s="9"/>
      <c r="D14612" t="str">
        <f>"sls-1.12"</f>
        <v>sls-1.12</v>
      </c>
      <c r="F14612" t="s">
        <v>4205</v>
      </c>
      <c r="H14612" s="12">
        <v>-5.4967879193631202</v>
      </c>
      <c r="I14612" s="20">
        <v>-0.50254160819837501</v>
      </c>
      <c r="J14612" s="28">
        <v>0.61528659178453604</v>
      </c>
      <c r="K14612" s="29">
        <v>0.98289565623980701</v>
      </c>
    </row>
    <row r="14613" spans="1:11" x14ac:dyDescent="0.35">
      <c r="A14613" s="9" t="str">
        <f>HYPERLINK("http://www.ensembl.org/id/WBGene00004833", "WBGene00004833")</f>
        <v>WBGene00004833</v>
      </c>
      <c r="B14613" s="9"/>
      <c r="C14613" s="9"/>
      <c r="D14613" t="str">
        <f>"sls-2.1"</f>
        <v>sls-2.1</v>
      </c>
      <c r="F14613" t="s">
        <v>4205</v>
      </c>
      <c r="H14613" s="12">
        <v>2.4578120077400301</v>
      </c>
      <c r="I14613" s="20">
        <v>0.26093350314551</v>
      </c>
      <c r="J14613" s="28">
        <v>0.79414378780213601</v>
      </c>
      <c r="K14613" s="29">
        <v>0.98289565623980701</v>
      </c>
    </row>
    <row r="14614" spans="1:11" x14ac:dyDescent="0.35">
      <c r="A14614" s="9" t="str">
        <f>HYPERLINK("http://www.ensembl.org/id/WBGene00004843", "WBGene00004843")</f>
        <v>WBGene00004843</v>
      </c>
      <c r="B14614" s="9"/>
      <c r="C14614" s="9"/>
      <c r="D14614" t="str">
        <f>"sls-2.11"</f>
        <v>sls-2.11</v>
      </c>
      <c r="F14614" t="s">
        <v>4205</v>
      </c>
      <c r="H14614" s="12">
        <v>3.5227018545059199</v>
      </c>
      <c r="I14614" s="20">
        <v>0.36849691206929103</v>
      </c>
      <c r="J14614" s="28">
        <v>0.71250274722433404</v>
      </c>
      <c r="K14614" s="29">
        <v>0.98289565623980701</v>
      </c>
    </row>
    <row r="14615" spans="1:11" x14ac:dyDescent="0.35">
      <c r="A14615" s="9" t="str">
        <f>HYPERLINK("http://www.ensembl.org/id/WBGene00004847", "WBGene00004847")</f>
        <v>WBGene00004847</v>
      </c>
      <c r="B14615" s="9"/>
      <c r="C14615" s="9"/>
      <c r="D14615" t="str">
        <f>"sls-2.15"</f>
        <v>sls-2.15</v>
      </c>
      <c r="F14615" t="s">
        <v>4205</v>
      </c>
      <c r="H14615" s="12">
        <v>-3.5819448292659501</v>
      </c>
      <c r="I14615" s="20">
        <v>-0.37337717500031398</v>
      </c>
      <c r="J14615" s="28">
        <v>0.70886774492290605</v>
      </c>
      <c r="K14615" s="29">
        <v>0.98289565623980701</v>
      </c>
    </row>
    <row r="14616" spans="1:11" x14ac:dyDescent="0.35">
      <c r="A14616" s="9" t="str">
        <f>HYPERLINK("http://www.ensembl.org/id/WBGene00004851", "WBGene00004851")</f>
        <v>WBGene00004851</v>
      </c>
      <c r="B14616" s="9"/>
      <c r="C14616" s="9"/>
      <c r="D14616" t="str">
        <f>"sls-2.19"</f>
        <v>sls-2.19</v>
      </c>
      <c r="F14616" t="s">
        <v>80</v>
      </c>
      <c r="H14616" s="12">
        <v>-3.7261494131482999</v>
      </c>
      <c r="I14616" s="20">
        <v>-0.38454673129429601</v>
      </c>
      <c r="J14616" s="28">
        <v>0.70057326682554</v>
      </c>
      <c r="K14616" s="29">
        <v>0.98289565623980701</v>
      </c>
    </row>
    <row r="14617" spans="1:11" x14ac:dyDescent="0.35">
      <c r="A14617" s="9" t="str">
        <f>HYPERLINK("http://www.ensembl.org/id/WBGene00004835", "WBGene00004835")</f>
        <v>WBGene00004835</v>
      </c>
      <c r="B14617" s="9"/>
      <c r="C14617" s="9"/>
      <c r="D14617" t="str">
        <f>"sls-2.3"</f>
        <v>sls-2.3</v>
      </c>
      <c r="F14617" t="s">
        <v>4205</v>
      </c>
      <c r="H14617" s="12">
        <v>13.2083681824683</v>
      </c>
      <c r="I14617" s="20">
        <v>0.79736709025154395</v>
      </c>
      <c r="J14617" s="28">
        <v>0.42523786651974499</v>
      </c>
      <c r="K14617" s="29">
        <v>0.98289565623980701</v>
      </c>
    </row>
    <row r="14618" spans="1:11" x14ac:dyDescent="0.35">
      <c r="A14618" s="9" t="str">
        <f>HYPERLINK("http://www.ensembl.org/id/WBGene00004837", "WBGene00004837")</f>
        <v>WBGene00004837</v>
      </c>
      <c r="B14618" s="9"/>
      <c r="C14618" s="9"/>
      <c r="D14618" t="str">
        <f>"sls-2.5"</f>
        <v>sls-2.5</v>
      </c>
      <c r="F14618" t="s">
        <v>4205</v>
      </c>
      <c r="H14618" s="12">
        <v>2.3444892507898301</v>
      </c>
      <c r="I14618" s="20">
        <v>0.253126732237689</v>
      </c>
      <c r="J14618" s="28">
        <v>0.80017028205419904</v>
      </c>
      <c r="K14618" s="29">
        <v>0.98289565623980701</v>
      </c>
    </row>
    <row r="14619" spans="1:11" x14ac:dyDescent="0.35">
      <c r="A14619" s="9" t="str">
        <f>HYPERLINK("http://www.ensembl.org/id/WBGene00004838", "WBGene00004838")</f>
        <v>WBGene00004838</v>
      </c>
      <c r="B14619" s="9"/>
      <c r="C14619" s="9"/>
      <c r="D14619" t="str">
        <f>"sls-2.6"</f>
        <v>sls-2.6</v>
      </c>
      <c r="F14619" t="s">
        <v>4205</v>
      </c>
      <c r="H14619" s="12">
        <v>-2.3700125250522901</v>
      </c>
      <c r="I14619" s="20">
        <v>-0.29053697296179998</v>
      </c>
      <c r="J14619" s="28">
        <v>0.77140546964177203</v>
      </c>
      <c r="K14619" s="29">
        <v>0.98289565623980701</v>
      </c>
    </row>
    <row r="14620" spans="1:11" x14ac:dyDescent="0.35">
      <c r="A14620" s="9" t="str">
        <f>HYPERLINK("http://www.ensembl.org/id/WBGene00004840", "WBGene00004840")</f>
        <v>WBGene00004840</v>
      </c>
      <c r="B14620" s="9"/>
      <c r="C14620" s="9"/>
      <c r="D14620" t="str">
        <f>"sls-2.8"</f>
        <v>sls-2.8</v>
      </c>
      <c r="F14620" t="s">
        <v>4205</v>
      </c>
      <c r="H14620" s="12">
        <v>-3.7261494131482999</v>
      </c>
      <c r="I14620" s="20">
        <v>-0.38454673129429601</v>
      </c>
      <c r="J14620" s="28">
        <v>0.70057326682554</v>
      </c>
      <c r="K14620" s="29">
        <v>0.98289565623980701</v>
      </c>
    </row>
    <row r="14621" spans="1:11" x14ac:dyDescent="0.35">
      <c r="A14621" s="9" t="str">
        <f>HYPERLINK("http://www.ensembl.org/id/WBGene00004854", "WBGene00004854")</f>
        <v>WBGene00004854</v>
      </c>
      <c r="B14621" s="9" t="str">
        <f>HYPERLINK("http://www.ncbi.nlm.nih.gov/gene/181562", "181562")</f>
        <v>181562</v>
      </c>
      <c r="C14621" s="9" t="str">
        <f>HYPERLINK("http://www.ncbi.nlm.nih.gov/gene/9353", "9353")</f>
        <v>9353</v>
      </c>
      <c r="D14621" t="str">
        <f>"slt-1"</f>
        <v>slt-1</v>
      </c>
      <c r="E14621" t="s">
        <v>6822</v>
      </c>
      <c r="F14621" t="s">
        <v>11</v>
      </c>
      <c r="G14621" t="s">
        <v>6823</v>
      </c>
      <c r="H14621" s="12">
        <v>-1.0910605402461</v>
      </c>
      <c r="I14621" s="20">
        <v>-0.42452018029095401</v>
      </c>
      <c r="J14621" s="28">
        <v>0.67118649115928997</v>
      </c>
      <c r="K14621" s="29">
        <v>0.98289565623980701</v>
      </c>
    </row>
    <row r="14622" spans="1:11" x14ac:dyDescent="0.35">
      <c r="A14622" s="9" t="str">
        <f>HYPERLINK("http://www.ensembl.org/id/WBGene00009654", "WBGene00009654")</f>
        <v>WBGene00009654</v>
      </c>
      <c r="B14622" s="9" t="str">
        <f>HYPERLINK("http://www.ncbi.nlm.nih.gov/gene/185707", "185707")</f>
        <v>185707</v>
      </c>
      <c r="C14622" s="9" t="str">
        <f>HYPERLINK("http://www.ncbi.nlm.nih.gov/gene/23256", "23256")</f>
        <v>23256</v>
      </c>
      <c r="D14622" t="str">
        <f>"sly-1"</f>
        <v>sly-1</v>
      </c>
      <c r="E14622" t="s">
        <v>7907</v>
      </c>
      <c r="F14622" t="s">
        <v>11</v>
      </c>
      <c r="G14622" t="s">
        <v>7908</v>
      </c>
      <c r="H14622" s="12">
        <v>-1.15104660529487</v>
      </c>
      <c r="I14622" s="20">
        <v>-0.71723390957414201</v>
      </c>
      <c r="J14622" s="28">
        <v>0.47322977928142301</v>
      </c>
      <c r="K14622" s="29">
        <v>0.98289565623980701</v>
      </c>
    </row>
    <row r="14623" spans="1:11" x14ac:dyDescent="0.35">
      <c r="A14623" s="9" t="str">
        <f>HYPERLINK("http://www.ensembl.org/id/WBGene00004855", "WBGene00004855")</f>
        <v>WBGene00004855</v>
      </c>
      <c r="B14623" s="9" t="str">
        <f>HYPERLINK("http://www.ncbi.nlm.nih.gov/gene/179629", "179629")</f>
        <v>179629</v>
      </c>
      <c r="C14623" s="9" t="str">
        <f>HYPERLINK("http://www.ncbi.nlm.nih.gov/gene/51332", "51332")</f>
        <v>51332</v>
      </c>
      <c r="D14623" t="str">
        <f>"sma-1"</f>
        <v>sma-1</v>
      </c>
      <c r="E14623" t="s">
        <v>5053</v>
      </c>
      <c r="F14623" t="s">
        <v>11</v>
      </c>
      <c r="G14623" t="s">
        <v>5054</v>
      </c>
      <c r="H14623" s="12">
        <v>1.2507626793261499</v>
      </c>
      <c r="I14623" s="20">
        <v>1.20917242302866</v>
      </c>
      <c r="J14623" s="28">
        <v>0.22659660999255801</v>
      </c>
      <c r="K14623" s="29">
        <v>0.98289565623980701</v>
      </c>
    </row>
    <row r="14624" spans="1:11" x14ac:dyDescent="0.35">
      <c r="A14624" s="9" t="str">
        <f>HYPERLINK("http://www.ensembl.org/id/WBGene00004858", "WBGene00004858")</f>
        <v>WBGene00004858</v>
      </c>
      <c r="B14624" s="9" t="str">
        <f>HYPERLINK("http://www.ncbi.nlm.nih.gov/gene/175815", "175815")</f>
        <v>175815</v>
      </c>
      <c r="C14624" s="9"/>
      <c r="D14624" t="str">
        <f>"sma-4"</f>
        <v>sma-4</v>
      </c>
      <c r="E14624" t="s">
        <v>7725</v>
      </c>
      <c r="F14624" t="s">
        <v>11</v>
      </c>
      <c r="G14624" t="s">
        <v>7726</v>
      </c>
      <c r="H14624" s="12">
        <v>-1.14135055645574</v>
      </c>
      <c r="I14624" s="20">
        <v>-0.60096195662662799</v>
      </c>
      <c r="J14624" s="28">
        <v>0.54786532534531596</v>
      </c>
      <c r="K14624" s="29">
        <v>0.98289565623980701</v>
      </c>
    </row>
    <row r="14625" spans="1:11" x14ac:dyDescent="0.35">
      <c r="A14625" s="9" t="str">
        <f>HYPERLINK("http://www.ensembl.org/id/WBGene00004860", "WBGene00004860")</f>
        <v>WBGene00004860</v>
      </c>
      <c r="B14625" s="9" t="str">
        <f>HYPERLINK("http://www.ncbi.nlm.nih.gov/gene/174044", "174044")</f>
        <v>174044</v>
      </c>
      <c r="C14625" s="9" t="str">
        <f>HYPERLINK("http://www.ncbi.nlm.nih.gov/gene/658", "658")</f>
        <v>658</v>
      </c>
      <c r="D14625" t="str">
        <f>"sma-6"</f>
        <v>sma-6</v>
      </c>
      <c r="E14625" t="s">
        <v>5329</v>
      </c>
      <c r="F14625" t="s">
        <v>11</v>
      </c>
      <c r="G14625" t="s">
        <v>5330</v>
      </c>
      <c r="H14625" s="12">
        <v>1.18745104794418</v>
      </c>
      <c r="I14625" s="20">
        <v>0.64234354001771898</v>
      </c>
      <c r="J14625" s="28">
        <v>0.52065014995176095</v>
      </c>
      <c r="K14625" s="29">
        <v>0.98289565623980701</v>
      </c>
    </row>
    <row r="14626" spans="1:11" x14ac:dyDescent="0.35">
      <c r="A14626" s="9" t="str">
        <f>HYPERLINK("http://www.ensembl.org/id/WBGene00004862", "WBGene00004862")</f>
        <v>WBGene00004862</v>
      </c>
      <c r="B14626" s="9" t="str">
        <f>HYPERLINK("http://www.ncbi.nlm.nih.gov/gene/181271", "181271")</f>
        <v>181271</v>
      </c>
      <c r="C14626" s="9"/>
      <c r="D14626" t="str">
        <f>"sma-9"</f>
        <v>sma-9</v>
      </c>
      <c r="E14626" t="s">
        <v>5053</v>
      </c>
      <c r="F14626" t="s">
        <v>11</v>
      </c>
      <c r="G14626" t="s">
        <v>5222</v>
      </c>
      <c r="H14626" s="12">
        <v>1.2132470009742</v>
      </c>
      <c r="I14626" s="20">
        <v>1.04632498722331</v>
      </c>
      <c r="J14626" s="28">
        <v>0.29541101270271197</v>
      </c>
      <c r="K14626" s="29">
        <v>0.98289565623980701</v>
      </c>
    </row>
    <row r="14627" spans="1:11" x14ac:dyDescent="0.35">
      <c r="A14627" s="9" t="str">
        <f>HYPERLINK("http://www.ensembl.org/id/WBGene00004873", "WBGene00004873")</f>
        <v>WBGene00004873</v>
      </c>
      <c r="B14627" s="9" t="str">
        <f>HYPERLINK("http://www.ncbi.nlm.nih.gov/gene/176559", "176559")</f>
        <v>176559</v>
      </c>
      <c r="C14627" s="9" t="str">
        <f>HYPERLINK("http://www.ncbi.nlm.nih.gov/gene/9126", "9126")</f>
        <v>9126</v>
      </c>
      <c r="D14627" t="str">
        <f>"smc-3"</f>
        <v>smc-3</v>
      </c>
      <c r="E14627" t="s">
        <v>6830</v>
      </c>
      <c r="F14627" t="s">
        <v>11</v>
      </c>
      <c r="G14627" t="s">
        <v>6831</v>
      </c>
      <c r="H14627" s="12">
        <v>-1.0914511234904001</v>
      </c>
      <c r="I14627" s="20">
        <v>-0.40159860612612902</v>
      </c>
      <c r="J14627" s="28">
        <v>0.68797945584752196</v>
      </c>
      <c r="K14627" s="29">
        <v>0.98289565623980701</v>
      </c>
    </row>
    <row r="14628" spans="1:11" x14ac:dyDescent="0.35">
      <c r="A14628" s="9" t="str">
        <f>HYPERLINK("http://www.ensembl.org/id/WBGene00004874", "WBGene00004874")</f>
        <v>WBGene00004874</v>
      </c>
      <c r="B14628" s="9" t="str">
        <f>HYPERLINK("http://www.ncbi.nlm.nih.gov/gene/175603", "175603")</f>
        <v>175603</v>
      </c>
      <c r="C14628" s="9"/>
      <c r="D14628" t="str">
        <f>"smc-4"</f>
        <v>smc-4</v>
      </c>
      <c r="E14628" t="s">
        <v>8318</v>
      </c>
      <c r="F14628" t="s">
        <v>11</v>
      </c>
      <c r="G14628" t="s">
        <v>8319</v>
      </c>
      <c r="H14628" s="12">
        <v>-1.1711805707471801</v>
      </c>
      <c r="I14628" s="20">
        <v>-0.70907796140909196</v>
      </c>
      <c r="J14628" s="28">
        <v>0.478276098391553</v>
      </c>
      <c r="K14628" s="29">
        <v>0.98289565623980701</v>
      </c>
    </row>
    <row r="14629" spans="1:11" x14ac:dyDescent="0.35">
      <c r="A14629" s="9" t="str">
        <f>HYPERLINK("http://www.ensembl.org/id/WBGene00008085", "WBGene00008085")</f>
        <v>WBGene00008085</v>
      </c>
      <c r="B14629" s="9" t="str">
        <f>HYPERLINK("http://www.ncbi.nlm.nih.gov/gene/183453", "183453")</f>
        <v>183453</v>
      </c>
      <c r="C14629" s="9"/>
      <c r="D14629" t="str">
        <f>"smcl-1"</f>
        <v>smcl-1</v>
      </c>
      <c r="E14629" t="s">
        <v>6496</v>
      </c>
      <c r="F14629" t="s">
        <v>11</v>
      </c>
      <c r="G14629" t="s">
        <v>6497</v>
      </c>
      <c r="H14629" s="12">
        <v>-1.0722510981839199</v>
      </c>
      <c r="I14629" s="20">
        <v>-0.28067208692072498</v>
      </c>
      <c r="J14629" s="28">
        <v>0.77896191989792596</v>
      </c>
      <c r="K14629" s="29">
        <v>0.98289565623980701</v>
      </c>
    </row>
    <row r="14630" spans="1:11" x14ac:dyDescent="0.35">
      <c r="A14630" s="9" t="str">
        <f>HYPERLINK("http://www.ensembl.org/id/WBGene00004875", "WBGene00004875")</f>
        <v>WBGene00004875</v>
      </c>
      <c r="B14630" s="9" t="str">
        <f>HYPERLINK("http://www.ncbi.nlm.nih.gov/gene/173269", "173269")</f>
        <v>173269</v>
      </c>
      <c r="C14630" s="9" t="str">
        <f>HYPERLINK("http://www.ncbi.nlm.nih.gov/gene/262", "262")</f>
        <v>262</v>
      </c>
      <c r="D14630" t="str">
        <f>"smd-1"</f>
        <v>smd-1</v>
      </c>
      <c r="E14630" t="s">
        <v>5294</v>
      </c>
      <c r="F14630" t="s">
        <v>11</v>
      </c>
      <c r="G14630" t="s">
        <v>5295</v>
      </c>
      <c r="H14630" s="12">
        <v>1.1929524221866501</v>
      </c>
      <c r="I14630" s="20">
        <v>0.87632319372177003</v>
      </c>
      <c r="J14630" s="28">
        <v>0.38085435960702801</v>
      </c>
      <c r="K14630" s="29">
        <v>0.98289565623980701</v>
      </c>
    </row>
    <row r="14631" spans="1:11" x14ac:dyDescent="0.35">
      <c r="A14631" s="9" t="str">
        <f>HYPERLINK("http://www.ensembl.org/id/WBGene00004877", "WBGene00004877")</f>
        <v>WBGene00004877</v>
      </c>
      <c r="B14631" s="9" t="str">
        <f>HYPERLINK("http://www.ncbi.nlm.nih.gov/gene/191766", "191766")</f>
        <v>191766</v>
      </c>
      <c r="C14631" s="9" t="str">
        <f>HYPERLINK("http://www.ncbi.nlm.nih.gov/gene/4891", "4891")</f>
        <v>4891</v>
      </c>
      <c r="D14631" t="str">
        <f>"smf-2"</f>
        <v>smf-2</v>
      </c>
      <c r="E14631" t="s">
        <v>4427</v>
      </c>
      <c r="F14631" t="s">
        <v>11</v>
      </c>
      <c r="G14631" t="s">
        <v>575</v>
      </c>
      <c r="H14631" s="12">
        <v>2.1979536468324499</v>
      </c>
      <c r="I14631" s="20">
        <v>0.40312524400406102</v>
      </c>
      <c r="J14631" s="28">
        <v>0.68685609060777597</v>
      </c>
      <c r="K14631" s="29">
        <v>0.98289565623980701</v>
      </c>
    </row>
    <row r="14632" spans="1:11" x14ac:dyDescent="0.35">
      <c r="A14632" s="9" t="str">
        <f>HYPERLINK("http://www.ensembl.org/id/WBGene00004880", "WBGene00004880")</f>
        <v>WBGene00004880</v>
      </c>
      <c r="B14632" s="9" t="str">
        <f>HYPERLINK("http://www.ncbi.nlm.nih.gov/gene/171696", "171696")</f>
        <v>171696</v>
      </c>
      <c r="C14632" s="9" t="str">
        <f>HYPERLINK("http://www.ncbi.nlm.nih.gov/gene/5976", "5976")</f>
        <v>5976</v>
      </c>
      <c r="D14632" t="str">
        <f>"smg-2"</f>
        <v>smg-2</v>
      </c>
      <c r="E14632" t="s">
        <v>9557</v>
      </c>
      <c r="F14632" t="s">
        <v>11</v>
      </c>
      <c r="G14632" t="s">
        <v>9558</v>
      </c>
      <c r="H14632" s="12">
        <v>-1.2588417385403801</v>
      </c>
      <c r="I14632" s="20">
        <v>-1.1687056490489101</v>
      </c>
      <c r="J14632" s="28">
        <v>0.242522245185739</v>
      </c>
      <c r="K14632" s="29">
        <v>0.98289565623980701</v>
      </c>
    </row>
    <row r="14633" spans="1:11" x14ac:dyDescent="0.35">
      <c r="A14633" s="9" t="str">
        <f>HYPERLINK("http://www.ensembl.org/id/WBGene00004881", "WBGene00004881")</f>
        <v>WBGene00004881</v>
      </c>
      <c r="B14633" s="9" t="str">
        <f>HYPERLINK("http://www.ncbi.nlm.nih.gov/gene/177397", "177397")</f>
        <v>177397</v>
      </c>
      <c r="C14633" s="9"/>
      <c r="D14633" t="str">
        <f>"smg-3"</f>
        <v>smg-3</v>
      </c>
      <c r="E14633" t="s">
        <v>8452</v>
      </c>
      <c r="F14633" t="s">
        <v>11</v>
      </c>
      <c r="G14633" t="s">
        <v>9041</v>
      </c>
      <c r="H14633" s="12">
        <v>-1.2163741143647999</v>
      </c>
      <c r="I14633" s="20">
        <v>-1.02942014141848</v>
      </c>
      <c r="J14633" s="28">
        <v>0.30328228844479499</v>
      </c>
      <c r="K14633" s="29">
        <v>0.98289565623980701</v>
      </c>
    </row>
    <row r="14634" spans="1:11" x14ac:dyDescent="0.35">
      <c r="A14634" s="9" t="str">
        <f>HYPERLINK("http://www.ensembl.org/id/WBGene00004882", "WBGene00004882")</f>
        <v>WBGene00004882</v>
      </c>
      <c r="B14634" s="9" t="str">
        <f>HYPERLINK("http://www.ncbi.nlm.nih.gov/gene/179371", "179371")</f>
        <v>179371</v>
      </c>
      <c r="C14634" s="9"/>
      <c r="D14634" t="str">
        <f>"smg-4"</f>
        <v>smg-4</v>
      </c>
      <c r="E14634" t="s">
        <v>8452</v>
      </c>
      <c r="F14634" t="s">
        <v>11</v>
      </c>
      <c r="G14634" t="s">
        <v>9218</v>
      </c>
      <c r="H14634" s="12">
        <v>-1.2284946011014799</v>
      </c>
      <c r="I14634" s="20">
        <v>-1.03117022170169</v>
      </c>
      <c r="J14634" s="28">
        <v>0.30246100235267298</v>
      </c>
      <c r="K14634" s="29">
        <v>0.98289565623980701</v>
      </c>
    </row>
    <row r="14635" spans="1:11" x14ac:dyDescent="0.35">
      <c r="A14635" s="9" t="str">
        <f>HYPERLINK("http://www.ensembl.org/id/WBGene00004883", "WBGene00004883")</f>
        <v>WBGene00004883</v>
      </c>
      <c r="B14635" s="9" t="str">
        <f>HYPERLINK("http://www.ncbi.nlm.nih.gov/gene/172391", "172391")</f>
        <v>172391</v>
      </c>
      <c r="C14635" s="9"/>
      <c r="D14635" t="str">
        <f>"smg-5"</f>
        <v>smg-5</v>
      </c>
      <c r="E14635" t="s">
        <v>8171</v>
      </c>
      <c r="F14635" t="s">
        <v>11</v>
      </c>
      <c r="G14635" t="s">
        <v>8172</v>
      </c>
      <c r="H14635" s="12">
        <v>-1.16374733695471</v>
      </c>
      <c r="I14635" s="20">
        <v>-0.64494544209938098</v>
      </c>
      <c r="J14635" s="28">
        <v>0.51896254199831404</v>
      </c>
      <c r="K14635" s="29">
        <v>0.98289565623980701</v>
      </c>
    </row>
    <row r="14636" spans="1:11" x14ac:dyDescent="0.35">
      <c r="A14636" s="9" t="str">
        <f>HYPERLINK("http://www.ensembl.org/id/WBGene00004884", "WBGene00004884")</f>
        <v>WBGene00004884</v>
      </c>
      <c r="B14636" s="9" t="str">
        <f>HYPERLINK("http://www.ncbi.nlm.nih.gov/gene/175367", "175367")</f>
        <v>175367</v>
      </c>
      <c r="C14636" s="9"/>
      <c r="D14636" t="str">
        <f>"smg-6"</f>
        <v>smg-6</v>
      </c>
      <c r="E14636" t="s">
        <v>8452</v>
      </c>
      <c r="F14636" t="s">
        <v>11</v>
      </c>
      <c r="G14636" t="s">
        <v>8453</v>
      </c>
      <c r="H14636" s="12">
        <v>-1.1788206663126399</v>
      </c>
      <c r="I14636" s="20">
        <v>-0.873811516893789</v>
      </c>
      <c r="J14636" s="28">
        <v>0.38222090744941201</v>
      </c>
      <c r="K14636" s="29">
        <v>0.98289565623980701</v>
      </c>
    </row>
    <row r="14637" spans="1:11" x14ac:dyDescent="0.35">
      <c r="A14637" s="9" t="str">
        <f>HYPERLINK("http://www.ensembl.org/id/WBGene00004885", "WBGene00004885")</f>
        <v>WBGene00004885</v>
      </c>
      <c r="B14637" s="9" t="str">
        <f>HYPERLINK("http://www.ncbi.nlm.nih.gov/gene/177435", "177435")</f>
        <v>177435</v>
      </c>
      <c r="C14637" s="9"/>
      <c r="D14637" t="str">
        <f>"smg-7"</f>
        <v>smg-7</v>
      </c>
      <c r="E14637" t="s">
        <v>8258</v>
      </c>
      <c r="F14637" t="s">
        <v>11</v>
      </c>
      <c r="G14637" t="s">
        <v>8259</v>
      </c>
      <c r="H14637" s="12">
        <v>-1.16780262233632</v>
      </c>
      <c r="I14637" s="20">
        <v>-0.67107807672026099</v>
      </c>
      <c r="J14637" s="28">
        <v>0.50217079228905304</v>
      </c>
      <c r="K14637" s="29">
        <v>0.98289565623980701</v>
      </c>
    </row>
    <row r="14638" spans="1:11" x14ac:dyDescent="0.35">
      <c r="A14638" s="9" t="str">
        <f>HYPERLINK("http://www.ensembl.org/id/WBGene00013188", "WBGene00013188")</f>
        <v>WBGene00013188</v>
      </c>
      <c r="B14638" s="9" t="str">
        <f>HYPERLINK("http://www.ncbi.nlm.nih.gov/gene/175132", "175132")</f>
        <v>175132</v>
      </c>
      <c r="C14638" s="9"/>
      <c r="D14638" t="str">
        <f>"smg-9"</f>
        <v>smg-9</v>
      </c>
      <c r="F14638" t="s">
        <v>11</v>
      </c>
      <c r="G14638" t="s">
        <v>7732</v>
      </c>
      <c r="H14638" s="12">
        <v>-1.1417336935881</v>
      </c>
      <c r="I14638" s="20">
        <v>-0.50455793033726604</v>
      </c>
      <c r="J14638" s="28">
        <v>0.61386936433254402</v>
      </c>
      <c r="K14638" s="29">
        <v>0.98289565623980701</v>
      </c>
    </row>
    <row r="14639" spans="1:11" x14ac:dyDescent="0.35">
      <c r="A14639" s="9" t="str">
        <f>HYPERLINK("http://www.ensembl.org/id/WBGene00008990", "WBGene00008990")</f>
        <v>WBGene00008990</v>
      </c>
      <c r="B14639" s="9" t="str">
        <f>HYPERLINK("http://www.ncbi.nlm.nih.gov/gene/172561", "172561")</f>
        <v>172561</v>
      </c>
      <c r="C14639" s="9"/>
      <c r="D14639" t="str">
        <f>"smgl-1"</f>
        <v>smgl-1</v>
      </c>
      <c r="F14639" t="s">
        <v>11</v>
      </c>
      <c r="G14639" t="s">
        <v>8470</v>
      </c>
      <c r="H14639" s="12">
        <v>-1.1794195816020501</v>
      </c>
      <c r="I14639" s="20">
        <v>-0.87590038226054701</v>
      </c>
      <c r="J14639" s="28">
        <v>0.38108419171444902</v>
      </c>
      <c r="K14639" s="29">
        <v>0.98289565623980701</v>
      </c>
    </row>
    <row r="14640" spans="1:11" x14ac:dyDescent="0.35">
      <c r="A14640" s="9" t="str">
        <f>HYPERLINK("http://www.ensembl.org/id/WBGene00004886", "WBGene00004886")</f>
        <v>WBGene00004886</v>
      </c>
      <c r="B14640" s="9" t="str">
        <f>HYPERLINK("http://www.ncbi.nlm.nih.gov/gene/189726", "189726")</f>
        <v>189726</v>
      </c>
      <c r="C14640" s="9"/>
      <c r="D14640" t="str">
        <f>"smi-1"</f>
        <v>smi-1</v>
      </c>
      <c r="E14640" t="s">
        <v>9602</v>
      </c>
      <c r="F14640" t="s">
        <v>11</v>
      </c>
      <c r="G14640" t="s">
        <v>9603</v>
      </c>
      <c r="H14640" s="12">
        <v>-1.2628817120220901</v>
      </c>
      <c r="I14640" s="20">
        <v>-0.971665628727578</v>
      </c>
      <c r="J14640" s="28">
        <v>0.33121692136797798</v>
      </c>
      <c r="K14640" s="29">
        <v>0.98289565623980701</v>
      </c>
    </row>
    <row r="14641" spans="1:11" x14ac:dyDescent="0.35">
      <c r="A14641" s="9" t="str">
        <f>HYPERLINK("http://www.ensembl.org/id/WBGene00018285", "WBGene00018285")</f>
        <v>WBGene00018285</v>
      </c>
      <c r="B14641" s="9" t="str">
        <f>HYPERLINK("http://www.ncbi.nlm.nih.gov/gene/179243", "179243")</f>
        <v>179243</v>
      </c>
      <c r="C14641" s="9" t="str">
        <f>HYPERLINK("http://www.ncbi.nlm.nih.gov/gene/55671", "55671")</f>
        <v>55671</v>
      </c>
      <c r="D14641" t="str">
        <f>"smk-1"</f>
        <v>smk-1</v>
      </c>
      <c r="E14641" t="s">
        <v>7670</v>
      </c>
      <c r="F14641" t="s">
        <v>11</v>
      </c>
      <c r="G14641" t="s">
        <v>7671</v>
      </c>
      <c r="H14641" s="12">
        <v>-1.1386285885676399</v>
      </c>
      <c r="I14641" s="20">
        <v>-0.72112198318096599</v>
      </c>
      <c r="J14641" s="28">
        <v>0.47083446678219198</v>
      </c>
      <c r="K14641" s="29">
        <v>0.98289565623980701</v>
      </c>
    </row>
    <row r="14642" spans="1:11" x14ac:dyDescent="0.35">
      <c r="A14642" s="9" t="str">
        <f>HYPERLINK("http://www.ensembl.org/id/WBGene00004887", "WBGene00004887")</f>
        <v>WBGene00004887</v>
      </c>
      <c r="B14642" s="9" t="str">
        <f>HYPERLINK("http://www.ncbi.nlm.nih.gov/gene/172783", "172783")</f>
        <v>172783</v>
      </c>
      <c r="C14642" s="9"/>
      <c r="D14642" t="str">
        <f>"smn-1"</f>
        <v>smn-1</v>
      </c>
      <c r="E14642" t="s">
        <v>9716</v>
      </c>
      <c r="F14642" t="s">
        <v>11</v>
      </c>
      <c r="G14642" t="s">
        <v>9717</v>
      </c>
      <c r="H14642" s="12">
        <v>-1.2856519611224699</v>
      </c>
      <c r="I14642" s="20">
        <v>-1.1217809137628101</v>
      </c>
      <c r="J14642" s="28">
        <v>0.26195560330657203</v>
      </c>
      <c r="K14642" s="29">
        <v>0.98289565623980701</v>
      </c>
    </row>
    <row r="14643" spans="1:11" x14ac:dyDescent="0.35">
      <c r="A14643" s="9" t="str">
        <f>HYPERLINK("http://www.ensembl.org/id/WBGene00004888", "WBGene00004888")</f>
        <v>WBGene00004888</v>
      </c>
      <c r="B14643" s="9" t="str">
        <f>HYPERLINK("http://www.ncbi.nlm.nih.gov/gene/266820", "266820")</f>
        <v>266820</v>
      </c>
      <c r="C14643" s="9" t="str">
        <f>HYPERLINK("http://www.ncbi.nlm.nih.gov/gene/7341", "7341")</f>
        <v>7341</v>
      </c>
      <c r="D14643" t="str">
        <f>"smo-1"</f>
        <v>smo-1</v>
      </c>
      <c r="E14643" t="s">
        <v>7882</v>
      </c>
      <c r="F14643" t="s">
        <v>11</v>
      </c>
      <c r="G14643" t="s">
        <v>7883</v>
      </c>
      <c r="H14643" s="12">
        <v>-1.1496333084853001</v>
      </c>
      <c r="I14643" s="20">
        <v>-0.63044319244296898</v>
      </c>
      <c r="J14643" s="28">
        <v>0.52840465899140399</v>
      </c>
      <c r="K14643" s="29">
        <v>0.98289565623980701</v>
      </c>
    </row>
    <row r="14644" spans="1:11" x14ac:dyDescent="0.35">
      <c r="A14644" s="9" t="str">
        <f>HYPERLINK("http://www.ensembl.org/id/WBGene00004891", "WBGene00004891")</f>
        <v>WBGene00004891</v>
      </c>
      <c r="B14644" s="9" t="str">
        <f>HYPERLINK("http://www.ncbi.nlm.nih.gov/gene/175281", "175281")</f>
        <v>175281</v>
      </c>
      <c r="C14644" s="9"/>
      <c r="D14644" t="str">
        <f>"smr-1"</f>
        <v>smr-1</v>
      </c>
      <c r="E14644" t="s">
        <v>7516</v>
      </c>
      <c r="F14644" t="s">
        <v>11</v>
      </c>
      <c r="G14644" t="s">
        <v>228</v>
      </c>
      <c r="H14644" s="12">
        <v>-1.1303647741240299</v>
      </c>
      <c r="I14644" s="20">
        <v>-0.59530516875350503</v>
      </c>
      <c r="J14644" s="28">
        <v>0.55163950152820895</v>
      </c>
      <c r="K14644" s="29">
        <v>0.98289565623980701</v>
      </c>
    </row>
    <row r="14645" spans="1:11" x14ac:dyDescent="0.35">
      <c r="A14645" s="9" t="str">
        <f>HYPERLINK("http://www.ensembl.org/id/WBGene00015806", "WBGene00015806")</f>
        <v>WBGene00015806</v>
      </c>
      <c r="B14645" s="9" t="str">
        <f>HYPERLINK("http://www.ncbi.nlm.nih.gov/gene/175907", "175907")</f>
        <v>175907</v>
      </c>
      <c r="C14645" s="9" t="str">
        <f>HYPERLINK("http://www.ncbi.nlm.nih.gov/gene/50485", "50485")</f>
        <v>50485</v>
      </c>
      <c r="D14645" t="str">
        <f>"smrc-1"</f>
        <v>smrc-1</v>
      </c>
      <c r="E14645" t="s">
        <v>6547</v>
      </c>
      <c r="F14645" t="s">
        <v>11</v>
      </c>
      <c r="G14645" t="s">
        <v>6548</v>
      </c>
      <c r="H14645" s="12">
        <v>-1.0752533774356701</v>
      </c>
      <c r="I14645" s="20">
        <v>-0.32331974824072002</v>
      </c>
      <c r="J14645" s="28">
        <v>0.74645309955571504</v>
      </c>
      <c r="K14645" s="29">
        <v>0.98289565623980701</v>
      </c>
    </row>
    <row r="14646" spans="1:11" x14ac:dyDescent="0.35">
      <c r="A14646" s="9" t="str">
        <f>HYPERLINK("http://www.ensembl.org/id/WBGene00004893", "WBGene00004893")</f>
        <v>WBGene00004893</v>
      </c>
      <c r="B14646" s="9" t="str">
        <f>HYPERLINK("http://www.ncbi.nlm.nih.gov/gene/180445", "180445")</f>
        <v>180445</v>
      </c>
      <c r="C14646" s="9"/>
      <c r="D14646" t="str">
        <f>"sms-2"</f>
        <v>sms-2</v>
      </c>
      <c r="E14646" t="s">
        <v>6004</v>
      </c>
      <c r="F14646" t="s">
        <v>11</v>
      </c>
      <c r="G14646" t="s">
        <v>5509</v>
      </c>
      <c r="H14646" s="12">
        <v>1.07339689986622</v>
      </c>
      <c r="I14646" s="20">
        <v>0.28455813101536098</v>
      </c>
      <c r="J14646" s="28">
        <v>0.775982692166445</v>
      </c>
      <c r="K14646" s="29">
        <v>0.98289565623980701</v>
      </c>
    </row>
    <row r="14647" spans="1:11" x14ac:dyDescent="0.35">
      <c r="A14647" s="9" t="str">
        <f>HYPERLINK("http://www.ensembl.org/id/WBGene00004894", "WBGene00004894")</f>
        <v>WBGene00004894</v>
      </c>
      <c r="B14647" s="9" t="str">
        <f>HYPERLINK("http://www.ncbi.nlm.nih.gov/gene/175313", "175313")</f>
        <v>175313</v>
      </c>
      <c r="C14647" s="9"/>
      <c r="D14647" t="str">
        <f>"sms-3"</f>
        <v>sms-3</v>
      </c>
      <c r="E14647" t="s">
        <v>5508</v>
      </c>
      <c r="F14647" t="s">
        <v>11</v>
      </c>
      <c r="G14647" t="s">
        <v>5509</v>
      </c>
      <c r="H14647" s="12">
        <v>1.1543528154636999</v>
      </c>
      <c r="I14647" s="20">
        <v>0.70418786703681202</v>
      </c>
      <c r="J14647" s="28">
        <v>0.48131578588857898</v>
      </c>
      <c r="K14647" s="29">
        <v>0.98289565623980701</v>
      </c>
    </row>
    <row r="14648" spans="1:11" x14ac:dyDescent="0.35">
      <c r="A14648" s="9" t="str">
        <f>HYPERLINK("http://www.ensembl.org/id/WBGene00004895", "WBGene00004895")</f>
        <v>WBGene00004895</v>
      </c>
      <c r="B14648" s="9" t="str">
        <f>HYPERLINK("http://www.ncbi.nlm.nih.gov/gene/173175", "173175")</f>
        <v>173175</v>
      </c>
      <c r="C14648" s="9" t="str">
        <f>HYPERLINK("http://www.ncbi.nlm.nih.gov/gene/55234", "55234")</f>
        <v>55234</v>
      </c>
      <c r="D14648" t="str">
        <f>"smu-1"</f>
        <v>smu-1</v>
      </c>
      <c r="E14648" t="s">
        <v>9482</v>
      </c>
      <c r="F14648" t="s">
        <v>11</v>
      </c>
      <c r="G14648" t="s">
        <v>9483</v>
      </c>
      <c r="H14648" s="12">
        <v>-1.25015249106552</v>
      </c>
      <c r="I14648" s="20">
        <v>-1.0559938594288401</v>
      </c>
      <c r="J14648" s="28">
        <v>0.29097102030611399</v>
      </c>
      <c r="K14648" s="29">
        <v>0.98289565623980701</v>
      </c>
    </row>
    <row r="14649" spans="1:11" x14ac:dyDescent="0.35">
      <c r="A14649" s="9" t="str">
        <f>HYPERLINK("http://www.ensembl.org/id/WBGene00004896", "WBGene00004896")</f>
        <v>WBGene00004896</v>
      </c>
      <c r="B14649" s="9" t="str">
        <f>HYPERLINK("http://www.ncbi.nlm.nih.gov/gene/173693", "173693")</f>
        <v>173693</v>
      </c>
      <c r="C14649" s="9"/>
      <c r="D14649" t="str">
        <f>"smu-2"</f>
        <v>smu-2</v>
      </c>
      <c r="E14649" t="s">
        <v>8135</v>
      </c>
      <c r="F14649" t="s">
        <v>11</v>
      </c>
      <c r="G14649" t="s">
        <v>8136</v>
      </c>
      <c r="H14649" s="12">
        <v>-1.1620017672466001</v>
      </c>
      <c r="I14649" s="20">
        <v>-0.73055797726369298</v>
      </c>
      <c r="J14649" s="28">
        <v>0.46504918778028198</v>
      </c>
      <c r="K14649" s="29">
        <v>0.98289565623980701</v>
      </c>
    </row>
    <row r="14650" spans="1:11" x14ac:dyDescent="0.35">
      <c r="A14650" s="9" t="str">
        <f>HYPERLINK("http://www.ensembl.org/id/WBGene00045194", "WBGene00045194")</f>
        <v>WBGene00045194</v>
      </c>
      <c r="B14650" s="9"/>
      <c r="C14650" s="9"/>
      <c r="D14650" t="str">
        <f>"smy-1"</f>
        <v>smy-1</v>
      </c>
      <c r="F14650" t="s">
        <v>4205</v>
      </c>
      <c r="H14650" s="12">
        <v>-2.11168541425259</v>
      </c>
      <c r="I14650" s="20">
        <v>-0.91935972315562897</v>
      </c>
      <c r="J14650" s="28">
        <v>0.35790744890834802</v>
      </c>
      <c r="K14650" s="29">
        <v>0.98289565623980701</v>
      </c>
    </row>
    <row r="14651" spans="1:11" x14ac:dyDescent="0.35">
      <c r="A14651" s="9" t="str">
        <f>HYPERLINK("http://www.ensembl.org/id/WBGene00045159", "WBGene00045159")</f>
        <v>WBGene00045159</v>
      </c>
      <c r="B14651" s="9"/>
      <c r="C14651" s="9"/>
      <c r="D14651" t="str">
        <f>"smy-3"</f>
        <v>smy-3</v>
      </c>
      <c r="F14651" t="s">
        <v>2977</v>
      </c>
      <c r="H14651" s="12">
        <v>-5.4967879193631202</v>
      </c>
      <c r="I14651" s="20">
        <v>-0.50254160819837501</v>
      </c>
      <c r="J14651" s="28">
        <v>0.61528659178453604</v>
      </c>
      <c r="K14651" s="29">
        <v>0.98289565623980701</v>
      </c>
    </row>
    <row r="14652" spans="1:11" x14ac:dyDescent="0.35">
      <c r="A14652" s="9" t="str">
        <f>HYPERLINK("http://www.ensembl.org/id/WBGene00020661", "WBGene00020661")</f>
        <v>WBGene00020661</v>
      </c>
      <c r="B14652" s="9" t="str">
        <f>HYPERLINK("http://www.ncbi.nlm.nih.gov/gene/172415", "172415")</f>
        <v>172415</v>
      </c>
      <c r="C14652" s="9"/>
      <c r="D14652" t="str">
        <f>"smz-2"</f>
        <v>smz-2</v>
      </c>
      <c r="E14652" t="s">
        <v>3444</v>
      </c>
      <c r="F14652" t="s">
        <v>11</v>
      </c>
      <c r="G14652" t="s">
        <v>3445</v>
      </c>
      <c r="H14652" s="12">
        <v>1.20353528153108</v>
      </c>
      <c r="I14652" s="20">
        <v>0.362719381972749</v>
      </c>
      <c r="J14652" s="28">
        <v>0.71681451965448695</v>
      </c>
      <c r="K14652" s="29">
        <v>0.98289565623980701</v>
      </c>
    </row>
    <row r="14653" spans="1:11" x14ac:dyDescent="0.35">
      <c r="A14653" s="9" t="str">
        <f>HYPERLINK("http://www.ensembl.org/id/WBGene00020951", "WBGene00020951")</f>
        <v>WBGene00020951</v>
      </c>
      <c r="B14653" s="9" t="str">
        <f>HYPERLINK("http://www.ncbi.nlm.nih.gov/gene/179064", "179064")</f>
        <v>179064</v>
      </c>
      <c r="C14653" s="9"/>
      <c r="D14653" t="str">
        <f>"sna-1"</f>
        <v>sna-1</v>
      </c>
      <c r="E14653" t="s">
        <v>3841</v>
      </c>
      <c r="F14653" t="s">
        <v>11</v>
      </c>
      <c r="G14653" t="s">
        <v>9272</v>
      </c>
      <c r="H14653" s="12">
        <v>-1.23252930218379</v>
      </c>
      <c r="I14653" s="20">
        <v>-1.00094061805135</v>
      </c>
      <c r="J14653" s="28">
        <v>0.31685551788669802</v>
      </c>
      <c r="K14653" s="29">
        <v>0.98289565623980701</v>
      </c>
    </row>
    <row r="14654" spans="1:11" x14ac:dyDescent="0.35">
      <c r="A14654" s="9" t="str">
        <f>HYPERLINK("http://www.ensembl.org/id/WBGene00019305", "WBGene00019305")</f>
        <v>WBGene00019305</v>
      </c>
      <c r="B14654" s="9" t="str">
        <f>HYPERLINK("http://www.ncbi.nlm.nih.gov/gene/176233", "176233")</f>
        <v>176233</v>
      </c>
      <c r="C14654" s="9" t="str">
        <f>HYPERLINK("http://www.ncbi.nlm.nih.gov/gene/9342", "9342")</f>
        <v>9342</v>
      </c>
      <c r="D14654" t="str">
        <f>"snap-29"</f>
        <v>snap-29</v>
      </c>
      <c r="E14654" t="s">
        <v>9397</v>
      </c>
      <c r="F14654" t="s">
        <v>11</v>
      </c>
      <c r="G14654" t="s">
        <v>9398</v>
      </c>
      <c r="H14654" s="12">
        <v>-1.2435567424826399</v>
      </c>
      <c r="I14654" s="20">
        <v>-1.1962420290462701</v>
      </c>
      <c r="J14654" s="28">
        <v>0.231602123892478</v>
      </c>
      <c r="K14654" s="29">
        <v>0.98289565623980701</v>
      </c>
    </row>
    <row r="14655" spans="1:11" x14ac:dyDescent="0.35">
      <c r="A14655" s="9" t="str">
        <f>HYPERLINK("http://www.ensembl.org/id/WBGene00004897", "WBGene00004897")</f>
        <v>WBGene00004897</v>
      </c>
      <c r="B14655" s="9" t="str">
        <f>HYPERLINK("http://www.ncbi.nlm.nih.gov/gene/266648", "266648")</f>
        <v>266648</v>
      </c>
      <c r="C14655" s="9" t="str">
        <f>HYPERLINK("http://www.ncbi.nlm.nih.gov/gene/6843", "6843")</f>
        <v>6843</v>
      </c>
      <c r="D14655" t="str">
        <f>"snb-1"</f>
        <v>snb-1</v>
      </c>
      <c r="E14655" t="s">
        <v>8742</v>
      </c>
      <c r="F14655" t="s">
        <v>11</v>
      </c>
      <c r="G14655" t="s">
        <v>8743</v>
      </c>
      <c r="H14655" s="12">
        <v>-1.19384393610721</v>
      </c>
      <c r="I14655" s="20">
        <v>-0.98991117623705605</v>
      </c>
      <c r="J14655" s="28">
        <v>0.322217536271726</v>
      </c>
      <c r="K14655" s="29">
        <v>0.98289565623980701</v>
      </c>
    </row>
    <row r="14656" spans="1:11" x14ac:dyDescent="0.35">
      <c r="A14656" s="9" t="str">
        <f>HYPERLINK("http://www.ensembl.org/id/WBGene00004898", "WBGene00004898")</f>
        <v>WBGene00004898</v>
      </c>
      <c r="B14656" s="9" t="str">
        <f>HYPERLINK("http://www.ncbi.nlm.nih.gov/gene/179692", "179692")</f>
        <v>179692</v>
      </c>
      <c r="C14656" s="9"/>
      <c r="D14656" t="str">
        <f>"snb-2"</f>
        <v>snb-2</v>
      </c>
      <c r="E14656" t="s">
        <v>6201</v>
      </c>
      <c r="F14656" t="s">
        <v>11</v>
      </c>
      <c r="G14656" t="s">
        <v>6202</v>
      </c>
      <c r="H14656" s="12">
        <v>-1.05346592929689</v>
      </c>
      <c r="I14656" s="20">
        <v>-0.25301186943800202</v>
      </c>
      <c r="J14656" s="28">
        <v>0.80025904106747603</v>
      </c>
      <c r="K14656" s="29">
        <v>0.98289565623980701</v>
      </c>
    </row>
    <row r="14657" spans="1:11" x14ac:dyDescent="0.35">
      <c r="A14657" s="9" t="str">
        <f>HYPERLINK("http://www.ensembl.org/id/WBGene00004899", "WBGene00004899")</f>
        <v>WBGene00004899</v>
      </c>
      <c r="B14657" s="9" t="str">
        <f>HYPERLINK("http://www.ncbi.nlm.nih.gov/gene/191767", "191767")</f>
        <v>191767</v>
      </c>
      <c r="C14657" s="9"/>
      <c r="D14657" t="str">
        <f>"snb-5"</f>
        <v>snb-5</v>
      </c>
      <c r="E14657" t="s">
        <v>4383</v>
      </c>
      <c r="F14657" t="s">
        <v>11</v>
      </c>
      <c r="G14657" t="s">
        <v>4384</v>
      </c>
      <c r="H14657" s="12">
        <v>2.4578120077400301</v>
      </c>
      <c r="I14657" s="20">
        <v>0.26093350314551</v>
      </c>
      <c r="J14657" s="28">
        <v>0.79414378780213601</v>
      </c>
      <c r="K14657" s="29">
        <v>0.98289565623980701</v>
      </c>
    </row>
    <row r="14658" spans="1:11" x14ac:dyDescent="0.35">
      <c r="A14658" s="9" t="str">
        <f>HYPERLINK("http://www.ensembl.org/id/WBGene00004900", "WBGene00004900")</f>
        <v>WBGene00004900</v>
      </c>
      <c r="B14658" s="9" t="str">
        <f>HYPERLINK("http://www.ncbi.nlm.nih.gov/gene/172119", "172119")</f>
        <v>172119</v>
      </c>
      <c r="C14658" s="9"/>
      <c r="D14658" t="str">
        <f>"snf-1"</f>
        <v>snf-1</v>
      </c>
      <c r="E14658" t="s">
        <v>5489</v>
      </c>
      <c r="F14658" t="s">
        <v>11</v>
      </c>
      <c r="G14658" t="s">
        <v>5490</v>
      </c>
      <c r="H14658" s="12">
        <v>1.1588205544121799</v>
      </c>
      <c r="I14658" s="20">
        <v>0.76484209760351896</v>
      </c>
      <c r="J14658" s="28">
        <v>0.44436557648265601</v>
      </c>
      <c r="K14658" s="29">
        <v>0.98289565623980701</v>
      </c>
    </row>
    <row r="14659" spans="1:11" x14ac:dyDescent="0.35">
      <c r="A14659" s="9" t="str">
        <f>HYPERLINK("http://www.ensembl.org/id/WBGene00004909", "WBGene00004909")</f>
        <v>WBGene00004909</v>
      </c>
      <c r="B14659" s="9" t="str">
        <f>HYPERLINK("http://www.ncbi.nlm.nih.gov/gene/191769", "191769")</f>
        <v>191769</v>
      </c>
      <c r="C14659" s="9"/>
      <c r="D14659" t="str">
        <f>"snf-10"</f>
        <v>snf-10</v>
      </c>
      <c r="E14659" t="s">
        <v>537</v>
      </c>
      <c r="F14659" t="s">
        <v>11</v>
      </c>
      <c r="G14659" t="s">
        <v>4391</v>
      </c>
      <c r="H14659" s="12">
        <v>2.4252960847972802</v>
      </c>
      <c r="I14659" s="20">
        <v>0.41367737763458601</v>
      </c>
      <c r="J14659" s="28">
        <v>0.67911039684285601</v>
      </c>
      <c r="K14659" s="29">
        <v>0.98289565623980701</v>
      </c>
    </row>
    <row r="14660" spans="1:11" x14ac:dyDescent="0.35">
      <c r="A14660" s="9" t="str">
        <f>HYPERLINK("http://www.ensembl.org/id/WBGene00004910", "WBGene00004910")</f>
        <v>WBGene00004910</v>
      </c>
      <c r="B14660" s="9" t="str">
        <f>HYPERLINK("http://www.ncbi.nlm.nih.gov/gene/191770", "191770")</f>
        <v>191770</v>
      </c>
      <c r="C14660" s="9" t="str">
        <f>HYPERLINK("http://www.ncbi.nlm.nih.gov/gene/6529", "6529")</f>
        <v>6529</v>
      </c>
      <c r="D14660" t="str">
        <f>"snf-11"</f>
        <v>snf-11</v>
      </c>
      <c r="E14660" t="s">
        <v>537</v>
      </c>
      <c r="F14660" t="s">
        <v>11</v>
      </c>
      <c r="G14660" t="s">
        <v>5634</v>
      </c>
      <c r="H14660" s="12">
        <v>1.13186803918422</v>
      </c>
      <c r="I14660" s="20">
        <v>0.55732010075957605</v>
      </c>
      <c r="J14660" s="28">
        <v>0.57730874452593695</v>
      </c>
      <c r="K14660" s="29">
        <v>0.98289565623980701</v>
      </c>
    </row>
    <row r="14661" spans="1:11" x14ac:dyDescent="0.35">
      <c r="A14661" s="9" t="str">
        <f>HYPERLINK("http://www.ensembl.org/id/WBGene00004901", "WBGene00004901")</f>
        <v>WBGene00004901</v>
      </c>
      <c r="B14661" s="9" t="str">
        <f>HYPERLINK("http://www.ncbi.nlm.nih.gov/gene/172701", "172701")</f>
        <v>172701</v>
      </c>
      <c r="C14661" s="9"/>
      <c r="D14661" t="str">
        <f>"snf-2"</f>
        <v>snf-2</v>
      </c>
      <c r="E14661" t="s">
        <v>537</v>
      </c>
      <c r="F14661" t="s">
        <v>11</v>
      </c>
      <c r="G14661" t="s">
        <v>4344</v>
      </c>
      <c r="H14661" s="12">
        <v>2.8646764772551601</v>
      </c>
      <c r="I14661" s="20">
        <v>0.81540696609565999</v>
      </c>
      <c r="J14661" s="28">
        <v>0.41483939820743998</v>
      </c>
      <c r="K14661" s="29">
        <v>0.98289565623980701</v>
      </c>
    </row>
    <row r="14662" spans="1:11" x14ac:dyDescent="0.35">
      <c r="A14662" s="9" t="str">
        <f>HYPERLINK("http://www.ensembl.org/id/WBGene00004902", "WBGene00004902")</f>
        <v>WBGene00004902</v>
      </c>
      <c r="B14662" s="9" t="str">
        <f>HYPERLINK("http://www.ncbi.nlm.nih.gov/gene/173493", "173493")</f>
        <v>173493</v>
      </c>
      <c r="C14662" s="9"/>
      <c r="D14662" t="str">
        <f>"snf-3"</f>
        <v>snf-3</v>
      </c>
      <c r="E14662" t="s">
        <v>5703</v>
      </c>
      <c r="F14662" t="s">
        <v>11</v>
      </c>
      <c r="G14662" t="s">
        <v>5704</v>
      </c>
      <c r="H14662" s="12">
        <v>1.1193095104414701</v>
      </c>
      <c r="I14662" s="20">
        <v>0.61214628243595004</v>
      </c>
      <c r="J14662" s="28">
        <v>0.540440978456594</v>
      </c>
      <c r="K14662" s="29">
        <v>0.98289565623980701</v>
      </c>
    </row>
    <row r="14663" spans="1:11" x14ac:dyDescent="0.35">
      <c r="A14663" s="9" t="str">
        <f>HYPERLINK("http://www.ensembl.org/id/WBGene00004905", "WBGene00004905")</f>
        <v>WBGene00004905</v>
      </c>
      <c r="B14663" s="9" t="str">
        <f>HYPERLINK("http://www.ncbi.nlm.nih.gov/gene/191768", "191768")</f>
        <v>191768</v>
      </c>
      <c r="C14663" s="9"/>
      <c r="D14663" t="str">
        <f>"snf-6"</f>
        <v>snf-6</v>
      </c>
      <c r="E14663" t="s">
        <v>6392</v>
      </c>
      <c r="F14663" t="s">
        <v>11</v>
      </c>
      <c r="G14663" t="s">
        <v>6393</v>
      </c>
      <c r="H14663" s="12">
        <v>-1.0668801972041999</v>
      </c>
      <c r="I14663" s="20">
        <v>-0.28392581599833799</v>
      </c>
      <c r="J14663" s="28">
        <v>0.77646723197730405</v>
      </c>
      <c r="K14663" s="29">
        <v>0.98289565623980701</v>
      </c>
    </row>
    <row r="14664" spans="1:11" x14ac:dyDescent="0.35">
      <c r="A14664" s="9" t="str">
        <f>HYPERLINK("http://www.ensembl.org/id/WBGene00004906", "WBGene00004906")</f>
        <v>WBGene00004906</v>
      </c>
      <c r="B14664" s="9" t="str">
        <f>HYPERLINK("http://www.ncbi.nlm.nih.gov/gene/176723", "176723")</f>
        <v>176723</v>
      </c>
      <c r="C14664" s="9"/>
      <c r="D14664" t="str">
        <f>"snf-7"</f>
        <v>snf-7</v>
      </c>
      <c r="E14664" t="s">
        <v>537</v>
      </c>
      <c r="F14664" t="s">
        <v>11</v>
      </c>
      <c r="G14664" t="s">
        <v>4344</v>
      </c>
      <c r="H14664" s="12">
        <v>2.4365504573550298</v>
      </c>
      <c r="I14664" s="20">
        <v>0.63748408786153699</v>
      </c>
      <c r="J14664" s="28">
        <v>0.52380957141060602</v>
      </c>
      <c r="K14664" s="29">
        <v>0.98289565623980701</v>
      </c>
    </row>
    <row r="14665" spans="1:11" x14ac:dyDescent="0.35">
      <c r="A14665" s="9" t="str">
        <f>HYPERLINK("http://www.ensembl.org/id/WBGene00004907", "WBGene00004907")</f>
        <v>WBGene00004907</v>
      </c>
      <c r="B14665" s="9"/>
      <c r="C14665" s="9"/>
      <c r="D14665" t="str">
        <f>"snf-8"</f>
        <v>snf-8</v>
      </c>
      <c r="F14665" t="s">
        <v>80</v>
      </c>
      <c r="H14665" s="12">
        <v>2.4050125688350201</v>
      </c>
      <c r="I14665" s="20">
        <v>0.888485911955466</v>
      </c>
      <c r="J14665" s="28">
        <v>0.37427943063033098</v>
      </c>
      <c r="K14665" s="29">
        <v>0.98289565623980701</v>
      </c>
    </row>
    <row r="14666" spans="1:11" x14ac:dyDescent="0.35">
      <c r="A14666" s="9" t="str">
        <f>HYPERLINK("http://www.ensembl.org/id/WBGene00004908", "WBGene00004908")</f>
        <v>WBGene00004908</v>
      </c>
      <c r="B14666" s="9" t="str">
        <f>HYPERLINK("http://www.ncbi.nlm.nih.gov/gene/178512", "178512")</f>
        <v>178512</v>
      </c>
      <c r="C14666" s="9"/>
      <c r="D14666" t="str">
        <f>"snf-9"</f>
        <v>snf-9</v>
      </c>
      <c r="E14666" t="s">
        <v>537</v>
      </c>
      <c r="F14666" t="s">
        <v>11</v>
      </c>
      <c r="G14666" t="s">
        <v>4344</v>
      </c>
      <c r="H14666" s="12">
        <v>-1.23183751085772</v>
      </c>
      <c r="I14666" s="20">
        <v>-1.14735552440719</v>
      </c>
      <c r="J14666" s="28">
        <v>0.25123471474335701</v>
      </c>
      <c r="K14666" s="29">
        <v>0.98289565623980701</v>
      </c>
    </row>
    <row r="14667" spans="1:11" x14ac:dyDescent="0.35">
      <c r="A14667" s="9" t="str">
        <f>HYPERLINK("http://www.ensembl.org/id/WBGene00011111", "WBGene00011111")</f>
        <v>WBGene00011111</v>
      </c>
      <c r="B14667" s="9" t="str">
        <f>HYPERLINK("http://www.ncbi.nlm.nih.gov/gene/175571", "175571")</f>
        <v>175571</v>
      </c>
      <c r="C14667" s="9" t="str">
        <f>HYPERLINK("http://www.ncbi.nlm.nih.gov/gene/6598", "6598")</f>
        <v>6598</v>
      </c>
      <c r="D14667" t="str">
        <f>"snfc-5"</f>
        <v>snfc-5</v>
      </c>
      <c r="E14667" t="s">
        <v>6731</v>
      </c>
      <c r="F14667" t="s">
        <v>11</v>
      </c>
      <c r="G14667" t="s">
        <v>6732</v>
      </c>
      <c r="H14667" s="12">
        <v>-1.0862930022014801</v>
      </c>
      <c r="I14667" s="20">
        <v>-0.36592701940626299</v>
      </c>
      <c r="J14667" s="28">
        <v>0.71441953399678704</v>
      </c>
      <c r="K14667" s="29">
        <v>0.98289565623980701</v>
      </c>
    </row>
    <row r="14668" spans="1:11" x14ac:dyDescent="0.35">
      <c r="A14668" s="9" t="str">
        <f>HYPERLINK("http://www.ensembl.org/id/WBGene00004912", "WBGene00004912")</f>
        <v>WBGene00004912</v>
      </c>
      <c r="B14668" s="9" t="str">
        <f>HYPERLINK("http://www.ncbi.nlm.nih.gov/gene/180995", "180995")</f>
        <v>180995</v>
      </c>
      <c r="C14668" s="9" t="str">
        <f>HYPERLINK("http://www.ncbi.nlm.nih.gov/gene/9145", "9145")</f>
        <v>9145</v>
      </c>
      <c r="D14668" t="str">
        <f>"sng-1"</f>
        <v>sng-1</v>
      </c>
      <c r="E14668" t="s">
        <v>5071</v>
      </c>
      <c r="F14668" t="s">
        <v>11</v>
      </c>
      <c r="G14668" t="s">
        <v>5072</v>
      </c>
      <c r="H14668" s="12">
        <v>1.24659320185101</v>
      </c>
      <c r="I14668" s="20">
        <v>0.85296632726462895</v>
      </c>
      <c r="J14668" s="28">
        <v>0.39367797773297902</v>
      </c>
      <c r="K14668" s="29">
        <v>0.98289565623980701</v>
      </c>
    </row>
    <row r="14669" spans="1:11" x14ac:dyDescent="0.35">
      <c r="A14669" s="9" t="str">
        <f>HYPERLINK("http://www.ensembl.org/id/WBGene00004913", "WBGene00004913")</f>
        <v>WBGene00004913</v>
      </c>
      <c r="B14669" s="9" t="str">
        <f>HYPERLINK("http://www.ncbi.nlm.nih.gov/gene/176987", "176987")</f>
        <v>176987</v>
      </c>
      <c r="C14669" s="9" t="str">
        <f>HYPERLINK("http://www.ncbi.nlm.nih.gov/gene/8224", "8224")</f>
        <v>8224</v>
      </c>
      <c r="D14669" t="str">
        <f>"snn-1"</f>
        <v>snn-1</v>
      </c>
      <c r="E14669" t="s">
        <v>5339</v>
      </c>
      <c r="F14669" t="s">
        <v>11</v>
      </c>
      <c r="G14669" t="s">
        <v>5340</v>
      </c>
      <c r="H14669" s="12">
        <v>1.18625991295911</v>
      </c>
      <c r="I14669" s="20">
        <v>0.66196036659103497</v>
      </c>
      <c r="J14669" s="28">
        <v>0.50799662227481601</v>
      </c>
      <c r="K14669" s="29">
        <v>0.98289565623980701</v>
      </c>
    </row>
    <row r="14670" spans="1:11" x14ac:dyDescent="0.35">
      <c r="A14670" s="9" t="str">
        <f>HYPERLINK("http://www.ensembl.org/id/WBGene00017265", "WBGene00017265")</f>
        <v>WBGene00017265</v>
      </c>
      <c r="B14670" s="9" t="str">
        <f>HYPERLINK("http://www.ncbi.nlm.nih.gov/gene/178929", "178929")</f>
        <v>178929</v>
      </c>
      <c r="C14670" s="9"/>
      <c r="D14670" t="str">
        <f>"snpc-1.3"</f>
        <v>snpc-1.3</v>
      </c>
      <c r="E14670" t="s">
        <v>728</v>
      </c>
      <c r="F14670" t="s">
        <v>11</v>
      </c>
      <c r="G14670" t="s">
        <v>729</v>
      </c>
      <c r="H14670" s="12">
        <v>-1.73495769773842</v>
      </c>
      <c r="I14670" s="20">
        <v>-0.96127507843795201</v>
      </c>
      <c r="J14670" s="28">
        <v>0.33641387516494398</v>
      </c>
      <c r="K14670" s="29">
        <v>0.98289565623980701</v>
      </c>
    </row>
    <row r="14671" spans="1:11" x14ac:dyDescent="0.35">
      <c r="A14671" s="9" t="str">
        <f>HYPERLINK("http://www.ensembl.org/id/WBGene00015098", "WBGene00015098")</f>
        <v>WBGene00015098</v>
      </c>
      <c r="B14671" s="9" t="str">
        <f>HYPERLINK("http://www.ncbi.nlm.nih.gov/gene/177331", "177331")</f>
        <v>177331</v>
      </c>
      <c r="C14671" s="9"/>
      <c r="D14671" t="str">
        <f>"snpc-3.1"</f>
        <v>snpc-3.1</v>
      </c>
      <c r="E14671" t="s">
        <v>728</v>
      </c>
      <c r="F14671" t="s">
        <v>11</v>
      </c>
      <c r="G14671" t="s">
        <v>3534</v>
      </c>
      <c r="H14671" s="12">
        <v>-1.82011220532875</v>
      </c>
      <c r="I14671" s="20">
        <v>-0.966730564901504</v>
      </c>
      <c r="J14671" s="28">
        <v>0.333678743344133</v>
      </c>
      <c r="K14671" s="29">
        <v>0.98289565623980701</v>
      </c>
    </row>
    <row r="14672" spans="1:11" x14ac:dyDescent="0.35">
      <c r="A14672" s="9" t="str">
        <f>HYPERLINK("http://www.ensembl.org/id/WBGene00021662", "WBGene00021662")</f>
        <v>WBGene00021662</v>
      </c>
      <c r="B14672" s="9" t="str">
        <f>HYPERLINK("http://www.ncbi.nlm.nih.gov/gene/190031", "190031")</f>
        <v>190031</v>
      </c>
      <c r="C14672" s="9"/>
      <c r="D14672" t="str">
        <f>"snpc-3.3"</f>
        <v>snpc-3.3</v>
      </c>
      <c r="E14672" t="s">
        <v>728</v>
      </c>
      <c r="F14672" t="s">
        <v>11</v>
      </c>
      <c r="H14672" s="12">
        <v>-1.68171566129804</v>
      </c>
      <c r="I14672" s="20">
        <v>-0.47168007268588602</v>
      </c>
      <c r="J14672" s="28">
        <v>0.63715516289191099</v>
      </c>
      <c r="K14672" s="29">
        <v>0.98289565623980701</v>
      </c>
    </row>
    <row r="14673" spans="1:11" x14ac:dyDescent="0.35">
      <c r="A14673" s="9" t="str">
        <f>HYPERLINK("http://www.ensembl.org/id/WBGene00011367", "WBGene00011367")</f>
        <v>WBGene00011367</v>
      </c>
      <c r="B14673" s="9" t="str">
        <f>HYPERLINK("http://www.ncbi.nlm.nih.gov/gene/192054", "192054")</f>
        <v>192054</v>
      </c>
      <c r="C14673" s="9"/>
      <c r="D14673" t="str">
        <f>"snpc-3.4"</f>
        <v>snpc-3.4</v>
      </c>
      <c r="E14673" t="s">
        <v>728</v>
      </c>
      <c r="F14673" t="s">
        <v>11</v>
      </c>
      <c r="G14673" t="s">
        <v>3534</v>
      </c>
      <c r="H14673" s="12">
        <v>-1.27304721786597</v>
      </c>
      <c r="I14673" s="20">
        <v>-1.0664508833553501</v>
      </c>
      <c r="J14673" s="28">
        <v>0.28621987046658998</v>
      </c>
      <c r="K14673" s="29">
        <v>0.98289565623980701</v>
      </c>
    </row>
    <row r="14674" spans="1:11" x14ac:dyDescent="0.35">
      <c r="A14674" s="9" t="str">
        <f>HYPERLINK("http://www.ensembl.org/id/WBGene00001568", "WBGene00001568")</f>
        <v>WBGene00001568</v>
      </c>
      <c r="B14674" s="9" t="str">
        <f>HYPERLINK("http://www.ncbi.nlm.nih.gov/gene/172711", "172711")</f>
        <v>172711</v>
      </c>
      <c r="C14674" s="9"/>
      <c r="D14674" t="str">
        <f>"snpc-4"</f>
        <v>snpc-4</v>
      </c>
      <c r="E14674" t="s">
        <v>9396</v>
      </c>
      <c r="F14674" t="s">
        <v>11</v>
      </c>
      <c r="G14674" t="s">
        <v>3049</v>
      </c>
      <c r="H14674" s="12">
        <v>-1.2433036775803901</v>
      </c>
      <c r="I14674" s="20">
        <v>-1.0311792864349201</v>
      </c>
      <c r="J14674" s="28">
        <v>0.30245675226600299</v>
      </c>
      <c r="K14674" s="29">
        <v>0.98289565623980701</v>
      </c>
    </row>
    <row r="14675" spans="1:11" x14ac:dyDescent="0.35">
      <c r="A14675" s="9" t="str">
        <f>HYPERLINK("http://www.ensembl.org/id/WBGene00004914", "WBGene00004914")</f>
        <v>WBGene00004914</v>
      </c>
      <c r="B14675" s="9" t="str">
        <f>HYPERLINK("http://www.ncbi.nlm.nih.gov/gene/178483", "178483")</f>
        <v>178483</v>
      </c>
      <c r="C14675" s="9" t="str">
        <f>HYPERLINK("http://www.ncbi.nlm.nih.gov/gene/6634", "6634")</f>
        <v>6634</v>
      </c>
      <c r="D14675" t="str">
        <f>"snr-1"</f>
        <v>snr-1</v>
      </c>
      <c r="E14675" t="s">
        <v>9355</v>
      </c>
      <c r="F14675" t="s">
        <v>11</v>
      </c>
      <c r="G14675" t="s">
        <v>9356</v>
      </c>
      <c r="H14675" s="12">
        <v>-1.2405905257202501</v>
      </c>
      <c r="I14675" s="20">
        <v>-1.0181686314813001</v>
      </c>
      <c r="J14675" s="28">
        <v>0.30859782397382002</v>
      </c>
      <c r="K14675" s="29">
        <v>0.98289565623980701</v>
      </c>
    </row>
    <row r="14676" spans="1:11" x14ac:dyDescent="0.35">
      <c r="A14676" s="9" t="str">
        <f>HYPERLINK("http://www.ensembl.org/id/WBGene00004915", "WBGene00004915")</f>
        <v>WBGene00004915</v>
      </c>
      <c r="B14676" s="9" t="str">
        <f>HYPERLINK("http://www.ncbi.nlm.nih.gov/gene/173204", "173204")</f>
        <v>173204</v>
      </c>
      <c r="C14676" s="9" t="str">
        <f>HYPERLINK("http://www.ncbi.nlm.nih.gov/gene/6638", "6638")</f>
        <v>6638</v>
      </c>
      <c r="D14676" t="str">
        <f>"snr-2"</f>
        <v>snr-2</v>
      </c>
      <c r="E14676" t="s">
        <v>8117</v>
      </c>
      <c r="F14676" t="s">
        <v>11</v>
      </c>
      <c r="G14676" t="s">
        <v>8118</v>
      </c>
      <c r="H14676" s="12">
        <v>-1.1611160203288799</v>
      </c>
      <c r="I14676" s="20">
        <v>-0.69128001594431299</v>
      </c>
      <c r="J14676" s="28">
        <v>0.48938958786745801</v>
      </c>
      <c r="K14676" s="29">
        <v>0.98289565623980701</v>
      </c>
    </row>
    <row r="14677" spans="1:11" x14ac:dyDescent="0.35">
      <c r="A14677" s="9" t="str">
        <f>HYPERLINK("http://www.ensembl.org/id/WBGene00004916", "WBGene00004916")</f>
        <v>WBGene00004916</v>
      </c>
      <c r="B14677" s="9" t="str">
        <f>HYPERLINK("http://www.ncbi.nlm.nih.gov/gene/174072", "174072")</f>
        <v>174072</v>
      </c>
      <c r="C14677" s="9" t="str">
        <f>HYPERLINK("http://www.ncbi.nlm.nih.gov/gene/6632", "6632")</f>
        <v>6632</v>
      </c>
      <c r="D14677" t="str">
        <f>"snr-3"</f>
        <v>snr-3</v>
      </c>
      <c r="E14677" t="s">
        <v>6993</v>
      </c>
      <c r="F14677" t="s">
        <v>11</v>
      </c>
      <c r="G14677" t="s">
        <v>6994</v>
      </c>
      <c r="H14677" s="12">
        <v>-1.1014294245551799</v>
      </c>
      <c r="I14677" s="20">
        <v>-0.46272472836762601</v>
      </c>
      <c r="J14677" s="28">
        <v>0.64356169094137905</v>
      </c>
      <c r="K14677" s="29">
        <v>0.98289565623980701</v>
      </c>
    </row>
    <row r="14678" spans="1:11" x14ac:dyDescent="0.35">
      <c r="A14678" s="9" t="str">
        <f>HYPERLINK("http://www.ensembl.org/id/WBGene00004917", "WBGene00004917")</f>
        <v>WBGene00004917</v>
      </c>
      <c r="B14678" s="9" t="str">
        <f>HYPERLINK("http://www.ncbi.nlm.nih.gov/gene/179639", "179639")</f>
        <v>179639</v>
      </c>
      <c r="C14678" s="9" t="str">
        <f>HYPERLINK("http://www.ncbi.nlm.nih.gov/gene/6633", "6633")</f>
        <v>6633</v>
      </c>
      <c r="D14678" t="str">
        <f>"snr-4"</f>
        <v>snr-4</v>
      </c>
      <c r="E14678" t="s">
        <v>8081</v>
      </c>
      <c r="F14678" t="s">
        <v>11</v>
      </c>
      <c r="G14678" t="s">
        <v>8082</v>
      </c>
      <c r="H14678" s="12">
        <v>-1.1601334890360799</v>
      </c>
      <c r="I14678" s="20">
        <v>-0.71120713085544796</v>
      </c>
      <c r="J14678" s="28">
        <v>0.476955890380652</v>
      </c>
      <c r="K14678" s="29">
        <v>0.98289565623980701</v>
      </c>
    </row>
    <row r="14679" spans="1:11" x14ac:dyDescent="0.35">
      <c r="A14679" s="9" t="str">
        <f>HYPERLINK("http://www.ensembl.org/id/WBGene00004918", "WBGene00004918")</f>
        <v>WBGene00004918</v>
      </c>
      <c r="B14679" s="9" t="str">
        <f>HYPERLINK("http://www.ncbi.nlm.nih.gov/gene/176103", "176103")</f>
        <v>176103</v>
      </c>
      <c r="C14679" s="9"/>
      <c r="D14679" t="str">
        <f>"snr-5"</f>
        <v>snr-5</v>
      </c>
      <c r="E14679" t="s">
        <v>6736</v>
      </c>
      <c r="F14679" t="s">
        <v>11</v>
      </c>
      <c r="G14679" t="s">
        <v>6737</v>
      </c>
      <c r="H14679" s="12">
        <v>-1.0864776484940799</v>
      </c>
      <c r="I14679" s="20">
        <v>-0.372949261544605</v>
      </c>
      <c r="J14679" s="28">
        <v>0.70918620725960602</v>
      </c>
      <c r="K14679" s="29">
        <v>0.98289565623980701</v>
      </c>
    </row>
    <row r="14680" spans="1:11" x14ac:dyDescent="0.35">
      <c r="A14680" s="9" t="str">
        <f>HYPERLINK("http://www.ensembl.org/id/WBGene00004919", "WBGene00004919")</f>
        <v>WBGene00004919</v>
      </c>
      <c r="B14680" s="9" t="str">
        <f>HYPERLINK("http://www.ncbi.nlm.nih.gov/gene/176668", "176668")</f>
        <v>176668</v>
      </c>
      <c r="C14680" s="9"/>
      <c r="D14680" t="str">
        <f>"snr-6"</f>
        <v>snr-6</v>
      </c>
      <c r="E14680" t="s">
        <v>8563</v>
      </c>
      <c r="F14680" t="s">
        <v>11</v>
      </c>
      <c r="G14680" t="s">
        <v>8564</v>
      </c>
      <c r="H14680" s="12">
        <v>-1.1838766272490999</v>
      </c>
      <c r="I14680" s="20">
        <v>-0.77084023415229097</v>
      </c>
      <c r="J14680" s="28">
        <v>0.44080163585741899</v>
      </c>
      <c r="K14680" s="29">
        <v>0.98289565623980701</v>
      </c>
    </row>
    <row r="14681" spans="1:11" x14ac:dyDescent="0.35">
      <c r="A14681" s="9" t="str">
        <f>HYPERLINK("http://www.ensembl.org/id/WBGene00011035", "WBGene00011035")</f>
        <v>WBGene00011035</v>
      </c>
      <c r="B14681" s="9" t="str">
        <f>HYPERLINK("http://www.ncbi.nlm.nih.gov/gene/172652", "172652")</f>
        <v>172652</v>
      </c>
      <c r="C14681" s="9"/>
      <c r="D14681" t="str">
        <f>"snrp-27"</f>
        <v>snrp-27</v>
      </c>
      <c r="E14681" t="s">
        <v>1621</v>
      </c>
      <c r="F14681" t="s">
        <v>11</v>
      </c>
      <c r="G14681" t="s">
        <v>5556</v>
      </c>
      <c r="H14681" s="12">
        <v>-1.2192525228665101</v>
      </c>
      <c r="I14681" s="20">
        <v>-0.93155421819040696</v>
      </c>
      <c r="J14681" s="28">
        <v>0.35156695240010999</v>
      </c>
      <c r="K14681" s="29">
        <v>0.98289565623980701</v>
      </c>
    </row>
    <row r="14682" spans="1:11" x14ac:dyDescent="0.35">
      <c r="A14682" s="9" t="str">
        <f>HYPERLINK("http://www.ensembl.org/id/WBGene00004922", "WBGene00004922")</f>
        <v>WBGene00004922</v>
      </c>
      <c r="B14682" s="9" t="str">
        <f>HYPERLINK("http://www.ncbi.nlm.nih.gov/gene/185680", "185680")</f>
        <v>185680</v>
      </c>
      <c r="C14682" s="9"/>
      <c r="D14682" t="str">
        <f>"snt-2"</f>
        <v>snt-2</v>
      </c>
      <c r="E14682" t="s">
        <v>6505</v>
      </c>
      <c r="F14682" t="s">
        <v>11</v>
      </c>
      <c r="G14682" t="s">
        <v>6506</v>
      </c>
      <c r="H14682" s="12">
        <v>-1.0725115539508701</v>
      </c>
      <c r="I14682" s="20">
        <v>-0.317860797321533</v>
      </c>
      <c r="J14682" s="28">
        <v>0.75059053072089998</v>
      </c>
      <c r="K14682" s="29">
        <v>0.98289565623980701</v>
      </c>
    </row>
    <row r="14683" spans="1:11" x14ac:dyDescent="0.35">
      <c r="A14683" s="9" t="str">
        <f>HYPERLINK("http://www.ensembl.org/id/WBGene00004926", "WBGene00004926")</f>
        <v>WBGene00004926</v>
      </c>
      <c r="B14683" s="9" t="str">
        <f>HYPERLINK("http://www.ncbi.nlm.nih.gov/gene/182427", "182427")</f>
        <v>182427</v>
      </c>
      <c r="C14683" s="9"/>
      <c r="D14683" t="str">
        <f>"snt-6"</f>
        <v>snt-6</v>
      </c>
      <c r="E14683" t="s">
        <v>1240</v>
      </c>
      <c r="F14683" t="s">
        <v>11</v>
      </c>
      <c r="G14683" t="s">
        <v>5277</v>
      </c>
      <c r="H14683" s="12">
        <v>1.19814970404159</v>
      </c>
      <c r="I14683" s="20">
        <v>0.76950263373382199</v>
      </c>
      <c r="J14683" s="28">
        <v>0.44159498162665101</v>
      </c>
      <c r="K14683" s="29">
        <v>0.98289565623980701</v>
      </c>
    </row>
    <row r="14684" spans="1:11" x14ac:dyDescent="0.35">
      <c r="A14684" s="9" t="str">
        <f>HYPERLINK("http://www.ensembl.org/id/WBGene00013803", "WBGene00013803")</f>
        <v>WBGene00013803</v>
      </c>
      <c r="B14684" s="9" t="str">
        <f>HYPERLINK("http://www.ncbi.nlm.nih.gov/gene/178482", "178482")</f>
        <v>178482</v>
      </c>
      <c r="C14684" s="9" t="str">
        <f>HYPERLINK("http://www.ncbi.nlm.nih.gov/gene/23161", "23161")</f>
        <v>23161</v>
      </c>
      <c r="D14684" t="str">
        <f>"snx-13"</f>
        <v>snx-13</v>
      </c>
      <c r="E14684" t="s">
        <v>1423</v>
      </c>
      <c r="F14684" t="s">
        <v>11</v>
      </c>
      <c r="G14684" t="s">
        <v>7748</v>
      </c>
      <c r="H14684" s="12">
        <v>-1.1424825842561901</v>
      </c>
      <c r="I14684" s="20">
        <v>-0.68767631704966403</v>
      </c>
      <c r="J14684" s="28">
        <v>0.49165663708371399</v>
      </c>
      <c r="K14684" s="29">
        <v>0.98289565623980701</v>
      </c>
    </row>
    <row r="14685" spans="1:11" x14ac:dyDescent="0.35">
      <c r="A14685" s="9" t="str">
        <f>HYPERLINK("http://www.ensembl.org/id/WBGene00013011", "WBGene00013011")</f>
        <v>WBGene00013011</v>
      </c>
      <c r="B14685" s="9" t="str">
        <f>HYPERLINK("http://www.ncbi.nlm.nih.gov/gene/174997", "174997")</f>
        <v>174997</v>
      </c>
      <c r="C14685" s="9" t="str">
        <f>HYPERLINK("http://www.ncbi.nlm.nih.gov/gene/57231", "57231")</f>
        <v>57231</v>
      </c>
      <c r="D14685" t="str">
        <f>"snx-14"</f>
        <v>snx-14</v>
      </c>
      <c r="E14685" t="s">
        <v>1423</v>
      </c>
      <c r="F14685" t="s">
        <v>11</v>
      </c>
      <c r="G14685" t="s">
        <v>8454</v>
      </c>
      <c r="H14685" s="12">
        <v>-1.1788910109630999</v>
      </c>
      <c r="I14685" s="20">
        <v>-0.85622413718116097</v>
      </c>
      <c r="J14685" s="28">
        <v>0.39187381398392801</v>
      </c>
      <c r="K14685" s="29">
        <v>0.98289565623980701</v>
      </c>
    </row>
    <row r="14686" spans="1:11" x14ac:dyDescent="0.35">
      <c r="A14686" s="9" t="str">
        <f>HYPERLINK("http://www.ensembl.org/id/WBGene00009116", "WBGene00009116")</f>
        <v>WBGene00009116</v>
      </c>
      <c r="B14686" s="9" t="str">
        <f>HYPERLINK("http://www.ncbi.nlm.nih.gov/gene/172937", "172937")</f>
        <v>172937</v>
      </c>
      <c r="C14686" s="9" t="str">
        <f>HYPERLINK("http://www.ncbi.nlm.nih.gov/gene/81609", "81609")</f>
        <v>81609</v>
      </c>
      <c r="D14686" t="str">
        <f>"snx-27"</f>
        <v>snx-27</v>
      </c>
      <c r="E14686" t="s">
        <v>1423</v>
      </c>
      <c r="F14686" t="s">
        <v>11</v>
      </c>
      <c r="G14686" t="s">
        <v>5793</v>
      </c>
      <c r="H14686" s="12">
        <v>1.10244312181487</v>
      </c>
      <c r="I14686" s="20">
        <v>0.52419094247120601</v>
      </c>
      <c r="J14686" s="28">
        <v>0.60014574005411803</v>
      </c>
      <c r="K14686" s="29">
        <v>0.98289565623980701</v>
      </c>
    </row>
    <row r="14687" spans="1:11" x14ac:dyDescent="0.35">
      <c r="A14687" s="9" t="str">
        <f>HYPERLINK("http://www.ensembl.org/id/WBGene00013354", "WBGene00013354")</f>
        <v>WBGene00013354</v>
      </c>
      <c r="B14687" s="9" t="str">
        <f>HYPERLINK("http://www.ncbi.nlm.nih.gov/gene/190399", "190399")</f>
        <v>190399</v>
      </c>
      <c r="C14687" s="9" t="str">
        <f>HYPERLINK("http://www.ncbi.nlm.nih.gov/gene/58533", "58533")</f>
        <v>58533</v>
      </c>
      <c r="D14687" t="str">
        <f>"snx-6"</f>
        <v>snx-6</v>
      </c>
      <c r="E14687" t="s">
        <v>1423</v>
      </c>
      <c r="F14687" t="s">
        <v>11</v>
      </c>
      <c r="G14687" t="s">
        <v>8663</v>
      </c>
      <c r="H14687" s="12">
        <v>-1.18947676212019</v>
      </c>
      <c r="I14687" s="20">
        <v>-0.92337698144507996</v>
      </c>
      <c r="J14687" s="28">
        <v>0.355810783089131</v>
      </c>
      <c r="K14687" s="29">
        <v>0.98289565623980701</v>
      </c>
    </row>
    <row r="14688" spans="1:11" x14ac:dyDescent="0.35">
      <c r="A14688" s="9" t="str">
        <f>HYPERLINK("http://www.ensembl.org/id/WBGene00015743", "WBGene00015743")</f>
        <v>WBGene00015743</v>
      </c>
      <c r="B14688" s="9" t="str">
        <f>HYPERLINK("http://www.ncbi.nlm.nih.gov/gene/179109", "179109")</f>
        <v>179109</v>
      </c>
      <c r="C14688" s="9" t="str">
        <f>HYPERLINK("http://www.ncbi.nlm.nih.gov/gene/54497", "54497")</f>
        <v>54497</v>
      </c>
      <c r="D14688" t="str">
        <f>"soap-1"</f>
        <v>soap-1</v>
      </c>
      <c r="E14688" t="s">
        <v>5705</v>
      </c>
      <c r="F14688" t="s">
        <v>11</v>
      </c>
      <c r="G14688" t="s">
        <v>5706</v>
      </c>
      <c r="H14688" s="12">
        <v>1.11852734823886</v>
      </c>
      <c r="I14688" s="20">
        <v>0.59774894570443105</v>
      </c>
      <c r="J14688" s="28">
        <v>0.55000746115411103</v>
      </c>
      <c r="K14688" s="29">
        <v>0.98289565623980701</v>
      </c>
    </row>
    <row r="14689" spans="1:11" x14ac:dyDescent="0.35">
      <c r="A14689" s="9" t="str">
        <f>HYPERLINK("http://www.ensembl.org/id/WBGene00004931", "WBGene00004931")</f>
        <v>WBGene00004931</v>
      </c>
      <c r="B14689" s="9" t="str">
        <f>HYPERLINK("http://www.ncbi.nlm.nih.gov/gene/172632", "172632")</f>
        <v>172632</v>
      </c>
      <c r="C14689" s="9" t="str">
        <f>HYPERLINK("http://www.ncbi.nlm.nih.gov/gene/6648", "6648")</f>
        <v>6648</v>
      </c>
      <c r="D14689" t="str">
        <f>"sod-2"</f>
        <v>sod-2</v>
      </c>
      <c r="E14689" t="s">
        <v>9044</v>
      </c>
      <c r="F14689" t="s">
        <v>11</v>
      </c>
      <c r="G14689" t="s">
        <v>9045</v>
      </c>
      <c r="H14689" s="12">
        <v>-1.2167299955379201</v>
      </c>
      <c r="I14689" s="20">
        <v>-1.0182161328128601</v>
      </c>
      <c r="J14689" s="28">
        <v>0.308575254268661</v>
      </c>
      <c r="K14689" s="29">
        <v>0.98289565623980701</v>
      </c>
    </row>
    <row r="14690" spans="1:11" x14ac:dyDescent="0.35">
      <c r="A14690" s="9" t="str">
        <f>HYPERLINK("http://www.ensembl.org/id/WBGene00007036", "WBGene00007036")</f>
        <v>WBGene00007036</v>
      </c>
      <c r="B14690" s="9" t="str">
        <f>HYPERLINK("http://www.ncbi.nlm.nih.gov/gene/173776", "173776")</f>
        <v>173776</v>
      </c>
      <c r="C14690" s="9" t="str">
        <f>HYPERLINK("http://www.ncbi.nlm.nih.gov/gene/6647", "6647")</f>
        <v>6647</v>
      </c>
      <c r="D14690" t="str">
        <f>"sod-5"</f>
        <v>sod-5</v>
      </c>
      <c r="E14690" t="s">
        <v>2849</v>
      </c>
      <c r="F14690" t="s">
        <v>11</v>
      </c>
      <c r="G14690" t="s">
        <v>4347</v>
      </c>
      <c r="H14690" s="12">
        <v>2.82329777803966</v>
      </c>
      <c r="I14690" s="20">
        <v>0.98135639825374299</v>
      </c>
      <c r="J14690" s="28">
        <v>0.32641701974177401</v>
      </c>
      <c r="K14690" s="29">
        <v>0.98289565623980701</v>
      </c>
    </row>
    <row r="14691" spans="1:11" x14ac:dyDescent="0.35">
      <c r="A14691" s="9" t="str">
        <f>HYPERLINK("http://www.ensembl.org/id/WBGene00010791", "WBGene00010791")</f>
        <v>WBGene00010791</v>
      </c>
      <c r="B14691" s="9" t="str">
        <f>HYPERLINK("http://www.ncbi.nlm.nih.gov/gene/179628", "179628")</f>
        <v>179628</v>
      </c>
      <c r="C14691" s="9"/>
      <c r="D14691" t="str">
        <f>"sodh-2"</f>
        <v>sodh-2</v>
      </c>
      <c r="E14691" t="s">
        <v>4512</v>
      </c>
      <c r="F14691" t="s">
        <v>11</v>
      </c>
      <c r="G14691" t="s">
        <v>608</v>
      </c>
      <c r="H14691" s="12">
        <v>1.8014734186293999</v>
      </c>
      <c r="I14691" s="20">
        <v>0.468459360825699</v>
      </c>
      <c r="J14691" s="28">
        <v>0.63945612639835703</v>
      </c>
      <c r="K14691" s="29">
        <v>0.98289565623980701</v>
      </c>
    </row>
    <row r="14692" spans="1:11" x14ac:dyDescent="0.35">
      <c r="A14692" s="9" t="str">
        <f>HYPERLINK("http://www.ensembl.org/id/WBGene00013603", "WBGene00013603")</f>
        <v>WBGene00013603</v>
      </c>
      <c r="B14692" s="9" t="str">
        <f>HYPERLINK("http://www.ncbi.nlm.nih.gov/gene/3565861", "3565861")</f>
        <v>3565861</v>
      </c>
      <c r="C14692" s="9"/>
      <c r="D14692" t="str">
        <f>"soem-1"</f>
        <v>soem-1</v>
      </c>
      <c r="F14692" t="s">
        <v>11</v>
      </c>
      <c r="H14692" s="12">
        <v>1.17361056805636</v>
      </c>
      <c r="I14692" s="20">
        <v>0.70835231018332701</v>
      </c>
      <c r="J14692" s="28">
        <v>0.478726499959789</v>
      </c>
      <c r="K14692" s="29">
        <v>0.98289565623980701</v>
      </c>
    </row>
    <row r="14693" spans="1:11" x14ac:dyDescent="0.35">
      <c r="A14693" s="9" t="str">
        <f>HYPERLINK("http://www.ensembl.org/id/WBGene00004946", "WBGene00004946")</f>
        <v>WBGene00004946</v>
      </c>
      <c r="B14693" s="9" t="str">
        <f>HYPERLINK("http://www.ncbi.nlm.nih.gov/gene/171840", "171840")</f>
        <v>171840</v>
      </c>
      <c r="C14693" s="9"/>
      <c r="D14693" t="str">
        <f>"sop-3"</f>
        <v>sop-3</v>
      </c>
      <c r="E14693" t="s">
        <v>6335</v>
      </c>
      <c r="F14693" t="s">
        <v>11</v>
      </c>
      <c r="H14693" s="12">
        <v>-1.0633647743014001</v>
      </c>
      <c r="I14693" s="20">
        <v>-0.32524592116134898</v>
      </c>
      <c r="J14693" s="28">
        <v>0.744994956243894</v>
      </c>
      <c r="K14693" s="29">
        <v>0.98289565623980701</v>
      </c>
    </row>
    <row r="14694" spans="1:11" x14ac:dyDescent="0.35">
      <c r="A14694" s="9" t="str">
        <f>HYPERLINK("http://www.ensembl.org/id/WBGene00022769", "WBGene00022769")</f>
        <v>WBGene00022769</v>
      </c>
      <c r="B14694" s="9" t="str">
        <f>HYPERLINK("http://www.ncbi.nlm.nih.gov/gene/180626", "180626")</f>
        <v>180626</v>
      </c>
      <c r="C14694" s="9"/>
      <c r="D14694" t="str">
        <f>"sorf-1"</f>
        <v>sorf-1</v>
      </c>
      <c r="E14694" t="s">
        <v>9076</v>
      </c>
      <c r="F14694" t="s">
        <v>11</v>
      </c>
      <c r="G14694" t="s">
        <v>9077</v>
      </c>
      <c r="H14694" s="12">
        <v>-1.21884729155131</v>
      </c>
      <c r="I14694" s="20">
        <v>-0.92406381276698701</v>
      </c>
      <c r="J14694" s="28">
        <v>0.35545309273053699</v>
      </c>
      <c r="K14694" s="29">
        <v>0.98289565623980701</v>
      </c>
    </row>
    <row r="14695" spans="1:11" x14ac:dyDescent="0.35">
      <c r="A14695" s="9" t="str">
        <f>HYPERLINK("http://www.ensembl.org/id/WBGene00004947", "WBGene00004947")</f>
        <v>WBGene00004947</v>
      </c>
      <c r="B14695" s="9" t="str">
        <f>HYPERLINK("http://www.ncbi.nlm.nih.gov/gene/178846", "178846")</f>
        <v>178846</v>
      </c>
      <c r="C14695" s="9" t="str">
        <f>HYPERLINK("http://www.ncbi.nlm.nih.gov/gene/6654", "6654")</f>
        <v>6654</v>
      </c>
      <c r="D14695" t="str">
        <f>"sos-1"</f>
        <v>sos-1</v>
      </c>
      <c r="E14695" t="s">
        <v>6468</v>
      </c>
      <c r="F14695" t="s">
        <v>11</v>
      </c>
      <c r="G14695" t="s">
        <v>6469</v>
      </c>
      <c r="H14695" s="12">
        <v>-1.07084634708087</v>
      </c>
      <c r="I14695" s="20">
        <v>-0.35438325627108902</v>
      </c>
      <c r="J14695" s="28">
        <v>0.72305168098682104</v>
      </c>
      <c r="K14695" s="29">
        <v>0.98289565623980701</v>
      </c>
    </row>
    <row r="14696" spans="1:11" x14ac:dyDescent="0.35">
      <c r="A14696" s="9" t="str">
        <f>HYPERLINK("http://www.ensembl.org/id/WBGene00015716", "WBGene00015716")</f>
        <v>WBGene00015716</v>
      </c>
      <c r="B14696" s="9" t="str">
        <f>HYPERLINK("http://www.ncbi.nlm.nih.gov/gene/182547", "182547")</f>
        <v>182547</v>
      </c>
      <c r="C14696" s="9"/>
      <c r="D14696" t="str">
        <f>"sox-4"</f>
        <v>sox-4</v>
      </c>
      <c r="E14696" t="s">
        <v>1277</v>
      </c>
      <c r="F14696" t="s">
        <v>11</v>
      </c>
      <c r="G14696" t="s">
        <v>7265</v>
      </c>
      <c r="H14696" s="12">
        <v>-1.11619876774668</v>
      </c>
      <c r="I14696" s="20">
        <v>-0.447652428981548</v>
      </c>
      <c r="J14696" s="28">
        <v>0.65440405873502605</v>
      </c>
      <c r="K14696" s="29">
        <v>0.98289565623980701</v>
      </c>
    </row>
    <row r="14697" spans="1:11" x14ac:dyDescent="0.35">
      <c r="A14697" s="9" t="str">
        <f>HYPERLINK("http://www.ensembl.org/id/WBGene00010198", "WBGene00010198")</f>
        <v>WBGene00010198</v>
      </c>
      <c r="B14697" s="9" t="str">
        <f>HYPERLINK("http://www.ncbi.nlm.nih.gov/gene/175113", "175113")</f>
        <v>175113</v>
      </c>
      <c r="C14697" s="9"/>
      <c r="D14697" t="str">
        <f>"spat-1"</f>
        <v>spat-1</v>
      </c>
      <c r="E14697" t="s">
        <v>2871</v>
      </c>
      <c r="F14697" t="s">
        <v>11</v>
      </c>
      <c r="G14697" t="s">
        <v>8803</v>
      </c>
      <c r="H14697" s="12">
        <v>-1.19843507468842</v>
      </c>
      <c r="I14697" s="20">
        <v>-0.829470559120426</v>
      </c>
      <c r="J14697" s="28">
        <v>0.40683818945262501</v>
      </c>
      <c r="K14697" s="29">
        <v>0.98289565623980701</v>
      </c>
    </row>
    <row r="14698" spans="1:11" x14ac:dyDescent="0.35">
      <c r="A14698" s="9" t="str">
        <f>HYPERLINK("http://www.ensembl.org/id/WBGene00020496", "WBGene00020496")</f>
        <v>WBGene00020496</v>
      </c>
      <c r="B14698" s="9" t="str">
        <f>HYPERLINK("http://www.ncbi.nlm.nih.gov/gene/259704", "259704")</f>
        <v>259704</v>
      </c>
      <c r="C14698" s="9"/>
      <c r="D14698" t="str">
        <f>"spat-3"</f>
        <v>spat-3</v>
      </c>
      <c r="E14698" t="s">
        <v>2871</v>
      </c>
      <c r="F14698" t="s">
        <v>11</v>
      </c>
      <c r="G14698" t="s">
        <v>6130</v>
      </c>
      <c r="H14698" s="12">
        <v>1.0528048289502101</v>
      </c>
      <c r="I14698" s="20">
        <v>0.27117019752648502</v>
      </c>
      <c r="J14698" s="28">
        <v>0.78626013342527601</v>
      </c>
      <c r="K14698" s="29">
        <v>0.98289565623980701</v>
      </c>
    </row>
    <row r="14699" spans="1:11" x14ac:dyDescent="0.35">
      <c r="A14699" s="9" t="str">
        <f>HYPERLINK("http://www.ensembl.org/id/WBGene00004951", "WBGene00004951")</f>
        <v>WBGene00004951</v>
      </c>
      <c r="B14699" s="9" t="str">
        <f>HYPERLINK("http://www.ncbi.nlm.nih.gov/gene/180603", "180603")</f>
        <v>180603</v>
      </c>
      <c r="C14699" s="9" t="str">
        <f>HYPERLINK("http://www.ncbi.nlm.nih.gov/gene/6709", "6709")</f>
        <v>6709</v>
      </c>
      <c r="D14699" t="str">
        <f>"spc-1"</f>
        <v>spc-1</v>
      </c>
      <c r="E14699" t="s">
        <v>5635</v>
      </c>
      <c r="F14699" t="s">
        <v>11</v>
      </c>
      <c r="G14699" t="s">
        <v>5636</v>
      </c>
      <c r="H14699" s="12">
        <v>1.13177368199239</v>
      </c>
      <c r="I14699" s="20">
        <v>0.68891865575128597</v>
      </c>
      <c r="J14699" s="28">
        <v>0.49087445869698199</v>
      </c>
      <c r="K14699" s="29">
        <v>0.98289565623980701</v>
      </c>
    </row>
    <row r="14700" spans="1:11" x14ac:dyDescent="0.35">
      <c r="A14700" s="9" t="str">
        <f>HYPERLINK("http://www.ensembl.org/id/WBGene00007307", "WBGene00007307")</f>
        <v>WBGene00007307</v>
      </c>
      <c r="B14700" s="9" t="str">
        <f>HYPERLINK("http://www.ncbi.nlm.nih.gov/gene/177877", "177877")</f>
        <v>177877</v>
      </c>
      <c r="C14700" s="9"/>
      <c r="D14700" t="str">
        <f>"spch-1"</f>
        <v>spch-1</v>
      </c>
      <c r="E14700" t="s">
        <v>5118</v>
      </c>
      <c r="F14700" t="s">
        <v>11</v>
      </c>
      <c r="G14700" t="s">
        <v>9959</v>
      </c>
      <c r="H14700" s="12">
        <v>-1.48302372570209</v>
      </c>
      <c r="I14700" s="20">
        <v>-0.74107506855127603</v>
      </c>
      <c r="J14700" s="28">
        <v>0.45864792531107501</v>
      </c>
      <c r="K14700" s="29">
        <v>0.98289565623980701</v>
      </c>
    </row>
    <row r="14701" spans="1:11" x14ac:dyDescent="0.35">
      <c r="A14701" s="9" t="str">
        <f>HYPERLINK("http://www.ensembl.org/id/WBGene00020840", "WBGene00020840")</f>
        <v>WBGene00020840</v>
      </c>
      <c r="B14701" s="9" t="str">
        <f>HYPERLINK("http://www.ncbi.nlm.nih.gov/gene/172293", "172293")</f>
        <v>172293</v>
      </c>
      <c r="C14701" s="9"/>
      <c r="D14701" t="str">
        <f>"spch-3"</f>
        <v>spch-3</v>
      </c>
      <c r="E14701" t="s">
        <v>5118</v>
      </c>
      <c r="F14701" t="s">
        <v>11</v>
      </c>
      <c r="G14701" t="s">
        <v>5119</v>
      </c>
      <c r="H14701" s="12">
        <v>1.23575998897606</v>
      </c>
      <c r="I14701" s="20">
        <v>0.44864679353338299</v>
      </c>
      <c r="J14701" s="28">
        <v>0.65368647225561705</v>
      </c>
      <c r="K14701" s="29">
        <v>0.98289565623980701</v>
      </c>
    </row>
    <row r="14702" spans="1:11" x14ac:dyDescent="0.35">
      <c r="A14702" s="9" t="str">
        <f>HYPERLINK("http://www.ensembl.org/id/WBGene00012550", "WBGene00012550")</f>
        <v>WBGene00012550</v>
      </c>
      <c r="B14702" s="9" t="str">
        <f>HYPERLINK("http://www.ncbi.nlm.nih.gov/gene/176703", "176703")</f>
        <v>176703</v>
      </c>
      <c r="C14702" s="9" t="str">
        <f>HYPERLINK("http://www.ncbi.nlm.nih.gov/gene/9789", "9789")</f>
        <v>9789</v>
      </c>
      <c r="D14702" t="str">
        <f>"spcs-2"</f>
        <v>spcs-2</v>
      </c>
      <c r="E14702" t="s">
        <v>6445</v>
      </c>
      <c r="F14702" t="s">
        <v>11</v>
      </c>
      <c r="G14702" t="s">
        <v>6446</v>
      </c>
      <c r="H14702" s="12">
        <v>-1.0696865227048999</v>
      </c>
      <c r="I14702" s="20">
        <v>-0.365823538432482</v>
      </c>
      <c r="J14702" s="28">
        <v>0.71449675442643001</v>
      </c>
      <c r="K14702" s="29">
        <v>0.98289565623980701</v>
      </c>
    </row>
    <row r="14703" spans="1:11" x14ac:dyDescent="0.35">
      <c r="A14703" s="9" t="str">
        <f>HYPERLINK("http://www.ensembl.org/id/WBGene00019679", "WBGene00019679")</f>
        <v>WBGene00019679</v>
      </c>
      <c r="B14703" s="9" t="str">
        <f>HYPERLINK("http://www.ncbi.nlm.nih.gov/gene/176133", "176133")</f>
        <v>176133</v>
      </c>
      <c r="C14703" s="9" t="str">
        <f>HYPERLINK("http://www.ncbi.nlm.nih.gov/gene/60559", "60559")</f>
        <v>60559</v>
      </c>
      <c r="D14703" t="str">
        <f>"spcs-3"</f>
        <v>spcs-3</v>
      </c>
      <c r="E14703" t="s">
        <v>6558</v>
      </c>
      <c r="F14703" t="s">
        <v>11</v>
      </c>
      <c r="G14703" t="s">
        <v>6559</v>
      </c>
      <c r="H14703" s="12">
        <v>-1.07609757901759</v>
      </c>
      <c r="I14703" s="20">
        <v>-0.38363872198050503</v>
      </c>
      <c r="J14703" s="28">
        <v>0.70124623607897496</v>
      </c>
      <c r="K14703" s="29">
        <v>0.98289565623980701</v>
      </c>
    </row>
    <row r="14704" spans="1:11" x14ac:dyDescent="0.35">
      <c r="A14704" s="9" t="str">
        <f>HYPERLINK("http://www.ensembl.org/id/WBGene00015515", "WBGene00015515")</f>
        <v>WBGene00015515</v>
      </c>
      <c r="B14704" s="9" t="str">
        <f>HYPERLINK("http://www.ncbi.nlm.nih.gov/gene/174256", "174256")</f>
        <v>174256</v>
      </c>
      <c r="C14704" s="9"/>
      <c r="D14704" t="str">
        <f>"spdl-1"</f>
        <v>spdl-1</v>
      </c>
      <c r="E14704" t="s">
        <v>5437</v>
      </c>
      <c r="F14704" t="s">
        <v>11</v>
      </c>
      <c r="G14704" t="s">
        <v>5438</v>
      </c>
      <c r="H14704" s="12">
        <v>1.16462895671927</v>
      </c>
      <c r="I14704" s="20">
        <v>0.62553476827552801</v>
      </c>
      <c r="J14704" s="28">
        <v>0.53162013661117502</v>
      </c>
      <c r="K14704" s="29">
        <v>0.98289565623980701</v>
      </c>
    </row>
    <row r="14705" spans="1:11" x14ac:dyDescent="0.35">
      <c r="A14705" s="9" t="str">
        <f>HYPERLINK("http://www.ensembl.org/id/WBGene00012909", "WBGene00012909")</f>
        <v>WBGene00012909</v>
      </c>
      <c r="B14705" s="9" t="str">
        <f>HYPERLINK("http://www.ncbi.nlm.nih.gov/gene/174914", "174914")</f>
        <v>174914</v>
      </c>
      <c r="C14705" s="9" t="str">
        <f>HYPERLINK("http://www.ncbi.nlm.nih.gov/gene/6723", "6723")</f>
        <v>6723</v>
      </c>
      <c r="D14705" t="str">
        <f>"spds-1"</f>
        <v>spds-1</v>
      </c>
      <c r="E14705" t="s">
        <v>5409</v>
      </c>
      <c r="F14705" t="s">
        <v>11</v>
      </c>
      <c r="G14705" t="s">
        <v>5410</v>
      </c>
      <c r="H14705" s="12">
        <v>1.16940324324678</v>
      </c>
      <c r="I14705" s="20">
        <v>0.69291420762696398</v>
      </c>
      <c r="J14705" s="28">
        <v>0.48836339297567799</v>
      </c>
      <c r="K14705" s="29">
        <v>0.98289565623980701</v>
      </c>
    </row>
    <row r="14706" spans="1:11" x14ac:dyDescent="0.35">
      <c r="A14706" s="9" t="str">
        <f>HYPERLINK("http://www.ensembl.org/id/WBGene00004965", "WBGene00004965")</f>
        <v>WBGene00004965</v>
      </c>
      <c r="B14706" s="9" t="str">
        <f>HYPERLINK("http://www.ncbi.nlm.nih.gov/gene/172179", "172179")</f>
        <v>172179</v>
      </c>
      <c r="C14706" s="9"/>
      <c r="D14706" t="str">
        <f>"spe-11"</f>
        <v>spe-11</v>
      </c>
      <c r="E14706" t="s">
        <v>4871</v>
      </c>
      <c r="F14706" t="s">
        <v>11</v>
      </c>
      <c r="G14706" t="s">
        <v>4872</v>
      </c>
      <c r="H14706" s="12">
        <v>1.3230580542997701</v>
      </c>
      <c r="I14706" s="20">
        <v>0.445683195455362</v>
      </c>
      <c r="J14706" s="28">
        <v>0.65582610496988403</v>
      </c>
      <c r="K14706" s="29">
        <v>0.98289565623980701</v>
      </c>
    </row>
    <row r="14707" spans="1:11" x14ac:dyDescent="0.35">
      <c r="A14707" s="9" t="str">
        <f>HYPERLINK("http://www.ensembl.org/id/WBGene00013747", "WBGene00013747")</f>
        <v>WBGene00013747</v>
      </c>
      <c r="B14707" s="9" t="str">
        <f>HYPERLINK("http://www.ncbi.nlm.nih.gov/gene/190958", "190958")</f>
        <v>190958</v>
      </c>
      <c r="C14707" s="9"/>
      <c r="D14707" t="str">
        <f>"spe-19"</f>
        <v>spe-19</v>
      </c>
      <c r="F14707" t="s">
        <v>11</v>
      </c>
      <c r="G14707" t="s">
        <v>4416</v>
      </c>
      <c r="H14707" s="12">
        <v>2.2823775214898601</v>
      </c>
      <c r="I14707" s="20">
        <v>0.28531617361358103</v>
      </c>
      <c r="J14707" s="28">
        <v>0.77540192285876297</v>
      </c>
      <c r="K14707" s="29">
        <v>0.98289565623980701</v>
      </c>
    </row>
    <row r="14708" spans="1:11" x14ac:dyDescent="0.35">
      <c r="A14708" s="9" t="str">
        <f>HYPERLINK("http://www.ensembl.org/id/WBGene00004973", "WBGene00004973")</f>
        <v>WBGene00004973</v>
      </c>
      <c r="B14708" s="9" t="str">
        <f>HYPERLINK("http://www.ncbi.nlm.nih.gov/gene/177357", "177357")</f>
        <v>177357</v>
      </c>
      <c r="C14708" s="9"/>
      <c r="D14708" t="str">
        <f>"spe-27"</f>
        <v>spe-27</v>
      </c>
      <c r="E14708" t="s">
        <v>10071</v>
      </c>
      <c r="F14708" t="s">
        <v>11</v>
      </c>
      <c r="G14708" t="s">
        <v>10072</v>
      </c>
      <c r="H14708" s="12">
        <v>-2.5472986004175202</v>
      </c>
      <c r="I14708" s="20">
        <v>-0.52470243422899898</v>
      </c>
      <c r="J14708" s="28">
        <v>0.59979006485710196</v>
      </c>
      <c r="K14708" s="29">
        <v>0.98289565623980701</v>
      </c>
    </row>
    <row r="14709" spans="1:11" x14ac:dyDescent="0.35">
      <c r="A14709" s="9" t="str">
        <f>HYPERLINK("http://www.ensembl.org/id/WBGene00013121", "WBGene00013121")</f>
        <v>WBGene00013121</v>
      </c>
      <c r="B14709" s="9" t="str">
        <f>HYPERLINK("http://www.ncbi.nlm.nih.gov/gene/190181", "190181")</f>
        <v>190181</v>
      </c>
      <c r="C14709" s="9"/>
      <c r="D14709" t="str">
        <f>"spe-38"</f>
        <v>spe-38</v>
      </c>
      <c r="F14709" t="s">
        <v>11</v>
      </c>
      <c r="G14709" t="s">
        <v>4403</v>
      </c>
      <c r="H14709" s="12">
        <v>2.3893468495514898</v>
      </c>
      <c r="I14709" s="20">
        <v>0.25323547253672701</v>
      </c>
      <c r="J14709" s="28">
        <v>0.80008625651646104</v>
      </c>
      <c r="K14709" s="29">
        <v>0.98289565623980701</v>
      </c>
    </row>
    <row r="14710" spans="1:11" x14ac:dyDescent="0.35">
      <c r="A14710" s="9" t="str">
        <f>HYPERLINK("http://www.ensembl.org/id/WBGene00004975", "WBGene00004975")</f>
        <v>WBGene00004975</v>
      </c>
      <c r="B14710" s="9" t="str">
        <f>HYPERLINK("http://www.ncbi.nlm.nih.gov/gene/179071", "179071")</f>
        <v>179071</v>
      </c>
      <c r="C14710" s="9"/>
      <c r="D14710" t="str">
        <f>"spe-39"</f>
        <v>spe-39</v>
      </c>
      <c r="E14710" t="s">
        <v>9273</v>
      </c>
      <c r="F14710" t="s">
        <v>11</v>
      </c>
      <c r="G14710" t="s">
        <v>9274</v>
      </c>
      <c r="H14710" s="12">
        <v>-1.2326734033025</v>
      </c>
      <c r="I14710" s="20">
        <v>-1.0139854544807201</v>
      </c>
      <c r="J14710" s="28">
        <v>0.31058969298225397</v>
      </c>
      <c r="K14710" s="29">
        <v>0.98289565623980701</v>
      </c>
    </row>
    <row r="14711" spans="1:11" x14ac:dyDescent="0.35">
      <c r="A14711" s="9" t="str">
        <f>HYPERLINK("http://www.ensembl.org/id/WBGene00004976", "WBGene00004976")</f>
        <v>WBGene00004976</v>
      </c>
      <c r="B14711" s="9" t="str">
        <f>HYPERLINK("http://www.ncbi.nlm.nih.gov/gene/175446", "175446")</f>
        <v>175446</v>
      </c>
      <c r="C14711" s="9"/>
      <c r="D14711" t="str">
        <f>"spe-41"</f>
        <v>spe-41</v>
      </c>
      <c r="E14711" t="s">
        <v>4765</v>
      </c>
      <c r="F14711" t="s">
        <v>11</v>
      </c>
      <c r="G14711" t="s">
        <v>4766</v>
      </c>
      <c r="H14711" s="12">
        <v>1.39963251566084</v>
      </c>
      <c r="I14711" s="20">
        <v>0.54773735892786501</v>
      </c>
      <c r="J14711" s="28">
        <v>0.58387225599957104</v>
      </c>
      <c r="K14711" s="29">
        <v>0.98289565623980701</v>
      </c>
    </row>
    <row r="14712" spans="1:11" x14ac:dyDescent="0.35">
      <c r="A14712" s="9" t="str">
        <f>HYPERLINK("http://www.ensembl.org/id/WBGene00008623", "WBGene00008623")</f>
        <v>WBGene00008623</v>
      </c>
      <c r="B14712" s="9" t="str">
        <f>HYPERLINK("http://www.ncbi.nlm.nih.gov/gene/184245", "184245")</f>
        <v>184245</v>
      </c>
      <c r="C14712" s="9"/>
      <c r="D14712" t="str">
        <f>"spe-43"</f>
        <v>spe-43</v>
      </c>
      <c r="F14712" t="s">
        <v>11</v>
      </c>
      <c r="G14712" t="s">
        <v>25</v>
      </c>
      <c r="H14712" s="12">
        <v>4.3728970185425799</v>
      </c>
      <c r="I14712" s="20">
        <v>0.89119257522231599</v>
      </c>
      <c r="J14712" s="28">
        <v>0.37282586694748399</v>
      </c>
      <c r="K14712" s="29">
        <v>0.98289565623980701</v>
      </c>
    </row>
    <row r="14713" spans="1:11" x14ac:dyDescent="0.35">
      <c r="A14713" s="9" t="str">
        <f>HYPERLINK("http://www.ensembl.org/id/WBGene00009217", "WBGene00009217")</f>
        <v>WBGene00009217</v>
      </c>
      <c r="B14713" s="9" t="str">
        <f>HYPERLINK("http://www.ncbi.nlm.nih.gov/gene/185063", "185063")</f>
        <v>185063</v>
      </c>
      <c r="C14713" s="9"/>
      <c r="D14713" t="str">
        <f>"spe-45"</f>
        <v>spe-45</v>
      </c>
      <c r="F14713" t="s">
        <v>11</v>
      </c>
      <c r="G14713" t="s">
        <v>25</v>
      </c>
      <c r="H14713" s="12">
        <v>4.4368407117627902</v>
      </c>
      <c r="I14713" s="20">
        <v>0.43709475933309699</v>
      </c>
      <c r="J14713" s="28">
        <v>0.66204262779770495</v>
      </c>
      <c r="K14713" s="29">
        <v>0.98289565623980701</v>
      </c>
    </row>
    <row r="14714" spans="1:11" x14ac:dyDescent="0.35">
      <c r="A14714" s="9" t="str">
        <f>HYPERLINK("http://www.ensembl.org/id/WBGene00012296", "WBGene00012296")</f>
        <v>WBGene00012296</v>
      </c>
      <c r="B14714" s="9" t="str">
        <f>HYPERLINK("http://www.ncbi.nlm.nih.gov/gene/189238", "189238")</f>
        <v>189238</v>
      </c>
      <c r="C14714" s="9"/>
      <c r="D14714" t="str">
        <f>"spe-46"</f>
        <v>spe-46</v>
      </c>
      <c r="F14714" t="s">
        <v>11</v>
      </c>
      <c r="G14714" t="s">
        <v>25</v>
      </c>
      <c r="H14714" s="12">
        <v>1.1614027782038301</v>
      </c>
      <c r="I14714" s="20">
        <v>0.31224095108911798</v>
      </c>
      <c r="J14714" s="28">
        <v>0.754857412244614</v>
      </c>
      <c r="K14714" s="29">
        <v>0.98289565623980701</v>
      </c>
    </row>
    <row r="14715" spans="1:11" x14ac:dyDescent="0.35">
      <c r="A14715" s="9" t="str">
        <f>HYPERLINK("http://www.ensembl.org/id/WBGene00019667", "WBGene00019667")</f>
        <v>WBGene00019667</v>
      </c>
      <c r="B14715" s="9" t="str">
        <f>HYPERLINK("http://www.ncbi.nlm.nih.gov/gene/187315", "187315")</f>
        <v>187315</v>
      </c>
      <c r="C14715" s="9"/>
      <c r="D14715" t="str">
        <f>"spe-49"</f>
        <v>spe-49</v>
      </c>
      <c r="F14715" t="s">
        <v>11</v>
      </c>
      <c r="G14715" t="s">
        <v>25</v>
      </c>
      <c r="H14715" s="12">
        <v>2.0869130708990302</v>
      </c>
      <c r="I14715" s="20">
        <v>0.58189414417047602</v>
      </c>
      <c r="J14715" s="28">
        <v>0.560637985095786</v>
      </c>
      <c r="K14715" s="29">
        <v>0.98289565623980701</v>
      </c>
    </row>
    <row r="14716" spans="1:11" x14ac:dyDescent="0.35">
      <c r="A14716" s="9" t="str">
        <f>HYPERLINK("http://www.ensembl.org/id/WBGene00004960", "WBGene00004960")</f>
        <v>WBGene00004960</v>
      </c>
      <c r="B14716" s="9" t="str">
        <f>HYPERLINK("http://www.ncbi.nlm.nih.gov/gene/176582", "176582")</f>
        <v>176582</v>
      </c>
      <c r="C14716" s="9"/>
      <c r="D14716" t="str">
        <f>"spe-6"</f>
        <v>spe-6</v>
      </c>
      <c r="E14716" t="s">
        <v>9102</v>
      </c>
      <c r="F14716" t="s">
        <v>11</v>
      </c>
      <c r="G14716" t="s">
        <v>9103</v>
      </c>
      <c r="H14716" s="12">
        <v>-1.2206427891385501</v>
      </c>
      <c r="I14716" s="20">
        <v>-0.41002449741137997</v>
      </c>
      <c r="J14716" s="28">
        <v>0.68178797723235096</v>
      </c>
      <c r="K14716" s="29">
        <v>0.98289565623980701</v>
      </c>
    </row>
    <row r="14717" spans="1:11" x14ac:dyDescent="0.35">
      <c r="A14717" s="9" t="str">
        <f>HYPERLINK("http://www.ensembl.org/id/WBGene00004963", "WBGene00004963")</f>
        <v>WBGene00004963</v>
      </c>
      <c r="B14717" s="9" t="str">
        <f>HYPERLINK("http://www.ncbi.nlm.nih.gov/gene/173042", "173042")</f>
        <v>173042</v>
      </c>
      <c r="C14717" s="9"/>
      <c r="D14717" t="str">
        <f>"spe-9"</f>
        <v>spe-9</v>
      </c>
      <c r="E14717" t="s">
        <v>4560</v>
      </c>
      <c r="F14717" t="s">
        <v>11</v>
      </c>
      <c r="G14717" t="s">
        <v>4561</v>
      </c>
      <c r="H14717" s="12">
        <v>1.7022103159924999</v>
      </c>
      <c r="I14717" s="20">
        <v>0.50061542464782904</v>
      </c>
      <c r="J14717" s="28">
        <v>0.61664180478494102</v>
      </c>
      <c r="K14717" s="29">
        <v>0.98289565623980701</v>
      </c>
    </row>
    <row r="14718" spans="1:11" x14ac:dyDescent="0.35">
      <c r="A14718" s="9" t="str">
        <f>HYPERLINK("http://www.ensembl.org/id/WBGene00004978", "WBGene00004978")</f>
        <v>WBGene00004978</v>
      </c>
      <c r="B14718" s="9" t="str">
        <f>HYPERLINK("http://www.ncbi.nlm.nih.gov/gene/171915", "171915")</f>
        <v>171915</v>
      </c>
      <c r="C14718" s="9" t="str">
        <f>HYPERLINK("http://www.ncbi.nlm.nih.gov/gene/10939", "10939")</f>
        <v>10939</v>
      </c>
      <c r="D14718" t="str">
        <f>"spg-7"</f>
        <v>spg-7</v>
      </c>
      <c r="E14718" t="s">
        <v>7640</v>
      </c>
      <c r="F14718" t="s">
        <v>11</v>
      </c>
      <c r="G14718" t="s">
        <v>7641</v>
      </c>
      <c r="H14718" s="12">
        <v>-1.1371104989649901</v>
      </c>
      <c r="I14718" s="20">
        <v>-0.64871567959005105</v>
      </c>
      <c r="J14718" s="28">
        <v>0.51652216774510196</v>
      </c>
      <c r="K14718" s="29">
        <v>0.98289565623980701</v>
      </c>
    </row>
    <row r="14719" spans="1:11" x14ac:dyDescent="0.35">
      <c r="A14719" s="9" t="str">
        <f>HYPERLINK("http://www.ensembl.org/id/WBGene00004979", "WBGene00004979")</f>
        <v>WBGene00004979</v>
      </c>
      <c r="B14719" s="9" t="str">
        <f>HYPERLINK("http://www.ncbi.nlm.nih.gov/gene/177608", "177608")</f>
        <v>177608</v>
      </c>
      <c r="C14719" s="9"/>
      <c r="D14719" t="str">
        <f>"sph-1"</f>
        <v>sph-1</v>
      </c>
      <c r="E14719" t="s">
        <v>5618</v>
      </c>
      <c r="F14719" t="s">
        <v>11</v>
      </c>
      <c r="G14719" t="s">
        <v>5619</v>
      </c>
      <c r="H14719" s="12">
        <v>1.13381078265404</v>
      </c>
      <c r="I14719" s="20">
        <v>0.61538998936570999</v>
      </c>
      <c r="J14719" s="28">
        <v>0.53829720086683197</v>
      </c>
      <c r="K14719" s="29">
        <v>0.98289565623980701</v>
      </c>
    </row>
    <row r="14720" spans="1:11" x14ac:dyDescent="0.35">
      <c r="A14720" s="9" t="str">
        <f>HYPERLINK("http://www.ensembl.org/id/WBGene00007918", "WBGene00007918")</f>
        <v>WBGene00007918</v>
      </c>
      <c r="B14720" s="9" t="str">
        <f>HYPERLINK("http://www.ncbi.nlm.nih.gov/gene/183197", "183197")</f>
        <v>183197</v>
      </c>
      <c r="C14720" s="9" t="str">
        <f>HYPERLINK("http://www.ncbi.nlm.nih.gov/gene/56848", "56848")</f>
        <v>56848</v>
      </c>
      <c r="D14720" t="str">
        <f>"sphk-1"</f>
        <v>sphk-1</v>
      </c>
      <c r="E14720" t="s">
        <v>6110</v>
      </c>
      <c r="F14720" t="s">
        <v>11</v>
      </c>
      <c r="G14720" t="s">
        <v>6111</v>
      </c>
      <c r="H14720" s="12">
        <v>1.0592031662834001</v>
      </c>
      <c r="I14720" s="20">
        <v>0.25835202664124102</v>
      </c>
      <c r="J14720" s="28">
        <v>0.79613523723023305</v>
      </c>
      <c r="K14720" s="29">
        <v>0.98289565623980701</v>
      </c>
    </row>
    <row r="14721" spans="1:11" x14ac:dyDescent="0.35">
      <c r="A14721" s="9" t="str">
        <f>HYPERLINK("http://www.ensembl.org/id/WBGene00023416", "WBGene00023416")</f>
        <v>WBGene00023416</v>
      </c>
      <c r="B14721" s="9" t="str">
        <f>HYPERLINK("http://www.ncbi.nlm.nih.gov/gene/174219", "174219")</f>
        <v>174219</v>
      </c>
      <c r="C14721" s="9"/>
      <c r="D14721" t="str">
        <f>"spi-1"</f>
        <v>spi-1</v>
      </c>
      <c r="E14721" t="s">
        <v>4893</v>
      </c>
      <c r="F14721" t="s">
        <v>11</v>
      </c>
      <c r="G14721" t="s">
        <v>101</v>
      </c>
      <c r="H14721" s="12">
        <v>1.3118995206197299</v>
      </c>
      <c r="I14721" s="20">
        <v>0.86174491300297396</v>
      </c>
      <c r="J14721" s="28">
        <v>0.38882790459913802</v>
      </c>
      <c r="K14721" s="29">
        <v>0.98289565623980701</v>
      </c>
    </row>
    <row r="14722" spans="1:11" x14ac:dyDescent="0.35">
      <c r="A14722" s="9" t="str">
        <f>HYPERLINK("http://www.ensembl.org/id/WBGene00007549", "WBGene00007549")</f>
        <v>WBGene00007549</v>
      </c>
      <c r="B14722" s="9" t="str">
        <f>HYPERLINK("http://www.ncbi.nlm.nih.gov/gene/179662", "179662")</f>
        <v>179662</v>
      </c>
      <c r="C14722" s="9" t="str">
        <f>HYPERLINK("http://www.ncbi.nlm.nih.gov/gene/83985", "83985")</f>
        <v>83985</v>
      </c>
      <c r="D14722" t="str">
        <f>"spin-1"</f>
        <v>spin-1</v>
      </c>
      <c r="E14722" t="s">
        <v>1173</v>
      </c>
      <c r="F14722" t="s">
        <v>11</v>
      </c>
      <c r="G14722" t="s">
        <v>230</v>
      </c>
      <c r="H14722" s="12">
        <v>1.26852685555275</v>
      </c>
      <c r="I14722" s="20">
        <v>1.19351538422801</v>
      </c>
      <c r="J14722" s="28">
        <v>0.232667590750153</v>
      </c>
      <c r="K14722" s="29">
        <v>0.98289565623980701</v>
      </c>
    </row>
    <row r="14723" spans="1:11" x14ac:dyDescent="0.35">
      <c r="A14723" s="9" t="str">
        <f>HYPERLINK("http://www.ensembl.org/id/WBGene00008598", "WBGene00008598")</f>
        <v>WBGene00008598</v>
      </c>
      <c r="B14723" s="9" t="str">
        <f>HYPERLINK("http://www.ncbi.nlm.nih.gov/gene/184219", "184219")</f>
        <v>184219</v>
      </c>
      <c r="C14723" s="9" t="str">
        <f>HYPERLINK("http://www.ncbi.nlm.nih.gov/gene/83985", "83985")</f>
        <v>83985</v>
      </c>
      <c r="D14723" t="str">
        <f>"spin-3"</f>
        <v>spin-3</v>
      </c>
      <c r="E14723" t="s">
        <v>1173</v>
      </c>
      <c r="F14723" t="s">
        <v>11</v>
      </c>
      <c r="G14723" t="s">
        <v>230</v>
      </c>
      <c r="H14723" s="12">
        <v>1.3045603353027899</v>
      </c>
      <c r="I14723" s="20">
        <v>1.1757099204169801</v>
      </c>
      <c r="J14723" s="28">
        <v>0.23971081300851499</v>
      </c>
      <c r="K14723" s="29">
        <v>0.98289565623980701</v>
      </c>
    </row>
    <row r="14724" spans="1:11" x14ac:dyDescent="0.35">
      <c r="A14724" s="9" t="str">
        <f>HYPERLINK("http://www.ensembl.org/id/WBGene00013739", "WBGene00013739")</f>
        <v>WBGene00013739</v>
      </c>
      <c r="B14724" s="9"/>
      <c r="C14724" s="9"/>
      <c r="D14724" t="str">
        <f>"spin-4"</f>
        <v>spin-4</v>
      </c>
      <c r="E14724" t="s">
        <v>1173</v>
      </c>
      <c r="F14724" t="s">
        <v>11</v>
      </c>
      <c r="G14724" t="s">
        <v>230</v>
      </c>
      <c r="H14724" s="12">
        <v>1.08928216973799</v>
      </c>
      <c r="I14724" s="20">
        <v>0.36063751870998501</v>
      </c>
      <c r="J14724" s="28">
        <v>0.71837043828721703</v>
      </c>
      <c r="K14724" s="29">
        <v>0.98289565623980701</v>
      </c>
    </row>
    <row r="14725" spans="1:11" x14ac:dyDescent="0.35">
      <c r="A14725" s="9" t="str">
        <f>HYPERLINK("http://www.ensembl.org/id/WBGene00004980", "WBGene00004980")</f>
        <v>WBGene00004980</v>
      </c>
      <c r="B14725" s="9" t="str">
        <f>HYPERLINK("http://www.ncbi.nlm.nih.gov/gene/176328", "176328")</f>
        <v>176328</v>
      </c>
      <c r="C14725" s="9" t="str">
        <f>HYPERLINK("http://www.ncbi.nlm.nih.gov/gene/26576", "26576")</f>
        <v>26576</v>
      </c>
      <c r="D14725" t="str">
        <f>"spk-1"</f>
        <v>spk-1</v>
      </c>
      <c r="E14725" t="s">
        <v>7028</v>
      </c>
      <c r="F14725" t="s">
        <v>11</v>
      </c>
      <c r="G14725" t="s">
        <v>7029</v>
      </c>
      <c r="H14725" s="12">
        <v>-1.1029084755229701</v>
      </c>
      <c r="I14725" s="20">
        <v>-0.54629833519809601</v>
      </c>
      <c r="J14725" s="28">
        <v>0.58486088043878204</v>
      </c>
      <c r="K14725" s="29">
        <v>0.98289565623980701</v>
      </c>
    </row>
    <row r="14726" spans="1:11" x14ac:dyDescent="0.35">
      <c r="A14726" s="9" t="str">
        <f>HYPERLINK("http://www.ensembl.org/id/WBGene00004981", "WBGene00004981")</f>
        <v>WBGene00004981</v>
      </c>
      <c r="B14726" s="9" t="str">
        <f>HYPERLINK("http://www.ncbi.nlm.nih.gov/gene/176857", "176857")</f>
        <v>176857</v>
      </c>
      <c r="C14726" s="9"/>
      <c r="D14726" t="str">
        <f>"spl-1"</f>
        <v>spl-1</v>
      </c>
      <c r="E14726" t="s">
        <v>9096</v>
      </c>
      <c r="F14726" t="s">
        <v>11</v>
      </c>
      <c r="G14726" t="s">
        <v>9097</v>
      </c>
      <c r="H14726" s="12">
        <v>-1.2202121681115701</v>
      </c>
      <c r="I14726" s="20">
        <v>-1.0085167509914299</v>
      </c>
      <c r="J14726" s="28">
        <v>0.31320645019318799</v>
      </c>
      <c r="K14726" s="29">
        <v>0.98289565623980701</v>
      </c>
    </row>
    <row r="14727" spans="1:11" x14ac:dyDescent="0.35">
      <c r="A14727" s="9" t="str">
        <f>HYPERLINK("http://www.ensembl.org/id/WBGene00006418", "WBGene00006418")</f>
        <v>WBGene00006418</v>
      </c>
      <c r="B14727" s="9" t="str">
        <f>HYPERLINK("http://www.ncbi.nlm.nih.gov/gene/181859", "181859")</f>
        <v>181859</v>
      </c>
      <c r="C14727" s="9" t="str">
        <f>HYPERLINK("http://www.ncbi.nlm.nih.gov/gene/8879", "8879")</f>
        <v>8879</v>
      </c>
      <c r="D14727" t="str">
        <f>"spl-2"</f>
        <v>spl-2</v>
      </c>
      <c r="E14727" t="s">
        <v>9938</v>
      </c>
      <c r="F14727" t="s">
        <v>11</v>
      </c>
      <c r="G14727" t="s">
        <v>9939</v>
      </c>
      <c r="H14727" s="12">
        <v>-1.4319475034131699</v>
      </c>
      <c r="I14727" s="20">
        <v>-0.83925509084215999</v>
      </c>
      <c r="J14727" s="28">
        <v>0.40132617852389002</v>
      </c>
      <c r="K14727" s="29">
        <v>0.98289565623980701</v>
      </c>
    </row>
    <row r="14728" spans="1:11" x14ac:dyDescent="0.35">
      <c r="A14728" s="9" t="str">
        <f>HYPERLINK("http://www.ensembl.org/id/WBGene00006893", "WBGene00006893")</f>
        <v>WBGene00006893</v>
      </c>
      <c r="B14728" s="9" t="str">
        <f>HYPERLINK("http://www.ncbi.nlm.nih.gov/gene/174169", "174169")</f>
        <v>174169</v>
      </c>
      <c r="C14728" s="9"/>
      <c r="D14728" t="str">
        <f>"spon-1"</f>
        <v>spon-1</v>
      </c>
      <c r="E14728" t="s">
        <v>6254</v>
      </c>
      <c r="F14728" t="s">
        <v>11</v>
      </c>
      <c r="G14728" t="s">
        <v>6255</v>
      </c>
      <c r="H14728" s="12">
        <v>-1.0569962048731301</v>
      </c>
      <c r="I14728" s="20">
        <v>-0.26848981109882097</v>
      </c>
      <c r="J14728" s="28">
        <v>0.78832231662591601</v>
      </c>
      <c r="K14728" s="29">
        <v>0.98289565623980701</v>
      </c>
    </row>
    <row r="14729" spans="1:11" x14ac:dyDescent="0.35">
      <c r="A14729" s="9" t="str">
        <f>HYPERLINK("http://www.ensembl.org/id/WBGene00004995", "WBGene00004995")</f>
        <v>WBGene00004995</v>
      </c>
      <c r="B14729" s="9" t="str">
        <f>HYPERLINK("http://www.ncbi.nlm.nih.gov/gene/177651", "177651")</f>
        <v>177651</v>
      </c>
      <c r="C14729" s="9"/>
      <c r="D14729" t="str">
        <f>"spp-10"</f>
        <v>spp-10</v>
      </c>
      <c r="E14729" t="s">
        <v>62</v>
      </c>
      <c r="F14729" t="s">
        <v>11</v>
      </c>
      <c r="G14729" t="s">
        <v>7255</v>
      </c>
      <c r="H14729" s="12">
        <v>-1.1156914253469801</v>
      </c>
      <c r="I14729" s="20">
        <v>-0.58327131751245398</v>
      </c>
      <c r="J14729" s="28">
        <v>0.55971066792870505</v>
      </c>
      <c r="K14729" s="29">
        <v>0.98289565623980701</v>
      </c>
    </row>
    <row r="14730" spans="1:11" x14ac:dyDescent="0.35">
      <c r="A14730" s="9" t="str">
        <f>HYPERLINK("http://www.ensembl.org/id/WBGene00004998", "WBGene00004998")</f>
        <v>WBGene00004998</v>
      </c>
      <c r="B14730" s="9" t="str">
        <f>HYPERLINK("http://www.ncbi.nlm.nih.gov/gene/184191", "184191")</f>
        <v>184191</v>
      </c>
      <c r="C14730" s="9"/>
      <c r="D14730" t="str">
        <f>"spp-13"</f>
        <v>spp-13</v>
      </c>
      <c r="E14730" t="s">
        <v>62</v>
      </c>
      <c r="F14730" t="s">
        <v>11</v>
      </c>
      <c r="G14730" t="s">
        <v>63</v>
      </c>
      <c r="H14730" s="12">
        <v>1.5504205887263001</v>
      </c>
      <c r="I14730" s="20">
        <v>1.0748313182768601</v>
      </c>
      <c r="J14730" s="28">
        <v>0.28245025610414498</v>
      </c>
      <c r="K14730" s="29">
        <v>0.98289565623980701</v>
      </c>
    </row>
    <row r="14731" spans="1:11" x14ac:dyDescent="0.35">
      <c r="A14731" s="9" t="str">
        <f>HYPERLINK("http://www.ensembl.org/id/WBGene00004999", "WBGene00004999")</f>
        <v>WBGene00004999</v>
      </c>
      <c r="B14731" s="9" t="str">
        <f>HYPERLINK("http://www.ncbi.nlm.nih.gov/gene/181032", "181032")</f>
        <v>181032</v>
      </c>
      <c r="C14731" s="9"/>
      <c r="D14731" t="str">
        <f>"spp-14"</f>
        <v>spp-14</v>
      </c>
      <c r="E14731" t="s">
        <v>62</v>
      </c>
      <c r="F14731" t="s">
        <v>11</v>
      </c>
      <c r="H14731" s="12">
        <v>-1.10481197240651</v>
      </c>
      <c r="I14731" s="20">
        <v>-0.51994027050931801</v>
      </c>
      <c r="J14731" s="28">
        <v>0.60310520630101006</v>
      </c>
      <c r="K14731" s="29">
        <v>0.98289565623980701</v>
      </c>
    </row>
    <row r="14732" spans="1:11" x14ac:dyDescent="0.35">
      <c r="A14732" s="9" t="str">
        <f>HYPERLINK("http://www.ensembl.org/id/WBGene00005000", "WBGene00005000")</f>
        <v>WBGene00005000</v>
      </c>
      <c r="B14732" s="9" t="str">
        <f>HYPERLINK("http://www.ncbi.nlm.nih.gov/gene/172318", "172318")</f>
        <v>172318</v>
      </c>
      <c r="C14732" s="9"/>
      <c r="D14732" t="str">
        <f>"spp-15"</f>
        <v>spp-15</v>
      </c>
      <c r="E14732" t="s">
        <v>62</v>
      </c>
      <c r="F14732" t="s">
        <v>11</v>
      </c>
      <c r="H14732" s="12">
        <v>1.08279435229401</v>
      </c>
      <c r="I14732" s="20">
        <v>0.43097175928473203</v>
      </c>
      <c r="J14732" s="28">
        <v>0.66648890483333501</v>
      </c>
      <c r="K14732" s="29">
        <v>0.98289565623980701</v>
      </c>
    </row>
    <row r="14733" spans="1:11" x14ac:dyDescent="0.35">
      <c r="A14733" s="9" t="str">
        <f>HYPERLINK("http://www.ensembl.org/id/WBGene00005004", "WBGene00005004")</f>
        <v>WBGene00005004</v>
      </c>
      <c r="B14733" s="9" t="str">
        <f>HYPERLINK("http://www.ncbi.nlm.nih.gov/gene/186974", "186974")</f>
        <v>186974</v>
      </c>
      <c r="C14733" s="9"/>
      <c r="D14733" t="str">
        <f>"spp-19"</f>
        <v>spp-19</v>
      </c>
      <c r="E14733" t="s">
        <v>62</v>
      </c>
      <c r="F14733" t="s">
        <v>11</v>
      </c>
      <c r="G14733" t="s">
        <v>4640</v>
      </c>
      <c r="H14733" s="12">
        <v>1.5488818107656399</v>
      </c>
      <c r="I14733" s="20">
        <v>0.42740379864354799</v>
      </c>
      <c r="J14733" s="28">
        <v>0.66908524110092604</v>
      </c>
      <c r="K14733" s="29">
        <v>0.98289565623980701</v>
      </c>
    </row>
    <row r="14734" spans="1:11" x14ac:dyDescent="0.35">
      <c r="A14734" s="9" t="str">
        <f>HYPERLINK("http://www.ensembl.org/id/WBGene00044283", "WBGene00044283")</f>
        <v>WBGene00044283</v>
      </c>
      <c r="B14734" s="9" t="str">
        <f>HYPERLINK("http://www.ncbi.nlm.nih.gov/gene/3565459", "3565459")</f>
        <v>3565459</v>
      </c>
      <c r="C14734" s="9"/>
      <c r="D14734" t="str">
        <f>"spp-22"</f>
        <v>spp-22</v>
      </c>
      <c r="E14734" t="s">
        <v>62</v>
      </c>
      <c r="F14734" t="s">
        <v>11</v>
      </c>
      <c r="H14734" s="12">
        <v>-1.1534403977310601</v>
      </c>
      <c r="I14734" s="20">
        <v>-0.505099579984849</v>
      </c>
      <c r="J14734" s="28">
        <v>0.61348889636523196</v>
      </c>
      <c r="K14734" s="29">
        <v>0.98289565623980701</v>
      </c>
    </row>
    <row r="14735" spans="1:11" x14ac:dyDescent="0.35">
      <c r="A14735" s="9" t="str">
        <f>HYPERLINK("http://www.ensembl.org/id/WBGene00004989", "WBGene00004989")</f>
        <v>WBGene00004989</v>
      </c>
      <c r="B14735" s="9" t="str">
        <f>HYPERLINK("http://www.ncbi.nlm.nih.gov/gene/188266", "188266")</f>
        <v>188266</v>
      </c>
      <c r="C14735" s="9"/>
      <c r="D14735" t="str">
        <f>"spp-4"</f>
        <v>spp-4</v>
      </c>
      <c r="E14735" t="s">
        <v>62</v>
      </c>
      <c r="F14735" t="s">
        <v>11</v>
      </c>
      <c r="H14735" s="12">
        <v>-1.3936338308363301</v>
      </c>
      <c r="I14735" s="20">
        <v>-1.1833217298251699</v>
      </c>
      <c r="J14735" s="28">
        <v>0.23668166403927199</v>
      </c>
      <c r="K14735" s="29">
        <v>0.98289565623980701</v>
      </c>
    </row>
    <row r="14736" spans="1:11" x14ac:dyDescent="0.35">
      <c r="A14736" s="9" t="str">
        <f>HYPERLINK("http://www.ensembl.org/id/WBGene00004991", "WBGene00004991")</f>
        <v>WBGene00004991</v>
      </c>
      <c r="B14736" s="9" t="str">
        <f>HYPERLINK("http://www.ncbi.nlm.nih.gov/gene/188267", "188267")</f>
        <v>188267</v>
      </c>
      <c r="C14736" s="9"/>
      <c r="D14736" t="str">
        <f>"spp-6"</f>
        <v>spp-6</v>
      </c>
      <c r="E14736" t="s">
        <v>62</v>
      </c>
      <c r="F14736" t="s">
        <v>11</v>
      </c>
      <c r="H14736" s="12">
        <v>-1.95944229091918</v>
      </c>
      <c r="I14736" s="20">
        <v>-0.67863246223777396</v>
      </c>
      <c r="J14736" s="28">
        <v>0.497370768888866</v>
      </c>
      <c r="K14736" s="29">
        <v>0.98289565623980701</v>
      </c>
    </row>
    <row r="14737" spans="1:11" x14ac:dyDescent="0.35">
      <c r="A14737" s="9" t="str">
        <f>HYPERLINK("http://www.ensembl.org/id/WBGene00005008", "WBGene00005008")</f>
        <v>WBGene00005008</v>
      </c>
      <c r="B14737" s="9" t="str">
        <f>HYPERLINK("http://www.ncbi.nlm.nih.gov/gene/180722", "180722")</f>
        <v>180722</v>
      </c>
      <c r="C14737" s="9"/>
      <c r="D14737" t="str">
        <f>"spr-3"</f>
        <v>spr-3</v>
      </c>
      <c r="E14737" t="s">
        <v>8946</v>
      </c>
      <c r="F14737" t="s">
        <v>11</v>
      </c>
      <c r="G14737" t="s">
        <v>8947</v>
      </c>
      <c r="H14737" s="12">
        <v>-1.2101963461262699</v>
      </c>
      <c r="I14737" s="20">
        <v>-0.82333991206003598</v>
      </c>
      <c r="J14737" s="28">
        <v>0.41031472284211901</v>
      </c>
      <c r="K14737" s="29">
        <v>0.98289565623980701</v>
      </c>
    </row>
    <row r="14738" spans="1:11" x14ac:dyDescent="0.35">
      <c r="A14738" s="9" t="str">
        <f>HYPERLINK("http://www.ensembl.org/id/WBGene00005009", "WBGene00005009")</f>
        <v>WBGene00005009</v>
      </c>
      <c r="B14738" s="9" t="str">
        <f>HYPERLINK("http://www.ncbi.nlm.nih.gov/gene/172596", "172596")</f>
        <v>172596</v>
      </c>
      <c r="C14738" s="9"/>
      <c r="D14738" t="str">
        <f>"spr-4"</f>
        <v>spr-4</v>
      </c>
      <c r="E14738" t="s">
        <v>5939</v>
      </c>
      <c r="F14738" t="s">
        <v>11</v>
      </c>
      <c r="G14738" t="s">
        <v>5940</v>
      </c>
      <c r="H14738" s="12">
        <v>1.0820297818345701</v>
      </c>
      <c r="I14738" s="20">
        <v>0.41327344400855598</v>
      </c>
      <c r="J14738" s="28">
        <v>0.67940628402980396</v>
      </c>
      <c r="K14738" s="29">
        <v>0.98289565623980701</v>
      </c>
    </row>
    <row r="14739" spans="1:11" x14ac:dyDescent="0.35">
      <c r="A14739" s="9" t="str">
        <f>HYPERLINK("http://www.ensembl.org/id/WBGene00005010", "WBGene00005010")</f>
        <v>WBGene00005010</v>
      </c>
      <c r="B14739" s="9" t="str">
        <f>HYPERLINK("http://www.ncbi.nlm.nih.gov/gene/173214", "173214")</f>
        <v>173214</v>
      </c>
      <c r="C14739" s="9" t="str">
        <f>HYPERLINK("http://www.ncbi.nlm.nih.gov/gene/23028", "23028")</f>
        <v>23028</v>
      </c>
      <c r="D14739" t="str">
        <f>"spr-5"</f>
        <v>spr-5</v>
      </c>
      <c r="E14739" t="s">
        <v>7784</v>
      </c>
      <c r="F14739" t="s">
        <v>11</v>
      </c>
      <c r="G14739" t="s">
        <v>7785</v>
      </c>
      <c r="H14739" s="12">
        <v>-1.14460053917173</v>
      </c>
      <c r="I14739" s="20">
        <v>-0.65973559190168596</v>
      </c>
      <c r="J14739" s="28">
        <v>0.50942352212309805</v>
      </c>
      <c r="K14739" s="29">
        <v>0.98289565623980701</v>
      </c>
    </row>
    <row r="14740" spans="1:11" x14ac:dyDescent="0.35">
      <c r="A14740" s="9" t="str">
        <f>HYPERLINK("http://www.ensembl.org/id/WBGene00018849", "WBGene00018849")</f>
        <v>WBGene00018849</v>
      </c>
      <c r="B14740" s="9" t="str">
        <f>HYPERLINK("http://www.ncbi.nlm.nih.gov/gene/172984", "172984")</f>
        <v>172984</v>
      </c>
      <c r="C14740" s="9" t="str">
        <f>HYPERLINK("http://www.ncbi.nlm.nih.gov/gene/11198", "11198")</f>
        <v>11198</v>
      </c>
      <c r="D14740" t="str">
        <f>"spt-16"</f>
        <v>spt-16</v>
      </c>
      <c r="E14740" t="s">
        <v>8929</v>
      </c>
      <c r="F14740" t="s">
        <v>11</v>
      </c>
      <c r="G14740" t="s">
        <v>8930</v>
      </c>
      <c r="H14740" s="12">
        <v>-1.2087567335031</v>
      </c>
      <c r="I14740" s="20">
        <v>-0.98777242791451203</v>
      </c>
      <c r="J14740" s="28">
        <v>0.32326411380702302</v>
      </c>
      <c r="K14740" s="29">
        <v>0.98289565623980701</v>
      </c>
    </row>
    <row r="14741" spans="1:11" x14ac:dyDescent="0.35">
      <c r="A14741" s="9" t="str">
        <f>HYPERLINK("http://www.ensembl.org/id/WBGene00005014", "WBGene00005014")</f>
        <v>WBGene00005014</v>
      </c>
      <c r="B14741" s="9" t="str">
        <f>HYPERLINK("http://www.ncbi.nlm.nih.gov/gene/175172", "175172")</f>
        <v>175172</v>
      </c>
      <c r="C14741" s="9" t="str">
        <f>HYPERLINK("http://www.ncbi.nlm.nih.gov/gene/6827", "6827")</f>
        <v>6827</v>
      </c>
      <c r="D14741" t="str">
        <f>"spt-4"</f>
        <v>spt-4</v>
      </c>
      <c r="E14741" t="s">
        <v>9667</v>
      </c>
      <c r="F14741" t="s">
        <v>11</v>
      </c>
      <c r="G14741" t="s">
        <v>9668</v>
      </c>
      <c r="H14741" s="12">
        <v>-1.2746179701215301</v>
      </c>
      <c r="I14741" s="20">
        <v>-1.0823728449465999</v>
      </c>
      <c r="J14741" s="28">
        <v>0.27908688946954002</v>
      </c>
      <c r="K14741" s="29">
        <v>0.98289565623980701</v>
      </c>
    </row>
    <row r="14742" spans="1:11" x14ac:dyDescent="0.35">
      <c r="A14742" s="9" t="str">
        <f>HYPERLINK("http://www.ensembl.org/id/WBGene00005015", "WBGene00005015")</f>
        <v>WBGene00005015</v>
      </c>
      <c r="B14742" s="9" t="str">
        <f>HYPERLINK("http://www.ncbi.nlm.nih.gov/gene/178143", "178143")</f>
        <v>178143</v>
      </c>
      <c r="C14742" s="9" t="str">
        <f>HYPERLINK("http://www.ncbi.nlm.nih.gov/gene/6829", "6829")</f>
        <v>6829</v>
      </c>
      <c r="D14742" t="str">
        <f>"spt-5"</f>
        <v>spt-5</v>
      </c>
      <c r="E14742" t="s">
        <v>6374</v>
      </c>
      <c r="F14742" t="s">
        <v>11</v>
      </c>
      <c r="G14742" t="s">
        <v>6375</v>
      </c>
      <c r="H14742" s="12">
        <v>-1.06560522005931</v>
      </c>
      <c r="I14742" s="20">
        <v>-0.33993027625974598</v>
      </c>
      <c r="J14742" s="28">
        <v>0.73390903570881105</v>
      </c>
      <c r="K14742" s="29">
        <v>0.98289565623980701</v>
      </c>
    </row>
    <row r="14743" spans="1:11" x14ac:dyDescent="0.35">
      <c r="A14743" s="9" t="str">
        <f>HYPERLINK("http://www.ensembl.org/id/WBGene00011926", "WBGene00011926")</f>
        <v>WBGene00011926</v>
      </c>
      <c r="B14743" s="9" t="str">
        <f>HYPERLINK("http://www.ncbi.nlm.nih.gov/gene/188733", "188733")</f>
        <v>188733</v>
      </c>
      <c r="C14743" s="9" t="str">
        <f>HYPERLINK("http://www.ncbi.nlm.nih.gov/gene/221833", "221833")</f>
        <v>221833</v>
      </c>
      <c r="D14743" t="str">
        <f>"sptf-2"</f>
        <v>sptf-2</v>
      </c>
      <c r="E14743" t="s">
        <v>154</v>
      </c>
      <c r="F14743" t="s">
        <v>11</v>
      </c>
      <c r="G14743" t="s">
        <v>5227</v>
      </c>
      <c r="H14743" s="12">
        <v>1.2104667269052201</v>
      </c>
      <c r="I14743" s="20">
        <v>0.36452568690390702</v>
      </c>
      <c r="J14743" s="28">
        <v>0.71546549596245101</v>
      </c>
      <c r="K14743" s="29">
        <v>0.98289565623980701</v>
      </c>
    </row>
    <row r="14744" spans="1:11" x14ac:dyDescent="0.35">
      <c r="A14744" s="9" t="str">
        <f>HYPERLINK("http://www.ensembl.org/id/WBGene00012735", "WBGene00012735")</f>
        <v>WBGene00012735</v>
      </c>
      <c r="B14744" s="9" t="str">
        <f>HYPERLINK("http://www.ncbi.nlm.nih.gov/gene/189783", "189783")</f>
        <v>189783</v>
      </c>
      <c r="C14744" s="9"/>
      <c r="D14744" t="str">
        <f>"sptf-3"</f>
        <v>sptf-3</v>
      </c>
      <c r="E14744" t="s">
        <v>154</v>
      </c>
      <c r="F14744" t="s">
        <v>11</v>
      </c>
      <c r="G14744" t="s">
        <v>8543</v>
      </c>
      <c r="H14744" s="12">
        <v>-1.1827477968270399</v>
      </c>
      <c r="I14744" s="20">
        <v>-0.88433896363157405</v>
      </c>
      <c r="J14744" s="28">
        <v>0.37651326087140802</v>
      </c>
      <c r="K14744" s="29">
        <v>0.98289565623980701</v>
      </c>
    </row>
    <row r="14745" spans="1:11" x14ac:dyDescent="0.35">
      <c r="A14745" s="9" t="str">
        <f>HYPERLINK("http://www.ensembl.org/id/WBGene00016020", "WBGene00016020")</f>
        <v>WBGene00016020</v>
      </c>
      <c r="B14745" s="9" t="str">
        <f>HYPERLINK("http://www.ncbi.nlm.nih.gov/gene/173389", "173389")</f>
        <v>173389</v>
      </c>
      <c r="C14745" s="9" t="str">
        <f>HYPERLINK("http://www.ncbi.nlm.nih.gov/gene/10558", "10558")</f>
        <v>10558</v>
      </c>
      <c r="D14745" t="str">
        <f>"sptl-1"</f>
        <v>sptl-1</v>
      </c>
      <c r="E14745" t="s">
        <v>6210</v>
      </c>
      <c r="F14745" t="s">
        <v>11</v>
      </c>
      <c r="G14745" t="s">
        <v>6211</v>
      </c>
      <c r="H14745" s="12">
        <v>-1.05399032370454</v>
      </c>
      <c r="I14745" s="20">
        <v>-0.283158118759612</v>
      </c>
      <c r="J14745" s="28">
        <v>0.777055631416811</v>
      </c>
      <c r="K14745" s="29">
        <v>0.98289565623980701</v>
      </c>
    </row>
    <row r="14746" spans="1:11" x14ac:dyDescent="0.35">
      <c r="A14746" s="9" t="str">
        <f>HYPERLINK("http://www.ensembl.org/id/WBGene00011932", "WBGene00011932")</f>
        <v>WBGene00011932</v>
      </c>
      <c r="B14746" s="9" t="str">
        <f>HYPERLINK("http://www.ncbi.nlm.nih.gov/gene/179884", "179884")</f>
        <v>179884</v>
      </c>
      <c r="C14746" s="9"/>
      <c r="D14746" t="str">
        <f>"sptl-3"</f>
        <v>sptl-3</v>
      </c>
      <c r="E14746" t="s">
        <v>8688</v>
      </c>
      <c r="F14746" t="s">
        <v>11</v>
      </c>
      <c r="G14746" t="s">
        <v>8689</v>
      </c>
      <c r="H14746" s="12">
        <v>-1.1906896571724299</v>
      </c>
      <c r="I14746" s="20">
        <v>-0.95393752732327597</v>
      </c>
      <c r="J14746" s="28">
        <v>0.34011526617208698</v>
      </c>
      <c r="K14746" s="29">
        <v>0.98289565623980701</v>
      </c>
    </row>
    <row r="14747" spans="1:11" x14ac:dyDescent="0.35">
      <c r="A14747" s="9" t="str">
        <f>HYPERLINK("http://www.ensembl.org/id/WBGene00014051", "WBGene00014051")</f>
        <v>WBGene00014051</v>
      </c>
      <c r="B14747" s="9" t="str">
        <f>HYPERLINK("http://www.ncbi.nlm.nih.gov/gene/174278", "174278")</f>
        <v>174278</v>
      </c>
      <c r="C14747" s="9"/>
      <c r="D14747" t="str">
        <f>"spv-1"</f>
        <v>spv-1</v>
      </c>
      <c r="E14747" t="s">
        <v>6640</v>
      </c>
      <c r="F14747" t="s">
        <v>11</v>
      </c>
      <c r="G14747" t="s">
        <v>6641</v>
      </c>
      <c r="H14747" s="12">
        <v>-1.0824141556703699</v>
      </c>
      <c r="I14747" s="20">
        <v>-0.44110700185030499</v>
      </c>
      <c r="J14747" s="28">
        <v>0.65913553474629905</v>
      </c>
      <c r="K14747" s="29">
        <v>0.98289565623980701</v>
      </c>
    </row>
    <row r="14748" spans="1:11" x14ac:dyDescent="0.35">
      <c r="A14748" s="9" t="str">
        <f>HYPERLINK("http://www.ensembl.org/id/WBGene00022235", "WBGene00022235")</f>
        <v>WBGene00022235</v>
      </c>
      <c r="B14748" s="9" t="str">
        <f>HYPERLINK("http://www.ncbi.nlm.nih.gov/gene/177392", "177392")</f>
        <v>177392</v>
      </c>
      <c r="C14748" s="9"/>
      <c r="D14748" t="str">
        <f>"sqd-1"</f>
        <v>sqd-1</v>
      </c>
      <c r="E14748" t="s">
        <v>8196</v>
      </c>
      <c r="F14748" t="s">
        <v>11</v>
      </c>
      <c r="G14748" t="s">
        <v>2343</v>
      </c>
      <c r="H14748" s="12">
        <v>-1.165005277718</v>
      </c>
      <c r="I14748" s="20">
        <v>-0.84769272437966303</v>
      </c>
      <c r="J14748" s="28">
        <v>0.39660911930903398</v>
      </c>
      <c r="K14748" s="29">
        <v>0.98289565623980701</v>
      </c>
    </row>
    <row r="14749" spans="1:11" x14ac:dyDescent="0.35">
      <c r="A14749" s="9" t="str">
        <f>HYPERLINK("http://www.ensembl.org/id/WBGene00013730", "WBGene00013730")</f>
        <v>WBGene00013730</v>
      </c>
      <c r="B14749" s="9" t="str">
        <f>HYPERLINK("http://www.ncbi.nlm.nih.gov/gene/190949", "190949")</f>
        <v>190949</v>
      </c>
      <c r="C14749" s="9"/>
      <c r="D14749" t="str">
        <f>"sql-1"</f>
        <v>sql-1</v>
      </c>
      <c r="E14749" t="s">
        <v>5181</v>
      </c>
      <c r="F14749" t="s">
        <v>11</v>
      </c>
      <c r="G14749" t="s">
        <v>5182</v>
      </c>
      <c r="H14749" s="12">
        <v>1.22007514219279</v>
      </c>
      <c r="I14749" s="20">
        <v>0.93407266189706095</v>
      </c>
      <c r="J14749" s="28">
        <v>0.35026641275482001</v>
      </c>
      <c r="K14749" s="29">
        <v>0.98289565623980701</v>
      </c>
    </row>
    <row r="14750" spans="1:11" x14ac:dyDescent="0.35">
      <c r="A14750" s="9" t="str">
        <f>HYPERLINK("http://www.ensembl.org/id/WBGene00011737", "WBGene00011737")</f>
        <v>WBGene00011737</v>
      </c>
      <c r="B14750" s="9" t="str">
        <f>HYPERLINK("http://www.ncbi.nlm.nih.gov/gene/178139", "178139")</f>
        <v>178139</v>
      </c>
      <c r="C14750" s="9"/>
      <c r="D14750" t="str">
        <f>"sqst-1"</f>
        <v>sqst-1</v>
      </c>
      <c r="E14750" t="s">
        <v>6795</v>
      </c>
      <c r="F14750" t="s">
        <v>11</v>
      </c>
      <c r="G14750" t="s">
        <v>6796</v>
      </c>
      <c r="H14750" s="12">
        <v>-1.0893524492023601</v>
      </c>
      <c r="I14750" s="20">
        <v>-0.47753347424079701</v>
      </c>
      <c r="J14750" s="28">
        <v>0.63298229016794005</v>
      </c>
      <c r="K14750" s="29">
        <v>0.98289565623980701</v>
      </c>
    </row>
    <row r="14751" spans="1:11" x14ac:dyDescent="0.35">
      <c r="A14751" s="9" t="str">
        <f>HYPERLINK("http://www.ensembl.org/id/WBGene00021495", "WBGene00021495")</f>
        <v>WBGene00021495</v>
      </c>
      <c r="B14751" s="9" t="str">
        <f>HYPERLINK("http://www.ncbi.nlm.nih.gov/gene/189791", "189791")</f>
        <v>189791</v>
      </c>
      <c r="C14751" s="9"/>
      <c r="D14751" t="str">
        <f>"sqst-2"</f>
        <v>sqst-2</v>
      </c>
      <c r="E14751" t="s">
        <v>6795</v>
      </c>
      <c r="F14751" t="s">
        <v>11</v>
      </c>
      <c r="G14751" t="s">
        <v>7572</v>
      </c>
      <c r="H14751" s="12">
        <v>-1.2512302567976601</v>
      </c>
      <c r="I14751" s="20">
        <v>-0.89518300871273404</v>
      </c>
      <c r="J14751" s="28">
        <v>0.37068926612272501</v>
      </c>
      <c r="K14751" s="29">
        <v>0.98289565623980701</v>
      </c>
    </row>
    <row r="14752" spans="1:11" x14ac:dyDescent="0.35">
      <c r="A14752" s="9" t="str">
        <f>HYPERLINK("http://www.ensembl.org/id/WBGene00012516", "WBGene00012516")</f>
        <v>WBGene00012516</v>
      </c>
      <c r="B14752" s="9" t="str">
        <f>HYPERLINK("http://www.ncbi.nlm.nih.gov/gene/189561", "189561")</f>
        <v>189561</v>
      </c>
      <c r="C14752" s="9"/>
      <c r="D14752" t="str">
        <f>"sqst-4"</f>
        <v>sqst-4</v>
      </c>
      <c r="E14752" t="s">
        <v>6795</v>
      </c>
      <c r="F14752" t="s">
        <v>11</v>
      </c>
      <c r="G14752" t="s">
        <v>7532</v>
      </c>
      <c r="H14752" s="12">
        <v>-2.3838754719136599</v>
      </c>
      <c r="I14752" s="20">
        <v>-0.25807578497976902</v>
      </c>
      <c r="J14752" s="28">
        <v>0.79634841949468704</v>
      </c>
      <c r="K14752" s="29">
        <v>0.98289565623980701</v>
      </c>
    </row>
    <row r="14753" spans="1:11" x14ac:dyDescent="0.35">
      <c r="A14753" s="9" t="str">
        <f>HYPERLINK("http://www.ensembl.org/id/WBGene00269434", "WBGene00269434")</f>
        <v>WBGene00269434</v>
      </c>
      <c r="B14753" s="9" t="str">
        <f>HYPERLINK("http://www.ncbi.nlm.nih.gov/gene/28661656", "28661656")</f>
        <v>28661656</v>
      </c>
      <c r="C14753" s="9"/>
      <c r="D14753" t="str">
        <f>"sqst-5"</f>
        <v>sqst-5</v>
      </c>
      <c r="E14753" t="s">
        <v>6795</v>
      </c>
      <c r="F14753" t="s">
        <v>11</v>
      </c>
      <c r="G14753" t="s">
        <v>7532</v>
      </c>
      <c r="H14753" s="12">
        <v>-1.1308757442253701</v>
      </c>
      <c r="I14753" s="20">
        <v>-0.25787706937676103</v>
      </c>
      <c r="J14753" s="28">
        <v>0.79650178245464398</v>
      </c>
      <c r="K14753" s="29">
        <v>0.98289565623980701</v>
      </c>
    </row>
    <row r="14754" spans="1:11" x14ac:dyDescent="0.35">
      <c r="A14754" s="9" t="str">
        <f>HYPERLINK("http://www.ensembl.org/id/WBGene00005016", "WBGene00005016")</f>
        <v>WBGene00005016</v>
      </c>
      <c r="B14754" s="9" t="str">
        <f>HYPERLINK("http://www.ncbi.nlm.nih.gov/gene/174731", "174731")</f>
        <v>174731</v>
      </c>
      <c r="C14754" s="9"/>
      <c r="D14754" t="str">
        <f>"sqt-1"</f>
        <v>sqt-1</v>
      </c>
      <c r="E14754" t="s">
        <v>4302</v>
      </c>
      <c r="F14754" t="s">
        <v>11</v>
      </c>
      <c r="G14754" t="s">
        <v>4303</v>
      </c>
      <c r="H14754" s="12">
        <v>3.55345724109845</v>
      </c>
      <c r="I14754" s="20">
        <v>0.42537805223630099</v>
      </c>
      <c r="J14754" s="28">
        <v>0.670561102952972</v>
      </c>
      <c r="K14754" s="29">
        <v>0.98289565623980701</v>
      </c>
    </row>
    <row r="14755" spans="1:11" x14ac:dyDescent="0.35">
      <c r="A14755" s="9" t="str">
        <f>HYPERLINK("http://www.ensembl.org/id/WBGene00005018", "WBGene00005018")</f>
        <v>WBGene00005018</v>
      </c>
      <c r="B14755" s="9" t="str">
        <f>HYPERLINK("http://www.ncbi.nlm.nih.gov/gene/179693", "179693")</f>
        <v>179693</v>
      </c>
      <c r="C14755" s="9"/>
      <c r="D14755" t="str">
        <f>"sqt-3"</f>
        <v>sqt-3</v>
      </c>
      <c r="E14755" t="s">
        <v>5142</v>
      </c>
      <c r="F14755" t="s">
        <v>11</v>
      </c>
      <c r="G14755" t="s">
        <v>5143</v>
      </c>
      <c r="H14755" s="12">
        <v>1.23112058047451</v>
      </c>
      <c r="I14755" s="20">
        <v>1.1463241935995201</v>
      </c>
      <c r="J14755" s="28">
        <v>0.25166103597362</v>
      </c>
      <c r="K14755" s="29">
        <v>0.98289565623980701</v>
      </c>
    </row>
    <row r="14756" spans="1:11" x14ac:dyDescent="0.35">
      <c r="A14756" s="9" t="str">
        <f>HYPERLINK("http://www.ensembl.org/id/WBGene00005025", "WBGene00005025")</f>
        <v>WBGene00005025</v>
      </c>
      <c r="B14756" s="9" t="str">
        <f>HYPERLINK("http://www.ncbi.nlm.nih.gov/gene/174145", "174145")</f>
        <v>174145</v>
      </c>
      <c r="C14756" s="9" t="str">
        <f>HYPERLINK("http://www.ncbi.nlm.nih.gov/gene/23169", "23169")</f>
        <v>23169</v>
      </c>
      <c r="D14756" t="str">
        <f>"sqv-7"</f>
        <v>sqv-7</v>
      </c>
      <c r="E14756" t="s">
        <v>9548</v>
      </c>
      <c r="F14756" t="s">
        <v>11</v>
      </c>
      <c r="G14756" t="s">
        <v>9549</v>
      </c>
      <c r="H14756" s="12">
        <v>-1.2573480237699499</v>
      </c>
      <c r="I14756" s="20">
        <v>-1.1568216259124899</v>
      </c>
      <c r="J14756" s="28">
        <v>0.24734524443261899</v>
      </c>
      <c r="K14756" s="29">
        <v>0.98289565623980701</v>
      </c>
    </row>
    <row r="14757" spans="1:11" x14ac:dyDescent="0.35">
      <c r="A14757" s="9" t="str">
        <f>HYPERLINK("http://www.ensembl.org/id/WBGene00005037", "WBGene00005037")</f>
        <v>WBGene00005037</v>
      </c>
      <c r="B14757" s="9" t="str">
        <f>HYPERLINK("http://www.ncbi.nlm.nih.gov/gene/191782", "191782")</f>
        <v>191782</v>
      </c>
      <c r="C14757" s="9"/>
      <c r="D14757" t="str">
        <f>"sra-11"</f>
        <v>sra-11</v>
      </c>
      <c r="E14757" t="s">
        <v>4407</v>
      </c>
      <c r="F14757" t="s">
        <v>11</v>
      </c>
      <c r="G14757" t="s">
        <v>4408</v>
      </c>
      <c r="H14757" s="12">
        <v>2.3533796524667001</v>
      </c>
      <c r="I14757" s="20">
        <v>1.1638901173382199</v>
      </c>
      <c r="J14757" s="28">
        <v>0.24446854509256</v>
      </c>
      <c r="K14757" s="29">
        <v>0.98289565623980701</v>
      </c>
    </row>
    <row r="14758" spans="1:11" x14ac:dyDescent="0.35">
      <c r="A14758" s="9" t="str">
        <f>HYPERLINK("http://www.ensembl.org/id/WBGene00005038", "WBGene00005038")</f>
        <v>WBGene00005038</v>
      </c>
      <c r="B14758" s="9" t="str">
        <f>HYPERLINK("http://www.ncbi.nlm.nih.gov/gene/3565216", "3565216")</f>
        <v>3565216</v>
      </c>
      <c r="C14758" s="9"/>
      <c r="D14758" t="str">
        <f>"sra-12"</f>
        <v>sra-12</v>
      </c>
      <c r="E14758" t="s">
        <v>9941</v>
      </c>
      <c r="F14758" t="s">
        <v>11</v>
      </c>
      <c r="G14758" t="s">
        <v>9942</v>
      </c>
      <c r="H14758" s="12">
        <v>-1.4405505340201601</v>
      </c>
      <c r="I14758" s="20">
        <v>-0.32921739606178102</v>
      </c>
      <c r="J14758" s="28">
        <v>0.74199137501860901</v>
      </c>
      <c r="K14758" s="29">
        <v>0.98289565623980701</v>
      </c>
    </row>
    <row r="14759" spans="1:11" x14ac:dyDescent="0.35">
      <c r="A14759" s="9" t="str">
        <f>HYPERLINK("http://www.ensembl.org/id/WBGene00005039", "WBGene00005039")</f>
        <v>WBGene00005039</v>
      </c>
      <c r="B14759" s="9" t="str">
        <f>HYPERLINK("http://www.ncbi.nlm.nih.gov/gene/186058", "186058")</f>
        <v>186058</v>
      </c>
      <c r="C14759" s="9"/>
      <c r="D14759" t="str">
        <f>"sra-13"</f>
        <v>sra-13</v>
      </c>
      <c r="E14759" t="s">
        <v>4198</v>
      </c>
      <c r="F14759" t="s">
        <v>11</v>
      </c>
      <c r="G14759" t="s">
        <v>4199</v>
      </c>
      <c r="H14759" s="12">
        <v>18.9953913565923</v>
      </c>
      <c r="I14759" s="20">
        <v>1.08747390098948</v>
      </c>
      <c r="J14759" s="28">
        <v>0.27682742672302701</v>
      </c>
      <c r="K14759" s="29">
        <v>0.98289565623980701</v>
      </c>
    </row>
    <row r="14760" spans="1:11" x14ac:dyDescent="0.35">
      <c r="A14760" s="9" t="str">
        <f>HYPERLINK("http://www.ensembl.org/id/WBGene00005040", "WBGene00005040")</f>
        <v>WBGene00005040</v>
      </c>
      <c r="B14760" s="9" t="str">
        <f>HYPERLINK("http://www.ncbi.nlm.nih.gov/gene/185262", "185262")</f>
        <v>185262</v>
      </c>
      <c r="C14760" s="9"/>
      <c r="D14760" t="str">
        <f>"sra-14"</f>
        <v>sra-14</v>
      </c>
      <c r="E14760" t="s">
        <v>4214</v>
      </c>
      <c r="F14760" t="s">
        <v>11</v>
      </c>
      <c r="G14760" t="s">
        <v>1468</v>
      </c>
      <c r="H14760" s="12">
        <v>-1.37053022501727</v>
      </c>
      <c r="I14760" s="20">
        <v>-0.826010581985407</v>
      </c>
      <c r="J14760" s="28">
        <v>0.40879808904766302</v>
      </c>
      <c r="K14760" s="29">
        <v>0.98289565623980701</v>
      </c>
    </row>
    <row r="14761" spans="1:11" x14ac:dyDescent="0.35">
      <c r="A14761" s="9" t="str">
        <f>HYPERLINK("http://www.ensembl.org/id/WBGene00005041", "WBGene00005041")</f>
        <v>WBGene00005041</v>
      </c>
      <c r="B14761" s="9"/>
      <c r="C14761" s="9"/>
      <c r="D14761" t="str">
        <f>"sra-15"</f>
        <v>sra-15</v>
      </c>
      <c r="F14761" t="s">
        <v>80</v>
      </c>
      <c r="H14761" s="12">
        <v>-3.5819448292659501</v>
      </c>
      <c r="I14761" s="20">
        <v>-0.37337717500031398</v>
      </c>
      <c r="J14761" s="28">
        <v>0.70886774492290605</v>
      </c>
      <c r="K14761" s="29">
        <v>0.98289565623980701</v>
      </c>
    </row>
    <row r="14762" spans="1:11" x14ac:dyDescent="0.35">
      <c r="A14762" s="9" t="str">
        <f>HYPERLINK("http://www.ensembl.org/id/WBGene00005043", "WBGene00005043")</f>
        <v>WBGene00005043</v>
      </c>
      <c r="B14762" s="9" t="str">
        <f>HYPERLINK("http://www.ncbi.nlm.nih.gov/gene/185053", "185053")</f>
        <v>185053</v>
      </c>
      <c r="C14762" s="9"/>
      <c r="D14762" t="str">
        <f>"sra-17"</f>
        <v>sra-17</v>
      </c>
      <c r="E14762" t="s">
        <v>4399</v>
      </c>
      <c r="F14762" t="s">
        <v>11</v>
      </c>
      <c r="G14762" t="s">
        <v>4210</v>
      </c>
      <c r="H14762" s="12">
        <v>2.3893468495514898</v>
      </c>
      <c r="I14762" s="20">
        <v>0.25323547253672701</v>
      </c>
      <c r="J14762" s="28">
        <v>0.80008625651646104</v>
      </c>
      <c r="K14762" s="29">
        <v>0.98289565623980701</v>
      </c>
    </row>
    <row r="14763" spans="1:11" x14ac:dyDescent="0.35">
      <c r="A14763" s="9" t="str">
        <f>HYPERLINK("http://www.ensembl.org/id/WBGene00005045", "WBGene00005045")</f>
        <v>WBGene00005045</v>
      </c>
      <c r="B14763" s="9"/>
      <c r="C14763" s="9"/>
      <c r="D14763" t="str">
        <f>"sra-19"</f>
        <v>sra-19</v>
      </c>
      <c r="F14763" t="s">
        <v>80</v>
      </c>
      <c r="H14763" s="12">
        <v>13.2083681824683</v>
      </c>
      <c r="I14763" s="20">
        <v>0.79736709025154395</v>
      </c>
      <c r="J14763" s="28">
        <v>0.42523786651974499</v>
      </c>
      <c r="K14763" s="29">
        <v>0.98289565623980701</v>
      </c>
    </row>
    <row r="14764" spans="1:11" x14ac:dyDescent="0.35">
      <c r="A14764" s="9" t="str">
        <f>HYPERLINK("http://www.ensembl.org/id/WBGene00005047", "WBGene00005047")</f>
        <v>WBGene00005047</v>
      </c>
      <c r="B14764" s="9" t="str">
        <f>HYPERLINK("http://www.ncbi.nlm.nih.gov/gene/185057", "185057")</f>
        <v>185057</v>
      </c>
      <c r="C14764" s="9"/>
      <c r="D14764" t="str">
        <f>"sra-21"</f>
        <v>sra-21</v>
      </c>
      <c r="E14764" t="s">
        <v>4230</v>
      </c>
      <c r="F14764" t="s">
        <v>11</v>
      </c>
      <c r="G14764" t="s">
        <v>4210</v>
      </c>
      <c r="H14764" s="12">
        <v>7.6616465944663696</v>
      </c>
      <c r="I14764" s="20">
        <v>0.60406875593600395</v>
      </c>
      <c r="J14764" s="28">
        <v>0.54579793098927099</v>
      </c>
      <c r="K14764" s="29">
        <v>0.98289565623980701</v>
      </c>
    </row>
    <row r="14765" spans="1:11" x14ac:dyDescent="0.35">
      <c r="A14765" s="9" t="str">
        <f>HYPERLINK("http://www.ensembl.org/id/WBGene00005050", "WBGene00005050")</f>
        <v>WBGene00005050</v>
      </c>
      <c r="B14765" s="9" t="str">
        <f>HYPERLINK("http://www.ncbi.nlm.nih.gov/gene/188195", "188195")</f>
        <v>188195</v>
      </c>
      <c r="C14765" s="9"/>
      <c r="D14765" t="str">
        <f>"sra-24"</f>
        <v>sra-24</v>
      </c>
      <c r="E14765" t="s">
        <v>10067</v>
      </c>
      <c r="F14765" t="s">
        <v>11</v>
      </c>
      <c r="G14765" t="s">
        <v>4210</v>
      </c>
      <c r="H14765" s="12">
        <v>-2.4991590031922399</v>
      </c>
      <c r="I14765" s="20">
        <v>-0.26577412737581302</v>
      </c>
      <c r="J14765" s="28">
        <v>0.79041317015736101</v>
      </c>
      <c r="K14765" s="29">
        <v>0.98289565623980701</v>
      </c>
    </row>
    <row r="14766" spans="1:11" x14ac:dyDescent="0.35">
      <c r="A14766" s="9" t="str">
        <f>HYPERLINK("http://www.ensembl.org/id/WBGene00005052", "WBGene00005052")</f>
        <v>WBGene00005052</v>
      </c>
      <c r="B14766" s="9" t="str">
        <f>HYPERLINK("http://www.ncbi.nlm.nih.gov/gene/188610", "188610")</f>
        <v>188610</v>
      </c>
      <c r="C14766" s="9"/>
      <c r="D14766" t="str">
        <f>"sra-26"</f>
        <v>sra-26</v>
      </c>
      <c r="E14766" t="s">
        <v>4214</v>
      </c>
      <c r="F14766" t="s">
        <v>11</v>
      </c>
      <c r="G14766" t="s">
        <v>4210</v>
      </c>
      <c r="H14766" s="12">
        <v>10.8131830636529</v>
      </c>
      <c r="I14766" s="20">
        <v>0.70982715185838596</v>
      </c>
      <c r="J14766" s="28">
        <v>0.477811329444844</v>
      </c>
      <c r="K14766" s="29">
        <v>0.98289565623980701</v>
      </c>
    </row>
    <row r="14767" spans="1:11" x14ac:dyDescent="0.35">
      <c r="A14767" s="9" t="str">
        <f>HYPERLINK("http://www.ensembl.org/id/WBGene00005053", "WBGene00005053")</f>
        <v>WBGene00005053</v>
      </c>
      <c r="B14767" s="9" t="str">
        <f>HYPERLINK("http://www.ncbi.nlm.nih.gov/gene/184633", "184633")</f>
        <v>184633</v>
      </c>
      <c r="C14767" s="9"/>
      <c r="D14767" t="str">
        <f>"sra-27"</f>
        <v>sra-27</v>
      </c>
      <c r="E14767" t="s">
        <v>4448</v>
      </c>
      <c r="F14767" t="s">
        <v>11</v>
      </c>
      <c r="G14767" t="s">
        <v>4210</v>
      </c>
      <c r="H14767" s="12">
        <v>2.0496384538002799</v>
      </c>
      <c r="I14767" s="20">
        <v>0.45833060823293797</v>
      </c>
      <c r="J14767" s="28">
        <v>0.64671493713874495</v>
      </c>
      <c r="K14767" s="29">
        <v>0.98289565623980701</v>
      </c>
    </row>
    <row r="14768" spans="1:11" x14ac:dyDescent="0.35">
      <c r="A14768" s="9" t="str">
        <f>HYPERLINK("http://www.ensembl.org/id/WBGene00005054", "WBGene00005054")</f>
        <v>WBGene00005054</v>
      </c>
      <c r="B14768" s="9" t="str">
        <f>HYPERLINK("http://www.ncbi.nlm.nih.gov/gene/184634", "184634")</f>
        <v>184634</v>
      </c>
      <c r="C14768" s="9"/>
      <c r="D14768" t="str">
        <f>"sra-28"</f>
        <v>sra-28</v>
      </c>
      <c r="E14768" t="s">
        <v>4404</v>
      </c>
      <c r="F14768" t="s">
        <v>11</v>
      </c>
      <c r="G14768" t="s">
        <v>4210</v>
      </c>
      <c r="H14768" s="12">
        <v>2.3893468495514898</v>
      </c>
      <c r="I14768" s="20">
        <v>0.25323547253672701</v>
      </c>
      <c r="J14768" s="28">
        <v>0.80008625651646104</v>
      </c>
      <c r="K14768" s="29">
        <v>0.98289565623980701</v>
      </c>
    </row>
    <row r="14769" spans="1:11" x14ac:dyDescent="0.35">
      <c r="A14769" s="9" t="str">
        <f>HYPERLINK("http://www.ensembl.org/id/WBGene00005029", "WBGene00005029")</f>
        <v>WBGene00005029</v>
      </c>
      <c r="B14769" s="9" t="str">
        <f>HYPERLINK("http://www.ncbi.nlm.nih.gov/gene/191774", "191774")</f>
        <v>191774</v>
      </c>
      <c r="C14769" s="9"/>
      <c r="D14769" t="str">
        <f>"sra-3"</f>
        <v>sra-3</v>
      </c>
      <c r="E14769" t="s">
        <v>5115</v>
      </c>
      <c r="F14769" t="s">
        <v>11</v>
      </c>
      <c r="G14769" t="s">
        <v>1468</v>
      </c>
      <c r="H14769" s="12">
        <v>1.2358952623364401</v>
      </c>
      <c r="I14769" s="20">
        <v>0.38097374700228598</v>
      </c>
      <c r="J14769" s="28">
        <v>0.70322272902486604</v>
      </c>
      <c r="K14769" s="29">
        <v>0.98289565623980701</v>
      </c>
    </row>
    <row r="14770" spans="1:11" x14ac:dyDescent="0.35">
      <c r="A14770" s="9" t="str">
        <f>HYPERLINK("http://www.ensembl.org/id/WBGene00005056", "WBGene00005056")</f>
        <v>WBGene00005056</v>
      </c>
      <c r="B14770" s="9" t="str">
        <f>HYPERLINK("http://www.ncbi.nlm.nih.gov/gene/189805", "189805")</f>
        <v>189805</v>
      </c>
      <c r="C14770" s="9"/>
      <c r="D14770" t="str">
        <f>"sra-30"</f>
        <v>sra-30</v>
      </c>
      <c r="E14770" t="s">
        <v>4214</v>
      </c>
      <c r="F14770" t="s">
        <v>11</v>
      </c>
      <c r="G14770" t="s">
        <v>4210</v>
      </c>
      <c r="H14770" s="12">
        <v>3.9121532821164302</v>
      </c>
      <c r="I14770" s="20">
        <v>0.88062951106614296</v>
      </c>
      <c r="J14770" s="28">
        <v>0.37851838028158002</v>
      </c>
      <c r="K14770" s="29">
        <v>0.98289565623980701</v>
      </c>
    </row>
    <row r="14771" spans="1:11" x14ac:dyDescent="0.35">
      <c r="A14771" s="9" t="str">
        <f>HYPERLINK("http://www.ensembl.org/id/WBGene00005057", "WBGene00005057")</f>
        <v>WBGene00005057</v>
      </c>
      <c r="B14771" s="9" t="str">
        <f>HYPERLINK("http://www.ncbi.nlm.nih.gov/gene/183858", "183858")</f>
        <v>183858</v>
      </c>
      <c r="C14771" s="9"/>
      <c r="D14771" t="str">
        <f>"sra-31"</f>
        <v>sra-31</v>
      </c>
      <c r="E14771" t="s">
        <v>4209</v>
      </c>
      <c r="F14771" t="s">
        <v>11</v>
      </c>
      <c r="G14771" t="s">
        <v>4210</v>
      </c>
      <c r="H14771" s="12">
        <v>11.170998397396099</v>
      </c>
      <c r="I14771" s="20">
        <v>0.72284615686154896</v>
      </c>
      <c r="J14771" s="28">
        <v>0.46977440626377698</v>
      </c>
      <c r="K14771" s="29">
        <v>0.98289565623980701</v>
      </c>
    </row>
    <row r="14772" spans="1:11" x14ac:dyDescent="0.35">
      <c r="A14772" s="9" t="str">
        <f>HYPERLINK("http://www.ensembl.org/id/WBGene00005058", "WBGene00005058")</f>
        <v>WBGene00005058</v>
      </c>
      <c r="B14772" s="9" t="str">
        <f>HYPERLINK("http://www.ncbi.nlm.nih.gov/gene/181919", "181919")</f>
        <v>181919</v>
      </c>
      <c r="C14772" s="9"/>
      <c r="D14772" t="str">
        <f>"sra-32"</f>
        <v>sra-32</v>
      </c>
      <c r="E14772" t="s">
        <v>4451</v>
      </c>
      <c r="F14772" t="s">
        <v>11</v>
      </c>
      <c r="G14772" t="s">
        <v>1468</v>
      </c>
      <c r="H14772" s="12">
        <v>2.0238715613026201</v>
      </c>
      <c r="I14772" s="20">
        <v>0.59227828641652103</v>
      </c>
      <c r="J14772" s="28">
        <v>0.55366425358192095</v>
      </c>
      <c r="K14772" s="29">
        <v>0.98289565623980701</v>
      </c>
    </row>
    <row r="14773" spans="1:11" x14ac:dyDescent="0.35">
      <c r="A14773" s="9" t="str">
        <f>HYPERLINK("http://www.ensembl.org/id/WBGene00005061", "WBGene00005061")</f>
        <v>WBGene00005061</v>
      </c>
      <c r="B14773" s="9" t="str">
        <f>HYPERLINK("http://www.ncbi.nlm.nih.gov/gene/3565374", "3565374")</f>
        <v>3565374</v>
      </c>
      <c r="C14773" s="9"/>
      <c r="D14773" t="str">
        <f>"sra-35"</f>
        <v>sra-35</v>
      </c>
      <c r="E14773" t="s">
        <v>4214</v>
      </c>
      <c r="F14773" t="s">
        <v>11</v>
      </c>
      <c r="G14773" t="s">
        <v>1468</v>
      </c>
      <c r="H14773" s="12">
        <v>-5.7325913847581296</v>
      </c>
      <c r="I14773" s="20">
        <v>-1.1781082177804501</v>
      </c>
      <c r="J14773" s="28">
        <v>0.238753466318017</v>
      </c>
      <c r="K14773" s="29">
        <v>0.98289565623980701</v>
      </c>
    </row>
    <row r="14774" spans="1:11" x14ac:dyDescent="0.35">
      <c r="A14774" s="9" t="str">
        <f>HYPERLINK("http://www.ensembl.org/id/WBGene00005063", "WBGene00005063")</f>
        <v>WBGene00005063</v>
      </c>
      <c r="B14774" s="9" t="str">
        <f>HYPERLINK("http://www.ncbi.nlm.nih.gov/gene/188706", "188706")</f>
        <v>188706</v>
      </c>
      <c r="C14774" s="9"/>
      <c r="D14774" t="str">
        <f>"sra-37"</f>
        <v>sra-37</v>
      </c>
      <c r="E14774" t="s">
        <v>4214</v>
      </c>
      <c r="F14774" t="s">
        <v>11</v>
      </c>
      <c r="G14774" t="s">
        <v>2456</v>
      </c>
      <c r="H14774" s="12">
        <v>1.41897681151461</v>
      </c>
      <c r="I14774" s="20">
        <v>0.79224516963514602</v>
      </c>
      <c r="J14774" s="28">
        <v>0.42821773552562797</v>
      </c>
      <c r="K14774" s="29">
        <v>0.98289565623980701</v>
      </c>
    </row>
    <row r="14775" spans="1:11" x14ac:dyDescent="0.35">
      <c r="A14775" s="9" t="str">
        <f>HYPERLINK("http://www.ensembl.org/id/WBGene00005030", "WBGene00005030")</f>
        <v>WBGene00005030</v>
      </c>
      <c r="B14775" s="9" t="str">
        <f>HYPERLINK("http://www.ncbi.nlm.nih.gov/gene/191775", "191775")</f>
        <v>191775</v>
      </c>
      <c r="C14775" s="9"/>
      <c r="D14775" t="str">
        <f>"sra-4"</f>
        <v>sra-4</v>
      </c>
      <c r="E14775" t="s">
        <v>10063</v>
      </c>
      <c r="F14775" t="s">
        <v>11</v>
      </c>
      <c r="G14775" t="s">
        <v>1468</v>
      </c>
      <c r="H14775" s="12">
        <v>-2.4991590031922399</v>
      </c>
      <c r="I14775" s="20">
        <v>-0.26577412737581302</v>
      </c>
      <c r="J14775" s="28">
        <v>0.79041317015736101</v>
      </c>
      <c r="K14775" s="29">
        <v>0.98289565623980701</v>
      </c>
    </row>
    <row r="14776" spans="1:11" x14ac:dyDescent="0.35">
      <c r="A14776" s="9" t="str">
        <f>HYPERLINK("http://www.ensembl.org/id/WBGene00005031", "WBGene00005031")</f>
        <v>WBGene00005031</v>
      </c>
      <c r="B14776" s="9"/>
      <c r="C14776" s="9"/>
      <c r="D14776" t="str">
        <f>"sra-5"</f>
        <v>sra-5</v>
      </c>
      <c r="F14776" t="s">
        <v>80</v>
      </c>
      <c r="H14776" s="12">
        <v>3.01735715873741</v>
      </c>
      <c r="I14776" s="20">
        <v>0.66504909184772698</v>
      </c>
      <c r="J14776" s="28">
        <v>0.50601909417663204</v>
      </c>
      <c r="K14776" s="29">
        <v>0.98289565623980701</v>
      </c>
    </row>
    <row r="14777" spans="1:11" x14ac:dyDescent="0.35">
      <c r="A14777" s="9" t="str">
        <f>HYPERLINK("http://www.ensembl.org/id/WBGene00005033", "WBGene00005033")</f>
        <v>WBGene00005033</v>
      </c>
      <c r="B14777" s="9" t="str">
        <f>HYPERLINK("http://www.ncbi.nlm.nih.gov/gene/191778", "191778")</f>
        <v>191778</v>
      </c>
      <c r="C14777" s="9"/>
      <c r="D14777" t="str">
        <f>"sra-7"</f>
        <v>sra-7</v>
      </c>
      <c r="E14777" t="s">
        <v>4400</v>
      </c>
      <c r="F14777" t="s">
        <v>11</v>
      </c>
      <c r="G14777" t="s">
        <v>1468</v>
      </c>
      <c r="H14777" s="12">
        <v>2.3893468495514898</v>
      </c>
      <c r="I14777" s="20">
        <v>0.25323547253672701</v>
      </c>
      <c r="J14777" s="28">
        <v>0.80008625651646104</v>
      </c>
      <c r="K14777" s="29">
        <v>0.98289565623980701</v>
      </c>
    </row>
    <row r="14778" spans="1:11" x14ac:dyDescent="0.35">
      <c r="A14778" s="9" t="str">
        <f>HYPERLINK("http://www.ensembl.org/id/WBGene00016476", "WBGene00016476")</f>
        <v>WBGene00016476</v>
      </c>
      <c r="B14778" s="9" t="str">
        <f>HYPERLINK("http://www.ncbi.nlm.nih.gov/gene/183263", "183263")</f>
        <v>183263</v>
      </c>
      <c r="C14778" s="9"/>
      <c r="D14778" t="str">
        <f>"srab-10"</f>
        <v>srab-10</v>
      </c>
      <c r="E14778" t="s">
        <v>4203</v>
      </c>
      <c r="F14778" t="s">
        <v>11</v>
      </c>
      <c r="G14778" t="s">
        <v>25</v>
      </c>
      <c r="H14778" s="12">
        <v>2.6224705946786901</v>
      </c>
      <c r="I14778" s="20">
        <v>0.32440394850383503</v>
      </c>
      <c r="J14778" s="28">
        <v>0.74563223077784602</v>
      </c>
      <c r="K14778" s="29">
        <v>0.98289565623980701</v>
      </c>
    </row>
    <row r="14779" spans="1:11" x14ac:dyDescent="0.35">
      <c r="A14779" s="9" t="str">
        <f>HYPERLINK("http://www.ensembl.org/id/WBGene00008128", "WBGene00008128")</f>
        <v>WBGene00008128</v>
      </c>
      <c r="B14779" s="9" t="str">
        <f>HYPERLINK("http://www.ncbi.nlm.nih.gov/gene/183531", "183531")</f>
        <v>183531</v>
      </c>
      <c r="C14779" s="9"/>
      <c r="D14779" t="str">
        <f>"srab-12"</f>
        <v>srab-12</v>
      </c>
      <c r="E14779" t="s">
        <v>4203</v>
      </c>
      <c r="F14779" t="s">
        <v>11</v>
      </c>
      <c r="G14779" t="s">
        <v>25</v>
      </c>
      <c r="H14779" s="12">
        <v>1.48937753834116</v>
      </c>
      <c r="I14779" s="20">
        <v>0.77184088461608102</v>
      </c>
      <c r="J14779" s="28">
        <v>0.44020867343256598</v>
      </c>
      <c r="K14779" s="29">
        <v>0.98289565623980701</v>
      </c>
    </row>
    <row r="14780" spans="1:11" x14ac:dyDescent="0.35">
      <c r="A14780" s="9" t="str">
        <f>HYPERLINK("http://www.ensembl.org/id/WBGene00020060", "WBGene00020060")</f>
        <v>WBGene00020060</v>
      </c>
      <c r="B14780" s="9" t="str">
        <f>HYPERLINK("http://www.ncbi.nlm.nih.gov/gene/187865", "187865")</f>
        <v>187865</v>
      </c>
      <c r="C14780" s="9"/>
      <c r="D14780" t="str">
        <f>"srab-16"</f>
        <v>srab-16</v>
      </c>
      <c r="E14780" t="s">
        <v>4203</v>
      </c>
      <c r="F14780" t="s">
        <v>11</v>
      </c>
      <c r="G14780" t="s">
        <v>4342</v>
      </c>
      <c r="H14780" s="12">
        <v>2.8121384414983099</v>
      </c>
      <c r="I14780" s="20">
        <v>0.494212575014922</v>
      </c>
      <c r="J14780" s="28">
        <v>0.62115605977089905</v>
      </c>
      <c r="K14780" s="29">
        <v>0.98289565623980701</v>
      </c>
    </row>
    <row r="14781" spans="1:11" x14ac:dyDescent="0.35">
      <c r="A14781" s="9" t="str">
        <f>HYPERLINK("http://www.ensembl.org/id/WBGene00011701", "WBGene00011701")</f>
        <v>WBGene00011701</v>
      </c>
      <c r="B14781" s="9" t="str">
        <f>HYPERLINK("http://www.ncbi.nlm.nih.gov/gene/188404", "188404")</f>
        <v>188404</v>
      </c>
      <c r="C14781" s="9"/>
      <c r="D14781" t="str">
        <f>"srab-17"</f>
        <v>srab-17</v>
      </c>
      <c r="E14781" t="s">
        <v>4203</v>
      </c>
      <c r="F14781" t="s">
        <v>11</v>
      </c>
      <c r="G14781" t="s">
        <v>25</v>
      </c>
      <c r="H14781" s="12">
        <v>-2.2462711840042502</v>
      </c>
      <c r="I14781" s="20">
        <v>-0.28752192663158799</v>
      </c>
      <c r="J14781" s="28">
        <v>0.77371271536475705</v>
      </c>
      <c r="K14781" s="29">
        <v>0.98289565623980701</v>
      </c>
    </row>
    <row r="14782" spans="1:11" x14ac:dyDescent="0.35">
      <c r="A14782" s="9" t="str">
        <f>HYPERLINK("http://www.ensembl.org/id/WBGene00011703", "WBGene00011703")</f>
        <v>WBGene00011703</v>
      </c>
      <c r="B14782" s="9"/>
      <c r="C14782" s="9"/>
      <c r="D14782" t="str">
        <f>"srab-19"</f>
        <v>srab-19</v>
      </c>
      <c r="F14782" t="s">
        <v>80</v>
      </c>
      <c r="H14782" s="12">
        <v>5.4058944669092801</v>
      </c>
      <c r="I14782" s="20">
        <v>0.49762513753689303</v>
      </c>
      <c r="J14782" s="28">
        <v>0.61874828254921799</v>
      </c>
      <c r="K14782" s="29">
        <v>0.98289565623980701</v>
      </c>
    </row>
    <row r="14783" spans="1:11" x14ac:dyDescent="0.35">
      <c r="A14783" s="9" t="str">
        <f>HYPERLINK("http://www.ensembl.org/id/WBGene00020607", "WBGene00020607")</f>
        <v>WBGene00020607</v>
      </c>
      <c r="B14783" s="9" t="str">
        <f>HYPERLINK("http://www.ncbi.nlm.nih.gov/gene/188637", "188637")</f>
        <v>188637</v>
      </c>
      <c r="C14783" s="9"/>
      <c r="D14783" t="str">
        <f>"srab-20"</f>
        <v>srab-20</v>
      </c>
      <c r="E14783" t="s">
        <v>4203</v>
      </c>
      <c r="F14783" t="s">
        <v>11</v>
      </c>
      <c r="G14783" t="s">
        <v>25</v>
      </c>
      <c r="H14783" s="12">
        <v>4.2851982940731697</v>
      </c>
      <c r="I14783" s="20">
        <v>0.770612306271799</v>
      </c>
      <c r="J14783" s="28">
        <v>0.44093676466043102</v>
      </c>
      <c r="K14783" s="29">
        <v>0.98289565623980701</v>
      </c>
    </row>
    <row r="14784" spans="1:11" x14ac:dyDescent="0.35">
      <c r="A14784" s="9" t="str">
        <f>HYPERLINK("http://www.ensembl.org/id/WBGene00013417", "WBGene00013417")</f>
        <v>WBGene00013417</v>
      </c>
      <c r="B14784" s="9" t="str">
        <f>HYPERLINK("http://www.ncbi.nlm.nih.gov/gene/3564812", "3564812")</f>
        <v>3564812</v>
      </c>
      <c r="C14784" s="9"/>
      <c r="D14784" t="str">
        <f>"srab-24"</f>
        <v>srab-24</v>
      </c>
      <c r="E14784" t="s">
        <v>4203</v>
      </c>
      <c r="F14784" t="s">
        <v>11</v>
      </c>
      <c r="G14784" t="s">
        <v>25</v>
      </c>
      <c r="H14784" s="12">
        <v>1.67156684330104</v>
      </c>
      <c r="I14784" s="20">
        <v>0.29243383528667499</v>
      </c>
      <c r="J14784" s="28">
        <v>0.76995494146072097</v>
      </c>
      <c r="K14784" s="29">
        <v>0.98289565623980701</v>
      </c>
    </row>
    <row r="14785" spans="1:11" x14ac:dyDescent="0.35">
      <c r="A14785" s="9" t="str">
        <f>HYPERLINK("http://www.ensembl.org/id/WBGene00015448", "WBGene00015448")</f>
        <v>WBGene00015448</v>
      </c>
      <c r="B14785" s="9" t="str">
        <f>HYPERLINK("http://www.ncbi.nlm.nih.gov/gene/182222", "182222")</f>
        <v>182222</v>
      </c>
      <c r="C14785" s="9"/>
      <c r="D14785" t="str">
        <f>"srab-3"</f>
        <v>srab-3</v>
      </c>
      <c r="E14785" t="s">
        <v>4203</v>
      </c>
      <c r="F14785" t="s">
        <v>11</v>
      </c>
      <c r="G14785" t="s">
        <v>25</v>
      </c>
      <c r="H14785" s="12">
        <v>2.3893468495514898</v>
      </c>
      <c r="I14785" s="20">
        <v>0.25323547253672701</v>
      </c>
      <c r="J14785" s="28">
        <v>0.80008625651646104</v>
      </c>
      <c r="K14785" s="29">
        <v>0.98289565623980701</v>
      </c>
    </row>
    <row r="14786" spans="1:11" x14ac:dyDescent="0.35">
      <c r="A14786" s="9" t="str">
        <f>HYPERLINK("http://www.ensembl.org/id/WBGene00016363", "WBGene00016363")</f>
        <v>WBGene00016363</v>
      </c>
      <c r="B14786" s="9" t="str">
        <f>HYPERLINK("http://www.ncbi.nlm.nih.gov/gene/183177", "183177")</f>
        <v>183177</v>
      </c>
      <c r="C14786" s="9"/>
      <c r="D14786" t="str">
        <f>"srab-4"</f>
        <v>srab-4</v>
      </c>
      <c r="E14786" t="s">
        <v>4203</v>
      </c>
      <c r="F14786" t="s">
        <v>11</v>
      </c>
      <c r="G14786" t="s">
        <v>25</v>
      </c>
      <c r="H14786" s="12">
        <v>-1.3805512402928499</v>
      </c>
      <c r="I14786" s="20">
        <v>-1.0264678894231201</v>
      </c>
      <c r="J14786" s="28">
        <v>0.304671091807037</v>
      </c>
      <c r="K14786" s="29">
        <v>0.98289565623980701</v>
      </c>
    </row>
    <row r="14787" spans="1:11" x14ac:dyDescent="0.35">
      <c r="A14787" s="9" t="str">
        <f>HYPERLINK("http://www.ensembl.org/id/WBGene00016470", "WBGene00016470")</f>
        <v>WBGene00016470</v>
      </c>
      <c r="B14787" s="9"/>
      <c r="C14787" s="9"/>
      <c r="D14787" t="str">
        <f>"srab-5"</f>
        <v>srab-5</v>
      </c>
      <c r="F14787" t="s">
        <v>80</v>
      </c>
      <c r="H14787" s="12">
        <v>3.3395775643782502</v>
      </c>
      <c r="I14787" s="20">
        <v>0.44656260965551497</v>
      </c>
      <c r="J14787" s="28">
        <v>0.65519089741497205</v>
      </c>
      <c r="K14787" s="29">
        <v>0.98289565623980701</v>
      </c>
    </row>
    <row r="14788" spans="1:11" x14ac:dyDescent="0.35">
      <c r="A14788" s="9" t="str">
        <f>HYPERLINK("http://www.ensembl.org/id/WBGene00016480", "WBGene00016480")</f>
        <v>WBGene00016480</v>
      </c>
      <c r="B14788" s="9" t="str">
        <f>HYPERLINK("http://www.ncbi.nlm.nih.gov/gene/183267", "183267")</f>
        <v>183267</v>
      </c>
      <c r="C14788" s="9"/>
      <c r="D14788" t="str">
        <f>"srab-7"</f>
        <v>srab-7</v>
      </c>
      <c r="E14788" t="s">
        <v>4203</v>
      </c>
      <c r="F14788" t="s">
        <v>11</v>
      </c>
      <c r="G14788" t="s">
        <v>25</v>
      </c>
      <c r="H14788" s="12">
        <v>15.311360389193499</v>
      </c>
      <c r="I14788" s="20">
        <v>0.90351699119264905</v>
      </c>
      <c r="J14788" s="28">
        <v>0.36625157460114899</v>
      </c>
      <c r="K14788" s="29">
        <v>0.98289565623980701</v>
      </c>
    </row>
    <row r="14789" spans="1:11" x14ac:dyDescent="0.35">
      <c r="A14789" s="9" t="str">
        <f>HYPERLINK("http://www.ensembl.org/id/WBGene00016471", "WBGene00016471")</f>
        <v>WBGene00016471</v>
      </c>
      <c r="B14789" s="9" t="str">
        <f>HYPERLINK("http://www.ncbi.nlm.nih.gov/gene/183258", "183258")</f>
        <v>183258</v>
      </c>
      <c r="C14789" s="9"/>
      <c r="D14789" t="str">
        <f>"srab-8"</f>
        <v>srab-8</v>
      </c>
      <c r="E14789" t="s">
        <v>4203</v>
      </c>
      <c r="F14789" t="s">
        <v>11</v>
      </c>
      <c r="G14789" t="s">
        <v>25</v>
      </c>
      <c r="H14789" s="12">
        <v>8.8043714811192206</v>
      </c>
      <c r="I14789" s="20">
        <v>1.09069163996194</v>
      </c>
      <c r="J14789" s="28">
        <v>0.275408590438604</v>
      </c>
      <c r="K14789" s="29">
        <v>0.98289565623980701</v>
      </c>
    </row>
    <row r="14790" spans="1:11" x14ac:dyDescent="0.35">
      <c r="A14790" s="9" t="str">
        <f>HYPERLINK("http://www.ensembl.org/id/WBGene00016475", "WBGene00016475")</f>
        <v>WBGene00016475</v>
      </c>
      <c r="B14790" s="9" t="str">
        <f>HYPERLINK("http://www.ncbi.nlm.nih.gov/gene/183262", "183262")</f>
        <v>183262</v>
      </c>
      <c r="C14790" s="9"/>
      <c r="D14790" t="str">
        <f>"srab-9"</f>
        <v>srab-9</v>
      </c>
      <c r="E14790" t="s">
        <v>4203</v>
      </c>
      <c r="F14790" t="s">
        <v>11</v>
      </c>
      <c r="G14790" t="s">
        <v>25</v>
      </c>
      <c r="H14790" s="12">
        <v>4.5655686139945102</v>
      </c>
      <c r="I14790" s="20">
        <v>0.54155341165969295</v>
      </c>
      <c r="J14790" s="28">
        <v>0.588126193449649</v>
      </c>
      <c r="K14790" s="29">
        <v>0.98289565623980701</v>
      </c>
    </row>
    <row r="14791" spans="1:11" x14ac:dyDescent="0.35">
      <c r="A14791" s="9" t="str">
        <f>HYPERLINK("http://www.ensembl.org/id/WBGene00005066", "WBGene00005066")</f>
        <v>WBGene00005066</v>
      </c>
      <c r="B14791" s="9" t="str">
        <f>HYPERLINK("http://www.ncbi.nlm.nih.gov/gene/191783", "191783")</f>
        <v>191783</v>
      </c>
      <c r="C14791" s="9"/>
      <c r="D14791" t="str">
        <f>"srb-1"</f>
        <v>srb-1</v>
      </c>
      <c r="E14791" t="s">
        <v>4378</v>
      </c>
      <c r="F14791" t="s">
        <v>11</v>
      </c>
      <c r="G14791" t="s">
        <v>1829</v>
      </c>
      <c r="H14791" s="12">
        <v>2.4578120077400301</v>
      </c>
      <c r="I14791" s="20">
        <v>0.26093350314551</v>
      </c>
      <c r="J14791" s="28">
        <v>0.79414378780213601</v>
      </c>
      <c r="K14791" s="29">
        <v>0.98289565623980701</v>
      </c>
    </row>
    <row r="14792" spans="1:11" x14ac:dyDescent="0.35">
      <c r="A14792" s="9" t="str">
        <f>HYPERLINK("http://www.ensembl.org/id/WBGene00019028", "WBGene00019028")</f>
        <v>WBGene00019028</v>
      </c>
      <c r="B14792" s="9" t="str">
        <f>HYPERLINK("http://www.ncbi.nlm.nih.gov/gene/3565668", "3565668")</f>
        <v>3565668</v>
      </c>
      <c r="C14792" s="9"/>
      <c r="D14792" t="str">
        <f>"srb-13"</f>
        <v>srb-13</v>
      </c>
      <c r="E14792" t="s">
        <v>4592</v>
      </c>
      <c r="F14792" t="s">
        <v>11</v>
      </c>
      <c r="G14792" t="s">
        <v>4281</v>
      </c>
      <c r="H14792" s="12">
        <v>-2.4991590031922399</v>
      </c>
      <c r="I14792" s="20">
        <v>-0.26577412737581302</v>
      </c>
      <c r="J14792" s="28">
        <v>0.79041317015736101</v>
      </c>
      <c r="K14792" s="29">
        <v>0.98289565623980701</v>
      </c>
    </row>
    <row r="14793" spans="1:11" x14ac:dyDescent="0.35">
      <c r="A14793" s="9" t="str">
        <f>HYPERLINK("http://www.ensembl.org/id/WBGene00016338", "WBGene00016338")</f>
        <v>WBGene00016338</v>
      </c>
      <c r="B14793" s="9"/>
      <c r="C14793" s="9"/>
      <c r="D14793" t="str">
        <f>"srb-14"</f>
        <v>srb-14</v>
      </c>
      <c r="F14793" t="s">
        <v>80</v>
      </c>
      <c r="H14793" s="12">
        <v>4.4368407117627902</v>
      </c>
      <c r="I14793" s="20">
        <v>0.43709475933309699</v>
      </c>
      <c r="J14793" s="28">
        <v>0.66204262779770495</v>
      </c>
      <c r="K14793" s="29">
        <v>0.98289565623980701</v>
      </c>
    </row>
    <row r="14794" spans="1:11" x14ac:dyDescent="0.35">
      <c r="A14794" s="9" t="str">
        <f>HYPERLINK("http://www.ensembl.org/id/WBGene00016743", "WBGene00016743")</f>
        <v>WBGene00016743</v>
      </c>
      <c r="B14794" s="9" t="str">
        <f>HYPERLINK("http://www.ncbi.nlm.nih.gov/gene/183571", "183571")</f>
        <v>183571</v>
      </c>
      <c r="C14794" s="9"/>
      <c r="D14794" t="str">
        <f>"srb-15"</f>
        <v>srb-15</v>
      </c>
      <c r="E14794" t="s">
        <v>9962</v>
      </c>
      <c r="F14794" t="s">
        <v>11</v>
      </c>
      <c r="G14794" t="s">
        <v>1829</v>
      </c>
      <c r="H14794" s="12">
        <v>-1.49111950109833</v>
      </c>
      <c r="I14794" s="20">
        <v>-0.52177623932858297</v>
      </c>
      <c r="J14794" s="28">
        <v>0.60182613509628402</v>
      </c>
      <c r="K14794" s="29">
        <v>0.98289565623980701</v>
      </c>
    </row>
    <row r="14795" spans="1:11" x14ac:dyDescent="0.35">
      <c r="A14795" s="9" t="str">
        <f>HYPERLINK("http://www.ensembl.org/id/WBGene00019025", "WBGene00019025")</f>
        <v>WBGene00019025</v>
      </c>
      <c r="B14795" s="9" t="str">
        <f>HYPERLINK("http://www.ncbi.nlm.nih.gov/gene/186489", "186489")</f>
        <v>186489</v>
      </c>
      <c r="C14795" s="9"/>
      <c r="D14795" t="str">
        <f>"srb-16"</f>
        <v>srb-16</v>
      </c>
      <c r="E14795" t="s">
        <v>4592</v>
      </c>
      <c r="F14795" t="s">
        <v>11</v>
      </c>
      <c r="G14795" t="s">
        <v>4281</v>
      </c>
      <c r="H14795" s="12">
        <v>1.4156123999052099</v>
      </c>
      <c r="I14795" s="20">
        <v>0.80750917465232996</v>
      </c>
      <c r="J14795" s="28">
        <v>0.419373190844679</v>
      </c>
      <c r="K14795" s="29">
        <v>0.98289565623980701</v>
      </c>
    </row>
    <row r="14796" spans="1:11" x14ac:dyDescent="0.35">
      <c r="A14796" s="9" t="str">
        <f>HYPERLINK("http://www.ensembl.org/id/WBGene00016928", "WBGene00016928")</f>
        <v>WBGene00016928</v>
      </c>
      <c r="B14796" s="9" t="str">
        <f>HYPERLINK("http://www.ncbi.nlm.nih.gov/gene/183809", "183809")</f>
        <v>183809</v>
      </c>
      <c r="C14796" s="9"/>
      <c r="D14796" t="str">
        <f>"srb-19"</f>
        <v>srb-19</v>
      </c>
      <c r="E14796" t="s">
        <v>4592</v>
      </c>
      <c r="F14796" t="s">
        <v>11</v>
      </c>
      <c r="G14796" t="s">
        <v>1468</v>
      </c>
      <c r="H14796" s="12">
        <v>1.6346000854556499</v>
      </c>
      <c r="I14796" s="20">
        <v>0.78871602487716896</v>
      </c>
      <c r="J14796" s="28">
        <v>0.43027799972922998</v>
      </c>
      <c r="K14796" s="29">
        <v>0.98289565623980701</v>
      </c>
    </row>
    <row r="14797" spans="1:11" x14ac:dyDescent="0.35">
      <c r="A14797" s="9" t="str">
        <f>HYPERLINK("http://www.ensembl.org/id/WBGene00005067", "WBGene00005067")</f>
        <v>WBGene00005067</v>
      </c>
      <c r="B14797" s="9" t="str">
        <f>HYPERLINK("http://www.ncbi.nlm.nih.gov/gene/191784", "191784")</f>
        <v>191784</v>
      </c>
      <c r="C14797" s="9"/>
      <c r="D14797" t="str">
        <f>"srb-2"</f>
        <v>srb-2</v>
      </c>
      <c r="E14797" t="s">
        <v>4305</v>
      </c>
      <c r="F14797" t="s">
        <v>11</v>
      </c>
      <c r="G14797" t="s">
        <v>1829</v>
      </c>
      <c r="H14797" s="12">
        <v>3.5227018545059199</v>
      </c>
      <c r="I14797" s="20">
        <v>0.36849691206929103</v>
      </c>
      <c r="J14797" s="28">
        <v>0.71250274722433404</v>
      </c>
      <c r="K14797" s="29">
        <v>0.98289565623980701</v>
      </c>
    </row>
    <row r="14798" spans="1:11" x14ac:dyDescent="0.35">
      <c r="A14798" s="9" t="str">
        <f>HYPERLINK("http://www.ensembl.org/id/WBGene00005068", "WBGene00005068")</f>
        <v>WBGene00005068</v>
      </c>
      <c r="B14798" s="9" t="str">
        <f>HYPERLINK("http://www.ncbi.nlm.nih.gov/gene/191785", "191785")</f>
        <v>191785</v>
      </c>
      <c r="C14798" s="9"/>
      <c r="D14798" t="str">
        <f>"srb-3"</f>
        <v>srb-3</v>
      </c>
      <c r="E14798" t="s">
        <v>4280</v>
      </c>
      <c r="F14798" t="s">
        <v>11</v>
      </c>
      <c r="G14798" t="s">
        <v>4281</v>
      </c>
      <c r="H14798" s="12">
        <v>4.3194743173125101</v>
      </c>
      <c r="I14798" s="20">
        <v>0.61892720786406097</v>
      </c>
      <c r="J14798" s="28">
        <v>0.53596431367166497</v>
      </c>
      <c r="K14798" s="29">
        <v>0.98289565623980701</v>
      </c>
    </row>
    <row r="14799" spans="1:11" x14ac:dyDescent="0.35">
      <c r="A14799" s="9" t="str">
        <f>HYPERLINK("http://www.ensembl.org/id/WBGene00005072", "WBGene00005072")</f>
        <v>WBGene00005072</v>
      </c>
      <c r="B14799" s="9" t="str">
        <f>HYPERLINK("http://www.ncbi.nlm.nih.gov/gene/191789", "191789")</f>
        <v>191789</v>
      </c>
      <c r="C14799" s="9"/>
      <c r="D14799" t="str">
        <f>"srb-7"</f>
        <v>srb-7</v>
      </c>
      <c r="E14799" t="s">
        <v>10055</v>
      </c>
      <c r="F14799" t="s">
        <v>11</v>
      </c>
      <c r="G14799" t="s">
        <v>1829</v>
      </c>
      <c r="H14799" s="12">
        <v>-2.4295389261469</v>
      </c>
      <c r="I14799" s="20">
        <v>-0.25808529976640998</v>
      </c>
      <c r="J14799" s="28">
        <v>0.79634107645457397</v>
      </c>
      <c r="K14799" s="29">
        <v>0.98289565623980701</v>
      </c>
    </row>
    <row r="14800" spans="1:11" x14ac:dyDescent="0.35">
      <c r="A14800" s="9" t="str">
        <f>HYPERLINK("http://www.ensembl.org/id/WBGene00005073", "WBGene00005073")</f>
        <v>WBGene00005073</v>
      </c>
      <c r="B14800" s="9" t="str">
        <f>HYPERLINK("http://www.ncbi.nlm.nih.gov/gene/191790", "191790")</f>
        <v>191790</v>
      </c>
      <c r="C14800" s="9"/>
      <c r="D14800" t="str">
        <f>"srb-8"</f>
        <v>srb-8</v>
      </c>
      <c r="E14800" t="s">
        <v>10103</v>
      </c>
      <c r="F14800" t="s">
        <v>11</v>
      </c>
      <c r="G14800" t="s">
        <v>1829</v>
      </c>
      <c r="H14800" s="12">
        <v>-3.7261494131482999</v>
      </c>
      <c r="I14800" s="20">
        <v>-0.38454673129429601</v>
      </c>
      <c r="J14800" s="28">
        <v>0.70057326682554</v>
      </c>
      <c r="K14800" s="29">
        <v>0.98289565623980701</v>
      </c>
    </row>
    <row r="14801" spans="1:11" x14ac:dyDescent="0.35">
      <c r="A14801" s="9" t="str">
        <f>HYPERLINK("http://www.ensembl.org/id/WBGene00018058", "WBGene00018058")</f>
        <v>WBGene00018058</v>
      </c>
      <c r="B14801" s="9" t="str">
        <f>HYPERLINK("http://www.ncbi.nlm.nih.gov/gene/185314", "185314")</f>
        <v>185314</v>
      </c>
      <c r="C14801" s="9"/>
      <c r="D14801" t="str">
        <f>"srbc-1"</f>
        <v>srbc-1</v>
      </c>
      <c r="E14801" t="s">
        <v>3034</v>
      </c>
      <c r="F14801" t="s">
        <v>11</v>
      </c>
      <c r="G14801" t="s">
        <v>25</v>
      </c>
      <c r="H14801" s="12">
        <v>-6.3507302933957197</v>
      </c>
      <c r="I14801" s="20">
        <v>-0.54348709410156204</v>
      </c>
      <c r="J14801" s="28">
        <v>0.58679447442024202</v>
      </c>
      <c r="K14801" s="29">
        <v>0.98289565623980701</v>
      </c>
    </row>
    <row r="14802" spans="1:11" x14ac:dyDescent="0.35">
      <c r="A14802" s="9" t="str">
        <f>HYPERLINK("http://www.ensembl.org/id/WBGene00015958", "WBGene00015958")</f>
        <v>WBGene00015958</v>
      </c>
      <c r="B14802" s="9" t="str">
        <f>HYPERLINK("http://www.ncbi.nlm.nih.gov/gene/182768", "182768")</f>
        <v>182768</v>
      </c>
      <c r="C14802" s="9"/>
      <c r="D14802" t="str">
        <f>"srbc-11"</f>
        <v>srbc-11</v>
      </c>
      <c r="E14802" t="s">
        <v>3034</v>
      </c>
      <c r="F14802" t="s">
        <v>11</v>
      </c>
      <c r="G14802" t="s">
        <v>25</v>
      </c>
      <c r="H14802" s="12">
        <v>-2.4991590031922399</v>
      </c>
      <c r="I14802" s="20">
        <v>-0.26577412737581302</v>
      </c>
      <c r="J14802" s="28">
        <v>0.79041317015736101</v>
      </c>
      <c r="K14802" s="29">
        <v>0.98289565623980701</v>
      </c>
    </row>
    <row r="14803" spans="1:11" x14ac:dyDescent="0.35">
      <c r="A14803" s="9" t="str">
        <f>HYPERLINK("http://www.ensembl.org/id/WBGene00017496", "WBGene00017496")</f>
        <v>WBGene00017496</v>
      </c>
      <c r="B14803" s="9"/>
      <c r="C14803" s="9"/>
      <c r="D14803" t="str">
        <f>"srbc-15"</f>
        <v>srbc-15</v>
      </c>
      <c r="F14803" t="s">
        <v>80</v>
      </c>
      <c r="H14803" s="12">
        <v>2.4578120077400301</v>
      </c>
      <c r="I14803" s="20">
        <v>0.26093350314551</v>
      </c>
      <c r="J14803" s="28">
        <v>0.79414378780213601</v>
      </c>
      <c r="K14803" s="29">
        <v>0.98289565623980701</v>
      </c>
    </row>
    <row r="14804" spans="1:11" x14ac:dyDescent="0.35">
      <c r="A14804" s="9" t="str">
        <f>HYPERLINK("http://www.ensembl.org/id/WBGene00016685", "WBGene00016685")</f>
        <v>WBGene00016685</v>
      </c>
      <c r="B14804" s="9" t="str">
        <f>HYPERLINK("http://www.ncbi.nlm.nih.gov/gene/183483", "183483")</f>
        <v>183483</v>
      </c>
      <c r="C14804" s="9"/>
      <c r="D14804" t="str">
        <f>"srbc-16"</f>
        <v>srbc-16</v>
      </c>
      <c r="E14804" t="s">
        <v>3034</v>
      </c>
      <c r="F14804" t="s">
        <v>11</v>
      </c>
      <c r="G14804" t="s">
        <v>25</v>
      </c>
      <c r="H14804" s="12">
        <v>3.6645215954135</v>
      </c>
      <c r="I14804" s="20">
        <v>0.37967131826092498</v>
      </c>
      <c r="J14804" s="28">
        <v>0.70418941338960395</v>
      </c>
      <c r="K14804" s="29">
        <v>0.98289565623980701</v>
      </c>
    </row>
    <row r="14805" spans="1:11" x14ac:dyDescent="0.35">
      <c r="A14805" s="9" t="str">
        <f>HYPERLINK("http://www.ensembl.org/id/WBGene00016687", "WBGene00016687")</f>
        <v>WBGene00016687</v>
      </c>
      <c r="B14805" s="9" t="str">
        <f>HYPERLINK("http://www.ncbi.nlm.nih.gov/gene/183485", "183485")</f>
        <v>183485</v>
      </c>
      <c r="C14805" s="9"/>
      <c r="D14805" t="str">
        <f>"srbc-17"</f>
        <v>srbc-17</v>
      </c>
      <c r="E14805" t="s">
        <v>3034</v>
      </c>
      <c r="F14805" t="s">
        <v>11</v>
      </c>
      <c r="G14805" t="s">
        <v>25</v>
      </c>
      <c r="H14805" s="12">
        <v>3.7495657430089002</v>
      </c>
      <c r="I14805" s="20">
        <v>0.41509078773660102</v>
      </c>
      <c r="J14805" s="28">
        <v>0.67807544303981004</v>
      </c>
      <c r="K14805" s="29">
        <v>0.98289565623980701</v>
      </c>
    </row>
    <row r="14806" spans="1:11" x14ac:dyDescent="0.35">
      <c r="A14806" s="9" t="str">
        <f>HYPERLINK("http://www.ensembl.org/id/WBGene00016696", "WBGene00016696")</f>
        <v>WBGene00016696</v>
      </c>
      <c r="B14806" s="9" t="str">
        <f>HYPERLINK("http://www.ncbi.nlm.nih.gov/gene/183496", "183496")</f>
        <v>183496</v>
      </c>
      <c r="C14806" s="9"/>
      <c r="D14806" t="str">
        <f>"srbc-19"</f>
        <v>srbc-19</v>
      </c>
      <c r="E14806" t="s">
        <v>3034</v>
      </c>
      <c r="F14806" t="s">
        <v>11</v>
      </c>
      <c r="G14806" t="s">
        <v>25</v>
      </c>
      <c r="H14806" s="12">
        <v>5.1610374191691797</v>
      </c>
      <c r="I14806" s="20">
        <v>1.0563709251743501</v>
      </c>
      <c r="J14806" s="28">
        <v>0.29079878396865599</v>
      </c>
      <c r="K14806" s="29">
        <v>0.98289565623980701</v>
      </c>
    </row>
    <row r="14807" spans="1:11" x14ac:dyDescent="0.35">
      <c r="A14807" s="9" t="str">
        <f>HYPERLINK("http://www.ensembl.org/id/WBGene00016693", "WBGene00016693")</f>
        <v>WBGene00016693</v>
      </c>
      <c r="B14807" s="9" t="str">
        <f>HYPERLINK("http://www.ncbi.nlm.nih.gov/gene/183492", "183492")</f>
        <v>183492</v>
      </c>
      <c r="C14807" s="9"/>
      <c r="D14807" t="str">
        <f>"srbc-20"</f>
        <v>srbc-20</v>
      </c>
      <c r="E14807" t="s">
        <v>3034</v>
      </c>
      <c r="F14807" t="s">
        <v>11</v>
      </c>
      <c r="G14807" t="s">
        <v>25</v>
      </c>
      <c r="H14807" s="12">
        <v>-1.9840585088993401</v>
      </c>
      <c r="I14807" s="20">
        <v>-0.39707546250125098</v>
      </c>
      <c r="J14807" s="28">
        <v>0.69131181378147</v>
      </c>
      <c r="K14807" s="29">
        <v>0.98289565623980701</v>
      </c>
    </row>
    <row r="14808" spans="1:11" x14ac:dyDescent="0.35">
      <c r="A14808" s="9" t="str">
        <f>HYPERLINK("http://www.ensembl.org/id/WBGene00015315", "WBGene00015315")</f>
        <v>WBGene00015315</v>
      </c>
      <c r="B14808" s="9" t="str">
        <f>HYPERLINK("http://www.ncbi.nlm.nih.gov/gene/182095", "182095")</f>
        <v>182095</v>
      </c>
      <c r="C14808" s="9"/>
      <c r="D14808" t="str">
        <f>"srbc-29"</f>
        <v>srbc-29</v>
      </c>
      <c r="E14808" t="s">
        <v>3034</v>
      </c>
      <c r="F14808" t="s">
        <v>11</v>
      </c>
      <c r="G14808" t="s">
        <v>25</v>
      </c>
      <c r="H14808" s="12">
        <v>2.43628531154256</v>
      </c>
      <c r="I14808" s="20">
        <v>0.26397437090349102</v>
      </c>
      <c r="J14808" s="28">
        <v>0.79179966754305298</v>
      </c>
      <c r="K14808" s="29">
        <v>0.98289565623980701</v>
      </c>
    </row>
    <row r="14809" spans="1:11" x14ac:dyDescent="0.35">
      <c r="A14809" s="9" t="str">
        <f>HYPERLINK("http://www.ensembl.org/id/WBGene00018053", "WBGene00018053")</f>
        <v>WBGene00018053</v>
      </c>
      <c r="B14809" s="9" t="str">
        <f>HYPERLINK("http://www.ncbi.nlm.nih.gov/gene/185309", "185309")</f>
        <v>185309</v>
      </c>
      <c r="C14809" s="9"/>
      <c r="D14809" t="str">
        <f>"srbc-3"</f>
        <v>srbc-3</v>
      </c>
      <c r="E14809" t="s">
        <v>3034</v>
      </c>
      <c r="F14809" t="s">
        <v>11</v>
      </c>
      <c r="G14809" t="s">
        <v>25</v>
      </c>
      <c r="H14809" s="12">
        <v>4.4368407117627902</v>
      </c>
      <c r="I14809" s="20">
        <v>0.43709475933309699</v>
      </c>
      <c r="J14809" s="28">
        <v>0.66204262779770495</v>
      </c>
      <c r="K14809" s="29">
        <v>0.98289565623980701</v>
      </c>
    </row>
    <row r="14810" spans="1:11" x14ac:dyDescent="0.35">
      <c r="A14810" s="9" t="str">
        <f>HYPERLINK("http://www.ensembl.org/id/WBGene00044090", "WBGene00044090")</f>
        <v>WBGene00044090</v>
      </c>
      <c r="B14810" s="9" t="str">
        <f>HYPERLINK("http://www.ncbi.nlm.nih.gov/gene/3565603", "3565603")</f>
        <v>3565603</v>
      </c>
      <c r="C14810" s="9"/>
      <c r="D14810" t="str">
        <f>"srbc-33"</f>
        <v>srbc-33</v>
      </c>
      <c r="E14810" t="s">
        <v>3034</v>
      </c>
      <c r="F14810" t="s">
        <v>11</v>
      </c>
      <c r="G14810" t="s">
        <v>25</v>
      </c>
      <c r="H14810" s="12">
        <v>6.61045742799383</v>
      </c>
      <c r="I14810" s="20">
        <v>0.55558174612790701</v>
      </c>
      <c r="J14810" s="28">
        <v>0.57849681292850097</v>
      </c>
      <c r="K14810" s="29">
        <v>0.98289565623980701</v>
      </c>
    </row>
    <row r="14811" spans="1:11" x14ac:dyDescent="0.35">
      <c r="A14811" s="9" t="str">
        <f>HYPERLINK("http://www.ensembl.org/id/WBGene00013760", "WBGene00013760")</f>
        <v>WBGene00013760</v>
      </c>
      <c r="B14811" s="9" t="str">
        <f>HYPERLINK("http://www.ncbi.nlm.nih.gov/gene/190974", "190974")</f>
        <v>190974</v>
      </c>
      <c r="C14811" s="9"/>
      <c r="D14811" t="str">
        <f>"srbc-34"</f>
        <v>srbc-34</v>
      </c>
      <c r="E14811" t="s">
        <v>3034</v>
      </c>
      <c r="F14811" t="s">
        <v>11</v>
      </c>
      <c r="G14811" t="s">
        <v>25</v>
      </c>
      <c r="H14811" s="12">
        <v>-2.23983783867547</v>
      </c>
      <c r="I14811" s="20">
        <v>-0.38131958822425399</v>
      </c>
      <c r="J14811" s="28">
        <v>0.70296612040976603</v>
      </c>
      <c r="K14811" s="29">
        <v>0.98289565623980701</v>
      </c>
    </row>
    <row r="14812" spans="1:11" x14ac:dyDescent="0.35">
      <c r="A14812" s="9" t="str">
        <f>HYPERLINK("http://www.ensembl.org/id/WBGene00015575", "WBGene00015575")</f>
        <v>WBGene00015575</v>
      </c>
      <c r="B14812" s="9"/>
      <c r="C14812" s="9"/>
      <c r="D14812" t="str">
        <f>"srbc-35"</f>
        <v>srbc-35</v>
      </c>
      <c r="F14812" t="s">
        <v>80</v>
      </c>
      <c r="H14812" s="12">
        <v>2.4578120077400301</v>
      </c>
      <c r="I14812" s="20">
        <v>0.26093350314551</v>
      </c>
      <c r="J14812" s="28">
        <v>0.79414378780213601</v>
      </c>
      <c r="K14812" s="29">
        <v>0.98289565623980701</v>
      </c>
    </row>
    <row r="14813" spans="1:11" x14ac:dyDescent="0.35">
      <c r="A14813" s="9" t="str">
        <f>HYPERLINK("http://www.ensembl.org/id/WBGene00021708", "WBGene00021708")</f>
        <v>WBGene00021708</v>
      </c>
      <c r="B14813" s="9" t="str">
        <f>HYPERLINK("http://www.ncbi.nlm.nih.gov/gene/3565631", "3565631")</f>
        <v>3565631</v>
      </c>
      <c r="C14813" s="9"/>
      <c r="D14813" t="str">
        <f>"srbc-37"</f>
        <v>srbc-37</v>
      </c>
      <c r="E14813" t="s">
        <v>3034</v>
      </c>
      <c r="F14813" t="s">
        <v>11</v>
      </c>
      <c r="G14813" t="s">
        <v>25</v>
      </c>
      <c r="H14813" s="12">
        <v>1.65637120038386</v>
      </c>
      <c r="I14813" s="20">
        <v>0.36786501611233702</v>
      </c>
      <c r="J14813" s="28">
        <v>0.71297388698290898</v>
      </c>
      <c r="K14813" s="29">
        <v>0.98289565623980701</v>
      </c>
    </row>
    <row r="14814" spans="1:11" x14ac:dyDescent="0.35">
      <c r="A14814" s="9" t="str">
        <f>HYPERLINK("http://www.ensembl.org/id/WBGene00021706", "WBGene00021706")</f>
        <v>WBGene00021706</v>
      </c>
      <c r="B14814" s="9" t="str">
        <f>HYPERLINK("http://www.ncbi.nlm.nih.gov/gene/190060", "190060")</f>
        <v>190060</v>
      </c>
      <c r="C14814" s="9"/>
      <c r="D14814" t="str">
        <f>"srbc-39"</f>
        <v>srbc-39</v>
      </c>
      <c r="E14814" t="s">
        <v>3034</v>
      </c>
      <c r="F14814" t="s">
        <v>11</v>
      </c>
      <c r="G14814" t="s">
        <v>25</v>
      </c>
      <c r="H14814" s="12">
        <v>-1.2795426092245901</v>
      </c>
      <c r="I14814" s="20">
        <v>-0.26547719883866</v>
      </c>
      <c r="J14814" s="28">
        <v>0.79064187256802398</v>
      </c>
      <c r="K14814" s="29">
        <v>0.98289565623980701</v>
      </c>
    </row>
    <row r="14815" spans="1:11" x14ac:dyDescent="0.35">
      <c r="A14815" s="9" t="str">
        <f>HYPERLINK("http://www.ensembl.org/id/WBGene00017511", "WBGene00017511")</f>
        <v>WBGene00017511</v>
      </c>
      <c r="B14815" s="9" t="str">
        <f>HYPERLINK("http://www.ncbi.nlm.nih.gov/gene/184561", "184561")</f>
        <v>184561</v>
      </c>
      <c r="C14815" s="9"/>
      <c r="D14815" t="str">
        <f>"srbc-41"</f>
        <v>srbc-41</v>
      </c>
      <c r="E14815" t="s">
        <v>3034</v>
      </c>
      <c r="F14815" t="s">
        <v>11</v>
      </c>
      <c r="G14815" t="s">
        <v>25</v>
      </c>
      <c r="H14815" s="12">
        <v>-4.5114499031905204</v>
      </c>
      <c r="I14815" s="20">
        <v>-0.44198655555625299</v>
      </c>
      <c r="J14815" s="28">
        <v>0.65849893477547905</v>
      </c>
      <c r="K14815" s="29">
        <v>0.98289565623980701</v>
      </c>
    </row>
    <row r="14816" spans="1:11" x14ac:dyDescent="0.35">
      <c r="A14816" s="9" t="str">
        <f>HYPERLINK("http://www.ensembl.org/id/WBGene00021166", "WBGene00021166")</f>
        <v>WBGene00021166</v>
      </c>
      <c r="B14816" s="9" t="str">
        <f>HYPERLINK("http://www.ncbi.nlm.nih.gov/gene/189363", "189363")</f>
        <v>189363</v>
      </c>
      <c r="C14816" s="9"/>
      <c r="D14816" t="str">
        <f>"srbc-42"</f>
        <v>srbc-42</v>
      </c>
      <c r="E14816" t="s">
        <v>3034</v>
      </c>
      <c r="F14816" t="s">
        <v>11</v>
      </c>
      <c r="G14816" t="s">
        <v>25</v>
      </c>
      <c r="H14816" s="12">
        <v>-3.7261494131482999</v>
      </c>
      <c r="I14816" s="20">
        <v>-0.38454673129429601</v>
      </c>
      <c r="J14816" s="28">
        <v>0.70057326682554</v>
      </c>
      <c r="K14816" s="29">
        <v>0.98289565623980701</v>
      </c>
    </row>
    <row r="14817" spans="1:11" x14ac:dyDescent="0.35">
      <c r="A14817" s="9" t="str">
        <f>HYPERLINK("http://www.ensembl.org/id/WBGene00013909", "WBGene00013909")</f>
        <v>WBGene00013909</v>
      </c>
      <c r="B14817" s="9" t="str">
        <f>HYPERLINK("http://www.ncbi.nlm.nih.gov/gene/191177", "191177")</f>
        <v>191177</v>
      </c>
      <c r="C14817" s="9"/>
      <c r="D14817" t="str">
        <f>"srbc-44"</f>
        <v>srbc-44</v>
      </c>
      <c r="E14817" t="s">
        <v>3034</v>
      </c>
      <c r="F14817" t="s">
        <v>11</v>
      </c>
      <c r="G14817" t="s">
        <v>25</v>
      </c>
      <c r="H14817" s="12">
        <v>-4.0507796894090404</v>
      </c>
      <c r="I14817" s="20">
        <v>-0.473517207271621</v>
      </c>
      <c r="J14817" s="28">
        <v>0.63584422757043702</v>
      </c>
      <c r="K14817" s="29">
        <v>0.98289565623980701</v>
      </c>
    </row>
    <row r="14818" spans="1:11" x14ac:dyDescent="0.35">
      <c r="A14818" s="9" t="str">
        <f>HYPERLINK("http://www.ensembl.org/id/WBGene00010020", "WBGene00010020")</f>
        <v>WBGene00010020</v>
      </c>
      <c r="B14818" s="9" t="str">
        <f>HYPERLINK("http://www.ncbi.nlm.nih.gov/gene/186203", "186203")</f>
        <v>186203</v>
      </c>
      <c r="C14818" s="9"/>
      <c r="D14818" t="str">
        <f>"srbc-48"</f>
        <v>srbc-48</v>
      </c>
      <c r="E14818" t="s">
        <v>3034</v>
      </c>
      <c r="F14818" t="s">
        <v>11</v>
      </c>
      <c r="G14818" t="s">
        <v>25</v>
      </c>
      <c r="H14818" s="12">
        <v>-2.3838754719136599</v>
      </c>
      <c r="I14818" s="20">
        <v>-0.25807578497976902</v>
      </c>
      <c r="J14818" s="28">
        <v>0.79634841949468704</v>
      </c>
      <c r="K14818" s="29">
        <v>0.98289565623980701</v>
      </c>
    </row>
    <row r="14819" spans="1:11" x14ac:dyDescent="0.35">
      <c r="A14819" s="9" t="str">
        <f>HYPERLINK("http://www.ensembl.org/id/WBGene00010021", "WBGene00010021")</f>
        <v>WBGene00010021</v>
      </c>
      <c r="B14819" s="9" t="str">
        <f>HYPERLINK("http://www.ncbi.nlm.nih.gov/gene/186204", "186204")</f>
        <v>186204</v>
      </c>
      <c r="C14819" s="9"/>
      <c r="D14819" t="str">
        <f>"srbc-49"</f>
        <v>srbc-49</v>
      </c>
      <c r="E14819" t="s">
        <v>3034</v>
      </c>
      <c r="F14819" t="s">
        <v>11</v>
      </c>
      <c r="G14819" t="s">
        <v>25</v>
      </c>
      <c r="H14819" s="12">
        <v>3.6645215954135</v>
      </c>
      <c r="I14819" s="20">
        <v>0.37967131826092498</v>
      </c>
      <c r="J14819" s="28">
        <v>0.70418941338960395</v>
      </c>
      <c r="K14819" s="29">
        <v>0.98289565623980701</v>
      </c>
    </row>
    <row r="14820" spans="1:11" x14ac:dyDescent="0.35">
      <c r="A14820" s="9" t="str">
        <f>HYPERLINK("http://www.ensembl.org/id/WBGene00044104", "WBGene00044104")</f>
        <v>WBGene00044104</v>
      </c>
      <c r="B14820" s="9"/>
      <c r="C14820" s="9"/>
      <c r="D14820" t="str">
        <f>"srbc-53"</f>
        <v>srbc-53</v>
      </c>
      <c r="F14820" t="s">
        <v>80</v>
      </c>
      <c r="H14820" s="12">
        <v>2.3893468495514898</v>
      </c>
      <c r="I14820" s="20">
        <v>0.25323547253672701</v>
      </c>
      <c r="J14820" s="28">
        <v>0.80008625651646104</v>
      </c>
      <c r="K14820" s="29">
        <v>0.98289565623980701</v>
      </c>
    </row>
    <row r="14821" spans="1:11" x14ac:dyDescent="0.35">
      <c r="A14821" s="9" t="str">
        <f>HYPERLINK("http://www.ensembl.org/id/WBGene00019745", "WBGene00019745")</f>
        <v>WBGene00019745</v>
      </c>
      <c r="B14821" s="9" t="str">
        <f>HYPERLINK("http://www.ncbi.nlm.nih.gov/gene/187413", "187413")</f>
        <v>187413</v>
      </c>
      <c r="C14821" s="9"/>
      <c r="D14821" t="str">
        <f>"srbc-57"</f>
        <v>srbc-57</v>
      </c>
      <c r="E14821" t="s">
        <v>3034</v>
      </c>
      <c r="F14821" t="s">
        <v>11</v>
      </c>
      <c r="G14821" t="s">
        <v>25</v>
      </c>
      <c r="H14821" s="12">
        <v>3.5227018545059199</v>
      </c>
      <c r="I14821" s="20">
        <v>0.36849691206929103</v>
      </c>
      <c r="J14821" s="28">
        <v>0.71250274722433404</v>
      </c>
      <c r="K14821" s="29">
        <v>0.98289565623980701</v>
      </c>
    </row>
    <row r="14822" spans="1:11" x14ac:dyDescent="0.35">
      <c r="A14822" s="9" t="str">
        <f>HYPERLINK("http://www.ensembl.org/id/WBGene00019982", "WBGene00019982")</f>
        <v>WBGene00019982</v>
      </c>
      <c r="B14822" s="9" t="str">
        <f>HYPERLINK("http://www.ncbi.nlm.nih.gov/gene/187746", "187746")</f>
        <v>187746</v>
      </c>
      <c r="C14822" s="9"/>
      <c r="D14822" t="str">
        <f>"srbc-58"</f>
        <v>srbc-58</v>
      </c>
      <c r="E14822" t="s">
        <v>3034</v>
      </c>
      <c r="F14822" t="s">
        <v>11</v>
      </c>
      <c r="G14822" t="s">
        <v>25</v>
      </c>
      <c r="H14822" s="12">
        <v>6.2226984691015401</v>
      </c>
      <c r="I14822" s="20">
        <v>0.87702329375663202</v>
      </c>
      <c r="J14822" s="28">
        <v>0.380473986022763</v>
      </c>
      <c r="K14822" s="29">
        <v>0.98289565623980701</v>
      </c>
    </row>
    <row r="14823" spans="1:11" x14ac:dyDescent="0.35">
      <c r="A14823" s="9" t="str">
        <f>HYPERLINK("http://www.ensembl.org/id/WBGene00008574", "WBGene00008574")</f>
        <v>WBGene00008574</v>
      </c>
      <c r="B14823" s="9" t="str">
        <f>HYPERLINK("http://www.ncbi.nlm.nih.gov/gene/184183", "184183")</f>
        <v>184183</v>
      </c>
      <c r="C14823" s="9"/>
      <c r="D14823" t="str">
        <f>"srbc-61"</f>
        <v>srbc-61</v>
      </c>
      <c r="E14823" t="s">
        <v>3034</v>
      </c>
      <c r="F14823" t="s">
        <v>11</v>
      </c>
      <c r="G14823" t="s">
        <v>25</v>
      </c>
      <c r="H14823" s="12">
        <v>-2.64522751747859</v>
      </c>
      <c r="I14823" s="20">
        <v>-0.322957783917381</v>
      </c>
      <c r="J14823" s="28">
        <v>0.74672721379852502</v>
      </c>
      <c r="K14823" s="29">
        <v>0.98289565623980701</v>
      </c>
    </row>
    <row r="14824" spans="1:11" x14ac:dyDescent="0.35">
      <c r="A14824" s="9" t="str">
        <f>HYPERLINK("http://www.ensembl.org/id/WBGene00020749", "WBGene00020749")</f>
        <v>WBGene00020749</v>
      </c>
      <c r="B14824" s="9" t="str">
        <f>HYPERLINK("http://www.ncbi.nlm.nih.gov/gene/188827", "188827")</f>
        <v>188827</v>
      </c>
      <c r="C14824" s="9"/>
      <c r="D14824" t="str">
        <f>"srbc-67"</f>
        <v>srbc-67</v>
      </c>
      <c r="E14824" t="s">
        <v>3034</v>
      </c>
      <c r="F14824" t="s">
        <v>11</v>
      </c>
      <c r="G14824" t="s">
        <v>25</v>
      </c>
      <c r="H14824" s="12">
        <v>1.6715489566322099</v>
      </c>
      <c r="I14824" s="20">
        <v>0.33156147784114998</v>
      </c>
      <c r="J14824" s="28">
        <v>0.74022041175852704</v>
      </c>
      <c r="K14824" s="29">
        <v>0.98289565623980701</v>
      </c>
    </row>
    <row r="14825" spans="1:11" x14ac:dyDescent="0.35">
      <c r="A14825" s="9" t="str">
        <f>HYPERLINK("http://www.ensembl.org/id/WBGene00015961", "WBGene00015961")</f>
        <v>WBGene00015961</v>
      </c>
      <c r="B14825" s="9" t="str">
        <f>HYPERLINK("http://www.ncbi.nlm.nih.gov/gene/182771", "182771")</f>
        <v>182771</v>
      </c>
      <c r="C14825" s="9"/>
      <c r="D14825" t="str">
        <f>"srbc-7"</f>
        <v>srbc-7</v>
      </c>
      <c r="E14825" t="s">
        <v>3034</v>
      </c>
      <c r="F14825" t="s">
        <v>11</v>
      </c>
      <c r="G14825" t="s">
        <v>25</v>
      </c>
      <c r="H14825" s="12">
        <v>2.4578120077400301</v>
      </c>
      <c r="I14825" s="20">
        <v>0.26093350314551</v>
      </c>
      <c r="J14825" s="28">
        <v>0.79414378780213601</v>
      </c>
      <c r="K14825" s="29">
        <v>0.98289565623980701</v>
      </c>
    </row>
    <row r="14826" spans="1:11" x14ac:dyDescent="0.35">
      <c r="A14826" s="9" t="str">
        <f>HYPERLINK("http://www.ensembl.org/id/WBGene00017935", "WBGene00017935")</f>
        <v>WBGene00017935</v>
      </c>
      <c r="B14826" s="9" t="str">
        <f>HYPERLINK("http://www.ncbi.nlm.nih.gov/gene/185128", "185128")</f>
        <v>185128</v>
      </c>
      <c r="C14826" s="9"/>
      <c r="D14826" t="str">
        <f>"srbc-70"</f>
        <v>srbc-70</v>
      </c>
      <c r="E14826" t="s">
        <v>3034</v>
      </c>
      <c r="F14826" t="s">
        <v>11</v>
      </c>
      <c r="G14826" t="s">
        <v>25</v>
      </c>
      <c r="H14826" s="12">
        <v>4.4368407117627902</v>
      </c>
      <c r="I14826" s="20">
        <v>0.43709475933309699</v>
      </c>
      <c r="J14826" s="28">
        <v>0.66204262779770495</v>
      </c>
      <c r="K14826" s="29">
        <v>0.98289565623980701</v>
      </c>
    </row>
    <row r="14827" spans="1:11" x14ac:dyDescent="0.35">
      <c r="A14827" s="9" t="str">
        <f>HYPERLINK("http://www.ensembl.org/id/WBGene00044092", "WBGene00044092")</f>
        <v>WBGene00044092</v>
      </c>
      <c r="B14827" s="9" t="str">
        <f>HYPERLINK("http://www.ncbi.nlm.nih.gov/gene/3564793", "3564793")</f>
        <v>3564793</v>
      </c>
      <c r="C14827" s="9"/>
      <c r="D14827" t="str">
        <f>"srbc-71"</f>
        <v>srbc-71</v>
      </c>
      <c r="E14827" t="s">
        <v>3034</v>
      </c>
      <c r="F14827" t="s">
        <v>11</v>
      </c>
      <c r="G14827" t="s">
        <v>25</v>
      </c>
      <c r="H14827" s="12">
        <v>4.3633946837992301</v>
      </c>
      <c r="I14827" s="20">
        <v>0.89983265845026905</v>
      </c>
      <c r="J14827" s="28">
        <v>0.36820931163571002</v>
      </c>
      <c r="K14827" s="29">
        <v>0.98289565623980701</v>
      </c>
    </row>
    <row r="14828" spans="1:11" x14ac:dyDescent="0.35">
      <c r="A14828" s="9" t="str">
        <f>HYPERLINK("http://www.ensembl.org/id/WBGene00012517", "WBGene00012517")</f>
        <v>WBGene00012517</v>
      </c>
      <c r="B14828" s="9"/>
      <c r="C14828" s="9"/>
      <c r="D14828" t="str">
        <f>"srbc-73"</f>
        <v>srbc-73</v>
      </c>
      <c r="F14828" t="s">
        <v>80</v>
      </c>
      <c r="H14828" s="12">
        <v>3.5227018545059199</v>
      </c>
      <c r="I14828" s="20">
        <v>0.36849691206929103</v>
      </c>
      <c r="J14828" s="28">
        <v>0.71250274722433404</v>
      </c>
      <c r="K14828" s="29">
        <v>0.98289565623980701</v>
      </c>
    </row>
    <row r="14829" spans="1:11" x14ac:dyDescent="0.35">
      <c r="A14829" s="9" t="str">
        <f>HYPERLINK("http://www.ensembl.org/id/WBGene00013624", "WBGene00013624")</f>
        <v>WBGene00013624</v>
      </c>
      <c r="B14829" s="9"/>
      <c r="C14829" s="9"/>
      <c r="D14829" t="str">
        <f>"srbc-80"</f>
        <v>srbc-80</v>
      </c>
      <c r="F14829" t="s">
        <v>80</v>
      </c>
      <c r="H14829" s="12">
        <v>-2.3838754719136599</v>
      </c>
      <c r="I14829" s="20">
        <v>-0.25807578497976902</v>
      </c>
      <c r="J14829" s="28">
        <v>0.79634841949468704</v>
      </c>
      <c r="K14829" s="29">
        <v>0.98289565623980701</v>
      </c>
    </row>
    <row r="14830" spans="1:11" x14ac:dyDescent="0.35">
      <c r="A14830" s="9" t="str">
        <f>HYPERLINK("http://www.ensembl.org/id/WBGene00007832", "WBGene00007832")</f>
        <v>WBGene00007832</v>
      </c>
      <c r="B14830" s="9" t="str">
        <f>HYPERLINK("http://www.ncbi.nlm.nih.gov/gene/183072", "183072")</f>
        <v>183072</v>
      </c>
      <c r="C14830" s="9"/>
      <c r="D14830" t="str">
        <f>"srbc-82"</f>
        <v>srbc-82</v>
      </c>
      <c r="E14830" t="s">
        <v>3034</v>
      </c>
      <c r="F14830" t="s">
        <v>11</v>
      </c>
      <c r="G14830" t="s">
        <v>25</v>
      </c>
      <c r="H14830" s="12">
        <v>-2.8552378498521902</v>
      </c>
      <c r="I14830" s="20">
        <v>-0.487427721396609</v>
      </c>
      <c r="J14830" s="28">
        <v>0.62595525239830496</v>
      </c>
      <c r="K14830" s="29">
        <v>0.98289565623980701</v>
      </c>
    </row>
    <row r="14831" spans="1:11" x14ac:dyDescent="0.35">
      <c r="A14831" s="9" t="str">
        <f>HYPERLINK("http://www.ensembl.org/id/WBGene00007831", "WBGene00007831")</f>
        <v>WBGene00007831</v>
      </c>
      <c r="B14831" s="9" t="str">
        <f>HYPERLINK("http://www.ncbi.nlm.nih.gov/gene/183071", "183071")</f>
        <v>183071</v>
      </c>
      <c r="C14831" s="9"/>
      <c r="D14831" t="str">
        <f>"srbc-83"</f>
        <v>srbc-83</v>
      </c>
      <c r="E14831" t="s">
        <v>3034</v>
      </c>
      <c r="F14831" t="s">
        <v>11</v>
      </c>
      <c r="G14831" t="s">
        <v>25</v>
      </c>
      <c r="H14831" s="12">
        <v>-2.4991590031922399</v>
      </c>
      <c r="I14831" s="20">
        <v>-0.26577412737581302</v>
      </c>
      <c r="J14831" s="28">
        <v>0.79041317015736101</v>
      </c>
      <c r="K14831" s="29">
        <v>0.98289565623980701</v>
      </c>
    </row>
    <row r="14832" spans="1:11" x14ac:dyDescent="0.35">
      <c r="A14832" s="9" t="str">
        <f>HYPERLINK("http://www.ensembl.org/id/WBGene00005088", "WBGene00005088")</f>
        <v>WBGene00005088</v>
      </c>
      <c r="B14832" s="9" t="str">
        <f>HYPERLINK("http://www.ncbi.nlm.nih.gov/gene/191800", "191800")</f>
        <v>191800</v>
      </c>
      <c r="C14832" s="9"/>
      <c r="D14832" t="str">
        <f>"srd-10"</f>
        <v>srd-10</v>
      </c>
      <c r="E14832" t="s">
        <v>1513</v>
      </c>
      <c r="F14832" t="s">
        <v>11</v>
      </c>
      <c r="G14832" t="s">
        <v>25</v>
      </c>
      <c r="H14832" s="12">
        <v>6.8700698083234704</v>
      </c>
      <c r="I14832" s="20">
        <v>1.1390843876522601</v>
      </c>
      <c r="J14832" s="28">
        <v>0.25466795859369301</v>
      </c>
      <c r="K14832" s="29">
        <v>0.98289565623980701</v>
      </c>
    </row>
    <row r="14833" spans="1:11" x14ac:dyDescent="0.35">
      <c r="A14833" s="9" t="str">
        <f>HYPERLINK("http://www.ensembl.org/id/WBGene00005089", "WBGene00005089")</f>
        <v>WBGene00005089</v>
      </c>
      <c r="B14833" s="9" t="str">
        <f>HYPERLINK("http://www.ncbi.nlm.nih.gov/gene/191801", "191801")</f>
        <v>191801</v>
      </c>
      <c r="C14833" s="9"/>
      <c r="D14833" t="str">
        <f>"srd-11"</f>
        <v>srd-11</v>
      </c>
      <c r="E14833" t="s">
        <v>1513</v>
      </c>
      <c r="F14833" t="s">
        <v>11</v>
      </c>
      <c r="G14833" t="s">
        <v>25</v>
      </c>
      <c r="H14833" s="12">
        <v>-2.4991590031922399</v>
      </c>
      <c r="I14833" s="20">
        <v>-0.26577412737581302</v>
      </c>
      <c r="J14833" s="28">
        <v>0.79041317015736101</v>
      </c>
      <c r="K14833" s="29">
        <v>0.98289565623980701</v>
      </c>
    </row>
    <row r="14834" spans="1:11" x14ac:dyDescent="0.35">
      <c r="A14834" s="9" t="str">
        <f>HYPERLINK("http://www.ensembl.org/id/WBGene00005092", "WBGene00005092")</f>
        <v>WBGene00005092</v>
      </c>
      <c r="B14834" s="9"/>
      <c r="C14834" s="9"/>
      <c r="D14834" t="str">
        <f>"srd-14"</f>
        <v>srd-14</v>
      </c>
      <c r="F14834" t="s">
        <v>80</v>
      </c>
      <c r="H14834" s="12">
        <v>-1.1521307495050701</v>
      </c>
      <c r="I14834" s="20">
        <v>-0.25930592210189701</v>
      </c>
      <c r="J14834" s="28">
        <v>0.79539921046901796</v>
      </c>
      <c r="K14834" s="29">
        <v>0.98289565623980701</v>
      </c>
    </row>
    <row r="14835" spans="1:11" x14ac:dyDescent="0.35">
      <c r="A14835" s="9" t="str">
        <f>HYPERLINK("http://www.ensembl.org/id/WBGene00005094", "WBGene00005094")</f>
        <v>WBGene00005094</v>
      </c>
      <c r="B14835" s="9" t="str">
        <f>HYPERLINK("http://www.ncbi.nlm.nih.gov/gene/191805", "191805")</f>
        <v>191805</v>
      </c>
      <c r="C14835" s="9"/>
      <c r="D14835" t="str">
        <f>"srd-16"</f>
        <v>srd-16</v>
      </c>
      <c r="E14835" t="s">
        <v>1513</v>
      </c>
      <c r="F14835" t="s">
        <v>11</v>
      </c>
      <c r="G14835" t="s">
        <v>25</v>
      </c>
      <c r="H14835" s="12">
        <v>14.098189607313399</v>
      </c>
      <c r="I14835" s="20">
        <v>0.90638981510253003</v>
      </c>
      <c r="J14835" s="28">
        <v>0.36472956169230802</v>
      </c>
      <c r="K14835" s="29">
        <v>0.98289565623980701</v>
      </c>
    </row>
    <row r="14836" spans="1:11" x14ac:dyDescent="0.35">
      <c r="A14836" s="9" t="str">
        <f>HYPERLINK("http://www.ensembl.org/id/WBGene00005095", "WBGene00005095")</f>
        <v>WBGene00005095</v>
      </c>
      <c r="B14836" s="9" t="str">
        <f>HYPERLINK("http://www.ncbi.nlm.nih.gov/gene/191806", "191806")</f>
        <v>191806</v>
      </c>
      <c r="C14836" s="9"/>
      <c r="D14836" t="str">
        <f>"srd-17"</f>
        <v>srd-17</v>
      </c>
      <c r="E14836" t="s">
        <v>1513</v>
      </c>
      <c r="F14836" t="s">
        <v>11</v>
      </c>
      <c r="G14836" t="s">
        <v>25</v>
      </c>
      <c r="H14836" s="12">
        <v>4.1920718223315099</v>
      </c>
      <c r="I14836" s="20">
        <v>0.63656057120054599</v>
      </c>
      <c r="J14836" s="28">
        <v>0.52441111484485303</v>
      </c>
      <c r="K14836" s="29">
        <v>0.98289565623980701</v>
      </c>
    </row>
    <row r="14837" spans="1:11" x14ac:dyDescent="0.35">
      <c r="A14837" s="9" t="str">
        <f>HYPERLINK("http://www.ensembl.org/id/WBGene00005097", "WBGene00005097")</f>
        <v>WBGene00005097</v>
      </c>
      <c r="B14837" s="9" t="str">
        <f>HYPERLINK("http://www.ncbi.nlm.nih.gov/gene/191808", "191808")</f>
        <v>191808</v>
      </c>
      <c r="C14837" s="9"/>
      <c r="D14837" t="str">
        <f>"srd-19"</f>
        <v>srd-19</v>
      </c>
      <c r="E14837" t="s">
        <v>4231</v>
      </c>
      <c r="F14837" t="s">
        <v>11</v>
      </c>
      <c r="G14837" t="s">
        <v>25</v>
      </c>
      <c r="H14837" s="12">
        <v>7.6616465944663696</v>
      </c>
      <c r="I14837" s="20">
        <v>0.60406875593600395</v>
      </c>
      <c r="J14837" s="28">
        <v>0.54579793098927099</v>
      </c>
      <c r="K14837" s="29">
        <v>0.98289565623980701</v>
      </c>
    </row>
    <row r="14838" spans="1:11" x14ac:dyDescent="0.35">
      <c r="A14838" s="9" t="str">
        <f>HYPERLINK("http://www.ensembl.org/id/WBGene00005080", "WBGene00005080")</f>
        <v>WBGene00005080</v>
      </c>
      <c r="B14838" s="9" t="str">
        <f>HYPERLINK("http://www.ncbi.nlm.nih.gov/gene/191795", "191795")</f>
        <v>191795</v>
      </c>
      <c r="C14838" s="9"/>
      <c r="D14838" t="str">
        <f>"srd-2"</f>
        <v>srd-2</v>
      </c>
      <c r="E14838" t="s">
        <v>4296</v>
      </c>
      <c r="F14838" t="s">
        <v>11</v>
      </c>
      <c r="G14838" t="s">
        <v>4297</v>
      </c>
      <c r="H14838" s="12">
        <v>3.6645215954135</v>
      </c>
      <c r="I14838" s="20">
        <v>0.37967131826092498</v>
      </c>
      <c r="J14838" s="28">
        <v>0.70418941338960395</v>
      </c>
      <c r="K14838" s="29">
        <v>0.98289565623980701</v>
      </c>
    </row>
    <row r="14839" spans="1:11" x14ac:dyDescent="0.35">
      <c r="A14839" s="9" t="str">
        <f>HYPERLINK("http://www.ensembl.org/id/WBGene00005098", "WBGene00005098")</f>
        <v>WBGene00005098</v>
      </c>
      <c r="B14839" s="9" t="str">
        <f>HYPERLINK("http://www.ncbi.nlm.nih.gov/gene/191809", "191809")</f>
        <v>191809</v>
      </c>
      <c r="C14839" s="9"/>
      <c r="D14839" t="str">
        <f>"srd-20"</f>
        <v>srd-20</v>
      </c>
      <c r="E14839" t="s">
        <v>1513</v>
      </c>
      <c r="F14839" t="s">
        <v>11</v>
      </c>
      <c r="G14839" t="s">
        <v>25</v>
      </c>
      <c r="H14839" s="12">
        <v>3.96717629464532</v>
      </c>
      <c r="I14839" s="20">
        <v>0.45862218578449998</v>
      </c>
      <c r="J14839" s="28">
        <v>0.64650550194479495</v>
      </c>
      <c r="K14839" s="29">
        <v>0.98289565623980701</v>
      </c>
    </row>
    <row r="14840" spans="1:11" x14ac:dyDescent="0.35">
      <c r="A14840" s="9" t="str">
        <f>HYPERLINK("http://www.ensembl.org/id/WBGene00005101", "WBGene00005101")</f>
        <v>WBGene00005101</v>
      </c>
      <c r="B14840" s="9" t="str">
        <f>HYPERLINK("http://www.ncbi.nlm.nih.gov/gene/189804", "189804")</f>
        <v>189804</v>
      </c>
      <c r="C14840" s="9"/>
      <c r="D14840" t="str">
        <f>"srd-23"</f>
        <v>srd-23</v>
      </c>
      <c r="E14840" t="s">
        <v>1513</v>
      </c>
      <c r="F14840" t="s">
        <v>11</v>
      </c>
      <c r="G14840" t="s">
        <v>4366</v>
      </c>
      <c r="H14840" s="12">
        <v>2.6089791443705401</v>
      </c>
      <c r="I14840" s="20">
        <v>0.82547406175331395</v>
      </c>
      <c r="J14840" s="28">
        <v>0.40910250277614302</v>
      </c>
      <c r="K14840" s="29">
        <v>0.98289565623980701</v>
      </c>
    </row>
    <row r="14841" spans="1:11" x14ac:dyDescent="0.35">
      <c r="A14841" s="9" t="str">
        <f>HYPERLINK("http://www.ensembl.org/id/WBGene00005104", "WBGene00005104")</f>
        <v>WBGene00005104</v>
      </c>
      <c r="B14841" s="9" t="str">
        <f>HYPERLINK("http://www.ncbi.nlm.nih.gov/gene/187979", "187979")</f>
        <v>187979</v>
      </c>
      <c r="C14841" s="9"/>
      <c r="D14841" t="str">
        <f>"srd-26"</f>
        <v>srd-26</v>
      </c>
      <c r="E14841" t="s">
        <v>4275</v>
      </c>
      <c r="F14841" t="s">
        <v>11</v>
      </c>
      <c r="G14841" t="s">
        <v>25</v>
      </c>
      <c r="H14841" s="12">
        <v>4.4454298908329104</v>
      </c>
      <c r="I14841" s="20">
        <v>0.49336101450555597</v>
      </c>
      <c r="J14841" s="28">
        <v>0.62175752365155801</v>
      </c>
      <c r="K14841" s="29">
        <v>0.98289565623980701</v>
      </c>
    </row>
    <row r="14842" spans="1:11" x14ac:dyDescent="0.35">
      <c r="A14842" s="9" t="str">
        <f>HYPERLINK("http://www.ensembl.org/id/WBGene00005106", "WBGene00005106")</f>
        <v>WBGene00005106</v>
      </c>
      <c r="B14842" s="9" t="str">
        <f>HYPERLINK("http://www.ncbi.nlm.nih.gov/gene/187353", "187353")</f>
        <v>187353</v>
      </c>
      <c r="C14842" s="9"/>
      <c r="D14842" t="str">
        <f>"srd-28"</f>
        <v>srd-28</v>
      </c>
      <c r="E14842" t="s">
        <v>4696</v>
      </c>
      <c r="F14842" t="s">
        <v>11</v>
      </c>
      <c r="G14842" t="s">
        <v>4697</v>
      </c>
      <c r="H14842" s="12">
        <v>1.4792204814937</v>
      </c>
      <c r="I14842" s="20">
        <v>0.31681447451968803</v>
      </c>
      <c r="J14842" s="28">
        <v>0.75138438047894196</v>
      </c>
      <c r="K14842" s="29">
        <v>0.98289565623980701</v>
      </c>
    </row>
    <row r="14843" spans="1:11" x14ac:dyDescent="0.35">
      <c r="A14843" s="9" t="str">
        <f>HYPERLINK("http://www.ensembl.org/id/WBGene00005111", "WBGene00005111")</f>
        <v>WBGene00005111</v>
      </c>
      <c r="B14843" s="9" t="str">
        <f>HYPERLINK("http://www.ncbi.nlm.nih.gov/gene/191816", "191816")</f>
        <v>191816</v>
      </c>
      <c r="C14843" s="9"/>
      <c r="D14843" t="str">
        <f>"srd-33"</f>
        <v>srd-33</v>
      </c>
      <c r="E14843" t="s">
        <v>4837</v>
      </c>
      <c r="F14843" t="s">
        <v>11</v>
      </c>
      <c r="G14843" t="s">
        <v>25</v>
      </c>
      <c r="H14843" s="12">
        <v>1.34236877674093</v>
      </c>
      <c r="I14843" s="20">
        <v>0.44407441543343501</v>
      </c>
      <c r="J14843" s="28">
        <v>0.656988783157606</v>
      </c>
      <c r="K14843" s="29">
        <v>0.98289565623980701</v>
      </c>
    </row>
    <row r="14844" spans="1:11" x14ac:dyDescent="0.35">
      <c r="A14844" s="9" t="str">
        <f>HYPERLINK("http://www.ensembl.org/id/WBGene00005112", "WBGene00005112")</f>
        <v>WBGene00005112</v>
      </c>
      <c r="B14844" s="9" t="str">
        <f>HYPERLINK("http://www.ncbi.nlm.nih.gov/gene/185210", "185210")</f>
        <v>185210</v>
      </c>
      <c r="C14844" s="9"/>
      <c r="D14844" t="str">
        <f>"srd-34"</f>
        <v>srd-34</v>
      </c>
      <c r="E14844" t="s">
        <v>4269</v>
      </c>
      <c r="F14844" t="s">
        <v>11</v>
      </c>
      <c r="G14844" t="s">
        <v>25</v>
      </c>
      <c r="H14844" s="12">
        <v>4.6654079932490999</v>
      </c>
      <c r="I14844" s="20">
        <v>0.52614446217109401</v>
      </c>
      <c r="J14844" s="28">
        <v>0.59878783828128901</v>
      </c>
      <c r="K14844" s="29">
        <v>0.98289565623980701</v>
      </c>
    </row>
    <row r="14845" spans="1:11" x14ac:dyDescent="0.35">
      <c r="A14845" s="9" t="str">
        <f>HYPERLINK("http://www.ensembl.org/id/WBGene00005114", "WBGene00005114")</f>
        <v>WBGene00005114</v>
      </c>
      <c r="B14845" s="9" t="str">
        <f>HYPERLINK("http://www.ncbi.nlm.nih.gov/gene/187574", "187574")</f>
        <v>187574</v>
      </c>
      <c r="C14845" s="9"/>
      <c r="D14845" t="str">
        <f>"srd-36"</f>
        <v>srd-36</v>
      </c>
      <c r="E14845" t="s">
        <v>1513</v>
      </c>
      <c r="F14845" t="s">
        <v>11</v>
      </c>
      <c r="G14845" t="s">
        <v>25</v>
      </c>
      <c r="H14845" s="12">
        <v>2.3893468495514898</v>
      </c>
      <c r="I14845" s="20">
        <v>0.25323547253672701</v>
      </c>
      <c r="J14845" s="28">
        <v>0.80008625651646104</v>
      </c>
      <c r="K14845" s="29">
        <v>0.98289565623980701</v>
      </c>
    </row>
    <row r="14846" spans="1:11" x14ac:dyDescent="0.35">
      <c r="A14846" s="9" t="str">
        <f>HYPERLINK("http://www.ensembl.org/id/WBGene00005117", "WBGene00005117")</f>
        <v>WBGene00005117</v>
      </c>
      <c r="B14846" s="9" t="str">
        <f>HYPERLINK("http://www.ncbi.nlm.nih.gov/gene/187576", "187576")</f>
        <v>187576</v>
      </c>
      <c r="C14846" s="9"/>
      <c r="D14846" t="str">
        <f>"srd-39"</f>
        <v>srd-39</v>
      </c>
      <c r="E14846" t="s">
        <v>1513</v>
      </c>
      <c r="F14846" t="s">
        <v>11</v>
      </c>
      <c r="G14846" t="s">
        <v>25</v>
      </c>
      <c r="H14846" s="12">
        <v>-2.4295389261469</v>
      </c>
      <c r="I14846" s="20">
        <v>-0.25808529976640998</v>
      </c>
      <c r="J14846" s="28">
        <v>0.79634107645457397</v>
      </c>
      <c r="K14846" s="29">
        <v>0.98289565623980701</v>
      </c>
    </row>
    <row r="14847" spans="1:11" x14ac:dyDescent="0.35">
      <c r="A14847" s="9" t="str">
        <f>HYPERLINK("http://www.ensembl.org/id/WBGene00005082", "WBGene00005082")</f>
        <v>WBGene00005082</v>
      </c>
      <c r="B14847" s="9" t="str">
        <f>HYPERLINK("http://www.ncbi.nlm.nih.gov/gene/191796", "191796")</f>
        <v>191796</v>
      </c>
      <c r="C14847" s="9"/>
      <c r="D14847" t="str">
        <f>"srd-4"</f>
        <v>srd-4</v>
      </c>
      <c r="E14847" t="s">
        <v>1513</v>
      </c>
      <c r="F14847" t="s">
        <v>11</v>
      </c>
      <c r="G14847" t="s">
        <v>25</v>
      </c>
      <c r="H14847" s="12">
        <v>2.3641529865069502</v>
      </c>
      <c r="I14847" s="20">
        <v>0.467363614140898</v>
      </c>
      <c r="J14847" s="28">
        <v>0.64023975042071801</v>
      </c>
      <c r="K14847" s="29">
        <v>0.98289565623980701</v>
      </c>
    </row>
    <row r="14848" spans="1:11" x14ac:dyDescent="0.35">
      <c r="A14848" s="9" t="str">
        <f>HYPERLINK("http://www.ensembl.org/id/WBGene00005119", "WBGene00005119")</f>
        <v>WBGene00005119</v>
      </c>
      <c r="B14848" s="9" t="str">
        <f>HYPERLINK("http://www.ncbi.nlm.nih.gov/gene/184602", "184602")</f>
        <v>184602</v>
      </c>
      <c r="C14848" s="9"/>
      <c r="D14848" t="str">
        <f>"srd-41"</f>
        <v>srd-41</v>
      </c>
      <c r="E14848" t="s">
        <v>4291</v>
      </c>
      <c r="F14848" t="s">
        <v>11</v>
      </c>
      <c r="G14848" t="s">
        <v>25</v>
      </c>
      <c r="H14848" s="12">
        <v>3.7495657430089002</v>
      </c>
      <c r="I14848" s="20">
        <v>0.41509078773660102</v>
      </c>
      <c r="J14848" s="28">
        <v>0.67807544303981004</v>
      </c>
      <c r="K14848" s="29">
        <v>0.98289565623980701</v>
      </c>
    </row>
    <row r="14849" spans="1:11" x14ac:dyDescent="0.35">
      <c r="A14849" s="9" t="str">
        <f>HYPERLINK("http://www.ensembl.org/id/WBGene00005121", "WBGene00005121")</f>
        <v>WBGene00005121</v>
      </c>
      <c r="B14849" s="9" t="str">
        <f>HYPERLINK("http://www.ncbi.nlm.nih.gov/gene/187577", "187577")</f>
        <v>187577</v>
      </c>
      <c r="C14849" s="9"/>
      <c r="D14849" t="str">
        <f>"srd-43"</f>
        <v>srd-43</v>
      </c>
      <c r="E14849" t="s">
        <v>1513</v>
      </c>
      <c r="F14849" t="s">
        <v>11</v>
      </c>
      <c r="G14849" t="s">
        <v>25</v>
      </c>
      <c r="H14849" s="12">
        <v>2.3893468495514898</v>
      </c>
      <c r="I14849" s="20">
        <v>0.25323547253672701</v>
      </c>
      <c r="J14849" s="28">
        <v>0.80008625651646104</v>
      </c>
      <c r="K14849" s="29">
        <v>0.98289565623980701</v>
      </c>
    </row>
    <row r="14850" spans="1:11" x14ac:dyDescent="0.35">
      <c r="A14850" s="9" t="str">
        <f>HYPERLINK("http://www.ensembl.org/id/WBGene00005123", "WBGene00005123")</f>
        <v>WBGene00005123</v>
      </c>
      <c r="B14850" s="9" t="str">
        <f>HYPERLINK("http://www.ncbi.nlm.nih.gov/gene/184603", "184603")</f>
        <v>184603</v>
      </c>
      <c r="C14850" s="9"/>
      <c r="D14850" t="str">
        <f>"srd-45"</f>
        <v>srd-45</v>
      </c>
      <c r="E14850" t="s">
        <v>10085</v>
      </c>
      <c r="F14850" t="s">
        <v>11</v>
      </c>
      <c r="G14850" t="s">
        <v>25</v>
      </c>
      <c r="H14850" s="12">
        <v>-3.1055906756211602</v>
      </c>
      <c r="I14850" s="20">
        <v>-0.66888974804928003</v>
      </c>
      <c r="J14850" s="28">
        <v>0.50356581040913695</v>
      </c>
      <c r="K14850" s="29">
        <v>0.98289565623980701</v>
      </c>
    </row>
    <row r="14851" spans="1:11" x14ac:dyDescent="0.35">
      <c r="A14851" s="9" t="str">
        <f>HYPERLINK("http://www.ensembl.org/id/WBGene00005125", "WBGene00005125")</f>
        <v>WBGene00005125</v>
      </c>
      <c r="B14851" s="9" t="str">
        <f>HYPERLINK("http://www.ncbi.nlm.nih.gov/gene/184607", "184607")</f>
        <v>184607</v>
      </c>
      <c r="C14851" s="9"/>
      <c r="D14851" t="str">
        <f>"srd-47"</f>
        <v>srd-47</v>
      </c>
      <c r="E14851" t="s">
        <v>4309</v>
      </c>
      <c r="F14851" t="s">
        <v>11</v>
      </c>
      <c r="G14851" t="s">
        <v>25</v>
      </c>
      <c r="H14851" s="12">
        <v>3.5227018545059199</v>
      </c>
      <c r="I14851" s="20">
        <v>0.36849691206929103</v>
      </c>
      <c r="J14851" s="28">
        <v>0.71250274722433404</v>
      </c>
      <c r="K14851" s="29">
        <v>0.98289565623980701</v>
      </c>
    </row>
    <row r="14852" spans="1:11" x14ac:dyDescent="0.35">
      <c r="A14852" s="9" t="str">
        <f>HYPERLINK("http://www.ensembl.org/id/WBGene00005126", "WBGene00005126")</f>
        <v>WBGene00005126</v>
      </c>
      <c r="B14852" s="9" t="str">
        <f>HYPERLINK("http://www.ncbi.nlm.nih.gov/gene/184605", "184605")</f>
        <v>184605</v>
      </c>
      <c r="C14852" s="9"/>
      <c r="D14852" t="str">
        <f>"srd-48"</f>
        <v>srd-48</v>
      </c>
      <c r="E14852" t="s">
        <v>4390</v>
      </c>
      <c r="F14852" t="s">
        <v>11</v>
      </c>
      <c r="G14852" t="s">
        <v>25</v>
      </c>
      <c r="H14852" s="12">
        <v>2.4360060020174399</v>
      </c>
      <c r="I14852" s="20">
        <v>0.51537338792978205</v>
      </c>
      <c r="J14852" s="28">
        <v>0.60629212504180696</v>
      </c>
      <c r="K14852" s="29">
        <v>0.98289565623980701</v>
      </c>
    </row>
    <row r="14853" spans="1:11" x14ac:dyDescent="0.35">
      <c r="A14853" s="9" t="str">
        <f>HYPERLINK("http://www.ensembl.org/id/WBGene00005128", "WBGene00005128")</f>
        <v>WBGene00005128</v>
      </c>
      <c r="B14853" s="9" t="str">
        <f>HYPERLINK("http://www.ncbi.nlm.nih.gov/gene/184507", "184507")</f>
        <v>184507</v>
      </c>
      <c r="C14853" s="9"/>
      <c r="D14853" t="str">
        <f>"srd-50"</f>
        <v>srd-50</v>
      </c>
      <c r="E14853" t="s">
        <v>4396</v>
      </c>
      <c r="F14853" t="s">
        <v>11</v>
      </c>
      <c r="G14853" t="s">
        <v>25</v>
      </c>
      <c r="H14853" s="12">
        <v>2.3893468495514898</v>
      </c>
      <c r="I14853" s="20">
        <v>0.25323547253672701</v>
      </c>
      <c r="J14853" s="28">
        <v>0.80008625651646104</v>
      </c>
      <c r="K14853" s="29">
        <v>0.98289565623980701</v>
      </c>
    </row>
    <row r="14854" spans="1:11" x14ac:dyDescent="0.35">
      <c r="A14854" s="9" t="str">
        <f>HYPERLINK("http://www.ensembl.org/id/WBGene00005129", "WBGene00005129")</f>
        <v>WBGene00005129</v>
      </c>
      <c r="B14854" s="9" t="str">
        <f>HYPERLINK("http://www.ncbi.nlm.nih.gov/gene/184506", "184506")</f>
        <v>184506</v>
      </c>
      <c r="C14854" s="9"/>
      <c r="D14854" t="str">
        <f>"srd-51"</f>
        <v>srd-51</v>
      </c>
      <c r="E14854" t="s">
        <v>4631</v>
      </c>
      <c r="F14854" t="s">
        <v>11</v>
      </c>
      <c r="G14854" t="s">
        <v>25</v>
      </c>
      <c r="H14854" s="12">
        <v>1.5716027089058699</v>
      </c>
      <c r="I14854" s="20">
        <v>0.55415359053398605</v>
      </c>
      <c r="J14854" s="28">
        <v>0.57947373669431401</v>
      </c>
      <c r="K14854" s="29">
        <v>0.98289565623980701</v>
      </c>
    </row>
    <row r="14855" spans="1:11" x14ac:dyDescent="0.35">
      <c r="A14855" s="9" t="str">
        <f>HYPERLINK("http://www.ensembl.org/id/WBGene00005130", "WBGene00005130")</f>
        <v>WBGene00005130</v>
      </c>
      <c r="B14855" s="9"/>
      <c r="C14855" s="9"/>
      <c r="D14855" t="str">
        <f>"srd-52"</f>
        <v>srd-52</v>
      </c>
      <c r="F14855" t="s">
        <v>80</v>
      </c>
      <c r="H14855" s="12">
        <v>1.93277963671368</v>
      </c>
      <c r="I14855" s="20">
        <v>0.461180381477234</v>
      </c>
      <c r="J14855" s="28">
        <v>0.64466919577126403</v>
      </c>
      <c r="K14855" s="29">
        <v>0.98289565623980701</v>
      </c>
    </row>
    <row r="14856" spans="1:11" x14ac:dyDescent="0.35">
      <c r="A14856" s="9" t="str">
        <f>HYPERLINK("http://www.ensembl.org/id/WBGene00005132", "WBGene00005132")</f>
        <v>WBGene00005132</v>
      </c>
      <c r="B14856" s="9" t="str">
        <f>HYPERLINK("http://www.ncbi.nlm.nih.gov/gene/13185759", "13185759")</f>
        <v>13185759</v>
      </c>
      <c r="C14856" s="9"/>
      <c r="D14856" t="str">
        <f>"srd-54"</f>
        <v>srd-54</v>
      </c>
      <c r="E14856" t="s">
        <v>1513</v>
      </c>
      <c r="F14856" t="s">
        <v>11</v>
      </c>
      <c r="G14856" t="s">
        <v>25</v>
      </c>
      <c r="H14856" s="12">
        <v>4.4368407117627902</v>
      </c>
      <c r="I14856" s="20">
        <v>0.43709475933309699</v>
      </c>
      <c r="J14856" s="28">
        <v>0.66204262779770495</v>
      </c>
      <c r="K14856" s="29">
        <v>0.98289565623980701</v>
      </c>
    </row>
    <row r="14857" spans="1:11" x14ac:dyDescent="0.35">
      <c r="A14857" s="9" t="str">
        <f>HYPERLINK("http://www.ensembl.org/id/WBGene00005134", "WBGene00005134")</f>
        <v>WBGene00005134</v>
      </c>
      <c r="B14857" s="9" t="str">
        <f>HYPERLINK("http://www.ncbi.nlm.nih.gov/gene/191818", "191818")</f>
        <v>191818</v>
      </c>
      <c r="C14857" s="9"/>
      <c r="D14857" t="str">
        <f>"srd-56"</f>
        <v>srd-56</v>
      </c>
      <c r="E14857" t="s">
        <v>1513</v>
      </c>
      <c r="F14857" t="s">
        <v>11</v>
      </c>
      <c r="G14857" t="s">
        <v>25</v>
      </c>
      <c r="H14857" s="12">
        <v>-2.4295389261469</v>
      </c>
      <c r="I14857" s="20">
        <v>-0.25808529976640998</v>
      </c>
      <c r="J14857" s="28">
        <v>0.79634107645457397</v>
      </c>
      <c r="K14857" s="29">
        <v>0.98289565623980701</v>
      </c>
    </row>
    <row r="14858" spans="1:11" x14ac:dyDescent="0.35">
      <c r="A14858" s="9" t="str">
        <f>HYPERLINK("http://www.ensembl.org/id/WBGene00005135", "WBGene00005135")</f>
        <v>WBGene00005135</v>
      </c>
      <c r="B14858" s="9" t="str">
        <f>HYPERLINK("http://www.ncbi.nlm.nih.gov/gene/191819", "191819")</f>
        <v>191819</v>
      </c>
      <c r="C14858" s="9"/>
      <c r="D14858" t="str">
        <f>"srd-58"</f>
        <v>srd-58</v>
      </c>
      <c r="E14858" t="s">
        <v>1513</v>
      </c>
      <c r="F14858" t="s">
        <v>11</v>
      </c>
      <c r="G14858" t="s">
        <v>25</v>
      </c>
      <c r="H14858" s="12">
        <v>2.3893468495514898</v>
      </c>
      <c r="I14858" s="20">
        <v>0.25323547253672701</v>
      </c>
      <c r="J14858" s="28">
        <v>0.80008625651646104</v>
      </c>
      <c r="K14858" s="29">
        <v>0.98289565623980701</v>
      </c>
    </row>
    <row r="14859" spans="1:11" x14ac:dyDescent="0.35">
      <c r="A14859" s="9" t="str">
        <f>HYPERLINK("http://www.ensembl.org/id/WBGene00005136", "WBGene00005136")</f>
        <v>WBGene00005136</v>
      </c>
      <c r="B14859" s="9" t="str">
        <f>HYPERLINK("http://www.ncbi.nlm.nih.gov/gene/191820", "191820")</f>
        <v>191820</v>
      </c>
      <c r="C14859" s="9"/>
      <c r="D14859" t="str">
        <f>"srd-59"</f>
        <v>srd-59</v>
      </c>
      <c r="E14859" t="s">
        <v>4274</v>
      </c>
      <c r="F14859" t="s">
        <v>11</v>
      </c>
      <c r="G14859" t="s">
        <v>25</v>
      </c>
      <c r="H14859" s="12">
        <v>4.4969098397955696</v>
      </c>
      <c r="I14859" s="20">
        <v>0.63982070393666701</v>
      </c>
      <c r="J14859" s="28">
        <v>0.52228917084180404</v>
      </c>
      <c r="K14859" s="29">
        <v>0.98289565623980701</v>
      </c>
    </row>
    <row r="14860" spans="1:11" x14ac:dyDescent="0.35">
      <c r="A14860" s="9" t="str">
        <f>HYPERLINK("http://www.ensembl.org/id/WBGene00005140", "WBGene00005140")</f>
        <v>WBGene00005140</v>
      </c>
      <c r="B14860" s="9" t="str">
        <f>HYPERLINK("http://www.ncbi.nlm.nih.gov/gene/184399", "184399")</f>
        <v>184399</v>
      </c>
      <c r="C14860" s="9"/>
      <c r="D14860" t="str">
        <f>"srd-63"</f>
        <v>srd-63</v>
      </c>
      <c r="E14860" t="s">
        <v>4514</v>
      </c>
      <c r="F14860" t="s">
        <v>11</v>
      </c>
      <c r="G14860" t="s">
        <v>25</v>
      </c>
      <c r="H14860" s="12">
        <v>1.79443818773351</v>
      </c>
      <c r="I14860" s="20">
        <v>0.32176537694531998</v>
      </c>
      <c r="J14860" s="28">
        <v>0.74763044567846404</v>
      </c>
      <c r="K14860" s="29">
        <v>0.98289565623980701</v>
      </c>
    </row>
    <row r="14861" spans="1:11" x14ac:dyDescent="0.35">
      <c r="A14861" s="9" t="str">
        <f>HYPERLINK("http://www.ensembl.org/id/WBGene00005144", "WBGene00005144")</f>
        <v>WBGene00005144</v>
      </c>
      <c r="B14861" s="9" t="str">
        <f>HYPERLINK("http://www.ncbi.nlm.nih.gov/gene/191825", "191825")</f>
        <v>191825</v>
      </c>
      <c r="C14861" s="9"/>
      <c r="D14861" t="str">
        <f>"srd-67"</f>
        <v>srd-67</v>
      </c>
      <c r="E14861" t="s">
        <v>1513</v>
      </c>
      <c r="F14861" t="s">
        <v>11</v>
      </c>
      <c r="G14861" t="s">
        <v>25</v>
      </c>
      <c r="H14861" s="12">
        <v>7.8750041662741399</v>
      </c>
      <c r="I14861" s="20">
        <v>0.66270036837280499</v>
      </c>
      <c r="J14861" s="28">
        <v>0.507522473818947</v>
      </c>
      <c r="K14861" s="29">
        <v>0.98289565623980701</v>
      </c>
    </row>
    <row r="14862" spans="1:11" x14ac:dyDescent="0.35">
      <c r="A14862" s="9" t="str">
        <f>HYPERLINK("http://www.ensembl.org/id/WBGene00005146", "WBGene00005146")</f>
        <v>WBGene00005146</v>
      </c>
      <c r="B14862" s="9" t="str">
        <f>HYPERLINK("http://www.ncbi.nlm.nih.gov/gene/191826", "191826")</f>
        <v>191826</v>
      </c>
      <c r="C14862" s="9"/>
      <c r="D14862" t="str">
        <f>"srd-69"</f>
        <v>srd-69</v>
      </c>
      <c r="E14862" t="s">
        <v>1513</v>
      </c>
      <c r="F14862" t="s">
        <v>11</v>
      </c>
      <c r="G14862" t="s">
        <v>25</v>
      </c>
      <c r="H14862" s="12">
        <v>-5.5794491025289696</v>
      </c>
      <c r="I14862" s="20">
        <v>-0.504738274115201</v>
      </c>
      <c r="J14862" s="28">
        <v>0.61374267489732603</v>
      </c>
      <c r="K14862" s="29">
        <v>0.98289565623980701</v>
      </c>
    </row>
    <row r="14863" spans="1:11" x14ac:dyDescent="0.35">
      <c r="A14863" s="9" t="str">
        <f>HYPERLINK("http://www.ensembl.org/id/WBGene00005085", "WBGene00005085")</f>
        <v>WBGene00005085</v>
      </c>
      <c r="B14863" s="9" t="str">
        <f>HYPERLINK("http://www.ncbi.nlm.nih.gov/gene/191797", "191797")</f>
        <v>191797</v>
      </c>
      <c r="C14863" s="9"/>
      <c r="D14863" t="str">
        <f>"srd-7"</f>
        <v>srd-7</v>
      </c>
      <c r="E14863" t="s">
        <v>4350</v>
      </c>
      <c r="F14863" t="s">
        <v>11</v>
      </c>
      <c r="G14863" t="s">
        <v>25</v>
      </c>
      <c r="H14863" s="12">
        <v>2.7895492586175901</v>
      </c>
      <c r="I14863" s="20">
        <v>0.84962765055405998</v>
      </c>
      <c r="J14863" s="28">
        <v>0.39553213404054</v>
      </c>
      <c r="K14863" s="29">
        <v>0.98289565623980701</v>
      </c>
    </row>
    <row r="14864" spans="1:11" x14ac:dyDescent="0.35">
      <c r="A14864" s="9" t="str">
        <f>HYPERLINK("http://www.ensembl.org/id/WBGene00005086", "WBGene00005086")</f>
        <v>WBGene00005086</v>
      </c>
      <c r="B14864" s="9" t="str">
        <f>HYPERLINK("http://www.ncbi.nlm.nih.gov/gene/191798", "191798")</f>
        <v>191798</v>
      </c>
      <c r="C14864" s="9"/>
      <c r="D14864" t="str">
        <f>"srd-8"</f>
        <v>srd-8</v>
      </c>
      <c r="E14864" t="s">
        <v>1513</v>
      </c>
      <c r="F14864" t="s">
        <v>11</v>
      </c>
      <c r="G14864" t="s">
        <v>25</v>
      </c>
      <c r="H14864" s="12">
        <v>-2.4991590031922399</v>
      </c>
      <c r="I14864" s="20">
        <v>-0.26577412737581302</v>
      </c>
      <c r="J14864" s="28">
        <v>0.79041317015736101</v>
      </c>
      <c r="K14864" s="29">
        <v>0.98289565623980701</v>
      </c>
    </row>
    <row r="14865" spans="1:11" x14ac:dyDescent="0.35">
      <c r="A14865" s="9" t="str">
        <f>HYPERLINK("http://www.ensembl.org/id/WBGene00005149", "WBGene00005149")</f>
        <v>WBGene00005149</v>
      </c>
      <c r="B14865" s="9" t="str">
        <f>HYPERLINK("http://www.ncbi.nlm.nih.gov/gene/191827", "191827")</f>
        <v>191827</v>
      </c>
      <c r="C14865" s="9"/>
      <c r="D14865" t="str">
        <f>"sre-1"</f>
        <v>sre-1</v>
      </c>
      <c r="E14865" t="s">
        <v>4447</v>
      </c>
      <c r="F14865" t="s">
        <v>11</v>
      </c>
      <c r="G14865" t="s">
        <v>2639</v>
      </c>
      <c r="H14865" s="12">
        <v>2.0588912881881698</v>
      </c>
      <c r="I14865" s="20">
        <v>0.38275083404828503</v>
      </c>
      <c r="J14865" s="28">
        <v>0.70190451914671703</v>
      </c>
      <c r="K14865" s="29">
        <v>0.98289565623980701</v>
      </c>
    </row>
    <row r="14866" spans="1:11" x14ac:dyDescent="0.35">
      <c r="A14866" s="9" t="str">
        <f>HYPERLINK("http://www.ensembl.org/id/WBGene00015712", "WBGene00015712")</f>
        <v>WBGene00015712</v>
      </c>
      <c r="B14866" s="9" t="str">
        <f>HYPERLINK("http://www.ncbi.nlm.nih.gov/gene/353444", "353444")</f>
        <v>353444</v>
      </c>
      <c r="C14866" s="9"/>
      <c r="D14866" t="str">
        <f>"sre-11"</f>
        <v>sre-11</v>
      </c>
      <c r="E14866" t="s">
        <v>2638</v>
      </c>
      <c r="F14866" t="s">
        <v>11</v>
      </c>
      <c r="G14866" t="s">
        <v>2639</v>
      </c>
      <c r="H14866" s="12">
        <v>-2.91593608624928</v>
      </c>
      <c r="I14866" s="20">
        <v>-0.37185148581300698</v>
      </c>
      <c r="J14866" s="28">
        <v>0.71000342774827596</v>
      </c>
      <c r="K14866" s="29">
        <v>0.98289565623980701</v>
      </c>
    </row>
    <row r="14867" spans="1:11" x14ac:dyDescent="0.35">
      <c r="A14867" s="9" t="str">
        <f>HYPERLINK("http://www.ensembl.org/id/WBGene00007997", "WBGene00007997")</f>
        <v>WBGene00007997</v>
      </c>
      <c r="B14867" s="9" t="str">
        <f>HYPERLINK("http://www.ncbi.nlm.nih.gov/gene/183306", "183306")</f>
        <v>183306</v>
      </c>
      <c r="C14867" s="9"/>
      <c r="D14867" t="str">
        <f>"sre-13"</f>
        <v>sre-13</v>
      </c>
      <c r="E14867" t="s">
        <v>4363</v>
      </c>
      <c r="F14867" t="s">
        <v>11</v>
      </c>
      <c r="G14867" t="s">
        <v>2639</v>
      </c>
      <c r="H14867" s="12">
        <v>2.6751036604384302</v>
      </c>
      <c r="I14867" s="20">
        <v>0.82048314704571701</v>
      </c>
      <c r="J14867" s="28">
        <v>0.411940732785882</v>
      </c>
      <c r="K14867" s="29">
        <v>0.98289565623980701</v>
      </c>
    </row>
    <row r="14868" spans="1:11" x14ac:dyDescent="0.35">
      <c r="A14868" s="9" t="str">
        <f>HYPERLINK("http://www.ensembl.org/id/WBGene00016579", "WBGene00016579")</f>
        <v>WBGene00016579</v>
      </c>
      <c r="B14868" s="9" t="str">
        <f>HYPERLINK("http://www.ncbi.nlm.nih.gov/gene/183397", "183397")</f>
        <v>183397</v>
      </c>
      <c r="C14868" s="9"/>
      <c r="D14868" t="str">
        <f>"sre-14"</f>
        <v>sre-14</v>
      </c>
      <c r="E14868" t="s">
        <v>2638</v>
      </c>
      <c r="F14868" t="s">
        <v>11</v>
      </c>
      <c r="G14868" t="s">
        <v>2639</v>
      </c>
      <c r="H14868" s="12">
        <v>1.2663051488527</v>
      </c>
      <c r="I14868" s="20">
        <v>0.26742183463519897</v>
      </c>
      <c r="J14868" s="28">
        <v>0.78914438981031598</v>
      </c>
      <c r="K14868" s="29">
        <v>0.98289565623980701</v>
      </c>
    </row>
    <row r="14869" spans="1:11" x14ac:dyDescent="0.35">
      <c r="A14869" s="9" t="str">
        <f>HYPERLINK("http://www.ensembl.org/id/WBGene00012707", "WBGene00012707")</f>
        <v>WBGene00012707</v>
      </c>
      <c r="B14869" s="9" t="str">
        <f>HYPERLINK("http://www.ncbi.nlm.nih.gov/gene/189747", "189747")</f>
        <v>189747</v>
      </c>
      <c r="C14869" s="9"/>
      <c r="D14869" t="str">
        <f>"sre-16"</f>
        <v>sre-16</v>
      </c>
      <c r="E14869" t="s">
        <v>2638</v>
      </c>
      <c r="F14869" t="s">
        <v>11</v>
      </c>
      <c r="G14869" t="s">
        <v>2639</v>
      </c>
      <c r="H14869" s="12">
        <v>-1.0900439233114301</v>
      </c>
      <c r="I14869" s="20">
        <v>-0.281428729691101</v>
      </c>
      <c r="J14869" s="28">
        <v>0.77838158508555899</v>
      </c>
      <c r="K14869" s="29">
        <v>0.98289565623980701</v>
      </c>
    </row>
    <row r="14870" spans="1:11" x14ac:dyDescent="0.35">
      <c r="A14870" s="9" t="str">
        <f>HYPERLINK("http://www.ensembl.org/id/WBGene00012706", "WBGene00012706")</f>
        <v>WBGene00012706</v>
      </c>
      <c r="B14870" s="9"/>
      <c r="C14870" s="9"/>
      <c r="D14870" t="str">
        <f>"sre-17"</f>
        <v>sre-17</v>
      </c>
      <c r="F14870" t="s">
        <v>80</v>
      </c>
      <c r="H14870" s="12">
        <v>3.7816148028176002</v>
      </c>
      <c r="I14870" s="20">
        <v>1.0200781513503201</v>
      </c>
      <c r="J14870" s="28">
        <v>0.30769139785824201</v>
      </c>
      <c r="K14870" s="29">
        <v>0.98289565623980701</v>
      </c>
    </row>
    <row r="14871" spans="1:11" x14ac:dyDescent="0.35">
      <c r="A14871" s="9" t="str">
        <f>HYPERLINK("http://www.ensembl.org/id/WBGene00012705", "WBGene00012705")</f>
        <v>WBGene00012705</v>
      </c>
      <c r="B14871" s="9" t="str">
        <f>HYPERLINK("http://www.ncbi.nlm.nih.gov/gene/189745", "189745")</f>
        <v>189745</v>
      </c>
      <c r="C14871" s="9"/>
      <c r="D14871" t="str">
        <f>"sre-18"</f>
        <v>sre-18</v>
      </c>
      <c r="E14871" t="s">
        <v>2638</v>
      </c>
      <c r="F14871" t="s">
        <v>11</v>
      </c>
      <c r="G14871" t="s">
        <v>2639</v>
      </c>
      <c r="H14871" s="12">
        <v>2.20110560035589</v>
      </c>
      <c r="I14871" s="20">
        <v>0.77438867991856497</v>
      </c>
      <c r="J14871" s="28">
        <v>0.43870097585633899</v>
      </c>
      <c r="K14871" s="29">
        <v>0.98289565623980701</v>
      </c>
    </row>
    <row r="14872" spans="1:11" x14ac:dyDescent="0.35">
      <c r="A14872" s="9" t="str">
        <f>HYPERLINK("http://www.ensembl.org/id/WBGene00012708", "WBGene00012708")</f>
        <v>WBGene00012708</v>
      </c>
      <c r="B14872" s="9" t="str">
        <f>HYPERLINK("http://www.ncbi.nlm.nih.gov/gene/189748", "189748")</f>
        <v>189748</v>
      </c>
      <c r="C14872" s="9"/>
      <c r="D14872" t="str">
        <f>"sre-19"</f>
        <v>sre-19</v>
      </c>
      <c r="E14872" t="s">
        <v>2638</v>
      </c>
      <c r="F14872" t="s">
        <v>11</v>
      </c>
      <c r="G14872" t="s">
        <v>2639</v>
      </c>
      <c r="H14872" s="12">
        <v>3.7994702107567302</v>
      </c>
      <c r="I14872" s="20">
        <v>0.89205922561920303</v>
      </c>
      <c r="J14872" s="28">
        <v>0.37236118837242899</v>
      </c>
      <c r="K14872" s="29">
        <v>0.98289565623980701</v>
      </c>
    </row>
    <row r="14873" spans="1:11" x14ac:dyDescent="0.35">
      <c r="A14873" s="9" t="str">
        <f>HYPERLINK("http://www.ensembl.org/id/WBGene00005150", "WBGene00005150")</f>
        <v>WBGene00005150</v>
      </c>
      <c r="B14873" s="9" t="str">
        <f>HYPERLINK("http://www.ncbi.nlm.nih.gov/gene/174302", "174302")</f>
        <v>174302</v>
      </c>
      <c r="C14873" s="9"/>
      <c r="D14873" t="str">
        <f>"sre-2"</f>
        <v>sre-2</v>
      </c>
      <c r="E14873" t="s">
        <v>10010</v>
      </c>
      <c r="F14873" t="s">
        <v>11</v>
      </c>
      <c r="G14873" t="s">
        <v>10011</v>
      </c>
      <c r="H14873" s="12">
        <v>-1.72015738873766</v>
      </c>
      <c r="I14873" s="20">
        <v>-0.27236994838053602</v>
      </c>
      <c r="J14873" s="28">
        <v>0.78533757722282105</v>
      </c>
      <c r="K14873" s="29">
        <v>0.98289565623980701</v>
      </c>
    </row>
    <row r="14874" spans="1:11" x14ac:dyDescent="0.35">
      <c r="A14874" s="9" t="str">
        <f>HYPERLINK("http://www.ensembl.org/id/WBGene00009462", "WBGene00009462")</f>
        <v>WBGene00009462</v>
      </c>
      <c r="B14874" s="9" t="str">
        <f>HYPERLINK("http://www.ncbi.nlm.nih.gov/gene/185344", "185344")</f>
        <v>185344</v>
      </c>
      <c r="C14874" s="9"/>
      <c r="D14874" t="str">
        <f>"sre-22"</f>
        <v>sre-22</v>
      </c>
      <c r="E14874" t="s">
        <v>2638</v>
      </c>
      <c r="F14874" t="s">
        <v>11</v>
      </c>
      <c r="G14874" t="s">
        <v>2639</v>
      </c>
      <c r="H14874" s="12">
        <v>1.3004136572098901</v>
      </c>
      <c r="I14874" s="20">
        <v>0.35654518160287302</v>
      </c>
      <c r="J14874" s="28">
        <v>0.72143232221062703</v>
      </c>
      <c r="K14874" s="29">
        <v>0.98289565623980701</v>
      </c>
    </row>
    <row r="14875" spans="1:11" x14ac:dyDescent="0.35">
      <c r="A14875" s="9" t="str">
        <f>HYPERLINK("http://www.ensembl.org/id/WBGene00013283", "WBGene00013283")</f>
        <v>WBGene00013283</v>
      </c>
      <c r="B14875" s="9"/>
      <c r="C14875" s="9"/>
      <c r="D14875" t="str">
        <f>"sre-25"</f>
        <v>sre-25</v>
      </c>
      <c r="F14875" t="s">
        <v>80</v>
      </c>
      <c r="H14875" s="12">
        <v>5.2322000618327396</v>
      </c>
      <c r="I14875" s="20">
        <v>0.486112489888328</v>
      </c>
      <c r="J14875" s="28">
        <v>0.62688741196182496</v>
      </c>
      <c r="K14875" s="29">
        <v>0.98289565623980701</v>
      </c>
    </row>
    <row r="14876" spans="1:11" x14ac:dyDescent="0.35">
      <c r="A14876" s="9" t="str">
        <f>HYPERLINK("http://www.ensembl.org/id/WBGene00013281", "WBGene00013281")</f>
        <v>WBGene00013281</v>
      </c>
      <c r="B14876" s="9" t="str">
        <f>HYPERLINK("http://www.ncbi.nlm.nih.gov/gene/190348", "190348")</f>
        <v>190348</v>
      </c>
      <c r="C14876" s="9"/>
      <c r="D14876" t="str">
        <f>"sre-27"</f>
        <v>sre-27</v>
      </c>
      <c r="E14876" t="s">
        <v>4639</v>
      </c>
      <c r="F14876" t="s">
        <v>11</v>
      </c>
      <c r="G14876" t="s">
        <v>2639</v>
      </c>
      <c r="H14876" s="12">
        <v>1.5495985870154301</v>
      </c>
      <c r="I14876" s="20">
        <v>0.34499436305740599</v>
      </c>
      <c r="J14876" s="28">
        <v>0.73009860850905095</v>
      </c>
      <c r="K14876" s="29">
        <v>0.98289565623980701</v>
      </c>
    </row>
    <row r="14877" spans="1:11" x14ac:dyDescent="0.35">
      <c r="A14877" s="9" t="str">
        <f>HYPERLINK("http://www.ensembl.org/id/WBGene00010220", "WBGene00010220")</f>
        <v>WBGene00010220</v>
      </c>
      <c r="B14877" s="9" t="str">
        <f>HYPERLINK("http://www.ncbi.nlm.nih.gov/gene/186477", "186477")</f>
        <v>186477</v>
      </c>
      <c r="C14877" s="9"/>
      <c r="D14877" t="str">
        <f>"sre-29"</f>
        <v>sre-29</v>
      </c>
      <c r="E14877" t="s">
        <v>4353</v>
      </c>
      <c r="F14877" t="s">
        <v>11</v>
      </c>
      <c r="G14877" t="s">
        <v>2639</v>
      </c>
      <c r="H14877" s="12">
        <v>2.7807236810766698</v>
      </c>
      <c r="I14877" s="20">
        <v>0.53327000627807997</v>
      </c>
      <c r="J14877" s="28">
        <v>0.59384668709586097</v>
      </c>
      <c r="K14877" s="29">
        <v>0.98289565623980701</v>
      </c>
    </row>
    <row r="14878" spans="1:11" x14ac:dyDescent="0.35">
      <c r="A14878" s="9" t="str">
        <f>HYPERLINK("http://www.ensembl.org/id/WBGene00010218", "WBGene00010218")</f>
        <v>WBGene00010218</v>
      </c>
      <c r="B14878" s="9" t="str">
        <f>HYPERLINK("http://www.ncbi.nlm.nih.gov/gene/186476", "186476")</f>
        <v>186476</v>
      </c>
      <c r="C14878" s="9"/>
      <c r="D14878" t="str">
        <f>"sre-30"</f>
        <v>sre-30</v>
      </c>
      <c r="E14878" t="s">
        <v>4213</v>
      </c>
      <c r="F14878" t="s">
        <v>11</v>
      </c>
      <c r="G14878" t="s">
        <v>2639</v>
      </c>
      <c r="H14878" s="12">
        <v>10.8131830636529</v>
      </c>
      <c r="I14878" s="20">
        <v>0.70982715185838596</v>
      </c>
      <c r="J14878" s="28">
        <v>0.477811329444844</v>
      </c>
      <c r="K14878" s="29">
        <v>0.98289565623980701</v>
      </c>
    </row>
    <row r="14879" spans="1:11" x14ac:dyDescent="0.35">
      <c r="A14879" s="9" t="str">
        <f>HYPERLINK("http://www.ensembl.org/id/WBGene00008839", "WBGene00008839")</f>
        <v>WBGene00008839</v>
      </c>
      <c r="B14879" s="9" t="str">
        <f>HYPERLINK("http://www.ncbi.nlm.nih.gov/gene/184512", "184512")</f>
        <v>184512</v>
      </c>
      <c r="C14879" s="9"/>
      <c r="D14879" t="str">
        <f>"sre-37"</f>
        <v>sre-37</v>
      </c>
      <c r="E14879" t="s">
        <v>4202</v>
      </c>
      <c r="F14879" t="s">
        <v>11</v>
      </c>
      <c r="G14879" t="s">
        <v>2639</v>
      </c>
      <c r="H14879" s="12">
        <v>15.4310788203624</v>
      </c>
      <c r="I14879" s="20">
        <v>0.98793301332604</v>
      </c>
      <c r="J14879" s="28">
        <v>0.32318545590394598</v>
      </c>
      <c r="K14879" s="29">
        <v>0.98289565623980701</v>
      </c>
    </row>
    <row r="14880" spans="1:11" x14ac:dyDescent="0.35">
      <c r="A14880" s="9" t="str">
        <f>HYPERLINK("http://www.ensembl.org/id/WBGene00008837", "WBGene00008837")</f>
        <v>WBGene00008837</v>
      </c>
      <c r="B14880" s="9" t="str">
        <f>HYPERLINK("http://www.ncbi.nlm.nih.gov/gene/184510", "184510")</f>
        <v>184510</v>
      </c>
      <c r="C14880" s="9"/>
      <c r="D14880" t="str">
        <f>"sre-38"</f>
        <v>sre-38</v>
      </c>
      <c r="E14880" t="s">
        <v>4232</v>
      </c>
      <c r="F14880" t="s">
        <v>11</v>
      </c>
      <c r="G14880" t="s">
        <v>2639</v>
      </c>
      <c r="H14880" s="12">
        <v>7.6616465944663696</v>
      </c>
      <c r="I14880" s="20">
        <v>0.60406875593600395</v>
      </c>
      <c r="J14880" s="28">
        <v>0.54579793098927099</v>
      </c>
      <c r="K14880" s="29">
        <v>0.98289565623980701</v>
      </c>
    </row>
    <row r="14881" spans="1:11" x14ac:dyDescent="0.35">
      <c r="A14881" s="9" t="str">
        <f>HYPERLINK("http://www.ensembl.org/id/WBGene00011745", "WBGene00011745")</f>
        <v>WBGene00011745</v>
      </c>
      <c r="B14881" s="9" t="str">
        <f>HYPERLINK("http://www.ncbi.nlm.nih.gov/gene/188477", "188477")</f>
        <v>188477</v>
      </c>
      <c r="C14881" s="9"/>
      <c r="D14881" t="str">
        <f>"sre-4"</f>
        <v>sre-4</v>
      </c>
      <c r="E14881" t="s">
        <v>2638</v>
      </c>
      <c r="F14881" t="s">
        <v>11</v>
      </c>
      <c r="G14881" t="s">
        <v>2639</v>
      </c>
      <c r="H14881" s="12">
        <v>1.6193593682399501</v>
      </c>
      <c r="I14881" s="20">
        <v>0.95604551392764803</v>
      </c>
      <c r="J14881" s="28">
        <v>0.33904924039687301</v>
      </c>
      <c r="K14881" s="29">
        <v>0.98289565623980701</v>
      </c>
    </row>
    <row r="14882" spans="1:11" x14ac:dyDescent="0.35">
      <c r="A14882" s="9" t="str">
        <f>HYPERLINK("http://www.ensembl.org/id/WBGene00020225", "WBGene00020225")</f>
        <v>WBGene00020225</v>
      </c>
      <c r="B14882" s="9" t="str">
        <f>HYPERLINK("http://www.ncbi.nlm.nih.gov/gene/188086", "188086")</f>
        <v>188086</v>
      </c>
      <c r="C14882" s="9"/>
      <c r="D14882" t="str">
        <f>"sre-40"</f>
        <v>sre-40</v>
      </c>
      <c r="E14882" t="s">
        <v>2638</v>
      </c>
      <c r="F14882" t="s">
        <v>11</v>
      </c>
      <c r="G14882" t="s">
        <v>2639</v>
      </c>
      <c r="H14882" s="12">
        <v>7.8747101654443803</v>
      </c>
      <c r="I14882" s="20">
        <v>0.87339611340161305</v>
      </c>
      <c r="J14882" s="28">
        <v>0.382447208716306</v>
      </c>
      <c r="K14882" s="29">
        <v>0.98289565623980701</v>
      </c>
    </row>
    <row r="14883" spans="1:11" x14ac:dyDescent="0.35">
      <c r="A14883" s="9" t="str">
        <f>HYPERLINK("http://www.ensembl.org/id/WBGene00013277", "WBGene00013277")</f>
        <v>WBGene00013277</v>
      </c>
      <c r="B14883" s="9" t="str">
        <f>HYPERLINK("http://www.ncbi.nlm.nih.gov/gene/190345", "190345")</f>
        <v>190345</v>
      </c>
      <c r="C14883" s="9"/>
      <c r="D14883" t="str">
        <f>"sre-41"</f>
        <v>sre-41</v>
      </c>
      <c r="E14883" t="s">
        <v>2638</v>
      </c>
      <c r="F14883" t="s">
        <v>11</v>
      </c>
      <c r="G14883" t="s">
        <v>2639</v>
      </c>
      <c r="H14883" s="12">
        <v>-2.1284192580330199</v>
      </c>
      <c r="I14883" s="20">
        <v>-0.36369296990972</v>
      </c>
      <c r="J14883" s="28">
        <v>0.71608729357767897</v>
      </c>
      <c r="K14883" s="29">
        <v>0.98289565623980701</v>
      </c>
    </row>
    <row r="14884" spans="1:11" x14ac:dyDescent="0.35">
      <c r="A14884" s="9" t="str">
        <f>HYPERLINK("http://www.ensembl.org/id/WBGene00012333", "WBGene00012333")</f>
        <v>WBGene00012333</v>
      </c>
      <c r="B14884" s="9" t="str">
        <f>HYPERLINK("http://www.ncbi.nlm.nih.gov/gene/189282", "189282")</f>
        <v>189282</v>
      </c>
      <c r="C14884" s="9"/>
      <c r="D14884" t="str">
        <f>"sre-43"</f>
        <v>sre-43</v>
      </c>
      <c r="E14884" t="s">
        <v>2638</v>
      </c>
      <c r="F14884" t="s">
        <v>11</v>
      </c>
      <c r="G14884" t="s">
        <v>2639</v>
      </c>
      <c r="H14884" s="12">
        <v>2.0663073627136002</v>
      </c>
      <c r="I14884" s="20">
        <v>0.69828857875843298</v>
      </c>
      <c r="J14884" s="28">
        <v>0.484996740414397</v>
      </c>
      <c r="K14884" s="29">
        <v>0.98289565623980701</v>
      </c>
    </row>
    <row r="14885" spans="1:11" x14ac:dyDescent="0.35">
      <c r="A14885" s="9" t="str">
        <f>HYPERLINK("http://www.ensembl.org/id/WBGene00010071", "WBGene00010071")</f>
        <v>WBGene00010071</v>
      </c>
      <c r="B14885" s="9" t="str">
        <f>HYPERLINK("http://www.ncbi.nlm.nih.gov/gene/186258", "186258")</f>
        <v>186258</v>
      </c>
      <c r="C14885" s="9"/>
      <c r="D14885" t="str">
        <f>"sre-45"</f>
        <v>sre-45</v>
      </c>
      <c r="E14885" t="s">
        <v>4246</v>
      </c>
      <c r="F14885" t="s">
        <v>11</v>
      </c>
      <c r="G14885" t="s">
        <v>2639</v>
      </c>
      <c r="H14885" s="12">
        <v>6.4017502572409999</v>
      </c>
      <c r="I14885" s="20">
        <v>1.1027448077775099</v>
      </c>
      <c r="J14885" s="28">
        <v>0.27013800229653201</v>
      </c>
      <c r="K14885" s="29">
        <v>0.98289565623980701</v>
      </c>
    </row>
    <row r="14886" spans="1:11" x14ac:dyDescent="0.35">
      <c r="A14886" s="9" t="str">
        <f>HYPERLINK("http://www.ensembl.org/id/WBGene00044084", "WBGene00044084")</f>
        <v>WBGene00044084</v>
      </c>
      <c r="B14886" s="9" t="str">
        <f>HYPERLINK("http://www.ncbi.nlm.nih.gov/gene/3565496", "3565496")</f>
        <v>3565496</v>
      </c>
      <c r="C14886" s="9"/>
      <c r="D14886" t="str">
        <f>"sre-46"</f>
        <v>sre-46</v>
      </c>
      <c r="E14886" t="s">
        <v>2638</v>
      </c>
      <c r="F14886" t="s">
        <v>11</v>
      </c>
      <c r="G14886" t="s">
        <v>2639</v>
      </c>
      <c r="H14886" s="12">
        <v>6.61045742799383</v>
      </c>
      <c r="I14886" s="20">
        <v>0.55558174612790701</v>
      </c>
      <c r="J14886" s="28">
        <v>0.57849681292850097</v>
      </c>
      <c r="K14886" s="29">
        <v>0.98289565623980701</v>
      </c>
    </row>
    <row r="14887" spans="1:11" x14ac:dyDescent="0.35">
      <c r="A14887" s="9" t="str">
        <f>HYPERLINK("http://www.ensembl.org/id/WBGene00012725", "WBGene00012725")</f>
        <v>WBGene00012725</v>
      </c>
      <c r="B14887" s="9" t="str">
        <f>HYPERLINK("http://www.ncbi.nlm.nih.gov/gene/189763", "189763")</f>
        <v>189763</v>
      </c>
      <c r="C14887" s="9"/>
      <c r="D14887" t="str">
        <f>"sre-47"</f>
        <v>sre-47</v>
      </c>
      <c r="E14887" t="s">
        <v>2638</v>
      </c>
      <c r="F14887" t="s">
        <v>11</v>
      </c>
      <c r="G14887" t="s">
        <v>2639</v>
      </c>
      <c r="H14887" s="12">
        <v>-2.4991590031922399</v>
      </c>
      <c r="I14887" s="20">
        <v>-0.26577412737581302</v>
      </c>
      <c r="J14887" s="28">
        <v>0.79041317015736101</v>
      </c>
      <c r="K14887" s="29">
        <v>0.98289565623980701</v>
      </c>
    </row>
    <row r="14888" spans="1:11" x14ac:dyDescent="0.35">
      <c r="A14888" s="9" t="str">
        <f>HYPERLINK("http://www.ensembl.org/id/WBGene00016832", "WBGene00016832")</f>
        <v>WBGene00016832</v>
      </c>
      <c r="B14888" s="9" t="str">
        <f>HYPERLINK("http://www.ncbi.nlm.nih.gov/gene/183670", "183670")</f>
        <v>183670</v>
      </c>
      <c r="C14888" s="9"/>
      <c r="D14888" t="str">
        <f>"sre-49"</f>
        <v>sre-49</v>
      </c>
      <c r="E14888" t="s">
        <v>2638</v>
      </c>
      <c r="F14888" t="s">
        <v>11</v>
      </c>
      <c r="G14888" t="s">
        <v>2639</v>
      </c>
      <c r="H14888" s="12">
        <v>-5.4967879193631202</v>
      </c>
      <c r="I14888" s="20">
        <v>-0.50254160819837501</v>
      </c>
      <c r="J14888" s="28">
        <v>0.61528659178453604</v>
      </c>
      <c r="K14888" s="29">
        <v>0.98289565623980701</v>
      </c>
    </row>
    <row r="14889" spans="1:11" x14ac:dyDescent="0.35">
      <c r="A14889" s="9" t="str">
        <f>HYPERLINK("http://www.ensembl.org/id/WBGene00015036", "WBGene00015036")</f>
        <v>WBGene00015036</v>
      </c>
      <c r="B14889" s="9" t="str">
        <f>HYPERLINK("http://www.ncbi.nlm.nih.gov/gene/181842", "181842")</f>
        <v>181842</v>
      </c>
      <c r="C14889" s="9"/>
      <c r="D14889" t="str">
        <f>"sre-5"</f>
        <v>sre-5</v>
      </c>
      <c r="E14889" t="s">
        <v>2638</v>
      </c>
      <c r="F14889" t="s">
        <v>11</v>
      </c>
      <c r="G14889" t="s">
        <v>2639</v>
      </c>
      <c r="H14889" s="12">
        <v>3.1211468793162198</v>
      </c>
      <c r="I14889" s="20">
        <v>0.82207702173086195</v>
      </c>
      <c r="J14889" s="28">
        <v>0.41103306234326797</v>
      </c>
      <c r="K14889" s="29">
        <v>0.98289565623980701</v>
      </c>
    </row>
    <row r="14890" spans="1:11" x14ac:dyDescent="0.35">
      <c r="A14890" s="9" t="str">
        <f>HYPERLINK("http://www.ensembl.org/id/WBGene00016834", "WBGene00016834")</f>
        <v>WBGene00016834</v>
      </c>
      <c r="B14890" s="9" t="str">
        <f>HYPERLINK("http://www.ncbi.nlm.nih.gov/gene/183672", "183672")</f>
        <v>183672</v>
      </c>
      <c r="C14890" s="9"/>
      <c r="D14890" t="str">
        <f>"sre-50"</f>
        <v>sre-50</v>
      </c>
      <c r="E14890" t="s">
        <v>2638</v>
      </c>
      <c r="F14890" t="s">
        <v>11</v>
      </c>
      <c r="G14890" t="s">
        <v>2639</v>
      </c>
      <c r="H14890" s="12">
        <v>4.4688460213603003</v>
      </c>
      <c r="I14890" s="20">
        <v>0.69333989203114799</v>
      </c>
      <c r="J14890" s="28">
        <v>0.48809627395583</v>
      </c>
      <c r="K14890" s="29">
        <v>0.98289565623980701</v>
      </c>
    </row>
    <row r="14891" spans="1:11" x14ac:dyDescent="0.35">
      <c r="A14891" s="9" t="str">
        <f>HYPERLINK("http://www.ensembl.org/id/WBGene00016828", "WBGene00016828")</f>
        <v>WBGene00016828</v>
      </c>
      <c r="B14891" s="9" t="str">
        <f>HYPERLINK("http://www.ncbi.nlm.nih.gov/gene/183666", "183666")</f>
        <v>183666</v>
      </c>
      <c r="C14891" s="9"/>
      <c r="D14891" t="str">
        <f>"sre-52"</f>
        <v>sre-52</v>
      </c>
      <c r="E14891" t="s">
        <v>2638</v>
      </c>
      <c r="F14891" t="s">
        <v>11</v>
      </c>
      <c r="G14891" t="s">
        <v>2639</v>
      </c>
      <c r="H14891" s="12">
        <v>1.98352070799126</v>
      </c>
      <c r="I14891" s="20">
        <v>0.27728010385534702</v>
      </c>
      <c r="J14891" s="28">
        <v>0.78156503566568503</v>
      </c>
      <c r="K14891" s="29">
        <v>0.98289565623980701</v>
      </c>
    </row>
    <row r="14892" spans="1:11" x14ac:dyDescent="0.35">
      <c r="A14892" s="9" t="str">
        <f>HYPERLINK("http://www.ensembl.org/id/WBGene00016827", "WBGene00016827")</f>
        <v>WBGene00016827</v>
      </c>
      <c r="B14892" s="9" t="str">
        <f>HYPERLINK("http://www.ncbi.nlm.nih.gov/gene/183665", "183665")</f>
        <v>183665</v>
      </c>
      <c r="C14892" s="9"/>
      <c r="D14892" t="str">
        <f>"sre-53"</f>
        <v>sre-53</v>
      </c>
      <c r="E14892" t="s">
        <v>2638</v>
      </c>
      <c r="F14892" t="s">
        <v>11</v>
      </c>
      <c r="G14892" t="s">
        <v>2639</v>
      </c>
      <c r="H14892" s="12">
        <v>7.8691597089380902</v>
      </c>
      <c r="I14892" s="20">
        <v>0.61251365190975104</v>
      </c>
      <c r="J14892" s="28">
        <v>0.54019796842331003</v>
      </c>
      <c r="K14892" s="29">
        <v>0.98289565623980701</v>
      </c>
    </row>
    <row r="14893" spans="1:11" x14ac:dyDescent="0.35">
      <c r="A14893" s="9" t="str">
        <f>HYPERLINK("http://www.ensembl.org/id/WBGene00016829", "WBGene00016829")</f>
        <v>WBGene00016829</v>
      </c>
      <c r="B14893" s="9" t="str">
        <f>HYPERLINK("http://www.ncbi.nlm.nih.gov/gene/183667", "183667")</f>
        <v>183667</v>
      </c>
      <c r="C14893" s="9"/>
      <c r="D14893" t="str">
        <f>"sre-54"</f>
        <v>sre-54</v>
      </c>
      <c r="E14893" t="s">
        <v>2638</v>
      </c>
      <c r="F14893" t="s">
        <v>11</v>
      </c>
      <c r="G14893" t="s">
        <v>2639</v>
      </c>
      <c r="H14893" s="12">
        <v>3.01798431907917</v>
      </c>
      <c r="I14893" s="20">
        <v>0.71272826336519501</v>
      </c>
      <c r="J14893" s="28">
        <v>0.476013923601591</v>
      </c>
      <c r="K14893" s="29">
        <v>0.98289565623980701</v>
      </c>
    </row>
    <row r="14894" spans="1:11" x14ac:dyDescent="0.35">
      <c r="A14894" s="9" t="str">
        <f>HYPERLINK("http://www.ensembl.org/id/WBGene00016830", "WBGene00016830")</f>
        <v>WBGene00016830</v>
      </c>
      <c r="B14894" s="9" t="str">
        <f>HYPERLINK("http://www.ncbi.nlm.nih.gov/gene/183668", "183668")</f>
        <v>183668</v>
      </c>
      <c r="C14894" s="9"/>
      <c r="D14894" t="str">
        <f>"sre-55"</f>
        <v>sre-55</v>
      </c>
      <c r="E14894" t="s">
        <v>2638</v>
      </c>
      <c r="F14894" t="s">
        <v>11</v>
      </c>
      <c r="G14894" t="s">
        <v>2639</v>
      </c>
      <c r="H14894" s="12">
        <v>-2.4991590031922399</v>
      </c>
      <c r="I14894" s="20">
        <v>-0.26577412737581302</v>
      </c>
      <c r="J14894" s="28">
        <v>0.79041317015736101</v>
      </c>
      <c r="K14894" s="29">
        <v>0.98289565623980701</v>
      </c>
    </row>
    <row r="14895" spans="1:11" x14ac:dyDescent="0.35">
      <c r="A14895" s="9" t="str">
        <f>HYPERLINK("http://www.ensembl.org/id/WBGene00009242", "WBGene00009242")</f>
        <v>WBGene00009242</v>
      </c>
      <c r="B14895" s="9" t="str">
        <f>HYPERLINK("http://www.ncbi.nlm.nih.gov/gene/185100", "185100")</f>
        <v>185100</v>
      </c>
      <c r="C14895" s="9"/>
      <c r="D14895" t="str">
        <f>"sre-6"</f>
        <v>sre-6</v>
      </c>
      <c r="E14895" t="s">
        <v>4466</v>
      </c>
      <c r="F14895" t="s">
        <v>11</v>
      </c>
      <c r="G14895" t="s">
        <v>2639</v>
      </c>
      <c r="H14895" s="12">
        <v>1.9441639221223601</v>
      </c>
      <c r="I14895" s="20">
        <v>0.772713422092973</v>
      </c>
      <c r="J14895" s="28">
        <v>0.43969200143432502</v>
      </c>
      <c r="K14895" s="29">
        <v>0.98289565623980701</v>
      </c>
    </row>
    <row r="14896" spans="1:11" x14ac:dyDescent="0.35">
      <c r="A14896" s="9" t="str">
        <f>HYPERLINK("http://www.ensembl.org/id/WBGene00010511", "WBGene00010511")</f>
        <v>WBGene00010511</v>
      </c>
      <c r="B14896" s="9" t="str">
        <f>HYPERLINK("http://www.ncbi.nlm.nih.gov/gene/186893", "186893")</f>
        <v>186893</v>
      </c>
      <c r="C14896" s="9"/>
      <c r="D14896" t="str">
        <f>"sre-7"</f>
        <v>sre-7</v>
      </c>
      <c r="E14896" t="s">
        <v>2638</v>
      </c>
      <c r="F14896" t="s">
        <v>11</v>
      </c>
      <c r="G14896" t="s">
        <v>2639</v>
      </c>
      <c r="H14896" s="12">
        <v>1.75611435551454</v>
      </c>
      <c r="I14896" s="20">
        <v>0.65824455584489505</v>
      </c>
      <c r="J14896" s="28">
        <v>0.51038099858094699</v>
      </c>
      <c r="K14896" s="29">
        <v>0.98289565623980701</v>
      </c>
    </row>
    <row r="14897" spans="1:11" x14ac:dyDescent="0.35">
      <c r="A14897" s="9" t="str">
        <f>HYPERLINK("http://www.ensembl.org/id/WBGene00009596", "WBGene00009596")</f>
        <v>WBGene00009596</v>
      </c>
      <c r="B14897" s="9" t="str">
        <f>HYPERLINK("http://www.ncbi.nlm.nih.gov/gene/185561", "185561")</f>
        <v>185561</v>
      </c>
      <c r="C14897" s="9"/>
      <c r="D14897" t="str">
        <f>"sre-8"</f>
        <v>sre-8</v>
      </c>
      <c r="E14897" t="s">
        <v>4417</v>
      </c>
      <c r="F14897" t="s">
        <v>11</v>
      </c>
      <c r="G14897" t="s">
        <v>2639</v>
      </c>
      <c r="H14897" s="12">
        <v>2.2818582137002901</v>
      </c>
      <c r="I14897" s="20">
        <v>0.478531221354834</v>
      </c>
      <c r="J14897" s="28">
        <v>0.63227215807151205</v>
      </c>
      <c r="K14897" s="29">
        <v>0.98289565623980701</v>
      </c>
    </row>
    <row r="14898" spans="1:11" x14ac:dyDescent="0.35">
      <c r="A14898" s="9" t="str">
        <f>HYPERLINK("http://www.ensembl.org/id/WBGene00005153", "WBGene00005153")</f>
        <v>WBGene00005153</v>
      </c>
      <c r="B14898" s="9" t="str">
        <f>HYPERLINK("http://www.ncbi.nlm.nih.gov/gene/187393", "187393")</f>
        <v>187393</v>
      </c>
      <c r="C14898" s="9"/>
      <c r="D14898" t="str">
        <f>"srf-3"</f>
        <v>srf-3</v>
      </c>
      <c r="E14898" t="s">
        <v>6631</v>
      </c>
      <c r="F14898" t="s">
        <v>11</v>
      </c>
      <c r="G14898" t="s">
        <v>6632</v>
      </c>
      <c r="H14898" s="12">
        <v>-1.08177555252788</v>
      </c>
      <c r="I14898" s="20">
        <v>-0.36034729021113598</v>
      </c>
      <c r="J14898" s="28">
        <v>0.71858743881750398</v>
      </c>
      <c r="K14898" s="29">
        <v>0.98289565623980701</v>
      </c>
    </row>
    <row r="14899" spans="1:11" x14ac:dyDescent="0.35">
      <c r="A14899" s="9" t="str">
        <f>HYPERLINK("http://www.ensembl.org/id/WBGene00005168", "WBGene00005168")</f>
        <v>WBGene00005168</v>
      </c>
      <c r="B14899" s="9" t="str">
        <f>HYPERLINK("http://www.ncbi.nlm.nih.gov/gene/191836", "191836")</f>
        <v>191836</v>
      </c>
      <c r="C14899" s="9"/>
      <c r="D14899" t="str">
        <f>"srg-10"</f>
        <v>srg-10</v>
      </c>
      <c r="E14899" t="s">
        <v>4433</v>
      </c>
      <c r="F14899" t="s">
        <v>11</v>
      </c>
      <c r="G14899" t="s">
        <v>1829</v>
      </c>
      <c r="H14899" s="12">
        <v>2.1731156444066499</v>
      </c>
      <c r="I14899" s="20">
        <v>0.41087433510369797</v>
      </c>
      <c r="J14899" s="28">
        <v>0.68116468240702699</v>
      </c>
      <c r="K14899" s="29">
        <v>0.98289565623980701</v>
      </c>
    </row>
    <row r="14900" spans="1:11" x14ac:dyDescent="0.35">
      <c r="A14900" s="9" t="str">
        <f>HYPERLINK("http://www.ensembl.org/id/WBGene00005169", "WBGene00005169")</f>
        <v>WBGene00005169</v>
      </c>
      <c r="B14900" s="9" t="str">
        <f>HYPERLINK("http://www.ncbi.nlm.nih.gov/gene/191837", "191837")</f>
        <v>191837</v>
      </c>
      <c r="C14900" s="9"/>
      <c r="D14900" t="str">
        <f>"srg-11"</f>
        <v>srg-11</v>
      </c>
      <c r="E14900" t="s">
        <v>4241</v>
      </c>
      <c r="F14900" t="s">
        <v>11</v>
      </c>
      <c r="G14900" t="s">
        <v>1829</v>
      </c>
      <c r="H14900" s="12">
        <v>6.61045742799383</v>
      </c>
      <c r="I14900" s="20">
        <v>0.55558174612790701</v>
      </c>
      <c r="J14900" s="28">
        <v>0.57849681292850097</v>
      </c>
      <c r="K14900" s="29">
        <v>0.98289565623980701</v>
      </c>
    </row>
    <row r="14901" spans="1:11" x14ac:dyDescent="0.35">
      <c r="A14901" s="9" t="str">
        <f>HYPERLINK("http://www.ensembl.org/id/WBGene00005172", "WBGene00005172")</f>
        <v>WBGene00005172</v>
      </c>
      <c r="B14901" s="9" t="str">
        <f>HYPERLINK("http://www.ncbi.nlm.nih.gov/gene/183195", "183195")</f>
        <v>183195</v>
      </c>
      <c r="C14901" s="9"/>
      <c r="D14901" t="str">
        <f>"srg-15"</f>
        <v>srg-15</v>
      </c>
      <c r="E14901" t="s">
        <v>4600</v>
      </c>
      <c r="F14901" t="s">
        <v>11</v>
      </c>
      <c r="G14901" t="s">
        <v>1829</v>
      </c>
      <c r="H14901" s="12">
        <v>1.6296431075761999</v>
      </c>
      <c r="I14901" s="20">
        <v>0.36422954225729798</v>
      </c>
      <c r="J14901" s="28">
        <v>0.71568660835307796</v>
      </c>
      <c r="K14901" s="29">
        <v>0.98289565623980701</v>
      </c>
    </row>
    <row r="14902" spans="1:11" x14ac:dyDescent="0.35">
      <c r="A14902" s="9" t="str">
        <f>HYPERLINK("http://www.ensembl.org/id/WBGene00005173", "WBGene00005173")</f>
        <v>WBGene00005173</v>
      </c>
      <c r="B14902" s="9" t="str">
        <f>HYPERLINK("http://www.ncbi.nlm.nih.gov/gene/184513", "184513")</f>
        <v>184513</v>
      </c>
      <c r="C14902" s="9"/>
      <c r="D14902" t="str">
        <f>"srg-16"</f>
        <v>srg-16</v>
      </c>
      <c r="E14902" t="s">
        <v>4219</v>
      </c>
      <c r="F14902" t="s">
        <v>11</v>
      </c>
      <c r="G14902" t="s">
        <v>1829</v>
      </c>
      <c r="H14902" s="12">
        <v>9.5215001458148301</v>
      </c>
      <c r="I14902" s="20">
        <v>0.67036031720767997</v>
      </c>
      <c r="J14902" s="28">
        <v>0.50262812496729803</v>
      </c>
      <c r="K14902" s="29">
        <v>0.98289565623980701</v>
      </c>
    </row>
    <row r="14903" spans="1:11" x14ac:dyDescent="0.35">
      <c r="A14903" s="9" t="str">
        <f>HYPERLINK("http://www.ensembl.org/id/WBGene00005174", "WBGene00005174")</f>
        <v>WBGene00005174</v>
      </c>
      <c r="B14903" s="9" t="str">
        <f>HYPERLINK("http://www.ncbi.nlm.nih.gov/gene/184514", "184514")</f>
        <v>184514</v>
      </c>
      <c r="C14903" s="9"/>
      <c r="D14903" t="str">
        <f>"srg-17"</f>
        <v>srg-17</v>
      </c>
      <c r="E14903" t="s">
        <v>10113</v>
      </c>
      <c r="F14903" t="s">
        <v>11</v>
      </c>
      <c r="G14903" t="s">
        <v>1829</v>
      </c>
      <c r="H14903" s="12">
        <v>-4.7167679298615104</v>
      </c>
      <c r="I14903" s="20">
        <v>-0.454742638005115</v>
      </c>
      <c r="J14903" s="28">
        <v>0.64929440216969203</v>
      </c>
      <c r="K14903" s="29">
        <v>0.98289565623980701</v>
      </c>
    </row>
    <row r="14904" spans="1:11" x14ac:dyDescent="0.35">
      <c r="A14904" s="9" t="str">
        <f>HYPERLINK("http://www.ensembl.org/id/WBGene00005175", "WBGene00005175")</f>
        <v>WBGene00005175</v>
      </c>
      <c r="B14904" s="9"/>
      <c r="C14904" s="9"/>
      <c r="D14904" t="str">
        <f>"srg-18"</f>
        <v>srg-18</v>
      </c>
      <c r="F14904" t="s">
        <v>80</v>
      </c>
      <c r="H14904" s="12">
        <v>2.3625248369496998</v>
      </c>
      <c r="I14904" s="20">
        <v>0.27133230146732801</v>
      </c>
      <c r="J14904" s="28">
        <v>0.786135464981218</v>
      </c>
      <c r="K14904" s="29">
        <v>0.98289565623980701</v>
      </c>
    </row>
    <row r="14905" spans="1:11" x14ac:dyDescent="0.35">
      <c r="A14905" s="9" t="str">
        <f>HYPERLINK("http://www.ensembl.org/id/WBGene00005160", "WBGene00005160")</f>
        <v>WBGene00005160</v>
      </c>
      <c r="B14905" s="9" t="str">
        <f>HYPERLINK("http://www.ncbi.nlm.nih.gov/gene/182793", "182793")</f>
        <v>182793</v>
      </c>
      <c r="C14905" s="9"/>
      <c r="D14905" t="str">
        <f>"srg-2"</f>
        <v>srg-2</v>
      </c>
      <c r="E14905" t="s">
        <v>4365</v>
      </c>
      <c r="F14905" t="s">
        <v>11</v>
      </c>
      <c r="G14905" t="s">
        <v>1829</v>
      </c>
      <c r="H14905" s="12">
        <v>2.6157989769322398</v>
      </c>
      <c r="I14905" s="20">
        <v>0.83022168052575096</v>
      </c>
      <c r="J14905" s="28">
        <v>0.40641345946420099</v>
      </c>
      <c r="K14905" s="29">
        <v>0.98289565623980701</v>
      </c>
    </row>
    <row r="14906" spans="1:11" x14ac:dyDescent="0.35">
      <c r="A14906" s="9" t="str">
        <f>HYPERLINK("http://www.ensembl.org/id/WBGene00005178", "WBGene00005178")</f>
        <v>WBGene00005178</v>
      </c>
      <c r="B14906" s="9" t="str">
        <f>HYPERLINK("http://www.ncbi.nlm.nih.gov/gene/189538", "189538")</f>
        <v>189538</v>
      </c>
      <c r="C14906" s="9"/>
      <c r="D14906" t="str">
        <f>"srg-21"</f>
        <v>srg-21</v>
      </c>
      <c r="E14906" t="s">
        <v>1828</v>
      </c>
      <c r="F14906" t="s">
        <v>11</v>
      </c>
      <c r="G14906" t="s">
        <v>1829</v>
      </c>
      <c r="H14906" s="12">
        <v>-1.4365039749081201</v>
      </c>
      <c r="I14906" s="20">
        <v>-0.514077119110526</v>
      </c>
      <c r="J14906" s="28">
        <v>0.60719807387618796</v>
      </c>
      <c r="K14906" s="29">
        <v>0.98289565623980701</v>
      </c>
    </row>
    <row r="14907" spans="1:11" x14ac:dyDescent="0.35">
      <c r="A14907" s="9" t="str">
        <f>HYPERLINK("http://www.ensembl.org/id/WBGene00005179", "WBGene00005179")</f>
        <v>WBGene00005179</v>
      </c>
      <c r="B14907" s="9" t="str">
        <f>HYPERLINK("http://www.ncbi.nlm.nih.gov/gene/189539", "189539")</f>
        <v>189539</v>
      </c>
      <c r="C14907" s="9"/>
      <c r="D14907" t="str">
        <f>"srg-22"</f>
        <v>srg-22</v>
      </c>
      <c r="E14907" t="s">
        <v>1828</v>
      </c>
      <c r="F14907" t="s">
        <v>11</v>
      </c>
      <c r="G14907" t="s">
        <v>1829</v>
      </c>
      <c r="H14907" s="12">
        <v>-1.7861630154472099</v>
      </c>
      <c r="I14907" s="20">
        <v>-1.11093688374386</v>
      </c>
      <c r="J14907" s="28">
        <v>0.26659551789496899</v>
      </c>
      <c r="K14907" s="29">
        <v>0.98289565623980701</v>
      </c>
    </row>
    <row r="14908" spans="1:11" x14ac:dyDescent="0.35">
      <c r="A14908" s="9" t="str">
        <f>HYPERLINK("http://www.ensembl.org/id/WBGene00005180", "WBGene00005180")</f>
        <v>WBGene00005180</v>
      </c>
      <c r="B14908" s="9" t="str">
        <f>HYPERLINK("http://www.ncbi.nlm.nih.gov/gene/189540", "189540")</f>
        <v>189540</v>
      </c>
      <c r="C14908" s="9"/>
      <c r="D14908" t="str">
        <f>"srg-23"</f>
        <v>srg-23</v>
      </c>
      <c r="E14908" t="s">
        <v>1828</v>
      </c>
      <c r="F14908" t="s">
        <v>11</v>
      </c>
      <c r="G14908" t="s">
        <v>1829</v>
      </c>
      <c r="H14908" s="12">
        <v>-1.1705247997224399</v>
      </c>
      <c r="I14908" s="20">
        <v>-0.45369463994168702</v>
      </c>
      <c r="J14908" s="28">
        <v>0.65004862536714303</v>
      </c>
      <c r="K14908" s="29">
        <v>0.98289565623980701</v>
      </c>
    </row>
    <row r="14909" spans="1:11" x14ac:dyDescent="0.35">
      <c r="A14909" s="9" t="str">
        <f>HYPERLINK("http://www.ensembl.org/id/WBGene00005182", "WBGene00005182")</f>
        <v>WBGene00005182</v>
      </c>
      <c r="B14909" s="9" t="str">
        <f>HYPERLINK("http://www.ncbi.nlm.nih.gov/gene/188326", "188326")</f>
        <v>188326</v>
      </c>
      <c r="C14909" s="9"/>
      <c r="D14909" t="str">
        <f>"srg-25"</f>
        <v>srg-25</v>
      </c>
      <c r="E14909" t="s">
        <v>1828</v>
      </c>
      <c r="F14909" t="s">
        <v>11</v>
      </c>
      <c r="G14909" t="s">
        <v>1829</v>
      </c>
      <c r="H14909" s="12">
        <v>1.9219225902861601</v>
      </c>
      <c r="I14909" s="20">
        <v>0.59233834901942495</v>
      </c>
      <c r="J14909" s="28">
        <v>0.55362404093783601</v>
      </c>
      <c r="K14909" s="29">
        <v>0.98289565623980701</v>
      </c>
    </row>
    <row r="14910" spans="1:11" x14ac:dyDescent="0.35">
      <c r="A14910" s="9" t="str">
        <f>HYPERLINK("http://www.ensembl.org/id/WBGene00005184", "WBGene00005184")</f>
        <v>WBGene00005184</v>
      </c>
      <c r="B14910" s="9" t="str">
        <f>HYPERLINK("http://www.ncbi.nlm.nih.gov/gene/188323", "188323")</f>
        <v>188323</v>
      </c>
      <c r="C14910" s="9"/>
      <c r="D14910" t="str">
        <f>"srg-27"</f>
        <v>srg-27</v>
      </c>
      <c r="E14910" t="s">
        <v>1828</v>
      </c>
      <c r="F14910" t="s">
        <v>11</v>
      </c>
      <c r="G14910" t="s">
        <v>1829</v>
      </c>
      <c r="H14910" s="12">
        <v>17.223130728813899</v>
      </c>
      <c r="I14910" s="20">
        <v>0.99938245926255598</v>
      </c>
      <c r="J14910" s="28">
        <v>0.31760945369935101</v>
      </c>
      <c r="K14910" s="29">
        <v>0.98289565623980701</v>
      </c>
    </row>
    <row r="14911" spans="1:11" x14ac:dyDescent="0.35">
      <c r="A14911" s="9" t="str">
        <f>HYPERLINK("http://www.ensembl.org/id/WBGene00005189", "WBGene00005189")</f>
        <v>WBGene00005189</v>
      </c>
      <c r="B14911" s="9" t="str">
        <f>HYPERLINK("http://www.ncbi.nlm.nih.gov/gene/188687", "188687")</f>
        <v>188687</v>
      </c>
      <c r="C14911" s="9"/>
      <c r="D14911" t="str">
        <f>"srg-32"</f>
        <v>srg-32</v>
      </c>
      <c r="E14911" t="s">
        <v>1828</v>
      </c>
      <c r="F14911" t="s">
        <v>11</v>
      </c>
      <c r="G14911" t="s">
        <v>1829</v>
      </c>
      <c r="H14911" s="12">
        <v>1.47828271675491</v>
      </c>
      <c r="I14911" s="20">
        <v>0.27067640699998502</v>
      </c>
      <c r="J14911" s="28">
        <v>0.78663992412543304</v>
      </c>
      <c r="K14911" s="29">
        <v>0.98289565623980701</v>
      </c>
    </row>
    <row r="14912" spans="1:11" x14ac:dyDescent="0.35">
      <c r="A14912" s="9" t="str">
        <f>HYPERLINK("http://www.ensembl.org/id/WBGene00005190", "WBGene00005190")</f>
        <v>WBGene00005190</v>
      </c>
      <c r="B14912" s="9" t="str">
        <f>HYPERLINK("http://www.ncbi.nlm.nih.gov/gene/184786", "184786")</f>
        <v>184786</v>
      </c>
      <c r="C14912" s="9"/>
      <c r="D14912" t="str">
        <f>"srg-33"</f>
        <v>srg-33</v>
      </c>
      <c r="E14912" t="s">
        <v>4262</v>
      </c>
      <c r="F14912" t="s">
        <v>11</v>
      </c>
      <c r="G14912" t="s">
        <v>1829</v>
      </c>
      <c r="H14912" s="12">
        <v>5.2322000618327396</v>
      </c>
      <c r="I14912" s="20">
        <v>0.486112489888328</v>
      </c>
      <c r="J14912" s="28">
        <v>0.62688741196182496</v>
      </c>
      <c r="K14912" s="29">
        <v>0.98289565623980701</v>
      </c>
    </row>
    <row r="14913" spans="1:11" x14ac:dyDescent="0.35">
      <c r="A14913" s="9" t="str">
        <f>HYPERLINK("http://www.ensembl.org/id/WBGene00005193", "WBGene00005193")</f>
        <v>WBGene00005193</v>
      </c>
      <c r="B14913" s="9" t="str">
        <f>HYPERLINK("http://www.ncbi.nlm.nih.gov/gene/186981", "186981")</f>
        <v>186981</v>
      </c>
      <c r="C14913" s="9"/>
      <c r="D14913" t="str">
        <f>"srg-36"</f>
        <v>srg-36</v>
      </c>
      <c r="E14913" t="s">
        <v>1828</v>
      </c>
      <c r="F14913" t="s">
        <v>11</v>
      </c>
      <c r="G14913" t="s">
        <v>10068</v>
      </c>
      <c r="H14913" s="12">
        <v>-2.4991590031922399</v>
      </c>
      <c r="I14913" s="20">
        <v>-0.26577412737581302</v>
      </c>
      <c r="J14913" s="28">
        <v>0.79041317015736101</v>
      </c>
      <c r="K14913" s="29">
        <v>0.98289565623980701</v>
      </c>
    </row>
    <row r="14914" spans="1:11" x14ac:dyDescent="0.35">
      <c r="A14914" s="9" t="str">
        <f>HYPERLINK("http://www.ensembl.org/id/WBGene00005194", "WBGene00005194")</f>
        <v>WBGene00005194</v>
      </c>
      <c r="B14914" s="9" t="str">
        <f>HYPERLINK("http://www.ncbi.nlm.nih.gov/gene/186978", "186978")</f>
        <v>186978</v>
      </c>
      <c r="C14914" s="9"/>
      <c r="D14914" t="str">
        <f>"srg-37"</f>
        <v>srg-37</v>
      </c>
      <c r="E14914" t="s">
        <v>1828</v>
      </c>
      <c r="F14914" t="s">
        <v>11</v>
      </c>
      <c r="G14914" t="s">
        <v>10110</v>
      </c>
      <c r="H14914" s="12">
        <v>-4.5165945888757797</v>
      </c>
      <c r="I14914" s="20">
        <v>-0.77885195871290802</v>
      </c>
      <c r="J14914" s="28">
        <v>0.43606692632071598</v>
      </c>
      <c r="K14914" s="29">
        <v>0.98289565623980701</v>
      </c>
    </row>
    <row r="14915" spans="1:11" x14ac:dyDescent="0.35">
      <c r="A14915" s="9" t="str">
        <f>HYPERLINK("http://www.ensembl.org/id/WBGene00005162", "WBGene00005162")</f>
        <v>WBGene00005162</v>
      </c>
      <c r="B14915" s="9" t="str">
        <f>HYPERLINK("http://www.ncbi.nlm.nih.gov/gene/24104888", "24104888")</f>
        <v>24104888</v>
      </c>
      <c r="C14915" s="9"/>
      <c r="D14915" t="str">
        <f>"srg-4"</f>
        <v>srg-4</v>
      </c>
      <c r="E14915" t="s">
        <v>4268</v>
      </c>
      <c r="F14915" t="s">
        <v>11</v>
      </c>
      <c r="G14915" t="s">
        <v>1829</v>
      </c>
      <c r="H14915" s="12">
        <v>4.7243958156832502</v>
      </c>
      <c r="I14915" s="20">
        <v>1.04069973274889</v>
      </c>
      <c r="J14915" s="28">
        <v>0.298014927304593</v>
      </c>
      <c r="K14915" s="29">
        <v>0.98289565623980701</v>
      </c>
    </row>
    <row r="14916" spans="1:11" x14ac:dyDescent="0.35">
      <c r="A14916" s="9" t="str">
        <f>HYPERLINK("http://www.ensembl.org/id/WBGene00005198", "WBGene00005198")</f>
        <v>WBGene00005198</v>
      </c>
      <c r="B14916" s="9" t="str">
        <f>HYPERLINK("http://www.ncbi.nlm.nih.gov/gene/188592", "188592")</f>
        <v>188592</v>
      </c>
      <c r="C14916" s="9"/>
      <c r="D14916" t="str">
        <f>"srg-41"</f>
        <v>srg-41</v>
      </c>
      <c r="E14916" t="s">
        <v>1828</v>
      </c>
      <c r="F14916" t="s">
        <v>11</v>
      </c>
      <c r="G14916" t="s">
        <v>1829</v>
      </c>
      <c r="H14916" s="12">
        <v>6.7905586320827496</v>
      </c>
      <c r="I14916" s="20">
        <v>0.74814431364464495</v>
      </c>
      <c r="J14916" s="28">
        <v>0.45437311546172199</v>
      </c>
      <c r="K14916" s="29">
        <v>0.98289565623980701</v>
      </c>
    </row>
    <row r="14917" spans="1:11" x14ac:dyDescent="0.35">
      <c r="A14917" s="9" t="str">
        <f>HYPERLINK("http://www.ensembl.org/id/WBGene00005200", "WBGene00005200")</f>
        <v>WBGene00005200</v>
      </c>
      <c r="B14917" s="9"/>
      <c r="C14917" s="9"/>
      <c r="D14917" t="str">
        <f>"srg-43"</f>
        <v>srg-43</v>
      </c>
      <c r="F14917" t="s">
        <v>80</v>
      </c>
      <c r="H14917" s="12">
        <v>-2.4991590031922399</v>
      </c>
      <c r="I14917" s="20">
        <v>-0.26577412737581302</v>
      </c>
      <c r="J14917" s="28">
        <v>0.79041317015736101</v>
      </c>
      <c r="K14917" s="29">
        <v>0.98289565623980701</v>
      </c>
    </row>
    <row r="14918" spans="1:11" x14ac:dyDescent="0.35">
      <c r="A14918" s="9" t="str">
        <f>HYPERLINK("http://www.ensembl.org/id/WBGene00005201", "WBGene00005201")</f>
        <v>WBGene00005201</v>
      </c>
      <c r="B14918" s="9" t="str">
        <f>HYPERLINK("http://www.ncbi.nlm.nih.gov/gene/185159", "185159")</f>
        <v>185159</v>
      </c>
      <c r="C14918" s="9"/>
      <c r="D14918" t="str">
        <f>"srg-44"</f>
        <v>srg-44</v>
      </c>
      <c r="E14918" t="s">
        <v>1828</v>
      </c>
      <c r="F14918" t="s">
        <v>11</v>
      </c>
      <c r="G14918" t="s">
        <v>1829</v>
      </c>
      <c r="H14918" s="12">
        <v>-3.7261494131482999</v>
      </c>
      <c r="I14918" s="20">
        <v>-0.38454673129429601</v>
      </c>
      <c r="J14918" s="28">
        <v>0.70057326682554</v>
      </c>
      <c r="K14918" s="29">
        <v>0.98289565623980701</v>
      </c>
    </row>
    <row r="14919" spans="1:11" x14ac:dyDescent="0.35">
      <c r="A14919" s="9" t="str">
        <f>HYPERLINK("http://www.ensembl.org/id/WBGene00005205", "WBGene00005205")</f>
        <v>WBGene00005205</v>
      </c>
      <c r="B14919" s="9" t="str">
        <f>HYPERLINK("http://www.ncbi.nlm.nih.gov/gene/353470", "353470")</f>
        <v>353470</v>
      </c>
      <c r="C14919" s="9"/>
      <c r="D14919" t="str">
        <f>"srg-48"</f>
        <v>srg-48</v>
      </c>
      <c r="E14919" t="s">
        <v>1828</v>
      </c>
      <c r="F14919" t="s">
        <v>11</v>
      </c>
      <c r="G14919" t="s">
        <v>1829</v>
      </c>
      <c r="H14919" s="12">
        <v>-1.74417421649394</v>
      </c>
      <c r="I14919" s="20">
        <v>-0.80224837919830805</v>
      </c>
      <c r="J14919" s="28">
        <v>0.422409296199517</v>
      </c>
      <c r="K14919" s="29">
        <v>0.98289565623980701</v>
      </c>
    </row>
    <row r="14920" spans="1:11" x14ac:dyDescent="0.35">
      <c r="A14920" s="9" t="str">
        <f>HYPERLINK("http://www.ensembl.org/id/WBGene00005206", "WBGene00005206")</f>
        <v>WBGene00005206</v>
      </c>
      <c r="B14920" s="9"/>
      <c r="C14920" s="9"/>
      <c r="D14920" t="str">
        <f>"srg-49"</f>
        <v>srg-49</v>
      </c>
      <c r="F14920" t="s">
        <v>80</v>
      </c>
      <c r="H14920" s="12">
        <v>1.71074164316338</v>
      </c>
      <c r="I14920" s="20">
        <v>1.0877878384478299</v>
      </c>
      <c r="J14920" s="28">
        <v>0.27668877960546301</v>
      </c>
      <c r="K14920" s="29">
        <v>0.98289565623980701</v>
      </c>
    </row>
    <row r="14921" spans="1:11" x14ac:dyDescent="0.35">
      <c r="A14921" s="9" t="str">
        <f>HYPERLINK("http://www.ensembl.org/id/WBGene00005207", "WBGene00005207")</f>
        <v>WBGene00005207</v>
      </c>
      <c r="B14921" s="9" t="str">
        <f>HYPERLINK("http://www.ncbi.nlm.nih.gov/gene/189847", "189847")</f>
        <v>189847</v>
      </c>
      <c r="C14921" s="9"/>
      <c r="D14921" t="str">
        <f>"srg-50"</f>
        <v>srg-50</v>
      </c>
      <c r="E14921" t="s">
        <v>1828</v>
      </c>
      <c r="F14921" t="s">
        <v>11</v>
      </c>
      <c r="G14921" t="s">
        <v>1829</v>
      </c>
      <c r="H14921" s="12">
        <v>2.3893468495514898</v>
      </c>
      <c r="I14921" s="20">
        <v>0.25323547253672701</v>
      </c>
      <c r="J14921" s="28">
        <v>0.80008625651646104</v>
      </c>
      <c r="K14921" s="29">
        <v>0.98289565623980701</v>
      </c>
    </row>
    <row r="14922" spans="1:11" x14ac:dyDescent="0.35">
      <c r="A14922" s="9" t="str">
        <f>HYPERLINK("http://www.ensembl.org/id/WBGene00045309", "WBGene00045309")</f>
        <v>WBGene00045309</v>
      </c>
      <c r="B14922" s="9"/>
      <c r="C14922" s="9"/>
      <c r="D14922" t="str">
        <f>"srg-52"</f>
        <v>srg-52</v>
      </c>
      <c r="F14922" t="s">
        <v>80</v>
      </c>
      <c r="H14922" s="12">
        <v>-3.7261494131482999</v>
      </c>
      <c r="I14922" s="20">
        <v>-0.38454673129429601</v>
      </c>
      <c r="J14922" s="28">
        <v>0.70057326682554</v>
      </c>
      <c r="K14922" s="29">
        <v>0.98289565623980701</v>
      </c>
    </row>
    <row r="14923" spans="1:11" x14ac:dyDescent="0.35">
      <c r="A14923" s="9" t="str">
        <f>HYPERLINK("http://www.ensembl.org/id/WBGene00005210", "WBGene00005210")</f>
        <v>WBGene00005210</v>
      </c>
      <c r="B14923" s="9" t="str">
        <f>HYPERLINK("http://www.ncbi.nlm.nih.gov/gene/187980", "187980")</f>
        <v>187980</v>
      </c>
      <c r="C14923" s="9"/>
      <c r="D14923" t="str">
        <f>"srg-53"</f>
        <v>srg-53</v>
      </c>
      <c r="E14923" t="s">
        <v>10117</v>
      </c>
      <c r="F14923" t="s">
        <v>11</v>
      </c>
      <c r="G14923" t="s">
        <v>1829</v>
      </c>
      <c r="H14923" s="12">
        <v>-5.3720953244712302</v>
      </c>
      <c r="I14923" s="20">
        <v>-0.603647922463455</v>
      </c>
      <c r="J14923" s="28">
        <v>0.54607774451423896</v>
      </c>
      <c r="K14923" s="29">
        <v>0.98289565623980701</v>
      </c>
    </row>
    <row r="14924" spans="1:11" x14ac:dyDescent="0.35">
      <c r="A14924" s="9" t="str">
        <f>HYPERLINK("http://www.ensembl.org/id/WBGene00005211", "WBGene00005211")</f>
        <v>WBGene00005211</v>
      </c>
      <c r="B14924" s="9" t="str">
        <f>HYPERLINK("http://www.ncbi.nlm.nih.gov/gene/353473", "353473")</f>
        <v>353473</v>
      </c>
      <c r="C14924" s="9"/>
      <c r="D14924" t="str">
        <f>"srg-54"</f>
        <v>srg-54</v>
      </c>
      <c r="E14924" t="s">
        <v>1828</v>
      </c>
      <c r="F14924" t="s">
        <v>11</v>
      </c>
      <c r="G14924" t="s">
        <v>1829</v>
      </c>
      <c r="H14924" s="12">
        <v>7.6616465944663696</v>
      </c>
      <c r="I14924" s="20">
        <v>0.60406875593600395</v>
      </c>
      <c r="J14924" s="28">
        <v>0.54579793098927099</v>
      </c>
      <c r="K14924" s="29">
        <v>0.98289565623980701</v>
      </c>
    </row>
    <row r="14925" spans="1:11" x14ac:dyDescent="0.35">
      <c r="A14925" s="9" t="str">
        <f>HYPERLINK("http://www.ensembl.org/id/WBGene00005212", "WBGene00005212")</f>
        <v>WBGene00005212</v>
      </c>
      <c r="B14925" s="9" t="str">
        <f>HYPERLINK("http://www.ncbi.nlm.nih.gov/gene/189319", "189319")</f>
        <v>189319</v>
      </c>
      <c r="C14925" s="9"/>
      <c r="D14925" t="str">
        <f>"srg-55"</f>
        <v>srg-55</v>
      </c>
      <c r="E14925" t="s">
        <v>1828</v>
      </c>
      <c r="F14925" t="s">
        <v>11</v>
      </c>
      <c r="G14925" t="s">
        <v>1829</v>
      </c>
      <c r="H14925" s="12">
        <v>2.3893468495514898</v>
      </c>
      <c r="I14925" s="20">
        <v>0.25323547253672701</v>
      </c>
      <c r="J14925" s="28">
        <v>0.80008625651646104</v>
      </c>
      <c r="K14925" s="29">
        <v>0.98289565623980701</v>
      </c>
    </row>
    <row r="14926" spans="1:11" x14ac:dyDescent="0.35">
      <c r="A14926" s="9" t="str">
        <f>HYPERLINK("http://www.ensembl.org/id/WBGene00005213", "WBGene00005213")</f>
        <v>WBGene00005213</v>
      </c>
      <c r="B14926" s="9" t="str">
        <f>HYPERLINK("http://www.ncbi.nlm.nih.gov/gene/353474", "353474")</f>
        <v>353474</v>
      </c>
      <c r="C14926" s="9"/>
      <c r="D14926" t="str">
        <f>"srg-56"</f>
        <v>srg-56</v>
      </c>
      <c r="E14926" t="s">
        <v>1828</v>
      </c>
      <c r="F14926" t="s">
        <v>11</v>
      </c>
      <c r="G14926" t="s">
        <v>1829</v>
      </c>
      <c r="H14926" s="12">
        <v>1.94818260600696</v>
      </c>
      <c r="I14926" s="20">
        <v>0.29974697111085402</v>
      </c>
      <c r="J14926" s="28">
        <v>0.76437016721612805</v>
      </c>
      <c r="K14926" s="29">
        <v>0.98289565623980701</v>
      </c>
    </row>
    <row r="14927" spans="1:11" x14ac:dyDescent="0.35">
      <c r="A14927" s="9" t="str">
        <f>HYPERLINK("http://www.ensembl.org/id/WBGene00005215", "WBGene00005215")</f>
        <v>WBGene00005215</v>
      </c>
      <c r="B14927" s="9" t="str">
        <f>HYPERLINK("http://www.ncbi.nlm.nih.gov/gene/187607", "187607")</f>
        <v>187607</v>
      </c>
      <c r="C14927" s="9"/>
      <c r="D14927" t="str">
        <f>"srg-58"</f>
        <v>srg-58</v>
      </c>
      <c r="E14927" t="s">
        <v>1828</v>
      </c>
      <c r="F14927" t="s">
        <v>11</v>
      </c>
      <c r="G14927" t="s">
        <v>1829</v>
      </c>
      <c r="H14927" s="12">
        <v>2.2752583933919399</v>
      </c>
      <c r="I14927" s="20">
        <v>0.342341349333185</v>
      </c>
      <c r="J14927" s="28">
        <v>0.73209402109561805</v>
      </c>
      <c r="K14927" s="29">
        <v>0.98289565623980701</v>
      </c>
    </row>
    <row r="14928" spans="1:11" x14ac:dyDescent="0.35">
      <c r="A14928" s="9" t="str">
        <f>HYPERLINK("http://www.ensembl.org/id/WBGene00005216", "WBGene00005216")</f>
        <v>WBGene00005216</v>
      </c>
      <c r="B14928" s="9" t="str">
        <f>HYPERLINK("http://www.ncbi.nlm.nih.gov/gene/353475", "353475")</f>
        <v>353475</v>
      </c>
      <c r="C14928" s="9"/>
      <c r="D14928" t="str">
        <f>"srg-59"</f>
        <v>srg-59</v>
      </c>
      <c r="E14928" t="s">
        <v>1828</v>
      </c>
      <c r="F14928" t="s">
        <v>11</v>
      </c>
      <c r="G14928" t="s">
        <v>1829</v>
      </c>
      <c r="H14928" s="12">
        <v>-3.5819448292659501</v>
      </c>
      <c r="I14928" s="20">
        <v>-0.37337717500031398</v>
      </c>
      <c r="J14928" s="28">
        <v>0.70886774492290605</v>
      </c>
      <c r="K14928" s="29">
        <v>0.98289565623980701</v>
      </c>
    </row>
    <row r="14929" spans="1:11" x14ac:dyDescent="0.35">
      <c r="A14929" s="9" t="str">
        <f>HYPERLINK("http://www.ensembl.org/id/WBGene00005164", "WBGene00005164")</f>
        <v>WBGene00005164</v>
      </c>
      <c r="B14929" s="9" t="str">
        <f>HYPERLINK("http://www.ncbi.nlm.nih.gov/gene/24104889", "24104889")</f>
        <v>24104889</v>
      </c>
      <c r="C14929" s="9"/>
      <c r="D14929" t="str">
        <f>"srg-6"</f>
        <v>srg-6</v>
      </c>
      <c r="E14929" t="s">
        <v>4248</v>
      </c>
      <c r="F14929" t="s">
        <v>11</v>
      </c>
      <c r="G14929" t="s">
        <v>1829</v>
      </c>
      <c r="H14929" s="12">
        <v>5.9495765472548197</v>
      </c>
      <c r="I14929" s="20">
        <v>0.52429389276509997</v>
      </c>
      <c r="J14929" s="28">
        <v>0.60007414400596704</v>
      </c>
      <c r="K14929" s="29">
        <v>0.98289565623980701</v>
      </c>
    </row>
    <row r="14930" spans="1:11" x14ac:dyDescent="0.35">
      <c r="A14930" s="9" t="str">
        <f>HYPERLINK("http://www.ensembl.org/id/WBGene00005219", "WBGene00005219")</f>
        <v>WBGene00005219</v>
      </c>
      <c r="B14930" s="9" t="str">
        <f>HYPERLINK("http://www.ncbi.nlm.nih.gov/gene/182844", "182844")</f>
        <v>182844</v>
      </c>
      <c r="C14930" s="9"/>
      <c r="D14930" t="str">
        <f>"srg-62"</f>
        <v>srg-62</v>
      </c>
      <c r="E14930" t="s">
        <v>1828</v>
      </c>
      <c r="F14930" t="s">
        <v>11</v>
      </c>
      <c r="G14930" t="s">
        <v>1829</v>
      </c>
      <c r="H14930" s="12">
        <v>1.76842466995545</v>
      </c>
      <c r="I14930" s="20">
        <v>0.275535749242585</v>
      </c>
      <c r="J14930" s="28">
        <v>0.78290466438060702</v>
      </c>
      <c r="K14930" s="29">
        <v>0.98289565623980701</v>
      </c>
    </row>
    <row r="14931" spans="1:11" x14ac:dyDescent="0.35">
      <c r="A14931" s="9" t="str">
        <f>HYPERLINK("http://www.ensembl.org/id/WBGene00005226", "WBGene00005226")</f>
        <v>WBGene00005226</v>
      </c>
      <c r="B14931" s="9" t="str">
        <f>HYPERLINK("http://www.ncbi.nlm.nih.gov/gene/353477", "353477")</f>
        <v>353477</v>
      </c>
      <c r="C14931" s="9"/>
      <c r="D14931" t="str">
        <f>"srg-69"</f>
        <v>srg-69</v>
      </c>
      <c r="E14931" t="s">
        <v>4858</v>
      </c>
      <c r="F14931" t="s">
        <v>11</v>
      </c>
      <c r="G14931" t="s">
        <v>1829</v>
      </c>
      <c r="H14931" s="12">
        <v>1.3297488952702601</v>
      </c>
      <c r="I14931" s="20">
        <v>0.49075622884353798</v>
      </c>
      <c r="J14931" s="28">
        <v>0.62359887178006901</v>
      </c>
      <c r="K14931" s="29">
        <v>0.98289565623980701</v>
      </c>
    </row>
    <row r="14932" spans="1:11" x14ac:dyDescent="0.35">
      <c r="A14932" s="9" t="str">
        <f>HYPERLINK("http://www.ensembl.org/id/WBGene00005166", "WBGene00005166")</f>
        <v>WBGene00005166</v>
      </c>
      <c r="B14932" s="9" t="str">
        <f>HYPERLINK("http://www.ncbi.nlm.nih.gov/gene/191834", "191834")</f>
        <v>191834</v>
      </c>
      <c r="C14932" s="9"/>
      <c r="D14932" t="str">
        <f>"srg-8"</f>
        <v>srg-8</v>
      </c>
      <c r="E14932" t="s">
        <v>4401</v>
      </c>
      <c r="F14932" t="s">
        <v>11</v>
      </c>
      <c r="G14932" t="s">
        <v>1829</v>
      </c>
      <c r="H14932" s="12">
        <v>2.3893468495514898</v>
      </c>
      <c r="I14932" s="20">
        <v>0.25323547253672701</v>
      </c>
      <c r="J14932" s="28">
        <v>0.80008625651646104</v>
      </c>
      <c r="K14932" s="29">
        <v>0.98289565623980701</v>
      </c>
    </row>
    <row r="14933" spans="1:11" x14ac:dyDescent="0.35">
      <c r="A14933" s="9" t="str">
        <f>HYPERLINK("http://www.ensembl.org/id/WBGene00006406", "WBGene00006406")</f>
        <v>WBGene00006406</v>
      </c>
      <c r="B14933" s="9" t="str">
        <f>HYPERLINK("http://www.ncbi.nlm.nih.gov/gene/178079", "178079")</f>
        <v>178079</v>
      </c>
      <c r="C14933" s="9"/>
      <c r="D14933" t="str">
        <f>"srgp-1"</f>
        <v>srgp-1</v>
      </c>
      <c r="E14933" t="s">
        <v>7488</v>
      </c>
      <c r="F14933" t="s">
        <v>11</v>
      </c>
      <c r="G14933" t="s">
        <v>7489</v>
      </c>
      <c r="H14933" s="12">
        <v>-1.12887278761249</v>
      </c>
      <c r="I14933" s="20">
        <v>-0.65179096711163298</v>
      </c>
      <c r="J14933" s="28">
        <v>0.51453602959042399</v>
      </c>
      <c r="K14933" s="29">
        <v>0.98289565623980701</v>
      </c>
    </row>
    <row r="14934" spans="1:11" x14ac:dyDescent="0.35">
      <c r="A14934" s="9" t="str">
        <f>HYPERLINK("http://www.ensembl.org/id/WBGene00005236", "WBGene00005236")</f>
        <v>WBGene00005236</v>
      </c>
      <c r="B14934" s="9" t="str">
        <f>HYPERLINK("http://www.ncbi.nlm.nih.gov/gene/191844", "191844")</f>
        <v>191844</v>
      </c>
      <c r="C14934" s="9"/>
      <c r="D14934" t="str">
        <f>"srh-10"</f>
        <v>srh-10</v>
      </c>
      <c r="E14934" t="s">
        <v>153</v>
      </c>
      <c r="F14934" t="s">
        <v>11</v>
      </c>
      <c r="G14934" t="s">
        <v>25</v>
      </c>
      <c r="H14934" s="12">
        <v>3.3395775643782502</v>
      </c>
      <c r="I14934" s="20">
        <v>0.44656260965551497</v>
      </c>
      <c r="J14934" s="28">
        <v>0.65519089741497205</v>
      </c>
      <c r="K14934" s="29">
        <v>0.98289565623980701</v>
      </c>
    </row>
    <row r="14935" spans="1:11" x14ac:dyDescent="0.35">
      <c r="A14935" s="9" t="str">
        <f>HYPERLINK("http://www.ensembl.org/id/WBGene00005323", "WBGene00005323")</f>
        <v>WBGene00005323</v>
      </c>
      <c r="B14935" s="9" t="str">
        <f>HYPERLINK("http://www.ncbi.nlm.nih.gov/gene/353478", "353478")</f>
        <v>353478</v>
      </c>
      <c r="C14935" s="9"/>
      <c r="D14935" t="str">
        <f>"srh-104"</f>
        <v>srh-104</v>
      </c>
      <c r="E14935" t="s">
        <v>153</v>
      </c>
      <c r="F14935" t="s">
        <v>11</v>
      </c>
      <c r="G14935" t="s">
        <v>25</v>
      </c>
      <c r="H14935" s="12">
        <v>4.4368407117627902</v>
      </c>
      <c r="I14935" s="20">
        <v>0.43709475933309699</v>
      </c>
      <c r="J14935" s="28">
        <v>0.66204262779770495</v>
      </c>
      <c r="K14935" s="29">
        <v>0.98289565623980701</v>
      </c>
    </row>
    <row r="14936" spans="1:11" x14ac:dyDescent="0.35">
      <c r="A14936" s="9" t="str">
        <f>HYPERLINK("http://www.ensembl.org/id/WBGene00005512", "WBGene00005512")</f>
        <v>WBGene00005512</v>
      </c>
      <c r="B14936" s="9" t="str">
        <f>HYPERLINK("http://www.ncbi.nlm.nih.gov/gene/188964", "188964")</f>
        <v>188964</v>
      </c>
      <c r="C14936" s="9"/>
      <c r="D14936" t="str">
        <f>"srh-105"</f>
        <v>srh-105</v>
      </c>
      <c r="E14936" t="s">
        <v>153</v>
      </c>
      <c r="F14936" t="s">
        <v>11</v>
      </c>
      <c r="G14936" t="s">
        <v>25</v>
      </c>
      <c r="H14936" s="12">
        <v>3.6571033302088898</v>
      </c>
      <c r="I14936" s="20">
        <v>0.54969058284615901</v>
      </c>
      <c r="J14936" s="28">
        <v>0.58253161705562595</v>
      </c>
      <c r="K14936" s="29">
        <v>0.98289565623980701</v>
      </c>
    </row>
    <row r="14937" spans="1:11" x14ac:dyDescent="0.35">
      <c r="A14937" s="9" t="str">
        <f>HYPERLINK("http://www.ensembl.org/id/WBGene00005325", "WBGene00005325")</f>
        <v>WBGene00005325</v>
      </c>
      <c r="B14937" s="9"/>
      <c r="C14937" s="9"/>
      <c r="D14937" t="str">
        <f>"srh-106"</f>
        <v>srh-106</v>
      </c>
      <c r="F14937" t="s">
        <v>80</v>
      </c>
      <c r="H14937" s="12">
        <v>5.2322000618327396</v>
      </c>
      <c r="I14937" s="20">
        <v>0.486112489888328</v>
      </c>
      <c r="J14937" s="28">
        <v>0.62688741196182496</v>
      </c>
      <c r="K14937" s="29">
        <v>0.98289565623980701</v>
      </c>
    </row>
    <row r="14938" spans="1:11" x14ac:dyDescent="0.35">
      <c r="A14938" s="9" t="str">
        <f>HYPERLINK("http://www.ensembl.org/id/WBGene00005327", "WBGene00005327")</f>
        <v>WBGene00005327</v>
      </c>
      <c r="B14938" s="9"/>
      <c r="C14938" s="9"/>
      <c r="D14938" t="str">
        <f>"srh-108"</f>
        <v>srh-108</v>
      </c>
      <c r="F14938" t="s">
        <v>80</v>
      </c>
      <c r="H14938" s="12">
        <v>2.3893468495514898</v>
      </c>
      <c r="I14938" s="20">
        <v>0.25323547253672701</v>
      </c>
      <c r="J14938" s="28">
        <v>0.80008625651646104</v>
      </c>
      <c r="K14938" s="29">
        <v>0.98289565623980701</v>
      </c>
    </row>
    <row r="14939" spans="1:11" x14ac:dyDescent="0.35">
      <c r="A14939" s="9" t="str">
        <f>HYPERLINK("http://www.ensembl.org/id/WBGene00005328", "WBGene00005328")</f>
        <v>WBGene00005328</v>
      </c>
      <c r="B14939" s="9" t="str">
        <f>HYPERLINK("http://www.ncbi.nlm.nih.gov/gene/188599", "188599")</f>
        <v>188599</v>
      </c>
      <c r="C14939" s="9"/>
      <c r="D14939" t="str">
        <f>"srh-109"</f>
        <v>srh-109</v>
      </c>
      <c r="E14939" t="s">
        <v>153</v>
      </c>
      <c r="F14939" t="s">
        <v>11</v>
      </c>
      <c r="G14939" t="s">
        <v>25</v>
      </c>
      <c r="H14939" s="12">
        <v>4.6387698961716399</v>
      </c>
      <c r="I14939" s="20">
        <v>0.44985450087338802</v>
      </c>
      <c r="J14939" s="28">
        <v>0.65281535672642099</v>
      </c>
      <c r="K14939" s="29">
        <v>0.98289565623980701</v>
      </c>
    </row>
    <row r="14940" spans="1:11" x14ac:dyDescent="0.35">
      <c r="A14940" s="9" t="str">
        <f>HYPERLINK("http://www.ensembl.org/id/WBGene00005330", "WBGene00005330")</f>
        <v>WBGene00005330</v>
      </c>
      <c r="B14940" s="9" t="str">
        <f>HYPERLINK("http://www.ncbi.nlm.nih.gov/gene/184187", "184187")</f>
        <v>184187</v>
      </c>
      <c r="C14940" s="9"/>
      <c r="D14940" t="str">
        <f>"srh-111"</f>
        <v>srh-111</v>
      </c>
      <c r="E14940" t="s">
        <v>153</v>
      </c>
      <c r="F14940" t="s">
        <v>11</v>
      </c>
      <c r="G14940" t="s">
        <v>25</v>
      </c>
      <c r="H14940" s="12">
        <v>-2.4295389261469</v>
      </c>
      <c r="I14940" s="20">
        <v>-0.25808529976640998</v>
      </c>
      <c r="J14940" s="28">
        <v>0.79634107645457397</v>
      </c>
      <c r="K14940" s="29">
        <v>0.98289565623980701</v>
      </c>
    </row>
    <row r="14941" spans="1:11" x14ac:dyDescent="0.35">
      <c r="A14941" s="9" t="str">
        <f>HYPERLINK("http://www.ensembl.org/id/WBGene00005331", "WBGene00005331")</f>
        <v>WBGene00005331</v>
      </c>
      <c r="B14941" s="9" t="str">
        <f>HYPERLINK("http://www.ncbi.nlm.nih.gov/gene/188597", "188597")</f>
        <v>188597</v>
      </c>
      <c r="C14941" s="9"/>
      <c r="D14941" t="str">
        <f>"srh-112"</f>
        <v>srh-112</v>
      </c>
      <c r="E14941" t="s">
        <v>153</v>
      </c>
      <c r="F14941" t="s">
        <v>11</v>
      </c>
      <c r="G14941" t="s">
        <v>25</v>
      </c>
      <c r="H14941" s="12">
        <v>-5.3201785866927001</v>
      </c>
      <c r="I14941" s="20">
        <v>-0.49101042295714697</v>
      </c>
      <c r="J14941" s="28">
        <v>0.62341907564475696</v>
      </c>
      <c r="K14941" s="29">
        <v>0.98289565623980701</v>
      </c>
    </row>
    <row r="14942" spans="1:11" x14ac:dyDescent="0.35">
      <c r="A14942" s="9" t="str">
        <f>HYPERLINK("http://www.ensembl.org/id/WBGene00005332", "WBGene00005332")</f>
        <v>WBGene00005332</v>
      </c>
      <c r="B14942" s="9" t="str">
        <f>HYPERLINK("http://www.ncbi.nlm.nih.gov/gene/190527", "190527")</f>
        <v>190527</v>
      </c>
      <c r="C14942" s="9"/>
      <c r="D14942" t="str">
        <f>"srh-113"</f>
        <v>srh-113</v>
      </c>
      <c r="E14942" t="s">
        <v>153</v>
      </c>
      <c r="F14942" t="s">
        <v>11</v>
      </c>
      <c r="G14942" t="s">
        <v>25</v>
      </c>
      <c r="H14942" s="12">
        <v>2.3893468495514898</v>
      </c>
      <c r="I14942" s="20">
        <v>0.25323547253672701</v>
      </c>
      <c r="J14942" s="28">
        <v>0.80008625651646104</v>
      </c>
      <c r="K14942" s="29">
        <v>0.98289565623980701</v>
      </c>
    </row>
    <row r="14943" spans="1:11" x14ac:dyDescent="0.35">
      <c r="A14943" s="9" t="str">
        <f>HYPERLINK("http://www.ensembl.org/id/WBGene00005334", "WBGene00005334")</f>
        <v>WBGene00005334</v>
      </c>
      <c r="B14943" s="9" t="str">
        <f>HYPERLINK("http://www.ncbi.nlm.nih.gov/gene/190449", "190449")</f>
        <v>190449</v>
      </c>
      <c r="C14943" s="9"/>
      <c r="D14943" t="str">
        <f>"srh-115"</f>
        <v>srh-115</v>
      </c>
      <c r="E14943" t="s">
        <v>153</v>
      </c>
      <c r="F14943" t="s">
        <v>11</v>
      </c>
      <c r="G14943" t="s">
        <v>25</v>
      </c>
      <c r="H14943" s="12">
        <v>2.3893468495514898</v>
      </c>
      <c r="I14943" s="20">
        <v>0.25323547253672701</v>
      </c>
      <c r="J14943" s="28">
        <v>0.80008625651646104</v>
      </c>
      <c r="K14943" s="29">
        <v>0.98289565623980701</v>
      </c>
    </row>
    <row r="14944" spans="1:11" x14ac:dyDescent="0.35">
      <c r="A14944" s="9" t="str">
        <f>HYPERLINK("http://www.ensembl.org/id/WBGene00005336", "WBGene00005336")</f>
        <v>WBGene00005336</v>
      </c>
      <c r="B14944" s="9"/>
      <c r="C14944" s="9"/>
      <c r="D14944" t="str">
        <f>"srh-117"</f>
        <v>srh-117</v>
      </c>
      <c r="F14944" t="s">
        <v>80</v>
      </c>
      <c r="H14944" s="12">
        <v>-3.7261494131482999</v>
      </c>
      <c r="I14944" s="20">
        <v>-0.38454673129429601</v>
      </c>
      <c r="J14944" s="28">
        <v>0.70057326682554</v>
      </c>
      <c r="K14944" s="29">
        <v>0.98289565623980701</v>
      </c>
    </row>
    <row r="14945" spans="1:11" x14ac:dyDescent="0.35">
      <c r="A14945" s="9" t="str">
        <f>HYPERLINK("http://www.ensembl.org/id/WBGene00005337", "WBGene00005337")</f>
        <v>WBGene00005337</v>
      </c>
      <c r="B14945" s="9" t="str">
        <f>HYPERLINK("http://www.ncbi.nlm.nih.gov/gene/186945", "186945")</f>
        <v>186945</v>
      </c>
      <c r="C14945" s="9"/>
      <c r="D14945" t="str">
        <f>"srh-118"</f>
        <v>srh-118</v>
      </c>
      <c r="E14945" t="s">
        <v>153</v>
      </c>
      <c r="F14945" t="s">
        <v>11</v>
      </c>
      <c r="G14945" t="s">
        <v>25</v>
      </c>
      <c r="H14945" s="12">
        <v>2.3893468495514898</v>
      </c>
      <c r="I14945" s="20">
        <v>0.25323547253672701</v>
      </c>
      <c r="J14945" s="28">
        <v>0.80008625651646104</v>
      </c>
      <c r="K14945" s="29">
        <v>0.98289565623980701</v>
      </c>
    </row>
    <row r="14946" spans="1:11" x14ac:dyDescent="0.35">
      <c r="A14946" s="9" t="str">
        <f>HYPERLINK("http://www.ensembl.org/id/WBGene00005341", "WBGene00005341")</f>
        <v>WBGene00005341</v>
      </c>
      <c r="B14946" s="9" t="str">
        <f>HYPERLINK("http://www.ncbi.nlm.nih.gov/gene/184184", "184184")</f>
        <v>184184</v>
      </c>
      <c r="C14946" s="9"/>
      <c r="D14946" t="str">
        <f>"srh-123"</f>
        <v>srh-123</v>
      </c>
      <c r="E14946" t="s">
        <v>153</v>
      </c>
      <c r="F14946" t="s">
        <v>11</v>
      </c>
      <c r="G14946" t="s">
        <v>25</v>
      </c>
      <c r="H14946" s="12">
        <v>-3.7261494131482999</v>
      </c>
      <c r="I14946" s="20">
        <v>-0.38454673129429601</v>
      </c>
      <c r="J14946" s="28">
        <v>0.70057326682554</v>
      </c>
      <c r="K14946" s="29">
        <v>0.98289565623980701</v>
      </c>
    </row>
    <row r="14947" spans="1:11" x14ac:dyDescent="0.35">
      <c r="A14947" s="9" t="str">
        <f>HYPERLINK("http://www.ensembl.org/id/WBGene00005342", "WBGene00005342")</f>
        <v>WBGene00005342</v>
      </c>
      <c r="B14947" s="9" t="str">
        <f>HYPERLINK("http://www.ncbi.nlm.nih.gov/gene/191881", "191881")</f>
        <v>191881</v>
      </c>
      <c r="C14947" s="9"/>
      <c r="D14947" t="str">
        <f>"srh-125"</f>
        <v>srh-125</v>
      </c>
      <c r="E14947" t="s">
        <v>153</v>
      </c>
      <c r="F14947" t="s">
        <v>11</v>
      </c>
      <c r="G14947" t="s">
        <v>25</v>
      </c>
      <c r="H14947" s="12">
        <v>-2.2462711840042502</v>
      </c>
      <c r="I14947" s="20">
        <v>-0.28752192663158799</v>
      </c>
      <c r="J14947" s="28">
        <v>0.77371271536475705</v>
      </c>
      <c r="K14947" s="29">
        <v>0.98289565623980701</v>
      </c>
    </row>
    <row r="14948" spans="1:11" x14ac:dyDescent="0.35">
      <c r="A14948" s="9" t="str">
        <f>HYPERLINK("http://www.ensembl.org/id/WBGene00005345", "WBGene00005345")</f>
        <v>WBGene00005345</v>
      </c>
      <c r="B14948" s="9" t="str">
        <f>HYPERLINK("http://www.ncbi.nlm.nih.gov/gene/189999", "189999")</f>
        <v>189999</v>
      </c>
      <c r="C14948" s="9"/>
      <c r="D14948" t="str">
        <f>"srh-128"</f>
        <v>srh-128</v>
      </c>
      <c r="E14948" t="s">
        <v>153</v>
      </c>
      <c r="F14948" t="s">
        <v>11</v>
      </c>
      <c r="G14948" t="s">
        <v>25</v>
      </c>
      <c r="H14948" s="12">
        <v>3.5227018545059199</v>
      </c>
      <c r="I14948" s="20">
        <v>0.36849691206929103</v>
      </c>
      <c r="J14948" s="28">
        <v>0.71250274722433404</v>
      </c>
      <c r="K14948" s="29">
        <v>0.98289565623980701</v>
      </c>
    </row>
    <row r="14949" spans="1:11" x14ac:dyDescent="0.35">
      <c r="A14949" s="9" t="str">
        <f>HYPERLINK("http://www.ensembl.org/id/WBGene00005346", "WBGene00005346")</f>
        <v>WBGene00005346</v>
      </c>
      <c r="B14949" s="9" t="str">
        <f>HYPERLINK("http://www.ncbi.nlm.nih.gov/gene/191883", "191883")</f>
        <v>191883</v>
      </c>
      <c r="C14949" s="9"/>
      <c r="D14949" t="str">
        <f>"srh-129"</f>
        <v>srh-129</v>
      </c>
      <c r="E14949" t="s">
        <v>153</v>
      </c>
      <c r="F14949" t="s">
        <v>11</v>
      </c>
      <c r="G14949" t="s">
        <v>25</v>
      </c>
      <c r="H14949" s="12">
        <v>2.07819602306758</v>
      </c>
      <c r="I14949" s="20">
        <v>0.37684215247052399</v>
      </c>
      <c r="J14949" s="28">
        <v>0.70629091297281099</v>
      </c>
      <c r="K14949" s="29">
        <v>0.98289565623980701</v>
      </c>
    </row>
    <row r="14950" spans="1:11" x14ac:dyDescent="0.35">
      <c r="A14950" s="9" t="str">
        <f>HYPERLINK("http://www.ensembl.org/id/WBGene00005348", "WBGene00005348")</f>
        <v>WBGene00005348</v>
      </c>
      <c r="B14950" s="9" t="str">
        <f>HYPERLINK("http://www.ncbi.nlm.nih.gov/gene/190853", "190853")</f>
        <v>190853</v>
      </c>
      <c r="C14950" s="9"/>
      <c r="D14950" t="str">
        <f>"srh-131"</f>
        <v>srh-131</v>
      </c>
      <c r="E14950" t="s">
        <v>153</v>
      </c>
      <c r="F14950" t="s">
        <v>11</v>
      </c>
      <c r="G14950" t="s">
        <v>25</v>
      </c>
      <c r="H14950" s="12">
        <v>-3.7261494131482999</v>
      </c>
      <c r="I14950" s="20">
        <v>-0.38454673129429601</v>
      </c>
      <c r="J14950" s="28">
        <v>0.70057326682554</v>
      </c>
      <c r="K14950" s="29">
        <v>0.98289565623980701</v>
      </c>
    </row>
    <row r="14951" spans="1:11" x14ac:dyDescent="0.35">
      <c r="A14951" s="9" t="str">
        <f>HYPERLINK("http://www.ensembl.org/id/WBGene00005351", "WBGene00005351")</f>
        <v>WBGene00005351</v>
      </c>
      <c r="B14951" s="9" t="str">
        <f>HYPERLINK("http://www.ncbi.nlm.nih.gov/gene/190392", "190392")</f>
        <v>190392</v>
      </c>
      <c r="C14951" s="9"/>
      <c r="D14951" t="str">
        <f>"srh-134"</f>
        <v>srh-134</v>
      </c>
      <c r="E14951" t="s">
        <v>153</v>
      </c>
      <c r="F14951" t="s">
        <v>11</v>
      </c>
      <c r="G14951" t="s">
        <v>25</v>
      </c>
      <c r="H14951" s="12">
        <v>4.4368407117627902</v>
      </c>
      <c r="I14951" s="20">
        <v>0.43709475933309699</v>
      </c>
      <c r="J14951" s="28">
        <v>0.66204262779770495</v>
      </c>
      <c r="K14951" s="29">
        <v>0.98289565623980701</v>
      </c>
    </row>
    <row r="14952" spans="1:11" x14ac:dyDescent="0.35">
      <c r="A14952" s="9" t="str">
        <f>HYPERLINK("http://www.ensembl.org/id/WBGene00005352", "WBGene00005352")</f>
        <v>WBGene00005352</v>
      </c>
      <c r="B14952" s="9" t="str">
        <f>HYPERLINK("http://www.ncbi.nlm.nih.gov/gene/187952", "187952")</f>
        <v>187952</v>
      </c>
      <c r="C14952" s="9"/>
      <c r="D14952" t="str">
        <f>"srh-135"</f>
        <v>srh-135</v>
      </c>
      <c r="E14952" t="s">
        <v>153</v>
      </c>
      <c r="F14952" t="s">
        <v>11</v>
      </c>
      <c r="G14952" t="s">
        <v>25</v>
      </c>
      <c r="H14952" s="12">
        <v>-4.9091418681309804</v>
      </c>
      <c r="I14952" s="20">
        <v>-0.54873995166816503</v>
      </c>
      <c r="J14952" s="28">
        <v>0.58318392455661805</v>
      </c>
      <c r="K14952" s="29">
        <v>0.98289565623980701</v>
      </c>
    </row>
    <row r="14953" spans="1:11" x14ac:dyDescent="0.35">
      <c r="A14953" s="9" t="str">
        <f>HYPERLINK("http://www.ensembl.org/id/WBGene00005355", "WBGene00005355")</f>
        <v>WBGene00005355</v>
      </c>
      <c r="B14953" s="9" t="str">
        <f>HYPERLINK("http://www.ncbi.nlm.nih.gov/gene/3565403", "3565403")</f>
        <v>3565403</v>
      </c>
      <c r="C14953" s="9"/>
      <c r="D14953" t="str">
        <f>"srh-138"</f>
        <v>srh-138</v>
      </c>
      <c r="E14953" t="s">
        <v>153</v>
      </c>
      <c r="F14953" t="s">
        <v>11</v>
      </c>
      <c r="G14953" t="s">
        <v>25</v>
      </c>
      <c r="H14953" s="12">
        <v>3.5227018545059199</v>
      </c>
      <c r="I14953" s="20">
        <v>0.36849691206929103</v>
      </c>
      <c r="J14953" s="28">
        <v>0.71250274722433404</v>
      </c>
      <c r="K14953" s="29">
        <v>0.98289565623980701</v>
      </c>
    </row>
    <row r="14954" spans="1:11" x14ac:dyDescent="0.35">
      <c r="A14954" s="9" t="str">
        <f>HYPERLINK("http://www.ensembl.org/id/WBGene00005356", "WBGene00005356")</f>
        <v>WBGene00005356</v>
      </c>
      <c r="B14954" s="9" t="str">
        <f>HYPERLINK("http://www.ncbi.nlm.nih.gov/gene/186452", "186452")</f>
        <v>186452</v>
      </c>
      <c r="C14954" s="9"/>
      <c r="D14954" t="str">
        <f>"srh-139"</f>
        <v>srh-139</v>
      </c>
      <c r="E14954" t="s">
        <v>153</v>
      </c>
      <c r="F14954" t="s">
        <v>11</v>
      </c>
      <c r="G14954" t="s">
        <v>25</v>
      </c>
      <c r="H14954" s="12">
        <v>2.3625248369496998</v>
      </c>
      <c r="I14954" s="20">
        <v>0.27133230146732801</v>
      </c>
      <c r="J14954" s="28">
        <v>0.786135464981218</v>
      </c>
      <c r="K14954" s="29">
        <v>0.98289565623980701</v>
      </c>
    </row>
    <row r="14955" spans="1:11" x14ac:dyDescent="0.35">
      <c r="A14955" s="9" t="str">
        <f>HYPERLINK("http://www.ensembl.org/id/WBGene00005357", "WBGene00005357")</f>
        <v>WBGene00005357</v>
      </c>
      <c r="B14955" s="9" t="str">
        <f>HYPERLINK("http://www.ncbi.nlm.nih.gov/gene/189377", "189377")</f>
        <v>189377</v>
      </c>
      <c r="C14955" s="9"/>
      <c r="D14955" t="str">
        <f>"srh-140"</f>
        <v>srh-140</v>
      </c>
      <c r="E14955" t="s">
        <v>153</v>
      </c>
      <c r="F14955" t="s">
        <v>11</v>
      </c>
      <c r="G14955" t="s">
        <v>25</v>
      </c>
      <c r="H14955" s="12">
        <v>3.5227018545059199</v>
      </c>
      <c r="I14955" s="20">
        <v>0.36849691206929103</v>
      </c>
      <c r="J14955" s="28">
        <v>0.71250274722433404</v>
      </c>
      <c r="K14955" s="29">
        <v>0.98289565623980701</v>
      </c>
    </row>
    <row r="14956" spans="1:11" x14ac:dyDescent="0.35">
      <c r="A14956" s="9" t="str">
        <f>HYPERLINK("http://www.ensembl.org/id/WBGene00005359", "WBGene00005359")</f>
        <v>WBGene00005359</v>
      </c>
      <c r="B14956" s="9" t="str">
        <f>HYPERLINK("http://www.ncbi.nlm.nih.gov/gene/188294", "188294")</f>
        <v>188294</v>
      </c>
      <c r="C14956" s="9"/>
      <c r="D14956" t="str">
        <f>"srh-142"</f>
        <v>srh-142</v>
      </c>
      <c r="E14956" t="s">
        <v>153</v>
      </c>
      <c r="F14956" t="s">
        <v>11</v>
      </c>
      <c r="G14956" t="s">
        <v>25</v>
      </c>
      <c r="H14956" s="12">
        <v>18.9953913565923</v>
      </c>
      <c r="I14956" s="20">
        <v>1.08747390098948</v>
      </c>
      <c r="J14956" s="28">
        <v>0.27682742672302701</v>
      </c>
      <c r="K14956" s="29">
        <v>0.98289565623980701</v>
      </c>
    </row>
    <row r="14957" spans="1:11" x14ac:dyDescent="0.35">
      <c r="A14957" s="9" t="str">
        <f>HYPERLINK("http://www.ensembl.org/id/WBGene00005360", "WBGene00005360")</f>
        <v>WBGene00005360</v>
      </c>
      <c r="B14957" s="9"/>
      <c r="C14957" s="9"/>
      <c r="D14957" t="str">
        <f>"srh-144"</f>
        <v>srh-144</v>
      </c>
      <c r="F14957" t="s">
        <v>80</v>
      </c>
      <c r="H14957" s="12">
        <v>4.4368407117627902</v>
      </c>
      <c r="I14957" s="20">
        <v>0.43709475933309699</v>
      </c>
      <c r="J14957" s="28">
        <v>0.66204262779770495</v>
      </c>
      <c r="K14957" s="29">
        <v>0.98289565623980701</v>
      </c>
    </row>
    <row r="14958" spans="1:11" x14ac:dyDescent="0.35">
      <c r="A14958" s="9" t="str">
        <f>HYPERLINK("http://www.ensembl.org/id/WBGene00005362", "WBGene00005362")</f>
        <v>WBGene00005362</v>
      </c>
      <c r="B14958" s="9" t="str">
        <f>HYPERLINK("http://www.ncbi.nlm.nih.gov/gene/13212086", "13212086")</f>
        <v>13212086</v>
      </c>
      <c r="C14958" s="9"/>
      <c r="D14958" t="str">
        <f>"srh-146"</f>
        <v>srh-146</v>
      </c>
      <c r="E14958" t="s">
        <v>153</v>
      </c>
      <c r="F14958" t="s">
        <v>11</v>
      </c>
      <c r="G14958" t="s">
        <v>25</v>
      </c>
      <c r="H14958" s="12">
        <v>6.88644718336844</v>
      </c>
      <c r="I14958" s="20">
        <v>1.11629394038149</v>
      </c>
      <c r="J14958" s="28">
        <v>0.26429633457641399</v>
      </c>
      <c r="K14958" s="29">
        <v>0.98289565623980701</v>
      </c>
    </row>
    <row r="14959" spans="1:11" x14ac:dyDescent="0.35">
      <c r="A14959" s="9" t="str">
        <f>HYPERLINK("http://www.ensembl.org/id/WBGene00005363", "WBGene00005363")</f>
        <v>WBGene00005363</v>
      </c>
      <c r="B14959" s="9" t="str">
        <f>HYPERLINK("http://www.ncbi.nlm.nih.gov/gene/3565994", "3565994")</f>
        <v>3565994</v>
      </c>
      <c r="C14959" s="9"/>
      <c r="D14959" t="str">
        <f>"srh-147"</f>
        <v>srh-147</v>
      </c>
      <c r="E14959" t="s">
        <v>153</v>
      </c>
      <c r="F14959" t="s">
        <v>11</v>
      </c>
      <c r="G14959" t="s">
        <v>25</v>
      </c>
      <c r="H14959" s="12">
        <v>7.6616465944663696</v>
      </c>
      <c r="I14959" s="20">
        <v>0.60406875593600395</v>
      </c>
      <c r="J14959" s="28">
        <v>0.54579793098927099</v>
      </c>
      <c r="K14959" s="29">
        <v>0.98289565623980701</v>
      </c>
    </row>
    <row r="14960" spans="1:11" x14ac:dyDescent="0.35">
      <c r="A14960" s="9" t="str">
        <f>HYPERLINK("http://www.ensembl.org/id/WBGene00005240", "WBGene00005240")</f>
        <v>WBGene00005240</v>
      </c>
      <c r="B14960" s="9" t="str">
        <f>HYPERLINK("http://www.ncbi.nlm.nih.gov/gene/183634", "183634")</f>
        <v>183634</v>
      </c>
      <c r="C14960" s="9"/>
      <c r="D14960" t="str">
        <f>"srh-15"</f>
        <v>srh-15</v>
      </c>
      <c r="E14960" t="s">
        <v>153</v>
      </c>
      <c r="F14960" t="s">
        <v>11</v>
      </c>
      <c r="G14960" t="s">
        <v>25</v>
      </c>
      <c r="H14960" s="12">
        <v>6.3523247692862101</v>
      </c>
      <c r="I14960" s="20">
        <v>0.98916422610936605</v>
      </c>
      <c r="J14960" s="28">
        <v>0.32258279817346502</v>
      </c>
      <c r="K14960" s="29">
        <v>0.98289565623980701</v>
      </c>
    </row>
    <row r="14961" spans="1:11" x14ac:dyDescent="0.35">
      <c r="A14961" s="9" t="str">
        <f>HYPERLINK("http://www.ensembl.org/id/WBGene00005366", "WBGene00005366")</f>
        <v>WBGene00005366</v>
      </c>
      <c r="B14961" s="9"/>
      <c r="C14961" s="9"/>
      <c r="D14961" t="str">
        <f>"srh-150"</f>
        <v>srh-150</v>
      </c>
      <c r="F14961" t="s">
        <v>80</v>
      </c>
      <c r="H14961" s="12">
        <v>5.4552761280866902</v>
      </c>
      <c r="I14961" s="20">
        <v>0.76142467042008599</v>
      </c>
      <c r="J14961" s="28">
        <v>0.44640345667389703</v>
      </c>
      <c r="K14961" s="29">
        <v>0.98289565623980701</v>
      </c>
    </row>
    <row r="14962" spans="1:11" x14ac:dyDescent="0.35">
      <c r="A14962" s="9" t="str">
        <f>HYPERLINK("http://www.ensembl.org/id/WBGene00005369", "WBGene00005369")</f>
        <v>WBGene00005369</v>
      </c>
      <c r="B14962" s="9"/>
      <c r="C14962" s="9"/>
      <c r="D14962" t="str">
        <f>"srh-153"</f>
        <v>srh-153</v>
      </c>
      <c r="F14962" t="s">
        <v>80</v>
      </c>
      <c r="H14962" s="12">
        <v>2.3893468495514898</v>
      </c>
      <c r="I14962" s="20">
        <v>0.25323547253672701</v>
      </c>
      <c r="J14962" s="28">
        <v>0.80008625651646104</v>
      </c>
      <c r="K14962" s="29">
        <v>0.98289565623980701</v>
      </c>
    </row>
    <row r="14963" spans="1:11" x14ac:dyDescent="0.35">
      <c r="A14963" s="9" t="str">
        <f>HYPERLINK("http://www.ensembl.org/id/WBGene00005371", "WBGene00005371")</f>
        <v>WBGene00005371</v>
      </c>
      <c r="B14963" s="9"/>
      <c r="C14963" s="9"/>
      <c r="D14963" t="str">
        <f>"srh-155"</f>
        <v>srh-155</v>
      </c>
      <c r="F14963" t="s">
        <v>80</v>
      </c>
      <c r="H14963" s="12">
        <v>3.0105181145822901</v>
      </c>
      <c r="I14963" s="20">
        <v>0.41639261058244798</v>
      </c>
      <c r="J14963" s="28">
        <v>0.67712273475086904</v>
      </c>
      <c r="K14963" s="29">
        <v>0.98289565623980701</v>
      </c>
    </row>
    <row r="14964" spans="1:11" x14ac:dyDescent="0.35">
      <c r="A14964" s="9" t="str">
        <f>HYPERLINK("http://www.ensembl.org/id/WBGene00005372", "WBGene00005372")</f>
        <v>WBGene00005372</v>
      </c>
      <c r="B14964" s="9"/>
      <c r="C14964" s="9"/>
      <c r="D14964" t="str">
        <f>"srh-156"</f>
        <v>srh-156</v>
      </c>
      <c r="F14964" t="s">
        <v>80</v>
      </c>
      <c r="H14964" s="12">
        <v>2.3893468495514898</v>
      </c>
      <c r="I14964" s="20">
        <v>0.25323547253672701</v>
      </c>
      <c r="J14964" s="28">
        <v>0.80008625651646104</v>
      </c>
      <c r="K14964" s="29">
        <v>0.98289565623980701</v>
      </c>
    </row>
    <row r="14965" spans="1:11" x14ac:dyDescent="0.35">
      <c r="A14965" s="9" t="str">
        <f>HYPERLINK("http://www.ensembl.org/id/WBGene00005373", "WBGene00005373")</f>
        <v>WBGene00005373</v>
      </c>
      <c r="B14965" s="9"/>
      <c r="C14965" s="9"/>
      <c r="D14965" t="str">
        <f>"srh-157"</f>
        <v>srh-157</v>
      </c>
      <c r="F14965" t="s">
        <v>80</v>
      </c>
      <c r="H14965" s="12">
        <v>3.5227018545059199</v>
      </c>
      <c r="I14965" s="20">
        <v>0.36849691206929103</v>
      </c>
      <c r="J14965" s="28">
        <v>0.71250274722433404</v>
      </c>
      <c r="K14965" s="29">
        <v>0.98289565623980701</v>
      </c>
    </row>
    <row r="14966" spans="1:11" x14ac:dyDescent="0.35">
      <c r="A14966" s="9" t="str">
        <f>HYPERLINK("http://www.ensembl.org/id/WBGene00005375", "WBGene00005375")</f>
        <v>WBGene00005375</v>
      </c>
      <c r="B14966" s="9" t="str">
        <f>HYPERLINK("http://www.ncbi.nlm.nih.gov/gene/185521", "185521")</f>
        <v>185521</v>
      </c>
      <c r="C14966" s="9"/>
      <c r="D14966" t="str">
        <f>"srh-159"</f>
        <v>srh-159</v>
      </c>
      <c r="E14966" t="s">
        <v>153</v>
      </c>
      <c r="F14966" t="s">
        <v>11</v>
      </c>
      <c r="G14966" t="s">
        <v>25</v>
      </c>
      <c r="H14966" s="12">
        <v>4.4368407117627902</v>
      </c>
      <c r="I14966" s="20">
        <v>0.43709475933309699</v>
      </c>
      <c r="J14966" s="28">
        <v>0.66204262779770495</v>
      </c>
      <c r="K14966" s="29">
        <v>0.98289565623980701</v>
      </c>
    </row>
    <row r="14967" spans="1:11" x14ac:dyDescent="0.35">
      <c r="A14967" s="9" t="str">
        <f>HYPERLINK("http://www.ensembl.org/id/WBGene00005376", "WBGene00005376")</f>
        <v>WBGene00005376</v>
      </c>
      <c r="B14967" s="9"/>
      <c r="C14967" s="9"/>
      <c r="D14967" t="str">
        <f>"srh-160"</f>
        <v>srh-160</v>
      </c>
      <c r="F14967" t="s">
        <v>80</v>
      </c>
      <c r="H14967" s="12">
        <v>2.3893468495514898</v>
      </c>
      <c r="I14967" s="20">
        <v>0.25323547253672701</v>
      </c>
      <c r="J14967" s="28">
        <v>0.80008625651646104</v>
      </c>
      <c r="K14967" s="29">
        <v>0.98289565623980701</v>
      </c>
    </row>
    <row r="14968" spans="1:11" x14ac:dyDescent="0.35">
      <c r="A14968" s="9" t="str">
        <f>HYPERLINK("http://www.ensembl.org/id/WBGene00005377", "WBGene00005377")</f>
        <v>WBGene00005377</v>
      </c>
      <c r="B14968" s="9"/>
      <c r="C14968" s="9"/>
      <c r="D14968" t="str">
        <f>"srh-161"</f>
        <v>srh-161</v>
      </c>
      <c r="F14968" t="s">
        <v>80</v>
      </c>
      <c r="H14968" s="12">
        <v>-1.7188858559495199</v>
      </c>
      <c r="I14968" s="20">
        <v>-0.253198050115234</v>
      </c>
      <c r="J14968" s="28">
        <v>0.80011517321733605</v>
      </c>
      <c r="K14968" s="29">
        <v>0.98289565623980701</v>
      </c>
    </row>
    <row r="14969" spans="1:11" x14ac:dyDescent="0.35">
      <c r="A14969" s="9" t="str">
        <f>HYPERLINK("http://www.ensembl.org/id/WBGene00005380", "WBGene00005380")</f>
        <v>WBGene00005380</v>
      </c>
      <c r="B14969" s="9"/>
      <c r="C14969" s="9"/>
      <c r="D14969" t="str">
        <f>"srh-164"</f>
        <v>srh-164</v>
      </c>
      <c r="F14969" t="s">
        <v>80</v>
      </c>
      <c r="H14969" s="12">
        <v>7.8750041662741399</v>
      </c>
      <c r="I14969" s="20">
        <v>0.66270036837280499</v>
      </c>
      <c r="J14969" s="28">
        <v>0.507522473818947</v>
      </c>
      <c r="K14969" s="29">
        <v>0.98289565623980701</v>
      </c>
    </row>
    <row r="14970" spans="1:11" x14ac:dyDescent="0.35">
      <c r="A14970" s="9" t="str">
        <f>HYPERLINK("http://www.ensembl.org/id/WBGene00005381", "WBGene00005381")</f>
        <v>WBGene00005381</v>
      </c>
      <c r="B14970" s="9"/>
      <c r="C14970" s="9"/>
      <c r="D14970" t="str">
        <f>"srh-165"</f>
        <v>srh-165</v>
      </c>
      <c r="F14970" t="s">
        <v>80</v>
      </c>
      <c r="H14970" s="12">
        <v>10.8131830636529</v>
      </c>
      <c r="I14970" s="20">
        <v>0.70982715185838596</v>
      </c>
      <c r="J14970" s="28">
        <v>0.477811329444844</v>
      </c>
      <c r="K14970" s="29">
        <v>0.98289565623980701</v>
      </c>
    </row>
    <row r="14971" spans="1:11" x14ac:dyDescent="0.35">
      <c r="A14971" s="9" t="str">
        <f>HYPERLINK("http://www.ensembl.org/id/WBGene00005382", "WBGene00005382")</f>
        <v>WBGene00005382</v>
      </c>
      <c r="B14971" s="9" t="str">
        <f>HYPERLINK("http://www.ncbi.nlm.nih.gov/gene/189693", "189693")</f>
        <v>189693</v>
      </c>
      <c r="C14971" s="9"/>
      <c r="D14971" t="str">
        <f>"srh-166"</f>
        <v>srh-166</v>
      </c>
      <c r="E14971" t="s">
        <v>153</v>
      </c>
      <c r="F14971" t="s">
        <v>11</v>
      </c>
      <c r="G14971" t="s">
        <v>25</v>
      </c>
      <c r="H14971" s="12">
        <v>-4.51585610737573</v>
      </c>
      <c r="I14971" s="20">
        <v>-0.50361966967016503</v>
      </c>
      <c r="J14971" s="28">
        <v>0.61452866763025804</v>
      </c>
      <c r="K14971" s="29">
        <v>0.98289565623980701</v>
      </c>
    </row>
    <row r="14972" spans="1:11" x14ac:dyDescent="0.35">
      <c r="A14972" s="9" t="str">
        <f>HYPERLINK("http://www.ensembl.org/id/WBGene00005385", "WBGene00005385")</f>
        <v>WBGene00005385</v>
      </c>
      <c r="B14972" s="9" t="str">
        <f>HYPERLINK("http://www.ncbi.nlm.nih.gov/gene/191885", "191885")</f>
        <v>191885</v>
      </c>
      <c r="C14972" s="9"/>
      <c r="D14972" t="str">
        <f>"srh-169"</f>
        <v>srh-169</v>
      </c>
      <c r="E14972" t="s">
        <v>153</v>
      </c>
      <c r="F14972" t="s">
        <v>11</v>
      </c>
      <c r="G14972" t="s">
        <v>25</v>
      </c>
      <c r="H14972" s="12">
        <v>-2.4991590031922399</v>
      </c>
      <c r="I14972" s="20">
        <v>-0.26577412737581302</v>
      </c>
      <c r="J14972" s="28">
        <v>0.79041317015736101</v>
      </c>
      <c r="K14972" s="29">
        <v>0.98289565623980701</v>
      </c>
    </row>
    <row r="14973" spans="1:11" x14ac:dyDescent="0.35">
      <c r="A14973" s="9" t="str">
        <f>HYPERLINK("http://www.ensembl.org/id/WBGene00005242", "WBGene00005242")</f>
        <v>WBGene00005242</v>
      </c>
      <c r="B14973" s="9" t="str">
        <f>HYPERLINK("http://www.ncbi.nlm.nih.gov/gene/183551", "183551")</f>
        <v>183551</v>
      </c>
      <c r="C14973" s="9"/>
      <c r="D14973" t="str">
        <f>"srh-17"</f>
        <v>srh-17</v>
      </c>
      <c r="E14973" t="s">
        <v>153</v>
      </c>
      <c r="F14973" t="s">
        <v>11</v>
      </c>
      <c r="G14973" t="s">
        <v>25</v>
      </c>
      <c r="H14973" s="12">
        <v>-1.70964285416294</v>
      </c>
      <c r="I14973" s="20">
        <v>-0.35560006883019801</v>
      </c>
      <c r="J14973" s="28">
        <v>0.72214009209173702</v>
      </c>
      <c r="K14973" s="29">
        <v>0.98289565623980701</v>
      </c>
    </row>
    <row r="14974" spans="1:11" x14ac:dyDescent="0.35">
      <c r="A14974" s="9" t="str">
        <f>HYPERLINK("http://www.ensembl.org/id/WBGene00005386", "WBGene00005386")</f>
        <v>WBGene00005386</v>
      </c>
      <c r="B14974" s="9" t="str">
        <f>HYPERLINK("http://www.ncbi.nlm.nih.gov/gene/187710", "187710")</f>
        <v>187710</v>
      </c>
      <c r="C14974" s="9"/>
      <c r="D14974" t="str">
        <f>"srh-170"</f>
        <v>srh-170</v>
      </c>
      <c r="E14974" t="s">
        <v>153</v>
      </c>
      <c r="F14974" t="s">
        <v>11</v>
      </c>
      <c r="G14974" t="s">
        <v>25</v>
      </c>
      <c r="H14974" s="12">
        <v>5.2322000618327396</v>
      </c>
      <c r="I14974" s="20">
        <v>0.486112489888328</v>
      </c>
      <c r="J14974" s="28">
        <v>0.62688741196182496</v>
      </c>
      <c r="K14974" s="29">
        <v>0.98289565623980701</v>
      </c>
    </row>
    <row r="14975" spans="1:11" x14ac:dyDescent="0.35">
      <c r="A14975" s="9" t="str">
        <f>HYPERLINK("http://www.ensembl.org/id/WBGene00005387", "WBGene00005387")</f>
        <v>WBGene00005387</v>
      </c>
      <c r="B14975" s="9" t="str">
        <f>HYPERLINK("http://www.ncbi.nlm.nih.gov/gene/190433", "190433")</f>
        <v>190433</v>
      </c>
      <c r="C14975" s="9"/>
      <c r="D14975" t="str">
        <f>"srh-171"</f>
        <v>srh-171</v>
      </c>
      <c r="E14975" t="s">
        <v>153</v>
      </c>
      <c r="F14975" t="s">
        <v>11</v>
      </c>
      <c r="G14975" t="s">
        <v>25</v>
      </c>
      <c r="H14975" s="12">
        <v>2.1813517984525101</v>
      </c>
      <c r="I14975" s="20">
        <v>0.58486168039369102</v>
      </c>
      <c r="J14975" s="28">
        <v>0.55864072644622698</v>
      </c>
      <c r="K14975" s="29">
        <v>0.98289565623980701</v>
      </c>
    </row>
    <row r="14976" spans="1:11" x14ac:dyDescent="0.35">
      <c r="A14976" s="9" t="str">
        <f>HYPERLINK("http://www.ensembl.org/id/WBGene00005388", "WBGene00005388")</f>
        <v>WBGene00005388</v>
      </c>
      <c r="B14976" s="9" t="str">
        <f>HYPERLINK("http://www.ncbi.nlm.nih.gov/gene/190434", "190434")</f>
        <v>190434</v>
      </c>
      <c r="C14976" s="9"/>
      <c r="D14976" t="str">
        <f>"srh-172"</f>
        <v>srh-172</v>
      </c>
      <c r="E14976" t="s">
        <v>153</v>
      </c>
      <c r="F14976" t="s">
        <v>11</v>
      </c>
      <c r="G14976" t="s">
        <v>25</v>
      </c>
      <c r="H14976" s="12">
        <v>21.6196162908216</v>
      </c>
      <c r="I14976" s="20">
        <v>1.17423555928443</v>
      </c>
      <c r="J14976" s="28">
        <v>0.240300686596679</v>
      </c>
      <c r="K14976" s="29">
        <v>0.98289565623980701</v>
      </c>
    </row>
    <row r="14977" spans="1:11" x14ac:dyDescent="0.35">
      <c r="A14977" s="9" t="str">
        <f>HYPERLINK("http://www.ensembl.org/id/WBGene00005389", "WBGene00005389")</f>
        <v>WBGene00005389</v>
      </c>
      <c r="B14977" s="9" t="str">
        <f>HYPERLINK("http://www.ncbi.nlm.nih.gov/gene/190432", "190432")</f>
        <v>190432</v>
      </c>
      <c r="C14977" s="9"/>
      <c r="D14977" t="str">
        <f>"srh-173"</f>
        <v>srh-173</v>
      </c>
      <c r="E14977" t="s">
        <v>153</v>
      </c>
      <c r="F14977" t="s">
        <v>11</v>
      </c>
      <c r="G14977" t="s">
        <v>25</v>
      </c>
      <c r="H14977" s="12">
        <v>14.098189607313399</v>
      </c>
      <c r="I14977" s="20">
        <v>0.90638981510253003</v>
      </c>
      <c r="J14977" s="28">
        <v>0.36472956169230802</v>
      </c>
      <c r="K14977" s="29">
        <v>0.98289565623980701</v>
      </c>
    </row>
    <row r="14978" spans="1:11" x14ac:dyDescent="0.35">
      <c r="A14978" s="9" t="str">
        <f>HYPERLINK("http://www.ensembl.org/id/WBGene00005390", "WBGene00005390")</f>
        <v>WBGene00005390</v>
      </c>
      <c r="B14978" s="9" t="str">
        <f>HYPERLINK("http://www.ncbi.nlm.nih.gov/gene/185519", "185519")</f>
        <v>185519</v>
      </c>
      <c r="C14978" s="9"/>
      <c r="D14978" t="str">
        <f>"srh-174"</f>
        <v>srh-174</v>
      </c>
      <c r="E14978" t="s">
        <v>153</v>
      </c>
      <c r="F14978" t="s">
        <v>11</v>
      </c>
      <c r="G14978" t="s">
        <v>25</v>
      </c>
      <c r="H14978" s="12">
        <v>5.2322000618327396</v>
      </c>
      <c r="I14978" s="20">
        <v>0.486112489888328</v>
      </c>
      <c r="J14978" s="28">
        <v>0.62688741196182496</v>
      </c>
      <c r="K14978" s="29">
        <v>0.98289565623980701</v>
      </c>
    </row>
    <row r="14979" spans="1:11" x14ac:dyDescent="0.35">
      <c r="A14979" s="9" t="str">
        <f>HYPERLINK("http://www.ensembl.org/id/WBGene00005391", "WBGene00005391")</f>
        <v>WBGene00005391</v>
      </c>
      <c r="B14979" s="9"/>
      <c r="C14979" s="9"/>
      <c r="D14979" t="str">
        <f>"srh-175"</f>
        <v>srh-175</v>
      </c>
      <c r="F14979" t="s">
        <v>80</v>
      </c>
      <c r="H14979" s="12">
        <v>2.3893468495514898</v>
      </c>
      <c r="I14979" s="20">
        <v>0.25323547253672701</v>
      </c>
      <c r="J14979" s="28">
        <v>0.80008625651646104</v>
      </c>
      <c r="K14979" s="29">
        <v>0.98289565623980701</v>
      </c>
    </row>
    <row r="14980" spans="1:11" x14ac:dyDescent="0.35">
      <c r="A14980" s="9" t="str">
        <f>HYPERLINK("http://www.ensembl.org/id/WBGene00005393", "WBGene00005393")</f>
        <v>WBGene00005393</v>
      </c>
      <c r="B14980" s="9" t="str">
        <f>HYPERLINK("http://www.ncbi.nlm.nih.gov/gene/191255", "191255")</f>
        <v>191255</v>
      </c>
      <c r="C14980" s="9"/>
      <c r="D14980" t="str">
        <f>"srh-178"</f>
        <v>srh-178</v>
      </c>
      <c r="E14980" t="s">
        <v>153</v>
      </c>
      <c r="F14980" t="s">
        <v>11</v>
      </c>
      <c r="G14980" t="s">
        <v>25</v>
      </c>
      <c r="H14980" s="12">
        <v>9.5215001458148301</v>
      </c>
      <c r="I14980" s="20">
        <v>0.67036031720767997</v>
      </c>
      <c r="J14980" s="28">
        <v>0.50262812496729803</v>
      </c>
      <c r="K14980" s="29">
        <v>0.98289565623980701</v>
      </c>
    </row>
    <row r="14981" spans="1:11" x14ac:dyDescent="0.35">
      <c r="A14981" s="9" t="str">
        <f>HYPERLINK("http://www.ensembl.org/id/WBGene00005243", "WBGene00005243")</f>
        <v>WBGene00005243</v>
      </c>
      <c r="B14981" s="9" t="str">
        <f>HYPERLINK("http://www.ncbi.nlm.nih.gov/gene/183633", "183633")</f>
        <v>183633</v>
      </c>
      <c r="C14981" s="9"/>
      <c r="D14981" t="str">
        <f>"srh-18"</f>
        <v>srh-18</v>
      </c>
      <c r="E14981" t="s">
        <v>153</v>
      </c>
      <c r="F14981" t="s">
        <v>11</v>
      </c>
      <c r="G14981" t="s">
        <v>25</v>
      </c>
      <c r="H14981" s="12">
        <v>-2.64427511657115</v>
      </c>
      <c r="I14981" s="20">
        <v>-0.52833920201590301</v>
      </c>
      <c r="J14981" s="28">
        <v>0.59726392729827105</v>
      </c>
      <c r="K14981" s="29">
        <v>0.98289565623980701</v>
      </c>
    </row>
    <row r="14982" spans="1:11" x14ac:dyDescent="0.35">
      <c r="A14982" s="9" t="str">
        <f>HYPERLINK("http://www.ensembl.org/id/WBGene00005395", "WBGene00005395")</f>
        <v>WBGene00005395</v>
      </c>
      <c r="B14982" s="9" t="str">
        <f>HYPERLINK("http://www.ncbi.nlm.nih.gov/gene/186464", "186464")</f>
        <v>186464</v>
      </c>
      <c r="C14982" s="9"/>
      <c r="D14982" t="str">
        <f>"srh-180"</f>
        <v>srh-180</v>
      </c>
      <c r="E14982" t="s">
        <v>153</v>
      </c>
      <c r="F14982" t="s">
        <v>11</v>
      </c>
      <c r="G14982" t="s">
        <v>25</v>
      </c>
      <c r="H14982" s="12">
        <v>-13.4303547533762</v>
      </c>
      <c r="I14982" s="20">
        <v>-0.81048130413248398</v>
      </c>
      <c r="J14982" s="28">
        <v>0.41766360599328001</v>
      </c>
      <c r="K14982" s="29">
        <v>0.98289565623980701</v>
      </c>
    </row>
    <row r="14983" spans="1:11" x14ac:dyDescent="0.35">
      <c r="A14983" s="9" t="str">
        <f>HYPERLINK("http://www.ensembl.org/id/WBGene00005397", "WBGene00005397")</f>
        <v>WBGene00005397</v>
      </c>
      <c r="B14983" s="9" t="str">
        <f>HYPERLINK("http://www.ncbi.nlm.nih.gov/gene/191252", "191252")</f>
        <v>191252</v>
      </c>
      <c r="C14983" s="9"/>
      <c r="D14983" t="str">
        <f>"srh-182"</f>
        <v>srh-182</v>
      </c>
      <c r="E14983" t="s">
        <v>153</v>
      </c>
      <c r="F14983" t="s">
        <v>11</v>
      </c>
      <c r="G14983" t="s">
        <v>25</v>
      </c>
      <c r="H14983" s="12">
        <v>1.8699496206591899</v>
      </c>
      <c r="I14983" s="20">
        <v>0.50039741727095499</v>
      </c>
      <c r="J14983" s="28">
        <v>0.61679527157746095</v>
      </c>
      <c r="K14983" s="29">
        <v>0.98289565623980701</v>
      </c>
    </row>
    <row r="14984" spans="1:11" x14ac:dyDescent="0.35">
      <c r="A14984" s="9" t="str">
        <f>HYPERLINK("http://www.ensembl.org/id/WBGene00005398", "WBGene00005398")</f>
        <v>WBGene00005398</v>
      </c>
      <c r="B14984" s="9" t="str">
        <f>HYPERLINK("http://www.ncbi.nlm.nih.gov/gene/190431", "190431")</f>
        <v>190431</v>
      </c>
      <c r="C14984" s="9"/>
      <c r="D14984" t="str">
        <f>"srh-183"</f>
        <v>srh-183</v>
      </c>
      <c r="E14984" t="s">
        <v>153</v>
      </c>
      <c r="F14984" t="s">
        <v>11</v>
      </c>
      <c r="G14984" t="s">
        <v>25</v>
      </c>
      <c r="H14984" s="12">
        <v>-3.33576734137697</v>
      </c>
      <c r="I14984" s="20">
        <v>-0.37789252555813302</v>
      </c>
      <c r="J14984" s="28">
        <v>0.70551043520482504</v>
      </c>
      <c r="K14984" s="29">
        <v>0.98289565623980701</v>
      </c>
    </row>
    <row r="14985" spans="1:11" x14ac:dyDescent="0.35">
      <c r="A14985" s="9" t="str">
        <f>HYPERLINK("http://www.ensembl.org/id/WBGene00005399", "WBGene00005399")</f>
        <v>WBGene00005399</v>
      </c>
      <c r="B14985" s="9" t="str">
        <f>HYPERLINK("http://www.ncbi.nlm.nih.gov/gene/183918", "183918")</f>
        <v>183918</v>
      </c>
      <c r="C14985" s="9"/>
      <c r="D14985" t="str">
        <f>"srh-184"</f>
        <v>srh-184</v>
      </c>
      <c r="E14985" t="s">
        <v>153</v>
      </c>
      <c r="F14985" t="s">
        <v>11</v>
      </c>
      <c r="G14985" t="s">
        <v>25</v>
      </c>
      <c r="H14985" s="12">
        <v>6.0901700758109403</v>
      </c>
      <c r="I14985" s="20">
        <v>0.88733704075956898</v>
      </c>
      <c r="J14985" s="28">
        <v>0.374897468918999</v>
      </c>
      <c r="K14985" s="29">
        <v>0.98289565623980701</v>
      </c>
    </row>
    <row r="14986" spans="1:11" x14ac:dyDescent="0.35">
      <c r="A14986" s="9" t="str">
        <f>HYPERLINK("http://www.ensembl.org/id/WBGene00005400", "WBGene00005400")</f>
        <v>WBGene00005400</v>
      </c>
      <c r="B14986" s="9" t="str">
        <f>HYPERLINK("http://www.ncbi.nlm.nih.gov/gene/191886", "191886")</f>
        <v>191886</v>
      </c>
      <c r="C14986" s="9"/>
      <c r="D14986" t="str">
        <f>"srh-185"</f>
        <v>srh-185</v>
      </c>
      <c r="E14986" t="s">
        <v>153</v>
      </c>
      <c r="F14986" t="s">
        <v>11</v>
      </c>
      <c r="G14986" t="s">
        <v>25</v>
      </c>
      <c r="H14986" s="12">
        <v>6.61045742799383</v>
      </c>
      <c r="I14986" s="20">
        <v>0.55558174612790701</v>
      </c>
      <c r="J14986" s="28">
        <v>0.57849681292850097</v>
      </c>
      <c r="K14986" s="29">
        <v>0.98289565623980701</v>
      </c>
    </row>
    <row r="14987" spans="1:11" x14ac:dyDescent="0.35">
      <c r="A14987" s="9" t="str">
        <f>HYPERLINK("http://www.ensembl.org/id/WBGene00005401", "WBGene00005401")</f>
        <v>WBGene00005401</v>
      </c>
      <c r="B14987" s="9" t="str">
        <f>HYPERLINK("http://www.ncbi.nlm.nih.gov/gene/185366", "185366")</f>
        <v>185366</v>
      </c>
      <c r="C14987" s="9"/>
      <c r="D14987" t="str">
        <f>"srh-186"</f>
        <v>srh-186</v>
      </c>
      <c r="E14987" t="s">
        <v>153</v>
      </c>
      <c r="F14987" t="s">
        <v>11</v>
      </c>
      <c r="G14987" t="s">
        <v>25</v>
      </c>
      <c r="H14987" s="12">
        <v>4.4368407117627902</v>
      </c>
      <c r="I14987" s="20">
        <v>0.43709475933309699</v>
      </c>
      <c r="J14987" s="28">
        <v>0.66204262779770495</v>
      </c>
      <c r="K14987" s="29">
        <v>0.98289565623980701</v>
      </c>
    </row>
    <row r="14988" spans="1:11" x14ac:dyDescent="0.35">
      <c r="A14988" s="9" t="str">
        <f>HYPERLINK("http://www.ensembl.org/id/WBGene00022658", "WBGene00022658")</f>
        <v>WBGene00022658</v>
      </c>
      <c r="B14988" s="9"/>
      <c r="C14988" s="9"/>
      <c r="D14988" t="str">
        <f>"srh-188"</f>
        <v>srh-188</v>
      </c>
      <c r="F14988" t="s">
        <v>80</v>
      </c>
      <c r="H14988" s="12">
        <v>7.8750041662741399</v>
      </c>
      <c r="I14988" s="20">
        <v>0.66270036837280499</v>
      </c>
      <c r="J14988" s="28">
        <v>0.507522473818947</v>
      </c>
      <c r="K14988" s="29">
        <v>0.98289565623980701</v>
      </c>
    </row>
    <row r="14989" spans="1:11" x14ac:dyDescent="0.35">
      <c r="A14989" s="9" t="str">
        <f>HYPERLINK("http://www.ensembl.org/id/WBGene00005406", "WBGene00005406")</f>
        <v>WBGene00005406</v>
      </c>
      <c r="B14989" s="9" t="str">
        <f>HYPERLINK("http://www.ncbi.nlm.nih.gov/gene/185930", "185930")</f>
        <v>185930</v>
      </c>
      <c r="C14989" s="9"/>
      <c r="D14989" t="str">
        <f>"srh-193"</f>
        <v>srh-193</v>
      </c>
      <c r="E14989" t="s">
        <v>153</v>
      </c>
      <c r="F14989" t="s">
        <v>11</v>
      </c>
      <c r="G14989" t="s">
        <v>25</v>
      </c>
      <c r="H14989" s="12">
        <v>2.3893468495514898</v>
      </c>
      <c r="I14989" s="20">
        <v>0.25323547253672701</v>
      </c>
      <c r="J14989" s="28">
        <v>0.80008625651646104</v>
      </c>
      <c r="K14989" s="29">
        <v>0.98289565623980701</v>
      </c>
    </row>
    <row r="14990" spans="1:11" x14ac:dyDescent="0.35">
      <c r="A14990" s="9" t="str">
        <f>HYPERLINK("http://www.ensembl.org/id/WBGene00005409", "WBGene00005409")</f>
        <v>WBGene00005409</v>
      </c>
      <c r="B14990" s="9"/>
      <c r="C14990" s="9"/>
      <c r="D14990" t="str">
        <f>"srh-198"</f>
        <v>srh-198</v>
      </c>
      <c r="F14990" t="s">
        <v>80</v>
      </c>
      <c r="H14990" s="12">
        <v>3.5227018545059199</v>
      </c>
      <c r="I14990" s="20">
        <v>0.36849691206929103</v>
      </c>
      <c r="J14990" s="28">
        <v>0.71250274722433404</v>
      </c>
      <c r="K14990" s="29">
        <v>0.98289565623980701</v>
      </c>
    </row>
    <row r="14991" spans="1:11" x14ac:dyDescent="0.35">
      <c r="A14991" s="9" t="str">
        <f>HYPERLINK("http://www.ensembl.org/id/WBGene00005410", "WBGene00005410")</f>
        <v>WBGene00005410</v>
      </c>
      <c r="B14991" s="9" t="str">
        <f>HYPERLINK("http://www.ncbi.nlm.nih.gov/gene/191415", "191415")</f>
        <v>191415</v>
      </c>
      <c r="C14991" s="9"/>
      <c r="D14991" t="str">
        <f>"srh-199"</f>
        <v>srh-199</v>
      </c>
      <c r="E14991" t="s">
        <v>153</v>
      </c>
      <c r="F14991" t="s">
        <v>11</v>
      </c>
      <c r="G14991" t="s">
        <v>25</v>
      </c>
      <c r="H14991" s="12">
        <v>2.4578120077400301</v>
      </c>
      <c r="I14991" s="20">
        <v>0.26093350314551</v>
      </c>
      <c r="J14991" s="28">
        <v>0.79414378780213601</v>
      </c>
      <c r="K14991" s="29">
        <v>0.98289565623980701</v>
      </c>
    </row>
    <row r="14992" spans="1:11" x14ac:dyDescent="0.35">
      <c r="A14992" s="9" t="str">
        <f>HYPERLINK("http://www.ensembl.org/id/WBGene00005228", "WBGene00005228")</f>
        <v>WBGene00005228</v>
      </c>
      <c r="B14992" s="9" t="str">
        <f>HYPERLINK("http://www.ncbi.nlm.nih.gov/gene/178584", "178584")</f>
        <v>178584</v>
      </c>
      <c r="C14992" s="9"/>
      <c r="D14992" t="str">
        <f>"srh-2"</f>
        <v>srh-2</v>
      </c>
      <c r="E14992" t="s">
        <v>153</v>
      </c>
      <c r="F14992" t="s">
        <v>11</v>
      </c>
      <c r="G14992" t="s">
        <v>25</v>
      </c>
      <c r="H14992" s="12">
        <v>-1.4444580910105</v>
      </c>
      <c r="I14992" s="20">
        <v>-0.882003407712181</v>
      </c>
      <c r="J14992" s="28">
        <v>0.37777496446939501</v>
      </c>
      <c r="K14992" s="29">
        <v>0.98289565623980701</v>
      </c>
    </row>
    <row r="14993" spans="1:11" x14ac:dyDescent="0.35">
      <c r="A14993" s="9" t="str">
        <f>HYPERLINK("http://www.ensembl.org/id/WBGene00005245", "WBGene00005245")</f>
        <v>WBGene00005245</v>
      </c>
      <c r="B14993" s="9" t="str">
        <f>HYPERLINK("http://www.ncbi.nlm.nih.gov/gene/191847", "191847")</f>
        <v>191847</v>
      </c>
      <c r="C14993" s="9"/>
      <c r="D14993" t="str">
        <f>"srh-20"</f>
        <v>srh-20</v>
      </c>
      <c r="E14993" t="s">
        <v>153</v>
      </c>
      <c r="F14993" t="s">
        <v>11</v>
      </c>
      <c r="G14993" t="s">
        <v>25</v>
      </c>
      <c r="H14993" s="12">
        <v>8.4812861841413305</v>
      </c>
      <c r="I14993" s="20">
        <v>0.72035110111219103</v>
      </c>
      <c r="J14993" s="28">
        <v>0.47130884904435499</v>
      </c>
      <c r="K14993" s="29">
        <v>0.98289565623980701</v>
      </c>
    </row>
    <row r="14994" spans="1:11" x14ac:dyDescent="0.35">
      <c r="A14994" s="9" t="str">
        <f>HYPERLINK("http://www.ensembl.org/id/WBGene00005412", "WBGene00005412")</f>
        <v>WBGene00005412</v>
      </c>
      <c r="B14994" s="9" t="str">
        <f>HYPERLINK("http://www.ncbi.nlm.nih.gov/gene/187554", "187554")</f>
        <v>187554</v>
      </c>
      <c r="C14994" s="9"/>
      <c r="D14994" t="str">
        <f>"srh-201"</f>
        <v>srh-201</v>
      </c>
      <c r="E14994" t="s">
        <v>153</v>
      </c>
      <c r="F14994" t="s">
        <v>11</v>
      </c>
      <c r="G14994" t="s">
        <v>25</v>
      </c>
      <c r="H14994" s="12">
        <v>5.4058944669092801</v>
      </c>
      <c r="I14994" s="20">
        <v>0.49762513753689303</v>
      </c>
      <c r="J14994" s="28">
        <v>0.61874828254921799</v>
      </c>
      <c r="K14994" s="29">
        <v>0.98289565623980701</v>
      </c>
    </row>
    <row r="14995" spans="1:11" x14ac:dyDescent="0.35">
      <c r="A14995" s="9" t="str">
        <f>HYPERLINK("http://www.ensembl.org/id/WBGene00005415", "WBGene00005415")</f>
        <v>WBGene00005415</v>
      </c>
      <c r="B14995" s="9" t="str">
        <f>HYPERLINK("http://www.ncbi.nlm.nih.gov/gene/184009", "184009")</f>
        <v>184009</v>
      </c>
      <c r="C14995" s="9"/>
      <c r="D14995" t="str">
        <f>"srh-204"</f>
        <v>srh-204</v>
      </c>
      <c r="E14995" t="s">
        <v>153</v>
      </c>
      <c r="F14995" t="s">
        <v>11</v>
      </c>
      <c r="G14995" t="s">
        <v>25</v>
      </c>
      <c r="H14995" s="12">
        <v>3.5227018545059199</v>
      </c>
      <c r="I14995" s="20">
        <v>0.36849691206929103</v>
      </c>
      <c r="J14995" s="28">
        <v>0.71250274722433404</v>
      </c>
      <c r="K14995" s="29">
        <v>0.98289565623980701</v>
      </c>
    </row>
    <row r="14996" spans="1:11" x14ac:dyDescent="0.35">
      <c r="A14996" s="9" t="str">
        <f>HYPERLINK("http://www.ensembl.org/id/WBGene00005417", "WBGene00005417")</f>
        <v>WBGene00005417</v>
      </c>
      <c r="B14996" s="9" t="str">
        <f>HYPERLINK("http://www.ncbi.nlm.nih.gov/gene/191266", "191266")</f>
        <v>191266</v>
      </c>
      <c r="C14996" s="9"/>
      <c r="D14996" t="str">
        <f>"srh-207"</f>
        <v>srh-207</v>
      </c>
      <c r="E14996" t="s">
        <v>153</v>
      </c>
      <c r="F14996" t="s">
        <v>11</v>
      </c>
      <c r="G14996" t="s">
        <v>25</v>
      </c>
      <c r="H14996" s="12">
        <v>6.0964540778031999</v>
      </c>
      <c r="I14996" s="20">
        <v>0.75114307638817401</v>
      </c>
      <c r="J14996" s="28">
        <v>0.45256655374763</v>
      </c>
      <c r="K14996" s="29">
        <v>0.98289565623980701</v>
      </c>
    </row>
    <row r="14997" spans="1:11" x14ac:dyDescent="0.35">
      <c r="A14997" s="9" t="str">
        <f>HYPERLINK("http://www.ensembl.org/id/WBGene00005418", "WBGene00005418")</f>
        <v>WBGene00005418</v>
      </c>
      <c r="B14997" s="9" t="str">
        <f>HYPERLINK("http://www.ncbi.nlm.nih.gov/gene/183411", "183411")</f>
        <v>183411</v>
      </c>
      <c r="C14997" s="9"/>
      <c r="D14997" t="str">
        <f>"srh-208"</f>
        <v>srh-208</v>
      </c>
      <c r="E14997" t="s">
        <v>153</v>
      </c>
      <c r="F14997" t="s">
        <v>11</v>
      </c>
      <c r="G14997" t="s">
        <v>25</v>
      </c>
      <c r="H14997" s="12">
        <v>4.6658751466477</v>
      </c>
      <c r="I14997" s="20">
        <v>0.61006514994220495</v>
      </c>
      <c r="J14997" s="28">
        <v>0.54181865118905304</v>
      </c>
      <c r="K14997" s="29">
        <v>0.98289565623980701</v>
      </c>
    </row>
    <row r="14998" spans="1:11" x14ac:dyDescent="0.35">
      <c r="A14998" s="9" t="str">
        <f>HYPERLINK("http://www.ensembl.org/id/WBGene00005246", "WBGene00005246")</f>
        <v>WBGene00005246</v>
      </c>
      <c r="B14998" s="9" t="str">
        <f>HYPERLINK("http://www.ncbi.nlm.nih.gov/gene/178886", "178886")</f>
        <v>178886</v>
      </c>
      <c r="C14998" s="9"/>
      <c r="D14998" t="str">
        <f>"srh-21"</f>
        <v>srh-21</v>
      </c>
      <c r="E14998" t="s">
        <v>153</v>
      </c>
      <c r="F14998" t="s">
        <v>11</v>
      </c>
      <c r="G14998" t="s">
        <v>25</v>
      </c>
      <c r="H14998" s="12">
        <v>2.0452535484907801</v>
      </c>
      <c r="I14998" s="20">
        <v>0.60035536352601504</v>
      </c>
      <c r="J14998" s="28">
        <v>0.54826942901206799</v>
      </c>
      <c r="K14998" s="29">
        <v>0.98289565623980701</v>
      </c>
    </row>
    <row r="14999" spans="1:11" x14ac:dyDescent="0.35">
      <c r="A14999" s="9" t="str">
        <f>HYPERLINK("http://www.ensembl.org/id/WBGene00005421", "WBGene00005421")</f>
        <v>WBGene00005421</v>
      </c>
      <c r="B14999" s="9" t="str">
        <f>HYPERLINK("http://www.ncbi.nlm.nih.gov/gene/183922", "183922")</f>
        <v>183922</v>
      </c>
      <c r="C14999" s="9"/>
      <c r="D14999" t="str">
        <f>"srh-211"</f>
        <v>srh-211</v>
      </c>
      <c r="E14999" t="s">
        <v>153</v>
      </c>
      <c r="F14999" t="s">
        <v>11</v>
      </c>
      <c r="G14999" t="s">
        <v>25</v>
      </c>
      <c r="H14999" s="12">
        <v>5.6177655330460103</v>
      </c>
      <c r="I14999" s="20">
        <v>0.68615581608274001</v>
      </c>
      <c r="J14999" s="28">
        <v>0.49261485660610599</v>
      </c>
      <c r="K14999" s="29">
        <v>0.98289565623980701</v>
      </c>
    </row>
    <row r="15000" spans="1:11" x14ac:dyDescent="0.35">
      <c r="A15000" s="9" t="str">
        <f>HYPERLINK("http://www.ensembl.org/id/WBGene00005423", "WBGene00005423")</f>
        <v>WBGene00005423</v>
      </c>
      <c r="B15000" s="9" t="str">
        <f>HYPERLINK("http://www.ncbi.nlm.nih.gov/gene/188749", "188749")</f>
        <v>188749</v>
      </c>
      <c r="C15000" s="9"/>
      <c r="D15000" t="str">
        <f>"srh-213"</f>
        <v>srh-213</v>
      </c>
      <c r="E15000" t="s">
        <v>153</v>
      </c>
      <c r="F15000" t="s">
        <v>11</v>
      </c>
      <c r="G15000" t="s">
        <v>25</v>
      </c>
      <c r="H15000" s="12">
        <v>15.6921441712649</v>
      </c>
      <c r="I15000" s="20">
        <v>0.95028393834463598</v>
      </c>
      <c r="J15000" s="28">
        <v>0.34196799785965198</v>
      </c>
      <c r="K15000" s="29">
        <v>0.98289565623980701</v>
      </c>
    </row>
    <row r="15001" spans="1:11" x14ac:dyDescent="0.35">
      <c r="A15001" s="9" t="str">
        <f>HYPERLINK("http://www.ensembl.org/id/WBGene00005424", "WBGene00005424")</f>
        <v>WBGene00005424</v>
      </c>
      <c r="B15001" s="9" t="str">
        <f>HYPERLINK("http://www.ncbi.nlm.nih.gov/gene/188621", "188621")</f>
        <v>188621</v>
      </c>
      <c r="C15001" s="9"/>
      <c r="D15001" t="str">
        <f>"srh-214"</f>
        <v>srh-214</v>
      </c>
      <c r="E15001" t="s">
        <v>153</v>
      </c>
      <c r="F15001" t="s">
        <v>11</v>
      </c>
      <c r="G15001" t="s">
        <v>25</v>
      </c>
      <c r="H15001" s="12">
        <v>4.4368407117627902</v>
      </c>
      <c r="I15001" s="20">
        <v>0.43709475933309699</v>
      </c>
      <c r="J15001" s="28">
        <v>0.66204262779770495</v>
      </c>
      <c r="K15001" s="29">
        <v>0.98289565623980701</v>
      </c>
    </row>
    <row r="15002" spans="1:11" x14ac:dyDescent="0.35">
      <c r="A15002" s="9" t="str">
        <f>HYPERLINK("http://www.ensembl.org/id/WBGene00005427", "WBGene00005427")</f>
        <v>WBGene00005427</v>
      </c>
      <c r="B15002" s="9" t="str">
        <f>HYPERLINK("http://www.ncbi.nlm.nih.gov/gene/190969", "190969")</f>
        <v>190969</v>
      </c>
      <c r="C15002" s="9"/>
      <c r="D15002" t="str">
        <f>"srh-217"</f>
        <v>srh-217</v>
      </c>
      <c r="E15002" t="s">
        <v>153</v>
      </c>
      <c r="F15002" t="s">
        <v>11</v>
      </c>
      <c r="G15002" t="s">
        <v>25</v>
      </c>
      <c r="H15002" s="12">
        <v>-2.00807653253143</v>
      </c>
      <c r="I15002" s="20">
        <v>-0.60533369587721297</v>
      </c>
      <c r="J15002" s="28">
        <v>0.54495729667618897</v>
      </c>
      <c r="K15002" s="29">
        <v>0.98289565623980701</v>
      </c>
    </row>
    <row r="15003" spans="1:11" x14ac:dyDescent="0.35">
      <c r="A15003" s="9" t="str">
        <f>HYPERLINK("http://www.ensembl.org/id/WBGene00005428", "WBGene00005428")</f>
        <v>WBGene00005428</v>
      </c>
      <c r="B15003" s="9" t="str">
        <f>HYPERLINK("http://www.ncbi.nlm.nih.gov/gene/3565018", "3565018")</f>
        <v>3565018</v>
      </c>
      <c r="C15003" s="9"/>
      <c r="D15003" t="str">
        <f>"srh-218"</f>
        <v>srh-218</v>
      </c>
      <c r="E15003" t="s">
        <v>153</v>
      </c>
      <c r="F15003" t="s">
        <v>11</v>
      </c>
      <c r="G15003" t="s">
        <v>25</v>
      </c>
      <c r="H15003" s="12">
        <v>2.6410662021451499</v>
      </c>
      <c r="I15003" s="20">
        <v>0.51340356126562103</v>
      </c>
      <c r="J15003" s="28">
        <v>0.60766905496593404</v>
      </c>
      <c r="K15003" s="29">
        <v>0.98289565623980701</v>
      </c>
    </row>
    <row r="15004" spans="1:11" x14ac:dyDescent="0.35">
      <c r="A15004" s="9" t="str">
        <f>HYPERLINK("http://www.ensembl.org/id/WBGene00005247", "WBGene00005247")</f>
        <v>WBGene00005247</v>
      </c>
      <c r="B15004" s="9" t="str">
        <f>HYPERLINK("http://www.ncbi.nlm.nih.gov/gene/191848", "191848")</f>
        <v>191848</v>
      </c>
      <c r="C15004" s="9"/>
      <c r="D15004" t="str">
        <f>"srh-22"</f>
        <v>srh-22</v>
      </c>
      <c r="E15004" t="s">
        <v>153</v>
      </c>
      <c r="F15004" t="s">
        <v>11</v>
      </c>
      <c r="G15004" t="s">
        <v>25</v>
      </c>
      <c r="H15004" s="12">
        <v>4.4368407117627902</v>
      </c>
      <c r="I15004" s="20">
        <v>0.43709475933309699</v>
      </c>
      <c r="J15004" s="28">
        <v>0.66204262779770495</v>
      </c>
      <c r="K15004" s="29">
        <v>0.98289565623980701</v>
      </c>
    </row>
    <row r="15005" spans="1:11" x14ac:dyDescent="0.35">
      <c r="A15005" s="9" t="str">
        <f>HYPERLINK("http://www.ensembl.org/id/WBGene00005430", "WBGene00005430")</f>
        <v>WBGene00005430</v>
      </c>
      <c r="B15005" s="9" t="str">
        <f>HYPERLINK("http://www.ncbi.nlm.nih.gov/gene/185917", "185917")</f>
        <v>185917</v>
      </c>
      <c r="C15005" s="9"/>
      <c r="D15005" t="str">
        <f>"srh-220"</f>
        <v>srh-220</v>
      </c>
      <c r="E15005" t="s">
        <v>153</v>
      </c>
      <c r="F15005" t="s">
        <v>11</v>
      </c>
      <c r="G15005" t="s">
        <v>25</v>
      </c>
      <c r="H15005" s="12">
        <v>-4.5114499031905204</v>
      </c>
      <c r="I15005" s="20">
        <v>-0.44198655555625299</v>
      </c>
      <c r="J15005" s="28">
        <v>0.65849893477547905</v>
      </c>
      <c r="K15005" s="29">
        <v>0.98289565623980701</v>
      </c>
    </row>
    <row r="15006" spans="1:11" x14ac:dyDescent="0.35">
      <c r="A15006" s="9" t="str">
        <f>HYPERLINK("http://www.ensembl.org/id/WBGene00005431", "WBGene00005431")</f>
        <v>WBGene00005431</v>
      </c>
      <c r="B15006" s="9"/>
      <c r="C15006" s="9"/>
      <c r="D15006" t="str">
        <f>"srh-221"</f>
        <v>srh-221</v>
      </c>
      <c r="F15006" t="s">
        <v>80</v>
      </c>
      <c r="H15006" s="12">
        <v>2.8263325863407101</v>
      </c>
      <c r="I15006" s="20">
        <v>0.443373027357295</v>
      </c>
      <c r="J15006" s="28">
        <v>0.65749594217485496</v>
      </c>
      <c r="K15006" s="29">
        <v>0.98289565623980701</v>
      </c>
    </row>
    <row r="15007" spans="1:11" x14ac:dyDescent="0.35">
      <c r="A15007" s="9" t="str">
        <f>HYPERLINK("http://www.ensembl.org/id/WBGene00005433", "WBGene00005433")</f>
        <v>WBGene00005433</v>
      </c>
      <c r="B15007" s="9" t="str">
        <f>HYPERLINK("http://www.ncbi.nlm.nih.gov/gene/185916", "185916")</f>
        <v>185916</v>
      </c>
      <c r="C15007" s="9"/>
      <c r="D15007" t="str">
        <f>"srh-223"</f>
        <v>srh-223</v>
      </c>
      <c r="E15007" t="s">
        <v>153</v>
      </c>
      <c r="F15007" t="s">
        <v>11</v>
      </c>
      <c r="G15007" t="s">
        <v>25</v>
      </c>
      <c r="H15007" s="12">
        <v>2.3893468495514898</v>
      </c>
      <c r="I15007" s="20">
        <v>0.25323547253672701</v>
      </c>
      <c r="J15007" s="28">
        <v>0.80008625651646104</v>
      </c>
      <c r="K15007" s="29">
        <v>0.98289565623980701</v>
      </c>
    </row>
    <row r="15008" spans="1:11" x14ac:dyDescent="0.35">
      <c r="A15008" s="9" t="str">
        <f>HYPERLINK("http://www.ensembl.org/id/WBGene00005437", "WBGene00005437")</f>
        <v>WBGene00005437</v>
      </c>
      <c r="B15008" s="9" t="str">
        <f>HYPERLINK("http://www.ncbi.nlm.nih.gov/gene/191888", "191888")</f>
        <v>191888</v>
      </c>
      <c r="C15008" s="9"/>
      <c r="D15008" t="str">
        <f>"srh-229"</f>
        <v>srh-229</v>
      </c>
      <c r="E15008" t="s">
        <v>153</v>
      </c>
      <c r="F15008" t="s">
        <v>11</v>
      </c>
      <c r="G15008" t="s">
        <v>25</v>
      </c>
      <c r="H15008" s="12">
        <v>4.84705885516534</v>
      </c>
      <c r="I15008" s="20">
        <v>0.54594601778963803</v>
      </c>
      <c r="J15008" s="28">
        <v>0.58510304473983399</v>
      </c>
      <c r="K15008" s="29">
        <v>0.98289565623980701</v>
      </c>
    </row>
    <row r="15009" spans="1:11" x14ac:dyDescent="0.35">
      <c r="A15009" s="9" t="str">
        <f>HYPERLINK("http://www.ensembl.org/id/WBGene00005438", "WBGene00005438")</f>
        <v>WBGene00005438</v>
      </c>
      <c r="B15009" s="9"/>
      <c r="C15009" s="9"/>
      <c r="D15009" t="str">
        <f>"srh-230"</f>
        <v>srh-230</v>
      </c>
      <c r="F15009" t="s">
        <v>80</v>
      </c>
      <c r="H15009" s="12">
        <v>4.3287477983577904</v>
      </c>
      <c r="I15009" s="20">
        <v>0.94943777739760404</v>
      </c>
      <c r="J15009" s="28">
        <v>0.34239800439454998</v>
      </c>
      <c r="K15009" s="29">
        <v>0.98289565623980701</v>
      </c>
    </row>
    <row r="15010" spans="1:11" x14ac:dyDescent="0.35">
      <c r="A15010" s="9" t="str">
        <f>HYPERLINK("http://www.ensembl.org/id/WBGene00005439", "WBGene00005439")</f>
        <v>WBGene00005439</v>
      </c>
      <c r="B15010" s="9" t="str">
        <f>HYPERLINK("http://www.ncbi.nlm.nih.gov/gene/182173", "182173")</f>
        <v>182173</v>
      </c>
      <c r="C15010" s="9"/>
      <c r="D15010" t="str">
        <f>"srh-231"</f>
        <v>srh-231</v>
      </c>
      <c r="E15010" t="s">
        <v>153</v>
      </c>
      <c r="F15010" t="s">
        <v>11</v>
      </c>
      <c r="G15010" t="s">
        <v>25</v>
      </c>
      <c r="H15010" s="12">
        <v>3.5227018545059199</v>
      </c>
      <c r="I15010" s="20">
        <v>0.36849691206929103</v>
      </c>
      <c r="J15010" s="28">
        <v>0.71250274722433404</v>
      </c>
      <c r="K15010" s="29">
        <v>0.98289565623980701</v>
      </c>
    </row>
    <row r="15011" spans="1:11" x14ac:dyDescent="0.35">
      <c r="A15011" s="9" t="str">
        <f>HYPERLINK("http://www.ensembl.org/id/WBGene00005446", "WBGene00005446")</f>
        <v>WBGene00005446</v>
      </c>
      <c r="B15011" s="9" t="str">
        <f>HYPERLINK("http://www.ncbi.nlm.nih.gov/gene/188956", "188956")</f>
        <v>188956</v>
      </c>
      <c r="C15011" s="9"/>
      <c r="D15011" t="str">
        <f>"srh-239"</f>
        <v>srh-239</v>
      </c>
      <c r="E15011" t="s">
        <v>153</v>
      </c>
      <c r="F15011" t="s">
        <v>11</v>
      </c>
      <c r="G15011" t="s">
        <v>25</v>
      </c>
      <c r="H15011" s="12">
        <v>-1.95526659264267</v>
      </c>
      <c r="I15011" s="20">
        <v>-0.44414254161161598</v>
      </c>
      <c r="J15011" s="28">
        <v>0.65693953095822499</v>
      </c>
      <c r="K15011" s="29">
        <v>0.98289565623980701</v>
      </c>
    </row>
    <row r="15012" spans="1:11" x14ac:dyDescent="0.35">
      <c r="A15012" s="9" t="str">
        <f>HYPERLINK("http://www.ensembl.org/id/WBGene00005447", "WBGene00005447")</f>
        <v>WBGene00005447</v>
      </c>
      <c r="B15012" s="9" t="str">
        <f>HYPERLINK("http://www.ncbi.nlm.nih.gov/gene/191889", "191889")</f>
        <v>191889</v>
      </c>
      <c r="C15012" s="9"/>
      <c r="D15012" t="str">
        <f>"srh-240"</f>
        <v>srh-240</v>
      </c>
      <c r="E15012" t="s">
        <v>153</v>
      </c>
      <c r="F15012" t="s">
        <v>11</v>
      </c>
      <c r="G15012" t="s">
        <v>25</v>
      </c>
      <c r="H15012" s="12">
        <v>6.2514608453248997</v>
      </c>
      <c r="I15012" s="20">
        <v>0.54591286118210802</v>
      </c>
      <c r="J15012" s="28">
        <v>0.58512583723197797</v>
      </c>
      <c r="K15012" s="29">
        <v>0.98289565623980701</v>
      </c>
    </row>
    <row r="15013" spans="1:11" x14ac:dyDescent="0.35">
      <c r="A15013" s="9" t="str">
        <f>HYPERLINK("http://www.ensembl.org/id/WBGene00005448", "WBGene00005448")</f>
        <v>WBGene00005448</v>
      </c>
      <c r="B15013" s="9" t="str">
        <f>HYPERLINK("http://www.ncbi.nlm.nih.gov/gene/191890", "191890")</f>
        <v>191890</v>
      </c>
      <c r="C15013" s="9"/>
      <c r="D15013" t="str">
        <f>"srh-241"</f>
        <v>srh-241</v>
      </c>
      <c r="E15013" t="s">
        <v>153</v>
      </c>
      <c r="F15013" t="s">
        <v>11</v>
      </c>
      <c r="G15013" t="s">
        <v>25</v>
      </c>
      <c r="H15013" s="12">
        <v>-2.4991590031922399</v>
      </c>
      <c r="I15013" s="20">
        <v>-0.26577412737581302</v>
      </c>
      <c r="J15013" s="28">
        <v>0.79041317015736101</v>
      </c>
      <c r="K15013" s="29">
        <v>0.98289565623980701</v>
      </c>
    </row>
    <row r="15014" spans="1:11" x14ac:dyDescent="0.35">
      <c r="A15014" s="9" t="str">
        <f>HYPERLINK("http://www.ensembl.org/id/WBGene00005450", "WBGene00005450")</f>
        <v>WBGene00005450</v>
      </c>
      <c r="B15014" s="9" t="str">
        <f>HYPERLINK("http://www.ncbi.nlm.nih.gov/gene/182171", "182171")</f>
        <v>182171</v>
      </c>
      <c r="C15014" s="9"/>
      <c r="D15014" t="str">
        <f>"srh-244"</f>
        <v>srh-244</v>
      </c>
      <c r="E15014" t="s">
        <v>153</v>
      </c>
      <c r="F15014" t="s">
        <v>11</v>
      </c>
      <c r="G15014" t="s">
        <v>25</v>
      </c>
      <c r="H15014" s="12">
        <v>2.3893468495514898</v>
      </c>
      <c r="I15014" s="20">
        <v>0.25323547253672701</v>
      </c>
      <c r="J15014" s="28">
        <v>0.80008625651646104</v>
      </c>
      <c r="K15014" s="29">
        <v>0.98289565623980701</v>
      </c>
    </row>
    <row r="15015" spans="1:11" x14ac:dyDescent="0.35">
      <c r="A15015" s="9" t="str">
        <f>HYPERLINK("http://www.ensembl.org/id/WBGene00005451", "WBGene00005451")</f>
        <v>WBGene00005451</v>
      </c>
      <c r="B15015" s="9" t="str">
        <f>HYPERLINK("http://www.ncbi.nlm.nih.gov/gene/191892", "191892")</f>
        <v>191892</v>
      </c>
      <c r="C15015" s="9"/>
      <c r="D15015" t="str">
        <f>"srh-245"</f>
        <v>srh-245</v>
      </c>
      <c r="E15015" t="s">
        <v>153</v>
      </c>
      <c r="F15015" t="s">
        <v>11</v>
      </c>
      <c r="G15015" t="s">
        <v>25</v>
      </c>
      <c r="H15015" s="12">
        <v>1.8890109783147599</v>
      </c>
      <c r="I15015" s="20">
        <v>0.43599928541704902</v>
      </c>
      <c r="J15015" s="28">
        <v>0.66283724802910804</v>
      </c>
      <c r="K15015" s="29">
        <v>0.98289565623980701</v>
      </c>
    </row>
    <row r="15016" spans="1:11" x14ac:dyDescent="0.35">
      <c r="A15016" s="9" t="str">
        <f>HYPERLINK("http://www.ensembl.org/id/WBGene00005456", "WBGene00005456")</f>
        <v>WBGene00005456</v>
      </c>
      <c r="B15016" s="9" t="str">
        <f>HYPERLINK("http://www.ncbi.nlm.nih.gov/gene/183606", "183606")</f>
        <v>183606</v>
      </c>
      <c r="C15016" s="9"/>
      <c r="D15016" t="str">
        <f>"srh-250"</f>
        <v>srh-250</v>
      </c>
      <c r="E15016" t="s">
        <v>153</v>
      </c>
      <c r="F15016" t="s">
        <v>11</v>
      </c>
      <c r="G15016" t="s">
        <v>25</v>
      </c>
      <c r="H15016" s="12">
        <v>2.3893468495514898</v>
      </c>
      <c r="I15016" s="20">
        <v>0.25323547253672701</v>
      </c>
      <c r="J15016" s="28">
        <v>0.80008625651646104</v>
      </c>
      <c r="K15016" s="29">
        <v>0.98289565623980701</v>
      </c>
    </row>
    <row r="15017" spans="1:11" x14ac:dyDescent="0.35">
      <c r="A15017" s="9" t="str">
        <f>HYPERLINK("http://www.ensembl.org/id/WBGene00005457", "WBGene00005457")</f>
        <v>WBGene00005457</v>
      </c>
      <c r="B15017" s="9" t="str">
        <f>HYPERLINK("http://www.ncbi.nlm.nih.gov/gene/187711", "187711")</f>
        <v>187711</v>
      </c>
      <c r="C15017" s="9"/>
      <c r="D15017" t="str">
        <f>"srh-251"</f>
        <v>srh-251</v>
      </c>
      <c r="E15017" t="s">
        <v>153</v>
      </c>
      <c r="F15017" t="s">
        <v>11</v>
      </c>
      <c r="G15017" t="s">
        <v>25</v>
      </c>
      <c r="H15017" s="12">
        <v>2.3893468495514898</v>
      </c>
      <c r="I15017" s="20">
        <v>0.25323547253672701</v>
      </c>
      <c r="J15017" s="28">
        <v>0.80008625651646104</v>
      </c>
      <c r="K15017" s="29">
        <v>0.98289565623980701</v>
      </c>
    </row>
    <row r="15018" spans="1:11" x14ac:dyDescent="0.35">
      <c r="A15018" s="9" t="str">
        <f>HYPERLINK("http://www.ensembl.org/id/WBGene00005458", "WBGene00005458")</f>
        <v>WBGene00005458</v>
      </c>
      <c r="B15018" s="9" t="str">
        <f>HYPERLINK("http://www.ncbi.nlm.nih.gov/gene/188598", "188598")</f>
        <v>188598</v>
      </c>
      <c r="C15018" s="9"/>
      <c r="D15018" t="str">
        <f>"srh-252"</f>
        <v>srh-252</v>
      </c>
      <c r="E15018" t="s">
        <v>153</v>
      </c>
      <c r="F15018" t="s">
        <v>11</v>
      </c>
      <c r="G15018" t="s">
        <v>25</v>
      </c>
      <c r="H15018" s="12">
        <v>-4.7167679298615104</v>
      </c>
      <c r="I15018" s="20">
        <v>-0.454742638005115</v>
      </c>
      <c r="J15018" s="28">
        <v>0.64929440216969203</v>
      </c>
      <c r="K15018" s="29">
        <v>0.98289565623980701</v>
      </c>
    </row>
    <row r="15019" spans="1:11" x14ac:dyDescent="0.35">
      <c r="A15019" s="9" t="str">
        <f>HYPERLINK("http://www.ensembl.org/id/WBGene00005461", "WBGene00005461")</f>
        <v>WBGene00005461</v>
      </c>
      <c r="B15019" s="9" t="str">
        <f>HYPERLINK("http://www.ncbi.nlm.nih.gov/gene/259916", "259916")</f>
        <v>259916</v>
      </c>
      <c r="C15019" s="9"/>
      <c r="D15019" t="str">
        <f>"srh-255"</f>
        <v>srh-255</v>
      </c>
      <c r="E15019" t="s">
        <v>153</v>
      </c>
      <c r="F15019" t="s">
        <v>11</v>
      </c>
      <c r="G15019" t="s">
        <v>25</v>
      </c>
      <c r="H15019" s="12">
        <v>-4.7069891493991998</v>
      </c>
      <c r="I15019" s="20">
        <v>-0.56731576878075296</v>
      </c>
      <c r="J15019" s="28">
        <v>0.57049966550338205</v>
      </c>
      <c r="K15019" s="29">
        <v>0.98289565623980701</v>
      </c>
    </row>
    <row r="15020" spans="1:11" x14ac:dyDescent="0.35">
      <c r="A15020" s="9" t="str">
        <f>HYPERLINK("http://www.ensembl.org/id/WBGene00005469", "WBGene00005469")</f>
        <v>WBGene00005469</v>
      </c>
      <c r="B15020" s="9"/>
      <c r="C15020" s="9"/>
      <c r="D15020" t="str">
        <f>"srh-263"</f>
        <v>srh-263</v>
      </c>
      <c r="F15020" t="s">
        <v>80</v>
      </c>
      <c r="H15020" s="12">
        <v>-4.7167679298615104</v>
      </c>
      <c r="I15020" s="20">
        <v>-0.454742638005115</v>
      </c>
      <c r="J15020" s="28">
        <v>0.64929440216969203</v>
      </c>
      <c r="K15020" s="29">
        <v>0.98289565623980701</v>
      </c>
    </row>
    <row r="15021" spans="1:11" x14ac:dyDescent="0.35">
      <c r="A15021" s="9" t="str">
        <f>HYPERLINK("http://www.ensembl.org/id/WBGene00005474", "WBGene00005474")</f>
        <v>WBGene00005474</v>
      </c>
      <c r="B15021" s="9" t="str">
        <f>HYPERLINK("http://www.ncbi.nlm.nih.gov/gene/191896", "191896")</f>
        <v>191896</v>
      </c>
      <c r="C15021" s="9"/>
      <c r="D15021" t="str">
        <f>"srh-268"</f>
        <v>srh-268</v>
      </c>
      <c r="E15021" t="s">
        <v>153</v>
      </c>
      <c r="F15021" t="s">
        <v>11</v>
      </c>
      <c r="G15021" t="s">
        <v>25</v>
      </c>
      <c r="H15021" s="12">
        <v>2.0152777183558301</v>
      </c>
      <c r="I15021" s="20">
        <v>0.40013292273727202</v>
      </c>
      <c r="J15021" s="28">
        <v>0.68905861643208999</v>
      </c>
      <c r="K15021" s="29">
        <v>0.98289565623980701</v>
      </c>
    </row>
    <row r="15022" spans="1:11" x14ac:dyDescent="0.35">
      <c r="A15022" s="9" t="str">
        <f>HYPERLINK("http://www.ensembl.org/id/WBGene00005476", "WBGene00005476")</f>
        <v>WBGene00005476</v>
      </c>
      <c r="B15022" s="9" t="str">
        <f>HYPERLINK("http://www.ncbi.nlm.nih.gov/gene/185413", "185413")</f>
        <v>185413</v>
      </c>
      <c r="C15022" s="9"/>
      <c r="D15022" t="str">
        <f>"srh-270"</f>
        <v>srh-270</v>
      </c>
      <c r="E15022" t="s">
        <v>153</v>
      </c>
      <c r="F15022" t="s">
        <v>11</v>
      </c>
      <c r="G15022" t="s">
        <v>25</v>
      </c>
      <c r="H15022" s="12">
        <v>2.3023301924467101</v>
      </c>
      <c r="I15022" s="20">
        <v>0.26674601818072902</v>
      </c>
      <c r="J15022" s="28">
        <v>0.78966471981773201</v>
      </c>
      <c r="K15022" s="29">
        <v>0.98289565623980701</v>
      </c>
    </row>
    <row r="15023" spans="1:11" x14ac:dyDescent="0.35">
      <c r="A15023" s="9" t="str">
        <f>HYPERLINK("http://www.ensembl.org/id/WBGene00005477", "WBGene00005477")</f>
        <v>WBGene00005477</v>
      </c>
      <c r="B15023" s="9" t="str">
        <f>HYPERLINK("http://www.ncbi.nlm.nih.gov/gene/189138", "189138")</f>
        <v>189138</v>
      </c>
      <c r="C15023" s="9"/>
      <c r="D15023" t="str">
        <f>"srh-271"</f>
        <v>srh-271</v>
      </c>
      <c r="E15023" t="s">
        <v>153</v>
      </c>
      <c r="F15023" t="s">
        <v>11</v>
      </c>
      <c r="G15023" t="s">
        <v>25</v>
      </c>
      <c r="H15023" s="12">
        <v>1.9318839989358501</v>
      </c>
      <c r="I15023" s="20">
        <v>0.66296310938954295</v>
      </c>
      <c r="J15023" s="28">
        <v>0.50735418115543895</v>
      </c>
      <c r="K15023" s="29">
        <v>0.98289565623980701</v>
      </c>
    </row>
    <row r="15024" spans="1:11" x14ac:dyDescent="0.35">
      <c r="A15024" s="9" t="str">
        <f>HYPERLINK("http://www.ensembl.org/id/WBGene00005479", "WBGene00005479")</f>
        <v>WBGene00005479</v>
      </c>
      <c r="B15024" s="9" t="str">
        <f>HYPERLINK("http://www.ncbi.nlm.nih.gov/gene/183106", "183106")</f>
        <v>183106</v>
      </c>
      <c r="C15024" s="9"/>
      <c r="D15024" t="str">
        <f>"srh-274"</f>
        <v>srh-274</v>
      </c>
      <c r="E15024" t="s">
        <v>153</v>
      </c>
      <c r="F15024" t="s">
        <v>11</v>
      </c>
      <c r="G15024" t="s">
        <v>25</v>
      </c>
      <c r="H15024" s="12">
        <v>3.5227018545059199</v>
      </c>
      <c r="I15024" s="20">
        <v>0.36849691206929103</v>
      </c>
      <c r="J15024" s="28">
        <v>0.71250274722433404</v>
      </c>
      <c r="K15024" s="29">
        <v>0.98289565623980701</v>
      </c>
    </row>
    <row r="15025" spans="1:11" x14ac:dyDescent="0.35">
      <c r="A15025" s="9" t="str">
        <f>HYPERLINK("http://www.ensembl.org/id/WBGene00005481", "WBGene00005481")</f>
        <v>WBGene00005481</v>
      </c>
      <c r="B15025" s="9" t="str">
        <f>HYPERLINK("http://www.ncbi.nlm.nih.gov/gene/184747", "184747")</f>
        <v>184747</v>
      </c>
      <c r="C15025" s="9"/>
      <c r="D15025" t="str">
        <f>"srh-276"</f>
        <v>srh-276</v>
      </c>
      <c r="E15025" t="s">
        <v>153</v>
      </c>
      <c r="F15025" t="s">
        <v>11</v>
      </c>
      <c r="G15025" t="s">
        <v>25</v>
      </c>
      <c r="H15025" s="12">
        <v>7.0069158539749798</v>
      </c>
      <c r="I15025" s="20">
        <v>1.07709385279118</v>
      </c>
      <c r="J15025" s="28">
        <v>0.28143833906570298</v>
      </c>
      <c r="K15025" s="29">
        <v>0.98289565623980701</v>
      </c>
    </row>
    <row r="15026" spans="1:11" x14ac:dyDescent="0.35">
      <c r="A15026" s="9" t="str">
        <f>HYPERLINK("http://www.ensembl.org/id/WBGene00005483", "WBGene00005483")</f>
        <v>WBGene00005483</v>
      </c>
      <c r="B15026" s="9"/>
      <c r="C15026" s="9"/>
      <c r="D15026" t="str">
        <f>"srh-278"</f>
        <v>srh-278</v>
      </c>
      <c r="F15026" t="s">
        <v>80</v>
      </c>
      <c r="H15026" s="12">
        <v>-2.06603164026088</v>
      </c>
      <c r="I15026" s="20">
        <v>-0.59136917990520399</v>
      </c>
      <c r="J15026" s="28">
        <v>0.55427308610144399</v>
      </c>
      <c r="K15026" s="29">
        <v>0.98289565623980701</v>
      </c>
    </row>
    <row r="15027" spans="1:11" x14ac:dyDescent="0.35">
      <c r="A15027" s="9" t="str">
        <f>HYPERLINK("http://www.ensembl.org/id/WBGene00005484", "WBGene00005484")</f>
        <v>WBGene00005484</v>
      </c>
      <c r="B15027" s="9" t="str">
        <f>HYPERLINK("http://www.ncbi.nlm.nih.gov/gene/184329", "184329")</f>
        <v>184329</v>
      </c>
      <c r="C15027" s="9"/>
      <c r="D15027" t="str">
        <f>"srh-279"</f>
        <v>srh-279</v>
      </c>
      <c r="E15027" t="s">
        <v>153</v>
      </c>
      <c r="F15027" t="s">
        <v>11</v>
      </c>
      <c r="G15027" t="s">
        <v>25</v>
      </c>
      <c r="H15027" s="12">
        <v>2.8690470264930399</v>
      </c>
      <c r="I15027" s="20">
        <v>0.37469152751715201</v>
      </c>
      <c r="J15027" s="28">
        <v>0.70788989404854696</v>
      </c>
      <c r="K15027" s="29">
        <v>0.98289565623980701</v>
      </c>
    </row>
    <row r="15028" spans="1:11" x14ac:dyDescent="0.35">
      <c r="A15028" s="9" t="str">
        <f>HYPERLINK("http://www.ensembl.org/id/WBGene00005485", "WBGene00005485")</f>
        <v>WBGene00005485</v>
      </c>
      <c r="B15028" s="9"/>
      <c r="C15028" s="9"/>
      <c r="D15028" t="str">
        <f>"srh-280"</f>
        <v>srh-280</v>
      </c>
      <c r="F15028" t="s">
        <v>80</v>
      </c>
      <c r="H15028" s="12">
        <v>3.5227018545059199</v>
      </c>
      <c r="I15028" s="20">
        <v>0.36849691206929103</v>
      </c>
      <c r="J15028" s="28">
        <v>0.71250274722433404</v>
      </c>
      <c r="K15028" s="29">
        <v>0.98289565623980701</v>
      </c>
    </row>
    <row r="15029" spans="1:11" x14ac:dyDescent="0.35">
      <c r="A15029" s="9" t="str">
        <f>HYPERLINK("http://www.ensembl.org/id/WBGene00005490", "WBGene00005490")</f>
        <v>WBGene00005490</v>
      </c>
      <c r="B15029" s="9" t="str">
        <f>HYPERLINK("http://www.ncbi.nlm.nih.gov/gene/190388", "190388")</f>
        <v>190388</v>
      </c>
      <c r="C15029" s="9"/>
      <c r="D15029" t="str">
        <f>"srh-286"</f>
        <v>srh-286</v>
      </c>
      <c r="E15029" t="s">
        <v>153</v>
      </c>
      <c r="F15029" t="s">
        <v>11</v>
      </c>
      <c r="G15029" t="s">
        <v>25</v>
      </c>
      <c r="H15029" s="12">
        <v>-5.4967879193631202</v>
      </c>
      <c r="I15029" s="20">
        <v>-0.50254160819837501</v>
      </c>
      <c r="J15029" s="28">
        <v>0.61528659178453604</v>
      </c>
      <c r="K15029" s="29">
        <v>0.98289565623980701</v>
      </c>
    </row>
    <row r="15030" spans="1:11" x14ac:dyDescent="0.35">
      <c r="A15030" s="9" t="str">
        <f>HYPERLINK("http://www.ensembl.org/id/WBGene00005492", "WBGene00005492")</f>
        <v>WBGene00005492</v>
      </c>
      <c r="B15030" s="9" t="str">
        <f>HYPERLINK("http://www.ncbi.nlm.nih.gov/gene/260082", "260082")</f>
        <v>260082</v>
      </c>
      <c r="C15030" s="9"/>
      <c r="D15030" t="str">
        <f>"srh-288"</f>
        <v>srh-288</v>
      </c>
      <c r="E15030" t="s">
        <v>153</v>
      </c>
      <c r="F15030" t="s">
        <v>11</v>
      </c>
      <c r="G15030" t="s">
        <v>25</v>
      </c>
      <c r="H15030" s="12">
        <v>2.3893468495514898</v>
      </c>
      <c r="I15030" s="20">
        <v>0.25323547253672701</v>
      </c>
      <c r="J15030" s="28">
        <v>0.80008625651646104</v>
      </c>
      <c r="K15030" s="29">
        <v>0.98289565623980701</v>
      </c>
    </row>
    <row r="15031" spans="1:11" x14ac:dyDescent="0.35">
      <c r="A15031" s="9" t="str">
        <f>HYPERLINK("http://www.ensembl.org/id/WBGene00005500", "WBGene00005500")</f>
        <v>WBGene00005500</v>
      </c>
      <c r="B15031" s="9" t="str">
        <f>HYPERLINK("http://www.ncbi.nlm.nih.gov/gene/190793", "190793")</f>
        <v>190793</v>
      </c>
      <c r="C15031" s="9"/>
      <c r="D15031" t="str">
        <f>"srh-296"</f>
        <v>srh-296</v>
      </c>
      <c r="E15031" t="s">
        <v>153</v>
      </c>
      <c r="F15031" t="s">
        <v>11</v>
      </c>
      <c r="G15031" t="s">
        <v>25</v>
      </c>
      <c r="H15031" s="12">
        <v>15.6921441712649</v>
      </c>
      <c r="I15031" s="20">
        <v>0.95028393834463598</v>
      </c>
      <c r="J15031" s="28">
        <v>0.34196799785965198</v>
      </c>
      <c r="K15031" s="29">
        <v>0.98289565623980701</v>
      </c>
    </row>
    <row r="15032" spans="1:11" x14ac:dyDescent="0.35">
      <c r="A15032" s="9" t="str">
        <f>HYPERLINK("http://www.ensembl.org/id/WBGene00005253", "WBGene00005253")</f>
        <v>WBGene00005253</v>
      </c>
      <c r="B15032" s="9" t="str">
        <f>HYPERLINK("http://www.ncbi.nlm.nih.gov/gene/191851", "191851")</f>
        <v>191851</v>
      </c>
      <c r="C15032" s="9"/>
      <c r="D15032" t="str">
        <f>"srh-30"</f>
        <v>srh-30</v>
      </c>
      <c r="E15032" t="s">
        <v>153</v>
      </c>
      <c r="F15032" t="s">
        <v>11</v>
      </c>
      <c r="G15032" t="s">
        <v>25</v>
      </c>
      <c r="H15032" s="12">
        <v>1.68449110033424</v>
      </c>
      <c r="I15032" s="20">
        <v>0.50630774234991704</v>
      </c>
      <c r="J15032" s="28">
        <v>0.61264062865392799</v>
      </c>
      <c r="K15032" s="29">
        <v>0.98289565623980701</v>
      </c>
    </row>
    <row r="15033" spans="1:11" x14ac:dyDescent="0.35">
      <c r="A15033" s="9" t="str">
        <f>HYPERLINK("http://www.ensembl.org/id/WBGene00005505", "WBGene00005505")</f>
        <v>WBGene00005505</v>
      </c>
      <c r="B15033" s="9" t="str">
        <f>HYPERLINK("http://www.ncbi.nlm.nih.gov/gene/190797", "190797")</f>
        <v>190797</v>
      </c>
      <c r="C15033" s="9"/>
      <c r="D15033" t="str">
        <f>"srh-301"</f>
        <v>srh-301</v>
      </c>
      <c r="E15033" t="s">
        <v>153</v>
      </c>
      <c r="F15033" t="s">
        <v>11</v>
      </c>
      <c r="G15033" t="s">
        <v>25</v>
      </c>
      <c r="H15033" s="12">
        <v>11.170998397396099</v>
      </c>
      <c r="I15033" s="20">
        <v>0.72284615686154896</v>
      </c>
      <c r="J15033" s="28">
        <v>0.46977440626377698</v>
      </c>
      <c r="K15033" s="29">
        <v>0.98289565623980701</v>
      </c>
    </row>
    <row r="15034" spans="1:11" x14ac:dyDescent="0.35">
      <c r="A15034" s="9" t="str">
        <f>HYPERLINK("http://www.ensembl.org/id/WBGene00005506", "WBGene00005506")</f>
        <v>WBGene00005506</v>
      </c>
      <c r="B15034" s="9"/>
      <c r="C15034" s="9"/>
      <c r="D15034" t="str">
        <f>"srh-302"</f>
        <v>srh-302</v>
      </c>
      <c r="F15034" t="s">
        <v>80</v>
      </c>
      <c r="H15034" s="12">
        <v>-2.4991590031922399</v>
      </c>
      <c r="I15034" s="20">
        <v>-0.26577412737581302</v>
      </c>
      <c r="J15034" s="28">
        <v>0.79041317015736101</v>
      </c>
      <c r="K15034" s="29">
        <v>0.98289565623980701</v>
      </c>
    </row>
    <row r="15035" spans="1:11" x14ac:dyDescent="0.35">
      <c r="A15035" s="9" t="str">
        <f>HYPERLINK("http://www.ensembl.org/id/WBGene00005507", "WBGene00005507")</f>
        <v>WBGene00005507</v>
      </c>
      <c r="B15035" s="9" t="str">
        <f>HYPERLINK("http://www.ncbi.nlm.nih.gov/gene/190796", "190796")</f>
        <v>190796</v>
      </c>
      <c r="C15035" s="9"/>
      <c r="D15035" t="str">
        <f>"srh-303"</f>
        <v>srh-303</v>
      </c>
      <c r="E15035" t="s">
        <v>153</v>
      </c>
      <c r="F15035" t="s">
        <v>11</v>
      </c>
      <c r="G15035" t="s">
        <v>25</v>
      </c>
      <c r="H15035" s="12">
        <v>5.4310141578380504</v>
      </c>
      <c r="I15035" s="20">
        <v>0.92824130883961298</v>
      </c>
      <c r="J15035" s="28">
        <v>0.35328241095095703</v>
      </c>
      <c r="K15035" s="29">
        <v>0.98289565623980701</v>
      </c>
    </row>
    <row r="15036" spans="1:11" x14ac:dyDescent="0.35">
      <c r="A15036" s="9" t="str">
        <f>HYPERLINK("http://www.ensembl.org/id/WBGene00005508", "WBGene00005508")</f>
        <v>WBGene00005508</v>
      </c>
      <c r="B15036" s="9" t="str">
        <f>HYPERLINK("http://www.ncbi.nlm.nih.gov/gene/190798", "190798")</f>
        <v>190798</v>
      </c>
      <c r="C15036" s="9"/>
      <c r="D15036" t="str">
        <f>"srh-304"</f>
        <v>srh-304</v>
      </c>
      <c r="E15036" t="s">
        <v>153</v>
      </c>
      <c r="F15036" t="s">
        <v>11</v>
      </c>
      <c r="G15036" t="s">
        <v>25</v>
      </c>
      <c r="H15036" s="12">
        <v>13.4058627948307</v>
      </c>
      <c r="I15036" s="20">
        <v>0.82251412515369104</v>
      </c>
      <c r="J15036" s="28">
        <v>0.41078435087257997</v>
      </c>
      <c r="K15036" s="29">
        <v>0.98289565623980701</v>
      </c>
    </row>
    <row r="15037" spans="1:11" x14ac:dyDescent="0.35">
      <c r="A15037" s="9" t="str">
        <f>HYPERLINK("http://www.ensembl.org/id/WBGene00005256", "WBGene00005256")</f>
        <v>WBGene00005256</v>
      </c>
      <c r="B15037" s="9" t="str">
        <f>HYPERLINK("http://www.ncbi.nlm.nih.gov/gene/191852", "191852")</f>
        <v>191852</v>
      </c>
      <c r="C15037" s="9"/>
      <c r="D15037" t="str">
        <f>"srh-33"</f>
        <v>srh-33</v>
      </c>
      <c r="E15037" t="s">
        <v>153</v>
      </c>
      <c r="F15037" t="s">
        <v>11</v>
      </c>
      <c r="G15037" t="s">
        <v>25</v>
      </c>
      <c r="H15037" s="12">
        <v>7.9390427648019797</v>
      </c>
      <c r="I15037" s="20">
        <v>1.14214963128483</v>
      </c>
      <c r="J15037" s="28">
        <v>0.253391828366195</v>
      </c>
      <c r="K15037" s="29">
        <v>0.98289565623980701</v>
      </c>
    </row>
    <row r="15038" spans="1:11" x14ac:dyDescent="0.35">
      <c r="A15038" s="9" t="str">
        <f>HYPERLINK("http://www.ensembl.org/id/WBGene00005257", "WBGene00005257")</f>
        <v>WBGene00005257</v>
      </c>
      <c r="B15038" s="9" t="str">
        <f>HYPERLINK("http://www.ncbi.nlm.nih.gov/gene/191853", "191853")</f>
        <v>191853</v>
      </c>
      <c r="C15038" s="9"/>
      <c r="D15038" t="str">
        <f>"srh-34"</f>
        <v>srh-34</v>
      </c>
      <c r="E15038" t="s">
        <v>153</v>
      </c>
      <c r="F15038" t="s">
        <v>11</v>
      </c>
      <c r="G15038" t="s">
        <v>25</v>
      </c>
      <c r="H15038" s="12">
        <v>20.901393112954899</v>
      </c>
      <c r="I15038" s="20">
        <v>1.143037777283</v>
      </c>
      <c r="J15038" s="28">
        <v>0.25302290659746701</v>
      </c>
      <c r="K15038" s="29">
        <v>0.98289565623980701</v>
      </c>
    </row>
    <row r="15039" spans="1:11" x14ac:dyDescent="0.35">
      <c r="A15039" s="9" t="str">
        <f>HYPERLINK("http://www.ensembl.org/id/WBGene00005259", "WBGene00005259")</f>
        <v>WBGene00005259</v>
      </c>
      <c r="B15039" s="9" t="str">
        <f>HYPERLINK("http://www.ncbi.nlm.nih.gov/gene/191855", "191855")</f>
        <v>191855</v>
      </c>
      <c r="C15039" s="9"/>
      <c r="D15039" t="str">
        <f>"srh-36"</f>
        <v>srh-36</v>
      </c>
      <c r="E15039" t="s">
        <v>153</v>
      </c>
      <c r="F15039" t="s">
        <v>11</v>
      </c>
      <c r="G15039" t="s">
        <v>25</v>
      </c>
      <c r="H15039" s="12">
        <v>2.3893468495514898</v>
      </c>
      <c r="I15039" s="20">
        <v>0.25323547253672701</v>
      </c>
      <c r="J15039" s="28">
        <v>0.80008625651646104</v>
      </c>
      <c r="K15039" s="29">
        <v>0.98289565623980701</v>
      </c>
    </row>
    <row r="15040" spans="1:11" x14ac:dyDescent="0.35">
      <c r="A15040" s="9" t="str">
        <f>HYPERLINK("http://www.ensembl.org/id/WBGene00005260", "WBGene00005260")</f>
        <v>WBGene00005260</v>
      </c>
      <c r="B15040" s="9" t="str">
        <f>HYPERLINK("http://www.ncbi.nlm.nih.gov/gene/191856", "191856")</f>
        <v>191856</v>
      </c>
      <c r="C15040" s="9"/>
      <c r="D15040" t="str">
        <f>"srh-37"</f>
        <v>srh-37</v>
      </c>
      <c r="E15040" t="s">
        <v>153</v>
      </c>
      <c r="F15040" t="s">
        <v>11</v>
      </c>
      <c r="G15040" t="s">
        <v>25</v>
      </c>
      <c r="H15040" s="12">
        <v>2.3893468495514898</v>
      </c>
      <c r="I15040" s="20">
        <v>0.25323547253672701</v>
      </c>
      <c r="J15040" s="28">
        <v>0.80008625651646104</v>
      </c>
      <c r="K15040" s="29">
        <v>0.98289565623980701</v>
      </c>
    </row>
    <row r="15041" spans="1:11" x14ac:dyDescent="0.35">
      <c r="A15041" s="9" t="str">
        <f>HYPERLINK("http://www.ensembl.org/id/WBGene00005261", "WBGene00005261")</f>
        <v>WBGene00005261</v>
      </c>
      <c r="B15041" s="9" t="str">
        <f>HYPERLINK("http://www.ncbi.nlm.nih.gov/gene/191857", "191857")</f>
        <v>191857</v>
      </c>
      <c r="C15041" s="9"/>
      <c r="D15041" t="str">
        <f>"srh-38"</f>
        <v>srh-38</v>
      </c>
      <c r="E15041" t="s">
        <v>153</v>
      </c>
      <c r="F15041" t="s">
        <v>11</v>
      </c>
      <c r="G15041" t="s">
        <v>25</v>
      </c>
      <c r="H15041" s="12">
        <v>3.5227018545059199</v>
      </c>
      <c r="I15041" s="20">
        <v>0.36849691206929103</v>
      </c>
      <c r="J15041" s="28">
        <v>0.71250274722433404</v>
      </c>
      <c r="K15041" s="29">
        <v>0.98289565623980701</v>
      </c>
    </row>
    <row r="15042" spans="1:11" x14ac:dyDescent="0.35">
      <c r="A15042" s="9" t="str">
        <f>HYPERLINK("http://www.ensembl.org/id/WBGene00005262", "WBGene00005262")</f>
        <v>WBGene00005262</v>
      </c>
      <c r="B15042" s="9" t="str">
        <f>HYPERLINK("http://www.ncbi.nlm.nih.gov/gene/191858", "191858")</f>
        <v>191858</v>
      </c>
      <c r="C15042" s="9"/>
      <c r="D15042" t="str">
        <f>"srh-39"</f>
        <v>srh-39</v>
      </c>
      <c r="E15042" t="s">
        <v>153</v>
      </c>
      <c r="F15042" t="s">
        <v>11</v>
      </c>
      <c r="G15042" t="s">
        <v>25</v>
      </c>
      <c r="H15042" s="12">
        <v>1.5824727161500001</v>
      </c>
      <c r="I15042" s="20">
        <v>0.47032675850739097</v>
      </c>
      <c r="J15042" s="28">
        <v>0.63812158266663599</v>
      </c>
      <c r="K15042" s="29">
        <v>0.98289565623980701</v>
      </c>
    </row>
    <row r="15043" spans="1:11" x14ac:dyDescent="0.35">
      <c r="A15043" s="9" t="str">
        <f>HYPERLINK("http://www.ensembl.org/id/WBGene00005263", "WBGene00005263")</f>
        <v>WBGene00005263</v>
      </c>
      <c r="B15043" s="9" t="str">
        <f>HYPERLINK("http://www.ncbi.nlm.nih.gov/gene/191859", "191859")</f>
        <v>191859</v>
      </c>
      <c r="C15043" s="9"/>
      <c r="D15043" t="str">
        <f>"srh-40"</f>
        <v>srh-40</v>
      </c>
      <c r="E15043" t="s">
        <v>153</v>
      </c>
      <c r="F15043" t="s">
        <v>11</v>
      </c>
      <c r="G15043" t="s">
        <v>25</v>
      </c>
      <c r="H15043" s="12">
        <v>1.4491118993571399</v>
      </c>
      <c r="I15043" s="20">
        <v>0.299275065549299</v>
      </c>
      <c r="J15043" s="28">
        <v>0.76473017804024002</v>
      </c>
      <c r="K15043" s="29">
        <v>0.98289565623980701</v>
      </c>
    </row>
    <row r="15044" spans="1:11" x14ac:dyDescent="0.35">
      <c r="A15044" s="9" t="str">
        <f>HYPERLINK("http://www.ensembl.org/id/WBGene00005264", "WBGene00005264")</f>
        <v>WBGene00005264</v>
      </c>
      <c r="B15044" s="9" t="str">
        <f>HYPERLINK("http://www.ncbi.nlm.nih.gov/gene/190296", "190296")</f>
        <v>190296</v>
      </c>
      <c r="C15044" s="9"/>
      <c r="D15044" t="str">
        <f>"srh-41"</f>
        <v>srh-41</v>
      </c>
      <c r="E15044" t="s">
        <v>153</v>
      </c>
      <c r="F15044" t="s">
        <v>11</v>
      </c>
      <c r="G15044" t="s">
        <v>25</v>
      </c>
      <c r="H15044" s="12">
        <v>-2.1483987211266902</v>
      </c>
      <c r="I15044" s="20">
        <v>-0.37967838102356199</v>
      </c>
      <c r="J15044" s="28">
        <v>0.70418416999855904</v>
      </c>
      <c r="K15044" s="29">
        <v>0.98289565623980701</v>
      </c>
    </row>
    <row r="15045" spans="1:11" x14ac:dyDescent="0.35">
      <c r="A15045" s="9" t="str">
        <f>HYPERLINK("http://www.ensembl.org/id/WBGene00005266", "WBGene00005266")</f>
        <v>WBGene00005266</v>
      </c>
      <c r="B15045" s="9"/>
      <c r="C15045" s="9"/>
      <c r="D15045" t="str">
        <f>"srh-43"</f>
        <v>srh-43</v>
      </c>
      <c r="F15045" t="s">
        <v>80</v>
      </c>
      <c r="H15045" s="12">
        <v>5.2322000618327396</v>
      </c>
      <c r="I15045" s="20">
        <v>0.486112489888328</v>
      </c>
      <c r="J15045" s="28">
        <v>0.62688741196182496</v>
      </c>
      <c r="K15045" s="29">
        <v>0.98289565623980701</v>
      </c>
    </row>
    <row r="15046" spans="1:11" x14ac:dyDescent="0.35">
      <c r="A15046" s="9" t="str">
        <f>HYPERLINK("http://www.ensembl.org/id/WBGene00005267", "WBGene00005267")</f>
        <v>WBGene00005267</v>
      </c>
      <c r="B15046" s="9" t="str">
        <f>HYPERLINK("http://www.ncbi.nlm.nih.gov/gene/181928", "181928")</f>
        <v>181928</v>
      </c>
      <c r="C15046" s="9"/>
      <c r="D15046" t="str">
        <f>"srh-44"</f>
        <v>srh-44</v>
      </c>
      <c r="E15046" t="s">
        <v>153</v>
      </c>
      <c r="F15046" t="s">
        <v>11</v>
      </c>
      <c r="G15046" t="s">
        <v>25</v>
      </c>
      <c r="H15046" s="12">
        <v>2.6158566498436899</v>
      </c>
      <c r="I15046" s="20">
        <v>0.630739910716549</v>
      </c>
      <c r="J15046" s="28">
        <v>0.52821059869683895</v>
      </c>
      <c r="K15046" s="29">
        <v>0.98289565623980701</v>
      </c>
    </row>
    <row r="15047" spans="1:11" x14ac:dyDescent="0.35">
      <c r="A15047" s="9" t="str">
        <f>HYPERLINK("http://www.ensembl.org/id/WBGene00005270", "WBGene00005270")</f>
        <v>WBGene00005270</v>
      </c>
      <c r="B15047" s="9" t="str">
        <f>HYPERLINK("http://www.ncbi.nlm.nih.gov/gene/188026", "188026")</f>
        <v>188026</v>
      </c>
      <c r="C15047" s="9"/>
      <c r="D15047" t="str">
        <f>"srh-47"</f>
        <v>srh-47</v>
      </c>
      <c r="E15047" t="s">
        <v>153</v>
      </c>
      <c r="F15047" t="s">
        <v>11</v>
      </c>
      <c r="G15047" t="s">
        <v>25</v>
      </c>
      <c r="H15047" s="12">
        <v>10.8131830636529</v>
      </c>
      <c r="I15047" s="20">
        <v>0.70982715185838596</v>
      </c>
      <c r="J15047" s="28">
        <v>0.477811329444844</v>
      </c>
      <c r="K15047" s="29">
        <v>0.98289565623980701</v>
      </c>
    </row>
    <row r="15048" spans="1:11" x14ac:dyDescent="0.35">
      <c r="A15048" s="9" t="str">
        <f>HYPERLINK("http://www.ensembl.org/id/WBGene00005272", "WBGene00005272")</f>
        <v>WBGene00005272</v>
      </c>
      <c r="B15048" s="9" t="str">
        <f>HYPERLINK("http://www.ncbi.nlm.nih.gov/gene/191860", "191860")</f>
        <v>191860</v>
      </c>
      <c r="C15048" s="9"/>
      <c r="D15048" t="str">
        <f>"srh-49"</f>
        <v>srh-49</v>
      </c>
      <c r="E15048" t="s">
        <v>153</v>
      </c>
      <c r="F15048" t="s">
        <v>11</v>
      </c>
      <c r="G15048" t="s">
        <v>25</v>
      </c>
      <c r="H15048" s="12">
        <v>6.9267834764449496</v>
      </c>
      <c r="I15048" s="20">
        <v>0.98205998863737598</v>
      </c>
      <c r="J15048" s="28">
        <v>0.32607029559301098</v>
      </c>
      <c r="K15048" s="29">
        <v>0.98289565623980701</v>
      </c>
    </row>
    <row r="15049" spans="1:11" x14ac:dyDescent="0.35">
      <c r="A15049" s="9" t="str">
        <f>HYPERLINK("http://www.ensembl.org/id/WBGene00005273", "WBGene00005273")</f>
        <v>WBGene00005273</v>
      </c>
      <c r="B15049" s="9" t="str">
        <f>HYPERLINK("http://www.ncbi.nlm.nih.gov/gene/191861", "191861")</f>
        <v>191861</v>
      </c>
      <c r="C15049" s="9"/>
      <c r="D15049" t="str">
        <f>"srh-50"</f>
        <v>srh-50</v>
      </c>
      <c r="E15049" t="s">
        <v>153</v>
      </c>
      <c r="F15049" t="s">
        <v>11</v>
      </c>
      <c r="G15049" t="s">
        <v>25</v>
      </c>
      <c r="H15049" s="12">
        <v>17.909354757174501</v>
      </c>
      <c r="I15049" s="20">
        <v>1.1353120762986799</v>
      </c>
      <c r="J15049" s="28">
        <v>0.25624458411416401</v>
      </c>
      <c r="K15049" s="29">
        <v>0.98289565623980701</v>
      </c>
    </row>
    <row r="15050" spans="1:11" x14ac:dyDescent="0.35">
      <c r="A15050" s="9" t="str">
        <f>HYPERLINK("http://www.ensembl.org/id/WBGene00005274", "WBGene00005274")</f>
        <v>WBGene00005274</v>
      </c>
      <c r="B15050" s="9" t="str">
        <f>HYPERLINK("http://www.ncbi.nlm.nih.gov/gene/191862", "191862")</f>
        <v>191862</v>
      </c>
      <c r="C15050" s="9"/>
      <c r="D15050" t="str">
        <f>"srh-51"</f>
        <v>srh-51</v>
      </c>
      <c r="E15050" t="s">
        <v>153</v>
      </c>
      <c r="F15050" t="s">
        <v>11</v>
      </c>
      <c r="G15050" t="s">
        <v>25</v>
      </c>
      <c r="H15050" s="12">
        <v>2.3893468495514898</v>
      </c>
      <c r="I15050" s="20">
        <v>0.25323547253672701</v>
      </c>
      <c r="J15050" s="28">
        <v>0.80008625651646104</v>
      </c>
      <c r="K15050" s="29">
        <v>0.98289565623980701</v>
      </c>
    </row>
    <row r="15051" spans="1:11" x14ac:dyDescent="0.35">
      <c r="A15051" s="9" t="str">
        <f>HYPERLINK("http://www.ensembl.org/id/WBGene00005276", "WBGene00005276")</f>
        <v>WBGene00005276</v>
      </c>
      <c r="B15051" s="9"/>
      <c r="C15051" s="9"/>
      <c r="D15051" t="str">
        <f>"srh-53"</f>
        <v>srh-53</v>
      </c>
      <c r="F15051" t="s">
        <v>80</v>
      </c>
      <c r="H15051" s="12">
        <v>3.5227018545059199</v>
      </c>
      <c r="I15051" s="20">
        <v>0.36849691206929103</v>
      </c>
      <c r="J15051" s="28">
        <v>0.71250274722433404</v>
      </c>
      <c r="K15051" s="29">
        <v>0.98289565623980701</v>
      </c>
    </row>
    <row r="15052" spans="1:11" x14ac:dyDescent="0.35">
      <c r="A15052" s="9" t="str">
        <f>HYPERLINK("http://www.ensembl.org/id/WBGene00005277", "WBGene00005277")</f>
        <v>WBGene00005277</v>
      </c>
      <c r="B15052" s="9"/>
      <c r="C15052" s="9"/>
      <c r="D15052" t="str">
        <f>"srh-54"</f>
        <v>srh-54</v>
      </c>
      <c r="F15052" t="s">
        <v>80</v>
      </c>
      <c r="H15052" s="12">
        <v>3.5227018545059199</v>
      </c>
      <c r="I15052" s="20">
        <v>0.36849691206929103</v>
      </c>
      <c r="J15052" s="28">
        <v>0.71250274722433404</v>
      </c>
      <c r="K15052" s="29">
        <v>0.98289565623980701</v>
      </c>
    </row>
    <row r="15053" spans="1:11" x14ac:dyDescent="0.35">
      <c r="A15053" s="9" t="str">
        <f>HYPERLINK("http://www.ensembl.org/id/WBGene00005278", "WBGene00005278")</f>
        <v>WBGene00005278</v>
      </c>
      <c r="B15053" s="9" t="str">
        <f>HYPERLINK("http://www.ncbi.nlm.nih.gov/gene/188344", "188344")</f>
        <v>188344</v>
      </c>
      <c r="C15053" s="9"/>
      <c r="D15053" t="str">
        <f>"srh-55"</f>
        <v>srh-55</v>
      </c>
      <c r="E15053" t="s">
        <v>153</v>
      </c>
      <c r="F15053" t="s">
        <v>11</v>
      </c>
      <c r="G15053" t="s">
        <v>25</v>
      </c>
      <c r="H15053" s="12">
        <v>2.3893468495514898</v>
      </c>
      <c r="I15053" s="20">
        <v>0.25323547253672701</v>
      </c>
      <c r="J15053" s="28">
        <v>0.80008625651646104</v>
      </c>
      <c r="K15053" s="29">
        <v>0.98289565623980701</v>
      </c>
    </row>
    <row r="15054" spans="1:11" x14ac:dyDescent="0.35">
      <c r="A15054" s="9" t="str">
        <f>HYPERLINK("http://www.ensembl.org/id/WBGene00005279", "WBGene00005279")</f>
        <v>WBGene00005279</v>
      </c>
      <c r="B15054" s="9" t="str">
        <f>HYPERLINK("http://www.ncbi.nlm.nih.gov/gene/191863", "191863")</f>
        <v>191863</v>
      </c>
      <c r="C15054" s="9"/>
      <c r="D15054" t="str">
        <f>"srh-56"</f>
        <v>srh-56</v>
      </c>
      <c r="E15054" t="s">
        <v>153</v>
      </c>
      <c r="F15054" t="s">
        <v>11</v>
      </c>
      <c r="G15054" t="s">
        <v>25</v>
      </c>
      <c r="H15054" s="12">
        <v>2.93534118233887</v>
      </c>
      <c r="I15054" s="20">
        <v>0.52646528360341505</v>
      </c>
      <c r="J15054" s="28">
        <v>0.59856496688265204</v>
      </c>
      <c r="K15054" s="29">
        <v>0.98289565623980701</v>
      </c>
    </row>
    <row r="15055" spans="1:11" x14ac:dyDescent="0.35">
      <c r="A15055" s="9" t="str">
        <f>HYPERLINK("http://www.ensembl.org/id/WBGene00005232", "WBGene00005232")</f>
        <v>WBGene00005232</v>
      </c>
      <c r="B15055" s="9"/>
      <c r="C15055" s="9"/>
      <c r="D15055" t="str">
        <f>"srh-6"</f>
        <v>srh-6</v>
      </c>
      <c r="F15055" t="s">
        <v>80</v>
      </c>
      <c r="H15055" s="12">
        <v>13.4058627948307</v>
      </c>
      <c r="I15055" s="20">
        <v>0.82251412515369104</v>
      </c>
      <c r="J15055" s="28">
        <v>0.41078435087257997</v>
      </c>
      <c r="K15055" s="29">
        <v>0.98289565623980701</v>
      </c>
    </row>
    <row r="15056" spans="1:11" x14ac:dyDescent="0.35">
      <c r="A15056" s="9" t="str">
        <f>HYPERLINK("http://www.ensembl.org/id/WBGene00005282", "WBGene00005282")</f>
        <v>WBGene00005282</v>
      </c>
      <c r="B15056" s="9" t="str">
        <f>HYPERLINK("http://www.ncbi.nlm.nih.gov/gene/191866", "191866")</f>
        <v>191866</v>
      </c>
      <c r="C15056" s="9"/>
      <c r="D15056" t="str">
        <f>"srh-60"</f>
        <v>srh-60</v>
      </c>
      <c r="E15056" t="s">
        <v>153</v>
      </c>
      <c r="F15056" t="s">
        <v>11</v>
      </c>
      <c r="G15056" t="s">
        <v>25</v>
      </c>
      <c r="H15056" s="12">
        <v>9.5215001458148301</v>
      </c>
      <c r="I15056" s="20">
        <v>0.67036031720767997</v>
      </c>
      <c r="J15056" s="28">
        <v>0.50262812496729803</v>
      </c>
      <c r="K15056" s="29">
        <v>0.98289565623980701</v>
      </c>
    </row>
    <row r="15057" spans="1:11" x14ac:dyDescent="0.35">
      <c r="A15057" s="9" t="str">
        <f>HYPERLINK("http://www.ensembl.org/id/WBGene00005233", "WBGene00005233")</f>
        <v>WBGene00005233</v>
      </c>
      <c r="B15057" s="9" t="str">
        <f>HYPERLINK("http://www.ncbi.nlm.nih.gov/gene/191843", "191843")</f>
        <v>191843</v>
      </c>
      <c r="C15057" s="9"/>
      <c r="D15057" t="str">
        <f>"srh-7"</f>
        <v>srh-7</v>
      </c>
      <c r="E15057" t="s">
        <v>153</v>
      </c>
      <c r="F15057" t="s">
        <v>11</v>
      </c>
      <c r="G15057" t="s">
        <v>25</v>
      </c>
      <c r="H15057" s="12">
        <v>-2.4991590031922399</v>
      </c>
      <c r="I15057" s="20">
        <v>-0.26577412737581302</v>
      </c>
      <c r="J15057" s="28">
        <v>0.79041317015736101</v>
      </c>
      <c r="K15057" s="29">
        <v>0.98289565623980701</v>
      </c>
    </row>
    <row r="15058" spans="1:11" x14ac:dyDescent="0.35">
      <c r="A15058" s="9" t="str">
        <f>HYPERLINK("http://www.ensembl.org/id/WBGene00005291", "WBGene00005291")</f>
        <v>WBGene00005291</v>
      </c>
      <c r="B15058" s="9" t="str">
        <f>HYPERLINK("http://www.ncbi.nlm.nih.gov/gene/188678", "188678")</f>
        <v>188678</v>
      </c>
      <c r="C15058" s="9"/>
      <c r="D15058" t="str">
        <f>"srh-70"</f>
        <v>srh-70</v>
      </c>
      <c r="E15058" t="s">
        <v>153</v>
      </c>
      <c r="F15058" t="s">
        <v>11</v>
      </c>
      <c r="G15058" t="s">
        <v>25</v>
      </c>
      <c r="H15058" s="12">
        <v>1.3802726135374099</v>
      </c>
      <c r="I15058" s="20">
        <v>0.43915980391314702</v>
      </c>
      <c r="J15058" s="28">
        <v>0.66054574836800795</v>
      </c>
      <c r="K15058" s="29">
        <v>0.98289565623980701</v>
      </c>
    </row>
    <row r="15059" spans="1:11" x14ac:dyDescent="0.35">
      <c r="A15059" s="9" t="str">
        <f>HYPERLINK("http://www.ensembl.org/id/WBGene00005292", "WBGene00005292")</f>
        <v>WBGene00005292</v>
      </c>
      <c r="B15059" s="9" t="str">
        <f>HYPERLINK("http://www.ncbi.nlm.nih.gov/gene/191868", "191868")</f>
        <v>191868</v>
      </c>
      <c r="C15059" s="9"/>
      <c r="D15059" t="str">
        <f>"srh-71"</f>
        <v>srh-71</v>
      </c>
      <c r="E15059" t="s">
        <v>153</v>
      </c>
      <c r="F15059" t="s">
        <v>11</v>
      </c>
      <c r="G15059" t="s">
        <v>25</v>
      </c>
      <c r="H15059" s="12">
        <v>1.6117681676098701</v>
      </c>
      <c r="I15059" s="20">
        <v>0.68457924564888695</v>
      </c>
      <c r="J15059" s="28">
        <v>0.49360946732329503</v>
      </c>
      <c r="K15059" s="29">
        <v>0.98289565623980701</v>
      </c>
    </row>
    <row r="15060" spans="1:11" x14ac:dyDescent="0.35">
      <c r="A15060" s="9" t="str">
        <f>HYPERLINK("http://www.ensembl.org/id/WBGene00005297", "WBGene00005297")</f>
        <v>WBGene00005297</v>
      </c>
      <c r="B15060" s="9" t="str">
        <f>HYPERLINK("http://www.ncbi.nlm.nih.gov/gene/191870", "191870")</f>
        <v>191870</v>
      </c>
      <c r="C15060" s="9"/>
      <c r="D15060" t="str">
        <f>"srh-76"</f>
        <v>srh-76</v>
      </c>
      <c r="E15060" t="s">
        <v>153</v>
      </c>
      <c r="F15060" t="s">
        <v>11</v>
      </c>
      <c r="G15060" t="s">
        <v>25</v>
      </c>
      <c r="H15060" s="12">
        <v>-1.93454509081571</v>
      </c>
      <c r="I15060" s="20">
        <v>-0.33721730460416299</v>
      </c>
      <c r="J15060" s="28">
        <v>0.73595309331711101</v>
      </c>
      <c r="K15060" s="29">
        <v>0.98289565623980701</v>
      </c>
    </row>
    <row r="15061" spans="1:11" x14ac:dyDescent="0.35">
      <c r="A15061" s="9" t="str">
        <f>HYPERLINK("http://www.ensembl.org/id/WBGene00005299", "WBGene00005299")</f>
        <v>WBGene00005299</v>
      </c>
      <c r="B15061" s="9" t="str">
        <f>HYPERLINK("http://www.ncbi.nlm.nih.gov/gene/191872", "191872")</f>
        <v>191872</v>
      </c>
      <c r="C15061" s="9"/>
      <c r="D15061" t="str">
        <f>"srh-78"</f>
        <v>srh-78</v>
      </c>
      <c r="E15061" t="s">
        <v>153</v>
      </c>
      <c r="F15061" t="s">
        <v>11</v>
      </c>
      <c r="G15061" t="s">
        <v>25</v>
      </c>
      <c r="H15061" s="12">
        <v>2.0219938732549201</v>
      </c>
      <c r="I15061" s="20">
        <v>0.64711809183902602</v>
      </c>
      <c r="J15061" s="28">
        <v>0.51755551704708602</v>
      </c>
      <c r="K15061" s="29">
        <v>0.98289565623980701</v>
      </c>
    </row>
    <row r="15062" spans="1:11" x14ac:dyDescent="0.35">
      <c r="A15062" s="9" t="str">
        <f>HYPERLINK("http://www.ensembl.org/id/WBGene00005300", "WBGene00005300")</f>
        <v>WBGene00005300</v>
      </c>
      <c r="B15062" s="9" t="str">
        <f>HYPERLINK("http://www.ncbi.nlm.nih.gov/gene/191873", "191873")</f>
        <v>191873</v>
      </c>
      <c r="C15062" s="9"/>
      <c r="D15062" t="str">
        <f>"srh-79"</f>
        <v>srh-79</v>
      </c>
      <c r="E15062" t="s">
        <v>153</v>
      </c>
      <c r="F15062" t="s">
        <v>11</v>
      </c>
      <c r="G15062" t="s">
        <v>25</v>
      </c>
      <c r="H15062" s="12">
        <v>3.6645215954135</v>
      </c>
      <c r="I15062" s="20">
        <v>0.37967131826092498</v>
      </c>
      <c r="J15062" s="28">
        <v>0.70418941338960395</v>
      </c>
      <c r="K15062" s="29">
        <v>0.98289565623980701</v>
      </c>
    </row>
    <row r="15063" spans="1:11" x14ac:dyDescent="0.35">
      <c r="A15063" s="9" t="str">
        <f>HYPERLINK("http://www.ensembl.org/id/WBGene00005234", "WBGene00005234")</f>
        <v>WBGene00005234</v>
      </c>
      <c r="B15063" s="9" t="str">
        <f>HYPERLINK("http://www.ncbi.nlm.nih.gov/gene/178808", "178808")</f>
        <v>178808</v>
      </c>
      <c r="C15063" s="9"/>
      <c r="D15063" t="str">
        <f>"srh-8"</f>
        <v>srh-8</v>
      </c>
      <c r="E15063" t="s">
        <v>153</v>
      </c>
      <c r="F15063" t="s">
        <v>11</v>
      </c>
      <c r="G15063" t="s">
        <v>25</v>
      </c>
      <c r="H15063" s="12">
        <v>17.223130728813899</v>
      </c>
      <c r="I15063" s="20">
        <v>0.99938245926255598</v>
      </c>
      <c r="J15063" s="28">
        <v>0.31760945369935101</v>
      </c>
      <c r="K15063" s="29">
        <v>0.98289565623980701</v>
      </c>
    </row>
    <row r="15064" spans="1:11" x14ac:dyDescent="0.35">
      <c r="A15064" s="9" t="str">
        <f>HYPERLINK("http://www.ensembl.org/id/WBGene00005301", "WBGene00005301")</f>
        <v>WBGene00005301</v>
      </c>
      <c r="B15064" s="9" t="str">
        <f>HYPERLINK("http://www.ncbi.nlm.nih.gov/gene/191874", "191874")</f>
        <v>191874</v>
      </c>
      <c r="C15064" s="9"/>
      <c r="D15064" t="str">
        <f>"srh-80"</f>
        <v>srh-80</v>
      </c>
      <c r="E15064" t="s">
        <v>153</v>
      </c>
      <c r="F15064" t="s">
        <v>11</v>
      </c>
      <c r="G15064" t="s">
        <v>25</v>
      </c>
      <c r="H15064" s="12">
        <v>5.9495765472548197</v>
      </c>
      <c r="I15064" s="20">
        <v>0.52429389276509997</v>
      </c>
      <c r="J15064" s="28">
        <v>0.60007414400596704</v>
      </c>
      <c r="K15064" s="29">
        <v>0.98289565623980701</v>
      </c>
    </row>
    <row r="15065" spans="1:11" x14ac:dyDescent="0.35">
      <c r="A15065" s="9" t="str">
        <f>HYPERLINK("http://www.ensembl.org/id/WBGene00005303", "WBGene00005303")</f>
        <v>WBGene00005303</v>
      </c>
      <c r="B15065" s="9" t="str">
        <f>HYPERLINK("http://www.ncbi.nlm.nih.gov/gene/259811", "259811")</f>
        <v>259811</v>
      </c>
      <c r="C15065" s="9"/>
      <c r="D15065" t="str">
        <f>"srh-82"</f>
        <v>srh-82</v>
      </c>
      <c r="E15065" t="s">
        <v>153</v>
      </c>
      <c r="F15065" t="s">
        <v>11</v>
      </c>
      <c r="G15065" t="s">
        <v>25</v>
      </c>
      <c r="H15065" s="12">
        <v>5.5066077065513603</v>
      </c>
      <c r="I15065" s="20">
        <v>0.924004321485419</v>
      </c>
      <c r="J15065" s="28">
        <v>0.35548406582609099</v>
      </c>
      <c r="K15065" s="29">
        <v>0.98289565623980701</v>
      </c>
    </row>
    <row r="15066" spans="1:11" x14ac:dyDescent="0.35">
      <c r="A15066" s="9" t="str">
        <f>HYPERLINK("http://www.ensembl.org/id/WBGene00005305", "WBGene00005305")</f>
        <v>WBGene00005305</v>
      </c>
      <c r="B15066" s="9"/>
      <c r="C15066" s="9"/>
      <c r="D15066" t="str">
        <f>"srh-84"</f>
        <v>srh-84</v>
      </c>
      <c r="F15066" t="s">
        <v>80</v>
      </c>
      <c r="H15066" s="12">
        <v>4.4368407117627902</v>
      </c>
      <c r="I15066" s="20">
        <v>0.43709475933309699</v>
      </c>
      <c r="J15066" s="28">
        <v>0.66204262779770495</v>
      </c>
      <c r="K15066" s="29">
        <v>0.98289565623980701</v>
      </c>
    </row>
    <row r="15067" spans="1:11" x14ac:dyDescent="0.35">
      <c r="A15067" s="9" t="str">
        <f>HYPERLINK("http://www.ensembl.org/id/WBGene00005307", "WBGene00005307")</f>
        <v>WBGene00005307</v>
      </c>
      <c r="B15067" s="9"/>
      <c r="C15067" s="9"/>
      <c r="D15067" t="str">
        <f>"srh-86"</f>
        <v>srh-86</v>
      </c>
      <c r="F15067" t="s">
        <v>80</v>
      </c>
      <c r="H15067" s="12">
        <v>5.2322000618327396</v>
      </c>
      <c r="I15067" s="20">
        <v>0.486112489888328</v>
      </c>
      <c r="J15067" s="28">
        <v>0.62688741196182496</v>
      </c>
      <c r="K15067" s="29">
        <v>0.98289565623980701</v>
      </c>
    </row>
    <row r="15068" spans="1:11" x14ac:dyDescent="0.35">
      <c r="A15068" s="9" t="str">
        <f>HYPERLINK("http://www.ensembl.org/id/WBGene00005308", "WBGene00005308")</f>
        <v>WBGene00005308</v>
      </c>
      <c r="B15068" s="9" t="str">
        <f>HYPERLINK("http://www.ncbi.nlm.nih.gov/gene/191876", "191876")</f>
        <v>191876</v>
      </c>
      <c r="C15068" s="9"/>
      <c r="D15068" t="str">
        <f>"srh-87"</f>
        <v>srh-87</v>
      </c>
      <c r="E15068" t="s">
        <v>153</v>
      </c>
      <c r="F15068" t="s">
        <v>11</v>
      </c>
      <c r="G15068" t="s">
        <v>25</v>
      </c>
      <c r="H15068" s="12">
        <v>1.71533592859474</v>
      </c>
      <c r="I15068" s="20">
        <v>0.44723034531420802</v>
      </c>
      <c r="J15068" s="28">
        <v>0.65470875343822299</v>
      </c>
      <c r="K15068" s="29">
        <v>0.98289565623980701</v>
      </c>
    </row>
    <row r="15069" spans="1:11" x14ac:dyDescent="0.35">
      <c r="A15069" s="9" t="str">
        <f>HYPERLINK("http://www.ensembl.org/id/WBGene00005309", "WBGene00005309")</f>
        <v>WBGene00005309</v>
      </c>
      <c r="B15069" s="9" t="str">
        <f>HYPERLINK("http://www.ncbi.nlm.nih.gov/gene/191877", "191877")</f>
        <v>191877</v>
      </c>
      <c r="C15069" s="9"/>
      <c r="D15069" t="str">
        <f>"srh-88"</f>
        <v>srh-88</v>
      </c>
      <c r="E15069" t="s">
        <v>153</v>
      </c>
      <c r="F15069" t="s">
        <v>11</v>
      </c>
      <c r="G15069" t="s">
        <v>25</v>
      </c>
      <c r="H15069" s="12">
        <v>2.3893468495514898</v>
      </c>
      <c r="I15069" s="20">
        <v>0.25323547253672701</v>
      </c>
      <c r="J15069" s="28">
        <v>0.80008625651646104</v>
      </c>
      <c r="K15069" s="29">
        <v>0.98289565623980701</v>
      </c>
    </row>
    <row r="15070" spans="1:11" x14ac:dyDescent="0.35">
      <c r="A15070" s="9" t="str">
        <f>HYPERLINK("http://www.ensembl.org/id/WBGene00005310", "WBGene00005310")</f>
        <v>WBGene00005310</v>
      </c>
      <c r="B15070" s="9" t="str">
        <f>HYPERLINK("http://www.ncbi.nlm.nih.gov/gene/191878", "191878")</f>
        <v>191878</v>
      </c>
      <c r="C15070" s="9"/>
      <c r="D15070" t="str">
        <f>"srh-89"</f>
        <v>srh-89</v>
      </c>
      <c r="E15070" t="s">
        <v>153</v>
      </c>
      <c r="F15070" t="s">
        <v>11</v>
      </c>
      <c r="G15070" t="s">
        <v>25</v>
      </c>
      <c r="H15070" s="12">
        <v>-2.4991590031922399</v>
      </c>
      <c r="I15070" s="20">
        <v>-0.26577412737581302</v>
      </c>
      <c r="J15070" s="28">
        <v>0.79041317015736101</v>
      </c>
      <c r="K15070" s="29">
        <v>0.98289565623980701</v>
      </c>
    </row>
    <row r="15071" spans="1:11" x14ac:dyDescent="0.35">
      <c r="A15071" s="9" t="str">
        <f>HYPERLINK("http://www.ensembl.org/id/WBGene00005235", "WBGene00005235")</f>
        <v>WBGene00005235</v>
      </c>
      <c r="B15071" s="9"/>
      <c r="C15071" s="9"/>
      <c r="D15071" t="str">
        <f>"srh-9"</f>
        <v>srh-9</v>
      </c>
      <c r="F15071" t="s">
        <v>80</v>
      </c>
      <c r="H15071" s="12">
        <v>2.5804913399495302</v>
      </c>
      <c r="I15071" s="20">
        <v>0.42182016046674897</v>
      </c>
      <c r="J15071" s="28">
        <v>0.673156289193379</v>
      </c>
      <c r="K15071" s="29">
        <v>0.98289565623980701</v>
      </c>
    </row>
    <row r="15072" spans="1:11" x14ac:dyDescent="0.35">
      <c r="A15072" s="9" t="str">
        <f>HYPERLINK("http://www.ensembl.org/id/WBGene00005312", "WBGene00005312")</f>
        <v>WBGene00005312</v>
      </c>
      <c r="B15072" s="9"/>
      <c r="C15072" s="9"/>
      <c r="D15072" t="str">
        <f>"srh-91"</f>
        <v>srh-91</v>
      </c>
      <c r="F15072" t="s">
        <v>80</v>
      </c>
      <c r="H15072" s="12">
        <v>2.4578120077400301</v>
      </c>
      <c r="I15072" s="20">
        <v>0.26093350314551</v>
      </c>
      <c r="J15072" s="28">
        <v>0.79414378780213601</v>
      </c>
      <c r="K15072" s="29">
        <v>0.98289565623980701</v>
      </c>
    </row>
    <row r="15073" spans="1:11" x14ac:dyDescent="0.35">
      <c r="A15073" s="9" t="str">
        <f>HYPERLINK("http://www.ensembl.org/id/WBGene00005315", "WBGene00005315")</f>
        <v>WBGene00005315</v>
      </c>
      <c r="B15073" s="9" t="str">
        <f>HYPERLINK("http://www.ncbi.nlm.nih.gov/gene/184799", "184799")</f>
        <v>184799</v>
      </c>
      <c r="C15073" s="9"/>
      <c r="D15073" t="str">
        <f>"srh-95"</f>
        <v>srh-95</v>
      </c>
      <c r="E15073" t="s">
        <v>153</v>
      </c>
      <c r="F15073" t="s">
        <v>11</v>
      </c>
      <c r="G15073" t="s">
        <v>25</v>
      </c>
      <c r="H15073" s="12">
        <v>2.34541765407553</v>
      </c>
      <c r="I15073" s="20">
        <v>0.28884083622080498</v>
      </c>
      <c r="J15073" s="28">
        <v>0.772703180542197</v>
      </c>
      <c r="K15073" s="29">
        <v>0.98289565623980701</v>
      </c>
    </row>
    <row r="15074" spans="1:11" x14ac:dyDescent="0.35">
      <c r="A15074" s="9" t="str">
        <f>HYPERLINK("http://www.ensembl.org/id/WBGene00005316", "WBGene00005316")</f>
        <v>WBGene00005316</v>
      </c>
      <c r="B15074" s="9" t="str">
        <f>HYPERLINK("http://www.ncbi.nlm.nih.gov/gene/186072", "186072")</f>
        <v>186072</v>
      </c>
      <c r="C15074" s="9"/>
      <c r="D15074" t="str">
        <f>"srh-97"</f>
        <v>srh-97</v>
      </c>
      <c r="E15074" t="s">
        <v>153</v>
      </c>
      <c r="F15074" t="s">
        <v>11</v>
      </c>
      <c r="G15074" t="s">
        <v>25</v>
      </c>
      <c r="H15074" s="12">
        <v>2.4578120077400301</v>
      </c>
      <c r="I15074" s="20">
        <v>0.26093350314551</v>
      </c>
      <c r="J15074" s="28">
        <v>0.79414378780213601</v>
      </c>
      <c r="K15074" s="29">
        <v>0.98289565623980701</v>
      </c>
    </row>
    <row r="15075" spans="1:11" x14ac:dyDescent="0.35">
      <c r="A15075" s="9" t="str">
        <f>HYPERLINK("http://www.ensembl.org/id/WBGene00005523", "WBGene00005523")</f>
        <v>WBGene00005523</v>
      </c>
      <c r="B15075" s="9" t="str">
        <f>HYPERLINK("http://www.ncbi.nlm.nih.gov/gene/188765", "188765")</f>
        <v>188765</v>
      </c>
      <c r="C15075" s="9"/>
      <c r="D15075" t="str">
        <f>"sri-11"</f>
        <v>sri-11</v>
      </c>
      <c r="E15075" t="s">
        <v>1503</v>
      </c>
      <c r="F15075" t="s">
        <v>11</v>
      </c>
      <c r="G15075" t="s">
        <v>25</v>
      </c>
      <c r="H15075" s="12">
        <v>1.4389667688521</v>
      </c>
      <c r="I15075" s="20">
        <v>0.32285681887826201</v>
      </c>
      <c r="J15075" s="28">
        <v>0.74680367996646801</v>
      </c>
      <c r="K15075" s="29">
        <v>0.98289565623980701</v>
      </c>
    </row>
    <row r="15076" spans="1:11" x14ac:dyDescent="0.35">
      <c r="A15076" s="9" t="str">
        <f>HYPERLINK("http://www.ensembl.org/id/WBGene00005525", "WBGene00005525")</f>
        <v>WBGene00005525</v>
      </c>
      <c r="B15076" s="9" t="str">
        <f>HYPERLINK("http://www.ncbi.nlm.nih.gov/gene/187388", "187388")</f>
        <v>187388</v>
      </c>
      <c r="C15076" s="9"/>
      <c r="D15076" t="str">
        <f>"sri-13"</f>
        <v>sri-13</v>
      </c>
      <c r="E15076" t="s">
        <v>1503</v>
      </c>
      <c r="F15076" t="s">
        <v>11</v>
      </c>
      <c r="G15076" t="s">
        <v>25</v>
      </c>
      <c r="H15076" s="12">
        <v>5.2322000618327396</v>
      </c>
      <c r="I15076" s="20">
        <v>0.486112489888328</v>
      </c>
      <c r="J15076" s="28">
        <v>0.62688741196182496</v>
      </c>
      <c r="K15076" s="29">
        <v>0.98289565623980701</v>
      </c>
    </row>
    <row r="15077" spans="1:11" x14ac:dyDescent="0.35">
      <c r="A15077" s="9" t="str">
        <f>HYPERLINK("http://www.ensembl.org/id/WBGene00005527", "WBGene00005527")</f>
        <v>WBGene00005527</v>
      </c>
      <c r="B15077" s="9" t="str">
        <f>HYPERLINK("http://www.ncbi.nlm.nih.gov/gene/184549", "184549")</f>
        <v>184549</v>
      </c>
      <c r="C15077" s="9"/>
      <c r="D15077" t="str">
        <f>"sri-15"</f>
        <v>sri-15</v>
      </c>
      <c r="E15077" t="s">
        <v>1503</v>
      </c>
      <c r="F15077" t="s">
        <v>11</v>
      </c>
      <c r="G15077" t="s">
        <v>25</v>
      </c>
      <c r="H15077" s="12">
        <v>3.5227018545059199</v>
      </c>
      <c r="I15077" s="20">
        <v>0.36849691206929103</v>
      </c>
      <c r="J15077" s="28">
        <v>0.71250274722433404</v>
      </c>
      <c r="K15077" s="29">
        <v>0.98289565623980701</v>
      </c>
    </row>
    <row r="15078" spans="1:11" x14ac:dyDescent="0.35">
      <c r="A15078" s="9" t="str">
        <f>HYPERLINK("http://www.ensembl.org/id/WBGene00005529", "WBGene00005529")</f>
        <v>WBGene00005529</v>
      </c>
      <c r="B15078" s="9" t="str">
        <f>HYPERLINK("http://www.ncbi.nlm.nih.gov/gene/184550", "184550")</f>
        <v>184550</v>
      </c>
      <c r="C15078" s="9"/>
      <c r="D15078" t="str">
        <f>"sri-17"</f>
        <v>sri-17</v>
      </c>
      <c r="E15078" t="s">
        <v>1503</v>
      </c>
      <c r="F15078" t="s">
        <v>11</v>
      </c>
      <c r="G15078" t="s">
        <v>25</v>
      </c>
      <c r="H15078" s="12">
        <v>5.8167546518197897</v>
      </c>
      <c r="I15078" s="20">
        <v>0.64169808733842404</v>
      </c>
      <c r="J15078" s="28">
        <v>0.52106923135193595</v>
      </c>
      <c r="K15078" s="29">
        <v>0.98289565623980701</v>
      </c>
    </row>
    <row r="15079" spans="1:11" x14ac:dyDescent="0.35">
      <c r="A15079" s="9" t="str">
        <f>HYPERLINK("http://www.ensembl.org/id/WBGene00005530", "WBGene00005530")</f>
        <v>WBGene00005530</v>
      </c>
      <c r="B15079" s="9" t="str">
        <f>HYPERLINK("http://www.ncbi.nlm.nih.gov/gene/189519", "189519")</f>
        <v>189519</v>
      </c>
      <c r="C15079" s="9"/>
      <c r="D15079" t="str">
        <f>"sri-18"</f>
        <v>sri-18</v>
      </c>
      <c r="E15079" t="s">
        <v>1503</v>
      </c>
      <c r="F15079" t="s">
        <v>11</v>
      </c>
      <c r="G15079" t="s">
        <v>25</v>
      </c>
      <c r="H15079" s="12">
        <v>7.6295305787048404</v>
      </c>
      <c r="I15079" s="20">
        <v>1.00899061152037</v>
      </c>
      <c r="J15079" s="28">
        <v>0.312979136791734</v>
      </c>
      <c r="K15079" s="29">
        <v>0.98289565623980701</v>
      </c>
    </row>
    <row r="15080" spans="1:11" x14ac:dyDescent="0.35">
      <c r="A15080" s="9" t="str">
        <f>HYPERLINK("http://www.ensembl.org/id/WBGene00005531", "WBGene00005531")</f>
        <v>WBGene00005531</v>
      </c>
      <c r="B15080" s="9" t="str">
        <f>HYPERLINK("http://www.ncbi.nlm.nih.gov/gene/190552", "190552")</f>
        <v>190552</v>
      </c>
      <c r="C15080" s="9"/>
      <c r="D15080" t="str">
        <f>"sri-19"</f>
        <v>sri-19</v>
      </c>
      <c r="E15080" t="s">
        <v>1503</v>
      </c>
      <c r="F15080" t="s">
        <v>11</v>
      </c>
      <c r="G15080" t="s">
        <v>25</v>
      </c>
      <c r="H15080" s="12">
        <v>-1.7188858559495199</v>
      </c>
      <c r="I15080" s="20">
        <v>-0.253198050115234</v>
      </c>
      <c r="J15080" s="28">
        <v>0.80011517321733605</v>
      </c>
      <c r="K15080" s="29">
        <v>0.98289565623980701</v>
      </c>
    </row>
    <row r="15081" spans="1:11" x14ac:dyDescent="0.35">
      <c r="A15081" s="9" t="str">
        <f>HYPERLINK("http://www.ensembl.org/id/WBGene00005514", "WBGene00005514")</f>
        <v>WBGene00005514</v>
      </c>
      <c r="B15081" s="9" t="str">
        <f>HYPERLINK("http://www.ncbi.nlm.nih.gov/gene/185372", "185372")</f>
        <v>185372</v>
      </c>
      <c r="C15081" s="9"/>
      <c r="D15081" t="str">
        <f>"sri-2"</f>
        <v>sri-2</v>
      </c>
      <c r="E15081" t="s">
        <v>1503</v>
      </c>
      <c r="F15081" t="s">
        <v>11</v>
      </c>
      <c r="G15081" t="s">
        <v>25</v>
      </c>
      <c r="H15081" s="12">
        <v>2.1179709964042801</v>
      </c>
      <c r="I15081" s="20">
        <v>0.300827502990479</v>
      </c>
      <c r="J15081" s="28">
        <v>0.76354603491985695</v>
      </c>
      <c r="K15081" s="29">
        <v>0.98289565623980701</v>
      </c>
    </row>
    <row r="15082" spans="1:11" x14ac:dyDescent="0.35">
      <c r="A15082" s="9" t="str">
        <f>HYPERLINK("http://www.ensembl.org/id/WBGene00005533", "WBGene00005533")</f>
        <v>WBGene00005533</v>
      </c>
      <c r="B15082" s="9" t="str">
        <f>HYPERLINK("http://www.ncbi.nlm.nih.gov/gene/191901", "191901")</f>
        <v>191901</v>
      </c>
      <c r="C15082" s="9"/>
      <c r="D15082" t="str">
        <f>"sri-21"</f>
        <v>sri-21</v>
      </c>
      <c r="E15082" t="s">
        <v>1503</v>
      </c>
      <c r="F15082" t="s">
        <v>11</v>
      </c>
      <c r="G15082" t="s">
        <v>25</v>
      </c>
      <c r="H15082" s="12">
        <v>2.2858051198222999</v>
      </c>
      <c r="I15082" s="20">
        <v>0.84478546649969499</v>
      </c>
      <c r="J15082" s="28">
        <v>0.39823063053785002</v>
      </c>
      <c r="K15082" s="29">
        <v>0.98289565623980701</v>
      </c>
    </row>
    <row r="15083" spans="1:11" x14ac:dyDescent="0.35">
      <c r="A15083" s="9" t="str">
        <f>HYPERLINK("http://www.ensembl.org/id/WBGene00005534", "WBGene00005534")</f>
        <v>WBGene00005534</v>
      </c>
      <c r="B15083" s="9"/>
      <c r="C15083" s="9"/>
      <c r="D15083" t="str">
        <f>"sri-22"</f>
        <v>sri-22</v>
      </c>
      <c r="F15083" t="s">
        <v>80</v>
      </c>
      <c r="H15083" s="12">
        <v>1.3128224282283301</v>
      </c>
      <c r="I15083" s="20">
        <v>0.60886094776530297</v>
      </c>
      <c r="J15083" s="28">
        <v>0.54261661124277505</v>
      </c>
      <c r="K15083" s="29">
        <v>0.98289565623980701</v>
      </c>
    </row>
    <row r="15084" spans="1:11" x14ac:dyDescent="0.35">
      <c r="A15084" s="9" t="str">
        <f>HYPERLINK("http://www.ensembl.org/id/WBGene00005536", "WBGene00005536")</f>
        <v>WBGene00005536</v>
      </c>
      <c r="B15084" s="9" t="str">
        <f>HYPERLINK("http://www.ncbi.nlm.nih.gov/gene/183387", "183387")</f>
        <v>183387</v>
      </c>
      <c r="C15084" s="9"/>
      <c r="D15084" t="str">
        <f>"sri-24"</f>
        <v>sri-24</v>
      </c>
      <c r="E15084" t="s">
        <v>1503</v>
      </c>
      <c r="F15084" t="s">
        <v>11</v>
      </c>
      <c r="G15084" t="s">
        <v>25</v>
      </c>
      <c r="H15084" s="12">
        <v>2.3893468495514898</v>
      </c>
      <c r="I15084" s="20">
        <v>0.25323547253672701</v>
      </c>
      <c r="J15084" s="28">
        <v>0.80008625651646104</v>
      </c>
      <c r="K15084" s="29">
        <v>0.98289565623980701</v>
      </c>
    </row>
    <row r="15085" spans="1:11" x14ac:dyDescent="0.35">
      <c r="A15085" s="9" t="str">
        <f>HYPERLINK("http://www.ensembl.org/id/WBGene00005537", "WBGene00005537")</f>
        <v>WBGene00005537</v>
      </c>
      <c r="B15085" s="9" t="str">
        <f>HYPERLINK("http://www.ncbi.nlm.nih.gov/gene/183386", "183386")</f>
        <v>183386</v>
      </c>
      <c r="C15085" s="9"/>
      <c r="D15085" t="str">
        <f>"sri-25"</f>
        <v>sri-25</v>
      </c>
      <c r="E15085" t="s">
        <v>1503</v>
      </c>
      <c r="F15085" t="s">
        <v>11</v>
      </c>
      <c r="G15085" t="s">
        <v>25</v>
      </c>
      <c r="H15085" s="12">
        <v>4.4368407117627902</v>
      </c>
      <c r="I15085" s="20">
        <v>0.43709475933309699</v>
      </c>
      <c r="J15085" s="28">
        <v>0.66204262779770495</v>
      </c>
      <c r="K15085" s="29">
        <v>0.98289565623980701</v>
      </c>
    </row>
    <row r="15086" spans="1:11" x14ac:dyDescent="0.35">
      <c r="A15086" s="9" t="str">
        <f>HYPERLINK("http://www.ensembl.org/id/WBGene00005538", "WBGene00005538")</f>
        <v>WBGene00005538</v>
      </c>
      <c r="B15086" s="9" t="str">
        <f>HYPERLINK("http://www.ncbi.nlm.nih.gov/gene/183389", "183389")</f>
        <v>183389</v>
      </c>
      <c r="C15086" s="9"/>
      <c r="D15086" t="str">
        <f>"sri-26"</f>
        <v>sri-26</v>
      </c>
      <c r="E15086" t="s">
        <v>1503</v>
      </c>
      <c r="F15086" t="s">
        <v>11</v>
      </c>
      <c r="G15086" t="s">
        <v>25</v>
      </c>
      <c r="H15086" s="12">
        <v>2.7267127577567098</v>
      </c>
      <c r="I15086" s="20">
        <v>0.47441745755300702</v>
      </c>
      <c r="J15086" s="28">
        <v>0.63520224643437995</v>
      </c>
      <c r="K15086" s="29">
        <v>0.98289565623980701</v>
      </c>
    </row>
    <row r="15087" spans="1:11" x14ac:dyDescent="0.35">
      <c r="A15087" s="9" t="str">
        <f>HYPERLINK("http://www.ensembl.org/id/WBGene00005539", "WBGene00005539")</f>
        <v>WBGene00005539</v>
      </c>
      <c r="B15087" s="9" t="str">
        <f>HYPERLINK("http://www.ncbi.nlm.nih.gov/gene/191902", "191902")</f>
        <v>191902</v>
      </c>
      <c r="C15087" s="9"/>
      <c r="D15087" t="str">
        <f>"sri-27"</f>
        <v>sri-27</v>
      </c>
      <c r="E15087" t="s">
        <v>1503</v>
      </c>
      <c r="F15087" t="s">
        <v>11</v>
      </c>
      <c r="G15087" t="s">
        <v>25</v>
      </c>
      <c r="H15087" s="12">
        <v>3.5227018545059199</v>
      </c>
      <c r="I15087" s="20">
        <v>0.36849691206929103</v>
      </c>
      <c r="J15087" s="28">
        <v>0.71250274722433404</v>
      </c>
      <c r="K15087" s="29">
        <v>0.98289565623980701</v>
      </c>
    </row>
    <row r="15088" spans="1:11" x14ac:dyDescent="0.35">
      <c r="A15088" s="9" t="str">
        <f>HYPERLINK("http://www.ensembl.org/id/WBGene00005540", "WBGene00005540")</f>
        <v>WBGene00005540</v>
      </c>
      <c r="B15088" s="9" t="str">
        <f>HYPERLINK("http://www.ncbi.nlm.nih.gov/gene/191903", "191903")</f>
        <v>191903</v>
      </c>
      <c r="C15088" s="9"/>
      <c r="D15088" t="str">
        <f>"sri-28"</f>
        <v>sri-28</v>
      </c>
      <c r="E15088" t="s">
        <v>1503</v>
      </c>
      <c r="F15088" t="s">
        <v>11</v>
      </c>
      <c r="G15088" t="s">
        <v>25</v>
      </c>
      <c r="H15088" s="12">
        <v>2.3893468495514898</v>
      </c>
      <c r="I15088" s="20">
        <v>0.25323547253672701</v>
      </c>
      <c r="J15088" s="28">
        <v>0.80008625651646104</v>
      </c>
      <c r="K15088" s="29">
        <v>0.98289565623980701</v>
      </c>
    </row>
    <row r="15089" spans="1:11" x14ac:dyDescent="0.35">
      <c r="A15089" s="9" t="str">
        <f>HYPERLINK("http://www.ensembl.org/id/WBGene00005541", "WBGene00005541")</f>
        <v>WBGene00005541</v>
      </c>
      <c r="B15089" s="9" t="str">
        <f>HYPERLINK("http://www.ncbi.nlm.nih.gov/gene/191904", "191904")</f>
        <v>191904</v>
      </c>
      <c r="C15089" s="9"/>
      <c r="D15089" t="str">
        <f>"sri-29"</f>
        <v>sri-29</v>
      </c>
      <c r="E15089" t="s">
        <v>1503</v>
      </c>
      <c r="F15089" t="s">
        <v>11</v>
      </c>
      <c r="G15089" t="s">
        <v>25</v>
      </c>
      <c r="H15089" s="12">
        <v>1.4025085873604199</v>
      </c>
      <c r="I15089" s="20">
        <v>0.375282688837906</v>
      </c>
      <c r="J15089" s="28">
        <v>0.70745023923176598</v>
      </c>
      <c r="K15089" s="29">
        <v>0.98289565623980701</v>
      </c>
    </row>
    <row r="15090" spans="1:11" x14ac:dyDescent="0.35">
      <c r="A15090" s="9" t="str">
        <f>HYPERLINK("http://www.ensembl.org/id/WBGene00005542", "WBGene00005542")</f>
        <v>WBGene00005542</v>
      </c>
      <c r="B15090" s="9" t="str">
        <f>HYPERLINK("http://www.ncbi.nlm.nih.gov/gene/191905", "191905")</f>
        <v>191905</v>
      </c>
      <c r="C15090" s="9"/>
      <c r="D15090" t="str">
        <f>"sri-30"</f>
        <v>sri-30</v>
      </c>
      <c r="E15090" t="s">
        <v>1503</v>
      </c>
      <c r="F15090" t="s">
        <v>11</v>
      </c>
      <c r="G15090" t="s">
        <v>25</v>
      </c>
      <c r="H15090" s="12">
        <v>1.2774076113675099</v>
      </c>
      <c r="I15090" s="20">
        <v>0.36529944210249699</v>
      </c>
      <c r="J15090" s="28">
        <v>0.71488789481247295</v>
      </c>
      <c r="K15090" s="29">
        <v>0.98289565623980701</v>
      </c>
    </row>
    <row r="15091" spans="1:11" x14ac:dyDescent="0.35">
      <c r="A15091" s="9" t="str">
        <f>HYPERLINK("http://www.ensembl.org/id/WBGene00005543", "WBGene00005543")</f>
        <v>WBGene00005543</v>
      </c>
      <c r="B15091" s="9" t="str">
        <f>HYPERLINK("http://www.ncbi.nlm.nih.gov/gene/191906", "191906")</f>
        <v>191906</v>
      </c>
      <c r="C15091" s="9"/>
      <c r="D15091" t="str">
        <f>"sri-31"</f>
        <v>sri-31</v>
      </c>
      <c r="E15091" t="s">
        <v>1503</v>
      </c>
      <c r="F15091" t="s">
        <v>11</v>
      </c>
      <c r="G15091" t="s">
        <v>25</v>
      </c>
      <c r="H15091" s="12">
        <v>1.62731083628658</v>
      </c>
      <c r="I15091" s="20">
        <v>0.39490483365409401</v>
      </c>
      <c r="J15091" s="28">
        <v>0.69291312258972504</v>
      </c>
      <c r="K15091" s="29">
        <v>0.98289565623980701</v>
      </c>
    </row>
    <row r="15092" spans="1:11" x14ac:dyDescent="0.35">
      <c r="A15092" s="9" t="str">
        <f>HYPERLINK("http://www.ensembl.org/id/WBGene00005544", "WBGene00005544")</f>
        <v>WBGene00005544</v>
      </c>
      <c r="B15092" s="9" t="str">
        <f>HYPERLINK("http://www.ncbi.nlm.nih.gov/gene/191907", "191907")</f>
        <v>191907</v>
      </c>
      <c r="C15092" s="9"/>
      <c r="D15092" t="str">
        <f>"sri-32"</f>
        <v>sri-32</v>
      </c>
      <c r="E15092" t="s">
        <v>1503</v>
      </c>
      <c r="F15092" t="s">
        <v>11</v>
      </c>
      <c r="G15092" t="s">
        <v>25</v>
      </c>
      <c r="H15092" s="12">
        <v>2.4578120077400301</v>
      </c>
      <c r="I15092" s="20">
        <v>0.26093350314551</v>
      </c>
      <c r="J15092" s="28">
        <v>0.79414378780213601</v>
      </c>
      <c r="K15092" s="29">
        <v>0.98289565623980701</v>
      </c>
    </row>
    <row r="15093" spans="1:11" x14ac:dyDescent="0.35">
      <c r="A15093" s="9" t="str">
        <f>HYPERLINK("http://www.ensembl.org/id/WBGene00005547", "WBGene00005547")</f>
        <v>WBGene00005547</v>
      </c>
      <c r="B15093" s="9"/>
      <c r="C15093" s="9"/>
      <c r="D15093" t="str">
        <f>"sri-35"</f>
        <v>sri-35</v>
      </c>
      <c r="F15093" t="s">
        <v>80</v>
      </c>
      <c r="H15093" s="12">
        <v>3.26262118372756</v>
      </c>
      <c r="I15093" s="20">
        <v>0.53374819968693399</v>
      </c>
      <c r="J15093" s="28">
        <v>0.593515756745706</v>
      </c>
      <c r="K15093" s="29">
        <v>0.98289565623980701</v>
      </c>
    </row>
    <row r="15094" spans="1:11" x14ac:dyDescent="0.35">
      <c r="A15094" s="9" t="str">
        <f>HYPERLINK("http://www.ensembl.org/id/WBGene00005552", "WBGene00005552")</f>
        <v>WBGene00005552</v>
      </c>
      <c r="B15094" s="9" t="str">
        <f>HYPERLINK("http://www.ncbi.nlm.nih.gov/gene/191914", "191914")</f>
        <v>191914</v>
      </c>
      <c r="C15094" s="9"/>
      <c r="D15094" t="str">
        <f>"sri-40"</f>
        <v>sri-40</v>
      </c>
      <c r="E15094" t="s">
        <v>1503</v>
      </c>
      <c r="F15094" t="s">
        <v>11</v>
      </c>
      <c r="G15094" t="s">
        <v>25</v>
      </c>
      <c r="H15094" s="12">
        <v>-1.2470895966497999</v>
      </c>
      <c r="I15094" s="20">
        <v>-0.89064402046234703</v>
      </c>
      <c r="J15094" s="28">
        <v>0.373120175303782</v>
      </c>
      <c r="K15094" s="29">
        <v>0.98289565623980701</v>
      </c>
    </row>
    <row r="15095" spans="1:11" x14ac:dyDescent="0.35">
      <c r="A15095" s="9" t="str">
        <f>HYPERLINK("http://www.ensembl.org/id/WBGene00005555", "WBGene00005555")</f>
        <v>WBGene00005555</v>
      </c>
      <c r="B15095" s="9" t="str">
        <f>HYPERLINK("http://www.ncbi.nlm.nih.gov/gene/191916", "191916")</f>
        <v>191916</v>
      </c>
      <c r="C15095" s="9"/>
      <c r="D15095" t="str">
        <f>"sri-43"</f>
        <v>sri-43</v>
      </c>
      <c r="E15095" t="s">
        <v>1503</v>
      </c>
      <c r="F15095" t="s">
        <v>11</v>
      </c>
      <c r="G15095" t="s">
        <v>25</v>
      </c>
      <c r="H15095" s="12">
        <v>2.3893468495514898</v>
      </c>
      <c r="I15095" s="20">
        <v>0.25323547253672701</v>
      </c>
      <c r="J15095" s="28">
        <v>0.80008625651646104</v>
      </c>
      <c r="K15095" s="29">
        <v>0.98289565623980701</v>
      </c>
    </row>
    <row r="15096" spans="1:11" x14ac:dyDescent="0.35">
      <c r="A15096" s="9" t="str">
        <f>HYPERLINK("http://www.ensembl.org/id/WBGene00005557", "WBGene00005557")</f>
        <v>WBGene00005557</v>
      </c>
      <c r="B15096" s="9" t="str">
        <f>HYPERLINK("http://www.ncbi.nlm.nih.gov/gene/191917", "191917")</f>
        <v>191917</v>
      </c>
      <c r="C15096" s="9"/>
      <c r="D15096" t="str">
        <f>"sri-45"</f>
        <v>sri-45</v>
      </c>
      <c r="E15096" t="s">
        <v>1503</v>
      </c>
      <c r="F15096" t="s">
        <v>11</v>
      </c>
      <c r="G15096" t="s">
        <v>25</v>
      </c>
      <c r="H15096" s="12">
        <v>-2.8846790438530001</v>
      </c>
      <c r="I15096" s="20">
        <v>-0.55312603827912799</v>
      </c>
      <c r="J15096" s="28">
        <v>0.58017710797940003</v>
      </c>
      <c r="K15096" s="29">
        <v>0.98289565623980701</v>
      </c>
    </row>
    <row r="15097" spans="1:11" x14ac:dyDescent="0.35">
      <c r="A15097" s="9" t="str">
        <f>HYPERLINK("http://www.ensembl.org/id/WBGene00005559", "WBGene00005559")</f>
        <v>WBGene00005559</v>
      </c>
      <c r="B15097" s="9" t="str">
        <f>HYPERLINK("http://www.ncbi.nlm.nih.gov/gene/184833", "184833")</f>
        <v>184833</v>
      </c>
      <c r="C15097" s="9"/>
      <c r="D15097" t="str">
        <f>"sri-47"</f>
        <v>sri-47</v>
      </c>
      <c r="E15097" t="s">
        <v>1503</v>
      </c>
      <c r="F15097" t="s">
        <v>11</v>
      </c>
      <c r="G15097" t="s">
        <v>25</v>
      </c>
      <c r="H15097" s="12">
        <v>-1.6301793080160201</v>
      </c>
      <c r="I15097" s="20">
        <v>-0.28742912025273398</v>
      </c>
      <c r="J15097" s="28">
        <v>0.77378376672035298</v>
      </c>
      <c r="K15097" s="29">
        <v>0.98289565623980701</v>
      </c>
    </row>
    <row r="15098" spans="1:11" x14ac:dyDescent="0.35">
      <c r="A15098" s="9" t="str">
        <f>HYPERLINK("http://www.ensembl.org/id/WBGene00005561", "WBGene00005561")</f>
        <v>WBGene00005561</v>
      </c>
      <c r="B15098" s="9"/>
      <c r="C15098" s="9"/>
      <c r="D15098" t="str">
        <f>"sri-49"</f>
        <v>sri-49</v>
      </c>
      <c r="F15098" t="s">
        <v>80</v>
      </c>
      <c r="H15098" s="12">
        <v>-2.4991590031922399</v>
      </c>
      <c r="I15098" s="20">
        <v>-0.26577412737581302</v>
      </c>
      <c r="J15098" s="28">
        <v>0.79041317015736101</v>
      </c>
      <c r="K15098" s="29">
        <v>0.98289565623980701</v>
      </c>
    </row>
    <row r="15099" spans="1:11" x14ac:dyDescent="0.35">
      <c r="A15099" s="9" t="str">
        <f>HYPERLINK("http://www.ensembl.org/id/WBGene00005517", "WBGene00005517")</f>
        <v>WBGene00005517</v>
      </c>
      <c r="B15099" s="9" t="str">
        <f>HYPERLINK("http://www.ncbi.nlm.nih.gov/gene/185064", "185064")</f>
        <v>185064</v>
      </c>
      <c r="C15099" s="9"/>
      <c r="D15099" t="str">
        <f>"sri-5"</f>
        <v>sri-5</v>
      </c>
      <c r="E15099" t="s">
        <v>1503</v>
      </c>
      <c r="F15099" t="s">
        <v>11</v>
      </c>
      <c r="G15099" t="s">
        <v>25</v>
      </c>
      <c r="H15099" s="12">
        <v>-1.40651720296968</v>
      </c>
      <c r="I15099" s="20">
        <v>-0.35491021927842697</v>
      </c>
      <c r="J15099" s="28">
        <v>0.72265685235226296</v>
      </c>
      <c r="K15099" s="29">
        <v>0.98289565623980701</v>
      </c>
    </row>
    <row r="15100" spans="1:11" x14ac:dyDescent="0.35">
      <c r="A15100" s="9" t="str">
        <f>HYPERLINK("http://www.ensembl.org/id/WBGene00005565", "WBGene00005565")</f>
        <v>WBGene00005565</v>
      </c>
      <c r="B15100" s="9" t="str">
        <f>HYPERLINK("http://www.ncbi.nlm.nih.gov/gene/191922", "191922")</f>
        <v>191922</v>
      </c>
      <c r="C15100" s="9"/>
      <c r="D15100" t="str">
        <f>"sri-53"</f>
        <v>sri-53</v>
      </c>
      <c r="E15100" t="s">
        <v>1503</v>
      </c>
      <c r="F15100" t="s">
        <v>11</v>
      </c>
      <c r="G15100" t="s">
        <v>25</v>
      </c>
      <c r="H15100" s="12">
        <v>5.2322000618327396</v>
      </c>
      <c r="I15100" s="20">
        <v>0.486112489888328</v>
      </c>
      <c r="J15100" s="28">
        <v>0.62688741196182496</v>
      </c>
      <c r="K15100" s="29">
        <v>0.98289565623980701</v>
      </c>
    </row>
    <row r="15101" spans="1:11" x14ac:dyDescent="0.35">
      <c r="A15101" s="9" t="str">
        <f>HYPERLINK("http://www.ensembl.org/id/WBGene00005567", "WBGene00005567")</f>
        <v>WBGene00005567</v>
      </c>
      <c r="B15101" s="9"/>
      <c r="C15101" s="9"/>
      <c r="D15101" t="str">
        <f>"sri-55"</f>
        <v>sri-55</v>
      </c>
      <c r="F15101" t="s">
        <v>80</v>
      </c>
      <c r="H15101" s="12">
        <v>2.8631366128142002</v>
      </c>
      <c r="I15101" s="20">
        <v>0.67070439590435604</v>
      </c>
      <c r="J15101" s="28">
        <v>0.50240886190105405</v>
      </c>
      <c r="K15101" s="29">
        <v>0.98289565623980701</v>
      </c>
    </row>
    <row r="15102" spans="1:11" x14ac:dyDescent="0.35">
      <c r="A15102" s="9" t="str">
        <f>HYPERLINK("http://www.ensembl.org/id/WBGene00005569", "WBGene00005569")</f>
        <v>WBGene00005569</v>
      </c>
      <c r="B15102" s="9" t="str">
        <f>HYPERLINK("http://www.ncbi.nlm.nih.gov/gene/184844", "184844")</f>
        <v>184844</v>
      </c>
      <c r="C15102" s="9"/>
      <c r="D15102" t="str">
        <f>"sri-57"</f>
        <v>sri-57</v>
      </c>
      <c r="E15102" t="s">
        <v>1503</v>
      </c>
      <c r="F15102" t="s">
        <v>11</v>
      </c>
      <c r="G15102" t="s">
        <v>25</v>
      </c>
      <c r="H15102" s="12">
        <v>2.90686596826965</v>
      </c>
      <c r="I15102" s="20">
        <v>0.77262555751175499</v>
      </c>
      <c r="J15102" s="28">
        <v>0.43974401457315199</v>
      </c>
      <c r="K15102" s="29">
        <v>0.98289565623980701</v>
      </c>
    </row>
    <row r="15103" spans="1:11" x14ac:dyDescent="0.35">
      <c r="A15103" s="9" t="str">
        <f>HYPERLINK("http://www.ensembl.org/id/WBGene00005570", "WBGene00005570")</f>
        <v>WBGene00005570</v>
      </c>
      <c r="B15103" s="9"/>
      <c r="C15103" s="9"/>
      <c r="D15103" t="str">
        <f>"sri-58"</f>
        <v>sri-58</v>
      </c>
      <c r="F15103" t="s">
        <v>80</v>
      </c>
      <c r="H15103" s="12">
        <v>2.3893468495514898</v>
      </c>
      <c r="I15103" s="20">
        <v>0.25323547253672701</v>
      </c>
      <c r="J15103" s="28">
        <v>0.80008625651646104</v>
      </c>
      <c r="K15103" s="29">
        <v>0.98289565623980701</v>
      </c>
    </row>
    <row r="15104" spans="1:11" x14ac:dyDescent="0.35">
      <c r="A15104" s="9" t="str">
        <f>HYPERLINK("http://www.ensembl.org/id/WBGene00005574", "WBGene00005574")</f>
        <v>WBGene00005574</v>
      </c>
      <c r="B15104" s="9" t="str">
        <f>HYPERLINK("http://www.ncbi.nlm.nih.gov/gene/24104530", "24104530")</f>
        <v>24104530</v>
      </c>
      <c r="C15104" s="9"/>
      <c r="D15104" t="str">
        <f>"sri-62"</f>
        <v>sri-62</v>
      </c>
      <c r="E15104" t="s">
        <v>1503</v>
      </c>
      <c r="F15104" t="s">
        <v>11</v>
      </c>
      <c r="G15104" t="s">
        <v>25</v>
      </c>
      <c r="H15104" s="12">
        <v>4.4454298908329104</v>
      </c>
      <c r="I15104" s="20">
        <v>0.49336101450555597</v>
      </c>
      <c r="J15104" s="28">
        <v>0.62175752365155801</v>
      </c>
      <c r="K15104" s="29">
        <v>0.98289565623980701</v>
      </c>
    </row>
    <row r="15105" spans="1:11" x14ac:dyDescent="0.35">
      <c r="A15105" s="9" t="str">
        <f>HYPERLINK("http://www.ensembl.org/id/WBGene00005575", "WBGene00005575")</f>
        <v>WBGene00005575</v>
      </c>
      <c r="B15105" s="9" t="str">
        <f>HYPERLINK("http://www.ncbi.nlm.nih.gov/gene/191927", "191927")</f>
        <v>191927</v>
      </c>
      <c r="C15105" s="9"/>
      <c r="D15105" t="str">
        <f>"sri-63"</f>
        <v>sri-63</v>
      </c>
      <c r="E15105" t="s">
        <v>1503</v>
      </c>
      <c r="F15105" t="s">
        <v>11</v>
      </c>
      <c r="G15105" t="s">
        <v>25</v>
      </c>
      <c r="H15105" s="12">
        <v>-1.58837418851663</v>
      </c>
      <c r="I15105" s="20">
        <v>-0.337654675741973</v>
      </c>
      <c r="J15105" s="28">
        <v>0.73562343416877995</v>
      </c>
      <c r="K15105" s="29">
        <v>0.98289565623980701</v>
      </c>
    </row>
    <row r="15106" spans="1:11" x14ac:dyDescent="0.35">
      <c r="A15106" s="9" t="str">
        <f>HYPERLINK("http://www.ensembl.org/id/WBGene00005576", "WBGene00005576")</f>
        <v>WBGene00005576</v>
      </c>
      <c r="B15106" s="9"/>
      <c r="C15106" s="9"/>
      <c r="D15106" t="str">
        <f>"sri-64"</f>
        <v>sri-64</v>
      </c>
      <c r="F15106" t="s">
        <v>80</v>
      </c>
      <c r="H15106" s="12">
        <v>2.4578120077400301</v>
      </c>
      <c r="I15106" s="20">
        <v>0.26093350314551</v>
      </c>
      <c r="J15106" s="28">
        <v>0.79414378780213601</v>
      </c>
      <c r="K15106" s="29">
        <v>0.98289565623980701</v>
      </c>
    </row>
    <row r="15107" spans="1:11" x14ac:dyDescent="0.35">
      <c r="A15107" s="9" t="str">
        <f>HYPERLINK("http://www.ensembl.org/id/WBGene00005519", "WBGene00005519")</f>
        <v>WBGene00005519</v>
      </c>
      <c r="B15107" s="9" t="str">
        <f>HYPERLINK("http://www.ncbi.nlm.nih.gov/gene/188183", "188183")</f>
        <v>188183</v>
      </c>
      <c r="C15107" s="9"/>
      <c r="D15107" t="str">
        <f>"sri-7"</f>
        <v>sri-7</v>
      </c>
      <c r="E15107" t="s">
        <v>1503</v>
      </c>
      <c r="F15107" t="s">
        <v>11</v>
      </c>
      <c r="G15107" t="s">
        <v>25</v>
      </c>
      <c r="H15107" s="12">
        <v>5.9495765472548197</v>
      </c>
      <c r="I15107" s="20">
        <v>0.52429389276509997</v>
      </c>
      <c r="J15107" s="28">
        <v>0.60007414400596704</v>
      </c>
      <c r="K15107" s="29">
        <v>0.98289565623980701</v>
      </c>
    </row>
    <row r="15108" spans="1:11" x14ac:dyDescent="0.35">
      <c r="A15108" s="9" t="str">
        <f>HYPERLINK("http://www.ensembl.org/id/WBGene00005582", "WBGene00005582")</f>
        <v>WBGene00005582</v>
      </c>
      <c r="B15108" s="9" t="str">
        <f>HYPERLINK("http://www.ncbi.nlm.nih.gov/gene/190450", "190450")</f>
        <v>190450</v>
      </c>
      <c r="C15108" s="9"/>
      <c r="D15108" t="str">
        <f>"sri-70"</f>
        <v>sri-70</v>
      </c>
      <c r="E15108" t="s">
        <v>1503</v>
      </c>
      <c r="F15108" t="s">
        <v>11</v>
      </c>
      <c r="G15108" t="s">
        <v>25</v>
      </c>
      <c r="H15108" s="12">
        <v>-3.3597063241945002</v>
      </c>
      <c r="I15108" s="20">
        <v>-0.486391335395429</v>
      </c>
      <c r="J15108" s="28">
        <v>0.62668973265125505</v>
      </c>
      <c r="K15108" s="29">
        <v>0.98289565623980701</v>
      </c>
    </row>
    <row r="15109" spans="1:11" x14ac:dyDescent="0.35">
      <c r="A15109" s="9" t="str">
        <f>HYPERLINK("http://www.ensembl.org/id/WBGene00005583", "WBGene00005583")</f>
        <v>WBGene00005583</v>
      </c>
      <c r="B15109" s="9" t="str">
        <f>HYPERLINK("http://www.ncbi.nlm.nih.gov/gene/191928", "191928")</f>
        <v>191928</v>
      </c>
      <c r="C15109" s="9"/>
      <c r="D15109" t="str">
        <f>"sri-71"</f>
        <v>sri-71</v>
      </c>
      <c r="E15109" t="s">
        <v>1503</v>
      </c>
      <c r="F15109" t="s">
        <v>11</v>
      </c>
      <c r="G15109" t="s">
        <v>25</v>
      </c>
      <c r="H15109" s="12">
        <v>-12.8991976603241</v>
      </c>
      <c r="I15109" s="20">
        <v>-0.85434876045094199</v>
      </c>
      <c r="J15109" s="28">
        <v>0.39291177758245199</v>
      </c>
      <c r="K15109" s="29">
        <v>0.98289565623980701</v>
      </c>
    </row>
    <row r="15110" spans="1:11" x14ac:dyDescent="0.35">
      <c r="A15110" s="9" t="str">
        <f>HYPERLINK("http://www.ensembl.org/id/WBGene00005586", "WBGene00005586")</f>
        <v>WBGene00005586</v>
      </c>
      <c r="B15110" s="9" t="str">
        <f>HYPERLINK("http://www.ncbi.nlm.nih.gov/gene/191930", "191930")</f>
        <v>191930</v>
      </c>
      <c r="C15110" s="9"/>
      <c r="D15110" t="str">
        <f>"sri-74"</f>
        <v>sri-74</v>
      </c>
      <c r="E15110" t="s">
        <v>1503</v>
      </c>
      <c r="F15110" t="s">
        <v>11</v>
      </c>
      <c r="G15110" t="s">
        <v>25</v>
      </c>
      <c r="H15110" s="12">
        <v>-2.88256098558755</v>
      </c>
      <c r="I15110" s="20">
        <v>-0.40336317775567698</v>
      </c>
      <c r="J15110" s="28">
        <v>0.6866810710058</v>
      </c>
      <c r="K15110" s="29">
        <v>0.98289565623980701</v>
      </c>
    </row>
    <row r="15111" spans="1:11" x14ac:dyDescent="0.35">
      <c r="A15111" s="9" t="str">
        <f>HYPERLINK("http://www.ensembl.org/id/WBGene00005588", "WBGene00005588")</f>
        <v>WBGene00005588</v>
      </c>
      <c r="B15111" s="9"/>
      <c r="C15111" s="9"/>
      <c r="D15111" t="str">
        <f>"sri-76"</f>
        <v>sri-76</v>
      </c>
      <c r="F15111" t="s">
        <v>80</v>
      </c>
      <c r="H15111" s="12">
        <v>2.4578120077400301</v>
      </c>
      <c r="I15111" s="20">
        <v>0.26093350314551</v>
      </c>
      <c r="J15111" s="28">
        <v>0.79414378780213601</v>
      </c>
      <c r="K15111" s="29">
        <v>0.98289565623980701</v>
      </c>
    </row>
    <row r="15112" spans="1:11" x14ac:dyDescent="0.35">
      <c r="A15112" s="9" t="str">
        <f>HYPERLINK("http://www.ensembl.org/id/WBGene00005589", "WBGene00005589")</f>
        <v>WBGene00005589</v>
      </c>
      <c r="B15112" s="9" t="str">
        <f>HYPERLINK("http://www.ncbi.nlm.nih.gov/gene/191931", "191931")</f>
        <v>191931</v>
      </c>
      <c r="C15112" s="9"/>
      <c r="D15112" t="str">
        <f>"sri-77"</f>
        <v>sri-77</v>
      </c>
      <c r="E15112" t="s">
        <v>1503</v>
      </c>
      <c r="F15112" t="s">
        <v>11</v>
      </c>
      <c r="G15112" t="s">
        <v>25</v>
      </c>
      <c r="H15112" s="12">
        <v>2.0034308137885302</v>
      </c>
      <c r="I15112" s="20">
        <v>0.446830743463424</v>
      </c>
      <c r="J15112" s="28">
        <v>0.65499727192607704</v>
      </c>
      <c r="K15112" s="29">
        <v>0.98289565623980701</v>
      </c>
    </row>
    <row r="15113" spans="1:11" x14ac:dyDescent="0.35">
      <c r="A15113" s="9" t="str">
        <f>HYPERLINK("http://www.ensembl.org/id/WBGene00005590", "WBGene00005590")</f>
        <v>WBGene00005590</v>
      </c>
      <c r="B15113" s="9" t="str">
        <f>HYPERLINK("http://www.ncbi.nlm.nih.gov/gene/189558", "189558")</f>
        <v>189558</v>
      </c>
      <c r="C15113" s="9"/>
      <c r="D15113" t="str">
        <f>"sri-78"</f>
        <v>sri-78</v>
      </c>
      <c r="E15113" t="s">
        <v>1503</v>
      </c>
      <c r="F15113" t="s">
        <v>11</v>
      </c>
      <c r="G15113" t="s">
        <v>25</v>
      </c>
      <c r="H15113" s="12">
        <v>-2.8552378498521902</v>
      </c>
      <c r="I15113" s="20">
        <v>-0.487427721396609</v>
      </c>
      <c r="J15113" s="28">
        <v>0.62595525239830496</v>
      </c>
      <c r="K15113" s="29">
        <v>0.98289565623980701</v>
      </c>
    </row>
    <row r="15114" spans="1:11" x14ac:dyDescent="0.35">
      <c r="A15114" s="9" t="str">
        <f>HYPERLINK("http://www.ensembl.org/id/WBGene00005520", "WBGene00005520")</f>
        <v>WBGene00005520</v>
      </c>
      <c r="B15114" s="9"/>
      <c r="C15114" s="9"/>
      <c r="D15114" t="str">
        <f>"sri-8"</f>
        <v>sri-8</v>
      </c>
      <c r="F15114" t="s">
        <v>80</v>
      </c>
      <c r="H15114" s="12">
        <v>3.5227018545059199</v>
      </c>
      <c r="I15114" s="20">
        <v>0.36849691206929103</v>
      </c>
      <c r="J15114" s="28">
        <v>0.71250274722433404</v>
      </c>
      <c r="K15114" s="29">
        <v>0.98289565623980701</v>
      </c>
    </row>
    <row r="15115" spans="1:11" x14ac:dyDescent="0.35">
      <c r="A15115" s="9" t="str">
        <f>HYPERLINK("http://www.ensembl.org/id/WBGene00005521", "WBGene00005521")</f>
        <v>WBGene00005521</v>
      </c>
      <c r="B15115" s="9" t="str">
        <f>HYPERLINK("http://www.ncbi.nlm.nih.gov/gene/190852", "190852")</f>
        <v>190852</v>
      </c>
      <c r="C15115" s="9"/>
      <c r="D15115" t="str">
        <f>"sri-9"</f>
        <v>sri-9</v>
      </c>
      <c r="E15115" t="s">
        <v>1503</v>
      </c>
      <c r="F15115" t="s">
        <v>11</v>
      </c>
      <c r="G15115" t="s">
        <v>25</v>
      </c>
      <c r="H15115" s="12">
        <v>4.4368407117627902</v>
      </c>
      <c r="I15115" s="20">
        <v>0.43709475933309699</v>
      </c>
      <c r="J15115" s="28">
        <v>0.66204262779770495</v>
      </c>
      <c r="K15115" s="29">
        <v>0.98289565623980701</v>
      </c>
    </row>
    <row r="15116" spans="1:11" x14ac:dyDescent="0.35">
      <c r="A15116" s="9" t="str">
        <f>HYPERLINK("http://www.ensembl.org/id/WBGene00005591", "WBGene00005591")</f>
        <v>WBGene00005591</v>
      </c>
      <c r="B15116" s="9" t="str">
        <f>HYPERLINK("http://www.ncbi.nlm.nih.gov/gene/191436", "191436")</f>
        <v>191436</v>
      </c>
      <c r="C15116" s="9"/>
      <c r="D15116" t="str">
        <f>"srj-1"</f>
        <v>srj-1</v>
      </c>
      <c r="E15116" t="s">
        <v>3123</v>
      </c>
      <c r="F15116" t="s">
        <v>11</v>
      </c>
      <c r="G15116" t="s">
        <v>25</v>
      </c>
      <c r="H15116" s="12">
        <v>7.8340710827619899</v>
      </c>
      <c r="I15116" s="20">
        <v>0.99940523141660398</v>
      </c>
      <c r="J15116" s="28">
        <v>0.31759842663006399</v>
      </c>
      <c r="K15116" s="29">
        <v>0.98289565623980701</v>
      </c>
    </row>
    <row r="15117" spans="1:11" x14ac:dyDescent="0.35">
      <c r="A15117" s="9" t="str">
        <f>HYPERLINK("http://www.ensembl.org/id/WBGene00005599", "WBGene00005599")</f>
        <v>WBGene00005599</v>
      </c>
      <c r="B15117" s="9" t="str">
        <f>HYPERLINK("http://www.ncbi.nlm.nih.gov/gene/189018", "189018")</f>
        <v>189018</v>
      </c>
      <c r="C15117" s="9"/>
      <c r="D15117" t="str">
        <f>"srj-11"</f>
        <v>srj-11</v>
      </c>
      <c r="E15117" t="s">
        <v>3123</v>
      </c>
      <c r="F15117" t="s">
        <v>11</v>
      </c>
      <c r="G15117" t="s">
        <v>25</v>
      </c>
      <c r="H15117" s="12">
        <v>-1.50339926387829</v>
      </c>
      <c r="I15117" s="20">
        <v>-0.47470174119425801</v>
      </c>
      <c r="J15117" s="28">
        <v>0.63499957670310203</v>
      </c>
      <c r="K15117" s="29">
        <v>0.98289565623980701</v>
      </c>
    </row>
    <row r="15118" spans="1:11" x14ac:dyDescent="0.35">
      <c r="A15118" s="9" t="str">
        <f>HYPERLINK("http://www.ensembl.org/id/WBGene00005602", "WBGene00005602")</f>
        <v>WBGene00005602</v>
      </c>
      <c r="B15118" s="9" t="str">
        <f>HYPERLINK("http://www.ncbi.nlm.nih.gov/gene/179124", "179124")</f>
        <v>179124</v>
      </c>
      <c r="C15118" s="9"/>
      <c r="D15118" t="str">
        <f>"srj-14"</f>
        <v>srj-14</v>
      </c>
      <c r="E15118" t="s">
        <v>3123</v>
      </c>
      <c r="F15118" t="s">
        <v>11</v>
      </c>
      <c r="G15118" t="s">
        <v>25</v>
      </c>
      <c r="H15118" s="12">
        <v>-1.6720528475766401</v>
      </c>
      <c r="I15118" s="20">
        <v>-1.1526538489987701</v>
      </c>
      <c r="J15118" s="28">
        <v>0.249052491288038</v>
      </c>
      <c r="K15118" s="29">
        <v>0.98289565623980701</v>
      </c>
    </row>
    <row r="15119" spans="1:11" x14ac:dyDescent="0.35">
      <c r="A15119" s="9" t="str">
        <f>HYPERLINK("http://www.ensembl.org/id/WBGene00005605", "WBGene00005605")</f>
        <v>WBGene00005605</v>
      </c>
      <c r="B15119" s="9"/>
      <c r="C15119" s="9"/>
      <c r="D15119" t="str">
        <f>"srj-17"</f>
        <v>srj-17</v>
      </c>
      <c r="F15119" t="s">
        <v>80</v>
      </c>
      <c r="H15119" s="12">
        <v>2.3893468495514898</v>
      </c>
      <c r="I15119" s="20">
        <v>0.25323547253672701</v>
      </c>
      <c r="J15119" s="28">
        <v>0.80008625651646104</v>
      </c>
      <c r="K15119" s="29">
        <v>0.98289565623980701</v>
      </c>
    </row>
    <row r="15120" spans="1:11" x14ac:dyDescent="0.35">
      <c r="A15120" s="9" t="str">
        <f>HYPERLINK("http://www.ensembl.org/id/WBGene00005606", "WBGene00005606")</f>
        <v>WBGene00005606</v>
      </c>
      <c r="B15120" s="9" t="str">
        <f>HYPERLINK("http://www.ncbi.nlm.nih.gov/gene/191938", "191938")</f>
        <v>191938</v>
      </c>
      <c r="C15120" s="9"/>
      <c r="D15120" t="str">
        <f>"srj-18"</f>
        <v>srj-18</v>
      </c>
      <c r="E15120" t="s">
        <v>3123</v>
      </c>
      <c r="F15120" t="s">
        <v>11</v>
      </c>
      <c r="G15120" t="s">
        <v>25</v>
      </c>
      <c r="H15120" s="12">
        <v>13.2083681824683</v>
      </c>
      <c r="I15120" s="20">
        <v>0.79736709025154395</v>
      </c>
      <c r="J15120" s="28">
        <v>0.42523786651974499</v>
      </c>
      <c r="K15120" s="29">
        <v>0.98289565623980701</v>
      </c>
    </row>
    <row r="15121" spans="1:11" x14ac:dyDescent="0.35">
      <c r="A15121" s="9" t="str">
        <f>HYPERLINK("http://www.ensembl.org/id/WBGene00005609", "WBGene00005609")</f>
        <v>WBGene00005609</v>
      </c>
      <c r="B15121" s="9" t="str">
        <f>HYPERLINK("http://www.ncbi.nlm.nih.gov/gene/185102", "185102")</f>
        <v>185102</v>
      </c>
      <c r="C15121" s="9"/>
      <c r="D15121" t="str">
        <f>"srj-21"</f>
        <v>srj-21</v>
      </c>
      <c r="E15121" t="s">
        <v>3123</v>
      </c>
      <c r="F15121" t="s">
        <v>11</v>
      </c>
      <c r="G15121" t="s">
        <v>25</v>
      </c>
      <c r="H15121" s="12">
        <v>4.5655686139945102</v>
      </c>
      <c r="I15121" s="20">
        <v>0.54155341165969295</v>
      </c>
      <c r="J15121" s="28">
        <v>0.588126193449649</v>
      </c>
      <c r="K15121" s="29">
        <v>0.98289565623980701</v>
      </c>
    </row>
    <row r="15122" spans="1:11" x14ac:dyDescent="0.35">
      <c r="A15122" s="9" t="str">
        <f>HYPERLINK("http://www.ensembl.org/id/WBGene00005615", "WBGene00005615")</f>
        <v>WBGene00005615</v>
      </c>
      <c r="B15122" s="9" t="str">
        <f>HYPERLINK("http://www.ncbi.nlm.nih.gov/gene/187956", "187956")</f>
        <v>187956</v>
      </c>
      <c r="C15122" s="9"/>
      <c r="D15122" t="str">
        <f>"srj-27"</f>
        <v>srj-27</v>
      </c>
      <c r="E15122" t="s">
        <v>3123</v>
      </c>
      <c r="F15122" t="s">
        <v>11</v>
      </c>
      <c r="G15122" t="s">
        <v>25</v>
      </c>
      <c r="H15122" s="12">
        <v>2.3893468495514898</v>
      </c>
      <c r="I15122" s="20">
        <v>0.25323547253672701</v>
      </c>
      <c r="J15122" s="28">
        <v>0.80008625651646104</v>
      </c>
      <c r="K15122" s="29">
        <v>0.98289565623980701</v>
      </c>
    </row>
    <row r="15123" spans="1:11" x14ac:dyDescent="0.35">
      <c r="A15123" s="9" t="str">
        <f>HYPERLINK("http://www.ensembl.org/id/WBGene00005622", "WBGene00005622")</f>
        <v>WBGene00005622</v>
      </c>
      <c r="B15123" s="9" t="str">
        <f>HYPERLINK("http://www.ncbi.nlm.nih.gov/gene/191945", "191945")</f>
        <v>191945</v>
      </c>
      <c r="C15123" s="9"/>
      <c r="D15123" t="str">
        <f>"srj-38"</f>
        <v>srj-38</v>
      </c>
      <c r="E15123" t="s">
        <v>4509</v>
      </c>
      <c r="F15123" t="s">
        <v>11</v>
      </c>
      <c r="G15123" t="s">
        <v>25</v>
      </c>
      <c r="H15123" s="12">
        <v>1.8080151213712701</v>
      </c>
      <c r="I15123" s="20">
        <v>0.350997901418311</v>
      </c>
      <c r="J15123" s="28">
        <v>0.72558992279247603</v>
      </c>
      <c r="K15123" s="29">
        <v>0.98289565623980701</v>
      </c>
    </row>
    <row r="15124" spans="1:11" x14ac:dyDescent="0.35">
      <c r="A15124" s="9" t="str">
        <f>HYPERLINK("http://www.ensembl.org/id/WBGene00005592", "WBGene00005592")</f>
        <v>WBGene00005592</v>
      </c>
      <c r="B15124" s="9" t="str">
        <f>HYPERLINK("http://www.ncbi.nlm.nih.gov/gene/182952", "182952")</f>
        <v>182952</v>
      </c>
      <c r="C15124" s="9"/>
      <c r="D15124" t="str">
        <f>"srj-4"</f>
        <v>srj-4</v>
      </c>
      <c r="E15124" t="s">
        <v>3123</v>
      </c>
      <c r="F15124" t="s">
        <v>11</v>
      </c>
      <c r="G15124" t="s">
        <v>25</v>
      </c>
      <c r="H15124" s="12">
        <v>-1.3951784703113801</v>
      </c>
      <c r="I15124" s="20">
        <v>-0.74022710236930001</v>
      </c>
      <c r="J15124" s="28">
        <v>0.45916220505890698</v>
      </c>
      <c r="K15124" s="29">
        <v>0.98289565623980701</v>
      </c>
    </row>
    <row r="15125" spans="1:11" x14ac:dyDescent="0.35">
      <c r="A15125" s="9" t="str">
        <f>HYPERLINK("http://www.ensembl.org/id/WBGene00005625", "WBGene00005625")</f>
        <v>WBGene00005625</v>
      </c>
      <c r="B15125" s="9" t="str">
        <f>HYPERLINK("http://www.ncbi.nlm.nih.gov/gene/190670", "190670")</f>
        <v>190670</v>
      </c>
      <c r="C15125" s="9"/>
      <c r="D15125" t="str">
        <f>"srj-42"</f>
        <v>srj-42</v>
      </c>
      <c r="E15125" t="s">
        <v>3123</v>
      </c>
      <c r="F15125" t="s">
        <v>11</v>
      </c>
      <c r="G15125" t="s">
        <v>25</v>
      </c>
      <c r="H15125" s="12">
        <v>2.4578120077400301</v>
      </c>
      <c r="I15125" s="20">
        <v>0.26093350314551</v>
      </c>
      <c r="J15125" s="28">
        <v>0.79414378780213601</v>
      </c>
      <c r="K15125" s="29">
        <v>0.98289565623980701</v>
      </c>
    </row>
    <row r="15126" spans="1:11" x14ac:dyDescent="0.35">
      <c r="A15126" s="9" t="str">
        <f>HYPERLINK("http://www.ensembl.org/id/WBGene00005626", "WBGene00005626")</f>
        <v>WBGene00005626</v>
      </c>
      <c r="B15126" s="9" t="str">
        <f>HYPERLINK("http://www.ncbi.nlm.nih.gov/gene/191948", "191948")</f>
        <v>191948</v>
      </c>
      <c r="C15126" s="9"/>
      <c r="D15126" t="str">
        <f>"srj-44"</f>
        <v>srj-44</v>
      </c>
      <c r="E15126" t="s">
        <v>3123</v>
      </c>
      <c r="F15126" t="s">
        <v>11</v>
      </c>
      <c r="G15126" t="s">
        <v>25</v>
      </c>
      <c r="H15126" s="12">
        <v>3.5227018545059199</v>
      </c>
      <c r="I15126" s="20">
        <v>0.36849691206929103</v>
      </c>
      <c r="J15126" s="28">
        <v>0.71250274722433404</v>
      </c>
      <c r="K15126" s="29">
        <v>0.98289565623980701</v>
      </c>
    </row>
    <row r="15127" spans="1:11" x14ac:dyDescent="0.35">
      <c r="A15127" s="9" t="str">
        <f>HYPERLINK("http://www.ensembl.org/id/WBGene00005628", "WBGene00005628")</f>
        <v>WBGene00005628</v>
      </c>
      <c r="B15127" s="9" t="str">
        <f>HYPERLINK("http://www.ncbi.nlm.nih.gov/gene/191950", "191950")</f>
        <v>191950</v>
      </c>
      <c r="C15127" s="9"/>
      <c r="D15127" t="str">
        <f>"srj-49"</f>
        <v>srj-49</v>
      </c>
      <c r="E15127" t="s">
        <v>3123</v>
      </c>
      <c r="F15127" t="s">
        <v>11</v>
      </c>
      <c r="G15127" t="s">
        <v>25</v>
      </c>
      <c r="H15127" s="12">
        <v>-3.2035722220826099</v>
      </c>
      <c r="I15127" s="20">
        <v>-0.52599423242316801</v>
      </c>
      <c r="J15127" s="28">
        <v>0.59889221429994999</v>
      </c>
      <c r="K15127" s="29">
        <v>0.98289565623980701</v>
      </c>
    </row>
    <row r="15128" spans="1:11" x14ac:dyDescent="0.35">
      <c r="A15128" s="9" t="str">
        <f>HYPERLINK("http://www.ensembl.org/id/WBGene00005593", "WBGene00005593")</f>
        <v>WBGene00005593</v>
      </c>
      <c r="B15128" s="9" t="str">
        <f>HYPERLINK("http://www.ncbi.nlm.nih.gov/gene/191932", "191932")</f>
        <v>191932</v>
      </c>
      <c r="C15128" s="9"/>
      <c r="D15128" t="str">
        <f>"srj-5"</f>
        <v>srj-5</v>
      </c>
      <c r="E15128" t="s">
        <v>3123</v>
      </c>
      <c r="F15128" t="s">
        <v>11</v>
      </c>
      <c r="G15128" t="s">
        <v>25</v>
      </c>
      <c r="H15128" s="12">
        <v>9.9320123134608593</v>
      </c>
      <c r="I15128" s="20">
        <v>0.68366985730865304</v>
      </c>
      <c r="J15128" s="28">
        <v>0.49418366151259002</v>
      </c>
      <c r="K15128" s="29">
        <v>0.98289565623980701</v>
      </c>
    </row>
    <row r="15129" spans="1:11" x14ac:dyDescent="0.35">
      <c r="A15129" s="9" t="str">
        <f>HYPERLINK("http://www.ensembl.org/id/WBGene00005630", "WBGene00005630")</f>
        <v>WBGene00005630</v>
      </c>
      <c r="B15129" s="9"/>
      <c r="C15129" s="9"/>
      <c r="D15129" t="str">
        <f>"srj-51"</f>
        <v>srj-51</v>
      </c>
      <c r="F15129" t="s">
        <v>80</v>
      </c>
      <c r="H15129" s="12">
        <v>-3.7261494131482999</v>
      </c>
      <c r="I15129" s="20">
        <v>-0.38454673129429601</v>
      </c>
      <c r="J15129" s="28">
        <v>0.70057326682554</v>
      </c>
      <c r="K15129" s="29">
        <v>0.98289565623980701</v>
      </c>
    </row>
    <row r="15130" spans="1:11" x14ac:dyDescent="0.35">
      <c r="A15130" s="9" t="str">
        <f>HYPERLINK("http://www.ensembl.org/id/WBGene00005631", "WBGene00005631")</f>
        <v>WBGene00005631</v>
      </c>
      <c r="B15130" s="9" t="str">
        <f>HYPERLINK("http://www.ncbi.nlm.nih.gov/gene/13211474", "13211474")</f>
        <v>13211474</v>
      </c>
      <c r="C15130" s="9"/>
      <c r="D15130" t="str">
        <f>"srj-52"</f>
        <v>srj-52</v>
      </c>
      <c r="E15130" t="s">
        <v>3123</v>
      </c>
      <c r="F15130" t="s">
        <v>11</v>
      </c>
      <c r="G15130" t="s">
        <v>25</v>
      </c>
      <c r="H15130" s="12">
        <v>-1.5464498143879599</v>
      </c>
      <c r="I15130" s="20">
        <v>-0.27906442639571799</v>
      </c>
      <c r="J15130" s="28">
        <v>0.78019538265017996</v>
      </c>
      <c r="K15130" s="29">
        <v>0.98289565623980701</v>
      </c>
    </row>
    <row r="15131" spans="1:11" x14ac:dyDescent="0.35">
      <c r="A15131" s="9" t="str">
        <f>HYPERLINK("http://www.ensembl.org/id/WBGene00005632", "WBGene00005632")</f>
        <v>WBGene00005632</v>
      </c>
      <c r="B15131" s="9" t="str">
        <f>HYPERLINK("http://www.ncbi.nlm.nih.gov/gene/191952", "191952")</f>
        <v>191952</v>
      </c>
      <c r="C15131" s="9"/>
      <c r="D15131" t="str">
        <f>"srj-53"</f>
        <v>srj-53</v>
      </c>
      <c r="E15131" t="s">
        <v>3123</v>
      </c>
      <c r="F15131" t="s">
        <v>11</v>
      </c>
      <c r="G15131" t="s">
        <v>25</v>
      </c>
      <c r="H15131" s="12">
        <v>-2.4772140472330402</v>
      </c>
      <c r="I15131" s="20">
        <v>-0.26891282500069902</v>
      </c>
      <c r="J15131" s="28">
        <v>0.78799676746418601</v>
      </c>
      <c r="K15131" s="29">
        <v>0.98289565623980701</v>
      </c>
    </row>
    <row r="15132" spans="1:11" x14ac:dyDescent="0.35">
      <c r="A15132" s="9" t="str">
        <f>HYPERLINK("http://www.ensembl.org/id/WBGene00005635", "WBGene00005635")</f>
        <v>WBGene00005635</v>
      </c>
      <c r="B15132" s="9" t="str">
        <f>HYPERLINK("http://www.ncbi.nlm.nih.gov/gene/191954", "191954")</f>
        <v>191954</v>
      </c>
      <c r="C15132" s="9"/>
      <c r="D15132" t="str">
        <f>"srj-57"</f>
        <v>srj-57</v>
      </c>
      <c r="E15132" t="s">
        <v>3123</v>
      </c>
      <c r="F15132" t="s">
        <v>11</v>
      </c>
      <c r="G15132" t="s">
        <v>25</v>
      </c>
      <c r="H15132" s="12">
        <v>-3.7261494131482999</v>
      </c>
      <c r="I15132" s="20">
        <v>-0.38454673129429601</v>
      </c>
      <c r="J15132" s="28">
        <v>0.70057326682554</v>
      </c>
      <c r="K15132" s="29">
        <v>0.98289565623980701</v>
      </c>
    </row>
    <row r="15133" spans="1:11" x14ac:dyDescent="0.35">
      <c r="A15133" s="9" t="str">
        <f>HYPERLINK("http://www.ensembl.org/id/WBGene00005597", "WBGene00005597")</f>
        <v>WBGene00005597</v>
      </c>
      <c r="B15133" s="9" t="str">
        <f>HYPERLINK("http://www.ncbi.nlm.nih.gov/gene/191934", "191934")</f>
        <v>191934</v>
      </c>
      <c r="C15133" s="9"/>
      <c r="D15133" t="str">
        <f>"srj-9"</f>
        <v>srj-9</v>
      </c>
      <c r="E15133" t="s">
        <v>3123</v>
      </c>
      <c r="F15133" t="s">
        <v>11</v>
      </c>
      <c r="G15133" t="s">
        <v>25</v>
      </c>
      <c r="H15133" s="12">
        <v>2.3032837210021699</v>
      </c>
      <c r="I15133" s="20">
        <v>0.86858701221950496</v>
      </c>
      <c r="J15133" s="28">
        <v>0.385073060850047</v>
      </c>
      <c r="K15133" s="29">
        <v>0.98289565623980701</v>
      </c>
    </row>
    <row r="15134" spans="1:11" x14ac:dyDescent="0.35">
      <c r="A15134" s="9" t="str">
        <f>HYPERLINK("http://www.ensembl.org/id/WBGene00005639", "WBGene00005639")</f>
        <v>WBGene00005639</v>
      </c>
      <c r="B15134" s="9" t="str">
        <f>HYPERLINK("http://www.ncbi.nlm.nih.gov/gene/191956", "191956")</f>
        <v>191956</v>
      </c>
      <c r="C15134" s="9"/>
      <c r="D15134" t="str">
        <f>"srm-2"</f>
        <v>srm-2</v>
      </c>
      <c r="E15134" t="s">
        <v>3699</v>
      </c>
      <c r="F15134" t="s">
        <v>11</v>
      </c>
      <c r="G15134" t="s">
        <v>25</v>
      </c>
      <c r="H15134" s="12">
        <v>-3.5505133547207399</v>
      </c>
      <c r="I15134" s="20">
        <v>-0.38567206318137798</v>
      </c>
      <c r="J15134" s="28">
        <v>0.69973955545800504</v>
      </c>
      <c r="K15134" s="29">
        <v>0.98289565623980701</v>
      </c>
    </row>
    <row r="15135" spans="1:11" x14ac:dyDescent="0.35">
      <c r="A15135" s="9" t="str">
        <f>HYPERLINK("http://www.ensembl.org/id/WBGene00009808", "WBGene00009808")</f>
        <v>WBGene00009808</v>
      </c>
      <c r="B15135" s="9" t="str">
        <f>HYPERLINK("http://www.ncbi.nlm.nih.gov/gene/185899", "185899")</f>
        <v>185899</v>
      </c>
      <c r="C15135" s="9"/>
      <c r="D15135" t="str">
        <f>"srm-4"</f>
        <v>srm-4</v>
      </c>
      <c r="E15135" t="s">
        <v>3699</v>
      </c>
      <c r="F15135" t="s">
        <v>11</v>
      </c>
      <c r="G15135" t="s">
        <v>25</v>
      </c>
      <c r="H15135" s="12">
        <v>1.40695236178909</v>
      </c>
      <c r="I15135" s="20">
        <v>0.33001270310922298</v>
      </c>
      <c r="J15135" s="28">
        <v>0.74139036365229505</v>
      </c>
      <c r="K15135" s="29">
        <v>0.98289565623980701</v>
      </c>
    </row>
    <row r="15136" spans="1:11" x14ac:dyDescent="0.35">
      <c r="A15136" s="9" t="str">
        <f>HYPERLINK("http://www.ensembl.org/id/WBGene00009810", "WBGene00009810")</f>
        <v>WBGene00009810</v>
      </c>
      <c r="B15136" s="9" t="str">
        <f>HYPERLINK("http://www.ncbi.nlm.nih.gov/gene/179931", "179931")</f>
        <v>179931</v>
      </c>
      <c r="C15136" s="9"/>
      <c r="D15136" t="str">
        <f>"srm-6"</f>
        <v>srm-6</v>
      </c>
      <c r="E15136" t="s">
        <v>3699</v>
      </c>
      <c r="F15136" t="s">
        <v>11</v>
      </c>
      <c r="G15136" t="s">
        <v>25</v>
      </c>
      <c r="H15136" s="12">
        <v>2.26987945178734</v>
      </c>
      <c r="I15136" s="20">
        <v>0.82048026202179303</v>
      </c>
      <c r="J15136" s="28">
        <v>0.41194237680960399</v>
      </c>
      <c r="K15136" s="29">
        <v>0.98289565623980701</v>
      </c>
    </row>
    <row r="15137" spans="1:11" x14ac:dyDescent="0.35">
      <c r="A15137" s="9" t="str">
        <f>HYPERLINK("http://www.ensembl.org/id/WBGene00005640", "WBGene00005640")</f>
        <v>WBGene00005640</v>
      </c>
      <c r="B15137" s="9" t="str">
        <f>HYPERLINK("http://www.ncbi.nlm.nih.gov/gene/191957", "191957")</f>
        <v>191957</v>
      </c>
      <c r="C15137" s="9"/>
      <c r="D15137" t="str">
        <f>"srn-1"</f>
        <v>srn-1</v>
      </c>
      <c r="E15137" t="s">
        <v>10002</v>
      </c>
      <c r="F15137" t="s">
        <v>11</v>
      </c>
      <c r="G15137" t="s">
        <v>25</v>
      </c>
      <c r="H15137" s="12">
        <v>-1.6318872618703799</v>
      </c>
      <c r="I15137" s="20">
        <v>-0.76860008620262898</v>
      </c>
      <c r="J15137" s="28">
        <v>0.44213075431987398</v>
      </c>
      <c r="K15137" s="29">
        <v>0.98289565623980701</v>
      </c>
    </row>
    <row r="15138" spans="1:11" x14ac:dyDescent="0.35">
      <c r="A15138" s="9" t="str">
        <f>HYPERLINK("http://www.ensembl.org/id/WBGene00005643", "WBGene00005643")</f>
        <v>WBGene00005643</v>
      </c>
      <c r="B15138" s="9" t="str">
        <f>HYPERLINK("http://www.ncbi.nlm.nih.gov/gene/178586", "178586")</f>
        <v>178586</v>
      </c>
      <c r="C15138" s="9" t="str">
        <f>HYPERLINK("http://www.ncbi.nlm.nih.gov/gene/6318", "6318")</f>
        <v>6318</v>
      </c>
      <c r="D15138" t="str">
        <f>"srp-2"</f>
        <v>srp-2</v>
      </c>
      <c r="E15138" t="s">
        <v>5981</v>
      </c>
      <c r="F15138" t="s">
        <v>11</v>
      </c>
      <c r="G15138" t="s">
        <v>5982</v>
      </c>
      <c r="H15138" s="12">
        <v>1.0768011650581999</v>
      </c>
      <c r="I15138" s="20">
        <v>0.329643503641109</v>
      </c>
      <c r="J15138" s="28">
        <v>0.74166934708955201</v>
      </c>
      <c r="K15138" s="29">
        <v>0.98289565623980701</v>
      </c>
    </row>
    <row r="15139" spans="1:11" x14ac:dyDescent="0.35">
      <c r="A15139" s="9" t="str">
        <f>HYPERLINK("http://www.ensembl.org/id/WBGene00005644", "WBGene00005644")</f>
        <v>WBGene00005644</v>
      </c>
      <c r="B15139" s="9" t="str">
        <f>HYPERLINK("http://www.ncbi.nlm.nih.gov/gene/178672", "178672")</f>
        <v>178672</v>
      </c>
      <c r="C15139" s="9" t="str">
        <f>HYPERLINK("http://www.ncbi.nlm.nih.gov/gene/6318", "6318")</f>
        <v>6318</v>
      </c>
      <c r="D15139" t="str">
        <f>"srp-3"</f>
        <v>srp-3</v>
      </c>
      <c r="E15139" t="s">
        <v>1960</v>
      </c>
      <c r="F15139" t="s">
        <v>11</v>
      </c>
      <c r="G15139" t="s">
        <v>9876</v>
      </c>
      <c r="H15139" s="12">
        <v>-1.3420738107186401</v>
      </c>
      <c r="I15139" s="20">
        <v>-0.70403692688215203</v>
      </c>
      <c r="J15139" s="28">
        <v>0.48140977744421798</v>
      </c>
      <c r="K15139" s="29">
        <v>0.98289565623980701</v>
      </c>
    </row>
    <row r="15140" spans="1:11" x14ac:dyDescent="0.35">
      <c r="A15140" s="9" t="str">
        <f>HYPERLINK("http://www.ensembl.org/id/WBGene00010097", "WBGene00010097")</f>
        <v>WBGene00010097</v>
      </c>
      <c r="B15140" s="9" t="str">
        <f>HYPERLINK("http://www.ncbi.nlm.nih.gov/gene/179686", "179686")</f>
        <v>179686</v>
      </c>
      <c r="C15140" s="9" t="str">
        <f>HYPERLINK("http://www.ncbi.nlm.nih.gov/gene/6730", "6730")</f>
        <v>6730</v>
      </c>
      <c r="D15140" t="str">
        <f>"srpa-68"</f>
        <v>srpa-68</v>
      </c>
      <c r="E15140" t="s">
        <v>7412</v>
      </c>
      <c r="F15140" t="s">
        <v>11</v>
      </c>
      <c r="G15140" t="s">
        <v>7413</v>
      </c>
      <c r="H15140" s="12">
        <v>-1.1241584095239701</v>
      </c>
      <c r="I15140" s="20">
        <v>-0.63482661895263903</v>
      </c>
      <c r="J15140" s="28">
        <v>0.52554150036021696</v>
      </c>
      <c r="K15140" s="29">
        <v>0.98289565623980701</v>
      </c>
    </row>
    <row r="15141" spans="1:11" x14ac:dyDescent="0.35">
      <c r="A15141" s="9" t="str">
        <f>HYPERLINK("http://www.ensembl.org/id/WBGene00017245", "WBGene00017245")</f>
        <v>WBGene00017245</v>
      </c>
      <c r="B15141" s="9" t="str">
        <f>HYPERLINK("http://www.ncbi.nlm.nih.gov/gene/173625", "173625")</f>
        <v>173625</v>
      </c>
      <c r="C15141" s="9" t="str">
        <f>HYPERLINK("http://www.ncbi.nlm.nih.gov/gene/6731", "6731")</f>
        <v>6731</v>
      </c>
      <c r="D15141" t="str">
        <f>"srpa-72"</f>
        <v>srpa-72</v>
      </c>
      <c r="E15141" t="s">
        <v>6907</v>
      </c>
      <c r="F15141" t="s">
        <v>11</v>
      </c>
      <c r="G15141" t="s">
        <v>6908</v>
      </c>
      <c r="H15141" s="12">
        <v>-1.09630383208973</v>
      </c>
      <c r="I15141" s="20">
        <v>-0.484480291035088</v>
      </c>
      <c r="J15141" s="28">
        <v>0.62804504839013597</v>
      </c>
      <c r="K15141" s="29">
        <v>0.98289565623980701</v>
      </c>
    </row>
    <row r="15142" spans="1:11" x14ac:dyDescent="0.35">
      <c r="A15142" s="9" t="str">
        <f>HYPERLINK("http://www.ensembl.org/id/WBGene00045189", "WBGene00045189")</f>
        <v>WBGene00045189</v>
      </c>
      <c r="B15142" s="9"/>
      <c r="C15142" s="9"/>
      <c r="D15142" t="str">
        <f>"srpr-1.1"</f>
        <v>srpr-1.1</v>
      </c>
      <c r="F15142" t="s">
        <v>481</v>
      </c>
      <c r="H15142" s="12">
        <v>-2.6138306264729199</v>
      </c>
      <c r="I15142" s="20">
        <v>-0.56740873741349895</v>
      </c>
      <c r="J15142" s="28">
        <v>0.57043651499886505</v>
      </c>
      <c r="K15142" s="29">
        <v>0.98289565623980701</v>
      </c>
    </row>
    <row r="15143" spans="1:11" x14ac:dyDescent="0.35">
      <c r="A15143" s="9" t="str">
        <f>HYPERLINK("http://www.ensembl.org/id/WBGene00195017", "WBGene00195017")</f>
        <v>WBGene00195017</v>
      </c>
      <c r="B15143" s="9"/>
      <c r="C15143" s="9"/>
      <c r="D15143" t="str">
        <f>"srpr-2.2"</f>
        <v>srpr-2.2</v>
      </c>
      <c r="F15143" t="s">
        <v>481</v>
      </c>
      <c r="H15143" s="12">
        <v>-1.35440501808256</v>
      </c>
      <c r="I15143" s="20">
        <v>-0.269466479688799</v>
      </c>
      <c r="J15143" s="28">
        <v>0.78757073383420295</v>
      </c>
      <c r="K15143" s="29">
        <v>0.98289565623980701</v>
      </c>
    </row>
    <row r="15144" spans="1:11" x14ac:dyDescent="0.35">
      <c r="A15144" s="9" t="str">
        <f>HYPERLINK("http://www.ensembl.org/id/WBGene00005661", "WBGene00005661")</f>
        <v>WBGene00005661</v>
      </c>
      <c r="B15144" s="9" t="str">
        <f>HYPERLINK("http://www.ncbi.nlm.nih.gov/gene/259826", "259826")</f>
        <v>259826</v>
      </c>
      <c r="C15144" s="9"/>
      <c r="D15144" t="str">
        <f>"srr-10"</f>
        <v>srr-10</v>
      </c>
      <c r="E15144" t="s">
        <v>755</v>
      </c>
      <c r="F15144" t="s">
        <v>11</v>
      </c>
      <c r="G15144" t="s">
        <v>25</v>
      </c>
      <c r="H15144" s="12">
        <v>-1.9599495047788</v>
      </c>
      <c r="I15144" s="20">
        <v>-0.37693236416618298</v>
      </c>
      <c r="J15144" s="28">
        <v>0.70622386920033497</v>
      </c>
      <c r="K15144" s="29">
        <v>0.98289565623980701</v>
      </c>
    </row>
    <row r="15145" spans="1:11" x14ac:dyDescent="0.35">
      <c r="A15145" s="9" t="str">
        <f>HYPERLINK("http://www.ensembl.org/id/WBGene00005653", "WBGene00005653")</f>
        <v>WBGene00005653</v>
      </c>
      <c r="B15145" s="9" t="str">
        <f>HYPERLINK("http://www.ncbi.nlm.nih.gov/gene/188953", "188953")</f>
        <v>188953</v>
      </c>
      <c r="C15145" s="9"/>
      <c r="D15145" t="str">
        <f>"srr-2"</f>
        <v>srr-2</v>
      </c>
      <c r="E15145" t="s">
        <v>755</v>
      </c>
      <c r="F15145" t="s">
        <v>11</v>
      </c>
      <c r="G15145" t="s">
        <v>25</v>
      </c>
      <c r="H15145" s="12">
        <v>1.40127262656739</v>
      </c>
      <c r="I15145" s="20">
        <v>0.56588872899272202</v>
      </c>
      <c r="J15145" s="28">
        <v>0.57146942396796196</v>
      </c>
      <c r="K15145" s="29">
        <v>0.98289565623980701</v>
      </c>
    </row>
    <row r="15146" spans="1:11" x14ac:dyDescent="0.35">
      <c r="A15146" s="9" t="str">
        <f>HYPERLINK("http://www.ensembl.org/id/WBGene00005654", "WBGene00005654")</f>
        <v>WBGene00005654</v>
      </c>
      <c r="B15146" s="9" t="str">
        <f>HYPERLINK("http://www.ncbi.nlm.nih.gov/gene/185351", "185351")</f>
        <v>185351</v>
      </c>
      <c r="C15146" s="9"/>
      <c r="D15146" t="str">
        <f>"srr-3"</f>
        <v>srr-3</v>
      </c>
      <c r="E15146" t="s">
        <v>755</v>
      </c>
      <c r="F15146" t="s">
        <v>11</v>
      </c>
      <c r="G15146" t="s">
        <v>25</v>
      </c>
      <c r="H15146" s="12">
        <v>1.18356038902629</v>
      </c>
      <c r="I15146" s="20">
        <v>0.39911724369441098</v>
      </c>
      <c r="J15146" s="28">
        <v>0.68980681707650704</v>
      </c>
      <c r="K15146" s="29">
        <v>0.98289565623980701</v>
      </c>
    </row>
    <row r="15147" spans="1:11" x14ac:dyDescent="0.35">
      <c r="A15147" s="9" t="str">
        <f>HYPERLINK("http://www.ensembl.org/id/WBGene00005656", "WBGene00005656")</f>
        <v>WBGene00005656</v>
      </c>
      <c r="B15147" s="9"/>
      <c r="C15147" s="9"/>
      <c r="D15147" t="str">
        <f>"srr-5"</f>
        <v>srr-5</v>
      </c>
      <c r="F15147" t="s">
        <v>80</v>
      </c>
      <c r="H15147" s="12">
        <v>-1.3840814693244601</v>
      </c>
      <c r="I15147" s="20">
        <v>-0.48587168379126</v>
      </c>
      <c r="J15147" s="28">
        <v>0.62705814591651599</v>
      </c>
      <c r="K15147" s="29">
        <v>0.98289565623980701</v>
      </c>
    </row>
    <row r="15148" spans="1:11" x14ac:dyDescent="0.35">
      <c r="A15148" s="9" t="str">
        <f>HYPERLINK("http://www.ensembl.org/id/WBGene00044117", "WBGene00044117")</f>
        <v>WBGene00044117</v>
      </c>
      <c r="B15148" s="9" t="str">
        <f>HYPERLINK("http://www.ncbi.nlm.nih.gov/gene/3565803", "3565803")</f>
        <v>3565803</v>
      </c>
      <c r="C15148" s="9"/>
      <c r="D15148" t="str">
        <f>"srsx-10"</f>
        <v>srsx-10</v>
      </c>
      <c r="E15148" t="s">
        <v>1639</v>
      </c>
      <c r="F15148" t="s">
        <v>11</v>
      </c>
      <c r="G15148" t="s">
        <v>1089</v>
      </c>
      <c r="H15148" s="12">
        <v>7.8750041662741399</v>
      </c>
      <c r="I15148" s="20">
        <v>0.66270036837280499</v>
      </c>
      <c r="J15148" s="28">
        <v>0.507522473818947</v>
      </c>
      <c r="K15148" s="29">
        <v>0.98289565623980701</v>
      </c>
    </row>
    <row r="15149" spans="1:11" x14ac:dyDescent="0.35">
      <c r="A15149" s="9" t="str">
        <f>HYPERLINK("http://www.ensembl.org/id/WBGene00015736", "WBGene00015736")</f>
        <v>WBGene00015736</v>
      </c>
      <c r="B15149" s="9" t="str">
        <f>HYPERLINK("http://www.ncbi.nlm.nih.gov/gene/182572", "182572")</f>
        <v>182572</v>
      </c>
      <c r="C15149" s="9"/>
      <c r="D15149" t="str">
        <f>"srsx-11"</f>
        <v>srsx-11</v>
      </c>
      <c r="E15149" t="s">
        <v>1639</v>
      </c>
      <c r="F15149" t="s">
        <v>11</v>
      </c>
      <c r="G15149" t="s">
        <v>1089</v>
      </c>
      <c r="H15149" s="12">
        <v>-2.4991590031922399</v>
      </c>
      <c r="I15149" s="20">
        <v>-0.26577412737581302</v>
      </c>
      <c r="J15149" s="28">
        <v>0.79041317015736101</v>
      </c>
      <c r="K15149" s="29">
        <v>0.98289565623980701</v>
      </c>
    </row>
    <row r="15150" spans="1:11" x14ac:dyDescent="0.35">
      <c r="A15150" s="9" t="str">
        <f>HYPERLINK("http://www.ensembl.org/id/WBGene00016543", "WBGene00016543")</f>
        <v>WBGene00016543</v>
      </c>
      <c r="B15150" s="9" t="str">
        <f>HYPERLINK("http://www.ncbi.nlm.nih.gov/gene/183350", "183350")</f>
        <v>183350</v>
      </c>
      <c r="C15150" s="9"/>
      <c r="D15150" t="str">
        <f>"srsx-14"</f>
        <v>srsx-14</v>
      </c>
      <c r="E15150" t="s">
        <v>1639</v>
      </c>
      <c r="F15150" t="s">
        <v>11</v>
      </c>
      <c r="G15150" t="s">
        <v>1089</v>
      </c>
      <c r="H15150" s="12">
        <v>-2.32806922451122</v>
      </c>
      <c r="I15150" s="20">
        <v>-0.28296842763464503</v>
      </c>
      <c r="J15150" s="28">
        <v>0.77720103937969098</v>
      </c>
      <c r="K15150" s="29">
        <v>0.98289565623980701</v>
      </c>
    </row>
    <row r="15151" spans="1:11" x14ac:dyDescent="0.35">
      <c r="A15151" s="9" t="str">
        <f>HYPERLINK("http://www.ensembl.org/id/WBGene00015419", "WBGene00015419")</f>
        <v>WBGene00015419</v>
      </c>
      <c r="B15151" s="9" t="str">
        <f>HYPERLINK("http://www.ncbi.nlm.nih.gov/gene/182200", "182200")</f>
        <v>182200</v>
      </c>
      <c r="C15151" s="9"/>
      <c r="D15151" t="str">
        <f>"srsx-18"</f>
        <v>srsx-18</v>
      </c>
      <c r="E15151" t="s">
        <v>1639</v>
      </c>
      <c r="F15151" t="s">
        <v>11</v>
      </c>
      <c r="G15151" t="s">
        <v>1089</v>
      </c>
      <c r="H15151" s="12">
        <v>-1.59530707575571</v>
      </c>
      <c r="I15151" s="20">
        <v>-1.00164512919215</v>
      </c>
      <c r="J15151" s="28">
        <v>0.316515016539198</v>
      </c>
      <c r="K15151" s="29">
        <v>0.98289565623980701</v>
      </c>
    </row>
    <row r="15152" spans="1:11" x14ac:dyDescent="0.35">
      <c r="A15152" s="9" t="str">
        <f>HYPERLINK("http://www.ensembl.org/id/WBGene00011931", "WBGene00011931")</f>
        <v>WBGene00011931</v>
      </c>
      <c r="B15152" s="9" t="str">
        <f>HYPERLINK("http://www.ncbi.nlm.nih.gov/gene/188760", "188760")</f>
        <v>188760</v>
      </c>
      <c r="C15152" s="9"/>
      <c r="D15152" t="str">
        <f>"srsx-19"</f>
        <v>srsx-19</v>
      </c>
      <c r="E15152" t="s">
        <v>1639</v>
      </c>
      <c r="F15152" t="s">
        <v>11</v>
      </c>
      <c r="G15152" t="s">
        <v>1089</v>
      </c>
      <c r="H15152" s="12">
        <v>-1.3384815311271401</v>
      </c>
      <c r="I15152" s="20">
        <v>-1.0566204778305199</v>
      </c>
      <c r="J15152" s="28">
        <v>0.290684830863701</v>
      </c>
      <c r="K15152" s="29">
        <v>0.98289565623980701</v>
      </c>
    </row>
    <row r="15153" spans="1:11" x14ac:dyDescent="0.35">
      <c r="A15153" s="9" t="str">
        <f>HYPERLINK("http://www.ensembl.org/id/WBGene00019853", "WBGene00019853")</f>
        <v>WBGene00019853</v>
      </c>
      <c r="B15153" s="9"/>
      <c r="C15153" s="9"/>
      <c r="D15153" t="str">
        <f>"srsx-20"</f>
        <v>srsx-20</v>
      </c>
      <c r="F15153" t="s">
        <v>80</v>
      </c>
      <c r="H15153" s="12">
        <v>-1.2097962995623599</v>
      </c>
      <c r="I15153" s="20">
        <v>-0.28919850717749201</v>
      </c>
      <c r="J15153" s="28">
        <v>0.77242947416779695</v>
      </c>
      <c r="K15153" s="29">
        <v>0.98289565623980701</v>
      </c>
    </row>
    <row r="15154" spans="1:11" x14ac:dyDescent="0.35">
      <c r="A15154" s="9" t="str">
        <f>HYPERLINK("http://www.ensembl.org/id/WBGene00011084", "WBGene00011084")</f>
        <v>WBGene00011084</v>
      </c>
      <c r="B15154" s="9" t="str">
        <f>HYPERLINK("http://www.ncbi.nlm.nih.gov/gene/187652", "187652")</f>
        <v>187652</v>
      </c>
      <c r="C15154" s="9"/>
      <c r="D15154" t="str">
        <f>"srsx-21"</f>
        <v>srsx-21</v>
      </c>
      <c r="E15154" t="s">
        <v>1639</v>
      </c>
      <c r="F15154" t="s">
        <v>11</v>
      </c>
      <c r="G15154" t="s">
        <v>1089</v>
      </c>
      <c r="H15154" s="12">
        <v>3.5227018545059199</v>
      </c>
      <c r="I15154" s="20">
        <v>0.36849691206929103</v>
      </c>
      <c r="J15154" s="28">
        <v>0.71250274722433404</v>
      </c>
      <c r="K15154" s="29">
        <v>0.98289565623980701</v>
      </c>
    </row>
    <row r="15155" spans="1:11" x14ac:dyDescent="0.35">
      <c r="A15155" s="9" t="str">
        <f>HYPERLINK("http://www.ensembl.org/id/WBGene00015401", "WBGene00015401")</f>
        <v>WBGene00015401</v>
      </c>
      <c r="B15155" s="9" t="str">
        <f>HYPERLINK("http://www.ncbi.nlm.nih.gov/gene/182178", "182178")</f>
        <v>182178</v>
      </c>
      <c r="C15155" s="9"/>
      <c r="D15155" t="str">
        <f>"srsx-24"</f>
        <v>srsx-24</v>
      </c>
      <c r="E15155" t="s">
        <v>1639</v>
      </c>
      <c r="F15155" t="s">
        <v>11</v>
      </c>
      <c r="G15155" t="s">
        <v>1089</v>
      </c>
      <c r="H15155" s="12">
        <v>-2.4991590031922399</v>
      </c>
      <c r="I15155" s="20">
        <v>-0.26577412737581302</v>
      </c>
      <c r="J15155" s="28">
        <v>0.79041317015736101</v>
      </c>
      <c r="K15155" s="29">
        <v>0.98289565623980701</v>
      </c>
    </row>
    <row r="15156" spans="1:11" x14ac:dyDescent="0.35">
      <c r="A15156" s="9" t="str">
        <f>HYPERLINK("http://www.ensembl.org/id/WBGene00008247", "WBGene00008247")</f>
        <v>WBGene00008247</v>
      </c>
      <c r="B15156" s="9" t="str">
        <f>HYPERLINK("http://www.ncbi.nlm.nih.gov/gene/183703", "183703")</f>
        <v>183703</v>
      </c>
      <c r="C15156" s="9"/>
      <c r="D15156" t="str">
        <f>"srsx-26"</f>
        <v>srsx-26</v>
      </c>
      <c r="E15156" t="s">
        <v>1639</v>
      </c>
      <c r="F15156" t="s">
        <v>11</v>
      </c>
      <c r="G15156" t="s">
        <v>1089</v>
      </c>
      <c r="H15156" s="12">
        <v>-1.80893125850428</v>
      </c>
      <c r="I15156" s="20">
        <v>-0.41416316925180402</v>
      </c>
      <c r="J15156" s="28">
        <v>0.67875461298571005</v>
      </c>
      <c r="K15156" s="29">
        <v>0.98289565623980701</v>
      </c>
    </row>
    <row r="15157" spans="1:11" x14ac:dyDescent="0.35">
      <c r="A15157" s="9" t="str">
        <f>HYPERLINK("http://www.ensembl.org/id/WBGene00008248", "WBGene00008248")</f>
        <v>WBGene00008248</v>
      </c>
      <c r="B15157" s="9" t="str">
        <f>HYPERLINK("http://www.ncbi.nlm.nih.gov/gene/183704", "183704")</f>
        <v>183704</v>
      </c>
      <c r="C15157" s="9"/>
      <c r="D15157" t="str">
        <f>"srsx-27"</f>
        <v>srsx-27</v>
      </c>
      <c r="E15157" t="s">
        <v>1639</v>
      </c>
      <c r="F15157" t="s">
        <v>11</v>
      </c>
      <c r="G15157" t="s">
        <v>1089</v>
      </c>
      <c r="H15157" s="12">
        <v>1.3767965760580201</v>
      </c>
      <c r="I15157" s="20">
        <v>0.36822270211732999</v>
      </c>
      <c r="J15157" s="28">
        <v>0.71270718389158205</v>
      </c>
      <c r="K15157" s="29">
        <v>0.98289565623980701</v>
      </c>
    </row>
    <row r="15158" spans="1:11" x14ac:dyDescent="0.35">
      <c r="A15158" s="9" t="str">
        <f>HYPERLINK("http://www.ensembl.org/id/WBGene00008250", "WBGene00008250")</f>
        <v>WBGene00008250</v>
      </c>
      <c r="B15158" s="9" t="str">
        <f>HYPERLINK("http://www.ncbi.nlm.nih.gov/gene/183706", "183706")</f>
        <v>183706</v>
      </c>
      <c r="C15158" s="9"/>
      <c r="D15158" t="str">
        <f>"srsx-29"</f>
        <v>srsx-29</v>
      </c>
      <c r="E15158" t="s">
        <v>1639</v>
      </c>
      <c r="F15158" t="s">
        <v>11</v>
      </c>
      <c r="G15158" t="s">
        <v>1089</v>
      </c>
      <c r="H15158" s="12">
        <v>2.0438421599632202</v>
      </c>
      <c r="I15158" s="20">
        <v>0.42392428176247499</v>
      </c>
      <c r="J15158" s="28">
        <v>0.67162103497570103</v>
      </c>
      <c r="K15158" s="29">
        <v>0.98289565623980701</v>
      </c>
    </row>
    <row r="15159" spans="1:11" x14ac:dyDescent="0.35">
      <c r="A15159" s="9" t="str">
        <f>HYPERLINK("http://www.ensembl.org/id/WBGene00008251", "WBGene00008251")</f>
        <v>WBGene00008251</v>
      </c>
      <c r="B15159" s="9" t="str">
        <f>HYPERLINK("http://www.ncbi.nlm.nih.gov/gene/183707", "183707")</f>
        <v>183707</v>
      </c>
      <c r="C15159" s="9"/>
      <c r="D15159" t="str">
        <f>"srsx-30"</f>
        <v>srsx-30</v>
      </c>
      <c r="E15159" t="s">
        <v>1639</v>
      </c>
      <c r="F15159" t="s">
        <v>11</v>
      </c>
      <c r="G15159" t="s">
        <v>1089</v>
      </c>
      <c r="H15159" s="12">
        <v>2.1702184428618101</v>
      </c>
      <c r="I15159" s="20">
        <v>0.87461029133399504</v>
      </c>
      <c r="J15159" s="28">
        <v>0.38178598623780402</v>
      </c>
      <c r="K15159" s="29">
        <v>0.98289565623980701</v>
      </c>
    </row>
    <row r="15160" spans="1:11" x14ac:dyDescent="0.35">
      <c r="A15160" s="9" t="str">
        <f>HYPERLINK("http://www.ensembl.org/id/WBGene00017615", "WBGene00017615")</f>
        <v>WBGene00017615</v>
      </c>
      <c r="B15160" s="9" t="str">
        <f>HYPERLINK("http://www.ncbi.nlm.nih.gov/gene/184705", "184705")</f>
        <v>184705</v>
      </c>
      <c r="C15160" s="9"/>
      <c r="D15160" t="str">
        <f>"srsx-32"</f>
        <v>srsx-32</v>
      </c>
      <c r="E15160" t="s">
        <v>1639</v>
      </c>
      <c r="F15160" t="s">
        <v>11</v>
      </c>
      <c r="G15160" t="s">
        <v>1089</v>
      </c>
      <c r="H15160" s="12">
        <v>5.2322000618327396</v>
      </c>
      <c r="I15160" s="20">
        <v>0.486112489888328</v>
      </c>
      <c r="J15160" s="28">
        <v>0.62688741196182496</v>
      </c>
      <c r="K15160" s="29">
        <v>0.98289565623980701</v>
      </c>
    </row>
    <row r="15161" spans="1:11" x14ac:dyDescent="0.35">
      <c r="A15161" s="9" t="str">
        <f>HYPERLINK("http://www.ensembl.org/id/WBGene00011837", "WBGene00011837")</f>
        <v>WBGene00011837</v>
      </c>
      <c r="B15161" s="9" t="str">
        <f>HYPERLINK("http://www.ncbi.nlm.nih.gov/gene/188584", "188584")</f>
        <v>188584</v>
      </c>
      <c r="C15161" s="9"/>
      <c r="D15161" t="str">
        <f>"srsx-33"</f>
        <v>srsx-33</v>
      </c>
      <c r="E15161" t="s">
        <v>1639</v>
      </c>
      <c r="F15161" t="s">
        <v>11</v>
      </c>
      <c r="G15161" t="s">
        <v>1089</v>
      </c>
      <c r="H15161" s="12">
        <v>3.5227018545059199</v>
      </c>
      <c r="I15161" s="20">
        <v>0.36849691206929103</v>
      </c>
      <c r="J15161" s="28">
        <v>0.71250274722433404</v>
      </c>
      <c r="K15161" s="29">
        <v>0.98289565623980701</v>
      </c>
    </row>
    <row r="15162" spans="1:11" x14ac:dyDescent="0.35">
      <c r="A15162" s="9" t="str">
        <f>HYPERLINK("http://www.ensembl.org/id/WBGene00016093", "WBGene00016093")</f>
        <v>WBGene00016093</v>
      </c>
      <c r="B15162" s="9" t="str">
        <f>HYPERLINK("http://www.ncbi.nlm.nih.gov/gene/179281", "179281")</f>
        <v>179281</v>
      </c>
      <c r="C15162" s="9" t="str">
        <f>HYPERLINK("http://www.ncbi.nlm.nih.gov/gene/256471", "256471")</f>
        <v>256471</v>
      </c>
      <c r="D15162" t="str">
        <f>"srsx-34"</f>
        <v>srsx-34</v>
      </c>
      <c r="E15162" t="s">
        <v>1639</v>
      </c>
      <c r="F15162" t="s">
        <v>11</v>
      </c>
      <c r="G15162" t="s">
        <v>1089</v>
      </c>
      <c r="H15162" s="12">
        <v>1.4243389025058699</v>
      </c>
      <c r="I15162" s="20">
        <v>0.99021573243711702</v>
      </c>
      <c r="J15162" s="28">
        <v>0.322068684429965</v>
      </c>
      <c r="K15162" s="29">
        <v>0.98289565623980701</v>
      </c>
    </row>
    <row r="15163" spans="1:11" x14ac:dyDescent="0.35">
      <c r="A15163" s="9" t="str">
        <f>HYPERLINK("http://www.ensembl.org/id/WBGene00009999", "WBGene00009999")</f>
        <v>WBGene00009999</v>
      </c>
      <c r="B15163" s="9" t="str">
        <f>HYPERLINK("http://www.ncbi.nlm.nih.gov/gene/186180", "186180")</f>
        <v>186180</v>
      </c>
      <c r="C15163" s="9"/>
      <c r="D15163" t="str">
        <f>"srsx-35"</f>
        <v>srsx-35</v>
      </c>
      <c r="E15163" t="s">
        <v>1639</v>
      </c>
      <c r="F15163" t="s">
        <v>11</v>
      </c>
      <c r="G15163" t="s">
        <v>1089</v>
      </c>
      <c r="H15163" s="12">
        <v>-2.5270803988123798</v>
      </c>
      <c r="I15163" s="20">
        <v>-0.60865287797471301</v>
      </c>
      <c r="J15163" s="28">
        <v>0.54275454722930905</v>
      </c>
      <c r="K15163" s="29">
        <v>0.98289565623980701</v>
      </c>
    </row>
    <row r="15164" spans="1:11" x14ac:dyDescent="0.35">
      <c r="A15164" s="9" t="str">
        <f>HYPERLINK("http://www.ensembl.org/id/WBGene00012055", "WBGene00012055")</f>
        <v>WBGene00012055</v>
      </c>
      <c r="B15164" s="9" t="str">
        <f>HYPERLINK("http://www.ncbi.nlm.nih.gov/gene/188941", "188941")</f>
        <v>188941</v>
      </c>
      <c r="C15164" s="9"/>
      <c r="D15164" t="str">
        <f>"srsx-36"</f>
        <v>srsx-36</v>
      </c>
      <c r="E15164" t="s">
        <v>1639</v>
      </c>
      <c r="F15164" t="s">
        <v>11</v>
      </c>
      <c r="G15164" t="s">
        <v>1089</v>
      </c>
      <c r="H15164" s="12">
        <v>-6.8452891526029704</v>
      </c>
      <c r="I15164" s="20">
        <v>-1.01572474633598</v>
      </c>
      <c r="J15164" s="28">
        <v>0.30976048040917797</v>
      </c>
      <c r="K15164" s="29">
        <v>0.98289565623980701</v>
      </c>
    </row>
    <row r="15165" spans="1:11" x14ac:dyDescent="0.35">
      <c r="A15165" s="9" t="str">
        <f>HYPERLINK("http://www.ensembl.org/id/WBGene00012054", "WBGene00012054")</f>
        <v>WBGene00012054</v>
      </c>
      <c r="B15165" s="9" t="str">
        <f>HYPERLINK("http://www.ncbi.nlm.nih.gov/gene/188940", "188940")</f>
        <v>188940</v>
      </c>
      <c r="C15165" s="9"/>
      <c r="D15165" t="str">
        <f>"srsx-38"</f>
        <v>srsx-38</v>
      </c>
      <c r="E15165" t="s">
        <v>1639</v>
      </c>
      <c r="F15165" t="s">
        <v>11</v>
      </c>
      <c r="G15165" t="s">
        <v>1089</v>
      </c>
      <c r="H15165" s="12">
        <v>5.4058944669092801</v>
      </c>
      <c r="I15165" s="20">
        <v>0.49762513753689303</v>
      </c>
      <c r="J15165" s="28">
        <v>0.61874828254921799</v>
      </c>
      <c r="K15165" s="29">
        <v>0.98289565623980701</v>
      </c>
    </row>
    <row r="15166" spans="1:11" x14ac:dyDescent="0.35">
      <c r="A15166" s="9" t="str">
        <f>HYPERLINK("http://www.ensembl.org/id/WBGene00010802", "WBGene00010802")</f>
        <v>WBGene00010802</v>
      </c>
      <c r="B15166" s="9" t="str">
        <f>HYPERLINK("http://www.ncbi.nlm.nih.gov/gene/187360", "187360")</f>
        <v>187360</v>
      </c>
      <c r="C15166" s="9"/>
      <c r="D15166" t="str">
        <f>"srsx-39"</f>
        <v>srsx-39</v>
      </c>
      <c r="E15166" t="s">
        <v>1639</v>
      </c>
      <c r="F15166" t="s">
        <v>11</v>
      </c>
      <c r="G15166" t="s">
        <v>1089</v>
      </c>
      <c r="H15166" s="12">
        <v>2.04495178674745</v>
      </c>
      <c r="I15166" s="20">
        <v>0.41932596982667197</v>
      </c>
      <c r="J15166" s="28">
        <v>0.67497791948772801</v>
      </c>
      <c r="K15166" s="29">
        <v>0.98289565623980701</v>
      </c>
    </row>
    <row r="15167" spans="1:11" x14ac:dyDescent="0.35">
      <c r="A15167" s="9" t="str">
        <f>HYPERLINK("http://www.ensembl.org/id/WBGene00022407", "WBGene00022407")</f>
        <v>WBGene00022407</v>
      </c>
      <c r="B15167" s="9"/>
      <c r="C15167" s="9"/>
      <c r="D15167" t="str">
        <f>"srsx-4"</f>
        <v>srsx-4</v>
      </c>
      <c r="F15167" t="s">
        <v>80</v>
      </c>
      <c r="H15167" s="12">
        <v>2.3023301924467101</v>
      </c>
      <c r="I15167" s="20">
        <v>0.26674601818072902</v>
      </c>
      <c r="J15167" s="28">
        <v>0.78966471981773201</v>
      </c>
      <c r="K15167" s="29">
        <v>0.98289565623980701</v>
      </c>
    </row>
    <row r="15168" spans="1:11" x14ac:dyDescent="0.35">
      <c r="A15168" s="9" t="str">
        <f>HYPERLINK("http://www.ensembl.org/id/WBGene00022655", "WBGene00022655")</f>
        <v>WBGene00022655</v>
      </c>
      <c r="B15168" s="9" t="str">
        <f>HYPERLINK("http://www.ncbi.nlm.nih.gov/gene/191223", "191223")</f>
        <v>191223</v>
      </c>
      <c r="C15168" s="9"/>
      <c r="D15168" t="str">
        <f>"srsx-40"</f>
        <v>srsx-40</v>
      </c>
      <c r="E15168" t="s">
        <v>1639</v>
      </c>
      <c r="F15168" t="s">
        <v>11</v>
      </c>
      <c r="G15168" t="s">
        <v>25</v>
      </c>
      <c r="H15168" s="12">
        <v>2.0295824450766999</v>
      </c>
      <c r="I15168" s="20">
        <v>1.16926748046454</v>
      </c>
      <c r="J15168" s="28">
        <v>0.24229588087618401</v>
      </c>
      <c r="K15168" s="29">
        <v>0.98289565623980701</v>
      </c>
    </row>
    <row r="15169" spans="1:11" x14ac:dyDescent="0.35">
      <c r="A15169" s="9" t="str">
        <f>HYPERLINK("http://www.ensembl.org/id/WBGene00022404", "WBGene00022404")</f>
        <v>WBGene00022404</v>
      </c>
      <c r="B15169" s="9" t="str">
        <f>HYPERLINK("http://www.ncbi.nlm.nih.gov/gene/190817", "190817")</f>
        <v>190817</v>
      </c>
      <c r="C15169" s="9"/>
      <c r="D15169" t="str">
        <f>"srsx-5"</f>
        <v>srsx-5</v>
      </c>
      <c r="E15169" t="s">
        <v>1639</v>
      </c>
      <c r="F15169" t="s">
        <v>11</v>
      </c>
      <c r="G15169" t="s">
        <v>1089</v>
      </c>
      <c r="H15169" s="12">
        <v>3.5450014145186599</v>
      </c>
      <c r="I15169" s="20">
        <v>0.80337134827088297</v>
      </c>
      <c r="J15169" s="28">
        <v>0.42176013036683502</v>
      </c>
      <c r="K15169" s="29">
        <v>0.98289565623980701</v>
      </c>
    </row>
    <row r="15170" spans="1:11" x14ac:dyDescent="0.35">
      <c r="A15170" s="9" t="str">
        <f>HYPERLINK("http://www.ensembl.org/id/WBGene00022405", "WBGene00022405")</f>
        <v>WBGene00022405</v>
      </c>
      <c r="B15170" s="9" t="str">
        <f>HYPERLINK("http://www.ncbi.nlm.nih.gov/gene/190818", "190818")</f>
        <v>190818</v>
      </c>
      <c r="C15170" s="9"/>
      <c r="D15170" t="str">
        <f>"srsx-6"</f>
        <v>srsx-6</v>
      </c>
      <c r="E15170" t="s">
        <v>1639</v>
      </c>
      <c r="F15170" t="s">
        <v>11</v>
      </c>
      <c r="G15170" t="s">
        <v>1089</v>
      </c>
      <c r="H15170" s="12">
        <v>1.9825539183299301</v>
      </c>
      <c r="I15170" s="20">
        <v>0.50372327358385505</v>
      </c>
      <c r="J15170" s="28">
        <v>0.61445585122495305</v>
      </c>
      <c r="K15170" s="29">
        <v>0.98289565623980701</v>
      </c>
    </row>
    <row r="15171" spans="1:11" x14ac:dyDescent="0.35">
      <c r="A15171" s="9" t="str">
        <f>HYPERLINK("http://www.ensembl.org/id/WBGene00022406", "WBGene00022406")</f>
        <v>WBGene00022406</v>
      </c>
      <c r="B15171" s="9" t="str">
        <f>HYPERLINK("http://www.ncbi.nlm.nih.gov/gene/190819", "190819")</f>
        <v>190819</v>
      </c>
      <c r="C15171" s="9"/>
      <c r="D15171" t="str">
        <f>"srsx-7"</f>
        <v>srsx-7</v>
      </c>
      <c r="E15171" t="s">
        <v>1639</v>
      </c>
      <c r="F15171" t="s">
        <v>11</v>
      </c>
      <c r="G15171" t="s">
        <v>1089</v>
      </c>
      <c r="H15171" s="12">
        <v>3.3329068568731701</v>
      </c>
      <c r="I15171" s="20">
        <v>0.46865347255211898</v>
      </c>
      <c r="J15171" s="28">
        <v>0.63931734916761196</v>
      </c>
      <c r="K15171" s="29">
        <v>0.98289565623980701</v>
      </c>
    </row>
    <row r="15172" spans="1:11" x14ac:dyDescent="0.35">
      <c r="A15172" s="9" t="str">
        <f>HYPERLINK("http://www.ensembl.org/id/WBGene00018709", "WBGene00018709")</f>
        <v>WBGene00018709</v>
      </c>
      <c r="B15172" s="9" t="str">
        <f>HYPERLINK("http://www.ncbi.nlm.nih.gov/gene/186126", "186126")</f>
        <v>186126</v>
      </c>
      <c r="C15172" s="9"/>
      <c r="D15172" t="str">
        <f>"srsx-8"</f>
        <v>srsx-8</v>
      </c>
      <c r="E15172" t="s">
        <v>1639</v>
      </c>
      <c r="F15172" t="s">
        <v>11</v>
      </c>
      <c r="G15172" t="s">
        <v>1089</v>
      </c>
      <c r="H15172" s="12">
        <v>-3.4381692680997</v>
      </c>
      <c r="I15172" s="20">
        <v>-0.66589672130188204</v>
      </c>
      <c r="J15172" s="28">
        <v>0.50547711633834203</v>
      </c>
      <c r="K15172" s="29">
        <v>0.98289565623980701</v>
      </c>
    </row>
    <row r="15173" spans="1:11" x14ac:dyDescent="0.35">
      <c r="A15173" s="9" t="str">
        <f>HYPERLINK("http://www.ensembl.org/id/WBGene00017845", "WBGene00017845")</f>
        <v>WBGene00017845</v>
      </c>
      <c r="B15173" s="9" t="str">
        <f>HYPERLINK("http://www.ncbi.nlm.nih.gov/gene/185000", "185000")</f>
        <v>185000</v>
      </c>
      <c r="C15173" s="9"/>
      <c r="D15173" t="str">
        <f>"srsx-9"</f>
        <v>srsx-9</v>
      </c>
      <c r="E15173" t="s">
        <v>1639</v>
      </c>
      <c r="F15173" t="s">
        <v>11</v>
      </c>
      <c r="G15173" t="s">
        <v>1089</v>
      </c>
      <c r="H15173" s="12">
        <v>4.4368407117627902</v>
      </c>
      <c r="I15173" s="20">
        <v>0.43709475933309699</v>
      </c>
      <c r="J15173" s="28">
        <v>0.66204262779770495</v>
      </c>
      <c r="K15173" s="29">
        <v>0.98289565623980701</v>
      </c>
    </row>
    <row r="15174" spans="1:11" x14ac:dyDescent="0.35">
      <c r="A15174" s="9" t="str">
        <f>HYPERLINK("http://www.ensembl.org/id/WBGene00012181", "WBGene00012181")</f>
        <v>WBGene00012181</v>
      </c>
      <c r="B15174" s="9" t="str">
        <f>HYPERLINK("http://www.ncbi.nlm.nih.gov/gene/189093", "189093")</f>
        <v>189093</v>
      </c>
      <c r="C15174" s="9"/>
      <c r="D15174" t="str">
        <f>"srt-11"</f>
        <v>srt-11</v>
      </c>
      <c r="E15174" t="s">
        <v>2845</v>
      </c>
      <c r="F15174" t="s">
        <v>11</v>
      </c>
      <c r="G15174" t="s">
        <v>25</v>
      </c>
      <c r="H15174" s="12">
        <v>2.2601570097622798</v>
      </c>
      <c r="I15174" s="20">
        <v>0.31681166613803102</v>
      </c>
      <c r="J15174" s="28">
        <v>0.75138651156509595</v>
      </c>
      <c r="K15174" s="29">
        <v>0.98289565623980701</v>
      </c>
    </row>
    <row r="15175" spans="1:11" x14ac:dyDescent="0.35">
      <c r="A15175" s="9" t="str">
        <f>HYPERLINK("http://www.ensembl.org/id/WBGene00017107", "WBGene00017107")</f>
        <v>WBGene00017107</v>
      </c>
      <c r="B15175" s="9" t="str">
        <f>HYPERLINK("http://www.ncbi.nlm.nih.gov/gene/184010", "184010")</f>
        <v>184010</v>
      </c>
      <c r="C15175" s="9"/>
      <c r="D15175" t="str">
        <f>"srt-12"</f>
        <v>srt-12</v>
      </c>
      <c r="E15175" t="s">
        <v>2845</v>
      </c>
      <c r="F15175" t="s">
        <v>11</v>
      </c>
      <c r="G15175" t="s">
        <v>25</v>
      </c>
      <c r="H15175" s="12">
        <v>12.685338163804801</v>
      </c>
      <c r="I15175" s="20">
        <v>0.81852262355899996</v>
      </c>
      <c r="J15175" s="28">
        <v>0.41305882922107201</v>
      </c>
      <c r="K15175" s="29">
        <v>0.98289565623980701</v>
      </c>
    </row>
    <row r="15176" spans="1:11" x14ac:dyDescent="0.35">
      <c r="A15176" s="9" t="str">
        <f>HYPERLINK("http://www.ensembl.org/id/WBGene00022529", "WBGene00022529")</f>
        <v>WBGene00022529</v>
      </c>
      <c r="B15176" s="9" t="str">
        <f>HYPERLINK("http://www.ncbi.nlm.nih.gov/gene/191088", "191088")</f>
        <v>191088</v>
      </c>
      <c r="C15176" s="9"/>
      <c r="D15176" t="str">
        <f>"srt-14"</f>
        <v>srt-14</v>
      </c>
      <c r="E15176" t="s">
        <v>2845</v>
      </c>
      <c r="F15176" t="s">
        <v>11</v>
      </c>
      <c r="G15176" t="s">
        <v>25</v>
      </c>
      <c r="H15176" s="12">
        <v>-3.0021499962793001</v>
      </c>
      <c r="I15176" s="20">
        <v>-0.44126540740164599</v>
      </c>
      <c r="J15176" s="28">
        <v>0.65902086634019996</v>
      </c>
      <c r="K15176" s="29">
        <v>0.98289565623980701</v>
      </c>
    </row>
    <row r="15177" spans="1:11" x14ac:dyDescent="0.35">
      <c r="A15177" s="9" t="str">
        <f>HYPERLINK("http://www.ensembl.org/id/WBGene00016856", "WBGene00016856")</f>
        <v>WBGene00016856</v>
      </c>
      <c r="B15177" s="9" t="str">
        <f>HYPERLINK("http://www.ncbi.nlm.nih.gov/gene/183698", "183698")</f>
        <v>183698</v>
      </c>
      <c r="C15177" s="9"/>
      <c r="D15177" t="str">
        <f>"srt-15"</f>
        <v>srt-15</v>
      </c>
      <c r="E15177" t="s">
        <v>2845</v>
      </c>
      <c r="F15177" t="s">
        <v>11</v>
      </c>
      <c r="G15177" t="s">
        <v>25</v>
      </c>
      <c r="H15177" s="12">
        <v>5.9495765472548197</v>
      </c>
      <c r="I15177" s="20">
        <v>0.52429389276509997</v>
      </c>
      <c r="J15177" s="28">
        <v>0.60007414400596704</v>
      </c>
      <c r="K15177" s="29">
        <v>0.98289565623980701</v>
      </c>
    </row>
    <row r="15178" spans="1:11" x14ac:dyDescent="0.35">
      <c r="A15178" s="9" t="str">
        <f>HYPERLINK("http://www.ensembl.org/id/WBGene00019850", "WBGene00019850")</f>
        <v>WBGene00019850</v>
      </c>
      <c r="B15178" s="9" t="str">
        <f>HYPERLINK("http://www.ncbi.nlm.nih.gov/gene/187550", "187550")</f>
        <v>187550</v>
      </c>
      <c r="C15178" s="9"/>
      <c r="D15178" t="str">
        <f>"srt-18"</f>
        <v>srt-18</v>
      </c>
      <c r="E15178" t="s">
        <v>2845</v>
      </c>
      <c r="F15178" t="s">
        <v>11</v>
      </c>
      <c r="G15178" t="s">
        <v>25</v>
      </c>
      <c r="H15178" s="12">
        <v>4.4368407117627902</v>
      </c>
      <c r="I15178" s="20">
        <v>0.43709475933309699</v>
      </c>
      <c r="J15178" s="28">
        <v>0.66204262779770495</v>
      </c>
      <c r="K15178" s="29">
        <v>0.98289565623980701</v>
      </c>
    </row>
    <row r="15179" spans="1:11" x14ac:dyDescent="0.35">
      <c r="A15179" s="9" t="str">
        <f>HYPERLINK("http://www.ensembl.org/id/WBGene00018558", "WBGene00018558")</f>
        <v>WBGene00018558</v>
      </c>
      <c r="B15179" s="9" t="str">
        <f>HYPERLINK("http://www.ncbi.nlm.nih.gov/gene/185928", "185928")</f>
        <v>185928</v>
      </c>
      <c r="C15179" s="9"/>
      <c r="D15179" t="str">
        <f>"srt-20"</f>
        <v>srt-20</v>
      </c>
      <c r="E15179" t="s">
        <v>2845</v>
      </c>
      <c r="F15179" t="s">
        <v>11</v>
      </c>
      <c r="G15179" t="s">
        <v>25</v>
      </c>
      <c r="H15179" s="12">
        <v>-3.4174069972187402</v>
      </c>
      <c r="I15179" s="20">
        <v>-0.75199331540498804</v>
      </c>
      <c r="J15179" s="28">
        <v>0.45205507871920603</v>
      </c>
      <c r="K15179" s="29">
        <v>0.98289565623980701</v>
      </c>
    </row>
    <row r="15180" spans="1:11" x14ac:dyDescent="0.35">
      <c r="A15180" s="9" t="str">
        <f>HYPERLINK("http://www.ensembl.org/id/WBGene00014191", "WBGene00014191")</f>
        <v>WBGene00014191</v>
      </c>
      <c r="B15180" s="9" t="str">
        <f>HYPERLINK("http://www.ncbi.nlm.nih.gov/gene/191498", "191498")</f>
        <v>191498</v>
      </c>
      <c r="C15180" s="9"/>
      <c r="D15180" t="str">
        <f>"srt-22"</f>
        <v>srt-22</v>
      </c>
      <c r="E15180" t="s">
        <v>2845</v>
      </c>
      <c r="F15180" t="s">
        <v>11</v>
      </c>
      <c r="G15180" t="s">
        <v>25</v>
      </c>
      <c r="H15180" s="12">
        <v>3.5227018545059199</v>
      </c>
      <c r="I15180" s="20">
        <v>0.36849691206929103</v>
      </c>
      <c r="J15180" s="28">
        <v>0.71250274722433404</v>
      </c>
      <c r="K15180" s="29">
        <v>0.98289565623980701</v>
      </c>
    </row>
    <row r="15181" spans="1:11" x14ac:dyDescent="0.35">
      <c r="A15181" s="9" t="str">
        <f>HYPERLINK("http://www.ensembl.org/id/WBGene00021951", "WBGene00021951")</f>
        <v>WBGene00021951</v>
      </c>
      <c r="B15181" s="9" t="str">
        <f>HYPERLINK("http://www.ncbi.nlm.nih.gov/gene/176898", "176898")</f>
        <v>176898</v>
      </c>
      <c r="C15181" s="9"/>
      <c r="D15181" t="str">
        <f>"srt-24"</f>
        <v>srt-24</v>
      </c>
      <c r="E15181" t="s">
        <v>2845</v>
      </c>
      <c r="F15181" t="s">
        <v>11</v>
      </c>
      <c r="G15181" t="s">
        <v>25</v>
      </c>
      <c r="H15181" s="12">
        <v>6.61045742799383</v>
      </c>
      <c r="I15181" s="20">
        <v>0.55558174612790701</v>
      </c>
      <c r="J15181" s="28">
        <v>0.57849681292850097</v>
      </c>
      <c r="K15181" s="29">
        <v>0.98289565623980701</v>
      </c>
    </row>
    <row r="15182" spans="1:11" x14ac:dyDescent="0.35">
      <c r="A15182" s="9" t="str">
        <f>HYPERLINK("http://www.ensembl.org/id/WBGene00016049", "WBGene00016049")</f>
        <v>WBGene00016049</v>
      </c>
      <c r="B15182" s="9" t="str">
        <f>HYPERLINK("http://www.ncbi.nlm.nih.gov/gene/182838", "182838")</f>
        <v>182838</v>
      </c>
      <c r="C15182" s="9"/>
      <c r="D15182" t="str">
        <f>"srt-28"</f>
        <v>srt-28</v>
      </c>
      <c r="E15182" t="s">
        <v>2845</v>
      </c>
      <c r="F15182" t="s">
        <v>11</v>
      </c>
      <c r="G15182" t="s">
        <v>25</v>
      </c>
      <c r="H15182" s="12">
        <v>2.0673185193811898</v>
      </c>
      <c r="I15182" s="20">
        <v>0.74131945423872403</v>
      </c>
      <c r="J15182" s="28">
        <v>0.45849976874112103</v>
      </c>
      <c r="K15182" s="29">
        <v>0.98289565623980701</v>
      </c>
    </row>
    <row r="15183" spans="1:11" x14ac:dyDescent="0.35">
      <c r="A15183" s="9" t="str">
        <f>HYPERLINK("http://www.ensembl.org/id/WBGene00012242", "WBGene00012242")</f>
        <v>WBGene00012242</v>
      </c>
      <c r="B15183" s="9" t="str">
        <f>HYPERLINK("http://www.ncbi.nlm.nih.gov/gene/189186", "189186")</f>
        <v>189186</v>
      </c>
      <c r="C15183" s="9"/>
      <c r="D15183" t="str">
        <f>"srt-39"</f>
        <v>srt-39</v>
      </c>
      <c r="E15183" t="s">
        <v>2845</v>
      </c>
      <c r="F15183" t="s">
        <v>11</v>
      </c>
      <c r="G15183" t="s">
        <v>25</v>
      </c>
      <c r="H15183" s="12">
        <v>-1.9755763757017999</v>
      </c>
      <c r="I15183" s="20">
        <v>-0.66510922234955605</v>
      </c>
      <c r="J15183" s="28">
        <v>0.50598063640742996</v>
      </c>
      <c r="K15183" s="29">
        <v>0.98289565623980701</v>
      </c>
    </row>
    <row r="15184" spans="1:11" x14ac:dyDescent="0.35">
      <c r="A15184" s="9" t="str">
        <f>HYPERLINK("http://www.ensembl.org/id/WBGene00016232", "WBGene00016232")</f>
        <v>WBGene00016232</v>
      </c>
      <c r="B15184" s="9" t="str">
        <f>HYPERLINK("http://www.ncbi.nlm.nih.gov/gene/183033", "183033")</f>
        <v>183033</v>
      </c>
      <c r="C15184" s="9"/>
      <c r="D15184" t="str">
        <f>"srt-4"</f>
        <v>srt-4</v>
      </c>
      <c r="E15184" t="s">
        <v>2845</v>
      </c>
      <c r="F15184" t="s">
        <v>11</v>
      </c>
      <c r="G15184" t="s">
        <v>25</v>
      </c>
      <c r="H15184" s="12">
        <v>17.909354757174501</v>
      </c>
      <c r="I15184" s="20">
        <v>1.1353120762986799</v>
      </c>
      <c r="J15184" s="28">
        <v>0.25624458411416401</v>
      </c>
      <c r="K15184" s="29">
        <v>0.98289565623980701</v>
      </c>
    </row>
    <row r="15185" spans="1:11" x14ac:dyDescent="0.35">
      <c r="A15185" s="9" t="str">
        <f>HYPERLINK("http://www.ensembl.org/id/WBGene00021599", "WBGene00021599")</f>
        <v>WBGene00021599</v>
      </c>
      <c r="B15185" s="9" t="str">
        <f>HYPERLINK("http://www.ncbi.nlm.nih.gov/gene/189961", "189961")</f>
        <v>189961</v>
      </c>
      <c r="C15185" s="9"/>
      <c r="D15185" t="str">
        <f>"srt-42"</f>
        <v>srt-42</v>
      </c>
      <c r="E15185" t="s">
        <v>2845</v>
      </c>
      <c r="F15185" t="s">
        <v>11</v>
      </c>
      <c r="G15185" t="s">
        <v>25</v>
      </c>
      <c r="H15185" s="12">
        <v>-1.4737502045108</v>
      </c>
      <c r="I15185" s="20">
        <v>-0.77872354193517102</v>
      </c>
      <c r="J15185" s="28">
        <v>0.43614258517813098</v>
      </c>
      <c r="K15185" s="29">
        <v>0.98289565623980701</v>
      </c>
    </row>
    <row r="15186" spans="1:11" x14ac:dyDescent="0.35">
      <c r="A15186" s="9" t="str">
        <f>HYPERLINK("http://www.ensembl.org/id/WBGene00008937", "WBGene00008937")</f>
        <v>WBGene00008937</v>
      </c>
      <c r="B15186" s="9" t="str">
        <f>HYPERLINK("http://www.ncbi.nlm.nih.gov/gene/179750", "179750")</f>
        <v>179750</v>
      </c>
      <c r="C15186" s="9"/>
      <c r="D15186" t="str">
        <f>"srt-43"</f>
        <v>srt-43</v>
      </c>
      <c r="E15186" t="s">
        <v>2845</v>
      </c>
      <c r="F15186" t="s">
        <v>11</v>
      </c>
      <c r="G15186" t="s">
        <v>25</v>
      </c>
      <c r="H15186" s="12">
        <v>-1.5816469726485101</v>
      </c>
      <c r="I15186" s="20">
        <v>-0.269353813446429</v>
      </c>
      <c r="J15186" s="28">
        <v>0.78765742461765098</v>
      </c>
      <c r="K15186" s="29">
        <v>0.98289565623980701</v>
      </c>
    </row>
    <row r="15187" spans="1:11" x14ac:dyDescent="0.35">
      <c r="A15187" s="9" t="str">
        <f>HYPERLINK("http://www.ensembl.org/id/WBGene00010950", "WBGene00010950")</f>
        <v>WBGene00010950</v>
      </c>
      <c r="B15187" s="9" t="str">
        <f>HYPERLINK("http://www.ncbi.nlm.nih.gov/gene/187500", "187500")</f>
        <v>187500</v>
      </c>
      <c r="C15187" s="9"/>
      <c r="D15187" t="str">
        <f>"srt-44"</f>
        <v>srt-44</v>
      </c>
      <c r="E15187" t="s">
        <v>2845</v>
      </c>
      <c r="F15187" t="s">
        <v>11</v>
      </c>
      <c r="G15187" t="s">
        <v>25</v>
      </c>
      <c r="H15187" s="12">
        <v>-2.39546241010712</v>
      </c>
      <c r="I15187" s="20">
        <v>-0.58562262352384997</v>
      </c>
      <c r="J15187" s="28">
        <v>0.55812914179490003</v>
      </c>
      <c r="K15187" s="29">
        <v>0.98289565623980701</v>
      </c>
    </row>
    <row r="15188" spans="1:11" x14ac:dyDescent="0.35">
      <c r="A15188" s="9" t="str">
        <f>HYPERLINK("http://www.ensembl.org/id/WBGene00012773", "WBGene00012773")</f>
        <v>WBGene00012773</v>
      </c>
      <c r="B15188" s="9" t="str">
        <f>HYPERLINK("http://www.ncbi.nlm.nih.gov/gene/189835", "189835")</f>
        <v>189835</v>
      </c>
      <c r="C15188" s="9"/>
      <c r="D15188" t="str">
        <f>"srt-48"</f>
        <v>srt-48</v>
      </c>
      <c r="E15188" t="s">
        <v>2845</v>
      </c>
      <c r="F15188" t="s">
        <v>11</v>
      </c>
      <c r="G15188" t="s">
        <v>25</v>
      </c>
      <c r="H15188" s="12">
        <v>-3.5215645280615</v>
      </c>
      <c r="I15188" s="20">
        <v>-0.59187303440182504</v>
      </c>
      <c r="J15188" s="28">
        <v>0.55393561212433495</v>
      </c>
      <c r="K15188" s="29">
        <v>0.98289565623980701</v>
      </c>
    </row>
    <row r="15189" spans="1:11" x14ac:dyDescent="0.35">
      <c r="A15189" s="9" t="str">
        <f>HYPERLINK("http://www.ensembl.org/id/WBGene00016859", "WBGene00016859")</f>
        <v>WBGene00016859</v>
      </c>
      <c r="B15189" s="9" t="str">
        <f>HYPERLINK("http://www.ncbi.nlm.nih.gov/gene/183701", "183701")</f>
        <v>183701</v>
      </c>
      <c r="C15189" s="9"/>
      <c r="D15189" t="str">
        <f>"srt-5"</f>
        <v>srt-5</v>
      </c>
      <c r="E15189" t="s">
        <v>2845</v>
      </c>
      <c r="F15189" t="s">
        <v>11</v>
      </c>
      <c r="G15189" t="s">
        <v>25</v>
      </c>
      <c r="H15189" s="12">
        <v>3.6645215954135</v>
      </c>
      <c r="I15189" s="20">
        <v>0.37967131826092498</v>
      </c>
      <c r="J15189" s="28">
        <v>0.70418941338960395</v>
      </c>
      <c r="K15189" s="29">
        <v>0.98289565623980701</v>
      </c>
    </row>
    <row r="15190" spans="1:11" x14ac:dyDescent="0.35">
      <c r="A15190" s="9" t="str">
        <f>HYPERLINK("http://www.ensembl.org/id/WBGene00012775", "WBGene00012775")</f>
        <v>WBGene00012775</v>
      </c>
      <c r="B15190" s="9" t="str">
        <f>HYPERLINK("http://www.ncbi.nlm.nih.gov/gene/13203954", "13203954")</f>
        <v>13203954</v>
      </c>
      <c r="C15190" s="9"/>
      <c r="D15190" t="str">
        <f>"srt-50"</f>
        <v>srt-50</v>
      </c>
      <c r="E15190" t="s">
        <v>2845</v>
      </c>
      <c r="F15190" t="s">
        <v>11</v>
      </c>
      <c r="G15190" t="s">
        <v>25</v>
      </c>
      <c r="H15190" s="12">
        <v>-3.2495597408956902</v>
      </c>
      <c r="I15190" s="20">
        <v>-0.45938284331649798</v>
      </c>
      <c r="J15190" s="28">
        <v>0.64595926644172297</v>
      </c>
      <c r="K15190" s="29">
        <v>0.98289565623980701</v>
      </c>
    </row>
    <row r="15191" spans="1:11" x14ac:dyDescent="0.35">
      <c r="A15191" s="9" t="str">
        <f>HYPERLINK("http://www.ensembl.org/id/WBGene00021413", "WBGene00021413")</f>
        <v>WBGene00021413</v>
      </c>
      <c r="B15191" s="9" t="str">
        <f>HYPERLINK("http://www.ncbi.nlm.nih.gov/gene/189650", "189650")</f>
        <v>189650</v>
      </c>
      <c r="C15191" s="9"/>
      <c r="D15191" t="str">
        <f>"srt-52"</f>
        <v>srt-52</v>
      </c>
      <c r="E15191" t="s">
        <v>2845</v>
      </c>
      <c r="F15191" t="s">
        <v>11</v>
      </c>
      <c r="G15191" t="s">
        <v>25</v>
      </c>
      <c r="H15191" s="12">
        <v>-4.7167679298615104</v>
      </c>
      <c r="I15191" s="20">
        <v>-0.454742638005115</v>
      </c>
      <c r="J15191" s="28">
        <v>0.64929440216969203</v>
      </c>
      <c r="K15191" s="29">
        <v>0.98289565623980701</v>
      </c>
    </row>
    <row r="15192" spans="1:11" x14ac:dyDescent="0.35">
      <c r="A15192" s="9" t="str">
        <f>HYPERLINK("http://www.ensembl.org/id/WBGene00022409", "WBGene00022409")</f>
        <v>WBGene00022409</v>
      </c>
      <c r="B15192" s="9" t="str">
        <f>HYPERLINK("http://www.ncbi.nlm.nih.gov/gene/190824", "190824")</f>
        <v>190824</v>
      </c>
      <c r="C15192" s="9"/>
      <c r="D15192" t="str">
        <f>"srt-53"</f>
        <v>srt-53</v>
      </c>
      <c r="E15192" t="s">
        <v>2845</v>
      </c>
      <c r="F15192" t="s">
        <v>11</v>
      </c>
      <c r="G15192" t="s">
        <v>25</v>
      </c>
      <c r="H15192" s="12">
        <v>2.1918358540827501</v>
      </c>
      <c r="I15192" s="20">
        <v>0.88739664261328399</v>
      </c>
      <c r="J15192" s="28">
        <v>0.37486539044004702</v>
      </c>
      <c r="K15192" s="29">
        <v>0.98289565623980701</v>
      </c>
    </row>
    <row r="15193" spans="1:11" x14ac:dyDescent="0.35">
      <c r="A15193" s="9" t="str">
        <f>HYPERLINK("http://www.ensembl.org/id/WBGene00011816", "WBGene00011816")</f>
        <v>WBGene00011816</v>
      </c>
      <c r="B15193" s="9" t="str">
        <f>HYPERLINK("http://www.ncbi.nlm.nih.gov/gene/188561", "188561")</f>
        <v>188561</v>
      </c>
      <c r="C15193" s="9"/>
      <c r="D15193" t="str">
        <f>"srt-55"</f>
        <v>srt-55</v>
      </c>
      <c r="E15193" t="s">
        <v>10114</v>
      </c>
      <c r="F15193" t="s">
        <v>11</v>
      </c>
      <c r="G15193" t="s">
        <v>25</v>
      </c>
      <c r="H15193" s="12">
        <v>-4.7167679298615104</v>
      </c>
      <c r="I15193" s="20">
        <v>-0.454742638005115</v>
      </c>
      <c r="J15193" s="28">
        <v>0.64929440216969203</v>
      </c>
      <c r="K15193" s="29">
        <v>0.98289565623980701</v>
      </c>
    </row>
    <row r="15194" spans="1:11" x14ac:dyDescent="0.35">
      <c r="A15194" s="9" t="str">
        <f>HYPERLINK("http://www.ensembl.org/id/WBGene00020055", "WBGene00020055")</f>
        <v>WBGene00020055</v>
      </c>
      <c r="B15194" s="9" t="str">
        <f>HYPERLINK("http://www.ncbi.nlm.nih.gov/gene/187860", "187860")</f>
        <v>187860</v>
      </c>
      <c r="C15194" s="9"/>
      <c r="D15194" t="str">
        <f>"srt-6"</f>
        <v>srt-6</v>
      </c>
      <c r="E15194" t="s">
        <v>2845</v>
      </c>
      <c r="F15194" t="s">
        <v>11</v>
      </c>
      <c r="G15194" t="s">
        <v>25</v>
      </c>
      <c r="H15194" s="12">
        <v>2.3893468495514898</v>
      </c>
      <c r="I15194" s="20">
        <v>0.25323547253672701</v>
      </c>
      <c r="J15194" s="28">
        <v>0.80008625651646104</v>
      </c>
      <c r="K15194" s="29">
        <v>0.98289565623980701</v>
      </c>
    </row>
    <row r="15195" spans="1:11" x14ac:dyDescent="0.35">
      <c r="A15195" s="9" t="str">
        <f>HYPERLINK("http://www.ensembl.org/id/WBGene00020857", "WBGene00020857")</f>
        <v>WBGene00020857</v>
      </c>
      <c r="B15195" s="9" t="str">
        <f>HYPERLINK("http://www.ncbi.nlm.nih.gov/gene/188991", "188991")</f>
        <v>188991</v>
      </c>
      <c r="C15195" s="9"/>
      <c r="D15195" t="str">
        <f>"srt-62"</f>
        <v>srt-62</v>
      </c>
      <c r="E15195" t="s">
        <v>2845</v>
      </c>
      <c r="F15195" t="s">
        <v>11</v>
      </c>
      <c r="G15195" t="s">
        <v>25</v>
      </c>
      <c r="H15195" s="12">
        <v>-1.58488705957778</v>
      </c>
      <c r="I15195" s="20">
        <v>-0.408382366943842</v>
      </c>
      <c r="J15195" s="28">
        <v>0.68299297690310601</v>
      </c>
      <c r="K15195" s="29">
        <v>0.98289565623980701</v>
      </c>
    </row>
    <row r="15196" spans="1:11" x14ac:dyDescent="0.35">
      <c r="A15196" s="9" t="str">
        <f>HYPERLINK("http://www.ensembl.org/id/WBGene00015367", "WBGene00015367")</f>
        <v>WBGene00015367</v>
      </c>
      <c r="B15196" s="9" t="str">
        <f>HYPERLINK("http://www.ncbi.nlm.nih.gov/gene/182140", "182140")</f>
        <v>182140</v>
      </c>
      <c r="C15196" s="9"/>
      <c r="D15196" t="str">
        <f>"srt-64"</f>
        <v>srt-64</v>
      </c>
      <c r="E15196" t="s">
        <v>2845</v>
      </c>
      <c r="F15196" t="s">
        <v>11</v>
      </c>
      <c r="G15196" t="s">
        <v>25</v>
      </c>
      <c r="H15196" s="12">
        <v>12.685338163804801</v>
      </c>
      <c r="I15196" s="20">
        <v>0.81852262355899996</v>
      </c>
      <c r="J15196" s="28">
        <v>0.41305882922107201</v>
      </c>
      <c r="K15196" s="29">
        <v>0.98289565623980701</v>
      </c>
    </row>
    <row r="15197" spans="1:11" x14ac:dyDescent="0.35">
      <c r="A15197" s="9" t="str">
        <f>HYPERLINK("http://www.ensembl.org/id/WBGene00015368", "WBGene00015368")</f>
        <v>WBGene00015368</v>
      </c>
      <c r="B15197" s="9" t="str">
        <f>HYPERLINK("http://www.ncbi.nlm.nih.gov/gene/182141", "182141")</f>
        <v>182141</v>
      </c>
      <c r="C15197" s="9"/>
      <c r="D15197" t="str">
        <f>"srt-65"</f>
        <v>srt-65</v>
      </c>
      <c r="E15197" t="s">
        <v>2845</v>
      </c>
      <c r="F15197" t="s">
        <v>11</v>
      </c>
      <c r="G15197" t="s">
        <v>25</v>
      </c>
      <c r="H15197" s="12">
        <v>1.76683809936739</v>
      </c>
      <c r="I15197" s="20">
        <v>0.31950972279956402</v>
      </c>
      <c r="J15197" s="28">
        <v>0.749340019745109</v>
      </c>
      <c r="K15197" s="29">
        <v>0.98289565623980701</v>
      </c>
    </row>
    <row r="15198" spans="1:11" x14ac:dyDescent="0.35">
      <c r="A15198" s="9" t="str">
        <f>HYPERLINK("http://www.ensembl.org/id/WBGene00015069", "WBGene00015069")</f>
        <v>WBGene00015069</v>
      </c>
      <c r="B15198" s="9" t="str">
        <f>HYPERLINK("http://www.ncbi.nlm.nih.gov/gene/181869", "181869")</f>
        <v>181869</v>
      </c>
      <c r="C15198" s="9"/>
      <c r="D15198" t="str">
        <f>"srt-67"</f>
        <v>srt-67</v>
      </c>
      <c r="E15198" t="s">
        <v>2845</v>
      </c>
      <c r="F15198" t="s">
        <v>11</v>
      </c>
      <c r="G15198" t="s">
        <v>25</v>
      </c>
      <c r="H15198" s="12">
        <v>20.901393112954899</v>
      </c>
      <c r="I15198" s="20">
        <v>1.143037777283</v>
      </c>
      <c r="J15198" s="28">
        <v>0.25302290659746701</v>
      </c>
      <c r="K15198" s="29">
        <v>0.98289565623980701</v>
      </c>
    </row>
    <row r="15199" spans="1:11" x14ac:dyDescent="0.35">
      <c r="A15199" s="9" t="str">
        <f>HYPERLINK("http://www.ensembl.org/id/WBGene00015068", "WBGene00015068")</f>
        <v>WBGene00015068</v>
      </c>
      <c r="B15199" s="9" t="str">
        <f>HYPERLINK("http://www.ncbi.nlm.nih.gov/gene/181867", "181867")</f>
        <v>181867</v>
      </c>
      <c r="C15199" s="9"/>
      <c r="D15199" t="str">
        <f>"srt-68"</f>
        <v>srt-68</v>
      </c>
      <c r="E15199" t="s">
        <v>2845</v>
      </c>
      <c r="F15199" t="s">
        <v>11</v>
      </c>
      <c r="G15199" t="s">
        <v>25</v>
      </c>
      <c r="H15199" s="12">
        <v>4.4368407117627902</v>
      </c>
      <c r="I15199" s="20">
        <v>0.43709475933309699</v>
      </c>
      <c r="J15199" s="28">
        <v>0.66204262779770495</v>
      </c>
      <c r="K15199" s="29">
        <v>0.98289565623980701</v>
      </c>
    </row>
    <row r="15200" spans="1:11" x14ac:dyDescent="0.35">
      <c r="A15200" s="9" t="str">
        <f>HYPERLINK("http://www.ensembl.org/id/WBGene00016852", "WBGene00016852")</f>
        <v>WBGene00016852</v>
      </c>
      <c r="B15200" s="9" t="str">
        <f>HYPERLINK("http://www.ncbi.nlm.nih.gov/gene/183694", "183694")</f>
        <v>183694</v>
      </c>
      <c r="C15200" s="9"/>
      <c r="D15200" t="str">
        <f>"srt-7"</f>
        <v>srt-7</v>
      </c>
      <c r="E15200" t="s">
        <v>2845</v>
      </c>
      <c r="F15200" t="s">
        <v>11</v>
      </c>
      <c r="G15200" t="s">
        <v>25</v>
      </c>
      <c r="H15200" s="12">
        <v>3.6755848080737601</v>
      </c>
      <c r="I15200" s="20">
        <v>1.0661046630380699</v>
      </c>
      <c r="J15200" s="28">
        <v>0.28637633194428902</v>
      </c>
      <c r="K15200" s="29">
        <v>0.98289565623980701</v>
      </c>
    </row>
    <row r="15201" spans="1:11" x14ac:dyDescent="0.35">
      <c r="A15201" s="9" t="str">
        <f>HYPERLINK("http://www.ensembl.org/id/WBGene00016478", "WBGene00016478")</f>
        <v>WBGene00016478</v>
      </c>
      <c r="B15201" s="9"/>
      <c r="C15201" s="9"/>
      <c r="D15201" t="str">
        <f>"srt-72"</f>
        <v>srt-72</v>
      </c>
      <c r="F15201" t="s">
        <v>80</v>
      </c>
      <c r="H15201" s="12">
        <v>2.2752583933919399</v>
      </c>
      <c r="I15201" s="20">
        <v>0.342341349333185</v>
      </c>
      <c r="J15201" s="28">
        <v>0.73209402109561805</v>
      </c>
      <c r="K15201" s="29">
        <v>0.98289565623980701</v>
      </c>
    </row>
    <row r="15202" spans="1:11" x14ac:dyDescent="0.35">
      <c r="A15202" s="9" t="str">
        <f>HYPERLINK("http://www.ensembl.org/id/WBGene00020288", "WBGene00020288")</f>
        <v>WBGene00020288</v>
      </c>
      <c r="B15202" s="9" t="str">
        <f>HYPERLINK("http://www.ncbi.nlm.nih.gov/gene/188159", "188159")</f>
        <v>188159</v>
      </c>
      <c r="C15202" s="9"/>
      <c r="D15202" t="str">
        <f>"srt-73"</f>
        <v>srt-73</v>
      </c>
      <c r="E15202" t="s">
        <v>2845</v>
      </c>
      <c r="F15202" t="s">
        <v>11</v>
      </c>
      <c r="G15202" t="s">
        <v>25</v>
      </c>
      <c r="H15202" s="12">
        <v>3.5227018545059199</v>
      </c>
      <c r="I15202" s="20">
        <v>0.36849691206929103</v>
      </c>
      <c r="J15202" s="28">
        <v>0.71250274722433404</v>
      </c>
      <c r="K15202" s="29">
        <v>0.98289565623980701</v>
      </c>
    </row>
    <row r="15203" spans="1:11" x14ac:dyDescent="0.35">
      <c r="A15203" s="9" t="str">
        <f>HYPERLINK("http://www.ensembl.org/id/WBGene00016853", "WBGene00016853")</f>
        <v>WBGene00016853</v>
      </c>
      <c r="B15203" s="9"/>
      <c r="C15203" s="9"/>
      <c r="D15203" t="str">
        <f>"srt-9"</f>
        <v>srt-9</v>
      </c>
      <c r="F15203" t="s">
        <v>80</v>
      </c>
      <c r="H15203" s="12">
        <v>2.3893468495514898</v>
      </c>
      <c r="I15203" s="20">
        <v>0.25323547253672701</v>
      </c>
      <c r="J15203" s="28">
        <v>0.80008625651646104</v>
      </c>
      <c r="K15203" s="29">
        <v>0.98289565623980701</v>
      </c>
    </row>
    <row r="15204" spans="1:11" x14ac:dyDescent="0.35">
      <c r="A15204" s="9" t="str">
        <f>HYPERLINK("http://www.ensembl.org/id/WBGene00005675", "WBGene00005675")</f>
        <v>WBGene00005675</v>
      </c>
      <c r="B15204" s="9" t="str">
        <f>HYPERLINK("http://www.ncbi.nlm.nih.gov/gene/189916", "189916")</f>
        <v>189916</v>
      </c>
      <c r="C15204" s="9"/>
      <c r="D15204" t="str">
        <f>"sru-12"</f>
        <v>sru-12</v>
      </c>
      <c r="E15204" t="s">
        <v>2653</v>
      </c>
      <c r="F15204" t="s">
        <v>11</v>
      </c>
      <c r="G15204" t="s">
        <v>25</v>
      </c>
      <c r="H15204" s="12">
        <v>3.5227018545059199</v>
      </c>
      <c r="I15204" s="20">
        <v>0.36849691206929103</v>
      </c>
      <c r="J15204" s="28">
        <v>0.71250274722433404</v>
      </c>
      <c r="K15204" s="29">
        <v>0.98289565623980701</v>
      </c>
    </row>
    <row r="15205" spans="1:11" x14ac:dyDescent="0.35">
      <c r="A15205" s="9" t="str">
        <f>HYPERLINK("http://www.ensembl.org/id/WBGene00005677", "WBGene00005677")</f>
        <v>WBGene00005677</v>
      </c>
      <c r="B15205" s="9"/>
      <c r="C15205" s="9"/>
      <c r="D15205" t="str">
        <f>"sru-14"</f>
        <v>sru-14</v>
      </c>
      <c r="F15205" t="s">
        <v>80</v>
      </c>
      <c r="H15205" s="12">
        <v>2.3893468495514898</v>
      </c>
      <c r="I15205" s="20">
        <v>0.25323547253672701</v>
      </c>
      <c r="J15205" s="28">
        <v>0.80008625651646104</v>
      </c>
      <c r="K15205" s="29">
        <v>0.98289565623980701</v>
      </c>
    </row>
    <row r="15206" spans="1:11" x14ac:dyDescent="0.35">
      <c r="A15206" s="9" t="str">
        <f>HYPERLINK("http://www.ensembl.org/id/WBGene00005678", "WBGene00005678")</f>
        <v>WBGene00005678</v>
      </c>
      <c r="B15206" s="9" t="str">
        <f>HYPERLINK("http://www.ncbi.nlm.nih.gov/gene/187983", "187983")</f>
        <v>187983</v>
      </c>
      <c r="C15206" s="9"/>
      <c r="D15206" t="str">
        <f>"sru-15"</f>
        <v>sru-15</v>
      </c>
      <c r="E15206" t="s">
        <v>2653</v>
      </c>
      <c r="F15206" t="s">
        <v>11</v>
      </c>
      <c r="G15206" t="s">
        <v>25</v>
      </c>
      <c r="H15206" s="12">
        <v>3.5239874560944902</v>
      </c>
      <c r="I15206" s="20">
        <v>0.509496243098849</v>
      </c>
      <c r="J15206" s="28">
        <v>0.61040443102240705</v>
      </c>
      <c r="K15206" s="29">
        <v>0.98289565623980701</v>
      </c>
    </row>
    <row r="15207" spans="1:11" x14ac:dyDescent="0.35">
      <c r="A15207" s="9" t="str">
        <f>HYPERLINK("http://www.ensembl.org/id/WBGene00005679", "WBGene00005679")</f>
        <v>WBGene00005679</v>
      </c>
      <c r="B15207" s="9" t="str">
        <f>HYPERLINK("http://www.ncbi.nlm.nih.gov/gene/189915", "189915")</f>
        <v>189915</v>
      </c>
      <c r="C15207" s="9"/>
      <c r="D15207" t="str">
        <f>"sru-16"</f>
        <v>sru-16</v>
      </c>
      <c r="E15207" t="s">
        <v>2653</v>
      </c>
      <c r="F15207" t="s">
        <v>11</v>
      </c>
      <c r="G15207" t="s">
        <v>25</v>
      </c>
      <c r="H15207" s="12">
        <v>-4.5114499031905204</v>
      </c>
      <c r="I15207" s="20">
        <v>-0.44198655555625299</v>
      </c>
      <c r="J15207" s="28">
        <v>0.65849893477547905</v>
      </c>
      <c r="K15207" s="29">
        <v>0.98289565623980701</v>
      </c>
    </row>
    <row r="15208" spans="1:11" x14ac:dyDescent="0.35">
      <c r="A15208" s="9" t="str">
        <f>HYPERLINK("http://www.ensembl.org/id/WBGene00005680", "WBGene00005680")</f>
        <v>WBGene00005680</v>
      </c>
      <c r="B15208" s="9" t="str">
        <f>HYPERLINK("http://www.ncbi.nlm.nih.gov/gene/188048", "188048")</f>
        <v>188048</v>
      </c>
      <c r="C15208" s="9"/>
      <c r="D15208" t="str">
        <f>"sru-17"</f>
        <v>sru-17</v>
      </c>
      <c r="E15208" t="s">
        <v>2653</v>
      </c>
      <c r="F15208" t="s">
        <v>11</v>
      </c>
      <c r="G15208" t="s">
        <v>25</v>
      </c>
      <c r="H15208" s="12">
        <v>11.7194480060642</v>
      </c>
      <c r="I15208" s="20">
        <v>1.15058610573557</v>
      </c>
      <c r="J15208" s="28">
        <v>0.24990255176801601</v>
      </c>
      <c r="K15208" s="29">
        <v>0.98289565623980701</v>
      </c>
    </row>
    <row r="15209" spans="1:11" x14ac:dyDescent="0.35">
      <c r="A15209" s="9" t="str">
        <f>HYPERLINK("http://www.ensembl.org/id/WBGene00005683", "WBGene00005683")</f>
        <v>WBGene00005683</v>
      </c>
      <c r="B15209" s="9" t="str">
        <f>HYPERLINK("http://www.ncbi.nlm.nih.gov/gene/188045", "188045")</f>
        <v>188045</v>
      </c>
      <c r="C15209" s="9"/>
      <c r="D15209" t="str">
        <f>"sru-20"</f>
        <v>sru-20</v>
      </c>
      <c r="E15209" t="s">
        <v>2653</v>
      </c>
      <c r="F15209" t="s">
        <v>11</v>
      </c>
      <c r="G15209" t="s">
        <v>25</v>
      </c>
      <c r="H15209" s="12">
        <v>2.2353015185254499</v>
      </c>
      <c r="I15209" s="20">
        <v>0.83982170190829097</v>
      </c>
      <c r="J15209" s="28">
        <v>0.40100836353997199</v>
      </c>
      <c r="K15209" s="29">
        <v>0.98289565623980701</v>
      </c>
    </row>
    <row r="15210" spans="1:11" x14ac:dyDescent="0.35">
      <c r="A15210" s="9" t="str">
        <f>HYPERLINK("http://www.ensembl.org/id/WBGene00005684", "WBGene00005684")</f>
        <v>WBGene00005684</v>
      </c>
      <c r="B15210" s="9" t="str">
        <f>HYPERLINK("http://www.ncbi.nlm.nih.gov/gene/182420", "182420")</f>
        <v>182420</v>
      </c>
      <c r="C15210" s="9"/>
      <c r="D15210" t="str">
        <f>"sru-21"</f>
        <v>sru-21</v>
      </c>
      <c r="E15210" t="s">
        <v>2653</v>
      </c>
      <c r="F15210" t="s">
        <v>11</v>
      </c>
      <c r="G15210" t="s">
        <v>25</v>
      </c>
      <c r="H15210" s="12">
        <v>3.5227018545059199</v>
      </c>
      <c r="I15210" s="20">
        <v>0.36849691206929103</v>
      </c>
      <c r="J15210" s="28">
        <v>0.71250274722433404</v>
      </c>
      <c r="K15210" s="29">
        <v>0.98289565623980701</v>
      </c>
    </row>
    <row r="15211" spans="1:11" x14ac:dyDescent="0.35">
      <c r="A15211" s="9" t="str">
        <f>HYPERLINK("http://www.ensembl.org/id/WBGene00005685", "WBGene00005685")</f>
        <v>WBGene00005685</v>
      </c>
      <c r="B15211" s="9" t="str">
        <f>HYPERLINK("http://www.ncbi.nlm.nih.gov/gene/185368", "185368")</f>
        <v>185368</v>
      </c>
      <c r="C15211" s="9"/>
      <c r="D15211" t="str">
        <f>"sru-22"</f>
        <v>sru-22</v>
      </c>
      <c r="E15211" t="s">
        <v>2653</v>
      </c>
      <c r="F15211" t="s">
        <v>11</v>
      </c>
      <c r="G15211" t="s">
        <v>25</v>
      </c>
      <c r="H15211" s="12">
        <v>2.7590943457620201</v>
      </c>
      <c r="I15211" s="20">
        <v>0.399394997622048</v>
      </c>
      <c r="J15211" s="28">
        <v>0.68960217929659196</v>
      </c>
      <c r="K15211" s="29">
        <v>0.98289565623980701</v>
      </c>
    </row>
    <row r="15212" spans="1:11" x14ac:dyDescent="0.35">
      <c r="A15212" s="9" t="str">
        <f>HYPERLINK("http://www.ensembl.org/id/WBGene00005688", "WBGene00005688")</f>
        <v>WBGene00005688</v>
      </c>
      <c r="B15212" s="9" t="str">
        <f>HYPERLINK("http://www.ncbi.nlm.nih.gov/gene/185172", "185172")</f>
        <v>185172</v>
      </c>
      <c r="C15212" s="9"/>
      <c r="D15212" t="str">
        <f>"sru-25"</f>
        <v>sru-25</v>
      </c>
      <c r="E15212" t="s">
        <v>2653</v>
      </c>
      <c r="F15212" t="s">
        <v>11</v>
      </c>
      <c r="G15212" t="s">
        <v>25</v>
      </c>
      <c r="H15212" s="12">
        <v>3.9536106107363702</v>
      </c>
      <c r="I15212" s="20">
        <v>0.54979560316716403</v>
      </c>
      <c r="J15212" s="28">
        <v>0.58245957473176702</v>
      </c>
      <c r="K15212" s="29">
        <v>0.98289565623980701</v>
      </c>
    </row>
    <row r="15213" spans="1:11" x14ac:dyDescent="0.35">
      <c r="A15213" s="9" t="str">
        <f>HYPERLINK("http://www.ensembl.org/id/WBGene00005690", "WBGene00005690")</f>
        <v>WBGene00005690</v>
      </c>
      <c r="B15213" s="9" t="str">
        <f>HYPERLINK("http://www.ncbi.nlm.nih.gov/gene/183300", "183300")</f>
        <v>183300</v>
      </c>
      <c r="C15213" s="9"/>
      <c r="D15213" t="str">
        <f>"sru-27"</f>
        <v>sru-27</v>
      </c>
      <c r="E15213" t="s">
        <v>2653</v>
      </c>
      <c r="F15213" t="s">
        <v>11</v>
      </c>
      <c r="G15213" t="s">
        <v>25</v>
      </c>
      <c r="H15213" s="12">
        <v>2.4360060020174399</v>
      </c>
      <c r="I15213" s="20">
        <v>0.51537338792978205</v>
      </c>
      <c r="J15213" s="28">
        <v>0.60629212504180696</v>
      </c>
      <c r="K15213" s="29">
        <v>0.98289565623980701</v>
      </c>
    </row>
    <row r="15214" spans="1:11" x14ac:dyDescent="0.35">
      <c r="A15214" s="9" t="str">
        <f>HYPERLINK("http://www.ensembl.org/id/WBGene00005691", "WBGene00005691")</f>
        <v>WBGene00005691</v>
      </c>
      <c r="B15214" s="9" t="str">
        <f>HYPERLINK("http://www.ncbi.nlm.nih.gov/gene/183299", "183299")</f>
        <v>183299</v>
      </c>
      <c r="C15214" s="9"/>
      <c r="D15214" t="str">
        <f>"sru-28"</f>
        <v>sru-28</v>
      </c>
      <c r="E15214" t="s">
        <v>2653</v>
      </c>
      <c r="F15214" t="s">
        <v>11</v>
      </c>
      <c r="G15214" t="s">
        <v>25</v>
      </c>
      <c r="H15214" s="12">
        <v>2.4578120077400301</v>
      </c>
      <c r="I15214" s="20">
        <v>0.26093350314551</v>
      </c>
      <c r="J15214" s="28">
        <v>0.79414378780213601</v>
      </c>
      <c r="K15214" s="29">
        <v>0.98289565623980701</v>
      </c>
    </row>
    <row r="15215" spans="1:11" x14ac:dyDescent="0.35">
      <c r="A15215" s="9" t="str">
        <f>HYPERLINK("http://www.ensembl.org/id/WBGene00005692", "WBGene00005692")</f>
        <v>WBGene00005692</v>
      </c>
      <c r="B15215" s="9" t="str">
        <f>HYPERLINK("http://www.ncbi.nlm.nih.gov/gene/183645", "183645")</f>
        <v>183645</v>
      </c>
      <c r="C15215" s="9"/>
      <c r="D15215" t="str">
        <f>"sru-29"</f>
        <v>sru-29</v>
      </c>
      <c r="E15215" t="s">
        <v>2653</v>
      </c>
      <c r="F15215" t="s">
        <v>11</v>
      </c>
      <c r="G15215" t="s">
        <v>25</v>
      </c>
      <c r="H15215" s="12">
        <v>2.6631386633436098</v>
      </c>
      <c r="I15215" s="20">
        <v>0.44282277191421998</v>
      </c>
      <c r="J15215" s="28">
        <v>0.65789393078026304</v>
      </c>
      <c r="K15215" s="29">
        <v>0.98289565623980701</v>
      </c>
    </row>
    <row r="15216" spans="1:11" x14ac:dyDescent="0.35">
      <c r="A15216" s="9" t="str">
        <f>HYPERLINK("http://www.ensembl.org/id/WBGene00005693", "WBGene00005693")</f>
        <v>WBGene00005693</v>
      </c>
      <c r="B15216" s="9" t="str">
        <f>HYPERLINK("http://www.ncbi.nlm.nih.gov/gene/183646", "183646")</f>
        <v>183646</v>
      </c>
      <c r="C15216" s="9"/>
      <c r="D15216" t="str">
        <f>"sru-30"</f>
        <v>sru-30</v>
      </c>
      <c r="E15216" t="s">
        <v>2653</v>
      </c>
      <c r="F15216" t="s">
        <v>11</v>
      </c>
      <c r="G15216" t="s">
        <v>25</v>
      </c>
      <c r="H15216" s="12">
        <v>3.6645215954135</v>
      </c>
      <c r="I15216" s="20">
        <v>0.37967131826092498</v>
      </c>
      <c r="J15216" s="28">
        <v>0.70418941338960395</v>
      </c>
      <c r="K15216" s="29">
        <v>0.98289565623980701</v>
      </c>
    </row>
    <row r="15217" spans="1:11" x14ac:dyDescent="0.35">
      <c r="A15217" s="9" t="str">
        <f>HYPERLINK("http://www.ensembl.org/id/WBGene00005694", "WBGene00005694")</f>
        <v>WBGene00005694</v>
      </c>
      <c r="B15217" s="9" t="str">
        <f>HYPERLINK("http://www.ncbi.nlm.nih.gov/gene/183647", "183647")</f>
        <v>183647</v>
      </c>
      <c r="C15217" s="9"/>
      <c r="D15217" t="str">
        <f>"sru-31"</f>
        <v>sru-31</v>
      </c>
      <c r="E15217" t="s">
        <v>2653</v>
      </c>
      <c r="F15217" t="s">
        <v>11</v>
      </c>
      <c r="G15217" t="s">
        <v>25</v>
      </c>
      <c r="H15217" s="12">
        <v>2.3893468495514898</v>
      </c>
      <c r="I15217" s="20">
        <v>0.25323547253672701</v>
      </c>
      <c r="J15217" s="28">
        <v>0.80008625651646104</v>
      </c>
      <c r="K15217" s="29">
        <v>0.98289565623980701</v>
      </c>
    </row>
    <row r="15218" spans="1:11" x14ac:dyDescent="0.35">
      <c r="A15218" s="9" t="str">
        <f>HYPERLINK("http://www.ensembl.org/id/WBGene00005696", "WBGene00005696")</f>
        <v>WBGene00005696</v>
      </c>
      <c r="B15218" s="9"/>
      <c r="C15218" s="9"/>
      <c r="D15218" t="str">
        <f>"sru-33"</f>
        <v>sru-33</v>
      </c>
      <c r="F15218" t="s">
        <v>80</v>
      </c>
      <c r="H15218" s="12">
        <v>1.4746504649300001</v>
      </c>
      <c r="I15218" s="20">
        <v>0.28462361593596402</v>
      </c>
      <c r="J15218" s="28">
        <v>0.77593251638038696</v>
      </c>
      <c r="K15218" s="29">
        <v>0.98289565623980701</v>
      </c>
    </row>
    <row r="15219" spans="1:11" x14ac:dyDescent="0.35">
      <c r="A15219" s="9" t="str">
        <f>HYPERLINK("http://www.ensembl.org/id/WBGene00005699", "WBGene00005699")</f>
        <v>WBGene00005699</v>
      </c>
      <c r="B15219" s="9" t="str">
        <f>HYPERLINK("http://www.ncbi.nlm.nih.gov/gene/187653", "187653")</f>
        <v>187653</v>
      </c>
      <c r="C15219" s="9"/>
      <c r="D15219" t="str">
        <f>"sru-36"</f>
        <v>sru-36</v>
      </c>
      <c r="E15219" t="s">
        <v>2653</v>
      </c>
      <c r="F15219" t="s">
        <v>11</v>
      </c>
      <c r="G15219" t="s">
        <v>25</v>
      </c>
      <c r="H15219" s="12">
        <v>3.3311607407787802</v>
      </c>
      <c r="I15219" s="20">
        <v>0.80970740968315202</v>
      </c>
      <c r="J15219" s="28">
        <v>0.41810835838275201</v>
      </c>
      <c r="K15219" s="29">
        <v>0.98289565623980701</v>
      </c>
    </row>
    <row r="15220" spans="1:11" x14ac:dyDescent="0.35">
      <c r="A15220" s="9" t="str">
        <f>HYPERLINK("http://www.ensembl.org/id/WBGene00005700", "WBGene00005700")</f>
        <v>WBGene00005700</v>
      </c>
      <c r="B15220" s="9" t="str">
        <f>HYPERLINK("http://www.ncbi.nlm.nih.gov/gene/183644", "183644")</f>
        <v>183644</v>
      </c>
      <c r="C15220" s="9"/>
      <c r="D15220" t="str">
        <f>"sru-37"</f>
        <v>sru-37</v>
      </c>
      <c r="E15220" t="s">
        <v>2653</v>
      </c>
      <c r="F15220" t="s">
        <v>11</v>
      </c>
      <c r="G15220" t="s">
        <v>25</v>
      </c>
      <c r="H15220" s="12">
        <v>-3.7261494131482999</v>
      </c>
      <c r="I15220" s="20">
        <v>-0.38454673129429601</v>
      </c>
      <c r="J15220" s="28">
        <v>0.70057326682554</v>
      </c>
      <c r="K15220" s="29">
        <v>0.98289565623980701</v>
      </c>
    </row>
    <row r="15221" spans="1:11" x14ac:dyDescent="0.35">
      <c r="A15221" s="9" t="str">
        <f>HYPERLINK("http://www.ensembl.org/id/WBGene00005667", "WBGene00005667")</f>
        <v>WBGene00005667</v>
      </c>
      <c r="B15221" s="9" t="str">
        <f>HYPERLINK("http://www.ncbi.nlm.nih.gov/gene/183143", "183143")</f>
        <v>183143</v>
      </c>
      <c r="C15221" s="9"/>
      <c r="D15221" t="str">
        <f>"sru-4"</f>
        <v>sru-4</v>
      </c>
      <c r="E15221" t="s">
        <v>2653</v>
      </c>
      <c r="F15221" t="s">
        <v>11</v>
      </c>
      <c r="G15221" t="s">
        <v>25</v>
      </c>
      <c r="H15221" s="12">
        <v>3.5227018545059199</v>
      </c>
      <c r="I15221" s="20">
        <v>0.36849691206929103</v>
      </c>
      <c r="J15221" s="28">
        <v>0.71250274722433404</v>
      </c>
      <c r="K15221" s="29">
        <v>0.98289565623980701</v>
      </c>
    </row>
    <row r="15222" spans="1:11" x14ac:dyDescent="0.35">
      <c r="A15222" s="9" t="str">
        <f>HYPERLINK("http://www.ensembl.org/id/WBGene00005703", "WBGene00005703")</f>
        <v>WBGene00005703</v>
      </c>
      <c r="B15222" s="9" t="str">
        <f>HYPERLINK("http://www.ncbi.nlm.nih.gov/gene/187650", "187650")</f>
        <v>187650</v>
      </c>
      <c r="C15222" s="9"/>
      <c r="D15222" t="str">
        <f>"sru-40"</f>
        <v>sru-40</v>
      </c>
      <c r="E15222" t="s">
        <v>2653</v>
      </c>
      <c r="F15222" t="s">
        <v>11</v>
      </c>
      <c r="G15222" t="s">
        <v>25</v>
      </c>
      <c r="H15222" s="12">
        <v>-2.24797237107411</v>
      </c>
      <c r="I15222" s="20">
        <v>-0.40954093331132302</v>
      </c>
      <c r="J15222" s="28">
        <v>0.68214273371280598</v>
      </c>
      <c r="K15222" s="29">
        <v>0.98289565623980701</v>
      </c>
    </row>
    <row r="15223" spans="1:11" x14ac:dyDescent="0.35">
      <c r="A15223" s="9" t="str">
        <f>HYPERLINK("http://www.ensembl.org/id/WBGene00005704", "WBGene00005704")</f>
        <v>WBGene00005704</v>
      </c>
      <c r="B15223" s="9"/>
      <c r="C15223" s="9"/>
      <c r="D15223" t="str">
        <f>"sru-41"</f>
        <v>sru-41</v>
      </c>
      <c r="F15223" t="s">
        <v>80</v>
      </c>
      <c r="H15223" s="12">
        <v>2.3893468495514898</v>
      </c>
      <c r="I15223" s="20">
        <v>0.25323547253672701</v>
      </c>
      <c r="J15223" s="28">
        <v>0.80008625651646104</v>
      </c>
      <c r="K15223" s="29">
        <v>0.98289565623980701</v>
      </c>
    </row>
    <row r="15224" spans="1:11" x14ac:dyDescent="0.35">
      <c r="A15224" s="9" t="str">
        <f>HYPERLINK("http://www.ensembl.org/id/WBGene00005705", "WBGene00005705")</f>
        <v>WBGene00005705</v>
      </c>
      <c r="B15224" s="9" t="str">
        <f>HYPERLINK("http://www.ncbi.nlm.nih.gov/gene/183829", "183829")</f>
        <v>183829</v>
      </c>
      <c r="C15224" s="9"/>
      <c r="D15224" t="str">
        <f>"sru-42"</f>
        <v>sru-42</v>
      </c>
      <c r="E15224" t="s">
        <v>2653</v>
      </c>
      <c r="F15224" t="s">
        <v>11</v>
      </c>
      <c r="G15224" t="s">
        <v>25</v>
      </c>
      <c r="H15224" s="12">
        <v>4.4368407117627902</v>
      </c>
      <c r="I15224" s="20">
        <v>0.43709475933309699</v>
      </c>
      <c r="J15224" s="28">
        <v>0.66204262779770495</v>
      </c>
      <c r="K15224" s="29">
        <v>0.98289565623980701</v>
      </c>
    </row>
    <row r="15225" spans="1:11" x14ac:dyDescent="0.35">
      <c r="A15225" s="9" t="str">
        <f>HYPERLINK("http://www.ensembl.org/id/WBGene00005707", "WBGene00005707")</f>
        <v>WBGene00005707</v>
      </c>
      <c r="B15225" s="9" t="str">
        <f>HYPERLINK("http://www.ncbi.nlm.nih.gov/gene/188299", "188299")</f>
        <v>188299</v>
      </c>
      <c r="C15225" s="9"/>
      <c r="D15225" t="str">
        <f>"sru-44"</f>
        <v>sru-44</v>
      </c>
      <c r="E15225" t="s">
        <v>2653</v>
      </c>
      <c r="F15225" t="s">
        <v>11</v>
      </c>
      <c r="G15225" t="s">
        <v>25</v>
      </c>
      <c r="H15225" s="12">
        <v>-4.7167679298615104</v>
      </c>
      <c r="I15225" s="20">
        <v>-0.454742638005115</v>
      </c>
      <c r="J15225" s="28">
        <v>0.64929440216969203</v>
      </c>
      <c r="K15225" s="29">
        <v>0.98289565623980701</v>
      </c>
    </row>
    <row r="15226" spans="1:11" x14ac:dyDescent="0.35">
      <c r="A15226" s="9" t="str">
        <f>HYPERLINK("http://www.ensembl.org/id/WBGene00005709", "WBGene00005709")</f>
        <v>WBGene00005709</v>
      </c>
      <c r="B15226" s="9"/>
      <c r="C15226" s="9"/>
      <c r="D15226" t="str">
        <f>"sru-46"</f>
        <v>sru-46</v>
      </c>
      <c r="F15226" t="s">
        <v>80</v>
      </c>
      <c r="H15226" s="12">
        <v>2.5494470594118899</v>
      </c>
      <c r="I15226" s="20">
        <v>0.31908451726144499</v>
      </c>
      <c r="J15226" s="28">
        <v>0.74966242392848603</v>
      </c>
      <c r="K15226" s="29">
        <v>0.98289565623980701</v>
      </c>
    </row>
    <row r="15227" spans="1:11" x14ac:dyDescent="0.35">
      <c r="A15227" s="9" t="str">
        <f>HYPERLINK("http://www.ensembl.org/id/WBGene00005668", "WBGene00005668")</f>
        <v>WBGene00005668</v>
      </c>
      <c r="B15227" s="9"/>
      <c r="C15227" s="9"/>
      <c r="D15227" t="str">
        <f>"sru-5"</f>
        <v>sru-5</v>
      </c>
      <c r="F15227" t="s">
        <v>80</v>
      </c>
      <c r="H15227" s="12">
        <v>1.47498642696016</v>
      </c>
      <c r="I15227" s="20">
        <v>0.46798601707762499</v>
      </c>
      <c r="J15227" s="28">
        <v>0.63979458922265497</v>
      </c>
      <c r="K15227" s="29">
        <v>0.98289565623980701</v>
      </c>
    </row>
    <row r="15228" spans="1:11" x14ac:dyDescent="0.35">
      <c r="A15228" s="9" t="str">
        <f>HYPERLINK("http://www.ensembl.org/id/WBGene00005669", "WBGene00005669")</f>
        <v>WBGene00005669</v>
      </c>
      <c r="B15228" s="9" t="str">
        <f>HYPERLINK("http://www.ncbi.nlm.nih.gov/gene/183142", "183142")</f>
        <v>183142</v>
      </c>
      <c r="C15228" s="9"/>
      <c r="D15228" t="str">
        <f>"sru-6"</f>
        <v>sru-6</v>
      </c>
      <c r="E15228" t="s">
        <v>2653</v>
      </c>
      <c r="F15228" t="s">
        <v>11</v>
      </c>
      <c r="G15228" t="s">
        <v>25</v>
      </c>
      <c r="H15228" s="12">
        <v>-3.7261494131482999</v>
      </c>
      <c r="I15228" s="20">
        <v>-0.38454673129429601</v>
      </c>
      <c r="J15228" s="28">
        <v>0.70057326682554</v>
      </c>
      <c r="K15228" s="29">
        <v>0.98289565623980701</v>
      </c>
    </row>
    <row r="15229" spans="1:11" x14ac:dyDescent="0.35">
      <c r="A15229" s="9" t="str">
        <f>HYPERLINK("http://www.ensembl.org/id/WBGene00005670", "WBGene00005670")</f>
        <v>WBGene00005670</v>
      </c>
      <c r="B15229" s="9" t="str">
        <f>HYPERLINK("http://www.ncbi.nlm.nih.gov/gene/260200", "260200")</f>
        <v>260200</v>
      </c>
      <c r="C15229" s="9"/>
      <c r="D15229" t="str">
        <f>"sru-7"</f>
        <v>sru-7</v>
      </c>
      <c r="E15229" t="s">
        <v>2653</v>
      </c>
      <c r="F15229" t="s">
        <v>11</v>
      </c>
      <c r="G15229" t="s">
        <v>25</v>
      </c>
      <c r="H15229" s="12">
        <v>2.9416973485029501</v>
      </c>
      <c r="I15229" s="20">
        <v>0.83838735430824196</v>
      </c>
      <c r="J15229" s="28">
        <v>0.40181318930106802</v>
      </c>
      <c r="K15229" s="29">
        <v>0.98289565623980701</v>
      </c>
    </row>
    <row r="15230" spans="1:11" x14ac:dyDescent="0.35">
      <c r="A15230" s="9" t="str">
        <f>HYPERLINK("http://www.ensembl.org/id/WBGene00005671", "WBGene00005671")</f>
        <v>WBGene00005671</v>
      </c>
      <c r="B15230" s="9" t="str">
        <f>HYPERLINK("http://www.ncbi.nlm.nih.gov/gene/187654", "187654")</f>
        <v>187654</v>
      </c>
      <c r="C15230" s="9"/>
      <c r="D15230" t="str">
        <f>"sru-8"</f>
        <v>sru-8</v>
      </c>
      <c r="E15230" t="s">
        <v>2653</v>
      </c>
      <c r="F15230" t="s">
        <v>11</v>
      </c>
      <c r="G15230" t="s">
        <v>25</v>
      </c>
      <c r="H15230" s="12">
        <v>3.1611575852765799</v>
      </c>
      <c r="I15230" s="20">
        <v>0.57445859240458097</v>
      </c>
      <c r="J15230" s="28">
        <v>0.565657513302119</v>
      </c>
      <c r="K15230" s="29">
        <v>0.98289565623980701</v>
      </c>
    </row>
    <row r="15231" spans="1:11" x14ac:dyDescent="0.35">
      <c r="A15231" s="9" t="str">
        <f>HYPERLINK("http://www.ensembl.org/id/WBGene00005712", "WBGene00005712")</f>
        <v>WBGene00005712</v>
      </c>
      <c r="B15231" s="9" t="str">
        <f>HYPERLINK("http://www.ncbi.nlm.nih.gov/gene/191838", "191838")</f>
        <v>191838</v>
      </c>
      <c r="C15231" s="9"/>
      <c r="D15231" t="str">
        <f>"srv-1"</f>
        <v>srv-1</v>
      </c>
      <c r="E15231" t="s">
        <v>9504</v>
      </c>
      <c r="F15231" t="s">
        <v>11</v>
      </c>
      <c r="G15231" t="s">
        <v>25</v>
      </c>
      <c r="H15231" s="12">
        <v>-1.2532161548527001</v>
      </c>
      <c r="I15231" s="20">
        <v>-0.92478883884459595</v>
      </c>
      <c r="J15231" s="28">
        <v>0.35507575740432201</v>
      </c>
      <c r="K15231" s="29">
        <v>0.98289565623980701</v>
      </c>
    </row>
    <row r="15232" spans="1:11" x14ac:dyDescent="0.35">
      <c r="A15232" s="9" t="str">
        <f>HYPERLINK("http://www.ensembl.org/id/WBGene00005722", "WBGene00005722")</f>
        <v>WBGene00005722</v>
      </c>
      <c r="B15232" s="9" t="str">
        <f>HYPERLINK("http://www.ncbi.nlm.nih.gov/gene/186779", "186779")</f>
        <v>186779</v>
      </c>
      <c r="C15232" s="9"/>
      <c r="D15232" t="str">
        <f>"srv-11"</f>
        <v>srv-11</v>
      </c>
      <c r="E15232" t="s">
        <v>2916</v>
      </c>
      <c r="F15232" t="s">
        <v>11</v>
      </c>
      <c r="G15232" t="s">
        <v>25</v>
      </c>
      <c r="H15232" s="12">
        <v>7.6616465944663696</v>
      </c>
      <c r="I15232" s="20">
        <v>0.60406875593600395</v>
      </c>
      <c r="J15232" s="28">
        <v>0.54579793098927099</v>
      </c>
      <c r="K15232" s="29">
        <v>0.98289565623980701</v>
      </c>
    </row>
    <row r="15233" spans="1:11" x14ac:dyDescent="0.35">
      <c r="A15233" s="9" t="str">
        <f>HYPERLINK("http://www.ensembl.org/id/WBGene00005724", "WBGene00005724")</f>
        <v>WBGene00005724</v>
      </c>
      <c r="B15233" s="9" t="str">
        <f>HYPERLINK("http://www.ncbi.nlm.nih.gov/gene/353426", "353426")</f>
        <v>353426</v>
      </c>
      <c r="C15233" s="9"/>
      <c r="D15233" t="str">
        <f>"srv-13"</f>
        <v>srv-13</v>
      </c>
      <c r="E15233" t="s">
        <v>2916</v>
      </c>
      <c r="F15233" t="s">
        <v>11</v>
      </c>
      <c r="G15233" t="s">
        <v>25</v>
      </c>
      <c r="H15233" s="12">
        <v>1.73280292375106</v>
      </c>
      <c r="I15233" s="20">
        <v>0.356317372560149</v>
      </c>
      <c r="J15233" s="28">
        <v>0.72160290056778797</v>
      </c>
      <c r="K15233" s="29">
        <v>0.98289565623980701</v>
      </c>
    </row>
    <row r="15234" spans="1:11" x14ac:dyDescent="0.35">
      <c r="A15234" s="9" t="str">
        <f>HYPERLINK("http://www.ensembl.org/id/WBGene00005725", "WBGene00005725")</f>
        <v>WBGene00005725</v>
      </c>
      <c r="B15234" s="9" t="str">
        <f>HYPERLINK("http://www.ncbi.nlm.nih.gov/gene/190887", "190887")</f>
        <v>190887</v>
      </c>
      <c r="C15234" s="9"/>
      <c r="D15234" t="str">
        <f>"srv-14"</f>
        <v>srv-14</v>
      </c>
      <c r="E15234" t="s">
        <v>2916</v>
      </c>
      <c r="F15234" t="s">
        <v>11</v>
      </c>
      <c r="G15234" t="s">
        <v>25</v>
      </c>
      <c r="H15234" s="12">
        <v>3.0252700241320798</v>
      </c>
      <c r="I15234" s="20">
        <v>0.71934451393779797</v>
      </c>
      <c r="J15234" s="28">
        <v>0.47192867520134102</v>
      </c>
      <c r="K15234" s="29">
        <v>0.98289565623980701</v>
      </c>
    </row>
    <row r="15235" spans="1:11" x14ac:dyDescent="0.35">
      <c r="A15235" s="9" t="str">
        <f>HYPERLINK("http://www.ensembl.org/id/WBGene00005726", "WBGene00005726")</f>
        <v>WBGene00005726</v>
      </c>
      <c r="B15235" s="9" t="str">
        <f>HYPERLINK("http://www.ncbi.nlm.nih.gov/gene/190889", "190889")</f>
        <v>190889</v>
      </c>
      <c r="C15235" s="9"/>
      <c r="D15235" t="str">
        <f>"srv-15"</f>
        <v>srv-15</v>
      </c>
      <c r="E15235" t="s">
        <v>2916</v>
      </c>
      <c r="F15235" t="s">
        <v>11</v>
      </c>
      <c r="G15235" t="s">
        <v>25</v>
      </c>
      <c r="H15235" s="12">
        <v>1.6321561931728299</v>
      </c>
      <c r="I15235" s="20">
        <v>0.778055504158497</v>
      </c>
      <c r="J15235" s="28">
        <v>0.43653629267469402</v>
      </c>
      <c r="K15235" s="29">
        <v>0.98289565623980701</v>
      </c>
    </row>
    <row r="15236" spans="1:11" x14ac:dyDescent="0.35">
      <c r="A15236" s="9" t="str">
        <f>HYPERLINK("http://www.ensembl.org/id/WBGene00005727", "WBGene00005727")</f>
        <v>WBGene00005727</v>
      </c>
      <c r="B15236" s="9" t="str">
        <f>HYPERLINK("http://www.ncbi.nlm.nih.gov/gene/190892", "190892")</f>
        <v>190892</v>
      </c>
      <c r="C15236" s="9"/>
      <c r="D15236" t="str">
        <f>"srv-16"</f>
        <v>srv-16</v>
      </c>
      <c r="E15236" t="s">
        <v>2916</v>
      </c>
      <c r="F15236" t="s">
        <v>11</v>
      </c>
      <c r="G15236" t="s">
        <v>25</v>
      </c>
      <c r="H15236" s="12">
        <v>3.4633712564291401</v>
      </c>
      <c r="I15236" s="20">
        <v>0.60188217395203003</v>
      </c>
      <c r="J15236" s="28">
        <v>0.54725257092276003</v>
      </c>
      <c r="K15236" s="29">
        <v>0.98289565623980701</v>
      </c>
    </row>
    <row r="15237" spans="1:11" x14ac:dyDescent="0.35">
      <c r="A15237" s="9" t="str">
        <f>HYPERLINK("http://www.ensembl.org/id/WBGene00005730", "WBGene00005730")</f>
        <v>WBGene00005730</v>
      </c>
      <c r="B15237" s="9" t="str">
        <f>HYPERLINK("http://www.ncbi.nlm.nih.gov/gene/186684", "186684")</f>
        <v>186684</v>
      </c>
      <c r="C15237" s="9"/>
      <c r="D15237" t="str">
        <f>"srv-19"</f>
        <v>srv-19</v>
      </c>
      <c r="E15237" t="s">
        <v>2916</v>
      </c>
      <c r="F15237" t="s">
        <v>11</v>
      </c>
      <c r="G15237" t="s">
        <v>25</v>
      </c>
      <c r="H15237" s="12">
        <v>4.6387698961716399</v>
      </c>
      <c r="I15237" s="20">
        <v>0.44985450087338802</v>
      </c>
      <c r="J15237" s="28">
        <v>0.65281535672642099</v>
      </c>
      <c r="K15237" s="29">
        <v>0.98289565623980701</v>
      </c>
    </row>
    <row r="15238" spans="1:11" x14ac:dyDescent="0.35">
      <c r="A15238" s="9" t="str">
        <f>HYPERLINK("http://www.ensembl.org/id/WBGene00005735", "WBGene00005735")</f>
        <v>WBGene00005735</v>
      </c>
      <c r="B15238" s="9" t="str">
        <f>HYPERLINK("http://www.ncbi.nlm.nih.gov/gene/190646", "190646")</f>
        <v>190646</v>
      </c>
      <c r="C15238" s="9"/>
      <c r="D15238" t="str">
        <f>"srv-24"</f>
        <v>srv-24</v>
      </c>
      <c r="E15238" t="s">
        <v>2916</v>
      </c>
      <c r="F15238" t="s">
        <v>11</v>
      </c>
      <c r="G15238" t="s">
        <v>25</v>
      </c>
      <c r="H15238" s="12">
        <v>-1.5662294488792701</v>
      </c>
      <c r="I15238" s="20">
        <v>-0.524939321873094</v>
      </c>
      <c r="J15238" s="28">
        <v>0.59962537301208096</v>
      </c>
      <c r="K15238" s="29">
        <v>0.98289565623980701</v>
      </c>
    </row>
    <row r="15239" spans="1:11" x14ac:dyDescent="0.35">
      <c r="A15239" s="9" t="str">
        <f>HYPERLINK("http://www.ensembl.org/id/WBGene00005736", "WBGene00005736")</f>
        <v>WBGene00005736</v>
      </c>
      <c r="B15239" s="9" t="str">
        <f>HYPERLINK("http://www.ncbi.nlm.nih.gov/gene/353425", "353425")</f>
        <v>353425</v>
      </c>
      <c r="C15239" s="9"/>
      <c r="D15239" t="str">
        <f>"srv-25"</f>
        <v>srv-25</v>
      </c>
      <c r="E15239" t="s">
        <v>2916</v>
      </c>
      <c r="F15239" t="s">
        <v>11</v>
      </c>
      <c r="G15239" t="s">
        <v>25</v>
      </c>
      <c r="H15239" s="12">
        <v>3.5227018545059199</v>
      </c>
      <c r="I15239" s="20">
        <v>0.36849691206929103</v>
      </c>
      <c r="J15239" s="28">
        <v>0.71250274722433404</v>
      </c>
      <c r="K15239" s="29">
        <v>0.98289565623980701</v>
      </c>
    </row>
    <row r="15240" spans="1:11" x14ac:dyDescent="0.35">
      <c r="A15240" s="9" t="str">
        <f>HYPERLINK("http://www.ensembl.org/id/WBGene00005737", "WBGene00005737")</f>
        <v>WBGene00005737</v>
      </c>
      <c r="B15240" s="9" t="str">
        <f>HYPERLINK("http://www.ncbi.nlm.nih.gov/gene/353424", "353424")</f>
        <v>353424</v>
      </c>
      <c r="C15240" s="9"/>
      <c r="D15240" t="str">
        <f>"srv-26"</f>
        <v>srv-26</v>
      </c>
      <c r="E15240" t="s">
        <v>2916</v>
      </c>
      <c r="F15240" t="s">
        <v>11</v>
      </c>
      <c r="G15240" t="s">
        <v>25</v>
      </c>
      <c r="H15240" s="12">
        <v>-2.4295389261469</v>
      </c>
      <c r="I15240" s="20">
        <v>-0.25808529976640998</v>
      </c>
      <c r="J15240" s="28">
        <v>0.79634107645457397</v>
      </c>
      <c r="K15240" s="29">
        <v>0.98289565623980701</v>
      </c>
    </row>
    <row r="15241" spans="1:11" x14ac:dyDescent="0.35">
      <c r="A15241" s="9" t="str">
        <f>HYPERLINK("http://www.ensembl.org/id/WBGene00005738", "WBGene00005738")</f>
        <v>WBGene00005738</v>
      </c>
      <c r="B15241" s="9" t="str">
        <f>HYPERLINK("http://www.ncbi.nlm.nih.gov/gene/190647", "190647")</f>
        <v>190647</v>
      </c>
      <c r="C15241" s="9"/>
      <c r="D15241" t="str">
        <f>"srv-27"</f>
        <v>srv-27</v>
      </c>
      <c r="E15241" t="s">
        <v>2916</v>
      </c>
      <c r="F15241" t="s">
        <v>11</v>
      </c>
      <c r="G15241" t="s">
        <v>25</v>
      </c>
      <c r="H15241" s="12">
        <v>2.4876806445756898</v>
      </c>
      <c r="I15241" s="20">
        <v>0.59046588056299598</v>
      </c>
      <c r="J15241" s="28">
        <v>0.55487835381227801</v>
      </c>
      <c r="K15241" s="29">
        <v>0.98289565623980701</v>
      </c>
    </row>
    <row r="15242" spans="1:11" x14ac:dyDescent="0.35">
      <c r="A15242" s="9" t="str">
        <f>HYPERLINK("http://www.ensembl.org/id/WBGene00005739", "WBGene00005739")</f>
        <v>WBGene00005739</v>
      </c>
      <c r="B15242" s="9" t="str">
        <f>HYPERLINK("http://www.ncbi.nlm.nih.gov/gene/3565289", "3565289")</f>
        <v>3565289</v>
      </c>
      <c r="C15242" s="9"/>
      <c r="D15242" t="str">
        <f>"srv-28"</f>
        <v>srv-28</v>
      </c>
      <c r="E15242" t="s">
        <v>2916</v>
      </c>
      <c r="F15242" t="s">
        <v>11</v>
      </c>
      <c r="G15242" t="s">
        <v>25</v>
      </c>
      <c r="H15242" s="12">
        <v>6.2591358680996398</v>
      </c>
      <c r="I15242" s="20">
        <v>0.82854044611465305</v>
      </c>
      <c r="J15242" s="28">
        <v>0.40736449906946898</v>
      </c>
      <c r="K15242" s="29">
        <v>0.98289565623980701</v>
      </c>
    </row>
    <row r="15243" spans="1:11" x14ac:dyDescent="0.35">
      <c r="A15243" s="9" t="str">
        <f>HYPERLINK("http://www.ensembl.org/id/WBGene00005742", "WBGene00005742")</f>
        <v>WBGene00005742</v>
      </c>
      <c r="B15243" s="9" t="str">
        <f>HYPERLINK("http://www.ncbi.nlm.nih.gov/gene/188463", "188463")</f>
        <v>188463</v>
      </c>
      <c r="C15243" s="9"/>
      <c r="D15243" t="str">
        <f>"srv-31"</f>
        <v>srv-31</v>
      </c>
      <c r="E15243" t="s">
        <v>2916</v>
      </c>
      <c r="F15243" t="s">
        <v>11</v>
      </c>
      <c r="G15243" t="s">
        <v>25</v>
      </c>
      <c r="H15243" s="12">
        <v>2.3893468495514898</v>
      </c>
      <c r="I15243" s="20">
        <v>0.25323547253672701</v>
      </c>
      <c r="J15243" s="28">
        <v>0.80008625651646104</v>
      </c>
      <c r="K15243" s="29">
        <v>0.98289565623980701</v>
      </c>
    </row>
    <row r="15244" spans="1:11" x14ac:dyDescent="0.35">
      <c r="A15244" s="9" t="str">
        <f>HYPERLINK("http://www.ensembl.org/id/WBGene00005743", "WBGene00005743")</f>
        <v>WBGene00005743</v>
      </c>
      <c r="B15244" s="9" t="str">
        <f>HYPERLINK("http://www.ncbi.nlm.nih.gov/gene/188464", "188464")</f>
        <v>188464</v>
      </c>
      <c r="C15244" s="9"/>
      <c r="D15244" t="str">
        <f>"srv-32"</f>
        <v>srv-32</v>
      </c>
      <c r="E15244" t="s">
        <v>2916</v>
      </c>
      <c r="F15244" t="s">
        <v>11</v>
      </c>
      <c r="G15244" t="s">
        <v>25</v>
      </c>
      <c r="H15244" s="12">
        <v>-1.2059528010771901</v>
      </c>
      <c r="I15244" s="20">
        <v>-0.64298049412241798</v>
      </c>
      <c r="J15244" s="28">
        <v>0.52023675683070802</v>
      </c>
      <c r="K15244" s="29">
        <v>0.98289565623980701</v>
      </c>
    </row>
    <row r="15245" spans="1:11" x14ac:dyDescent="0.35">
      <c r="A15245" s="9" t="str">
        <f>HYPERLINK("http://www.ensembl.org/id/WBGene00005745", "WBGene00005745")</f>
        <v>WBGene00005745</v>
      </c>
      <c r="B15245" s="9" t="str">
        <f>HYPERLINK("http://www.ncbi.nlm.nih.gov/gene/184400", "184400")</f>
        <v>184400</v>
      </c>
      <c r="C15245" s="9"/>
      <c r="D15245" t="str">
        <f>"srv-34"</f>
        <v>srv-34</v>
      </c>
      <c r="E15245" t="s">
        <v>2916</v>
      </c>
      <c r="F15245" t="s">
        <v>11</v>
      </c>
      <c r="G15245" t="s">
        <v>25</v>
      </c>
      <c r="H15245" s="12">
        <v>3.3287535779255002</v>
      </c>
      <c r="I15245" s="20">
        <v>0.62270831115432401</v>
      </c>
      <c r="J15245" s="28">
        <v>0.53347622011143803</v>
      </c>
      <c r="K15245" s="29">
        <v>0.98289565623980701</v>
      </c>
    </row>
    <row r="15246" spans="1:11" x14ac:dyDescent="0.35">
      <c r="A15246" s="9" t="str">
        <f>HYPERLINK("http://www.ensembl.org/id/WBGene00005747", "WBGene00005747")</f>
        <v>WBGene00005747</v>
      </c>
      <c r="B15246" s="9"/>
      <c r="C15246" s="9"/>
      <c r="D15246" t="str">
        <f>"srv-36"</f>
        <v>srv-36</v>
      </c>
      <c r="F15246" t="s">
        <v>80</v>
      </c>
      <c r="H15246" s="12">
        <v>4.4368407117627902</v>
      </c>
      <c r="I15246" s="20">
        <v>0.43709475933309699</v>
      </c>
      <c r="J15246" s="28">
        <v>0.66204262779770495</v>
      </c>
      <c r="K15246" s="29">
        <v>0.98289565623980701</v>
      </c>
    </row>
    <row r="15247" spans="1:11" x14ac:dyDescent="0.35">
      <c r="A15247" s="9" t="str">
        <f>HYPERLINK("http://www.ensembl.org/id/WBGene00005717", "WBGene00005717")</f>
        <v>WBGene00005717</v>
      </c>
      <c r="B15247" s="9" t="str">
        <f>HYPERLINK("http://www.ncbi.nlm.nih.gov/gene/183713", "183713")</f>
        <v>183713</v>
      </c>
      <c r="C15247" s="9"/>
      <c r="D15247" t="str">
        <f>"srv-6"</f>
        <v>srv-6</v>
      </c>
      <c r="E15247" t="s">
        <v>2916</v>
      </c>
      <c r="F15247" t="s">
        <v>11</v>
      </c>
      <c r="G15247" t="s">
        <v>25</v>
      </c>
      <c r="H15247" s="12">
        <v>1.2667168059810501</v>
      </c>
      <c r="I15247" s="20">
        <v>0.27518652966184598</v>
      </c>
      <c r="J15247" s="28">
        <v>0.78317293537953403</v>
      </c>
      <c r="K15247" s="29">
        <v>0.98289565623980701</v>
      </c>
    </row>
    <row r="15248" spans="1:11" x14ac:dyDescent="0.35">
      <c r="A15248" s="9" t="str">
        <f>HYPERLINK("http://www.ensembl.org/id/WBGene00005719", "WBGene00005719")</f>
        <v>WBGene00005719</v>
      </c>
      <c r="B15248" s="9" t="str">
        <f>HYPERLINK("http://www.ncbi.nlm.nih.gov/gene/186171", "186171")</f>
        <v>186171</v>
      </c>
      <c r="C15248" s="9"/>
      <c r="D15248" t="str">
        <f>"srv-8"</f>
        <v>srv-8</v>
      </c>
      <c r="E15248" t="s">
        <v>2916</v>
      </c>
      <c r="F15248" t="s">
        <v>11</v>
      </c>
      <c r="G15248" t="s">
        <v>25</v>
      </c>
      <c r="H15248" s="12">
        <v>3.3536738998737001</v>
      </c>
      <c r="I15248" s="20">
        <v>1.18801443496235</v>
      </c>
      <c r="J15248" s="28">
        <v>0.234827722705852</v>
      </c>
      <c r="K15248" s="29">
        <v>0.98289565623980701</v>
      </c>
    </row>
    <row r="15249" spans="1:11" x14ac:dyDescent="0.35">
      <c r="A15249" s="9" t="str">
        <f>HYPERLINK("http://www.ensembl.org/id/WBGene00005748", "WBGene00005748")</f>
        <v>WBGene00005748</v>
      </c>
      <c r="B15249" s="9" t="str">
        <f>HYPERLINK("http://www.ncbi.nlm.nih.gov/gene/190719", "190719")</f>
        <v>190719</v>
      </c>
      <c r="C15249" s="9"/>
      <c r="D15249" t="str">
        <f>"srw-1"</f>
        <v>srw-1</v>
      </c>
      <c r="E15249" t="s">
        <v>1014</v>
      </c>
      <c r="F15249" t="s">
        <v>11</v>
      </c>
      <c r="G15249" t="s">
        <v>1015</v>
      </c>
      <c r="H15249" s="12">
        <v>-1.1526974140851201</v>
      </c>
      <c r="I15249" s="20">
        <v>-0.32326831758218999</v>
      </c>
      <c r="J15249" s="28">
        <v>0.74649204584875395</v>
      </c>
      <c r="K15249" s="29">
        <v>0.98289565623980701</v>
      </c>
    </row>
    <row r="15250" spans="1:11" x14ac:dyDescent="0.35">
      <c r="A15250" s="9" t="str">
        <f>HYPERLINK("http://www.ensembl.org/id/WBGene00005848", "WBGene00005848")</f>
        <v>WBGene00005848</v>
      </c>
      <c r="B15250" s="9" t="str">
        <f>HYPERLINK("http://www.ncbi.nlm.nih.gov/gene/3565911", "3565911")</f>
        <v>3565911</v>
      </c>
      <c r="C15250" s="9"/>
      <c r="D15250" t="str">
        <f>"srw-101"</f>
        <v>srw-101</v>
      </c>
      <c r="E15250" t="s">
        <v>1014</v>
      </c>
      <c r="F15250" t="s">
        <v>11</v>
      </c>
      <c r="G15250" t="s">
        <v>1015</v>
      </c>
      <c r="H15250" s="12">
        <v>2.0455782434772098</v>
      </c>
      <c r="I15250" s="20">
        <v>0.31288556237089099</v>
      </c>
      <c r="J15250" s="28">
        <v>0.75436760682558901</v>
      </c>
      <c r="K15250" s="29">
        <v>0.98289565623980701</v>
      </c>
    </row>
    <row r="15251" spans="1:11" x14ac:dyDescent="0.35">
      <c r="A15251" s="9" t="str">
        <f>HYPERLINK("http://www.ensembl.org/id/WBGene00005849", "WBGene00005849")</f>
        <v>WBGene00005849</v>
      </c>
      <c r="B15251" s="9" t="str">
        <f>HYPERLINK("http://www.ncbi.nlm.nih.gov/gene/3565707", "3565707")</f>
        <v>3565707</v>
      </c>
      <c r="C15251" s="9"/>
      <c r="D15251" t="str">
        <f>"srw-102"</f>
        <v>srw-102</v>
      </c>
      <c r="E15251" t="s">
        <v>1014</v>
      </c>
      <c r="F15251" t="s">
        <v>11</v>
      </c>
      <c r="G15251" t="s">
        <v>1780</v>
      </c>
      <c r="H15251" s="12">
        <v>5.5081325217650496</v>
      </c>
      <c r="I15251" s="20">
        <v>0.89642208993124595</v>
      </c>
      <c r="J15251" s="28">
        <v>0.370027373751043</v>
      </c>
      <c r="K15251" s="29">
        <v>0.98289565623980701</v>
      </c>
    </row>
    <row r="15252" spans="1:11" x14ac:dyDescent="0.35">
      <c r="A15252" s="9" t="str">
        <f>HYPERLINK("http://www.ensembl.org/id/WBGene00005852", "WBGene00005852")</f>
        <v>WBGene00005852</v>
      </c>
      <c r="B15252" s="9"/>
      <c r="C15252" s="9"/>
      <c r="D15252" t="str">
        <f>"srw-105"</f>
        <v>srw-105</v>
      </c>
      <c r="F15252" t="s">
        <v>80</v>
      </c>
      <c r="H15252" s="12">
        <v>2.3893468495514898</v>
      </c>
      <c r="I15252" s="20">
        <v>0.25323547253672701</v>
      </c>
      <c r="J15252" s="28">
        <v>0.80008625651646104</v>
      </c>
      <c r="K15252" s="29">
        <v>0.98289565623980701</v>
      </c>
    </row>
    <row r="15253" spans="1:11" x14ac:dyDescent="0.35">
      <c r="A15253" s="9" t="str">
        <f>HYPERLINK("http://www.ensembl.org/id/WBGene00005758", "WBGene00005758")</f>
        <v>WBGene00005758</v>
      </c>
      <c r="B15253" s="9" t="str">
        <f>HYPERLINK("http://www.ncbi.nlm.nih.gov/gene/3564862", "3564862")</f>
        <v>3564862</v>
      </c>
      <c r="C15253" s="9"/>
      <c r="D15253" t="str">
        <f>"srw-11"</f>
        <v>srw-11</v>
      </c>
      <c r="E15253" t="s">
        <v>1014</v>
      </c>
      <c r="F15253" t="s">
        <v>11</v>
      </c>
      <c r="G15253" t="s">
        <v>1015</v>
      </c>
      <c r="H15253" s="12">
        <v>-4.94103260647422</v>
      </c>
      <c r="I15253" s="20">
        <v>-0.841049546673447</v>
      </c>
      <c r="J15253" s="28">
        <v>0.40032017812674398</v>
      </c>
      <c r="K15253" s="29">
        <v>0.98289565623980701</v>
      </c>
    </row>
    <row r="15254" spans="1:11" x14ac:dyDescent="0.35">
      <c r="A15254" s="9" t="str">
        <f>HYPERLINK("http://www.ensembl.org/id/WBGene00005860", "WBGene00005860")</f>
        <v>WBGene00005860</v>
      </c>
      <c r="B15254" s="9" t="str">
        <f>HYPERLINK("http://www.ncbi.nlm.nih.gov/gene/191503", "191503")</f>
        <v>191503</v>
      </c>
      <c r="C15254" s="9"/>
      <c r="D15254" t="str">
        <f>"srw-113"</f>
        <v>srw-113</v>
      </c>
      <c r="E15254" t="s">
        <v>1014</v>
      </c>
      <c r="F15254" t="s">
        <v>11</v>
      </c>
      <c r="G15254" t="s">
        <v>1015</v>
      </c>
      <c r="H15254" s="12">
        <v>-3.5819448292659501</v>
      </c>
      <c r="I15254" s="20">
        <v>-0.37337717500031398</v>
      </c>
      <c r="J15254" s="28">
        <v>0.70886774492290605</v>
      </c>
      <c r="K15254" s="29">
        <v>0.98289565623980701</v>
      </c>
    </row>
    <row r="15255" spans="1:11" x14ac:dyDescent="0.35">
      <c r="A15255" s="9" t="str">
        <f>HYPERLINK("http://www.ensembl.org/id/WBGene00005868", "WBGene00005868")</f>
        <v>WBGene00005868</v>
      </c>
      <c r="B15255" s="9" t="str">
        <f>HYPERLINK("http://www.ncbi.nlm.nih.gov/gene/187324", "187324")</f>
        <v>187324</v>
      </c>
      <c r="C15255" s="9"/>
      <c r="D15255" t="str">
        <f>"srw-121"</f>
        <v>srw-121</v>
      </c>
      <c r="E15255" t="s">
        <v>1014</v>
      </c>
      <c r="F15255" t="s">
        <v>11</v>
      </c>
      <c r="G15255" t="s">
        <v>1015</v>
      </c>
      <c r="H15255" s="12">
        <v>5.3030857934499096</v>
      </c>
      <c r="I15255" s="20">
        <v>0.86072026089053</v>
      </c>
      <c r="J15255" s="28">
        <v>0.38939213139055601</v>
      </c>
      <c r="K15255" s="29">
        <v>0.98289565623980701</v>
      </c>
    </row>
    <row r="15256" spans="1:11" x14ac:dyDescent="0.35">
      <c r="A15256" s="9" t="str">
        <f>HYPERLINK("http://www.ensembl.org/id/WBGene00005869", "WBGene00005869")</f>
        <v>WBGene00005869</v>
      </c>
      <c r="B15256" s="9" t="str">
        <f>HYPERLINK("http://www.ncbi.nlm.nih.gov/gene/186790", "186790")</f>
        <v>186790</v>
      </c>
      <c r="C15256" s="9"/>
      <c r="D15256" t="str">
        <f>"srw-122"</f>
        <v>srw-122</v>
      </c>
      <c r="E15256" t="s">
        <v>1014</v>
      </c>
      <c r="F15256" t="s">
        <v>11</v>
      </c>
      <c r="G15256" t="s">
        <v>1015</v>
      </c>
      <c r="H15256" s="12">
        <v>3.5227018545059199</v>
      </c>
      <c r="I15256" s="20">
        <v>0.36849691206929103</v>
      </c>
      <c r="J15256" s="28">
        <v>0.71250274722433404</v>
      </c>
      <c r="K15256" s="29">
        <v>0.98289565623980701</v>
      </c>
    </row>
    <row r="15257" spans="1:11" x14ac:dyDescent="0.35">
      <c r="A15257" s="9" t="str">
        <f>HYPERLINK("http://www.ensembl.org/id/WBGene00005871", "WBGene00005871")</f>
        <v>WBGene00005871</v>
      </c>
      <c r="B15257" s="9" t="str">
        <f>HYPERLINK("http://www.ncbi.nlm.nih.gov/gene/183440", "183440")</f>
        <v>183440</v>
      </c>
      <c r="C15257" s="9"/>
      <c r="D15257" t="str">
        <f>"srw-124"</f>
        <v>srw-124</v>
      </c>
      <c r="E15257" t="s">
        <v>1014</v>
      </c>
      <c r="F15257" t="s">
        <v>11</v>
      </c>
      <c r="G15257" t="s">
        <v>1015</v>
      </c>
      <c r="H15257" s="12">
        <v>3.6645215954135</v>
      </c>
      <c r="I15257" s="20">
        <v>0.37967131826092498</v>
      </c>
      <c r="J15257" s="28">
        <v>0.70418941338960395</v>
      </c>
      <c r="K15257" s="29">
        <v>0.98289565623980701</v>
      </c>
    </row>
    <row r="15258" spans="1:11" x14ac:dyDescent="0.35">
      <c r="A15258" s="9" t="str">
        <f>HYPERLINK("http://www.ensembl.org/id/WBGene00005873", "WBGene00005873")</f>
        <v>WBGene00005873</v>
      </c>
      <c r="B15258" s="9"/>
      <c r="C15258" s="9"/>
      <c r="D15258" t="str">
        <f>"srw-126"</f>
        <v>srw-126</v>
      </c>
      <c r="F15258" t="s">
        <v>80</v>
      </c>
      <c r="H15258" s="12">
        <v>3.5227018545059199</v>
      </c>
      <c r="I15258" s="20">
        <v>0.36849691206929103</v>
      </c>
      <c r="J15258" s="28">
        <v>0.71250274722433404</v>
      </c>
      <c r="K15258" s="29">
        <v>0.98289565623980701</v>
      </c>
    </row>
    <row r="15259" spans="1:11" x14ac:dyDescent="0.35">
      <c r="A15259" s="9" t="str">
        <f>HYPERLINK("http://www.ensembl.org/id/WBGene00005876", "WBGene00005876")</f>
        <v>WBGene00005876</v>
      </c>
      <c r="B15259" s="9" t="str">
        <f>HYPERLINK("http://www.ncbi.nlm.nih.gov/gene/183441", "183441")</f>
        <v>183441</v>
      </c>
      <c r="C15259" s="9"/>
      <c r="D15259" t="str">
        <f>"srw-129"</f>
        <v>srw-129</v>
      </c>
      <c r="E15259" t="s">
        <v>1014</v>
      </c>
      <c r="F15259" t="s">
        <v>11</v>
      </c>
      <c r="G15259" t="s">
        <v>1015</v>
      </c>
      <c r="H15259" s="12">
        <v>2.5494470594118899</v>
      </c>
      <c r="I15259" s="20">
        <v>0.31908451726144499</v>
      </c>
      <c r="J15259" s="28">
        <v>0.74966242392848603</v>
      </c>
      <c r="K15259" s="29">
        <v>0.98289565623980701</v>
      </c>
    </row>
    <row r="15260" spans="1:11" x14ac:dyDescent="0.35">
      <c r="A15260" s="9" t="str">
        <f>HYPERLINK("http://www.ensembl.org/id/WBGene00005760", "WBGene00005760")</f>
        <v>WBGene00005760</v>
      </c>
      <c r="B15260" s="9" t="str">
        <f>HYPERLINK("http://www.ncbi.nlm.nih.gov/gene/183390", "183390")</f>
        <v>183390</v>
      </c>
      <c r="C15260" s="9"/>
      <c r="D15260" t="str">
        <f>"srw-13"</f>
        <v>srw-13</v>
      </c>
      <c r="E15260" t="s">
        <v>1014</v>
      </c>
      <c r="F15260" t="s">
        <v>11</v>
      </c>
      <c r="G15260" t="s">
        <v>1015</v>
      </c>
      <c r="H15260" s="12">
        <v>5.0177302559477299</v>
      </c>
      <c r="I15260" s="20">
        <v>0.84901814086942196</v>
      </c>
      <c r="J15260" s="28">
        <v>0.39587119801022902</v>
      </c>
      <c r="K15260" s="29">
        <v>0.98289565623980701</v>
      </c>
    </row>
    <row r="15261" spans="1:11" x14ac:dyDescent="0.35">
      <c r="A15261" s="9" t="str">
        <f>HYPERLINK("http://www.ensembl.org/id/WBGene00005877", "WBGene00005877")</f>
        <v>WBGene00005877</v>
      </c>
      <c r="B15261" s="9" t="str">
        <f>HYPERLINK("http://www.ncbi.nlm.nih.gov/gene/188831", "188831")</f>
        <v>188831</v>
      </c>
      <c r="C15261" s="9"/>
      <c r="D15261" t="str">
        <f>"srw-130"</f>
        <v>srw-130</v>
      </c>
      <c r="E15261" t="s">
        <v>1014</v>
      </c>
      <c r="F15261" t="s">
        <v>11</v>
      </c>
      <c r="G15261" t="s">
        <v>1015</v>
      </c>
      <c r="H15261" s="12">
        <v>-4.7167679298615104</v>
      </c>
      <c r="I15261" s="20">
        <v>-0.454742638005115</v>
      </c>
      <c r="J15261" s="28">
        <v>0.64929440216969203</v>
      </c>
      <c r="K15261" s="29">
        <v>0.98289565623980701</v>
      </c>
    </row>
    <row r="15262" spans="1:11" x14ac:dyDescent="0.35">
      <c r="A15262" s="9" t="str">
        <f>HYPERLINK("http://www.ensembl.org/id/WBGene00005880", "WBGene00005880")</f>
        <v>WBGene00005880</v>
      </c>
      <c r="B15262" s="9" t="str">
        <f>HYPERLINK("http://www.ncbi.nlm.nih.gov/gene/188102", "188102")</f>
        <v>188102</v>
      </c>
      <c r="C15262" s="9"/>
      <c r="D15262" t="str">
        <f>"srw-133"</f>
        <v>srw-133</v>
      </c>
      <c r="E15262" t="s">
        <v>1014</v>
      </c>
      <c r="F15262" t="s">
        <v>11</v>
      </c>
      <c r="G15262" t="s">
        <v>1015</v>
      </c>
      <c r="H15262" s="12">
        <v>2.3893468495514898</v>
      </c>
      <c r="I15262" s="20">
        <v>0.25323547253672701</v>
      </c>
      <c r="J15262" s="28">
        <v>0.80008625651646104</v>
      </c>
      <c r="K15262" s="29">
        <v>0.98289565623980701</v>
      </c>
    </row>
    <row r="15263" spans="1:11" x14ac:dyDescent="0.35">
      <c r="A15263" s="9" t="str">
        <f>HYPERLINK("http://www.ensembl.org/id/WBGene00005885", "WBGene00005885")</f>
        <v>WBGene00005885</v>
      </c>
      <c r="B15263" s="9" t="str">
        <f>HYPERLINK("http://www.ncbi.nlm.nih.gov/gene/183442", "183442")</f>
        <v>183442</v>
      </c>
      <c r="C15263" s="9"/>
      <c r="D15263" t="str">
        <f>"srw-138"</f>
        <v>srw-138</v>
      </c>
      <c r="E15263" t="s">
        <v>1014</v>
      </c>
      <c r="F15263" t="s">
        <v>11</v>
      </c>
      <c r="G15263" t="s">
        <v>1015</v>
      </c>
      <c r="H15263" s="12">
        <v>-2.4295389261469</v>
      </c>
      <c r="I15263" s="20">
        <v>-0.25808529976640998</v>
      </c>
      <c r="J15263" s="28">
        <v>0.79634107645457397</v>
      </c>
      <c r="K15263" s="29">
        <v>0.98289565623980701</v>
      </c>
    </row>
    <row r="15264" spans="1:11" x14ac:dyDescent="0.35">
      <c r="A15264" s="9" t="str">
        <f>HYPERLINK("http://www.ensembl.org/id/WBGene00005886", "WBGene00005886")</f>
        <v>WBGene00005886</v>
      </c>
      <c r="B15264" s="9" t="str">
        <f>HYPERLINK("http://www.ncbi.nlm.nih.gov/gene/183445", "183445")</f>
        <v>183445</v>
      </c>
      <c r="C15264" s="9"/>
      <c r="D15264" t="str">
        <f>"srw-139"</f>
        <v>srw-139</v>
      </c>
      <c r="E15264" t="s">
        <v>1014</v>
      </c>
      <c r="F15264" t="s">
        <v>11</v>
      </c>
      <c r="G15264" t="s">
        <v>1015</v>
      </c>
      <c r="H15264" s="12">
        <v>2.3893468495514898</v>
      </c>
      <c r="I15264" s="20">
        <v>0.25323547253672701</v>
      </c>
      <c r="J15264" s="28">
        <v>0.80008625651646104</v>
      </c>
      <c r="K15264" s="29">
        <v>0.98289565623980701</v>
      </c>
    </row>
    <row r="15265" spans="1:11" x14ac:dyDescent="0.35">
      <c r="A15265" s="9" t="str">
        <f>HYPERLINK("http://www.ensembl.org/id/WBGene00005887", "WBGene00005887")</f>
        <v>WBGene00005887</v>
      </c>
      <c r="B15265" s="9" t="str">
        <f>HYPERLINK("http://www.ncbi.nlm.nih.gov/gene/182135", "182135")</f>
        <v>182135</v>
      </c>
      <c r="C15265" s="9"/>
      <c r="D15265" t="str">
        <f>"srw-140"</f>
        <v>srw-140</v>
      </c>
      <c r="E15265" t="s">
        <v>1014</v>
      </c>
      <c r="F15265" t="s">
        <v>11</v>
      </c>
      <c r="G15265" t="s">
        <v>1015</v>
      </c>
      <c r="H15265" s="12">
        <v>4.6806561070019201</v>
      </c>
      <c r="I15265" s="20">
        <v>0.83378409140915399</v>
      </c>
      <c r="J15265" s="28">
        <v>0.404402661553939</v>
      </c>
      <c r="K15265" s="29">
        <v>0.98289565623980701</v>
      </c>
    </row>
    <row r="15266" spans="1:11" x14ac:dyDescent="0.35">
      <c r="A15266" s="9" t="str">
        <f>HYPERLINK("http://www.ensembl.org/id/WBGene00005889", "WBGene00005889")</f>
        <v>WBGene00005889</v>
      </c>
      <c r="B15266" s="9" t="str">
        <f>HYPERLINK("http://www.ncbi.nlm.nih.gov/gene/186692", "186692")</f>
        <v>186692</v>
      </c>
      <c r="C15266" s="9"/>
      <c r="D15266" t="str">
        <f>"srw-142"</f>
        <v>srw-142</v>
      </c>
      <c r="E15266" t="s">
        <v>1014</v>
      </c>
      <c r="F15266" t="s">
        <v>11</v>
      </c>
      <c r="G15266" t="s">
        <v>1015</v>
      </c>
      <c r="H15266" s="12">
        <v>2.3893468495514898</v>
      </c>
      <c r="I15266" s="20">
        <v>0.25323547253672701</v>
      </c>
      <c r="J15266" s="28">
        <v>0.80008625651646104</v>
      </c>
      <c r="K15266" s="29">
        <v>0.98289565623980701</v>
      </c>
    </row>
    <row r="15267" spans="1:11" x14ac:dyDescent="0.35">
      <c r="A15267" s="9" t="str">
        <f>HYPERLINK("http://www.ensembl.org/id/WBGene00011197", "WBGene00011197")</f>
        <v>WBGene00011197</v>
      </c>
      <c r="B15267" s="9" t="str">
        <f>HYPERLINK("http://www.ncbi.nlm.nih.gov/gene/259658", "259658")</f>
        <v>259658</v>
      </c>
      <c r="C15267" s="9"/>
      <c r="D15267" t="str">
        <f>"srw-145"</f>
        <v>srw-145</v>
      </c>
      <c r="E15267" t="s">
        <v>1014</v>
      </c>
      <c r="F15267" t="s">
        <v>11</v>
      </c>
      <c r="G15267" t="s">
        <v>1015</v>
      </c>
      <c r="H15267" s="12">
        <v>1.75582099003317</v>
      </c>
      <c r="I15267" s="20">
        <v>0.445940971532655</v>
      </c>
      <c r="J15267" s="28">
        <v>0.65563988553629404</v>
      </c>
      <c r="K15267" s="29">
        <v>0.98289565623980701</v>
      </c>
    </row>
    <row r="15268" spans="1:11" x14ac:dyDescent="0.35">
      <c r="A15268" s="9" t="str">
        <f>HYPERLINK("http://www.ensembl.org/id/WBGene00005763", "WBGene00005763")</f>
        <v>WBGene00005763</v>
      </c>
      <c r="B15268" s="9" t="str">
        <f>HYPERLINK("http://www.ncbi.nlm.nih.gov/gene/188394", "188394")</f>
        <v>188394</v>
      </c>
      <c r="C15268" s="9"/>
      <c r="D15268" t="str">
        <f>"srw-16"</f>
        <v>srw-16</v>
      </c>
      <c r="E15268" t="s">
        <v>1014</v>
      </c>
      <c r="F15268" t="s">
        <v>11</v>
      </c>
      <c r="G15268" t="s">
        <v>1015</v>
      </c>
      <c r="H15268" s="12">
        <v>3.96717629464532</v>
      </c>
      <c r="I15268" s="20">
        <v>0.45862218578449998</v>
      </c>
      <c r="J15268" s="28">
        <v>0.64650550194479495</v>
      </c>
      <c r="K15268" s="29">
        <v>0.98289565623980701</v>
      </c>
    </row>
    <row r="15269" spans="1:11" x14ac:dyDescent="0.35">
      <c r="A15269" s="9" t="str">
        <f>HYPERLINK("http://www.ensembl.org/id/WBGene00005766", "WBGene00005766")</f>
        <v>WBGene00005766</v>
      </c>
      <c r="B15269" s="9" t="str">
        <f>HYPERLINK("http://www.ncbi.nlm.nih.gov/gene/188397", "188397")</f>
        <v>188397</v>
      </c>
      <c r="C15269" s="9"/>
      <c r="D15269" t="str">
        <f>"srw-19"</f>
        <v>srw-19</v>
      </c>
      <c r="E15269" t="s">
        <v>1014</v>
      </c>
      <c r="F15269" t="s">
        <v>11</v>
      </c>
      <c r="G15269" t="s">
        <v>1015</v>
      </c>
      <c r="H15269" s="12">
        <v>10.757537997597099</v>
      </c>
      <c r="I15269" s="20">
        <v>1.0893451637925999</v>
      </c>
      <c r="J15269" s="28">
        <v>0.27600170336736202</v>
      </c>
      <c r="K15269" s="29">
        <v>0.98289565623980701</v>
      </c>
    </row>
    <row r="15270" spans="1:11" x14ac:dyDescent="0.35">
      <c r="A15270" s="9" t="str">
        <f>HYPERLINK("http://www.ensembl.org/id/WBGene00005770", "WBGene00005770")</f>
        <v>WBGene00005770</v>
      </c>
      <c r="B15270" s="9" t="str">
        <f>HYPERLINK("http://www.ncbi.nlm.nih.gov/gene/186008", "186008")</f>
        <v>186008</v>
      </c>
      <c r="C15270" s="9"/>
      <c r="D15270" t="str">
        <f>"srw-23"</f>
        <v>srw-23</v>
      </c>
      <c r="E15270" t="s">
        <v>1014</v>
      </c>
      <c r="F15270" t="s">
        <v>11</v>
      </c>
      <c r="G15270" t="s">
        <v>1015</v>
      </c>
      <c r="H15270" s="12">
        <v>2.2236536977615802</v>
      </c>
      <c r="I15270" s="20">
        <v>0.46144288777658798</v>
      </c>
      <c r="J15270" s="28">
        <v>0.64448088765976796</v>
      </c>
      <c r="K15270" s="29">
        <v>0.98289565623980701</v>
      </c>
    </row>
    <row r="15271" spans="1:11" x14ac:dyDescent="0.35">
      <c r="A15271" s="9" t="str">
        <f>HYPERLINK("http://www.ensembl.org/id/WBGene00005772", "WBGene00005772")</f>
        <v>WBGene00005772</v>
      </c>
      <c r="B15271" s="9"/>
      <c r="C15271" s="9"/>
      <c r="D15271" t="str">
        <f>"srw-25"</f>
        <v>srw-25</v>
      </c>
      <c r="F15271" t="s">
        <v>80</v>
      </c>
      <c r="H15271" s="12">
        <v>4.0734809318040197</v>
      </c>
      <c r="I15271" s="20">
        <v>0.63247651229171198</v>
      </c>
      <c r="J15271" s="28">
        <v>0.52707555154778396</v>
      </c>
      <c r="K15271" s="29">
        <v>0.98289565623980701</v>
      </c>
    </row>
    <row r="15272" spans="1:11" x14ac:dyDescent="0.35">
      <c r="A15272" s="9" t="str">
        <f>HYPERLINK("http://www.ensembl.org/id/WBGene00005780", "WBGene00005780")</f>
        <v>WBGene00005780</v>
      </c>
      <c r="B15272" s="9" t="str">
        <f>HYPERLINK("http://www.ncbi.nlm.nih.gov/gene/188958", "188958")</f>
        <v>188958</v>
      </c>
      <c r="C15272" s="9"/>
      <c r="D15272" t="str">
        <f>"srw-33"</f>
        <v>srw-33</v>
      </c>
      <c r="E15272" t="s">
        <v>1014</v>
      </c>
      <c r="F15272" t="s">
        <v>11</v>
      </c>
      <c r="G15272" t="s">
        <v>1780</v>
      </c>
      <c r="H15272" s="12">
        <v>3.1718777784461198</v>
      </c>
      <c r="I15272" s="20">
        <v>0.64678060832710405</v>
      </c>
      <c r="J15272" s="28">
        <v>0.517773944419889</v>
      </c>
      <c r="K15272" s="29">
        <v>0.98289565623980701</v>
      </c>
    </row>
    <row r="15273" spans="1:11" x14ac:dyDescent="0.35">
      <c r="A15273" s="9" t="str">
        <f>HYPERLINK("http://www.ensembl.org/id/WBGene00005784", "WBGene00005784")</f>
        <v>WBGene00005784</v>
      </c>
      <c r="B15273" s="9"/>
      <c r="C15273" s="9"/>
      <c r="D15273" t="str">
        <f>"srw-37"</f>
        <v>srw-37</v>
      </c>
      <c r="F15273" t="s">
        <v>80</v>
      </c>
      <c r="H15273" s="12">
        <v>-2.4991590031922399</v>
      </c>
      <c r="I15273" s="20">
        <v>-0.26577412737581302</v>
      </c>
      <c r="J15273" s="28">
        <v>0.79041317015736101</v>
      </c>
      <c r="K15273" s="29">
        <v>0.98289565623980701</v>
      </c>
    </row>
    <row r="15274" spans="1:11" x14ac:dyDescent="0.35">
      <c r="A15274" s="9" t="str">
        <f>HYPERLINK("http://www.ensembl.org/id/WBGene00005785", "WBGene00005785")</f>
        <v>WBGene00005785</v>
      </c>
      <c r="B15274" s="9" t="str">
        <f>HYPERLINK("http://www.ncbi.nlm.nih.gov/gene/191017", "191017")</f>
        <v>191017</v>
      </c>
      <c r="C15274" s="9"/>
      <c r="D15274" t="str">
        <f>"srw-38"</f>
        <v>srw-38</v>
      </c>
      <c r="E15274" t="s">
        <v>1014</v>
      </c>
      <c r="F15274" t="s">
        <v>11</v>
      </c>
      <c r="G15274" t="s">
        <v>1015</v>
      </c>
      <c r="H15274" s="12">
        <v>-3.5819448292659501</v>
      </c>
      <c r="I15274" s="20">
        <v>-0.37337717500031398</v>
      </c>
      <c r="J15274" s="28">
        <v>0.70886774492290605</v>
      </c>
      <c r="K15274" s="29">
        <v>0.98289565623980701</v>
      </c>
    </row>
    <row r="15275" spans="1:11" x14ac:dyDescent="0.35">
      <c r="A15275" s="9" t="str">
        <f>HYPERLINK("http://www.ensembl.org/id/WBGene00005787", "WBGene00005787")</f>
        <v>WBGene00005787</v>
      </c>
      <c r="B15275" s="9" t="str">
        <f>HYPERLINK("http://www.ncbi.nlm.nih.gov/gene/190189", "190189")</f>
        <v>190189</v>
      </c>
      <c r="C15275" s="9"/>
      <c r="D15275" t="str">
        <f>"srw-40"</f>
        <v>srw-40</v>
      </c>
      <c r="E15275" t="s">
        <v>1014</v>
      </c>
      <c r="F15275" t="s">
        <v>11</v>
      </c>
      <c r="G15275" t="s">
        <v>1015</v>
      </c>
      <c r="H15275" s="12">
        <v>3.6645215954135</v>
      </c>
      <c r="I15275" s="20">
        <v>0.37967131826092498</v>
      </c>
      <c r="J15275" s="28">
        <v>0.70418941338960395</v>
      </c>
      <c r="K15275" s="29">
        <v>0.98289565623980701</v>
      </c>
    </row>
    <row r="15276" spans="1:11" x14ac:dyDescent="0.35">
      <c r="A15276" s="9" t="str">
        <f>HYPERLINK("http://www.ensembl.org/id/WBGene00005790", "WBGene00005790")</f>
        <v>WBGene00005790</v>
      </c>
      <c r="B15276" s="9" t="str">
        <f>HYPERLINK("http://www.ncbi.nlm.nih.gov/gene/184479", "184479")</f>
        <v>184479</v>
      </c>
      <c r="C15276" s="9"/>
      <c r="D15276" t="str">
        <f>"srw-43"</f>
        <v>srw-43</v>
      </c>
      <c r="E15276" t="s">
        <v>1014</v>
      </c>
      <c r="F15276" t="s">
        <v>11</v>
      </c>
      <c r="G15276" t="s">
        <v>1015</v>
      </c>
      <c r="H15276" s="12">
        <v>5.4058944669092801</v>
      </c>
      <c r="I15276" s="20">
        <v>0.49762513753689303</v>
      </c>
      <c r="J15276" s="28">
        <v>0.61874828254921799</v>
      </c>
      <c r="K15276" s="29">
        <v>0.98289565623980701</v>
      </c>
    </row>
    <row r="15277" spans="1:11" x14ac:dyDescent="0.35">
      <c r="A15277" s="9" t="str">
        <f>HYPERLINK("http://www.ensembl.org/id/WBGene00005791", "WBGene00005791")</f>
        <v>WBGene00005791</v>
      </c>
      <c r="B15277" s="9" t="str">
        <f>HYPERLINK("http://www.ncbi.nlm.nih.gov/gene/184480", "184480")</f>
        <v>184480</v>
      </c>
      <c r="C15277" s="9"/>
      <c r="D15277" t="str">
        <f>"srw-44"</f>
        <v>srw-44</v>
      </c>
      <c r="E15277" t="s">
        <v>1014</v>
      </c>
      <c r="F15277" t="s">
        <v>11</v>
      </c>
      <c r="G15277" t="s">
        <v>1780</v>
      </c>
      <c r="H15277" s="12">
        <v>-3.7261494131482999</v>
      </c>
      <c r="I15277" s="20">
        <v>-0.38454673129429601</v>
      </c>
      <c r="J15277" s="28">
        <v>0.70057326682554</v>
      </c>
      <c r="K15277" s="29">
        <v>0.98289565623980701</v>
      </c>
    </row>
    <row r="15278" spans="1:11" x14ac:dyDescent="0.35">
      <c r="A15278" s="9" t="str">
        <f>HYPERLINK("http://www.ensembl.org/id/WBGene00005794", "WBGene00005794")</f>
        <v>WBGene00005794</v>
      </c>
      <c r="B15278" s="9"/>
      <c r="C15278" s="9"/>
      <c r="D15278" t="str">
        <f>"srw-47"</f>
        <v>srw-47</v>
      </c>
      <c r="F15278" t="s">
        <v>80</v>
      </c>
      <c r="H15278" s="12">
        <v>2.3893468495514898</v>
      </c>
      <c r="I15278" s="20">
        <v>0.25323547253672701</v>
      </c>
      <c r="J15278" s="28">
        <v>0.80008625651646104</v>
      </c>
      <c r="K15278" s="29">
        <v>0.98289565623980701</v>
      </c>
    </row>
    <row r="15279" spans="1:11" x14ac:dyDescent="0.35">
      <c r="A15279" s="9" t="str">
        <f>HYPERLINK("http://www.ensembl.org/id/WBGene00005795", "WBGene00005795")</f>
        <v>WBGene00005795</v>
      </c>
      <c r="B15279" s="9" t="str">
        <f>HYPERLINK("http://www.ncbi.nlm.nih.gov/gene/184964", "184964")</f>
        <v>184964</v>
      </c>
      <c r="C15279" s="9"/>
      <c r="D15279" t="str">
        <f>"srw-48"</f>
        <v>srw-48</v>
      </c>
      <c r="E15279" t="s">
        <v>1014</v>
      </c>
      <c r="F15279" t="s">
        <v>11</v>
      </c>
      <c r="G15279" t="s">
        <v>1015</v>
      </c>
      <c r="H15279" s="12">
        <v>-1.5156814676034001</v>
      </c>
      <c r="I15279" s="20">
        <v>-0.28930795108606999</v>
      </c>
      <c r="J15279" s="28">
        <v>0.77234572827743497</v>
      </c>
      <c r="K15279" s="29">
        <v>0.98289565623980701</v>
      </c>
    </row>
    <row r="15280" spans="1:11" x14ac:dyDescent="0.35">
      <c r="A15280" s="9" t="str">
        <f>HYPERLINK("http://www.ensembl.org/id/WBGene00005798", "WBGene00005798")</f>
        <v>WBGene00005798</v>
      </c>
      <c r="B15280" s="9" t="str">
        <f>HYPERLINK("http://www.ncbi.nlm.nih.gov/gene/185526", "185526")</f>
        <v>185526</v>
      </c>
      <c r="C15280" s="9"/>
      <c r="D15280" t="str">
        <f>"srw-51"</f>
        <v>srw-51</v>
      </c>
      <c r="E15280" t="s">
        <v>1014</v>
      </c>
      <c r="F15280" t="s">
        <v>11</v>
      </c>
      <c r="G15280" t="s">
        <v>1780</v>
      </c>
      <c r="H15280" s="12">
        <v>-13.4303547533762</v>
      </c>
      <c r="I15280" s="20">
        <v>-0.81048130413248398</v>
      </c>
      <c r="J15280" s="28">
        <v>0.41766360599328001</v>
      </c>
      <c r="K15280" s="29">
        <v>0.98289565623980701</v>
      </c>
    </row>
    <row r="15281" spans="1:11" x14ac:dyDescent="0.35">
      <c r="A15281" s="9" t="str">
        <f>HYPERLINK("http://www.ensembl.org/id/WBGene00005806", "WBGene00005806")</f>
        <v>WBGene00005806</v>
      </c>
      <c r="B15281" s="9" t="str">
        <f>HYPERLINK("http://www.ncbi.nlm.nih.gov/gene/186771", "186771")</f>
        <v>186771</v>
      </c>
      <c r="C15281" s="9"/>
      <c r="D15281" t="str">
        <f>"srw-59"</f>
        <v>srw-59</v>
      </c>
      <c r="E15281" t="s">
        <v>1014</v>
      </c>
      <c r="F15281" t="s">
        <v>11</v>
      </c>
      <c r="G15281" t="s">
        <v>1780</v>
      </c>
      <c r="H15281" s="12">
        <v>2.3893468495514898</v>
      </c>
      <c r="I15281" s="20">
        <v>0.25323547253672701</v>
      </c>
      <c r="J15281" s="28">
        <v>0.80008625651646104</v>
      </c>
      <c r="K15281" s="29">
        <v>0.98289565623980701</v>
      </c>
    </row>
    <row r="15282" spans="1:11" x14ac:dyDescent="0.35">
      <c r="A15282" s="9" t="str">
        <f>HYPERLINK("http://www.ensembl.org/id/WBGene00005753", "WBGene00005753")</f>
        <v>WBGene00005753</v>
      </c>
      <c r="B15282" s="9" t="str">
        <f>HYPERLINK("http://www.ncbi.nlm.nih.gov/gene/186715", "186715")</f>
        <v>186715</v>
      </c>
      <c r="C15282" s="9"/>
      <c r="D15282" t="str">
        <f>"srw-6"</f>
        <v>srw-6</v>
      </c>
      <c r="E15282" t="s">
        <v>1014</v>
      </c>
      <c r="F15282" t="s">
        <v>11</v>
      </c>
      <c r="G15282" t="s">
        <v>1015</v>
      </c>
      <c r="H15282" s="12">
        <v>2.2823775214898601</v>
      </c>
      <c r="I15282" s="20">
        <v>0.28531617361358103</v>
      </c>
      <c r="J15282" s="28">
        <v>0.77540192285876297</v>
      </c>
      <c r="K15282" s="29">
        <v>0.98289565623980701</v>
      </c>
    </row>
    <row r="15283" spans="1:11" x14ac:dyDescent="0.35">
      <c r="A15283" s="9" t="str">
        <f>HYPERLINK("http://www.ensembl.org/id/WBGene00005808", "WBGene00005808")</f>
        <v>WBGene00005808</v>
      </c>
      <c r="B15283" s="9" t="str">
        <f>HYPERLINK("http://www.ncbi.nlm.nih.gov/gene/186783", "186783")</f>
        <v>186783</v>
      </c>
      <c r="C15283" s="9"/>
      <c r="D15283" t="str">
        <f>"srw-61"</f>
        <v>srw-61</v>
      </c>
      <c r="E15283" t="s">
        <v>1014</v>
      </c>
      <c r="F15283" t="s">
        <v>11</v>
      </c>
      <c r="G15283" t="s">
        <v>1015</v>
      </c>
      <c r="H15283" s="12">
        <v>-6.0496137383913799</v>
      </c>
      <c r="I15283" s="20">
        <v>-0.52919567380265498</v>
      </c>
      <c r="J15283" s="28">
        <v>0.59666971747150499</v>
      </c>
      <c r="K15283" s="29">
        <v>0.98289565623980701</v>
      </c>
    </row>
    <row r="15284" spans="1:11" x14ac:dyDescent="0.35">
      <c r="A15284" s="9" t="str">
        <f>HYPERLINK("http://www.ensembl.org/id/WBGene00005809", "WBGene00005809")</f>
        <v>WBGene00005809</v>
      </c>
      <c r="B15284" s="9" t="str">
        <f>HYPERLINK("http://www.ncbi.nlm.nih.gov/gene/13185919", "13185919")</f>
        <v>13185919</v>
      </c>
      <c r="C15284" s="9"/>
      <c r="D15284" t="str">
        <f>"srw-62"</f>
        <v>srw-62</v>
      </c>
      <c r="E15284" t="s">
        <v>1014</v>
      </c>
      <c r="F15284" t="s">
        <v>11</v>
      </c>
      <c r="G15284" t="s">
        <v>1015</v>
      </c>
      <c r="H15284" s="12">
        <v>4.4368407117627902</v>
      </c>
      <c r="I15284" s="20">
        <v>0.43709475933309699</v>
      </c>
      <c r="J15284" s="28">
        <v>0.66204262779770495</v>
      </c>
      <c r="K15284" s="29">
        <v>0.98289565623980701</v>
      </c>
    </row>
    <row r="15285" spans="1:11" x14ac:dyDescent="0.35">
      <c r="A15285" s="9" t="str">
        <f>HYPERLINK("http://www.ensembl.org/id/WBGene00005810", "WBGene00005810")</f>
        <v>WBGene00005810</v>
      </c>
      <c r="B15285" s="9" t="str">
        <f>HYPERLINK("http://www.ncbi.nlm.nih.gov/gene/189604", "189604")</f>
        <v>189604</v>
      </c>
      <c r="C15285" s="9"/>
      <c r="D15285" t="str">
        <f>"srw-63"</f>
        <v>srw-63</v>
      </c>
      <c r="E15285" t="s">
        <v>1014</v>
      </c>
      <c r="F15285" t="s">
        <v>11</v>
      </c>
      <c r="G15285" t="s">
        <v>1015</v>
      </c>
      <c r="H15285" s="12">
        <v>7.2474883361933102</v>
      </c>
      <c r="I15285" s="20">
        <v>0.60161888411598596</v>
      </c>
      <c r="J15285" s="28">
        <v>0.54742785575427899</v>
      </c>
      <c r="K15285" s="29">
        <v>0.98289565623980701</v>
      </c>
    </row>
    <row r="15286" spans="1:11" x14ac:dyDescent="0.35">
      <c r="A15286" s="9" t="str">
        <f>HYPERLINK("http://www.ensembl.org/id/WBGene00005811", "WBGene00005811")</f>
        <v>WBGene00005811</v>
      </c>
      <c r="B15286" s="9"/>
      <c r="C15286" s="9"/>
      <c r="D15286" t="str">
        <f>"srw-64"</f>
        <v>srw-64</v>
      </c>
      <c r="F15286" t="s">
        <v>80</v>
      </c>
      <c r="H15286" s="12">
        <v>10.059024691210601</v>
      </c>
      <c r="I15286" s="20">
        <v>0.87832405149659898</v>
      </c>
      <c r="J15286" s="28">
        <v>0.37976788710071602</v>
      </c>
      <c r="K15286" s="29">
        <v>0.98289565623980701</v>
      </c>
    </row>
    <row r="15287" spans="1:11" x14ac:dyDescent="0.35">
      <c r="A15287" s="9" t="str">
        <f>HYPERLINK("http://www.ensembl.org/id/WBGene00005813", "WBGene00005813")</f>
        <v>WBGene00005813</v>
      </c>
      <c r="B15287" s="9" t="str">
        <f>HYPERLINK("http://www.ncbi.nlm.nih.gov/gene/190359", "190359")</f>
        <v>190359</v>
      </c>
      <c r="C15287" s="9"/>
      <c r="D15287" t="str">
        <f>"srw-66"</f>
        <v>srw-66</v>
      </c>
      <c r="E15287" t="s">
        <v>1014</v>
      </c>
      <c r="F15287" t="s">
        <v>11</v>
      </c>
      <c r="G15287" t="s">
        <v>1015</v>
      </c>
      <c r="H15287" s="12">
        <v>2.06521255213059</v>
      </c>
      <c r="I15287" s="20">
        <v>0.30872355668081503</v>
      </c>
      <c r="J15287" s="28">
        <v>0.757531822944987</v>
      </c>
      <c r="K15287" s="29">
        <v>0.98289565623980701</v>
      </c>
    </row>
    <row r="15288" spans="1:11" x14ac:dyDescent="0.35">
      <c r="A15288" s="9" t="str">
        <f>HYPERLINK("http://www.ensembl.org/id/WBGene00005814", "WBGene00005814")</f>
        <v>WBGene00005814</v>
      </c>
      <c r="B15288" s="9" t="str">
        <f>HYPERLINK("http://www.ncbi.nlm.nih.gov/gene/184639", "184639")</f>
        <v>184639</v>
      </c>
      <c r="C15288" s="9"/>
      <c r="D15288" t="str">
        <f>"srw-67"</f>
        <v>srw-67</v>
      </c>
      <c r="E15288" t="s">
        <v>1014</v>
      </c>
      <c r="F15288" t="s">
        <v>11</v>
      </c>
      <c r="G15288" t="s">
        <v>1015</v>
      </c>
      <c r="H15288" s="12">
        <v>3.5227018545059199</v>
      </c>
      <c r="I15288" s="20">
        <v>0.36849691206929103</v>
      </c>
      <c r="J15288" s="28">
        <v>0.71250274722433404</v>
      </c>
      <c r="K15288" s="29">
        <v>0.98289565623980701</v>
      </c>
    </row>
    <row r="15289" spans="1:11" x14ac:dyDescent="0.35">
      <c r="A15289" s="9" t="str">
        <f>HYPERLINK("http://www.ensembl.org/id/WBGene00005815", "WBGene00005815")</f>
        <v>WBGene00005815</v>
      </c>
      <c r="B15289" s="9" t="str">
        <f>HYPERLINK("http://www.ncbi.nlm.nih.gov/gene/184640", "184640")</f>
        <v>184640</v>
      </c>
      <c r="C15289" s="9"/>
      <c r="D15289" t="str">
        <f>"srw-68"</f>
        <v>srw-68</v>
      </c>
      <c r="E15289" t="s">
        <v>1014</v>
      </c>
      <c r="F15289" t="s">
        <v>11</v>
      </c>
      <c r="G15289" t="s">
        <v>1015</v>
      </c>
      <c r="H15289" s="12">
        <v>2.9212128820927101</v>
      </c>
      <c r="I15289" s="20">
        <v>1.15580458784419</v>
      </c>
      <c r="J15289" s="28">
        <v>0.24776109604208699</v>
      </c>
      <c r="K15289" s="29">
        <v>0.98289565623980701</v>
      </c>
    </row>
    <row r="15290" spans="1:11" x14ac:dyDescent="0.35">
      <c r="A15290" s="9" t="str">
        <f>HYPERLINK("http://www.ensembl.org/id/WBGene00005754", "WBGene00005754")</f>
        <v>WBGene00005754</v>
      </c>
      <c r="B15290" s="9" t="str">
        <f>HYPERLINK("http://www.ncbi.nlm.nih.gov/gene/187706", "187706")</f>
        <v>187706</v>
      </c>
      <c r="C15290" s="9"/>
      <c r="D15290" t="str">
        <f>"srw-7"</f>
        <v>srw-7</v>
      </c>
      <c r="E15290" t="s">
        <v>1014</v>
      </c>
      <c r="F15290" t="s">
        <v>11</v>
      </c>
      <c r="G15290" t="s">
        <v>1015</v>
      </c>
      <c r="H15290" s="12">
        <v>-5.0249136465305</v>
      </c>
      <c r="I15290" s="20">
        <v>-1.0541746635335101</v>
      </c>
      <c r="J15290" s="28">
        <v>0.29180295765006797</v>
      </c>
      <c r="K15290" s="29">
        <v>0.98289565623980701</v>
      </c>
    </row>
    <row r="15291" spans="1:11" x14ac:dyDescent="0.35">
      <c r="A15291" s="9" t="str">
        <f>HYPERLINK("http://www.ensembl.org/id/WBGene00005817", "WBGene00005817")</f>
        <v>WBGene00005817</v>
      </c>
      <c r="B15291" s="9"/>
      <c r="C15291" s="9"/>
      <c r="D15291" t="str">
        <f>"srw-70"</f>
        <v>srw-70</v>
      </c>
      <c r="F15291" t="s">
        <v>80</v>
      </c>
      <c r="H15291" s="12">
        <v>-2.3480827600531602</v>
      </c>
      <c r="I15291" s="20">
        <v>-0.978031570299704</v>
      </c>
      <c r="J15291" s="28">
        <v>0.328058710083237</v>
      </c>
      <c r="K15291" s="29">
        <v>0.98289565623980701</v>
      </c>
    </row>
    <row r="15292" spans="1:11" x14ac:dyDescent="0.35">
      <c r="A15292" s="9" t="str">
        <f>HYPERLINK("http://www.ensembl.org/id/WBGene00005825", "WBGene00005825")</f>
        <v>WBGene00005825</v>
      </c>
      <c r="B15292" s="9"/>
      <c r="C15292" s="9"/>
      <c r="D15292" t="str">
        <f>"srw-78"</f>
        <v>srw-78</v>
      </c>
      <c r="F15292" t="s">
        <v>80</v>
      </c>
      <c r="H15292" s="12">
        <v>-2.1572339084592298</v>
      </c>
      <c r="I15292" s="20">
        <v>-0.36322353423111903</v>
      </c>
      <c r="J15292" s="28">
        <v>0.71643790865586399</v>
      </c>
      <c r="K15292" s="29">
        <v>0.98289565623980701</v>
      </c>
    </row>
    <row r="15293" spans="1:11" x14ac:dyDescent="0.35">
      <c r="A15293" s="9" t="str">
        <f>HYPERLINK("http://www.ensembl.org/id/WBGene00005755", "WBGene00005755")</f>
        <v>WBGene00005755</v>
      </c>
      <c r="B15293" s="9" t="str">
        <f>HYPERLINK("http://www.ncbi.nlm.nih.gov/gene/186615", "186615")</f>
        <v>186615</v>
      </c>
      <c r="C15293" s="9"/>
      <c r="D15293" t="str">
        <f>"srw-8"</f>
        <v>srw-8</v>
      </c>
      <c r="E15293" t="s">
        <v>1014</v>
      </c>
      <c r="F15293" t="s">
        <v>11</v>
      </c>
      <c r="G15293" t="s">
        <v>1015</v>
      </c>
      <c r="H15293" s="12">
        <v>1.6572368838998399</v>
      </c>
      <c r="I15293" s="20">
        <v>0.28683657632922599</v>
      </c>
      <c r="J15293" s="28">
        <v>0.77423745529349197</v>
      </c>
      <c r="K15293" s="29">
        <v>0.98289565623980701</v>
      </c>
    </row>
    <row r="15294" spans="1:11" x14ac:dyDescent="0.35">
      <c r="A15294" s="9" t="str">
        <f>HYPERLINK("http://www.ensembl.org/id/WBGene00005829", "WBGene00005829")</f>
        <v>WBGene00005829</v>
      </c>
      <c r="B15294" s="9" t="str">
        <f>HYPERLINK("http://www.ncbi.nlm.nih.gov/gene/191269", "191269")</f>
        <v>191269</v>
      </c>
      <c r="C15294" s="9"/>
      <c r="D15294" t="str">
        <f>"srw-82"</f>
        <v>srw-82</v>
      </c>
      <c r="E15294" t="s">
        <v>1014</v>
      </c>
      <c r="F15294" t="s">
        <v>11</v>
      </c>
      <c r="G15294" t="s">
        <v>1015</v>
      </c>
      <c r="H15294" s="12">
        <v>-2.69725541337879</v>
      </c>
      <c r="I15294" s="20">
        <v>-0.82133846396806998</v>
      </c>
      <c r="J15294" s="28">
        <v>0.41145350417890197</v>
      </c>
      <c r="K15294" s="29">
        <v>0.98289565623980701</v>
      </c>
    </row>
    <row r="15295" spans="1:11" x14ac:dyDescent="0.35">
      <c r="A15295" s="9" t="str">
        <f>HYPERLINK("http://www.ensembl.org/id/WBGene00005830", "WBGene00005830")</f>
        <v>WBGene00005830</v>
      </c>
      <c r="B15295" s="9" t="str">
        <f>HYPERLINK("http://www.ncbi.nlm.nih.gov/gene/266935", "266935")</f>
        <v>266935</v>
      </c>
      <c r="C15295" s="9"/>
      <c r="D15295" t="str">
        <f>"srw-83"</f>
        <v>srw-83</v>
      </c>
      <c r="E15295" t="s">
        <v>1014</v>
      </c>
      <c r="F15295" t="s">
        <v>11</v>
      </c>
      <c r="G15295" t="s">
        <v>1015</v>
      </c>
      <c r="H15295" s="12">
        <v>-2.4991590031922399</v>
      </c>
      <c r="I15295" s="20">
        <v>-0.26577412737581302</v>
      </c>
      <c r="J15295" s="28">
        <v>0.79041317015736101</v>
      </c>
      <c r="K15295" s="29">
        <v>0.98289565623980701</v>
      </c>
    </row>
    <row r="15296" spans="1:11" x14ac:dyDescent="0.35">
      <c r="A15296" s="9" t="str">
        <f>HYPERLINK("http://www.ensembl.org/id/WBGene00005832", "WBGene00005832")</f>
        <v>WBGene00005832</v>
      </c>
      <c r="B15296" s="9" t="str">
        <f>HYPERLINK("http://www.ncbi.nlm.nih.gov/gene/182903", "182903")</f>
        <v>182903</v>
      </c>
      <c r="C15296" s="9"/>
      <c r="D15296" t="str">
        <f>"srw-85"</f>
        <v>srw-85</v>
      </c>
      <c r="E15296" t="s">
        <v>1014</v>
      </c>
      <c r="F15296" t="s">
        <v>11</v>
      </c>
      <c r="G15296" t="s">
        <v>4516</v>
      </c>
      <c r="H15296" s="12">
        <v>1.78556374243607</v>
      </c>
      <c r="I15296" s="20">
        <v>0.55669820170144202</v>
      </c>
      <c r="J15296" s="28">
        <v>0.57773364579445896</v>
      </c>
      <c r="K15296" s="29">
        <v>0.98289565623980701</v>
      </c>
    </row>
    <row r="15297" spans="1:11" x14ac:dyDescent="0.35">
      <c r="A15297" s="9" t="str">
        <f>HYPERLINK("http://www.ensembl.org/id/WBGene00005833", "WBGene00005833")</f>
        <v>WBGene00005833</v>
      </c>
      <c r="B15297" s="9" t="str">
        <f>HYPERLINK("http://www.ncbi.nlm.nih.gov/gene/180271", "180271")</f>
        <v>180271</v>
      </c>
      <c r="C15297" s="9"/>
      <c r="D15297" t="str">
        <f>"srw-86"</f>
        <v>srw-86</v>
      </c>
      <c r="E15297" t="s">
        <v>1014</v>
      </c>
      <c r="F15297" t="s">
        <v>11</v>
      </c>
      <c r="H15297" s="12">
        <v>-1.0811306860921199</v>
      </c>
      <c r="I15297" s="20">
        <v>-0.25961066087163298</v>
      </c>
      <c r="J15297" s="28">
        <v>0.79516411204356396</v>
      </c>
      <c r="K15297" s="29">
        <v>0.98289565623980701</v>
      </c>
    </row>
    <row r="15298" spans="1:11" x14ac:dyDescent="0.35">
      <c r="A15298" s="9" t="str">
        <f>HYPERLINK("http://www.ensembl.org/id/WBGene00005835", "WBGene00005835")</f>
        <v>WBGene00005835</v>
      </c>
      <c r="B15298" s="9" t="str">
        <f>HYPERLINK("http://www.ncbi.nlm.nih.gov/gene/188199", "188199")</f>
        <v>188199</v>
      </c>
      <c r="C15298" s="9"/>
      <c r="D15298" t="str">
        <f>"srw-88"</f>
        <v>srw-88</v>
      </c>
      <c r="E15298" t="s">
        <v>1014</v>
      </c>
      <c r="F15298" t="s">
        <v>11</v>
      </c>
      <c r="G15298" t="s">
        <v>1015</v>
      </c>
      <c r="H15298" s="12">
        <v>5.6177655330460103</v>
      </c>
      <c r="I15298" s="20">
        <v>0.68615581608274001</v>
      </c>
      <c r="J15298" s="28">
        <v>0.49261485660610599</v>
      </c>
      <c r="K15298" s="29">
        <v>0.98289565623980701</v>
      </c>
    </row>
    <row r="15299" spans="1:11" x14ac:dyDescent="0.35">
      <c r="A15299" s="9" t="str">
        <f>HYPERLINK("http://www.ensembl.org/id/WBGene00005836", "WBGene00005836")</f>
        <v>WBGene00005836</v>
      </c>
      <c r="B15299" s="9" t="str">
        <f>HYPERLINK("http://www.ncbi.nlm.nih.gov/gene/3564804", "3564804")</f>
        <v>3564804</v>
      </c>
      <c r="C15299" s="9"/>
      <c r="D15299" t="str">
        <f>"srw-89"</f>
        <v>srw-89</v>
      </c>
      <c r="E15299" t="s">
        <v>1014</v>
      </c>
      <c r="F15299" t="s">
        <v>11</v>
      </c>
      <c r="G15299" t="s">
        <v>1015</v>
      </c>
      <c r="H15299" s="12">
        <v>1.5647466231681999</v>
      </c>
      <c r="I15299" s="20">
        <v>1.10800928168191</v>
      </c>
      <c r="J15299" s="28">
        <v>0.267857807410951</v>
      </c>
      <c r="K15299" s="29">
        <v>0.98289565623980701</v>
      </c>
    </row>
    <row r="15300" spans="1:11" x14ac:dyDescent="0.35">
      <c r="A15300" s="9" t="str">
        <f>HYPERLINK("http://www.ensembl.org/id/WBGene00005837", "WBGene00005837")</f>
        <v>WBGene00005837</v>
      </c>
      <c r="B15300" s="9" t="str">
        <f>HYPERLINK("http://www.ncbi.nlm.nih.gov/gene/189966", "189966")</f>
        <v>189966</v>
      </c>
      <c r="C15300" s="9"/>
      <c r="D15300" t="str">
        <f>"srw-90"</f>
        <v>srw-90</v>
      </c>
      <c r="E15300" t="s">
        <v>1014</v>
      </c>
      <c r="F15300" t="s">
        <v>11</v>
      </c>
      <c r="G15300" t="s">
        <v>1015</v>
      </c>
      <c r="H15300" s="12">
        <v>2.3893468495514898</v>
      </c>
      <c r="I15300" s="20">
        <v>0.25323547253672701</v>
      </c>
      <c r="J15300" s="28">
        <v>0.80008625651646104</v>
      </c>
      <c r="K15300" s="29">
        <v>0.98289565623980701</v>
      </c>
    </row>
    <row r="15301" spans="1:11" x14ac:dyDescent="0.35">
      <c r="A15301" s="9" t="str">
        <f>HYPERLINK("http://www.ensembl.org/id/WBGene00005839", "WBGene00005839")</f>
        <v>WBGene00005839</v>
      </c>
      <c r="B15301" s="9"/>
      <c r="C15301" s="9"/>
      <c r="D15301" t="str">
        <f>"srw-92"</f>
        <v>srw-92</v>
      </c>
      <c r="F15301" t="s">
        <v>80</v>
      </c>
      <c r="H15301" s="12">
        <v>1.6066906642944501</v>
      </c>
      <c r="I15301" s="20">
        <v>0.27190225075545998</v>
      </c>
      <c r="J15301" s="28">
        <v>0.78569718056525195</v>
      </c>
      <c r="K15301" s="29">
        <v>0.98289565623980701</v>
      </c>
    </row>
    <row r="15302" spans="1:11" x14ac:dyDescent="0.35">
      <c r="A15302" s="9" t="str">
        <f>HYPERLINK("http://www.ensembl.org/id/WBGene00005841", "WBGene00005841")</f>
        <v>WBGene00005841</v>
      </c>
      <c r="B15302" s="9" t="str">
        <f>HYPERLINK("http://www.ncbi.nlm.nih.gov/gene/186698", "186698")</f>
        <v>186698</v>
      </c>
      <c r="C15302" s="9"/>
      <c r="D15302" t="str">
        <f>"srw-94"</f>
        <v>srw-94</v>
      </c>
      <c r="E15302" t="s">
        <v>1014</v>
      </c>
      <c r="F15302" t="s">
        <v>11</v>
      </c>
      <c r="G15302" t="s">
        <v>1015</v>
      </c>
      <c r="H15302" s="12">
        <v>3.5227018545059199</v>
      </c>
      <c r="I15302" s="20">
        <v>0.36849691206929103</v>
      </c>
      <c r="J15302" s="28">
        <v>0.71250274722433404</v>
      </c>
      <c r="K15302" s="29">
        <v>0.98289565623980701</v>
      </c>
    </row>
    <row r="15303" spans="1:11" x14ac:dyDescent="0.35">
      <c r="A15303" s="9" t="str">
        <f>HYPERLINK("http://www.ensembl.org/id/WBGene00005843", "WBGene00005843")</f>
        <v>WBGene00005843</v>
      </c>
      <c r="B15303" s="9"/>
      <c r="C15303" s="9"/>
      <c r="D15303" t="str">
        <f>"srw-96"</f>
        <v>srw-96</v>
      </c>
      <c r="F15303" t="s">
        <v>80</v>
      </c>
      <c r="H15303" s="12">
        <v>3.3559305697444999</v>
      </c>
      <c r="I15303" s="20">
        <v>0.73988947841365904</v>
      </c>
      <c r="J15303" s="28">
        <v>0.45936705920172899</v>
      </c>
      <c r="K15303" s="29">
        <v>0.98289565623980701</v>
      </c>
    </row>
    <row r="15304" spans="1:11" x14ac:dyDescent="0.35">
      <c r="A15304" s="9" t="str">
        <f>HYPERLINK("http://www.ensembl.org/id/WBGene00005844", "WBGene00005844")</f>
        <v>WBGene00005844</v>
      </c>
      <c r="B15304" s="9" t="str">
        <f>HYPERLINK("http://www.ncbi.nlm.nih.gov/gene/191118", "191118")</f>
        <v>191118</v>
      </c>
      <c r="C15304" s="9"/>
      <c r="D15304" t="str">
        <f>"srw-97"</f>
        <v>srw-97</v>
      </c>
      <c r="E15304" t="s">
        <v>1014</v>
      </c>
      <c r="F15304" t="s">
        <v>11</v>
      </c>
      <c r="G15304" t="s">
        <v>1015</v>
      </c>
      <c r="H15304" s="12">
        <v>8.38675423776297</v>
      </c>
      <c r="I15304" s="20">
        <v>0.88182376132569296</v>
      </c>
      <c r="J15304" s="28">
        <v>0.37787212001537401</v>
      </c>
      <c r="K15304" s="29">
        <v>0.98289565623980701</v>
      </c>
    </row>
    <row r="15305" spans="1:11" x14ac:dyDescent="0.35">
      <c r="A15305" s="9" t="str">
        <f>HYPERLINK("http://www.ensembl.org/id/WBGene00005845", "WBGene00005845")</f>
        <v>WBGene00005845</v>
      </c>
      <c r="B15305" s="9" t="str">
        <f>HYPERLINK("http://www.ncbi.nlm.nih.gov/gene/186990", "186990")</f>
        <v>186990</v>
      </c>
      <c r="C15305" s="9"/>
      <c r="D15305" t="str">
        <f>"srw-98"</f>
        <v>srw-98</v>
      </c>
      <c r="E15305" t="s">
        <v>1014</v>
      </c>
      <c r="F15305" t="s">
        <v>11</v>
      </c>
      <c r="G15305" t="s">
        <v>1015</v>
      </c>
      <c r="H15305" s="12">
        <v>3.2607884036226999</v>
      </c>
      <c r="I15305" s="20">
        <v>0.96432136857658102</v>
      </c>
      <c r="J15305" s="28">
        <v>0.33488483084645598</v>
      </c>
      <c r="K15305" s="29">
        <v>0.98289565623980701</v>
      </c>
    </row>
    <row r="15306" spans="1:11" x14ac:dyDescent="0.35">
      <c r="A15306" s="9" t="str">
        <f>HYPERLINK("http://www.ensembl.org/id/WBGene00005892", "WBGene00005892")</f>
        <v>WBGene00005892</v>
      </c>
      <c r="B15306" s="9" t="str">
        <f>HYPERLINK("http://www.ncbi.nlm.nih.gov/gene/24104676", "24104676")</f>
        <v>24104676</v>
      </c>
      <c r="C15306" s="9"/>
      <c r="D15306" t="str">
        <f>"srx-1"</f>
        <v>srx-1</v>
      </c>
      <c r="E15306" t="s">
        <v>1477</v>
      </c>
      <c r="F15306" t="s">
        <v>11</v>
      </c>
      <c r="G15306" t="s">
        <v>1089</v>
      </c>
      <c r="H15306" s="12">
        <v>3.86620046266991</v>
      </c>
      <c r="I15306" s="20">
        <v>0.59159458753784999</v>
      </c>
      <c r="J15306" s="28">
        <v>0.55412209910749699</v>
      </c>
      <c r="K15306" s="29">
        <v>0.98289565623980701</v>
      </c>
    </row>
    <row r="15307" spans="1:11" x14ac:dyDescent="0.35">
      <c r="A15307" s="9" t="str">
        <f>HYPERLINK("http://www.ensembl.org/id/WBGene00005997", "WBGene00005997")</f>
        <v>WBGene00005997</v>
      </c>
      <c r="B15307" s="9"/>
      <c r="C15307" s="9"/>
      <c r="D15307" t="str">
        <f>"srx-106"</f>
        <v>srx-106</v>
      </c>
      <c r="F15307" t="s">
        <v>80</v>
      </c>
      <c r="H15307" s="12">
        <v>5.4058944669092801</v>
      </c>
      <c r="I15307" s="20">
        <v>0.49762513753689303</v>
      </c>
      <c r="J15307" s="28">
        <v>0.61874828254921799</v>
      </c>
      <c r="K15307" s="29">
        <v>0.98289565623980701</v>
      </c>
    </row>
    <row r="15308" spans="1:11" x14ac:dyDescent="0.35">
      <c r="A15308" s="9" t="str">
        <f>HYPERLINK("http://www.ensembl.org/id/WBGene00005999", "WBGene00005999")</f>
        <v>WBGene00005999</v>
      </c>
      <c r="B15308" s="9" t="str">
        <f>HYPERLINK("http://www.ncbi.nlm.nih.gov/gene/185579", "185579")</f>
        <v>185579</v>
      </c>
      <c r="C15308" s="9"/>
      <c r="D15308" t="str">
        <f>"srx-108"</f>
        <v>srx-108</v>
      </c>
      <c r="E15308" t="s">
        <v>1477</v>
      </c>
      <c r="F15308" t="s">
        <v>11</v>
      </c>
      <c r="G15308" t="s">
        <v>25</v>
      </c>
      <c r="H15308" s="12">
        <v>2.78439855825608</v>
      </c>
      <c r="I15308" s="20">
        <v>0.36883734123397499</v>
      </c>
      <c r="J15308" s="28">
        <v>0.71224896970152196</v>
      </c>
      <c r="K15308" s="29">
        <v>0.98289565623980701</v>
      </c>
    </row>
    <row r="15309" spans="1:11" x14ac:dyDescent="0.35">
      <c r="A15309" s="9" t="str">
        <f>HYPERLINK("http://www.ensembl.org/id/WBGene00005902", "WBGene00005902")</f>
        <v>WBGene00005902</v>
      </c>
      <c r="B15309" s="9"/>
      <c r="C15309" s="9"/>
      <c r="D15309" t="str">
        <f>"srx-11"</f>
        <v>srx-11</v>
      </c>
      <c r="F15309" t="s">
        <v>80</v>
      </c>
      <c r="H15309" s="12">
        <v>-3.7261494131482999</v>
      </c>
      <c r="I15309" s="20">
        <v>-0.38454673129429601</v>
      </c>
      <c r="J15309" s="28">
        <v>0.70057326682554</v>
      </c>
      <c r="K15309" s="29">
        <v>0.98289565623980701</v>
      </c>
    </row>
    <row r="15310" spans="1:11" x14ac:dyDescent="0.35">
      <c r="A15310" s="9" t="str">
        <f>HYPERLINK("http://www.ensembl.org/id/WBGene00006001", "WBGene00006001")</f>
        <v>WBGene00006001</v>
      </c>
      <c r="B15310" s="9" t="str">
        <f>HYPERLINK("http://www.ncbi.nlm.nih.gov/gene/183508", "183508")</f>
        <v>183508</v>
      </c>
      <c r="C15310" s="9"/>
      <c r="D15310" t="str">
        <f>"srx-110"</f>
        <v>srx-110</v>
      </c>
      <c r="E15310" t="s">
        <v>1477</v>
      </c>
      <c r="F15310" t="s">
        <v>11</v>
      </c>
      <c r="G15310" t="s">
        <v>25</v>
      </c>
      <c r="H15310" s="12">
        <v>-3.7261494131482999</v>
      </c>
      <c r="I15310" s="20">
        <v>-0.38454673129429601</v>
      </c>
      <c r="J15310" s="28">
        <v>0.70057326682554</v>
      </c>
      <c r="K15310" s="29">
        <v>0.98289565623980701</v>
      </c>
    </row>
    <row r="15311" spans="1:11" x14ac:dyDescent="0.35">
      <c r="A15311" s="9" t="str">
        <f>HYPERLINK("http://www.ensembl.org/id/WBGene00006002", "WBGene00006002")</f>
        <v>WBGene00006002</v>
      </c>
      <c r="B15311" s="9" t="str">
        <f>HYPERLINK("http://www.ncbi.nlm.nih.gov/gene/188863", "188863")</f>
        <v>188863</v>
      </c>
      <c r="C15311" s="9"/>
      <c r="D15311" t="str">
        <f>"srx-111"</f>
        <v>srx-111</v>
      </c>
      <c r="E15311" t="s">
        <v>1477</v>
      </c>
      <c r="F15311" t="s">
        <v>11</v>
      </c>
      <c r="G15311" t="s">
        <v>25</v>
      </c>
      <c r="H15311" s="12">
        <v>-1.3788362840648101</v>
      </c>
      <c r="I15311" s="20">
        <v>-0.27498987248205298</v>
      </c>
      <c r="J15311" s="28">
        <v>0.78332401906556304</v>
      </c>
      <c r="K15311" s="29">
        <v>0.98289565623980701</v>
      </c>
    </row>
    <row r="15312" spans="1:11" x14ac:dyDescent="0.35">
      <c r="A15312" s="9" t="str">
        <f>HYPERLINK("http://www.ensembl.org/id/WBGene00006003", "WBGene00006003")</f>
        <v>WBGene00006003</v>
      </c>
      <c r="B15312" s="9" t="str">
        <f>HYPERLINK("http://www.ncbi.nlm.nih.gov/gene/188865", "188865")</f>
        <v>188865</v>
      </c>
      <c r="C15312" s="9"/>
      <c r="D15312" t="str">
        <f>"srx-112"</f>
        <v>srx-112</v>
      </c>
      <c r="E15312" t="s">
        <v>1477</v>
      </c>
      <c r="F15312" t="s">
        <v>11</v>
      </c>
      <c r="G15312" t="s">
        <v>25</v>
      </c>
      <c r="H15312" s="12">
        <v>2.4578120077400301</v>
      </c>
      <c r="I15312" s="20">
        <v>0.26093350314551</v>
      </c>
      <c r="J15312" s="28">
        <v>0.79414378780213601</v>
      </c>
      <c r="K15312" s="29">
        <v>0.98289565623980701</v>
      </c>
    </row>
    <row r="15313" spans="1:11" x14ac:dyDescent="0.35">
      <c r="A15313" s="9" t="str">
        <f>HYPERLINK("http://www.ensembl.org/id/WBGene00006004", "WBGene00006004")</f>
        <v>WBGene00006004</v>
      </c>
      <c r="B15313" s="9" t="str">
        <f>HYPERLINK("http://www.ncbi.nlm.nih.gov/gene/186424", "186424")</f>
        <v>186424</v>
      </c>
      <c r="C15313" s="9"/>
      <c r="D15313" t="str">
        <f>"srx-113"</f>
        <v>srx-113</v>
      </c>
      <c r="E15313" t="s">
        <v>1477</v>
      </c>
      <c r="F15313" t="s">
        <v>11</v>
      </c>
      <c r="G15313" t="s">
        <v>25</v>
      </c>
      <c r="H15313" s="12">
        <v>2.4578120077400301</v>
      </c>
      <c r="I15313" s="20">
        <v>0.26093350314551</v>
      </c>
      <c r="J15313" s="28">
        <v>0.79414378780213601</v>
      </c>
      <c r="K15313" s="29">
        <v>0.98289565623980701</v>
      </c>
    </row>
    <row r="15314" spans="1:11" x14ac:dyDescent="0.35">
      <c r="A15314" s="9" t="str">
        <f>HYPERLINK("http://www.ensembl.org/id/WBGene00006005", "WBGene00006005")</f>
        <v>WBGene00006005</v>
      </c>
      <c r="B15314" s="9" t="str">
        <f>HYPERLINK("http://www.ncbi.nlm.nih.gov/gene/259893", "259893")</f>
        <v>259893</v>
      </c>
      <c r="C15314" s="9"/>
      <c r="D15314" t="str">
        <f>"srx-114"</f>
        <v>srx-114</v>
      </c>
      <c r="E15314" t="s">
        <v>1477</v>
      </c>
      <c r="F15314" t="s">
        <v>11</v>
      </c>
      <c r="G15314" t="s">
        <v>25</v>
      </c>
      <c r="H15314" s="12">
        <v>1.43233304395267</v>
      </c>
      <c r="I15314" s="20">
        <v>0.34938126058258401</v>
      </c>
      <c r="J15314" s="28">
        <v>0.72680309988979597</v>
      </c>
      <c r="K15314" s="29">
        <v>0.98289565623980701</v>
      </c>
    </row>
    <row r="15315" spans="1:11" x14ac:dyDescent="0.35">
      <c r="A15315" s="9" t="str">
        <f>HYPERLINK("http://www.ensembl.org/id/WBGene00006006", "WBGene00006006")</f>
        <v>WBGene00006006</v>
      </c>
      <c r="B15315" s="9" t="str">
        <f>HYPERLINK("http://www.ncbi.nlm.nih.gov/gene/3565596", "3565596")</f>
        <v>3565596</v>
      </c>
      <c r="C15315" s="9"/>
      <c r="D15315" t="str">
        <f>"srx-115"</f>
        <v>srx-115</v>
      </c>
      <c r="E15315" t="s">
        <v>1477</v>
      </c>
      <c r="F15315" t="s">
        <v>11</v>
      </c>
      <c r="G15315" t="s">
        <v>25</v>
      </c>
      <c r="H15315" s="12">
        <v>3.0862722120492001</v>
      </c>
      <c r="I15315" s="20">
        <v>0.72546735883313496</v>
      </c>
      <c r="J15315" s="28">
        <v>0.46816536262939701</v>
      </c>
      <c r="K15315" s="29">
        <v>0.98289565623980701</v>
      </c>
    </row>
    <row r="15316" spans="1:11" x14ac:dyDescent="0.35">
      <c r="A15316" s="9" t="str">
        <f>HYPERLINK("http://www.ensembl.org/id/WBGene00005903", "WBGene00005903")</f>
        <v>WBGene00005903</v>
      </c>
      <c r="B15316" s="9" t="str">
        <f>HYPERLINK("http://www.ncbi.nlm.nih.gov/gene/190306", "190306")</f>
        <v>190306</v>
      </c>
      <c r="C15316" s="9"/>
      <c r="D15316" t="str">
        <f>"srx-12"</f>
        <v>srx-12</v>
      </c>
      <c r="E15316" t="s">
        <v>1477</v>
      </c>
      <c r="F15316" t="s">
        <v>11</v>
      </c>
      <c r="G15316" t="s">
        <v>25</v>
      </c>
      <c r="H15316" s="12">
        <v>4.9607412157271398</v>
      </c>
      <c r="I15316" s="20">
        <v>0.92328667935807696</v>
      </c>
      <c r="J15316" s="28">
        <v>0.355857827797188</v>
      </c>
      <c r="K15316" s="29">
        <v>0.98289565623980701</v>
      </c>
    </row>
    <row r="15317" spans="1:11" x14ac:dyDescent="0.35">
      <c r="A15317" s="9" t="str">
        <f>HYPERLINK("http://www.ensembl.org/id/WBGene00006012", "WBGene00006012")</f>
        <v>WBGene00006012</v>
      </c>
      <c r="B15317" s="9" t="str">
        <f>HYPERLINK("http://www.ncbi.nlm.nih.gov/gene/182213", "182213")</f>
        <v>182213</v>
      </c>
      <c r="C15317" s="9"/>
      <c r="D15317" t="str">
        <f>"srx-121"</f>
        <v>srx-121</v>
      </c>
      <c r="E15317" t="s">
        <v>1477</v>
      </c>
      <c r="F15317" t="s">
        <v>11</v>
      </c>
      <c r="G15317" t="s">
        <v>25</v>
      </c>
      <c r="H15317" s="12">
        <v>2.3893468495514898</v>
      </c>
      <c r="I15317" s="20">
        <v>0.25323547253672701</v>
      </c>
      <c r="J15317" s="28">
        <v>0.80008625651646104</v>
      </c>
      <c r="K15317" s="29">
        <v>0.98289565623980701</v>
      </c>
    </row>
    <row r="15318" spans="1:11" x14ac:dyDescent="0.35">
      <c r="A15318" s="9" t="str">
        <f>HYPERLINK("http://www.ensembl.org/id/WBGene00006015", "WBGene00006015")</f>
        <v>WBGene00006015</v>
      </c>
      <c r="B15318" s="9"/>
      <c r="C15318" s="9"/>
      <c r="D15318" t="str">
        <f>"srx-124"</f>
        <v>srx-124</v>
      </c>
      <c r="F15318" t="s">
        <v>80</v>
      </c>
      <c r="H15318" s="12">
        <v>3.7495657430089002</v>
      </c>
      <c r="I15318" s="20">
        <v>0.41509078773660102</v>
      </c>
      <c r="J15318" s="28">
        <v>0.67807544303981004</v>
      </c>
      <c r="K15318" s="29">
        <v>0.98289565623980701</v>
      </c>
    </row>
    <row r="15319" spans="1:11" x14ac:dyDescent="0.35">
      <c r="A15319" s="9" t="str">
        <f>HYPERLINK("http://www.ensembl.org/id/WBGene00006016", "WBGene00006016")</f>
        <v>WBGene00006016</v>
      </c>
      <c r="B15319" s="9" t="str">
        <f>HYPERLINK("http://www.ncbi.nlm.nih.gov/gene/185218", "185218")</f>
        <v>185218</v>
      </c>
      <c r="C15319" s="9"/>
      <c r="D15319" t="str">
        <f>"srx-125"</f>
        <v>srx-125</v>
      </c>
      <c r="E15319" t="s">
        <v>1477</v>
      </c>
      <c r="F15319" t="s">
        <v>11</v>
      </c>
      <c r="G15319" t="s">
        <v>25</v>
      </c>
      <c r="H15319" s="12">
        <v>-1.46070802393763</v>
      </c>
      <c r="I15319" s="20">
        <v>-0.58948881974286105</v>
      </c>
      <c r="J15319" s="28">
        <v>0.55553340991607003</v>
      </c>
      <c r="K15319" s="29">
        <v>0.98289565623980701</v>
      </c>
    </row>
    <row r="15320" spans="1:11" x14ac:dyDescent="0.35">
      <c r="A15320" s="9" t="str">
        <f>HYPERLINK("http://www.ensembl.org/id/WBGene00006017", "WBGene00006017")</f>
        <v>WBGene00006017</v>
      </c>
      <c r="B15320" s="9"/>
      <c r="C15320" s="9"/>
      <c r="D15320" t="str">
        <f>"srx-126"</f>
        <v>srx-126</v>
      </c>
      <c r="F15320" t="s">
        <v>80</v>
      </c>
      <c r="H15320" s="12">
        <v>-6.0808845114530197</v>
      </c>
      <c r="I15320" s="20">
        <v>-0.87191720935452199</v>
      </c>
      <c r="J15320" s="28">
        <v>0.38325354460014099</v>
      </c>
      <c r="K15320" s="29">
        <v>0.98289565623980701</v>
      </c>
    </row>
    <row r="15321" spans="1:11" x14ac:dyDescent="0.35">
      <c r="A15321" s="9" t="str">
        <f>HYPERLINK("http://www.ensembl.org/id/WBGene00006019", "WBGene00006019")</f>
        <v>WBGene00006019</v>
      </c>
      <c r="B15321" s="9" t="str">
        <f>HYPERLINK("http://www.ncbi.nlm.nih.gov/gene/186283", "186283")</f>
        <v>186283</v>
      </c>
      <c r="C15321" s="9"/>
      <c r="D15321" t="str">
        <f>"srx-128"</f>
        <v>srx-128</v>
      </c>
      <c r="E15321" t="s">
        <v>1477</v>
      </c>
      <c r="F15321" t="s">
        <v>11</v>
      </c>
      <c r="G15321" t="s">
        <v>25</v>
      </c>
      <c r="H15321" s="12">
        <v>4.9909714503807496</v>
      </c>
      <c r="I15321" s="20">
        <v>0.821287999421357</v>
      </c>
      <c r="J15321" s="28">
        <v>0.411482241652734</v>
      </c>
      <c r="K15321" s="29">
        <v>0.98289565623980701</v>
      </c>
    </row>
    <row r="15322" spans="1:11" x14ac:dyDescent="0.35">
      <c r="A15322" s="9" t="str">
        <f>HYPERLINK("http://www.ensembl.org/id/WBGene00005904", "WBGene00005904")</f>
        <v>WBGene00005904</v>
      </c>
      <c r="B15322" s="9" t="str">
        <f>HYPERLINK("http://www.ncbi.nlm.nih.gov/gene/183437", "183437")</f>
        <v>183437</v>
      </c>
      <c r="C15322" s="9"/>
      <c r="D15322" t="str">
        <f>"srx-13"</f>
        <v>srx-13</v>
      </c>
      <c r="E15322" t="s">
        <v>1477</v>
      </c>
      <c r="F15322" t="s">
        <v>11</v>
      </c>
      <c r="G15322" t="s">
        <v>25</v>
      </c>
      <c r="H15322" s="12">
        <v>5.9495765472548197</v>
      </c>
      <c r="I15322" s="20">
        <v>0.52429389276509997</v>
      </c>
      <c r="J15322" s="28">
        <v>0.60007414400596704</v>
      </c>
      <c r="K15322" s="29">
        <v>0.98289565623980701</v>
      </c>
    </row>
    <row r="15323" spans="1:11" x14ac:dyDescent="0.35">
      <c r="A15323" s="9" t="str">
        <f>HYPERLINK("http://www.ensembl.org/id/WBGene00006021", "WBGene00006021")</f>
        <v>WBGene00006021</v>
      </c>
      <c r="B15323" s="9" t="str">
        <f>HYPERLINK("http://www.ncbi.nlm.nih.gov/gene/184249", "184249")</f>
        <v>184249</v>
      </c>
      <c r="C15323" s="9"/>
      <c r="D15323" t="str">
        <f>"srx-130"</f>
        <v>srx-130</v>
      </c>
      <c r="E15323" t="s">
        <v>1477</v>
      </c>
      <c r="F15323" t="s">
        <v>11</v>
      </c>
      <c r="G15323" t="s">
        <v>25</v>
      </c>
      <c r="H15323" s="12">
        <v>4.4368407117627902</v>
      </c>
      <c r="I15323" s="20">
        <v>0.43709475933309699</v>
      </c>
      <c r="J15323" s="28">
        <v>0.66204262779770495</v>
      </c>
      <c r="K15323" s="29">
        <v>0.98289565623980701</v>
      </c>
    </row>
    <row r="15324" spans="1:11" x14ac:dyDescent="0.35">
      <c r="A15324" s="9" t="str">
        <f>HYPERLINK("http://www.ensembl.org/id/WBGene00006024", "WBGene00006024")</f>
        <v>WBGene00006024</v>
      </c>
      <c r="B15324" s="9" t="str">
        <f>HYPERLINK("http://www.ncbi.nlm.nih.gov/gene/184252", "184252")</f>
        <v>184252</v>
      </c>
      <c r="C15324" s="9"/>
      <c r="D15324" t="str">
        <f>"srx-133"</f>
        <v>srx-133</v>
      </c>
      <c r="E15324" t="s">
        <v>1477</v>
      </c>
      <c r="F15324" t="s">
        <v>11</v>
      </c>
      <c r="G15324" t="s">
        <v>25</v>
      </c>
      <c r="H15324" s="12">
        <v>2.5494470594118899</v>
      </c>
      <c r="I15324" s="20">
        <v>0.31908451726144499</v>
      </c>
      <c r="J15324" s="28">
        <v>0.74966242392848603</v>
      </c>
      <c r="K15324" s="29">
        <v>0.98289565623980701</v>
      </c>
    </row>
    <row r="15325" spans="1:11" x14ac:dyDescent="0.35">
      <c r="A15325" s="9" t="str">
        <f>HYPERLINK("http://www.ensembl.org/id/WBGene00006025", "WBGene00006025")</f>
        <v>WBGene00006025</v>
      </c>
      <c r="B15325" s="9" t="str">
        <f>HYPERLINK("http://www.ncbi.nlm.nih.gov/gene/184254", "184254")</f>
        <v>184254</v>
      </c>
      <c r="C15325" s="9"/>
      <c r="D15325" t="str">
        <f>"srx-134"</f>
        <v>srx-134</v>
      </c>
      <c r="E15325" t="s">
        <v>1477</v>
      </c>
      <c r="F15325" t="s">
        <v>11</v>
      </c>
      <c r="G15325" t="s">
        <v>25</v>
      </c>
      <c r="H15325" s="12">
        <v>3.28624938312884</v>
      </c>
      <c r="I15325" s="20">
        <v>0.36379512681977599</v>
      </c>
      <c r="J15325" s="28">
        <v>0.716011001908614</v>
      </c>
      <c r="K15325" s="29">
        <v>0.98289565623980701</v>
      </c>
    </row>
    <row r="15326" spans="1:11" x14ac:dyDescent="0.35">
      <c r="A15326" s="9" t="str">
        <f>HYPERLINK("http://www.ensembl.org/id/WBGene00006027", "WBGene00006027")</f>
        <v>WBGene00006027</v>
      </c>
      <c r="B15326" s="9" t="str">
        <f>HYPERLINK("http://www.ncbi.nlm.nih.gov/gene/184257", "184257")</f>
        <v>184257</v>
      </c>
      <c r="C15326" s="9"/>
      <c r="D15326" t="str">
        <f>"srx-136"</f>
        <v>srx-136</v>
      </c>
      <c r="E15326" t="s">
        <v>1477</v>
      </c>
      <c r="F15326" t="s">
        <v>11</v>
      </c>
      <c r="G15326" t="s">
        <v>25</v>
      </c>
      <c r="H15326" s="12">
        <v>3.46281582602988</v>
      </c>
      <c r="I15326" s="20">
        <v>0.64075587206993501</v>
      </c>
      <c r="J15326" s="28">
        <v>0.52168130730253903</v>
      </c>
      <c r="K15326" s="29">
        <v>0.98289565623980701</v>
      </c>
    </row>
    <row r="15327" spans="1:11" x14ac:dyDescent="0.35">
      <c r="A15327" s="9" t="str">
        <f>HYPERLINK("http://www.ensembl.org/id/WBGene00006028", "WBGene00006028")</f>
        <v>WBGene00006028</v>
      </c>
      <c r="B15327" s="9" t="str">
        <f>HYPERLINK("http://www.ncbi.nlm.nih.gov/gene/184258", "184258")</f>
        <v>184258</v>
      </c>
      <c r="C15327" s="9"/>
      <c r="D15327" t="str">
        <f>"srx-137"</f>
        <v>srx-137</v>
      </c>
      <c r="E15327" t="s">
        <v>1477</v>
      </c>
      <c r="F15327" t="s">
        <v>11</v>
      </c>
      <c r="G15327" t="s">
        <v>25</v>
      </c>
      <c r="H15327" s="12">
        <v>18.858991404291999</v>
      </c>
      <c r="I15327" s="20">
        <v>1.0704631741114501</v>
      </c>
      <c r="J15327" s="28">
        <v>0.284410876501618</v>
      </c>
      <c r="K15327" s="29">
        <v>0.98289565623980701</v>
      </c>
    </row>
    <row r="15328" spans="1:11" x14ac:dyDescent="0.35">
      <c r="A15328" s="9" t="str">
        <f>HYPERLINK("http://www.ensembl.org/id/WBGene00005905", "WBGene00005905")</f>
        <v>WBGene00005905</v>
      </c>
      <c r="B15328" s="9" t="str">
        <f>HYPERLINK("http://www.ncbi.nlm.nih.gov/gene/3564967", "3564967")</f>
        <v>3564967</v>
      </c>
      <c r="C15328" s="9"/>
      <c r="D15328" t="str">
        <f>"srx-14"</f>
        <v>srx-14</v>
      </c>
      <c r="E15328" t="s">
        <v>1477</v>
      </c>
      <c r="F15328" t="s">
        <v>11</v>
      </c>
      <c r="G15328" t="s">
        <v>25</v>
      </c>
      <c r="H15328" s="12">
        <v>-2.4991590031922399</v>
      </c>
      <c r="I15328" s="20">
        <v>-0.26577412737581302</v>
      </c>
      <c r="J15328" s="28">
        <v>0.79041317015736101</v>
      </c>
      <c r="K15328" s="29">
        <v>0.98289565623980701</v>
      </c>
    </row>
    <row r="15329" spans="1:11" x14ac:dyDescent="0.35">
      <c r="A15329" s="9" t="str">
        <f>HYPERLINK("http://www.ensembl.org/id/WBGene00005906", "WBGene00005906")</f>
        <v>WBGene00005906</v>
      </c>
      <c r="B15329" s="9"/>
      <c r="C15329" s="9"/>
      <c r="D15329" t="str">
        <f>"srx-15"</f>
        <v>srx-15</v>
      </c>
      <c r="F15329" t="s">
        <v>80</v>
      </c>
      <c r="H15329" s="12">
        <v>2.09654606223179</v>
      </c>
      <c r="I15329" s="20">
        <v>0.94056900033859003</v>
      </c>
      <c r="J15329" s="28">
        <v>0.34692577422571602</v>
      </c>
      <c r="K15329" s="29">
        <v>0.98289565623980701</v>
      </c>
    </row>
    <row r="15330" spans="1:11" x14ac:dyDescent="0.35">
      <c r="A15330" s="9" t="str">
        <f>HYPERLINK("http://www.ensembl.org/id/WBGene00005908", "WBGene00005908")</f>
        <v>WBGene00005908</v>
      </c>
      <c r="B15330" s="9" t="str">
        <f>HYPERLINK("http://www.ncbi.nlm.nih.gov/gene/186284", "186284")</f>
        <v>186284</v>
      </c>
      <c r="C15330" s="9"/>
      <c r="D15330" t="str">
        <f>"srx-17"</f>
        <v>srx-17</v>
      </c>
      <c r="E15330" t="s">
        <v>1477</v>
      </c>
      <c r="F15330" t="s">
        <v>11</v>
      </c>
      <c r="G15330" t="s">
        <v>25</v>
      </c>
      <c r="H15330" s="12">
        <v>4.4368407117627902</v>
      </c>
      <c r="I15330" s="20">
        <v>0.43709475933309699</v>
      </c>
      <c r="J15330" s="28">
        <v>0.66204262779770495</v>
      </c>
      <c r="K15330" s="29">
        <v>0.98289565623980701</v>
      </c>
    </row>
    <row r="15331" spans="1:11" x14ac:dyDescent="0.35">
      <c r="A15331" s="9" t="str">
        <f>HYPERLINK("http://www.ensembl.org/id/WBGene00005909", "WBGene00005909")</f>
        <v>WBGene00005909</v>
      </c>
      <c r="B15331" s="9" t="str">
        <f>HYPERLINK("http://www.ncbi.nlm.nih.gov/gene/183532", "183532")</f>
        <v>183532</v>
      </c>
      <c r="C15331" s="9"/>
      <c r="D15331" t="str">
        <f>"srx-18"</f>
        <v>srx-18</v>
      </c>
      <c r="E15331" t="s">
        <v>1477</v>
      </c>
      <c r="F15331" t="s">
        <v>11</v>
      </c>
      <c r="G15331" t="s">
        <v>25</v>
      </c>
      <c r="H15331" s="12">
        <v>11.170998397396099</v>
      </c>
      <c r="I15331" s="20">
        <v>0.72284615686154896</v>
      </c>
      <c r="J15331" s="28">
        <v>0.46977440626377698</v>
      </c>
      <c r="K15331" s="29">
        <v>0.98289565623980701</v>
      </c>
    </row>
    <row r="15332" spans="1:11" x14ac:dyDescent="0.35">
      <c r="A15332" s="9" t="str">
        <f>HYPERLINK("http://www.ensembl.org/id/WBGene00005910", "WBGene00005910")</f>
        <v>WBGene00005910</v>
      </c>
      <c r="B15332" s="9" t="str">
        <f>HYPERLINK("http://www.ncbi.nlm.nih.gov/gene/188098", "188098")</f>
        <v>188098</v>
      </c>
      <c r="C15332" s="9"/>
      <c r="D15332" t="str">
        <f>"srx-19"</f>
        <v>srx-19</v>
      </c>
      <c r="E15332" t="s">
        <v>1477</v>
      </c>
      <c r="F15332" t="s">
        <v>11</v>
      </c>
      <c r="G15332" t="s">
        <v>25</v>
      </c>
      <c r="H15332" s="12">
        <v>5.4793984540127996</v>
      </c>
      <c r="I15332" s="20">
        <v>1.1231956634595901</v>
      </c>
      <c r="J15332" s="28">
        <v>0.26135440394755999</v>
      </c>
      <c r="K15332" s="29">
        <v>0.98289565623980701</v>
      </c>
    </row>
    <row r="15333" spans="1:11" x14ac:dyDescent="0.35">
      <c r="A15333" s="9" t="str">
        <f>HYPERLINK("http://www.ensembl.org/id/WBGene00005893", "WBGene00005893")</f>
        <v>WBGene00005893</v>
      </c>
      <c r="B15333" s="9" t="str">
        <f>HYPERLINK("http://www.ncbi.nlm.nih.gov/gene/187548", "187548")</f>
        <v>187548</v>
      </c>
      <c r="C15333" s="9"/>
      <c r="D15333" t="str">
        <f>"srx-2"</f>
        <v>srx-2</v>
      </c>
      <c r="E15333" t="s">
        <v>1477</v>
      </c>
      <c r="F15333" t="s">
        <v>11</v>
      </c>
      <c r="G15333" t="s">
        <v>25</v>
      </c>
      <c r="H15333" s="12">
        <v>1.3430587093980499</v>
      </c>
      <c r="I15333" s="20">
        <v>0.37171629656361499</v>
      </c>
      <c r="J15333" s="28">
        <v>0.710104090180109</v>
      </c>
      <c r="K15333" s="29">
        <v>0.98289565623980701</v>
      </c>
    </row>
    <row r="15334" spans="1:11" x14ac:dyDescent="0.35">
      <c r="A15334" s="9" t="str">
        <f>HYPERLINK("http://www.ensembl.org/id/WBGene00005912", "WBGene00005912")</f>
        <v>WBGene00005912</v>
      </c>
      <c r="B15334" s="9" t="str">
        <f>HYPERLINK("http://www.ncbi.nlm.nih.gov/gene/185166", "185166")</f>
        <v>185166</v>
      </c>
      <c r="C15334" s="9"/>
      <c r="D15334" t="str">
        <f>"srx-21"</f>
        <v>srx-21</v>
      </c>
      <c r="E15334" t="s">
        <v>1477</v>
      </c>
      <c r="F15334" t="s">
        <v>11</v>
      </c>
      <c r="G15334" t="s">
        <v>25</v>
      </c>
      <c r="H15334" s="12">
        <v>4.0998653705833101</v>
      </c>
      <c r="I15334" s="20">
        <v>0.55306364318332502</v>
      </c>
      <c r="J15334" s="28">
        <v>0.58021983102034203</v>
      </c>
      <c r="K15334" s="29">
        <v>0.98289565623980701</v>
      </c>
    </row>
    <row r="15335" spans="1:11" x14ac:dyDescent="0.35">
      <c r="A15335" s="9" t="str">
        <f>HYPERLINK("http://www.ensembl.org/id/WBGene00005913", "WBGene00005913")</f>
        <v>WBGene00005913</v>
      </c>
      <c r="B15335" s="9" t="str">
        <f>HYPERLINK("http://www.ncbi.nlm.nih.gov/gene/185165", "185165")</f>
        <v>185165</v>
      </c>
      <c r="C15335" s="9"/>
      <c r="D15335" t="str">
        <f>"srx-22"</f>
        <v>srx-22</v>
      </c>
      <c r="E15335" t="s">
        <v>1477</v>
      </c>
      <c r="F15335" t="s">
        <v>11</v>
      </c>
      <c r="G15335" t="s">
        <v>25</v>
      </c>
      <c r="H15335" s="12">
        <v>5.4058944669092801</v>
      </c>
      <c r="I15335" s="20">
        <v>0.49762513753689303</v>
      </c>
      <c r="J15335" s="28">
        <v>0.61874828254921799</v>
      </c>
      <c r="K15335" s="29">
        <v>0.98289565623980701</v>
      </c>
    </row>
    <row r="15336" spans="1:11" x14ac:dyDescent="0.35">
      <c r="A15336" s="9" t="str">
        <f>HYPERLINK("http://www.ensembl.org/id/WBGene00005920", "WBGene00005920")</f>
        <v>WBGene00005920</v>
      </c>
      <c r="B15336" s="9" t="str">
        <f>HYPERLINK("http://www.ncbi.nlm.nih.gov/gene/187057", "187057")</f>
        <v>187057</v>
      </c>
      <c r="C15336" s="9"/>
      <c r="D15336" t="str">
        <f>"srx-29"</f>
        <v>srx-29</v>
      </c>
      <c r="E15336" t="s">
        <v>1477</v>
      </c>
      <c r="F15336" t="s">
        <v>11</v>
      </c>
      <c r="G15336" t="s">
        <v>25</v>
      </c>
      <c r="H15336" s="12">
        <v>2.3893468495514898</v>
      </c>
      <c r="I15336" s="20">
        <v>0.25323547253672701</v>
      </c>
      <c r="J15336" s="28">
        <v>0.80008625651646104</v>
      </c>
      <c r="K15336" s="29">
        <v>0.98289565623980701</v>
      </c>
    </row>
    <row r="15337" spans="1:11" x14ac:dyDescent="0.35">
      <c r="A15337" s="9" t="str">
        <f>HYPERLINK("http://www.ensembl.org/id/WBGene00005894", "WBGene00005894")</f>
        <v>WBGene00005894</v>
      </c>
      <c r="B15337" s="9" t="str">
        <f>HYPERLINK("http://www.ncbi.nlm.nih.gov/gene/187549", "187549")</f>
        <v>187549</v>
      </c>
      <c r="C15337" s="9"/>
      <c r="D15337" t="str">
        <f>"srx-3"</f>
        <v>srx-3</v>
      </c>
      <c r="E15337" t="s">
        <v>1477</v>
      </c>
      <c r="F15337" t="s">
        <v>11</v>
      </c>
      <c r="G15337" t="s">
        <v>1089</v>
      </c>
      <c r="H15337" s="12">
        <v>-2.4991590031922399</v>
      </c>
      <c r="I15337" s="20">
        <v>-0.26577412737581302</v>
      </c>
      <c r="J15337" s="28">
        <v>0.79041317015736101</v>
      </c>
      <c r="K15337" s="29">
        <v>0.98289565623980701</v>
      </c>
    </row>
    <row r="15338" spans="1:11" x14ac:dyDescent="0.35">
      <c r="A15338" s="9" t="str">
        <f>HYPERLINK("http://www.ensembl.org/id/WBGene00005924", "WBGene00005924")</f>
        <v>WBGene00005924</v>
      </c>
      <c r="B15338" s="9" t="str">
        <f>HYPERLINK("http://www.ncbi.nlm.nih.gov/gene/187943", "187943")</f>
        <v>187943</v>
      </c>
      <c r="C15338" s="9"/>
      <c r="D15338" t="str">
        <f>"srx-33"</f>
        <v>srx-33</v>
      </c>
      <c r="E15338" t="s">
        <v>1477</v>
      </c>
      <c r="F15338" t="s">
        <v>11</v>
      </c>
      <c r="G15338" t="s">
        <v>25</v>
      </c>
      <c r="H15338" s="12">
        <v>4.4368407117627902</v>
      </c>
      <c r="I15338" s="20">
        <v>0.43709475933309699</v>
      </c>
      <c r="J15338" s="28">
        <v>0.66204262779770495</v>
      </c>
      <c r="K15338" s="29">
        <v>0.98289565623980701</v>
      </c>
    </row>
    <row r="15339" spans="1:11" x14ac:dyDescent="0.35">
      <c r="A15339" s="9" t="str">
        <f>HYPERLINK("http://www.ensembl.org/id/WBGene00005925", "WBGene00005925")</f>
        <v>WBGene00005925</v>
      </c>
      <c r="B15339" s="9" t="str">
        <f>HYPERLINK("http://www.ncbi.nlm.nih.gov/gene/187944", "187944")</f>
        <v>187944</v>
      </c>
      <c r="C15339" s="9"/>
      <c r="D15339" t="str">
        <f>"srx-34"</f>
        <v>srx-34</v>
      </c>
      <c r="E15339" t="s">
        <v>1477</v>
      </c>
      <c r="F15339" t="s">
        <v>11</v>
      </c>
      <c r="G15339" t="s">
        <v>25</v>
      </c>
      <c r="H15339" s="12">
        <v>3.2562063260019198</v>
      </c>
      <c r="I15339" s="20">
        <v>0.77725593500493695</v>
      </c>
      <c r="J15339" s="28">
        <v>0.43700778718184402</v>
      </c>
      <c r="K15339" s="29">
        <v>0.98289565623980701</v>
      </c>
    </row>
    <row r="15340" spans="1:11" x14ac:dyDescent="0.35">
      <c r="A15340" s="9" t="str">
        <f>HYPERLINK("http://www.ensembl.org/id/WBGene00005926", "WBGene00005926")</f>
        <v>WBGene00005926</v>
      </c>
      <c r="B15340" s="9"/>
      <c r="C15340" s="9"/>
      <c r="D15340" t="str">
        <f>"srx-35"</f>
        <v>srx-35</v>
      </c>
      <c r="F15340" t="s">
        <v>80</v>
      </c>
      <c r="H15340" s="12">
        <v>2.1671252185169601</v>
      </c>
      <c r="I15340" s="20">
        <v>0.57681840225990899</v>
      </c>
      <c r="J15340" s="28">
        <v>0.56406213689802798</v>
      </c>
      <c r="K15340" s="29">
        <v>0.98289565623980701</v>
      </c>
    </row>
    <row r="15341" spans="1:11" x14ac:dyDescent="0.35">
      <c r="A15341" s="9" t="str">
        <f>HYPERLINK("http://www.ensembl.org/id/WBGene00005929", "WBGene00005929")</f>
        <v>WBGene00005929</v>
      </c>
      <c r="B15341" s="9" t="str">
        <f>HYPERLINK("http://www.ncbi.nlm.nih.gov/gene/182137", "182137")</f>
        <v>182137</v>
      </c>
      <c r="C15341" s="9"/>
      <c r="D15341" t="str">
        <f>"srx-38"</f>
        <v>srx-38</v>
      </c>
      <c r="E15341" t="s">
        <v>1477</v>
      </c>
      <c r="F15341" t="s">
        <v>11</v>
      </c>
      <c r="G15341" t="s">
        <v>25</v>
      </c>
      <c r="H15341" s="12">
        <v>2.8341952941469999</v>
      </c>
      <c r="I15341" s="20">
        <v>1.07924809515315</v>
      </c>
      <c r="J15341" s="28">
        <v>0.28047714462248602</v>
      </c>
      <c r="K15341" s="29">
        <v>0.98289565623980701</v>
      </c>
    </row>
    <row r="15342" spans="1:11" x14ac:dyDescent="0.35">
      <c r="A15342" s="9" t="str">
        <f>HYPERLINK("http://www.ensembl.org/id/WBGene00005930", "WBGene00005930")</f>
        <v>WBGene00005930</v>
      </c>
      <c r="B15342" s="9" t="str">
        <f>HYPERLINK("http://www.ncbi.nlm.nih.gov/gene/182138", "182138")</f>
        <v>182138</v>
      </c>
      <c r="C15342" s="9"/>
      <c r="D15342" t="str">
        <f>"srx-39"</f>
        <v>srx-39</v>
      </c>
      <c r="E15342" t="s">
        <v>1477</v>
      </c>
      <c r="F15342" t="s">
        <v>11</v>
      </c>
      <c r="G15342" t="s">
        <v>25</v>
      </c>
      <c r="H15342" s="12">
        <v>2.3893468495514898</v>
      </c>
      <c r="I15342" s="20">
        <v>0.25323547253672701</v>
      </c>
      <c r="J15342" s="28">
        <v>0.80008625651646104</v>
      </c>
      <c r="K15342" s="29">
        <v>0.98289565623980701</v>
      </c>
    </row>
    <row r="15343" spans="1:11" x14ac:dyDescent="0.35">
      <c r="A15343" s="9" t="str">
        <f>HYPERLINK("http://www.ensembl.org/id/WBGene00005895", "WBGene00005895")</f>
        <v>WBGene00005895</v>
      </c>
      <c r="B15343" s="9" t="str">
        <f>HYPERLINK("http://www.ncbi.nlm.nih.gov/gene/190064", "190064")</f>
        <v>190064</v>
      </c>
      <c r="C15343" s="9"/>
      <c r="D15343" t="str">
        <f>"srx-4"</f>
        <v>srx-4</v>
      </c>
      <c r="E15343" t="s">
        <v>1477</v>
      </c>
      <c r="F15343" t="s">
        <v>11</v>
      </c>
      <c r="G15343" t="s">
        <v>1089</v>
      </c>
      <c r="H15343" s="12">
        <v>-2.4295389261469</v>
      </c>
      <c r="I15343" s="20">
        <v>-0.25808529976640998</v>
      </c>
      <c r="J15343" s="28">
        <v>0.79634107645457397</v>
      </c>
      <c r="K15343" s="29">
        <v>0.98289565623980701</v>
      </c>
    </row>
    <row r="15344" spans="1:11" x14ac:dyDescent="0.35">
      <c r="A15344" s="9" t="str">
        <f>HYPERLINK("http://www.ensembl.org/id/WBGene00005932", "WBGene00005932")</f>
        <v>WBGene00005932</v>
      </c>
      <c r="B15344" s="9" t="str">
        <f>HYPERLINK("http://www.ncbi.nlm.nih.gov/gene/186592", "186592")</f>
        <v>186592</v>
      </c>
      <c r="C15344" s="9"/>
      <c r="D15344" t="str">
        <f>"srx-41"</f>
        <v>srx-41</v>
      </c>
      <c r="E15344" t="s">
        <v>1477</v>
      </c>
      <c r="F15344" t="s">
        <v>11</v>
      </c>
      <c r="G15344" t="s">
        <v>25</v>
      </c>
      <c r="H15344" s="12">
        <v>-1.22445168682792</v>
      </c>
      <c r="I15344" s="20">
        <v>-0.27195711559718599</v>
      </c>
      <c r="J15344" s="28">
        <v>0.78565499371746805</v>
      </c>
      <c r="K15344" s="29">
        <v>0.98289565623980701</v>
      </c>
    </row>
    <row r="15345" spans="1:11" x14ac:dyDescent="0.35">
      <c r="A15345" s="9" t="str">
        <f>HYPERLINK("http://www.ensembl.org/id/WBGene00005933", "WBGene00005933")</f>
        <v>WBGene00005933</v>
      </c>
      <c r="B15345" s="9" t="str">
        <f>HYPERLINK("http://www.ncbi.nlm.nih.gov/gene/182296", "182296")</f>
        <v>182296</v>
      </c>
      <c r="C15345" s="9"/>
      <c r="D15345" t="str">
        <f>"srx-42"</f>
        <v>srx-42</v>
      </c>
      <c r="E15345" t="s">
        <v>1477</v>
      </c>
      <c r="F15345" t="s">
        <v>11</v>
      </c>
      <c r="G15345" t="s">
        <v>25</v>
      </c>
      <c r="H15345" s="12">
        <v>-2.3838754719136599</v>
      </c>
      <c r="I15345" s="20">
        <v>-0.25807578497976902</v>
      </c>
      <c r="J15345" s="28">
        <v>0.79634841949468704</v>
      </c>
      <c r="K15345" s="29">
        <v>0.98289565623980701</v>
      </c>
    </row>
    <row r="15346" spans="1:11" x14ac:dyDescent="0.35">
      <c r="A15346" s="9" t="str">
        <f>HYPERLINK("http://www.ensembl.org/id/WBGene00005934", "WBGene00005934")</f>
        <v>WBGene00005934</v>
      </c>
      <c r="B15346" s="9" t="str">
        <f>HYPERLINK("http://www.ncbi.nlm.nih.gov/gene/188374", "188374")</f>
        <v>188374</v>
      </c>
      <c r="C15346" s="9"/>
      <c r="D15346" t="str">
        <f>"srx-43"</f>
        <v>srx-43</v>
      </c>
      <c r="E15346" t="s">
        <v>10082</v>
      </c>
      <c r="F15346" t="s">
        <v>11</v>
      </c>
      <c r="G15346" t="s">
        <v>10083</v>
      </c>
      <c r="H15346" s="12">
        <v>-2.9395697288267399</v>
      </c>
      <c r="I15346" s="20">
        <v>-0.40844963388868899</v>
      </c>
      <c r="J15346" s="28">
        <v>0.68294360034460899</v>
      </c>
      <c r="K15346" s="29">
        <v>0.98289565623980701</v>
      </c>
    </row>
    <row r="15347" spans="1:11" x14ac:dyDescent="0.35">
      <c r="A15347" s="9" t="str">
        <f>HYPERLINK("http://www.ensembl.org/id/WBGene00005935", "WBGene00005935")</f>
        <v>WBGene00005935</v>
      </c>
      <c r="B15347" s="9" t="str">
        <f>HYPERLINK("http://www.ncbi.nlm.nih.gov/gene/188375", "188375")</f>
        <v>188375</v>
      </c>
      <c r="C15347" s="9"/>
      <c r="D15347" t="str">
        <f>"srx-44"</f>
        <v>srx-44</v>
      </c>
      <c r="E15347" t="s">
        <v>1477</v>
      </c>
      <c r="F15347" t="s">
        <v>11</v>
      </c>
      <c r="G15347" t="s">
        <v>25</v>
      </c>
      <c r="H15347" s="12">
        <v>2.3893468495514898</v>
      </c>
      <c r="I15347" s="20">
        <v>0.25323547253672701</v>
      </c>
      <c r="J15347" s="28">
        <v>0.80008625651646104</v>
      </c>
      <c r="K15347" s="29">
        <v>0.98289565623980701</v>
      </c>
    </row>
    <row r="15348" spans="1:11" x14ac:dyDescent="0.35">
      <c r="A15348" s="9" t="str">
        <f>HYPERLINK("http://www.ensembl.org/id/WBGene00005938", "WBGene00005938")</f>
        <v>WBGene00005938</v>
      </c>
      <c r="B15348" s="9" t="str">
        <f>HYPERLINK("http://www.ncbi.nlm.nih.gov/gene/183985", "183985")</f>
        <v>183985</v>
      </c>
      <c r="C15348" s="9"/>
      <c r="D15348" t="str">
        <f>"srx-47"</f>
        <v>srx-47</v>
      </c>
      <c r="E15348" t="s">
        <v>1477</v>
      </c>
      <c r="F15348" t="s">
        <v>11</v>
      </c>
      <c r="G15348" t="s">
        <v>25</v>
      </c>
      <c r="H15348" s="12">
        <v>1.48540677577119</v>
      </c>
      <c r="I15348" s="20">
        <v>0.27859250769430499</v>
      </c>
      <c r="J15348" s="28">
        <v>0.780557563151418</v>
      </c>
      <c r="K15348" s="29">
        <v>0.98289565623980701</v>
      </c>
    </row>
    <row r="15349" spans="1:11" x14ac:dyDescent="0.35">
      <c r="A15349" s="9" t="str">
        <f>HYPERLINK("http://www.ensembl.org/id/WBGene00005940", "WBGene00005940")</f>
        <v>WBGene00005940</v>
      </c>
      <c r="B15349" s="9"/>
      <c r="C15349" s="9"/>
      <c r="D15349" t="str">
        <f>"srx-49"</f>
        <v>srx-49</v>
      </c>
      <c r="F15349" t="s">
        <v>80</v>
      </c>
      <c r="H15349" s="12">
        <v>2.3893468495514898</v>
      </c>
      <c r="I15349" s="20">
        <v>0.25323547253672701</v>
      </c>
      <c r="J15349" s="28">
        <v>0.80008625651646104</v>
      </c>
      <c r="K15349" s="29">
        <v>0.98289565623980701</v>
      </c>
    </row>
    <row r="15350" spans="1:11" x14ac:dyDescent="0.35">
      <c r="A15350" s="9" t="str">
        <f>HYPERLINK("http://www.ensembl.org/id/WBGene00005949", "WBGene00005949")</f>
        <v>WBGene00005949</v>
      </c>
      <c r="B15350" s="9" t="str">
        <f>HYPERLINK("http://www.ncbi.nlm.nih.gov/gene/183007", "183007")</f>
        <v>183007</v>
      </c>
      <c r="C15350" s="9"/>
      <c r="D15350" t="str">
        <f>"srx-58"</f>
        <v>srx-58</v>
      </c>
      <c r="E15350" t="s">
        <v>1477</v>
      </c>
      <c r="F15350" t="s">
        <v>11</v>
      </c>
      <c r="G15350" t="s">
        <v>25</v>
      </c>
      <c r="H15350" s="12">
        <v>2.4779088507642499</v>
      </c>
      <c r="I15350" s="20">
        <v>0.76605007971398398</v>
      </c>
      <c r="J15350" s="28">
        <v>0.4436465045961</v>
      </c>
      <c r="K15350" s="29">
        <v>0.98289565623980701</v>
      </c>
    </row>
    <row r="15351" spans="1:11" x14ac:dyDescent="0.35">
      <c r="A15351" s="9" t="str">
        <f>HYPERLINK("http://www.ensembl.org/id/WBGene00005950", "WBGene00005950")</f>
        <v>WBGene00005950</v>
      </c>
      <c r="B15351" s="9" t="str">
        <f>HYPERLINK("http://www.ncbi.nlm.nih.gov/gene/188258", "188258")</f>
        <v>188258</v>
      </c>
      <c r="C15351" s="9"/>
      <c r="D15351" t="str">
        <f>"srx-59"</f>
        <v>srx-59</v>
      </c>
      <c r="E15351" t="s">
        <v>1477</v>
      </c>
      <c r="F15351" t="s">
        <v>11</v>
      </c>
      <c r="G15351" t="s">
        <v>25</v>
      </c>
      <c r="H15351" s="12">
        <v>3.5227018545059199</v>
      </c>
      <c r="I15351" s="20">
        <v>0.36849691206929103</v>
      </c>
      <c r="J15351" s="28">
        <v>0.71250274722433404</v>
      </c>
      <c r="K15351" s="29">
        <v>0.98289565623980701</v>
      </c>
    </row>
    <row r="15352" spans="1:11" x14ac:dyDescent="0.35">
      <c r="A15352" s="9" t="str">
        <f>HYPERLINK("http://www.ensembl.org/id/WBGene00005953", "WBGene00005953")</f>
        <v>WBGene00005953</v>
      </c>
      <c r="B15352" s="9" t="str">
        <f>HYPERLINK("http://www.ncbi.nlm.nih.gov/gene/187212", "187212")</f>
        <v>187212</v>
      </c>
      <c r="C15352" s="9"/>
      <c r="D15352" t="str">
        <f>"srx-62"</f>
        <v>srx-62</v>
      </c>
      <c r="E15352" t="s">
        <v>1477</v>
      </c>
      <c r="F15352" t="s">
        <v>11</v>
      </c>
      <c r="G15352" t="s">
        <v>25</v>
      </c>
      <c r="H15352" s="12">
        <v>16.698151317844101</v>
      </c>
      <c r="I15352" s="20">
        <v>1.0639376854392499</v>
      </c>
      <c r="J15352" s="28">
        <v>0.28735692964741999</v>
      </c>
      <c r="K15352" s="29">
        <v>0.98289565623980701</v>
      </c>
    </row>
    <row r="15353" spans="1:11" x14ac:dyDescent="0.35">
      <c r="A15353" s="9" t="str">
        <f>HYPERLINK("http://www.ensembl.org/id/WBGene00005955", "WBGene00005955")</f>
        <v>WBGene00005955</v>
      </c>
      <c r="B15353" s="9" t="str">
        <f>HYPERLINK("http://www.ncbi.nlm.nih.gov/gene/187095", "187095")</f>
        <v>187095</v>
      </c>
      <c r="C15353" s="9"/>
      <c r="D15353" t="str">
        <f>"srx-64"</f>
        <v>srx-64</v>
      </c>
      <c r="E15353" t="s">
        <v>1477</v>
      </c>
      <c r="F15353" t="s">
        <v>11</v>
      </c>
      <c r="G15353" t="s">
        <v>25</v>
      </c>
      <c r="H15353" s="12">
        <v>-2.4991590031922399</v>
      </c>
      <c r="I15353" s="20">
        <v>-0.26577412737581302</v>
      </c>
      <c r="J15353" s="28">
        <v>0.79041317015736101</v>
      </c>
      <c r="K15353" s="29">
        <v>0.98289565623980701</v>
      </c>
    </row>
    <row r="15354" spans="1:11" x14ac:dyDescent="0.35">
      <c r="A15354" s="9" t="str">
        <f>HYPERLINK("http://www.ensembl.org/id/WBGene00005958", "WBGene00005958")</f>
        <v>WBGene00005958</v>
      </c>
      <c r="B15354" s="9" t="str">
        <f>HYPERLINK("http://www.ncbi.nlm.nih.gov/gene/187098", "187098")</f>
        <v>187098</v>
      </c>
      <c r="C15354" s="9"/>
      <c r="D15354" t="str">
        <f>"srx-67"</f>
        <v>srx-67</v>
      </c>
      <c r="E15354" t="s">
        <v>1477</v>
      </c>
      <c r="F15354" t="s">
        <v>11</v>
      </c>
      <c r="G15354" t="s">
        <v>25</v>
      </c>
      <c r="H15354" s="12">
        <v>11.984857989703</v>
      </c>
      <c r="I15354" s="20">
        <v>1.06451656884697</v>
      </c>
      <c r="J15354" s="28">
        <v>0.28709475259475098</v>
      </c>
      <c r="K15354" s="29">
        <v>0.98289565623980701</v>
      </c>
    </row>
    <row r="15355" spans="1:11" x14ac:dyDescent="0.35">
      <c r="A15355" s="9" t="str">
        <f>HYPERLINK("http://www.ensembl.org/id/WBGene00005959", "WBGene00005959")</f>
        <v>WBGene00005959</v>
      </c>
      <c r="B15355" s="9" t="str">
        <f>HYPERLINK("http://www.ncbi.nlm.nih.gov/gene/187099", "187099")</f>
        <v>187099</v>
      </c>
      <c r="C15355" s="9"/>
      <c r="D15355" t="str">
        <f>"srx-68"</f>
        <v>srx-68</v>
      </c>
      <c r="E15355" t="s">
        <v>1477</v>
      </c>
      <c r="F15355" t="s">
        <v>11</v>
      </c>
      <c r="G15355" t="s">
        <v>25</v>
      </c>
      <c r="H15355" s="12">
        <v>2.2939618672509599</v>
      </c>
      <c r="I15355" s="20">
        <v>0.97529109363115096</v>
      </c>
      <c r="J15355" s="28">
        <v>0.32941588710903202</v>
      </c>
      <c r="K15355" s="29">
        <v>0.98289565623980701</v>
      </c>
    </row>
    <row r="15356" spans="1:11" x14ac:dyDescent="0.35">
      <c r="A15356" s="9" t="str">
        <f>HYPERLINK("http://www.ensembl.org/id/WBGene00005898", "WBGene00005898")</f>
        <v>WBGene00005898</v>
      </c>
      <c r="B15356" s="9" t="str">
        <f>HYPERLINK("http://www.ncbi.nlm.nih.gov/gene/182600", "182600")</f>
        <v>182600</v>
      </c>
      <c r="C15356" s="9"/>
      <c r="D15356" t="str">
        <f>"srx-7"</f>
        <v>srx-7</v>
      </c>
      <c r="E15356" t="s">
        <v>1477</v>
      </c>
      <c r="F15356" t="s">
        <v>11</v>
      </c>
      <c r="G15356" t="s">
        <v>1089</v>
      </c>
      <c r="H15356" s="12">
        <v>5.8167546518197897</v>
      </c>
      <c r="I15356" s="20">
        <v>0.64169808733842404</v>
      </c>
      <c r="J15356" s="28">
        <v>0.52106923135193595</v>
      </c>
      <c r="K15356" s="29">
        <v>0.98289565623980701</v>
      </c>
    </row>
    <row r="15357" spans="1:11" x14ac:dyDescent="0.35">
      <c r="A15357" s="9" t="str">
        <f>HYPERLINK("http://www.ensembl.org/id/WBGene00005961", "WBGene00005961")</f>
        <v>WBGene00005961</v>
      </c>
      <c r="B15357" s="9"/>
      <c r="C15357" s="9"/>
      <c r="D15357" t="str">
        <f>"srx-70"</f>
        <v>srx-70</v>
      </c>
      <c r="F15357" t="s">
        <v>80</v>
      </c>
      <c r="H15357" s="12">
        <v>2.4578120077400301</v>
      </c>
      <c r="I15357" s="20">
        <v>0.26093350314551</v>
      </c>
      <c r="J15357" s="28">
        <v>0.79414378780213601</v>
      </c>
      <c r="K15357" s="29">
        <v>0.98289565623980701</v>
      </c>
    </row>
    <row r="15358" spans="1:11" x14ac:dyDescent="0.35">
      <c r="A15358" s="9" t="str">
        <f>HYPERLINK("http://www.ensembl.org/id/WBGene00005962", "WBGene00005962")</f>
        <v>WBGene00005962</v>
      </c>
      <c r="B15358" s="9"/>
      <c r="C15358" s="9"/>
      <c r="D15358" t="str">
        <f>"srx-71"</f>
        <v>srx-71</v>
      </c>
      <c r="F15358" t="s">
        <v>80</v>
      </c>
      <c r="H15358" s="12">
        <v>2.3893468495514898</v>
      </c>
      <c r="I15358" s="20">
        <v>0.25323547253672701</v>
      </c>
      <c r="J15358" s="28">
        <v>0.80008625651646104</v>
      </c>
      <c r="K15358" s="29">
        <v>0.98289565623980701</v>
      </c>
    </row>
    <row r="15359" spans="1:11" x14ac:dyDescent="0.35">
      <c r="A15359" s="9" t="str">
        <f>HYPERLINK("http://www.ensembl.org/id/WBGene00005965", "WBGene00005965")</f>
        <v>WBGene00005965</v>
      </c>
      <c r="B15359" s="9" t="str">
        <f>HYPERLINK("http://www.ncbi.nlm.nih.gov/gene/185628", "185628")</f>
        <v>185628</v>
      </c>
      <c r="C15359" s="9"/>
      <c r="D15359" t="str">
        <f>"srx-74"</f>
        <v>srx-74</v>
      </c>
      <c r="E15359" t="s">
        <v>1477</v>
      </c>
      <c r="F15359" t="s">
        <v>11</v>
      </c>
      <c r="H15359" s="12">
        <v>-4.0507796894090404</v>
      </c>
      <c r="I15359" s="20">
        <v>-0.473517207271621</v>
      </c>
      <c r="J15359" s="28">
        <v>0.63584422757043702</v>
      </c>
      <c r="K15359" s="29">
        <v>0.98289565623980701</v>
      </c>
    </row>
    <row r="15360" spans="1:11" x14ac:dyDescent="0.35">
      <c r="A15360" s="9" t="str">
        <f>HYPERLINK("http://www.ensembl.org/id/WBGene00005967", "WBGene00005967")</f>
        <v>WBGene00005967</v>
      </c>
      <c r="B15360" s="9" t="str">
        <f>HYPERLINK("http://www.ncbi.nlm.nih.gov/gene/187336", "187336")</f>
        <v>187336</v>
      </c>
      <c r="C15360" s="9"/>
      <c r="D15360" t="str">
        <f>"srx-76"</f>
        <v>srx-76</v>
      </c>
      <c r="E15360" t="s">
        <v>1477</v>
      </c>
      <c r="F15360" t="s">
        <v>11</v>
      </c>
      <c r="G15360" t="s">
        <v>25</v>
      </c>
      <c r="H15360" s="12">
        <v>2.3023301924467101</v>
      </c>
      <c r="I15360" s="20">
        <v>0.26674601818072902</v>
      </c>
      <c r="J15360" s="28">
        <v>0.78966471981773201</v>
      </c>
      <c r="K15360" s="29">
        <v>0.98289565623980701</v>
      </c>
    </row>
    <row r="15361" spans="1:11" x14ac:dyDescent="0.35">
      <c r="A15361" s="9" t="str">
        <f>HYPERLINK("http://www.ensembl.org/id/WBGene00005971", "WBGene00005971")</f>
        <v>WBGene00005971</v>
      </c>
      <c r="B15361" s="9" t="str">
        <f>HYPERLINK("http://www.ncbi.nlm.nih.gov/gene/3564918", "3564918")</f>
        <v>3564918</v>
      </c>
      <c r="C15361" s="9"/>
      <c r="D15361" t="str">
        <f>"srx-80"</f>
        <v>srx-80</v>
      </c>
      <c r="E15361" t="s">
        <v>1477</v>
      </c>
      <c r="F15361" t="s">
        <v>11</v>
      </c>
      <c r="G15361" t="s">
        <v>25</v>
      </c>
      <c r="H15361" s="12">
        <v>5.2322000618327396</v>
      </c>
      <c r="I15361" s="20">
        <v>0.486112489888328</v>
      </c>
      <c r="J15361" s="28">
        <v>0.62688741196182496</v>
      </c>
      <c r="K15361" s="29">
        <v>0.98289565623980701</v>
      </c>
    </row>
    <row r="15362" spans="1:11" x14ac:dyDescent="0.35">
      <c r="A15362" s="9" t="str">
        <f>HYPERLINK("http://www.ensembl.org/id/WBGene00005973", "WBGene00005973")</f>
        <v>WBGene00005973</v>
      </c>
      <c r="B15362" s="9" t="str">
        <f>HYPERLINK("http://www.ncbi.nlm.nih.gov/gene/3565043", "3565043")</f>
        <v>3565043</v>
      </c>
      <c r="C15362" s="9"/>
      <c r="D15362" t="str">
        <f>"srx-82"</f>
        <v>srx-82</v>
      </c>
      <c r="E15362" t="s">
        <v>1477</v>
      </c>
      <c r="F15362" t="s">
        <v>11</v>
      </c>
      <c r="G15362" t="s">
        <v>25</v>
      </c>
      <c r="H15362" s="12">
        <v>3.6571033302088898</v>
      </c>
      <c r="I15362" s="20">
        <v>0.54969058284615901</v>
      </c>
      <c r="J15362" s="28">
        <v>0.58253161705562595</v>
      </c>
      <c r="K15362" s="29">
        <v>0.98289565623980701</v>
      </c>
    </row>
    <row r="15363" spans="1:11" x14ac:dyDescent="0.35">
      <c r="A15363" s="9" t="str">
        <f>HYPERLINK("http://www.ensembl.org/id/WBGene00005975", "WBGene00005975")</f>
        <v>WBGene00005975</v>
      </c>
      <c r="B15363" s="9" t="str">
        <f>HYPERLINK("http://www.ncbi.nlm.nih.gov/gene/353451", "353451")</f>
        <v>353451</v>
      </c>
      <c r="C15363" s="9"/>
      <c r="D15363" t="str">
        <f>"srx-84"</f>
        <v>srx-84</v>
      </c>
      <c r="E15363" t="s">
        <v>1477</v>
      </c>
      <c r="F15363" t="s">
        <v>11</v>
      </c>
      <c r="G15363" t="s">
        <v>25</v>
      </c>
      <c r="H15363" s="12">
        <v>3.6645215954135</v>
      </c>
      <c r="I15363" s="20">
        <v>0.37967131826092498</v>
      </c>
      <c r="J15363" s="28">
        <v>0.70418941338960395</v>
      </c>
      <c r="K15363" s="29">
        <v>0.98289565623980701</v>
      </c>
    </row>
    <row r="15364" spans="1:11" x14ac:dyDescent="0.35">
      <c r="A15364" s="9" t="str">
        <f>HYPERLINK("http://www.ensembl.org/id/WBGene00005976", "WBGene00005976")</f>
        <v>WBGene00005976</v>
      </c>
      <c r="B15364" s="9" t="str">
        <f>HYPERLINK("http://www.ncbi.nlm.nih.gov/gene/185457", "185457")</f>
        <v>185457</v>
      </c>
      <c r="C15364" s="9"/>
      <c r="D15364" t="str">
        <f>"srx-85"</f>
        <v>srx-85</v>
      </c>
      <c r="E15364" t="s">
        <v>1477</v>
      </c>
      <c r="F15364" t="s">
        <v>11</v>
      </c>
      <c r="G15364" t="s">
        <v>25</v>
      </c>
      <c r="H15364" s="12">
        <v>1.5555976123766</v>
      </c>
      <c r="I15364" s="20">
        <v>0.30621184367846399</v>
      </c>
      <c r="J15364" s="28">
        <v>0.75944335531323304</v>
      </c>
      <c r="K15364" s="29">
        <v>0.98289565623980701</v>
      </c>
    </row>
    <row r="15365" spans="1:11" x14ac:dyDescent="0.35">
      <c r="A15365" s="9" t="str">
        <f>HYPERLINK("http://www.ensembl.org/id/WBGene00005977", "WBGene00005977")</f>
        <v>WBGene00005977</v>
      </c>
      <c r="B15365" s="9" t="str">
        <f>HYPERLINK("http://www.ncbi.nlm.nih.gov/gene/3565908", "3565908")</f>
        <v>3565908</v>
      </c>
      <c r="C15365" s="9"/>
      <c r="D15365" t="str">
        <f>"srx-86"</f>
        <v>srx-86</v>
      </c>
      <c r="E15365" t="s">
        <v>1477</v>
      </c>
      <c r="F15365" t="s">
        <v>11</v>
      </c>
      <c r="G15365" t="s">
        <v>25</v>
      </c>
      <c r="H15365" s="12">
        <v>2.9753392539316201</v>
      </c>
      <c r="I15365" s="20">
        <v>0.428744983571483</v>
      </c>
      <c r="J15365" s="28">
        <v>0.66810882041836495</v>
      </c>
      <c r="K15365" s="29">
        <v>0.98289565623980701</v>
      </c>
    </row>
    <row r="15366" spans="1:11" x14ac:dyDescent="0.35">
      <c r="A15366" s="9" t="str">
        <f>HYPERLINK("http://www.ensembl.org/id/WBGene00005978", "WBGene00005978")</f>
        <v>WBGene00005978</v>
      </c>
      <c r="B15366" s="9" t="str">
        <f>HYPERLINK("http://www.ncbi.nlm.nih.gov/gene/3565609", "3565609")</f>
        <v>3565609</v>
      </c>
      <c r="C15366" s="9"/>
      <c r="D15366" t="str">
        <f>"srx-87"</f>
        <v>srx-87</v>
      </c>
      <c r="E15366" t="s">
        <v>1477</v>
      </c>
      <c r="F15366" t="s">
        <v>11</v>
      </c>
      <c r="G15366" t="s">
        <v>25</v>
      </c>
      <c r="H15366" s="12">
        <v>2.4578120077400301</v>
      </c>
      <c r="I15366" s="20">
        <v>0.26093350314551</v>
      </c>
      <c r="J15366" s="28">
        <v>0.79414378780213601</v>
      </c>
      <c r="K15366" s="29">
        <v>0.98289565623980701</v>
      </c>
    </row>
    <row r="15367" spans="1:11" x14ac:dyDescent="0.35">
      <c r="A15367" s="9" t="str">
        <f>HYPERLINK("http://www.ensembl.org/id/WBGene00005980", "WBGene00005980")</f>
        <v>WBGene00005980</v>
      </c>
      <c r="B15367" s="9"/>
      <c r="C15367" s="9"/>
      <c r="D15367" t="str">
        <f>"srx-89"</f>
        <v>srx-89</v>
      </c>
      <c r="F15367" t="s">
        <v>80</v>
      </c>
      <c r="H15367" s="12">
        <v>2.3893468495514898</v>
      </c>
      <c r="I15367" s="20">
        <v>0.25323547253672701</v>
      </c>
      <c r="J15367" s="28">
        <v>0.80008625651646104</v>
      </c>
      <c r="K15367" s="29">
        <v>0.98289565623980701</v>
      </c>
    </row>
    <row r="15368" spans="1:11" x14ac:dyDescent="0.35">
      <c r="A15368" s="9" t="str">
        <f>HYPERLINK("http://www.ensembl.org/id/WBGene00005983", "WBGene00005983")</f>
        <v>WBGene00005983</v>
      </c>
      <c r="B15368" s="9" t="str">
        <f>HYPERLINK("http://www.ncbi.nlm.nih.gov/gene/184316", "184316")</f>
        <v>184316</v>
      </c>
      <c r="C15368" s="9"/>
      <c r="D15368" t="str">
        <f>"srx-92"</f>
        <v>srx-92</v>
      </c>
      <c r="E15368" t="s">
        <v>1477</v>
      </c>
      <c r="F15368" t="s">
        <v>11</v>
      </c>
      <c r="G15368" t="s">
        <v>25</v>
      </c>
      <c r="H15368" s="12">
        <v>-2.00282366455441</v>
      </c>
      <c r="I15368" s="20">
        <v>-0.261094718881763</v>
      </c>
      <c r="J15368" s="28">
        <v>0.79401946419414404</v>
      </c>
      <c r="K15368" s="29">
        <v>0.98289565623980701</v>
      </c>
    </row>
    <row r="15369" spans="1:11" x14ac:dyDescent="0.35">
      <c r="A15369" s="9" t="str">
        <f>HYPERLINK("http://www.ensembl.org/id/WBGene00005987", "WBGene00005987")</f>
        <v>WBGene00005987</v>
      </c>
      <c r="B15369" s="9" t="str">
        <f>HYPERLINK("http://www.ncbi.nlm.nih.gov/gene/187951", "187951")</f>
        <v>187951</v>
      </c>
      <c r="C15369" s="9"/>
      <c r="D15369" t="str">
        <f>"srx-96"</f>
        <v>srx-96</v>
      </c>
      <c r="E15369" t="s">
        <v>1477</v>
      </c>
      <c r="F15369" t="s">
        <v>11</v>
      </c>
      <c r="G15369" t="s">
        <v>25</v>
      </c>
      <c r="H15369" s="12">
        <v>4.4368407117627902</v>
      </c>
      <c r="I15369" s="20">
        <v>0.43709475933309699</v>
      </c>
      <c r="J15369" s="28">
        <v>0.66204262779770495</v>
      </c>
      <c r="K15369" s="29">
        <v>0.98289565623980701</v>
      </c>
    </row>
    <row r="15370" spans="1:11" x14ac:dyDescent="0.35">
      <c r="A15370" s="9" t="str">
        <f>HYPERLINK("http://www.ensembl.org/id/WBGene00005988", "WBGene00005988")</f>
        <v>WBGene00005988</v>
      </c>
      <c r="B15370" s="9" t="str">
        <f>HYPERLINK("http://www.ncbi.nlm.nih.gov/gene/184672", "184672")</f>
        <v>184672</v>
      </c>
      <c r="C15370" s="9"/>
      <c r="D15370" t="str">
        <f>"srx-97"</f>
        <v>srx-97</v>
      </c>
      <c r="E15370" t="s">
        <v>1477</v>
      </c>
      <c r="F15370" t="s">
        <v>11</v>
      </c>
      <c r="G15370" t="s">
        <v>25</v>
      </c>
      <c r="H15370" s="12">
        <v>-1.86234027442774</v>
      </c>
      <c r="I15370" s="20">
        <v>-0.43702837693464403</v>
      </c>
      <c r="J15370" s="28">
        <v>0.66209076855569804</v>
      </c>
      <c r="K15370" s="29">
        <v>0.98289565623980701</v>
      </c>
    </row>
    <row r="15371" spans="1:11" x14ac:dyDescent="0.35">
      <c r="A15371" s="9" t="str">
        <f>HYPERLINK("http://www.ensembl.org/id/WBGene00012318", "WBGene00012318")</f>
        <v>WBGene00012318</v>
      </c>
      <c r="B15371" s="9" t="str">
        <f>HYPERLINK("http://www.ncbi.nlm.nih.gov/gene/189271", "189271")</f>
        <v>189271</v>
      </c>
      <c r="C15371" s="9"/>
      <c r="D15371" t="str">
        <f>"srxa-1"</f>
        <v>srxa-1</v>
      </c>
      <c r="E15371" t="s">
        <v>3765</v>
      </c>
      <c r="F15371" t="s">
        <v>11</v>
      </c>
      <c r="G15371" t="s">
        <v>25</v>
      </c>
      <c r="H15371" s="12">
        <v>2.3893468495514898</v>
      </c>
      <c r="I15371" s="20">
        <v>0.25323547253672701</v>
      </c>
      <c r="J15371" s="28">
        <v>0.80008625651646104</v>
      </c>
      <c r="K15371" s="29">
        <v>0.98289565623980701</v>
      </c>
    </row>
    <row r="15372" spans="1:11" x14ac:dyDescent="0.35">
      <c r="A15372" s="9" t="str">
        <f>HYPERLINK("http://www.ensembl.org/id/WBGene00011219", "WBGene00011219")</f>
        <v>WBGene00011219</v>
      </c>
      <c r="B15372" s="9" t="str">
        <f>HYPERLINK("http://www.ncbi.nlm.nih.gov/gene/187780", "187780")</f>
        <v>187780</v>
      </c>
      <c r="C15372" s="9"/>
      <c r="D15372" t="str">
        <f>"srxa-10"</f>
        <v>srxa-10</v>
      </c>
      <c r="E15372" t="s">
        <v>4546</v>
      </c>
      <c r="F15372" t="s">
        <v>11</v>
      </c>
      <c r="G15372" t="s">
        <v>25</v>
      </c>
      <c r="H15372" s="12">
        <v>1.72051759410683</v>
      </c>
      <c r="I15372" s="20">
        <v>0.76078584107081504</v>
      </c>
      <c r="J15372" s="28">
        <v>0.44678499274413003</v>
      </c>
      <c r="K15372" s="29">
        <v>0.98289565623980701</v>
      </c>
    </row>
    <row r="15373" spans="1:11" x14ac:dyDescent="0.35">
      <c r="A15373" s="9" t="str">
        <f>HYPERLINK("http://www.ensembl.org/id/WBGene00044115", "WBGene00044115")</f>
        <v>WBGene00044115</v>
      </c>
      <c r="B15373" s="9" t="str">
        <f>HYPERLINK("http://www.ncbi.nlm.nih.gov/gene/3564785", "3564785")</f>
        <v>3564785</v>
      </c>
      <c r="C15373" s="9"/>
      <c r="D15373" t="str">
        <f>"srxa-12"</f>
        <v>srxa-12</v>
      </c>
      <c r="E15373" t="s">
        <v>3765</v>
      </c>
      <c r="F15373" t="s">
        <v>11</v>
      </c>
      <c r="G15373" t="s">
        <v>25</v>
      </c>
      <c r="H15373" s="12">
        <v>-1.51497998819292</v>
      </c>
      <c r="I15373" s="20">
        <v>-0.46412394086015002</v>
      </c>
      <c r="J15373" s="28">
        <v>0.642558950092744</v>
      </c>
      <c r="K15373" s="29">
        <v>0.98289565623980701</v>
      </c>
    </row>
    <row r="15374" spans="1:11" x14ac:dyDescent="0.35">
      <c r="A15374" s="9" t="str">
        <f>HYPERLINK("http://www.ensembl.org/id/WBGene00044116", "WBGene00044116")</f>
        <v>WBGene00044116</v>
      </c>
      <c r="B15374" s="9" t="str">
        <f>HYPERLINK("http://www.ncbi.nlm.nih.gov/gene/3565800", "3565800")</f>
        <v>3565800</v>
      </c>
      <c r="C15374" s="9"/>
      <c r="D15374" t="str">
        <f>"srxa-13"</f>
        <v>srxa-13</v>
      </c>
      <c r="E15374" t="s">
        <v>3765</v>
      </c>
      <c r="F15374" t="s">
        <v>11</v>
      </c>
      <c r="G15374" t="s">
        <v>25</v>
      </c>
      <c r="H15374" s="12">
        <v>10.8131830636529</v>
      </c>
      <c r="I15374" s="20">
        <v>0.70982715185838596</v>
      </c>
      <c r="J15374" s="28">
        <v>0.477811329444844</v>
      </c>
      <c r="K15374" s="29">
        <v>0.98289565623980701</v>
      </c>
    </row>
    <row r="15375" spans="1:11" x14ac:dyDescent="0.35">
      <c r="A15375" s="9" t="str">
        <f>HYPERLINK("http://www.ensembl.org/id/WBGene00012846", "WBGene00012846")</f>
        <v>WBGene00012846</v>
      </c>
      <c r="B15375" s="9" t="str">
        <f>HYPERLINK("http://www.ncbi.nlm.nih.gov/gene/189894", "189894")</f>
        <v>189894</v>
      </c>
      <c r="C15375" s="9"/>
      <c r="D15375" t="str">
        <f>"srxa-14"</f>
        <v>srxa-14</v>
      </c>
      <c r="E15375" t="s">
        <v>3765</v>
      </c>
      <c r="F15375" t="s">
        <v>11</v>
      </c>
      <c r="G15375" t="s">
        <v>25</v>
      </c>
      <c r="H15375" s="12">
        <v>5.9495765472548197</v>
      </c>
      <c r="I15375" s="20">
        <v>0.52429389276509997</v>
      </c>
      <c r="J15375" s="28">
        <v>0.60007414400596704</v>
      </c>
      <c r="K15375" s="29">
        <v>0.98289565623980701</v>
      </c>
    </row>
    <row r="15376" spans="1:11" x14ac:dyDescent="0.35">
      <c r="A15376" s="9" t="str">
        <f>HYPERLINK("http://www.ensembl.org/id/WBGene00012847", "WBGene00012847")</f>
        <v>WBGene00012847</v>
      </c>
      <c r="B15376" s="9" t="str">
        <f>HYPERLINK("http://www.ncbi.nlm.nih.gov/gene/189895", "189895")</f>
        <v>189895</v>
      </c>
      <c r="C15376" s="9"/>
      <c r="D15376" t="str">
        <f>"srxa-15"</f>
        <v>srxa-15</v>
      </c>
      <c r="E15376" t="s">
        <v>3765</v>
      </c>
      <c r="F15376" t="s">
        <v>11</v>
      </c>
      <c r="G15376" t="s">
        <v>25</v>
      </c>
      <c r="H15376" s="12">
        <v>10.0724490993573</v>
      </c>
      <c r="I15376" s="20">
        <v>1.03040475061369</v>
      </c>
      <c r="J15376" s="28">
        <v>0.302820044101488</v>
      </c>
      <c r="K15376" s="29">
        <v>0.98289565623980701</v>
      </c>
    </row>
    <row r="15377" spans="1:11" x14ac:dyDescent="0.35">
      <c r="A15377" s="9" t="str">
        <f>HYPERLINK("http://www.ensembl.org/id/WBGene00009707", "WBGene00009707")</f>
        <v>WBGene00009707</v>
      </c>
      <c r="B15377" s="9" t="str">
        <f>HYPERLINK("http://www.ncbi.nlm.nih.gov/gene/185755", "185755")</f>
        <v>185755</v>
      </c>
      <c r="C15377" s="9"/>
      <c r="D15377" t="str">
        <f>"srxa-16"</f>
        <v>srxa-16</v>
      </c>
      <c r="E15377" t="s">
        <v>3765</v>
      </c>
      <c r="F15377" t="s">
        <v>11</v>
      </c>
      <c r="G15377" t="s">
        <v>25</v>
      </c>
      <c r="H15377" s="12">
        <v>4.8330720971898202</v>
      </c>
      <c r="I15377" s="20">
        <v>0.53826283632608196</v>
      </c>
      <c r="J15377" s="28">
        <v>0.59039560452453599</v>
      </c>
      <c r="K15377" s="29">
        <v>0.98289565623980701</v>
      </c>
    </row>
    <row r="15378" spans="1:11" x14ac:dyDescent="0.35">
      <c r="A15378" s="9" t="str">
        <f>HYPERLINK("http://www.ensembl.org/id/WBGene00007432", "WBGene00007432")</f>
        <v>WBGene00007432</v>
      </c>
      <c r="B15378" s="9" t="str">
        <f>HYPERLINK("http://www.ncbi.nlm.nih.gov/gene/3565246", "3565246")</f>
        <v>3565246</v>
      </c>
      <c r="C15378" s="9"/>
      <c r="D15378" t="str">
        <f>"srxa-18"</f>
        <v>srxa-18</v>
      </c>
      <c r="E15378" t="s">
        <v>3765</v>
      </c>
      <c r="F15378" t="s">
        <v>11</v>
      </c>
      <c r="G15378" t="s">
        <v>25</v>
      </c>
      <c r="H15378" s="12">
        <v>5.5002110918840703</v>
      </c>
      <c r="I15378" s="20">
        <v>0.78799595107423304</v>
      </c>
      <c r="J15378" s="28">
        <v>0.43069907422522102</v>
      </c>
      <c r="K15378" s="29">
        <v>0.98289565623980701</v>
      </c>
    </row>
    <row r="15379" spans="1:11" x14ac:dyDescent="0.35">
      <c r="A15379" s="9" t="str">
        <f>HYPERLINK("http://www.ensembl.org/id/WBGene00010153", "WBGene00010153")</f>
        <v>WBGene00010153</v>
      </c>
      <c r="B15379" s="9" t="str">
        <f>HYPERLINK("http://www.ncbi.nlm.nih.gov/gene/186387", "186387")</f>
        <v>186387</v>
      </c>
      <c r="C15379" s="9"/>
      <c r="D15379" t="str">
        <f>"srxa-2"</f>
        <v>srxa-2</v>
      </c>
      <c r="E15379" t="s">
        <v>3765</v>
      </c>
      <c r="F15379" t="s">
        <v>11</v>
      </c>
      <c r="G15379" t="s">
        <v>25</v>
      </c>
      <c r="H15379" s="12">
        <v>3.4454763165229001</v>
      </c>
      <c r="I15379" s="20">
        <v>0.50664382822350396</v>
      </c>
      <c r="J15379" s="28">
        <v>0.61240475023770402</v>
      </c>
      <c r="K15379" s="29">
        <v>0.98289565623980701</v>
      </c>
    </row>
    <row r="15380" spans="1:11" x14ac:dyDescent="0.35">
      <c r="A15380" s="9" t="str">
        <f>HYPERLINK("http://www.ensembl.org/id/WBGene00015637", "WBGene00015637")</f>
        <v>WBGene00015637</v>
      </c>
      <c r="B15380" s="9" t="str">
        <f>HYPERLINK("http://www.ncbi.nlm.nih.gov/gene/182448", "182448")</f>
        <v>182448</v>
      </c>
      <c r="C15380" s="9"/>
      <c r="D15380" t="str">
        <f>"srxa-5"</f>
        <v>srxa-5</v>
      </c>
      <c r="E15380" t="s">
        <v>3765</v>
      </c>
      <c r="F15380" t="s">
        <v>11</v>
      </c>
      <c r="G15380" t="s">
        <v>25</v>
      </c>
      <c r="H15380" s="12">
        <v>3.28624938312884</v>
      </c>
      <c r="I15380" s="20">
        <v>0.36379512681977599</v>
      </c>
      <c r="J15380" s="28">
        <v>0.716011001908614</v>
      </c>
      <c r="K15380" s="29">
        <v>0.98289565623980701</v>
      </c>
    </row>
    <row r="15381" spans="1:11" x14ac:dyDescent="0.35">
      <c r="A15381" s="9" t="str">
        <f>HYPERLINK("http://www.ensembl.org/id/WBGene00012321", "WBGene00012321")</f>
        <v>WBGene00012321</v>
      </c>
      <c r="B15381" s="9" t="str">
        <f>HYPERLINK("http://www.ncbi.nlm.nih.gov/gene/189273", "189273")</f>
        <v>189273</v>
      </c>
      <c r="C15381" s="9"/>
      <c r="D15381" t="str">
        <f>"srxa-6"</f>
        <v>srxa-6</v>
      </c>
      <c r="E15381" t="s">
        <v>3765</v>
      </c>
      <c r="F15381" t="s">
        <v>11</v>
      </c>
      <c r="G15381" t="s">
        <v>25</v>
      </c>
      <c r="H15381" s="12">
        <v>1.4873731813078199</v>
      </c>
      <c r="I15381" s="20">
        <v>0.34044927857157697</v>
      </c>
      <c r="J15381" s="28">
        <v>0.73351821362310798</v>
      </c>
      <c r="K15381" s="29">
        <v>0.98289565623980701</v>
      </c>
    </row>
    <row r="15382" spans="1:11" x14ac:dyDescent="0.35">
      <c r="A15382" s="9" t="str">
        <f>HYPERLINK("http://www.ensembl.org/id/WBGene00007834", "WBGene00007834")</f>
        <v>WBGene00007834</v>
      </c>
      <c r="B15382" s="9" t="str">
        <f>HYPERLINK("http://www.ncbi.nlm.nih.gov/gene/183073", "183073")</f>
        <v>183073</v>
      </c>
      <c r="C15382" s="9"/>
      <c r="D15382" t="str">
        <f>"srxa-7"</f>
        <v>srxa-7</v>
      </c>
      <c r="E15382" t="s">
        <v>3765</v>
      </c>
      <c r="F15382" t="s">
        <v>11</v>
      </c>
      <c r="G15382" t="s">
        <v>25</v>
      </c>
      <c r="H15382" s="12">
        <v>3.2401068437126499</v>
      </c>
      <c r="I15382" s="20">
        <v>0.70564974681543002</v>
      </c>
      <c r="J15382" s="28">
        <v>0.48040597956417103</v>
      </c>
      <c r="K15382" s="29">
        <v>0.98289565623980701</v>
      </c>
    </row>
    <row r="15383" spans="1:11" x14ac:dyDescent="0.35">
      <c r="A15383" s="9" t="str">
        <f>HYPERLINK("http://www.ensembl.org/id/WBGene00011013", "WBGene00011013")</f>
        <v>WBGene00011013</v>
      </c>
      <c r="B15383" s="9" t="str">
        <f>HYPERLINK("http://www.ncbi.nlm.nih.gov/gene/187578", "187578")</f>
        <v>187578</v>
      </c>
      <c r="C15383" s="9"/>
      <c r="D15383" t="str">
        <f>"srxa-8"</f>
        <v>srxa-8</v>
      </c>
      <c r="E15383" t="s">
        <v>3765</v>
      </c>
      <c r="F15383" t="s">
        <v>11</v>
      </c>
      <c r="G15383" t="s">
        <v>25</v>
      </c>
      <c r="H15383" s="12">
        <v>3.0089367345701299</v>
      </c>
      <c r="I15383" s="20">
        <v>0.66724694441772803</v>
      </c>
      <c r="J15383" s="28">
        <v>0.50461440967511995</v>
      </c>
      <c r="K15383" s="29">
        <v>0.98289565623980701</v>
      </c>
    </row>
    <row r="15384" spans="1:11" x14ac:dyDescent="0.35">
      <c r="A15384" s="9" t="str">
        <f>HYPERLINK("http://www.ensembl.org/id/WBGene00014195", "WBGene00014195")</f>
        <v>WBGene00014195</v>
      </c>
      <c r="B15384" s="9" t="str">
        <f>HYPERLINK("http://www.ncbi.nlm.nih.gov/gene/191505", "191505")</f>
        <v>191505</v>
      </c>
      <c r="C15384" s="9"/>
      <c r="D15384" t="str">
        <f>"srz-10"</f>
        <v>srz-10</v>
      </c>
      <c r="E15384" t="s">
        <v>4211</v>
      </c>
      <c r="F15384" t="s">
        <v>11</v>
      </c>
      <c r="G15384" t="s">
        <v>25</v>
      </c>
      <c r="H15384" s="12">
        <v>1.5507793041231701</v>
      </c>
      <c r="I15384" s="20">
        <v>0.26848715344103202</v>
      </c>
      <c r="J15384" s="28">
        <v>0.78832436206160805</v>
      </c>
      <c r="K15384" s="29">
        <v>0.98289565623980701</v>
      </c>
    </row>
    <row r="15385" spans="1:11" x14ac:dyDescent="0.35">
      <c r="A15385" s="9" t="str">
        <f>HYPERLINK("http://www.ensembl.org/id/WBGene00012026", "WBGene00012026")</f>
        <v>WBGene00012026</v>
      </c>
      <c r="B15385" s="9" t="str">
        <f>HYPERLINK("http://www.ncbi.nlm.nih.gov/gene/188901", "188901")</f>
        <v>188901</v>
      </c>
      <c r="C15385" s="9"/>
      <c r="D15385" t="str">
        <f>"srz-100"</f>
        <v>srz-100</v>
      </c>
      <c r="E15385" t="s">
        <v>4211</v>
      </c>
      <c r="F15385" t="s">
        <v>11</v>
      </c>
      <c r="G15385" t="s">
        <v>25</v>
      </c>
      <c r="H15385" s="12">
        <v>-8.0014360469151899</v>
      </c>
      <c r="I15385" s="20">
        <v>-0.61746222315259702</v>
      </c>
      <c r="J15385" s="28">
        <v>0.536929891129723</v>
      </c>
      <c r="K15385" s="29">
        <v>0.98289565623980701</v>
      </c>
    </row>
    <row r="15386" spans="1:11" x14ac:dyDescent="0.35">
      <c r="A15386" s="9" t="str">
        <f>HYPERLINK("http://www.ensembl.org/id/WBGene00008818", "WBGene00008818")</f>
        <v>WBGene00008818</v>
      </c>
      <c r="B15386" s="9" t="str">
        <f>HYPERLINK("http://www.ncbi.nlm.nih.gov/gene/3565936", "3565936")</f>
        <v>3565936</v>
      </c>
      <c r="C15386" s="9"/>
      <c r="D15386" t="str">
        <f>"srz-101"</f>
        <v>srz-101</v>
      </c>
      <c r="E15386" t="s">
        <v>4211</v>
      </c>
      <c r="F15386" t="s">
        <v>11</v>
      </c>
      <c r="G15386" t="s">
        <v>25</v>
      </c>
      <c r="H15386" s="12">
        <v>3.5227018545059199</v>
      </c>
      <c r="I15386" s="20">
        <v>0.36849691206929103</v>
      </c>
      <c r="J15386" s="28">
        <v>0.71250274722433404</v>
      </c>
      <c r="K15386" s="29">
        <v>0.98289565623980701</v>
      </c>
    </row>
    <row r="15387" spans="1:11" x14ac:dyDescent="0.35">
      <c r="A15387" s="9" t="str">
        <f>HYPERLINK("http://www.ensembl.org/id/WBGene00023505", "WBGene00023505")</f>
        <v>WBGene00023505</v>
      </c>
      <c r="B15387" s="9" t="str">
        <f>HYPERLINK("http://www.ncbi.nlm.nih.gov/gene/3565021", "3565021")</f>
        <v>3565021</v>
      </c>
      <c r="C15387" s="9"/>
      <c r="D15387" t="str">
        <f>"srz-102"</f>
        <v>srz-102</v>
      </c>
      <c r="E15387" t="s">
        <v>4211</v>
      </c>
      <c r="F15387" t="s">
        <v>11</v>
      </c>
      <c r="G15387" t="s">
        <v>25</v>
      </c>
      <c r="H15387" s="12">
        <v>5.4058944669092801</v>
      </c>
      <c r="I15387" s="20">
        <v>0.49762513753689303</v>
      </c>
      <c r="J15387" s="28">
        <v>0.61874828254921799</v>
      </c>
      <c r="K15387" s="29">
        <v>0.98289565623980701</v>
      </c>
    </row>
    <row r="15388" spans="1:11" x14ac:dyDescent="0.35">
      <c r="A15388" s="9" t="str">
        <f>HYPERLINK("http://www.ensembl.org/id/WBGene00008815", "WBGene00008815")</f>
        <v>WBGene00008815</v>
      </c>
      <c r="B15388" s="9" t="str">
        <f>HYPERLINK("http://www.ncbi.nlm.nih.gov/gene/184478", "184478")</f>
        <v>184478</v>
      </c>
      <c r="C15388" s="9"/>
      <c r="D15388" t="str">
        <f>"srz-103"</f>
        <v>srz-103</v>
      </c>
      <c r="E15388" t="s">
        <v>4211</v>
      </c>
      <c r="F15388" t="s">
        <v>11</v>
      </c>
      <c r="G15388" t="s">
        <v>25</v>
      </c>
      <c r="H15388" s="12">
        <v>2.4578120077400301</v>
      </c>
      <c r="I15388" s="20">
        <v>0.26093350314551</v>
      </c>
      <c r="J15388" s="28">
        <v>0.79414378780213601</v>
      </c>
      <c r="K15388" s="29">
        <v>0.98289565623980701</v>
      </c>
    </row>
    <row r="15389" spans="1:11" x14ac:dyDescent="0.35">
      <c r="A15389" s="9" t="str">
        <f>HYPERLINK("http://www.ensembl.org/id/WBGene00044587", "WBGene00044587")</f>
        <v>WBGene00044587</v>
      </c>
      <c r="B15389" s="9" t="str">
        <f>HYPERLINK("http://www.ncbi.nlm.nih.gov/gene/3896766", "3896766")</f>
        <v>3896766</v>
      </c>
      <c r="C15389" s="9"/>
      <c r="D15389" t="str">
        <f>"srz-105"</f>
        <v>srz-105</v>
      </c>
      <c r="E15389" t="s">
        <v>4211</v>
      </c>
      <c r="F15389" t="s">
        <v>11</v>
      </c>
      <c r="G15389" t="s">
        <v>25</v>
      </c>
      <c r="H15389" s="12">
        <v>2.3893468495514898</v>
      </c>
      <c r="I15389" s="20">
        <v>0.25323547253672701</v>
      </c>
      <c r="J15389" s="28">
        <v>0.80008625651646104</v>
      </c>
      <c r="K15389" s="29">
        <v>0.98289565623980701</v>
      </c>
    </row>
    <row r="15390" spans="1:11" x14ac:dyDescent="0.35">
      <c r="A15390" s="9" t="str">
        <f>HYPERLINK("http://www.ensembl.org/id/WBGene00023506", "WBGene00023506")</f>
        <v>WBGene00023506</v>
      </c>
      <c r="B15390" s="9" t="str">
        <f>HYPERLINK("http://www.ncbi.nlm.nih.gov/gene/3565837", "3565837")</f>
        <v>3565837</v>
      </c>
      <c r="C15390" s="9"/>
      <c r="D15390" t="str">
        <f>"srz-11"</f>
        <v>srz-11</v>
      </c>
      <c r="E15390" t="s">
        <v>4211</v>
      </c>
      <c r="F15390" t="s">
        <v>11</v>
      </c>
      <c r="G15390" t="s">
        <v>25</v>
      </c>
      <c r="H15390" s="12">
        <v>-3.7261494131482999</v>
      </c>
      <c r="I15390" s="20">
        <v>-0.38454673129429601</v>
      </c>
      <c r="J15390" s="28">
        <v>0.70057326682554</v>
      </c>
      <c r="K15390" s="29">
        <v>0.98289565623980701</v>
      </c>
    </row>
    <row r="15391" spans="1:11" x14ac:dyDescent="0.35">
      <c r="A15391" s="9" t="str">
        <f>HYPERLINK("http://www.ensembl.org/id/WBGene00010688", "WBGene00010688")</f>
        <v>WBGene00010688</v>
      </c>
      <c r="B15391" s="9" t="str">
        <f>HYPERLINK("http://www.ncbi.nlm.nih.gov/gene/187173", "187173")</f>
        <v>187173</v>
      </c>
      <c r="C15391" s="9"/>
      <c r="D15391" t="str">
        <f>"srz-12"</f>
        <v>srz-12</v>
      </c>
      <c r="E15391" t="s">
        <v>4211</v>
      </c>
      <c r="F15391" t="s">
        <v>11</v>
      </c>
      <c r="G15391" t="s">
        <v>25</v>
      </c>
      <c r="H15391" s="12">
        <v>-2.4295389261469</v>
      </c>
      <c r="I15391" s="20">
        <v>-0.25808529976640998</v>
      </c>
      <c r="J15391" s="28">
        <v>0.79634107645457397</v>
      </c>
      <c r="K15391" s="29">
        <v>0.98289565623980701</v>
      </c>
    </row>
    <row r="15392" spans="1:11" x14ac:dyDescent="0.35">
      <c r="A15392" s="9" t="str">
        <f>HYPERLINK("http://www.ensembl.org/id/WBGene00009764", "WBGene00009764")</f>
        <v>WBGene00009764</v>
      </c>
      <c r="B15392" s="9"/>
      <c r="C15392" s="9"/>
      <c r="D15392" t="str">
        <f>"srz-17"</f>
        <v>srz-17</v>
      </c>
      <c r="F15392" t="s">
        <v>80</v>
      </c>
      <c r="H15392" s="12">
        <v>4.4368407117627902</v>
      </c>
      <c r="I15392" s="20">
        <v>0.43709475933309699</v>
      </c>
      <c r="J15392" s="28">
        <v>0.66204262779770495</v>
      </c>
      <c r="K15392" s="29">
        <v>0.98289565623980701</v>
      </c>
    </row>
    <row r="15393" spans="1:11" x14ac:dyDescent="0.35">
      <c r="A15393" s="9" t="str">
        <f>HYPERLINK("http://www.ensembl.org/id/WBGene00009763", "WBGene00009763")</f>
        <v>WBGene00009763</v>
      </c>
      <c r="B15393" s="9" t="str">
        <f>HYPERLINK("http://www.ncbi.nlm.nih.gov/gene/185834", "185834")</f>
        <v>185834</v>
      </c>
      <c r="C15393" s="9"/>
      <c r="D15393" t="str">
        <f>"srz-18"</f>
        <v>srz-18</v>
      </c>
      <c r="E15393" t="s">
        <v>4211</v>
      </c>
      <c r="F15393" t="s">
        <v>11</v>
      </c>
      <c r="G15393" t="s">
        <v>25</v>
      </c>
      <c r="H15393" s="12">
        <v>5.2322000618327396</v>
      </c>
      <c r="I15393" s="20">
        <v>0.486112489888328</v>
      </c>
      <c r="J15393" s="28">
        <v>0.62688741196182496</v>
      </c>
      <c r="K15393" s="29">
        <v>0.98289565623980701</v>
      </c>
    </row>
    <row r="15394" spans="1:11" x14ac:dyDescent="0.35">
      <c r="A15394" s="9" t="str">
        <f>HYPERLINK("http://www.ensembl.org/id/WBGene00008813", "WBGene00008813")</f>
        <v>WBGene00008813</v>
      </c>
      <c r="B15394" s="9"/>
      <c r="C15394" s="9"/>
      <c r="D15394" t="str">
        <f>"srz-2"</f>
        <v>srz-2</v>
      </c>
      <c r="F15394" t="s">
        <v>80</v>
      </c>
      <c r="H15394" s="12">
        <v>2.3893468495514898</v>
      </c>
      <c r="I15394" s="20">
        <v>0.25323547253672701</v>
      </c>
      <c r="J15394" s="28">
        <v>0.80008625651646104</v>
      </c>
      <c r="K15394" s="29">
        <v>0.98289565623980701</v>
      </c>
    </row>
    <row r="15395" spans="1:11" x14ac:dyDescent="0.35">
      <c r="A15395" s="9" t="str">
        <f>HYPERLINK("http://www.ensembl.org/id/WBGene00023481", "WBGene00023481")</f>
        <v>WBGene00023481</v>
      </c>
      <c r="B15395" s="9"/>
      <c r="C15395" s="9"/>
      <c r="D15395" t="str">
        <f>"srz-22"</f>
        <v>srz-22</v>
      </c>
      <c r="F15395" t="s">
        <v>80</v>
      </c>
      <c r="H15395" s="12">
        <v>4.4368407117627902</v>
      </c>
      <c r="I15395" s="20">
        <v>0.43709475933309699</v>
      </c>
      <c r="J15395" s="28">
        <v>0.66204262779770495</v>
      </c>
      <c r="K15395" s="29">
        <v>0.98289565623980701</v>
      </c>
    </row>
    <row r="15396" spans="1:11" x14ac:dyDescent="0.35">
      <c r="A15396" s="9" t="str">
        <f>HYPERLINK("http://www.ensembl.org/id/WBGene00019051", "WBGene00019051")</f>
        <v>WBGene00019051</v>
      </c>
      <c r="B15396" s="9" t="str">
        <f>HYPERLINK("http://www.ncbi.nlm.nih.gov/gene/186523", "186523")</f>
        <v>186523</v>
      </c>
      <c r="C15396" s="9"/>
      <c r="D15396" t="str">
        <f>"srz-23"</f>
        <v>srz-23</v>
      </c>
      <c r="E15396" t="s">
        <v>4211</v>
      </c>
      <c r="F15396" t="s">
        <v>11</v>
      </c>
      <c r="G15396" t="s">
        <v>25</v>
      </c>
      <c r="H15396" s="12">
        <v>-2.4295389261469</v>
      </c>
      <c r="I15396" s="20">
        <v>-0.25808529976640998</v>
      </c>
      <c r="J15396" s="28">
        <v>0.79634107645457397</v>
      </c>
      <c r="K15396" s="29">
        <v>0.98289565623980701</v>
      </c>
    </row>
    <row r="15397" spans="1:11" x14ac:dyDescent="0.35">
      <c r="A15397" s="9" t="str">
        <f>HYPERLINK("http://www.ensembl.org/id/WBGene00023507", "WBGene00023507")</f>
        <v>WBGene00023507</v>
      </c>
      <c r="B15397" s="9"/>
      <c r="C15397" s="9"/>
      <c r="D15397" t="str">
        <f>"srz-26"</f>
        <v>srz-26</v>
      </c>
      <c r="F15397" t="s">
        <v>80</v>
      </c>
      <c r="H15397" s="12">
        <v>2.3893468495514898</v>
      </c>
      <c r="I15397" s="20">
        <v>0.25323547253672701</v>
      </c>
      <c r="J15397" s="28">
        <v>0.80008625651646104</v>
      </c>
      <c r="K15397" s="29">
        <v>0.98289565623980701</v>
      </c>
    </row>
    <row r="15398" spans="1:11" x14ac:dyDescent="0.35">
      <c r="A15398" s="9" t="str">
        <f>HYPERLINK("http://www.ensembl.org/id/WBGene00021182", "WBGene00021182")</f>
        <v>WBGene00021182</v>
      </c>
      <c r="B15398" s="9"/>
      <c r="C15398" s="9"/>
      <c r="D15398" t="str">
        <f>"srz-28"</f>
        <v>srz-28</v>
      </c>
      <c r="F15398" t="s">
        <v>80</v>
      </c>
      <c r="H15398" s="12">
        <v>7.6616465944663696</v>
      </c>
      <c r="I15398" s="20">
        <v>0.60406875593600395</v>
      </c>
      <c r="J15398" s="28">
        <v>0.54579793098927099</v>
      </c>
      <c r="K15398" s="29">
        <v>0.98289565623980701</v>
      </c>
    </row>
    <row r="15399" spans="1:11" x14ac:dyDescent="0.35">
      <c r="A15399" s="9" t="str">
        <f>HYPERLINK("http://www.ensembl.org/id/WBGene00007456", "WBGene00007456")</f>
        <v>WBGene00007456</v>
      </c>
      <c r="B15399" s="9" t="str">
        <f>HYPERLINK("http://www.ncbi.nlm.nih.gov/gene/182423", "182423")</f>
        <v>182423</v>
      </c>
      <c r="C15399" s="9"/>
      <c r="D15399" t="str">
        <f>"srz-29"</f>
        <v>srz-29</v>
      </c>
      <c r="E15399" t="s">
        <v>4211</v>
      </c>
      <c r="F15399" t="s">
        <v>11</v>
      </c>
      <c r="G15399" t="s">
        <v>25</v>
      </c>
      <c r="H15399" s="12">
        <v>10.059024691210601</v>
      </c>
      <c r="I15399" s="20">
        <v>0.87832405149659898</v>
      </c>
      <c r="J15399" s="28">
        <v>0.37976788710071602</v>
      </c>
      <c r="K15399" s="29">
        <v>0.98289565623980701</v>
      </c>
    </row>
    <row r="15400" spans="1:11" x14ac:dyDescent="0.35">
      <c r="A15400" s="9" t="str">
        <f>HYPERLINK("http://www.ensembl.org/id/WBGene00023411", "WBGene00023411")</f>
        <v>WBGene00023411</v>
      </c>
      <c r="B15400" s="9" t="str">
        <f>HYPERLINK("http://www.ncbi.nlm.nih.gov/gene/3564765", "3564765")</f>
        <v>3564765</v>
      </c>
      <c r="C15400" s="9"/>
      <c r="D15400" t="str">
        <f>"srz-3"</f>
        <v>srz-3</v>
      </c>
      <c r="E15400" t="s">
        <v>4211</v>
      </c>
      <c r="F15400" t="s">
        <v>11</v>
      </c>
      <c r="G15400" t="s">
        <v>25</v>
      </c>
      <c r="H15400" s="12">
        <v>2.3893468495514898</v>
      </c>
      <c r="I15400" s="20">
        <v>0.25323547253672701</v>
      </c>
      <c r="J15400" s="28">
        <v>0.80008625651646104</v>
      </c>
      <c r="K15400" s="29">
        <v>0.98289565623980701</v>
      </c>
    </row>
    <row r="15401" spans="1:11" x14ac:dyDescent="0.35">
      <c r="A15401" s="9" t="str">
        <f>HYPERLINK("http://www.ensembl.org/id/WBGene00010389", "WBGene00010389")</f>
        <v>WBGene00010389</v>
      </c>
      <c r="B15401" s="9" t="str">
        <f>HYPERLINK("http://www.ncbi.nlm.nih.gov/gene/186736", "186736")</f>
        <v>186736</v>
      </c>
      <c r="C15401" s="9"/>
      <c r="D15401" t="str">
        <f>"srz-31"</f>
        <v>srz-31</v>
      </c>
      <c r="E15401" t="s">
        <v>4211</v>
      </c>
      <c r="F15401" t="s">
        <v>11</v>
      </c>
      <c r="G15401" t="s">
        <v>25</v>
      </c>
      <c r="H15401" s="12">
        <v>-2.4991590031922399</v>
      </c>
      <c r="I15401" s="20">
        <v>-0.26577412737581302</v>
      </c>
      <c r="J15401" s="28">
        <v>0.79041317015736101</v>
      </c>
      <c r="K15401" s="29">
        <v>0.98289565623980701</v>
      </c>
    </row>
    <row r="15402" spans="1:11" x14ac:dyDescent="0.35">
      <c r="A15402" s="9" t="str">
        <f>HYPERLINK("http://www.ensembl.org/id/WBGene00008941", "WBGene00008941")</f>
        <v>WBGene00008941</v>
      </c>
      <c r="B15402" s="9"/>
      <c r="C15402" s="9"/>
      <c r="D15402" t="str">
        <f>"srz-33"</f>
        <v>srz-33</v>
      </c>
      <c r="F15402" t="s">
        <v>80</v>
      </c>
      <c r="H15402" s="12">
        <v>1.7798517350835601</v>
      </c>
      <c r="I15402" s="20">
        <v>0.29826325870262899</v>
      </c>
      <c r="J15402" s="28">
        <v>0.76550224406528999</v>
      </c>
      <c r="K15402" s="29">
        <v>0.98289565623980701</v>
      </c>
    </row>
    <row r="15403" spans="1:11" x14ac:dyDescent="0.35">
      <c r="A15403" s="9" t="str">
        <f>HYPERLINK("http://www.ensembl.org/id/WBGene00008943", "WBGene00008943")</f>
        <v>WBGene00008943</v>
      </c>
      <c r="B15403" s="9"/>
      <c r="C15403" s="9"/>
      <c r="D15403" t="str">
        <f>"srz-36"</f>
        <v>srz-36</v>
      </c>
      <c r="F15403" t="s">
        <v>80</v>
      </c>
      <c r="H15403" s="12">
        <v>2.3893468495514898</v>
      </c>
      <c r="I15403" s="20">
        <v>0.25323547253672701</v>
      </c>
      <c r="J15403" s="28">
        <v>0.80008625651646104</v>
      </c>
      <c r="K15403" s="29">
        <v>0.98289565623980701</v>
      </c>
    </row>
    <row r="15404" spans="1:11" x14ac:dyDescent="0.35">
      <c r="A15404" s="9" t="str">
        <f>HYPERLINK("http://www.ensembl.org/id/WBGene00015175", "WBGene00015175")</f>
        <v>WBGene00015175</v>
      </c>
      <c r="B15404" s="9" t="str">
        <f>HYPERLINK("http://www.ncbi.nlm.nih.gov/gene/181982", "181982")</f>
        <v>181982</v>
      </c>
      <c r="C15404" s="9"/>
      <c r="D15404" t="str">
        <f>"srz-4"</f>
        <v>srz-4</v>
      </c>
      <c r="E15404" t="s">
        <v>4211</v>
      </c>
      <c r="F15404" t="s">
        <v>11</v>
      </c>
      <c r="G15404" t="s">
        <v>25</v>
      </c>
      <c r="H15404" s="12">
        <v>3.5518690361809102</v>
      </c>
      <c r="I15404" s="20">
        <v>0.53231093426673404</v>
      </c>
      <c r="J15404" s="28">
        <v>0.59451066039691003</v>
      </c>
      <c r="K15404" s="29">
        <v>0.98289565623980701</v>
      </c>
    </row>
    <row r="15405" spans="1:11" x14ac:dyDescent="0.35">
      <c r="A15405" s="9" t="str">
        <f>HYPERLINK("http://www.ensembl.org/id/WBGene00023511", "WBGene00023511")</f>
        <v>WBGene00023511</v>
      </c>
      <c r="B15405" s="9"/>
      <c r="C15405" s="9"/>
      <c r="D15405" t="str">
        <f>"srz-41"</f>
        <v>srz-41</v>
      </c>
      <c r="F15405" t="s">
        <v>80</v>
      </c>
      <c r="H15405" s="12">
        <v>-7.7904337984490803</v>
      </c>
      <c r="I15405" s="20">
        <v>-0.60901310058451197</v>
      </c>
      <c r="J15405" s="28">
        <v>0.54251575542982</v>
      </c>
      <c r="K15405" s="29">
        <v>0.98289565623980701</v>
      </c>
    </row>
    <row r="15406" spans="1:11" x14ac:dyDescent="0.35">
      <c r="A15406" s="9" t="str">
        <f>HYPERLINK("http://www.ensembl.org/id/WBGene00008327", "WBGene00008327")</f>
        <v>WBGene00008327</v>
      </c>
      <c r="B15406" s="9" t="str">
        <f>HYPERLINK("http://www.ncbi.nlm.nih.gov/gene/3565821", "3565821")</f>
        <v>3565821</v>
      </c>
      <c r="C15406" s="9"/>
      <c r="D15406" t="str">
        <f>"srz-44"</f>
        <v>srz-44</v>
      </c>
      <c r="E15406" t="s">
        <v>4211</v>
      </c>
      <c r="F15406" t="s">
        <v>11</v>
      </c>
      <c r="G15406" t="s">
        <v>25</v>
      </c>
      <c r="H15406" s="12">
        <v>4.7726609867478498</v>
      </c>
      <c r="I15406" s="20">
        <v>0.97134688071907704</v>
      </c>
      <c r="J15406" s="28">
        <v>0.33137557085652602</v>
      </c>
      <c r="K15406" s="29">
        <v>0.98289565623980701</v>
      </c>
    </row>
    <row r="15407" spans="1:11" x14ac:dyDescent="0.35">
      <c r="A15407" s="9" t="str">
        <f>HYPERLINK("http://www.ensembl.org/id/WBGene00012403", "WBGene00012403")</f>
        <v>WBGene00012403</v>
      </c>
      <c r="B15407" s="9"/>
      <c r="C15407" s="9"/>
      <c r="D15407" t="str">
        <f>"srz-45"</f>
        <v>srz-45</v>
      </c>
      <c r="F15407" t="s">
        <v>80</v>
      </c>
      <c r="H15407" s="12">
        <v>15.4310788203624</v>
      </c>
      <c r="I15407" s="20">
        <v>0.98793301332604</v>
      </c>
      <c r="J15407" s="28">
        <v>0.32318545590394598</v>
      </c>
      <c r="K15407" s="29">
        <v>0.98289565623980701</v>
      </c>
    </row>
    <row r="15408" spans="1:11" x14ac:dyDescent="0.35">
      <c r="A15408" s="9" t="str">
        <f>HYPERLINK("http://www.ensembl.org/id/WBGene00014764", "WBGene00014764")</f>
        <v>WBGene00014764</v>
      </c>
      <c r="B15408" s="9"/>
      <c r="C15408" s="9"/>
      <c r="D15408" t="str">
        <f>"srz-46"</f>
        <v>srz-46</v>
      </c>
      <c r="F15408" t="s">
        <v>80</v>
      </c>
      <c r="H15408" s="12">
        <v>4.4368407117627902</v>
      </c>
      <c r="I15408" s="20">
        <v>0.43709475933309699</v>
      </c>
      <c r="J15408" s="28">
        <v>0.66204262779770495</v>
      </c>
      <c r="K15408" s="29">
        <v>0.98289565623980701</v>
      </c>
    </row>
    <row r="15409" spans="1:11" x14ac:dyDescent="0.35">
      <c r="A15409" s="9" t="str">
        <f>HYPERLINK("http://www.ensembl.org/id/WBGene00013466", "WBGene00013466")</f>
        <v>WBGene00013466</v>
      </c>
      <c r="B15409" s="9" t="str">
        <f>HYPERLINK("http://www.ncbi.nlm.nih.gov/gene/190523", "190523")</f>
        <v>190523</v>
      </c>
      <c r="C15409" s="9"/>
      <c r="D15409" t="str">
        <f>"srz-47"</f>
        <v>srz-47</v>
      </c>
      <c r="E15409" t="s">
        <v>4211</v>
      </c>
      <c r="F15409" t="s">
        <v>11</v>
      </c>
      <c r="G15409" t="s">
        <v>25</v>
      </c>
      <c r="H15409" s="12">
        <v>1.5249933650952601</v>
      </c>
      <c r="I15409" s="20">
        <v>0.27513106996636499</v>
      </c>
      <c r="J15409" s="28">
        <v>0.78321554197285403</v>
      </c>
      <c r="K15409" s="29">
        <v>0.98289565623980701</v>
      </c>
    </row>
    <row r="15410" spans="1:11" x14ac:dyDescent="0.35">
      <c r="A15410" s="9" t="str">
        <f>HYPERLINK("http://www.ensembl.org/id/WBGene00021722", "WBGene00021722")</f>
        <v>WBGene00021722</v>
      </c>
      <c r="B15410" s="9" t="str">
        <f>HYPERLINK("http://www.ncbi.nlm.nih.gov/gene/190083", "190083")</f>
        <v>190083</v>
      </c>
      <c r="C15410" s="9"/>
      <c r="D15410" t="str">
        <f>"srz-5"</f>
        <v>srz-5</v>
      </c>
      <c r="E15410" t="s">
        <v>4211</v>
      </c>
      <c r="F15410" t="s">
        <v>11</v>
      </c>
      <c r="G15410" t="s">
        <v>25</v>
      </c>
      <c r="H15410" s="12">
        <v>7.6616465944663696</v>
      </c>
      <c r="I15410" s="20">
        <v>0.60406875593600395</v>
      </c>
      <c r="J15410" s="28">
        <v>0.54579793098927099</v>
      </c>
      <c r="K15410" s="29">
        <v>0.98289565623980701</v>
      </c>
    </row>
    <row r="15411" spans="1:11" x14ac:dyDescent="0.35">
      <c r="A15411" s="9" t="str">
        <f>HYPERLINK("http://www.ensembl.org/id/WBGene00013625", "WBGene00013625")</f>
        <v>WBGene00013625</v>
      </c>
      <c r="B15411" s="9"/>
      <c r="C15411" s="9"/>
      <c r="D15411" t="str">
        <f>"srz-53"</f>
        <v>srz-53</v>
      </c>
      <c r="F15411" t="s">
        <v>80</v>
      </c>
      <c r="H15411" s="12">
        <v>-2.4991590031922399</v>
      </c>
      <c r="I15411" s="20">
        <v>-0.26577412737581302</v>
      </c>
      <c r="J15411" s="28">
        <v>0.79041317015736101</v>
      </c>
      <c r="K15411" s="29">
        <v>0.98289565623980701</v>
      </c>
    </row>
    <row r="15412" spans="1:11" x14ac:dyDescent="0.35">
      <c r="A15412" s="9" t="str">
        <f>HYPERLINK("http://www.ensembl.org/id/WBGene00016519", "WBGene00016519")</f>
        <v>WBGene00016519</v>
      </c>
      <c r="B15412" s="9" t="str">
        <f>HYPERLINK("http://www.ncbi.nlm.nih.gov/gene/183321", "183321")</f>
        <v>183321</v>
      </c>
      <c r="C15412" s="9"/>
      <c r="D15412" t="str">
        <f>"srz-56"</f>
        <v>srz-56</v>
      </c>
      <c r="E15412" t="s">
        <v>4211</v>
      </c>
      <c r="F15412" t="s">
        <v>11</v>
      </c>
      <c r="G15412" t="s">
        <v>25</v>
      </c>
      <c r="H15412" s="12">
        <v>4.4368407117627902</v>
      </c>
      <c r="I15412" s="20">
        <v>0.43709475933309699</v>
      </c>
      <c r="J15412" s="28">
        <v>0.66204262779770495</v>
      </c>
      <c r="K15412" s="29">
        <v>0.98289565623980701</v>
      </c>
    </row>
    <row r="15413" spans="1:11" x14ac:dyDescent="0.35">
      <c r="A15413" s="9" t="str">
        <f>HYPERLINK("http://www.ensembl.org/id/WBGene00010394", "WBGene00010394")</f>
        <v>WBGene00010394</v>
      </c>
      <c r="B15413" s="9" t="str">
        <f>HYPERLINK("http://www.ncbi.nlm.nih.gov/gene/13200574", "13200574")</f>
        <v>13200574</v>
      </c>
      <c r="C15413" s="9"/>
      <c r="D15413" t="str">
        <f>"srz-59"</f>
        <v>srz-59</v>
      </c>
      <c r="E15413" t="s">
        <v>4211</v>
      </c>
      <c r="F15413" t="s">
        <v>11</v>
      </c>
      <c r="G15413" t="s">
        <v>25</v>
      </c>
      <c r="H15413" s="12">
        <v>3.1706514592375101</v>
      </c>
      <c r="I15413" s="20">
        <v>0.44390112599266301</v>
      </c>
      <c r="J15413" s="28">
        <v>0.65711407043763304</v>
      </c>
      <c r="K15413" s="29">
        <v>0.98289565623980701</v>
      </c>
    </row>
    <row r="15414" spans="1:11" x14ac:dyDescent="0.35">
      <c r="A15414" s="9" t="str">
        <f>HYPERLINK("http://www.ensembl.org/id/WBGene00010530", "WBGene00010530")</f>
        <v>WBGene00010530</v>
      </c>
      <c r="B15414" s="9" t="str">
        <f>HYPERLINK("http://www.ncbi.nlm.nih.gov/gene/186935", "186935")</f>
        <v>186935</v>
      </c>
      <c r="C15414" s="9"/>
      <c r="D15414" t="str">
        <f>"srz-61"</f>
        <v>srz-61</v>
      </c>
      <c r="E15414" t="s">
        <v>4211</v>
      </c>
      <c r="F15414" t="s">
        <v>11</v>
      </c>
      <c r="G15414" t="s">
        <v>25</v>
      </c>
      <c r="H15414" s="12">
        <v>3.5227018545059199</v>
      </c>
      <c r="I15414" s="20">
        <v>0.36849691206929103</v>
      </c>
      <c r="J15414" s="28">
        <v>0.71250274722433404</v>
      </c>
      <c r="K15414" s="29">
        <v>0.98289565623980701</v>
      </c>
    </row>
    <row r="15415" spans="1:11" x14ac:dyDescent="0.35">
      <c r="A15415" s="9" t="str">
        <f>HYPERLINK("http://www.ensembl.org/id/WBGene00023478", "WBGene00023478")</f>
        <v>WBGene00023478</v>
      </c>
      <c r="B15415" s="9" t="str">
        <f>HYPERLINK("http://www.ncbi.nlm.nih.gov/gene/3565917", "3565917")</f>
        <v>3565917</v>
      </c>
      <c r="C15415" s="9"/>
      <c r="D15415" t="str">
        <f>"srz-62"</f>
        <v>srz-62</v>
      </c>
      <c r="E15415" t="s">
        <v>4211</v>
      </c>
      <c r="F15415" t="s">
        <v>11</v>
      </c>
      <c r="G15415" t="s">
        <v>25</v>
      </c>
      <c r="H15415" s="12">
        <v>2.3893468495514898</v>
      </c>
      <c r="I15415" s="20">
        <v>0.25323547253672701</v>
      </c>
      <c r="J15415" s="28">
        <v>0.80008625651646104</v>
      </c>
      <c r="K15415" s="29">
        <v>0.98289565623980701</v>
      </c>
    </row>
    <row r="15416" spans="1:11" x14ac:dyDescent="0.35">
      <c r="A15416" s="9" t="str">
        <f>HYPERLINK("http://www.ensembl.org/id/WBGene00023499", "WBGene00023499")</f>
        <v>WBGene00023499</v>
      </c>
      <c r="B15416" s="9" t="str">
        <f>HYPERLINK("http://www.ncbi.nlm.nih.gov/gene/3565730", "3565730")</f>
        <v>3565730</v>
      </c>
      <c r="C15416" s="9"/>
      <c r="D15416" t="str">
        <f>"srz-63"</f>
        <v>srz-63</v>
      </c>
      <c r="E15416" t="s">
        <v>4211</v>
      </c>
      <c r="F15416" t="s">
        <v>11</v>
      </c>
      <c r="G15416" t="s">
        <v>25</v>
      </c>
      <c r="H15416" s="12">
        <v>-2.4991590031922399</v>
      </c>
      <c r="I15416" s="20">
        <v>-0.26577412737581302</v>
      </c>
      <c r="J15416" s="28">
        <v>0.79041317015736101</v>
      </c>
      <c r="K15416" s="29">
        <v>0.98289565623980701</v>
      </c>
    </row>
    <row r="15417" spans="1:11" x14ac:dyDescent="0.35">
      <c r="A15417" s="9" t="str">
        <f>HYPERLINK("http://www.ensembl.org/id/WBGene00009569", "WBGene00009569")</f>
        <v>WBGene00009569</v>
      </c>
      <c r="B15417" s="9" t="str">
        <f>HYPERLINK("http://www.ncbi.nlm.nih.gov/gene/185527", "185527")</f>
        <v>185527</v>
      </c>
      <c r="C15417" s="9"/>
      <c r="D15417" t="str">
        <f>"srz-66"</f>
        <v>srz-66</v>
      </c>
      <c r="E15417" t="s">
        <v>4211</v>
      </c>
      <c r="F15417" t="s">
        <v>11</v>
      </c>
      <c r="G15417" t="s">
        <v>25</v>
      </c>
      <c r="H15417" s="12">
        <v>11.170998397396099</v>
      </c>
      <c r="I15417" s="20">
        <v>0.72284615686154896</v>
      </c>
      <c r="J15417" s="28">
        <v>0.46977440626377698</v>
      </c>
      <c r="K15417" s="29">
        <v>0.98289565623980701</v>
      </c>
    </row>
    <row r="15418" spans="1:11" x14ac:dyDescent="0.35">
      <c r="A15418" s="9" t="str">
        <f>HYPERLINK("http://www.ensembl.org/id/WBGene00023513", "WBGene00023513")</f>
        <v>WBGene00023513</v>
      </c>
      <c r="B15418" s="9" t="str">
        <f>HYPERLINK("http://www.ncbi.nlm.nih.gov/gene/3564811", "3564811")</f>
        <v>3564811</v>
      </c>
      <c r="C15418" s="9"/>
      <c r="D15418" t="str">
        <f>"srz-71"</f>
        <v>srz-71</v>
      </c>
      <c r="E15418" t="s">
        <v>4211</v>
      </c>
      <c r="F15418" t="s">
        <v>11</v>
      </c>
      <c r="G15418" t="s">
        <v>25</v>
      </c>
      <c r="H15418" s="12">
        <v>5.4058944669092801</v>
      </c>
      <c r="I15418" s="20">
        <v>0.49762513753689303</v>
      </c>
      <c r="J15418" s="28">
        <v>0.61874828254921799</v>
      </c>
      <c r="K15418" s="29">
        <v>0.98289565623980701</v>
      </c>
    </row>
    <row r="15419" spans="1:11" x14ac:dyDescent="0.35">
      <c r="A15419" s="9" t="str">
        <f>HYPERLINK("http://www.ensembl.org/id/WBGene00023514", "WBGene00023514")</f>
        <v>WBGene00023514</v>
      </c>
      <c r="B15419" s="9" t="str">
        <f>HYPERLINK("http://www.ncbi.nlm.nih.gov/gene/3564891", "3564891")</f>
        <v>3564891</v>
      </c>
      <c r="C15419" s="9"/>
      <c r="D15419" t="str">
        <f>"srz-72"</f>
        <v>srz-72</v>
      </c>
      <c r="E15419" t="s">
        <v>4211</v>
      </c>
      <c r="F15419" t="s">
        <v>11</v>
      </c>
      <c r="G15419" t="s">
        <v>25</v>
      </c>
      <c r="H15419" s="12">
        <v>-2.4991590031922399</v>
      </c>
      <c r="I15419" s="20">
        <v>-0.26577412737581302</v>
      </c>
      <c r="J15419" s="28">
        <v>0.79041317015736101</v>
      </c>
      <c r="K15419" s="29">
        <v>0.98289565623980701</v>
      </c>
    </row>
    <row r="15420" spans="1:11" x14ac:dyDescent="0.35">
      <c r="A15420" s="9" t="str">
        <f>HYPERLINK("http://www.ensembl.org/id/WBGene00012419", "WBGene00012419")</f>
        <v>WBGene00012419</v>
      </c>
      <c r="B15420" s="9"/>
      <c r="C15420" s="9"/>
      <c r="D15420" t="str">
        <f>"srz-73"</f>
        <v>srz-73</v>
      </c>
      <c r="F15420" t="s">
        <v>80</v>
      </c>
      <c r="H15420" s="12">
        <v>3.5227018545059199</v>
      </c>
      <c r="I15420" s="20">
        <v>0.36849691206929103</v>
      </c>
      <c r="J15420" s="28">
        <v>0.71250274722433404</v>
      </c>
      <c r="K15420" s="29">
        <v>0.98289565623980701</v>
      </c>
    </row>
    <row r="15421" spans="1:11" x14ac:dyDescent="0.35">
      <c r="A15421" s="9" t="str">
        <f>HYPERLINK("http://www.ensembl.org/id/WBGene00010527", "WBGene00010527")</f>
        <v>WBGene00010527</v>
      </c>
      <c r="B15421" s="9" t="str">
        <f>HYPERLINK("http://www.ncbi.nlm.nih.gov/gene/186932", "186932")</f>
        <v>186932</v>
      </c>
      <c r="C15421" s="9"/>
      <c r="D15421" t="str">
        <f>"srz-74"</f>
        <v>srz-74</v>
      </c>
      <c r="E15421" t="s">
        <v>4211</v>
      </c>
      <c r="F15421" t="s">
        <v>11</v>
      </c>
      <c r="G15421" t="s">
        <v>25</v>
      </c>
      <c r="H15421" s="12">
        <v>2.3893468495514898</v>
      </c>
      <c r="I15421" s="20">
        <v>0.25323547253672701</v>
      </c>
      <c r="J15421" s="28">
        <v>0.80008625651646104</v>
      </c>
      <c r="K15421" s="29">
        <v>0.98289565623980701</v>
      </c>
    </row>
    <row r="15422" spans="1:11" x14ac:dyDescent="0.35">
      <c r="A15422" s="9" t="str">
        <f>HYPERLINK("http://www.ensembl.org/id/WBGene00023517", "WBGene00023517")</f>
        <v>WBGene00023517</v>
      </c>
      <c r="B15422" s="9" t="str">
        <f>HYPERLINK("http://www.ncbi.nlm.nih.gov/gene/3565568", "3565568")</f>
        <v>3565568</v>
      </c>
      <c r="C15422" s="9"/>
      <c r="D15422" t="str">
        <f>"srz-75"</f>
        <v>srz-75</v>
      </c>
      <c r="E15422" t="s">
        <v>4211</v>
      </c>
      <c r="F15422" t="s">
        <v>11</v>
      </c>
      <c r="G15422" t="s">
        <v>25</v>
      </c>
      <c r="H15422" s="12">
        <v>3.5227018545059199</v>
      </c>
      <c r="I15422" s="20">
        <v>0.36849691206929103</v>
      </c>
      <c r="J15422" s="28">
        <v>0.71250274722433404</v>
      </c>
      <c r="K15422" s="29">
        <v>0.98289565623980701</v>
      </c>
    </row>
    <row r="15423" spans="1:11" x14ac:dyDescent="0.35">
      <c r="A15423" s="9" t="str">
        <f>HYPERLINK("http://www.ensembl.org/id/WBGene00015653", "WBGene00015653")</f>
        <v>WBGene00015653</v>
      </c>
      <c r="B15423" s="9" t="str">
        <f>HYPERLINK("http://www.ncbi.nlm.nih.gov/gene/182469", "182469")</f>
        <v>182469</v>
      </c>
      <c r="C15423" s="9"/>
      <c r="D15423" t="str">
        <f>"srz-78"</f>
        <v>srz-78</v>
      </c>
      <c r="E15423" t="s">
        <v>4211</v>
      </c>
      <c r="F15423" t="s">
        <v>11</v>
      </c>
      <c r="G15423" t="s">
        <v>25</v>
      </c>
      <c r="H15423" s="12">
        <v>2.4578120077400301</v>
      </c>
      <c r="I15423" s="20">
        <v>0.26093350314551</v>
      </c>
      <c r="J15423" s="28">
        <v>0.79414378780213601</v>
      </c>
      <c r="K15423" s="29">
        <v>0.98289565623980701</v>
      </c>
    </row>
    <row r="15424" spans="1:11" x14ac:dyDescent="0.35">
      <c r="A15424" s="9" t="str">
        <f>HYPERLINK("http://www.ensembl.org/id/WBGene00023462", "WBGene00023462")</f>
        <v>WBGene00023462</v>
      </c>
      <c r="B15424" s="9" t="str">
        <f>HYPERLINK("http://www.ncbi.nlm.nih.gov/gene/3565161", "3565161")</f>
        <v>3565161</v>
      </c>
      <c r="C15424" s="9"/>
      <c r="D15424" t="str">
        <f>"srz-83"</f>
        <v>srz-83</v>
      </c>
      <c r="E15424" t="s">
        <v>4211</v>
      </c>
      <c r="F15424" t="s">
        <v>11</v>
      </c>
      <c r="G15424" t="s">
        <v>25</v>
      </c>
      <c r="H15424" s="12">
        <v>5.9495765472548197</v>
      </c>
      <c r="I15424" s="20">
        <v>0.52429389276509997</v>
      </c>
      <c r="J15424" s="28">
        <v>0.60007414400596704</v>
      </c>
      <c r="K15424" s="29">
        <v>0.98289565623980701</v>
      </c>
    </row>
    <row r="15425" spans="1:11" x14ac:dyDescent="0.35">
      <c r="A15425" s="9" t="str">
        <f>HYPERLINK("http://www.ensembl.org/id/WBGene00015018", "WBGene00015018")</f>
        <v>WBGene00015018</v>
      </c>
      <c r="B15425" s="9" t="str">
        <f>HYPERLINK("http://www.ncbi.nlm.nih.gov/gene/181831", "181831")</f>
        <v>181831</v>
      </c>
      <c r="C15425" s="9"/>
      <c r="D15425" t="str">
        <f>"srz-85"</f>
        <v>srz-85</v>
      </c>
      <c r="E15425" t="s">
        <v>4211</v>
      </c>
      <c r="F15425" t="s">
        <v>11</v>
      </c>
      <c r="G15425" t="s">
        <v>25</v>
      </c>
      <c r="H15425" s="12">
        <v>1.70012162817195</v>
      </c>
      <c r="I15425" s="20">
        <v>0.34292293480719999</v>
      </c>
      <c r="J15425" s="28">
        <v>0.73165643731215102</v>
      </c>
      <c r="K15425" s="29">
        <v>0.98289565623980701</v>
      </c>
    </row>
    <row r="15426" spans="1:11" x14ac:dyDescent="0.35">
      <c r="A15426" s="9" t="str">
        <f>HYPERLINK("http://www.ensembl.org/id/WBGene00023471", "WBGene00023471")</f>
        <v>WBGene00023471</v>
      </c>
      <c r="B15426" s="9"/>
      <c r="C15426" s="9"/>
      <c r="D15426" t="str">
        <f>"srz-86"</f>
        <v>srz-86</v>
      </c>
      <c r="F15426" t="s">
        <v>80</v>
      </c>
      <c r="H15426" s="12">
        <v>2.3893468495514898</v>
      </c>
      <c r="I15426" s="20">
        <v>0.25323547253672701</v>
      </c>
      <c r="J15426" s="28">
        <v>0.80008625651646104</v>
      </c>
      <c r="K15426" s="29">
        <v>0.98289565623980701</v>
      </c>
    </row>
    <row r="15427" spans="1:11" x14ac:dyDescent="0.35">
      <c r="A15427" s="9" t="str">
        <f>HYPERLINK("http://www.ensembl.org/id/WBGene00023470", "WBGene00023470")</f>
        <v>WBGene00023470</v>
      </c>
      <c r="B15427" s="9"/>
      <c r="C15427" s="9"/>
      <c r="D15427" t="str">
        <f>"srz-87"</f>
        <v>srz-87</v>
      </c>
      <c r="F15427" t="s">
        <v>80</v>
      </c>
      <c r="H15427" s="12">
        <v>-3.7261494131482999</v>
      </c>
      <c r="I15427" s="20">
        <v>-0.38454673129429601</v>
      </c>
      <c r="J15427" s="28">
        <v>0.70057326682554</v>
      </c>
      <c r="K15427" s="29">
        <v>0.98289565623980701</v>
      </c>
    </row>
    <row r="15428" spans="1:11" x14ac:dyDescent="0.35">
      <c r="A15428" s="9" t="str">
        <f>HYPERLINK("http://www.ensembl.org/id/WBGene00019469", "WBGene00019469")</f>
        <v>WBGene00019469</v>
      </c>
      <c r="B15428" s="9"/>
      <c r="C15428" s="9"/>
      <c r="D15428" t="str">
        <f>"srz-89"</f>
        <v>srz-89</v>
      </c>
      <c r="F15428" t="s">
        <v>80</v>
      </c>
      <c r="H15428" s="12">
        <v>2.3893468495514898</v>
      </c>
      <c r="I15428" s="20">
        <v>0.25323547253672701</v>
      </c>
      <c r="J15428" s="28">
        <v>0.80008625651646104</v>
      </c>
      <c r="K15428" s="29">
        <v>0.98289565623980701</v>
      </c>
    </row>
    <row r="15429" spans="1:11" x14ac:dyDescent="0.35">
      <c r="A15429" s="9" t="str">
        <f>HYPERLINK("http://www.ensembl.org/id/WBGene00009910", "WBGene00009910")</f>
        <v>WBGene00009910</v>
      </c>
      <c r="B15429" s="9"/>
      <c r="C15429" s="9"/>
      <c r="D15429" t="str">
        <f>"srz-92"</f>
        <v>srz-92</v>
      </c>
      <c r="F15429" t="s">
        <v>80</v>
      </c>
      <c r="H15429" s="12">
        <v>2.3023301924467101</v>
      </c>
      <c r="I15429" s="20">
        <v>0.26674601818072902</v>
      </c>
      <c r="J15429" s="28">
        <v>0.78966471981773201</v>
      </c>
      <c r="K15429" s="29">
        <v>0.98289565623980701</v>
      </c>
    </row>
    <row r="15430" spans="1:11" x14ac:dyDescent="0.35">
      <c r="A15430" s="9" t="str">
        <f>HYPERLINK("http://www.ensembl.org/id/WBGene00009912", "WBGene00009912")</f>
        <v>WBGene00009912</v>
      </c>
      <c r="B15430" s="9" t="str">
        <f>HYPERLINK("http://www.ncbi.nlm.nih.gov/gene/186078", "186078")</f>
        <v>186078</v>
      </c>
      <c r="C15430" s="9"/>
      <c r="D15430" t="str">
        <f>"srz-94"</f>
        <v>srz-94</v>
      </c>
      <c r="E15430" t="s">
        <v>4211</v>
      </c>
      <c r="F15430" t="s">
        <v>11</v>
      </c>
      <c r="G15430" t="s">
        <v>25</v>
      </c>
      <c r="H15430" s="12">
        <v>3.5227018545059199</v>
      </c>
      <c r="I15430" s="20">
        <v>0.36849691206929103</v>
      </c>
      <c r="J15430" s="28">
        <v>0.71250274722433404</v>
      </c>
      <c r="K15430" s="29">
        <v>0.98289565623980701</v>
      </c>
    </row>
    <row r="15431" spans="1:11" x14ac:dyDescent="0.35">
      <c r="A15431" s="9" t="str">
        <f>HYPERLINK("http://www.ensembl.org/id/WBGene00023515", "WBGene00023515")</f>
        <v>WBGene00023515</v>
      </c>
      <c r="B15431" s="9" t="str">
        <f>HYPERLINK("http://www.ncbi.nlm.nih.gov/gene/3564826", "3564826")</f>
        <v>3564826</v>
      </c>
      <c r="C15431" s="9"/>
      <c r="D15431" t="str">
        <f>"srz-97"</f>
        <v>srz-97</v>
      </c>
      <c r="E15431" t="s">
        <v>4211</v>
      </c>
      <c r="F15431" t="s">
        <v>11</v>
      </c>
      <c r="G15431" t="s">
        <v>25</v>
      </c>
      <c r="H15431" s="12">
        <v>6.0722134029377397</v>
      </c>
      <c r="I15431" s="20">
        <v>0.96554299614261097</v>
      </c>
      <c r="J15431" s="28">
        <v>0.33427291124484998</v>
      </c>
      <c r="K15431" s="29">
        <v>0.98289565623980701</v>
      </c>
    </row>
    <row r="15432" spans="1:11" x14ac:dyDescent="0.35">
      <c r="A15432" s="9" t="str">
        <f>HYPERLINK("http://www.ensembl.org/id/WBGene00012028", "WBGene00012028")</f>
        <v>WBGene00012028</v>
      </c>
      <c r="B15432" s="9" t="str">
        <f>HYPERLINK("http://www.ncbi.nlm.nih.gov/gene/3564956", "3564956")</f>
        <v>3564956</v>
      </c>
      <c r="C15432" s="9"/>
      <c r="D15432" t="str">
        <f>"srz-99"</f>
        <v>srz-99</v>
      </c>
      <c r="E15432" t="s">
        <v>4211</v>
      </c>
      <c r="F15432" t="s">
        <v>11</v>
      </c>
      <c r="G15432" t="s">
        <v>25</v>
      </c>
      <c r="H15432" s="12">
        <v>1.4894923780790299</v>
      </c>
      <c r="I15432" s="20">
        <v>0.294653288490902</v>
      </c>
      <c r="J15432" s="28">
        <v>0.76825875001865995</v>
      </c>
      <c r="K15432" s="29">
        <v>0.98289565623980701</v>
      </c>
    </row>
    <row r="15433" spans="1:11" x14ac:dyDescent="0.35">
      <c r="A15433" s="9" t="str">
        <f>HYPERLINK("http://www.ensembl.org/id/WBGene00006040", "WBGene00006040")</f>
        <v>WBGene00006040</v>
      </c>
      <c r="B15433" s="9" t="str">
        <f>HYPERLINK("http://www.ncbi.nlm.nih.gov/gene/177266", "177266")</f>
        <v>177266</v>
      </c>
      <c r="C15433" s="9"/>
      <c r="D15433" t="str">
        <f>"ssp-11"</f>
        <v>ssp-11</v>
      </c>
      <c r="E15433" t="s">
        <v>10081</v>
      </c>
      <c r="F15433" t="s">
        <v>11</v>
      </c>
      <c r="H15433" s="12">
        <v>-2.7909333017174198</v>
      </c>
      <c r="I15433" s="20">
        <v>-0.65031239926456896</v>
      </c>
      <c r="J15433" s="28">
        <v>0.51549044944631195</v>
      </c>
      <c r="K15433" s="29">
        <v>0.98289565623980701</v>
      </c>
    </row>
    <row r="15434" spans="1:11" x14ac:dyDescent="0.35">
      <c r="A15434" s="9" t="str">
        <f>HYPERLINK("http://www.ensembl.org/id/WBGene00006044", "WBGene00006044")</f>
        <v>WBGene00006044</v>
      </c>
      <c r="B15434" s="9" t="str">
        <f>HYPERLINK("http://www.ncbi.nlm.nih.gov/gene/172294", "172294")</f>
        <v>172294</v>
      </c>
      <c r="C15434" s="9"/>
      <c r="D15434" t="str">
        <f>"ssp-16"</f>
        <v>ssp-16</v>
      </c>
      <c r="E15434" t="s">
        <v>9913</v>
      </c>
      <c r="F15434" t="s">
        <v>11</v>
      </c>
      <c r="H15434" s="12">
        <v>-1.3703687519138601</v>
      </c>
      <c r="I15434" s="20">
        <v>-0.405562288761249</v>
      </c>
      <c r="J15434" s="28">
        <v>0.68506424233849605</v>
      </c>
      <c r="K15434" s="29">
        <v>0.98289565623980701</v>
      </c>
    </row>
    <row r="15435" spans="1:11" x14ac:dyDescent="0.35">
      <c r="A15435" s="9" t="str">
        <f>HYPERLINK("http://www.ensembl.org/id/WBGene00006048", "WBGene00006048")</f>
        <v>WBGene00006048</v>
      </c>
      <c r="B15435" s="9" t="str">
        <f>HYPERLINK("http://www.ncbi.nlm.nih.gov/gene/173187", "173187")</f>
        <v>173187</v>
      </c>
      <c r="C15435" s="9"/>
      <c r="D15435" t="str">
        <f>"ssp-31"</f>
        <v>ssp-31</v>
      </c>
      <c r="E15435" t="s">
        <v>10101</v>
      </c>
      <c r="F15435" t="s">
        <v>11</v>
      </c>
      <c r="G15435" t="s">
        <v>54</v>
      </c>
      <c r="H15435" s="12">
        <v>-3.6236119017698001</v>
      </c>
      <c r="I15435" s="20">
        <v>-1.0041544521135299</v>
      </c>
      <c r="J15435" s="28">
        <v>0.31530417256216398</v>
      </c>
      <c r="K15435" s="29">
        <v>0.98289565623980701</v>
      </c>
    </row>
    <row r="15436" spans="1:11" x14ac:dyDescent="0.35">
      <c r="A15436" s="9" t="str">
        <f>HYPERLINK("http://www.ensembl.org/id/WBGene00006049", "WBGene00006049")</f>
        <v>WBGene00006049</v>
      </c>
      <c r="B15436" s="9" t="str">
        <f>HYPERLINK("http://www.ncbi.nlm.nih.gov/gene/191963", "191963")</f>
        <v>191963</v>
      </c>
      <c r="C15436" s="9"/>
      <c r="D15436" t="str">
        <f>"ssp-32"</f>
        <v>ssp-32</v>
      </c>
      <c r="E15436" t="s">
        <v>10123</v>
      </c>
      <c r="F15436" t="s">
        <v>11</v>
      </c>
      <c r="H15436" s="12">
        <v>-13.4303547533762</v>
      </c>
      <c r="I15436" s="20">
        <v>-0.81048130413248398</v>
      </c>
      <c r="J15436" s="28">
        <v>0.41766360599328001</v>
      </c>
      <c r="K15436" s="29">
        <v>0.98289565623980701</v>
      </c>
    </row>
    <row r="15437" spans="1:11" x14ac:dyDescent="0.35">
      <c r="A15437" s="9" t="str">
        <f>HYPERLINK("http://www.ensembl.org/id/WBGene00011134", "WBGene00011134")</f>
        <v>WBGene00011134</v>
      </c>
      <c r="B15437" s="9" t="str">
        <f>HYPERLINK("http://www.ncbi.nlm.nih.gov/gene/179974", "179974")</f>
        <v>179974</v>
      </c>
      <c r="C15437" s="9"/>
      <c r="D15437" t="str">
        <f>"ssp-33"</f>
        <v>ssp-33</v>
      </c>
      <c r="E15437" t="s">
        <v>3514</v>
      </c>
      <c r="F15437" t="s">
        <v>11</v>
      </c>
      <c r="H15437" s="12">
        <v>-1.54932699901948</v>
      </c>
      <c r="I15437" s="20">
        <v>-0.31986143871234701</v>
      </c>
      <c r="J15437" s="28">
        <v>0.749073370797255</v>
      </c>
      <c r="K15437" s="29">
        <v>0.98289565623980701</v>
      </c>
    </row>
    <row r="15438" spans="1:11" x14ac:dyDescent="0.35">
      <c r="A15438" s="9" t="str">
        <f>HYPERLINK("http://www.ensembl.org/id/WBGene00010091", "WBGene00010091")</f>
        <v>WBGene00010091</v>
      </c>
      <c r="B15438" s="9" t="str">
        <f>HYPERLINK("http://www.ncbi.nlm.nih.gov/gene/179681", "179681")</f>
        <v>179681</v>
      </c>
      <c r="C15438" s="9"/>
      <c r="D15438" t="str">
        <f>"ssp-35"</f>
        <v>ssp-35</v>
      </c>
      <c r="E15438" t="s">
        <v>3514</v>
      </c>
      <c r="F15438" t="s">
        <v>11</v>
      </c>
      <c r="H15438" s="12">
        <v>-1.2142575743313599</v>
      </c>
      <c r="I15438" s="20">
        <v>-0.25702589443594598</v>
      </c>
      <c r="J15438" s="28">
        <v>0.79715878353622305</v>
      </c>
      <c r="K15438" s="29">
        <v>0.98289565623980701</v>
      </c>
    </row>
    <row r="15439" spans="1:11" x14ac:dyDescent="0.35">
      <c r="A15439" s="9" t="str">
        <f>HYPERLINK("http://www.ensembl.org/id/WBGene00011749", "WBGene00011749")</f>
        <v>WBGene00011749</v>
      </c>
      <c r="B15439" s="9" t="str">
        <f>HYPERLINK("http://www.ncbi.nlm.nih.gov/gene/177811", "177811")</f>
        <v>177811</v>
      </c>
      <c r="C15439" s="9"/>
      <c r="D15439" t="str">
        <f>"ssp-36"</f>
        <v>ssp-36</v>
      </c>
      <c r="E15439" t="s">
        <v>3514</v>
      </c>
      <c r="F15439" t="s">
        <v>11</v>
      </c>
      <c r="H15439" s="12">
        <v>2.4219806517804101</v>
      </c>
      <c r="I15439" s="20">
        <v>0.41431266722527799</v>
      </c>
      <c r="J15439" s="28">
        <v>0.67864513812312</v>
      </c>
      <c r="K15439" s="29">
        <v>0.98289565623980701</v>
      </c>
    </row>
    <row r="15440" spans="1:11" x14ac:dyDescent="0.35">
      <c r="A15440" s="9" t="str">
        <f>HYPERLINK("http://www.ensembl.org/id/WBGene00006050", "WBGene00006050")</f>
        <v>WBGene00006050</v>
      </c>
      <c r="B15440" s="9" t="str">
        <f>HYPERLINK("http://www.ncbi.nlm.nih.gov/gene/177835", "177835")</f>
        <v>177835</v>
      </c>
      <c r="C15440" s="9"/>
      <c r="D15440" t="str">
        <f>"ssq-1"</f>
        <v>ssq-1</v>
      </c>
      <c r="E15440" t="s">
        <v>8926</v>
      </c>
      <c r="F15440" t="s">
        <v>11</v>
      </c>
      <c r="H15440" s="12">
        <v>-1.3379563681844799</v>
      </c>
      <c r="I15440" s="20">
        <v>-0.97521162319529198</v>
      </c>
      <c r="J15440" s="28">
        <v>0.32945529776035098</v>
      </c>
      <c r="K15440" s="29">
        <v>0.98289565623980701</v>
      </c>
    </row>
    <row r="15441" spans="1:11" x14ac:dyDescent="0.35">
      <c r="A15441" s="9" t="str">
        <f>HYPERLINK("http://www.ensembl.org/id/WBGene00006051", "WBGene00006051")</f>
        <v>WBGene00006051</v>
      </c>
      <c r="B15441" s="9" t="str">
        <f>HYPERLINK("http://www.ncbi.nlm.nih.gov/gene/177265", "177265")</f>
        <v>177265</v>
      </c>
      <c r="C15441" s="9"/>
      <c r="D15441" t="str">
        <f>"ssq-2"</f>
        <v>ssq-2</v>
      </c>
      <c r="E15441" t="s">
        <v>8926</v>
      </c>
      <c r="F15441" t="s">
        <v>11</v>
      </c>
      <c r="H15441" s="12">
        <v>-1.2084446283421399</v>
      </c>
      <c r="I15441" s="20">
        <v>-0.63431921345936604</v>
      </c>
      <c r="J15441" s="28">
        <v>0.52587252000432705</v>
      </c>
      <c r="K15441" s="29">
        <v>0.98289565623980701</v>
      </c>
    </row>
    <row r="15442" spans="1:11" x14ac:dyDescent="0.35">
      <c r="A15442" s="9" t="str">
        <f>HYPERLINK("http://www.ensembl.org/id/WBGene00006053", "WBGene00006053")</f>
        <v>WBGene00006053</v>
      </c>
      <c r="B15442" s="9" t="str">
        <f>HYPERLINK("http://www.ncbi.nlm.nih.gov/gene/177269", "177269")</f>
        <v>177269</v>
      </c>
      <c r="C15442" s="9"/>
      <c r="D15442" t="str">
        <f>"ssq-4"</f>
        <v>ssq-4</v>
      </c>
      <c r="E15442" t="s">
        <v>8926</v>
      </c>
      <c r="F15442" t="s">
        <v>11</v>
      </c>
      <c r="H15442" s="12">
        <v>-1.29752662185242</v>
      </c>
      <c r="I15442" s="20">
        <v>-0.80493314511096503</v>
      </c>
      <c r="J15442" s="28">
        <v>0.42085826030732898</v>
      </c>
      <c r="K15442" s="29">
        <v>0.98289565623980701</v>
      </c>
    </row>
    <row r="15443" spans="1:11" x14ac:dyDescent="0.35">
      <c r="A15443" s="9" t="str">
        <f>HYPERLINK("http://www.ensembl.org/id/WBGene00006055", "WBGene00006055")</f>
        <v>WBGene00006055</v>
      </c>
      <c r="B15443" s="9" t="str">
        <f>HYPERLINK("http://www.ncbi.nlm.nih.gov/gene/191965", "191965")</f>
        <v>191965</v>
      </c>
      <c r="C15443" s="9"/>
      <c r="D15443" t="str">
        <f>"ssr-2"</f>
        <v>ssr-2</v>
      </c>
      <c r="E15443" t="s">
        <v>5896</v>
      </c>
      <c r="F15443" t="s">
        <v>11</v>
      </c>
      <c r="G15443" t="s">
        <v>2447</v>
      </c>
      <c r="H15443" s="12">
        <v>1.0880986246652899</v>
      </c>
      <c r="I15443" s="20">
        <v>0.32234628911512497</v>
      </c>
      <c r="J15443" s="28">
        <v>0.74719036933063598</v>
      </c>
      <c r="K15443" s="29">
        <v>0.98289565623980701</v>
      </c>
    </row>
    <row r="15444" spans="1:11" x14ac:dyDescent="0.35">
      <c r="A15444" s="9" t="str">
        <f>HYPERLINK("http://www.ensembl.org/id/WBGene00006058", "WBGene00006058")</f>
        <v>WBGene00006058</v>
      </c>
      <c r="B15444" s="9" t="str">
        <f>HYPERLINK("http://www.ncbi.nlm.nih.gov/gene/172125", "172125")</f>
        <v>172125</v>
      </c>
      <c r="C15444" s="9"/>
      <c r="D15444" t="str">
        <f>"sst-20"</f>
        <v>sst-20</v>
      </c>
      <c r="E15444" t="s">
        <v>4547</v>
      </c>
      <c r="F15444" t="s">
        <v>11</v>
      </c>
      <c r="G15444" t="s">
        <v>25</v>
      </c>
      <c r="H15444" s="12">
        <v>1.7194652140243101</v>
      </c>
      <c r="I15444" s="20">
        <v>0.32753216146811098</v>
      </c>
      <c r="J15444" s="28">
        <v>0.74326542185911304</v>
      </c>
      <c r="K15444" s="29">
        <v>0.98289565623980701</v>
      </c>
    </row>
    <row r="15445" spans="1:11" x14ac:dyDescent="0.35">
      <c r="A15445" s="9" t="str">
        <f>HYPERLINK("http://www.ensembl.org/id/WBGene00020480", "WBGene00020480")</f>
        <v>WBGene00020480</v>
      </c>
      <c r="B15445" s="9" t="str">
        <f>HYPERLINK("http://www.ncbi.nlm.nih.gov/gene/188472", "188472")</f>
        <v>188472</v>
      </c>
      <c r="C15445" s="9" t="str">
        <f>HYPERLINK("http://www.ncbi.nlm.nih.gov/gene/29101", "29101")</f>
        <v>29101</v>
      </c>
      <c r="D15445" t="str">
        <f>"ssup-72"</f>
        <v>ssup-72</v>
      </c>
      <c r="E15445" t="s">
        <v>9422</v>
      </c>
      <c r="F15445" t="s">
        <v>11</v>
      </c>
      <c r="G15445" t="s">
        <v>9423</v>
      </c>
      <c r="H15445" s="12">
        <v>-1.2450784306838001</v>
      </c>
      <c r="I15445" s="20">
        <v>-0.78880230065520995</v>
      </c>
      <c r="J15445" s="28">
        <v>0.43022756464614398</v>
      </c>
      <c r="K15445" s="29">
        <v>0.98289565623980701</v>
      </c>
    </row>
    <row r="15446" spans="1:11" x14ac:dyDescent="0.35">
      <c r="A15446" s="9" t="str">
        <f>HYPERLINK("http://www.ensembl.org/id/WBGene00013111", "WBGene00013111")</f>
        <v>WBGene00013111</v>
      </c>
      <c r="B15446" s="9" t="str">
        <f>HYPERLINK("http://www.ncbi.nlm.nih.gov/gene/178465", "178465")</f>
        <v>178465</v>
      </c>
      <c r="C15446" s="9" t="str">
        <f>HYPERLINK("http://www.ncbi.nlm.nih.gov/gene/6777", "6777")</f>
        <v>6777</v>
      </c>
      <c r="D15446" t="str">
        <f>"sta-1"</f>
        <v>sta-1</v>
      </c>
      <c r="E15446" t="s">
        <v>8008</v>
      </c>
      <c r="F15446" t="s">
        <v>11</v>
      </c>
      <c r="G15446" t="s">
        <v>8009</v>
      </c>
      <c r="H15446" s="12">
        <v>-1.15586897979188</v>
      </c>
      <c r="I15446" s="20">
        <v>-0.74652062762334603</v>
      </c>
      <c r="J15446" s="28">
        <v>0.45535297560782001</v>
      </c>
      <c r="K15446" s="29">
        <v>0.98289565623980701</v>
      </c>
    </row>
    <row r="15447" spans="1:11" x14ac:dyDescent="0.35">
      <c r="A15447" s="9" t="str">
        <f>HYPERLINK("http://www.ensembl.org/id/WBGene00004109", "WBGene00004109")</f>
        <v>WBGene00004109</v>
      </c>
      <c r="B15447" s="9" t="str">
        <f>HYPERLINK("http://www.ncbi.nlm.nih.gov/gene/172264", "172264")</f>
        <v>172264</v>
      </c>
      <c r="C15447" s="9" t="str">
        <f>HYPERLINK("http://www.ncbi.nlm.nih.gov/gene/8027", "8027")</f>
        <v>8027</v>
      </c>
      <c r="D15447" t="str">
        <f>"stam-1"</f>
        <v>stam-1</v>
      </c>
      <c r="E15447" t="s">
        <v>9291</v>
      </c>
      <c r="F15447" t="s">
        <v>11</v>
      </c>
      <c r="G15447" t="s">
        <v>9292</v>
      </c>
      <c r="H15447" s="12">
        <v>-1.2349119660772001</v>
      </c>
      <c r="I15447" s="20">
        <v>-1.14591861236589</v>
      </c>
      <c r="J15447" s="28">
        <v>0.25182882924553202</v>
      </c>
      <c r="K15447" s="29">
        <v>0.98289565623980701</v>
      </c>
    </row>
    <row r="15448" spans="1:11" x14ac:dyDescent="0.35">
      <c r="A15448" s="9" t="str">
        <f>HYPERLINK("http://www.ensembl.org/id/WBGene00007363", "WBGene00007363")</f>
        <v>WBGene00007363</v>
      </c>
      <c r="B15448" s="9" t="str">
        <f>HYPERLINK("http://www.ncbi.nlm.nih.gov/gene/182291", "182291")</f>
        <v>182291</v>
      </c>
      <c r="C15448" s="9" t="str">
        <f>HYPERLINK("http://www.ncbi.nlm.nih.gov/gene/51144", "51144")</f>
        <v>51144</v>
      </c>
      <c r="D15448" t="str">
        <f>"stdh-1"</f>
        <v>stdh-1</v>
      </c>
      <c r="E15448" t="s">
        <v>9209</v>
      </c>
      <c r="F15448" t="s">
        <v>11</v>
      </c>
      <c r="G15448" t="s">
        <v>4300</v>
      </c>
      <c r="H15448" s="12">
        <v>-1.2281369322534701</v>
      </c>
      <c r="I15448" s="20">
        <v>-1.01034741919513</v>
      </c>
      <c r="J15448" s="28">
        <v>0.312328869946288</v>
      </c>
      <c r="K15448" s="29">
        <v>0.98289565623980701</v>
      </c>
    </row>
    <row r="15449" spans="1:11" x14ac:dyDescent="0.35">
      <c r="A15449" s="9" t="str">
        <f>HYPERLINK("http://www.ensembl.org/id/WBGene00008678", "WBGene00008678")</f>
        <v>WBGene00008678</v>
      </c>
      <c r="B15449" s="9" t="str">
        <f>HYPERLINK("http://www.ncbi.nlm.nih.gov/gene/184337", "184337")</f>
        <v>184337</v>
      </c>
      <c r="C15449" s="9" t="str">
        <f>HYPERLINK("http://www.ncbi.nlm.nih.gov/gene/51144", "51144")</f>
        <v>51144</v>
      </c>
      <c r="D15449" t="str">
        <f>"stdh-2"</f>
        <v>stdh-2</v>
      </c>
      <c r="E15449" t="s">
        <v>4299</v>
      </c>
      <c r="F15449" t="s">
        <v>11</v>
      </c>
      <c r="G15449" t="s">
        <v>4300</v>
      </c>
      <c r="H15449" s="12">
        <v>3.6428376725873299</v>
      </c>
      <c r="I15449" s="20">
        <v>0.77619606408044295</v>
      </c>
      <c r="J15449" s="28">
        <v>0.43763322968230001</v>
      </c>
      <c r="K15449" s="29">
        <v>0.98289565623980701</v>
      </c>
    </row>
    <row r="15450" spans="1:11" x14ac:dyDescent="0.35">
      <c r="A15450" s="9" t="str">
        <f>HYPERLINK("http://www.ensembl.org/id/WBGene00007364", "WBGene00007364")</f>
        <v>WBGene00007364</v>
      </c>
      <c r="B15450" s="9" t="str">
        <f>HYPERLINK("http://www.ncbi.nlm.nih.gov/gene/182292", "182292")</f>
        <v>182292</v>
      </c>
      <c r="C15450" s="9" t="str">
        <f>HYPERLINK("http://www.ncbi.nlm.nih.gov/gene/51144", "51144")</f>
        <v>51144</v>
      </c>
      <c r="D15450" t="str">
        <f>"stdh-3"</f>
        <v>stdh-3</v>
      </c>
      <c r="E15450" t="s">
        <v>4370</v>
      </c>
      <c r="F15450" t="s">
        <v>11</v>
      </c>
      <c r="G15450" t="s">
        <v>4300</v>
      </c>
      <c r="H15450" s="12">
        <v>2.5435403929830902</v>
      </c>
      <c r="I15450" s="20">
        <v>0.41353777125671698</v>
      </c>
      <c r="J15450" s="28">
        <v>0.67921265493268101</v>
      </c>
      <c r="K15450" s="29">
        <v>0.98289565623980701</v>
      </c>
    </row>
    <row r="15451" spans="1:11" x14ac:dyDescent="0.35">
      <c r="A15451" s="9" t="str">
        <f>HYPERLINK("http://www.ensembl.org/id/WBGene00017400", "WBGene00017400")</f>
        <v>WBGene00017400</v>
      </c>
      <c r="B15451" s="9" t="str">
        <f>HYPERLINK("http://www.ncbi.nlm.nih.gov/gene/184378", "184378")</f>
        <v>184378</v>
      </c>
      <c r="C15451" s="9"/>
      <c r="D15451" t="str">
        <f>"stg-2"</f>
        <v>stg-2</v>
      </c>
      <c r="E15451" t="s">
        <v>4583</v>
      </c>
      <c r="F15451" t="s">
        <v>11</v>
      </c>
      <c r="G15451" t="s">
        <v>4584</v>
      </c>
      <c r="H15451" s="12">
        <v>1.6439874926939</v>
      </c>
      <c r="I15451" s="20">
        <v>1.06351201633059</v>
      </c>
      <c r="J15451" s="28">
        <v>0.28754981879776798</v>
      </c>
      <c r="K15451" s="29">
        <v>0.98289565623980701</v>
      </c>
    </row>
    <row r="15452" spans="1:11" x14ac:dyDescent="0.35">
      <c r="A15452" s="9" t="str">
        <f>HYPERLINK("http://www.ensembl.org/id/WBGene00021910", "WBGene00021910")</f>
        <v>WBGene00021910</v>
      </c>
      <c r="B15452" s="9" t="str">
        <f>HYPERLINK("http://www.ncbi.nlm.nih.gov/gene/175201", "175201")</f>
        <v>175201</v>
      </c>
      <c r="C15452" s="9" t="str">
        <f>HYPERLINK("http://www.ncbi.nlm.nih.gov/gene/6786", "6786")</f>
        <v>6786</v>
      </c>
      <c r="D15452" t="str">
        <f>"stim-1"</f>
        <v>stim-1</v>
      </c>
      <c r="E15452" t="s">
        <v>8010</v>
      </c>
      <c r="F15452" t="s">
        <v>11</v>
      </c>
      <c r="G15452" t="s">
        <v>8011</v>
      </c>
      <c r="H15452" s="12">
        <v>-1.1560569076684599</v>
      </c>
      <c r="I15452" s="20">
        <v>-0.78708691499763395</v>
      </c>
      <c r="J15452" s="28">
        <v>0.43123098867170101</v>
      </c>
      <c r="K15452" s="29">
        <v>0.98289565623980701</v>
      </c>
    </row>
    <row r="15453" spans="1:11" x14ac:dyDescent="0.35">
      <c r="A15453" s="9" t="str">
        <f>HYPERLINK("http://www.ensembl.org/id/WBGene00007412", "WBGene00007412")</f>
        <v>WBGene00007412</v>
      </c>
      <c r="B15453" s="9" t="str">
        <f>HYPERLINK("http://www.ncbi.nlm.nih.gov/gene/174600", "174600")</f>
        <v>174600</v>
      </c>
      <c r="C15453" s="9" t="str">
        <f>HYPERLINK("http://www.ncbi.nlm.nih.gov/gene/24144", "24144")</f>
        <v>24144</v>
      </c>
      <c r="D15453" t="str">
        <f>"stip-1"</f>
        <v>stip-1</v>
      </c>
      <c r="E15453" t="s">
        <v>7868</v>
      </c>
      <c r="F15453" t="s">
        <v>11</v>
      </c>
      <c r="G15453" t="s">
        <v>7869</v>
      </c>
      <c r="H15453" s="12">
        <v>-1.1489957014625301</v>
      </c>
      <c r="I15453" s="20">
        <v>-0.68166551392636598</v>
      </c>
      <c r="J15453" s="28">
        <v>0.49545047855723201</v>
      </c>
      <c r="K15453" s="29">
        <v>0.98289565623980701</v>
      </c>
    </row>
    <row r="15454" spans="1:11" x14ac:dyDescent="0.35">
      <c r="A15454" s="9" t="str">
        <f>HYPERLINK("http://www.ensembl.org/id/WBGene00006061", "WBGene00006061")</f>
        <v>WBGene00006061</v>
      </c>
      <c r="B15454" s="9" t="str">
        <f>HYPERLINK("http://www.ncbi.nlm.nih.gov/gene/172777", "172777")</f>
        <v>172777</v>
      </c>
      <c r="C15454" s="9" t="str">
        <f>HYPERLINK("http://www.ncbi.nlm.nih.gov/gene/30968", "30968")</f>
        <v>30968</v>
      </c>
      <c r="D15454" t="str">
        <f>"stl-1"</f>
        <v>stl-1</v>
      </c>
      <c r="E15454" t="s">
        <v>9306</v>
      </c>
      <c r="F15454" t="s">
        <v>11</v>
      </c>
      <c r="G15454" t="s">
        <v>9307</v>
      </c>
      <c r="H15454" s="12">
        <v>-1.2361438224124199</v>
      </c>
      <c r="I15454" s="20">
        <v>-1.0834351643054101</v>
      </c>
      <c r="J15454" s="28">
        <v>0.27861531455030503</v>
      </c>
      <c r="K15454" s="29">
        <v>0.98289565623980701</v>
      </c>
    </row>
    <row r="15455" spans="1:11" x14ac:dyDescent="0.35">
      <c r="A15455" s="9" t="str">
        <f>HYPERLINK("http://www.ensembl.org/id/WBGene00006062", "WBGene00006062")</f>
        <v>WBGene00006062</v>
      </c>
      <c r="B15455" s="9" t="str">
        <f>HYPERLINK("http://www.ncbi.nlm.nih.gov/gene/266844", "266844")</f>
        <v>266844</v>
      </c>
      <c r="C15455" s="9" t="str">
        <f>HYPERLINK("http://www.ncbi.nlm.nih.gov/gene/6641", "6641")</f>
        <v>6641</v>
      </c>
      <c r="D15455" t="str">
        <f>"stn-1"</f>
        <v>stn-1</v>
      </c>
      <c r="E15455" t="s">
        <v>5637</v>
      </c>
      <c r="F15455" t="s">
        <v>11</v>
      </c>
      <c r="G15455" t="s">
        <v>5638</v>
      </c>
      <c r="H15455" s="12">
        <v>1.1315647935483799</v>
      </c>
      <c r="I15455" s="20">
        <v>0.55487007051634396</v>
      </c>
      <c r="J15455" s="28">
        <v>0.57898353483883502</v>
      </c>
      <c r="K15455" s="29">
        <v>0.98289565623980701</v>
      </c>
    </row>
    <row r="15456" spans="1:11" x14ac:dyDescent="0.35">
      <c r="A15456" s="9" t="str">
        <f>HYPERLINK("http://www.ensembl.org/id/WBGene00017866", "WBGene00017866")</f>
        <v>WBGene00017866</v>
      </c>
      <c r="B15456" s="9" t="str">
        <f>HYPERLINK("http://www.ncbi.nlm.nih.gov/gene/181029", "181029")</f>
        <v>181029</v>
      </c>
      <c r="C15456" s="9" t="str">
        <f>HYPERLINK("http://www.ncbi.nlm.nih.gov/gene/54212", "54212")</f>
        <v>54212</v>
      </c>
      <c r="D15456" t="str">
        <f>"stn-2"</f>
        <v>stn-2</v>
      </c>
      <c r="E15456" t="s">
        <v>8314</v>
      </c>
      <c r="F15456" t="s">
        <v>11</v>
      </c>
      <c r="G15456" t="s">
        <v>8315</v>
      </c>
      <c r="H15456" s="12">
        <v>-1.17091575539754</v>
      </c>
      <c r="I15456" s="20">
        <v>-0.56531259222300101</v>
      </c>
      <c r="J15456" s="28">
        <v>0.57186116526455499</v>
      </c>
      <c r="K15456" s="29">
        <v>0.98289565623980701</v>
      </c>
    </row>
    <row r="15457" spans="1:11" x14ac:dyDescent="0.35">
      <c r="A15457" s="9" t="str">
        <f>HYPERLINK("http://www.ensembl.org/id/WBGene00006066", "WBGene00006066")</f>
        <v>WBGene00006066</v>
      </c>
      <c r="B15457" s="9" t="str">
        <f>HYPERLINK("http://www.ncbi.nlm.nih.gov/gene/181350", "181350")</f>
        <v>181350</v>
      </c>
      <c r="C15457" s="9"/>
      <c r="D15457" t="str">
        <f>"sto-4"</f>
        <v>sto-4</v>
      </c>
      <c r="E15457" t="s">
        <v>6069</v>
      </c>
      <c r="F15457" t="s">
        <v>11</v>
      </c>
      <c r="G15457" t="s">
        <v>372</v>
      </c>
      <c r="H15457" s="12">
        <v>1.06545349032627</v>
      </c>
      <c r="I15457" s="20">
        <v>0.32356352481532702</v>
      </c>
      <c r="J15457" s="28">
        <v>0.74626850653255605</v>
      </c>
      <c r="K15457" s="29">
        <v>0.98289565623980701</v>
      </c>
    </row>
    <row r="15458" spans="1:11" x14ac:dyDescent="0.35">
      <c r="A15458" s="9" t="str">
        <f>HYPERLINK("http://www.ensembl.org/id/WBGene00006067", "WBGene00006067")</f>
        <v>WBGene00006067</v>
      </c>
      <c r="B15458" s="9" t="str">
        <f>HYPERLINK("http://www.ncbi.nlm.nih.gov/gene/181730", "181730")</f>
        <v>181730</v>
      </c>
      <c r="C15458" s="9"/>
      <c r="D15458" t="str">
        <f>"sto-5"</f>
        <v>sto-5</v>
      </c>
      <c r="E15458" t="s">
        <v>4964</v>
      </c>
      <c r="F15458" t="s">
        <v>11</v>
      </c>
      <c r="G15458" t="s">
        <v>372</v>
      </c>
      <c r="H15458" s="12">
        <v>1.20808191717709</v>
      </c>
      <c r="I15458" s="20">
        <v>0.74630700052050702</v>
      </c>
      <c r="J15458" s="28">
        <v>0.45548198353333602</v>
      </c>
      <c r="K15458" s="29">
        <v>0.98289565623980701</v>
      </c>
    </row>
    <row r="15459" spans="1:11" x14ac:dyDescent="0.35">
      <c r="A15459" s="9" t="str">
        <f>HYPERLINK("http://www.ensembl.org/id/WBGene00006068", "WBGene00006068")</f>
        <v>WBGene00006068</v>
      </c>
      <c r="B15459" s="9" t="str">
        <f>HYPERLINK("http://www.ncbi.nlm.nih.gov/gene/190619", "190619")</f>
        <v>190619</v>
      </c>
      <c r="C15459" s="9"/>
      <c r="D15459" t="str">
        <f>"sto-6"</f>
        <v>sto-6</v>
      </c>
      <c r="E15459" t="s">
        <v>4964</v>
      </c>
      <c r="F15459" t="s">
        <v>11</v>
      </c>
      <c r="G15459" t="s">
        <v>372</v>
      </c>
      <c r="H15459" s="12">
        <v>1.27660292414042</v>
      </c>
      <c r="I15459" s="20">
        <v>0.836130787335156</v>
      </c>
      <c r="J15459" s="28">
        <v>0.40308133002135099</v>
      </c>
      <c r="K15459" s="29">
        <v>0.98289565623980701</v>
      </c>
    </row>
    <row r="15460" spans="1:11" x14ac:dyDescent="0.35">
      <c r="A15460" s="9" t="str">
        <f>HYPERLINK("http://www.ensembl.org/id/WBGene00006078", "WBGene00006078")</f>
        <v>WBGene00006078</v>
      </c>
      <c r="B15460" s="9" t="str">
        <f>HYPERLINK("http://www.ncbi.nlm.nih.gov/gene/187547", "187547")</f>
        <v>187547</v>
      </c>
      <c r="C15460" s="9"/>
      <c r="D15460" t="str">
        <f>"str-10"</f>
        <v>str-10</v>
      </c>
      <c r="E15460" t="s">
        <v>590</v>
      </c>
      <c r="F15460" t="s">
        <v>11</v>
      </c>
      <c r="G15460" t="s">
        <v>25</v>
      </c>
      <c r="H15460" s="12">
        <v>2.4578120077400301</v>
      </c>
      <c r="I15460" s="20">
        <v>0.26093350314551</v>
      </c>
      <c r="J15460" s="28">
        <v>0.79414378780213601</v>
      </c>
      <c r="K15460" s="29">
        <v>0.98289565623980701</v>
      </c>
    </row>
    <row r="15461" spans="1:11" x14ac:dyDescent="0.35">
      <c r="A15461" s="9" t="str">
        <f>HYPERLINK("http://www.ensembl.org/id/WBGene00006159", "WBGene00006159")</f>
        <v>WBGene00006159</v>
      </c>
      <c r="B15461" s="9" t="str">
        <f>HYPERLINK("http://www.ncbi.nlm.nih.gov/gene/187023", "187023")</f>
        <v>187023</v>
      </c>
      <c r="C15461" s="9"/>
      <c r="D15461" t="str">
        <f>"str-106"</f>
        <v>str-106</v>
      </c>
      <c r="E15461" t="s">
        <v>590</v>
      </c>
      <c r="F15461" t="s">
        <v>11</v>
      </c>
      <c r="G15461" t="s">
        <v>591</v>
      </c>
      <c r="H15461" s="12">
        <v>4.6387698961716399</v>
      </c>
      <c r="I15461" s="20">
        <v>0.44985450087338802</v>
      </c>
      <c r="J15461" s="28">
        <v>0.65281535672642099</v>
      </c>
      <c r="K15461" s="29">
        <v>0.98289565623980701</v>
      </c>
    </row>
    <row r="15462" spans="1:11" x14ac:dyDescent="0.35">
      <c r="A15462" s="9" t="str">
        <f>HYPERLINK("http://www.ensembl.org/id/WBGene00006160", "WBGene00006160")</f>
        <v>WBGene00006160</v>
      </c>
      <c r="B15462" s="9" t="str">
        <f>HYPERLINK("http://www.ncbi.nlm.nih.gov/gene/184282", "184282")</f>
        <v>184282</v>
      </c>
      <c r="C15462" s="9"/>
      <c r="D15462" t="str">
        <f>"str-108"</f>
        <v>str-108</v>
      </c>
      <c r="E15462" t="s">
        <v>590</v>
      </c>
      <c r="F15462" t="s">
        <v>11</v>
      </c>
      <c r="G15462" t="s">
        <v>591</v>
      </c>
      <c r="H15462" s="12">
        <v>2.3893468495514898</v>
      </c>
      <c r="I15462" s="20">
        <v>0.25323547253672701</v>
      </c>
      <c r="J15462" s="28">
        <v>0.80008625651646104</v>
      </c>
      <c r="K15462" s="29">
        <v>0.98289565623980701</v>
      </c>
    </row>
    <row r="15463" spans="1:11" x14ac:dyDescent="0.35">
      <c r="A15463" s="9" t="str">
        <f>HYPERLINK("http://www.ensembl.org/id/WBGene00006161", "WBGene00006161")</f>
        <v>WBGene00006161</v>
      </c>
      <c r="B15463" s="9" t="str">
        <f>HYPERLINK("http://www.ncbi.nlm.nih.gov/gene/184275", "184275")</f>
        <v>184275</v>
      </c>
      <c r="C15463" s="9"/>
      <c r="D15463" t="str">
        <f>"str-109"</f>
        <v>str-109</v>
      </c>
      <c r="E15463" t="s">
        <v>590</v>
      </c>
      <c r="F15463" t="s">
        <v>11</v>
      </c>
      <c r="G15463" t="s">
        <v>591</v>
      </c>
      <c r="H15463" s="12">
        <v>4.4368407117627902</v>
      </c>
      <c r="I15463" s="20">
        <v>0.43709475933309699</v>
      </c>
      <c r="J15463" s="28">
        <v>0.66204262779770495</v>
      </c>
      <c r="K15463" s="29">
        <v>0.98289565623980701</v>
      </c>
    </row>
    <row r="15464" spans="1:11" x14ac:dyDescent="0.35">
      <c r="A15464" s="9" t="str">
        <f>HYPERLINK("http://www.ensembl.org/id/WBGene00006079", "WBGene00006079")</f>
        <v>WBGene00006079</v>
      </c>
      <c r="B15464" s="9"/>
      <c r="C15464" s="9"/>
      <c r="D15464" t="str">
        <f>"str-11"</f>
        <v>str-11</v>
      </c>
      <c r="F15464" t="s">
        <v>80</v>
      </c>
      <c r="H15464" s="12">
        <v>-2.4991590031922399</v>
      </c>
      <c r="I15464" s="20">
        <v>-0.26577412737581302</v>
      </c>
      <c r="J15464" s="28">
        <v>0.79041317015736101</v>
      </c>
      <c r="K15464" s="29">
        <v>0.98289565623980701</v>
      </c>
    </row>
    <row r="15465" spans="1:11" x14ac:dyDescent="0.35">
      <c r="A15465" s="9" t="str">
        <f>HYPERLINK("http://www.ensembl.org/id/WBGene00006164", "WBGene00006164")</f>
        <v>WBGene00006164</v>
      </c>
      <c r="B15465" s="9" t="str">
        <f>HYPERLINK("http://www.ncbi.nlm.nih.gov/gene/191998", "191998")</f>
        <v>191998</v>
      </c>
      <c r="C15465" s="9"/>
      <c r="D15465" t="str">
        <f>"str-113"</f>
        <v>str-113</v>
      </c>
      <c r="E15465" t="s">
        <v>590</v>
      </c>
      <c r="F15465" t="s">
        <v>11</v>
      </c>
      <c r="G15465" t="s">
        <v>591</v>
      </c>
      <c r="H15465" s="12">
        <v>-3.71932966445589</v>
      </c>
      <c r="I15465" s="20">
        <v>-0.56955407480233899</v>
      </c>
      <c r="J15465" s="28">
        <v>0.56898018467641098</v>
      </c>
      <c r="K15465" s="29">
        <v>0.98289565623980701</v>
      </c>
    </row>
    <row r="15466" spans="1:11" x14ac:dyDescent="0.35">
      <c r="A15466" s="9" t="str">
        <f>HYPERLINK("http://www.ensembl.org/id/WBGene00006165", "WBGene00006165")</f>
        <v>WBGene00006165</v>
      </c>
      <c r="B15466" s="9" t="str">
        <f>HYPERLINK("http://www.ncbi.nlm.nih.gov/gene/191999", "191999")</f>
        <v>191999</v>
      </c>
      <c r="C15466" s="9"/>
      <c r="D15466" t="str">
        <f>"str-114"</f>
        <v>str-114</v>
      </c>
      <c r="E15466" t="s">
        <v>590</v>
      </c>
      <c r="F15466" t="s">
        <v>11</v>
      </c>
      <c r="G15466" t="s">
        <v>591</v>
      </c>
      <c r="H15466" s="12">
        <v>-1.92280260741688</v>
      </c>
      <c r="I15466" s="20">
        <v>-0.38636461601906902</v>
      </c>
      <c r="J15466" s="28">
        <v>0.69922665176933496</v>
      </c>
      <c r="K15466" s="29">
        <v>0.98289565623980701</v>
      </c>
    </row>
    <row r="15467" spans="1:11" x14ac:dyDescent="0.35">
      <c r="A15467" s="9" t="str">
        <f>HYPERLINK("http://www.ensembl.org/id/WBGene00006169", "WBGene00006169")</f>
        <v>WBGene00006169</v>
      </c>
      <c r="B15467" s="9" t="str">
        <f>HYPERLINK("http://www.ncbi.nlm.nih.gov/gene/186429", "186429")</f>
        <v>186429</v>
      </c>
      <c r="C15467" s="9"/>
      <c r="D15467" t="str">
        <f>"str-118"</f>
        <v>str-118</v>
      </c>
      <c r="E15467" t="s">
        <v>590</v>
      </c>
      <c r="F15467" t="s">
        <v>11</v>
      </c>
      <c r="G15467" t="s">
        <v>591</v>
      </c>
      <c r="H15467" s="12">
        <v>2.3210219654834101</v>
      </c>
      <c r="I15467" s="20">
        <v>0.70681870387116996</v>
      </c>
      <c r="J15467" s="28">
        <v>0.47967914967995701</v>
      </c>
      <c r="K15467" s="29">
        <v>0.98289565623980701</v>
      </c>
    </row>
    <row r="15468" spans="1:11" x14ac:dyDescent="0.35">
      <c r="A15468" s="9" t="str">
        <f>HYPERLINK("http://www.ensembl.org/id/WBGene00006080", "WBGene00006080")</f>
        <v>WBGene00006080</v>
      </c>
      <c r="B15468" s="9" t="str">
        <f>HYPERLINK("http://www.ncbi.nlm.nih.gov/gene/353481", "353481")</f>
        <v>353481</v>
      </c>
      <c r="C15468" s="9"/>
      <c r="D15468" t="str">
        <f>"str-12"</f>
        <v>str-12</v>
      </c>
      <c r="E15468" t="s">
        <v>590</v>
      </c>
      <c r="F15468" t="s">
        <v>11</v>
      </c>
      <c r="G15468" t="s">
        <v>25</v>
      </c>
      <c r="H15468" s="12">
        <v>1.92713075472117</v>
      </c>
      <c r="I15468" s="20">
        <v>0.32787507554024198</v>
      </c>
      <c r="J15468" s="28">
        <v>0.74300611978033304</v>
      </c>
      <c r="K15468" s="29">
        <v>0.98289565623980701</v>
      </c>
    </row>
    <row r="15469" spans="1:11" x14ac:dyDescent="0.35">
      <c r="A15469" s="9" t="str">
        <f>HYPERLINK("http://www.ensembl.org/id/WBGene00006173", "WBGene00006173")</f>
        <v>WBGene00006173</v>
      </c>
      <c r="B15469" s="9" t="str">
        <f>HYPERLINK("http://www.ncbi.nlm.nih.gov/gene/192003", "192003")</f>
        <v>192003</v>
      </c>
      <c r="C15469" s="9"/>
      <c r="D15469" t="str">
        <f>"str-122"</f>
        <v>str-122</v>
      </c>
      <c r="E15469" t="s">
        <v>590</v>
      </c>
      <c r="F15469" t="s">
        <v>11</v>
      </c>
      <c r="H15469" s="12">
        <v>7.8691597089380902</v>
      </c>
      <c r="I15469" s="20">
        <v>0.61251365190975104</v>
      </c>
      <c r="J15469" s="28">
        <v>0.54019796842331003</v>
      </c>
      <c r="K15469" s="29">
        <v>0.98289565623980701</v>
      </c>
    </row>
    <row r="15470" spans="1:11" x14ac:dyDescent="0.35">
      <c r="A15470" s="9" t="str">
        <f>HYPERLINK("http://www.ensembl.org/id/WBGene00006175", "WBGene00006175")</f>
        <v>WBGene00006175</v>
      </c>
      <c r="B15470" s="9" t="str">
        <f>HYPERLINK("http://www.ncbi.nlm.nih.gov/gene/188768", "188768")</f>
        <v>188768</v>
      </c>
      <c r="C15470" s="9"/>
      <c r="D15470" t="str">
        <f>"str-124"</f>
        <v>str-124</v>
      </c>
      <c r="E15470" t="s">
        <v>590</v>
      </c>
      <c r="F15470" t="s">
        <v>11</v>
      </c>
      <c r="G15470" t="s">
        <v>591</v>
      </c>
      <c r="H15470" s="12">
        <v>-2.2263135873927098</v>
      </c>
      <c r="I15470" s="20">
        <v>-0.65080932921326795</v>
      </c>
      <c r="J15470" s="28">
        <v>0.51516957722152801</v>
      </c>
      <c r="K15470" s="29">
        <v>0.98289565623980701</v>
      </c>
    </row>
    <row r="15471" spans="1:11" x14ac:dyDescent="0.35">
      <c r="A15471" s="9" t="str">
        <f>HYPERLINK("http://www.ensembl.org/id/WBGene00006176", "WBGene00006176")</f>
        <v>WBGene00006176</v>
      </c>
      <c r="B15471" s="9" t="str">
        <f>HYPERLINK("http://www.ncbi.nlm.nih.gov/gene/188134", "188134")</f>
        <v>188134</v>
      </c>
      <c r="C15471" s="9"/>
      <c r="D15471" t="str">
        <f>"str-125"</f>
        <v>str-125</v>
      </c>
      <c r="E15471" t="s">
        <v>590</v>
      </c>
      <c r="F15471" t="s">
        <v>11</v>
      </c>
      <c r="G15471" t="s">
        <v>591</v>
      </c>
      <c r="H15471" s="12">
        <v>2.78439855825608</v>
      </c>
      <c r="I15471" s="20">
        <v>0.36883734123397499</v>
      </c>
      <c r="J15471" s="28">
        <v>0.71224896970152196</v>
      </c>
      <c r="K15471" s="29">
        <v>0.98289565623980701</v>
      </c>
    </row>
    <row r="15472" spans="1:11" x14ac:dyDescent="0.35">
      <c r="A15472" s="9" t="str">
        <f>HYPERLINK("http://www.ensembl.org/id/WBGene00006178", "WBGene00006178")</f>
        <v>WBGene00006178</v>
      </c>
      <c r="B15472" s="9" t="str">
        <f>HYPERLINK("http://www.ncbi.nlm.nih.gov/gene/192004", "192004")</f>
        <v>192004</v>
      </c>
      <c r="C15472" s="9"/>
      <c r="D15472" t="str">
        <f>"str-129"</f>
        <v>str-129</v>
      </c>
      <c r="E15472" t="s">
        <v>590</v>
      </c>
      <c r="F15472" t="s">
        <v>11</v>
      </c>
      <c r="G15472" t="s">
        <v>591</v>
      </c>
      <c r="H15472" s="12">
        <v>11.170998397396099</v>
      </c>
      <c r="I15472" s="20">
        <v>0.72284615686154896</v>
      </c>
      <c r="J15472" s="28">
        <v>0.46977440626377698</v>
      </c>
      <c r="K15472" s="29">
        <v>0.98289565623980701</v>
      </c>
    </row>
    <row r="15473" spans="1:11" x14ac:dyDescent="0.35">
      <c r="A15473" s="9" t="str">
        <f>HYPERLINK("http://www.ensembl.org/id/WBGene00006180", "WBGene00006180")</f>
        <v>WBGene00006180</v>
      </c>
      <c r="B15473" s="9" t="str">
        <f>HYPERLINK("http://www.ncbi.nlm.nih.gov/gene/192006", "192006")</f>
        <v>192006</v>
      </c>
      <c r="C15473" s="9"/>
      <c r="D15473" t="str">
        <f>"str-131"</f>
        <v>str-131</v>
      </c>
      <c r="E15473" t="s">
        <v>590</v>
      </c>
      <c r="F15473" t="s">
        <v>11</v>
      </c>
      <c r="G15473" t="s">
        <v>4465</v>
      </c>
      <c r="H15473" s="12">
        <v>1.9453374050355401</v>
      </c>
      <c r="I15473" s="20">
        <v>0.29986494625725202</v>
      </c>
      <c r="J15473" s="28">
        <v>0.76428017341254095</v>
      </c>
      <c r="K15473" s="29">
        <v>0.98289565623980701</v>
      </c>
    </row>
    <row r="15474" spans="1:11" x14ac:dyDescent="0.35">
      <c r="A15474" s="9" t="str">
        <f>HYPERLINK("http://www.ensembl.org/id/WBGene00006182", "WBGene00006182")</f>
        <v>WBGene00006182</v>
      </c>
      <c r="B15474" s="9" t="str">
        <f>HYPERLINK("http://www.ncbi.nlm.nih.gov/gene/192007", "192007")</f>
        <v>192007</v>
      </c>
      <c r="C15474" s="9"/>
      <c r="D15474" t="str">
        <f>"str-134"</f>
        <v>str-134</v>
      </c>
      <c r="E15474" t="s">
        <v>590</v>
      </c>
      <c r="F15474" t="s">
        <v>11</v>
      </c>
      <c r="G15474" t="s">
        <v>591</v>
      </c>
      <c r="H15474" s="12">
        <v>3.5227018545059199</v>
      </c>
      <c r="I15474" s="20">
        <v>0.36849691206929103</v>
      </c>
      <c r="J15474" s="28">
        <v>0.71250274722433404</v>
      </c>
      <c r="K15474" s="29">
        <v>0.98289565623980701</v>
      </c>
    </row>
    <row r="15475" spans="1:11" x14ac:dyDescent="0.35">
      <c r="A15475" s="9" t="str">
        <f>HYPERLINK("http://www.ensembl.org/id/WBGene00006183", "WBGene00006183")</f>
        <v>WBGene00006183</v>
      </c>
      <c r="B15475" s="9" t="str">
        <f>HYPERLINK("http://www.ncbi.nlm.nih.gov/gene/192008", "192008")</f>
        <v>192008</v>
      </c>
      <c r="C15475" s="9"/>
      <c r="D15475" t="str">
        <f>"str-135"</f>
        <v>str-135</v>
      </c>
      <c r="E15475" t="s">
        <v>590</v>
      </c>
      <c r="F15475" t="s">
        <v>11</v>
      </c>
      <c r="G15475" t="s">
        <v>591</v>
      </c>
      <c r="H15475" s="12">
        <v>1.8018764941760399</v>
      </c>
      <c r="I15475" s="20">
        <v>0.34917484910137297</v>
      </c>
      <c r="J15475" s="28">
        <v>0.72695804682799203</v>
      </c>
      <c r="K15475" s="29">
        <v>0.98289565623980701</v>
      </c>
    </row>
    <row r="15476" spans="1:11" x14ac:dyDescent="0.35">
      <c r="A15476" s="9" t="str">
        <f>HYPERLINK("http://www.ensembl.org/id/WBGene00006187", "WBGene00006187")</f>
        <v>WBGene00006187</v>
      </c>
      <c r="B15476" s="9" t="str">
        <f>HYPERLINK("http://www.ncbi.nlm.nih.gov/gene/192011", "192011")</f>
        <v>192011</v>
      </c>
      <c r="C15476" s="9"/>
      <c r="D15476" t="str">
        <f>"str-138"</f>
        <v>str-138</v>
      </c>
      <c r="E15476" t="s">
        <v>590</v>
      </c>
      <c r="F15476" t="s">
        <v>11</v>
      </c>
      <c r="G15476" t="s">
        <v>591</v>
      </c>
      <c r="H15476" s="12">
        <v>-1.2015308950703101</v>
      </c>
      <c r="I15476" s="20">
        <v>-0.290541288810164</v>
      </c>
      <c r="J15476" s="28">
        <v>0.77140216840866505</v>
      </c>
      <c r="K15476" s="29">
        <v>0.98289565623980701</v>
      </c>
    </row>
    <row r="15477" spans="1:11" x14ac:dyDescent="0.35">
      <c r="A15477" s="9" t="str">
        <f>HYPERLINK("http://www.ensembl.org/id/WBGene00006188", "WBGene00006188")</f>
        <v>WBGene00006188</v>
      </c>
      <c r="B15477" s="9" t="str">
        <f>HYPERLINK("http://www.ncbi.nlm.nih.gov/gene/192012", "192012")</f>
        <v>192012</v>
      </c>
      <c r="C15477" s="9"/>
      <c r="D15477" t="str">
        <f>"str-140"</f>
        <v>str-140</v>
      </c>
      <c r="E15477" t="s">
        <v>590</v>
      </c>
      <c r="F15477" t="s">
        <v>11</v>
      </c>
      <c r="G15477" t="s">
        <v>591</v>
      </c>
      <c r="H15477" s="12">
        <v>5.4058944669092801</v>
      </c>
      <c r="I15477" s="20">
        <v>0.49762513753689303</v>
      </c>
      <c r="J15477" s="28">
        <v>0.61874828254921799</v>
      </c>
      <c r="K15477" s="29">
        <v>0.98289565623980701</v>
      </c>
    </row>
    <row r="15478" spans="1:11" x14ac:dyDescent="0.35">
      <c r="A15478" s="9" t="str">
        <f>HYPERLINK("http://www.ensembl.org/id/WBGene00006189", "WBGene00006189")</f>
        <v>WBGene00006189</v>
      </c>
      <c r="B15478" s="9" t="str">
        <f>HYPERLINK("http://www.ncbi.nlm.nih.gov/gene/185949", "185949")</f>
        <v>185949</v>
      </c>
      <c r="C15478" s="9"/>
      <c r="D15478" t="str">
        <f>"str-141"</f>
        <v>str-141</v>
      </c>
      <c r="E15478" t="s">
        <v>590</v>
      </c>
      <c r="F15478" t="s">
        <v>11</v>
      </c>
      <c r="G15478" t="s">
        <v>591</v>
      </c>
      <c r="H15478" s="12">
        <v>1.41120196499532</v>
      </c>
      <c r="I15478" s="20">
        <v>0.25744057448019497</v>
      </c>
      <c r="J15478" s="28">
        <v>0.79683868418589898</v>
      </c>
      <c r="K15478" s="29">
        <v>0.98289565623980701</v>
      </c>
    </row>
    <row r="15479" spans="1:11" x14ac:dyDescent="0.35">
      <c r="A15479" s="9" t="str">
        <f>HYPERLINK("http://www.ensembl.org/id/WBGene00006190", "WBGene00006190")</f>
        <v>WBGene00006190</v>
      </c>
      <c r="B15479" s="9" t="str">
        <f>HYPERLINK("http://www.ncbi.nlm.nih.gov/gene/192013", "192013")</f>
        <v>192013</v>
      </c>
      <c r="C15479" s="9"/>
      <c r="D15479" t="str">
        <f>"str-143"</f>
        <v>str-143</v>
      </c>
      <c r="E15479" t="s">
        <v>590</v>
      </c>
      <c r="F15479" t="s">
        <v>11</v>
      </c>
      <c r="G15479" t="s">
        <v>591</v>
      </c>
      <c r="H15479" s="12">
        <v>4.4368407117627902</v>
      </c>
      <c r="I15479" s="20">
        <v>0.43709475933309699</v>
      </c>
      <c r="J15479" s="28">
        <v>0.66204262779770495</v>
      </c>
      <c r="K15479" s="29">
        <v>0.98289565623980701</v>
      </c>
    </row>
    <row r="15480" spans="1:11" x14ac:dyDescent="0.35">
      <c r="A15480" s="9" t="str">
        <f>HYPERLINK("http://www.ensembl.org/id/WBGene00006195", "WBGene00006195")</f>
        <v>WBGene00006195</v>
      </c>
      <c r="B15480" s="9" t="str">
        <f>HYPERLINK("http://www.ncbi.nlm.nih.gov/gene/173486", "173486")</f>
        <v>173486</v>
      </c>
      <c r="C15480" s="9"/>
      <c r="D15480" t="str">
        <f>"str-148"</f>
        <v>str-148</v>
      </c>
      <c r="E15480" t="s">
        <v>590</v>
      </c>
      <c r="F15480" t="s">
        <v>11</v>
      </c>
      <c r="G15480" t="s">
        <v>591</v>
      </c>
      <c r="H15480" s="12">
        <v>-1.2819750325080801</v>
      </c>
      <c r="I15480" s="20">
        <v>-0.25726118868835202</v>
      </c>
      <c r="J15480" s="28">
        <v>0.79697715127260405</v>
      </c>
      <c r="K15480" s="29">
        <v>0.98289565623980701</v>
      </c>
    </row>
    <row r="15481" spans="1:11" x14ac:dyDescent="0.35">
      <c r="A15481" s="9" t="str">
        <f>HYPERLINK("http://www.ensembl.org/id/WBGene00006198", "WBGene00006198")</f>
        <v>WBGene00006198</v>
      </c>
      <c r="B15481" s="9" t="str">
        <f>HYPERLINK("http://www.ncbi.nlm.nih.gov/gene/188014", "188014")</f>
        <v>188014</v>
      </c>
      <c r="C15481" s="9"/>
      <c r="D15481" t="str">
        <f>"str-151"</f>
        <v>str-151</v>
      </c>
      <c r="E15481" t="s">
        <v>590</v>
      </c>
      <c r="F15481" t="s">
        <v>11</v>
      </c>
      <c r="G15481" t="s">
        <v>591</v>
      </c>
      <c r="H15481" s="12">
        <v>2.4578120077400301</v>
      </c>
      <c r="I15481" s="20">
        <v>0.26093350314551</v>
      </c>
      <c r="J15481" s="28">
        <v>0.79414378780213601</v>
      </c>
      <c r="K15481" s="29">
        <v>0.98289565623980701</v>
      </c>
    </row>
    <row r="15482" spans="1:11" x14ac:dyDescent="0.35">
      <c r="A15482" s="9" t="str">
        <f>HYPERLINK("http://www.ensembl.org/id/WBGene00006199", "WBGene00006199")</f>
        <v>WBGene00006199</v>
      </c>
      <c r="B15482" s="9" t="str">
        <f>HYPERLINK("http://www.ncbi.nlm.nih.gov/gene/189413", "189413")</f>
        <v>189413</v>
      </c>
      <c r="C15482" s="9"/>
      <c r="D15482" t="str">
        <f>"str-153"</f>
        <v>str-153</v>
      </c>
      <c r="E15482" t="s">
        <v>590</v>
      </c>
      <c r="F15482" t="s">
        <v>11</v>
      </c>
      <c r="G15482" t="s">
        <v>591</v>
      </c>
      <c r="H15482" s="12">
        <v>6.0722134029377397</v>
      </c>
      <c r="I15482" s="20">
        <v>0.96554299614261097</v>
      </c>
      <c r="J15482" s="28">
        <v>0.33427291124484998</v>
      </c>
      <c r="K15482" s="29">
        <v>0.98289565623980701</v>
      </c>
    </row>
    <row r="15483" spans="1:11" x14ac:dyDescent="0.35">
      <c r="A15483" s="9" t="str">
        <f>HYPERLINK("http://www.ensembl.org/id/WBGene00006203", "WBGene00006203")</f>
        <v>WBGene00006203</v>
      </c>
      <c r="B15483" s="9" t="str">
        <f>HYPERLINK("http://www.ncbi.nlm.nih.gov/gene/189414", "189414")</f>
        <v>189414</v>
      </c>
      <c r="C15483" s="9"/>
      <c r="D15483" t="str">
        <f>"str-158"</f>
        <v>str-158</v>
      </c>
      <c r="E15483" t="s">
        <v>590</v>
      </c>
      <c r="F15483" t="s">
        <v>11</v>
      </c>
      <c r="G15483" t="s">
        <v>591</v>
      </c>
      <c r="H15483" s="12">
        <v>2.3893468495514898</v>
      </c>
      <c r="I15483" s="20">
        <v>0.25323547253672701</v>
      </c>
      <c r="J15483" s="28">
        <v>0.80008625651646104</v>
      </c>
      <c r="K15483" s="29">
        <v>0.98289565623980701</v>
      </c>
    </row>
    <row r="15484" spans="1:11" x14ac:dyDescent="0.35">
      <c r="A15484" s="9" t="str">
        <f>HYPERLINK("http://www.ensembl.org/id/WBGene00006205", "WBGene00006205")</f>
        <v>WBGene00006205</v>
      </c>
      <c r="B15484" s="9" t="str">
        <f>HYPERLINK("http://www.ncbi.nlm.nih.gov/gene/192018", "192018")</f>
        <v>192018</v>
      </c>
      <c r="C15484" s="9"/>
      <c r="D15484" t="str">
        <f>"str-160"</f>
        <v>str-160</v>
      </c>
      <c r="E15484" t="s">
        <v>590</v>
      </c>
      <c r="F15484" t="s">
        <v>11</v>
      </c>
      <c r="G15484" t="s">
        <v>591</v>
      </c>
      <c r="H15484" s="12">
        <v>3.7359222440701099</v>
      </c>
      <c r="I15484" s="20">
        <v>1.0348619094854601</v>
      </c>
      <c r="J15484" s="28">
        <v>0.30073340550565397</v>
      </c>
      <c r="K15484" s="29">
        <v>0.98289565623980701</v>
      </c>
    </row>
    <row r="15485" spans="1:11" x14ac:dyDescent="0.35">
      <c r="A15485" s="9" t="str">
        <f>HYPERLINK("http://www.ensembl.org/id/WBGene00006206", "WBGene00006206")</f>
        <v>WBGene00006206</v>
      </c>
      <c r="B15485" s="9" t="str">
        <f>HYPERLINK("http://www.ncbi.nlm.nih.gov/gene/192019", "192019")</f>
        <v>192019</v>
      </c>
      <c r="C15485" s="9"/>
      <c r="D15485" t="str">
        <f>"str-161"</f>
        <v>str-161</v>
      </c>
      <c r="E15485" t="s">
        <v>590</v>
      </c>
      <c r="F15485" t="s">
        <v>11</v>
      </c>
      <c r="G15485" t="s">
        <v>591</v>
      </c>
      <c r="H15485" s="12">
        <v>2.3893468495514898</v>
      </c>
      <c r="I15485" s="20">
        <v>0.25323547253672701</v>
      </c>
      <c r="J15485" s="28">
        <v>0.80008625651646104</v>
      </c>
      <c r="K15485" s="29">
        <v>0.98289565623980701</v>
      </c>
    </row>
    <row r="15486" spans="1:11" x14ac:dyDescent="0.35">
      <c r="A15486" s="9" t="str">
        <f>HYPERLINK("http://www.ensembl.org/id/WBGene00006207", "WBGene00006207")</f>
        <v>WBGene00006207</v>
      </c>
      <c r="B15486" s="9" t="str">
        <f>HYPERLINK("http://www.ncbi.nlm.nih.gov/gene/192020", "192020")</f>
        <v>192020</v>
      </c>
      <c r="C15486" s="9"/>
      <c r="D15486" t="str">
        <f>"str-162"</f>
        <v>str-162</v>
      </c>
      <c r="E15486" t="s">
        <v>590</v>
      </c>
      <c r="F15486" t="s">
        <v>11</v>
      </c>
      <c r="G15486" t="s">
        <v>591</v>
      </c>
      <c r="H15486" s="12">
        <v>3.2462855574793101</v>
      </c>
      <c r="I15486" s="20">
        <v>0.72852251878621599</v>
      </c>
      <c r="J15486" s="28">
        <v>0.466293788995365</v>
      </c>
      <c r="K15486" s="29">
        <v>0.98289565623980701</v>
      </c>
    </row>
    <row r="15487" spans="1:11" x14ac:dyDescent="0.35">
      <c r="A15487" s="9" t="str">
        <f>HYPERLINK("http://www.ensembl.org/id/WBGene00006209", "WBGene00006209")</f>
        <v>WBGene00006209</v>
      </c>
      <c r="B15487" s="9" t="str">
        <f>HYPERLINK("http://www.ncbi.nlm.nih.gov/gene/189408", "189408")</f>
        <v>189408</v>
      </c>
      <c r="C15487" s="9"/>
      <c r="D15487" t="str">
        <f>"str-164"</f>
        <v>str-164</v>
      </c>
      <c r="E15487" t="s">
        <v>590</v>
      </c>
      <c r="F15487" t="s">
        <v>11</v>
      </c>
      <c r="G15487" t="s">
        <v>591</v>
      </c>
      <c r="H15487" s="12">
        <v>-1.2879801450861199</v>
      </c>
      <c r="I15487" s="20">
        <v>-0.44993206069347502</v>
      </c>
      <c r="J15487" s="28">
        <v>0.65275942922828301</v>
      </c>
      <c r="K15487" s="29">
        <v>0.98289565623980701</v>
      </c>
    </row>
    <row r="15488" spans="1:11" x14ac:dyDescent="0.35">
      <c r="A15488" s="9" t="str">
        <f>HYPERLINK("http://www.ensembl.org/id/WBGene00006212", "WBGene00006212")</f>
        <v>WBGene00006212</v>
      </c>
      <c r="B15488" s="9" t="str">
        <f>HYPERLINK("http://www.ncbi.nlm.nih.gov/gene/189412", "189412")</f>
        <v>189412</v>
      </c>
      <c r="C15488" s="9"/>
      <c r="D15488" t="str">
        <f>"str-168"</f>
        <v>str-168</v>
      </c>
      <c r="E15488" t="s">
        <v>590</v>
      </c>
      <c r="F15488" t="s">
        <v>11</v>
      </c>
      <c r="G15488" t="s">
        <v>591</v>
      </c>
      <c r="H15488" s="12">
        <v>1.54417241340044</v>
      </c>
      <c r="I15488" s="20">
        <v>0.28172180229886201</v>
      </c>
      <c r="J15488" s="28">
        <v>0.77815683552564796</v>
      </c>
      <c r="K15488" s="29">
        <v>0.98289565623980701</v>
      </c>
    </row>
    <row r="15489" spans="1:11" x14ac:dyDescent="0.35">
      <c r="A15489" s="9" t="str">
        <f>HYPERLINK("http://www.ensembl.org/id/WBGene00006213", "WBGene00006213")</f>
        <v>WBGene00006213</v>
      </c>
      <c r="B15489" s="9" t="str">
        <f>HYPERLINK("http://www.ncbi.nlm.nih.gov/gene/189410", "189410")</f>
        <v>189410</v>
      </c>
      <c r="C15489" s="9"/>
      <c r="D15489" t="str">
        <f>"str-169"</f>
        <v>str-169</v>
      </c>
      <c r="E15489" t="s">
        <v>590</v>
      </c>
      <c r="F15489" t="s">
        <v>11</v>
      </c>
      <c r="G15489" t="s">
        <v>591</v>
      </c>
      <c r="H15489" s="12">
        <v>11.170998397396099</v>
      </c>
      <c r="I15489" s="20">
        <v>0.72284615686154896</v>
      </c>
      <c r="J15489" s="28">
        <v>0.46977440626377698</v>
      </c>
      <c r="K15489" s="29">
        <v>0.98289565623980701</v>
      </c>
    </row>
    <row r="15490" spans="1:11" x14ac:dyDescent="0.35">
      <c r="A15490" s="9" t="str">
        <f>HYPERLINK("http://www.ensembl.org/id/WBGene00006214", "WBGene00006214")</f>
        <v>WBGene00006214</v>
      </c>
      <c r="B15490" s="9" t="str">
        <f>HYPERLINK("http://www.ncbi.nlm.nih.gov/gene/192022", "192022")</f>
        <v>192022</v>
      </c>
      <c r="C15490" s="9"/>
      <c r="D15490" t="str">
        <f>"str-170"</f>
        <v>str-170</v>
      </c>
      <c r="E15490" t="s">
        <v>590</v>
      </c>
      <c r="F15490" t="s">
        <v>11</v>
      </c>
      <c r="G15490" t="s">
        <v>591</v>
      </c>
      <c r="H15490" s="12">
        <v>-3.7261494131482999</v>
      </c>
      <c r="I15490" s="20">
        <v>-0.38454673129429601</v>
      </c>
      <c r="J15490" s="28">
        <v>0.70057326682554</v>
      </c>
      <c r="K15490" s="29">
        <v>0.98289565623980701</v>
      </c>
    </row>
    <row r="15491" spans="1:11" x14ac:dyDescent="0.35">
      <c r="A15491" s="9" t="str">
        <f>HYPERLINK("http://www.ensembl.org/id/WBGene00006216", "WBGene00006216")</f>
        <v>WBGene00006216</v>
      </c>
      <c r="B15491" s="9" t="str">
        <f>HYPERLINK("http://www.ncbi.nlm.nih.gov/gene/189462", "189462")</f>
        <v>189462</v>
      </c>
      <c r="C15491" s="9"/>
      <c r="D15491" t="str">
        <f>"str-172"</f>
        <v>str-172</v>
      </c>
      <c r="E15491" t="s">
        <v>590</v>
      </c>
      <c r="F15491" t="s">
        <v>11</v>
      </c>
      <c r="G15491" t="s">
        <v>591</v>
      </c>
      <c r="H15491" s="12">
        <v>2.4578120077400301</v>
      </c>
      <c r="I15491" s="20">
        <v>0.26093350314551</v>
      </c>
      <c r="J15491" s="28">
        <v>0.79414378780213601</v>
      </c>
      <c r="K15491" s="29">
        <v>0.98289565623980701</v>
      </c>
    </row>
    <row r="15492" spans="1:11" x14ac:dyDescent="0.35">
      <c r="A15492" s="9" t="str">
        <f>HYPERLINK("http://www.ensembl.org/id/WBGene00006217", "WBGene00006217")</f>
        <v>WBGene00006217</v>
      </c>
      <c r="B15492" s="9" t="str">
        <f>HYPERLINK("http://www.ncbi.nlm.nih.gov/gene/189459", "189459")</f>
        <v>189459</v>
      </c>
      <c r="C15492" s="9"/>
      <c r="D15492" t="str">
        <f>"str-173"</f>
        <v>str-173</v>
      </c>
      <c r="E15492" t="s">
        <v>590</v>
      </c>
      <c r="F15492" t="s">
        <v>11</v>
      </c>
      <c r="G15492" t="s">
        <v>591</v>
      </c>
      <c r="H15492" s="12">
        <v>-1.35268455076031</v>
      </c>
      <c r="I15492" s="20">
        <v>-0.33550437583345899</v>
      </c>
      <c r="J15492" s="28">
        <v>0.73724464437735404</v>
      </c>
      <c r="K15492" s="29">
        <v>0.98289565623980701</v>
      </c>
    </row>
    <row r="15493" spans="1:11" x14ac:dyDescent="0.35">
      <c r="A15493" s="9" t="str">
        <f>HYPERLINK("http://www.ensembl.org/id/WBGene00006219", "WBGene00006219")</f>
        <v>WBGene00006219</v>
      </c>
      <c r="B15493" s="9" t="str">
        <f>HYPERLINK("http://www.ncbi.nlm.nih.gov/gene/189463", "189463")</f>
        <v>189463</v>
      </c>
      <c r="C15493" s="9"/>
      <c r="D15493" t="str">
        <f>"str-175"</f>
        <v>str-175</v>
      </c>
      <c r="E15493" t="s">
        <v>590</v>
      </c>
      <c r="F15493" t="s">
        <v>11</v>
      </c>
      <c r="G15493" t="s">
        <v>591</v>
      </c>
      <c r="H15493" s="12">
        <v>2.4578120077400301</v>
      </c>
      <c r="I15493" s="20">
        <v>0.26093350314551</v>
      </c>
      <c r="J15493" s="28">
        <v>0.79414378780213601</v>
      </c>
      <c r="K15493" s="29">
        <v>0.98289565623980701</v>
      </c>
    </row>
    <row r="15494" spans="1:11" x14ac:dyDescent="0.35">
      <c r="A15494" s="9" t="str">
        <f>HYPERLINK("http://www.ensembl.org/id/WBGene00006221", "WBGene00006221")</f>
        <v>WBGene00006221</v>
      </c>
      <c r="B15494" s="9" t="str">
        <f>HYPERLINK("http://www.ncbi.nlm.nih.gov/gene/192023", "192023")</f>
        <v>192023</v>
      </c>
      <c r="C15494" s="9"/>
      <c r="D15494" t="str">
        <f>"str-177"</f>
        <v>str-177</v>
      </c>
      <c r="E15494" t="s">
        <v>590</v>
      </c>
      <c r="F15494" t="s">
        <v>11</v>
      </c>
      <c r="G15494" t="s">
        <v>591</v>
      </c>
      <c r="H15494" s="12">
        <v>10.8131830636529</v>
      </c>
      <c r="I15494" s="20">
        <v>0.70982715185838596</v>
      </c>
      <c r="J15494" s="28">
        <v>0.477811329444844</v>
      </c>
      <c r="K15494" s="29">
        <v>0.98289565623980701</v>
      </c>
    </row>
    <row r="15495" spans="1:11" x14ac:dyDescent="0.35">
      <c r="A15495" s="9" t="str">
        <f>HYPERLINK("http://www.ensembl.org/id/WBGene00006225", "WBGene00006225")</f>
        <v>WBGene00006225</v>
      </c>
      <c r="B15495" s="9" t="str">
        <f>HYPERLINK("http://www.ncbi.nlm.nih.gov/gene/187807", "187807")</f>
        <v>187807</v>
      </c>
      <c r="C15495" s="9"/>
      <c r="D15495" t="str">
        <f>"str-181"</f>
        <v>str-181</v>
      </c>
      <c r="E15495" t="s">
        <v>590</v>
      </c>
      <c r="F15495" t="s">
        <v>11</v>
      </c>
      <c r="G15495" t="s">
        <v>591</v>
      </c>
      <c r="H15495" s="12">
        <v>5.9495765472548197</v>
      </c>
      <c r="I15495" s="20">
        <v>0.52429389276509997</v>
      </c>
      <c r="J15495" s="28">
        <v>0.60007414400596704</v>
      </c>
      <c r="K15495" s="29">
        <v>0.98289565623980701</v>
      </c>
    </row>
    <row r="15496" spans="1:11" x14ac:dyDescent="0.35">
      <c r="A15496" s="9" t="str">
        <f>HYPERLINK("http://www.ensembl.org/id/WBGene00006226", "WBGene00006226")</f>
        <v>WBGene00006226</v>
      </c>
      <c r="B15496" s="9" t="str">
        <f>HYPERLINK("http://www.ncbi.nlm.nih.gov/gene/182544", "182544")</f>
        <v>182544</v>
      </c>
      <c r="C15496" s="9"/>
      <c r="D15496" t="str">
        <f>"str-182"</f>
        <v>str-182</v>
      </c>
      <c r="E15496" t="s">
        <v>590</v>
      </c>
      <c r="F15496" t="s">
        <v>11</v>
      </c>
      <c r="G15496" t="s">
        <v>591</v>
      </c>
      <c r="H15496" s="12">
        <v>1.12066312147861</v>
      </c>
      <c r="I15496" s="20">
        <v>0.310827858227263</v>
      </c>
      <c r="J15496" s="28">
        <v>0.755931490171173</v>
      </c>
      <c r="K15496" s="29">
        <v>0.98289565623980701</v>
      </c>
    </row>
    <row r="15497" spans="1:11" x14ac:dyDescent="0.35">
      <c r="A15497" s="9" t="str">
        <f>HYPERLINK("http://www.ensembl.org/id/WBGene00006227", "WBGene00006227")</f>
        <v>WBGene00006227</v>
      </c>
      <c r="B15497" s="9"/>
      <c r="C15497" s="9"/>
      <c r="D15497" t="str">
        <f>"str-183"</f>
        <v>str-183</v>
      </c>
      <c r="F15497" t="s">
        <v>80</v>
      </c>
      <c r="H15497" s="12">
        <v>21.2556444912755</v>
      </c>
      <c r="I15497" s="20">
        <v>1.18457169096875</v>
      </c>
      <c r="J15497" s="28">
        <v>0.236186835403803</v>
      </c>
      <c r="K15497" s="29">
        <v>0.98289565623980701</v>
      </c>
    </row>
    <row r="15498" spans="1:11" x14ac:dyDescent="0.35">
      <c r="A15498" s="9" t="str">
        <f>HYPERLINK("http://www.ensembl.org/id/WBGene00006228", "WBGene00006228")</f>
        <v>WBGene00006228</v>
      </c>
      <c r="B15498" s="9" t="str">
        <f>HYPERLINK("http://www.ncbi.nlm.nih.gov/gene/192025", "192025")</f>
        <v>192025</v>
      </c>
      <c r="C15498" s="9"/>
      <c r="D15498" t="str">
        <f>"str-185"</f>
        <v>str-185</v>
      </c>
      <c r="E15498" t="s">
        <v>590</v>
      </c>
      <c r="F15498" t="s">
        <v>11</v>
      </c>
      <c r="G15498" t="s">
        <v>591</v>
      </c>
      <c r="H15498" s="12">
        <v>-3.7261494131482999</v>
      </c>
      <c r="I15498" s="20">
        <v>-0.38454673129429601</v>
      </c>
      <c r="J15498" s="28">
        <v>0.70057326682554</v>
      </c>
      <c r="K15498" s="29">
        <v>0.98289565623980701</v>
      </c>
    </row>
    <row r="15499" spans="1:11" x14ac:dyDescent="0.35">
      <c r="A15499" s="9" t="str">
        <f>HYPERLINK("http://www.ensembl.org/id/WBGene00006086", "WBGene00006086")</f>
        <v>WBGene00006086</v>
      </c>
      <c r="B15499" s="9" t="str">
        <f>HYPERLINK("http://www.ncbi.nlm.nih.gov/gene/188786", "188786")</f>
        <v>188786</v>
      </c>
      <c r="C15499" s="9"/>
      <c r="D15499" t="str">
        <f>"str-19"</f>
        <v>str-19</v>
      </c>
      <c r="E15499" t="s">
        <v>590</v>
      </c>
      <c r="F15499" t="s">
        <v>11</v>
      </c>
      <c r="G15499" t="s">
        <v>25</v>
      </c>
      <c r="H15499" s="12">
        <v>5.7240911494525104</v>
      </c>
      <c r="I15499" s="20">
        <v>0.63713704464777798</v>
      </c>
      <c r="J15499" s="28">
        <v>0.52403558058044697</v>
      </c>
      <c r="K15499" s="29">
        <v>0.98289565623980701</v>
      </c>
    </row>
    <row r="15500" spans="1:11" x14ac:dyDescent="0.35">
      <c r="A15500" s="9" t="str">
        <f>HYPERLINK("http://www.ensembl.org/id/WBGene00006231", "WBGene00006231")</f>
        <v>WBGene00006231</v>
      </c>
      <c r="B15500" s="9" t="str">
        <f>HYPERLINK("http://www.ncbi.nlm.nih.gov/gene/192026", "192026")</f>
        <v>192026</v>
      </c>
      <c r="C15500" s="9"/>
      <c r="D15500" t="str">
        <f>"str-190"</f>
        <v>str-190</v>
      </c>
      <c r="E15500" t="s">
        <v>590</v>
      </c>
      <c r="F15500" t="s">
        <v>11</v>
      </c>
      <c r="G15500" t="s">
        <v>591</v>
      </c>
      <c r="H15500" s="12">
        <v>-6.9330863109976404</v>
      </c>
      <c r="I15500" s="20">
        <v>-0.74962652224146198</v>
      </c>
      <c r="J15500" s="28">
        <v>0.45347967252105398</v>
      </c>
      <c r="K15500" s="29">
        <v>0.98289565623980701</v>
      </c>
    </row>
    <row r="15501" spans="1:11" x14ac:dyDescent="0.35">
      <c r="A15501" s="9" t="str">
        <f>HYPERLINK("http://www.ensembl.org/id/WBGene00006233", "WBGene00006233")</f>
        <v>WBGene00006233</v>
      </c>
      <c r="B15501" s="9" t="str">
        <f>HYPERLINK("http://www.ncbi.nlm.nih.gov/gene/192027", "192027")</f>
        <v>192027</v>
      </c>
      <c r="C15501" s="9"/>
      <c r="D15501" t="str">
        <f>"str-196"</f>
        <v>str-196</v>
      </c>
      <c r="E15501" t="s">
        <v>590</v>
      </c>
      <c r="F15501" t="s">
        <v>11</v>
      </c>
      <c r="G15501" t="s">
        <v>591</v>
      </c>
      <c r="H15501" s="12">
        <v>-5.9147836814778696</v>
      </c>
      <c r="I15501" s="20">
        <v>-0.64732500741019305</v>
      </c>
      <c r="J15501" s="28">
        <v>0.51742161994361002</v>
      </c>
      <c r="K15501" s="29">
        <v>0.98289565623980701</v>
      </c>
    </row>
    <row r="15502" spans="1:11" x14ac:dyDescent="0.35">
      <c r="A15502" s="9" t="str">
        <f>HYPERLINK("http://www.ensembl.org/id/WBGene00006234", "WBGene00006234")</f>
        <v>WBGene00006234</v>
      </c>
      <c r="B15502" s="9" t="str">
        <f>HYPERLINK("http://www.ncbi.nlm.nih.gov/gene/191280", "191280")</f>
        <v>191280</v>
      </c>
      <c r="C15502" s="9"/>
      <c r="D15502" t="str">
        <f>"str-198"</f>
        <v>str-198</v>
      </c>
      <c r="E15502" t="s">
        <v>590</v>
      </c>
      <c r="F15502" t="s">
        <v>11</v>
      </c>
      <c r="G15502" t="s">
        <v>591</v>
      </c>
      <c r="H15502" s="12">
        <v>3.5227018545059199</v>
      </c>
      <c r="I15502" s="20">
        <v>0.36849691206929103</v>
      </c>
      <c r="J15502" s="28">
        <v>0.71250274722433404</v>
      </c>
      <c r="K15502" s="29">
        <v>0.98289565623980701</v>
      </c>
    </row>
    <row r="15503" spans="1:11" x14ac:dyDescent="0.35">
      <c r="A15503" s="9" t="str">
        <f>HYPERLINK("http://www.ensembl.org/id/WBGene00006235", "WBGene00006235")</f>
        <v>WBGene00006235</v>
      </c>
      <c r="B15503" s="9" t="str">
        <f>HYPERLINK("http://www.ncbi.nlm.nih.gov/gene/190524", "190524")</f>
        <v>190524</v>
      </c>
      <c r="C15503" s="9"/>
      <c r="D15503" t="str">
        <f>"str-199"</f>
        <v>str-199</v>
      </c>
      <c r="E15503" t="s">
        <v>590</v>
      </c>
      <c r="F15503" t="s">
        <v>11</v>
      </c>
      <c r="G15503" t="s">
        <v>591</v>
      </c>
      <c r="H15503" s="12">
        <v>2.4291505437333201</v>
      </c>
      <c r="I15503" s="20">
        <v>0.38261286436321401</v>
      </c>
      <c r="J15503" s="28">
        <v>0.70200683042719203</v>
      </c>
      <c r="K15503" s="29">
        <v>0.98289565623980701</v>
      </c>
    </row>
    <row r="15504" spans="1:11" x14ac:dyDescent="0.35">
      <c r="A15504" s="9" t="str">
        <f>HYPERLINK("http://www.ensembl.org/id/WBGene00006070", "WBGene00006070")</f>
        <v>WBGene00006070</v>
      </c>
      <c r="B15504" s="9" t="str">
        <f>HYPERLINK("http://www.ncbi.nlm.nih.gov/gene/179377", "179377")</f>
        <v>179377</v>
      </c>
      <c r="C15504" s="9"/>
      <c r="D15504" t="str">
        <f>"str-2"</f>
        <v>str-2</v>
      </c>
      <c r="E15504" t="s">
        <v>4397</v>
      </c>
      <c r="F15504" t="s">
        <v>11</v>
      </c>
      <c r="G15504" t="s">
        <v>4398</v>
      </c>
      <c r="H15504" s="12">
        <v>2.3893468495514898</v>
      </c>
      <c r="I15504" s="20">
        <v>0.25323547253672701</v>
      </c>
      <c r="J15504" s="28">
        <v>0.80008625651646104</v>
      </c>
      <c r="K15504" s="29">
        <v>0.98289565623980701</v>
      </c>
    </row>
    <row r="15505" spans="1:11" x14ac:dyDescent="0.35">
      <c r="A15505" s="9" t="str">
        <f>HYPERLINK("http://www.ensembl.org/id/WBGene00006087", "WBGene00006087")</f>
        <v>WBGene00006087</v>
      </c>
      <c r="B15505" s="9" t="str">
        <f>HYPERLINK("http://www.ncbi.nlm.nih.gov/gene/191970", "191970")</f>
        <v>191970</v>
      </c>
      <c r="C15505" s="9"/>
      <c r="D15505" t="str">
        <f>"str-20"</f>
        <v>str-20</v>
      </c>
      <c r="E15505" t="s">
        <v>590</v>
      </c>
      <c r="F15505" t="s">
        <v>11</v>
      </c>
      <c r="G15505" t="s">
        <v>25</v>
      </c>
      <c r="H15505" s="12">
        <v>5.2322000618327396</v>
      </c>
      <c r="I15505" s="20">
        <v>0.486112489888328</v>
      </c>
      <c r="J15505" s="28">
        <v>0.62688741196182496</v>
      </c>
      <c r="K15505" s="29">
        <v>0.98289565623980701</v>
      </c>
    </row>
    <row r="15506" spans="1:11" x14ac:dyDescent="0.35">
      <c r="A15506" s="9" t="str">
        <f>HYPERLINK("http://www.ensembl.org/id/WBGene00006236", "WBGene00006236")</f>
        <v>WBGene00006236</v>
      </c>
      <c r="B15506" s="9" t="str">
        <f>HYPERLINK("http://www.ncbi.nlm.nih.gov/gene/184732", "184732")</f>
        <v>184732</v>
      </c>
      <c r="C15506" s="9"/>
      <c r="D15506" t="str">
        <f>"str-200"</f>
        <v>str-200</v>
      </c>
      <c r="E15506" t="s">
        <v>590</v>
      </c>
      <c r="F15506" t="s">
        <v>11</v>
      </c>
      <c r="G15506" t="s">
        <v>591</v>
      </c>
      <c r="H15506" s="12">
        <v>-3.7261494131482999</v>
      </c>
      <c r="I15506" s="20">
        <v>-0.38454673129429601</v>
      </c>
      <c r="J15506" s="28">
        <v>0.70057326682554</v>
      </c>
      <c r="K15506" s="29">
        <v>0.98289565623980701</v>
      </c>
    </row>
    <row r="15507" spans="1:11" x14ac:dyDescent="0.35">
      <c r="A15507" s="9" t="str">
        <f>HYPERLINK("http://www.ensembl.org/id/WBGene00006237", "WBGene00006237")</f>
        <v>WBGene00006237</v>
      </c>
      <c r="B15507" s="9" t="str">
        <f>HYPERLINK("http://www.ncbi.nlm.nih.gov/gene/179102", "179102")</f>
        <v>179102</v>
      </c>
      <c r="C15507" s="9"/>
      <c r="D15507" t="str">
        <f>"str-204"</f>
        <v>str-204</v>
      </c>
      <c r="E15507" t="s">
        <v>590</v>
      </c>
      <c r="F15507" t="s">
        <v>11</v>
      </c>
      <c r="G15507" t="s">
        <v>591</v>
      </c>
      <c r="H15507" s="12">
        <v>-2.6091840615252302</v>
      </c>
      <c r="I15507" s="20">
        <v>-0.39304473703411003</v>
      </c>
      <c r="J15507" s="28">
        <v>0.69428643946751201</v>
      </c>
      <c r="K15507" s="29">
        <v>0.98289565623980701</v>
      </c>
    </row>
    <row r="15508" spans="1:11" x14ac:dyDescent="0.35">
      <c r="A15508" s="9" t="str">
        <f>HYPERLINK("http://www.ensembl.org/id/WBGene00006239", "WBGene00006239")</f>
        <v>WBGene00006239</v>
      </c>
      <c r="B15508" s="9" t="str">
        <f>HYPERLINK("http://www.ncbi.nlm.nih.gov/gene/192029", "192029")</f>
        <v>192029</v>
      </c>
      <c r="C15508" s="9"/>
      <c r="D15508" t="str">
        <f>"str-206"</f>
        <v>str-206</v>
      </c>
      <c r="E15508" t="s">
        <v>590</v>
      </c>
      <c r="F15508" t="s">
        <v>11</v>
      </c>
      <c r="G15508" t="s">
        <v>591</v>
      </c>
      <c r="H15508" s="12">
        <v>-3.8117711228402902</v>
      </c>
      <c r="I15508" s="20">
        <v>-0.42004545650932301</v>
      </c>
      <c r="J15508" s="28">
        <v>0.67445224688133198</v>
      </c>
      <c r="K15508" s="29">
        <v>0.98289565623980701</v>
      </c>
    </row>
    <row r="15509" spans="1:11" x14ac:dyDescent="0.35">
      <c r="A15509" s="9" t="str">
        <f>HYPERLINK("http://www.ensembl.org/id/WBGene00006241", "WBGene00006241")</f>
        <v>WBGene00006241</v>
      </c>
      <c r="B15509" s="9" t="str">
        <f>HYPERLINK("http://www.ncbi.nlm.nih.gov/gene/184996", "184996")</f>
        <v>184996</v>
      </c>
      <c r="C15509" s="9"/>
      <c r="D15509" t="str">
        <f>"str-208"</f>
        <v>str-208</v>
      </c>
      <c r="E15509" t="s">
        <v>590</v>
      </c>
      <c r="F15509" t="s">
        <v>11</v>
      </c>
      <c r="G15509" t="s">
        <v>591</v>
      </c>
      <c r="H15509" s="12">
        <v>-1.78577682947255</v>
      </c>
      <c r="I15509" s="20">
        <v>-0.86042500069110095</v>
      </c>
      <c r="J15509" s="28">
        <v>0.38955480942839998</v>
      </c>
      <c r="K15509" s="29">
        <v>0.98289565623980701</v>
      </c>
    </row>
    <row r="15510" spans="1:11" x14ac:dyDescent="0.35">
      <c r="A15510" s="9" t="str">
        <f>HYPERLINK("http://www.ensembl.org/id/WBGene00006243", "WBGene00006243")</f>
        <v>WBGene00006243</v>
      </c>
      <c r="B15510" s="9"/>
      <c r="C15510" s="9"/>
      <c r="D15510" t="str">
        <f>"str-210"</f>
        <v>str-210</v>
      </c>
      <c r="F15510" t="s">
        <v>80</v>
      </c>
      <c r="H15510" s="12">
        <v>3.5227018545059199</v>
      </c>
      <c r="I15510" s="20">
        <v>0.36849691206929103</v>
      </c>
      <c r="J15510" s="28">
        <v>0.71250274722433404</v>
      </c>
      <c r="K15510" s="29">
        <v>0.98289565623980701</v>
      </c>
    </row>
    <row r="15511" spans="1:11" x14ac:dyDescent="0.35">
      <c r="A15511" s="9" t="str">
        <f>HYPERLINK("http://www.ensembl.org/id/WBGene00006244", "WBGene00006244")</f>
        <v>WBGene00006244</v>
      </c>
      <c r="B15511" s="9" t="str">
        <f>HYPERLINK("http://www.ncbi.nlm.nih.gov/gene/192030", "192030")</f>
        <v>192030</v>
      </c>
      <c r="C15511" s="9"/>
      <c r="D15511" t="str">
        <f>"str-211"</f>
        <v>str-211</v>
      </c>
      <c r="E15511" t="s">
        <v>590</v>
      </c>
      <c r="F15511" t="s">
        <v>11</v>
      </c>
      <c r="G15511" t="s">
        <v>591</v>
      </c>
      <c r="H15511" s="12">
        <v>5.9495765472548197</v>
      </c>
      <c r="I15511" s="20">
        <v>0.52429389276509997</v>
      </c>
      <c r="J15511" s="28">
        <v>0.60007414400596704</v>
      </c>
      <c r="K15511" s="29">
        <v>0.98289565623980701</v>
      </c>
    </row>
    <row r="15512" spans="1:11" x14ac:dyDescent="0.35">
      <c r="A15512" s="9" t="str">
        <f>HYPERLINK("http://www.ensembl.org/id/WBGene00006248", "WBGene00006248")</f>
        <v>WBGene00006248</v>
      </c>
      <c r="B15512" s="9"/>
      <c r="C15512" s="9"/>
      <c r="D15512" t="str">
        <f>"str-216"</f>
        <v>str-216</v>
      </c>
      <c r="F15512" t="s">
        <v>80</v>
      </c>
      <c r="H15512" s="12">
        <v>-2.4991590031922399</v>
      </c>
      <c r="I15512" s="20">
        <v>-0.26577412737581302</v>
      </c>
      <c r="J15512" s="28">
        <v>0.79041317015736101</v>
      </c>
      <c r="K15512" s="29">
        <v>0.98289565623980701</v>
      </c>
    </row>
    <row r="15513" spans="1:11" x14ac:dyDescent="0.35">
      <c r="A15513" s="9" t="str">
        <f>HYPERLINK("http://www.ensembl.org/id/WBGene00006255", "WBGene00006255")</f>
        <v>WBGene00006255</v>
      </c>
      <c r="B15513" s="9"/>
      <c r="C15513" s="9"/>
      <c r="D15513" t="str">
        <f>"str-224"</f>
        <v>str-224</v>
      </c>
      <c r="F15513" t="s">
        <v>80</v>
      </c>
      <c r="H15513" s="12">
        <v>8.9179852905274206</v>
      </c>
      <c r="I15513" s="20">
        <v>0.98367766382324096</v>
      </c>
      <c r="J15513" s="28">
        <v>0.32527402552801399</v>
      </c>
      <c r="K15513" s="29">
        <v>0.98289565623980701</v>
      </c>
    </row>
    <row r="15514" spans="1:11" x14ac:dyDescent="0.35">
      <c r="A15514" s="9" t="str">
        <f>HYPERLINK("http://www.ensembl.org/id/WBGene00006257", "WBGene00006257")</f>
        <v>WBGene00006257</v>
      </c>
      <c r="B15514" s="9" t="str">
        <f>HYPERLINK("http://www.ncbi.nlm.nih.gov/gene/192036", "192036")</f>
        <v>192036</v>
      </c>
      <c r="C15514" s="9"/>
      <c r="D15514" t="str">
        <f>"str-226"</f>
        <v>str-226</v>
      </c>
      <c r="E15514" t="s">
        <v>590</v>
      </c>
      <c r="F15514" t="s">
        <v>11</v>
      </c>
      <c r="G15514" t="s">
        <v>591</v>
      </c>
      <c r="H15514" s="12">
        <v>2.3893468495514898</v>
      </c>
      <c r="I15514" s="20">
        <v>0.25323547253672701</v>
      </c>
      <c r="J15514" s="28">
        <v>0.80008625651646104</v>
      </c>
      <c r="K15514" s="29">
        <v>0.98289565623980701</v>
      </c>
    </row>
    <row r="15515" spans="1:11" x14ac:dyDescent="0.35">
      <c r="A15515" s="9" t="str">
        <f>HYPERLINK("http://www.ensembl.org/id/WBGene00006258", "WBGene00006258")</f>
        <v>WBGene00006258</v>
      </c>
      <c r="B15515" s="9" t="str">
        <f>HYPERLINK("http://www.ncbi.nlm.nih.gov/gene/192037", "192037")</f>
        <v>192037</v>
      </c>
      <c r="C15515" s="9"/>
      <c r="D15515" t="str">
        <f>"str-227"</f>
        <v>str-227</v>
      </c>
      <c r="E15515" t="s">
        <v>590</v>
      </c>
      <c r="F15515" t="s">
        <v>11</v>
      </c>
      <c r="G15515" t="s">
        <v>591</v>
      </c>
      <c r="H15515" s="12">
        <v>-2.3072068730283402</v>
      </c>
      <c r="I15515" s="20">
        <v>-0.58902265470673898</v>
      </c>
      <c r="J15515" s="28">
        <v>0.55584607644059103</v>
      </c>
      <c r="K15515" s="29">
        <v>0.98289565623980701</v>
      </c>
    </row>
    <row r="15516" spans="1:11" x14ac:dyDescent="0.35">
      <c r="A15516" s="9" t="str">
        <f>HYPERLINK("http://www.ensembl.org/id/WBGene00006260", "WBGene00006260")</f>
        <v>WBGene00006260</v>
      </c>
      <c r="B15516" s="9" t="str">
        <f>HYPERLINK("http://www.ncbi.nlm.nih.gov/gene/192039", "192039")</f>
        <v>192039</v>
      </c>
      <c r="C15516" s="9"/>
      <c r="D15516" t="str">
        <f>"str-229"</f>
        <v>str-229</v>
      </c>
      <c r="E15516" t="s">
        <v>590</v>
      </c>
      <c r="F15516" t="s">
        <v>11</v>
      </c>
      <c r="G15516" t="s">
        <v>591</v>
      </c>
      <c r="H15516" s="12">
        <v>2.01845696420007</v>
      </c>
      <c r="I15516" s="20">
        <v>0.40462025161376802</v>
      </c>
      <c r="J15516" s="28">
        <v>0.68575667005793195</v>
      </c>
      <c r="K15516" s="29">
        <v>0.98289565623980701</v>
      </c>
    </row>
    <row r="15517" spans="1:11" x14ac:dyDescent="0.35">
      <c r="A15517" s="9" t="str">
        <f>HYPERLINK("http://www.ensembl.org/id/WBGene00006261", "WBGene00006261")</f>
        <v>WBGene00006261</v>
      </c>
      <c r="B15517" s="9" t="str">
        <f>HYPERLINK("http://www.ncbi.nlm.nih.gov/gene/188548", "188548")</f>
        <v>188548</v>
      </c>
      <c r="C15517" s="9"/>
      <c r="D15517" t="str">
        <f>"str-230"</f>
        <v>str-230</v>
      </c>
      <c r="E15517" t="s">
        <v>590</v>
      </c>
      <c r="F15517" t="s">
        <v>11</v>
      </c>
      <c r="G15517" t="s">
        <v>591</v>
      </c>
      <c r="H15517" s="12">
        <v>12.685338163804801</v>
      </c>
      <c r="I15517" s="20">
        <v>0.81852262355899996</v>
      </c>
      <c r="J15517" s="28">
        <v>0.41305882922107201</v>
      </c>
      <c r="K15517" s="29">
        <v>0.98289565623980701</v>
      </c>
    </row>
    <row r="15518" spans="1:11" x14ac:dyDescent="0.35">
      <c r="A15518" s="9" t="str">
        <f>HYPERLINK("http://www.ensembl.org/id/WBGene00006263", "WBGene00006263")</f>
        <v>WBGene00006263</v>
      </c>
      <c r="B15518" s="9" t="str">
        <f>HYPERLINK("http://www.ncbi.nlm.nih.gov/gene/188372", "188372")</f>
        <v>188372</v>
      </c>
      <c r="C15518" s="9"/>
      <c r="D15518" t="str">
        <f>"str-232"</f>
        <v>str-232</v>
      </c>
      <c r="E15518" t="s">
        <v>590</v>
      </c>
      <c r="F15518" t="s">
        <v>11</v>
      </c>
      <c r="G15518" t="s">
        <v>591</v>
      </c>
      <c r="H15518" s="12">
        <v>2.4578120077400301</v>
      </c>
      <c r="I15518" s="20">
        <v>0.26093350314551</v>
      </c>
      <c r="J15518" s="28">
        <v>0.79414378780213601</v>
      </c>
      <c r="K15518" s="29">
        <v>0.98289565623980701</v>
      </c>
    </row>
    <row r="15519" spans="1:11" x14ac:dyDescent="0.35">
      <c r="A15519" s="9" t="str">
        <f>HYPERLINK("http://www.ensembl.org/id/WBGene00006266", "WBGene00006266")</f>
        <v>WBGene00006266</v>
      </c>
      <c r="B15519" s="9" t="str">
        <f>HYPERLINK("http://www.ncbi.nlm.nih.gov/gene/192041", "192041")</f>
        <v>192041</v>
      </c>
      <c r="C15519" s="9"/>
      <c r="D15519" t="str">
        <f>"str-238"</f>
        <v>str-238</v>
      </c>
      <c r="E15519" t="s">
        <v>590</v>
      </c>
      <c r="F15519" t="s">
        <v>11</v>
      </c>
      <c r="G15519" t="s">
        <v>591</v>
      </c>
      <c r="H15519" s="12">
        <v>3.5227018545059199</v>
      </c>
      <c r="I15519" s="20">
        <v>0.36849691206929103</v>
      </c>
      <c r="J15519" s="28">
        <v>0.71250274722433404</v>
      </c>
      <c r="K15519" s="29">
        <v>0.98289565623980701</v>
      </c>
    </row>
    <row r="15520" spans="1:11" x14ac:dyDescent="0.35">
      <c r="A15520" s="9" t="str">
        <f>HYPERLINK("http://www.ensembl.org/id/WBGene00006268", "WBGene00006268")</f>
        <v>WBGene00006268</v>
      </c>
      <c r="B15520" s="9" t="str">
        <f>HYPERLINK("http://www.ncbi.nlm.nih.gov/gene/192042", "192042")</f>
        <v>192042</v>
      </c>
      <c r="C15520" s="9"/>
      <c r="D15520" t="str">
        <f>"str-240"</f>
        <v>str-240</v>
      </c>
      <c r="E15520" t="s">
        <v>590</v>
      </c>
      <c r="F15520" t="s">
        <v>11</v>
      </c>
      <c r="G15520" t="s">
        <v>591</v>
      </c>
      <c r="H15520" s="12">
        <v>-3.7261494131482999</v>
      </c>
      <c r="I15520" s="20">
        <v>-0.38454673129429601</v>
      </c>
      <c r="J15520" s="28">
        <v>0.70057326682554</v>
      </c>
      <c r="K15520" s="29">
        <v>0.98289565623980701</v>
      </c>
    </row>
    <row r="15521" spans="1:11" x14ac:dyDescent="0.35">
      <c r="A15521" s="9" t="str">
        <f>HYPERLINK("http://www.ensembl.org/id/WBGene00006273", "WBGene00006273")</f>
        <v>WBGene00006273</v>
      </c>
      <c r="B15521" s="9" t="str">
        <f>HYPERLINK("http://www.ncbi.nlm.nih.gov/gene/189316", "189316")</f>
        <v>189316</v>
      </c>
      <c r="C15521" s="9"/>
      <c r="D15521" t="str">
        <f>"str-246"</f>
        <v>str-246</v>
      </c>
      <c r="E15521" t="s">
        <v>590</v>
      </c>
      <c r="F15521" t="s">
        <v>11</v>
      </c>
      <c r="G15521" t="s">
        <v>591</v>
      </c>
      <c r="H15521" s="12">
        <v>4.4368407117627902</v>
      </c>
      <c r="I15521" s="20">
        <v>0.43709475933309699</v>
      </c>
      <c r="J15521" s="28">
        <v>0.66204262779770495</v>
      </c>
      <c r="K15521" s="29">
        <v>0.98289565623980701</v>
      </c>
    </row>
    <row r="15522" spans="1:11" x14ac:dyDescent="0.35">
      <c r="A15522" s="9" t="str">
        <f>HYPERLINK("http://www.ensembl.org/id/WBGene00006276", "WBGene00006276")</f>
        <v>WBGene00006276</v>
      </c>
      <c r="B15522" s="9" t="str">
        <f>HYPERLINK("http://www.ncbi.nlm.nih.gov/gene/13196560", "13196560")</f>
        <v>13196560</v>
      </c>
      <c r="C15522" s="9"/>
      <c r="D15522" t="str">
        <f>"str-249"</f>
        <v>str-249</v>
      </c>
      <c r="E15522" t="s">
        <v>590</v>
      </c>
      <c r="F15522" t="s">
        <v>11</v>
      </c>
      <c r="G15522" t="s">
        <v>591</v>
      </c>
      <c r="H15522" s="12">
        <v>4.4368407117627902</v>
      </c>
      <c r="I15522" s="20">
        <v>0.43709475933309699</v>
      </c>
      <c r="J15522" s="28">
        <v>0.66204262779770495</v>
      </c>
      <c r="K15522" s="29">
        <v>0.98289565623980701</v>
      </c>
    </row>
    <row r="15523" spans="1:11" x14ac:dyDescent="0.35">
      <c r="A15523" s="9" t="str">
        <f>HYPERLINK("http://www.ensembl.org/id/WBGene00006278", "WBGene00006278")</f>
        <v>WBGene00006278</v>
      </c>
      <c r="B15523" s="9" t="str">
        <f>HYPERLINK("http://www.ncbi.nlm.nih.gov/gene/182294", "182294")</f>
        <v>182294</v>
      </c>
      <c r="C15523" s="9"/>
      <c r="D15523" t="str">
        <f>"str-252"</f>
        <v>str-252</v>
      </c>
      <c r="E15523" t="s">
        <v>590</v>
      </c>
      <c r="F15523" t="s">
        <v>11</v>
      </c>
      <c r="G15523" t="s">
        <v>591</v>
      </c>
      <c r="H15523" s="12">
        <v>3.0320589420931698</v>
      </c>
      <c r="I15523" s="20">
        <v>0.76846172358760401</v>
      </c>
      <c r="J15523" s="28">
        <v>0.44221292237930698</v>
      </c>
      <c r="K15523" s="29">
        <v>0.98289565623980701</v>
      </c>
    </row>
    <row r="15524" spans="1:11" x14ac:dyDescent="0.35">
      <c r="A15524" s="9" t="str">
        <f>HYPERLINK("http://www.ensembl.org/id/WBGene00006279", "WBGene00006279")</f>
        <v>WBGene00006279</v>
      </c>
      <c r="B15524" s="9" t="str">
        <f>HYPERLINK("http://www.ncbi.nlm.nih.gov/gene/185592", "185592")</f>
        <v>185592</v>
      </c>
      <c r="C15524" s="9"/>
      <c r="D15524" t="str">
        <f>"str-253"</f>
        <v>str-253</v>
      </c>
      <c r="E15524" t="s">
        <v>590</v>
      </c>
      <c r="F15524" t="s">
        <v>11</v>
      </c>
      <c r="G15524" t="s">
        <v>591</v>
      </c>
      <c r="H15524" s="12">
        <v>1.9140535547695701</v>
      </c>
      <c r="I15524" s="20">
        <v>0.48528516135253302</v>
      </c>
      <c r="J15524" s="28">
        <v>0.62747407981935399</v>
      </c>
      <c r="K15524" s="29">
        <v>0.98289565623980701</v>
      </c>
    </row>
    <row r="15525" spans="1:11" x14ac:dyDescent="0.35">
      <c r="A15525" s="9" t="str">
        <f>HYPERLINK("http://www.ensembl.org/id/WBGene00006282", "WBGene00006282")</f>
        <v>WBGene00006282</v>
      </c>
      <c r="B15525" s="9" t="str">
        <f>HYPERLINK("http://www.ncbi.nlm.nih.gov/gene/192045", "192045")</f>
        <v>192045</v>
      </c>
      <c r="C15525" s="9"/>
      <c r="D15525" t="str">
        <f>"str-256"</f>
        <v>str-256</v>
      </c>
      <c r="E15525" t="s">
        <v>590</v>
      </c>
      <c r="F15525" t="s">
        <v>11</v>
      </c>
      <c r="G15525" t="s">
        <v>591</v>
      </c>
      <c r="H15525" s="12">
        <v>5.2322000618327396</v>
      </c>
      <c r="I15525" s="20">
        <v>0.486112489888328</v>
      </c>
      <c r="J15525" s="28">
        <v>0.62688741196182496</v>
      </c>
      <c r="K15525" s="29">
        <v>0.98289565623980701</v>
      </c>
    </row>
    <row r="15526" spans="1:11" x14ac:dyDescent="0.35">
      <c r="A15526" s="9" t="str">
        <f>HYPERLINK("http://www.ensembl.org/id/WBGene00006286", "WBGene00006286")</f>
        <v>WBGene00006286</v>
      </c>
      <c r="B15526" s="9" t="str">
        <f>HYPERLINK("http://www.ncbi.nlm.nih.gov/gene/192046", "192046")</f>
        <v>192046</v>
      </c>
      <c r="C15526" s="9"/>
      <c r="D15526" t="str">
        <f>"str-260"</f>
        <v>str-260</v>
      </c>
      <c r="E15526" t="s">
        <v>590</v>
      </c>
      <c r="F15526" t="s">
        <v>11</v>
      </c>
      <c r="G15526" t="s">
        <v>591</v>
      </c>
      <c r="H15526" s="12">
        <v>-1.22571110991387</v>
      </c>
      <c r="I15526" s="20">
        <v>-0.33095366029922402</v>
      </c>
      <c r="J15526" s="28">
        <v>0.74067948859075605</v>
      </c>
      <c r="K15526" s="29">
        <v>0.98289565623980701</v>
      </c>
    </row>
    <row r="15527" spans="1:11" x14ac:dyDescent="0.35">
      <c r="A15527" s="9" t="str">
        <f>HYPERLINK("http://www.ensembl.org/id/WBGene00006287", "WBGene00006287")</f>
        <v>WBGene00006287</v>
      </c>
      <c r="B15527" s="9" t="str">
        <f>HYPERLINK("http://www.ncbi.nlm.nih.gov/gene/189315", "189315")</f>
        <v>189315</v>
      </c>
      <c r="C15527" s="9"/>
      <c r="D15527" t="str">
        <f>"str-261"</f>
        <v>str-261</v>
      </c>
      <c r="E15527" t="s">
        <v>590</v>
      </c>
      <c r="F15527" t="s">
        <v>11</v>
      </c>
      <c r="G15527" t="s">
        <v>591</v>
      </c>
      <c r="H15527" s="12">
        <v>1.4523326239691401</v>
      </c>
      <c r="I15527" s="20">
        <v>0.268109534263135</v>
      </c>
      <c r="J15527" s="28">
        <v>0.78861500714063704</v>
      </c>
      <c r="K15527" s="29">
        <v>0.98289565623980701</v>
      </c>
    </row>
    <row r="15528" spans="1:11" x14ac:dyDescent="0.35">
      <c r="A15528" s="9" t="str">
        <f>HYPERLINK("http://www.ensembl.org/id/WBGene00007370", "WBGene00007370")</f>
        <v>WBGene00007370</v>
      </c>
      <c r="B15528" s="9" t="str">
        <f>HYPERLINK("http://www.ncbi.nlm.nih.gov/gene/182299", "182299")</f>
        <v>182299</v>
      </c>
      <c r="C15528" s="9"/>
      <c r="D15528" t="str">
        <f>"str-264"</f>
        <v>str-264</v>
      </c>
      <c r="E15528" t="s">
        <v>590</v>
      </c>
      <c r="F15528" t="s">
        <v>11</v>
      </c>
      <c r="G15528" t="s">
        <v>591</v>
      </c>
      <c r="H15528" s="12">
        <v>-1.6548435974737701</v>
      </c>
      <c r="I15528" s="20">
        <v>-0.45444264785289801</v>
      </c>
      <c r="J15528" s="28">
        <v>0.649510262387204</v>
      </c>
      <c r="K15528" s="29">
        <v>0.98289565623980701</v>
      </c>
    </row>
    <row r="15529" spans="1:11" x14ac:dyDescent="0.35">
      <c r="A15529" s="9" t="str">
        <f>HYPERLINK("http://www.ensembl.org/id/WBGene00006096", "WBGene00006096")</f>
        <v>WBGene00006096</v>
      </c>
      <c r="B15529" s="9" t="str">
        <f>HYPERLINK("http://www.ncbi.nlm.nih.gov/gene/191972", "191972")</f>
        <v>191972</v>
      </c>
      <c r="C15529" s="9"/>
      <c r="D15529" t="str">
        <f>"str-30"</f>
        <v>str-30</v>
      </c>
      <c r="E15529" t="s">
        <v>590</v>
      </c>
      <c r="F15529" t="s">
        <v>11</v>
      </c>
      <c r="G15529" t="s">
        <v>25</v>
      </c>
      <c r="H15529" s="12">
        <v>-3.7261494131482999</v>
      </c>
      <c r="I15529" s="20">
        <v>-0.38454673129429601</v>
      </c>
      <c r="J15529" s="28">
        <v>0.70057326682554</v>
      </c>
      <c r="K15529" s="29">
        <v>0.98289565623980701</v>
      </c>
    </row>
    <row r="15530" spans="1:11" x14ac:dyDescent="0.35">
      <c r="A15530" s="9" t="str">
        <f>HYPERLINK("http://www.ensembl.org/id/WBGene00006099", "WBGene00006099")</f>
        <v>WBGene00006099</v>
      </c>
      <c r="B15530" s="9" t="str">
        <f>HYPERLINK("http://www.ncbi.nlm.nih.gov/gene/191974", "191974")</f>
        <v>191974</v>
      </c>
      <c r="C15530" s="9"/>
      <c r="D15530" t="str">
        <f>"str-33"</f>
        <v>str-33</v>
      </c>
      <c r="E15530" t="s">
        <v>590</v>
      </c>
      <c r="F15530" t="s">
        <v>11</v>
      </c>
      <c r="G15530" t="s">
        <v>25</v>
      </c>
      <c r="H15530" s="12">
        <v>4.4368407117627902</v>
      </c>
      <c r="I15530" s="20">
        <v>0.43709475933309699</v>
      </c>
      <c r="J15530" s="28">
        <v>0.66204262779770495</v>
      </c>
      <c r="K15530" s="29">
        <v>0.98289565623980701</v>
      </c>
    </row>
    <row r="15531" spans="1:11" x14ac:dyDescent="0.35">
      <c r="A15531" s="9" t="str">
        <f>HYPERLINK("http://www.ensembl.org/id/WBGene00006102", "WBGene00006102")</f>
        <v>WBGene00006102</v>
      </c>
      <c r="B15531" s="9" t="str">
        <f>HYPERLINK("http://www.ncbi.nlm.nih.gov/gene/183639", "183639")</f>
        <v>183639</v>
      </c>
      <c r="C15531" s="9"/>
      <c r="D15531" t="str">
        <f>"str-37"</f>
        <v>str-37</v>
      </c>
      <c r="E15531" t="s">
        <v>590</v>
      </c>
      <c r="F15531" t="s">
        <v>11</v>
      </c>
      <c r="G15531" t="s">
        <v>25</v>
      </c>
      <c r="H15531" s="12">
        <v>2.3893468495514898</v>
      </c>
      <c r="I15531" s="20">
        <v>0.25323547253672701</v>
      </c>
      <c r="J15531" s="28">
        <v>0.80008625651646104</v>
      </c>
      <c r="K15531" s="29">
        <v>0.98289565623980701</v>
      </c>
    </row>
    <row r="15532" spans="1:11" x14ac:dyDescent="0.35">
      <c r="A15532" s="9" t="str">
        <f>HYPERLINK("http://www.ensembl.org/id/WBGene00006072", "WBGene00006072")</f>
        <v>WBGene00006072</v>
      </c>
      <c r="B15532" s="9" t="str">
        <f>HYPERLINK("http://www.ncbi.nlm.nih.gov/gene/183637", "183637")</f>
        <v>183637</v>
      </c>
      <c r="C15532" s="9"/>
      <c r="D15532" t="str">
        <f>"str-4"</f>
        <v>str-4</v>
      </c>
      <c r="E15532" t="s">
        <v>590</v>
      </c>
      <c r="F15532" t="s">
        <v>11</v>
      </c>
      <c r="G15532" t="s">
        <v>25</v>
      </c>
      <c r="H15532" s="12">
        <v>2.9540224188137398</v>
      </c>
      <c r="I15532" s="20">
        <v>0.77153611827553803</v>
      </c>
      <c r="J15532" s="28">
        <v>0.44038922247797502</v>
      </c>
      <c r="K15532" s="29">
        <v>0.98289565623980701</v>
      </c>
    </row>
    <row r="15533" spans="1:11" x14ac:dyDescent="0.35">
      <c r="A15533" s="9" t="str">
        <f>HYPERLINK("http://www.ensembl.org/id/WBGene00006108", "WBGene00006108")</f>
        <v>WBGene00006108</v>
      </c>
      <c r="B15533" s="9" t="str">
        <f>HYPERLINK("http://www.ncbi.nlm.nih.gov/gene/188788", "188788")</f>
        <v>188788</v>
      </c>
      <c r="C15533" s="9"/>
      <c r="D15533" t="str">
        <f>"str-43"</f>
        <v>str-43</v>
      </c>
      <c r="E15533" t="s">
        <v>590</v>
      </c>
      <c r="F15533" t="s">
        <v>11</v>
      </c>
      <c r="G15533" t="s">
        <v>25</v>
      </c>
      <c r="H15533" s="12">
        <v>11.170998397396099</v>
      </c>
      <c r="I15533" s="20">
        <v>0.72284615686154896</v>
      </c>
      <c r="J15533" s="28">
        <v>0.46977440626377698</v>
      </c>
      <c r="K15533" s="29">
        <v>0.98289565623980701</v>
      </c>
    </row>
    <row r="15534" spans="1:11" x14ac:dyDescent="0.35">
      <c r="A15534" s="9" t="str">
        <f>HYPERLINK("http://www.ensembl.org/id/WBGene00006109", "WBGene00006109")</f>
        <v>WBGene00006109</v>
      </c>
      <c r="B15534" s="9" t="str">
        <f>HYPERLINK("http://www.ncbi.nlm.nih.gov/gene/191978", "191978")</f>
        <v>191978</v>
      </c>
      <c r="C15534" s="9"/>
      <c r="D15534" t="str">
        <f>"str-44"</f>
        <v>str-44</v>
      </c>
      <c r="E15534" t="s">
        <v>590</v>
      </c>
      <c r="F15534" t="s">
        <v>11</v>
      </c>
      <c r="G15534" t="s">
        <v>4342</v>
      </c>
      <c r="H15534" s="12">
        <v>2.87052529347624</v>
      </c>
      <c r="I15534" s="20">
        <v>0.98512055591427405</v>
      </c>
      <c r="J15534" s="28">
        <v>0.32456485741172197</v>
      </c>
      <c r="K15534" s="29">
        <v>0.98289565623980701</v>
      </c>
    </row>
    <row r="15535" spans="1:11" x14ac:dyDescent="0.35">
      <c r="A15535" s="9" t="str">
        <f>HYPERLINK("http://www.ensembl.org/id/WBGene00006111", "WBGene00006111")</f>
        <v>WBGene00006111</v>
      </c>
      <c r="B15535" s="9" t="str">
        <f>HYPERLINK("http://www.ncbi.nlm.nih.gov/gene/191979", "191979")</f>
        <v>191979</v>
      </c>
      <c r="C15535" s="9"/>
      <c r="D15535" t="str">
        <f>"str-46"</f>
        <v>str-46</v>
      </c>
      <c r="E15535" t="s">
        <v>590</v>
      </c>
      <c r="F15535" t="s">
        <v>11</v>
      </c>
      <c r="G15535" t="s">
        <v>25</v>
      </c>
      <c r="H15535" s="12">
        <v>4.4368407117627902</v>
      </c>
      <c r="I15535" s="20">
        <v>0.43709475933309699</v>
      </c>
      <c r="J15535" s="28">
        <v>0.66204262779770495</v>
      </c>
      <c r="K15535" s="29">
        <v>0.98289565623980701</v>
      </c>
    </row>
    <row r="15536" spans="1:11" x14ac:dyDescent="0.35">
      <c r="A15536" s="9" t="str">
        <f>HYPERLINK("http://www.ensembl.org/id/WBGene00006112", "WBGene00006112")</f>
        <v>WBGene00006112</v>
      </c>
      <c r="B15536" s="9" t="str">
        <f>HYPERLINK("http://www.ncbi.nlm.nih.gov/gene/184129", "184129")</f>
        <v>184129</v>
      </c>
      <c r="C15536" s="9"/>
      <c r="D15536" t="str">
        <f>"str-47"</f>
        <v>str-47</v>
      </c>
      <c r="E15536" t="s">
        <v>590</v>
      </c>
      <c r="F15536" t="s">
        <v>11</v>
      </c>
      <c r="G15536" t="s">
        <v>25</v>
      </c>
      <c r="H15536" s="12">
        <v>1.6248246128992001</v>
      </c>
      <c r="I15536" s="20">
        <v>0.35529196344467001</v>
      </c>
      <c r="J15536" s="28">
        <v>0.72237087548842605</v>
      </c>
      <c r="K15536" s="29">
        <v>0.98289565623980701</v>
      </c>
    </row>
    <row r="15537" spans="1:11" x14ac:dyDescent="0.35">
      <c r="A15537" s="9" t="str">
        <f>HYPERLINK("http://www.ensembl.org/id/WBGene00006113", "WBGene00006113")</f>
        <v>WBGene00006113</v>
      </c>
      <c r="B15537" s="9" t="str">
        <f>HYPERLINK("http://www.ncbi.nlm.nih.gov/gene/191980", "191980")</f>
        <v>191980</v>
      </c>
      <c r="C15537" s="9"/>
      <c r="D15537" t="str">
        <f>"str-48"</f>
        <v>str-48</v>
      </c>
      <c r="E15537" t="s">
        <v>590</v>
      </c>
      <c r="F15537" t="s">
        <v>11</v>
      </c>
      <c r="G15537" t="s">
        <v>25</v>
      </c>
      <c r="H15537" s="12">
        <v>5.4058944669092801</v>
      </c>
      <c r="I15537" s="20">
        <v>0.49762513753689303</v>
      </c>
      <c r="J15537" s="28">
        <v>0.61874828254921799</v>
      </c>
      <c r="K15537" s="29">
        <v>0.98289565623980701</v>
      </c>
    </row>
    <row r="15538" spans="1:11" x14ac:dyDescent="0.35">
      <c r="A15538" s="9" t="str">
        <f>HYPERLINK("http://www.ensembl.org/id/WBGene00006120", "WBGene00006120")</f>
        <v>WBGene00006120</v>
      </c>
      <c r="B15538" s="9" t="str">
        <f>HYPERLINK("http://www.ncbi.nlm.nih.gov/gene/184963", "184963")</f>
        <v>184963</v>
      </c>
      <c r="C15538" s="9"/>
      <c r="D15538" t="str">
        <f>"str-55"</f>
        <v>str-55</v>
      </c>
      <c r="E15538" t="s">
        <v>590</v>
      </c>
      <c r="F15538" t="s">
        <v>11</v>
      </c>
      <c r="G15538" t="s">
        <v>25</v>
      </c>
      <c r="H15538" s="12">
        <v>3.1048920425148498</v>
      </c>
      <c r="I15538" s="20">
        <v>0.42268561919513598</v>
      </c>
      <c r="J15538" s="28">
        <v>0.67252464922696797</v>
      </c>
      <c r="K15538" s="29">
        <v>0.98289565623980701</v>
      </c>
    </row>
    <row r="15539" spans="1:11" x14ac:dyDescent="0.35">
      <c r="A15539" s="9" t="str">
        <f>HYPERLINK("http://www.ensembl.org/id/WBGene00006122", "WBGene00006122")</f>
        <v>WBGene00006122</v>
      </c>
      <c r="B15539" s="9" t="str">
        <f>HYPERLINK("http://www.ncbi.nlm.nih.gov/gene/188163", "188163")</f>
        <v>188163</v>
      </c>
      <c r="C15539" s="9"/>
      <c r="D15539" t="str">
        <f>"str-57"</f>
        <v>str-57</v>
      </c>
      <c r="E15539" t="s">
        <v>590</v>
      </c>
      <c r="F15539" t="s">
        <v>11</v>
      </c>
      <c r="G15539" t="s">
        <v>25</v>
      </c>
      <c r="H15539" s="12">
        <v>5.9495765472548197</v>
      </c>
      <c r="I15539" s="20">
        <v>0.52429389276509997</v>
      </c>
      <c r="J15539" s="28">
        <v>0.60007414400596704</v>
      </c>
      <c r="K15539" s="29">
        <v>0.98289565623980701</v>
      </c>
    </row>
    <row r="15540" spans="1:11" x14ac:dyDescent="0.35">
      <c r="A15540" s="9" t="str">
        <f>HYPERLINK("http://www.ensembl.org/id/WBGene00006074", "WBGene00006074")</f>
        <v>WBGene00006074</v>
      </c>
      <c r="B15540" s="9" t="str">
        <f>HYPERLINK("http://www.ncbi.nlm.nih.gov/gene/188789", "188789")</f>
        <v>188789</v>
      </c>
      <c r="C15540" s="9"/>
      <c r="D15540" t="str">
        <f>"str-6"</f>
        <v>str-6</v>
      </c>
      <c r="E15540" t="s">
        <v>590</v>
      </c>
      <c r="F15540" t="s">
        <v>11</v>
      </c>
      <c r="G15540" t="s">
        <v>25</v>
      </c>
      <c r="H15540" s="12">
        <v>2.3893468495514898</v>
      </c>
      <c r="I15540" s="20">
        <v>0.25323547253672701</v>
      </c>
      <c r="J15540" s="28">
        <v>0.80008625651646104</v>
      </c>
      <c r="K15540" s="29">
        <v>0.98289565623980701</v>
      </c>
    </row>
    <row r="15541" spans="1:11" x14ac:dyDescent="0.35">
      <c r="A15541" s="9" t="str">
        <f>HYPERLINK("http://www.ensembl.org/id/WBGene00006126", "WBGene00006126")</f>
        <v>WBGene00006126</v>
      </c>
      <c r="B15541" s="9" t="str">
        <f>HYPERLINK("http://www.ncbi.nlm.nih.gov/gene/191981", "191981")</f>
        <v>191981</v>
      </c>
      <c r="C15541" s="9"/>
      <c r="D15541" t="str">
        <f>"str-63"</f>
        <v>str-63</v>
      </c>
      <c r="E15541" t="s">
        <v>590</v>
      </c>
      <c r="F15541" t="s">
        <v>11</v>
      </c>
      <c r="G15541" t="s">
        <v>25</v>
      </c>
      <c r="H15541" s="12">
        <v>2.3893468495514898</v>
      </c>
      <c r="I15541" s="20">
        <v>0.25323547253672701</v>
      </c>
      <c r="J15541" s="28">
        <v>0.80008625651646104</v>
      </c>
      <c r="K15541" s="29">
        <v>0.98289565623980701</v>
      </c>
    </row>
    <row r="15542" spans="1:11" x14ac:dyDescent="0.35">
      <c r="A15542" s="9" t="str">
        <f>HYPERLINK("http://www.ensembl.org/id/WBGene00006127", "WBGene00006127")</f>
        <v>WBGene00006127</v>
      </c>
      <c r="B15542" s="9" t="str">
        <f>HYPERLINK("http://www.ncbi.nlm.nih.gov/gene/191982", "191982")</f>
        <v>191982</v>
      </c>
      <c r="C15542" s="9"/>
      <c r="D15542" t="str">
        <f>"str-64"</f>
        <v>str-64</v>
      </c>
      <c r="E15542" t="s">
        <v>590</v>
      </c>
      <c r="F15542" t="s">
        <v>11</v>
      </c>
      <c r="G15542" t="s">
        <v>25</v>
      </c>
      <c r="H15542" s="12">
        <v>3.5227018545059199</v>
      </c>
      <c r="I15542" s="20">
        <v>0.36849691206929103</v>
      </c>
      <c r="J15542" s="28">
        <v>0.71250274722433404</v>
      </c>
      <c r="K15542" s="29">
        <v>0.98289565623980701</v>
      </c>
    </row>
    <row r="15543" spans="1:11" x14ac:dyDescent="0.35">
      <c r="A15543" s="9" t="str">
        <f>HYPERLINK("http://www.ensembl.org/id/WBGene00006075", "WBGene00006075")</f>
        <v>WBGene00006075</v>
      </c>
      <c r="B15543" s="9" t="str">
        <f>HYPERLINK("http://www.ncbi.nlm.nih.gov/gene/184824", "184824")</f>
        <v>184824</v>
      </c>
      <c r="C15543" s="9"/>
      <c r="D15543" t="str">
        <f>"str-7"</f>
        <v>str-7</v>
      </c>
      <c r="E15543" t="s">
        <v>590</v>
      </c>
      <c r="F15543" t="s">
        <v>11</v>
      </c>
      <c r="G15543" t="s">
        <v>25</v>
      </c>
      <c r="H15543" s="12">
        <v>3.6269373828065001</v>
      </c>
      <c r="I15543" s="20">
        <v>0.92947767008378301</v>
      </c>
      <c r="J15543" s="28">
        <v>0.35264159228332098</v>
      </c>
      <c r="K15543" s="29">
        <v>0.98289565623980701</v>
      </c>
    </row>
    <row r="15544" spans="1:11" x14ac:dyDescent="0.35">
      <c r="A15544" s="9" t="str">
        <f>HYPERLINK("http://www.ensembl.org/id/WBGene00006137", "WBGene00006137")</f>
        <v>WBGene00006137</v>
      </c>
      <c r="B15544" s="9" t="str">
        <f>HYPERLINK("http://www.ncbi.nlm.nih.gov/gene/189247", "189247")</f>
        <v>189247</v>
      </c>
      <c r="C15544" s="9"/>
      <c r="D15544" t="str">
        <f>"str-77"</f>
        <v>str-77</v>
      </c>
      <c r="E15544" t="s">
        <v>590</v>
      </c>
      <c r="F15544" t="s">
        <v>11</v>
      </c>
      <c r="G15544" t="s">
        <v>591</v>
      </c>
      <c r="H15544" s="12">
        <v>2.3893468495514898</v>
      </c>
      <c r="I15544" s="20">
        <v>0.25323547253672701</v>
      </c>
      <c r="J15544" s="28">
        <v>0.80008625651646104</v>
      </c>
      <c r="K15544" s="29">
        <v>0.98289565623980701</v>
      </c>
    </row>
    <row r="15545" spans="1:11" x14ac:dyDescent="0.35">
      <c r="A15545" s="9" t="str">
        <f>HYPERLINK("http://www.ensembl.org/id/WBGene00006141", "WBGene00006141")</f>
        <v>WBGene00006141</v>
      </c>
      <c r="B15545" s="9" t="str">
        <f>HYPERLINK("http://www.ncbi.nlm.nih.gov/gene/191989", "191989")</f>
        <v>191989</v>
      </c>
      <c r="C15545" s="9"/>
      <c r="D15545" t="str">
        <f>"str-82"</f>
        <v>str-82</v>
      </c>
      <c r="E15545" t="s">
        <v>590</v>
      </c>
      <c r="F15545" t="s">
        <v>11</v>
      </c>
      <c r="G15545" t="s">
        <v>591</v>
      </c>
      <c r="H15545" s="12">
        <v>2.3893468495514898</v>
      </c>
      <c r="I15545" s="20">
        <v>0.25323547253672701</v>
      </c>
      <c r="J15545" s="28">
        <v>0.80008625651646104</v>
      </c>
      <c r="K15545" s="29">
        <v>0.98289565623980701</v>
      </c>
    </row>
    <row r="15546" spans="1:11" x14ac:dyDescent="0.35">
      <c r="A15546" s="9" t="str">
        <f>HYPERLINK("http://www.ensembl.org/id/WBGene00006148", "WBGene00006148")</f>
        <v>WBGene00006148</v>
      </c>
      <c r="B15546" s="9" t="str">
        <f>HYPERLINK("http://www.ncbi.nlm.nih.gov/gene/186558", "186558")</f>
        <v>186558</v>
      </c>
      <c r="C15546" s="9"/>
      <c r="D15546" t="str">
        <f>"str-89"</f>
        <v>str-89</v>
      </c>
      <c r="E15546" t="s">
        <v>590</v>
      </c>
      <c r="F15546" t="s">
        <v>11</v>
      </c>
      <c r="G15546" t="s">
        <v>591</v>
      </c>
      <c r="H15546" s="12">
        <v>4.5785991424494696</v>
      </c>
      <c r="I15546" s="20">
        <v>0.82199202601351395</v>
      </c>
      <c r="J15546" s="28">
        <v>0.41108143521422302</v>
      </c>
      <c r="K15546" s="29">
        <v>0.98289565623980701</v>
      </c>
    </row>
    <row r="15547" spans="1:11" x14ac:dyDescent="0.35">
      <c r="A15547" s="9" t="str">
        <f>HYPERLINK("http://www.ensembl.org/id/WBGene00006149", "WBGene00006149")</f>
        <v>WBGene00006149</v>
      </c>
      <c r="B15547" s="9" t="str">
        <f>HYPERLINK("http://www.ncbi.nlm.nih.gov/gene/191995", "191995")</f>
        <v>191995</v>
      </c>
      <c r="C15547" s="9"/>
      <c r="D15547" t="str">
        <f>"str-90"</f>
        <v>str-90</v>
      </c>
      <c r="E15547" t="s">
        <v>590</v>
      </c>
      <c r="F15547" t="s">
        <v>11</v>
      </c>
      <c r="G15547" t="s">
        <v>591</v>
      </c>
      <c r="H15547" s="12">
        <v>2.2170033158965299</v>
      </c>
      <c r="I15547" s="20">
        <v>0.45481065411531901</v>
      </c>
      <c r="J15547" s="28">
        <v>0.64924546474963396</v>
      </c>
      <c r="K15547" s="29">
        <v>0.98289565623980701</v>
      </c>
    </row>
    <row r="15548" spans="1:11" x14ac:dyDescent="0.35">
      <c r="A15548" s="9" t="str">
        <f>HYPERLINK("http://www.ensembl.org/id/WBGene00006154", "WBGene00006154")</f>
        <v>WBGene00006154</v>
      </c>
      <c r="B15548" s="9" t="str">
        <f>HYPERLINK("http://www.ncbi.nlm.nih.gov/gene/184278", "184278")</f>
        <v>184278</v>
      </c>
      <c r="C15548" s="9"/>
      <c r="D15548" t="str">
        <f>"str-97"</f>
        <v>str-97</v>
      </c>
      <c r="E15548" t="s">
        <v>590</v>
      </c>
      <c r="F15548" t="s">
        <v>11</v>
      </c>
      <c r="G15548" t="s">
        <v>591</v>
      </c>
      <c r="H15548" s="12">
        <v>7.6616465944663696</v>
      </c>
      <c r="I15548" s="20">
        <v>0.60406875593600395</v>
      </c>
      <c r="J15548" s="28">
        <v>0.54579793098927099</v>
      </c>
      <c r="K15548" s="29">
        <v>0.98289565623980701</v>
      </c>
    </row>
    <row r="15549" spans="1:11" x14ac:dyDescent="0.35">
      <c r="A15549" s="9" t="str">
        <f>HYPERLINK("http://www.ensembl.org/id/WBGene00006155", "WBGene00006155")</f>
        <v>WBGene00006155</v>
      </c>
      <c r="B15549" s="9" t="str">
        <f>HYPERLINK("http://www.ncbi.nlm.nih.gov/gene/184276", "184276")</f>
        <v>184276</v>
      </c>
      <c r="C15549" s="9"/>
      <c r="D15549" t="str">
        <f>"str-99"</f>
        <v>str-99</v>
      </c>
      <c r="E15549" t="s">
        <v>590</v>
      </c>
      <c r="F15549" t="s">
        <v>11</v>
      </c>
      <c r="G15549" t="s">
        <v>591</v>
      </c>
      <c r="H15549" s="12">
        <v>-4.9405101579997703</v>
      </c>
      <c r="I15549" s="20">
        <v>-0.54700106443493901</v>
      </c>
      <c r="J15549" s="28">
        <v>0.58437800083765901</v>
      </c>
      <c r="K15549" s="29">
        <v>0.98289565623980701</v>
      </c>
    </row>
    <row r="15550" spans="1:11" x14ac:dyDescent="0.35">
      <c r="A15550" s="9" t="str">
        <f>HYPERLINK("http://www.ensembl.org/id/WBGene00013132", "WBGene00013132")</f>
        <v>WBGene00013132</v>
      </c>
      <c r="B15550" s="9" t="str">
        <f>HYPERLINK("http://www.ncbi.nlm.nih.gov/gene/176526", "176526")</f>
        <v>176526</v>
      </c>
      <c r="C15550" s="9" t="str">
        <f>HYPERLINK("http://www.ncbi.nlm.nih.gov/gene/92335", "92335")</f>
        <v>92335</v>
      </c>
      <c r="D15550" t="str">
        <f>"strd-1"</f>
        <v>strd-1</v>
      </c>
      <c r="E15550" t="s">
        <v>7368</v>
      </c>
      <c r="F15550" t="s">
        <v>11</v>
      </c>
      <c r="G15550" t="s">
        <v>7369</v>
      </c>
      <c r="H15550" s="12">
        <v>-1.12220310534016</v>
      </c>
      <c r="I15550" s="20">
        <v>-0.56461045611254101</v>
      </c>
      <c r="J15550" s="28">
        <v>0.57233875169334802</v>
      </c>
      <c r="K15550" s="29">
        <v>0.98289565623980701</v>
      </c>
    </row>
    <row r="15551" spans="1:11" x14ac:dyDescent="0.35">
      <c r="A15551" s="9" t="str">
        <f>HYPERLINK("http://www.ensembl.org/id/WBGene00012939", "WBGene00012939")</f>
        <v>WBGene00012939</v>
      </c>
      <c r="B15551" s="9" t="str">
        <f>HYPERLINK("http://www.ncbi.nlm.nih.gov/gene/189978", "189978")</f>
        <v>189978</v>
      </c>
      <c r="C15551" s="9"/>
      <c r="D15551" t="str">
        <f>"subs-4"</f>
        <v>subs-4</v>
      </c>
      <c r="F15551" t="s">
        <v>11</v>
      </c>
      <c r="G15551" t="s">
        <v>1686</v>
      </c>
      <c r="H15551" s="12">
        <v>1.51443724434956</v>
      </c>
      <c r="I15551" s="20">
        <v>1.1318490773176</v>
      </c>
      <c r="J15551" s="28">
        <v>0.257697890604977</v>
      </c>
      <c r="K15551" s="29">
        <v>0.98289565623980701</v>
      </c>
    </row>
    <row r="15552" spans="1:11" x14ac:dyDescent="0.35">
      <c r="A15552" s="9" t="str">
        <f>HYPERLINK("http://www.ensembl.org/id/WBGene00009812", "WBGene00009812")</f>
        <v>WBGene00009812</v>
      </c>
      <c r="B15552" s="9" t="str">
        <f>HYPERLINK("http://www.ncbi.nlm.nih.gov/gene/181280", "181280")</f>
        <v>181280</v>
      </c>
      <c r="C15552" s="9" t="str">
        <f>HYPERLINK("http://www.ncbi.nlm.nih.gov/gene/8803", "8803")</f>
        <v>8803</v>
      </c>
      <c r="D15552" t="str">
        <f>"suca-1"</f>
        <v>suca-1</v>
      </c>
      <c r="E15552" t="s">
        <v>5320</v>
      </c>
      <c r="F15552" t="s">
        <v>11</v>
      </c>
      <c r="G15552" t="s">
        <v>5321</v>
      </c>
      <c r="H15552" s="12">
        <v>1.188465652603</v>
      </c>
      <c r="I15552" s="20">
        <v>0.93240079089432903</v>
      </c>
      <c r="J15552" s="28">
        <v>0.35112943621724901</v>
      </c>
      <c r="K15552" s="29">
        <v>0.98289565623980701</v>
      </c>
    </row>
    <row r="15553" spans="1:11" x14ac:dyDescent="0.35">
      <c r="A15553" s="9" t="str">
        <f>HYPERLINK("http://www.ensembl.org/id/WBGene00017759", "WBGene00017759")</f>
        <v>WBGene00017759</v>
      </c>
      <c r="B15553" s="9" t="str">
        <f>HYPERLINK("http://www.ncbi.nlm.nih.gov/gene/175252", "175252")</f>
        <v>175252</v>
      </c>
      <c r="C15553" s="9" t="str">
        <f>HYPERLINK("http://www.ncbi.nlm.nih.gov/gene/8802", "8802")</f>
        <v>8802</v>
      </c>
      <c r="D15553" t="str">
        <f>"sucl-2"</f>
        <v>sucl-2</v>
      </c>
      <c r="E15553" t="s">
        <v>8967</v>
      </c>
      <c r="F15553" t="s">
        <v>11</v>
      </c>
      <c r="G15553" t="s">
        <v>8968</v>
      </c>
      <c r="H15553" s="12">
        <v>-1.2115947345039499</v>
      </c>
      <c r="I15553" s="20">
        <v>-1.0350949508135801</v>
      </c>
      <c r="J15553" s="28">
        <v>0.30062457036308898</v>
      </c>
      <c r="K15553" s="29">
        <v>0.98289565623980701</v>
      </c>
    </row>
    <row r="15554" spans="1:11" x14ac:dyDescent="0.35">
      <c r="A15554" s="9" t="str">
        <f>HYPERLINK("http://www.ensembl.org/id/WBGene00006307", "WBGene00006307")</f>
        <v>WBGene00006307</v>
      </c>
      <c r="B15554" s="9" t="str">
        <f>HYPERLINK("http://www.ncbi.nlm.nih.gov/gene/174380", "174380")</f>
        <v>174380</v>
      </c>
      <c r="C15554" s="9" t="str">
        <f>HYPERLINK("http://www.ncbi.nlm.nih.gov/gene/1479", "1479")</f>
        <v>1479</v>
      </c>
      <c r="D15554" t="str">
        <f>"suf-1"</f>
        <v>suf-1</v>
      </c>
      <c r="E15554" t="s">
        <v>7194</v>
      </c>
      <c r="F15554" t="s">
        <v>11</v>
      </c>
      <c r="G15554" t="s">
        <v>7195</v>
      </c>
      <c r="H15554" s="12">
        <v>-1.1127671016659599</v>
      </c>
      <c r="I15554" s="20">
        <v>-0.498218091991114</v>
      </c>
      <c r="J15554" s="28">
        <v>0.61833033194263898</v>
      </c>
      <c r="K15554" s="29">
        <v>0.98289565623980701</v>
      </c>
    </row>
    <row r="15555" spans="1:11" x14ac:dyDescent="0.35">
      <c r="A15555" s="9" t="str">
        <f>HYPERLINK("http://www.ensembl.org/id/WBGene00006308", "WBGene00006308")</f>
        <v>WBGene00006308</v>
      </c>
      <c r="B15555" s="9" t="str">
        <f>HYPERLINK("http://www.ncbi.nlm.nih.gov/gene/180619", "180619")</f>
        <v>180619</v>
      </c>
      <c r="C15555" s="9" t="str">
        <f>HYPERLINK("http://www.ncbi.nlm.nih.gov/gene/23213", "23213")</f>
        <v>23213</v>
      </c>
      <c r="D15555" t="str">
        <f>"sul-1"</f>
        <v>sul-1</v>
      </c>
      <c r="E15555" t="s">
        <v>5694</v>
      </c>
      <c r="F15555" t="s">
        <v>11</v>
      </c>
      <c r="G15555" t="s">
        <v>5695</v>
      </c>
      <c r="H15555" s="12">
        <v>1.12178147860191</v>
      </c>
      <c r="I15555" s="20">
        <v>0.343696888853814</v>
      </c>
      <c r="J15555" s="28">
        <v>0.73107425114111502</v>
      </c>
      <c r="K15555" s="29">
        <v>0.98289565623980701</v>
      </c>
    </row>
    <row r="15556" spans="1:11" x14ac:dyDescent="0.35">
      <c r="A15556" s="9" t="str">
        <f>HYPERLINK("http://www.ensembl.org/id/WBGene00012259", "WBGene00012259")</f>
        <v>WBGene00012259</v>
      </c>
      <c r="B15556" s="9" t="str">
        <f>HYPERLINK("http://www.ncbi.nlm.nih.gov/gene/189195", "189195")</f>
        <v>189195</v>
      </c>
      <c r="C15556" s="9" t="str">
        <f>HYPERLINK("http://www.ncbi.nlm.nih.gov/gene/375611", "375611")</f>
        <v>375611</v>
      </c>
      <c r="D15556" t="str">
        <f>"sulp-7"</f>
        <v>sulp-7</v>
      </c>
      <c r="E15556" t="s">
        <v>5378</v>
      </c>
      <c r="F15556" t="s">
        <v>11</v>
      </c>
      <c r="G15556" t="s">
        <v>649</v>
      </c>
      <c r="H15556" s="12">
        <v>1.1803786404015899</v>
      </c>
      <c r="I15556" s="20">
        <v>0.70570693404303197</v>
      </c>
      <c r="J15556" s="28">
        <v>0.480370407939259</v>
      </c>
      <c r="K15556" s="29">
        <v>0.98289565623980701</v>
      </c>
    </row>
    <row r="15557" spans="1:11" x14ac:dyDescent="0.35">
      <c r="A15557" s="9" t="str">
        <f>HYPERLINK("http://www.ensembl.org/id/WBGene00013963", "WBGene00013963")</f>
        <v>WBGene00013963</v>
      </c>
      <c r="B15557" s="9" t="str">
        <f>HYPERLINK("http://www.ncbi.nlm.nih.gov/gene/179357", "179357")</f>
        <v>179357</v>
      </c>
      <c r="C15557" s="9" t="str">
        <f>HYPERLINK("http://www.ncbi.nlm.nih.gov/gene/375611", "375611")</f>
        <v>375611</v>
      </c>
      <c r="D15557" t="str">
        <f>"sulp-8"</f>
        <v>sulp-8</v>
      </c>
      <c r="E15557" t="s">
        <v>5104</v>
      </c>
      <c r="F15557" t="s">
        <v>11</v>
      </c>
      <c r="G15557" t="s">
        <v>5105</v>
      </c>
      <c r="H15557" s="12">
        <v>1.2398542872306799</v>
      </c>
      <c r="I15557" s="20">
        <v>0.92718396234961797</v>
      </c>
      <c r="J15557" s="28">
        <v>0.35383102819509599</v>
      </c>
      <c r="K15557" s="29">
        <v>0.98289565623980701</v>
      </c>
    </row>
    <row r="15558" spans="1:11" x14ac:dyDescent="0.35">
      <c r="A15558" s="9" t="str">
        <f>HYPERLINK("http://www.ensembl.org/id/WBGene00018812", "WBGene00018812")</f>
        <v>WBGene00018812</v>
      </c>
      <c r="B15558" s="9" t="str">
        <f>HYPERLINK("http://www.ncbi.nlm.nih.gov/gene/24104625", "24104625")</f>
        <v>24104625</v>
      </c>
      <c r="C15558" s="9"/>
      <c r="D15558" t="str">
        <f>"sumv-2"</f>
        <v>sumv-2</v>
      </c>
      <c r="F15558" t="s">
        <v>11</v>
      </c>
      <c r="G15558" t="s">
        <v>6418</v>
      </c>
      <c r="H15558" s="12">
        <v>-1.06844151972711</v>
      </c>
      <c r="I15558" s="20">
        <v>-0.33930081084525898</v>
      </c>
      <c r="J15558" s="28">
        <v>0.73438313187566195</v>
      </c>
      <c r="K15558" s="29">
        <v>0.98289565623980701</v>
      </c>
    </row>
    <row r="15559" spans="1:11" x14ac:dyDescent="0.35">
      <c r="A15559" s="9" t="str">
        <f>HYPERLINK("http://www.ensembl.org/id/WBGene00010397", "WBGene00010397")</f>
        <v>WBGene00010397</v>
      </c>
      <c r="B15559" s="9" t="str">
        <f>HYPERLINK("http://www.ncbi.nlm.nih.gov/gene/181638", "181638")</f>
        <v>181638</v>
      </c>
      <c r="C15559" s="9" t="str">
        <f>HYPERLINK("http://www.ncbi.nlm.nih.gov/gene/6821", "6821")</f>
        <v>6821</v>
      </c>
      <c r="D15559" t="str">
        <f>"suox-1"</f>
        <v>suox-1</v>
      </c>
      <c r="E15559" t="s">
        <v>5354</v>
      </c>
      <c r="F15559" t="s">
        <v>11</v>
      </c>
      <c r="G15559" t="s">
        <v>5355</v>
      </c>
      <c r="H15559" s="12">
        <v>1.1840749165404201</v>
      </c>
      <c r="I15559" s="20">
        <v>0.85301899136987702</v>
      </c>
      <c r="J15559" s="28">
        <v>0.393648772598927</v>
      </c>
      <c r="K15559" s="29">
        <v>0.98289565623980701</v>
      </c>
    </row>
    <row r="15560" spans="1:11" x14ac:dyDescent="0.35">
      <c r="A15560" s="9" t="str">
        <f>HYPERLINK("http://www.ensembl.org/id/WBGene00006319", "WBGene00006319")</f>
        <v>WBGene00006319</v>
      </c>
      <c r="B15560" s="9" t="str">
        <f>HYPERLINK("http://www.ncbi.nlm.nih.gov/gene/181784", "181784")</f>
        <v>181784</v>
      </c>
      <c r="C15560" s="9"/>
      <c r="D15560" t="str">
        <f>"sup-10"</f>
        <v>sup-10</v>
      </c>
      <c r="E15560" t="s">
        <v>5333</v>
      </c>
      <c r="F15560" t="s">
        <v>11</v>
      </c>
      <c r="G15560" t="s">
        <v>5334</v>
      </c>
      <c r="H15560" s="12">
        <v>1.1865373848610501</v>
      </c>
      <c r="I15560" s="20">
        <v>0.58213037042650495</v>
      </c>
      <c r="J15560" s="28">
        <v>0.56047886972051197</v>
      </c>
      <c r="K15560" s="29">
        <v>0.98289565623980701</v>
      </c>
    </row>
    <row r="15561" spans="1:11" x14ac:dyDescent="0.35">
      <c r="A15561" s="9" t="str">
        <f>HYPERLINK("http://www.ensembl.org/id/WBGene00006321", "WBGene00006321")</f>
        <v>WBGene00006321</v>
      </c>
      <c r="B15561" s="9" t="str">
        <f>HYPERLINK("http://www.ncbi.nlm.nih.gov/gene/180674", "180674")</f>
        <v>180674</v>
      </c>
      <c r="C15561" s="9"/>
      <c r="D15561" t="str">
        <f>"sup-12"</f>
        <v>sup-12</v>
      </c>
      <c r="E15561" t="s">
        <v>5317</v>
      </c>
      <c r="F15561" t="s">
        <v>11</v>
      </c>
      <c r="G15561" t="s">
        <v>7864</v>
      </c>
      <c r="H15561" s="12">
        <v>-1.14862169491178</v>
      </c>
      <c r="I15561" s="20">
        <v>-0.71079600196580806</v>
      </c>
      <c r="J15561" s="28">
        <v>0.47721065850000299</v>
      </c>
      <c r="K15561" s="29">
        <v>0.98289565623980701</v>
      </c>
    </row>
    <row r="15562" spans="1:11" x14ac:dyDescent="0.35">
      <c r="A15562" s="9" t="str">
        <f>HYPERLINK("http://www.ensembl.org/id/WBGene00006331", "WBGene00006331")</f>
        <v>WBGene00006331</v>
      </c>
      <c r="B15562" s="9" t="str">
        <f>HYPERLINK("http://www.ncbi.nlm.nih.gov/gene/175551", "175551")</f>
        <v>175551</v>
      </c>
      <c r="C15562" s="9"/>
      <c r="D15562" t="str">
        <f>"sup-26"</f>
        <v>sup-26</v>
      </c>
      <c r="E15562" t="s">
        <v>5317</v>
      </c>
      <c r="F15562" t="s">
        <v>11</v>
      </c>
      <c r="G15562" t="s">
        <v>5318</v>
      </c>
      <c r="H15562" s="12">
        <v>1.18941760439421</v>
      </c>
      <c r="I15562" s="20">
        <v>0.93265680462602896</v>
      </c>
      <c r="J15562" s="28">
        <v>0.35099719406216201</v>
      </c>
      <c r="K15562" s="29">
        <v>0.98289565623980701</v>
      </c>
    </row>
    <row r="15563" spans="1:11" x14ac:dyDescent="0.35">
      <c r="A15563" s="9" t="str">
        <f>HYPERLINK("http://www.ensembl.org/id/WBGene00006338", "WBGene00006338")</f>
        <v>WBGene00006338</v>
      </c>
      <c r="B15563" s="9"/>
      <c r="C15563" s="9"/>
      <c r="D15563" t="str">
        <f>"sup-33"</f>
        <v>sup-33</v>
      </c>
      <c r="F15563" t="s">
        <v>4208</v>
      </c>
      <c r="H15563" s="12">
        <v>2.3893468495514898</v>
      </c>
      <c r="I15563" s="20">
        <v>0.25323547253672701</v>
      </c>
      <c r="J15563" s="28">
        <v>0.80008625651646104</v>
      </c>
      <c r="K15563" s="29">
        <v>0.98289565623980701</v>
      </c>
    </row>
    <row r="15564" spans="1:11" x14ac:dyDescent="0.35">
      <c r="A15564" s="9" t="str">
        <f>HYPERLINK("http://www.ensembl.org/id/WBGene00012976", "WBGene00012976")</f>
        <v>WBGene00012976</v>
      </c>
      <c r="B15564" s="9" t="str">
        <f>HYPERLINK("http://www.ncbi.nlm.nih.gov/gene/190015", "190015")</f>
        <v>190015</v>
      </c>
      <c r="C15564" s="9"/>
      <c r="D15564" t="str">
        <f>"sup-35"</f>
        <v>sup-35</v>
      </c>
      <c r="E15564" t="s">
        <v>5317</v>
      </c>
      <c r="F15564" t="s">
        <v>11</v>
      </c>
      <c r="G15564" t="s">
        <v>8892</v>
      </c>
      <c r="H15564" s="12">
        <v>-1.2055005768895199</v>
      </c>
      <c r="I15564" s="20">
        <v>-0.56151393305025399</v>
      </c>
      <c r="J15564" s="28">
        <v>0.57444723472428405</v>
      </c>
      <c r="K15564" s="29">
        <v>0.98289565623980701</v>
      </c>
    </row>
    <row r="15565" spans="1:11" x14ac:dyDescent="0.35">
      <c r="A15565" s="9" t="str">
        <f>HYPERLINK("http://www.ensembl.org/id/WBGene00018164", "WBGene00018164")</f>
        <v>WBGene00018164</v>
      </c>
      <c r="B15565" s="9" t="str">
        <f>HYPERLINK("http://www.ncbi.nlm.nih.gov/gene/177422", "177422")</f>
        <v>177422</v>
      </c>
      <c r="C15565" s="9"/>
      <c r="D15565" t="str">
        <f>"sup-36"</f>
        <v>sup-36</v>
      </c>
      <c r="E15565" t="s">
        <v>5317</v>
      </c>
      <c r="F15565" t="s">
        <v>11</v>
      </c>
      <c r="G15565" t="s">
        <v>8164</v>
      </c>
      <c r="H15565" s="12">
        <v>-1.1632882508453599</v>
      </c>
      <c r="I15565" s="20">
        <v>-0.803949615211075</v>
      </c>
      <c r="J15565" s="28">
        <v>0.42142607419640798</v>
      </c>
      <c r="K15565" s="29">
        <v>0.98289565623980701</v>
      </c>
    </row>
    <row r="15566" spans="1:11" x14ac:dyDescent="0.35">
      <c r="A15566" s="9" t="str">
        <f>HYPERLINK("http://www.ensembl.org/id/WBGene00006342", "WBGene00006342")</f>
        <v>WBGene00006342</v>
      </c>
      <c r="B15566" s="9" t="str">
        <f>HYPERLINK("http://www.ncbi.nlm.nih.gov/gene/179257", "179257")</f>
        <v>179257</v>
      </c>
      <c r="C15566" s="9"/>
      <c r="D15566" t="str">
        <f>"sup-37"</f>
        <v>sup-37</v>
      </c>
      <c r="E15566" t="s">
        <v>5317</v>
      </c>
      <c r="F15566" t="s">
        <v>11</v>
      </c>
      <c r="G15566" t="s">
        <v>5579</v>
      </c>
      <c r="H15566" s="12">
        <v>1.1425126220997901</v>
      </c>
      <c r="I15566" s="20">
        <v>0.71532219761445803</v>
      </c>
      <c r="J15566" s="28">
        <v>0.47440997537156099</v>
      </c>
      <c r="K15566" s="29">
        <v>0.98289565623980701</v>
      </c>
    </row>
    <row r="15567" spans="1:11" x14ac:dyDescent="0.35">
      <c r="A15567" s="9" t="str">
        <f>HYPERLINK("http://www.ensembl.org/id/WBGene00006314", "WBGene00006314")</f>
        <v>WBGene00006314</v>
      </c>
      <c r="B15567" s="9"/>
      <c r="C15567" s="9"/>
      <c r="D15567" t="str">
        <f>"sup-5"</f>
        <v>sup-5</v>
      </c>
      <c r="F15567" t="s">
        <v>4208</v>
      </c>
      <c r="H15567" s="12">
        <v>-2.4991590031922399</v>
      </c>
      <c r="I15567" s="20">
        <v>-0.26577412737581302</v>
      </c>
      <c r="J15567" s="28">
        <v>0.79041317015736101</v>
      </c>
      <c r="K15567" s="29">
        <v>0.98289565623980701</v>
      </c>
    </row>
    <row r="15568" spans="1:11" x14ac:dyDescent="0.35">
      <c r="A15568" s="9" t="str">
        <f>HYPERLINK("http://www.ensembl.org/id/WBGene00006315", "WBGene00006315")</f>
        <v>WBGene00006315</v>
      </c>
      <c r="B15568" s="9"/>
      <c r="C15568" s="9"/>
      <c r="D15568" t="str">
        <f>"sup-6"</f>
        <v>sup-6</v>
      </c>
      <c r="F15568" t="s">
        <v>4205</v>
      </c>
      <c r="H15568" s="12">
        <v>4.4368407117627902</v>
      </c>
      <c r="I15568" s="20">
        <v>0.43709475933309699</v>
      </c>
      <c r="J15568" s="28">
        <v>0.66204262779770495</v>
      </c>
      <c r="K15568" s="29">
        <v>0.98289565623980701</v>
      </c>
    </row>
    <row r="15569" spans="1:11" x14ac:dyDescent="0.35">
      <c r="A15569" s="9" t="str">
        <f>HYPERLINK("http://www.ensembl.org/id/WBGene00006318", "WBGene00006318")</f>
        <v>WBGene00006318</v>
      </c>
      <c r="B15569" s="9" t="str">
        <f>HYPERLINK("http://www.ncbi.nlm.nih.gov/gene/173613", "173613")</f>
        <v>173613</v>
      </c>
      <c r="C15569" s="9"/>
      <c r="D15569" t="str">
        <f>"sup-9"</f>
        <v>sup-9</v>
      </c>
      <c r="E15569" t="s">
        <v>4585</v>
      </c>
      <c r="F15569" t="s">
        <v>11</v>
      </c>
      <c r="G15569" t="s">
        <v>5400</v>
      </c>
      <c r="H15569" s="12">
        <v>1.1730179503759</v>
      </c>
      <c r="I15569" s="20">
        <v>0.42836695374103201</v>
      </c>
      <c r="J15569" s="28">
        <v>0.66838398011451805</v>
      </c>
      <c r="K15569" s="29">
        <v>0.98289565623980701</v>
      </c>
    </row>
    <row r="15570" spans="1:11" x14ac:dyDescent="0.35">
      <c r="A15570" s="9" t="str">
        <f>HYPERLINK("http://www.ensembl.org/id/WBGene00006349", "WBGene00006349")</f>
        <v>WBGene00006349</v>
      </c>
      <c r="B15570" s="9" t="str">
        <f>HYPERLINK("http://www.ncbi.nlm.nih.gov/gene/173345", "173345")</f>
        <v>173345</v>
      </c>
      <c r="C15570" s="9" t="str">
        <f>HYPERLINK("http://www.ncbi.nlm.nih.gov/gene/9439", "9439")</f>
        <v>9439</v>
      </c>
      <c r="D15570" t="str">
        <f>"sur-2"</f>
        <v>sur-2</v>
      </c>
      <c r="E15570" t="s">
        <v>8768</v>
      </c>
      <c r="F15570" t="s">
        <v>11</v>
      </c>
      <c r="H15570" s="12">
        <v>-1.1951134317535901</v>
      </c>
      <c r="I15570" s="20">
        <v>-0.862986770091554</v>
      </c>
      <c r="J15570" s="28">
        <v>0.38814474097420099</v>
      </c>
      <c r="K15570" s="29">
        <v>0.98289565623980701</v>
      </c>
    </row>
    <row r="15571" spans="1:11" x14ac:dyDescent="0.35">
      <c r="A15571" s="9" t="str">
        <f>HYPERLINK("http://www.ensembl.org/id/WBGene00006351", "WBGene00006351")</f>
        <v>WBGene00006351</v>
      </c>
      <c r="B15571" s="9" t="str">
        <f>HYPERLINK("http://www.ncbi.nlm.nih.gov/gene/180992", "180992")</f>
        <v>180992</v>
      </c>
      <c r="C15571" s="9" t="str">
        <f>HYPERLINK("http://www.ncbi.nlm.nih.gov/gene/65985", "65985")</f>
        <v>65985</v>
      </c>
      <c r="D15571" t="str">
        <f>"sur-5"</f>
        <v>sur-5</v>
      </c>
      <c r="E15571" t="s">
        <v>9195</v>
      </c>
      <c r="F15571" t="s">
        <v>11</v>
      </c>
      <c r="G15571" t="s">
        <v>9196</v>
      </c>
      <c r="H15571" s="12">
        <v>-1.22741308641522</v>
      </c>
      <c r="I15571" s="20">
        <v>-1.0729380031628899</v>
      </c>
      <c r="J15571" s="28">
        <v>0.28329893350449897</v>
      </c>
      <c r="K15571" s="29">
        <v>0.98289565623980701</v>
      </c>
    </row>
    <row r="15572" spans="1:11" x14ac:dyDescent="0.35">
      <c r="A15572" s="9" t="str">
        <f>HYPERLINK("http://www.ensembl.org/id/WBGene00006352", "WBGene00006352")</f>
        <v>WBGene00006352</v>
      </c>
      <c r="B15572" s="9" t="str">
        <f>HYPERLINK("http://www.ncbi.nlm.nih.gov/gene/172826", "172826")</f>
        <v>172826</v>
      </c>
      <c r="C15572" s="9" t="str">
        <f>HYPERLINK("http://www.ncbi.nlm.nih.gov/gene/55844", "55844")</f>
        <v>55844</v>
      </c>
      <c r="D15572" t="str">
        <f>"sur-6"</f>
        <v>sur-6</v>
      </c>
      <c r="E15572" t="s">
        <v>6733</v>
      </c>
      <c r="F15572" t="s">
        <v>11</v>
      </c>
      <c r="G15572" t="s">
        <v>6734</v>
      </c>
      <c r="H15572" s="12">
        <v>-1.08634291823633</v>
      </c>
      <c r="I15572" s="20">
        <v>-0.44134100189581499</v>
      </c>
      <c r="J15572" s="28">
        <v>0.658966146965827</v>
      </c>
      <c r="K15572" s="29">
        <v>0.98289565623980701</v>
      </c>
    </row>
    <row r="15573" spans="1:11" x14ac:dyDescent="0.35">
      <c r="A15573" s="9" t="str">
        <f>HYPERLINK("http://www.ensembl.org/id/WBGene00006353", "WBGene00006353")</f>
        <v>WBGene00006353</v>
      </c>
      <c r="B15573" s="9" t="str">
        <f>HYPERLINK("http://www.ncbi.nlm.nih.gov/gene/181707", "181707")</f>
        <v>181707</v>
      </c>
      <c r="C15573" s="9"/>
      <c r="D15573" t="str">
        <f>"sur-7"</f>
        <v>sur-7</v>
      </c>
      <c r="E15573" t="s">
        <v>5157</v>
      </c>
      <c r="F15573" t="s">
        <v>11</v>
      </c>
      <c r="G15573" t="s">
        <v>5158</v>
      </c>
      <c r="H15573" s="12">
        <v>1.22679441064598</v>
      </c>
      <c r="I15573" s="20">
        <v>1.0279977180531299</v>
      </c>
      <c r="J15573" s="28">
        <v>0.303950901107229</v>
      </c>
      <c r="K15573" s="29">
        <v>0.98289565623980701</v>
      </c>
    </row>
    <row r="15574" spans="1:11" x14ac:dyDescent="0.35">
      <c r="A15574" s="9" t="str">
        <f>HYPERLINK("http://www.ensembl.org/id/WBGene00020475", "WBGene00020475")</f>
        <v>WBGene00020475</v>
      </c>
      <c r="B15574" s="9" t="str">
        <f>HYPERLINK("http://www.ncbi.nlm.nih.gov/gene/173496", "173496")</f>
        <v>173496</v>
      </c>
      <c r="C15574" s="9"/>
      <c r="D15574" t="str">
        <f>"sut-1"</f>
        <v>sut-1</v>
      </c>
      <c r="E15574" t="s">
        <v>6751</v>
      </c>
      <c r="F15574" t="s">
        <v>11</v>
      </c>
      <c r="G15574" t="s">
        <v>6752</v>
      </c>
      <c r="H15574" s="12">
        <v>-1.08723072119037</v>
      </c>
      <c r="I15574" s="20">
        <v>-0.39899164314112801</v>
      </c>
      <c r="J15574" s="28">
        <v>0.689899361897788</v>
      </c>
      <c r="K15574" s="29">
        <v>0.98289565623980701</v>
      </c>
    </row>
    <row r="15575" spans="1:11" x14ac:dyDescent="0.35">
      <c r="A15575" s="9" t="str">
        <f>HYPERLINK("http://www.ensembl.org/id/WBGene00022019", "WBGene00022019")</f>
        <v>WBGene00022019</v>
      </c>
      <c r="B15575" s="9" t="str">
        <f>HYPERLINK("http://www.ncbi.nlm.nih.gov/gene/178847", "178847")</f>
        <v>178847</v>
      </c>
      <c r="C15575" s="9"/>
      <c r="D15575" t="str">
        <f>"sut-2"</f>
        <v>sut-2</v>
      </c>
      <c r="E15575" t="s">
        <v>8001</v>
      </c>
      <c r="F15575" t="s">
        <v>11</v>
      </c>
      <c r="G15575" t="s">
        <v>8002</v>
      </c>
      <c r="H15575" s="12">
        <v>-1.1552793013816101</v>
      </c>
      <c r="I15575" s="20">
        <v>-0.77680891735700097</v>
      </c>
      <c r="J15575" s="28">
        <v>0.43727151485325799</v>
      </c>
      <c r="K15575" s="29">
        <v>0.98289565623980701</v>
      </c>
    </row>
    <row r="15576" spans="1:11" x14ac:dyDescent="0.35">
      <c r="A15576" s="9" t="str">
        <f>HYPERLINK("http://www.ensembl.org/id/WBGene00006620", "WBGene00006620")</f>
        <v>WBGene00006620</v>
      </c>
      <c r="B15576" s="9" t="str">
        <f>HYPERLINK("http://www.ncbi.nlm.nih.gov/gene/182375", "182375")</f>
        <v>182375</v>
      </c>
      <c r="C15576" s="9" t="str">
        <f>HYPERLINK("http://www.ncbi.nlm.nih.gov/gene/7113", "7113")</f>
        <v>7113</v>
      </c>
      <c r="D15576" t="str">
        <f>"svh-1"</f>
        <v>svh-1</v>
      </c>
      <c r="E15576" t="s">
        <v>4826</v>
      </c>
      <c r="F15576" t="s">
        <v>11</v>
      </c>
      <c r="G15576" t="s">
        <v>4827</v>
      </c>
      <c r="H15576" s="12">
        <v>1.3463727716723899</v>
      </c>
      <c r="I15576" s="20">
        <v>0.87430380379804296</v>
      </c>
      <c r="J15576" s="28">
        <v>0.38195282839037098</v>
      </c>
      <c r="K15576" s="29">
        <v>0.98289565623980701</v>
      </c>
    </row>
    <row r="15577" spans="1:11" x14ac:dyDescent="0.35">
      <c r="A15577" s="9" t="str">
        <f>HYPERLINK("http://www.ensembl.org/id/WBGene00020504", "WBGene00020504")</f>
        <v>WBGene00020504</v>
      </c>
      <c r="B15577" s="9" t="str">
        <f>HYPERLINK("http://www.ncbi.nlm.nih.gov/gene/180929", "180929")</f>
        <v>180929</v>
      </c>
      <c r="C15577" s="9"/>
      <c r="D15577" t="str">
        <f>"svh-2"</f>
        <v>svh-2</v>
      </c>
      <c r="E15577" t="s">
        <v>5298</v>
      </c>
      <c r="F15577" t="s">
        <v>11</v>
      </c>
      <c r="G15577" t="s">
        <v>5299</v>
      </c>
      <c r="H15577" s="12">
        <v>1.19238761011243</v>
      </c>
      <c r="I15577" s="20">
        <v>0.91907339742219696</v>
      </c>
      <c r="J15577" s="28">
        <v>0.358057182729976</v>
      </c>
      <c r="K15577" s="29">
        <v>0.98289565623980701</v>
      </c>
    </row>
    <row r="15578" spans="1:11" x14ac:dyDescent="0.35">
      <c r="A15578" s="9" t="str">
        <f>HYPERLINK("http://www.ensembl.org/id/WBGene00006462", "WBGene00006462")</f>
        <v>WBGene00006462</v>
      </c>
      <c r="B15578" s="9" t="str">
        <f>HYPERLINK("http://www.ncbi.nlm.nih.gov/gene/181627", "181627")</f>
        <v>181627</v>
      </c>
      <c r="C15578" s="9"/>
      <c r="D15578" t="str">
        <f>"svh-5"</f>
        <v>svh-5</v>
      </c>
      <c r="F15578" t="s">
        <v>11</v>
      </c>
      <c r="G15578" t="s">
        <v>4661</v>
      </c>
      <c r="H15578" s="12">
        <v>1.1366647204712199</v>
      </c>
      <c r="I15578" s="20">
        <v>0.65111083928526803</v>
      </c>
      <c r="J15578" s="28">
        <v>0.51497493997508803</v>
      </c>
      <c r="K15578" s="29">
        <v>0.98289565623980701</v>
      </c>
    </row>
    <row r="15579" spans="1:11" x14ac:dyDescent="0.35">
      <c r="A15579" s="9" t="str">
        <f>HYPERLINK("http://www.ensembl.org/id/WBGene00009976", "WBGene00009976")</f>
        <v>WBGene00009976</v>
      </c>
      <c r="B15579" s="9" t="str">
        <f>HYPERLINK("http://www.ncbi.nlm.nih.gov/gene/179875", "179875")</f>
        <v>179875</v>
      </c>
      <c r="C15579" s="9" t="str">
        <f>HYPERLINK("http://www.ncbi.nlm.nih.gov/gene/10238", "10238")</f>
        <v>10238</v>
      </c>
      <c r="D15579" t="str">
        <f>"swan-2"</f>
        <v>swan-2</v>
      </c>
      <c r="E15579" t="s">
        <v>6610</v>
      </c>
      <c r="F15579" t="s">
        <v>11</v>
      </c>
      <c r="G15579" t="s">
        <v>6611</v>
      </c>
      <c r="H15579" s="12">
        <v>-1.0797302184711901</v>
      </c>
      <c r="I15579" s="20">
        <v>-0.39927482875238102</v>
      </c>
      <c r="J15579" s="28">
        <v>0.68969071203960797</v>
      </c>
      <c r="K15579" s="29">
        <v>0.98289565623980701</v>
      </c>
    </row>
    <row r="15580" spans="1:11" x14ac:dyDescent="0.35">
      <c r="A15580" s="9" t="str">
        <f>HYPERLINK("http://www.ensembl.org/id/WBGene00006359", "WBGene00006359")</f>
        <v>WBGene00006359</v>
      </c>
      <c r="B15580" s="9" t="str">
        <f>HYPERLINK("http://www.ncbi.nlm.nih.gov/gene/175795", "175795")</f>
        <v>175795</v>
      </c>
      <c r="C15580" s="9"/>
      <c r="D15580" t="str">
        <f>"swp-1"</f>
        <v>swp-1</v>
      </c>
      <c r="F15580" t="s">
        <v>11</v>
      </c>
      <c r="G15580" t="s">
        <v>9247</v>
      </c>
      <c r="H15580" s="12">
        <v>-1.2304065545621099</v>
      </c>
      <c r="I15580" s="20">
        <v>-0.95097738898828099</v>
      </c>
      <c r="J15580" s="28">
        <v>0.34161585414119</v>
      </c>
      <c r="K15580" s="29">
        <v>0.98289565623980701</v>
      </c>
    </row>
    <row r="15581" spans="1:11" x14ac:dyDescent="0.35">
      <c r="A15581" s="9" t="str">
        <f>HYPERLINK("http://www.ensembl.org/id/WBGene00004203", "WBGene00004203")</f>
        <v>WBGene00004203</v>
      </c>
      <c r="B15581" s="9" t="str">
        <f>HYPERLINK("http://www.ncbi.nlm.nih.gov/gene/180324", "180324")</f>
        <v>180324</v>
      </c>
      <c r="C15581" s="9"/>
      <c r="D15581" t="str">
        <f>"swsn-1"</f>
        <v>swsn-1</v>
      </c>
      <c r="E15581" t="s">
        <v>6288</v>
      </c>
      <c r="F15581" t="s">
        <v>11</v>
      </c>
      <c r="G15581" t="s">
        <v>6289</v>
      </c>
      <c r="H15581" s="12">
        <v>-1.0601038300635801</v>
      </c>
      <c r="I15581" s="20">
        <v>-0.27969543662242002</v>
      </c>
      <c r="J15581" s="28">
        <v>0.77971117970428105</v>
      </c>
      <c r="K15581" s="29">
        <v>0.98289565623980701</v>
      </c>
    </row>
    <row r="15582" spans="1:11" x14ac:dyDescent="0.35">
      <c r="A15582" s="9" t="str">
        <f>HYPERLINK("http://www.ensembl.org/id/WBGene00015971", "WBGene00015971")</f>
        <v>WBGene00015971</v>
      </c>
      <c r="B15582" s="9" t="str">
        <f>HYPERLINK("http://www.ncbi.nlm.nih.gov/gene/172018", "172018")</f>
        <v>172018</v>
      </c>
      <c r="C15582" s="9" t="str">
        <f>HYPERLINK("http://www.ncbi.nlm.nih.gov/gene/6602", "6602")</f>
        <v>6602</v>
      </c>
      <c r="D15582" t="str">
        <f>"swsn-2.2"</f>
        <v>swsn-2.2</v>
      </c>
      <c r="E15582" t="s">
        <v>6291</v>
      </c>
      <c r="F15582" t="s">
        <v>11</v>
      </c>
      <c r="G15582" t="s">
        <v>7966</v>
      </c>
      <c r="H15582" s="12">
        <v>-1.15373672766602</v>
      </c>
      <c r="I15582" s="20">
        <v>-0.62760048623551001</v>
      </c>
      <c r="J15582" s="28">
        <v>0.53026569010282198</v>
      </c>
      <c r="K15582" s="29">
        <v>0.98289565623980701</v>
      </c>
    </row>
    <row r="15583" spans="1:11" x14ac:dyDescent="0.35">
      <c r="A15583" s="9" t="str">
        <f>HYPERLINK("http://www.ensembl.org/id/WBGene00022182", "WBGene00022182")</f>
        <v>WBGene00022182</v>
      </c>
      <c r="B15583" s="9" t="str">
        <f>HYPERLINK("http://www.ncbi.nlm.nih.gov/gene/175393", "175393")</f>
        <v>175393</v>
      </c>
      <c r="C15583" s="9" t="str">
        <f>HYPERLINK("http://www.ncbi.nlm.nih.gov/gene/6605", "6605")</f>
        <v>6605</v>
      </c>
      <c r="D15583" t="str">
        <f>"swsn-3"</f>
        <v>swsn-3</v>
      </c>
      <c r="E15583" t="s">
        <v>6291</v>
      </c>
      <c r="F15583" t="s">
        <v>11</v>
      </c>
      <c r="G15583" t="s">
        <v>6292</v>
      </c>
      <c r="H15583" s="12">
        <v>-1.06016020144359</v>
      </c>
      <c r="I15583" s="20">
        <v>-0.27456685731192798</v>
      </c>
      <c r="J15583" s="28">
        <v>0.78364903204138503</v>
      </c>
      <c r="K15583" s="29">
        <v>0.98289565623980701</v>
      </c>
    </row>
    <row r="15584" spans="1:11" x14ac:dyDescent="0.35">
      <c r="A15584" s="9" t="str">
        <f>HYPERLINK("http://www.ensembl.org/id/WBGene00004204", "WBGene00004204")</f>
        <v>WBGene00004204</v>
      </c>
      <c r="B15584" s="9" t="str">
        <f>HYPERLINK("http://www.ncbi.nlm.nih.gov/gene/178015", "178015")</f>
        <v>178015</v>
      </c>
      <c r="C15584" s="9" t="str">
        <f>HYPERLINK("http://www.ncbi.nlm.nih.gov/gene/6595", "6595")</f>
        <v>6595</v>
      </c>
      <c r="D15584" t="str">
        <f>"swsn-4"</f>
        <v>swsn-4</v>
      </c>
      <c r="E15584" t="s">
        <v>5418</v>
      </c>
      <c r="F15584" t="s">
        <v>11</v>
      </c>
      <c r="G15584" t="s">
        <v>5419</v>
      </c>
      <c r="H15584" s="12">
        <v>1.1680158656967701</v>
      </c>
      <c r="I15584" s="20">
        <v>0.80571943070010099</v>
      </c>
      <c r="J15584" s="28">
        <v>0.42040464318710602</v>
      </c>
      <c r="K15584" s="29">
        <v>0.98289565623980701</v>
      </c>
    </row>
    <row r="15585" spans="1:11" x14ac:dyDescent="0.35">
      <c r="A15585" s="9" t="str">
        <f>HYPERLINK("http://www.ensembl.org/id/WBGene00022774", "WBGene00022774")</f>
        <v>WBGene00022774</v>
      </c>
      <c r="B15585" s="9" t="str">
        <f>HYPERLINK("http://www.ncbi.nlm.nih.gov/gene/177325", "177325")</f>
        <v>177325</v>
      </c>
      <c r="C15585" s="9" t="str">
        <f>HYPERLINK("http://www.ncbi.nlm.nih.gov/gene/86", "86")</f>
        <v>86</v>
      </c>
      <c r="D15585" t="str">
        <f>"swsn-6"</f>
        <v>swsn-6</v>
      </c>
      <c r="E15585" t="s">
        <v>6291</v>
      </c>
      <c r="F15585" t="s">
        <v>11</v>
      </c>
      <c r="G15585" t="s">
        <v>6435</v>
      </c>
      <c r="H15585" s="12">
        <v>-1.0690876575235599</v>
      </c>
      <c r="I15585" s="20">
        <v>-0.293949182115816</v>
      </c>
      <c r="J15585" s="28">
        <v>0.76879673544201299</v>
      </c>
      <c r="K15585" s="29">
        <v>0.98289565623980701</v>
      </c>
    </row>
    <row r="15586" spans="1:11" x14ac:dyDescent="0.35">
      <c r="A15586" s="9" t="str">
        <f>HYPERLINK("http://www.ensembl.org/id/WBGene00007256", "WBGene00007256")</f>
        <v>WBGene00007256</v>
      </c>
      <c r="B15586" s="9" t="str">
        <f>HYPERLINK("http://www.ncbi.nlm.nih.gov/gene/172461", "172461")</f>
        <v>172461</v>
      </c>
      <c r="C15586" s="9" t="str">
        <f>HYPERLINK("http://www.ncbi.nlm.nih.gov/gene/29117", "29117")</f>
        <v>29117</v>
      </c>
      <c r="D15586" t="str">
        <f>"swsn-9"</f>
        <v>swsn-9</v>
      </c>
      <c r="E15586" t="s">
        <v>6291</v>
      </c>
      <c r="F15586" t="s">
        <v>11</v>
      </c>
      <c r="G15586" t="s">
        <v>7597</v>
      </c>
      <c r="H15586" s="12">
        <v>-1.13483239152916</v>
      </c>
      <c r="I15586" s="20">
        <v>-0.58927388086290899</v>
      </c>
      <c r="J15586" s="28">
        <v>0.55567756319442296</v>
      </c>
      <c r="K15586" s="29">
        <v>0.98289565623980701</v>
      </c>
    </row>
    <row r="15587" spans="1:11" x14ac:dyDescent="0.35">
      <c r="A15587" s="9" t="str">
        <f>HYPERLINK("http://www.ensembl.org/id/WBGene00007384", "WBGene00007384")</f>
        <v>WBGene00007384</v>
      </c>
      <c r="B15587" s="9" t="str">
        <f>HYPERLINK("http://www.ncbi.nlm.nih.gov/gene/177972", "177972")</f>
        <v>177972</v>
      </c>
      <c r="C15587" s="9" t="str">
        <f>HYPERLINK("http://www.ncbi.nlm.nih.gov/gene/55974", "55974")</f>
        <v>55974</v>
      </c>
      <c r="D15587" t="str">
        <f>"swt-3"</f>
        <v>swt-3</v>
      </c>
      <c r="E15587" t="s">
        <v>5169</v>
      </c>
      <c r="F15587" t="s">
        <v>11</v>
      </c>
      <c r="G15587" t="s">
        <v>5170</v>
      </c>
      <c r="H15587" s="12">
        <v>1.22390794698897</v>
      </c>
      <c r="I15587" s="20">
        <v>0.69615003870513703</v>
      </c>
      <c r="J15587" s="28">
        <v>0.48633487232578498</v>
      </c>
      <c r="K15587" s="29">
        <v>0.98289565623980701</v>
      </c>
    </row>
    <row r="15588" spans="1:11" x14ac:dyDescent="0.35">
      <c r="A15588" s="9" t="str">
        <f>HYPERLINK("http://www.ensembl.org/id/WBGene00012647", "WBGene00012647")</f>
        <v>WBGene00012647</v>
      </c>
      <c r="B15588" s="9" t="str">
        <f>HYPERLINK("http://www.ncbi.nlm.nih.gov/gene/189708", "189708")</f>
        <v>189708</v>
      </c>
      <c r="C15588" s="9" t="str">
        <f>HYPERLINK("http://www.ncbi.nlm.nih.gov/gene/55974", "55974")</f>
        <v>55974</v>
      </c>
      <c r="D15588" t="str">
        <f>"swt-4"</f>
        <v>swt-4</v>
      </c>
      <c r="E15588" t="s">
        <v>5169</v>
      </c>
      <c r="F15588" t="s">
        <v>11</v>
      </c>
      <c r="G15588" t="s">
        <v>5296</v>
      </c>
      <c r="H15588" s="12">
        <v>1.19278486508769</v>
      </c>
      <c r="I15588" s="20">
        <v>0.64027863608369895</v>
      </c>
      <c r="J15588" s="28">
        <v>0.52199146738647295</v>
      </c>
      <c r="K15588" s="29">
        <v>0.98289565623980701</v>
      </c>
    </row>
    <row r="15589" spans="1:11" x14ac:dyDescent="0.35">
      <c r="A15589" s="9" t="str">
        <f>HYPERLINK("http://www.ensembl.org/id/WBGene00010594", "WBGene00010594")</f>
        <v>WBGene00010594</v>
      </c>
      <c r="B15589" s="9" t="str">
        <f>HYPERLINK("http://www.ncbi.nlm.nih.gov/gene/187047", "187047")</f>
        <v>187047</v>
      </c>
      <c r="C15589" s="9"/>
      <c r="D15589" t="str">
        <f>"swt-5"</f>
        <v>swt-5</v>
      </c>
      <c r="E15589" t="s">
        <v>5169</v>
      </c>
      <c r="F15589" t="s">
        <v>11</v>
      </c>
      <c r="G15589" t="s">
        <v>9827</v>
      </c>
      <c r="H15589" s="12">
        <v>-1.31403358170637</v>
      </c>
      <c r="I15589" s="20">
        <v>-0.32376769232060498</v>
      </c>
      <c r="J15589" s="28">
        <v>0.74611391757712697</v>
      </c>
      <c r="K15589" s="29">
        <v>0.98289565623980701</v>
      </c>
    </row>
    <row r="15590" spans="1:11" x14ac:dyDescent="0.35">
      <c r="A15590" s="9" t="str">
        <f>HYPERLINK("http://www.ensembl.org/id/WBGene00019645", "WBGene00019645")</f>
        <v>WBGene00019645</v>
      </c>
      <c r="B15590" s="9" t="str">
        <f>HYPERLINK("http://www.ncbi.nlm.nih.gov/gene/178890", "178890")</f>
        <v>178890</v>
      </c>
      <c r="C15590" s="9"/>
      <c r="D15590" t="str">
        <f>"swt-7"</f>
        <v>swt-7</v>
      </c>
      <c r="E15590" t="s">
        <v>5169</v>
      </c>
      <c r="F15590" t="s">
        <v>11</v>
      </c>
      <c r="G15590" t="s">
        <v>5732</v>
      </c>
      <c r="H15590" s="12">
        <v>1.11412242678346</v>
      </c>
      <c r="I15590" s="20">
        <v>0.53759450473850601</v>
      </c>
      <c r="J15590" s="28">
        <v>0.59085702487275304</v>
      </c>
      <c r="K15590" s="29">
        <v>0.98289565623980701</v>
      </c>
    </row>
    <row r="15591" spans="1:11" x14ac:dyDescent="0.35">
      <c r="A15591" s="9" t="str">
        <f>HYPERLINK("http://www.ensembl.org/id/WBGene00044068", "WBGene00044068")</f>
        <v>WBGene00044068</v>
      </c>
      <c r="B15591" s="9" t="str">
        <f>HYPERLINK("http://www.ncbi.nlm.nih.gov/gene/180985", "180985")</f>
        <v>180985</v>
      </c>
      <c r="C15591" s="9"/>
      <c r="D15591" t="str">
        <f>"syd-9"</f>
        <v>syd-9</v>
      </c>
      <c r="F15591" t="s">
        <v>11</v>
      </c>
      <c r="G15591" t="s">
        <v>5057</v>
      </c>
      <c r="H15591" s="12">
        <v>1.25000417860034</v>
      </c>
      <c r="I15591" s="20">
        <v>1.10814253432219</v>
      </c>
      <c r="J15591" s="28">
        <v>0.26780026401266599</v>
      </c>
      <c r="K15591" s="29">
        <v>0.98289565623980701</v>
      </c>
    </row>
    <row r="15592" spans="1:11" x14ac:dyDescent="0.35">
      <c r="A15592" s="9" t="str">
        <f>HYPERLINK("http://www.ensembl.org/id/WBGene00016837", "WBGene00016837")</f>
        <v>WBGene00016837</v>
      </c>
      <c r="B15592" s="9" t="str">
        <f>HYPERLINK("http://www.ncbi.nlm.nih.gov/gene/171970", "171970")</f>
        <v>171970</v>
      </c>
      <c r="C15592" s="9" t="str">
        <f>HYPERLINK("http://www.ncbi.nlm.nih.gov/gene/56949", "56949")</f>
        <v>56949</v>
      </c>
      <c r="D15592" t="str">
        <f>"syf-1"</f>
        <v>syf-1</v>
      </c>
      <c r="E15592" t="s">
        <v>7152</v>
      </c>
      <c r="F15592" t="s">
        <v>11</v>
      </c>
      <c r="G15592" t="s">
        <v>7153</v>
      </c>
      <c r="H15592" s="12">
        <v>-1.1103321881302499</v>
      </c>
      <c r="I15592" s="20">
        <v>-0.51854019396224205</v>
      </c>
      <c r="J15592" s="28">
        <v>0.60408142395618902</v>
      </c>
      <c r="K15592" s="29">
        <v>0.98289565623980701</v>
      </c>
    </row>
    <row r="15593" spans="1:11" x14ac:dyDescent="0.35">
      <c r="A15593" s="9" t="str">
        <f>HYPERLINK("http://www.ensembl.org/id/WBGene00019402", "WBGene00019402")</f>
        <v>WBGene00019402</v>
      </c>
      <c r="B15593" s="9" t="str">
        <f>HYPERLINK("http://www.ncbi.nlm.nih.gov/gene/176003", "176003")</f>
        <v>176003</v>
      </c>
      <c r="C15593" s="9" t="str">
        <f>HYPERLINK("http://www.ncbi.nlm.nih.gov/gene/25949", "25949")</f>
        <v>25949</v>
      </c>
      <c r="D15593" t="str">
        <f>"syf-2"</f>
        <v>syf-2</v>
      </c>
      <c r="E15593" t="s">
        <v>8707</v>
      </c>
      <c r="F15593" t="s">
        <v>11</v>
      </c>
      <c r="G15593" t="s">
        <v>8708</v>
      </c>
      <c r="H15593" s="12">
        <v>-1.19235050328354</v>
      </c>
      <c r="I15593" s="20">
        <v>-0.88335612335774705</v>
      </c>
      <c r="J15593" s="28">
        <v>0.37704388929919302</v>
      </c>
      <c r="K15593" s="29">
        <v>0.98289565623980701</v>
      </c>
    </row>
    <row r="15594" spans="1:11" x14ac:dyDescent="0.35">
      <c r="A15594" s="9" t="str">
        <f>HYPERLINK("http://www.ensembl.org/id/WBGene00006365", "WBGene00006365")</f>
        <v>WBGene00006365</v>
      </c>
      <c r="B15594" s="9" t="str">
        <f>HYPERLINK("http://www.ncbi.nlm.nih.gov/gene/180555", "180555")</f>
        <v>180555</v>
      </c>
      <c r="C15594" s="9"/>
      <c r="D15594" t="str">
        <f>"syg-1"</f>
        <v>syg-1</v>
      </c>
      <c r="E15594" t="s">
        <v>4900</v>
      </c>
      <c r="F15594" t="s">
        <v>11</v>
      </c>
      <c r="G15594" t="s">
        <v>4901</v>
      </c>
      <c r="H15594" s="12">
        <v>1.3103208833388</v>
      </c>
      <c r="I15594" s="20">
        <v>1.1915113074433199</v>
      </c>
      <c r="J15594" s="28">
        <v>0.23345292031317</v>
      </c>
      <c r="K15594" s="29">
        <v>0.98289565623980701</v>
      </c>
    </row>
    <row r="15595" spans="1:11" x14ac:dyDescent="0.35">
      <c r="A15595" s="9" t="str">
        <f>HYPERLINK("http://www.ensembl.org/id/WBGene00007750", "WBGene00007750")</f>
        <v>WBGene00007750</v>
      </c>
      <c r="B15595" s="9" t="str">
        <f>HYPERLINK("http://www.ncbi.nlm.nih.gov/gene/181561", "181561")</f>
        <v>181561</v>
      </c>
      <c r="C15595" s="9"/>
      <c r="D15595" t="str">
        <f>"syg-2"</f>
        <v>syg-2</v>
      </c>
      <c r="E15595" t="s">
        <v>5312</v>
      </c>
      <c r="F15595" t="s">
        <v>11</v>
      </c>
      <c r="G15595" t="s">
        <v>5313</v>
      </c>
      <c r="H15595" s="12">
        <v>1.1905379438835</v>
      </c>
      <c r="I15595" s="20">
        <v>0.80871399582887604</v>
      </c>
      <c r="J15595" s="28">
        <v>0.41867967582800703</v>
      </c>
      <c r="K15595" s="29">
        <v>0.98289565623980701</v>
      </c>
    </row>
    <row r="15596" spans="1:11" x14ac:dyDescent="0.35">
      <c r="A15596" s="9" t="str">
        <f>HYPERLINK("http://www.ensembl.org/id/WBGene00006367", "WBGene00006367")</f>
        <v>WBGene00006367</v>
      </c>
      <c r="B15596" s="9" t="str">
        <f>HYPERLINK("http://www.ncbi.nlm.nih.gov/gene/174461", "174461")</f>
        <v>174461</v>
      </c>
      <c r="C15596" s="9" t="str">
        <f>HYPERLINK("http://www.ncbi.nlm.nih.gov/gene/80004", "80004")</f>
        <v>80004</v>
      </c>
      <c r="D15596" t="str">
        <f>"sym-2"</f>
        <v>sym-2</v>
      </c>
      <c r="E15596" t="s">
        <v>7949</v>
      </c>
      <c r="F15596" t="s">
        <v>11</v>
      </c>
      <c r="G15596" t="s">
        <v>7950</v>
      </c>
      <c r="H15596" s="12">
        <v>-1.1523894416826399</v>
      </c>
      <c r="I15596" s="20">
        <v>-0.74640094799126699</v>
      </c>
      <c r="J15596" s="28">
        <v>0.45542524677339602</v>
      </c>
      <c r="K15596" s="29">
        <v>0.98289565623980701</v>
      </c>
    </row>
    <row r="15597" spans="1:11" x14ac:dyDescent="0.35">
      <c r="A15597" s="9" t="str">
        <f>HYPERLINK("http://www.ensembl.org/id/WBGene00006369", "WBGene00006369")</f>
        <v>WBGene00006369</v>
      </c>
      <c r="B15597" s="9" t="str">
        <f>HYPERLINK("http://www.ncbi.nlm.nih.gov/gene/181527", "181527")</f>
        <v>181527</v>
      </c>
      <c r="C15597" s="9"/>
      <c r="D15597" t="str">
        <f>"sym-4"</f>
        <v>sym-4</v>
      </c>
      <c r="E15597" t="s">
        <v>6479</v>
      </c>
      <c r="F15597" t="s">
        <v>11</v>
      </c>
      <c r="G15597" t="s">
        <v>54</v>
      </c>
      <c r="H15597" s="12">
        <v>-1.0712044125547899</v>
      </c>
      <c r="I15597" s="20">
        <v>-0.37023331952664701</v>
      </c>
      <c r="J15597" s="28">
        <v>0.71120865230911201</v>
      </c>
      <c r="K15597" s="29">
        <v>0.98289565623980701</v>
      </c>
    </row>
    <row r="15598" spans="1:11" x14ac:dyDescent="0.35">
      <c r="A15598" s="9" t="str">
        <f>HYPERLINK("http://www.ensembl.org/id/WBGene00006379", "WBGene00006379")</f>
        <v>WBGene00006379</v>
      </c>
      <c r="B15598" s="9" t="str">
        <f>HYPERLINK("http://www.ncbi.nlm.nih.gov/gene/172859", "172859")</f>
        <v>172859</v>
      </c>
      <c r="C15598" s="9"/>
      <c r="D15598" t="str">
        <f>"sys-1"</f>
        <v>sys-1</v>
      </c>
      <c r="E15598" t="s">
        <v>5742</v>
      </c>
      <c r="F15598" t="s">
        <v>11</v>
      </c>
      <c r="G15598" t="s">
        <v>5743</v>
      </c>
      <c r="H15598" s="12">
        <v>1.11229565929382</v>
      </c>
      <c r="I15598" s="20">
        <v>0.41864887273552198</v>
      </c>
      <c r="J15598" s="28">
        <v>0.67547276621782304</v>
      </c>
      <c r="K15598" s="29">
        <v>0.98289565623980701</v>
      </c>
    </row>
    <row r="15599" spans="1:11" x14ac:dyDescent="0.35">
      <c r="A15599" s="9" t="str">
        <f>HYPERLINK("http://www.ensembl.org/id/WBGene00022534", "WBGene00022534")</f>
        <v>WBGene00022534</v>
      </c>
      <c r="B15599" s="9" t="str">
        <f>HYPERLINK("http://www.ncbi.nlm.nih.gov/gene/175712", "175712")</f>
        <v>175712</v>
      </c>
      <c r="C15599" s="9" t="str">
        <f>HYPERLINK("http://www.ncbi.nlm.nih.gov/gene/8675", "8675")</f>
        <v>8675</v>
      </c>
      <c r="D15599" t="str">
        <f>"syx-16"</f>
        <v>syx-16</v>
      </c>
      <c r="E15599" t="s">
        <v>3132</v>
      </c>
      <c r="F15599" t="s">
        <v>11</v>
      </c>
      <c r="G15599" t="s">
        <v>6704</v>
      </c>
      <c r="H15599" s="12">
        <v>-1.08548609437966</v>
      </c>
      <c r="I15599" s="20">
        <v>-0.38605888857734999</v>
      </c>
      <c r="J15599" s="28">
        <v>0.69945305619110698</v>
      </c>
      <c r="K15599" s="29">
        <v>0.98289565623980701</v>
      </c>
    </row>
    <row r="15600" spans="1:11" x14ac:dyDescent="0.35">
      <c r="A15600" s="9" t="str">
        <f>HYPERLINK("http://www.ensembl.org/id/WBGene00006372", "WBGene00006372")</f>
        <v>WBGene00006372</v>
      </c>
      <c r="B15600" s="9" t="str">
        <f>HYPERLINK("http://www.ncbi.nlm.nih.gov/gene/181505", "181505")</f>
        <v>181505</v>
      </c>
      <c r="C15600" s="9"/>
      <c r="D15600" t="str">
        <f>"syx-2"</f>
        <v>syx-2</v>
      </c>
      <c r="E15600" t="s">
        <v>5289</v>
      </c>
      <c r="F15600" t="s">
        <v>11</v>
      </c>
      <c r="G15600" t="s">
        <v>5290</v>
      </c>
      <c r="H15600" s="12">
        <v>1.1946593212096801</v>
      </c>
      <c r="I15600" s="20">
        <v>0.87489822017987295</v>
      </c>
      <c r="J15600" s="28">
        <v>0.38162928758857001</v>
      </c>
      <c r="K15600" s="29">
        <v>0.98289565623980701</v>
      </c>
    </row>
    <row r="15601" spans="1:11" x14ac:dyDescent="0.35">
      <c r="A15601" s="9" t="str">
        <f>HYPERLINK("http://www.ensembl.org/id/WBGene00006371", "WBGene00006371")</f>
        <v>WBGene00006371</v>
      </c>
      <c r="B15601" s="9" t="str">
        <f>HYPERLINK("http://www.ncbi.nlm.nih.gov/gene/3565871", "3565871")</f>
        <v>3565871</v>
      </c>
      <c r="C15601" s="9"/>
      <c r="D15601" t="str">
        <f>"syx-3"</f>
        <v>syx-3</v>
      </c>
      <c r="E15601" t="s">
        <v>5261</v>
      </c>
      <c r="F15601" t="s">
        <v>11</v>
      </c>
      <c r="G15601" t="s">
        <v>5262</v>
      </c>
      <c r="H15601" s="12">
        <v>1.20227783091333</v>
      </c>
      <c r="I15601" s="20">
        <v>0.88370965096603404</v>
      </c>
      <c r="J15601" s="28">
        <v>0.376852969193264</v>
      </c>
      <c r="K15601" s="29">
        <v>0.98289565623980701</v>
      </c>
    </row>
    <row r="15602" spans="1:11" x14ac:dyDescent="0.35">
      <c r="A15602" s="9" t="str">
        <f>HYPERLINK("http://www.ensembl.org/id/WBGene00015789", "WBGene00015789")</f>
        <v>WBGene00015789</v>
      </c>
      <c r="B15602" s="9" t="str">
        <f>HYPERLINK("http://www.ncbi.nlm.nih.gov/gene/259698", "259698")</f>
        <v>259698</v>
      </c>
      <c r="C15602" s="9"/>
      <c r="D15602" t="str">
        <f>"syx-6"</f>
        <v>syx-6</v>
      </c>
      <c r="E15602" t="s">
        <v>9407</v>
      </c>
      <c r="F15602" t="s">
        <v>11</v>
      </c>
      <c r="G15602" t="s">
        <v>9408</v>
      </c>
      <c r="H15602" s="12">
        <v>-1.24443313693325</v>
      </c>
      <c r="I15602" s="20">
        <v>-0.97997476158352104</v>
      </c>
      <c r="J15602" s="28">
        <v>0.32709857697088002</v>
      </c>
      <c r="K15602" s="29">
        <v>0.98289565623980701</v>
      </c>
    </row>
    <row r="15603" spans="1:11" x14ac:dyDescent="0.35">
      <c r="A15603" s="9" t="str">
        <f>HYPERLINK("http://www.ensembl.org/id/WBGene00021312", "WBGene00021312")</f>
        <v>WBGene00021312</v>
      </c>
      <c r="B15603" s="9" t="str">
        <f>HYPERLINK("http://www.ncbi.nlm.nih.gov/gene/175738", "175738")</f>
        <v>175738</v>
      </c>
      <c r="C15603" s="9"/>
      <c r="D15603" t="str">
        <f>"szy-2"</f>
        <v>szy-2</v>
      </c>
      <c r="E15603" t="s">
        <v>96</v>
      </c>
      <c r="F15603" t="s">
        <v>11</v>
      </c>
      <c r="G15603" t="s">
        <v>7269</v>
      </c>
      <c r="H15603" s="12">
        <v>-1.1163672706871699</v>
      </c>
      <c r="I15603" s="20">
        <v>-0.59721177815666004</v>
      </c>
      <c r="J15603" s="28">
        <v>0.55036599651865603</v>
      </c>
      <c r="K15603" s="29">
        <v>0.98289565623980701</v>
      </c>
    </row>
    <row r="15604" spans="1:11" x14ac:dyDescent="0.35">
      <c r="A15604" s="9" t="str">
        <f>HYPERLINK("http://www.ensembl.org/id/WBGene00004105", "WBGene00004105")</f>
        <v>WBGene00004105</v>
      </c>
      <c r="B15604" s="9" t="str">
        <f>HYPERLINK("http://www.ncbi.nlm.nih.gov/gene/174430", "174430")</f>
        <v>174430</v>
      </c>
      <c r="C15604" s="9"/>
      <c r="D15604" t="str">
        <f>"szy-20"</f>
        <v>szy-20</v>
      </c>
      <c r="E15604" t="s">
        <v>6436</v>
      </c>
      <c r="F15604" t="s">
        <v>11</v>
      </c>
      <c r="G15604" t="s">
        <v>6437</v>
      </c>
      <c r="H15604" s="12">
        <v>-1.0691155502666601</v>
      </c>
      <c r="I15604" s="20">
        <v>-0.32745113413822702</v>
      </c>
      <c r="J15604" s="28">
        <v>0.74332669672625395</v>
      </c>
      <c r="K15604" s="29">
        <v>0.98289565623980701</v>
      </c>
    </row>
    <row r="15605" spans="1:11" x14ac:dyDescent="0.35">
      <c r="A15605" s="9" t="str">
        <f>HYPERLINK("http://www.ensembl.org/id/WBGene00197821", "WBGene00197821")</f>
        <v>WBGene00197821</v>
      </c>
      <c r="B15605" s="9"/>
      <c r="C15605" s="9"/>
      <c r="D15605" t="str">
        <f>"T01B10.10"</f>
        <v>T01B10.10</v>
      </c>
      <c r="F15605" t="s">
        <v>481</v>
      </c>
      <c r="H15605" s="12">
        <v>-2.4991590031922399</v>
      </c>
      <c r="I15605" s="20">
        <v>-0.26577412737581302</v>
      </c>
      <c r="J15605" s="28">
        <v>0.79041317015736101</v>
      </c>
      <c r="K15605" s="29">
        <v>0.98289565623980701</v>
      </c>
    </row>
    <row r="15606" spans="1:11" x14ac:dyDescent="0.35">
      <c r="A15606" s="9" t="str">
        <f>HYPERLINK("http://www.ensembl.org/id/WBGene00200971", "WBGene00200971")</f>
        <v>WBGene00200971</v>
      </c>
      <c r="B15606" s="9"/>
      <c r="C15606" s="9"/>
      <c r="D15606" t="str">
        <f>"T01B10.13"</f>
        <v>T01B10.13</v>
      </c>
      <c r="F15606" t="s">
        <v>481</v>
      </c>
      <c r="H15606" s="12">
        <v>3.6645215954135</v>
      </c>
      <c r="I15606" s="20">
        <v>0.37967131826092498</v>
      </c>
      <c r="J15606" s="28">
        <v>0.70418941338960395</v>
      </c>
      <c r="K15606" s="29">
        <v>0.98289565623980701</v>
      </c>
    </row>
    <row r="15607" spans="1:11" x14ac:dyDescent="0.35">
      <c r="A15607" s="9" t="str">
        <f>HYPERLINK("http://www.ensembl.org/id/WBGene00020137", "WBGene00020137")</f>
        <v>WBGene00020137</v>
      </c>
      <c r="B15607" s="9" t="str">
        <f>HYPERLINK("http://www.ncbi.nlm.nih.gov/gene/187935", "187935")</f>
        <v>187935</v>
      </c>
      <c r="C15607" s="9"/>
      <c r="D15607" t="str">
        <f>"T01B10.5"</f>
        <v>T01B10.5</v>
      </c>
      <c r="F15607" t="s">
        <v>11</v>
      </c>
      <c r="G15607" t="s">
        <v>25</v>
      </c>
      <c r="H15607" s="12">
        <v>-1.1181425916219501</v>
      </c>
      <c r="I15607" s="20">
        <v>-0.40154223583127302</v>
      </c>
      <c r="J15607" s="28">
        <v>0.68802094871641395</v>
      </c>
      <c r="K15607" s="29">
        <v>0.98289565623980701</v>
      </c>
    </row>
    <row r="15608" spans="1:11" x14ac:dyDescent="0.35">
      <c r="A15608" s="9" t="str">
        <f>HYPERLINK("http://www.ensembl.org/id/WBGene00197030", "WBGene00197030")</f>
        <v>WBGene00197030</v>
      </c>
      <c r="B15608" s="9"/>
      <c r="C15608" s="9"/>
      <c r="D15608" t="str">
        <f>"T01B10.9"</f>
        <v>T01B10.9</v>
      </c>
      <c r="F15608" t="s">
        <v>481</v>
      </c>
      <c r="H15608" s="12">
        <v>-2.4991590031922399</v>
      </c>
      <c r="I15608" s="20">
        <v>-0.26577412737581302</v>
      </c>
      <c r="J15608" s="28">
        <v>0.79041317015736101</v>
      </c>
      <c r="K15608" s="29">
        <v>0.98289565623980701</v>
      </c>
    </row>
    <row r="15609" spans="1:11" x14ac:dyDescent="0.35">
      <c r="A15609" s="9" t="str">
        <f>HYPERLINK("http://www.ensembl.org/id/WBGene00020138", "WBGene00020138")</f>
        <v>WBGene00020138</v>
      </c>
      <c r="B15609" s="9" t="str">
        <f>HYPERLINK("http://www.ncbi.nlm.nih.gov/gene/177645", "177645")</f>
        <v>177645</v>
      </c>
      <c r="C15609" s="9"/>
      <c r="D15609" t="str">
        <f>"T01B11.1"</f>
        <v>T01B11.1</v>
      </c>
      <c r="F15609" t="s">
        <v>11</v>
      </c>
      <c r="G15609" t="s">
        <v>25</v>
      </c>
      <c r="H15609" s="12">
        <v>1.7634058446365899</v>
      </c>
      <c r="I15609" s="20">
        <v>1.07029758665803</v>
      </c>
      <c r="J15609" s="28">
        <v>0.284485380369568</v>
      </c>
      <c r="K15609" s="29">
        <v>0.98289565623980701</v>
      </c>
    </row>
    <row r="15610" spans="1:11" x14ac:dyDescent="0.35">
      <c r="A15610" s="9" t="str">
        <f>HYPERLINK("http://www.ensembl.org/id/WBGene00199196", "WBGene00199196")</f>
        <v>WBGene00199196</v>
      </c>
      <c r="B15610" s="9"/>
      <c r="C15610" s="9"/>
      <c r="D15610" t="str">
        <f>"T01B4.6"</f>
        <v>T01B4.6</v>
      </c>
      <c r="F15610" t="s">
        <v>481</v>
      </c>
      <c r="H15610" s="12">
        <v>-5.3201785866927001</v>
      </c>
      <c r="I15610" s="20">
        <v>-0.49101042295714697</v>
      </c>
      <c r="J15610" s="28">
        <v>0.62341907564475696</v>
      </c>
      <c r="K15610" s="29">
        <v>0.98289565623980701</v>
      </c>
    </row>
    <row r="15611" spans="1:11" x14ac:dyDescent="0.35">
      <c r="A15611" s="9" t="str">
        <f>HYPERLINK("http://www.ensembl.org/id/WBGene00020134", "WBGene00020134")</f>
        <v>WBGene00020134</v>
      </c>
      <c r="B15611" s="9" t="str">
        <f>HYPERLINK("http://www.ncbi.nlm.nih.gov/gene/187927", "187927")</f>
        <v>187927</v>
      </c>
      <c r="C15611" s="9"/>
      <c r="D15611" t="str">
        <f>"T01B6.1"</f>
        <v>T01B6.1</v>
      </c>
      <c r="F15611" t="s">
        <v>11</v>
      </c>
      <c r="H15611" s="12">
        <v>-1.2170799444289999</v>
      </c>
      <c r="I15611" s="20">
        <v>-0.86422839089164005</v>
      </c>
      <c r="J15611" s="28">
        <v>0.38746243888458598</v>
      </c>
      <c r="K15611" s="29">
        <v>0.98289565623980701</v>
      </c>
    </row>
    <row r="15612" spans="1:11" x14ac:dyDescent="0.35">
      <c r="A15612" s="9" t="str">
        <f>HYPERLINK("http://www.ensembl.org/id/WBGene00197717", "WBGene00197717")</f>
        <v>WBGene00197717</v>
      </c>
      <c r="B15612" s="9"/>
      <c r="C15612" s="9"/>
      <c r="D15612" t="str">
        <f>"T01B6.8"</f>
        <v>T01B6.8</v>
      </c>
      <c r="F15612" t="s">
        <v>481</v>
      </c>
      <c r="H15612" s="12">
        <v>-2.4295389261469</v>
      </c>
      <c r="I15612" s="20">
        <v>-0.25808529976640998</v>
      </c>
      <c r="J15612" s="28">
        <v>0.79634107645457397</v>
      </c>
      <c r="K15612" s="29">
        <v>0.98289565623980701</v>
      </c>
    </row>
    <row r="15613" spans="1:11" x14ac:dyDescent="0.35">
      <c r="A15613" s="9" t="str">
        <f>HYPERLINK("http://www.ensembl.org/id/WBGene00198015", "WBGene00198015")</f>
        <v>WBGene00198015</v>
      </c>
      <c r="B15613" s="9"/>
      <c r="C15613" s="9"/>
      <c r="D15613" t="str">
        <f>"T01B6.9"</f>
        <v>T01B6.9</v>
      </c>
      <c r="F15613" t="s">
        <v>481</v>
      </c>
      <c r="H15613" s="12">
        <v>2.3893468495514898</v>
      </c>
      <c r="I15613" s="20">
        <v>0.25323547253672701</v>
      </c>
      <c r="J15613" s="28">
        <v>0.80008625651646104</v>
      </c>
      <c r="K15613" s="29">
        <v>0.98289565623980701</v>
      </c>
    </row>
    <row r="15614" spans="1:11" x14ac:dyDescent="0.35">
      <c r="A15614" s="9" t="str">
        <f>HYPERLINK("http://www.ensembl.org/id/WBGene00197819", "WBGene00197819")</f>
        <v>WBGene00197819</v>
      </c>
      <c r="B15614" s="9"/>
      <c r="C15614" s="9"/>
      <c r="D15614" t="str">
        <f>"T01B7.11"</f>
        <v>T01B7.11</v>
      </c>
      <c r="F15614" t="s">
        <v>481</v>
      </c>
      <c r="H15614" s="12">
        <v>2.4578120077400301</v>
      </c>
      <c r="I15614" s="20">
        <v>0.26093350314551</v>
      </c>
      <c r="J15614" s="28">
        <v>0.79414378780213601</v>
      </c>
      <c r="K15614" s="29">
        <v>0.98289565623980701</v>
      </c>
    </row>
    <row r="15615" spans="1:11" x14ac:dyDescent="0.35">
      <c r="A15615" s="9" t="str">
        <f>HYPERLINK("http://www.ensembl.org/id/WBGene00206502", "WBGene00206502")</f>
        <v>WBGene00206502</v>
      </c>
      <c r="B15615" s="9" t="str">
        <f>HYPERLINK("http://www.ncbi.nlm.nih.gov/gene/13186216", "13186216")</f>
        <v>13186216</v>
      </c>
      <c r="C15615" s="9"/>
      <c r="D15615" t="str">
        <f>"T01B7.13"</f>
        <v>T01B7.13</v>
      </c>
      <c r="F15615" t="s">
        <v>11</v>
      </c>
      <c r="H15615" s="12">
        <v>-3.5819448292659501</v>
      </c>
      <c r="I15615" s="20">
        <v>-0.37337717500031398</v>
      </c>
      <c r="J15615" s="28">
        <v>0.70886774492290605</v>
      </c>
      <c r="K15615" s="29">
        <v>0.98289565623980701</v>
      </c>
    </row>
    <row r="15616" spans="1:11" x14ac:dyDescent="0.35">
      <c r="A15616" s="9" t="str">
        <f>HYPERLINK("http://www.ensembl.org/id/WBGene00011311", "WBGene00011311")</f>
        <v>WBGene00011311</v>
      </c>
      <c r="B15616" s="9" t="str">
        <f>HYPERLINK("http://www.ncbi.nlm.nih.gov/gene/174395", "174395")</f>
        <v>174395</v>
      </c>
      <c r="C15616" s="9"/>
      <c r="D15616" t="str">
        <f>"T01B7.5"</f>
        <v>T01B7.5</v>
      </c>
      <c r="F15616" t="s">
        <v>11</v>
      </c>
      <c r="G15616" t="s">
        <v>9501</v>
      </c>
      <c r="H15616" s="12">
        <v>-1.25238826294394</v>
      </c>
      <c r="I15616" s="20">
        <v>-1.09566530127102</v>
      </c>
      <c r="J15616" s="28">
        <v>0.27322527292587501</v>
      </c>
      <c r="K15616" s="29">
        <v>0.98289565623980701</v>
      </c>
    </row>
    <row r="15617" spans="1:11" x14ac:dyDescent="0.35">
      <c r="A15617" s="9" t="str">
        <f>HYPERLINK("http://www.ensembl.org/id/WBGene00011313", "WBGene00011313")</f>
        <v>WBGene00011313</v>
      </c>
      <c r="B15617" s="9" t="str">
        <f>HYPERLINK("http://www.ncbi.nlm.nih.gov/gene/187933", "187933")</f>
        <v>187933</v>
      </c>
      <c r="C15617" s="9"/>
      <c r="D15617" t="str">
        <f>"T01B7.8"</f>
        <v>T01B7.8</v>
      </c>
      <c r="F15617" t="s">
        <v>11</v>
      </c>
      <c r="H15617" s="12">
        <v>-1.26579496202779</v>
      </c>
      <c r="I15617" s="20">
        <v>-0.356104273911929</v>
      </c>
      <c r="J15617" s="28">
        <v>0.72176247664252002</v>
      </c>
      <c r="K15617" s="29">
        <v>0.98289565623980701</v>
      </c>
    </row>
    <row r="15618" spans="1:11" x14ac:dyDescent="0.35">
      <c r="A15618" s="9" t="str">
        <f>HYPERLINK("http://www.ensembl.org/id/WBGene00201799", "WBGene00201799")</f>
        <v>WBGene00201799</v>
      </c>
      <c r="B15618" s="9"/>
      <c r="C15618" s="9"/>
      <c r="D15618" t="str">
        <f>"T01C1.12"</f>
        <v>T01C1.12</v>
      </c>
      <c r="F15618" t="s">
        <v>481</v>
      </c>
      <c r="H15618" s="12">
        <v>-2.4991590031922399</v>
      </c>
      <c r="I15618" s="20">
        <v>-0.26577412737581302</v>
      </c>
      <c r="J15618" s="28">
        <v>0.79041317015736101</v>
      </c>
      <c r="K15618" s="29">
        <v>0.98289565623980701</v>
      </c>
    </row>
    <row r="15619" spans="1:11" x14ac:dyDescent="0.35">
      <c r="A15619" s="9" t="str">
        <f>HYPERLINK("http://www.ensembl.org/id/WBGene00011317", "WBGene00011317")</f>
        <v>WBGene00011317</v>
      </c>
      <c r="B15619" s="9" t="str">
        <f>HYPERLINK("http://www.ncbi.nlm.nih.gov/gene/266948", "266948")</f>
        <v>266948</v>
      </c>
      <c r="C15619" s="9"/>
      <c r="D15619" t="str">
        <f>"T01C1.4"</f>
        <v>T01C1.4</v>
      </c>
      <c r="F15619" t="s">
        <v>11</v>
      </c>
      <c r="H15619" s="12">
        <v>1.1086581156509701</v>
      </c>
      <c r="I15619" s="20">
        <v>0.369135116430854</v>
      </c>
      <c r="J15619" s="28">
        <v>0.71202701527950496</v>
      </c>
      <c r="K15619" s="29">
        <v>0.98289565623980701</v>
      </c>
    </row>
    <row r="15620" spans="1:11" x14ac:dyDescent="0.35">
      <c r="A15620" s="9" t="str">
        <f>HYPERLINK("http://www.ensembl.org/id/WBGene00196110", "WBGene00196110")</f>
        <v>WBGene00196110</v>
      </c>
      <c r="B15620" s="9"/>
      <c r="C15620" s="9"/>
      <c r="D15620" t="str">
        <f>"T01C2.3"</f>
        <v>T01C2.3</v>
      </c>
      <c r="F15620" t="s">
        <v>481</v>
      </c>
      <c r="H15620" s="12">
        <v>-11.973997965956601</v>
      </c>
      <c r="I15620" s="20">
        <v>-0.77726113562491606</v>
      </c>
      <c r="J15620" s="28">
        <v>0.437004719503373</v>
      </c>
      <c r="K15620" s="29">
        <v>0.98289565623980701</v>
      </c>
    </row>
    <row r="15621" spans="1:11" x14ac:dyDescent="0.35">
      <c r="A15621" s="9" t="str">
        <f>HYPERLINK("http://www.ensembl.org/id/WBGene00011325", "WBGene00011325")</f>
        <v>WBGene00011325</v>
      </c>
      <c r="B15621" s="9" t="str">
        <f>HYPERLINK("http://www.ncbi.nlm.nih.gov/gene/3565980", "3565980")</f>
        <v>3565980</v>
      </c>
      <c r="C15621" s="9"/>
      <c r="D15621" t="str">
        <f>"T01C3.11"</f>
        <v>T01C3.11</v>
      </c>
      <c r="F15621" t="s">
        <v>11</v>
      </c>
      <c r="G15621" t="s">
        <v>25</v>
      </c>
      <c r="H15621" s="12">
        <v>-1.92826144873566</v>
      </c>
      <c r="I15621" s="20">
        <v>-1.02588869358477</v>
      </c>
      <c r="J15621" s="28">
        <v>0.30494405265231</v>
      </c>
      <c r="K15621" s="29">
        <v>0.98289565623980701</v>
      </c>
    </row>
    <row r="15622" spans="1:11" x14ac:dyDescent="0.35">
      <c r="A15622" s="9" t="str">
        <f>HYPERLINK("http://www.ensembl.org/id/WBGene00200666", "WBGene00200666")</f>
        <v>WBGene00200666</v>
      </c>
      <c r="B15622" s="9"/>
      <c r="C15622" s="9"/>
      <c r="D15622" t="str">
        <f>"T01C3.13"</f>
        <v>T01C3.13</v>
      </c>
      <c r="F15622" t="s">
        <v>481</v>
      </c>
      <c r="H15622" s="12">
        <v>-3.7261494131482999</v>
      </c>
      <c r="I15622" s="20">
        <v>-0.38454673129429601</v>
      </c>
      <c r="J15622" s="28">
        <v>0.70057326682554</v>
      </c>
      <c r="K15622" s="29">
        <v>0.98289565623980701</v>
      </c>
    </row>
    <row r="15623" spans="1:11" x14ac:dyDescent="0.35">
      <c r="A15623" s="9" t="str">
        <f>HYPERLINK("http://www.ensembl.org/id/WBGene00011319", "WBGene00011319")</f>
        <v>WBGene00011319</v>
      </c>
      <c r="B15623" s="9" t="str">
        <f>HYPERLINK("http://www.ncbi.nlm.nih.gov/gene/179996", "179996")</f>
        <v>179996</v>
      </c>
      <c r="C15623" s="9"/>
      <c r="D15623" t="str">
        <f>"T01C3.2"</f>
        <v>T01C3.2</v>
      </c>
      <c r="E15623" t="s">
        <v>7829</v>
      </c>
      <c r="F15623" t="s">
        <v>11</v>
      </c>
      <c r="G15623" t="s">
        <v>7830</v>
      </c>
      <c r="H15623" s="12">
        <v>-1.14725849731971</v>
      </c>
      <c r="I15623" s="20">
        <v>-0.561627261813059</v>
      </c>
      <c r="J15623" s="28">
        <v>0.57437000218365397</v>
      </c>
      <c r="K15623" s="29">
        <v>0.98289565623980701</v>
      </c>
    </row>
    <row r="15624" spans="1:11" x14ac:dyDescent="0.35">
      <c r="A15624" s="9" t="str">
        <f>HYPERLINK("http://www.ensembl.org/id/WBGene00044546", "WBGene00044546")</f>
        <v>WBGene00044546</v>
      </c>
      <c r="B15624" s="9" t="str">
        <f>HYPERLINK("http://www.ncbi.nlm.nih.gov/gene/3896840", "3896840")</f>
        <v>3896840</v>
      </c>
      <c r="C15624" s="9"/>
      <c r="D15624" t="str">
        <f>"T01C4.8"</f>
        <v>T01C4.8</v>
      </c>
      <c r="F15624" t="s">
        <v>11</v>
      </c>
      <c r="H15624" s="12">
        <v>10.5536426898862</v>
      </c>
      <c r="I15624" s="20">
        <v>0.92714095200527402</v>
      </c>
      <c r="J15624" s="28">
        <v>0.35385335603194701</v>
      </c>
      <c r="K15624" s="29">
        <v>0.98289565623980701</v>
      </c>
    </row>
    <row r="15625" spans="1:11" x14ac:dyDescent="0.35">
      <c r="A15625" s="9" t="str">
        <f>HYPERLINK("http://www.ensembl.org/id/WBGene00202374", "WBGene00202374")</f>
        <v>WBGene00202374</v>
      </c>
      <c r="B15625" s="9"/>
      <c r="C15625" s="9"/>
      <c r="D15625" t="str">
        <f>"T01C8.11"</f>
        <v>T01C8.11</v>
      </c>
      <c r="F15625" t="s">
        <v>481</v>
      </c>
      <c r="H15625" s="12">
        <v>-4.7167679298615104</v>
      </c>
      <c r="I15625" s="20">
        <v>-0.454742638005115</v>
      </c>
      <c r="J15625" s="28">
        <v>0.64929440216969203</v>
      </c>
      <c r="K15625" s="29">
        <v>0.98289565623980701</v>
      </c>
    </row>
    <row r="15626" spans="1:11" x14ac:dyDescent="0.35">
      <c r="A15626" s="9" t="str">
        <f>HYPERLINK("http://www.ensembl.org/id/WBGene00020144", "WBGene00020144")</f>
        <v>WBGene00020144</v>
      </c>
      <c r="B15626" s="9" t="str">
        <f>HYPERLINK("http://www.ncbi.nlm.nih.gov/gene/187947", "187947")</f>
        <v>187947</v>
      </c>
      <c r="C15626" s="9"/>
      <c r="D15626" t="str">
        <f>"T01C8.3"</f>
        <v>T01C8.3</v>
      </c>
      <c r="F15626" t="s">
        <v>11</v>
      </c>
      <c r="H15626" s="12">
        <v>1.52356056439007</v>
      </c>
      <c r="I15626" s="20">
        <v>1.0244232756677401</v>
      </c>
      <c r="J15626" s="28">
        <v>0.30563539283247099</v>
      </c>
      <c r="K15626" s="29">
        <v>0.98289565623980701</v>
      </c>
    </row>
    <row r="15627" spans="1:11" x14ac:dyDescent="0.35">
      <c r="A15627" s="9" t="str">
        <f>HYPERLINK("http://www.ensembl.org/id/WBGene00199326", "WBGene00199326")</f>
        <v>WBGene00199326</v>
      </c>
      <c r="B15627" s="9"/>
      <c r="C15627" s="9"/>
      <c r="D15627" t="str">
        <f>"T01C8.9"</f>
        <v>T01C8.9</v>
      </c>
      <c r="F15627" t="s">
        <v>481</v>
      </c>
      <c r="H15627" s="12">
        <v>2.4578120077400301</v>
      </c>
      <c r="I15627" s="20">
        <v>0.26093350314551</v>
      </c>
      <c r="J15627" s="28">
        <v>0.79414378780213601</v>
      </c>
      <c r="K15627" s="29">
        <v>0.98289565623980701</v>
      </c>
    </row>
    <row r="15628" spans="1:11" x14ac:dyDescent="0.35">
      <c r="A15628" s="9" t="str">
        <f>HYPERLINK("http://www.ensembl.org/id/WBGene00044428", "WBGene00044428")</f>
        <v>WBGene00044428</v>
      </c>
      <c r="B15628" s="9" t="str">
        <f>HYPERLINK("http://www.ncbi.nlm.nih.gov/gene/3565618", "3565618")</f>
        <v>3565618</v>
      </c>
      <c r="C15628" s="9"/>
      <c r="D15628" t="str">
        <f>"T01D1.7"</f>
        <v>T01D1.7</v>
      </c>
      <c r="F15628" t="s">
        <v>11</v>
      </c>
      <c r="G15628" t="s">
        <v>25</v>
      </c>
      <c r="H15628" s="12">
        <v>4.1188998438779398</v>
      </c>
      <c r="I15628" s="20">
        <v>0.78344615504228199</v>
      </c>
      <c r="J15628" s="28">
        <v>0.43336516143887899</v>
      </c>
      <c r="K15628" s="29">
        <v>0.98289565623980701</v>
      </c>
    </row>
    <row r="15629" spans="1:11" x14ac:dyDescent="0.35">
      <c r="A15629" s="9" t="str">
        <f>HYPERLINK("http://www.ensembl.org/id/WBGene00044641", "WBGene00044641")</f>
        <v>WBGene00044641</v>
      </c>
      <c r="B15629" s="9" t="str">
        <f>HYPERLINK("http://www.ncbi.nlm.nih.gov/gene/3896729", "3896729")</f>
        <v>3896729</v>
      </c>
      <c r="C15629" s="9"/>
      <c r="D15629" t="str">
        <f>"T01D1.8"</f>
        <v>T01D1.8</v>
      </c>
      <c r="F15629" t="s">
        <v>11</v>
      </c>
      <c r="H15629" s="12">
        <v>1.5719017250201199</v>
      </c>
      <c r="I15629" s="20">
        <v>0.66438871510380304</v>
      </c>
      <c r="J15629" s="28">
        <v>0.50644155365084897</v>
      </c>
      <c r="K15629" s="29">
        <v>0.98289565623980701</v>
      </c>
    </row>
    <row r="15630" spans="1:11" x14ac:dyDescent="0.35">
      <c r="A15630" s="9" t="str">
        <f>HYPERLINK("http://www.ensembl.org/id/WBGene00011335", "WBGene00011335")</f>
        <v>WBGene00011335</v>
      </c>
      <c r="B15630" s="9" t="str">
        <f>HYPERLINK("http://www.ncbi.nlm.nih.gov/gene/259461", "259461")</f>
        <v>259461</v>
      </c>
      <c r="C15630" s="9"/>
      <c r="D15630" t="str">
        <f>"T01E8.8"</f>
        <v>T01E8.8</v>
      </c>
      <c r="F15630" t="s">
        <v>11</v>
      </c>
      <c r="H15630" s="12">
        <v>-1.19023214565283</v>
      </c>
      <c r="I15630" s="20">
        <v>-0.86135322878603204</v>
      </c>
      <c r="J15630" s="28">
        <v>0.389043527529851</v>
      </c>
      <c r="K15630" s="29">
        <v>0.98289565623980701</v>
      </c>
    </row>
    <row r="15631" spans="1:11" x14ac:dyDescent="0.35">
      <c r="A15631" s="9" t="str">
        <f>HYPERLINK("http://www.ensembl.org/id/WBGene00197129", "WBGene00197129")</f>
        <v>WBGene00197129</v>
      </c>
      <c r="B15631" s="9"/>
      <c r="C15631" s="9"/>
      <c r="D15631" t="str">
        <f>"T01G1.5"</f>
        <v>T01G1.5</v>
      </c>
      <c r="F15631" t="s">
        <v>481</v>
      </c>
      <c r="H15631" s="12">
        <v>-2.4295389261469</v>
      </c>
      <c r="I15631" s="20">
        <v>-0.25808529976640998</v>
      </c>
      <c r="J15631" s="28">
        <v>0.79634107645457397</v>
      </c>
      <c r="K15631" s="29">
        <v>0.98289565623980701</v>
      </c>
    </row>
    <row r="15632" spans="1:11" x14ac:dyDescent="0.35">
      <c r="A15632" s="9" t="str">
        <f>HYPERLINK("http://www.ensembl.org/id/WBGene00198548", "WBGene00198548")</f>
        <v>WBGene00198548</v>
      </c>
      <c r="B15632" s="9"/>
      <c r="C15632" s="9"/>
      <c r="D15632" t="str">
        <f>"T01G1.6"</f>
        <v>T01G1.6</v>
      </c>
      <c r="F15632" t="s">
        <v>481</v>
      </c>
      <c r="H15632" s="12">
        <v>5.4058944669092801</v>
      </c>
      <c r="I15632" s="20">
        <v>0.49762513753689303</v>
      </c>
      <c r="J15632" s="28">
        <v>0.61874828254921799</v>
      </c>
      <c r="K15632" s="29">
        <v>0.98289565623980701</v>
      </c>
    </row>
    <row r="15633" spans="1:11" x14ac:dyDescent="0.35">
      <c r="A15633" s="9" t="str">
        <f>HYPERLINK("http://www.ensembl.org/id/WBGene00202089", "WBGene00202089")</f>
        <v>WBGene00202089</v>
      </c>
      <c r="B15633" s="9"/>
      <c r="C15633" s="9"/>
      <c r="D15633" t="str">
        <f>"T01G1.7"</f>
        <v>T01G1.7</v>
      </c>
      <c r="F15633" t="s">
        <v>481</v>
      </c>
      <c r="H15633" s="12">
        <v>5.2322000618327396</v>
      </c>
      <c r="I15633" s="20">
        <v>0.486112489888328</v>
      </c>
      <c r="J15633" s="28">
        <v>0.62688741196182496</v>
      </c>
      <c r="K15633" s="29">
        <v>0.98289565623980701</v>
      </c>
    </row>
    <row r="15634" spans="1:11" x14ac:dyDescent="0.35">
      <c r="A15634" s="9" t="str">
        <f>HYPERLINK("http://www.ensembl.org/id/WBGene00011341", "WBGene00011341")</f>
        <v>WBGene00011341</v>
      </c>
      <c r="B15634" s="9" t="str">
        <f>HYPERLINK("http://www.ncbi.nlm.nih.gov/gene/187959", "187959")</f>
        <v>187959</v>
      </c>
      <c r="C15634" s="9"/>
      <c r="D15634" t="str">
        <f>"T01G5.6"</f>
        <v>T01G5.6</v>
      </c>
      <c r="F15634" t="s">
        <v>11</v>
      </c>
      <c r="G15634" t="s">
        <v>25</v>
      </c>
      <c r="H15634" s="12">
        <v>-10.0989263815726</v>
      </c>
      <c r="I15634" s="20">
        <v>-0.68863184780658804</v>
      </c>
      <c r="J15634" s="28">
        <v>0.49105497404077803</v>
      </c>
      <c r="K15634" s="29">
        <v>0.98289565623980701</v>
      </c>
    </row>
    <row r="15635" spans="1:11" x14ac:dyDescent="0.35">
      <c r="A15635" s="9" t="str">
        <f>HYPERLINK("http://www.ensembl.org/id/WBGene00011344", "WBGene00011344")</f>
        <v>WBGene00011344</v>
      </c>
      <c r="B15635" s="9" t="str">
        <f>HYPERLINK("http://www.ncbi.nlm.nih.gov/gene/172609", "172609")</f>
        <v>172609</v>
      </c>
      <c r="C15635" s="9" t="str">
        <f>HYPERLINK("http://www.ncbi.nlm.nih.gov/gene/80262", "80262")</f>
        <v>80262</v>
      </c>
      <c r="D15635" t="str">
        <f>"T01G9.2"</f>
        <v>T01G9.2</v>
      </c>
      <c r="E15635" t="s">
        <v>7520</v>
      </c>
      <c r="F15635" t="s">
        <v>11</v>
      </c>
      <c r="G15635" t="s">
        <v>7521</v>
      </c>
      <c r="H15635" s="12">
        <v>-1.1305358829318399</v>
      </c>
      <c r="I15635" s="20">
        <v>-0.67499601978333801</v>
      </c>
      <c r="J15635" s="28">
        <v>0.49967829371539402</v>
      </c>
      <c r="K15635" s="29">
        <v>0.98289565623980701</v>
      </c>
    </row>
    <row r="15636" spans="1:11" x14ac:dyDescent="0.35">
      <c r="A15636" s="9" t="str">
        <f>HYPERLINK("http://www.ensembl.org/id/WBGene00271635", "WBGene00271635")</f>
        <v>WBGene00271635</v>
      </c>
      <c r="B15636" s="9"/>
      <c r="C15636" s="9"/>
      <c r="D15636" t="str">
        <f>"T01H3.11"</f>
        <v>T01H3.11</v>
      </c>
      <c r="F15636" t="s">
        <v>481</v>
      </c>
      <c r="H15636" s="12">
        <v>2.4578120077400301</v>
      </c>
      <c r="I15636" s="20">
        <v>0.26093350314551</v>
      </c>
      <c r="J15636" s="28">
        <v>0.79414378780213601</v>
      </c>
      <c r="K15636" s="29">
        <v>0.98289565623980701</v>
      </c>
    </row>
    <row r="15637" spans="1:11" x14ac:dyDescent="0.35">
      <c r="A15637" s="9" t="str">
        <f>HYPERLINK("http://www.ensembl.org/id/WBGene00011351", "WBGene00011351")</f>
        <v>WBGene00011351</v>
      </c>
      <c r="B15637" s="9" t="str">
        <f>HYPERLINK("http://www.ncbi.nlm.nih.gov/gene/187969", "187969")</f>
        <v>187969</v>
      </c>
      <c r="C15637" s="9"/>
      <c r="D15637" t="str">
        <f>"T01H3.5"</f>
        <v>T01H3.5</v>
      </c>
      <c r="F15637" t="s">
        <v>11</v>
      </c>
      <c r="H15637" s="12">
        <v>1.4468333716453401</v>
      </c>
      <c r="I15637" s="20">
        <v>0.65676321671545701</v>
      </c>
      <c r="J15637" s="28">
        <v>0.51133317914988397</v>
      </c>
      <c r="K15637" s="29">
        <v>0.98289565623980701</v>
      </c>
    </row>
    <row r="15638" spans="1:11" x14ac:dyDescent="0.35">
      <c r="A15638" s="9" t="str">
        <f>HYPERLINK("http://www.ensembl.org/id/WBGene00201121", "WBGene00201121")</f>
        <v>WBGene00201121</v>
      </c>
      <c r="B15638" s="9"/>
      <c r="C15638" s="9"/>
      <c r="D15638" t="str">
        <f>"T01H3.9"</f>
        <v>T01H3.9</v>
      </c>
      <c r="F15638" t="s">
        <v>481</v>
      </c>
      <c r="H15638" s="12">
        <v>5.6249299872216199</v>
      </c>
      <c r="I15638" s="20">
        <v>0.64392120861024604</v>
      </c>
      <c r="J15638" s="28">
        <v>0.51962652812965604</v>
      </c>
      <c r="K15638" s="29">
        <v>0.98289565623980701</v>
      </c>
    </row>
    <row r="15639" spans="1:11" x14ac:dyDescent="0.35">
      <c r="A15639" s="9" t="str">
        <f>HYPERLINK("http://www.ensembl.org/id/WBGene00011353", "WBGene00011353")</f>
        <v>WBGene00011353</v>
      </c>
      <c r="B15639" s="9" t="str">
        <f>HYPERLINK("http://www.ncbi.nlm.nih.gov/gene/187970", "187970")</f>
        <v>187970</v>
      </c>
      <c r="C15639" s="9"/>
      <c r="D15639" t="str">
        <f>"T01H8.2"</f>
        <v>T01H8.2</v>
      </c>
      <c r="F15639" t="s">
        <v>11</v>
      </c>
      <c r="G15639" t="s">
        <v>5601</v>
      </c>
      <c r="H15639" s="12">
        <v>1.136870263104</v>
      </c>
      <c r="I15639" s="20">
        <v>0.469327169443857</v>
      </c>
      <c r="J15639" s="28">
        <v>0.63883579777196298</v>
      </c>
      <c r="K15639" s="29">
        <v>0.98289565623980701</v>
      </c>
    </row>
    <row r="15640" spans="1:11" x14ac:dyDescent="0.35">
      <c r="A15640" s="9" t="str">
        <f>HYPERLINK("http://www.ensembl.org/id/WBGene00255731", "WBGene00255731")</f>
        <v>WBGene00255731</v>
      </c>
      <c r="B15640" s="9" t="str">
        <f>HYPERLINK("http://www.ncbi.nlm.nih.gov/gene/25502986", "25502986")</f>
        <v>25502986</v>
      </c>
      <c r="C15640" s="9"/>
      <c r="D15640" t="str">
        <f>"T02B11.11"</f>
        <v>T02B11.11</v>
      </c>
      <c r="F15640" t="s">
        <v>11</v>
      </c>
      <c r="H15640" s="12">
        <v>4.4454298908329104</v>
      </c>
      <c r="I15640" s="20">
        <v>0.49336101450555597</v>
      </c>
      <c r="J15640" s="28">
        <v>0.62175752365155801</v>
      </c>
      <c r="K15640" s="29">
        <v>0.98289565623980701</v>
      </c>
    </row>
    <row r="15641" spans="1:11" x14ac:dyDescent="0.35">
      <c r="A15641" s="9" t="str">
        <f>HYPERLINK("http://www.ensembl.org/id/WBGene00255733", "WBGene00255733")</f>
        <v>WBGene00255733</v>
      </c>
      <c r="B15641" s="9" t="str">
        <f>HYPERLINK("http://www.ncbi.nlm.nih.gov/gene/25502988", "25502988")</f>
        <v>25502988</v>
      </c>
      <c r="C15641" s="9"/>
      <c r="D15641" t="str">
        <f>"T02B11.13"</f>
        <v>T02B11.13</v>
      </c>
      <c r="F15641" t="s">
        <v>11</v>
      </c>
      <c r="H15641" s="12">
        <v>-2.4295389261469</v>
      </c>
      <c r="I15641" s="20">
        <v>-0.25808529976640998</v>
      </c>
      <c r="J15641" s="28">
        <v>0.79634107645457397</v>
      </c>
      <c r="K15641" s="29">
        <v>0.98289565623980701</v>
      </c>
    </row>
    <row r="15642" spans="1:11" x14ac:dyDescent="0.35">
      <c r="A15642" s="9" t="str">
        <f>HYPERLINK("http://www.ensembl.org/id/WBGene00044776", "WBGene00044776")</f>
        <v>WBGene00044776</v>
      </c>
      <c r="B15642" s="9" t="str">
        <f>HYPERLINK("http://www.ncbi.nlm.nih.gov/gene/4363093", "4363093")</f>
        <v>4363093</v>
      </c>
      <c r="C15642" s="9"/>
      <c r="D15642" t="str">
        <f>"T02B11.8"</f>
        <v>T02B11.8</v>
      </c>
      <c r="F15642" t="s">
        <v>11</v>
      </c>
      <c r="G15642" t="s">
        <v>27</v>
      </c>
      <c r="H15642" s="12">
        <v>-1.3255310618119001</v>
      </c>
      <c r="I15642" s="20">
        <v>-0.58954644965699798</v>
      </c>
      <c r="J15642" s="28">
        <v>0.55549476230738903</v>
      </c>
      <c r="K15642" s="29">
        <v>0.98289565623980701</v>
      </c>
    </row>
    <row r="15643" spans="1:11" x14ac:dyDescent="0.35">
      <c r="A15643" s="9" t="str">
        <f>HYPERLINK("http://www.ensembl.org/id/WBGene00044777", "WBGene00044777")</f>
        <v>WBGene00044777</v>
      </c>
      <c r="B15643" s="9" t="str">
        <f>HYPERLINK("http://www.ncbi.nlm.nih.gov/gene/4363094", "4363094")</f>
        <v>4363094</v>
      </c>
      <c r="C15643" s="9"/>
      <c r="D15643" t="str">
        <f>"T02B11.9"</f>
        <v>T02B11.9</v>
      </c>
      <c r="F15643" t="s">
        <v>11</v>
      </c>
      <c r="G15643" t="s">
        <v>25</v>
      </c>
      <c r="H15643" s="12">
        <v>3.1079380550023599</v>
      </c>
      <c r="I15643" s="20">
        <v>0.75714402277881199</v>
      </c>
      <c r="J15643" s="28">
        <v>0.44896358217390098</v>
      </c>
      <c r="K15643" s="29">
        <v>0.98289565623980701</v>
      </c>
    </row>
    <row r="15644" spans="1:11" x14ac:dyDescent="0.35">
      <c r="A15644" s="9" t="str">
        <f>HYPERLINK("http://www.ensembl.org/id/WBGene00011364", "WBGene00011364")</f>
        <v>WBGene00011364</v>
      </c>
      <c r="B15644" s="9" t="str">
        <f>HYPERLINK("http://www.ncbi.nlm.nih.gov/gene/179914", "179914")</f>
        <v>179914</v>
      </c>
      <c r="C15644" s="9"/>
      <c r="D15644" t="str">
        <f>"T02B5.3"</f>
        <v>T02B5.3</v>
      </c>
      <c r="E15644" t="s">
        <v>383</v>
      </c>
      <c r="F15644" t="s">
        <v>11</v>
      </c>
      <c r="G15644" t="s">
        <v>1928</v>
      </c>
      <c r="H15644" s="12">
        <v>-1.28765688875877</v>
      </c>
      <c r="I15644" s="20">
        <v>-0.63323674974102095</v>
      </c>
      <c r="J15644" s="28">
        <v>0.52657905045076203</v>
      </c>
      <c r="K15644" s="29">
        <v>0.98289565623980701</v>
      </c>
    </row>
    <row r="15645" spans="1:11" x14ac:dyDescent="0.35">
      <c r="A15645" s="9" t="str">
        <f>HYPERLINK("http://www.ensembl.org/id/WBGene00011366", "WBGene00011366")</f>
        <v>WBGene00011366</v>
      </c>
      <c r="B15645" s="9" t="str">
        <f>HYPERLINK("http://www.ncbi.nlm.nih.gov/gene/176306", "176306")</f>
        <v>176306</v>
      </c>
      <c r="C15645" s="9"/>
      <c r="D15645" t="str">
        <f>"T02C1.2"</f>
        <v>T02C1.2</v>
      </c>
      <c r="F15645" t="s">
        <v>11</v>
      </c>
      <c r="G15645" t="s">
        <v>583</v>
      </c>
      <c r="H15645" s="12">
        <v>1.23570815088702</v>
      </c>
      <c r="I15645" s="20">
        <v>0.86212425395690995</v>
      </c>
      <c r="J15645" s="28">
        <v>0.38861914602262199</v>
      </c>
      <c r="K15645" s="29">
        <v>0.98289565623980701</v>
      </c>
    </row>
    <row r="15646" spans="1:11" x14ac:dyDescent="0.35">
      <c r="A15646" s="9" t="str">
        <f>HYPERLINK("http://www.ensembl.org/id/WBGene00011369", "WBGene00011369")</f>
        <v>WBGene00011369</v>
      </c>
      <c r="B15646" s="9"/>
      <c r="C15646" s="9"/>
      <c r="D15646" t="str">
        <f>"T02C12.4"</f>
        <v>T02C12.4</v>
      </c>
      <c r="F15646" t="s">
        <v>80</v>
      </c>
      <c r="H15646" s="12">
        <v>2.9542656893663302</v>
      </c>
      <c r="I15646" s="20">
        <v>0.66201883813084195</v>
      </c>
      <c r="J15646" s="28">
        <v>0.50795914878790305</v>
      </c>
      <c r="K15646" s="29">
        <v>0.98289565623980701</v>
      </c>
    </row>
    <row r="15647" spans="1:11" x14ac:dyDescent="0.35">
      <c r="A15647" s="9" t="str">
        <f>HYPERLINK("http://www.ensembl.org/id/WBGene00011374", "WBGene00011374")</f>
        <v>WBGene00011374</v>
      </c>
      <c r="B15647" s="9" t="str">
        <f>HYPERLINK("http://www.ncbi.nlm.nih.gov/gene/259608", "259608")</f>
        <v>259608</v>
      </c>
      <c r="C15647" s="9"/>
      <c r="D15647" t="str">
        <f>"T02D1.8"</f>
        <v>T02D1.8</v>
      </c>
      <c r="F15647" t="s">
        <v>11</v>
      </c>
      <c r="H15647" s="12">
        <v>-1.1669663722463599</v>
      </c>
      <c r="I15647" s="20">
        <v>-0.73568876690066998</v>
      </c>
      <c r="J15647" s="28">
        <v>0.461920127362907</v>
      </c>
      <c r="K15647" s="29">
        <v>0.98289565623980701</v>
      </c>
    </row>
    <row r="15648" spans="1:11" x14ac:dyDescent="0.35">
      <c r="A15648" s="9" t="str">
        <f>HYPERLINK("http://www.ensembl.org/id/WBGene00011375", "WBGene00011375")</f>
        <v>WBGene00011375</v>
      </c>
      <c r="B15648" s="9" t="str">
        <f>HYPERLINK("http://www.ncbi.nlm.nih.gov/gene/172605", "172605")</f>
        <v>172605</v>
      </c>
      <c r="C15648" s="9"/>
      <c r="D15648" t="str">
        <f>"T02E1.2"</f>
        <v>T02E1.2</v>
      </c>
      <c r="F15648" t="s">
        <v>11</v>
      </c>
      <c r="H15648" s="12">
        <v>-1.2362795999899501</v>
      </c>
      <c r="I15648" s="20">
        <v>-1.02328979294887</v>
      </c>
      <c r="J15648" s="28">
        <v>0.30617084832497898</v>
      </c>
      <c r="K15648" s="29">
        <v>0.98289565623980701</v>
      </c>
    </row>
    <row r="15649" spans="1:11" x14ac:dyDescent="0.35">
      <c r="A15649" s="9" t="str">
        <f>HYPERLINK("http://www.ensembl.org/id/WBGene00196860", "WBGene00196860")</f>
        <v>WBGene00196860</v>
      </c>
      <c r="B15649" s="9"/>
      <c r="C15649" s="9"/>
      <c r="D15649" t="str">
        <f>"T02E9.14"</f>
        <v>T02E9.14</v>
      </c>
      <c r="F15649" t="s">
        <v>481</v>
      </c>
      <c r="H15649" s="12">
        <v>5.4058944669092801</v>
      </c>
      <c r="I15649" s="20">
        <v>0.49762513753689303</v>
      </c>
      <c r="J15649" s="28">
        <v>0.61874828254921799</v>
      </c>
      <c r="K15649" s="29">
        <v>0.98289565623980701</v>
      </c>
    </row>
    <row r="15650" spans="1:11" x14ac:dyDescent="0.35">
      <c r="A15650" s="9" t="str">
        <f>HYPERLINK("http://www.ensembl.org/id/WBGene00197250", "WBGene00197250")</f>
        <v>WBGene00197250</v>
      </c>
      <c r="B15650" s="9"/>
      <c r="C15650" s="9"/>
      <c r="D15650" t="str">
        <f>"T02E9.15"</f>
        <v>T02E9.15</v>
      </c>
      <c r="F15650" t="s">
        <v>481</v>
      </c>
      <c r="H15650" s="12">
        <v>3.5227018545059199</v>
      </c>
      <c r="I15650" s="20">
        <v>0.36849691206929103</v>
      </c>
      <c r="J15650" s="28">
        <v>0.71250274722433404</v>
      </c>
      <c r="K15650" s="29">
        <v>0.98289565623980701</v>
      </c>
    </row>
    <row r="15651" spans="1:11" x14ac:dyDescent="0.35">
      <c r="A15651" s="9" t="str">
        <f>HYPERLINK("http://www.ensembl.org/id/WBGene00044203", "WBGene00044203")</f>
        <v>WBGene00044203</v>
      </c>
      <c r="B15651" s="9" t="str">
        <f>HYPERLINK("http://www.ncbi.nlm.nih.gov/gene/3565878", "3565878")</f>
        <v>3565878</v>
      </c>
      <c r="C15651" s="9"/>
      <c r="D15651" t="str">
        <f>"T02E9.6"</f>
        <v>T02E9.6</v>
      </c>
      <c r="F15651" t="s">
        <v>11</v>
      </c>
      <c r="H15651" s="12">
        <v>4.9823546421056797</v>
      </c>
      <c r="I15651" s="20">
        <v>0.65517431865264497</v>
      </c>
      <c r="J15651" s="28">
        <v>0.51235552701332099</v>
      </c>
      <c r="K15651" s="29">
        <v>0.98289565623980701</v>
      </c>
    </row>
    <row r="15652" spans="1:11" x14ac:dyDescent="0.35">
      <c r="A15652" s="9" t="str">
        <f>HYPERLINK("http://www.ensembl.org/id/WBGene00020167", "WBGene00020167")</f>
        <v>WBGene00020167</v>
      </c>
      <c r="B15652" s="9"/>
      <c r="C15652" s="9"/>
      <c r="D15652" t="str">
        <f>"T02G5.11"</f>
        <v>T02G5.11</v>
      </c>
      <c r="F15652" t="s">
        <v>80</v>
      </c>
      <c r="H15652" s="12">
        <v>-1.71203038793509</v>
      </c>
      <c r="I15652" s="20">
        <v>-0.94772624621741697</v>
      </c>
      <c r="J15652" s="28">
        <v>0.343268835800566</v>
      </c>
      <c r="K15652" s="29">
        <v>0.98289565623980701</v>
      </c>
    </row>
    <row r="15653" spans="1:11" x14ac:dyDescent="0.35">
      <c r="A15653" s="9" t="str">
        <f>HYPERLINK("http://www.ensembl.org/id/WBGene00020170", "WBGene00020170")</f>
        <v>WBGene00020170</v>
      </c>
      <c r="B15653" s="9" t="str">
        <f>HYPERLINK("http://www.ncbi.nlm.nih.gov/gene/174163", "174163")</f>
        <v>174163</v>
      </c>
      <c r="C15653" s="9"/>
      <c r="D15653" t="str">
        <f>"T02G5.14"</f>
        <v>T02G5.14</v>
      </c>
      <c r="F15653" t="s">
        <v>11</v>
      </c>
      <c r="G15653" t="s">
        <v>54</v>
      </c>
      <c r="H15653" s="12">
        <v>1.6152573468900899</v>
      </c>
      <c r="I15653" s="20">
        <v>1.1295618281423301</v>
      </c>
      <c r="J15653" s="28">
        <v>0.25866090314989298</v>
      </c>
      <c r="K15653" s="29">
        <v>0.98289565623980701</v>
      </c>
    </row>
    <row r="15654" spans="1:11" x14ac:dyDescent="0.35">
      <c r="A15654" s="9" t="str">
        <f>HYPERLINK("http://www.ensembl.org/id/WBGene00206521", "WBGene00206521")</f>
        <v>WBGene00206521</v>
      </c>
      <c r="B15654" s="9" t="str">
        <f>HYPERLINK("http://www.ncbi.nlm.nih.gov/gene/13185665", "13185665")</f>
        <v>13185665</v>
      </c>
      <c r="C15654" s="9"/>
      <c r="D15654" t="str">
        <f>"T02G5.15"</f>
        <v>T02G5.15</v>
      </c>
      <c r="F15654" t="s">
        <v>11</v>
      </c>
      <c r="H15654" s="12">
        <v>1.6092527860174699</v>
      </c>
      <c r="I15654" s="20">
        <v>0.79171012398483298</v>
      </c>
      <c r="J15654" s="28">
        <v>0.428529717813741</v>
      </c>
      <c r="K15654" s="29">
        <v>0.98289565623980701</v>
      </c>
    </row>
    <row r="15655" spans="1:11" x14ac:dyDescent="0.35">
      <c r="A15655" s="9" t="str">
        <f>HYPERLINK("http://www.ensembl.org/id/WBGene00020163", "WBGene00020163")</f>
        <v>WBGene00020163</v>
      </c>
      <c r="B15655" s="9" t="str">
        <f>HYPERLINK("http://www.ncbi.nlm.nih.gov/gene/187991", "187991")</f>
        <v>187991</v>
      </c>
      <c r="C15655" s="9"/>
      <c r="D15655" t="str">
        <f>"T02G5.3"</f>
        <v>T02G5.3</v>
      </c>
      <c r="F15655" t="s">
        <v>11</v>
      </c>
      <c r="G15655" t="s">
        <v>325</v>
      </c>
      <c r="H15655" s="12">
        <v>-1.15107072356469</v>
      </c>
      <c r="I15655" s="20">
        <v>-0.407306778400021</v>
      </c>
      <c r="J15655" s="28">
        <v>0.68378268492358496</v>
      </c>
      <c r="K15655" s="29">
        <v>0.98289565623980701</v>
      </c>
    </row>
    <row r="15656" spans="1:11" x14ac:dyDescent="0.35">
      <c r="A15656" s="9" t="str">
        <f>HYPERLINK("http://www.ensembl.org/id/WBGene00020164", "WBGene00020164")</f>
        <v>WBGene00020164</v>
      </c>
      <c r="B15656" s="9"/>
      <c r="C15656" s="9"/>
      <c r="D15656" t="str">
        <f>"T02G5.4"</f>
        <v>T02G5.4</v>
      </c>
      <c r="F15656" t="s">
        <v>80</v>
      </c>
      <c r="H15656" s="12">
        <v>1.33190917686578</v>
      </c>
      <c r="I15656" s="20">
        <v>0.90030087661443303</v>
      </c>
      <c r="J15656" s="28">
        <v>0.36796015471474403</v>
      </c>
      <c r="K15656" s="29">
        <v>0.98289565623980701</v>
      </c>
    </row>
    <row r="15657" spans="1:11" x14ac:dyDescent="0.35">
      <c r="A15657" s="9" t="str">
        <f>HYPERLINK("http://www.ensembl.org/id/WBGene00077772", "WBGene00077772")</f>
        <v>WBGene00077772</v>
      </c>
      <c r="B15657" s="9"/>
      <c r="C15657" s="9"/>
      <c r="D15657" t="str">
        <f>"T02G6.10"</f>
        <v>T02G6.10</v>
      </c>
      <c r="F15657" t="s">
        <v>80</v>
      </c>
      <c r="H15657" s="12">
        <v>1.7479706918334501</v>
      </c>
      <c r="I15657" s="20">
        <v>1.1845578041942399</v>
      </c>
      <c r="J15657" s="28">
        <v>0.23619232881131999</v>
      </c>
      <c r="K15657" s="29">
        <v>0.98289565623980701</v>
      </c>
    </row>
    <row r="15658" spans="1:11" x14ac:dyDescent="0.35">
      <c r="A15658" s="9" t="str">
        <f>HYPERLINK("http://www.ensembl.org/id/WBGene00086562", "WBGene00086562")</f>
        <v>WBGene00086562</v>
      </c>
      <c r="B15658" s="9" t="str">
        <f>HYPERLINK("http://www.ncbi.nlm.nih.gov/gene/7040170", "7040170")</f>
        <v>7040170</v>
      </c>
      <c r="C15658" s="9"/>
      <c r="D15658" t="str">
        <f>"T02G6.11"</f>
        <v>T02G6.11</v>
      </c>
      <c r="F15658" t="s">
        <v>11</v>
      </c>
      <c r="G15658" t="s">
        <v>54</v>
      </c>
      <c r="H15658" s="12">
        <v>1.5450248248112799</v>
      </c>
      <c r="I15658" s="20">
        <v>0.43770097921287998</v>
      </c>
      <c r="J15658" s="28">
        <v>0.661603059569699</v>
      </c>
      <c r="K15658" s="29">
        <v>0.98289565623980701</v>
      </c>
    </row>
    <row r="15659" spans="1:11" x14ac:dyDescent="0.35">
      <c r="A15659" s="9" t="str">
        <f>HYPERLINK("http://www.ensembl.org/id/WBGene00011387", "WBGene00011387")</f>
        <v>WBGene00011387</v>
      </c>
      <c r="B15659" s="9" t="str">
        <f>HYPERLINK("http://www.ncbi.nlm.nih.gov/gene/187999", "187999")</f>
        <v>187999</v>
      </c>
      <c r="C15659" s="9"/>
      <c r="D15659" t="str">
        <f>"T02G6.4"</f>
        <v>T02G6.4</v>
      </c>
      <c r="F15659" t="s">
        <v>11</v>
      </c>
      <c r="G15659" t="s">
        <v>25</v>
      </c>
      <c r="H15659" s="12">
        <v>4.4651611374034701</v>
      </c>
      <c r="I15659" s="20">
        <v>0.79185200832296199</v>
      </c>
      <c r="J15659" s="28">
        <v>0.42844697292671302</v>
      </c>
      <c r="K15659" s="29">
        <v>0.98289565623980701</v>
      </c>
    </row>
    <row r="15660" spans="1:11" x14ac:dyDescent="0.35">
      <c r="A15660" s="9" t="str">
        <f>HYPERLINK("http://www.ensembl.org/id/WBGene00011389", "WBGene00011389")</f>
        <v>WBGene00011389</v>
      </c>
      <c r="B15660" s="9" t="str">
        <f>HYPERLINK("http://www.ncbi.nlm.nih.gov/gene/188000", "188000")</f>
        <v>188000</v>
      </c>
      <c r="C15660" s="9"/>
      <c r="D15660" t="str">
        <f>"T02G6.6"</f>
        <v>T02G6.6</v>
      </c>
      <c r="F15660" t="s">
        <v>11</v>
      </c>
      <c r="H15660" s="12">
        <v>11.170998397396099</v>
      </c>
      <c r="I15660" s="20">
        <v>0.72284615686154896</v>
      </c>
      <c r="J15660" s="28">
        <v>0.46977440626377698</v>
      </c>
      <c r="K15660" s="29">
        <v>0.98289565623980701</v>
      </c>
    </row>
    <row r="15661" spans="1:11" x14ac:dyDescent="0.35">
      <c r="A15661" s="9" t="str">
        <f>HYPERLINK("http://www.ensembl.org/id/WBGene00011390", "WBGene00011390")</f>
        <v>WBGene00011390</v>
      </c>
      <c r="B15661" s="9" t="str">
        <f>HYPERLINK("http://www.ncbi.nlm.nih.gov/gene/188001", "188001")</f>
        <v>188001</v>
      </c>
      <c r="C15661" s="9"/>
      <c r="D15661" t="str">
        <f>"T02G6.7"</f>
        <v>T02G6.7</v>
      </c>
      <c r="E15661" t="s">
        <v>2043</v>
      </c>
      <c r="F15661" t="s">
        <v>11</v>
      </c>
      <c r="G15661" t="s">
        <v>47</v>
      </c>
      <c r="H15661" s="12">
        <v>-10.0989263815726</v>
      </c>
      <c r="I15661" s="20">
        <v>-0.68863184780658804</v>
      </c>
      <c r="J15661" s="28">
        <v>0.49105497404077803</v>
      </c>
      <c r="K15661" s="29">
        <v>0.98289565623980701</v>
      </c>
    </row>
    <row r="15662" spans="1:11" x14ac:dyDescent="0.35">
      <c r="A15662" s="9" t="str">
        <f>HYPERLINK("http://www.ensembl.org/id/WBGene00014498", "WBGene00014498")</f>
        <v>WBGene00014498</v>
      </c>
      <c r="B15662" s="9"/>
      <c r="C15662" s="9"/>
      <c r="D15662" t="str">
        <f>"T02G6.t1"</f>
        <v>T02G6.t1</v>
      </c>
      <c r="F15662" t="s">
        <v>4208</v>
      </c>
      <c r="H15662" s="12">
        <v>7.2474883361933102</v>
      </c>
      <c r="I15662" s="20">
        <v>0.60161888411598596</v>
      </c>
      <c r="J15662" s="28">
        <v>0.54742785575427899</v>
      </c>
      <c r="K15662" s="29">
        <v>0.98289565623980701</v>
      </c>
    </row>
    <row r="15663" spans="1:11" x14ac:dyDescent="0.35">
      <c r="A15663" s="9" t="str">
        <f>HYPERLINK("http://www.ensembl.org/id/WBGene00020171", "WBGene00020171")</f>
        <v>WBGene00020171</v>
      </c>
      <c r="B15663" s="9" t="str">
        <f>HYPERLINK("http://www.ncbi.nlm.nih.gov/gene/173461", "173461")</f>
        <v>173461</v>
      </c>
      <c r="C15663" s="9" t="str">
        <f>HYPERLINK("http://www.ncbi.nlm.nih.gov/gene/9136", "9136")</f>
        <v>9136</v>
      </c>
      <c r="D15663" t="str">
        <f>"T02H6.1"</f>
        <v>T02H6.1</v>
      </c>
      <c r="F15663" t="s">
        <v>11</v>
      </c>
      <c r="G15663" t="s">
        <v>6893</v>
      </c>
      <c r="H15663" s="12">
        <v>-1.09502286718967</v>
      </c>
      <c r="I15663" s="20">
        <v>-0.41462260635277998</v>
      </c>
      <c r="J15663" s="28">
        <v>0.67841819649300295</v>
      </c>
      <c r="K15663" s="29">
        <v>0.98289565623980701</v>
      </c>
    </row>
    <row r="15664" spans="1:11" x14ac:dyDescent="0.35">
      <c r="A15664" s="9" t="str">
        <f>HYPERLINK("http://www.ensembl.org/id/WBGene00020173", "WBGene00020173")</f>
        <v>WBGene00020173</v>
      </c>
      <c r="B15664" s="9" t="str">
        <f>HYPERLINK("http://www.ncbi.nlm.nih.gov/gene/188003", "188003")</f>
        <v>188003</v>
      </c>
      <c r="C15664" s="9"/>
      <c r="D15664" t="str">
        <f>"T02H6.3"</f>
        <v>T02H6.3</v>
      </c>
      <c r="F15664" t="s">
        <v>11</v>
      </c>
      <c r="H15664" s="12">
        <v>3.6645215954135</v>
      </c>
      <c r="I15664" s="20">
        <v>0.37967131826092498</v>
      </c>
      <c r="J15664" s="28">
        <v>0.70418941338960395</v>
      </c>
      <c r="K15664" s="29">
        <v>0.98289565623980701</v>
      </c>
    </row>
    <row r="15665" spans="1:11" x14ac:dyDescent="0.35">
      <c r="A15665" s="9" t="str">
        <f>HYPERLINK("http://www.ensembl.org/id/WBGene00020176", "WBGene00020176")</f>
        <v>WBGene00020176</v>
      </c>
      <c r="B15665" s="9" t="str">
        <f>HYPERLINK("http://www.ncbi.nlm.nih.gov/gene/188005", "188005")</f>
        <v>188005</v>
      </c>
      <c r="C15665" s="9"/>
      <c r="D15665" t="str">
        <f>"T02H6.6"</f>
        <v>T02H6.6</v>
      </c>
      <c r="F15665" t="s">
        <v>11</v>
      </c>
      <c r="H15665" s="12">
        <v>-2.4991590031922399</v>
      </c>
      <c r="I15665" s="20">
        <v>-0.26577412737581302</v>
      </c>
      <c r="J15665" s="28">
        <v>0.79041317015736101</v>
      </c>
      <c r="K15665" s="29">
        <v>0.98289565623980701</v>
      </c>
    </row>
    <row r="15666" spans="1:11" x14ac:dyDescent="0.35">
      <c r="A15666" s="9" t="str">
        <f>HYPERLINK("http://www.ensembl.org/id/WBGene00020177", "WBGene00020177")</f>
        <v>WBGene00020177</v>
      </c>
      <c r="B15666" s="9" t="str">
        <f>HYPERLINK("http://www.ncbi.nlm.nih.gov/gene/188006", "188006")</f>
        <v>188006</v>
      </c>
      <c r="C15666" s="9"/>
      <c r="D15666" t="str">
        <f>"T02H6.7"</f>
        <v>T02H6.7</v>
      </c>
      <c r="F15666" t="s">
        <v>11</v>
      </c>
      <c r="G15666" t="s">
        <v>63</v>
      </c>
      <c r="H15666" s="12">
        <v>-1.75046321295711</v>
      </c>
      <c r="I15666" s="20">
        <v>-0.31215827260666201</v>
      </c>
      <c r="J15666" s="28">
        <v>0.75492024231134502</v>
      </c>
      <c r="K15666" s="29">
        <v>0.98289565623980701</v>
      </c>
    </row>
    <row r="15667" spans="1:11" x14ac:dyDescent="0.35">
      <c r="A15667" s="9" t="str">
        <f>HYPERLINK("http://www.ensembl.org/id/WBGene00020178", "WBGene00020178")</f>
        <v>WBGene00020178</v>
      </c>
      <c r="B15667" s="9" t="str">
        <f>HYPERLINK("http://www.ncbi.nlm.nih.gov/gene/188007", "188007")</f>
        <v>188007</v>
      </c>
      <c r="C15667" s="9"/>
      <c r="D15667" t="str">
        <f>"T02H6.8"</f>
        <v>T02H6.8</v>
      </c>
      <c r="F15667" t="s">
        <v>11</v>
      </c>
      <c r="H15667" s="12">
        <v>7.8691597089380902</v>
      </c>
      <c r="I15667" s="20">
        <v>0.61251365190975104</v>
      </c>
      <c r="J15667" s="28">
        <v>0.54019796842331003</v>
      </c>
      <c r="K15667" s="29">
        <v>0.98289565623980701</v>
      </c>
    </row>
    <row r="15668" spans="1:11" x14ac:dyDescent="0.35">
      <c r="A15668" s="9" t="str">
        <f>HYPERLINK("http://www.ensembl.org/id/WBGene00020179", "WBGene00020179")</f>
        <v>WBGene00020179</v>
      </c>
      <c r="B15668" s="9" t="str">
        <f>HYPERLINK("http://www.ncbi.nlm.nih.gov/gene/188008", "188008")</f>
        <v>188008</v>
      </c>
      <c r="C15668" s="9"/>
      <c r="D15668" t="str">
        <f>"T02H6.9"</f>
        <v>T02H6.9</v>
      </c>
      <c r="F15668" t="s">
        <v>11</v>
      </c>
      <c r="G15668" t="s">
        <v>63</v>
      </c>
      <c r="H15668" s="12">
        <v>1.4822717570894599</v>
      </c>
      <c r="I15668" s="20">
        <v>0.34423303342730599</v>
      </c>
      <c r="J15668" s="28">
        <v>0.73067104153509999</v>
      </c>
      <c r="K15668" s="29">
        <v>0.98289565623980701</v>
      </c>
    </row>
    <row r="15669" spans="1:11" x14ac:dyDescent="0.35">
      <c r="A15669" s="9" t="str">
        <f>HYPERLINK("http://www.ensembl.org/id/WBGene00020183", "WBGene00020183")</f>
        <v>WBGene00020183</v>
      </c>
      <c r="B15669" s="9" t="str">
        <f>HYPERLINK("http://www.ncbi.nlm.nih.gov/gene/178743", "178743")</f>
        <v>178743</v>
      </c>
      <c r="C15669" s="9"/>
      <c r="D15669" t="str">
        <f>"T03D3.5"</f>
        <v>T03D3.5</v>
      </c>
      <c r="F15669" t="s">
        <v>11</v>
      </c>
      <c r="H15669" s="12">
        <v>1.1735286099681601</v>
      </c>
      <c r="I15669" s="20">
        <v>0.61158183156275903</v>
      </c>
      <c r="J15669" s="28">
        <v>0.54081446171484504</v>
      </c>
      <c r="K15669" s="29">
        <v>0.98289565623980701</v>
      </c>
    </row>
    <row r="15670" spans="1:11" x14ac:dyDescent="0.35">
      <c r="A15670" s="9" t="str">
        <f>HYPERLINK("http://www.ensembl.org/id/WBGene00023337", "WBGene00023337")</f>
        <v>WBGene00023337</v>
      </c>
      <c r="B15670" s="9"/>
      <c r="C15670" s="9"/>
      <c r="D15670" t="str">
        <f>"T03D3.9"</f>
        <v>T03D3.9</v>
      </c>
      <c r="F15670" t="s">
        <v>80</v>
      </c>
      <c r="H15670" s="12">
        <v>-2.4991590031922399</v>
      </c>
      <c r="I15670" s="20">
        <v>-0.26577412737581302</v>
      </c>
      <c r="J15670" s="28">
        <v>0.79041317015736101</v>
      </c>
      <c r="K15670" s="29">
        <v>0.98289565623980701</v>
      </c>
    </row>
    <row r="15671" spans="1:11" x14ac:dyDescent="0.35">
      <c r="A15671" s="9" t="str">
        <f>HYPERLINK("http://www.ensembl.org/id/WBGene00011393", "WBGene00011393")</f>
        <v>WBGene00011393</v>
      </c>
      <c r="B15671" s="9" t="str">
        <f>HYPERLINK("http://www.ncbi.nlm.nih.gov/gene/180364", "180364")</f>
        <v>180364</v>
      </c>
      <c r="C15671" s="9" t="str">
        <f>HYPERLINK("http://www.ncbi.nlm.nih.gov/gene/2678", "2678")</f>
        <v>2678</v>
      </c>
      <c r="D15671" t="str">
        <f>"T03D8.6"</f>
        <v>T03D8.6</v>
      </c>
      <c r="F15671" t="s">
        <v>11</v>
      </c>
      <c r="G15671" t="s">
        <v>4922</v>
      </c>
      <c r="H15671" s="12">
        <v>1.2986004208477699</v>
      </c>
      <c r="I15671" s="20">
        <v>1.06051786950129</v>
      </c>
      <c r="J15671" s="28">
        <v>0.28890906482137502</v>
      </c>
      <c r="K15671" s="29">
        <v>0.98289565623980701</v>
      </c>
    </row>
    <row r="15672" spans="1:11" x14ac:dyDescent="0.35">
      <c r="A15672" s="9" t="str">
        <f>HYPERLINK("http://www.ensembl.org/id/WBGene00011394", "WBGene00011394")</f>
        <v>WBGene00011394</v>
      </c>
      <c r="B15672" s="9" t="str">
        <f>HYPERLINK("http://www.ncbi.nlm.nih.gov/gene/180363", "180363")</f>
        <v>180363</v>
      </c>
      <c r="C15672" s="9"/>
      <c r="D15672" t="str">
        <f>"T03D8.7"</f>
        <v>T03D8.7</v>
      </c>
      <c r="F15672" t="s">
        <v>11</v>
      </c>
      <c r="H15672" s="12">
        <v>1.32057751254573</v>
      </c>
      <c r="I15672" s="20">
        <v>0.97530773914198499</v>
      </c>
      <c r="J15672" s="28">
        <v>0.32940763272272899</v>
      </c>
      <c r="K15672" s="29">
        <v>0.98289565623980701</v>
      </c>
    </row>
    <row r="15673" spans="1:11" x14ac:dyDescent="0.35">
      <c r="A15673" s="9" t="str">
        <f>HYPERLINK("http://www.ensembl.org/id/WBGene00235157", "WBGene00235157")</f>
        <v>WBGene00235157</v>
      </c>
      <c r="B15673" s="9"/>
      <c r="C15673" s="9"/>
      <c r="D15673" t="str">
        <f>"T03D8.8"</f>
        <v>T03D8.8</v>
      </c>
      <c r="F15673" t="s">
        <v>2735</v>
      </c>
      <c r="H15673" s="12">
        <v>18.858991404291999</v>
      </c>
      <c r="I15673" s="20">
        <v>1.0704631741114501</v>
      </c>
      <c r="J15673" s="28">
        <v>0.284410876501618</v>
      </c>
      <c r="K15673" s="29">
        <v>0.98289565623980701</v>
      </c>
    </row>
    <row r="15674" spans="1:11" x14ac:dyDescent="0.35">
      <c r="A15674" s="9" t="str">
        <f>HYPERLINK("http://www.ensembl.org/id/WBGene00011397", "WBGene00011397")</f>
        <v>WBGene00011397</v>
      </c>
      <c r="B15674" s="9" t="str">
        <f>HYPERLINK("http://www.ncbi.nlm.nih.gov/gene/180112", "180112")</f>
        <v>180112</v>
      </c>
      <c r="C15674" s="9"/>
      <c r="D15674" t="str">
        <f>"T03E6.8"</f>
        <v>T03E6.8</v>
      </c>
      <c r="F15674" t="s">
        <v>11</v>
      </c>
      <c r="G15674" t="s">
        <v>25</v>
      </c>
      <c r="H15674" s="12">
        <v>-1.5670688902010099</v>
      </c>
      <c r="I15674" s="20">
        <v>-1.0139089343928001</v>
      </c>
      <c r="J15674" s="28">
        <v>0.31062620777591998</v>
      </c>
      <c r="K15674" s="29">
        <v>0.98289565623980701</v>
      </c>
    </row>
    <row r="15675" spans="1:11" x14ac:dyDescent="0.35">
      <c r="A15675" s="9" t="str">
        <f>HYPERLINK("http://www.ensembl.org/id/WBGene00045356", "WBGene00045356")</f>
        <v>WBGene00045356</v>
      </c>
      <c r="B15675" s="9" t="str">
        <f>HYPERLINK("http://www.ncbi.nlm.nih.gov/gene/6418764", "6418764")</f>
        <v>6418764</v>
      </c>
      <c r="C15675" s="9"/>
      <c r="D15675" t="str">
        <f>"T03E6.9"</f>
        <v>T03E6.9</v>
      </c>
      <c r="F15675" t="s">
        <v>11</v>
      </c>
      <c r="G15675" t="s">
        <v>25</v>
      </c>
      <c r="H15675" s="12">
        <v>-2.4842426529500101</v>
      </c>
      <c r="I15675" s="20">
        <v>-0.66993049645022695</v>
      </c>
      <c r="J15675" s="28">
        <v>0.50290209794736196</v>
      </c>
      <c r="K15675" s="29">
        <v>0.98289565623980701</v>
      </c>
    </row>
    <row r="15676" spans="1:11" x14ac:dyDescent="0.35">
      <c r="A15676" s="9" t="str">
        <f>HYPERLINK("http://www.ensembl.org/id/WBGene00020188", "WBGene00020188")</f>
        <v>WBGene00020188</v>
      </c>
      <c r="B15676" s="9" t="str">
        <f>HYPERLINK("http://www.ncbi.nlm.nih.gov/gene/171961", "171961")</f>
        <v>171961</v>
      </c>
      <c r="C15676" s="9"/>
      <c r="D15676" t="str">
        <f>"T03F1.6"</f>
        <v>T03F1.6</v>
      </c>
      <c r="F15676" t="s">
        <v>11</v>
      </c>
      <c r="H15676" s="12">
        <v>1.2078297209100299</v>
      </c>
      <c r="I15676" s="20">
        <v>0.79042356293785399</v>
      </c>
      <c r="J15676" s="28">
        <v>0.42928044575842</v>
      </c>
      <c r="K15676" s="29">
        <v>0.98289565623980701</v>
      </c>
    </row>
    <row r="15677" spans="1:11" x14ac:dyDescent="0.35">
      <c r="A15677" s="9" t="str">
        <f>HYPERLINK("http://www.ensembl.org/id/WBGene00185005", "WBGene00185005")</f>
        <v>WBGene00185005</v>
      </c>
      <c r="B15677" s="9" t="str">
        <f>HYPERLINK("http://www.ncbi.nlm.nih.gov/gene/13191756", "13191756")</f>
        <v>13191756</v>
      </c>
      <c r="C15677" s="9"/>
      <c r="D15677" t="str">
        <f>"T03F6.10"</f>
        <v>T03F6.10</v>
      </c>
      <c r="F15677" t="s">
        <v>11</v>
      </c>
      <c r="H15677" s="12">
        <v>1.55613785215386</v>
      </c>
      <c r="I15677" s="20">
        <v>1.08775145894683</v>
      </c>
      <c r="J15677" s="28">
        <v>0.27670484379752502</v>
      </c>
      <c r="K15677" s="29">
        <v>0.98289565623980701</v>
      </c>
    </row>
    <row r="15678" spans="1:11" x14ac:dyDescent="0.35">
      <c r="A15678" s="9" t="str">
        <f>HYPERLINK("http://www.ensembl.org/id/WBGene00011401", "WBGene00011401")</f>
        <v>WBGene00011401</v>
      </c>
      <c r="B15678" s="9" t="str">
        <f>HYPERLINK("http://www.ncbi.nlm.nih.gov/gene/176759", "176759")</f>
        <v>176759</v>
      </c>
      <c r="C15678" s="9"/>
      <c r="D15678" t="str">
        <f>"T03F6.6"</f>
        <v>T03F6.6</v>
      </c>
      <c r="E15678" t="s">
        <v>296</v>
      </c>
      <c r="F15678" t="s">
        <v>11</v>
      </c>
      <c r="G15678" t="s">
        <v>25</v>
      </c>
      <c r="H15678" s="12">
        <v>1.2940054720754099</v>
      </c>
      <c r="I15678" s="20">
        <v>0.26694849266481502</v>
      </c>
      <c r="J15678" s="28">
        <v>0.78950881919180205</v>
      </c>
      <c r="K15678" s="29">
        <v>0.98289565623980701</v>
      </c>
    </row>
    <row r="15679" spans="1:11" x14ac:dyDescent="0.35">
      <c r="A15679" s="9" t="str">
        <f>HYPERLINK("http://www.ensembl.org/id/WBGene00045482", "WBGene00045482")</f>
        <v>WBGene00045482</v>
      </c>
      <c r="B15679" s="9" t="str">
        <f>HYPERLINK("http://www.ncbi.nlm.nih.gov/gene/6418656", "6418656")</f>
        <v>6418656</v>
      </c>
      <c r="C15679" s="9"/>
      <c r="D15679" t="str">
        <f>"T03F6.9"</f>
        <v>T03F6.9</v>
      </c>
      <c r="F15679" t="s">
        <v>11</v>
      </c>
      <c r="G15679" t="s">
        <v>25</v>
      </c>
      <c r="H15679" s="12">
        <v>2.24866414175498</v>
      </c>
      <c r="I15679" s="20">
        <v>0.84194576436605995</v>
      </c>
      <c r="J15679" s="28">
        <v>0.39981831228852299</v>
      </c>
      <c r="K15679" s="29">
        <v>0.98289565623980701</v>
      </c>
    </row>
    <row r="15680" spans="1:11" x14ac:dyDescent="0.35">
      <c r="A15680" s="9" t="str">
        <f>HYPERLINK("http://www.ensembl.org/id/WBGene00199371", "WBGene00199371")</f>
        <v>WBGene00199371</v>
      </c>
      <c r="B15680" s="9"/>
      <c r="C15680" s="9"/>
      <c r="D15680" t="str">
        <f>"T03F7.14"</f>
        <v>T03F7.14</v>
      </c>
      <c r="F15680" t="s">
        <v>481</v>
      </c>
      <c r="H15680" s="12">
        <v>18.675346917252099</v>
      </c>
      <c r="I15680" s="20">
        <v>1.0483735932338201</v>
      </c>
      <c r="J15680" s="28">
        <v>0.294466515011581</v>
      </c>
      <c r="K15680" s="29">
        <v>0.98289565623980701</v>
      </c>
    </row>
    <row r="15681" spans="1:11" x14ac:dyDescent="0.35">
      <c r="A15681" s="9" t="str">
        <f>HYPERLINK("http://www.ensembl.org/id/WBGene00011402", "WBGene00011402")</f>
        <v>WBGene00011402</v>
      </c>
      <c r="B15681" s="9" t="str">
        <f>HYPERLINK("http://www.ncbi.nlm.nih.gov/gene/188027", "188027")</f>
        <v>188027</v>
      </c>
      <c r="C15681" s="9"/>
      <c r="D15681" t="str">
        <f>"T03F7.5"</f>
        <v>T03F7.5</v>
      </c>
      <c r="F15681" t="s">
        <v>11</v>
      </c>
      <c r="G15681" t="s">
        <v>25</v>
      </c>
      <c r="H15681" s="12">
        <v>1.2885705066184701</v>
      </c>
      <c r="I15681" s="20">
        <v>0.25928053513570298</v>
      </c>
      <c r="J15681" s="28">
        <v>0.79541879672428795</v>
      </c>
      <c r="K15681" s="29">
        <v>0.98289565623980701</v>
      </c>
    </row>
    <row r="15682" spans="1:11" x14ac:dyDescent="0.35">
      <c r="A15682" s="9" t="str">
        <f>HYPERLINK("http://www.ensembl.org/id/WBGene00011403", "WBGene00011403")</f>
        <v>WBGene00011403</v>
      </c>
      <c r="B15682" s="9" t="str">
        <f>HYPERLINK("http://www.ncbi.nlm.nih.gov/gene/188028", "188028")</f>
        <v>188028</v>
      </c>
      <c r="C15682" s="9"/>
      <c r="D15682" t="str">
        <f>"T03F7.6"</f>
        <v>T03F7.6</v>
      </c>
      <c r="F15682" t="s">
        <v>11</v>
      </c>
      <c r="G15682" t="s">
        <v>25</v>
      </c>
      <c r="H15682" s="12">
        <v>3.2170737995415499</v>
      </c>
      <c r="I15682" s="20">
        <v>0.96954625106071102</v>
      </c>
      <c r="J15682" s="28">
        <v>0.33227271546612802</v>
      </c>
      <c r="K15682" s="29">
        <v>0.98289565623980701</v>
      </c>
    </row>
    <row r="15683" spans="1:11" x14ac:dyDescent="0.35">
      <c r="A15683" s="9" t="str">
        <f>HYPERLINK("http://www.ensembl.org/id/WBGene00044732", "WBGene00044732")</f>
        <v>WBGene00044732</v>
      </c>
      <c r="B15683" s="9" t="str">
        <f>HYPERLINK("http://www.ncbi.nlm.nih.gov/gene/4363129", "4363129")</f>
        <v>4363129</v>
      </c>
      <c r="C15683" s="9"/>
      <c r="D15683" t="str">
        <f>"T03G11.10"</f>
        <v>T03G11.10</v>
      </c>
      <c r="F15683" t="s">
        <v>11</v>
      </c>
      <c r="H15683" s="12">
        <v>2.3810773616874301</v>
      </c>
      <c r="I15683" s="20">
        <v>1.14257803894638</v>
      </c>
      <c r="J15683" s="28">
        <v>0.25321382787562002</v>
      </c>
      <c r="K15683" s="29">
        <v>0.98289565623980701</v>
      </c>
    </row>
    <row r="15684" spans="1:11" x14ac:dyDescent="0.35">
      <c r="A15684" s="9" t="str">
        <f>HYPERLINK("http://www.ensembl.org/id/WBGene00197582", "WBGene00197582")</f>
        <v>WBGene00197582</v>
      </c>
      <c r="B15684" s="9"/>
      <c r="C15684" s="9"/>
      <c r="D15684" t="str">
        <f>"T03G11.17"</f>
        <v>T03G11.17</v>
      </c>
      <c r="F15684" t="s">
        <v>481</v>
      </c>
      <c r="H15684" s="12">
        <v>2.3893468495514898</v>
      </c>
      <c r="I15684" s="20">
        <v>0.25323547253672701</v>
      </c>
      <c r="J15684" s="28">
        <v>0.80008625651646104</v>
      </c>
      <c r="K15684" s="29">
        <v>0.98289565623980701</v>
      </c>
    </row>
    <row r="15685" spans="1:11" x14ac:dyDescent="0.35">
      <c r="A15685" s="9" t="str">
        <f>HYPERLINK("http://www.ensembl.org/id/WBGene00044584", "WBGene00044584")</f>
        <v>WBGene00044584</v>
      </c>
      <c r="B15685" s="9" t="str">
        <f>HYPERLINK("http://www.ncbi.nlm.nih.gov/gene/3896874", "3896874")</f>
        <v>3896874</v>
      </c>
      <c r="C15685" s="9"/>
      <c r="D15685" t="str">
        <f>"T03G11.9"</f>
        <v>T03G11.9</v>
      </c>
      <c r="F15685" t="s">
        <v>11</v>
      </c>
      <c r="G15685" t="s">
        <v>25</v>
      </c>
      <c r="H15685" s="12">
        <v>-1.246024363978</v>
      </c>
      <c r="I15685" s="20">
        <v>-0.45564773919711798</v>
      </c>
      <c r="J15685" s="28">
        <v>0.64864330815847804</v>
      </c>
      <c r="K15685" s="29">
        <v>0.98289565623980701</v>
      </c>
    </row>
    <row r="15686" spans="1:11" x14ac:dyDescent="0.35">
      <c r="A15686" s="9" t="str">
        <f>HYPERLINK("http://www.ensembl.org/id/WBGene00020195", "WBGene00020195")</f>
        <v>WBGene00020195</v>
      </c>
      <c r="B15686" s="9" t="str">
        <f>HYPERLINK("http://www.ncbi.nlm.nih.gov/gene/180561", "180561")</f>
        <v>180561</v>
      </c>
      <c r="C15686" s="9" t="str">
        <f>HYPERLINK("http://www.ncbi.nlm.nih.gov/gene/133121", "133121")</f>
        <v>133121</v>
      </c>
      <c r="D15686" t="str">
        <f>"T03G6.3"</f>
        <v>T03G6.3</v>
      </c>
      <c r="F15686" t="s">
        <v>11</v>
      </c>
      <c r="G15686" t="s">
        <v>7140</v>
      </c>
      <c r="H15686" s="12">
        <v>-1.10980494176585</v>
      </c>
      <c r="I15686" s="20">
        <v>-0.51462010899559296</v>
      </c>
      <c r="J15686" s="28">
        <v>0.60681851031031198</v>
      </c>
      <c r="K15686" s="29">
        <v>0.98289565623980701</v>
      </c>
    </row>
    <row r="15687" spans="1:11" x14ac:dyDescent="0.35">
      <c r="A15687" s="9" t="str">
        <f>HYPERLINK("http://www.ensembl.org/id/WBGene00195821", "WBGene00195821")</f>
        <v>WBGene00195821</v>
      </c>
      <c r="B15687" s="9"/>
      <c r="C15687" s="9"/>
      <c r="D15687" t="str">
        <f>"T03G6.4"</f>
        <v>T03G6.4</v>
      </c>
      <c r="F15687" t="s">
        <v>481</v>
      </c>
      <c r="H15687" s="12">
        <v>2.3893468495514898</v>
      </c>
      <c r="I15687" s="20">
        <v>0.25323547253672701</v>
      </c>
      <c r="J15687" s="28">
        <v>0.80008625651646104</v>
      </c>
      <c r="K15687" s="29">
        <v>0.98289565623980701</v>
      </c>
    </row>
    <row r="15688" spans="1:11" x14ac:dyDescent="0.35">
      <c r="A15688" s="9" t="str">
        <f>HYPERLINK("http://www.ensembl.org/id/WBGene00011420", "WBGene00011420")</f>
        <v>WBGene00011420</v>
      </c>
      <c r="B15688" s="9" t="str">
        <f>HYPERLINK("http://www.ncbi.nlm.nih.gov/gene/178200", "178200")</f>
        <v>178200</v>
      </c>
      <c r="C15688" s="9" t="str">
        <f>HYPERLINK("http://www.ncbi.nlm.nih.gov/gene/64081", "64081")</f>
        <v>64081</v>
      </c>
      <c r="D15688" t="str">
        <f>"T04A11.5"</f>
        <v>T04A11.5</v>
      </c>
      <c r="F15688" t="s">
        <v>11</v>
      </c>
      <c r="G15688" t="s">
        <v>4406</v>
      </c>
      <c r="H15688" s="12">
        <v>2.3893468495514898</v>
      </c>
      <c r="I15688" s="20">
        <v>0.25323547253672701</v>
      </c>
      <c r="J15688" s="28">
        <v>0.80008625651646104</v>
      </c>
      <c r="K15688" s="29">
        <v>0.98289565623980701</v>
      </c>
    </row>
    <row r="15689" spans="1:11" x14ac:dyDescent="0.35">
      <c r="A15689" s="9" t="str">
        <f>HYPERLINK("http://www.ensembl.org/id/WBGene00194734", "WBGene00194734")</f>
        <v>WBGene00194734</v>
      </c>
      <c r="B15689" s="9" t="str">
        <f>HYPERLINK("http://www.ncbi.nlm.nih.gov/gene/13190196", "13190196")</f>
        <v>13190196</v>
      </c>
      <c r="C15689" s="9"/>
      <c r="D15689" t="str">
        <f>"T04A6.4"</f>
        <v>T04A6.4</v>
      </c>
      <c r="F15689" t="s">
        <v>11</v>
      </c>
      <c r="H15689" s="12">
        <v>3.7165373285515599</v>
      </c>
      <c r="I15689" s="20">
        <v>0.73760900704670296</v>
      </c>
      <c r="J15689" s="28">
        <v>0.460752080460201</v>
      </c>
      <c r="K15689" s="29">
        <v>0.98289565623980701</v>
      </c>
    </row>
    <row r="15690" spans="1:11" x14ac:dyDescent="0.35">
      <c r="A15690" s="9" t="str">
        <f>HYPERLINK("http://www.ensembl.org/id/WBGene00011414", "WBGene00011414")</f>
        <v>WBGene00011414</v>
      </c>
      <c r="B15690" s="9" t="str">
        <f>HYPERLINK("http://www.ncbi.nlm.nih.gov/gene/175619", "175619")</f>
        <v>175619</v>
      </c>
      <c r="C15690" s="9"/>
      <c r="D15690" t="str">
        <f>"T04A8.13"</f>
        <v>T04A8.13</v>
      </c>
      <c r="F15690" t="s">
        <v>11</v>
      </c>
      <c r="H15690" s="12">
        <v>2.3307324205288502</v>
      </c>
      <c r="I15690" s="20">
        <v>0.67953048539247196</v>
      </c>
      <c r="J15690" s="28">
        <v>0.49680179834876398</v>
      </c>
      <c r="K15690" s="29">
        <v>0.98289565623980701</v>
      </c>
    </row>
    <row r="15691" spans="1:11" x14ac:dyDescent="0.35">
      <c r="A15691" s="9" t="str">
        <f>HYPERLINK("http://www.ensembl.org/id/WBGene00119203", "WBGene00119203")</f>
        <v>WBGene00119203</v>
      </c>
      <c r="B15691" s="9" t="str">
        <f>HYPERLINK("http://www.ncbi.nlm.nih.gov/gene/7040191", "7040191")</f>
        <v>7040191</v>
      </c>
      <c r="C15691" s="9"/>
      <c r="D15691" t="str">
        <f>"T04A8.18"</f>
        <v>T04A8.18</v>
      </c>
      <c r="F15691" t="s">
        <v>11</v>
      </c>
      <c r="G15691" t="s">
        <v>54</v>
      </c>
      <c r="H15691" s="12">
        <v>1.2733783509244201</v>
      </c>
      <c r="I15691" s="20">
        <v>0.98854017667932104</v>
      </c>
      <c r="J15691" s="28">
        <v>0.32288816809187298</v>
      </c>
      <c r="K15691" s="29">
        <v>0.98289565623980701</v>
      </c>
    </row>
    <row r="15692" spans="1:11" x14ac:dyDescent="0.35">
      <c r="A15692" s="9" t="str">
        <f>HYPERLINK("http://www.ensembl.org/id/WBGene00011422", "WBGene00011422")</f>
        <v>WBGene00011422</v>
      </c>
      <c r="B15692" s="9" t="str">
        <f>HYPERLINK("http://www.ncbi.nlm.nih.gov/gene/177868", "177868")</f>
        <v>177868</v>
      </c>
      <c r="C15692" s="9"/>
      <c r="D15692" t="str">
        <f>"T04B2.3"</f>
        <v>T04B2.3</v>
      </c>
      <c r="F15692" t="s">
        <v>11</v>
      </c>
      <c r="H15692" s="12">
        <v>1.0764564399271499</v>
      </c>
      <c r="I15692" s="20">
        <v>0.25431147468229798</v>
      </c>
      <c r="J15692" s="28">
        <v>0.79925493564352401</v>
      </c>
      <c r="K15692" s="29">
        <v>0.98289565623980701</v>
      </c>
    </row>
    <row r="15693" spans="1:11" x14ac:dyDescent="0.35">
      <c r="A15693" s="9" t="str">
        <f>HYPERLINK("http://www.ensembl.org/id/WBGene00011425", "WBGene00011425")</f>
        <v>WBGene00011425</v>
      </c>
      <c r="B15693" s="9" t="str">
        <f>HYPERLINK("http://www.ncbi.nlm.nih.gov/gene/353431", "353431")</f>
        <v>353431</v>
      </c>
      <c r="C15693" s="9"/>
      <c r="D15693" t="str">
        <f>"T04B2.7"</f>
        <v>T04B2.7</v>
      </c>
      <c r="F15693" t="s">
        <v>11</v>
      </c>
      <c r="H15693" s="12">
        <v>1.1471194459006899</v>
      </c>
      <c r="I15693" s="20">
        <v>0.43928955472642001</v>
      </c>
      <c r="J15693" s="28">
        <v>0.660451741741236</v>
      </c>
      <c r="K15693" s="29">
        <v>0.98289565623980701</v>
      </c>
    </row>
    <row r="15694" spans="1:11" x14ac:dyDescent="0.35">
      <c r="A15694" s="9" t="str">
        <f>HYPERLINK("http://www.ensembl.org/id/WBGene00020203", "WBGene00020203")</f>
        <v>WBGene00020203</v>
      </c>
      <c r="B15694" s="9" t="str">
        <f>HYPERLINK("http://www.ncbi.nlm.nih.gov/gene/188052", "188052")</f>
        <v>188052</v>
      </c>
      <c r="C15694" s="9"/>
      <c r="D15694" t="str">
        <f>"T04B8.1"</f>
        <v>T04B8.1</v>
      </c>
      <c r="F15694" t="s">
        <v>11</v>
      </c>
      <c r="H15694" s="12">
        <v>2.3893468495514898</v>
      </c>
      <c r="I15694" s="20">
        <v>0.25323547253672701</v>
      </c>
      <c r="J15694" s="28">
        <v>0.80008625651646104</v>
      </c>
      <c r="K15694" s="29">
        <v>0.98289565623980701</v>
      </c>
    </row>
    <row r="15695" spans="1:11" x14ac:dyDescent="0.35">
      <c r="A15695" s="9" t="str">
        <f>HYPERLINK("http://www.ensembl.org/id/WBGene00020204", "WBGene00020204")</f>
        <v>WBGene00020204</v>
      </c>
      <c r="B15695" s="9"/>
      <c r="C15695" s="9"/>
      <c r="D15695" t="str">
        <f>"T04B8.2"</f>
        <v>T04B8.2</v>
      </c>
      <c r="F15695" t="s">
        <v>80</v>
      </c>
      <c r="H15695" s="12">
        <v>1.9809463919430299</v>
      </c>
      <c r="I15695" s="20">
        <v>1.12461114592235</v>
      </c>
      <c r="J15695" s="28">
        <v>0.26075384851206101</v>
      </c>
      <c r="K15695" s="29">
        <v>0.98289565623980701</v>
      </c>
    </row>
    <row r="15696" spans="1:11" x14ac:dyDescent="0.35">
      <c r="A15696" s="9" t="str">
        <f>HYPERLINK("http://www.ensembl.org/id/WBGene00268209", "WBGene00268209")</f>
        <v>WBGene00268209</v>
      </c>
      <c r="B15696" s="9"/>
      <c r="C15696" s="9"/>
      <c r="D15696" t="str">
        <f>"T04B8.6"</f>
        <v>T04B8.6</v>
      </c>
      <c r="F15696" t="s">
        <v>80</v>
      </c>
      <c r="H15696" s="12">
        <v>1.2755455077056099</v>
      </c>
      <c r="I15696" s="20">
        <v>0.38665672010672097</v>
      </c>
      <c r="J15696" s="28">
        <v>0.69901036101241099</v>
      </c>
      <c r="K15696" s="29">
        <v>0.98289565623980701</v>
      </c>
    </row>
    <row r="15697" spans="1:11" x14ac:dyDescent="0.35">
      <c r="A15697" s="9" t="str">
        <f>HYPERLINK("http://www.ensembl.org/id/WBGene00011426", "WBGene00011426")</f>
        <v>WBGene00011426</v>
      </c>
      <c r="B15697" s="9" t="str">
        <f>HYPERLINK("http://www.ncbi.nlm.nih.gov/gene/188056", "188056")</f>
        <v>188056</v>
      </c>
      <c r="C15697" s="9"/>
      <c r="D15697" t="str">
        <f>"T04C10.3"</f>
        <v>T04C10.3</v>
      </c>
      <c r="F15697" t="s">
        <v>11</v>
      </c>
      <c r="H15697" s="12">
        <v>3.9468329533180002</v>
      </c>
      <c r="I15697" s="20">
        <v>0.84209589467568202</v>
      </c>
      <c r="J15697" s="28">
        <v>0.39973427902151998</v>
      </c>
      <c r="K15697" s="29">
        <v>0.98289565623980701</v>
      </c>
    </row>
    <row r="15698" spans="1:11" x14ac:dyDescent="0.35">
      <c r="A15698" s="9" t="str">
        <f>HYPERLINK("http://www.ensembl.org/id/WBGene00197461", "WBGene00197461")</f>
        <v>WBGene00197461</v>
      </c>
      <c r="B15698" s="9"/>
      <c r="C15698" s="9"/>
      <c r="D15698" t="str">
        <f>"T04C10.8"</f>
        <v>T04C10.8</v>
      </c>
      <c r="F15698" t="s">
        <v>481</v>
      </c>
      <c r="H15698" s="12">
        <v>4.6387698961716399</v>
      </c>
      <c r="I15698" s="20">
        <v>0.44985450087338802</v>
      </c>
      <c r="J15698" s="28">
        <v>0.65281535672642099</v>
      </c>
      <c r="K15698" s="29">
        <v>0.98289565623980701</v>
      </c>
    </row>
    <row r="15699" spans="1:11" x14ac:dyDescent="0.35">
      <c r="A15699" s="9" t="str">
        <f>HYPERLINK("http://www.ensembl.org/id/WBGene00197935", "WBGene00197935")</f>
        <v>WBGene00197935</v>
      </c>
      <c r="B15699" s="9"/>
      <c r="C15699" s="9"/>
      <c r="D15699" t="str">
        <f>"T04C10.9"</f>
        <v>T04C10.9</v>
      </c>
      <c r="F15699" t="s">
        <v>481</v>
      </c>
      <c r="H15699" s="12">
        <v>2.3893468495514898</v>
      </c>
      <c r="I15699" s="20">
        <v>0.25323547253672701</v>
      </c>
      <c r="J15699" s="28">
        <v>0.80008625651646104</v>
      </c>
      <c r="K15699" s="29">
        <v>0.98289565623980701</v>
      </c>
    </row>
    <row r="15700" spans="1:11" x14ac:dyDescent="0.35">
      <c r="A15700" s="9" t="str">
        <f>HYPERLINK("http://www.ensembl.org/id/WBGene00077693", "WBGene00077693")</f>
        <v>WBGene00077693</v>
      </c>
      <c r="B15700" s="9" t="str">
        <f>HYPERLINK("http://www.ncbi.nlm.nih.gov/gene/13215068", "13215068")</f>
        <v>13215068</v>
      </c>
      <c r="C15700" s="9"/>
      <c r="D15700" t="str">
        <f>"T04C12.11"</f>
        <v>T04C12.11</v>
      </c>
      <c r="F15700" t="s">
        <v>11</v>
      </c>
      <c r="G15700" t="s">
        <v>25</v>
      </c>
      <c r="H15700" s="12">
        <v>1.0540472701143999</v>
      </c>
      <c r="I15700" s="20">
        <v>0.26002862996901499</v>
      </c>
      <c r="J15700" s="28">
        <v>0.79484168947285705</v>
      </c>
      <c r="K15700" s="29">
        <v>0.98289565623980701</v>
      </c>
    </row>
    <row r="15701" spans="1:11" x14ac:dyDescent="0.35">
      <c r="A15701" s="9" t="str">
        <f>HYPERLINK("http://www.ensembl.org/id/WBGene00196034", "WBGene00196034")</f>
        <v>WBGene00196034</v>
      </c>
      <c r="B15701" s="9"/>
      <c r="C15701" s="9"/>
      <c r="D15701" t="str">
        <f>"T04C12.16"</f>
        <v>T04C12.16</v>
      </c>
      <c r="F15701" t="s">
        <v>481</v>
      </c>
      <c r="H15701" s="12">
        <v>2.7597030030776</v>
      </c>
      <c r="I15701" s="20">
        <v>0.53453279272910503</v>
      </c>
      <c r="J15701" s="28">
        <v>0.59297296769280805</v>
      </c>
      <c r="K15701" s="29">
        <v>0.98289565623980701</v>
      </c>
    </row>
    <row r="15702" spans="1:11" x14ac:dyDescent="0.35">
      <c r="A15702" s="9" t="str">
        <f>HYPERLINK("http://www.ensembl.org/id/WBGene00196257", "WBGene00196257")</f>
        <v>WBGene00196257</v>
      </c>
      <c r="B15702" s="9"/>
      <c r="C15702" s="9"/>
      <c r="D15702" t="str">
        <f>"T04C12.17"</f>
        <v>T04C12.17</v>
      </c>
      <c r="F15702" t="s">
        <v>481</v>
      </c>
      <c r="H15702" s="12">
        <v>2.4578120077400301</v>
      </c>
      <c r="I15702" s="20">
        <v>0.26093350314551</v>
      </c>
      <c r="J15702" s="28">
        <v>0.79414378780213601</v>
      </c>
      <c r="K15702" s="29">
        <v>0.98289565623980701</v>
      </c>
    </row>
    <row r="15703" spans="1:11" x14ac:dyDescent="0.35">
      <c r="A15703" s="9" t="str">
        <f>HYPERLINK("http://www.ensembl.org/id/WBGene00196709", "WBGene00196709")</f>
        <v>WBGene00196709</v>
      </c>
      <c r="B15703" s="9"/>
      <c r="C15703" s="9"/>
      <c r="D15703" t="str">
        <f>"T04C12.18"</f>
        <v>T04C12.18</v>
      </c>
      <c r="F15703" t="s">
        <v>481</v>
      </c>
      <c r="H15703" s="12">
        <v>1.76801790863591</v>
      </c>
      <c r="I15703" s="20">
        <v>0.58856626559366798</v>
      </c>
      <c r="J15703" s="28">
        <v>0.55615226923398098</v>
      </c>
      <c r="K15703" s="29">
        <v>0.98289565623980701</v>
      </c>
    </row>
    <row r="15704" spans="1:11" x14ac:dyDescent="0.35">
      <c r="A15704" s="9" t="str">
        <f>HYPERLINK("http://www.ensembl.org/id/WBGene00200025", "WBGene00200025")</f>
        <v>WBGene00200025</v>
      </c>
      <c r="B15704" s="9"/>
      <c r="C15704" s="9"/>
      <c r="D15704" t="str">
        <f>"T04C12.26"</f>
        <v>T04C12.26</v>
      </c>
      <c r="F15704" t="s">
        <v>481</v>
      </c>
      <c r="H15704" s="12">
        <v>-3.5819448292659501</v>
      </c>
      <c r="I15704" s="20">
        <v>-0.37337717500031398</v>
      </c>
      <c r="J15704" s="28">
        <v>0.70886774492290605</v>
      </c>
      <c r="K15704" s="29">
        <v>0.98289565623980701</v>
      </c>
    </row>
    <row r="15705" spans="1:11" x14ac:dyDescent="0.35">
      <c r="A15705" s="9" t="str">
        <f>HYPERLINK("http://www.ensembl.org/id/WBGene00200370", "WBGene00200370")</f>
        <v>WBGene00200370</v>
      </c>
      <c r="B15705" s="9"/>
      <c r="C15705" s="9"/>
      <c r="D15705" t="str">
        <f>"T04C12.27"</f>
        <v>T04C12.27</v>
      </c>
      <c r="F15705" t="s">
        <v>481</v>
      </c>
      <c r="H15705" s="12">
        <v>2.4578120077400301</v>
      </c>
      <c r="I15705" s="20">
        <v>0.26093350314551</v>
      </c>
      <c r="J15705" s="28">
        <v>0.79414378780213601</v>
      </c>
      <c r="K15705" s="29">
        <v>0.98289565623980701</v>
      </c>
    </row>
    <row r="15706" spans="1:11" x14ac:dyDescent="0.35">
      <c r="A15706" s="9" t="str">
        <f>HYPERLINK("http://www.ensembl.org/id/WBGene00201586", "WBGene00201586")</f>
        <v>WBGene00201586</v>
      </c>
      <c r="B15706" s="9"/>
      <c r="C15706" s="9"/>
      <c r="D15706" t="str">
        <f>"T04C12.30"</f>
        <v>T04C12.30</v>
      </c>
      <c r="F15706" t="s">
        <v>481</v>
      </c>
      <c r="H15706" s="12">
        <v>2.4578120077400301</v>
      </c>
      <c r="I15706" s="20">
        <v>0.26093350314551</v>
      </c>
      <c r="J15706" s="28">
        <v>0.79414378780213601</v>
      </c>
      <c r="K15706" s="29">
        <v>0.98289565623980701</v>
      </c>
    </row>
    <row r="15707" spans="1:11" x14ac:dyDescent="0.35">
      <c r="A15707" s="9" t="str">
        <f>HYPERLINK("http://www.ensembl.org/id/WBGene00235086", "WBGene00235086")</f>
        <v>WBGene00235086</v>
      </c>
      <c r="B15707" s="9"/>
      <c r="C15707" s="9"/>
      <c r="D15707" t="str">
        <f>"T04C12.32"</f>
        <v>T04C12.32</v>
      </c>
      <c r="F15707" t="s">
        <v>481</v>
      </c>
      <c r="H15707" s="12">
        <v>1.73060738582883</v>
      </c>
      <c r="I15707" s="20">
        <v>0.40786277438823498</v>
      </c>
      <c r="J15707" s="28">
        <v>0.68337442377470803</v>
      </c>
      <c r="K15707" s="29">
        <v>0.98289565623980701</v>
      </c>
    </row>
    <row r="15708" spans="1:11" x14ac:dyDescent="0.35">
      <c r="A15708" s="9" t="str">
        <f>HYPERLINK("http://www.ensembl.org/id/WBGene00271444", "WBGene00271444")</f>
        <v>WBGene00271444</v>
      </c>
      <c r="B15708" s="9" t="str">
        <f>HYPERLINK("http://www.ncbi.nlm.nih.gov/gene/30928523", "30928523")</f>
        <v>30928523</v>
      </c>
      <c r="C15708" s="9"/>
      <c r="D15708" t="str">
        <f>"T04C12.33"</f>
        <v>T04C12.33</v>
      </c>
      <c r="F15708" t="s">
        <v>11</v>
      </c>
      <c r="G15708" t="s">
        <v>25</v>
      </c>
      <c r="H15708" s="12">
        <v>1.8894822048995401</v>
      </c>
      <c r="I15708" s="20">
        <v>0.59441900504644796</v>
      </c>
      <c r="J15708" s="28">
        <v>0.55223190022320401</v>
      </c>
      <c r="K15708" s="29">
        <v>0.98289565623980701</v>
      </c>
    </row>
    <row r="15709" spans="1:11" x14ac:dyDescent="0.35">
      <c r="A15709" s="9" t="str">
        <f>HYPERLINK("http://www.ensembl.org/id/WBGene00011430", "WBGene00011430")</f>
        <v>WBGene00011430</v>
      </c>
      <c r="B15709" s="9" t="str">
        <f>HYPERLINK("http://www.ncbi.nlm.nih.gov/gene/3565327", "3565327")</f>
        <v>3565327</v>
      </c>
      <c r="C15709" s="9"/>
      <c r="D15709" t="str">
        <f>"T04C12.8"</f>
        <v>T04C12.8</v>
      </c>
      <c r="F15709" t="s">
        <v>11</v>
      </c>
      <c r="G15709" t="s">
        <v>25</v>
      </c>
      <c r="H15709" s="12">
        <v>-1.15282008342299</v>
      </c>
      <c r="I15709" s="20">
        <v>-0.40904318712479998</v>
      </c>
      <c r="J15709" s="28">
        <v>0.68250796796149704</v>
      </c>
      <c r="K15709" s="29">
        <v>0.98289565623980701</v>
      </c>
    </row>
    <row r="15710" spans="1:11" x14ac:dyDescent="0.35">
      <c r="A15710" s="9" t="str">
        <f>HYPERLINK("http://www.ensembl.org/id/WBGene00050889", "WBGene00050889")</f>
        <v>WBGene00050889</v>
      </c>
      <c r="B15710" s="9" t="str">
        <f>HYPERLINK("http://www.ncbi.nlm.nih.gov/gene/6418765", "6418765")</f>
        <v>6418765</v>
      </c>
      <c r="C15710" s="9"/>
      <c r="D15710" t="str">
        <f>"T04C12.9"</f>
        <v>T04C12.9</v>
      </c>
      <c r="F15710" t="s">
        <v>11</v>
      </c>
      <c r="G15710" t="s">
        <v>25</v>
      </c>
      <c r="H15710" s="12">
        <v>1.8170758199974799</v>
      </c>
      <c r="I15710" s="20">
        <v>0.40915180524151101</v>
      </c>
      <c r="J15710" s="28">
        <v>0.68242826023862402</v>
      </c>
      <c r="K15710" s="29">
        <v>0.98289565623980701</v>
      </c>
    </row>
    <row r="15711" spans="1:11" x14ac:dyDescent="0.35">
      <c r="A15711" s="9" t="str">
        <f>HYPERLINK("http://www.ensembl.org/id/WBGene00020208", "WBGene00020208")</f>
        <v>WBGene00020208</v>
      </c>
      <c r="B15711" s="9" t="str">
        <f>HYPERLINK("http://www.ncbi.nlm.nih.gov/gene/177012", "177012")</f>
        <v>177012</v>
      </c>
      <c r="C15711" s="9"/>
      <c r="D15711" t="str">
        <f>"T04C4.1"</f>
        <v>T04C4.1</v>
      </c>
      <c r="F15711" t="s">
        <v>11</v>
      </c>
      <c r="G15711" t="s">
        <v>9350</v>
      </c>
      <c r="H15711" s="12">
        <v>-1.24018614173857</v>
      </c>
      <c r="I15711" s="20">
        <v>-1.15623721954214</v>
      </c>
      <c r="J15711" s="28">
        <v>0.24758413966075801</v>
      </c>
      <c r="K15711" s="29">
        <v>0.98289565623980701</v>
      </c>
    </row>
    <row r="15712" spans="1:11" x14ac:dyDescent="0.35">
      <c r="A15712" s="9" t="str">
        <f>HYPERLINK("http://www.ensembl.org/id/WBGene00235277", "WBGene00235277")</f>
        <v>WBGene00235277</v>
      </c>
      <c r="B15712" s="9" t="str">
        <f>HYPERLINK("http://www.ncbi.nlm.nih.gov/gene/24104846", "24104846")</f>
        <v>24104846</v>
      </c>
      <c r="C15712" s="9"/>
      <c r="D15712" t="str">
        <f>"T04C4.3"</f>
        <v>T04C4.3</v>
      </c>
      <c r="F15712" t="s">
        <v>11</v>
      </c>
      <c r="H15712" s="12">
        <v>-1.53065630792517</v>
      </c>
      <c r="I15712" s="20">
        <v>-0.47610598302103302</v>
      </c>
      <c r="J15712" s="28">
        <v>0.63399887475708006</v>
      </c>
      <c r="K15712" s="29">
        <v>0.98289565623980701</v>
      </c>
    </row>
    <row r="15713" spans="1:11" x14ac:dyDescent="0.35">
      <c r="A15713" s="9" t="str">
        <f>HYPERLINK("http://www.ensembl.org/id/WBGene00199937", "WBGene00199937")</f>
        <v>WBGene00199937</v>
      </c>
      <c r="B15713" s="9"/>
      <c r="C15713" s="9"/>
      <c r="D15713" t="str">
        <f>"T04C9.10"</f>
        <v>T04C9.10</v>
      </c>
      <c r="F15713" t="s">
        <v>481</v>
      </c>
      <c r="H15713" s="12">
        <v>1.5227980969909101</v>
      </c>
      <c r="I15713" s="20">
        <v>0.41043914741878801</v>
      </c>
      <c r="J15713" s="28">
        <v>0.68148383411356594</v>
      </c>
      <c r="K15713" s="29">
        <v>0.98289565623980701</v>
      </c>
    </row>
    <row r="15714" spans="1:11" x14ac:dyDescent="0.35">
      <c r="A15714" s="9" t="str">
        <f>HYPERLINK("http://www.ensembl.org/id/WBGene00201956", "WBGene00201956")</f>
        <v>WBGene00201956</v>
      </c>
      <c r="B15714" s="9"/>
      <c r="C15714" s="9"/>
      <c r="D15714" t="str">
        <f>"T04C9.12"</f>
        <v>T04C9.12</v>
      </c>
      <c r="F15714" t="s">
        <v>481</v>
      </c>
      <c r="H15714" s="12">
        <v>-3.5819448292659501</v>
      </c>
      <c r="I15714" s="20">
        <v>-0.37337717500031398</v>
      </c>
      <c r="J15714" s="28">
        <v>0.70886774492290605</v>
      </c>
      <c r="K15714" s="29">
        <v>0.98289565623980701</v>
      </c>
    </row>
    <row r="15715" spans="1:11" x14ac:dyDescent="0.35">
      <c r="A15715" s="9" t="str">
        <f>HYPERLINK("http://www.ensembl.org/id/WBGene00220057", "WBGene00220057")</f>
        <v>WBGene00220057</v>
      </c>
      <c r="B15715" s="9"/>
      <c r="C15715" s="9"/>
      <c r="D15715" t="str">
        <f>"T04C9.13"</f>
        <v>T04C9.13</v>
      </c>
      <c r="F15715" t="s">
        <v>481</v>
      </c>
      <c r="H15715" s="12">
        <v>5.2322000618327396</v>
      </c>
      <c r="I15715" s="20">
        <v>0.486112489888328</v>
      </c>
      <c r="J15715" s="28">
        <v>0.62688741196182496</v>
      </c>
      <c r="K15715" s="29">
        <v>0.98289565623980701</v>
      </c>
    </row>
    <row r="15716" spans="1:11" x14ac:dyDescent="0.35">
      <c r="A15716" s="9" t="str">
        <f>HYPERLINK("http://www.ensembl.org/id/WBGene00198737", "WBGene00198737")</f>
        <v>WBGene00198737</v>
      </c>
      <c r="B15716" s="9"/>
      <c r="C15716" s="9"/>
      <c r="D15716" t="str">
        <f>"T04C9.8"</f>
        <v>T04C9.8</v>
      </c>
      <c r="F15716" t="s">
        <v>481</v>
      </c>
      <c r="H15716" s="12">
        <v>2.4578120077400301</v>
      </c>
      <c r="I15716" s="20">
        <v>0.26093350314551</v>
      </c>
      <c r="J15716" s="28">
        <v>0.79414378780213601</v>
      </c>
      <c r="K15716" s="29">
        <v>0.98289565623980701</v>
      </c>
    </row>
    <row r="15717" spans="1:11" x14ac:dyDescent="0.35">
      <c r="A15717" s="9" t="str">
        <f>HYPERLINK("http://www.ensembl.org/id/WBGene00198928", "WBGene00198928")</f>
        <v>WBGene00198928</v>
      </c>
      <c r="B15717" s="9"/>
      <c r="C15717" s="9"/>
      <c r="D15717" t="str">
        <f>"T04C9.9"</f>
        <v>T04C9.9</v>
      </c>
      <c r="F15717" t="s">
        <v>481</v>
      </c>
      <c r="H15717" s="12">
        <v>3.5227018545059199</v>
      </c>
      <c r="I15717" s="20">
        <v>0.36849691206929103</v>
      </c>
      <c r="J15717" s="28">
        <v>0.71250274722433404</v>
      </c>
      <c r="K15717" s="29">
        <v>0.98289565623980701</v>
      </c>
    </row>
    <row r="15718" spans="1:11" x14ac:dyDescent="0.35">
      <c r="A15718" s="9" t="str">
        <f>HYPERLINK("http://www.ensembl.org/id/WBGene00020212", "WBGene00020212")</f>
        <v>WBGene00020212</v>
      </c>
      <c r="B15718" s="9" t="str">
        <f>HYPERLINK("http://www.ncbi.nlm.nih.gov/gene/188058", "188058")</f>
        <v>188058</v>
      </c>
      <c r="C15718" s="9"/>
      <c r="D15718" t="str">
        <f>"T04D1.2"</f>
        <v>T04D1.2</v>
      </c>
      <c r="F15718" t="s">
        <v>11</v>
      </c>
      <c r="G15718" t="s">
        <v>54</v>
      </c>
      <c r="H15718" s="12">
        <v>1.4005624291233201</v>
      </c>
      <c r="I15718" s="20">
        <v>0.78221288296726899</v>
      </c>
      <c r="J15718" s="28">
        <v>0.43408947452240998</v>
      </c>
      <c r="K15718" s="29">
        <v>0.98289565623980701</v>
      </c>
    </row>
    <row r="15719" spans="1:11" x14ac:dyDescent="0.35">
      <c r="A15719" s="9" t="str">
        <f>HYPERLINK("http://www.ensembl.org/id/WBGene00011434", "WBGene00011434")</f>
        <v>WBGene00011434</v>
      </c>
      <c r="B15719" s="9" t="str">
        <f>HYPERLINK("http://www.ncbi.nlm.nih.gov/gene/173201", "173201")</f>
        <v>173201</v>
      </c>
      <c r="C15719" s="9"/>
      <c r="D15719" t="str">
        <f>"T04D3.5"</f>
        <v>T04D3.5</v>
      </c>
      <c r="F15719" t="s">
        <v>11</v>
      </c>
      <c r="H15719" s="12">
        <v>-1.21851265338384</v>
      </c>
      <c r="I15719" s="20">
        <v>-0.79864961997301998</v>
      </c>
      <c r="J15719" s="28">
        <v>0.42449360706282102</v>
      </c>
      <c r="K15719" s="29">
        <v>0.98289565623980701</v>
      </c>
    </row>
    <row r="15720" spans="1:11" x14ac:dyDescent="0.35">
      <c r="A15720" s="9" t="str">
        <f>HYPERLINK("http://www.ensembl.org/id/WBGene00014500", "WBGene00014500")</f>
        <v>WBGene00014500</v>
      </c>
      <c r="B15720" s="9"/>
      <c r="C15720" s="9"/>
      <c r="D15720" t="str">
        <f>"T04D3.t1"</f>
        <v>T04D3.t1</v>
      </c>
      <c r="F15720" t="s">
        <v>4208</v>
      </c>
      <c r="H15720" s="12">
        <v>-4.0507796894090404</v>
      </c>
      <c r="I15720" s="20">
        <v>-0.473517207271621</v>
      </c>
      <c r="J15720" s="28">
        <v>0.63584422757043702</v>
      </c>
      <c r="K15720" s="29">
        <v>0.98289565623980701</v>
      </c>
    </row>
    <row r="15721" spans="1:11" x14ac:dyDescent="0.35">
      <c r="A15721" s="9" t="str">
        <f>HYPERLINK("http://www.ensembl.org/id/WBGene00195844", "WBGene00195844")</f>
        <v>WBGene00195844</v>
      </c>
      <c r="B15721" s="9"/>
      <c r="C15721" s="9"/>
      <c r="D15721" t="str">
        <f>"T04F3.6"</f>
        <v>T04F3.6</v>
      </c>
      <c r="F15721" t="s">
        <v>481</v>
      </c>
      <c r="H15721" s="12">
        <v>-7.7904337984490803</v>
      </c>
      <c r="I15721" s="20">
        <v>-0.60901310058451197</v>
      </c>
      <c r="J15721" s="28">
        <v>0.54251575542982</v>
      </c>
      <c r="K15721" s="29">
        <v>0.98289565623980701</v>
      </c>
    </row>
    <row r="15722" spans="1:11" x14ac:dyDescent="0.35">
      <c r="A15722" s="9" t="str">
        <f>HYPERLINK("http://www.ensembl.org/id/WBGene00197158", "WBGene00197158")</f>
        <v>WBGene00197158</v>
      </c>
      <c r="B15722" s="9"/>
      <c r="C15722" s="9"/>
      <c r="D15722" t="str">
        <f>"T04F8.12"</f>
        <v>T04F8.12</v>
      </c>
      <c r="F15722" t="s">
        <v>481</v>
      </c>
      <c r="H15722" s="12">
        <v>2.3893468495514898</v>
      </c>
      <c r="I15722" s="20">
        <v>0.25323547253672701</v>
      </c>
      <c r="J15722" s="28">
        <v>0.80008625651646104</v>
      </c>
      <c r="K15722" s="29">
        <v>0.98289565623980701</v>
      </c>
    </row>
    <row r="15723" spans="1:11" x14ac:dyDescent="0.35">
      <c r="A15723" s="9" t="str">
        <f>HYPERLINK("http://www.ensembl.org/id/WBGene00011441", "WBGene00011441")</f>
        <v>WBGene00011441</v>
      </c>
      <c r="B15723" s="9" t="str">
        <f>HYPERLINK("http://www.ncbi.nlm.nih.gov/gene/181352", "181352")</f>
        <v>181352</v>
      </c>
      <c r="C15723" s="9"/>
      <c r="D15723" t="str">
        <f>"T04F8.2"</f>
        <v>T04F8.2</v>
      </c>
      <c r="F15723" t="s">
        <v>11</v>
      </c>
      <c r="G15723" t="s">
        <v>5721</v>
      </c>
      <c r="H15723" s="12">
        <v>1.1156698148581701</v>
      </c>
      <c r="I15723" s="20">
        <v>0.55595097015804795</v>
      </c>
      <c r="J15723" s="28">
        <v>0.57824437279928698</v>
      </c>
      <c r="K15723" s="29">
        <v>0.98289565623980701</v>
      </c>
    </row>
    <row r="15724" spans="1:11" x14ac:dyDescent="0.35">
      <c r="A15724" s="9" t="str">
        <f>HYPERLINK("http://www.ensembl.org/id/WBGene00011442", "WBGene00011442")</f>
        <v>WBGene00011442</v>
      </c>
      <c r="B15724" s="9" t="str">
        <f>HYPERLINK("http://www.ncbi.nlm.nih.gov/gene/188065", "188065")</f>
        <v>188065</v>
      </c>
      <c r="C15724" s="9"/>
      <c r="D15724" t="str">
        <f>"T04F8.3"</f>
        <v>T04F8.3</v>
      </c>
      <c r="F15724" t="s">
        <v>11</v>
      </c>
      <c r="H15724" s="12">
        <v>1.45847620070897</v>
      </c>
      <c r="I15724" s="20">
        <v>0.99287791173700701</v>
      </c>
      <c r="J15724" s="28">
        <v>0.32076945523037897</v>
      </c>
      <c r="K15724" s="29">
        <v>0.98289565623980701</v>
      </c>
    </row>
    <row r="15725" spans="1:11" x14ac:dyDescent="0.35">
      <c r="A15725" s="9" t="str">
        <f>HYPERLINK("http://www.ensembl.org/id/WBGene00011444", "WBGene00011444")</f>
        <v>WBGene00011444</v>
      </c>
      <c r="B15725" s="9" t="str">
        <f>HYPERLINK("http://www.ncbi.nlm.nih.gov/gene/181354", "181354")</f>
        <v>181354</v>
      </c>
      <c r="C15725" s="9"/>
      <c r="D15725" t="str">
        <f>"T04F8.6"</f>
        <v>T04F8.6</v>
      </c>
      <c r="F15725" t="s">
        <v>11</v>
      </c>
      <c r="G15725" t="s">
        <v>5283</v>
      </c>
      <c r="H15725" s="12">
        <v>1.1958823161551999</v>
      </c>
      <c r="I15725" s="20">
        <v>0.85418491984629397</v>
      </c>
      <c r="J15725" s="28">
        <v>0.39300253741022401</v>
      </c>
      <c r="K15725" s="29">
        <v>0.98289565623980701</v>
      </c>
    </row>
    <row r="15726" spans="1:11" x14ac:dyDescent="0.35">
      <c r="A15726" s="9" t="str">
        <f>HYPERLINK("http://www.ensembl.org/id/WBGene00197454", "WBGene00197454")</f>
        <v>WBGene00197454</v>
      </c>
      <c r="B15726" s="9"/>
      <c r="C15726" s="9"/>
      <c r="D15726" t="str">
        <f>"T04H1.11"</f>
        <v>T04H1.11</v>
      </c>
      <c r="F15726" t="s">
        <v>481</v>
      </c>
      <c r="H15726" s="12">
        <v>-2.0529302594524199</v>
      </c>
      <c r="I15726" s="20">
        <v>-0.30640916691298697</v>
      </c>
      <c r="J15726" s="28">
        <v>0.75929312962499995</v>
      </c>
      <c r="K15726" s="29">
        <v>0.98289565623980701</v>
      </c>
    </row>
    <row r="15727" spans="1:11" x14ac:dyDescent="0.35">
      <c r="A15727" s="9" t="str">
        <f>HYPERLINK("http://www.ensembl.org/id/WBGene00303013", "WBGene00303013")</f>
        <v>WBGene00303013</v>
      </c>
      <c r="B15727" s="9" t="str">
        <f>HYPERLINK("http://www.ncbi.nlm.nih.gov/gene/36805035", "36805035")</f>
        <v>36805035</v>
      </c>
      <c r="C15727" s="9"/>
      <c r="D15727" t="str">
        <f>"T04H1.12"</f>
        <v>T04H1.12</v>
      </c>
      <c r="F15727" t="s">
        <v>11</v>
      </c>
      <c r="H15727" s="12">
        <v>1.9475123394117599</v>
      </c>
      <c r="I15727" s="20">
        <v>0.67427718113134205</v>
      </c>
      <c r="J15727" s="28">
        <v>0.50013510862209798</v>
      </c>
      <c r="K15727" s="29">
        <v>0.98289565623980701</v>
      </c>
    </row>
    <row r="15728" spans="1:11" x14ac:dyDescent="0.35">
      <c r="A15728" s="9" t="str">
        <f>HYPERLINK("http://www.ensembl.org/id/WBGene00011456", "WBGene00011456")</f>
        <v>WBGene00011456</v>
      </c>
      <c r="B15728" s="9" t="str">
        <f>HYPERLINK("http://www.ncbi.nlm.nih.gov/gene/188077", "188077")</f>
        <v>188077</v>
      </c>
      <c r="C15728" s="9"/>
      <c r="D15728" t="str">
        <f>"T05A1.5"</f>
        <v>T05A1.5</v>
      </c>
      <c r="F15728" t="s">
        <v>11</v>
      </c>
      <c r="G15728" t="s">
        <v>230</v>
      </c>
      <c r="H15728" s="12">
        <v>1.4785423618466</v>
      </c>
      <c r="I15728" s="20">
        <v>0.77378350620772995</v>
      </c>
      <c r="J15728" s="28">
        <v>0.43905882787443401</v>
      </c>
      <c r="K15728" s="29">
        <v>0.98289565623980701</v>
      </c>
    </row>
    <row r="15729" spans="1:11" x14ac:dyDescent="0.35">
      <c r="A15729" s="9" t="str">
        <f>HYPERLINK("http://www.ensembl.org/id/WBGene00011463", "WBGene00011463")</f>
        <v>WBGene00011463</v>
      </c>
      <c r="B15729" s="9" t="str">
        <f>HYPERLINK("http://www.ncbi.nlm.nih.gov/gene/188097", "188097")</f>
        <v>188097</v>
      </c>
      <c r="C15729" s="9"/>
      <c r="D15729" t="str">
        <f>"T05A10.6"</f>
        <v>T05A10.6</v>
      </c>
      <c r="F15729" t="s">
        <v>11</v>
      </c>
      <c r="H15729" s="12">
        <v>1.30239325154568</v>
      </c>
      <c r="I15729" s="20">
        <v>0.61341840486308497</v>
      </c>
      <c r="J15729" s="28">
        <v>0.53959971953007801</v>
      </c>
      <c r="K15729" s="29">
        <v>0.98289565623980701</v>
      </c>
    </row>
    <row r="15730" spans="1:11" x14ac:dyDescent="0.35">
      <c r="A15730" s="9" t="str">
        <f>HYPERLINK("http://www.ensembl.org/id/WBGene00199212", "WBGene00199212")</f>
        <v>WBGene00199212</v>
      </c>
      <c r="B15730" s="9"/>
      <c r="C15730" s="9"/>
      <c r="D15730" t="str">
        <f>"T05A10.8"</f>
        <v>T05A10.8</v>
      </c>
      <c r="F15730" t="s">
        <v>481</v>
      </c>
      <c r="H15730" s="12">
        <v>-2.4991590031922399</v>
      </c>
      <c r="I15730" s="20">
        <v>-0.26577412737581302</v>
      </c>
      <c r="J15730" s="28">
        <v>0.79041317015736101</v>
      </c>
      <c r="K15730" s="29">
        <v>0.98289565623980701</v>
      </c>
    </row>
    <row r="15731" spans="1:11" x14ac:dyDescent="0.35">
      <c r="A15731" s="9" t="str">
        <f>HYPERLINK("http://www.ensembl.org/id/WBGene00020235", "WBGene00020235")</f>
        <v>WBGene00020235</v>
      </c>
      <c r="B15731" s="9" t="str">
        <f>HYPERLINK("http://www.ncbi.nlm.nih.gov/gene/177453", "177453")</f>
        <v>177453</v>
      </c>
      <c r="C15731" s="9"/>
      <c r="D15731" t="str">
        <f>"T05A12.4"</f>
        <v>T05A12.4</v>
      </c>
      <c r="F15731" t="s">
        <v>11</v>
      </c>
      <c r="G15731" t="s">
        <v>5925</v>
      </c>
      <c r="H15731" s="12">
        <v>1.08408165804491</v>
      </c>
      <c r="I15731" s="20">
        <v>0.38556079580583202</v>
      </c>
      <c r="J15731" s="28">
        <v>0.699821972705157</v>
      </c>
      <c r="K15731" s="29">
        <v>0.98289565623980701</v>
      </c>
    </row>
    <row r="15732" spans="1:11" x14ac:dyDescent="0.35">
      <c r="A15732" s="9" t="str">
        <f>HYPERLINK("http://www.ensembl.org/id/WBGene00199236", "WBGene00199236")</f>
        <v>WBGene00199236</v>
      </c>
      <c r="B15732" s="9"/>
      <c r="C15732" s="9"/>
      <c r="D15732" t="str">
        <f>"T05A6.14"</f>
        <v>T05A6.14</v>
      </c>
      <c r="F15732" t="s">
        <v>481</v>
      </c>
      <c r="H15732" s="12">
        <v>-3.7261494131482999</v>
      </c>
      <c r="I15732" s="20">
        <v>-0.38454673129429601</v>
      </c>
      <c r="J15732" s="28">
        <v>0.70057326682554</v>
      </c>
      <c r="K15732" s="29">
        <v>0.98289565623980701</v>
      </c>
    </row>
    <row r="15733" spans="1:11" x14ac:dyDescent="0.35">
      <c r="A15733" s="9" t="str">
        <f>HYPERLINK("http://www.ensembl.org/id/WBGene00011459", "WBGene00011459")</f>
        <v>WBGene00011459</v>
      </c>
      <c r="B15733" s="9"/>
      <c r="C15733" s="9"/>
      <c r="D15733" t="str">
        <f>"T05A6.5"</f>
        <v>T05A6.5</v>
      </c>
      <c r="F15733" t="s">
        <v>80</v>
      </c>
      <c r="H15733" s="12">
        <v>-3.5819448292659501</v>
      </c>
      <c r="I15733" s="20">
        <v>-0.37337717500031398</v>
      </c>
      <c r="J15733" s="28">
        <v>0.70886774492290605</v>
      </c>
      <c r="K15733" s="29">
        <v>0.98289565623980701</v>
      </c>
    </row>
    <row r="15734" spans="1:11" x14ac:dyDescent="0.35">
      <c r="A15734" s="9" t="str">
        <f>HYPERLINK("http://www.ensembl.org/id/WBGene00044383", "WBGene00044383")</f>
        <v>WBGene00044383</v>
      </c>
      <c r="B15734" s="9" t="str">
        <f>HYPERLINK("http://www.ncbi.nlm.nih.gov/gene/3564982", "3564982")</f>
        <v>3564982</v>
      </c>
      <c r="C15734" s="9"/>
      <c r="D15734" t="str">
        <f>"T05A7.11"</f>
        <v>T05A7.11</v>
      </c>
      <c r="F15734" t="s">
        <v>11</v>
      </c>
      <c r="G15734" t="s">
        <v>178</v>
      </c>
      <c r="H15734" s="12">
        <v>-1.88987763768573</v>
      </c>
      <c r="I15734" s="20">
        <v>-1.00893818560265</v>
      </c>
      <c r="J15734" s="28">
        <v>0.313004280435975</v>
      </c>
      <c r="K15734" s="29">
        <v>0.98289565623980701</v>
      </c>
    </row>
    <row r="15735" spans="1:11" x14ac:dyDescent="0.35">
      <c r="A15735" s="9" t="str">
        <f>HYPERLINK("http://www.ensembl.org/id/WBGene00271415", "WBGene00271415")</f>
        <v>WBGene00271415</v>
      </c>
      <c r="B15735" s="9" t="str">
        <f>HYPERLINK("http://www.ncbi.nlm.nih.gov/gene/30314035", "30314035")</f>
        <v>30314035</v>
      </c>
      <c r="C15735" s="9"/>
      <c r="D15735" t="str">
        <f>"T05A7.13"</f>
        <v>T05A7.13</v>
      </c>
      <c r="F15735" t="s">
        <v>11</v>
      </c>
      <c r="G15735" t="s">
        <v>178</v>
      </c>
      <c r="H15735" s="12">
        <v>-1.2554701393588801</v>
      </c>
      <c r="I15735" s="20">
        <v>-0.47592521481822703</v>
      </c>
      <c r="J15735" s="28">
        <v>0.634127657752801</v>
      </c>
      <c r="K15735" s="29">
        <v>0.98289565623980701</v>
      </c>
    </row>
    <row r="15736" spans="1:11" x14ac:dyDescent="0.35">
      <c r="A15736" s="9" t="str">
        <f>HYPERLINK("http://www.ensembl.org/id/WBGene00020221", "WBGene00020221")</f>
        <v>WBGene00020221</v>
      </c>
      <c r="B15736" s="9" t="str">
        <f>HYPERLINK("http://www.ncbi.nlm.nih.gov/gene/188083", "188083")</f>
        <v>188083</v>
      </c>
      <c r="C15736" s="9"/>
      <c r="D15736" t="str">
        <f>"T05A7.3"</f>
        <v>T05A7.3</v>
      </c>
      <c r="F15736" t="s">
        <v>11</v>
      </c>
      <c r="H15736" s="12">
        <v>-1.68894094176178</v>
      </c>
      <c r="I15736" s="20">
        <v>-0.34888468578584397</v>
      </c>
      <c r="J15736" s="28">
        <v>0.72717588265162303</v>
      </c>
      <c r="K15736" s="29">
        <v>0.98289565623980701</v>
      </c>
    </row>
    <row r="15737" spans="1:11" x14ac:dyDescent="0.35">
      <c r="A15737" s="9" t="str">
        <f>HYPERLINK("http://www.ensembl.org/id/WBGene00020223", "WBGene00020223")</f>
        <v>WBGene00020223</v>
      </c>
      <c r="B15737" s="9" t="str">
        <f>HYPERLINK("http://www.ncbi.nlm.nih.gov/gene/173804", "173804")</f>
        <v>173804</v>
      </c>
      <c r="C15737" s="9"/>
      <c r="D15737" t="str">
        <f>"T05A7.6"</f>
        <v>T05A7.6</v>
      </c>
      <c r="F15737" t="s">
        <v>11</v>
      </c>
      <c r="G15737" t="s">
        <v>4424</v>
      </c>
      <c r="H15737" s="12">
        <v>2.2093132715300698</v>
      </c>
      <c r="I15737" s="20">
        <v>0.99646639970019601</v>
      </c>
      <c r="J15737" s="28">
        <v>0.31902358483260901</v>
      </c>
      <c r="K15737" s="29">
        <v>0.98289565623980701</v>
      </c>
    </row>
    <row r="15738" spans="1:11" x14ac:dyDescent="0.35">
      <c r="A15738" s="9" t="str">
        <f>HYPERLINK("http://www.ensembl.org/id/WBGene00020227", "WBGene00020227")</f>
        <v>WBGene00020227</v>
      </c>
      <c r="B15738" s="9" t="str">
        <f>HYPERLINK("http://www.ncbi.nlm.nih.gov/gene/188088", "188088")</f>
        <v>188088</v>
      </c>
      <c r="C15738" s="9"/>
      <c r="D15738" t="str">
        <f>"T05A8.1"</f>
        <v>T05A8.1</v>
      </c>
      <c r="F15738" t="s">
        <v>11</v>
      </c>
      <c r="H15738" s="12">
        <v>-4.6356746722357496</v>
      </c>
      <c r="I15738" s="20">
        <v>-0.56585702710240804</v>
      </c>
      <c r="J15738" s="28">
        <v>0.57149097618954103</v>
      </c>
      <c r="K15738" s="29">
        <v>0.98289565623980701</v>
      </c>
    </row>
    <row r="15739" spans="1:11" x14ac:dyDescent="0.35">
      <c r="A15739" s="9" t="str">
        <f>HYPERLINK("http://www.ensembl.org/id/WBGene00020228", "WBGene00020228")</f>
        <v>WBGene00020228</v>
      </c>
      <c r="B15739" s="9" t="str">
        <f>HYPERLINK("http://www.ncbi.nlm.nih.gov/gene/188089", "188089")</f>
        <v>188089</v>
      </c>
      <c r="C15739" s="9"/>
      <c r="D15739" t="str">
        <f>"T05A8.2"</f>
        <v>T05A8.2</v>
      </c>
      <c r="F15739" t="s">
        <v>11</v>
      </c>
      <c r="G15739" t="s">
        <v>25</v>
      </c>
      <c r="H15739" s="12">
        <v>2.6224705946786901</v>
      </c>
      <c r="I15739" s="20">
        <v>0.32440394850383503</v>
      </c>
      <c r="J15739" s="28">
        <v>0.74563223077784602</v>
      </c>
      <c r="K15739" s="29">
        <v>0.98289565623980701</v>
      </c>
    </row>
    <row r="15740" spans="1:11" x14ac:dyDescent="0.35">
      <c r="A15740" s="9" t="str">
        <f>HYPERLINK("http://www.ensembl.org/id/WBGene00020233", "WBGene00020233")</f>
        <v>WBGene00020233</v>
      </c>
      <c r="B15740" s="9" t="str">
        <f>HYPERLINK("http://www.ncbi.nlm.nih.gov/gene/24104850", "24104850")</f>
        <v>24104850</v>
      </c>
      <c r="C15740" s="9"/>
      <c r="D15740" t="str">
        <f>"T05A8.7"</f>
        <v>T05A8.7</v>
      </c>
      <c r="F15740" t="s">
        <v>11</v>
      </c>
      <c r="G15740" t="s">
        <v>25</v>
      </c>
      <c r="H15740" s="12">
        <v>5.2527047510296203</v>
      </c>
      <c r="I15740" s="20">
        <v>0.90152749392811005</v>
      </c>
      <c r="J15740" s="28">
        <v>0.36730792230230502</v>
      </c>
      <c r="K15740" s="29">
        <v>0.98289565623980701</v>
      </c>
    </row>
    <row r="15741" spans="1:11" x14ac:dyDescent="0.35">
      <c r="A15741" s="9" t="str">
        <f>HYPERLINK("http://www.ensembl.org/id/WBGene00202339", "WBGene00202339")</f>
        <v>WBGene00202339</v>
      </c>
      <c r="B15741" s="9"/>
      <c r="C15741" s="9"/>
      <c r="D15741" t="str">
        <f>"T05B11.13"</f>
        <v>T05B11.13</v>
      </c>
      <c r="F15741" t="s">
        <v>481</v>
      </c>
      <c r="H15741" s="12">
        <v>2.3893468495514898</v>
      </c>
      <c r="I15741" s="20">
        <v>0.25323547253672701</v>
      </c>
      <c r="J15741" s="28">
        <v>0.80008625651646104</v>
      </c>
      <c r="K15741" s="29">
        <v>0.98289565623980701</v>
      </c>
    </row>
    <row r="15742" spans="1:11" x14ac:dyDescent="0.35">
      <c r="A15742" s="9" t="str">
        <f>HYPERLINK("http://www.ensembl.org/id/WBGene00023340", "WBGene00023340")</f>
        <v>WBGene00023340</v>
      </c>
      <c r="B15742" s="9"/>
      <c r="C15742" s="9"/>
      <c r="D15742" t="str">
        <f>"T05B11.5"</f>
        <v>T05B11.5</v>
      </c>
      <c r="F15742" t="s">
        <v>80</v>
      </c>
      <c r="H15742" s="12">
        <v>1.96139641625967</v>
      </c>
      <c r="I15742" s="20">
        <v>0.46541747693233998</v>
      </c>
      <c r="J15742" s="28">
        <v>0.64163252093989698</v>
      </c>
      <c r="K15742" s="29">
        <v>0.98289565623980701</v>
      </c>
    </row>
    <row r="15743" spans="1:11" x14ac:dyDescent="0.35">
      <c r="A15743" s="9" t="str">
        <f>HYPERLINK("http://www.ensembl.org/id/WBGene00044342", "WBGene00044342")</f>
        <v>WBGene00044342</v>
      </c>
      <c r="B15743" s="9" t="str">
        <f>HYPERLINK("http://www.ncbi.nlm.nih.gov/gene/3564763", "3564763")</f>
        <v>3564763</v>
      </c>
      <c r="C15743" s="9"/>
      <c r="D15743" t="str">
        <f>"T05B11.7"</f>
        <v>T05B11.7</v>
      </c>
      <c r="F15743" t="s">
        <v>11</v>
      </c>
      <c r="H15743" s="12">
        <v>1.2553726548258699</v>
      </c>
      <c r="I15743" s="20">
        <v>0.62755742221833399</v>
      </c>
      <c r="J15743" s="28">
        <v>0.53029390834784995</v>
      </c>
      <c r="K15743" s="29">
        <v>0.98289565623980701</v>
      </c>
    </row>
    <row r="15744" spans="1:11" x14ac:dyDescent="0.35">
      <c r="A15744" s="9" t="str">
        <f>HYPERLINK("http://www.ensembl.org/id/WBGene00197127", "WBGene00197127")</f>
        <v>WBGene00197127</v>
      </c>
      <c r="B15744" s="9"/>
      <c r="C15744" s="9"/>
      <c r="D15744" t="str">
        <f>"T05B11.9"</f>
        <v>T05B11.9</v>
      </c>
      <c r="F15744" t="s">
        <v>481</v>
      </c>
      <c r="H15744" s="12">
        <v>3.1515354624752101</v>
      </c>
      <c r="I15744" s="20">
        <v>0.54497436549789602</v>
      </c>
      <c r="J15744" s="28">
        <v>0.58577114832244503</v>
      </c>
      <c r="K15744" s="29">
        <v>0.98289565623980701</v>
      </c>
    </row>
    <row r="15745" spans="1:11" x14ac:dyDescent="0.35">
      <c r="A15745" s="9" t="str">
        <f>HYPERLINK("http://www.ensembl.org/id/WBGene00020241", "WBGene00020241")</f>
        <v>WBGene00020241</v>
      </c>
      <c r="B15745" s="9" t="str">
        <f>HYPERLINK("http://www.ncbi.nlm.nih.gov/gene/188106", "188106")</f>
        <v>188106</v>
      </c>
      <c r="C15745" s="9"/>
      <c r="D15745" t="str">
        <f>"T05B4.10"</f>
        <v>T05B4.10</v>
      </c>
      <c r="F15745" t="s">
        <v>11</v>
      </c>
      <c r="H15745" s="12">
        <v>2.3893468495514898</v>
      </c>
      <c r="I15745" s="20">
        <v>0.25323547253672701</v>
      </c>
      <c r="J15745" s="28">
        <v>0.80008625651646104</v>
      </c>
      <c r="K15745" s="29">
        <v>0.98289565623980701</v>
      </c>
    </row>
    <row r="15746" spans="1:11" x14ac:dyDescent="0.35">
      <c r="A15746" s="9" t="str">
        <f>HYPERLINK("http://www.ensembl.org/id/WBGene00020243", "WBGene00020243")</f>
        <v>WBGene00020243</v>
      </c>
      <c r="B15746" s="9" t="str">
        <f>HYPERLINK("http://www.ncbi.nlm.nih.gov/gene/188107", "188107")</f>
        <v>188107</v>
      </c>
      <c r="C15746" s="9"/>
      <c r="D15746" t="str">
        <f>"T05B4.12"</f>
        <v>T05B4.12</v>
      </c>
      <c r="F15746" t="s">
        <v>11</v>
      </c>
      <c r="H15746" s="12">
        <v>-2.3164876816341802</v>
      </c>
      <c r="I15746" s="20">
        <v>-0.35730505342263802</v>
      </c>
      <c r="J15746" s="28">
        <v>0.72086344727256502</v>
      </c>
      <c r="K15746" s="29">
        <v>0.98289565623980701</v>
      </c>
    </row>
    <row r="15747" spans="1:11" x14ac:dyDescent="0.35">
      <c r="A15747" s="9" t="str">
        <f>HYPERLINK("http://www.ensembl.org/id/WBGene00020244", "WBGene00020244")</f>
        <v>WBGene00020244</v>
      </c>
      <c r="B15747" s="9" t="str">
        <f>HYPERLINK("http://www.ncbi.nlm.nih.gov/gene/188108", "188108")</f>
        <v>188108</v>
      </c>
      <c r="C15747" s="9"/>
      <c r="D15747" t="str">
        <f>"T05B4.13"</f>
        <v>T05B4.13</v>
      </c>
      <c r="F15747" t="s">
        <v>11</v>
      </c>
      <c r="H15747" s="12">
        <v>3.28624938312884</v>
      </c>
      <c r="I15747" s="20">
        <v>0.36379512681977599</v>
      </c>
      <c r="J15747" s="28">
        <v>0.716011001908614</v>
      </c>
      <c r="K15747" s="29">
        <v>0.98289565623980701</v>
      </c>
    </row>
    <row r="15748" spans="1:11" x14ac:dyDescent="0.35">
      <c r="A15748" s="9" t="str">
        <f>HYPERLINK("http://www.ensembl.org/id/WBGene00194894", "WBGene00194894")</f>
        <v>WBGene00194894</v>
      </c>
      <c r="B15748" s="9" t="str">
        <f>HYPERLINK("http://www.ncbi.nlm.nih.gov/gene/13212503", "13212503")</f>
        <v>13212503</v>
      </c>
      <c r="C15748" s="9"/>
      <c r="D15748" t="str">
        <f>"T05B4.14"</f>
        <v>T05B4.14</v>
      </c>
      <c r="F15748" t="s">
        <v>11</v>
      </c>
      <c r="G15748" t="s">
        <v>25</v>
      </c>
      <c r="H15748" s="12">
        <v>1.80443198106144</v>
      </c>
      <c r="I15748" s="20">
        <v>0.33420384166323802</v>
      </c>
      <c r="J15748" s="28">
        <v>0.73822574527581097</v>
      </c>
      <c r="K15748" s="29">
        <v>0.98289565623980701</v>
      </c>
    </row>
    <row r="15749" spans="1:11" x14ac:dyDescent="0.35">
      <c r="A15749" s="9" t="str">
        <f>HYPERLINK("http://www.ensembl.org/id/WBGene00196382", "WBGene00196382")</f>
        <v>WBGene00196382</v>
      </c>
      <c r="B15749" s="9"/>
      <c r="C15749" s="9"/>
      <c r="D15749" t="str">
        <f>"T05B4.15"</f>
        <v>T05B4.15</v>
      </c>
      <c r="F15749" t="s">
        <v>481</v>
      </c>
      <c r="H15749" s="12">
        <v>-2.4991590031922399</v>
      </c>
      <c r="I15749" s="20">
        <v>-0.26577412737581302</v>
      </c>
      <c r="J15749" s="28">
        <v>0.79041317015736101</v>
      </c>
      <c r="K15749" s="29">
        <v>0.98289565623980701</v>
      </c>
    </row>
    <row r="15750" spans="1:11" x14ac:dyDescent="0.35">
      <c r="A15750" s="9" t="str">
        <f>HYPERLINK("http://www.ensembl.org/id/WBGene00020239", "WBGene00020239")</f>
        <v>WBGene00020239</v>
      </c>
      <c r="B15750" s="9" t="str">
        <f>HYPERLINK("http://www.ncbi.nlm.nih.gov/gene/188104", "188104")</f>
        <v>188104</v>
      </c>
      <c r="C15750" s="9"/>
      <c r="D15750" t="str">
        <f>"T05B4.8"</f>
        <v>T05B4.8</v>
      </c>
      <c r="F15750" t="s">
        <v>11</v>
      </c>
      <c r="H15750" s="12">
        <v>-11.6381108285912</v>
      </c>
      <c r="I15750" s="20">
        <v>-1.0775069467418501</v>
      </c>
      <c r="J15750" s="28">
        <v>0.28125384899893602</v>
      </c>
      <c r="K15750" s="29">
        <v>0.98289565623980701</v>
      </c>
    </row>
    <row r="15751" spans="1:11" x14ac:dyDescent="0.35">
      <c r="A15751" s="9" t="str">
        <f>HYPERLINK("http://www.ensembl.org/id/WBGene00020240", "WBGene00020240")</f>
        <v>WBGene00020240</v>
      </c>
      <c r="B15751" s="9" t="str">
        <f>HYPERLINK("http://www.ncbi.nlm.nih.gov/gene/188105", "188105")</f>
        <v>188105</v>
      </c>
      <c r="C15751" s="9"/>
      <c r="D15751" t="str">
        <f>"T05B4.9"</f>
        <v>T05B4.9</v>
      </c>
      <c r="F15751" t="s">
        <v>11</v>
      </c>
      <c r="H15751" s="12">
        <v>-7.7904337984490803</v>
      </c>
      <c r="I15751" s="20">
        <v>-0.60901310058451197</v>
      </c>
      <c r="J15751" s="28">
        <v>0.54251575542982</v>
      </c>
      <c r="K15751" s="29">
        <v>0.98289565623980701</v>
      </c>
    </row>
    <row r="15752" spans="1:11" x14ac:dyDescent="0.35">
      <c r="A15752" s="9" t="str">
        <f>HYPERLINK("http://www.ensembl.org/id/WBGene00020250", "WBGene00020250")</f>
        <v>WBGene00020250</v>
      </c>
      <c r="B15752" s="9" t="str">
        <f>HYPERLINK("http://www.ncbi.nlm.nih.gov/gene/188114", "188114")</f>
        <v>188114</v>
      </c>
      <c r="C15752" s="9"/>
      <c r="D15752" t="str">
        <f>"T05C1.3"</f>
        <v>T05C1.3</v>
      </c>
      <c r="F15752" t="s">
        <v>11</v>
      </c>
      <c r="H15752" s="12">
        <v>2.2131053692432601</v>
      </c>
      <c r="I15752" s="20">
        <v>1.05338761893278</v>
      </c>
      <c r="J15752" s="28">
        <v>0.29216337628189898</v>
      </c>
      <c r="K15752" s="29">
        <v>0.98289565623980701</v>
      </c>
    </row>
    <row r="15753" spans="1:11" x14ac:dyDescent="0.35">
      <c r="A15753" s="9" t="str">
        <f>HYPERLINK("http://www.ensembl.org/id/WBGene00219289", "WBGene00219289")</f>
        <v>WBGene00219289</v>
      </c>
      <c r="B15753" s="9" t="str">
        <f>HYPERLINK("http://www.ncbi.nlm.nih.gov/gene/13186029", "13186029")</f>
        <v>13186029</v>
      </c>
      <c r="C15753" s="9"/>
      <c r="D15753" t="str">
        <f>"T05C12.15"</f>
        <v>T05C12.15</v>
      </c>
      <c r="F15753" t="s">
        <v>11</v>
      </c>
      <c r="H15753" s="12">
        <v>1.64196860876041</v>
      </c>
      <c r="I15753" s="20">
        <v>0.40372481027380502</v>
      </c>
      <c r="J15753" s="28">
        <v>0.68641509308038695</v>
      </c>
      <c r="K15753" s="29">
        <v>0.98289565623980701</v>
      </c>
    </row>
    <row r="15754" spans="1:11" x14ac:dyDescent="0.35">
      <c r="A15754" s="9" t="str">
        <f>HYPERLINK("http://www.ensembl.org/id/WBGene00011468", "WBGene00011468")</f>
        <v>WBGene00011468</v>
      </c>
      <c r="B15754" s="9" t="str">
        <f>HYPERLINK("http://www.ncbi.nlm.nih.gov/gene/188122", "188122")</f>
        <v>188122</v>
      </c>
      <c r="C15754" s="9"/>
      <c r="D15754" t="str">
        <f>"T05C12.4"</f>
        <v>T05C12.4</v>
      </c>
      <c r="F15754" t="s">
        <v>11</v>
      </c>
      <c r="G15754" t="s">
        <v>25</v>
      </c>
      <c r="H15754" s="12">
        <v>-3.2044812948610999</v>
      </c>
      <c r="I15754" s="20">
        <v>-1.1145549957688901</v>
      </c>
      <c r="J15754" s="28">
        <v>0.26504116492306501</v>
      </c>
      <c r="K15754" s="29">
        <v>0.98289565623980701</v>
      </c>
    </row>
    <row r="15755" spans="1:11" x14ac:dyDescent="0.35">
      <c r="A15755" s="9" t="str">
        <f>HYPERLINK("http://www.ensembl.org/id/WBGene00020256", "WBGene00020256")</f>
        <v>WBGene00020256</v>
      </c>
      <c r="B15755" s="9" t="str">
        <f>HYPERLINK("http://www.ncbi.nlm.nih.gov/gene/178931", "178931")</f>
        <v>178931</v>
      </c>
      <c r="C15755" s="9" t="str">
        <f>HYPERLINK("http://www.ncbi.nlm.nih.gov/gene/122618", "122618")</f>
        <v>122618</v>
      </c>
      <c r="D15755" t="str">
        <f>"T05C3.6"</f>
        <v>T05C3.6</v>
      </c>
      <c r="F15755" t="s">
        <v>11</v>
      </c>
      <c r="G15755" t="s">
        <v>2996</v>
      </c>
      <c r="H15755" s="12">
        <v>-1.31844104570162</v>
      </c>
      <c r="I15755" s="20">
        <v>-0.89037783164150897</v>
      </c>
      <c r="J15755" s="28">
        <v>0.373263041671485</v>
      </c>
      <c r="K15755" s="29">
        <v>0.98289565623980701</v>
      </c>
    </row>
    <row r="15756" spans="1:11" x14ac:dyDescent="0.35">
      <c r="A15756" s="9" t="str">
        <f>HYPERLINK("http://www.ensembl.org/id/WBGene00235257", "WBGene00235257")</f>
        <v>WBGene00235257</v>
      </c>
      <c r="B15756" s="9" t="str">
        <f>HYPERLINK("http://www.ncbi.nlm.nih.gov/gene/24104851", "24104851")</f>
        <v>24104851</v>
      </c>
      <c r="C15756" s="9"/>
      <c r="D15756" t="str">
        <f>"T05C7.4"</f>
        <v>T05C7.4</v>
      </c>
      <c r="F15756" t="s">
        <v>11</v>
      </c>
      <c r="G15756" t="s">
        <v>25</v>
      </c>
      <c r="H15756" s="12">
        <v>2.9536424728859498</v>
      </c>
      <c r="I15756" s="20">
        <v>0.58559089571446798</v>
      </c>
      <c r="J15756" s="28">
        <v>0.55815046795670398</v>
      </c>
      <c r="K15756" s="29">
        <v>0.98289565623980701</v>
      </c>
    </row>
    <row r="15757" spans="1:11" x14ac:dyDescent="0.35">
      <c r="A15757" s="9" t="str">
        <f>HYPERLINK("http://www.ensembl.org/id/WBGene00235258", "WBGene00235258")</f>
        <v>WBGene00235258</v>
      </c>
      <c r="B15757" s="9" t="str">
        <f>HYPERLINK("http://www.ncbi.nlm.nih.gov/gene/24104852", "24104852")</f>
        <v>24104852</v>
      </c>
      <c r="C15757" s="9"/>
      <c r="D15757" t="str">
        <f>"T05C7.5"</f>
        <v>T05C7.5</v>
      </c>
      <c r="F15757" t="s">
        <v>11</v>
      </c>
      <c r="H15757" s="12">
        <v>-2.23983783867547</v>
      </c>
      <c r="I15757" s="20">
        <v>-0.38131958822425399</v>
      </c>
      <c r="J15757" s="28">
        <v>0.70296612040976603</v>
      </c>
      <c r="K15757" s="29">
        <v>0.98289565623980701</v>
      </c>
    </row>
    <row r="15758" spans="1:11" x14ac:dyDescent="0.35">
      <c r="A15758" s="9" t="str">
        <f>HYPERLINK("http://www.ensembl.org/id/WBGene00011475", "WBGene00011475")</f>
        <v>WBGene00011475</v>
      </c>
      <c r="B15758" s="9" t="str">
        <f>HYPERLINK("http://www.ncbi.nlm.nih.gov/gene/188126", "188126")</f>
        <v>188126</v>
      </c>
      <c r="C15758" s="9"/>
      <c r="D15758" t="str">
        <f>"T05D4.2"</f>
        <v>T05D4.2</v>
      </c>
      <c r="F15758" t="s">
        <v>11</v>
      </c>
      <c r="H15758" s="12">
        <v>1.2543149727734599</v>
      </c>
      <c r="I15758" s="20">
        <v>0.84412893121843802</v>
      </c>
      <c r="J15758" s="28">
        <v>0.39859736244966099</v>
      </c>
      <c r="K15758" s="29">
        <v>0.98289565623980701</v>
      </c>
    </row>
    <row r="15759" spans="1:11" x14ac:dyDescent="0.35">
      <c r="A15759" s="9" t="str">
        <f>HYPERLINK("http://www.ensembl.org/id/WBGene00011476", "WBGene00011476")</f>
        <v>WBGene00011476</v>
      </c>
      <c r="B15759" s="9" t="str">
        <f>HYPERLINK("http://www.ncbi.nlm.nih.gov/gene/176789", "176789")</f>
        <v>176789</v>
      </c>
      <c r="C15759" s="9"/>
      <c r="D15759" t="str">
        <f>"T05D4.3"</f>
        <v>T05D4.3</v>
      </c>
      <c r="F15759" t="s">
        <v>11</v>
      </c>
      <c r="G15759" t="s">
        <v>25</v>
      </c>
      <c r="H15759" s="12">
        <v>1.4666616974709701</v>
      </c>
      <c r="I15759" s="20">
        <v>0.91525186299247796</v>
      </c>
      <c r="J15759" s="28">
        <v>0.360059423484626</v>
      </c>
      <c r="K15759" s="29">
        <v>0.98289565623980701</v>
      </c>
    </row>
    <row r="15760" spans="1:11" x14ac:dyDescent="0.35">
      <c r="A15760" s="9" t="str">
        <f>HYPERLINK("http://www.ensembl.org/id/WBGene00011478", "WBGene00011478")</f>
        <v>WBGene00011478</v>
      </c>
      <c r="B15760" s="9" t="str">
        <f>HYPERLINK("http://www.ncbi.nlm.nih.gov/gene/176792", "176792")</f>
        <v>176792</v>
      </c>
      <c r="C15760" s="9"/>
      <c r="D15760" t="str">
        <f>"T05D4.5"</f>
        <v>T05D4.5</v>
      </c>
      <c r="E15760" t="s">
        <v>899</v>
      </c>
      <c r="F15760" t="s">
        <v>11</v>
      </c>
      <c r="G15760" t="s">
        <v>3403</v>
      </c>
      <c r="H15760" s="12">
        <v>1.7783685272813701</v>
      </c>
      <c r="I15760" s="20">
        <v>0.50033198241625498</v>
      </c>
      <c r="J15760" s="28">
        <v>0.61684133786044504</v>
      </c>
      <c r="K15760" s="29">
        <v>0.98289565623980701</v>
      </c>
    </row>
    <row r="15761" spans="1:11" x14ac:dyDescent="0.35">
      <c r="A15761" s="9" t="str">
        <f>HYPERLINK("http://www.ensembl.org/id/WBGene00011479", "WBGene00011479")</f>
        <v>WBGene00011479</v>
      </c>
      <c r="B15761" s="9" t="str">
        <f>HYPERLINK("http://www.ncbi.nlm.nih.gov/gene/188130", "188130")</f>
        <v>188130</v>
      </c>
      <c r="C15761" s="9"/>
      <c r="D15761" t="str">
        <f>"T05E11.2"</f>
        <v>T05E11.2</v>
      </c>
      <c r="F15761" t="s">
        <v>11</v>
      </c>
      <c r="G15761" t="s">
        <v>25</v>
      </c>
      <c r="H15761" s="12">
        <v>-1.3304069524383899</v>
      </c>
      <c r="I15761" s="20">
        <v>-0.99807370065947698</v>
      </c>
      <c r="J15761" s="28">
        <v>0.31824362182011701</v>
      </c>
      <c r="K15761" s="29">
        <v>0.98289565623980701</v>
      </c>
    </row>
    <row r="15762" spans="1:11" x14ac:dyDescent="0.35">
      <c r="A15762" s="9" t="str">
        <f>HYPERLINK("http://www.ensembl.org/id/WBGene00011483", "WBGene00011483")</f>
        <v>WBGene00011483</v>
      </c>
      <c r="B15762" s="9"/>
      <c r="C15762" s="9"/>
      <c r="D15762" t="str">
        <f>"T05E11.7"</f>
        <v>T05E11.7</v>
      </c>
      <c r="F15762" t="s">
        <v>80</v>
      </c>
      <c r="H15762" s="12">
        <v>-1.8497540532799399</v>
      </c>
      <c r="I15762" s="20">
        <v>-0.30434618125120599</v>
      </c>
      <c r="J15762" s="28">
        <v>0.76086416520739197</v>
      </c>
      <c r="K15762" s="29">
        <v>0.98289565623980701</v>
      </c>
    </row>
    <row r="15763" spans="1:11" x14ac:dyDescent="0.35">
      <c r="A15763" s="9" t="str">
        <f>HYPERLINK("http://www.ensembl.org/id/WBGene00014505", "WBGene00014505")</f>
        <v>WBGene00014505</v>
      </c>
      <c r="B15763" s="9"/>
      <c r="C15763" s="9"/>
      <c r="D15763" t="str">
        <f>"T05E11.9"</f>
        <v>T05E11.9</v>
      </c>
      <c r="F15763" t="s">
        <v>481</v>
      </c>
      <c r="H15763" s="12">
        <v>1.10934707349768</v>
      </c>
      <c r="I15763" s="20">
        <v>0.57224717358934996</v>
      </c>
      <c r="J15763" s="28">
        <v>0.56715453268584304</v>
      </c>
      <c r="K15763" s="29">
        <v>0.98289565623980701</v>
      </c>
    </row>
    <row r="15764" spans="1:11" x14ac:dyDescent="0.35">
      <c r="A15764" s="9" t="str">
        <f>HYPERLINK("http://www.ensembl.org/id/WBGene00077787", "WBGene00077787")</f>
        <v>WBGene00077787</v>
      </c>
      <c r="B15764" s="9"/>
      <c r="C15764" s="9"/>
      <c r="D15764" t="str">
        <f>"T05E12.10"</f>
        <v>T05E12.10</v>
      </c>
      <c r="F15764" t="s">
        <v>481</v>
      </c>
      <c r="H15764" s="12">
        <v>-2.03363331551687</v>
      </c>
      <c r="I15764" s="20">
        <v>-0.74672803645826202</v>
      </c>
      <c r="J15764" s="28">
        <v>0.455227742533797</v>
      </c>
      <c r="K15764" s="29">
        <v>0.98289565623980701</v>
      </c>
    </row>
    <row r="15765" spans="1:11" x14ac:dyDescent="0.35">
      <c r="A15765" s="9" t="str">
        <f>HYPERLINK("http://www.ensembl.org/id/WBGene00045382", "WBGene00045382")</f>
        <v>WBGene00045382</v>
      </c>
      <c r="B15765" s="9" t="str">
        <f>HYPERLINK("http://www.ncbi.nlm.nih.gov/gene/6418736", "6418736")</f>
        <v>6418736</v>
      </c>
      <c r="C15765" s="9"/>
      <c r="D15765" t="str">
        <f>"T05E12.8"</f>
        <v>T05E12.8</v>
      </c>
      <c r="F15765" t="s">
        <v>11</v>
      </c>
      <c r="G15765" t="s">
        <v>25</v>
      </c>
      <c r="H15765" s="12">
        <v>2.0317456530978499</v>
      </c>
      <c r="I15765" s="20">
        <v>0.86348365084164502</v>
      </c>
      <c r="J15765" s="28">
        <v>0.38787160460583597</v>
      </c>
      <c r="K15765" s="29">
        <v>0.98289565623980701</v>
      </c>
    </row>
    <row r="15766" spans="1:11" x14ac:dyDescent="0.35">
      <c r="A15766" s="9" t="str">
        <f>HYPERLINK("http://www.ensembl.org/id/WBGene00045500", "WBGene00045500")</f>
        <v>WBGene00045500</v>
      </c>
      <c r="B15766" s="9" t="str">
        <f>HYPERLINK("http://www.ncbi.nlm.nih.gov/gene/6418767", "6418767")</f>
        <v>6418767</v>
      </c>
      <c r="C15766" s="9"/>
      <c r="D15766" t="str">
        <f>"T05E12.9"</f>
        <v>T05E12.9</v>
      </c>
      <c r="F15766" t="s">
        <v>11</v>
      </c>
      <c r="H15766" s="12">
        <v>1.4523326239691401</v>
      </c>
      <c r="I15766" s="20">
        <v>0.268109534263135</v>
      </c>
      <c r="J15766" s="28">
        <v>0.78861500714063704</v>
      </c>
      <c r="K15766" s="29">
        <v>0.98289565623980701</v>
      </c>
    </row>
    <row r="15767" spans="1:11" x14ac:dyDescent="0.35">
      <c r="A15767" s="9" t="str">
        <f>HYPERLINK("http://www.ensembl.org/id/WBGene00020260", "WBGene00020260")</f>
        <v>WBGene00020260</v>
      </c>
      <c r="B15767" s="9" t="str">
        <f>HYPERLINK("http://www.ncbi.nlm.nih.gov/gene/172307", "172307")</f>
        <v>172307</v>
      </c>
      <c r="C15767" s="9"/>
      <c r="D15767" t="str">
        <f>"T05E7.4"</f>
        <v>T05E7.4</v>
      </c>
      <c r="F15767" t="s">
        <v>11</v>
      </c>
      <c r="G15767" t="s">
        <v>25</v>
      </c>
      <c r="H15767" s="12">
        <v>-1.12684014864191</v>
      </c>
      <c r="I15767" s="20">
        <v>-0.29330629326942798</v>
      </c>
      <c r="J15767" s="28">
        <v>0.76928804375014503</v>
      </c>
      <c r="K15767" s="29">
        <v>0.98289565623980701</v>
      </c>
    </row>
    <row r="15768" spans="1:11" x14ac:dyDescent="0.35">
      <c r="A15768" s="9" t="str">
        <f>HYPERLINK("http://www.ensembl.org/id/WBGene00011497", "WBGene00011497")</f>
        <v>WBGene00011497</v>
      </c>
      <c r="B15768" s="9" t="str">
        <f>HYPERLINK("http://www.ncbi.nlm.nih.gov/gene/353385", "353385")</f>
        <v>353385</v>
      </c>
      <c r="C15768" s="9"/>
      <c r="D15768" t="str">
        <f>"T05F1.13"</f>
        <v>T05F1.13</v>
      </c>
      <c r="F15768" t="s">
        <v>11</v>
      </c>
      <c r="G15768" t="s">
        <v>54</v>
      </c>
      <c r="H15768" s="12">
        <v>1.15771189328678</v>
      </c>
      <c r="I15768" s="20">
        <v>0.56714802267049402</v>
      </c>
      <c r="J15768" s="28">
        <v>0.57061361829142598</v>
      </c>
      <c r="K15768" s="29">
        <v>0.98289565623980701</v>
      </c>
    </row>
    <row r="15769" spans="1:11" x14ac:dyDescent="0.35">
      <c r="A15769" s="9" t="str">
        <f>HYPERLINK("http://www.ensembl.org/id/WBGene00011491", "WBGene00011491")</f>
        <v>WBGene00011491</v>
      </c>
      <c r="B15769" s="9" t="str">
        <f>HYPERLINK("http://www.ncbi.nlm.nih.gov/gene/172808", "172808")</f>
        <v>172808</v>
      </c>
      <c r="C15769" s="9"/>
      <c r="D15769" t="str">
        <f>"T05F1.5"</f>
        <v>T05F1.5</v>
      </c>
      <c r="F15769" t="s">
        <v>11</v>
      </c>
      <c r="H15769" s="12">
        <v>4.5278599046988104</v>
      </c>
      <c r="I15769" s="20">
        <v>0.78210512628370799</v>
      </c>
      <c r="J15769" s="28">
        <v>0.43415279432063197</v>
      </c>
      <c r="K15769" s="29">
        <v>0.98289565623980701</v>
      </c>
    </row>
    <row r="15770" spans="1:11" x14ac:dyDescent="0.35">
      <c r="A15770" s="9" t="str">
        <f>HYPERLINK("http://www.ensembl.org/id/WBGene00011492", "WBGene00011492")</f>
        <v>WBGene00011492</v>
      </c>
      <c r="B15770" s="9" t="str">
        <f>HYPERLINK("http://www.ncbi.nlm.nih.gov/gene/188138", "188138")</f>
        <v>188138</v>
      </c>
      <c r="C15770" s="9"/>
      <c r="D15770" t="str">
        <f>"T05F1.7"</f>
        <v>T05F1.7</v>
      </c>
      <c r="F15770" t="s">
        <v>11</v>
      </c>
      <c r="H15770" s="12">
        <v>3.9365933504755302</v>
      </c>
      <c r="I15770" s="20">
        <v>0.89001831956516297</v>
      </c>
      <c r="J15770" s="28">
        <v>0.373456049376023</v>
      </c>
      <c r="K15770" s="29">
        <v>0.98289565623980701</v>
      </c>
    </row>
    <row r="15771" spans="1:11" x14ac:dyDescent="0.35">
      <c r="A15771" s="9" t="str">
        <f>HYPERLINK("http://www.ensembl.org/id/WBGene00011494", "WBGene00011494")</f>
        <v>WBGene00011494</v>
      </c>
      <c r="B15771" s="9" t="str">
        <f>HYPERLINK("http://www.ncbi.nlm.nih.gov/gene/188139", "188139")</f>
        <v>188139</v>
      </c>
      <c r="C15771" s="9"/>
      <c r="D15771" t="str">
        <f>"T05F1.9"</f>
        <v>T05F1.9</v>
      </c>
      <c r="F15771" t="s">
        <v>11</v>
      </c>
      <c r="H15771" s="12">
        <v>-1.28980557249766</v>
      </c>
      <c r="I15771" s="20">
        <v>-0.40839137314440199</v>
      </c>
      <c r="J15771" s="28">
        <v>0.68298636592232798</v>
      </c>
      <c r="K15771" s="29">
        <v>0.98289565623980701</v>
      </c>
    </row>
    <row r="15772" spans="1:11" x14ac:dyDescent="0.35">
      <c r="A15772" s="9" t="str">
        <f>HYPERLINK("http://www.ensembl.org/id/WBGene00011499", "WBGene00011499")</f>
        <v>WBGene00011499</v>
      </c>
      <c r="B15772" s="9" t="str">
        <f>HYPERLINK("http://www.ncbi.nlm.nih.gov/gene/188141", "188141")</f>
        <v>188141</v>
      </c>
      <c r="C15772" s="9"/>
      <c r="D15772" t="str">
        <f>"T05G5.4"</f>
        <v>T05G5.4</v>
      </c>
      <c r="F15772" t="s">
        <v>11</v>
      </c>
      <c r="G15772" t="s">
        <v>25</v>
      </c>
      <c r="H15772" s="12">
        <v>-1.5900874715078299</v>
      </c>
      <c r="I15772" s="20">
        <v>-0.44280989081366201</v>
      </c>
      <c r="J15772" s="28">
        <v>0.65790324858129201</v>
      </c>
      <c r="K15772" s="29">
        <v>0.98289565623980701</v>
      </c>
    </row>
    <row r="15773" spans="1:11" x14ac:dyDescent="0.35">
      <c r="A15773" s="9" t="str">
        <f>HYPERLINK("http://www.ensembl.org/id/WBGene00011500", "WBGene00011500")</f>
        <v>WBGene00011500</v>
      </c>
      <c r="B15773" s="9" t="str">
        <f>HYPERLINK("http://www.ncbi.nlm.nih.gov/gene/176375", "176375")</f>
        <v>176375</v>
      </c>
      <c r="C15773" s="9" t="str">
        <f>HYPERLINK("http://www.ncbi.nlm.nih.gov/gene/79877", "79877")</f>
        <v>79877</v>
      </c>
      <c r="D15773" t="str">
        <f>"T05G5.5"</f>
        <v>T05G5.5</v>
      </c>
      <c r="E15773" t="s">
        <v>9207</v>
      </c>
      <c r="F15773" t="s">
        <v>11</v>
      </c>
      <c r="G15773" t="s">
        <v>9208</v>
      </c>
      <c r="H15773" s="12">
        <v>-1.22807788881327</v>
      </c>
      <c r="I15773" s="20">
        <v>-1.0263993267682801</v>
      </c>
      <c r="J15773" s="28">
        <v>0.30470339524515699</v>
      </c>
      <c r="K15773" s="29">
        <v>0.98289565623980701</v>
      </c>
    </row>
    <row r="15774" spans="1:11" x14ac:dyDescent="0.35">
      <c r="A15774" s="9" t="str">
        <f>HYPERLINK("http://www.ensembl.org/id/WBGene00020273", "WBGene00020273")</f>
        <v>WBGene00020273</v>
      </c>
      <c r="B15774" s="9" t="str">
        <f>HYPERLINK("http://www.ncbi.nlm.nih.gov/gene/179023", "179023")</f>
        <v>179023</v>
      </c>
      <c r="C15774" s="9"/>
      <c r="D15774" t="str">
        <f>"T05H4.10"</f>
        <v>T05H4.10</v>
      </c>
      <c r="F15774" t="s">
        <v>11</v>
      </c>
      <c r="G15774" t="s">
        <v>6529</v>
      </c>
      <c r="H15774" s="12">
        <v>-1.0739747953669501</v>
      </c>
      <c r="I15774" s="20">
        <v>-0.30964328526413998</v>
      </c>
      <c r="J15774" s="28">
        <v>0.75683223603660299</v>
      </c>
      <c r="K15774" s="29">
        <v>0.98289565623980701</v>
      </c>
    </row>
    <row r="15775" spans="1:11" x14ac:dyDescent="0.35">
      <c r="A15775" s="9" t="str">
        <f>HYPERLINK("http://www.ensembl.org/id/WBGene00020276", "WBGene00020276")</f>
        <v>WBGene00020276</v>
      </c>
      <c r="B15775" s="9" t="str">
        <f>HYPERLINK("http://www.ncbi.nlm.nih.gov/gene/179030", "179030")</f>
        <v>179030</v>
      </c>
      <c r="C15775" s="9"/>
      <c r="D15775" t="str">
        <f>"T05H4.15"</f>
        <v>T05H4.15</v>
      </c>
      <c r="F15775" t="s">
        <v>11</v>
      </c>
      <c r="H15775" s="12">
        <v>1.3302729193218801</v>
      </c>
      <c r="I15775" s="20">
        <v>1.0530994828270099</v>
      </c>
      <c r="J15775" s="28">
        <v>0.29229539987166497</v>
      </c>
      <c r="K15775" s="29">
        <v>0.98289565623980701</v>
      </c>
    </row>
    <row r="15776" spans="1:11" x14ac:dyDescent="0.35">
      <c r="A15776" s="9" t="str">
        <f>HYPERLINK("http://www.ensembl.org/id/WBGene00020266", "WBGene00020266")</f>
        <v>WBGene00020266</v>
      </c>
      <c r="B15776" s="9" t="str">
        <f>HYPERLINK("http://www.ncbi.nlm.nih.gov/gene/188149", "188149")</f>
        <v>188149</v>
      </c>
      <c r="C15776" s="9"/>
      <c r="D15776" t="str">
        <f>"T05H4.3"</f>
        <v>T05H4.3</v>
      </c>
      <c r="F15776" t="s">
        <v>11</v>
      </c>
      <c r="G15776" t="s">
        <v>54</v>
      </c>
      <c r="H15776" s="12">
        <v>1.78901504521168</v>
      </c>
      <c r="I15776" s="20">
        <v>0.59693860732690895</v>
      </c>
      <c r="J15776" s="28">
        <v>0.55054836998582002</v>
      </c>
      <c r="K15776" s="29">
        <v>0.98289565623980701</v>
      </c>
    </row>
    <row r="15777" spans="1:11" x14ac:dyDescent="0.35">
      <c r="A15777" s="9" t="str">
        <f>HYPERLINK("http://www.ensembl.org/id/WBGene00023342", "WBGene00023342")</f>
        <v>WBGene00023342</v>
      </c>
      <c r="B15777" s="9"/>
      <c r="C15777" s="9"/>
      <c r="D15777" t="str">
        <f>"T05H4.t2"</f>
        <v>T05H4.t2</v>
      </c>
      <c r="F15777" t="s">
        <v>80</v>
      </c>
      <c r="H15777" s="12">
        <v>2.3893468495514898</v>
      </c>
      <c r="I15777" s="20">
        <v>0.25323547253672701</v>
      </c>
      <c r="J15777" s="28">
        <v>0.80008625651646104</v>
      </c>
      <c r="K15777" s="29">
        <v>0.98289565623980701</v>
      </c>
    </row>
    <row r="15778" spans="1:11" x14ac:dyDescent="0.35">
      <c r="A15778" s="9" t="str">
        <f>HYPERLINK("http://www.ensembl.org/id/WBGene00020277", "WBGene00020277")</f>
        <v>WBGene00020277</v>
      </c>
      <c r="B15778" s="9" t="str">
        <f>HYPERLINK("http://www.ncbi.nlm.nih.gov/gene/178673", "178673")</f>
        <v>178673</v>
      </c>
      <c r="C15778" s="9"/>
      <c r="D15778" t="str">
        <f>"T06A1.1"</f>
        <v>T06A1.1</v>
      </c>
      <c r="F15778" t="s">
        <v>11</v>
      </c>
      <c r="G15778" t="s">
        <v>1686</v>
      </c>
      <c r="H15778" s="12">
        <v>-1.34254342426726</v>
      </c>
      <c r="I15778" s="20">
        <v>-0.40286473785868199</v>
      </c>
      <c r="J15778" s="28">
        <v>0.68704773329137503</v>
      </c>
      <c r="K15778" s="29">
        <v>0.98289565623980701</v>
      </c>
    </row>
    <row r="15779" spans="1:11" x14ac:dyDescent="0.35">
      <c r="A15779" s="9" t="str">
        <f>HYPERLINK("http://www.ensembl.org/id/WBGene00020280", "WBGene00020280")</f>
        <v>WBGene00020280</v>
      </c>
      <c r="B15779" s="9" t="str">
        <f>HYPERLINK("http://www.ncbi.nlm.nih.gov/gene/178674", "178674")</f>
        <v>178674</v>
      </c>
      <c r="C15779" s="9"/>
      <c r="D15779" t="str">
        <f>"T06A1.5"</f>
        <v>T06A1.5</v>
      </c>
      <c r="F15779" t="s">
        <v>11</v>
      </c>
      <c r="G15779" t="s">
        <v>1686</v>
      </c>
      <c r="H15779" s="12">
        <v>-1.1463983777331199</v>
      </c>
      <c r="I15779" s="20">
        <v>-0.485883864341001</v>
      </c>
      <c r="J15779" s="28">
        <v>0.62704950930398595</v>
      </c>
      <c r="K15779" s="29">
        <v>0.98289565623980701</v>
      </c>
    </row>
    <row r="15780" spans="1:11" x14ac:dyDescent="0.35">
      <c r="A15780" s="9" t="str">
        <f>HYPERLINK("http://www.ensembl.org/id/WBGene00219547", "WBGene00219547")</f>
        <v>WBGene00219547</v>
      </c>
      <c r="B15780" s="9" t="str">
        <f>HYPERLINK("http://www.ncbi.nlm.nih.gov/gene/24104857", "24104857")</f>
        <v>24104857</v>
      </c>
      <c r="C15780" s="9"/>
      <c r="D15780" t="str">
        <f>"T06A10.106"</f>
        <v>T06A10.106</v>
      </c>
      <c r="F15780" t="s">
        <v>11</v>
      </c>
      <c r="G15780" t="s">
        <v>25</v>
      </c>
      <c r="H15780" s="12">
        <v>2.137062298304</v>
      </c>
      <c r="I15780" s="20">
        <v>0.47288396744775901</v>
      </c>
      <c r="J15780" s="28">
        <v>0.63629596380403097</v>
      </c>
      <c r="K15780" s="29">
        <v>0.98289565623980701</v>
      </c>
    </row>
    <row r="15781" spans="1:11" x14ac:dyDescent="0.35">
      <c r="A15781" s="9" t="str">
        <f>HYPERLINK("http://www.ensembl.org/id/WBGene00020285", "WBGene00020285")</f>
        <v>WBGene00020285</v>
      </c>
      <c r="B15781" s="9" t="str">
        <f>HYPERLINK("http://www.ncbi.nlm.nih.gov/gene/188158", "188158")</f>
        <v>188158</v>
      </c>
      <c r="C15781" s="9"/>
      <c r="D15781" t="str">
        <f>"T06A10.2"</f>
        <v>T06A10.2</v>
      </c>
      <c r="F15781" t="s">
        <v>11</v>
      </c>
      <c r="H15781" s="12">
        <v>1.4865287722609899</v>
      </c>
      <c r="I15781" s="20">
        <v>0.28129621726292697</v>
      </c>
      <c r="J15781" s="28">
        <v>0.778483211416515</v>
      </c>
      <c r="K15781" s="29">
        <v>0.98289565623980701</v>
      </c>
    </row>
    <row r="15782" spans="1:11" x14ac:dyDescent="0.35">
      <c r="A15782" s="9" t="str">
        <f>HYPERLINK("http://www.ensembl.org/id/WBGene00020281", "WBGene00020281")</f>
        <v>WBGene00020281</v>
      </c>
      <c r="B15782" s="9" t="str">
        <f>HYPERLINK("http://www.ncbi.nlm.nih.gov/gene/171669", "171669")</f>
        <v>171669</v>
      </c>
      <c r="C15782" s="9" t="str">
        <f>HYPERLINK("http://www.ncbi.nlm.nih.gov/gene/1358", "1358")</f>
        <v>1358</v>
      </c>
      <c r="D15782" t="str">
        <f>"T06A4.1"</f>
        <v>T06A4.1</v>
      </c>
      <c r="F15782" t="s">
        <v>11</v>
      </c>
      <c r="G15782" t="s">
        <v>4593</v>
      </c>
      <c r="H15782" s="12">
        <v>1.6343743149891401</v>
      </c>
      <c r="I15782" s="20">
        <v>0.93595278855383301</v>
      </c>
      <c r="J15782" s="28">
        <v>0.34929749604361798</v>
      </c>
      <c r="K15782" s="29">
        <v>0.98289565623980701</v>
      </c>
    </row>
    <row r="15783" spans="1:11" x14ac:dyDescent="0.35">
      <c r="A15783" s="9" t="str">
        <f>HYPERLINK("http://www.ensembl.org/id/WBGene00020283", "WBGene00020283")</f>
        <v>WBGene00020283</v>
      </c>
      <c r="B15783" s="9" t="str">
        <f>HYPERLINK("http://www.ncbi.nlm.nih.gov/gene/171668", "171668")</f>
        <v>171668</v>
      </c>
      <c r="C15783" s="9" t="str">
        <f>HYPERLINK("http://www.ncbi.nlm.nih.gov/gene/1358", "1358")</f>
        <v>1358</v>
      </c>
      <c r="D15783" t="str">
        <f>"T06A4.3"</f>
        <v>T06A4.3</v>
      </c>
      <c r="F15783" t="s">
        <v>11</v>
      </c>
      <c r="G15783" t="s">
        <v>945</v>
      </c>
      <c r="H15783" s="12">
        <v>1.61117608480895</v>
      </c>
      <c r="I15783" s="20">
        <v>0.98780202380716997</v>
      </c>
      <c r="J15783" s="28">
        <v>0.323249616216922</v>
      </c>
      <c r="K15783" s="29">
        <v>0.98289565623980701</v>
      </c>
    </row>
    <row r="15784" spans="1:11" x14ac:dyDescent="0.35">
      <c r="A15784" s="9" t="str">
        <f>HYPERLINK("http://www.ensembl.org/id/WBGene00020289", "WBGene00020289")</f>
        <v>WBGene00020289</v>
      </c>
      <c r="B15784" s="9" t="str">
        <f>HYPERLINK("http://www.ncbi.nlm.nih.gov/gene/188160", "188160")</f>
        <v>188160</v>
      </c>
      <c r="C15784" s="9"/>
      <c r="D15784" t="str">
        <f>"T06C10.3"</f>
        <v>T06C10.3</v>
      </c>
      <c r="E15784" t="s">
        <v>2588</v>
      </c>
      <c r="F15784" t="s">
        <v>11</v>
      </c>
      <c r="G15784" t="s">
        <v>2589</v>
      </c>
      <c r="H15784" s="12">
        <v>1.6194446102118001</v>
      </c>
      <c r="I15784" s="20">
        <v>0.87951253822682596</v>
      </c>
      <c r="J15784" s="28">
        <v>0.37912343785395602</v>
      </c>
      <c r="K15784" s="29">
        <v>0.98289565623980701</v>
      </c>
    </row>
    <row r="15785" spans="1:11" x14ac:dyDescent="0.35">
      <c r="A15785" s="9" t="str">
        <f>HYPERLINK("http://www.ensembl.org/id/WBGene00011519", "WBGene00011519")</f>
        <v>WBGene00011519</v>
      </c>
      <c r="B15785" s="9" t="str">
        <f>HYPERLINK("http://www.ncbi.nlm.nih.gov/gene/188171", "188171")</f>
        <v>188171</v>
      </c>
      <c r="C15785" s="9"/>
      <c r="D15785" t="str">
        <f>"T06C12.12"</f>
        <v>T06C12.12</v>
      </c>
      <c r="F15785" t="s">
        <v>11</v>
      </c>
      <c r="G15785" t="s">
        <v>4341</v>
      </c>
      <c r="H15785" s="12">
        <v>2.8755883694684199</v>
      </c>
      <c r="I15785" s="20">
        <v>0.36355013483266901</v>
      </c>
      <c r="J15785" s="28">
        <v>0.71619396880790798</v>
      </c>
      <c r="K15785" s="29">
        <v>0.98289565623980701</v>
      </c>
    </row>
    <row r="15786" spans="1:11" x14ac:dyDescent="0.35">
      <c r="A15786" s="9" t="str">
        <f>HYPERLINK("http://www.ensembl.org/id/WBGene00011521", "WBGene00011521")</f>
        <v>WBGene00011521</v>
      </c>
      <c r="B15786" s="9" t="str">
        <f>HYPERLINK("http://www.ncbi.nlm.nih.gov/gene/188173", "188173")</f>
        <v>188173</v>
      </c>
      <c r="C15786" s="9"/>
      <c r="D15786" t="str">
        <f>"T06C12.14"</f>
        <v>T06C12.14</v>
      </c>
      <c r="F15786" t="s">
        <v>11</v>
      </c>
      <c r="H15786" s="12">
        <v>-4.0170379864805099</v>
      </c>
      <c r="I15786" s="20">
        <v>-0.72945207703109505</v>
      </c>
      <c r="J15786" s="28">
        <v>0.46572517213112102</v>
      </c>
      <c r="K15786" s="29">
        <v>0.98289565623980701</v>
      </c>
    </row>
    <row r="15787" spans="1:11" x14ac:dyDescent="0.35">
      <c r="A15787" s="9" t="str">
        <f>HYPERLINK("http://www.ensembl.org/id/WBGene00197971", "WBGene00197971")</f>
        <v>WBGene00197971</v>
      </c>
      <c r="B15787" s="9"/>
      <c r="C15787" s="9"/>
      <c r="D15787" t="str">
        <f>"T06D10.6"</f>
        <v>T06D10.6</v>
      </c>
      <c r="F15787" t="s">
        <v>481</v>
      </c>
      <c r="H15787" s="12">
        <v>2.4578120077400301</v>
      </c>
      <c r="I15787" s="20">
        <v>0.26093350314551</v>
      </c>
      <c r="J15787" s="28">
        <v>0.79414378780213601</v>
      </c>
      <c r="K15787" s="29">
        <v>0.98289565623980701</v>
      </c>
    </row>
    <row r="15788" spans="1:11" x14ac:dyDescent="0.35">
      <c r="A15788" s="9" t="str">
        <f>HYPERLINK("http://www.ensembl.org/id/WBGene00020291", "WBGene00020291")</f>
        <v>WBGene00020291</v>
      </c>
      <c r="B15788" s="9" t="str">
        <f>HYPERLINK("http://www.ncbi.nlm.nih.gov/gene/188174", "188174")</f>
        <v>188174</v>
      </c>
      <c r="C15788" s="9"/>
      <c r="D15788" t="str">
        <f>"T06D4.2"</f>
        <v>T06D4.2</v>
      </c>
      <c r="F15788" t="s">
        <v>11</v>
      </c>
      <c r="H15788" s="12">
        <v>3.5227018545059199</v>
      </c>
      <c r="I15788" s="20">
        <v>0.36849691206929103</v>
      </c>
      <c r="J15788" s="28">
        <v>0.71250274722433404</v>
      </c>
      <c r="K15788" s="29">
        <v>0.98289565623980701</v>
      </c>
    </row>
    <row r="15789" spans="1:11" x14ac:dyDescent="0.35">
      <c r="A15789" s="9" t="str">
        <f>HYPERLINK("http://www.ensembl.org/id/WBGene00011530", "WBGene00011530")</f>
        <v>WBGene00011530</v>
      </c>
      <c r="B15789" s="9" t="str">
        <f>HYPERLINK("http://www.ncbi.nlm.nih.gov/gene/174717", "174717")</f>
        <v>174717</v>
      </c>
      <c r="C15789" s="9"/>
      <c r="D15789" t="str">
        <f>"T06D8.10"</f>
        <v>T06D8.10</v>
      </c>
      <c r="F15789" t="s">
        <v>11</v>
      </c>
      <c r="G15789" t="s">
        <v>398</v>
      </c>
      <c r="H15789" s="12">
        <v>1.64118043663997</v>
      </c>
      <c r="I15789" s="20">
        <v>0.94257025595422295</v>
      </c>
      <c r="J15789" s="28">
        <v>0.34590075974759399</v>
      </c>
      <c r="K15789" s="29">
        <v>0.98289565623980701</v>
      </c>
    </row>
    <row r="15790" spans="1:11" x14ac:dyDescent="0.35">
      <c r="A15790" s="9" t="str">
        <f>HYPERLINK("http://www.ensembl.org/id/WBGene00011523", "WBGene00011523")</f>
        <v>WBGene00011523</v>
      </c>
      <c r="B15790" s="9" t="str">
        <f>HYPERLINK("http://www.ncbi.nlm.nih.gov/gene/174711", "174711")</f>
        <v>174711</v>
      </c>
      <c r="C15790" s="9"/>
      <c r="D15790" t="str">
        <f>"T06D8.2"</f>
        <v>T06D8.2</v>
      </c>
      <c r="F15790" t="s">
        <v>11</v>
      </c>
      <c r="G15790" t="s">
        <v>4369</v>
      </c>
      <c r="H15790" s="12">
        <v>2.54597217929037</v>
      </c>
      <c r="I15790" s="20">
        <v>1.0071662053756401</v>
      </c>
      <c r="J15790" s="28">
        <v>0.31385491022856599</v>
      </c>
      <c r="K15790" s="29">
        <v>0.98289565623980701</v>
      </c>
    </row>
    <row r="15791" spans="1:11" x14ac:dyDescent="0.35">
      <c r="A15791" s="9" t="str">
        <f>HYPERLINK("http://www.ensembl.org/id/WBGene00077691", "WBGene00077691")</f>
        <v>WBGene00077691</v>
      </c>
      <c r="B15791" s="9" t="str">
        <f>HYPERLINK("http://www.ncbi.nlm.nih.gov/gene/6418768", "6418768")</f>
        <v>6418768</v>
      </c>
      <c r="C15791" s="9"/>
      <c r="D15791" t="str">
        <f>"T06E4.14"</f>
        <v>T06E4.14</v>
      </c>
      <c r="F15791" t="s">
        <v>11</v>
      </c>
      <c r="H15791" s="12">
        <v>2.1740083022399701</v>
      </c>
      <c r="I15791" s="20">
        <v>0.44299528103818397</v>
      </c>
      <c r="J15791" s="28">
        <v>0.65776914798710295</v>
      </c>
      <c r="K15791" s="29">
        <v>0.98289565623980701</v>
      </c>
    </row>
    <row r="15792" spans="1:11" x14ac:dyDescent="0.35">
      <c r="A15792" s="9" t="str">
        <f>HYPERLINK("http://www.ensembl.org/id/WBGene00195322", "WBGene00195322")</f>
        <v>WBGene00195322</v>
      </c>
      <c r="B15792" s="9"/>
      <c r="C15792" s="9"/>
      <c r="D15792" t="str">
        <f>"T06E4.16"</f>
        <v>T06E4.16</v>
      </c>
      <c r="F15792" t="s">
        <v>481</v>
      </c>
      <c r="H15792" s="12">
        <v>-3.7261494131482999</v>
      </c>
      <c r="I15792" s="20">
        <v>-0.38454673129429601</v>
      </c>
      <c r="J15792" s="28">
        <v>0.70057326682554</v>
      </c>
      <c r="K15792" s="29">
        <v>0.98289565623980701</v>
      </c>
    </row>
    <row r="15793" spans="1:11" x14ac:dyDescent="0.35">
      <c r="A15793" s="9" t="str">
        <f>HYPERLINK("http://www.ensembl.org/id/WBGene00235328", "WBGene00235328")</f>
        <v>WBGene00235328</v>
      </c>
      <c r="B15793" s="9" t="str">
        <f>HYPERLINK("http://www.ncbi.nlm.nih.gov/gene/24104860", "24104860")</f>
        <v>24104860</v>
      </c>
      <c r="C15793" s="9"/>
      <c r="D15793" t="str">
        <f>"T06E4.21"</f>
        <v>T06E4.21</v>
      </c>
      <c r="F15793" t="s">
        <v>11</v>
      </c>
      <c r="G15793" t="s">
        <v>25</v>
      </c>
      <c r="H15793" s="12">
        <v>-5.5794491025289696</v>
      </c>
      <c r="I15793" s="20">
        <v>-0.504738274115201</v>
      </c>
      <c r="J15793" s="28">
        <v>0.61374267489732603</v>
      </c>
      <c r="K15793" s="29">
        <v>0.98289565623980701</v>
      </c>
    </row>
    <row r="15794" spans="1:11" x14ac:dyDescent="0.35">
      <c r="A15794" s="9" t="str">
        <f>HYPERLINK("http://www.ensembl.org/id/WBGene00011533", "WBGene00011533")</f>
        <v>WBGene00011533</v>
      </c>
      <c r="B15794" s="9" t="str">
        <f>HYPERLINK("http://www.ncbi.nlm.nih.gov/gene/188177", "188177")</f>
        <v>188177</v>
      </c>
      <c r="C15794" s="9"/>
      <c r="D15794" t="str">
        <f>"T06E4.5"</f>
        <v>T06E4.5</v>
      </c>
      <c r="F15794" t="s">
        <v>11</v>
      </c>
      <c r="G15794" t="s">
        <v>25</v>
      </c>
      <c r="H15794" s="12">
        <v>3.6645215954135</v>
      </c>
      <c r="I15794" s="20">
        <v>0.37967131826092498</v>
      </c>
      <c r="J15794" s="28">
        <v>0.70418941338960395</v>
      </c>
      <c r="K15794" s="29">
        <v>0.98289565623980701</v>
      </c>
    </row>
    <row r="15795" spans="1:11" x14ac:dyDescent="0.35">
      <c r="A15795" s="9" t="str">
        <f>HYPERLINK("http://www.ensembl.org/id/WBGene00011534", "WBGene00011534")</f>
        <v>WBGene00011534</v>
      </c>
      <c r="B15795" s="9" t="str">
        <f>HYPERLINK("http://www.ncbi.nlm.nih.gov/gene/188179", "188179")</f>
        <v>188179</v>
      </c>
      <c r="C15795" s="9"/>
      <c r="D15795" t="str">
        <f>"T06E4.7"</f>
        <v>T06E4.7</v>
      </c>
      <c r="F15795" t="s">
        <v>11</v>
      </c>
      <c r="G15795" t="s">
        <v>25</v>
      </c>
      <c r="H15795" s="12">
        <v>2.18164851202659</v>
      </c>
      <c r="I15795" s="20">
        <v>0.42171457063732098</v>
      </c>
      <c r="J15795" s="28">
        <v>0.67323336788322297</v>
      </c>
      <c r="K15795" s="29">
        <v>0.98289565623980701</v>
      </c>
    </row>
    <row r="15796" spans="1:11" x14ac:dyDescent="0.35">
      <c r="A15796" s="9" t="str">
        <f>HYPERLINK("http://www.ensembl.org/id/WBGene00011535", "WBGene00011535")</f>
        <v>WBGene00011535</v>
      </c>
      <c r="B15796" s="9" t="str">
        <f>HYPERLINK("http://www.ncbi.nlm.nih.gov/gene/179349", "179349")</f>
        <v>179349</v>
      </c>
      <c r="C15796" s="9"/>
      <c r="D15796" t="str">
        <f>"T06E4.8"</f>
        <v>T06E4.8</v>
      </c>
      <c r="F15796" t="s">
        <v>11</v>
      </c>
      <c r="G15796" t="s">
        <v>1683</v>
      </c>
      <c r="H15796" s="12">
        <v>2.86812328237278</v>
      </c>
      <c r="I15796" s="20">
        <v>1.15222108411475</v>
      </c>
      <c r="J15796" s="28">
        <v>0.24923023579770701</v>
      </c>
      <c r="K15796" s="29">
        <v>0.98289565623980701</v>
      </c>
    </row>
    <row r="15797" spans="1:11" x14ac:dyDescent="0.35">
      <c r="A15797" s="9" t="str">
        <f>HYPERLINK("http://www.ensembl.org/id/WBGene00011536", "WBGene00011536")</f>
        <v>WBGene00011536</v>
      </c>
      <c r="B15797" s="9" t="str">
        <f>HYPERLINK("http://www.ncbi.nlm.nih.gov/gene/179348", "179348")</f>
        <v>179348</v>
      </c>
      <c r="C15797" s="9"/>
      <c r="D15797" t="str">
        <f>"T06E4.9"</f>
        <v>T06E4.9</v>
      </c>
      <c r="F15797" t="s">
        <v>11</v>
      </c>
      <c r="H15797" s="12">
        <v>1.6956934951009199</v>
      </c>
      <c r="I15797" s="20">
        <v>0.52519091197754597</v>
      </c>
      <c r="J15797" s="28">
        <v>0.59945048197224304</v>
      </c>
      <c r="K15797" s="29">
        <v>0.98289565623980701</v>
      </c>
    </row>
    <row r="15798" spans="1:11" x14ac:dyDescent="0.35">
      <c r="A15798" s="9" t="str">
        <f>HYPERLINK("http://www.ensembl.org/id/WBGene00011538", "WBGene00011538")</f>
        <v>WBGene00011538</v>
      </c>
      <c r="B15798" s="9" t="str">
        <f>HYPERLINK("http://www.ncbi.nlm.nih.gov/gene/180039", "180039")</f>
        <v>180039</v>
      </c>
      <c r="C15798" s="9" t="str">
        <f>HYPERLINK("http://www.ncbi.nlm.nih.gov/gene/54663", "54663")</f>
        <v>54663</v>
      </c>
      <c r="D15798" t="str">
        <f>"T06E6.1"</f>
        <v>T06E6.1</v>
      </c>
      <c r="F15798" t="s">
        <v>11</v>
      </c>
      <c r="G15798" t="s">
        <v>6389</v>
      </c>
      <c r="H15798" s="12">
        <v>-1.06653057878402</v>
      </c>
      <c r="I15798" s="20">
        <v>-0.28083014053740901</v>
      </c>
      <c r="J15798" s="28">
        <v>0.77884068470841095</v>
      </c>
      <c r="K15798" s="29">
        <v>0.98289565623980701</v>
      </c>
    </row>
    <row r="15799" spans="1:11" x14ac:dyDescent="0.35">
      <c r="A15799" s="9" t="str">
        <f>HYPERLINK("http://www.ensembl.org/id/WBGene00011540", "WBGene00011540")</f>
        <v>WBGene00011540</v>
      </c>
      <c r="B15799" s="9" t="str">
        <f>HYPERLINK("http://www.ncbi.nlm.nih.gov/gene/188189", "188189")</f>
        <v>188189</v>
      </c>
      <c r="C15799" s="9"/>
      <c r="D15799" t="str">
        <f>"T06E6.10"</f>
        <v>T06E6.10</v>
      </c>
      <c r="F15799" t="s">
        <v>11</v>
      </c>
      <c r="G15799" t="s">
        <v>101</v>
      </c>
      <c r="H15799" s="12">
        <v>1.21727605946762</v>
      </c>
      <c r="I15799" s="20">
        <v>0.76299903360311705</v>
      </c>
      <c r="J15799" s="28">
        <v>0.44546397220105799</v>
      </c>
      <c r="K15799" s="29">
        <v>0.98289565623980701</v>
      </c>
    </row>
    <row r="15800" spans="1:11" x14ac:dyDescent="0.35">
      <c r="A15800" s="9" t="str">
        <f>HYPERLINK("http://www.ensembl.org/id/WBGene00011544", "WBGene00011544")</f>
        <v>WBGene00011544</v>
      </c>
      <c r="B15800" s="9" t="str">
        <f>HYPERLINK("http://www.ncbi.nlm.nih.gov/gene/188193", "188193")</f>
        <v>188193</v>
      </c>
      <c r="C15800" s="9"/>
      <c r="D15800" t="str">
        <f>"T06E8.2"</f>
        <v>T06E8.2</v>
      </c>
      <c r="F15800" t="s">
        <v>11</v>
      </c>
      <c r="H15800" s="12">
        <v>-2.4112761735014501</v>
      </c>
      <c r="I15800" s="20">
        <v>-0.50084839307824303</v>
      </c>
      <c r="J15800" s="28">
        <v>0.61647782463624101</v>
      </c>
      <c r="K15800" s="29">
        <v>0.98289565623980701</v>
      </c>
    </row>
    <row r="15801" spans="1:11" x14ac:dyDescent="0.35">
      <c r="A15801" s="9" t="str">
        <f>HYPERLINK("http://www.ensembl.org/id/WBGene00020294", "WBGene00020294")</f>
        <v>WBGene00020294</v>
      </c>
      <c r="B15801" s="9" t="str">
        <f>HYPERLINK("http://www.ncbi.nlm.nih.gov/gene/180686", "180686")</f>
        <v>180686</v>
      </c>
      <c r="C15801" s="9"/>
      <c r="D15801" t="str">
        <f>"T06F4.1"</f>
        <v>T06F4.1</v>
      </c>
      <c r="F15801" t="s">
        <v>11</v>
      </c>
      <c r="G15801" t="s">
        <v>25</v>
      </c>
      <c r="H15801" s="12">
        <v>1.22375279731106</v>
      </c>
      <c r="I15801" s="20">
        <v>0.92273887371403596</v>
      </c>
      <c r="J15801" s="28">
        <v>0.35614330235555097</v>
      </c>
      <c r="K15801" s="29">
        <v>0.98289565623980701</v>
      </c>
    </row>
    <row r="15802" spans="1:11" x14ac:dyDescent="0.35">
      <c r="A15802" s="9" t="str">
        <f>HYPERLINK("http://www.ensembl.org/id/WBGene00199366", "WBGene00199366")</f>
        <v>WBGene00199366</v>
      </c>
      <c r="B15802" s="9"/>
      <c r="C15802" s="9"/>
      <c r="D15802" t="str">
        <f>"T06F4.12"</f>
        <v>T06F4.12</v>
      </c>
      <c r="F15802" t="s">
        <v>481</v>
      </c>
      <c r="H15802" s="12">
        <v>7.8691597089380902</v>
      </c>
      <c r="I15802" s="20">
        <v>0.61251365190975104</v>
      </c>
      <c r="J15802" s="28">
        <v>0.54019796842331003</v>
      </c>
      <c r="K15802" s="29">
        <v>0.98289565623980701</v>
      </c>
    </row>
    <row r="15803" spans="1:11" x14ac:dyDescent="0.35">
      <c r="A15803" s="9" t="str">
        <f>HYPERLINK("http://www.ensembl.org/id/WBGene00200368", "WBGene00200368")</f>
        <v>WBGene00200368</v>
      </c>
      <c r="B15803" s="9"/>
      <c r="C15803" s="9"/>
      <c r="D15803" t="str">
        <f>"T06F4.14"</f>
        <v>T06F4.14</v>
      </c>
      <c r="F15803" t="s">
        <v>481</v>
      </c>
      <c r="H15803" s="12">
        <v>3.5227018545059199</v>
      </c>
      <c r="I15803" s="20">
        <v>0.36849691206929103</v>
      </c>
      <c r="J15803" s="28">
        <v>0.71250274722433404</v>
      </c>
      <c r="K15803" s="29">
        <v>0.98289565623980701</v>
      </c>
    </row>
    <row r="15804" spans="1:11" x14ac:dyDescent="0.35">
      <c r="A15804" s="9" t="str">
        <f>HYPERLINK("http://www.ensembl.org/id/WBGene00201113", "WBGene00201113")</f>
        <v>WBGene00201113</v>
      </c>
      <c r="B15804" s="9"/>
      <c r="C15804" s="9"/>
      <c r="D15804" t="str">
        <f>"T06F4.17"</f>
        <v>T06F4.17</v>
      </c>
      <c r="F15804" t="s">
        <v>481</v>
      </c>
      <c r="H15804" s="12">
        <v>5.4395424115407396</v>
      </c>
      <c r="I15804" s="20">
        <v>0.93626142123647604</v>
      </c>
      <c r="J15804" s="28">
        <v>0.349138606028915</v>
      </c>
      <c r="K15804" s="29">
        <v>0.98289565623980701</v>
      </c>
    </row>
    <row r="15805" spans="1:11" x14ac:dyDescent="0.35">
      <c r="A15805" s="9" t="str">
        <f>HYPERLINK("http://www.ensembl.org/id/WBGene00201531", "WBGene00201531")</f>
        <v>WBGene00201531</v>
      </c>
      <c r="B15805" s="9"/>
      <c r="C15805" s="9"/>
      <c r="D15805" t="str">
        <f>"T06F4.18"</f>
        <v>T06F4.18</v>
      </c>
      <c r="F15805" t="s">
        <v>481</v>
      </c>
      <c r="H15805" s="12">
        <v>-3.7261494131482999</v>
      </c>
      <c r="I15805" s="20">
        <v>-0.38454673129429601</v>
      </c>
      <c r="J15805" s="28">
        <v>0.70057326682554</v>
      </c>
      <c r="K15805" s="29">
        <v>0.98289565623980701</v>
      </c>
    </row>
    <row r="15806" spans="1:11" x14ac:dyDescent="0.35">
      <c r="A15806" s="9" t="str">
        <f>HYPERLINK("http://www.ensembl.org/id/WBGene00202172", "WBGene00202172")</f>
        <v>WBGene00202172</v>
      </c>
      <c r="B15806" s="9"/>
      <c r="C15806" s="9"/>
      <c r="D15806" t="str">
        <f>"T06F4.20"</f>
        <v>T06F4.20</v>
      </c>
      <c r="F15806" t="s">
        <v>481</v>
      </c>
      <c r="H15806" s="12">
        <v>9.9320123134608593</v>
      </c>
      <c r="I15806" s="20">
        <v>0.68366985730865304</v>
      </c>
      <c r="J15806" s="28">
        <v>0.49418366151259002</v>
      </c>
      <c r="K15806" s="29">
        <v>0.98289565623980701</v>
      </c>
    </row>
    <row r="15807" spans="1:11" x14ac:dyDescent="0.35">
      <c r="A15807" s="9" t="str">
        <f>HYPERLINK("http://www.ensembl.org/id/WBGene00044566", "WBGene00044566")</f>
        <v>WBGene00044566</v>
      </c>
      <c r="B15807" s="9" t="str">
        <f>HYPERLINK("http://www.ncbi.nlm.nih.gov/gene/3896882", "3896882")</f>
        <v>3896882</v>
      </c>
      <c r="C15807" s="9"/>
      <c r="D15807" t="str">
        <f>"T06F4.3"</f>
        <v>T06F4.3</v>
      </c>
      <c r="F15807" t="s">
        <v>11</v>
      </c>
      <c r="H15807" s="12">
        <v>-1.2423059539818699</v>
      </c>
      <c r="I15807" s="20">
        <v>-0.295400132902361</v>
      </c>
      <c r="J15807" s="28">
        <v>0.76768823178762102</v>
      </c>
      <c r="K15807" s="29">
        <v>0.98289565623980701</v>
      </c>
    </row>
    <row r="15808" spans="1:11" x14ac:dyDescent="0.35">
      <c r="A15808" s="9" t="str">
        <f>HYPERLINK("http://www.ensembl.org/id/WBGene00011550", "WBGene00011550")</f>
        <v>WBGene00011550</v>
      </c>
      <c r="B15808" s="9"/>
      <c r="C15808" s="9"/>
      <c r="D15808" t="str">
        <f>"T06G6.11"</f>
        <v>T06G6.11</v>
      </c>
      <c r="F15808" t="s">
        <v>80</v>
      </c>
      <c r="H15808" s="12">
        <v>8.8964975156847093</v>
      </c>
      <c r="I15808" s="20">
        <v>0.93656606115315499</v>
      </c>
      <c r="J15808" s="28">
        <v>0.34898181658594901</v>
      </c>
      <c r="K15808" s="29">
        <v>0.98289565623980701</v>
      </c>
    </row>
    <row r="15809" spans="1:11" x14ac:dyDescent="0.35">
      <c r="A15809" s="9" t="str">
        <f>HYPERLINK("http://www.ensembl.org/id/WBGene00011551", "WBGene00011551")</f>
        <v>WBGene00011551</v>
      </c>
      <c r="B15809" s="9" t="str">
        <f>HYPERLINK("http://www.ncbi.nlm.nih.gov/gene/3565468", "3565468")</f>
        <v>3565468</v>
      </c>
      <c r="C15809" s="9"/>
      <c r="D15809" t="str">
        <f>"T06G6.12"</f>
        <v>T06G6.12</v>
      </c>
      <c r="F15809" t="s">
        <v>11</v>
      </c>
      <c r="H15809" s="12">
        <v>1.39804333150309</v>
      </c>
      <c r="I15809" s="20">
        <v>0.68115861223767304</v>
      </c>
      <c r="J15809" s="28">
        <v>0.49577113315315802</v>
      </c>
      <c r="K15809" s="29">
        <v>0.98289565623980701</v>
      </c>
    </row>
    <row r="15810" spans="1:11" x14ac:dyDescent="0.35">
      <c r="A15810" s="9" t="str">
        <f>HYPERLINK("http://www.ensembl.org/id/WBGene00011545", "WBGene00011545")</f>
        <v>WBGene00011545</v>
      </c>
      <c r="B15810" s="9" t="str">
        <f>HYPERLINK("http://www.ncbi.nlm.nih.gov/gene/173139", "173139")</f>
        <v>173139</v>
      </c>
      <c r="C15810" s="9"/>
      <c r="D15810" t="str">
        <f>"T06G6.3"</f>
        <v>T06G6.3</v>
      </c>
      <c r="F15810" t="s">
        <v>11</v>
      </c>
      <c r="H15810" s="12">
        <v>1.45581621511788</v>
      </c>
      <c r="I15810" s="20">
        <v>0.67314960578302196</v>
      </c>
      <c r="J15810" s="28">
        <v>0.50085211780440697</v>
      </c>
      <c r="K15810" s="29">
        <v>0.98289565623980701</v>
      </c>
    </row>
    <row r="15811" spans="1:11" x14ac:dyDescent="0.35">
      <c r="A15811" s="9" t="str">
        <f>HYPERLINK("http://www.ensembl.org/id/WBGene00011546", "WBGene00011546")</f>
        <v>WBGene00011546</v>
      </c>
      <c r="B15811" s="9" t="str">
        <f>HYPERLINK("http://www.ncbi.nlm.nih.gov/gene/173140", "173140")</f>
        <v>173140</v>
      </c>
      <c r="C15811" s="9"/>
      <c r="D15811" t="str">
        <f>"T06G6.4"</f>
        <v>T06G6.4</v>
      </c>
      <c r="F15811" t="s">
        <v>11</v>
      </c>
      <c r="H15811" s="12">
        <v>1.10647160792071</v>
      </c>
      <c r="I15811" s="20">
        <v>0.338006944794006</v>
      </c>
      <c r="J15811" s="28">
        <v>0.73535795429028705</v>
      </c>
      <c r="K15811" s="29">
        <v>0.98289565623980701</v>
      </c>
    </row>
    <row r="15812" spans="1:11" x14ac:dyDescent="0.35">
      <c r="A15812" s="9" t="str">
        <f>HYPERLINK("http://www.ensembl.org/id/WBGene00011547", "WBGene00011547")</f>
        <v>WBGene00011547</v>
      </c>
      <c r="B15812" s="9" t="str">
        <f>HYPERLINK("http://www.ncbi.nlm.nih.gov/gene/188197", "188197")</f>
        <v>188197</v>
      </c>
      <c r="C15812" s="9"/>
      <c r="D15812" t="str">
        <f>"T06G6.5"</f>
        <v>T06G6.5</v>
      </c>
      <c r="F15812" t="s">
        <v>11</v>
      </c>
      <c r="H15812" s="12">
        <v>7.8691597089380902</v>
      </c>
      <c r="I15812" s="20">
        <v>0.61251365190975104</v>
      </c>
      <c r="J15812" s="28">
        <v>0.54019796842331003</v>
      </c>
      <c r="K15812" s="29">
        <v>0.98289565623980701</v>
      </c>
    </row>
    <row r="15813" spans="1:11" x14ac:dyDescent="0.35">
      <c r="A15813" s="9" t="str">
        <f>HYPERLINK("http://www.ensembl.org/id/WBGene00197930", "WBGene00197930")</f>
        <v>WBGene00197930</v>
      </c>
      <c r="B15813" s="9"/>
      <c r="C15813" s="9"/>
      <c r="D15813" t="str">
        <f>"T06H11.11"</f>
        <v>T06H11.11</v>
      </c>
      <c r="F15813" t="s">
        <v>481</v>
      </c>
      <c r="H15813" s="12">
        <v>-2.3724078966155999</v>
      </c>
      <c r="I15813" s="20">
        <v>-0.54125732949135696</v>
      </c>
      <c r="J15813" s="28">
        <v>0.58833022727051498</v>
      </c>
      <c r="K15813" s="29">
        <v>0.98289565623980701</v>
      </c>
    </row>
    <row r="15814" spans="1:11" x14ac:dyDescent="0.35">
      <c r="A15814" s="9" t="str">
        <f>HYPERLINK("http://www.ensembl.org/id/WBGene00011552", "WBGene00011552")</f>
        <v>WBGene00011552</v>
      </c>
      <c r="B15814" s="9" t="str">
        <f>HYPERLINK("http://www.ncbi.nlm.nih.gov/gene/188202", "188202")</f>
        <v>188202</v>
      </c>
      <c r="C15814" s="9"/>
      <c r="D15814" t="str">
        <f>"T06H11.2"</f>
        <v>T06H11.2</v>
      </c>
      <c r="F15814" t="s">
        <v>11</v>
      </c>
      <c r="H15814" s="12">
        <v>-1.5720971905041801</v>
      </c>
      <c r="I15814" s="20">
        <v>-0.34770069451843899</v>
      </c>
      <c r="J15814" s="28">
        <v>0.72806497502478795</v>
      </c>
      <c r="K15814" s="29">
        <v>0.98289565623980701</v>
      </c>
    </row>
    <row r="15815" spans="1:11" x14ac:dyDescent="0.35">
      <c r="A15815" s="9" t="str">
        <f>HYPERLINK("http://www.ensembl.org/id/WBGene00011553", "WBGene00011553")</f>
        <v>WBGene00011553</v>
      </c>
      <c r="B15815" s="9" t="str">
        <f>HYPERLINK("http://www.ncbi.nlm.nih.gov/gene/3565130", "3565130")</f>
        <v>3565130</v>
      </c>
      <c r="C15815" s="9"/>
      <c r="D15815" t="str">
        <f>"T06H11.5"</f>
        <v>T06H11.5</v>
      </c>
      <c r="F15815" t="s">
        <v>11</v>
      </c>
      <c r="H15815" s="12">
        <v>5.4058944669092801</v>
      </c>
      <c r="I15815" s="20">
        <v>0.49762513753689303</v>
      </c>
      <c r="J15815" s="28">
        <v>0.61874828254921799</v>
      </c>
      <c r="K15815" s="29">
        <v>0.98289565623980701</v>
      </c>
    </row>
    <row r="15816" spans="1:11" x14ac:dyDescent="0.35">
      <c r="A15816" s="9" t="str">
        <f>HYPERLINK("http://www.ensembl.org/id/WBGene00197124", "WBGene00197124")</f>
        <v>WBGene00197124</v>
      </c>
      <c r="B15816" s="9"/>
      <c r="C15816" s="9"/>
      <c r="D15816" t="str">
        <f>"T06H11.9"</f>
        <v>T06H11.9</v>
      </c>
      <c r="F15816" t="s">
        <v>481</v>
      </c>
      <c r="H15816" s="12">
        <v>3.5227018545059199</v>
      </c>
      <c r="I15816" s="20">
        <v>0.36849691206929103</v>
      </c>
      <c r="J15816" s="28">
        <v>0.71250274722433404</v>
      </c>
      <c r="K15816" s="29">
        <v>0.98289565623980701</v>
      </c>
    </row>
    <row r="15817" spans="1:11" x14ac:dyDescent="0.35">
      <c r="A15817" s="9" t="str">
        <f>HYPERLINK("http://www.ensembl.org/id/WBGene00011558", "WBGene00011558")</f>
        <v>WBGene00011558</v>
      </c>
      <c r="B15817" s="9" t="str">
        <f>HYPERLINK("http://www.ncbi.nlm.nih.gov/gene/3565877", "3565877")</f>
        <v>3565877</v>
      </c>
      <c r="C15817" s="9"/>
      <c r="D15817" t="str">
        <f>"T07A5.5"</f>
        <v>T07A5.5</v>
      </c>
      <c r="F15817" t="s">
        <v>11</v>
      </c>
      <c r="G15817" t="s">
        <v>6715</v>
      </c>
      <c r="H15817" s="12">
        <v>-1.08589164122103</v>
      </c>
      <c r="I15817" s="20">
        <v>-0.391692737667448</v>
      </c>
      <c r="J15817" s="28">
        <v>0.69528525664666496</v>
      </c>
      <c r="K15817" s="29">
        <v>0.98289565623980701</v>
      </c>
    </row>
    <row r="15818" spans="1:11" x14ac:dyDescent="0.35">
      <c r="A15818" s="9" t="str">
        <f>HYPERLINK("http://www.ensembl.org/id/WBGene00045475", "WBGene00045475")</f>
        <v>WBGene00045475</v>
      </c>
      <c r="B15818" s="9" t="str">
        <f>HYPERLINK("http://www.ncbi.nlm.nih.gov/gene/6418657", "6418657")</f>
        <v>6418657</v>
      </c>
      <c r="C15818" s="9"/>
      <c r="D15818" t="str">
        <f>"T07A5.7"</f>
        <v>T07A5.7</v>
      </c>
      <c r="F15818" t="s">
        <v>11</v>
      </c>
      <c r="H15818" s="12">
        <v>1.31821043420168</v>
      </c>
      <c r="I15818" s="20">
        <v>0.31026562389053502</v>
      </c>
      <c r="J15818" s="28">
        <v>0.75635897026729604</v>
      </c>
      <c r="K15818" s="29">
        <v>0.98289565623980701</v>
      </c>
    </row>
    <row r="15819" spans="1:11" x14ac:dyDescent="0.35">
      <c r="A15819" s="9" t="str">
        <f>HYPERLINK("http://www.ensembl.org/id/WBGene00020298", "WBGene00020298")</f>
        <v>WBGene00020298</v>
      </c>
      <c r="B15819" s="9" t="str">
        <f>HYPERLINK("http://www.ncbi.nlm.nih.gov/gene/176862", "176862")</f>
        <v>176862</v>
      </c>
      <c r="C15819" s="9"/>
      <c r="D15819" t="str">
        <f>"T07A9.10"</f>
        <v>T07A9.10</v>
      </c>
      <c r="F15819" t="s">
        <v>11</v>
      </c>
      <c r="G15819" t="s">
        <v>6275</v>
      </c>
      <c r="H15819" s="12">
        <v>-1.0584905719875699</v>
      </c>
      <c r="I15819" s="20">
        <v>-0.28579824959105199</v>
      </c>
      <c r="J15819" s="28">
        <v>0.775032648861261</v>
      </c>
      <c r="K15819" s="29">
        <v>0.98289565623980701</v>
      </c>
    </row>
    <row r="15820" spans="1:11" x14ac:dyDescent="0.35">
      <c r="A15820" s="9" t="str">
        <f>HYPERLINK("http://www.ensembl.org/id/WBGene00020299", "WBGene00020299")</f>
        <v>WBGene00020299</v>
      </c>
      <c r="B15820" s="9" t="str">
        <f>HYPERLINK("http://www.ncbi.nlm.nih.gov/gene/176867", "176867")</f>
        <v>176867</v>
      </c>
      <c r="C15820" s="9"/>
      <c r="D15820" t="str">
        <f>"T07A9.12"</f>
        <v>T07A9.12</v>
      </c>
      <c r="F15820" t="s">
        <v>11</v>
      </c>
      <c r="G15820" t="s">
        <v>5614</v>
      </c>
      <c r="H15820" s="12">
        <v>1.13428218379902</v>
      </c>
      <c r="I15820" s="20">
        <v>0.47667359696028899</v>
      </c>
      <c r="J15820" s="28">
        <v>0.63359456693478999</v>
      </c>
      <c r="K15820" s="29">
        <v>0.98289565623980701</v>
      </c>
    </row>
    <row r="15821" spans="1:11" x14ac:dyDescent="0.35">
      <c r="A15821" s="9" t="str">
        <f>HYPERLINK("http://www.ensembl.org/id/WBGene00044789", "WBGene00044789")</f>
        <v>WBGene00044789</v>
      </c>
      <c r="B15821" s="9" t="str">
        <f>HYPERLINK("http://www.ncbi.nlm.nih.gov/gene/4363068", "4363068")</f>
        <v>4363068</v>
      </c>
      <c r="C15821" s="9"/>
      <c r="D15821" t="str">
        <f>"T07A9.14"</f>
        <v>T07A9.14</v>
      </c>
      <c r="F15821" t="s">
        <v>11</v>
      </c>
      <c r="H15821" s="12">
        <v>-1.20266680331149</v>
      </c>
      <c r="I15821" s="20">
        <v>-0.85247620953787895</v>
      </c>
      <c r="J15821" s="28">
        <v>0.39394983780280501</v>
      </c>
      <c r="K15821" s="29">
        <v>0.98289565623980701</v>
      </c>
    </row>
    <row r="15822" spans="1:11" x14ac:dyDescent="0.35">
      <c r="A15822" s="9" t="str">
        <f>HYPERLINK("http://www.ensembl.org/id/WBGene00011574", "WBGene00011574")</f>
        <v>WBGene00011574</v>
      </c>
      <c r="B15822" s="9" t="str">
        <f>HYPERLINK("http://www.ncbi.nlm.nih.gov/gene/188218", "188218")</f>
        <v>188218</v>
      </c>
      <c r="C15822" s="9"/>
      <c r="D15822" t="str">
        <f>"T07C12.10"</f>
        <v>T07C12.10</v>
      </c>
      <c r="F15822" t="s">
        <v>11</v>
      </c>
      <c r="H15822" s="12">
        <v>-3.7261494131482999</v>
      </c>
      <c r="I15822" s="20">
        <v>-0.38454673129429601</v>
      </c>
      <c r="J15822" s="28">
        <v>0.70057326682554</v>
      </c>
      <c r="K15822" s="29">
        <v>0.98289565623980701</v>
      </c>
    </row>
    <row r="15823" spans="1:11" x14ac:dyDescent="0.35">
      <c r="A15823" s="9" t="str">
        <f>HYPERLINK("http://www.ensembl.org/id/WBGene00197354", "WBGene00197354")</f>
        <v>WBGene00197354</v>
      </c>
      <c r="B15823" s="9"/>
      <c r="C15823" s="9"/>
      <c r="D15823" t="str">
        <f>"T07C12.17"</f>
        <v>T07C12.17</v>
      </c>
      <c r="F15823" t="s">
        <v>481</v>
      </c>
      <c r="H15823" s="12">
        <v>4.4368407117627902</v>
      </c>
      <c r="I15823" s="20">
        <v>0.43709475933309699</v>
      </c>
      <c r="J15823" s="28">
        <v>0.66204262779770495</v>
      </c>
      <c r="K15823" s="29">
        <v>0.98289565623980701</v>
      </c>
    </row>
    <row r="15824" spans="1:11" x14ac:dyDescent="0.35">
      <c r="A15824" s="9" t="str">
        <f>HYPERLINK("http://www.ensembl.org/id/WBGene00044891", "WBGene00044891")</f>
        <v>WBGene00044891</v>
      </c>
      <c r="B15824" s="9" t="str">
        <f>HYPERLINK("http://www.ncbi.nlm.nih.gov/gene/4363045", "4363045")</f>
        <v>4363045</v>
      </c>
      <c r="C15824" s="9"/>
      <c r="D15824" t="str">
        <f>"T07C4.12"</f>
        <v>T07C4.12</v>
      </c>
      <c r="F15824" t="s">
        <v>11</v>
      </c>
      <c r="H15824" s="12">
        <v>-1.2395261823282999</v>
      </c>
      <c r="I15824" s="20">
        <v>-0.87659913540606504</v>
      </c>
      <c r="J15824" s="28">
        <v>0.38070440897580599</v>
      </c>
      <c r="K15824" s="29">
        <v>0.98289565623980701</v>
      </c>
    </row>
    <row r="15825" spans="1:11" x14ac:dyDescent="0.35">
      <c r="A15825" s="9" t="str">
        <f>HYPERLINK("http://www.ensembl.org/id/WBGene00197998", "WBGene00197998")</f>
        <v>WBGene00197998</v>
      </c>
      <c r="B15825" s="9"/>
      <c r="C15825" s="9"/>
      <c r="D15825" t="str">
        <f>"T07D1.10"</f>
        <v>T07D1.10</v>
      </c>
      <c r="F15825" t="s">
        <v>481</v>
      </c>
      <c r="H15825" s="12">
        <v>-2.4295389261469</v>
      </c>
      <c r="I15825" s="20">
        <v>-0.25808529976640998</v>
      </c>
      <c r="J15825" s="28">
        <v>0.79634107645457397</v>
      </c>
      <c r="K15825" s="29">
        <v>0.98289565623980701</v>
      </c>
    </row>
    <row r="15826" spans="1:11" x14ac:dyDescent="0.35">
      <c r="A15826" s="9" t="str">
        <f>HYPERLINK("http://www.ensembl.org/id/WBGene00020301", "WBGene00020301")</f>
        <v>WBGene00020301</v>
      </c>
      <c r="B15826" s="9" t="str">
        <f>HYPERLINK("http://www.ncbi.nlm.nih.gov/gene/180548", "180548")</f>
        <v>180548</v>
      </c>
      <c r="C15826" s="9" t="str">
        <f>HYPERLINK("http://www.ncbi.nlm.nih.gov/gene/64777", "64777")</f>
        <v>64777</v>
      </c>
      <c r="D15826" t="str">
        <f>"T07D1.2"</f>
        <v>T07D1.2</v>
      </c>
      <c r="F15826" t="s">
        <v>11</v>
      </c>
      <c r="G15826" t="s">
        <v>7984</v>
      </c>
      <c r="H15826" s="12">
        <v>-1.1546032349884301</v>
      </c>
      <c r="I15826" s="20">
        <v>-0.77265204345961302</v>
      </c>
      <c r="J15826" s="28">
        <v>0.43972833533208899</v>
      </c>
      <c r="K15826" s="29">
        <v>0.98289565623980701</v>
      </c>
    </row>
    <row r="15827" spans="1:11" x14ac:dyDescent="0.35">
      <c r="A15827" s="9" t="str">
        <f>HYPERLINK("http://www.ensembl.org/id/WBGene00011581", "WBGene00011581")</f>
        <v>WBGene00011581</v>
      </c>
      <c r="B15827" s="9" t="str">
        <f>HYPERLINK("http://www.ncbi.nlm.nih.gov/gene/173130", "173130")</f>
        <v>173130</v>
      </c>
      <c r="C15827" s="9"/>
      <c r="D15827" t="str">
        <f>"T07D10.1"</f>
        <v>T07D10.1</v>
      </c>
      <c r="F15827" t="s">
        <v>11</v>
      </c>
      <c r="G15827" t="s">
        <v>25</v>
      </c>
      <c r="H15827" s="12">
        <v>2.4769833300767399</v>
      </c>
      <c r="I15827" s="20">
        <v>0.81498373634083099</v>
      </c>
      <c r="J15827" s="28">
        <v>0.41508161958752898</v>
      </c>
      <c r="K15827" s="29">
        <v>0.98289565623980701</v>
      </c>
    </row>
    <row r="15828" spans="1:11" x14ac:dyDescent="0.35">
      <c r="A15828" s="9" t="str">
        <f>HYPERLINK("http://www.ensembl.org/id/WBGene00194657", "WBGene00194657")</f>
        <v>WBGene00194657</v>
      </c>
      <c r="B15828" s="9"/>
      <c r="C15828" s="9"/>
      <c r="D15828" t="str">
        <f>"T07D10.10"</f>
        <v>T07D10.10</v>
      </c>
      <c r="F15828" t="s">
        <v>80</v>
      </c>
      <c r="H15828" s="12">
        <v>2.3796915249412098</v>
      </c>
      <c r="I15828" s="20">
        <v>1.06101142066626</v>
      </c>
      <c r="J15828" s="28">
        <v>0.28868471100036502</v>
      </c>
      <c r="K15828" s="29">
        <v>0.98289565623980701</v>
      </c>
    </row>
    <row r="15829" spans="1:11" x14ac:dyDescent="0.35">
      <c r="A15829" s="9" t="str">
        <f>HYPERLINK("http://www.ensembl.org/id/WBGene00045509", "WBGene00045509")</f>
        <v>WBGene00045509</v>
      </c>
      <c r="B15829" s="9"/>
      <c r="C15829" s="9"/>
      <c r="D15829" t="str">
        <f>"T07D10.8"</f>
        <v>T07D10.8</v>
      </c>
      <c r="F15829" t="s">
        <v>80</v>
      </c>
      <c r="H15829" s="12">
        <v>1.2677125479948701</v>
      </c>
      <c r="I15829" s="20">
        <v>0.51221209106078902</v>
      </c>
      <c r="J15829" s="28">
        <v>0.60850258185347095</v>
      </c>
      <c r="K15829" s="29">
        <v>0.98289565623980701</v>
      </c>
    </row>
    <row r="15830" spans="1:11" x14ac:dyDescent="0.35">
      <c r="A15830" s="9" t="str">
        <f>HYPERLINK("http://www.ensembl.org/id/WBGene00014510", "WBGene00014510")</f>
        <v>WBGene00014510</v>
      </c>
      <c r="B15830" s="9"/>
      <c r="C15830" s="9"/>
      <c r="D15830" t="str">
        <f>"T07D10.t1"</f>
        <v>T07D10.t1</v>
      </c>
      <c r="F15830" t="s">
        <v>4208</v>
      </c>
      <c r="H15830" s="12">
        <v>2.4578120077400301</v>
      </c>
      <c r="I15830" s="20">
        <v>0.26093350314551</v>
      </c>
      <c r="J15830" s="28">
        <v>0.79414378780213601</v>
      </c>
      <c r="K15830" s="29">
        <v>0.98289565623980701</v>
      </c>
    </row>
    <row r="15831" spans="1:11" x14ac:dyDescent="0.35">
      <c r="A15831" s="9" t="str">
        <f>HYPERLINK("http://www.ensembl.org/id/WBGene00220060", "WBGene00220060")</f>
        <v>WBGene00220060</v>
      </c>
      <c r="B15831" s="9"/>
      <c r="C15831" s="9"/>
      <c r="D15831" t="str">
        <f>"T07D3.12"</f>
        <v>T07D3.12</v>
      </c>
      <c r="F15831" t="s">
        <v>481</v>
      </c>
      <c r="H15831" s="12">
        <v>3.5227018545059199</v>
      </c>
      <c r="I15831" s="20">
        <v>0.36849691206929103</v>
      </c>
      <c r="J15831" s="28">
        <v>0.71250274722433404</v>
      </c>
      <c r="K15831" s="29">
        <v>0.98289565623980701</v>
      </c>
    </row>
    <row r="15832" spans="1:11" x14ac:dyDescent="0.35">
      <c r="A15832" s="9" t="str">
        <f>HYPERLINK("http://www.ensembl.org/id/WBGene00020305", "WBGene00020305")</f>
        <v>WBGene00020305</v>
      </c>
      <c r="B15832" s="9" t="str">
        <f>HYPERLINK("http://www.ncbi.nlm.nih.gov/gene/188222", "188222")</f>
        <v>188222</v>
      </c>
      <c r="C15832" s="9"/>
      <c r="D15832" t="str">
        <f>"T07D3.2"</f>
        <v>T07D3.2</v>
      </c>
      <c r="F15832" t="s">
        <v>11</v>
      </c>
      <c r="H15832" s="12">
        <v>11.1220794872164</v>
      </c>
      <c r="I15832" s="20">
        <v>1.14523746823497</v>
      </c>
      <c r="J15832" s="28">
        <v>0.25211080132581298</v>
      </c>
      <c r="K15832" s="29">
        <v>0.98289565623980701</v>
      </c>
    </row>
    <row r="15833" spans="1:11" x14ac:dyDescent="0.35">
      <c r="A15833" s="9" t="str">
        <f>HYPERLINK("http://www.ensembl.org/id/WBGene00020307", "WBGene00020307")</f>
        <v>WBGene00020307</v>
      </c>
      <c r="B15833" s="9" t="str">
        <f>HYPERLINK("http://www.ncbi.nlm.nih.gov/gene/173469", "173469")</f>
        <v>173469</v>
      </c>
      <c r="C15833" s="9"/>
      <c r="D15833" t="str">
        <f>"T07D3.4"</f>
        <v>T07D3.4</v>
      </c>
      <c r="F15833" t="s">
        <v>11</v>
      </c>
      <c r="H15833" s="12">
        <v>1.0802021492756</v>
      </c>
      <c r="I15833" s="20">
        <v>0.299647664407174</v>
      </c>
      <c r="J15833" s="28">
        <v>0.76444592282483603</v>
      </c>
      <c r="K15833" s="29">
        <v>0.98289565623980701</v>
      </c>
    </row>
    <row r="15834" spans="1:11" x14ac:dyDescent="0.35">
      <c r="A15834" s="9" t="str">
        <f>HYPERLINK("http://www.ensembl.org/id/WBGene00020308", "WBGene00020308")</f>
        <v>WBGene00020308</v>
      </c>
      <c r="B15834" s="9"/>
      <c r="C15834" s="9"/>
      <c r="D15834" t="str">
        <f>"T07D3.5"</f>
        <v>T07D3.5</v>
      </c>
      <c r="F15834" t="s">
        <v>80</v>
      </c>
      <c r="H15834" s="12">
        <v>5.09837976939356</v>
      </c>
      <c r="I15834" s="20">
        <v>0.82441941044504197</v>
      </c>
      <c r="J15834" s="28">
        <v>0.40970128954226798</v>
      </c>
      <c r="K15834" s="29">
        <v>0.98289565623980701</v>
      </c>
    </row>
    <row r="15835" spans="1:11" x14ac:dyDescent="0.35">
      <c r="A15835" s="9" t="str">
        <f>HYPERLINK("http://www.ensembl.org/id/WBGene00020309", "WBGene00020309")</f>
        <v>WBGene00020309</v>
      </c>
      <c r="B15835" s="9"/>
      <c r="C15835" s="9"/>
      <c r="D15835" t="str">
        <f>"T07D3.6"</f>
        <v>T07D3.6</v>
      </c>
      <c r="F15835" t="s">
        <v>80</v>
      </c>
      <c r="H15835" s="12">
        <v>2.1828778740593902</v>
      </c>
      <c r="I15835" s="20">
        <v>0.88926802669377802</v>
      </c>
      <c r="J15835" s="28">
        <v>0.37385905067298197</v>
      </c>
      <c r="K15835" s="29">
        <v>0.98289565623980701</v>
      </c>
    </row>
    <row r="15836" spans="1:11" x14ac:dyDescent="0.35">
      <c r="A15836" s="9" t="str">
        <f>HYPERLINK("http://www.ensembl.org/id/WBGene00011579", "WBGene00011579")</f>
        <v>WBGene00011579</v>
      </c>
      <c r="B15836" s="9" t="str">
        <f>HYPERLINK("http://www.ncbi.nlm.nih.gov/gene/174416", "174416")</f>
        <v>174416</v>
      </c>
      <c r="C15836" s="9" t="str">
        <f>HYPERLINK("http://www.ncbi.nlm.nih.gov/gene/758", "758")</f>
        <v>758</v>
      </c>
      <c r="D15836" t="str">
        <f>"T07D4.2"</f>
        <v>T07D4.2</v>
      </c>
      <c r="E15836" t="s">
        <v>8643</v>
      </c>
      <c r="F15836" t="s">
        <v>11</v>
      </c>
      <c r="G15836" t="s">
        <v>7351</v>
      </c>
      <c r="H15836" s="12">
        <v>-1.1883732426612501</v>
      </c>
      <c r="I15836" s="20">
        <v>-0.66527631151009803</v>
      </c>
      <c r="J15836" s="28">
        <v>0.50587377897877095</v>
      </c>
      <c r="K15836" s="29">
        <v>0.98289565623980701</v>
      </c>
    </row>
    <row r="15837" spans="1:11" x14ac:dyDescent="0.35">
      <c r="A15837" s="9" t="str">
        <f>HYPERLINK("http://www.ensembl.org/id/WBGene00045407", "WBGene00045407")</f>
        <v>WBGene00045407</v>
      </c>
      <c r="B15837" s="9" t="str">
        <f>HYPERLINK("http://www.ncbi.nlm.nih.gov/gene/6418633", "6418633")</f>
        <v>6418633</v>
      </c>
      <c r="C15837" s="9"/>
      <c r="D15837" t="str">
        <f>"T07D4.5"</f>
        <v>T07D4.5</v>
      </c>
      <c r="F15837" t="s">
        <v>11</v>
      </c>
      <c r="H15837" s="12">
        <v>-1.2543007596455</v>
      </c>
      <c r="I15837" s="20">
        <v>-0.96455101548327404</v>
      </c>
      <c r="J15837" s="28">
        <v>0.33476974446333302</v>
      </c>
      <c r="K15837" s="29">
        <v>0.98289565623980701</v>
      </c>
    </row>
    <row r="15838" spans="1:11" x14ac:dyDescent="0.35">
      <c r="A15838" s="9" t="str">
        <f>HYPERLINK("http://www.ensembl.org/id/WBGene00011589", "WBGene00011589")</f>
        <v>WBGene00011589</v>
      </c>
      <c r="B15838" s="9" t="str">
        <f>HYPERLINK("http://www.ncbi.nlm.nih.gov/gene/179765", "179765")</f>
        <v>179765</v>
      </c>
      <c r="C15838" s="9"/>
      <c r="D15838" t="str">
        <f>"T07F10.3"</f>
        <v>T07F10.3</v>
      </c>
      <c r="F15838" t="s">
        <v>11</v>
      </c>
      <c r="G15838" t="s">
        <v>7798</v>
      </c>
      <c r="H15838" s="12">
        <v>-1.1452885859561901</v>
      </c>
      <c r="I15838" s="20">
        <v>-0.59229686596160203</v>
      </c>
      <c r="J15838" s="28">
        <v>0.55365181419740805</v>
      </c>
      <c r="K15838" s="29">
        <v>0.98289565623980701</v>
      </c>
    </row>
    <row r="15839" spans="1:11" x14ac:dyDescent="0.35">
      <c r="A15839" s="9" t="str">
        <f>HYPERLINK("http://www.ensembl.org/id/WBGene00011591", "WBGene00011591")</f>
        <v>WBGene00011591</v>
      </c>
      <c r="B15839" s="9" t="str">
        <f>HYPERLINK("http://www.ncbi.nlm.nih.gov/gene/188237", "188237")</f>
        <v>188237</v>
      </c>
      <c r="C15839" s="9"/>
      <c r="D15839" t="str">
        <f>"T07F10.5"</f>
        <v>T07F10.5</v>
      </c>
      <c r="F15839" t="s">
        <v>11</v>
      </c>
      <c r="G15839" t="s">
        <v>4346</v>
      </c>
      <c r="H15839" s="12">
        <v>-1.56576844007759</v>
      </c>
      <c r="I15839" s="20">
        <v>-0.52615363378959601</v>
      </c>
      <c r="J15839" s="28">
        <v>0.59878146632834395</v>
      </c>
      <c r="K15839" s="29">
        <v>0.98289565623980701</v>
      </c>
    </row>
    <row r="15840" spans="1:11" x14ac:dyDescent="0.35">
      <c r="A15840" s="9" t="str">
        <f>HYPERLINK("http://www.ensembl.org/id/WBGene00011592", "WBGene00011592")</f>
        <v>WBGene00011592</v>
      </c>
      <c r="B15840" s="9" t="str">
        <f>HYPERLINK("http://www.ncbi.nlm.nih.gov/gene/179764", "179764")</f>
        <v>179764</v>
      </c>
      <c r="C15840" s="9"/>
      <c r="D15840" t="str">
        <f>"T07F10.6"</f>
        <v>T07F10.6</v>
      </c>
      <c r="F15840" t="s">
        <v>11</v>
      </c>
      <c r="H15840" s="12">
        <v>1.15136884985178</v>
      </c>
      <c r="I15840" s="20">
        <v>0.50479281319232705</v>
      </c>
      <c r="J15840" s="28">
        <v>0.61370436409212803</v>
      </c>
      <c r="K15840" s="29">
        <v>0.98289565623980701</v>
      </c>
    </row>
    <row r="15841" spans="1:11" x14ac:dyDescent="0.35">
      <c r="A15841" s="9" t="str">
        <f>HYPERLINK("http://www.ensembl.org/id/WBGene00196853", "WBGene00196853")</f>
        <v>WBGene00196853</v>
      </c>
      <c r="B15841" s="9"/>
      <c r="C15841" s="9"/>
      <c r="D15841" t="str">
        <f>"T07F10.9"</f>
        <v>T07F10.9</v>
      </c>
      <c r="F15841" t="s">
        <v>481</v>
      </c>
      <c r="H15841" s="12">
        <v>-3.5819448292659501</v>
      </c>
      <c r="I15841" s="20">
        <v>-0.37337717500031398</v>
      </c>
      <c r="J15841" s="28">
        <v>0.70886774492290605</v>
      </c>
      <c r="K15841" s="29">
        <v>0.98289565623980701</v>
      </c>
    </row>
    <row r="15842" spans="1:11" x14ac:dyDescent="0.35">
      <c r="A15842" s="9" t="str">
        <f>HYPERLINK("http://www.ensembl.org/id/WBGene00020321", "WBGene00020321")</f>
        <v>WBGene00020321</v>
      </c>
      <c r="B15842" s="9" t="str">
        <f>HYPERLINK("http://www.ncbi.nlm.nih.gov/gene/188238", "188238")</f>
        <v>188238</v>
      </c>
      <c r="C15842" s="9" t="str">
        <f>HYPERLINK("http://www.ncbi.nlm.nih.gov/gene/84959", "84959")</f>
        <v>84959</v>
      </c>
      <c r="D15842" t="str">
        <f>"T07F12.1"</f>
        <v>T07F12.1</v>
      </c>
      <c r="F15842" t="s">
        <v>11</v>
      </c>
      <c r="H15842" s="12">
        <v>-1.1235821561659101</v>
      </c>
      <c r="I15842" s="20">
        <v>-0.54725232026120896</v>
      </c>
      <c r="J15842" s="28">
        <v>0.58420539571026497</v>
      </c>
      <c r="K15842" s="29">
        <v>0.98289565623980701</v>
      </c>
    </row>
    <row r="15843" spans="1:11" x14ac:dyDescent="0.35">
      <c r="A15843" s="9" t="str">
        <f>HYPERLINK("http://www.ensembl.org/id/WBGene00020322", "WBGene00020322")</f>
        <v>WBGene00020322</v>
      </c>
      <c r="B15843" s="9" t="str">
        <f>HYPERLINK("http://www.ncbi.nlm.nih.gov/gene/180762", "180762")</f>
        <v>180762</v>
      </c>
      <c r="C15843" s="9"/>
      <c r="D15843" t="str">
        <f>"T07F12.2"</f>
        <v>T07F12.2</v>
      </c>
      <c r="F15843" t="s">
        <v>11</v>
      </c>
      <c r="G15843" t="s">
        <v>25</v>
      </c>
      <c r="H15843" s="12">
        <v>-1.1979575033099801</v>
      </c>
      <c r="I15843" s="20">
        <v>-0.85283368400141701</v>
      </c>
      <c r="J15843" s="28">
        <v>0.39375154150896402</v>
      </c>
      <c r="K15843" s="29">
        <v>0.98289565623980701</v>
      </c>
    </row>
    <row r="15844" spans="1:11" x14ac:dyDescent="0.35">
      <c r="A15844" s="9" t="str">
        <f>HYPERLINK("http://www.ensembl.org/id/WBGene00020324", "WBGene00020324")</f>
        <v>WBGene00020324</v>
      </c>
      <c r="B15844" s="9"/>
      <c r="C15844" s="9"/>
      <c r="D15844" t="str">
        <f>"T07F12.4"</f>
        <v>T07F12.4</v>
      </c>
      <c r="F15844" t="s">
        <v>11</v>
      </c>
      <c r="G15844" t="s">
        <v>444</v>
      </c>
      <c r="H15844" s="12">
        <v>1.05420785034398</v>
      </c>
      <c r="I15844" s="20">
        <v>0.27080033468583598</v>
      </c>
      <c r="J15844" s="28">
        <v>0.78654460244981905</v>
      </c>
      <c r="K15844" s="29">
        <v>0.98289565623980701</v>
      </c>
    </row>
    <row r="15845" spans="1:11" x14ac:dyDescent="0.35">
      <c r="A15845" s="9" t="str">
        <f>HYPERLINK("http://www.ensembl.org/id/WBGene00196140", "WBGene00196140")</f>
        <v>WBGene00196140</v>
      </c>
      <c r="B15845" s="9"/>
      <c r="C15845" s="9"/>
      <c r="D15845" t="str">
        <f>"T07F12.6"</f>
        <v>T07F12.6</v>
      </c>
      <c r="F15845" t="s">
        <v>481</v>
      </c>
      <c r="H15845" s="12">
        <v>-2.8470777891653798</v>
      </c>
      <c r="I15845" s="20">
        <v>-0.41920650115178398</v>
      </c>
      <c r="J15845" s="28">
        <v>0.67506522125976898</v>
      </c>
      <c r="K15845" s="29">
        <v>0.98289565623980701</v>
      </c>
    </row>
    <row r="15846" spans="1:11" x14ac:dyDescent="0.35">
      <c r="A15846" s="9" t="str">
        <f>HYPERLINK("http://www.ensembl.org/id/WBGene00198902", "WBGene00198902")</f>
        <v>WBGene00198902</v>
      </c>
      <c r="B15846" s="9"/>
      <c r="C15846" s="9"/>
      <c r="D15846" t="str">
        <f>"T07F12.9"</f>
        <v>T07F12.9</v>
      </c>
      <c r="F15846" t="s">
        <v>481</v>
      </c>
      <c r="H15846" s="12">
        <v>-3.33576734137697</v>
      </c>
      <c r="I15846" s="20">
        <v>-0.37789252555813302</v>
      </c>
      <c r="J15846" s="28">
        <v>0.70551043520482504</v>
      </c>
      <c r="K15846" s="29">
        <v>0.98289565623980701</v>
      </c>
    </row>
    <row r="15847" spans="1:11" x14ac:dyDescent="0.35">
      <c r="A15847" s="9" t="str">
        <f>HYPERLINK("http://www.ensembl.org/id/WBGene00020320", "WBGene00020320")</f>
        <v>WBGene00020320</v>
      </c>
      <c r="B15847" s="9" t="str">
        <f>HYPERLINK("http://www.ncbi.nlm.nih.gov/gene/174173", "174173")</f>
        <v>174173</v>
      </c>
      <c r="C15847" s="9"/>
      <c r="D15847" t="str">
        <f>"T07F8.4"</f>
        <v>T07F8.4</v>
      </c>
      <c r="F15847" t="s">
        <v>11</v>
      </c>
      <c r="G15847" t="s">
        <v>9334</v>
      </c>
      <c r="H15847" s="12">
        <v>-1.3599259854633301</v>
      </c>
      <c r="I15847" s="20">
        <v>-1.19582736061112</v>
      </c>
      <c r="J15847" s="28">
        <v>0.231763936416226</v>
      </c>
      <c r="K15847" s="29">
        <v>0.98289565623980701</v>
      </c>
    </row>
    <row r="15848" spans="1:11" x14ac:dyDescent="0.35">
      <c r="A15848" s="9" t="str">
        <f>HYPERLINK("http://www.ensembl.org/id/WBGene00044606", "WBGene00044606")</f>
        <v>WBGene00044606</v>
      </c>
      <c r="B15848" s="9"/>
      <c r="C15848" s="9"/>
      <c r="D15848" t="str">
        <f>"T07G12.14"</f>
        <v>T07G12.14</v>
      </c>
      <c r="F15848" t="s">
        <v>80</v>
      </c>
      <c r="H15848" s="12">
        <v>3.6645215954135</v>
      </c>
      <c r="I15848" s="20">
        <v>0.37967131826092498</v>
      </c>
      <c r="J15848" s="28">
        <v>0.70418941338960395</v>
      </c>
      <c r="K15848" s="29">
        <v>0.98289565623980701</v>
      </c>
    </row>
    <row r="15849" spans="1:11" x14ac:dyDescent="0.35">
      <c r="A15849" s="9" t="str">
        <f>HYPERLINK("http://www.ensembl.org/id/WBGene00011595", "WBGene00011595")</f>
        <v>WBGene00011595</v>
      </c>
      <c r="B15849" s="9" t="str">
        <f>HYPERLINK("http://www.ncbi.nlm.nih.gov/gene/188243", "188243")</f>
        <v>188243</v>
      </c>
      <c r="C15849" s="9"/>
      <c r="D15849" t="str">
        <f>"T07G12.4"</f>
        <v>T07G12.4</v>
      </c>
      <c r="F15849" t="s">
        <v>11</v>
      </c>
      <c r="G15849" t="s">
        <v>230</v>
      </c>
      <c r="H15849" s="12">
        <v>4.4368407117627902</v>
      </c>
      <c r="I15849" s="20">
        <v>0.43709475933309699</v>
      </c>
      <c r="J15849" s="28">
        <v>0.66204262779770495</v>
      </c>
      <c r="K15849" s="29">
        <v>0.98289565623980701</v>
      </c>
    </row>
    <row r="15850" spans="1:11" x14ac:dyDescent="0.35">
      <c r="A15850" s="9" t="str">
        <f>HYPERLINK("http://www.ensembl.org/id/WBGene00011596", "WBGene00011596")</f>
        <v>WBGene00011596</v>
      </c>
      <c r="B15850" s="9" t="str">
        <f>HYPERLINK("http://www.ncbi.nlm.nih.gov/gene/177946", "177946")</f>
        <v>177946</v>
      </c>
      <c r="C15850" s="9"/>
      <c r="D15850" t="str">
        <f>"T07G12.5"</f>
        <v>T07G12.5</v>
      </c>
      <c r="F15850" t="s">
        <v>11</v>
      </c>
      <c r="G15850" t="s">
        <v>230</v>
      </c>
      <c r="H15850" s="12">
        <v>-1.6138073218650399</v>
      </c>
      <c r="I15850" s="20">
        <v>-0.51716913700259604</v>
      </c>
      <c r="J15850" s="28">
        <v>0.60503809451403401</v>
      </c>
      <c r="K15850" s="29">
        <v>0.98289565623980701</v>
      </c>
    </row>
    <row r="15851" spans="1:11" x14ac:dyDescent="0.35">
      <c r="A15851" s="9" t="str">
        <f>HYPERLINK("http://www.ensembl.org/id/WBGene00194704", "WBGene00194704")</f>
        <v>WBGene00194704</v>
      </c>
      <c r="B15851" s="9" t="str">
        <f>HYPERLINK("http://www.ncbi.nlm.nih.gov/gene/13183664", "13183664")</f>
        <v>13183664</v>
      </c>
      <c r="C15851" s="9"/>
      <c r="D15851" t="str">
        <f>"T07H3.8"</f>
        <v>T07H3.8</v>
      </c>
      <c r="F15851" t="s">
        <v>11</v>
      </c>
      <c r="H15851" s="12">
        <v>-2.01680268540892</v>
      </c>
      <c r="I15851" s="20">
        <v>-0.28392076742908301</v>
      </c>
      <c r="J15851" s="28">
        <v>0.77647110102079697</v>
      </c>
      <c r="K15851" s="29">
        <v>0.98289565623980701</v>
      </c>
    </row>
    <row r="15852" spans="1:11" x14ac:dyDescent="0.35">
      <c r="A15852" s="9" t="str">
        <f>HYPERLINK("http://www.ensembl.org/id/WBGene00020330", "WBGene00020330")</f>
        <v>WBGene00020330</v>
      </c>
      <c r="B15852" s="9" t="str">
        <f>HYPERLINK("http://www.ncbi.nlm.nih.gov/gene/180905", "180905")</f>
        <v>180905</v>
      </c>
      <c r="C15852" s="9"/>
      <c r="D15852" t="str">
        <f>"T07H6.1"</f>
        <v>T07H6.1</v>
      </c>
      <c r="F15852" t="s">
        <v>11</v>
      </c>
      <c r="G15852" t="s">
        <v>4628</v>
      </c>
      <c r="H15852" s="12">
        <v>1.5775474603092401</v>
      </c>
      <c r="I15852" s="20">
        <v>1.1284151958123001</v>
      </c>
      <c r="J15852" s="28">
        <v>0.259144613195958</v>
      </c>
      <c r="K15852" s="29">
        <v>0.98289565623980701</v>
      </c>
    </row>
    <row r="15853" spans="1:11" x14ac:dyDescent="0.35">
      <c r="A15853" s="9" t="str">
        <f>HYPERLINK("http://www.ensembl.org/id/WBGene00304201", "WBGene00304201")</f>
        <v>WBGene00304201</v>
      </c>
      <c r="B15853" s="9"/>
      <c r="C15853" s="9"/>
      <c r="D15853" t="str">
        <f>"T07H8.11"</f>
        <v>T07H8.11</v>
      </c>
      <c r="F15853" t="s">
        <v>11</v>
      </c>
      <c r="H15853" s="12">
        <v>-1.41431385593466</v>
      </c>
      <c r="I15853" s="20">
        <v>-0.41092660032970102</v>
      </c>
      <c r="J15853" s="28">
        <v>0.68112635672175303</v>
      </c>
      <c r="K15853" s="29">
        <v>0.98289565623980701</v>
      </c>
    </row>
    <row r="15854" spans="1:11" x14ac:dyDescent="0.35">
      <c r="A15854" s="9" t="str">
        <f>HYPERLINK("http://www.ensembl.org/id/WBGene00195767", "WBGene00195767")</f>
        <v>WBGene00195767</v>
      </c>
      <c r="B15854" s="9"/>
      <c r="C15854" s="9"/>
      <c r="D15854" t="str">
        <f>"T08A9.15"</f>
        <v>T08A9.15</v>
      </c>
      <c r="F15854" t="s">
        <v>481</v>
      </c>
      <c r="H15854" s="12">
        <v>3.5227018545059199</v>
      </c>
      <c r="I15854" s="20">
        <v>0.36849691206929103</v>
      </c>
      <c r="J15854" s="28">
        <v>0.71250274722433404</v>
      </c>
      <c r="K15854" s="29">
        <v>0.98289565623980701</v>
      </c>
    </row>
    <row r="15855" spans="1:11" x14ac:dyDescent="0.35">
      <c r="A15855" s="9" t="str">
        <f>HYPERLINK("http://www.ensembl.org/id/WBGene00020338", "WBGene00020338")</f>
        <v>WBGene00020338</v>
      </c>
      <c r="B15855" s="9"/>
      <c r="C15855" s="9"/>
      <c r="D15855" t="str">
        <f>"T08A9.6"</f>
        <v>T08A9.6</v>
      </c>
      <c r="F15855" t="s">
        <v>80</v>
      </c>
      <c r="H15855" s="12">
        <v>1.2895874912463401</v>
      </c>
      <c r="I15855" s="20">
        <v>0.38113478040391702</v>
      </c>
      <c r="J15855" s="28">
        <v>0.70310324062702101</v>
      </c>
      <c r="K15855" s="29">
        <v>0.98289565623980701</v>
      </c>
    </row>
    <row r="15856" spans="1:11" x14ac:dyDescent="0.35">
      <c r="A15856" s="9" t="str">
        <f>HYPERLINK("http://www.ensembl.org/id/WBGene00020350", "WBGene00020350")</f>
        <v>WBGene00020350</v>
      </c>
      <c r="B15856" s="9" t="str">
        <f>HYPERLINK("http://www.ncbi.nlm.nih.gov/gene/172315", "172315")</f>
        <v>172315</v>
      </c>
      <c r="C15856" s="9"/>
      <c r="D15856" t="str">
        <f>"T08B2.12"</f>
        <v>T08B2.12</v>
      </c>
      <c r="F15856" t="s">
        <v>11</v>
      </c>
      <c r="H15856" s="12">
        <v>1.8199767826293201</v>
      </c>
      <c r="I15856" s="20">
        <v>0.43857280414936201</v>
      </c>
      <c r="J15856" s="28">
        <v>0.66097110639756396</v>
      </c>
      <c r="K15856" s="29">
        <v>0.98289565623980701</v>
      </c>
    </row>
    <row r="15857" spans="1:11" x14ac:dyDescent="0.35">
      <c r="A15857" s="9" t="str">
        <f>HYPERLINK("http://www.ensembl.org/id/WBGene00044935", "WBGene00044935")</f>
        <v>WBGene00044935</v>
      </c>
      <c r="B15857" s="9"/>
      <c r="C15857" s="9"/>
      <c r="D15857" t="str">
        <f>"T08B2.13"</f>
        <v>T08B2.13</v>
      </c>
      <c r="F15857" t="s">
        <v>2977</v>
      </c>
      <c r="H15857" s="12">
        <v>-4.0271644433061304</v>
      </c>
      <c r="I15857" s="20">
        <v>-0.47804524091721101</v>
      </c>
      <c r="J15857" s="28">
        <v>0.63261800531855095</v>
      </c>
      <c r="K15857" s="29">
        <v>0.98289565623980701</v>
      </c>
    </row>
    <row r="15858" spans="1:11" x14ac:dyDescent="0.35">
      <c r="A15858" s="9" t="str">
        <f>HYPERLINK("http://www.ensembl.org/id/WBGene00197441", "WBGene00197441")</f>
        <v>WBGene00197441</v>
      </c>
      <c r="B15858" s="9"/>
      <c r="C15858" s="9"/>
      <c r="D15858" t="str">
        <f>"T08B2.14"</f>
        <v>T08B2.14</v>
      </c>
      <c r="F15858" t="s">
        <v>481</v>
      </c>
      <c r="H15858" s="12">
        <v>4.84705885516534</v>
      </c>
      <c r="I15858" s="20">
        <v>0.54594601778963803</v>
      </c>
      <c r="J15858" s="28">
        <v>0.58510304473983399</v>
      </c>
      <c r="K15858" s="29">
        <v>0.98289565623980701</v>
      </c>
    </row>
    <row r="15859" spans="1:11" x14ac:dyDescent="0.35">
      <c r="A15859" s="9" t="str">
        <f>HYPERLINK("http://www.ensembl.org/id/WBGene00206356", "WBGene00206356")</f>
        <v>WBGene00206356</v>
      </c>
      <c r="B15859" s="9" t="str">
        <f>HYPERLINK("http://www.ncbi.nlm.nih.gov/gene/13180513", "13180513")</f>
        <v>13180513</v>
      </c>
      <c r="C15859" s="9"/>
      <c r="D15859" t="str">
        <f>"T08B2.15"</f>
        <v>T08B2.15</v>
      </c>
      <c r="F15859" t="s">
        <v>11</v>
      </c>
      <c r="H15859" s="12">
        <v>4.6295746904522899</v>
      </c>
      <c r="I15859" s="20">
        <v>0.58033316855468098</v>
      </c>
      <c r="J15859" s="28">
        <v>0.56168996399868099</v>
      </c>
      <c r="K15859" s="29">
        <v>0.98289565623980701</v>
      </c>
    </row>
    <row r="15860" spans="1:11" x14ac:dyDescent="0.35">
      <c r="A15860" s="9" t="str">
        <f>HYPERLINK("http://www.ensembl.org/id/WBGene00020345", "WBGene00020345")</f>
        <v>WBGene00020345</v>
      </c>
      <c r="B15860" s="9" t="str">
        <f>HYPERLINK("http://www.ncbi.nlm.nih.gov/gene/188273", "188273")</f>
        <v>188273</v>
      </c>
      <c r="C15860" s="9"/>
      <c r="D15860" t="str">
        <f>"T08B2.4"</f>
        <v>T08B2.4</v>
      </c>
      <c r="F15860" t="s">
        <v>11</v>
      </c>
      <c r="G15860" t="s">
        <v>4604</v>
      </c>
      <c r="H15860" s="12">
        <v>1.6215234366198701</v>
      </c>
      <c r="I15860" s="20">
        <v>0.74092046618583096</v>
      </c>
      <c r="J15860" s="28">
        <v>0.45874166542780398</v>
      </c>
      <c r="K15860" s="29">
        <v>0.98289565623980701</v>
      </c>
    </row>
    <row r="15861" spans="1:11" x14ac:dyDescent="0.35">
      <c r="A15861" s="9" t="str">
        <f>HYPERLINK("http://www.ensembl.org/id/WBGene00020351", "WBGene00020351")</f>
        <v>WBGene00020351</v>
      </c>
      <c r="B15861" s="9" t="str">
        <f>HYPERLINK("http://www.ncbi.nlm.nih.gov/gene/188275", "188275")</f>
        <v>188275</v>
      </c>
      <c r="C15861" s="9"/>
      <c r="D15861" t="str">
        <f>"T08B6.1"</f>
        <v>T08B6.1</v>
      </c>
      <c r="F15861" t="s">
        <v>11</v>
      </c>
      <c r="G15861" t="s">
        <v>10060</v>
      </c>
      <c r="H15861" s="12">
        <v>-2.47063855553482</v>
      </c>
      <c r="I15861" s="20">
        <v>-0.74774801556832704</v>
      </c>
      <c r="J15861" s="28">
        <v>0.45461216326794801</v>
      </c>
      <c r="K15861" s="29">
        <v>0.98289565623980701</v>
      </c>
    </row>
    <row r="15862" spans="1:11" x14ac:dyDescent="0.35">
      <c r="A15862" s="9" t="str">
        <f>HYPERLINK("http://www.ensembl.org/id/WBGene00020352", "WBGene00020352")</f>
        <v>WBGene00020352</v>
      </c>
      <c r="B15862" s="9"/>
      <c r="C15862" s="9"/>
      <c r="D15862" t="str">
        <f>"T08B6.2"</f>
        <v>T08B6.2</v>
      </c>
      <c r="F15862" t="s">
        <v>80</v>
      </c>
      <c r="H15862" s="12">
        <v>-2.0061629429087202</v>
      </c>
      <c r="I15862" s="20">
        <v>-0.74193283110394403</v>
      </c>
      <c r="J15862" s="28">
        <v>0.45812803289615001</v>
      </c>
      <c r="K15862" s="29">
        <v>0.98289565623980701</v>
      </c>
    </row>
    <row r="15863" spans="1:11" x14ac:dyDescent="0.35">
      <c r="A15863" s="9" t="str">
        <f>HYPERLINK("http://www.ensembl.org/id/WBGene00020353", "WBGene00020353")</f>
        <v>WBGene00020353</v>
      </c>
      <c r="B15863" s="9" t="str">
        <f>HYPERLINK("http://www.ncbi.nlm.nih.gov/gene/188277", "188277")</f>
        <v>188277</v>
      </c>
      <c r="C15863" s="9"/>
      <c r="D15863" t="str">
        <f>"T08B6.4"</f>
        <v>T08B6.4</v>
      </c>
      <c r="F15863" t="s">
        <v>11</v>
      </c>
      <c r="G15863" t="s">
        <v>25</v>
      </c>
      <c r="H15863" s="12">
        <v>1.31217859835975</v>
      </c>
      <c r="I15863" s="20">
        <v>0.54181729463995898</v>
      </c>
      <c r="J15863" s="28">
        <v>0.58794437605038197</v>
      </c>
      <c r="K15863" s="29">
        <v>0.98289565623980701</v>
      </c>
    </row>
    <row r="15864" spans="1:11" x14ac:dyDescent="0.35">
      <c r="A15864" s="9" t="str">
        <f>HYPERLINK("http://www.ensembl.org/id/WBGene00206375", "WBGene00206375")</f>
        <v>WBGene00206375</v>
      </c>
      <c r="B15864" s="9"/>
      <c r="C15864" s="9"/>
      <c r="D15864" t="str">
        <f>"T08B6.64"</f>
        <v>T08B6.64</v>
      </c>
      <c r="F15864" t="s">
        <v>2977</v>
      </c>
      <c r="H15864" s="12">
        <v>2.3893468495514898</v>
      </c>
      <c r="I15864" s="20">
        <v>0.25323547253672701</v>
      </c>
      <c r="J15864" s="28">
        <v>0.80008625651646104</v>
      </c>
      <c r="K15864" s="29">
        <v>0.98289565623980701</v>
      </c>
    </row>
    <row r="15865" spans="1:11" x14ac:dyDescent="0.35">
      <c r="A15865" s="9" t="str">
        <f>HYPERLINK("http://www.ensembl.org/id/WBGene00011608", "WBGene00011608")</f>
        <v>WBGene00011608</v>
      </c>
      <c r="B15865" s="9"/>
      <c r="C15865" s="9"/>
      <c r="D15865" t="str">
        <f>"T08D2.3"</f>
        <v>T08D2.3</v>
      </c>
      <c r="F15865" t="s">
        <v>80</v>
      </c>
      <c r="H15865" s="12">
        <v>1.1653751264839101</v>
      </c>
      <c r="I15865" s="20">
        <v>0.553222015405608</v>
      </c>
      <c r="J15865" s="28">
        <v>0.58011139359827402</v>
      </c>
      <c r="K15865" s="29">
        <v>0.98289565623980701</v>
      </c>
    </row>
    <row r="15866" spans="1:11" x14ac:dyDescent="0.35">
      <c r="A15866" s="9" t="str">
        <f>HYPERLINK("http://www.ensembl.org/id/WBGene00011609", "WBGene00011609")</f>
        <v>WBGene00011609</v>
      </c>
      <c r="B15866" s="9" t="str">
        <f>HYPERLINK("http://www.ncbi.nlm.nih.gov/gene/188282", "188282")</f>
        <v>188282</v>
      </c>
      <c r="C15866" s="9"/>
      <c r="D15866" t="str">
        <f>"T08D2.4"</f>
        <v>T08D2.4</v>
      </c>
      <c r="F15866" t="s">
        <v>11</v>
      </c>
      <c r="G15866" t="s">
        <v>51</v>
      </c>
      <c r="H15866" s="12">
        <v>-12.8991976603241</v>
      </c>
      <c r="I15866" s="20">
        <v>-0.85434876045094199</v>
      </c>
      <c r="J15866" s="28">
        <v>0.39291177758245199</v>
      </c>
      <c r="K15866" s="29">
        <v>0.98289565623980701</v>
      </c>
    </row>
    <row r="15867" spans="1:11" x14ac:dyDescent="0.35">
      <c r="A15867" s="9" t="str">
        <f>HYPERLINK("http://www.ensembl.org/id/WBGene00011610", "WBGene00011610")</f>
        <v>WBGene00011610</v>
      </c>
      <c r="B15867" s="9" t="str">
        <f>HYPERLINK("http://www.ncbi.nlm.nih.gov/gene/188283", "188283")</f>
        <v>188283</v>
      </c>
      <c r="C15867" s="9"/>
      <c r="D15867" t="str">
        <f>"T08D2.5"</f>
        <v>T08D2.5</v>
      </c>
      <c r="F15867" t="s">
        <v>11</v>
      </c>
      <c r="H15867" s="12">
        <v>-2.5587056943184101</v>
      </c>
      <c r="I15867" s="20">
        <v>-0.72297005913867896</v>
      </c>
      <c r="J15867" s="28">
        <v>0.46969827920670298</v>
      </c>
      <c r="K15867" s="29">
        <v>0.98289565623980701</v>
      </c>
    </row>
    <row r="15868" spans="1:11" x14ac:dyDescent="0.35">
      <c r="A15868" s="9" t="str">
        <f>HYPERLINK("http://www.ensembl.org/id/WBGene00011611", "WBGene00011611")</f>
        <v>WBGene00011611</v>
      </c>
      <c r="B15868" s="9" t="str">
        <f>HYPERLINK("http://www.ncbi.nlm.nih.gov/gene/188284", "188284")</f>
        <v>188284</v>
      </c>
      <c r="C15868" s="9"/>
      <c r="D15868" t="str">
        <f>"T08D2.6"</f>
        <v>T08D2.6</v>
      </c>
      <c r="F15868" t="s">
        <v>11</v>
      </c>
      <c r="H15868" s="12">
        <v>-1.1910357618246601</v>
      </c>
      <c r="I15868" s="20">
        <v>-0.407478985568625</v>
      </c>
      <c r="J15868" s="28">
        <v>0.68365622538716098</v>
      </c>
      <c r="K15868" s="29">
        <v>0.98289565623980701</v>
      </c>
    </row>
    <row r="15869" spans="1:11" x14ac:dyDescent="0.35">
      <c r="A15869" s="9" t="str">
        <f>HYPERLINK("http://www.ensembl.org/id/WBGene00044700", "WBGene00044700")</f>
        <v>WBGene00044700</v>
      </c>
      <c r="B15869" s="9"/>
      <c r="C15869" s="9"/>
      <c r="D15869" t="str">
        <f>"T08D2.9"</f>
        <v>T08D2.9</v>
      </c>
      <c r="F15869" t="s">
        <v>80</v>
      </c>
      <c r="H15869" s="12">
        <v>-1.2486172252202601</v>
      </c>
      <c r="I15869" s="20">
        <v>-0.47695556865634497</v>
      </c>
      <c r="J15869" s="28">
        <v>0.633393760934577</v>
      </c>
      <c r="K15869" s="29">
        <v>0.98289565623980701</v>
      </c>
    </row>
    <row r="15870" spans="1:11" x14ac:dyDescent="0.35">
      <c r="A15870" s="9" t="str">
        <f>HYPERLINK("http://www.ensembl.org/id/WBGene00020357", "WBGene00020357")</f>
        <v>WBGene00020357</v>
      </c>
      <c r="B15870" s="9" t="str">
        <f>HYPERLINK("http://www.ncbi.nlm.nih.gov/gene/188287", "188287")</f>
        <v>188287</v>
      </c>
      <c r="C15870" s="9"/>
      <c r="D15870" t="str">
        <f>"T08E11.1"</f>
        <v>T08E11.1</v>
      </c>
      <c r="F15870" t="s">
        <v>11</v>
      </c>
      <c r="G15870" t="s">
        <v>54</v>
      </c>
      <c r="H15870" s="12">
        <v>-3.0833327978898901</v>
      </c>
      <c r="I15870" s="20">
        <v>-0.85938944071081202</v>
      </c>
      <c r="J15870" s="28">
        <v>0.39012569342160502</v>
      </c>
      <c r="K15870" s="29">
        <v>0.98289565623980701</v>
      </c>
    </row>
    <row r="15871" spans="1:11" x14ac:dyDescent="0.35">
      <c r="A15871" s="9" t="str">
        <f>HYPERLINK("http://www.ensembl.org/id/WBGene00020364", "WBGene00020364")</f>
        <v>WBGene00020364</v>
      </c>
      <c r="B15871" s="9" t="str">
        <f>HYPERLINK("http://www.ncbi.nlm.nih.gov/gene/188290", "188290")</f>
        <v>188290</v>
      </c>
      <c r="C15871" s="9"/>
      <c r="D15871" t="str">
        <f>"T08E11.8"</f>
        <v>T08E11.8</v>
      </c>
      <c r="F15871" t="s">
        <v>11</v>
      </c>
      <c r="H15871" s="12">
        <v>-2.8870637421967</v>
      </c>
      <c r="I15871" s="20">
        <v>-0.67674519566902402</v>
      </c>
      <c r="J15871" s="28">
        <v>0.49856763553660199</v>
      </c>
      <c r="K15871" s="29">
        <v>0.98289565623980701</v>
      </c>
    </row>
    <row r="15872" spans="1:11" x14ac:dyDescent="0.35">
      <c r="A15872" s="9" t="str">
        <f>HYPERLINK("http://www.ensembl.org/id/WBGene00011629", "WBGene00011629")</f>
        <v>WBGene00011629</v>
      </c>
      <c r="B15872" s="9" t="str">
        <f>HYPERLINK("http://www.ncbi.nlm.nih.gov/gene/172705", "172705")</f>
        <v>172705</v>
      </c>
      <c r="C15872" s="9" t="str">
        <f>HYPERLINK("http://www.ncbi.nlm.nih.gov/gene/23230", "23230")</f>
        <v>23230</v>
      </c>
      <c r="D15872" t="str">
        <f>"T08G11.1"</f>
        <v>T08G11.1</v>
      </c>
      <c r="F15872" t="s">
        <v>11</v>
      </c>
      <c r="G15872" t="s">
        <v>8501</v>
      </c>
      <c r="H15872" s="12">
        <v>-1.1810137684819699</v>
      </c>
      <c r="I15872" s="20">
        <v>-0.93443476083090604</v>
      </c>
      <c r="J15872" s="28">
        <v>0.35007967390412598</v>
      </c>
      <c r="K15872" s="29">
        <v>0.98289565623980701</v>
      </c>
    </row>
    <row r="15873" spans="1:11" x14ac:dyDescent="0.35">
      <c r="A15873" s="9" t="str">
        <f>HYPERLINK("http://www.ensembl.org/id/WBGene00044684", "WBGene00044684")</f>
        <v>WBGene00044684</v>
      </c>
      <c r="B15873" s="9" t="str">
        <f>HYPERLINK("http://www.ncbi.nlm.nih.gov/gene/191630", "191630")</f>
        <v>191630</v>
      </c>
      <c r="C15873" s="9"/>
      <c r="D15873" t="str">
        <f>"T08G11.2"</f>
        <v>T08G11.2</v>
      </c>
      <c r="F15873" t="s">
        <v>11</v>
      </c>
      <c r="H15873" s="12">
        <v>-1.30175137873351</v>
      </c>
      <c r="I15873" s="20">
        <v>-0.45062403793071198</v>
      </c>
      <c r="J15873" s="28">
        <v>0.65226053877880996</v>
      </c>
      <c r="K15873" s="29">
        <v>0.98289565623980701</v>
      </c>
    </row>
    <row r="15874" spans="1:11" x14ac:dyDescent="0.35">
      <c r="A15874" s="9" t="str">
        <f>HYPERLINK("http://www.ensembl.org/id/WBGene00011630", "WBGene00011630")</f>
        <v>WBGene00011630</v>
      </c>
      <c r="B15874" s="9" t="str">
        <f>HYPERLINK("http://www.ncbi.nlm.nih.gov/gene/188307", "188307")</f>
        <v>188307</v>
      </c>
      <c r="C15874" s="9" t="str">
        <f>HYPERLINK("http://www.ncbi.nlm.nih.gov/gene/158297", "158297")</f>
        <v>158297</v>
      </c>
      <c r="D15874" t="str">
        <f>"T08G11.3"</f>
        <v>T08G11.3</v>
      </c>
      <c r="F15874" t="s">
        <v>11</v>
      </c>
      <c r="G15874" t="s">
        <v>4683</v>
      </c>
      <c r="H15874" s="12">
        <v>1.50303811038541</v>
      </c>
      <c r="I15874" s="20">
        <v>0.60833114140255495</v>
      </c>
      <c r="J15874" s="28">
        <v>0.54296787087877796</v>
      </c>
      <c r="K15874" s="29">
        <v>0.98289565623980701</v>
      </c>
    </row>
    <row r="15875" spans="1:11" x14ac:dyDescent="0.35">
      <c r="A15875" s="9" t="str">
        <f>HYPERLINK("http://www.ensembl.org/id/WBGene00020365", "WBGene00020365")</f>
        <v>WBGene00020365</v>
      </c>
      <c r="B15875" s="9" t="str">
        <f>HYPERLINK("http://www.ncbi.nlm.nih.gov/gene/188291", "188291")</f>
        <v>188291</v>
      </c>
      <c r="C15875" s="9"/>
      <c r="D15875" t="str">
        <f>"T08G2.2"</f>
        <v>T08G2.2</v>
      </c>
      <c r="F15875" t="s">
        <v>11</v>
      </c>
      <c r="G15875" t="s">
        <v>25</v>
      </c>
      <c r="H15875" s="12">
        <v>1.5144988139963</v>
      </c>
      <c r="I15875" s="20">
        <v>0.85904738292210403</v>
      </c>
      <c r="J15875" s="28">
        <v>0.390314374882689</v>
      </c>
      <c r="K15875" s="29">
        <v>0.98289565623980701</v>
      </c>
    </row>
    <row r="15876" spans="1:11" x14ac:dyDescent="0.35">
      <c r="A15876" s="9" t="str">
        <f>HYPERLINK("http://www.ensembl.org/id/WBGene00011617", "WBGene00011617")</f>
        <v>WBGene00011617</v>
      </c>
      <c r="B15876" s="9"/>
      <c r="C15876" s="9"/>
      <c r="D15876" t="str">
        <f>"T08G3.4"</f>
        <v>T08G3.4</v>
      </c>
      <c r="F15876" t="s">
        <v>80</v>
      </c>
      <c r="H15876" s="12">
        <v>2.77887804386528</v>
      </c>
      <c r="I15876" s="20">
        <v>0.50170976103798604</v>
      </c>
      <c r="J15876" s="28">
        <v>0.61587169732774805</v>
      </c>
      <c r="K15876" s="29">
        <v>0.98289565623980701</v>
      </c>
    </row>
    <row r="15877" spans="1:11" x14ac:dyDescent="0.35">
      <c r="A15877" s="9" t="str">
        <f>HYPERLINK("http://www.ensembl.org/id/WBGene00011618", "WBGene00011618")</f>
        <v>WBGene00011618</v>
      </c>
      <c r="B15877" s="9" t="str">
        <f>HYPERLINK("http://www.ncbi.nlm.nih.gov/gene/188297", "188297")</f>
        <v>188297</v>
      </c>
      <c r="C15877" s="9"/>
      <c r="D15877" t="str">
        <f>"T08G3.6"</f>
        <v>T08G3.6</v>
      </c>
      <c r="F15877" t="s">
        <v>11</v>
      </c>
      <c r="H15877" s="12">
        <v>3.6645215954135</v>
      </c>
      <c r="I15877" s="20">
        <v>0.37967131826092498</v>
      </c>
      <c r="J15877" s="28">
        <v>0.70418941338960395</v>
      </c>
      <c r="K15877" s="29">
        <v>0.98289565623980701</v>
      </c>
    </row>
    <row r="15878" spans="1:11" x14ac:dyDescent="0.35">
      <c r="A15878" s="9" t="str">
        <f>HYPERLINK("http://www.ensembl.org/id/WBGene00011619", "WBGene00011619")</f>
        <v>WBGene00011619</v>
      </c>
      <c r="B15878" s="9"/>
      <c r="C15878" s="9"/>
      <c r="D15878" t="str">
        <f>"T08G3.7"</f>
        <v>T08G3.7</v>
      </c>
      <c r="F15878" t="s">
        <v>80</v>
      </c>
      <c r="H15878" s="12">
        <v>-2.4295389261469</v>
      </c>
      <c r="I15878" s="20">
        <v>-0.25808529976640998</v>
      </c>
      <c r="J15878" s="28">
        <v>0.79634107645457397</v>
      </c>
      <c r="K15878" s="29">
        <v>0.98289565623980701</v>
      </c>
    </row>
    <row r="15879" spans="1:11" x14ac:dyDescent="0.35">
      <c r="A15879" s="9" t="str">
        <f>HYPERLINK("http://www.ensembl.org/id/WBGene00011622", "WBGene00011622")</f>
        <v>WBGene00011622</v>
      </c>
      <c r="B15879" s="9" t="str">
        <f>HYPERLINK("http://www.ncbi.nlm.nih.gov/gene/188303", "188303")</f>
        <v>188303</v>
      </c>
      <c r="C15879" s="9"/>
      <c r="D15879" t="str">
        <f>"T08G5.1"</f>
        <v>T08G5.1</v>
      </c>
      <c r="F15879" t="s">
        <v>11</v>
      </c>
      <c r="H15879" s="12">
        <v>-1.7655328378631601</v>
      </c>
      <c r="I15879" s="20">
        <v>-0.86753614855859196</v>
      </c>
      <c r="J15879" s="28">
        <v>0.38564831435487401</v>
      </c>
      <c r="K15879" s="29">
        <v>0.98289565623980701</v>
      </c>
    </row>
    <row r="15880" spans="1:11" x14ac:dyDescent="0.35">
      <c r="A15880" s="9" t="str">
        <f>HYPERLINK("http://www.ensembl.org/id/WBGene00014511", "WBGene00014511")</f>
        <v>WBGene00014511</v>
      </c>
      <c r="B15880" s="9"/>
      <c r="C15880" s="9"/>
      <c r="D15880" t="str">
        <f>"T08G5.11"</f>
        <v>T08G5.11</v>
      </c>
      <c r="F15880" t="s">
        <v>4205</v>
      </c>
      <c r="H15880" s="12">
        <v>9.2967262476284596</v>
      </c>
      <c r="I15880" s="20">
        <v>1.1300136551705899</v>
      </c>
      <c r="J15880" s="28">
        <v>0.25847047063013001</v>
      </c>
      <c r="K15880" s="29">
        <v>0.98289565623980701</v>
      </c>
    </row>
    <row r="15881" spans="1:11" x14ac:dyDescent="0.35">
      <c r="A15881" s="9" t="str">
        <f>HYPERLINK("http://www.ensembl.org/id/WBGene00077572", "WBGene00077572")</f>
        <v>WBGene00077572</v>
      </c>
      <c r="B15881" s="9"/>
      <c r="C15881" s="9"/>
      <c r="D15881" t="str">
        <f>"T08G5.14"</f>
        <v>T08G5.14</v>
      </c>
      <c r="F15881" t="s">
        <v>80</v>
      </c>
      <c r="H15881" s="12">
        <v>2.1256070164072698</v>
      </c>
      <c r="I15881" s="20">
        <v>0.51645947472210296</v>
      </c>
      <c r="J15881" s="28">
        <v>0.60553353602887905</v>
      </c>
      <c r="K15881" s="29">
        <v>0.98289565623980701</v>
      </c>
    </row>
    <row r="15882" spans="1:11" x14ac:dyDescent="0.35">
      <c r="A15882" s="9" t="str">
        <f>HYPERLINK("http://www.ensembl.org/id/WBGene00077573", "WBGene00077573")</f>
        <v>WBGene00077573</v>
      </c>
      <c r="B15882" s="9" t="str">
        <f>HYPERLINK("http://www.ncbi.nlm.nih.gov/gene/6418770", "6418770")</f>
        <v>6418770</v>
      </c>
      <c r="C15882" s="9"/>
      <c r="D15882" t="str">
        <f>"T08G5.15"</f>
        <v>T08G5.15</v>
      </c>
      <c r="F15882" t="s">
        <v>11</v>
      </c>
      <c r="H15882" s="12">
        <v>1.7410443873842301</v>
      </c>
      <c r="I15882" s="20">
        <v>0.70856333225932899</v>
      </c>
      <c r="J15882" s="28">
        <v>0.47859549762343401</v>
      </c>
      <c r="K15882" s="29">
        <v>0.98289565623980701</v>
      </c>
    </row>
    <row r="15883" spans="1:11" x14ac:dyDescent="0.35">
      <c r="A15883" s="9" t="str">
        <f>HYPERLINK("http://www.ensembl.org/id/WBGene00011623", "WBGene00011623")</f>
        <v>WBGene00011623</v>
      </c>
      <c r="B15883" s="9" t="str">
        <f>HYPERLINK("http://www.ncbi.nlm.nih.gov/gene/179900", "179900")</f>
        <v>179900</v>
      </c>
      <c r="C15883" s="9"/>
      <c r="D15883" t="str">
        <f>"T08G5.2"</f>
        <v>T08G5.2</v>
      </c>
      <c r="F15883" t="s">
        <v>11</v>
      </c>
      <c r="H15883" s="12">
        <v>-9.6815265259172598</v>
      </c>
      <c r="I15883" s="20">
        <v>-0.67531719156077197</v>
      </c>
      <c r="J15883" s="28">
        <v>0.49947426381858001</v>
      </c>
      <c r="K15883" s="29">
        <v>0.98289565623980701</v>
      </c>
    </row>
    <row r="15884" spans="1:11" x14ac:dyDescent="0.35">
      <c r="A15884" s="9" t="str">
        <f>HYPERLINK("http://www.ensembl.org/id/WBGene00011624", "WBGene00011624")</f>
        <v>WBGene00011624</v>
      </c>
      <c r="B15884" s="9" t="str">
        <f>HYPERLINK("http://www.ncbi.nlm.nih.gov/gene/179901", "179901")</f>
        <v>179901</v>
      </c>
      <c r="C15884" s="9"/>
      <c r="D15884" t="str">
        <f>"T08G5.3"</f>
        <v>T08G5.3</v>
      </c>
      <c r="F15884" t="s">
        <v>11</v>
      </c>
      <c r="H15884" s="12">
        <v>1.7338144005731799</v>
      </c>
      <c r="I15884" s="20">
        <v>0.73687638891161999</v>
      </c>
      <c r="J15884" s="28">
        <v>0.46119752370570199</v>
      </c>
      <c r="K15884" s="29">
        <v>0.98289565623980701</v>
      </c>
    </row>
    <row r="15885" spans="1:11" x14ac:dyDescent="0.35">
      <c r="A15885" s="9" t="str">
        <f>HYPERLINK("http://www.ensembl.org/id/WBGene00020369", "WBGene00020369")</f>
        <v>WBGene00020369</v>
      </c>
      <c r="B15885" s="9" t="str">
        <f>HYPERLINK("http://www.ncbi.nlm.nih.gov/gene/178844", "178844")</f>
        <v>178844</v>
      </c>
      <c r="C15885" s="9"/>
      <c r="D15885" t="str">
        <f>"T08H10.1"</f>
        <v>T08H10.1</v>
      </c>
      <c r="F15885" t="s">
        <v>11</v>
      </c>
      <c r="G15885" t="s">
        <v>692</v>
      </c>
      <c r="H15885" s="12">
        <v>-1.2530459501188</v>
      </c>
      <c r="I15885" s="20">
        <v>-1.1699179470565799</v>
      </c>
      <c r="J15885" s="28">
        <v>0.242033990753932</v>
      </c>
      <c r="K15885" s="29">
        <v>0.98289565623980701</v>
      </c>
    </row>
    <row r="15886" spans="1:11" x14ac:dyDescent="0.35">
      <c r="A15886" s="9" t="str">
        <f>HYPERLINK("http://www.ensembl.org/id/WBGene00197540", "WBGene00197540")</f>
        <v>WBGene00197540</v>
      </c>
      <c r="B15886" s="9"/>
      <c r="C15886" s="9"/>
      <c r="D15886" t="str">
        <f>"T08H4.7"</f>
        <v>T08H4.7</v>
      </c>
      <c r="F15886" t="s">
        <v>481</v>
      </c>
      <c r="H15886" s="12">
        <v>3.6645215954135</v>
      </c>
      <c r="I15886" s="20">
        <v>0.37967131826092498</v>
      </c>
      <c r="J15886" s="28">
        <v>0.70418941338960395</v>
      </c>
      <c r="K15886" s="29">
        <v>0.98289565623980701</v>
      </c>
    </row>
    <row r="15887" spans="1:11" x14ac:dyDescent="0.35">
      <c r="A15887" s="9" t="str">
        <f>HYPERLINK("http://www.ensembl.org/id/WBGene00198505", "WBGene00198505")</f>
        <v>WBGene00198505</v>
      </c>
      <c r="B15887" s="9"/>
      <c r="C15887" s="9"/>
      <c r="D15887" t="str">
        <f>"T08H4.8"</f>
        <v>T08H4.8</v>
      </c>
      <c r="F15887" t="s">
        <v>481</v>
      </c>
      <c r="H15887" s="12">
        <v>2.4578120077400301</v>
      </c>
      <c r="I15887" s="20">
        <v>0.26093350314551</v>
      </c>
      <c r="J15887" s="28">
        <v>0.79414378780213601</v>
      </c>
      <c r="K15887" s="29">
        <v>0.98289565623980701</v>
      </c>
    </row>
    <row r="15888" spans="1:11" x14ac:dyDescent="0.35">
      <c r="A15888" s="9" t="str">
        <f>HYPERLINK("http://www.ensembl.org/id/WBGene00020372", "WBGene00020372")</f>
        <v>WBGene00020372</v>
      </c>
      <c r="B15888" s="9" t="str">
        <f>HYPERLINK("http://www.ncbi.nlm.nih.gov/gene/188312", "188312")</f>
        <v>188312</v>
      </c>
      <c r="C15888" s="9"/>
      <c r="D15888" t="str">
        <f>"T09A12.1"</f>
        <v>T09A12.1</v>
      </c>
      <c r="F15888" t="s">
        <v>11</v>
      </c>
      <c r="H15888" s="12">
        <v>4.0458077609626297</v>
      </c>
      <c r="I15888" s="20">
        <v>0.61140932056362796</v>
      </c>
      <c r="J15888" s="28">
        <v>0.54092863373095001</v>
      </c>
      <c r="K15888" s="29">
        <v>0.98289565623980701</v>
      </c>
    </row>
    <row r="15889" spans="1:11" x14ac:dyDescent="0.35">
      <c r="A15889" s="9" t="str">
        <f>HYPERLINK("http://www.ensembl.org/id/WBGene00200918", "WBGene00200918")</f>
        <v>WBGene00200918</v>
      </c>
      <c r="B15889" s="9"/>
      <c r="C15889" s="9"/>
      <c r="D15889" t="str">
        <f>"T09A12.6"</f>
        <v>T09A12.6</v>
      </c>
      <c r="F15889" t="s">
        <v>481</v>
      </c>
      <c r="H15889" s="12">
        <v>-2.4295389261469</v>
      </c>
      <c r="I15889" s="20">
        <v>-0.25808529976640998</v>
      </c>
      <c r="J15889" s="28">
        <v>0.79634107645457397</v>
      </c>
      <c r="K15889" s="29">
        <v>0.98289565623980701</v>
      </c>
    </row>
    <row r="15890" spans="1:11" x14ac:dyDescent="0.35">
      <c r="A15890" s="9" t="str">
        <f>HYPERLINK("http://www.ensembl.org/id/WBGene00235275", "WBGene00235275")</f>
        <v>WBGene00235275</v>
      </c>
      <c r="B15890" s="9" t="str">
        <f>HYPERLINK("http://www.ncbi.nlm.nih.gov/gene/24104871", "24104871")</f>
        <v>24104871</v>
      </c>
      <c r="C15890" s="9"/>
      <c r="D15890" t="str">
        <f>"T09A12.8"</f>
        <v>T09A12.8</v>
      </c>
      <c r="F15890" t="s">
        <v>11</v>
      </c>
      <c r="H15890" s="12">
        <v>1.4000829112911199</v>
      </c>
      <c r="I15890" s="20">
        <v>0.32484508919481098</v>
      </c>
      <c r="J15890" s="28">
        <v>0.74529831728609097</v>
      </c>
      <c r="K15890" s="29">
        <v>0.98289565623980701</v>
      </c>
    </row>
    <row r="15891" spans="1:11" x14ac:dyDescent="0.35">
      <c r="A15891" s="9" t="str">
        <f>HYPERLINK("http://www.ensembl.org/id/WBGene00011640", "WBGene00011640")</f>
        <v>WBGene00011640</v>
      </c>
      <c r="B15891" s="9" t="str">
        <f>HYPERLINK("http://www.ncbi.nlm.nih.gov/gene/3565478", "3565478")</f>
        <v>3565478</v>
      </c>
      <c r="C15891" s="9"/>
      <c r="D15891" t="str">
        <f>"T09A5.14"</f>
        <v>T09A5.14</v>
      </c>
      <c r="F15891" t="s">
        <v>11</v>
      </c>
      <c r="H15891" s="12">
        <v>1.74133881841001</v>
      </c>
      <c r="I15891" s="20">
        <v>0.61881457042100196</v>
      </c>
      <c r="J15891" s="28">
        <v>0.53603852243521499</v>
      </c>
      <c r="K15891" s="29">
        <v>0.98289565623980701</v>
      </c>
    </row>
    <row r="15892" spans="1:11" x14ac:dyDescent="0.35">
      <c r="A15892" s="9" t="str">
        <f>HYPERLINK("http://www.ensembl.org/id/WBGene00011641", "WBGene00011641")</f>
        <v>WBGene00011641</v>
      </c>
      <c r="B15892" s="9" t="str">
        <f>HYPERLINK("http://www.ncbi.nlm.nih.gov/gene/3565530", "3565530")</f>
        <v>3565530</v>
      </c>
      <c r="C15892" s="9"/>
      <c r="D15892" t="str">
        <f>"T09A5.15"</f>
        <v>T09A5.15</v>
      </c>
      <c r="F15892" t="s">
        <v>11</v>
      </c>
      <c r="G15892" t="s">
        <v>25</v>
      </c>
      <c r="H15892" s="12">
        <v>-1.16319439370142</v>
      </c>
      <c r="I15892" s="20">
        <v>-0.56416940419414496</v>
      </c>
      <c r="J15892" s="28">
        <v>0.572638847939139</v>
      </c>
      <c r="K15892" s="29">
        <v>0.98289565623980701</v>
      </c>
    </row>
    <row r="15893" spans="1:11" x14ac:dyDescent="0.35">
      <c r="A15893" s="9" t="str">
        <f>HYPERLINK("http://www.ensembl.org/id/WBGene00202125", "WBGene00202125")</f>
        <v>WBGene00202125</v>
      </c>
      <c r="B15893" s="9"/>
      <c r="C15893" s="9"/>
      <c r="D15893" t="str">
        <f>"T09A5.21"</f>
        <v>T09A5.21</v>
      </c>
      <c r="F15893" t="s">
        <v>481</v>
      </c>
      <c r="H15893" s="12">
        <v>-2.4991590031922399</v>
      </c>
      <c r="I15893" s="20">
        <v>-0.26577412737581302</v>
      </c>
      <c r="J15893" s="28">
        <v>0.79041317015736101</v>
      </c>
      <c r="K15893" s="29">
        <v>0.98289565623980701</v>
      </c>
    </row>
    <row r="15894" spans="1:11" x14ac:dyDescent="0.35">
      <c r="A15894" s="9" t="str">
        <f>HYPERLINK("http://www.ensembl.org/id/WBGene00011633", "WBGene00011633")</f>
        <v>WBGene00011633</v>
      </c>
      <c r="B15894" s="9" t="str">
        <f>HYPERLINK("http://www.ncbi.nlm.nih.gov/gene/188310", "188310")</f>
        <v>188310</v>
      </c>
      <c r="C15894" s="9"/>
      <c r="D15894" t="str">
        <f>"T09A5.4"</f>
        <v>T09A5.4</v>
      </c>
      <c r="F15894" t="s">
        <v>11</v>
      </c>
      <c r="H15894" s="12">
        <v>-1.26677574323806</v>
      </c>
      <c r="I15894" s="20">
        <v>-0.77209042156837404</v>
      </c>
      <c r="J15894" s="28">
        <v>0.44006087488652301</v>
      </c>
      <c r="K15894" s="29">
        <v>0.98289565623980701</v>
      </c>
    </row>
    <row r="15895" spans="1:11" x14ac:dyDescent="0.35">
      <c r="A15895" s="9" t="str">
        <f>HYPERLINK("http://www.ensembl.org/id/WBGene00011634", "WBGene00011634")</f>
        <v>WBGene00011634</v>
      </c>
      <c r="B15895" s="9" t="str">
        <f>HYPERLINK("http://www.ncbi.nlm.nih.gov/gene/174263", "174263")</f>
        <v>174263</v>
      </c>
      <c r="C15895" s="9"/>
      <c r="D15895" t="str">
        <f>"T09A5.5"</f>
        <v>T09A5.5</v>
      </c>
      <c r="F15895" t="s">
        <v>11</v>
      </c>
      <c r="G15895" t="s">
        <v>1865</v>
      </c>
      <c r="H15895" s="12">
        <v>-1.2050381758300901</v>
      </c>
      <c r="I15895" s="20">
        <v>-0.80565348725485098</v>
      </c>
      <c r="J15895" s="28">
        <v>0.42044267567719401</v>
      </c>
      <c r="K15895" s="29">
        <v>0.98289565623980701</v>
      </c>
    </row>
    <row r="15896" spans="1:11" x14ac:dyDescent="0.35">
      <c r="A15896" s="9" t="str">
        <f>HYPERLINK("http://www.ensembl.org/id/WBGene00020378", "WBGene00020378")</f>
        <v>WBGene00020378</v>
      </c>
      <c r="B15896" s="9" t="str">
        <f>HYPERLINK("http://www.ncbi.nlm.nih.gov/gene/188316", "188316")</f>
        <v>188316</v>
      </c>
      <c r="C15896" s="9"/>
      <c r="D15896" t="str">
        <f>"T09B4.4"</f>
        <v>T09B4.4</v>
      </c>
      <c r="F15896" t="s">
        <v>11</v>
      </c>
      <c r="G15896" t="s">
        <v>313</v>
      </c>
      <c r="H15896" s="12">
        <v>-1.0997680439684201</v>
      </c>
      <c r="I15896" s="20">
        <v>-0.38314334066866201</v>
      </c>
      <c r="J15896" s="28">
        <v>0.70161348581275795</v>
      </c>
      <c r="K15896" s="29">
        <v>0.98289565623980701</v>
      </c>
    </row>
    <row r="15897" spans="1:11" x14ac:dyDescent="0.35">
      <c r="A15897" s="9" t="str">
        <f>HYPERLINK("http://www.ensembl.org/id/WBGene00020380", "WBGene00020380")</f>
        <v>WBGene00020380</v>
      </c>
      <c r="B15897" s="9" t="str">
        <f>HYPERLINK("http://www.ncbi.nlm.nih.gov/gene/188317", "188317")</f>
        <v>188317</v>
      </c>
      <c r="C15897" s="9"/>
      <c r="D15897" t="str">
        <f>"T09B4.6"</f>
        <v>T09B4.6</v>
      </c>
      <c r="F15897" t="s">
        <v>11</v>
      </c>
      <c r="H15897" s="12">
        <v>1.5831383896317299</v>
      </c>
      <c r="I15897" s="20">
        <v>0.80794645314678304</v>
      </c>
      <c r="J15897" s="28">
        <v>0.41912140804417303</v>
      </c>
      <c r="K15897" s="29">
        <v>0.98289565623980701</v>
      </c>
    </row>
    <row r="15898" spans="1:11" x14ac:dyDescent="0.35">
      <c r="A15898" s="9" t="str">
        <f>HYPERLINK("http://www.ensembl.org/id/WBGene00020382", "WBGene00020382")</f>
        <v>WBGene00020382</v>
      </c>
      <c r="B15898" s="9" t="str">
        <f>HYPERLINK("http://www.ncbi.nlm.nih.gov/gene/172301", "172301")</f>
        <v>172301</v>
      </c>
      <c r="C15898" s="9" t="str">
        <f>HYPERLINK("http://www.ncbi.nlm.nih.gov/gene/64902", "64902")</f>
        <v>64902</v>
      </c>
      <c r="D15898" t="str">
        <f>"T09B4.8"</f>
        <v>T09B4.8</v>
      </c>
      <c r="F15898" t="s">
        <v>11</v>
      </c>
      <c r="G15898" t="s">
        <v>5382</v>
      </c>
      <c r="H15898" s="12">
        <v>1.1781566756025299</v>
      </c>
      <c r="I15898" s="20">
        <v>0.81947376470528899</v>
      </c>
      <c r="J15898" s="28">
        <v>0.41251616427660998</v>
      </c>
      <c r="K15898" s="29">
        <v>0.98289565623980701</v>
      </c>
    </row>
    <row r="15899" spans="1:11" x14ac:dyDescent="0.35">
      <c r="A15899" s="9" t="str">
        <f>HYPERLINK("http://www.ensembl.org/id/WBGene00023135", "WBGene00023135")</f>
        <v>WBGene00023135</v>
      </c>
      <c r="B15899" s="9"/>
      <c r="C15899" s="9"/>
      <c r="D15899" t="str">
        <f>"T09B4.t1"</f>
        <v>T09B4.t1</v>
      </c>
      <c r="F15899" t="s">
        <v>4208</v>
      </c>
      <c r="H15899" s="12">
        <v>-2.4991590031922399</v>
      </c>
      <c r="I15899" s="20">
        <v>-0.26577412737581302</v>
      </c>
      <c r="J15899" s="28">
        <v>0.79041317015736101</v>
      </c>
      <c r="K15899" s="29">
        <v>0.98289565623980701</v>
      </c>
    </row>
    <row r="15900" spans="1:11" x14ac:dyDescent="0.35">
      <c r="A15900" s="9" t="str">
        <f>HYPERLINK("http://www.ensembl.org/id/WBGene00023136", "WBGene00023136")</f>
        <v>WBGene00023136</v>
      </c>
      <c r="B15900" s="9"/>
      <c r="C15900" s="9"/>
      <c r="D15900" t="str">
        <f>"T09B4.t2"</f>
        <v>T09B4.t2</v>
      </c>
      <c r="F15900" t="s">
        <v>4208</v>
      </c>
      <c r="H15900" s="12">
        <v>3.28624938312884</v>
      </c>
      <c r="I15900" s="20">
        <v>0.36379512681977599</v>
      </c>
      <c r="J15900" s="28">
        <v>0.716011001908614</v>
      </c>
      <c r="K15900" s="29">
        <v>0.98289565623980701</v>
      </c>
    </row>
    <row r="15901" spans="1:11" x14ac:dyDescent="0.35">
      <c r="A15901" s="9" t="str">
        <f>HYPERLINK("http://www.ensembl.org/id/WBGene00011644", "WBGene00011644")</f>
        <v>WBGene00011644</v>
      </c>
      <c r="B15901" s="9" t="str">
        <f>HYPERLINK("http://www.ncbi.nlm.nih.gov/gene/188321", "188321")</f>
        <v>188321</v>
      </c>
      <c r="C15901" s="9" t="str">
        <f>HYPERLINK("http://www.ncbi.nlm.nih.gov/gene/51573", "51573")</f>
        <v>51573</v>
      </c>
      <c r="D15901" t="str">
        <f>"T09B9.3"</f>
        <v>T09B9.3</v>
      </c>
      <c r="F15901" t="s">
        <v>11</v>
      </c>
      <c r="G15901" t="s">
        <v>1868</v>
      </c>
      <c r="H15901" s="12">
        <v>1.85964668508691</v>
      </c>
      <c r="I15901" s="20">
        <v>1.0281293230911499</v>
      </c>
      <c r="J15901" s="28">
        <v>0.30388899884984699</v>
      </c>
      <c r="K15901" s="29">
        <v>0.98289565623980701</v>
      </c>
    </row>
    <row r="15902" spans="1:11" x14ac:dyDescent="0.35">
      <c r="A15902" s="9" t="str">
        <f>HYPERLINK("http://www.ensembl.org/id/WBGene00011645", "WBGene00011645")</f>
        <v>WBGene00011645</v>
      </c>
      <c r="B15902" s="9" t="str">
        <f>HYPERLINK("http://www.ncbi.nlm.nih.gov/gene/181190", "181190")</f>
        <v>181190</v>
      </c>
      <c r="C15902" s="9"/>
      <c r="D15902" t="str">
        <f>"T09B9.4"</f>
        <v>T09B9.4</v>
      </c>
      <c r="F15902" t="s">
        <v>11</v>
      </c>
      <c r="H15902" s="12">
        <v>-1.24630842626384</v>
      </c>
      <c r="I15902" s="20">
        <v>-1.12516814804611</v>
      </c>
      <c r="J15902" s="28">
        <v>0.26051778772489298</v>
      </c>
      <c r="K15902" s="29">
        <v>0.98289565623980701</v>
      </c>
    </row>
    <row r="15903" spans="1:11" x14ac:dyDescent="0.35">
      <c r="A15903" s="9" t="str">
        <f>HYPERLINK("http://www.ensembl.org/id/WBGene00201408", "WBGene00201408")</f>
        <v>WBGene00201408</v>
      </c>
      <c r="B15903" s="9"/>
      <c r="C15903" s="9"/>
      <c r="D15903" t="str">
        <f>"T09B9.8"</f>
        <v>T09B9.8</v>
      </c>
      <c r="F15903" t="s">
        <v>481</v>
      </c>
      <c r="H15903" s="12">
        <v>2.3893468495514898</v>
      </c>
      <c r="I15903" s="20">
        <v>0.25323547253672701</v>
      </c>
      <c r="J15903" s="28">
        <v>0.80008625651646104</v>
      </c>
      <c r="K15903" s="29">
        <v>0.98289565623980701</v>
      </c>
    </row>
    <row r="15904" spans="1:11" x14ac:dyDescent="0.35">
      <c r="A15904" s="9" t="str">
        <f>HYPERLINK("http://www.ensembl.org/id/WBGene00020384", "WBGene00020384")</f>
        <v>WBGene00020384</v>
      </c>
      <c r="B15904" s="9" t="str">
        <f>HYPERLINK("http://www.ncbi.nlm.nih.gov/gene/188324", "188324")</f>
        <v>188324</v>
      </c>
      <c r="C15904" s="9"/>
      <c r="D15904" t="str">
        <f>"T09D3.3"</f>
        <v>T09D3.3</v>
      </c>
      <c r="F15904" t="s">
        <v>11</v>
      </c>
      <c r="H15904" s="12">
        <v>-2.5444610805732899</v>
      </c>
      <c r="I15904" s="20">
        <v>-0.97649704640391999</v>
      </c>
      <c r="J15904" s="28">
        <v>0.32881821084502899</v>
      </c>
      <c r="K15904" s="29">
        <v>0.98289565623980701</v>
      </c>
    </row>
    <row r="15905" spans="1:11" x14ac:dyDescent="0.35">
      <c r="A15905" s="9" t="str">
        <f>HYPERLINK("http://www.ensembl.org/id/WBGene00044538", "WBGene00044538")</f>
        <v>WBGene00044538</v>
      </c>
      <c r="B15905" s="9" t="str">
        <f>HYPERLINK("http://www.ncbi.nlm.nih.gov/gene/3896850", "3896850")</f>
        <v>3896850</v>
      </c>
      <c r="C15905" s="9"/>
      <c r="D15905" t="str">
        <f>"T09D3.8"</f>
        <v>T09D3.8</v>
      </c>
      <c r="F15905" t="s">
        <v>11</v>
      </c>
      <c r="H15905" s="12">
        <v>2.39756182443737</v>
      </c>
      <c r="I15905" s="20">
        <v>0.440322963183987</v>
      </c>
      <c r="J15905" s="28">
        <v>0.65970321147507804</v>
      </c>
      <c r="K15905" s="29">
        <v>0.98289565623980701</v>
      </c>
    </row>
    <row r="15906" spans="1:11" x14ac:dyDescent="0.35">
      <c r="A15906" s="9" t="str">
        <f>HYPERLINK("http://www.ensembl.org/id/WBGene00011660", "WBGene00011660")</f>
        <v>WBGene00011660</v>
      </c>
      <c r="B15906" s="9"/>
      <c r="C15906" s="9"/>
      <c r="D15906" t="str">
        <f>"T09E11.11"</f>
        <v>T09E11.11</v>
      </c>
      <c r="F15906" t="s">
        <v>80</v>
      </c>
      <c r="H15906" s="12">
        <v>-1.5862645911886</v>
      </c>
      <c r="I15906" s="20">
        <v>-1.1692285298949701</v>
      </c>
      <c r="J15906" s="28">
        <v>0.24231156943319501</v>
      </c>
      <c r="K15906" s="29">
        <v>0.98289565623980701</v>
      </c>
    </row>
    <row r="15907" spans="1:11" x14ac:dyDescent="0.35">
      <c r="A15907" s="9" t="str">
        <f>HYPERLINK("http://www.ensembl.org/id/WBGene00045103", "WBGene00045103")</f>
        <v>WBGene00045103</v>
      </c>
      <c r="B15907" s="9" t="str">
        <f>HYPERLINK("http://www.ncbi.nlm.nih.gov/gene/4927042", "4927042")</f>
        <v>4927042</v>
      </c>
      <c r="C15907" s="9"/>
      <c r="D15907" t="str">
        <f>"T09E11.12"</f>
        <v>T09E11.12</v>
      </c>
      <c r="E15907" t="s">
        <v>3820</v>
      </c>
      <c r="F15907" t="s">
        <v>11</v>
      </c>
      <c r="G15907" t="s">
        <v>10069</v>
      </c>
      <c r="H15907" s="12">
        <v>-2.4991590031922399</v>
      </c>
      <c r="I15907" s="20">
        <v>-0.26577412737581302</v>
      </c>
      <c r="J15907" s="28">
        <v>0.79041317015736101</v>
      </c>
      <c r="K15907" s="29">
        <v>0.98289565623980701</v>
      </c>
    </row>
    <row r="15908" spans="1:11" x14ac:dyDescent="0.35">
      <c r="A15908" s="9" t="str">
        <f>HYPERLINK("http://www.ensembl.org/id/WBGene00011657", "WBGene00011657")</f>
        <v>WBGene00011657</v>
      </c>
      <c r="B15908" s="9" t="str">
        <f>HYPERLINK("http://www.ncbi.nlm.nih.gov/gene/188336", "188336")</f>
        <v>188336</v>
      </c>
      <c r="C15908" s="9"/>
      <c r="D15908" t="str">
        <f>"T09E11.8"</f>
        <v>T09E11.8</v>
      </c>
      <c r="F15908" t="s">
        <v>11</v>
      </c>
      <c r="G15908" t="s">
        <v>1686</v>
      </c>
      <c r="H15908" s="12">
        <v>4.8330720971898202</v>
      </c>
      <c r="I15908" s="20">
        <v>0.53826283632608196</v>
      </c>
      <c r="J15908" s="28">
        <v>0.59039560452453599</v>
      </c>
      <c r="K15908" s="29">
        <v>0.98289565623980701</v>
      </c>
    </row>
    <row r="15909" spans="1:11" x14ac:dyDescent="0.35">
      <c r="A15909" s="9" t="str">
        <f>HYPERLINK("http://www.ensembl.org/id/WBGene00011649", "WBGene00011649")</f>
        <v>WBGene00011649</v>
      </c>
      <c r="B15909" s="9" t="str">
        <f>HYPERLINK("http://www.ncbi.nlm.nih.gov/gene/188327", "188327")</f>
        <v>188327</v>
      </c>
      <c r="C15909" s="9"/>
      <c r="D15909" t="str">
        <f>"T09E8.4"</f>
        <v>T09E8.4</v>
      </c>
      <c r="F15909" t="s">
        <v>11</v>
      </c>
      <c r="G15909" t="s">
        <v>25</v>
      </c>
      <c r="H15909" s="12">
        <v>1.3821064932382301</v>
      </c>
      <c r="I15909" s="20">
        <v>0.34827643237203099</v>
      </c>
      <c r="J15909" s="28">
        <v>0.72763259146816595</v>
      </c>
      <c r="K15909" s="29">
        <v>0.98289565623980701</v>
      </c>
    </row>
    <row r="15910" spans="1:11" x14ac:dyDescent="0.35">
      <c r="A15910" s="9" t="str">
        <f>HYPERLINK("http://www.ensembl.org/id/WBGene00011662", "WBGene00011662")</f>
        <v>WBGene00011662</v>
      </c>
      <c r="B15910" s="9" t="str">
        <f>HYPERLINK("http://www.ncbi.nlm.nih.gov/gene/174602", "174602")</f>
        <v>174602</v>
      </c>
      <c r="C15910" s="9" t="str">
        <f>HYPERLINK("http://www.ncbi.nlm.nih.gov/gene/55186", "55186")</f>
        <v>55186</v>
      </c>
      <c r="D15910" t="str">
        <f>"T09F3.2"</f>
        <v>T09F3.2</v>
      </c>
      <c r="E15910" t="s">
        <v>7985</v>
      </c>
      <c r="F15910" t="s">
        <v>11</v>
      </c>
      <c r="G15910" t="s">
        <v>7986</v>
      </c>
      <c r="H15910" s="12">
        <v>-1.1546144805045799</v>
      </c>
      <c r="I15910" s="20">
        <v>-0.76627554091837502</v>
      </c>
      <c r="J15910" s="28">
        <v>0.44351236862139598</v>
      </c>
      <c r="K15910" s="29">
        <v>0.98289565623980701</v>
      </c>
    </row>
    <row r="15911" spans="1:11" x14ac:dyDescent="0.35">
      <c r="A15911" s="9" t="str">
        <f>HYPERLINK("http://www.ensembl.org/id/WBGene00198634", "WBGene00198634")</f>
        <v>WBGene00198634</v>
      </c>
      <c r="B15911" s="9"/>
      <c r="C15911" s="9"/>
      <c r="D15911" t="str">
        <f>"T09F3.6"</f>
        <v>T09F3.6</v>
      </c>
      <c r="F15911" t="s">
        <v>481</v>
      </c>
      <c r="H15911" s="12">
        <v>2.3893468495514898</v>
      </c>
      <c r="I15911" s="20">
        <v>0.25323547253672701</v>
      </c>
      <c r="J15911" s="28">
        <v>0.80008625651646104</v>
      </c>
      <c r="K15911" s="29">
        <v>0.98289565623980701</v>
      </c>
    </row>
    <row r="15912" spans="1:11" x14ac:dyDescent="0.35">
      <c r="A15912" s="9" t="str">
        <f>HYPERLINK("http://www.ensembl.org/id/WBGene00014836", "WBGene00014836")</f>
        <v>WBGene00014836</v>
      </c>
      <c r="B15912" s="9"/>
      <c r="C15912" s="9"/>
      <c r="D15912" t="str">
        <f>"T09F5.12"</f>
        <v>T09F5.12</v>
      </c>
      <c r="F15912" t="s">
        <v>481</v>
      </c>
      <c r="H15912" s="12">
        <v>-1.1814673152256301</v>
      </c>
      <c r="I15912" s="20">
        <v>-0.88472337099966902</v>
      </c>
      <c r="J15912" s="28">
        <v>0.376305847493275</v>
      </c>
      <c r="K15912" s="29">
        <v>0.98289565623980701</v>
      </c>
    </row>
    <row r="15913" spans="1:11" x14ac:dyDescent="0.35">
      <c r="A15913" s="9" t="str">
        <f>HYPERLINK("http://www.ensembl.org/id/WBGene00201834", "WBGene00201834")</f>
        <v>WBGene00201834</v>
      </c>
      <c r="B15913" s="9"/>
      <c r="C15913" s="9"/>
      <c r="D15913" t="str">
        <f>"T09F5.19"</f>
        <v>T09F5.19</v>
      </c>
      <c r="F15913" t="s">
        <v>481</v>
      </c>
      <c r="H15913" s="12">
        <v>2.3893468495514898</v>
      </c>
      <c r="I15913" s="20">
        <v>0.25323547253672701</v>
      </c>
      <c r="J15913" s="28">
        <v>0.80008625651646104</v>
      </c>
      <c r="K15913" s="29">
        <v>0.98289565623980701</v>
      </c>
    </row>
    <row r="15914" spans="1:11" x14ac:dyDescent="0.35">
      <c r="A15914" s="9" t="str">
        <f>HYPERLINK("http://www.ensembl.org/id/WBGene00202514", "WBGene00202514")</f>
        <v>WBGene00202514</v>
      </c>
      <c r="B15914" s="9" t="str">
        <f>HYPERLINK("http://www.ncbi.nlm.nih.gov/gene/13216825", "13216825")</f>
        <v>13216825</v>
      </c>
      <c r="C15914" s="9"/>
      <c r="D15914" t="str">
        <f>"T09F5.20"</f>
        <v>T09F5.20</v>
      </c>
      <c r="F15914" t="s">
        <v>11</v>
      </c>
      <c r="G15914" t="s">
        <v>25</v>
      </c>
      <c r="H15914" s="12">
        <v>-2.55830528715558</v>
      </c>
      <c r="I15914" s="20">
        <v>-0.52845431371324703</v>
      </c>
      <c r="J15914" s="28">
        <v>0.59718404853562101</v>
      </c>
      <c r="K15914" s="29">
        <v>0.98289565623980701</v>
      </c>
    </row>
    <row r="15915" spans="1:11" x14ac:dyDescent="0.35">
      <c r="A15915" s="9" t="str">
        <f>HYPERLINK("http://www.ensembl.org/id/WBGene00199634", "WBGene00199634")</f>
        <v>WBGene00199634</v>
      </c>
      <c r="B15915" s="9"/>
      <c r="C15915" s="9"/>
      <c r="D15915" t="str">
        <f>"T10A3.3"</f>
        <v>T10A3.3</v>
      </c>
      <c r="F15915" t="s">
        <v>481</v>
      </c>
      <c r="H15915" s="12">
        <v>-6.0496137383913799</v>
      </c>
      <c r="I15915" s="20">
        <v>-0.52919567380265498</v>
      </c>
      <c r="J15915" s="28">
        <v>0.59666971747150499</v>
      </c>
      <c r="K15915" s="29">
        <v>0.98289565623980701</v>
      </c>
    </row>
    <row r="15916" spans="1:11" x14ac:dyDescent="0.35">
      <c r="A15916" s="9" t="str">
        <f>HYPERLINK("http://www.ensembl.org/id/WBGene00200328", "WBGene00200328")</f>
        <v>WBGene00200328</v>
      </c>
      <c r="B15916" s="9"/>
      <c r="C15916" s="9"/>
      <c r="D15916" t="str">
        <f>"T10A3.4"</f>
        <v>T10A3.4</v>
      </c>
      <c r="F15916" t="s">
        <v>481</v>
      </c>
      <c r="H15916" s="12">
        <v>-5.4967879193631202</v>
      </c>
      <c r="I15916" s="20">
        <v>-0.50254160819837501</v>
      </c>
      <c r="J15916" s="28">
        <v>0.61528659178453604</v>
      </c>
      <c r="K15916" s="29">
        <v>0.98289565623980701</v>
      </c>
    </row>
    <row r="15917" spans="1:11" x14ac:dyDescent="0.35">
      <c r="A15917" s="9" t="str">
        <f>HYPERLINK("http://www.ensembl.org/id/WBGene00198631", "WBGene00198631")</f>
        <v>WBGene00198631</v>
      </c>
      <c r="B15917" s="9"/>
      <c r="C15917" s="9"/>
      <c r="D15917" t="str">
        <f>"T10B10.12"</f>
        <v>T10B10.12</v>
      </c>
      <c r="F15917" t="s">
        <v>481</v>
      </c>
      <c r="H15917" s="12">
        <v>-2.4991590031922399</v>
      </c>
      <c r="I15917" s="20">
        <v>-0.26577412737581302</v>
      </c>
      <c r="J15917" s="28">
        <v>0.79041317015736101</v>
      </c>
      <c r="K15917" s="29">
        <v>0.98289565623980701</v>
      </c>
    </row>
    <row r="15918" spans="1:11" x14ac:dyDescent="0.35">
      <c r="A15918" s="9" t="str">
        <f>HYPERLINK("http://www.ensembl.org/id/WBGene00011680", "WBGene00011680")</f>
        <v>WBGene00011680</v>
      </c>
      <c r="B15918" s="9" t="str">
        <f>HYPERLINK("http://www.ncbi.nlm.nih.gov/gene/181612", "181612")</f>
        <v>181612</v>
      </c>
      <c r="C15918" s="9"/>
      <c r="D15918" t="str">
        <f>"T10B10.3"</f>
        <v>T10B10.3</v>
      </c>
      <c r="F15918" t="s">
        <v>11</v>
      </c>
      <c r="G15918" t="s">
        <v>7138</v>
      </c>
      <c r="H15918" s="12">
        <v>-1.1097360796909901</v>
      </c>
      <c r="I15918" s="20">
        <v>-0.53737637637329505</v>
      </c>
      <c r="J15918" s="28">
        <v>0.59100765797102806</v>
      </c>
      <c r="K15918" s="29">
        <v>0.98289565623980701</v>
      </c>
    </row>
    <row r="15919" spans="1:11" x14ac:dyDescent="0.35">
      <c r="A15919" s="9" t="str">
        <f>HYPERLINK("http://www.ensembl.org/id/WBGene00011685", "WBGene00011685")</f>
        <v>WBGene00011685</v>
      </c>
      <c r="B15919" s="9" t="str">
        <f>HYPERLINK("http://www.ncbi.nlm.nih.gov/gene/181609", "181609")</f>
        <v>181609</v>
      </c>
      <c r="C15919" s="9"/>
      <c r="D15919" t="str">
        <f>"T10B10.9"</f>
        <v>T10B10.9</v>
      </c>
      <c r="F15919" t="s">
        <v>11</v>
      </c>
      <c r="H15919" s="12">
        <v>-4.5114499031905204</v>
      </c>
      <c r="I15919" s="20">
        <v>-0.44198655555625299</v>
      </c>
      <c r="J15919" s="28">
        <v>0.65849893477547905</v>
      </c>
      <c r="K15919" s="29">
        <v>0.98289565623980701</v>
      </c>
    </row>
    <row r="15920" spans="1:11" x14ac:dyDescent="0.35">
      <c r="A15920" s="9" t="str">
        <f>HYPERLINK("http://www.ensembl.org/id/WBGene00197457", "WBGene00197457")</f>
        <v>WBGene00197457</v>
      </c>
      <c r="B15920" s="9"/>
      <c r="C15920" s="9"/>
      <c r="D15920" t="str">
        <f>"T10B11.10"</f>
        <v>T10B11.10</v>
      </c>
      <c r="F15920" t="s">
        <v>481</v>
      </c>
      <c r="H15920" s="12">
        <v>-2.4991590031922399</v>
      </c>
      <c r="I15920" s="20">
        <v>-0.26577412737581302</v>
      </c>
      <c r="J15920" s="28">
        <v>0.79041317015736101</v>
      </c>
      <c r="K15920" s="29">
        <v>0.98289565623980701</v>
      </c>
    </row>
    <row r="15921" spans="1:11" x14ac:dyDescent="0.35">
      <c r="A15921" s="9" t="str">
        <f>HYPERLINK("http://www.ensembl.org/id/WBGene00020400", "WBGene00020400")</f>
        <v>WBGene00020400</v>
      </c>
      <c r="B15921" s="9" t="str">
        <f>HYPERLINK("http://www.ncbi.nlm.nih.gov/gene/188369", "188369")</f>
        <v>188369</v>
      </c>
      <c r="C15921" s="9"/>
      <c r="D15921" t="str">
        <f>"T10B11.4"</f>
        <v>T10B11.4</v>
      </c>
      <c r="F15921" t="s">
        <v>11</v>
      </c>
      <c r="H15921" s="12">
        <v>-2.87390060086264</v>
      </c>
      <c r="I15921" s="20">
        <v>-0.48050083045566799</v>
      </c>
      <c r="J15921" s="28">
        <v>0.63087131281313102</v>
      </c>
      <c r="K15921" s="29">
        <v>0.98289565623980701</v>
      </c>
    </row>
    <row r="15922" spans="1:11" x14ac:dyDescent="0.35">
      <c r="A15922" s="9" t="str">
        <f>HYPERLINK("http://www.ensembl.org/id/WBGene00020401", "WBGene00020401")</f>
        <v>WBGene00020401</v>
      </c>
      <c r="B15922" s="9" t="str">
        <f>HYPERLINK("http://www.ncbi.nlm.nih.gov/gene/188370", "188370")</f>
        <v>188370</v>
      </c>
      <c r="C15922" s="9"/>
      <c r="D15922" t="str">
        <f>"T10B11.5"</f>
        <v>T10B11.5</v>
      </c>
      <c r="F15922" t="s">
        <v>11</v>
      </c>
      <c r="G15922" t="s">
        <v>25</v>
      </c>
      <c r="H15922" s="12">
        <v>-1.0830464893112099</v>
      </c>
      <c r="I15922" s="20">
        <v>-0.285268474509207</v>
      </c>
      <c r="J15922" s="28">
        <v>0.77543846351147305</v>
      </c>
      <c r="K15922" s="29">
        <v>0.98289565623980701</v>
      </c>
    </row>
    <row r="15923" spans="1:11" x14ac:dyDescent="0.35">
      <c r="A15923" s="9" t="str">
        <f>HYPERLINK("http://www.ensembl.org/id/WBGene00020402", "WBGene00020402")</f>
        <v>WBGene00020402</v>
      </c>
      <c r="B15923" s="9" t="str">
        <f>HYPERLINK("http://www.ncbi.nlm.nih.gov/gene/172424", "172424")</f>
        <v>172424</v>
      </c>
      <c r="C15923" s="9" t="str">
        <f>HYPERLINK("http://www.ncbi.nlm.nih.gov/gene/79639", "79639")</f>
        <v>79639</v>
      </c>
      <c r="D15923" t="str">
        <f>"T10B11.6"</f>
        <v>T10B11.6</v>
      </c>
      <c r="F15923" t="s">
        <v>11</v>
      </c>
      <c r="G15923" t="s">
        <v>1263</v>
      </c>
      <c r="H15923" s="12">
        <v>-1.05783264202247</v>
      </c>
      <c r="I15923" s="20">
        <v>-0.28636303414091202</v>
      </c>
      <c r="J15923" s="28">
        <v>0.77460008416623205</v>
      </c>
      <c r="K15923" s="29">
        <v>0.98289565623980701</v>
      </c>
    </row>
    <row r="15924" spans="1:11" x14ac:dyDescent="0.35">
      <c r="A15924" s="9" t="str">
        <f>HYPERLINK("http://www.ensembl.org/id/WBGene00020396", "WBGene00020396")</f>
        <v>WBGene00020396</v>
      </c>
      <c r="B15924" s="9" t="str">
        <f>HYPERLINK("http://www.ncbi.nlm.nih.gov/gene/178666", "178666")</f>
        <v>178666</v>
      </c>
      <c r="C15924" s="9"/>
      <c r="D15924" t="str">
        <f>"T10B5.10"</f>
        <v>T10B5.10</v>
      </c>
      <c r="F15924" t="s">
        <v>11</v>
      </c>
      <c r="G15924" t="s">
        <v>2818</v>
      </c>
      <c r="H15924" s="12">
        <v>1.2082223726999</v>
      </c>
      <c r="I15924" s="20">
        <v>0.44802458889851798</v>
      </c>
      <c r="J15924" s="28">
        <v>0.65413545085423097</v>
      </c>
      <c r="K15924" s="29">
        <v>0.98289565623980701</v>
      </c>
    </row>
    <row r="15925" spans="1:11" x14ac:dyDescent="0.35">
      <c r="A15925" s="9" t="str">
        <f>HYPERLINK("http://www.ensembl.org/id/WBGene00020389", "WBGene00020389")</f>
        <v>WBGene00020389</v>
      </c>
      <c r="B15925" s="9" t="str">
        <f>HYPERLINK("http://www.ncbi.nlm.nih.gov/gene/178667", "178667")</f>
        <v>178667</v>
      </c>
      <c r="C15925" s="9"/>
      <c r="D15925" t="str">
        <f>"T10B5.3"</f>
        <v>T10B5.3</v>
      </c>
      <c r="F15925" t="s">
        <v>11</v>
      </c>
      <c r="G15925" t="s">
        <v>25</v>
      </c>
      <c r="H15925" s="12">
        <v>-1.1376156593195601</v>
      </c>
      <c r="I15925" s="20">
        <v>-0.59359569588176397</v>
      </c>
      <c r="J15925" s="28">
        <v>0.552782560493006</v>
      </c>
      <c r="K15925" s="29">
        <v>0.98289565623980701</v>
      </c>
    </row>
    <row r="15926" spans="1:11" x14ac:dyDescent="0.35">
      <c r="A15926" s="9" t="str">
        <f>HYPERLINK("http://www.ensembl.org/id/WBGene00020390", "WBGene00020390")</f>
        <v>WBGene00020390</v>
      </c>
      <c r="B15926" s="9" t="str">
        <f>HYPERLINK("http://www.ncbi.nlm.nih.gov/gene/178668", "178668")</f>
        <v>178668</v>
      </c>
      <c r="C15926" s="9"/>
      <c r="D15926" t="str">
        <f>"T10B5.4"</f>
        <v>T10B5.4</v>
      </c>
      <c r="F15926" t="s">
        <v>11</v>
      </c>
      <c r="G15926" t="s">
        <v>3011</v>
      </c>
      <c r="H15926" s="12">
        <v>1.4010937989388701</v>
      </c>
      <c r="I15926" s="20">
        <v>1.1658975146192301</v>
      </c>
      <c r="J15926" s="28">
        <v>0.243655883983246</v>
      </c>
      <c r="K15926" s="29">
        <v>0.98289565623980701</v>
      </c>
    </row>
    <row r="15927" spans="1:11" x14ac:dyDescent="0.35">
      <c r="A15927" s="9" t="str">
        <f>HYPERLINK("http://www.ensembl.org/id/WBGene00202394", "WBGene00202394")</f>
        <v>WBGene00202394</v>
      </c>
      <c r="B15927" s="9"/>
      <c r="C15927" s="9"/>
      <c r="D15927" t="str">
        <f>"T10B9.13"</f>
        <v>T10B9.13</v>
      </c>
      <c r="F15927" t="s">
        <v>481</v>
      </c>
      <c r="H15927" s="12">
        <v>3.4917188327556898</v>
      </c>
      <c r="I15927" s="20">
        <v>0.38080453806645798</v>
      </c>
      <c r="J15927" s="28">
        <v>0.703348291649464</v>
      </c>
      <c r="K15927" s="29">
        <v>0.98289565623980701</v>
      </c>
    </row>
    <row r="15928" spans="1:11" x14ac:dyDescent="0.35">
      <c r="A15928" s="9" t="str">
        <f>HYPERLINK("http://www.ensembl.org/id/WBGene00077607", "WBGene00077607")</f>
        <v>WBGene00077607</v>
      </c>
      <c r="B15928" s="9" t="str">
        <f>HYPERLINK("http://www.ncbi.nlm.nih.gov/gene/6418771", "6418771")</f>
        <v>6418771</v>
      </c>
      <c r="C15928" s="9"/>
      <c r="D15928" t="str">
        <f>"T10C6.16"</f>
        <v>T10C6.16</v>
      </c>
      <c r="F15928" t="s">
        <v>11</v>
      </c>
      <c r="H15928" s="12">
        <v>-2.0017484455732699</v>
      </c>
      <c r="I15928" s="20">
        <v>-0.33691131513484801</v>
      </c>
      <c r="J15928" s="28">
        <v>0.73618375525280899</v>
      </c>
      <c r="K15928" s="29">
        <v>0.98289565623980701</v>
      </c>
    </row>
    <row r="15929" spans="1:11" x14ac:dyDescent="0.35">
      <c r="A15929" s="9" t="str">
        <f>HYPERLINK("http://www.ensembl.org/id/WBGene00011690", "WBGene00011690")</f>
        <v>WBGene00011690</v>
      </c>
      <c r="B15929" s="9"/>
      <c r="C15929" s="9"/>
      <c r="D15929" t="str">
        <f>"T10C6.9"</f>
        <v>T10C6.9</v>
      </c>
      <c r="F15929" t="s">
        <v>80</v>
      </c>
      <c r="H15929" s="12">
        <v>12.685338163804801</v>
      </c>
      <c r="I15929" s="20">
        <v>0.81852262355899996</v>
      </c>
      <c r="J15929" s="28">
        <v>0.41305882922107201</v>
      </c>
      <c r="K15929" s="29">
        <v>0.98289565623980701</v>
      </c>
    </row>
    <row r="15930" spans="1:11" x14ac:dyDescent="0.35">
      <c r="A15930" s="9" t="str">
        <f>HYPERLINK("http://www.ensembl.org/id/WBGene00020406", "WBGene00020406")</f>
        <v>WBGene00020406</v>
      </c>
      <c r="B15930" s="9" t="str">
        <f>HYPERLINK("http://www.ncbi.nlm.nih.gov/gene/188380", "188380")</f>
        <v>188380</v>
      </c>
      <c r="C15930" s="9"/>
      <c r="D15930" t="str">
        <f>"T10D4.1"</f>
        <v>T10D4.1</v>
      </c>
      <c r="F15930" t="s">
        <v>11</v>
      </c>
      <c r="H15930" s="12">
        <v>3.6645215954135</v>
      </c>
      <c r="I15930" s="20">
        <v>0.37967131826092498</v>
      </c>
      <c r="J15930" s="28">
        <v>0.70418941338960395</v>
      </c>
      <c r="K15930" s="29">
        <v>0.98289565623980701</v>
      </c>
    </row>
    <row r="15931" spans="1:11" x14ac:dyDescent="0.35">
      <c r="A15931" s="9" t="str">
        <f>HYPERLINK("http://www.ensembl.org/id/WBGene00020410", "WBGene00020410")</f>
        <v>WBGene00020410</v>
      </c>
      <c r="B15931" s="9" t="str">
        <f>HYPERLINK("http://www.ncbi.nlm.nih.gov/gene/188382", "188382")</f>
        <v>188382</v>
      </c>
      <c r="C15931" s="9"/>
      <c r="D15931" t="str">
        <f>"T10D4.11"</f>
        <v>T10D4.11</v>
      </c>
      <c r="F15931" t="s">
        <v>11</v>
      </c>
      <c r="H15931" s="12">
        <v>-2.4295389261469</v>
      </c>
      <c r="I15931" s="20">
        <v>-0.25808529976640998</v>
      </c>
      <c r="J15931" s="28">
        <v>0.79634107645457397</v>
      </c>
      <c r="K15931" s="29">
        <v>0.98289565623980701</v>
      </c>
    </row>
    <row r="15932" spans="1:11" x14ac:dyDescent="0.35">
      <c r="A15932" s="9" t="str">
        <f>HYPERLINK("http://www.ensembl.org/id/WBGene00077522", "WBGene00077522")</f>
        <v>WBGene00077522</v>
      </c>
      <c r="B15932" s="9" t="str">
        <f>HYPERLINK("http://www.ncbi.nlm.nih.gov/gene/6418634", "6418634")</f>
        <v>6418634</v>
      </c>
      <c r="C15932" s="9"/>
      <c r="D15932" t="str">
        <f>"T10D4.15"</f>
        <v>T10D4.15</v>
      </c>
      <c r="F15932" t="s">
        <v>11</v>
      </c>
      <c r="H15932" s="12">
        <v>1.5264929265006399</v>
      </c>
      <c r="I15932" s="20">
        <v>0.389851524543192</v>
      </c>
      <c r="J15932" s="28">
        <v>0.69664634108002599</v>
      </c>
      <c r="K15932" s="29">
        <v>0.98289565623980701</v>
      </c>
    </row>
    <row r="15933" spans="1:11" x14ac:dyDescent="0.35">
      <c r="A15933" s="9" t="str">
        <f>HYPERLINK("http://www.ensembl.org/id/WBGene00020408", "WBGene00020408")</f>
        <v>WBGene00020408</v>
      </c>
      <c r="B15933" s="9" t="str">
        <f>HYPERLINK("http://www.ncbi.nlm.nih.gov/gene/173659", "173659")</f>
        <v>173659</v>
      </c>
      <c r="C15933" s="9"/>
      <c r="D15933" t="str">
        <f>"T10D4.6"</f>
        <v>T10D4.6</v>
      </c>
      <c r="F15933" t="s">
        <v>11</v>
      </c>
      <c r="H15933" s="12">
        <v>-1.0828314618644399</v>
      </c>
      <c r="I15933" s="20">
        <v>-0.37414780393222702</v>
      </c>
      <c r="J15933" s="28">
        <v>0.70829435475692004</v>
      </c>
      <c r="K15933" s="29">
        <v>0.98289565623980701</v>
      </c>
    </row>
    <row r="15934" spans="1:11" x14ac:dyDescent="0.35">
      <c r="A15934" s="9" t="str">
        <f>HYPERLINK("http://www.ensembl.org/id/WBGene00020420", "WBGene00020420")</f>
        <v>WBGene00020420</v>
      </c>
      <c r="B15934" s="9" t="str">
        <f>HYPERLINK("http://www.ncbi.nlm.nih.gov/gene/188386", "188386")</f>
        <v>188386</v>
      </c>
      <c r="C15934" s="9"/>
      <c r="D15934" t="str">
        <f>"T10E10.3"</f>
        <v>T10E10.3</v>
      </c>
      <c r="F15934" t="s">
        <v>11</v>
      </c>
      <c r="G15934" t="s">
        <v>2336</v>
      </c>
      <c r="H15934" s="12">
        <v>2.2114722063374499</v>
      </c>
      <c r="I15934" s="20">
        <v>1.0847727923821899</v>
      </c>
      <c r="J15934" s="28">
        <v>0.27802229867190997</v>
      </c>
      <c r="K15934" s="29">
        <v>0.98289565623980701</v>
      </c>
    </row>
    <row r="15935" spans="1:11" x14ac:dyDescent="0.35">
      <c r="A15935" s="9" t="str">
        <f>HYPERLINK("http://www.ensembl.org/id/WBGene00020421", "WBGene00020421")</f>
        <v>WBGene00020421</v>
      </c>
      <c r="B15935" s="9" t="str">
        <f>HYPERLINK("http://www.ncbi.nlm.nih.gov/gene/180906", "180906")</f>
        <v>180906</v>
      </c>
      <c r="C15935" s="9"/>
      <c r="D15935" t="str">
        <f>"T10E10.4"</f>
        <v>T10E10.4</v>
      </c>
      <c r="F15935" t="s">
        <v>11</v>
      </c>
      <c r="G15935" t="s">
        <v>5014</v>
      </c>
      <c r="H15935" s="12">
        <v>1.26240091528076</v>
      </c>
      <c r="I15935" s="20">
        <v>0.40238512416623001</v>
      </c>
      <c r="J15935" s="28">
        <v>0.68740061616328996</v>
      </c>
      <c r="K15935" s="29">
        <v>0.98289565623980701</v>
      </c>
    </row>
    <row r="15936" spans="1:11" x14ac:dyDescent="0.35">
      <c r="A15936" s="9" t="str">
        <f>HYPERLINK("http://www.ensembl.org/id/WBGene00271694", "WBGene00271694")</f>
        <v>WBGene00271694</v>
      </c>
      <c r="B15936" s="9" t="str">
        <f>HYPERLINK("http://www.ncbi.nlm.nih.gov/gene/32928596", "32928596")</f>
        <v>32928596</v>
      </c>
      <c r="C15936" s="9"/>
      <c r="D15936" t="str">
        <f>"T10E9.14"</f>
        <v>T10E9.14</v>
      </c>
      <c r="F15936" t="s">
        <v>11</v>
      </c>
      <c r="G15936" t="s">
        <v>9986</v>
      </c>
      <c r="H15936" s="12">
        <v>-1.57908408832183</v>
      </c>
      <c r="I15936" s="20">
        <v>-1.1818408390948201</v>
      </c>
      <c r="J15936" s="28">
        <v>0.23726885992292099</v>
      </c>
      <c r="K15936" s="29">
        <v>0.98289565623980701</v>
      </c>
    </row>
    <row r="15937" spans="1:11" x14ac:dyDescent="0.35">
      <c r="A15937" s="9" t="str">
        <f>HYPERLINK("http://www.ensembl.org/id/WBGene00020415", "WBGene00020415")</f>
        <v>WBGene00020415</v>
      </c>
      <c r="B15937" s="9" t="str">
        <f>HYPERLINK("http://www.ncbi.nlm.nih.gov/gene/188383", "188383")</f>
        <v>188383</v>
      </c>
      <c r="C15937" s="9"/>
      <c r="D15937" t="str">
        <f>"T10E9.5"</f>
        <v>T10E9.5</v>
      </c>
      <c r="F15937" t="s">
        <v>11</v>
      </c>
      <c r="G15937" t="s">
        <v>25</v>
      </c>
      <c r="H15937" s="12">
        <v>-1.2485479521174701</v>
      </c>
      <c r="I15937" s="20">
        <v>-0.29104271740800702</v>
      </c>
      <c r="J15937" s="28">
        <v>0.77101864914018003</v>
      </c>
      <c r="K15937" s="29">
        <v>0.98289565623980701</v>
      </c>
    </row>
    <row r="15938" spans="1:11" x14ac:dyDescent="0.35">
      <c r="A15938" s="9" t="str">
        <f>HYPERLINK("http://www.ensembl.org/id/WBGene00020416", "WBGene00020416")</f>
        <v>WBGene00020416</v>
      </c>
      <c r="B15938" s="9" t="str">
        <f>HYPERLINK("http://www.ncbi.nlm.nih.gov/gene/188384", "188384")</f>
        <v>188384</v>
      </c>
      <c r="C15938" s="9"/>
      <c r="D15938" t="str">
        <f>"T10E9.6"</f>
        <v>T10E9.6</v>
      </c>
      <c r="F15938" t="s">
        <v>11</v>
      </c>
      <c r="G15938" t="s">
        <v>25</v>
      </c>
      <c r="H15938" s="12">
        <v>2.2251097742427999</v>
      </c>
      <c r="I15938" s="20">
        <v>0.320308511099687</v>
      </c>
      <c r="J15938" s="28">
        <v>0.74873447185206399</v>
      </c>
      <c r="K15938" s="29">
        <v>0.98289565623980701</v>
      </c>
    </row>
    <row r="15939" spans="1:11" x14ac:dyDescent="0.35">
      <c r="A15939" s="9" t="str">
        <f>HYPERLINK("http://www.ensembl.org/id/WBGene00020418", "WBGene00020418")</f>
        <v>WBGene00020418</v>
      </c>
      <c r="B15939" s="9" t="str">
        <f>HYPERLINK("http://www.ncbi.nlm.nih.gov/gene/188385", "188385")</f>
        <v>188385</v>
      </c>
      <c r="C15939" s="9"/>
      <c r="D15939" t="str">
        <f>"T10E9.8"</f>
        <v>T10E9.8</v>
      </c>
      <c r="F15939" t="s">
        <v>11</v>
      </c>
      <c r="G15939" t="s">
        <v>25</v>
      </c>
      <c r="H15939" s="12">
        <v>-1.0933134453156499</v>
      </c>
      <c r="I15939" s="20">
        <v>-0.32114545366986502</v>
      </c>
      <c r="J15939" s="28">
        <v>0.74810016604935503</v>
      </c>
      <c r="K15939" s="29">
        <v>0.98289565623980701</v>
      </c>
    </row>
    <row r="15940" spans="1:11" x14ac:dyDescent="0.35">
      <c r="A15940" s="9" t="str">
        <f>HYPERLINK("http://www.ensembl.org/id/WBGene00044604", "WBGene00044604")</f>
        <v>WBGene00044604</v>
      </c>
      <c r="B15940" s="9" t="str">
        <f>HYPERLINK("http://www.ncbi.nlm.nih.gov/gene/3896754", "3896754")</f>
        <v>3896754</v>
      </c>
      <c r="C15940" s="9"/>
      <c r="D15940" t="str">
        <f>"T10F2.5"</f>
        <v>T10F2.5</v>
      </c>
      <c r="F15940" t="s">
        <v>11</v>
      </c>
      <c r="G15940" t="s">
        <v>9231</v>
      </c>
      <c r="H15940" s="12">
        <v>-1.2295544002272401</v>
      </c>
      <c r="I15940" s="20">
        <v>-0.75023897211451196</v>
      </c>
      <c r="J15940" s="28">
        <v>0.453110790754437</v>
      </c>
      <c r="K15940" s="29">
        <v>0.98289565623980701</v>
      </c>
    </row>
    <row r="15941" spans="1:11" x14ac:dyDescent="0.35">
      <c r="A15941" s="9" t="str">
        <f>HYPERLINK("http://www.ensembl.org/id/WBGene00011692", "WBGene00011692")</f>
        <v>WBGene00011692</v>
      </c>
      <c r="B15941" s="9" t="str">
        <f>HYPERLINK("http://www.ncbi.nlm.nih.gov/gene/188388", "188388")</f>
        <v>188388</v>
      </c>
      <c r="C15941" s="9"/>
      <c r="D15941" t="str">
        <f>"T10G3.1"</f>
        <v>T10G3.1</v>
      </c>
      <c r="F15941" t="s">
        <v>11</v>
      </c>
      <c r="H15941" s="12">
        <v>-1.2962123882108401</v>
      </c>
      <c r="I15941" s="20">
        <v>-1.0083065052764799</v>
      </c>
      <c r="J15941" s="28">
        <v>0.31330734097458601</v>
      </c>
      <c r="K15941" s="29">
        <v>0.98289565623980701</v>
      </c>
    </row>
    <row r="15942" spans="1:11" x14ac:dyDescent="0.35">
      <c r="A15942" s="9" t="str">
        <f>HYPERLINK("http://www.ensembl.org/id/WBGene00011693", "WBGene00011693")</f>
        <v>WBGene00011693</v>
      </c>
      <c r="B15942" s="9" t="str">
        <f>HYPERLINK("http://www.ncbi.nlm.nih.gov/gene/188389", "188389")</f>
        <v>188389</v>
      </c>
      <c r="C15942" s="9"/>
      <c r="D15942" t="str">
        <f>"T10G3.2"</f>
        <v>T10G3.2</v>
      </c>
      <c r="F15942" t="s">
        <v>11</v>
      </c>
      <c r="G15942" t="s">
        <v>2639</v>
      </c>
      <c r="H15942" s="12">
        <v>2.4187307679829901</v>
      </c>
      <c r="I15942" s="20">
        <v>0.76816023425331104</v>
      </c>
      <c r="J15942" s="28">
        <v>0.442391995175481</v>
      </c>
      <c r="K15942" s="29">
        <v>0.98289565623980701</v>
      </c>
    </row>
    <row r="15943" spans="1:11" x14ac:dyDescent="0.35">
      <c r="A15943" s="9" t="str">
        <f>HYPERLINK("http://www.ensembl.org/id/WBGene00011695", "WBGene00011695")</f>
        <v>WBGene00011695</v>
      </c>
      <c r="B15943" s="9" t="str">
        <f>HYPERLINK("http://www.ncbi.nlm.nih.gov/gene/188390", "188390")</f>
        <v>188390</v>
      </c>
      <c r="C15943" s="9"/>
      <c r="D15943" t="str">
        <f>"T10G3.4"</f>
        <v>T10G3.4</v>
      </c>
      <c r="F15943" t="s">
        <v>11</v>
      </c>
      <c r="G15943" t="s">
        <v>2639</v>
      </c>
      <c r="H15943" s="12">
        <v>2.1089839981994398</v>
      </c>
      <c r="I15943" s="20">
        <v>0.628455777080003</v>
      </c>
      <c r="J15943" s="28">
        <v>0.52970540792717302</v>
      </c>
      <c r="K15943" s="29">
        <v>0.98289565623980701</v>
      </c>
    </row>
    <row r="15944" spans="1:11" x14ac:dyDescent="0.35">
      <c r="A15944" s="9" t="str">
        <f>HYPERLINK("http://www.ensembl.org/id/WBGene00045340", "WBGene00045340")</f>
        <v>WBGene00045340</v>
      </c>
      <c r="B15944" s="9" t="str">
        <f>HYPERLINK("http://www.ncbi.nlm.nih.gov/gene/6418772", "6418772")</f>
        <v>6418772</v>
      </c>
      <c r="C15944" s="9"/>
      <c r="D15944" t="str">
        <f>"T10G3.8"</f>
        <v>T10G3.8</v>
      </c>
      <c r="F15944" t="s">
        <v>11</v>
      </c>
      <c r="H15944" s="12">
        <v>1.2899970617277301</v>
      </c>
      <c r="I15944" s="20">
        <v>0.71601122637307202</v>
      </c>
      <c r="J15944" s="28">
        <v>0.47398441695569898</v>
      </c>
      <c r="K15944" s="29">
        <v>0.98289565623980701</v>
      </c>
    </row>
    <row r="15945" spans="1:11" x14ac:dyDescent="0.35">
      <c r="A15945" s="9" t="str">
        <f>HYPERLINK("http://www.ensembl.org/id/WBGene00045339", "WBGene00045339")</f>
        <v>WBGene00045339</v>
      </c>
      <c r="B15945" s="9" t="str">
        <f>HYPERLINK("http://www.ncbi.nlm.nih.gov/gene/13216888", "13216888")</f>
        <v>13216888</v>
      </c>
      <c r="C15945" s="9"/>
      <c r="D15945" t="str">
        <f>"T10H4.13"</f>
        <v>T10H4.13</v>
      </c>
      <c r="F15945" t="s">
        <v>11</v>
      </c>
      <c r="G15945" t="s">
        <v>318</v>
      </c>
      <c r="H15945" s="12">
        <v>-1.2651272748208</v>
      </c>
      <c r="I15945" s="20">
        <v>-0.27153352961685501</v>
      </c>
      <c r="J15945" s="28">
        <v>0.78598071511166701</v>
      </c>
      <c r="K15945" s="29">
        <v>0.98289565623980701</v>
      </c>
    </row>
    <row r="15946" spans="1:11" x14ac:dyDescent="0.35">
      <c r="A15946" s="9" t="str">
        <f>HYPERLINK("http://www.ensembl.org/id/WBGene00011697", "WBGene00011697")</f>
        <v>WBGene00011697</v>
      </c>
      <c r="B15946" s="9" t="str">
        <f>HYPERLINK("http://www.ncbi.nlm.nih.gov/gene/188393", "188393")</f>
        <v>188393</v>
      </c>
      <c r="C15946" s="9" t="str">
        <f>HYPERLINK("http://www.ncbi.nlm.nih.gov/gene/84457", "84457")</f>
        <v>84457</v>
      </c>
      <c r="D15946" t="str">
        <f>"T10H4.4"</f>
        <v>T10H4.4</v>
      </c>
      <c r="F15946" t="s">
        <v>11</v>
      </c>
      <c r="G15946" t="s">
        <v>318</v>
      </c>
      <c r="H15946" s="12">
        <v>-1.39186463231121</v>
      </c>
      <c r="I15946" s="20">
        <v>-0.52533189605658004</v>
      </c>
      <c r="J15946" s="28">
        <v>0.599352488012173</v>
      </c>
      <c r="K15946" s="29">
        <v>0.98289565623980701</v>
      </c>
    </row>
    <row r="15947" spans="1:11" x14ac:dyDescent="0.35">
      <c r="A15947" s="9" t="str">
        <f>HYPERLINK("http://www.ensembl.org/id/WBGene00020424", "WBGene00020424")</f>
        <v>WBGene00020424</v>
      </c>
      <c r="B15947" s="9" t="str">
        <f>HYPERLINK("http://www.ncbi.nlm.nih.gov/gene/188401", "188401")</f>
        <v>188401</v>
      </c>
      <c r="C15947" s="9"/>
      <c r="D15947" t="str">
        <f>"T10H9.1"</f>
        <v>T10H9.1</v>
      </c>
      <c r="F15947" t="s">
        <v>11</v>
      </c>
      <c r="G15947" t="s">
        <v>25</v>
      </c>
      <c r="H15947" s="12">
        <v>-1.38082528624486</v>
      </c>
      <c r="I15947" s="20">
        <v>-0.62431114037012903</v>
      </c>
      <c r="J15947" s="28">
        <v>0.53242326908816495</v>
      </c>
      <c r="K15947" s="29">
        <v>0.98289565623980701</v>
      </c>
    </row>
    <row r="15948" spans="1:11" x14ac:dyDescent="0.35">
      <c r="A15948" s="9" t="str">
        <f>HYPERLINK("http://www.ensembl.org/id/WBGene00198169", "WBGene00198169")</f>
        <v>WBGene00198169</v>
      </c>
      <c r="B15948" s="9"/>
      <c r="C15948" s="9"/>
      <c r="D15948" t="str">
        <f>"T10H9.10"</f>
        <v>T10H9.10</v>
      </c>
      <c r="F15948" t="s">
        <v>481</v>
      </c>
      <c r="H15948" s="12">
        <v>-2.4295389261469</v>
      </c>
      <c r="I15948" s="20">
        <v>-0.25808529976640998</v>
      </c>
      <c r="J15948" s="28">
        <v>0.79634107645457397</v>
      </c>
      <c r="K15948" s="29">
        <v>0.98289565623980701</v>
      </c>
    </row>
    <row r="15949" spans="1:11" x14ac:dyDescent="0.35">
      <c r="A15949" s="9" t="str">
        <f>HYPERLINK("http://www.ensembl.org/id/WBGene00200533", "WBGene00200533")</f>
        <v>WBGene00200533</v>
      </c>
      <c r="B15949" s="9"/>
      <c r="C15949" s="9"/>
      <c r="D15949" t="str">
        <f>"T11A5.10"</f>
        <v>T11A5.10</v>
      </c>
      <c r="F15949" t="s">
        <v>481</v>
      </c>
      <c r="H15949" s="12">
        <v>-2.4295389261469</v>
      </c>
      <c r="I15949" s="20">
        <v>-0.25808529976640998</v>
      </c>
      <c r="J15949" s="28">
        <v>0.79634107645457397</v>
      </c>
      <c r="K15949" s="29">
        <v>0.98289565623980701</v>
      </c>
    </row>
    <row r="15950" spans="1:11" x14ac:dyDescent="0.35">
      <c r="A15950" s="9" t="str">
        <f>HYPERLINK("http://www.ensembl.org/id/WBGene00011706", "WBGene00011706")</f>
        <v>WBGene00011706</v>
      </c>
      <c r="B15950" s="9" t="str">
        <f>HYPERLINK("http://www.ncbi.nlm.nih.gov/gene/177698", "177698")</f>
        <v>177698</v>
      </c>
      <c r="C15950" s="9"/>
      <c r="D15950" t="str">
        <f>"T11B7.1"</f>
        <v>T11B7.1</v>
      </c>
      <c r="F15950" t="s">
        <v>11</v>
      </c>
      <c r="G15950" t="s">
        <v>54</v>
      </c>
      <c r="H15950" s="12">
        <v>1.25305640265194</v>
      </c>
      <c r="I15950" s="20">
        <v>0.85713193129248999</v>
      </c>
      <c r="J15950" s="28">
        <v>0.39137197585553102</v>
      </c>
      <c r="K15950" s="29">
        <v>0.98289565623980701</v>
      </c>
    </row>
    <row r="15951" spans="1:11" x14ac:dyDescent="0.35">
      <c r="A15951" s="9" t="str">
        <f>HYPERLINK("http://www.ensembl.org/id/WBGene00011707", "WBGene00011707")</f>
        <v>WBGene00011707</v>
      </c>
      <c r="B15951" s="9" t="str">
        <f>HYPERLINK("http://www.ncbi.nlm.nih.gov/gene/188408", "188408")</f>
        <v>188408</v>
      </c>
      <c r="C15951" s="9"/>
      <c r="D15951" t="str">
        <f>"T11B7.2"</f>
        <v>T11B7.2</v>
      </c>
      <c r="F15951" t="s">
        <v>11</v>
      </c>
      <c r="H15951" s="12">
        <v>-1.1489408421359799</v>
      </c>
      <c r="I15951" s="20">
        <v>-0.31974832388804197</v>
      </c>
      <c r="J15951" s="28">
        <v>0.74915912409242202</v>
      </c>
      <c r="K15951" s="29">
        <v>0.98289565623980701</v>
      </c>
    </row>
    <row r="15952" spans="1:11" x14ac:dyDescent="0.35">
      <c r="A15952" s="9" t="str">
        <f>HYPERLINK("http://www.ensembl.org/id/WBGene00196048", "WBGene00196048")</f>
        <v>WBGene00196048</v>
      </c>
      <c r="B15952" s="9"/>
      <c r="C15952" s="9"/>
      <c r="D15952" t="str">
        <f>"T11F1.10"</f>
        <v>T11F1.10</v>
      </c>
      <c r="F15952" t="s">
        <v>481</v>
      </c>
      <c r="H15952" s="12">
        <v>-2.4295389261469</v>
      </c>
      <c r="I15952" s="20">
        <v>-0.25808529976640998</v>
      </c>
      <c r="J15952" s="28">
        <v>0.79634107645457397</v>
      </c>
      <c r="K15952" s="29">
        <v>0.98289565623980701</v>
      </c>
    </row>
    <row r="15953" spans="1:11" x14ac:dyDescent="0.35">
      <c r="A15953" s="9" t="str">
        <f>HYPERLINK("http://www.ensembl.org/id/WBGene00235273", "WBGene00235273")</f>
        <v>WBGene00235273</v>
      </c>
      <c r="B15953" s="9" t="str">
        <f>HYPERLINK("http://www.ncbi.nlm.nih.gov/gene/24104884", "24104884")</f>
        <v>24104884</v>
      </c>
      <c r="C15953" s="9"/>
      <c r="D15953" t="str">
        <f>"T11F8.12"</f>
        <v>T11F8.12</v>
      </c>
      <c r="F15953" t="s">
        <v>11</v>
      </c>
      <c r="G15953" t="s">
        <v>25</v>
      </c>
      <c r="H15953" s="12">
        <v>1.4955468185412499</v>
      </c>
      <c r="I15953" s="20">
        <v>0.50658322417364499</v>
      </c>
      <c r="J15953" s="28">
        <v>0.61244728159978001</v>
      </c>
      <c r="K15953" s="29">
        <v>0.98289565623980701</v>
      </c>
    </row>
    <row r="15954" spans="1:11" x14ac:dyDescent="0.35">
      <c r="A15954" s="9" t="str">
        <f>HYPERLINK("http://www.ensembl.org/id/WBGene00020434", "WBGene00020434")</f>
        <v>WBGene00020434</v>
      </c>
      <c r="B15954" s="9"/>
      <c r="C15954" s="9"/>
      <c r="D15954" t="str">
        <f>"T11F8.2"</f>
        <v>T11F8.2</v>
      </c>
      <c r="F15954" t="s">
        <v>80</v>
      </c>
      <c r="H15954" s="12">
        <v>-2.34661324259906</v>
      </c>
      <c r="I15954" s="20">
        <v>-1.0050512884495699</v>
      </c>
      <c r="J15954" s="28">
        <v>0.31487215399254198</v>
      </c>
      <c r="K15954" s="29">
        <v>0.98289565623980701</v>
      </c>
    </row>
    <row r="15955" spans="1:11" x14ac:dyDescent="0.35">
      <c r="A15955" s="9" t="str">
        <f>HYPERLINK("http://www.ensembl.org/id/WBGene00044499", "WBGene00044499")</f>
        <v>WBGene00044499</v>
      </c>
      <c r="B15955" s="9" t="str">
        <f>HYPERLINK("http://www.ncbi.nlm.nih.gov/gene/3896788", "3896788")</f>
        <v>3896788</v>
      </c>
      <c r="C15955" s="9"/>
      <c r="D15955" t="str">
        <f>"T11F8.5"</f>
        <v>T11F8.5</v>
      </c>
      <c r="F15955" t="s">
        <v>11</v>
      </c>
      <c r="G15955" t="s">
        <v>25</v>
      </c>
      <c r="H15955" s="12">
        <v>3.4917188327556898</v>
      </c>
      <c r="I15955" s="20">
        <v>0.38080453806645798</v>
      </c>
      <c r="J15955" s="28">
        <v>0.703348291649464</v>
      </c>
      <c r="K15955" s="29">
        <v>0.98289565623980701</v>
      </c>
    </row>
    <row r="15956" spans="1:11" x14ac:dyDescent="0.35">
      <c r="A15956" s="9" t="str">
        <f>HYPERLINK("http://www.ensembl.org/id/WBGene00011709", "WBGene00011709")</f>
        <v>WBGene00011709</v>
      </c>
      <c r="B15956" s="9" t="str">
        <f>HYPERLINK("http://www.ncbi.nlm.nih.gov/gene/188419", "188419")</f>
        <v>188419</v>
      </c>
      <c r="C15956" s="9"/>
      <c r="D15956" t="str">
        <f>"T11F9.1"</f>
        <v>T11F9.1</v>
      </c>
      <c r="F15956" t="s">
        <v>11</v>
      </c>
      <c r="G15956" t="s">
        <v>1089</v>
      </c>
      <c r="H15956" s="12">
        <v>1.2978536968476</v>
      </c>
      <c r="I15956" s="20">
        <v>0.68768130089560398</v>
      </c>
      <c r="J15956" s="28">
        <v>0.49165349791053897</v>
      </c>
      <c r="K15956" s="29">
        <v>0.98289565623980701</v>
      </c>
    </row>
    <row r="15957" spans="1:11" x14ac:dyDescent="0.35">
      <c r="A15957" s="9" t="str">
        <f>HYPERLINK("http://www.ensembl.org/id/WBGene00011712", "WBGene00011712")</f>
        <v>WBGene00011712</v>
      </c>
      <c r="B15957" s="9" t="str">
        <f>HYPERLINK("http://www.ncbi.nlm.nih.gov/gene/188427", "188427")</f>
        <v>188427</v>
      </c>
      <c r="C15957" s="9"/>
      <c r="D15957" t="str">
        <f>"T11F9.10"</f>
        <v>T11F9.10</v>
      </c>
      <c r="F15957" t="s">
        <v>11</v>
      </c>
      <c r="H15957" s="12">
        <v>5.4829777729673896</v>
      </c>
      <c r="I15957" s="20">
        <v>0.82580960796589098</v>
      </c>
      <c r="J15957" s="28">
        <v>0.40891210296785602</v>
      </c>
      <c r="K15957" s="29">
        <v>0.98289565623980701</v>
      </c>
    </row>
    <row r="15958" spans="1:11" x14ac:dyDescent="0.35">
      <c r="A15958" s="9" t="str">
        <f>HYPERLINK("http://www.ensembl.org/id/WBGene00011715", "WBGene00011715")</f>
        <v>WBGene00011715</v>
      </c>
      <c r="B15958" s="9" t="str">
        <f>HYPERLINK("http://www.ncbi.nlm.nih.gov/gene/188429", "188429")</f>
        <v>188429</v>
      </c>
      <c r="C15958" s="9"/>
      <c r="D15958" t="str">
        <f>"T11F9.14"</f>
        <v>T11F9.14</v>
      </c>
      <c r="F15958" t="s">
        <v>11</v>
      </c>
      <c r="H15958" s="12">
        <v>-2.4295389261469</v>
      </c>
      <c r="I15958" s="20">
        <v>-0.25808529976640998</v>
      </c>
      <c r="J15958" s="28">
        <v>0.79634107645457397</v>
      </c>
      <c r="K15958" s="29">
        <v>0.98289565623980701</v>
      </c>
    </row>
    <row r="15959" spans="1:11" x14ac:dyDescent="0.35">
      <c r="A15959" s="9" t="str">
        <f>HYPERLINK("http://www.ensembl.org/id/WBGene00011716", "WBGene00011716")</f>
        <v>WBGene00011716</v>
      </c>
      <c r="B15959" s="9"/>
      <c r="C15959" s="9"/>
      <c r="D15959" t="str">
        <f>"T11F9.19"</f>
        <v>T11F9.19</v>
      </c>
      <c r="F15959" t="s">
        <v>80</v>
      </c>
      <c r="H15959" s="12">
        <v>-2.5601838311597902</v>
      </c>
      <c r="I15959" s="20">
        <v>-0.41699799698634099</v>
      </c>
      <c r="J15959" s="28">
        <v>0.67667987280586395</v>
      </c>
      <c r="K15959" s="29">
        <v>0.98289565623980701</v>
      </c>
    </row>
    <row r="15960" spans="1:11" x14ac:dyDescent="0.35">
      <c r="A15960" s="9" t="str">
        <f>HYPERLINK("http://www.ensembl.org/id/WBGene00199204", "WBGene00199204")</f>
        <v>WBGene00199204</v>
      </c>
      <c r="B15960" s="9"/>
      <c r="C15960" s="9"/>
      <c r="D15960" t="str">
        <f>"T11F9.26"</f>
        <v>T11F9.26</v>
      </c>
      <c r="F15960" t="s">
        <v>481</v>
      </c>
      <c r="H15960" s="12">
        <v>2.3893468495514898</v>
      </c>
      <c r="I15960" s="20">
        <v>0.25323547253672701</v>
      </c>
      <c r="J15960" s="28">
        <v>0.80008625651646104</v>
      </c>
      <c r="K15960" s="29">
        <v>0.98289565623980701</v>
      </c>
    </row>
    <row r="15961" spans="1:11" x14ac:dyDescent="0.35">
      <c r="A15961" s="9" t="str">
        <f>HYPERLINK("http://www.ensembl.org/id/WBGene00200423", "WBGene00200423")</f>
        <v>WBGene00200423</v>
      </c>
      <c r="B15961" s="9"/>
      <c r="C15961" s="9"/>
      <c r="D15961" t="str">
        <f>"T11F9.27"</f>
        <v>T11F9.27</v>
      </c>
      <c r="F15961" t="s">
        <v>481</v>
      </c>
      <c r="H15961" s="12">
        <v>1.69307215052608</v>
      </c>
      <c r="I15961" s="20">
        <v>0.575476853012032</v>
      </c>
      <c r="J15961" s="28">
        <v>0.56496884079542797</v>
      </c>
      <c r="K15961" s="29">
        <v>0.98289565623980701</v>
      </c>
    </row>
    <row r="15962" spans="1:11" x14ac:dyDescent="0.35">
      <c r="A15962" s="9" t="str">
        <f>HYPERLINK("http://www.ensembl.org/id/WBGene00011710", "WBGene00011710")</f>
        <v>WBGene00011710</v>
      </c>
      <c r="B15962" s="9" t="str">
        <f>HYPERLINK("http://www.ncbi.nlm.nih.gov/gene/188424", "188424")</f>
        <v>188424</v>
      </c>
      <c r="C15962" s="9"/>
      <c r="D15962" t="str">
        <f>"T11F9.7"</f>
        <v>T11F9.7</v>
      </c>
      <c r="F15962" t="s">
        <v>11</v>
      </c>
      <c r="H15962" s="12">
        <v>-6.1497072681113902</v>
      </c>
      <c r="I15962" s="20">
        <v>-1.1799648476158899</v>
      </c>
      <c r="J15962" s="28">
        <v>0.23801419622588299</v>
      </c>
      <c r="K15962" s="29">
        <v>0.98289565623980701</v>
      </c>
    </row>
    <row r="15963" spans="1:11" x14ac:dyDescent="0.35">
      <c r="A15963" s="9" t="str">
        <f>HYPERLINK("http://www.ensembl.org/id/WBGene00011717", "WBGene00011717")</f>
        <v>WBGene00011717</v>
      </c>
      <c r="B15963" s="9" t="str">
        <f>HYPERLINK("http://www.ncbi.nlm.nih.gov/gene/177977", "177977")</f>
        <v>177977</v>
      </c>
      <c r="C15963" s="9" t="str">
        <f>HYPERLINK("http://www.ncbi.nlm.nih.gov/gene/84255", "84255")</f>
        <v>84255</v>
      </c>
      <c r="D15963" t="str">
        <f>"T11G6.2"</f>
        <v>T11G6.2</v>
      </c>
      <c r="F15963" t="s">
        <v>11</v>
      </c>
      <c r="G15963" t="s">
        <v>3099</v>
      </c>
      <c r="H15963" s="12">
        <v>-1.1521084811960201</v>
      </c>
      <c r="I15963" s="20">
        <v>-0.73054084720960999</v>
      </c>
      <c r="J15963" s="28">
        <v>0.46505965440812502</v>
      </c>
      <c r="K15963" s="29">
        <v>0.98289565623980701</v>
      </c>
    </row>
    <row r="15964" spans="1:11" x14ac:dyDescent="0.35">
      <c r="A15964" s="9" t="str">
        <f>HYPERLINK("http://www.ensembl.org/id/WBGene00011719", "WBGene00011719")</f>
        <v>WBGene00011719</v>
      </c>
      <c r="B15964" s="9" t="str">
        <f>HYPERLINK("http://www.ncbi.nlm.nih.gov/gene/188431", "188431")</f>
        <v>188431</v>
      </c>
      <c r="C15964" s="9" t="str">
        <f>HYPERLINK("http://www.ncbi.nlm.nih.gov/gene/84255", "84255")</f>
        <v>84255</v>
      </c>
      <c r="D15964" t="str">
        <f>"T11G6.4"</f>
        <v>T11G6.4</v>
      </c>
      <c r="F15964" t="s">
        <v>11</v>
      </c>
      <c r="G15964" t="s">
        <v>3099</v>
      </c>
      <c r="H15964" s="12">
        <v>1.2204515674765499</v>
      </c>
      <c r="I15964" s="20">
        <v>0.90445136707840901</v>
      </c>
      <c r="J15964" s="28">
        <v>0.36575611107186701</v>
      </c>
      <c r="K15964" s="29">
        <v>0.98289565623980701</v>
      </c>
    </row>
    <row r="15965" spans="1:11" x14ac:dyDescent="0.35">
      <c r="A15965" s="9" t="str">
        <f>HYPERLINK("http://www.ensembl.org/id/WBGene00011720", "WBGene00011720")</f>
        <v>WBGene00011720</v>
      </c>
      <c r="B15965" s="9" t="str">
        <f>HYPERLINK("http://www.ncbi.nlm.nih.gov/gene/177976", "177976")</f>
        <v>177976</v>
      </c>
      <c r="C15965" s="9"/>
      <c r="D15965" t="str">
        <f>"T11G6.5"</f>
        <v>T11G6.5</v>
      </c>
      <c r="F15965" t="s">
        <v>11</v>
      </c>
      <c r="H15965" s="12">
        <v>-1.15273142548598</v>
      </c>
      <c r="I15965" s="20">
        <v>-0.760014661347169</v>
      </c>
      <c r="J15965" s="28">
        <v>0.44724582117982398</v>
      </c>
      <c r="K15965" s="29">
        <v>0.98289565623980701</v>
      </c>
    </row>
    <row r="15966" spans="1:11" x14ac:dyDescent="0.35">
      <c r="A15966" s="9" t="str">
        <f>HYPERLINK("http://www.ensembl.org/id/WBGene00011721", "WBGene00011721")</f>
        <v>WBGene00011721</v>
      </c>
      <c r="B15966" s="9"/>
      <c r="C15966" s="9"/>
      <c r="D15966" t="str">
        <f>"T11G6.7"</f>
        <v>T11G6.7</v>
      </c>
      <c r="F15966" t="s">
        <v>80</v>
      </c>
      <c r="H15966" s="12">
        <v>-2.8470777891653798</v>
      </c>
      <c r="I15966" s="20">
        <v>-0.41920650115178398</v>
      </c>
      <c r="J15966" s="28">
        <v>0.67506522125976898</v>
      </c>
      <c r="K15966" s="29">
        <v>0.98289565623980701</v>
      </c>
    </row>
    <row r="15967" spans="1:11" x14ac:dyDescent="0.35">
      <c r="A15967" s="9" t="str">
        <f>HYPERLINK("http://www.ensembl.org/id/WBGene00020438", "WBGene00020438")</f>
        <v>WBGene00020438</v>
      </c>
      <c r="B15967" s="9" t="str">
        <f>HYPERLINK("http://www.ncbi.nlm.nih.gov/gene/175884", "175884")</f>
        <v>175884</v>
      </c>
      <c r="C15967" s="9"/>
      <c r="D15967" t="str">
        <f>"T12A2.3"</f>
        <v>T12A2.3</v>
      </c>
      <c r="F15967" t="s">
        <v>11</v>
      </c>
      <c r="H15967" s="12">
        <v>-1.28470465670117</v>
      </c>
      <c r="I15967" s="20">
        <v>-0.37981908351767102</v>
      </c>
      <c r="J15967" s="28">
        <v>0.70407971547585901</v>
      </c>
      <c r="K15967" s="29">
        <v>0.98289565623980701</v>
      </c>
    </row>
    <row r="15968" spans="1:11" x14ac:dyDescent="0.35">
      <c r="A15968" s="9" t="str">
        <f>HYPERLINK("http://www.ensembl.org/id/WBGene00020440", "WBGene00020440")</f>
        <v>WBGene00020440</v>
      </c>
      <c r="B15968" s="9" t="str">
        <f>HYPERLINK("http://www.ncbi.nlm.nih.gov/gene/188434", "188434")</f>
        <v>188434</v>
      </c>
      <c r="C15968" s="9"/>
      <c r="D15968" t="str">
        <f>"T12A2.6"</f>
        <v>T12A2.6</v>
      </c>
      <c r="F15968" t="s">
        <v>11</v>
      </c>
      <c r="G15968" t="s">
        <v>4256</v>
      </c>
      <c r="H15968" s="12">
        <v>5.4058944669092801</v>
      </c>
      <c r="I15968" s="20">
        <v>0.49762513753689303</v>
      </c>
      <c r="J15968" s="28">
        <v>0.61874828254921799</v>
      </c>
      <c r="K15968" s="29">
        <v>0.98289565623980701</v>
      </c>
    </row>
    <row r="15969" spans="1:11" x14ac:dyDescent="0.35">
      <c r="A15969" s="9" t="str">
        <f>HYPERLINK("http://www.ensembl.org/id/WBGene00196702", "WBGene00196702")</f>
        <v>WBGene00196702</v>
      </c>
      <c r="B15969" s="9"/>
      <c r="C15969" s="9"/>
      <c r="D15969" t="str">
        <f>"T12A7.11"</f>
        <v>T12A7.11</v>
      </c>
      <c r="F15969" t="s">
        <v>481</v>
      </c>
      <c r="H15969" s="12">
        <v>2.3893468495514898</v>
      </c>
      <c r="I15969" s="20">
        <v>0.25323547253672701</v>
      </c>
      <c r="J15969" s="28">
        <v>0.80008625651646104</v>
      </c>
      <c r="K15969" s="29">
        <v>0.98289565623980701</v>
      </c>
    </row>
    <row r="15970" spans="1:11" x14ac:dyDescent="0.35">
      <c r="A15970" s="9" t="str">
        <f>HYPERLINK("http://www.ensembl.org/id/WBGene00011723", "WBGene00011723")</f>
        <v>WBGene00011723</v>
      </c>
      <c r="B15970" s="9" t="str">
        <f>HYPERLINK("http://www.ncbi.nlm.nih.gov/gene/178110", "178110")</f>
        <v>178110</v>
      </c>
      <c r="C15970" s="9"/>
      <c r="D15970" t="str">
        <f>"T12A7.2"</f>
        <v>T12A7.2</v>
      </c>
      <c r="F15970" t="s">
        <v>11</v>
      </c>
      <c r="G15970" t="s">
        <v>25</v>
      </c>
      <c r="H15970" s="12">
        <v>1.1925710385816399</v>
      </c>
      <c r="I15970" s="20">
        <v>0.87964092123747695</v>
      </c>
      <c r="J15970" s="28">
        <v>0.37905386328568502</v>
      </c>
      <c r="K15970" s="29">
        <v>0.98289565623980701</v>
      </c>
    </row>
    <row r="15971" spans="1:11" x14ac:dyDescent="0.35">
      <c r="A15971" s="9" t="str">
        <f>HYPERLINK("http://www.ensembl.org/id/WBGene00011727", "WBGene00011727")</f>
        <v>WBGene00011727</v>
      </c>
      <c r="B15971" s="9" t="str">
        <f>HYPERLINK("http://www.ncbi.nlm.nih.gov/gene/178109", "178109")</f>
        <v>178109</v>
      </c>
      <c r="C15971" s="9"/>
      <c r="D15971" t="str">
        <f>"T12A7.6"</f>
        <v>T12A7.6</v>
      </c>
      <c r="F15971" t="s">
        <v>11</v>
      </c>
      <c r="H15971" s="12">
        <v>1.1597951218639999</v>
      </c>
      <c r="I15971" s="20">
        <v>0.60730049596003899</v>
      </c>
      <c r="J15971" s="28">
        <v>0.54365150927197403</v>
      </c>
      <c r="K15971" s="29">
        <v>0.98289565623980701</v>
      </c>
    </row>
    <row r="15972" spans="1:11" x14ac:dyDescent="0.35">
      <c r="A15972" s="9" t="str">
        <f>HYPERLINK("http://www.ensembl.org/id/WBGene00011728", "WBGene00011728")</f>
        <v>WBGene00011728</v>
      </c>
      <c r="B15972" s="9"/>
      <c r="C15972" s="9"/>
      <c r="D15972" t="str">
        <f>"T12A7.7"</f>
        <v>T12A7.7</v>
      </c>
      <c r="F15972" t="s">
        <v>80</v>
      </c>
      <c r="H15972" s="12">
        <v>-1.32811274553682</v>
      </c>
      <c r="I15972" s="20">
        <v>-0.51520240688083796</v>
      </c>
      <c r="J15972" s="28">
        <v>0.60641158730870404</v>
      </c>
      <c r="K15972" s="29">
        <v>0.98289565623980701</v>
      </c>
    </row>
    <row r="15973" spans="1:11" x14ac:dyDescent="0.35">
      <c r="A15973" s="9" t="str">
        <f>HYPERLINK("http://www.ensembl.org/id/WBGene00185100", "WBGene00185100")</f>
        <v>WBGene00185100</v>
      </c>
      <c r="B15973" s="9" t="str">
        <f>HYPERLINK("http://www.ncbi.nlm.nih.gov/gene/13198310", "13198310")</f>
        <v>13198310</v>
      </c>
      <c r="C15973" s="9"/>
      <c r="D15973" t="str">
        <f>"T12A7.9"</f>
        <v>T12A7.9</v>
      </c>
      <c r="F15973" t="s">
        <v>11</v>
      </c>
      <c r="H15973" s="12">
        <v>5.4058944669092801</v>
      </c>
      <c r="I15973" s="20">
        <v>0.49762513753689303</v>
      </c>
      <c r="J15973" s="28">
        <v>0.61874828254921799</v>
      </c>
      <c r="K15973" s="29">
        <v>0.98289565623980701</v>
      </c>
    </row>
    <row r="15974" spans="1:11" x14ac:dyDescent="0.35">
      <c r="A15974" s="9" t="str">
        <f>HYPERLINK("http://www.ensembl.org/id/WBGene00198929", "WBGene00198929")</f>
        <v>WBGene00198929</v>
      </c>
      <c r="B15974" s="9"/>
      <c r="C15974" s="9"/>
      <c r="D15974" t="str">
        <f>"T12B3.8"</f>
        <v>T12B3.8</v>
      </c>
      <c r="F15974" t="s">
        <v>481</v>
      </c>
      <c r="H15974" s="12">
        <v>2.1689612774790699</v>
      </c>
      <c r="I15974" s="20">
        <v>0.41941162616676703</v>
      </c>
      <c r="J15974" s="28">
        <v>0.67491532878188898</v>
      </c>
      <c r="K15974" s="29">
        <v>0.98289565623980701</v>
      </c>
    </row>
    <row r="15975" spans="1:11" x14ac:dyDescent="0.35">
      <c r="A15975" s="9" t="str">
        <f>HYPERLINK("http://www.ensembl.org/id/WBGene00200456", "WBGene00200456")</f>
        <v>WBGene00200456</v>
      </c>
      <c r="B15975" s="9"/>
      <c r="C15975" s="9"/>
      <c r="D15975" t="str">
        <f>"T12B3.9"</f>
        <v>T12B3.9</v>
      </c>
      <c r="F15975" t="s">
        <v>481</v>
      </c>
      <c r="H15975" s="12">
        <v>2.3893468495514898</v>
      </c>
      <c r="I15975" s="20">
        <v>0.25323547253672701</v>
      </c>
      <c r="J15975" s="28">
        <v>0.80008625651646104</v>
      </c>
      <c r="K15975" s="29">
        <v>0.98289565623980701</v>
      </c>
    </row>
    <row r="15976" spans="1:11" x14ac:dyDescent="0.35">
      <c r="A15976" s="9" t="str">
        <f>HYPERLINK("http://www.ensembl.org/id/WBGene00050913", "WBGene00050913")</f>
        <v>WBGene00050913</v>
      </c>
      <c r="B15976" s="9" t="str">
        <f>HYPERLINK("http://www.ncbi.nlm.nih.gov/gene/6418658", "6418658")</f>
        <v>6418658</v>
      </c>
      <c r="C15976" s="9"/>
      <c r="D15976" t="str">
        <f>"T12B5.14"</f>
        <v>T12B5.14</v>
      </c>
      <c r="F15976" t="s">
        <v>11</v>
      </c>
      <c r="G15976" t="s">
        <v>25</v>
      </c>
      <c r="H15976" s="12">
        <v>1.4073184527148399</v>
      </c>
      <c r="I15976" s="20">
        <v>0.54115705454182295</v>
      </c>
      <c r="J15976" s="28">
        <v>0.58839933537036104</v>
      </c>
      <c r="K15976" s="29">
        <v>0.98289565623980701</v>
      </c>
    </row>
    <row r="15977" spans="1:11" x14ac:dyDescent="0.35">
      <c r="A15977" s="9" t="str">
        <f>HYPERLINK("http://www.ensembl.org/id/WBGene00050914", "WBGene00050914")</f>
        <v>WBGene00050914</v>
      </c>
      <c r="B15977" s="9" t="str">
        <f>HYPERLINK("http://www.ncbi.nlm.nih.gov/gene/6418659", "6418659")</f>
        <v>6418659</v>
      </c>
      <c r="C15977" s="9"/>
      <c r="D15977" t="str">
        <f>"T12B5.15"</f>
        <v>T12B5.15</v>
      </c>
      <c r="F15977" t="s">
        <v>11</v>
      </c>
      <c r="H15977" s="12">
        <v>1.2037532343961099</v>
      </c>
      <c r="I15977" s="20">
        <v>0.69575956787556503</v>
      </c>
      <c r="J15977" s="28">
        <v>0.48657941390834097</v>
      </c>
      <c r="K15977" s="29">
        <v>0.98289565623980701</v>
      </c>
    </row>
    <row r="15978" spans="1:11" x14ac:dyDescent="0.35">
      <c r="A15978" s="9" t="str">
        <f>HYPERLINK("http://www.ensembl.org/id/WBGene00197530", "WBGene00197530")</f>
        <v>WBGene00197530</v>
      </c>
      <c r="B15978" s="9"/>
      <c r="C15978" s="9"/>
      <c r="D15978" t="str">
        <f>"T12B5.16"</f>
        <v>T12B5.16</v>
      </c>
      <c r="F15978" t="s">
        <v>481</v>
      </c>
      <c r="H15978" s="12">
        <v>2.4578120077400301</v>
      </c>
      <c r="I15978" s="20">
        <v>0.26093350314551</v>
      </c>
      <c r="J15978" s="28">
        <v>0.79414378780213601</v>
      </c>
      <c r="K15978" s="29">
        <v>0.98289565623980701</v>
      </c>
    </row>
    <row r="15979" spans="1:11" x14ac:dyDescent="0.35">
      <c r="A15979" s="9" t="str">
        <f>HYPERLINK("http://www.ensembl.org/id/WBGene00023345", "WBGene00023345")</f>
        <v>WBGene00023345</v>
      </c>
      <c r="B15979" s="9"/>
      <c r="C15979" s="9"/>
      <c r="D15979" t="str">
        <f>"T12B5.9"</f>
        <v>T12B5.9</v>
      </c>
      <c r="F15979" t="s">
        <v>80</v>
      </c>
      <c r="H15979" s="12">
        <v>2.2793569037194699</v>
      </c>
      <c r="I15979" s="20">
        <v>0.77340033940076802</v>
      </c>
      <c r="J15979" s="28">
        <v>0.43928548917495802</v>
      </c>
      <c r="K15979" s="29">
        <v>0.98289565623980701</v>
      </c>
    </row>
    <row r="15980" spans="1:11" x14ac:dyDescent="0.35">
      <c r="A15980" s="9" t="str">
        <f>HYPERLINK("http://www.ensembl.org/id/WBGene00023450", "WBGene00023450")</f>
        <v>WBGene00023450</v>
      </c>
      <c r="B15980" s="9" t="str">
        <f>HYPERLINK("http://www.ncbi.nlm.nih.gov/gene/176801", "176801")</f>
        <v>176801</v>
      </c>
      <c r="C15980" s="9"/>
      <c r="D15980" t="str">
        <f>"T12D8.10"</f>
        <v>T12D8.10</v>
      </c>
      <c r="F15980" t="s">
        <v>11</v>
      </c>
      <c r="G15980" t="s">
        <v>6487</v>
      </c>
      <c r="H15980" s="12">
        <v>-1.07181513658106</v>
      </c>
      <c r="I15980" s="20">
        <v>-0.29521415580571497</v>
      </c>
      <c r="J15980" s="28">
        <v>0.76783028887791205</v>
      </c>
      <c r="K15980" s="29">
        <v>0.98289565623980701</v>
      </c>
    </row>
    <row r="15981" spans="1:11" x14ac:dyDescent="0.35">
      <c r="A15981" s="9" t="str">
        <f>HYPERLINK("http://www.ensembl.org/id/WBGene00198950", "WBGene00198950")</f>
        <v>WBGene00198950</v>
      </c>
      <c r="B15981" s="9"/>
      <c r="C15981" s="9"/>
      <c r="D15981" t="str">
        <f>"T12D8.11"</f>
        <v>T12D8.11</v>
      </c>
      <c r="F15981" t="s">
        <v>481</v>
      </c>
      <c r="H15981" s="12">
        <v>6.1074702863521297</v>
      </c>
      <c r="I15981" s="20">
        <v>0.67046389748342405</v>
      </c>
      <c r="J15981" s="28">
        <v>0.50256211344062096</v>
      </c>
      <c r="K15981" s="29">
        <v>0.98289565623980701</v>
      </c>
    </row>
    <row r="15982" spans="1:11" x14ac:dyDescent="0.35">
      <c r="A15982" s="9" t="str">
        <f>HYPERLINK("http://www.ensembl.org/id/WBGene00011736", "WBGene00011736")</f>
        <v>WBGene00011736</v>
      </c>
      <c r="B15982" s="9" t="str">
        <f>HYPERLINK("http://www.ncbi.nlm.nih.gov/gene/176795", "176795")</f>
        <v>176795</v>
      </c>
      <c r="C15982" s="9"/>
      <c r="D15982" t="str">
        <f>"T12D8.9"</f>
        <v>T12D8.9</v>
      </c>
      <c r="F15982" t="s">
        <v>11</v>
      </c>
      <c r="H15982" s="12">
        <v>1.2007370922151399</v>
      </c>
      <c r="I15982" s="20">
        <v>0.88963216084823304</v>
      </c>
      <c r="J15982" s="28">
        <v>0.373663431403501</v>
      </c>
      <c r="K15982" s="29">
        <v>0.98289565623980701</v>
      </c>
    </row>
    <row r="15983" spans="1:11" x14ac:dyDescent="0.35">
      <c r="A15983" s="9" t="str">
        <f>HYPERLINK("http://www.ensembl.org/id/WBGene00020464", "WBGene00020464")</f>
        <v>WBGene00020464</v>
      </c>
      <c r="B15983" s="9" t="str">
        <f>HYPERLINK("http://www.ncbi.nlm.nih.gov/gene/177337", "177337")</f>
        <v>177337</v>
      </c>
      <c r="C15983" s="9"/>
      <c r="D15983" t="str">
        <f>"T12E12.3"</f>
        <v>T12E12.3</v>
      </c>
      <c r="F15983" t="s">
        <v>11</v>
      </c>
      <c r="H15983" s="12">
        <v>-1.1171715349199101</v>
      </c>
      <c r="I15983" s="20">
        <v>-0.46646092508313403</v>
      </c>
      <c r="J15983" s="28">
        <v>0.64088561072787298</v>
      </c>
      <c r="K15983" s="29">
        <v>0.98289565623980701</v>
      </c>
    </row>
    <row r="15984" spans="1:11" x14ac:dyDescent="0.35">
      <c r="A15984" s="9" t="str">
        <f>HYPERLINK("http://www.ensembl.org/id/WBGene00020465", "WBGene00020465")</f>
        <v>WBGene00020465</v>
      </c>
      <c r="B15984" s="9" t="str">
        <f>HYPERLINK("http://www.ncbi.nlm.nih.gov/gene/188454", "188454")</f>
        <v>188454</v>
      </c>
      <c r="C15984" s="9"/>
      <c r="D15984" t="str">
        <f>"T12E12.6"</f>
        <v>T12E12.6</v>
      </c>
      <c r="F15984" t="s">
        <v>11</v>
      </c>
      <c r="G15984" t="s">
        <v>4338</v>
      </c>
      <c r="H15984" s="12">
        <v>2.9015372436777902</v>
      </c>
      <c r="I15984" s="20">
        <v>1.12177951430057</v>
      </c>
      <c r="J15984" s="28">
        <v>0.26195619848221102</v>
      </c>
      <c r="K15984" s="29">
        <v>0.98289565623980701</v>
      </c>
    </row>
    <row r="15985" spans="1:11" x14ac:dyDescent="0.35">
      <c r="A15985" s="9" t="str">
        <f>HYPERLINK("http://www.ensembl.org/id/WBGene00235284", "WBGene00235284")</f>
        <v>WBGene00235284</v>
      </c>
      <c r="B15985" s="9" t="str">
        <f>HYPERLINK("http://www.ncbi.nlm.nih.gov/gene/24104893", "24104893")</f>
        <v>24104893</v>
      </c>
      <c r="C15985" s="9"/>
      <c r="D15985" t="str">
        <f>"T12G3.11"</f>
        <v>T12G3.11</v>
      </c>
      <c r="F15985" t="s">
        <v>11</v>
      </c>
      <c r="H15985" s="12">
        <v>5.8167546518197897</v>
      </c>
      <c r="I15985" s="20">
        <v>0.64169808733842404</v>
      </c>
      <c r="J15985" s="28">
        <v>0.52106923135193595</v>
      </c>
      <c r="K15985" s="29">
        <v>0.98289565623980701</v>
      </c>
    </row>
    <row r="15986" spans="1:11" x14ac:dyDescent="0.35">
      <c r="A15986" s="9" t="str">
        <f>HYPERLINK("http://www.ensembl.org/id/WBGene00011739", "WBGene00011739")</f>
        <v>WBGene00011739</v>
      </c>
      <c r="B15986" s="9" t="str">
        <f>HYPERLINK("http://www.ncbi.nlm.nih.gov/gene/178141", "178141")</f>
        <v>178141</v>
      </c>
      <c r="C15986" s="9"/>
      <c r="D15986" t="str">
        <f>"T12G3.4"</f>
        <v>T12G3.4</v>
      </c>
      <c r="F15986" t="s">
        <v>11</v>
      </c>
      <c r="G15986" t="s">
        <v>9316</v>
      </c>
      <c r="H15986" s="12">
        <v>-1.2370792551342</v>
      </c>
      <c r="I15986" s="20">
        <v>-0.99484623726489496</v>
      </c>
      <c r="J15986" s="28">
        <v>0.319811054290285</v>
      </c>
      <c r="K15986" s="29">
        <v>0.98289565623980701</v>
      </c>
    </row>
    <row r="15987" spans="1:11" x14ac:dyDescent="0.35">
      <c r="A15987" s="9" t="str">
        <f>HYPERLINK("http://www.ensembl.org/id/WBGene00235303", "WBGene00235303")</f>
        <v>WBGene00235303</v>
      </c>
      <c r="B15987" s="9" t="str">
        <f>HYPERLINK("http://www.ncbi.nlm.nih.gov/gene/24104894", "24104894")</f>
        <v>24104894</v>
      </c>
      <c r="C15987" s="9"/>
      <c r="D15987" t="str">
        <f>"T13A10.64"</f>
        <v>T13A10.64</v>
      </c>
      <c r="F15987" t="s">
        <v>11</v>
      </c>
      <c r="H15987" s="12">
        <v>-2.5486617914301801</v>
      </c>
      <c r="I15987" s="20">
        <v>-0.42734951011025801</v>
      </c>
      <c r="J15987" s="28">
        <v>0.66912477649314395</v>
      </c>
      <c r="K15987" s="29">
        <v>0.98289565623980701</v>
      </c>
    </row>
    <row r="15988" spans="1:11" x14ac:dyDescent="0.35">
      <c r="A15988" s="9" t="str">
        <f>HYPERLINK("http://www.ensembl.org/id/WBGene00023346", "WBGene00023346")</f>
        <v>WBGene00023346</v>
      </c>
      <c r="B15988" s="9"/>
      <c r="C15988" s="9"/>
      <c r="D15988" t="str">
        <f>"T13B5.t1"</f>
        <v>T13B5.t1</v>
      </c>
      <c r="F15988" t="s">
        <v>80</v>
      </c>
      <c r="H15988" s="12">
        <v>-3.4973388696617498</v>
      </c>
      <c r="I15988" s="20">
        <v>-0.70145765104317503</v>
      </c>
      <c r="J15988" s="28">
        <v>0.48301745448926098</v>
      </c>
      <c r="K15988" s="29">
        <v>0.98289565623980701</v>
      </c>
    </row>
    <row r="15989" spans="1:11" x14ac:dyDescent="0.35">
      <c r="A15989" s="9" t="str">
        <f>HYPERLINK("http://www.ensembl.org/id/WBGene00020478", "WBGene00020478")</f>
        <v>WBGene00020478</v>
      </c>
      <c r="B15989" s="9" t="str">
        <f>HYPERLINK("http://www.ncbi.nlm.nih.gov/gene/188470", "188470")</f>
        <v>188470</v>
      </c>
      <c r="C15989" s="9"/>
      <c r="D15989" t="str">
        <f>"T13C2.2"</f>
        <v>T13C2.2</v>
      </c>
      <c r="F15989" t="s">
        <v>11</v>
      </c>
      <c r="H15989" s="12">
        <v>-1.2185697480487701</v>
      </c>
      <c r="I15989" s="20">
        <v>-0.69613770715935896</v>
      </c>
      <c r="J15989" s="28">
        <v>0.48634259423142401</v>
      </c>
      <c r="K15989" s="29">
        <v>0.98289565623980701</v>
      </c>
    </row>
    <row r="15990" spans="1:11" x14ac:dyDescent="0.35">
      <c r="A15990" s="9" t="str">
        <f>HYPERLINK("http://www.ensembl.org/id/WBGene00020479", "WBGene00020479")</f>
        <v>WBGene00020479</v>
      </c>
      <c r="B15990" s="9" t="str">
        <f>HYPERLINK("http://www.ncbi.nlm.nih.gov/gene/174117", "174117")</f>
        <v>174117</v>
      </c>
      <c r="C15990" s="9"/>
      <c r="D15990" t="str">
        <f>"T13C2.3"</f>
        <v>T13C2.3</v>
      </c>
      <c r="F15990" t="s">
        <v>11</v>
      </c>
      <c r="H15990" s="12">
        <v>-1.09822243997032</v>
      </c>
      <c r="I15990" s="20">
        <v>-0.285532649505784</v>
      </c>
      <c r="J15990" s="28">
        <v>0.77523609433135798</v>
      </c>
      <c r="K15990" s="29">
        <v>0.98289565623980701</v>
      </c>
    </row>
    <row r="15991" spans="1:11" x14ac:dyDescent="0.35">
      <c r="A15991" s="9" t="str">
        <f>HYPERLINK("http://www.ensembl.org/id/WBGene00020482", "WBGene00020482")</f>
        <v>WBGene00020482</v>
      </c>
      <c r="B15991" s="9" t="str">
        <f>HYPERLINK("http://www.ncbi.nlm.nih.gov/gene/3565879", "3565879")</f>
        <v>3565879</v>
      </c>
      <c r="C15991" s="9"/>
      <c r="D15991" t="str">
        <f>"T13C2.7"</f>
        <v>T13C2.7</v>
      </c>
      <c r="F15991" t="s">
        <v>11</v>
      </c>
      <c r="G15991" t="s">
        <v>25</v>
      </c>
      <c r="H15991" s="12">
        <v>1.4760611796554599</v>
      </c>
      <c r="I15991" s="20">
        <v>0.73794732536171603</v>
      </c>
      <c r="J15991" s="28">
        <v>0.46054645886838702</v>
      </c>
      <c r="K15991" s="29">
        <v>0.98289565623980701</v>
      </c>
    </row>
    <row r="15992" spans="1:11" x14ac:dyDescent="0.35">
      <c r="A15992" s="9" t="str">
        <f>HYPERLINK("http://www.ensembl.org/id/WBGene00206360", "WBGene00206360")</f>
        <v>WBGene00206360</v>
      </c>
      <c r="B15992" s="9" t="str">
        <f>HYPERLINK("http://www.ncbi.nlm.nih.gov/gene/13220955", "13220955")</f>
        <v>13220955</v>
      </c>
      <c r="C15992" s="9"/>
      <c r="D15992" t="str">
        <f>"T13C5.10"</f>
        <v>T13C5.10</v>
      </c>
      <c r="F15992" t="s">
        <v>11</v>
      </c>
      <c r="H15992" s="12">
        <v>7.6616465944663696</v>
      </c>
      <c r="I15992" s="20">
        <v>0.60406875593600395</v>
      </c>
      <c r="J15992" s="28">
        <v>0.54579793098927099</v>
      </c>
      <c r="K15992" s="29">
        <v>0.98289565623980701</v>
      </c>
    </row>
    <row r="15993" spans="1:11" x14ac:dyDescent="0.35">
      <c r="A15993" s="9" t="str">
        <f>HYPERLINK("http://www.ensembl.org/id/WBGene00020484", "WBGene00020484")</f>
        <v>WBGene00020484</v>
      </c>
      <c r="B15993" s="9" t="str">
        <f>HYPERLINK("http://www.ncbi.nlm.nih.gov/gene/188473", "188473")</f>
        <v>188473</v>
      </c>
      <c r="C15993" s="9"/>
      <c r="D15993" t="str">
        <f>"T13C5.3"</f>
        <v>T13C5.3</v>
      </c>
      <c r="F15993" t="s">
        <v>11</v>
      </c>
      <c r="H15993" s="12">
        <v>1.87569137187042</v>
      </c>
      <c r="I15993" s="20">
        <v>0.58672249458866299</v>
      </c>
      <c r="J15993" s="28">
        <v>0.557390097603643</v>
      </c>
      <c r="K15993" s="29">
        <v>0.98289565623980701</v>
      </c>
    </row>
    <row r="15994" spans="1:11" x14ac:dyDescent="0.35">
      <c r="A15994" s="9" t="str">
        <f>HYPERLINK("http://www.ensembl.org/id/WBGene00020486", "WBGene00020486")</f>
        <v>WBGene00020486</v>
      </c>
      <c r="B15994" s="9" t="str">
        <f>HYPERLINK("http://www.ncbi.nlm.nih.gov/gene/180891", "180891")</f>
        <v>180891</v>
      </c>
      <c r="C15994" s="9"/>
      <c r="D15994" t="str">
        <f>"T13C5.6"</f>
        <v>T13C5.6</v>
      </c>
      <c r="F15994" t="s">
        <v>11</v>
      </c>
      <c r="G15994" t="s">
        <v>8489</v>
      </c>
      <c r="H15994" s="12">
        <v>-1.1802578437443501</v>
      </c>
      <c r="I15994" s="20">
        <v>-0.75125006311077203</v>
      </c>
      <c r="J15994" s="28">
        <v>0.452502176180055</v>
      </c>
      <c r="K15994" s="29">
        <v>0.98289565623980701</v>
      </c>
    </row>
    <row r="15995" spans="1:11" x14ac:dyDescent="0.35">
      <c r="A15995" s="9" t="str">
        <f>HYPERLINK("http://www.ensembl.org/id/WBGene00020487", "WBGene00020487")</f>
        <v>WBGene00020487</v>
      </c>
      <c r="B15995" s="9" t="str">
        <f>HYPERLINK("http://www.ncbi.nlm.nih.gov/gene/180888", "180888")</f>
        <v>180888</v>
      </c>
      <c r="C15995" s="9"/>
      <c r="D15995" t="str">
        <f>"T13C5.7"</f>
        <v>T13C5.7</v>
      </c>
      <c r="F15995" t="s">
        <v>11</v>
      </c>
      <c r="H15995" s="12">
        <v>2.0588150681341602</v>
      </c>
      <c r="I15995" s="20">
        <v>0.68512277423962997</v>
      </c>
      <c r="J15995" s="28">
        <v>0.49326645015544701</v>
      </c>
      <c r="K15995" s="29">
        <v>0.98289565623980701</v>
      </c>
    </row>
    <row r="15996" spans="1:11" x14ac:dyDescent="0.35">
      <c r="A15996" s="9" t="str">
        <f>HYPERLINK("http://www.ensembl.org/id/WBGene00195168", "WBGene00195168")</f>
        <v>WBGene00195168</v>
      </c>
      <c r="B15996" s="9" t="str">
        <f>HYPERLINK("http://www.ncbi.nlm.nih.gov/gene/13220956", "13220956")</f>
        <v>13220956</v>
      </c>
      <c r="C15996" s="9"/>
      <c r="D15996" t="str">
        <f>"T13C5.9"</f>
        <v>T13C5.9</v>
      </c>
      <c r="F15996" t="s">
        <v>11</v>
      </c>
      <c r="H15996" s="12">
        <v>3.6645215954135</v>
      </c>
      <c r="I15996" s="20">
        <v>0.37967131826092498</v>
      </c>
      <c r="J15996" s="28">
        <v>0.70418941338960395</v>
      </c>
      <c r="K15996" s="29">
        <v>0.98289565623980701</v>
      </c>
    </row>
    <row r="15997" spans="1:11" x14ac:dyDescent="0.35">
      <c r="A15997" s="9" t="str">
        <f>HYPERLINK("http://www.ensembl.org/id/WBGene00011744", "WBGene00011744")</f>
        <v>WBGene00011744</v>
      </c>
      <c r="B15997" s="9" t="str">
        <f>HYPERLINK("http://www.ncbi.nlm.nih.gov/gene/188476", "188476")</f>
        <v>188476</v>
      </c>
      <c r="C15997" s="9"/>
      <c r="D15997" t="str">
        <f>"T13F2.4"</f>
        <v>T13F2.4</v>
      </c>
      <c r="F15997" t="s">
        <v>11</v>
      </c>
      <c r="H15997" s="12">
        <v>2.3625248369496998</v>
      </c>
      <c r="I15997" s="20">
        <v>0.27133230146732801</v>
      </c>
      <c r="J15997" s="28">
        <v>0.786135464981218</v>
      </c>
      <c r="K15997" s="29">
        <v>0.98289565623980701</v>
      </c>
    </row>
    <row r="15998" spans="1:11" x14ac:dyDescent="0.35">
      <c r="A15998" s="9" t="str">
        <f>HYPERLINK("http://www.ensembl.org/id/WBGene00011748", "WBGene00011748")</f>
        <v>WBGene00011748</v>
      </c>
      <c r="B15998" s="9"/>
      <c r="C15998" s="9"/>
      <c r="D15998" t="str">
        <f>"T13F2.9"</f>
        <v>T13F2.9</v>
      </c>
      <c r="F15998" t="s">
        <v>80</v>
      </c>
      <c r="H15998" s="12">
        <v>1.2438608917766401</v>
      </c>
      <c r="I15998" s="20">
        <v>0.35983402547080801</v>
      </c>
      <c r="J15998" s="28">
        <v>0.71897125654501004</v>
      </c>
      <c r="K15998" s="29">
        <v>0.98289565623980701</v>
      </c>
    </row>
    <row r="15999" spans="1:11" x14ac:dyDescent="0.35">
      <c r="A15999" s="9" t="str">
        <f>HYPERLINK("http://www.ensembl.org/id/WBGene00195117", "WBGene00195117")</f>
        <v>WBGene00195117</v>
      </c>
      <c r="B15999" s="9"/>
      <c r="C15999" s="9"/>
      <c r="D15999" t="str">
        <f>"T13F3.10"</f>
        <v>T13F3.10</v>
      </c>
      <c r="F15999" t="s">
        <v>2735</v>
      </c>
      <c r="H15999" s="12">
        <v>3.28624938312884</v>
      </c>
      <c r="I15999" s="20">
        <v>0.36379512681977599</v>
      </c>
      <c r="J15999" s="28">
        <v>0.716011001908614</v>
      </c>
      <c r="K15999" s="29">
        <v>0.98289565623980701</v>
      </c>
    </row>
    <row r="16000" spans="1:11" x14ac:dyDescent="0.35">
      <c r="A16000" s="9" t="str">
        <f>HYPERLINK("http://www.ensembl.org/id/WBGene00011754", "WBGene00011754")</f>
        <v>WBGene00011754</v>
      </c>
      <c r="B16000" s="9" t="str">
        <f>HYPERLINK("http://www.ncbi.nlm.nih.gov/gene/259672", "259672")</f>
        <v>259672</v>
      </c>
      <c r="C16000" s="9"/>
      <c r="D16000" t="str">
        <f>"T13F3.7"</f>
        <v>T13F3.7</v>
      </c>
      <c r="F16000" t="s">
        <v>11</v>
      </c>
      <c r="G16000" t="s">
        <v>25</v>
      </c>
      <c r="H16000" s="12">
        <v>2.2440080530447699</v>
      </c>
      <c r="I16000" s="20">
        <v>1.1211768766675101</v>
      </c>
      <c r="J16000" s="28">
        <v>0.26221258036322498</v>
      </c>
      <c r="K16000" s="29">
        <v>0.98289565623980701</v>
      </c>
    </row>
    <row r="16001" spans="1:11" x14ac:dyDescent="0.35">
      <c r="A16001" s="9" t="str">
        <f>HYPERLINK("http://www.ensembl.org/id/WBGene00044205", "WBGene00044205")</f>
        <v>WBGene00044205</v>
      </c>
      <c r="B16001" s="9" t="str">
        <f>HYPERLINK("http://www.ncbi.nlm.nih.gov/gene/3565698", "3565698")</f>
        <v>3565698</v>
      </c>
      <c r="C16001" s="9"/>
      <c r="D16001" t="str">
        <f>"T13F3.8"</f>
        <v>T13F3.8</v>
      </c>
      <c r="F16001" t="s">
        <v>11</v>
      </c>
      <c r="G16001" t="s">
        <v>25</v>
      </c>
      <c r="H16001" s="12">
        <v>2.9993046387959299</v>
      </c>
      <c r="I16001" s="20">
        <v>1.19120994813226</v>
      </c>
      <c r="J16001" s="28">
        <v>0.23357117514095599</v>
      </c>
      <c r="K16001" s="29">
        <v>0.98289565623980701</v>
      </c>
    </row>
    <row r="16002" spans="1:11" x14ac:dyDescent="0.35">
      <c r="A16002" s="9" t="str">
        <f>HYPERLINK("http://www.ensembl.org/id/WBGene00020492", "WBGene00020492")</f>
        <v>WBGene00020492</v>
      </c>
      <c r="B16002" s="9" t="str">
        <f>HYPERLINK("http://www.ncbi.nlm.nih.gov/gene/188485", "188485")</f>
        <v>188485</v>
      </c>
      <c r="C16002" s="9"/>
      <c r="D16002" t="str">
        <f>"T13G4.5"</f>
        <v>T13G4.5</v>
      </c>
      <c r="F16002" t="s">
        <v>11</v>
      </c>
      <c r="H16002" s="12">
        <v>7.6616465944663696</v>
      </c>
      <c r="I16002" s="20">
        <v>0.60406875593600395</v>
      </c>
      <c r="J16002" s="28">
        <v>0.54579793098927099</v>
      </c>
      <c r="K16002" s="29">
        <v>0.98289565623980701</v>
      </c>
    </row>
    <row r="16003" spans="1:11" x14ac:dyDescent="0.35">
      <c r="A16003" s="9" t="str">
        <f>HYPERLINK("http://www.ensembl.org/id/WBGene00020494", "WBGene00020494")</f>
        <v>WBGene00020494</v>
      </c>
      <c r="B16003" s="9" t="str">
        <f>HYPERLINK("http://www.ncbi.nlm.nih.gov/gene/188487", "188487")</f>
        <v>188487</v>
      </c>
      <c r="C16003" s="9"/>
      <c r="D16003" t="str">
        <f>"T13G4.7"</f>
        <v>T13G4.7</v>
      </c>
      <c r="F16003" t="s">
        <v>11</v>
      </c>
      <c r="H16003" s="12">
        <v>-4.4448502912184802</v>
      </c>
      <c r="I16003" s="20">
        <v>-0.85681897168743604</v>
      </c>
      <c r="J16003" s="28">
        <v>0.39154493913402399</v>
      </c>
      <c r="K16003" s="29">
        <v>0.98289565623980701</v>
      </c>
    </row>
    <row r="16004" spans="1:11" x14ac:dyDescent="0.35">
      <c r="A16004" s="9" t="str">
        <f>HYPERLINK("http://www.ensembl.org/id/WBGene00011762", "WBGene00011762")</f>
        <v>WBGene00011762</v>
      </c>
      <c r="B16004" s="9" t="str">
        <f>HYPERLINK("http://www.ncbi.nlm.nih.gov/gene/259589", "259589")</f>
        <v>259589</v>
      </c>
      <c r="C16004" s="9"/>
      <c r="D16004" t="str">
        <f>"T13H10.2"</f>
        <v>T13H10.2</v>
      </c>
      <c r="F16004" t="s">
        <v>11</v>
      </c>
      <c r="G16004" t="s">
        <v>1686</v>
      </c>
      <c r="H16004" s="12">
        <v>1.26136069453388</v>
      </c>
      <c r="I16004" s="20">
        <v>0.32162572856502702</v>
      </c>
      <c r="J16004" s="28">
        <v>0.74773625010172295</v>
      </c>
      <c r="K16004" s="29">
        <v>0.98289565623980701</v>
      </c>
    </row>
    <row r="16005" spans="1:11" x14ac:dyDescent="0.35">
      <c r="A16005" s="9" t="str">
        <f>HYPERLINK("http://www.ensembl.org/id/WBGene00197315", "WBGene00197315")</f>
        <v>WBGene00197315</v>
      </c>
      <c r="B16005" s="9"/>
      <c r="C16005" s="9"/>
      <c r="D16005" t="str">
        <f>"T13H10.8"</f>
        <v>T13H10.8</v>
      </c>
      <c r="F16005" t="s">
        <v>481</v>
      </c>
      <c r="H16005" s="12">
        <v>2.3893468495514898</v>
      </c>
      <c r="I16005" s="20">
        <v>0.25323547253672701</v>
      </c>
      <c r="J16005" s="28">
        <v>0.80008625651646104</v>
      </c>
      <c r="K16005" s="29">
        <v>0.98289565623980701</v>
      </c>
    </row>
    <row r="16006" spans="1:11" x14ac:dyDescent="0.35">
      <c r="A16006" s="9" t="str">
        <f>HYPERLINK("http://www.ensembl.org/id/WBGene00011758", "WBGene00011758")</f>
        <v>WBGene00011758</v>
      </c>
      <c r="B16006" s="9" t="str">
        <f>HYPERLINK("http://www.ncbi.nlm.nih.gov/gene/174364", "174364")</f>
        <v>174364</v>
      </c>
      <c r="C16006" s="9" t="str">
        <f>HYPERLINK("http://www.ncbi.nlm.nih.gov/gene/10946", "10946")</f>
        <v>10946</v>
      </c>
      <c r="D16006" t="str">
        <f>"T13H5.4"</f>
        <v>T13H5.4</v>
      </c>
      <c r="F16006" t="s">
        <v>11</v>
      </c>
      <c r="G16006" t="s">
        <v>6491</v>
      </c>
      <c r="H16006" s="12">
        <v>-1.07188645515815</v>
      </c>
      <c r="I16006" s="20">
        <v>-0.330752155430384</v>
      </c>
      <c r="J16006" s="28">
        <v>0.74083170303844403</v>
      </c>
      <c r="K16006" s="29">
        <v>0.98289565623980701</v>
      </c>
    </row>
    <row r="16007" spans="1:11" x14ac:dyDescent="0.35">
      <c r="A16007" s="9" t="str">
        <f>HYPERLINK("http://www.ensembl.org/id/WBGene00011760", "WBGene00011760")</f>
        <v>WBGene00011760</v>
      </c>
      <c r="B16007" s="9" t="str">
        <f>HYPERLINK("http://www.ncbi.nlm.nih.gov/gene/174365", "174365")</f>
        <v>174365</v>
      </c>
      <c r="C16007" s="9"/>
      <c r="D16007" t="str">
        <f>"T13H5.6"</f>
        <v>T13H5.6</v>
      </c>
      <c r="F16007" t="s">
        <v>11</v>
      </c>
      <c r="G16007" t="s">
        <v>5800</v>
      </c>
      <c r="H16007" s="12">
        <v>1.10042637643436</v>
      </c>
      <c r="I16007" s="20">
        <v>0.40724846701121398</v>
      </c>
      <c r="J16007" s="28">
        <v>0.68382550763227901</v>
      </c>
      <c r="K16007" s="29">
        <v>0.98289565623980701</v>
      </c>
    </row>
    <row r="16008" spans="1:11" x14ac:dyDescent="0.35">
      <c r="A16008" s="9" t="str">
        <f>HYPERLINK("http://www.ensembl.org/id/WBGene00011761", "WBGene00011761")</f>
        <v>WBGene00011761</v>
      </c>
      <c r="B16008" s="9" t="str">
        <f>HYPERLINK("http://www.ncbi.nlm.nih.gov/gene/174362", "174362")</f>
        <v>174362</v>
      </c>
      <c r="C16008" s="9" t="str">
        <f>HYPERLINK("http://www.ncbi.nlm.nih.gov/gene/81037", "81037")</f>
        <v>81037</v>
      </c>
      <c r="D16008" t="str">
        <f>"T13H5.8"</f>
        <v>T13H5.8</v>
      </c>
      <c r="F16008" t="s">
        <v>11</v>
      </c>
      <c r="G16008" t="s">
        <v>1847</v>
      </c>
      <c r="H16008" s="12">
        <v>-1.2025374745351201</v>
      </c>
      <c r="I16008" s="20">
        <v>-0.87279270115338303</v>
      </c>
      <c r="J16008" s="28">
        <v>0.38277607865416502</v>
      </c>
      <c r="K16008" s="29">
        <v>0.98289565623980701</v>
      </c>
    </row>
    <row r="16009" spans="1:11" x14ac:dyDescent="0.35">
      <c r="A16009" s="9" t="str">
        <f>HYPERLINK("http://www.ensembl.org/id/WBGene00011763", "WBGene00011763")</f>
        <v>WBGene00011763</v>
      </c>
      <c r="B16009" s="9" t="str">
        <f>HYPERLINK("http://www.ncbi.nlm.nih.gov/gene/181181", "181181")</f>
        <v>181181</v>
      </c>
      <c r="C16009" s="9"/>
      <c r="D16009" t="str">
        <f>"T14B1.1"</f>
        <v>T14B1.1</v>
      </c>
      <c r="F16009" t="s">
        <v>11</v>
      </c>
      <c r="H16009" s="12">
        <v>1.0745757419347499</v>
      </c>
      <c r="I16009" s="20">
        <v>0.33668965254821698</v>
      </c>
      <c r="J16009" s="28">
        <v>0.73635086448912002</v>
      </c>
      <c r="K16009" s="29">
        <v>0.98289565623980701</v>
      </c>
    </row>
    <row r="16010" spans="1:11" x14ac:dyDescent="0.35">
      <c r="A16010" s="9" t="str">
        <f>HYPERLINK("http://www.ensembl.org/id/WBGene00302993", "WBGene00302993")</f>
        <v>WBGene00302993</v>
      </c>
      <c r="B16010" s="9" t="str">
        <f>HYPERLINK("http://www.ncbi.nlm.nih.gov/gene/174106", "174106")</f>
        <v>174106</v>
      </c>
      <c r="C16010" s="9"/>
      <c r="D16010" t="str">
        <f>"T14B4.19"</f>
        <v>T14B4.19</v>
      </c>
      <c r="F16010" t="s">
        <v>11</v>
      </c>
      <c r="H16010" s="12">
        <v>-1.1020657734527199</v>
      </c>
      <c r="I16010" s="20">
        <v>-0.28115250120556401</v>
      </c>
      <c r="J16010" s="28">
        <v>0.778593434308406</v>
      </c>
      <c r="K16010" s="29">
        <v>0.98289565623980701</v>
      </c>
    </row>
    <row r="16011" spans="1:11" x14ac:dyDescent="0.35">
      <c r="A16011" s="9" t="str">
        <f>HYPERLINK("http://www.ensembl.org/id/WBGene00020503", "WBGene00020503")</f>
        <v>WBGene00020503</v>
      </c>
      <c r="B16011" s="9" t="str">
        <f>HYPERLINK("http://www.ncbi.nlm.nih.gov/gene/188494", "188494")</f>
        <v>188494</v>
      </c>
      <c r="C16011" s="9"/>
      <c r="D16011" t="str">
        <f>"T14B4.9"</f>
        <v>T14B4.9</v>
      </c>
      <c r="F16011" t="s">
        <v>11</v>
      </c>
      <c r="G16011" t="s">
        <v>4242</v>
      </c>
      <c r="H16011" s="12">
        <v>1.27849300829296</v>
      </c>
      <c r="I16011" s="20">
        <v>0.32367812941840601</v>
      </c>
      <c r="J16011" s="28">
        <v>0.746181730418774</v>
      </c>
      <c r="K16011" s="29">
        <v>0.98289565623980701</v>
      </c>
    </row>
    <row r="16012" spans="1:11" x14ac:dyDescent="0.35">
      <c r="A16012" s="9" t="str">
        <f>HYPERLINK("http://www.ensembl.org/id/WBGene00020505", "WBGene00020505")</f>
        <v>WBGene00020505</v>
      </c>
      <c r="B16012" s="9" t="str">
        <f>HYPERLINK("http://www.ncbi.nlm.nih.gov/gene/188498", "188498")</f>
        <v>188498</v>
      </c>
      <c r="C16012" s="9"/>
      <c r="D16012" t="str">
        <f>"T14E8.2"</f>
        <v>T14E8.2</v>
      </c>
      <c r="F16012" t="s">
        <v>11</v>
      </c>
      <c r="G16012" t="s">
        <v>4273</v>
      </c>
      <c r="H16012" s="12">
        <v>4.4974297400010599</v>
      </c>
      <c r="I16012" s="20">
        <v>0.91517607079929097</v>
      </c>
      <c r="J16012" s="28">
        <v>0.36009920473239898</v>
      </c>
      <c r="K16012" s="29">
        <v>0.98289565623980701</v>
      </c>
    </row>
    <row r="16013" spans="1:11" x14ac:dyDescent="0.35">
      <c r="A16013" s="9" t="str">
        <f>HYPERLINK("http://www.ensembl.org/id/WBGene00043981", "WBGene00043981")</f>
        <v>WBGene00043981</v>
      </c>
      <c r="B16013" s="9" t="str">
        <f>HYPERLINK("http://www.ncbi.nlm.nih.gov/gene/3565421", "3565421")</f>
        <v>3565421</v>
      </c>
      <c r="C16013" s="9"/>
      <c r="D16013" t="str">
        <f>"T14E8.4"</f>
        <v>T14E8.4</v>
      </c>
      <c r="F16013" t="s">
        <v>11</v>
      </c>
      <c r="H16013" s="12">
        <v>1.6208097795216601</v>
      </c>
      <c r="I16013" s="20">
        <v>1.00616774411925</v>
      </c>
      <c r="J16013" s="28">
        <v>0.31433488560292999</v>
      </c>
      <c r="K16013" s="29">
        <v>0.98289565623980701</v>
      </c>
    </row>
    <row r="16014" spans="1:11" x14ac:dyDescent="0.35">
      <c r="A16014" s="9" t="str">
        <f>HYPERLINK("http://www.ensembl.org/id/WBGene00200783", "WBGene00200783")</f>
        <v>WBGene00200783</v>
      </c>
      <c r="B16014" s="9"/>
      <c r="C16014" s="9"/>
      <c r="D16014" t="str">
        <f>"T14F9.18"</f>
        <v>T14F9.18</v>
      </c>
      <c r="F16014" t="s">
        <v>481</v>
      </c>
      <c r="H16014" s="12">
        <v>-3.7261494131482999</v>
      </c>
      <c r="I16014" s="20">
        <v>-0.38454673129429601</v>
      </c>
      <c r="J16014" s="28">
        <v>0.70057326682554</v>
      </c>
      <c r="K16014" s="29">
        <v>0.98289565623980701</v>
      </c>
    </row>
    <row r="16015" spans="1:11" x14ac:dyDescent="0.35">
      <c r="A16015" s="9" t="str">
        <f>HYPERLINK("http://www.ensembl.org/id/WBGene00020508", "WBGene00020508")</f>
        <v>WBGene00020508</v>
      </c>
      <c r="B16015" s="9" t="str">
        <f>HYPERLINK("http://www.ncbi.nlm.nih.gov/gene/188500", "188500")</f>
        <v>188500</v>
      </c>
      <c r="C16015" s="9"/>
      <c r="D16015" t="str">
        <f>"T14F9.2"</f>
        <v>T14F9.2</v>
      </c>
      <c r="F16015" t="s">
        <v>11</v>
      </c>
      <c r="H16015" s="12">
        <v>1.0666072560709201</v>
      </c>
      <c r="I16015" s="20">
        <v>0.27702693048274502</v>
      </c>
      <c r="J16015" s="28">
        <v>0.78175942754733496</v>
      </c>
      <c r="K16015" s="29">
        <v>0.98289565623980701</v>
      </c>
    </row>
    <row r="16016" spans="1:11" x14ac:dyDescent="0.35">
      <c r="A16016" s="9" t="str">
        <f>HYPERLINK("http://www.ensembl.org/id/WBGene00195797", "WBGene00195797")</f>
        <v>WBGene00195797</v>
      </c>
      <c r="B16016" s="9"/>
      <c r="C16016" s="9"/>
      <c r="D16016" t="str">
        <f>"T14F9.6"</f>
        <v>T14F9.6</v>
      </c>
      <c r="F16016" t="s">
        <v>481</v>
      </c>
      <c r="H16016" s="12">
        <v>2.4578120077400301</v>
      </c>
      <c r="I16016" s="20">
        <v>0.26093350314551</v>
      </c>
      <c r="J16016" s="28">
        <v>0.79414378780213601</v>
      </c>
      <c r="K16016" s="29">
        <v>0.98289565623980701</v>
      </c>
    </row>
    <row r="16017" spans="1:11" x14ac:dyDescent="0.35">
      <c r="A16017" s="9" t="str">
        <f>HYPERLINK("http://www.ensembl.org/id/WBGene00011775", "WBGene00011775")</f>
        <v>WBGene00011775</v>
      </c>
      <c r="B16017" s="9" t="str">
        <f>HYPERLINK("http://www.ncbi.nlm.nih.gov/gene/177891", "177891")</f>
        <v>177891</v>
      </c>
      <c r="C16017" s="9" t="str">
        <f>HYPERLINK("http://www.ncbi.nlm.nih.gov/gene/26958", "26958")</f>
        <v>26958</v>
      </c>
      <c r="D16017" t="str">
        <f>"T14G10.5"</f>
        <v>T14G10.5</v>
      </c>
      <c r="E16017" t="s">
        <v>8121</v>
      </c>
      <c r="F16017" t="s">
        <v>11</v>
      </c>
      <c r="G16017" t="s">
        <v>8122</v>
      </c>
      <c r="H16017" s="12">
        <v>-1.1613393498580999</v>
      </c>
      <c r="I16017" s="20">
        <v>-0.79810963951108704</v>
      </c>
      <c r="J16017" s="28">
        <v>0.42480686802359202</v>
      </c>
      <c r="K16017" s="29">
        <v>0.98289565623980701</v>
      </c>
    </row>
    <row r="16018" spans="1:11" x14ac:dyDescent="0.35">
      <c r="A16018" s="9" t="str">
        <f>HYPERLINK("http://www.ensembl.org/id/WBGene00011777", "WBGene00011777")</f>
        <v>WBGene00011777</v>
      </c>
      <c r="B16018" s="9" t="str">
        <f>HYPERLINK("http://www.ncbi.nlm.nih.gov/gene/177889", "177889")</f>
        <v>177889</v>
      </c>
      <c r="C16018" s="9"/>
      <c r="D16018" t="str">
        <f>"T14G10.8"</f>
        <v>T14G10.8</v>
      </c>
      <c r="F16018" t="s">
        <v>11</v>
      </c>
      <c r="G16018" t="s">
        <v>54</v>
      </c>
      <c r="H16018" s="12">
        <v>-1.3751336184699401</v>
      </c>
      <c r="I16018" s="20">
        <v>-0.59680550268244903</v>
      </c>
      <c r="J16018" s="28">
        <v>0.55063724367519395</v>
      </c>
      <c r="K16018" s="29">
        <v>0.98289565623980701</v>
      </c>
    </row>
    <row r="16019" spans="1:11" x14ac:dyDescent="0.35">
      <c r="A16019" s="9" t="str">
        <f>HYPERLINK("http://www.ensembl.org/id/WBGene00196695", "WBGene00196695")</f>
        <v>WBGene00196695</v>
      </c>
      <c r="B16019" s="9"/>
      <c r="C16019" s="9"/>
      <c r="D16019" t="str">
        <f>"T14G10.9"</f>
        <v>T14G10.9</v>
      </c>
      <c r="F16019" t="s">
        <v>481</v>
      </c>
      <c r="H16019" s="12">
        <v>4.0502222916178701</v>
      </c>
      <c r="I16019" s="20">
        <v>0.52893641585930695</v>
      </c>
      <c r="J16019" s="28">
        <v>0.59684955911256998</v>
      </c>
      <c r="K16019" s="29">
        <v>0.98289565623980701</v>
      </c>
    </row>
    <row r="16020" spans="1:11" x14ac:dyDescent="0.35">
      <c r="A16020" s="9" t="str">
        <f>HYPERLINK("http://www.ensembl.org/id/WBGene00020510", "WBGene00020510")</f>
        <v>WBGene00020510</v>
      </c>
      <c r="B16020" s="9" t="str">
        <f>HYPERLINK("http://www.ncbi.nlm.nih.gov/gene/188507", "188507")</f>
        <v>188507</v>
      </c>
      <c r="C16020" s="9"/>
      <c r="D16020" t="str">
        <f>"T14G11.1"</f>
        <v>T14G11.1</v>
      </c>
      <c r="F16020" t="s">
        <v>11</v>
      </c>
      <c r="G16020" t="s">
        <v>25</v>
      </c>
      <c r="H16020" s="12">
        <v>1.16983316019447</v>
      </c>
      <c r="I16020" s="20">
        <v>0.77462316434801504</v>
      </c>
      <c r="J16020" s="28">
        <v>0.43856236531752602</v>
      </c>
      <c r="K16020" s="29">
        <v>0.98289565623980701</v>
      </c>
    </row>
    <row r="16021" spans="1:11" x14ac:dyDescent="0.35">
      <c r="A16021" s="9" t="str">
        <f>HYPERLINK("http://www.ensembl.org/id/WBGene00195895", "WBGene00195895")</f>
        <v>WBGene00195895</v>
      </c>
      <c r="B16021" s="9"/>
      <c r="C16021" s="9"/>
      <c r="D16021" t="str">
        <f>"T14G11.4"</f>
        <v>T14G11.4</v>
      </c>
      <c r="F16021" t="s">
        <v>481</v>
      </c>
      <c r="H16021" s="12">
        <v>-3.2495597408956902</v>
      </c>
      <c r="I16021" s="20">
        <v>-0.45938284331649798</v>
      </c>
      <c r="J16021" s="28">
        <v>0.64595926644172297</v>
      </c>
      <c r="K16021" s="29">
        <v>0.98289565623980701</v>
      </c>
    </row>
    <row r="16022" spans="1:11" x14ac:dyDescent="0.35">
      <c r="A16022" s="9" t="str">
        <f>HYPERLINK("http://www.ensembl.org/id/WBGene00198665", "WBGene00198665")</f>
        <v>WBGene00198665</v>
      </c>
      <c r="B16022" s="9"/>
      <c r="C16022" s="9"/>
      <c r="D16022" t="str">
        <f>"T14G12.10"</f>
        <v>T14G12.10</v>
      </c>
      <c r="F16022" t="s">
        <v>481</v>
      </c>
      <c r="H16022" s="12">
        <v>-2.4295389261469</v>
      </c>
      <c r="I16022" s="20">
        <v>-0.25808529976640998</v>
      </c>
      <c r="J16022" s="28">
        <v>0.79634107645457397</v>
      </c>
      <c r="K16022" s="29">
        <v>0.98289565623980701</v>
      </c>
    </row>
    <row r="16023" spans="1:11" x14ac:dyDescent="0.35">
      <c r="A16023" s="9" t="str">
        <f>HYPERLINK("http://www.ensembl.org/id/WBGene00219411", "WBGene00219411")</f>
        <v>WBGene00219411</v>
      </c>
      <c r="B16023" s="9" t="str">
        <f>HYPERLINK("http://www.ncbi.nlm.nih.gov/gene/13220027", "13220027")</f>
        <v>13220027</v>
      </c>
      <c r="C16023" s="9"/>
      <c r="D16023" t="str">
        <f>"T14G12.11"</f>
        <v>T14G12.11</v>
      </c>
      <c r="F16023" t="s">
        <v>11</v>
      </c>
      <c r="H16023" s="12">
        <v>3.6645215954135</v>
      </c>
      <c r="I16023" s="20">
        <v>0.37967131826092498</v>
      </c>
      <c r="J16023" s="28">
        <v>0.70418941338960395</v>
      </c>
      <c r="K16023" s="29">
        <v>0.98289565623980701</v>
      </c>
    </row>
    <row r="16024" spans="1:11" x14ac:dyDescent="0.35">
      <c r="A16024" s="9" t="str">
        <f>HYPERLINK("http://www.ensembl.org/id/WBGene00011772", "WBGene00011772")</f>
        <v>WBGene00011772</v>
      </c>
      <c r="B16024" s="9" t="str">
        <f>HYPERLINK("http://www.ncbi.nlm.nih.gov/gene/188503", "188503")</f>
        <v>188503</v>
      </c>
      <c r="C16024" s="9"/>
      <c r="D16024" t="str">
        <f>"T14G8.4"</f>
        <v>T14G8.4</v>
      </c>
      <c r="F16024" t="s">
        <v>11</v>
      </c>
      <c r="H16024" s="12">
        <v>1.4284002507664799</v>
      </c>
      <c r="I16024" s="20">
        <v>1.070976365525</v>
      </c>
      <c r="J16024" s="28">
        <v>0.28418005674360203</v>
      </c>
      <c r="K16024" s="29">
        <v>0.98289565623980701</v>
      </c>
    </row>
    <row r="16025" spans="1:11" x14ac:dyDescent="0.35">
      <c r="A16025" s="9" t="str">
        <f>HYPERLINK("http://www.ensembl.org/id/WBGene00196160", "WBGene00196160")</f>
        <v>WBGene00196160</v>
      </c>
      <c r="B16025" s="9"/>
      <c r="C16025" s="9"/>
      <c r="D16025" t="str">
        <f>"T14G8.5"</f>
        <v>T14G8.5</v>
      </c>
      <c r="F16025" t="s">
        <v>481</v>
      </c>
      <c r="H16025" s="12">
        <v>3.6645215954135</v>
      </c>
      <c r="I16025" s="20">
        <v>0.37967131826092498</v>
      </c>
      <c r="J16025" s="28">
        <v>0.70418941338960395</v>
      </c>
      <c r="K16025" s="29">
        <v>0.98289565623980701</v>
      </c>
    </row>
    <row r="16026" spans="1:11" x14ac:dyDescent="0.35">
      <c r="A16026" s="9" t="str">
        <f>HYPERLINK("http://www.ensembl.org/id/WBGene00020530", "WBGene00020530")</f>
        <v>WBGene00020530</v>
      </c>
      <c r="B16026" s="9" t="str">
        <f>HYPERLINK("http://www.ncbi.nlm.nih.gov/gene/188527", "188527")</f>
        <v>188527</v>
      </c>
      <c r="C16026" s="9"/>
      <c r="D16026" t="str">
        <f>"T15B12.1"</f>
        <v>T15B12.1</v>
      </c>
      <c r="F16026" t="s">
        <v>11</v>
      </c>
      <c r="G16026" t="s">
        <v>8248</v>
      </c>
      <c r="H16026" s="12">
        <v>-1.1674042681811101</v>
      </c>
      <c r="I16026" s="20">
        <v>-0.84277239536065496</v>
      </c>
      <c r="J16026" s="28">
        <v>0.39935574935173601</v>
      </c>
      <c r="K16026" s="29">
        <v>0.98289565623980701</v>
      </c>
    </row>
    <row r="16027" spans="1:11" x14ac:dyDescent="0.35">
      <c r="A16027" s="9" t="str">
        <f>HYPERLINK("http://www.ensembl.org/id/WBGene00020531", "WBGene00020531")</f>
        <v>WBGene00020531</v>
      </c>
      <c r="B16027" s="9" t="str">
        <f>HYPERLINK("http://www.ncbi.nlm.nih.gov/gene/188528", "188528")</f>
        <v>188528</v>
      </c>
      <c r="C16027" s="9"/>
      <c r="D16027" t="str">
        <f>"T15B12.2"</f>
        <v>T15B12.2</v>
      </c>
      <c r="F16027" t="s">
        <v>11</v>
      </c>
      <c r="G16027" t="s">
        <v>961</v>
      </c>
      <c r="H16027" s="12">
        <v>1.54552455133997</v>
      </c>
      <c r="I16027" s="20">
        <v>0.35211112883815099</v>
      </c>
      <c r="J16027" s="28">
        <v>0.72475492258406604</v>
      </c>
      <c r="K16027" s="29">
        <v>0.98289565623980701</v>
      </c>
    </row>
    <row r="16028" spans="1:11" x14ac:dyDescent="0.35">
      <c r="A16028" s="9" t="str">
        <f>HYPERLINK("http://www.ensembl.org/id/WBGene00020522", "WBGene00020522")</f>
        <v>WBGene00020522</v>
      </c>
      <c r="B16028" s="9"/>
      <c r="C16028" s="9"/>
      <c r="D16028" t="str">
        <f>"T15B7.10"</f>
        <v>T15B7.10</v>
      </c>
      <c r="F16028" t="s">
        <v>80</v>
      </c>
      <c r="H16028" s="12">
        <v>-1.3523196333371601</v>
      </c>
      <c r="I16028" s="20">
        <v>-0.57975321724164197</v>
      </c>
      <c r="J16028" s="28">
        <v>0.562081050099415</v>
      </c>
      <c r="K16028" s="29">
        <v>0.98289565623980701</v>
      </c>
    </row>
    <row r="16029" spans="1:11" x14ac:dyDescent="0.35">
      <c r="A16029" s="9" t="str">
        <f>HYPERLINK("http://www.ensembl.org/id/WBGene00020527", "WBGene00020527")</f>
        <v>WBGene00020527</v>
      </c>
      <c r="B16029" s="9" t="str">
        <f>HYPERLINK("http://www.ncbi.nlm.nih.gov/gene/179074", "179074")</f>
        <v>179074</v>
      </c>
      <c r="C16029" s="9"/>
      <c r="D16029" t="str">
        <f>"T15B7.15"</f>
        <v>T15B7.15</v>
      </c>
      <c r="F16029" t="s">
        <v>11</v>
      </c>
      <c r="H16029" s="12">
        <v>1.2279720464831401</v>
      </c>
      <c r="I16029" s="20">
        <v>0.28944792341980302</v>
      </c>
      <c r="J16029" s="28">
        <v>0.772238626064645</v>
      </c>
      <c r="K16029" s="29">
        <v>0.98289565623980701</v>
      </c>
    </row>
    <row r="16030" spans="1:11" x14ac:dyDescent="0.35">
      <c r="A16030" s="9" t="str">
        <f>HYPERLINK("http://www.ensembl.org/id/WBGene00202492", "WBGene00202492")</f>
        <v>WBGene00202492</v>
      </c>
      <c r="B16030" s="9"/>
      <c r="C16030" s="9"/>
      <c r="D16030" t="str">
        <f>"T15B7.19"</f>
        <v>T15B7.19</v>
      </c>
      <c r="F16030" t="s">
        <v>481</v>
      </c>
      <c r="H16030" s="12">
        <v>-3.7261494131482999</v>
      </c>
      <c r="I16030" s="20">
        <v>-0.38454673129429601</v>
      </c>
      <c r="J16030" s="28">
        <v>0.70057326682554</v>
      </c>
      <c r="K16030" s="29">
        <v>0.98289565623980701</v>
      </c>
    </row>
    <row r="16031" spans="1:11" x14ac:dyDescent="0.35">
      <c r="A16031" s="9" t="str">
        <f>HYPERLINK("http://www.ensembl.org/id/WBGene00011778", "WBGene00011778")</f>
        <v>WBGene00011778</v>
      </c>
      <c r="B16031" s="9" t="str">
        <f>HYPERLINK("http://www.ncbi.nlm.nih.gov/gene/188530", "188530")</f>
        <v>188530</v>
      </c>
      <c r="C16031" s="9"/>
      <c r="D16031" t="str">
        <f>"T15D6.1"</f>
        <v>T15D6.1</v>
      </c>
      <c r="F16031" t="s">
        <v>11</v>
      </c>
      <c r="G16031" t="s">
        <v>3419</v>
      </c>
      <c r="H16031" s="12">
        <v>3.5227018545059199</v>
      </c>
      <c r="I16031" s="20">
        <v>0.36849691206929103</v>
      </c>
      <c r="J16031" s="28">
        <v>0.71250274722433404</v>
      </c>
      <c r="K16031" s="29">
        <v>0.98289565623980701</v>
      </c>
    </row>
    <row r="16032" spans="1:11" x14ac:dyDescent="0.35">
      <c r="A16032" s="9" t="str">
        <f>HYPERLINK("http://www.ensembl.org/id/WBGene00011785", "WBGene00011785")</f>
        <v>WBGene00011785</v>
      </c>
      <c r="B16032" s="9" t="str">
        <f>HYPERLINK("http://www.ncbi.nlm.nih.gov/gene/188537", "188537")</f>
        <v>188537</v>
      </c>
      <c r="C16032" s="9"/>
      <c r="D16032" t="str">
        <f>"T15D6.11"</f>
        <v>T15D6.11</v>
      </c>
      <c r="F16032" t="s">
        <v>11</v>
      </c>
      <c r="H16032" s="12">
        <v>2.8755883694684199</v>
      </c>
      <c r="I16032" s="20">
        <v>0.36355013483266901</v>
      </c>
      <c r="J16032" s="28">
        <v>0.71619396880790798</v>
      </c>
      <c r="K16032" s="29">
        <v>0.98289565623980701</v>
      </c>
    </row>
    <row r="16033" spans="1:11" x14ac:dyDescent="0.35">
      <c r="A16033" s="9" t="str">
        <f>HYPERLINK("http://www.ensembl.org/id/WBGene00011780", "WBGene00011780")</f>
        <v>WBGene00011780</v>
      </c>
      <c r="B16033" s="9" t="str">
        <f>HYPERLINK("http://www.ncbi.nlm.nih.gov/gene/188532", "188532")</f>
        <v>188532</v>
      </c>
      <c r="C16033" s="9"/>
      <c r="D16033" t="str">
        <f>"T15D6.5"</f>
        <v>T15D6.5</v>
      </c>
      <c r="E16033" t="s">
        <v>3368</v>
      </c>
      <c r="F16033" t="s">
        <v>11</v>
      </c>
      <c r="G16033" t="s">
        <v>4251</v>
      </c>
      <c r="H16033" s="12">
        <v>3.5227018545059199</v>
      </c>
      <c r="I16033" s="20">
        <v>0.36849691206929103</v>
      </c>
      <c r="J16033" s="28">
        <v>0.71250274722433404</v>
      </c>
      <c r="K16033" s="29">
        <v>0.98289565623980701</v>
      </c>
    </row>
    <row r="16034" spans="1:11" x14ac:dyDescent="0.35">
      <c r="A16034" s="9" t="str">
        <f>HYPERLINK("http://www.ensembl.org/id/WBGene00011790", "WBGene00011790")</f>
        <v>WBGene00011790</v>
      </c>
      <c r="B16034" s="9" t="str">
        <f>HYPERLINK("http://www.ncbi.nlm.nih.gov/gene/188541", "188541")</f>
        <v>188541</v>
      </c>
      <c r="C16034" s="9"/>
      <c r="D16034" t="str">
        <f>"T15H9.5"</f>
        <v>T15H9.5</v>
      </c>
      <c r="F16034" t="s">
        <v>11</v>
      </c>
      <c r="H16034" s="12">
        <v>2.3625248369496998</v>
      </c>
      <c r="I16034" s="20">
        <v>0.27133230146732801</v>
      </c>
      <c r="J16034" s="28">
        <v>0.786135464981218</v>
      </c>
      <c r="K16034" s="29">
        <v>0.98289565623980701</v>
      </c>
    </row>
    <row r="16035" spans="1:11" x14ac:dyDescent="0.35">
      <c r="A16035" s="9" t="str">
        <f>HYPERLINK("http://www.ensembl.org/id/WBGene00011791", "WBGene00011791")</f>
        <v>WBGene00011791</v>
      </c>
      <c r="B16035" s="9" t="str">
        <f>HYPERLINK("http://www.ncbi.nlm.nih.gov/gene/174513", "174513")</f>
        <v>174513</v>
      </c>
      <c r="C16035" s="9" t="str">
        <f>HYPERLINK("http://www.ncbi.nlm.nih.gov/gene/10914", "10914")</f>
        <v>10914</v>
      </c>
      <c r="D16035" t="str">
        <f>"T15H9.6"</f>
        <v>T15H9.6</v>
      </c>
      <c r="F16035" t="s">
        <v>11</v>
      </c>
      <c r="G16035" t="s">
        <v>4686</v>
      </c>
      <c r="H16035" s="12">
        <v>1.5007476253219001</v>
      </c>
      <c r="I16035" s="20">
        <v>0.82628349330467299</v>
      </c>
      <c r="J16035" s="28">
        <v>0.40864329491046802</v>
      </c>
      <c r="K16035" s="29">
        <v>0.98289565623980701</v>
      </c>
    </row>
    <row r="16036" spans="1:11" x14ac:dyDescent="0.35">
      <c r="A16036" s="9" t="str">
        <f>HYPERLINK("http://www.ensembl.org/id/WBGene00220071", "WBGene00220071")</f>
        <v>WBGene00220071</v>
      </c>
      <c r="B16036" s="9"/>
      <c r="C16036" s="9"/>
      <c r="D16036" t="str">
        <f>"T15H9.8"</f>
        <v>T15H9.8</v>
      </c>
      <c r="F16036" t="s">
        <v>2977</v>
      </c>
      <c r="H16036" s="12">
        <v>1.69115873331528</v>
      </c>
      <c r="I16036" s="20">
        <v>0.266559612517214</v>
      </c>
      <c r="J16036" s="28">
        <v>0.78980825527153198</v>
      </c>
      <c r="K16036" s="29">
        <v>0.98289565623980701</v>
      </c>
    </row>
    <row r="16037" spans="1:11" x14ac:dyDescent="0.35">
      <c r="A16037" s="9" t="str">
        <f>HYPERLINK("http://www.ensembl.org/id/WBGene00269431", "WBGene00269431")</f>
        <v>WBGene00269431</v>
      </c>
      <c r="B16037" s="9" t="str">
        <f>HYPERLINK("http://www.ncbi.nlm.nih.gov/gene/28661654", "28661654")</f>
        <v>28661654</v>
      </c>
      <c r="C16037" s="9"/>
      <c r="D16037" t="str">
        <f>"T16A1.10"</f>
        <v>T16A1.10</v>
      </c>
      <c r="F16037" t="s">
        <v>11</v>
      </c>
      <c r="H16037" s="12">
        <v>1.7408370934788</v>
      </c>
      <c r="I16037" s="20">
        <v>0.82198046912165901</v>
      </c>
      <c r="J16037" s="28">
        <v>0.41108801274825602</v>
      </c>
      <c r="K16037" s="29">
        <v>0.98289565623980701</v>
      </c>
    </row>
    <row r="16038" spans="1:11" x14ac:dyDescent="0.35">
      <c r="A16038" s="9" t="str">
        <f>HYPERLINK("http://www.ensembl.org/id/WBGene00020536", "WBGene00020536")</f>
        <v>WBGene00020536</v>
      </c>
      <c r="B16038" s="9" t="str">
        <f>HYPERLINK("http://www.ncbi.nlm.nih.gov/gene/188545", "188545")</f>
        <v>188545</v>
      </c>
      <c r="C16038" s="9"/>
      <c r="D16038" t="str">
        <f>"T16A1.5"</f>
        <v>T16A1.5</v>
      </c>
      <c r="F16038" t="s">
        <v>11</v>
      </c>
      <c r="H16038" s="12">
        <v>2.3893468495514898</v>
      </c>
      <c r="I16038" s="20">
        <v>0.25323547253672701</v>
      </c>
      <c r="J16038" s="28">
        <v>0.80008625651646104</v>
      </c>
      <c r="K16038" s="29">
        <v>0.98289565623980701</v>
      </c>
    </row>
    <row r="16039" spans="1:11" x14ac:dyDescent="0.35">
      <c r="A16039" s="9" t="str">
        <f>HYPERLINK("http://www.ensembl.org/id/WBGene00197654", "WBGene00197654")</f>
        <v>WBGene00197654</v>
      </c>
      <c r="B16039" s="9"/>
      <c r="C16039" s="9"/>
      <c r="D16039" t="str">
        <f>"T16G1.14"</f>
        <v>T16G1.14</v>
      </c>
      <c r="F16039" t="s">
        <v>481</v>
      </c>
      <c r="H16039" s="12">
        <v>4.4368407117627902</v>
      </c>
      <c r="I16039" s="20">
        <v>0.43709475933309699</v>
      </c>
      <c r="J16039" s="28">
        <v>0.66204262779770495</v>
      </c>
      <c r="K16039" s="29">
        <v>0.98289565623980701</v>
      </c>
    </row>
    <row r="16040" spans="1:11" x14ac:dyDescent="0.35">
      <c r="A16040" s="9" t="str">
        <f>HYPERLINK("http://www.ensembl.org/id/WBGene00011797", "WBGene00011797")</f>
        <v>WBGene00011797</v>
      </c>
      <c r="B16040" s="9" t="str">
        <f>HYPERLINK("http://www.ncbi.nlm.nih.gov/gene/188553", "188553")</f>
        <v>188553</v>
      </c>
      <c r="C16040" s="9"/>
      <c r="D16040" t="str">
        <f>"T16G1.3"</f>
        <v>T16G1.3</v>
      </c>
      <c r="F16040" t="s">
        <v>11</v>
      </c>
      <c r="H16040" s="12">
        <v>-2.9567608162790999</v>
      </c>
      <c r="I16040" s="20">
        <v>-1.1706665846634901</v>
      </c>
      <c r="J16040" s="28">
        <v>0.241732821716657</v>
      </c>
      <c r="K16040" s="29">
        <v>0.98289565623980701</v>
      </c>
    </row>
    <row r="16041" spans="1:11" x14ac:dyDescent="0.35">
      <c r="A16041" s="9" t="str">
        <f>HYPERLINK("http://www.ensembl.org/id/WBGene00011798", "WBGene00011798")</f>
        <v>WBGene00011798</v>
      </c>
      <c r="B16041" s="9" t="str">
        <f>HYPERLINK("http://www.ncbi.nlm.nih.gov/gene/179776", "179776")</f>
        <v>179776</v>
      </c>
      <c r="C16041" s="9"/>
      <c r="D16041" t="str">
        <f>"T16G1.4"</f>
        <v>T16G1.4</v>
      </c>
      <c r="F16041" t="s">
        <v>11</v>
      </c>
      <c r="H16041" s="12">
        <v>-1.20870168130883</v>
      </c>
      <c r="I16041" s="20">
        <v>-0.80957785872015597</v>
      </c>
      <c r="J16041" s="28">
        <v>0.41818283776881299</v>
      </c>
      <c r="K16041" s="29">
        <v>0.98289565623980701</v>
      </c>
    </row>
    <row r="16042" spans="1:11" x14ac:dyDescent="0.35">
      <c r="A16042" s="9" t="str">
        <f>HYPERLINK("http://www.ensembl.org/id/WBGene00011799", "WBGene00011799")</f>
        <v>WBGene00011799</v>
      </c>
      <c r="B16042" s="9" t="str">
        <f>HYPERLINK("http://www.ncbi.nlm.nih.gov/gene/179775", "179775")</f>
        <v>179775</v>
      </c>
      <c r="C16042" s="9"/>
      <c r="D16042" t="str">
        <f>"T16G1.5"</f>
        <v>T16G1.5</v>
      </c>
      <c r="F16042" t="s">
        <v>11</v>
      </c>
      <c r="H16042" s="12">
        <v>1.5945656595551501</v>
      </c>
      <c r="I16042" s="20">
        <v>0.80690796061552195</v>
      </c>
      <c r="J16042" s="28">
        <v>0.41971951209445801</v>
      </c>
      <c r="K16042" s="29">
        <v>0.98289565623980701</v>
      </c>
    </row>
    <row r="16043" spans="1:11" x14ac:dyDescent="0.35">
      <c r="A16043" s="9" t="str">
        <f>HYPERLINK("http://www.ensembl.org/id/WBGene00011800", "WBGene00011800")</f>
        <v>WBGene00011800</v>
      </c>
      <c r="B16043" s="9" t="str">
        <f>HYPERLINK("http://www.ncbi.nlm.nih.gov/gene/188554", "188554")</f>
        <v>188554</v>
      </c>
      <c r="C16043" s="9"/>
      <c r="D16043" t="str">
        <f>"T16G1.6"</f>
        <v>T16G1.6</v>
      </c>
      <c r="F16043" t="s">
        <v>11</v>
      </c>
      <c r="H16043" s="12">
        <v>1.1465465551419001</v>
      </c>
      <c r="I16043" s="20">
        <v>0.49207311364859002</v>
      </c>
      <c r="J16043" s="28">
        <v>0.62266765822520098</v>
      </c>
      <c r="K16043" s="29">
        <v>0.98289565623980701</v>
      </c>
    </row>
    <row r="16044" spans="1:11" x14ac:dyDescent="0.35">
      <c r="A16044" s="9" t="str">
        <f>HYPERLINK("http://www.ensembl.org/id/WBGene00011801", "WBGene00011801")</f>
        <v>WBGene00011801</v>
      </c>
      <c r="B16044" s="9" t="str">
        <f>HYPERLINK("http://www.ncbi.nlm.nih.gov/gene/179774", "179774")</f>
        <v>179774</v>
      </c>
      <c r="C16044" s="9"/>
      <c r="D16044" t="str">
        <f>"T16G1.7"</f>
        <v>T16G1.7</v>
      </c>
      <c r="F16044" t="s">
        <v>11</v>
      </c>
      <c r="H16044" s="12">
        <v>1.26737149500594</v>
      </c>
      <c r="I16044" s="20">
        <v>1.1307555083243901</v>
      </c>
      <c r="J16044" s="28">
        <v>0.258158010986623</v>
      </c>
      <c r="K16044" s="29">
        <v>0.98289565623980701</v>
      </c>
    </row>
    <row r="16045" spans="1:11" x14ac:dyDescent="0.35">
      <c r="A16045" s="9" t="str">
        <f>HYPERLINK("http://www.ensembl.org/id/WBGene00011802", "WBGene00011802")</f>
        <v>WBGene00011802</v>
      </c>
      <c r="B16045" s="9" t="str">
        <f>HYPERLINK("http://www.ncbi.nlm.nih.gov/gene/179778", "179778")</f>
        <v>179778</v>
      </c>
      <c r="C16045" s="9"/>
      <c r="D16045" t="str">
        <f>"T16G1.9"</f>
        <v>T16G1.9</v>
      </c>
      <c r="F16045" t="s">
        <v>11</v>
      </c>
      <c r="G16045" t="s">
        <v>7351</v>
      </c>
      <c r="H16045" s="12">
        <v>-1.121016255677</v>
      </c>
      <c r="I16045" s="20">
        <v>-0.600525172092783</v>
      </c>
      <c r="J16045" s="28">
        <v>0.54815629012945799</v>
      </c>
      <c r="K16045" s="29">
        <v>0.98289565623980701</v>
      </c>
    </row>
    <row r="16046" spans="1:11" x14ac:dyDescent="0.35">
      <c r="A16046" s="9" t="str">
        <f>HYPERLINK("http://www.ensembl.org/id/WBGene00011803", "WBGene00011803")</f>
        <v>WBGene00011803</v>
      </c>
      <c r="B16046" s="9" t="str">
        <f>HYPERLINK("http://www.ncbi.nlm.nih.gov/gene/176416", "176416")</f>
        <v>176416</v>
      </c>
      <c r="C16046" s="9"/>
      <c r="D16046" t="str">
        <f>"T16G12.1"</f>
        <v>T16G12.1</v>
      </c>
      <c r="E16046" t="s">
        <v>4739</v>
      </c>
      <c r="F16046" t="s">
        <v>11</v>
      </c>
      <c r="G16046" t="s">
        <v>4740</v>
      </c>
      <c r="H16046" s="12">
        <v>1.4264335846069001</v>
      </c>
      <c r="I16046" s="20">
        <v>1.2030696350610099</v>
      </c>
      <c r="J16046" s="28">
        <v>0.22894937467035001</v>
      </c>
      <c r="K16046" s="29">
        <v>0.98289565623980701</v>
      </c>
    </row>
    <row r="16047" spans="1:11" x14ac:dyDescent="0.35">
      <c r="A16047" s="9" t="str">
        <f>HYPERLINK("http://www.ensembl.org/id/WBGene00044222", "WBGene00044222")</f>
        <v>WBGene00044222</v>
      </c>
      <c r="B16047" s="9" t="str">
        <f>HYPERLINK("http://www.ncbi.nlm.nih.gov/gene/13191030", "13191030")</f>
        <v>13191030</v>
      </c>
      <c r="C16047" s="9"/>
      <c r="D16047" t="str">
        <f>"T16G12.10"</f>
        <v>T16G12.10</v>
      </c>
      <c r="F16047" t="s">
        <v>11</v>
      </c>
      <c r="H16047" s="12">
        <v>-2.4991590031922399</v>
      </c>
      <c r="I16047" s="20">
        <v>-0.26577412737581302</v>
      </c>
      <c r="J16047" s="28">
        <v>0.79041317015736101</v>
      </c>
      <c r="K16047" s="29">
        <v>0.98289565623980701</v>
      </c>
    </row>
    <row r="16048" spans="1:11" x14ac:dyDescent="0.35">
      <c r="A16048" s="9" t="str">
        <f>HYPERLINK("http://www.ensembl.org/id/WBGene00011807", "WBGene00011807")</f>
        <v>WBGene00011807</v>
      </c>
      <c r="B16048" s="9" t="str">
        <f>HYPERLINK("http://www.ncbi.nlm.nih.gov/gene/176420", "176420")</f>
        <v>176420</v>
      </c>
      <c r="C16048" s="9"/>
      <c r="D16048" t="str">
        <f>"T16G12.6"</f>
        <v>T16G12.6</v>
      </c>
      <c r="F16048" t="s">
        <v>11</v>
      </c>
      <c r="G16048" t="s">
        <v>7648</v>
      </c>
      <c r="H16048" s="12">
        <v>-1.13753913720982</v>
      </c>
      <c r="I16048" s="20">
        <v>-0.63664676146577304</v>
      </c>
      <c r="J16048" s="28">
        <v>0.52435495883137795</v>
      </c>
      <c r="K16048" s="29">
        <v>0.98289565623980701</v>
      </c>
    </row>
    <row r="16049" spans="1:11" x14ac:dyDescent="0.35">
      <c r="A16049" s="9" t="str">
        <f>HYPERLINK("http://www.ensembl.org/id/WBGene00011808", "WBGene00011808")</f>
        <v>WBGene00011808</v>
      </c>
      <c r="B16049" s="9" t="str">
        <f>HYPERLINK("http://www.ncbi.nlm.nih.gov/gene/188557", "188557")</f>
        <v>188557</v>
      </c>
      <c r="C16049" s="9"/>
      <c r="D16049" t="str">
        <f>"T16G12.7"</f>
        <v>T16G12.7</v>
      </c>
      <c r="E16049" t="s">
        <v>2496</v>
      </c>
      <c r="F16049" t="s">
        <v>11</v>
      </c>
      <c r="G16049" t="s">
        <v>2497</v>
      </c>
      <c r="H16049" s="12">
        <v>-3.2989143306047799</v>
      </c>
      <c r="I16049" s="20">
        <v>-0.85950404112135403</v>
      </c>
      <c r="J16049" s="28">
        <v>0.39006249143820099</v>
      </c>
      <c r="K16049" s="29">
        <v>0.98289565623980701</v>
      </c>
    </row>
    <row r="16050" spans="1:11" x14ac:dyDescent="0.35">
      <c r="A16050" s="9" t="str">
        <f>HYPERLINK("http://www.ensembl.org/id/WBGene00011809", "WBGene00011809")</f>
        <v>WBGene00011809</v>
      </c>
      <c r="B16050" s="9" t="str">
        <f>HYPERLINK("http://www.ncbi.nlm.nih.gov/gene/176418", "176418")</f>
        <v>176418</v>
      </c>
      <c r="C16050" s="9"/>
      <c r="D16050" t="str">
        <f>"T16G12.8"</f>
        <v>T16G12.8</v>
      </c>
      <c r="F16050" t="s">
        <v>11</v>
      </c>
      <c r="G16050" t="s">
        <v>25</v>
      </c>
      <c r="H16050" s="12">
        <v>-1.33637747667231</v>
      </c>
      <c r="I16050" s="20">
        <v>-0.86404079822904201</v>
      </c>
      <c r="J16050" s="28">
        <v>0.38756547888558801</v>
      </c>
      <c r="K16050" s="29">
        <v>0.98289565623980701</v>
      </c>
    </row>
    <row r="16051" spans="1:11" x14ac:dyDescent="0.35">
      <c r="A16051" s="9" t="str">
        <f>HYPERLINK("http://www.ensembl.org/id/WBGene00011810", "WBGene00011810")</f>
        <v>WBGene00011810</v>
      </c>
      <c r="B16051" s="9" t="str">
        <f>HYPERLINK("http://www.ncbi.nlm.nih.gov/gene/3564764", "3564764")</f>
        <v>3564764</v>
      </c>
      <c r="C16051" s="9"/>
      <c r="D16051" t="str">
        <f>"T16G12.9"</f>
        <v>T16G12.9</v>
      </c>
      <c r="F16051" t="s">
        <v>11</v>
      </c>
      <c r="H16051" s="12">
        <v>1.21427932094586</v>
      </c>
      <c r="I16051" s="20">
        <v>0.28128412930098901</v>
      </c>
      <c r="J16051" s="28">
        <v>0.778492482095689</v>
      </c>
      <c r="K16051" s="29">
        <v>0.98289565623980701</v>
      </c>
    </row>
    <row r="16052" spans="1:11" x14ac:dyDescent="0.35">
      <c r="A16052" s="9" t="str">
        <f>HYPERLINK("http://www.ensembl.org/id/WBGene00011811", "WBGene00011811")</f>
        <v>WBGene00011811</v>
      </c>
      <c r="B16052" s="9" t="str">
        <f>HYPERLINK("http://www.ncbi.nlm.nih.gov/gene/188558", "188558")</f>
        <v>188558</v>
      </c>
      <c r="C16052" s="9"/>
      <c r="D16052" t="str">
        <f>"T16H12.1"</f>
        <v>T16H12.1</v>
      </c>
      <c r="F16052" t="s">
        <v>11</v>
      </c>
      <c r="H16052" s="12">
        <v>-1.2821078285631</v>
      </c>
      <c r="I16052" s="20">
        <v>-0.28679756976394399</v>
      </c>
      <c r="J16052" s="28">
        <v>0.77426732385889696</v>
      </c>
      <c r="K16052" s="29">
        <v>0.98289565623980701</v>
      </c>
    </row>
    <row r="16053" spans="1:11" x14ac:dyDescent="0.35">
      <c r="A16053" s="9" t="str">
        <f>HYPERLINK("http://www.ensembl.org/id/WBGene00194725", "WBGene00194725")</f>
        <v>WBGene00194725</v>
      </c>
      <c r="B16053" s="9" t="str">
        <f>HYPERLINK("http://www.ncbi.nlm.nih.gov/gene/13191038", "13191038")</f>
        <v>13191038</v>
      </c>
      <c r="C16053" s="9"/>
      <c r="D16053" t="str">
        <f>"T16H12.13"</f>
        <v>T16H12.13</v>
      </c>
      <c r="F16053" t="s">
        <v>11</v>
      </c>
      <c r="H16053" s="12">
        <v>-2.3838754719136599</v>
      </c>
      <c r="I16053" s="20">
        <v>-0.25807578497976902</v>
      </c>
      <c r="J16053" s="28">
        <v>0.79634841949468704</v>
      </c>
      <c r="K16053" s="29">
        <v>0.98289565623980701</v>
      </c>
    </row>
    <row r="16054" spans="1:11" x14ac:dyDescent="0.35">
      <c r="A16054" s="9" t="str">
        <f>HYPERLINK("http://www.ensembl.org/id/WBGene00011812", "WBGene00011812")</f>
        <v>WBGene00011812</v>
      </c>
      <c r="B16054" s="9" t="str">
        <f>HYPERLINK("http://www.ncbi.nlm.nih.gov/gene/188559", "188559")</f>
        <v>188559</v>
      </c>
      <c r="C16054" s="9"/>
      <c r="D16054" t="str">
        <f>"T16H12.2"</f>
        <v>T16H12.2</v>
      </c>
      <c r="F16054" t="s">
        <v>11</v>
      </c>
      <c r="H16054" s="12">
        <v>-1.7746866298892801</v>
      </c>
      <c r="I16054" s="20">
        <v>-0.80194687546066401</v>
      </c>
      <c r="J16054" s="28">
        <v>0.42258368909208899</v>
      </c>
      <c r="K16054" s="29">
        <v>0.98289565623980701</v>
      </c>
    </row>
    <row r="16055" spans="1:11" x14ac:dyDescent="0.35">
      <c r="A16055" s="9" t="str">
        <f>HYPERLINK("http://www.ensembl.org/id/WBGene00011813", "WBGene00011813")</f>
        <v>WBGene00011813</v>
      </c>
      <c r="B16055" s="9" t="str">
        <f>HYPERLINK("http://www.ncbi.nlm.nih.gov/gene/188560", "188560")</f>
        <v>188560</v>
      </c>
      <c r="C16055" s="9"/>
      <c r="D16055" t="str">
        <f>"T16H12.3"</f>
        <v>T16H12.3</v>
      </c>
      <c r="F16055" t="s">
        <v>11</v>
      </c>
      <c r="H16055" s="12">
        <v>-1.20999386980156</v>
      </c>
      <c r="I16055" s="20">
        <v>-0.79135439208245495</v>
      </c>
      <c r="J16055" s="28">
        <v>0.42873721636371398</v>
      </c>
      <c r="K16055" s="29">
        <v>0.98289565623980701</v>
      </c>
    </row>
    <row r="16056" spans="1:11" x14ac:dyDescent="0.35">
      <c r="A16056" s="9" t="str">
        <f>HYPERLINK("http://www.ensembl.org/id/WBGene00197153", "WBGene00197153")</f>
        <v>WBGene00197153</v>
      </c>
      <c r="B16056" s="9"/>
      <c r="C16056" s="9"/>
      <c r="D16056" t="str">
        <f>"T18D3.12"</f>
        <v>T18D3.12</v>
      </c>
      <c r="F16056" t="s">
        <v>481</v>
      </c>
      <c r="H16056" s="12">
        <v>-5.5794491025289696</v>
      </c>
      <c r="I16056" s="20">
        <v>-0.504738274115201</v>
      </c>
      <c r="J16056" s="28">
        <v>0.61374267489732603</v>
      </c>
      <c r="K16056" s="29">
        <v>0.98289565623980701</v>
      </c>
    </row>
    <row r="16057" spans="1:11" x14ac:dyDescent="0.35">
      <c r="A16057" s="9" t="str">
        <f>HYPERLINK("http://www.ensembl.org/id/WBGene00011824", "WBGene00011824")</f>
        <v>WBGene00011824</v>
      </c>
      <c r="B16057" s="9" t="str">
        <f>HYPERLINK("http://www.ncbi.nlm.nih.gov/gene/188577", "188577")</f>
        <v>188577</v>
      </c>
      <c r="C16057" s="9"/>
      <c r="D16057" t="str">
        <f>"T18D3.7"</f>
        <v>T18D3.7</v>
      </c>
      <c r="F16057" t="s">
        <v>11</v>
      </c>
      <c r="G16057" t="s">
        <v>7101</v>
      </c>
      <c r="H16057" s="12">
        <v>-1.1069675926865401</v>
      </c>
      <c r="I16057" s="20">
        <v>-0.53288181081795905</v>
      </c>
      <c r="J16057" s="28">
        <v>0.59411539707585403</v>
      </c>
      <c r="K16057" s="29">
        <v>0.98289565623980701</v>
      </c>
    </row>
    <row r="16058" spans="1:11" x14ac:dyDescent="0.35">
      <c r="A16058" s="9" t="str">
        <f>HYPERLINK("http://www.ensembl.org/id/WBGene00196137", "WBGene00196137")</f>
        <v>WBGene00196137</v>
      </c>
      <c r="B16058" s="9"/>
      <c r="C16058" s="9"/>
      <c r="D16058" t="str">
        <f>"T18H9.8"</f>
        <v>T18H9.8</v>
      </c>
      <c r="F16058" t="s">
        <v>481</v>
      </c>
      <c r="H16058" s="12">
        <v>2.4578120077400301</v>
      </c>
      <c r="I16058" s="20">
        <v>0.26093350314551</v>
      </c>
      <c r="J16058" s="28">
        <v>0.79414378780213601</v>
      </c>
      <c r="K16058" s="29">
        <v>0.98289565623980701</v>
      </c>
    </row>
    <row r="16059" spans="1:11" x14ac:dyDescent="0.35">
      <c r="A16059" s="9" t="str">
        <f>HYPERLINK("http://www.ensembl.org/id/WBGene00198979", "WBGene00198979")</f>
        <v>WBGene00198979</v>
      </c>
      <c r="B16059" s="9"/>
      <c r="C16059" s="9"/>
      <c r="D16059" t="str">
        <f>"T19A5.10"</f>
        <v>T19A5.10</v>
      </c>
      <c r="F16059" t="s">
        <v>481</v>
      </c>
      <c r="H16059" s="12">
        <v>1.9710219668173301</v>
      </c>
      <c r="I16059" s="20">
        <v>0.67591895815117997</v>
      </c>
      <c r="J16059" s="28">
        <v>0.499092100369537</v>
      </c>
      <c r="K16059" s="29">
        <v>0.98289565623980701</v>
      </c>
    </row>
    <row r="16060" spans="1:11" x14ac:dyDescent="0.35">
      <c r="A16060" s="9" t="str">
        <f>HYPERLINK("http://www.ensembl.org/id/WBGene00200176", "WBGene00200176")</f>
        <v>WBGene00200176</v>
      </c>
      <c r="B16060" s="9"/>
      <c r="C16060" s="9"/>
      <c r="D16060" t="str">
        <f>"T19A5.11"</f>
        <v>T19A5.11</v>
      </c>
      <c r="F16060" t="s">
        <v>481</v>
      </c>
      <c r="H16060" s="12">
        <v>-1.3958682275690999</v>
      </c>
      <c r="I16060" s="20">
        <v>-0.412076318014507</v>
      </c>
      <c r="J16060" s="28">
        <v>0.68028348601294797</v>
      </c>
      <c r="K16060" s="29">
        <v>0.98289565623980701</v>
      </c>
    </row>
    <row r="16061" spans="1:11" x14ac:dyDescent="0.35">
      <c r="A16061" s="9" t="str">
        <f>HYPERLINK("http://www.ensembl.org/id/WBGene00201014", "WBGene00201014")</f>
        <v>WBGene00201014</v>
      </c>
      <c r="B16061" s="9"/>
      <c r="C16061" s="9"/>
      <c r="D16061" t="str">
        <f>"T19A5.12"</f>
        <v>T19A5.12</v>
      </c>
      <c r="F16061" t="s">
        <v>481</v>
      </c>
      <c r="H16061" s="12">
        <v>-3.3062271141133701</v>
      </c>
      <c r="I16061" s="20">
        <v>-0.366461905584539</v>
      </c>
      <c r="J16061" s="28">
        <v>0.71402043343558397</v>
      </c>
      <c r="K16061" s="29">
        <v>0.98289565623980701</v>
      </c>
    </row>
    <row r="16062" spans="1:11" x14ac:dyDescent="0.35">
      <c r="A16062" s="9" t="str">
        <f>HYPERLINK("http://www.ensembl.org/id/WBGene00196777", "WBGene00196777")</f>
        <v>WBGene00196777</v>
      </c>
      <c r="B16062" s="9"/>
      <c r="C16062" s="9"/>
      <c r="D16062" t="str">
        <f>"T19A5.13"</f>
        <v>T19A5.13</v>
      </c>
      <c r="F16062" t="s">
        <v>481</v>
      </c>
      <c r="H16062" s="12">
        <v>-1.7350979147394801</v>
      </c>
      <c r="I16062" s="20">
        <v>-0.49840302988485902</v>
      </c>
      <c r="J16062" s="28">
        <v>0.61820000164256705</v>
      </c>
      <c r="K16062" s="29">
        <v>0.98289565623980701</v>
      </c>
    </row>
    <row r="16063" spans="1:11" x14ac:dyDescent="0.35">
      <c r="A16063" s="9" t="str">
        <f>HYPERLINK("http://www.ensembl.org/id/WBGene00198276", "WBGene00198276")</f>
        <v>WBGene00198276</v>
      </c>
      <c r="B16063" s="9"/>
      <c r="C16063" s="9"/>
      <c r="D16063" t="str">
        <f>"T19A5.8"</f>
        <v>T19A5.8</v>
      </c>
      <c r="F16063" t="s">
        <v>481</v>
      </c>
      <c r="H16063" s="12">
        <v>-2.5332306344991502</v>
      </c>
      <c r="I16063" s="20">
        <v>-0.59448739040519405</v>
      </c>
      <c r="J16063" s="28">
        <v>0.55218617362741396</v>
      </c>
      <c r="K16063" s="29">
        <v>0.98289565623980701</v>
      </c>
    </row>
    <row r="16064" spans="1:11" x14ac:dyDescent="0.35">
      <c r="A16064" s="9" t="str">
        <f>HYPERLINK("http://www.ensembl.org/id/WBGene00011827", "WBGene00011827")</f>
        <v>WBGene00011827</v>
      </c>
      <c r="B16064" s="9" t="str">
        <f>HYPERLINK("http://www.ncbi.nlm.nih.gov/gene/172623", "172623")</f>
        <v>172623</v>
      </c>
      <c r="C16064" s="9" t="str">
        <f>HYPERLINK("http://www.ncbi.nlm.nih.gov/gene/80148", "80148")</f>
        <v>80148</v>
      </c>
      <c r="D16064" t="str">
        <f>"T19A6.1"</f>
        <v>T19A6.1</v>
      </c>
      <c r="F16064" t="s">
        <v>11</v>
      </c>
      <c r="G16064" t="s">
        <v>8152</v>
      </c>
      <c r="H16064" s="12">
        <v>-1.1626314737146499</v>
      </c>
      <c r="I16064" s="20">
        <v>-0.80074165485975102</v>
      </c>
      <c r="J16064" s="28">
        <v>0.42328122236141102</v>
      </c>
      <c r="K16064" s="29">
        <v>0.98289565623980701</v>
      </c>
    </row>
    <row r="16065" spans="1:11" x14ac:dyDescent="0.35">
      <c r="A16065" s="9" t="str">
        <f>HYPERLINK("http://www.ensembl.org/id/WBGene00011829", "WBGene00011829")</f>
        <v>WBGene00011829</v>
      </c>
      <c r="B16065" s="9" t="str">
        <f>HYPERLINK("http://www.ncbi.nlm.nih.gov/gene/259993", "259993")</f>
        <v>259993</v>
      </c>
      <c r="C16065" s="9" t="str">
        <f>HYPERLINK("http://www.ncbi.nlm.nih.gov/gene/55314", "55314")</f>
        <v>55314</v>
      </c>
      <c r="D16065" t="str">
        <f>"T19A6.4"</f>
        <v>T19A6.4</v>
      </c>
      <c r="F16065" t="s">
        <v>11</v>
      </c>
      <c r="G16065" t="s">
        <v>1001</v>
      </c>
      <c r="H16065" s="12">
        <v>-1.3120681285608</v>
      </c>
      <c r="I16065" s="20">
        <v>-0.54331166660071795</v>
      </c>
      <c r="J16065" s="28">
        <v>0.58691523296573</v>
      </c>
      <c r="K16065" s="29">
        <v>0.98289565623980701</v>
      </c>
    </row>
    <row r="16066" spans="1:11" x14ac:dyDescent="0.35">
      <c r="A16066" s="9" t="str">
        <f>HYPERLINK("http://www.ensembl.org/id/WBGene00050898", "WBGene00050898")</f>
        <v>WBGene00050898</v>
      </c>
      <c r="B16066" s="9" t="str">
        <f>HYPERLINK("http://www.ncbi.nlm.nih.gov/gene/6418774", "6418774")</f>
        <v>6418774</v>
      </c>
      <c r="C16066" s="9"/>
      <c r="D16066" t="str">
        <f>"T19B10.12"</f>
        <v>T19B10.12</v>
      </c>
      <c r="F16066" t="s">
        <v>11</v>
      </c>
      <c r="H16066" s="12">
        <v>3.6645215954135</v>
      </c>
      <c r="I16066" s="20">
        <v>0.37967131826092498</v>
      </c>
      <c r="J16066" s="28">
        <v>0.70418941338960395</v>
      </c>
      <c r="K16066" s="29">
        <v>0.98289565623980701</v>
      </c>
    </row>
    <row r="16067" spans="1:11" x14ac:dyDescent="0.35">
      <c r="A16067" s="9" t="str">
        <f>HYPERLINK("http://www.ensembl.org/id/WBGene00197289", "WBGene00197289")</f>
        <v>WBGene00197289</v>
      </c>
      <c r="B16067" s="9"/>
      <c r="C16067" s="9"/>
      <c r="D16067" t="str">
        <f>"T19B10.13"</f>
        <v>T19B10.13</v>
      </c>
      <c r="F16067" t="s">
        <v>481</v>
      </c>
      <c r="H16067" s="12">
        <v>2.3023301924467101</v>
      </c>
      <c r="I16067" s="20">
        <v>0.26674601818072902</v>
      </c>
      <c r="J16067" s="28">
        <v>0.78966471981773201</v>
      </c>
      <c r="K16067" s="29">
        <v>0.98289565623980701</v>
      </c>
    </row>
    <row r="16068" spans="1:11" x14ac:dyDescent="0.35">
      <c r="A16068" s="9" t="str">
        <f>HYPERLINK("http://www.ensembl.org/id/WBGene00199717", "WBGene00199717")</f>
        <v>WBGene00199717</v>
      </c>
      <c r="B16068" s="9"/>
      <c r="C16068" s="9"/>
      <c r="D16068" t="str">
        <f>"T19B10.17"</f>
        <v>T19B10.17</v>
      </c>
      <c r="F16068" t="s">
        <v>481</v>
      </c>
      <c r="H16068" s="12">
        <v>-2.4991590031922399</v>
      </c>
      <c r="I16068" s="20">
        <v>-0.26577412737581302</v>
      </c>
      <c r="J16068" s="28">
        <v>0.79041317015736101</v>
      </c>
      <c r="K16068" s="29">
        <v>0.98289565623980701</v>
      </c>
    </row>
    <row r="16069" spans="1:11" x14ac:dyDescent="0.35">
      <c r="A16069" s="9" t="str">
        <f>HYPERLINK("http://www.ensembl.org/id/WBGene00020557", "WBGene00020557")</f>
        <v>WBGene00020557</v>
      </c>
      <c r="B16069" s="9" t="str">
        <f>HYPERLINK("http://www.ncbi.nlm.nih.gov/gene/172232", "172232")</f>
        <v>172232</v>
      </c>
      <c r="C16069" s="9" t="str">
        <f>HYPERLINK("http://www.ncbi.nlm.nih.gov/gene/353", "353")</f>
        <v>353</v>
      </c>
      <c r="D16069" t="str">
        <f>"T19B4.3"</f>
        <v>T19B4.3</v>
      </c>
      <c r="E16069" t="s">
        <v>6014</v>
      </c>
      <c r="F16069" t="s">
        <v>11</v>
      </c>
      <c r="G16069" t="s">
        <v>6015</v>
      </c>
      <c r="H16069" s="12">
        <v>1.0727349782040001</v>
      </c>
      <c r="I16069" s="20">
        <v>0.35425655223254798</v>
      </c>
      <c r="J16069" s="28">
        <v>0.72314662537296304</v>
      </c>
      <c r="K16069" s="29">
        <v>0.98289565623980701</v>
      </c>
    </row>
    <row r="16070" spans="1:11" x14ac:dyDescent="0.35">
      <c r="A16070" s="9" t="str">
        <f>HYPERLINK("http://www.ensembl.org/id/WBGene00198755", "WBGene00198755")</f>
        <v>WBGene00198755</v>
      </c>
      <c r="B16070" s="9"/>
      <c r="C16070" s="9"/>
      <c r="D16070" t="str">
        <f>"T19C11.1"</f>
        <v>T19C11.1</v>
      </c>
      <c r="F16070" t="s">
        <v>481</v>
      </c>
      <c r="H16070" s="12">
        <v>-3.7261494131482999</v>
      </c>
      <c r="I16070" s="20">
        <v>-0.38454673129429601</v>
      </c>
      <c r="J16070" s="28">
        <v>0.70057326682554</v>
      </c>
      <c r="K16070" s="29">
        <v>0.98289565623980701</v>
      </c>
    </row>
    <row r="16071" spans="1:11" x14ac:dyDescent="0.35">
      <c r="A16071" s="9" t="str">
        <f>HYPERLINK("http://www.ensembl.org/id/WBGene00220072", "WBGene00220072")</f>
        <v>WBGene00220072</v>
      </c>
      <c r="B16071" s="9"/>
      <c r="C16071" s="9"/>
      <c r="D16071" t="str">
        <f>"T19C3.11"</f>
        <v>T19C3.11</v>
      </c>
      <c r="F16071" t="s">
        <v>481</v>
      </c>
      <c r="H16071" s="12">
        <v>-3.3086197621790099</v>
      </c>
      <c r="I16071" s="20">
        <v>-1.1059743397779001</v>
      </c>
      <c r="J16071" s="28">
        <v>0.268737626055778</v>
      </c>
      <c r="K16071" s="29">
        <v>0.98289565623980701</v>
      </c>
    </row>
    <row r="16072" spans="1:11" x14ac:dyDescent="0.35">
      <c r="A16072" s="9" t="str">
        <f>HYPERLINK("http://www.ensembl.org/id/WBGene00020562", "WBGene00020562")</f>
        <v>WBGene00020562</v>
      </c>
      <c r="B16072" s="9" t="str">
        <f>HYPERLINK("http://www.ncbi.nlm.nih.gov/gene/175216", "175216")</f>
        <v>175216</v>
      </c>
      <c r="C16072" s="9" t="str">
        <f>HYPERLINK("http://www.ncbi.nlm.nih.gov/gene/51308", "51308")</f>
        <v>51308</v>
      </c>
      <c r="D16072" t="str">
        <f>"T19C3.4"</f>
        <v>T19C3.4</v>
      </c>
      <c r="F16072" t="s">
        <v>11</v>
      </c>
      <c r="G16072" t="s">
        <v>6626</v>
      </c>
      <c r="H16072" s="12">
        <v>-1.0807693378455601</v>
      </c>
      <c r="I16072" s="20">
        <v>-0.41405845983609102</v>
      </c>
      <c r="J16072" s="28">
        <v>0.67883129397409603</v>
      </c>
      <c r="K16072" s="29">
        <v>0.98289565623980701</v>
      </c>
    </row>
    <row r="16073" spans="1:11" x14ac:dyDescent="0.35">
      <c r="A16073" s="9" t="str">
        <f>HYPERLINK("http://www.ensembl.org/id/WBGene00020564", "WBGene00020564")</f>
        <v>WBGene00020564</v>
      </c>
      <c r="B16073" s="9" t="str">
        <f>HYPERLINK("http://www.ncbi.nlm.nih.gov/gene/188588", "188588")</f>
        <v>188588</v>
      </c>
      <c r="C16073" s="9"/>
      <c r="D16073" t="str">
        <f>"T19C3.6"</f>
        <v>T19C3.6</v>
      </c>
      <c r="F16073" t="s">
        <v>11</v>
      </c>
      <c r="H16073" s="12">
        <v>-2.03968869076175</v>
      </c>
      <c r="I16073" s="20">
        <v>-0.41918235902172502</v>
      </c>
      <c r="J16073" s="28">
        <v>0.67508286366005099</v>
      </c>
      <c r="K16073" s="29">
        <v>0.98289565623980701</v>
      </c>
    </row>
    <row r="16074" spans="1:11" x14ac:dyDescent="0.35">
      <c r="A16074" s="9" t="str">
        <f>HYPERLINK("http://www.ensembl.org/id/WBGene00020565", "WBGene00020565")</f>
        <v>WBGene00020565</v>
      </c>
      <c r="B16074" s="9" t="str">
        <f>HYPERLINK("http://www.ncbi.nlm.nih.gov/gene/24104903", "24104903")</f>
        <v>24104903</v>
      </c>
      <c r="C16074" s="9"/>
      <c r="D16074" t="str">
        <f>"T19C3.7"</f>
        <v>T19C3.7</v>
      </c>
      <c r="F16074" t="s">
        <v>11</v>
      </c>
      <c r="H16074" s="12">
        <v>7.8165822876177797</v>
      </c>
      <c r="I16074" s="20">
        <v>1.0475179707613</v>
      </c>
      <c r="J16074" s="28">
        <v>0.29486074825063202</v>
      </c>
      <c r="K16074" s="29">
        <v>0.98289565623980701</v>
      </c>
    </row>
    <row r="16075" spans="1:11" x14ac:dyDescent="0.35">
      <c r="A16075" s="9" t="str">
        <f>HYPERLINK("http://www.ensembl.org/id/WBGene00011838", "WBGene00011838")</f>
        <v>WBGene00011838</v>
      </c>
      <c r="B16075" s="9" t="str">
        <f>HYPERLINK("http://www.ncbi.nlm.nih.gov/gene/188590", "188590")</f>
        <v>188590</v>
      </c>
      <c r="C16075" s="9"/>
      <c r="D16075" t="str">
        <f>"T19C4.1"</f>
        <v>T19C4.1</v>
      </c>
      <c r="F16075" t="s">
        <v>11</v>
      </c>
      <c r="G16075" t="s">
        <v>25</v>
      </c>
      <c r="H16075" s="12">
        <v>-1.1884076977990099</v>
      </c>
      <c r="I16075" s="20">
        <v>-0.51138774300921197</v>
      </c>
      <c r="J16075" s="28">
        <v>0.60907957586183503</v>
      </c>
      <c r="K16075" s="29">
        <v>0.98289565623980701</v>
      </c>
    </row>
    <row r="16076" spans="1:11" x14ac:dyDescent="0.35">
      <c r="A16076" s="9" t="str">
        <f>HYPERLINK("http://www.ensembl.org/id/WBGene00219420", "WBGene00219420")</f>
        <v>WBGene00219420</v>
      </c>
      <c r="B16076" s="9" t="str">
        <f>HYPERLINK("http://www.ncbi.nlm.nih.gov/gene/24104904", "24104904")</f>
        <v>24104904</v>
      </c>
      <c r="C16076" s="9"/>
      <c r="D16076" t="str">
        <f>"T19C4.24"</f>
        <v>T19C4.24</v>
      </c>
      <c r="F16076" t="s">
        <v>11</v>
      </c>
      <c r="H16076" s="12">
        <v>1.52688295675968</v>
      </c>
      <c r="I16076" s="20">
        <v>0.30741594344823397</v>
      </c>
      <c r="J16076" s="28">
        <v>0.75852679424443403</v>
      </c>
      <c r="K16076" s="29">
        <v>0.98289565623980701</v>
      </c>
    </row>
    <row r="16077" spans="1:11" x14ac:dyDescent="0.35">
      <c r="A16077" s="9" t="str">
        <f>HYPERLINK("http://www.ensembl.org/id/WBGene00014521", "WBGene00014521")</f>
        <v>WBGene00014521</v>
      </c>
      <c r="B16077" s="9"/>
      <c r="C16077" s="9"/>
      <c r="D16077" t="str">
        <f>"T19C4.t1"</f>
        <v>T19C4.t1</v>
      </c>
      <c r="F16077" t="s">
        <v>4208</v>
      </c>
      <c r="H16077" s="12">
        <v>-2.4295389261469</v>
      </c>
      <c r="I16077" s="20">
        <v>-0.25808529976640998</v>
      </c>
      <c r="J16077" s="28">
        <v>0.79634107645457397</v>
      </c>
      <c r="K16077" s="29">
        <v>0.98289565623980701</v>
      </c>
    </row>
    <row r="16078" spans="1:11" x14ac:dyDescent="0.35">
      <c r="A16078" s="9" t="str">
        <f>HYPERLINK("http://www.ensembl.org/id/WBGene00020576", "WBGene00020576")</f>
        <v>WBGene00020576</v>
      </c>
      <c r="B16078" s="9" t="str">
        <f>HYPERLINK("http://www.ncbi.nlm.nih.gov/gene/24104905", "24104905")</f>
        <v>24104905</v>
      </c>
      <c r="C16078" s="9"/>
      <c r="D16078" t="str">
        <f>"T19D12.1"</f>
        <v>T19D12.1</v>
      </c>
      <c r="F16078" t="s">
        <v>11</v>
      </c>
      <c r="G16078" t="s">
        <v>25</v>
      </c>
      <c r="H16078" s="12">
        <v>1.17576567059934</v>
      </c>
      <c r="I16078" s="20">
        <v>0.463362236193816</v>
      </c>
      <c r="J16078" s="28">
        <v>0.64310474250486505</v>
      </c>
      <c r="K16078" s="29">
        <v>0.98289565623980701</v>
      </c>
    </row>
    <row r="16079" spans="1:11" x14ac:dyDescent="0.35">
      <c r="A16079" s="9" t="str">
        <f>HYPERLINK("http://www.ensembl.org/id/WBGene00020577", "WBGene00020577")</f>
        <v>WBGene00020577</v>
      </c>
      <c r="B16079" s="9" t="str">
        <f>HYPERLINK("http://www.ncbi.nlm.nih.gov/gene/174099", "174099")</f>
        <v>174099</v>
      </c>
      <c r="C16079" s="9"/>
      <c r="D16079" t="str">
        <f>"T19D12.2"</f>
        <v>T19D12.2</v>
      </c>
      <c r="F16079" t="s">
        <v>11</v>
      </c>
      <c r="H16079" s="12">
        <v>-1.14147020849079</v>
      </c>
      <c r="I16079" s="20">
        <v>-0.60773906175447401</v>
      </c>
      <c r="J16079" s="28">
        <v>0.54336055144088402</v>
      </c>
      <c r="K16079" s="29">
        <v>0.98289565623980701</v>
      </c>
    </row>
    <row r="16080" spans="1:11" x14ac:dyDescent="0.35">
      <c r="A16080" s="9" t="str">
        <f>HYPERLINK("http://www.ensembl.org/id/WBGene00020578", "WBGene00020578")</f>
        <v>WBGene00020578</v>
      </c>
      <c r="B16080" s="9" t="str">
        <f>HYPERLINK("http://www.ncbi.nlm.nih.gov/gene/188607", "188607")</f>
        <v>188607</v>
      </c>
      <c r="C16080" s="9"/>
      <c r="D16080" t="str">
        <f>"T19D12.3"</f>
        <v>T19D12.3</v>
      </c>
      <c r="F16080" t="s">
        <v>11</v>
      </c>
      <c r="H16080" s="12">
        <v>-1.3127860378184899</v>
      </c>
      <c r="I16080" s="20">
        <v>-0.28728509625086601</v>
      </c>
      <c r="J16080" s="28">
        <v>0.77389403337418206</v>
      </c>
      <c r="K16080" s="29">
        <v>0.98289565623980701</v>
      </c>
    </row>
    <row r="16081" spans="1:11" x14ac:dyDescent="0.35">
      <c r="A16081" s="9" t="str">
        <f>HYPERLINK("http://www.ensembl.org/id/WBGene00020579", "WBGene00020579")</f>
        <v>WBGene00020579</v>
      </c>
      <c r="B16081" s="9" t="str">
        <f>HYPERLINK("http://www.ncbi.nlm.nih.gov/gene/174096", "174096")</f>
        <v>174096</v>
      </c>
      <c r="C16081" s="9"/>
      <c r="D16081" t="str">
        <f>"T19D12.4"</f>
        <v>T19D12.4</v>
      </c>
      <c r="F16081" t="s">
        <v>11</v>
      </c>
      <c r="G16081" t="s">
        <v>5067</v>
      </c>
      <c r="H16081" s="12">
        <v>1.24803326328863</v>
      </c>
      <c r="I16081" s="20">
        <v>0.93228192839264801</v>
      </c>
      <c r="J16081" s="28">
        <v>0.351190844567214</v>
      </c>
      <c r="K16081" s="29">
        <v>0.98289565623980701</v>
      </c>
    </row>
    <row r="16082" spans="1:11" x14ac:dyDescent="0.35">
      <c r="A16082" s="9" t="str">
        <f>HYPERLINK("http://www.ensembl.org/id/WBGene00020580", "WBGene00020580")</f>
        <v>WBGene00020580</v>
      </c>
      <c r="B16082" s="9" t="str">
        <f>HYPERLINK("http://www.ncbi.nlm.nih.gov/gene/188608", "188608")</f>
        <v>188608</v>
      </c>
      <c r="C16082" s="9"/>
      <c r="D16082" t="str">
        <f>"T19D12.5"</f>
        <v>T19D12.5</v>
      </c>
      <c r="F16082" t="s">
        <v>11</v>
      </c>
      <c r="G16082" t="s">
        <v>4089</v>
      </c>
      <c r="H16082" s="12">
        <v>-1.1378407263488299</v>
      </c>
      <c r="I16082" s="20">
        <v>-0.25582433540154498</v>
      </c>
      <c r="J16082" s="28">
        <v>0.79808648210255795</v>
      </c>
      <c r="K16082" s="29">
        <v>0.98289565623980701</v>
      </c>
    </row>
    <row r="16083" spans="1:11" x14ac:dyDescent="0.35">
      <c r="A16083" s="9" t="str">
        <f>HYPERLINK("http://www.ensembl.org/id/WBGene00020583", "WBGene00020583")</f>
        <v>WBGene00020583</v>
      </c>
      <c r="B16083" s="9" t="str">
        <f>HYPERLINK("http://www.ncbi.nlm.nih.gov/gene/174098", "174098")</f>
        <v>174098</v>
      </c>
      <c r="C16083" s="9"/>
      <c r="D16083" t="str">
        <f>"T19D12.9"</f>
        <v>T19D12.9</v>
      </c>
      <c r="F16083" t="s">
        <v>11</v>
      </c>
      <c r="G16083" t="s">
        <v>230</v>
      </c>
      <c r="H16083" s="12">
        <v>8.8964975156847093</v>
      </c>
      <c r="I16083" s="20">
        <v>0.93656606115315499</v>
      </c>
      <c r="J16083" s="28">
        <v>0.34898181658594901</v>
      </c>
      <c r="K16083" s="29">
        <v>0.98289565623980701</v>
      </c>
    </row>
    <row r="16084" spans="1:11" x14ac:dyDescent="0.35">
      <c r="A16084" s="9" t="str">
        <f>HYPERLINK("http://www.ensembl.org/id/WBGene00004184", "WBGene00004184")</f>
        <v>WBGene00004184</v>
      </c>
      <c r="B16084" s="9" t="str">
        <f>HYPERLINK("http://www.ncbi.nlm.nih.gov/gene/180677", "180677")</f>
        <v>180677</v>
      </c>
      <c r="C16084" s="9" t="str">
        <f>HYPERLINK("http://www.ncbi.nlm.nih.gov/gene/7803", "7803")</f>
        <v>7803</v>
      </c>
      <c r="D16084" t="str">
        <f>"T19D2.2"</f>
        <v>T19D2.2</v>
      </c>
      <c r="E16084" t="s">
        <v>8125</v>
      </c>
      <c r="F16084" t="s">
        <v>11</v>
      </c>
      <c r="G16084" t="s">
        <v>8126</v>
      </c>
      <c r="H16084" s="12">
        <v>-1.1614078483344199</v>
      </c>
      <c r="I16084" s="20">
        <v>-0.74764488612282698</v>
      </c>
      <c r="J16084" s="28">
        <v>0.45467438277740702</v>
      </c>
      <c r="K16084" s="29">
        <v>0.98289565623980701</v>
      </c>
    </row>
    <row r="16085" spans="1:11" x14ac:dyDescent="0.35">
      <c r="A16085" s="9" t="str">
        <f>HYPERLINK("http://www.ensembl.org/id/WBGene00020568", "WBGene00020568")</f>
        <v>WBGene00020568</v>
      </c>
      <c r="B16085" s="9" t="str">
        <f>HYPERLINK("http://www.ncbi.nlm.nih.gov/gene/180676", "180676")</f>
        <v>180676</v>
      </c>
      <c r="C16085" s="9"/>
      <c r="D16085" t="str">
        <f>"T19D2.3"</f>
        <v>T19D2.3</v>
      </c>
      <c r="F16085" t="s">
        <v>11</v>
      </c>
      <c r="G16085" t="s">
        <v>25</v>
      </c>
      <c r="H16085" s="12">
        <v>1.14538867504968</v>
      </c>
      <c r="I16085" s="20">
        <v>0.35618402857850601</v>
      </c>
      <c r="J16085" s="28">
        <v>0.72170275200799405</v>
      </c>
      <c r="K16085" s="29">
        <v>0.98289565623980701</v>
      </c>
    </row>
    <row r="16086" spans="1:11" x14ac:dyDescent="0.35">
      <c r="A16086" s="9" t="str">
        <f>HYPERLINK("http://www.ensembl.org/id/WBGene00195297", "WBGene00195297")</f>
        <v>WBGene00195297</v>
      </c>
      <c r="B16086" s="9"/>
      <c r="C16086" s="9"/>
      <c r="D16086" t="str">
        <f>"T19D2.5"</f>
        <v>T19D2.5</v>
      </c>
      <c r="F16086" t="s">
        <v>481</v>
      </c>
      <c r="H16086" s="12">
        <v>5.4058944669092801</v>
      </c>
      <c r="I16086" s="20">
        <v>0.49762513753689303</v>
      </c>
      <c r="J16086" s="28">
        <v>0.61874828254921799</v>
      </c>
      <c r="K16086" s="29">
        <v>0.98289565623980701</v>
      </c>
    </row>
    <row r="16087" spans="1:11" x14ac:dyDescent="0.35">
      <c r="A16087" s="9" t="str">
        <f>HYPERLINK("http://www.ensembl.org/id/WBGene00202352", "WBGene00202352")</f>
        <v>WBGene00202352</v>
      </c>
      <c r="B16087" s="9"/>
      <c r="C16087" s="9"/>
      <c r="D16087" t="str">
        <f>"T19D7.11"</f>
        <v>T19D7.11</v>
      </c>
      <c r="F16087" t="s">
        <v>481</v>
      </c>
      <c r="H16087" s="12">
        <v>4.4368407117627902</v>
      </c>
      <c r="I16087" s="20">
        <v>0.43709475933309699</v>
      </c>
      <c r="J16087" s="28">
        <v>0.66204262779770495</v>
      </c>
      <c r="K16087" s="29">
        <v>0.98289565623980701</v>
      </c>
    </row>
    <row r="16088" spans="1:11" x14ac:dyDescent="0.35">
      <c r="A16088" s="9" t="str">
        <f>HYPERLINK("http://www.ensembl.org/id/WBGene00020575", "WBGene00020575")</f>
        <v>WBGene00020575</v>
      </c>
      <c r="B16088" s="9" t="str">
        <f>HYPERLINK("http://www.ncbi.nlm.nih.gov/gene/24104907", "24104907")</f>
        <v>24104907</v>
      </c>
      <c r="C16088" s="9"/>
      <c r="D16088" t="str">
        <f>"T19D7.7"</f>
        <v>T19D7.7</v>
      </c>
      <c r="F16088" t="s">
        <v>11</v>
      </c>
      <c r="G16088" t="s">
        <v>5221</v>
      </c>
      <c r="H16088" s="12">
        <v>1.2136891579712401</v>
      </c>
      <c r="I16088" s="20">
        <v>0.33246179961191802</v>
      </c>
      <c r="J16088" s="28">
        <v>0.73954058025693803</v>
      </c>
      <c r="K16088" s="29">
        <v>0.98289565623980701</v>
      </c>
    </row>
    <row r="16089" spans="1:11" x14ac:dyDescent="0.35">
      <c r="A16089" s="9" t="str">
        <f>HYPERLINK("http://www.ensembl.org/id/WBGene00198300", "WBGene00198300")</f>
        <v>WBGene00198300</v>
      </c>
      <c r="B16089" s="9"/>
      <c r="C16089" s="9"/>
      <c r="D16089" t="str">
        <f>"T19E7.25"</f>
        <v>T19E7.25</v>
      </c>
      <c r="F16089" t="s">
        <v>481</v>
      </c>
      <c r="H16089" s="12">
        <v>3.6645215954135</v>
      </c>
      <c r="I16089" s="20">
        <v>0.37967131826092498</v>
      </c>
      <c r="J16089" s="28">
        <v>0.70418941338960395</v>
      </c>
      <c r="K16089" s="29">
        <v>0.98289565623980701</v>
      </c>
    </row>
    <row r="16090" spans="1:11" x14ac:dyDescent="0.35">
      <c r="A16090" s="9" t="str">
        <f>HYPERLINK("http://www.ensembl.org/id/WBGene00044500", "WBGene00044500")</f>
        <v>WBGene00044500</v>
      </c>
      <c r="B16090" s="9" t="str">
        <f>HYPERLINK("http://www.ncbi.nlm.nih.gov/gene/3896779", "3896779")</f>
        <v>3896779</v>
      </c>
      <c r="C16090" s="9"/>
      <c r="D16090" t="str">
        <f>"T19E7.6"</f>
        <v>T19E7.6</v>
      </c>
      <c r="F16090" t="s">
        <v>11</v>
      </c>
      <c r="H16090" s="12">
        <v>1.1361290263603701</v>
      </c>
      <c r="I16090" s="20">
        <v>0.68332655624179295</v>
      </c>
      <c r="J16090" s="28">
        <v>0.494400517082073</v>
      </c>
      <c r="K16090" s="29">
        <v>0.98289565623980701</v>
      </c>
    </row>
    <row r="16091" spans="1:11" x14ac:dyDescent="0.35">
      <c r="A16091" s="9" t="str">
        <f>HYPERLINK("http://www.ensembl.org/id/WBGene00044282", "WBGene00044282")</f>
        <v>WBGene00044282</v>
      </c>
      <c r="B16091" s="9" t="str">
        <f>HYPERLINK("http://www.ncbi.nlm.nih.gov/gene/3565072", "3565072")</f>
        <v>3565072</v>
      </c>
      <c r="C16091" s="9"/>
      <c r="D16091" t="str">
        <f>"T19H12.12"</f>
        <v>T19H12.12</v>
      </c>
      <c r="F16091" t="s">
        <v>11</v>
      </c>
      <c r="H16091" s="12">
        <v>-3.7261494131482999</v>
      </c>
      <c r="I16091" s="20">
        <v>-0.38454673129429601</v>
      </c>
      <c r="J16091" s="28">
        <v>0.70057326682554</v>
      </c>
      <c r="K16091" s="29">
        <v>0.98289565623980701</v>
      </c>
    </row>
    <row r="16092" spans="1:11" x14ac:dyDescent="0.35">
      <c r="A16092" s="9" t="str">
        <f>HYPERLINK("http://www.ensembl.org/id/WBGene00011849", "WBGene00011849")</f>
        <v>WBGene00011849</v>
      </c>
      <c r="B16092" s="9" t="str">
        <f>HYPERLINK("http://www.ncbi.nlm.nih.gov/gene/174503", "174503")</f>
        <v>174503</v>
      </c>
      <c r="C16092" s="9"/>
      <c r="D16092" t="str">
        <f>"T19H5.4"</f>
        <v>T19H5.4</v>
      </c>
      <c r="F16092" t="s">
        <v>11</v>
      </c>
      <c r="H16092" s="12">
        <v>-1.08129457797012</v>
      </c>
      <c r="I16092" s="20">
        <v>-0.43174805524978799</v>
      </c>
      <c r="J16092" s="28">
        <v>0.665924536682726</v>
      </c>
      <c r="K16092" s="29">
        <v>0.98289565623980701</v>
      </c>
    </row>
    <row r="16093" spans="1:11" x14ac:dyDescent="0.35">
      <c r="A16093" s="9" t="str">
        <f>HYPERLINK("http://www.ensembl.org/id/WBGene00198669", "WBGene00198669")</f>
        <v>WBGene00198669</v>
      </c>
      <c r="B16093" s="9"/>
      <c r="C16093" s="9"/>
      <c r="D16093" t="str">
        <f>"T20B12.11"</f>
        <v>T20B12.11</v>
      </c>
      <c r="F16093" t="s">
        <v>481</v>
      </c>
      <c r="H16093" s="12">
        <v>1.96917050030906</v>
      </c>
      <c r="I16093" s="20">
        <v>0.323668101232156</v>
      </c>
      <c r="J16093" s="28">
        <v>0.74618932341488198</v>
      </c>
      <c r="K16093" s="29">
        <v>0.98289565623980701</v>
      </c>
    </row>
    <row r="16094" spans="1:11" x14ac:dyDescent="0.35">
      <c r="A16094" s="9" t="str">
        <f>HYPERLINK("http://www.ensembl.org/id/WBGene00020603", "WBGene00020603")</f>
        <v>WBGene00020603</v>
      </c>
      <c r="B16094" s="9" t="str">
        <f>HYPERLINK("http://www.ncbi.nlm.nih.gov/gene/188632", "188632")</f>
        <v>188632</v>
      </c>
      <c r="C16094" s="9"/>
      <c r="D16094" t="str">
        <f>"T20B12.5"</f>
        <v>T20B12.5</v>
      </c>
      <c r="F16094" t="s">
        <v>11</v>
      </c>
      <c r="H16094" s="12">
        <v>3.6645215954135</v>
      </c>
      <c r="I16094" s="20">
        <v>0.37967131826092498</v>
      </c>
      <c r="J16094" s="28">
        <v>0.70418941338960395</v>
      </c>
      <c r="K16094" s="29">
        <v>0.98289565623980701</v>
      </c>
    </row>
    <row r="16095" spans="1:11" x14ac:dyDescent="0.35">
      <c r="A16095" s="9" t="str">
        <f>HYPERLINK("http://www.ensembl.org/id/WBGene00020604", "WBGene00020604")</f>
        <v>WBGene00020604</v>
      </c>
      <c r="B16095" s="9" t="str">
        <f>HYPERLINK("http://www.ncbi.nlm.nih.gov/gene/176051", "176051")</f>
        <v>176051</v>
      </c>
      <c r="C16095" s="9"/>
      <c r="D16095" t="str">
        <f>"T20B12.7"</f>
        <v>T20B12.7</v>
      </c>
      <c r="E16095" t="s">
        <v>9016</v>
      </c>
      <c r="F16095" t="s">
        <v>11</v>
      </c>
      <c r="G16095" t="s">
        <v>9017</v>
      </c>
      <c r="H16095" s="12">
        <v>-1.2148191034101901</v>
      </c>
      <c r="I16095" s="20">
        <v>-1.0342321220067301</v>
      </c>
      <c r="J16095" s="28">
        <v>0.30102766067438003</v>
      </c>
      <c r="K16095" s="29">
        <v>0.98289565623980701</v>
      </c>
    </row>
    <row r="16096" spans="1:11" x14ac:dyDescent="0.35">
      <c r="A16096" s="9" t="str">
        <f>HYPERLINK("http://www.ensembl.org/id/WBGene00011854", "WBGene00011854")</f>
        <v>WBGene00011854</v>
      </c>
      <c r="B16096" s="9" t="str">
        <f>HYPERLINK("http://www.ncbi.nlm.nih.gov/gene/259674", "259674")</f>
        <v>259674</v>
      </c>
      <c r="C16096" s="9"/>
      <c r="D16096" t="str">
        <f>"T20B3.14"</f>
        <v>T20B3.14</v>
      </c>
      <c r="F16096" t="s">
        <v>11</v>
      </c>
      <c r="H16096" s="12">
        <v>-1.0784182361138299</v>
      </c>
      <c r="I16096" s="20">
        <v>-0.31749397462561002</v>
      </c>
      <c r="J16096" s="28">
        <v>0.75086881071934697</v>
      </c>
      <c r="K16096" s="29">
        <v>0.98289565623980701</v>
      </c>
    </row>
    <row r="16097" spans="1:11" x14ac:dyDescent="0.35">
      <c r="A16097" s="9" t="str">
        <f>HYPERLINK("http://www.ensembl.org/id/WBGene00020598", "WBGene00020598")</f>
        <v>WBGene00020598</v>
      </c>
      <c r="B16097" s="9" t="str">
        <f>HYPERLINK("http://www.ncbi.nlm.nih.gov/gene/188629", "188629")</f>
        <v>188629</v>
      </c>
      <c r="C16097" s="9"/>
      <c r="D16097" t="str">
        <f>"T20B6.2"</f>
        <v>T20B6.2</v>
      </c>
      <c r="F16097" t="s">
        <v>11</v>
      </c>
      <c r="H16097" s="12">
        <v>2.3893468495514898</v>
      </c>
      <c r="I16097" s="20">
        <v>0.25323547253672701</v>
      </c>
      <c r="J16097" s="28">
        <v>0.80008625651646104</v>
      </c>
      <c r="K16097" s="29">
        <v>0.98289565623980701</v>
      </c>
    </row>
    <row r="16098" spans="1:11" x14ac:dyDescent="0.35">
      <c r="A16098" s="9" t="str">
        <f>HYPERLINK("http://www.ensembl.org/id/WBGene00303026", "WBGene00303026")</f>
        <v>WBGene00303026</v>
      </c>
      <c r="B16098" s="9" t="str">
        <f>HYPERLINK("http://www.ncbi.nlm.nih.gov/gene/36805044", "36805044")</f>
        <v>36805044</v>
      </c>
      <c r="C16098" s="9"/>
      <c r="D16098" t="str">
        <f>"T20D3.14"</f>
        <v>T20D3.14</v>
      </c>
      <c r="F16098" t="s">
        <v>11</v>
      </c>
      <c r="G16098" t="s">
        <v>9854</v>
      </c>
      <c r="H16098" s="12">
        <v>-1.33158964429636</v>
      </c>
      <c r="I16098" s="20">
        <v>-0.97876951313099403</v>
      </c>
      <c r="J16098" s="28">
        <v>0.327693876543663</v>
      </c>
      <c r="K16098" s="29">
        <v>0.98289565623980701</v>
      </c>
    </row>
    <row r="16099" spans="1:11" x14ac:dyDescent="0.35">
      <c r="A16099" s="9" t="str">
        <f>HYPERLINK("http://www.ensembl.org/id/WBGene00011856", "WBGene00011856")</f>
        <v>WBGene00011856</v>
      </c>
      <c r="B16099" s="9" t="str">
        <f>HYPERLINK("http://www.ncbi.nlm.nih.gov/gene/177760", "177760")</f>
        <v>177760</v>
      </c>
      <c r="C16099" s="9"/>
      <c r="D16099" t="str">
        <f>"T20D3.2"</f>
        <v>T20D3.2</v>
      </c>
      <c r="F16099" t="s">
        <v>11</v>
      </c>
      <c r="H16099" s="12">
        <v>-1.1494076989649</v>
      </c>
      <c r="I16099" s="20">
        <v>-0.76103498587681095</v>
      </c>
      <c r="J16099" s="28">
        <v>0.446636170798557</v>
      </c>
      <c r="K16099" s="29">
        <v>0.98289565623980701</v>
      </c>
    </row>
    <row r="16100" spans="1:11" x14ac:dyDescent="0.35">
      <c r="A16100" s="9" t="str">
        <f>HYPERLINK("http://www.ensembl.org/id/WBGene00011859", "WBGene00011859")</f>
        <v>WBGene00011859</v>
      </c>
      <c r="B16100" s="9" t="str">
        <f>HYPERLINK("http://www.ncbi.nlm.nih.gov/gene/177762", "177762")</f>
        <v>177762</v>
      </c>
      <c r="C16100" s="9"/>
      <c r="D16100" t="str">
        <f>"T20D3.6"</f>
        <v>T20D3.6</v>
      </c>
      <c r="F16100" t="s">
        <v>11</v>
      </c>
      <c r="G16100" t="s">
        <v>6794</v>
      </c>
      <c r="H16100" s="12">
        <v>-1.0892815828878499</v>
      </c>
      <c r="I16100" s="20">
        <v>-0.42862975742921799</v>
      </c>
      <c r="J16100" s="28">
        <v>0.66819268629935802</v>
      </c>
      <c r="K16100" s="29">
        <v>0.98289565623980701</v>
      </c>
    </row>
    <row r="16101" spans="1:11" x14ac:dyDescent="0.35">
      <c r="A16101" s="9" t="str">
        <f>HYPERLINK("http://www.ensembl.org/id/WBGene00020616", "WBGene00020616")</f>
        <v>WBGene00020616</v>
      </c>
      <c r="B16101" s="9" t="str">
        <f>HYPERLINK("http://www.ncbi.nlm.nih.gov/gene/188646", "188646")</f>
        <v>188646</v>
      </c>
      <c r="C16101" s="9"/>
      <c r="D16101" t="str">
        <f>"T20D4.10"</f>
        <v>T20D4.10</v>
      </c>
      <c r="F16101" t="s">
        <v>11</v>
      </c>
      <c r="H16101" s="12">
        <v>-1.5423289009450101</v>
      </c>
      <c r="I16101" s="20">
        <v>-0.51564851077639295</v>
      </c>
      <c r="J16101" s="28">
        <v>0.606099922333321</v>
      </c>
      <c r="K16101" s="29">
        <v>0.98289565623980701</v>
      </c>
    </row>
    <row r="16102" spans="1:11" x14ac:dyDescent="0.35">
      <c r="A16102" s="9" t="str">
        <f>HYPERLINK("http://www.ensembl.org/id/WBGene00020617", "WBGene00020617")</f>
        <v>WBGene00020617</v>
      </c>
      <c r="B16102" s="9" t="str">
        <f>HYPERLINK("http://www.ncbi.nlm.nih.gov/gene/188647", "188647")</f>
        <v>188647</v>
      </c>
      <c r="C16102" s="9"/>
      <c r="D16102" t="str">
        <f>"T20D4.11"</f>
        <v>T20D4.11</v>
      </c>
      <c r="F16102" t="s">
        <v>11</v>
      </c>
      <c r="H16102" s="12">
        <v>-1.27254878702542</v>
      </c>
      <c r="I16102" s="20">
        <v>-0.728261685381556</v>
      </c>
      <c r="J16102" s="28">
        <v>0.46645341171461002</v>
      </c>
      <c r="K16102" s="29">
        <v>0.98289565623980701</v>
      </c>
    </row>
    <row r="16103" spans="1:11" x14ac:dyDescent="0.35">
      <c r="A16103" s="9" t="str">
        <f>HYPERLINK("http://www.ensembl.org/id/WBGene00020618", "WBGene00020618")</f>
        <v>WBGene00020618</v>
      </c>
      <c r="B16103" s="9" t="str">
        <f>HYPERLINK("http://www.ncbi.nlm.nih.gov/gene/188648", "188648")</f>
        <v>188648</v>
      </c>
      <c r="C16103" s="9"/>
      <c r="D16103" t="str">
        <f>"T20D4.12"</f>
        <v>T20D4.12</v>
      </c>
      <c r="F16103" t="s">
        <v>11</v>
      </c>
      <c r="H16103" s="12">
        <v>-1.32748049672969</v>
      </c>
      <c r="I16103" s="20">
        <v>-0.31408481565267998</v>
      </c>
      <c r="J16103" s="28">
        <v>0.75345662177396799</v>
      </c>
      <c r="K16103" s="29">
        <v>0.98289565623980701</v>
      </c>
    </row>
    <row r="16104" spans="1:11" x14ac:dyDescent="0.35">
      <c r="A16104" s="9" t="str">
        <f>HYPERLINK("http://www.ensembl.org/id/WBGene00020619", "WBGene00020619")</f>
        <v>WBGene00020619</v>
      </c>
      <c r="B16104" s="9"/>
      <c r="C16104" s="9"/>
      <c r="D16104" t="str">
        <f>"T20D4.13"</f>
        <v>T20D4.13</v>
      </c>
      <c r="F16104" t="s">
        <v>80</v>
      </c>
      <c r="H16104" s="12">
        <v>1.4371052968570199</v>
      </c>
      <c r="I16104" s="20">
        <v>0.29122716857793601</v>
      </c>
      <c r="J16104" s="28">
        <v>0.77087758514762095</v>
      </c>
      <c r="K16104" s="29">
        <v>0.98289565623980701</v>
      </c>
    </row>
    <row r="16105" spans="1:11" x14ac:dyDescent="0.35">
      <c r="A16105" s="9" t="str">
        <f>HYPERLINK("http://www.ensembl.org/id/WBGene00020620", "WBGene00020620")</f>
        <v>WBGene00020620</v>
      </c>
      <c r="B16105" s="9" t="str">
        <f>HYPERLINK("http://www.ncbi.nlm.nih.gov/gene/188650", "188650")</f>
        <v>188650</v>
      </c>
      <c r="C16105" s="9"/>
      <c r="D16105" t="str">
        <f>"T20D4.15"</f>
        <v>T20D4.15</v>
      </c>
      <c r="F16105" t="s">
        <v>11</v>
      </c>
      <c r="H16105" s="12">
        <v>2.29391740818278</v>
      </c>
      <c r="I16105" s="20">
        <v>0.59956683275071398</v>
      </c>
      <c r="J16105" s="28">
        <v>0.54879495697815805</v>
      </c>
      <c r="K16105" s="29">
        <v>0.98289565623980701</v>
      </c>
    </row>
    <row r="16106" spans="1:11" x14ac:dyDescent="0.35">
      <c r="A16106" s="9" t="str">
        <f>HYPERLINK("http://www.ensembl.org/id/WBGene00020624", "WBGene00020624")</f>
        <v>WBGene00020624</v>
      </c>
      <c r="B16106" s="9" t="str">
        <f>HYPERLINK("http://www.ncbi.nlm.nih.gov/gene/188654", "188654")</f>
        <v>188654</v>
      </c>
      <c r="C16106" s="9"/>
      <c r="D16106" t="str">
        <f>"T20D4.19"</f>
        <v>T20D4.19</v>
      </c>
      <c r="F16106" t="s">
        <v>11</v>
      </c>
      <c r="H16106" s="12">
        <v>2.1189946141887099</v>
      </c>
      <c r="I16106" s="20">
        <v>1.1087297930340401</v>
      </c>
      <c r="J16106" s="28">
        <v>0.26754676530004701</v>
      </c>
      <c r="K16106" s="29">
        <v>0.98289565623980701</v>
      </c>
    </row>
    <row r="16107" spans="1:11" x14ac:dyDescent="0.35">
      <c r="A16107" s="9" t="str">
        <f>HYPERLINK("http://www.ensembl.org/id/WBGene00044718", "WBGene00044718")</f>
        <v>WBGene00044718</v>
      </c>
      <c r="B16107" s="9"/>
      <c r="C16107" s="9"/>
      <c r="D16107" t="str">
        <f>"T20D4.20"</f>
        <v>T20D4.20</v>
      </c>
      <c r="F16107" t="s">
        <v>80</v>
      </c>
      <c r="H16107" s="12">
        <v>-1.9785616567189901</v>
      </c>
      <c r="I16107" s="20">
        <v>-0.35665433950923398</v>
      </c>
      <c r="J16107" s="28">
        <v>0.72135059210136299</v>
      </c>
      <c r="K16107" s="29">
        <v>0.98289565623980701</v>
      </c>
    </row>
    <row r="16108" spans="1:11" x14ac:dyDescent="0.35">
      <c r="A16108" s="9" t="str">
        <f>HYPERLINK("http://www.ensembl.org/id/WBGene00020614", "WBGene00020614")</f>
        <v>WBGene00020614</v>
      </c>
      <c r="B16108" s="9"/>
      <c r="C16108" s="9"/>
      <c r="D16108" t="str">
        <f>"T20D4.8"</f>
        <v>T20D4.8</v>
      </c>
      <c r="F16108" t="s">
        <v>80</v>
      </c>
      <c r="H16108" s="12">
        <v>-5.3130930583987404</v>
      </c>
      <c r="I16108" s="20">
        <v>-0.82848560413746197</v>
      </c>
      <c r="J16108" s="28">
        <v>0.407395544376008</v>
      </c>
      <c r="K16108" s="29">
        <v>0.98289565623980701</v>
      </c>
    </row>
    <row r="16109" spans="1:11" x14ac:dyDescent="0.35">
      <c r="A16109" s="9" t="str">
        <f>HYPERLINK("http://www.ensembl.org/id/WBGene00020615", "WBGene00020615")</f>
        <v>WBGene00020615</v>
      </c>
      <c r="B16109" s="9"/>
      <c r="C16109" s="9"/>
      <c r="D16109" t="str">
        <f>"T20D4.9"</f>
        <v>T20D4.9</v>
      </c>
      <c r="F16109" t="s">
        <v>80</v>
      </c>
      <c r="H16109" s="12">
        <v>2.3203248034327899</v>
      </c>
      <c r="I16109" s="20">
        <v>1.0303036276899999</v>
      </c>
      <c r="J16109" s="28">
        <v>0.30286749666802398</v>
      </c>
      <c r="K16109" s="29">
        <v>0.98289565623980701</v>
      </c>
    </row>
    <row r="16110" spans="1:11" x14ac:dyDescent="0.35">
      <c r="A16110" s="9" t="str">
        <f>HYPERLINK("http://www.ensembl.org/id/WBGene00011864", "WBGene00011864")</f>
        <v>WBGene00011864</v>
      </c>
      <c r="B16110" s="9" t="str">
        <f>HYPERLINK("http://www.ncbi.nlm.nih.gov/gene/172897", "172897")</f>
        <v>172897</v>
      </c>
      <c r="C16110" s="9"/>
      <c r="D16110" t="str">
        <f>"T20F10.2"</f>
        <v>T20F10.2</v>
      </c>
      <c r="F16110" t="s">
        <v>11</v>
      </c>
      <c r="G16110" t="s">
        <v>25</v>
      </c>
      <c r="H16110" s="12">
        <v>-1.05920442993785</v>
      </c>
      <c r="I16110" s="20">
        <v>-0.29639557690486501</v>
      </c>
      <c r="J16110" s="28">
        <v>0.76692800278227802</v>
      </c>
      <c r="K16110" s="29">
        <v>0.98289565623980701</v>
      </c>
    </row>
    <row r="16111" spans="1:11" x14ac:dyDescent="0.35">
      <c r="A16111" s="9" t="str">
        <f>HYPERLINK("http://www.ensembl.org/id/WBGene00077765", "WBGene00077765")</f>
        <v>WBGene00077765</v>
      </c>
      <c r="B16111" s="9"/>
      <c r="C16111" s="9"/>
      <c r="D16111" t="str">
        <f>"T20F10.8"</f>
        <v>T20F10.8</v>
      </c>
      <c r="F16111" t="s">
        <v>80</v>
      </c>
      <c r="H16111" s="12">
        <v>-3.32367859050124</v>
      </c>
      <c r="I16111" s="20">
        <v>-0.91356703777062498</v>
      </c>
      <c r="J16111" s="28">
        <v>0.36094439319424598</v>
      </c>
      <c r="K16111" s="29">
        <v>0.98289565623980701</v>
      </c>
    </row>
    <row r="16112" spans="1:11" x14ac:dyDescent="0.35">
      <c r="A16112" s="9" t="str">
        <f>HYPERLINK("http://www.ensembl.org/id/WBGene00020628", "WBGene00020628")</f>
        <v>WBGene00020628</v>
      </c>
      <c r="B16112" s="9" t="str">
        <f>HYPERLINK("http://www.ncbi.nlm.nih.gov/gene/171978", "171978")</f>
        <v>171978</v>
      </c>
      <c r="C16112" s="9"/>
      <c r="D16112" t="str">
        <f>"T20F5.6"</f>
        <v>T20F5.6</v>
      </c>
      <c r="F16112" t="s">
        <v>11</v>
      </c>
      <c r="G16112" t="s">
        <v>51</v>
      </c>
      <c r="H16112" s="12">
        <v>-1.1866399136111301</v>
      </c>
      <c r="I16112" s="20">
        <v>-0.88604705845252896</v>
      </c>
      <c r="J16112" s="28">
        <v>0.37559216955896102</v>
      </c>
      <c r="K16112" s="29">
        <v>0.98289565623980701</v>
      </c>
    </row>
    <row r="16113" spans="1:11" x14ac:dyDescent="0.35">
      <c r="A16113" s="9" t="str">
        <f>HYPERLINK("http://www.ensembl.org/id/WBGene00020629", "WBGene00020629")</f>
        <v>WBGene00020629</v>
      </c>
      <c r="B16113" s="9" t="str">
        <f>HYPERLINK("http://www.ncbi.nlm.nih.gov/gene/171979", "171979")</f>
        <v>171979</v>
      </c>
      <c r="C16113" s="9"/>
      <c r="D16113" t="str">
        <f>"T20F5.7"</f>
        <v>T20F5.7</v>
      </c>
      <c r="F16113" t="s">
        <v>11</v>
      </c>
      <c r="G16113" t="s">
        <v>51</v>
      </c>
      <c r="H16113" s="12">
        <v>-1.17164007194224</v>
      </c>
      <c r="I16113" s="20">
        <v>-0.76010256219899597</v>
      </c>
      <c r="J16113" s="28">
        <v>0.447193281242251</v>
      </c>
      <c r="K16113" s="29">
        <v>0.98289565623980701</v>
      </c>
    </row>
    <row r="16114" spans="1:11" x14ac:dyDescent="0.35">
      <c r="A16114" s="9" t="str">
        <f>HYPERLINK("http://www.ensembl.org/id/WBGene00020631", "WBGene00020631")</f>
        <v>WBGene00020631</v>
      </c>
      <c r="B16114" s="9" t="str">
        <f>HYPERLINK("http://www.ncbi.nlm.nih.gov/gene/188657", "188657")</f>
        <v>188657</v>
      </c>
      <c r="C16114" s="9"/>
      <c r="D16114" t="str">
        <f>"T20F7.3"</f>
        <v>T20F7.3</v>
      </c>
      <c r="E16114" t="s">
        <v>4005</v>
      </c>
      <c r="F16114" t="s">
        <v>11</v>
      </c>
      <c r="G16114" t="s">
        <v>4006</v>
      </c>
      <c r="H16114" s="12">
        <v>-1.81975699150339</v>
      </c>
      <c r="I16114" s="20">
        <v>-0.62388608096764397</v>
      </c>
      <c r="J16114" s="28">
        <v>0.53270240199432295</v>
      </c>
      <c r="K16114" s="29">
        <v>0.98289565623980701</v>
      </c>
    </row>
    <row r="16115" spans="1:11" x14ac:dyDescent="0.35">
      <c r="A16115" s="9" t="str">
        <f>HYPERLINK("http://www.ensembl.org/id/WBGene00020632", "WBGene00020632")</f>
        <v>WBGene00020632</v>
      </c>
      <c r="B16115" s="9"/>
      <c r="C16115" s="9"/>
      <c r="D16115" t="str">
        <f>"T20F7.5"</f>
        <v>T20F7.5</v>
      </c>
      <c r="F16115" t="s">
        <v>80</v>
      </c>
      <c r="H16115" s="12">
        <v>-1.2629159588160701</v>
      </c>
      <c r="I16115" s="20">
        <v>-1.0254116243659701</v>
      </c>
      <c r="J16115" s="28">
        <v>0.30516900556799698</v>
      </c>
      <c r="K16115" s="29">
        <v>0.98289565623980701</v>
      </c>
    </row>
    <row r="16116" spans="1:11" x14ac:dyDescent="0.35">
      <c r="A16116" s="9" t="str">
        <f>HYPERLINK("http://www.ensembl.org/id/WBGene00011873", "WBGene00011873")</f>
        <v>WBGene00011873</v>
      </c>
      <c r="B16116" s="9" t="str">
        <f>HYPERLINK("http://www.ncbi.nlm.nih.gov/gene/188662", "188662")</f>
        <v>188662</v>
      </c>
      <c r="C16116" s="9"/>
      <c r="D16116" t="str">
        <f>"T20G5.12"</f>
        <v>T20G5.12</v>
      </c>
      <c r="F16116" t="s">
        <v>11</v>
      </c>
      <c r="H16116" s="12">
        <v>1.68746038715196</v>
      </c>
      <c r="I16116" s="20">
        <v>0.323416606816185</v>
      </c>
      <c r="J16116" s="28">
        <v>0.74637975435389403</v>
      </c>
      <c r="K16116" s="29">
        <v>0.98289565623980701</v>
      </c>
    </row>
    <row r="16117" spans="1:11" x14ac:dyDescent="0.35">
      <c r="A16117" s="9" t="str">
        <f>HYPERLINK("http://www.ensembl.org/id/WBGene00011874", "WBGene00011874")</f>
        <v>WBGene00011874</v>
      </c>
      <c r="B16117" s="9" t="str">
        <f>HYPERLINK("http://www.ncbi.nlm.nih.gov/gene/260150", "260150")</f>
        <v>260150</v>
      </c>
      <c r="C16117" s="9"/>
      <c r="D16117" t="str">
        <f>"T20G5.13"</f>
        <v>T20G5.13</v>
      </c>
      <c r="F16117" t="s">
        <v>11</v>
      </c>
      <c r="H16117" s="12">
        <v>7.5833230179679196</v>
      </c>
      <c r="I16117" s="20">
        <v>1.1821242927179501</v>
      </c>
      <c r="J16117" s="28">
        <v>0.23715638663209701</v>
      </c>
      <c r="K16117" s="29">
        <v>0.98289565623980701</v>
      </c>
    </row>
    <row r="16118" spans="1:11" x14ac:dyDescent="0.35">
      <c r="A16118" s="9" t="str">
        <f>HYPERLINK("http://www.ensembl.org/id/WBGene00194683", "WBGene00194683")</f>
        <v>WBGene00194683</v>
      </c>
      <c r="B16118" s="9"/>
      <c r="C16118" s="9"/>
      <c r="D16118" t="str">
        <f>"T20G5.15"</f>
        <v>T20G5.15</v>
      </c>
      <c r="F16118" t="s">
        <v>80</v>
      </c>
      <c r="H16118" s="12">
        <v>1.5677743493274701</v>
      </c>
      <c r="I16118" s="20">
        <v>0.66113135025807901</v>
      </c>
      <c r="J16118" s="28">
        <v>0.50852808179147602</v>
      </c>
      <c r="K16118" s="29">
        <v>0.98289565623980701</v>
      </c>
    </row>
    <row r="16119" spans="1:11" x14ac:dyDescent="0.35">
      <c r="A16119" s="9" t="str">
        <f>HYPERLINK("http://www.ensembl.org/id/WBGene00202069", "WBGene00202069")</f>
        <v>WBGene00202069</v>
      </c>
      <c r="B16119" s="9"/>
      <c r="C16119" s="9"/>
      <c r="D16119" t="str">
        <f>"T20G5.17"</f>
        <v>T20G5.17</v>
      </c>
      <c r="F16119" t="s">
        <v>481</v>
      </c>
      <c r="H16119" s="12">
        <v>7.6616465944663696</v>
      </c>
      <c r="I16119" s="20">
        <v>0.60406875593600395</v>
      </c>
      <c r="J16119" s="28">
        <v>0.54579793098927099</v>
      </c>
      <c r="K16119" s="29">
        <v>0.98289565623980701</v>
      </c>
    </row>
    <row r="16120" spans="1:11" x14ac:dyDescent="0.35">
      <c r="A16120" s="9" t="str">
        <f>HYPERLINK("http://www.ensembl.org/id/WBGene00020635", "WBGene00020635")</f>
        <v>WBGene00020635</v>
      </c>
      <c r="B16120" s="9" t="str">
        <f>HYPERLINK("http://www.ncbi.nlm.nih.gov/gene/188663", "188663")</f>
        <v>188663</v>
      </c>
      <c r="C16120" s="9"/>
      <c r="D16120" t="str">
        <f>"T20H4.2"</f>
        <v>T20H4.2</v>
      </c>
      <c r="F16120" t="s">
        <v>11</v>
      </c>
      <c r="H16120" s="12">
        <v>1.18770084706074</v>
      </c>
      <c r="I16120" s="20">
        <v>0.33567774704789699</v>
      </c>
      <c r="J16120" s="28">
        <v>0.737113888374888</v>
      </c>
      <c r="K16120" s="29">
        <v>0.98289565623980701</v>
      </c>
    </row>
    <row r="16121" spans="1:11" x14ac:dyDescent="0.35">
      <c r="A16121" s="9" t="str">
        <f>HYPERLINK("http://www.ensembl.org/id/WBGene00020642", "WBGene00020642")</f>
        <v>WBGene00020642</v>
      </c>
      <c r="B16121" s="9" t="str">
        <f>HYPERLINK("http://www.ncbi.nlm.nih.gov/gene/188669", "188669")</f>
        <v>188669</v>
      </c>
      <c r="C16121" s="9"/>
      <c r="D16121" t="str">
        <f>"T20H9.6"</f>
        <v>T20H9.6</v>
      </c>
      <c r="F16121" t="s">
        <v>11</v>
      </c>
      <c r="H16121" s="12">
        <v>21.6196162908216</v>
      </c>
      <c r="I16121" s="20">
        <v>1.17423555928443</v>
      </c>
      <c r="J16121" s="28">
        <v>0.240300686596679</v>
      </c>
      <c r="K16121" s="29">
        <v>0.98289565623980701</v>
      </c>
    </row>
    <row r="16122" spans="1:11" x14ac:dyDescent="0.35">
      <c r="A16122" s="9" t="str">
        <f>HYPERLINK("http://www.ensembl.org/id/WBGene00199095", "WBGene00199095")</f>
        <v>WBGene00199095</v>
      </c>
      <c r="B16122" s="9"/>
      <c r="C16122" s="9"/>
      <c r="D16122" t="str">
        <f>"T21B10.11"</f>
        <v>T21B10.11</v>
      </c>
      <c r="F16122" t="s">
        <v>481</v>
      </c>
      <c r="H16122" s="12">
        <v>3.6645215954135</v>
      </c>
      <c r="I16122" s="20">
        <v>0.37967131826092498</v>
      </c>
      <c r="J16122" s="28">
        <v>0.70418941338960395</v>
      </c>
      <c r="K16122" s="29">
        <v>0.98289565623980701</v>
      </c>
    </row>
    <row r="16123" spans="1:11" x14ac:dyDescent="0.35">
      <c r="A16123" s="9" t="str">
        <f>HYPERLINK("http://www.ensembl.org/id/WBGene00200500", "WBGene00200500")</f>
        <v>WBGene00200500</v>
      </c>
      <c r="B16123" s="9"/>
      <c r="C16123" s="9"/>
      <c r="D16123" t="str">
        <f>"T21B10.12"</f>
        <v>T21B10.12</v>
      </c>
      <c r="F16123" t="s">
        <v>481</v>
      </c>
      <c r="H16123" s="12">
        <v>-2.4295389261469</v>
      </c>
      <c r="I16123" s="20">
        <v>-0.25808529976640998</v>
      </c>
      <c r="J16123" s="28">
        <v>0.79634107645457397</v>
      </c>
      <c r="K16123" s="29">
        <v>0.98289565623980701</v>
      </c>
    </row>
    <row r="16124" spans="1:11" x14ac:dyDescent="0.35">
      <c r="A16124" s="9" t="str">
        <f>HYPERLINK("http://www.ensembl.org/id/WBGene00196374", "WBGene00196374")</f>
        <v>WBGene00196374</v>
      </c>
      <c r="B16124" s="9"/>
      <c r="C16124" s="9"/>
      <c r="D16124" t="str">
        <f>"T21B10.8"</f>
        <v>T21B10.8</v>
      </c>
      <c r="F16124" t="s">
        <v>481</v>
      </c>
      <c r="H16124" s="12">
        <v>2.3893468495514898</v>
      </c>
      <c r="I16124" s="20">
        <v>0.25323547253672701</v>
      </c>
      <c r="J16124" s="28">
        <v>0.80008625651646104</v>
      </c>
      <c r="K16124" s="29">
        <v>0.98289565623980701</v>
      </c>
    </row>
    <row r="16125" spans="1:11" x14ac:dyDescent="0.35">
      <c r="A16125" s="9" t="str">
        <f>HYPERLINK("http://www.ensembl.org/id/WBGene00043054", "WBGene00043054")</f>
        <v>WBGene00043054</v>
      </c>
      <c r="B16125" s="9" t="str">
        <f>HYPERLINK("http://www.ncbi.nlm.nih.gov/gene/3565320", "3565320")</f>
        <v>3565320</v>
      </c>
      <c r="C16125" s="9"/>
      <c r="D16125" t="str">
        <f>"T21B4.15"</f>
        <v>T21B4.15</v>
      </c>
      <c r="F16125" t="s">
        <v>11</v>
      </c>
      <c r="H16125" s="12">
        <v>1.47374504721971</v>
      </c>
      <c r="I16125" s="20">
        <v>0.79817069789409201</v>
      </c>
      <c r="J16125" s="28">
        <v>0.424771439215123</v>
      </c>
      <c r="K16125" s="29">
        <v>0.98289565623980701</v>
      </c>
    </row>
    <row r="16126" spans="1:11" x14ac:dyDescent="0.35">
      <c r="A16126" s="9" t="str">
        <f>HYPERLINK("http://www.ensembl.org/id/WBGene00011877", "WBGene00011877")</f>
        <v>WBGene00011877</v>
      </c>
      <c r="B16126" s="9" t="str">
        <f>HYPERLINK("http://www.ncbi.nlm.nih.gov/gene/188673", "188673")</f>
        <v>188673</v>
      </c>
      <c r="C16126" s="9"/>
      <c r="D16126" t="str">
        <f>"T21B4.3"</f>
        <v>T21B4.3</v>
      </c>
      <c r="F16126" t="s">
        <v>11</v>
      </c>
      <c r="H16126" s="12">
        <v>2.37821899903392</v>
      </c>
      <c r="I16126" s="20">
        <v>0.54220484352863696</v>
      </c>
      <c r="J16126" s="28">
        <v>0.58767739901401095</v>
      </c>
      <c r="K16126" s="29">
        <v>0.98289565623980701</v>
      </c>
    </row>
    <row r="16127" spans="1:11" x14ac:dyDescent="0.35">
      <c r="A16127" s="9" t="str">
        <f>HYPERLINK("http://www.ensembl.org/id/WBGene00197522", "WBGene00197522")</f>
        <v>WBGene00197522</v>
      </c>
      <c r="B16127" s="9"/>
      <c r="C16127" s="9"/>
      <c r="D16127" t="str">
        <f>"T21B6.10"</f>
        <v>T21B6.10</v>
      </c>
      <c r="F16127" t="s">
        <v>481</v>
      </c>
      <c r="H16127" s="12">
        <v>2.3893468495514898</v>
      </c>
      <c r="I16127" s="20">
        <v>0.25323547253672701</v>
      </c>
      <c r="J16127" s="28">
        <v>0.80008625651646104</v>
      </c>
      <c r="K16127" s="29">
        <v>0.98289565623980701</v>
      </c>
    </row>
    <row r="16128" spans="1:11" x14ac:dyDescent="0.35">
      <c r="A16128" s="9" t="str">
        <f>HYPERLINK("http://www.ensembl.org/id/WBGene00199608", "WBGene00199608")</f>
        <v>WBGene00199608</v>
      </c>
      <c r="B16128" s="9"/>
      <c r="C16128" s="9"/>
      <c r="D16128" t="str">
        <f>"T21B6.12"</f>
        <v>T21B6.12</v>
      </c>
      <c r="F16128" t="s">
        <v>481</v>
      </c>
      <c r="H16128" s="12">
        <v>-2.4295389261469</v>
      </c>
      <c r="I16128" s="20">
        <v>-0.25808529976640998</v>
      </c>
      <c r="J16128" s="28">
        <v>0.79634107645457397</v>
      </c>
      <c r="K16128" s="29">
        <v>0.98289565623980701</v>
      </c>
    </row>
    <row r="16129" spans="1:11" x14ac:dyDescent="0.35">
      <c r="A16129" s="9" t="str">
        <f>HYPERLINK("http://www.ensembl.org/id/WBGene00011880", "WBGene00011880")</f>
        <v>WBGene00011880</v>
      </c>
      <c r="B16129" s="9" t="str">
        <f>HYPERLINK("http://www.ncbi.nlm.nih.gov/gene/181284", "181284")</f>
        <v>181284</v>
      </c>
      <c r="C16129" s="9"/>
      <c r="D16129" t="str">
        <f>"T21B6.3"</f>
        <v>T21B6.3</v>
      </c>
      <c r="F16129" t="s">
        <v>11</v>
      </c>
      <c r="H16129" s="12">
        <v>-1.0728690678522901</v>
      </c>
      <c r="I16129" s="20">
        <v>-0.26242249296486198</v>
      </c>
      <c r="J16129" s="28">
        <v>0.79299573327943895</v>
      </c>
      <c r="K16129" s="29">
        <v>0.98289565623980701</v>
      </c>
    </row>
    <row r="16130" spans="1:11" x14ac:dyDescent="0.35">
      <c r="A16130" s="9" t="str">
        <f>HYPERLINK("http://www.ensembl.org/id/WBGene00043998", "WBGene00043998")</f>
        <v>WBGene00043998</v>
      </c>
      <c r="B16130" s="9" t="str">
        <f>HYPERLINK("http://www.ncbi.nlm.nih.gov/gene/3565822", "3565822")</f>
        <v>3565822</v>
      </c>
      <c r="C16130" s="9"/>
      <c r="D16130" t="str">
        <f>"T21C12.8"</f>
        <v>T21C12.8</v>
      </c>
      <c r="F16130" t="s">
        <v>11</v>
      </c>
      <c r="G16130" t="s">
        <v>25</v>
      </c>
      <c r="H16130" s="12">
        <v>1.5122709051793899</v>
      </c>
      <c r="I16130" s="20">
        <v>0.64364076109384305</v>
      </c>
      <c r="J16130" s="28">
        <v>0.51980841197435002</v>
      </c>
      <c r="K16130" s="29">
        <v>0.98289565623980701</v>
      </c>
    </row>
    <row r="16131" spans="1:11" x14ac:dyDescent="0.35">
      <c r="A16131" s="9" t="str">
        <f>HYPERLINK("http://www.ensembl.org/id/WBGene00011893", "WBGene00011893")</f>
        <v>WBGene00011893</v>
      </c>
      <c r="B16131" s="9" t="str">
        <f>HYPERLINK("http://www.ncbi.nlm.nih.gov/gene/179478", "179478")</f>
        <v>179478</v>
      </c>
      <c r="C16131" s="9"/>
      <c r="D16131" t="str">
        <f>"T21C9.6"</f>
        <v>T21C9.6</v>
      </c>
      <c r="F16131" t="s">
        <v>11</v>
      </c>
      <c r="G16131" t="s">
        <v>8981</v>
      </c>
      <c r="H16131" s="12">
        <v>-1.2118774117048901</v>
      </c>
      <c r="I16131" s="20">
        <v>-1.02575815967706</v>
      </c>
      <c r="J16131" s="28">
        <v>0.30500559249528603</v>
      </c>
      <c r="K16131" s="29">
        <v>0.98289565623980701</v>
      </c>
    </row>
    <row r="16132" spans="1:11" x14ac:dyDescent="0.35">
      <c r="A16132" s="9" t="str">
        <f>HYPERLINK("http://www.ensembl.org/id/WBGene00020651", "WBGene00020651")</f>
        <v>WBGene00020651</v>
      </c>
      <c r="B16132" s="9" t="str">
        <f>HYPERLINK("http://www.ncbi.nlm.nih.gov/gene/188695", "188695")</f>
        <v>188695</v>
      </c>
      <c r="C16132" s="9"/>
      <c r="D16132" t="str">
        <f>"T21D12.12"</f>
        <v>T21D12.12</v>
      </c>
      <c r="F16132" t="s">
        <v>11</v>
      </c>
      <c r="G16132" t="s">
        <v>50</v>
      </c>
      <c r="H16132" s="12">
        <v>1.2177365181442801</v>
      </c>
      <c r="I16132" s="20">
        <v>0.78512328952022803</v>
      </c>
      <c r="J16132" s="28">
        <v>0.43238128601464998</v>
      </c>
      <c r="K16132" s="29">
        <v>0.98289565623980701</v>
      </c>
    </row>
    <row r="16133" spans="1:11" x14ac:dyDescent="0.35">
      <c r="A16133" s="9" t="str">
        <f>HYPERLINK("http://www.ensembl.org/id/WBGene00020645", "WBGene00020645")</f>
        <v>WBGene00020645</v>
      </c>
      <c r="B16133" s="9" t="str">
        <f>HYPERLINK("http://www.ncbi.nlm.nih.gov/gene/188691", "188691")</f>
        <v>188691</v>
      </c>
      <c r="C16133" s="9"/>
      <c r="D16133" t="str">
        <f>"T21D9.2"</f>
        <v>T21D9.2</v>
      </c>
      <c r="F16133" t="s">
        <v>11</v>
      </c>
      <c r="G16133" t="s">
        <v>25</v>
      </c>
      <c r="H16133" s="12">
        <v>4.3940195833442202</v>
      </c>
      <c r="I16133" s="20">
        <v>0.73599872379920295</v>
      </c>
      <c r="J16133" s="28">
        <v>0.46173147444991303</v>
      </c>
      <c r="K16133" s="29">
        <v>0.98289565623980701</v>
      </c>
    </row>
    <row r="16134" spans="1:11" x14ac:dyDescent="0.35">
      <c r="A16134" s="9" t="str">
        <f>HYPERLINK("http://www.ensembl.org/id/WBGene00198163", "WBGene00198163")</f>
        <v>WBGene00198163</v>
      </c>
      <c r="B16134" s="9"/>
      <c r="C16134" s="9"/>
      <c r="D16134" t="str">
        <f>"T21D9.5"</f>
        <v>T21D9.5</v>
      </c>
      <c r="F16134" t="s">
        <v>481</v>
      </c>
      <c r="H16134" s="12">
        <v>2.3893468495514898</v>
      </c>
      <c r="I16134" s="20">
        <v>0.25323547253672701</v>
      </c>
      <c r="J16134" s="28">
        <v>0.80008625651646104</v>
      </c>
      <c r="K16134" s="29">
        <v>0.98289565623980701</v>
      </c>
    </row>
    <row r="16135" spans="1:11" x14ac:dyDescent="0.35">
      <c r="A16135" s="9" t="str">
        <f>HYPERLINK("http://www.ensembl.org/id/WBGene00020655", "WBGene00020655")</f>
        <v>WBGene00020655</v>
      </c>
      <c r="B16135" s="9" t="str">
        <f>HYPERLINK("http://www.ncbi.nlm.nih.gov/gene/188700", "188700")</f>
        <v>188700</v>
      </c>
      <c r="C16135" s="9"/>
      <c r="D16135" t="str">
        <f>"T21E12.3"</f>
        <v>T21E12.3</v>
      </c>
      <c r="F16135" t="s">
        <v>11</v>
      </c>
      <c r="G16135" t="s">
        <v>1646</v>
      </c>
      <c r="H16135" s="12">
        <v>-1.7481610088236701</v>
      </c>
      <c r="I16135" s="20">
        <v>-0.25565116095521501</v>
      </c>
      <c r="J16135" s="28">
        <v>0.798220210010116</v>
      </c>
      <c r="K16135" s="29">
        <v>0.98289565623980701</v>
      </c>
    </row>
    <row r="16136" spans="1:11" x14ac:dyDescent="0.35">
      <c r="A16136" s="9" t="str">
        <f>HYPERLINK("http://www.ensembl.org/id/WBGene00020653", "WBGene00020653")</f>
        <v>WBGene00020653</v>
      </c>
      <c r="B16136" s="9" t="str">
        <f>HYPERLINK("http://www.ncbi.nlm.nih.gov/gene/188696", "188696")</f>
        <v>188696</v>
      </c>
      <c r="C16136" s="9"/>
      <c r="D16136" t="str">
        <f>"T21E3.2"</f>
        <v>T21E3.2</v>
      </c>
      <c r="F16136" t="s">
        <v>11</v>
      </c>
      <c r="H16136" s="12">
        <v>-2.4505132525275402</v>
      </c>
      <c r="I16136" s="20">
        <v>-0.45063413446725398</v>
      </c>
      <c r="J16136" s="28">
        <v>0.65225326069358502</v>
      </c>
      <c r="K16136" s="29">
        <v>0.98289565623980701</v>
      </c>
    </row>
    <row r="16137" spans="1:11" x14ac:dyDescent="0.35">
      <c r="A16137" s="9" t="str">
        <f>HYPERLINK("http://www.ensembl.org/id/WBGene00011902", "WBGene00011902")</f>
        <v>WBGene00011902</v>
      </c>
      <c r="B16137" s="9" t="str">
        <f>HYPERLINK("http://www.ncbi.nlm.nih.gov/gene/188698", "188698")</f>
        <v>188698</v>
      </c>
      <c r="C16137" s="9"/>
      <c r="D16137" t="str">
        <f>"T21E8.4"</f>
        <v>T21E8.4</v>
      </c>
      <c r="F16137" t="s">
        <v>11</v>
      </c>
      <c r="H16137" s="12">
        <v>-1.1893156405082399</v>
      </c>
      <c r="I16137" s="20">
        <v>-0.27075472250666599</v>
      </c>
      <c r="J16137" s="28">
        <v>0.78657968567777303</v>
      </c>
      <c r="K16137" s="29">
        <v>0.98289565623980701</v>
      </c>
    </row>
    <row r="16138" spans="1:11" x14ac:dyDescent="0.35">
      <c r="A16138" s="9" t="str">
        <f>HYPERLINK("http://www.ensembl.org/id/WBGene00011903", "WBGene00011903")</f>
        <v>WBGene00011903</v>
      </c>
      <c r="B16138" s="9" t="str">
        <f>HYPERLINK("http://www.ncbi.nlm.nih.gov/gene/188699", "188699")</f>
        <v>188699</v>
      </c>
      <c r="C16138" s="9"/>
      <c r="D16138" t="str">
        <f>"T21E8.5"</f>
        <v>T21E8.5</v>
      </c>
      <c r="F16138" t="s">
        <v>11</v>
      </c>
      <c r="H16138" s="12">
        <v>1.5748952789502799</v>
      </c>
      <c r="I16138" s="20">
        <v>0.45565408700892801</v>
      </c>
      <c r="J16138" s="28">
        <v>0.64863874274115996</v>
      </c>
      <c r="K16138" s="29">
        <v>0.98289565623980701</v>
      </c>
    </row>
    <row r="16139" spans="1:11" x14ac:dyDescent="0.35">
      <c r="A16139" s="9" t="str">
        <f>HYPERLINK("http://www.ensembl.org/id/WBGene00164971", "WBGene00164971")</f>
        <v>WBGene00164971</v>
      </c>
      <c r="B16139" s="9" t="str">
        <f>HYPERLINK("http://www.ncbi.nlm.nih.gov/gene/13222641", "13222641")</f>
        <v>13222641</v>
      </c>
      <c r="C16139" s="9"/>
      <c r="D16139" t="str">
        <f>"T21E8.6"</f>
        <v>T21E8.6</v>
      </c>
      <c r="F16139" t="s">
        <v>11</v>
      </c>
      <c r="H16139" s="12">
        <v>-1.8837676683156299</v>
      </c>
      <c r="I16139" s="20">
        <v>-0.39876450640015498</v>
      </c>
      <c r="J16139" s="28">
        <v>0.69006673224508397</v>
      </c>
      <c r="K16139" s="29">
        <v>0.98289565623980701</v>
      </c>
    </row>
    <row r="16140" spans="1:11" x14ac:dyDescent="0.35">
      <c r="A16140" s="9" t="str">
        <f>HYPERLINK("http://www.ensembl.org/id/WBGene00164972", "WBGene00164972")</f>
        <v>WBGene00164972</v>
      </c>
      <c r="B16140" s="9" t="str">
        <f>HYPERLINK("http://www.ncbi.nlm.nih.gov/gene/13222642", "13222642")</f>
        <v>13222642</v>
      </c>
      <c r="C16140" s="9"/>
      <c r="D16140" t="str">
        <f>"T21E8.7"</f>
        <v>T21E8.7</v>
      </c>
      <c r="F16140" t="s">
        <v>11</v>
      </c>
      <c r="H16140" s="12">
        <v>5.1291082553793101</v>
      </c>
      <c r="I16140" s="20">
        <v>0.76793124873224705</v>
      </c>
      <c r="J16140" s="28">
        <v>0.44252803127534801</v>
      </c>
      <c r="K16140" s="29">
        <v>0.98289565623980701</v>
      </c>
    </row>
    <row r="16141" spans="1:11" x14ac:dyDescent="0.35">
      <c r="A16141" s="9" t="str">
        <f>HYPERLINK("http://www.ensembl.org/id/WBGene00220078", "WBGene00220078")</f>
        <v>WBGene00220078</v>
      </c>
      <c r="B16141" s="9"/>
      <c r="C16141" s="9"/>
      <c r="D16141" t="str">
        <f>"T21F2.3"</f>
        <v>T21F2.3</v>
      </c>
      <c r="F16141" t="s">
        <v>2977</v>
      </c>
      <c r="H16141" s="12">
        <v>2.3893468495514898</v>
      </c>
      <c r="I16141" s="20">
        <v>0.25323547253672701</v>
      </c>
      <c r="J16141" s="28">
        <v>0.80008625651646104</v>
      </c>
      <c r="K16141" s="29">
        <v>0.98289565623980701</v>
      </c>
    </row>
    <row r="16142" spans="1:11" x14ac:dyDescent="0.35">
      <c r="A16142" s="9" t="str">
        <f>HYPERLINK("http://www.ensembl.org/id/WBGene00020659", "WBGene00020659")</f>
        <v>WBGene00020659</v>
      </c>
      <c r="B16142" s="9" t="str">
        <f>HYPERLINK("http://www.ncbi.nlm.nih.gov/gene/266839", "266839")</f>
        <v>266839</v>
      </c>
      <c r="C16142" s="9" t="str">
        <f>HYPERLINK("http://www.ncbi.nlm.nih.gov/gene/2241", "2241")</f>
        <v>2241</v>
      </c>
      <c r="D16142" t="str">
        <f>"T21G5.1"</f>
        <v>T21G5.1</v>
      </c>
      <c r="E16142" t="s">
        <v>2588</v>
      </c>
      <c r="F16142" t="s">
        <v>11</v>
      </c>
      <c r="G16142" t="s">
        <v>2589</v>
      </c>
      <c r="H16142" s="12">
        <v>2.4202251910242398</v>
      </c>
      <c r="I16142" s="20">
        <v>0.65687380408155505</v>
      </c>
      <c r="J16142" s="28">
        <v>0.51126206337214997</v>
      </c>
      <c r="K16142" s="29">
        <v>0.98289565623980701</v>
      </c>
    </row>
    <row r="16143" spans="1:11" x14ac:dyDescent="0.35">
      <c r="A16143" s="9" t="str">
        <f>HYPERLINK("http://www.ensembl.org/id/WBGene00020660", "WBGene00020660")</f>
        <v>WBGene00020660</v>
      </c>
      <c r="B16143" s="9" t="str">
        <f>HYPERLINK("http://www.ncbi.nlm.nih.gov/gene/172416", "172416")</f>
        <v>172416</v>
      </c>
      <c r="C16143" s="9"/>
      <c r="D16143" t="str">
        <f>"T21G5.2"</f>
        <v>T21G5.2</v>
      </c>
      <c r="F16143" t="s">
        <v>11</v>
      </c>
      <c r="G16143" t="s">
        <v>25</v>
      </c>
      <c r="H16143" s="12">
        <v>-1.6483129227134199</v>
      </c>
      <c r="I16143" s="20">
        <v>-0.91466255173198696</v>
      </c>
      <c r="J16143" s="28">
        <v>0.36036880951896999</v>
      </c>
      <c r="K16143" s="29">
        <v>0.98289565623980701</v>
      </c>
    </row>
    <row r="16144" spans="1:11" x14ac:dyDescent="0.35">
      <c r="A16144" s="9" t="str">
        <f>HYPERLINK("http://www.ensembl.org/id/WBGene00199300", "WBGene00199300")</f>
        <v>WBGene00199300</v>
      </c>
      <c r="B16144" s="9"/>
      <c r="C16144" s="9"/>
      <c r="D16144" t="str">
        <f>"T21G5.8"</f>
        <v>T21G5.8</v>
      </c>
      <c r="F16144" t="s">
        <v>481</v>
      </c>
      <c r="H16144" s="12">
        <v>3.5227018545059199</v>
      </c>
      <c r="I16144" s="20">
        <v>0.36849691206929103</v>
      </c>
      <c r="J16144" s="28">
        <v>0.71250274722433404</v>
      </c>
      <c r="K16144" s="29">
        <v>0.98289565623980701</v>
      </c>
    </row>
    <row r="16145" spans="1:11" x14ac:dyDescent="0.35">
      <c r="A16145" s="9" t="str">
        <f>HYPERLINK("http://www.ensembl.org/id/WBGene00020664", "WBGene00020664")</f>
        <v>WBGene00020664</v>
      </c>
      <c r="B16145" s="9" t="str">
        <f>HYPERLINK("http://www.ncbi.nlm.nih.gov/gene/188705", "188705")</f>
        <v>188705</v>
      </c>
      <c r="C16145" s="9"/>
      <c r="D16145" t="str">
        <f>"T21H3.5"</f>
        <v>T21H3.5</v>
      </c>
      <c r="F16145" t="s">
        <v>11</v>
      </c>
      <c r="G16145" t="s">
        <v>25</v>
      </c>
      <c r="H16145" s="12">
        <v>1.2762526893966699</v>
      </c>
      <c r="I16145" s="20">
        <v>0.38689232589275702</v>
      </c>
      <c r="J16145" s="28">
        <v>0.69883592266142003</v>
      </c>
      <c r="K16145" s="29">
        <v>0.98289565623980701</v>
      </c>
    </row>
    <row r="16146" spans="1:11" x14ac:dyDescent="0.35">
      <c r="A16146" s="9" t="str">
        <f>HYPERLINK("http://www.ensembl.org/id/WBGene00206474", "WBGene00206474")</f>
        <v>WBGene00206474</v>
      </c>
      <c r="B16146" s="9" t="str">
        <f>HYPERLINK("http://www.ncbi.nlm.nih.gov/gene/13181893", "13181893")</f>
        <v>13181893</v>
      </c>
      <c r="C16146" s="9"/>
      <c r="D16146" t="str">
        <f>"T22A3.12"</f>
        <v>T22A3.12</v>
      </c>
      <c r="F16146" t="s">
        <v>11</v>
      </c>
      <c r="H16146" s="12">
        <v>4.6806561070019201</v>
      </c>
      <c r="I16146" s="20">
        <v>0.83378409140915399</v>
      </c>
      <c r="J16146" s="28">
        <v>0.404402661553939</v>
      </c>
      <c r="K16146" s="29">
        <v>0.98289565623980701</v>
      </c>
    </row>
    <row r="16147" spans="1:11" x14ac:dyDescent="0.35">
      <c r="A16147" s="9" t="str">
        <f>HYPERLINK("http://www.ensembl.org/id/WBGene00271649", "WBGene00271649")</f>
        <v>WBGene00271649</v>
      </c>
      <c r="B16147" s="9"/>
      <c r="C16147" s="9"/>
      <c r="D16147" t="str">
        <f>"T22A3.13"</f>
        <v>T22A3.13</v>
      </c>
      <c r="F16147" t="s">
        <v>481</v>
      </c>
      <c r="H16147" s="12">
        <v>5.2322000618327396</v>
      </c>
      <c r="I16147" s="20">
        <v>0.486112489888328</v>
      </c>
      <c r="J16147" s="28">
        <v>0.62688741196182496</v>
      </c>
      <c r="K16147" s="29">
        <v>0.98289565623980701</v>
      </c>
    </row>
    <row r="16148" spans="1:11" x14ac:dyDescent="0.35">
      <c r="A16148" s="9" t="str">
        <f>HYPERLINK("http://www.ensembl.org/id/WBGene00014525", "WBGene00014525")</f>
        <v>WBGene00014525</v>
      </c>
      <c r="B16148" s="9"/>
      <c r="C16148" s="9"/>
      <c r="D16148" t="str">
        <f>"T22A3.t1"</f>
        <v>T22A3.t1</v>
      </c>
      <c r="F16148" t="s">
        <v>4208</v>
      </c>
      <c r="H16148" s="12">
        <v>6.7363700973645102</v>
      </c>
      <c r="I16148" s="20">
        <v>0.89297239124027195</v>
      </c>
      <c r="J16148" s="28">
        <v>0.37187195790918698</v>
      </c>
      <c r="K16148" s="29">
        <v>0.98289565623980701</v>
      </c>
    </row>
    <row r="16149" spans="1:11" x14ac:dyDescent="0.35">
      <c r="A16149" s="9" t="str">
        <f>HYPERLINK("http://www.ensembl.org/id/WBGene00195680", "WBGene00195680")</f>
        <v>WBGene00195680</v>
      </c>
      <c r="B16149" s="9"/>
      <c r="C16149" s="9"/>
      <c r="D16149" t="str">
        <f>"T22B11.6"</f>
        <v>T22B11.6</v>
      </c>
      <c r="F16149" t="s">
        <v>481</v>
      </c>
      <c r="H16149" s="12">
        <v>2.3893468495514898</v>
      </c>
      <c r="I16149" s="20">
        <v>0.25323547253672701</v>
      </c>
      <c r="J16149" s="28">
        <v>0.80008625651646104</v>
      </c>
      <c r="K16149" s="29">
        <v>0.98289565623980701</v>
      </c>
    </row>
    <row r="16150" spans="1:11" x14ac:dyDescent="0.35">
      <c r="A16150" s="9" t="str">
        <f>HYPERLINK("http://www.ensembl.org/id/WBGene00020665", "WBGene00020665")</f>
        <v>WBGene00020665</v>
      </c>
      <c r="B16150" s="9" t="str">
        <f>HYPERLINK("http://www.ncbi.nlm.nih.gov/gene/188716", "188716")</f>
        <v>188716</v>
      </c>
      <c r="C16150" s="9"/>
      <c r="D16150" t="str">
        <f>"T22B2.1"</f>
        <v>T22B2.1</v>
      </c>
      <c r="F16150" t="s">
        <v>11</v>
      </c>
      <c r="G16150" t="s">
        <v>9990</v>
      </c>
      <c r="H16150" s="12">
        <v>-1.9097301080301201</v>
      </c>
      <c r="I16150" s="20">
        <v>-0.56466130336716902</v>
      </c>
      <c r="J16150" s="28">
        <v>0.57230415950312996</v>
      </c>
      <c r="K16150" s="29">
        <v>0.98289565623980701</v>
      </c>
    </row>
    <row r="16151" spans="1:11" x14ac:dyDescent="0.35">
      <c r="A16151" s="9" t="str">
        <f>HYPERLINK("http://www.ensembl.org/id/WBGene00020666", "WBGene00020666")</f>
        <v>WBGene00020666</v>
      </c>
      <c r="B16151" s="9" t="str">
        <f>HYPERLINK("http://www.ncbi.nlm.nih.gov/gene/188717", "188717")</f>
        <v>188717</v>
      </c>
      <c r="C16151" s="9"/>
      <c r="D16151" t="str">
        <f>"T22B2.2"</f>
        <v>T22B2.2</v>
      </c>
      <c r="F16151" t="s">
        <v>11</v>
      </c>
      <c r="G16151" t="s">
        <v>25</v>
      </c>
      <c r="H16151" s="12">
        <v>2.1617739785964698</v>
      </c>
      <c r="I16151" s="20">
        <v>0.61281848444618503</v>
      </c>
      <c r="J16151" s="28">
        <v>0.53999636725037004</v>
      </c>
      <c r="K16151" s="29">
        <v>0.98289565623980701</v>
      </c>
    </row>
    <row r="16152" spans="1:11" x14ac:dyDescent="0.35">
      <c r="A16152" s="9" t="str">
        <f>HYPERLINK("http://www.ensembl.org/id/WBGene00020667", "WBGene00020667")</f>
        <v>WBGene00020667</v>
      </c>
      <c r="B16152" s="9" t="str">
        <f>HYPERLINK("http://www.ncbi.nlm.nih.gov/gene/188718", "188718")</f>
        <v>188718</v>
      </c>
      <c r="C16152" s="9"/>
      <c r="D16152" t="str">
        <f>"T22B2.3"</f>
        <v>T22B2.3</v>
      </c>
      <c r="F16152" t="s">
        <v>11</v>
      </c>
      <c r="H16152" s="12">
        <v>-3.3062271141133701</v>
      </c>
      <c r="I16152" s="20">
        <v>-0.366461905584539</v>
      </c>
      <c r="J16152" s="28">
        <v>0.71402043343558397</v>
      </c>
      <c r="K16152" s="29">
        <v>0.98289565623980701</v>
      </c>
    </row>
    <row r="16153" spans="1:11" x14ac:dyDescent="0.35">
      <c r="A16153" s="9" t="str">
        <f>HYPERLINK("http://www.ensembl.org/id/WBGene00011911", "WBGene00011911")</f>
        <v>WBGene00011911</v>
      </c>
      <c r="B16153" s="9" t="str">
        <f>HYPERLINK("http://www.ncbi.nlm.nih.gov/gene/188722", "188722")</f>
        <v>188722</v>
      </c>
      <c r="C16153" s="9"/>
      <c r="D16153" t="str">
        <f>"T22B3.3"</f>
        <v>T22B3.3</v>
      </c>
      <c r="E16153" t="s">
        <v>899</v>
      </c>
      <c r="F16153" t="s">
        <v>11</v>
      </c>
      <c r="G16153" t="s">
        <v>3403</v>
      </c>
      <c r="H16153" s="12">
        <v>1.7351218851966701</v>
      </c>
      <c r="I16153" s="20">
        <v>0.64194202031853198</v>
      </c>
      <c r="J16153" s="28">
        <v>0.52091082942076805</v>
      </c>
      <c r="K16153" s="29">
        <v>0.98289565623980701</v>
      </c>
    </row>
    <row r="16154" spans="1:11" x14ac:dyDescent="0.35">
      <c r="A16154" s="9" t="str">
        <f>HYPERLINK("http://www.ensembl.org/id/WBGene00199464", "WBGene00199464")</f>
        <v>WBGene00199464</v>
      </c>
      <c r="B16154" s="9"/>
      <c r="C16154" s="9"/>
      <c r="D16154" t="str">
        <f>"T22B7.14"</f>
        <v>T22B7.14</v>
      </c>
      <c r="F16154" t="s">
        <v>481</v>
      </c>
      <c r="H16154" s="12">
        <v>3.5227018545059199</v>
      </c>
      <c r="I16154" s="20">
        <v>0.36849691206929103</v>
      </c>
      <c r="J16154" s="28">
        <v>0.71250274722433404</v>
      </c>
      <c r="K16154" s="29">
        <v>0.98289565623980701</v>
      </c>
    </row>
    <row r="16155" spans="1:11" x14ac:dyDescent="0.35">
      <c r="A16155" s="9" t="str">
        <f>HYPERLINK("http://www.ensembl.org/id/WBGene00200972", "WBGene00200972")</f>
        <v>WBGene00200972</v>
      </c>
      <c r="B16155" s="9"/>
      <c r="C16155" s="9"/>
      <c r="D16155" t="str">
        <f>"T22B7.19"</f>
        <v>T22B7.19</v>
      </c>
      <c r="F16155" t="s">
        <v>481</v>
      </c>
      <c r="H16155" s="12">
        <v>-2.4991590031922399</v>
      </c>
      <c r="I16155" s="20">
        <v>-0.26577412737581302</v>
      </c>
      <c r="J16155" s="28">
        <v>0.79041317015736101</v>
      </c>
      <c r="K16155" s="29">
        <v>0.98289565623980701</v>
      </c>
    </row>
    <row r="16156" spans="1:11" x14ac:dyDescent="0.35">
      <c r="A16156" s="9" t="str">
        <f>HYPERLINK("http://www.ensembl.org/id/WBGene00284867", "WBGene00284867")</f>
        <v>WBGene00284867</v>
      </c>
      <c r="B16156" s="9" t="str">
        <f>HYPERLINK("http://www.ncbi.nlm.nih.gov/gene/36312793", "36312793")</f>
        <v>36312793</v>
      </c>
      <c r="C16156" s="9"/>
      <c r="D16156" t="str">
        <f>"T22B7.22"</f>
        <v>T22B7.22</v>
      </c>
      <c r="F16156" t="s">
        <v>11</v>
      </c>
      <c r="H16156" s="12">
        <v>5.5066077065513603</v>
      </c>
      <c r="I16156" s="20">
        <v>0.924004321485419</v>
      </c>
      <c r="J16156" s="28">
        <v>0.35548406582609099</v>
      </c>
      <c r="K16156" s="29">
        <v>0.98289565623980701</v>
      </c>
    </row>
    <row r="16157" spans="1:11" x14ac:dyDescent="0.35">
      <c r="A16157" s="9" t="str">
        <f>HYPERLINK("http://www.ensembl.org/id/WBGene00020672", "WBGene00020672")</f>
        <v>WBGene00020672</v>
      </c>
      <c r="B16157" s="9" t="str">
        <f>HYPERLINK("http://www.ncbi.nlm.nih.gov/gene/188723", "188723")</f>
        <v>188723</v>
      </c>
      <c r="C16157" s="9"/>
      <c r="D16157" t="str">
        <f>"T22B7.3"</f>
        <v>T22B7.3</v>
      </c>
      <c r="F16157" t="s">
        <v>11</v>
      </c>
      <c r="H16157" s="12">
        <v>1.2818385572673601</v>
      </c>
      <c r="I16157" s="20">
        <v>0.68419133500293905</v>
      </c>
      <c r="J16157" s="28">
        <v>0.493854353140668</v>
      </c>
      <c r="K16157" s="29">
        <v>0.98289565623980701</v>
      </c>
    </row>
    <row r="16158" spans="1:11" x14ac:dyDescent="0.35">
      <c r="A16158" s="9" t="str">
        <f>HYPERLINK("http://www.ensembl.org/id/WBGene00020673", "WBGene00020673")</f>
        <v>WBGene00020673</v>
      </c>
      <c r="B16158" s="9" t="str">
        <f>HYPERLINK("http://www.ncbi.nlm.nih.gov/gene/180831", "180831")</f>
        <v>180831</v>
      </c>
      <c r="C16158" s="9"/>
      <c r="D16158" t="str">
        <f>"T22B7.4"</f>
        <v>T22B7.4</v>
      </c>
      <c r="F16158" t="s">
        <v>11</v>
      </c>
      <c r="G16158" t="s">
        <v>2519</v>
      </c>
      <c r="H16158" s="12">
        <v>1.29526490642793</v>
      </c>
      <c r="I16158" s="20">
        <v>1.1251285448214701</v>
      </c>
      <c r="J16158" s="28">
        <v>0.26053456692099602</v>
      </c>
      <c r="K16158" s="29">
        <v>0.98289565623980701</v>
      </c>
    </row>
    <row r="16159" spans="1:11" x14ac:dyDescent="0.35">
      <c r="A16159" s="9" t="str">
        <f>HYPERLINK("http://www.ensembl.org/id/WBGene00044570", "WBGene00044570")</f>
        <v>WBGene00044570</v>
      </c>
      <c r="B16159" s="9" t="str">
        <f>HYPERLINK("http://www.ncbi.nlm.nih.gov/gene/3896877", "3896877")</f>
        <v>3896877</v>
      </c>
      <c r="C16159" s="9"/>
      <c r="D16159" t="str">
        <f>"T22B7.8"</f>
        <v>T22B7.8</v>
      </c>
      <c r="F16159" t="s">
        <v>11</v>
      </c>
      <c r="G16159" t="s">
        <v>51</v>
      </c>
      <c r="H16159" s="12">
        <v>-1.28402612120939</v>
      </c>
      <c r="I16159" s="20">
        <v>-0.58684309765799503</v>
      </c>
      <c r="J16159" s="28">
        <v>0.557309088919827</v>
      </c>
      <c r="K16159" s="29">
        <v>0.98289565623980701</v>
      </c>
    </row>
    <row r="16160" spans="1:11" x14ac:dyDescent="0.35">
      <c r="A16160" s="9" t="str">
        <f>HYPERLINK("http://www.ensembl.org/id/WBGene00011912", "WBGene00011912")</f>
        <v>WBGene00011912</v>
      </c>
      <c r="B16160" s="9" t="str">
        <f>HYPERLINK("http://www.ncbi.nlm.nih.gov/gene/172563", "172563")</f>
        <v>172563</v>
      </c>
      <c r="C16160" s="9" t="str">
        <f>HYPERLINK("http://www.ncbi.nlm.nih.gov/gene/55148", "55148")</f>
        <v>55148</v>
      </c>
      <c r="D16160" t="str">
        <f>"T22C1.1"</f>
        <v>T22C1.1</v>
      </c>
      <c r="F16160" t="s">
        <v>11</v>
      </c>
      <c r="G16160" t="s">
        <v>8723</v>
      </c>
      <c r="H16160" s="12">
        <v>-1.1931106508225899</v>
      </c>
      <c r="I16160" s="20">
        <v>-0.86860619268847195</v>
      </c>
      <c r="J16160" s="28">
        <v>0.38506256614195999</v>
      </c>
      <c r="K16160" s="29">
        <v>0.98289565623980701</v>
      </c>
    </row>
    <row r="16161" spans="1:11" x14ac:dyDescent="0.35">
      <c r="A16161" s="9" t="str">
        <f>HYPERLINK("http://www.ensembl.org/id/WBGene00011921", "WBGene00011921")</f>
        <v>WBGene00011921</v>
      </c>
      <c r="B16161" s="9" t="str">
        <f>HYPERLINK("http://www.ncbi.nlm.nih.gov/gene/3565093", "3565093")</f>
        <v>3565093</v>
      </c>
      <c r="C16161" s="9"/>
      <c r="D16161" t="str">
        <f>"T22C1.12"</f>
        <v>T22C1.12</v>
      </c>
      <c r="F16161" t="s">
        <v>11</v>
      </c>
      <c r="H16161" s="12">
        <v>-5.4967879193631202</v>
      </c>
      <c r="I16161" s="20">
        <v>-0.50254160819837501</v>
      </c>
      <c r="J16161" s="28">
        <v>0.61528659178453604</v>
      </c>
      <c r="K16161" s="29">
        <v>0.98289565623980701</v>
      </c>
    </row>
    <row r="16162" spans="1:11" x14ac:dyDescent="0.35">
      <c r="A16162" s="9" t="str">
        <f>HYPERLINK("http://www.ensembl.org/id/WBGene00196639", "WBGene00196639")</f>
        <v>WBGene00196639</v>
      </c>
      <c r="B16162" s="9"/>
      <c r="C16162" s="9"/>
      <c r="D16162" t="str">
        <f>"T22C1.14"</f>
        <v>T22C1.14</v>
      </c>
      <c r="F16162" t="s">
        <v>481</v>
      </c>
      <c r="H16162" s="12">
        <v>2.3893468495514898</v>
      </c>
      <c r="I16162" s="20">
        <v>0.25323547253672701</v>
      </c>
      <c r="J16162" s="28">
        <v>0.80008625651646104</v>
      </c>
      <c r="K16162" s="29">
        <v>0.98289565623980701</v>
      </c>
    </row>
    <row r="16163" spans="1:11" x14ac:dyDescent="0.35">
      <c r="A16163" s="9" t="str">
        <f>HYPERLINK("http://www.ensembl.org/id/WBGene00220081", "WBGene00220081")</f>
        <v>WBGene00220081</v>
      </c>
      <c r="B16163" s="9"/>
      <c r="C16163" s="9"/>
      <c r="D16163" t="str">
        <f>"T22C1.17"</f>
        <v>T22C1.17</v>
      </c>
      <c r="F16163" t="s">
        <v>481</v>
      </c>
      <c r="H16163" s="12">
        <v>-1.95095021000869</v>
      </c>
      <c r="I16163" s="20">
        <v>-0.27109980765326402</v>
      </c>
      <c r="J16163" s="28">
        <v>0.78631426950972505</v>
      </c>
      <c r="K16163" s="29">
        <v>0.98289565623980701</v>
      </c>
    </row>
    <row r="16164" spans="1:11" x14ac:dyDescent="0.35">
      <c r="A16164" s="9" t="str">
        <f>HYPERLINK("http://www.ensembl.org/id/WBGene00011914", "WBGene00011914")</f>
        <v>WBGene00011914</v>
      </c>
      <c r="B16164" s="9" t="str">
        <f>HYPERLINK("http://www.ncbi.nlm.nih.gov/gene/172565", "172565")</f>
        <v>172565</v>
      </c>
      <c r="C16164" s="9" t="str">
        <f>HYPERLINK("http://www.ncbi.nlm.nih.gov/gene/128869", "128869")</f>
        <v>128869</v>
      </c>
      <c r="D16164" t="str">
        <f>"T22C1.3"</f>
        <v>T22C1.3</v>
      </c>
      <c r="F16164" t="s">
        <v>11</v>
      </c>
      <c r="G16164" t="s">
        <v>7026</v>
      </c>
      <c r="H16164" s="12">
        <v>-1.1028236316679101</v>
      </c>
      <c r="I16164" s="20">
        <v>-0.45179455220624298</v>
      </c>
      <c r="J16164" s="28">
        <v>0.65141699468885805</v>
      </c>
      <c r="K16164" s="29">
        <v>0.98289565623980701</v>
      </c>
    </row>
    <row r="16165" spans="1:11" x14ac:dyDescent="0.35">
      <c r="A16165" s="9" t="str">
        <f>HYPERLINK("http://www.ensembl.org/id/WBGene00011918", "WBGene00011918")</f>
        <v>WBGene00011918</v>
      </c>
      <c r="B16165" s="9" t="str">
        <f>HYPERLINK("http://www.ncbi.nlm.nih.gov/gene/172571", "172571")</f>
        <v>172571</v>
      </c>
      <c r="C16165" s="9"/>
      <c r="D16165" t="str">
        <f>"T22C1.8"</f>
        <v>T22C1.8</v>
      </c>
      <c r="E16165" t="s">
        <v>1019</v>
      </c>
      <c r="F16165" t="s">
        <v>11</v>
      </c>
      <c r="G16165" t="s">
        <v>1020</v>
      </c>
      <c r="H16165" s="12">
        <v>1.8959966170140099</v>
      </c>
      <c r="I16165" s="20">
        <v>0.79145463051335596</v>
      </c>
      <c r="J16165" s="28">
        <v>0.42867874133789602</v>
      </c>
      <c r="K16165" s="29">
        <v>0.98289565623980701</v>
      </c>
    </row>
    <row r="16166" spans="1:11" x14ac:dyDescent="0.35">
      <c r="A16166" s="9" t="str">
        <f>HYPERLINK("http://www.ensembl.org/id/WBGene00011922", "WBGene00011922")</f>
        <v>WBGene00011922</v>
      </c>
      <c r="B16166" s="9" t="str">
        <f>HYPERLINK("http://www.ncbi.nlm.nih.gov/gene/188730", "188730")</f>
        <v>188730</v>
      </c>
      <c r="C16166" s="9"/>
      <c r="D16166" t="str">
        <f>"T22C8.1"</f>
        <v>T22C8.1</v>
      </c>
      <c r="F16166" t="s">
        <v>11</v>
      </c>
      <c r="G16166" t="s">
        <v>25</v>
      </c>
      <c r="H16166" s="12">
        <v>1.5205688067465799</v>
      </c>
      <c r="I16166" s="20">
        <v>0.67255953702495197</v>
      </c>
      <c r="J16166" s="28">
        <v>0.50122755119672502</v>
      </c>
      <c r="K16166" s="29">
        <v>0.98289565623980701</v>
      </c>
    </row>
    <row r="16167" spans="1:11" x14ac:dyDescent="0.35">
      <c r="A16167" s="9" t="str">
        <f>HYPERLINK("http://www.ensembl.org/id/WBGene00011924", "WBGene00011924")</f>
        <v>WBGene00011924</v>
      </c>
      <c r="B16167" s="9" t="str">
        <f>HYPERLINK("http://www.ncbi.nlm.nih.gov/gene/188731", "188731")</f>
        <v>188731</v>
      </c>
      <c r="C16167" s="9"/>
      <c r="D16167" t="str">
        <f>"T22C8.3"</f>
        <v>T22C8.3</v>
      </c>
      <c r="F16167" t="s">
        <v>11</v>
      </c>
      <c r="H16167" s="12">
        <v>1.10811253523733</v>
      </c>
      <c r="I16167" s="20">
        <v>0.386042623972079</v>
      </c>
      <c r="J16167" s="28">
        <v>0.69946510158509401</v>
      </c>
      <c r="K16167" s="29">
        <v>0.98289565623980701</v>
      </c>
    </row>
    <row r="16168" spans="1:11" x14ac:dyDescent="0.35">
      <c r="A16168" s="9" t="str">
        <f>HYPERLINK("http://www.ensembl.org/id/WBGene00011925", "WBGene00011925")</f>
        <v>WBGene00011925</v>
      </c>
      <c r="B16168" s="9" t="str">
        <f>HYPERLINK("http://www.ncbi.nlm.nih.gov/gene/188732", "188732")</f>
        <v>188732</v>
      </c>
      <c r="C16168" s="9"/>
      <c r="D16168" t="str">
        <f>"T22C8.4"</f>
        <v>T22C8.4</v>
      </c>
      <c r="F16168" t="s">
        <v>11</v>
      </c>
      <c r="H16168" s="12">
        <v>-1.55080866318058</v>
      </c>
      <c r="I16168" s="20">
        <v>-0.82542998287494296</v>
      </c>
      <c r="J16168" s="28">
        <v>0.409127518481601</v>
      </c>
      <c r="K16168" s="29">
        <v>0.98289565623980701</v>
      </c>
    </row>
    <row r="16169" spans="1:11" x14ac:dyDescent="0.35">
      <c r="A16169" s="9" t="str">
        <f>HYPERLINK("http://www.ensembl.org/id/WBGene00195051", "WBGene00195051")</f>
        <v>WBGene00195051</v>
      </c>
      <c r="B16169" s="9" t="str">
        <f>HYPERLINK("http://www.ncbi.nlm.nih.gov/gene/13196380", "13196380")</f>
        <v>13196380</v>
      </c>
      <c r="C16169" s="9"/>
      <c r="D16169" t="str">
        <f>"T22D1.18"</f>
        <v>T22D1.18</v>
      </c>
      <c r="F16169" t="s">
        <v>11</v>
      </c>
      <c r="G16169" t="s">
        <v>25</v>
      </c>
      <c r="H16169" s="12">
        <v>3.07181673691968</v>
      </c>
      <c r="I16169" s="20">
        <v>0.66716838026785297</v>
      </c>
      <c r="J16169" s="28">
        <v>0.50466458588972596</v>
      </c>
      <c r="K16169" s="29">
        <v>0.98289565623980701</v>
      </c>
    </row>
    <row r="16170" spans="1:11" x14ac:dyDescent="0.35">
      <c r="A16170" s="9" t="str">
        <f>HYPERLINK("http://www.ensembl.org/id/WBGene00196846", "WBGene00196846")</f>
        <v>WBGene00196846</v>
      </c>
      <c r="B16170" s="9"/>
      <c r="C16170" s="9"/>
      <c r="D16170" t="str">
        <f>"T22D1.19"</f>
        <v>T22D1.19</v>
      </c>
      <c r="F16170" t="s">
        <v>481</v>
      </c>
      <c r="H16170" s="12">
        <v>-2.4295389261469</v>
      </c>
      <c r="I16170" s="20">
        <v>-0.25808529976640998</v>
      </c>
      <c r="J16170" s="28">
        <v>0.79634107645457397</v>
      </c>
      <c r="K16170" s="29">
        <v>0.98289565623980701</v>
      </c>
    </row>
    <row r="16171" spans="1:11" x14ac:dyDescent="0.35">
      <c r="A16171" s="9" t="str">
        <f>HYPERLINK("http://www.ensembl.org/id/WBGene00020686", "WBGene00020686")</f>
        <v>WBGene00020686</v>
      </c>
      <c r="B16171" s="9" t="str">
        <f>HYPERLINK("http://www.ncbi.nlm.nih.gov/gene/188741", "188741")</f>
        <v>188741</v>
      </c>
      <c r="C16171" s="9"/>
      <c r="D16171" t="str">
        <f>"T22D1.8"</f>
        <v>T22D1.8</v>
      </c>
      <c r="F16171" t="s">
        <v>11</v>
      </c>
      <c r="G16171" t="s">
        <v>25</v>
      </c>
      <c r="H16171" s="12">
        <v>-1.6976177272950099</v>
      </c>
      <c r="I16171" s="20">
        <v>-0.88881055716830903</v>
      </c>
      <c r="J16171" s="28">
        <v>0.37410490113809902</v>
      </c>
      <c r="K16171" s="29">
        <v>0.98289565623980701</v>
      </c>
    </row>
    <row r="16172" spans="1:11" x14ac:dyDescent="0.35">
      <c r="A16172" s="9" t="str">
        <f>HYPERLINK("http://www.ensembl.org/id/WBGene00197806", "WBGene00197806")</f>
        <v>WBGene00197806</v>
      </c>
      <c r="B16172" s="9"/>
      <c r="C16172" s="9"/>
      <c r="D16172" t="str">
        <f>"T22E5.12"</f>
        <v>T22E5.12</v>
      </c>
      <c r="F16172" t="s">
        <v>481</v>
      </c>
      <c r="H16172" s="12">
        <v>3.6645215954135</v>
      </c>
      <c r="I16172" s="20">
        <v>0.37967131826092498</v>
      </c>
      <c r="J16172" s="28">
        <v>0.70418941338960395</v>
      </c>
      <c r="K16172" s="29">
        <v>0.98289565623980701</v>
      </c>
    </row>
    <row r="16173" spans="1:11" x14ac:dyDescent="0.35">
      <c r="A16173" s="9" t="str">
        <f>HYPERLINK("http://www.ensembl.org/id/WBGene00198819", "WBGene00198819")</f>
        <v>WBGene00198819</v>
      </c>
      <c r="B16173" s="9"/>
      <c r="C16173" s="9"/>
      <c r="D16173" t="str">
        <f>"T22E5.14"</f>
        <v>T22E5.14</v>
      </c>
      <c r="F16173" t="s">
        <v>481</v>
      </c>
      <c r="H16173" s="12">
        <v>-2.4991590031922399</v>
      </c>
      <c r="I16173" s="20">
        <v>-0.26577412737581302</v>
      </c>
      <c r="J16173" s="28">
        <v>0.79041317015736101</v>
      </c>
      <c r="K16173" s="29">
        <v>0.98289565623980701</v>
      </c>
    </row>
    <row r="16174" spans="1:11" x14ac:dyDescent="0.35">
      <c r="A16174" s="9" t="str">
        <f>HYPERLINK("http://www.ensembl.org/id/WBGene00020692", "WBGene00020692")</f>
        <v>WBGene00020692</v>
      </c>
      <c r="B16174" s="9" t="str">
        <f>HYPERLINK("http://www.ncbi.nlm.nih.gov/gene/188746", "188746")</f>
        <v>188746</v>
      </c>
      <c r="C16174" s="9"/>
      <c r="D16174" t="str">
        <f>"T22E5.6"</f>
        <v>T22E5.6</v>
      </c>
      <c r="F16174" t="s">
        <v>11</v>
      </c>
      <c r="G16174" t="s">
        <v>25</v>
      </c>
      <c r="H16174" s="12">
        <v>-1.1341202478099099</v>
      </c>
      <c r="I16174" s="20">
        <v>-0.39516098059786497</v>
      </c>
      <c r="J16174" s="28">
        <v>0.69272408716590805</v>
      </c>
      <c r="K16174" s="29">
        <v>0.98289565623980701</v>
      </c>
    </row>
    <row r="16175" spans="1:11" x14ac:dyDescent="0.35">
      <c r="A16175" s="9" t="str">
        <f>HYPERLINK("http://www.ensembl.org/id/WBGene00044572", "WBGene00044572")</f>
        <v>WBGene00044572</v>
      </c>
      <c r="B16175" s="9" t="str">
        <f>HYPERLINK("http://www.ncbi.nlm.nih.gov/gene/3896899", "3896899")</f>
        <v>3896899</v>
      </c>
      <c r="C16175" s="9"/>
      <c r="D16175" t="str">
        <f>"T22E5.7"</f>
        <v>T22E5.7</v>
      </c>
      <c r="F16175" t="s">
        <v>11</v>
      </c>
      <c r="H16175" s="12">
        <v>-1.29545624732525</v>
      </c>
      <c r="I16175" s="20">
        <v>-0.271439158255946</v>
      </c>
      <c r="J16175" s="28">
        <v>0.78605328817876996</v>
      </c>
      <c r="K16175" s="29">
        <v>0.98289565623980701</v>
      </c>
    </row>
    <row r="16176" spans="1:11" x14ac:dyDescent="0.35">
      <c r="A16176" s="9" t="str">
        <f>HYPERLINK("http://www.ensembl.org/id/WBGene00020697", "WBGene00020697")</f>
        <v>WBGene00020697</v>
      </c>
      <c r="B16176" s="9" t="str">
        <f>HYPERLINK("http://www.ncbi.nlm.nih.gov/gene/188751", "188751")</f>
        <v>188751</v>
      </c>
      <c r="C16176" s="9"/>
      <c r="D16176" t="str">
        <f>"T22F3.7"</f>
        <v>T22F3.7</v>
      </c>
      <c r="F16176" t="s">
        <v>11</v>
      </c>
      <c r="G16176" t="s">
        <v>230</v>
      </c>
      <c r="H16176" s="12">
        <v>-1.2839212253296299</v>
      </c>
      <c r="I16176" s="20">
        <v>-0.584829260676899</v>
      </c>
      <c r="J16176" s="28">
        <v>0.55866252739119004</v>
      </c>
      <c r="K16176" s="29">
        <v>0.98289565623980701</v>
      </c>
    </row>
    <row r="16177" spans="1:11" x14ac:dyDescent="0.35">
      <c r="A16177" s="9" t="str">
        <f>HYPERLINK("http://www.ensembl.org/id/WBGene00020698", "WBGene00020698")</f>
        <v>WBGene00020698</v>
      </c>
      <c r="B16177" s="9" t="str">
        <f>HYPERLINK("http://www.ncbi.nlm.nih.gov/gene/178781", "178781")</f>
        <v>178781</v>
      </c>
      <c r="C16177" s="9"/>
      <c r="D16177" t="str">
        <f>"T22F3.8"</f>
        <v>T22F3.8</v>
      </c>
      <c r="F16177" t="s">
        <v>11</v>
      </c>
      <c r="G16177" t="s">
        <v>230</v>
      </c>
      <c r="H16177" s="12">
        <v>-2.81035780318512</v>
      </c>
      <c r="I16177" s="20">
        <v>-0.70987757020117304</v>
      </c>
      <c r="J16177" s="28">
        <v>0.47778006071620499</v>
      </c>
      <c r="K16177" s="29">
        <v>0.98289565623980701</v>
      </c>
    </row>
    <row r="16178" spans="1:11" x14ac:dyDescent="0.35">
      <c r="A16178" s="9" t="str">
        <f>HYPERLINK("http://www.ensembl.org/id/WBGene00020701", "WBGene00020701")</f>
        <v>WBGene00020701</v>
      </c>
      <c r="B16178" s="9" t="str">
        <f>HYPERLINK("http://www.ncbi.nlm.nih.gov/gene/3564822", "3564822")</f>
        <v>3564822</v>
      </c>
      <c r="C16178" s="9"/>
      <c r="D16178" t="str">
        <f>"T22F7.1"</f>
        <v>T22F7.1</v>
      </c>
      <c r="F16178" t="s">
        <v>11</v>
      </c>
      <c r="G16178" t="s">
        <v>230</v>
      </c>
      <c r="H16178" s="12">
        <v>-1.21259988714231</v>
      </c>
      <c r="I16178" s="20">
        <v>-0.92600609623233598</v>
      </c>
      <c r="J16178" s="28">
        <v>0.35444281212852202</v>
      </c>
      <c r="K16178" s="29">
        <v>0.98289565623980701</v>
      </c>
    </row>
    <row r="16179" spans="1:11" x14ac:dyDescent="0.35">
      <c r="A16179" s="9" t="str">
        <f>HYPERLINK("http://www.ensembl.org/id/WBGene00020702", "WBGene00020702")</f>
        <v>WBGene00020702</v>
      </c>
      <c r="B16179" s="9" t="str">
        <f>HYPERLINK("http://www.ncbi.nlm.nih.gov/gene/188757", "188757")</f>
        <v>188757</v>
      </c>
      <c r="C16179" s="9"/>
      <c r="D16179" t="str">
        <f>"T22F7.3"</f>
        <v>T22F7.3</v>
      </c>
      <c r="F16179" t="s">
        <v>11</v>
      </c>
      <c r="G16179" t="s">
        <v>50</v>
      </c>
      <c r="H16179" s="12">
        <v>1.69656070789165</v>
      </c>
      <c r="I16179" s="20">
        <v>1.1840421901773599</v>
      </c>
      <c r="J16179" s="28">
        <v>0.23639636224406499</v>
      </c>
      <c r="K16179" s="29">
        <v>0.98289565623980701</v>
      </c>
    </row>
    <row r="16180" spans="1:11" x14ac:dyDescent="0.35">
      <c r="A16180" s="9" t="str">
        <f>HYPERLINK("http://www.ensembl.org/id/WBGene00011930", "WBGene00011930")</f>
        <v>WBGene00011930</v>
      </c>
      <c r="B16180" s="9" t="str">
        <f>HYPERLINK("http://www.ncbi.nlm.nih.gov/gene/179883", "179883")</f>
        <v>179883</v>
      </c>
      <c r="C16180" s="9"/>
      <c r="D16180" t="str">
        <f>"T22G5.3"</f>
        <v>T22G5.3</v>
      </c>
      <c r="F16180" t="s">
        <v>11</v>
      </c>
      <c r="H16180" s="12">
        <v>-1.1469488770471401</v>
      </c>
      <c r="I16180" s="20">
        <v>-0.52471772354875101</v>
      </c>
      <c r="J16180" s="28">
        <v>0.59977943461632199</v>
      </c>
      <c r="K16180" s="29">
        <v>0.98289565623980701</v>
      </c>
    </row>
    <row r="16181" spans="1:11" x14ac:dyDescent="0.35">
      <c r="A16181" s="9" t="str">
        <f>HYPERLINK("http://www.ensembl.org/id/WBGene00011934", "WBGene00011934")</f>
        <v>WBGene00011934</v>
      </c>
      <c r="B16181" s="9" t="str">
        <f>HYPERLINK("http://www.ncbi.nlm.nih.gov/gene/188766", "188766")</f>
        <v>188766</v>
      </c>
      <c r="C16181" s="9"/>
      <c r="D16181" t="str">
        <f>"T22H2.4"</f>
        <v>T22H2.4</v>
      </c>
      <c r="F16181" t="s">
        <v>11</v>
      </c>
      <c r="H16181" s="12">
        <v>1.3468383742238299</v>
      </c>
      <c r="I16181" s="20">
        <v>0.35087186582402202</v>
      </c>
      <c r="J16181" s="28">
        <v>0.72568447908657796</v>
      </c>
      <c r="K16181" s="29">
        <v>0.98289565623980701</v>
      </c>
    </row>
    <row r="16182" spans="1:11" x14ac:dyDescent="0.35">
      <c r="A16182" s="9" t="str">
        <f>HYPERLINK("http://www.ensembl.org/id/WBGene00220083", "WBGene00220083")</f>
        <v>WBGene00220083</v>
      </c>
      <c r="B16182" s="9"/>
      <c r="C16182" s="9"/>
      <c r="D16182" t="str">
        <f>"T23B12.13"</f>
        <v>T23B12.13</v>
      </c>
      <c r="F16182" t="s">
        <v>2977</v>
      </c>
      <c r="H16182" s="12">
        <v>-2.64522751747859</v>
      </c>
      <c r="I16182" s="20">
        <v>-0.322957783917381</v>
      </c>
      <c r="J16182" s="28">
        <v>0.74672721379852502</v>
      </c>
      <c r="K16182" s="29">
        <v>0.98289565623980701</v>
      </c>
    </row>
    <row r="16183" spans="1:11" x14ac:dyDescent="0.35">
      <c r="A16183" s="9" t="str">
        <f>HYPERLINK("http://www.ensembl.org/id/WBGene00220084", "WBGene00220084")</f>
        <v>WBGene00220084</v>
      </c>
      <c r="B16183" s="9"/>
      <c r="C16183" s="9"/>
      <c r="D16183" t="str">
        <f>"T23B12.14"</f>
        <v>T23B12.14</v>
      </c>
      <c r="F16183" t="s">
        <v>481</v>
      </c>
      <c r="H16183" s="12">
        <v>2.28714940472342</v>
      </c>
      <c r="I16183" s="20">
        <v>0.687066638490475</v>
      </c>
      <c r="J16183" s="28">
        <v>0.49204073623705702</v>
      </c>
      <c r="K16183" s="29">
        <v>0.98289565623980701</v>
      </c>
    </row>
    <row r="16184" spans="1:11" x14ac:dyDescent="0.35">
      <c r="A16184" s="9" t="str">
        <f>HYPERLINK("http://www.ensembl.org/id/WBGene00020720", "WBGene00020720")</f>
        <v>WBGene00020720</v>
      </c>
      <c r="B16184" s="9" t="str">
        <f>HYPERLINK("http://www.ncbi.nlm.nih.gov/gene/188777", "188777")</f>
        <v>188777</v>
      </c>
      <c r="C16184" s="9"/>
      <c r="D16184" t="str">
        <f>"T23B12.5"</f>
        <v>T23B12.5</v>
      </c>
      <c r="F16184" t="s">
        <v>11</v>
      </c>
      <c r="G16184" t="s">
        <v>557</v>
      </c>
      <c r="H16184" s="12">
        <v>1.35072235209311</v>
      </c>
      <c r="I16184" s="20">
        <v>0.44688595044469098</v>
      </c>
      <c r="J16184" s="28">
        <v>0.65495740859528195</v>
      </c>
      <c r="K16184" s="29">
        <v>0.98289565623980701</v>
      </c>
    </row>
    <row r="16185" spans="1:11" x14ac:dyDescent="0.35">
      <c r="A16185" s="9" t="str">
        <f>HYPERLINK("http://www.ensembl.org/id/WBGene00020710", "WBGene00020710")</f>
        <v>WBGene00020710</v>
      </c>
      <c r="B16185" s="9" t="str">
        <f>HYPERLINK("http://www.ncbi.nlm.nih.gov/gene/188772", "188772")</f>
        <v>188772</v>
      </c>
      <c r="C16185" s="9"/>
      <c r="D16185" t="str">
        <f>"T23B3.2"</f>
        <v>T23B3.2</v>
      </c>
      <c r="F16185" t="s">
        <v>11</v>
      </c>
      <c r="G16185" t="s">
        <v>25</v>
      </c>
      <c r="H16185" s="12">
        <v>-1.1360737934090901</v>
      </c>
      <c r="I16185" s="20">
        <v>-0.69598776922503802</v>
      </c>
      <c r="J16185" s="28">
        <v>0.48643648935158601</v>
      </c>
      <c r="K16185" s="29">
        <v>0.98289565623980701</v>
      </c>
    </row>
    <row r="16186" spans="1:11" x14ac:dyDescent="0.35">
      <c r="A16186" s="9" t="str">
        <f>HYPERLINK("http://www.ensembl.org/id/WBGene00020713", "WBGene00020713")</f>
        <v>WBGene00020713</v>
      </c>
      <c r="B16186" s="9" t="str">
        <f>HYPERLINK("http://www.ncbi.nlm.nih.gov/gene/172387", "172387")</f>
        <v>172387</v>
      </c>
      <c r="C16186" s="9"/>
      <c r="D16186" t="str">
        <f>"T23B3.5"</f>
        <v>T23B3.5</v>
      </c>
      <c r="F16186" t="s">
        <v>11</v>
      </c>
      <c r="H16186" s="12">
        <v>1.2669486343352501</v>
      </c>
      <c r="I16186" s="20">
        <v>0.37690883531435299</v>
      </c>
      <c r="J16186" s="28">
        <v>0.70624135521647102</v>
      </c>
      <c r="K16186" s="29">
        <v>0.98289565623980701</v>
      </c>
    </row>
    <row r="16187" spans="1:11" x14ac:dyDescent="0.35">
      <c r="A16187" s="9" t="str">
        <f>HYPERLINK("http://www.ensembl.org/id/WBGene00020714", "WBGene00020714")</f>
        <v>WBGene00020714</v>
      </c>
      <c r="B16187" s="9" t="str">
        <f>HYPERLINK("http://www.ncbi.nlm.nih.gov/gene/188775", "188775")</f>
        <v>188775</v>
      </c>
      <c r="C16187" s="9"/>
      <c r="D16187" t="str">
        <f>"T23B3.6"</f>
        <v>T23B3.6</v>
      </c>
      <c r="F16187" t="s">
        <v>11</v>
      </c>
      <c r="G16187" t="s">
        <v>25</v>
      </c>
      <c r="H16187" s="12">
        <v>1.44223525824747</v>
      </c>
      <c r="I16187" s="20">
        <v>1.11022635228078</v>
      </c>
      <c r="J16187" s="28">
        <v>0.26690149984601602</v>
      </c>
      <c r="K16187" s="29">
        <v>0.98289565623980701</v>
      </c>
    </row>
    <row r="16188" spans="1:11" x14ac:dyDescent="0.35">
      <c r="A16188" s="9" t="str">
        <f>HYPERLINK("http://www.ensembl.org/id/WBGene00255606", "WBGene00255606")</f>
        <v>WBGene00255606</v>
      </c>
      <c r="B16188" s="9"/>
      <c r="C16188" s="9"/>
      <c r="D16188" t="str">
        <f>"T23B3.9"</f>
        <v>T23B3.9</v>
      </c>
      <c r="F16188" t="s">
        <v>481</v>
      </c>
      <c r="H16188" s="12">
        <v>-3.4381692680997</v>
      </c>
      <c r="I16188" s="20">
        <v>-0.66589672130188204</v>
      </c>
      <c r="J16188" s="28">
        <v>0.50547711633834203</v>
      </c>
      <c r="K16188" s="29">
        <v>0.98289565623980701</v>
      </c>
    </row>
    <row r="16189" spans="1:11" x14ac:dyDescent="0.35">
      <c r="A16189" s="9" t="str">
        <f>HYPERLINK("http://www.ensembl.org/id/WBGene00011940", "WBGene00011940")</f>
        <v>WBGene00011940</v>
      </c>
      <c r="B16189" s="9" t="str">
        <f>HYPERLINK("http://www.ncbi.nlm.nih.gov/gene/178222", "178222")</f>
        <v>178222</v>
      </c>
      <c r="C16189" s="9"/>
      <c r="D16189" t="str">
        <f>"T23B5.3"</f>
        <v>T23B5.3</v>
      </c>
      <c r="F16189" t="s">
        <v>11</v>
      </c>
      <c r="H16189" s="12">
        <v>-1.1803239473656599</v>
      </c>
      <c r="I16189" s="20">
        <v>-0.87883433750065598</v>
      </c>
      <c r="J16189" s="28">
        <v>0.37949110534637298</v>
      </c>
      <c r="K16189" s="29">
        <v>0.98289565623980701</v>
      </c>
    </row>
    <row r="16190" spans="1:11" x14ac:dyDescent="0.35">
      <c r="A16190" s="9" t="str">
        <f>HYPERLINK("http://www.ensembl.org/id/WBGene00011941", "WBGene00011941")</f>
        <v>WBGene00011941</v>
      </c>
      <c r="B16190" s="9" t="str">
        <f>HYPERLINK("http://www.ncbi.nlm.nih.gov/gene/3565854", "3565854")</f>
        <v>3565854</v>
      </c>
      <c r="C16190" s="9"/>
      <c r="D16190" t="str">
        <f>"T23B5.4"</f>
        <v>T23B5.4</v>
      </c>
      <c r="F16190" t="s">
        <v>11</v>
      </c>
      <c r="G16190" t="s">
        <v>9411</v>
      </c>
      <c r="H16190" s="12">
        <v>-1.24462961948771</v>
      </c>
      <c r="I16190" s="20">
        <v>-0.68479923459144798</v>
      </c>
      <c r="J16190" s="28">
        <v>0.49347061842870799</v>
      </c>
      <c r="K16190" s="29">
        <v>0.98289565623980701</v>
      </c>
    </row>
    <row r="16191" spans="1:11" x14ac:dyDescent="0.35">
      <c r="A16191" s="9" t="str">
        <f>HYPERLINK("http://www.ensembl.org/id/WBGene00044767", "WBGene00044767")</f>
        <v>WBGene00044767</v>
      </c>
      <c r="B16191" s="9" t="str">
        <f>HYPERLINK("http://www.ncbi.nlm.nih.gov/gene/4363018", "4363018")</f>
        <v>4363018</v>
      </c>
      <c r="C16191" s="9"/>
      <c r="D16191" t="str">
        <f>"T23B7.3"</f>
        <v>T23B7.3</v>
      </c>
      <c r="F16191" t="s">
        <v>11</v>
      </c>
      <c r="H16191" s="12">
        <v>1.07579208344124</v>
      </c>
      <c r="I16191" s="20">
        <v>0.25443464559587597</v>
      </c>
      <c r="J16191" s="28">
        <v>0.79915978810233002</v>
      </c>
      <c r="K16191" s="29">
        <v>0.98289565623980701</v>
      </c>
    </row>
    <row r="16192" spans="1:11" x14ac:dyDescent="0.35">
      <c r="A16192" s="9" t="str">
        <f>HYPERLINK("http://www.ensembl.org/id/WBGene00202242", "WBGene00202242")</f>
        <v>WBGene00202242</v>
      </c>
      <c r="B16192" s="9"/>
      <c r="C16192" s="9"/>
      <c r="D16192" t="str">
        <f>"T23C6.6"</f>
        <v>T23C6.6</v>
      </c>
      <c r="F16192" t="s">
        <v>481</v>
      </c>
      <c r="H16192" s="12">
        <v>2.3893468495514898</v>
      </c>
      <c r="I16192" s="20">
        <v>0.25323547253672701</v>
      </c>
      <c r="J16192" s="28">
        <v>0.80008625651646104</v>
      </c>
      <c r="K16192" s="29">
        <v>0.98289565623980701</v>
      </c>
    </row>
    <row r="16193" spans="1:11" x14ac:dyDescent="0.35">
      <c r="A16193" s="9" t="str">
        <f>HYPERLINK("http://www.ensembl.org/id/WBGene00050972", "WBGene00050972")</f>
        <v>WBGene00050972</v>
      </c>
      <c r="B16193" s="9"/>
      <c r="C16193" s="9"/>
      <c r="D16193" t="str">
        <f>"T23D5.13"</f>
        <v>T23D5.13</v>
      </c>
      <c r="F16193" t="s">
        <v>80</v>
      </c>
      <c r="H16193" s="12">
        <v>4.4368407117627902</v>
      </c>
      <c r="I16193" s="20">
        <v>0.43709475933309699</v>
      </c>
      <c r="J16193" s="28">
        <v>0.66204262779770495</v>
      </c>
      <c r="K16193" s="29">
        <v>0.98289565623980701</v>
      </c>
    </row>
    <row r="16194" spans="1:11" x14ac:dyDescent="0.35">
      <c r="A16194" s="9" t="str">
        <f>HYPERLINK("http://www.ensembl.org/id/WBGene00220087", "WBGene00220087")</f>
        <v>WBGene00220087</v>
      </c>
      <c r="B16194" s="9"/>
      <c r="C16194" s="9"/>
      <c r="D16194" t="str">
        <f>"T23D8.13"</f>
        <v>T23D8.13</v>
      </c>
      <c r="F16194" t="s">
        <v>2977</v>
      </c>
      <c r="H16194" s="12">
        <v>1.20546445573341</v>
      </c>
      <c r="I16194" s="20">
        <v>0.36922783704506701</v>
      </c>
      <c r="J16194" s="28">
        <v>0.71195790855863095</v>
      </c>
      <c r="K16194" s="29">
        <v>0.98289565623980701</v>
      </c>
    </row>
    <row r="16195" spans="1:11" x14ac:dyDescent="0.35">
      <c r="A16195" s="9" t="str">
        <f>HYPERLINK("http://www.ensembl.org/id/WBGene00011944", "WBGene00011944")</f>
        <v>WBGene00011944</v>
      </c>
      <c r="B16195" s="9" t="str">
        <f>HYPERLINK("http://www.ncbi.nlm.nih.gov/gene/172857", "172857")</f>
        <v>172857</v>
      </c>
      <c r="C16195" s="9" t="str">
        <f>HYPERLINK("http://www.ncbi.nlm.nih.gov/gene/84946", "84946")</f>
        <v>84946</v>
      </c>
      <c r="D16195" t="str">
        <f>"T23D8.3"</f>
        <v>T23D8.3</v>
      </c>
      <c r="F16195" t="s">
        <v>11</v>
      </c>
      <c r="G16195" t="s">
        <v>7244</v>
      </c>
      <c r="H16195" s="12">
        <v>-1.11530059393948</v>
      </c>
      <c r="I16195" s="20">
        <v>-0.57987917383561705</v>
      </c>
      <c r="J16195" s="28">
        <v>0.56199610097067099</v>
      </c>
      <c r="K16195" s="29">
        <v>0.98289565623980701</v>
      </c>
    </row>
    <row r="16196" spans="1:11" x14ac:dyDescent="0.35">
      <c r="A16196" s="9" t="str">
        <f>HYPERLINK("http://www.ensembl.org/id/WBGene00020729", "WBGene00020729")</f>
        <v>WBGene00020729</v>
      </c>
      <c r="B16196" s="9"/>
      <c r="C16196" s="9"/>
      <c r="D16196" t="str">
        <f>"T23E1.2"</f>
        <v>T23E1.2</v>
      </c>
      <c r="F16196" t="s">
        <v>80</v>
      </c>
      <c r="H16196" s="12">
        <v>-1.2338230322425101</v>
      </c>
      <c r="I16196" s="20">
        <v>-0.41865872859985298</v>
      </c>
      <c r="J16196" s="28">
        <v>0.67546556219362397</v>
      </c>
      <c r="K16196" s="29">
        <v>0.98289565623980701</v>
      </c>
    </row>
    <row r="16197" spans="1:11" x14ac:dyDescent="0.35">
      <c r="A16197" s="9" t="str">
        <f>HYPERLINK("http://www.ensembl.org/id/WBGene00020730", "WBGene00020730")</f>
        <v>WBGene00020730</v>
      </c>
      <c r="B16197" s="9" t="str">
        <f>HYPERLINK("http://www.ncbi.nlm.nih.gov/gene/3565157", "3565157")</f>
        <v>3565157</v>
      </c>
      <c r="C16197" s="9"/>
      <c r="D16197" t="str">
        <f>"T23E1.3"</f>
        <v>T23E1.3</v>
      </c>
      <c r="F16197" t="s">
        <v>11</v>
      </c>
      <c r="H16197" s="12">
        <v>-1.9524789117864101</v>
      </c>
      <c r="I16197" s="20">
        <v>-0.28472348942818698</v>
      </c>
      <c r="J16197" s="28">
        <v>0.77585599322051002</v>
      </c>
      <c r="K16197" s="29">
        <v>0.98289565623980701</v>
      </c>
    </row>
    <row r="16198" spans="1:11" x14ac:dyDescent="0.35">
      <c r="A16198" s="9" t="str">
        <f>HYPERLINK("http://www.ensembl.org/id/WBGene00044772", "WBGene00044772")</f>
        <v>WBGene00044772</v>
      </c>
      <c r="B16198" s="9" t="str">
        <f>HYPERLINK("http://www.ncbi.nlm.nih.gov/gene/4363117", "4363117")</f>
        <v>4363117</v>
      </c>
      <c r="C16198" s="9"/>
      <c r="D16198" t="str">
        <f>"T23E7.6"</f>
        <v>T23E7.6</v>
      </c>
      <c r="F16198" t="s">
        <v>11</v>
      </c>
      <c r="G16198" t="s">
        <v>25</v>
      </c>
      <c r="H16198" s="12">
        <v>1.2822017816976901</v>
      </c>
      <c r="I16198" s="20">
        <v>0.93792510972276799</v>
      </c>
      <c r="J16198" s="28">
        <v>0.34828289808124602</v>
      </c>
      <c r="K16198" s="29">
        <v>0.98289565623980701</v>
      </c>
    </row>
    <row r="16199" spans="1:11" x14ac:dyDescent="0.35">
      <c r="A16199" s="9" t="str">
        <f>HYPERLINK("http://www.ensembl.org/id/WBGene00011957", "WBGene00011957")</f>
        <v>WBGene00011957</v>
      </c>
      <c r="B16199" s="9" t="str">
        <f>HYPERLINK("http://www.ncbi.nlm.nih.gov/gene/3565839", "3565839")</f>
        <v>3565839</v>
      </c>
      <c r="C16199" s="9"/>
      <c r="D16199" t="str">
        <f>"T23F11.6"</f>
        <v>T23F11.6</v>
      </c>
      <c r="F16199" t="s">
        <v>11</v>
      </c>
      <c r="H16199" s="12">
        <v>-1.28930138329116</v>
      </c>
      <c r="I16199" s="20">
        <v>-1.1671886064833601</v>
      </c>
      <c r="J16199" s="28">
        <v>0.243134211031655</v>
      </c>
      <c r="K16199" s="29">
        <v>0.98289565623980701</v>
      </c>
    </row>
    <row r="16200" spans="1:11" x14ac:dyDescent="0.35">
      <c r="A16200" s="9" t="str">
        <f>HYPERLINK("http://www.ensembl.org/id/WBGene00195270", "WBGene00195270")</f>
        <v>WBGene00195270</v>
      </c>
      <c r="B16200" s="9"/>
      <c r="C16200" s="9"/>
      <c r="D16200" t="str">
        <f>"T23F11.7"</f>
        <v>T23F11.7</v>
      </c>
      <c r="F16200" t="s">
        <v>481</v>
      </c>
      <c r="H16200" s="12">
        <v>-5.4967879193631202</v>
      </c>
      <c r="I16200" s="20">
        <v>-0.50254160819837501</v>
      </c>
      <c r="J16200" s="28">
        <v>0.61528659178453604</v>
      </c>
      <c r="K16200" s="29">
        <v>0.98289565623980701</v>
      </c>
    </row>
    <row r="16201" spans="1:11" x14ac:dyDescent="0.35">
      <c r="A16201" s="9" t="str">
        <f>HYPERLINK("http://www.ensembl.org/id/WBGene00197298", "WBGene00197298")</f>
        <v>WBGene00197298</v>
      </c>
      <c r="B16201" s="9"/>
      <c r="C16201" s="9"/>
      <c r="D16201" t="str">
        <f>"T23F11.8"</f>
        <v>T23F11.8</v>
      </c>
      <c r="F16201" t="s">
        <v>481</v>
      </c>
      <c r="H16201" s="12">
        <v>-15.9583252361485</v>
      </c>
      <c r="I16201" s="20">
        <v>-0.93882533230632104</v>
      </c>
      <c r="J16201" s="28">
        <v>0.34782043040587501</v>
      </c>
      <c r="K16201" s="29">
        <v>0.98289565623980701</v>
      </c>
    </row>
    <row r="16202" spans="1:11" x14ac:dyDescent="0.35">
      <c r="A16202" s="9" t="str">
        <f>HYPERLINK("http://www.ensembl.org/id/WBGene00020737", "WBGene00020737")</f>
        <v>WBGene00020737</v>
      </c>
      <c r="B16202" s="9" t="str">
        <f>HYPERLINK("http://www.ncbi.nlm.nih.gov/gene/188806", "188806")</f>
        <v>188806</v>
      </c>
      <c r="C16202" s="9"/>
      <c r="D16202" t="str">
        <f>"T23F2.4"</f>
        <v>T23F2.4</v>
      </c>
      <c r="E16202" t="s">
        <v>4716</v>
      </c>
      <c r="F16202" t="s">
        <v>11</v>
      </c>
      <c r="G16202" t="s">
        <v>25</v>
      </c>
      <c r="H16202" s="12">
        <v>1.4558098927108201</v>
      </c>
      <c r="I16202" s="20">
        <v>0.78869205273163401</v>
      </c>
      <c r="J16202" s="28">
        <v>0.43029201397224398</v>
      </c>
      <c r="K16202" s="29">
        <v>0.98289565623980701</v>
      </c>
    </row>
    <row r="16203" spans="1:11" x14ac:dyDescent="0.35">
      <c r="A16203" s="9" t="str">
        <f>HYPERLINK("http://www.ensembl.org/id/WBGene00020738", "WBGene00020738")</f>
        <v>WBGene00020738</v>
      </c>
      <c r="B16203" s="9" t="str">
        <f>HYPERLINK("http://www.ncbi.nlm.nih.gov/gene/180823", "180823")</f>
        <v>180823</v>
      </c>
      <c r="C16203" s="9"/>
      <c r="D16203" t="str">
        <f>"T23F2.5"</f>
        <v>T23F2.5</v>
      </c>
      <c r="E16203" t="s">
        <v>8834</v>
      </c>
      <c r="F16203" t="s">
        <v>11</v>
      </c>
      <c r="G16203" t="s">
        <v>25</v>
      </c>
      <c r="H16203" s="12">
        <v>-1.20025609701339</v>
      </c>
      <c r="I16203" s="20">
        <v>-0.98554136521532798</v>
      </c>
      <c r="J16203" s="28">
        <v>0.32435822325709801</v>
      </c>
      <c r="K16203" s="29">
        <v>0.98289565623980701</v>
      </c>
    </row>
    <row r="16204" spans="1:11" x14ac:dyDescent="0.35">
      <c r="A16204" s="9" t="str">
        <f>HYPERLINK("http://www.ensembl.org/id/WBGene00199332", "WBGene00199332")</f>
        <v>WBGene00199332</v>
      </c>
      <c r="B16204" s="9"/>
      <c r="C16204" s="9"/>
      <c r="D16204" t="str">
        <f>"T23F2.9"</f>
        <v>T23F2.9</v>
      </c>
      <c r="F16204" t="s">
        <v>481</v>
      </c>
      <c r="H16204" s="12">
        <v>2.4578120077400301</v>
      </c>
      <c r="I16204" s="20">
        <v>0.26093350314551</v>
      </c>
      <c r="J16204" s="28">
        <v>0.79414378780213601</v>
      </c>
      <c r="K16204" s="29">
        <v>0.98289565623980701</v>
      </c>
    </row>
    <row r="16205" spans="1:11" x14ac:dyDescent="0.35">
      <c r="A16205" s="9" t="str">
        <f>HYPERLINK("http://www.ensembl.org/id/WBGene00020740", "WBGene00020740")</f>
        <v>WBGene00020740</v>
      </c>
      <c r="B16205" s="9" t="str">
        <f>HYPERLINK("http://www.ncbi.nlm.nih.gov/gene/173501", "173501")</f>
        <v>173501</v>
      </c>
      <c r="C16205" s="9"/>
      <c r="D16205" t="str">
        <f>"T23F4.2"</f>
        <v>T23F4.2</v>
      </c>
      <c r="F16205" t="s">
        <v>11</v>
      </c>
      <c r="H16205" s="12">
        <v>1.10653881443267</v>
      </c>
      <c r="I16205" s="20">
        <v>0.49601952481341</v>
      </c>
      <c r="J16205" s="28">
        <v>0.61988063557906603</v>
      </c>
      <c r="K16205" s="29">
        <v>0.98289565623980701</v>
      </c>
    </row>
    <row r="16206" spans="1:11" x14ac:dyDescent="0.35">
      <c r="A16206" s="9" t="str">
        <f>HYPERLINK("http://www.ensembl.org/id/WBGene00011949", "WBGene00011949")</f>
        <v>WBGene00011949</v>
      </c>
      <c r="B16206" s="9" t="str">
        <f>HYPERLINK("http://www.ncbi.nlm.nih.gov/gene/178227", "178227")</f>
        <v>178227</v>
      </c>
      <c r="C16206" s="9"/>
      <c r="D16206" t="str">
        <f>"T23F6.1"</f>
        <v>T23F6.1</v>
      </c>
      <c r="F16206" t="s">
        <v>11</v>
      </c>
      <c r="H16206" s="12">
        <v>1.64882056318323</v>
      </c>
      <c r="I16206" s="20">
        <v>0.58231580660160098</v>
      </c>
      <c r="J16206" s="28">
        <v>0.56035398044644402</v>
      </c>
      <c r="K16206" s="29">
        <v>0.98289565623980701</v>
      </c>
    </row>
    <row r="16207" spans="1:11" x14ac:dyDescent="0.35">
      <c r="A16207" s="9" t="str">
        <f>HYPERLINK("http://www.ensembl.org/id/WBGene00011951", "WBGene00011951")</f>
        <v>WBGene00011951</v>
      </c>
      <c r="B16207" s="9" t="str">
        <f>HYPERLINK("http://www.ncbi.nlm.nih.gov/gene/178228", "178228")</f>
        <v>178228</v>
      </c>
      <c r="C16207" s="9"/>
      <c r="D16207" t="str">
        <f>"T23F6.3"</f>
        <v>T23F6.3</v>
      </c>
      <c r="F16207" t="s">
        <v>11</v>
      </c>
      <c r="G16207" t="s">
        <v>51</v>
      </c>
      <c r="H16207" s="12">
        <v>1.69099969199073</v>
      </c>
      <c r="I16207" s="20">
        <v>0.537346031659239</v>
      </c>
      <c r="J16207" s="28">
        <v>0.59102861454628097</v>
      </c>
      <c r="K16207" s="29">
        <v>0.98289565623980701</v>
      </c>
    </row>
    <row r="16208" spans="1:11" x14ac:dyDescent="0.35">
      <c r="A16208" s="9" t="str">
        <f>HYPERLINK("http://www.ensembl.org/id/WBGene00011952", "WBGene00011952")</f>
        <v>WBGene00011952</v>
      </c>
      <c r="B16208" s="9" t="str">
        <f>HYPERLINK("http://www.ncbi.nlm.nih.gov/gene/188811", "188811")</f>
        <v>188811</v>
      </c>
      <c r="C16208" s="9"/>
      <c r="D16208" t="str">
        <f>"T23F6.5"</f>
        <v>T23F6.5</v>
      </c>
      <c r="F16208" t="s">
        <v>11</v>
      </c>
      <c r="H16208" s="12">
        <v>1.8008233682941099</v>
      </c>
      <c r="I16208" s="20">
        <v>0.64374546165928404</v>
      </c>
      <c r="J16208" s="28">
        <v>0.51974050472766598</v>
      </c>
      <c r="K16208" s="29">
        <v>0.98289565623980701</v>
      </c>
    </row>
    <row r="16209" spans="1:11" x14ac:dyDescent="0.35">
      <c r="A16209" s="9" t="str">
        <f>HYPERLINK("http://www.ensembl.org/id/WBGene00011968", "WBGene00011968")</f>
        <v>WBGene00011968</v>
      </c>
      <c r="B16209" s="9" t="str">
        <f>HYPERLINK("http://www.ncbi.nlm.nih.gov/gene/172534", "172534")</f>
        <v>172534</v>
      </c>
      <c r="C16209" s="9"/>
      <c r="D16209" t="str">
        <f>"T23G11.1"</f>
        <v>T23G11.1</v>
      </c>
      <c r="F16209" t="s">
        <v>11</v>
      </c>
      <c r="G16209" t="s">
        <v>25</v>
      </c>
      <c r="H16209" s="12">
        <v>1.24734755789494</v>
      </c>
      <c r="I16209" s="20">
        <v>0.41044394466661899</v>
      </c>
      <c r="J16209" s="28">
        <v>0.68148031566585598</v>
      </c>
      <c r="K16209" s="29">
        <v>0.98289565623980701</v>
      </c>
    </row>
    <row r="16210" spans="1:11" x14ac:dyDescent="0.35">
      <c r="A16210" s="9" t="str">
        <f>HYPERLINK("http://www.ensembl.org/id/WBGene00011973", "WBGene00011973")</f>
        <v>WBGene00011973</v>
      </c>
      <c r="B16210" s="9" t="str">
        <f>HYPERLINK("http://www.ncbi.nlm.nih.gov/gene/3565532", "3565532")</f>
        <v>3565532</v>
      </c>
      <c r="C16210" s="9"/>
      <c r="D16210" t="str">
        <f>"T23G11.10"</f>
        <v>T23G11.10</v>
      </c>
      <c r="F16210" t="s">
        <v>11</v>
      </c>
      <c r="G16210" t="s">
        <v>25</v>
      </c>
      <c r="H16210" s="12">
        <v>-1.72015738873766</v>
      </c>
      <c r="I16210" s="20">
        <v>-0.27236994838053602</v>
      </c>
      <c r="J16210" s="28">
        <v>0.78533757722282105</v>
      </c>
      <c r="K16210" s="29">
        <v>0.98289565623980701</v>
      </c>
    </row>
    <row r="16211" spans="1:11" x14ac:dyDescent="0.35">
      <c r="A16211" s="9" t="str">
        <f>HYPERLINK("http://www.ensembl.org/id/WBGene00011969", "WBGene00011969")</f>
        <v>WBGene00011969</v>
      </c>
      <c r="B16211" s="9" t="str">
        <f>HYPERLINK("http://www.ncbi.nlm.nih.gov/gene/172531", "172531")</f>
        <v>172531</v>
      </c>
      <c r="C16211" s="9"/>
      <c r="D16211" t="str">
        <f>"T23G11.4"</f>
        <v>T23G11.4</v>
      </c>
      <c r="F16211" t="s">
        <v>11</v>
      </c>
      <c r="G16211" t="s">
        <v>8421</v>
      </c>
      <c r="H16211" s="12">
        <v>-1.17676404290153</v>
      </c>
      <c r="I16211" s="20">
        <v>-0.76465424765951895</v>
      </c>
      <c r="J16211" s="28">
        <v>0.44447745708329001</v>
      </c>
      <c r="K16211" s="29">
        <v>0.98289565623980701</v>
      </c>
    </row>
    <row r="16212" spans="1:11" x14ac:dyDescent="0.35">
      <c r="A16212" s="9" t="str">
        <f>HYPERLINK("http://www.ensembl.org/id/WBGene00011972", "WBGene00011972")</f>
        <v>WBGene00011972</v>
      </c>
      <c r="B16212" s="9" t="str">
        <f>HYPERLINK("http://www.ncbi.nlm.nih.gov/gene/172528", "172528")</f>
        <v>172528</v>
      </c>
      <c r="C16212" s="9" t="str">
        <f>HYPERLINK("http://www.ncbi.nlm.nih.gov/gene/51534", "51534")</f>
        <v>51534</v>
      </c>
      <c r="D16212" t="str">
        <f>"T23G11.7"</f>
        <v>T23G11.7</v>
      </c>
      <c r="F16212" t="s">
        <v>11</v>
      </c>
      <c r="G16212" t="s">
        <v>6681</v>
      </c>
      <c r="H16212" s="12">
        <v>-1.08438243525968</v>
      </c>
      <c r="I16212" s="20">
        <v>-0.42955493712448301</v>
      </c>
      <c r="J16212" s="28">
        <v>0.66751942300313405</v>
      </c>
      <c r="K16212" s="29">
        <v>0.98289565623980701</v>
      </c>
    </row>
    <row r="16213" spans="1:11" x14ac:dyDescent="0.35">
      <c r="A16213" s="9" t="str">
        <f>HYPERLINK("http://www.ensembl.org/id/WBGene00219243", "WBGene00219243")</f>
        <v>WBGene00219243</v>
      </c>
      <c r="B16213" s="9" t="str">
        <f>HYPERLINK("http://www.ncbi.nlm.nih.gov/gene/13199210", "13199210")</f>
        <v>13199210</v>
      </c>
      <c r="C16213" s="9"/>
      <c r="D16213" t="str">
        <f>"T23G4.127"</f>
        <v>T23G4.127</v>
      </c>
      <c r="F16213" t="s">
        <v>11</v>
      </c>
      <c r="H16213" s="12">
        <v>5.5954811813640504</v>
      </c>
      <c r="I16213" s="20">
        <v>0.89734836553402098</v>
      </c>
      <c r="J16213" s="28">
        <v>0.36953305581665502</v>
      </c>
      <c r="K16213" s="29">
        <v>0.98289565623980701</v>
      </c>
    </row>
    <row r="16214" spans="1:11" x14ac:dyDescent="0.35">
      <c r="A16214" s="9" t="str">
        <f>HYPERLINK("http://www.ensembl.org/id/WBGene00011961", "WBGene00011961")</f>
        <v>WBGene00011961</v>
      </c>
      <c r="B16214" s="9" t="str">
        <f>HYPERLINK("http://www.ncbi.nlm.nih.gov/gene/188815", "188815")</f>
        <v>188815</v>
      </c>
      <c r="C16214" s="9"/>
      <c r="D16214" t="str">
        <f>"T23G4.5"</f>
        <v>T23G4.5</v>
      </c>
      <c r="F16214" t="s">
        <v>11</v>
      </c>
      <c r="H16214" s="12">
        <v>5.4058944669092801</v>
      </c>
      <c r="I16214" s="20">
        <v>0.49762513753689303</v>
      </c>
      <c r="J16214" s="28">
        <v>0.61874828254921799</v>
      </c>
      <c r="K16214" s="29">
        <v>0.98289565623980701</v>
      </c>
    </row>
    <row r="16215" spans="1:11" x14ac:dyDescent="0.35">
      <c r="A16215" s="9" t="str">
        <f>HYPERLINK("http://www.ensembl.org/id/WBGene00196388", "WBGene00196388")</f>
        <v>WBGene00196388</v>
      </c>
      <c r="B16215" s="9"/>
      <c r="C16215" s="9"/>
      <c r="D16215" t="str">
        <f>"T23G5.10"</f>
        <v>T23G5.10</v>
      </c>
      <c r="F16215" t="s">
        <v>481</v>
      </c>
      <c r="H16215" s="12">
        <v>-3.7261494131482999</v>
      </c>
      <c r="I16215" s="20">
        <v>-0.38454673129429601</v>
      </c>
      <c r="J16215" s="28">
        <v>0.70057326682554</v>
      </c>
      <c r="K16215" s="29">
        <v>0.98289565623980701</v>
      </c>
    </row>
    <row r="16216" spans="1:11" x14ac:dyDescent="0.35">
      <c r="A16216" s="9" t="str">
        <f>HYPERLINK("http://www.ensembl.org/id/WBGene00011965", "WBGene00011965")</f>
        <v>WBGene00011965</v>
      </c>
      <c r="B16216" s="9" t="str">
        <f>HYPERLINK("http://www.ncbi.nlm.nih.gov/gene/174457", "174457")</f>
        <v>174457</v>
      </c>
      <c r="C16216" s="9"/>
      <c r="D16216" t="str">
        <f>"T23G7.2"</f>
        <v>T23G7.2</v>
      </c>
      <c r="F16216" t="s">
        <v>11</v>
      </c>
      <c r="G16216" t="s">
        <v>7018</v>
      </c>
      <c r="H16216" s="12">
        <v>-1.1026355467890101</v>
      </c>
      <c r="I16216" s="20">
        <v>-0.45100121140216998</v>
      </c>
      <c r="J16216" s="28">
        <v>0.65198867589121801</v>
      </c>
      <c r="K16216" s="29">
        <v>0.98289565623980701</v>
      </c>
    </row>
    <row r="16217" spans="1:11" x14ac:dyDescent="0.35">
      <c r="A16217" s="9" t="str">
        <f>HYPERLINK("http://www.ensembl.org/id/WBGene00011966", "WBGene00011966")</f>
        <v>WBGene00011966</v>
      </c>
      <c r="B16217" s="9" t="str">
        <f>HYPERLINK("http://www.ncbi.nlm.nih.gov/gene/174456", "174456")</f>
        <v>174456</v>
      </c>
      <c r="C16217" s="9"/>
      <c r="D16217" t="str">
        <f>"T23G7.3"</f>
        <v>T23G7.3</v>
      </c>
      <c r="F16217" t="s">
        <v>11</v>
      </c>
      <c r="G16217" t="s">
        <v>91</v>
      </c>
      <c r="H16217" s="12">
        <v>-1.0932710037434199</v>
      </c>
      <c r="I16217" s="20">
        <v>-0.48114320931005899</v>
      </c>
      <c r="J16217" s="28">
        <v>0.63041472000993304</v>
      </c>
      <c r="K16217" s="29">
        <v>0.98289565623980701</v>
      </c>
    </row>
    <row r="16218" spans="1:11" x14ac:dyDescent="0.35">
      <c r="A16218" s="9" t="str">
        <f>HYPERLINK("http://www.ensembl.org/id/WBGene00197284", "WBGene00197284")</f>
        <v>WBGene00197284</v>
      </c>
      <c r="B16218" s="9"/>
      <c r="C16218" s="9"/>
      <c r="D16218" t="str">
        <f>"T24A11.5"</f>
        <v>T24A11.5</v>
      </c>
      <c r="F16218" t="s">
        <v>481</v>
      </c>
      <c r="H16218" s="12">
        <v>-2.4991590031922399</v>
      </c>
      <c r="I16218" s="20">
        <v>-0.26577412737581302</v>
      </c>
      <c r="J16218" s="28">
        <v>0.79041317015736101</v>
      </c>
      <c r="K16218" s="29">
        <v>0.98289565623980701</v>
      </c>
    </row>
    <row r="16219" spans="1:11" x14ac:dyDescent="0.35">
      <c r="A16219" s="9" t="str">
        <f>HYPERLINK("http://www.ensembl.org/id/WBGene00020753", "WBGene00020753")</f>
        <v>WBGene00020753</v>
      </c>
      <c r="B16219" s="9" t="str">
        <f>HYPERLINK("http://www.ncbi.nlm.nih.gov/gene/188833", "188833")</f>
        <v>188833</v>
      </c>
      <c r="C16219" s="9"/>
      <c r="D16219" t="str">
        <f>"T24A6.16"</f>
        <v>T24A6.16</v>
      </c>
      <c r="F16219" t="s">
        <v>11</v>
      </c>
      <c r="G16219" t="s">
        <v>3419</v>
      </c>
      <c r="H16219" s="12">
        <v>3.6645215954135</v>
      </c>
      <c r="I16219" s="20">
        <v>0.37967131826092498</v>
      </c>
      <c r="J16219" s="28">
        <v>0.70418941338960395</v>
      </c>
      <c r="K16219" s="29">
        <v>0.98289565623980701</v>
      </c>
    </row>
    <row r="16220" spans="1:11" x14ac:dyDescent="0.35">
      <c r="A16220" s="9" t="str">
        <f>HYPERLINK("http://www.ensembl.org/id/WBGene00020754", "WBGene00020754")</f>
        <v>WBGene00020754</v>
      </c>
      <c r="B16220" s="9" t="str">
        <f>HYPERLINK("http://www.ncbi.nlm.nih.gov/gene/188834", "188834")</f>
        <v>188834</v>
      </c>
      <c r="C16220" s="9"/>
      <c r="D16220" t="str">
        <f>"T24A6.17"</f>
        <v>T24A6.17</v>
      </c>
      <c r="F16220" t="s">
        <v>11</v>
      </c>
      <c r="H16220" s="12">
        <v>-4.6392780466172203</v>
      </c>
      <c r="I16220" s="20">
        <v>-0.81535334445533003</v>
      </c>
      <c r="J16220" s="28">
        <v>0.41487008213461202</v>
      </c>
      <c r="K16220" s="29">
        <v>0.98289565623980701</v>
      </c>
    </row>
    <row r="16221" spans="1:11" x14ac:dyDescent="0.35">
      <c r="A16221" s="9" t="str">
        <f>HYPERLINK("http://www.ensembl.org/id/WBGene00197033", "WBGene00197033")</f>
        <v>WBGene00197033</v>
      </c>
      <c r="B16221" s="9"/>
      <c r="C16221" s="9"/>
      <c r="D16221" t="str">
        <f>"T24B8.10"</f>
        <v>T24B8.10</v>
      </c>
      <c r="F16221" t="s">
        <v>481</v>
      </c>
      <c r="H16221" s="12">
        <v>3.5227018545059199</v>
      </c>
      <c r="I16221" s="20">
        <v>0.36849691206929103</v>
      </c>
      <c r="J16221" s="28">
        <v>0.71250274722433404</v>
      </c>
      <c r="K16221" s="29">
        <v>0.98289565623980701</v>
      </c>
    </row>
    <row r="16222" spans="1:11" x14ac:dyDescent="0.35">
      <c r="A16222" s="9" t="str">
        <f>HYPERLINK("http://www.ensembl.org/id/WBGene00197046", "WBGene00197046")</f>
        <v>WBGene00197046</v>
      </c>
      <c r="B16222" s="9"/>
      <c r="C16222" s="9"/>
      <c r="D16222" t="str">
        <f>"T24B8.11"</f>
        <v>T24B8.11</v>
      </c>
      <c r="F16222" t="s">
        <v>481</v>
      </c>
      <c r="H16222" s="12">
        <v>2.3893468495514898</v>
      </c>
      <c r="I16222" s="20">
        <v>0.25323547253672701</v>
      </c>
      <c r="J16222" s="28">
        <v>0.80008625651646104</v>
      </c>
      <c r="K16222" s="29">
        <v>0.98289565623980701</v>
      </c>
    </row>
    <row r="16223" spans="1:11" x14ac:dyDescent="0.35">
      <c r="A16223" s="9" t="str">
        <f>HYPERLINK("http://www.ensembl.org/id/WBGene00198614", "WBGene00198614")</f>
        <v>WBGene00198614</v>
      </c>
      <c r="B16223" s="9"/>
      <c r="C16223" s="9"/>
      <c r="D16223" t="str">
        <f>"T24B8.15"</f>
        <v>T24B8.15</v>
      </c>
      <c r="F16223" t="s">
        <v>481</v>
      </c>
      <c r="H16223" s="12">
        <v>2.3893468495514898</v>
      </c>
      <c r="I16223" s="20">
        <v>0.25323547253672701</v>
      </c>
      <c r="J16223" s="28">
        <v>0.80008625651646104</v>
      </c>
      <c r="K16223" s="29">
        <v>0.98289565623980701</v>
      </c>
    </row>
    <row r="16224" spans="1:11" x14ac:dyDescent="0.35">
      <c r="A16224" s="9" t="str">
        <f>HYPERLINK("http://www.ensembl.org/id/WBGene00199104", "WBGene00199104")</f>
        <v>WBGene00199104</v>
      </c>
      <c r="B16224" s="9"/>
      <c r="C16224" s="9"/>
      <c r="D16224" t="str">
        <f>"T24B8.17"</f>
        <v>T24B8.17</v>
      </c>
      <c r="F16224" t="s">
        <v>481</v>
      </c>
      <c r="H16224" s="12">
        <v>1.7913650544592099</v>
      </c>
      <c r="I16224" s="20">
        <v>0.30150347616650203</v>
      </c>
      <c r="J16224" s="28">
        <v>0.76303059966498998</v>
      </c>
      <c r="K16224" s="29">
        <v>0.98289565623980701</v>
      </c>
    </row>
    <row r="16225" spans="1:11" x14ac:dyDescent="0.35">
      <c r="A16225" s="9" t="str">
        <f>HYPERLINK("http://www.ensembl.org/id/WBGene00200126", "WBGene00200126")</f>
        <v>WBGene00200126</v>
      </c>
      <c r="B16225" s="9"/>
      <c r="C16225" s="9"/>
      <c r="D16225" t="str">
        <f>"T24B8.19"</f>
        <v>T24B8.19</v>
      </c>
      <c r="F16225" t="s">
        <v>481</v>
      </c>
      <c r="H16225" s="12">
        <v>3.6645215954135</v>
      </c>
      <c r="I16225" s="20">
        <v>0.37967131826092498</v>
      </c>
      <c r="J16225" s="28">
        <v>0.70418941338960395</v>
      </c>
      <c r="K16225" s="29">
        <v>0.98289565623980701</v>
      </c>
    </row>
    <row r="16226" spans="1:11" x14ac:dyDescent="0.35">
      <c r="A16226" s="9" t="str">
        <f>HYPERLINK("http://www.ensembl.org/id/WBGene00011976", "WBGene00011976")</f>
        <v>WBGene00011976</v>
      </c>
      <c r="B16226" s="9" t="str">
        <f>HYPERLINK("http://www.ncbi.nlm.nih.gov/gene/174442", "174442")</f>
        <v>174442</v>
      </c>
      <c r="C16226" s="9" t="str">
        <f>HYPERLINK("http://www.ncbi.nlm.nih.gov/gene/91782", "91782")</f>
        <v>91782</v>
      </c>
      <c r="D16226" t="str">
        <f>"T24B8.2"</f>
        <v>T24B8.2</v>
      </c>
      <c r="F16226" t="s">
        <v>11</v>
      </c>
      <c r="G16226" t="s">
        <v>7241</v>
      </c>
      <c r="H16226" s="12">
        <v>-1.14391461703646</v>
      </c>
      <c r="I16226" s="20">
        <v>-0.64308264407607496</v>
      </c>
      <c r="J16226" s="28">
        <v>0.52017047566929397</v>
      </c>
      <c r="K16226" s="29">
        <v>0.98289565623980701</v>
      </c>
    </row>
    <row r="16227" spans="1:11" x14ac:dyDescent="0.35">
      <c r="A16227" s="9" t="str">
        <f>HYPERLINK("http://www.ensembl.org/id/WBGene00201026", "WBGene00201026")</f>
        <v>WBGene00201026</v>
      </c>
      <c r="B16227" s="9"/>
      <c r="C16227" s="9"/>
      <c r="D16227" t="str">
        <f>"T24B8.20"</f>
        <v>T24B8.20</v>
      </c>
      <c r="F16227" t="s">
        <v>481</v>
      </c>
      <c r="H16227" s="12">
        <v>2.4578120077400301</v>
      </c>
      <c r="I16227" s="20">
        <v>0.26093350314551</v>
      </c>
      <c r="J16227" s="28">
        <v>0.79414378780213601</v>
      </c>
      <c r="K16227" s="29">
        <v>0.98289565623980701</v>
      </c>
    </row>
    <row r="16228" spans="1:11" x14ac:dyDescent="0.35">
      <c r="A16228" s="9" t="str">
        <f>HYPERLINK("http://www.ensembl.org/id/WBGene00220091", "WBGene00220091")</f>
        <v>WBGene00220091</v>
      </c>
      <c r="B16228" s="9"/>
      <c r="C16228" s="9"/>
      <c r="D16228" t="str">
        <f>"T24B8.23"</f>
        <v>T24B8.23</v>
      </c>
      <c r="F16228" t="s">
        <v>481</v>
      </c>
      <c r="H16228" s="12">
        <v>-3.33576734137697</v>
      </c>
      <c r="I16228" s="20">
        <v>-0.37789252555813302</v>
      </c>
      <c r="J16228" s="28">
        <v>0.70551043520482504</v>
      </c>
      <c r="K16228" s="29">
        <v>0.98289565623980701</v>
      </c>
    </row>
    <row r="16229" spans="1:11" x14ac:dyDescent="0.35">
      <c r="A16229" s="9" t="str">
        <f>HYPERLINK("http://www.ensembl.org/id/WBGene00011978", "WBGene00011978")</f>
        <v>WBGene00011978</v>
      </c>
      <c r="B16229" s="9" t="str">
        <f>HYPERLINK("http://www.ncbi.nlm.nih.gov/gene/174446", "174446")</f>
        <v>174446</v>
      </c>
      <c r="C16229" s="9"/>
      <c r="D16229" t="str">
        <f>"T24B8.4"</f>
        <v>T24B8.4</v>
      </c>
      <c r="F16229" t="s">
        <v>11</v>
      </c>
      <c r="G16229" t="s">
        <v>6482</v>
      </c>
      <c r="H16229" s="12">
        <v>-1.07151061634878</v>
      </c>
      <c r="I16229" s="20">
        <v>-0.37884782011266199</v>
      </c>
      <c r="J16229" s="28">
        <v>0.70480087429070204</v>
      </c>
      <c r="K16229" s="29">
        <v>0.98289565623980701</v>
      </c>
    </row>
    <row r="16230" spans="1:11" x14ac:dyDescent="0.35">
      <c r="A16230" s="9" t="str">
        <f>HYPERLINK("http://www.ensembl.org/id/WBGene00020766", "WBGene00020766")</f>
        <v>WBGene00020766</v>
      </c>
      <c r="B16230" s="9" t="str">
        <f>HYPERLINK("http://www.ncbi.nlm.nih.gov/gene/188848", "188848")</f>
        <v>188848</v>
      </c>
      <c r="C16230" s="9"/>
      <c r="D16230" t="str">
        <f>"T24C12.4"</f>
        <v>T24C12.4</v>
      </c>
      <c r="F16230" t="s">
        <v>11</v>
      </c>
      <c r="G16230" t="s">
        <v>25</v>
      </c>
      <c r="H16230" s="12">
        <v>1.87881348316147</v>
      </c>
      <c r="I16230" s="20">
        <v>0.62539698161199597</v>
      </c>
      <c r="J16230" s="28">
        <v>0.53171054268369899</v>
      </c>
      <c r="K16230" s="29">
        <v>0.98289565623980701</v>
      </c>
    </row>
    <row r="16231" spans="1:11" x14ac:dyDescent="0.35">
      <c r="A16231" s="9" t="str">
        <f>HYPERLINK("http://www.ensembl.org/id/WBGene00011981", "WBGene00011981")</f>
        <v>WBGene00011981</v>
      </c>
      <c r="B16231" s="9" t="str">
        <f>HYPERLINK("http://www.ncbi.nlm.nih.gov/gene/188839", "188839")</f>
        <v>188839</v>
      </c>
      <c r="C16231" s="9"/>
      <c r="D16231" t="str">
        <f>"T24C2.2"</f>
        <v>T24C2.2</v>
      </c>
      <c r="F16231" t="s">
        <v>11</v>
      </c>
      <c r="H16231" s="12">
        <v>-1.3836365536122399</v>
      </c>
      <c r="I16231" s="20">
        <v>-0.90820653918648697</v>
      </c>
      <c r="J16231" s="28">
        <v>0.36376910985629002</v>
      </c>
      <c r="K16231" s="29">
        <v>0.98289565623980701</v>
      </c>
    </row>
    <row r="16232" spans="1:11" x14ac:dyDescent="0.35">
      <c r="A16232" s="9" t="str">
        <f>HYPERLINK("http://www.ensembl.org/id/WBGene00011982", "WBGene00011982")</f>
        <v>WBGene00011982</v>
      </c>
      <c r="B16232" s="9" t="str">
        <f>HYPERLINK("http://www.ncbi.nlm.nih.gov/gene/188840", "188840")</f>
        <v>188840</v>
      </c>
      <c r="C16232" s="9"/>
      <c r="D16232" t="str">
        <f>"T24C2.3"</f>
        <v>T24C2.3</v>
      </c>
      <c r="F16232" t="s">
        <v>11</v>
      </c>
      <c r="H16232" s="12">
        <v>3.4194916116079499</v>
      </c>
      <c r="I16232" s="20">
        <v>0.97835561896121404</v>
      </c>
      <c r="J16232" s="28">
        <v>0.32789847035630498</v>
      </c>
      <c r="K16232" s="29">
        <v>0.98289565623980701</v>
      </c>
    </row>
    <row r="16233" spans="1:11" x14ac:dyDescent="0.35">
      <c r="A16233" s="9" t="str">
        <f>HYPERLINK("http://www.ensembl.org/id/WBGene00020758", "WBGene00020758")</f>
        <v>WBGene00020758</v>
      </c>
      <c r="B16233" s="9" t="str">
        <f>HYPERLINK("http://www.ncbi.nlm.nih.gov/gene/188843", "188843")</f>
        <v>188843</v>
      </c>
      <c r="C16233" s="9"/>
      <c r="D16233" t="str">
        <f>"T24C4.2"</f>
        <v>T24C4.2</v>
      </c>
      <c r="F16233" t="s">
        <v>11</v>
      </c>
      <c r="H16233" s="12">
        <v>1.3541020885741899</v>
      </c>
      <c r="I16233" s="20">
        <v>1.11220102466889</v>
      </c>
      <c r="J16233" s="28">
        <v>0.26605172745452199</v>
      </c>
      <c r="K16233" s="29">
        <v>0.98289565623980701</v>
      </c>
    </row>
    <row r="16234" spans="1:11" x14ac:dyDescent="0.35">
      <c r="A16234" s="9" t="str">
        <f>HYPERLINK("http://www.ensembl.org/id/WBGene00020759", "WBGene00020759")</f>
        <v>WBGene00020759</v>
      </c>
      <c r="B16234" s="9" t="str">
        <f>HYPERLINK("http://www.ncbi.nlm.nih.gov/gene/188844", "188844")</f>
        <v>188844</v>
      </c>
      <c r="C16234" s="9"/>
      <c r="D16234" t="str">
        <f>"T24C4.3"</f>
        <v>T24C4.3</v>
      </c>
      <c r="F16234" t="s">
        <v>11</v>
      </c>
      <c r="H16234" s="12">
        <v>1.57698219156103</v>
      </c>
      <c r="I16234" s="20">
        <v>0.56698937439424202</v>
      </c>
      <c r="J16234" s="28">
        <v>0.57072140074157096</v>
      </c>
      <c r="K16234" s="29">
        <v>0.98289565623980701</v>
      </c>
    </row>
    <row r="16235" spans="1:11" x14ac:dyDescent="0.35">
      <c r="A16235" s="9" t="str">
        <f>HYPERLINK("http://www.ensembl.org/id/WBGene00044681", "WBGene00044681")</f>
        <v>WBGene00044681</v>
      </c>
      <c r="B16235" s="9" t="str">
        <f>HYPERLINK("http://www.ncbi.nlm.nih.gov/gene/4363056", "4363056")</f>
        <v>4363056</v>
      </c>
      <c r="C16235" s="9"/>
      <c r="D16235" t="str">
        <f>"T24C4.8"</f>
        <v>T24C4.8</v>
      </c>
      <c r="F16235" t="s">
        <v>11</v>
      </c>
      <c r="G16235" t="s">
        <v>25</v>
      </c>
      <c r="H16235" s="12">
        <v>1.4819593041728401</v>
      </c>
      <c r="I16235" s="20">
        <v>1.2043992831597099</v>
      </c>
      <c r="J16235" s="28">
        <v>0.22843528898469601</v>
      </c>
      <c r="K16235" s="29">
        <v>0.98289565623980701</v>
      </c>
    </row>
    <row r="16236" spans="1:11" x14ac:dyDescent="0.35">
      <c r="A16236" s="9" t="str">
        <f>HYPERLINK("http://www.ensembl.org/id/WBGene00201202", "WBGene00201202")</f>
        <v>WBGene00201202</v>
      </c>
      <c r="B16236" s="9"/>
      <c r="C16236" s="9"/>
      <c r="D16236" t="str">
        <f>"T24D1.6"</f>
        <v>T24D1.6</v>
      </c>
      <c r="F16236" t="s">
        <v>481</v>
      </c>
      <c r="H16236" s="12">
        <v>4.4368407117627902</v>
      </c>
      <c r="I16236" s="20">
        <v>0.43709475933309699</v>
      </c>
      <c r="J16236" s="28">
        <v>0.66204262779770495</v>
      </c>
      <c r="K16236" s="29">
        <v>0.98289565623980701</v>
      </c>
    </row>
    <row r="16237" spans="1:11" x14ac:dyDescent="0.35">
      <c r="A16237" s="9" t="str">
        <f>HYPERLINK("http://www.ensembl.org/id/WBGene00200076", "WBGene00200076")</f>
        <v>WBGene00200076</v>
      </c>
      <c r="B16237" s="9"/>
      <c r="C16237" s="9"/>
      <c r="D16237" t="str">
        <f>"T24D11.5"</f>
        <v>T24D11.5</v>
      </c>
      <c r="F16237" t="s">
        <v>481</v>
      </c>
      <c r="H16237" s="12">
        <v>-2.4295389261469</v>
      </c>
      <c r="I16237" s="20">
        <v>-0.25808529976640998</v>
      </c>
      <c r="J16237" s="28">
        <v>0.79634107645457397</v>
      </c>
      <c r="K16237" s="29">
        <v>0.98289565623980701</v>
      </c>
    </row>
    <row r="16238" spans="1:11" x14ac:dyDescent="0.35">
      <c r="A16238" s="9" t="str">
        <f>HYPERLINK("http://www.ensembl.org/id/WBGene00023492", "WBGene00023492")</f>
        <v>WBGene00023492</v>
      </c>
      <c r="B16238" s="9" t="str">
        <f>HYPERLINK("http://www.ncbi.nlm.nih.gov/gene/181401", "181401")</f>
        <v>181401</v>
      </c>
      <c r="C16238" s="9"/>
      <c r="D16238" t="str">
        <f>"T24D3.2"</f>
        <v>T24D3.2</v>
      </c>
      <c r="F16238" t="s">
        <v>11</v>
      </c>
      <c r="H16238" s="12">
        <v>-1.6621558635409199</v>
      </c>
      <c r="I16238" s="20">
        <v>-1.0464483977010599</v>
      </c>
      <c r="J16238" s="28">
        <v>0.295354057667018</v>
      </c>
      <c r="K16238" s="29">
        <v>0.98289565623980701</v>
      </c>
    </row>
    <row r="16239" spans="1:11" x14ac:dyDescent="0.35">
      <c r="A16239" s="9" t="str">
        <f>HYPERLINK("http://www.ensembl.org/id/WBGene00219279", "WBGene00219279")</f>
        <v>WBGene00219279</v>
      </c>
      <c r="B16239" s="9"/>
      <c r="C16239" s="9"/>
      <c r="D16239" t="str">
        <f>"T24D5.11"</f>
        <v>T24D5.11</v>
      </c>
      <c r="F16239" t="s">
        <v>80</v>
      </c>
      <c r="H16239" s="12">
        <v>-1.7228040053392799</v>
      </c>
      <c r="I16239" s="20">
        <v>-0.31444943853208901</v>
      </c>
      <c r="J16239" s="28">
        <v>0.75317971238386505</v>
      </c>
      <c r="K16239" s="29">
        <v>0.98289565623980701</v>
      </c>
    </row>
    <row r="16240" spans="1:11" x14ac:dyDescent="0.35">
      <c r="A16240" s="9" t="str">
        <f>HYPERLINK("http://www.ensembl.org/id/WBGene00011991", "WBGene00011991")</f>
        <v>WBGene00011991</v>
      </c>
      <c r="B16240" s="9" t="str">
        <f>HYPERLINK("http://www.ncbi.nlm.nih.gov/gene/188851", "188851")</f>
        <v>188851</v>
      </c>
      <c r="C16240" s="9"/>
      <c r="D16240" t="str">
        <f>"T24D5.3"</f>
        <v>T24D5.3</v>
      </c>
      <c r="F16240" t="s">
        <v>11</v>
      </c>
      <c r="H16240" s="12">
        <v>3.5227018545059199</v>
      </c>
      <c r="I16240" s="20">
        <v>0.36849691206929103</v>
      </c>
      <c r="J16240" s="28">
        <v>0.71250274722433404</v>
      </c>
      <c r="K16240" s="29">
        <v>0.98289565623980701</v>
      </c>
    </row>
    <row r="16241" spans="1:11" x14ac:dyDescent="0.35">
      <c r="A16241" s="9" t="str">
        <f>HYPERLINK("http://www.ensembl.org/id/WBGene00044149", "WBGene00044149")</f>
        <v>WBGene00044149</v>
      </c>
      <c r="B16241" s="9" t="str">
        <f>HYPERLINK("http://www.ncbi.nlm.nih.gov/gene/3564766", "3564766")</f>
        <v>3564766</v>
      </c>
      <c r="C16241" s="9"/>
      <c r="D16241" t="str">
        <f>"T24D5.6"</f>
        <v>T24D5.6</v>
      </c>
      <c r="F16241" t="s">
        <v>11</v>
      </c>
      <c r="H16241" s="12">
        <v>1.87307157603392</v>
      </c>
      <c r="I16241" s="20">
        <v>0.82597429383837195</v>
      </c>
      <c r="J16241" s="28">
        <v>0.40881867415878897</v>
      </c>
      <c r="K16241" s="29">
        <v>0.98289565623980701</v>
      </c>
    </row>
    <row r="16242" spans="1:11" x14ac:dyDescent="0.35">
      <c r="A16242" s="9" t="str">
        <f>HYPERLINK("http://www.ensembl.org/id/WBGene00196592", "WBGene00196592")</f>
        <v>WBGene00196592</v>
      </c>
      <c r="B16242" s="9"/>
      <c r="C16242" s="9"/>
      <c r="D16242" t="str">
        <f>"T24D8.11"</f>
        <v>T24D8.11</v>
      </c>
      <c r="F16242" t="s">
        <v>481</v>
      </c>
      <c r="H16242" s="12">
        <v>-1.59331631567371</v>
      </c>
      <c r="I16242" s="20">
        <v>-0.26675491025331399</v>
      </c>
      <c r="J16242" s="28">
        <v>0.78965787295260803</v>
      </c>
      <c r="K16242" s="29">
        <v>0.98289565623980701</v>
      </c>
    </row>
    <row r="16243" spans="1:11" x14ac:dyDescent="0.35">
      <c r="A16243" s="9" t="str">
        <f>HYPERLINK("http://www.ensembl.org/id/WBGene00202246", "WBGene00202246")</f>
        <v>WBGene00202246</v>
      </c>
      <c r="B16243" s="9"/>
      <c r="C16243" s="9"/>
      <c r="D16243" t="str">
        <f>"T24D8.16"</f>
        <v>T24D8.16</v>
      </c>
      <c r="F16243" t="s">
        <v>481</v>
      </c>
      <c r="H16243" s="12">
        <v>2.3893468495514898</v>
      </c>
      <c r="I16243" s="20">
        <v>0.25323547253672701</v>
      </c>
      <c r="J16243" s="28">
        <v>0.80008625651646104</v>
      </c>
      <c r="K16243" s="29">
        <v>0.98289565623980701</v>
      </c>
    </row>
    <row r="16244" spans="1:11" x14ac:dyDescent="0.35">
      <c r="A16244" s="9" t="str">
        <f>HYPERLINK("http://www.ensembl.org/id/WBGene00044380", "WBGene00044380")</f>
        <v>WBGene00044380</v>
      </c>
      <c r="B16244" s="9" t="str">
        <f>HYPERLINK("http://www.ncbi.nlm.nih.gov/gene/3565483", "3565483")</f>
        <v>3565483</v>
      </c>
      <c r="C16244" s="9"/>
      <c r="D16244" t="str">
        <f>"T24E12.12"</f>
        <v>T24E12.12</v>
      </c>
      <c r="F16244" t="s">
        <v>11</v>
      </c>
      <c r="H16244" s="12">
        <v>1.95606833864528</v>
      </c>
      <c r="I16244" s="20">
        <v>0.30551770402301098</v>
      </c>
      <c r="J16244" s="28">
        <v>0.75997188827511897</v>
      </c>
      <c r="K16244" s="29">
        <v>0.98289565623980701</v>
      </c>
    </row>
    <row r="16245" spans="1:11" x14ac:dyDescent="0.35">
      <c r="A16245" s="9" t="str">
        <f>HYPERLINK("http://www.ensembl.org/id/WBGene00020772", "WBGene00020772")</f>
        <v>WBGene00020772</v>
      </c>
      <c r="B16245" s="9" t="str">
        <f>HYPERLINK("http://www.ncbi.nlm.nih.gov/gene/188861", "188861")</f>
        <v>188861</v>
      </c>
      <c r="C16245" s="9"/>
      <c r="D16245" t="str">
        <f>"T24E12.2"</f>
        <v>T24E12.2</v>
      </c>
      <c r="F16245" t="s">
        <v>11</v>
      </c>
      <c r="H16245" s="12">
        <v>-3.2348096256893801</v>
      </c>
      <c r="I16245" s="20">
        <v>-0.64569729262546305</v>
      </c>
      <c r="J16245" s="28">
        <v>0.518475414284023</v>
      </c>
      <c r="K16245" s="29">
        <v>0.98289565623980701</v>
      </c>
    </row>
    <row r="16246" spans="1:11" x14ac:dyDescent="0.35">
      <c r="A16246" s="9" t="str">
        <f>HYPERLINK("http://www.ensembl.org/id/WBGene00020774", "WBGene00020774")</f>
        <v>WBGene00020774</v>
      </c>
      <c r="B16246" s="9" t="str">
        <f>HYPERLINK("http://www.ncbi.nlm.nih.gov/gene/173720", "173720")</f>
        <v>173720</v>
      </c>
      <c r="C16246" s="9"/>
      <c r="D16246" t="str">
        <f>"T24E12.5"</f>
        <v>T24E12.5</v>
      </c>
      <c r="F16246" t="s">
        <v>11</v>
      </c>
      <c r="G16246" t="s">
        <v>25</v>
      </c>
      <c r="H16246" s="12">
        <v>1.4473639659094899</v>
      </c>
      <c r="I16246" s="20">
        <v>1.0027858526543501</v>
      </c>
      <c r="J16246" s="28">
        <v>0.315964196218882</v>
      </c>
      <c r="K16246" s="29">
        <v>0.98289565623980701</v>
      </c>
    </row>
    <row r="16247" spans="1:11" x14ac:dyDescent="0.35">
      <c r="A16247" s="9" t="str">
        <f>HYPERLINK("http://www.ensembl.org/id/WBGene00020779", "WBGene00020779")</f>
        <v>WBGene00020779</v>
      </c>
      <c r="B16247" s="9" t="str">
        <f>HYPERLINK("http://www.ncbi.nlm.nih.gov/gene/175747", "175747")</f>
        <v>175747</v>
      </c>
      <c r="C16247" s="9"/>
      <c r="D16247" t="str">
        <f>"T24G10.2"</f>
        <v>T24G10.2</v>
      </c>
      <c r="F16247" t="s">
        <v>11</v>
      </c>
      <c r="G16247" t="s">
        <v>7420</v>
      </c>
      <c r="H16247" s="12">
        <v>-1.12441460385311</v>
      </c>
      <c r="I16247" s="20">
        <v>-0.58046305747923299</v>
      </c>
      <c r="J16247" s="28">
        <v>0.56160239234821097</v>
      </c>
      <c r="K16247" s="29">
        <v>0.98289565623980701</v>
      </c>
    </row>
    <row r="16248" spans="1:11" x14ac:dyDescent="0.35">
      <c r="A16248" s="9" t="str">
        <f>HYPERLINK("http://www.ensembl.org/id/WBGene00012000", "WBGene00012000")</f>
        <v>WBGene00012000</v>
      </c>
      <c r="B16248" s="9" t="str">
        <f>HYPERLINK("http://www.ncbi.nlm.nih.gov/gene/174450", "174450")</f>
        <v>174450</v>
      </c>
      <c r="C16248" s="9" t="str">
        <f>HYPERLINK("http://www.ncbi.nlm.nih.gov/gene/6917", "6917")</f>
        <v>6917</v>
      </c>
      <c r="D16248" t="str">
        <f>"T24H10.1"</f>
        <v>T24H10.1</v>
      </c>
      <c r="E16248" t="s">
        <v>8434</v>
      </c>
      <c r="F16248" t="s">
        <v>11</v>
      </c>
      <c r="G16248" t="s">
        <v>8435</v>
      </c>
      <c r="H16248" s="12">
        <v>-1.1776315562191999</v>
      </c>
      <c r="I16248" s="20">
        <v>-0.70511442346990605</v>
      </c>
      <c r="J16248" s="28">
        <v>0.48073903123540701</v>
      </c>
      <c r="K16248" s="29">
        <v>0.98289565623980701</v>
      </c>
    </row>
    <row r="16249" spans="1:11" x14ac:dyDescent="0.35">
      <c r="A16249" s="9" t="str">
        <f>HYPERLINK("http://www.ensembl.org/id/WBGene00220092", "WBGene00220092")</f>
        <v>WBGene00220092</v>
      </c>
      <c r="B16249" s="9"/>
      <c r="C16249" s="9"/>
      <c r="D16249" t="str">
        <f>"T24H10.12"</f>
        <v>T24H10.12</v>
      </c>
      <c r="F16249" t="s">
        <v>2977</v>
      </c>
      <c r="H16249" s="12">
        <v>2.3893468495514898</v>
      </c>
      <c r="I16249" s="20">
        <v>0.25323547253672701</v>
      </c>
      <c r="J16249" s="28">
        <v>0.80008625651646104</v>
      </c>
      <c r="K16249" s="29">
        <v>0.98289565623980701</v>
      </c>
    </row>
    <row r="16250" spans="1:11" x14ac:dyDescent="0.35">
      <c r="A16250" s="9" t="str">
        <f>HYPERLINK("http://www.ensembl.org/id/WBGene00012003", "WBGene00012003")</f>
        <v>WBGene00012003</v>
      </c>
      <c r="B16250" s="9" t="str">
        <f>HYPERLINK("http://www.ncbi.nlm.nih.gov/gene/188871", "188871")</f>
        <v>188871</v>
      </c>
      <c r="C16250" s="9"/>
      <c r="D16250" t="str">
        <f>"T24H10.5"</f>
        <v>T24H10.5</v>
      </c>
      <c r="F16250" t="s">
        <v>11</v>
      </c>
      <c r="H16250" s="12">
        <v>1.6159593993802801</v>
      </c>
      <c r="I16250" s="20">
        <v>0.444155341597464</v>
      </c>
      <c r="J16250" s="28">
        <v>0.65693027730356901</v>
      </c>
      <c r="K16250" s="29">
        <v>0.98289565623980701</v>
      </c>
    </row>
    <row r="16251" spans="1:11" x14ac:dyDescent="0.35">
      <c r="A16251" s="9" t="str">
        <f>HYPERLINK("http://www.ensembl.org/id/WBGene00020781", "WBGene00020781")</f>
        <v>WBGene00020781</v>
      </c>
      <c r="B16251" s="9" t="str">
        <f>HYPERLINK("http://www.ncbi.nlm.nih.gov/gene/174033", "174033")</f>
        <v>174033</v>
      </c>
      <c r="C16251" s="9" t="str">
        <f>HYPERLINK("http://www.ncbi.nlm.nih.gov/gene/10525", "10525")</f>
        <v>10525</v>
      </c>
      <c r="D16251" t="str">
        <f>"T24H7.2"</f>
        <v>T24H7.2</v>
      </c>
      <c r="F16251" t="s">
        <v>11</v>
      </c>
      <c r="G16251" t="s">
        <v>8441</v>
      </c>
      <c r="H16251" s="12">
        <v>-1.1780160740533201</v>
      </c>
      <c r="I16251" s="20">
        <v>-0.91548433839285603</v>
      </c>
      <c r="J16251" s="28">
        <v>0.35993742072288298</v>
      </c>
      <c r="K16251" s="29">
        <v>0.98289565623980701</v>
      </c>
    </row>
    <row r="16252" spans="1:11" x14ac:dyDescent="0.35">
      <c r="A16252" s="9" t="str">
        <f>HYPERLINK("http://www.ensembl.org/id/WBGene00044936", "WBGene00044936")</f>
        <v>WBGene00044936</v>
      </c>
      <c r="B16252" s="9"/>
      <c r="C16252" s="9"/>
      <c r="D16252" t="str">
        <f>"T24H7.6"</f>
        <v>T24H7.6</v>
      </c>
      <c r="F16252" t="s">
        <v>2977</v>
      </c>
      <c r="H16252" s="12">
        <v>9.5215001458148301</v>
      </c>
      <c r="I16252" s="20">
        <v>0.67036031720767997</v>
      </c>
      <c r="J16252" s="28">
        <v>0.50262812496729803</v>
      </c>
      <c r="K16252" s="29">
        <v>0.98289565623980701</v>
      </c>
    </row>
    <row r="16253" spans="1:11" x14ac:dyDescent="0.35">
      <c r="A16253" s="9" t="str">
        <f>HYPERLINK("http://www.ensembl.org/id/WBGene00077592", "WBGene00077592")</f>
        <v>WBGene00077592</v>
      </c>
      <c r="B16253" s="9" t="str">
        <f>HYPERLINK("http://www.ncbi.nlm.nih.gov/gene/6418868", "6418868")</f>
        <v>6418868</v>
      </c>
      <c r="C16253" s="9"/>
      <c r="D16253" t="str">
        <f>"T25B2.3"</f>
        <v>T25B2.3</v>
      </c>
      <c r="F16253" t="s">
        <v>11</v>
      </c>
      <c r="H16253" s="12">
        <v>-1.57282182092582</v>
      </c>
      <c r="I16253" s="20">
        <v>-0.40092835607649002</v>
      </c>
      <c r="J16253" s="28">
        <v>0.68847287217345998</v>
      </c>
      <c r="K16253" s="29">
        <v>0.98289565623980701</v>
      </c>
    </row>
    <row r="16254" spans="1:11" x14ac:dyDescent="0.35">
      <c r="A16254" s="9" t="str">
        <f>HYPERLINK("http://www.ensembl.org/id/WBGene00020789", "WBGene00020789")</f>
        <v>WBGene00020789</v>
      </c>
      <c r="B16254" s="9" t="str">
        <f>HYPERLINK("http://www.ncbi.nlm.nih.gov/gene/188875", "188875")</f>
        <v>188875</v>
      </c>
      <c r="C16254" s="9"/>
      <c r="D16254" t="str">
        <f>"T25B6.3"</f>
        <v>T25B6.3</v>
      </c>
      <c r="F16254" t="s">
        <v>11</v>
      </c>
      <c r="H16254" s="12">
        <v>1.8101624621736301</v>
      </c>
      <c r="I16254" s="20">
        <v>0.71749283111806095</v>
      </c>
      <c r="J16254" s="28">
        <v>0.473070058265948</v>
      </c>
      <c r="K16254" s="29">
        <v>0.98289565623980701</v>
      </c>
    </row>
    <row r="16255" spans="1:11" x14ac:dyDescent="0.35">
      <c r="A16255" s="9" t="str">
        <f>HYPERLINK("http://www.ensembl.org/id/WBGene00012007", "WBGene00012007")</f>
        <v>WBGene00012007</v>
      </c>
      <c r="B16255" s="9" t="str">
        <f>HYPERLINK("http://www.ncbi.nlm.nih.gov/gene/177968", "177968")</f>
        <v>177968</v>
      </c>
      <c r="C16255" s="9" t="str">
        <f>HYPERLINK("http://www.ncbi.nlm.nih.gov/gene/23464", "23464")</f>
        <v>23464</v>
      </c>
      <c r="D16255" t="str">
        <f>"T25B9.1"</f>
        <v>T25B9.1</v>
      </c>
      <c r="F16255" t="s">
        <v>11</v>
      </c>
      <c r="G16255" t="s">
        <v>4889</v>
      </c>
      <c r="H16255" s="12">
        <v>1.3140476686279301</v>
      </c>
      <c r="I16255" s="20">
        <v>0.79973432952804302</v>
      </c>
      <c r="J16255" s="28">
        <v>0.42386473850655898</v>
      </c>
      <c r="K16255" s="29">
        <v>0.98289565623980701</v>
      </c>
    </row>
    <row r="16256" spans="1:11" x14ac:dyDescent="0.35">
      <c r="A16256" s="9" t="str">
        <f>HYPERLINK("http://www.ensembl.org/id/WBGene00044990", "WBGene00044990")</f>
        <v>WBGene00044990</v>
      </c>
      <c r="B16256" s="9" t="str">
        <f>HYPERLINK("http://www.ncbi.nlm.nih.gov/gene/4927051", "4927051")</f>
        <v>4927051</v>
      </c>
      <c r="C16256" s="9"/>
      <c r="D16256" t="str">
        <f>"T25B9.11"</f>
        <v>T25B9.11</v>
      </c>
      <c r="F16256" t="s">
        <v>11</v>
      </c>
      <c r="H16256" s="12">
        <v>1.2867670366339401</v>
      </c>
      <c r="I16256" s="20">
        <v>0.45858380157080803</v>
      </c>
      <c r="J16256" s="28">
        <v>0.64653307107201696</v>
      </c>
      <c r="K16256" s="29">
        <v>0.98289565623980701</v>
      </c>
    </row>
    <row r="16257" spans="1:11" x14ac:dyDescent="0.35">
      <c r="A16257" s="9" t="str">
        <f>HYPERLINK("http://www.ensembl.org/id/WBGene00012010", "WBGene00012010")</f>
        <v>WBGene00012010</v>
      </c>
      <c r="B16257" s="9" t="str">
        <f>HYPERLINK("http://www.ncbi.nlm.nih.gov/gene/188882", "188882")</f>
        <v>188882</v>
      </c>
      <c r="C16257" s="9"/>
      <c r="D16257" t="str">
        <f>"T25B9.4"</f>
        <v>T25B9.4</v>
      </c>
      <c r="E16257" t="s">
        <v>2588</v>
      </c>
      <c r="F16257" t="s">
        <v>11</v>
      </c>
      <c r="G16257" t="s">
        <v>2589</v>
      </c>
      <c r="H16257" s="12">
        <v>2.9961302447456801</v>
      </c>
      <c r="I16257" s="20">
        <v>0.75744483349215797</v>
      </c>
      <c r="J16257" s="28">
        <v>0.44878340468258299</v>
      </c>
      <c r="K16257" s="29">
        <v>0.98289565623980701</v>
      </c>
    </row>
    <row r="16258" spans="1:11" x14ac:dyDescent="0.35">
      <c r="A16258" s="9" t="str">
        <f>HYPERLINK("http://www.ensembl.org/id/WBGene00012011", "WBGene00012011")</f>
        <v>WBGene00012011</v>
      </c>
      <c r="B16258" s="9" t="str">
        <f>HYPERLINK("http://www.ncbi.nlm.nih.gov/gene/188883", "188883")</f>
        <v>188883</v>
      </c>
      <c r="C16258" s="9"/>
      <c r="D16258" t="str">
        <f>"T25B9.5"</f>
        <v>T25B9.5</v>
      </c>
      <c r="E16258" t="s">
        <v>2588</v>
      </c>
      <c r="F16258" t="s">
        <v>11</v>
      </c>
      <c r="G16258" t="s">
        <v>2589</v>
      </c>
      <c r="H16258" s="12">
        <v>1.45267013638289</v>
      </c>
      <c r="I16258" s="20">
        <v>0.69439597673438103</v>
      </c>
      <c r="J16258" s="28">
        <v>0.48743391612456199</v>
      </c>
      <c r="K16258" s="29">
        <v>0.98289565623980701</v>
      </c>
    </row>
    <row r="16259" spans="1:11" x14ac:dyDescent="0.35">
      <c r="A16259" s="9" t="str">
        <f>HYPERLINK("http://www.ensembl.org/id/WBGene00012014", "WBGene00012014")</f>
        <v>WBGene00012014</v>
      </c>
      <c r="B16259" s="9" t="str">
        <f>HYPERLINK("http://www.ncbi.nlm.nih.gov/gene/177969", "177969")</f>
        <v>177969</v>
      </c>
      <c r="C16259" s="9"/>
      <c r="D16259" t="str">
        <f>"T25B9.8"</f>
        <v>T25B9.8</v>
      </c>
      <c r="F16259" t="s">
        <v>11</v>
      </c>
      <c r="H16259" s="12">
        <v>-1.13094478825288</v>
      </c>
      <c r="I16259" s="20">
        <v>-0.53575064218636104</v>
      </c>
      <c r="J16259" s="28">
        <v>0.59213089855970702</v>
      </c>
      <c r="K16259" s="29">
        <v>0.98289565623980701</v>
      </c>
    </row>
    <row r="16260" spans="1:11" x14ac:dyDescent="0.35">
      <c r="A16260" s="9" t="str">
        <f>HYPERLINK("http://www.ensembl.org/id/WBGene00012015", "WBGene00012015")</f>
        <v>WBGene00012015</v>
      </c>
      <c r="B16260" s="9" t="str">
        <f>HYPERLINK("http://www.ncbi.nlm.nih.gov/gene/177971", "177971")</f>
        <v>177971</v>
      </c>
      <c r="C16260" s="9" t="str">
        <f>HYPERLINK("http://www.ncbi.nlm.nih.gov/gene/5226", "5226")</f>
        <v>5226</v>
      </c>
      <c r="D16260" t="str">
        <f>"T25B9.9"</f>
        <v>T25B9.9</v>
      </c>
      <c r="E16260" t="s">
        <v>6885</v>
      </c>
      <c r="F16260" t="s">
        <v>11</v>
      </c>
      <c r="G16260" t="s">
        <v>6886</v>
      </c>
      <c r="H16260" s="12">
        <v>-1.09411257749223</v>
      </c>
      <c r="I16260" s="20">
        <v>-0.48017863900214802</v>
      </c>
      <c r="J16260" s="28">
        <v>0.63110037452666101</v>
      </c>
      <c r="K16260" s="29">
        <v>0.98289565623980701</v>
      </c>
    </row>
    <row r="16261" spans="1:11" x14ac:dyDescent="0.35">
      <c r="A16261" s="9" t="str">
        <f>HYPERLINK("http://www.ensembl.org/id/WBGene00220093", "WBGene00220093")</f>
        <v>WBGene00220093</v>
      </c>
      <c r="B16261" s="9"/>
      <c r="C16261" s="9"/>
      <c r="D16261" t="str">
        <f>"T25C12.11"</f>
        <v>T25C12.11</v>
      </c>
      <c r="F16261" t="s">
        <v>2977</v>
      </c>
      <c r="H16261" s="12">
        <v>1.12871651644042</v>
      </c>
      <c r="I16261" s="20">
        <v>0.44280934673376698</v>
      </c>
      <c r="J16261" s="28">
        <v>0.65790364215350705</v>
      </c>
      <c r="K16261" s="29">
        <v>0.98289565623980701</v>
      </c>
    </row>
    <row r="16262" spans="1:11" x14ac:dyDescent="0.35">
      <c r="A16262" s="9" t="str">
        <f>HYPERLINK("http://www.ensembl.org/id/WBGene00220094", "WBGene00220094")</f>
        <v>WBGene00220094</v>
      </c>
      <c r="B16262" s="9"/>
      <c r="C16262" s="9"/>
      <c r="D16262" t="str">
        <f>"T25C12.12"</f>
        <v>T25C12.12</v>
      </c>
      <c r="F16262" t="s">
        <v>2977</v>
      </c>
      <c r="H16262" s="12">
        <v>1.2279869507060699</v>
      </c>
      <c r="I16262" s="20">
        <v>0.81619617511896103</v>
      </c>
      <c r="J16262" s="28">
        <v>0.41438794409011598</v>
      </c>
      <c r="K16262" s="29">
        <v>0.98289565623980701</v>
      </c>
    </row>
    <row r="16263" spans="1:11" x14ac:dyDescent="0.35">
      <c r="A16263" s="9" t="str">
        <f>HYPERLINK("http://www.ensembl.org/id/WBGene00197733", "WBGene00197733")</f>
        <v>WBGene00197733</v>
      </c>
      <c r="B16263" s="9"/>
      <c r="C16263" s="9"/>
      <c r="D16263" t="str">
        <f>"T25C12.5"</f>
        <v>T25C12.5</v>
      </c>
      <c r="F16263" t="s">
        <v>481</v>
      </c>
      <c r="H16263" s="12">
        <v>1.89679729392915</v>
      </c>
      <c r="I16263" s="20">
        <v>0.76212749910176603</v>
      </c>
      <c r="J16263" s="28">
        <v>0.44598391183650699</v>
      </c>
      <c r="K16263" s="29">
        <v>0.98289565623980701</v>
      </c>
    </row>
    <row r="16264" spans="1:11" x14ac:dyDescent="0.35">
      <c r="A16264" s="9" t="str">
        <f>HYPERLINK("http://www.ensembl.org/id/WBGene00198772", "WBGene00198772")</f>
        <v>WBGene00198772</v>
      </c>
      <c r="B16264" s="9"/>
      <c r="C16264" s="9"/>
      <c r="D16264" t="str">
        <f>"T25C12.6"</f>
        <v>T25C12.6</v>
      </c>
      <c r="F16264" t="s">
        <v>481</v>
      </c>
      <c r="H16264" s="12">
        <v>2.59112013396172</v>
      </c>
      <c r="I16264" s="20">
        <v>0.782968936024243</v>
      </c>
      <c r="J16264" s="28">
        <v>0.43364535402009802</v>
      </c>
      <c r="K16264" s="29">
        <v>0.98289565623980701</v>
      </c>
    </row>
    <row r="16265" spans="1:11" x14ac:dyDescent="0.35">
      <c r="A16265" s="9" t="str">
        <f>HYPERLINK("http://www.ensembl.org/id/WBGene00198856", "WBGene00198856")</f>
        <v>WBGene00198856</v>
      </c>
      <c r="B16265" s="9"/>
      <c r="C16265" s="9"/>
      <c r="D16265" t="str">
        <f>"T25C12.7"</f>
        <v>T25C12.7</v>
      </c>
      <c r="F16265" t="s">
        <v>481</v>
      </c>
      <c r="H16265" s="12">
        <v>3.5227018545059199</v>
      </c>
      <c r="I16265" s="20">
        <v>0.36849691206929103</v>
      </c>
      <c r="J16265" s="28">
        <v>0.71250274722433404</v>
      </c>
      <c r="K16265" s="29">
        <v>0.98289565623980701</v>
      </c>
    </row>
    <row r="16266" spans="1:11" x14ac:dyDescent="0.35">
      <c r="A16266" s="9" t="str">
        <f>HYPERLINK("http://www.ensembl.org/id/WBGene00199908", "WBGene00199908")</f>
        <v>WBGene00199908</v>
      </c>
      <c r="B16266" s="9"/>
      <c r="C16266" s="9"/>
      <c r="D16266" t="str">
        <f>"T25C12.8"</f>
        <v>T25C12.8</v>
      </c>
      <c r="F16266" t="s">
        <v>481</v>
      </c>
      <c r="H16266" s="12">
        <v>-1.96718885901573</v>
      </c>
      <c r="I16266" s="20">
        <v>-0.30094005558042702</v>
      </c>
      <c r="J16266" s="28">
        <v>0.76346020533995596</v>
      </c>
      <c r="K16266" s="29">
        <v>0.98289565623980701</v>
      </c>
    </row>
    <row r="16267" spans="1:11" x14ac:dyDescent="0.35">
      <c r="A16267" s="9" t="str">
        <f>HYPERLINK("http://www.ensembl.org/id/WBGene00020794", "WBGene00020794")</f>
        <v>WBGene00020794</v>
      </c>
      <c r="B16267" s="9" t="str">
        <f>HYPERLINK("http://www.ncbi.nlm.nih.gov/gene/188890", "188890")</f>
        <v>188890</v>
      </c>
      <c r="C16267" s="9"/>
      <c r="D16267" t="str">
        <f>"T25D1.2"</f>
        <v>T25D1.2</v>
      </c>
      <c r="F16267" t="s">
        <v>11</v>
      </c>
      <c r="H16267" s="12">
        <v>-1.7419226120937701</v>
      </c>
      <c r="I16267" s="20">
        <v>-0.32914484544931899</v>
      </c>
      <c r="J16267" s="28">
        <v>0.74204620915699604</v>
      </c>
      <c r="K16267" s="29">
        <v>0.98289565623980701</v>
      </c>
    </row>
    <row r="16268" spans="1:11" x14ac:dyDescent="0.35">
      <c r="A16268" s="9" t="str">
        <f>HYPERLINK("http://www.ensembl.org/id/WBGene00020795", "WBGene00020795")</f>
        <v>WBGene00020795</v>
      </c>
      <c r="B16268" s="9" t="str">
        <f>HYPERLINK("http://www.ncbi.nlm.nih.gov/gene/188891", "188891")</f>
        <v>188891</v>
      </c>
      <c r="C16268" s="9"/>
      <c r="D16268" t="str">
        <f>"T25D1.3"</f>
        <v>T25D1.3</v>
      </c>
      <c r="F16268" t="s">
        <v>11</v>
      </c>
      <c r="G16268" t="s">
        <v>54</v>
      </c>
      <c r="H16268" s="12">
        <v>4.9147312884650098</v>
      </c>
      <c r="I16268" s="20">
        <v>0.65981031178395599</v>
      </c>
      <c r="J16268" s="28">
        <v>0.50937556512715199</v>
      </c>
      <c r="K16268" s="29">
        <v>0.98289565623980701</v>
      </c>
    </row>
    <row r="16269" spans="1:11" x14ac:dyDescent="0.35">
      <c r="A16269" s="9" t="str">
        <f>HYPERLINK("http://www.ensembl.org/id/WBGene00196482", "WBGene00196482")</f>
        <v>WBGene00196482</v>
      </c>
      <c r="B16269" s="9"/>
      <c r="C16269" s="9"/>
      <c r="D16269" t="str">
        <f>"T25D1.4"</f>
        <v>T25D1.4</v>
      </c>
      <c r="F16269" t="s">
        <v>481</v>
      </c>
      <c r="H16269" s="12">
        <v>2.3893468495514898</v>
      </c>
      <c r="I16269" s="20">
        <v>0.25323547253672701</v>
      </c>
      <c r="J16269" s="28">
        <v>0.80008625651646104</v>
      </c>
      <c r="K16269" s="29">
        <v>0.98289565623980701</v>
      </c>
    </row>
    <row r="16270" spans="1:11" x14ac:dyDescent="0.35">
      <c r="A16270" s="9" t="str">
        <f>HYPERLINK("http://www.ensembl.org/id/WBGene00020799", "WBGene00020799")</f>
        <v>WBGene00020799</v>
      </c>
      <c r="B16270" s="9" t="str">
        <f>HYPERLINK("http://www.ncbi.nlm.nih.gov/gene/174062", "174062")</f>
        <v>174062</v>
      </c>
      <c r="C16270" s="9"/>
      <c r="D16270" t="str">
        <f>"T25D10.1"</f>
        <v>T25D10.1</v>
      </c>
      <c r="F16270" t="s">
        <v>11</v>
      </c>
      <c r="G16270" t="s">
        <v>5174</v>
      </c>
      <c r="H16270" s="12">
        <v>1.22305446907672</v>
      </c>
      <c r="I16270" s="20">
        <v>0.898389775087854</v>
      </c>
      <c r="J16270" s="28">
        <v>0.368977785740214</v>
      </c>
      <c r="K16270" s="29">
        <v>0.98289565623980701</v>
      </c>
    </row>
    <row r="16271" spans="1:11" x14ac:dyDescent="0.35">
      <c r="A16271" s="9" t="str">
        <f>HYPERLINK("http://www.ensembl.org/id/WBGene00201244", "WBGene00201244")</f>
        <v>WBGene00201244</v>
      </c>
      <c r="B16271" s="9"/>
      <c r="C16271" s="9"/>
      <c r="D16271" t="str">
        <f>"T25D10.9"</f>
        <v>T25D10.9</v>
      </c>
      <c r="F16271" t="s">
        <v>481</v>
      </c>
      <c r="H16271" s="12">
        <v>2.3893468495514898</v>
      </c>
      <c r="I16271" s="20">
        <v>0.25323547253672701</v>
      </c>
      <c r="J16271" s="28">
        <v>0.80008625651646104</v>
      </c>
      <c r="K16271" s="29">
        <v>0.98289565623980701</v>
      </c>
    </row>
    <row r="16272" spans="1:11" x14ac:dyDescent="0.35">
      <c r="A16272" s="9" t="str">
        <f>HYPERLINK("http://www.ensembl.org/id/WBGene00020798", "WBGene00020798")</f>
        <v>WBGene00020798</v>
      </c>
      <c r="B16272" s="9" t="str">
        <f>HYPERLINK("http://www.ncbi.nlm.nih.gov/gene/188895", "188895")</f>
        <v>188895</v>
      </c>
      <c r="C16272" s="9" t="str">
        <f>HYPERLINK("http://www.ncbi.nlm.nih.gov/gene/84641", "84641")</f>
        <v>84641</v>
      </c>
      <c r="D16272" t="str">
        <f>"T25D3.4"</f>
        <v>T25D3.4</v>
      </c>
      <c r="F16272" t="s">
        <v>11</v>
      </c>
      <c r="G16272" t="s">
        <v>230</v>
      </c>
      <c r="H16272" s="12">
        <v>-1.2612606450989201</v>
      </c>
      <c r="I16272" s="20">
        <v>-1.1721049434758499</v>
      </c>
      <c r="J16272" s="28">
        <v>0.241154925437779</v>
      </c>
      <c r="K16272" s="29">
        <v>0.98289565623980701</v>
      </c>
    </row>
    <row r="16273" spans="1:11" x14ac:dyDescent="0.35">
      <c r="A16273" s="9" t="str">
        <f>HYPERLINK("http://www.ensembl.org/id/WBGene00196640", "WBGene00196640")</f>
        <v>WBGene00196640</v>
      </c>
      <c r="B16273" s="9"/>
      <c r="C16273" s="9"/>
      <c r="D16273" t="str">
        <f>"T25D3.5"</f>
        <v>T25D3.5</v>
      </c>
      <c r="F16273" t="s">
        <v>481</v>
      </c>
      <c r="H16273" s="12">
        <v>2.4578120077400301</v>
      </c>
      <c r="I16273" s="20">
        <v>0.26093350314551</v>
      </c>
      <c r="J16273" s="28">
        <v>0.79414378780213601</v>
      </c>
      <c r="K16273" s="29">
        <v>0.98289565623980701</v>
      </c>
    </row>
    <row r="16274" spans="1:11" x14ac:dyDescent="0.35">
      <c r="A16274" s="9" t="str">
        <f>HYPERLINK("http://www.ensembl.org/id/WBGene00220095", "WBGene00220095")</f>
        <v>WBGene00220095</v>
      </c>
      <c r="B16274" s="9"/>
      <c r="C16274" s="9"/>
      <c r="D16274" t="str">
        <f>"T25D3.8"</f>
        <v>T25D3.8</v>
      </c>
      <c r="F16274" t="s">
        <v>2977</v>
      </c>
      <c r="H16274" s="12">
        <v>-3.5819448292659501</v>
      </c>
      <c r="I16274" s="20">
        <v>-0.37337717500031398</v>
      </c>
      <c r="J16274" s="28">
        <v>0.70886774492290605</v>
      </c>
      <c r="K16274" s="29">
        <v>0.98289565623980701</v>
      </c>
    </row>
    <row r="16275" spans="1:11" x14ac:dyDescent="0.35">
      <c r="A16275" s="9" t="str">
        <f>HYPERLINK("http://www.ensembl.org/id/WBGene00077622", "WBGene00077622")</f>
        <v>WBGene00077622</v>
      </c>
      <c r="B16275" s="9" t="str">
        <f>HYPERLINK("http://www.ncbi.nlm.nih.gov/gene/6418815", "6418815")</f>
        <v>6418815</v>
      </c>
      <c r="C16275" s="9"/>
      <c r="D16275" t="str">
        <f>"T25E12.14"</f>
        <v>T25E12.14</v>
      </c>
      <c r="F16275" t="s">
        <v>11</v>
      </c>
      <c r="H16275" s="12">
        <v>1.28061482747803</v>
      </c>
      <c r="I16275" s="20">
        <v>0.30681684344223498</v>
      </c>
      <c r="J16275" s="28">
        <v>0.75898278700496202</v>
      </c>
      <c r="K16275" s="29">
        <v>0.98289565623980701</v>
      </c>
    </row>
    <row r="16276" spans="1:11" x14ac:dyDescent="0.35">
      <c r="A16276" s="9" t="str">
        <f>HYPERLINK("http://www.ensembl.org/id/WBGene00012021", "WBGene00012021")</f>
        <v>WBGene00012021</v>
      </c>
      <c r="B16276" s="9" t="str">
        <f>HYPERLINK("http://www.ncbi.nlm.nih.gov/gene/180118", "180118")</f>
        <v>180118</v>
      </c>
      <c r="C16276" s="9"/>
      <c r="D16276" t="str">
        <f>"T25E12.6"</f>
        <v>T25E12.6</v>
      </c>
      <c r="F16276" t="s">
        <v>11</v>
      </c>
      <c r="H16276" s="12">
        <v>1.16944864178592</v>
      </c>
      <c r="I16276" s="20">
        <v>0.51895758047302398</v>
      </c>
      <c r="J16276" s="28">
        <v>0.60379032271488298</v>
      </c>
      <c r="K16276" s="29">
        <v>0.98289565623980701</v>
      </c>
    </row>
    <row r="16277" spans="1:11" x14ac:dyDescent="0.35">
      <c r="A16277" s="9" t="str">
        <f>HYPERLINK("http://www.ensembl.org/id/WBGene00020805", "WBGene00020805")</f>
        <v>WBGene00020805</v>
      </c>
      <c r="B16277" s="9" t="str">
        <f>HYPERLINK("http://www.ncbi.nlm.nih.gov/gene/188902", "188902")</f>
        <v>188902</v>
      </c>
      <c r="C16277" s="9"/>
      <c r="D16277" t="str">
        <f>"T25F10.1"</f>
        <v>T25F10.1</v>
      </c>
      <c r="F16277" t="s">
        <v>11</v>
      </c>
      <c r="H16277" s="12">
        <v>-1.5362237375218</v>
      </c>
      <c r="I16277" s="20">
        <v>-0.25363243604875702</v>
      </c>
      <c r="J16277" s="28">
        <v>0.79977953549062197</v>
      </c>
      <c r="K16277" s="29">
        <v>0.98289565623980701</v>
      </c>
    </row>
    <row r="16278" spans="1:11" x14ac:dyDescent="0.35">
      <c r="A16278" s="9" t="str">
        <f>HYPERLINK("http://www.ensembl.org/id/WBGene00020807", "WBGene00020807")</f>
        <v>WBGene00020807</v>
      </c>
      <c r="B16278" s="9" t="str">
        <f>HYPERLINK("http://www.ncbi.nlm.nih.gov/gene/188903", "188903")</f>
        <v>188903</v>
      </c>
      <c r="C16278" s="9"/>
      <c r="D16278" t="str">
        <f>"T25F10.4"</f>
        <v>T25F10.4</v>
      </c>
      <c r="F16278" t="s">
        <v>11</v>
      </c>
      <c r="G16278" t="s">
        <v>25</v>
      </c>
      <c r="H16278" s="12">
        <v>3.7242241225519499</v>
      </c>
      <c r="I16278" s="20">
        <v>1.09294062219689</v>
      </c>
      <c r="J16278" s="28">
        <v>0.274419871099716</v>
      </c>
      <c r="K16278" s="29">
        <v>0.98289565623980701</v>
      </c>
    </row>
    <row r="16279" spans="1:11" x14ac:dyDescent="0.35">
      <c r="A16279" s="9" t="str">
        <f>HYPERLINK("http://www.ensembl.org/id/WBGene00195421", "WBGene00195421")</f>
        <v>WBGene00195421</v>
      </c>
      <c r="B16279" s="9"/>
      <c r="C16279" s="9"/>
      <c r="D16279" t="str">
        <f>"T25F10.7"</f>
        <v>T25F10.7</v>
      </c>
      <c r="F16279" t="s">
        <v>481</v>
      </c>
      <c r="H16279" s="12">
        <v>2.4578120077400301</v>
      </c>
      <c r="I16279" s="20">
        <v>0.26093350314551</v>
      </c>
      <c r="J16279" s="28">
        <v>0.79414378780213601</v>
      </c>
      <c r="K16279" s="29">
        <v>0.98289565623980701</v>
      </c>
    </row>
    <row r="16280" spans="1:11" x14ac:dyDescent="0.35">
      <c r="A16280" s="9" t="str">
        <f>HYPERLINK("http://www.ensembl.org/id/WBGene00219274", "WBGene00219274")</f>
        <v>WBGene00219274</v>
      </c>
      <c r="B16280" s="9" t="str">
        <f>HYPERLINK("http://www.ncbi.nlm.nih.gov/gene/13224720", "13224720")</f>
        <v>13224720</v>
      </c>
      <c r="C16280" s="9" t="str">
        <f>HYPERLINK("http://www.ncbi.nlm.nih.gov/gene/25979", "25979")</f>
        <v>25979</v>
      </c>
      <c r="D16280" t="str">
        <f>"T25G12.13"</f>
        <v>T25G12.13</v>
      </c>
      <c r="F16280" t="s">
        <v>11</v>
      </c>
      <c r="G16280" t="s">
        <v>489</v>
      </c>
      <c r="H16280" s="12">
        <v>-1.5707611859302399</v>
      </c>
      <c r="I16280" s="20">
        <v>-0.34634229913076597</v>
      </c>
      <c r="J16280" s="28">
        <v>0.72908548324800004</v>
      </c>
      <c r="K16280" s="29">
        <v>0.98289565623980701</v>
      </c>
    </row>
    <row r="16281" spans="1:11" x14ac:dyDescent="0.35">
      <c r="A16281" s="9" t="str">
        <f>HYPERLINK("http://www.ensembl.org/id/WBGene00012029", "WBGene00012029")</f>
        <v>WBGene00012029</v>
      </c>
      <c r="B16281" s="9" t="str">
        <f>HYPERLINK("http://www.ncbi.nlm.nih.gov/gene/188905", "188905")</f>
        <v>188905</v>
      </c>
      <c r="C16281" s="9"/>
      <c r="D16281" t="str">
        <f>"T25G3.1"</f>
        <v>T25G3.1</v>
      </c>
      <c r="F16281" t="s">
        <v>11</v>
      </c>
      <c r="H16281" s="12">
        <v>-1.2562434448781099</v>
      </c>
      <c r="I16281" s="20">
        <v>-0.97252255113021002</v>
      </c>
      <c r="J16281" s="28">
        <v>0.33079065153564702</v>
      </c>
      <c r="K16281" s="29">
        <v>0.98289565623980701</v>
      </c>
    </row>
    <row r="16282" spans="1:11" x14ac:dyDescent="0.35">
      <c r="A16282" s="9" t="str">
        <f>HYPERLINK("http://www.ensembl.org/id/WBGene00012031", "WBGene00012031")</f>
        <v>WBGene00012031</v>
      </c>
      <c r="B16282" s="9" t="str">
        <f>HYPERLINK("http://www.ncbi.nlm.nih.gov/gene/172509", "172509")</f>
        <v>172509</v>
      </c>
      <c r="C16282" s="9" t="str">
        <f>HYPERLINK("http://www.ncbi.nlm.nih.gov/gene/2820", "2820")</f>
        <v>2820</v>
      </c>
      <c r="D16282" t="str">
        <f>"T25G3.4"</f>
        <v>T25G3.4</v>
      </c>
      <c r="E16282" t="s">
        <v>6474</v>
      </c>
      <c r="F16282" t="s">
        <v>11</v>
      </c>
      <c r="G16282" t="s">
        <v>6475</v>
      </c>
      <c r="H16282" s="12">
        <v>-1.07110632236958</v>
      </c>
      <c r="I16282" s="20">
        <v>-0.37637214739538299</v>
      </c>
      <c r="J16282" s="28">
        <v>0.70664024947928294</v>
      </c>
      <c r="K16282" s="29">
        <v>0.98289565623980701</v>
      </c>
    </row>
    <row r="16283" spans="1:11" x14ac:dyDescent="0.35">
      <c r="A16283" s="9" t="str">
        <f>HYPERLINK("http://www.ensembl.org/id/WBGene00020822", "WBGene00020822")</f>
        <v>WBGene00020822</v>
      </c>
      <c r="B16283" s="9" t="str">
        <f>HYPERLINK("http://www.ncbi.nlm.nih.gov/gene/175917", "175917")</f>
        <v>175917</v>
      </c>
      <c r="C16283" s="9" t="str">
        <f>HYPERLINK("http://www.ncbi.nlm.nih.gov/gene/23080", "23080")</f>
        <v>23080</v>
      </c>
      <c r="D16283" t="str">
        <f>"T26A5.6"</f>
        <v>T26A5.6</v>
      </c>
      <c r="F16283" t="s">
        <v>11</v>
      </c>
      <c r="G16283" t="s">
        <v>9450</v>
      </c>
      <c r="H16283" s="12">
        <v>-1.2473307584029101</v>
      </c>
      <c r="I16283" s="20">
        <v>-1.05216598891373</v>
      </c>
      <c r="J16283" s="28">
        <v>0.29272340075335601</v>
      </c>
      <c r="K16283" s="29">
        <v>0.98289565623980701</v>
      </c>
    </row>
    <row r="16284" spans="1:11" x14ac:dyDescent="0.35">
      <c r="A16284" s="9" t="str">
        <f>HYPERLINK("http://www.ensembl.org/id/WBGene00020826", "WBGene00020826")</f>
        <v>WBGene00020826</v>
      </c>
      <c r="B16284" s="9" t="str">
        <f>HYPERLINK("http://www.ncbi.nlm.nih.gov/gene/188914", "188914")</f>
        <v>188914</v>
      </c>
      <c r="C16284" s="9"/>
      <c r="D16284" t="str">
        <f>"T26A8.3"</f>
        <v>T26A8.3</v>
      </c>
      <c r="F16284" t="s">
        <v>11</v>
      </c>
      <c r="H16284" s="12">
        <v>4.0734809318040197</v>
      </c>
      <c r="I16284" s="20">
        <v>0.63247651229171198</v>
      </c>
      <c r="J16284" s="28">
        <v>0.52707555154778396</v>
      </c>
      <c r="K16284" s="29">
        <v>0.98289565623980701</v>
      </c>
    </row>
    <row r="16285" spans="1:11" x14ac:dyDescent="0.35">
      <c r="A16285" s="9" t="str">
        <f>HYPERLINK("http://www.ensembl.org/id/WBGene00020827", "WBGene00020827")</f>
        <v>WBGene00020827</v>
      </c>
      <c r="B16285" s="9" t="str">
        <f>HYPERLINK("http://www.ncbi.nlm.nih.gov/gene/177643", "177643")</f>
        <v>177643</v>
      </c>
      <c r="C16285" s="9"/>
      <c r="D16285" t="str">
        <f>"T26A8.4"</f>
        <v>T26A8.4</v>
      </c>
      <c r="F16285" t="s">
        <v>11</v>
      </c>
      <c r="G16285" t="s">
        <v>9224</v>
      </c>
      <c r="H16285" s="12">
        <v>-1.22923569221233</v>
      </c>
      <c r="I16285" s="20">
        <v>-1.0952217342458199</v>
      </c>
      <c r="J16285" s="28">
        <v>0.27341950609049498</v>
      </c>
      <c r="K16285" s="29">
        <v>0.98289565623980701</v>
      </c>
    </row>
    <row r="16286" spans="1:11" x14ac:dyDescent="0.35">
      <c r="A16286" s="9" t="str">
        <f>HYPERLINK("http://www.ensembl.org/id/WBGene00020829", "WBGene00020829")</f>
        <v>WBGene00020829</v>
      </c>
      <c r="B16286" s="9" t="str">
        <f>HYPERLINK("http://www.ncbi.nlm.nih.gov/gene/188919", "188919")</f>
        <v>188919</v>
      </c>
      <c r="C16286" s="9"/>
      <c r="D16286" t="str">
        <f>"T26C11.3"</f>
        <v>T26C11.3</v>
      </c>
      <c r="F16286" t="s">
        <v>11</v>
      </c>
      <c r="H16286" s="12">
        <v>2.2251097742427999</v>
      </c>
      <c r="I16286" s="20">
        <v>0.320308511099687</v>
      </c>
      <c r="J16286" s="28">
        <v>0.74873447185206399</v>
      </c>
      <c r="K16286" s="29">
        <v>0.98289565623980701</v>
      </c>
    </row>
    <row r="16287" spans="1:11" x14ac:dyDescent="0.35">
      <c r="A16287" s="9" t="str">
        <f>HYPERLINK("http://www.ensembl.org/id/WBGene00020830", "WBGene00020830")</f>
        <v>WBGene00020830</v>
      </c>
      <c r="B16287" s="9" t="str">
        <f>HYPERLINK("http://www.ncbi.nlm.nih.gov/gene/180502", "180502")</f>
        <v>180502</v>
      </c>
      <c r="C16287" s="9"/>
      <c r="D16287" t="str">
        <f>"T26C11.4"</f>
        <v>T26C11.4</v>
      </c>
      <c r="F16287" t="s">
        <v>11</v>
      </c>
      <c r="H16287" s="12">
        <v>-1.1331233560591401</v>
      </c>
      <c r="I16287" s="20">
        <v>-0.57336486770477801</v>
      </c>
      <c r="J16287" s="28">
        <v>0.56639767271275498</v>
      </c>
      <c r="K16287" s="29">
        <v>0.98289565623980701</v>
      </c>
    </row>
    <row r="16288" spans="1:11" x14ac:dyDescent="0.35">
      <c r="A16288" s="9" t="str">
        <f>HYPERLINK("http://www.ensembl.org/id/WBGene00194679", "WBGene00194679")</f>
        <v>WBGene00194679</v>
      </c>
      <c r="B16288" s="9" t="str">
        <f>HYPERLINK("http://www.ncbi.nlm.nih.gov/gene/13219386", "13219386")</f>
        <v>13219386</v>
      </c>
      <c r="C16288" s="9"/>
      <c r="D16288" t="str">
        <f>"T26C11.9"</f>
        <v>T26C11.9</v>
      </c>
      <c r="F16288" t="s">
        <v>11</v>
      </c>
      <c r="H16288" s="12">
        <v>-1.18237670809835</v>
      </c>
      <c r="I16288" s="20">
        <v>-0.35031999542028303</v>
      </c>
      <c r="J16288" s="28">
        <v>0.72609856071555001</v>
      </c>
      <c r="K16288" s="29">
        <v>0.98289565623980701</v>
      </c>
    </row>
    <row r="16289" spans="1:11" x14ac:dyDescent="0.35">
      <c r="A16289" s="9" t="str">
        <f>HYPERLINK("http://www.ensembl.org/id/WBGene00020832", "WBGene00020832")</f>
        <v>WBGene00020832</v>
      </c>
      <c r="B16289" s="9" t="str">
        <f>HYPERLINK("http://www.ncbi.nlm.nih.gov/gene/188921", "188921")</f>
        <v>188921</v>
      </c>
      <c r="C16289" s="9"/>
      <c r="D16289" t="str">
        <f>"T26C12.2"</f>
        <v>T26C12.2</v>
      </c>
      <c r="F16289" t="s">
        <v>11</v>
      </c>
      <c r="G16289" t="s">
        <v>25</v>
      </c>
      <c r="H16289" s="12">
        <v>1.7227287445427499</v>
      </c>
      <c r="I16289" s="20">
        <v>0.50190331519610398</v>
      </c>
      <c r="J16289" s="28">
        <v>0.61573553318287499</v>
      </c>
      <c r="K16289" s="29">
        <v>0.98289565623980701</v>
      </c>
    </row>
    <row r="16290" spans="1:11" x14ac:dyDescent="0.35">
      <c r="A16290" s="9" t="str">
        <f>HYPERLINK("http://www.ensembl.org/id/WBGene00012032", "WBGene00012032")</f>
        <v>WBGene00012032</v>
      </c>
      <c r="B16290" s="9" t="str">
        <f>HYPERLINK("http://www.ncbi.nlm.nih.gov/gene/174465", "174465")</f>
        <v>174465</v>
      </c>
      <c r="C16290" s="9"/>
      <c r="D16290" t="str">
        <f>"T26C5.2"</f>
        <v>T26C5.2</v>
      </c>
      <c r="F16290" t="s">
        <v>11</v>
      </c>
      <c r="H16290" s="12">
        <v>1.35628889262365</v>
      </c>
      <c r="I16290" s="20">
        <v>0.84104973247901205</v>
      </c>
      <c r="J16290" s="28">
        <v>0.40032007403973502</v>
      </c>
      <c r="K16290" s="29">
        <v>0.98289565623980701</v>
      </c>
    </row>
    <row r="16291" spans="1:11" x14ac:dyDescent="0.35">
      <c r="A16291" s="9" t="str">
        <f>HYPERLINK("http://www.ensembl.org/id/WBGene00012033", "WBGene00012033")</f>
        <v>WBGene00012033</v>
      </c>
      <c r="B16291" s="9" t="str">
        <f>HYPERLINK("http://www.ncbi.nlm.nih.gov/gene/259455", "259455")</f>
        <v>259455</v>
      </c>
      <c r="C16291" s="9" t="str">
        <f>HYPERLINK("http://www.ncbi.nlm.nih.gov/gene/9197", "9197")</f>
        <v>9197</v>
      </c>
      <c r="D16291" t="str">
        <f>"T26C5.3"</f>
        <v>T26C5.3</v>
      </c>
      <c r="F16291" t="s">
        <v>11</v>
      </c>
      <c r="G16291" t="s">
        <v>5948</v>
      </c>
      <c r="H16291" s="12">
        <v>1.0810887301534899</v>
      </c>
      <c r="I16291" s="20">
        <v>0.42274405344840099</v>
      </c>
      <c r="J16291" s="28">
        <v>0.67248201032717803</v>
      </c>
      <c r="K16291" s="29">
        <v>0.98289565623980701</v>
      </c>
    </row>
    <row r="16292" spans="1:11" x14ac:dyDescent="0.35">
      <c r="A16292" s="9" t="str">
        <f>HYPERLINK("http://www.ensembl.org/id/WBGene00012035", "WBGene00012035")</f>
        <v>WBGene00012035</v>
      </c>
      <c r="B16292" s="9" t="str">
        <f>HYPERLINK("http://www.ncbi.nlm.nih.gov/gene/259454", "259454")</f>
        <v>259454</v>
      </c>
      <c r="C16292" s="9"/>
      <c r="D16292" t="str">
        <f>"T26C5.5"</f>
        <v>T26C5.5</v>
      </c>
      <c r="F16292" t="s">
        <v>11</v>
      </c>
      <c r="H16292" s="12">
        <v>-1.30173840527042</v>
      </c>
      <c r="I16292" s="20">
        <v>-1.10324344733959</v>
      </c>
      <c r="J16292" s="28">
        <v>0.26992145821400798</v>
      </c>
      <c r="K16292" s="29">
        <v>0.98289565623980701</v>
      </c>
    </row>
    <row r="16293" spans="1:11" x14ac:dyDescent="0.35">
      <c r="A16293" s="9" t="str">
        <f>HYPERLINK("http://www.ensembl.org/id/WBGene00044905", "WBGene00044905")</f>
        <v>WBGene00044905</v>
      </c>
      <c r="B16293" s="9"/>
      <c r="C16293" s="9"/>
      <c r="D16293" t="str">
        <f>"T26E3.11"</f>
        <v>T26E3.11</v>
      </c>
      <c r="F16293" t="s">
        <v>80</v>
      </c>
      <c r="H16293" s="12">
        <v>1.8948661003302401</v>
      </c>
      <c r="I16293" s="20">
        <v>0.80978392627359597</v>
      </c>
      <c r="J16293" s="28">
        <v>0.41806437234720001</v>
      </c>
      <c r="K16293" s="29">
        <v>0.98289565623980701</v>
      </c>
    </row>
    <row r="16294" spans="1:11" x14ac:dyDescent="0.35">
      <c r="A16294" s="9" t="str">
        <f>HYPERLINK("http://www.ensembl.org/id/WBGene00012037", "WBGene00012037")</f>
        <v>WBGene00012037</v>
      </c>
      <c r="B16294" s="9" t="str">
        <f>HYPERLINK("http://www.ncbi.nlm.nih.gov/gene/173136", "173136")</f>
        <v>173136</v>
      </c>
      <c r="C16294" s="9" t="str">
        <f>HYPERLINK("http://www.ncbi.nlm.nih.gov/gene/51389", "51389")</f>
        <v>51389</v>
      </c>
      <c r="D16294" t="str">
        <f>"T26E3.4"</f>
        <v>T26E3.4</v>
      </c>
      <c r="F16294" t="s">
        <v>11</v>
      </c>
      <c r="G16294" t="s">
        <v>8173</v>
      </c>
      <c r="H16294" s="12">
        <v>-1.1637578592217801</v>
      </c>
      <c r="I16294" s="20">
        <v>-0.71560477639104603</v>
      </c>
      <c r="J16294" s="28">
        <v>0.474235423490172</v>
      </c>
      <c r="K16294" s="29">
        <v>0.98289565623980701</v>
      </c>
    </row>
    <row r="16295" spans="1:11" x14ac:dyDescent="0.35">
      <c r="A16295" s="9" t="str">
        <f>HYPERLINK("http://www.ensembl.org/id/WBGene00012038", "WBGene00012038")</f>
        <v>WBGene00012038</v>
      </c>
      <c r="B16295" s="9" t="str">
        <f>HYPERLINK("http://www.ncbi.nlm.nih.gov/gene/188923", "188923")</f>
        <v>188923</v>
      </c>
      <c r="C16295" s="9"/>
      <c r="D16295" t="str">
        <f>"T26E3.5"</f>
        <v>T26E3.5</v>
      </c>
      <c r="F16295" t="s">
        <v>11</v>
      </c>
      <c r="G16295" t="s">
        <v>54</v>
      </c>
      <c r="H16295" s="12">
        <v>-1.4597216825313599</v>
      </c>
      <c r="I16295" s="20">
        <v>-0.60728726414106304</v>
      </c>
      <c r="J16295" s="28">
        <v>0.54366028886607298</v>
      </c>
      <c r="K16295" s="29">
        <v>0.98289565623980701</v>
      </c>
    </row>
    <row r="16296" spans="1:11" x14ac:dyDescent="0.35">
      <c r="A16296" s="9" t="str">
        <f>HYPERLINK("http://www.ensembl.org/id/WBGene00012040", "WBGene00012040")</f>
        <v>WBGene00012040</v>
      </c>
      <c r="B16296" s="9" t="str">
        <f>HYPERLINK("http://www.ncbi.nlm.nih.gov/gene/188925", "188925")</f>
        <v>188925</v>
      </c>
      <c r="C16296" s="9"/>
      <c r="D16296" t="str">
        <f>"T26E3.7"</f>
        <v>T26E3.7</v>
      </c>
      <c r="F16296" t="s">
        <v>11</v>
      </c>
      <c r="G16296" t="s">
        <v>2791</v>
      </c>
      <c r="H16296" s="12">
        <v>1.7911699745835099</v>
      </c>
      <c r="I16296" s="20">
        <v>0.346905183089322</v>
      </c>
      <c r="J16296" s="28">
        <v>0.72866255263886304</v>
      </c>
      <c r="K16296" s="29">
        <v>0.98289565623980701</v>
      </c>
    </row>
    <row r="16297" spans="1:11" x14ac:dyDescent="0.35">
      <c r="A16297" s="9" t="str">
        <f>HYPERLINK("http://www.ensembl.org/id/WBGene00012041", "WBGene00012041")</f>
        <v>WBGene00012041</v>
      </c>
      <c r="B16297" s="9" t="str">
        <f>HYPERLINK("http://www.ncbi.nlm.nih.gov/gene/173135", "173135")</f>
        <v>173135</v>
      </c>
      <c r="C16297" s="9"/>
      <c r="D16297" t="str">
        <f>"T26E3.8"</f>
        <v>T26E3.8</v>
      </c>
      <c r="F16297" t="s">
        <v>11</v>
      </c>
      <c r="G16297" t="s">
        <v>54</v>
      </c>
      <c r="H16297" s="12">
        <v>-1.6713297066008701</v>
      </c>
      <c r="I16297" s="20">
        <v>-0.98050189308059998</v>
      </c>
      <c r="J16297" s="28">
        <v>0.32683843563178799</v>
      </c>
      <c r="K16297" s="29">
        <v>0.98289565623980701</v>
      </c>
    </row>
    <row r="16298" spans="1:11" x14ac:dyDescent="0.35">
      <c r="A16298" s="9" t="str">
        <f>HYPERLINK("http://www.ensembl.org/id/WBGene00012044", "WBGene00012044")</f>
        <v>WBGene00012044</v>
      </c>
      <c r="B16298" s="9" t="str">
        <f>HYPERLINK("http://www.ncbi.nlm.nih.gov/gene/188928", "188928")</f>
        <v>188928</v>
      </c>
      <c r="C16298" s="9"/>
      <c r="D16298" t="str">
        <f>"T26E4.2"</f>
        <v>T26E4.2</v>
      </c>
      <c r="F16298" t="s">
        <v>11</v>
      </c>
      <c r="H16298" s="12">
        <v>3.5227018545059199</v>
      </c>
      <c r="I16298" s="20">
        <v>0.36849691206929103</v>
      </c>
      <c r="J16298" s="28">
        <v>0.71250274722433404</v>
      </c>
      <c r="K16298" s="29">
        <v>0.98289565623980701</v>
      </c>
    </row>
    <row r="16299" spans="1:11" x14ac:dyDescent="0.35">
      <c r="A16299" s="9" t="str">
        <f>HYPERLINK("http://www.ensembl.org/id/WBGene00012045", "WBGene00012045")</f>
        <v>WBGene00012045</v>
      </c>
      <c r="B16299" s="9" t="str">
        <f>HYPERLINK("http://www.ncbi.nlm.nih.gov/gene/188929", "188929")</f>
        <v>188929</v>
      </c>
      <c r="C16299" s="9"/>
      <c r="D16299" t="str">
        <f>"T26E4.3"</f>
        <v>T26E4.3</v>
      </c>
      <c r="F16299" t="s">
        <v>11</v>
      </c>
      <c r="G16299" t="s">
        <v>4254</v>
      </c>
      <c r="H16299" s="12">
        <v>2.96911769426332</v>
      </c>
      <c r="I16299" s="20">
        <v>0.63763554717076498</v>
      </c>
      <c r="J16299" s="28">
        <v>0.52371095039398097</v>
      </c>
      <c r="K16299" s="29">
        <v>0.98289565623980701</v>
      </c>
    </row>
    <row r="16300" spans="1:11" x14ac:dyDescent="0.35">
      <c r="A16300" s="9" t="str">
        <f>HYPERLINK("http://www.ensembl.org/id/WBGene00012046", "WBGene00012046")</f>
        <v>WBGene00012046</v>
      </c>
      <c r="B16300" s="9" t="str">
        <f>HYPERLINK("http://www.ncbi.nlm.nih.gov/gene/188930", "188930")</f>
        <v>188930</v>
      </c>
      <c r="C16300" s="9"/>
      <c r="D16300" t="str">
        <f>"T26E4.4"</f>
        <v>T26E4.4</v>
      </c>
      <c r="F16300" t="s">
        <v>11</v>
      </c>
      <c r="G16300" t="s">
        <v>4254</v>
      </c>
      <c r="H16300" s="12">
        <v>-2.4991590031922399</v>
      </c>
      <c r="I16300" s="20">
        <v>-0.26577412737581302</v>
      </c>
      <c r="J16300" s="28">
        <v>0.79041317015736101</v>
      </c>
      <c r="K16300" s="29">
        <v>0.98289565623980701</v>
      </c>
    </row>
    <row r="16301" spans="1:11" x14ac:dyDescent="0.35">
      <c r="A16301" s="9" t="str">
        <f>HYPERLINK("http://www.ensembl.org/id/WBGene00206420", "WBGene00206420")</f>
        <v>WBGene00206420</v>
      </c>
      <c r="B16301" s="9"/>
      <c r="C16301" s="9"/>
      <c r="D16301" t="str">
        <f>"T26G10.7"</f>
        <v>T26G10.7</v>
      </c>
      <c r="F16301" t="s">
        <v>80</v>
      </c>
      <c r="H16301" s="12">
        <v>1.9291231835387901</v>
      </c>
      <c r="I16301" s="20">
        <v>0.72145409814381201</v>
      </c>
      <c r="J16301" s="28">
        <v>0.470630172480624</v>
      </c>
      <c r="K16301" s="29">
        <v>0.98289565623980701</v>
      </c>
    </row>
    <row r="16302" spans="1:11" x14ac:dyDescent="0.35">
      <c r="A16302" s="9" t="str">
        <f>HYPERLINK("http://www.ensembl.org/id/WBGene00044976", "WBGene00044976")</f>
        <v>WBGene00044976</v>
      </c>
      <c r="B16302" s="9"/>
      <c r="C16302" s="9"/>
      <c r="D16302" t="str">
        <f>"T26H2.10"</f>
        <v>T26H2.10</v>
      </c>
      <c r="F16302" t="s">
        <v>80</v>
      </c>
      <c r="H16302" s="12">
        <v>1.64356163294757</v>
      </c>
      <c r="I16302" s="20">
        <v>0.76931126679524298</v>
      </c>
      <c r="J16302" s="28">
        <v>0.441708550316251</v>
      </c>
      <c r="K16302" s="29">
        <v>0.98289565623980701</v>
      </c>
    </row>
    <row r="16303" spans="1:11" x14ac:dyDescent="0.35">
      <c r="A16303" s="9" t="str">
        <f>HYPERLINK("http://www.ensembl.org/id/WBGene00077662", "WBGene00077662")</f>
        <v>WBGene00077662</v>
      </c>
      <c r="B16303" s="9"/>
      <c r="C16303" s="9"/>
      <c r="D16303" t="str">
        <f>"T26H2.12"</f>
        <v>T26H2.12</v>
      </c>
      <c r="F16303" t="s">
        <v>80</v>
      </c>
      <c r="H16303" s="12">
        <v>2.3068620403120801</v>
      </c>
      <c r="I16303" s="20">
        <v>0.490207287437669</v>
      </c>
      <c r="J16303" s="28">
        <v>0.62398722456548095</v>
      </c>
      <c r="K16303" s="29">
        <v>0.98289565623980701</v>
      </c>
    </row>
    <row r="16304" spans="1:11" x14ac:dyDescent="0.35">
      <c r="A16304" s="9" t="str">
        <f>HYPERLINK("http://www.ensembl.org/id/WBGene00201972", "WBGene00201972")</f>
        <v>WBGene00201972</v>
      </c>
      <c r="B16304" s="9"/>
      <c r="C16304" s="9"/>
      <c r="D16304" t="str">
        <f>"T26H2.16"</f>
        <v>T26H2.16</v>
      </c>
      <c r="F16304" t="s">
        <v>481</v>
      </c>
      <c r="H16304" s="12">
        <v>3.5227018545059199</v>
      </c>
      <c r="I16304" s="20">
        <v>0.36849691206929103</v>
      </c>
      <c r="J16304" s="28">
        <v>0.71250274722433404</v>
      </c>
      <c r="K16304" s="29">
        <v>0.98289565623980701</v>
      </c>
    </row>
    <row r="16305" spans="1:11" x14ac:dyDescent="0.35">
      <c r="A16305" s="9" t="str">
        <f>HYPERLINK("http://www.ensembl.org/id/WBGene00077588", "WBGene00077588")</f>
        <v>WBGene00077588</v>
      </c>
      <c r="B16305" s="9" t="str">
        <f>HYPERLINK("http://www.ncbi.nlm.nih.gov/gene/6418776", "6418776")</f>
        <v>6418776</v>
      </c>
      <c r="C16305" s="9"/>
      <c r="D16305" t="str">
        <f>"T26H8.5"</f>
        <v>T26H8.5</v>
      </c>
      <c r="F16305" t="s">
        <v>11</v>
      </c>
      <c r="G16305" t="s">
        <v>1015</v>
      </c>
      <c r="H16305" s="12">
        <v>14.098189607313399</v>
      </c>
      <c r="I16305" s="20">
        <v>0.90638981510253003</v>
      </c>
      <c r="J16305" s="28">
        <v>0.36472956169230802</v>
      </c>
      <c r="K16305" s="29">
        <v>0.98289565623980701</v>
      </c>
    </row>
    <row r="16306" spans="1:11" x14ac:dyDescent="0.35">
      <c r="A16306" s="9" t="str">
        <f>HYPERLINK("http://www.ensembl.org/id/WBGene00020844", "WBGene00020844")</f>
        <v>WBGene00020844</v>
      </c>
      <c r="B16306" s="9" t="str">
        <f>HYPERLINK("http://www.ncbi.nlm.nih.gov/gene/180648", "180648")</f>
        <v>180648</v>
      </c>
      <c r="C16306" s="9"/>
      <c r="D16306" t="str">
        <f>"T27A10.2"</f>
        <v>T27A10.2</v>
      </c>
      <c r="F16306" t="s">
        <v>11</v>
      </c>
      <c r="H16306" s="12">
        <v>1.33079909734349</v>
      </c>
      <c r="I16306" s="20">
        <v>1.0670103412721601</v>
      </c>
      <c r="J16306" s="28">
        <v>0.28596716620998802</v>
      </c>
      <c r="K16306" s="29">
        <v>0.98289565623980701</v>
      </c>
    </row>
    <row r="16307" spans="1:11" x14ac:dyDescent="0.35">
      <c r="A16307" s="9" t="str">
        <f>HYPERLINK("http://www.ensembl.org/id/WBGene00197773", "WBGene00197773")</f>
        <v>WBGene00197773</v>
      </c>
      <c r="B16307" s="9"/>
      <c r="C16307" s="9"/>
      <c r="D16307" t="str">
        <f>"T27A10.8"</f>
        <v>T27A10.8</v>
      </c>
      <c r="F16307" t="s">
        <v>481</v>
      </c>
      <c r="H16307" s="12">
        <v>-2.4991590031922399</v>
      </c>
      <c r="I16307" s="20">
        <v>-0.26577412737581302</v>
      </c>
      <c r="J16307" s="28">
        <v>0.79041317015736101</v>
      </c>
      <c r="K16307" s="29">
        <v>0.98289565623980701</v>
      </c>
    </row>
    <row r="16308" spans="1:11" x14ac:dyDescent="0.35">
      <c r="A16308" s="9" t="str">
        <f>HYPERLINK("http://www.ensembl.org/id/WBGene00012075", "WBGene00012075")</f>
        <v>WBGene00012075</v>
      </c>
      <c r="B16308" s="9" t="str">
        <f>HYPERLINK("http://www.ncbi.nlm.nih.gov/gene/188968", "188968")</f>
        <v>188968</v>
      </c>
      <c r="C16308" s="9"/>
      <c r="D16308" t="str">
        <f>"T27A8.3"</f>
        <v>T27A8.3</v>
      </c>
      <c r="F16308" t="s">
        <v>11</v>
      </c>
      <c r="G16308" t="s">
        <v>10054</v>
      </c>
      <c r="H16308" s="12">
        <v>-2.4295389261469</v>
      </c>
      <c r="I16308" s="20">
        <v>-0.25808529976640998</v>
      </c>
      <c r="J16308" s="28">
        <v>0.79634107645457397</v>
      </c>
      <c r="K16308" s="29">
        <v>0.98289565623980701</v>
      </c>
    </row>
    <row r="16309" spans="1:11" x14ac:dyDescent="0.35">
      <c r="A16309" s="9" t="str">
        <f>HYPERLINK("http://www.ensembl.org/id/WBGene00012076", "WBGene00012076")</f>
        <v>WBGene00012076</v>
      </c>
      <c r="B16309" s="9" t="str">
        <f>HYPERLINK("http://www.ncbi.nlm.nih.gov/gene/188969", "188969")</f>
        <v>188969</v>
      </c>
      <c r="C16309" s="9"/>
      <c r="D16309" t="str">
        <f>"T27A8.4"</f>
        <v>T27A8.4</v>
      </c>
      <c r="F16309" t="s">
        <v>11</v>
      </c>
      <c r="H16309" s="12">
        <v>3.6645215954135</v>
      </c>
      <c r="I16309" s="20">
        <v>0.37967131826092498</v>
      </c>
      <c r="J16309" s="28">
        <v>0.70418941338960395</v>
      </c>
      <c r="K16309" s="29">
        <v>0.98289565623980701</v>
      </c>
    </row>
    <row r="16310" spans="1:11" x14ac:dyDescent="0.35">
      <c r="A16310" s="9" t="str">
        <f>HYPERLINK("http://www.ensembl.org/id/WBGene00012077", "WBGene00012077")</f>
        <v>WBGene00012077</v>
      </c>
      <c r="B16310" s="9" t="str">
        <f>HYPERLINK("http://www.ncbi.nlm.nih.gov/gene/188970", "188970")</f>
        <v>188970</v>
      </c>
      <c r="C16310" s="9"/>
      <c r="D16310" t="str">
        <f>"T27A8.5"</f>
        <v>T27A8.5</v>
      </c>
      <c r="F16310" t="s">
        <v>11</v>
      </c>
      <c r="H16310" s="12">
        <v>-7.7904337984490803</v>
      </c>
      <c r="I16310" s="20">
        <v>-0.60901310058451197</v>
      </c>
      <c r="J16310" s="28">
        <v>0.54251575542982</v>
      </c>
      <c r="K16310" s="29">
        <v>0.98289565623980701</v>
      </c>
    </row>
    <row r="16311" spans="1:11" x14ac:dyDescent="0.35">
      <c r="A16311" s="9" t="str">
        <f>HYPERLINK("http://www.ensembl.org/id/WBGene00198563", "WBGene00198563")</f>
        <v>WBGene00198563</v>
      </c>
      <c r="B16311" s="9"/>
      <c r="C16311" s="9"/>
      <c r="D16311" t="str">
        <f>"T27B1.4"</f>
        <v>T27B1.4</v>
      </c>
      <c r="F16311" t="s">
        <v>481</v>
      </c>
      <c r="H16311" s="12">
        <v>2.3893468495514898</v>
      </c>
      <c r="I16311" s="20">
        <v>0.25323547253672701</v>
      </c>
      <c r="J16311" s="28">
        <v>0.80008625651646104</v>
      </c>
      <c r="K16311" s="29">
        <v>0.98289565623980701</v>
      </c>
    </row>
    <row r="16312" spans="1:11" x14ac:dyDescent="0.35">
      <c r="A16312" s="9" t="str">
        <f>HYPERLINK("http://www.ensembl.org/id/WBGene00044059", "WBGene00044059")</f>
        <v>WBGene00044059</v>
      </c>
      <c r="B16312" s="9" t="str">
        <f>HYPERLINK("http://www.ncbi.nlm.nih.gov/gene/3564801", "3564801")</f>
        <v>3564801</v>
      </c>
      <c r="C16312" s="9"/>
      <c r="D16312" t="str">
        <f>"T27C5.12"</f>
        <v>T27C5.12</v>
      </c>
      <c r="F16312" t="s">
        <v>11</v>
      </c>
      <c r="G16312" t="s">
        <v>3419</v>
      </c>
      <c r="H16312" s="12">
        <v>-3.3597063241945002</v>
      </c>
      <c r="I16312" s="20">
        <v>-0.486391335395429</v>
      </c>
      <c r="J16312" s="28">
        <v>0.62668973265125505</v>
      </c>
      <c r="K16312" s="29">
        <v>0.98289565623980701</v>
      </c>
    </row>
    <row r="16313" spans="1:11" x14ac:dyDescent="0.35">
      <c r="A16313" s="9" t="str">
        <f>HYPERLINK("http://www.ensembl.org/id/WBGene00077631", "WBGene00077631")</f>
        <v>WBGene00077631</v>
      </c>
      <c r="B16313" s="9"/>
      <c r="C16313" s="9"/>
      <c r="D16313" t="str">
        <f>"T27C5.15"</f>
        <v>T27C5.15</v>
      </c>
      <c r="F16313" t="s">
        <v>80</v>
      </c>
      <c r="H16313" s="12">
        <v>-2.4295389261469</v>
      </c>
      <c r="I16313" s="20">
        <v>-0.25808529976640998</v>
      </c>
      <c r="J16313" s="28">
        <v>0.79634107645457397</v>
      </c>
      <c r="K16313" s="29">
        <v>0.98289565623980701</v>
      </c>
    </row>
    <row r="16314" spans="1:11" x14ac:dyDescent="0.35">
      <c r="A16314" s="9" t="str">
        <f>HYPERLINK("http://www.ensembl.org/id/WBGene00077632", "WBGene00077632")</f>
        <v>WBGene00077632</v>
      </c>
      <c r="B16314" s="9"/>
      <c r="C16314" s="9"/>
      <c r="D16314" t="str">
        <f>"T27C5.16"</f>
        <v>T27C5.16</v>
      </c>
      <c r="F16314" t="s">
        <v>80</v>
      </c>
      <c r="H16314" s="12">
        <v>2.3893468495514898</v>
      </c>
      <c r="I16314" s="20">
        <v>0.25323547253672701</v>
      </c>
      <c r="J16314" s="28">
        <v>0.80008625651646104</v>
      </c>
      <c r="K16314" s="29">
        <v>0.98289565623980701</v>
      </c>
    </row>
    <row r="16315" spans="1:11" x14ac:dyDescent="0.35">
      <c r="A16315" s="9" t="str">
        <f>HYPERLINK("http://www.ensembl.org/id/WBGene00012081", "WBGene00012081")</f>
        <v>WBGene00012081</v>
      </c>
      <c r="B16315" s="9" t="str">
        <f>HYPERLINK("http://www.ncbi.nlm.nih.gov/gene/188987", "188987")</f>
        <v>188987</v>
      </c>
      <c r="C16315" s="9"/>
      <c r="D16315" t="str">
        <f>"T27C5.8"</f>
        <v>T27C5.8</v>
      </c>
      <c r="F16315" t="s">
        <v>11</v>
      </c>
      <c r="G16315" t="s">
        <v>25</v>
      </c>
      <c r="H16315" s="12">
        <v>-2.4295389261469</v>
      </c>
      <c r="I16315" s="20">
        <v>-0.25808529976640998</v>
      </c>
      <c r="J16315" s="28">
        <v>0.79634107645457397</v>
      </c>
      <c r="K16315" s="29">
        <v>0.98289565623980701</v>
      </c>
    </row>
    <row r="16316" spans="1:11" x14ac:dyDescent="0.35">
      <c r="A16316" s="9" t="str">
        <f>HYPERLINK("http://www.ensembl.org/id/WBGene00194848", "WBGene00194848")</f>
        <v>WBGene00194848</v>
      </c>
      <c r="B16316" s="9" t="str">
        <f>HYPERLINK("http://www.ncbi.nlm.nih.gov/gene/13187289", "13187289")</f>
        <v>13187289</v>
      </c>
      <c r="C16316" s="9"/>
      <c r="D16316" t="str">
        <f>"T27D12.6"</f>
        <v>T27D12.6</v>
      </c>
      <c r="F16316" t="s">
        <v>11</v>
      </c>
      <c r="H16316" s="12">
        <v>1.31412639943784</v>
      </c>
      <c r="I16316" s="20">
        <v>0.77998487499736502</v>
      </c>
      <c r="J16316" s="28">
        <v>0.43539977795268298</v>
      </c>
      <c r="K16316" s="29">
        <v>0.98289565623980701</v>
      </c>
    </row>
    <row r="16317" spans="1:11" x14ac:dyDescent="0.35">
      <c r="A16317" s="9" t="str">
        <f>HYPERLINK("http://www.ensembl.org/id/WBGene00196341", "WBGene00196341")</f>
        <v>WBGene00196341</v>
      </c>
      <c r="B16317" s="9"/>
      <c r="C16317" s="9"/>
      <c r="D16317" t="str">
        <f>"T27D12.8"</f>
        <v>T27D12.8</v>
      </c>
      <c r="F16317" t="s">
        <v>481</v>
      </c>
      <c r="H16317" s="12">
        <v>2.7626118609501802</v>
      </c>
      <c r="I16317" s="20">
        <v>0.38293686937655103</v>
      </c>
      <c r="J16317" s="28">
        <v>0.70176657339128301</v>
      </c>
      <c r="K16317" s="29">
        <v>0.98289565623980701</v>
      </c>
    </row>
    <row r="16318" spans="1:11" x14ac:dyDescent="0.35">
      <c r="A16318" s="9" t="str">
        <f>HYPERLINK("http://www.ensembl.org/id/WBGene00198195", "WBGene00198195")</f>
        <v>WBGene00198195</v>
      </c>
      <c r="B16318" s="9"/>
      <c r="C16318" s="9"/>
      <c r="D16318" t="str">
        <f>"T27D12.9"</f>
        <v>T27D12.9</v>
      </c>
      <c r="F16318" t="s">
        <v>481</v>
      </c>
      <c r="H16318" s="12">
        <v>-5.4967879193631202</v>
      </c>
      <c r="I16318" s="20">
        <v>-0.50254160819837501</v>
      </c>
      <c r="J16318" s="28">
        <v>0.61528659178453604</v>
      </c>
      <c r="K16318" s="29">
        <v>0.98289565623980701</v>
      </c>
    </row>
    <row r="16319" spans="1:11" x14ac:dyDescent="0.35">
      <c r="A16319" s="9" t="str">
        <f>HYPERLINK("http://www.ensembl.org/id/WBGene00044923", "WBGene00044923")</f>
        <v>WBGene00044923</v>
      </c>
      <c r="B16319" s="9"/>
      <c r="C16319" s="9"/>
      <c r="D16319" t="str">
        <f>"T27E4.10"</f>
        <v>T27E4.10</v>
      </c>
      <c r="F16319" t="s">
        <v>4205</v>
      </c>
      <c r="H16319" s="12">
        <v>3.5227018545059199</v>
      </c>
      <c r="I16319" s="20">
        <v>0.36849691206929103</v>
      </c>
      <c r="J16319" s="28">
        <v>0.71250274722433404</v>
      </c>
      <c r="K16319" s="29">
        <v>0.98289565623980701</v>
      </c>
    </row>
    <row r="16320" spans="1:11" x14ac:dyDescent="0.35">
      <c r="A16320" s="9" t="str">
        <f>HYPERLINK("http://www.ensembl.org/id/WBGene00020865", "WBGene00020865")</f>
        <v>WBGene00020865</v>
      </c>
      <c r="B16320" s="9" t="str">
        <f>HYPERLINK("http://www.ncbi.nlm.nih.gov/gene/179285", "179285")</f>
        <v>179285</v>
      </c>
      <c r="C16320" s="9"/>
      <c r="D16320" t="str">
        <f>"T27E4.7"</f>
        <v>T27E4.7</v>
      </c>
      <c r="F16320" t="s">
        <v>11</v>
      </c>
      <c r="H16320" s="12">
        <v>1.22496449011813</v>
      </c>
      <c r="I16320" s="20">
        <v>1.05785021231718</v>
      </c>
      <c r="J16320" s="28">
        <v>0.290123736595229</v>
      </c>
      <c r="K16320" s="29">
        <v>0.98289565623980701</v>
      </c>
    </row>
    <row r="16321" spans="1:11" x14ac:dyDescent="0.35">
      <c r="A16321" s="9" t="str">
        <f>HYPERLINK("http://www.ensembl.org/id/WBGene00012087", "WBGene00012087")</f>
        <v>WBGene00012087</v>
      </c>
      <c r="B16321" s="9" t="str">
        <f>HYPERLINK("http://www.ncbi.nlm.nih.gov/gene/178390", "178390")</f>
        <v>178390</v>
      </c>
      <c r="C16321" s="9"/>
      <c r="D16321" t="str">
        <f>"T27E7.1"</f>
        <v>T27E7.1</v>
      </c>
      <c r="F16321" t="s">
        <v>11</v>
      </c>
      <c r="H16321" s="12">
        <v>1.6232617970766301</v>
      </c>
      <c r="I16321" s="20">
        <v>0.82952683627840296</v>
      </c>
      <c r="J16321" s="28">
        <v>0.40680635773075502</v>
      </c>
      <c r="K16321" s="29">
        <v>0.98289565623980701</v>
      </c>
    </row>
    <row r="16322" spans="1:11" x14ac:dyDescent="0.35">
      <c r="A16322" s="9" t="str">
        <f>HYPERLINK("http://www.ensembl.org/id/WBGene00012088", "WBGene00012088")</f>
        <v>WBGene00012088</v>
      </c>
      <c r="B16322" s="9" t="str">
        <f>HYPERLINK("http://www.ncbi.nlm.nih.gov/gene/188997", "188997")</f>
        <v>188997</v>
      </c>
      <c r="C16322" s="9"/>
      <c r="D16322" t="str">
        <f>"T27E7.3"</f>
        <v>T27E7.3</v>
      </c>
      <c r="F16322" t="s">
        <v>11</v>
      </c>
      <c r="G16322" t="s">
        <v>25</v>
      </c>
      <c r="H16322" s="12">
        <v>-3.6110643734838299</v>
      </c>
      <c r="I16322" s="20">
        <v>-0.57237894541144496</v>
      </c>
      <c r="J16322" s="28">
        <v>0.56706527662435902</v>
      </c>
      <c r="K16322" s="29">
        <v>0.98289565623980701</v>
      </c>
    </row>
    <row r="16323" spans="1:11" x14ac:dyDescent="0.35">
      <c r="A16323" s="9" t="str">
        <f>HYPERLINK("http://www.ensembl.org/id/WBGene00012089", "WBGene00012089")</f>
        <v>WBGene00012089</v>
      </c>
      <c r="B16323" s="9" t="str">
        <f>HYPERLINK("http://www.ncbi.nlm.nih.gov/gene/188998", "188998")</f>
        <v>188998</v>
      </c>
      <c r="C16323" s="9"/>
      <c r="D16323" t="str">
        <f>"T27E7.4"</f>
        <v>T27E7.4</v>
      </c>
      <c r="F16323" t="s">
        <v>11</v>
      </c>
      <c r="G16323" t="s">
        <v>25</v>
      </c>
      <c r="H16323" s="12">
        <v>2.0415222718071302</v>
      </c>
      <c r="I16323" s="20">
        <v>0.28043651881875897</v>
      </c>
      <c r="J16323" s="28">
        <v>0.77914262263395595</v>
      </c>
      <c r="K16323" s="29">
        <v>0.98289565623980701</v>
      </c>
    </row>
    <row r="16324" spans="1:11" x14ac:dyDescent="0.35">
      <c r="A16324" s="9" t="str">
        <f>HYPERLINK("http://www.ensembl.org/id/WBGene00012093", "WBGene00012093")</f>
        <v>WBGene00012093</v>
      </c>
      <c r="B16324" s="9" t="str">
        <f>HYPERLINK("http://www.ncbi.nlm.nih.gov/gene/3564875", "3564875")</f>
        <v>3564875</v>
      </c>
      <c r="C16324" s="9"/>
      <c r="D16324" t="str">
        <f>"T27E7.9"</f>
        <v>T27E7.9</v>
      </c>
      <c r="F16324" t="s">
        <v>11</v>
      </c>
      <c r="G16324" t="s">
        <v>25</v>
      </c>
      <c r="H16324" s="12">
        <v>3.5227018545059199</v>
      </c>
      <c r="I16324" s="20">
        <v>0.36849691206929103</v>
      </c>
      <c r="J16324" s="28">
        <v>0.71250274722433404</v>
      </c>
      <c r="K16324" s="29">
        <v>0.98289565623980701</v>
      </c>
    </row>
    <row r="16325" spans="1:11" x14ac:dyDescent="0.35">
      <c r="A16325" s="9" t="str">
        <f>HYPERLINK("http://www.ensembl.org/id/WBGene00220105", "WBGene00220105")</f>
        <v>WBGene00220105</v>
      </c>
      <c r="B16325" s="9"/>
      <c r="C16325" s="9"/>
      <c r="D16325" t="str">
        <f>"T27E9.11"</f>
        <v>T27E9.11</v>
      </c>
      <c r="F16325" t="s">
        <v>481</v>
      </c>
      <c r="H16325" s="12">
        <v>11.170998397396099</v>
      </c>
      <c r="I16325" s="20">
        <v>0.72284615686154896</v>
      </c>
      <c r="J16325" s="28">
        <v>0.46977440626377698</v>
      </c>
      <c r="K16325" s="29">
        <v>0.98289565623980701</v>
      </c>
    </row>
    <row r="16326" spans="1:11" x14ac:dyDescent="0.35">
      <c r="A16326" s="9" t="str">
        <f>HYPERLINK("http://www.ensembl.org/id/WBGene00196724", "WBGene00196724")</f>
        <v>WBGene00196724</v>
      </c>
      <c r="B16326" s="9"/>
      <c r="C16326" s="9"/>
      <c r="D16326" t="str">
        <f>"T27F2.6"</f>
        <v>T27F2.6</v>
      </c>
      <c r="F16326" t="s">
        <v>481</v>
      </c>
      <c r="H16326" s="12">
        <v>3.5227018545059199</v>
      </c>
      <c r="I16326" s="20">
        <v>0.36849691206929103</v>
      </c>
      <c r="J16326" s="28">
        <v>0.71250274722433404</v>
      </c>
      <c r="K16326" s="29">
        <v>0.98289565623980701</v>
      </c>
    </row>
    <row r="16327" spans="1:11" x14ac:dyDescent="0.35">
      <c r="A16327" s="9" t="str">
        <f>HYPERLINK("http://www.ensembl.org/id/WBGene00077508", "WBGene00077508")</f>
        <v>WBGene00077508</v>
      </c>
      <c r="B16327" s="9" t="str">
        <f>HYPERLINK("http://www.ncbi.nlm.nih.gov/gene/6418604", "6418604")</f>
        <v>6418604</v>
      </c>
      <c r="C16327" s="9"/>
      <c r="D16327" t="str">
        <f>"T27F6.10"</f>
        <v>T27F6.10</v>
      </c>
      <c r="F16327" t="s">
        <v>11</v>
      </c>
      <c r="G16327" t="s">
        <v>25</v>
      </c>
      <c r="H16327" s="12">
        <v>1.82977183873764</v>
      </c>
      <c r="I16327" s="20">
        <v>0.71804260045496204</v>
      </c>
      <c r="J16327" s="28">
        <v>0.47273102026538899</v>
      </c>
      <c r="K16327" s="29">
        <v>0.98289565623980701</v>
      </c>
    </row>
    <row r="16328" spans="1:11" x14ac:dyDescent="0.35">
      <c r="A16328" s="9" t="str">
        <f>HYPERLINK("http://www.ensembl.org/id/WBGene00012106", "WBGene00012106")</f>
        <v>WBGene00012106</v>
      </c>
      <c r="B16328" s="9" t="str">
        <f>HYPERLINK("http://www.ncbi.nlm.nih.gov/gene/173119", "173119")</f>
        <v>173119</v>
      </c>
      <c r="C16328" s="9"/>
      <c r="D16328" t="str">
        <f>"T27F6.7"</f>
        <v>T27F6.7</v>
      </c>
      <c r="F16328" t="s">
        <v>11</v>
      </c>
      <c r="G16328" t="s">
        <v>25</v>
      </c>
      <c r="H16328" s="12">
        <v>-1.27190479478768</v>
      </c>
      <c r="I16328" s="20">
        <v>-1.18286896922985</v>
      </c>
      <c r="J16328" s="28">
        <v>0.23686108142338899</v>
      </c>
      <c r="K16328" s="29">
        <v>0.98289565623980701</v>
      </c>
    </row>
    <row r="16329" spans="1:11" x14ac:dyDescent="0.35">
      <c r="A16329" s="9" t="str">
        <f>HYPERLINK("http://www.ensembl.org/id/WBGene00020875", "WBGene00020875")</f>
        <v>WBGene00020875</v>
      </c>
      <c r="B16329" s="9" t="str">
        <f>HYPERLINK("http://www.ncbi.nlm.nih.gov/gene/189019", "189019")</f>
        <v>189019</v>
      </c>
      <c r="C16329" s="9" t="str">
        <f>HYPERLINK("http://www.ncbi.nlm.nih.gov/gene/158046", "158046")</f>
        <v>158046</v>
      </c>
      <c r="D16329" t="str">
        <f>"T28A11.13"</f>
        <v>T28A11.13</v>
      </c>
      <c r="F16329" t="s">
        <v>11</v>
      </c>
      <c r="H16329" s="12">
        <v>2.43628531154256</v>
      </c>
      <c r="I16329" s="20">
        <v>0.26397437090349102</v>
      </c>
      <c r="J16329" s="28">
        <v>0.79179966754305298</v>
      </c>
      <c r="K16329" s="29">
        <v>0.98289565623980701</v>
      </c>
    </row>
    <row r="16330" spans="1:11" x14ac:dyDescent="0.35">
      <c r="A16330" s="9" t="str">
        <f>HYPERLINK("http://www.ensembl.org/id/WBGene00020878", "WBGene00020878")</f>
        <v>WBGene00020878</v>
      </c>
      <c r="B16330" s="9" t="str">
        <f>HYPERLINK("http://www.ncbi.nlm.nih.gov/gene/189021", "189021")</f>
        <v>189021</v>
      </c>
      <c r="C16330" s="9"/>
      <c r="D16330" t="str">
        <f>"T28A11.16"</f>
        <v>T28A11.16</v>
      </c>
      <c r="F16330" t="s">
        <v>11</v>
      </c>
      <c r="H16330" s="12">
        <v>1.44229805010773</v>
      </c>
      <c r="I16330" s="20">
        <v>0.64812310519591199</v>
      </c>
      <c r="J16330" s="28">
        <v>0.51690533102228398</v>
      </c>
      <c r="K16330" s="29">
        <v>0.98289565623980701</v>
      </c>
    </row>
    <row r="16331" spans="1:11" x14ac:dyDescent="0.35">
      <c r="A16331" s="9" t="str">
        <f>HYPERLINK("http://www.ensembl.org/id/WBGene00020880", "WBGene00020880")</f>
        <v>WBGene00020880</v>
      </c>
      <c r="B16331" s="9" t="str">
        <f>HYPERLINK("http://www.ncbi.nlm.nih.gov/gene/189023", "189023")</f>
        <v>189023</v>
      </c>
      <c r="C16331" s="9"/>
      <c r="D16331" t="str">
        <f>"T28A11.18"</f>
        <v>T28A11.18</v>
      </c>
      <c r="F16331" t="s">
        <v>11</v>
      </c>
      <c r="H16331" s="12">
        <v>-1.5062960493691</v>
      </c>
      <c r="I16331" s="20">
        <v>-0.29924365223941402</v>
      </c>
      <c r="J16331" s="28">
        <v>0.76475414466554303</v>
      </c>
      <c r="K16331" s="29">
        <v>0.98289565623980701</v>
      </c>
    </row>
    <row r="16332" spans="1:11" x14ac:dyDescent="0.35">
      <c r="A16332" s="9" t="str">
        <f>HYPERLINK("http://www.ensembl.org/id/WBGene00020882", "WBGene00020882")</f>
        <v>WBGene00020882</v>
      </c>
      <c r="B16332" s="9" t="str">
        <f>HYPERLINK("http://www.ncbi.nlm.nih.gov/gene/189025", "189025")</f>
        <v>189025</v>
      </c>
      <c r="C16332" s="9"/>
      <c r="D16332" t="str">
        <f>"T28A11.20"</f>
        <v>T28A11.20</v>
      </c>
      <c r="F16332" t="s">
        <v>11</v>
      </c>
      <c r="H16332" s="12">
        <v>1.9561173881285501</v>
      </c>
      <c r="I16332" s="20">
        <v>0.257782736541043</v>
      </c>
      <c r="J16332" s="28">
        <v>0.79657458856254804</v>
      </c>
      <c r="K16332" s="29">
        <v>0.98289565623980701</v>
      </c>
    </row>
    <row r="16333" spans="1:11" x14ac:dyDescent="0.35">
      <c r="A16333" s="9" t="str">
        <f>HYPERLINK("http://www.ensembl.org/id/WBGene00020870", "WBGene00020870")</f>
        <v>WBGene00020870</v>
      </c>
      <c r="B16333" s="9" t="str">
        <f>HYPERLINK("http://www.ncbi.nlm.nih.gov/gene/189010", "189010")</f>
        <v>189010</v>
      </c>
      <c r="C16333" s="9"/>
      <c r="D16333" t="str">
        <f>"T28A11.3"</f>
        <v>T28A11.3</v>
      </c>
      <c r="F16333" t="s">
        <v>11</v>
      </c>
      <c r="H16333" s="12">
        <v>3.5227018545059199</v>
      </c>
      <c r="I16333" s="20">
        <v>0.36849691206929103</v>
      </c>
      <c r="J16333" s="28">
        <v>0.71250274722433404</v>
      </c>
      <c r="K16333" s="29">
        <v>0.98289565623980701</v>
      </c>
    </row>
    <row r="16334" spans="1:11" x14ac:dyDescent="0.35">
      <c r="A16334" s="9" t="str">
        <f>HYPERLINK("http://www.ensembl.org/id/WBGene00020872", "WBGene00020872")</f>
        <v>WBGene00020872</v>
      </c>
      <c r="B16334" s="9"/>
      <c r="C16334" s="9"/>
      <c r="D16334" t="str">
        <f>"T28A11.5"</f>
        <v>T28A11.5</v>
      </c>
      <c r="F16334" t="s">
        <v>80</v>
      </c>
      <c r="H16334" s="12">
        <v>3.2303903025262999</v>
      </c>
      <c r="I16334" s="20">
        <v>0.46230204842283901</v>
      </c>
      <c r="J16334" s="28">
        <v>0.64386473087326501</v>
      </c>
      <c r="K16334" s="29">
        <v>0.98289565623980701</v>
      </c>
    </row>
    <row r="16335" spans="1:11" x14ac:dyDescent="0.35">
      <c r="A16335" s="9" t="str">
        <f>HYPERLINK("http://www.ensembl.org/id/WBGene00012108", "WBGene00012108")</f>
        <v>WBGene00012108</v>
      </c>
      <c r="B16335" s="9" t="str">
        <f>HYPERLINK("http://www.ncbi.nlm.nih.gov/gene/189007", "189007")</f>
        <v>189007</v>
      </c>
      <c r="C16335" s="9"/>
      <c r="D16335" t="str">
        <f>"T28A8.2"</f>
        <v>T28A8.2</v>
      </c>
      <c r="F16335" t="s">
        <v>11</v>
      </c>
      <c r="G16335" t="s">
        <v>4254</v>
      </c>
      <c r="H16335" s="12">
        <v>-8.0014360469151899</v>
      </c>
      <c r="I16335" s="20">
        <v>-0.61746222315259702</v>
      </c>
      <c r="J16335" s="28">
        <v>0.536929891129723</v>
      </c>
      <c r="K16335" s="29">
        <v>0.98289565623980701</v>
      </c>
    </row>
    <row r="16336" spans="1:11" x14ac:dyDescent="0.35">
      <c r="A16336" s="9" t="str">
        <f>HYPERLINK("http://www.ensembl.org/id/WBGene00194852", "WBGene00194852")</f>
        <v>WBGene00194852</v>
      </c>
      <c r="B16336" s="9" t="str">
        <f>HYPERLINK("http://www.ncbi.nlm.nih.gov/gene/13191798", "13191798")</f>
        <v>13191798</v>
      </c>
      <c r="C16336" s="9"/>
      <c r="D16336" t="str">
        <f>"T28A8.8"</f>
        <v>T28A8.8</v>
      </c>
      <c r="F16336" t="s">
        <v>11</v>
      </c>
      <c r="H16336" s="12">
        <v>-1.8127157465952399</v>
      </c>
      <c r="I16336" s="20">
        <v>-0.667160856502096</v>
      </c>
      <c r="J16336" s="28">
        <v>0.50466939119758802</v>
      </c>
      <c r="K16336" s="29">
        <v>0.98289565623980701</v>
      </c>
    </row>
    <row r="16337" spans="1:11" x14ac:dyDescent="0.35">
      <c r="A16337" s="9" t="str">
        <f>HYPERLINK("http://www.ensembl.org/id/WBGene00012117", "WBGene00012117")</f>
        <v>WBGene00012117</v>
      </c>
      <c r="B16337" s="9" t="str">
        <f>HYPERLINK("http://www.ncbi.nlm.nih.gov/gene/179487", "179487")</f>
        <v>179487</v>
      </c>
      <c r="C16337" s="9"/>
      <c r="D16337" t="str">
        <f>"T28B11.1"</f>
        <v>T28B11.1</v>
      </c>
      <c r="F16337" t="s">
        <v>11</v>
      </c>
      <c r="G16337" t="s">
        <v>54</v>
      </c>
      <c r="H16337" s="12">
        <v>-1.1181082727542999</v>
      </c>
      <c r="I16337" s="20">
        <v>-0.62572181283957995</v>
      </c>
      <c r="J16337" s="28">
        <v>0.531497423381601</v>
      </c>
      <c r="K16337" s="29">
        <v>0.98289565623980701</v>
      </c>
    </row>
    <row r="16338" spans="1:11" x14ac:dyDescent="0.35">
      <c r="A16338" s="9" t="str">
        <f>HYPERLINK("http://www.ensembl.org/id/WBGene00197493", "WBGene00197493")</f>
        <v>WBGene00197493</v>
      </c>
      <c r="B16338" s="9"/>
      <c r="C16338" s="9"/>
      <c r="D16338" t="str">
        <f>"T28B11.11"</f>
        <v>T28B11.11</v>
      </c>
      <c r="F16338" t="s">
        <v>481</v>
      </c>
      <c r="H16338" s="12">
        <v>4.4368407117627902</v>
      </c>
      <c r="I16338" s="20">
        <v>0.43709475933309699</v>
      </c>
      <c r="J16338" s="28">
        <v>0.66204262779770495</v>
      </c>
      <c r="K16338" s="29">
        <v>0.98289565623980701</v>
      </c>
    </row>
    <row r="16339" spans="1:11" x14ac:dyDescent="0.35">
      <c r="A16339" s="9" t="str">
        <f>HYPERLINK("http://www.ensembl.org/id/WBGene00197769", "WBGene00197769")</f>
        <v>WBGene00197769</v>
      </c>
      <c r="B16339" s="9"/>
      <c r="C16339" s="9"/>
      <c r="D16339" t="str">
        <f>"T28B11.12"</f>
        <v>T28B11.12</v>
      </c>
      <c r="F16339" t="s">
        <v>481</v>
      </c>
      <c r="H16339" s="12">
        <v>3.6645215954135</v>
      </c>
      <c r="I16339" s="20">
        <v>0.37967131826092498</v>
      </c>
      <c r="J16339" s="28">
        <v>0.70418941338960395</v>
      </c>
      <c r="K16339" s="29">
        <v>0.98289565623980701</v>
      </c>
    </row>
    <row r="16340" spans="1:11" x14ac:dyDescent="0.35">
      <c r="A16340" s="9" t="str">
        <f>HYPERLINK("http://www.ensembl.org/id/WBGene00198793", "WBGene00198793")</f>
        <v>WBGene00198793</v>
      </c>
      <c r="B16340" s="9"/>
      <c r="C16340" s="9"/>
      <c r="D16340" t="str">
        <f>"T28B11.13"</f>
        <v>T28B11.13</v>
      </c>
      <c r="F16340" t="s">
        <v>481</v>
      </c>
      <c r="H16340" s="12">
        <v>2.3893468495514898</v>
      </c>
      <c r="I16340" s="20">
        <v>0.25323547253672701</v>
      </c>
      <c r="J16340" s="28">
        <v>0.80008625651646104</v>
      </c>
      <c r="K16340" s="29">
        <v>0.98289565623980701</v>
      </c>
    </row>
    <row r="16341" spans="1:11" x14ac:dyDescent="0.35">
      <c r="A16341" s="9" t="str">
        <f>HYPERLINK("http://www.ensembl.org/id/WBGene00198804", "WBGene00198804")</f>
        <v>WBGene00198804</v>
      </c>
      <c r="B16341" s="9"/>
      <c r="C16341" s="9"/>
      <c r="D16341" t="str">
        <f>"T28B11.14"</f>
        <v>T28B11.14</v>
      </c>
      <c r="F16341" t="s">
        <v>481</v>
      </c>
      <c r="H16341" s="12">
        <v>2.3893468495514898</v>
      </c>
      <c r="I16341" s="20">
        <v>0.25323547253672701</v>
      </c>
      <c r="J16341" s="28">
        <v>0.80008625651646104</v>
      </c>
      <c r="K16341" s="29">
        <v>0.98289565623980701</v>
      </c>
    </row>
    <row r="16342" spans="1:11" x14ac:dyDescent="0.35">
      <c r="A16342" s="9" t="str">
        <f>HYPERLINK("http://www.ensembl.org/id/WBGene00199795", "WBGene00199795")</f>
        <v>WBGene00199795</v>
      </c>
      <c r="B16342" s="9"/>
      <c r="C16342" s="9"/>
      <c r="D16342" t="str">
        <f>"T28B11.16"</f>
        <v>T28B11.16</v>
      </c>
      <c r="F16342" t="s">
        <v>481</v>
      </c>
      <c r="H16342" s="12">
        <v>4.4368407117627902</v>
      </c>
      <c r="I16342" s="20">
        <v>0.43709475933309699</v>
      </c>
      <c r="J16342" s="28">
        <v>0.66204262779770495</v>
      </c>
      <c r="K16342" s="29">
        <v>0.98289565623980701</v>
      </c>
    </row>
    <row r="16343" spans="1:11" x14ac:dyDescent="0.35">
      <c r="A16343" s="9" t="str">
        <f>HYPERLINK("http://www.ensembl.org/id/WBGene00200160", "WBGene00200160")</f>
        <v>WBGene00200160</v>
      </c>
      <c r="B16343" s="9"/>
      <c r="C16343" s="9"/>
      <c r="D16343" t="str">
        <f>"T28B11.17"</f>
        <v>T28B11.17</v>
      </c>
      <c r="F16343" t="s">
        <v>481</v>
      </c>
      <c r="H16343" s="12">
        <v>9.5215001458148301</v>
      </c>
      <c r="I16343" s="20">
        <v>0.67036031720767997</v>
      </c>
      <c r="J16343" s="28">
        <v>0.50262812496729803</v>
      </c>
      <c r="K16343" s="29">
        <v>0.98289565623980701</v>
      </c>
    </row>
    <row r="16344" spans="1:11" x14ac:dyDescent="0.35">
      <c r="A16344" s="9" t="str">
        <f>HYPERLINK("http://www.ensembl.org/id/WBGene00200762", "WBGene00200762")</f>
        <v>WBGene00200762</v>
      </c>
      <c r="B16344" s="9"/>
      <c r="C16344" s="9"/>
      <c r="D16344" t="str">
        <f>"T28B11.19"</f>
        <v>T28B11.19</v>
      </c>
      <c r="F16344" t="s">
        <v>481</v>
      </c>
      <c r="H16344" s="12">
        <v>2.4578120077400301</v>
      </c>
      <c r="I16344" s="20">
        <v>0.26093350314551</v>
      </c>
      <c r="J16344" s="28">
        <v>0.79414378780213601</v>
      </c>
      <c r="K16344" s="29">
        <v>0.98289565623980701</v>
      </c>
    </row>
    <row r="16345" spans="1:11" x14ac:dyDescent="0.35">
      <c r="A16345" s="9" t="str">
        <f>HYPERLINK("http://www.ensembl.org/id/WBGene00195547", "WBGene00195547")</f>
        <v>WBGene00195547</v>
      </c>
      <c r="B16345" s="9"/>
      <c r="C16345" s="9"/>
      <c r="D16345" t="str">
        <f>"T28B11.2"</f>
        <v>T28B11.2</v>
      </c>
      <c r="F16345" t="s">
        <v>481</v>
      </c>
      <c r="H16345" s="12">
        <v>2.96266206773937</v>
      </c>
      <c r="I16345" s="20">
        <v>0.47088956322474601</v>
      </c>
      <c r="J16345" s="28">
        <v>0.63771960146569895</v>
      </c>
      <c r="K16345" s="29">
        <v>0.98289565623980701</v>
      </c>
    </row>
    <row r="16346" spans="1:11" x14ac:dyDescent="0.35">
      <c r="A16346" s="9" t="str">
        <f>HYPERLINK("http://www.ensembl.org/id/WBGene00201401", "WBGene00201401")</f>
        <v>WBGene00201401</v>
      </c>
      <c r="B16346" s="9"/>
      <c r="C16346" s="9"/>
      <c r="D16346" t="str">
        <f>"T28B11.22"</f>
        <v>T28B11.22</v>
      </c>
      <c r="F16346" t="s">
        <v>481</v>
      </c>
      <c r="H16346" s="12">
        <v>7.4660855570883502</v>
      </c>
      <c r="I16346" s="20">
        <v>0.81744859080034304</v>
      </c>
      <c r="J16346" s="28">
        <v>0.41367211693568501</v>
      </c>
      <c r="K16346" s="29">
        <v>0.98289565623980701</v>
      </c>
    </row>
    <row r="16347" spans="1:11" x14ac:dyDescent="0.35">
      <c r="A16347" s="9" t="str">
        <f>HYPERLINK("http://www.ensembl.org/id/WBGene00201919", "WBGene00201919")</f>
        <v>WBGene00201919</v>
      </c>
      <c r="B16347" s="9"/>
      <c r="C16347" s="9"/>
      <c r="D16347" t="str">
        <f>"T28B11.24"</f>
        <v>T28B11.24</v>
      </c>
      <c r="F16347" t="s">
        <v>481</v>
      </c>
      <c r="H16347" s="12">
        <v>4.4368407117627902</v>
      </c>
      <c r="I16347" s="20">
        <v>0.43709475933309699</v>
      </c>
      <c r="J16347" s="28">
        <v>0.66204262779770495</v>
      </c>
      <c r="K16347" s="29">
        <v>0.98289565623980701</v>
      </c>
    </row>
    <row r="16348" spans="1:11" x14ac:dyDescent="0.35">
      <c r="A16348" s="9" t="str">
        <f>HYPERLINK("http://www.ensembl.org/id/WBGene00195748", "WBGene00195748")</f>
        <v>WBGene00195748</v>
      </c>
      <c r="B16348" s="9"/>
      <c r="C16348" s="9"/>
      <c r="D16348" t="str">
        <f>"T28B11.4"</f>
        <v>T28B11.4</v>
      </c>
      <c r="F16348" t="s">
        <v>481</v>
      </c>
      <c r="H16348" s="12">
        <v>9.9320123134608593</v>
      </c>
      <c r="I16348" s="20">
        <v>0.68366985730865304</v>
      </c>
      <c r="J16348" s="28">
        <v>0.49418366151259002</v>
      </c>
      <c r="K16348" s="29">
        <v>0.98289565623980701</v>
      </c>
    </row>
    <row r="16349" spans="1:11" x14ac:dyDescent="0.35">
      <c r="A16349" s="9" t="str">
        <f>HYPERLINK("http://www.ensembl.org/id/WBGene00020884", "WBGene00020884")</f>
        <v>WBGene00020884</v>
      </c>
      <c r="B16349" s="9" t="str">
        <f>HYPERLINK("http://www.ncbi.nlm.nih.gov/gene/180930", "180930")</f>
        <v>180930</v>
      </c>
      <c r="C16349" s="9"/>
      <c r="D16349" t="str">
        <f>"T28B4.1"</f>
        <v>T28B4.1</v>
      </c>
      <c r="F16349" t="s">
        <v>11</v>
      </c>
      <c r="G16349" t="s">
        <v>1800</v>
      </c>
      <c r="H16349" s="12">
        <v>1.18430028660372</v>
      </c>
      <c r="I16349" s="20">
        <v>0.72770092737053305</v>
      </c>
      <c r="J16349" s="28">
        <v>0.46679668253846701</v>
      </c>
      <c r="K16349" s="29">
        <v>0.98289565623980701</v>
      </c>
    </row>
    <row r="16350" spans="1:11" x14ac:dyDescent="0.35">
      <c r="A16350" s="9" t="str">
        <f>HYPERLINK("http://www.ensembl.org/id/WBGene00195768", "WBGene00195768")</f>
        <v>WBGene00195768</v>
      </c>
      <c r="B16350" s="9"/>
      <c r="C16350" s="9"/>
      <c r="D16350" t="str">
        <f>"T28B4.5"</f>
        <v>T28B4.5</v>
      </c>
      <c r="F16350" t="s">
        <v>481</v>
      </c>
      <c r="H16350" s="12">
        <v>-2.4295389261469</v>
      </c>
      <c r="I16350" s="20">
        <v>-0.25808529976640998</v>
      </c>
      <c r="J16350" s="28">
        <v>0.79634107645457397</v>
      </c>
      <c r="K16350" s="29">
        <v>0.98289565623980701</v>
      </c>
    </row>
    <row r="16351" spans="1:11" x14ac:dyDescent="0.35">
      <c r="A16351" s="9" t="str">
        <f>HYPERLINK("http://www.ensembl.org/id/WBGene00012113", "WBGene00012113")</f>
        <v>WBGene00012113</v>
      </c>
      <c r="B16351" s="9" t="str">
        <f>HYPERLINK("http://www.ncbi.nlm.nih.gov/gene/172599", "172599")</f>
        <v>172599</v>
      </c>
      <c r="C16351" s="9"/>
      <c r="D16351" t="str">
        <f>"T28B8.1"</f>
        <v>T28B8.1</v>
      </c>
      <c r="F16351" t="s">
        <v>11</v>
      </c>
      <c r="H16351" s="12">
        <v>1.1443771442608801</v>
      </c>
      <c r="I16351" s="20">
        <v>0.65948294074628599</v>
      </c>
      <c r="J16351" s="28">
        <v>0.50958569714896496</v>
      </c>
      <c r="K16351" s="29">
        <v>0.98289565623980701</v>
      </c>
    </row>
    <row r="16352" spans="1:11" x14ac:dyDescent="0.35">
      <c r="A16352" s="9" t="str">
        <f>HYPERLINK("http://www.ensembl.org/id/WBGene00044122", "WBGene00044122")</f>
        <v>WBGene00044122</v>
      </c>
      <c r="B16352" s="9" t="str">
        <f>HYPERLINK("http://www.ncbi.nlm.nih.gov/gene/3565540", "3565540")</f>
        <v>3565540</v>
      </c>
      <c r="C16352" s="9"/>
      <c r="D16352" t="str">
        <f>"T28B8.6"</f>
        <v>T28B8.6</v>
      </c>
      <c r="F16352" t="s">
        <v>11</v>
      </c>
      <c r="G16352" t="s">
        <v>25</v>
      </c>
      <c r="H16352" s="12">
        <v>-1.4184308185468899</v>
      </c>
      <c r="I16352" s="20">
        <v>-0.280922268809429</v>
      </c>
      <c r="J16352" s="28">
        <v>0.77877002010469198</v>
      </c>
      <c r="K16352" s="29">
        <v>0.98289565623980701</v>
      </c>
    </row>
    <row r="16353" spans="1:11" x14ac:dyDescent="0.35">
      <c r="A16353" s="9" t="str">
        <f>HYPERLINK("http://www.ensembl.org/id/WBGene00199026", "WBGene00199026")</f>
        <v>WBGene00199026</v>
      </c>
      <c r="B16353" s="9"/>
      <c r="C16353" s="9"/>
      <c r="D16353" t="str">
        <f>"T28C12.10"</f>
        <v>T28C12.10</v>
      </c>
      <c r="F16353" t="s">
        <v>481</v>
      </c>
      <c r="H16353" s="12">
        <v>15.6921441712649</v>
      </c>
      <c r="I16353" s="20">
        <v>0.95028393834463598</v>
      </c>
      <c r="J16353" s="28">
        <v>0.34196799785965198</v>
      </c>
      <c r="K16353" s="29">
        <v>0.98289565623980701</v>
      </c>
    </row>
    <row r="16354" spans="1:11" x14ac:dyDescent="0.35">
      <c r="A16354" s="9" t="str">
        <f>HYPERLINK("http://www.ensembl.org/id/WBGene00201041", "WBGene00201041")</f>
        <v>WBGene00201041</v>
      </c>
      <c r="B16354" s="9"/>
      <c r="C16354" s="9"/>
      <c r="D16354" t="str">
        <f>"T28C12.12"</f>
        <v>T28C12.12</v>
      </c>
      <c r="F16354" t="s">
        <v>481</v>
      </c>
      <c r="H16354" s="12">
        <v>2.3893468495514898</v>
      </c>
      <c r="I16354" s="20">
        <v>0.25323547253672701</v>
      </c>
      <c r="J16354" s="28">
        <v>0.80008625651646104</v>
      </c>
      <c r="K16354" s="29">
        <v>0.98289565623980701</v>
      </c>
    </row>
    <row r="16355" spans="1:11" x14ac:dyDescent="0.35">
      <c r="A16355" s="9" t="str">
        <f>HYPERLINK("http://www.ensembl.org/id/WBGene00020892", "WBGene00020892")</f>
        <v>WBGene00020892</v>
      </c>
      <c r="B16355" s="9"/>
      <c r="C16355" s="9"/>
      <c r="D16355" t="str">
        <f>"T28C12.5"</f>
        <v>T28C12.5</v>
      </c>
      <c r="F16355" t="s">
        <v>80</v>
      </c>
      <c r="H16355" s="12">
        <v>-2.2679463960309301</v>
      </c>
      <c r="I16355" s="20">
        <v>-0.51005932826127898</v>
      </c>
      <c r="J16355" s="28">
        <v>0.61000989800767902</v>
      </c>
      <c r="K16355" s="29">
        <v>0.98289565623980701</v>
      </c>
    </row>
    <row r="16356" spans="1:11" x14ac:dyDescent="0.35">
      <c r="A16356" s="9" t="str">
        <f>HYPERLINK("http://www.ensembl.org/id/WBGene00020893", "WBGene00020893")</f>
        <v>WBGene00020893</v>
      </c>
      <c r="B16356" s="9" t="str">
        <f>HYPERLINK("http://www.ncbi.nlm.nih.gov/gene/189040", "189040")</f>
        <v>189040</v>
      </c>
      <c r="C16356" s="9"/>
      <c r="D16356" t="str">
        <f>"T28C12.6"</f>
        <v>T28C12.6</v>
      </c>
      <c r="F16356" t="s">
        <v>11</v>
      </c>
      <c r="G16356" t="s">
        <v>8779</v>
      </c>
      <c r="H16356" s="12">
        <v>-1.1959089359081001</v>
      </c>
      <c r="I16356" s="20">
        <v>-0.48275033776708598</v>
      </c>
      <c r="J16356" s="28">
        <v>0.62927301674666003</v>
      </c>
      <c r="K16356" s="29">
        <v>0.98289565623980701</v>
      </c>
    </row>
    <row r="16357" spans="1:11" x14ac:dyDescent="0.35">
      <c r="A16357" s="9" t="str">
        <f>HYPERLINK("http://www.ensembl.org/id/WBGene00045183", "WBGene00045183")</f>
        <v>WBGene00045183</v>
      </c>
      <c r="B16357" s="9" t="str">
        <f>HYPERLINK("http://www.ncbi.nlm.nih.gov/gene/4926966", "4926966")</f>
        <v>4926966</v>
      </c>
      <c r="C16357" s="9"/>
      <c r="D16357" t="str">
        <f>"T28C6.10"</f>
        <v>T28C6.10</v>
      </c>
      <c r="F16357" t="s">
        <v>11</v>
      </c>
      <c r="H16357" s="12">
        <v>1.39591081526822</v>
      </c>
      <c r="I16357" s="20">
        <v>0.63570249302495896</v>
      </c>
      <c r="J16357" s="28">
        <v>0.52497035118518198</v>
      </c>
      <c r="K16357" s="29">
        <v>0.98289565623980701</v>
      </c>
    </row>
    <row r="16358" spans="1:11" x14ac:dyDescent="0.35">
      <c r="A16358" s="9" t="str">
        <f>HYPERLINK("http://www.ensembl.org/id/WBGene00012119", "WBGene00012119")</f>
        <v>WBGene00012119</v>
      </c>
      <c r="B16358" s="9" t="str">
        <f>HYPERLINK("http://www.ncbi.nlm.nih.gov/gene/189035", "189035")</f>
        <v>189035</v>
      </c>
      <c r="C16358" s="9"/>
      <c r="D16358" t="str">
        <f>"T28C6.3"</f>
        <v>T28C6.3</v>
      </c>
      <c r="F16358" t="s">
        <v>11</v>
      </c>
      <c r="G16358" t="s">
        <v>25</v>
      </c>
      <c r="H16358" s="12">
        <v>1.21573105739996</v>
      </c>
      <c r="I16358" s="20">
        <v>0.43070709428898202</v>
      </c>
      <c r="J16358" s="28">
        <v>0.666681359802205</v>
      </c>
      <c r="K16358" s="29">
        <v>0.98289565623980701</v>
      </c>
    </row>
    <row r="16359" spans="1:11" x14ac:dyDescent="0.35">
      <c r="A16359" s="9" t="str">
        <f>HYPERLINK("http://www.ensembl.org/id/WBGene00012122", "WBGene00012122")</f>
        <v>WBGene00012122</v>
      </c>
      <c r="B16359" s="9" t="str">
        <f>HYPERLINK("http://www.ncbi.nlm.nih.gov/gene/177696", "177696")</f>
        <v>177696</v>
      </c>
      <c r="C16359" s="9"/>
      <c r="D16359" t="str">
        <f>"T28C6.8"</f>
        <v>T28C6.8</v>
      </c>
      <c r="F16359" t="s">
        <v>11</v>
      </c>
      <c r="G16359" t="s">
        <v>8875</v>
      </c>
      <c r="H16359" s="12">
        <v>-1.2042879767077399</v>
      </c>
      <c r="I16359" s="20">
        <v>-0.88713622256654301</v>
      </c>
      <c r="J16359" s="28">
        <v>0.37500556432360399</v>
      </c>
      <c r="K16359" s="29">
        <v>0.98289565623980701</v>
      </c>
    </row>
    <row r="16360" spans="1:11" x14ac:dyDescent="0.35">
      <c r="A16360" s="9" t="str">
        <f>HYPERLINK("http://www.ensembl.org/id/WBGene00012124", "WBGene00012124")</f>
        <v>WBGene00012124</v>
      </c>
      <c r="B16360" s="9" t="str">
        <f>HYPERLINK("http://www.ncbi.nlm.nih.gov/gene/176566", "176566")</f>
        <v>176566</v>
      </c>
      <c r="C16360" s="9"/>
      <c r="D16360" t="str">
        <f>"T28D6.4"</f>
        <v>T28D6.4</v>
      </c>
      <c r="F16360" t="s">
        <v>11</v>
      </c>
      <c r="G16360" t="s">
        <v>54</v>
      </c>
      <c r="H16360" s="12">
        <v>1.0739062368763801</v>
      </c>
      <c r="I16360" s="20">
        <v>0.34744514192340598</v>
      </c>
      <c r="J16360" s="28">
        <v>0.72825692473621795</v>
      </c>
      <c r="K16360" s="29">
        <v>0.98289565623980701</v>
      </c>
    </row>
    <row r="16361" spans="1:11" x14ac:dyDescent="0.35">
      <c r="A16361" s="9" t="str">
        <f>HYPERLINK("http://www.ensembl.org/id/WBGene00012126", "WBGene00012126")</f>
        <v>WBGene00012126</v>
      </c>
      <c r="B16361" s="9" t="str">
        <f>HYPERLINK("http://www.ncbi.nlm.nih.gov/gene/176563", "176563")</f>
        <v>176563</v>
      </c>
      <c r="C16361" s="9" t="str">
        <f>HYPERLINK("http://www.ncbi.nlm.nih.gov/gene/4733", "4733")</f>
        <v>4733</v>
      </c>
      <c r="D16361" t="str">
        <f>"T28D6.6"</f>
        <v>T28D6.6</v>
      </c>
      <c r="F16361" t="s">
        <v>11</v>
      </c>
      <c r="G16361" t="s">
        <v>8997</v>
      </c>
      <c r="H16361" s="12">
        <v>-1.2123444419514799</v>
      </c>
      <c r="I16361" s="20">
        <v>-0.97584760566279904</v>
      </c>
      <c r="J16361" s="28">
        <v>0.32913998954295098</v>
      </c>
      <c r="K16361" s="29">
        <v>0.98289565623980701</v>
      </c>
    </row>
    <row r="16362" spans="1:11" x14ac:dyDescent="0.35">
      <c r="A16362" s="9" t="str">
        <f>HYPERLINK("http://www.ensembl.org/id/WBGene00020894", "WBGene00020894")</f>
        <v>WBGene00020894</v>
      </c>
      <c r="B16362" s="9" t="str">
        <f>HYPERLINK("http://www.ncbi.nlm.nih.gov/gene/174074", "174074")</f>
        <v>174074</v>
      </c>
      <c r="C16362" s="9"/>
      <c r="D16362" t="str">
        <f>"T28D9.1"</f>
        <v>T28D9.1</v>
      </c>
      <c r="F16362" t="s">
        <v>11</v>
      </c>
      <c r="H16362" s="12">
        <v>-1.10220122399705</v>
      </c>
      <c r="I16362" s="20">
        <v>-0.50665556617924901</v>
      </c>
      <c r="J16362" s="28">
        <v>0.61239651279980201</v>
      </c>
      <c r="K16362" s="29">
        <v>0.98289565623980701</v>
      </c>
    </row>
    <row r="16363" spans="1:11" x14ac:dyDescent="0.35">
      <c r="A16363" s="9" t="str">
        <f>HYPERLINK("http://www.ensembl.org/id/WBGene00195728", "WBGene00195728")</f>
        <v>WBGene00195728</v>
      </c>
      <c r="B16363" s="9"/>
      <c r="C16363" s="9"/>
      <c r="D16363" t="str">
        <f>"T28D9.13"</f>
        <v>T28D9.13</v>
      </c>
      <c r="F16363" t="s">
        <v>481</v>
      </c>
      <c r="H16363" s="12">
        <v>-2.4295389261469</v>
      </c>
      <c r="I16363" s="20">
        <v>-0.25808529976640998</v>
      </c>
      <c r="J16363" s="28">
        <v>0.79634107645457397</v>
      </c>
      <c r="K16363" s="29">
        <v>0.98289565623980701</v>
      </c>
    </row>
    <row r="16364" spans="1:11" x14ac:dyDescent="0.35">
      <c r="A16364" s="9" t="str">
        <f>HYPERLINK("http://www.ensembl.org/id/WBGene00020900", "WBGene00020900")</f>
        <v>WBGene00020900</v>
      </c>
      <c r="B16364" s="9" t="str">
        <f>HYPERLINK("http://www.ncbi.nlm.nih.gov/gene/189047", "189047")</f>
        <v>189047</v>
      </c>
      <c r="C16364" s="9"/>
      <c r="D16364" t="str">
        <f>"T28F2.1"</f>
        <v>T28F2.1</v>
      </c>
      <c r="F16364" t="s">
        <v>11</v>
      </c>
      <c r="G16364" t="s">
        <v>4254</v>
      </c>
      <c r="H16364" s="12">
        <v>2.7695513487970098</v>
      </c>
      <c r="I16364" s="20">
        <v>1.02996444625461</v>
      </c>
      <c r="J16364" s="28">
        <v>0.30302669578908498</v>
      </c>
      <c r="K16364" s="29">
        <v>0.98289565623980701</v>
      </c>
    </row>
    <row r="16365" spans="1:11" x14ac:dyDescent="0.35">
      <c r="A16365" s="9" t="str">
        <f>HYPERLINK("http://www.ensembl.org/id/WBGene00020901", "WBGene00020901")</f>
        <v>WBGene00020901</v>
      </c>
      <c r="B16365" s="9" t="str">
        <f>HYPERLINK("http://www.ncbi.nlm.nih.gov/gene/189048", "189048")</f>
        <v>189048</v>
      </c>
      <c r="C16365" s="9"/>
      <c r="D16365" t="str">
        <f>"T28F2.2"</f>
        <v>T28F2.2</v>
      </c>
      <c r="F16365" t="s">
        <v>11</v>
      </c>
      <c r="H16365" s="12">
        <v>-1.1176418101566701</v>
      </c>
      <c r="I16365" s="20">
        <v>-0.44148984344589298</v>
      </c>
      <c r="J16365" s="28">
        <v>0.65885841275567303</v>
      </c>
      <c r="K16365" s="29">
        <v>0.98289565623980701</v>
      </c>
    </row>
    <row r="16366" spans="1:11" x14ac:dyDescent="0.35">
      <c r="A16366" s="9" t="str">
        <f>HYPERLINK("http://www.ensembl.org/id/WBGene00012131", "WBGene00012131")</f>
        <v>WBGene00012131</v>
      </c>
      <c r="B16366" s="9" t="str">
        <f>HYPERLINK("http://www.ncbi.nlm.nih.gov/gene/178510", "178510")</f>
        <v>178510</v>
      </c>
      <c r="C16366" s="9"/>
      <c r="D16366" t="str">
        <f>"T28F3.5"</f>
        <v>T28F3.5</v>
      </c>
      <c r="F16366" t="s">
        <v>11</v>
      </c>
      <c r="G16366" t="s">
        <v>5886</v>
      </c>
      <c r="H16366" s="12">
        <v>1.0889237516510299</v>
      </c>
      <c r="I16366" s="20">
        <v>0.36165328922405199</v>
      </c>
      <c r="J16366" s="28">
        <v>0.71761113723710901</v>
      </c>
      <c r="K16366" s="29">
        <v>0.98289565623980701</v>
      </c>
    </row>
    <row r="16367" spans="1:11" x14ac:dyDescent="0.35">
      <c r="A16367" s="9" t="str">
        <f>HYPERLINK("http://www.ensembl.org/id/WBGene00012133", "WBGene00012133")</f>
        <v>WBGene00012133</v>
      </c>
      <c r="B16367" s="9"/>
      <c r="C16367" s="9"/>
      <c r="D16367" t="str">
        <f>"T28F3.7"</f>
        <v>T28F3.7</v>
      </c>
      <c r="F16367" t="s">
        <v>80</v>
      </c>
      <c r="H16367" s="12">
        <v>-2.4991590031922399</v>
      </c>
      <c r="I16367" s="20">
        <v>-0.26577412737581302</v>
      </c>
      <c r="J16367" s="28">
        <v>0.79041317015736101</v>
      </c>
      <c r="K16367" s="29">
        <v>0.98289565623980701</v>
      </c>
    </row>
    <row r="16368" spans="1:11" x14ac:dyDescent="0.35">
      <c r="A16368" s="9" t="str">
        <f>HYPERLINK("http://www.ensembl.org/id/WBGene00012134", "WBGene00012134")</f>
        <v>WBGene00012134</v>
      </c>
      <c r="B16368" s="9" t="str">
        <f>HYPERLINK("http://www.ncbi.nlm.nih.gov/gene/178511", "178511")</f>
        <v>178511</v>
      </c>
      <c r="C16368" s="9"/>
      <c r="D16368" t="str">
        <f>"T28F3.8"</f>
        <v>T28F3.8</v>
      </c>
      <c r="F16368" t="s">
        <v>11</v>
      </c>
      <c r="H16368" s="12">
        <v>-1.1980283439411199</v>
      </c>
      <c r="I16368" s="20">
        <v>-0.94545251459879598</v>
      </c>
      <c r="J16368" s="28">
        <v>0.34442790267644702</v>
      </c>
      <c r="K16368" s="29">
        <v>0.98289565623980701</v>
      </c>
    </row>
    <row r="16369" spans="1:11" x14ac:dyDescent="0.35">
      <c r="A16369" s="9" t="str">
        <f>HYPERLINK("http://www.ensembl.org/id/WBGene00012135", "WBGene00012135")</f>
        <v>WBGene00012135</v>
      </c>
      <c r="B16369" s="9" t="str">
        <f>HYPERLINK("http://www.ncbi.nlm.nih.gov/gene/189057", "189057")</f>
        <v>189057</v>
      </c>
      <c r="C16369" s="9"/>
      <c r="D16369" t="str">
        <f>"T28F3.9"</f>
        <v>T28F3.9</v>
      </c>
      <c r="F16369" t="s">
        <v>11</v>
      </c>
      <c r="G16369" t="s">
        <v>602</v>
      </c>
      <c r="H16369" s="12">
        <v>-1.21371896172322</v>
      </c>
      <c r="I16369" s="20">
        <v>-0.68445558917346705</v>
      </c>
      <c r="J16369" s="28">
        <v>0.49368752390429799</v>
      </c>
      <c r="K16369" s="29">
        <v>0.98289565623980701</v>
      </c>
    </row>
    <row r="16370" spans="1:11" x14ac:dyDescent="0.35">
      <c r="A16370" s="9" t="str">
        <f>HYPERLINK("http://www.ensembl.org/id/WBGene00012136", "WBGene00012136")</f>
        <v>WBGene00012136</v>
      </c>
      <c r="B16370" s="9" t="str">
        <f>HYPERLINK("http://www.ncbi.nlm.nih.gov/gene/172501", "172501")</f>
        <v>172501</v>
      </c>
      <c r="C16370" s="9"/>
      <c r="D16370" t="str">
        <f>"T28F4.1"</f>
        <v>T28F4.1</v>
      </c>
      <c r="F16370" t="s">
        <v>11</v>
      </c>
      <c r="H16370" s="12">
        <v>1.08172974693497</v>
      </c>
      <c r="I16370" s="20">
        <v>0.40838086987553501</v>
      </c>
      <c r="J16370" s="28">
        <v>0.68299407582500604</v>
      </c>
      <c r="K16370" s="29">
        <v>0.98289565623980701</v>
      </c>
    </row>
    <row r="16371" spans="1:11" x14ac:dyDescent="0.35">
      <c r="A16371" s="9" t="str">
        <f>HYPERLINK("http://www.ensembl.org/id/WBGene00012138", "WBGene00012138")</f>
        <v>WBGene00012138</v>
      </c>
      <c r="B16371" s="9" t="str">
        <f>HYPERLINK("http://www.ncbi.nlm.nih.gov/gene/189059", "189059")</f>
        <v>189059</v>
      </c>
      <c r="C16371" s="9"/>
      <c r="D16371" t="str">
        <f>"T28F4.3"</f>
        <v>T28F4.3</v>
      </c>
      <c r="E16371" t="s">
        <v>4323</v>
      </c>
      <c r="F16371" t="s">
        <v>11</v>
      </c>
      <c r="G16371" t="s">
        <v>4544</v>
      </c>
      <c r="H16371" s="12">
        <v>-1.14791558567615</v>
      </c>
      <c r="I16371" s="20">
        <v>-0.43173946964222598</v>
      </c>
      <c r="J16371" s="28">
        <v>0.66593077739655304</v>
      </c>
      <c r="K16371" s="29">
        <v>0.98289565623980701</v>
      </c>
    </row>
    <row r="16372" spans="1:11" x14ac:dyDescent="0.35">
      <c r="A16372" s="9" t="str">
        <f>HYPERLINK("http://www.ensembl.org/id/WBGene00198042", "WBGene00198042")</f>
        <v>WBGene00198042</v>
      </c>
      <c r="B16372" s="9"/>
      <c r="C16372" s="9"/>
      <c r="D16372" t="str">
        <f>"T28F4.7"</f>
        <v>T28F4.7</v>
      </c>
      <c r="F16372" t="s">
        <v>481</v>
      </c>
      <c r="H16372" s="12">
        <v>4.4368407117627902</v>
      </c>
      <c r="I16372" s="20">
        <v>0.43709475933309699</v>
      </c>
      <c r="J16372" s="28">
        <v>0.66204262779770495</v>
      </c>
      <c r="K16372" s="29">
        <v>0.98289565623980701</v>
      </c>
    </row>
    <row r="16373" spans="1:11" x14ac:dyDescent="0.35">
      <c r="A16373" s="9" t="str">
        <f>HYPERLINK("http://www.ensembl.org/id/WBGene00271567", "WBGene00271567")</f>
        <v>WBGene00271567</v>
      </c>
      <c r="B16373" s="9" t="str">
        <f>HYPERLINK("http://www.ncbi.nlm.nih.gov/gene/32091600", "32091600")</f>
        <v>32091600</v>
      </c>
      <c r="C16373" s="9"/>
      <c r="D16373" t="str">
        <f>"T28F4.8"</f>
        <v>T28F4.8</v>
      </c>
      <c r="F16373" t="s">
        <v>11</v>
      </c>
      <c r="H16373" s="12">
        <v>1.5838286345233099</v>
      </c>
      <c r="I16373" s="20">
        <v>0.56455525631804704</v>
      </c>
      <c r="J16373" s="28">
        <v>0.57237630610943702</v>
      </c>
      <c r="K16373" s="29">
        <v>0.98289565623980701</v>
      </c>
    </row>
    <row r="16374" spans="1:11" x14ac:dyDescent="0.35">
      <c r="A16374" s="9" t="str">
        <f>HYPERLINK("http://www.ensembl.org/id/WBGene00012142", "WBGene00012142")</f>
        <v>WBGene00012142</v>
      </c>
      <c r="B16374" s="9" t="str">
        <f>HYPERLINK("http://www.ncbi.nlm.nih.gov/gene/189061", "189061")</f>
        <v>189061</v>
      </c>
      <c r="C16374" s="9" t="str">
        <f>HYPERLINK("http://www.ncbi.nlm.nih.gov/gene/60496", "60496")</f>
        <v>60496</v>
      </c>
      <c r="D16374" t="str">
        <f>"T28H10.1"</f>
        <v>T28H10.1</v>
      </c>
      <c r="F16374" t="s">
        <v>11</v>
      </c>
      <c r="G16374" t="s">
        <v>949</v>
      </c>
      <c r="H16374" s="12">
        <v>-1.2611366269486699</v>
      </c>
      <c r="I16374" s="20">
        <v>-0.80255548230998897</v>
      </c>
      <c r="J16374" s="28">
        <v>0.422231707930316</v>
      </c>
      <c r="K16374" s="29">
        <v>0.98289565623980701</v>
      </c>
    </row>
    <row r="16375" spans="1:11" x14ac:dyDescent="0.35">
      <c r="A16375" s="9" t="str">
        <f>HYPERLINK("http://www.ensembl.org/id/WBGene00012144", "WBGene00012144")</f>
        <v>WBGene00012144</v>
      </c>
      <c r="B16375" s="9" t="str">
        <f>HYPERLINK("http://www.ncbi.nlm.nih.gov/gene/179714", "179714")</f>
        <v>179714</v>
      </c>
      <c r="C16375" s="9" t="str">
        <f>HYPERLINK("http://www.ncbi.nlm.nih.gov/gene/5641", "5641")</f>
        <v>5641</v>
      </c>
      <c r="D16375" t="str">
        <f>"T28H10.3"</f>
        <v>T28H10.3</v>
      </c>
      <c r="F16375" t="s">
        <v>11</v>
      </c>
      <c r="G16375" t="s">
        <v>8866</v>
      </c>
      <c r="H16375" s="12">
        <v>-1.20328075011392</v>
      </c>
      <c r="I16375" s="20">
        <v>-0.89435157347154104</v>
      </c>
      <c r="J16375" s="28">
        <v>0.371133814019178</v>
      </c>
      <c r="K16375" s="29">
        <v>0.98289565623980701</v>
      </c>
    </row>
    <row r="16376" spans="1:11" x14ac:dyDescent="0.35">
      <c r="A16376" s="9" t="str">
        <f>HYPERLINK("http://www.ensembl.org/id/WBGene00235379", "WBGene00235379")</f>
        <v>WBGene00235379</v>
      </c>
      <c r="B16376" s="9"/>
      <c r="C16376" s="9"/>
      <c r="D16376" t="str">
        <f>"T28H11.31"</f>
        <v>T28H11.31</v>
      </c>
      <c r="F16376" t="s">
        <v>481</v>
      </c>
      <c r="H16376" s="12">
        <v>3.5227018545059199</v>
      </c>
      <c r="I16376" s="20">
        <v>0.36849691206929103</v>
      </c>
      <c r="J16376" s="28">
        <v>0.71250274722433404</v>
      </c>
      <c r="K16376" s="29">
        <v>0.98289565623980701</v>
      </c>
    </row>
    <row r="16377" spans="1:11" x14ac:dyDescent="0.35">
      <c r="A16377" s="9" t="str">
        <f>HYPERLINK("http://www.ensembl.org/id/WBGene00020905", "WBGene00020905")</f>
        <v>WBGene00020905</v>
      </c>
      <c r="B16377" s="9" t="str">
        <f>HYPERLINK("http://www.ncbi.nlm.nih.gov/gene/177268", "177268")</f>
        <v>177268</v>
      </c>
      <c r="C16377" s="9"/>
      <c r="D16377" t="str">
        <f>"T28H11.7"</f>
        <v>T28H11.7</v>
      </c>
      <c r="F16377" t="s">
        <v>11</v>
      </c>
      <c r="H16377" s="12">
        <v>1.7989063541288799</v>
      </c>
      <c r="I16377" s="20">
        <v>0.67530446100199604</v>
      </c>
      <c r="J16377" s="28">
        <v>0.49948235028294102</v>
      </c>
      <c r="K16377" s="29">
        <v>0.98289565623980701</v>
      </c>
    </row>
    <row r="16378" spans="1:11" x14ac:dyDescent="0.35">
      <c r="A16378" s="9" t="str">
        <f>HYPERLINK("http://www.ensembl.org/id/WBGene00020906", "WBGene00020906")</f>
        <v>WBGene00020906</v>
      </c>
      <c r="B16378" s="9" t="str">
        <f>HYPERLINK("http://www.ncbi.nlm.nih.gov/gene/189063", "189063")</f>
        <v>189063</v>
      </c>
      <c r="C16378" s="9"/>
      <c r="D16378" t="str">
        <f>"T28H11.8"</f>
        <v>T28H11.8</v>
      </c>
      <c r="F16378" t="s">
        <v>11</v>
      </c>
      <c r="G16378" t="s">
        <v>230</v>
      </c>
      <c r="H16378" s="12">
        <v>1.7072083897424299</v>
      </c>
      <c r="I16378" s="20">
        <v>0.57149979150905394</v>
      </c>
      <c r="J16378" s="28">
        <v>0.56766090162500404</v>
      </c>
      <c r="K16378" s="29">
        <v>0.98289565623980701</v>
      </c>
    </row>
    <row r="16379" spans="1:11" x14ac:dyDescent="0.35">
      <c r="A16379" s="9" t="str">
        <f>HYPERLINK("http://www.ensembl.org/id/WBGene00006380", "WBGene00006380")</f>
        <v>WBGene00006380</v>
      </c>
      <c r="B16379" s="9" t="str">
        <f>HYPERLINK("http://www.ncbi.nlm.nih.gov/gene/185156", "185156")</f>
        <v>185156</v>
      </c>
      <c r="C16379" s="9"/>
      <c r="D16379" t="str">
        <f>"tab-1"</f>
        <v>tab-1</v>
      </c>
      <c r="F16379" t="s">
        <v>11</v>
      </c>
      <c r="G16379" t="s">
        <v>4619</v>
      </c>
      <c r="H16379" s="12">
        <v>1.5978473711697201</v>
      </c>
      <c r="I16379" s="20">
        <v>1.04387333993411</v>
      </c>
      <c r="J16379" s="28">
        <v>0.29654399425661498</v>
      </c>
      <c r="K16379" s="29">
        <v>0.98289565623980701</v>
      </c>
    </row>
    <row r="16380" spans="1:11" x14ac:dyDescent="0.35">
      <c r="A16380" s="9" t="str">
        <f>HYPERLINK("http://www.ensembl.org/id/WBGene00006381", "WBGene00006381")</f>
        <v>WBGene00006381</v>
      </c>
      <c r="B16380" s="9" t="str">
        <f>HYPERLINK("http://www.ncbi.nlm.nih.gov/gene/175133", "175133")</f>
        <v>175133</v>
      </c>
      <c r="C16380" s="9"/>
      <c r="D16380" t="str">
        <f>"tac-1"</f>
        <v>tac-1</v>
      </c>
      <c r="E16380" t="s">
        <v>7385</v>
      </c>
      <c r="F16380" t="s">
        <v>11</v>
      </c>
      <c r="G16380" t="s">
        <v>7386</v>
      </c>
      <c r="H16380" s="12">
        <v>-1.12301522583688</v>
      </c>
      <c r="I16380" s="20">
        <v>-0.61525138641726396</v>
      </c>
      <c r="J16380" s="28">
        <v>0.53838871672146804</v>
      </c>
      <c r="K16380" s="29">
        <v>0.98289565623980701</v>
      </c>
    </row>
    <row r="16381" spans="1:11" x14ac:dyDescent="0.35">
      <c r="A16381" s="9" t="str">
        <f>HYPERLINK("http://www.ensembl.org/id/WBGene00007217", "WBGene00007217")</f>
        <v>WBGene00007217</v>
      </c>
      <c r="B16381" s="9" t="str">
        <f>HYPERLINK("http://www.ncbi.nlm.nih.gov/gene/173206", "173206")</f>
        <v>173206</v>
      </c>
      <c r="C16381" s="9" t="str">
        <f>HYPERLINK("http://www.ncbi.nlm.nih.gov/gene/51507", "51507")</f>
        <v>51507</v>
      </c>
      <c r="D16381" t="str">
        <f>"tads-1"</f>
        <v>tads-1</v>
      </c>
      <c r="E16381" t="s">
        <v>8004</v>
      </c>
      <c r="F16381" t="s">
        <v>11</v>
      </c>
      <c r="G16381" t="s">
        <v>8005</v>
      </c>
      <c r="H16381" s="12">
        <v>-1.15574922725171</v>
      </c>
      <c r="I16381" s="20">
        <v>-0.75223648623807104</v>
      </c>
      <c r="J16381" s="28">
        <v>0.45190885548616599</v>
      </c>
      <c r="K16381" s="29">
        <v>0.98289565623980701</v>
      </c>
    </row>
    <row r="16382" spans="1:11" x14ac:dyDescent="0.35">
      <c r="A16382" s="9" t="str">
        <f>HYPERLINK("http://www.ensembl.org/id/WBGene00006392", "WBGene00006392")</f>
        <v>WBGene00006392</v>
      </c>
      <c r="B16382" s="9" t="str">
        <f>HYPERLINK("http://www.ncbi.nlm.nih.gov/gene/3564983", "3564983")</f>
        <v>3564983</v>
      </c>
      <c r="C16382" s="9"/>
      <c r="D16382" t="str">
        <f>"taf-10"</f>
        <v>taf-10</v>
      </c>
      <c r="E16382" t="s">
        <v>6727</v>
      </c>
      <c r="F16382" t="s">
        <v>11</v>
      </c>
      <c r="G16382" t="s">
        <v>6728</v>
      </c>
      <c r="H16382" s="12">
        <v>-1.08618429494498</v>
      </c>
      <c r="I16382" s="20">
        <v>-0.42447984230027902</v>
      </c>
      <c r="J16382" s="28">
        <v>0.67121590314413504</v>
      </c>
      <c r="K16382" s="29">
        <v>0.98289565623980701</v>
      </c>
    </row>
    <row r="16383" spans="1:11" x14ac:dyDescent="0.35">
      <c r="A16383" s="9" t="str">
        <f>HYPERLINK("http://www.ensembl.org/id/WBGene00006396", "WBGene00006396")</f>
        <v>WBGene00006396</v>
      </c>
      <c r="B16383" s="9" t="str">
        <f>HYPERLINK("http://www.ncbi.nlm.nih.gov/gene/176617", "176617")</f>
        <v>176617</v>
      </c>
      <c r="C16383" s="9"/>
      <c r="D16383" t="str">
        <f>"taf-12"</f>
        <v>taf-12</v>
      </c>
      <c r="E16383" t="s">
        <v>747</v>
      </c>
      <c r="F16383" t="s">
        <v>11</v>
      </c>
      <c r="G16383" t="s">
        <v>9378</v>
      </c>
      <c r="H16383" s="12">
        <v>-1.2420483190671301</v>
      </c>
      <c r="I16383" s="20">
        <v>-1.0952083114419799</v>
      </c>
      <c r="J16383" s="28">
        <v>0.27342538526118998</v>
      </c>
      <c r="K16383" s="29">
        <v>0.98289565623980701</v>
      </c>
    </row>
    <row r="16384" spans="1:11" x14ac:dyDescent="0.35">
      <c r="A16384" s="9" t="str">
        <f>HYPERLINK("http://www.ensembl.org/id/WBGene00006397", "WBGene00006397")</f>
        <v>WBGene00006397</v>
      </c>
      <c r="B16384" s="9" t="str">
        <f>HYPERLINK("http://www.ncbi.nlm.nih.gov/gene/192052", "192052")</f>
        <v>192052</v>
      </c>
      <c r="C16384" s="9" t="str">
        <f>HYPERLINK("http://www.ncbi.nlm.nih.gov/gene/6884", "6884")</f>
        <v>6884</v>
      </c>
      <c r="D16384" t="str">
        <f>"taf-13"</f>
        <v>taf-13</v>
      </c>
      <c r="E16384" t="s">
        <v>747</v>
      </c>
      <c r="F16384" t="s">
        <v>11</v>
      </c>
      <c r="G16384" t="s">
        <v>7484</v>
      </c>
      <c r="H16384" s="12">
        <v>-1.12859211911734</v>
      </c>
      <c r="I16384" s="20">
        <v>-0.56528018414275405</v>
      </c>
      <c r="J16384" s="28">
        <v>0.57188320476737897</v>
      </c>
      <c r="K16384" s="29">
        <v>0.98289565623980701</v>
      </c>
    </row>
    <row r="16385" spans="1:11" x14ac:dyDescent="0.35">
      <c r="A16385" s="9" t="str">
        <f>HYPERLINK("http://www.ensembl.org/id/WBGene00006383", "WBGene00006383")</f>
        <v>WBGene00006383</v>
      </c>
      <c r="B16385" s="9" t="str">
        <f>HYPERLINK("http://www.ncbi.nlm.nih.gov/gene/192051", "192051")</f>
        <v>192051</v>
      </c>
      <c r="C16385" s="9" t="str">
        <f>HYPERLINK("http://www.ncbi.nlm.nih.gov/gene/6873", "6873")</f>
        <v>6873</v>
      </c>
      <c r="D16385" t="str">
        <f>"taf-2"</f>
        <v>taf-2</v>
      </c>
      <c r="E16385" t="s">
        <v>9100</v>
      </c>
      <c r="F16385" t="s">
        <v>11</v>
      </c>
      <c r="G16385" t="s">
        <v>9101</v>
      </c>
      <c r="H16385" s="12">
        <v>-1.22052952823853</v>
      </c>
      <c r="I16385" s="20">
        <v>-0.83786508114813096</v>
      </c>
      <c r="J16385" s="28">
        <v>0.402106482155139</v>
      </c>
      <c r="K16385" s="29">
        <v>0.98289565623980701</v>
      </c>
    </row>
    <row r="16386" spans="1:11" x14ac:dyDescent="0.35">
      <c r="A16386" s="9" t="str">
        <f>HYPERLINK("http://www.ensembl.org/id/WBGene00006384", "WBGene00006384")</f>
        <v>WBGene00006384</v>
      </c>
      <c r="B16386" s="9" t="str">
        <f>HYPERLINK("http://www.ncbi.nlm.nih.gov/gene/181704", "181704")</f>
        <v>181704</v>
      </c>
      <c r="C16386" s="9"/>
      <c r="D16386" t="str">
        <f>"taf-3"</f>
        <v>taf-3</v>
      </c>
      <c r="E16386" t="s">
        <v>747</v>
      </c>
      <c r="F16386" t="s">
        <v>11</v>
      </c>
      <c r="G16386" t="s">
        <v>5797</v>
      </c>
      <c r="H16386" s="12">
        <v>1.10166914225944</v>
      </c>
      <c r="I16386" s="20">
        <v>0.49879234206010198</v>
      </c>
      <c r="J16386" s="28">
        <v>0.61792568300399797</v>
      </c>
      <c r="K16386" s="29">
        <v>0.98289565623980701</v>
      </c>
    </row>
    <row r="16387" spans="1:11" x14ac:dyDescent="0.35">
      <c r="A16387" s="9" t="str">
        <f>HYPERLINK("http://www.ensembl.org/id/WBGene00006385", "WBGene00006385")</f>
        <v>WBGene00006385</v>
      </c>
      <c r="B16387" s="9" t="str">
        <f>HYPERLINK("http://www.ncbi.nlm.nih.gov/gene/171630", "171630")</f>
        <v>171630</v>
      </c>
      <c r="C16387" s="9"/>
      <c r="D16387" t="str">
        <f>"taf-4"</f>
        <v>taf-4</v>
      </c>
      <c r="E16387" t="s">
        <v>747</v>
      </c>
      <c r="F16387" t="s">
        <v>11</v>
      </c>
      <c r="G16387" t="s">
        <v>6391</v>
      </c>
      <c r="H16387" s="12">
        <v>-1.0666607635760399</v>
      </c>
      <c r="I16387" s="20">
        <v>-0.328847301257566</v>
      </c>
      <c r="J16387" s="28">
        <v>0.74227110833265397</v>
      </c>
      <c r="K16387" s="29">
        <v>0.98289565623980701</v>
      </c>
    </row>
    <row r="16388" spans="1:11" x14ac:dyDescent="0.35">
      <c r="A16388" s="9" t="str">
        <f>HYPERLINK("http://www.ensembl.org/id/WBGene00006387", "WBGene00006387")</f>
        <v>WBGene00006387</v>
      </c>
      <c r="B16388" s="9" t="str">
        <f>HYPERLINK("http://www.ncbi.nlm.nih.gov/gene/173498", "173498")</f>
        <v>173498</v>
      </c>
      <c r="C16388" s="9" t="str">
        <f>HYPERLINK("http://www.ncbi.nlm.nih.gov/gene/6878", "6878")</f>
        <v>6878</v>
      </c>
      <c r="D16388" t="str">
        <f>"taf-6.1"</f>
        <v>taf-6.1</v>
      </c>
      <c r="E16388" t="s">
        <v>747</v>
      </c>
      <c r="F16388" t="s">
        <v>11</v>
      </c>
      <c r="G16388" t="s">
        <v>9276</v>
      </c>
      <c r="H16388" s="12">
        <v>-1.2329367418567001</v>
      </c>
      <c r="I16388" s="20">
        <v>-0.87011711572570605</v>
      </c>
      <c r="J16388" s="28">
        <v>0.38423640502842099</v>
      </c>
      <c r="K16388" s="29">
        <v>0.98289565623980701</v>
      </c>
    </row>
    <row r="16389" spans="1:11" x14ac:dyDescent="0.35">
      <c r="A16389" s="9" t="str">
        <f>HYPERLINK("http://www.ensembl.org/id/WBGene00021363", "WBGene00021363")</f>
        <v>WBGene00021363</v>
      </c>
      <c r="B16389" s="9" t="str">
        <f>HYPERLINK("http://www.ncbi.nlm.nih.gov/gene/177129", "177129")</f>
        <v>177129</v>
      </c>
      <c r="C16389" s="9"/>
      <c r="D16389" t="str">
        <f>"taf-6.2"</f>
        <v>taf-6.2</v>
      </c>
      <c r="E16389" t="s">
        <v>747</v>
      </c>
      <c r="F16389" t="s">
        <v>11</v>
      </c>
      <c r="G16389" t="s">
        <v>8883</v>
      </c>
      <c r="H16389" s="12">
        <v>-1.2049435237529</v>
      </c>
      <c r="I16389" s="20">
        <v>-0.85817047910195399</v>
      </c>
      <c r="J16389" s="28">
        <v>0.39079833442256701</v>
      </c>
      <c r="K16389" s="29">
        <v>0.98289565623980701</v>
      </c>
    </row>
    <row r="16390" spans="1:11" x14ac:dyDescent="0.35">
      <c r="A16390" s="9" t="str">
        <f>HYPERLINK("http://www.ensembl.org/id/WBGene00006389", "WBGene00006389")</f>
        <v>WBGene00006389</v>
      </c>
      <c r="B16390" s="9" t="str">
        <f>HYPERLINK("http://www.ncbi.nlm.nih.gov/gene/176686", "176686")</f>
        <v>176686</v>
      </c>
      <c r="C16390" s="9"/>
      <c r="D16390" t="str">
        <f>"taf-7.2"</f>
        <v>taf-7.2</v>
      </c>
      <c r="E16390" t="s">
        <v>747</v>
      </c>
      <c r="F16390" t="s">
        <v>11</v>
      </c>
      <c r="G16390" t="s">
        <v>9105</v>
      </c>
      <c r="H16390" s="12">
        <v>-1.2211158324470801</v>
      </c>
      <c r="I16390" s="20">
        <v>-0.85116022417931203</v>
      </c>
      <c r="J16390" s="28">
        <v>0.39468035478361502</v>
      </c>
      <c r="K16390" s="29">
        <v>0.98289565623980701</v>
      </c>
    </row>
    <row r="16391" spans="1:11" x14ac:dyDescent="0.35">
      <c r="A16391" s="9" t="str">
        <f>HYPERLINK("http://www.ensembl.org/id/WBGene00006391", "WBGene00006391")</f>
        <v>WBGene00006391</v>
      </c>
      <c r="B16391" s="9" t="str">
        <f>HYPERLINK("http://www.ncbi.nlm.nih.gov/gene/176798", "176798")</f>
        <v>176798</v>
      </c>
      <c r="C16391" s="9"/>
      <c r="D16391" t="str">
        <f>"taf-9"</f>
        <v>taf-9</v>
      </c>
      <c r="E16391" t="s">
        <v>747</v>
      </c>
      <c r="F16391" t="s">
        <v>11</v>
      </c>
      <c r="G16391" t="s">
        <v>9607</v>
      </c>
      <c r="H16391" s="12">
        <v>-1.2635211132216599</v>
      </c>
      <c r="I16391" s="20">
        <v>-1.05835545553377</v>
      </c>
      <c r="J16391" s="28">
        <v>0.289893419329319</v>
      </c>
      <c r="K16391" s="29">
        <v>0.98289565623980701</v>
      </c>
    </row>
    <row r="16392" spans="1:11" x14ac:dyDescent="0.35">
      <c r="A16392" s="9" t="str">
        <f>HYPERLINK("http://www.ensembl.org/id/WBGene00006404", "WBGene00006404")</f>
        <v>WBGene00006404</v>
      </c>
      <c r="B16392" s="9" t="str">
        <f>HYPERLINK("http://www.ncbi.nlm.nih.gov/gene/175011", "175011")</f>
        <v>175011</v>
      </c>
      <c r="C16392" s="9"/>
      <c r="D16392" t="str">
        <f>"tag-10"</f>
        <v>tag-10</v>
      </c>
      <c r="F16392" t="s">
        <v>11</v>
      </c>
      <c r="G16392" t="s">
        <v>548</v>
      </c>
      <c r="H16392" s="12">
        <v>-1.3079335120798099</v>
      </c>
      <c r="I16392" s="20">
        <v>-1.18736731379894</v>
      </c>
      <c r="J16392" s="28">
        <v>0.235082767041288</v>
      </c>
      <c r="K16392" s="29">
        <v>0.98289565623980701</v>
      </c>
    </row>
    <row r="16393" spans="1:11" x14ac:dyDescent="0.35">
      <c r="A16393" s="9" t="str">
        <f>HYPERLINK("http://www.ensembl.org/id/WBGene00006470", "WBGene00006470")</f>
        <v>WBGene00006470</v>
      </c>
      <c r="B16393" s="9" t="str">
        <f>HYPERLINK("http://www.ncbi.nlm.nih.gov/gene/179362", "179362")</f>
        <v>179362</v>
      </c>
      <c r="C16393" s="9" t="str">
        <f>HYPERLINK("http://www.ncbi.nlm.nih.gov/gene/23017", "23017")</f>
        <v>23017</v>
      </c>
      <c r="D16393" t="str">
        <f>"tag-120"</f>
        <v>tag-120</v>
      </c>
      <c r="F16393" t="s">
        <v>11</v>
      </c>
      <c r="G16393" t="s">
        <v>25</v>
      </c>
      <c r="H16393" s="12">
        <v>-1.17043948203961</v>
      </c>
      <c r="I16393" s="20">
        <v>-0.76056297452924004</v>
      </c>
      <c r="J16393" s="28">
        <v>0.44691814176959799</v>
      </c>
      <c r="K16393" s="29">
        <v>0.98289565623980701</v>
      </c>
    </row>
    <row r="16394" spans="1:11" x14ac:dyDescent="0.35">
      <c r="A16394" s="9" t="str">
        <f>HYPERLINK("http://www.ensembl.org/id/WBGene00006472", "WBGene00006472")</f>
        <v>WBGene00006472</v>
      </c>
      <c r="B16394" s="9" t="str">
        <f>HYPERLINK("http://www.ncbi.nlm.nih.gov/gene/181096", "181096")</f>
        <v>181096</v>
      </c>
      <c r="C16394" s="9" t="str">
        <f>HYPERLINK("http://www.ncbi.nlm.nih.gov/gene/9375", "9375")</f>
        <v>9375</v>
      </c>
      <c r="D16394" t="str">
        <f>"tag-123"</f>
        <v>tag-123</v>
      </c>
      <c r="E16394" t="s">
        <v>7400</v>
      </c>
      <c r="F16394" t="s">
        <v>11</v>
      </c>
      <c r="G16394" t="s">
        <v>7401</v>
      </c>
      <c r="H16394" s="12">
        <v>-1.1236974580286401</v>
      </c>
      <c r="I16394" s="20">
        <v>-0.64511510609878697</v>
      </c>
      <c r="J16394" s="28">
        <v>0.51885259519676097</v>
      </c>
      <c r="K16394" s="29">
        <v>0.98289565623980701</v>
      </c>
    </row>
    <row r="16395" spans="1:11" x14ac:dyDescent="0.35">
      <c r="A16395" s="9" t="str">
        <f>HYPERLINK("http://www.ensembl.org/id/WBGene00006473", "WBGene00006473")</f>
        <v>WBGene00006473</v>
      </c>
      <c r="B16395" s="9" t="str">
        <f>HYPERLINK("http://www.ncbi.nlm.nih.gov/gene/174509", "174509")</f>
        <v>174509</v>
      </c>
      <c r="C16395" s="9" t="str">
        <f>HYPERLINK("http://www.ncbi.nlm.nih.gov/gene/83480", "83480")</f>
        <v>83480</v>
      </c>
      <c r="D16395" t="str">
        <f>"tag-124"</f>
        <v>tag-124</v>
      </c>
      <c r="E16395" t="s">
        <v>9813</v>
      </c>
      <c r="F16395" t="s">
        <v>11</v>
      </c>
      <c r="G16395" t="s">
        <v>9814</v>
      </c>
      <c r="H16395" s="12">
        <v>-1.30820870247863</v>
      </c>
      <c r="I16395" s="20">
        <v>-1.0679937971378499</v>
      </c>
      <c r="J16395" s="28">
        <v>0.28552330981243401</v>
      </c>
      <c r="K16395" s="29">
        <v>0.98289565623980701</v>
      </c>
    </row>
    <row r="16396" spans="1:11" x14ac:dyDescent="0.35">
      <c r="A16396" s="9" t="str">
        <f>HYPERLINK("http://www.ensembl.org/id/WBGene00006478", "WBGene00006478")</f>
        <v>WBGene00006478</v>
      </c>
      <c r="B16396" s="9" t="str">
        <f>HYPERLINK("http://www.ncbi.nlm.nih.gov/gene/175557", "175557")</f>
        <v>175557</v>
      </c>
      <c r="C16396" s="9" t="str">
        <f>HYPERLINK("http://www.ncbi.nlm.nih.gov/gene/124936", "124936")</f>
        <v>124936</v>
      </c>
      <c r="D16396" t="str">
        <f>"tag-131"</f>
        <v>tag-131</v>
      </c>
      <c r="E16396" t="s">
        <v>6960</v>
      </c>
      <c r="F16396" t="s">
        <v>11</v>
      </c>
      <c r="H16396" s="12">
        <v>-1.10008316307739</v>
      </c>
      <c r="I16396" s="20">
        <v>-0.480297552368111</v>
      </c>
      <c r="J16396" s="28">
        <v>0.63101582905265896</v>
      </c>
      <c r="K16396" s="29">
        <v>0.98289565623980701</v>
      </c>
    </row>
    <row r="16397" spans="1:11" x14ac:dyDescent="0.35">
      <c r="A16397" s="9" t="str">
        <f>HYPERLINK("http://www.ensembl.org/id/WBGene00006484", "WBGene00006484")</f>
        <v>WBGene00006484</v>
      </c>
      <c r="B16397" s="9" t="str">
        <f>HYPERLINK("http://www.ncbi.nlm.nih.gov/gene/184169", "184169")</f>
        <v>184169</v>
      </c>
      <c r="C16397" s="9"/>
      <c r="D16397" t="str">
        <f>"tag-138"</f>
        <v>tag-138</v>
      </c>
      <c r="F16397" t="s">
        <v>11</v>
      </c>
      <c r="G16397" t="s">
        <v>9980</v>
      </c>
      <c r="H16397" s="12">
        <v>-1.5581917146734801</v>
      </c>
      <c r="I16397" s="20">
        <v>-0.26206516638983202</v>
      </c>
      <c r="J16397" s="28">
        <v>0.79327120166496301</v>
      </c>
      <c r="K16397" s="29">
        <v>0.98289565623980701</v>
      </c>
    </row>
    <row r="16398" spans="1:11" x14ac:dyDescent="0.35">
      <c r="A16398" s="9" t="str">
        <f>HYPERLINK("http://www.ensembl.org/id/WBGene00006497", "WBGene00006497")</f>
        <v>WBGene00006497</v>
      </c>
      <c r="B16398" s="9" t="str">
        <f>HYPERLINK("http://www.ncbi.nlm.nih.gov/gene/173812", "173812")</f>
        <v>173812</v>
      </c>
      <c r="C16398" s="9" t="str">
        <f>HYPERLINK("http://www.ncbi.nlm.nih.gov/gene/55720", "55720")</f>
        <v>55720</v>
      </c>
      <c r="D16398" t="str">
        <f>"tag-151"</f>
        <v>tag-151</v>
      </c>
      <c r="E16398" t="s">
        <v>9175</v>
      </c>
      <c r="F16398" t="s">
        <v>11</v>
      </c>
      <c r="G16398" t="s">
        <v>9176</v>
      </c>
      <c r="H16398" s="12">
        <v>-1.2262515944802601</v>
      </c>
      <c r="I16398" s="20">
        <v>-1.0478517379585599</v>
      </c>
      <c r="J16398" s="28">
        <v>0.29470692094109802</v>
      </c>
      <c r="K16398" s="29">
        <v>0.98289565623980701</v>
      </c>
    </row>
    <row r="16399" spans="1:11" x14ac:dyDescent="0.35">
      <c r="A16399" s="9" t="str">
        <f>HYPERLINK("http://www.ensembl.org/id/WBGene00006520", "WBGene00006520")</f>
        <v>WBGene00006520</v>
      </c>
      <c r="B16399" s="9" t="str">
        <f>HYPERLINK("http://www.ncbi.nlm.nih.gov/gene/183942", "183942")</f>
        <v>183942</v>
      </c>
      <c r="C16399" s="9" t="str">
        <f>HYPERLINK("http://www.ncbi.nlm.nih.gov/gene/440026", "440026")</f>
        <v>440026</v>
      </c>
      <c r="D16399" t="str">
        <f>"tag-175"</f>
        <v>tag-175</v>
      </c>
      <c r="E16399" t="s">
        <v>6903</v>
      </c>
      <c r="F16399" t="s">
        <v>11</v>
      </c>
      <c r="G16399" t="s">
        <v>6829</v>
      </c>
      <c r="H16399" s="12">
        <v>-1.0961249468285099</v>
      </c>
      <c r="I16399" s="20">
        <v>-0.361231210186299</v>
      </c>
      <c r="J16399" s="28">
        <v>0.71792661272331304</v>
      </c>
      <c r="K16399" s="29">
        <v>0.98289565623980701</v>
      </c>
    </row>
    <row r="16400" spans="1:11" x14ac:dyDescent="0.35">
      <c r="A16400" s="9" t="str">
        <f>HYPERLINK("http://www.ensembl.org/id/WBGene00006408", "WBGene00006408")</f>
        <v>WBGene00006408</v>
      </c>
      <c r="B16400" s="9" t="str">
        <f>HYPERLINK("http://www.ncbi.nlm.nih.gov/gene/180662", "180662")</f>
        <v>180662</v>
      </c>
      <c r="C16400" s="9"/>
      <c r="D16400" t="str">
        <f>"tag-18"</f>
        <v>tag-18</v>
      </c>
      <c r="F16400" t="s">
        <v>11</v>
      </c>
      <c r="H16400" s="12">
        <v>1.08438848530646</v>
      </c>
      <c r="I16400" s="20">
        <v>0.35361736486407103</v>
      </c>
      <c r="J16400" s="28">
        <v>0.72362565889577302</v>
      </c>
      <c r="K16400" s="29">
        <v>0.98289565623980701</v>
      </c>
    </row>
    <row r="16401" spans="1:11" x14ac:dyDescent="0.35">
      <c r="A16401" s="9" t="str">
        <f>HYPERLINK("http://www.ensembl.org/id/WBGene00007045", "WBGene00007045")</f>
        <v>WBGene00007045</v>
      </c>
      <c r="B16401" s="9" t="str">
        <f>HYPERLINK("http://www.ncbi.nlm.nih.gov/gene/188041", "188041")</f>
        <v>188041</v>
      </c>
      <c r="C16401" s="9" t="str">
        <f>HYPERLINK("http://www.ncbi.nlm.nih.gov/gene/27315", "27315")</f>
        <v>27315</v>
      </c>
      <c r="D16401" t="str">
        <f>"tag-189"</f>
        <v>tag-189</v>
      </c>
      <c r="E16401" t="s">
        <v>8210</v>
      </c>
      <c r="F16401" t="s">
        <v>11</v>
      </c>
      <c r="G16401" t="s">
        <v>8211</v>
      </c>
      <c r="H16401" s="12">
        <v>-1.16605101517066</v>
      </c>
      <c r="I16401" s="20">
        <v>-0.72834826725779001</v>
      </c>
      <c r="J16401" s="28">
        <v>0.466400422675111</v>
      </c>
      <c r="K16401" s="29">
        <v>0.98289565623980701</v>
      </c>
    </row>
    <row r="16402" spans="1:11" x14ac:dyDescent="0.35">
      <c r="A16402" s="9" t="str">
        <f>HYPERLINK("http://www.ensembl.org/id/WBGene00007049", "WBGene00007049")</f>
        <v>WBGene00007049</v>
      </c>
      <c r="B16402" s="9" t="str">
        <f>HYPERLINK("http://www.ncbi.nlm.nih.gov/gene/179960", "179960")</f>
        <v>179960</v>
      </c>
      <c r="C16402" s="9"/>
      <c r="D16402" t="str">
        <f>"tag-191"</f>
        <v>tag-191</v>
      </c>
      <c r="F16402" t="s">
        <v>11</v>
      </c>
      <c r="G16402" t="s">
        <v>1763</v>
      </c>
      <c r="H16402" s="12">
        <v>2.2930255689320398</v>
      </c>
      <c r="I16402" s="20">
        <v>0.98530253331333395</v>
      </c>
      <c r="J16402" s="28">
        <v>0.324475488734702</v>
      </c>
      <c r="K16402" s="29">
        <v>0.98289565623980701</v>
      </c>
    </row>
    <row r="16403" spans="1:11" x14ac:dyDescent="0.35">
      <c r="A16403" s="9" t="str">
        <f>HYPERLINK("http://www.ensembl.org/id/WBGene00044065", "WBGene00044065")</f>
        <v>WBGene00044065</v>
      </c>
      <c r="B16403" s="9" t="str">
        <f>HYPERLINK("http://www.ncbi.nlm.nih.gov/gene/3565487", "3565487")</f>
        <v>3565487</v>
      </c>
      <c r="C16403" s="9"/>
      <c r="D16403" t="str">
        <f>"tag-229"</f>
        <v>tag-229</v>
      </c>
      <c r="F16403" t="s">
        <v>11</v>
      </c>
      <c r="G16403" t="s">
        <v>350</v>
      </c>
      <c r="H16403" s="12">
        <v>-1.17489138938237</v>
      </c>
      <c r="I16403" s="20">
        <v>-0.78718315035983399</v>
      </c>
      <c r="J16403" s="28">
        <v>0.431174659376101</v>
      </c>
      <c r="K16403" s="29">
        <v>0.98289565623980701</v>
      </c>
    </row>
    <row r="16404" spans="1:11" x14ac:dyDescent="0.35">
      <c r="A16404" s="9" t="str">
        <f>HYPERLINK("http://www.ensembl.org/id/WBGene00044077", "WBGene00044077")</f>
        <v>WBGene00044077</v>
      </c>
      <c r="B16404" s="9" t="str">
        <f>HYPERLINK("http://www.ncbi.nlm.nih.gov/gene/179304", "179304")</f>
        <v>179304</v>
      </c>
      <c r="C16404" s="9" t="str">
        <f>HYPERLINK("http://www.ncbi.nlm.nih.gov/gene/23241", "23241")</f>
        <v>23241</v>
      </c>
      <c r="D16404" t="str">
        <f>"tag-232"</f>
        <v>tag-232</v>
      </c>
      <c r="F16404" t="s">
        <v>11</v>
      </c>
      <c r="G16404" t="s">
        <v>7504</v>
      </c>
      <c r="H16404" s="12">
        <v>-1.12978072149691</v>
      </c>
      <c r="I16404" s="20">
        <v>-0.66592995853223502</v>
      </c>
      <c r="J16404" s="28">
        <v>0.50545587054313901</v>
      </c>
      <c r="K16404" s="29">
        <v>0.98289565623980701</v>
      </c>
    </row>
    <row r="16405" spans="1:11" x14ac:dyDescent="0.35">
      <c r="A16405" s="9" t="str">
        <f>HYPERLINK("http://www.ensembl.org/id/WBGene00044079", "WBGene00044079")</f>
        <v>WBGene00044079</v>
      </c>
      <c r="B16405" s="9" t="str">
        <f>HYPERLINK("http://www.ncbi.nlm.nih.gov/gene/181360", "181360")</f>
        <v>181360</v>
      </c>
      <c r="C16405" s="9"/>
      <c r="D16405" t="str">
        <f>"tag-241"</f>
        <v>tag-241</v>
      </c>
      <c r="F16405" t="s">
        <v>11</v>
      </c>
      <c r="H16405" s="12">
        <v>1.21405604638572</v>
      </c>
      <c r="I16405" s="20">
        <v>0.99333067250035501</v>
      </c>
      <c r="J16405" s="28">
        <v>0.32054883463802702</v>
      </c>
      <c r="K16405" s="29">
        <v>0.98289565623980701</v>
      </c>
    </row>
    <row r="16406" spans="1:11" x14ac:dyDescent="0.35">
      <c r="A16406" s="9" t="str">
        <f>HYPERLINK("http://www.ensembl.org/id/WBGene00044078", "WBGene00044078")</f>
        <v>WBGene00044078</v>
      </c>
      <c r="B16406" s="9" t="str">
        <f>HYPERLINK("http://www.ncbi.nlm.nih.gov/gene/188039", "188039")</f>
        <v>188039</v>
      </c>
      <c r="C16406" s="9"/>
      <c r="D16406" t="str">
        <f>"tag-243"</f>
        <v>tag-243</v>
      </c>
      <c r="F16406" t="s">
        <v>11</v>
      </c>
      <c r="G16406" t="s">
        <v>5952</v>
      </c>
      <c r="H16406" s="12">
        <v>1.08069923313981</v>
      </c>
      <c r="I16406" s="20">
        <v>0.36101007892058701</v>
      </c>
      <c r="J16406" s="28">
        <v>0.71809191256933402</v>
      </c>
      <c r="K16406" s="29">
        <v>0.98289565623980701</v>
      </c>
    </row>
    <row r="16407" spans="1:11" x14ac:dyDescent="0.35">
      <c r="A16407" s="9" t="str">
        <f>HYPERLINK("http://www.ensembl.org/id/WBGene00016203", "WBGene00016203")</f>
        <v>WBGene00016203</v>
      </c>
      <c r="B16407" s="9" t="str">
        <f>HYPERLINK("http://www.ncbi.nlm.nih.gov/gene/176113", "176113")</f>
        <v>176113</v>
      </c>
      <c r="C16407" s="9"/>
      <c r="D16407" t="str">
        <f>"tag-250"</f>
        <v>tag-250</v>
      </c>
      <c r="F16407" t="s">
        <v>11</v>
      </c>
      <c r="G16407" t="s">
        <v>54</v>
      </c>
      <c r="H16407" s="12">
        <v>-1.09354941003926</v>
      </c>
      <c r="I16407" s="20">
        <v>-0.44069237448550402</v>
      </c>
      <c r="J16407" s="28">
        <v>0.65943571783218302</v>
      </c>
      <c r="K16407" s="29">
        <v>0.98289565623980701</v>
      </c>
    </row>
    <row r="16408" spans="1:11" x14ac:dyDescent="0.35">
      <c r="A16408" s="9" t="str">
        <f>HYPERLINK("http://www.ensembl.org/id/WBGene00010867", "WBGene00010867")</f>
        <v>WBGene00010867</v>
      </c>
      <c r="B16408" s="9" t="str">
        <f>HYPERLINK("http://www.ncbi.nlm.nih.gov/gene/179817", "179817")</f>
        <v>179817</v>
      </c>
      <c r="C16408" s="9"/>
      <c r="D16408" t="str">
        <f>"tag-260"</f>
        <v>tag-260</v>
      </c>
      <c r="F16408" t="s">
        <v>11</v>
      </c>
      <c r="G16408" t="s">
        <v>8662</v>
      </c>
      <c r="H16408" s="12">
        <v>-1.1894016806844501</v>
      </c>
      <c r="I16408" s="20">
        <v>-0.86619877260701705</v>
      </c>
      <c r="J16408" s="28">
        <v>0.38638116634620201</v>
      </c>
      <c r="K16408" s="29">
        <v>0.98289565623980701</v>
      </c>
    </row>
    <row r="16409" spans="1:11" x14ac:dyDescent="0.35">
      <c r="A16409" s="9" t="str">
        <f>HYPERLINK("http://www.ensembl.org/id/WBGene00020300", "WBGene00020300")</f>
        <v>WBGene00020300</v>
      </c>
      <c r="B16409" s="9" t="str">
        <f>HYPERLINK("http://www.ncbi.nlm.nih.gov/gene/176861", "176861")</f>
        <v>176861</v>
      </c>
      <c r="C16409" s="9"/>
      <c r="D16409" t="str">
        <f>"tag-261"</f>
        <v>tag-261</v>
      </c>
      <c r="F16409" t="s">
        <v>11</v>
      </c>
      <c r="H16409" s="12">
        <v>-1.1450474051753501</v>
      </c>
      <c r="I16409" s="20">
        <v>-0.522429573076859</v>
      </c>
      <c r="J16409" s="28">
        <v>0.60137126994202605</v>
      </c>
      <c r="K16409" s="29">
        <v>0.98289565623980701</v>
      </c>
    </row>
    <row r="16410" spans="1:11" x14ac:dyDescent="0.35">
      <c r="A16410" s="9" t="str">
        <f>HYPERLINK("http://www.ensembl.org/id/WBGene00044319", "WBGene00044319")</f>
        <v>WBGene00044319</v>
      </c>
      <c r="B16410" s="9" t="str">
        <f>HYPERLINK("http://www.ncbi.nlm.nih.gov/gene/175219", "175219")</f>
        <v>175219</v>
      </c>
      <c r="C16410" s="9" t="str">
        <f>HYPERLINK("http://www.ncbi.nlm.nih.gov/gene/53344", "53344")</f>
        <v>53344</v>
      </c>
      <c r="D16410" t="str">
        <f>"tag-266"</f>
        <v>tag-266</v>
      </c>
      <c r="E16410" t="s">
        <v>8481</v>
      </c>
      <c r="F16410" t="s">
        <v>11</v>
      </c>
      <c r="G16410" t="s">
        <v>25</v>
      </c>
      <c r="H16410" s="12">
        <v>-1.1797880996953301</v>
      </c>
      <c r="I16410" s="20">
        <v>-0.72399250029916495</v>
      </c>
      <c r="J16410" s="28">
        <v>0.469070339353298</v>
      </c>
      <c r="K16410" s="29">
        <v>0.98289565623980701</v>
      </c>
    </row>
    <row r="16411" spans="1:11" x14ac:dyDescent="0.35">
      <c r="A16411" s="9" t="str">
        <f>HYPERLINK("http://www.ensembl.org/id/WBGene00016386", "WBGene00016386")</f>
        <v>WBGene00016386</v>
      </c>
      <c r="B16411" s="9" t="str">
        <f>HYPERLINK("http://www.ncbi.nlm.nih.gov/gene/183191", "183191")</f>
        <v>183191</v>
      </c>
      <c r="C16411" s="9"/>
      <c r="D16411" t="str">
        <f>"tag-272"</f>
        <v>tag-272</v>
      </c>
      <c r="F16411" t="s">
        <v>11</v>
      </c>
      <c r="H16411" s="12">
        <v>1.27316571070759</v>
      </c>
      <c r="I16411" s="20">
        <v>0.39590548980280998</v>
      </c>
      <c r="J16411" s="28">
        <v>0.69217475100241599</v>
      </c>
      <c r="K16411" s="29">
        <v>0.98289565623980701</v>
      </c>
    </row>
    <row r="16412" spans="1:11" x14ac:dyDescent="0.35">
      <c r="A16412" s="9" t="str">
        <f>HYPERLINK("http://www.ensembl.org/id/WBGene00016423", "WBGene00016423")</f>
        <v>WBGene00016423</v>
      </c>
      <c r="B16412" s="9" t="str">
        <f>HYPERLINK("http://www.ncbi.nlm.nih.gov/gene/180886", "180886")</f>
        <v>180886</v>
      </c>
      <c r="C16412" s="9"/>
      <c r="D16412" t="str">
        <f>"tag-275"</f>
        <v>tag-275</v>
      </c>
      <c r="F16412" t="s">
        <v>11</v>
      </c>
      <c r="G16412" t="s">
        <v>5120</v>
      </c>
      <c r="H16412" s="12">
        <v>1.23550171766426</v>
      </c>
      <c r="I16412" s="20">
        <v>0.77844320173612602</v>
      </c>
      <c r="J16412" s="28">
        <v>0.43630777850646202</v>
      </c>
      <c r="K16412" s="29">
        <v>0.98289565623980701</v>
      </c>
    </row>
    <row r="16413" spans="1:11" x14ac:dyDescent="0.35">
      <c r="A16413" s="9" t="str">
        <f>HYPERLINK("http://www.ensembl.org/id/WBGene00015356", "WBGene00015356")</f>
        <v>WBGene00015356</v>
      </c>
      <c r="B16413" s="9" t="str">
        <f>HYPERLINK("http://www.ncbi.nlm.nih.gov/gene/180658", "180658")</f>
        <v>180658</v>
      </c>
      <c r="C16413" s="9"/>
      <c r="D16413" t="str">
        <f>"tag-278"</f>
        <v>tag-278</v>
      </c>
      <c r="F16413" t="s">
        <v>11</v>
      </c>
      <c r="H16413" s="12">
        <v>1.2031236505770999</v>
      </c>
      <c r="I16413" s="20">
        <v>0.83552824163181205</v>
      </c>
      <c r="J16413" s="28">
        <v>0.40342035258778403</v>
      </c>
      <c r="K16413" s="29">
        <v>0.98289565623980701</v>
      </c>
    </row>
    <row r="16414" spans="1:11" x14ac:dyDescent="0.35">
      <c r="A16414" s="9" t="str">
        <f>HYPERLINK("http://www.ensembl.org/id/WBGene00044322", "WBGene00044322")</f>
        <v>WBGene00044322</v>
      </c>
      <c r="B16414" s="9" t="str">
        <f>HYPERLINK("http://www.ncbi.nlm.nih.gov/gene/174885", "174885")</f>
        <v>174885</v>
      </c>
      <c r="C16414" s="9"/>
      <c r="D16414" t="str">
        <f>"tag-280"</f>
        <v>tag-280</v>
      </c>
      <c r="F16414" t="s">
        <v>11</v>
      </c>
      <c r="G16414" t="s">
        <v>9791</v>
      </c>
      <c r="H16414" s="12">
        <v>-1.3027127618337899</v>
      </c>
      <c r="I16414" s="20">
        <v>-0.92905849665502005</v>
      </c>
      <c r="J16414" s="28">
        <v>0.35285877169771701</v>
      </c>
      <c r="K16414" s="29">
        <v>0.98289565623980701</v>
      </c>
    </row>
    <row r="16415" spans="1:11" x14ac:dyDescent="0.35">
      <c r="A16415" s="9" t="str">
        <f>HYPERLINK("http://www.ensembl.org/id/WBGene00044323", "WBGene00044323")</f>
        <v>WBGene00044323</v>
      </c>
      <c r="B16415" s="9" t="str">
        <f>HYPERLINK("http://www.ncbi.nlm.nih.gov/gene/174884", "174884")</f>
        <v>174884</v>
      </c>
      <c r="C16415" s="9"/>
      <c r="D16415" t="str">
        <f>"tag-281"</f>
        <v>tag-281</v>
      </c>
      <c r="F16415" t="s">
        <v>11</v>
      </c>
      <c r="G16415" t="s">
        <v>9791</v>
      </c>
      <c r="H16415" s="12">
        <v>-1.4401679664197999</v>
      </c>
      <c r="I16415" s="20">
        <v>-1.0522695767655701</v>
      </c>
      <c r="J16415" s="28">
        <v>0.29267588565223301</v>
      </c>
      <c r="K16415" s="29">
        <v>0.98289565623980701</v>
      </c>
    </row>
    <row r="16416" spans="1:11" x14ac:dyDescent="0.35">
      <c r="A16416" s="9" t="str">
        <f>HYPERLINK("http://www.ensembl.org/id/WBGene00016937", "WBGene00016937")</f>
        <v>WBGene00016937</v>
      </c>
      <c r="B16416" s="9" t="str">
        <f>HYPERLINK("http://www.ncbi.nlm.nih.gov/gene/180842", "180842")</f>
        <v>180842</v>
      </c>
      <c r="C16416" s="9"/>
      <c r="D16416" t="str">
        <f>"tag-294"</f>
        <v>tag-294</v>
      </c>
      <c r="F16416" t="s">
        <v>11</v>
      </c>
      <c r="G16416" t="s">
        <v>6099</v>
      </c>
      <c r="H16416" s="12">
        <v>1.0609494302570199</v>
      </c>
      <c r="I16416" s="20">
        <v>0.29023200116990699</v>
      </c>
      <c r="J16416" s="28">
        <v>0.77163875591861797</v>
      </c>
      <c r="K16416" s="29">
        <v>0.98289565623980701</v>
      </c>
    </row>
    <row r="16417" spans="1:11" x14ac:dyDescent="0.35">
      <c r="A16417" s="9" t="str">
        <f>HYPERLINK("http://www.ensembl.org/id/WBGene00008871", "WBGene00008871")</f>
        <v>WBGene00008871</v>
      </c>
      <c r="B16417" s="9" t="str">
        <f>HYPERLINK("http://www.ncbi.nlm.nih.gov/gene/179455", "179455")</f>
        <v>179455</v>
      </c>
      <c r="C16417" s="9"/>
      <c r="D16417" t="str">
        <f>"tag-314"</f>
        <v>tag-314</v>
      </c>
      <c r="E16417" t="s">
        <v>1143</v>
      </c>
      <c r="F16417" t="s">
        <v>11</v>
      </c>
      <c r="G16417" t="s">
        <v>10121</v>
      </c>
      <c r="H16417" s="12">
        <v>-7.4014137735691596</v>
      </c>
      <c r="I16417" s="20">
        <v>-0.95298923490807297</v>
      </c>
      <c r="J16417" s="28">
        <v>0.340595525077102</v>
      </c>
      <c r="K16417" s="29">
        <v>0.98289565623980701</v>
      </c>
    </row>
    <row r="16418" spans="1:11" x14ac:dyDescent="0.35">
      <c r="A16418" s="9" t="str">
        <f>HYPERLINK("http://www.ensembl.org/id/WBGene00044326", "WBGene00044326")</f>
        <v>WBGene00044326</v>
      </c>
      <c r="B16418" s="9" t="str">
        <f>HYPERLINK("http://www.ncbi.nlm.nih.gov/gene/177564", "177564")</f>
        <v>177564</v>
      </c>
      <c r="C16418" s="9"/>
      <c r="D16418" t="str">
        <f>"tag-322"</f>
        <v>tag-322</v>
      </c>
      <c r="F16418" t="s">
        <v>11</v>
      </c>
      <c r="G16418" t="s">
        <v>7046</v>
      </c>
      <c r="H16418" s="12">
        <v>-1.10432081847799</v>
      </c>
      <c r="I16418" s="20">
        <v>-0.48300022131187498</v>
      </c>
      <c r="J16418" s="28">
        <v>0.62909557908131997</v>
      </c>
      <c r="K16418" s="29">
        <v>0.98289565623980701</v>
      </c>
    </row>
    <row r="16419" spans="1:11" x14ac:dyDescent="0.35">
      <c r="A16419" s="9" t="str">
        <f>HYPERLINK("http://www.ensembl.org/id/WBGene00008006", "WBGene00008006")</f>
        <v>WBGene00008006</v>
      </c>
      <c r="B16419" s="9" t="str">
        <f>HYPERLINK("http://www.ncbi.nlm.nih.gov/gene/175636", "175636")</f>
        <v>175636</v>
      </c>
      <c r="C16419" s="9" t="str">
        <f>HYPERLINK("http://www.ncbi.nlm.nih.gov/gene/55843", "55843")</f>
        <v>55843</v>
      </c>
      <c r="D16419" t="str">
        <f>"tag-325"</f>
        <v>tag-325</v>
      </c>
      <c r="E16419" t="s">
        <v>8038</v>
      </c>
      <c r="F16419" t="s">
        <v>11</v>
      </c>
      <c r="G16419" t="s">
        <v>8039</v>
      </c>
      <c r="H16419" s="12">
        <v>-1.1576787372244499</v>
      </c>
      <c r="I16419" s="20">
        <v>-0.78332452992127399</v>
      </c>
      <c r="J16419" s="28">
        <v>0.433436562011209</v>
      </c>
      <c r="K16419" s="29">
        <v>0.98289565623980701</v>
      </c>
    </row>
    <row r="16420" spans="1:11" x14ac:dyDescent="0.35">
      <c r="A16420" s="9" t="str">
        <f>HYPERLINK("http://www.ensembl.org/id/WBGene00008231", "WBGene00008231")</f>
        <v>WBGene00008231</v>
      </c>
      <c r="B16420" s="9" t="str">
        <f>HYPERLINK("http://www.ncbi.nlm.nih.gov/gene/183677", "183677")</f>
        <v>183677</v>
      </c>
      <c r="C16420" s="9"/>
      <c r="D16420" t="str">
        <f>"tag-329"</f>
        <v>tag-329</v>
      </c>
      <c r="F16420" t="s">
        <v>11</v>
      </c>
      <c r="G16420" t="s">
        <v>180</v>
      </c>
      <c r="H16420" s="12">
        <v>2.3242654643793101</v>
      </c>
      <c r="I16420" s="20">
        <v>1.1663208689182201</v>
      </c>
      <c r="J16420" s="28">
        <v>0.243484738710987</v>
      </c>
      <c r="K16420" s="29">
        <v>0.98289565623980701</v>
      </c>
    </row>
    <row r="16421" spans="1:11" x14ac:dyDescent="0.35">
      <c r="A16421" s="9" t="str">
        <f>HYPERLINK("http://www.ensembl.org/id/WBGene00018374", "WBGene00018374")</f>
        <v>WBGene00018374</v>
      </c>
      <c r="B16421" s="9" t="str">
        <f>HYPERLINK("http://www.ncbi.nlm.nih.gov/gene/181722", "181722")</f>
        <v>181722</v>
      </c>
      <c r="C16421" s="9"/>
      <c r="D16421" t="str">
        <f>"tag-343"</f>
        <v>tag-343</v>
      </c>
      <c r="F16421" t="s">
        <v>11</v>
      </c>
      <c r="G16421" t="s">
        <v>8488</v>
      </c>
      <c r="H16421" s="12">
        <v>-1.18012687862816</v>
      </c>
      <c r="I16421" s="20">
        <v>-0.72215440109801299</v>
      </c>
      <c r="J16421" s="28">
        <v>0.47019955465411201</v>
      </c>
      <c r="K16421" s="29">
        <v>0.98289565623980701</v>
      </c>
    </row>
    <row r="16422" spans="1:11" x14ac:dyDescent="0.35">
      <c r="A16422" s="9" t="str">
        <f>HYPERLINK("http://www.ensembl.org/id/WBGene00015230", "WBGene00015230")</f>
        <v>WBGene00015230</v>
      </c>
      <c r="B16422" s="9" t="str">
        <f>HYPERLINK("http://www.ncbi.nlm.nih.gov/gene/182017", "182017")</f>
        <v>182017</v>
      </c>
      <c r="C16422" s="9" t="str">
        <f>HYPERLINK("http://www.ncbi.nlm.nih.gov/gene/83942", "83942")</f>
        <v>83942</v>
      </c>
      <c r="D16422" t="str">
        <f>"tag-344"</f>
        <v>tag-344</v>
      </c>
      <c r="F16422" t="s">
        <v>11</v>
      </c>
      <c r="G16422" t="s">
        <v>4318</v>
      </c>
      <c r="H16422" s="12">
        <v>3.1259357230483902</v>
      </c>
      <c r="I16422" s="20">
        <v>1.1542526729067899</v>
      </c>
      <c r="J16422" s="28">
        <v>0.24839659344456799</v>
      </c>
      <c r="K16422" s="29">
        <v>0.98289565623980701</v>
      </c>
    </row>
    <row r="16423" spans="1:11" x14ac:dyDescent="0.35">
      <c r="A16423" s="9" t="str">
        <f>HYPERLINK("http://www.ensembl.org/id/WBGene00006399", "WBGene00006399")</f>
        <v>WBGene00006399</v>
      </c>
      <c r="B16423" s="9" t="str">
        <f>HYPERLINK("http://www.ncbi.nlm.nih.gov/gene/191284", "191284")</f>
        <v>191284</v>
      </c>
      <c r="C16423" s="9"/>
      <c r="D16423" t="str">
        <f>"tag-4"</f>
        <v>tag-4</v>
      </c>
      <c r="F16423" t="s">
        <v>11</v>
      </c>
      <c r="H16423" s="12">
        <v>-5.7314256332473903</v>
      </c>
      <c r="I16423" s="20">
        <v>-1.03770914311586</v>
      </c>
      <c r="J16423" s="28">
        <v>0.29940548698639902</v>
      </c>
      <c r="K16423" s="29">
        <v>0.98289565623980701</v>
      </c>
    </row>
    <row r="16424" spans="1:11" x14ac:dyDescent="0.35">
      <c r="A16424" s="9" t="str">
        <f>HYPERLINK("http://www.ensembl.org/id/WBGene00006431", "WBGene00006431")</f>
        <v>WBGene00006431</v>
      </c>
      <c r="B16424" s="9" t="str">
        <f>HYPERLINK("http://www.ncbi.nlm.nih.gov/gene/180657", "180657")</f>
        <v>180657</v>
      </c>
      <c r="C16424" s="9"/>
      <c r="D16424" t="str">
        <f>"tag-52"</f>
        <v>tag-52</v>
      </c>
      <c r="F16424" t="s">
        <v>11</v>
      </c>
      <c r="G16424" t="s">
        <v>9369</v>
      </c>
      <c r="H16424" s="12">
        <v>-1.24159040900502</v>
      </c>
      <c r="I16424" s="20">
        <v>-0.95619770007208804</v>
      </c>
      <c r="J16424" s="28">
        <v>0.33897236170189998</v>
      </c>
      <c r="K16424" s="29">
        <v>0.98289565623980701</v>
      </c>
    </row>
    <row r="16425" spans="1:11" x14ac:dyDescent="0.35">
      <c r="A16425" s="9" t="str">
        <f>HYPERLINK("http://www.ensembl.org/id/WBGene00006442", "WBGene00006442")</f>
        <v>WBGene00006442</v>
      </c>
      <c r="B16425" s="9" t="str">
        <f>HYPERLINK("http://www.ncbi.nlm.nih.gov/gene/179857", "179857")</f>
        <v>179857</v>
      </c>
      <c r="C16425" s="9"/>
      <c r="D16425" t="str">
        <f>"tag-65"</f>
        <v>tag-65</v>
      </c>
      <c r="E16425" t="s">
        <v>8728</v>
      </c>
      <c r="F16425" t="s">
        <v>11</v>
      </c>
      <c r="G16425" t="s">
        <v>8729</v>
      </c>
      <c r="H16425" s="12">
        <v>-1.19339281925902</v>
      </c>
      <c r="I16425" s="20">
        <v>-0.82096480181692799</v>
      </c>
      <c r="J16425" s="28">
        <v>0.411666317572074</v>
      </c>
      <c r="K16425" s="29">
        <v>0.98289565623980701</v>
      </c>
    </row>
    <row r="16426" spans="1:11" x14ac:dyDescent="0.35">
      <c r="A16426" s="9" t="str">
        <f>HYPERLINK("http://www.ensembl.org/id/WBGene00006445", "WBGene00006445")</f>
        <v>WBGene00006445</v>
      </c>
      <c r="B16426" s="9" t="str">
        <f>HYPERLINK("http://www.ncbi.nlm.nih.gov/gene/172930", "172930")</f>
        <v>172930</v>
      </c>
      <c r="C16426" s="9"/>
      <c r="D16426" t="str">
        <f>"tag-68"</f>
        <v>tag-68</v>
      </c>
      <c r="E16426" t="s">
        <v>5531</v>
      </c>
      <c r="F16426" t="s">
        <v>11</v>
      </c>
      <c r="G16426" t="s">
        <v>5532</v>
      </c>
      <c r="H16426" s="12">
        <v>1.1495988304249301</v>
      </c>
      <c r="I16426" s="20">
        <v>0.52853731714257801</v>
      </c>
      <c r="J16426" s="28">
        <v>0.59712645348381499</v>
      </c>
      <c r="K16426" s="29">
        <v>0.98289565623980701</v>
      </c>
    </row>
    <row r="16427" spans="1:11" x14ac:dyDescent="0.35">
      <c r="A16427" s="9" t="str">
        <f>HYPERLINK("http://www.ensembl.org/id/WBGene00006447", "WBGene00006447")</f>
        <v>WBGene00006447</v>
      </c>
      <c r="B16427" s="9" t="str">
        <f>HYPERLINK("http://www.ncbi.nlm.nih.gov/gene/182875", "182875")</f>
        <v>182875</v>
      </c>
      <c r="C16427" s="9" t="str">
        <f>HYPERLINK("http://www.ncbi.nlm.nih.gov/gene/8731", "8731")</f>
        <v>8731</v>
      </c>
      <c r="D16427" t="str">
        <f>"tag-72"</f>
        <v>tag-72</v>
      </c>
      <c r="E16427" t="s">
        <v>7839</v>
      </c>
      <c r="F16427" t="s">
        <v>11</v>
      </c>
      <c r="G16427" t="s">
        <v>7840</v>
      </c>
      <c r="H16427" s="12">
        <v>-1.14758679456256</v>
      </c>
      <c r="I16427" s="20">
        <v>-0.644824835402799</v>
      </c>
      <c r="J16427" s="28">
        <v>0.51904070567411997</v>
      </c>
      <c r="K16427" s="29">
        <v>0.98289565623980701</v>
      </c>
    </row>
    <row r="16428" spans="1:11" x14ac:dyDescent="0.35">
      <c r="A16428" s="9" t="str">
        <f>HYPERLINK("http://www.ensembl.org/id/WBGene00006450", "WBGene00006450")</f>
        <v>WBGene00006450</v>
      </c>
      <c r="B16428" s="9" t="str">
        <f>HYPERLINK("http://www.ncbi.nlm.nih.gov/gene/177656", "177656")</f>
        <v>177656</v>
      </c>
      <c r="C16428" s="9"/>
      <c r="D16428" t="str">
        <f>"tag-77"</f>
        <v>tag-77</v>
      </c>
      <c r="F16428" t="s">
        <v>11</v>
      </c>
      <c r="G16428" t="s">
        <v>6303</v>
      </c>
      <c r="H16428" s="12">
        <v>-1.0611773530099999</v>
      </c>
      <c r="I16428" s="20">
        <v>-0.33298327220242901</v>
      </c>
      <c r="J16428" s="28">
        <v>0.73914691017287004</v>
      </c>
      <c r="K16428" s="29">
        <v>0.98289565623980701</v>
      </c>
    </row>
    <row r="16429" spans="1:11" x14ac:dyDescent="0.35">
      <c r="A16429" s="9" t="str">
        <f>HYPERLINK("http://www.ensembl.org/id/WBGene00006459", "WBGene00006459")</f>
        <v>WBGene00006459</v>
      </c>
      <c r="B16429" s="9" t="str">
        <f>HYPERLINK("http://www.ncbi.nlm.nih.gov/gene/178062", "178062")</f>
        <v>178062</v>
      </c>
      <c r="C16429" s="9"/>
      <c r="D16429" t="str">
        <f>"tag-89"</f>
        <v>tag-89</v>
      </c>
      <c r="F16429" t="s">
        <v>11</v>
      </c>
      <c r="G16429" t="s">
        <v>4877</v>
      </c>
      <c r="H16429" s="12">
        <v>1.31911487023769</v>
      </c>
      <c r="I16429" s="20">
        <v>1.01393522982915</v>
      </c>
      <c r="J16429" s="28">
        <v>0.31061365947772801</v>
      </c>
      <c r="K16429" s="29">
        <v>0.98289565623980701</v>
      </c>
    </row>
    <row r="16430" spans="1:11" x14ac:dyDescent="0.35">
      <c r="A16430" s="9" t="str">
        <f>HYPERLINK("http://www.ensembl.org/id/WBGene00006461", "WBGene00006461")</f>
        <v>WBGene00006461</v>
      </c>
      <c r="B16430" s="9" t="str">
        <f>HYPERLINK("http://www.ncbi.nlm.nih.gov/gene/171755", "171755")</f>
        <v>171755</v>
      </c>
      <c r="C16430" s="9" t="str">
        <f>HYPERLINK("http://www.ncbi.nlm.nih.gov/gene/2585", "2585")</f>
        <v>2585</v>
      </c>
      <c r="D16430" t="str">
        <f>"tag-96"</f>
        <v>tag-96</v>
      </c>
      <c r="F16430" t="s">
        <v>11</v>
      </c>
      <c r="G16430" t="s">
        <v>8110</v>
      </c>
      <c r="H16430" s="12">
        <v>-1.16099776926389</v>
      </c>
      <c r="I16430" s="20">
        <v>-0.67576091056521603</v>
      </c>
      <c r="J16430" s="28">
        <v>0.49919245648382699</v>
      </c>
      <c r="K16430" s="29">
        <v>0.98289565623980701</v>
      </c>
    </row>
    <row r="16431" spans="1:11" x14ac:dyDescent="0.35">
      <c r="A16431" s="9" t="str">
        <f>HYPERLINK("http://www.ensembl.org/id/WBGene00021286", "WBGene00021286")</f>
        <v>WBGene00021286</v>
      </c>
      <c r="B16431" s="9" t="str">
        <f>HYPERLINK("http://www.ncbi.nlm.nih.gov/gene/177202", "177202")</f>
        <v>177202</v>
      </c>
      <c r="C16431" s="9" t="str">
        <f>HYPERLINK("http://www.ncbi.nlm.nih.gov/gene/6888", "6888")</f>
        <v>6888</v>
      </c>
      <c r="D16431" t="str">
        <f>"tald-1"</f>
        <v>tald-1</v>
      </c>
      <c r="E16431" t="s">
        <v>6485</v>
      </c>
      <c r="F16431" t="s">
        <v>11</v>
      </c>
      <c r="G16431" t="s">
        <v>6486</v>
      </c>
      <c r="H16431" s="12">
        <v>-1.0716263671828301</v>
      </c>
      <c r="I16431" s="20">
        <v>-0.38050715247825401</v>
      </c>
      <c r="J16431" s="28">
        <v>0.70356898822162695</v>
      </c>
      <c r="K16431" s="29">
        <v>0.98289565623980701</v>
      </c>
    </row>
    <row r="16432" spans="1:11" x14ac:dyDescent="0.35">
      <c r="A16432" s="9" t="str">
        <f>HYPERLINK("http://www.ensembl.org/id/WBGene00004053", "WBGene00004053")</f>
        <v>WBGene00004053</v>
      </c>
      <c r="B16432" s="9" t="str">
        <f>HYPERLINK("http://www.ncbi.nlm.nih.gov/gene/178623", "178623")</f>
        <v>178623</v>
      </c>
      <c r="C16432" s="9"/>
      <c r="D16432" t="str">
        <f>"tank-1"</f>
        <v>tank-1</v>
      </c>
      <c r="E16432" t="s">
        <v>5775</v>
      </c>
      <c r="F16432" t="s">
        <v>11</v>
      </c>
      <c r="G16432" t="s">
        <v>5776</v>
      </c>
      <c r="H16432" s="12">
        <v>1.1052301676184899</v>
      </c>
      <c r="I16432" s="20">
        <v>0.53496810954262397</v>
      </c>
      <c r="J16432" s="28">
        <v>0.59267190946552395</v>
      </c>
      <c r="K16432" s="29">
        <v>0.98289565623980701</v>
      </c>
    </row>
    <row r="16433" spans="1:11" x14ac:dyDescent="0.35">
      <c r="A16433" s="9" t="str">
        <f>HYPERLINK("http://www.ensembl.org/id/WBGene00006524", "WBGene00006524")</f>
        <v>WBGene00006524</v>
      </c>
      <c r="B16433" s="9" t="str">
        <f>HYPERLINK("http://www.ncbi.nlm.nih.gov/gene/181556", "181556")</f>
        <v>181556</v>
      </c>
      <c r="C16433" s="9"/>
      <c r="D16433" t="str">
        <f>"tap-1"</f>
        <v>tap-1</v>
      </c>
      <c r="E16433" t="s">
        <v>8524</v>
      </c>
      <c r="F16433" t="s">
        <v>11</v>
      </c>
      <c r="G16433" t="s">
        <v>8525</v>
      </c>
      <c r="H16433" s="12">
        <v>-1.1818640541884</v>
      </c>
      <c r="I16433" s="20">
        <v>-0.81856222240538801</v>
      </c>
      <c r="J16433" s="28">
        <v>0.41303622802599399</v>
      </c>
      <c r="K16433" s="29">
        <v>0.98289565623980701</v>
      </c>
    </row>
    <row r="16434" spans="1:11" x14ac:dyDescent="0.35">
      <c r="A16434" s="9" t="str">
        <f>HYPERLINK("http://www.ensembl.org/id/WBGene00010480", "WBGene00010480")</f>
        <v>WBGene00010480</v>
      </c>
      <c r="B16434" s="9" t="str">
        <f>HYPERLINK("http://www.ncbi.nlm.nih.gov/gene/176508", "176508")</f>
        <v>176508</v>
      </c>
      <c r="C16434" s="9" t="str">
        <f>HYPERLINK("http://www.ncbi.nlm.nih.gov/gene/55617", "55617")</f>
        <v>55617</v>
      </c>
      <c r="D16434" t="str">
        <f>"tasp-1"</f>
        <v>tasp-1</v>
      </c>
      <c r="E16434" t="s">
        <v>7815</v>
      </c>
      <c r="F16434" t="s">
        <v>11</v>
      </c>
      <c r="G16434" t="s">
        <v>7816</v>
      </c>
      <c r="H16434" s="12">
        <v>-1.1463114864113799</v>
      </c>
      <c r="I16434" s="20">
        <v>-0.71086519973419104</v>
      </c>
      <c r="J16434" s="28">
        <v>0.47716777285352502</v>
      </c>
      <c r="K16434" s="29">
        <v>0.98289565623980701</v>
      </c>
    </row>
    <row r="16435" spans="1:11" x14ac:dyDescent="0.35">
      <c r="A16435" s="9" t="str">
        <f>HYPERLINK("http://www.ensembl.org/id/WBGene00013034", "WBGene00013034")</f>
        <v>WBGene00013034</v>
      </c>
      <c r="B16435" s="9" t="str">
        <f>HYPERLINK("http://www.ncbi.nlm.nih.gov/gene/176666", "176666")</f>
        <v>176666</v>
      </c>
      <c r="C16435" s="9" t="str">
        <f>HYPERLINK("http://www.ncbi.nlm.nih.gov/gene/10396", "10396")</f>
        <v>10396</v>
      </c>
      <c r="D16435" t="str">
        <f>"tat-1"</f>
        <v>tat-1</v>
      </c>
      <c r="E16435" t="s">
        <v>7662</v>
      </c>
      <c r="F16435" t="s">
        <v>11</v>
      </c>
      <c r="G16435" t="s">
        <v>7663</v>
      </c>
      <c r="H16435" s="12">
        <v>-1.1380299576786801</v>
      </c>
      <c r="I16435" s="20">
        <v>-0.71136320256330199</v>
      </c>
      <c r="J16435" s="28">
        <v>0.47685919545556998</v>
      </c>
      <c r="K16435" s="29">
        <v>0.98289565623980701</v>
      </c>
    </row>
    <row r="16436" spans="1:11" x14ac:dyDescent="0.35">
      <c r="A16436" s="9" t="str">
        <f>HYPERLINK("http://www.ensembl.org/id/WBGene00019166", "WBGene00019166")</f>
        <v>WBGene00019166</v>
      </c>
      <c r="B16436" s="9" t="str">
        <f>HYPERLINK("http://www.ncbi.nlm.nih.gov/gene/177256", "177256")</f>
        <v>177256</v>
      </c>
      <c r="C16436" s="9" t="str">
        <f>HYPERLINK("http://www.ncbi.nlm.nih.gov/gene/57198", "57198")</f>
        <v>57198</v>
      </c>
      <c r="D16436" t="str">
        <f>"tat-2"</f>
        <v>tat-2</v>
      </c>
      <c r="E16436" t="s">
        <v>1585</v>
      </c>
      <c r="F16436" t="s">
        <v>11</v>
      </c>
      <c r="G16436" t="s">
        <v>8402</v>
      </c>
      <c r="H16436" s="12">
        <v>-1.17524329408126</v>
      </c>
      <c r="I16436" s="20">
        <v>-0.87430996534038696</v>
      </c>
      <c r="J16436" s="28">
        <v>0.38194947380053001</v>
      </c>
      <c r="K16436" s="29">
        <v>0.98289565623980701</v>
      </c>
    </row>
    <row r="16437" spans="1:11" x14ac:dyDescent="0.35">
      <c r="A16437" s="9" t="str">
        <f>HYPERLINK("http://www.ensembl.org/id/WBGene00012360", "WBGene00012360")</f>
        <v>WBGene00012360</v>
      </c>
      <c r="B16437" s="9" t="str">
        <f>HYPERLINK("http://www.ncbi.nlm.nih.gov/gene/176498", "176498")</f>
        <v>176498</v>
      </c>
      <c r="C16437" s="9" t="str">
        <f>HYPERLINK("http://www.ncbi.nlm.nih.gov/gene/57205", "57205")</f>
        <v>57205</v>
      </c>
      <c r="D16437" t="str">
        <f>"tat-3"</f>
        <v>tat-3</v>
      </c>
      <c r="E16437" t="s">
        <v>1585</v>
      </c>
      <c r="F16437" t="s">
        <v>11</v>
      </c>
      <c r="G16437" t="s">
        <v>9263</v>
      </c>
      <c r="H16437" s="12">
        <v>-1.2318082417251</v>
      </c>
      <c r="I16437" s="20">
        <v>-1.1417045086727799</v>
      </c>
      <c r="J16437" s="28">
        <v>0.25357686608878599</v>
      </c>
      <c r="K16437" s="29">
        <v>0.98289565623980701</v>
      </c>
    </row>
    <row r="16438" spans="1:11" x14ac:dyDescent="0.35">
      <c r="A16438" s="9" t="str">
        <f>HYPERLINK("http://www.ensembl.org/id/WBGene00017174", "WBGene00017174")</f>
        <v>WBGene00017174</v>
      </c>
      <c r="B16438" s="9" t="str">
        <f>HYPERLINK("http://www.ncbi.nlm.nih.gov/gene/178754", "178754")</f>
        <v>178754</v>
      </c>
      <c r="C16438" s="9" t="str">
        <f>HYPERLINK("http://www.ncbi.nlm.nih.gov/gene/374868", "374868")</f>
        <v>374868</v>
      </c>
      <c r="D16438" t="str">
        <f>"tat-6"</f>
        <v>tat-6</v>
      </c>
      <c r="E16438" t="s">
        <v>1585</v>
      </c>
      <c r="F16438" t="s">
        <v>11</v>
      </c>
      <c r="G16438" t="s">
        <v>4513</v>
      </c>
      <c r="H16438" s="12">
        <v>1.7992118123223999</v>
      </c>
      <c r="I16438" s="20">
        <v>1.01003651388732</v>
      </c>
      <c r="J16438" s="28">
        <v>0.31247779648150698</v>
      </c>
      <c r="K16438" s="29">
        <v>0.98289565623980701</v>
      </c>
    </row>
    <row r="16439" spans="1:11" x14ac:dyDescent="0.35">
      <c r="A16439" s="9" t="str">
        <f>HYPERLINK("http://www.ensembl.org/id/WBGene00009628", "WBGene00009628")</f>
        <v>WBGene00009628</v>
      </c>
      <c r="B16439" s="9" t="str">
        <f>HYPERLINK("http://www.ncbi.nlm.nih.gov/gene/181574", "181574")</f>
        <v>181574</v>
      </c>
      <c r="C16439" s="9" t="str">
        <f>HYPERLINK("http://www.ncbi.nlm.nih.gov/gene/6898", "6898")</f>
        <v>6898</v>
      </c>
      <c r="D16439" t="str">
        <f>"tatn-1"</f>
        <v>tatn-1</v>
      </c>
      <c r="E16439" t="s">
        <v>6398</v>
      </c>
      <c r="F16439" t="s">
        <v>11</v>
      </c>
      <c r="G16439" t="s">
        <v>6399</v>
      </c>
      <c r="H16439" s="12">
        <v>-1.0672085985093001</v>
      </c>
      <c r="I16439" s="20">
        <v>-0.35285554683194498</v>
      </c>
      <c r="J16439" s="28">
        <v>0.72419673835243903</v>
      </c>
      <c r="K16439" s="29">
        <v>0.98289565623980701</v>
      </c>
    </row>
    <row r="16440" spans="1:11" x14ac:dyDescent="0.35">
      <c r="A16440" s="9" t="str">
        <f>HYPERLINK("http://www.ensembl.org/id/WBGene00006525", "WBGene00006525")</f>
        <v>WBGene00006525</v>
      </c>
      <c r="B16440" s="9" t="str">
        <f>HYPERLINK("http://www.ncbi.nlm.nih.gov/gene/172723", "172723")</f>
        <v>172723</v>
      </c>
      <c r="C16440" s="9" t="str">
        <f>HYPERLINK("http://www.ncbi.nlm.nih.gov/gene/1258", "1258")</f>
        <v>1258</v>
      </c>
      <c r="D16440" t="str">
        <f>"tax-2"</f>
        <v>tax-2</v>
      </c>
      <c r="E16440" t="s">
        <v>4375</v>
      </c>
      <c r="F16440" t="s">
        <v>11</v>
      </c>
      <c r="G16440" t="s">
        <v>4376</v>
      </c>
      <c r="H16440" s="12">
        <v>2.4578182640535902</v>
      </c>
      <c r="I16440" s="20">
        <v>1.1613607484551001</v>
      </c>
      <c r="J16440" s="28">
        <v>0.24549522438985999</v>
      </c>
      <c r="K16440" s="29">
        <v>0.98289565623980701</v>
      </c>
    </row>
    <row r="16441" spans="1:11" x14ac:dyDescent="0.35">
      <c r="A16441" s="9" t="str">
        <f>HYPERLINK("http://www.ensembl.org/id/WBGene00006526", "WBGene00006526")</f>
        <v>WBGene00006526</v>
      </c>
      <c r="B16441" s="9" t="str">
        <f>HYPERLINK("http://www.ncbi.nlm.nih.gov/gene/176297", "176297")</f>
        <v>176297</v>
      </c>
      <c r="C16441" s="9" t="str">
        <f>HYPERLINK("http://www.ncbi.nlm.nih.gov/gene/1261", "1261")</f>
        <v>1261</v>
      </c>
      <c r="D16441" t="str">
        <f>"tax-4"</f>
        <v>tax-4</v>
      </c>
      <c r="E16441" t="s">
        <v>4752</v>
      </c>
      <c r="F16441" t="s">
        <v>11</v>
      </c>
      <c r="G16441" t="s">
        <v>4753</v>
      </c>
      <c r="H16441" s="12">
        <v>1.4167618000134501</v>
      </c>
      <c r="I16441" s="20">
        <v>0.85641053301988901</v>
      </c>
      <c r="J16441" s="28">
        <v>0.39177074056541999</v>
      </c>
      <c r="K16441" s="29">
        <v>0.98289565623980701</v>
      </c>
    </row>
    <row r="16442" spans="1:11" x14ac:dyDescent="0.35">
      <c r="A16442" s="9" t="str">
        <f>HYPERLINK("http://www.ensembl.org/id/WBGene00006527", "WBGene00006527")</f>
        <v>WBGene00006527</v>
      </c>
      <c r="B16442" s="9" t="str">
        <f>HYPERLINK("http://www.ncbi.nlm.nih.gov/gene/177943", "177943")</f>
        <v>177943</v>
      </c>
      <c r="C16442" s="9" t="str">
        <f>HYPERLINK("http://www.ncbi.nlm.nih.gov/gene/5530", "5530")</f>
        <v>5530</v>
      </c>
      <c r="D16442" t="str">
        <f>"tax-6"</f>
        <v>tax-6</v>
      </c>
      <c r="E16442" t="s">
        <v>6488</v>
      </c>
      <c r="F16442" t="s">
        <v>11</v>
      </c>
      <c r="G16442" t="s">
        <v>6489</v>
      </c>
      <c r="H16442" s="12">
        <v>-1.0718280845372401</v>
      </c>
      <c r="I16442" s="20">
        <v>-0.38419909637253402</v>
      </c>
      <c r="J16442" s="28">
        <v>0.700830888009915</v>
      </c>
      <c r="K16442" s="29">
        <v>0.98289565623980701</v>
      </c>
    </row>
    <row r="16443" spans="1:11" x14ac:dyDescent="0.35">
      <c r="A16443" s="9" t="str">
        <f>HYPERLINK("http://www.ensembl.org/id/WBGene00006528", "WBGene00006528")</f>
        <v>WBGene00006528</v>
      </c>
      <c r="B16443" s="9" t="str">
        <f>HYPERLINK("http://www.ncbi.nlm.nih.gov/gene/172831", "172831")</f>
        <v>172831</v>
      </c>
      <c r="C16443" s="9" t="str">
        <f>HYPERLINK("http://www.ncbi.nlm.nih.gov/gene/84790", "84790")</f>
        <v>84790</v>
      </c>
      <c r="D16443" t="str">
        <f>"tba-1"</f>
        <v>tba-1</v>
      </c>
      <c r="E16443" t="s">
        <v>4195</v>
      </c>
      <c r="F16443" t="s">
        <v>11</v>
      </c>
      <c r="G16443" t="s">
        <v>6769</v>
      </c>
      <c r="H16443" s="12">
        <v>-1.0882513569196</v>
      </c>
      <c r="I16443" s="20">
        <v>-0.45409010629499602</v>
      </c>
      <c r="J16443" s="28">
        <v>0.64976397398562602</v>
      </c>
      <c r="K16443" s="29">
        <v>0.98289565623980701</v>
      </c>
    </row>
    <row r="16444" spans="1:11" x14ac:dyDescent="0.35">
      <c r="A16444" s="9" t="str">
        <f>HYPERLINK("http://www.ensembl.org/id/WBGene00006529", "WBGene00006529")</f>
        <v>WBGene00006529</v>
      </c>
      <c r="B16444" s="9" t="str">
        <f>HYPERLINK("http://www.ncbi.nlm.nih.gov/gene/173167", "173167")</f>
        <v>173167</v>
      </c>
      <c r="C16444" s="9" t="str">
        <f>HYPERLINK("http://www.ncbi.nlm.nih.gov/gene/84790", "84790")</f>
        <v>84790</v>
      </c>
      <c r="D16444" t="str">
        <f>"tba-2"</f>
        <v>tba-2</v>
      </c>
      <c r="E16444" t="s">
        <v>6705</v>
      </c>
      <c r="F16444" t="s">
        <v>11</v>
      </c>
      <c r="G16444" t="s">
        <v>6706</v>
      </c>
      <c r="H16444" s="12">
        <v>-1.0854880781523799</v>
      </c>
      <c r="I16444" s="20">
        <v>-0.46037286317793802</v>
      </c>
      <c r="J16444" s="28">
        <v>0.64524860950858698</v>
      </c>
      <c r="K16444" s="29">
        <v>0.98289565623980701</v>
      </c>
    </row>
    <row r="16445" spans="1:11" x14ac:dyDescent="0.35">
      <c r="A16445" s="9" t="str">
        <f>HYPERLINK("http://www.ensembl.org/id/WBGene00006530", "WBGene00006530")</f>
        <v>WBGene00006530</v>
      </c>
      <c r="B16445" s="9" t="str">
        <f>HYPERLINK("http://www.ncbi.nlm.nih.gov/gene/174680", "174680")</f>
        <v>174680</v>
      </c>
      <c r="C16445" s="9" t="str">
        <f>HYPERLINK("http://www.ncbi.nlm.nih.gov/gene/84790", "84790")</f>
        <v>84790</v>
      </c>
      <c r="D16445" t="str">
        <f>"tba-4"</f>
        <v>tba-4</v>
      </c>
      <c r="E16445" t="s">
        <v>4195</v>
      </c>
      <c r="F16445" t="s">
        <v>11</v>
      </c>
      <c r="G16445" t="s">
        <v>4196</v>
      </c>
      <c r="H16445" s="12">
        <v>1.11371441843116</v>
      </c>
      <c r="I16445" s="20">
        <v>0.50448219994255805</v>
      </c>
      <c r="J16445" s="28">
        <v>0.61392256750324803</v>
      </c>
      <c r="K16445" s="29">
        <v>0.98289565623980701</v>
      </c>
    </row>
    <row r="16446" spans="1:11" x14ac:dyDescent="0.35">
      <c r="A16446" s="9" t="str">
        <f>HYPERLINK("http://www.ensembl.org/id/WBGene00006531", "WBGene00006531")</f>
        <v>WBGene00006531</v>
      </c>
      <c r="B16446" s="9" t="str">
        <f>HYPERLINK("http://www.ncbi.nlm.nih.gov/gene/184569", "184569")</f>
        <v>184569</v>
      </c>
      <c r="C16446" s="9" t="str">
        <f>HYPERLINK("http://www.ncbi.nlm.nih.gov/gene/7846", "7846")</f>
        <v>7846</v>
      </c>
      <c r="D16446" t="str">
        <f>"tba-5"</f>
        <v>tba-5</v>
      </c>
      <c r="E16446" t="s">
        <v>4195</v>
      </c>
      <c r="F16446" t="s">
        <v>11</v>
      </c>
      <c r="G16446" t="s">
        <v>4710</v>
      </c>
      <c r="H16446" s="12">
        <v>1.4612741783911201</v>
      </c>
      <c r="I16446" s="20">
        <v>0.944766646278972</v>
      </c>
      <c r="J16446" s="28">
        <v>0.34477802347772302</v>
      </c>
      <c r="K16446" s="29">
        <v>0.98289565623980701</v>
      </c>
    </row>
    <row r="16447" spans="1:11" x14ac:dyDescent="0.35">
      <c r="A16447" s="9" t="str">
        <f>HYPERLINK("http://www.ensembl.org/id/WBGene00006532", "WBGene00006532")</f>
        <v>WBGene00006532</v>
      </c>
      <c r="B16447" s="9" t="str">
        <f>HYPERLINK("http://www.ncbi.nlm.nih.gov/gene/172717", "172717")</f>
        <v>172717</v>
      </c>
      <c r="C16447" s="9"/>
      <c r="D16447" t="str">
        <f>"tba-6"</f>
        <v>tba-6</v>
      </c>
      <c r="E16447" t="s">
        <v>4195</v>
      </c>
      <c r="F16447" t="s">
        <v>11</v>
      </c>
      <c r="G16447" t="s">
        <v>4196</v>
      </c>
      <c r="H16447" s="12">
        <v>-2.2190681285435798</v>
      </c>
      <c r="I16447" s="20">
        <v>-0.812297425247686</v>
      </c>
      <c r="J16447" s="28">
        <v>0.41662098761433902</v>
      </c>
      <c r="K16447" s="29">
        <v>0.98289565623980701</v>
      </c>
    </row>
    <row r="16448" spans="1:11" x14ac:dyDescent="0.35">
      <c r="A16448" s="9" t="str">
        <f>HYPERLINK("http://www.ensembl.org/id/WBGene00006533", "WBGene00006533")</f>
        <v>WBGene00006533</v>
      </c>
      <c r="B16448" s="9" t="str">
        <f>HYPERLINK("http://www.ncbi.nlm.nih.gov/gene/176568", "176568")</f>
        <v>176568</v>
      </c>
      <c r="C16448" s="9"/>
      <c r="D16448" t="str">
        <f>"tba-7"</f>
        <v>tba-7</v>
      </c>
      <c r="E16448" t="s">
        <v>4195</v>
      </c>
      <c r="F16448" t="s">
        <v>11</v>
      </c>
      <c r="G16448" t="s">
        <v>4196</v>
      </c>
      <c r="H16448" s="12">
        <v>-1.1953816559797099</v>
      </c>
      <c r="I16448" s="20">
        <v>-0.78132961792601996</v>
      </c>
      <c r="J16448" s="28">
        <v>0.43460865460671699</v>
      </c>
      <c r="K16448" s="29">
        <v>0.98289565623980701</v>
      </c>
    </row>
    <row r="16449" spans="1:11" x14ac:dyDescent="0.35">
      <c r="A16449" s="9" t="str">
        <f>HYPERLINK("http://www.ensembl.org/id/WBGene00006536", "WBGene00006536")</f>
        <v>WBGene00006536</v>
      </c>
      <c r="B16449" s="9" t="str">
        <f>HYPERLINK("http://www.ncbi.nlm.nih.gov/gene/176501", "176501")</f>
        <v>176501</v>
      </c>
      <c r="C16449" s="9" t="str">
        <f>HYPERLINK("http://www.ncbi.nlm.nih.gov/gene/203068", "203068")</f>
        <v>203068</v>
      </c>
      <c r="D16449" t="str">
        <f>"tbb-1"</f>
        <v>tbb-1</v>
      </c>
      <c r="E16449" t="s">
        <v>1691</v>
      </c>
      <c r="F16449" t="s">
        <v>11</v>
      </c>
      <c r="G16449" t="s">
        <v>6156</v>
      </c>
      <c r="H16449" s="12">
        <v>-1.04758963118382</v>
      </c>
      <c r="I16449" s="20">
        <v>-0.253434600374847</v>
      </c>
      <c r="J16449" s="28">
        <v>0.79993239293940199</v>
      </c>
      <c r="K16449" s="29">
        <v>0.98289565623980701</v>
      </c>
    </row>
    <row r="16450" spans="1:11" x14ac:dyDescent="0.35">
      <c r="A16450" s="9" t="str">
        <f>HYPERLINK("http://www.ensembl.org/id/WBGene00006537", "WBGene00006537")</f>
        <v>WBGene00006537</v>
      </c>
      <c r="B16450" s="9" t="str">
        <f>HYPERLINK("http://www.ncbi.nlm.nih.gov/gene/175519", "175519")</f>
        <v>175519</v>
      </c>
      <c r="C16450" s="9" t="str">
        <f>HYPERLINK("http://www.ncbi.nlm.nih.gov/gene/203068", "203068")</f>
        <v>203068</v>
      </c>
      <c r="D16450" t="str">
        <f>"tbb-2"</f>
        <v>tbb-2</v>
      </c>
      <c r="E16450" t="s">
        <v>7772</v>
      </c>
      <c r="F16450" t="s">
        <v>11</v>
      </c>
      <c r="G16450" t="s">
        <v>7773</v>
      </c>
      <c r="H16450" s="12">
        <v>-1.14408572605521</v>
      </c>
      <c r="I16450" s="20">
        <v>-0.76196505631252498</v>
      </c>
      <c r="J16450" s="28">
        <v>0.44608086007921499</v>
      </c>
      <c r="K16450" s="29">
        <v>0.98289565623980701</v>
      </c>
    </row>
    <row r="16451" spans="1:11" x14ac:dyDescent="0.35">
      <c r="A16451" s="9" t="str">
        <f>HYPERLINK("http://www.ensembl.org/id/WBGene00019915", "WBGene00019915")</f>
        <v>WBGene00019915</v>
      </c>
      <c r="B16451" s="9" t="str">
        <f>HYPERLINK("http://www.ncbi.nlm.nih.gov/gene/3564790", "3564790")</f>
        <v>3564790</v>
      </c>
      <c r="C16451" s="9" t="str">
        <f>HYPERLINK("http://www.ncbi.nlm.nih.gov/gene/83874", "83874")</f>
        <v>83874</v>
      </c>
      <c r="D16451" t="str">
        <f>"tbc-10"</f>
        <v>tbc-10</v>
      </c>
      <c r="E16451" t="s">
        <v>1649</v>
      </c>
      <c r="F16451" t="s">
        <v>11</v>
      </c>
      <c r="G16451" t="s">
        <v>6175</v>
      </c>
      <c r="H16451" s="12">
        <v>-1.2658359118507101</v>
      </c>
      <c r="I16451" s="20">
        <v>-0.95608732914037797</v>
      </c>
      <c r="J16451" s="28">
        <v>0.33902811581541498</v>
      </c>
      <c r="K16451" s="29">
        <v>0.98289565623980701</v>
      </c>
    </row>
    <row r="16452" spans="1:11" x14ac:dyDescent="0.35">
      <c r="A16452" s="9" t="str">
        <f>HYPERLINK("http://www.ensembl.org/id/WBGene00044061", "WBGene00044061")</f>
        <v>WBGene00044061</v>
      </c>
      <c r="B16452" s="9" t="str">
        <f>HYPERLINK("http://www.ncbi.nlm.nih.gov/gene/180556", "180556")</f>
        <v>180556</v>
      </c>
      <c r="C16452" s="9"/>
      <c r="D16452" t="str">
        <f>"tbc-12"</f>
        <v>tbc-12</v>
      </c>
      <c r="E16452" t="s">
        <v>1649</v>
      </c>
      <c r="F16452" t="s">
        <v>11</v>
      </c>
      <c r="G16452" t="s">
        <v>7179</v>
      </c>
      <c r="H16452" s="12">
        <v>-1.1117277869698401</v>
      </c>
      <c r="I16452" s="20">
        <v>-0.57811081378848495</v>
      </c>
      <c r="J16452" s="28">
        <v>0.56318930666905198</v>
      </c>
      <c r="K16452" s="29">
        <v>0.98289565623980701</v>
      </c>
    </row>
    <row r="16453" spans="1:11" x14ac:dyDescent="0.35">
      <c r="A16453" s="9" t="str">
        <f>HYPERLINK("http://www.ensembl.org/id/WBGene00009726", "WBGene00009726")</f>
        <v>WBGene00009726</v>
      </c>
      <c r="B16453" s="9" t="str">
        <f>HYPERLINK("http://www.ncbi.nlm.nih.gov/gene/181406", "181406")</f>
        <v>181406</v>
      </c>
      <c r="C16453" s="9" t="str">
        <f>HYPERLINK("http://www.ncbi.nlm.nih.gov/gene/54662", "54662")</f>
        <v>54662</v>
      </c>
      <c r="D16453" t="str">
        <f>"tbc-13"</f>
        <v>tbc-13</v>
      </c>
      <c r="E16453" t="s">
        <v>1649</v>
      </c>
      <c r="F16453" t="s">
        <v>11</v>
      </c>
      <c r="G16453" t="s">
        <v>6175</v>
      </c>
      <c r="H16453" s="12">
        <v>-1.1695768866701799</v>
      </c>
      <c r="I16453" s="20">
        <v>-0.730974465109403</v>
      </c>
      <c r="J16453" s="28">
        <v>0.46479475001008902</v>
      </c>
      <c r="K16453" s="29">
        <v>0.98289565623980701</v>
      </c>
    </row>
    <row r="16454" spans="1:11" x14ac:dyDescent="0.35">
      <c r="A16454" s="9" t="str">
        <f>HYPERLINK("http://www.ensembl.org/id/WBGene00008444", "WBGene00008444")</f>
        <v>WBGene00008444</v>
      </c>
      <c r="B16454" s="9" t="str">
        <f>HYPERLINK("http://www.ncbi.nlm.nih.gov/gene/174986", "174986")</f>
        <v>174986</v>
      </c>
      <c r="C16454" s="9"/>
      <c r="D16454" t="str">
        <f>"tbc-14"</f>
        <v>tbc-14</v>
      </c>
      <c r="E16454" t="s">
        <v>1649</v>
      </c>
      <c r="F16454" t="s">
        <v>11</v>
      </c>
      <c r="G16454" t="s">
        <v>6175</v>
      </c>
      <c r="H16454" s="12">
        <v>-1.1544080571987501</v>
      </c>
      <c r="I16454" s="20">
        <v>-0.80021529940348302</v>
      </c>
      <c r="J16454" s="28">
        <v>0.42358606707278401</v>
      </c>
      <c r="K16454" s="29">
        <v>0.98289565623980701</v>
      </c>
    </row>
    <row r="16455" spans="1:11" x14ac:dyDescent="0.35">
      <c r="A16455" s="9" t="str">
        <f>HYPERLINK("http://www.ensembl.org/id/WBGene00012894", "WBGene00012894")</f>
        <v>WBGene00012894</v>
      </c>
      <c r="B16455" s="9" t="str">
        <f>HYPERLINK("http://www.ncbi.nlm.nih.gov/gene/174900", "174900")</f>
        <v>174900</v>
      </c>
      <c r="C16455" s="9"/>
      <c r="D16455" t="str">
        <f>"tbc-17"</f>
        <v>tbc-17</v>
      </c>
      <c r="E16455" t="s">
        <v>1649</v>
      </c>
      <c r="F16455" t="s">
        <v>11</v>
      </c>
      <c r="G16455" t="s">
        <v>6175</v>
      </c>
      <c r="H16455" s="12">
        <v>-1.05112244682753</v>
      </c>
      <c r="I16455" s="20">
        <v>-0.26057392025252601</v>
      </c>
      <c r="J16455" s="28">
        <v>0.79442110365576102</v>
      </c>
      <c r="K16455" s="29">
        <v>0.98289565623980701</v>
      </c>
    </row>
    <row r="16456" spans="1:11" x14ac:dyDescent="0.35">
      <c r="A16456" s="9" t="str">
        <f>HYPERLINK("http://www.ensembl.org/id/WBGene00018281", "WBGene00018281")</f>
        <v>WBGene00018281</v>
      </c>
      <c r="B16456" s="9" t="str">
        <f>HYPERLINK("http://www.ncbi.nlm.nih.gov/gene/181091", "181091")</f>
        <v>181091</v>
      </c>
      <c r="C16456" s="9" t="str">
        <f>HYPERLINK("http://www.ncbi.nlm.nih.gov/gene/27352", "27352")</f>
        <v>27352</v>
      </c>
      <c r="D16456" t="str">
        <f>"tbc-18"</f>
        <v>tbc-18</v>
      </c>
      <c r="E16456" t="s">
        <v>1649</v>
      </c>
      <c r="F16456" t="s">
        <v>11</v>
      </c>
      <c r="G16456" t="s">
        <v>5175</v>
      </c>
      <c r="H16456" s="12">
        <v>1.22300522634972</v>
      </c>
      <c r="I16456" s="20">
        <v>0.89818524095705499</v>
      </c>
      <c r="J16456" s="28">
        <v>0.36908680049998599</v>
      </c>
      <c r="K16456" s="29">
        <v>0.98289565623980701</v>
      </c>
    </row>
    <row r="16457" spans="1:11" x14ac:dyDescent="0.35">
      <c r="A16457" s="9" t="str">
        <f>HYPERLINK("http://www.ensembl.org/id/WBGene00007849", "WBGene00007849")</f>
        <v>WBGene00007849</v>
      </c>
      <c r="B16457" s="9" t="str">
        <f>HYPERLINK("http://www.ncbi.nlm.nih.gov/gene/181511", "181511")</f>
        <v>181511</v>
      </c>
      <c r="C16457" s="9"/>
      <c r="D16457" t="str">
        <f>"tbc-19"</f>
        <v>tbc-19</v>
      </c>
      <c r="E16457" t="s">
        <v>1649</v>
      </c>
      <c r="F16457" t="s">
        <v>11</v>
      </c>
      <c r="G16457" t="s">
        <v>5175</v>
      </c>
      <c r="H16457" s="12">
        <v>1.1741256339603601</v>
      </c>
      <c r="I16457" s="20">
        <v>0.75091565838488405</v>
      </c>
      <c r="J16457" s="28">
        <v>0.45270341611996501</v>
      </c>
      <c r="K16457" s="29">
        <v>0.98289565623980701</v>
      </c>
    </row>
    <row r="16458" spans="1:11" x14ac:dyDescent="0.35">
      <c r="A16458" s="9" t="str">
        <f>HYPERLINK("http://www.ensembl.org/id/WBGene00015410", "WBGene00015410")</f>
        <v>WBGene00015410</v>
      </c>
      <c r="B16458" s="9" t="str">
        <f>HYPERLINK("http://www.ncbi.nlm.nih.gov/gene/182185", "182185")</f>
        <v>182185</v>
      </c>
      <c r="C16458" s="9" t="str">
        <f>HYPERLINK("http://www.ncbi.nlm.nih.gov/gene/79774", "79774")</f>
        <v>79774</v>
      </c>
      <c r="D16458" t="str">
        <f>"tbc-6"</f>
        <v>tbc-6</v>
      </c>
      <c r="E16458" t="s">
        <v>8843</v>
      </c>
      <c r="F16458" t="s">
        <v>11</v>
      </c>
      <c r="H16458" s="12">
        <v>-1.20103317481306</v>
      </c>
      <c r="I16458" s="20">
        <v>-0.75898294602954297</v>
      </c>
      <c r="J16458" s="28">
        <v>0.44786275852125901</v>
      </c>
      <c r="K16458" s="29">
        <v>0.98289565623980701</v>
      </c>
    </row>
    <row r="16459" spans="1:11" x14ac:dyDescent="0.35">
      <c r="A16459" s="9" t="str">
        <f>HYPERLINK("http://www.ensembl.org/id/WBGene00016292", "WBGene00016292")</f>
        <v>WBGene00016292</v>
      </c>
      <c r="B16459" s="9" t="str">
        <f>HYPERLINK("http://www.ncbi.nlm.nih.gov/gene/180784", "180784")</f>
        <v>180784</v>
      </c>
      <c r="C16459" s="9" t="str">
        <f>HYPERLINK("http://www.ncbi.nlm.nih.gov/gene/57465", "57465")</f>
        <v>57465</v>
      </c>
      <c r="D16459" t="str">
        <f>"tbc-7"</f>
        <v>tbc-7</v>
      </c>
      <c r="E16459" t="s">
        <v>1649</v>
      </c>
      <c r="F16459" t="s">
        <v>11</v>
      </c>
      <c r="G16459" t="s">
        <v>6245</v>
      </c>
      <c r="H16459" s="12">
        <v>-1.0565045855442901</v>
      </c>
      <c r="I16459" s="20">
        <v>-0.28855837428599601</v>
      </c>
      <c r="J16459" s="28">
        <v>0.77291935347684804</v>
      </c>
      <c r="K16459" s="29">
        <v>0.98289565623980701</v>
      </c>
    </row>
    <row r="16460" spans="1:11" x14ac:dyDescent="0.35">
      <c r="A16460" s="9" t="str">
        <f>HYPERLINK("http://www.ensembl.org/id/WBGene00009987", "WBGene00009987")</f>
        <v>WBGene00009987</v>
      </c>
      <c r="B16460" s="9" t="str">
        <f>HYPERLINK("http://www.ncbi.nlm.nih.gov/gene/186176", "186176")</f>
        <v>186176</v>
      </c>
      <c r="C16460" s="9" t="str">
        <f>HYPERLINK("http://www.ncbi.nlm.nih.gov/gene/1155", "1155")</f>
        <v>1155</v>
      </c>
      <c r="D16460" t="str">
        <f>"tbcb-1"</f>
        <v>tbcb-1</v>
      </c>
      <c r="E16460" t="s">
        <v>8586</v>
      </c>
      <c r="F16460" t="s">
        <v>11</v>
      </c>
      <c r="G16460" t="s">
        <v>8587</v>
      </c>
      <c r="H16460" s="12">
        <v>-1.18491543152592</v>
      </c>
      <c r="I16460" s="20">
        <v>-0.87486977985105396</v>
      </c>
      <c r="J16460" s="28">
        <v>0.38164476382644502</v>
      </c>
      <c r="K16460" s="29">
        <v>0.98289565623980701</v>
      </c>
    </row>
    <row r="16461" spans="1:11" x14ac:dyDescent="0.35">
      <c r="A16461" s="9" t="str">
        <f>HYPERLINK("http://www.ensembl.org/id/WBGene00044609", "WBGene00044609")</f>
        <v>WBGene00044609</v>
      </c>
      <c r="B16461" s="9" t="str">
        <f>HYPERLINK("http://www.ncbi.nlm.nih.gov/gene/3896741", "3896741")</f>
        <v>3896741</v>
      </c>
      <c r="C16461" s="9"/>
      <c r="D16461" t="str">
        <f>"tbcc-1"</f>
        <v>tbcc-1</v>
      </c>
      <c r="E16461" t="s">
        <v>9330</v>
      </c>
      <c r="F16461" t="s">
        <v>11</v>
      </c>
      <c r="G16461" t="s">
        <v>9331</v>
      </c>
      <c r="H16461" s="12">
        <v>-1.2389600448631899</v>
      </c>
      <c r="I16461" s="20">
        <v>-0.91778002482156296</v>
      </c>
      <c r="J16461" s="28">
        <v>0.35873404196685399</v>
      </c>
      <c r="K16461" s="29">
        <v>0.98289565623980701</v>
      </c>
    </row>
    <row r="16462" spans="1:11" x14ac:dyDescent="0.35">
      <c r="A16462" s="9" t="str">
        <f>HYPERLINK("http://www.ensembl.org/id/WBGene00016352", "WBGene00016352")</f>
        <v>WBGene00016352</v>
      </c>
      <c r="B16462" s="9" t="str">
        <f>HYPERLINK("http://www.ncbi.nlm.nih.gov/gene/173832", "173832")</f>
        <v>173832</v>
      </c>
      <c r="C16462" s="9" t="str">
        <f>HYPERLINK("http://www.ncbi.nlm.nih.gov/gene/93627", "93627")</f>
        <v>93627</v>
      </c>
      <c r="D16462" t="str">
        <f>"tbck-1"</f>
        <v>tbck-1</v>
      </c>
      <c r="E16462" t="s">
        <v>9833</v>
      </c>
      <c r="F16462" t="s">
        <v>11</v>
      </c>
      <c r="G16462" t="s">
        <v>9834</v>
      </c>
      <c r="H16462" s="12">
        <v>-1.31853030730405</v>
      </c>
      <c r="I16462" s="20">
        <v>-1.1887102874040101</v>
      </c>
      <c r="J16462" s="28">
        <v>0.23455369102213899</v>
      </c>
      <c r="K16462" s="29">
        <v>0.98289565623980701</v>
      </c>
    </row>
    <row r="16463" spans="1:11" x14ac:dyDescent="0.35">
      <c r="A16463" s="9" t="str">
        <f>HYPERLINK("http://www.ensembl.org/id/WBGene00006550", "WBGene00006550")</f>
        <v>WBGene00006550</v>
      </c>
      <c r="B16463" s="9" t="str">
        <f>HYPERLINK("http://www.ncbi.nlm.nih.gov/gene/183272", "183272")</f>
        <v>183272</v>
      </c>
      <c r="C16463" s="9"/>
      <c r="D16463" t="str">
        <f>"tbx-31"</f>
        <v>tbx-31</v>
      </c>
      <c r="E16463" t="s">
        <v>10116</v>
      </c>
      <c r="F16463" t="s">
        <v>11</v>
      </c>
      <c r="G16463" t="s">
        <v>10078</v>
      </c>
      <c r="H16463" s="12">
        <v>-5.00955858130758</v>
      </c>
      <c r="I16463" s="20">
        <v>-1.1453839037494</v>
      </c>
      <c r="J16463" s="28">
        <v>0.252050163097711</v>
      </c>
      <c r="K16463" s="29">
        <v>0.98289565623980701</v>
      </c>
    </row>
    <row r="16464" spans="1:11" x14ac:dyDescent="0.35">
      <c r="A16464" s="9" t="str">
        <f>HYPERLINK("http://www.ensembl.org/id/WBGene00006551", "WBGene00006551")</f>
        <v>WBGene00006551</v>
      </c>
      <c r="B16464" s="9" t="str">
        <f>HYPERLINK("http://www.ncbi.nlm.nih.gov/gene/191303", "191303")</f>
        <v>191303</v>
      </c>
      <c r="C16464" s="9"/>
      <c r="D16464" t="str">
        <f>"tbx-32"</f>
        <v>tbx-32</v>
      </c>
      <c r="E16464" t="s">
        <v>10077</v>
      </c>
      <c r="F16464" t="s">
        <v>11</v>
      </c>
      <c r="G16464" t="s">
        <v>10078</v>
      </c>
      <c r="H16464" s="12">
        <v>-2.7203504426903602</v>
      </c>
      <c r="I16464" s="20">
        <v>-0.92344455908661804</v>
      </c>
      <c r="J16464" s="28">
        <v>0.35577557970902002</v>
      </c>
      <c r="K16464" s="29">
        <v>0.98289565623980701</v>
      </c>
    </row>
    <row r="16465" spans="1:11" x14ac:dyDescent="0.35">
      <c r="A16465" s="9" t="str">
        <f>HYPERLINK("http://www.ensembl.org/id/WBGene00006552", "WBGene00006552")</f>
        <v>WBGene00006552</v>
      </c>
      <c r="B16465" s="9" t="str">
        <f>HYPERLINK("http://www.ncbi.nlm.nih.gov/gene/190493", "190493")</f>
        <v>190493</v>
      </c>
      <c r="C16465" s="9"/>
      <c r="D16465" t="str">
        <f>"tbx-33"</f>
        <v>tbx-33</v>
      </c>
      <c r="E16465" t="s">
        <v>8093</v>
      </c>
      <c r="F16465" t="s">
        <v>11</v>
      </c>
      <c r="G16465" t="s">
        <v>643</v>
      </c>
      <c r="H16465" s="12">
        <v>-1.1604157087868301</v>
      </c>
      <c r="I16465" s="20">
        <v>-0.364724172078916</v>
      </c>
      <c r="J16465" s="28">
        <v>0.71531731305252499</v>
      </c>
      <c r="K16465" s="29">
        <v>0.98289565623980701</v>
      </c>
    </row>
    <row r="16466" spans="1:11" x14ac:dyDescent="0.35">
      <c r="A16466" s="9" t="str">
        <f>HYPERLINK("http://www.ensembl.org/id/WBGene00006554", "WBGene00006554")</f>
        <v>WBGene00006554</v>
      </c>
      <c r="B16466" s="9" t="str">
        <f>HYPERLINK("http://www.ncbi.nlm.nih.gov/gene/191239", "191239")</f>
        <v>191239</v>
      </c>
      <c r="C16466" s="9"/>
      <c r="D16466" t="str">
        <f>"tbx-35"</f>
        <v>tbx-35</v>
      </c>
      <c r="E16466" t="s">
        <v>10073</v>
      </c>
      <c r="F16466" t="s">
        <v>11</v>
      </c>
      <c r="G16466" t="s">
        <v>10074</v>
      </c>
      <c r="H16466" s="12">
        <v>-2.5649126363055399</v>
      </c>
      <c r="I16466" s="20">
        <v>-0.60955634240362</v>
      </c>
      <c r="J16466" s="28">
        <v>0.54215573914589299</v>
      </c>
      <c r="K16466" s="29">
        <v>0.98289565623980701</v>
      </c>
    </row>
    <row r="16467" spans="1:11" x14ac:dyDescent="0.35">
      <c r="A16467" s="9" t="str">
        <f>HYPERLINK("http://www.ensembl.org/id/WBGene00006556", "WBGene00006556")</f>
        <v>WBGene00006556</v>
      </c>
      <c r="B16467" s="9" t="str">
        <f>HYPERLINK("http://www.ncbi.nlm.nih.gov/gene/189977", "189977")</f>
        <v>189977</v>
      </c>
      <c r="C16467" s="9"/>
      <c r="D16467" t="str">
        <f>"tbx-37"</f>
        <v>tbx-37</v>
      </c>
      <c r="E16467" t="s">
        <v>9921</v>
      </c>
      <c r="F16467" t="s">
        <v>11</v>
      </c>
      <c r="G16467" t="s">
        <v>9922</v>
      </c>
      <c r="H16467" s="12">
        <v>-1.3834548195309599</v>
      </c>
      <c r="I16467" s="20">
        <v>-0.49913868006366502</v>
      </c>
      <c r="J16467" s="28">
        <v>0.61768168975908899</v>
      </c>
      <c r="K16467" s="29">
        <v>0.98289565623980701</v>
      </c>
    </row>
    <row r="16468" spans="1:11" x14ac:dyDescent="0.35">
      <c r="A16468" s="9" t="str">
        <f>HYPERLINK("http://www.ensembl.org/id/WBGene00006559", "WBGene00006559")</f>
        <v>WBGene00006559</v>
      </c>
      <c r="B16468" s="9" t="str">
        <f>HYPERLINK("http://www.ncbi.nlm.nih.gov/gene/190679", "190679")</f>
        <v>190679</v>
      </c>
      <c r="C16468" s="9"/>
      <c r="D16468" t="str">
        <f>"tbx-40"</f>
        <v>tbx-40</v>
      </c>
      <c r="E16468" t="s">
        <v>10084</v>
      </c>
      <c r="F16468" t="s">
        <v>11</v>
      </c>
      <c r="G16468" t="s">
        <v>643</v>
      </c>
      <c r="H16468" s="12">
        <v>-3.0091613645874902</v>
      </c>
      <c r="I16468" s="20">
        <v>-1.05429712646919</v>
      </c>
      <c r="J16468" s="28">
        <v>0.291746903936347</v>
      </c>
      <c r="K16468" s="29">
        <v>0.98289565623980701</v>
      </c>
    </row>
    <row r="16469" spans="1:11" x14ac:dyDescent="0.35">
      <c r="A16469" s="9" t="str">
        <f>HYPERLINK("http://www.ensembl.org/id/WBGene00044798", "WBGene00044798")</f>
        <v>WBGene00044798</v>
      </c>
      <c r="B16469" s="9" t="str">
        <f>HYPERLINK("http://www.ncbi.nlm.nih.gov/gene/4363053", "4363053")</f>
        <v>4363053</v>
      </c>
      <c r="C16469" s="9"/>
      <c r="D16469" t="str">
        <f>"tbx-43"</f>
        <v>tbx-43</v>
      </c>
      <c r="E16469" t="s">
        <v>4647</v>
      </c>
      <c r="F16469" t="s">
        <v>11</v>
      </c>
      <c r="G16469" t="s">
        <v>4648</v>
      </c>
      <c r="H16469" s="12">
        <v>1.5392157691543</v>
      </c>
      <c r="I16469" s="20">
        <v>1.0559910950485101</v>
      </c>
      <c r="J16469" s="28">
        <v>0.29097228327484898</v>
      </c>
      <c r="K16469" s="29">
        <v>0.98289565623980701</v>
      </c>
    </row>
    <row r="16470" spans="1:11" x14ac:dyDescent="0.35">
      <c r="A16470" s="9" t="str">
        <f>HYPERLINK("http://www.ensembl.org/id/WBGene00006544", "WBGene00006544")</f>
        <v>WBGene00006544</v>
      </c>
      <c r="B16470" s="9" t="str">
        <f>HYPERLINK("http://www.ncbi.nlm.nih.gov/gene/260030", "260030")</f>
        <v>260030</v>
      </c>
      <c r="C16470" s="9"/>
      <c r="D16470" t="str">
        <f>"tbx-7"</f>
        <v>tbx-7</v>
      </c>
      <c r="E16470" t="s">
        <v>4601</v>
      </c>
      <c r="F16470" t="s">
        <v>11</v>
      </c>
      <c r="G16470" t="s">
        <v>4602</v>
      </c>
      <c r="H16470" s="12">
        <v>1.6256514730376299</v>
      </c>
      <c r="I16470" s="20">
        <v>0.88305375180963797</v>
      </c>
      <c r="J16470" s="28">
        <v>0.37720723024667202</v>
      </c>
      <c r="K16470" s="29">
        <v>0.98289565623980701</v>
      </c>
    </row>
    <row r="16471" spans="1:11" x14ac:dyDescent="0.35">
      <c r="A16471" s="9" t="str">
        <f>HYPERLINK("http://www.ensembl.org/id/WBGene00006545", "WBGene00006545")</f>
        <v>WBGene00006545</v>
      </c>
      <c r="B16471" s="9" t="str">
        <f>HYPERLINK("http://www.ncbi.nlm.nih.gov/gene/176450", "176450")</f>
        <v>176450</v>
      </c>
      <c r="C16471" s="9"/>
      <c r="D16471" t="str">
        <f>"tbx-8"</f>
        <v>tbx-8</v>
      </c>
      <c r="E16471" t="s">
        <v>4984</v>
      </c>
      <c r="F16471" t="s">
        <v>11</v>
      </c>
      <c r="G16471" t="s">
        <v>4985</v>
      </c>
      <c r="H16471" s="12">
        <v>1.2705048037617801</v>
      </c>
      <c r="I16471" s="20">
        <v>0.67407103927280299</v>
      </c>
      <c r="J16471" s="28">
        <v>0.50026615061737101</v>
      </c>
      <c r="K16471" s="29">
        <v>0.98289565623980701</v>
      </c>
    </row>
    <row r="16472" spans="1:11" x14ac:dyDescent="0.35">
      <c r="A16472" s="9" t="str">
        <f>HYPERLINK("http://www.ensembl.org/id/WBGene00006546", "WBGene00006546")</f>
        <v>WBGene00006546</v>
      </c>
      <c r="B16472" s="9" t="str">
        <f>HYPERLINK("http://www.ncbi.nlm.nih.gov/gene/176449", "176449")</f>
        <v>176449</v>
      </c>
      <c r="C16472" s="9"/>
      <c r="D16472" t="str">
        <f>"tbx-9"</f>
        <v>tbx-9</v>
      </c>
      <c r="E16472" t="s">
        <v>9881</v>
      </c>
      <c r="F16472" t="s">
        <v>11</v>
      </c>
      <c r="G16472" t="s">
        <v>9882</v>
      </c>
      <c r="H16472" s="12">
        <v>-1.3451013464869901</v>
      </c>
      <c r="I16472" s="20">
        <v>-1.01766728833668</v>
      </c>
      <c r="J16472" s="28">
        <v>0.30883609789643601</v>
      </c>
      <c r="K16472" s="29">
        <v>0.98289565623980701</v>
      </c>
    </row>
    <row r="16473" spans="1:11" x14ac:dyDescent="0.35">
      <c r="A16473" s="9" t="str">
        <f>HYPERLINK("http://www.ensembl.org/id/WBGene00010990", "WBGene00010990")</f>
        <v>WBGene00010990</v>
      </c>
      <c r="B16473" s="9" t="str">
        <f>HYPERLINK("http://www.ncbi.nlm.nih.gov/gene/174683", "174683")</f>
        <v>174683</v>
      </c>
      <c r="C16473" s="9"/>
      <c r="D16473" t="str">
        <f>"tceb-3"</f>
        <v>tceb-3</v>
      </c>
      <c r="E16473" t="s">
        <v>7522</v>
      </c>
      <c r="F16473" t="s">
        <v>11</v>
      </c>
      <c r="G16473" t="s">
        <v>7523</v>
      </c>
      <c r="H16473" s="12">
        <v>-1.13054866369999</v>
      </c>
      <c r="I16473" s="20">
        <v>-0.64571533276966897</v>
      </c>
      <c r="J16473" s="28">
        <v>0.51846372888828496</v>
      </c>
      <c r="K16473" s="29">
        <v>0.98289565623980701</v>
      </c>
    </row>
    <row r="16474" spans="1:11" x14ac:dyDescent="0.35">
      <c r="A16474" s="9" t="str">
        <f>HYPERLINK("http://www.ensembl.org/id/WBGene00006561", "WBGene00006561")</f>
        <v>WBGene00006561</v>
      </c>
      <c r="B16474" s="9" t="str">
        <f>HYPERLINK("http://www.ncbi.nlm.nih.gov/gene/176832", "176832")</f>
        <v>176832</v>
      </c>
      <c r="C16474" s="9"/>
      <c r="D16474" t="str">
        <f>"tcl-2"</f>
        <v>tcl-2</v>
      </c>
      <c r="E16474" t="s">
        <v>5809</v>
      </c>
      <c r="F16474" t="s">
        <v>11</v>
      </c>
      <c r="G16474" t="s">
        <v>5810</v>
      </c>
      <c r="H16474" s="12">
        <v>1.09879155270983</v>
      </c>
      <c r="I16474" s="20">
        <v>0.38541868798542001</v>
      </c>
      <c r="J16474" s="28">
        <v>0.69992723902771603</v>
      </c>
      <c r="K16474" s="29">
        <v>0.98289565623980701</v>
      </c>
    </row>
    <row r="16475" spans="1:11" x14ac:dyDescent="0.35">
      <c r="A16475" s="9" t="str">
        <f>HYPERLINK("http://www.ensembl.org/id/WBGene00009122", "WBGene00009122")</f>
        <v>WBGene00009122</v>
      </c>
      <c r="B16475" s="9" t="str">
        <f>HYPERLINK("http://www.ncbi.nlm.nih.gov/gene/172944", "172944")</f>
        <v>172944</v>
      </c>
      <c r="C16475" s="9" t="str">
        <f>HYPERLINK("http://www.ncbi.nlm.nih.gov/gene/7178", "7178")</f>
        <v>7178</v>
      </c>
      <c r="D16475" t="str">
        <f>"tct-1"</f>
        <v>tct-1</v>
      </c>
      <c r="E16475" t="s">
        <v>7387</v>
      </c>
      <c r="F16475" t="s">
        <v>11</v>
      </c>
      <c r="G16475" t="s">
        <v>7388</v>
      </c>
      <c r="H16475" s="12">
        <v>-1.1231044630013001</v>
      </c>
      <c r="I16475" s="20">
        <v>-0.64899163572135699</v>
      </c>
      <c r="J16475" s="28">
        <v>0.51634378258747504</v>
      </c>
      <c r="K16475" s="29">
        <v>0.98289565623980701</v>
      </c>
    </row>
    <row r="16476" spans="1:11" x14ac:dyDescent="0.35">
      <c r="A16476" s="9" t="str">
        <f>HYPERLINK("http://www.ensembl.org/id/WBGene00016201", "WBGene00016201")</f>
        <v>WBGene00016201</v>
      </c>
      <c r="B16476" s="9" t="str">
        <f>HYPERLINK("http://www.ncbi.nlm.nih.gov/gene/175836", "175836")</f>
        <v>175836</v>
      </c>
      <c r="C16476" s="9" t="str">
        <f>HYPERLINK("http://www.ncbi.nlm.nih.gov/gene/6999", "6999")</f>
        <v>6999</v>
      </c>
      <c r="D16476" t="str">
        <f>"tdo-2"</f>
        <v>tdo-2</v>
      </c>
      <c r="E16476" t="s">
        <v>9058</v>
      </c>
      <c r="F16476" t="s">
        <v>11</v>
      </c>
      <c r="G16476" t="s">
        <v>9059</v>
      </c>
      <c r="H16476" s="12">
        <v>-1.2173711216402601</v>
      </c>
      <c r="I16476" s="20">
        <v>-0.89386461388038396</v>
      </c>
      <c r="J16476" s="28">
        <v>0.37139433285067303</v>
      </c>
      <c r="K16476" s="29">
        <v>0.98289565623980701</v>
      </c>
    </row>
    <row r="16477" spans="1:11" x14ac:dyDescent="0.35">
      <c r="A16477" s="9" t="str">
        <f>HYPERLINK("http://www.ensembl.org/id/WBGene00006514", "WBGene00006514")</f>
        <v>WBGene00006514</v>
      </c>
      <c r="B16477" s="9" t="str">
        <f>HYPERLINK("http://www.ncbi.nlm.nih.gov/gene/174436", "174436")</f>
        <v>174436</v>
      </c>
      <c r="C16477" s="9"/>
      <c r="D16477" t="str">
        <f>"tdp-1"</f>
        <v>tdp-1</v>
      </c>
      <c r="E16477" t="s">
        <v>8491</v>
      </c>
      <c r="F16477" t="s">
        <v>11</v>
      </c>
      <c r="G16477" t="s">
        <v>8492</v>
      </c>
      <c r="H16477" s="12">
        <v>-1.18040863974106</v>
      </c>
      <c r="I16477" s="20">
        <v>-0.80614593021511904</v>
      </c>
      <c r="J16477" s="28">
        <v>0.42015871092719498</v>
      </c>
      <c r="K16477" s="29">
        <v>0.98289565623980701</v>
      </c>
    </row>
    <row r="16478" spans="1:11" x14ac:dyDescent="0.35">
      <c r="A16478" s="9" t="str">
        <f>HYPERLINK("http://www.ensembl.org/id/WBGene00006563", "WBGene00006563")</f>
        <v>WBGene00006563</v>
      </c>
      <c r="B16478" s="9" t="str">
        <f>HYPERLINK("http://www.ncbi.nlm.nih.gov/gene/176561", "176561")</f>
        <v>176561</v>
      </c>
      <c r="C16478" s="9" t="str">
        <f>HYPERLINK("http://www.ncbi.nlm.nih.gov/gene/10421", "10421")</f>
        <v>10421</v>
      </c>
      <c r="D16478" t="str">
        <f>"teg-1"</f>
        <v>teg-1</v>
      </c>
      <c r="E16478" t="s">
        <v>6627</v>
      </c>
      <c r="F16478" t="s">
        <v>11</v>
      </c>
      <c r="G16478" t="s">
        <v>6906</v>
      </c>
      <c r="H16478" s="12">
        <v>-1.0961975352813</v>
      </c>
      <c r="I16478" s="20">
        <v>-0.40516209040022599</v>
      </c>
      <c r="J16478" s="28">
        <v>0.68535836877062595</v>
      </c>
      <c r="K16478" s="29">
        <v>0.98289565623980701</v>
      </c>
    </row>
    <row r="16479" spans="1:11" x14ac:dyDescent="0.35">
      <c r="A16479" s="9" t="str">
        <f>HYPERLINK("http://www.ensembl.org/id/WBGene00019323", "WBGene00019323")</f>
        <v>WBGene00019323</v>
      </c>
      <c r="B16479" s="9" t="str">
        <f>HYPERLINK("http://www.ncbi.nlm.nih.gov/gene/172406", "172406")</f>
        <v>172406</v>
      </c>
      <c r="C16479" s="9" t="str">
        <f>HYPERLINK("http://www.ncbi.nlm.nih.gov/gene/23450", "23450")</f>
        <v>23450</v>
      </c>
      <c r="D16479" t="str">
        <f>"teg-4"</f>
        <v>teg-4</v>
      </c>
      <c r="E16479" t="s">
        <v>6627</v>
      </c>
      <c r="F16479" t="s">
        <v>11</v>
      </c>
      <c r="G16479" t="s">
        <v>6628</v>
      </c>
      <c r="H16479" s="12">
        <v>-1.08100846297095</v>
      </c>
      <c r="I16479" s="20">
        <v>-0.38085415808554202</v>
      </c>
      <c r="J16479" s="28">
        <v>0.703311469943253</v>
      </c>
      <c r="K16479" s="29">
        <v>0.98289565623980701</v>
      </c>
    </row>
    <row r="16480" spans="1:11" x14ac:dyDescent="0.35">
      <c r="A16480" s="9" t="str">
        <f>HYPERLINK("http://www.ensembl.org/id/WBGene00015217", "WBGene00015217")</f>
        <v>WBGene00015217</v>
      </c>
      <c r="B16480" s="9" t="str">
        <f>HYPERLINK("http://www.ncbi.nlm.nih.gov/gene/177515", "177515")</f>
        <v>177515</v>
      </c>
      <c r="C16480" s="9" t="str">
        <f>HYPERLINK("http://www.ncbi.nlm.nih.gov/gene/26136", "26136")</f>
        <v>26136</v>
      </c>
      <c r="D16480" t="str">
        <f>"tes-1"</f>
        <v>tes-1</v>
      </c>
      <c r="E16480" t="s">
        <v>5267</v>
      </c>
      <c r="F16480" t="s">
        <v>11</v>
      </c>
      <c r="G16480" t="s">
        <v>5268</v>
      </c>
      <c r="H16480" s="12">
        <v>1.2000649488296899</v>
      </c>
      <c r="I16480" s="20">
        <v>0.91940340798565301</v>
      </c>
      <c r="J16480" s="28">
        <v>0.357884607425212</v>
      </c>
      <c r="K16480" s="29">
        <v>0.98289565623980701</v>
      </c>
    </row>
    <row r="16481" spans="1:11" x14ac:dyDescent="0.35">
      <c r="A16481" s="9" t="str">
        <f>HYPERLINK("http://www.ensembl.org/id/WBGene00016918", "WBGene00016918")</f>
        <v>WBGene00016918</v>
      </c>
      <c r="B16481" s="9" t="str">
        <f>HYPERLINK("http://www.ncbi.nlm.nih.gov/gene/177010", "177010")</f>
        <v>177010</v>
      </c>
      <c r="C16481" s="9" t="str">
        <f>HYPERLINK("http://www.ncbi.nlm.nih.gov/gene/50859", "50859")</f>
        <v>50859</v>
      </c>
      <c r="D16481" t="str">
        <f>"test-1"</f>
        <v>test-1</v>
      </c>
      <c r="E16481" t="s">
        <v>7759</v>
      </c>
      <c r="F16481" t="s">
        <v>11</v>
      </c>
      <c r="G16481" t="s">
        <v>325</v>
      </c>
      <c r="H16481" s="12">
        <v>-1.14267700546915</v>
      </c>
      <c r="I16481" s="20">
        <v>-0.67241237480204596</v>
      </c>
      <c r="J16481" s="28">
        <v>0.50132120691638704</v>
      </c>
      <c r="K16481" s="29">
        <v>0.98289565623980701</v>
      </c>
    </row>
    <row r="16482" spans="1:11" x14ac:dyDescent="0.35">
      <c r="A16482" s="9" t="str">
        <f>HYPERLINK("http://www.ensembl.org/id/WBGene00006565", "WBGene00006565")</f>
        <v>WBGene00006565</v>
      </c>
      <c r="B16482" s="9" t="str">
        <f>HYPERLINK("http://www.ncbi.nlm.nih.gov/gene/173277", "173277")</f>
        <v>173277</v>
      </c>
      <c r="C16482" s="9"/>
      <c r="D16482" t="str">
        <f>"tfg-1"</f>
        <v>tfg-1</v>
      </c>
      <c r="E16482" t="s">
        <v>6777</v>
      </c>
      <c r="F16482" t="s">
        <v>11</v>
      </c>
      <c r="G16482" t="s">
        <v>6778</v>
      </c>
      <c r="H16482" s="12">
        <v>-1.0884854653334299</v>
      </c>
      <c r="I16482" s="20">
        <v>-0.42880286898070702</v>
      </c>
      <c r="J16482" s="28">
        <v>0.66806669082346204</v>
      </c>
      <c r="K16482" s="29">
        <v>0.98289565623980701</v>
      </c>
    </row>
    <row r="16483" spans="1:11" x14ac:dyDescent="0.35">
      <c r="A16483" s="9" t="str">
        <f>HYPERLINK("http://www.ensembl.org/id/WBGene00014114", "WBGene00014114")</f>
        <v>WBGene00014114</v>
      </c>
      <c r="B16483" s="9" t="str">
        <f>HYPERLINK("http://www.ncbi.nlm.nih.gov/gene/179419", "179419")</f>
        <v>179419</v>
      </c>
      <c r="C16483" s="9" t="str">
        <f>HYPERLINK("http://www.ncbi.nlm.nih.gov/gene/9330", "9330")</f>
        <v>9330</v>
      </c>
      <c r="D16483" t="str">
        <f>"tftc-3"</f>
        <v>tftc-3</v>
      </c>
      <c r="E16483" t="s">
        <v>8087</v>
      </c>
      <c r="F16483" t="s">
        <v>11</v>
      </c>
      <c r="G16483" t="s">
        <v>9638</v>
      </c>
      <c r="H16483" s="12">
        <v>-1.27069188181346</v>
      </c>
      <c r="I16483" s="20">
        <v>-1.16151371511017</v>
      </c>
      <c r="J16483" s="28">
        <v>0.245433048930186</v>
      </c>
      <c r="K16483" s="29">
        <v>0.98289565623980701</v>
      </c>
    </row>
    <row r="16484" spans="1:11" x14ac:dyDescent="0.35">
      <c r="A16484" s="9" t="str">
        <f>HYPERLINK("http://www.ensembl.org/id/WBGene00011368", "WBGene00011368")</f>
        <v>WBGene00011368</v>
      </c>
      <c r="B16484" s="9" t="str">
        <f>HYPERLINK("http://www.ncbi.nlm.nih.gov/gene/175520", "175520")</f>
        <v>175520</v>
      </c>
      <c r="C16484" s="9" t="str">
        <f>HYPERLINK("http://www.ncbi.nlm.nih.gov/gene/9328", "9328")</f>
        <v>9328</v>
      </c>
      <c r="D16484" t="str">
        <f>"tftc-5"</f>
        <v>tftc-5</v>
      </c>
      <c r="E16484" t="s">
        <v>8087</v>
      </c>
      <c r="F16484" t="s">
        <v>11</v>
      </c>
      <c r="G16484" t="s">
        <v>8088</v>
      </c>
      <c r="H16484" s="12">
        <v>-1.16031405620307</v>
      </c>
      <c r="I16484" s="20">
        <v>-0.637153282046789</v>
      </c>
      <c r="J16484" s="28">
        <v>0.52402500498711702</v>
      </c>
      <c r="K16484" s="29">
        <v>0.98289565623980701</v>
      </c>
    </row>
    <row r="16485" spans="1:11" x14ac:dyDescent="0.35">
      <c r="A16485" s="9" t="str">
        <f>HYPERLINK("http://www.ensembl.org/id/WBGene00011742", "WBGene00011742")</f>
        <v>WBGene00011742</v>
      </c>
      <c r="B16485" s="9" t="str">
        <f>HYPERLINK("http://www.ncbi.nlm.nih.gov/gene/178137", "178137")</f>
        <v>178137</v>
      </c>
      <c r="C16485" s="9"/>
      <c r="D16485" t="str">
        <f>"tgn-38"</f>
        <v>tgn-38</v>
      </c>
      <c r="E16485" t="s">
        <v>8697</v>
      </c>
      <c r="F16485" t="s">
        <v>11</v>
      </c>
      <c r="G16485" t="s">
        <v>25</v>
      </c>
      <c r="H16485" s="12">
        <v>-1.1917633213194001</v>
      </c>
      <c r="I16485" s="20">
        <v>-0.90449649859844405</v>
      </c>
      <c r="J16485" s="28">
        <v>0.36573219016133102</v>
      </c>
      <c r="K16485" s="29">
        <v>0.98289565623980701</v>
      </c>
    </row>
    <row r="16486" spans="1:11" x14ac:dyDescent="0.35">
      <c r="A16486" s="9" t="str">
        <f>HYPERLINK("http://www.ensembl.org/id/WBGene00006567", "WBGene00006567")</f>
        <v>WBGene00006567</v>
      </c>
      <c r="B16486" s="9" t="str">
        <f>HYPERLINK("http://www.ncbi.nlm.nih.gov/gene/180244", "180244")</f>
        <v>180244</v>
      </c>
      <c r="C16486" s="9" t="str">
        <f>HYPERLINK("http://www.ncbi.nlm.nih.gov/gene/79691", "79691")</f>
        <v>79691</v>
      </c>
      <c r="D16486" t="str">
        <f>"tgt-2"</f>
        <v>tgt-2</v>
      </c>
      <c r="E16486" t="s">
        <v>9026</v>
      </c>
      <c r="F16486" t="s">
        <v>11</v>
      </c>
      <c r="G16486" t="s">
        <v>9027</v>
      </c>
      <c r="H16486" s="12">
        <v>-1.21544699766077</v>
      </c>
      <c r="I16486" s="20">
        <v>-0.86235777468869101</v>
      </c>
      <c r="J16486" s="28">
        <v>0.38849066904528101</v>
      </c>
      <c r="K16486" s="29">
        <v>0.98289565623980701</v>
      </c>
    </row>
    <row r="16487" spans="1:11" x14ac:dyDescent="0.35">
      <c r="A16487" s="9" t="str">
        <f>HYPERLINK("http://www.ensembl.org/id/WBGene00009858", "WBGene00009858")</f>
        <v>WBGene00009858</v>
      </c>
      <c r="B16487" s="9" t="str">
        <f>HYPERLINK("http://www.ncbi.nlm.nih.gov/gene/186006", "186006")</f>
        <v>186006</v>
      </c>
      <c r="C16487" s="9"/>
      <c r="D16487" t="str">
        <f>"thn-4"</f>
        <v>thn-4</v>
      </c>
      <c r="E16487" t="s">
        <v>20</v>
      </c>
      <c r="F16487" t="s">
        <v>11</v>
      </c>
      <c r="G16487" t="s">
        <v>2182</v>
      </c>
      <c r="H16487" s="12">
        <v>-2.4991590031922399</v>
      </c>
      <c r="I16487" s="20">
        <v>-0.26577412737581302</v>
      </c>
      <c r="J16487" s="28">
        <v>0.79041317015736101</v>
      </c>
      <c r="K16487" s="29">
        <v>0.98289565623980701</v>
      </c>
    </row>
    <row r="16488" spans="1:11" x14ac:dyDescent="0.35">
      <c r="A16488" s="9" t="str">
        <f>HYPERLINK("http://www.ensembl.org/id/WBGene00021992", "WBGene00021992")</f>
        <v>WBGene00021992</v>
      </c>
      <c r="B16488" s="9" t="str">
        <f>HYPERLINK("http://www.ncbi.nlm.nih.gov/gene/190415", "190415")</f>
        <v>190415</v>
      </c>
      <c r="C16488" s="9"/>
      <c r="D16488" t="str">
        <f>"thn-6"</f>
        <v>thn-6</v>
      </c>
      <c r="E16488" t="s">
        <v>20</v>
      </c>
      <c r="F16488" t="s">
        <v>11</v>
      </c>
      <c r="G16488" t="s">
        <v>2182</v>
      </c>
      <c r="H16488" s="12">
        <v>1.8785052558705799</v>
      </c>
      <c r="I16488" s="20">
        <v>0.49820192162767901</v>
      </c>
      <c r="J16488" s="28">
        <v>0.61834172816799104</v>
      </c>
      <c r="K16488" s="29">
        <v>0.98289565623980701</v>
      </c>
    </row>
    <row r="16489" spans="1:11" x14ac:dyDescent="0.35">
      <c r="A16489" s="9" t="str">
        <f>HYPERLINK("http://www.ensembl.org/id/WBGene00020172", "WBGene00020172")</f>
        <v>WBGene00020172</v>
      </c>
      <c r="B16489" s="9" t="str">
        <f>HYPERLINK("http://www.ncbi.nlm.nih.gov/gene/173460", "173460")</f>
        <v>173460</v>
      </c>
      <c r="C16489" s="9" t="str">
        <f>HYPERLINK("http://www.ncbi.nlm.nih.gov/gene/9984", "9984")</f>
        <v>9984</v>
      </c>
      <c r="D16489" t="str">
        <f>"thoc-1"</f>
        <v>thoc-1</v>
      </c>
      <c r="E16489" t="s">
        <v>7181</v>
      </c>
      <c r="F16489" t="s">
        <v>11</v>
      </c>
      <c r="G16489" t="s">
        <v>7424</v>
      </c>
      <c r="H16489" s="12">
        <v>-1.1248646078590201</v>
      </c>
      <c r="I16489" s="20">
        <v>-0.48429446777766799</v>
      </c>
      <c r="J16489" s="28">
        <v>0.62817690157564798</v>
      </c>
      <c r="K16489" s="29">
        <v>0.98289565623980701</v>
      </c>
    </row>
    <row r="16490" spans="1:11" x14ac:dyDescent="0.35">
      <c r="A16490" s="9" t="str">
        <f>HYPERLINK("http://www.ensembl.org/id/WBGene00009341", "WBGene00009341")</f>
        <v>WBGene00009341</v>
      </c>
      <c r="B16490" s="9" t="str">
        <f>HYPERLINK("http://www.ncbi.nlm.nih.gov/gene/172713", "172713")</f>
        <v>172713</v>
      </c>
      <c r="C16490" s="9"/>
      <c r="D16490" t="str">
        <f>"thoc-3"</f>
        <v>thoc-3</v>
      </c>
      <c r="E16490" t="s">
        <v>7181</v>
      </c>
      <c r="F16490" t="s">
        <v>11</v>
      </c>
      <c r="G16490" t="s">
        <v>8394</v>
      </c>
      <c r="H16490" s="12">
        <v>-1.17496951293195</v>
      </c>
      <c r="I16490" s="20">
        <v>-0.69281149735485303</v>
      </c>
      <c r="J16490" s="28">
        <v>0.48842785596908</v>
      </c>
      <c r="K16490" s="29">
        <v>0.98289565623980701</v>
      </c>
    </row>
    <row r="16491" spans="1:11" x14ac:dyDescent="0.35">
      <c r="A16491" s="9" t="str">
        <f>HYPERLINK("http://www.ensembl.org/id/WBGene00021311", "WBGene00021311")</f>
        <v>WBGene00021311</v>
      </c>
      <c r="B16491" s="9" t="str">
        <f>HYPERLINK("http://www.ncbi.nlm.nih.gov/gene/175735", "175735")</f>
        <v>175735</v>
      </c>
      <c r="C16491" s="9"/>
      <c r="D16491" t="str">
        <f>"thoc-5"</f>
        <v>thoc-5</v>
      </c>
      <c r="E16491" t="s">
        <v>7181</v>
      </c>
      <c r="F16491" t="s">
        <v>11</v>
      </c>
      <c r="G16491" t="s">
        <v>7661</v>
      </c>
      <c r="H16491" s="12">
        <v>-1.13802851474198</v>
      </c>
      <c r="I16491" s="20">
        <v>-0.58756580733403796</v>
      </c>
      <c r="J16491" s="28">
        <v>0.55682376735790096</v>
      </c>
      <c r="K16491" s="29">
        <v>0.98289565623980701</v>
      </c>
    </row>
    <row r="16492" spans="1:11" x14ac:dyDescent="0.35">
      <c r="A16492" s="9" t="str">
        <f>HYPERLINK("http://www.ensembl.org/id/WBGene00007195", "WBGene00007195")</f>
        <v>WBGene00007195</v>
      </c>
      <c r="B16492" s="9" t="str">
        <f>HYPERLINK("http://www.ncbi.nlm.nih.gov/gene/178353", "178353")</f>
        <v>178353</v>
      </c>
      <c r="C16492" s="9"/>
      <c r="D16492" t="str">
        <f>"thoc-7"</f>
        <v>thoc-7</v>
      </c>
      <c r="E16492" t="s">
        <v>7181</v>
      </c>
      <c r="F16492" t="s">
        <v>11</v>
      </c>
      <c r="G16492" t="s">
        <v>7182</v>
      </c>
      <c r="H16492" s="12">
        <v>-1.1118171757076101</v>
      </c>
      <c r="I16492" s="20">
        <v>-0.46915341756585399</v>
      </c>
      <c r="J16492" s="28">
        <v>0.63895997921083802</v>
      </c>
      <c r="K16492" s="29">
        <v>0.98289565623980701</v>
      </c>
    </row>
    <row r="16493" spans="1:11" x14ac:dyDescent="0.35">
      <c r="A16493" s="9" t="str">
        <f>HYPERLINK("http://www.ensembl.org/id/WBGene00015704", "WBGene00015704")</f>
        <v>WBGene00015704</v>
      </c>
      <c r="B16493" s="9" t="str">
        <f>HYPERLINK("http://www.ncbi.nlm.nih.gov/gene/259373", "259373")</f>
        <v>259373</v>
      </c>
      <c r="C16493" s="9"/>
      <c r="D16493" t="str">
        <f>"tiam-1"</f>
        <v>tiam-1</v>
      </c>
      <c r="E16493" t="s">
        <v>5485</v>
      </c>
      <c r="F16493" t="s">
        <v>11</v>
      </c>
      <c r="G16493" t="s">
        <v>5486</v>
      </c>
      <c r="H16493" s="12">
        <v>1.1593809552247101</v>
      </c>
      <c r="I16493" s="20">
        <v>0.66206546196569105</v>
      </c>
      <c r="J16493" s="28">
        <v>0.50792926934753002</v>
      </c>
      <c r="K16493" s="29">
        <v>0.98289565623980701</v>
      </c>
    </row>
    <row r="16494" spans="1:11" x14ac:dyDescent="0.35">
      <c r="A16494" s="9" t="str">
        <f>HYPERLINK("http://www.ensembl.org/id/WBGene00015943", "WBGene00015943")</f>
        <v>WBGene00015943</v>
      </c>
      <c r="B16494" s="9" t="str">
        <f>HYPERLINK("http://www.ncbi.nlm.nih.gov/gene/173967", "173967")</f>
        <v>173967</v>
      </c>
      <c r="C16494" s="9"/>
      <c r="D16494" t="str">
        <f>"tiar-1"</f>
        <v>tiar-1</v>
      </c>
      <c r="E16494" t="s">
        <v>6332</v>
      </c>
      <c r="F16494" t="s">
        <v>11</v>
      </c>
      <c r="G16494" t="s">
        <v>7485</v>
      </c>
      <c r="H16494" s="12">
        <v>-1.1287945320605901</v>
      </c>
      <c r="I16494" s="20">
        <v>-0.63584554139669003</v>
      </c>
      <c r="J16494" s="28">
        <v>0.52487710089379802</v>
      </c>
      <c r="K16494" s="29">
        <v>0.98289565623980701</v>
      </c>
    </row>
    <row r="16495" spans="1:11" x14ac:dyDescent="0.35">
      <c r="A16495" s="9" t="str">
        <f>HYPERLINK("http://www.ensembl.org/id/WBGene00012904", "WBGene00012904")</f>
        <v>WBGene00012904</v>
      </c>
      <c r="B16495" s="9" t="str">
        <f>HYPERLINK("http://www.ncbi.nlm.nih.gov/gene/174909", "174909")</f>
        <v>174909</v>
      </c>
      <c r="C16495" s="9"/>
      <c r="D16495" t="str">
        <f>"tiar-2"</f>
        <v>tiar-2</v>
      </c>
      <c r="E16495" t="s">
        <v>6332</v>
      </c>
      <c r="F16495" t="s">
        <v>11</v>
      </c>
      <c r="G16495" t="s">
        <v>6333</v>
      </c>
      <c r="H16495" s="12">
        <v>-1.06335305034887</v>
      </c>
      <c r="I16495" s="20">
        <v>-0.26667424783493598</v>
      </c>
      <c r="J16495" s="28">
        <v>0.78971998333014903</v>
      </c>
      <c r="K16495" s="29">
        <v>0.98289565623980701</v>
      </c>
    </row>
    <row r="16496" spans="1:11" x14ac:dyDescent="0.35">
      <c r="A16496" s="9" t="str">
        <f>HYPERLINK("http://www.ensembl.org/id/WBGene00007396", "WBGene00007396")</f>
        <v>WBGene00007396</v>
      </c>
      <c r="B16496" s="9" t="str">
        <f>HYPERLINK("http://www.ncbi.nlm.nih.gov/gene/182350", "182350")</f>
        <v>182350</v>
      </c>
      <c r="C16496" s="9"/>
      <c r="D16496" t="str">
        <f>"tiar-3"</f>
        <v>tiar-3</v>
      </c>
      <c r="E16496" t="s">
        <v>6332</v>
      </c>
      <c r="F16496" t="s">
        <v>11</v>
      </c>
      <c r="G16496" t="s">
        <v>9054</v>
      </c>
      <c r="H16496" s="12">
        <v>-1.2171519469456999</v>
      </c>
      <c r="I16496" s="20">
        <v>-1.0115619787956101</v>
      </c>
      <c r="J16496" s="28">
        <v>0.31174753286187601</v>
      </c>
      <c r="K16496" s="29">
        <v>0.98289565623980701</v>
      </c>
    </row>
    <row r="16497" spans="1:11" x14ac:dyDescent="0.35">
      <c r="A16497" s="9" t="str">
        <f>HYPERLINK("http://www.ensembl.org/id/WBGene00006570", "WBGene00006570")</f>
        <v>WBGene00006570</v>
      </c>
      <c r="B16497" s="9" t="str">
        <f>HYPERLINK("http://www.ncbi.nlm.nih.gov/gene/178864", "178864")</f>
        <v>178864</v>
      </c>
      <c r="C16497" s="9"/>
      <c r="D16497" t="str">
        <f>"tig-2"</f>
        <v>tig-2</v>
      </c>
      <c r="E16497" t="s">
        <v>6063</v>
      </c>
      <c r="F16497" t="s">
        <v>11</v>
      </c>
      <c r="G16497" t="s">
        <v>6064</v>
      </c>
      <c r="H16497" s="12">
        <v>1.06641084039986</v>
      </c>
      <c r="I16497" s="20">
        <v>0.28822654717059198</v>
      </c>
      <c r="J16497" s="28">
        <v>0.77317332893324597</v>
      </c>
      <c r="K16497" s="29">
        <v>0.98289565623980701</v>
      </c>
    </row>
    <row r="16498" spans="1:11" x14ac:dyDescent="0.35">
      <c r="A16498" s="9" t="str">
        <f>HYPERLINK("http://www.ensembl.org/id/WBGene00021594", "WBGene00021594")</f>
        <v>WBGene00021594</v>
      </c>
      <c r="B16498" s="9" t="str">
        <f>HYPERLINK("http://www.ncbi.nlm.nih.gov/gene/266879", "266879")</f>
        <v>266879</v>
      </c>
      <c r="C16498" s="9"/>
      <c r="D16498" t="str">
        <f>"tig-3"</f>
        <v>tig-3</v>
      </c>
      <c r="E16498" t="s">
        <v>6063</v>
      </c>
      <c r="F16498" t="s">
        <v>11</v>
      </c>
      <c r="G16498" t="s">
        <v>9963</v>
      </c>
      <c r="H16498" s="12">
        <v>-1.4964670879299899</v>
      </c>
      <c r="I16498" s="20">
        <v>-0.47378212588453</v>
      </c>
      <c r="J16498" s="28">
        <v>0.63565528194085996</v>
      </c>
      <c r="K16498" s="29">
        <v>0.98289565623980701</v>
      </c>
    </row>
    <row r="16499" spans="1:11" x14ac:dyDescent="0.35">
      <c r="A16499" s="9" t="str">
        <f>HYPERLINK("http://www.ensembl.org/id/WBGene00017119", "WBGene00017119")</f>
        <v>WBGene00017119</v>
      </c>
      <c r="B16499" s="9" t="str">
        <f>HYPERLINK("http://www.ncbi.nlm.nih.gov/gene/177242", "177242")</f>
        <v>177242</v>
      </c>
      <c r="C16499" s="9" t="str">
        <f>HYPERLINK("http://www.ncbi.nlm.nih.gov/gene/10245", "10245")</f>
        <v>10245</v>
      </c>
      <c r="D16499" t="str">
        <f>"timm-17B.1"</f>
        <v>timm-17B.1</v>
      </c>
      <c r="E16499" t="s">
        <v>8975</v>
      </c>
      <c r="F16499" t="s">
        <v>11</v>
      </c>
      <c r="G16499" t="s">
        <v>8976</v>
      </c>
      <c r="H16499" s="12">
        <v>-1.2117206668640399</v>
      </c>
      <c r="I16499" s="20">
        <v>-0.997769917657088</v>
      </c>
      <c r="J16499" s="28">
        <v>0.318390940527501</v>
      </c>
      <c r="K16499" s="29">
        <v>0.98289565623980701</v>
      </c>
    </row>
    <row r="16500" spans="1:11" x14ac:dyDescent="0.35">
      <c r="A16500" s="9" t="str">
        <f>HYPERLINK("http://www.ensembl.org/id/WBGene00017069", "WBGene00017069")</f>
        <v>WBGene00017069</v>
      </c>
      <c r="B16500" s="9" t="str">
        <f>HYPERLINK("http://www.ncbi.nlm.nih.gov/gene/183965", "183965")</f>
        <v>183965</v>
      </c>
      <c r="C16500" s="9"/>
      <c r="D16500" t="str">
        <f>"timm-17B.2"</f>
        <v>timm-17B.2</v>
      </c>
      <c r="E16500" t="s">
        <v>4578</v>
      </c>
      <c r="F16500" t="s">
        <v>11</v>
      </c>
      <c r="H16500" s="12">
        <v>1.6606390511453899</v>
      </c>
      <c r="I16500" s="20">
        <v>0.69793099375210499</v>
      </c>
      <c r="J16500" s="28">
        <v>0.48522035033805599</v>
      </c>
      <c r="K16500" s="29">
        <v>0.98289565623980701</v>
      </c>
    </row>
    <row r="16501" spans="1:11" x14ac:dyDescent="0.35">
      <c r="A16501" s="9" t="str">
        <f>HYPERLINK("http://www.ensembl.org/id/WBGene00008857", "WBGene00008857")</f>
        <v>WBGene00008857</v>
      </c>
      <c r="B16501" s="9" t="str">
        <f>HYPERLINK("http://www.ncbi.nlm.nih.gov/gene/173041", "173041")</f>
        <v>173041</v>
      </c>
      <c r="C16501" s="9"/>
      <c r="D16501" t="str">
        <f>"timm-23"</f>
        <v>timm-23</v>
      </c>
      <c r="E16501" t="s">
        <v>4578</v>
      </c>
      <c r="F16501" t="s">
        <v>11</v>
      </c>
      <c r="G16501" t="s">
        <v>7678</v>
      </c>
      <c r="H16501" s="12">
        <v>-1.13895011229101</v>
      </c>
      <c r="I16501" s="20">
        <v>-0.69447034056579204</v>
      </c>
      <c r="J16501" s="28">
        <v>0.48738729472620201</v>
      </c>
      <c r="K16501" s="29">
        <v>0.98289565623980701</v>
      </c>
    </row>
    <row r="16502" spans="1:11" x14ac:dyDescent="0.35">
      <c r="A16502" s="9" t="str">
        <f>HYPERLINK("http://www.ensembl.org/id/WBGene00019476", "WBGene00019476")</f>
        <v>WBGene00019476</v>
      </c>
      <c r="B16502" s="9" t="str">
        <f>HYPERLINK("http://www.ncbi.nlm.nih.gov/gene/179199", "179199")</f>
        <v>179199</v>
      </c>
      <c r="C16502" s="9"/>
      <c r="D16502" t="str">
        <f>"timp-1"</f>
        <v>timp-1</v>
      </c>
      <c r="E16502" t="s">
        <v>6092</v>
      </c>
      <c r="F16502" t="s">
        <v>11</v>
      </c>
      <c r="G16502" t="s">
        <v>6093</v>
      </c>
      <c r="H16502" s="12">
        <v>1.0628432638488099</v>
      </c>
      <c r="I16502" s="20">
        <v>0.32278312289501898</v>
      </c>
      <c r="J16502" s="28">
        <v>0.74685949540886698</v>
      </c>
      <c r="K16502" s="29">
        <v>0.98289565623980701</v>
      </c>
    </row>
    <row r="16503" spans="1:11" x14ac:dyDescent="0.35">
      <c r="A16503" s="9" t="str">
        <f>HYPERLINK("http://www.ensembl.org/id/WBGene00006573", "WBGene00006573")</f>
        <v>WBGene00006573</v>
      </c>
      <c r="B16503" s="9" t="str">
        <f>HYPERLINK("http://www.ncbi.nlm.nih.gov/gene/176580", "176580")</f>
        <v>176580</v>
      </c>
      <c r="C16503" s="9" t="str">
        <f>HYPERLINK("http://www.ncbi.nlm.nih.gov/gene/26519", "26519")</f>
        <v>26519</v>
      </c>
      <c r="D16503" t="str">
        <f>"tin-10"</f>
        <v>tin-10</v>
      </c>
      <c r="E16503" t="s">
        <v>8111</v>
      </c>
      <c r="F16503" t="s">
        <v>11</v>
      </c>
      <c r="G16503" t="s">
        <v>8112</v>
      </c>
      <c r="H16503" s="12">
        <v>-1.16100113315618</v>
      </c>
      <c r="I16503" s="20">
        <v>-0.69508269344033402</v>
      </c>
      <c r="J16503" s="28">
        <v>0.48700347992653198</v>
      </c>
      <c r="K16503" s="29">
        <v>0.98289565623980701</v>
      </c>
    </row>
    <row r="16504" spans="1:11" x14ac:dyDescent="0.35">
      <c r="A16504" s="9" t="str">
        <f>HYPERLINK("http://www.ensembl.org/id/WBGene00020383", "WBGene00020383")</f>
        <v>WBGene00020383</v>
      </c>
      <c r="B16504" s="9" t="str">
        <f>HYPERLINK("http://www.ncbi.nlm.nih.gov/gene/172302", "172302")</f>
        <v>172302</v>
      </c>
      <c r="C16504" s="9" t="str">
        <f>HYPERLINK("http://www.ncbi.nlm.nih.gov/gene/10469", "10469")</f>
        <v>10469</v>
      </c>
      <c r="D16504" t="str">
        <f>"tin-44"</f>
        <v>tin-44</v>
      </c>
      <c r="E16504" t="s">
        <v>9665</v>
      </c>
      <c r="F16504" t="s">
        <v>11</v>
      </c>
      <c r="G16504" t="s">
        <v>9666</v>
      </c>
      <c r="H16504" s="12">
        <v>-1.2745919800952299</v>
      </c>
      <c r="I16504" s="20">
        <v>-1.1789259331094499</v>
      </c>
      <c r="J16504" s="28">
        <v>0.23842767023380201</v>
      </c>
      <c r="K16504" s="29">
        <v>0.98289565623980701</v>
      </c>
    </row>
    <row r="16505" spans="1:11" x14ac:dyDescent="0.35">
      <c r="A16505" s="9" t="str">
        <f>HYPERLINK("http://www.ensembl.org/id/WBGene00006572", "WBGene00006572")</f>
        <v>WBGene00006572</v>
      </c>
      <c r="B16505" s="9" t="str">
        <f>HYPERLINK("http://www.ncbi.nlm.nih.gov/gene/177475", "177475")</f>
        <v>177475</v>
      </c>
      <c r="C16505" s="9"/>
      <c r="D16505" t="str">
        <f>"tin-9.1"</f>
        <v>tin-9.1</v>
      </c>
      <c r="E16505" t="s">
        <v>9467</v>
      </c>
      <c r="F16505" t="s">
        <v>11</v>
      </c>
      <c r="G16505" t="s">
        <v>9468</v>
      </c>
      <c r="H16505" s="12">
        <v>-1.2485094538624499</v>
      </c>
      <c r="I16505" s="20">
        <v>-0.90539700997157402</v>
      </c>
      <c r="J16505" s="28">
        <v>0.36525509922185001</v>
      </c>
      <c r="K16505" s="29">
        <v>0.98289565623980701</v>
      </c>
    </row>
    <row r="16506" spans="1:11" x14ac:dyDescent="0.35">
      <c r="A16506" s="9" t="str">
        <f>HYPERLINK("http://www.ensembl.org/id/WBGene00044083", "WBGene00044083")</f>
        <v>WBGene00044083</v>
      </c>
      <c r="B16506" s="9" t="str">
        <f>HYPERLINK("http://www.ncbi.nlm.nih.gov/gene/24105311", "24105311")</f>
        <v>24105311</v>
      </c>
      <c r="C16506" s="9"/>
      <c r="D16506" t="str">
        <f>"tin-9.2"</f>
        <v>tin-9.2</v>
      </c>
      <c r="E16506" t="s">
        <v>9924</v>
      </c>
      <c r="F16506" t="s">
        <v>11</v>
      </c>
      <c r="G16506" t="s">
        <v>9925</v>
      </c>
      <c r="H16506" s="12">
        <v>-1.39057734976251</v>
      </c>
      <c r="I16506" s="20">
        <v>-1.1841774474693501</v>
      </c>
      <c r="J16506" s="28">
        <v>0.23634282757588801</v>
      </c>
      <c r="K16506" s="29">
        <v>0.98289565623980701</v>
      </c>
    </row>
    <row r="16507" spans="1:11" x14ac:dyDescent="0.35">
      <c r="A16507" s="9" t="str">
        <f>HYPERLINK("http://www.ensembl.org/id/WBGene00006575", "WBGene00006575")</f>
        <v>WBGene00006575</v>
      </c>
      <c r="B16507" s="9" t="str">
        <f>HYPERLINK("http://www.ncbi.nlm.nih.gov/gene/175502", "175502")</f>
        <v>175502</v>
      </c>
      <c r="C16507" s="9" t="str">
        <f>HYPERLINK("http://www.ncbi.nlm.nih.gov/gene/23098", "23098")</f>
        <v>23098</v>
      </c>
      <c r="D16507" t="str">
        <f>"tir-1"</f>
        <v>tir-1</v>
      </c>
      <c r="E16507" t="s">
        <v>5803</v>
      </c>
      <c r="F16507" t="s">
        <v>11</v>
      </c>
      <c r="G16507" t="s">
        <v>5804</v>
      </c>
      <c r="H16507" s="12">
        <v>1.0996510827963499</v>
      </c>
      <c r="I16507" s="20">
        <v>0.52651284744924998</v>
      </c>
      <c r="J16507" s="28">
        <v>0.59853192796429999</v>
      </c>
      <c r="K16507" s="29">
        <v>0.98289565623980701</v>
      </c>
    </row>
    <row r="16508" spans="1:11" x14ac:dyDescent="0.35">
      <c r="A16508" s="9" t="str">
        <f>HYPERLINK("http://www.ensembl.org/id/WBGene00006577", "WBGene00006577")</f>
        <v>WBGene00006577</v>
      </c>
      <c r="B16508" s="9" t="str">
        <f>HYPERLINK("http://www.ncbi.nlm.nih.gov/gene/172676", "172676")</f>
        <v>172676</v>
      </c>
      <c r="C16508" s="9" t="str">
        <f>HYPERLINK("http://www.ncbi.nlm.nih.gov/gene/9519", "9519")</f>
        <v>9519</v>
      </c>
      <c r="D16508" t="str">
        <f>"tlf-1"</f>
        <v>tlf-1</v>
      </c>
      <c r="E16508" t="s">
        <v>6824</v>
      </c>
      <c r="F16508" t="s">
        <v>11</v>
      </c>
      <c r="G16508" t="s">
        <v>6825</v>
      </c>
      <c r="H16508" s="12">
        <v>-1.0910964475316001</v>
      </c>
      <c r="I16508" s="20">
        <v>-0.43498494983353397</v>
      </c>
      <c r="J16508" s="28">
        <v>0.66357335172500598</v>
      </c>
      <c r="K16508" s="29">
        <v>0.98289565623980701</v>
      </c>
    </row>
    <row r="16509" spans="1:11" x14ac:dyDescent="0.35">
      <c r="A16509" s="9" t="str">
        <f>HYPERLINK("http://www.ensembl.org/id/WBGene00006578", "WBGene00006578")</f>
        <v>WBGene00006578</v>
      </c>
      <c r="B16509" s="9" t="str">
        <f>HYPERLINK("http://www.ncbi.nlm.nih.gov/gene/172936", "172936")</f>
        <v>172936</v>
      </c>
      <c r="C16509" s="9" t="str">
        <f>HYPERLINK("http://www.ncbi.nlm.nih.gov/gene/54472", "54472")</f>
        <v>54472</v>
      </c>
      <c r="D16509" t="str">
        <f>"tli-1"</f>
        <v>tli-1</v>
      </c>
      <c r="E16509" t="s">
        <v>8695</v>
      </c>
      <c r="F16509" t="s">
        <v>11</v>
      </c>
      <c r="G16509" t="s">
        <v>8696</v>
      </c>
      <c r="H16509" s="12">
        <v>-1.19171327962951</v>
      </c>
      <c r="I16509" s="20">
        <v>-0.92948788589751696</v>
      </c>
      <c r="J16509" s="28">
        <v>0.35263630038826299</v>
      </c>
      <c r="K16509" s="29">
        <v>0.98289565623980701</v>
      </c>
    </row>
    <row r="16510" spans="1:11" x14ac:dyDescent="0.35">
      <c r="A16510" s="9" t="str">
        <f>HYPERLINK("http://www.ensembl.org/id/WBGene00006771", "WBGene00006771")</f>
        <v>WBGene00006771</v>
      </c>
      <c r="B16510" s="9" t="str">
        <f>HYPERLINK("http://www.ncbi.nlm.nih.gov/gene/171736", "171736")</f>
        <v>171736</v>
      </c>
      <c r="C16510" s="9" t="str">
        <f>HYPERLINK("http://www.ncbi.nlm.nih.gov/gene/83660", "83660")</f>
        <v>83660</v>
      </c>
      <c r="D16510" t="str">
        <f>"tln-1"</f>
        <v>tln-1</v>
      </c>
      <c r="E16510" t="s">
        <v>5628</v>
      </c>
      <c r="F16510" t="s">
        <v>11</v>
      </c>
      <c r="G16510" t="s">
        <v>5629</v>
      </c>
      <c r="H16510" s="12">
        <v>1.1328994877498599</v>
      </c>
      <c r="I16510" s="20">
        <v>0.67473995633427397</v>
      </c>
      <c r="J16510" s="28">
        <v>0.49984099412095101</v>
      </c>
      <c r="K16510" s="29">
        <v>0.98289565623980701</v>
      </c>
    </row>
    <row r="16511" spans="1:11" x14ac:dyDescent="0.35">
      <c r="A16511" s="9" t="str">
        <f>HYPERLINK("http://www.ensembl.org/id/WBGene00006580", "WBGene00006580")</f>
        <v>WBGene00006580</v>
      </c>
      <c r="B16511" s="9" t="str">
        <f>HYPERLINK("http://www.ncbi.nlm.nih.gov/gene/178338", "178338")</f>
        <v>178338</v>
      </c>
      <c r="C16511" s="9"/>
      <c r="D16511" t="str">
        <f>"tlp-1"</f>
        <v>tlp-1</v>
      </c>
      <c r="E16511" t="s">
        <v>5791</v>
      </c>
      <c r="F16511" t="s">
        <v>11</v>
      </c>
      <c r="G16511" t="s">
        <v>5792</v>
      </c>
      <c r="H16511" s="12">
        <v>1.1029190580313899</v>
      </c>
      <c r="I16511" s="20">
        <v>0.47636464875407403</v>
      </c>
      <c r="J16511" s="28">
        <v>0.63381461523143801</v>
      </c>
      <c r="K16511" s="29">
        <v>0.98289565623980701</v>
      </c>
    </row>
    <row r="16512" spans="1:11" x14ac:dyDescent="0.35">
      <c r="A16512" s="9" t="str">
        <f>HYPERLINK("http://www.ensembl.org/id/WBGene00015177", "WBGene00015177")</f>
        <v>WBGene00015177</v>
      </c>
      <c r="B16512" s="9" t="str">
        <f>HYPERLINK("http://www.ncbi.nlm.nih.gov/gene/181161", "181161")</f>
        <v>181161</v>
      </c>
      <c r="C16512" s="9"/>
      <c r="D16512" t="str">
        <f>"tmc-2"</f>
        <v>tmc-2</v>
      </c>
      <c r="E16512" t="s">
        <v>7074</v>
      </c>
      <c r="F16512" t="s">
        <v>11</v>
      </c>
      <c r="G16512" t="s">
        <v>7075</v>
      </c>
      <c r="H16512" s="12">
        <v>-1.10568775734159</v>
      </c>
      <c r="I16512" s="20">
        <v>-0.36529531942524202</v>
      </c>
      <c r="J16512" s="28">
        <v>0.71489097192089102</v>
      </c>
      <c r="K16512" s="29">
        <v>0.98289565623980701</v>
      </c>
    </row>
    <row r="16513" spans="1:11" x14ac:dyDescent="0.35">
      <c r="A16513" s="9" t="str">
        <f>HYPERLINK("http://www.ensembl.org/id/WBGene00043308", "WBGene00043308")</f>
        <v>WBGene00043308</v>
      </c>
      <c r="B16513" s="9" t="str">
        <f>HYPERLINK("http://www.ncbi.nlm.nih.gov/gene/13183089", "13183089")</f>
        <v>13183089</v>
      </c>
      <c r="C16513" s="9"/>
      <c r="D16513" t="str">
        <f>"tmem-107"</f>
        <v>tmem-107</v>
      </c>
      <c r="E16513" t="s">
        <v>4361</v>
      </c>
      <c r="F16513" t="s">
        <v>11</v>
      </c>
      <c r="G16513" t="s">
        <v>10100</v>
      </c>
      <c r="H16513" s="12">
        <v>-3.6068972135878599</v>
      </c>
      <c r="I16513" s="20">
        <v>-1.05779188130944</v>
      </c>
      <c r="J16513" s="28">
        <v>0.29015033496110998</v>
      </c>
      <c r="K16513" s="29">
        <v>0.98289565623980701</v>
      </c>
    </row>
    <row r="16514" spans="1:11" x14ac:dyDescent="0.35">
      <c r="A16514" s="9" t="str">
        <f>HYPERLINK("http://www.ensembl.org/id/WBGene00016170", "WBGene00016170")</f>
        <v>WBGene00016170</v>
      </c>
      <c r="B16514" s="9" t="str">
        <f>HYPERLINK("http://www.ncbi.nlm.nih.gov/gene/175677", "175677")</f>
        <v>175677</v>
      </c>
      <c r="C16514" s="9"/>
      <c r="D16514" t="str">
        <f>"tmem-131"</f>
        <v>tmem-131</v>
      </c>
      <c r="E16514" t="s">
        <v>4361</v>
      </c>
      <c r="F16514" t="s">
        <v>11</v>
      </c>
      <c r="G16514" t="s">
        <v>6829</v>
      </c>
      <c r="H16514" s="12">
        <v>-1.09141874299109</v>
      </c>
      <c r="I16514" s="20">
        <v>-0.46940451550246398</v>
      </c>
      <c r="J16514" s="28">
        <v>0.63878052136830199</v>
      </c>
      <c r="K16514" s="29">
        <v>0.98289565623980701</v>
      </c>
    </row>
    <row r="16515" spans="1:11" x14ac:dyDescent="0.35">
      <c r="A16515" s="9" t="str">
        <f>HYPERLINK("http://www.ensembl.org/id/WBGene00019345", "WBGene00019345")</f>
        <v>WBGene00019345</v>
      </c>
      <c r="B16515" s="9" t="str">
        <f>HYPERLINK("http://www.ncbi.nlm.nih.gov/gene/180740", "180740")</f>
        <v>180740</v>
      </c>
      <c r="C16515" s="9" t="str">
        <f>HYPERLINK("http://www.ncbi.nlm.nih.gov/gene/65084", "65084")</f>
        <v>65084</v>
      </c>
      <c r="D16515" t="str">
        <f>"tmem-135"</f>
        <v>tmem-135</v>
      </c>
      <c r="E16515" t="s">
        <v>6738</v>
      </c>
      <c r="F16515" t="s">
        <v>11</v>
      </c>
      <c r="G16515" t="s">
        <v>6739</v>
      </c>
      <c r="H16515" s="12">
        <v>-1.0865147061240601</v>
      </c>
      <c r="I16515" s="20">
        <v>-0.27392396056546697</v>
      </c>
      <c r="J16515" s="28">
        <v>0.78414305771646198</v>
      </c>
      <c r="K16515" s="29">
        <v>0.98289565623980701</v>
      </c>
    </row>
    <row r="16516" spans="1:11" x14ac:dyDescent="0.35">
      <c r="A16516" s="9" t="str">
        <f>HYPERLINK("http://www.ensembl.org/id/WBGene00008643", "WBGene00008643")</f>
        <v>WBGene00008643</v>
      </c>
      <c r="B16516" s="9" t="str">
        <f>HYPERLINK("http://www.ncbi.nlm.nih.gov/gene/3565047", "3565047")</f>
        <v>3565047</v>
      </c>
      <c r="C16516" s="9"/>
      <c r="D16516" t="str">
        <f>"tmem-138"</f>
        <v>tmem-138</v>
      </c>
      <c r="E16516" t="s">
        <v>4361</v>
      </c>
      <c r="F16516" t="s">
        <v>11</v>
      </c>
      <c r="G16516" t="s">
        <v>4787</v>
      </c>
      <c r="H16516" s="12">
        <v>1.37528175961114</v>
      </c>
      <c r="I16516" s="20">
        <v>0.27471659944862697</v>
      </c>
      <c r="J16516" s="28">
        <v>0.78353397714974304</v>
      </c>
      <c r="K16516" s="29">
        <v>0.98289565623980701</v>
      </c>
    </row>
    <row r="16517" spans="1:11" x14ac:dyDescent="0.35">
      <c r="A16517" s="9" t="str">
        <f>HYPERLINK("http://www.ensembl.org/id/WBGene00022733", "WBGene00022733")</f>
        <v>WBGene00022733</v>
      </c>
      <c r="B16517" s="9" t="str">
        <f>HYPERLINK("http://www.ncbi.nlm.nih.gov/gene/191316", "191316")</f>
        <v>191316</v>
      </c>
      <c r="C16517" s="9"/>
      <c r="D16517" t="str">
        <f>"tmem-17"</f>
        <v>tmem-17</v>
      </c>
      <c r="E16517" t="s">
        <v>4361</v>
      </c>
      <c r="F16517" t="s">
        <v>11</v>
      </c>
      <c r="G16517" t="s">
        <v>10070</v>
      </c>
      <c r="H16517" s="12">
        <v>-2.51331743835985</v>
      </c>
      <c r="I16517" s="20">
        <v>-0.49318830622239201</v>
      </c>
      <c r="J16517" s="28">
        <v>0.62187953970819698</v>
      </c>
      <c r="K16517" s="29">
        <v>0.98289565623980701</v>
      </c>
    </row>
    <row r="16518" spans="1:11" x14ac:dyDescent="0.35">
      <c r="A16518" s="9" t="str">
        <f>HYPERLINK("http://www.ensembl.org/id/WBGene00044771", "WBGene00044771")</f>
        <v>WBGene00044771</v>
      </c>
      <c r="B16518" s="9" t="str">
        <f>HYPERLINK("http://www.ncbi.nlm.nih.gov/gene/4363116", "4363116")</f>
        <v>4363116</v>
      </c>
      <c r="C16518" s="9"/>
      <c r="D16518" t="str">
        <f>"tmem-218"</f>
        <v>tmem-218</v>
      </c>
      <c r="E16518" t="s">
        <v>4361</v>
      </c>
      <c r="F16518" t="s">
        <v>11</v>
      </c>
      <c r="G16518" t="s">
        <v>4362</v>
      </c>
      <c r="H16518" s="12">
        <v>2.6843339069323102</v>
      </c>
      <c r="I16518" s="20">
        <v>1.00180868996122</v>
      </c>
      <c r="J16518" s="28">
        <v>0.31643599939498901</v>
      </c>
      <c r="K16518" s="29">
        <v>0.98289565623980701</v>
      </c>
    </row>
    <row r="16519" spans="1:11" x14ac:dyDescent="0.35">
      <c r="A16519" s="9" t="str">
        <f>HYPERLINK("http://www.ensembl.org/id/WBGene00006587", "WBGene00006587")</f>
        <v>WBGene00006587</v>
      </c>
      <c r="B16519" s="9" t="str">
        <f>HYPERLINK("http://www.ncbi.nlm.nih.gov/gene/181119", "181119")</f>
        <v>181119</v>
      </c>
      <c r="C16519" s="9"/>
      <c r="D16519" t="str">
        <f>"tnt-2"</f>
        <v>tnt-2</v>
      </c>
      <c r="E16519" t="s">
        <v>240</v>
      </c>
      <c r="F16519" t="s">
        <v>11</v>
      </c>
      <c r="G16519" t="s">
        <v>241</v>
      </c>
      <c r="H16519" s="12">
        <v>1.0773967098011901</v>
      </c>
      <c r="I16519" s="20">
        <v>0.36742391659042301</v>
      </c>
      <c r="J16519" s="28">
        <v>0.71330283440830999</v>
      </c>
      <c r="K16519" s="29">
        <v>0.98289565623980701</v>
      </c>
    </row>
    <row r="16520" spans="1:11" x14ac:dyDescent="0.35">
      <c r="A16520" s="9" t="str">
        <f>HYPERLINK("http://www.ensembl.org/id/WBGene00006590", "WBGene00006590")</f>
        <v>WBGene00006590</v>
      </c>
      <c r="B16520" s="9" t="str">
        <f>HYPERLINK("http://www.ncbi.nlm.nih.gov/gene/175728", "175728")</f>
        <v>175728</v>
      </c>
      <c r="C16520" s="9"/>
      <c r="D16520" t="str">
        <f>"toc-1"</f>
        <v>toc-1</v>
      </c>
      <c r="E16520" t="s">
        <v>9455</v>
      </c>
      <c r="F16520" t="s">
        <v>11</v>
      </c>
      <c r="G16520" t="s">
        <v>307</v>
      </c>
      <c r="H16520" s="12">
        <v>-1.2476181766705099</v>
      </c>
      <c r="I16520" s="20">
        <v>-1.1079123599483101</v>
      </c>
      <c r="J16520" s="28">
        <v>0.267899667123077</v>
      </c>
      <c r="K16520" s="29">
        <v>0.98289565623980701</v>
      </c>
    </row>
    <row r="16521" spans="1:11" x14ac:dyDescent="0.35">
      <c r="A16521" s="9" t="str">
        <f>HYPERLINK("http://www.ensembl.org/id/WBGene00012194", "WBGene00012194")</f>
        <v>WBGene00012194</v>
      </c>
      <c r="B16521" s="9" t="str">
        <f>HYPERLINK("http://www.ncbi.nlm.nih.gov/gene/173144", "173144")</f>
        <v>173144</v>
      </c>
      <c r="C16521" s="9"/>
      <c r="D16521" t="str">
        <f>"toe-4"</f>
        <v>toe-4</v>
      </c>
      <c r="E16521" t="s">
        <v>3309</v>
      </c>
      <c r="F16521" t="s">
        <v>11</v>
      </c>
      <c r="G16521" t="s">
        <v>51</v>
      </c>
      <c r="H16521" s="12">
        <v>-1.07354479658696</v>
      </c>
      <c r="I16521" s="20">
        <v>-0.382137875473961</v>
      </c>
      <c r="J16521" s="28">
        <v>0.70235909925176099</v>
      </c>
      <c r="K16521" s="29">
        <v>0.98289565623980701</v>
      </c>
    </row>
    <row r="16522" spans="1:11" x14ac:dyDescent="0.35">
      <c r="A16522" s="9" t="str">
        <f>HYPERLINK("http://www.ensembl.org/id/WBGene00006591", "WBGene00006591")</f>
        <v>WBGene00006591</v>
      </c>
      <c r="B16522" s="9" t="str">
        <f>HYPERLINK("http://www.ncbi.nlm.nih.gov/gene/175491", "175491")</f>
        <v>175491</v>
      </c>
      <c r="C16522" s="9"/>
      <c r="D16522" t="str">
        <f>"toh-1"</f>
        <v>toh-1</v>
      </c>
      <c r="E16522" t="s">
        <v>4891</v>
      </c>
      <c r="F16522" t="s">
        <v>11</v>
      </c>
      <c r="G16522" t="s">
        <v>267</v>
      </c>
      <c r="H16522" s="12">
        <v>1.3125565645883599</v>
      </c>
      <c r="I16522" s="20">
        <v>1.1912960779405899</v>
      </c>
      <c r="J16522" s="28">
        <v>0.233537373061113</v>
      </c>
      <c r="K16522" s="29">
        <v>0.98289565623980701</v>
      </c>
    </row>
    <row r="16523" spans="1:11" x14ac:dyDescent="0.35">
      <c r="A16523" s="9" t="str">
        <f>HYPERLINK("http://www.ensembl.org/id/WBGene00006593", "WBGene00006593")</f>
        <v>WBGene00006593</v>
      </c>
      <c r="B16523" s="9" t="str">
        <f>HYPERLINK("http://www.ncbi.nlm.nih.gov/gene/171635", "171635")</f>
        <v>171635</v>
      </c>
      <c r="C16523" s="9"/>
      <c r="D16523" t="str">
        <f>"tol-1"</f>
        <v>tol-1</v>
      </c>
      <c r="E16523" t="s">
        <v>6199</v>
      </c>
      <c r="F16523" t="s">
        <v>11</v>
      </c>
      <c r="G16523" t="s">
        <v>6200</v>
      </c>
      <c r="H16523" s="12">
        <v>-1.05331866156069</v>
      </c>
      <c r="I16523" s="20">
        <v>-0.26036248964091802</v>
      </c>
      <c r="J16523" s="28">
        <v>0.79458417432653505</v>
      </c>
      <c r="K16523" s="29">
        <v>0.98289565623980701</v>
      </c>
    </row>
    <row r="16524" spans="1:11" x14ac:dyDescent="0.35">
      <c r="A16524" s="9" t="str">
        <f>HYPERLINK("http://www.ensembl.org/id/WBGene00006594", "WBGene00006594")</f>
        <v>WBGene00006594</v>
      </c>
      <c r="B16524" s="9" t="str">
        <f>HYPERLINK("http://www.ncbi.nlm.nih.gov/gene/172209", "172209")</f>
        <v>172209</v>
      </c>
      <c r="C16524" s="9" t="str">
        <f>HYPERLINK("http://www.ncbi.nlm.nih.gov/gene/9515", "9515")</f>
        <v>9515</v>
      </c>
      <c r="D16524" t="str">
        <f>"tom-1"</f>
        <v>tom-1</v>
      </c>
      <c r="E16524" t="s">
        <v>5786</v>
      </c>
      <c r="F16524" t="s">
        <v>11</v>
      </c>
      <c r="G16524" t="s">
        <v>5787</v>
      </c>
      <c r="H16524" s="12">
        <v>1.1032396033062699</v>
      </c>
      <c r="I16524" s="20">
        <v>0.52232898717432696</v>
      </c>
      <c r="J16524" s="28">
        <v>0.60144128992727497</v>
      </c>
      <c r="K16524" s="29">
        <v>0.98289565623980701</v>
      </c>
    </row>
    <row r="16525" spans="1:11" x14ac:dyDescent="0.35">
      <c r="A16525" s="9" t="str">
        <f>HYPERLINK("http://www.ensembl.org/id/WBGene00009092", "WBGene00009092")</f>
        <v>WBGene00009092</v>
      </c>
      <c r="B16525" s="9" t="str">
        <f>HYPERLINK("http://www.ncbi.nlm.nih.gov/gene/179691", "179691")</f>
        <v>179691</v>
      </c>
      <c r="C16525" s="9" t="str">
        <f>HYPERLINK("http://www.ncbi.nlm.nih.gov/gene/9804", "9804")</f>
        <v>9804</v>
      </c>
      <c r="D16525" t="str">
        <f>"tomm-20"</f>
        <v>tomm-20</v>
      </c>
      <c r="E16525" t="s">
        <v>6826</v>
      </c>
      <c r="F16525" t="s">
        <v>11</v>
      </c>
      <c r="G16525" t="s">
        <v>6827</v>
      </c>
      <c r="H16525" s="12">
        <v>-1.09119657859548</v>
      </c>
      <c r="I16525" s="20">
        <v>-0.43711023354988199</v>
      </c>
      <c r="J16525" s="28">
        <v>0.66203140603987898</v>
      </c>
      <c r="K16525" s="29">
        <v>0.98289565623980701</v>
      </c>
    </row>
    <row r="16526" spans="1:11" x14ac:dyDescent="0.35">
      <c r="A16526" s="9" t="str">
        <f>HYPERLINK("http://www.ensembl.org/id/WBGene00021133", "WBGene00021133")</f>
        <v>WBGene00021133</v>
      </c>
      <c r="B16526" s="9" t="str">
        <f>HYPERLINK("http://www.ncbi.nlm.nih.gov/gene/173436", "173436")</f>
        <v>173436</v>
      </c>
      <c r="C16526" s="9"/>
      <c r="D16526" t="str">
        <f>"tomm-22"</f>
        <v>tomm-22</v>
      </c>
      <c r="E16526" t="s">
        <v>5759</v>
      </c>
      <c r="F16526" t="s">
        <v>11</v>
      </c>
      <c r="G16526" t="s">
        <v>5760</v>
      </c>
      <c r="H16526" s="12">
        <v>1.1083180761640301</v>
      </c>
      <c r="I16526" s="20">
        <v>0.486682481424624</v>
      </c>
      <c r="J16526" s="28">
        <v>0.62648336185700204</v>
      </c>
      <c r="K16526" s="29">
        <v>0.98289565623980701</v>
      </c>
    </row>
    <row r="16527" spans="1:11" x14ac:dyDescent="0.35">
      <c r="A16527" s="9" t="str">
        <f>HYPERLINK("http://www.ensembl.org/id/WBGene00006598", "WBGene00006598")</f>
        <v>WBGene00006598</v>
      </c>
      <c r="B16527" s="9" t="str">
        <f>HYPERLINK("http://www.ncbi.nlm.nih.gov/gene/189606", "189606")</f>
        <v>189606</v>
      </c>
      <c r="C16527" s="9" t="str">
        <f>HYPERLINK("http://www.ncbi.nlm.nih.gov/gene/27348", "27348")</f>
        <v>27348</v>
      </c>
      <c r="D16527" t="str">
        <f>"tor-2"</f>
        <v>tor-2</v>
      </c>
      <c r="E16527" t="s">
        <v>4419</v>
      </c>
      <c r="F16527" t="s">
        <v>11</v>
      </c>
      <c r="G16527" t="s">
        <v>4420</v>
      </c>
      <c r="H16527" s="12">
        <v>2.2665516489420501</v>
      </c>
      <c r="I16527" s="20">
        <v>0.58772179698624805</v>
      </c>
      <c r="J16527" s="28">
        <v>0.55671904258475502</v>
      </c>
      <c r="K16527" s="29">
        <v>0.98289565623980701</v>
      </c>
    </row>
    <row r="16528" spans="1:11" x14ac:dyDescent="0.35">
      <c r="A16528" s="9" t="str">
        <f>HYPERLINK("http://www.ensembl.org/id/WBGene00019466", "WBGene00019466")</f>
        <v>WBGene00019466</v>
      </c>
      <c r="B16528" s="9" t="str">
        <f>HYPERLINK("http://www.ncbi.nlm.nih.gov/gene/3565833", "3565833")</f>
        <v>3565833</v>
      </c>
      <c r="C16528" s="9"/>
      <c r="D16528" t="str">
        <f>"tos-1"</f>
        <v>tos-1</v>
      </c>
      <c r="E16528" t="s">
        <v>5598</v>
      </c>
      <c r="F16528" t="s">
        <v>11</v>
      </c>
      <c r="H16528" s="12">
        <v>1.13725743255442</v>
      </c>
      <c r="I16528" s="20">
        <v>0.68254805252781603</v>
      </c>
      <c r="J16528" s="28">
        <v>0.49489246886768501</v>
      </c>
      <c r="K16528" s="29">
        <v>0.98289565623980701</v>
      </c>
    </row>
    <row r="16529" spans="1:11" x14ac:dyDescent="0.35">
      <c r="A16529" s="9" t="str">
        <f>HYPERLINK("http://www.ensembl.org/id/WBGene00016449", "WBGene00016449")</f>
        <v>WBGene00016449</v>
      </c>
      <c r="B16529" s="9" t="str">
        <f>HYPERLINK("http://www.ncbi.nlm.nih.gov/gene/183241", "183241")</f>
        <v>183241</v>
      </c>
      <c r="C16529" s="9"/>
      <c r="D16529" t="str">
        <f>"tost-1"</f>
        <v>tost-1</v>
      </c>
      <c r="F16529" t="s">
        <v>11</v>
      </c>
      <c r="G16529" t="s">
        <v>9594</v>
      </c>
      <c r="H16529" s="12">
        <v>-1.2624950344227901</v>
      </c>
      <c r="I16529" s="20">
        <v>-0.93770859077595103</v>
      </c>
      <c r="J16529" s="28">
        <v>0.34839418775579001</v>
      </c>
      <c r="K16529" s="29">
        <v>0.98289565623980701</v>
      </c>
    </row>
    <row r="16530" spans="1:11" x14ac:dyDescent="0.35">
      <c r="A16530" s="9" t="str">
        <f>HYPERLINK("http://www.ensembl.org/id/WBGene00006600", "WBGene00006600")</f>
        <v>WBGene00006600</v>
      </c>
      <c r="B16530" s="9" t="str">
        <f>HYPERLINK("http://www.ncbi.nlm.nih.gov/gene/174227", "174227")</f>
        <v>174227</v>
      </c>
      <c r="C16530" s="9" t="str">
        <f>HYPERLINK("http://www.ncbi.nlm.nih.gov/gene/121278", "121278")</f>
        <v>121278</v>
      </c>
      <c r="D16530" t="str">
        <f>"tph-1"</f>
        <v>tph-1</v>
      </c>
      <c r="E16530" t="s">
        <v>4491</v>
      </c>
      <c r="F16530" t="s">
        <v>11</v>
      </c>
      <c r="G16530" t="s">
        <v>4492</v>
      </c>
      <c r="H16530" s="12">
        <v>1.8626509801633999</v>
      </c>
      <c r="I16530" s="20">
        <v>1.20799861267973</v>
      </c>
      <c r="J16530" s="28">
        <v>0.22704779597909999</v>
      </c>
      <c r="K16530" s="29">
        <v>0.98289565623980701</v>
      </c>
    </row>
    <row r="16531" spans="1:11" x14ac:dyDescent="0.35">
      <c r="A16531" s="9" t="str">
        <f>HYPERLINK("http://www.ensembl.org/id/WBGene00006601", "WBGene00006601")</f>
        <v>WBGene00006601</v>
      </c>
      <c r="B16531" s="9" t="str">
        <f>HYPERLINK("http://www.ncbi.nlm.nih.gov/gene/174844", "174844")</f>
        <v>174844</v>
      </c>
      <c r="C16531" s="9" t="str">
        <f>HYPERLINK("http://www.ncbi.nlm.nih.gov/gene/7167", "7167")</f>
        <v>7167</v>
      </c>
      <c r="D16531" t="str">
        <f>"tpi-1"</f>
        <v>tpi-1</v>
      </c>
      <c r="E16531" t="s">
        <v>9065</v>
      </c>
      <c r="F16531" t="s">
        <v>11</v>
      </c>
      <c r="G16531" t="s">
        <v>9066</v>
      </c>
      <c r="H16531" s="12">
        <v>-1.2177998160674399</v>
      </c>
      <c r="I16531" s="20">
        <v>-1.0353521522821201</v>
      </c>
      <c r="J16531" s="28">
        <v>0.30050448240614602</v>
      </c>
      <c r="K16531" s="29">
        <v>0.98289565623980701</v>
      </c>
    </row>
    <row r="16532" spans="1:11" x14ac:dyDescent="0.35">
      <c r="A16532" s="9" t="str">
        <f>HYPERLINK("http://www.ensembl.org/id/WBGene00014027", "WBGene00014027")</f>
        <v>WBGene00014027</v>
      </c>
      <c r="B16532" s="9" t="str">
        <f>HYPERLINK("http://www.ncbi.nlm.nih.gov/gene/176258", "176258")</f>
        <v>176258</v>
      </c>
      <c r="C16532" s="9" t="str">
        <f>HYPERLINK("http://www.ncbi.nlm.nih.gov/gene/27010", "27010")</f>
        <v>27010</v>
      </c>
      <c r="D16532" t="str">
        <f>"tpk-1"</f>
        <v>tpk-1</v>
      </c>
      <c r="E16532" t="s">
        <v>8970</v>
      </c>
      <c r="F16532" t="s">
        <v>11</v>
      </c>
      <c r="G16532" t="s">
        <v>8971</v>
      </c>
      <c r="H16532" s="12">
        <v>-1.2116405033859501</v>
      </c>
      <c r="I16532" s="20">
        <v>-0.53591749365075703</v>
      </c>
      <c r="J16532" s="28">
        <v>0.59201557363757595</v>
      </c>
      <c r="K16532" s="29">
        <v>0.98289565623980701</v>
      </c>
    </row>
    <row r="16533" spans="1:11" x14ac:dyDescent="0.35">
      <c r="A16533" s="9" t="str">
        <f>HYPERLINK("http://www.ensembl.org/id/WBGene00017686", "WBGene00017686")</f>
        <v>WBGene00017686</v>
      </c>
      <c r="B16533" s="9" t="str">
        <f>HYPERLINK("http://www.ncbi.nlm.nih.gov/gene/174018", "174018")</f>
        <v>174018</v>
      </c>
      <c r="C16533" s="9" t="str">
        <f>HYPERLINK("http://www.ncbi.nlm.nih.gov/gene/7174", "7174")</f>
        <v>7174</v>
      </c>
      <c r="D16533" t="str">
        <f>"tpp-2"</f>
        <v>tpp-2</v>
      </c>
      <c r="E16533" t="s">
        <v>8119</v>
      </c>
      <c r="F16533" t="s">
        <v>11</v>
      </c>
      <c r="G16533" t="s">
        <v>8120</v>
      </c>
      <c r="H16533" s="12">
        <v>-1.1612591092989499</v>
      </c>
      <c r="I16533" s="20">
        <v>-0.81392923256533201</v>
      </c>
      <c r="J16533" s="28">
        <v>0.41568549296107199</v>
      </c>
      <c r="K16533" s="29">
        <v>0.98289565623980701</v>
      </c>
    </row>
    <row r="16534" spans="1:11" x14ac:dyDescent="0.35">
      <c r="A16534" s="9" t="str">
        <f>HYPERLINK("http://www.ensembl.org/id/WBGene00016321", "WBGene00016321")</f>
        <v>WBGene00016321</v>
      </c>
      <c r="B16534" s="9" t="str">
        <f>HYPERLINK("http://www.ncbi.nlm.nih.gov/gene/171948", "171948")</f>
        <v>171948</v>
      </c>
      <c r="C16534" s="9" t="str">
        <f>HYPERLINK("http://www.ncbi.nlm.nih.gov/gene/122664", "122664")</f>
        <v>122664</v>
      </c>
      <c r="D16534" t="str">
        <f>"tppp-1"</f>
        <v>tppp-1</v>
      </c>
      <c r="E16534" t="s">
        <v>5583</v>
      </c>
      <c r="F16534" t="s">
        <v>11</v>
      </c>
      <c r="G16534" t="s">
        <v>5584</v>
      </c>
      <c r="H16534" s="12">
        <v>1.14038103856766</v>
      </c>
      <c r="I16534" s="20">
        <v>0.68441312782577002</v>
      </c>
      <c r="J16534" s="28">
        <v>0.49371432861509101</v>
      </c>
      <c r="K16534" s="29">
        <v>0.98289565623980701</v>
      </c>
    </row>
    <row r="16535" spans="1:11" x14ac:dyDescent="0.35">
      <c r="A16535" s="9" t="str">
        <f>HYPERLINK("http://www.ensembl.org/id/WBGene00008366", "WBGene00008366")</f>
        <v>WBGene00008366</v>
      </c>
      <c r="B16535" s="9" t="str">
        <f>HYPERLINK("http://www.ncbi.nlm.nih.gov/gene/259586", "259586")</f>
        <v>259586</v>
      </c>
      <c r="C16535" s="9" t="str">
        <f>HYPERLINK("http://www.ncbi.nlm.nih.gov/gene/131601", "131601")</f>
        <v>131601</v>
      </c>
      <c r="D16535" t="str">
        <f>"tpra-1"</f>
        <v>tpra-1</v>
      </c>
      <c r="E16535" t="s">
        <v>5739</v>
      </c>
      <c r="F16535" t="s">
        <v>11</v>
      </c>
      <c r="G16535" t="s">
        <v>25</v>
      </c>
      <c r="H16535" s="12">
        <v>1.1128760498936601</v>
      </c>
      <c r="I16535" s="20">
        <v>0.57467386756100203</v>
      </c>
      <c r="J16535" s="28">
        <v>0.56551188427515098</v>
      </c>
      <c r="K16535" s="29">
        <v>0.98289565623980701</v>
      </c>
    </row>
    <row r="16536" spans="1:11" x14ac:dyDescent="0.35">
      <c r="A16536" s="9" t="str">
        <f>HYPERLINK("http://www.ensembl.org/id/WBGene00006603", "WBGene00006603")</f>
        <v>WBGene00006603</v>
      </c>
      <c r="B16536" s="9" t="str">
        <f>HYPERLINK("http://www.ncbi.nlm.nih.gov/gene/3565050", "3565050")</f>
        <v>3565050</v>
      </c>
      <c r="C16536" s="9"/>
      <c r="D16536" t="str">
        <f>"tps-2"</f>
        <v>tps-2</v>
      </c>
      <c r="E16536" t="s">
        <v>7929</v>
      </c>
      <c r="F16536" t="s">
        <v>11</v>
      </c>
      <c r="G16536" t="s">
        <v>1010</v>
      </c>
      <c r="H16536" s="12">
        <v>-1.1516670631322401</v>
      </c>
      <c r="I16536" s="20">
        <v>-0.75646263756413801</v>
      </c>
      <c r="J16536" s="28">
        <v>0.44937186527349798</v>
      </c>
      <c r="K16536" s="29">
        <v>0.98289565623980701</v>
      </c>
    </row>
    <row r="16537" spans="1:11" x14ac:dyDescent="0.35">
      <c r="A16537" s="9" t="str">
        <f>HYPERLINK("http://www.ensembl.org/id/WBGene00018365", "WBGene00018365")</f>
        <v>WBGene00018365</v>
      </c>
      <c r="B16537" s="9" t="str">
        <f>HYPERLINK("http://www.ncbi.nlm.nih.gov/gene/185681", "185681")</f>
        <v>185681</v>
      </c>
      <c r="C16537" s="9"/>
      <c r="D16537" t="str">
        <f>"tpst-2"</f>
        <v>tpst-2</v>
      </c>
      <c r="E16537" t="s">
        <v>5337</v>
      </c>
      <c r="F16537" t="s">
        <v>11</v>
      </c>
      <c r="G16537" t="s">
        <v>5338</v>
      </c>
      <c r="H16537" s="12">
        <v>1.18640059355324</v>
      </c>
      <c r="I16537" s="20">
        <v>0.47329268520198198</v>
      </c>
      <c r="J16537" s="28">
        <v>0.63600438007779803</v>
      </c>
      <c r="K16537" s="29">
        <v>0.98289565623980701</v>
      </c>
    </row>
    <row r="16538" spans="1:11" x14ac:dyDescent="0.35">
      <c r="A16538" s="9" t="str">
        <f>HYPERLINK("http://www.ensembl.org/id/WBGene00006604", "WBGene00006604")</f>
        <v>WBGene00006604</v>
      </c>
      <c r="B16538" s="9" t="str">
        <f>HYPERLINK("http://www.ncbi.nlm.nih.gov/gene/176548", "176548")</f>
        <v>176548</v>
      </c>
      <c r="C16538" s="9"/>
      <c r="D16538" t="str">
        <f>"tra-1"</f>
        <v>tra-1</v>
      </c>
      <c r="E16538" t="s">
        <v>8179</v>
      </c>
      <c r="F16538" t="s">
        <v>11</v>
      </c>
      <c r="G16538" t="s">
        <v>8180</v>
      </c>
      <c r="H16538" s="12">
        <v>-1.16410771465567</v>
      </c>
      <c r="I16538" s="20">
        <v>-0.76440629101003899</v>
      </c>
      <c r="J16538" s="28">
        <v>0.44462516094138099</v>
      </c>
      <c r="K16538" s="29">
        <v>0.98289565623980701</v>
      </c>
    </row>
    <row r="16539" spans="1:11" x14ac:dyDescent="0.35">
      <c r="A16539" s="9" t="str">
        <f>HYPERLINK("http://www.ensembl.org/id/WBGene00006605", "WBGene00006605")</f>
        <v>WBGene00006605</v>
      </c>
      <c r="B16539" s="9" t="str">
        <f>HYPERLINK("http://www.ncbi.nlm.nih.gov/gene/174137", "174137")</f>
        <v>174137</v>
      </c>
      <c r="C16539" s="9"/>
      <c r="D16539" t="str">
        <f>"tra-2"</f>
        <v>tra-2</v>
      </c>
      <c r="E16539" t="s">
        <v>7292</v>
      </c>
      <c r="F16539" t="s">
        <v>11</v>
      </c>
      <c r="G16539" t="s">
        <v>7293</v>
      </c>
      <c r="H16539" s="12">
        <v>-1.11795515261331</v>
      </c>
      <c r="I16539" s="20">
        <v>-0.53748173122347298</v>
      </c>
      <c r="J16539" s="28">
        <v>0.590934900773883</v>
      </c>
      <c r="K16539" s="29">
        <v>0.98289565623980701</v>
      </c>
    </row>
    <row r="16540" spans="1:11" x14ac:dyDescent="0.35">
      <c r="A16540" s="9" t="str">
        <f>HYPERLINK("http://www.ensembl.org/id/WBGene00022122", "WBGene00022122")</f>
        <v>WBGene00022122</v>
      </c>
      <c r="B16540" s="9" t="str">
        <f>HYPERLINK("http://www.ncbi.nlm.nih.gov/gene/171865", "171865")</f>
        <v>171865</v>
      </c>
      <c r="C16540" s="9" t="str">
        <f>HYPERLINK("http://www.ncbi.nlm.nih.gov/gene/6745", "6745")</f>
        <v>6745</v>
      </c>
      <c r="D16540" t="str">
        <f>"trap-1"</f>
        <v>trap-1</v>
      </c>
      <c r="E16540" t="s">
        <v>5608</v>
      </c>
      <c r="F16540" t="s">
        <v>11</v>
      </c>
      <c r="G16540" t="s">
        <v>776</v>
      </c>
      <c r="H16540" s="12">
        <v>1.13549186873407</v>
      </c>
      <c r="I16540" s="20">
        <v>0.66535792195061905</v>
      </c>
      <c r="J16540" s="28">
        <v>0.50582159150940398</v>
      </c>
      <c r="K16540" s="29">
        <v>0.98289565623980701</v>
      </c>
    </row>
    <row r="16541" spans="1:11" x14ac:dyDescent="0.35">
      <c r="A16541" s="9" t="str">
        <f>HYPERLINK("http://www.ensembl.org/id/WBGene00020216", "WBGene00020216")</f>
        <v>WBGene00020216</v>
      </c>
      <c r="B16541" s="9" t="str">
        <f>HYPERLINK("http://www.ncbi.nlm.nih.gov/gene/180422", "180422")</f>
        <v>180422</v>
      </c>
      <c r="C16541" s="9" t="str">
        <f>HYPERLINK("http://www.ncbi.nlm.nih.gov/gene/6746", "6746")</f>
        <v>6746</v>
      </c>
      <c r="D16541" t="str">
        <f>"trap-2"</f>
        <v>trap-2</v>
      </c>
      <c r="E16541" t="s">
        <v>775</v>
      </c>
      <c r="F16541" t="s">
        <v>11</v>
      </c>
      <c r="G16541" t="s">
        <v>776</v>
      </c>
      <c r="H16541" s="12">
        <v>1.2442019337733199</v>
      </c>
      <c r="I16541" s="20">
        <v>1.20488670501708</v>
      </c>
      <c r="J16541" s="28">
        <v>0.22824704173339899</v>
      </c>
      <c r="K16541" s="29">
        <v>0.98289565623980701</v>
      </c>
    </row>
    <row r="16542" spans="1:11" x14ac:dyDescent="0.35">
      <c r="A16542" s="9" t="str">
        <f>HYPERLINK("http://www.ensembl.org/id/WBGene00021420", "WBGene00021420")</f>
        <v>WBGene00021420</v>
      </c>
      <c r="B16542" s="9" t="str">
        <f>HYPERLINK("http://www.ncbi.nlm.nih.gov/gene/177028", "177028")</f>
        <v>177028</v>
      </c>
      <c r="C16542" s="9" t="str">
        <f>HYPERLINK("http://www.ncbi.nlm.nih.gov/gene/6747", "6747")</f>
        <v>6747</v>
      </c>
      <c r="D16542" t="str">
        <f>"trap-3"</f>
        <v>trap-3</v>
      </c>
      <c r="E16542" t="s">
        <v>5608</v>
      </c>
      <c r="F16542" t="s">
        <v>11</v>
      </c>
      <c r="G16542" t="s">
        <v>5935</v>
      </c>
      <c r="H16542" s="12">
        <v>1.0833178357483</v>
      </c>
      <c r="I16542" s="20">
        <v>0.41347840240939199</v>
      </c>
      <c r="J16542" s="28">
        <v>0.679256142879335</v>
      </c>
      <c r="K16542" s="29">
        <v>0.98289565623980701</v>
      </c>
    </row>
    <row r="16543" spans="1:11" x14ac:dyDescent="0.35">
      <c r="A16543" s="9" t="str">
        <f>HYPERLINK("http://www.ensembl.org/id/WBGene00006607", "WBGene00006607")</f>
        <v>WBGene00006607</v>
      </c>
      <c r="B16543" s="9" t="str">
        <f>HYPERLINK("http://www.ncbi.nlm.nih.gov/gene/172371", "172371")</f>
        <v>172371</v>
      </c>
      <c r="C16543" s="9" t="str">
        <f>HYPERLINK("http://www.ncbi.nlm.nih.gov/gene/11181", "11181")</f>
        <v>11181</v>
      </c>
      <c r="D16543" t="str">
        <f>"tre-1"</f>
        <v>tre-1</v>
      </c>
      <c r="E16543" t="s">
        <v>1186</v>
      </c>
      <c r="F16543" t="s">
        <v>11</v>
      </c>
      <c r="G16543" t="s">
        <v>1187</v>
      </c>
      <c r="H16543" s="12">
        <v>-1.12342570929166</v>
      </c>
      <c r="I16543" s="20">
        <v>-0.63439319680095496</v>
      </c>
      <c r="J16543" s="28">
        <v>0.52582424834119101</v>
      </c>
      <c r="K16543" s="29">
        <v>0.98289565623980701</v>
      </c>
    </row>
    <row r="16544" spans="1:11" x14ac:dyDescent="0.35">
      <c r="A16544" s="9" t="str">
        <f>HYPERLINK("http://www.ensembl.org/id/WBGene00006610", "WBGene00006610")</f>
        <v>WBGene00006610</v>
      </c>
      <c r="B16544" s="9" t="str">
        <f>HYPERLINK("http://www.ncbi.nlm.nih.gov/gene/184505", "184505")</f>
        <v>184505</v>
      </c>
      <c r="C16544" s="9"/>
      <c r="D16544" t="str">
        <f>"tre-4"</f>
        <v>tre-4</v>
      </c>
      <c r="E16544" t="s">
        <v>1186</v>
      </c>
      <c r="F16544" t="s">
        <v>11</v>
      </c>
      <c r="G16544" t="s">
        <v>4738</v>
      </c>
      <c r="H16544" s="12">
        <v>1.42741940036003</v>
      </c>
      <c r="I16544" s="20">
        <v>1.1437403386012801</v>
      </c>
      <c r="J16544" s="28">
        <v>0.25273133894349198</v>
      </c>
      <c r="K16544" s="29">
        <v>0.98289565623980701</v>
      </c>
    </row>
    <row r="16545" spans="1:11" x14ac:dyDescent="0.35">
      <c r="A16545" s="9" t="str">
        <f>HYPERLINK("http://www.ensembl.org/id/WBGene00006612", "WBGene00006612")</f>
        <v>WBGene00006612</v>
      </c>
      <c r="B16545" s="9" t="str">
        <f>HYPERLINK("http://www.ncbi.nlm.nih.gov/gene/176767", "176767")</f>
        <v>176767</v>
      </c>
      <c r="C16545" s="9" t="str">
        <f>HYPERLINK("http://www.ncbi.nlm.nih.gov/gene/7188", "7188")</f>
        <v>7188</v>
      </c>
      <c r="D16545" t="str">
        <f>"trf-1"</f>
        <v>trf-1</v>
      </c>
      <c r="E16545" t="s">
        <v>4570</v>
      </c>
      <c r="F16545" t="s">
        <v>11</v>
      </c>
      <c r="G16545" t="s">
        <v>4571</v>
      </c>
      <c r="H16545" s="12">
        <v>1.6736938267855099</v>
      </c>
      <c r="I16545" s="20">
        <v>0.855441788550801</v>
      </c>
      <c r="J16545" s="28">
        <v>0.39230661759475299</v>
      </c>
      <c r="K16545" s="29">
        <v>0.98289565623980701</v>
      </c>
    </row>
    <row r="16546" spans="1:11" x14ac:dyDescent="0.35">
      <c r="A16546" s="9" t="str">
        <f>HYPERLINK("http://www.ensembl.org/id/WBGene00013255", "WBGene00013255")</f>
        <v>WBGene00013255</v>
      </c>
      <c r="B16546" s="9" t="str">
        <f>HYPERLINK("http://www.ncbi.nlm.nih.gov/gene/174867", "174867")</f>
        <v>174867</v>
      </c>
      <c r="C16546" s="9"/>
      <c r="D16546" t="str">
        <f>"tric-1B.1"</f>
        <v>tric-1B.1</v>
      </c>
      <c r="E16546" t="s">
        <v>6430</v>
      </c>
      <c r="F16546" t="s">
        <v>11</v>
      </c>
      <c r="G16546" t="s">
        <v>6431</v>
      </c>
      <c r="H16546" s="12">
        <v>-1.06889984431522</v>
      </c>
      <c r="I16546" s="20">
        <v>-0.30737725004108502</v>
      </c>
      <c r="J16546" s="28">
        <v>0.75855624240772401</v>
      </c>
      <c r="K16546" s="29">
        <v>0.98289565623980701</v>
      </c>
    </row>
    <row r="16547" spans="1:11" x14ac:dyDescent="0.35">
      <c r="A16547" s="9" t="str">
        <f>HYPERLINK("http://www.ensembl.org/id/WBGene00013268", "WBGene00013268")</f>
        <v>WBGene00013268</v>
      </c>
      <c r="B16547" s="9" t="str">
        <f>HYPERLINK("http://www.ncbi.nlm.nih.gov/gene/190342", "190342")</f>
        <v>190342</v>
      </c>
      <c r="C16547" s="9"/>
      <c r="D16547" t="str">
        <f>"tric-1B.2"</f>
        <v>tric-1B.2</v>
      </c>
      <c r="E16547" t="s">
        <v>9762</v>
      </c>
      <c r="F16547" t="s">
        <v>11</v>
      </c>
      <c r="G16547" t="s">
        <v>6431</v>
      </c>
      <c r="H16547" s="12">
        <v>-1.2960000243704699</v>
      </c>
      <c r="I16547" s="20">
        <v>-1.19028314615311</v>
      </c>
      <c r="J16547" s="28">
        <v>0.233935122747993</v>
      </c>
      <c r="K16547" s="29">
        <v>0.98289565623980701</v>
      </c>
    </row>
    <row r="16548" spans="1:11" x14ac:dyDescent="0.35">
      <c r="A16548" s="9" t="str">
        <f>HYPERLINK("http://www.ensembl.org/id/WBGene00000208", "WBGene00000208")</f>
        <v>WBGene00000208</v>
      </c>
      <c r="B16548" s="9" t="str">
        <f>HYPERLINK("http://www.ncbi.nlm.nih.gov/gene/175159", "175159")</f>
        <v>175159</v>
      </c>
      <c r="C16548" s="9" t="str">
        <f>HYPERLINK("http://www.ncbi.nlm.nih.gov/gene/9325", "9325")</f>
        <v>9325</v>
      </c>
      <c r="D16548" t="str">
        <f>"trip-4"</f>
        <v>trip-4</v>
      </c>
      <c r="E16548" t="s">
        <v>8638</v>
      </c>
      <c r="F16548" t="s">
        <v>11</v>
      </c>
      <c r="G16548" t="s">
        <v>8639</v>
      </c>
      <c r="H16548" s="12">
        <v>-1.1881269620893899</v>
      </c>
      <c r="I16548" s="20">
        <v>-0.89076391437996705</v>
      </c>
      <c r="J16548" s="28">
        <v>0.37305583802668302</v>
      </c>
      <c r="K16548" s="29">
        <v>0.98289565623980701</v>
      </c>
    </row>
    <row r="16549" spans="1:11" x14ac:dyDescent="0.35">
      <c r="A16549" s="9" t="str">
        <f>HYPERLINK("http://www.ensembl.org/id/WBGene00006613", "WBGene00006613")</f>
        <v>WBGene00006613</v>
      </c>
      <c r="B16549" s="9" t="str">
        <f>HYPERLINK("http://www.ncbi.nlm.nih.gov/gene/179920", "179920")</f>
        <v>179920</v>
      </c>
      <c r="C16549" s="9" t="str">
        <f>HYPERLINK("http://www.ncbi.nlm.nih.gov/gene/55621", "55621")</f>
        <v>55621</v>
      </c>
      <c r="D16549" t="str">
        <f>"trm-1"</f>
        <v>trm-1</v>
      </c>
      <c r="E16549" t="s">
        <v>9816</v>
      </c>
      <c r="F16549" t="s">
        <v>11</v>
      </c>
      <c r="G16549" t="s">
        <v>9817</v>
      </c>
      <c r="H16549" s="12">
        <v>-1.31123010060281</v>
      </c>
      <c r="I16549" s="20">
        <v>-1.1131798292628501</v>
      </c>
      <c r="J16549" s="28">
        <v>0.26563120381783201</v>
      </c>
      <c r="K16549" s="29">
        <v>0.98289565623980701</v>
      </c>
    </row>
    <row r="16550" spans="1:11" x14ac:dyDescent="0.35">
      <c r="A16550" s="9" t="str">
        <f>HYPERLINK("http://www.ensembl.org/id/WBGene00019241", "WBGene00019241")</f>
        <v>WBGene00019241</v>
      </c>
      <c r="B16550" s="9" t="str">
        <f>HYPERLINK("http://www.ncbi.nlm.nih.gov/gene/186775", "186775")</f>
        <v>186775</v>
      </c>
      <c r="C16550" s="9" t="str">
        <f>HYPERLINK("http://www.ncbi.nlm.nih.gov/gene/27037", "27037")</f>
        <v>27037</v>
      </c>
      <c r="D16550" t="str">
        <f>"trm-2A"</f>
        <v>trm-2A</v>
      </c>
      <c r="E16550" t="s">
        <v>6781</v>
      </c>
      <c r="F16550" t="s">
        <v>11</v>
      </c>
      <c r="G16550" t="s">
        <v>6782</v>
      </c>
      <c r="H16550" s="12">
        <v>-1.0886808674137201</v>
      </c>
      <c r="I16550" s="20">
        <v>-0.386248075114002</v>
      </c>
      <c r="J16550" s="28">
        <v>0.69931295220776701</v>
      </c>
      <c r="K16550" s="29">
        <v>0.98289565623980701</v>
      </c>
    </row>
    <row r="16551" spans="1:11" x14ac:dyDescent="0.35">
      <c r="A16551" s="9" t="str">
        <f>HYPERLINK("http://www.ensembl.org/id/WBGene00010873", "WBGene00010873")</f>
        <v>WBGene00010873</v>
      </c>
      <c r="B16551" s="9" t="str">
        <f>HYPERLINK("http://www.ncbi.nlm.nih.gov/gene/3565192", "3565192")</f>
        <v>3565192</v>
      </c>
      <c r="C16551" s="9"/>
      <c r="D16551" t="str">
        <f>"trpa-2"</f>
        <v>trpa-2</v>
      </c>
      <c r="E16551" t="s">
        <v>5394</v>
      </c>
      <c r="F16551" t="s">
        <v>11</v>
      </c>
      <c r="G16551" t="s">
        <v>25</v>
      </c>
      <c r="H16551" s="12">
        <v>1.17444151123554</v>
      </c>
      <c r="I16551" s="20">
        <v>0.62518416665186205</v>
      </c>
      <c r="J16551" s="28">
        <v>0.53185019244058795</v>
      </c>
      <c r="K16551" s="29">
        <v>0.98289565623980701</v>
      </c>
    </row>
    <row r="16552" spans="1:11" x14ac:dyDescent="0.35">
      <c r="A16552" s="9" t="str">
        <f>HYPERLINK("http://www.ensembl.org/id/WBGene00004149", "WBGene00004149")</f>
        <v>WBGene00004149</v>
      </c>
      <c r="B16552" s="9" t="str">
        <f>HYPERLINK("http://www.ncbi.nlm.nih.gov/gene/188546", "188546")</f>
        <v>188546</v>
      </c>
      <c r="C16552" s="9"/>
      <c r="D16552" t="str">
        <f>"trpl-5"</f>
        <v>trpl-5</v>
      </c>
      <c r="E16552" t="s">
        <v>4505</v>
      </c>
      <c r="F16552" t="s">
        <v>11</v>
      </c>
      <c r="G16552" t="s">
        <v>4506</v>
      </c>
      <c r="H16552" s="12">
        <v>1.82505080176831</v>
      </c>
      <c r="I16552" s="20">
        <v>0.26201439077931798</v>
      </c>
      <c r="J16552" s="28">
        <v>0.793310347434382</v>
      </c>
      <c r="K16552" s="29">
        <v>0.98289565623980701</v>
      </c>
    </row>
    <row r="16553" spans="1:11" x14ac:dyDescent="0.35">
      <c r="A16553" s="9" t="str">
        <f>HYPERLINK("http://www.ensembl.org/id/WBGene00022138", "WBGene00022138")</f>
        <v>WBGene00022138</v>
      </c>
      <c r="B16553" s="9" t="str">
        <f>HYPERLINK("http://www.ncbi.nlm.nih.gov/gene/3564796", "3564796")</f>
        <v>3564796</v>
      </c>
      <c r="C16553" s="9"/>
      <c r="D16553" t="str">
        <f>"trpp-10"</f>
        <v>trpp-10</v>
      </c>
      <c r="E16553" t="s">
        <v>6296</v>
      </c>
      <c r="F16553" t="s">
        <v>11</v>
      </c>
      <c r="G16553" t="s">
        <v>8948</v>
      </c>
      <c r="H16553" s="12">
        <v>-1.2102258377881701</v>
      </c>
      <c r="I16553" s="20">
        <v>-0.90515686831629505</v>
      </c>
      <c r="J16553" s="28">
        <v>0.36538228825861102</v>
      </c>
      <c r="K16553" s="29">
        <v>0.98289565623980701</v>
      </c>
    </row>
    <row r="16554" spans="1:11" x14ac:dyDescent="0.35">
      <c r="A16554" s="9" t="str">
        <f>HYPERLINK("http://www.ensembl.org/id/WBGene00015173", "WBGene00015173")</f>
        <v>WBGene00015173</v>
      </c>
      <c r="B16554" s="9" t="str">
        <f>HYPERLINK("http://www.ncbi.nlm.nih.gov/gene/175236", "175236")</f>
        <v>175236</v>
      </c>
      <c r="C16554" s="9" t="str">
        <f>HYPERLINK("http://www.ncbi.nlm.nih.gov/gene/60684", "60684")</f>
        <v>60684</v>
      </c>
      <c r="D16554" t="str">
        <f>"trpp-11"</f>
        <v>trpp-11</v>
      </c>
      <c r="E16554" t="s">
        <v>6296</v>
      </c>
      <c r="F16554" t="s">
        <v>11</v>
      </c>
      <c r="G16554" t="s">
        <v>8966</v>
      </c>
      <c r="H16554" s="12">
        <v>-1.2115740193915301</v>
      </c>
      <c r="I16554" s="20">
        <v>-1.0050857351773901</v>
      </c>
      <c r="J16554" s="28">
        <v>0.31485556828554401</v>
      </c>
      <c r="K16554" s="29">
        <v>0.98289565623980701</v>
      </c>
    </row>
    <row r="16555" spans="1:11" x14ac:dyDescent="0.35">
      <c r="A16555" s="9" t="str">
        <f>HYPERLINK("http://www.ensembl.org/id/WBGene00016614", "WBGene00016614")</f>
        <v>WBGene00016614</v>
      </c>
      <c r="B16555" s="9" t="str">
        <f>HYPERLINK("http://www.ncbi.nlm.nih.gov/gene/180546", "180546")</f>
        <v>180546</v>
      </c>
      <c r="C16555" s="9"/>
      <c r="D16555" t="str">
        <f>"trpp-12"</f>
        <v>trpp-12</v>
      </c>
      <c r="E16555" t="s">
        <v>6296</v>
      </c>
      <c r="F16555" t="s">
        <v>11</v>
      </c>
      <c r="G16555" t="s">
        <v>6297</v>
      </c>
      <c r="H16555" s="12">
        <v>-1.06055114175137</v>
      </c>
      <c r="I16555" s="20">
        <v>-0.29216462369297103</v>
      </c>
      <c r="J16555" s="28">
        <v>0.77016075835049502</v>
      </c>
      <c r="K16555" s="29">
        <v>0.98289565623980701</v>
      </c>
    </row>
    <row r="16556" spans="1:11" x14ac:dyDescent="0.35">
      <c r="A16556" s="9" t="str">
        <f>HYPERLINK("http://www.ensembl.org/id/WBGene00014222", "WBGene00014222")</f>
        <v>WBGene00014222</v>
      </c>
      <c r="B16556" s="9" t="str">
        <f>HYPERLINK("http://www.ncbi.nlm.nih.gov/gene/176344", "176344")</f>
        <v>176344</v>
      </c>
      <c r="C16556" s="9" t="str">
        <f>HYPERLINK("http://www.ncbi.nlm.nih.gov/gene/27095", "27095")</f>
        <v>27095</v>
      </c>
      <c r="D16556" t="str">
        <f>"trpp-3"</f>
        <v>trpp-3</v>
      </c>
      <c r="E16556" t="s">
        <v>8495</v>
      </c>
      <c r="F16556" t="s">
        <v>11</v>
      </c>
      <c r="G16556" t="s">
        <v>8496</v>
      </c>
      <c r="H16556" s="12">
        <v>-1.1806167127987199</v>
      </c>
      <c r="I16556" s="20">
        <v>-0.770082701580874</v>
      </c>
      <c r="J16556" s="28">
        <v>0.44125083653709102</v>
      </c>
      <c r="K16556" s="29">
        <v>0.98289565623980701</v>
      </c>
    </row>
    <row r="16557" spans="1:11" x14ac:dyDescent="0.35">
      <c r="A16557" s="9" t="str">
        <f>HYPERLINK("http://www.ensembl.org/id/WBGene00018088", "WBGene00018088")</f>
        <v>WBGene00018088</v>
      </c>
      <c r="B16557" s="9" t="str">
        <f>HYPERLINK("http://www.ncbi.nlm.nih.gov/gene/185357", "185357")</f>
        <v>185357</v>
      </c>
      <c r="C16557" s="9" t="str">
        <f>HYPERLINK("http://www.ncbi.nlm.nih.gov/gene/51399", "51399")</f>
        <v>51399</v>
      </c>
      <c r="D16557" t="str">
        <f>"trpp-4"</f>
        <v>trpp-4</v>
      </c>
      <c r="E16557" t="s">
        <v>6296</v>
      </c>
      <c r="F16557" t="s">
        <v>11</v>
      </c>
      <c r="G16557" t="s">
        <v>6429</v>
      </c>
      <c r="H16557" s="12">
        <v>-1.06885023558944</v>
      </c>
      <c r="I16557" s="20">
        <v>-0.28612487590956098</v>
      </c>
      <c r="J16557" s="28">
        <v>0.77478247943429501</v>
      </c>
      <c r="K16557" s="29">
        <v>0.98289565623980701</v>
      </c>
    </row>
    <row r="16558" spans="1:11" x14ac:dyDescent="0.35">
      <c r="A16558" s="9" t="str">
        <f>HYPERLINK("http://www.ensembl.org/id/WBGene00013259", "WBGene00013259")</f>
        <v>WBGene00013259</v>
      </c>
      <c r="B16558" s="9" t="str">
        <f>HYPERLINK("http://www.ncbi.nlm.nih.gov/gene/190338", "190338")</f>
        <v>190338</v>
      </c>
      <c r="C16558" s="9" t="str">
        <f>HYPERLINK("http://www.ncbi.nlm.nih.gov/gene/126003", "126003")</f>
        <v>126003</v>
      </c>
      <c r="D16558" t="str">
        <f>"trpp-5"</f>
        <v>trpp-5</v>
      </c>
      <c r="E16558" t="s">
        <v>8380</v>
      </c>
      <c r="F16558" t="s">
        <v>11</v>
      </c>
      <c r="G16558" t="s">
        <v>8381</v>
      </c>
      <c r="H16558" s="12">
        <v>-1.17427764552021</v>
      </c>
      <c r="I16558" s="20">
        <v>-0.70857077683601599</v>
      </c>
      <c r="J16558" s="28">
        <v>0.47859087639383002</v>
      </c>
      <c r="K16558" s="29">
        <v>0.98289565623980701</v>
      </c>
    </row>
    <row r="16559" spans="1:11" x14ac:dyDescent="0.35">
      <c r="A16559" s="9" t="str">
        <f>HYPERLINK("http://www.ensembl.org/id/WBGene00010699", "WBGene00010699")</f>
        <v>WBGene00010699</v>
      </c>
      <c r="B16559" s="9" t="str">
        <f>HYPERLINK("http://www.ncbi.nlm.nih.gov/gene/179394", "179394")</f>
        <v>179394</v>
      </c>
      <c r="C16559" s="9" t="str">
        <f>HYPERLINK("http://www.ncbi.nlm.nih.gov/gene/122553", "122553")</f>
        <v>122553</v>
      </c>
      <c r="D16559" t="str">
        <f>"trpp-6"</f>
        <v>trpp-6</v>
      </c>
      <c r="E16559" t="s">
        <v>6296</v>
      </c>
      <c r="F16559" t="s">
        <v>11</v>
      </c>
      <c r="G16559" t="s">
        <v>6520</v>
      </c>
      <c r="H16559" s="12">
        <v>-1.0732488448926001</v>
      </c>
      <c r="I16559" s="20">
        <v>-0.32725131481672898</v>
      </c>
      <c r="J16559" s="28">
        <v>0.743477811977583</v>
      </c>
      <c r="K16559" s="29">
        <v>0.98289565623980701</v>
      </c>
    </row>
    <row r="16560" spans="1:11" x14ac:dyDescent="0.35">
      <c r="A16560" s="9" t="str">
        <f>HYPERLINK("http://www.ensembl.org/id/WBGene00018512", "WBGene00018512")</f>
        <v>WBGene00018512</v>
      </c>
      <c r="B16560" s="9" t="str">
        <f>HYPERLINK("http://www.ncbi.nlm.nih.gov/gene/172217", "172217")</f>
        <v>172217</v>
      </c>
      <c r="C16560" s="9"/>
      <c r="D16560" t="str">
        <f>"trpp-8"</f>
        <v>trpp-8</v>
      </c>
      <c r="E16560" t="s">
        <v>6296</v>
      </c>
      <c r="F16560" t="s">
        <v>11</v>
      </c>
      <c r="G16560" t="s">
        <v>8795</v>
      </c>
      <c r="H16560" s="12">
        <v>-1.1971557311731</v>
      </c>
      <c r="I16560" s="20">
        <v>-0.94198966152566199</v>
      </c>
      <c r="J16560" s="28">
        <v>0.34619793300916601</v>
      </c>
      <c r="K16560" s="29">
        <v>0.98289565623980701</v>
      </c>
    </row>
    <row r="16561" spans="1:11" x14ac:dyDescent="0.35">
      <c r="A16561" s="9" t="str">
        <f>HYPERLINK("http://www.ensembl.org/id/WBGene00007956", "WBGene00007956")</f>
        <v>WBGene00007956</v>
      </c>
      <c r="B16561" s="9" t="str">
        <f>HYPERLINK("http://www.ncbi.nlm.nih.gov/gene/181345", "181345")</f>
        <v>181345</v>
      </c>
      <c r="C16561" s="9" t="str">
        <f>HYPERLINK("http://www.ncbi.nlm.nih.gov/gene/83696", "83696")</f>
        <v>83696</v>
      </c>
      <c r="D16561" t="str">
        <f>"trpp-9"</f>
        <v>trpp-9</v>
      </c>
      <c r="E16561" t="s">
        <v>6296</v>
      </c>
      <c r="F16561" t="s">
        <v>11</v>
      </c>
      <c r="G16561" t="s">
        <v>9055</v>
      </c>
      <c r="H16561" s="12">
        <v>-1.21732558666214</v>
      </c>
      <c r="I16561" s="20">
        <v>-1.01106347084711</v>
      </c>
      <c r="J16561" s="28">
        <v>0.311986052457288</v>
      </c>
      <c r="K16561" s="29">
        <v>0.98289565623980701</v>
      </c>
    </row>
    <row r="16562" spans="1:11" x14ac:dyDescent="0.35">
      <c r="A16562" s="9" t="str">
        <f>HYPERLINK("http://www.ensembl.org/id/WBGene00015194", "WBGene00015194")</f>
        <v>WBGene00015194</v>
      </c>
      <c r="B16562" s="9" t="str">
        <f>HYPERLINK("http://www.ncbi.nlm.nih.gov/gene/173412", "173412")</f>
        <v>173412</v>
      </c>
      <c r="C16562" s="9"/>
      <c r="D16562" t="str">
        <f>"trul-1"</f>
        <v>trul-1</v>
      </c>
      <c r="F16562" t="s">
        <v>11</v>
      </c>
      <c r="G16562" t="s">
        <v>9825</v>
      </c>
      <c r="H16562" s="12">
        <v>-1.31280426609175</v>
      </c>
      <c r="I16562" s="20">
        <v>-1.0779917069112499</v>
      </c>
      <c r="J16562" s="28">
        <v>0.28103745709890199</v>
      </c>
      <c r="K16562" s="29">
        <v>0.98289565623980701</v>
      </c>
    </row>
    <row r="16563" spans="1:11" x14ac:dyDescent="0.35">
      <c r="A16563" s="9" t="str">
        <f>HYPERLINK("http://www.ensembl.org/id/WBGene00015062", "WBGene00015062")</f>
        <v>WBGene00015062</v>
      </c>
      <c r="B16563" s="9" t="str">
        <f>HYPERLINK("http://www.ncbi.nlm.nih.gov/gene/181863", "181863")</f>
        <v>181863</v>
      </c>
      <c r="C16563" s="9"/>
      <c r="D16563" t="str">
        <f>"trx-1"</f>
        <v>trx-1</v>
      </c>
      <c r="E16563" t="s">
        <v>4489</v>
      </c>
      <c r="F16563" t="s">
        <v>11</v>
      </c>
      <c r="G16563" t="s">
        <v>4490</v>
      </c>
      <c r="H16563" s="12">
        <v>1.86348477887971</v>
      </c>
      <c r="I16563" s="20">
        <v>1.04361108008814</v>
      </c>
      <c r="J16563" s="28">
        <v>0.29666536447590502</v>
      </c>
      <c r="K16563" s="29">
        <v>0.98289565623980701</v>
      </c>
    </row>
    <row r="16564" spans="1:11" x14ac:dyDescent="0.35">
      <c r="A16564" s="9" t="str">
        <f>HYPERLINK("http://www.ensembl.org/id/WBGene00007099", "WBGene00007099")</f>
        <v>WBGene00007099</v>
      </c>
      <c r="B16564" s="9" t="str">
        <f>HYPERLINK("http://www.ncbi.nlm.nih.gov/gene/179434", "179434")</f>
        <v>179434</v>
      </c>
      <c r="C16564" s="9" t="str">
        <f>HYPERLINK("http://www.ncbi.nlm.nih.gov/gene/25828", "25828")</f>
        <v>25828</v>
      </c>
      <c r="D16564" t="str">
        <f>"trx-2"</f>
        <v>trx-2</v>
      </c>
      <c r="E16564" t="s">
        <v>9530</v>
      </c>
      <c r="F16564" t="s">
        <v>11</v>
      </c>
      <c r="G16564" t="s">
        <v>9531</v>
      </c>
      <c r="H16564" s="12">
        <v>-1.25580870138569</v>
      </c>
      <c r="I16564" s="20">
        <v>-1.1331876315043301</v>
      </c>
      <c r="J16564" s="28">
        <v>0.25713546711768598</v>
      </c>
      <c r="K16564" s="29">
        <v>0.98289565623980701</v>
      </c>
    </row>
    <row r="16565" spans="1:11" x14ac:dyDescent="0.35">
      <c r="A16565" s="9" t="str">
        <f>HYPERLINK("http://www.ensembl.org/id/WBGene00019717", "WBGene00019717")</f>
        <v>WBGene00019717</v>
      </c>
      <c r="B16565" s="9" t="str">
        <f>HYPERLINK("http://www.ncbi.nlm.nih.gov/gene/187389", "187389")</f>
        <v>187389</v>
      </c>
      <c r="C16565" s="9" t="str">
        <f>HYPERLINK("http://www.ncbi.nlm.nih.gov/gene/158046", "158046")</f>
        <v>158046</v>
      </c>
      <c r="D16565" t="str">
        <f>"trx-3"</f>
        <v>trx-3</v>
      </c>
      <c r="E16565" t="s">
        <v>5000</v>
      </c>
      <c r="F16565" t="s">
        <v>11</v>
      </c>
      <c r="G16565" t="s">
        <v>5001</v>
      </c>
      <c r="H16565" s="12">
        <v>1.2661646379993701</v>
      </c>
      <c r="I16565" s="20">
        <v>0.71032037203482001</v>
      </c>
      <c r="J16565" s="28">
        <v>0.47750548948798999</v>
      </c>
      <c r="K16565" s="29">
        <v>0.98289565623980701</v>
      </c>
    </row>
    <row r="16566" spans="1:11" x14ac:dyDescent="0.35">
      <c r="A16566" s="9" t="str">
        <f>HYPERLINK("http://www.ensembl.org/id/WBGene00019349", "WBGene00019349")</f>
        <v>WBGene00019349</v>
      </c>
      <c r="B16566" s="9" t="str">
        <f>HYPERLINK("http://www.ncbi.nlm.nih.gov/gene/186914", "186914")</f>
        <v>186914</v>
      </c>
      <c r="C16566" s="9" t="str">
        <f>HYPERLINK("http://www.ncbi.nlm.nih.gov/gene/158046", "158046")</f>
        <v>158046</v>
      </c>
      <c r="D16566" t="str">
        <f>"trx-5"</f>
        <v>trx-5</v>
      </c>
      <c r="E16566" t="s">
        <v>5000</v>
      </c>
      <c r="F16566" t="s">
        <v>11</v>
      </c>
      <c r="H16566" s="12">
        <v>-6.7871563907158903</v>
      </c>
      <c r="I16566" s="20">
        <v>-0.97503941742604305</v>
      </c>
      <c r="J16566" s="28">
        <v>0.329540707816873</v>
      </c>
      <c r="K16566" s="29">
        <v>0.98289565623980701</v>
      </c>
    </row>
    <row r="16567" spans="1:11" x14ac:dyDescent="0.35">
      <c r="A16567" s="9" t="str">
        <f>HYPERLINK("http://www.ensembl.org/id/WBGene00014028", "WBGene00014028")</f>
        <v>WBGene00014028</v>
      </c>
      <c r="B16567" s="9" t="str">
        <f>HYPERLINK("http://www.ncbi.nlm.nih.gov/gene/176259", "176259")</f>
        <v>176259</v>
      </c>
      <c r="C16567" s="9" t="str">
        <f>HYPERLINK("http://www.ncbi.nlm.nih.gov/gene/10587", "10587")</f>
        <v>10587</v>
      </c>
      <c r="D16567" t="str">
        <f>"trxr-2"</f>
        <v>trxr-2</v>
      </c>
      <c r="E16567" t="s">
        <v>6510</v>
      </c>
      <c r="F16567" t="s">
        <v>11</v>
      </c>
      <c r="G16567" t="s">
        <v>6511</v>
      </c>
      <c r="H16567" s="12">
        <v>-1.0727277631655601</v>
      </c>
      <c r="I16567" s="20">
        <v>-0.27186152929591301</v>
      </c>
      <c r="J16567" s="28">
        <v>0.78572849264574496</v>
      </c>
      <c r="K16567" s="29">
        <v>0.98289565623980701</v>
      </c>
    </row>
    <row r="16568" spans="1:11" x14ac:dyDescent="0.35">
      <c r="A16568" s="9" t="str">
        <f>HYPERLINK("http://www.ensembl.org/id/WBGene00008849", "WBGene00008849")</f>
        <v>WBGene00008849</v>
      </c>
      <c r="B16568" s="9" t="str">
        <f>HYPERLINK("http://www.ncbi.nlm.nih.gov/gene/179787", "179787")</f>
        <v>179787</v>
      </c>
      <c r="C16568" s="9"/>
      <c r="D16568" t="str">
        <f>"try-10"</f>
        <v>try-10</v>
      </c>
      <c r="E16568" t="s">
        <v>357</v>
      </c>
      <c r="F16568" t="s">
        <v>11</v>
      </c>
      <c r="G16568" t="s">
        <v>6204</v>
      </c>
      <c r="H16568" s="12">
        <v>-1.0535995866189201</v>
      </c>
      <c r="I16568" s="20">
        <v>-0.27413240478966999</v>
      </c>
      <c r="J16568" s="28">
        <v>0.78398287191207905</v>
      </c>
      <c r="K16568" s="29">
        <v>0.98289565623980701</v>
      </c>
    </row>
    <row r="16569" spans="1:11" x14ac:dyDescent="0.35">
      <c r="A16569" s="9" t="str">
        <f>HYPERLINK("http://www.ensembl.org/id/WBGene00006621", "WBGene00006621")</f>
        <v>WBGene00006621</v>
      </c>
      <c r="B16569" s="9" t="str">
        <f>HYPERLINK("http://www.ncbi.nlm.nih.gov/gene/183420", "183420")</f>
        <v>183420</v>
      </c>
      <c r="C16569" s="9"/>
      <c r="D16569" t="str">
        <f>"try-3"</f>
        <v>try-3</v>
      </c>
      <c r="E16569" t="s">
        <v>357</v>
      </c>
      <c r="F16569" t="s">
        <v>11</v>
      </c>
      <c r="G16569" t="s">
        <v>358</v>
      </c>
      <c r="H16569" s="12">
        <v>-1.2259654890957501</v>
      </c>
      <c r="I16569" s="20">
        <v>-0.55829350955541701</v>
      </c>
      <c r="J16569" s="28">
        <v>0.57664397623996999</v>
      </c>
      <c r="K16569" s="29">
        <v>0.98289565623980701</v>
      </c>
    </row>
    <row r="16570" spans="1:11" x14ac:dyDescent="0.35">
      <c r="A16570" s="9" t="str">
        <f>HYPERLINK("http://www.ensembl.org/id/WBGene00006623", "WBGene00006623")</f>
        <v>WBGene00006623</v>
      </c>
      <c r="B16570" s="9" t="str">
        <f>HYPERLINK("http://www.ncbi.nlm.nih.gov/gene/187088", "187088")</f>
        <v>187088</v>
      </c>
      <c r="C16570" s="9"/>
      <c r="D16570" t="str">
        <f>"try-5"</f>
        <v>try-5</v>
      </c>
      <c r="E16570" t="s">
        <v>4728</v>
      </c>
      <c r="F16570" t="s">
        <v>11</v>
      </c>
      <c r="G16570" t="s">
        <v>4729</v>
      </c>
      <c r="H16570" s="12">
        <v>1.44008294252575</v>
      </c>
      <c r="I16570" s="20">
        <v>0.875419479431366</v>
      </c>
      <c r="J16570" s="28">
        <v>0.38134570464220902</v>
      </c>
      <c r="K16570" s="29">
        <v>0.98289565623980701</v>
      </c>
    </row>
    <row r="16571" spans="1:11" x14ac:dyDescent="0.35">
      <c r="A16571" s="9" t="str">
        <f>HYPERLINK("http://www.ensembl.org/id/WBGene00006624", "WBGene00006624")</f>
        <v>WBGene00006624</v>
      </c>
      <c r="B16571" s="9" t="str">
        <f>HYPERLINK("http://www.ncbi.nlm.nih.gov/gene/185959", "185959")</f>
        <v>185959</v>
      </c>
      <c r="C16571" s="9"/>
      <c r="D16571" t="str">
        <f>"try-6"</f>
        <v>try-6</v>
      </c>
      <c r="E16571" t="s">
        <v>357</v>
      </c>
      <c r="F16571" t="s">
        <v>11</v>
      </c>
      <c r="G16571" t="s">
        <v>1646</v>
      </c>
      <c r="H16571" s="12">
        <v>1.0963358196527799</v>
      </c>
      <c r="I16571" s="20">
        <v>0.35938048752889401</v>
      </c>
      <c r="J16571" s="28">
        <v>0.71931046976633595</v>
      </c>
      <c r="K16571" s="29">
        <v>0.98289565623980701</v>
      </c>
    </row>
    <row r="16572" spans="1:11" x14ac:dyDescent="0.35">
      <c r="A16572" s="9" t="str">
        <f>HYPERLINK("http://www.ensembl.org/id/WBGene00006625", "WBGene00006625")</f>
        <v>WBGene00006625</v>
      </c>
      <c r="B16572" s="9" t="str">
        <f>HYPERLINK("http://www.ncbi.nlm.nih.gov/gene/191201", "191201")</f>
        <v>191201</v>
      </c>
      <c r="C16572" s="9"/>
      <c r="D16572" t="str">
        <f>"try-7"</f>
        <v>try-7</v>
      </c>
      <c r="E16572" t="s">
        <v>357</v>
      </c>
      <c r="F16572" t="s">
        <v>11</v>
      </c>
      <c r="G16572" t="s">
        <v>1646</v>
      </c>
      <c r="H16572" s="12">
        <v>2.7836307030600298</v>
      </c>
      <c r="I16572" s="20">
        <v>0.58779359661386099</v>
      </c>
      <c r="J16572" s="28">
        <v>0.55667084261557098</v>
      </c>
      <c r="K16572" s="29">
        <v>0.98289565623980701</v>
      </c>
    </row>
    <row r="16573" spans="1:11" x14ac:dyDescent="0.35">
      <c r="A16573" s="9" t="str">
        <f>HYPERLINK("http://www.ensembl.org/id/WBGene00017791", "WBGene00017791")</f>
        <v>WBGene00017791</v>
      </c>
      <c r="B16573" s="9" t="str">
        <f>HYPERLINK("http://www.ncbi.nlm.nih.gov/gene/179134", "179134")</f>
        <v>179134</v>
      </c>
      <c r="C16573" s="9"/>
      <c r="D16573" t="str">
        <f>"try-8"</f>
        <v>try-8</v>
      </c>
      <c r="E16573" t="s">
        <v>357</v>
      </c>
      <c r="F16573" t="s">
        <v>11</v>
      </c>
      <c r="G16573" t="s">
        <v>4253</v>
      </c>
      <c r="H16573" s="12">
        <v>5.4871973923358901</v>
      </c>
      <c r="I16573" s="20">
        <v>0.499843548621418</v>
      </c>
      <c r="J16573" s="28">
        <v>0.61718524397184105</v>
      </c>
      <c r="K16573" s="29">
        <v>0.98289565623980701</v>
      </c>
    </row>
    <row r="16574" spans="1:11" x14ac:dyDescent="0.35">
      <c r="A16574" s="9" t="str">
        <f>HYPERLINK("http://www.ensembl.org/id/WBGene00013231", "WBGene00013231")</f>
        <v>WBGene00013231</v>
      </c>
      <c r="B16574" s="9" t="str">
        <f>HYPERLINK("http://www.ncbi.nlm.nih.gov/gene/176619", "176619")</f>
        <v>176619</v>
      </c>
      <c r="C16574" s="9"/>
      <c r="D16574" t="str">
        <f>"tsen-2"</f>
        <v>tsen-2</v>
      </c>
      <c r="E16574" t="s">
        <v>2812</v>
      </c>
      <c r="F16574" t="s">
        <v>11</v>
      </c>
      <c r="G16574" t="s">
        <v>9293</v>
      </c>
      <c r="H16574" s="12">
        <v>-1.23511815741977</v>
      </c>
      <c r="I16574" s="20">
        <v>-0.838996221990568</v>
      </c>
      <c r="J16574" s="28">
        <v>0.40147142966935201</v>
      </c>
      <c r="K16574" s="29">
        <v>0.98289565623980701</v>
      </c>
    </row>
    <row r="16575" spans="1:11" x14ac:dyDescent="0.35">
      <c r="A16575" s="9" t="str">
        <f>HYPERLINK("http://www.ensembl.org/id/WBGene00019535", "WBGene00019535")</f>
        <v>WBGene00019535</v>
      </c>
      <c r="B16575" s="9" t="str">
        <f>HYPERLINK("http://www.ncbi.nlm.nih.gov/gene/259566", "259566")</f>
        <v>259566</v>
      </c>
      <c r="C16575" s="9"/>
      <c r="D16575" t="str">
        <f>"tsen-34"</f>
        <v>tsen-34</v>
      </c>
      <c r="E16575" t="s">
        <v>2812</v>
      </c>
      <c r="F16575" t="s">
        <v>11</v>
      </c>
      <c r="G16575" t="s">
        <v>9978</v>
      </c>
      <c r="H16575" s="12">
        <v>-1.5366728782113099</v>
      </c>
      <c r="I16575" s="20">
        <v>-1.19243745356388</v>
      </c>
      <c r="J16575" s="28">
        <v>0.23308976187047201</v>
      </c>
      <c r="K16575" s="29">
        <v>0.98289565623980701</v>
      </c>
    </row>
    <row r="16576" spans="1:11" x14ac:dyDescent="0.35">
      <c r="A16576" s="9" t="str">
        <f>HYPERLINK("http://www.ensembl.org/id/WBGene00010094", "WBGene00010094")</f>
        <v>WBGene00010094</v>
      </c>
      <c r="B16576" s="9" t="str">
        <f>HYPERLINK("http://www.ncbi.nlm.nih.gov/gene/179683", "179683")</f>
        <v>179683</v>
      </c>
      <c r="C16576" s="9" t="str">
        <f>HYPERLINK("http://www.ncbi.nlm.nih.gov/gene/10102", "10102")</f>
        <v>10102</v>
      </c>
      <c r="D16576" t="str">
        <f>"tsfm-1"</f>
        <v>tsfm-1</v>
      </c>
      <c r="E16576" t="s">
        <v>7912</v>
      </c>
      <c r="F16576" t="s">
        <v>11</v>
      </c>
      <c r="G16576" t="s">
        <v>7913</v>
      </c>
      <c r="H16576" s="12">
        <v>-1.1511275343137199</v>
      </c>
      <c r="I16576" s="20">
        <v>-0.66552755805515296</v>
      </c>
      <c r="J16576" s="28">
        <v>0.505713123291472</v>
      </c>
      <c r="K16576" s="29">
        <v>0.98289565623980701</v>
      </c>
    </row>
    <row r="16577" spans="1:11" x14ac:dyDescent="0.35">
      <c r="A16577" s="9" t="str">
        <f>HYPERLINK("http://www.ensembl.org/id/WBGene00015658", "WBGene00015658")</f>
        <v>WBGene00015658</v>
      </c>
      <c r="B16577" s="9" t="str">
        <f>HYPERLINK("http://www.ncbi.nlm.nih.gov/gene/182474", "182474")</f>
        <v>182474</v>
      </c>
      <c r="C16577" s="9" t="str">
        <f>HYPERLINK("http://www.ncbi.nlm.nih.gov/gene/7251", "7251")</f>
        <v>7251</v>
      </c>
      <c r="D16577" t="str">
        <f>"tsg-101"</f>
        <v>tsg-101</v>
      </c>
      <c r="E16577" t="s">
        <v>9279</v>
      </c>
      <c r="F16577" t="s">
        <v>11</v>
      </c>
      <c r="G16577" t="s">
        <v>9280</v>
      </c>
      <c r="H16577" s="12">
        <v>-1.2333309441240199</v>
      </c>
      <c r="I16577" s="20">
        <v>-1.0881411312026299</v>
      </c>
      <c r="J16577" s="28">
        <v>0.27653280825568199</v>
      </c>
      <c r="K16577" s="29">
        <v>0.98289565623980701</v>
      </c>
    </row>
    <row r="16578" spans="1:11" x14ac:dyDescent="0.35">
      <c r="A16578" s="9" t="str">
        <f>HYPERLINK("http://www.ensembl.org/id/WBGene00006627", "WBGene00006627")</f>
        <v>WBGene00006627</v>
      </c>
      <c r="B16578" s="9" t="str">
        <f>HYPERLINK("http://www.ncbi.nlm.nih.gov/gene/192096", "192096")</f>
        <v>192096</v>
      </c>
      <c r="C16578" s="9"/>
      <c r="D16578" t="str">
        <f>"tsp-1"</f>
        <v>tsp-1</v>
      </c>
      <c r="E16578" t="s">
        <v>7049</v>
      </c>
      <c r="F16578" t="s">
        <v>11</v>
      </c>
      <c r="G16578" t="s">
        <v>7050</v>
      </c>
      <c r="H16578" s="12">
        <v>-1.1045132220856599</v>
      </c>
      <c r="I16578" s="20">
        <v>-0.341481336337561</v>
      </c>
      <c r="J16578" s="28">
        <v>0.73274125285549896</v>
      </c>
      <c r="K16578" s="29">
        <v>0.98289565623980701</v>
      </c>
    </row>
    <row r="16579" spans="1:11" x14ac:dyDescent="0.35">
      <c r="A16579" s="9" t="str">
        <f>HYPERLINK("http://www.ensembl.org/id/WBGene00006637", "WBGene00006637")</f>
        <v>WBGene00006637</v>
      </c>
      <c r="B16579" s="9" t="str">
        <f>HYPERLINK("http://www.ncbi.nlm.nih.gov/gene/192064", "192064")</f>
        <v>192064</v>
      </c>
      <c r="C16579" s="9"/>
      <c r="D16579" t="str">
        <f>"tsp-11"</f>
        <v>tsp-11</v>
      </c>
      <c r="E16579" t="s">
        <v>3957</v>
      </c>
      <c r="F16579" t="s">
        <v>11</v>
      </c>
      <c r="G16579" t="s">
        <v>868</v>
      </c>
      <c r="H16579" s="12">
        <v>-1.19029926012279</v>
      </c>
      <c r="I16579" s="20">
        <v>-0.74981652296968904</v>
      </c>
      <c r="J16579" s="28">
        <v>0.45336521596007701</v>
      </c>
      <c r="K16579" s="29">
        <v>0.98289565623980701</v>
      </c>
    </row>
    <row r="16580" spans="1:11" x14ac:dyDescent="0.35">
      <c r="A16580" s="9" t="str">
        <f>HYPERLINK("http://www.ensembl.org/id/WBGene00006639", "WBGene00006639")</f>
        <v>WBGene00006639</v>
      </c>
      <c r="B16580" s="9" t="str">
        <f>HYPERLINK("http://www.ncbi.nlm.nih.gov/gene/189737", "189737")</f>
        <v>189737</v>
      </c>
      <c r="C16580" s="9"/>
      <c r="D16580" t="str">
        <f>"tsp-13"</f>
        <v>tsp-13</v>
      </c>
      <c r="E16580" t="s">
        <v>3957</v>
      </c>
      <c r="F16580" t="s">
        <v>11</v>
      </c>
      <c r="G16580" t="s">
        <v>868</v>
      </c>
      <c r="H16580" s="12">
        <v>-1.1019692964605401</v>
      </c>
      <c r="I16580" s="20">
        <v>-0.33175705955635298</v>
      </c>
      <c r="J16580" s="28">
        <v>0.740072711050478</v>
      </c>
      <c r="K16580" s="29">
        <v>0.98289565623980701</v>
      </c>
    </row>
    <row r="16581" spans="1:11" x14ac:dyDescent="0.35">
      <c r="A16581" s="9" t="str">
        <f>HYPERLINK("http://www.ensembl.org/id/WBGene00006644", "WBGene00006644")</f>
        <v>WBGene00006644</v>
      </c>
      <c r="B16581" s="9" t="str">
        <f>HYPERLINK("http://www.ncbi.nlm.nih.gov/gene/192068", "192068")</f>
        <v>192068</v>
      </c>
      <c r="C16581" s="9"/>
      <c r="D16581" t="str">
        <f>"tsp-18"</f>
        <v>tsp-18</v>
      </c>
      <c r="E16581" t="s">
        <v>500</v>
      </c>
      <c r="F16581" t="s">
        <v>11</v>
      </c>
      <c r="G16581" t="s">
        <v>868</v>
      </c>
      <c r="H16581" s="12">
        <v>2.3444892507898301</v>
      </c>
      <c r="I16581" s="20">
        <v>0.253126732237689</v>
      </c>
      <c r="J16581" s="28">
        <v>0.80017028205419904</v>
      </c>
      <c r="K16581" s="29">
        <v>0.98289565623980701</v>
      </c>
    </row>
    <row r="16582" spans="1:11" x14ac:dyDescent="0.35">
      <c r="A16582" s="9" t="str">
        <f>HYPERLINK("http://www.ensembl.org/id/WBGene00006628", "WBGene00006628")</f>
        <v>WBGene00006628</v>
      </c>
      <c r="B16582" s="9" t="str">
        <f>HYPERLINK("http://www.ncbi.nlm.nih.gov/gene/259752", "259752")</f>
        <v>259752</v>
      </c>
      <c r="C16582" s="9"/>
      <c r="D16582" t="str">
        <f>"tsp-2"</f>
        <v>tsp-2</v>
      </c>
      <c r="E16582" t="s">
        <v>500</v>
      </c>
      <c r="F16582" t="s">
        <v>11</v>
      </c>
      <c r="G16582" t="s">
        <v>868</v>
      </c>
      <c r="H16582" s="12">
        <v>1.1287130444495901</v>
      </c>
      <c r="I16582" s="20">
        <v>0.37693271578342202</v>
      </c>
      <c r="J16582" s="28">
        <v>0.70622360788894101</v>
      </c>
      <c r="K16582" s="29">
        <v>0.98289565623980701</v>
      </c>
    </row>
    <row r="16583" spans="1:11" x14ac:dyDescent="0.35">
      <c r="A16583" s="9" t="str">
        <f>HYPERLINK("http://www.ensembl.org/id/WBGene00006646", "WBGene00006646")</f>
        <v>WBGene00006646</v>
      </c>
      <c r="B16583" s="9" t="str">
        <f>HYPERLINK("http://www.ncbi.nlm.nih.gov/gene/181376", "181376")</f>
        <v>181376</v>
      </c>
      <c r="C16583" s="9"/>
      <c r="D16583" t="str">
        <f>"tsp-20"</f>
        <v>tsp-20</v>
      </c>
      <c r="E16583" t="s">
        <v>500</v>
      </c>
      <c r="F16583" t="s">
        <v>11</v>
      </c>
      <c r="G16583" t="s">
        <v>868</v>
      </c>
      <c r="H16583" s="12">
        <v>-1.0816684912696699</v>
      </c>
      <c r="I16583" s="20">
        <v>-0.34602498536633403</v>
      </c>
      <c r="J16583" s="28">
        <v>0.72932393766398096</v>
      </c>
      <c r="K16583" s="29">
        <v>0.98289565623980701</v>
      </c>
    </row>
    <row r="16584" spans="1:11" x14ac:dyDescent="0.35">
      <c r="A16584" s="9" t="str">
        <f>HYPERLINK("http://www.ensembl.org/id/WBGene00023491", "WBGene00023491")</f>
        <v>WBGene00023491</v>
      </c>
      <c r="B16584" s="9" t="str">
        <f>HYPERLINK("http://www.ncbi.nlm.nih.gov/gene/259720", "259720")</f>
        <v>259720</v>
      </c>
      <c r="C16584" s="9"/>
      <c r="D16584" t="str">
        <f>"tsp-21"</f>
        <v>tsp-21</v>
      </c>
      <c r="E16584" t="s">
        <v>5272</v>
      </c>
      <c r="F16584" t="s">
        <v>11</v>
      </c>
      <c r="G16584" t="s">
        <v>5273</v>
      </c>
      <c r="H16584" s="12">
        <v>1.1995791332781101</v>
      </c>
      <c r="I16584" s="20">
        <v>0.767930249168572</v>
      </c>
      <c r="J16584" s="28">
        <v>0.44252862515024599</v>
      </c>
      <c r="K16584" s="29">
        <v>0.98289565623980701</v>
      </c>
    </row>
    <row r="16585" spans="1:11" x14ac:dyDescent="0.35">
      <c r="A16585" s="9" t="str">
        <f>HYPERLINK("http://www.ensembl.org/id/WBGene00006631", "WBGene00006631")</f>
        <v>WBGene00006631</v>
      </c>
      <c r="B16585" s="9" t="str">
        <f>HYPERLINK("http://www.ncbi.nlm.nih.gov/gene/192061", "192061")</f>
        <v>192061</v>
      </c>
      <c r="C16585" s="9"/>
      <c r="D16585" t="str">
        <f>"tsp-5"</f>
        <v>tsp-5</v>
      </c>
      <c r="E16585" t="s">
        <v>3957</v>
      </c>
      <c r="F16585" t="s">
        <v>11</v>
      </c>
      <c r="G16585" t="s">
        <v>868</v>
      </c>
      <c r="H16585" s="12">
        <v>2.13216876030986</v>
      </c>
      <c r="I16585" s="20">
        <v>0.55569745471955201</v>
      </c>
      <c r="J16585" s="28">
        <v>0.578417696871247</v>
      </c>
      <c r="K16585" s="29">
        <v>0.98289565623980701</v>
      </c>
    </row>
    <row r="16586" spans="1:11" x14ac:dyDescent="0.35">
      <c r="A16586" s="9" t="str">
        <f>HYPERLINK("http://www.ensembl.org/id/WBGene00006632", "WBGene00006632")</f>
        <v>WBGene00006632</v>
      </c>
      <c r="B16586" s="9" t="str">
        <f>HYPERLINK("http://www.ncbi.nlm.nih.gov/gene/13219712", "13219712")</f>
        <v>13219712</v>
      </c>
      <c r="C16586" s="9"/>
      <c r="D16586" t="str">
        <f>"tsp-6"</f>
        <v>tsp-6</v>
      </c>
      <c r="E16586" t="s">
        <v>3957</v>
      </c>
      <c r="F16586" t="s">
        <v>11</v>
      </c>
      <c r="G16586" t="s">
        <v>868</v>
      </c>
      <c r="H16586" s="12">
        <v>-1.0789637019838301</v>
      </c>
      <c r="I16586" s="20">
        <v>-0.36204310823150399</v>
      </c>
      <c r="J16586" s="28">
        <v>0.71731981670953104</v>
      </c>
      <c r="K16586" s="29">
        <v>0.98289565623980701</v>
      </c>
    </row>
    <row r="16587" spans="1:11" x14ac:dyDescent="0.35">
      <c r="A16587" s="9" t="str">
        <f>HYPERLINK("http://www.ensembl.org/id/WBGene00006634", "WBGene00006634")</f>
        <v>WBGene00006634</v>
      </c>
      <c r="B16587" s="9" t="str">
        <f>HYPERLINK("http://www.ncbi.nlm.nih.gov/gene/181567", "181567")</f>
        <v>181567</v>
      </c>
      <c r="C16587" s="9" t="str">
        <f>HYPERLINK("http://www.ncbi.nlm.nih.gov/gene/3732", "3732")</f>
        <v>3732</v>
      </c>
      <c r="D16587" t="str">
        <f>"tsp-8"</f>
        <v>tsp-8</v>
      </c>
      <c r="E16587" t="s">
        <v>3957</v>
      </c>
      <c r="F16587" t="s">
        <v>11</v>
      </c>
      <c r="G16587" t="s">
        <v>868</v>
      </c>
      <c r="H16587" s="12">
        <v>1.1575883498249699</v>
      </c>
      <c r="I16587" s="20">
        <v>0.62439615850017505</v>
      </c>
      <c r="J16587" s="28">
        <v>0.53236744729030305</v>
      </c>
      <c r="K16587" s="29">
        <v>0.98289565623980701</v>
      </c>
    </row>
    <row r="16588" spans="1:11" x14ac:dyDescent="0.35">
      <c r="A16588" s="9" t="str">
        <f>HYPERLINK("http://www.ensembl.org/id/WBGene00006635", "WBGene00006635")</f>
        <v>WBGene00006635</v>
      </c>
      <c r="B16588" s="9" t="str">
        <f>HYPERLINK("http://www.ncbi.nlm.nih.gov/gene/180472", "180472")</f>
        <v>180472</v>
      </c>
      <c r="C16588" s="9"/>
      <c r="D16588" t="str">
        <f>"tsp-9"</f>
        <v>tsp-9</v>
      </c>
      <c r="E16588" t="s">
        <v>3957</v>
      </c>
      <c r="F16588" t="s">
        <v>11</v>
      </c>
      <c r="G16588" t="s">
        <v>868</v>
      </c>
      <c r="H16588" s="12">
        <v>1.1203571326517401</v>
      </c>
      <c r="I16588" s="20">
        <v>0.454741335387566</v>
      </c>
      <c r="J16588" s="28">
        <v>0.64929533941451101</v>
      </c>
      <c r="K16588" s="29">
        <v>0.98289565623980701</v>
      </c>
    </row>
    <row r="16589" spans="1:11" x14ac:dyDescent="0.35">
      <c r="A16589" s="9" t="str">
        <f>HYPERLINK("http://www.ensembl.org/id/WBGene00006647", "WBGene00006647")</f>
        <v>WBGene00006647</v>
      </c>
      <c r="B16589" s="9"/>
      <c r="C16589" s="9"/>
      <c r="D16589" t="str">
        <f>"tsr-1"</f>
        <v>tsr-1</v>
      </c>
      <c r="F16589" t="s">
        <v>11</v>
      </c>
      <c r="H16589" s="12">
        <v>-1.23595268395742</v>
      </c>
      <c r="I16589" s="20">
        <v>-0.99513480065256099</v>
      </c>
      <c r="J16589" s="28">
        <v>0.31967070694925598</v>
      </c>
      <c r="K16589" s="29">
        <v>0.98289565623980701</v>
      </c>
    </row>
    <row r="16590" spans="1:11" x14ac:dyDescent="0.35">
      <c r="A16590" s="9" t="str">
        <f>HYPERLINK("http://www.ensembl.org/id/WBGene00006648", "WBGene00006648")</f>
        <v>WBGene00006648</v>
      </c>
      <c r="B16590" s="9" t="str">
        <f>HYPERLINK("http://www.ncbi.nlm.nih.gov/gene/178544", "178544")</f>
        <v>178544</v>
      </c>
      <c r="C16590" s="9" t="str">
        <f>HYPERLINK("http://www.ncbi.nlm.nih.gov/gene/2959", "2959")</f>
        <v>2959</v>
      </c>
      <c r="D16590" t="str">
        <f>"ttb-1"</f>
        <v>ttb-1</v>
      </c>
      <c r="E16590" t="s">
        <v>8713</v>
      </c>
      <c r="F16590" t="s">
        <v>11</v>
      </c>
      <c r="G16590" t="s">
        <v>8714</v>
      </c>
      <c r="H16590" s="12">
        <v>-1.19246227367494</v>
      </c>
      <c r="I16590" s="20">
        <v>-0.84434081614806</v>
      </c>
      <c r="J16590" s="28">
        <v>0.39847898411417898</v>
      </c>
      <c r="K16590" s="29">
        <v>0.98289565623980701</v>
      </c>
    </row>
    <row r="16591" spans="1:11" x14ac:dyDescent="0.35">
      <c r="A16591" s="9" t="str">
        <f>HYPERLINK("http://www.ensembl.org/id/WBGene00018122", "WBGene00018122")</f>
        <v>WBGene00018122</v>
      </c>
      <c r="B16591" s="9" t="str">
        <f>HYPERLINK("http://www.ncbi.nlm.nih.gov/gene/177304", "177304")</f>
        <v>177304</v>
      </c>
      <c r="C16591" s="9"/>
      <c r="D16591" t="str">
        <f>"ttbk-2"</f>
        <v>ttbk-2</v>
      </c>
      <c r="E16591" t="s">
        <v>4264</v>
      </c>
      <c r="F16591" t="s">
        <v>11</v>
      </c>
      <c r="G16591" t="s">
        <v>1763</v>
      </c>
      <c r="H16591" s="12">
        <v>4.9426611675734602</v>
      </c>
      <c r="I16591" s="20">
        <v>0.77154926188425899</v>
      </c>
      <c r="J16591" s="28">
        <v>0.44038143509234501</v>
      </c>
      <c r="K16591" s="29">
        <v>0.98289565623980701</v>
      </c>
    </row>
    <row r="16592" spans="1:11" x14ac:dyDescent="0.35">
      <c r="A16592" s="9" t="str">
        <f>HYPERLINK("http://www.ensembl.org/id/WBGene00012169", "WBGene00012169")</f>
        <v>WBGene00012169</v>
      </c>
      <c r="B16592" s="9" t="str">
        <f>HYPERLINK("http://www.ncbi.nlm.nih.gov/gene/177871", "177871")</f>
        <v>177871</v>
      </c>
      <c r="C16592" s="9"/>
      <c r="D16592" t="str">
        <f>"ttbk-4"</f>
        <v>ttbk-4</v>
      </c>
      <c r="E16592" t="s">
        <v>4264</v>
      </c>
      <c r="F16592" t="s">
        <v>11</v>
      </c>
      <c r="G16592" t="s">
        <v>1763</v>
      </c>
      <c r="H16592" s="12">
        <v>-2.8243810397981601</v>
      </c>
      <c r="I16592" s="20">
        <v>-1.0861539056163201</v>
      </c>
      <c r="J16592" s="28">
        <v>0.277410906586185</v>
      </c>
      <c r="K16592" s="29">
        <v>0.98289565623980701</v>
      </c>
    </row>
    <row r="16593" spans="1:11" x14ac:dyDescent="0.35">
      <c r="A16593" s="9" t="str">
        <f>HYPERLINK("http://www.ensembl.org/id/WBGene00016673", "WBGene00016673")</f>
        <v>WBGene00016673</v>
      </c>
      <c r="B16593" s="9" t="str">
        <f>HYPERLINK("http://www.ncbi.nlm.nih.gov/gene/183478", "183478")</f>
        <v>183478</v>
      </c>
      <c r="C16593" s="9"/>
      <c r="D16593" t="str">
        <f>"ttbk-6"</f>
        <v>ttbk-6</v>
      </c>
      <c r="E16593" t="s">
        <v>4249</v>
      </c>
      <c r="F16593" t="s">
        <v>11</v>
      </c>
      <c r="G16593" t="s">
        <v>4250</v>
      </c>
      <c r="H16593" s="12">
        <v>5.9495765472548197</v>
      </c>
      <c r="I16593" s="20">
        <v>0.52429389276509997</v>
      </c>
      <c r="J16593" s="28">
        <v>0.60007414400596704</v>
      </c>
      <c r="K16593" s="29">
        <v>0.98289565623980701</v>
      </c>
    </row>
    <row r="16594" spans="1:11" x14ac:dyDescent="0.35">
      <c r="A16594" s="9" t="str">
        <f>HYPERLINK("http://www.ensembl.org/id/WBGene00011283", "WBGene00011283")</f>
        <v>WBGene00011283</v>
      </c>
      <c r="B16594" s="9" t="str">
        <f>HYPERLINK("http://www.ncbi.nlm.nih.gov/gene/179768", "179768")</f>
        <v>179768</v>
      </c>
      <c r="C16594" s="9"/>
      <c r="D16594" t="str">
        <f>"ttbk-7"</f>
        <v>ttbk-7</v>
      </c>
      <c r="E16594" t="s">
        <v>4264</v>
      </c>
      <c r="F16594" t="s">
        <v>11</v>
      </c>
      <c r="G16594" t="s">
        <v>961</v>
      </c>
      <c r="H16594" s="12">
        <v>1.1718074124308699</v>
      </c>
      <c r="I16594" s="20">
        <v>0.81555861692463205</v>
      </c>
      <c r="J16594" s="28">
        <v>0.41475262627105303</v>
      </c>
      <c r="K16594" s="29">
        <v>0.98289565623980701</v>
      </c>
    </row>
    <row r="16595" spans="1:11" x14ac:dyDescent="0.35">
      <c r="A16595" s="9" t="str">
        <f>HYPERLINK("http://www.ensembl.org/id/WBGene00016390", "WBGene00016390")</f>
        <v>WBGene00016390</v>
      </c>
      <c r="B16595" s="9" t="str">
        <f>HYPERLINK("http://www.ncbi.nlm.nih.gov/gene/172965", "172965")</f>
        <v>172965</v>
      </c>
      <c r="C16595" s="9"/>
      <c r="D16595" t="str">
        <f>"ttc-1"</f>
        <v>ttc-1</v>
      </c>
      <c r="E16595" t="s">
        <v>2124</v>
      </c>
      <c r="F16595" t="s">
        <v>11</v>
      </c>
      <c r="G16595" t="s">
        <v>54</v>
      </c>
      <c r="H16595" s="12">
        <v>-1.1364605229593401</v>
      </c>
      <c r="I16595" s="20">
        <v>-0.61170762724594596</v>
      </c>
      <c r="J16595" s="28">
        <v>0.54073121463608997</v>
      </c>
      <c r="K16595" s="29">
        <v>0.98289565623980701</v>
      </c>
    </row>
    <row r="16596" spans="1:11" x14ac:dyDescent="0.35">
      <c r="A16596" s="9" t="str">
        <f>HYPERLINK("http://www.ensembl.org/id/WBGene00020553", "WBGene00020553")</f>
        <v>WBGene00020553</v>
      </c>
      <c r="B16596" s="9" t="str">
        <f>HYPERLINK("http://www.ncbi.nlm.nih.gov/gene/179275", "179275")</f>
        <v>179275</v>
      </c>
      <c r="C16596" s="9"/>
      <c r="D16596" t="str">
        <f>"ttc-17"</f>
        <v>ttc-17</v>
      </c>
      <c r="E16596" t="s">
        <v>2124</v>
      </c>
      <c r="F16596" t="s">
        <v>11</v>
      </c>
      <c r="G16596" t="s">
        <v>7172</v>
      </c>
      <c r="H16596" s="12">
        <v>-1.1113702652517199</v>
      </c>
      <c r="I16596" s="20">
        <v>-0.56745841929853202</v>
      </c>
      <c r="J16596" s="28">
        <v>0.570402769110125</v>
      </c>
      <c r="K16596" s="29">
        <v>0.98289565623980701</v>
      </c>
    </row>
    <row r="16597" spans="1:11" x14ac:dyDescent="0.35">
      <c r="A16597" s="9" t="str">
        <f>HYPERLINK("http://www.ensembl.org/id/WBGene00021444", "WBGene00021444")</f>
        <v>WBGene00021444</v>
      </c>
      <c r="B16597" s="9" t="str">
        <f>HYPERLINK("http://www.ncbi.nlm.nih.gov/gene/175332", "175332")</f>
        <v>175332</v>
      </c>
      <c r="C16597" s="9" t="str">
        <f>HYPERLINK("http://www.ncbi.nlm.nih.gov/gene/145567", "145567")</f>
        <v>145567</v>
      </c>
      <c r="D16597" t="str">
        <f>"ttc-7"</f>
        <v>ttc-7</v>
      </c>
      <c r="E16597" t="s">
        <v>2124</v>
      </c>
      <c r="F16597" t="s">
        <v>11</v>
      </c>
      <c r="G16597" t="s">
        <v>8557</v>
      </c>
      <c r="H16597" s="12">
        <v>-1.18361562396197</v>
      </c>
      <c r="I16597" s="20">
        <v>-0.83691530367522904</v>
      </c>
      <c r="J16597" s="28">
        <v>0.40264017751395298</v>
      </c>
      <c r="K16597" s="29">
        <v>0.98289565623980701</v>
      </c>
    </row>
    <row r="16598" spans="1:11" x14ac:dyDescent="0.35">
      <c r="A16598" s="9" t="str">
        <f>HYPERLINK("http://www.ensembl.org/id/WBGene00019230", "WBGene00019230")</f>
        <v>WBGene00019230</v>
      </c>
      <c r="B16598" s="9" t="str">
        <f>HYPERLINK("http://www.ncbi.nlm.nih.gov/gene/177677", "177677")</f>
        <v>177677</v>
      </c>
      <c r="C16598" s="9"/>
      <c r="D16598" t="str">
        <f>"ttll-11"</f>
        <v>ttll-11</v>
      </c>
      <c r="E16598" t="s">
        <v>3106</v>
      </c>
      <c r="F16598" t="s">
        <v>11</v>
      </c>
      <c r="G16598" t="s">
        <v>4580</v>
      </c>
      <c r="H16598" s="12">
        <v>1.6521807128099</v>
      </c>
      <c r="I16598" s="20">
        <v>1.1109649722592301</v>
      </c>
      <c r="J16598" s="28">
        <v>0.26658342686984499</v>
      </c>
      <c r="K16598" s="29">
        <v>0.98289565623980701</v>
      </c>
    </row>
    <row r="16599" spans="1:11" x14ac:dyDescent="0.35">
      <c r="A16599" s="9" t="str">
        <f>HYPERLINK("http://www.ensembl.org/id/WBGene00014232", "WBGene00014232")</f>
        <v>WBGene00014232</v>
      </c>
      <c r="B16599" s="9" t="str">
        <f>HYPERLINK("http://www.ncbi.nlm.nih.gov/gene/176427", "176427")</f>
        <v>176427</v>
      </c>
      <c r="C16599" s="9" t="str">
        <f>HYPERLINK("http://www.ncbi.nlm.nih.gov/gene/9654", "9654")</f>
        <v>9654</v>
      </c>
      <c r="D16599" t="str">
        <f>"ttll-4"</f>
        <v>ttll-4</v>
      </c>
      <c r="E16599" t="s">
        <v>9084</v>
      </c>
      <c r="F16599" t="s">
        <v>11</v>
      </c>
      <c r="G16599" t="s">
        <v>9085</v>
      </c>
      <c r="H16599" s="12">
        <v>-1.21929521083605</v>
      </c>
      <c r="I16599" s="20">
        <v>-0.977024897297746</v>
      </c>
      <c r="J16599" s="28">
        <v>0.32855682660871599</v>
      </c>
      <c r="K16599" s="29">
        <v>0.98289565623980701</v>
      </c>
    </row>
    <row r="16600" spans="1:11" x14ac:dyDescent="0.35">
      <c r="A16600" s="9" t="str">
        <f>HYPERLINK("http://www.ensembl.org/id/WBGene00012712", "WBGene00012712")</f>
        <v>WBGene00012712</v>
      </c>
      <c r="B16600" s="9" t="str">
        <f>HYPERLINK("http://www.ncbi.nlm.nih.gov/gene/176715", "176715")</f>
        <v>176715</v>
      </c>
      <c r="C16600" s="9"/>
      <c r="D16600" t="str">
        <f>"ttm-1"</f>
        <v>ttm-1</v>
      </c>
      <c r="E16600" t="s">
        <v>8444</v>
      </c>
      <c r="F16600" t="s">
        <v>11</v>
      </c>
      <c r="G16600" t="s">
        <v>8445</v>
      </c>
      <c r="H16600" s="12">
        <v>-1.1781695350833199</v>
      </c>
      <c r="I16600" s="20">
        <v>-0.83410587748457699</v>
      </c>
      <c r="J16600" s="28">
        <v>0.40422132340939998</v>
      </c>
      <c r="K16600" s="29">
        <v>0.98289565623980701</v>
      </c>
    </row>
    <row r="16601" spans="1:11" x14ac:dyDescent="0.35">
      <c r="A16601" s="9" t="str">
        <f>HYPERLINK("http://www.ensembl.org/id/WBGene00017840", "WBGene00017840")</f>
        <v>WBGene00017840</v>
      </c>
      <c r="B16601" s="9" t="str">
        <f>HYPERLINK("http://www.ncbi.nlm.nih.gov/gene/184995", "184995")</f>
        <v>184995</v>
      </c>
      <c r="C16601" s="9"/>
      <c r="D16601" t="str">
        <f>"ttm-2"</f>
        <v>ttm-2</v>
      </c>
      <c r="E16601" t="s">
        <v>8444</v>
      </c>
      <c r="F16601" t="s">
        <v>11</v>
      </c>
      <c r="G16601" t="s">
        <v>9148</v>
      </c>
      <c r="H16601" s="12">
        <v>-1.2245375717170499</v>
      </c>
      <c r="I16601" s="20">
        <v>-0.92950443763422896</v>
      </c>
      <c r="J16601" s="28">
        <v>0.35262772652754298</v>
      </c>
      <c r="K16601" s="29">
        <v>0.98289565623980701</v>
      </c>
    </row>
    <row r="16602" spans="1:11" x14ac:dyDescent="0.35">
      <c r="A16602" s="9" t="str">
        <f>HYPERLINK("http://www.ensembl.org/id/WBGene00013197", "WBGene00013197")</f>
        <v>WBGene00013197</v>
      </c>
      <c r="B16602" s="9" t="str">
        <f>HYPERLINK("http://www.ncbi.nlm.nih.gov/gene/173327", "173327")</f>
        <v>173327</v>
      </c>
      <c r="C16602" s="9" t="str">
        <f>HYPERLINK("http://www.ncbi.nlm.nih.gov/gene/123099", "123099")</f>
        <v>123099</v>
      </c>
      <c r="D16602" t="str">
        <f>"ttm-5"</f>
        <v>ttm-5</v>
      </c>
      <c r="E16602" t="s">
        <v>7270</v>
      </c>
      <c r="F16602" t="s">
        <v>11</v>
      </c>
      <c r="G16602" t="s">
        <v>7271</v>
      </c>
      <c r="H16602" s="12">
        <v>-1.11667932994745</v>
      </c>
      <c r="I16602" s="20">
        <v>-0.51837664600496902</v>
      </c>
      <c r="J16602" s="28">
        <v>0.60419550571157699</v>
      </c>
      <c r="K16602" s="29">
        <v>0.98289565623980701</v>
      </c>
    </row>
    <row r="16603" spans="1:11" x14ac:dyDescent="0.35">
      <c r="A16603" s="9" t="str">
        <f>HYPERLINK("http://www.ensembl.org/id/WBGene00009758", "WBGene00009758")</f>
        <v>WBGene00009758</v>
      </c>
      <c r="B16603" s="9" t="str">
        <f>HYPERLINK("http://www.ncbi.nlm.nih.gov/gene/185831", "185831")</f>
        <v>185831</v>
      </c>
      <c r="C16603" s="9"/>
      <c r="D16603" t="str">
        <f>"ttr-11"</f>
        <v>ttr-11</v>
      </c>
      <c r="E16603" t="s">
        <v>16</v>
      </c>
      <c r="F16603" t="s">
        <v>11</v>
      </c>
      <c r="G16603" t="s">
        <v>17</v>
      </c>
      <c r="H16603" s="12">
        <v>7.8691597089380902</v>
      </c>
      <c r="I16603" s="20">
        <v>0.61251365190975104</v>
      </c>
      <c r="J16603" s="28">
        <v>0.54019796842331003</v>
      </c>
      <c r="K16603" s="29">
        <v>0.98289565623980701</v>
      </c>
    </row>
    <row r="16604" spans="1:11" x14ac:dyDescent="0.35">
      <c r="A16604" s="9" t="str">
        <f>HYPERLINK("http://www.ensembl.org/id/WBGene00011460", "WBGene00011460")</f>
        <v>WBGene00011460</v>
      </c>
      <c r="B16604" s="9" t="str">
        <f>HYPERLINK("http://www.ncbi.nlm.nih.gov/gene/181272", "181272")</f>
        <v>181272</v>
      </c>
      <c r="C16604" s="9"/>
      <c r="D16604" t="str">
        <f>"ttr-14"</f>
        <v>ttr-14</v>
      </c>
      <c r="E16604" t="s">
        <v>16</v>
      </c>
      <c r="F16604" t="s">
        <v>11</v>
      </c>
      <c r="G16604" t="s">
        <v>17</v>
      </c>
      <c r="H16604" s="12">
        <v>-1.0775994960227</v>
      </c>
      <c r="I16604" s="20">
        <v>-0.40940886641867302</v>
      </c>
      <c r="J16604" s="28">
        <v>0.68223963398778598</v>
      </c>
      <c r="K16604" s="29">
        <v>0.98289565623980701</v>
      </c>
    </row>
    <row r="16605" spans="1:11" x14ac:dyDescent="0.35">
      <c r="A16605" s="9" t="str">
        <f>HYPERLINK("http://www.ensembl.org/id/WBGene00011561", "WBGene00011561")</f>
        <v>WBGene00011561</v>
      </c>
      <c r="B16605" s="9" t="str">
        <f>HYPERLINK("http://www.ncbi.nlm.nih.gov/gene/176448", "176448")</f>
        <v>176448</v>
      </c>
      <c r="C16605" s="9"/>
      <c r="D16605" t="str">
        <f>"ttr-15"</f>
        <v>ttr-15</v>
      </c>
      <c r="E16605" t="s">
        <v>8932</v>
      </c>
      <c r="F16605" t="s">
        <v>11</v>
      </c>
      <c r="G16605" t="s">
        <v>17</v>
      </c>
      <c r="H16605" s="12">
        <v>-1.2089526907155299</v>
      </c>
      <c r="I16605" s="20">
        <v>-1.0514449200637199</v>
      </c>
      <c r="J16605" s="28">
        <v>0.293054294037078</v>
      </c>
      <c r="K16605" s="29">
        <v>0.98289565623980701</v>
      </c>
    </row>
    <row r="16606" spans="1:11" x14ac:dyDescent="0.35">
      <c r="A16606" s="9" t="str">
        <f>HYPERLINK("http://www.ensembl.org/id/WBGene00012382", "WBGene00012382")</f>
        <v>WBGene00012382</v>
      </c>
      <c r="B16606" s="9" t="str">
        <f>HYPERLINK("http://www.ncbi.nlm.nih.gov/gene/178002", "178002")</f>
        <v>178002</v>
      </c>
      <c r="C16606" s="9"/>
      <c r="D16606" t="str">
        <f>"ttr-16"</f>
        <v>ttr-16</v>
      </c>
      <c r="E16606" t="s">
        <v>8842</v>
      </c>
      <c r="F16606" t="s">
        <v>11</v>
      </c>
      <c r="G16606" t="s">
        <v>17</v>
      </c>
      <c r="H16606" s="12">
        <v>-1.20100384701994</v>
      </c>
      <c r="I16606" s="20">
        <v>-0.92262684660652805</v>
      </c>
      <c r="J16606" s="28">
        <v>0.356201700124746</v>
      </c>
      <c r="K16606" s="29">
        <v>0.98289565623980701</v>
      </c>
    </row>
    <row r="16607" spans="1:11" x14ac:dyDescent="0.35">
      <c r="A16607" s="9" t="str">
        <f>HYPERLINK("http://www.ensembl.org/id/WBGene00012383", "WBGene00012383")</f>
        <v>WBGene00012383</v>
      </c>
      <c r="B16607" s="9" t="str">
        <f>HYPERLINK("http://www.ncbi.nlm.nih.gov/gene/178003", "178003")</f>
        <v>178003</v>
      </c>
      <c r="C16607" s="9"/>
      <c r="D16607" t="str">
        <f>"ttr-17"</f>
        <v>ttr-17</v>
      </c>
      <c r="E16607" t="s">
        <v>16</v>
      </c>
      <c r="F16607" t="s">
        <v>11</v>
      </c>
      <c r="G16607" t="s">
        <v>17</v>
      </c>
      <c r="H16607" s="12">
        <v>-1.16648765429198</v>
      </c>
      <c r="I16607" s="20">
        <v>-0.78509467586720805</v>
      </c>
      <c r="J16607" s="28">
        <v>0.43239806109666901</v>
      </c>
      <c r="K16607" s="29">
        <v>0.98289565623980701</v>
      </c>
    </row>
    <row r="16608" spans="1:11" x14ac:dyDescent="0.35">
      <c r="A16608" s="9" t="str">
        <f>HYPERLINK("http://www.ensembl.org/id/WBGene00010539", "WBGene00010539")</f>
        <v>WBGene00010539</v>
      </c>
      <c r="B16608" s="9" t="str">
        <f>HYPERLINK("http://www.ncbi.nlm.nih.gov/gene/176403", "176403")</f>
        <v>176403</v>
      </c>
      <c r="C16608" s="9"/>
      <c r="D16608" t="str">
        <f>"ttr-2"</f>
        <v>ttr-2</v>
      </c>
      <c r="E16608" t="s">
        <v>8940</v>
      </c>
      <c r="F16608" t="s">
        <v>11</v>
      </c>
      <c r="G16608" t="s">
        <v>17</v>
      </c>
      <c r="H16608" s="12">
        <v>-1.2095035087238999</v>
      </c>
      <c r="I16608" s="20">
        <v>-1.03446826623331</v>
      </c>
      <c r="J16608" s="28">
        <v>0.30091730470420303</v>
      </c>
      <c r="K16608" s="29">
        <v>0.98289565623980701</v>
      </c>
    </row>
    <row r="16609" spans="1:11" x14ac:dyDescent="0.35">
      <c r="A16609" s="9" t="str">
        <f>HYPERLINK("http://www.ensembl.org/id/WBGene00011894", "WBGene00011894")</f>
        <v>WBGene00011894</v>
      </c>
      <c r="B16609" s="9" t="str">
        <f>HYPERLINK("http://www.ncbi.nlm.nih.gov/gene/188688", "188688")</f>
        <v>188688</v>
      </c>
      <c r="C16609" s="9"/>
      <c r="D16609" t="str">
        <f>"ttr-23"</f>
        <v>ttr-23</v>
      </c>
      <c r="E16609" t="s">
        <v>16</v>
      </c>
      <c r="F16609" t="s">
        <v>11</v>
      </c>
      <c r="G16609" t="s">
        <v>17</v>
      </c>
      <c r="H16609" s="12">
        <v>1.19362285723224</v>
      </c>
      <c r="I16609" s="20">
        <v>0.77878297259918805</v>
      </c>
      <c r="J16609" s="28">
        <v>0.43610756968403902</v>
      </c>
      <c r="K16609" s="29">
        <v>0.98289565623980701</v>
      </c>
    </row>
    <row r="16610" spans="1:11" x14ac:dyDescent="0.35">
      <c r="A16610" s="9" t="str">
        <f>HYPERLINK("http://www.ensembl.org/id/WBGene00013077", "WBGene00013077")</f>
        <v>WBGene00013077</v>
      </c>
      <c r="B16610" s="9" t="str">
        <f>HYPERLINK("http://www.ncbi.nlm.nih.gov/gene/180209", "180209")</f>
        <v>180209</v>
      </c>
      <c r="C16610" s="9"/>
      <c r="D16610" t="str">
        <f>"ttr-24"</f>
        <v>ttr-24</v>
      </c>
      <c r="E16610" t="s">
        <v>16</v>
      </c>
      <c r="F16610" t="s">
        <v>11</v>
      </c>
      <c r="G16610" t="s">
        <v>17</v>
      </c>
      <c r="H16610" s="12">
        <v>-1.2270258840186801</v>
      </c>
      <c r="I16610" s="20">
        <v>-0.89884198468882603</v>
      </c>
      <c r="J16610" s="28">
        <v>0.36873683339235103</v>
      </c>
      <c r="K16610" s="29">
        <v>0.98289565623980701</v>
      </c>
    </row>
    <row r="16611" spans="1:11" x14ac:dyDescent="0.35">
      <c r="A16611" s="9" t="str">
        <f>HYPERLINK("http://www.ensembl.org/id/WBGene00013078", "WBGene00013078")</f>
        <v>WBGene00013078</v>
      </c>
      <c r="B16611" s="9" t="str">
        <f>HYPERLINK("http://www.ncbi.nlm.nih.gov/gene/180210", "180210")</f>
        <v>180210</v>
      </c>
      <c r="C16611" s="9"/>
      <c r="D16611" t="str">
        <f>"ttr-25"</f>
        <v>ttr-25</v>
      </c>
      <c r="E16611" t="s">
        <v>16</v>
      </c>
      <c r="F16611" t="s">
        <v>11</v>
      </c>
      <c r="G16611" t="s">
        <v>17</v>
      </c>
      <c r="H16611" s="12">
        <v>-1.1393363379701</v>
      </c>
      <c r="I16611" s="20">
        <v>-0.64895960445057499</v>
      </c>
      <c r="J16611" s="28">
        <v>0.51636448678807401</v>
      </c>
      <c r="K16611" s="29">
        <v>0.98289565623980701</v>
      </c>
    </row>
    <row r="16612" spans="1:11" x14ac:dyDescent="0.35">
      <c r="A16612" s="9" t="str">
        <f>HYPERLINK("http://www.ensembl.org/id/WBGene00011286", "WBGene00011286")</f>
        <v>WBGene00011286</v>
      </c>
      <c r="B16612" s="9" t="str">
        <f>HYPERLINK("http://www.ncbi.nlm.nih.gov/gene/187890", "187890")</f>
        <v>187890</v>
      </c>
      <c r="C16612" s="9"/>
      <c r="D16612" t="str">
        <f>"ttr-29"</f>
        <v>ttr-29</v>
      </c>
      <c r="E16612" t="s">
        <v>16</v>
      </c>
      <c r="F16612" t="s">
        <v>11</v>
      </c>
      <c r="G16612" t="s">
        <v>17</v>
      </c>
      <c r="H16612" s="12">
        <v>-1.24763202269411</v>
      </c>
      <c r="I16612" s="20">
        <v>-1.0366703306490099</v>
      </c>
      <c r="J16612" s="28">
        <v>0.299889523747503</v>
      </c>
      <c r="K16612" s="29">
        <v>0.98289565623980701</v>
      </c>
    </row>
    <row r="16613" spans="1:11" x14ac:dyDescent="0.35">
      <c r="A16613" s="9" t="str">
        <f>HYPERLINK("http://www.ensembl.org/id/WBGene00010225", "WBGene00010225")</f>
        <v>WBGene00010225</v>
      </c>
      <c r="B16613" s="9" t="str">
        <f>HYPERLINK("http://www.ncbi.nlm.nih.gov/gene/186484", "186484")</f>
        <v>186484</v>
      </c>
      <c r="C16613" s="9"/>
      <c r="D16613" t="str">
        <f>"ttr-31"</f>
        <v>ttr-31</v>
      </c>
      <c r="E16613" t="s">
        <v>16</v>
      </c>
      <c r="F16613" t="s">
        <v>11</v>
      </c>
      <c r="G16613" t="s">
        <v>17</v>
      </c>
      <c r="H16613" s="12">
        <v>1.4468847248994301</v>
      </c>
      <c r="I16613" s="20">
        <v>1.1714951682588</v>
      </c>
      <c r="J16613" s="28">
        <v>0.24139979884218299</v>
      </c>
      <c r="K16613" s="29">
        <v>0.98289565623980701</v>
      </c>
    </row>
    <row r="16614" spans="1:11" x14ac:dyDescent="0.35">
      <c r="A16614" s="9" t="str">
        <f>HYPERLINK("http://www.ensembl.org/id/WBGene00016505", "WBGene00016505")</f>
        <v>WBGene00016505</v>
      </c>
      <c r="B16614" s="9" t="str">
        <f>HYPERLINK("http://www.ncbi.nlm.nih.gov/gene/259631", "259631")</f>
        <v>259631</v>
      </c>
      <c r="C16614" s="9"/>
      <c r="D16614" t="str">
        <f>"ttr-33"</f>
        <v>ttr-33</v>
      </c>
      <c r="E16614" t="s">
        <v>16</v>
      </c>
      <c r="F16614" t="s">
        <v>11</v>
      </c>
      <c r="G16614" t="s">
        <v>17</v>
      </c>
      <c r="H16614" s="12">
        <v>1.3164439159405501</v>
      </c>
      <c r="I16614" s="20">
        <v>1.07026606734772</v>
      </c>
      <c r="J16614" s="28">
        <v>0.28449956355922901</v>
      </c>
      <c r="K16614" s="29">
        <v>0.98289565623980701</v>
      </c>
    </row>
    <row r="16615" spans="1:11" x14ac:dyDescent="0.35">
      <c r="A16615" s="9" t="str">
        <f>HYPERLINK("http://www.ensembl.org/id/WBGene00045245", "WBGene00045245")</f>
        <v>WBGene00045245</v>
      </c>
      <c r="B16615" s="9" t="str">
        <f>HYPERLINK("http://www.ncbi.nlm.nih.gov/gene/6418843", "6418843")</f>
        <v>6418843</v>
      </c>
      <c r="C16615" s="9"/>
      <c r="D16615" t="str">
        <f>"ttr-34"</f>
        <v>ttr-34</v>
      </c>
      <c r="E16615" t="s">
        <v>16</v>
      </c>
      <c r="F16615" t="s">
        <v>11</v>
      </c>
      <c r="G16615" t="s">
        <v>17</v>
      </c>
      <c r="H16615" s="12">
        <v>-1.18796763905977</v>
      </c>
      <c r="I16615" s="20">
        <v>-0.95565779534390205</v>
      </c>
      <c r="J16615" s="28">
        <v>0.33924515174096198</v>
      </c>
      <c r="K16615" s="29">
        <v>0.98289565623980701</v>
      </c>
    </row>
    <row r="16616" spans="1:11" x14ac:dyDescent="0.35">
      <c r="A16616" s="9" t="str">
        <f>HYPERLINK("http://www.ensembl.org/id/WBGene00044605", "WBGene00044605")</f>
        <v>WBGene00044605</v>
      </c>
      <c r="B16616" s="9" t="str">
        <f>HYPERLINK("http://www.ncbi.nlm.nih.gov/gene/3896869", "3896869")</f>
        <v>3896869</v>
      </c>
      <c r="C16616" s="9"/>
      <c r="D16616" t="str">
        <f>"ttr-36"</f>
        <v>ttr-36</v>
      </c>
      <c r="E16616" t="s">
        <v>16</v>
      </c>
      <c r="F16616" t="s">
        <v>11</v>
      </c>
      <c r="G16616" t="s">
        <v>17</v>
      </c>
      <c r="H16616" s="12">
        <v>-1.2609351862105</v>
      </c>
      <c r="I16616" s="20">
        <v>-1.02723114990641</v>
      </c>
      <c r="J16616" s="28">
        <v>0.30431163355331498</v>
      </c>
      <c r="K16616" s="29">
        <v>0.98289565623980701</v>
      </c>
    </row>
    <row r="16617" spans="1:11" x14ac:dyDescent="0.35">
      <c r="A16617" s="9" t="str">
        <f>HYPERLINK("http://www.ensembl.org/id/WBGene00017667", "WBGene00017667")</f>
        <v>WBGene00017667</v>
      </c>
      <c r="B16617" s="9" t="str">
        <f>HYPERLINK("http://www.ncbi.nlm.nih.gov/gene/184782", "184782")</f>
        <v>184782</v>
      </c>
      <c r="C16617" s="9"/>
      <c r="D16617" t="str">
        <f>"ttr-37"</f>
        <v>ttr-37</v>
      </c>
      <c r="E16617" t="s">
        <v>16</v>
      </c>
      <c r="F16617" t="s">
        <v>11</v>
      </c>
      <c r="G16617" t="s">
        <v>17</v>
      </c>
      <c r="H16617" s="12">
        <v>1.16859840944968</v>
      </c>
      <c r="I16617" s="20">
        <v>0.48093709417158598</v>
      </c>
      <c r="J16617" s="28">
        <v>0.63056120804738103</v>
      </c>
      <c r="K16617" s="29">
        <v>0.98289565623980701</v>
      </c>
    </row>
    <row r="16618" spans="1:11" x14ac:dyDescent="0.35">
      <c r="A16618" s="9" t="str">
        <f>HYPERLINK("http://www.ensembl.org/id/WBGene00007304", "WBGene00007304")</f>
        <v>WBGene00007304</v>
      </c>
      <c r="B16618" s="9" t="str">
        <f>HYPERLINK("http://www.ncbi.nlm.nih.gov/gene/182231", "182231")</f>
        <v>182231</v>
      </c>
      <c r="C16618" s="9"/>
      <c r="D16618" t="str">
        <f>"ttr-39"</f>
        <v>ttr-39</v>
      </c>
      <c r="E16618" t="s">
        <v>16</v>
      </c>
      <c r="F16618" t="s">
        <v>11</v>
      </c>
      <c r="G16618" t="s">
        <v>17</v>
      </c>
      <c r="H16618" s="12">
        <v>-1.21492072838121</v>
      </c>
      <c r="I16618" s="20">
        <v>-0.737597561640295</v>
      </c>
      <c r="J16618" s="28">
        <v>0.46075903759558801</v>
      </c>
      <c r="K16618" s="29">
        <v>0.98289565623980701</v>
      </c>
    </row>
    <row r="16619" spans="1:11" x14ac:dyDescent="0.35">
      <c r="A16619" s="9" t="str">
        <f>HYPERLINK("http://www.ensembl.org/id/WBGene00017091", "WBGene00017091")</f>
        <v>WBGene00017091</v>
      </c>
      <c r="B16619" s="9" t="str">
        <f>HYPERLINK("http://www.ncbi.nlm.nih.gov/gene/183986", "183986")</f>
        <v>183986</v>
      </c>
      <c r="C16619" s="9"/>
      <c r="D16619" t="str">
        <f>"ttr-40"</f>
        <v>ttr-40</v>
      </c>
      <c r="E16619" t="s">
        <v>16</v>
      </c>
      <c r="F16619" t="s">
        <v>11</v>
      </c>
      <c r="G16619" t="s">
        <v>17</v>
      </c>
      <c r="H16619" s="12">
        <v>-1.5867487732207901</v>
      </c>
      <c r="I16619" s="20">
        <v>-0.85805412555624005</v>
      </c>
      <c r="J16619" s="28">
        <v>0.39086257683673298</v>
      </c>
      <c r="K16619" s="29">
        <v>0.98289565623980701</v>
      </c>
    </row>
    <row r="16620" spans="1:11" x14ac:dyDescent="0.35">
      <c r="A16620" s="9" t="str">
        <f>HYPERLINK("http://www.ensembl.org/id/WBGene00044737", "WBGene00044737")</f>
        <v>WBGene00044737</v>
      </c>
      <c r="B16620" s="9" t="str">
        <f>HYPERLINK("http://www.ncbi.nlm.nih.gov/gene/4363063", "4363063")</f>
        <v>4363063</v>
      </c>
      <c r="C16620" s="9"/>
      <c r="D16620" t="str">
        <f>"ttr-45"</f>
        <v>ttr-45</v>
      </c>
      <c r="E16620" t="s">
        <v>16</v>
      </c>
      <c r="F16620" t="s">
        <v>11</v>
      </c>
      <c r="G16620" t="s">
        <v>17</v>
      </c>
      <c r="H16620" s="12">
        <v>-1.15359645165156</v>
      </c>
      <c r="I16620" s="20">
        <v>-0.77695117926707802</v>
      </c>
      <c r="J16620" s="28">
        <v>0.43718757444360901</v>
      </c>
      <c r="K16620" s="29">
        <v>0.98289565623980701</v>
      </c>
    </row>
    <row r="16621" spans="1:11" x14ac:dyDescent="0.35">
      <c r="A16621" s="9" t="str">
        <f>HYPERLINK("http://www.ensembl.org/id/WBGene00010234", "WBGene00010234")</f>
        <v>WBGene00010234</v>
      </c>
      <c r="B16621" s="9" t="str">
        <f>HYPERLINK("http://www.ncbi.nlm.nih.gov/gene/178092", "178092")</f>
        <v>178092</v>
      </c>
      <c r="C16621" s="9"/>
      <c r="D16621" t="str">
        <f>"ttr-50"</f>
        <v>ttr-50</v>
      </c>
      <c r="E16621" t="s">
        <v>16</v>
      </c>
      <c r="F16621" t="s">
        <v>11</v>
      </c>
      <c r="G16621" t="s">
        <v>17</v>
      </c>
      <c r="H16621" s="12">
        <v>1.09432567792238</v>
      </c>
      <c r="I16621" s="20">
        <v>0.376526307325111</v>
      </c>
      <c r="J16621" s="28">
        <v>0.70652566158039198</v>
      </c>
      <c r="K16621" s="29">
        <v>0.98289565623980701</v>
      </c>
    </row>
    <row r="16622" spans="1:11" x14ac:dyDescent="0.35">
      <c r="A16622" s="9" t="str">
        <f>HYPERLINK("http://www.ensembl.org/id/WBGene00008719", "WBGene00008719")</f>
        <v>WBGene00008719</v>
      </c>
      <c r="B16622" s="9" t="str">
        <f>HYPERLINK("http://www.ncbi.nlm.nih.gov/gene/184363", "184363")</f>
        <v>184363</v>
      </c>
      <c r="C16622" s="9"/>
      <c r="D16622" t="str">
        <f>"ttr-52"</f>
        <v>ttr-52</v>
      </c>
      <c r="E16622" t="s">
        <v>4788</v>
      </c>
      <c r="F16622" t="s">
        <v>11</v>
      </c>
      <c r="G16622" t="s">
        <v>4789</v>
      </c>
      <c r="H16622" s="12">
        <v>1.3749737727087701</v>
      </c>
      <c r="I16622" s="20">
        <v>0.63937670336671704</v>
      </c>
      <c r="J16622" s="28">
        <v>0.52257790062305698</v>
      </c>
      <c r="K16622" s="29">
        <v>0.98289565623980701</v>
      </c>
    </row>
    <row r="16623" spans="1:11" x14ac:dyDescent="0.35">
      <c r="A16623" s="9" t="str">
        <f>HYPERLINK("http://www.ensembl.org/id/WBGene00011773", "WBGene00011773")</f>
        <v>WBGene00011773</v>
      </c>
      <c r="B16623" s="9" t="str">
        <f>HYPERLINK("http://www.ncbi.nlm.nih.gov/gene/177892", "177892")</f>
        <v>177892</v>
      </c>
      <c r="C16623" s="9"/>
      <c r="D16623" t="str">
        <f>"ttr-53"</f>
        <v>ttr-53</v>
      </c>
      <c r="E16623" t="s">
        <v>16</v>
      </c>
      <c r="F16623" t="s">
        <v>11</v>
      </c>
      <c r="G16623" t="s">
        <v>17</v>
      </c>
      <c r="H16623" s="12">
        <v>-1.24213297306292</v>
      </c>
      <c r="I16623" s="20">
        <v>-0.97062805721752199</v>
      </c>
      <c r="J16623" s="28">
        <v>0.33173352903640402</v>
      </c>
      <c r="K16623" s="29">
        <v>0.98289565623980701</v>
      </c>
    </row>
    <row r="16624" spans="1:11" x14ac:dyDescent="0.35">
      <c r="A16624" s="9" t="str">
        <f>HYPERLINK("http://www.ensembl.org/id/WBGene00011774", "WBGene00011774")</f>
        <v>WBGene00011774</v>
      </c>
      <c r="B16624" s="9" t="str">
        <f>HYPERLINK("http://www.ncbi.nlm.nih.gov/gene/188506", "188506")</f>
        <v>188506</v>
      </c>
      <c r="C16624" s="9"/>
      <c r="D16624" t="str">
        <f>"ttr-54"</f>
        <v>ttr-54</v>
      </c>
      <c r="E16624" t="s">
        <v>16</v>
      </c>
      <c r="F16624" t="s">
        <v>11</v>
      </c>
      <c r="G16624" t="s">
        <v>17</v>
      </c>
      <c r="H16624" s="12">
        <v>-1.0718321944369</v>
      </c>
      <c r="I16624" s="20">
        <v>-0.304923021209482</v>
      </c>
      <c r="J16624" s="28">
        <v>0.76042478181022299</v>
      </c>
      <c r="K16624" s="29">
        <v>0.98289565623980701</v>
      </c>
    </row>
    <row r="16625" spans="1:11" x14ac:dyDescent="0.35">
      <c r="A16625" s="9" t="str">
        <f>HYPERLINK("http://www.ensembl.org/id/WBGene00018979", "WBGene00018979")</f>
        <v>WBGene00018979</v>
      </c>
      <c r="B16625" s="9" t="str">
        <f>HYPERLINK("http://www.ncbi.nlm.nih.gov/gene/186397", "186397")</f>
        <v>186397</v>
      </c>
      <c r="C16625" s="9"/>
      <c r="D16625" t="str">
        <f>"ttr-55"</f>
        <v>ttr-55</v>
      </c>
      <c r="E16625" t="s">
        <v>16</v>
      </c>
      <c r="F16625" t="s">
        <v>11</v>
      </c>
      <c r="G16625" t="s">
        <v>17</v>
      </c>
      <c r="H16625" s="12">
        <v>1.33542918713374</v>
      </c>
      <c r="I16625" s="20">
        <v>0.26379571986228501</v>
      </c>
      <c r="J16625" s="28">
        <v>0.791937332846259</v>
      </c>
      <c r="K16625" s="29">
        <v>0.98289565623980701</v>
      </c>
    </row>
    <row r="16626" spans="1:11" x14ac:dyDescent="0.35">
      <c r="A16626" s="9" t="str">
        <f>HYPERLINK("http://www.ensembl.org/id/WBGene00050896", "WBGene00050896")</f>
        <v>WBGene00050896</v>
      </c>
      <c r="B16626" s="9" t="str">
        <f>HYPERLINK("http://www.ncbi.nlm.nih.gov/gene/6418596", "6418596")</f>
        <v>6418596</v>
      </c>
      <c r="C16626" s="9"/>
      <c r="D16626" t="str">
        <f>"ttr-56"</f>
        <v>ttr-56</v>
      </c>
      <c r="E16626" t="s">
        <v>16</v>
      </c>
      <c r="F16626" t="s">
        <v>11</v>
      </c>
      <c r="G16626" t="s">
        <v>1274</v>
      </c>
      <c r="H16626" s="12">
        <v>1.73271858824834</v>
      </c>
      <c r="I16626" s="20">
        <v>0.64583761692041697</v>
      </c>
      <c r="J16626" s="28">
        <v>0.51838452364812104</v>
      </c>
      <c r="K16626" s="29">
        <v>0.98289565623980701</v>
      </c>
    </row>
    <row r="16627" spans="1:11" x14ac:dyDescent="0.35">
      <c r="A16627" s="9" t="str">
        <f>HYPERLINK("http://www.ensembl.org/id/WBGene00050892", "WBGene00050892")</f>
        <v>WBGene00050892</v>
      </c>
      <c r="B16627" s="9" t="str">
        <f>HYPERLINK("http://www.ncbi.nlm.nih.gov/gene/6418740", "6418740")</f>
        <v>6418740</v>
      </c>
      <c r="C16627" s="9"/>
      <c r="D16627" t="str">
        <f>"ttr-57"</f>
        <v>ttr-57</v>
      </c>
      <c r="E16627" t="s">
        <v>16</v>
      </c>
      <c r="F16627" t="s">
        <v>11</v>
      </c>
      <c r="G16627" t="s">
        <v>1274</v>
      </c>
      <c r="H16627" s="12">
        <v>2.3893468495514898</v>
      </c>
      <c r="I16627" s="20">
        <v>0.25323547253672701</v>
      </c>
      <c r="J16627" s="28">
        <v>0.80008625651646104</v>
      </c>
      <c r="K16627" s="29">
        <v>0.98289565623980701</v>
      </c>
    </row>
    <row r="16628" spans="1:11" x14ac:dyDescent="0.35">
      <c r="A16628" s="9" t="str">
        <f>HYPERLINK("http://www.ensembl.org/id/WBGene00020886", "WBGene00020886")</f>
        <v>WBGene00020886</v>
      </c>
      <c r="B16628" s="9" t="str">
        <f>HYPERLINK("http://www.ncbi.nlm.nih.gov/gene/189028", "189028")</f>
        <v>189028</v>
      </c>
      <c r="C16628" s="9"/>
      <c r="D16628" t="str">
        <f>"ttr-6"</f>
        <v>ttr-6</v>
      </c>
      <c r="E16628" t="s">
        <v>16</v>
      </c>
      <c r="F16628" t="s">
        <v>11</v>
      </c>
      <c r="G16628" t="s">
        <v>5297</v>
      </c>
      <c r="H16628" s="12">
        <v>1.1924036939087199</v>
      </c>
      <c r="I16628" s="20">
        <v>0.93499050956337704</v>
      </c>
      <c r="J16628" s="28">
        <v>0.34979319036981998</v>
      </c>
      <c r="K16628" s="29">
        <v>0.98289565623980701</v>
      </c>
    </row>
    <row r="16629" spans="1:11" x14ac:dyDescent="0.35">
      <c r="A16629" s="9" t="str">
        <f>HYPERLINK("http://www.ensembl.org/id/WBGene00020049", "WBGene00020049")</f>
        <v>WBGene00020049</v>
      </c>
      <c r="B16629" s="9" t="str">
        <f>HYPERLINK("http://www.ncbi.nlm.nih.gov/gene/187856", "187856")</f>
        <v>187856</v>
      </c>
      <c r="C16629" s="9"/>
      <c r="D16629" t="str">
        <f>"ttr-8"</f>
        <v>ttr-8</v>
      </c>
      <c r="E16629" t="s">
        <v>16</v>
      </c>
      <c r="F16629" t="s">
        <v>11</v>
      </c>
      <c r="G16629" t="s">
        <v>17</v>
      </c>
      <c r="H16629" s="12">
        <v>1.44478729692803</v>
      </c>
      <c r="I16629" s="20">
        <v>1.09149578781723</v>
      </c>
      <c r="J16629" s="28">
        <v>0.27505478432616098</v>
      </c>
      <c r="K16629" s="29">
        <v>0.98289565623980701</v>
      </c>
    </row>
    <row r="16630" spans="1:11" x14ac:dyDescent="0.35">
      <c r="A16630" s="9" t="str">
        <f>HYPERLINK("http://www.ensembl.org/id/WBGene00006651", "WBGene00006651")</f>
        <v>WBGene00006651</v>
      </c>
      <c r="B16630" s="9"/>
      <c r="C16630" s="9"/>
      <c r="D16630" t="str">
        <f>"tts-2"</f>
        <v>tts-2</v>
      </c>
      <c r="F16630" t="s">
        <v>481</v>
      </c>
      <c r="H16630" s="12">
        <v>-1.1176345294674599</v>
      </c>
      <c r="I16630" s="20">
        <v>-0.50395861864188496</v>
      </c>
      <c r="J16630" s="28">
        <v>0.61429045671898796</v>
      </c>
      <c r="K16630" s="29">
        <v>0.98289565623980701</v>
      </c>
    </row>
    <row r="16631" spans="1:11" x14ac:dyDescent="0.35">
      <c r="A16631" s="9" t="str">
        <f>HYPERLINK("http://www.ensembl.org/id/WBGene00006652", "WBGene00006652")</f>
        <v>WBGene00006652</v>
      </c>
      <c r="B16631" s="9" t="str">
        <f>HYPERLINK("http://www.ncbi.nlm.nih.gov/gene/180313", "180313")</f>
        <v>180313</v>
      </c>
      <c r="C16631" s="9"/>
      <c r="D16631" t="str">
        <f>"ttx-1"</f>
        <v>ttx-1</v>
      </c>
      <c r="F16631" t="s">
        <v>11</v>
      </c>
      <c r="G16631" t="s">
        <v>5242</v>
      </c>
      <c r="H16631" s="12">
        <v>1.20677845412555</v>
      </c>
      <c r="I16631" s="20">
        <v>0.72081603947929895</v>
      </c>
      <c r="J16631" s="28">
        <v>0.47102270562394699</v>
      </c>
      <c r="K16631" s="29">
        <v>0.98289565623980701</v>
      </c>
    </row>
    <row r="16632" spans="1:11" x14ac:dyDescent="0.35">
      <c r="A16632" s="9" t="str">
        <f>HYPERLINK("http://www.ensembl.org/id/WBGene00007000", "WBGene00007000")</f>
        <v>WBGene00007000</v>
      </c>
      <c r="B16632" s="9" t="str">
        <f>HYPERLINK("http://www.ncbi.nlm.nih.gov/gene/175398", "175398")</f>
        <v>175398</v>
      </c>
      <c r="C16632" s="9" t="str">
        <f>HYPERLINK("http://www.ncbi.nlm.nih.gov/gene/7284", "7284")</f>
        <v>7284</v>
      </c>
      <c r="D16632" t="str">
        <f>"tufm-1"</f>
        <v>tufm-1</v>
      </c>
      <c r="E16632" t="s">
        <v>7041</v>
      </c>
      <c r="F16632" t="s">
        <v>11</v>
      </c>
      <c r="G16632" t="s">
        <v>1328</v>
      </c>
      <c r="H16632" s="12">
        <v>-1.1040933606840799</v>
      </c>
      <c r="I16632" s="20">
        <v>-0.52720783568945395</v>
      </c>
      <c r="J16632" s="28">
        <v>0.59804926787940904</v>
      </c>
      <c r="K16632" s="29">
        <v>0.98289565623980701</v>
      </c>
    </row>
    <row r="16633" spans="1:11" x14ac:dyDescent="0.35">
      <c r="A16633" s="9" t="str">
        <f>HYPERLINK("http://www.ensembl.org/id/WBGene00009256", "WBGene00009256")</f>
        <v>WBGene00009256</v>
      </c>
      <c r="B16633" s="9" t="str">
        <f>HYPERLINK("http://www.ncbi.nlm.nih.gov/gene/179483", "179483")</f>
        <v>179483</v>
      </c>
      <c r="C16633" s="9"/>
      <c r="D16633" t="str">
        <f>"tut-2"</f>
        <v>tut-2</v>
      </c>
      <c r="E16633" t="s">
        <v>6687</v>
      </c>
      <c r="F16633" t="s">
        <v>11</v>
      </c>
      <c r="G16633" t="s">
        <v>6688</v>
      </c>
      <c r="H16633" s="12">
        <v>-1.0847565520883999</v>
      </c>
      <c r="I16633" s="20">
        <v>-0.31352340327566602</v>
      </c>
      <c r="J16633" s="28">
        <v>0.75388304307893095</v>
      </c>
      <c r="K16633" s="29">
        <v>0.98289565623980701</v>
      </c>
    </row>
    <row r="16634" spans="1:11" x14ac:dyDescent="0.35">
      <c r="A16634" s="9" t="str">
        <f>HYPERLINK("http://www.ensembl.org/id/WBGene00006665", "WBGene00006665")</f>
        <v>WBGene00006665</v>
      </c>
      <c r="B16634" s="9" t="str">
        <f>HYPERLINK("http://www.ncbi.nlm.nih.gov/gene/192080", "192080")</f>
        <v>192080</v>
      </c>
      <c r="C16634" s="9"/>
      <c r="D16634" t="str">
        <f>"twk-10"</f>
        <v>twk-10</v>
      </c>
      <c r="E16634" t="s">
        <v>894</v>
      </c>
      <c r="F16634" t="s">
        <v>11</v>
      </c>
      <c r="G16634" t="s">
        <v>895</v>
      </c>
      <c r="H16634" s="12">
        <v>1.42843006587836</v>
      </c>
      <c r="I16634" s="20">
        <v>0.768499435947256</v>
      </c>
      <c r="J16634" s="28">
        <v>0.44219052564116701</v>
      </c>
      <c r="K16634" s="29">
        <v>0.98289565623980701</v>
      </c>
    </row>
    <row r="16635" spans="1:11" x14ac:dyDescent="0.35">
      <c r="A16635" s="9" t="str">
        <f>HYPERLINK("http://www.ensembl.org/id/WBGene00006670", "WBGene00006670")</f>
        <v>WBGene00006670</v>
      </c>
      <c r="B16635" s="9" t="str">
        <f>HYPERLINK("http://www.ncbi.nlm.nih.gov/gene/180594", "180594")</f>
        <v>180594</v>
      </c>
      <c r="C16635" s="9"/>
      <c r="D16635" t="str">
        <f>"twk-16"</f>
        <v>twk-16</v>
      </c>
      <c r="E16635" t="s">
        <v>4569</v>
      </c>
      <c r="F16635" t="s">
        <v>11</v>
      </c>
      <c r="G16635" t="s">
        <v>1652</v>
      </c>
      <c r="H16635" s="12">
        <v>1.68365893279774</v>
      </c>
      <c r="I16635" s="20">
        <v>1.0878400442054399</v>
      </c>
      <c r="J16635" s="28">
        <v>0.27666572808225998</v>
      </c>
      <c r="K16635" s="29">
        <v>0.98289565623980701</v>
      </c>
    </row>
    <row r="16636" spans="1:11" x14ac:dyDescent="0.35">
      <c r="A16636" s="9" t="str">
        <f>HYPERLINK("http://www.ensembl.org/id/WBGene00006671", "WBGene00006671")</f>
        <v>WBGene00006671</v>
      </c>
      <c r="B16636" s="9" t="str">
        <f>HYPERLINK("http://www.ncbi.nlm.nih.gov/gene/181024", "181024")</f>
        <v>181024</v>
      </c>
      <c r="C16636" s="9"/>
      <c r="D16636" t="str">
        <f>"twk-17"</f>
        <v>twk-17</v>
      </c>
      <c r="E16636" t="s">
        <v>4838</v>
      </c>
      <c r="F16636" t="s">
        <v>11</v>
      </c>
      <c r="G16636" t="s">
        <v>1652</v>
      </c>
      <c r="H16636" s="12">
        <v>1.34234248261847</v>
      </c>
      <c r="I16636" s="20">
        <v>1.00205741825799</v>
      </c>
      <c r="J16636" s="28">
        <v>0.31631586214393398</v>
      </c>
      <c r="K16636" s="29">
        <v>0.98289565623980701</v>
      </c>
    </row>
    <row r="16637" spans="1:11" x14ac:dyDescent="0.35">
      <c r="A16637" s="9" t="str">
        <f>HYPERLINK("http://www.ensembl.org/id/WBGene00006673", "WBGene00006673")</f>
        <v>WBGene00006673</v>
      </c>
      <c r="B16637" s="9" t="str">
        <f>HYPERLINK("http://www.ncbi.nlm.nih.gov/gene/181485", "181485")</f>
        <v>181485</v>
      </c>
      <c r="C16637" s="9"/>
      <c r="D16637" t="str">
        <f>"twk-20"</f>
        <v>twk-20</v>
      </c>
      <c r="E16637" t="s">
        <v>4585</v>
      </c>
      <c r="F16637" t="s">
        <v>11</v>
      </c>
      <c r="G16637" t="s">
        <v>1652</v>
      </c>
      <c r="H16637" s="12">
        <v>1.6407184975661799</v>
      </c>
      <c r="I16637" s="20">
        <v>0.292557971429668</v>
      </c>
      <c r="J16637" s="28">
        <v>0.76986004270341901</v>
      </c>
      <c r="K16637" s="29">
        <v>0.98289565623980701</v>
      </c>
    </row>
    <row r="16638" spans="1:11" x14ac:dyDescent="0.35">
      <c r="A16638" s="9" t="str">
        <f>HYPERLINK("http://www.ensembl.org/id/WBGene00006676", "WBGene00006676")</f>
        <v>WBGene00006676</v>
      </c>
      <c r="B16638" s="9" t="str">
        <f>HYPERLINK("http://www.ncbi.nlm.nih.gov/gene/192071", "192071")</f>
        <v>192071</v>
      </c>
      <c r="C16638" s="9"/>
      <c r="D16638" t="str">
        <f>"twk-23"</f>
        <v>twk-23</v>
      </c>
      <c r="E16638" t="s">
        <v>894</v>
      </c>
      <c r="F16638" t="s">
        <v>11</v>
      </c>
      <c r="G16638" t="s">
        <v>895</v>
      </c>
      <c r="H16638" s="12">
        <v>1.61891295078686</v>
      </c>
      <c r="I16638" s="20">
        <v>1.0531299259815099</v>
      </c>
      <c r="J16638" s="28">
        <v>0.29228144896479502</v>
      </c>
      <c r="K16638" s="29">
        <v>0.98289565623980701</v>
      </c>
    </row>
    <row r="16639" spans="1:11" x14ac:dyDescent="0.35">
      <c r="A16639" s="9" t="str">
        <f>HYPERLINK("http://www.ensembl.org/id/WBGene00006678", "WBGene00006678")</f>
        <v>WBGene00006678</v>
      </c>
      <c r="B16639" s="9" t="str">
        <f>HYPERLINK("http://www.ncbi.nlm.nih.gov/gene/192076", "192076")</f>
        <v>192076</v>
      </c>
      <c r="C16639" s="9"/>
      <c r="D16639" t="str">
        <f>"twk-25"</f>
        <v>twk-25</v>
      </c>
      <c r="E16639" t="s">
        <v>894</v>
      </c>
      <c r="F16639" t="s">
        <v>11</v>
      </c>
      <c r="G16639" t="s">
        <v>895</v>
      </c>
      <c r="H16639" s="12">
        <v>1.2419282988894</v>
      </c>
      <c r="I16639" s="20">
        <v>0.53073773573176297</v>
      </c>
      <c r="J16639" s="28">
        <v>0.59560053249085598</v>
      </c>
      <c r="K16639" s="29">
        <v>0.98289565623980701</v>
      </c>
    </row>
    <row r="16640" spans="1:11" x14ac:dyDescent="0.35">
      <c r="A16640" s="9" t="str">
        <f>HYPERLINK("http://www.ensembl.org/id/WBGene00006679", "WBGene00006679")</f>
        <v>WBGene00006679</v>
      </c>
      <c r="B16640" s="9" t="str">
        <f>HYPERLINK("http://www.ncbi.nlm.nih.gov/gene/180592", "180592")</f>
        <v>180592</v>
      </c>
      <c r="C16640" s="9"/>
      <c r="D16640" t="str">
        <f>"twk-26"</f>
        <v>twk-26</v>
      </c>
      <c r="E16640" t="s">
        <v>894</v>
      </c>
      <c r="F16640" t="s">
        <v>11</v>
      </c>
      <c r="G16640" t="s">
        <v>1652</v>
      </c>
      <c r="H16640" s="12">
        <v>-1.30908332058538</v>
      </c>
      <c r="I16640" s="20">
        <v>-0.61625390791357804</v>
      </c>
      <c r="J16640" s="28">
        <v>0.53772695433295403</v>
      </c>
      <c r="K16640" s="29">
        <v>0.98289565623980701</v>
      </c>
    </row>
    <row r="16641" spans="1:11" x14ac:dyDescent="0.35">
      <c r="A16641" s="9" t="str">
        <f>HYPERLINK("http://www.ensembl.org/id/WBGene00006658", "WBGene00006658")</f>
        <v>WBGene00006658</v>
      </c>
      <c r="B16641" s="9" t="str">
        <f>HYPERLINK("http://www.ncbi.nlm.nih.gov/gene/174321", "174321")</f>
        <v>174321</v>
      </c>
      <c r="C16641" s="9"/>
      <c r="D16641" t="str">
        <f>"twk-3"</f>
        <v>twk-3</v>
      </c>
      <c r="E16641" t="s">
        <v>894</v>
      </c>
      <c r="F16641" t="s">
        <v>11</v>
      </c>
      <c r="G16641" t="s">
        <v>895</v>
      </c>
      <c r="H16641" s="12">
        <v>1.86736812070487</v>
      </c>
      <c r="I16641" s="20">
        <v>0.69473787009126198</v>
      </c>
      <c r="J16641" s="28">
        <v>0.48721959062064601</v>
      </c>
      <c r="K16641" s="29">
        <v>0.98289565623980701</v>
      </c>
    </row>
    <row r="16642" spans="1:11" x14ac:dyDescent="0.35">
      <c r="A16642" s="9" t="str">
        <f>HYPERLINK("http://www.ensembl.org/id/WBGene00006684", "WBGene00006684")</f>
        <v>WBGene00006684</v>
      </c>
      <c r="B16642" s="9" t="str">
        <f>HYPERLINK("http://www.ncbi.nlm.nih.gov/gene/192075", "192075")</f>
        <v>192075</v>
      </c>
      <c r="C16642" s="9"/>
      <c r="D16642" t="str">
        <f>"twk-32"</f>
        <v>twk-32</v>
      </c>
      <c r="E16642" t="s">
        <v>894</v>
      </c>
      <c r="F16642" t="s">
        <v>11</v>
      </c>
      <c r="G16642" t="s">
        <v>7951</v>
      </c>
      <c r="H16642" s="12">
        <v>-1.1524871200070299</v>
      </c>
      <c r="I16642" s="20">
        <v>-0.39307393132157098</v>
      </c>
      <c r="J16642" s="28">
        <v>0.69426487743783505</v>
      </c>
      <c r="K16642" s="29">
        <v>0.98289565623980701</v>
      </c>
    </row>
    <row r="16643" spans="1:11" x14ac:dyDescent="0.35">
      <c r="A16643" s="9" t="str">
        <f>HYPERLINK("http://www.ensembl.org/id/WBGene00006687", "WBGene00006687")</f>
        <v>WBGene00006687</v>
      </c>
      <c r="B16643" s="9" t="str">
        <f>HYPERLINK("http://www.ncbi.nlm.nih.gov/gene/185149", "185149")</f>
        <v>185149</v>
      </c>
      <c r="C16643" s="9"/>
      <c r="D16643" t="str">
        <f>"twk-35"</f>
        <v>twk-35</v>
      </c>
      <c r="E16643" t="s">
        <v>894</v>
      </c>
      <c r="F16643" t="s">
        <v>11</v>
      </c>
      <c r="G16643" t="s">
        <v>895</v>
      </c>
      <c r="H16643" s="12">
        <v>1.1547786517235701</v>
      </c>
      <c r="I16643" s="20">
        <v>0.38446095360724603</v>
      </c>
      <c r="J16643" s="28">
        <v>0.70063683074209904</v>
      </c>
      <c r="K16643" s="29">
        <v>0.98289565623980701</v>
      </c>
    </row>
    <row r="16644" spans="1:11" x14ac:dyDescent="0.35">
      <c r="A16644" s="9" t="str">
        <f>HYPERLINK("http://www.ensembl.org/id/WBGene00006689", "WBGene00006689")</f>
        <v>WBGene00006689</v>
      </c>
      <c r="B16644" s="9" t="str">
        <f>HYPERLINK("http://www.ncbi.nlm.nih.gov/gene/183583", "183583")</f>
        <v>183583</v>
      </c>
      <c r="C16644" s="9"/>
      <c r="D16644" t="str">
        <f>"twk-37"</f>
        <v>twk-37</v>
      </c>
      <c r="E16644" t="s">
        <v>894</v>
      </c>
      <c r="F16644" t="s">
        <v>11</v>
      </c>
      <c r="G16644" t="s">
        <v>895</v>
      </c>
      <c r="H16644" s="12">
        <v>2.3893468495514898</v>
      </c>
      <c r="I16644" s="20">
        <v>0.25323547253672701</v>
      </c>
      <c r="J16644" s="28">
        <v>0.80008625651646104</v>
      </c>
      <c r="K16644" s="29">
        <v>0.98289565623980701</v>
      </c>
    </row>
    <row r="16645" spans="1:11" x14ac:dyDescent="0.35">
      <c r="A16645" s="9" t="str">
        <f>HYPERLINK("http://www.ensembl.org/id/WBGene00006690", "WBGene00006690")</f>
        <v>WBGene00006690</v>
      </c>
      <c r="B16645" s="9" t="str">
        <f>HYPERLINK("http://www.ncbi.nlm.nih.gov/gene/182864", "182864")</f>
        <v>182864</v>
      </c>
      <c r="C16645" s="9"/>
      <c r="D16645" t="str">
        <f>"twk-39"</f>
        <v>twk-39</v>
      </c>
      <c r="E16645" t="s">
        <v>894</v>
      </c>
      <c r="F16645" t="s">
        <v>11</v>
      </c>
      <c r="G16645" t="s">
        <v>895</v>
      </c>
      <c r="H16645" s="12">
        <v>-1.1776887594608201</v>
      </c>
      <c r="I16645" s="20">
        <v>-0.68878324445948802</v>
      </c>
      <c r="J16645" s="28">
        <v>0.49095968137599999</v>
      </c>
      <c r="K16645" s="29">
        <v>0.98289565623980701</v>
      </c>
    </row>
    <row r="16646" spans="1:11" x14ac:dyDescent="0.35">
      <c r="A16646" s="9" t="str">
        <f>HYPERLINK("http://www.ensembl.org/id/WBGene00006659", "WBGene00006659")</f>
        <v>WBGene00006659</v>
      </c>
      <c r="B16646" s="9" t="str">
        <f>HYPERLINK("http://www.ncbi.nlm.nih.gov/gene/192079", "192079")</f>
        <v>192079</v>
      </c>
      <c r="C16646" s="9"/>
      <c r="D16646" t="str">
        <f>"twk-4"</f>
        <v>twk-4</v>
      </c>
      <c r="E16646" t="s">
        <v>894</v>
      </c>
      <c r="F16646" t="s">
        <v>11</v>
      </c>
      <c r="G16646" t="s">
        <v>895</v>
      </c>
      <c r="H16646" s="12">
        <v>1.5434550741819799</v>
      </c>
      <c r="I16646" s="20">
        <v>0.58927155110893703</v>
      </c>
      <c r="J16646" s="28">
        <v>0.55567912579293899</v>
      </c>
      <c r="K16646" s="29">
        <v>0.98289565623980701</v>
      </c>
    </row>
    <row r="16647" spans="1:11" x14ac:dyDescent="0.35">
      <c r="A16647" s="9" t="str">
        <f>HYPERLINK("http://www.ensembl.org/id/WBGene00006691", "WBGene00006691")</f>
        <v>WBGene00006691</v>
      </c>
      <c r="B16647" s="9" t="str">
        <f>HYPERLINK("http://www.ncbi.nlm.nih.gov/gene/189006", "189006")</f>
        <v>189006</v>
      </c>
      <c r="C16647" s="9"/>
      <c r="D16647" t="str">
        <f>"twk-40"</f>
        <v>twk-40</v>
      </c>
      <c r="E16647" t="s">
        <v>894</v>
      </c>
      <c r="F16647" t="s">
        <v>11</v>
      </c>
      <c r="G16647" t="s">
        <v>895</v>
      </c>
      <c r="H16647" s="12">
        <v>1.2669185682544599</v>
      </c>
      <c r="I16647" s="20">
        <v>0.63209592235880396</v>
      </c>
      <c r="J16647" s="28">
        <v>0.52732419954173104</v>
      </c>
      <c r="K16647" s="29">
        <v>0.98289565623980701</v>
      </c>
    </row>
    <row r="16648" spans="1:11" x14ac:dyDescent="0.35">
      <c r="A16648" s="9" t="str">
        <f>HYPERLINK("http://www.ensembl.org/id/WBGene00006692", "WBGene00006692")</f>
        <v>WBGene00006692</v>
      </c>
      <c r="B16648" s="9" t="str">
        <f>HYPERLINK("http://www.ncbi.nlm.nih.gov/gene/180163", "180163")</f>
        <v>180163</v>
      </c>
      <c r="C16648" s="9"/>
      <c r="D16648" t="str">
        <f>"twk-42"</f>
        <v>twk-42</v>
      </c>
      <c r="E16648" t="s">
        <v>894</v>
      </c>
      <c r="F16648" t="s">
        <v>11</v>
      </c>
      <c r="G16648" t="s">
        <v>895</v>
      </c>
      <c r="H16648" s="12">
        <v>-1.1607838041287699</v>
      </c>
      <c r="I16648" s="20">
        <v>-0.47078710463907403</v>
      </c>
      <c r="J16648" s="28">
        <v>0.63779277420614799</v>
      </c>
      <c r="K16648" s="29">
        <v>0.98289565623980701</v>
      </c>
    </row>
    <row r="16649" spans="1:11" x14ac:dyDescent="0.35">
      <c r="A16649" s="9" t="str">
        <f>HYPERLINK("http://www.ensembl.org/id/WBGene00006693", "WBGene00006693")</f>
        <v>WBGene00006693</v>
      </c>
      <c r="B16649" s="9" t="str">
        <f>HYPERLINK("http://www.ncbi.nlm.nih.gov/gene/3565024", "3565024")</f>
        <v>3565024</v>
      </c>
      <c r="C16649" s="9"/>
      <c r="D16649" t="str">
        <f>"twk-43"</f>
        <v>twk-43</v>
      </c>
      <c r="E16649" t="s">
        <v>894</v>
      </c>
      <c r="F16649" t="s">
        <v>11</v>
      </c>
      <c r="G16649" t="s">
        <v>895</v>
      </c>
      <c r="H16649" s="12">
        <v>1.3628648206374101</v>
      </c>
      <c r="I16649" s="20">
        <v>1.0623270850776101</v>
      </c>
      <c r="J16649" s="28">
        <v>0.288087222565306</v>
      </c>
      <c r="K16649" s="29">
        <v>0.98289565623980701</v>
      </c>
    </row>
    <row r="16650" spans="1:11" x14ac:dyDescent="0.35">
      <c r="A16650" s="9" t="str">
        <f>HYPERLINK("http://www.ensembl.org/id/WBGene00006694", "WBGene00006694")</f>
        <v>WBGene00006694</v>
      </c>
      <c r="B16650" s="9" t="str">
        <f>HYPERLINK("http://www.ncbi.nlm.nih.gov/gene/181349", "181349")</f>
        <v>181349</v>
      </c>
      <c r="C16650" s="9"/>
      <c r="D16650" t="str">
        <f>"twk-44"</f>
        <v>twk-44</v>
      </c>
      <c r="E16650" t="s">
        <v>894</v>
      </c>
      <c r="F16650" t="s">
        <v>11</v>
      </c>
      <c r="G16650" t="s">
        <v>895</v>
      </c>
      <c r="H16650" s="12">
        <v>-1.34947557937638</v>
      </c>
      <c r="I16650" s="20">
        <v>-0.60612828531465002</v>
      </c>
      <c r="J16650" s="28">
        <v>0.54442956964450495</v>
      </c>
      <c r="K16650" s="29">
        <v>0.98289565623980701</v>
      </c>
    </row>
    <row r="16651" spans="1:11" x14ac:dyDescent="0.35">
      <c r="A16651" s="9" t="str">
        <f>HYPERLINK("http://www.ensembl.org/id/WBGene00006696", "WBGene00006696")</f>
        <v>WBGene00006696</v>
      </c>
      <c r="B16651" s="9" t="str">
        <f>HYPERLINK("http://www.ncbi.nlm.nih.gov/gene/180252", "180252")</f>
        <v>180252</v>
      </c>
      <c r="C16651" s="9" t="str">
        <f>HYPERLINK("http://www.ncbi.nlm.nih.gov/gene/3775", "3775")</f>
        <v>3775</v>
      </c>
      <c r="D16651" t="str">
        <f>"twk-46"</f>
        <v>twk-46</v>
      </c>
      <c r="E16651" t="s">
        <v>4585</v>
      </c>
      <c r="F16651" t="s">
        <v>11</v>
      </c>
      <c r="G16651" t="s">
        <v>1652</v>
      </c>
      <c r="H16651" s="12">
        <v>-1.2008734515178501</v>
      </c>
      <c r="I16651" s="20">
        <v>-0.67135837529812303</v>
      </c>
      <c r="J16651" s="28">
        <v>0.50199225507231504</v>
      </c>
      <c r="K16651" s="29">
        <v>0.98289565623980701</v>
      </c>
    </row>
    <row r="16652" spans="1:11" x14ac:dyDescent="0.35">
      <c r="A16652" s="9" t="str">
        <f>HYPERLINK("http://www.ensembl.org/id/WBGene00006660", "WBGene00006660")</f>
        <v>WBGene00006660</v>
      </c>
      <c r="B16652" s="9" t="str">
        <f>HYPERLINK("http://www.ncbi.nlm.nih.gov/gene/174756", "174756")</f>
        <v>174756</v>
      </c>
      <c r="C16652" s="9"/>
      <c r="D16652" t="str">
        <f>"twk-5"</f>
        <v>twk-5</v>
      </c>
      <c r="E16652" t="s">
        <v>894</v>
      </c>
      <c r="F16652" t="s">
        <v>11</v>
      </c>
      <c r="G16652" t="s">
        <v>5405</v>
      </c>
      <c r="H16652" s="12">
        <v>1.1706348063608401</v>
      </c>
      <c r="I16652" s="20">
        <v>0.78618261576653203</v>
      </c>
      <c r="J16652" s="28">
        <v>0.431760509140315</v>
      </c>
      <c r="K16652" s="29">
        <v>0.98289565623980701</v>
      </c>
    </row>
    <row r="16653" spans="1:11" x14ac:dyDescent="0.35">
      <c r="A16653" s="9" t="str">
        <f>HYPERLINK("http://www.ensembl.org/id/WBGene00006663", "WBGene00006663")</f>
        <v>WBGene00006663</v>
      </c>
      <c r="B16653" s="9" t="str">
        <f>HYPERLINK("http://www.ncbi.nlm.nih.gov/gene/177727", "177727")</f>
        <v>177727</v>
      </c>
      <c r="C16653" s="9"/>
      <c r="D16653" t="str">
        <f>"twk-8"</f>
        <v>twk-8</v>
      </c>
      <c r="E16653" t="s">
        <v>894</v>
      </c>
      <c r="F16653" t="s">
        <v>11</v>
      </c>
      <c r="G16653" t="s">
        <v>1652</v>
      </c>
      <c r="H16653" s="12">
        <v>1.15286903575633</v>
      </c>
      <c r="I16653" s="20">
        <v>0.64799159004529405</v>
      </c>
      <c r="J16653" s="28">
        <v>0.51699038971688005</v>
      </c>
      <c r="K16653" s="29">
        <v>0.98289565623980701</v>
      </c>
    </row>
    <row r="16654" spans="1:11" x14ac:dyDescent="0.35">
      <c r="A16654" s="9" t="str">
        <f>HYPERLINK("http://www.ensembl.org/id/WBGene00018514", "WBGene00018514")</f>
        <v>WBGene00018514</v>
      </c>
      <c r="B16654" s="9" t="str">
        <f>HYPERLINK("http://www.ncbi.nlm.nih.gov/gene/180845", "180845")</f>
        <v>180845</v>
      </c>
      <c r="C16654" s="9" t="str">
        <f>HYPERLINK("http://www.ncbi.nlm.nih.gov/gene/56652", "56652")</f>
        <v>56652</v>
      </c>
      <c r="D16654" t="str">
        <f>"twnk-1"</f>
        <v>twnk-1</v>
      </c>
      <c r="F16654" t="s">
        <v>11</v>
      </c>
      <c r="G16654" t="s">
        <v>4778</v>
      </c>
      <c r="H16654" s="12">
        <v>1.3838007840381501</v>
      </c>
      <c r="I16654" s="20">
        <v>0.65378402319964501</v>
      </c>
      <c r="J16654" s="28">
        <v>0.51325096114892299</v>
      </c>
      <c r="K16654" s="29">
        <v>0.98289565623980701</v>
      </c>
    </row>
    <row r="16655" spans="1:11" x14ac:dyDescent="0.35">
      <c r="A16655" s="9" t="str">
        <f>HYPERLINK("http://www.ensembl.org/id/WBGene00006515", "WBGene00006515")</f>
        <v>WBGene00006515</v>
      </c>
      <c r="B16655" s="9" t="str">
        <f>HYPERLINK("http://www.ncbi.nlm.nih.gov/gene/182257", "182257")</f>
        <v>182257</v>
      </c>
      <c r="C16655" s="9" t="str">
        <f>HYPERLINK("http://www.ncbi.nlm.nih.gov/gene/10190", "10190")</f>
        <v>10190</v>
      </c>
      <c r="D16655" t="str">
        <f>"txdc-9"</f>
        <v>txdc-9</v>
      </c>
      <c r="E16655" t="s">
        <v>6760</v>
      </c>
      <c r="F16655" t="s">
        <v>11</v>
      </c>
      <c r="G16655" t="s">
        <v>6761</v>
      </c>
      <c r="H16655" s="12">
        <v>-1.0879277115139001</v>
      </c>
      <c r="I16655" s="20">
        <v>-0.42358328881769203</v>
      </c>
      <c r="J16655" s="28">
        <v>0.671869744785762</v>
      </c>
      <c r="K16655" s="29">
        <v>0.98289565623980701</v>
      </c>
    </row>
    <row r="16656" spans="1:11" x14ac:dyDescent="0.35">
      <c r="A16656" s="9" t="str">
        <f>HYPERLINK("http://www.ensembl.org/id/WBGene00021826", "WBGene00021826")</f>
        <v>WBGene00021826</v>
      </c>
      <c r="B16656" s="9" t="str">
        <f>HYPERLINK("http://www.ncbi.nlm.nih.gov/gene/171897", "171897")</f>
        <v>171897</v>
      </c>
      <c r="C16656" s="9" t="str">
        <f>HYPERLINK("http://www.ncbi.nlm.nih.gov/gene/9352", "9352")</f>
        <v>9352</v>
      </c>
      <c r="D16656" t="str">
        <f>"txl-1"</f>
        <v>txl-1</v>
      </c>
      <c r="E16656" t="s">
        <v>7836</v>
      </c>
      <c r="F16656" t="s">
        <v>11</v>
      </c>
      <c r="G16656" t="s">
        <v>318</v>
      </c>
      <c r="H16656" s="12">
        <v>-1.14748232156458</v>
      </c>
      <c r="I16656" s="20">
        <v>-0.71998470350117505</v>
      </c>
      <c r="J16656" s="28">
        <v>0.471534413703253</v>
      </c>
      <c r="K16656" s="29">
        <v>0.98289565623980701</v>
      </c>
    </row>
    <row r="16657" spans="1:11" x14ac:dyDescent="0.35">
      <c r="A16657" s="9" t="str">
        <f>HYPERLINK("http://www.ensembl.org/id/WBGene00010661", "WBGene00010661")</f>
        <v>WBGene00010661</v>
      </c>
      <c r="B16657" s="9" t="str">
        <f>HYPERLINK("http://www.ncbi.nlm.nih.gov/gene/176810", "176810")</f>
        <v>176810</v>
      </c>
      <c r="C16657" s="9"/>
      <c r="D16657" t="str">
        <f>"tyr-2"</f>
        <v>tyr-2</v>
      </c>
      <c r="E16657" t="s">
        <v>567</v>
      </c>
      <c r="F16657" t="s">
        <v>11</v>
      </c>
      <c r="G16657" t="s">
        <v>9087</v>
      </c>
      <c r="H16657" s="12">
        <v>-1.21940824871503</v>
      </c>
      <c r="I16657" s="20">
        <v>-1.0027676203034801</v>
      </c>
      <c r="J16657" s="28">
        <v>0.315972995109013</v>
      </c>
      <c r="K16657" s="29">
        <v>0.98289565623980701</v>
      </c>
    </row>
    <row r="16658" spans="1:11" x14ac:dyDescent="0.35">
      <c r="A16658" s="9" t="str">
        <f>HYPERLINK("http://www.ensembl.org/id/WBGene00009001", "WBGene00009001")</f>
        <v>WBGene00009001</v>
      </c>
      <c r="B16658" s="9" t="str">
        <f>HYPERLINK("http://www.ncbi.nlm.nih.gov/gene/172472", "172472")</f>
        <v>172472</v>
      </c>
      <c r="C16658" s="9"/>
      <c r="D16658" t="str">
        <f>"tyr-3"</f>
        <v>tyr-3</v>
      </c>
      <c r="E16658" t="s">
        <v>10023</v>
      </c>
      <c r="F16658" t="s">
        <v>11</v>
      </c>
      <c r="G16658" t="s">
        <v>10024</v>
      </c>
      <c r="H16658" s="12">
        <v>-1.8264154711735501</v>
      </c>
      <c r="I16658" s="20">
        <v>-0.492426285882752</v>
      </c>
      <c r="J16658" s="28">
        <v>0.62241802078816499</v>
      </c>
      <c r="K16658" s="29">
        <v>0.98289565623980701</v>
      </c>
    </row>
    <row r="16659" spans="1:11" x14ac:dyDescent="0.35">
      <c r="A16659" s="9" t="str">
        <f>HYPERLINK("http://www.ensembl.org/id/WBGene00006475", "WBGene00006475")</f>
        <v>WBGene00006475</v>
      </c>
      <c r="B16659" s="9" t="str">
        <f>HYPERLINK("http://www.ncbi.nlm.nih.gov/gene/187427", "187427")</f>
        <v>187427</v>
      </c>
      <c r="C16659" s="9" t="str">
        <f>HYPERLINK("http://www.ncbi.nlm.nih.gov/gene/3352", "3352")</f>
        <v>3352</v>
      </c>
      <c r="D16659" t="str">
        <f>"tyra-3"</f>
        <v>tyra-3</v>
      </c>
      <c r="E16659" t="s">
        <v>7117</v>
      </c>
      <c r="F16659" t="s">
        <v>11</v>
      </c>
      <c r="G16659" t="s">
        <v>1426</v>
      </c>
      <c r="H16659" s="12">
        <v>-1.10757593470447</v>
      </c>
      <c r="I16659" s="20">
        <v>-0.50932062542284895</v>
      </c>
      <c r="J16659" s="28">
        <v>0.61052750301708003</v>
      </c>
      <c r="K16659" s="29">
        <v>0.98289565623980701</v>
      </c>
    </row>
    <row r="16660" spans="1:11" x14ac:dyDescent="0.35">
      <c r="A16660" s="9" t="str">
        <f>HYPERLINK("http://www.ensembl.org/id/WBGene00006698", "WBGene00006698")</f>
        <v>WBGene00006698</v>
      </c>
      <c r="B16660" s="9" t="str">
        <f>HYPERLINK("http://www.ncbi.nlm.nih.gov/gene/178489", "178489")</f>
        <v>178489</v>
      </c>
      <c r="C16660" s="9"/>
      <c r="D16660" t="str">
        <f>"uaf-2"</f>
        <v>uaf-2</v>
      </c>
      <c r="E16660" t="s">
        <v>5972</v>
      </c>
      <c r="F16660" t="s">
        <v>11</v>
      </c>
      <c r="G16660" t="s">
        <v>5973</v>
      </c>
      <c r="H16660" s="12">
        <v>1.0781275760221301</v>
      </c>
      <c r="I16660" s="20">
        <v>0.36713590325096002</v>
      </c>
      <c r="J16660" s="28">
        <v>0.71351764747118096</v>
      </c>
      <c r="K16660" s="29">
        <v>0.98289565623980701</v>
      </c>
    </row>
    <row r="16661" spans="1:11" x14ac:dyDescent="0.35">
      <c r="A16661" s="9" t="str">
        <f>HYPERLINK("http://www.ensembl.org/id/WBGene00020184", "WBGene00020184")</f>
        <v>WBGene00020184</v>
      </c>
      <c r="B16661" s="9" t="str">
        <f>HYPERLINK("http://www.ncbi.nlm.nih.gov/gene/171968", "171968")</f>
        <v>171968</v>
      </c>
      <c r="C16661" s="9" t="str">
        <f>HYPERLINK("http://www.ncbi.nlm.nih.gov/gene/79876", "79876")</f>
        <v>79876</v>
      </c>
      <c r="D16661" t="str">
        <f>"uba-5"</f>
        <v>uba-5</v>
      </c>
      <c r="E16661" t="s">
        <v>7300</v>
      </c>
      <c r="F16661" t="s">
        <v>11</v>
      </c>
      <c r="G16661" t="s">
        <v>7301</v>
      </c>
      <c r="H16661" s="12">
        <v>-1.1183890538087</v>
      </c>
      <c r="I16661" s="20">
        <v>-0.55727205769573995</v>
      </c>
      <c r="J16661" s="28">
        <v>0.57734156383257695</v>
      </c>
      <c r="K16661" s="29">
        <v>0.98289565623980701</v>
      </c>
    </row>
    <row r="16662" spans="1:11" x14ac:dyDescent="0.35">
      <c r="A16662" s="9" t="str">
        <f>HYPERLINK("http://www.ensembl.org/id/WBGene00006701", "WBGene00006701")</f>
        <v>WBGene00006701</v>
      </c>
      <c r="B16662" s="9" t="str">
        <f>HYPERLINK("http://www.ncbi.nlm.nih.gov/gene/177170", "177170")</f>
        <v>177170</v>
      </c>
      <c r="C16662" s="9" t="str">
        <f>HYPERLINK("http://www.ncbi.nlm.nih.gov/gene/7319", "7319")</f>
        <v>7319</v>
      </c>
      <c r="D16662" t="str">
        <f>"ubc-1"</f>
        <v>ubc-1</v>
      </c>
      <c r="E16662" t="s">
        <v>7162</v>
      </c>
      <c r="F16662" t="s">
        <v>11</v>
      </c>
      <c r="G16662" t="s">
        <v>7163</v>
      </c>
      <c r="H16662" s="12">
        <v>-1.1106158477083601</v>
      </c>
      <c r="I16662" s="20">
        <v>-0.56103211022218502</v>
      </c>
      <c r="J16662" s="28">
        <v>0.57477564754218302</v>
      </c>
      <c r="K16662" s="29">
        <v>0.98289565623980701</v>
      </c>
    </row>
    <row r="16663" spans="1:11" x14ac:dyDescent="0.35">
      <c r="A16663" s="9" t="str">
        <f>HYPERLINK("http://www.ensembl.org/id/WBGene00006708", "WBGene00006708")</f>
        <v>WBGene00006708</v>
      </c>
      <c r="B16663" s="9" t="str">
        <f>HYPERLINK("http://www.ncbi.nlm.nih.gov/gene/177073", "177073")</f>
        <v>177073</v>
      </c>
      <c r="C16663" s="9" t="str">
        <f>HYPERLINK("http://www.ncbi.nlm.nih.gov/gene/7334", "7334")</f>
        <v>7334</v>
      </c>
      <c r="D16663" t="str">
        <f>"ubc-13"</f>
        <v>ubc-13</v>
      </c>
      <c r="E16663" t="s">
        <v>8903</v>
      </c>
      <c r="F16663" t="s">
        <v>11</v>
      </c>
      <c r="G16663" t="s">
        <v>8904</v>
      </c>
      <c r="H16663" s="12">
        <v>-1.20639135360746</v>
      </c>
      <c r="I16663" s="20">
        <v>-0.98796820060123502</v>
      </c>
      <c r="J16663" s="28">
        <v>0.32316822214889601</v>
      </c>
      <c r="K16663" s="29">
        <v>0.98289565623980701</v>
      </c>
    </row>
    <row r="16664" spans="1:11" x14ac:dyDescent="0.35">
      <c r="A16664" s="9" t="str">
        <f>HYPERLINK("http://www.ensembl.org/id/WBGene00006709", "WBGene00006709")</f>
        <v>WBGene00006709</v>
      </c>
      <c r="B16664" s="9" t="str">
        <f>HYPERLINK("http://www.ncbi.nlm.nih.gov/gene/173228", "173228")</f>
        <v>173228</v>
      </c>
      <c r="C16664" s="9" t="str">
        <f>HYPERLINK("http://www.ncbi.nlm.nih.gov/gene/7327", "7327")</f>
        <v>7327</v>
      </c>
      <c r="D16664" t="str">
        <f>"ubc-14"</f>
        <v>ubc-14</v>
      </c>
      <c r="E16664" t="s">
        <v>3370</v>
      </c>
      <c r="F16664" t="s">
        <v>11</v>
      </c>
      <c r="G16664" t="s">
        <v>7994</v>
      </c>
      <c r="H16664" s="12">
        <v>-1.15484068363337</v>
      </c>
      <c r="I16664" s="20">
        <v>-0.75422938065203604</v>
      </c>
      <c r="J16664" s="28">
        <v>0.45071149838629598</v>
      </c>
      <c r="K16664" s="29">
        <v>0.98289565623980701</v>
      </c>
    </row>
    <row r="16665" spans="1:11" x14ac:dyDescent="0.35">
      <c r="A16665" s="9" t="str">
        <f>HYPERLINK("http://www.ensembl.org/id/WBGene00006710", "WBGene00006710")</f>
        <v>WBGene00006710</v>
      </c>
      <c r="B16665" s="9" t="str">
        <f>HYPERLINK("http://www.ncbi.nlm.nih.gov/gene/173637", "173637")</f>
        <v>173637</v>
      </c>
      <c r="C16665" s="9"/>
      <c r="D16665" t="str">
        <f>"ubc-15"</f>
        <v>ubc-15</v>
      </c>
      <c r="E16665" t="s">
        <v>3370</v>
      </c>
      <c r="F16665" t="s">
        <v>11</v>
      </c>
      <c r="G16665" t="s">
        <v>9392</v>
      </c>
      <c r="H16665" s="12">
        <v>-1.2431307021259901</v>
      </c>
      <c r="I16665" s="20">
        <v>-1.0728435836325001</v>
      </c>
      <c r="J16665" s="28">
        <v>0.28334130217821002</v>
      </c>
      <c r="K16665" s="29">
        <v>0.98289565623980701</v>
      </c>
    </row>
    <row r="16666" spans="1:11" x14ac:dyDescent="0.35">
      <c r="A16666" s="9" t="str">
        <f>HYPERLINK("http://www.ensembl.org/id/WBGene00006711", "WBGene00006711")</f>
        <v>WBGene00006711</v>
      </c>
      <c r="B16666" s="9" t="str">
        <f>HYPERLINK("http://www.ncbi.nlm.nih.gov/gene/173354", "173354")</f>
        <v>173354</v>
      </c>
      <c r="C16666" s="9" t="str">
        <f>HYPERLINK("http://www.ncbi.nlm.nih.gov/gene/55284", "55284")</f>
        <v>55284</v>
      </c>
      <c r="D16666" t="str">
        <f>"ubc-16"</f>
        <v>ubc-16</v>
      </c>
      <c r="E16666" t="s">
        <v>3370</v>
      </c>
      <c r="F16666" t="s">
        <v>11</v>
      </c>
      <c r="G16666" t="s">
        <v>6281</v>
      </c>
      <c r="H16666" s="12">
        <v>-1.0592716965065101</v>
      </c>
      <c r="I16666" s="20">
        <v>-0.294199626306269</v>
      </c>
      <c r="J16666" s="28">
        <v>0.76860536618002195</v>
      </c>
      <c r="K16666" s="29">
        <v>0.98289565623980701</v>
      </c>
    </row>
    <row r="16667" spans="1:11" x14ac:dyDescent="0.35">
      <c r="A16667" s="9" t="str">
        <f>HYPERLINK("http://www.ensembl.org/id/WBGene00006713", "WBGene00006713")</f>
        <v>WBGene00006713</v>
      </c>
      <c r="B16667" s="9" t="str">
        <f>HYPERLINK("http://www.ncbi.nlm.nih.gov/gene/175985", "175985")</f>
        <v>175985</v>
      </c>
      <c r="C16667" s="9"/>
      <c r="D16667" t="str">
        <f>"ubc-18"</f>
        <v>ubc-18</v>
      </c>
      <c r="E16667" t="s">
        <v>3370</v>
      </c>
      <c r="F16667" t="s">
        <v>11</v>
      </c>
      <c r="G16667" t="s">
        <v>7605</v>
      </c>
      <c r="H16667" s="12">
        <v>-1.13539481009282</v>
      </c>
      <c r="I16667" s="20">
        <v>-0.65093275683206797</v>
      </c>
      <c r="J16667" s="28">
        <v>0.51508989496033297</v>
      </c>
      <c r="K16667" s="29">
        <v>0.98289565623980701</v>
      </c>
    </row>
    <row r="16668" spans="1:11" x14ac:dyDescent="0.35">
      <c r="A16668" s="9" t="str">
        <f>HYPERLINK("http://www.ensembl.org/id/WBGene00006714", "WBGene00006714")</f>
        <v>WBGene00006714</v>
      </c>
      <c r="B16668" s="9" t="str">
        <f>HYPERLINK("http://www.ncbi.nlm.nih.gov/gene/180223", "180223")</f>
        <v>180223</v>
      </c>
      <c r="C16668" s="9"/>
      <c r="D16668" t="str">
        <f>"ubc-19"</f>
        <v>ubc-19</v>
      </c>
      <c r="E16668" t="s">
        <v>3370</v>
      </c>
      <c r="F16668" t="s">
        <v>11</v>
      </c>
      <c r="G16668" t="s">
        <v>5110</v>
      </c>
      <c r="H16668" s="12">
        <v>1.2376979799788701</v>
      </c>
      <c r="I16668" s="20">
        <v>0.88156125487789805</v>
      </c>
      <c r="J16668" s="28">
        <v>0.37801411524346601</v>
      </c>
      <c r="K16668" s="29">
        <v>0.98289565623980701</v>
      </c>
    </row>
    <row r="16669" spans="1:11" x14ac:dyDescent="0.35">
      <c r="A16669" s="9" t="str">
        <f>HYPERLINK("http://www.ensembl.org/id/WBGene00006715", "WBGene00006715")</f>
        <v>WBGene00006715</v>
      </c>
      <c r="B16669" s="9" t="str">
        <f>HYPERLINK("http://www.ncbi.nlm.nih.gov/gene/175185", "175185")</f>
        <v>175185</v>
      </c>
      <c r="C16669" s="9" t="str">
        <f>HYPERLINK("http://www.ncbi.nlm.nih.gov/gene/3093", "3093")</f>
        <v>3093</v>
      </c>
      <c r="D16669" t="str">
        <f>"ubc-20"</f>
        <v>ubc-20</v>
      </c>
      <c r="E16669" t="s">
        <v>3370</v>
      </c>
      <c r="F16669" t="s">
        <v>11</v>
      </c>
      <c r="G16669" t="s">
        <v>9003</v>
      </c>
      <c r="H16669" s="12">
        <v>-1.21399754648544</v>
      </c>
      <c r="I16669" s="20">
        <v>-1.0448272328571599</v>
      </c>
      <c r="J16669" s="28">
        <v>0.29610282600941901</v>
      </c>
      <c r="K16669" s="29">
        <v>0.98289565623980701</v>
      </c>
    </row>
    <row r="16670" spans="1:11" x14ac:dyDescent="0.35">
      <c r="A16670" s="9" t="str">
        <f>HYPERLINK("http://www.ensembl.org/id/WBGene00006716", "WBGene00006716")</f>
        <v>WBGene00006716</v>
      </c>
      <c r="B16670" s="9" t="str">
        <f>HYPERLINK("http://www.ncbi.nlm.nih.gov/gene/182321", "182321")</f>
        <v>182321</v>
      </c>
      <c r="C16670" s="9" t="str">
        <f>HYPERLINK("http://www.ncbi.nlm.nih.gov/gene/3093", "3093")</f>
        <v>3093</v>
      </c>
      <c r="D16670" t="str">
        <f>"ubc-21"</f>
        <v>ubc-21</v>
      </c>
      <c r="E16670" t="s">
        <v>5254</v>
      </c>
      <c r="F16670" t="s">
        <v>11</v>
      </c>
      <c r="G16670" t="s">
        <v>5255</v>
      </c>
      <c r="H16670" s="12">
        <v>1.2032088285703599</v>
      </c>
      <c r="I16670" s="20">
        <v>0.31941833166491201</v>
      </c>
      <c r="J16670" s="28">
        <v>0.74940931167817104</v>
      </c>
      <c r="K16670" s="29">
        <v>0.98289565623980701</v>
      </c>
    </row>
    <row r="16671" spans="1:11" x14ac:dyDescent="0.35">
      <c r="A16671" s="9" t="str">
        <f>HYPERLINK("http://www.ensembl.org/id/WBGene00006718", "WBGene00006718")</f>
        <v>WBGene00006718</v>
      </c>
      <c r="B16671" s="9" t="str">
        <f>HYPERLINK("http://www.ncbi.nlm.nih.gov/gene/182989", "182989")</f>
        <v>182989</v>
      </c>
      <c r="C16671" s="9"/>
      <c r="D16671" t="str">
        <f>"ubc-23"</f>
        <v>ubc-23</v>
      </c>
      <c r="E16671" t="s">
        <v>3370</v>
      </c>
      <c r="F16671" t="s">
        <v>11</v>
      </c>
      <c r="H16671" s="12">
        <v>-1.15163358394003</v>
      </c>
      <c r="I16671" s="20">
        <v>-0.52950515631599604</v>
      </c>
      <c r="J16671" s="28">
        <v>0.59645506843535201</v>
      </c>
      <c r="K16671" s="29">
        <v>0.98289565623980701</v>
      </c>
    </row>
    <row r="16672" spans="1:11" x14ac:dyDescent="0.35">
      <c r="A16672" s="9" t="str">
        <f>HYPERLINK("http://www.ensembl.org/id/WBGene00022450", "WBGene00022450")</f>
        <v>WBGene00022450</v>
      </c>
      <c r="B16672" s="9" t="str">
        <f>HYPERLINK("http://www.ncbi.nlm.nih.gov/gene/259424", "259424")</f>
        <v>259424</v>
      </c>
      <c r="C16672" s="9" t="str">
        <f>HYPERLINK("http://www.ncbi.nlm.nih.gov/gene/118424", "118424")</f>
        <v>118424</v>
      </c>
      <c r="D16672" t="str">
        <f>"ubc-26"</f>
        <v>ubc-26</v>
      </c>
      <c r="E16672" t="s">
        <v>3370</v>
      </c>
      <c r="F16672" t="s">
        <v>11</v>
      </c>
      <c r="G16672" t="s">
        <v>9146</v>
      </c>
      <c r="H16672" s="12">
        <v>-1.22439676817767</v>
      </c>
      <c r="I16672" s="20">
        <v>-1.0011216089408099</v>
      </c>
      <c r="J16672" s="28">
        <v>0.31676801920755299</v>
      </c>
      <c r="K16672" s="29">
        <v>0.98289565623980701</v>
      </c>
    </row>
    <row r="16673" spans="1:11" x14ac:dyDescent="0.35">
      <c r="A16673" s="9" t="str">
        <f>HYPERLINK("http://www.ensembl.org/id/WBGene00006702", "WBGene00006702")</f>
        <v>WBGene00006702</v>
      </c>
      <c r="B16673" s="9" t="str">
        <f>HYPERLINK("http://www.ncbi.nlm.nih.gov/gene/171734", "171734")</f>
        <v>171734</v>
      </c>
      <c r="C16673" s="9" t="str">
        <f>HYPERLINK("http://www.ncbi.nlm.nih.gov/gene/54926", "54926")</f>
        <v>54926</v>
      </c>
      <c r="D16673" t="str">
        <f>"ubc-3"</f>
        <v>ubc-3</v>
      </c>
      <c r="E16673" t="s">
        <v>3370</v>
      </c>
      <c r="F16673" t="s">
        <v>11</v>
      </c>
      <c r="G16673" t="s">
        <v>5829</v>
      </c>
      <c r="H16673" s="12">
        <v>1.09550669392692</v>
      </c>
      <c r="I16673" s="20">
        <v>0.50075057661815003</v>
      </c>
      <c r="J16673" s="28">
        <v>0.61654667265520402</v>
      </c>
      <c r="K16673" s="29">
        <v>0.98289565623980701</v>
      </c>
    </row>
    <row r="16674" spans="1:11" x14ac:dyDescent="0.35">
      <c r="A16674" s="9" t="str">
        <f>HYPERLINK("http://www.ensembl.org/id/WBGene00006704", "WBGene00006704")</f>
        <v>WBGene00006704</v>
      </c>
      <c r="B16674" s="9" t="str">
        <f>HYPERLINK("http://www.ncbi.nlm.nih.gov/gene/176363", "176363")</f>
        <v>176363</v>
      </c>
      <c r="C16674" s="9"/>
      <c r="D16674" t="str">
        <f>"ubc-7"</f>
        <v>ubc-7</v>
      </c>
      <c r="E16674" t="s">
        <v>9184</v>
      </c>
      <c r="F16674" t="s">
        <v>11</v>
      </c>
      <c r="G16674" t="s">
        <v>9185</v>
      </c>
      <c r="H16674" s="12">
        <v>-1.22688437373154</v>
      </c>
      <c r="I16674" s="20">
        <v>-1.1211304534589699</v>
      </c>
      <c r="J16674" s="28">
        <v>0.262232337512119</v>
      </c>
      <c r="K16674" s="29">
        <v>0.98289565623980701</v>
      </c>
    </row>
    <row r="16675" spans="1:11" x14ac:dyDescent="0.35">
      <c r="A16675" s="9" t="str">
        <f>HYPERLINK("http://www.ensembl.org/id/WBGene00006706", "WBGene00006706")</f>
        <v>WBGene00006706</v>
      </c>
      <c r="B16675" s="9" t="str">
        <f>HYPERLINK("http://www.ncbi.nlm.nih.gov/gene/3565767", "3565767")</f>
        <v>3565767</v>
      </c>
      <c r="C16675" s="9"/>
      <c r="D16675" t="str">
        <f>"ubc-9"</f>
        <v>ubc-9</v>
      </c>
      <c r="E16675" t="s">
        <v>9204</v>
      </c>
      <c r="F16675" t="s">
        <v>11</v>
      </c>
      <c r="G16675" t="s">
        <v>9205</v>
      </c>
      <c r="H16675" s="12">
        <v>-1.2279228894227701</v>
      </c>
      <c r="I16675" s="20">
        <v>-1.0150425497161899</v>
      </c>
      <c r="J16675" s="28">
        <v>0.31008554522206799</v>
      </c>
      <c r="K16675" s="29">
        <v>0.98289565623980701</v>
      </c>
    </row>
    <row r="16676" spans="1:11" x14ac:dyDescent="0.35">
      <c r="A16676" s="9" t="str">
        <f>HYPERLINK("http://www.ensembl.org/id/WBGene00006721", "WBGene00006721")</f>
        <v>WBGene00006721</v>
      </c>
      <c r="B16676" s="9" t="str">
        <f>HYPERLINK("http://www.ncbi.nlm.nih.gov/gene/179039", "179039")</f>
        <v>179039</v>
      </c>
      <c r="C16676" s="9"/>
      <c r="D16676" t="str">
        <f>"ubh-1"</f>
        <v>ubh-1</v>
      </c>
      <c r="E16676" t="s">
        <v>2664</v>
      </c>
      <c r="F16676" t="s">
        <v>11</v>
      </c>
      <c r="G16676" t="s">
        <v>5765</v>
      </c>
      <c r="H16676" s="12">
        <v>1.10783037874964</v>
      </c>
      <c r="I16676" s="20">
        <v>0.47533741174025501</v>
      </c>
      <c r="J16676" s="28">
        <v>0.63454649736248703</v>
      </c>
      <c r="K16676" s="29">
        <v>0.98289565623980701</v>
      </c>
    </row>
    <row r="16677" spans="1:11" x14ac:dyDescent="0.35">
      <c r="A16677" s="9" t="str">
        <f>HYPERLINK("http://www.ensembl.org/id/WBGene00006722", "WBGene00006722")</f>
        <v>WBGene00006722</v>
      </c>
      <c r="B16677" s="9" t="str">
        <f>HYPERLINK("http://www.ncbi.nlm.nih.gov/gene/24105081", "24105081")</f>
        <v>24105081</v>
      </c>
      <c r="C16677" s="9"/>
      <c r="D16677" t="str">
        <f>"ubh-2"</f>
        <v>ubh-2</v>
      </c>
      <c r="E16677" t="s">
        <v>2664</v>
      </c>
      <c r="F16677" t="s">
        <v>11</v>
      </c>
      <c r="G16677" t="s">
        <v>5765</v>
      </c>
      <c r="H16677" s="12">
        <v>-1.09765647841148</v>
      </c>
      <c r="I16677" s="20">
        <v>-0.42449540198343999</v>
      </c>
      <c r="J16677" s="28">
        <v>0.67120455791933598</v>
      </c>
      <c r="K16677" s="29">
        <v>0.98289565623980701</v>
      </c>
    </row>
    <row r="16678" spans="1:11" x14ac:dyDescent="0.35">
      <c r="A16678" s="9" t="str">
        <f>HYPERLINK("http://www.ensembl.org/id/WBGene00006723", "WBGene00006723")</f>
        <v>WBGene00006723</v>
      </c>
      <c r="B16678" s="9" t="str">
        <f>HYPERLINK("http://www.ncbi.nlm.nih.gov/gene/259626", "259626")</f>
        <v>259626</v>
      </c>
      <c r="C16678" s="9"/>
      <c r="D16678" t="str">
        <f>"ubh-3"</f>
        <v>ubh-3</v>
      </c>
      <c r="E16678" t="s">
        <v>2664</v>
      </c>
      <c r="F16678" t="s">
        <v>11</v>
      </c>
      <c r="G16678" t="s">
        <v>5765</v>
      </c>
      <c r="H16678" s="12">
        <v>-1.2265146397050199</v>
      </c>
      <c r="I16678" s="20">
        <v>-0.93734926117184703</v>
      </c>
      <c r="J16678" s="28">
        <v>0.34857893127633699</v>
      </c>
      <c r="K16678" s="29">
        <v>0.98289565623980701</v>
      </c>
    </row>
    <row r="16679" spans="1:11" x14ac:dyDescent="0.35">
      <c r="A16679" s="9" t="str">
        <f>HYPERLINK("http://www.ensembl.org/id/WBGene00006724", "WBGene00006724")</f>
        <v>WBGene00006724</v>
      </c>
      <c r="B16679" s="9" t="str">
        <f>HYPERLINK("http://www.ncbi.nlm.nih.gov/gene/174289", "174289")</f>
        <v>174289</v>
      </c>
      <c r="C16679" s="9" t="str">
        <f>HYPERLINK("http://www.ncbi.nlm.nih.gov/gene/51377", "51377")</f>
        <v>51377</v>
      </c>
      <c r="D16679" t="str">
        <f>"ubh-4"</f>
        <v>ubh-4</v>
      </c>
      <c r="E16679" t="s">
        <v>9428</v>
      </c>
      <c r="F16679" t="s">
        <v>11</v>
      </c>
      <c r="G16679" t="s">
        <v>9429</v>
      </c>
      <c r="H16679" s="12">
        <v>-1.2452542513401099</v>
      </c>
      <c r="I16679" s="20">
        <v>-1.11304139636094</v>
      </c>
      <c r="J16679" s="28">
        <v>0.265690650913874</v>
      </c>
      <c r="K16679" s="29">
        <v>0.98289565623980701</v>
      </c>
    </row>
    <row r="16680" spans="1:11" x14ac:dyDescent="0.35">
      <c r="A16680" s="9" t="str">
        <f>HYPERLINK("http://www.ensembl.org/id/WBGene00006725", "WBGene00006725")</f>
        <v>WBGene00006725</v>
      </c>
      <c r="B16680" s="9" t="str">
        <f>HYPERLINK("http://www.ncbi.nlm.nih.gov/gene/175413", "175413")</f>
        <v>175413</v>
      </c>
      <c r="C16680" s="9"/>
      <c r="D16680" t="str">
        <f>"ubl-1"</f>
        <v>ubl-1</v>
      </c>
      <c r="E16680" t="s">
        <v>7526</v>
      </c>
      <c r="F16680" t="s">
        <v>11</v>
      </c>
      <c r="G16680" t="s">
        <v>7527</v>
      </c>
      <c r="H16680" s="12">
        <v>-1.13069528447053</v>
      </c>
      <c r="I16680" s="20">
        <v>-0.65221641097295602</v>
      </c>
      <c r="J16680" s="28">
        <v>0.514261574610131</v>
      </c>
      <c r="K16680" s="29">
        <v>0.98289565623980701</v>
      </c>
    </row>
    <row r="16681" spans="1:11" x14ac:dyDescent="0.35">
      <c r="A16681" s="9" t="str">
        <f>HYPERLINK("http://www.ensembl.org/id/WBGene00006726", "WBGene00006726")</f>
        <v>WBGene00006726</v>
      </c>
      <c r="B16681" s="9" t="str">
        <f>HYPERLINK("http://www.ncbi.nlm.nih.gov/gene/185872", "185872")</f>
        <v>185872</v>
      </c>
      <c r="C16681" s="9" t="str">
        <f>HYPERLINK("http://www.ncbi.nlm.nih.gov/gene/59286", "59286")</f>
        <v>59286</v>
      </c>
      <c r="D16681" t="str">
        <f>"ubl-5"</f>
        <v>ubl-5</v>
      </c>
      <c r="E16681" t="s">
        <v>8356</v>
      </c>
      <c r="F16681" t="s">
        <v>11</v>
      </c>
      <c r="G16681" t="s">
        <v>8357</v>
      </c>
      <c r="H16681" s="12">
        <v>-1.17315217421575</v>
      </c>
      <c r="I16681" s="20">
        <v>-0.75319151406899199</v>
      </c>
      <c r="J16681" s="28">
        <v>0.45133483795942198</v>
      </c>
      <c r="K16681" s="29">
        <v>0.98289565623980701</v>
      </c>
    </row>
    <row r="16682" spans="1:11" x14ac:dyDescent="0.35">
      <c r="A16682" s="9" t="str">
        <f>HYPERLINK("http://www.ensembl.org/id/WBGene00006727", "WBGene00006727")</f>
        <v>WBGene00006727</v>
      </c>
      <c r="B16682" s="9" t="str">
        <f>HYPERLINK("http://www.ncbi.nlm.nih.gov/gene/175840", "175840")</f>
        <v>175840</v>
      </c>
      <c r="C16682" s="9"/>
      <c r="D16682" t="str">
        <f>"ubq-1"</f>
        <v>ubq-1</v>
      </c>
      <c r="E16682" t="s">
        <v>7911</v>
      </c>
      <c r="F16682" t="s">
        <v>11</v>
      </c>
      <c r="G16682" t="s">
        <v>1405</v>
      </c>
      <c r="H16682" s="12">
        <v>-1.15112036726095</v>
      </c>
      <c r="I16682" s="20">
        <v>-0.79297629525626201</v>
      </c>
      <c r="J16682" s="28">
        <v>0.42779163382750002</v>
      </c>
      <c r="K16682" s="29">
        <v>0.98289565623980701</v>
      </c>
    </row>
    <row r="16683" spans="1:11" x14ac:dyDescent="0.35">
      <c r="A16683" s="9" t="str">
        <f>HYPERLINK("http://www.ensembl.org/id/WBGene00006728", "WBGene00006728")</f>
        <v>WBGene00006728</v>
      </c>
      <c r="B16683" s="9" t="str">
        <f>HYPERLINK("http://www.ncbi.nlm.nih.gov/gene/176718", "176718")</f>
        <v>176718</v>
      </c>
      <c r="C16683" s="9" t="str">
        <f>HYPERLINK("http://www.ncbi.nlm.nih.gov/gene/7311", "7311")</f>
        <v>7311</v>
      </c>
      <c r="D16683" t="str">
        <f>"ubq-2"</f>
        <v>ubq-2</v>
      </c>
      <c r="E16683" t="s">
        <v>6600</v>
      </c>
      <c r="F16683" t="s">
        <v>11</v>
      </c>
      <c r="G16683" t="s">
        <v>6601</v>
      </c>
      <c r="H16683" s="12">
        <v>-1.0788847629428699</v>
      </c>
      <c r="I16683" s="20">
        <v>-0.40316294023790999</v>
      </c>
      <c r="J16683" s="28">
        <v>0.68682836084626098</v>
      </c>
      <c r="K16683" s="29">
        <v>0.98289565623980701</v>
      </c>
    </row>
    <row r="16684" spans="1:11" x14ac:dyDescent="0.35">
      <c r="A16684" s="9" t="str">
        <f>HYPERLINK("http://www.ensembl.org/id/WBGene00008852", "WBGene00008852")</f>
        <v>WBGene00008852</v>
      </c>
      <c r="B16684" s="9" t="str">
        <f>HYPERLINK("http://www.ncbi.nlm.nih.gov/gene/172434", "172434")</f>
        <v>172434</v>
      </c>
      <c r="C16684" s="9" t="str">
        <f>HYPERLINK("http://www.ncbi.nlm.nih.gov/gene/29978", "29978")</f>
        <v>29978</v>
      </c>
      <c r="D16684" t="str">
        <f>"ubql-1"</f>
        <v>ubql-1</v>
      </c>
      <c r="E16684" t="s">
        <v>6385</v>
      </c>
      <c r="F16684" t="s">
        <v>11</v>
      </c>
      <c r="G16684" t="s">
        <v>6386</v>
      </c>
      <c r="H16684" s="12">
        <v>-1.0663107247155901</v>
      </c>
      <c r="I16684" s="20">
        <v>-0.35081255035178699</v>
      </c>
      <c r="J16684" s="28">
        <v>0.72572898106763395</v>
      </c>
      <c r="K16684" s="29">
        <v>0.98289565623980701</v>
      </c>
    </row>
    <row r="16685" spans="1:11" x14ac:dyDescent="0.35">
      <c r="A16685" s="9" t="str">
        <f>HYPERLINK("http://www.ensembl.org/id/WBGene00016326", "WBGene00016326")</f>
        <v>WBGene00016326</v>
      </c>
      <c r="B16685" s="9" t="str">
        <f>HYPERLINK("http://www.ncbi.nlm.nih.gov/gene/171953", "171953")</f>
        <v>171953</v>
      </c>
      <c r="C16685" s="9" t="str">
        <f>HYPERLINK("http://www.ncbi.nlm.nih.gov/gene/23304", "23304")</f>
        <v>23304</v>
      </c>
      <c r="D16685" t="str">
        <f>"ubr-1"</f>
        <v>ubr-1</v>
      </c>
      <c r="E16685" t="s">
        <v>6614</v>
      </c>
      <c r="F16685" t="s">
        <v>11</v>
      </c>
      <c r="G16685" t="s">
        <v>6615</v>
      </c>
      <c r="H16685" s="12">
        <v>-1.0799715814386901</v>
      </c>
      <c r="I16685" s="20">
        <v>-0.41522175416295798</v>
      </c>
      <c r="J16685" s="28">
        <v>0.67797957503599304</v>
      </c>
      <c r="K16685" s="29">
        <v>0.98289565623980701</v>
      </c>
    </row>
    <row r="16686" spans="1:11" x14ac:dyDescent="0.35">
      <c r="A16686" s="9" t="str">
        <f>HYPERLINK("http://www.ensembl.org/id/WBGene00009460", "WBGene00009460")</f>
        <v>WBGene00009460</v>
      </c>
      <c r="B16686" s="9" t="str">
        <f>HYPERLINK("http://www.ncbi.nlm.nih.gov/gene/172697", "172697")</f>
        <v>172697</v>
      </c>
      <c r="C16686" s="9"/>
      <c r="D16686" t="str">
        <f>"ubr-5"</f>
        <v>ubr-5</v>
      </c>
      <c r="E16686" t="s">
        <v>6223</v>
      </c>
      <c r="F16686" t="s">
        <v>11</v>
      </c>
      <c r="G16686" t="s">
        <v>6224</v>
      </c>
      <c r="H16686" s="12">
        <v>-1.0545466701397299</v>
      </c>
      <c r="I16686" s="20">
        <v>-0.28959844941984197</v>
      </c>
      <c r="J16686" s="28">
        <v>0.77212345337676702</v>
      </c>
      <c r="K16686" s="29">
        <v>0.98289565623980701</v>
      </c>
    </row>
    <row r="16687" spans="1:11" x14ac:dyDescent="0.35">
      <c r="A16687" s="9" t="str">
        <f>HYPERLINK("http://www.ensembl.org/id/WBGene00022381", "WBGene00022381")</f>
        <v>WBGene00022381</v>
      </c>
      <c r="B16687" s="9" t="str">
        <f>HYPERLINK("http://www.ncbi.nlm.nih.gov/gene/177057", "177057")</f>
        <v>177057</v>
      </c>
      <c r="C16687" s="9"/>
      <c r="D16687" t="str">
        <f>"ubxn-2"</f>
        <v>ubxn-2</v>
      </c>
      <c r="E16687" t="s">
        <v>6517</v>
      </c>
      <c r="F16687" t="s">
        <v>11</v>
      </c>
      <c r="G16687" t="s">
        <v>6518</v>
      </c>
      <c r="H16687" s="12">
        <v>-1.0730559860730899</v>
      </c>
      <c r="I16687" s="20">
        <v>-0.36984120711676899</v>
      </c>
      <c r="J16687" s="28">
        <v>0.711500809917754</v>
      </c>
      <c r="K16687" s="29">
        <v>0.98289565623980701</v>
      </c>
    </row>
    <row r="16688" spans="1:11" x14ac:dyDescent="0.35">
      <c r="A16688" s="9" t="str">
        <f>HYPERLINK("http://www.ensembl.org/id/WBGene00018586", "WBGene00018586")</f>
        <v>WBGene00018586</v>
      </c>
      <c r="B16688" s="9" t="str">
        <f>HYPERLINK("http://www.ncbi.nlm.nih.gov/gene/173407", "173407")</f>
        <v>173407</v>
      </c>
      <c r="C16688" s="9"/>
      <c r="D16688" t="str">
        <f>"ubxn-3"</f>
        <v>ubxn-3</v>
      </c>
      <c r="E16688" t="s">
        <v>8781</v>
      </c>
      <c r="F16688" t="s">
        <v>11</v>
      </c>
      <c r="G16688" t="s">
        <v>8782</v>
      </c>
      <c r="H16688" s="12">
        <v>-1.1959747358266</v>
      </c>
      <c r="I16688" s="20">
        <v>-0.97727714636113305</v>
      </c>
      <c r="J16688" s="28">
        <v>0.32843196405854103</v>
      </c>
      <c r="K16688" s="29">
        <v>0.98289565623980701</v>
      </c>
    </row>
    <row r="16689" spans="1:11" x14ac:dyDescent="0.35">
      <c r="A16689" s="9" t="str">
        <f>HYPERLINK("http://www.ensembl.org/id/WBGene00011336", "WBGene00011336")</f>
        <v>WBGene00011336</v>
      </c>
      <c r="B16689" s="9" t="str">
        <f>HYPERLINK("http://www.ncbi.nlm.nih.gov/gene/3565635", "3565635")</f>
        <v>3565635</v>
      </c>
      <c r="C16689" s="9"/>
      <c r="D16689" t="str">
        <f>"ubxn-5"</f>
        <v>ubxn-5</v>
      </c>
      <c r="E16689" t="s">
        <v>4912</v>
      </c>
      <c r="F16689" t="s">
        <v>11</v>
      </c>
      <c r="G16689" t="s">
        <v>54</v>
      </c>
      <c r="H16689" s="12">
        <v>1.30604374517473</v>
      </c>
      <c r="I16689" s="20">
        <v>0.32491434483471499</v>
      </c>
      <c r="J16689" s="28">
        <v>0.74524589982219203</v>
      </c>
      <c r="K16689" s="29">
        <v>0.98289565623980701</v>
      </c>
    </row>
    <row r="16690" spans="1:11" x14ac:dyDescent="0.35">
      <c r="A16690" s="9" t="str">
        <f>HYPERLINK("http://www.ensembl.org/id/WBGene00018963", "WBGene00018963")</f>
        <v>WBGene00018963</v>
      </c>
      <c r="B16690" s="9" t="str">
        <f>HYPERLINK("http://www.ncbi.nlm.nih.gov/gene/175772", "175772")</f>
        <v>175772</v>
      </c>
      <c r="C16690" s="9" t="str">
        <f>HYPERLINK("http://www.ncbi.nlm.nih.gov/gene/7384", "7384")</f>
        <v>7384</v>
      </c>
      <c r="D16690" t="str">
        <f>"ucr-1"</f>
        <v>ucr-1</v>
      </c>
      <c r="E16690" t="s">
        <v>7914</v>
      </c>
      <c r="F16690" t="s">
        <v>11</v>
      </c>
      <c r="G16690" t="s">
        <v>7915</v>
      </c>
      <c r="H16690" s="12">
        <v>-1.15124247663663</v>
      </c>
      <c r="I16690" s="20">
        <v>-0.75065754222327097</v>
      </c>
      <c r="J16690" s="28">
        <v>0.45285878126314999</v>
      </c>
      <c r="K16690" s="29">
        <v>0.98289565623980701</v>
      </c>
    </row>
    <row r="16691" spans="1:11" x14ac:dyDescent="0.35">
      <c r="A16691" s="9" t="str">
        <f>HYPERLINK("http://www.ensembl.org/id/WBGene00012158", "WBGene00012158")</f>
        <v>WBGene00012158</v>
      </c>
      <c r="B16691" s="9" t="str">
        <f>HYPERLINK("http://www.ncbi.nlm.nih.gov/gene/181374", "181374")</f>
        <v>181374</v>
      </c>
      <c r="C16691" s="9"/>
      <c r="D16691" t="str">
        <f>"ucr-2.1"</f>
        <v>ucr-2.1</v>
      </c>
      <c r="E16691" t="s">
        <v>3150</v>
      </c>
      <c r="F16691" t="s">
        <v>11</v>
      </c>
      <c r="G16691" t="s">
        <v>3151</v>
      </c>
      <c r="H16691" s="12">
        <v>-1.1439883336405201</v>
      </c>
      <c r="I16691" s="20">
        <v>-0.71995306620031996</v>
      </c>
      <c r="J16691" s="28">
        <v>0.47155389330552999</v>
      </c>
      <c r="K16691" s="29">
        <v>0.98289565623980701</v>
      </c>
    </row>
    <row r="16692" spans="1:11" x14ac:dyDescent="0.35">
      <c r="A16692" s="9" t="str">
        <f>HYPERLINK("http://www.ensembl.org/id/WBGene00006730", "WBGene00006730")</f>
        <v>WBGene00006730</v>
      </c>
      <c r="B16692" s="9" t="str">
        <f>HYPERLINK("http://www.ncbi.nlm.nih.gov/gene/173347", "173347")</f>
        <v>173347</v>
      </c>
      <c r="C16692" s="9" t="str">
        <f>HYPERLINK("http://www.ncbi.nlm.nih.gov/gene/7335", "7335")</f>
        <v>7335</v>
      </c>
      <c r="D16692" t="str">
        <f>"uev-1"</f>
        <v>uev-1</v>
      </c>
      <c r="E16692" t="s">
        <v>9178</v>
      </c>
      <c r="F16692" t="s">
        <v>11</v>
      </c>
      <c r="G16692" t="s">
        <v>9179</v>
      </c>
      <c r="H16692" s="12">
        <v>-1.22651763341647</v>
      </c>
      <c r="I16692" s="20">
        <v>-1.10049536377371</v>
      </c>
      <c r="J16692" s="28">
        <v>0.27111634854134398</v>
      </c>
      <c r="K16692" s="29">
        <v>0.98289565623980701</v>
      </c>
    </row>
    <row r="16693" spans="1:11" x14ac:dyDescent="0.35">
      <c r="A16693" s="9" t="str">
        <f>HYPERLINK("http://www.ensembl.org/id/WBGene00006731", "WBGene00006731")</f>
        <v>WBGene00006731</v>
      </c>
      <c r="B16693" s="9" t="str">
        <f>HYPERLINK("http://www.ncbi.nlm.nih.gov/gene/186377", "186377")</f>
        <v>186377</v>
      </c>
      <c r="C16693" s="9"/>
      <c r="D16693" t="str">
        <f>"uev-2"</f>
        <v>uev-2</v>
      </c>
      <c r="E16693" t="s">
        <v>4435</v>
      </c>
      <c r="F16693" t="s">
        <v>11</v>
      </c>
      <c r="G16693" t="s">
        <v>4436</v>
      </c>
      <c r="H16693" s="12">
        <v>2.1553382539107302</v>
      </c>
      <c r="I16693" s="20">
        <v>0.85156162718126605</v>
      </c>
      <c r="J16693" s="28">
        <v>0.39445744506334202</v>
      </c>
      <c r="K16693" s="29">
        <v>0.98289565623980701</v>
      </c>
    </row>
    <row r="16694" spans="1:11" x14ac:dyDescent="0.35">
      <c r="A16694" s="9" t="str">
        <f>HYPERLINK("http://www.ensembl.org/id/WBGene00006732", "WBGene00006732")</f>
        <v>WBGene00006732</v>
      </c>
      <c r="B16694" s="9" t="str">
        <f>HYPERLINK("http://www.ncbi.nlm.nih.gov/gene/185003", "185003")</f>
        <v>185003</v>
      </c>
      <c r="C16694" s="9"/>
      <c r="D16694" t="str">
        <f>"uev-3"</f>
        <v>uev-3</v>
      </c>
      <c r="E16694" t="s">
        <v>9080</v>
      </c>
      <c r="F16694" t="s">
        <v>11</v>
      </c>
      <c r="G16694" t="s">
        <v>9081</v>
      </c>
      <c r="H16694" s="12">
        <v>-1.2192507999801401</v>
      </c>
      <c r="I16694" s="20">
        <v>-0.95031444585381597</v>
      </c>
      <c r="J16694" s="28">
        <v>0.34195250084773099</v>
      </c>
      <c r="K16694" s="29">
        <v>0.98289565623980701</v>
      </c>
    </row>
    <row r="16695" spans="1:11" x14ac:dyDescent="0.35">
      <c r="A16695" s="9" t="str">
        <f>HYPERLINK("http://www.ensembl.org/id/WBGene00022865", "WBGene00022865")</f>
        <v>WBGene00022865</v>
      </c>
      <c r="B16695" s="9" t="str">
        <f>HYPERLINK("http://www.ncbi.nlm.nih.gov/gene/176194", "176194")</f>
        <v>176194</v>
      </c>
      <c r="C16695" s="9"/>
      <c r="D16695" t="str">
        <f>"ufbp-1"</f>
        <v>ufbp-1</v>
      </c>
      <c r="E16695" t="s">
        <v>6290</v>
      </c>
      <c r="F16695" t="s">
        <v>11</v>
      </c>
      <c r="H16695" s="12">
        <v>-1.0601235860574201</v>
      </c>
      <c r="I16695" s="20">
        <v>-0.29504020493572902</v>
      </c>
      <c r="J16695" s="28">
        <v>0.76796316689237398</v>
      </c>
      <c r="K16695" s="29">
        <v>0.98289565623980701</v>
      </c>
    </row>
    <row r="16696" spans="1:11" x14ac:dyDescent="0.35">
      <c r="A16696" s="9" t="str">
        <f>HYPERLINK("http://www.ensembl.org/id/WBGene00006733", "WBGene00006733")</f>
        <v>WBGene00006733</v>
      </c>
      <c r="B16696" s="9" t="str">
        <f>HYPERLINK("http://www.ncbi.nlm.nih.gov/gene/3565860", "3565860")</f>
        <v>3565860</v>
      </c>
      <c r="C16696" s="9" t="str">
        <f>HYPERLINK("http://www.ncbi.nlm.nih.gov/gene/7353", "7353")</f>
        <v>7353</v>
      </c>
      <c r="D16696" t="str">
        <f>"ufd-1"</f>
        <v>ufd-1</v>
      </c>
      <c r="E16696" t="s">
        <v>7847</v>
      </c>
      <c r="F16696" t="s">
        <v>11</v>
      </c>
      <c r="G16696" t="s">
        <v>7848</v>
      </c>
      <c r="H16696" s="12">
        <v>-1.14800910587941</v>
      </c>
      <c r="I16696" s="20">
        <v>-0.73260494698001999</v>
      </c>
      <c r="J16696" s="28">
        <v>0.46379941299820099</v>
      </c>
      <c r="K16696" s="29">
        <v>0.98289565623980701</v>
      </c>
    </row>
    <row r="16697" spans="1:11" x14ac:dyDescent="0.35">
      <c r="A16697" s="9" t="str">
        <f>HYPERLINK("http://www.ensembl.org/id/WBGene00006734", "WBGene00006734")</f>
        <v>WBGene00006734</v>
      </c>
      <c r="B16697" s="9" t="str">
        <f>HYPERLINK("http://www.ncbi.nlm.nih.gov/gene/174295", "174295")</f>
        <v>174295</v>
      </c>
      <c r="C16697" s="9" t="str">
        <f>HYPERLINK("http://www.ncbi.nlm.nih.gov/gene/10277", "10277")</f>
        <v>10277</v>
      </c>
      <c r="D16697" t="str">
        <f>"ufd-2"</f>
        <v>ufd-2</v>
      </c>
      <c r="E16697" t="s">
        <v>6278</v>
      </c>
      <c r="F16697" t="s">
        <v>11</v>
      </c>
      <c r="G16697" t="s">
        <v>6279</v>
      </c>
      <c r="H16697" s="12">
        <v>-1.05898549677818</v>
      </c>
      <c r="I16697" s="20">
        <v>-0.30762190190134198</v>
      </c>
      <c r="J16697" s="28">
        <v>0.75837005255402601</v>
      </c>
      <c r="K16697" s="29">
        <v>0.98289565623980701</v>
      </c>
    </row>
    <row r="16698" spans="1:11" x14ac:dyDescent="0.35">
      <c r="A16698" s="9" t="str">
        <f>HYPERLINK("http://www.ensembl.org/id/WBGene00015555", "WBGene00015555")</f>
        <v>WBGene00015555</v>
      </c>
      <c r="B16698" s="9" t="str">
        <f>HYPERLINK("http://www.ncbi.nlm.nih.gov/gene/177471", "177471")</f>
        <v>177471</v>
      </c>
      <c r="C16698" s="9"/>
      <c r="D16698" t="str">
        <f>"ufl-1"</f>
        <v>ufl-1</v>
      </c>
      <c r="E16698" t="s">
        <v>8148</v>
      </c>
      <c r="F16698" t="s">
        <v>11</v>
      </c>
      <c r="G16698" t="s">
        <v>8149</v>
      </c>
      <c r="H16698" s="12">
        <v>-1.1625524727246599</v>
      </c>
      <c r="I16698" s="20">
        <v>-0.81559513495033198</v>
      </c>
      <c r="J16698" s="28">
        <v>0.41473173290237397</v>
      </c>
      <c r="K16698" s="29">
        <v>0.98289565623980701</v>
      </c>
    </row>
    <row r="16699" spans="1:11" x14ac:dyDescent="0.35">
      <c r="A16699" s="9" t="str">
        <f>HYPERLINK("http://www.ensembl.org/id/WBGene00044324", "WBGene00044324")</f>
        <v>WBGene00044324</v>
      </c>
      <c r="B16699" s="9" t="str">
        <f>HYPERLINK("http://www.ncbi.nlm.nih.gov/gene/176100", "176100")</f>
        <v>176100</v>
      </c>
      <c r="C16699" s="9" t="str">
        <f>HYPERLINK("http://www.ncbi.nlm.nih.gov/gene/51569", "51569")</f>
        <v>51569</v>
      </c>
      <c r="D16699" t="str">
        <f>"ufm-1"</f>
        <v>ufm-1</v>
      </c>
      <c r="E16699" t="s">
        <v>7150</v>
      </c>
      <c r="F16699" t="s">
        <v>11</v>
      </c>
      <c r="G16699" t="s">
        <v>7151</v>
      </c>
      <c r="H16699" s="12">
        <v>-1.1103182741225599</v>
      </c>
      <c r="I16699" s="20">
        <v>-0.52619350098100903</v>
      </c>
      <c r="J16699" s="28">
        <v>0.59875376908053701</v>
      </c>
      <c r="K16699" s="29">
        <v>0.98289565623980701</v>
      </c>
    </row>
    <row r="16700" spans="1:11" x14ac:dyDescent="0.35">
      <c r="A16700" s="9" t="str">
        <f>HYPERLINK("http://www.ensembl.org/id/WBGene00009178", "WBGene00009178")</f>
        <v>WBGene00009178</v>
      </c>
      <c r="B16700" s="9" t="str">
        <f>HYPERLINK("http://www.ncbi.nlm.nih.gov/gene/172758", "172758")</f>
        <v>172758</v>
      </c>
      <c r="C16700" s="9"/>
      <c r="D16700" t="str">
        <f>"uggt-2"</f>
        <v>uggt-2</v>
      </c>
      <c r="E16700" t="s">
        <v>4541</v>
      </c>
      <c r="F16700" t="s">
        <v>11</v>
      </c>
      <c r="G16700" t="s">
        <v>4542</v>
      </c>
      <c r="H16700" s="12">
        <v>1.7452537618519199</v>
      </c>
      <c r="I16700" s="20">
        <v>1.15028228945971</v>
      </c>
      <c r="J16700" s="28">
        <v>0.25002762286983099</v>
      </c>
      <c r="K16700" s="29">
        <v>0.98289565623980701</v>
      </c>
    </row>
    <row r="16701" spans="1:11" x14ac:dyDescent="0.35">
      <c r="A16701" s="9" t="str">
        <f>HYPERLINK("http://www.ensembl.org/id/WBGene00008097", "WBGene00008097")</f>
        <v>WBGene00008097</v>
      </c>
      <c r="B16701" s="9" t="str">
        <f>HYPERLINK("http://www.ncbi.nlm.nih.gov/gene/183462", "183462")</f>
        <v>183462</v>
      </c>
      <c r="C16701" s="9"/>
      <c r="D16701" t="str">
        <f>"ugt-15"</f>
        <v>ugt-15</v>
      </c>
      <c r="E16701" t="s">
        <v>948</v>
      </c>
      <c r="F16701" t="s">
        <v>11</v>
      </c>
      <c r="G16701" t="s">
        <v>104</v>
      </c>
      <c r="H16701" s="12">
        <v>-1.7483843900395299</v>
      </c>
      <c r="I16701" s="20">
        <v>-0.91766349830228999</v>
      </c>
      <c r="J16701" s="28">
        <v>0.35879506314043302</v>
      </c>
      <c r="K16701" s="29">
        <v>0.98289565623980701</v>
      </c>
    </row>
    <row r="16702" spans="1:11" x14ac:dyDescent="0.35">
      <c r="A16702" s="9" t="str">
        <f>HYPERLINK("http://www.ensembl.org/id/WBGene00013900", "WBGene00013900")</f>
        <v>WBGene00013900</v>
      </c>
      <c r="B16702" s="9" t="str">
        <f>HYPERLINK("http://www.ncbi.nlm.nih.gov/gene/179759", "179759")</f>
        <v>179759</v>
      </c>
      <c r="C16702" s="9"/>
      <c r="D16702" t="str">
        <f>"ugt-18"</f>
        <v>ugt-18</v>
      </c>
      <c r="E16702" t="s">
        <v>948</v>
      </c>
      <c r="F16702" t="s">
        <v>11</v>
      </c>
      <c r="G16702" t="s">
        <v>104</v>
      </c>
      <c r="H16702" s="12">
        <v>-1.6749941323768101</v>
      </c>
      <c r="I16702" s="20">
        <v>-0.97186185685889104</v>
      </c>
      <c r="J16702" s="28">
        <v>0.33111927776172601</v>
      </c>
      <c r="K16702" s="29">
        <v>0.98289565623980701</v>
      </c>
    </row>
    <row r="16703" spans="1:11" x14ac:dyDescent="0.35">
      <c r="A16703" s="9" t="str">
        <f>HYPERLINK("http://www.ensembl.org/id/WBGene00019515", "WBGene00019515")</f>
        <v>WBGene00019515</v>
      </c>
      <c r="B16703" s="9" t="str">
        <f>HYPERLINK("http://www.ncbi.nlm.nih.gov/gene/187129", "187129")</f>
        <v>187129</v>
      </c>
      <c r="C16703" s="9"/>
      <c r="D16703" t="str">
        <f>"ugt-19"</f>
        <v>ugt-19</v>
      </c>
      <c r="E16703" t="s">
        <v>103</v>
      </c>
      <c r="F16703" t="s">
        <v>11</v>
      </c>
      <c r="G16703" t="s">
        <v>104</v>
      </c>
      <c r="H16703" s="12">
        <v>1.55557170121174</v>
      </c>
      <c r="I16703" s="20">
        <v>0.82545779117999096</v>
      </c>
      <c r="J16703" s="28">
        <v>0.40911173656823202</v>
      </c>
      <c r="K16703" s="29">
        <v>0.98289565623980701</v>
      </c>
    </row>
    <row r="16704" spans="1:11" x14ac:dyDescent="0.35">
      <c r="A16704" s="9" t="str">
        <f>HYPERLINK("http://www.ensembl.org/id/WBGene00019516", "WBGene00019516")</f>
        <v>WBGene00019516</v>
      </c>
      <c r="B16704" s="9" t="str">
        <f>HYPERLINK("http://www.ncbi.nlm.nih.gov/gene/187130", "187130")</f>
        <v>187130</v>
      </c>
      <c r="C16704" s="9"/>
      <c r="D16704" t="str">
        <f>"ugt-20"</f>
        <v>ugt-20</v>
      </c>
      <c r="E16704" t="s">
        <v>103</v>
      </c>
      <c r="F16704" t="s">
        <v>11</v>
      </c>
      <c r="G16704" t="s">
        <v>104</v>
      </c>
      <c r="H16704" s="12">
        <v>-1.14394196194963</v>
      </c>
      <c r="I16704" s="20">
        <v>-0.44790017232230001</v>
      </c>
      <c r="J16704" s="28">
        <v>0.65422524402475901</v>
      </c>
      <c r="K16704" s="29">
        <v>0.98289565623980701</v>
      </c>
    </row>
    <row r="16705" spans="1:11" x14ac:dyDescent="0.35">
      <c r="A16705" s="9" t="str">
        <f>HYPERLINK("http://www.ensembl.org/id/WBGene00007885", "WBGene00007885")</f>
        <v>WBGene00007885</v>
      </c>
      <c r="B16705" s="9" t="str">
        <f>HYPERLINK("http://www.ncbi.nlm.nih.gov/gene/183141", "183141")</f>
        <v>183141</v>
      </c>
      <c r="C16705" s="9"/>
      <c r="D16705" t="str">
        <f>"ugt-21"</f>
        <v>ugt-21</v>
      </c>
      <c r="E16705" t="s">
        <v>948</v>
      </c>
      <c r="F16705" t="s">
        <v>11</v>
      </c>
      <c r="G16705" t="s">
        <v>104</v>
      </c>
      <c r="H16705" s="12">
        <v>1.55620464269361</v>
      </c>
      <c r="I16705" s="20">
        <v>1.02606641479282</v>
      </c>
      <c r="J16705" s="28">
        <v>0.30486027973673602</v>
      </c>
      <c r="K16705" s="29">
        <v>0.98289565623980701</v>
      </c>
    </row>
    <row r="16706" spans="1:11" x14ac:dyDescent="0.35">
      <c r="A16706" s="9" t="str">
        <f>HYPERLINK("http://www.ensembl.org/id/WBGene00016762", "WBGene00016762")</f>
        <v>WBGene00016762</v>
      </c>
      <c r="B16706" s="9" t="str">
        <f>HYPERLINK("http://www.ncbi.nlm.nih.gov/gene/177380", "177380")</f>
        <v>177380</v>
      </c>
      <c r="C16706" s="9"/>
      <c r="D16706" t="str">
        <f>"ugt-24"</f>
        <v>ugt-24</v>
      </c>
      <c r="E16706" t="s">
        <v>948</v>
      </c>
      <c r="F16706" t="s">
        <v>11</v>
      </c>
      <c r="G16706" t="s">
        <v>104</v>
      </c>
      <c r="H16706" s="12">
        <v>1.20594013027376</v>
      </c>
      <c r="I16706" s="20">
        <v>0.74960820020354002</v>
      </c>
      <c r="J16706" s="28">
        <v>0.45349071059038998</v>
      </c>
      <c r="K16706" s="29">
        <v>0.98289565623980701</v>
      </c>
    </row>
    <row r="16707" spans="1:11" x14ac:dyDescent="0.35">
      <c r="A16707" s="9" t="str">
        <f>HYPERLINK("http://www.ensembl.org/id/WBGene00015694", "WBGene00015694")</f>
        <v>WBGene00015694</v>
      </c>
      <c r="B16707" s="9" t="str">
        <f>HYPERLINK("http://www.ncbi.nlm.nih.gov/gene/182508", "182508")</f>
        <v>182508</v>
      </c>
      <c r="C16707" s="9"/>
      <c r="D16707" t="str">
        <f>"ugt-27"</f>
        <v>ugt-27</v>
      </c>
      <c r="E16707" t="s">
        <v>948</v>
      </c>
      <c r="F16707" t="s">
        <v>11</v>
      </c>
      <c r="G16707" t="s">
        <v>104</v>
      </c>
      <c r="H16707" s="12">
        <v>1.79381299982037</v>
      </c>
      <c r="I16707" s="20">
        <v>0.46261326471285302</v>
      </c>
      <c r="J16707" s="28">
        <v>0.64364159893702</v>
      </c>
      <c r="K16707" s="29">
        <v>0.98289565623980701</v>
      </c>
    </row>
    <row r="16708" spans="1:11" x14ac:dyDescent="0.35">
      <c r="A16708" s="9" t="str">
        <f>HYPERLINK("http://www.ensembl.org/id/WBGene00013903", "WBGene00013903")</f>
        <v>WBGene00013903</v>
      </c>
      <c r="B16708" s="9" t="str">
        <f>HYPERLINK("http://www.ncbi.nlm.nih.gov/gene/191174", "191174")</f>
        <v>191174</v>
      </c>
      <c r="C16708" s="9"/>
      <c r="D16708" t="str">
        <f>"ugt-3"</f>
        <v>ugt-3</v>
      </c>
      <c r="E16708" t="s">
        <v>103</v>
      </c>
      <c r="F16708" t="s">
        <v>11</v>
      </c>
      <c r="G16708" t="s">
        <v>104</v>
      </c>
      <c r="H16708" s="12">
        <v>1.6574180808374701</v>
      </c>
      <c r="I16708" s="20">
        <v>0.55981144303369801</v>
      </c>
      <c r="J16708" s="28">
        <v>0.57560805760633105</v>
      </c>
      <c r="K16708" s="29">
        <v>0.98289565623980701</v>
      </c>
    </row>
    <row r="16709" spans="1:11" x14ac:dyDescent="0.35">
      <c r="A16709" s="9" t="str">
        <f>HYPERLINK("http://www.ensembl.org/id/WBGene00018543", "WBGene00018543")</f>
        <v>WBGene00018543</v>
      </c>
      <c r="B16709" s="9" t="str">
        <f>HYPERLINK("http://www.ncbi.nlm.nih.gov/gene/185911", "185911")</f>
        <v>185911</v>
      </c>
      <c r="C16709" s="9"/>
      <c r="D16709" t="str">
        <f>"ugt-32"</f>
        <v>ugt-32</v>
      </c>
      <c r="E16709" t="s">
        <v>103</v>
      </c>
      <c r="F16709" t="s">
        <v>11</v>
      </c>
      <c r="G16709" t="s">
        <v>104</v>
      </c>
      <c r="H16709" s="12">
        <v>1.34368580720436</v>
      </c>
      <c r="I16709" s="20">
        <v>0.26103862238272801</v>
      </c>
      <c r="J16709" s="28">
        <v>0.79406272314416104</v>
      </c>
      <c r="K16709" s="29">
        <v>0.98289565623980701</v>
      </c>
    </row>
    <row r="16710" spans="1:11" x14ac:dyDescent="0.35">
      <c r="A16710" s="9" t="str">
        <f>HYPERLINK("http://www.ensembl.org/id/WBGene00007946", "WBGene00007946")</f>
        <v>WBGene00007946</v>
      </c>
      <c r="B16710" s="9" t="str">
        <f>HYPERLINK("http://www.ncbi.nlm.nih.gov/gene/179464", "179464")</f>
        <v>179464</v>
      </c>
      <c r="C16710" s="9"/>
      <c r="D16710" t="str">
        <f>"ugt-33"</f>
        <v>ugt-33</v>
      </c>
      <c r="E16710" t="s">
        <v>103</v>
      </c>
      <c r="F16710" t="s">
        <v>11</v>
      </c>
      <c r="G16710" t="s">
        <v>104</v>
      </c>
      <c r="H16710" s="12">
        <v>-1.7674245737410399</v>
      </c>
      <c r="I16710" s="20">
        <v>-1.20053705344942</v>
      </c>
      <c r="J16710" s="28">
        <v>0.229930831067748</v>
      </c>
      <c r="K16710" s="29">
        <v>0.98289565623980701</v>
      </c>
    </row>
    <row r="16711" spans="1:11" x14ac:dyDescent="0.35">
      <c r="A16711" s="9" t="str">
        <f>HYPERLINK("http://www.ensembl.org/id/WBGene00009255", "WBGene00009255")</f>
        <v>WBGene00009255</v>
      </c>
      <c r="B16711" s="9" t="str">
        <f>HYPERLINK("http://www.ncbi.nlm.nih.gov/gene/185120", "185120")</f>
        <v>185120</v>
      </c>
      <c r="C16711" s="9"/>
      <c r="D16711" t="str">
        <f>"ugt-34"</f>
        <v>ugt-34</v>
      </c>
      <c r="E16711" t="s">
        <v>103</v>
      </c>
      <c r="F16711" t="s">
        <v>11</v>
      </c>
      <c r="G16711" t="s">
        <v>104</v>
      </c>
      <c r="H16711" s="12">
        <v>-1.6780760377575701</v>
      </c>
      <c r="I16711" s="20">
        <v>-0.489060432786594</v>
      </c>
      <c r="J16711" s="28">
        <v>0.62479891281344202</v>
      </c>
      <c r="K16711" s="29">
        <v>0.98289565623980701</v>
      </c>
    </row>
    <row r="16712" spans="1:11" x14ac:dyDescent="0.35">
      <c r="A16712" s="9" t="str">
        <f>HYPERLINK("http://www.ensembl.org/id/WBGene00017315", "WBGene00017315")</f>
        <v>WBGene00017315</v>
      </c>
      <c r="B16712" s="9" t="str">
        <f>HYPERLINK("http://www.ncbi.nlm.nih.gov/gene/184266", "184266")</f>
        <v>184266</v>
      </c>
      <c r="C16712" s="9"/>
      <c r="D16712" t="str">
        <f>"ugt-36"</f>
        <v>ugt-36</v>
      </c>
      <c r="E16712" t="s">
        <v>103</v>
      </c>
      <c r="F16712" t="s">
        <v>11</v>
      </c>
      <c r="G16712" t="s">
        <v>104</v>
      </c>
      <c r="H16712" s="12">
        <v>3.7810295234418398</v>
      </c>
      <c r="I16712" s="20">
        <v>1.20390957649013</v>
      </c>
      <c r="J16712" s="28">
        <v>0.22862452997518401</v>
      </c>
      <c r="K16712" s="29">
        <v>0.98289565623980701</v>
      </c>
    </row>
    <row r="16713" spans="1:11" x14ac:dyDescent="0.35">
      <c r="A16713" s="9" t="str">
        <f>HYPERLINK("http://www.ensembl.org/id/WBGene00017333", "WBGene00017333")</f>
        <v>WBGene00017333</v>
      </c>
      <c r="B16713" s="9" t="str">
        <f>HYPERLINK("http://www.ncbi.nlm.nih.gov/gene/184294", "184294")</f>
        <v>184294</v>
      </c>
      <c r="C16713" s="9"/>
      <c r="D16713" t="str">
        <f>"ugt-38"</f>
        <v>ugt-38</v>
      </c>
      <c r="E16713" t="s">
        <v>103</v>
      </c>
      <c r="F16713" t="s">
        <v>11</v>
      </c>
      <c r="G16713" t="s">
        <v>104</v>
      </c>
      <c r="H16713" s="12">
        <v>3.33758643940343</v>
      </c>
      <c r="I16713" s="20">
        <v>0.77427388866539804</v>
      </c>
      <c r="J16713" s="28">
        <v>0.43876884146912998</v>
      </c>
      <c r="K16713" s="29">
        <v>0.98289565623980701</v>
      </c>
    </row>
    <row r="16714" spans="1:11" x14ac:dyDescent="0.35">
      <c r="A16714" s="9" t="str">
        <f>HYPERLINK("http://www.ensembl.org/id/WBGene00013905", "WBGene00013905")</f>
        <v>WBGene00013905</v>
      </c>
      <c r="B16714" s="9" t="str">
        <f>HYPERLINK("http://www.ncbi.nlm.nih.gov/gene/179754", "179754")</f>
        <v>179754</v>
      </c>
      <c r="C16714" s="9"/>
      <c r="D16714" t="str">
        <f>"ugt-4"</f>
        <v>ugt-4</v>
      </c>
      <c r="E16714" t="s">
        <v>948</v>
      </c>
      <c r="F16714" t="s">
        <v>11</v>
      </c>
      <c r="G16714" t="s">
        <v>104</v>
      </c>
      <c r="H16714" s="12">
        <v>1.5739233880166801</v>
      </c>
      <c r="I16714" s="20">
        <v>1.0673283760643499</v>
      </c>
      <c r="J16714" s="28">
        <v>0.28582357876618403</v>
      </c>
      <c r="K16714" s="29">
        <v>0.98289565623980701</v>
      </c>
    </row>
    <row r="16715" spans="1:11" x14ac:dyDescent="0.35">
      <c r="A16715" s="9" t="str">
        <f>HYPERLINK("http://www.ensembl.org/id/WBGene00015141", "WBGene00015141")</f>
        <v>WBGene00015141</v>
      </c>
      <c r="B16715" s="9" t="str">
        <f>HYPERLINK("http://www.ncbi.nlm.nih.gov/gene/180404", "180404")</f>
        <v>180404</v>
      </c>
      <c r="C16715" s="9"/>
      <c r="D16715" t="str">
        <f>"ugt-46"</f>
        <v>ugt-46</v>
      </c>
      <c r="E16715" t="s">
        <v>9153</v>
      </c>
      <c r="F16715" t="s">
        <v>11</v>
      </c>
      <c r="G16715" t="s">
        <v>104</v>
      </c>
      <c r="H16715" s="12">
        <v>-1.22482855760412</v>
      </c>
      <c r="I16715" s="20">
        <v>-0.71908888496870205</v>
      </c>
      <c r="J16715" s="28">
        <v>0.472086155343589</v>
      </c>
      <c r="K16715" s="29">
        <v>0.98289565623980701</v>
      </c>
    </row>
    <row r="16716" spans="1:11" x14ac:dyDescent="0.35">
      <c r="A16716" s="9" t="str">
        <f>HYPERLINK("http://www.ensembl.org/id/WBGene00011006", "WBGene00011006")</f>
        <v>WBGene00011006</v>
      </c>
      <c r="B16716" s="9" t="str">
        <f>HYPERLINK("http://www.ncbi.nlm.nih.gov/gene/187570", "187570")</f>
        <v>187570</v>
      </c>
      <c r="C16716" s="9"/>
      <c r="D16716" t="str">
        <f>"ugt-47"</f>
        <v>ugt-47</v>
      </c>
      <c r="E16716" t="s">
        <v>7703</v>
      </c>
      <c r="F16716" t="s">
        <v>11</v>
      </c>
      <c r="G16716" t="s">
        <v>104</v>
      </c>
      <c r="H16716" s="12">
        <v>-1.13996417188501</v>
      </c>
      <c r="I16716" s="20">
        <v>-0.41416474778208201</v>
      </c>
      <c r="J16716" s="28">
        <v>0.67875345701900702</v>
      </c>
      <c r="K16716" s="29">
        <v>0.98289565623980701</v>
      </c>
    </row>
    <row r="16717" spans="1:11" x14ac:dyDescent="0.35">
      <c r="A16717" s="9" t="str">
        <f>HYPERLINK("http://www.ensembl.org/id/WBGene00013906", "WBGene00013906")</f>
        <v>WBGene00013906</v>
      </c>
      <c r="B16717" s="9" t="str">
        <f>HYPERLINK("http://www.ncbi.nlm.nih.gov/gene/179753", "179753")</f>
        <v>179753</v>
      </c>
      <c r="C16717" s="9"/>
      <c r="D16717" t="str">
        <f>"ugt-5"</f>
        <v>ugt-5</v>
      </c>
      <c r="E16717" t="s">
        <v>948</v>
      </c>
      <c r="F16717" t="s">
        <v>11</v>
      </c>
      <c r="G16717" t="s">
        <v>104</v>
      </c>
      <c r="H16717" s="12">
        <v>-1.0772014794192499</v>
      </c>
      <c r="I16717" s="20">
        <v>-0.26120140192761898</v>
      </c>
      <c r="J16717" s="28">
        <v>0.79393719705534305</v>
      </c>
      <c r="K16717" s="29">
        <v>0.98289565623980701</v>
      </c>
    </row>
    <row r="16718" spans="1:11" x14ac:dyDescent="0.35">
      <c r="A16718" s="9" t="str">
        <f>HYPERLINK("http://www.ensembl.org/id/WBGene00015369", "WBGene00015369")</f>
        <v>WBGene00015369</v>
      </c>
      <c r="B16718" s="9" t="str">
        <f>HYPERLINK("http://www.ncbi.nlm.nih.gov/gene/178905", "178905")</f>
        <v>178905</v>
      </c>
      <c r="C16718" s="9"/>
      <c r="D16718" t="str">
        <f>"ugt-51"</f>
        <v>ugt-51</v>
      </c>
      <c r="E16718" t="s">
        <v>103</v>
      </c>
      <c r="F16718" t="s">
        <v>11</v>
      </c>
      <c r="G16718" t="s">
        <v>104</v>
      </c>
      <c r="H16718" s="12">
        <v>-1.1526589503410001</v>
      </c>
      <c r="I16718" s="20">
        <v>-0.35384732569944699</v>
      </c>
      <c r="J16718" s="28">
        <v>0.72345330422849496</v>
      </c>
      <c r="K16718" s="29">
        <v>0.98289565623980701</v>
      </c>
    </row>
    <row r="16719" spans="1:11" x14ac:dyDescent="0.35">
      <c r="A16719" s="9" t="str">
        <f>HYPERLINK("http://www.ensembl.org/id/WBGene00020182", "WBGene00020182")</f>
        <v>WBGene00020182</v>
      </c>
      <c r="B16719" s="9" t="str">
        <f>HYPERLINK("http://www.ncbi.nlm.nih.gov/gene/178744", "178744")</f>
        <v>178744</v>
      </c>
      <c r="C16719" s="9"/>
      <c r="D16719" t="str">
        <f>"ugt-53"</f>
        <v>ugt-53</v>
      </c>
      <c r="E16719" t="s">
        <v>103</v>
      </c>
      <c r="F16719" t="s">
        <v>11</v>
      </c>
      <c r="G16719" t="s">
        <v>104</v>
      </c>
      <c r="H16719" s="12">
        <v>1.24851271403625</v>
      </c>
      <c r="I16719" s="20">
        <v>0.60198138631893106</v>
      </c>
      <c r="J16719" s="28">
        <v>0.54718652763607001</v>
      </c>
      <c r="K16719" s="29">
        <v>0.98289565623980701</v>
      </c>
    </row>
    <row r="16720" spans="1:11" x14ac:dyDescent="0.35">
      <c r="A16720" s="9" t="str">
        <f>HYPERLINK("http://www.ensembl.org/id/WBGene00012013", "WBGene00012013")</f>
        <v>WBGene00012013</v>
      </c>
      <c r="B16720" s="9" t="str">
        <f>HYPERLINK("http://www.ncbi.nlm.nih.gov/gene/188885", "188885")</f>
        <v>188885</v>
      </c>
      <c r="C16720" s="9"/>
      <c r="D16720" t="str">
        <f>"ugt-54"</f>
        <v>ugt-54</v>
      </c>
      <c r="E16720" t="s">
        <v>103</v>
      </c>
      <c r="F16720" t="s">
        <v>11</v>
      </c>
      <c r="G16720" t="s">
        <v>104</v>
      </c>
      <c r="H16720" s="12">
        <v>-1.1577429398969801</v>
      </c>
      <c r="I16720" s="20">
        <v>-0.50222822395355304</v>
      </c>
      <c r="J16720" s="28">
        <v>0.61550699163509104</v>
      </c>
      <c r="K16720" s="29">
        <v>0.98289565623980701</v>
      </c>
    </row>
    <row r="16721" spans="1:11" x14ac:dyDescent="0.35">
      <c r="A16721" s="9" t="str">
        <f>HYPERLINK("http://www.ensembl.org/id/WBGene00009450", "WBGene00009450")</f>
        <v>WBGene00009450</v>
      </c>
      <c r="B16721" s="9" t="str">
        <f>HYPERLINK("http://www.ncbi.nlm.nih.gov/gene/174507", "174507")</f>
        <v>174507</v>
      </c>
      <c r="C16721" s="9" t="str">
        <f>HYPERLINK("http://www.ncbi.nlm.nih.gov/gene/7368", "7368")</f>
        <v>7368</v>
      </c>
      <c r="D16721" t="str">
        <f>"ugt-58"</f>
        <v>ugt-58</v>
      </c>
      <c r="E16721" t="s">
        <v>5986</v>
      </c>
      <c r="F16721" t="s">
        <v>11</v>
      </c>
      <c r="G16721" t="s">
        <v>104</v>
      </c>
      <c r="H16721" s="12">
        <v>1.07644955994458</v>
      </c>
      <c r="I16721" s="20">
        <v>0.35736624246301901</v>
      </c>
      <c r="J16721" s="28">
        <v>0.72081764506182899</v>
      </c>
      <c r="K16721" s="29">
        <v>0.98289565623980701</v>
      </c>
    </row>
    <row r="16722" spans="1:11" x14ac:dyDescent="0.35">
      <c r="A16722" s="9" t="str">
        <f>HYPERLINK("http://www.ensembl.org/id/WBGene00011238", "WBGene00011238")</f>
        <v>WBGene00011238</v>
      </c>
      <c r="B16722" s="9" t="str">
        <f>HYPERLINK("http://www.ncbi.nlm.nih.gov/gene/187799", "187799")</f>
        <v>187799</v>
      </c>
      <c r="C16722" s="9"/>
      <c r="D16722" t="str">
        <f>"ugt-59"</f>
        <v>ugt-59</v>
      </c>
      <c r="E16722" t="s">
        <v>103</v>
      </c>
      <c r="F16722" t="s">
        <v>11</v>
      </c>
      <c r="G16722" t="s">
        <v>4654</v>
      </c>
      <c r="H16722" s="12">
        <v>1.53080685754865</v>
      </c>
      <c r="I16722" s="20">
        <v>1.0423245589396</v>
      </c>
      <c r="J16722" s="28">
        <v>0.297261229866913</v>
      </c>
      <c r="K16722" s="29">
        <v>0.98289565623980701</v>
      </c>
    </row>
    <row r="16723" spans="1:11" x14ac:dyDescent="0.35">
      <c r="A16723" s="9" t="str">
        <f>HYPERLINK("http://www.ensembl.org/id/WBGene00013904", "WBGene00013904")</f>
        <v>WBGene00013904</v>
      </c>
      <c r="B16723" s="9" t="str">
        <f>HYPERLINK("http://www.ncbi.nlm.nih.gov/gene/179755", "179755")</f>
        <v>179755</v>
      </c>
      <c r="C16723" s="9"/>
      <c r="D16723" t="str">
        <f>"ugt-6"</f>
        <v>ugt-6</v>
      </c>
      <c r="E16723" t="s">
        <v>948</v>
      </c>
      <c r="F16723" t="s">
        <v>11</v>
      </c>
      <c r="G16723" t="s">
        <v>104</v>
      </c>
      <c r="H16723" s="12">
        <v>-1.10882063097776</v>
      </c>
      <c r="I16723" s="20">
        <v>-0.364694897771278</v>
      </c>
      <c r="J16723" s="28">
        <v>0.71533916767346395</v>
      </c>
      <c r="K16723" s="29">
        <v>0.98289565623980701</v>
      </c>
    </row>
    <row r="16724" spans="1:11" x14ac:dyDescent="0.35">
      <c r="A16724" s="9" t="str">
        <f>HYPERLINK("http://www.ensembl.org/id/WBGene00018206", "WBGene00018206")</f>
        <v>WBGene00018206</v>
      </c>
      <c r="B16724" s="9" t="str">
        <f>HYPERLINK("http://www.ncbi.nlm.nih.gov/gene/185500", "185500")</f>
        <v>185500</v>
      </c>
      <c r="C16724" s="9"/>
      <c r="D16724" t="str">
        <f>"ugt-61"</f>
        <v>ugt-61</v>
      </c>
      <c r="E16724" t="s">
        <v>948</v>
      </c>
      <c r="F16724" t="s">
        <v>11</v>
      </c>
      <c r="G16724" t="s">
        <v>104</v>
      </c>
      <c r="H16724" s="12">
        <v>1.3583654745456899</v>
      </c>
      <c r="I16724" s="20">
        <v>1.13230335769815</v>
      </c>
      <c r="J16724" s="28">
        <v>0.25750691896134098</v>
      </c>
      <c r="K16724" s="29">
        <v>0.98289565623980701</v>
      </c>
    </row>
    <row r="16725" spans="1:11" x14ac:dyDescent="0.35">
      <c r="A16725" s="9" t="str">
        <f>HYPERLINK("http://www.ensembl.org/id/WBGene00010904", "WBGene00010904")</f>
        <v>WBGene00010904</v>
      </c>
      <c r="B16725" s="9" t="str">
        <f>HYPERLINK("http://www.ncbi.nlm.nih.gov/gene/175591", "175591")</f>
        <v>175591</v>
      </c>
      <c r="C16725" s="9"/>
      <c r="D16725" t="str">
        <f>"ugt-62"</f>
        <v>ugt-62</v>
      </c>
      <c r="E16725" t="s">
        <v>948</v>
      </c>
      <c r="F16725" t="s">
        <v>11</v>
      </c>
      <c r="G16725" t="s">
        <v>104</v>
      </c>
      <c r="H16725" s="12">
        <v>1.1708507655057001</v>
      </c>
      <c r="I16725" s="20">
        <v>0.69599082486727804</v>
      </c>
      <c r="J16725" s="28">
        <v>0.48643457572937199</v>
      </c>
      <c r="K16725" s="29">
        <v>0.98289565623980701</v>
      </c>
    </row>
    <row r="16726" spans="1:11" x14ac:dyDescent="0.35">
      <c r="A16726" s="9" t="str">
        <f>HYPERLINK("http://www.ensembl.org/id/WBGene00015449", "WBGene00015449")</f>
        <v>WBGene00015449</v>
      </c>
      <c r="B16726" s="9" t="str">
        <f>HYPERLINK("http://www.ncbi.nlm.nih.gov/gene/182223", "182223")</f>
        <v>182223</v>
      </c>
      <c r="C16726" s="9"/>
      <c r="D16726" t="str">
        <f>"ugt-63"</f>
        <v>ugt-63</v>
      </c>
      <c r="E16726" t="s">
        <v>103</v>
      </c>
      <c r="F16726" t="s">
        <v>11</v>
      </c>
      <c r="G16726" t="s">
        <v>104</v>
      </c>
      <c r="H16726" s="12">
        <v>1.29192841796939</v>
      </c>
      <c r="I16726" s="20">
        <v>0.46631735544501501</v>
      </c>
      <c r="J16726" s="28">
        <v>0.64098835770488705</v>
      </c>
      <c r="K16726" s="29">
        <v>0.98289565623980701</v>
      </c>
    </row>
    <row r="16727" spans="1:11" x14ac:dyDescent="0.35">
      <c r="A16727" s="9" t="str">
        <f>HYPERLINK("http://www.ensembl.org/id/WBGene00016013", "WBGene00016013")</f>
        <v>WBGene00016013</v>
      </c>
      <c r="B16727" s="9" t="str">
        <f>HYPERLINK("http://www.ncbi.nlm.nih.gov/gene/182814", "182814")</f>
        <v>182814</v>
      </c>
      <c r="C16727" s="9"/>
      <c r="D16727" t="str">
        <f>"ugt-66"</f>
        <v>ugt-66</v>
      </c>
      <c r="E16727" t="s">
        <v>948</v>
      </c>
      <c r="F16727" t="s">
        <v>11</v>
      </c>
      <c r="G16727" t="s">
        <v>104</v>
      </c>
      <c r="H16727" s="12">
        <v>1.63639382334775</v>
      </c>
      <c r="I16727" s="20">
        <v>0.73217410412515704</v>
      </c>
      <c r="J16727" s="28">
        <v>0.46406230803501097</v>
      </c>
      <c r="K16727" s="29">
        <v>0.98289565623980701</v>
      </c>
    </row>
    <row r="16728" spans="1:11" x14ac:dyDescent="0.35">
      <c r="A16728" s="9" t="str">
        <f>HYPERLINK("http://www.ensembl.org/id/WBGene00022721", "WBGene00022721")</f>
        <v>WBGene00022721</v>
      </c>
      <c r="B16728" s="9" t="str">
        <f>HYPERLINK("http://www.ncbi.nlm.nih.gov/gene/176227", "176227")</f>
        <v>176227</v>
      </c>
      <c r="C16728" s="9" t="str">
        <f>HYPERLINK("http://www.ncbi.nlm.nih.gov/gene/10559", "10559")</f>
        <v>10559</v>
      </c>
      <c r="D16728" t="str">
        <f>"ugtp-1"</f>
        <v>ugtp-1</v>
      </c>
      <c r="E16728" t="s">
        <v>9381</v>
      </c>
      <c r="F16728" t="s">
        <v>11</v>
      </c>
      <c r="G16728" t="s">
        <v>9382</v>
      </c>
      <c r="H16728" s="12">
        <v>-1.24225751846528</v>
      </c>
      <c r="I16728" s="20">
        <v>-1.0003745232894099</v>
      </c>
      <c r="J16728" s="28">
        <v>0.31712929446021099</v>
      </c>
      <c r="K16728" s="29">
        <v>0.98289565623980701</v>
      </c>
    </row>
    <row r="16729" spans="1:11" x14ac:dyDescent="0.35">
      <c r="A16729" s="9" t="str">
        <f>HYPERLINK("http://www.ensembl.org/id/WBGene00006735", "WBGene00006735")</f>
        <v>WBGene00006735</v>
      </c>
      <c r="B16729" s="9" t="str">
        <f>HYPERLINK("http://www.ncbi.nlm.nih.gov/gene/266650", "266650")</f>
        <v>266650</v>
      </c>
      <c r="C16729" s="9"/>
      <c r="D16729" t="str">
        <f>"ula-1"</f>
        <v>ula-1</v>
      </c>
      <c r="E16729" t="s">
        <v>7164</v>
      </c>
      <c r="F16729" t="s">
        <v>11</v>
      </c>
      <c r="G16729" t="s">
        <v>7165</v>
      </c>
      <c r="H16729" s="12">
        <v>-1.1106821110241301</v>
      </c>
      <c r="I16729" s="20">
        <v>-0.51696507164680605</v>
      </c>
      <c r="J16729" s="28">
        <v>0.60518054148045197</v>
      </c>
      <c r="K16729" s="29">
        <v>0.98289565623980701</v>
      </c>
    </row>
    <row r="16730" spans="1:11" x14ac:dyDescent="0.35">
      <c r="A16730" s="9" t="str">
        <f>HYPERLINK("http://www.ensembl.org/id/WBGene00021005", "WBGene00021005")</f>
        <v>WBGene00021005</v>
      </c>
      <c r="B16730" s="9" t="str">
        <f>HYPERLINK("http://www.ncbi.nlm.nih.gov/gene/171778", "171778")</f>
        <v>171778</v>
      </c>
      <c r="C16730" s="9"/>
      <c r="D16730" t="str">
        <f>"ule-1"</f>
        <v>ule-1</v>
      </c>
      <c r="E16730" t="s">
        <v>1136</v>
      </c>
      <c r="F16730" t="s">
        <v>11</v>
      </c>
      <c r="G16730" t="s">
        <v>191</v>
      </c>
      <c r="H16730" s="12">
        <v>-1.1021342170610799</v>
      </c>
      <c r="I16730" s="20">
        <v>-0.458658096148507</v>
      </c>
      <c r="J16730" s="28">
        <v>0.646479710077976</v>
      </c>
      <c r="K16730" s="29">
        <v>0.98289565623980701</v>
      </c>
    </row>
    <row r="16731" spans="1:11" x14ac:dyDescent="0.35">
      <c r="A16731" s="9" t="str">
        <f>HYPERLINK("http://www.ensembl.org/id/WBGene00045038", "WBGene00045038")</f>
        <v>WBGene00045038</v>
      </c>
      <c r="B16731" s="9" t="str">
        <f>HYPERLINK("http://www.ncbi.nlm.nih.gov/gene/4927009", "4927009")</f>
        <v>4927009</v>
      </c>
      <c r="C16731" s="9"/>
      <c r="D16731" t="str">
        <f>"ule-2"</f>
        <v>ule-2</v>
      </c>
      <c r="E16731" t="s">
        <v>1136</v>
      </c>
      <c r="F16731" t="s">
        <v>11</v>
      </c>
      <c r="H16731" s="12">
        <v>1.081347678552</v>
      </c>
      <c r="I16731" s="20">
        <v>0.40264678677007598</v>
      </c>
      <c r="J16731" s="28">
        <v>0.68720808558294399</v>
      </c>
      <c r="K16731" s="29">
        <v>0.98289565623980701</v>
      </c>
    </row>
    <row r="16732" spans="1:11" x14ac:dyDescent="0.35">
      <c r="A16732" s="9" t="str">
        <f>HYPERLINK("http://www.ensembl.org/id/WBGene00006737", "WBGene00006737")</f>
        <v>WBGene00006737</v>
      </c>
      <c r="B16732" s="9" t="str">
        <f>HYPERLINK("http://www.ncbi.nlm.nih.gov/gene/173859", "173859")</f>
        <v>173859</v>
      </c>
      <c r="C16732" s="9"/>
      <c r="D16732" t="str">
        <f>"ulp-2"</f>
        <v>ulp-2</v>
      </c>
      <c r="E16732" t="s">
        <v>6675</v>
      </c>
      <c r="F16732" t="s">
        <v>11</v>
      </c>
      <c r="G16732" t="s">
        <v>6676</v>
      </c>
      <c r="H16732" s="12">
        <v>-1.0841492763438401</v>
      </c>
      <c r="I16732" s="20">
        <v>-0.372364884431447</v>
      </c>
      <c r="J16732" s="28">
        <v>0.70962119528558099</v>
      </c>
      <c r="K16732" s="29">
        <v>0.98289565623980701</v>
      </c>
    </row>
    <row r="16733" spans="1:11" x14ac:dyDescent="0.35">
      <c r="A16733" s="9" t="str">
        <f>HYPERLINK("http://www.ensembl.org/id/WBGene00006741", "WBGene00006741")</f>
        <v>WBGene00006741</v>
      </c>
      <c r="B16733" s="9" t="str">
        <f>HYPERLINK("http://www.ncbi.nlm.nih.gov/gene/180458", "180458")</f>
        <v>180458</v>
      </c>
      <c r="C16733" s="9"/>
      <c r="D16733" t="str">
        <f>"unc-1"</f>
        <v>unc-1</v>
      </c>
      <c r="E16733" t="s">
        <v>5092</v>
      </c>
      <c r="F16733" t="s">
        <v>11</v>
      </c>
      <c r="G16733" t="s">
        <v>5093</v>
      </c>
      <c r="H16733" s="12">
        <v>1.2432582050087599</v>
      </c>
      <c r="I16733" s="20">
        <v>1.06775613648317</v>
      </c>
      <c r="J16733" s="28">
        <v>0.28563052887023799</v>
      </c>
      <c r="K16733" s="29">
        <v>0.98289565623980701</v>
      </c>
    </row>
    <row r="16734" spans="1:11" x14ac:dyDescent="0.35">
      <c r="A16734" s="9" t="str">
        <f>HYPERLINK("http://www.ensembl.org/id/WBGene00006832", "WBGene00006832")</f>
        <v>WBGene00006832</v>
      </c>
      <c r="B16734" s="9" t="str">
        <f>HYPERLINK("http://www.ncbi.nlm.nih.gov/gene/174306", "174306")</f>
        <v>174306</v>
      </c>
      <c r="C16734" s="9" t="str">
        <f>HYPERLINK("http://www.ncbi.nlm.nih.gov/gene/6340", "6340")</f>
        <v>6340</v>
      </c>
      <c r="D16734" t="str">
        <f>"unc-105"</f>
        <v>unc-105</v>
      </c>
      <c r="E16734" t="s">
        <v>9169</v>
      </c>
      <c r="F16734" t="s">
        <v>11</v>
      </c>
      <c r="G16734" t="s">
        <v>9170</v>
      </c>
      <c r="H16734" s="12">
        <v>-1.22588269754595</v>
      </c>
      <c r="I16734" s="20">
        <v>-0.63541010036361201</v>
      </c>
      <c r="J16734" s="28">
        <v>0.52516098232803898</v>
      </c>
      <c r="K16734" s="29">
        <v>0.98289565623980701</v>
      </c>
    </row>
    <row r="16735" spans="1:11" x14ac:dyDescent="0.35">
      <c r="A16735" s="9" t="str">
        <f>HYPERLINK("http://www.ensembl.org/id/WBGene00006751", "WBGene00006751")</f>
        <v>WBGene00006751</v>
      </c>
      <c r="B16735" s="9" t="str">
        <f>HYPERLINK("http://www.ncbi.nlm.nih.gov/gene/171952", "171952")</f>
        <v>171952</v>
      </c>
      <c r="C16735" s="9"/>
      <c r="D16735" t="str">
        <f>"unc-11"</f>
        <v>unc-11</v>
      </c>
      <c r="E16735" t="s">
        <v>9584</v>
      </c>
      <c r="F16735" t="s">
        <v>11</v>
      </c>
      <c r="G16735" t="s">
        <v>9585</v>
      </c>
      <c r="H16735" s="12">
        <v>-1.2615236783194701</v>
      </c>
      <c r="I16735" s="20">
        <v>-1.19075889161675</v>
      </c>
      <c r="J16735" s="28">
        <v>0.23374825119956399</v>
      </c>
      <c r="K16735" s="29">
        <v>0.98289565623980701</v>
      </c>
    </row>
    <row r="16736" spans="1:11" x14ac:dyDescent="0.35">
      <c r="A16736" s="9" t="str">
        <f>HYPERLINK("http://www.ensembl.org/id/WBGene00006836", "WBGene00006836")</f>
        <v>WBGene00006836</v>
      </c>
      <c r="B16736" s="9" t="str">
        <f>HYPERLINK("http://www.ncbi.nlm.nih.gov/gene/179972", "179972")</f>
        <v>179972</v>
      </c>
      <c r="C16736" s="9" t="str">
        <f>HYPERLINK("http://www.ncbi.nlm.nih.gov/gene/10979", "10979")</f>
        <v>10979</v>
      </c>
      <c r="D16736" t="str">
        <f>"unc-112"</f>
        <v>unc-112</v>
      </c>
      <c r="F16736" t="s">
        <v>11</v>
      </c>
      <c r="G16736" t="s">
        <v>6237</v>
      </c>
      <c r="H16736" s="12">
        <v>-1.05515401333573</v>
      </c>
      <c r="I16736" s="20">
        <v>-0.29177148331213398</v>
      </c>
      <c r="J16736" s="28">
        <v>0.77046135000693206</v>
      </c>
      <c r="K16736" s="29">
        <v>0.98289565623980701</v>
      </c>
    </row>
    <row r="16737" spans="1:11" x14ac:dyDescent="0.35">
      <c r="A16737" s="9" t="str">
        <f>HYPERLINK("http://www.ensembl.org/id/WBGene00006839", "WBGene00006839")</f>
        <v>WBGene00006839</v>
      </c>
      <c r="B16737" s="9" t="str">
        <f>HYPERLINK("http://www.ncbi.nlm.nih.gov/gene/181227", "181227")</f>
        <v>181227</v>
      </c>
      <c r="C16737" s="9"/>
      <c r="D16737" t="str">
        <f>"unc-115"</f>
        <v>unc-115</v>
      </c>
      <c r="F16737" t="s">
        <v>11</v>
      </c>
      <c r="G16737" t="s">
        <v>5702</v>
      </c>
      <c r="H16737" s="12">
        <v>1.1200024557780599</v>
      </c>
      <c r="I16737" s="20">
        <v>0.61134867009987204</v>
      </c>
      <c r="J16737" s="28">
        <v>0.54096877655882103</v>
      </c>
      <c r="K16737" s="29">
        <v>0.98289565623980701</v>
      </c>
    </row>
    <row r="16738" spans="1:11" x14ac:dyDescent="0.35">
      <c r="A16738" s="9" t="str">
        <f>HYPERLINK("http://www.ensembl.org/id/WBGene00006840", "WBGene00006840")</f>
        <v>WBGene00006840</v>
      </c>
      <c r="B16738" s="9" t="str">
        <f>HYPERLINK("http://www.ncbi.nlm.nih.gov/gene/176179", "176179")</f>
        <v>176179</v>
      </c>
      <c r="C16738" s="9" t="str">
        <f>HYPERLINK("http://www.ncbi.nlm.nih.gov/gene/3799", "3799")</f>
        <v>3799</v>
      </c>
      <c r="D16738" t="str">
        <f>"unc-116"</f>
        <v>unc-116</v>
      </c>
      <c r="E16738" t="s">
        <v>7446</v>
      </c>
      <c r="F16738" t="s">
        <v>11</v>
      </c>
      <c r="G16738" t="s">
        <v>4822</v>
      </c>
      <c r="H16738" s="12">
        <v>-1.1258753420856999</v>
      </c>
      <c r="I16738" s="20">
        <v>-0.64161909176699905</v>
      </c>
      <c r="J16738" s="28">
        <v>0.521120533753614</v>
      </c>
      <c r="K16738" s="29">
        <v>0.98289565623980701</v>
      </c>
    </row>
    <row r="16739" spans="1:11" x14ac:dyDescent="0.35">
      <c r="A16739" s="9" t="str">
        <f>HYPERLINK("http://www.ensembl.org/id/WBGene00006843", "WBGene00006843")</f>
        <v>WBGene00006843</v>
      </c>
      <c r="B16739" s="9" t="str">
        <f>HYPERLINK("http://www.ncbi.nlm.nih.gov/gene/176519", "176519")</f>
        <v>176519</v>
      </c>
      <c r="C16739" s="9" t="str">
        <f>HYPERLINK("http://www.ncbi.nlm.nih.gov/gene/84747", "84747")</f>
        <v>84747</v>
      </c>
      <c r="D16739" t="str">
        <f>"unc-119"</f>
        <v>unc-119</v>
      </c>
      <c r="F16739" t="s">
        <v>11</v>
      </c>
      <c r="G16739" t="s">
        <v>5245</v>
      </c>
      <c r="H16739" s="12">
        <v>1.2065330941607499</v>
      </c>
      <c r="I16739" s="20">
        <v>1.03536086732343</v>
      </c>
      <c r="J16739" s="28">
        <v>0.30050041389339799</v>
      </c>
      <c r="K16739" s="29">
        <v>0.98289565623980701</v>
      </c>
    </row>
    <row r="16740" spans="1:11" x14ac:dyDescent="0.35">
      <c r="A16740" s="9" t="str">
        <f>HYPERLINK("http://www.ensembl.org/id/WBGene00006844", "WBGene00006844")</f>
        <v>WBGene00006844</v>
      </c>
      <c r="B16740" s="9" t="str">
        <f>HYPERLINK("http://www.ncbi.nlm.nih.gov/gene/172636", "172636")</f>
        <v>172636</v>
      </c>
      <c r="C16740" s="9"/>
      <c r="D16740" t="str">
        <f>"unc-120"</f>
        <v>unc-120</v>
      </c>
      <c r="F16740" t="s">
        <v>11</v>
      </c>
      <c r="G16740" t="s">
        <v>6062</v>
      </c>
      <c r="H16740" s="12">
        <v>1.06653632926977</v>
      </c>
      <c r="I16740" s="20">
        <v>0.31839803591231097</v>
      </c>
      <c r="J16740" s="28">
        <v>0.75018302793360303</v>
      </c>
      <c r="K16740" s="29">
        <v>0.98289565623980701</v>
      </c>
    </row>
    <row r="16741" spans="1:11" x14ac:dyDescent="0.35">
      <c r="A16741" s="9" t="str">
        <f>HYPERLINK("http://www.ensembl.org/id/WBGene00006852", "WBGene00006852")</f>
        <v>WBGene00006852</v>
      </c>
      <c r="B16741" s="9" t="str">
        <f>HYPERLINK("http://www.ncbi.nlm.nih.gov/gene/177719", "177719")</f>
        <v>177719</v>
      </c>
      <c r="C16741" s="9"/>
      <c r="D16741" t="str">
        <f>"unc-129"</f>
        <v>unc-129</v>
      </c>
      <c r="E16741" t="s">
        <v>5518</v>
      </c>
      <c r="F16741" t="s">
        <v>11</v>
      </c>
      <c r="G16741" t="s">
        <v>5519</v>
      </c>
      <c r="H16741" s="12">
        <v>1.1516270793515799</v>
      </c>
      <c r="I16741" s="20">
        <v>0.63127764941365605</v>
      </c>
      <c r="J16741" s="28">
        <v>0.52785899828086102</v>
      </c>
      <c r="K16741" s="29">
        <v>0.98289565623980701</v>
      </c>
    </row>
    <row r="16742" spans="1:11" x14ac:dyDescent="0.35">
      <c r="A16742" s="9" t="str">
        <f>HYPERLINK("http://www.ensembl.org/id/WBGene00006752", "WBGene00006752")</f>
        <v>WBGene00006752</v>
      </c>
      <c r="B16742" s="9" t="str">
        <f>HYPERLINK("http://www.ncbi.nlm.nih.gov/gene/172497", "172497")</f>
        <v>172497</v>
      </c>
      <c r="C16742" s="9" t="str">
        <f>HYPERLINK("http://www.ncbi.nlm.nih.gov/gene/23025", "23025")</f>
        <v>23025</v>
      </c>
      <c r="D16742" t="str">
        <f>"unc-13"</f>
        <v>unc-13</v>
      </c>
      <c r="E16742" t="s">
        <v>5151</v>
      </c>
      <c r="F16742" t="s">
        <v>11</v>
      </c>
      <c r="G16742" t="s">
        <v>5152</v>
      </c>
      <c r="H16742" s="12">
        <v>1.2287144787923301</v>
      </c>
      <c r="I16742" s="20">
        <v>1.0439095327271899</v>
      </c>
      <c r="J16742" s="28">
        <v>0.296527247342742</v>
      </c>
      <c r="K16742" s="29">
        <v>0.98289565623980701</v>
      </c>
    </row>
    <row r="16743" spans="1:11" x14ac:dyDescent="0.35">
      <c r="A16743" s="9" t="str">
        <f>HYPERLINK("http://www.ensembl.org/id/WBGene00006853", "WBGene00006853")</f>
        <v>WBGene00006853</v>
      </c>
      <c r="B16743" s="9" t="str">
        <f>HYPERLINK("http://www.ncbi.nlm.nih.gov/gene/174721", "174721")</f>
        <v>174721</v>
      </c>
      <c r="C16743" s="9"/>
      <c r="D16743" t="str">
        <f>"unc-130"</f>
        <v>unc-130</v>
      </c>
      <c r="F16743" t="s">
        <v>11</v>
      </c>
      <c r="G16743" t="s">
        <v>4855</v>
      </c>
      <c r="H16743" s="12">
        <v>1.3314910204899599</v>
      </c>
      <c r="I16743" s="20">
        <v>1.0458426907346201</v>
      </c>
      <c r="J16743" s="28">
        <v>0.29563366737041802</v>
      </c>
      <c r="K16743" s="29">
        <v>0.98289565623980701</v>
      </c>
    </row>
    <row r="16744" spans="1:11" x14ac:dyDescent="0.35">
      <c r="A16744" s="9" t="str">
        <f>HYPERLINK("http://www.ensembl.org/id/WBGene00006754", "WBGene00006754")</f>
        <v>WBGene00006754</v>
      </c>
      <c r="B16744" s="9" t="str">
        <f>HYPERLINK("http://www.ncbi.nlm.nih.gov/gene/172491", "172491")</f>
        <v>172491</v>
      </c>
      <c r="C16744" s="9"/>
      <c r="D16744" t="str">
        <f>"unc-15"</f>
        <v>unc-15</v>
      </c>
      <c r="E16744" t="s">
        <v>7547</v>
      </c>
      <c r="F16744" t="s">
        <v>11</v>
      </c>
      <c r="G16744" t="s">
        <v>7548</v>
      </c>
      <c r="H16744" s="12">
        <v>-1.1323268723775599</v>
      </c>
      <c r="I16744" s="20">
        <v>-0.61066612956904298</v>
      </c>
      <c r="J16744" s="28">
        <v>0.54142063345349101</v>
      </c>
      <c r="K16744" s="29">
        <v>0.98289565623980701</v>
      </c>
    </row>
    <row r="16745" spans="1:11" x14ac:dyDescent="0.35">
      <c r="A16745" s="9" t="str">
        <f>HYPERLINK("http://www.ensembl.org/id/WBGene00006756", "WBGene00006756")</f>
        <v>WBGene00006756</v>
      </c>
      <c r="B16745" s="9" t="str">
        <f>HYPERLINK("http://www.ncbi.nlm.nih.gov/gene/24105312", "24105312")</f>
        <v>24105312</v>
      </c>
      <c r="C16745" s="9"/>
      <c r="D16745" t="str">
        <f>"unc-17"</f>
        <v>unc-17</v>
      </c>
      <c r="E16745" t="s">
        <v>4909</v>
      </c>
      <c r="F16745" t="s">
        <v>11</v>
      </c>
      <c r="G16745" t="s">
        <v>4910</v>
      </c>
      <c r="H16745" s="12">
        <v>1.30747860333039</v>
      </c>
      <c r="I16745" s="20">
        <v>1.1681484205485899</v>
      </c>
      <c r="J16745" s="28">
        <v>0.242746901821662</v>
      </c>
      <c r="K16745" s="29">
        <v>0.98289565623980701</v>
      </c>
    </row>
    <row r="16746" spans="1:11" x14ac:dyDescent="0.35">
      <c r="A16746" s="9" t="str">
        <f>HYPERLINK("http://www.ensembl.org/id/WBGene00006757", "WBGene00006757")</f>
        <v>WBGene00006757</v>
      </c>
      <c r="B16746" s="9" t="str">
        <f>HYPERLINK("http://www.ncbi.nlm.nih.gov/gene/181030", "181030")</f>
        <v>181030</v>
      </c>
      <c r="C16746" s="9" t="str">
        <f>HYPERLINK("http://www.ncbi.nlm.nih.gov/gene/6812", "6812")</f>
        <v>6812</v>
      </c>
      <c r="D16746" t="str">
        <f>"unc-18"</f>
        <v>unc-18</v>
      </c>
      <c r="E16746" t="s">
        <v>5666</v>
      </c>
      <c r="F16746" t="s">
        <v>11</v>
      </c>
      <c r="G16746" t="s">
        <v>5667</v>
      </c>
      <c r="H16746" s="12">
        <v>1.12623140058925</v>
      </c>
      <c r="I16746" s="20">
        <v>0.62676502247974097</v>
      </c>
      <c r="J16746" s="28">
        <v>0.53081327444137005</v>
      </c>
      <c r="K16746" s="29">
        <v>0.98289565623980701</v>
      </c>
    </row>
    <row r="16747" spans="1:11" x14ac:dyDescent="0.35">
      <c r="A16747" s="9" t="str">
        <f>HYPERLINK("http://www.ensembl.org/id/WBGene00006759", "WBGene00006759")</f>
        <v>WBGene00006759</v>
      </c>
      <c r="B16747" s="9" t="str">
        <f>HYPERLINK("http://www.ncbi.nlm.nih.gov/gene/178135", "178135")</f>
        <v>178135</v>
      </c>
      <c r="C16747" s="9"/>
      <c r="D16747" t="str">
        <f>"unc-22"</f>
        <v>unc-22</v>
      </c>
      <c r="E16747" t="s">
        <v>5841</v>
      </c>
      <c r="F16747" t="s">
        <v>11</v>
      </c>
      <c r="G16747" t="s">
        <v>5842</v>
      </c>
      <c r="H16747" s="12">
        <v>1.0947289162499001</v>
      </c>
      <c r="I16747" s="20">
        <v>0.459694602367058</v>
      </c>
      <c r="J16747" s="28">
        <v>0.64573544438626795</v>
      </c>
      <c r="K16747" s="29">
        <v>0.98289565623980701</v>
      </c>
    </row>
    <row r="16748" spans="1:11" x14ac:dyDescent="0.35">
      <c r="A16748" s="9" t="str">
        <f>HYPERLINK("http://www.ensembl.org/id/WBGene00006760", "WBGene00006760")</f>
        <v>WBGene00006760</v>
      </c>
      <c r="B16748" s="9" t="str">
        <f>HYPERLINK("http://www.ncbi.nlm.nih.gov/gene/179272", "179272")</f>
        <v>179272</v>
      </c>
      <c r="C16748" s="9" t="str">
        <f>HYPERLINK("http://www.ncbi.nlm.nih.gov/gene/9532", "9532")</f>
        <v>9532</v>
      </c>
      <c r="D16748" t="str">
        <f>"unc-23"</f>
        <v>unc-23</v>
      </c>
      <c r="F16748" t="s">
        <v>11</v>
      </c>
      <c r="G16748" t="s">
        <v>6115</v>
      </c>
      <c r="H16748" s="12">
        <v>1.0575185777375</v>
      </c>
      <c r="I16748" s="20">
        <v>0.30429517762532199</v>
      </c>
      <c r="J16748" s="28">
        <v>0.76090301877237099</v>
      </c>
      <c r="K16748" s="29">
        <v>0.98289565623980701</v>
      </c>
    </row>
    <row r="16749" spans="1:11" x14ac:dyDescent="0.35">
      <c r="A16749" s="9" t="str">
        <f>HYPERLINK("http://www.ensembl.org/id/WBGene00006761", "WBGene00006761")</f>
        <v>WBGene00006761</v>
      </c>
      <c r="B16749" s="9" t="str">
        <f>HYPERLINK("http://www.ncbi.nlm.nih.gov/gene/177594", "177594")</f>
        <v>177594</v>
      </c>
      <c r="C16749" s="9" t="str">
        <f>HYPERLINK("http://www.ncbi.nlm.nih.gov/gene/9399", "9399")</f>
        <v>9399</v>
      </c>
      <c r="D16749" t="str">
        <f>"unc-24"</f>
        <v>unc-24</v>
      </c>
      <c r="E16749" t="s">
        <v>5292</v>
      </c>
      <c r="F16749" t="s">
        <v>11</v>
      </c>
      <c r="G16749" t="s">
        <v>5293</v>
      </c>
      <c r="H16749" s="12">
        <v>1.19342590471749</v>
      </c>
      <c r="I16749" s="20">
        <v>0.65125099390959595</v>
      </c>
      <c r="J16749" s="28">
        <v>0.51488447736415799</v>
      </c>
      <c r="K16749" s="29">
        <v>0.98289565623980701</v>
      </c>
    </row>
    <row r="16750" spans="1:11" x14ac:dyDescent="0.35">
      <c r="A16750" s="9" t="str">
        <f>HYPERLINK("http://www.ensembl.org/id/WBGene00006762", "WBGene00006762")</f>
        <v>WBGene00006762</v>
      </c>
      <c r="B16750" s="9" t="str">
        <f>HYPERLINK("http://www.ncbi.nlm.nih.gov/gene/176713", "176713")</f>
        <v>176713</v>
      </c>
      <c r="C16750" s="9" t="str">
        <f>HYPERLINK("http://www.ncbi.nlm.nih.gov/gene/2571", "2571")</f>
        <v>2571</v>
      </c>
      <c r="D16750" t="str">
        <f>"unc-25"</f>
        <v>unc-25</v>
      </c>
      <c r="E16750" t="s">
        <v>8539</v>
      </c>
      <c r="F16750" t="s">
        <v>11</v>
      </c>
      <c r="G16750" t="s">
        <v>8540</v>
      </c>
      <c r="H16750" s="12">
        <v>-1.18267271335576</v>
      </c>
      <c r="I16750" s="20">
        <v>-0.77003750929951098</v>
      </c>
      <c r="J16750" s="28">
        <v>0.44127764288361998</v>
      </c>
      <c r="K16750" s="29">
        <v>0.98289565623980701</v>
      </c>
    </row>
    <row r="16751" spans="1:11" x14ac:dyDescent="0.35">
      <c r="A16751" s="9" t="str">
        <f>HYPERLINK("http://www.ensembl.org/id/WBGene00006764", "WBGene00006764")</f>
        <v>WBGene00006764</v>
      </c>
      <c r="B16751" s="9" t="str">
        <f>HYPERLINK("http://www.ncbi.nlm.nih.gov/gene/181124", "181124")</f>
        <v>181124</v>
      </c>
      <c r="C16751" s="9"/>
      <c r="D16751" t="str">
        <f>"unc-27"</f>
        <v>unc-27</v>
      </c>
      <c r="E16751" t="s">
        <v>8956</v>
      </c>
      <c r="F16751" t="s">
        <v>11</v>
      </c>
      <c r="G16751" t="s">
        <v>8957</v>
      </c>
      <c r="H16751" s="12">
        <v>-1.21061409587921</v>
      </c>
      <c r="I16751" s="20">
        <v>-0.94202330337808804</v>
      </c>
      <c r="J16751" s="28">
        <v>0.34618070922135402</v>
      </c>
      <c r="K16751" s="29">
        <v>0.98289565623980701</v>
      </c>
    </row>
    <row r="16752" spans="1:11" x14ac:dyDescent="0.35">
      <c r="A16752" s="9" t="str">
        <f>HYPERLINK("http://www.ensembl.org/id/WBGene00006743", "WBGene00006743")</f>
        <v>WBGene00006743</v>
      </c>
      <c r="B16752" s="9" t="str">
        <f>HYPERLINK("http://www.ncbi.nlm.nih.gov/gene/181573", "181573")</f>
        <v>181573</v>
      </c>
      <c r="C16752" s="9" t="str">
        <f>HYPERLINK("http://www.ncbi.nlm.nih.gov/gene/1879", "1879")</f>
        <v>1879</v>
      </c>
      <c r="D16752" t="str">
        <f>"unc-3"</f>
        <v>unc-3</v>
      </c>
      <c r="E16752" t="s">
        <v>5065</v>
      </c>
      <c r="F16752" t="s">
        <v>11</v>
      </c>
      <c r="G16752" t="s">
        <v>5066</v>
      </c>
      <c r="H16752" s="12">
        <v>1.2482402266200101</v>
      </c>
      <c r="I16752" s="20">
        <v>0.724643550864148</v>
      </c>
      <c r="J16752" s="28">
        <v>0.46867073391747299</v>
      </c>
      <c r="K16752" s="29">
        <v>0.98289565623980701</v>
      </c>
    </row>
    <row r="16753" spans="1:11" x14ac:dyDescent="0.35">
      <c r="A16753" s="9" t="str">
        <f>HYPERLINK("http://www.ensembl.org/id/WBGene00006766", "WBGene00006766")</f>
        <v>WBGene00006766</v>
      </c>
      <c r="B16753" s="9" t="str">
        <f>HYPERLINK("http://www.ncbi.nlm.nih.gov/gene/178265", "178265")</f>
        <v>178265</v>
      </c>
      <c r="C16753" s="9"/>
      <c r="D16753" t="str">
        <f>"unc-30"</f>
        <v>unc-30</v>
      </c>
      <c r="E16753" t="s">
        <v>4971</v>
      </c>
      <c r="F16753" t="s">
        <v>11</v>
      </c>
      <c r="G16753" t="s">
        <v>4972</v>
      </c>
      <c r="H16753" s="12">
        <v>1.27332957151574</v>
      </c>
      <c r="I16753" s="20">
        <v>0.79240175246248401</v>
      </c>
      <c r="J16753" s="28">
        <v>0.42812645791475001</v>
      </c>
      <c r="K16753" s="29">
        <v>0.98289565623980701</v>
      </c>
    </row>
    <row r="16754" spans="1:11" x14ac:dyDescent="0.35">
      <c r="A16754" s="9" t="str">
        <f>HYPERLINK("http://www.ensembl.org/id/WBGene00006767", "WBGene00006767")</f>
        <v>WBGene00006767</v>
      </c>
      <c r="B16754" s="9" t="str">
        <f>HYPERLINK("http://www.ncbi.nlm.nih.gov/gene/178233", "178233")</f>
        <v>178233</v>
      </c>
      <c r="C16754" s="9" t="str">
        <f>HYPERLINK("http://www.ncbi.nlm.nih.gov/gene/8618", "8618")</f>
        <v>8618</v>
      </c>
      <c r="D16754" t="str">
        <f>"unc-31"</f>
        <v>unc-31</v>
      </c>
      <c r="E16754" t="s">
        <v>5512</v>
      </c>
      <c r="F16754" t="s">
        <v>11</v>
      </c>
      <c r="G16754" t="s">
        <v>5513</v>
      </c>
      <c r="H16754" s="12">
        <v>1.1529794135897</v>
      </c>
      <c r="I16754" s="20">
        <v>0.69774141647434296</v>
      </c>
      <c r="J16754" s="28">
        <v>0.485338922021543</v>
      </c>
      <c r="K16754" s="29">
        <v>0.98289565623980701</v>
      </c>
    </row>
    <row r="16755" spans="1:11" x14ac:dyDescent="0.35">
      <c r="A16755" s="9" t="str">
        <f>HYPERLINK("http://www.ensembl.org/id/WBGene00006768", "WBGene00006768")</f>
        <v>WBGene00006768</v>
      </c>
      <c r="B16755" s="9" t="str">
        <f>HYPERLINK("http://www.ncbi.nlm.nih.gov/gene/176257", "176257")</f>
        <v>176257</v>
      </c>
      <c r="C16755" s="9" t="str">
        <f>HYPERLINK("http://www.ncbi.nlm.nih.gov/gene/535", "535")</f>
        <v>535</v>
      </c>
      <c r="D16755" t="str">
        <f>"unc-32"</f>
        <v>unc-32</v>
      </c>
      <c r="E16755" t="s">
        <v>8089</v>
      </c>
      <c r="F16755" t="s">
        <v>11</v>
      </c>
      <c r="G16755" t="s">
        <v>8090</v>
      </c>
      <c r="H16755" s="12">
        <v>-1.16031948392294</v>
      </c>
      <c r="I16755" s="20">
        <v>-0.819965706988254</v>
      </c>
      <c r="J16755" s="28">
        <v>0.41223565695687298</v>
      </c>
      <c r="K16755" s="29">
        <v>0.98289565623980701</v>
      </c>
    </row>
    <row r="16756" spans="1:11" x14ac:dyDescent="0.35">
      <c r="A16756" s="9" t="str">
        <f>HYPERLINK("http://www.ensembl.org/id/WBGene00006769", "WBGene00006769")</f>
        <v>WBGene00006769</v>
      </c>
      <c r="B16756" s="9" t="str">
        <f>HYPERLINK("http://www.ncbi.nlm.nih.gov/gene/177112", "177112")</f>
        <v>177112</v>
      </c>
      <c r="C16756" s="9"/>
      <c r="D16756" t="str">
        <f>"unc-33"</f>
        <v>unc-33</v>
      </c>
      <c r="F16756" t="s">
        <v>11</v>
      </c>
      <c r="G16756" t="s">
        <v>6026</v>
      </c>
      <c r="H16756" s="12">
        <v>1.0713429989911001</v>
      </c>
      <c r="I16756" s="20">
        <v>0.37241890326507299</v>
      </c>
      <c r="J16756" s="28">
        <v>0.70958098175411699</v>
      </c>
      <c r="K16756" s="29">
        <v>0.98289565623980701</v>
      </c>
    </row>
    <row r="16757" spans="1:11" x14ac:dyDescent="0.35">
      <c r="A16757" s="9" t="str">
        <f>HYPERLINK("http://www.ensembl.org/id/WBGene00006770", "WBGene00006770")</f>
        <v>WBGene00006770</v>
      </c>
      <c r="B16757" s="9" t="str">
        <f>HYPERLINK("http://www.ncbi.nlm.nih.gov/gene/190098", "190098")</f>
        <v>190098</v>
      </c>
      <c r="C16757" s="9"/>
      <c r="D16757" t="str">
        <f>"unc-34"</f>
        <v>unc-34</v>
      </c>
      <c r="E16757" t="s">
        <v>8676</v>
      </c>
      <c r="F16757" t="s">
        <v>11</v>
      </c>
      <c r="G16757" t="s">
        <v>8677</v>
      </c>
      <c r="H16757" s="12">
        <v>-1.19022570183576</v>
      </c>
      <c r="I16757" s="20">
        <v>-0.90112812800312103</v>
      </c>
      <c r="J16757" s="28">
        <v>0.36752019904989902</v>
      </c>
      <c r="K16757" s="29">
        <v>0.98289565623980701</v>
      </c>
    </row>
    <row r="16758" spans="1:11" x14ac:dyDescent="0.35">
      <c r="A16758" s="9" t="str">
        <f>HYPERLINK("http://www.ensembl.org/id/WBGene00006744", "WBGene00006744")</f>
        <v>WBGene00006744</v>
      </c>
      <c r="B16758" s="9" t="str">
        <f>HYPERLINK("http://www.ncbi.nlm.nih.gov/gene/174544", "174544")</f>
        <v>174544</v>
      </c>
      <c r="C16758" s="9"/>
      <c r="D16758" t="str">
        <f>"unc-4"</f>
        <v>unc-4</v>
      </c>
      <c r="E16758" t="s">
        <v>6910</v>
      </c>
      <c r="F16758" t="s">
        <v>11</v>
      </c>
      <c r="G16758" t="s">
        <v>6911</v>
      </c>
      <c r="H16758" s="12">
        <v>-1.09657091065898</v>
      </c>
      <c r="I16758" s="20">
        <v>-0.256725075949361</v>
      </c>
      <c r="J16758" s="28">
        <v>0.79739101235760101</v>
      </c>
      <c r="K16758" s="29">
        <v>0.98289565623980701</v>
      </c>
    </row>
    <row r="16759" spans="1:11" x14ac:dyDescent="0.35">
      <c r="A16759" s="9" t="str">
        <f>HYPERLINK("http://www.ensembl.org/id/WBGene00006776", "WBGene00006776")</f>
        <v>WBGene00006776</v>
      </c>
      <c r="B16759" s="9" t="str">
        <f>HYPERLINK("http://www.ncbi.nlm.nih.gov/gene/172233", "172233")</f>
        <v>172233</v>
      </c>
      <c r="C16759" s="9" t="str">
        <f>HYPERLINK("http://www.ncbi.nlm.nih.gov/gene/1630", "1630")</f>
        <v>1630</v>
      </c>
      <c r="D16759" t="str">
        <f>"unc-40"</f>
        <v>unc-40</v>
      </c>
      <c r="E16759" t="s">
        <v>6185</v>
      </c>
      <c r="F16759" t="s">
        <v>11</v>
      </c>
      <c r="G16759" t="s">
        <v>6186</v>
      </c>
      <c r="H16759" s="12">
        <v>-1.0522772160865801</v>
      </c>
      <c r="I16759" s="20">
        <v>-0.26553442202796002</v>
      </c>
      <c r="J16759" s="28">
        <v>0.790597796312978</v>
      </c>
      <c r="K16759" s="29">
        <v>0.98289565623980701</v>
      </c>
    </row>
    <row r="16760" spans="1:11" x14ac:dyDescent="0.35">
      <c r="A16760" s="9" t="str">
        <f>HYPERLINK("http://www.ensembl.org/id/WBGene00006781", "WBGene00006781")</f>
        <v>WBGene00006781</v>
      </c>
      <c r="B16760" s="9" t="str">
        <f>HYPERLINK("http://www.ncbi.nlm.nih.gov/gene/175206", "175206")</f>
        <v>175206</v>
      </c>
      <c r="C16760" s="9" t="str">
        <f>HYPERLINK("http://www.ncbi.nlm.nih.gov/gene/146862", "146862")</f>
        <v>146862</v>
      </c>
      <c r="D16760" t="str">
        <f>"unc-45"</f>
        <v>unc-45</v>
      </c>
      <c r="E16760" t="s">
        <v>6854</v>
      </c>
      <c r="F16760" t="s">
        <v>11</v>
      </c>
      <c r="G16760" t="s">
        <v>6855</v>
      </c>
      <c r="H16760" s="12">
        <v>-1.09270821501972</v>
      </c>
      <c r="I16760" s="20">
        <v>-0.46444231386716101</v>
      </c>
      <c r="J16760" s="28">
        <v>0.64233088002275196</v>
      </c>
      <c r="K16760" s="29">
        <v>0.98289565623980701</v>
      </c>
    </row>
    <row r="16761" spans="1:11" x14ac:dyDescent="0.35">
      <c r="A16761" s="9" t="str">
        <f>HYPERLINK("http://www.ensembl.org/id/WBGene00006783", "WBGene00006783")</f>
        <v>WBGene00006783</v>
      </c>
      <c r="B16761" s="9" t="str">
        <f>HYPERLINK("http://www.ncbi.nlm.nih.gov/gene/176431", "176431")</f>
        <v>176431</v>
      </c>
      <c r="C16761" s="9" t="str">
        <f>HYPERLINK("http://www.ncbi.nlm.nih.gov/gene/140679", "140679")</f>
        <v>140679</v>
      </c>
      <c r="D16761" t="str">
        <f>"unc-47"</f>
        <v>unc-47</v>
      </c>
      <c r="E16761" t="s">
        <v>4956</v>
      </c>
      <c r="F16761" t="s">
        <v>11</v>
      </c>
      <c r="G16761" t="s">
        <v>4957</v>
      </c>
      <c r="H16761" s="12">
        <v>1.28198474177901</v>
      </c>
      <c r="I16761" s="20">
        <v>0.77683615801023298</v>
      </c>
      <c r="J16761" s="28">
        <v>0.437255441023295</v>
      </c>
      <c r="K16761" s="29">
        <v>0.98289565623980701</v>
      </c>
    </row>
    <row r="16762" spans="1:11" x14ac:dyDescent="0.35">
      <c r="A16762" s="9" t="str">
        <f>HYPERLINK("http://www.ensembl.org/id/WBGene00006785", "WBGene00006785")</f>
        <v>WBGene00006785</v>
      </c>
      <c r="B16762" s="9" t="str">
        <f>HYPERLINK("http://www.ncbi.nlm.nih.gov/gene/176443", "176443")</f>
        <v>176443</v>
      </c>
      <c r="C16762" s="9" t="str">
        <f>HYPERLINK("http://www.ncbi.nlm.nih.gov/gene/25972", "25972")</f>
        <v>25972</v>
      </c>
      <c r="D16762" t="str">
        <f>"unc-50"</f>
        <v>unc-50</v>
      </c>
      <c r="F16762" t="s">
        <v>11</v>
      </c>
      <c r="G16762" t="s">
        <v>8880</v>
      </c>
      <c r="H16762" s="12">
        <v>-1.2046274256395599</v>
      </c>
      <c r="I16762" s="20">
        <v>-0.97634399211605405</v>
      </c>
      <c r="J16762" s="28">
        <v>0.32889402634927201</v>
      </c>
      <c r="K16762" s="29">
        <v>0.98289565623980701</v>
      </c>
    </row>
    <row r="16763" spans="1:11" x14ac:dyDescent="0.35">
      <c r="A16763" s="9" t="str">
        <f>HYPERLINK("http://www.ensembl.org/id/WBGene00006788", "WBGene00006788")</f>
        <v>WBGene00006788</v>
      </c>
      <c r="B16763" s="9" t="str">
        <f>HYPERLINK("http://www.ncbi.nlm.nih.gov/gene/174693", "174693")</f>
        <v>174693</v>
      </c>
      <c r="C16763" s="9"/>
      <c r="D16763" t="str">
        <f>"unc-53"</f>
        <v>unc-53</v>
      </c>
      <c r="E16763" t="s">
        <v>5965</v>
      </c>
      <c r="F16763" t="s">
        <v>11</v>
      </c>
      <c r="G16763" t="s">
        <v>5966</v>
      </c>
      <c r="H16763" s="12">
        <v>1.07896521009638</v>
      </c>
      <c r="I16763" s="20">
        <v>0.41167325620220102</v>
      </c>
      <c r="J16763" s="28">
        <v>0.68057892967100797</v>
      </c>
      <c r="K16763" s="29">
        <v>0.98289565623980701</v>
      </c>
    </row>
    <row r="16764" spans="1:11" x14ac:dyDescent="0.35">
      <c r="A16764" s="9" t="str">
        <f>HYPERLINK("http://www.ensembl.org/id/WBGene00006789", "WBGene00006789")</f>
        <v>WBGene00006789</v>
      </c>
      <c r="B16764" s="9" t="str">
        <f>HYPERLINK("http://www.ncbi.nlm.nih.gov/gene/259839", "259839")</f>
        <v>259839</v>
      </c>
      <c r="C16764" s="9" t="str">
        <f>HYPERLINK("http://www.ncbi.nlm.nih.gov/gene/57644", "57644")</f>
        <v>57644</v>
      </c>
      <c r="D16764" t="str">
        <f>"unc-54"</f>
        <v>unc-54</v>
      </c>
      <c r="E16764" t="s">
        <v>9323</v>
      </c>
      <c r="F16764" t="s">
        <v>11</v>
      </c>
      <c r="G16764" t="s">
        <v>140</v>
      </c>
      <c r="H16764" s="12">
        <v>-1.2382739125247599</v>
      </c>
      <c r="I16764" s="20">
        <v>-1.0578740840546099</v>
      </c>
      <c r="J16764" s="28">
        <v>0.290112851790992</v>
      </c>
      <c r="K16764" s="29">
        <v>0.98289565623980701</v>
      </c>
    </row>
    <row r="16765" spans="1:11" x14ac:dyDescent="0.35">
      <c r="A16765" s="9" t="str">
        <f>HYPERLINK("http://www.ensembl.org/id/WBGene00006790", "WBGene00006790")</f>
        <v>WBGene00006790</v>
      </c>
      <c r="B16765" s="9" t="str">
        <f>HYPERLINK("http://www.ncbi.nlm.nih.gov/gene/192082", "192082")</f>
        <v>192082</v>
      </c>
      <c r="C16765" s="9" t="str">
        <f>HYPERLINK("http://www.ncbi.nlm.nih.gov/gene/7025", "7025")</f>
        <v>7025</v>
      </c>
      <c r="D16765" t="str">
        <f>"unc-55"</f>
        <v>unc-55</v>
      </c>
      <c r="E16765" t="s">
        <v>4702</v>
      </c>
      <c r="F16765" t="s">
        <v>11</v>
      </c>
      <c r="G16765" t="s">
        <v>4703</v>
      </c>
      <c r="H16765" s="12">
        <v>1.46989648931273</v>
      </c>
      <c r="I16765" s="20">
        <v>0.94884889192723398</v>
      </c>
      <c r="J16765" s="28">
        <v>0.34269747127487299</v>
      </c>
      <c r="K16765" s="29">
        <v>0.98289565623980701</v>
      </c>
    </row>
    <row r="16766" spans="1:11" x14ac:dyDescent="0.35">
      <c r="A16766" s="9" t="str">
        <f>HYPERLINK("http://www.ensembl.org/id/WBGene00006792", "WBGene00006792")</f>
        <v>WBGene00006792</v>
      </c>
      <c r="B16766" s="9" t="str">
        <f>HYPERLINK("http://www.ncbi.nlm.nih.gov/gene/181224", "181224")</f>
        <v>181224</v>
      </c>
      <c r="C16766" s="9"/>
      <c r="D16766" t="str">
        <f>"unc-58"</f>
        <v>unc-58</v>
      </c>
      <c r="E16766" t="s">
        <v>8546</v>
      </c>
      <c r="F16766" t="s">
        <v>11</v>
      </c>
      <c r="G16766" t="s">
        <v>8547</v>
      </c>
      <c r="H16766" s="12">
        <v>-1.1828318843704699</v>
      </c>
      <c r="I16766" s="20">
        <v>-0.68145748818521801</v>
      </c>
      <c r="J16766" s="28">
        <v>0.49558205755754797</v>
      </c>
      <c r="K16766" s="29">
        <v>0.98289565623980701</v>
      </c>
    </row>
    <row r="16767" spans="1:11" x14ac:dyDescent="0.35">
      <c r="A16767" s="9" t="str">
        <f>HYPERLINK("http://www.ensembl.org/id/WBGene00006794", "WBGene00006794")</f>
        <v>WBGene00006794</v>
      </c>
      <c r="B16767" s="9" t="str">
        <f>HYPERLINK("http://www.ncbi.nlm.nih.gov/gene/178640", "178640")</f>
        <v>178640</v>
      </c>
      <c r="C16767" s="9"/>
      <c r="D16767" t="str">
        <f>"unc-60"</f>
        <v>unc-60</v>
      </c>
      <c r="E16767" t="s">
        <v>5264</v>
      </c>
      <c r="F16767" t="s">
        <v>11</v>
      </c>
      <c r="G16767" t="s">
        <v>5265</v>
      </c>
      <c r="H16767" s="12">
        <v>1.20120318128439</v>
      </c>
      <c r="I16767" s="20">
        <v>0.844722231641998</v>
      </c>
      <c r="J16767" s="28">
        <v>0.39826594384300501</v>
      </c>
      <c r="K16767" s="29">
        <v>0.98289565623980701</v>
      </c>
    </row>
    <row r="16768" spans="1:11" x14ac:dyDescent="0.35">
      <c r="A16768" s="9" t="str">
        <f>HYPERLINK("http://www.ensembl.org/id/WBGene00006796", "WBGene00006796")</f>
        <v>WBGene00006796</v>
      </c>
      <c r="B16768" s="9" t="str">
        <f>HYPERLINK("http://www.ncbi.nlm.nih.gov/gene/178845", "178845")</f>
        <v>178845</v>
      </c>
      <c r="C16768" s="9"/>
      <c r="D16768" t="str">
        <f>"unc-62"</f>
        <v>unc-62</v>
      </c>
      <c r="E16768" t="s">
        <v>5452</v>
      </c>
      <c r="F16768" t="s">
        <v>11</v>
      </c>
      <c r="G16768" t="s">
        <v>5453</v>
      </c>
      <c r="H16768" s="12">
        <v>1.1626944433448301</v>
      </c>
      <c r="I16768" s="20">
        <v>0.78277033797593798</v>
      </c>
      <c r="J16768" s="28">
        <v>0.43376198898934698</v>
      </c>
      <c r="K16768" s="29">
        <v>0.98289565623980701</v>
      </c>
    </row>
    <row r="16769" spans="1:11" x14ac:dyDescent="0.35">
      <c r="A16769" s="9" t="str">
        <f>HYPERLINK("http://www.ensembl.org/id/WBGene00006797", "WBGene00006797")</f>
        <v>WBGene00006797</v>
      </c>
      <c r="B16769" s="9" t="str">
        <f>HYPERLINK("http://www.ncbi.nlm.nih.gov/gene/172150", "172150")</f>
        <v>172150</v>
      </c>
      <c r="C16769" s="9"/>
      <c r="D16769" t="str">
        <f>"unc-63"</f>
        <v>unc-63</v>
      </c>
      <c r="E16769" t="s">
        <v>6552</v>
      </c>
      <c r="F16769" t="s">
        <v>11</v>
      </c>
      <c r="G16769" t="s">
        <v>870</v>
      </c>
      <c r="H16769" s="12">
        <v>-1.07573064906175</v>
      </c>
      <c r="I16769" s="20">
        <v>-0.26913589733545101</v>
      </c>
      <c r="J16769" s="28">
        <v>0.78782510713706499</v>
      </c>
      <c r="K16769" s="29">
        <v>0.98289565623980701</v>
      </c>
    </row>
    <row r="16770" spans="1:11" x14ac:dyDescent="0.35">
      <c r="A16770" s="9" t="str">
        <f>HYPERLINK("http://www.ensembl.org/id/WBGene00006798", "WBGene00006798")</f>
        <v>WBGene00006798</v>
      </c>
      <c r="B16770" s="9" t="str">
        <f>HYPERLINK("http://www.ncbi.nlm.nih.gov/gene/176743", "176743")</f>
        <v>176743</v>
      </c>
      <c r="C16770" s="9" t="str">
        <f>HYPERLINK("http://www.ncbi.nlm.nih.gov/gene/6804", "6804")</f>
        <v>6804</v>
      </c>
      <c r="D16770" t="str">
        <f>"unc-64"</f>
        <v>unc-64</v>
      </c>
      <c r="E16770" t="s">
        <v>6980</v>
      </c>
      <c r="F16770" t="s">
        <v>11</v>
      </c>
      <c r="G16770" t="s">
        <v>6981</v>
      </c>
      <c r="H16770" s="12">
        <v>-1.1008029660619101</v>
      </c>
      <c r="I16770" s="20">
        <v>-0.51957393257488305</v>
      </c>
      <c r="J16770" s="28">
        <v>0.60336057059932902</v>
      </c>
      <c r="K16770" s="29">
        <v>0.98289565623980701</v>
      </c>
    </row>
    <row r="16771" spans="1:11" x14ac:dyDescent="0.35">
      <c r="A16771" s="9" t="str">
        <f>HYPERLINK("http://www.ensembl.org/id/WBGene00006802", "WBGene00006802")</f>
        <v>WBGene00006802</v>
      </c>
      <c r="B16771" s="9" t="str">
        <f>HYPERLINK("http://www.ncbi.nlm.nih.gov/gene/176444", "176444")</f>
        <v>176444</v>
      </c>
      <c r="C16771" s="9"/>
      <c r="D16771" t="str">
        <f>"unc-69"</f>
        <v>unc-69</v>
      </c>
      <c r="E16771" t="s">
        <v>7945</v>
      </c>
      <c r="F16771" t="s">
        <v>11</v>
      </c>
      <c r="G16771" t="s">
        <v>7946</v>
      </c>
      <c r="H16771" s="12">
        <v>-1.1523039667245101</v>
      </c>
      <c r="I16771" s="20">
        <v>-0.72056732780703803</v>
      </c>
      <c r="J16771" s="28">
        <v>0.47117576174791997</v>
      </c>
      <c r="K16771" s="29">
        <v>0.98289565623980701</v>
      </c>
    </row>
    <row r="16772" spans="1:11" x14ac:dyDescent="0.35">
      <c r="A16772" s="9" t="str">
        <f>HYPERLINK("http://www.ensembl.org/id/WBGene00006803", "WBGene00006803")</f>
        <v>WBGene00006803</v>
      </c>
      <c r="B16772" s="9" t="str">
        <f>HYPERLINK("http://www.ncbi.nlm.nih.gov/gene/179077", "179077")</f>
        <v>179077</v>
      </c>
      <c r="C16772" s="9" t="str">
        <f>HYPERLINK("http://www.ncbi.nlm.nih.gov/gene/6711", "6711")</f>
        <v>6711</v>
      </c>
      <c r="D16772" t="str">
        <f>"unc-70"</f>
        <v>unc-70</v>
      </c>
      <c r="E16772" t="s">
        <v>5401</v>
      </c>
      <c r="F16772" t="s">
        <v>11</v>
      </c>
      <c r="G16772" t="s">
        <v>5402</v>
      </c>
      <c r="H16772" s="12">
        <v>1.1726117275650001</v>
      </c>
      <c r="I16772" s="20">
        <v>0.883485218381722</v>
      </c>
      <c r="J16772" s="28">
        <v>0.37697416552453</v>
      </c>
      <c r="K16772" s="29">
        <v>0.98289565623980701</v>
      </c>
    </row>
    <row r="16773" spans="1:11" x14ac:dyDescent="0.35">
      <c r="A16773" s="9" t="str">
        <f>HYPERLINK("http://www.ensembl.org/id/WBGene00006805", "WBGene00006805")</f>
        <v>WBGene00006805</v>
      </c>
      <c r="B16773" s="9" t="str">
        <f>HYPERLINK("http://www.ncbi.nlm.nih.gov/gene/171988", "171988")</f>
        <v>171988</v>
      </c>
      <c r="C16773" s="9" t="str">
        <f>HYPERLINK("http://www.ncbi.nlm.nih.gov/gene/7204", "7204")</f>
        <v>7204</v>
      </c>
      <c r="D16773" t="str">
        <f>"unc-73"</f>
        <v>unc-73</v>
      </c>
      <c r="E16773" t="s">
        <v>5700</v>
      </c>
      <c r="F16773" t="s">
        <v>11</v>
      </c>
      <c r="G16773" t="s">
        <v>5701</v>
      </c>
      <c r="H16773" s="12">
        <v>1.1204669350180301</v>
      </c>
      <c r="I16773" s="20">
        <v>0.622031708263873</v>
      </c>
      <c r="J16773" s="28">
        <v>0.53392101842413797</v>
      </c>
      <c r="K16773" s="29">
        <v>0.98289565623980701</v>
      </c>
    </row>
    <row r="16774" spans="1:11" x14ac:dyDescent="0.35">
      <c r="A16774" s="9" t="str">
        <f>HYPERLINK("http://www.ensembl.org/id/WBGene00006807", "WBGene00006807")</f>
        <v>WBGene00006807</v>
      </c>
      <c r="B16774" s="9" t="str">
        <f>HYPERLINK("http://www.ncbi.nlm.nih.gov/gene/182722", "182722")</f>
        <v>182722</v>
      </c>
      <c r="C16774" s="9" t="str">
        <f>HYPERLINK("http://www.ncbi.nlm.nih.gov/gene/60680", "60680")</f>
        <v>60680</v>
      </c>
      <c r="D16774" t="str">
        <f>"unc-75"</f>
        <v>unc-75</v>
      </c>
      <c r="E16774" t="s">
        <v>5238</v>
      </c>
      <c r="F16774" t="s">
        <v>11</v>
      </c>
      <c r="G16774" t="s">
        <v>5239</v>
      </c>
      <c r="H16774" s="12">
        <v>1.20877154804284</v>
      </c>
      <c r="I16774" s="20">
        <v>0.64951005515084703</v>
      </c>
      <c r="J16774" s="28">
        <v>0.51600874928582696</v>
      </c>
      <c r="K16774" s="29">
        <v>0.98289565623980701</v>
      </c>
    </row>
    <row r="16775" spans="1:11" x14ac:dyDescent="0.35">
      <c r="A16775" s="9" t="str">
        <f>HYPERLINK("http://www.ensembl.org/id/WBGene00006810", "WBGene00006810")</f>
        <v>WBGene00006810</v>
      </c>
      <c r="B16775" s="9" t="str">
        <f>HYPERLINK("http://www.ncbi.nlm.nih.gov/gene/180631", "180631")</f>
        <v>180631</v>
      </c>
      <c r="C16775" s="9" t="str">
        <f>HYPERLINK("http://www.ncbi.nlm.nih.gov/gene/9948", "9948")</f>
        <v>9948</v>
      </c>
      <c r="D16775" t="str">
        <f>"unc-78"</f>
        <v>unc-78</v>
      </c>
      <c r="E16775" t="s">
        <v>7574</v>
      </c>
      <c r="F16775" t="s">
        <v>11</v>
      </c>
      <c r="G16775" t="s">
        <v>7575</v>
      </c>
      <c r="H16775" s="12">
        <v>-1.1339639473654</v>
      </c>
      <c r="I16775" s="20">
        <v>-0.68626212943572396</v>
      </c>
      <c r="J16775" s="28">
        <v>0.492547825407392</v>
      </c>
      <c r="K16775" s="29">
        <v>0.98289565623980701</v>
      </c>
    </row>
    <row r="16776" spans="1:11" x14ac:dyDescent="0.35">
      <c r="A16776" s="9" t="str">
        <f>HYPERLINK("http://www.ensembl.org/id/WBGene00006748", "WBGene00006748")</f>
        <v>WBGene00006748</v>
      </c>
      <c r="B16776" s="9" t="str">
        <f>HYPERLINK("http://www.ncbi.nlm.nih.gov/gene/177494", "177494")</f>
        <v>177494</v>
      </c>
      <c r="C16776" s="9" t="str">
        <f>HYPERLINK("http://www.ncbi.nlm.nih.gov/gene/6340", "6340")</f>
        <v>6340</v>
      </c>
      <c r="D16776" t="str">
        <f>"unc-8"</f>
        <v>unc-8</v>
      </c>
      <c r="E16776" t="s">
        <v>4898</v>
      </c>
      <c r="F16776" t="s">
        <v>11</v>
      </c>
      <c r="G16776" t="s">
        <v>4899</v>
      </c>
      <c r="H16776" s="12">
        <v>1.3104901589103599</v>
      </c>
      <c r="I16776" s="20">
        <v>0.72566142313931103</v>
      </c>
      <c r="J16776" s="28">
        <v>0.46804635633531599</v>
      </c>
      <c r="K16776" s="29">
        <v>0.98289565623980701</v>
      </c>
    </row>
    <row r="16777" spans="1:11" x14ac:dyDescent="0.35">
      <c r="A16777" s="9" t="str">
        <f>HYPERLINK("http://www.ensembl.org/id/WBGene00006816", "WBGene00006816")</f>
        <v>WBGene00006816</v>
      </c>
      <c r="B16777" s="9" t="str">
        <f>HYPERLINK("http://www.ncbi.nlm.nih.gov/gene/181480", "181480")</f>
        <v>181480</v>
      </c>
      <c r="C16777" s="9"/>
      <c r="D16777" t="str">
        <f>"unc-84"</f>
        <v>unc-84</v>
      </c>
      <c r="E16777" t="s">
        <v>8748</v>
      </c>
      <c r="F16777" t="s">
        <v>11</v>
      </c>
      <c r="G16777" t="s">
        <v>8749</v>
      </c>
      <c r="H16777" s="12">
        <v>-1.1941648469855499</v>
      </c>
      <c r="I16777" s="20">
        <v>-0.90235462569584202</v>
      </c>
      <c r="J16777" s="28">
        <v>0.36686851630052802</v>
      </c>
      <c r="K16777" s="29">
        <v>0.98289565623980701</v>
      </c>
    </row>
    <row r="16778" spans="1:11" x14ac:dyDescent="0.35">
      <c r="A16778" s="9" t="str">
        <f>HYPERLINK("http://www.ensembl.org/id/WBGene00006817", "WBGene00006817")</f>
        <v>WBGene00006817</v>
      </c>
      <c r="B16778" s="9" t="str">
        <f>HYPERLINK("http://www.ncbi.nlm.nih.gov/gene/173809", "173809")</f>
        <v>173809</v>
      </c>
      <c r="C16778" s="9" t="str">
        <f>HYPERLINK("http://www.ncbi.nlm.nih.gov/gene/25842", "25842")</f>
        <v>25842</v>
      </c>
      <c r="D16778" t="str">
        <f>"unc-85"</f>
        <v>unc-85</v>
      </c>
      <c r="E16778" t="s">
        <v>9779</v>
      </c>
      <c r="F16778" t="s">
        <v>11</v>
      </c>
      <c r="G16778" t="s">
        <v>974</v>
      </c>
      <c r="H16778" s="12">
        <v>-1.3007381549694701</v>
      </c>
      <c r="I16778" s="20">
        <v>-1.1770682268568</v>
      </c>
      <c r="J16778" s="28">
        <v>0.23916827562731</v>
      </c>
      <c r="K16778" s="29">
        <v>0.98289565623980701</v>
      </c>
    </row>
    <row r="16779" spans="1:11" x14ac:dyDescent="0.35">
      <c r="A16779" s="9" t="str">
        <f>HYPERLINK("http://www.ensembl.org/id/WBGene00006819", "WBGene00006819")</f>
        <v>WBGene00006819</v>
      </c>
      <c r="B16779" s="9" t="str">
        <f>HYPERLINK("http://www.ncbi.nlm.nih.gov/gene/172397", "172397")</f>
        <v>172397</v>
      </c>
      <c r="C16779" s="9"/>
      <c r="D16779" t="str">
        <f>"unc-87"</f>
        <v>unc-87</v>
      </c>
      <c r="F16779" t="s">
        <v>11</v>
      </c>
      <c r="G16779" t="s">
        <v>5287</v>
      </c>
      <c r="H16779" s="12">
        <v>1.19501770646955</v>
      </c>
      <c r="I16779" s="20">
        <v>0.916176782991316</v>
      </c>
      <c r="J16779" s="28">
        <v>0.359574180615364</v>
      </c>
      <c r="K16779" s="29">
        <v>0.98289565623980701</v>
      </c>
    </row>
    <row r="16780" spans="1:11" x14ac:dyDescent="0.35">
      <c r="A16780" s="9" t="str">
        <f>HYPERLINK("http://www.ensembl.org/id/WBGene00006820", "WBGene00006820")</f>
        <v>WBGene00006820</v>
      </c>
      <c r="B16780" s="9" t="str">
        <f>HYPERLINK("http://www.ncbi.nlm.nih.gov/gene/171990", "171990")</f>
        <v>171990</v>
      </c>
      <c r="C16780" s="9"/>
      <c r="D16780" t="str">
        <f>"unc-89"</f>
        <v>unc-89</v>
      </c>
      <c r="E16780" t="s">
        <v>5424</v>
      </c>
      <c r="F16780" t="s">
        <v>11</v>
      </c>
      <c r="G16780" t="s">
        <v>5425</v>
      </c>
      <c r="H16780" s="12">
        <v>1.1659363302113099</v>
      </c>
      <c r="I16780" s="20">
        <v>0.74539040126772105</v>
      </c>
      <c r="J16780" s="28">
        <v>0.45603574489918403</v>
      </c>
      <c r="K16780" s="29">
        <v>0.98289565623980701</v>
      </c>
    </row>
    <row r="16781" spans="1:11" x14ac:dyDescent="0.35">
      <c r="A16781" s="9" t="str">
        <f>HYPERLINK("http://www.ensembl.org/id/WBGene00006822", "WBGene00006822")</f>
        <v>WBGene00006822</v>
      </c>
      <c r="B16781" s="9" t="str">
        <f>HYPERLINK("http://www.ncbi.nlm.nih.gov/gene/175466", "175466")</f>
        <v>175466</v>
      </c>
      <c r="C16781" s="9" t="str">
        <f>HYPERLINK("http://www.ncbi.nlm.nih.gov/gene/54346", "54346")</f>
        <v>54346</v>
      </c>
      <c r="D16781" t="str">
        <f>"unc-93"</f>
        <v>unc-93</v>
      </c>
      <c r="E16781" t="s">
        <v>8823</v>
      </c>
      <c r="F16781" t="s">
        <v>11</v>
      </c>
      <c r="G16781" t="s">
        <v>8824</v>
      </c>
      <c r="H16781" s="12">
        <v>-1.1995975546600099</v>
      </c>
      <c r="I16781" s="20">
        <v>-0.49159028598677001</v>
      </c>
      <c r="J16781" s="28">
        <v>0.62300901193494795</v>
      </c>
      <c r="K16781" s="29">
        <v>0.98289565623980701</v>
      </c>
    </row>
    <row r="16782" spans="1:11" x14ac:dyDescent="0.35">
      <c r="A16782" s="9" t="str">
        <f>HYPERLINK("http://www.ensembl.org/id/WBGene00006824", "WBGene00006824")</f>
        <v>WBGene00006824</v>
      </c>
      <c r="B16782" s="9" t="str">
        <f>HYPERLINK("http://www.ncbi.nlm.nih.gov/gene/173301", "173301")</f>
        <v>173301</v>
      </c>
      <c r="C16782" s="9"/>
      <c r="D16782" t="str">
        <f>"unc-95"</f>
        <v>unc-95</v>
      </c>
      <c r="E16782" t="s">
        <v>6753</v>
      </c>
      <c r="F16782" t="s">
        <v>11</v>
      </c>
      <c r="G16782" t="s">
        <v>6754</v>
      </c>
      <c r="H16782" s="12">
        <v>-1.0873451717167399</v>
      </c>
      <c r="I16782" s="20">
        <v>-0.372627811060743</v>
      </c>
      <c r="J16782" s="28">
        <v>0.709425471012749</v>
      </c>
      <c r="K16782" s="29">
        <v>0.98289565623980701</v>
      </c>
    </row>
    <row r="16783" spans="1:11" x14ac:dyDescent="0.35">
      <c r="A16783" s="9" t="str">
        <f>HYPERLINK("http://www.ensembl.org/id/WBGene00013241", "WBGene00013241")</f>
        <v>WBGene00013241</v>
      </c>
      <c r="B16783" s="9" t="str">
        <f>HYPERLINK("http://www.ncbi.nlm.nih.gov/gene/176633", "176633")</f>
        <v>176633</v>
      </c>
      <c r="C16783" s="9" t="str">
        <f>HYPERLINK("http://www.ncbi.nlm.nih.gov/gene/7374", "7374")</f>
        <v>7374</v>
      </c>
      <c r="D16783" t="str">
        <f>"ung-1"</f>
        <v>ung-1</v>
      </c>
      <c r="E16783" t="s">
        <v>9056</v>
      </c>
      <c r="F16783" t="s">
        <v>11</v>
      </c>
      <c r="G16783" t="s">
        <v>9057</v>
      </c>
      <c r="H16783" s="12">
        <v>-1.21733943083926</v>
      </c>
      <c r="I16783" s="20">
        <v>-0.76072075693143404</v>
      </c>
      <c r="J16783" s="28">
        <v>0.44682387417344599</v>
      </c>
      <c r="K16783" s="29">
        <v>0.98289565623980701</v>
      </c>
    </row>
    <row r="16784" spans="1:11" x14ac:dyDescent="0.35">
      <c r="A16784" s="9" t="str">
        <f>HYPERLINK("http://www.ensembl.org/id/WBGene00185048", "WBGene00185048")</f>
        <v>WBGene00185048</v>
      </c>
      <c r="B16784" s="9" t="str">
        <f>HYPERLINK("http://www.ncbi.nlm.nih.gov/gene/13191153", "13191153")</f>
        <v>13191153</v>
      </c>
      <c r="C16784" s="9"/>
      <c r="D16784" t="str">
        <f>"urm-1"</f>
        <v>urm-1</v>
      </c>
      <c r="E16784" t="s">
        <v>8534</v>
      </c>
      <c r="F16784" t="s">
        <v>11</v>
      </c>
      <c r="G16784" t="s">
        <v>8535</v>
      </c>
      <c r="H16784" s="12">
        <v>-1.18221164504941</v>
      </c>
      <c r="I16784" s="20">
        <v>-0.54026955096526696</v>
      </c>
      <c r="J16784" s="28">
        <v>0.58901115391172498</v>
      </c>
      <c r="K16784" s="29">
        <v>0.98289565623980701</v>
      </c>
    </row>
    <row r="16785" spans="1:11" x14ac:dyDescent="0.35">
      <c r="A16785" s="9" t="str">
        <f>HYPERLINK("http://www.ensembl.org/id/WBGene00022460", "WBGene00022460")</f>
        <v>WBGene00022460</v>
      </c>
      <c r="B16785" s="9" t="str">
        <f>HYPERLINK("http://www.ncbi.nlm.nih.gov/gene/172140", "172140")</f>
        <v>172140</v>
      </c>
      <c r="C16785" s="9"/>
      <c r="D16785" t="str">
        <f>"use-1"</f>
        <v>use-1</v>
      </c>
      <c r="E16785" t="s">
        <v>7303</v>
      </c>
      <c r="F16785" t="s">
        <v>11</v>
      </c>
      <c r="G16785" t="s">
        <v>7304</v>
      </c>
      <c r="H16785" s="12">
        <v>-1.1185248166367701</v>
      </c>
      <c r="I16785" s="20">
        <v>-0.49657063569506399</v>
      </c>
      <c r="J16785" s="28">
        <v>0.61949186466491601</v>
      </c>
      <c r="K16785" s="29">
        <v>0.98289565623980701</v>
      </c>
    </row>
    <row r="16786" spans="1:11" x14ac:dyDescent="0.35">
      <c r="A16786" s="9" t="str">
        <f>HYPERLINK("http://www.ensembl.org/id/WBGene00010713", "WBGene00010713")</f>
        <v>WBGene00010713</v>
      </c>
      <c r="B16786" s="9" t="str">
        <f>HYPERLINK("http://www.ncbi.nlm.nih.gov/gene/178311", "178311")</f>
        <v>178311</v>
      </c>
      <c r="C16786" s="9" t="str">
        <f>HYPERLINK("http://www.ncbi.nlm.nih.gov/gene/8615", "8615")</f>
        <v>8615</v>
      </c>
      <c r="D16786" t="str">
        <f>"uso-1"</f>
        <v>uso-1</v>
      </c>
      <c r="E16786" t="s">
        <v>7148</v>
      </c>
      <c r="F16786" t="s">
        <v>11</v>
      </c>
      <c r="G16786" t="s">
        <v>7149</v>
      </c>
      <c r="H16786" s="12">
        <v>-1.1103177979589001</v>
      </c>
      <c r="I16786" s="20">
        <v>-0.54382043834294203</v>
      </c>
      <c r="J16786" s="28">
        <v>0.58656504288829403</v>
      </c>
      <c r="K16786" s="29">
        <v>0.98289565623980701</v>
      </c>
    </row>
    <row r="16787" spans="1:11" x14ac:dyDescent="0.35">
      <c r="A16787" s="9" t="str">
        <f>HYPERLINK("http://www.ensembl.org/id/WBGene00009267", "WBGene00009267")</f>
        <v>WBGene00009267</v>
      </c>
      <c r="B16787" s="9" t="str">
        <f>HYPERLINK("http://www.ncbi.nlm.nih.gov/gene/172782", "172782")</f>
        <v>172782</v>
      </c>
      <c r="C16787" s="9"/>
      <c r="D16787" t="str">
        <f>"usp-48"</f>
        <v>usp-48</v>
      </c>
      <c r="E16787" t="s">
        <v>2664</v>
      </c>
      <c r="F16787" t="s">
        <v>11</v>
      </c>
      <c r="G16787" t="s">
        <v>9633</v>
      </c>
      <c r="H16787" s="12">
        <v>-1.2704377317561899</v>
      </c>
      <c r="I16787" s="20">
        <v>-1.19670172765111</v>
      </c>
      <c r="J16787" s="28">
        <v>0.23142283342012501</v>
      </c>
      <c r="K16787" s="29">
        <v>0.98289565623980701</v>
      </c>
    </row>
    <row r="16788" spans="1:11" x14ac:dyDescent="0.35">
      <c r="A16788" s="9" t="str">
        <f>HYPERLINK("http://www.ensembl.org/id/WBGene00020839", "WBGene00020839")</f>
        <v>WBGene00020839</v>
      </c>
      <c r="B16788" s="9" t="str">
        <f>HYPERLINK("http://www.ncbi.nlm.nih.gov/gene/172296", "172296")</f>
        <v>172296</v>
      </c>
      <c r="C16788" s="9"/>
      <c r="D16788" t="str">
        <f>"usp-5"</f>
        <v>usp-5</v>
      </c>
      <c r="E16788" t="s">
        <v>2664</v>
      </c>
      <c r="F16788" t="s">
        <v>11</v>
      </c>
      <c r="G16788" t="s">
        <v>9288</v>
      </c>
      <c r="H16788" s="12">
        <v>-1.2346340553391399</v>
      </c>
      <c r="I16788" s="20">
        <v>-1.1207068343459301</v>
      </c>
      <c r="J16788" s="28">
        <v>0.26241267212387098</v>
      </c>
      <c r="K16788" s="29">
        <v>0.98289565623980701</v>
      </c>
    </row>
    <row r="16789" spans="1:11" x14ac:dyDescent="0.35">
      <c r="A16789" s="9" t="str">
        <f>HYPERLINK("http://www.ensembl.org/id/WBGene00008441", "WBGene00008441")</f>
        <v>WBGene00008441</v>
      </c>
      <c r="B16789" s="9" t="str">
        <f>HYPERLINK("http://www.ncbi.nlm.nih.gov/gene/180175", "180175")</f>
        <v>180175</v>
      </c>
      <c r="C16789" s="9" t="str">
        <f>HYPERLINK("http://www.ncbi.nlm.nih.gov/gene/9101", "9101")</f>
        <v>9101</v>
      </c>
      <c r="D16789" t="str">
        <f>"usp-50"</f>
        <v>usp-50</v>
      </c>
      <c r="E16789" t="s">
        <v>2774</v>
      </c>
      <c r="F16789" t="s">
        <v>11</v>
      </c>
      <c r="G16789" t="s">
        <v>6667</v>
      </c>
      <c r="H16789" s="12">
        <v>-1.0836674293047901</v>
      </c>
      <c r="I16789" s="20">
        <v>-0.38493630391086803</v>
      </c>
      <c r="J16789" s="28">
        <v>0.70028460786972602</v>
      </c>
      <c r="K16789" s="29">
        <v>0.98289565623980701</v>
      </c>
    </row>
    <row r="16790" spans="1:11" x14ac:dyDescent="0.35">
      <c r="A16790" s="9" t="str">
        <f>HYPERLINK("http://www.ensembl.org/id/WBGene00007050", "WBGene00007050")</f>
        <v>WBGene00007050</v>
      </c>
      <c r="B16790" s="9" t="str">
        <f>HYPERLINK("http://www.ncbi.nlm.nih.gov/gene/174080", "174080")</f>
        <v>174080</v>
      </c>
      <c r="C16790" s="9" t="str">
        <f>HYPERLINK("http://www.ncbi.nlm.nih.gov/gene/27340", "27340")</f>
        <v>27340</v>
      </c>
      <c r="D16790" t="str">
        <f>"utp-20"</f>
        <v>utp-20</v>
      </c>
      <c r="E16790" t="s">
        <v>6958</v>
      </c>
      <c r="F16790" t="s">
        <v>11</v>
      </c>
      <c r="G16790" t="s">
        <v>6959</v>
      </c>
      <c r="H16790" s="12">
        <v>-1.1000770291633799</v>
      </c>
      <c r="I16790" s="20">
        <v>-0.44344034242116598</v>
      </c>
      <c r="J16790" s="28">
        <v>0.657447261216909</v>
      </c>
      <c r="K16790" s="29">
        <v>0.98289565623980701</v>
      </c>
    </row>
    <row r="16791" spans="1:11" x14ac:dyDescent="0.35">
      <c r="A16791" s="9" t="str">
        <f>HYPERLINK("http://www.ensembl.org/id/WBGene00017046", "WBGene00017046")</f>
        <v>WBGene00017046</v>
      </c>
      <c r="B16791" s="9" t="str">
        <f>HYPERLINK("http://www.ncbi.nlm.nih.gov/gene/181110", "181110")</f>
        <v>181110</v>
      </c>
      <c r="C16791" s="9" t="str">
        <f>HYPERLINK("http://www.ncbi.nlm.nih.gov/gene/7403", "7403")</f>
        <v>7403</v>
      </c>
      <c r="D16791" t="str">
        <f>"utx-1"</f>
        <v>utx-1</v>
      </c>
      <c r="E16791" t="s">
        <v>5440</v>
      </c>
      <c r="F16791" t="s">
        <v>11</v>
      </c>
      <c r="G16791" t="s">
        <v>5441</v>
      </c>
      <c r="H16791" s="12">
        <v>1.1644858846920001</v>
      </c>
      <c r="I16791" s="20">
        <v>0.61286040910096795</v>
      </c>
      <c r="J16791" s="28">
        <v>0.53996864330129901</v>
      </c>
      <c r="K16791" s="29">
        <v>0.98289565623980701</v>
      </c>
    </row>
    <row r="16792" spans="1:11" x14ac:dyDescent="0.35">
      <c r="A16792" s="9" t="str">
        <f>HYPERLINK("http://www.ensembl.org/id/WBGene00022812", "WBGene00022812")</f>
        <v>WBGene00022812</v>
      </c>
      <c r="B16792" s="9" t="str">
        <f>HYPERLINK("http://www.ncbi.nlm.nih.gov/gene/179158", "179158")</f>
        <v>179158</v>
      </c>
      <c r="C16792" s="9"/>
      <c r="D16792" t="str">
        <f>"uvs-1"</f>
        <v>uvs-1</v>
      </c>
      <c r="E16792" t="s">
        <v>6904</v>
      </c>
      <c r="F16792" t="s">
        <v>11</v>
      </c>
      <c r="G16792" t="s">
        <v>6905</v>
      </c>
      <c r="H16792" s="12">
        <v>-1.0961307694289899</v>
      </c>
      <c r="I16792" s="20">
        <v>-0.424175667330914</v>
      </c>
      <c r="J16792" s="28">
        <v>0.67143770506060196</v>
      </c>
      <c r="K16792" s="29">
        <v>0.98289565623980701</v>
      </c>
    </row>
    <row r="16793" spans="1:11" x14ac:dyDescent="0.35">
      <c r="A16793" s="9" t="str">
        <f>HYPERLINK("http://www.ensembl.org/id/WBGene00006882", "WBGene00006882")</f>
        <v>WBGene00006882</v>
      </c>
      <c r="B16793" s="9" t="str">
        <f>HYPERLINK("http://www.ncbi.nlm.nih.gov/gene/173599", "173599")</f>
        <v>173599</v>
      </c>
      <c r="C16793" s="9"/>
      <c r="D16793" t="str">
        <f>"vab-19"</f>
        <v>vab-19</v>
      </c>
      <c r="E16793" t="s">
        <v>5398</v>
      </c>
      <c r="F16793" t="s">
        <v>11</v>
      </c>
      <c r="G16793" t="s">
        <v>5399</v>
      </c>
      <c r="H16793" s="12">
        <v>1.1738197669127901</v>
      </c>
      <c r="I16793" s="20">
        <v>0.81468690819441003</v>
      </c>
      <c r="J16793" s="28">
        <v>0.415251549094243</v>
      </c>
      <c r="K16793" s="29">
        <v>0.98289565623980701</v>
      </c>
    </row>
    <row r="16794" spans="1:11" x14ac:dyDescent="0.35">
      <c r="A16794" s="9" t="str">
        <f>HYPERLINK("http://www.ensembl.org/id/WBGene00006869", "WBGene00006869")</f>
        <v>WBGene00006869</v>
      </c>
      <c r="B16794" s="9" t="str">
        <f>HYPERLINK("http://www.ncbi.nlm.nih.gov/gene/177140", "177140")</f>
        <v>177140</v>
      </c>
      <c r="C16794" s="9"/>
      <c r="D16794" t="str">
        <f>"vab-2"</f>
        <v>vab-2</v>
      </c>
      <c r="E16794" t="s">
        <v>5049</v>
      </c>
      <c r="F16794" t="s">
        <v>11</v>
      </c>
      <c r="G16794" t="s">
        <v>5050</v>
      </c>
      <c r="H16794" s="12">
        <v>1.25145929033355</v>
      </c>
      <c r="I16794" s="20">
        <v>0.874150270193361</v>
      </c>
      <c r="J16794" s="28">
        <v>0.38203642405473698</v>
      </c>
      <c r="K16794" s="29">
        <v>0.98289565623980701</v>
      </c>
    </row>
    <row r="16795" spans="1:11" x14ac:dyDescent="0.35">
      <c r="A16795" s="9" t="str">
        <f>HYPERLINK("http://www.ensembl.org/id/WBGene00006875", "WBGene00006875")</f>
        <v>WBGene00006875</v>
      </c>
      <c r="B16795" s="9" t="str">
        <f>HYPERLINK("http://www.ncbi.nlm.nih.gov/gene/188736", "188736")</f>
        <v>188736</v>
      </c>
      <c r="C16795" s="9"/>
      <c r="D16795" t="str">
        <f>"vab-9"</f>
        <v>vab-9</v>
      </c>
      <c r="E16795" t="s">
        <v>5897</v>
      </c>
      <c r="F16795" t="s">
        <v>11</v>
      </c>
      <c r="G16795" t="s">
        <v>5898</v>
      </c>
      <c r="H16795" s="12">
        <v>1.0880480872021401</v>
      </c>
      <c r="I16795" s="20">
        <v>0.39814622382221598</v>
      </c>
      <c r="J16795" s="28">
        <v>0.690522403170301</v>
      </c>
      <c r="K16795" s="29">
        <v>0.98289565623980701</v>
      </c>
    </row>
    <row r="16796" spans="1:11" x14ac:dyDescent="0.35">
      <c r="A16796" s="9" t="str">
        <f>HYPERLINK("http://www.ensembl.org/id/WBGene00010565", "WBGene00010565")</f>
        <v>WBGene00010565</v>
      </c>
      <c r="B16796" s="9" t="str">
        <f>HYPERLINK("http://www.ncbi.nlm.nih.gov/gene/172589", "172589")</f>
        <v>172589</v>
      </c>
      <c r="C16796" s="9" t="str">
        <f>HYPERLINK("http://www.ncbi.nlm.nih.gov/gene/55697", "55697")</f>
        <v>55697</v>
      </c>
      <c r="D16796" t="str">
        <f>"vacl-14"</f>
        <v>vacl-14</v>
      </c>
      <c r="E16796" t="s">
        <v>9625</v>
      </c>
      <c r="F16796" t="s">
        <v>11</v>
      </c>
      <c r="G16796" t="s">
        <v>9626</v>
      </c>
      <c r="H16796" s="12">
        <v>-1.26803214714583</v>
      </c>
      <c r="I16796" s="20">
        <v>-1.1906609700514299</v>
      </c>
      <c r="J16796" s="28">
        <v>0.233786705878682</v>
      </c>
      <c r="K16796" s="29">
        <v>0.98289565623980701</v>
      </c>
    </row>
    <row r="16797" spans="1:11" x14ac:dyDescent="0.35">
      <c r="A16797" s="9" t="str">
        <f>HYPERLINK("http://www.ensembl.org/id/WBGene00022077", "WBGene00022077")</f>
        <v>WBGene00022077</v>
      </c>
      <c r="B16797" s="9" t="str">
        <f>HYPERLINK("http://www.ncbi.nlm.nih.gov/gene/177041", "177041")</f>
        <v>177041</v>
      </c>
      <c r="C16797" s="9"/>
      <c r="D16797" t="str">
        <f>"vamp-7"</f>
        <v>vamp-7</v>
      </c>
      <c r="E16797" t="s">
        <v>3494</v>
      </c>
      <c r="F16797" t="s">
        <v>11</v>
      </c>
      <c r="G16797" t="s">
        <v>6202</v>
      </c>
      <c r="H16797" s="12">
        <v>-1.0629866676976101</v>
      </c>
      <c r="I16797" s="20">
        <v>-0.29646413227657997</v>
      </c>
      <c r="J16797" s="28">
        <v>0.76687565471157804</v>
      </c>
      <c r="K16797" s="29">
        <v>0.98289565623980701</v>
      </c>
    </row>
    <row r="16798" spans="1:11" x14ac:dyDescent="0.35">
      <c r="A16798" s="9" t="str">
        <f>HYPERLINK("http://www.ensembl.org/id/WBGene00006886", "WBGene00006886")</f>
        <v>WBGene00006886</v>
      </c>
      <c r="B16798" s="9" t="str">
        <f>HYPERLINK("http://www.ncbi.nlm.nih.gov/gene/181768", "181768")</f>
        <v>181768</v>
      </c>
      <c r="C16798" s="9"/>
      <c r="D16798" t="str">
        <f>"vap-1"</f>
        <v>vap-1</v>
      </c>
      <c r="E16798" t="s">
        <v>539</v>
      </c>
      <c r="F16798" t="s">
        <v>11</v>
      </c>
      <c r="G16798" t="s">
        <v>4870</v>
      </c>
      <c r="H16798" s="12">
        <v>1.32477731763212</v>
      </c>
      <c r="I16798" s="20">
        <v>1.01172166154162</v>
      </c>
      <c r="J16798" s="28">
        <v>0.31167115536795598</v>
      </c>
      <c r="K16798" s="29">
        <v>0.98289565623980701</v>
      </c>
    </row>
    <row r="16799" spans="1:11" x14ac:dyDescent="0.35">
      <c r="A16799" s="9" t="str">
        <f>HYPERLINK("http://www.ensembl.org/id/WBGene00006935", "WBGene00006935")</f>
        <v>WBGene00006935</v>
      </c>
      <c r="B16799" s="9" t="str">
        <f>HYPERLINK("http://www.ncbi.nlm.nih.gov/gene/179184", "179184")</f>
        <v>179184</v>
      </c>
      <c r="C16799" s="9"/>
      <c r="D16799" t="str">
        <f>"vars-1"</f>
        <v>vars-1</v>
      </c>
      <c r="E16799" t="s">
        <v>9108</v>
      </c>
      <c r="F16799" t="s">
        <v>11</v>
      </c>
      <c r="G16799" t="s">
        <v>9109</v>
      </c>
      <c r="H16799" s="12">
        <v>-1.2213263324947199</v>
      </c>
      <c r="I16799" s="20">
        <v>-0.90030388888706303</v>
      </c>
      <c r="J16799" s="28">
        <v>0.36795855210838602</v>
      </c>
      <c r="K16799" s="29">
        <v>0.98289565623980701</v>
      </c>
    </row>
    <row r="16800" spans="1:11" x14ac:dyDescent="0.35">
      <c r="A16800" s="9" t="str">
        <f>HYPERLINK("http://www.ensembl.org/id/WBGene00006887", "WBGene00006887")</f>
        <v>WBGene00006887</v>
      </c>
      <c r="B16800" s="9" t="str">
        <f>HYPERLINK("http://www.ncbi.nlm.nih.gov/gene/181153", "181153")</f>
        <v>181153</v>
      </c>
      <c r="C16800" s="9" t="str">
        <f>HYPERLINK("http://www.ncbi.nlm.nih.gov/gene/10451", "10451")</f>
        <v>10451</v>
      </c>
      <c r="D16800" t="str">
        <f>"vav-1"</f>
        <v>vav-1</v>
      </c>
      <c r="F16800" t="s">
        <v>11</v>
      </c>
      <c r="G16800" t="s">
        <v>5895</v>
      </c>
      <c r="H16800" s="12">
        <v>1.0883475464480299</v>
      </c>
      <c r="I16800" s="20">
        <v>0.44023162601105298</v>
      </c>
      <c r="J16800" s="28">
        <v>0.65976935615449706</v>
      </c>
      <c r="K16800" s="29">
        <v>0.98289565623980701</v>
      </c>
    </row>
    <row r="16801" spans="1:11" x14ac:dyDescent="0.35">
      <c r="A16801" s="9" t="str">
        <f>HYPERLINK("http://www.ensembl.org/id/WBGene00044150", "WBGene00044150")</f>
        <v>WBGene00044150</v>
      </c>
      <c r="B16801" s="9" t="str">
        <f>HYPERLINK("http://www.ncbi.nlm.nih.gov/gene/3564909", "3564909")</f>
        <v>3564909</v>
      </c>
      <c r="C16801" s="9"/>
      <c r="D16801" t="str">
        <f>"VB0395L.1"</f>
        <v>VB0395L.1</v>
      </c>
      <c r="F16801" t="s">
        <v>11</v>
      </c>
      <c r="G16801" t="s">
        <v>4693</v>
      </c>
      <c r="H16801" s="12">
        <v>1.4905046579461101</v>
      </c>
      <c r="I16801" s="20">
        <v>0.59631043336343204</v>
      </c>
      <c r="J16801" s="28">
        <v>0.55096786236849604</v>
      </c>
      <c r="K16801" s="29">
        <v>0.98289565623980701</v>
      </c>
    </row>
    <row r="16802" spans="1:11" x14ac:dyDescent="0.35">
      <c r="A16802" s="9" t="str">
        <f>HYPERLINK("http://www.ensembl.org/id/WBGene00196333", "WBGene00196333")</f>
        <v>WBGene00196333</v>
      </c>
      <c r="B16802" s="9"/>
      <c r="C16802" s="9"/>
      <c r="D16802" t="str">
        <f>"VB0395L.3"</f>
        <v>VB0395L.3</v>
      </c>
      <c r="F16802" t="s">
        <v>481</v>
      </c>
      <c r="H16802" s="12">
        <v>3.5227018545059199</v>
      </c>
      <c r="I16802" s="20">
        <v>0.36849691206929103</v>
      </c>
      <c r="J16802" s="28">
        <v>0.71250274722433404</v>
      </c>
      <c r="K16802" s="29">
        <v>0.98289565623980701</v>
      </c>
    </row>
    <row r="16803" spans="1:11" x14ac:dyDescent="0.35">
      <c r="A16803" s="9" t="str">
        <f>HYPERLINK("http://www.ensembl.org/id/WBGene00006888", "WBGene00006888")</f>
        <v>WBGene00006888</v>
      </c>
      <c r="B16803" s="9" t="str">
        <f>HYPERLINK("http://www.ncbi.nlm.nih.gov/gene/171888", "171888")</f>
        <v>171888</v>
      </c>
      <c r="C16803" s="9" t="str">
        <f>HYPERLINK("http://www.ncbi.nlm.nih.gov/gene/8653", "8653")</f>
        <v>8653</v>
      </c>
      <c r="D16803" t="str">
        <f>"vbh-1"</f>
        <v>vbh-1</v>
      </c>
      <c r="E16803" t="s">
        <v>9353</v>
      </c>
      <c r="F16803" t="s">
        <v>11</v>
      </c>
      <c r="G16803" t="s">
        <v>9354</v>
      </c>
      <c r="H16803" s="12">
        <v>-1.2405611113678201</v>
      </c>
      <c r="I16803" s="20">
        <v>-1.1895390753672599</v>
      </c>
      <c r="J16803" s="28">
        <v>0.23422760401019399</v>
      </c>
      <c r="K16803" s="29">
        <v>0.98289565623980701</v>
      </c>
    </row>
    <row r="16804" spans="1:11" x14ac:dyDescent="0.35">
      <c r="A16804" s="9" t="str">
        <f>HYPERLINK("http://www.ensembl.org/id/WBGene00020908", "WBGene00020908")</f>
        <v>WBGene00020908</v>
      </c>
      <c r="B16804" s="9" t="str">
        <f>HYPERLINK("http://www.ncbi.nlm.nih.gov/gene/179097", "179097")</f>
        <v>179097</v>
      </c>
      <c r="C16804" s="9"/>
      <c r="D16804" t="str">
        <f>"VC5.2"</f>
        <v>VC5.2</v>
      </c>
      <c r="F16804" t="s">
        <v>11</v>
      </c>
      <c r="H16804" s="12">
        <v>1.05507767892203</v>
      </c>
      <c r="I16804" s="20">
        <v>0.26041161506719601</v>
      </c>
      <c r="J16804" s="28">
        <v>0.79454628442272801</v>
      </c>
      <c r="K16804" s="29">
        <v>0.98289565623980701</v>
      </c>
    </row>
    <row r="16805" spans="1:11" x14ac:dyDescent="0.35">
      <c r="A16805" s="9" t="str">
        <f>HYPERLINK("http://www.ensembl.org/id/WBGene00019900", "WBGene00019900")</f>
        <v>WBGene00019900</v>
      </c>
      <c r="B16805" s="9" t="str">
        <f>HYPERLINK("http://www.ncbi.nlm.nih.gov/gene/177524", "177524")</f>
        <v>177524</v>
      </c>
      <c r="C16805" s="9" t="str">
        <f>HYPERLINK("http://www.ncbi.nlm.nih.gov/gene/7417", "7417")</f>
        <v>7417</v>
      </c>
      <c r="D16805" t="str">
        <f>"vdac-1"</f>
        <v>vdac-1</v>
      </c>
      <c r="E16805" t="s">
        <v>6729</v>
      </c>
      <c r="F16805" t="s">
        <v>11</v>
      </c>
      <c r="G16805" t="s">
        <v>6730</v>
      </c>
      <c r="H16805" s="12">
        <v>-1.08621908870624</v>
      </c>
      <c r="I16805" s="20">
        <v>-0.44619292139733202</v>
      </c>
      <c r="J16805" s="28">
        <v>0.65545789568873203</v>
      </c>
      <c r="K16805" s="29">
        <v>0.98289565623980701</v>
      </c>
    </row>
    <row r="16806" spans="1:11" x14ac:dyDescent="0.35">
      <c r="A16806" s="9" t="str">
        <f>HYPERLINK("http://www.ensembl.org/id/WBGene00006890", "WBGene00006890")</f>
        <v>WBGene00006890</v>
      </c>
      <c r="B16806" s="9" t="str">
        <f>HYPERLINK("http://www.ncbi.nlm.nih.gov/gene/181066", "181066")</f>
        <v>181066</v>
      </c>
      <c r="C16806" s="9" t="str">
        <f>HYPERLINK("http://www.ncbi.nlm.nih.gov/gene/10857", "10857")</f>
        <v>10857</v>
      </c>
      <c r="D16806" t="str">
        <f>"vem-1"</f>
        <v>vem-1</v>
      </c>
      <c r="F16806" t="s">
        <v>11</v>
      </c>
      <c r="G16806" t="s">
        <v>5883</v>
      </c>
      <c r="H16806" s="12">
        <v>1.09001780491385</v>
      </c>
      <c r="I16806" s="20">
        <v>0.44220166376131298</v>
      </c>
      <c r="J16806" s="28">
        <v>0.65834328223386596</v>
      </c>
      <c r="K16806" s="29">
        <v>0.98289565623980701</v>
      </c>
    </row>
    <row r="16807" spans="1:11" x14ac:dyDescent="0.35">
      <c r="A16807" s="9" t="str">
        <f>HYPERLINK("http://www.ensembl.org/id/WBGene00006894", "WBGene00006894")</f>
        <v>WBGene00006894</v>
      </c>
      <c r="B16807" s="9" t="str">
        <f>HYPERLINK("http://www.ncbi.nlm.nih.gov/gene/175182", "175182")</f>
        <v>175182</v>
      </c>
      <c r="C16807" s="9"/>
      <c r="D16807" t="str">
        <f>"ver-1"</f>
        <v>ver-1</v>
      </c>
      <c r="F16807" t="s">
        <v>11</v>
      </c>
      <c r="G16807" t="s">
        <v>4850</v>
      </c>
      <c r="H16807" s="12">
        <v>1.3347907444059901</v>
      </c>
      <c r="I16807" s="20">
        <v>0.40317249909505398</v>
      </c>
      <c r="J16807" s="28">
        <v>0.68682132931347795</v>
      </c>
      <c r="K16807" s="29">
        <v>0.98289565623980701</v>
      </c>
    </row>
    <row r="16808" spans="1:11" x14ac:dyDescent="0.35">
      <c r="A16808" s="9" t="str">
        <f>HYPERLINK("http://www.ensembl.org/id/WBGene00006895", "WBGene00006895")</f>
        <v>WBGene00006895</v>
      </c>
      <c r="B16808" s="9"/>
      <c r="C16808" s="9"/>
      <c r="D16808" t="str">
        <f>"ver-2"</f>
        <v>ver-2</v>
      </c>
      <c r="F16808" t="s">
        <v>80</v>
      </c>
      <c r="H16808" s="12">
        <v>3.5239874560944902</v>
      </c>
      <c r="I16808" s="20">
        <v>0.509496243098849</v>
      </c>
      <c r="J16808" s="28">
        <v>0.61040443102240705</v>
      </c>
      <c r="K16808" s="29">
        <v>0.98289565623980701</v>
      </c>
    </row>
    <row r="16809" spans="1:11" x14ac:dyDescent="0.35">
      <c r="A16809" s="9" t="str">
        <f>HYPERLINK("http://www.ensembl.org/id/WBGene00006896", "WBGene00006896")</f>
        <v>WBGene00006896</v>
      </c>
      <c r="B16809" s="9" t="str">
        <f>HYPERLINK("http://www.ncbi.nlm.nih.gov/gene/181289", "181289")</f>
        <v>181289</v>
      </c>
      <c r="C16809" s="9"/>
      <c r="D16809" t="str">
        <f>"ver-3"</f>
        <v>ver-3</v>
      </c>
      <c r="E16809" t="s">
        <v>5306</v>
      </c>
      <c r="F16809" t="s">
        <v>11</v>
      </c>
      <c r="G16809" t="s">
        <v>5307</v>
      </c>
      <c r="H16809" s="12">
        <v>1.19141060211273</v>
      </c>
      <c r="I16809" s="20">
        <v>0.93099266185198903</v>
      </c>
      <c r="J16809" s="28">
        <v>0.35185736005437701</v>
      </c>
      <c r="K16809" s="29">
        <v>0.98289565623980701</v>
      </c>
    </row>
    <row r="16810" spans="1:11" x14ac:dyDescent="0.35">
      <c r="A16810" s="9" t="str">
        <f>HYPERLINK("http://www.ensembl.org/id/WBGene00006897", "WBGene00006897")</f>
        <v>WBGene00006897</v>
      </c>
      <c r="B16810" s="9" t="str">
        <f>HYPERLINK("http://www.ncbi.nlm.nih.gov/gene/186632", "186632")</f>
        <v>186632</v>
      </c>
      <c r="C16810" s="9"/>
      <c r="D16810" t="str">
        <f>"ver-4"</f>
        <v>ver-4</v>
      </c>
      <c r="E16810" t="s">
        <v>9907</v>
      </c>
      <c r="F16810" t="s">
        <v>11</v>
      </c>
      <c r="G16810" t="s">
        <v>5307</v>
      </c>
      <c r="H16810" s="12">
        <v>-1.3663098259279201</v>
      </c>
      <c r="I16810" s="20">
        <v>-0.62355354127993801</v>
      </c>
      <c r="J16810" s="28">
        <v>0.532920829604835</v>
      </c>
      <c r="K16810" s="29">
        <v>0.98289565623980701</v>
      </c>
    </row>
    <row r="16811" spans="1:11" x14ac:dyDescent="0.35">
      <c r="A16811" s="9" t="str">
        <f>HYPERLINK("http://www.ensembl.org/id/WBGene00020261", "WBGene00020261")</f>
        <v>WBGene00020261</v>
      </c>
      <c r="B16811" s="9" t="str">
        <f>HYPERLINK("http://www.ncbi.nlm.nih.gov/gene/172308", "172308")</f>
        <v>172308</v>
      </c>
      <c r="C16811" s="9"/>
      <c r="D16811" t="str">
        <f>"vet-1"</f>
        <v>vet-1</v>
      </c>
      <c r="E16811" t="s">
        <v>9983</v>
      </c>
      <c r="F16811" t="s">
        <v>11</v>
      </c>
      <c r="H16811" s="12">
        <v>-1.5715982626310401</v>
      </c>
      <c r="I16811" s="20">
        <v>-0.44821823988201198</v>
      </c>
      <c r="J16811" s="28">
        <v>0.65399570020890296</v>
      </c>
      <c r="K16811" s="29">
        <v>0.98289565623980701</v>
      </c>
    </row>
    <row r="16812" spans="1:11" x14ac:dyDescent="0.35">
      <c r="A16812" s="9" t="str">
        <f>HYPERLINK("http://www.ensembl.org/id/WBGene00006902", "WBGene00006902")</f>
        <v>WBGene00006902</v>
      </c>
      <c r="B16812" s="9" t="str">
        <f>HYPERLINK("http://www.ncbi.nlm.nih.gov/gene/173191", "173191")</f>
        <v>173191</v>
      </c>
      <c r="C16812" s="9"/>
      <c r="D16812" t="str">
        <f>"vet-6"</f>
        <v>vet-6</v>
      </c>
      <c r="E16812" t="s">
        <v>9983</v>
      </c>
      <c r="F16812" t="s">
        <v>11</v>
      </c>
      <c r="G16812" t="s">
        <v>10005</v>
      </c>
      <c r="H16812" s="12">
        <v>-1.6852005791979801</v>
      </c>
      <c r="I16812" s="20">
        <v>-0.42801538392213601</v>
      </c>
      <c r="J16812" s="28">
        <v>0.66863992013637896</v>
      </c>
      <c r="K16812" s="29">
        <v>0.98289565623980701</v>
      </c>
    </row>
    <row r="16813" spans="1:11" x14ac:dyDescent="0.35">
      <c r="A16813" s="9" t="str">
        <f>HYPERLINK("http://www.ensembl.org/id/WBGene00201458", "WBGene00201458")</f>
        <v>WBGene00201458</v>
      </c>
      <c r="B16813" s="9"/>
      <c r="C16813" s="9"/>
      <c r="D16813" t="str">
        <f>"VF15C11L.2"</f>
        <v>VF15C11L.2</v>
      </c>
      <c r="F16813" t="s">
        <v>481</v>
      </c>
      <c r="H16813" s="12">
        <v>1.40146590034818</v>
      </c>
      <c r="I16813" s="20">
        <v>0.44056603129122202</v>
      </c>
      <c r="J16813" s="28">
        <v>0.65952719903961998</v>
      </c>
      <c r="K16813" s="29">
        <v>0.98289565623980701</v>
      </c>
    </row>
    <row r="16814" spans="1:11" x14ac:dyDescent="0.35">
      <c r="A16814" s="9" t="str">
        <f>HYPERLINK("http://www.ensembl.org/id/WBGene00006919", "WBGene00006919")</f>
        <v>WBGene00006919</v>
      </c>
      <c r="B16814" s="9" t="str">
        <f>HYPERLINK("http://www.ncbi.nlm.nih.gov/gene/172216", "172216")</f>
        <v>172216</v>
      </c>
      <c r="C16814" s="9" t="str">
        <f>HYPERLINK("http://www.ncbi.nlm.nih.gov/gene/9550", "9550")</f>
        <v>9550</v>
      </c>
      <c r="D16814" t="str">
        <f>"vha-10"</f>
        <v>vha-10</v>
      </c>
      <c r="E16814" t="s">
        <v>5781</v>
      </c>
      <c r="F16814" t="s">
        <v>11</v>
      </c>
      <c r="G16814" t="s">
        <v>5782</v>
      </c>
      <c r="H16814" s="12">
        <v>1.10392714761123</v>
      </c>
      <c r="I16814" s="20">
        <v>0.51301845128845203</v>
      </c>
      <c r="J16814" s="28">
        <v>0.60793841390141101</v>
      </c>
      <c r="K16814" s="29">
        <v>0.98289565623980701</v>
      </c>
    </row>
    <row r="16815" spans="1:11" x14ac:dyDescent="0.35">
      <c r="A16815" s="9" t="str">
        <f>HYPERLINK("http://www.ensembl.org/id/WBGene00006921", "WBGene00006921")</f>
        <v>WBGene00006921</v>
      </c>
      <c r="B16815" s="9" t="str">
        <f>HYPERLINK("http://www.ncbi.nlm.nih.gov/gene/180692", "180692")</f>
        <v>180692</v>
      </c>
      <c r="C16815" s="9" t="str">
        <f>HYPERLINK("http://www.ncbi.nlm.nih.gov/gene/525", "525")</f>
        <v>525</v>
      </c>
      <c r="D16815" t="str">
        <f>"vha-12"</f>
        <v>vha-12</v>
      </c>
      <c r="E16815" t="s">
        <v>5900</v>
      </c>
      <c r="F16815" t="s">
        <v>11</v>
      </c>
      <c r="G16815" t="s">
        <v>5901</v>
      </c>
      <c r="H16815" s="12">
        <v>1.0867246391711001</v>
      </c>
      <c r="I16815" s="20">
        <v>0.41929694188571198</v>
      </c>
      <c r="J16815" s="28">
        <v>0.67499913126260702</v>
      </c>
      <c r="K16815" s="29">
        <v>0.98289565623980701</v>
      </c>
    </row>
    <row r="16816" spans="1:11" x14ac:dyDescent="0.35">
      <c r="A16816" s="9" t="str">
        <f>HYPERLINK("http://www.ensembl.org/id/WBGene00010130", "WBGene00010130")</f>
        <v>WBGene00010130</v>
      </c>
      <c r="B16816" s="9" t="str">
        <f>HYPERLINK("http://www.ncbi.nlm.nih.gov/gene/176338", "176338")</f>
        <v>176338</v>
      </c>
      <c r="C16816" s="9" t="str">
        <f>HYPERLINK("http://www.ncbi.nlm.nih.gov/gene/51382", "51382")</f>
        <v>51382</v>
      </c>
      <c r="D16816" t="str">
        <f>"vha-14"</f>
        <v>vha-14</v>
      </c>
      <c r="E16816" t="s">
        <v>6022</v>
      </c>
      <c r="F16816" t="s">
        <v>11</v>
      </c>
      <c r="G16816" t="s">
        <v>6023</v>
      </c>
      <c r="H16816" s="12">
        <v>1.0720437475239299</v>
      </c>
      <c r="I16816" s="20">
        <v>0.36923885427944297</v>
      </c>
      <c r="J16816" s="28">
        <v>0.71194969732785696</v>
      </c>
      <c r="K16816" s="29">
        <v>0.98289565623980701</v>
      </c>
    </row>
    <row r="16817" spans="1:11" x14ac:dyDescent="0.35">
      <c r="A16817" s="9" t="str">
        <f>HYPERLINK("http://www.ensembl.org/id/WBGene00020507", "WBGene00020507")</f>
        <v>WBGene00020507</v>
      </c>
      <c r="B16817" s="9" t="str">
        <f>HYPERLINK("http://www.ncbi.nlm.nih.gov/gene/180534", "180534")</f>
        <v>180534</v>
      </c>
      <c r="C16817" s="9" t="str">
        <f>HYPERLINK("http://www.ncbi.nlm.nih.gov/gene/51606", "51606")</f>
        <v>51606</v>
      </c>
      <c r="D16817" t="str">
        <f>"vha-15"</f>
        <v>vha-15</v>
      </c>
      <c r="E16817" t="s">
        <v>6035</v>
      </c>
      <c r="F16817" t="s">
        <v>11</v>
      </c>
      <c r="G16817" t="s">
        <v>302</v>
      </c>
      <c r="H16817" s="12">
        <v>1.07070234556059</v>
      </c>
      <c r="I16817" s="20">
        <v>0.35946636876026999</v>
      </c>
      <c r="J16817" s="28">
        <v>0.71924623263854903</v>
      </c>
      <c r="K16817" s="29">
        <v>0.98289565623980701</v>
      </c>
    </row>
    <row r="16818" spans="1:11" x14ac:dyDescent="0.35">
      <c r="A16818" s="9" t="str">
        <f>HYPERLINK("http://www.ensembl.org/id/WBGene00010993", "WBGene00010993")</f>
        <v>WBGene00010993</v>
      </c>
      <c r="B16818" s="9" t="str">
        <f>HYPERLINK("http://www.ncbi.nlm.nih.gov/gene/181526", "181526")</f>
        <v>181526</v>
      </c>
      <c r="C16818" s="9"/>
      <c r="D16818" t="str">
        <f>"vha-20"</f>
        <v>vha-20</v>
      </c>
      <c r="E16818" t="s">
        <v>5520</v>
      </c>
      <c r="F16818" t="s">
        <v>11</v>
      </c>
      <c r="G16818" t="s">
        <v>6127</v>
      </c>
      <c r="H16818" s="12">
        <v>1.05523903645743</v>
      </c>
      <c r="I16818" s="20">
        <v>0.28930593165870999</v>
      </c>
      <c r="J16818" s="28">
        <v>0.77234727350838295</v>
      </c>
      <c r="K16818" s="29">
        <v>0.98289565623980701</v>
      </c>
    </row>
    <row r="16819" spans="1:11" x14ac:dyDescent="0.35">
      <c r="A16819" s="9" t="str">
        <f>HYPERLINK("http://www.ensembl.org/id/WBGene00006912", "WBGene00006912")</f>
        <v>WBGene00006912</v>
      </c>
      <c r="B16819" s="9" t="str">
        <f>HYPERLINK("http://www.ncbi.nlm.nih.gov/gene/177018", "177018")</f>
        <v>177018</v>
      </c>
      <c r="C16819" s="9" t="str">
        <f>HYPERLINK("http://www.ncbi.nlm.nih.gov/gene/527", "527")</f>
        <v>527</v>
      </c>
      <c r="D16819" t="str">
        <f>"vha-3"</f>
        <v>vha-3</v>
      </c>
      <c r="E16819" t="s">
        <v>5672</v>
      </c>
      <c r="F16819" t="s">
        <v>11</v>
      </c>
      <c r="G16819" t="s">
        <v>5673</v>
      </c>
      <c r="H16819" s="12">
        <v>1.1253829381182601</v>
      </c>
      <c r="I16819" s="20">
        <v>0.61718576092922395</v>
      </c>
      <c r="J16819" s="28">
        <v>0.53711220657035197</v>
      </c>
      <c r="K16819" s="29">
        <v>0.98289565623980701</v>
      </c>
    </row>
    <row r="16820" spans="1:11" x14ac:dyDescent="0.35">
      <c r="A16820" s="9" t="str">
        <f>HYPERLINK("http://www.ensembl.org/id/WBGene00006917", "WBGene00006917")</f>
        <v>WBGene00006917</v>
      </c>
      <c r="B16820" s="9" t="str">
        <f>HYPERLINK("http://www.ncbi.nlm.nih.gov/gene/177442", "177442")</f>
        <v>177442</v>
      </c>
      <c r="C16820" s="9" t="str">
        <f>HYPERLINK("http://www.ncbi.nlm.nih.gov/gene/529", "529")</f>
        <v>529</v>
      </c>
      <c r="D16820" t="str">
        <f>"vha-8"</f>
        <v>vha-8</v>
      </c>
      <c r="E16820" t="s">
        <v>5520</v>
      </c>
      <c r="F16820" t="s">
        <v>11</v>
      </c>
      <c r="G16820" t="s">
        <v>5521</v>
      </c>
      <c r="H16820" s="12">
        <v>1.15112393578199</v>
      </c>
      <c r="I16820" s="20">
        <v>0.73945196521590895</v>
      </c>
      <c r="J16820" s="28">
        <v>0.45963259751251501</v>
      </c>
      <c r="K16820" s="29">
        <v>0.98289565623980701</v>
      </c>
    </row>
    <row r="16821" spans="1:11" x14ac:dyDescent="0.35">
      <c r="A16821" s="9" t="str">
        <f>HYPERLINK("http://www.ensembl.org/id/WBGene00006922", "WBGene00006922")</f>
        <v>WBGene00006922</v>
      </c>
      <c r="B16821" s="9" t="str">
        <f>HYPERLINK("http://www.ncbi.nlm.nih.gov/gene/181321", "181321")</f>
        <v>181321</v>
      </c>
      <c r="C16821" s="9"/>
      <c r="D16821" t="str">
        <f>"vhl-1"</f>
        <v>vhl-1</v>
      </c>
      <c r="E16821" t="s">
        <v>5762</v>
      </c>
      <c r="F16821" t="s">
        <v>11</v>
      </c>
      <c r="G16821" t="s">
        <v>5763</v>
      </c>
      <c r="H16821" s="12">
        <v>1.10819889366053</v>
      </c>
      <c r="I16821" s="20">
        <v>0.429599081564081</v>
      </c>
      <c r="J16821" s="28">
        <v>0.66748730529865496</v>
      </c>
      <c r="K16821" s="29">
        <v>0.98289565623980701</v>
      </c>
    </row>
    <row r="16822" spans="1:11" x14ac:dyDescent="0.35">
      <c r="A16822" s="9" t="str">
        <f>HYPERLINK("http://www.ensembl.org/id/WBGene00006923", "WBGene00006923")</f>
        <v>WBGene00006923</v>
      </c>
      <c r="B16822" s="9" t="str">
        <f>HYPERLINK("http://www.ncbi.nlm.nih.gov/gene/173904", "173904")</f>
        <v>173904</v>
      </c>
      <c r="C16822" s="9"/>
      <c r="D16822" t="str">
        <f>"vhp-1"</f>
        <v>vhp-1</v>
      </c>
      <c r="E16822" t="s">
        <v>8812</v>
      </c>
      <c r="F16822" t="s">
        <v>11</v>
      </c>
      <c r="G16822" t="s">
        <v>8813</v>
      </c>
      <c r="H16822" s="12">
        <v>-1.198840932355</v>
      </c>
      <c r="I16822" s="20">
        <v>-1.0073799300012201</v>
      </c>
      <c r="J16822" s="28">
        <v>0.31375223226520299</v>
      </c>
      <c r="K16822" s="29">
        <v>0.98289565623980701</v>
      </c>
    </row>
    <row r="16823" spans="1:11" x14ac:dyDescent="0.35">
      <c r="A16823" s="9" t="str">
        <f>HYPERLINK("http://www.ensembl.org/id/WBGene00015691", "WBGene00015691")</f>
        <v>WBGene00015691</v>
      </c>
      <c r="B16823" s="9" t="str">
        <f>HYPERLINK("http://www.ncbi.nlm.nih.gov/gene/172089", "172089")</f>
        <v>172089</v>
      </c>
      <c r="C16823" s="9"/>
      <c r="D16823" t="str">
        <f>"viln-1"</f>
        <v>viln-1</v>
      </c>
      <c r="E16823" t="s">
        <v>8995</v>
      </c>
      <c r="F16823" t="s">
        <v>11</v>
      </c>
      <c r="G16823" t="s">
        <v>8996</v>
      </c>
      <c r="H16823" s="12">
        <v>-1.21232062734947</v>
      </c>
      <c r="I16823" s="20">
        <v>-1.0177807102304099</v>
      </c>
      <c r="J16823" s="28">
        <v>0.30878218110185901</v>
      </c>
      <c r="K16823" s="29">
        <v>0.98289565623980701</v>
      </c>
    </row>
    <row r="16824" spans="1:11" x14ac:dyDescent="0.35">
      <c r="A16824" s="9" t="str">
        <f>HYPERLINK("http://www.ensembl.org/id/WBGene00015107", "WBGene00015107")</f>
        <v>WBGene00015107</v>
      </c>
      <c r="B16824" s="9" t="str">
        <f>HYPERLINK("http://www.ncbi.nlm.nih.gov/gene/3565684", "3565684")</f>
        <v>3565684</v>
      </c>
      <c r="C16824" s="9"/>
      <c r="D16824" t="str">
        <f>"viro-2"</f>
        <v>viro-2</v>
      </c>
      <c r="E16824" t="s">
        <v>7656</v>
      </c>
      <c r="F16824" t="s">
        <v>11</v>
      </c>
      <c r="H16824" s="12">
        <v>-1.13784580850864</v>
      </c>
      <c r="I16824" s="20">
        <v>-0.47670312867047898</v>
      </c>
      <c r="J16824" s="28">
        <v>0.63357353467672595</v>
      </c>
      <c r="K16824" s="29">
        <v>0.98289565623980701</v>
      </c>
    </row>
    <row r="16825" spans="1:11" x14ac:dyDescent="0.35">
      <c r="A16825" s="9" t="str">
        <f>HYPERLINK("http://www.ensembl.org/id/WBGene00006927", "WBGene00006927")</f>
        <v>WBGene00006927</v>
      </c>
      <c r="B16825" s="9" t="str">
        <f>HYPERLINK("http://www.ncbi.nlm.nih.gov/gene/24104675", "24104675")</f>
        <v>24104675</v>
      </c>
      <c r="C16825" s="9"/>
      <c r="D16825" t="str">
        <f>"vit-3"</f>
        <v>vit-3</v>
      </c>
      <c r="E16825" t="s">
        <v>5879</v>
      </c>
      <c r="F16825" t="s">
        <v>11</v>
      </c>
      <c r="G16825" t="s">
        <v>5237</v>
      </c>
      <c r="H16825" s="12">
        <v>1.0908157909782099</v>
      </c>
      <c r="I16825" s="20">
        <v>0.43859389494856799</v>
      </c>
      <c r="J16825" s="28">
        <v>0.66095582146017895</v>
      </c>
      <c r="K16825" s="29">
        <v>0.98289565623980701</v>
      </c>
    </row>
    <row r="16826" spans="1:11" x14ac:dyDescent="0.35">
      <c r="A16826" s="9" t="str">
        <f>HYPERLINK("http://www.ensembl.org/id/WBGene00006928", "WBGene00006928")</f>
        <v>WBGene00006928</v>
      </c>
      <c r="B16826" s="9" t="str">
        <f>HYPERLINK("http://www.ncbi.nlm.nih.gov/gene/180646", "180646")</f>
        <v>180646</v>
      </c>
      <c r="C16826" s="9"/>
      <c r="D16826" t="str">
        <f>"vit-4"</f>
        <v>vit-4</v>
      </c>
      <c r="E16826" t="s">
        <v>5236</v>
      </c>
      <c r="F16826" t="s">
        <v>11</v>
      </c>
      <c r="G16826" t="s">
        <v>5237</v>
      </c>
      <c r="H16826" s="12">
        <v>1.20910336463696</v>
      </c>
      <c r="I16826" s="20">
        <v>0.907469479994096</v>
      </c>
      <c r="J16826" s="28">
        <v>0.36415858183531302</v>
      </c>
      <c r="K16826" s="29">
        <v>0.98289565623980701</v>
      </c>
    </row>
    <row r="16827" spans="1:11" x14ac:dyDescent="0.35">
      <c r="A16827" s="9" t="str">
        <f>HYPERLINK("http://www.ensembl.org/id/WBGene00006929", "WBGene00006929")</f>
        <v>WBGene00006929</v>
      </c>
      <c r="B16827" s="9" t="str">
        <f>HYPERLINK("http://www.ncbi.nlm.nih.gov/gene/180630", "180630")</f>
        <v>180630</v>
      </c>
      <c r="C16827" s="9"/>
      <c r="D16827" t="str">
        <f>"vit-5"</f>
        <v>vit-5</v>
      </c>
      <c r="E16827" t="s">
        <v>6707</v>
      </c>
      <c r="F16827" t="s">
        <v>11</v>
      </c>
      <c r="G16827" t="s">
        <v>5237</v>
      </c>
      <c r="H16827" s="12">
        <v>-1.08561760700957</v>
      </c>
      <c r="I16827" s="20">
        <v>-0.46563508632619399</v>
      </c>
      <c r="J16827" s="28">
        <v>0.64147672408122003</v>
      </c>
      <c r="K16827" s="29">
        <v>0.98289565623980701</v>
      </c>
    </row>
    <row r="16828" spans="1:11" x14ac:dyDescent="0.35">
      <c r="A16828" s="9" t="str">
        <f>HYPERLINK("http://www.ensembl.org/id/WBGene00006930", "WBGene00006930")</f>
        <v>WBGene00006930</v>
      </c>
      <c r="B16828" s="9" t="str">
        <f>HYPERLINK("http://www.ncbi.nlm.nih.gov/gene/177619", "177619")</f>
        <v>177619</v>
      </c>
      <c r="C16828" s="9"/>
      <c r="D16828" t="str">
        <f>"vit-6"</f>
        <v>vit-6</v>
      </c>
      <c r="E16828" t="s">
        <v>5310</v>
      </c>
      <c r="F16828" t="s">
        <v>11</v>
      </c>
      <c r="G16828" t="s">
        <v>5311</v>
      </c>
      <c r="H16828" s="12">
        <v>1.1906815772820001</v>
      </c>
      <c r="I16828" s="20">
        <v>0.99101103561503801</v>
      </c>
      <c r="J16828" s="28">
        <v>0.32168019164178602</v>
      </c>
      <c r="K16828" s="29">
        <v>0.98289565623980701</v>
      </c>
    </row>
    <row r="16829" spans="1:11" x14ac:dyDescent="0.35">
      <c r="A16829" s="9" t="str">
        <f>HYPERLINK("http://www.ensembl.org/id/WBGene00014848", "WBGene00014848")</f>
        <v>WBGene00014848</v>
      </c>
      <c r="B16829" s="9" t="str">
        <f>HYPERLINK("http://www.ncbi.nlm.nih.gov/gene/24104964", "24104964")</f>
        <v>24104964</v>
      </c>
      <c r="C16829" s="9"/>
      <c r="D16829" t="str">
        <f>"VM106R.1"</f>
        <v>VM106R.1</v>
      </c>
      <c r="F16829" t="s">
        <v>11</v>
      </c>
      <c r="G16829" t="s">
        <v>5753</v>
      </c>
      <c r="H16829" s="12">
        <v>1.10914926710032</v>
      </c>
      <c r="I16829" s="20">
        <v>0.45496655119340301</v>
      </c>
      <c r="J16829" s="28">
        <v>0.64913330290610105</v>
      </c>
      <c r="K16829" s="29">
        <v>0.98289565623980701</v>
      </c>
    </row>
    <row r="16830" spans="1:11" x14ac:dyDescent="0.35">
      <c r="A16830" s="9" t="str">
        <f>HYPERLINK("http://www.ensembl.org/id/WBGene00018860", "WBGene00018860")</f>
        <v>WBGene00018860</v>
      </c>
      <c r="B16830" s="9" t="str">
        <f>HYPERLINK("http://www.ncbi.nlm.nih.gov/gene/180457", "180457")</f>
        <v>180457</v>
      </c>
      <c r="C16830" s="9" t="str">
        <f>HYPERLINK("http://www.ncbi.nlm.nih.gov/gene/116843", "116843")</f>
        <v>116843</v>
      </c>
      <c r="D16830" t="str">
        <f>"vpat-1"</f>
        <v>vpat-1</v>
      </c>
      <c r="E16830" t="s">
        <v>8024</v>
      </c>
      <c r="F16830" t="s">
        <v>11</v>
      </c>
      <c r="G16830" t="s">
        <v>230</v>
      </c>
      <c r="H16830" s="12">
        <v>-1.1565987774050299</v>
      </c>
      <c r="I16830" s="20">
        <v>-0.66037973998198696</v>
      </c>
      <c r="J16830" s="28">
        <v>0.50901017025361806</v>
      </c>
      <c r="K16830" s="29">
        <v>0.98289565623980701</v>
      </c>
    </row>
    <row r="16831" spans="1:11" x14ac:dyDescent="0.35">
      <c r="A16831" s="9" t="str">
        <f>HYPERLINK("http://www.ensembl.org/id/WBGene00018008", "WBGene00018008")</f>
        <v>WBGene00018008</v>
      </c>
      <c r="B16831" s="9" t="str">
        <f>HYPERLINK("http://www.ncbi.nlm.nih.gov/gene/172259", "172259")</f>
        <v>172259</v>
      </c>
      <c r="C16831" s="9" t="str">
        <f>HYPERLINK("http://www.ncbi.nlm.nih.gov/gene/9217", "9217")</f>
        <v>9217</v>
      </c>
      <c r="D16831" t="str">
        <f>"vpr-1"</f>
        <v>vpr-1</v>
      </c>
      <c r="E16831" t="s">
        <v>899</v>
      </c>
      <c r="F16831" t="s">
        <v>11</v>
      </c>
      <c r="G16831" t="s">
        <v>8953</v>
      </c>
      <c r="H16831" s="12">
        <v>-1.2104782347549701</v>
      </c>
      <c r="I16831" s="20">
        <v>-1.0532825979660501</v>
      </c>
      <c r="J16831" s="28">
        <v>0.29221149211220998</v>
      </c>
      <c r="K16831" s="29">
        <v>0.98289565623980701</v>
      </c>
    </row>
    <row r="16832" spans="1:11" x14ac:dyDescent="0.35">
      <c r="A16832" s="9" t="str">
        <f>HYPERLINK("http://www.ensembl.org/id/WBGene00011067", "WBGene00011067")</f>
        <v>WBGene00011067</v>
      </c>
      <c r="B16832" s="9" t="str">
        <f>HYPERLINK("http://www.ncbi.nlm.nih.gov/gene/174661", "174661")</f>
        <v>174661</v>
      </c>
      <c r="C16832" s="9"/>
      <c r="D16832" t="str">
        <f>"vps-11"</f>
        <v>vps-11</v>
      </c>
      <c r="E16832" t="s">
        <v>9144</v>
      </c>
      <c r="F16832" t="s">
        <v>11</v>
      </c>
      <c r="G16832" t="s">
        <v>9145</v>
      </c>
      <c r="H16832" s="12">
        <v>-1.2243116973866699</v>
      </c>
      <c r="I16832" s="20">
        <v>-1.05486179952667</v>
      </c>
      <c r="J16832" s="28">
        <v>0.29148853549555798</v>
      </c>
      <c r="K16832" s="29">
        <v>0.98289565623980701</v>
      </c>
    </row>
    <row r="16833" spans="1:11" x14ac:dyDescent="0.35">
      <c r="A16833" s="9" t="str">
        <f>HYPERLINK("http://www.ensembl.org/id/WBGene00006516", "WBGene00006516")</f>
        <v>WBGene00006516</v>
      </c>
      <c r="B16833" s="9" t="str">
        <f>HYPERLINK("http://www.ncbi.nlm.nih.gov/gene/175913", "175913")</f>
        <v>175913</v>
      </c>
      <c r="C16833" s="9"/>
      <c r="D16833" t="str">
        <f>"vps-16"</f>
        <v>vps-16</v>
      </c>
      <c r="E16833" t="s">
        <v>8674</v>
      </c>
      <c r="F16833" t="s">
        <v>11</v>
      </c>
      <c r="G16833" t="s">
        <v>8675</v>
      </c>
      <c r="H16833" s="12">
        <v>-1.1901050638485999</v>
      </c>
      <c r="I16833" s="20">
        <v>-0.89441174208199203</v>
      </c>
      <c r="J16833" s="28">
        <v>0.37110163224838799</v>
      </c>
      <c r="K16833" s="29">
        <v>0.98289565623980701</v>
      </c>
    </row>
    <row r="16834" spans="1:11" x14ac:dyDescent="0.35">
      <c r="A16834" s="9" t="str">
        <f>HYPERLINK("http://www.ensembl.org/id/WBGene00021058", "WBGene00021058")</f>
        <v>WBGene00021058</v>
      </c>
      <c r="B16834" s="9" t="str">
        <f>HYPERLINK("http://www.ncbi.nlm.nih.gov/gene/173783", "173783")</f>
        <v>173783</v>
      </c>
      <c r="C16834" s="9"/>
      <c r="D16834" t="str">
        <f>"vps-18"</f>
        <v>vps-18</v>
      </c>
      <c r="E16834" t="s">
        <v>7866</v>
      </c>
      <c r="F16834" t="s">
        <v>11</v>
      </c>
      <c r="G16834" t="s">
        <v>7867</v>
      </c>
      <c r="H16834" s="12">
        <v>-1.14894520242688</v>
      </c>
      <c r="I16834" s="20">
        <v>-0.69767411678533497</v>
      </c>
      <c r="J16834" s="28">
        <v>0.48538101858878202</v>
      </c>
      <c r="K16834" s="29">
        <v>0.98289565623980701</v>
      </c>
    </row>
    <row r="16835" spans="1:11" x14ac:dyDescent="0.35">
      <c r="A16835" s="9" t="str">
        <f>HYPERLINK("http://www.ensembl.org/id/WBGene00012903", "WBGene00012903")</f>
        <v>WBGene00012903</v>
      </c>
      <c r="B16835" s="9" t="str">
        <f>HYPERLINK("http://www.ncbi.nlm.nih.gov/gene/174908", "174908")</f>
        <v>174908</v>
      </c>
      <c r="C16835" s="9" t="str">
        <f>HYPERLINK("http://www.ncbi.nlm.nih.gov/gene/27243", "27243")</f>
        <v>27243</v>
      </c>
      <c r="D16835" t="str">
        <f>"vps-2"</f>
        <v>vps-2</v>
      </c>
      <c r="E16835" t="s">
        <v>2992</v>
      </c>
      <c r="F16835" t="s">
        <v>11</v>
      </c>
      <c r="G16835" t="s">
        <v>7448</v>
      </c>
      <c r="H16835" s="12">
        <v>-1.1259844829267001</v>
      </c>
      <c r="I16835" s="20">
        <v>-0.63499117937215599</v>
      </c>
      <c r="J16835" s="28">
        <v>0.52543416782872998</v>
      </c>
      <c r="K16835" s="29">
        <v>0.98289565623980701</v>
      </c>
    </row>
    <row r="16836" spans="1:11" x14ac:dyDescent="0.35">
      <c r="A16836" s="9" t="str">
        <f>HYPERLINK("http://www.ensembl.org/id/WBGene00016167", "WBGene00016167")</f>
        <v>WBGene00016167</v>
      </c>
      <c r="B16836" s="9" t="str">
        <f>HYPERLINK("http://www.ncbi.nlm.nih.gov/gene/175672", "175672")</f>
        <v>175672</v>
      </c>
      <c r="C16836" s="9" t="str">
        <f>HYPERLINK("http://www.ncbi.nlm.nih.gov/gene/11267", "11267")</f>
        <v>11267</v>
      </c>
      <c r="D16836" t="str">
        <f>"vps-22"</f>
        <v>vps-22</v>
      </c>
      <c r="E16836" t="s">
        <v>8416</v>
      </c>
      <c r="F16836" t="s">
        <v>11</v>
      </c>
      <c r="G16836" t="s">
        <v>8417</v>
      </c>
      <c r="H16836" s="12">
        <v>-1.1761617497567201</v>
      </c>
      <c r="I16836" s="20">
        <v>-0.85279897187736797</v>
      </c>
      <c r="J16836" s="28">
        <v>0.39377079418035899</v>
      </c>
      <c r="K16836" s="29">
        <v>0.98289565623980701</v>
      </c>
    </row>
    <row r="16837" spans="1:11" x14ac:dyDescent="0.35">
      <c r="A16837" s="9" t="str">
        <f>HYPERLINK("http://www.ensembl.org/id/WBGene00020866", "WBGene00020866")</f>
        <v>WBGene00020866</v>
      </c>
      <c r="B16837" s="9" t="str">
        <f>HYPERLINK("http://www.ncbi.nlm.nih.gov/gene/173863", "173863")</f>
        <v>173863</v>
      </c>
      <c r="C16837" s="9" t="str">
        <f>HYPERLINK("http://www.ncbi.nlm.nih.gov/gene/51652", "51652")</f>
        <v>51652</v>
      </c>
      <c r="D16837" t="str">
        <f>"vps-24"</f>
        <v>vps-24</v>
      </c>
      <c r="E16837" t="s">
        <v>2992</v>
      </c>
      <c r="F16837" t="s">
        <v>11</v>
      </c>
      <c r="G16837" t="s">
        <v>8194</v>
      </c>
      <c r="H16837" s="12">
        <v>-1.22481956768032</v>
      </c>
      <c r="I16837" s="20">
        <v>-1.0742885331763301</v>
      </c>
      <c r="J16837" s="28">
        <v>0.28269338278078698</v>
      </c>
      <c r="K16837" s="29">
        <v>0.98289565623980701</v>
      </c>
    </row>
    <row r="16838" spans="1:11" x14ac:dyDescent="0.35">
      <c r="A16838" s="9" t="str">
        <f>HYPERLINK("http://www.ensembl.org/id/WBGene00012193", "WBGene00012193")</f>
        <v>WBGene00012193</v>
      </c>
      <c r="B16838" s="9" t="str">
        <f>HYPERLINK("http://www.ncbi.nlm.nih.gov/gene/173143", "173143")</f>
        <v>173143</v>
      </c>
      <c r="C16838" s="9" t="str">
        <f>HYPERLINK("http://www.ncbi.nlm.nih.gov/gene/84313", "84313")</f>
        <v>84313</v>
      </c>
      <c r="D16838" t="str">
        <f>"vps-25"</f>
        <v>vps-25</v>
      </c>
      <c r="E16838" t="s">
        <v>2992</v>
      </c>
      <c r="F16838" t="s">
        <v>11</v>
      </c>
      <c r="G16838" t="s">
        <v>6525</v>
      </c>
      <c r="H16838" s="12">
        <v>-1.0735498632948799</v>
      </c>
      <c r="I16838" s="20">
        <v>-0.35538642465724402</v>
      </c>
      <c r="J16838" s="28">
        <v>0.72230011753282197</v>
      </c>
      <c r="K16838" s="29">
        <v>0.98289565623980701</v>
      </c>
    </row>
    <row r="16839" spans="1:11" x14ac:dyDescent="0.35">
      <c r="A16839" s="9" t="str">
        <f>HYPERLINK("http://www.ensembl.org/id/WBGene00013598", "WBGene00013598")</f>
        <v>WBGene00013598</v>
      </c>
      <c r="B16839" s="9" t="str">
        <f>HYPERLINK("http://www.ncbi.nlm.nih.gov/gene/173229", "173229")</f>
        <v>173229</v>
      </c>
      <c r="C16839" s="9" t="str">
        <f>HYPERLINK("http://www.ncbi.nlm.nih.gov/gene/51160", "51160")</f>
        <v>51160</v>
      </c>
      <c r="D16839" t="str">
        <f>"vps-28"</f>
        <v>vps-28</v>
      </c>
      <c r="E16839" t="s">
        <v>9618</v>
      </c>
      <c r="F16839" t="s">
        <v>11</v>
      </c>
      <c r="G16839" t="s">
        <v>9619</v>
      </c>
      <c r="H16839" s="12">
        <v>-1.2651991309558801</v>
      </c>
      <c r="I16839" s="20">
        <v>-1.1846409953857699</v>
      </c>
      <c r="J16839" s="28">
        <v>0.23615942092780301</v>
      </c>
      <c r="K16839" s="29">
        <v>0.98289565623980701</v>
      </c>
    </row>
    <row r="16840" spans="1:11" x14ac:dyDescent="0.35">
      <c r="A16840" s="9" t="str">
        <f>HYPERLINK("http://www.ensembl.org/id/WBGene00014234", "WBGene00014234")</f>
        <v>WBGene00014234</v>
      </c>
      <c r="B16840" s="9" t="str">
        <f>HYPERLINK("http://www.ncbi.nlm.nih.gov/gene/176424", "176424")</f>
        <v>176424</v>
      </c>
      <c r="C16840" s="9" t="str">
        <f>HYPERLINK("http://www.ncbi.nlm.nih.gov/gene/51699", "51699")</f>
        <v>51699</v>
      </c>
      <c r="D16840" t="str">
        <f>"vps-29"</f>
        <v>vps-29</v>
      </c>
      <c r="E16840" t="s">
        <v>9172</v>
      </c>
      <c r="F16840" t="s">
        <v>11</v>
      </c>
      <c r="G16840" t="s">
        <v>9173</v>
      </c>
      <c r="H16840" s="12">
        <v>-1.2259953926559799</v>
      </c>
      <c r="I16840" s="20">
        <v>-0.99381699504376297</v>
      </c>
      <c r="J16840" s="28">
        <v>0.320311970613815</v>
      </c>
      <c r="K16840" s="29">
        <v>0.98289565623980701</v>
      </c>
    </row>
    <row r="16841" spans="1:11" x14ac:dyDescent="0.35">
      <c r="A16841" s="9" t="str">
        <f>HYPERLINK("http://www.ensembl.org/id/WBGene00016961", "WBGene00016961")</f>
        <v>WBGene00016961</v>
      </c>
      <c r="B16841" s="9" t="str">
        <f>HYPERLINK("http://www.ncbi.nlm.nih.gov/gene/174091", "174091")</f>
        <v>174091</v>
      </c>
      <c r="C16841" s="9"/>
      <c r="D16841" t="str">
        <f>"vps-32.1"</f>
        <v>vps-32.1</v>
      </c>
      <c r="E16841" t="s">
        <v>2992</v>
      </c>
      <c r="F16841" t="s">
        <v>11</v>
      </c>
      <c r="G16841" t="s">
        <v>6842</v>
      </c>
      <c r="H16841" s="12">
        <v>-1.09228828290446</v>
      </c>
      <c r="I16841" s="20">
        <v>-0.49029266372895502</v>
      </c>
      <c r="J16841" s="28">
        <v>0.62392681759095803</v>
      </c>
      <c r="K16841" s="29">
        <v>0.98289565623980701</v>
      </c>
    </row>
    <row r="16842" spans="1:11" x14ac:dyDescent="0.35">
      <c r="A16842" s="9" t="str">
        <f>HYPERLINK("http://www.ensembl.org/id/WBGene00016497", "WBGene00016497")</f>
        <v>WBGene00016497</v>
      </c>
      <c r="B16842" s="9"/>
      <c r="C16842" s="9"/>
      <c r="D16842" t="str">
        <f>"vps-32.2"</f>
        <v>vps-32.2</v>
      </c>
      <c r="F16842" t="s">
        <v>80</v>
      </c>
      <c r="H16842" s="12">
        <v>1.9561173881285501</v>
      </c>
      <c r="I16842" s="20">
        <v>0.257782736541043</v>
      </c>
      <c r="J16842" s="28">
        <v>0.79657458856254804</v>
      </c>
      <c r="K16842" s="29">
        <v>0.98289565623980701</v>
      </c>
    </row>
    <row r="16843" spans="1:11" x14ac:dyDescent="0.35">
      <c r="A16843" s="9" t="str">
        <f>HYPERLINK("http://www.ensembl.org/id/WBGene00015130", "WBGene00015130")</f>
        <v>WBGene00015130</v>
      </c>
      <c r="B16843" s="9" t="str">
        <f>HYPERLINK("http://www.ncbi.nlm.nih.gov/gene/176221", "176221")</f>
        <v>176221</v>
      </c>
      <c r="C16843" s="9"/>
      <c r="D16843" t="str">
        <f>"vps-33.1"</f>
        <v>vps-33.1</v>
      </c>
      <c r="E16843" t="s">
        <v>9560</v>
      </c>
      <c r="F16843" t="s">
        <v>11</v>
      </c>
      <c r="G16843" t="s">
        <v>9561</v>
      </c>
      <c r="H16843" s="12">
        <v>-1.2590119262147099</v>
      </c>
      <c r="I16843" s="20">
        <v>-1.16167214828907</v>
      </c>
      <c r="J16843" s="28">
        <v>0.24536866316968201</v>
      </c>
      <c r="K16843" s="29">
        <v>0.98289565623980701</v>
      </c>
    </row>
    <row r="16844" spans="1:11" x14ac:dyDescent="0.35">
      <c r="A16844" s="9" t="str">
        <f>HYPERLINK("http://www.ensembl.org/id/WBGene00006932", "WBGene00006932")</f>
        <v>WBGene00006932</v>
      </c>
      <c r="B16844" s="9" t="str">
        <f>HYPERLINK("http://www.ncbi.nlm.nih.gov/gene/172280", "172280")</f>
        <v>172280</v>
      </c>
      <c r="C16844" s="9" t="str">
        <f>HYPERLINK("http://www.ncbi.nlm.nih.gov/gene/5289", "5289")</f>
        <v>5289</v>
      </c>
      <c r="D16844" t="str">
        <f>"vps-34"</f>
        <v>vps-34</v>
      </c>
      <c r="E16844" t="s">
        <v>6128</v>
      </c>
      <c r="F16844" t="s">
        <v>11</v>
      </c>
      <c r="G16844" t="s">
        <v>6129</v>
      </c>
      <c r="H16844" s="12">
        <v>1.0544366859276699</v>
      </c>
      <c r="I16844" s="20">
        <v>0.28199782830631098</v>
      </c>
      <c r="J16844" s="28">
        <v>0.77794517551629505</v>
      </c>
      <c r="K16844" s="29">
        <v>0.98289565623980701</v>
      </c>
    </row>
    <row r="16845" spans="1:11" x14ac:dyDescent="0.35">
      <c r="A16845" s="9" t="str">
        <f>HYPERLINK("http://www.ensembl.org/id/WBGene00021334", "WBGene00021334")</f>
        <v>WBGene00021334</v>
      </c>
      <c r="B16845" s="9" t="str">
        <f>HYPERLINK("http://www.ncbi.nlm.nih.gov/gene/189590", "189590")</f>
        <v>189590</v>
      </c>
      <c r="C16845" s="9" t="str">
        <f>HYPERLINK("http://www.ncbi.nlm.nih.gov/gene/9525", "9525")</f>
        <v>9525</v>
      </c>
      <c r="D16845" t="str">
        <f>"vps-4"</f>
        <v>vps-4</v>
      </c>
      <c r="E16845" t="s">
        <v>2992</v>
      </c>
      <c r="F16845" t="s">
        <v>11</v>
      </c>
      <c r="G16845" t="s">
        <v>7463</v>
      </c>
      <c r="H16845" s="12">
        <v>-1.1271988961008399</v>
      </c>
      <c r="I16845" s="20">
        <v>-0.65813538576169905</v>
      </c>
      <c r="J16845" s="28">
        <v>0.51045113966433098</v>
      </c>
      <c r="K16845" s="29">
        <v>0.98289565623980701</v>
      </c>
    </row>
    <row r="16846" spans="1:11" x14ac:dyDescent="0.35">
      <c r="A16846" s="9" t="str">
        <f>HYPERLINK("http://www.ensembl.org/id/WBGene00016643", "WBGene00016643")</f>
        <v>WBGene00016643</v>
      </c>
      <c r="B16846" s="9" t="str">
        <f>HYPERLINK("http://www.ncbi.nlm.nih.gov/gene/180449", "180449")</f>
        <v>180449</v>
      </c>
      <c r="C16846" s="9" t="str">
        <f>HYPERLINK("http://www.ncbi.nlm.nih.gov/gene/11311", "11311")</f>
        <v>11311</v>
      </c>
      <c r="D16846" t="str">
        <f>"vps-45"</f>
        <v>vps-45</v>
      </c>
      <c r="E16846" t="s">
        <v>2992</v>
      </c>
      <c r="F16846" t="s">
        <v>11</v>
      </c>
      <c r="G16846" t="s">
        <v>6324</v>
      </c>
      <c r="H16846" s="12">
        <v>-1.06277893950665</v>
      </c>
      <c r="I16846" s="20">
        <v>-0.30948437449541599</v>
      </c>
      <c r="J16846" s="28">
        <v>0.75695309649040599</v>
      </c>
      <c r="K16846" s="29">
        <v>0.98289565623980701</v>
      </c>
    </row>
    <row r="16847" spans="1:11" x14ac:dyDescent="0.35">
      <c r="A16847" s="9" t="str">
        <f>HYPERLINK("http://www.ensembl.org/id/WBGene00008078", "WBGene00008078")</f>
        <v>WBGene00008078</v>
      </c>
      <c r="B16847" s="9" t="str">
        <f>HYPERLINK("http://www.ncbi.nlm.nih.gov/gene/183433", "183433")</f>
        <v>183433</v>
      </c>
      <c r="C16847" s="9" t="str">
        <f>HYPERLINK("http://www.ncbi.nlm.nih.gov/gene/55610", "55610")</f>
        <v>55610</v>
      </c>
      <c r="D16847" t="str">
        <f>"vps-50"</f>
        <v>vps-50</v>
      </c>
      <c r="E16847" t="s">
        <v>2992</v>
      </c>
      <c r="F16847" t="s">
        <v>11</v>
      </c>
      <c r="G16847" t="s">
        <v>5698</v>
      </c>
      <c r="H16847" s="12">
        <v>1.12125678512966</v>
      </c>
      <c r="I16847" s="20">
        <v>0.52464437288910803</v>
      </c>
      <c r="J16847" s="28">
        <v>0.599830434076282</v>
      </c>
      <c r="K16847" s="29">
        <v>0.98289565623980701</v>
      </c>
    </row>
    <row r="16848" spans="1:11" x14ac:dyDescent="0.35">
      <c r="A16848" s="9" t="str">
        <f>HYPERLINK("http://www.ensembl.org/id/WBGene00015176", "WBGene00015176")</f>
        <v>WBGene00015176</v>
      </c>
      <c r="B16848" s="9" t="str">
        <f>HYPERLINK("http://www.ncbi.nlm.nih.gov/gene/172247", "172247")</f>
        <v>172247</v>
      </c>
      <c r="C16848" s="9" t="str">
        <f>HYPERLINK("http://www.ncbi.nlm.nih.gov/gene/738", "738")</f>
        <v>738</v>
      </c>
      <c r="D16848" t="str">
        <f>"vps-51"</f>
        <v>vps-51</v>
      </c>
      <c r="E16848" t="s">
        <v>8605</v>
      </c>
      <c r="F16848" t="s">
        <v>11</v>
      </c>
      <c r="G16848" t="s">
        <v>8606</v>
      </c>
      <c r="H16848" s="12">
        <v>-1.18613087123112</v>
      </c>
      <c r="I16848" s="20">
        <v>-0.89025940728486996</v>
      </c>
      <c r="J16848" s="28">
        <v>0.37332661216608398</v>
      </c>
      <c r="K16848" s="29">
        <v>0.98289565623980701</v>
      </c>
    </row>
    <row r="16849" spans="1:11" x14ac:dyDescent="0.35">
      <c r="A16849" s="9" t="str">
        <f>HYPERLINK("http://www.ensembl.org/id/WBGene00011502", "WBGene00011502")</f>
        <v>WBGene00011502</v>
      </c>
      <c r="B16849" s="9" t="str">
        <f>HYPERLINK("http://www.ncbi.nlm.nih.gov/gene/176377", "176377")</f>
        <v>176377</v>
      </c>
      <c r="C16849" s="9" t="str">
        <f>HYPERLINK("http://www.ncbi.nlm.nih.gov/gene/55275", "55275")</f>
        <v>55275</v>
      </c>
      <c r="D16849" t="str">
        <f>"vps-53"</f>
        <v>vps-53</v>
      </c>
      <c r="E16849" t="s">
        <v>8327</v>
      </c>
      <c r="F16849" t="s">
        <v>11</v>
      </c>
      <c r="G16849" t="s">
        <v>8328</v>
      </c>
      <c r="H16849" s="12">
        <v>-1.17159652843151</v>
      </c>
      <c r="I16849" s="20">
        <v>-0.80758077143215401</v>
      </c>
      <c r="J16849" s="28">
        <v>0.41933195968373899</v>
      </c>
      <c r="K16849" s="29">
        <v>0.98289565623980701</v>
      </c>
    </row>
    <row r="16850" spans="1:11" x14ac:dyDescent="0.35">
      <c r="A16850" s="9" t="str">
        <f>HYPERLINK("http://www.ensembl.org/id/WBGene00006934", "WBGene00006934")</f>
        <v>WBGene00006934</v>
      </c>
      <c r="B16850" s="9" t="str">
        <f>HYPERLINK("http://www.ncbi.nlm.nih.gov/gene/179473", "179473")</f>
        <v>179473</v>
      </c>
      <c r="C16850" s="9" t="str">
        <f>HYPERLINK("http://www.ncbi.nlm.nih.gov/gene/51542", "51542")</f>
        <v>51542</v>
      </c>
      <c r="D16850" t="str">
        <f>"vps-54"</f>
        <v>vps-54</v>
      </c>
      <c r="E16850" t="s">
        <v>7059</v>
      </c>
      <c r="F16850" t="s">
        <v>11</v>
      </c>
      <c r="G16850" t="s">
        <v>7060</v>
      </c>
      <c r="H16850" s="12">
        <v>-1.1050062752055301</v>
      </c>
      <c r="I16850" s="20">
        <v>-0.49710097170609602</v>
      </c>
      <c r="J16850" s="28">
        <v>0.61911784943460102</v>
      </c>
      <c r="K16850" s="29">
        <v>0.98289565623980701</v>
      </c>
    </row>
    <row r="16851" spans="1:11" x14ac:dyDescent="0.35">
      <c r="A16851" s="9" t="str">
        <f>HYPERLINK("http://www.ensembl.org/id/WBGene00018290", "WBGene00018290")</f>
        <v>WBGene00018290</v>
      </c>
      <c r="B16851" s="9" t="str">
        <f>HYPERLINK("http://www.ncbi.nlm.nih.gov/gene/179242", "179242")</f>
        <v>179242</v>
      </c>
      <c r="C16851" s="9" t="str">
        <f>HYPERLINK("http://www.ncbi.nlm.nih.gov/gene/51510", "51510")</f>
        <v>51510</v>
      </c>
      <c r="D16851" t="str">
        <f>"vps-60"</f>
        <v>vps-60</v>
      </c>
      <c r="E16851" t="s">
        <v>2992</v>
      </c>
      <c r="F16851" t="s">
        <v>11</v>
      </c>
      <c r="G16851" t="s">
        <v>9156</v>
      </c>
      <c r="H16851" s="12">
        <v>-1.2252002906784401</v>
      </c>
      <c r="I16851" s="20">
        <v>-1.10537892726622</v>
      </c>
      <c r="J16851" s="28">
        <v>0.268995430854371</v>
      </c>
      <c r="K16851" s="29">
        <v>0.98289565623980701</v>
      </c>
    </row>
    <row r="16852" spans="1:11" x14ac:dyDescent="0.35">
      <c r="A16852" s="9" t="str">
        <f>HYPERLINK("http://www.ensembl.org/id/WBGene00016582", "WBGene00016582")</f>
        <v>WBGene00016582</v>
      </c>
      <c r="B16852" s="9" t="str">
        <f>HYPERLINK("http://www.ncbi.nlm.nih.gov/gene/178174", "178174")</f>
        <v>178174</v>
      </c>
      <c r="C16852" s="9" t="str">
        <f>HYPERLINK("http://www.ncbi.nlm.nih.gov/gene/23355", "23355")</f>
        <v>23355</v>
      </c>
      <c r="D16852" t="str">
        <f>"vps-8"</f>
        <v>vps-8</v>
      </c>
      <c r="E16852" t="s">
        <v>2992</v>
      </c>
      <c r="F16852" t="s">
        <v>11</v>
      </c>
      <c r="G16852" t="s">
        <v>9437</v>
      </c>
      <c r="H16852" s="12">
        <v>-1.24621265696256</v>
      </c>
      <c r="I16852" s="20">
        <v>-1.0697977711553199</v>
      </c>
      <c r="J16852" s="28">
        <v>0.28471034578181598</v>
      </c>
      <c r="K16852" s="29">
        <v>0.98289565623980701</v>
      </c>
    </row>
    <row r="16853" spans="1:11" x14ac:dyDescent="0.35">
      <c r="A16853" s="9" t="str">
        <f>HYPERLINK("http://www.ensembl.org/id/WBGene00017895", "WBGene00017895")</f>
        <v>WBGene00017895</v>
      </c>
      <c r="B16853" s="9" t="str">
        <f>HYPERLINK("http://www.ncbi.nlm.nih.gov/gene/174004", "174004")</f>
        <v>174004</v>
      </c>
      <c r="C16853" s="9" t="str">
        <f>HYPERLINK("http://www.ncbi.nlm.nih.gov/gene/7443", "7443")</f>
        <v>7443</v>
      </c>
      <c r="D16853" t="str">
        <f>"vrk-1"</f>
        <v>vrk-1</v>
      </c>
      <c r="E16853" t="s">
        <v>9269</v>
      </c>
      <c r="F16853" t="s">
        <v>11</v>
      </c>
      <c r="G16853" t="s">
        <v>9270</v>
      </c>
      <c r="H16853" s="12">
        <v>-1.2322814278110601</v>
      </c>
      <c r="I16853" s="20">
        <v>-0.95092227261704898</v>
      </c>
      <c r="J16853" s="28">
        <v>0.341643834495932</v>
      </c>
      <c r="K16853" s="29">
        <v>0.98289565623980701</v>
      </c>
    </row>
    <row r="16854" spans="1:11" x14ac:dyDescent="0.35">
      <c r="A16854" s="9" t="str">
        <f>HYPERLINK("http://www.ensembl.org/id/WBGene00021869", "WBGene00021869")</f>
        <v>WBGene00021869</v>
      </c>
      <c r="B16854" s="9" t="str">
        <f>HYPERLINK("http://www.ncbi.nlm.nih.gov/gene/177081", "177081")</f>
        <v>177081</v>
      </c>
      <c r="C16854" s="9"/>
      <c r="D16854" t="str">
        <f>"vrp-1"</f>
        <v>vrp-1</v>
      </c>
      <c r="E16854" t="s">
        <v>7801</v>
      </c>
      <c r="F16854" t="s">
        <v>11</v>
      </c>
      <c r="H16854" s="12">
        <v>-1.14535497042065</v>
      </c>
      <c r="I16854" s="20">
        <v>-0.71295707645485995</v>
      </c>
      <c r="J16854" s="28">
        <v>0.47587231856097401</v>
      </c>
      <c r="K16854" s="29">
        <v>0.98289565623980701</v>
      </c>
    </row>
    <row r="16855" spans="1:11" x14ac:dyDescent="0.35">
      <c r="A16855" s="9" t="str">
        <f>HYPERLINK("http://www.ensembl.org/id/WBGene00008694", "WBGene00008694")</f>
        <v>WBGene00008694</v>
      </c>
      <c r="B16855" s="9" t="str">
        <f>HYPERLINK("http://www.ncbi.nlm.nih.gov/gene/181431", "181431")</f>
        <v>181431</v>
      </c>
      <c r="C16855" s="9" t="str">
        <f>HYPERLINK("http://www.ncbi.nlm.nih.gov/gene/23078", "23078")</f>
        <v>23078</v>
      </c>
      <c r="D16855" t="str">
        <f>"vwa-8"</f>
        <v>vwa-8</v>
      </c>
      <c r="F16855" t="s">
        <v>11</v>
      </c>
      <c r="G16855" t="s">
        <v>5214</v>
      </c>
      <c r="H16855" s="12">
        <v>1.2146204251517101</v>
      </c>
      <c r="I16855" s="20">
        <v>0.99367895280776697</v>
      </c>
      <c r="J16855" s="28">
        <v>0.32037919263067999</v>
      </c>
      <c r="K16855" s="29">
        <v>0.98289565623980701</v>
      </c>
    </row>
    <row r="16856" spans="1:11" x14ac:dyDescent="0.35">
      <c r="A16856" s="9" t="str">
        <f>HYPERLINK("http://www.ensembl.org/id/WBGene00012159", "WBGene00012159")</f>
        <v>WBGene00012159</v>
      </c>
      <c r="B16856" s="9" t="str">
        <f>HYPERLINK("http://www.ncbi.nlm.nih.gov/gene/260258", "260258")</f>
        <v>260258</v>
      </c>
      <c r="C16856" s="9"/>
      <c r="D16856" t="str">
        <f>"VY10G11R.1"</f>
        <v>VY10G11R.1</v>
      </c>
      <c r="F16856" t="s">
        <v>11</v>
      </c>
      <c r="G16856" t="s">
        <v>4225</v>
      </c>
      <c r="H16856" s="12">
        <v>7.8750041662741399</v>
      </c>
      <c r="I16856" s="20">
        <v>0.66270036837280499</v>
      </c>
      <c r="J16856" s="28">
        <v>0.507522473818947</v>
      </c>
      <c r="K16856" s="29">
        <v>0.98289565623980701</v>
      </c>
    </row>
    <row r="16857" spans="1:11" x14ac:dyDescent="0.35">
      <c r="A16857" s="9" t="str">
        <f>HYPERLINK("http://www.ensembl.org/id/WBGene00045097", "WBGene00045097")</f>
        <v>WBGene00045097</v>
      </c>
      <c r="B16857" s="9"/>
      <c r="C16857" s="9"/>
      <c r="D16857" t="str">
        <f>"VY10G11R.2"</f>
        <v>VY10G11R.2</v>
      </c>
      <c r="F16857" t="s">
        <v>80</v>
      </c>
      <c r="H16857" s="12">
        <v>2.3893468495514898</v>
      </c>
      <c r="I16857" s="20">
        <v>0.25323547253672701</v>
      </c>
      <c r="J16857" s="28">
        <v>0.80008625651646104</v>
      </c>
      <c r="K16857" s="29">
        <v>0.98289565623980701</v>
      </c>
    </row>
    <row r="16858" spans="1:11" x14ac:dyDescent="0.35">
      <c r="A16858" s="9" t="str">
        <f>HYPERLINK("http://www.ensembl.org/id/WBGene00045185", "WBGene00045185")</f>
        <v>WBGene00045185</v>
      </c>
      <c r="B16858" s="9"/>
      <c r="C16858" s="9"/>
      <c r="D16858" t="str">
        <f>"VY10G11R.4"</f>
        <v>VY10G11R.4</v>
      </c>
      <c r="F16858" t="s">
        <v>80</v>
      </c>
      <c r="H16858" s="12">
        <v>-2.4295389261469</v>
      </c>
      <c r="I16858" s="20">
        <v>-0.25808529976640998</v>
      </c>
      <c r="J16858" s="28">
        <v>0.79634107645457397</v>
      </c>
      <c r="K16858" s="29">
        <v>0.98289565623980701</v>
      </c>
    </row>
    <row r="16859" spans="1:11" x14ac:dyDescent="0.35">
      <c r="A16859" s="9" t="str">
        <f>HYPERLINK("http://www.ensembl.org/id/WBGene00012163", "WBGene00012163")</f>
        <v>WBGene00012163</v>
      </c>
      <c r="B16859" s="9" t="str">
        <f>HYPERLINK("http://www.ncbi.nlm.nih.gov/gene/259601", "259601")</f>
        <v>259601</v>
      </c>
      <c r="C16859" s="9"/>
      <c r="D16859" t="str">
        <f>"VZK822L.2"</f>
        <v>VZK822L.2</v>
      </c>
      <c r="F16859" t="s">
        <v>11</v>
      </c>
      <c r="G16859" t="s">
        <v>25</v>
      </c>
      <c r="H16859" s="12">
        <v>-1.4182200539071099</v>
      </c>
      <c r="I16859" s="20">
        <v>-0.78345141007008201</v>
      </c>
      <c r="J16859" s="28">
        <v>0.43336207660457898</v>
      </c>
      <c r="K16859" s="29">
        <v>0.98289565623980701</v>
      </c>
    </row>
    <row r="16860" spans="1:11" x14ac:dyDescent="0.35">
      <c r="A16860" s="9" t="str">
        <f>HYPERLINK("http://www.ensembl.org/id/WBGene00020912", "WBGene00020912")</f>
        <v>WBGene00020912</v>
      </c>
      <c r="B16860" s="9" t="str">
        <f>HYPERLINK("http://www.ncbi.nlm.nih.gov/gene/189079", "189079")</f>
        <v>189079</v>
      </c>
      <c r="C16860" s="9"/>
      <c r="D16860" t="str">
        <f>"W01A11.7"</f>
        <v>W01A11.7</v>
      </c>
      <c r="F16860" t="s">
        <v>11</v>
      </c>
      <c r="H16860" s="12">
        <v>1.2165100010068499</v>
      </c>
      <c r="I16860" s="20">
        <v>0.356298994830964</v>
      </c>
      <c r="J16860" s="28">
        <v>0.72161666200736696</v>
      </c>
      <c r="K16860" s="29">
        <v>0.98289565623980701</v>
      </c>
    </row>
    <row r="16861" spans="1:11" x14ac:dyDescent="0.35">
      <c r="A16861" s="9" t="str">
        <f>HYPERLINK("http://www.ensembl.org/id/WBGene00195257", "WBGene00195257")</f>
        <v>WBGene00195257</v>
      </c>
      <c r="B16861" s="9"/>
      <c r="C16861" s="9"/>
      <c r="D16861" t="str">
        <f>"W01A8.10"</f>
        <v>W01A8.10</v>
      </c>
      <c r="F16861" t="s">
        <v>80</v>
      </c>
      <c r="H16861" s="12">
        <v>1.9492767028759601</v>
      </c>
      <c r="I16861" s="20">
        <v>0.356020784450509</v>
      </c>
      <c r="J16861" s="28">
        <v>0.72182499991193605</v>
      </c>
      <c r="K16861" s="29">
        <v>0.98289565623980701</v>
      </c>
    </row>
    <row r="16862" spans="1:11" x14ac:dyDescent="0.35">
      <c r="A16862" s="9" t="str">
        <f>HYPERLINK("http://www.ensembl.org/id/WBGene00012164", "WBGene00012164")</f>
        <v>WBGene00012164</v>
      </c>
      <c r="B16862" s="9" t="str">
        <f>HYPERLINK("http://www.ncbi.nlm.nih.gov/gene/172436", "172436")</f>
        <v>172436</v>
      </c>
      <c r="C16862" s="9"/>
      <c r="D16862" t="str">
        <f>"W01A8.2"</f>
        <v>W01A8.2</v>
      </c>
      <c r="F16862" t="s">
        <v>11</v>
      </c>
      <c r="G16862" t="s">
        <v>318</v>
      </c>
      <c r="H16862" s="12">
        <v>-1.2442174329268501</v>
      </c>
      <c r="I16862" s="20">
        <v>-0.707001265147712</v>
      </c>
      <c r="J16862" s="28">
        <v>0.47956569157356499</v>
      </c>
      <c r="K16862" s="29">
        <v>0.98289565623980701</v>
      </c>
    </row>
    <row r="16863" spans="1:11" x14ac:dyDescent="0.35">
      <c r="A16863" s="9" t="str">
        <f>HYPERLINK("http://www.ensembl.org/id/WBGene00044764", "WBGene00044764")</f>
        <v>WBGene00044764</v>
      </c>
      <c r="B16863" s="9"/>
      <c r="C16863" s="9"/>
      <c r="D16863" t="str">
        <f>"W01A8.7"</f>
        <v>W01A8.7</v>
      </c>
      <c r="F16863" t="s">
        <v>80</v>
      </c>
      <c r="H16863" s="12">
        <v>1.5196441419528499</v>
      </c>
      <c r="I16863" s="20">
        <v>0.49824775031796198</v>
      </c>
      <c r="J16863" s="28">
        <v>0.61830943017880202</v>
      </c>
      <c r="K16863" s="29">
        <v>0.98289565623980701</v>
      </c>
    </row>
    <row r="16864" spans="1:11" x14ac:dyDescent="0.35">
      <c r="A16864" s="9" t="str">
        <f>HYPERLINK("http://www.ensembl.org/id/WBGene00044988", "WBGene00044988")</f>
        <v>WBGene00044988</v>
      </c>
      <c r="B16864" s="9" t="str">
        <f>HYPERLINK("http://www.ncbi.nlm.nih.gov/gene/4926920", "4926920")</f>
        <v>4926920</v>
      </c>
      <c r="C16864" s="9"/>
      <c r="D16864" t="str">
        <f>"W01A8.8"</f>
        <v>W01A8.8</v>
      </c>
      <c r="F16864" t="s">
        <v>11</v>
      </c>
      <c r="G16864" t="s">
        <v>4983</v>
      </c>
      <c r="H16864" s="12">
        <v>1.2706468443722101</v>
      </c>
      <c r="I16864" s="20">
        <v>1.0449232384473099</v>
      </c>
      <c r="J16864" s="28">
        <v>0.29605844849368201</v>
      </c>
      <c r="K16864" s="29">
        <v>0.98289565623980701</v>
      </c>
    </row>
    <row r="16865" spans="1:11" x14ac:dyDescent="0.35">
      <c r="A16865" s="9" t="str">
        <f>HYPERLINK("http://www.ensembl.org/id/WBGene00020917", "WBGene00020917")</f>
        <v>WBGene00020917</v>
      </c>
      <c r="B16865" s="9" t="str">
        <f>HYPERLINK("http://www.ncbi.nlm.nih.gov/gene/171903", "171903")</f>
        <v>171903</v>
      </c>
      <c r="C16865" s="9"/>
      <c r="D16865" t="str">
        <f>"W01B11.6"</f>
        <v>W01B11.6</v>
      </c>
      <c r="F16865" t="s">
        <v>11</v>
      </c>
      <c r="H16865" s="12">
        <v>-1.12930836110147</v>
      </c>
      <c r="I16865" s="20">
        <v>-0.60422449955996105</v>
      </c>
      <c r="J16865" s="28">
        <v>0.54569439458406699</v>
      </c>
      <c r="K16865" s="29">
        <v>0.98289565623980701</v>
      </c>
    </row>
    <row r="16866" spans="1:11" x14ac:dyDescent="0.35">
      <c r="A16866" s="9" t="str">
        <f>HYPERLINK("http://www.ensembl.org/id/WBGene00077750", "WBGene00077750")</f>
        <v>WBGene00077750</v>
      </c>
      <c r="B16866" s="9"/>
      <c r="C16866" s="9"/>
      <c r="D16866" t="str">
        <f>"W01B6.11"</f>
        <v>W01B6.11</v>
      </c>
      <c r="F16866" t="s">
        <v>80</v>
      </c>
      <c r="H16866" s="12">
        <v>2.4578120077400301</v>
      </c>
      <c r="I16866" s="20">
        <v>0.26093350314551</v>
      </c>
      <c r="J16866" s="28">
        <v>0.79414378780213601</v>
      </c>
      <c r="K16866" s="29">
        <v>0.98289565623980701</v>
      </c>
    </row>
    <row r="16867" spans="1:11" x14ac:dyDescent="0.35">
      <c r="A16867" s="9" t="str">
        <f>HYPERLINK("http://www.ensembl.org/id/WBGene00012170", "WBGene00012170")</f>
        <v>WBGene00012170</v>
      </c>
      <c r="B16867" s="9" t="str">
        <f>HYPERLINK("http://www.ncbi.nlm.nih.gov/gene/189080", "189080")</f>
        <v>189080</v>
      </c>
      <c r="C16867" s="9" t="str">
        <f>HYPERLINK("http://www.ncbi.nlm.nih.gov/gene/256471", "256471")</f>
        <v>256471</v>
      </c>
      <c r="D16867" t="str">
        <f>"W01B6.3"</f>
        <v>W01B6.3</v>
      </c>
      <c r="F16867" t="s">
        <v>11</v>
      </c>
      <c r="G16867" t="s">
        <v>230</v>
      </c>
      <c r="H16867" s="12">
        <v>-4.7467792185731703</v>
      </c>
      <c r="I16867" s="20">
        <v>-0.52614829068776403</v>
      </c>
      <c r="J16867" s="28">
        <v>0.59878517842770296</v>
      </c>
      <c r="K16867" s="29">
        <v>0.98289565623980701</v>
      </c>
    </row>
    <row r="16868" spans="1:11" x14ac:dyDescent="0.35">
      <c r="A16868" s="9" t="str">
        <f>HYPERLINK("http://www.ensembl.org/id/WBGene00012172", "WBGene00012172")</f>
        <v>WBGene00012172</v>
      </c>
      <c r="B16868" s="9" t="str">
        <f>HYPERLINK("http://www.ncbi.nlm.nih.gov/gene/189082", "189082")</f>
        <v>189082</v>
      </c>
      <c r="C16868" s="9"/>
      <c r="D16868" t="str">
        <f>"W01B6.5"</f>
        <v>W01B6.5</v>
      </c>
      <c r="E16868" t="s">
        <v>2588</v>
      </c>
      <c r="F16868" t="s">
        <v>11</v>
      </c>
      <c r="G16868" t="s">
        <v>2589</v>
      </c>
      <c r="H16868" s="12">
        <v>2.6868276893742302</v>
      </c>
      <c r="I16868" s="20">
        <v>0.66429697182914704</v>
      </c>
      <c r="J16868" s="28">
        <v>0.50650025878127702</v>
      </c>
      <c r="K16868" s="29">
        <v>0.98289565623980701</v>
      </c>
    </row>
    <row r="16869" spans="1:11" x14ac:dyDescent="0.35">
      <c r="A16869" s="9" t="str">
        <f>HYPERLINK("http://www.ensembl.org/id/WBGene00012173", "WBGene00012173")</f>
        <v>WBGene00012173</v>
      </c>
      <c r="B16869" s="9" t="str">
        <f>HYPERLINK("http://www.ncbi.nlm.nih.gov/gene/189083", "189083")</f>
        <v>189083</v>
      </c>
      <c r="C16869" s="9"/>
      <c r="D16869" t="str">
        <f>"W01B6.6"</f>
        <v>W01B6.6</v>
      </c>
      <c r="F16869" t="s">
        <v>11</v>
      </c>
      <c r="G16869" t="s">
        <v>1020</v>
      </c>
      <c r="H16869" s="12">
        <v>1.8359060787867301</v>
      </c>
      <c r="I16869" s="20">
        <v>0.36889075012753297</v>
      </c>
      <c r="J16869" s="28">
        <v>0.71220915821075703</v>
      </c>
      <c r="K16869" s="29">
        <v>0.98289565623980701</v>
      </c>
    </row>
    <row r="16870" spans="1:11" x14ac:dyDescent="0.35">
      <c r="A16870" s="9" t="str">
        <f>HYPERLINK("http://www.ensembl.org/id/WBGene00020918", "WBGene00020918")</f>
        <v>WBGene00020918</v>
      </c>
      <c r="B16870" s="9" t="str">
        <f>HYPERLINK("http://www.ncbi.nlm.nih.gov/gene/189087", "189087")</f>
        <v>189087</v>
      </c>
      <c r="C16870" s="9"/>
      <c r="D16870" t="str">
        <f>"W01C8.1"</f>
        <v>W01C8.1</v>
      </c>
      <c r="F16870" t="s">
        <v>11</v>
      </c>
      <c r="H16870" s="12">
        <v>-1.47042611034027</v>
      </c>
      <c r="I16870" s="20">
        <v>-0.51141437827452696</v>
      </c>
      <c r="J16870" s="28">
        <v>0.60906092897462805</v>
      </c>
      <c r="K16870" s="29">
        <v>0.98289565623980701</v>
      </c>
    </row>
    <row r="16871" spans="1:11" x14ac:dyDescent="0.35">
      <c r="A16871" s="9" t="str">
        <f>HYPERLINK("http://www.ensembl.org/id/WBGene00197475", "WBGene00197475")</f>
        <v>WBGene00197475</v>
      </c>
      <c r="B16871" s="9"/>
      <c r="C16871" s="9"/>
      <c r="D16871" t="str">
        <f>"W01C8.11"</f>
        <v>W01C8.11</v>
      </c>
      <c r="F16871" t="s">
        <v>481</v>
      </c>
      <c r="H16871" s="12">
        <v>2.3893468495514898</v>
      </c>
      <c r="I16871" s="20">
        <v>0.25323547253672701</v>
      </c>
      <c r="J16871" s="28">
        <v>0.80008625651646104</v>
      </c>
      <c r="K16871" s="29">
        <v>0.98289565623980701</v>
      </c>
    </row>
    <row r="16872" spans="1:11" x14ac:dyDescent="0.35">
      <c r="A16872" s="9" t="str">
        <f>HYPERLINK("http://www.ensembl.org/id/WBGene00198598", "WBGene00198598")</f>
        <v>WBGene00198598</v>
      </c>
      <c r="B16872" s="9"/>
      <c r="C16872" s="9"/>
      <c r="D16872" t="str">
        <f>"W01C8.12"</f>
        <v>W01C8.12</v>
      </c>
      <c r="F16872" t="s">
        <v>481</v>
      </c>
      <c r="H16872" s="12">
        <v>5.2954185682811996</v>
      </c>
      <c r="I16872" s="20">
        <v>0.58847157202951395</v>
      </c>
      <c r="J16872" s="28">
        <v>0.55621580972939799</v>
      </c>
      <c r="K16872" s="29">
        <v>0.98289565623980701</v>
      </c>
    </row>
    <row r="16873" spans="1:11" x14ac:dyDescent="0.35">
      <c r="A16873" s="9" t="str">
        <f>HYPERLINK("http://www.ensembl.org/id/WBGene00012175", "WBGene00012175")</f>
        <v>WBGene00012175</v>
      </c>
      <c r="B16873" s="9" t="str">
        <f>HYPERLINK("http://www.ncbi.nlm.nih.gov/gene/189088", "189088")</f>
        <v>189088</v>
      </c>
      <c r="C16873" s="9"/>
      <c r="D16873" t="str">
        <f>"W01C9.1"</f>
        <v>W01C9.1</v>
      </c>
      <c r="F16873" t="s">
        <v>11</v>
      </c>
      <c r="H16873" s="12">
        <v>1.4708350018277301</v>
      </c>
      <c r="I16873" s="20">
        <v>0.64347152093419901</v>
      </c>
      <c r="J16873" s="28">
        <v>0.51991818832964498</v>
      </c>
      <c r="K16873" s="29">
        <v>0.98289565623980701</v>
      </c>
    </row>
    <row r="16874" spans="1:11" x14ac:dyDescent="0.35">
      <c r="A16874" s="9" t="str">
        <f>HYPERLINK("http://www.ensembl.org/id/WBGene00012176", "WBGene00012176")</f>
        <v>WBGene00012176</v>
      </c>
      <c r="B16874" s="9" t="str">
        <f>HYPERLINK("http://www.ncbi.nlm.nih.gov/gene/189089", "189089")</f>
        <v>189089</v>
      </c>
      <c r="C16874" s="9"/>
      <c r="D16874" t="str">
        <f>"W01C9.2"</f>
        <v>W01C9.2</v>
      </c>
      <c r="F16874" t="s">
        <v>11</v>
      </c>
      <c r="H16874" s="12">
        <v>-3.1986679674813199</v>
      </c>
      <c r="I16874" s="20">
        <v>-1.12305566998116</v>
      </c>
      <c r="J16874" s="28">
        <v>0.26141385176172499</v>
      </c>
      <c r="K16874" s="29">
        <v>0.98289565623980701</v>
      </c>
    </row>
    <row r="16875" spans="1:11" x14ac:dyDescent="0.35">
      <c r="A16875" s="9" t="str">
        <f>HYPERLINK("http://www.ensembl.org/id/WBGene00012179", "WBGene00012179")</f>
        <v>WBGene00012179</v>
      </c>
      <c r="B16875" s="9" t="str">
        <f>HYPERLINK("http://www.ncbi.nlm.nih.gov/gene/175141", "175141")</f>
        <v>175141</v>
      </c>
      <c r="C16875" s="9" t="str">
        <f>HYPERLINK("http://www.ncbi.nlm.nih.gov/gene/6167", "6167")</f>
        <v>6167</v>
      </c>
      <c r="D16875" t="str">
        <f>"W01D2.1"</f>
        <v>W01D2.1</v>
      </c>
      <c r="E16875" t="s">
        <v>7938</v>
      </c>
      <c r="F16875" t="s">
        <v>11</v>
      </c>
      <c r="G16875" t="s">
        <v>7755</v>
      </c>
      <c r="H16875" s="12">
        <v>-1.1518580541768999</v>
      </c>
      <c r="I16875" s="20">
        <v>-0.753686131555653</v>
      </c>
      <c r="J16875" s="28">
        <v>0.45103771135582599</v>
      </c>
      <c r="K16875" s="29">
        <v>0.98289565623980701</v>
      </c>
    </row>
    <row r="16876" spans="1:11" x14ac:dyDescent="0.35">
      <c r="A16876" s="9" t="str">
        <f>HYPERLINK("http://www.ensembl.org/id/WBGene00012180", "WBGene00012180")</f>
        <v>WBGene00012180</v>
      </c>
      <c r="B16876" s="9" t="str">
        <f>HYPERLINK("http://www.ncbi.nlm.nih.gov/gene/189092", "189092")</f>
        <v>189092</v>
      </c>
      <c r="C16876" s="9"/>
      <c r="D16876" t="str">
        <f>"W01D2.3"</f>
        <v>W01D2.3</v>
      </c>
      <c r="E16876" t="s">
        <v>296</v>
      </c>
      <c r="F16876" t="s">
        <v>11</v>
      </c>
      <c r="G16876" t="s">
        <v>25</v>
      </c>
      <c r="H16876" s="12">
        <v>1.3389358557112401</v>
      </c>
      <c r="I16876" s="20">
        <v>0.390259128553406</v>
      </c>
      <c r="J16876" s="28">
        <v>0.696344942612246</v>
      </c>
      <c r="K16876" s="29">
        <v>0.98289565623980701</v>
      </c>
    </row>
    <row r="16877" spans="1:11" x14ac:dyDescent="0.35">
      <c r="A16877" s="9" t="str">
        <f>HYPERLINK("http://www.ensembl.org/id/WBGene00012183", "WBGene00012183")</f>
        <v>WBGene00012183</v>
      </c>
      <c r="B16877" s="9" t="str">
        <f>HYPERLINK("http://www.ncbi.nlm.nih.gov/gene/3565428", "3565428")</f>
        <v>3565428</v>
      </c>
      <c r="C16877" s="9"/>
      <c r="D16877" t="str">
        <f>"W01D2.6"</f>
        <v>W01D2.6</v>
      </c>
      <c r="F16877" t="s">
        <v>11</v>
      </c>
      <c r="G16877" t="s">
        <v>25</v>
      </c>
      <c r="H16877" s="12">
        <v>2.4250234220978002</v>
      </c>
      <c r="I16877" s="20">
        <v>0.90794852658368497</v>
      </c>
      <c r="J16877" s="28">
        <v>0.36390541753525402</v>
      </c>
      <c r="K16877" s="29">
        <v>0.98289565623980701</v>
      </c>
    </row>
    <row r="16878" spans="1:11" x14ac:dyDescent="0.35">
      <c r="A16878" s="9" t="str">
        <f>HYPERLINK("http://www.ensembl.org/id/WBGene00045123", "WBGene00045123")</f>
        <v>WBGene00045123</v>
      </c>
      <c r="B16878" s="9"/>
      <c r="C16878" s="9"/>
      <c r="D16878" t="str">
        <f>"W01D2.7"</f>
        <v>W01D2.7</v>
      </c>
      <c r="F16878" t="s">
        <v>481</v>
      </c>
      <c r="H16878" s="12">
        <v>2.3893468495514898</v>
      </c>
      <c r="I16878" s="20">
        <v>0.25323547253672701</v>
      </c>
      <c r="J16878" s="28">
        <v>0.80008625651646104</v>
      </c>
      <c r="K16878" s="29">
        <v>0.98289565623980701</v>
      </c>
    </row>
    <row r="16879" spans="1:11" x14ac:dyDescent="0.35">
      <c r="A16879" s="9" t="str">
        <f>HYPERLINK("http://www.ensembl.org/id/WBGene00045372", "WBGene00045372")</f>
        <v>WBGene00045372</v>
      </c>
      <c r="B16879" s="9"/>
      <c r="C16879" s="9"/>
      <c r="D16879" t="str">
        <f>"W01D2.8"</f>
        <v>W01D2.8</v>
      </c>
      <c r="F16879" t="s">
        <v>481</v>
      </c>
      <c r="H16879" s="12">
        <v>-2.4991590031922399</v>
      </c>
      <c r="I16879" s="20">
        <v>-0.26577412737581302</v>
      </c>
      <c r="J16879" s="28">
        <v>0.79041317015736101</v>
      </c>
      <c r="K16879" s="29">
        <v>0.98289565623980701</v>
      </c>
    </row>
    <row r="16880" spans="1:11" x14ac:dyDescent="0.35">
      <c r="A16880" s="9" t="str">
        <f>HYPERLINK("http://www.ensembl.org/id/WBGene00220108", "WBGene00220108")</f>
        <v>WBGene00220108</v>
      </c>
      <c r="B16880" s="9"/>
      <c r="C16880" s="9"/>
      <c r="D16880" t="str">
        <f>"W01D2.9"</f>
        <v>W01D2.9</v>
      </c>
      <c r="F16880" t="s">
        <v>481</v>
      </c>
      <c r="H16880" s="12">
        <v>-2.4703018886837098</v>
      </c>
      <c r="I16880" s="20">
        <v>-0.36490693701166099</v>
      </c>
      <c r="J16880" s="28">
        <v>0.71518087587669499</v>
      </c>
      <c r="K16880" s="29">
        <v>0.98289565623980701</v>
      </c>
    </row>
    <row r="16881" spans="1:11" x14ac:dyDescent="0.35">
      <c r="A16881" s="9" t="str">
        <f>HYPERLINK("http://www.ensembl.org/id/WBGene00014851", "WBGene00014851")</f>
        <v>WBGene00014851</v>
      </c>
      <c r="B16881" s="9"/>
      <c r="C16881" s="9"/>
      <c r="D16881" t="str">
        <f>"W01G7.2"</f>
        <v>W01G7.2</v>
      </c>
      <c r="F16881" t="s">
        <v>80</v>
      </c>
      <c r="H16881" s="12">
        <v>2.4578120077400301</v>
      </c>
      <c r="I16881" s="20">
        <v>0.26093350314551</v>
      </c>
      <c r="J16881" s="28">
        <v>0.79414378780213601</v>
      </c>
      <c r="K16881" s="29">
        <v>0.98289565623980701</v>
      </c>
    </row>
    <row r="16882" spans="1:11" x14ac:dyDescent="0.35">
      <c r="A16882" s="9" t="str">
        <f>HYPERLINK("http://www.ensembl.org/id/WBGene00220111", "WBGene00220111")</f>
        <v>WBGene00220111</v>
      </c>
      <c r="B16882" s="9"/>
      <c r="C16882" s="9"/>
      <c r="D16882" t="str">
        <f>"W01H2.11"</f>
        <v>W01H2.11</v>
      </c>
      <c r="F16882" t="s">
        <v>2977</v>
      </c>
      <c r="H16882" s="12">
        <v>-3.7261494131482999</v>
      </c>
      <c r="I16882" s="20">
        <v>-0.38454673129429601</v>
      </c>
      <c r="J16882" s="28">
        <v>0.70057326682554</v>
      </c>
      <c r="K16882" s="29">
        <v>0.98289565623980701</v>
      </c>
    </row>
    <row r="16883" spans="1:11" x14ac:dyDescent="0.35">
      <c r="A16883" s="9" t="str">
        <f>HYPERLINK("http://www.ensembl.org/id/WBGene00020922", "WBGene00020922")</f>
        <v>WBGene00020922</v>
      </c>
      <c r="B16883" s="9" t="str">
        <f>HYPERLINK("http://www.ncbi.nlm.nih.gov/gene/189094", "189094")</f>
        <v>189094</v>
      </c>
      <c r="C16883" s="9"/>
      <c r="D16883" t="str">
        <f>"W01H2.2"</f>
        <v>W01H2.2</v>
      </c>
      <c r="F16883" t="s">
        <v>11</v>
      </c>
      <c r="H16883" s="12">
        <v>3.6645215954135</v>
      </c>
      <c r="I16883" s="20">
        <v>0.37967131826092498</v>
      </c>
      <c r="J16883" s="28">
        <v>0.70418941338960395</v>
      </c>
      <c r="K16883" s="29">
        <v>0.98289565623980701</v>
      </c>
    </row>
    <row r="16884" spans="1:11" x14ac:dyDescent="0.35">
      <c r="A16884" s="9" t="str">
        <f>HYPERLINK("http://www.ensembl.org/id/WBGene00012192", "WBGene00012192")</f>
        <v>WBGene00012192</v>
      </c>
      <c r="B16884" s="9" t="str">
        <f>HYPERLINK("http://www.ncbi.nlm.nih.gov/gene/173142", "173142")</f>
        <v>173142</v>
      </c>
      <c r="C16884" s="9" t="str">
        <f>HYPERLINK("http://www.ncbi.nlm.nih.gov/gene/115708", "115708")</f>
        <v>115708</v>
      </c>
      <c r="D16884" t="str">
        <f>"W02A11.1"</f>
        <v>W02A11.1</v>
      </c>
      <c r="E16884" t="s">
        <v>8820</v>
      </c>
      <c r="F16884" t="s">
        <v>11</v>
      </c>
      <c r="G16884" t="s">
        <v>8821</v>
      </c>
      <c r="H16884" s="12">
        <v>-1.1994506209884599</v>
      </c>
      <c r="I16884" s="20">
        <v>-0.74040486323845101</v>
      </c>
      <c r="J16884" s="28">
        <v>0.45905436879682099</v>
      </c>
      <c r="K16884" s="29">
        <v>0.98289565623980701</v>
      </c>
    </row>
    <row r="16885" spans="1:11" x14ac:dyDescent="0.35">
      <c r="A16885" s="9" t="str">
        <f>HYPERLINK("http://www.ensembl.org/id/WBGene00196147", "WBGene00196147")</f>
        <v>WBGene00196147</v>
      </c>
      <c r="B16885" s="9"/>
      <c r="C16885" s="9"/>
      <c r="D16885" t="str">
        <f>"W02A2.10"</f>
        <v>W02A2.10</v>
      </c>
      <c r="F16885" t="s">
        <v>481</v>
      </c>
      <c r="H16885" s="12">
        <v>-2.4772140472330402</v>
      </c>
      <c r="I16885" s="20">
        <v>-0.26891282500069902</v>
      </c>
      <c r="J16885" s="28">
        <v>0.78799676746418601</v>
      </c>
      <c r="K16885" s="29">
        <v>0.98289565623980701</v>
      </c>
    </row>
    <row r="16886" spans="1:11" x14ac:dyDescent="0.35">
      <c r="A16886" s="9" t="str">
        <f>HYPERLINK("http://www.ensembl.org/id/WBGene00012189", "WBGene00012189")</f>
        <v>WBGene00012189</v>
      </c>
      <c r="B16886" s="9"/>
      <c r="C16886" s="9"/>
      <c r="D16886" t="str">
        <f>"W02A2.4"</f>
        <v>W02A2.4</v>
      </c>
      <c r="F16886" t="s">
        <v>80</v>
      </c>
      <c r="H16886" s="12">
        <v>1.5771724972602801</v>
      </c>
      <c r="I16886" s="20">
        <v>0.472931763530067</v>
      </c>
      <c r="J16886" s="28">
        <v>0.63626186264411899</v>
      </c>
      <c r="K16886" s="29">
        <v>0.98289565623980701</v>
      </c>
    </row>
    <row r="16887" spans="1:11" x14ac:dyDescent="0.35">
      <c r="A16887" s="9" t="str">
        <f>HYPERLINK("http://www.ensembl.org/id/WBGene00012190", "WBGene00012190")</f>
        <v>WBGene00012190</v>
      </c>
      <c r="B16887" s="9" t="str">
        <f>HYPERLINK("http://www.ncbi.nlm.nih.gov/gene/189098", "189098")</f>
        <v>189098</v>
      </c>
      <c r="C16887" s="9"/>
      <c r="D16887" t="str">
        <f>"W02A2.5"</f>
        <v>W02A2.5</v>
      </c>
      <c r="F16887" t="s">
        <v>11</v>
      </c>
      <c r="G16887" t="s">
        <v>25</v>
      </c>
      <c r="H16887" s="12">
        <v>6.3020382939520596</v>
      </c>
      <c r="I16887" s="20">
        <v>1.0704079553622401</v>
      </c>
      <c r="J16887" s="28">
        <v>0.28443571997440098</v>
      </c>
      <c r="K16887" s="29">
        <v>0.98289565623980701</v>
      </c>
    </row>
    <row r="16888" spans="1:11" x14ac:dyDescent="0.35">
      <c r="A16888" s="9" t="str">
        <f>HYPERLINK("http://www.ensembl.org/id/WBGene00012191", "WBGene00012191")</f>
        <v>WBGene00012191</v>
      </c>
      <c r="B16888" s="9" t="str">
        <f>HYPERLINK("http://www.ncbi.nlm.nih.gov/gene/189099", "189099")</f>
        <v>189099</v>
      </c>
      <c r="C16888" s="9"/>
      <c r="D16888" t="str">
        <f>"W02A2.8"</f>
        <v>W02A2.8</v>
      </c>
      <c r="F16888" t="s">
        <v>11</v>
      </c>
      <c r="G16888" t="s">
        <v>9955</v>
      </c>
      <c r="H16888" s="12">
        <v>-1.47515269483141</v>
      </c>
      <c r="I16888" s="20">
        <v>-0.33892682018557702</v>
      </c>
      <c r="J16888" s="28">
        <v>0.73466485939920101</v>
      </c>
      <c r="K16888" s="29">
        <v>0.98289565623980701</v>
      </c>
    </row>
    <row r="16889" spans="1:11" x14ac:dyDescent="0.35">
      <c r="A16889" s="9" t="str">
        <f>HYPERLINK("http://www.ensembl.org/id/WBGene00012201", "WBGene00012201")</f>
        <v>WBGene00012201</v>
      </c>
      <c r="B16889" s="9" t="str">
        <f>HYPERLINK("http://www.ncbi.nlm.nih.gov/gene/174746", "174746")</f>
        <v>174746</v>
      </c>
      <c r="C16889" s="9"/>
      <c r="D16889" t="str">
        <f>"W02B12.1"</f>
        <v>W02B12.1</v>
      </c>
      <c r="F16889" t="s">
        <v>11</v>
      </c>
      <c r="G16889" t="s">
        <v>588</v>
      </c>
      <c r="H16889" s="12">
        <v>-1.2960647488819901</v>
      </c>
      <c r="I16889" s="20">
        <v>-1.1147555378405201</v>
      </c>
      <c r="J16889" s="28">
        <v>0.26495519439641602</v>
      </c>
      <c r="K16889" s="29">
        <v>0.98289565623980701</v>
      </c>
    </row>
    <row r="16890" spans="1:11" x14ac:dyDescent="0.35">
      <c r="A16890" s="9" t="str">
        <f>HYPERLINK("http://www.ensembl.org/id/WBGene00012207", "WBGene00012207")</f>
        <v>WBGene00012207</v>
      </c>
      <c r="B16890" s="9" t="str">
        <f>HYPERLINK("http://www.ncbi.nlm.nih.gov/gene/174755", "174755")</f>
        <v>174755</v>
      </c>
      <c r="C16890" s="9" t="str">
        <f>HYPERLINK("http://www.ncbi.nlm.nih.gov/gene/283629", "283629")</f>
        <v>283629</v>
      </c>
      <c r="D16890" t="str">
        <f>"W02B12.12"</f>
        <v>W02B12.12</v>
      </c>
      <c r="F16890" t="s">
        <v>11</v>
      </c>
      <c r="G16890" t="s">
        <v>4318</v>
      </c>
      <c r="H16890" s="12">
        <v>1.22222050378142</v>
      </c>
      <c r="I16890" s="20">
        <v>0.29667388458053701</v>
      </c>
      <c r="J16890" s="28">
        <v>0.76671549694237995</v>
      </c>
      <c r="K16890" s="29">
        <v>0.98289565623980701</v>
      </c>
    </row>
    <row r="16891" spans="1:11" x14ac:dyDescent="0.35">
      <c r="A16891" s="9" t="str">
        <f>HYPERLINK("http://www.ensembl.org/id/WBGene00020923", "WBGene00020923")</f>
        <v>WBGene00020923</v>
      </c>
      <c r="B16891" s="9" t="str">
        <f>HYPERLINK("http://www.ncbi.nlm.nih.gov/gene/189103", "189103")</f>
        <v>189103</v>
      </c>
      <c r="C16891" s="9"/>
      <c r="D16891" t="str">
        <f>"W02B3.3"</f>
        <v>W02B3.3</v>
      </c>
      <c r="F16891" t="s">
        <v>11</v>
      </c>
      <c r="H16891" s="12">
        <v>3.6645215954135</v>
      </c>
      <c r="I16891" s="20">
        <v>0.37967131826092498</v>
      </c>
      <c r="J16891" s="28">
        <v>0.70418941338960395</v>
      </c>
      <c r="K16891" s="29">
        <v>0.98289565623980701</v>
      </c>
    </row>
    <row r="16892" spans="1:11" x14ac:dyDescent="0.35">
      <c r="A16892" s="9" t="str">
        <f>HYPERLINK("http://www.ensembl.org/id/WBGene00020924", "WBGene00020924")</f>
        <v>WBGene00020924</v>
      </c>
      <c r="B16892" s="9" t="str">
        <f>HYPERLINK("http://www.ncbi.nlm.nih.gov/gene/189104", "189104")</f>
        <v>189104</v>
      </c>
      <c r="C16892" s="9"/>
      <c r="D16892" t="str">
        <f>"W02B3.4"</f>
        <v>W02B3.4</v>
      </c>
      <c r="F16892" t="s">
        <v>11</v>
      </c>
      <c r="G16892" t="s">
        <v>25</v>
      </c>
      <c r="H16892" s="12">
        <v>-1.15384698262107</v>
      </c>
      <c r="I16892" s="20">
        <v>-0.63943157247709004</v>
      </c>
      <c r="J16892" s="28">
        <v>0.52254221526882305</v>
      </c>
      <c r="K16892" s="29">
        <v>0.98289565623980701</v>
      </c>
    </row>
    <row r="16893" spans="1:11" x14ac:dyDescent="0.35">
      <c r="A16893" s="9" t="str">
        <f>HYPERLINK("http://www.ensembl.org/id/WBGene00012197", "WBGene00012197")</f>
        <v>WBGene00012197</v>
      </c>
      <c r="B16893" s="9" t="str">
        <f>HYPERLINK("http://www.ncbi.nlm.nih.gov/gene/175042", "175042")</f>
        <v>175042</v>
      </c>
      <c r="C16893" s="9"/>
      <c r="D16893" t="str">
        <f>"W02B8.1"</f>
        <v>W02B8.1</v>
      </c>
      <c r="F16893" t="s">
        <v>11</v>
      </c>
      <c r="G16893" t="s">
        <v>25</v>
      </c>
      <c r="H16893" s="12">
        <v>1.1603716868213001</v>
      </c>
      <c r="I16893" s="20">
        <v>0.61289683593767796</v>
      </c>
      <c r="J16893" s="28">
        <v>0.53994455552944898</v>
      </c>
      <c r="K16893" s="29">
        <v>0.98289565623980701</v>
      </c>
    </row>
    <row r="16894" spans="1:11" x14ac:dyDescent="0.35">
      <c r="A16894" s="9" t="str">
        <f>HYPERLINK("http://www.ensembl.org/id/WBGene00012198", "WBGene00012198")</f>
        <v>WBGene00012198</v>
      </c>
      <c r="B16894" s="9" t="str">
        <f>HYPERLINK("http://www.ncbi.nlm.nih.gov/gene/175043", "175043")</f>
        <v>175043</v>
      </c>
      <c r="C16894" s="9"/>
      <c r="D16894" t="str">
        <f>"W02B8.2"</f>
        <v>W02B8.2</v>
      </c>
      <c r="F16894" t="s">
        <v>11</v>
      </c>
      <c r="G16894" t="s">
        <v>5514</v>
      </c>
      <c r="H16894" s="12">
        <v>1.1529737317278099</v>
      </c>
      <c r="I16894" s="20">
        <v>0.572612871011556</v>
      </c>
      <c r="J16894" s="28">
        <v>0.56690684296069704</v>
      </c>
      <c r="K16894" s="29">
        <v>0.98289565623980701</v>
      </c>
    </row>
    <row r="16895" spans="1:11" x14ac:dyDescent="0.35">
      <c r="A16895" s="9" t="str">
        <f>HYPERLINK("http://www.ensembl.org/id/WBGene00020929", "WBGene00020929")</f>
        <v>WBGene00020929</v>
      </c>
      <c r="B16895" s="9" t="str">
        <f>HYPERLINK("http://www.ncbi.nlm.nih.gov/gene/177155", "177155")</f>
        <v>177155</v>
      </c>
      <c r="C16895" s="9"/>
      <c r="D16895" t="str">
        <f>"W02C12.2"</f>
        <v>W02C12.2</v>
      </c>
      <c r="F16895" t="s">
        <v>11</v>
      </c>
      <c r="G16895" t="s">
        <v>25</v>
      </c>
      <c r="H16895" s="12">
        <v>1.3608557562797301</v>
      </c>
      <c r="I16895" s="20">
        <v>1.1347421996753499</v>
      </c>
      <c r="J16895" s="28">
        <v>0.256483350411081</v>
      </c>
      <c r="K16895" s="29">
        <v>0.98289565623980701</v>
      </c>
    </row>
    <row r="16896" spans="1:11" x14ac:dyDescent="0.35">
      <c r="A16896" s="9" t="str">
        <f>HYPERLINK("http://www.ensembl.org/id/WBGene00220113", "WBGene00220113")</f>
        <v>WBGene00220113</v>
      </c>
      <c r="B16896" s="9"/>
      <c r="C16896" s="9"/>
      <c r="D16896" t="str">
        <f>"W02C12.4"</f>
        <v>W02C12.4</v>
      </c>
      <c r="F16896" t="s">
        <v>481</v>
      </c>
      <c r="H16896" s="12">
        <v>-2.4295389261469</v>
      </c>
      <c r="I16896" s="20">
        <v>-0.25808529976640998</v>
      </c>
      <c r="J16896" s="28">
        <v>0.79634107645457397</v>
      </c>
      <c r="K16896" s="29">
        <v>0.98289565623980701</v>
      </c>
    </row>
    <row r="16897" spans="1:11" x14ac:dyDescent="0.35">
      <c r="A16897" s="9" t="str">
        <f>HYPERLINK("http://www.ensembl.org/id/WBGene00020937", "WBGene00020937")</f>
        <v>WBGene00020937</v>
      </c>
      <c r="B16897" s="9" t="str">
        <f>HYPERLINK("http://www.ncbi.nlm.nih.gov/gene/259380", "259380")</f>
        <v>259380</v>
      </c>
      <c r="C16897" s="9"/>
      <c r="D16897" t="str">
        <f>"W02D3.12"</f>
        <v>W02D3.12</v>
      </c>
      <c r="F16897" t="s">
        <v>11</v>
      </c>
      <c r="G16897" t="s">
        <v>7042</v>
      </c>
      <c r="H16897" s="12">
        <v>-1.1041207106409201</v>
      </c>
      <c r="I16897" s="20">
        <v>-0.37985092907628198</v>
      </c>
      <c r="J16897" s="28">
        <v>0.70405607478877497</v>
      </c>
      <c r="K16897" s="29">
        <v>0.98289565623980701</v>
      </c>
    </row>
    <row r="16898" spans="1:11" x14ac:dyDescent="0.35">
      <c r="A16898" s="9" t="str">
        <f>HYPERLINK("http://www.ensembl.org/id/WBGene00044356", "WBGene00044356")</f>
        <v>WBGene00044356</v>
      </c>
      <c r="B16898" s="9" t="str">
        <f>HYPERLINK("http://www.ncbi.nlm.nih.gov/gene/3564900", "3564900")</f>
        <v>3564900</v>
      </c>
      <c r="C16898" s="9"/>
      <c r="D16898" t="str">
        <f>"W02D7.12"</f>
        <v>W02D7.12</v>
      </c>
      <c r="F16898" t="s">
        <v>11</v>
      </c>
      <c r="H16898" s="12">
        <v>-2.4295389261469</v>
      </c>
      <c r="I16898" s="20">
        <v>-0.25808529976640998</v>
      </c>
      <c r="J16898" s="28">
        <v>0.79634107645457397</v>
      </c>
      <c r="K16898" s="29">
        <v>0.98289565623980701</v>
      </c>
    </row>
    <row r="16899" spans="1:11" x14ac:dyDescent="0.35">
      <c r="A16899" s="9" t="str">
        <f>HYPERLINK("http://www.ensembl.org/id/WBGene00020942", "WBGene00020942")</f>
        <v>WBGene00020942</v>
      </c>
      <c r="B16899" s="9" t="str">
        <f>HYPERLINK("http://www.ncbi.nlm.nih.gov/gene/179212", "179212")</f>
        <v>179212</v>
      </c>
      <c r="C16899" s="9"/>
      <c r="D16899" t="str">
        <f>"W02D7.6"</f>
        <v>W02D7.6</v>
      </c>
      <c r="F16899" t="s">
        <v>11</v>
      </c>
      <c r="H16899" s="12">
        <v>-1.22625286269994</v>
      </c>
      <c r="I16899" s="20">
        <v>-0.92604955101611297</v>
      </c>
      <c r="J16899" s="28">
        <v>0.35442022984178301</v>
      </c>
      <c r="K16899" s="29">
        <v>0.98289565623980701</v>
      </c>
    </row>
    <row r="16900" spans="1:11" x14ac:dyDescent="0.35">
      <c r="A16900" s="9" t="str">
        <f>HYPERLINK("http://www.ensembl.org/id/WBGene00020943", "WBGene00020943")</f>
        <v>WBGene00020943</v>
      </c>
      <c r="B16900" s="9" t="str">
        <f>HYPERLINK("http://www.ncbi.nlm.nih.gov/gene/189118", "189118")</f>
        <v>189118</v>
      </c>
      <c r="C16900" s="9"/>
      <c r="D16900" t="str">
        <f>"W02D7.8"</f>
        <v>W02D7.8</v>
      </c>
      <c r="F16900" t="s">
        <v>11</v>
      </c>
      <c r="G16900" t="s">
        <v>25</v>
      </c>
      <c r="H16900" s="12">
        <v>-1.2969952779407901</v>
      </c>
      <c r="I16900" s="20">
        <v>-0.75946247749997897</v>
      </c>
      <c r="J16900" s="28">
        <v>0.44757595178267401</v>
      </c>
      <c r="K16900" s="29">
        <v>0.98289565623980701</v>
      </c>
    </row>
    <row r="16901" spans="1:11" x14ac:dyDescent="0.35">
      <c r="A16901" s="9" t="str">
        <f>HYPERLINK("http://www.ensembl.org/id/WBGene00020944", "WBGene00020944")</f>
        <v>WBGene00020944</v>
      </c>
      <c r="B16901" s="9"/>
      <c r="C16901" s="9"/>
      <c r="D16901" t="str">
        <f>"W02D7.9"</f>
        <v>W02D7.9</v>
      </c>
      <c r="F16901" t="s">
        <v>481</v>
      </c>
      <c r="H16901" s="12">
        <v>-1.72015738873766</v>
      </c>
      <c r="I16901" s="20">
        <v>-0.27236994838053602</v>
      </c>
      <c r="J16901" s="28">
        <v>0.78533757722282105</v>
      </c>
      <c r="K16901" s="29">
        <v>0.98289565623980701</v>
      </c>
    </row>
    <row r="16902" spans="1:11" x14ac:dyDescent="0.35">
      <c r="A16902" s="9" t="str">
        <f>HYPERLINK("http://www.ensembl.org/id/WBGene00012216", "WBGene00012216")</f>
        <v>WBGene00012216</v>
      </c>
      <c r="B16902" s="9" t="str">
        <f>HYPERLINK("http://www.ncbi.nlm.nih.gov/gene/173125", "173125")</f>
        <v>173125</v>
      </c>
      <c r="C16902" s="9"/>
      <c r="D16902" t="str">
        <f>"W02D9.10"</f>
        <v>W02D9.10</v>
      </c>
      <c r="F16902" t="s">
        <v>11</v>
      </c>
      <c r="H16902" s="12">
        <v>1.0872170445510501</v>
      </c>
      <c r="I16902" s="20">
        <v>0.415031581669973</v>
      </c>
      <c r="J16902" s="28">
        <v>0.678118783853356</v>
      </c>
      <c r="K16902" s="29">
        <v>0.98289565623980701</v>
      </c>
    </row>
    <row r="16903" spans="1:11" x14ac:dyDescent="0.35">
      <c r="A16903" s="9" t="str">
        <f>HYPERLINK("http://www.ensembl.org/id/WBGene00012208", "WBGene00012208")</f>
        <v>WBGene00012208</v>
      </c>
      <c r="B16903" s="9" t="str">
        <f>HYPERLINK("http://www.ncbi.nlm.nih.gov/gene/173123", "173123")</f>
        <v>173123</v>
      </c>
      <c r="C16903" s="9" t="str">
        <f>HYPERLINK("http://www.ncbi.nlm.nih.gov/gene/286451", "286451")</f>
        <v>286451</v>
      </c>
      <c r="D16903" t="str">
        <f>"W02D9.2"</f>
        <v>W02D9.2</v>
      </c>
      <c r="F16903" t="s">
        <v>11</v>
      </c>
      <c r="G16903" t="s">
        <v>25</v>
      </c>
      <c r="H16903" s="12">
        <v>-1.2214496358154601</v>
      </c>
      <c r="I16903" s="20">
        <v>-1.0355971274501099</v>
      </c>
      <c r="J16903" s="28">
        <v>0.30039013266772902</v>
      </c>
      <c r="K16903" s="29">
        <v>0.98289565623980701</v>
      </c>
    </row>
    <row r="16904" spans="1:11" x14ac:dyDescent="0.35">
      <c r="A16904" s="9" t="str">
        <f>HYPERLINK("http://www.ensembl.org/id/WBGene00012213", "WBGene00012213")</f>
        <v>WBGene00012213</v>
      </c>
      <c r="B16904" s="9" t="str">
        <f>HYPERLINK("http://www.ncbi.nlm.nih.gov/gene/173126", "173126")</f>
        <v>173126</v>
      </c>
      <c r="C16904" s="9"/>
      <c r="D16904" t="str">
        <f>"W02D9.7"</f>
        <v>W02D9.7</v>
      </c>
      <c r="F16904" t="s">
        <v>11</v>
      </c>
      <c r="H16904" s="12">
        <v>-1.2060944586450899</v>
      </c>
      <c r="I16904" s="20">
        <v>-1.00789825750749</v>
      </c>
      <c r="J16904" s="28">
        <v>0.31350330825503497</v>
      </c>
      <c r="K16904" s="29">
        <v>0.98289565623980701</v>
      </c>
    </row>
    <row r="16905" spans="1:11" x14ac:dyDescent="0.35">
      <c r="A16905" s="9" t="str">
        <f>HYPERLINK("http://www.ensembl.org/id/WBGene00012214", "WBGene00012214")</f>
        <v>WBGene00012214</v>
      </c>
      <c r="B16905" s="9" t="str">
        <f>HYPERLINK("http://www.ncbi.nlm.nih.gov/gene/189122", "189122")</f>
        <v>189122</v>
      </c>
      <c r="C16905" s="9"/>
      <c r="D16905" t="str">
        <f>"W02D9.8"</f>
        <v>W02D9.8</v>
      </c>
      <c r="F16905" t="s">
        <v>11</v>
      </c>
      <c r="G16905" t="s">
        <v>25</v>
      </c>
      <c r="H16905" s="12">
        <v>-2.4991590031922399</v>
      </c>
      <c r="I16905" s="20">
        <v>-0.26577412737581302</v>
      </c>
      <c r="J16905" s="28">
        <v>0.79041317015736101</v>
      </c>
      <c r="K16905" s="29">
        <v>0.98289565623980701</v>
      </c>
    </row>
    <row r="16906" spans="1:11" x14ac:dyDescent="0.35">
      <c r="A16906" s="9" t="str">
        <f>HYPERLINK("http://www.ensembl.org/id/WBGene00012215", "WBGene00012215")</f>
        <v>WBGene00012215</v>
      </c>
      <c r="B16906" s="9" t="str">
        <f>HYPERLINK("http://www.ncbi.nlm.nih.gov/gene/189123", "189123")</f>
        <v>189123</v>
      </c>
      <c r="C16906" s="9"/>
      <c r="D16906" t="str">
        <f>"W02D9.9"</f>
        <v>W02D9.9</v>
      </c>
      <c r="F16906" t="s">
        <v>11</v>
      </c>
      <c r="G16906" t="s">
        <v>25</v>
      </c>
      <c r="H16906" s="12">
        <v>3.0105181145822901</v>
      </c>
      <c r="I16906" s="20">
        <v>0.41639261058244798</v>
      </c>
      <c r="J16906" s="28">
        <v>0.67712273475086904</v>
      </c>
      <c r="K16906" s="29">
        <v>0.98289565623980701</v>
      </c>
    </row>
    <row r="16907" spans="1:11" x14ac:dyDescent="0.35">
      <c r="A16907" s="9" t="str">
        <f>HYPERLINK("http://www.ensembl.org/id/WBGene00023355", "WBGene00023355")</f>
        <v>WBGene00023355</v>
      </c>
      <c r="B16907" s="9"/>
      <c r="C16907" s="9"/>
      <c r="D16907" t="str">
        <f>"W02F12.1"</f>
        <v>W02F12.1</v>
      </c>
      <c r="F16907" t="s">
        <v>80</v>
      </c>
      <c r="H16907" s="12">
        <v>-1.18049451632444</v>
      </c>
      <c r="I16907" s="20">
        <v>-0.256850603804607</v>
      </c>
      <c r="J16907" s="28">
        <v>0.79729410394451505</v>
      </c>
      <c r="K16907" s="29">
        <v>0.98289565623980701</v>
      </c>
    </row>
    <row r="16908" spans="1:11" x14ac:dyDescent="0.35">
      <c r="A16908" s="9" t="str">
        <f>HYPERLINK("http://www.ensembl.org/id/WBGene00175027", "WBGene00175027")</f>
        <v>WBGene00175027</v>
      </c>
      <c r="B16908" s="9" t="str">
        <f>HYPERLINK("http://www.ncbi.nlm.nih.gov/gene/13213356", "13213356")</f>
        <v>13213356</v>
      </c>
      <c r="C16908" s="9"/>
      <c r="D16908" t="str">
        <f>"W02F12.8"</f>
        <v>W02F12.8</v>
      </c>
      <c r="F16908" t="s">
        <v>11</v>
      </c>
      <c r="H16908" s="12">
        <v>1.48227570418154</v>
      </c>
      <c r="I16908" s="20">
        <v>0.62606778935989205</v>
      </c>
      <c r="J16908" s="28">
        <v>0.53127047844779796</v>
      </c>
      <c r="K16908" s="29">
        <v>0.98289565623980701</v>
      </c>
    </row>
    <row r="16909" spans="1:11" x14ac:dyDescent="0.35">
      <c r="A16909" s="9" t="str">
        <f>HYPERLINK("http://www.ensembl.org/id/WBGene00020953", "WBGene00020953")</f>
        <v>WBGene00020953</v>
      </c>
      <c r="B16909" s="9" t="str">
        <f>HYPERLINK("http://www.ncbi.nlm.nih.gov/gene/178732", "178732")</f>
        <v>178732</v>
      </c>
      <c r="C16909" s="9"/>
      <c r="D16909" t="str">
        <f>"W02G9.3"</f>
        <v>W02G9.3</v>
      </c>
      <c r="F16909" t="s">
        <v>11</v>
      </c>
      <c r="G16909" t="s">
        <v>9680</v>
      </c>
      <c r="H16909" s="12">
        <v>-1.27893688442383</v>
      </c>
      <c r="I16909" s="20">
        <v>-0.97989438932585704</v>
      </c>
      <c r="J16909" s="28">
        <v>0.32713825278650999</v>
      </c>
      <c r="K16909" s="29">
        <v>0.98289565623980701</v>
      </c>
    </row>
    <row r="16910" spans="1:11" x14ac:dyDescent="0.35">
      <c r="A16910" s="9" t="str">
        <f>HYPERLINK("http://www.ensembl.org/id/WBGene00023158", "WBGene00023158")</f>
        <v>WBGene00023158</v>
      </c>
      <c r="B16910" s="9"/>
      <c r="C16910" s="9"/>
      <c r="D16910" t="str">
        <f>"W02G9.t2"</f>
        <v>W02G9.t2</v>
      </c>
      <c r="F16910" t="s">
        <v>4208</v>
      </c>
      <c r="H16910" s="12">
        <v>-1.3127783101613799</v>
      </c>
      <c r="I16910" s="20">
        <v>-0.26997587576145798</v>
      </c>
      <c r="J16910" s="28">
        <v>0.78717881305196202</v>
      </c>
      <c r="K16910" s="29">
        <v>0.98289565623980701</v>
      </c>
    </row>
    <row r="16911" spans="1:11" x14ac:dyDescent="0.35">
      <c r="A16911" s="9" t="str">
        <f>HYPERLINK("http://www.ensembl.org/id/WBGene00012217", "WBGene00012217")</f>
        <v>WBGene00012217</v>
      </c>
      <c r="B16911" s="9" t="str">
        <f>HYPERLINK("http://www.ncbi.nlm.nih.gov/gene/189130", "189130")</f>
        <v>189130</v>
      </c>
      <c r="C16911" s="9"/>
      <c r="D16911" t="str">
        <f>"W02H3.1"</f>
        <v>W02H3.1</v>
      </c>
      <c r="F16911" t="s">
        <v>11</v>
      </c>
      <c r="H16911" s="12">
        <v>1.1531484106726599</v>
      </c>
      <c r="I16911" s="20">
        <v>0.34069907363149399</v>
      </c>
      <c r="J16911" s="28">
        <v>0.73333013612879605</v>
      </c>
      <c r="K16911" s="29">
        <v>0.98289565623980701</v>
      </c>
    </row>
    <row r="16912" spans="1:11" x14ac:dyDescent="0.35">
      <c r="A16912" s="9" t="str">
        <f>HYPERLINK("http://www.ensembl.org/id/WBGene00012218", "WBGene00012218")</f>
        <v>WBGene00012218</v>
      </c>
      <c r="B16912" s="9"/>
      <c r="C16912" s="9"/>
      <c r="D16912" t="str">
        <f>"W02H3.2"</f>
        <v>W02H3.2</v>
      </c>
      <c r="F16912" t="s">
        <v>80</v>
      </c>
      <c r="H16912" s="12">
        <v>3.43969707932761</v>
      </c>
      <c r="I16912" s="20">
        <v>0.70015205141696202</v>
      </c>
      <c r="J16912" s="28">
        <v>0.48383235219373</v>
      </c>
      <c r="K16912" s="29">
        <v>0.98289565623980701</v>
      </c>
    </row>
    <row r="16913" spans="1:11" x14ac:dyDescent="0.35">
      <c r="A16913" s="9" t="str">
        <f>HYPERLINK("http://www.ensembl.org/id/WBGene00014538", "WBGene00014538")</f>
        <v>WBGene00014538</v>
      </c>
      <c r="B16913" s="9"/>
      <c r="C16913" s="9"/>
      <c r="D16913" t="str">
        <f>"W02H3.t1"</f>
        <v>W02H3.t1</v>
      </c>
      <c r="F16913" t="s">
        <v>4208</v>
      </c>
      <c r="H16913" s="12">
        <v>-3.5819448292659501</v>
      </c>
      <c r="I16913" s="20">
        <v>-0.37337717500031398</v>
      </c>
      <c r="J16913" s="28">
        <v>0.70886774492290605</v>
      </c>
      <c r="K16913" s="29">
        <v>0.98289565623980701</v>
      </c>
    </row>
    <row r="16914" spans="1:11" x14ac:dyDescent="0.35">
      <c r="A16914" s="9" t="str">
        <f>HYPERLINK("http://www.ensembl.org/id/WBGene00194896", "WBGene00194896")</f>
        <v>WBGene00194896</v>
      </c>
      <c r="B16914" s="9" t="str">
        <f>HYPERLINK("http://www.ncbi.nlm.nih.gov/gene/13211997", "13211997")</f>
        <v>13211997</v>
      </c>
      <c r="C16914" s="9"/>
      <c r="D16914" t="str">
        <f>"W02H5.11"</f>
        <v>W02H5.11</v>
      </c>
      <c r="F16914" t="s">
        <v>11</v>
      </c>
      <c r="G16914" t="s">
        <v>25</v>
      </c>
      <c r="H16914" s="12">
        <v>4.2794957102261098</v>
      </c>
      <c r="I16914" s="20">
        <v>0.67243333028224705</v>
      </c>
      <c r="J16914" s="28">
        <v>0.50130787004348398</v>
      </c>
      <c r="K16914" s="29">
        <v>0.98289565623980701</v>
      </c>
    </row>
    <row r="16915" spans="1:11" x14ac:dyDescent="0.35">
      <c r="A16915" s="9" t="str">
        <f>HYPERLINK("http://www.ensembl.org/id/WBGene00206511", "WBGene00206511")</f>
        <v>WBGene00206511</v>
      </c>
      <c r="B16915" s="9" t="str">
        <f>HYPERLINK("http://www.ncbi.nlm.nih.gov/gene/13211995", "13211995")</f>
        <v>13211995</v>
      </c>
      <c r="C16915" s="9"/>
      <c r="D16915" t="str">
        <f>"W02H5.16"</f>
        <v>W02H5.16</v>
      </c>
      <c r="F16915" t="s">
        <v>11</v>
      </c>
      <c r="G16915" t="s">
        <v>25</v>
      </c>
      <c r="H16915" s="12">
        <v>2.3023301924467101</v>
      </c>
      <c r="I16915" s="20">
        <v>0.26674601818072902</v>
      </c>
      <c r="J16915" s="28">
        <v>0.78966471981773201</v>
      </c>
      <c r="K16915" s="29">
        <v>0.98289565623980701</v>
      </c>
    </row>
    <row r="16916" spans="1:11" x14ac:dyDescent="0.35">
      <c r="A16916" s="9" t="str">
        <f>HYPERLINK("http://www.ensembl.org/id/WBGene00302982", "WBGene00302982")</f>
        <v>WBGene00302982</v>
      </c>
      <c r="B16916" s="9" t="str">
        <f>HYPERLINK("http://www.ncbi.nlm.nih.gov/gene/36805049", "36805049")</f>
        <v>36805049</v>
      </c>
      <c r="C16916" s="9"/>
      <c r="D16916" t="str">
        <f>"W02H5.19"</f>
        <v>W02H5.19</v>
      </c>
      <c r="F16916" t="s">
        <v>11</v>
      </c>
      <c r="H16916" s="12">
        <v>-1.27170154075126</v>
      </c>
      <c r="I16916" s="20">
        <v>-0.77955491939327604</v>
      </c>
      <c r="J16916" s="28">
        <v>0.43565289956519498</v>
      </c>
      <c r="K16916" s="29">
        <v>0.98289565623980701</v>
      </c>
    </row>
    <row r="16917" spans="1:11" x14ac:dyDescent="0.35">
      <c r="A16917" s="9" t="str">
        <f>HYPERLINK("http://www.ensembl.org/id/WBGene00020957", "WBGene00020957")</f>
        <v>WBGene00020957</v>
      </c>
      <c r="B16917" s="9" t="str">
        <f>HYPERLINK("http://www.ncbi.nlm.nih.gov/gene/189134", "189134")</f>
        <v>189134</v>
      </c>
      <c r="C16917" s="9"/>
      <c r="D16917" t="str">
        <f>"W02H5.2"</f>
        <v>W02H5.2</v>
      </c>
      <c r="F16917" t="s">
        <v>11</v>
      </c>
      <c r="G16917" t="s">
        <v>8375</v>
      </c>
      <c r="H16917" s="12">
        <v>-1.17418894193692</v>
      </c>
      <c r="I16917" s="20">
        <v>-0.77351761486057502</v>
      </c>
      <c r="J16917" s="28">
        <v>0.43921610805544098</v>
      </c>
      <c r="K16917" s="29">
        <v>0.98289565623980701</v>
      </c>
    </row>
    <row r="16918" spans="1:11" x14ac:dyDescent="0.35">
      <c r="A16918" s="9" t="str">
        <f>HYPERLINK("http://www.ensembl.org/id/WBGene00020962", "WBGene00020962")</f>
        <v>WBGene00020962</v>
      </c>
      <c r="B16918" s="9" t="str">
        <f>HYPERLINK("http://www.ncbi.nlm.nih.gov/gene/178730", "178730")</f>
        <v>178730</v>
      </c>
      <c r="C16918" s="9" t="str">
        <f>HYPERLINK("http://www.ncbi.nlm.nih.gov/gene/26007", "26007")</f>
        <v>26007</v>
      </c>
      <c r="D16918" t="str">
        <f>"W02H5.8"</f>
        <v>W02H5.8</v>
      </c>
      <c r="F16918" t="s">
        <v>11</v>
      </c>
      <c r="G16918" t="s">
        <v>7965</v>
      </c>
      <c r="H16918" s="12">
        <v>-1.15348003856241</v>
      </c>
      <c r="I16918" s="20">
        <v>-0.63743013827147199</v>
      </c>
      <c r="J16918" s="28">
        <v>0.52384470237629899</v>
      </c>
      <c r="K16918" s="29">
        <v>0.98289565623980701</v>
      </c>
    </row>
    <row r="16919" spans="1:11" x14ac:dyDescent="0.35">
      <c r="A16919" s="9" t="str">
        <f>HYPERLINK("http://www.ensembl.org/id/WBGene00020970", "WBGene00020970")</f>
        <v>WBGene00020970</v>
      </c>
      <c r="B16919" s="9" t="str">
        <f>HYPERLINK("http://www.ncbi.nlm.nih.gov/gene/189142", "189142")</f>
        <v>189142</v>
      </c>
      <c r="C16919" s="9"/>
      <c r="D16919" t="str">
        <f>"W03A5.6"</f>
        <v>W03A5.6</v>
      </c>
      <c r="F16919" t="s">
        <v>11</v>
      </c>
      <c r="G16919" t="s">
        <v>6894</v>
      </c>
      <c r="H16919" s="12">
        <v>-1.09510127946244</v>
      </c>
      <c r="I16919" s="20">
        <v>-0.42786682196952103</v>
      </c>
      <c r="J16919" s="28">
        <v>0.66874808363012095</v>
      </c>
      <c r="K16919" s="29">
        <v>0.98289565623980701</v>
      </c>
    </row>
    <row r="16920" spans="1:11" x14ac:dyDescent="0.35">
      <c r="A16920" s="9" t="str">
        <f>HYPERLINK("http://www.ensembl.org/id/WBGene00020971", "WBGene00020971")</f>
        <v>WBGene00020971</v>
      </c>
      <c r="B16920" s="9"/>
      <c r="C16920" s="9"/>
      <c r="D16920" t="str">
        <f>"W03B1.1"</f>
        <v>W03B1.1</v>
      </c>
      <c r="F16920" t="s">
        <v>80</v>
      </c>
      <c r="H16920" s="12">
        <v>-2.4295389261469</v>
      </c>
      <c r="I16920" s="20">
        <v>-0.25808529976640998</v>
      </c>
      <c r="J16920" s="28">
        <v>0.79634107645457397</v>
      </c>
      <c r="K16920" s="29">
        <v>0.98289565623980701</v>
      </c>
    </row>
    <row r="16921" spans="1:11" x14ac:dyDescent="0.35">
      <c r="A16921" s="9" t="str">
        <f>HYPERLINK("http://www.ensembl.org/id/WBGene00020973", "WBGene00020973")</f>
        <v>WBGene00020973</v>
      </c>
      <c r="B16921" s="9" t="str">
        <f>HYPERLINK("http://www.ncbi.nlm.nih.gov/gene/177199", "177199")</f>
        <v>177199</v>
      </c>
      <c r="C16921" s="9"/>
      <c r="D16921" t="str">
        <f>"W03B1.3"</f>
        <v>W03B1.3</v>
      </c>
      <c r="F16921" t="s">
        <v>11</v>
      </c>
      <c r="H16921" s="12">
        <v>-1.6470400750651499</v>
      </c>
      <c r="I16921" s="20">
        <v>-0.71197442258191301</v>
      </c>
      <c r="J16921" s="28">
        <v>0.47648061471000103</v>
      </c>
      <c r="K16921" s="29">
        <v>0.98289565623980701</v>
      </c>
    </row>
    <row r="16922" spans="1:11" x14ac:dyDescent="0.35">
      <c r="A16922" s="9" t="str">
        <f>HYPERLINK("http://www.ensembl.org/id/WBGene00012219", "WBGene00012219")</f>
        <v>WBGene00012219</v>
      </c>
      <c r="B16922" s="9" t="str">
        <f>HYPERLINK("http://www.ncbi.nlm.nih.gov/gene/174832", "174832")</f>
        <v>174832</v>
      </c>
      <c r="C16922" s="9"/>
      <c r="D16922" t="str">
        <f>"W03C9.1"</f>
        <v>W03C9.1</v>
      </c>
      <c r="F16922" t="s">
        <v>11</v>
      </c>
      <c r="G16922" t="s">
        <v>25</v>
      </c>
      <c r="H16922" s="12">
        <v>-2.0289705812505199</v>
      </c>
      <c r="I16922" s="20">
        <v>-0.64499495144824903</v>
      </c>
      <c r="J16922" s="28">
        <v>0.51893045737510302</v>
      </c>
      <c r="K16922" s="29">
        <v>0.98289565623980701</v>
      </c>
    </row>
    <row r="16923" spans="1:11" x14ac:dyDescent="0.35">
      <c r="A16923" s="9" t="str">
        <f>HYPERLINK("http://www.ensembl.org/id/WBGene00012221", "WBGene00012221")</f>
        <v>WBGene00012221</v>
      </c>
      <c r="B16923" s="9" t="str">
        <f>HYPERLINK("http://www.ncbi.nlm.nih.gov/gene/174835", "174835")</f>
        <v>174835</v>
      </c>
      <c r="C16923" s="9"/>
      <c r="D16923" t="str">
        <f>"W03C9.5"</f>
        <v>W03C9.5</v>
      </c>
      <c r="F16923" t="s">
        <v>11</v>
      </c>
      <c r="H16923" s="12">
        <v>-1.2546080779525699</v>
      </c>
      <c r="I16923" s="20">
        <v>-1.1665529358603699</v>
      </c>
      <c r="J16923" s="28">
        <v>0.24339095914381201</v>
      </c>
      <c r="K16923" s="29">
        <v>0.98289565623980701</v>
      </c>
    </row>
    <row r="16924" spans="1:11" x14ac:dyDescent="0.35">
      <c r="A16924" s="9" t="str">
        <f>HYPERLINK("http://www.ensembl.org/id/WBGene00012223", "WBGene00012223")</f>
        <v>WBGene00012223</v>
      </c>
      <c r="B16924" s="9" t="str">
        <f>HYPERLINK("http://www.ncbi.nlm.nih.gov/gene/174831", "174831")</f>
        <v>174831</v>
      </c>
      <c r="C16924" s="9"/>
      <c r="D16924" t="str">
        <f>"W03C9.8"</f>
        <v>W03C9.8</v>
      </c>
      <c r="F16924" t="s">
        <v>11</v>
      </c>
      <c r="G16924" t="s">
        <v>25</v>
      </c>
      <c r="H16924" s="12">
        <v>2.8271374600031698</v>
      </c>
      <c r="I16924" s="20">
        <v>0.47884604899933098</v>
      </c>
      <c r="J16924" s="28">
        <v>0.63204815437182005</v>
      </c>
      <c r="K16924" s="29">
        <v>0.98289565623980701</v>
      </c>
    </row>
    <row r="16925" spans="1:11" x14ac:dyDescent="0.35">
      <c r="A16925" s="9" t="str">
        <f>HYPERLINK("http://www.ensembl.org/id/WBGene00014539", "WBGene00014539")</f>
        <v>WBGene00014539</v>
      </c>
      <c r="B16925" s="9"/>
      <c r="C16925" s="9"/>
      <c r="D16925" t="str">
        <f>"W03C9.t1"</f>
        <v>W03C9.t1</v>
      </c>
      <c r="F16925" t="s">
        <v>4208</v>
      </c>
      <c r="H16925" s="12">
        <v>3.5227018545059199</v>
      </c>
      <c r="I16925" s="20">
        <v>0.36849691206929103</v>
      </c>
      <c r="J16925" s="28">
        <v>0.71250274722433404</v>
      </c>
      <c r="K16925" s="29">
        <v>0.98289565623980701</v>
      </c>
    </row>
    <row r="16926" spans="1:11" x14ac:dyDescent="0.35">
      <c r="A16926" s="9" t="str">
        <f>HYPERLINK("http://www.ensembl.org/id/WBGene00219554", "WBGene00219554")</f>
        <v>WBGene00219554</v>
      </c>
      <c r="B16926" s="9"/>
      <c r="C16926" s="9"/>
      <c r="D16926" t="str">
        <f>"W03D2.11"</f>
        <v>W03D2.11</v>
      </c>
      <c r="F16926" t="s">
        <v>80</v>
      </c>
      <c r="H16926" s="12">
        <v>2.4809160719414298</v>
      </c>
      <c r="I16926" s="20">
        <v>0.63546067988676902</v>
      </c>
      <c r="J16926" s="28">
        <v>0.52512800347980104</v>
      </c>
      <c r="K16926" s="29">
        <v>0.98289565623980701</v>
      </c>
    </row>
    <row r="16927" spans="1:11" x14ac:dyDescent="0.35">
      <c r="A16927" s="9" t="str">
        <f>HYPERLINK("http://www.ensembl.org/id/WBGene00271791", "WBGene00271791")</f>
        <v>WBGene00271791</v>
      </c>
      <c r="B16927" s="9"/>
      <c r="C16927" s="9"/>
      <c r="D16927" t="str">
        <f>"W03D2.15"</f>
        <v>W03D2.15</v>
      </c>
      <c r="F16927" t="s">
        <v>481</v>
      </c>
      <c r="H16927" s="12">
        <v>-1.4132120394582399</v>
      </c>
      <c r="I16927" s="20">
        <v>-0.36053870399257099</v>
      </c>
      <c r="J16927" s="28">
        <v>0.71844431837247302</v>
      </c>
      <c r="K16927" s="29">
        <v>0.98289565623980701</v>
      </c>
    </row>
    <row r="16928" spans="1:11" x14ac:dyDescent="0.35">
      <c r="A16928" s="9" t="str">
        <f>HYPERLINK("http://www.ensembl.org/id/WBGene00020984", "WBGene00020984")</f>
        <v>WBGene00020984</v>
      </c>
      <c r="B16928" s="9" t="str">
        <f>HYPERLINK("http://www.ncbi.nlm.nih.gov/gene/189155", "189155")</f>
        <v>189155</v>
      </c>
      <c r="C16928" s="9"/>
      <c r="D16928" t="str">
        <f>"W03D8.1"</f>
        <v>W03D8.1</v>
      </c>
      <c r="F16928" t="s">
        <v>11</v>
      </c>
      <c r="H16928" s="12">
        <v>2.4374124825316099</v>
      </c>
      <c r="I16928" s="20">
        <v>0.38727733857636198</v>
      </c>
      <c r="J16928" s="28">
        <v>0.69855090031473899</v>
      </c>
      <c r="K16928" s="29">
        <v>0.98289565623980701</v>
      </c>
    </row>
    <row r="16929" spans="1:11" x14ac:dyDescent="0.35">
      <c r="A16929" s="9" t="str">
        <f>HYPERLINK("http://www.ensembl.org/id/WBGene00020991", "WBGene00020991")</f>
        <v>WBGene00020991</v>
      </c>
      <c r="B16929" s="9"/>
      <c r="C16929" s="9"/>
      <c r="D16929" t="str">
        <f>"W03D8.10"</f>
        <v>W03D8.10</v>
      </c>
      <c r="F16929" t="s">
        <v>80</v>
      </c>
      <c r="H16929" s="12">
        <v>2.1984315862700798</v>
      </c>
      <c r="I16929" s="20">
        <v>0.28497317452086202</v>
      </c>
      <c r="J16929" s="28">
        <v>0.77566469379881398</v>
      </c>
      <c r="K16929" s="29">
        <v>0.98289565623980701</v>
      </c>
    </row>
    <row r="16930" spans="1:11" x14ac:dyDescent="0.35">
      <c r="A16930" s="9" t="str">
        <f>HYPERLINK("http://www.ensembl.org/id/WBGene00020987", "WBGene00020987")</f>
        <v>WBGene00020987</v>
      </c>
      <c r="B16930" s="9" t="str">
        <f>HYPERLINK("http://www.ncbi.nlm.nih.gov/gene/171847", "171847")</f>
        <v>171847</v>
      </c>
      <c r="C16930" s="9"/>
      <c r="D16930" t="str">
        <f>"W03D8.5"</f>
        <v>W03D8.5</v>
      </c>
      <c r="E16930" t="s">
        <v>899</v>
      </c>
      <c r="F16930" t="s">
        <v>11</v>
      </c>
      <c r="G16930" t="s">
        <v>3403</v>
      </c>
      <c r="H16930" s="12">
        <v>-4.4929003585358602</v>
      </c>
      <c r="I16930" s="20">
        <v>-0.93647249155967305</v>
      </c>
      <c r="J16930" s="28">
        <v>0.34902996941755698</v>
      </c>
      <c r="K16930" s="29">
        <v>0.98289565623980701</v>
      </c>
    </row>
    <row r="16931" spans="1:11" x14ac:dyDescent="0.35">
      <c r="A16931" s="9" t="str">
        <f>HYPERLINK("http://www.ensembl.org/id/WBGene00020988", "WBGene00020988")</f>
        <v>WBGene00020988</v>
      </c>
      <c r="B16931" s="9" t="str">
        <f>HYPERLINK("http://www.ncbi.nlm.nih.gov/gene/189156", "189156")</f>
        <v>189156</v>
      </c>
      <c r="C16931" s="9"/>
      <c r="D16931" t="str">
        <f>"W03D8.7"</f>
        <v>W03D8.7</v>
      </c>
      <c r="F16931" t="s">
        <v>11</v>
      </c>
      <c r="H16931" s="12">
        <v>-1.7925219423505701</v>
      </c>
      <c r="I16931" s="20">
        <v>-0.42693065983504902</v>
      </c>
      <c r="J16931" s="28">
        <v>0.66942983324560501</v>
      </c>
      <c r="K16931" s="29">
        <v>0.98289565623980701</v>
      </c>
    </row>
    <row r="16932" spans="1:11" x14ac:dyDescent="0.35">
      <c r="A16932" s="9" t="str">
        <f>HYPERLINK("http://www.ensembl.org/id/WBGene00021008", "WBGene00021008")</f>
        <v>WBGene00021008</v>
      </c>
      <c r="B16932" s="9" t="str">
        <f>HYPERLINK("http://www.ncbi.nlm.nih.gov/gene/171777", "171777")</f>
        <v>171777</v>
      </c>
      <c r="C16932" s="9"/>
      <c r="D16932" t="str">
        <f>"W03F11.5"</f>
        <v>W03F11.5</v>
      </c>
      <c r="F16932" t="s">
        <v>11</v>
      </c>
      <c r="H16932" s="12">
        <v>-1.27195456425764</v>
      </c>
      <c r="I16932" s="20">
        <v>-0.42626454400717001</v>
      </c>
      <c r="J16932" s="28">
        <v>0.66991509063327903</v>
      </c>
      <c r="K16932" s="29">
        <v>0.98289565623980701</v>
      </c>
    </row>
    <row r="16933" spans="1:11" x14ac:dyDescent="0.35">
      <c r="A16933" s="9" t="str">
        <f>HYPERLINK("http://www.ensembl.org/id/WBGene00020994", "WBGene00020994")</f>
        <v>WBGene00020994</v>
      </c>
      <c r="B16933" s="9" t="str">
        <f>HYPERLINK("http://www.ncbi.nlm.nih.gov/gene/177293", "177293")</f>
        <v>177293</v>
      </c>
      <c r="C16933" s="9" t="str">
        <f>HYPERLINK("http://www.ncbi.nlm.nih.gov/gene/51002", "51002")</f>
        <v>51002</v>
      </c>
      <c r="D16933" t="str">
        <f>"W03F8.4"</f>
        <v>W03F8.4</v>
      </c>
      <c r="F16933" t="s">
        <v>11</v>
      </c>
      <c r="G16933" t="s">
        <v>9324</v>
      </c>
      <c r="H16933" s="12">
        <v>-1.2382803464202099</v>
      </c>
      <c r="I16933" s="20">
        <v>-1.07508740484482</v>
      </c>
      <c r="J16933" s="28">
        <v>0.28233559792158303</v>
      </c>
      <c r="K16933" s="29">
        <v>0.98289565623980701</v>
      </c>
    </row>
    <row r="16934" spans="1:11" x14ac:dyDescent="0.35">
      <c r="A16934" s="9" t="str">
        <f>HYPERLINK("http://www.ensembl.org/id/WBGene00021000", "WBGene00021000")</f>
        <v>WBGene00021000</v>
      </c>
      <c r="B16934" s="9" t="str">
        <f>HYPERLINK("http://www.ncbi.nlm.nih.gov/gene/178541", "178541")</f>
        <v>178541</v>
      </c>
      <c r="C16934" s="9"/>
      <c r="D16934" t="str">
        <f>"W03F9.2"</f>
        <v>W03F9.2</v>
      </c>
      <c r="F16934" t="s">
        <v>11</v>
      </c>
      <c r="G16934" t="s">
        <v>54</v>
      </c>
      <c r="H16934" s="12">
        <v>-1.3485473808847801</v>
      </c>
      <c r="I16934" s="20">
        <v>-1.0651540689224599</v>
      </c>
      <c r="J16934" s="28">
        <v>0.28680621484755198</v>
      </c>
      <c r="K16934" s="29">
        <v>0.98289565623980701</v>
      </c>
    </row>
    <row r="16935" spans="1:11" x14ac:dyDescent="0.35">
      <c r="A16935" s="9" t="str">
        <f>HYPERLINK("http://www.ensembl.org/id/WBGene00021003", "WBGene00021003")</f>
        <v>WBGene00021003</v>
      </c>
      <c r="B16935" s="9" t="str">
        <f>HYPERLINK("http://www.ncbi.nlm.nih.gov/gene/189164", "189164")</f>
        <v>189164</v>
      </c>
      <c r="C16935" s="9"/>
      <c r="D16935" t="str">
        <f>"W03F9.9"</f>
        <v>W03F9.9</v>
      </c>
      <c r="F16935" t="s">
        <v>11</v>
      </c>
      <c r="G16935" t="s">
        <v>489</v>
      </c>
      <c r="H16935" s="12">
        <v>1.86122375558135</v>
      </c>
      <c r="I16935" s="20">
        <v>0.71168406221590497</v>
      </c>
      <c r="J16935" s="28">
        <v>0.47666043914313</v>
      </c>
      <c r="K16935" s="29">
        <v>0.98289565623980701</v>
      </c>
    </row>
    <row r="16936" spans="1:11" x14ac:dyDescent="0.35">
      <c r="A16936" s="9" t="str">
        <f>HYPERLINK("http://www.ensembl.org/id/WBGene00235265", "WBGene00235265")</f>
        <v>WBGene00235265</v>
      </c>
      <c r="B16936" s="9"/>
      <c r="C16936" s="9"/>
      <c r="D16936" t="str">
        <f>"W03G1.11"</f>
        <v>W03G1.11</v>
      </c>
      <c r="F16936" t="s">
        <v>481</v>
      </c>
      <c r="H16936" s="12">
        <v>-3.5505133547207399</v>
      </c>
      <c r="I16936" s="20">
        <v>-0.38567206318137798</v>
      </c>
      <c r="J16936" s="28">
        <v>0.69973955545800504</v>
      </c>
      <c r="K16936" s="29">
        <v>0.98289565623980701</v>
      </c>
    </row>
    <row r="16937" spans="1:11" x14ac:dyDescent="0.35">
      <c r="A16937" s="9" t="str">
        <f>HYPERLINK("http://www.ensembl.org/id/WBGene00021010", "WBGene00021010")</f>
        <v>WBGene00021010</v>
      </c>
      <c r="B16937" s="9" t="str">
        <f>HYPERLINK("http://www.ncbi.nlm.nih.gov/gene/189165", "189165")</f>
        <v>189165</v>
      </c>
      <c r="C16937" s="9"/>
      <c r="D16937" t="str">
        <f>"W03G1.2"</f>
        <v>W03G1.2</v>
      </c>
      <c r="F16937" t="s">
        <v>11</v>
      </c>
      <c r="H16937" s="12">
        <v>2.8932494890098299</v>
      </c>
      <c r="I16937" s="20">
        <v>0.51739845311416899</v>
      </c>
      <c r="J16937" s="28">
        <v>0.60487803930134798</v>
      </c>
      <c r="K16937" s="29">
        <v>0.98289565623980701</v>
      </c>
    </row>
    <row r="16938" spans="1:11" x14ac:dyDescent="0.35">
      <c r="A16938" s="9" t="str">
        <f>HYPERLINK("http://www.ensembl.org/id/WBGene00021013", "WBGene00021013")</f>
        <v>WBGene00021013</v>
      </c>
      <c r="B16938" s="9"/>
      <c r="C16938" s="9"/>
      <c r="D16938" t="str">
        <f>"W03G1.8"</f>
        <v>W03G1.8</v>
      </c>
      <c r="F16938" t="s">
        <v>481</v>
      </c>
      <c r="H16938" s="12">
        <v>-11.973997965956601</v>
      </c>
      <c r="I16938" s="20">
        <v>-0.77726113562491606</v>
      </c>
      <c r="J16938" s="28">
        <v>0.437004719503373</v>
      </c>
      <c r="K16938" s="29">
        <v>0.98289565623980701</v>
      </c>
    </row>
    <row r="16939" spans="1:11" x14ac:dyDescent="0.35">
      <c r="A16939" s="9" t="str">
        <f>HYPERLINK("http://www.ensembl.org/id/WBGene00199736", "WBGene00199736")</f>
        <v>WBGene00199736</v>
      </c>
      <c r="B16939" s="9"/>
      <c r="C16939" s="9"/>
      <c r="D16939" t="str">
        <f>"W03G11.17"</f>
        <v>W03G11.17</v>
      </c>
      <c r="F16939" t="s">
        <v>481</v>
      </c>
      <c r="H16939" s="12">
        <v>3.6645215954135</v>
      </c>
      <c r="I16939" s="20">
        <v>0.37967131826092498</v>
      </c>
      <c r="J16939" s="28">
        <v>0.70418941338960395</v>
      </c>
      <c r="K16939" s="29">
        <v>0.98289565623980701</v>
      </c>
    </row>
    <row r="16940" spans="1:11" x14ac:dyDescent="0.35">
      <c r="A16940" s="9" t="str">
        <f>HYPERLINK("http://www.ensembl.org/id/WBGene00199847", "WBGene00199847")</f>
        <v>WBGene00199847</v>
      </c>
      <c r="B16940" s="9"/>
      <c r="C16940" s="9"/>
      <c r="D16940" t="str">
        <f>"W03G11.18"</f>
        <v>W03G11.18</v>
      </c>
      <c r="F16940" t="s">
        <v>481</v>
      </c>
      <c r="H16940" s="12">
        <v>2.4578120077400301</v>
      </c>
      <c r="I16940" s="20">
        <v>0.26093350314551</v>
      </c>
      <c r="J16940" s="28">
        <v>0.79414378780213601</v>
      </c>
      <c r="K16940" s="29">
        <v>0.98289565623980701</v>
      </c>
    </row>
    <row r="16941" spans="1:11" x14ac:dyDescent="0.35">
      <c r="A16941" s="9" t="str">
        <f>HYPERLINK("http://www.ensembl.org/id/WBGene00200872", "WBGene00200872")</f>
        <v>WBGene00200872</v>
      </c>
      <c r="B16941" s="9"/>
      <c r="C16941" s="9"/>
      <c r="D16941" t="str">
        <f>"W03G11.19"</f>
        <v>W03G11.19</v>
      </c>
      <c r="F16941" t="s">
        <v>481</v>
      </c>
      <c r="H16941" s="12">
        <v>2.3893468495514898</v>
      </c>
      <c r="I16941" s="20">
        <v>0.25323547253672701</v>
      </c>
      <c r="J16941" s="28">
        <v>0.80008625651646104</v>
      </c>
      <c r="K16941" s="29">
        <v>0.98289565623980701</v>
      </c>
    </row>
    <row r="16942" spans="1:11" x14ac:dyDescent="0.35">
      <c r="A16942" s="9" t="str">
        <f>HYPERLINK("http://www.ensembl.org/id/WBGene00012225", "WBGene00012225")</f>
        <v>WBGene00012225</v>
      </c>
      <c r="B16942" s="9" t="str">
        <f>HYPERLINK("http://www.ncbi.nlm.nih.gov/gene/189173", "189173")</f>
        <v>189173</v>
      </c>
      <c r="C16942" s="9" t="str">
        <f>HYPERLINK("http://www.ncbi.nlm.nih.gov/gene/2519", "2519")</f>
        <v>2519</v>
      </c>
      <c r="D16942" t="str">
        <f>"W03G11.3"</f>
        <v>W03G11.3</v>
      </c>
      <c r="E16942" t="s">
        <v>4995</v>
      </c>
      <c r="F16942" t="s">
        <v>11</v>
      </c>
      <c r="G16942" t="s">
        <v>4996</v>
      </c>
      <c r="H16942" s="12">
        <v>1.26725127972128</v>
      </c>
      <c r="I16942" s="20">
        <v>1.1121430766784699</v>
      </c>
      <c r="J16942" s="28">
        <v>0.266076637999415</v>
      </c>
      <c r="K16942" s="29">
        <v>0.98289565623980701</v>
      </c>
    </row>
    <row r="16943" spans="1:11" x14ac:dyDescent="0.35">
      <c r="A16943" s="9" t="str">
        <f>HYPERLINK("http://www.ensembl.org/id/WBGene00195678", "WBGene00195678")</f>
        <v>WBGene00195678</v>
      </c>
      <c r="B16943" s="9"/>
      <c r="C16943" s="9"/>
      <c r="D16943" t="str">
        <f>"W03G11.7"</f>
        <v>W03G11.7</v>
      </c>
      <c r="F16943" t="s">
        <v>481</v>
      </c>
      <c r="H16943" s="12">
        <v>-2.4295389261469</v>
      </c>
      <c r="I16943" s="20">
        <v>-0.25808529976640998</v>
      </c>
      <c r="J16943" s="28">
        <v>0.79634107645457397</v>
      </c>
      <c r="K16943" s="29">
        <v>0.98289565623980701</v>
      </c>
    </row>
    <row r="16944" spans="1:11" x14ac:dyDescent="0.35">
      <c r="A16944" s="9" t="str">
        <f>HYPERLINK("http://www.ensembl.org/id/WBGene00044432", "WBGene00044432")</f>
        <v>WBGene00044432</v>
      </c>
      <c r="B16944" s="9" t="str">
        <f>HYPERLINK("http://www.ncbi.nlm.nih.gov/gene/3565557", "3565557")</f>
        <v>3565557</v>
      </c>
      <c r="C16944" s="9"/>
      <c r="D16944" t="str">
        <f>"W03G9.9"</f>
        <v>W03G9.9</v>
      </c>
      <c r="F16944" t="s">
        <v>11</v>
      </c>
      <c r="H16944" s="12">
        <v>13.4058627948307</v>
      </c>
      <c r="I16944" s="20">
        <v>0.82251412515369104</v>
      </c>
      <c r="J16944" s="28">
        <v>0.41078435087257997</v>
      </c>
      <c r="K16944" s="29">
        <v>0.98289565623980701</v>
      </c>
    </row>
    <row r="16945" spans="1:11" x14ac:dyDescent="0.35">
      <c r="A16945" s="9" t="str">
        <f>HYPERLINK("http://www.ensembl.org/id/WBGene00012228", "WBGene00012228")</f>
        <v>WBGene00012228</v>
      </c>
      <c r="B16945" s="9" t="str">
        <f>HYPERLINK("http://www.ncbi.nlm.nih.gov/gene/175068", "175068")</f>
        <v>175068</v>
      </c>
      <c r="C16945" s="9"/>
      <c r="D16945" t="str">
        <f>"W03H9.2"</f>
        <v>W03H9.2</v>
      </c>
      <c r="F16945" t="s">
        <v>11</v>
      </c>
      <c r="H16945" s="12">
        <v>1.57261735804423</v>
      </c>
      <c r="I16945" s="20">
        <v>0.72750165459937999</v>
      </c>
      <c r="J16945" s="28">
        <v>0.466918702106151</v>
      </c>
      <c r="K16945" s="29">
        <v>0.98289565623980701</v>
      </c>
    </row>
    <row r="16946" spans="1:11" x14ac:dyDescent="0.35">
      <c r="A16946" s="9" t="str">
        <f>HYPERLINK("http://www.ensembl.org/id/WBGene00012237", "WBGene00012237")</f>
        <v>WBGene00012237</v>
      </c>
      <c r="B16946" s="9" t="str">
        <f>HYPERLINK("http://www.ncbi.nlm.nih.gov/gene/189181", "189181")</f>
        <v>189181</v>
      </c>
      <c r="C16946" s="9"/>
      <c r="D16946" t="str">
        <f>"W04A8.2"</f>
        <v>W04A8.2</v>
      </c>
      <c r="F16946" t="s">
        <v>11</v>
      </c>
      <c r="H16946" s="12">
        <v>-1.4314202521892501</v>
      </c>
      <c r="I16946" s="20">
        <v>-0.79751816745215598</v>
      </c>
      <c r="J16946" s="28">
        <v>0.42515015596503197</v>
      </c>
      <c r="K16946" s="29">
        <v>0.98289565623980701</v>
      </c>
    </row>
    <row r="16947" spans="1:11" x14ac:dyDescent="0.35">
      <c r="A16947" s="9" t="str">
        <f>HYPERLINK("http://www.ensembl.org/id/WBGene00012238", "WBGene00012238")</f>
        <v>WBGene00012238</v>
      </c>
      <c r="B16947" s="9" t="str">
        <f>HYPERLINK("http://www.ncbi.nlm.nih.gov/gene/173254", "173254")</f>
        <v>173254</v>
      </c>
      <c r="C16947" s="9"/>
      <c r="D16947" t="str">
        <f>"W04A8.3"</f>
        <v>W04A8.3</v>
      </c>
      <c r="F16947" t="s">
        <v>11</v>
      </c>
      <c r="G16947" t="s">
        <v>54</v>
      </c>
      <c r="H16947" s="12">
        <v>1.34999165548828</v>
      </c>
      <c r="I16947" s="20">
        <v>0.60737073604430103</v>
      </c>
      <c r="J16947" s="28">
        <v>0.54360490465928601</v>
      </c>
      <c r="K16947" s="29">
        <v>0.98289565623980701</v>
      </c>
    </row>
    <row r="16948" spans="1:11" x14ac:dyDescent="0.35">
      <c r="A16948" s="9" t="str">
        <f>HYPERLINK("http://www.ensembl.org/id/WBGene00012241", "WBGene00012241")</f>
        <v>WBGene00012241</v>
      </c>
      <c r="B16948" s="9" t="str">
        <f>HYPERLINK("http://www.ncbi.nlm.nih.gov/gene/173256", "173256")</f>
        <v>173256</v>
      </c>
      <c r="C16948" s="9"/>
      <c r="D16948" t="str">
        <f>"W04A8.6"</f>
        <v>W04A8.6</v>
      </c>
      <c r="F16948" t="s">
        <v>11</v>
      </c>
      <c r="H16948" s="12">
        <v>-1.25278505866554</v>
      </c>
      <c r="I16948" s="20">
        <v>-0.98257476356721396</v>
      </c>
      <c r="J16948" s="28">
        <v>0.32581677001713499</v>
      </c>
      <c r="K16948" s="29">
        <v>0.98289565623980701</v>
      </c>
    </row>
    <row r="16949" spans="1:11" x14ac:dyDescent="0.35">
      <c r="A16949" s="9" t="str">
        <f>HYPERLINK("http://www.ensembl.org/id/WBGene00021022", "WBGene00021022")</f>
        <v>WBGene00021022</v>
      </c>
      <c r="B16949" s="9" t="str">
        <f>HYPERLINK("http://www.ncbi.nlm.nih.gov/gene/175360", "175360")</f>
        <v>175360</v>
      </c>
      <c r="C16949" s="9"/>
      <c r="D16949" t="str">
        <f>"W04B5.5"</f>
        <v>W04B5.5</v>
      </c>
      <c r="F16949" t="s">
        <v>11</v>
      </c>
      <c r="G16949" t="s">
        <v>4903</v>
      </c>
      <c r="H16949" s="12">
        <v>-1.1974635113357099</v>
      </c>
      <c r="I16949" s="20">
        <v>-0.79657593962543904</v>
      </c>
      <c r="J16949" s="28">
        <v>0.425697355617219</v>
      </c>
      <c r="K16949" s="29">
        <v>0.98289565623980701</v>
      </c>
    </row>
    <row r="16950" spans="1:11" x14ac:dyDescent="0.35">
      <c r="A16950" s="9" t="str">
        <f>HYPERLINK("http://www.ensembl.org/id/WBGene00021026", "WBGene00021026")</f>
        <v>WBGene00021026</v>
      </c>
      <c r="B16950" s="9" t="str">
        <f>HYPERLINK("http://www.ncbi.nlm.nih.gov/gene/171636", "171636")</f>
        <v>171636</v>
      </c>
      <c r="C16950" s="9"/>
      <c r="D16950" t="str">
        <f>"W04C9.4"</f>
        <v>W04C9.4</v>
      </c>
      <c r="F16950" t="s">
        <v>11</v>
      </c>
      <c r="G16950" t="s">
        <v>5676</v>
      </c>
      <c r="H16950" s="12">
        <v>-1.22689088848844</v>
      </c>
      <c r="I16950" s="20">
        <v>-0.89091702332092804</v>
      </c>
      <c r="J16950" s="28">
        <v>0.37297368694783001</v>
      </c>
      <c r="K16950" s="29">
        <v>0.98289565623980701</v>
      </c>
    </row>
    <row r="16951" spans="1:11" x14ac:dyDescent="0.35">
      <c r="A16951" s="9" t="str">
        <f>HYPERLINK("http://www.ensembl.org/id/WBGene00021027", "WBGene00021027")</f>
        <v>WBGene00021027</v>
      </c>
      <c r="B16951" s="9" t="str">
        <f>HYPERLINK("http://www.ncbi.nlm.nih.gov/gene/189184", "189184")</f>
        <v>189184</v>
      </c>
      <c r="C16951" s="9"/>
      <c r="D16951" t="str">
        <f>"W04C9.5"</f>
        <v>W04C9.5</v>
      </c>
      <c r="F16951" t="s">
        <v>11</v>
      </c>
      <c r="G16951" t="s">
        <v>1329</v>
      </c>
      <c r="H16951" s="12">
        <v>-1.22878811500968</v>
      </c>
      <c r="I16951" s="20">
        <v>-0.50204898340923199</v>
      </c>
      <c r="J16951" s="28">
        <v>0.61563306522513594</v>
      </c>
      <c r="K16951" s="29">
        <v>0.98289565623980701</v>
      </c>
    </row>
    <row r="16952" spans="1:11" x14ac:dyDescent="0.35">
      <c r="A16952" s="9" t="str">
        <f>HYPERLINK("http://www.ensembl.org/id/WBGene00021028", "WBGene00021028")</f>
        <v>WBGene00021028</v>
      </c>
      <c r="B16952" s="9" t="str">
        <f>HYPERLINK("http://www.ncbi.nlm.nih.gov/gene/189185", "189185")</f>
        <v>189185</v>
      </c>
      <c r="C16952" s="9"/>
      <c r="D16952" t="str">
        <f>"W04C9.6"</f>
        <v>W04C9.6</v>
      </c>
      <c r="F16952" t="s">
        <v>11</v>
      </c>
      <c r="G16952" t="s">
        <v>230</v>
      </c>
      <c r="H16952" s="12">
        <v>1.5028974782317399</v>
      </c>
      <c r="I16952" s="20">
        <v>0.44594244906422498</v>
      </c>
      <c r="J16952" s="28">
        <v>0.65563881821773895</v>
      </c>
      <c r="K16952" s="29">
        <v>0.98289565623980701</v>
      </c>
    </row>
    <row r="16953" spans="1:11" x14ac:dyDescent="0.35">
      <c r="A16953" s="9" t="str">
        <f>HYPERLINK("http://www.ensembl.org/id/WBGene00235387", "WBGene00235387")</f>
        <v>WBGene00235387</v>
      </c>
      <c r="B16953" s="9"/>
      <c r="C16953" s="9"/>
      <c r="D16953" t="str">
        <f>"W04C9.8"</f>
        <v>W04C9.8</v>
      </c>
      <c r="F16953" t="s">
        <v>481</v>
      </c>
      <c r="H16953" s="12">
        <v>-1.2350966447706999</v>
      </c>
      <c r="I16953" s="20">
        <v>-0.95172076872627498</v>
      </c>
      <c r="J16953" s="28">
        <v>0.34123861356695301</v>
      </c>
      <c r="K16953" s="29">
        <v>0.98289565623980701</v>
      </c>
    </row>
    <row r="16954" spans="1:11" x14ac:dyDescent="0.35">
      <c r="A16954" s="9" t="str">
        <f>HYPERLINK("http://www.ensembl.org/id/WBGene00235388", "WBGene00235388")</f>
        <v>WBGene00235388</v>
      </c>
      <c r="B16954" s="9" t="str">
        <f>HYPERLINK("http://www.ncbi.nlm.nih.gov/gene/24104989", "24104989")</f>
        <v>24104989</v>
      </c>
      <c r="C16954" s="9"/>
      <c r="D16954" t="str">
        <f>"W04C9.9"</f>
        <v>W04C9.9</v>
      </c>
      <c r="F16954" t="s">
        <v>11</v>
      </c>
      <c r="H16954" s="12">
        <v>-5.5794491025289696</v>
      </c>
      <c r="I16954" s="20">
        <v>-0.504738274115201</v>
      </c>
      <c r="J16954" s="28">
        <v>0.61374267489732603</v>
      </c>
      <c r="K16954" s="29">
        <v>0.98289565623980701</v>
      </c>
    </row>
    <row r="16955" spans="1:11" x14ac:dyDescent="0.35">
      <c r="A16955" s="9" t="str">
        <f>HYPERLINK("http://www.ensembl.org/id/WBGene00199019", "WBGene00199019")</f>
        <v>WBGene00199019</v>
      </c>
      <c r="B16955" s="9"/>
      <c r="C16955" s="9"/>
      <c r="D16955" t="str">
        <f>"W04D2.11"</f>
        <v>W04D2.11</v>
      </c>
      <c r="F16955" t="s">
        <v>481</v>
      </c>
      <c r="H16955" s="12">
        <v>-2.4991590031922399</v>
      </c>
      <c r="I16955" s="20">
        <v>-0.26577412737581302</v>
      </c>
      <c r="J16955" s="28">
        <v>0.79041317015736101</v>
      </c>
      <c r="K16955" s="29">
        <v>0.98289565623980701</v>
      </c>
    </row>
    <row r="16956" spans="1:11" x14ac:dyDescent="0.35">
      <c r="A16956" s="9" t="str">
        <f>HYPERLINK("http://www.ensembl.org/id/WBGene00012247", "WBGene00012247")</f>
        <v>WBGene00012247</v>
      </c>
      <c r="B16956" s="9" t="str">
        <f>HYPERLINK("http://www.ncbi.nlm.nih.gov/gene/189189", "189189")</f>
        <v>189189</v>
      </c>
      <c r="C16956" s="9"/>
      <c r="D16956" t="str">
        <f>"W04E12.2"</f>
        <v>W04E12.2</v>
      </c>
      <c r="F16956" t="s">
        <v>11</v>
      </c>
      <c r="G16956" t="s">
        <v>25</v>
      </c>
      <c r="H16956" s="12">
        <v>-1.18270431366801</v>
      </c>
      <c r="I16956" s="20">
        <v>-0.30371771162044398</v>
      </c>
      <c r="J16956" s="28">
        <v>0.76134296312614103</v>
      </c>
      <c r="K16956" s="29">
        <v>0.98289565623980701</v>
      </c>
    </row>
    <row r="16957" spans="1:11" x14ac:dyDescent="0.35">
      <c r="A16957" s="9" t="str">
        <f>HYPERLINK("http://www.ensembl.org/id/WBGene00012248", "WBGene00012248")</f>
        <v>WBGene00012248</v>
      </c>
      <c r="B16957" s="9" t="str">
        <f>HYPERLINK("http://www.ncbi.nlm.nih.gov/gene/189190", "189190")</f>
        <v>189190</v>
      </c>
      <c r="C16957" s="9"/>
      <c r="D16957" t="str">
        <f>"W04E12.3"</f>
        <v>W04E12.3</v>
      </c>
      <c r="F16957" t="s">
        <v>11</v>
      </c>
      <c r="G16957" t="s">
        <v>25</v>
      </c>
      <c r="H16957" s="12">
        <v>2.3893468495514898</v>
      </c>
      <c r="I16957" s="20">
        <v>0.25323547253672701</v>
      </c>
      <c r="J16957" s="28">
        <v>0.80008625651646104</v>
      </c>
      <c r="K16957" s="29">
        <v>0.98289565623980701</v>
      </c>
    </row>
    <row r="16958" spans="1:11" x14ac:dyDescent="0.35">
      <c r="A16958" s="9" t="str">
        <f>HYPERLINK("http://www.ensembl.org/id/WBGene00012252", "WBGene00012252")</f>
        <v>WBGene00012252</v>
      </c>
      <c r="B16958" s="9" t="str">
        <f>HYPERLINK("http://www.ncbi.nlm.nih.gov/gene/189193", "189193")</f>
        <v>189193</v>
      </c>
      <c r="C16958" s="9"/>
      <c r="D16958" t="str">
        <f>"W04E12.7"</f>
        <v>W04E12.7</v>
      </c>
      <c r="F16958" t="s">
        <v>11</v>
      </c>
      <c r="G16958" t="s">
        <v>4311</v>
      </c>
      <c r="H16958" s="12">
        <v>-1.32168971759689</v>
      </c>
      <c r="I16958" s="20">
        <v>-0.73119649598936298</v>
      </c>
      <c r="J16958" s="28">
        <v>0.46465914014454901</v>
      </c>
      <c r="K16958" s="29">
        <v>0.98289565623980701</v>
      </c>
    </row>
    <row r="16959" spans="1:11" x14ac:dyDescent="0.35">
      <c r="A16959" s="9" t="str">
        <f>HYPERLINK("http://www.ensembl.org/id/WBGene00215616", "WBGene00215616")</f>
        <v>WBGene00215616</v>
      </c>
      <c r="B16959" s="9"/>
      <c r="C16959" s="9"/>
      <c r="D16959" t="str">
        <f>"W04G3.17"</f>
        <v>W04G3.17</v>
      </c>
      <c r="F16959" t="s">
        <v>80</v>
      </c>
      <c r="H16959" s="12">
        <v>-2.27752006848129</v>
      </c>
      <c r="I16959" s="20">
        <v>-0.45450069840178098</v>
      </c>
      <c r="J16959" s="28">
        <v>0.64946848937208101</v>
      </c>
      <c r="K16959" s="29">
        <v>0.98289565623980701</v>
      </c>
    </row>
    <row r="16960" spans="1:11" x14ac:dyDescent="0.35">
      <c r="A16960" s="9" t="str">
        <f>HYPERLINK("http://www.ensembl.org/id/WBGene00012258", "WBGene00012258")</f>
        <v>WBGene00012258</v>
      </c>
      <c r="B16960" s="9" t="str">
        <f>HYPERLINK("http://www.ncbi.nlm.nih.gov/gene/181299", "181299")</f>
        <v>181299</v>
      </c>
      <c r="C16960" s="9" t="str">
        <f>HYPERLINK("http://www.ncbi.nlm.nih.gov/gene/5636", "5636")</f>
        <v>5636</v>
      </c>
      <c r="D16960" t="str">
        <f>"W04G3.5"</f>
        <v>W04G3.5</v>
      </c>
      <c r="F16960" t="s">
        <v>11</v>
      </c>
      <c r="G16960" t="s">
        <v>7332</v>
      </c>
      <c r="H16960" s="12">
        <v>-1.1196892650111601</v>
      </c>
      <c r="I16960" s="20">
        <v>-0.59641561450071701</v>
      </c>
      <c r="J16960" s="28">
        <v>0.55089761181411301</v>
      </c>
      <c r="K16960" s="29">
        <v>0.98289565623980701</v>
      </c>
    </row>
    <row r="16961" spans="1:11" x14ac:dyDescent="0.35">
      <c r="A16961" s="9" t="str">
        <f>HYPERLINK("http://www.ensembl.org/id/WBGene00012260", "WBGene00012260")</f>
        <v>WBGene00012260</v>
      </c>
      <c r="B16961" s="9" t="str">
        <f>HYPERLINK("http://www.ncbi.nlm.nih.gov/gene/189196", "189196")</f>
        <v>189196</v>
      </c>
      <c r="C16961" s="9"/>
      <c r="D16961" t="str">
        <f>"W04G3.7"</f>
        <v>W04G3.7</v>
      </c>
      <c r="F16961" t="s">
        <v>11</v>
      </c>
      <c r="H16961" s="12">
        <v>-1.61461130889204</v>
      </c>
      <c r="I16961" s="20">
        <v>-0.39887295678774298</v>
      </c>
      <c r="J16961" s="28">
        <v>0.68998681647006899</v>
      </c>
      <c r="K16961" s="29">
        <v>0.98289565623980701</v>
      </c>
    </row>
    <row r="16962" spans="1:11" x14ac:dyDescent="0.35">
      <c r="A16962" s="9" t="str">
        <f>HYPERLINK("http://www.ensembl.org/id/WBGene00012270", "WBGene00012270")</f>
        <v>WBGene00012270</v>
      </c>
      <c r="B16962" s="9" t="str">
        <f>HYPERLINK("http://www.ncbi.nlm.nih.gov/gene/173049", "173049")</f>
        <v>173049</v>
      </c>
      <c r="C16962" s="9"/>
      <c r="D16962" t="str">
        <f>"W04G5.10"</f>
        <v>W04G5.10</v>
      </c>
      <c r="F16962" t="s">
        <v>11</v>
      </c>
      <c r="G16962" t="s">
        <v>4265</v>
      </c>
      <c r="H16962" s="12">
        <v>4.8330720971898202</v>
      </c>
      <c r="I16962" s="20">
        <v>0.53826283632608196</v>
      </c>
      <c r="J16962" s="28">
        <v>0.59039560452453599</v>
      </c>
      <c r="K16962" s="29">
        <v>0.98289565623980701</v>
      </c>
    </row>
    <row r="16963" spans="1:11" x14ac:dyDescent="0.35">
      <c r="A16963" s="9" t="str">
        <f>HYPERLINK("http://www.ensembl.org/id/WBGene00045076", "WBGene00045076")</f>
        <v>WBGene00045076</v>
      </c>
      <c r="B16963" s="9"/>
      <c r="C16963" s="9"/>
      <c r="D16963" t="str">
        <f>"W04G5.13"</f>
        <v>W04G5.13</v>
      </c>
      <c r="F16963" t="s">
        <v>80</v>
      </c>
      <c r="H16963" s="12">
        <v>3.5227018545059199</v>
      </c>
      <c r="I16963" s="20">
        <v>0.36849691206929103</v>
      </c>
      <c r="J16963" s="28">
        <v>0.71250274722433404</v>
      </c>
      <c r="K16963" s="29">
        <v>0.98289565623980701</v>
      </c>
    </row>
    <row r="16964" spans="1:11" x14ac:dyDescent="0.35">
      <c r="A16964" s="9" t="str">
        <f>HYPERLINK("http://www.ensembl.org/id/WBGene00012265", "WBGene00012265")</f>
        <v>WBGene00012265</v>
      </c>
      <c r="B16964" s="9" t="str">
        <f>HYPERLINK("http://www.ncbi.nlm.nih.gov/gene/189200", "189200")</f>
        <v>189200</v>
      </c>
      <c r="C16964" s="9"/>
      <c r="D16964" t="str">
        <f>"W04G5.4"</f>
        <v>W04G5.4</v>
      </c>
      <c r="F16964" t="s">
        <v>11</v>
      </c>
      <c r="G16964" t="s">
        <v>3520</v>
      </c>
      <c r="H16964" s="12">
        <v>-1.94606974269113</v>
      </c>
      <c r="I16964" s="20">
        <v>-0.62436715431460199</v>
      </c>
      <c r="J16964" s="28">
        <v>0.53238649072811794</v>
      </c>
      <c r="K16964" s="29">
        <v>0.98289565623980701</v>
      </c>
    </row>
    <row r="16965" spans="1:11" x14ac:dyDescent="0.35">
      <c r="A16965" s="9" t="str">
        <f>HYPERLINK("http://www.ensembl.org/id/WBGene00012266", "WBGene00012266")</f>
        <v>WBGene00012266</v>
      </c>
      <c r="B16965" s="9" t="str">
        <f>HYPERLINK("http://www.ncbi.nlm.nih.gov/gene/189201", "189201")</f>
        <v>189201</v>
      </c>
      <c r="C16965" s="9"/>
      <c r="D16965" t="str">
        <f>"W04G5.5"</f>
        <v>W04G5.5</v>
      </c>
      <c r="F16965" t="s">
        <v>11</v>
      </c>
      <c r="G16965" t="s">
        <v>2981</v>
      </c>
      <c r="H16965" s="12">
        <v>2.3023301924467101</v>
      </c>
      <c r="I16965" s="20">
        <v>0.26674601818072902</v>
      </c>
      <c r="J16965" s="28">
        <v>0.78966471981773201</v>
      </c>
      <c r="K16965" s="29">
        <v>0.98289565623980701</v>
      </c>
    </row>
    <row r="16966" spans="1:11" x14ac:dyDescent="0.35">
      <c r="A16966" s="9" t="str">
        <f>HYPERLINK("http://www.ensembl.org/id/WBGene00012269", "WBGene00012269")</f>
        <v>WBGene00012269</v>
      </c>
      <c r="B16966" s="9" t="str">
        <f>HYPERLINK("http://www.ncbi.nlm.nih.gov/gene/189204", "189204")</f>
        <v>189204</v>
      </c>
      <c r="C16966" s="9"/>
      <c r="D16966" t="str">
        <f>"W04G5.9"</f>
        <v>W04G5.9</v>
      </c>
      <c r="F16966" t="s">
        <v>11</v>
      </c>
      <c r="G16966" t="s">
        <v>1614</v>
      </c>
      <c r="H16966" s="12">
        <v>-4.7167679298615104</v>
      </c>
      <c r="I16966" s="20">
        <v>-0.454742638005115</v>
      </c>
      <c r="J16966" s="28">
        <v>0.64929440216969203</v>
      </c>
      <c r="K16966" s="29">
        <v>0.98289565623980701</v>
      </c>
    </row>
    <row r="16967" spans="1:11" x14ac:dyDescent="0.35">
      <c r="A16967" s="9" t="str">
        <f>HYPERLINK("http://www.ensembl.org/id/WBGene00206416", "WBGene00206416")</f>
        <v>WBGene00206416</v>
      </c>
      <c r="B16967" s="9" t="str">
        <f>HYPERLINK("http://www.ncbi.nlm.nih.gov/gene/13183350", "13183350")</f>
        <v>13183350</v>
      </c>
      <c r="C16967" s="9"/>
      <c r="D16967" t="str">
        <f>"W04H10.5"</f>
        <v>W04H10.5</v>
      </c>
      <c r="F16967" t="s">
        <v>11</v>
      </c>
      <c r="H16967" s="12">
        <v>1.2211783305567101</v>
      </c>
      <c r="I16967" s="20">
        <v>0.39086022029468598</v>
      </c>
      <c r="J16967" s="28">
        <v>0.69590055918014904</v>
      </c>
      <c r="K16967" s="29">
        <v>0.98289565623980701</v>
      </c>
    </row>
    <row r="16968" spans="1:11" x14ac:dyDescent="0.35">
      <c r="A16968" s="9" t="str">
        <f>HYPERLINK("http://www.ensembl.org/id/WBGene00206417", "WBGene00206417")</f>
        <v>WBGene00206417</v>
      </c>
      <c r="B16968" s="9" t="str">
        <f>HYPERLINK("http://www.ncbi.nlm.nih.gov/gene/13183351", "13183351")</f>
        <v>13183351</v>
      </c>
      <c r="C16968" s="9"/>
      <c r="D16968" t="str">
        <f>"W04H10.6"</f>
        <v>W04H10.6</v>
      </c>
      <c r="F16968" t="s">
        <v>11</v>
      </c>
      <c r="G16968" t="s">
        <v>25</v>
      </c>
      <c r="H16968" s="12">
        <v>1.65279898002838</v>
      </c>
      <c r="I16968" s="20">
        <v>0.88465444752091904</v>
      </c>
      <c r="J16968" s="28">
        <v>0.37634303111171602</v>
      </c>
      <c r="K16968" s="29">
        <v>0.98289565623980701</v>
      </c>
    </row>
    <row r="16969" spans="1:11" x14ac:dyDescent="0.35">
      <c r="A16969" s="9" t="str">
        <f>HYPERLINK("http://www.ensembl.org/id/WBGene00012278", "WBGene00012278")</f>
        <v>WBGene00012278</v>
      </c>
      <c r="B16969" s="9" t="str">
        <f>HYPERLINK("http://www.ncbi.nlm.nih.gov/gene/179735", "179735")</f>
        <v>179735</v>
      </c>
      <c r="C16969" s="9"/>
      <c r="D16969" t="str">
        <f>"W05B10.3"</f>
        <v>W05B10.3</v>
      </c>
      <c r="F16969" t="s">
        <v>11</v>
      </c>
      <c r="H16969" s="12">
        <v>-1.7677152910577401</v>
      </c>
      <c r="I16969" s="20">
        <v>-0.68619032076205599</v>
      </c>
      <c r="J16969" s="28">
        <v>0.49259310066543399</v>
      </c>
      <c r="K16969" s="29">
        <v>0.98289565623980701</v>
      </c>
    </row>
    <row r="16970" spans="1:11" x14ac:dyDescent="0.35">
      <c r="A16970" s="9" t="str">
        <f>HYPERLINK("http://www.ensembl.org/id/WBGene00014854", "WBGene00014854")</f>
        <v>WBGene00014854</v>
      </c>
      <c r="B16970" s="9"/>
      <c r="C16970" s="9"/>
      <c r="D16970" t="str">
        <f>"W05B2.3"</f>
        <v>W05B2.3</v>
      </c>
      <c r="F16970" t="s">
        <v>80</v>
      </c>
      <c r="H16970" s="12">
        <v>5.4058944669092801</v>
      </c>
      <c r="I16970" s="20">
        <v>0.49762513753689303</v>
      </c>
      <c r="J16970" s="28">
        <v>0.61874828254921799</v>
      </c>
      <c r="K16970" s="29">
        <v>0.98289565623980701</v>
      </c>
    </row>
    <row r="16971" spans="1:11" x14ac:dyDescent="0.35">
      <c r="A16971" s="9" t="str">
        <f>HYPERLINK("http://www.ensembl.org/id/WBGene00045149", "WBGene00045149")</f>
        <v>WBGene00045149</v>
      </c>
      <c r="B16971" s="9"/>
      <c r="C16971" s="9"/>
      <c r="D16971" t="str">
        <f>"W05B2.9"</f>
        <v>W05B2.9</v>
      </c>
      <c r="F16971" t="s">
        <v>2977</v>
      </c>
      <c r="H16971" s="12">
        <v>2.3893468495514898</v>
      </c>
      <c r="I16971" s="20">
        <v>0.25323547253672701</v>
      </c>
      <c r="J16971" s="28">
        <v>0.80008625651646104</v>
      </c>
      <c r="K16971" s="29">
        <v>0.98289565623980701</v>
      </c>
    </row>
    <row r="16972" spans="1:11" x14ac:dyDescent="0.35">
      <c r="A16972" s="9" t="str">
        <f>HYPERLINK("http://www.ensembl.org/id/WBGene00199806", "WBGene00199806")</f>
        <v>WBGene00199806</v>
      </c>
      <c r="B16972" s="9"/>
      <c r="C16972" s="9"/>
      <c r="D16972" t="str">
        <f>"W05E10.15"</f>
        <v>W05E10.15</v>
      </c>
      <c r="F16972" t="s">
        <v>481</v>
      </c>
      <c r="H16972" s="12">
        <v>2.3893468495514898</v>
      </c>
      <c r="I16972" s="20">
        <v>0.25323547253672701</v>
      </c>
      <c r="J16972" s="28">
        <v>0.80008625651646104</v>
      </c>
      <c r="K16972" s="29">
        <v>0.98289565623980701</v>
      </c>
    </row>
    <row r="16973" spans="1:11" x14ac:dyDescent="0.35">
      <c r="A16973" s="9" t="str">
        <f>HYPERLINK("http://www.ensembl.org/id/WBGene00021036", "WBGene00021036")</f>
        <v>WBGene00021036</v>
      </c>
      <c r="B16973" s="9" t="str">
        <f>HYPERLINK("http://www.ncbi.nlm.nih.gov/gene/3896724", "3896724")</f>
        <v>3896724</v>
      </c>
      <c r="C16973" s="9"/>
      <c r="D16973" t="str">
        <f>"W05F2.4"</f>
        <v>W05F2.4</v>
      </c>
      <c r="F16973" t="s">
        <v>11</v>
      </c>
      <c r="H16973" s="12">
        <v>1.2129911521933101</v>
      </c>
      <c r="I16973" s="20">
        <v>0.90717461997946502</v>
      </c>
      <c r="J16973" s="28">
        <v>0.36431446280677399</v>
      </c>
      <c r="K16973" s="29">
        <v>0.98289565623980701</v>
      </c>
    </row>
    <row r="16974" spans="1:11" x14ac:dyDescent="0.35">
      <c r="A16974" s="9" t="str">
        <f>HYPERLINK("http://www.ensembl.org/id/WBGene00195045", "WBGene00195045")</f>
        <v>WBGene00195045</v>
      </c>
      <c r="B16974" s="9" t="str">
        <f>HYPERLINK("http://www.ncbi.nlm.nih.gov/gene/13179739", "13179739")</f>
        <v>13179739</v>
      </c>
      <c r="C16974" s="9"/>
      <c r="D16974" t="str">
        <f>"W05F2.8"</f>
        <v>W05F2.8</v>
      </c>
      <c r="F16974" t="s">
        <v>11</v>
      </c>
      <c r="G16974" t="s">
        <v>967</v>
      </c>
      <c r="H16974" s="12">
        <v>-1.62266102116656</v>
      </c>
      <c r="I16974" s="20">
        <v>-0.40320292364916099</v>
      </c>
      <c r="J16974" s="28">
        <v>0.68679894907261396</v>
      </c>
      <c r="K16974" s="29">
        <v>0.98289565623980701</v>
      </c>
    </row>
    <row r="16975" spans="1:11" x14ac:dyDescent="0.35">
      <c r="A16975" s="9" t="str">
        <f>HYPERLINK("http://www.ensembl.org/id/WBGene00077561", "WBGene00077561")</f>
        <v>WBGene00077561</v>
      </c>
      <c r="B16975" s="9"/>
      <c r="C16975" s="9"/>
      <c r="D16975" t="str">
        <f>"W05H12.3"</f>
        <v>W05H12.3</v>
      </c>
      <c r="F16975" t="s">
        <v>80</v>
      </c>
      <c r="H16975" s="12">
        <v>-7.7904337984490803</v>
      </c>
      <c r="I16975" s="20">
        <v>-0.60901310058451197</v>
      </c>
      <c r="J16975" s="28">
        <v>0.54251575542982</v>
      </c>
      <c r="K16975" s="29">
        <v>0.98289565623980701</v>
      </c>
    </row>
    <row r="16976" spans="1:11" x14ac:dyDescent="0.35">
      <c r="A16976" s="9" t="str">
        <f>HYPERLINK("http://www.ensembl.org/id/WBGene00219206", "WBGene00219206")</f>
        <v>WBGene00219206</v>
      </c>
      <c r="B16976" s="9" t="str">
        <f>HYPERLINK("http://www.ncbi.nlm.nih.gov/gene/13182776", "13182776")</f>
        <v>13182776</v>
      </c>
      <c r="C16976" s="9"/>
      <c r="D16976" t="str">
        <f>"W05H12.4"</f>
        <v>W05H12.4</v>
      </c>
      <c r="F16976" t="s">
        <v>11</v>
      </c>
      <c r="H16976" s="12">
        <v>1.6270114812435501</v>
      </c>
      <c r="I16976" s="20">
        <v>0.59270796709226503</v>
      </c>
      <c r="J16976" s="28">
        <v>0.55337660863166105</v>
      </c>
      <c r="K16976" s="29">
        <v>0.98289565623980701</v>
      </c>
    </row>
    <row r="16977" spans="1:11" x14ac:dyDescent="0.35">
      <c r="A16977" s="9" t="str">
        <f>HYPERLINK("http://www.ensembl.org/id/WBGene00021045", "WBGene00021045")</f>
        <v>WBGene00021045</v>
      </c>
      <c r="B16977" s="9" t="str">
        <f>HYPERLINK("http://www.ncbi.nlm.nih.gov/gene/189228", "189228")</f>
        <v>189228</v>
      </c>
      <c r="C16977" s="9"/>
      <c r="D16977" t="str">
        <f>"W05H7.2"</f>
        <v>W05H7.2</v>
      </c>
      <c r="F16977" t="s">
        <v>11</v>
      </c>
      <c r="H16977" s="12">
        <v>-2.6512161164071002</v>
      </c>
      <c r="I16977" s="20">
        <v>-0.64581797668613194</v>
      </c>
      <c r="J16977" s="28">
        <v>0.51839724449466196</v>
      </c>
      <c r="K16977" s="29">
        <v>0.98289565623980701</v>
      </c>
    </row>
    <row r="16978" spans="1:11" x14ac:dyDescent="0.35">
      <c r="A16978" s="9" t="str">
        <f>HYPERLINK("http://www.ensembl.org/id/WBGene00021048", "WBGene00021048")</f>
        <v>WBGene00021048</v>
      </c>
      <c r="B16978" s="9" t="str">
        <f>HYPERLINK("http://www.ncbi.nlm.nih.gov/gene/180901", "180901")</f>
        <v>180901</v>
      </c>
      <c r="C16978" s="9"/>
      <c r="D16978" t="str">
        <f>"W05H9.1"</f>
        <v>W05H9.1</v>
      </c>
      <c r="F16978" t="s">
        <v>11</v>
      </c>
      <c r="G16978" t="s">
        <v>25</v>
      </c>
      <c r="H16978" s="12">
        <v>-1.23289720507495</v>
      </c>
      <c r="I16978" s="20">
        <v>-0.95872464453707495</v>
      </c>
      <c r="J16978" s="28">
        <v>0.33769747982535397</v>
      </c>
      <c r="K16978" s="29">
        <v>0.98289565623980701</v>
      </c>
    </row>
    <row r="16979" spans="1:11" x14ac:dyDescent="0.35">
      <c r="A16979" s="9" t="str">
        <f>HYPERLINK("http://www.ensembl.org/id/WBGene00021049", "WBGene00021049")</f>
        <v>WBGene00021049</v>
      </c>
      <c r="B16979" s="9" t="str">
        <f>HYPERLINK("http://www.ncbi.nlm.nih.gov/gene/180899", "180899")</f>
        <v>180899</v>
      </c>
      <c r="C16979" s="9"/>
      <c r="D16979" t="str">
        <f>"W05H9.2"</f>
        <v>W05H9.2</v>
      </c>
      <c r="F16979" t="s">
        <v>11</v>
      </c>
      <c r="H16979" s="12">
        <v>-1.14327623455314</v>
      </c>
      <c r="I16979" s="20">
        <v>-0.64590784382005895</v>
      </c>
      <c r="J16979" s="28">
        <v>0.51833903948151405</v>
      </c>
      <c r="K16979" s="29">
        <v>0.98289565623980701</v>
      </c>
    </row>
    <row r="16980" spans="1:11" x14ac:dyDescent="0.35">
      <c r="A16980" s="9" t="str">
        <f>HYPERLINK("http://www.ensembl.org/id/WBGene00021050", "WBGene00021050")</f>
        <v>WBGene00021050</v>
      </c>
      <c r="B16980" s="9"/>
      <c r="C16980" s="9"/>
      <c r="D16980" t="str">
        <f>"W05H9.3"</f>
        <v>W05H9.3</v>
      </c>
      <c r="F16980" t="s">
        <v>481</v>
      </c>
      <c r="H16980" s="12">
        <v>-1.0560389662776599</v>
      </c>
      <c r="I16980" s="20">
        <v>-0.28723089420438402</v>
      </c>
      <c r="J16980" s="28">
        <v>0.77393553234946799</v>
      </c>
      <c r="K16980" s="29">
        <v>0.98289565623980701</v>
      </c>
    </row>
    <row r="16981" spans="1:11" x14ac:dyDescent="0.35">
      <c r="A16981" s="9" t="str">
        <f>HYPERLINK("http://www.ensembl.org/id/WBGene00021051", "WBGene00021051")</f>
        <v>WBGene00021051</v>
      </c>
      <c r="B16981" s="9" t="str">
        <f>HYPERLINK("http://www.ncbi.nlm.nih.gov/gene/3565039", "3565039")</f>
        <v>3565039</v>
      </c>
      <c r="C16981" s="9"/>
      <c r="D16981" t="str">
        <f>"W05H9.4"</f>
        <v>W05H9.4</v>
      </c>
      <c r="F16981" t="s">
        <v>11</v>
      </c>
      <c r="H16981" s="12">
        <v>-1.2320573756934701</v>
      </c>
      <c r="I16981" s="20">
        <v>-0.98052314878976099</v>
      </c>
      <c r="J16981" s="28">
        <v>0.32682794868027598</v>
      </c>
      <c r="K16981" s="29">
        <v>0.98289565623980701</v>
      </c>
    </row>
    <row r="16982" spans="1:11" x14ac:dyDescent="0.35">
      <c r="A16982" s="9" t="str">
        <f>HYPERLINK("http://www.ensembl.org/id/WBGene00021055", "WBGene00021055")</f>
        <v>WBGene00021055</v>
      </c>
      <c r="B16982" s="9" t="str">
        <f>HYPERLINK("http://www.ncbi.nlm.nih.gov/gene/189235", "189235")</f>
        <v>189235</v>
      </c>
      <c r="C16982" s="9"/>
      <c r="D16982" t="str">
        <f>"W06A11.4"</f>
        <v>W06A11.4</v>
      </c>
      <c r="F16982" t="s">
        <v>11</v>
      </c>
      <c r="H16982" s="12">
        <v>-1.32045376264734</v>
      </c>
      <c r="I16982" s="20">
        <v>-0.79932217303044095</v>
      </c>
      <c r="J16982" s="28">
        <v>0.42410362512947702</v>
      </c>
      <c r="K16982" s="29">
        <v>0.98289565623980701</v>
      </c>
    </row>
    <row r="16983" spans="1:11" x14ac:dyDescent="0.35">
      <c r="A16983" s="9" t="str">
        <f>HYPERLINK("http://www.ensembl.org/id/WBGene00220121", "WBGene00220121")</f>
        <v>WBGene00220121</v>
      </c>
      <c r="B16983" s="9"/>
      <c r="C16983" s="9"/>
      <c r="D16983" t="str">
        <f>"W06A7.12"</f>
        <v>W06A7.12</v>
      </c>
      <c r="F16983" t="s">
        <v>2977</v>
      </c>
      <c r="H16983" s="12">
        <v>2.2669032084051701</v>
      </c>
      <c r="I16983" s="20">
        <v>0.455891490519651</v>
      </c>
      <c r="J16983" s="28">
        <v>0.64846800896166701</v>
      </c>
      <c r="K16983" s="29">
        <v>0.98289565623980701</v>
      </c>
    </row>
    <row r="16984" spans="1:11" x14ac:dyDescent="0.35">
      <c r="A16984" s="9" t="str">
        <f>HYPERLINK("http://www.ensembl.org/id/WBGene00012291", "WBGene00012291")</f>
        <v>WBGene00012291</v>
      </c>
      <c r="B16984" s="9" t="str">
        <f>HYPERLINK("http://www.ncbi.nlm.nih.gov/gene/189231", "189231")</f>
        <v>189231</v>
      </c>
      <c r="C16984" s="9"/>
      <c r="D16984" t="str">
        <f>"W06A7.2"</f>
        <v>W06A7.2</v>
      </c>
      <c r="F16984" t="s">
        <v>11</v>
      </c>
      <c r="G16984" t="s">
        <v>372</v>
      </c>
      <c r="H16984" s="12">
        <v>1.1646837519470199</v>
      </c>
      <c r="I16984" s="20">
        <v>0.62937147104447899</v>
      </c>
      <c r="J16984" s="28">
        <v>0.52910589072880698</v>
      </c>
      <c r="K16984" s="29">
        <v>0.98289565623980701</v>
      </c>
    </row>
    <row r="16985" spans="1:11" x14ac:dyDescent="0.35">
      <c r="A16985" s="9" t="str">
        <f>HYPERLINK("http://www.ensembl.org/id/WBGene00012293", "WBGene00012293")</f>
        <v>WBGene00012293</v>
      </c>
      <c r="B16985" s="9" t="str">
        <f>HYPERLINK("http://www.ncbi.nlm.nih.gov/gene/189232", "189232")</f>
        <v>189232</v>
      </c>
      <c r="C16985" s="9" t="str">
        <f>HYPERLINK("http://www.ncbi.nlm.nih.gov/gene/55314", "55314")</f>
        <v>55314</v>
      </c>
      <c r="D16985" t="str">
        <f>"W06A7.4"</f>
        <v>W06A7.4</v>
      </c>
      <c r="F16985" t="s">
        <v>11</v>
      </c>
      <c r="G16985" t="s">
        <v>1001</v>
      </c>
      <c r="H16985" s="12">
        <v>1.31816736890641</v>
      </c>
      <c r="I16985" s="20">
        <v>0.99365151863004697</v>
      </c>
      <c r="J16985" s="28">
        <v>0.32039255326899602</v>
      </c>
      <c r="K16985" s="29">
        <v>0.98289565623980701</v>
      </c>
    </row>
    <row r="16986" spans="1:11" x14ac:dyDescent="0.35">
      <c r="A16986" s="9" t="str">
        <f>HYPERLINK("http://www.ensembl.org/id/WBGene00195855", "WBGene00195855")</f>
        <v>WBGene00195855</v>
      </c>
      <c r="B16986" s="9"/>
      <c r="C16986" s="9"/>
      <c r="D16986" t="str">
        <f>"W06A7.6"</f>
        <v>W06A7.6</v>
      </c>
      <c r="F16986" t="s">
        <v>481</v>
      </c>
      <c r="H16986" s="12">
        <v>5.4058944669092801</v>
      </c>
      <c r="I16986" s="20">
        <v>0.49762513753689303</v>
      </c>
      <c r="J16986" s="28">
        <v>0.61874828254921799</v>
      </c>
      <c r="K16986" s="29">
        <v>0.98289565623980701</v>
      </c>
    </row>
    <row r="16987" spans="1:11" x14ac:dyDescent="0.35">
      <c r="A16987" s="9" t="str">
        <f>HYPERLINK("http://www.ensembl.org/id/WBGene00198681", "WBGene00198681")</f>
        <v>WBGene00198681</v>
      </c>
      <c r="B16987" s="9"/>
      <c r="C16987" s="9"/>
      <c r="D16987" t="str">
        <f>"W06A7.8"</f>
        <v>W06A7.8</v>
      </c>
      <c r="F16987" t="s">
        <v>481</v>
      </c>
      <c r="H16987" s="12">
        <v>-2.4295389261469</v>
      </c>
      <c r="I16987" s="20">
        <v>-0.25808529976640998</v>
      </c>
      <c r="J16987" s="28">
        <v>0.79634107645457397</v>
      </c>
      <c r="K16987" s="29">
        <v>0.98289565623980701</v>
      </c>
    </row>
    <row r="16988" spans="1:11" x14ac:dyDescent="0.35">
      <c r="A16988" s="9" t="str">
        <f>HYPERLINK("http://www.ensembl.org/id/WBGene00196810", "WBGene00196810")</f>
        <v>WBGene00196810</v>
      </c>
      <c r="B16988" s="9"/>
      <c r="C16988" s="9"/>
      <c r="D16988" t="str">
        <f>"W06B11.7"</f>
        <v>W06B11.7</v>
      </c>
      <c r="F16988" t="s">
        <v>481</v>
      </c>
      <c r="H16988" s="12">
        <v>-2.4991590031922399</v>
      </c>
      <c r="I16988" s="20">
        <v>-0.26577412737581302</v>
      </c>
      <c r="J16988" s="28">
        <v>0.79041317015736101</v>
      </c>
      <c r="K16988" s="29">
        <v>0.98289565623980701</v>
      </c>
    </row>
    <row r="16989" spans="1:11" x14ac:dyDescent="0.35">
      <c r="A16989" s="9" t="str">
        <f>HYPERLINK("http://www.ensembl.org/id/WBGene00021057", "WBGene00021057")</f>
        <v>WBGene00021057</v>
      </c>
      <c r="B16989" s="9" t="str">
        <f>HYPERLINK("http://www.ncbi.nlm.nih.gov/gene/173784", "173784")</f>
        <v>173784</v>
      </c>
      <c r="C16989" s="9" t="str">
        <f>HYPERLINK("http://www.ncbi.nlm.nih.gov/gene/55577", "55577")</f>
        <v>55577</v>
      </c>
      <c r="D16989" t="str">
        <f>"W06B4.2"</f>
        <v>W06B4.2</v>
      </c>
      <c r="F16989" t="s">
        <v>11</v>
      </c>
      <c r="G16989" t="s">
        <v>6017</v>
      </c>
      <c r="H16989" s="12">
        <v>1.0724463585421</v>
      </c>
      <c r="I16989" s="20">
        <v>0.33729190222493799</v>
      </c>
      <c r="J16989" s="28">
        <v>0.73589686351365202</v>
      </c>
      <c r="K16989" s="29">
        <v>0.98289565623980701</v>
      </c>
    </row>
    <row r="16990" spans="1:11" x14ac:dyDescent="0.35">
      <c r="A16990" s="9" t="str">
        <f>HYPERLINK("http://www.ensembl.org/id/WBGene00012300", "WBGene00012300")</f>
        <v>WBGene00012300</v>
      </c>
      <c r="B16990" s="9" t="str">
        <f>HYPERLINK("http://www.ncbi.nlm.nih.gov/gene/181389", "181389")</f>
        <v>181389</v>
      </c>
      <c r="C16990" s="9"/>
      <c r="D16990" t="str">
        <f>"W06D11.2"</f>
        <v>W06D11.2</v>
      </c>
      <c r="F16990" t="s">
        <v>11</v>
      </c>
      <c r="H16990" s="12">
        <v>-1.1323322323659299</v>
      </c>
      <c r="I16990" s="20">
        <v>-0.36628879139279202</v>
      </c>
      <c r="J16990" s="28">
        <v>0.714149592492337</v>
      </c>
      <c r="K16990" s="29">
        <v>0.98289565623980701</v>
      </c>
    </row>
    <row r="16991" spans="1:11" x14ac:dyDescent="0.35">
      <c r="A16991" s="9" t="str">
        <f>HYPERLINK("http://www.ensembl.org/id/WBGene00012305", "WBGene00012305")</f>
        <v>WBGene00012305</v>
      </c>
      <c r="B16991" s="9" t="str">
        <f>HYPERLINK("http://www.ncbi.nlm.nih.gov/gene/189248", "189248")</f>
        <v>189248</v>
      </c>
      <c r="C16991" s="9"/>
      <c r="D16991" t="str">
        <f>"W06D12.6"</f>
        <v>W06D12.6</v>
      </c>
      <c r="F16991" t="s">
        <v>11</v>
      </c>
      <c r="H16991" s="12">
        <v>2.3893468495514898</v>
      </c>
      <c r="I16991" s="20">
        <v>0.25323547253672701</v>
      </c>
      <c r="J16991" s="28">
        <v>0.80008625651646104</v>
      </c>
      <c r="K16991" s="29">
        <v>0.98289565623980701</v>
      </c>
    </row>
    <row r="16992" spans="1:11" x14ac:dyDescent="0.35">
      <c r="A16992" s="9" t="str">
        <f>HYPERLINK("http://www.ensembl.org/id/WBGene00012297", "WBGene00012297")</f>
        <v>WBGene00012297</v>
      </c>
      <c r="B16992" s="9" t="str">
        <f>HYPERLINK("http://www.ncbi.nlm.nih.gov/gene/189239", "189239")</f>
        <v>189239</v>
      </c>
      <c r="C16992" s="9"/>
      <c r="D16992" t="str">
        <f>"W06D4.3"</f>
        <v>W06D4.3</v>
      </c>
      <c r="F16992" t="s">
        <v>11</v>
      </c>
      <c r="G16992" t="s">
        <v>3526</v>
      </c>
      <c r="H16992" s="12">
        <v>1.8113261626013999</v>
      </c>
      <c r="I16992" s="20">
        <v>0.60982015447803495</v>
      </c>
      <c r="J16992" s="28">
        <v>0.54198094905458705</v>
      </c>
      <c r="K16992" s="29">
        <v>0.98289565623980701</v>
      </c>
    </row>
    <row r="16993" spans="1:11" x14ac:dyDescent="0.35">
      <c r="A16993" s="9" t="str">
        <f>HYPERLINK("http://www.ensembl.org/id/WBGene00012306", "WBGene00012306")</f>
        <v>WBGene00012306</v>
      </c>
      <c r="B16993" s="9" t="str">
        <f>HYPERLINK("http://www.ncbi.nlm.nih.gov/gene/176809", "176809")</f>
        <v>176809</v>
      </c>
      <c r="C16993" s="9"/>
      <c r="D16993" t="str">
        <f>"W06F12.2"</f>
        <v>W06F12.2</v>
      </c>
      <c r="F16993" t="s">
        <v>11</v>
      </c>
      <c r="G16993" t="s">
        <v>25</v>
      </c>
      <c r="H16993" s="12">
        <v>1.24764993866025</v>
      </c>
      <c r="I16993" s="20">
        <v>1.1467696818934101</v>
      </c>
      <c r="J16993" s="28">
        <v>0.25147682260829701</v>
      </c>
      <c r="K16993" s="29">
        <v>0.98289565623980701</v>
      </c>
    </row>
    <row r="16994" spans="1:11" x14ac:dyDescent="0.35">
      <c r="A16994" s="9" t="str">
        <f>HYPERLINK("http://www.ensembl.org/id/WBGene00195570", "WBGene00195570")</f>
        <v>WBGene00195570</v>
      </c>
      <c r="B16994" s="9"/>
      <c r="C16994" s="9"/>
      <c r="D16994" t="str">
        <f>"W06F12.5"</f>
        <v>W06F12.5</v>
      </c>
      <c r="F16994" t="s">
        <v>481</v>
      </c>
      <c r="H16994" s="12">
        <v>-2.4991590031922399</v>
      </c>
      <c r="I16994" s="20">
        <v>-0.26577412737581302</v>
      </c>
      <c r="J16994" s="28">
        <v>0.79041317015736101</v>
      </c>
      <c r="K16994" s="29">
        <v>0.98289565623980701</v>
      </c>
    </row>
    <row r="16995" spans="1:11" x14ac:dyDescent="0.35">
      <c r="A16995" s="9" t="str">
        <f>HYPERLINK("http://www.ensembl.org/id/WBGene00012312", "WBGene00012312")</f>
        <v>WBGene00012312</v>
      </c>
      <c r="B16995" s="9" t="str">
        <f>HYPERLINK("http://www.ncbi.nlm.nih.gov/gene/189260", "189260")</f>
        <v>189260</v>
      </c>
      <c r="C16995" s="9"/>
      <c r="D16995" t="str">
        <f>"W06G6.10"</f>
        <v>W06G6.10</v>
      </c>
      <c r="F16995" t="s">
        <v>11</v>
      </c>
      <c r="H16995" s="12">
        <v>2.64973082482889</v>
      </c>
      <c r="I16995" s="20">
        <v>0.61531222074498404</v>
      </c>
      <c r="J16995" s="28">
        <v>0.53834854846559999</v>
      </c>
      <c r="K16995" s="29">
        <v>0.98289565623980701</v>
      </c>
    </row>
    <row r="16996" spans="1:11" x14ac:dyDescent="0.35">
      <c r="A16996" s="9" t="str">
        <f>HYPERLINK("http://www.ensembl.org/id/WBGene00196588", "WBGene00196588")</f>
        <v>WBGene00196588</v>
      </c>
      <c r="B16996" s="9"/>
      <c r="C16996" s="9"/>
      <c r="D16996" t="str">
        <f>"W06H8.10"</f>
        <v>W06H8.10</v>
      </c>
      <c r="F16996" t="s">
        <v>481</v>
      </c>
      <c r="H16996" s="12">
        <v>-3.7261494131482999</v>
      </c>
      <c r="I16996" s="20">
        <v>-0.38454673129429601</v>
      </c>
      <c r="J16996" s="28">
        <v>0.70057326682554</v>
      </c>
      <c r="K16996" s="29">
        <v>0.98289565623980701</v>
      </c>
    </row>
    <row r="16997" spans="1:11" x14ac:dyDescent="0.35">
      <c r="A16997" s="9" t="str">
        <f>HYPERLINK("http://www.ensembl.org/id/WBGene00198162", "WBGene00198162")</f>
        <v>WBGene00198162</v>
      </c>
      <c r="B16997" s="9"/>
      <c r="C16997" s="9"/>
      <c r="D16997" t="str">
        <f>"W06H8.11"</f>
        <v>W06H8.11</v>
      </c>
      <c r="F16997" t="s">
        <v>481</v>
      </c>
      <c r="H16997" s="12">
        <v>-2.4991590031922399</v>
      </c>
      <c r="I16997" s="20">
        <v>-0.26577412737581302</v>
      </c>
      <c r="J16997" s="28">
        <v>0.79041317015736101</v>
      </c>
      <c r="K16997" s="29">
        <v>0.98289565623980701</v>
      </c>
    </row>
    <row r="16998" spans="1:11" x14ac:dyDescent="0.35">
      <c r="A16998" s="9" t="str">
        <f>HYPERLINK("http://www.ensembl.org/id/WBGene00220123", "WBGene00220123")</f>
        <v>WBGene00220123</v>
      </c>
      <c r="B16998" s="9"/>
      <c r="C16998" s="9"/>
      <c r="D16998" t="str">
        <f>"W06H8.16"</f>
        <v>W06H8.16</v>
      </c>
      <c r="F16998" t="s">
        <v>481</v>
      </c>
      <c r="H16998" s="12">
        <v>1.69954548787727</v>
      </c>
      <c r="I16998" s="20">
        <v>0.33595944979266801</v>
      </c>
      <c r="J16998" s="28">
        <v>0.73690144531535295</v>
      </c>
      <c r="K16998" s="29">
        <v>0.98289565623980701</v>
      </c>
    </row>
    <row r="16999" spans="1:11" x14ac:dyDescent="0.35">
      <c r="A16999" s="9" t="str">
        <f>HYPERLINK("http://www.ensembl.org/id/WBGene00021066", "WBGene00021066")</f>
        <v>WBGene00021066</v>
      </c>
      <c r="B16999" s="9" t="str">
        <f>HYPERLINK("http://www.ncbi.nlm.nih.gov/gene/179009", "179009")</f>
        <v>179009</v>
      </c>
      <c r="C16999" s="9"/>
      <c r="D16999" t="str">
        <f>"W06H8.2"</f>
        <v>W06H8.2</v>
      </c>
      <c r="F16999" t="s">
        <v>11</v>
      </c>
      <c r="G16999" t="s">
        <v>260</v>
      </c>
      <c r="H16999" s="12">
        <v>1.2842658192256999</v>
      </c>
      <c r="I16999" s="20">
        <v>0.56159505951241395</v>
      </c>
      <c r="J16999" s="28">
        <v>0.57439194726429998</v>
      </c>
      <c r="K16999" s="29">
        <v>0.98289565623980701</v>
      </c>
    </row>
    <row r="17000" spans="1:11" x14ac:dyDescent="0.35">
      <c r="A17000" s="9" t="str">
        <f>HYPERLINK("http://www.ensembl.org/id/WBGene00021068", "WBGene00021068")</f>
        <v>WBGene00021068</v>
      </c>
      <c r="B17000" s="9" t="str">
        <f>HYPERLINK("http://www.ncbi.nlm.nih.gov/gene/3564781", "3564781")</f>
        <v>3564781</v>
      </c>
      <c r="C17000" s="9"/>
      <c r="D17000" t="str">
        <f>"W06H8.6"</f>
        <v>W06H8.6</v>
      </c>
      <c r="F17000" t="s">
        <v>11</v>
      </c>
      <c r="H17000" s="12">
        <v>1.0473762203950401</v>
      </c>
      <c r="I17000" s="20">
        <v>0.25426998823012198</v>
      </c>
      <c r="J17000" s="28">
        <v>0.79928698392877295</v>
      </c>
      <c r="K17000" s="29">
        <v>0.98289565623980701</v>
      </c>
    </row>
    <row r="17001" spans="1:11" x14ac:dyDescent="0.35">
      <c r="A17001" s="9" t="str">
        <f>HYPERLINK("http://www.ensembl.org/id/WBGene00195543", "WBGene00195543")</f>
        <v>WBGene00195543</v>
      </c>
      <c r="B17001" s="9"/>
      <c r="C17001" s="9"/>
      <c r="D17001" t="str">
        <f>"W06H8.9"</f>
        <v>W06H8.9</v>
      </c>
      <c r="F17001" t="s">
        <v>481</v>
      </c>
      <c r="H17001" s="12">
        <v>3.5227018545059199</v>
      </c>
      <c r="I17001" s="20">
        <v>0.36849691206929103</v>
      </c>
      <c r="J17001" s="28">
        <v>0.71250274722433404</v>
      </c>
      <c r="K17001" s="29">
        <v>0.98289565623980701</v>
      </c>
    </row>
    <row r="17002" spans="1:11" x14ac:dyDescent="0.35">
      <c r="A17002" s="9" t="str">
        <f>HYPERLINK("http://www.ensembl.org/id/WBGene00012325", "WBGene00012325")</f>
        <v>WBGene00012325</v>
      </c>
      <c r="B17002" s="9" t="str">
        <f>HYPERLINK("http://www.ncbi.nlm.nih.gov/gene/3564798", "3564798")</f>
        <v>3564798</v>
      </c>
      <c r="C17002" s="9"/>
      <c r="D17002" t="str">
        <f>"W07A12.8"</f>
        <v>W07A12.8</v>
      </c>
      <c r="F17002" t="s">
        <v>11</v>
      </c>
      <c r="H17002" s="12">
        <v>1.2325059012557</v>
      </c>
      <c r="I17002" s="20">
        <v>0.38826014751920301</v>
      </c>
      <c r="J17002" s="28">
        <v>0.69782352612132603</v>
      </c>
      <c r="K17002" s="29">
        <v>0.98289565623980701</v>
      </c>
    </row>
    <row r="17003" spans="1:11" x14ac:dyDescent="0.35">
      <c r="A17003" s="9" t="str">
        <f>HYPERLINK("http://www.ensembl.org/id/WBGene00021074", "WBGene00021074")</f>
        <v>WBGene00021074</v>
      </c>
      <c r="B17003" s="9" t="str">
        <f>HYPERLINK("http://www.ncbi.nlm.nih.gov/gene/173439", "173439")</f>
        <v>173439</v>
      </c>
      <c r="C17003" s="9" t="str">
        <f>HYPERLINK("http://www.ncbi.nlm.nih.gov/gene/54475", "54475")</f>
        <v>54475</v>
      </c>
      <c r="D17003" t="str">
        <f>"W07E6.2"</f>
        <v>W07E6.2</v>
      </c>
      <c r="F17003" t="s">
        <v>11</v>
      </c>
      <c r="G17003" t="s">
        <v>6425</v>
      </c>
      <c r="H17003" s="12">
        <v>-1.06882430832438</v>
      </c>
      <c r="I17003" s="20">
        <v>-0.27943577360972399</v>
      </c>
      <c r="J17003" s="28">
        <v>0.77991042064830396</v>
      </c>
      <c r="K17003" s="29">
        <v>0.98289565623980701</v>
      </c>
    </row>
    <row r="17004" spans="1:11" x14ac:dyDescent="0.35">
      <c r="A17004" s="9" t="str">
        <f>HYPERLINK("http://www.ensembl.org/id/WBGene00021075", "WBGene00021075")</f>
        <v>WBGene00021075</v>
      </c>
      <c r="B17004" s="9" t="str">
        <f>HYPERLINK("http://www.ncbi.nlm.nih.gov/gene/189276", "189276")</f>
        <v>189276</v>
      </c>
      <c r="C17004" s="9"/>
      <c r="D17004" t="str">
        <f>"W07E6.3"</f>
        <v>W07E6.3</v>
      </c>
      <c r="E17004" t="s">
        <v>5503</v>
      </c>
      <c r="F17004" t="s">
        <v>11</v>
      </c>
      <c r="G17004" t="s">
        <v>5504</v>
      </c>
      <c r="H17004" s="12">
        <v>1.1563401956035899</v>
      </c>
      <c r="I17004" s="20">
        <v>0.59286770730726701</v>
      </c>
      <c r="J17004" s="28">
        <v>0.55326969099618495</v>
      </c>
      <c r="K17004" s="29">
        <v>0.98289565623980701</v>
      </c>
    </row>
    <row r="17005" spans="1:11" x14ac:dyDescent="0.35">
      <c r="A17005" s="9" t="str">
        <f>HYPERLINK("http://www.ensembl.org/id/WBGene00021076", "WBGene00021076")</f>
        <v>WBGene00021076</v>
      </c>
      <c r="B17005" s="9" t="str">
        <f>HYPERLINK("http://www.ncbi.nlm.nih.gov/gene/189277", "189277")</f>
        <v>189277</v>
      </c>
      <c r="C17005" s="9"/>
      <c r="D17005" t="str">
        <f>"W07E6.5"</f>
        <v>W07E6.5</v>
      </c>
      <c r="F17005" t="s">
        <v>11</v>
      </c>
      <c r="G17005" t="s">
        <v>25</v>
      </c>
      <c r="H17005" s="12">
        <v>-1.1762595025400899</v>
      </c>
      <c r="I17005" s="20">
        <v>-0.38963267390970602</v>
      </c>
      <c r="J17005" s="28">
        <v>0.69680818762805796</v>
      </c>
      <c r="K17005" s="29">
        <v>0.98289565623980701</v>
      </c>
    </row>
    <row r="17006" spans="1:11" x14ac:dyDescent="0.35">
      <c r="A17006" s="9" t="str">
        <f>HYPERLINK("http://www.ensembl.org/id/WBGene00012328", "WBGene00012328")</f>
        <v>WBGene00012328</v>
      </c>
      <c r="B17006" s="9" t="str">
        <f>HYPERLINK("http://www.ncbi.nlm.nih.gov/gene/189278", "189278")</f>
        <v>189278</v>
      </c>
      <c r="C17006" s="9"/>
      <c r="D17006" t="str">
        <f>"W07G1.1"</f>
        <v>W07G1.1</v>
      </c>
      <c r="F17006" t="s">
        <v>11</v>
      </c>
      <c r="G17006" t="s">
        <v>4277</v>
      </c>
      <c r="H17006" s="12">
        <v>4.4414047613034597</v>
      </c>
      <c r="I17006" s="20">
        <v>1.1022683399355999</v>
      </c>
      <c r="J17006" s="28">
        <v>0.27034502914951303</v>
      </c>
      <c r="K17006" s="29">
        <v>0.98289565623980701</v>
      </c>
    </row>
    <row r="17007" spans="1:11" x14ac:dyDescent="0.35">
      <c r="A17007" s="9" t="str">
        <f>HYPERLINK("http://www.ensembl.org/id/WBGene00200197", "WBGene00200197")</f>
        <v>WBGene00200197</v>
      </c>
      <c r="B17007" s="9"/>
      <c r="C17007" s="9"/>
      <c r="D17007" t="str">
        <f>"W07G1.17"</f>
        <v>W07G1.17</v>
      </c>
      <c r="F17007" t="s">
        <v>481</v>
      </c>
      <c r="H17007" s="12">
        <v>3.6645215954135</v>
      </c>
      <c r="I17007" s="20">
        <v>0.37967131826092498</v>
      </c>
      <c r="J17007" s="28">
        <v>0.70418941338960395</v>
      </c>
      <c r="K17007" s="29">
        <v>0.98289565623980701</v>
      </c>
    </row>
    <row r="17008" spans="1:11" x14ac:dyDescent="0.35">
      <c r="A17008" s="9" t="str">
        <f>HYPERLINK("http://www.ensembl.org/id/WBGene00220125", "WBGene00220125")</f>
        <v>WBGene00220125</v>
      </c>
      <c r="B17008" s="9"/>
      <c r="C17008" s="9"/>
      <c r="D17008" t="str">
        <f>"W07G1.23"</f>
        <v>W07G1.23</v>
      </c>
      <c r="F17008" t="s">
        <v>2977</v>
      </c>
      <c r="H17008" s="12">
        <v>4.4368407117627902</v>
      </c>
      <c r="I17008" s="20">
        <v>0.43709475933309699</v>
      </c>
      <c r="J17008" s="28">
        <v>0.66204262779770495</v>
      </c>
      <c r="K17008" s="29">
        <v>0.98289565623980701</v>
      </c>
    </row>
    <row r="17009" spans="1:11" x14ac:dyDescent="0.35">
      <c r="A17009" s="9" t="str">
        <f>HYPERLINK("http://www.ensembl.org/id/WBGene00235206", "WBGene00235206")</f>
        <v>WBGene00235206</v>
      </c>
      <c r="B17009" s="9"/>
      <c r="C17009" s="9"/>
      <c r="D17009" t="str">
        <f>"W07G1.24"</f>
        <v>W07G1.24</v>
      </c>
      <c r="F17009" t="s">
        <v>4205</v>
      </c>
      <c r="H17009" s="12">
        <v>3.5227018545059199</v>
      </c>
      <c r="I17009" s="20">
        <v>0.36849691206929103</v>
      </c>
      <c r="J17009" s="28">
        <v>0.71250274722433404</v>
      </c>
      <c r="K17009" s="29">
        <v>0.98289565623980701</v>
      </c>
    </row>
    <row r="17010" spans="1:11" x14ac:dyDescent="0.35">
      <c r="A17010" s="9" t="str">
        <f>HYPERLINK("http://www.ensembl.org/id/WBGene00012334", "WBGene00012334")</f>
        <v>WBGene00012334</v>
      </c>
      <c r="B17010" s="9" t="str">
        <f>HYPERLINK("http://www.ncbi.nlm.nih.gov/gene/175046", "175046")</f>
        <v>175046</v>
      </c>
      <c r="C17010" s="9"/>
      <c r="D17010" t="str">
        <f>"W07G1.7"</f>
        <v>W07G1.7</v>
      </c>
      <c r="F17010" t="s">
        <v>11</v>
      </c>
      <c r="H17010" s="12">
        <v>-5.0679335373361498</v>
      </c>
      <c r="I17010" s="20">
        <v>-0.76562232569770305</v>
      </c>
      <c r="J17010" s="28">
        <v>0.443901056408812</v>
      </c>
      <c r="K17010" s="29">
        <v>0.98289565623980701</v>
      </c>
    </row>
    <row r="17011" spans="1:11" x14ac:dyDescent="0.35">
      <c r="A17011" s="9" t="str">
        <f>HYPERLINK("http://www.ensembl.org/id/WBGene00014550", "WBGene00014550")</f>
        <v>WBGene00014550</v>
      </c>
      <c r="B17011" s="9"/>
      <c r="C17011" s="9"/>
      <c r="D17011" t="str">
        <f>"W07G1.9"</f>
        <v>W07G1.9</v>
      </c>
      <c r="F17011" t="s">
        <v>4205</v>
      </c>
      <c r="H17011" s="12">
        <v>7.6616465944663696</v>
      </c>
      <c r="I17011" s="20">
        <v>0.60406875593600395</v>
      </c>
      <c r="J17011" s="28">
        <v>0.54579793098927099</v>
      </c>
      <c r="K17011" s="29">
        <v>0.98289565623980701</v>
      </c>
    </row>
    <row r="17012" spans="1:11" x14ac:dyDescent="0.35">
      <c r="A17012" s="9" t="str">
        <f>HYPERLINK("http://www.ensembl.org/id/WBGene00012335", "WBGene00012335")</f>
        <v>WBGene00012335</v>
      </c>
      <c r="B17012" s="9" t="str">
        <f>HYPERLINK("http://www.ncbi.nlm.nih.gov/gene/189283", "189283")</f>
        <v>189283</v>
      </c>
      <c r="C17012" s="9"/>
      <c r="D17012" t="str">
        <f>"W07G4.1"</f>
        <v>W07G4.1</v>
      </c>
      <c r="F17012" t="s">
        <v>11</v>
      </c>
      <c r="H17012" s="12">
        <v>1.8618081556136701</v>
      </c>
      <c r="I17012" s="20">
        <v>0.50017169808482498</v>
      </c>
      <c r="J17012" s="28">
        <v>0.61695418475722597</v>
      </c>
      <c r="K17012" s="29">
        <v>0.98289565623980701</v>
      </c>
    </row>
    <row r="17013" spans="1:11" x14ac:dyDescent="0.35">
      <c r="A17013" s="9" t="str">
        <f>HYPERLINK("http://www.ensembl.org/id/WBGene00012336", "WBGene00012336")</f>
        <v>WBGene00012336</v>
      </c>
      <c r="B17013" s="9" t="str">
        <f>HYPERLINK("http://www.ncbi.nlm.nih.gov/gene/189284", "189284")</f>
        <v>189284</v>
      </c>
      <c r="C17013" s="9"/>
      <c r="D17013" t="str">
        <f>"W07G4.2"</f>
        <v>W07G4.2</v>
      </c>
      <c r="F17013" t="s">
        <v>11</v>
      </c>
      <c r="G17013" t="s">
        <v>4220</v>
      </c>
      <c r="H17013" s="12">
        <v>-1.1283781512209701</v>
      </c>
      <c r="I17013" s="20">
        <v>-0.31906891802040799</v>
      </c>
      <c r="J17013" s="28">
        <v>0.74967425259478804</v>
      </c>
      <c r="K17013" s="29">
        <v>0.98289565623980701</v>
      </c>
    </row>
    <row r="17014" spans="1:11" x14ac:dyDescent="0.35">
      <c r="A17014" s="9" t="str">
        <f>HYPERLINK("http://www.ensembl.org/id/WBGene00012337", "WBGene00012337")</f>
        <v>WBGene00012337</v>
      </c>
      <c r="B17014" s="9" t="str">
        <f>HYPERLINK("http://www.ncbi.nlm.nih.gov/gene/179789", "179789")</f>
        <v>179789</v>
      </c>
      <c r="C17014" s="9" t="str">
        <f>HYPERLINK("http://www.ncbi.nlm.nih.gov/gene/57410", "57410")</f>
        <v>57410</v>
      </c>
      <c r="D17014" t="str">
        <f>"W07G4.3"</f>
        <v>W07G4.3</v>
      </c>
      <c r="F17014" t="s">
        <v>11</v>
      </c>
      <c r="G17014" t="s">
        <v>2770</v>
      </c>
      <c r="H17014" s="12">
        <v>1.1121139092749699</v>
      </c>
      <c r="I17014" s="20">
        <v>0.53332046029851299</v>
      </c>
      <c r="J17014" s="28">
        <v>0.59381176676591996</v>
      </c>
      <c r="K17014" s="29">
        <v>0.98289565623980701</v>
      </c>
    </row>
    <row r="17015" spans="1:11" x14ac:dyDescent="0.35">
      <c r="A17015" s="9" t="str">
        <f>HYPERLINK("http://www.ensembl.org/id/WBGene00077565", "WBGene00077565")</f>
        <v>WBGene00077565</v>
      </c>
      <c r="B17015" s="9" t="str">
        <f>HYPERLINK("http://www.ncbi.nlm.nih.gov/gene/6418779", "6418779")</f>
        <v>6418779</v>
      </c>
      <c r="C17015" s="9"/>
      <c r="D17015" t="str">
        <f>"W07G4.7"</f>
        <v>W07G4.7</v>
      </c>
      <c r="F17015" t="s">
        <v>11</v>
      </c>
      <c r="H17015" s="12">
        <v>-4.7069891493991998</v>
      </c>
      <c r="I17015" s="20">
        <v>-0.56731576878075296</v>
      </c>
      <c r="J17015" s="28">
        <v>0.57049966550338205</v>
      </c>
      <c r="K17015" s="29">
        <v>0.98289565623980701</v>
      </c>
    </row>
    <row r="17016" spans="1:11" x14ac:dyDescent="0.35">
      <c r="A17016" s="9" t="str">
        <f>HYPERLINK("http://www.ensembl.org/id/WBGene00077788", "WBGene00077788")</f>
        <v>WBGene00077788</v>
      </c>
      <c r="B17016" s="9" t="str">
        <f>HYPERLINK("http://www.ncbi.nlm.nih.gov/gene/7040180", "7040180")</f>
        <v>7040180</v>
      </c>
      <c r="C17016" s="9"/>
      <c r="D17016" t="str">
        <f>"W07G4.8"</f>
        <v>W07G4.8</v>
      </c>
      <c r="F17016" t="s">
        <v>11</v>
      </c>
      <c r="H17016" s="12">
        <v>-3.80482477582889</v>
      </c>
      <c r="I17016" s="20">
        <v>-1.0939322021169799</v>
      </c>
      <c r="J17016" s="28">
        <v>0.27398471421891102</v>
      </c>
      <c r="K17016" s="29">
        <v>0.98289565623980701</v>
      </c>
    </row>
    <row r="17017" spans="1:11" x14ac:dyDescent="0.35">
      <c r="A17017" s="9" t="str">
        <f>HYPERLINK("http://www.ensembl.org/id/WBGene00021079", "WBGene00021079")</f>
        <v>WBGene00021079</v>
      </c>
      <c r="B17017" s="9" t="str">
        <f>HYPERLINK("http://www.ncbi.nlm.nih.gov/gene/178786", "178786")</f>
        <v>178786</v>
      </c>
      <c r="C17017" s="9"/>
      <c r="D17017" t="str">
        <f>"W08A12.2"</f>
        <v>W08A12.2</v>
      </c>
      <c r="F17017" t="s">
        <v>11</v>
      </c>
      <c r="H17017" s="12">
        <v>-1.12510630731705</v>
      </c>
      <c r="I17017" s="20">
        <v>-0.54534449920608297</v>
      </c>
      <c r="J17017" s="28">
        <v>0.58551660436195596</v>
      </c>
      <c r="K17017" s="29">
        <v>0.98289565623980701</v>
      </c>
    </row>
    <row r="17018" spans="1:11" x14ac:dyDescent="0.35">
      <c r="A17018" s="9" t="str">
        <f>HYPERLINK("http://www.ensembl.org/id/WBGene00199730", "WBGene00199730")</f>
        <v>WBGene00199730</v>
      </c>
      <c r="B17018" s="9"/>
      <c r="C17018" s="9"/>
      <c r="D17018" t="str">
        <f>"W08D2.11"</f>
        <v>W08D2.11</v>
      </c>
      <c r="F17018" t="s">
        <v>481</v>
      </c>
      <c r="H17018" s="12">
        <v>11.7711088571319</v>
      </c>
      <c r="I17018" s="20">
        <v>0.79663765182635704</v>
      </c>
      <c r="J17018" s="28">
        <v>0.42566150362591298</v>
      </c>
      <c r="K17018" s="29">
        <v>0.98289565623980701</v>
      </c>
    </row>
    <row r="17019" spans="1:11" x14ac:dyDescent="0.35">
      <c r="A17019" s="9" t="str">
        <f>HYPERLINK("http://www.ensembl.org/id/WBGene00200430", "WBGene00200430")</f>
        <v>WBGene00200430</v>
      </c>
      <c r="B17019" s="9"/>
      <c r="C17019" s="9"/>
      <c r="D17019" t="str">
        <f>"W08D2.12"</f>
        <v>W08D2.12</v>
      </c>
      <c r="F17019" t="s">
        <v>481</v>
      </c>
      <c r="H17019" s="12">
        <v>9.9320123134608593</v>
      </c>
      <c r="I17019" s="20">
        <v>0.68366985730865304</v>
      </c>
      <c r="J17019" s="28">
        <v>0.49418366151259002</v>
      </c>
      <c r="K17019" s="29">
        <v>0.98289565623980701</v>
      </c>
    </row>
    <row r="17020" spans="1:11" x14ac:dyDescent="0.35">
      <c r="A17020" s="9" t="str">
        <f>HYPERLINK("http://www.ensembl.org/id/WBGene00201219", "WBGene00201219")</f>
        <v>WBGene00201219</v>
      </c>
      <c r="B17020" s="9"/>
      <c r="C17020" s="9"/>
      <c r="D17020" t="str">
        <f>"W08D2.13"</f>
        <v>W08D2.13</v>
      </c>
      <c r="F17020" t="s">
        <v>481</v>
      </c>
      <c r="H17020" s="12">
        <v>1.4307950758696699</v>
      </c>
      <c r="I17020" s="20">
        <v>0.43446242853844802</v>
      </c>
      <c r="J17020" s="28">
        <v>0.66395267242989597</v>
      </c>
      <c r="K17020" s="29">
        <v>0.98289565623980701</v>
      </c>
    </row>
    <row r="17021" spans="1:11" x14ac:dyDescent="0.35">
      <c r="A17021" s="9" t="str">
        <f>HYPERLINK("http://www.ensembl.org/id/WBGene00014857", "WBGene00014857")</f>
        <v>WBGene00014857</v>
      </c>
      <c r="B17021" s="9"/>
      <c r="C17021" s="9"/>
      <c r="D17021" t="str">
        <f>"W08D2.9"</f>
        <v>W08D2.9</v>
      </c>
      <c r="F17021" t="s">
        <v>80</v>
      </c>
      <c r="H17021" s="12">
        <v>-2.55408378987496</v>
      </c>
      <c r="I17021" s="20">
        <v>-0.43914520955159098</v>
      </c>
      <c r="J17021" s="28">
        <v>0.66055632256137398</v>
      </c>
      <c r="K17021" s="29">
        <v>0.98289565623980701</v>
      </c>
    </row>
    <row r="17022" spans="1:11" x14ac:dyDescent="0.35">
      <c r="A17022" s="9" t="str">
        <f>HYPERLINK("http://www.ensembl.org/id/WBGene00021083", "WBGene00021083")</f>
        <v>WBGene00021083</v>
      </c>
      <c r="B17022" s="9" t="str">
        <f>HYPERLINK("http://www.ncbi.nlm.nih.gov/gene/189291", "189291")</f>
        <v>189291</v>
      </c>
      <c r="C17022" s="9"/>
      <c r="D17022" t="str">
        <f>"W08E12.2"</f>
        <v>W08E12.2</v>
      </c>
      <c r="F17022" t="s">
        <v>11</v>
      </c>
      <c r="H17022" s="12">
        <v>2.4578120077400301</v>
      </c>
      <c r="I17022" s="20">
        <v>0.26093350314551</v>
      </c>
      <c r="J17022" s="28">
        <v>0.79414378780213601</v>
      </c>
      <c r="K17022" s="29">
        <v>0.98289565623980701</v>
      </c>
    </row>
    <row r="17023" spans="1:11" x14ac:dyDescent="0.35">
      <c r="A17023" s="9" t="str">
        <f>HYPERLINK("http://www.ensembl.org/id/WBGene00021085", "WBGene00021085")</f>
        <v>WBGene00021085</v>
      </c>
      <c r="B17023" s="9" t="str">
        <f>HYPERLINK("http://www.ncbi.nlm.nih.gov/gene/189292", "189292")</f>
        <v>189292</v>
      </c>
      <c r="C17023" s="9"/>
      <c r="D17023" t="str">
        <f>"W08E12.4"</f>
        <v>W08E12.4</v>
      </c>
      <c r="F17023" t="s">
        <v>11</v>
      </c>
      <c r="H17023" s="12">
        <v>-4.7167679298615104</v>
      </c>
      <c r="I17023" s="20">
        <v>-0.454742638005115</v>
      </c>
      <c r="J17023" s="28">
        <v>0.64929440216969203</v>
      </c>
      <c r="K17023" s="29">
        <v>0.98289565623980701</v>
      </c>
    </row>
    <row r="17024" spans="1:11" x14ac:dyDescent="0.35">
      <c r="A17024" s="9" t="str">
        <f>HYPERLINK("http://www.ensembl.org/id/WBGene00021089", "WBGene00021089")</f>
        <v>WBGene00021089</v>
      </c>
      <c r="B17024" s="9" t="str">
        <f>HYPERLINK("http://www.ncbi.nlm.nih.gov/gene/189295", "189295")</f>
        <v>189295</v>
      </c>
      <c r="C17024" s="9"/>
      <c r="D17024" t="str">
        <f>"W08E12.8"</f>
        <v>W08E12.8</v>
      </c>
      <c r="F17024" t="s">
        <v>11</v>
      </c>
      <c r="H17024" s="12">
        <v>-1.26934243743269</v>
      </c>
      <c r="I17024" s="20">
        <v>-0.38291656455187101</v>
      </c>
      <c r="J17024" s="28">
        <v>0.70178162900218</v>
      </c>
      <c r="K17024" s="29">
        <v>0.98289565623980701</v>
      </c>
    </row>
    <row r="17025" spans="1:11" x14ac:dyDescent="0.35">
      <c r="A17025" s="9" t="str">
        <f>HYPERLINK("http://www.ensembl.org/id/WBGene00012343", "WBGene00012343")</f>
        <v>WBGene00012343</v>
      </c>
      <c r="B17025" s="9" t="str">
        <f>HYPERLINK("http://www.ncbi.nlm.nih.gov/gene/173203", "173203")</f>
        <v>173203</v>
      </c>
      <c r="C17025" s="9"/>
      <c r="D17025" t="str">
        <f>"W08E3.2"</f>
        <v>W08E3.2</v>
      </c>
      <c r="F17025" t="s">
        <v>11</v>
      </c>
      <c r="G17025" t="s">
        <v>6071</v>
      </c>
      <c r="H17025" s="12">
        <v>1.0653597286729399</v>
      </c>
      <c r="I17025" s="20">
        <v>0.34300263150372401</v>
      </c>
      <c r="J17025" s="28">
        <v>0.73159648046748504</v>
      </c>
      <c r="K17025" s="29">
        <v>0.98289565623980701</v>
      </c>
    </row>
    <row r="17026" spans="1:11" x14ac:dyDescent="0.35">
      <c r="A17026" s="9" t="str">
        <f>HYPERLINK("http://www.ensembl.org/id/WBGene00021100", "WBGene00021100")</f>
        <v>WBGene00021100</v>
      </c>
      <c r="B17026" s="9"/>
      <c r="C17026" s="9"/>
      <c r="D17026" t="str">
        <f>"W08F4.11"</f>
        <v>W08F4.11</v>
      </c>
      <c r="F17026" t="s">
        <v>481</v>
      </c>
      <c r="H17026" s="12">
        <v>2.0782864323862702</v>
      </c>
      <c r="I17026" s="20">
        <v>0.67414108320630295</v>
      </c>
      <c r="J17026" s="28">
        <v>0.50022162245626101</v>
      </c>
      <c r="K17026" s="29">
        <v>0.98289565623980701</v>
      </c>
    </row>
    <row r="17027" spans="1:11" x14ac:dyDescent="0.35">
      <c r="A17027" s="9" t="str">
        <f>HYPERLINK("http://www.ensembl.org/id/WBGene00021101", "WBGene00021101")</f>
        <v>WBGene00021101</v>
      </c>
      <c r="B17027" s="9" t="str">
        <f>HYPERLINK("http://www.ncbi.nlm.nih.gov/gene/173451", "173451")</f>
        <v>173451</v>
      </c>
      <c r="C17027" s="9"/>
      <c r="D17027" t="str">
        <f>"W08F4.12"</f>
        <v>W08F4.12</v>
      </c>
      <c r="F17027" t="s">
        <v>11</v>
      </c>
      <c r="H17027" s="12">
        <v>1.65358398790924</v>
      </c>
      <c r="I17027" s="20">
        <v>0.71958102110639399</v>
      </c>
      <c r="J17027" s="28">
        <v>0.47178300082556601</v>
      </c>
      <c r="K17027" s="29">
        <v>0.98289565623980701</v>
      </c>
    </row>
    <row r="17028" spans="1:11" x14ac:dyDescent="0.35">
      <c r="A17028" s="9" t="str">
        <f>HYPERLINK("http://www.ensembl.org/id/WBGene00044733", "WBGene00044733")</f>
        <v>WBGene00044733</v>
      </c>
      <c r="B17028" s="9" t="str">
        <f>HYPERLINK("http://www.ncbi.nlm.nih.gov/gene/4363035", "4363035")</f>
        <v>4363035</v>
      </c>
      <c r="C17028" s="9"/>
      <c r="D17028" t="str">
        <f>"W08F4.13"</f>
        <v>W08F4.13</v>
      </c>
      <c r="F17028" t="s">
        <v>11</v>
      </c>
      <c r="G17028" t="s">
        <v>54</v>
      </c>
      <c r="H17028" s="12">
        <v>-1.4104772822557401</v>
      </c>
      <c r="I17028" s="20">
        <v>-0.53657383917934498</v>
      </c>
      <c r="J17028" s="28">
        <v>0.59156201874791003</v>
      </c>
      <c r="K17028" s="29">
        <v>0.98289565623980701</v>
      </c>
    </row>
    <row r="17029" spans="1:11" x14ac:dyDescent="0.35">
      <c r="A17029" s="9" t="str">
        <f>HYPERLINK("http://www.ensembl.org/id/WBGene00268208", "WBGene00268208")</f>
        <v>WBGene00268208</v>
      </c>
      <c r="B17029" s="9"/>
      <c r="C17029" s="9"/>
      <c r="D17029" t="str">
        <f>"W08F4.21"</f>
        <v>W08F4.21</v>
      </c>
      <c r="F17029" t="s">
        <v>481</v>
      </c>
      <c r="H17029" s="12">
        <v>1.7735874177152</v>
      </c>
      <c r="I17029" s="20">
        <v>0.46692754955497601</v>
      </c>
      <c r="J17029" s="28">
        <v>0.64055171401907496</v>
      </c>
      <c r="K17029" s="29">
        <v>0.98289565623980701</v>
      </c>
    </row>
    <row r="17030" spans="1:11" x14ac:dyDescent="0.35">
      <c r="A17030" s="9" t="str">
        <f>HYPERLINK("http://www.ensembl.org/id/WBGene00021094", "WBGene00021094")</f>
        <v>WBGene00021094</v>
      </c>
      <c r="B17030" s="9" t="str">
        <f>HYPERLINK("http://www.ncbi.nlm.nih.gov/gene/189299", "189299")</f>
        <v>189299</v>
      </c>
      <c r="C17030" s="9"/>
      <c r="D17030" t="str">
        <f>"W08F4.5"</f>
        <v>W08F4.5</v>
      </c>
      <c r="F17030" t="s">
        <v>11</v>
      </c>
      <c r="H17030" s="12">
        <v>-3.0733576026554501</v>
      </c>
      <c r="I17030" s="20">
        <v>-0.98579161653893499</v>
      </c>
      <c r="J17030" s="28">
        <v>0.32423538050011802</v>
      </c>
      <c r="K17030" s="29">
        <v>0.98289565623980701</v>
      </c>
    </row>
    <row r="17031" spans="1:11" x14ac:dyDescent="0.35">
      <c r="A17031" s="9" t="str">
        <f>HYPERLINK("http://www.ensembl.org/id/WBGene00012347", "WBGene00012347")</f>
        <v>WBGene00012347</v>
      </c>
      <c r="B17031" s="9" t="str">
        <f>HYPERLINK("http://www.ncbi.nlm.nih.gov/gene/189304", "189304")</f>
        <v>189304</v>
      </c>
      <c r="C17031" s="9"/>
      <c r="D17031" t="str">
        <f>"W08G11.3"</f>
        <v>W08G11.3</v>
      </c>
      <c r="F17031" t="s">
        <v>11</v>
      </c>
      <c r="H17031" s="12">
        <v>-1.1732313498489999</v>
      </c>
      <c r="I17031" s="20">
        <v>-0.80701470795600405</v>
      </c>
      <c r="J17031" s="28">
        <v>0.41965800945524301</v>
      </c>
      <c r="K17031" s="29">
        <v>0.98289565623980701</v>
      </c>
    </row>
    <row r="17032" spans="1:11" x14ac:dyDescent="0.35">
      <c r="A17032" s="9" t="str">
        <f>HYPERLINK("http://www.ensembl.org/id/WBGene00023429", "WBGene00023429")</f>
        <v>WBGene00023429</v>
      </c>
      <c r="B17032" s="9"/>
      <c r="C17032" s="9"/>
      <c r="D17032" t="str">
        <f>"W08G11.6"</f>
        <v>W08G11.6</v>
      </c>
      <c r="F17032" t="s">
        <v>2977</v>
      </c>
      <c r="H17032" s="12">
        <v>-1.6071039589682501</v>
      </c>
      <c r="I17032" s="20">
        <v>-0.49023348401443401</v>
      </c>
      <c r="J17032" s="28">
        <v>0.62396868922180404</v>
      </c>
      <c r="K17032" s="29">
        <v>0.98289565623980701</v>
      </c>
    </row>
    <row r="17033" spans="1:11" x14ac:dyDescent="0.35">
      <c r="A17033" s="9" t="str">
        <f>HYPERLINK("http://www.ensembl.org/id/WBGene00021104", "WBGene00021104")</f>
        <v>WBGene00021104</v>
      </c>
      <c r="B17033" s="9" t="str">
        <f>HYPERLINK("http://www.ncbi.nlm.nih.gov/gene/173499", "173499")</f>
        <v>173499</v>
      </c>
      <c r="C17033" s="9"/>
      <c r="D17033" t="str">
        <f>"W09B6.4"</f>
        <v>W09B6.4</v>
      </c>
      <c r="F17033" t="s">
        <v>11</v>
      </c>
      <c r="H17033" s="12">
        <v>-1.2068787925789699</v>
      </c>
      <c r="I17033" s="20">
        <v>-0.68984134893150595</v>
      </c>
      <c r="J17033" s="28">
        <v>0.49029396264597502</v>
      </c>
      <c r="K17033" s="29">
        <v>0.98289565623980701</v>
      </c>
    </row>
    <row r="17034" spans="1:11" x14ac:dyDescent="0.35">
      <c r="A17034" s="9" t="str">
        <f>HYPERLINK("http://www.ensembl.org/id/WBGene00201715", "WBGene00201715")</f>
        <v>WBGene00201715</v>
      </c>
      <c r="B17034" s="9"/>
      <c r="C17034" s="9"/>
      <c r="D17034" t="str">
        <f>"W09C2.12"</f>
        <v>W09C2.12</v>
      </c>
      <c r="F17034" t="s">
        <v>481</v>
      </c>
      <c r="H17034" s="12">
        <v>-2.4991590031922399</v>
      </c>
      <c r="I17034" s="20">
        <v>-0.26577412737581302</v>
      </c>
      <c r="J17034" s="28">
        <v>0.79041317015736101</v>
      </c>
      <c r="K17034" s="29">
        <v>0.98289565623980701</v>
      </c>
    </row>
    <row r="17035" spans="1:11" x14ac:dyDescent="0.35">
      <c r="A17035" s="9" t="str">
        <f>HYPERLINK("http://www.ensembl.org/id/WBGene00185096", "WBGene00185096")</f>
        <v>WBGene00185096</v>
      </c>
      <c r="B17035" s="9" t="str">
        <f>HYPERLINK("http://www.ncbi.nlm.nih.gov/gene/13197467", "13197467")</f>
        <v>13197467</v>
      </c>
      <c r="C17035" s="9"/>
      <c r="D17035" t="str">
        <f>"W09C2.9"</f>
        <v>W09C2.9</v>
      </c>
      <c r="F17035" t="s">
        <v>11</v>
      </c>
      <c r="H17035" s="12">
        <v>-6.6037953856030303</v>
      </c>
      <c r="I17035" s="20">
        <v>-0.74454233643390499</v>
      </c>
      <c r="J17035" s="28">
        <v>0.456548438438031</v>
      </c>
      <c r="K17035" s="29">
        <v>0.98289565623980701</v>
      </c>
    </row>
    <row r="17036" spans="1:11" x14ac:dyDescent="0.35">
      <c r="A17036" s="9" t="str">
        <f>HYPERLINK("http://www.ensembl.org/id/WBGene00021109", "WBGene00021109")</f>
        <v>WBGene00021109</v>
      </c>
      <c r="B17036" s="9" t="str">
        <f>HYPERLINK("http://www.ncbi.nlm.nih.gov/gene/189309", "189309")</f>
        <v>189309</v>
      </c>
      <c r="C17036" s="9"/>
      <c r="D17036" t="str">
        <f>"W09C3.1"</f>
        <v>W09C3.1</v>
      </c>
      <c r="F17036" t="s">
        <v>11</v>
      </c>
      <c r="G17036" t="s">
        <v>961</v>
      </c>
      <c r="H17036" s="12">
        <v>2.3893468495514898</v>
      </c>
      <c r="I17036" s="20">
        <v>0.25323547253672701</v>
      </c>
      <c r="J17036" s="28">
        <v>0.80008625651646104</v>
      </c>
      <c r="K17036" s="29">
        <v>0.98289565623980701</v>
      </c>
    </row>
    <row r="17037" spans="1:11" x14ac:dyDescent="0.35">
      <c r="A17037" s="9" t="str">
        <f>HYPERLINK("http://www.ensembl.org/id/WBGene00021110", "WBGene00021110")</f>
        <v>WBGene00021110</v>
      </c>
      <c r="B17037" s="9" t="str">
        <f>HYPERLINK("http://www.ncbi.nlm.nih.gov/gene/189310", "189310")</f>
        <v>189310</v>
      </c>
      <c r="C17037" s="9"/>
      <c r="D17037" t="str">
        <f>"W09C3.2"</f>
        <v>W09C3.2</v>
      </c>
      <c r="F17037" t="s">
        <v>11</v>
      </c>
      <c r="G17037" t="s">
        <v>25</v>
      </c>
      <c r="H17037" s="12">
        <v>2.8737907178761</v>
      </c>
      <c r="I17037" s="20">
        <v>0.54926273072209997</v>
      </c>
      <c r="J17037" s="28">
        <v>0.58282516000836604</v>
      </c>
      <c r="K17037" s="29">
        <v>0.98289565623980701</v>
      </c>
    </row>
    <row r="17038" spans="1:11" x14ac:dyDescent="0.35">
      <c r="A17038" s="9" t="str">
        <f>HYPERLINK("http://www.ensembl.org/id/WBGene00021111", "WBGene00021111")</f>
        <v>WBGene00021111</v>
      </c>
      <c r="B17038" s="9" t="str">
        <f>HYPERLINK("http://www.ncbi.nlm.nih.gov/gene/189311", "189311")</f>
        <v>189311</v>
      </c>
      <c r="C17038" s="9"/>
      <c r="D17038" t="str">
        <f>"W09C3.3"</f>
        <v>W09C3.3</v>
      </c>
      <c r="F17038" t="s">
        <v>11</v>
      </c>
      <c r="H17038" s="12">
        <v>1.1225509152812401</v>
      </c>
      <c r="I17038" s="20">
        <v>0.32519990244040498</v>
      </c>
      <c r="J17038" s="28">
        <v>0.74502978251318996</v>
      </c>
      <c r="K17038" s="29">
        <v>0.98289565623980701</v>
      </c>
    </row>
    <row r="17039" spans="1:11" x14ac:dyDescent="0.35">
      <c r="A17039" s="9" t="str">
        <f>HYPERLINK("http://www.ensembl.org/id/WBGene00021112", "WBGene00021112")</f>
        <v>WBGene00021112</v>
      </c>
      <c r="B17039" s="9" t="str">
        <f>HYPERLINK("http://www.ncbi.nlm.nih.gov/gene/172081", "172081")</f>
        <v>172081</v>
      </c>
      <c r="C17039" s="9" t="str">
        <f>HYPERLINK("http://www.ncbi.nlm.nih.gov/gene/10621", "10621")</f>
        <v>10621</v>
      </c>
      <c r="D17039" t="str">
        <f>"W09C3.4"</f>
        <v>W09C3.4</v>
      </c>
      <c r="E17039" t="s">
        <v>9874</v>
      </c>
      <c r="F17039" t="s">
        <v>11</v>
      </c>
      <c r="G17039" t="s">
        <v>9875</v>
      </c>
      <c r="H17039" s="12">
        <v>-1.3418213418453899</v>
      </c>
      <c r="I17039" s="20">
        <v>-1.11439989366349</v>
      </c>
      <c r="J17039" s="28">
        <v>0.26510766893693499</v>
      </c>
      <c r="K17039" s="29">
        <v>0.98289565623980701</v>
      </c>
    </row>
    <row r="17040" spans="1:11" x14ac:dyDescent="0.35">
      <c r="A17040" s="9" t="str">
        <f>HYPERLINK("http://www.ensembl.org/id/WBGene00021115", "WBGene00021115")</f>
        <v>WBGene00021115</v>
      </c>
      <c r="B17040" s="9" t="str">
        <f>HYPERLINK("http://www.ncbi.nlm.nih.gov/gene/189312", "189312")</f>
        <v>189312</v>
      </c>
      <c r="C17040" s="9"/>
      <c r="D17040" t="str">
        <f>"W09C3.8"</f>
        <v>W09C3.8</v>
      </c>
      <c r="F17040" t="s">
        <v>11</v>
      </c>
      <c r="H17040" s="12">
        <v>1.5293539118764099</v>
      </c>
      <c r="I17040" s="20">
        <v>0.28848659142197303</v>
      </c>
      <c r="J17040" s="28">
        <v>0.77297429293513498</v>
      </c>
      <c r="K17040" s="29">
        <v>0.98289565623980701</v>
      </c>
    </row>
    <row r="17041" spans="1:11" x14ac:dyDescent="0.35">
      <c r="A17041" s="9" t="str">
        <f>HYPERLINK("http://www.ensembl.org/id/WBGene00012351", "WBGene00012351")</f>
        <v>WBGene00012351</v>
      </c>
      <c r="B17041" s="9" t="str">
        <f>HYPERLINK("http://www.ncbi.nlm.nih.gov/gene/173232", "173232")</f>
        <v>173232</v>
      </c>
      <c r="C17041" s="9" t="str">
        <f>HYPERLINK("http://www.ncbi.nlm.nih.gov/gene/10412", "10412")</f>
        <v>10412</v>
      </c>
      <c r="D17041" t="str">
        <f>"W09C5.1"</f>
        <v>W09C5.1</v>
      </c>
      <c r="F17041" t="s">
        <v>11</v>
      </c>
      <c r="G17041" t="s">
        <v>9089</v>
      </c>
      <c r="H17041" s="12">
        <v>-1.21967092567562</v>
      </c>
      <c r="I17041" s="20">
        <v>-1.06052446883546</v>
      </c>
      <c r="J17041" s="28">
        <v>0.28890606418367898</v>
      </c>
      <c r="K17041" s="29">
        <v>0.98289565623980701</v>
      </c>
    </row>
    <row r="17042" spans="1:11" x14ac:dyDescent="0.35">
      <c r="A17042" s="9" t="str">
        <f>HYPERLINK("http://www.ensembl.org/id/WBGene00194660", "WBGene00194660")</f>
        <v>WBGene00194660</v>
      </c>
      <c r="B17042" s="9" t="str">
        <f>HYPERLINK("http://www.ncbi.nlm.nih.gov/gene/13182830", "13182830")</f>
        <v>13182830</v>
      </c>
      <c r="C17042" s="9"/>
      <c r="D17042" t="str">
        <f>"W09C5.12"</f>
        <v>W09C5.12</v>
      </c>
      <c r="F17042" t="s">
        <v>11</v>
      </c>
      <c r="H17042" s="12">
        <v>-3.7892825534143002</v>
      </c>
      <c r="I17042" s="20">
        <v>-0.92947702518832698</v>
      </c>
      <c r="J17042" s="28">
        <v>0.35264192634739</v>
      </c>
      <c r="K17042" s="29">
        <v>0.98289565623980701</v>
      </c>
    </row>
    <row r="17043" spans="1:11" x14ac:dyDescent="0.35">
      <c r="A17043" s="9" t="str">
        <f>HYPERLINK("http://www.ensembl.org/id/WBGene00014858", "WBGene00014858")</f>
        <v>WBGene00014858</v>
      </c>
      <c r="B17043" s="9"/>
      <c r="C17043" s="9"/>
      <c r="D17043" t="str">
        <f>"W09C5.3"</f>
        <v>W09C5.3</v>
      </c>
      <c r="F17043" t="s">
        <v>80</v>
      </c>
      <c r="H17043" s="12">
        <v>2.3067734710119301</v>
      </c>
      <c r="I17043" s="20">
        <v>0.68397479886964796</v>
      </c>
      <c r="J17043" s="28">
        <v>0.49399107945963</v>
      </c>
      <c r="K17043" s="29">
        <v>0.98289565623980701</v>
      </c>
    </row>
    <row r="17044" spans="1:11" x14ac:dyDescent="0.35">
      <c r="A17044" s="9" t="str">
        <f>HYPERLINK("http://www.ensembl.org/id/WBGene00012355", "WBGene00012355")</f>
        <v>WBGene00012355</v>
      </c>
      <c r="B17044" s="9"/>
      <c r="C17044" s="9"/>
      <c r="D17044" t="str">
        <f>"W09C5.9"</f>
        <v>W09C5.9</v>
      </c>
      <c r="F17044" t="s">
        <v>80</v>
      </c>
      <c r="H17044" s="12">
        <v>-2.2462711840042502</v>
      </c>
      <c r="I17044" s="20">
        <v>-0.28752192663158799</v>
      </c>
      <c r="J17044" s="28">
        <v>0.77371271536475705</v>
      </c>
      <c r="K17044" s="29">
        <v>0.98289565623980701</v>
      </c>
    </row>
    <row r="17045" spans="1:11" x14ac:dyDescent="0.35">
      <c r="A17045" s="9" t="str">
        <f>HYPERLINK("http://www.ensembl.org/id/WBGene00012359", "WBGene00012359")</f>
        <v>WBGene00012359</v>
      </c>
      <c r="B17045" s="9" t="str">
        <f>HYPERLINK("http://www.ncbi.nlm.nih.gov/gene/176499", "176499")</f>
        <v>176499</v>
      </c>
      <c r="C17045" s="9"/>
      <c r="D17045" t="str">
        <f>"W09D10.1"</f>
        <v>W09D10.1</v>
      </c>
      <c r="F17045" t="s">
        <v>11</v>
      </c>
      <c r="G17045" t="s">
        <v>8873</v>
      </c>
      <c r="H17045" s="12">
        <v>-1.20387009628466</v>
      </c>
      <c r="I17045" s="20">
        <v>-0.96612618762068003</v>
      </c>
      <c r="J17045" s="28">
        <v>0.33398104197816297</v>
      </c>
      <c r="K17045" s="29">
        <v>0.98289565623980701</v>
      </c>
    </row>
    <row r="17046" spans="1:11" x14ac:dyDescent="0.35">
      <c r="A17046" s="9" t="str">
        <f>HYPERLINK("http://www.ensembl.org/id/WBGene00012363", "WBGene00012363")</f>
        <v>WBGene00012363</v>
      </c>
      <c r="B17046" s="9" t="str">
        <f>HYPERLINK("http://www.ncbi.nlm.nih.gov/gene/176496", "176496")</f>
        <v>176496</v>
      </c>
      <c r="C17046" s="9"/>
      <c r="D17046" t="str">
        <f>"W09D10.5"</f>
        <v>W09D10.5</v>
      </c>
      <c r="F17046" t="s">
        <v>11</v>
      </c>
      <c r="G17046" t="s">
        <v>5816</v>
      </c>
      <c r="H17046" s="12">
        <v>1.0973967694987199</v>
      </c>
      <c r="I17046" s="20">
        <v>0.430343412995499</v>
      </c>
      <c r="J17046" s="28">
        <v>0.66694585168516995</v>
      </c>
      <c r="K17046" s="29">
        <v>0.98289565623980701</v>
      </c>
    </row>
    <row r="17047" spans="1:11" x14ac:dyDescent="0.35">
      <c r="A17047" s="9" t="str">
        <f>HYPERLINK("http://www.ensembl.org/id/WBGene00195859", "WBGene00195859")</f>
        <v>WBGene00195859</v>
      </c>
      <c r="B17047" s="9"/>
      <c r="C17047" s="9"/>
      <c r="D17047" t="str">
        <f>"W09D12.5"</f>
        <v>W09D12.5</v>
      </c>
      <c r="F17047" t="s">
        <v>481</v>
      </c>
      <c r="H17047" s="12">
        <v>2.3893468495514898</v>
      </c>
      <c r="I17047" s="20">
        <v>0.25323547253672701</v>
      </c>
      <c r="J17047" s="28">
        <v>0.80008625651646104</v>
      </c>
      <c r="K17047" s="29">
        <v>0.98289565623980701</v>
      </c>
    </row>
    <row r="17048" spans="1:11" x14ac:dyDescent="0.35">
      <c r="A17048" s="9" t="str">
        <f>HYPERLINK("http://www.ensembl.org/id/WBGene00012356", "WBGene00012356")</f>
        <v>WBGene00012356</v>
      </c>
      <c r="B17048" s="9" t="str">
        <f>HYPERLINK("http://www.ncbi.nlm.nih.gov/gene/176537", "176537")</f>
        <v>176537</v>
      </c>
      <c r="C17048" s="9"/>
      <c r="D17048" t="str">
        <f>"W09D6.1"</f>
        <v>W09D6.1</v>
      </c>
      <c r="F17048" t="s">
        <v>11</v>
      </c>
      <c r="G17048" t="s">
        <v>54</v>
      </c>
      <c r="H17048" s="12">
        <v>-1.4372667807516399</v>
      </c>
      <c r="I17048" s="20">
        <v>-1.19488902008524</v>
      </c>
      <c r="J17048" s="28">
        <v>0.23213039333934701</v>
      </c>
      <c r="K17048" s="29">
        <v>0.98289565623980701</v>
      </c>
    </row>
    <row r="17049" spans="1:11" x14ac:dyDescent="0.35">
      <c r="A17049" s="9" t="str">
        <f>HYPERLINK("http://www.ensembl.org/id/WBGene00044463", "WBGene00044463")</f>
        <v>WBGene00044463</v>
      </c>
      <c r="B17049" s="9" t="str">
        <f>HYPERLINK("http://www.ncbi.nlm.nih.gov/gene/3896763", "3896763")</f>
        <v>3896763</v>
      </c>
      <c r="C17049" s="9"/>
      <c r="D17049" t="str">
        <f>"W09G12.10"</f>
        <v>W09G12.10</v>
      </c>
      <c r="F17049" t="s">
        <v>11</v>
      </c>
      <c r="G17049" t="s">
        <v>25</v>
      </c>
      <c r="H17049" s="12">
        <v>1.6671934425097501</v>
      </c>
      <c r="I17049" s="20">
        <v>0.50006514195848395</v>
      </c>
      <c r="J17049" s="28">
        <v>0.61702920974918896</v>
      </c>
      <c r="K17049" s="29">
        <v>0.98289565623980701</v>
      </c>
    </row>
    <row r="17050" spans="1:11" x14ac:dyDescent="0.35">
      <c r="A17050" s="9" t="str">
        <f>HYPERLINK("http://www.ensembl.org/id/WBGene00023163", "WBGene00023163")</f>
        <v>WBGene00023163</v>
      </c>
      <c r="B17050" s="9"/>
      <c r="C17050" s="9"/>
      <c r="D17050" t="str">
        <f>"W09G12.3"</f>
        <v>W09G12.3</v>
      </c>
      <c r="F17050" t="s">
        <v>80</v>
      </c>
      <c r="H17050" s="12">
        <v>-2.4145288400482499</v>
      </c>
      <c r="I17050" s="20">
        <v>-0.605090288965352</v>
      </c>
      <c r="J17050" s="28">
        <v>0.54511900632650701</v>
      </c>
      <c r="K17050" s="29">
        <v>0.98289565623980701</v>
      </c>
    </row>
    <row r="17051" spans="1:11" x14ac:dyDescent="0.35">
      <c r="A17051" s="9" t="str">
        <f>HYPERLINK("http://www.ensembl.org/id/WBGene00021121", "WBGene00021121")</f>
        <v>WBGene00021121</v>
      </c>
      <c r="B17051" s="9" t="str">
        <f>HYPERLINK("http://www.ncbi.nlm.nih.gov/gene/176941", "176941")</f>
        <v>176941</v>
      </c>
      <c r="C17051" s="9"/>
      <c r="D17051" t="str">
        <f>"W09G12.7"</f>
        <v>W09G12.7</v>
      </c>
      <c r="F17051" t="s">
        <v>11</v>
      </c>
      <c r="G17051" t="s">
        <v>325</v>
      </c>
      <c r="H17051" s="12">
        <v>1.1923630900853399</v>
      </c>
      <c r="I17051" s="20">
        <v>0.86651166163903304</v>
      </c>
      <c r="J17051" s="28">
        <v>0.38620963405039799</v>
      </c>
      <c r="K17051" s="29">
        <v>0.98289565623980701</v>
      </c>
    </row>
    <row r="17052" spans="1:11" x14ac:dyDescent="0.35">
      <c r="A17052" s="9" t="str">
        <f>HYPERLINK("http://www.ensembl.org/id/WBGene00021122", "WBGene00021122")</f>
        <v>WBGene00021122</v>
      </c>
      <c r="B17052" s="9" t="str">
        <f>HYPERLINK("http://www.ncbi.nlm.nih.gov/gene/189325", "189325")</f>
        <v>189325</v>
      </c>
      <c r="C17052" s="9"/>
      <c r="D17052" t="str">
        <f>"W09G12.8"</f>
        <v>W09G12.8</v>
      </c>
      <c r="F17052" t="s">
        <v>11</v>
      </c>
      <c r="G17052" t="s">
        <v>4379</v>
      </c>
      <c r="H17052" s="12">
        <v>2.4578120077400301</v>
      </c>
      <c r="I17052" s="20">
        <v>0.26093350314551</v>
      </c>
      <c r="J17052" s="28">
        <v>0.79414378780213601</v>
      </c>
      <c r="K17052" s="29">
        <v>0.98289565623980701</v>
      </c>
    </row>
    <row r="17053" spans="1:11" x14ac:dyDescent="0.35">
      <c r="A17053" s="9" t="str">
        <f>HYPERLINK("http://www.ensembl.org/id/WBGene00012365", "WBGene00012365")</f>
        <v>WBGene00012365</v>
      </c>
      <c r="B17053" s="9" t="str">
        <f>HYPERLINK("http://www.ncbi.nlm.nih.gov/gene/173250", "173250")</f>
        <v>173250</v>
      </c>
      <c r="C17053" s="9"/>
      <c r="D17053" t="str">
        <f>"W09G3.1"</f>
        <v>W09G3.1</v>
      </c>
      <c r="F17053" t="s">
        <v>11</v>
      </c>
      <c r="G17053" t="s">
        <v>54</v>
      </c>
      <c r="H17053" s="12">
        <v>1.0784677733992201</v>
      </c>
      <c r="I17053" s="20">
        <v>0.32510756807700403</v>
      </c>
      <c r="J17053" s="28">
        <v>0.74509966132939198</v>
      </c>
      <c r="K17053" s="29">
        <v>0.98289565623980701</v>
      </c>
    </row>
    <row r="17054" spans="1:11" x14ac:dyDescent="0.35">
      <c r="A17054" s="9" t="str">
        <f>HYPERLINK("http://www.ensembl.org/id/WBGene00196468", "WBGene00196468")</f>
        <v>WBGene00196468</v>
      </c>
      <c r="B17054" s="9"/>
      <c r="C17054" s="9"/>
      <c r="D17054" t="str">
        <f>"W09G3.12"</f>
        <v>W09G3.12</v>
      </c>
      <c r="F17054" t="s">
        <v>481</v>
      </c>
      <c r="H17054" s="12">
        <v>2.3893468495514898</v>
      </c>
      <c r="I17054" s="20">
        <v>0.25323547253672701</v>
      </c>
      <c r="J17054" s="28">
        <v>0.80008625651646104</v>
      </c>
      <c r="K17054" s="29">
        <v>0.98289565623980701</v>
      </c>
    </row>
    <row r="17055" spans="1:11" x14ac:dyDescent="0.35">
      <c r="A17055" s="9" t="str">
        <f>HYPERLINK("http://www.ensembl.org/id/WBGene00012371", "WBGene00012371")</f>
        <v>WBGene00012371</v>
      </c>
      <c r="B17055" s="9" t="str">
        <f>HYPERLINK("http://www.ncbi.nlm.nih.gov/gene/3565298", "3565298")</f>
        <v>3565298</v>
      </c>
      <c r="C17055" s="9"/>
      <c r="D17055" t="str">
        <f>"W09G3.8"</f>
        <v>W09G3.8</v>
      </c>
      <c r="F17055" t="s">
        <v>11</v>
      </c>
      <c r="G17055" t="s">
        <v>9262</v>
      </c>
      <c r="H17055" s="12">
        <v>-1.23168812785647</v>
      </c>
      <c r="I17055" s="20">
        <v>-0.81596748377538897</v>
      </c>
      <c r="J17055" s="28">
        <v>0.41451873332325501</v>
      </c>
      <c r="K17055" s="29">
        <v>0.98289565623980701</v>
      </c>
    </row>
    <row r="17056" spans="1:11" x14ac:dyDescent="0.35">
      <c r="A17056" s="9" t="str">
        <f>HYPERLINK("http://www.ensembl.org/id/WBGene00012372", "WBGene00012372")</f>
        <v>WBGene00012372</v>
      </c>
      <c r="B17056" s="9" t="str">
        <f>HYPERLINK("http://www.ncbi.nlm.nih.gov/gene/174961", "174961")</f>
        <v>174961</v>
      </c>
      <c r="C17056" s="9"/>
      <c r="D17056" t="str">
        <f>"W09H1.1"</f>
        <v>W09H1.1</v>
      </c>
      <c r="F17056" t="s">
        <v>11</v>
      </c>
      <c r="G17056" t="s">
        <v>4653</v>
      </c>
      <c r="H17056" s="12">
        <v>1.53180526220469</v>
      </c>
      <c r="I17056" s="20">
        <v>1.04019549753648</v>
      </c>
      <c r="J17056" s="28">
        <v>0.29824908291095498</v>
      </c>
      <c r="K17056" s="29">
        <v>0.98289565623980701</v>
      </c>
    </row>
    <row r="17057" spans="1:11" x14ac:dyDescent="0.35">
      <c r="A17057" s="9" t="str">
        <f>HYPERLINK("http://www.ensembl.org/id/WBGene00012373", "WBGene00012373")</f>
        <v>WBGene00012373</v>
      </c>
      <c r="B17057" s="9" t="str">
        <f>HYPERLINK("http://www.ncbi.nlm.nih.gov/gene/174962", "174962")</f>
        <v>174962</v>
      </c>
      <c r="C17057" s="9"/>
      <c r="D17057" t="str">
        <f>"W09H1.3"</f>
        <v>W09H1.3</v>
      </c>
      <c r="F17057" t="s">
        <v>11</v>
      </c>
      <c r="G17057" t="s">
        <v>63</v>
      </c>
      <c r="H17057" s="12">
        <v>8.0820207067629397</v>
      </c>
      <c r="I17057" s="20">
        <v>0.85865707396196</v>
      </c>
      <c r="J17057" s="28">
        <v>0.39052973976173999</v>
      </c>
      <c r="K17057" s="29">
        <v>0.98289565623980701</v>
      </c>
    </row>
    <row r="17058" spans="1:11" x14ac:dyDescent="0.35">
      <c r="A17058" s="9" t="str">
        <f>HYPERLINK("http://www.ensembl.org/id/WBGene00195754", "WBGene00195754")</f>
        <v>WBGene00195754</v>
      </c>
      <c r="B17058" s="9"/>
      <c r="C17058" s="9"/>
      <c r="D17058" t="str">
        <f>"W09H1.7"</f>
        <v>W09H1.7</v>
      </c>
      <c r="F17058" t="s">
        <v>481</v>
      </c>
      <c r="H17058" s="12">
        <v>-1.9165633325451099</v>
      </c>
      <c r="I17058" s="20">
        <v>-0.55843945320724497</v>
      </c>
      <c r="J17058" s="28">
        <v>0.57654433833304397</v>
      </c>
      <c r="K17058" s="29">
        <v>0.98289565623980701</v>
      </c>
    </row>
    <row r="17059" spans="1:11" x14ac:dyDescent="0.35">
      <c r="A17059" s="9" t="str">
        <f>HYPERLINK("http://www.ensembl.org/id/WBGene00021124", "WBGene00021124")</f>
        <v>WBGene00021124</v>
      </c>
      <c r="B17059" s="9" t="str">
        <f>HYPERLINK("http://www.ncbi.nlm.nih.gov/gene/189329", "189329")</f>
        <v>189329</v>
      </c>
      <c r="C17059" s="9"/>
      <c r="D17059" t="str">
        <f>"W10C4.1"</f>
        <v>W10C4.1</v>
      </c>
      <c r="F17059" t="s">
        <v>11</v>
      </c>
      <c r="G17059" t="s">
        <v>1089</v>
      </c>
      <c r="H17059" s="12">
        <v>1.55540255559053</v>
      </c>
      <c r="I17059" s="20">
        <v>1.1960766338874</v>
      </c>
      <c r="J17059" s="28">
        <v>0.23166665501245501</v>
      </c>
      <c r="K17059" s="29">
        <v>0.98289565623980701</v>
      </c>
    </row>
    <row r="17060" spans="1:11" x14ac:dyDescent="0.35">
      <c r="A17060" s="9" t="str">
        <f>HYPERLINK("http://www.ensembl.org/id/WBGene00044160", "WBGene00044160")</f>
        <v>WBGene00044160</v>
      </c>
      <c r="B17060" s="9" t="str">
        <f>HYPERLINK("http://www.ncbi.nlm.nih.gov/gene/3565851", "3565851")</f>
        <v>3565851</v>
      </c>
      <c r="C17060" s="9"/>
      <c r="D17060" t="str">
        <f>"W10C6.2"</f>
        <v>W10C6.2</v>
      </c>
      <c r="F17060" t="s">
        <v>11</v>
      </c>
      <c r="H17060" s="12">
        <v>-3.9236464644680402</v>
      </c>
      <c r="I17060" s="20">
        <v>-0.68021283334562699</v>
      </c>
      <c r="J17060" s="28">
        <v>0.49636970760409299</v>
      </c>
      <c r="K17060" s="29">
        <v>0.98289565623980701</v>
      </c>
    </row>
    <row r="17061" spans="1:11" x14ac:dyDescent="0.35">
      <c r="A17061" s="9" t="str">
        <f>HYPERLINK("http://www.ensembl.org/id/WBGene00199081", "WBGene00199081")</f>
        <v>WBGene00199081</v>
      </c>
      <c r="B17061" s="9"/>
      <c r="C17061" s="9"/>
      <c r="D17061" t="str">
        <f>"W10C8.12"</f>
        <v>W10C8.12</v>
      </c>
      <c r="F17061" t="s">
        <v>481</v>
      </c>
      <c r="H17061" s="12">
        <v>2.3893468495514898</v>
      </c>
      <c r="I17061" s="20">
        <v>0.25323547253672701</v>
      </c>
      <c r="J17061" s="28">
        <v>0.80008625651646104</v>
      </c>
      <c r="K17061" s="29">
        <v>0.98289565623980701</v>
      </c>
    </row>
    <row r="17062" spans="1:11" x14ac:dyDescent="0.35">
      <c r="A17062" s="9" t="str">
        <f>HYPERLINK("http://www.ensembl.org/id/WBGene00021127", "WBGene00021127")</f>
        <v>WBGene00021127</v>
      </c>
      <c r="B17062" s="9" t="str">
        <f>HYPERLINK("http://www.ncbi.nlm.nih.gov/gene/189332", "189332")</f>
        <v>189332</v>
      </c>
      <c r="C17062" s="9"/>
      <c r="D17062" t="str">
        <f>"W10C8.4"</f>
        <v>W10C8.4</v>
      </c>
      <c r="F17062" t="s">
        <v>11</v>
      </c>
      <c r="G17062" t="s">
        <v>4479</v>
      </c>
      <c r="H17062" s="12">
        <v>1.9090918712388401</v>
      </c>
      <c r="I17062" s="20">
        <v>1.1645614684824399</v>
      </c>
      <c r="J17062" s="28">
        <v>0.24419654834180901</v>
      </c>
      <c r="K17062" s="29">
        <v>0.98289565623980701</v>
      </c>
    </row>
    <row r="17063" spans="1:11" x14ac:dyDescent="0.35">
      <c r="A17063" s="9" t="str">
        <f>HYPERLINK("http://www.ensembl.org/id/WBGene00196398", "WBGene00196398")</f>
        <v>WBGene00196398</v>
      </c>
      <c r="B17063" s="9"/>
      <c r="C17063" s="9"/>
      <c r="D17063" t="str">
        <f>"W10D5.4"</f>
        <v>W10D5.4</v>
      </c>
      <c r="F17063" t="s">
        <v>481</v>
      </c>
      <c r="H17063" s="12">
        <v>-3.16969403357621</v>
      </c>
      <c r="I17063" s="20">
        <v>-0.48820986693954799</v>
      </c>
      <c r="J17063" s="28">
        <v>0.62540119633469604</v>
      </c>
      <c r="K17063" s="29">
        <v>0.98289565623980701</v>
      </c>
    </row>
    <row r="17064" spans="1:11" x14ac:dyDescent="0.35">
      <c r="A17064" s="9" t="str">
        <f>HYPERLINK("http://www.ensembl.org/id/WBGene00021130", "WBGene00021130")</f>
        <v>WBGene00021130</v>
      </c>
      <c r="B17064" s="9"/>
      <c r="C17064" s="9"/>
      <c r="D17064" t="str">
        <f>"W10D9.2"</f>
        <v>W10D9.2</v>
      </c>
      <c r="F17064" t="s">
        <v>80</v>
      </c>
      <c r="H17064" s="12">
        <v>1.26730924117969</v>
      </c>
      <c r="I17064" s="20">
        <v>0.42115190917213202</v>
      </c>
      <c r="J17064" s="28">
        <v>0.67364415856339299</v>
      </c>
      <c r="K17064" s="29">
        <v>0.98289565623980701</v>
      </c>
    </row>
    <row r="17065" spans="1:11" x14ac:dyDescent="0.35">
      <c r="A17065" s="9" t="str">
        <f>HYPERLINK("http://www.ensembl.org/id/WBGene00021131", "WBGene00021131")</f>
        <v>WBGene00021131</v>
      </c>
      <c r="B17065" s="9" t="str">
        <f>HYPERLINK("http://www.ncbi.nlm.nih.gov/gene/173434", "173434")</f>
        <v>173434</v>
      </c>
      <c r="C17065" s="9"/>
      <c r="D17065" t="str">
        <f>"W10D9.3"</f>
        <v>W10D9.3</v>
      </c>
      <c r="F17065" t="s">
        <v>11</v>
      </c>
      <c r="H17065" s="12">
        <v>-1.2759792664884799</v>
      </c>
      <c r="I17065" s="20">
        <v>-0.73266288362293197</v>
      </c>
      <c r="J17065" s="28">
        <v>0.46376406709580897</v>
      </c>
      <c r="K17065" s="29">
        <v>0.98289565623980701</v>
      </c>
    </row>
    <row r="17066" spans="1:11" x14ac:dyDescent="0.35">
      <c r="A17066" s="9" t="str">
        <f>HYPERLINK("http://www.ensembl.org/id/WBGene00185079", "WBGene00185079")</f>
        <v>WBGene00185079</v>
      </c>
      <c r="B17066" s="9" t="str">
        <f>HYPERLINK("http://www.ncbi.nlm.nih.gov/gene/13183306", "13183306")</f>
        <v>13183306</v>
      </c>
      <c r="C17066" s="9"/>
      <c r="D17066" t="str">
        <f>"W10D9.6"</f>
        <v>W10D9.6</v>
      </c>
      <c r="F17066" t="s">
        <v>11</v>
      </c>
      <c r="H17066" s="12">
        <v>-1.1834800640374299</v>
      </c>
      <c r="I17066" s="20">
        <v>-0.66529063119095699</v>
      </c>
      <c r="J17066" s="28">
        <v>0.50586462176028701</v>
      </c>
      <c r="K17066" s="29">
        <v>0.98289565623980701</v>
      </c>
    </row>
    <row r="17067" spans="1:11" x14ac:dyDescent="0.35">
      <c r="A17067" s="9" t="str">
        <f>HYPERLINK("http://www.ensembl.org/id/WBGene00021134", "WBGene00021134")</f>
        <v>WBGene00021134</v>
      </c>
      <c r="B17067" s="9" t="str">
        <f>HYPERLINK("http://www.ncbi.nlm.nih.gov/gene/173703", "173703")</f>
        <v>173703</v>
      </c>
      <c r="C17067" s="9"/>
      <c r="D17067" t="str">
        <f>"W10G11.1"</f>
        <v>W10G11.1</v>
      </c>
      <c r="F17067" t="s">
        <v>11</v>
      </c>
      <c r="H17067" s="12">
        <v>2.4834708618757002</v>
      </c>
      <c r="I17067" s="20">
        <v>1.1037902657926999</v>
      </c>
      <c r="J17067" s="28">
        <v>0.26968412840440398</v>
      </c>
      <c r="K17067" s="29">
        <v>0.98289565623980701</v>
      </c>
    </row>
    <row r="17068" spans="1:11" x14ac:dyDescent="0.35">
      <c r="A17068" s="9" t="str">
        <f>HYPERLINK("http://www.ensembl.org/id/WBGene00021148", "WBGene00021148")</f>
        <v>WBGene00021148</v>
      </c>
      <c r="B17068" s="9" t="str">
        <f>HYPERLINK("http://www.ncbi.nlm.nih.gov/gene/173702", "173702")</f>
        <v>173702</v>
      </c>
      <c r="C17068" s="9"/>
      <c r="D17068" t="str">
        <f>"W10G11.19"</f>
        <v>W10G11.19</v>
      </c>
      <c r="F17068" t="s">
        <v>11</v>
      </c>
      <c r="H17068" s="12">
        <v>-1.25286902781404</v>
      </c>
      <c r="I17068" s="20">
        <v>-0.83937928374431803</v>
      </c>
      <c r="J17068" s="28">
        <v>0.40125650516661598</v>
      </c>
      <c r="K17068" s="29">
        <v>0.98289565623980701</v>
      </c>
    </row>
    <row r="17069" spans="1:11" x14ac:dyDescent="0.35">
      <c r="A17069" s="9" t="str">
        <f>HYPERLINK("http://www.ensembl.org/id/WBGene00021136", "WBGene00021136")</f>
        <v>WBGene00021136</v>
      </c>
      <c r="B17069" s="9" t="str">
        <f>HYPERLINK("http://www.ncbi.nlm.nih.gov/gene/173704", "173704")</f>
        <v>173704</v>
      </c>
      <c r="C17069" s="9"/>
      <c r="D17069" t="str">
        <f>"W10G11.3"</f>
        <v>W10G11.3</v>
      </c>
      <c r="F17069" t="s">
        <v>11</v>
      </c>
      <c r="H17069" s="12">
        <v>1.81421106390741</v>
      </c>
      <c r="I17069" s="20">
        <v>0.86852265927416505</v>
      </c>
      <c r="J17069" s="28">
        <v>0.38510827322562002</v>
      </c>
      <c r="K17069" s="29">
        <v>0.98289565623980701</v>
      </c>
    </row>
    <row r="17070" spans="1:11" x14ac:dyDescent="0.35">
      <c r="A17070" s="9" t="str">
        <f>HYPERLINK("http://www.ensembl.org/id/WBGene00012378", "WBGene00012378")</f>
        <v>WBGene00012378</v>
      </c>
      <c r="B17070" s="9" t="str">
        <f>HYPERLINK("http://www.ncbi.nlm.nih.gov/gene/189335", "189335")</f>
        <v>189335</v>
      </c>
      <c r="C17070" s="9"/>
      <c r="D17070" t="str">
        <f>"W10G6.1"</f>
        <v>W10G6.1</v>
      </c>
      <c r="F17070" t="s">
        <v>11</v>
      </c>
      <c r="H17070" s="12">
        <v>1.6371170903112</v>
      </c>
      <c r="I17070" s="20">
        <v>0.37334858749430999</v>
      </c>
      <c r="J17070" s="28">
        <v>0.70888901877029398</v>
      </c>
      <c r="K17070" s="29">
        <v>0.98289565623980701</v>
      </c>
    </row>
    <row r="17071" spans="1:11" x14ac:dyDescent="0.35">
      <c r="A17071" s="9" t="str">
        <f>HYPERLINK("http://www.ensembl.org/id/WBGene00194842", "WBGene00194842")</f>
        <v>WBGene00194842</v>
      </c>
      <c r="B17071" s="9"/>
      <c r="C17071" s="9"/>
      <c r="D17071" t="str">
        <f>"W10G6.5"</f>
        <v>W10G6.5</v>
      </c>
      <c r="F17071" t="s">
        <v>2735</v>
      </c>
      <c r="H17071" s="12">
        <v>1.7929183738406</v>
      </c>
      <c r="I17071" s="20">
        <v>0.29521309003574903</v>
      </c>
      <c r="J17071" s="28">
        <v>0.76783110298010004</v>
      </c>
      <c r="K17071" s="29">
        <v>0.98289565623980701</v>
      </c>
    </row>
    <row r="17072" spans="1:11" x14ac:dyDescent="0.35">
      <c r="A17072" s="9" t="str">
        <f>HYPERLINK("http://www.ensembl.org/id/WBGene00020707", "WBGene00020707")</f>
        <v>WBGene00020707</v>
      </c>
      <c r="B17072" s="9" t="str">
        <f>HYPERLINK("http://www.ncbi.nlm.nih.gov/gene/178560", "178560")</f>
        <v>178560</v>
      </c>
      <c r="C17072" s="9"/>
      <c r="D17072" t="str">
        <f>"wago-10"</f>
        <v>wago-10</v>
      </c>
      <c r="E17072" t="s">
        <v>309</v>
      </c>
      <c r="F17072" t="s">
        <v>11</v>
      </c>
      <c r="G17072" t="s">
        <v>445</v>
      </c>
      <c r="H17072" s="12">
        <v>1.93092641776895</v>
      </c>
      <c r="I17072" s="20">
        <v>0.554343340204143</v>
      </c>
      <c r="J17072" s="28">
        <v>0.57934389465316205</v>
      </c>
      <c r="K17072" s="29">
        <v>0.98289565623980701</v>
      </c>
    </row>
    <row r="17073" spans="1:11" x14ac:dyDescent="0.35">
      <c r="A17073" s="9" t="str">
        <f>HYPERLINK("http://www.ensembl.org/id/WBGene00021711", "WBGene00021711")</f>
        <v>WBGene00021711</v>
      </c>
      <c r="B17073" s="9" t="str">
        <f>HYPERLINK("http://www.ncbi.nlm.nih.gov/gene/190075", "190075")</f>
        <v>190075</v>
      </c>
      <c r="C17073" s="9"/>
      <c r="D17073" t="str">
        <f>"wago-11"</f>
        <v>wago-11</v>
      </c>
      <c r="E17073" t="s">
        <v>309</v>
      </c>
      <c r="F17073" t="s">
        <v>11</v>
      </c>
      <c r="G17073" t="s">
        <v>445</v>
      </c>
      <c r="H17073" s="12">
        <v>-1.4627076414193101</v>
      </c>
      <c r="I17073" s="20">
        <v>-0.56055041685574603</v>
      </c>
      <c r="J17073" s="28">
        <v>0.57510406087054</v>
      </c>
      <c r="K17073" s="29">
        <v>0.98289565623980701</v>
      </c>
    </row>
    <row r="17074" spans="1:11" x14ac:dyDescent="0.35">
      <c r="A17074" s="9" t="str">
        <f>HYPERLINK("http://www.ensembl.org/id/WBGene00018862", "WBGene00018862")</f>
        <v>WBGene00018862</v>
      </c>
      <c r="B17074" s="9"/>
      <c r="C17074" s="9"/>
      <c r="D17074" t="str">
        <f>"wago-2"</f>
        <v>wago-2</v>
      </c>
      <c r="F17074" t="s">
        <v>80</v>
      </c>
      <c r="H17074" s="12">
        <v>-1.3885767173425201</v>
      </c>
      <c r="I17074" s="20">
        <v>-1.01421855308431</v>
      </c>
      <c r="J17074" s="28">
        <v>0.31047847759289299</v>
      </c>
      <c r="K17074" s="29">
        <v>0.98289565623980701</v>
      </c>
    </row>
    <row r="17075" spans="1:11" x14ac:dyDescent="0.35">
      <c r="A17075" s="9" t="str">
        <f>HYPERLINK("http://www.ensembl.org/id/WBGene00022877", "WBGene00022877")</f>
        <v>WBGene00022877</v>
      </c>
      <c r="B17075" s="9" t="str">
        <f>HYPERLINK("http://www.ncbi.nlm.nih.gov/gene/191545", "191545")</f>
        <v>191545</v>
      </c>
      <c r="C17075" s="9"/>
      <c r="D17075" t="str">
        <f>"wago-5"</f>
        <v>wago-5</v>
      </c>
      <c r="E17075" t="s">
        <v>309</v>
      </c>
      <c r="F17075" t="s">
        <v>11</v>
      </c>
      <c r="G17075" t="s">
        <v>445</v>
      </c>
      <c r="H17075" s="12">
        <v>5.4871973923358901</v>
      </c>
      <c r="I17075" s="20">
        <v>0.499843548621418</v>
      </c>
      <c r="J17075" s="28">
        <v>0.61718524397184105</v>
      </c>
      <c r="K17075" s="29">
        <v>0.98289565623980701</v>
      </c>
    </row>
    <row r="17076" spans="1:11" x14ac:dyDescent="0.35">
      <c r="A17076" s="9" t="str">
        <f>HYPERLINK("http://www.ensembl.org/id/WBGene00008402", "WBGene00008402")</f>
        <v>WBGene00008402</v>
      </c>
      <c r="B17076" s="9" t="str">
        <f>HYPERLINK("http://www.ncbi.nlm.nih.gov/gene/174475", "174475")</f>
        <v>174475</v>
      </c>
      <c r="C17076" s="9" t="str">
        <f>HYPERLINK("http://www.ncbi.nlm.nih.gov/gene/115825", "115825")</f>
        <v>115825</v>
      </c>
      <c r="D17076" t="str">
        <f>"wdfy-2"</f>
        <v>wdfy-2</v>
      </c>
      <c r="E17076" t="s">
        <v>8984</v>
      </c>
      <c r="F17076" t="s">
        <v>11</v>
      </c>
      <c r="G17076" t="s">
        <v>8985</v>
      </c>
      <c r="H17076" s="12">
        <v>-1.21192269787215</v>
      </c>
      <c r="I17076" s="20">
        <v>-1.0130059803317599</v>
      </c>
      <c r="J17076" s="28">
        <v>0.31105730442887097</v>
      </c>
      <c r="K17076" s="29">
        <v>0.98289565623980701</v>
      </c>
    </row>
    <row r="17077" spans="1:11" x14ac:dyDescent="0.35">
      <c r="A17077" s="9" t="str">
        <f>HYPERLINK("http://www.ensembl.org/id/WBGene00007752", "WBGene00007752")</f>
        <v>WBGene00007752</v>
      </c>
      <c r="B17077" s="9" t="str">
        <f>HYPERLINK("http://www.ncbi.nlm.nih.gov/gene/178220", "178220")</f>
        <v>178220</v>
      </c>
      <c r="C17077" s="9" t="str">
        <f>HYPERLINK("http://www.ncbi.nlm.nih.gov/gene/23001", "23001")</f>
        <v>23001</v>
      </c>
      <c r="D17077" t="str">
        <f>"wdfy-3"</f>
        <v>wdfy-3</v>
      </c>
      <c r="E17077" t="s">
        <v>5844</v>
      </c>
      <c r="F17077" t="s">
        <v>11</v>
      </c>
      <c r="G17077" t="s">
        <v>5845</v>
      </c>
      <c r="H17077" s="12">
        <v>1.0944607943023399</v>
      </c>
      <c r="I17077" s="20">
        <v>0.48554977676976002</v>
      </c>
      <c r="J17077" s="28">
        <v>0.62728641244665295</v>
      </c>
      <c r="K17077" s="29">
        <v>0.98289565623980701</v>
      </c>
    </row>
    <row r="17078" spans="1:11" x14ac:dyDescent="0.35">
      <c r="A17078" s="9" t="str">
        <f>HYPERLINK("http://www.ensembl.org/id/WBGene00018893", "WBGene00018893")</f>
        <v>WBGene00018893</v>
      </c>
      <c r="B17078" s="9" t="str">
        <f>HYPERLINK("http://www.ncbi.nlm.nih.gov/gene/172226", "172226")</f>
        <v>172226</v>
      </c>
      <c r="C17078" s="9" t="str">
        <f>HYPERLINK("http://www.ncbi.nlm.nih.gov/gene/55759", "55759")</f>
        <v>55759</v>
      </c>
      <c r="D17078" t="str">
        <f>"wdr-12"</f>
        <v>wdr-12</v>
      </c>
      <c r="E17078" t="s">
        <v>6832</v>
      </c>
      <c r="F17078" t="s">
        <v>11</v>
      </c>
      <c r="G17078" t="s">
        <v>6833</v>
      </c>
      <c r="H17078" s="12">
        <v>-1.09157146647951</v>
      </c>
      <c r="I17078" s="20">
        <v>-0.37877833499443903</v>
      </c>
      <c r="J17078" s="28">
        <v>0.70485247686582297</v>
      </c>
      <c r="K17078" s="29">
        <v>0.98289565623980701</v>
      </c>
    </row>
    <row r="17079" spans="1:11" x14ac:dyDescent="0.35">
      <c r="A17079" s="9" t="str">
        <f>HYPERLINK("http://www.ensembl.org/id/WBGene00009211", "WBGene00009211")</f>
        <v>WBGene00009211</v>
      </c>
      <c r="B17079" s="9" t="str">
        <f>HYPERLINK("http://www.ncbi.nlm.nih.gov/gene/178185", "178185")</f>
        <v>178185</v>
      </c>
      <c r="C17079" s="9" t="str">
        <f>HYPERLINK("http://www.ncbi.nlm.nih.gov/gene/9277", "9277")</f>
        <v>9277</v>
      </c>
      <c r="D17079" t="str">
        <f>"wdr-46"</f>
        <v>wdr-46</v>
      </c>
      <c r="E17079" t="s">
        <v>8635</v>
      </c>
      <c r="F17079" t="s">
        <v>11</v>
      </c>
      <c r="G17079" t="s">
        <v>3131</v>
      </c>
      <c r="H17079" s="12">
        <v>-1.18793247965995</v>
      </c>
      <c r="I17079" s="20">
        <v>-0.777016690547216</v>
      </c>
      <c r="J17079" s="28">
        <v>0.43714892319912202</v>
      </c>
      <c r="K17079" s="29">
        <v>0.98289565623980701</v>
      </c>
    </row>
    <row r="17080" spans="1:11" x14ac:dyDescent="0.35">
      <c r="A17080" s="9" t="str">
        <f>HYPERLINK("http://www.ensembl.org/id/WBGene00006474", "WBGene00006474")</f>
        <v>WBGene00006474</v>
      </c>
      <c r="B17080" s="9" t="str">
        <f>HYPERLINK("http://www.ncbi.nlm.nih.gov/gene/175474", "175474")</f>
        <v>175474</v>
      </c>
      <c r="C17080" s="9" t="str">
        <f>HYPERLINK("http://www.ncbi.nlm.nih.gov/gene/11091", "11091")</f>
        <v>11091</v>
      </c>
      <c r="D17080" t="str">
        <f>"wdr-5.1"</f>
        <v>wdr-5.1</v>
      </c>
      <c r="E17080" t="s">
        <v>6556</v>
      </c>
      <c r="F17080" t="s">
        <v>11</v>
      </c>
      <c r="G17080" t="s">
        <v>6557</v>
      </c>
      <c r="H17080" s="12">
        <v>-1.0760705037460301</v>
      </c>
      <c r="I17080" s="20">
        <v>-0.33712518511189699</v>
      </c>
      <c r="J17080" s="28">
        <v>0.73602253261686701</v>
      </c>
      <c r="K17080" s="29">
        <v>0.98289565623980701</v>
      </c>
    </row>
    <row r="17081" spans="1:11" x14ac:dyDescent="0.35">
      <c r="A17081" s="9" t="str">
        <f>HYPERLINK("http://www.ensembl.org/id/WBGene00016165", "WBGene00016165")</f>
        <v>WBGene00016165</v>
      </c>
      <c r="B17081" s="9" t="str">
        <f>HYPERLINK("http://www.ncbi.nlm.nih.gov/gene/175676", "175676")</f>
        <v>175676</v>
      </c>
      <c r="C17081" s="9"/>
      <c r="D17081" t="str">
        <f>"wdr-60"</f>
        <v>wdr-60</v>
      </c>
      <c r="F17081" t="s">
        <v>11</v>
      </c>
      <c r="G17081" t="s">
        <v>4511</v>
      </c>
      <c r="H17081" s="12">
        <v>1.80281037024116</v>
      </c>
      <c r="I17081" s="20">
        <v>1.1437406556063301</v>
      </c>
      <c r="J17081" s="28">
        <v>0.25273120743713201</v>
      </c>
      <c r="K17081" s="29">
        <v>0.98289565623980701</v>
      </c>
    </row>
    <row r="17082" spans="1:11" x14ac:dyDescent="0.35">
      <c r="A17082" s="9" t="str">
        <f>HYPERLINK("http://www.ensembl.org/id/WBGene00006939", "WBGene00006939")</f>
        <v>WBGene00006939</v>
      </c>
      <c r="B17082" s="9"/>
      <c r="C17082" s="9"/>
      <c r="D17082" t="str">
        <f>"wee-1.2"</f>
        <v>wee-1.2</v>
      </c>
      <c r="F17082" t="s">
        <v>80</v>
      </c>
      <c r="H17082" s="12">
        <v>-1.6761732236879801</v>
      </c>
      <c r="I17082" s="20">
        <v>-1.03733274995703</v>
      </c>
      <c r="J17082" s="28">
        <v>0.29958080788882102</v>
      </c>
      <c r="K17082" s="29">
        <v>0.98289565623980701</v>
      </c>
    </row>
    <row r="17083" spans="1:11" x14ac:dyDescent="0.35">
      <c r="A17083" s="9" t="str">
        <f>HYPERLINK("http://www.ensembl.org/id/WBGene00007631", "WBGene00007631")</f>
        <v>WBGene00007631</v>
      </c>
      <c r="B17083" s="9" t="str">
        <f>HYPERLINK("http://www.ncbi.nlm.nih.gov/gene/175528", "175528")</f>
        <v>175528</v>
      </c>
      <c r="C17083" s="9"/>
      <c r="D17083" t="str">
        <f>"wht-3"</f>
        <v>wht-3</v>
      </c>
      <c r="E17083" t="s">
        <v>4672</v>
      </c>
      <c r="F17083" t="s">
        <v>11</v>
      </c>
      <c r="G17083" t="s">
        <v>4673</v>
      </c>
      <c r="H17083" s="12">
        <v>1.51144806418569</v>
      </c>
      <c r="I17083" s="20">
        <v>0.53892193242129105</v>
      </c>
      <c r="J17083" s="28">
        <v>0.589940722954304</v>
      </c>
      <c r="K17083" s="29">
        <v>0.98289565623980701</v>
      </c>
    </row>
    <row r="17084" spans="1:11" x14ac:dyDescent="0.35">
      <c r="A17084" s="9" t="str">
        <f>HYPERLINK("http://www.ensembl.org/id/WBGene00008950", "WBGene00008950")</f>
        <v>WBGene00008950</v>
      </c>
      <c r="B17084" s="9" t="str">
        <f>HYPERLINK("http://www.ncbi.nlm.nih.gov/gene/178182", "178182")</f>
        <v>178182</v>
      </c>
      <c r="C17084" s="9" t="str">
        <f>HYPERLINK("http://www.ncbi.nlm.nih.gov/gene/9619", "9619")</f>
        <v>9619</v>
      </c>
      <c r="D17084" t="str">
        <f>"wht-5"</f>
        <v>wht-5</v>
      </c>
      <c r="E17084" t="s">
        <v>860</v>
      </c>
      <c r="F17084" t="s">
        <v>11</v>
      </c>
      <c r="G17084" t="s">
        <v>9994</v>
      </c>
      <c r="H17084" s="12">
        <v>-1.6082352796136401</v>
      </c>
      <c r="I17084" s="20">
        <v>-0.40369117125998699</v>
      </c>
      <c r="J17084" s="28">
        <v>0.68643983267783104</v>
      </c>
      <c r="K17084" s="29">
        <v>0.98289565623980701</v>
      </c>
    </row>
    <row r="17085" spans="1:11" x14ac:dyDescent="0.35">
      <c r="A17085" s="9" t="str">
        <f>HYPERLINK("http://www.ensembl.org/id/WBGene00013032", "WBGene00013032")</f>
        <v>WBGene00013032</v>
      </c>
      <c r="B17085" s="9"/>
      <c r="C17085" s="9"/>
      <c r="D17085" t="str">
        <f>"wht-9"</f>
        <v>wht-9</v>
      </c>
      <c r="F17085" t="s">
        <v>80</v>
      </c>
      <c r="H17085" s="12">
        <v>-1.9075167826208399</v>
      </c>
      <c r="I17085" s="20">
        <v>-0.61648383876788804</v>
      </c>
      <c r="J17085" s="28">
        <v>0.53757523505127902</v>
      </c>
      <c r="K17085" s="29">
        <v>0.98289565623980701</v>
      </c>
    </row>
    <row r="17086" spans="1:11" x14ac:dyDescent="0.35">
      <c r="A17086" s="9" t="str">
        <f>HYPERLINK("http://www.ensembl.org/id/WBGene00006941", "WBGene00006941")</f>
        <v>WBGene00006941</v>
      </c>
      <c r="B17086" s="9" t="str">
        <f>HYPERLINK("http://www.ncbi.nlm.nih.gov/gene/177743", "177743")</f>
        <v>177743</v>
      </c>
      <c r="C17086" s="9"/>
      <c r="D17086" t="str">
        <f>"wnk-1"</f>
        <v>wnk-1</v>
      </c>
      <c r="E17086" t="s">
        <v>5872</v>
      </c>
      <c r="F17086" t="s">
        <v>11</v>
      </c>
      <c r="G17086" t="s">
        <v>5873</v>
      </c>
      <c r="H17086" s="12">
        <v>1.09127740934743</v>
      </c>
      <c r="I17086" s="20">
        <v>0.48478765125954998</v>
      </c>
      <c r="J17086" s="28">
        <v>0.62782698320539698</v>
      </c>
      <c r="K17086" s="29">
        <v>0.98289565623980701</v>
      </c>
    </row>
    <row r="17087" spans="1:11" x14ac:dyDescent="0.35">
      <c r="A17087" s="9" t="str">
        <f>HYPERLINK("http://www.ensembl.org/id/WBGene00021736", "WBGene00021736")</f>
        <v>WBGene00021736</v>
      </c>
      <c r="B17087" s="9" t="str">
        <f>HYPERLINK("http://www.ncbi.nlm.nih.gov/gene/178617", "178617")</f>
        <v>178617</v>
      </c>
      <c r="C17087" s="9"/>
      <c r="D17087" t="str">
        <f>"wrb-1"</f>
        <v>wrb-1</v>
      </c>
      <c r="E17087" t="s">
        <v>9460</v>
      </c>
      <c r="F17087" t="s">
        <v>11</v>
      </c>
      <c r="G17087" t="s">
        <v>9461</v>
      </c>
      <c r="H17087" s="12">
        <v>-1.24806948234699</v>
      </c>
      <c r="I17087" s="20">
        <v>-0.90198757984478595</v>
      </c>
      <c r="J17087" s="28">
        <v>0.36706346551225899</v>
      </c>
      <c r="K17087" s="29">
        <v>0.98289565623980701</v>
      </c>
    </row>
    <row r="17088" spans="1:11" x14ac:dyDescent="0.35">
      <c r="A17088" s="9" t="str">
        <f>HYPERLINK("http://www.ensembl.org/id/WBGene00006943", "WBGene00006943")</f>
        <v>WBGene00006943</v>
      </c>
      <c r="B17088" s="9" t="str">
        <f>HYPERLINK("http://www.ncbi.nlm.nih.gov/gene/175802", "175802")</f>
        <v>175802</v>
      </c>
      <c r="C17088" s="9"/>
      <c r="D17088" t="str">
        <f>"wrm-1"</f>
        <v>wrm-1</v>
      </c>
      <c r="E17088" t="s">
        <v>7322</v>
      </c>
      <c r="F17088" t="s">
        <v>11</v>
      </c>
      <c r="G17088" t="s">
        <v>7323</v>
      </c>
      <c r="H17088" s="12">
        <v>-1.1193845909148401</v>
      </c>
      <c r="I17088" s="20">
        <v>-0.49434029089043702</v>
      </c>
      <c r="J17088" s="28">
        <v>0.62106587486029197</v>
      </c>
      <c r="K17088" s="29">
        <v>0.98289565623980701</v>
      </c>
    </row>
    <row r="17089" spans="1:11" x14ac:dyDescent="0.35">
      <c r="A17089" s="9" t="str">
        <f>HYPERLINK("http://www.ensembl.org/id/WBGene00006947", "WBGene00006947")</f>
        <v>WBGene00006947</v>
      </c>
      <c r="B17089" s="9" t="str">
        <f>HYPERLINK("http://www.ncbi.nlm.nih.gov/gene/174223", "174223")</f>
        <v>174223</v>
      </c>
      <c r="C17089" s="9"/>
      <c r="D17089" t="str">
        <f>"wrt-1"</f>
        <v>wrt-1</v>
      </c>
      <c r="E17089" t="s">
        <v>4844</v>
      </c>
      <c r="F17089" t="s">
        <v>11</v>
      </c>
      <c r="G17089" t="s">
        <v>4845</v>
      </c>
      <c r="H17089" s="12">
        <v>1.3371039469008199</v>
      </c>
      <c r="I17089" s="20">
        <v>0.930334954473929</v>
      </c>
      <c r="J17089" s="28">
        <v>0.35219768510809701</v>
      </c>
      <c r="K17089" s="29">
        <v>0.98289565623980701</v>
      </c>
    </row>
    <row r="17090" spans="1:11" x14ac:dyDescent="0.35">
      <c r="A17090" s="9" t="str">
        <f>HYPERLINK("http://www.ensembl.org/id/WBGene00006949", "WBGene00006949")</f>
        <v>WBGene00006949</v>
      </c>
      <c r="B17090" s="9" t="str">
        <f>HYPERLINK("http://www.ncbi.nlm.nih.gov/gene/177781", "177781")</f>
        <v>177781</v>
      </c>
      <c r="C17090" s="9"/>
      <c r="D17090" t="str">
        <f>"wrt-3"</f>
        <v>wrt-3</v>
      </c>
      <c r="E17090" t="s">
        <v>4573</v>
      </c>
      <c r="F17090" t="s">
        <v>11</v>
      </c>
      <c r="G17090" t="s">
        <v>4574</v>
      </c>
      <c r="H17090" s="12">
        <v>1.66745035140763</v>
      </c>
      <c r="I17090" s="20">
        <v>0.99269470062605403</v>
      </c>
      <c r="J17090" s="28">
        <v>0.32085875826076199</v>
      </c>
      <c r="K17090" s="29">
        <v>0.98289565623980701</v>
      </c>
    </row>
    <row r="17091" spans="1:11" x14ac:dyDescent="0.35">
      <c r="A17091" s="9" t="str">
        <f>HYPERLINK("http://www.ensembl.org/id/WBGene00006950", "WBGene00006950")</f>
        <v>WBGene00006950</v>
      </c>
      <c r="B17091" s="9" t="str">
        <f>HYPERLINK("http://www.ncbi.nlm.nih.gov/gene/181664", "181664")</f>
        <v>181664</v>
      </c>
      <c r="C17091" s="9"/>
      <c r="D17091" t="str">
        <f>"wrt-4"</f>
        <v>wrt-4</v>
      </c>
      <c r="E17091" t="s">
        <v>9998</v>
      </c>
      <c r="F17091" t="s">
        <v>11</v>
      </c>
      <c r="G17091" t="s">
        <v>4845</v>
      </c>
      <c r="H17091" s="12">
        <v>-1.61350098201903</v>
      </c>
      <c r="I17091" s="20">
        <v>-0.58788882814869703</v>
      </c>
      <c r="J17091" s="28">
        <v>0.55660691565843401</v>
      </c>
      <c r="K17091" s="29">
        <v>0.98289565623980701</v>
      </c>
    </row>
    <row r="17092" spans="1:11" x14ac:dyDescent="0.35">
      <c r="A17092" s="9" t="str">
        <f>HYPERLINK("http://www.ensembl.org/id/WBGene00006954", "WBGene00006954")</f>
        <v>WBGene00006954</v>
      </c>
      <c r="B17092" s="9" t="str">
        <f>HYPERLINK("http://www.ncbi.nlm.nih.gov/gene/180035", "180035")</f>
        <v>180035</v>
      </c>
      <c r="C17092" s="9"/>
      <c r="D17092" t="str">
        <f>"wrt-8"</f>
        <v>wrt-8</v>
      </c>
      <c r="E17092" t="s">
        <v>10031</v>
      </c>
      <c r="F17092" t="s">
        <v>11</v>
      </c>
      <c r="G17092" t="s">
        <v>10032</v>
      </c>
      <c r="H17092" s="12">
        <v>-1.87952078568259</v>
      </c>
      <c r="I17092" s="20">
        <v>-0.80131912481788503</v>
      </c>
      <c r="J17092" s="28">
        <v>0.42294692188445698</v>
      </c>
      <c r="K17092" s="29">
        <v>0.98289565623980701</v>
      </c>
    </row>
    <row r="17093" spans="1:11" x14ac:dyDescent="0.35">
      <c r="A17093" s="9" t="str">
        <f>HYPERLINK("http://www.ensembl.org/id/WBGene00006957", "WBGene00006957")</f>
        <v>WBGene00006957</v>
      </c>
      <c r="B17093" s="9" t="str">
        <f>HYPERLINK("http://www.ncbi.nlm.nih.gov/gene/177616", "177616")</f>
        <v>177616</v>
      </c>
      <c r="C17093" s="9"/>
      <c r="D17093" t="str">
        <f>"wsp-1"</f>
        <v>wsp-1</v>
      </c>
      <c r="E17093" t="s">
        <v>9317</v>
      </c>
      <c r="F17093" t="s">
        <v>11</v>
      </c>
      <c r="G17093" t="s">
        <v>9318</v>
      </c>
      <c r="H17093" s="12">
        <v>-1.2372325347539099</v>
      </c>
      <c r="I17093" s="20">
        <v>-1.14486597308824</v>
      </c>
      <c r="J17093" s="28">
        <v>0.25226468127193302</v>
      </c>
      <c r="K17093" s="29">
        <v>0.98289565623980701</v>
      </c>
    </row>
    <row r="17094" spans="1:11" x14ac:dyDescent="0.35">
      <c r="A17094" s="9" t="str">
        <f>HYPERLINK("http://www.ensembl.org/id/WBGene00006958", "WBGene00006958")</f>
        <v>WBGene00006958</v>
      </c>
      <c r="B17094" s="9" t="str">
        <f>HYPERLINK("http://www.ncbi.nlm.nih.gov/gene/187639", "187639")</f>
        <v>187639</v>
      </c>
      <c r="C17094" s="9"/>
      <c r="D17094" t="str">
        <f>"wve-1"</f>
        <v>wve-1</v>
      </c>
      <c r="E17094" t="s">
        <v>7555</v>
      </c>
      <c r="F17094" t="s">
        <v>11</v>
      </c>
      <c r="G17094" t="s">
        <v>7556</v>
      </c>
      <c r="H17094" s="12">
        <v>-1.1330533124430999</v>
      </c>
      <c r="I17094" s="20">
        <v>-0.62993217647399202</v>
      </c>
      <c r="J17094" s="28">
        <v>0.52873895980332197</v>
      </c>
      <c r="K17094" s="29">
        <v>0.98289565623980701</v>
      </c>
    </row>
    <row r="17095" spans="1:11" x14ac:dyDescent="0.35">
      <c r="A17095" s="9" t="str">
        <f>HYPERLINK("http://www.ensembl.org/id/WBGene00007009", "WBGene00007009")</f>
        <v>WBGene00007009</v>
      </c>
      <c r="B17095" s="9" t="str">
        <f>HYPERLINK("http://www.ncbi.nlm.nih.gov/gene/171647", "171647")</f>
        <v>171647</v>
      </c>
      <c r="C17095" s="9" t="str">
        <f>HYPERLINK("http://www.ncbi.nlm.nih.gov/gene/11059", "11059")</f>
        <v>11059</v>
      </c>
      <c r="D17095" t="str">
        <f>"wwp-1"</f>
        <v>wwp-1</v>
      </c>
      <c r="E17095" t="s">
        <v>7016</v>
      </c>
      <c r="F17095" t="s">
        <v>11</v>
      </c>
      <c r="G17095" t="s">
        <v>7017</v>
      </c>
      <c r="H17095" s="12">
        <v>-1.10257350722698</v>
      </c>
      <c r="I17095" s="20">
        <v>-0.545919147492549</v>
      </c>
      <c r="J17095" s="28">
        <v>0.58512151586912098</v>
      </c>
      <c r="K17095" s="29">
        <v>0.98289565623980701</v>
      </c>
    </row>
    <row r="17096" spans="1:11" x14ac:dyDescent="0.35">
      <c r="A17096" s="9" t="str">
        <f>HYPERLINK("http://www.ensembl.org/id/WBGene00006960", "WBGene00006960")</f>
        <v>WBGene00006960</v>
      </c>
      <c r="B17096" s="9" t="str">
        <f>HYPERLINK("http://www.ncbi.nlm.nih.gov/gene/184080", "184080")</f>
        <v>184080</v>
      </c>
      <c r="C17096" s="9" t="str">
        <f>HYPERLINK("http://www.ncbi.nlm.nih.gov/gene/51626", "51626")</f>
        <v>51626</v>
      </c>
      <c r="D17096" t="str">
        <f>"xbx-1"</f>
        <v>xbx-1</v>
      </c>
      <c r="E17096" t="s">
        <v>710</v>
      </c>
      <c r="F17096" t="s">
        <v>11</v>
      </c>
      <c r="G17096" t="s">
        <v>9098</v>
      </c>
      <c r="H17096" s="12">
        <v>-1.2202472180158099</v>
      </c>
      <c r="I17096" s="20">
        <v>-0.71096105081101402</v>
      </c>
      <c r="J17096" s="28">
        <v>0.47710837217702401</v>
      </c>
      <c r="K17096" s="29">
        <v>0.98289565623980701</v>
      </c>
    </row>
    <row r="17097" spans="1:11" x14ac:dyDescent="0.35">
      <c r="A17097" s="9" t="str">
        <f>HYPERLINK("http://www.ensembl.org/id/WBGene00016025", "WBGene00016025")</f>
        <v>WBGene00016025</v>
      </c>
      <c r="B17097" s="9" t="str">
        <f>HYPERLINK("http://www.ncbi.nlm.nih.gov/gene/182822", "182822")</f>
        <v>182822</v>
      </c>
      <c r="C17097" s="9"/>
      <c r="D17097" t="str">
        <f>"xbx-4"</f>
        <v>xbx-4</v>
      </c>
      <c r="E17097" t="s">
        <v>710</v>
      </c>
      <c r="F17097" t="s">
        <v>11</v>
      </c>
      <c r="H17097" s="12">
        <v>1.29482519633072</v>
      </c>
      <c r="I17097" s="20">
        <v>0.28381946005365499</v>
      </c>
      <c r="J17097" s="28">
        <v>0.77654874055374001</v>
      </c>
      <c r="K17097" s="29">
        <v>0.98289565623980701</v>
      </c>
    </row>
    <row r="17098" spans="1:11" x14ac:dyDescent="0.35">
      <c r="A17098" s="9" t="str">
        <f>HYPERLINK("http://www.ensembl.org/id/WBGene00010083", "WBGene00010083")</f>
        <v>WBGene00010083</v>
      </c>
      <c r="B17098" s="9" t="str">
        <f>HYPERLINK("http://www.ncbi.nlm.nih.gov/gene/178381", "178381")</f>
        <v>178381</v>
      </c>
      <c r="C17098" s="9" t="str">
        <f>HYPERLINK("http://www.ncbi.nlm.nih.gov/gene/7498", "7498")</f>
        <v>7498</v>
      </c>
      <c r="D17098" t="str">
        <f>"xdh-1"</f>
        <v>xdh-1</v>
      </c>
      <c r="E17098" t="s">
        <v>6797</v>
      </c>
      <c r="F17098" t="s">
        <v>11</v>
      </c>
      <c r="G17098" t="s">
        <v>6798</v>
      </c>
      <c r="H17098" s="12">
        <v>-1.0896117644280301</v>
      </c>
      <c r="I17098" s="20">
        <v>-0.41426675682810499</v>
      </c>
      <c r="J17098" s="28">
        <v>0.67867875681687095</v>
      </c>
      <c r="K17098" s="29">
        <v>0.98289565623980701</v>
      </c>
    </row>
    <row r="17099" spans="1:11" x14ac:dyDescent="0.35">
      <c r="A17099" s="9" t="str">
        <f>HYPERLINK("http://www.ensembl.org/id/WBGene00006961", "WBGene00006961")</f>
        <v>WBGene00006961</v>
      </c>
      <c r="B17099" s="9" t="str">
        <f>HYPERLINK("http://www.ncbi.nlm.nih.gov/gene/172077", "172077")</f>
        <v>172077</v>
      </c>
      <c r="C17099" s="9"/>
      <c r="D17099" t="str">
        <f>"xnp-1"</f>
        <v>xnp-1</v>
      </c>
      <c r="E17099" t="s">
        <v>5692</v>
      </c>
      <c r="F17099" t="s">
        <v>11</v>
      </c>
      <c r="G17099" t="s">
        <v>2791</v>
      </c>
      <c r="H17099" s="12">
        <v>1.12192093461739</v>
      </c>
      <c r="I17099" s="20">
        <v>0.62893472179827303</v>
      </c>
      <c r="J17099" s="28">
        <v>0.52939179328961194</v>
      </c>
      <c r="K17099" s="29">
        <v>0.98289565623980701</v>
      </c>
    </row>
    <row r="17100" spans="1:11" x14ac:dyDescent="0.35">
      <c r="A17100" s="9" t="str">
        <f>HYPERLINK("http://www.ensembl.org/id/WBGene00019004", "WBGene00019004")</f>
        <v>WBGene00019004</v>
      </c>
      <c r="B17100" s="9" t="str">
        <f>HYPERLINK("http://www.ncbi.nlm.nih.gov/gene/186441", "186441")</f>
        <v>186441</v>
      </c>
      <c r="C17100" s="9"/>
      <c r="D17100" t="str">
        <f>"xpg-1"</f>
        <v>xpg-1</v>
      </c>
      <c r="E17100" t="s">
        <v>8516</v>
      </c>
      <c r="F17100" t="s">
        <v>11</v>
      </c>
      <c r="G17100" t="s">
        <v>8517</v>
      </c>
      <c r="H17100" s="12">
        <v>-1.18171699794387</v>
      </c>
      <c r="I17100" s="20">
        <v>-0.817150530548302</v>
      </c>
      <c r="J17100" s="28">
        <v>0.41384240900442698</v>
      </c>
      <c r="K17100" s="29">
        <v>0.98289565623980701</v>
      </c>
    </row>
    <row r="17101" spans="1:11" x14ac:dyDescent="0.35">
      <c r="A17101" s="9" t="str">
        <f>HYPERLINK("http://www.ensembl.org/id/WBGene00002078", "WBGene00002078")</f>
        <v>WBGene00002078</v>
      </c>
      <c r="B17101" s="9" t="str">
        <f>HYPERLINK("http://www.ncbi.nlm.nih.gov/gene/179160", "179160")</f>
        <v>179160</v>
      </c>
      <c r="C17101" s="9" t="str">
        <f>HYPERLINK("http://www.ncbi.nlm.nih.gov/gene/7514", "7514")</f>
        <v>7514</v>
      </c>
      <c r="D17101" t="str">
        <f>"xpo-1"</f>
        <v>xpo-1</v>
      </c>
      <c r="E17101" t="s">
        <v>1030</v>
      </c>
      <c r="F17101" t="s">
        <v>11</v>
      </c>
      <c r="G17101" t="s">
        <v>8642</v>
      </c>
      <c r="H17101" s="12">
        <v>-1.18818023586413</v>
      </c>
      <c r="I17101" s="20">
        <v>-0.95354119566352902</v>
      </c>
      <c r="J17101" s="28">
        <v>0.34031593394054399</v>
      </c>
      <c r="K17101" s="29">
        <v>0.98289565623980701</v>
      </c>
    </row>
    <row r="17102" spans="1:11" x14ac:dyDescent="0.35">
      <c r="A17102" s="9" t="str">
        <f>HYPERLINK("http://www.ensembl.org/id/WBGene00012730", "WBGene00012730")</f>
        <v>WBGene00012730</v>
      </c>
      <c r="B17102" s="9" t="str">
        <f>HYPERLINK("http://www.ncbi.nlm.nih.gov/gene/175059", "175059")</f>
        <v>175059</v>
      </c>
      <c r="C17102" s="9" t="str">
        <f>HYPERLINK("http://www.ncbi.nlm.nih.gov/gene/54464", "54464")</f>
        <v>54464</v>
      </c>
      <c r="D17102" t="str">
        <f>"xrn-1"</f>
        <v>xrn-1</v>
      </c>
      <c r="E17102" t="s">
        <v>5936</v>
      </c>
      <c r="F17102" t="s">
        <v>11</v>
      </c>
      <c r="G17102" t="s">
        <v>5937</v>
      </c>
      <c r="H17102" s="12">
        <v>1.08287883892828</v>
      </c>
      <c r="I17102" s="20">
        <v>0.41292456385064802</v>
      </c>
      <c r="J17102" s="28">
        <v>0.67966188351944101</v>
      </c>
      <c r="K17102" s="29">
        <v>0.98289565623980701</v>
      </c>
    </row>
    <row r="17103" spans="1:11" x14ac:dyDescent="0.35">
      <c r="A17103" s="9" t="str">
        <f>HYPERLINK("http://www.ensembl.org/id/WBGene00006964", "WBGene00006964")</f>
        <v>WBGene00006964</v>
      </c>
      <c r="B17103" s="9" t="str">
        <f>HYPERLINK("http://www.ncbi.nlm.nih.gov/gene/175071", "175071")</f>
        <v>175071</v>
      </c>
      <c r="C17103" s="9" t="str">
        <f>HYPERLINK("http://www.ncbi.nlm.nih.gov/gene/22803", "22803")</f>
        <v>22803</v>
      </c>
      <c r="D17103" t="str">
        <f>"xrn-2"</f>
        <v>xrn-2</v>
      </c>
      <c r="E17103" t="s">
        <v>6403</v>
      </c>
      <c r="F17103" t="s">
        <v>11</v>
      </c>
      <c r="G17103" t="s">
        <v>6404</v>
      </c>
      <c r="H17103" s="12">
        <v>-1.0674684368771501</v>
      </c>
      <c r="I17103" s="20">
        <v>-0.310781180765687</v>
      </c>
      <c r="J17103" s="28">
        <v>0.75596697731017803</v>
      </c>
      <c r="K17103" s="29">
        <v>0.98289565623980701</v>
      </c>
    </row>
    <row r="17104" spans="1:11" x14ac:dyDescent="0.35">
      <c r="A17104" s="9" t="str">
        <f>HYPERLINK("http://www.ensembl.org/id/WBGene00006965", "WBGene00006965")</f>
        <v>WBGene00006965</v>
      </c>
      <c r="B17104" s="9" t="str">
        <f>HYPERLINK("http://www.ncbi.nlm.nih.gov/gene/192057", "192057")</f>
        <v>192057</v>
      </c>
      <c r="C17104" s="9"/>
      <c r="D17104" t="str">
        <f>"xtr-1"</f>
        <v>xtr-1</v>
      </c>
      <c r="E17104" t="s">
        <v>4206</v>
      </c>
      <c r="F17104" t="s">
        <v>11</v>
      </c>
      <c r="G17104" t="s">
        <v>4207</v>
      </c>
      <c r="H17104" s="12">
        <v>-1.2911428179100899</v>
      </c>
      <c r="I17104" s="20">
        <v>-0.91156886378120205</v>
      </c>
      <c r="J17104" s="28">
        <v>0.36199571921610701</v>
      </c>
      <c r="K17104" s="29">
        <v>0.98289565623980701</v>
      </c>
    </row>
    <row r="17105" spans="1:11" x14ac:dyDescent="0.35">
      <c r="A17105" s="9" t="str">
        <f>HYPERLINK("http://www.ensembl.org/id/WBGene00006966", "WBGene00006966")</f>
        <v>WBGene00006966</v>
      </c>
      <c r="B17105" s="9" t="str">
        <f>HYPERLINK("http://www.ncbi.nlm.nih.gov/gene/192058", "192058")</f>
        <v>192058</v>
      </c>
      <c r="C17105" s="9"/>
      <c r="D17105" t="str">
        <f>"xtr-2"</f>
        <v>xtr-2</v>
      </c>
      <c r="E17105" t="s">
        <v>4206</v>
      </c>
      <c r="F17105" t="s">
        <v>11</v>
      </c>
      <c r="G17105" t="s">
        <v>4207</v>
      </c>
      <c r="H17105" s="12">
        <v>13.2083681824683</v>
      </c>
      <c r="I17105" s="20">
        <v>0.79736709025154395</v>
      </c>
      <c r="J17105" s="28">
        <v>0.42523786651974499</v>
      </c>
      <c r="K17105" s="29">
        <v>0.98289565623980701</v>
      </c>
    </row>
    <row r="17106" spans="1:11" x14ac:dyDescent="0.35">
      <c r="A17106" s="9" t="str">
        <f>HYPERLINK("http://www.ensembl.org/id/WBGene00201597", "WBGene00201597")</f>
        <v>WBGene00201597</v>
      </c>
      <c r="B17106" s="9"/>
      <c r="C17106" s="9"/>
      <c r="D17106" t="str">
        <f>"Y102A11A.15"</f>
        <v>Y102A11A.15</v>
      </c>
      <c r="F17106" t="s">
        <v>481</v>
      </c>
      <c r="H17106" s="12">
        <v>-3.5819448292659501</v>
      </c>
      <c r="I17106" s="20">
        <v>-0.37337717500031398</v>
      </c>
      <c r="J17106" s="28">
        <v>0.70886774492290605</v>
      </c>
      <c r="K17106" s="29">
        <v>0.98289565623980701</v>
      </c>
    </row>
    <row r="17107" spans="1:11" x14ac:dyDescent="0.35">
      <c r="A17107" s="9" t="str">
        <f>HYPERLINK("http://www.ensembl.org/id/WBGene00220220", "WBGene00220220")</f>
        <v>WBGene00220220</v>
      </c>
      <c r="B17107" s="9"/>
      <c r="C17107" s="9"/>
      <c r="D17107" t="str">
        <f>"Y102A11A.17"</f>
        <v>Y102A11A.17</v>
      </c>
      <c r="F17107" t="s">
        <v>2977</v>
      </c>
      <c r="H17107" s="12">
        <v>2.4578120077400301</v>
      </c>
      <c r="I17107" s="20">
        <v>0.26093350314551</v>
      </c>
      <c r="J17107" s="28">
        <v>0.79414378780213601</v>
      </c>
      <c r="K17107" s="29">
        <v>0.98289565623980701</v>
      </c>
    </row>
    <row r="17108" spans="1:11" x14ac:dyDescent="0.35">
      <c r="A17108" s="9" t="str">
        <f>HYPERLINK("http://www.ensembl.org/id/WBGene00022412", "WBGene00022412")</f>
        <v>WBGene00022412</v>
      </c>
      <c r="B17108" s="9" t="str">
        <f>HYPERLINK("http://www.ncbi.nlm.nih.gov/gene/180515", "180515")</f>
        <v>180515</v>
      </c>
      <c r="C17108" s="9"/>
      <c r="D17108" t="str">
        <f>"Y102A11A.2"</f>
        <v>Y102A11A.2</v>
      </c>
      <c r="F17108" t="s">
        <v>11</v>
      </c>
      <c r="H17108" s="12">
        <v>1.1837357312369099</v>
      </c>
      <c r="I17108" s="20">
        <v>0.45967522702385999</v>
      </c>
      <c r="J17108" s="28">
        <v>0.64574935364654695</v>
      </c>
      <c r="K17108" s="29">
        <v>0.98289565623980701</v>
      </c>
    </row>
    <row r="17109" spans="1:11" x14ac:dyDescent="0.35">
      <c r="A17109" s="9" t="str">
        <f>HYPERLINK("http://www.ensembl.org/id/WBGene00022413", "WBGene00022413")</f>
        <v>WBGene00022413</v>
      </c>
      <c r="B17109" s="9" t="str">
        <f>HYPERLINK("http://www.ncbi.nlm.nih.gov/gene/180514", "180514")</f>
        <v>180514</v>
      </c>
      <c r="C17109" s="9"/>
      <c r="D17109" t="str">
        <f>"Y102A11A.3"</f>
        <v>Y102A11A.3</v>
      </c>
      <c r="F17109" t="s">
        <v>11</v>
      </c>
      <c r="H17109" s="12">
        <v>1.17117027028383</v>
      </c>
      <c r="I17109" s="20">
        <v>0.61417029788997002</v>
      </c>
      <c r="J17109" s="28">
        <v>0.53910279858851995</v>
      </c>
      <c r="K17109" s="29">
        <v>0.98289565623980701</v>
      </c>
    </row>
    <row r="17110" spans="1:11" x14ac:dyDescent="0.35">
      <c r="A17110" s="9" t="str">
        <f>HYPERLINK("http://www.ensembl.org/id/WBGene00022415", "WBGene00022415")</f>
        <v>WBGene00022415</v>
      </c>
      <c r="B17110" s="9" t="str">
        <f>HYPERLINK("http://www.ncbi.nlm.nih.gov/gene/180516", "180516")</f>
        <v>180516</v>
      </c>
      <c r="C17110" s="9"/>
      <c r="D17110" t="str">
        <f>"Y102A11A.5"</f>
        <v>Y102A11A.5</v>
      </c>
      <c r="F17110" t="s">
        <v>11</v>
      </c>
      <c r="H17110" s="12">
        <v>-7.2595973448530904</v>
      </c>
      <c r="I17110" s="20">
        <v>-1.0548020438919901</v>
      </c>
      <c r="J17110" s="28">
        <v>0.29151586964857201</v>
      </c>
      <c r="K17110" s="29">
        <v>0.98289565623980701</v>
      </c>
    </row>
    <row r="17111" spans="1:11" x14ac:dyDescent="0.35">
      <c r="A17111" s="9" t="str">
        <f>HYPERLINK("http://www.ensembl.org/id/WBGene00022417", "WBGene00022417")</f>
        <v>WBGene00022417</v>
      </c>
      <c r="B17111" s="9" t="str">
        <f>HYPERLINK("http://www.ncbi.nlm.nih.gov/gene/190859", "190859")</f>
        <v>190859</v>
      </c>
      <c r="C17111" s="9"/>
      <c r="D17111" t="str">
        <f>"Y102A11A.7"</f>
        <v>Y102A11A.7</v>
      </c>
      <c r="F17111" t="s">
        <v>11</v>
      </c>
      <c r="G17111" t="s">
        <v>25</v>
      </c>
      <c r="H17111" s="12">
        <v>1.31129379210432</v>
      </c>
      <c r="I17111" s="20">
        <v>0.75077725098376902</v>
      </c>
      <c r="J17111" s="28">
        <v>0.45278672248571</v>
      </c>
      <c r="K17111" s="29">
        <v>0.98289565623980701</v>
      </c>
    </row>
    <row r="17112" spans="1:11" x14ac:dyDescent="0.35">
      <c r="A17112" s="9" t="str">
        <f>HYPERLINK("http://www.ensembl.org/id/WBGene00022419", "WBGene00022419")</f>
        <v>WBGene00022419</v>
      </c>
      <c r="B17112" s="9" t="str">
        <f>HYPERLINK("http://www.ncbi.nlm.nih.gov/gene/180513", "180513")</f>
        <v>180513</v>
      </c>
      <c r="C17112" s="9"/>
      <c r="D17112" t="str">
        <f>"Y102A11A.9"</f>
        <v>Y102A11A.9</v>
      </c>
      <c r="F17112" t="s">
        <v>11</v>
      </c>
      <c r="H17112" s="12">
        <v>1.44134375894524</v>
      </c>
      <c r="I17112" s="20">
        <v>1.09020895981939</v>
      </c>
      <c r="J17112" s="28">
        <v>0.275621107425703</v>
      </c>
      <c r="K17112" s="29">
        <v>0.98289565623980701</v>
      </c>
    </row>
    <row r="17113" spans="1:11" x14ac:dyDescent="0.35">
      <c r="A17113" s="9" t="str">
        <f>HYPERLINK("http://www.ensembl.org/id/WBGene00014956", "WBGene00014956")</f>
        <v>WBGene00014956</v>
      </c>
      <c r="B17113" s="9"/>
      <c r="C17113" s="9"/>
      <c r="D17113" t="str">
        <f>"Y102A5C.11"</f>
        <v>Y102A5C.11</v>
      </c>
      <c r="F17113" t="s">
        <v>80</v>
      </c>
      <c r="H17113" s="12">
        <v>4.4368407117627902</v>
      </c>
      <c r="I17113" s="20">
        <v>0.43709475933309699</v>
      </c>
      <c r="J17113" s="28">
        <v>0.66204262779770495</v>
      </c>
      <c r="K17113" s="29">
        <v>0.98289565623980701</v>
      </c>
    </row>
    <row r="17114" spans="1:11" x14ac:dyDescent="0.35">
      <c r="A17114" s="9" t="str">
        <f>HYPERLINK("http://www.ensembl.org/id/WBGene00014957", "WBGene00014957")</f>
        <v>WBGene00014957</v>
      </c>
      <c r="B17114" s="9"/>
      <c r="C17114" s="9"/>
      <c r="D17114" t="str">
        <f>"Y102A5C.30"</f>
        <v>Y102A5C.30</v>
      </c>
      <c r="F17114" t="s">
        <v>80</v>
      </c>
      <c r="H17114" s="12">
        <v>2.4578120077400301</v>
      </c>
      <c r="I17114" s="20">
        <v>0.26093350314551</v>
      </c>
      <c r="J17114" s="28">
        <v>0.79414378780213601</v>
      </c>
      <c r="K17114" s="29">
        <v>0.98289565623980701</v>
      </c>
    </row>
    <row r="17115" spans="1:11" x14ac:dyDescent="0.35">
      <c r="A17115" s="9" t="str">
        <f>HYPERLINK("http://www.ensembl.org/id/WBGene00044220", "WBGene00044220")</f>
        <v>WBGene00044220</v>
      </c>
      <c r="B17115" s="9"/>
      <c r="C17115" s="9"/>
      <c r="D17115" t="str">
        <f>"Y102A5C.35"</f>
        <v>Y102A5C.35</v>
      </c>
      <c r="F17115" t="s">
        <v>80</v>
      </c>
      <c r="H17115" s="12">
        <v>4.0574428292140396</v>
      </c>
      <c r="I17115" s="20">
        <v>0.83914113592132</v>
      </c>
      <c r="J17115" s="28">
        <v>0.40139011466879299</v>
      </c>
      <c r="K17115" s="29">
        <v>0.98289565623980701</v>
      </c>
    </row>
    <row r="17116" spans="1:11" x14ac:dyDescent="0.35">
      <c r="A17116" s="9" t="str">
        <f>HYPERLINK("http://www.ensembl.org/id/WBGene00044213", "WBGene00044213")</f>
        <v>WBGene00044213</v>
      </c>
      <c r="B17116" s="9" t="str">
        <f>HYPERLINK("http://www.ncbi.nlm.nih.gov/gene/3565987", "3565987")</f>
        <v>3565987</v>
      </c>
      <c r="C17116" s="9"/>
      <c r="D17116" t="str">
        <f>"Y102A5C.36"</f>
        <v>Y102A5C.36</v>
      </c>
      <c r="F17116" t="s">
        <v>11</v>
      </c>
      <c r="G17116" t="s">
        <v>8351</v>
      </c>
      <c r="H17116" s="12">
        <v>-1.1729785375594399</v>
      </c>
      <c r="I17116" s="20">
        <v>-0.31679275085050401</v>
      </c>
      <c r="J17116" s="28">
        <v>0.75140086511492798</v>
      </c>
      <c r="K17116" s="29">
        <v>0.98289565623980701</v>
      </c>
    </row>
    <row r="17117" spans="1:11" x14ac:dyDescent="0.35">
      <c r="A17117" s="9" t="str">
        <f>HYPERLINK("http://www.ensembl.org/id/WBGene00206509", "WBGene00206509")</f>
        <v>WBGene00206509</v>
      </c>
      <c r="B17117" s="9"/>
      <c r="C17117" s="9"/>
      <c r="D17117" t="str">
        <f>"Y102A5C.43"</f>
        <v>Y102A5C.43</v>
      </c>
      <c r="F17117" t="s">
        <v>80</v>
      </c>
      <c r="H17117" s="12">
        <v>-2.4991590031922399</v>
      </c>
      <c r="I17117" s="20">
        <v>-0.26577412737581302</v>
      </c>
      <c r="J17117" s="28">
        <v>0.79041317015736101</v>
      </c>
      <c r="K17117" s="29">
        <v>0.98289565623980701</v>
      </c>
    </row>
    <row r="17118" spans="1:11" x14ac:dyDescent="0.35">
      <c r="A17118" s="9" t="str">
        <f>HYPERLINK("http://www.ensembl.org/id/WBGene00014954", "WBGene00014954")</f>
        <v>WBGene00014954</v>
      </c>
      <c r="B17118" s="9"/>
      <c r="C17118" s="9"/>
      <c r="D17118" t="str">
        <f>"Y102A5C.5"</f>
        <v>Y102A5C.5</v>
      </c>
      <c r="F17118" t="s">
        <v>80</v>
      </c>
      <c r="H17118" s="12">
        <v>-1.6042178678349801</v>
      </c>
      <c r="I17118" s="20">
        <v>-1.1433410946379301</v>
      </c>
      <c r="J17118" s="28">
        <v>0.25289699913167202</v>
      </c>
      <c r="K17118" s="29">
        <v>0.98289565623980701</v>
      </c>
    </row>
    <row r="17119" spans="1:11" x14ac:dyDescent="0.35">
      <c r="A17119" s="9" t="str">
        <f>HYPERLINK("http://www.ensembl.org/id/WBGene00044452", "WBGene00044452")</f>
        <v>WBGene00044452</v>
      </c>
      <c r="B17119" s="9" t="str">
        <f>HYPERLINK("http://www.ncbi.nlm.nih.gov/gene/3896742", "3896742")</f>
        <v>3896742</v>
      </c>
      <c r="C17119" s="9"/>
      <c r="D17119" t="str">
        <f>"Y102E9.5"</f>
        <v>Y102E9.5</v>
      </c>
      <c r="F17119" t="s">
        <v>11</v>
      </c>
      <c r="H17119" s="12">
        <v>-1.23675498942036</v>
      </c>
      <c r="I17119" s="20">
        <v>-0.62317888699063995</v>
      </c>
      <c r="J17119" s="28">
        <v>0.53316697431873905</v>
      </c>
      <c r="K17119" s="29">
        <v>0.98289565623980701</v>
      </c>
    </row>
    <row r="17120" spans="1:11" x14ac:dyDescent="0.35">
      <c r="A17120" s="9" t="str">
        <f>HYPERLINK("http://www.ensembl.org/id/WBGene00023201", "WBGene00023201")</f>
        <v>WBGene00023201</v>
      </c>
      <c r="B17120" s="9"/>
      <c r="C17120" s="9"/>
      <c r="D17120" t="str">
        <f>"Y102E9.t1"</f>
        <v>Y102E9.t1</v>
      </c>
      <c r="F17120" t="s">
        <v>4208</v>
      </c>
      <c r="H17120" s="12">
        <v>2.3893468495514898</v>
      </c>
      <c r="I17120" s="20">
        <v>0.25323547253672701</v>
      </c>
      <c r="J17120" s="28">
        <v>0.80008625651646104</v>
      </c>
      <c r="K17120" s="29">
        <v>0.98289565623980701</v>
      </c>
    </row>
    <row r="17121" spans="1:11" x14ac:dyDescent="0.35">
      <c r="A17121" s="9" t="str">
        <f>HYPERLINK("http://www.ensembl.org/id/WBGene00022426", "WBGene00022426")</f>
        <v>WBGene00022426</v>
      </c>
      <c r="B17121" s="9" t="str">
        <f>HYPERLINK("http://www.ncbi.nlm.nih.gov/gene/3564762", "3564762")</f>
        <v>3564762</v>
      </c>
      <c r="C17121" s="9"/>
      <c r="D17121" t="str">
        <f>"Y104H12D.2"</f>
        <v>Y104H12D.2</v>
      </c>
      <c r="F17121" t="s">
        <v>11</v>
      </c>
      <c r="H17121" s="12">
        <v>-1.2179630644950199</v>
      </c>
      <c r="I17121" s="20">
        <v>-0.93141869400033905</v>
      </c>
      <c r="J17121" s="28">
        <v>0.35163702454041701</v>
      </c>
      <c r="K17121" s="29">
        <v>0.98289565623980701</v>
      </c>
    </row>
    <row r="17122" spans="1:11" x14ac:dyDescent="0.35">
      <c r="A17122" s="9" t="str">
        <f>HYPERLINK("http://www.ensembl.org/id/WBGene00022428", "WBGene00022428")</f>
        <v>WBGene00022428</v>
      </c>
      <c r="B17122" s="9" t="str">
        <f>HYPERLINK("http://www.ncbi.nlm.nih.gov/gene/176936", "176936")</f>
        <v>176936</v>
      </c>
      <c r="C17122" s="9"/>
      <c r="D17122" t="str">
        <f>"Y104H12D.4"</f>
        <v>Y104H12D.4</v>
      </c>
      <c r="F17122" t="s">
        <v>11</v>
      </c>
      <c r="H17122" s="12">
        <v>-1.25964729078421</v>
      </c>
      <c r="I17122" s="20">
        <v>-0.77542313376188898</v>
      </c>
      <c r="J17122" s="28">
        <v>0.438089669688845</v>
      </c>
      <c r="K17122" s="29">
        <v>0.98289565623980701</v>
      </c>
    </row>
    <row r="17123" spans="1:11" x14ac:dyDescent="0.35">
      <c r="A17123" s="9" t="str">
        <f>HYPERLINK("http://www.ensembl.org/id/WBGene00013635", "WBGene00013635")</f>
        <v>WBGene00013635</v>
      </c>
      <c r="B17123" s="9" t="str">
        <f>HYPERLINK("http://www.ncbi.nlm.nih.gov/gene/190875", "190875")</f>
        <v>190875</v>
      </c>
      <c r="C17123" s="9"/>
      <c r="D17123" t="str">
        <f>"Y105C5A.10"</f>
        <v>Y105C5A.10</v>
      </c>
      <c r="F17123" t="s">
        <v>11</v>
      </c>
      <c r="H17123" s="12">
        <v>3.5227018545059199</v>
      </c>
      <c r="I17123" s="20">
        <v>0.36849691206929103</v>
      </c>
      <c r="J17123" s="28">
        <v>0.71250274722433404</v>
      </c>
      <c r="K17123" s="29">
        <v>0.98289565623980701</v>
      </c>
    </row>
    <row r="17124" spans="1:11" x14ac:dyDescent="0.35">
      <c r="A17124" s="9" t="str">
        <f>HYPERLINK("http://www.ensembl.org/id/WBGene00013636", "WBGene00013636")</f>
        <v>WBGene00013636</v>
      </c>
      <c r="B17124" s="9" t="str">
        <f>HYPERLINK("http://www.ncbi.nlm.nih.gov/gene/190877", "190877")</f>
        <v>190877</v>
      </c>
      <c r="C17124" s="9"/>
      <c r="D17124" t="str">
        <f>"Y105C5A.12"</f>
        <v>Y105C5A.12</v>
      </c>
      <c r="F17124" t="s">
        <v>11</v>
      </c>
      <c r="H17124" s="12">
        <v>-5.4967879193631202</v>
      </c>
      <c r="I17124" s="20">
        <v>-0.50254160819837501</v>
      </c>
      <c r="J17124" s="28">
        <v>0.61528659178453604</v>
      </c>
      <c r="K17124" s="29">
        <v>0.98289565623980701</v>
      </c>
    </row>
    <row r="17125" spans="1:11" x14ac:dyDescent="0.35">
      <c r="A17125" s="9" t="str">
        <f>HYPERLINK("http://www.ensembl.org/id/WBGene00194645", "WBGene00194645")</f>
        <v>WBGene00194645</v>
      </c>
      <c r="B17125" s="9" t="str">
        <f>HYPERLINK("http://www.ncbi.nlm.nih.gov/gene/13206884", "13206884")</f>
        <v>13206884</v>
      </c>
      <c r="C17125" s="9"/>
      <c r="D17125" t="str">
        <f>"Y105C5A.1269"</f>
        <v>Y105C5A.1269</v>
      </c>
      <c r="F17125" t="s">
        <v>11</v>
      </c>
      <c r="G17125" t="s">
        <v>25</v>
      </c>
      <c r="H17125" s="12">
        <v>-2.4295389261469</v>
      </c>
      <c r="I17125" s="20">
        <v>-0.25808529976640998</v>
      </c>
      <c r="J17125" s="28">
        <v>0.79634107645457397</v>
      </c>
      <c r="K17125" s="29">
        <v>0.98289565623980701</v>
      </c>
    </row>
    <row r="17126" spans="1:11" x14ac:dyDescent="0.35">
      <c r="A17126" s="9" t="str">
        <f>HYPERLINK("http://www.ensembl.org/id/WBGene00194646", "WBGene00194646")</f>
        <v>WBGene00194646</v>
      </c>
      <c r="B17126" s="9" t="str">
        <f>HYPERLINK("http://www.ncbi.nlm.nih.gov/gene/13206883", "13206883")</f>
        <v>13206883</v>
      </c>
      <c r="C17126" s="9"/>
      <c r="D17126" t="str">
        <f>"Y105C5A.1270"</f>
        <v>Y105C5A.1270</v>
      </c>
      <c r="F17126" t="s">
        <v>11</v>
      </c>
      <c r="G17126" t="s">
        <v>25</v>
      </c>
      <c r="H17126" s="12">
        <v>-2.8038240212537402</v>
      </c>
      <c r="I17126" s="20">
        <v>-1.06349905634194</v>
      </c>
      <c r="J17126" s="28">
        <v>0.28755569290124899</v>
      </c>
      <c r="K17126" s="29">
        <v>0.98289565623980701</v>
      </c>
    </row>
    <row r="17127" spans="1:11" x14ac:dyDescent="0.35">
      <c r="A17127" s="9" t="str">
        <f>HYPERLINK("http://www.ensembl.org/id/WBGene00194667", "WBGene00194667")</f>
        <v>WBGene00194667</v>
      </c>
      <c r="B17127" s="9"/>
      <c r="C17127" s="9"/>
      <c r="D17127" t="str">
        <f>"Y105C5A.1271"</f>
        <v>Y105C5A.1271</v>
      </c>
      <c r="F17127" t="s">
        <v>80</v>
      </c>
      <c r="H17127" s="12">
        <v>1.7342657855274399</v>
      </c>
      <c r="I17127" s="20">
        <v>0.54389096389394298</v>
      </c>
      <c r="J17127" s="28">
        <v>0.58651650745060702</v>
      </c>
      <c r="K17127" s="29">
        <v>0.98289565623980701</v>
      </c>
    </row>
    <row r="17128" spans="1:11" x14ac:dyDescent="0.35">
      <c r="A17128" s="9" t="str">
        <f>HYPERLINK("http://www.ensembl.org/id/WBGene00220222", "WBGene00220222")</f>
        <v>WBGene00220222</v>
      </c>
      <c r="B17128" s="9"/>
      <c r="C17128" s="9"/>
      <c r="D17128" t="str">
        <f>"Y105C5A.1283"</f>
        <v>Y105C5A.1283</v>
      </c>
      <c r="F17128" t="s">
        <v>2977</v>
      </c>
      <c r="H17128" s="12">
        <v>-8.0014360469151899</v>
      </c>
      <c r="I17128" s="20">
        <v>-0.61746222315259702</v>
      </c>
      <c r="J17128" s="28">
        <v>0.536929891129723</v>
      </c>
      <c r="K17128" s="29">
        <v>0.98289565623980701</v>
      </c>
    </row>
    <row r="17129" spans="1:11" x14ac:dyDescent="0.35">
      <c r="A17129" s="9" t="str">
        <f>HYPERLINK("http://www.ensembl.org/id/WBGene00013637", "WBGene00013637")</f>
        <v>WBGene00013637</v>
      </c>
      <c r="B17129" s="9" t="str">
        <f>HYPERLINK("http://www.ncbi.nlm.nih.gov/gene/178441", "178441")</f>
        <v>178441</v>
      </c>
      <c r="C17129" s="9"/>
      <c r="D17129" t="str">
        <f>"Y105C5A.13"</f>
        <v>Y105C5A.13</v>
      </c>
      <c r="F17129" t="s">
        <v>11</v>
      </c>
      <c r="H17129" s="12">
        <v>2.1813517984525101</v>
      </c>
      <c r="I17129" s="20">
        <v>0.58486168039369102</v>
      </c>
      <c r="J17129" s="28">
        <v>0.55864072644622698</v>
      </c>
      <c r="K17129" s="29">
        <v>0.98289565623980701</v>
      </c>
    </row>
    <row r="17130" spans="1:11" x14ac:dyDescent="0.35">
      <c r="A17130" s="9" t="str">
        <f>HYPERLINK("http://www.ensembl.org/id/WBGene00013639", "WBGene00013639")</f>
        <v>WBGene00013639</v>
      </c>
      <c r="B17130" s="9" t="str">
        <f>HYPERLINK("http://www.ncbi.nlm.nih.gov/gene/178442", "178442")</f>
        <v>178442</v>
      </c>
      <c r="C17130" s="9"/>
      <c r="D17130" t="str">
        <f>"Y105C5A.15"</f>
        <v>Y105C5A.15</v>
      </c>
      <c r="F17130" t="s">
        <v>11</v>
      </c>
      <c r="G17130" t="s">
        <v>5359</v>
      </c>
      <c r="H17130" s="12">
        <v>1.18355594361699</v>
      </c>
      <c r="I17130" s="20">
        <v>0.80863118545090296</v>
      </c>
      <c r="J17130" s="28">
        <v>0.41872732124091999</v>
      </c>
      <c r="K17130" s="29">
        <v>0.98289565623980701</v>
      </c>
    </row>
    <row r="17131" spans="1:11" x14ac:dyDescent="0.35">
      <c r="A17131" s="9" t="str">
        <f>HYPERLINK("http://www.ensembl.org/id/WBGene00013644", "WBGene00013644")</f>
        <v>WBGene00013644</v>
      </c>
      <c r="B17131" s="9"/>
      <c r="C17131" s="9"/>
      <c r="D17131" t="str">
        <f>"Y105C5A.25"</f>
        <v>Y105C5A.25</v>
      </c>
      <c r="F17131" t="s">
        <v>80</v>
      </c>
      <c r="H17131" s="12">
        <v>1.2855007766790101</v>
      </c>
      <c r="I17131" s="20">
        <v>0.72160005767811597</v>
      </c>
      <c r="J17131" s="28">
        <v>0.470540403686939</v>
      </c>
      <c r="K17131" s="29">
        <v>0.98289565623980701</v>
      </c>
    </row>
    <row r="17132" spans="1:11" x14ac:dyDescent="0.35">
      <c r="A17132" s="9" t="str">
        <f>HYPERLINK("http://www.ensembl.org/id/WBGene00044263", "WBGene00044263")</f>
        <v>WBGene00044263</v>
      </c>
      <c r="B17132" s="9" t="str">
        <f>HYPERLINK("http://www.ncbi.nlm.nih.gov/gene/3565168", "3565168")</f>
        <v>3565168</v>
      </c>
      <c r="C17132" s="9"/>
      <c r="D17132" t="str">
        <f>"Y105C5A.26"</f>
        <v>Y105C5A.26</v>
      </c>
      <c r="F17132" t="s">
        <v>11</v>
      </c>
      <c r="H17132" s="12">
        <v>-2.4991590031922399</v>
      </c>
      <c r="I17132" s="20">
        <v>-0.26577412737581302</v>
      </c>
      <c r="J17132" s="28">
        <v>0.79041317015736101</v>
      </c>
      <c r="K17132" s="29">
        <v>0.98289565623980701</v>
      </c>
    </row>
    <row r="17133" spans="1:11" x14ac:dyDescent="0.35">
      <c r="A17133" s="9" t="str">
        <f>HYPERLINK("http://www.ensembl.org/id/WBGene00044995", "WBGene00044995")</f>
        <v>WBGene00044995</v>
      </c>
      <c r="B17133" s="9"/>
      <c r="C17133" s="9"/>
      <c r="D17133" t="str">
        <f>"Y105C5A.28"</f>
        <v>Y105C5A.28</v>
      </c>
      <c r="F17133" t="s">
        <v>80</v>
      </c>
      <c r="H17133" s="12">
        <v>5.9605288951143898</v>
      </c>
      <c r="I17133" s="20">
        <v>0.86997519851277705</v>
      </c>
      <c r="J17133" s="28">
        <v>0.38431395809014102</v>
      </c>
      <c r="K17133" s="29">
        <v>0.98289565623980701</v>
      </c>
    </row>
    <row r="17134" spans="1:11" x14ac:dyDescent="0.35">
      <c r="A17134" s="9" t="str">
        <f>HYPERLINK("http://www.ensembl.org/id/WBGene00013645", "WBGene00013645")</f>
        <v>WBGene00013645</v>
      </c>
      <c r="B17134" s="9" t="str">
        <f>HYPERLINK("http://www.ncbi.nlm.nih.gov/gene/178444", "178444")</f>
        <v>178444</v>
      </c>
      <c r="C17134" s="9"/>
      <c r="D17134" t="str">
        <f>"Y105C5B.1"</f>
        <v>Y105C5B.1</v>
      </c>
      <c r="F17134" t="s">
        <v>11</v>
      </c>
      <c r="G17134" t="s">
        <v>25</v>
      </c>
      <c r="H17134" s="12">
        <v>3.5227018545059199</v>
      </c>
      <c r="I17134" s="20">
        <v>0.36849691206929103</v>
      </c>
      <c r="J17134" s="28">
        <v>0.71250274722433404</v>
      </c>
      <c r="K17134" s="29">
        <v>0.98289565623980701</v>
      </c>
    </row>
    <row r="17135" spans="1:11" x14ac:dyDescent="0.35">
      <c r="A17135" s="9" t="str">
        <f>HYPERLINK("http://www.ensembl.org/id/WBGene00013653", "WBGene00013653")</f>
        <v>WBGene00013653</v>
      </c>
      <c r="B17135" s="9" t="str">
        <f>HYPERLINK("http://www.ncbi.nlm.nih.gov/gene/190894", "190894")</f>
        <v>190894</v>
      </c>
      <c r="C17135" s="9"/>
      <c r="D17135" t="str">
        <f>"Y105C5B.14"</f>
        <v>Y105C5B.14</v>
      </c>
      <c r="F17135" t="s">
        <v>11</v>
      </c>
      <c r="H17135" s="12">
        <v>5.5071223146309798</v>
      </c>
      <c r="I17135" s="20">
        <v>1.1698845190395399</v>
      </c>
      <c r="J17135" s="28">
        <v>0.242047444647945</v>
      </c>
      <c r="K17135" s="29">
        <v>0.98289565623980701</v>
      </c>
    </row>
    <row r="17136" spans="1:11" x14ac:dyDescent="0.35">
      <c r="A17136" s="9" t="str">
        <f>HYPERLINK("http://www.ensembl.org/id/WBGene00219478", "WBGene00219478")</f>
        <v>WBGene00219478</v>
      </c>
      <c r="B17136" s="9" t="str">
        <f>HYPERLINK("http://www.ncbi.nlm.nih.gov/gene/24105018", "24105018")</f>
        <v>24105018</v>
      </c>
      <c r="C17136" s="9"/>
      <c r="D17136" t="str">
        <f>"Y105C5B.1418"</f>
        <v>Y105C5B.1418</v>
      </c>
      <c r="F17136" t="s">
        <v>11</v>
      </c>
      <c r="G17136" t="s">
        <v>25</v>
      </c>
      <c r="H17136" s="12">
        <v>15.026306458787399</v>
      </c>
      <c r="I17136" s="20">
        <v>1.0124645636185601</v>
      </c>
      <c r="J17136" s="28">
        <v>0.31131598177808001</v>
      </c>
      <c r="K17136" s="29">
        <v>0.98289565623980701</v>
      </c>
    </row>
    <row r="17137" spans="1:11" x14ac:dyDescent="0.35">
      <c r="A17137" s="9" t="str">
        <f>HYPERLINK("http://www.ensembl.org/id/WBGene00220224", "WBGene00220224")</f>
        <v>WBGene00220224</v>
      </c>
      <c r="B17137" s="9"/>
      <c r="C17137" s="9"/>
      <c r="D17137" t="str">
        <f>"Y105C5B.1419"</f>
        <v>Y105C5B.1419</v>
      </c>
      <c r="F17137" t="s">
        <v>2977</v>
      </c>
      <c r="H17137" s="12">
        <v>2.3893468495514898</v>
      </c>
      <c r="I17137" s="20">
        <v>0.25323547253672701</v>
      </c>
      <c r="J17137" s="28">
        <v>0.80008625651646104</v>
      </c>
      <c r="K17137" s="29">
        <v>0.98289565623980701</v>
      </c>
    </row>
    <row r="17138" spans="1:11" x14ac:dyDescent="0.35">
      <c r="A17138" s="9" t="str">
        <f>HYPERLINK("http://www.ensembl.org/id/WBGene00013654", "WBGene00013654")</f>
        <v>WBGene00013654</v>
      </c>
      <c r="B17138" s="9" t="str">
        <f>HYPERLINK("http://www.ncbi.nlm.nih.gov/gene/178448", "178448")</f>
        <v>178448</v>
      </c>
      <c r="C17138" s="9"/>
      <c r="D17138" t="str">
        <f>"Y105C5B.15"</f>
        <v>Y105C5B.15</v>
      </c>
      <c r="E17138" t="s">
        <v>1200</v>
      </c>
      <c r="F17138" t="s">
        <v>11</v>
      </c>
      <c r="G17138" t="s">
        <v>1201</v>
      </c>
      <c r="H17138" s="12">
        <v>1.2827765904337101</v>
      </c>
      <c r="I17138" s="20">
        <v>0.71089547001862397</v>
      </c>
      <c r="J17138" s="28">
        <v>0.47714901336382798</v>
      </c>
      <c r="K17138" s="29">
        <v>0.98289565623980701</v>
      </c>
    </row>
    <row r="17139" spans="1:11" x14ac:dyDescent="0.35">
      <c r="A17139" s="9" t="str">
        <f>HYPERLINK("http://www.ensembl.org/id/WBGene00013656", "WBGene00013656")</f>
        <v>WBGene00013656</v>
      </c>
      <c r="B17139" s="9" t="str">
        <f>HYPERLINK("http://www.ncbi.nlm.nih.gov/gene/190896", "190896")</f>
        <v>190896</v>
      </c>
      <c r="C17139" s="9"/>
      <c r="D17139" t="str">
        <f>"Y105C5B.17"</f>
        <v>Y105C5B.17</v>
      </c>
      <c r="F17139" t="s">
        <v>11</v>
      </c>
      <c r="G17139" t="s">
        <v>25</v>
      </c>
      <c r="H17139" s="12">
        <v>1.6724158764657799</v>
      </c>
      <c r="I17139" s="20">
        <v>0.38599821735943102</v>
      </c>
      <c r="J17139" s="28">
        <v>0.69949798903609794</v>
      </c>
      <c r="K17139" s="29">
        <v>0.98289565623980701</v>
      </c>
    </row>
    <row r="17140" spans="1:11" x14ac:dyDescent="0.35">
      <c r="A17140" s="9" t="str">
        <f>HYPERLINK("http://www.ensembl.org/id/WBGene00013657", "WBGene00013657")</f>
        <v>WBGene00013657</v>
      </c>
      <c r="B17140" s="9" t="str">
        <f>HYPERLINK("http://www.ncbi.nlm.nih.gov/gene/178449", "178449")</f>
        <v>178449</v>
      </c>
      <c r="C17140" s="9"/>
      <c r="D17140" t="str">
        <f>"Y105C5B.18"</f>
        <v>Y105C5B.18</v>
      </c>
      <c r="F17140" t="s">
        <v>11</v>
      </c>
      <c r="H17140" s="12">
        <v>1.85159031696877</v>
      </c>
      <c r="I17140" s="20">
        <v>0.60370194592232995</v>
      </c>
      <c r="J17140" s="28">
        <v>0.54604182016526304</v>
      </c>
      <c r="K17140" s="29">
        <v>0.98289565623980701</v>
      </c>
    </row>
    <row r="17141" spans="1:11" x14ac:dyDescent="0.35">
      <c r="A17141" s="9" t="str">
        <f>HYPERLINK("http://www.ensembl.org/id/WBGene00013658", "WBGene00013658")</f>
        <v>WBGene00013658</v>
      </c>
      <c r="B17141" s="9" t="str">
        <f>HYPERLINK("http://www.ncbi.nlm.nih.gov/gene/178450", "178450")</f>
        <v>178450</v>
      </c>
      <c r="C17141" s="9"/>
      <c r="D17141" t="str">
        <f>"Y105C5B.19"</f>
        <v>Y105C5B.19</v>
      </c>
      <c r="E17141" t="s">
        <v>899</v>
      </c>
      <c r="F17141" t="s">
        <v>11</v>
      </c>
      <c r="G17141" t="s">
        <v>3403</v>
      </c>
      <c r="H17141" s="12">
        <v>-1.2060145709404699</v>
      </c>
      <c r="I17141" s="20">
        <v>-0.769586249796123</v>
      </c>
      <c r="J17141" s="28">
        <v>0.44154536405898998</v>
      </c>
      <c r="K17141" s="29">
        <v>0.98289565623980701</v>
      </c>
    </row>
    <row r="17142" spans="1:11" x14ac:dyDescent="0.35">
      <c r="A17142" s="9" t="str">
        <f>HYPERLINK("http://www.ensembl.org/id/WBGene00013659", "WBGene00013659")</f>
        <v>WBGene00013659</v>
      </c>
      <c r="B17142" s="9" t="str">
        <f>HYPERLINK("http://www.ncbi.nlm.nih.gov/gene/190897", "190897")</f>
        <v>190897</v>
      </c>
      <c r="C17142" s="9"/>
      <c r="D17142" t="str">
        <f>"Y105C5B.20"</f>
        <v>Y105C5B.20</v>
      </c>
      <c r="F17142" t="s">
        <v>11</v>
      </c>
      <c r="H17142" s="12">
        <v>-1.3016222844946499</v>
      </c>
      <c r="I17142" s="20">
        <v>-0.585999156562374</v>
      </c>
      <c r="J17142" s="28">
        <v>0.55787608163689395</v>
      </c>
      <c r="K17142" s="29">
        <v>0.98289565623980701</v>
      </c>
    </row>
    <row r="17143" spans="1:11" x14ac:dyDescent="0.35">
      <c r="A17143" s="9" t="str">
        <f>HYPERLINK("http://www.ensembl.org/id/WBGene00013661", "WBGene00013661")</f>
        <v>WBGene00013661</v>
      </c>
      <c r="B17143" s="9"/>
      <c r="C17143" s="9"/>
      <c r="D17143" t="str">
        <f>"Y105C5B.23"</f>
        <v>Y105C5B.23</v>
      </c>
      <c r="F17143" t="s">
        <v>80</v>
      </c>
      <c r="H17143" s="12">
        <v>2.3893468495514898</v>
      </c>
      <c r="I17143" s="20">
        <v>0.25323547253672701</v>
      </c>
      <c r="J17143" s="28">
        <v>0.80008625651646104</v>
      </c>
      <c r="K17143" s="29">
        <v>0.98289565623980701</v>
      </c>
    </row>
    <row r="17144" spans="1:11" x14ac:dyDescent="0.35">
      <c r="A17144" s="9" t="str">
        <f>HYPERLINK("http://www.ensembl.org/id/WBGene00013662", "WBGene00013662")</f>
        <v>WBGene00013662</v>
      </c>
      <c r="B17144" s="9" t="str">
        <f>HYPERLINK("http://www.ncbi.nlm.nih.gov/gene/190901", "190901")</f>
        <v>190901</v>
      </c>
      <c r="C17144" s="9"/>
      <c r="D17144" t="str">
        <f>"Y105C5B.25"</f>
        <v>Y105C5B.25</v>
      </c>
      <c r="F17144" t="s">
        <v>11</v>
      </c>
      <c r="G17144" t="s">
        <v>1686</v>
      </c>
      <c r="H17144" s="12">
        <v>1.79768269270787</v>
      </c>
      <c r="I17144" s="20">
        <v>0.66319529684193201</v>
      </c>
      <c r="J17144" s="28">
        <v>0.50720548326582104</v>
      </c>
      <c r="K17144" s="29">
        <v>0.98289565623980701</v>
      </c>
    </row>
    <row r="17145" spans="1:11" x14ac:dyDescent="0.35">
      <c r="A17145" s="9" t="str">
        <f>HYPERLINK("http://www.ensembl.org/id/WBGene00044085", "WBGene00044085")</f>
        <v>WBGene00044085</v>
      </c>
      <c r="B17145" s="9"/>
      <c r="C17145" s="9"/>
      <c r="D17145" t="str">
        <f>"Y105C5B.30"</f>
        <v>Y105C5B.30</v>
      </c>
      <c r="F17145" t="s">
        <v>80</v>
      </c>
      <c r="H17145" s="12">
        <v>5.2322000618327396</v>
      </c>
      <c r="I17145" s="20">
        <v>0.486112489888328</v>
      </c>
      <c r="J17145" s="28">
        <v>0.62688741196182496</v>
      </c>
      <c r="K17145" s="29">
        <v>0.98289565623980701</v>
      </c>
    </row>
    <row r="17146" spans="1:11" x14ac:dyDescent="0.35">
      <c r="A17146" s="9" t="str">
        <f>HYPERLINK("http://www.ensembl.org/id/WBGene00013648", "WBGene00013648")</f>
        <v>WBGene00013648</v>
      </c>
      <c r="B17146" s="9"/>
      <c r="C17146" s="9"/>
      <c r="D17146" t="str">
        <f>"Y105C5B.7"</f>
        <v>Y105C5B.7</v>
      </c>
      <c r="F17146" t="s">
        <v>80</v>
      </c>
      <c r="H17146" s="12">
        <v>3.5227018545059199</v>
      </c>
      <c r="I17146" s="20">
        <v>0.36849691206929103</v>
      </c>
      <c r="J17146" s="28">
        <v>0.71250274722433404</v>
      </c>
      <c r="K17146" s="29">
        <v>0.98289565623980701</v>
      </c>
    </row>
    <row r="17147" spans="1:11" x14ac:dyDescent="0.35">
      <c r="A17147" s="9" t="str">
        <f>HYPERLINK("http://www.ensembl.org/id/WBGene00013650", "WBGene00013650")</f>
        <v>WBGene00013650</v>
      </c>
      <c r="B17147" s="9" t="str">
        <f>HYPERLINK("http://www.ncbi.nlm.nih.gov/gene/178445", "178445")</f>
        <v>178445</v>
      </c>
      <c r="C17147" s="9" t="str">
        <f>HYPERLINK("http://www.ncbi.nlm.nih.gov/gene/254295", "254295")</f>
        <v>254295</v>
      </c>
      <c r="D17147" t="str">
        <f>"Y105C5B.9"</f>
        <v>Y105C5B.9</v>
      </c>
      <c r="E17147" t="s">
        <v>5315</v>
      </c>
      <c r="F17147" t="s">
        <v>11</v>
      </c>
      <c r="G17147" t="s">
        <v>5316</v>
      </c>
      <c r="H17147" s="12">
        <v>1.18984755874329</v>
      </c>
      <c r="I17147" s="20">
        <v>0.650091373259432</v>
      </c>
      <c r="J17147" s="28">
        <v>0.51563320129009604</v>
      </c>
      <c r="K17147" s="29">
        <v>0.98289565623980701</v>
      </c>
    </row>
    <row r="17148" spans="1:11" x14ac:dyDescent="0.35">
      <c r="A17148" s="9" t="str">
        <f>HYPERLINK("http://www.ensembl.org/id/WBGene00013666", "WBGene00013666")</f>
        <v>WBGene00013666</v>
      </c>
      <c r="B17148" s="9" t="str">
        <f>HYPERLINK("http://www.ncbi.nlm.nih.gov/gene/260216", "260216")</f>
        <v>260216</v>
      </c>
      <c r="C17148" s="9"/>
      <c r="D17148" t="str">
        <f>"Y105E8A.1"</f>
        <v>Y105E8A.1</v>
      </c>
      <c r="F17148" t="s">
        <v>11</v>
      </c>
      <c r="G17148" t="s">
        <v>4394</v>
      </c>
      <c r="H17148" s="12">
        <v>1.19030588029575</v>
      </c>
      <c r="I17148" s="20">
        <v>0.70265565575342404</v>
      </c>
      <c r="J17148" s="28">
        <v>0.48227036904995901</v>
      </c>
      <c r="K17148" s="29">
        <v>0.98289565623980701</v>
      </c>
    </row>
    <row r="17149" spans="1:11" x14ac:dyDescent="0.35">
      <c r="A17149" s="9" t="str">
        <f>HYPERLINK("http://www.ensembl.org/id/WBGene00013671", "WBGene00013671")</f>
        <v>WBGene00013671</v>
      </c>
      <c r="B17149" s="9" t="str">
        <f>HYPERLINK("http://www.ncbi.nlm.nih.gov/gene/173306", "173306")</f>
        <v>173306</v>
      </c>
      <c r="C17149" s="9"/>
      <c r="D17149" t="str">
        <f>"Y105E8A.11"</f>
        <v>Y105E8A.11</v>
      </c>
      <c r="F17149" t="s">
        <v>11</v>
      </c>
      <c r="H17149" s="12">
        <v>-1.1050564151983</v>
      </c>
      <c r="I17149" s="20">
        <v>-0.433123614539141</v>
      </c>
      <c r="J17149" s="28">
        <v>0.66492496797777501</v>
      </c>
      <c r="K17149" s="29">
        <v>0.98289565623980701</v>
      </c>
    </row>
    <row r="17150" spans="1:11" x14ac:dyDescent="0.35">
      <c r="A17150" s="9" t="str">
        <f>HYPERLINK("http://www.ensembl.org/id/WBGene00013674", "WBGene00013674")</f>
        <v>WBGene00013674</v>
      </c>
      <c r="B17150" s="9" t="str">
        <f>HYPERLINK("http://www.ncbi.nlm.nih.gov/gene/173308", "173308")</f>
        <v>173308</v>
      </c>
      <c r="C17150" s="9"/>
      <c r="D17150" t="str">
        <f>"Y105E8A.14"</f>
        <v>Y105E8A.14</v>
      </c>
      <c r="F17150" t="s">
        <v>11</v>
      </c>
      <c r="G17150" t="s">
        <v>5746</v>
      </c>
      <c r="H17150" s="12">
        <v>-1.2883061689914399</v>
      </c>
      <c r="I17150" s="20">
        <v>-1.0968718610533501</v>
      </c>
      <c r="J17150" s="28">
        <v>0.27269741102790301</v>
      </c>
      <c r="K17150" s="29">
        <v>0.98289565623980701</v>
      </c>
    </row>
    <row r="17151" spans="1:11" x14ac:dyDescent="0.35">
      <c r="A17151" s="9" t="str">
        <f>HYPERLINK("http://www.ensembl.org/id/WBGene00013667", "WBGene00013667")</f>
        <v>WBGene00013667</v>
      </c>
      <c r="B17151" s="9" t="str">
        <f>HYPERLINK("http://www.ncbi.nlm.nih.gov/gene/173298", "173298")</f>
        <v>173298</v>
      </c>
      <c r="C17151" s="9" t="str">
        <f>HYPERLINK("http://www.ncbi.nlm.nih.gov/gene/27248", "27248")</f>
        <v>27248</v>
      </c>
      <c r="D17151" t="str">
        <f>"Y105E8A.2"</f>
        <v>Y105E8A.2</v>
      </c>
      <c r="F17151" t="s">
        <v>11</v>
      </c>
      <c r="G17151" t="s">
        <v>2783</v>
      </c>
      <c r="H17151" s="12">
        <v>-1.14316509454111</v>
      </c>
      <c r="I17151" s="20">
        <v>-0.67862066044596303</v>
      </c>
      <c r="J17151" s="28">
        <v>0.49737824859130902</v>
      </c>
      <c r="K17151" s="29">
        <v>0.98289565623980701</v>
      </c>
    </row>
    <row r="17152" spans="1:11" x14ac:dyDescent="0.35">
      <c r="A17152" s="9" t="str">
        <f>HYPERLINK("http://www.ensembl.org/id/WBGene00013678", "WBGene00013678")</f>
        <v>WBGene00013678</v>
      </c>
      <c r="B17152" s="9" t="str">
        <f>HYPERLINK("http://www.ncbi.nlm.nih.gov/gene/173312", "173312")</f>
        <v>173312</v>
      </c>
      <c r="C17152" s="9" t="str">
        <f>HYPERLINK("http://www.ncbi.nlm.nih.gov/gene/92935", "92935")</f>
        <v>92935</v>
      </c>
      <c r="D17152" t="str">
        <f>"Y105E8A.20"</f>
        <v>Y105E8A.20</v>
      </c>
      <c r="F17152" t="s">
        <v>11</v>
      </c>
      <c r="G17152" t="s">
        <v>5748</v>
      </c>
      <c r="H17152" s="12">
        <v>1.10982190498357</v>
      </c>
      <c r="I17152" s="20">
        <v>0.47174875125987398</v>
      </c>
      <c r="J17152" s="28">
        <v>0.63710613503344604</v>
      </c>
      <c r="K17152" s="29">
        <v>0.98289565623980701</v>
      </c>
    </row>
    <row r="17153" spans="1:11" x14ac:dyDescent="0.35">
      <c r="A17153" s="9" t="str">
        <f>HYPERLINK("http://www.ensembl.org/id/WBGene00013679", "WBGene00013679")</f>
        <v>WBGene00013679</v>
      </c>
      <c r="B17153" s="9" t="str">
        <f>HYPERLINK("http://www.ncbi.nlm.nih.gov/gene/173313", "173313")</f>
        <v>173313</v>
      </c>
      <c r="C17153" s="9"/>
      <c r="D17153" t="str">
        <f>"Y105E8A.21"</f>
        <v>Y105E8A.21</v>
      </c>
      <c r="F17153" t="s">
        <v>11</v>
      </c>
      <c r="G17153" t="s">
        <v>54</v>
      </c>
      <c r="H17153" s="12">
        <v>-1.23099719528457</v>
      </c>
      <c r="I17153" s="20">
        <v>-0.91327981287545601</v>
      </c>
      <c r="J17153" s="28">
        <v>0.36109539668974999</v>
      </c>
      <c r="K17153" s="29">
        <v>0.98289565623980701</v>
      </c>
    </row>
    <row r="17154" spans="1:11" x14ac:dyDescent="0.35">
      <c r="A17154" s="9" t="str">
        <f>HYPERLINK("http://www.ensembl.org/id/WBGene00013682", "WBGene00013682")</f>
        <v>WBGene00013682</v>
      </c>
      <c r="B17154" s="9" t="str">
        <f>HYPERLINK("http://www.ncbi.nlm.nih.gov/gene/3564893", "3564893")</f>
        <v>3564893</v>
      </c>
      <c r="C17154" s="9"/>
      <c r="D17154" t="str">
        <f>"Y105E8A.25"</f>
        <v>Y105E8A.25</v>
      </c>
      <c r="F17154" t="s">
        <v>11</v>
      </c>
      <c r="G17154" t="s">
        <v>5767</v>
      </c>
      <c r="H17154" s="12">
        <v>1.10735981737572</v>
      </c>
      <c r="I17154" s="20">
        <v>0.56090063762958198</v>
      </c>
      <c r="J17154" s="28">
        <v>0.57486527533137799</v>
      </c>
      <c r="K17154" s="29">
        <v>0.98289565623980701</v>
      </c>
    </row>
    <row r="17155" spans="1:11" x14ac:dyDescent="0.35">
      <c r="A17155" s="9" t="str">
        <f>HYPERLINK("http://www.ensembl.org/id/WBGene00013684", "WBGene00013684")</f>
        <v>WBGene00013684</v>
      </c>
      <c r="B17155" s="9" t="str">
        <f>HYPERLINK("http://www.ncbi.nlm.nih.gov/gene/3565398", "3565398")</f>
        <v>3565398</v>
      </c>
      <c r="C17155" s="9"/>
      <c r="D17155" t="str">
        <f>"Y105E8A.27"</f>
        <v>Y105E8A.27</v>
      </c>
      <c r="F17155" t="s">
        <v>11</v>
      </c>
      <c r="G17155" t="s">
        <v>25</v>
      </c>
      <c r="H17155" s="12">
        <v>-1.53599038618077</v>
      </c>
      <c r="I17155" s="20">
        <v>-0.275611428696029</v>
      </c>
      <c r="J17155" s="28">
        <v>0.78284653071442301</v>
      </c>
      <c r="K17155" s="29">
        <v>0.98289565623980701</v>
      </c>
    </row>
    <row r="17156" spans="1:11" x14ac:dyDescent="0.35">
      <c r="A17156" s="9" t="str">
        <f>HYPERLINK("http://www.ensembl.org/id/WBGene00013685", "WBGene00013685")</f>
        <v>WBGene00013685</v>
      </c>
      <c r="B17156" s="9" t="str">
        <f>HYPERLINK("http://www.ncbi.nlm.nih.gov/gene/3565614", "3565614")</f>
        <v>3565614</v>
      </c>
      <c r="C17156" s="9"/>
      <c r="D17156" t="str">
        <f>"Y105E8A.28"</f>
        <v>Y105E8A.28</v>
      </c>
      <c r="F17156" t="s">
        <v>11</v>
      </c>
      <c r="H17156" s="12">
        <v>1.1991304096748401</v>
      </c>
      <c r="I17156" s="20">
        <v>0.343624884064202</v>
      </c>
      <c r="J17156" s="28">
        <v>0.73112840828453796</v>
      </c>
      <c r="K17156" s="29">
        <v>0.98289565623980701</v>
      </c>
    </row>
    <row r="17157" spans="1:11" x14ac:dyDescent="0.35">
      <c r="A17157" s="9" t="str">
        <f>HYPERLINK("http://www.ensembl.org/id/WBGene00013668", "WBGene00013668")</f>
        <v>WBGene00013668</v>
      </c>
      <c r="B17157" s="9" t="str">
        <f>HYPERLINK("http://www.ncbi.nlm.nih.gov/gene/173299", "173299")</f>
        <v>173299</v>
      </c>
      <c r="C17157" s="9" t="str">
        <f>HYPERLINK("http://www.ncbi.nlm.nih.gov/gene/64924", "64924")</f>
        <v>64924</v>
      </c>
      <c r="D17157" t="str">
        <f>"Y105E8A.3"</f>
        <v>Y105E8A.3</v>
      </c>
      <c r="F17157" t="s">
        <v>11</v>
      </c>
      <c r="G17157" t="s">
        <v>6460</v>
      </c>
      <c r="H17157" s="12">
        <v>-1.0706509390276999</v>
      </c>
      <c r="I17157" s="20">
        <v>-0.35791466125495702</v>
      </c>
      <c r="J17157" s="28">
        <v>0.72040717848539904</v>
      </c>
      <c r="K17157" s="29">
        <v>0.98289565623980701</v>
      </c>
    </row>
    <row r="17158" spans="1:11" x14ac:dyDescent="0.35">
      <c r="A17158" s="9" t="str">
        <f>HYPERLINK("http://www.ensembl.org/id/WBGene00195175", "WBGene00195175")</f>
        <v>WBGene00195175</v>
      </c>
      <c r="B17158" s="9"/>
      <c r="C17158" s="9"/>
      <c r="D17158" t="str">
        <f>"Y105E8A.36"</f>
        <v>Y105E8A.36</v>
      </c>
      <c r="F17158" t="s">
        <v>481</v>
      </c>
      <c r="H17158" s="12">
        <v>1.2107160928287699</v>
      </c>
      <c r="I17158" s="20">
        <v>0.87501005102251805</v>
      </c>
      <c r="J17158" s="28">
        <v>0.38156843686724001</v>
      </c>
      <c r="K17158" s="29">
        <v>0.98289565623980701</v>
      </c>
    </row>
    <row r="17159" spans="1:11" x14ac:dyDescent="0.35">
      <c r="A17159" s="9" t="str">
        <f>HYPERLINK("http://www.ensembl.org/id/WBGene00196717", "WBGene00196717")</f>
        <v>WBGene00196717</v>
      </c>
      <c r="B17159" s="9"/>
      <c r="C17159" s="9"/>
      <c r="D17159" t="str">
        <f>"Y105E8A.39"</f>
        <v>Y105E8A.39</v>
      </c>
      <c r="F17159" t="s">
        <v>481</v>
      </c>
      <c r="H17159" s="12">
        <v>3.5227018545059199</v>
      </c>
      <c r="I17159" s="20">
        <v>0.36849691206929103</v>
      </c>
      <c r="J17159" s="28">
        <v>0.71250274722433404</v>
      </c>
      <c r="K17159" s="29">
        <v>0.98289565623980701</v>
      </c>
    </row>
    <row r="17160" spans="1:11" x14ac:dyDescent="0.35">
      <c r="A17160" s="9" t="str">
        <f>HYPERLINK("http://www.ensembl.org/id/WBGene00044265", "WBGene00044265")</f>
        <v>WBGene00044265</v>
      </c>
      <c r="B17160" s="9" t="str">
        <f>HYPERLINK("http://www.ncbi.nlm.nih.gov/gene/3565156", "3565156")</f>
        <v>3565156</v>
      </c>
      <c r="C17160" s="9"/>
      <c r="D17160" t="str">
        <f>"Y105E8B.11"</f>
        <v>Y105E8B.11</v>
      </c>
      <c r="F17160" t="s">
        <v>11</v>
      </c>
      <c r="H17160" s="12">
        <v>-1.7983780707224599</v>
      </c>
      <c r="I17160" s="20">
        <v>-0.50966261515307998</v>
      </c>
      <c r="J17160" s="28">
        <v>0.61028784847072903</v>
      </c>
      <c r="K17160" s="29">
        <v>0.98289565623980701</v>
      </c>
    </row>
    <row r="17161" spans="1:11" x14ac:dyDescent="0.35">
      <c r="A17161" s="9" t="str">
        <f>HYPERLINK("http://www.ensembl.org/id/WBGene00196890", "WBGene00196890")</f>
        <v>WBGene00196890</v>
      </c>
      <c r="B17161" s="9"/>
      <c r="C17161" s="9"/>
      <c r="D17161" t="str">
        <f>"Y105E8B.13"</f>
        <v>Y105E8B.13</v>
      </c>
      <c r="F17161" t="s">
        <v>481</v>
      </c>
      <c r="H17161" s="12">
        <v>-2.4295389261469</v>
      </c>
      <c r="I17161" s="20">
        <v>-0.25808529976640998</v>
      </c>
      <c r="J17161" s="28">
        <v>0.79634107645457397</v>
      </c>
      <c r="K17161" s="29">
        <v>0.98289565623980701</v>
      </c>
    </row>
    <row r="17162" spans="1:11" x14ac:dyDescent="0.35">
      <c r="A17162" s="9" t="str">
        <f>HYPERLINK("http://www.ensembl.org/id/WBGene00202346", "WBGene00202346")</f>
        <v>WBGene00202346</v>
      </c>
      <c r="B17162" s="9"/>
      <c r="C17162" s="9"/>
      <c r="D17162" t="str">
        <f>"Y105E8B.14"</f>
        <v>Y105E8B.14</v>
      </c>
      <c r="F17162" t="s">
        <v>481</v>
      </c>
      <c r="H17162" s="12">
        <v>2.4578120077400301</v>
      </c>
      <c r="I17162" s="20">
        <v>0.26093350314551</v>
      </c>
      <c r="J17162" s="28">
        <v>0.79414378780213601</v>
      </c>
      <c r="K17162" s="29">
        <v>0.98289565623980701</v>
      </c>
    </row>
    <row r="17163" spans="1:11" x14ac:dyDescent="0.35">
      <c r="A17163" s="9" t="str">
        <f>HYPERLINK("http://www.ensembl.org/id/WBGene00220226", "WBGene00220226")</f>
        <v>WBGene00220226</v>
      </c>
      <c r="B17163" s="9"/>
      <c r="C17163" s="9"/>
      <c r="D17163" t="str">
        <f>"Y105E8B.15"</f>
        <v>Y105E8B.15</v>
      </c>
      <c r="F17163" t="s">
        <v>481</v>
      </c>
      <c r="H17163" s="12">
        <v>8.38675423776297</v>
      </c>
      <c r="I17163" s="20">
        <v>0.88182376132569296</v>
      </c>
      <c r="J17163" s="28">
        <v>0.37787212001537401</v>
      </c>
      <c r="K17163" s="29">
        <v>0.98289565623980701</v>
      </c>
    </row>
    <row r="17164" spans="1:11" x14ac:dyDescent="0.35">
      <c r="A17164" s="9" t="str">
        <f>HYPERLINK("http://www.ensembl.org/id/WBGene00013691", "WBGene00013691")</f>
        <v>WBGene00013691</v>
      </c>
      <c r="B17164" s="9" t="str">
        <f>HYPERLINK("http://www.ncbi.nlm.nih.gov/gene/173324", "173324")</f>
        <v>173324</v>
      </c>
      <c r="C17164" s="9"/>
      <c r="D17164" t="str">
        <f>"Y105E8B.6"</f>
        <v>Y105E8B.6</v>
      </c>
      <c r="F17164" t="s">
        <v>11</v>
      </c>
      <c r="H17164" s="12">
        <v>-1.4518392465813199</v>
      </c>
      <c r="I17164" s="20">
        <v>-1.08917389978751</v>
      </c>
      <c r="J17164" s="28">
        <v>0.276077206318176</v>
      </c>
      <c r="K17164" s="29">
        <v>0.98289565623980701</v>
      </c>
    </row>
    <row r="17165" spans="1:11" x14ac:dyDescent="0.35">
      <c r="A17165" s="9" t="str">
        <f>HYPERLINK("http://www.ensembl.org/id/WBGene00013692", "WBGene00013692")</f>
        <v>WBGene00013692</v>
      </c>
      <c r="B17165" s="9" t="str">
        <f>HYPERLINK("http://www.ncbi.nlm.nih.gov/gene/190914", "190914")</f>
        <v>190914</v>
      </c>
      <c r="C17165" s="9"/>
      <c r="D17165" t="str">
        <f>"Y105E8B.7"</f>
        <v>Y105E8B.7</v>
      </c>
      <c r="F17165" t="s">
        <v>11</v>
      </c>
      <c r="G17165" t="s">
        <v>801</v>
      </c>
      <c r="H17165" s="12">
        <v>1.26162583775529</v>
      </c>
      <c r="I17165" s="20">
        <v>1.04320600002931</v>
      </c>
      <c r="J17165" s="28">
        <v>0.29685289519758001</v>
      </c>
      <c r="K17165" s="29">
        <v>0.98289565623980701</v>
      </c>
    </row>
    <row r="17166" spans="1:11" x14ac:dyDescent="0.35">
      <c r="A17166" s="9" t="str">
        <f>HYPERLINK("http://www.ensembl.org/id/WBGene00013693", "WBGene00013693")</f>
        <v>WBGene00013693</v>
      </c>
      <c r="B17166" s="9" t="str">
        <f>HYPERLINK("http://www.ncbi.nlm.nih.gov/gene/173326", "173326")</f>
        <v>173326</v>
      </c>
      <c r="C17166" s="9" t="str">
        <f>HYPERLINK("http://www.ncbi.nlm.nih.gov/gene/2990", "2990")</f>
        <v>2990</v>
      </c>
      <c r="D17166" t="str">
        <f>"Y105E8B.9"</f>
        <v>Y105E8B.9</v>
      </c>
      <c r="F17166" t="s">
        <v>11</v>
      </c>
      <c r="G17166" t="s">
        <v>5593</v>
      </c>
      <c r="H17166" s="12">
        <v>1.1376422456822399</v>
      </c>
      <c r="I17166" s="20">
        <v>0.68175397289760498</v>
      </c>
      <c r="J17166" s="28">
        <v>0.49539453275511502</v>
      </c>
      <c r="K17166" s="29">
        <v>0.98289565623980701</v>
      </c>
    </row>
    <row r="17167" spans="1:11" x14ac:dyDescent="0.35">
      <c r="A17167" s="9" t="str">
        <f>HYPERLINK("http://www.ensembl.org/id/WBGene00013696", "WBGene00013696")</f>
        <v>WBGene00013696</v>
      </c>
      <c r="B17167" s="9" t="str">
        <f>HYPERLINK("http://www.ncbi.nlm.nih.gov/gene/172848", "172848")</f>
        <v>172848</v>
      </c>
      <c r="C17167" s="9"/>
      <c r="D17167" t="str">
        <f>"Y106G6A.4"</f>
        <v>Y106G6A.4</v>
      </c>
      <c r="F17167" t="s">
        <v>11</v>
      </c>
      <c r="H17167" s="12">
        <v>-1.2481208440424401</v>
      </c>
      <c r="I17167" s="20">
        <v>-0.368428496153754</v>
      </c>
      <c r="J17167" s="28">
        <v>0.71255375263639198</v>
      </c>
      <c r="K17167" s="29">
        <v>0.98289565623980701</v>
      </c>
    </row>
    <row r="17168" spans="1:11" x14ac:dyDescent="0.35">
      <c r="A17168" s="9" t="str">
        <f>HYPERLINK("http://www.ensembl.org/id/WBGene00013698", "WBGene00013698")</f>
        <v>WBGene00013698</v>
      </c>
      <c r="B17168" s="9" t="str">
        <f>HYPERLINK("http://www.ncbi.nlm.nih.gov/gene/190915", "190915")</f>
        <v>190915</v>
      </c>
      <c r="C17168" s="9"/>
      <c r="D17168" t="str">
        <f>"Y106G6D.1"</f>
        <v>Y106G6D.1</v>
      </c>
      <c r="F17168" t="s">
        <v>11</v>
      </c>
      <c r="H17168" s="12">
        <v>-1.3689607575995599</v>
      </c>
      <c r="I17168" s="20">
        <v>-0.71121392056658606</v>
      </c>
      <c r="J17168" s="28">
        <v>0.476951683561401</v>
      </c>
      <c r="K17168" s="29">
        <v>0.98289565623980701</v>
      </c>
    </row>
    <row r="17169" spans="1:11" x14ac:dyDescent="0.35">
      <c r="A17169" s="9" t="str">
        <f>HYPERLINK("http://www.ensembl.org/id/WBGene00013699", "WBGene00013699")</f>
        <v>WBGene00013699</v>
      </c>
      <c r="B17169" s="9" t="str">
        <f>HYPERLINK("http://www.ncbi.nlm.nih.gov/gene/172875", "172875")</f>
        <v>172875</v>
      </c>
      <c r="C17169" s="9"/>
      <c r="D17169" t="str">
        <f>"Y106G6D.2"</f>
        <v>Y106G6D.2</v>
      </c>
      <c r="F17169" t="s">
        <v>11</v>
      </c>
      <c r="H17169" s="12">
        <v>-1.5179838778599599</v>
      </c>
      <c r="I17169" s="20">
        <v>-0.93543476473731302</v>
      </c>
      <c r="J17169" s="28">
        <v>0.34956428780739901</v>
      </c>
      <c r="K17169" s="29">
        <v>0.98289565623980701</v>
      </c>
    </row>
    <row r="17170" spans="1:11" x14ac:dyDescent="0.35">
      <c r="A17170" s="9" t="str">
        <f>HYPERLINK("http://www.ensembl.org/id/WBGene00013700", "WBGene00013700")</f>
        <v>WBGene00013700</v>
      </c>
      <c r="B17170" s="9" t="str">
        <f>HYPERLINK("http://www.ncbi.nlm.nih.gov/gene/190916", "190916")</f>
        <v>190916</v>
      </c>
      <c r="C17170" s="9"/>
      <c r="D17170" t="str">
        <f>"Y106G6D.3"</f>
        <v>Y106G6D.3</v>
      </c>
      <c r="F17170" t="s">
        <v>11</v>
      </c>
      <c r="H17170" s="12">
        <v>2.1164921058180601</v>
      </c>
      <c r="I17170" s="20">
        <v>1.1339928837851301</v>
      </c>
      <c r="J17170" s="28">
        <v>0.25679753304015601</v>
      </c>
      <c r="K17170" s="29">
        <v>0.98289565623980701</v>
      </c>
    </row>
    <row r="17171" spans="1:11" x14ac:dyDescent="0.35">
      <c r="A17171" s="9" t="str">
        <f>HYPERLINK("http://www.ensembl.org/id/WBGene00014965", "WBGene00014965")</f>
        <v>WBGene00014965</v>
      </c>
      <c r="B17171" s="9" t="str">
        <f>HYPERLINK("http://www.ncbi.nlm.nih.gov/gene/13181740", "13181740")</f>
        <v>13181740</v>
      </c>
      <c r="C17171" s="9"/>
      <c r="D17171" t="str">
        <f>"Y106G6D.5"</f>
        <v>Y106G6D.5</v>
      </c>
      <c r="F17171" t="s">
        <v>11</v>
      </c>
      <c r="G17171" t="s">
        <v>5360</v>
      </c>
      <c r="H17171" s="12">
        <v>1.1834630719449699</v>
      </c>
      <c r="I17171" s="20">
        <v>0.73711973141285303</v>
      </c>
      <c r="J17171" s="28">
        <v>0.46104954098766199</v>
      </c>
      <c r="K17171" s="29">
        <v>0.98289565623980701</v>
      </c>
    </row>
    <row r="17172" spans="1:11" x14ac:dyDescent="0.35">
      <c r="A17172" s="9" t="str">
        <f>HYPERLINK("http://www.ensembl.org/id/WBGene00013702", "WBGene00013702")</f>
        <v>WBGene00013702</v>
      </c>
      <c r="B17172" s="9" t="str">
        <f>HYPERLINK("http://www.ncbi.nlm.nih.gov/gene/190917", "190917")</f>
        <v>190917</v>
      </c>
      <c r="C17172" s="9"/>
      <c r="D17172" t="str">
        <f>"Y106G6D.6"</f>
        <v>Y106G6D.6</v>
      </c>
      <c r="F17172" t="s">
        <v>11</v>
      </c>
      <c r="H17172" s="12">
        <v>-1.16611856705678</v>
      </c>
      <c r="I17172" s="20">
        <v>-0.50895406240527896</v>
      </c>
      <c r="J17172" s="28">
        <v>0.610784424025271</v>
      </c>
      <c r="K17172" s="29">
        <v>0.98289565623980701</v>
      </c>
    </row>
    <row r="17173" spans="1:11" x14ac:dyDescent="0.35">
      <c r="A17173" s="9" t="str">
        <f>HYPERLINK("http://www.ensembl.org/id/WBGene00013708", "WBGene00013708")</f>
        <v>WBGene00013708</v>
      </c>
      <c r="B17173" s="9" t="str">
        <f>HYPERLINK("http://www.ncbi.nlm.nih.gov/gene/190922", "190922")</f>
        <v>190922</v>
      </c>
      <c r="C17173" s="9" t="str">
        <f>HYPERLINK("http://www.ncbi.nlm.nih.gov/gene/10588", "10588")</f>
        <v>10588</v>
      </c>
      <c r="D17173" t="str">
        <f>"Y106G6E.4"</f>
        <v>Y106G6E.4</v>
      </c>
      <c r="E17173" t="s">
        <v>8220</v>
      </c>
      <c r="F17173" t="s">
        <v>11</v>
      </c>
      <c r="G17173" t="s">
        <v>8221</v>
      </c>
      <c r="H17173" s="12">
        <v>-1.166526171249</v>
      </c>
      <c r="I17173" s="20">
        <v>-0.73170746669722797</v>
      </c>
      <c r="J17173" s="28">
        <v>0.46434713804809402</v>
      </c>
      <c r="K17173" s="29">
        <v>0.98289565623980701</v>
      </c>
    </row>
    <row r="17174" spans="1:11" x14ac:dyDescent="0.35">
      <c r="A17174" s="9" t="str">
        <f>HYPERLINK("http://www.ensembl.org/id/WBGene00013723", "WBGene00013723")</f>
        <v>WBGene00013723</v>
      </c>
      <c r="B17174" s="9" t="str">
        <f>HYPERLINK("http://www.ncbi.nlm.nih.gov/gene/190929", "190929")</f>
        <v>190929</v>
      </c>
      <c r="C17174" s="9"/>
      <c r="D17174" t="str">
        <f>"Y106G6H.13"</f>
        <v>Y106G6H.13</v>
      </c>
      <c r="F17174" t="s">
        <v>11</v>
      </c>
      <c r="H17174" s="12">
        <v>-1.25158628295388</v>
      </c>
      <c r="I17174" s="20">
        <v>-0.34179462334292798</v>
      </c>
      <c r="J17174" s="28">
        <v>0.73250545612803597</v>
      </c>
      <c r="K17174" s="29">
        <v>0.98289565623980701</v>
      </c>
    </row>
    <row r="17175" spans="1:11" x14ac:dyDescent="0.35">
      <c r="A17175" s="9" t="str">
        <f>HYPERLINK("http://www.ensembl.org/id/WBGene00013724", "WBGene00013724")</f>
        <v>WBGene00013724</v>
      </c>
      <c r="B17175" s="9" t="str">
        <f>HYPERLINK("http://www.ncbi.nlm.nih.gov/gene/172926", "172926")</f>
        <v>172926</v>
      </c>
      <c r="C17175" s="9" t="str">
        <f>HYPERLINK("http://www.ncbi.nlm.nih.gov/gene/26578", "26578")</f>
        <v>26578</v>
      </c>
      <c r="D17175" t="str">
        <f>"Y106G6H.14"</f>
        <v>Y106G6H.14</v>
      </c>
      <c r="F17175" t="s">
        <v>11</v>
      </c>
      <c r="G17175" t="s">
        <v>5990</v>
      </c>
      <c r="H17175" s="12">
        <v>-1.28134716535136</v>
      </c>
      <c r="I17175" s="20">
        <v>-1.1183252282610701</v>
      </c>
      <c r="J17175" s="28">
        <v>0.26342811588569298</v>
      </c>
      <c r="K17175" s="29">
        <v>0.98289565623980701</v>
      </c>
    </row>
    <row r="17176" spans="1:11" x14ac:dyDescent="0.35">
      <c r="A17176" s="9" t="str">
        <f>HYPERLINK("http://www.ensembl.org/id/WBGene00013726", "WBGene00013726")</f>
        <v>WBGene00013726</v>
      </c>
      <c r="B17176" s="9" t="str">
        <f>HYPERLINK("http://www.ncbi.nlm.nih.gov/gene/172927", "172927")</f>
        <v>172927</v>
      </c>
      <c r="C17176" s="9"/>
      <c r="D17176" t="str">
        <f>"Y106G6H.16"</f>
        <v>Y106G6H.16</v>
      </c>
      <c r="F17176" t="s">
        <v>11</v>
      </c>
      <c r="G17176" t="s">
        <v>25</v>
      </c>
      <c r="H17176" s="12">
        <v>-1.42363878451452</v>
      </c>
      <c r="I17176" s="20">
        <v>-1.0576640148276999</v>
      </c>
      <c r="J17176" s="28">
        <v>0.29020864656140799</v>
      </c>
      <c r="K17176" s="29">
        <v>0.98289565623980701</v>
      </c>
    </row>
    <row r="17177" spans="1:11" x14ac:dyDescent="0.35">
      <c r="A17177" s="9" t="str">
        <f>HYPERLINK("http://www.ensembl.org/id/WBGene00013720", "WBGene00013720")</f>
        <v>WBGene00013720</v>
      </c>
      <c r="B17177" s="9" t="str">
        <f>HYPERLINK("http://www.ncbi.nlm.nih.gov/gene/190926", "190926")</f>
        <v>190926</v>
      </c>
      <c r="C17177" s="9"/>
      <c r="D17177" t="str">
        <f>"Y106G6H.8"</f>
        <v>Y106G6H.8</v>
      </c>
      <c r="F17177" t="s">
        <v>11</v>
      </c>
      <c r="G17177" t="s">
        <v>25</v>
      </c>
      <c r="H17177" s="12">
        <v>-1.2662655841703401</v>
      </c>
      <c r="I17177" s="20">
        <v>-1.01261359629672</v>
      </c>
      <c r="J17177" s="28">
        <v>0.31124476299780302</v>
      </c>
      <c r="K17177" s="29">
        <v>0.98289565623980701</v>
      </c>
    </row>
    <row r="17178" spans="1:11" x14ac:dyDescent="0.35">
      <c r="A17178" s="9" t="str">
        <f>HYPERLINK("http://www.ensembl.org/id/WBGene00022433", "WBGene00022433")</f>
        <v>WBGene00022433</v>
      </c>
      <c r="B17178" s="9" t="str">
        <f>HYPERLINK("http://www.ncbi.nlm.nih.gov/gene/353490", "353490")</f>
        <v>353490</v>
      </c>
      <c r="C17178" s="9"/>
      <c r="D17178" t="str">
        <f>"Y108F1.5"</f>
        <v>Y108F1.5</v>
      </c>
      <c r="F17178" t="s">
        <v>11</v>
      </c>
      <c r="G17178" t="s">
        <v>10053</v>
      </c>
      <c r="H17178" s="12">
        <v>-2.4295389261469</v>
      </c>
      <c r="I17178" s="20">
        <v>-0.25808529976640998</v>
      </c>
      <c r="J17178" s="28">
        <v>0.79634107645457397</v>
      </c>
      <c r="K17178" s="29">
        <v>0.98289565623980701</v>
      </c>
    </row>
    <row r="17179" spans="1:11" x14ac:dyDescent="0.35">
      <c r="A17179" s="9" t="str">
        <f>HYPERLINK("http://www.ensembl.org/id/WBGene00022434", "WBGene00022434")</f>
        <v>WBGene00022434</v>
      </c>
      <c r="B17179" s="9" t="str">
        <f>HYPERLINK("http://www.ncbi.nlm.nih.gov/gene/178546", "178546")</f>
        <v>178546</v>
      </c>
      <c r="C17179" s="9"/>
      <c r="D17179" t="str">
        <f>"Y108G3AL.2"</f>
        <v>Y108G3AL.2</v>
      </c>
      <c r="F17179" t="s">
        <v>11</v>
      </c>
      <c r="G17179" t="s">
        <v>7710</v>
      </c>
      <c r="H17179" s="12">
        <v>-1.14076024977663</v>
      </c>
      <c r="I17179" s="20">
        <v>-0.58880993639419399</v>
      </c>
      <c r="J17179" s="28">
        <v>0.55598877954209702</v>
      </c>
      <c r="K17179" s="29">
        <v>0.98289565623980701</v>
      </c>
    </row>
    <row r="17180" spans="1:11" x14ac:dyDescent="0.35">
      <c r="A17180" s="9" t="str">
        <f>HYPERLINK("http://www.ensembl.org/id/WBGene00012423", "WBGene00012423")</f>
        <v>WBGene00012423</v>
      </c>
      <c r="B17180" s="9" t="str">
        <f>HYPERLINK("http://www.ncbi.nlm.nih.gov/gene/178457", "178457")</f>
        <v>178457</v>
      </c>
      <c r="C17180" s="9" t="str">
        <f>HYPERLINK("http://www.ncbi.nlm.nih.gov/gene/51251", "51251")</f>
        <v>51251</v>
      </c>
      <c r="D17180" t="str">
        <f>"Y10G11A.1"</f>
        <v>Y10G11A.1</v>
      </c>
      <c r="E17180" t="s">
        <v>7422</v>
      </c>
      <c r="F17180" t="s">
        <v>11</v>
      </c>
      <c r="G17180" t="s">
        <v>7423</v>
      </c>
      <c r="H17180" s="12">
        <v>-1.1246683968434401</v>
      </c>
      <c r="I17180" s="20">
        <v>-0.61284539115210901</v>
      </c>
      <c r="J17180" s="28">
        <v>0.539978574293425</v>
      </c>
      <c r="K17180" s="29">
        <v>0.98289565623980701</v>
      </c>
    </row>
    <row r="17181" spans="1:11" x14ac:dyDescent="0.35">
      <c r="A17181" s="9" t="str">
        <f>HYPERLINK("http://www.ensembl.org/id/WBGene00220129", "WBGene00220129")</f>
        <v>WBGene00220129</v>
      </c>
      <c r="B17181" s="9"/>
      <c r="C17181" s="9"/>
      <c r="D17181" t="str">
        <f>"Y10G11A.91"</f>
        <v>Y10G11A.91</v>
      </c>
      <c r="F17181" t="s">
        <v>481</v>
      </c>
      <c r="H17181" s="12">
        <v>2.9176090629688498</v>
      </c>
      <c r="I17181" s="20">
        <v>0.47162363959613601</v>
      </c>
      <c r="J17181" s="28">
        <v>0.63719545020447599</v>
      </c>
      <c r="K17181" s="29">
        <v>0.98289565623980701</v>
      </c>
    </row>
    <row r="17182" spans="1:11" x14ac:dyDescent="0.35">
      <c r="A17182" s="9" t="str">
        <f>HYPERLINK("http://www.ensembl.org/id/WBGene00220130", "WBGene00220130")</f>
        <v>WBGene00220130</v>
      </c>
      <c r="B17182" s="9"/>
      <c r="C17182" s="9"/>
      <c r="D17182" t="str">
        <f>"Y10G11A.92"</f>
        <v>Y10G11A.92</v>
      </c>
      <c r="F17182" t="s">
        <v>481</v>
      </c>
      <c r="H17182" s="12">
        <v>-2.4991590031922399</v>
      </c>
      <c r="I17182" s="20">
        <v>-0.26577412737581302</v>
      </c>
      <c r="J17182" s="28">
        <v>0.79041317015736101</v>
      </c>
      <c r="K17182" s="29">
        <v>0.98289565623980701</v>
      </c>
    </row>
    <row r="17183" spans="1:11" x14ac:dyDescent="0.35">
      <c r="A17183" s="9" t="str">
        <f>HYPERLINK("http://www.ensembl.org/id/WBGene00022446", "WBGene00022446")</f>
        <v>WBGene00022446</v>
      </c>
      <c r="B17183" s="9" t="str">
        <f>HYPERLINK("http://www.ncbi.nlm.nih.gov/gene/190939", "190939")</f>
        <v>190939</v>
      </c>
      <c r="C17183" s="9"/>
      <c r="D17183" t="str">
        <f>"Y110A2AL.10"</f>
        <v>Y110A2AL.10</v>
      </c>
      <c r="F17183" t="s">
        <v>11</v>
      </c>
      <c r="H17183" s="12">
        <v>-8.1035585572405697</v>
      </c>
      <c r="I17183" s="20">
        <v>-1.10130741974511</v>
      </c>
      <c r="J17183" s="28">
        <v>0.27076288300635998</v>
      </c>
      <c r="K17183" s="29">
        <v>0.98289565623980701</v>
      </c>
    </row>
    <row r="17184" spans="1:11" x14ac:dyDescent="0.35">
      <c r="A17184" s="9" t="str">
        <f>HYPERLINK("http://www.ensembl.org/id/WBGene00200083", "WBGene00200083")</f>
        <v>WBGene00200083</v>
      </c>
      <c r="B17184" s="9"/>
      <c r="C17184" s="9"/>
      <c r="D17184" t="str">
        <f>"Y110A2AL.19"</f>
        <v>Y110A2AL.19</v>
      </c>
      <c r="F17184" t="s">
        <v>481</v>
      </c>
      <c r="H17184" s="12">
        <v>3.5227018545059199</v>
      </c>
      <c r="I17184" s="20">
        <v>0.36849691206929103</v>
      </c>
      <c r="J17184" s="28">
        <v>0.71250274722433404</v>
      </c>
      <c r="K17184" s="29">
        <v>0.98289565623980701</v>
      </c>
    </row>
    <row r="17185" spans="1:11" x14ac:dyDescent="0.35">
      <c r="A17185" s="9" t="str">
        <f>HYPERLINK("http://www.ensembl.org/id/WBGene00022439", "WBGene00022439")</f>
        <v>WBGene00022439</v>
      </c>
      <c r="B17185" s="9" t="str">
        <f>HYPERLINK("http://www.ncbi.nlm.nih.gov/gene/190935", "190935")</f>
        <v>190935</v>
      </c>
      <c r="C17185" s="9"/>
      <c r="D17185" t="str">
        <f>"Y110A2AL.2"</f>
        <v>Y110A2AL.2</v>
      </c>
      <c r="F17185" t="s">
        <v>11</v>
      </c>
      <c r="H17185" s="12">
        <v>1.1621531363869499</v>
      </c>
      <c r="I17185" s="20">
        <v>0.33308097946520998</v>
      </c>
      <c r="J17185" s="28">
        <v>0.73907315660717599</v>
      </c>
      <c r="K17185" s="29">
        <v>0.98289565623980701</v>
      </c>
    </row>
    <row r="17186" spans="1:11" x14ac:dyDescent="0.35">
      <c r="A17186" s="9" t="str">
        <f>HYPERLINK("http://www.ensembl.org/id/WBGene00022440", "WBGene00022440")</f>
        <v>WBGene00022440</v>
      </c>
      <c r="B17186" s="9" t="str">
        <f>HYPERLINK("http://www.ncbi.nlm.nih.gov/gene/173633", "173633")</f>
        <v>173633</v>
      </c>
      <c r="C17186" s="9"/>
      <c r="D17186" t="str">
        <f>"Y110A2AL.3"</f>
        <v>Y110A2AL.3</v>
      </c>
      <c r="F17186" t="s">
        <v>11</v>
      </c>
      <c r="H17186" s="12">
        <v>-1.1784012139947599</v>
      </c>
      <c r="I17186" s="20">
        <v>-0.67471903456014803</v>
      </c>
      <c r="J17186" s="28">
        <v>0.49985428886991101</v>
      </c>
      <c r="K17186" s="29">
        <v>0.98289565623980701</v>
      </c>
    </row>
    <row r="17187" spans="1:11" x14ac:dyDescent="0.35">
      <c r="A17187" s="9" t="str">
        <f>HYPERLINK("http://www.ensembl.org/id/WBGene00022445", "WBGene00022445")</f>
        <v>WBGene00022445</v>
      </c>
      <c r="B17187" s="9" t="str">
        <f>HYPERLINK("http://www.ncbi.nlm.nih.gov/gene/173632", "173632")</f>
        <v>173632</v>
      </c>
      <c r="C17187" s="9"/>
      <c r="D17187" t="str">
        <f>"Y110A2AL.9"</f>
        <v>Y110A2AL.9</v>
      </c>
      <c r="F17187" t="s">
        <v>11</v>
      </c>
      <c r="H17187" s="12">
        <v>-1.13112993060167</v>
      </c>
      <c r="I17187" s="20">
        <v>-0.51352000240903395</v>
      </c>
      <c r="J17187" s="28">
        <v>0.60758762257761001</v>
      </c>
      <c r="K17187" s="29">
        <v>0.98289565623980701</v>
      </c>
    </row>
    <row r="17188" spans="1:11" x14ac:dyDescent="0.35">
      <c r="A17188" s="9" t="str">
        <f>HYPERLINK("http://www.ensembl.org/id/WBGene00023203", "WBGene00023203")</f>
        <v>WBGene00023203</v>
      </c>
      <c r="B17188" s="9"/>
      <c r="C17188" s="9"/>
      <c r="D17188" t="str">
        <f>"Y110A2AL.t1"</f>
        <v>Y110A2AL.t1</v>
      </c>
      <c r="F17188" t="s">
        <v>4208</v>
      </c>
      <c r="H17188" s="12">
        <v>-3.7261494131482999</v>
      </c>
      <c r="I17188" s="20">
        <v>-0.38454673129429601</v>
      </c>
      <c r="J17188" s="28">
        <v>0.70057326682554</v>
      </c>
      <c r="K17188" s="29">
        <v>0.98289565623980701</v>
      </c>
    </row>
    <row r="17189" spans="1:11" x14ac:dyDescent="0.35">
      <c r="A17189" s="9" t="str">
        <f>HYPERLINK("http://www.ensembl.org/id/WBGene00045212", "WBGene00045212")</f>
        <v>WBGene00045212</v>
      </c>
      <c r="B17189" s="9" t="str">
        <f>HYPERLINK("http://www.ncbi.nlm.nih.gov/gene/4927052", "4927052")</f>
        <v>4927052</v>
      </c>
      <c r="C17189" s="9"/>
      <c r="D17189" t="str">
        <f>"Y110A7A.21"</f>
        <v>Y110A7A.21</v>
      </c>
      <c r="F17189" t="s">
        <v>11</v>
      </c>
      <c r="G17189" t="s">
        <v>25</v>
      </c>
      <c r="H17189" s="12">
        <v>-1.21401439794386</v>
      </c>
      <c r="I17189" s="20">
        <v>-0.73220440668690701</v>
      </c>
      <c r="J17189" s="28">
        <v>0.46404381507074799</v>
      </c>
      <c r="K17189" s="29">
        <v>0.98289565623980701</v>
      </c>
    </row>
    <row r="17190" spans="1:11" x14ac:dyDescent="0.35">
      <c r="A17190" s="9" t="str">
        <f>HYPERLINK("http://www.ensembl.org/id/WBGene00201165", "WBGene00201165")</f>
        <v>WBGene00201165</v>
      </c>
      <c r="B17190" s="9"/>
      <c r="C17190" s="9"/>
      <c r="D17190" t="str">
        <f>"Y110A7A.23"</f>
        <v>Y110A7A.23</v>
      </c>
      <c r="F17190" t="s">
        <v>481</v>
      </c>
      <c r="H17190" s="12">
        <v>-2.4295389261469</v>
      </c>
      <c r="I17190" s="20">
        <v>-0.25808529976640998</v>
      </c>
      <c r="J17190" s="28">
        <v>0.79634107645457397</v>
      </c>
      <c r="K17190" s="29">
        <v>0.98289565623980701</v>
      </c>
    </row>
    <row r="17191" spans="1:11" x14ac:dyDescent="0.35">
      <c r="A17191" s="9" t="str">
        <f>HYPERLINK("http://www.ensembl.org/id/WBGene00271632", "WBGene00271632")</f>
        <v>WBGene00271632</v>
      </c>
      <c r="B17191" s="9"/>
      <c r="C17191" s="9"/>
      <c r="D17191" t="str">
        <f>"Y110A7A.24"</f>
        <v>Y110A7A.24</v>
      </c>
      <c r="F17191" t="s">
        <v>481</v>
      </c>
      <c r="H17191" s="12">
        <v>1.4263353479399401</v>
      </c>
      <c r="I17191" s="20">
        <v>0.44825105446505897</v>
      </c>
      <c r="J17191" s="28">
        <v>0.65397202035786195</v>
      </c>
      <c r="K17191" s="29">
        <v>0.98289565623980701</v>
      </c>
    </row>
    <row r="17192" spans="1:11" x14ac:dyDescent="0.35">
      <c r="A17192" s="9" t="str">
        <f>HYPERLINK("http://www.ensembl.org/id/WBGene00022459", "WBGene00022459")</f>
        <v>WBGene00022459</v>
      </c>
      <c r="B17192" s="9" t="str">
        <f>HYPERLINK("http://www.ncbi.nlm.nih.gov/gene/172144", "172144")</f>
        <v>172144</v>
      </c>
      <c r="C17192" s="9" t="str">
        <f>HYPERLINK("http://www.ncbi.nlm.nih.gov/gene/55717", "55717")</f>
        <v>55717</v>
      </c>
      <c r="D17192" t="str">
        <f>"Y110A7A.9"</f>
        <v>Y110A7A.9</v>
      </c>
      <c r="F17192" t="s">
        <v>11</v>
      </c>
      <c r="G17192" t="s">
        <v>3526</v>
      </c>
      <c r="H17192" s="12">
        <v>-1.06015961781066</v>
      </c>
      <c r="I17192" s="20">
        <v>-0.30485343520341801</v>
      </c>
      <c r="J17192" s="28">
        <v>0.76047778190576099</v>
      </c>
      <c r="K17192" s="29">
        <v>0.98289565623980701</v>
      </c>
    </row>
    <row r="17193" spans="1:11" x14ac:dyDescent="0.35">
      <c r="A17193" s="9" t="str">
        <f>HYPERLINK("http://www.ensembl.org/id/WBGene00013735", "WBGene00013735")</f>
        <v>WBGene00013735</v>
      </c>
      <c r="B17193" s="9" t="str">
        <f>HYPERLINK("http://www.ncbi.nlm.nih.gov/gene/176680", "176680")</f>
        <v>176680</v>
      </c>
      <c r="C17193" s="9" t="str">
        <f>HYPERLINK("http://www.ncbi.nlm.nih.gov/gene/14", "14")</f>
        <v>14</v>
      </c>
      <c r="D17193" t="str">
        <f>"Y111B2A.12"</f>
        <v>Y111B2A.12</v>
      </c>
      <c r="F17193" t="s">
        <v>11</v>
      </c>
      <c r="G17193" t="s">
        <v>54</v>
      </c>
      <c r="H17193" s="12">
        <v>-1.05255367804386</v>
      </c>
      <c r="I17193" s="20">
        <v>-0.26419209513445602</v>
      </c>
      <c r="J17193" s="28">
        <v>0.79163190191488297</v>
      </c>
      <c r="K17193" s="29">
        <v>0.98289565623980701</v>
      </c>
    </row>
    <row r="17194" spans="1:11" x14ac:dyDescent="0.35">
      <c r="A17194" s="9" t="str">
        <f>HYPERLINK("http://www.ensembl.org/id/WBGene00013741", "WBGene00013741")</f>
        <v>WBGene00013741</v>
      </c>
      <c r="B17194" s="9" t="str">
        <f>HYPERLINK("http://www.ncbi.nlm.nih.gov/gene/190953", "190953")</f>
        <v>190953</v>
      </c>
      <c r="C17194" s="9"/>
      <c r="D17194" t="str">
        <f>"Y111B2A.21"</f>
        <v>Y111B2A.21</v>
      </c>
      <c r="F17194" t="s">
        <v>11</v>
      </c>
      <c r="H17194" s="12">
        <v>1.22957996311242</v>
      </c>
      <c r="I17194" s="20">
        <v>0.29558384918358899</v>
      </c>
      <c r="J17194" s="28">
        <v>0.76754790926509497</v>
      </c>
      <c r="K17194" s="29">
        <v>0.98289565623980701</v>
      </c>
    </row>
    <row r="17195" spans="1:11" x14ac:dyDescent="0.35">
      <c r="A17195" s="9" t="str">
        <f>HYPERLINK("http://www.ensembl.org/id/WBGene00013744", "WBGene00013744")</f>
        <v>WBGene00013744</v>
      </c>
      <c r="B17195" s="9" t="str">
        <f>HYPERLINK("http://www.ncbi.nlm.nih.gov/gene/3565325", "3565325")</f>
        <v>3565325</v>
      </c>
      <c r="C17195" s="9"/>
      <c r="D17195" t="str">
        <f>"Y111B2A.27"</f>
        <v>Y111B2A.27</v>
      </c>
      <c r="F17195" t="s">
        <v>11</v>
      </c>
      <c r="H17195" s="12">
        <v>-3.6110643734838299</v>
      </c>
      <c r="I17195" s="20">
        <v>-0.57237894541144496</v>
      </c>
      <c r="J17195" s="28">
        <v>0.56706527662435902</v>
      </c>
      <c r="K17195" s="29">
        <v>0.98289565623980701</v>
      </c>
    </row>
    <row r="17196" spans="1:11" x14ac:dyDescent="0.35">
      <c r="A17196" s="9" t="str">
        <f>HYPERLINK("http://www.ensembl.org/id/WBGene00194854", "WBGene00194854")</f>
        <v>WBGene00194854</v>
      </c>
      <c r="B17196" s="9"/>
      <c r="C17196" s="9"/>
      <c r="D17196" t="str">
        <f>"Y111B2A.30"</f>
        <v>Y111B2A.30</v>
      </c>
      <c r="F17196" t="s">
        <v>2735</v>
      </c>
      <c r="H17196" s="12">
        <v>2.3893468495514898</v>
      </c>
      <c r="I17196" s="20">
        <v>0.25323547253672701</v>
      </c>
      <c r="J17196" s="28">
        <v>0.80008625651646104</v>
      </c>
      <c r="K17196" s="29">
        <v>0.98289565623980701</v>
      </c>
    </row>
    <row r="17197" spans="1:11" x14ac:dyDescent="0.35">
      <c r="A17197" s="9" t="str">
        <f>HYPERLINK("http://www.ensembl.org/id/WBGene00195422", "WBGene00195422")</f>
        <v>WBGene00195422</v>
      </c>
      <c r="B17197" s="9"/>
      <c r="C17197" s="9"/>
      <c r="D17197" t="str">
        <f>"Y111B2A.31"</f>
        <v>Y111B2A.31</v>
      </c>
      <c r="F17197" t="s">
        <v>481</v>
      </c>
      <c r="H17197" s="12">
        <v>-2.4991590031922399</v>
      </c>
      <c r="I17197" s="20">
        <v>-0.26577412737581302</v>
      </c>
      <c r="J17197" s="28">
        <v>0.79041317015736101</v>
      </c>
      <c r="K17197" s="29">
        <v>0.98289565623980701</v>
      </c>
    </row>
    <row r="17198" spans="1:11" x14ac:dyDescent="0.35">
      <c r="A17198" s="9" t="str">
        <f>HYPERLINK("http://www.ensembl.org/id/WBGene00013751", "WBGene00013751")</f>
        <v>WBGene00013751</v>
      </c>
      <c r="B17198" s="9" t="str">
        <f>HYPERLINK("http://www.ncbi.nlm.nih.gov/gene/190962", "190962")</f>
        <v>190962</v>
      </c>
      <c r="C17198" s="9"/>
      <c r="D17198" t="str">
        <f>"Y113G7A.14"</f>
        <v>Y113G7A.14</v>
      </c>
      <c r="F17198" t="s">
        <v>11</v>
      </c>
      <c r="G17198" t="s">
        <v>25</v>
      </c>
      <c r="H17198" s="12">
        <v>1.35058663493583</v>
      </c>
      <c r="I17198" s="20">
        <v>0.450365407712845</v>
      </c>
      <c r="J17198" s="28">
        <v>0.652446983577327</v>
      </c>
      <c r="K17198" s="29">
        <v>0.98289565623980701</v>
      </c>
    </row>
    <row r="17199" spans="1:11" x14ac:dyDescent="0.35">
      <c r="A17199" s="9" t="str">
        <f>HYPERLINK("http://www.ensembl.org/id/WBGene00199542", "WBGene00199542")</f>
        <v>WBGene00199542</v>
      </c>
      <c r="B17199" s="9"/>
      <c r="C17199" s="9"/>
      <c r="D17199" t="str">
        <f>"Y113G7A.19"</f>
        <v>Y113G7A.19</v>
      </c>
      <c r="F17199" t="s">
        <v>481</v>
      </c>
      <c r="H17199" s="12">
        <v>2.3893468495514898</v>
      </c>
      <c r="I17199" s="20">
        <v>0.25323547253672701</v>
      </c>
      <c r="J17199" s="28">
        <v>0.80008625651646104</v>
      </c>
      <c r="K17199" s="29">
        <v>0.98289565623980701</v>
      </c>
    </row>
    <row r="17200" spans="1:11" x14ac:dyDescent="0.35">
      <c r="A17200" s="9" t="str">
        <f>HYPERLINK("http://www.ensembl.org/id/WBGene00206510", "WBGene00206510")</f>
        <v>WBGene00206510</v>
      </c>
      <c r="B17200" s="9" t="str">
        <f>HYPERLINK("http://www.ncbi.nlm.nih.gov/gene/13218727", "13218727")</f>
        <v>13218727</v>
      </c>
      <c r="C17200" s="9"/>
      <c r="D17200" t="str">
        <f>"Y113G7A.22"</f>
        <v>Y113G7A.22</v>
      </c>
      <c r="F17200" t="s">
        <v>11</v>
      </c>
      <c r="H17200" s="12">
        <v>2.3893468495514898</v>
      </c>
      <c r="I17200" s="20">
        <v>0.25323547253672701</v>
      </c>
      <c r="J17200" s="28">
        <v>0.80008625651646104</v>
      </c>
      <c r="K17200" s="29">
        <v>0.98289565623980701</v>
      </c>
    </row>
    <row r="17201" spans="1:11" x14ac:dyDescent="0.35">
      <c r="A17201" s="9" t="str">
        <f>HYPERLINK("http://www.ensembl.org/id/WBGene00013762", "WBGene00013762")</f>
        <v>WBGene00013762</v>
      </c>
      <c r="B17201" s="9" t="str">
        <f>HYPERLINK("http://www.ncbi.nlm.nih.gov/gene/190975", "190975")</f>
        <v>190975</v>
      </c>
      <c r="C17201" s="9"/>
      <c r="D17201" t="str">
        <f>"Y113G7B.12"</f>
        <v>Y113G7B.12</v>
      </c>
      <c r="F17201" t="s">
        <v>11</v>
      </c>
      <c r="H17201" s="12">
        <v>-1.69032858039675</v>
      </c>
      <c r="I17201" s="20">
        <v>-1.0096922945858999</v>
      </c>
      <c r="J17201" s="28">
        <v>0.31264273529014303</v>
      </c>
      <c r="K17201" s="29">
        <v>0.98289565623980701</v>
      </c>
    </row>
    <row r="17202" spans="1:11" x14ac:dyDescent="0.35">
      <c r="A17202" s="9" t="str">
        <f>HYPERLINK("http://www.ensembl.org/id/WBGene00013764", "WBGene00013764")</f>
        <v>WBGene00013764</v>
      </c>
      <c r="B17202" s="9" t="str">
        <f>HYPERLINK("http://www.ncbi.nlm.nih.gov/gene/190976", "190976")</f>
        <v>190976</v>
      </c>
      <c r="C17202" s="9"/>
      <c r="D17202" t="str">
        <f>"Y113G7B.15"</f>
        <v>Y113G7B.15</v>
      </c>
      <c r="F17202" t="s">
        <v>11</v>
      </c>
      <c r="G17202" t="s">
        <v>1296</v>
      </c>
      <c r="H17202" s="12">
        <v>1.94791668713449</v>
      </c>
      <c r="I17202" s="20">
        <v>0.478803969292037</v>
      </c>
      <c r="J17202" s="28">
        <v>0.63207809264092096</v>
      </c>
      <c r="K17202" s="29">
        <v>0.98289565623980701</v>
      </c>
    </row>
    <row r="17203" spans="1:11" x14ac:dyDescent="0.35">
      <c r="A17203" s="9" t="str">
        <f>HYPERLINK("http://www.ensembl.org/id/WBGene00013770", "WBGene00013770")</f>
        <v>WBGene00013770</v>
      </c>
      <c r="B17203" s="9"/>
      <c r="C17203" s="9"/>
      <c r="D17203" t="str">
        <f>"Y113G7B.26"</f>
        <v>Y113G7B.26</v>
      </c>
      <c r="F17203" t="s">
        <v>80</v>
      </c>
      <c r="H17203" s="12">
        <v>-2.2960567688296698</v>
      </c>
      <c r="I17203" s="20">
        <v>-0.56081363428661002</v>
      </c>
      <c r="J17203" s="28">
        <v>0.57492459107883698</v>
      </c>
      <c r="K17203" s="29">
        <v>0.98289565623980701</v>
      </c>
    </row>
    <row r="17204" spans="1:11" x14ac:dyDescent="0.35">
      <c r="A17204" s="9" t="str">
        <f>HYPERLINK("http://www.ensembl.org/id/WBGene00013771", "WBGene00013771")</f>
        <v>WBGene00013771</v>
      </c>
      <c r="B17204" s="9" t="str">
        <f>HYPERLINK("http://www.ncbi.nlm.nih.gov/gene/180332", "180332")</f>
        <v>180332</v>
      </c>
      <c r="C17204" s="9"/>
      <c r="D17204" t="str">
        <f>"Y113G7C.1"</f>
        <v>Y113G7C.1</v>
      </c>
      <c r="E17204" t="s">
        <v>4323</v>
      </c>
      <c r="F17204" t="s">
        <v>11</v>
      </c>
      <c r="G17204" t="s">
        <v>4317</v>
      </c>
      <c r="H17204" s="12">
        <v>1.6755825077875599</v>
      </c>
      <c r="I17204" s="20">
        <v>0.83220972706006202</v>
      </c>
      <c r="J17204" s="28">
        <v>0.40529057438260901</v>
      </c>
      <c r="K17204" s="29">
        <v>0.98289565623980701</v>
      </c>
    </row>
    <row r="17205" spans="1:11" x14ac:dyDescent="0.35">
      <c r="A17205" s="9" t="str">
        <f>HYPERLINK("http://www.ensembl.org/id/WBGene00014975", "WBGene00014975")</f>
        <v>WBGene00014975</v>
      </c>
      <c r="B17205" s="9"/>
      <c r="C17205" s="9"/>
      <c r="D17205" t="str">
        <f>"Y116A8A.10"</f>
        <v>Y116A8A.10</v>
      </c>
      <c r="F17205" t="s">
        <v>80</v>
      </c>
      <c r="H17205" s="12">
        <v>-1.2357883565115599</v>
      </c>
      <c r="I17205" s="20">
        <v>-0.31935724690439798</v>
      </c>
      <c r="J17205" s="28">
        <v>0.74945562671989396</v>
      </c>
      <c r="K17205" s="29">
        <v>0.98289565623980701</v>
      </c>
    </row>
    <row r="17206" spans="1:11" x14ac:dyDescent="0.35">
      <c r="A17206" s="9" t="str">
        <f>HYPERLINK("http://www.ensembl.org/id/WBGene00219241", "WBGene00219241")</f>
        <v>WBGene00219241</v>
      </c>
      <c r="B17206" s="9" t="str">
        <f>HYPERLINK("http://www.ncbi.nlm.nih.gov/gene/13210326", "13210326")</f>
        <v>13210326</v>
      </c>
      <c r="C17206" s="9"/>
      <c r="D17206" t="str">
        <f>"Y116A8A.150"</f>
        <v>Y116A8A.150</v>
      </c>
      <c r="F17206" t="s">
        <v>11</v>
      </c>
      <c r="H17206" s="12">
        <v>-2.79999116602293</v>
      </c>
      <c r="I17206" s="20">
        <v>-0.95718403556667397</v>
      </c>
      <c r="J17206" s="28">
        <v>0.338474373447819</v>
      </c>
      <c r="K17206" s="29">
        <v>0.98289565623980701</v>
      </c>
    </row>
    <row r="17207" spans="1:11" x14ac:dyDescent="0.35">
      <c r="A17207" s="9" t="str">
        <f>HYPERLINK("http://www.ensembl.org/id/WBGene00013775", "WBGene00013775")</f>
        <v>WBGene00013775</v>
      </c>
      <c r="B17207" s="9" t="str">
        <f>HYPERLINK("http://www.ncbi.nlm.nih.gov/gene/190985", "190985")</f>
        <v>190985</v>
      </c>
      <c r="C17207" s="9"/>
      <c r="D17207" t="str">
        <f>"Y116A8A.4"</f>
        <v>Y116A8A.4</v>
      </c>
      <c r="F17207" t="s">
        <v>11</v>
      </c>
      <c r="H17207" s="12">
        <v>-3.7261494131482999</v>
      </c>
      <c r="I17207" s="20">
        <v>-0.38454673129429601</v>
      </c>
      <c r="J17207" s="28">
        <v>0.70057326682554</v>
      </c>
      <c r="K17207" s="29">
        <v>0.98289565623980701</v>
      </c>
    </row>
    <row r="17208" spans="1:11" x14ac:dyDescent="0.35">
      <c r="A17208" s="9" t="str">
        <f>HYPERLINK("http://www.ensembl.org/id/WBGene00013776", "WBGene00013776")</f>
        <v>WBGene00013776</v>
      </c>
      <c r="B17208" s="9" t="str">
        <f>HYPERLINK("http://www.ncbi.nlm.nih.gov/gene/190986", "190986")</f>
        <v>190986</v>
      </c>
      <c r="C17208" s="9"/>
      <c r="D17208" t="str">
        <f>"Y116A8A.6"</f>
        <v>Y116A8A.6</v>
      </c>
      <c r="F17208" t="s">
        <v>11</v>
      </c>
      <c r="H17208" s="12">
        <v>1.2337435154074401</v>
      </c>
      <c r="I17208" s="20">
        <v>0.25728108691040502</v>
      </c>
      <c r="J17208" s="28">
        <v>0.79696179160922898</v>
      </c>
      <c r="K17208" s="29">
        <v>0.98289565623980701</v>
      </c>
    </row>
    <row r="17209" spans="1:11" x14ac:dyDescent="0.35">
      <c r="A17209" s="9" t="str">
        <f>HYPERLINK("http://www.ensembl.org/id/WBGene00013777", "WBGene00013777")</f>
        <v>WBGene00013777</v>
      </c>
      <c r="B17209" s="9" t="str">
        <f>HYPERLINK("http://www.ncbi.nlm.nih.gov/gene/190987", "190987")</f>
        <v>190987</v>
      </c>
      <c r="C17209" s="9"/>
      <c r="D17209" t="str">
        <f>"Y116A8A.7"</f>
        <v>Y116A8A.7</v>
      </c>
      <c r="E17209" t="s">
        <v>899</v>
      </c>
      <c r="F17209" t="s">
        <v>11</v>
      </c>
      <c r="G17209" t="s">
        <v>3403</v>
      </c>
      <c r="H17209" s="12">
        <v>-2.4295389261469</v>
      </c>
      <c r="I17209" s="20">
        <v>-0.25808529976640998</v>
      </c>
      <c r="J17209" s="28">
        <v>0.79634107645457397</v>
      </c>
      <c r="K17209" s="29">
        <v>0.98289565623980701</v>
      </c>
    </row>
    <row r="17210" spans="1:11" x14ac:dyDescent="0.35">
      <c r="A17210" s="9" t="str">
        <f>HYPERLINK("http://www.ensembl.org/id/WBGene00013781", "WBGene00013781")</f>
        <v>WBGene00013781</v>
      </c>
      <c r="B17210" s="9" t="str">
        <f>HYPERLINK("http://www.ncbi.nlm.nih.gov/gene/190989", "190989")</f>
        <v>190989</v>
      </c>
      <c r="C17210" s="9"/>
      <c r="D17210" t="str">
        <f>"Y116A8B.4"</f>
        <v>Y116A8B.4</v>
      </c>
      <c r="F17210" t="s">
        <v>11</v>
      </c>
      <c r="H17210" s="12">
        <v>1.3331139354635599</v>
      </c>
      <c r="I17210" s="20">
        <v>1.1389694320830499</v>
      </c>
      <c r="J17210" s="28">
        <v>0.25471590400962701</v>
      </c>
      <c r="K17210" s="29">
        <v>0.98289565623980701</v>
      </c>
    </row>
    <row r="17211" spans="1:11" x14ac:dyDescent="0.35">
      <c r="A17211" s="9" t="str">
        <f>HYPERLINK("http://www.ensembl.org/id/WBGene00201659", "WBGene00201659")</f>
        <v>WBGene00201659</v>
      </c>
      <c r="B17211" s="9"/>
      <c r="C17211" s="9"/>
      <c r="D17211" t="str">
        <f>"Y116A8B.97"</f>
        <v>Y116A8B.97</v>
      </c>
      <c r="F17211" t="s">
        <v>481</v>
      </c>
      <c r="H17211" s="12">
        <v>2.3893468495514898</v>
      </c>
      <c r="I17211" s="20">
        <v>0.25323547253672701</v>
      </c>
      <c r="J17211" s="28">
        <v>0.80008625651646104</v>
      </c>
      <c r="K17211" s="29">
        <v>0.98289565623980701</v>
      </c>
    </row>
    <row r="17212" spans="1:11" x14ac:dyDescent="0.35">
      <c r="A17212" s="9" t="str">
        <f>HYPERLINK("http://www.ensembl.org/id/WBGene00219490", "WBGene00219490")</f>
        <v>WBGene00219490</v>
      </c>
      <c r="B17212" s="9"/>
      <c r="C17212" s="9"/>
      <c r="D17212" t="str">
        <f>"Y116A8B.98"</f>
        <v>Y116A8B.98</v>
      </c>
      <c r="F17212" t="s">
        <v>481</v>
      </c>
      <c r="H17212" s="12">
        <v>4.1604021068056998</v>
      </c>
      <c r="I17212" s="20">
        <v>0.82248506523690801</v>
      </c>
      <c r="J17212" s="28">
        <v>0.41080088316607799</v>
      </c>
      <c r="K17212" s="29">
        <v>0.98289565623980701</v>
      </c>
    </row>
    <row r="17213" spans="1:11" x14ac:dyDescent="0.35">
      <c r="A17213" s="9" t="str">
        <f>HYPERLINK("http://www.ensembl.org/id/WBGene00013783", "WBGene00013783")</f>
        <v>WBGene00013783</v>
      </c>
      <c r="B17213" s="9"/>
      <c r="C17213" s="9"/>
      <c r="D17213" t="str">
        <f>"Y116A8C.1"</f>
        <v>Y116A8C.1</v>
      </c>
      <c r="F17213" t="s">
        <v>80</v>
      </c>
      <c r="H17213" s="12">
        <v>2.3893468495514898</v>
      </c>
      <c r="I17213" s="20">
        <v>0.25323547253672701</v>
      </c>
      <c r="J17213" s="28">
        <v>0.80008625651646104</v>
      </c>
      <c r="K17213" s="29">
        <v>0.98289565623980701</v>
      </c>
    </row>
    <row r="17214" spans="1:11" x14ac:dyDescent="0.35">
      <c r="A17214" s="9" t="str">
        <f>HYPERLINK("http://www.ensembl.org/id/WBGene00013790", "WBGene00013790")</f>
        <v>WBGene00013790</v>
      </c>
      <c r="B17214" s="9" t="str">
        <f>HYPERLINK("http://www.ncbi.nlm.nih.gov/gene/3565140", "3565140")</f>
        <v>3565140</v>
      </c>
      <c r="C17214" s="9" t="str">
        <f>HYPERLINK("http://www.ncbi.nlm.nih.gov/gene/285282", "285282")</f>
        <v>285282</v>
      </c>
      <c r="D17214" t="str">
        <f>"Y116A8C.10"</f>
        <v>Y116A8C.10</v>
      </c>
      <c r="F17214" t="s">
        <v>11</v>
      </c>
      <c r="G17214" t="s">
        <v>6370</v>
      </c>
      <c r="H17214" s="12">
        <v>-1.06532446222225</v>
      </c>
      <c r="I17214" s="20">
        <v>-0.29171633874085401</v>
      </c>
      <c r="J17214" s="28">
        <v>0.77050351581670595</v>
      </c>
      <c r="K17214" s="29">
        <v>0.98289565623980701</v>
      </c>
    </row>
    <row r="17215" spans="1:11" x14ac:dyDescent="0.35">
      <c r="A17215" s="9" t="str">
        <f>HYPERLINK("http://www.ensembl.org/id/WBGene00013791", "WBGene00013791")</f>
        <v>WBGene00013791</v>
      </c>
      <c r="B17215" s="9" t="str">
        <f>HYPERLINK("http://www.ncbi.nlm.nih.gov/gene/190998", "190998")</f>
        <v>190998</v>
      </c>
      <c r="C17215" s="9"/>
      <c r="D17215" t="str">
        <f>"Y116A8C.11"</f>
        <v>Y116A8C.11</v>
      </c>
      <c r="F17215" t="s">
        <v>11</v>
      </c>
      <c r="H17215" s="12">
        <v>-2.5472986004175202</v>
      </c>
      <c r="I17215" s="20">
        <v>-0.52470243422899898</v>
      </c>
      <c r="J17215" s="28">
        <v>0.59979006485710196</v>
      </c>
      <c r="K17215" s="29">
        <v>0.98289565623980701</v>
      </c>
    </row>
    <row r="17216" spans="1:11" x14ac:dyDescent="0.35">
      <c r="A17216" s="9" t="str">
        <f>HYPERLINK("http://www.ensembl.org/id/WBGene00013796", "WBGene00013796")</f>
        <v>WBGene00013796</v>
      </c>
      <c r="B17216" s="9" t="str">
        <f>HYPERLINK("http://www.ncbi.nlm.nih.gov/gene/178477", "178477")</f>
        <v>178477</v>
      </c>
      <c r="C17216" s="9"/>
      <c r="D17216" t="str">
        <f>"Y116A8C.19"</f>
        <v>Y116A8C.19</v>
      </c>
      <c r="F17216" t="s">
        <v>11</v>
      </c>
      <c r="G17216" t="s">
        <v>4675</v>
      </c>
      <c r="H17216" s="12">
        <v>-1.50381395419415</v>
      </c>
      <c r="I17216" s="20">
        <v>-0.76647113430607205</v>
      </c>
      <c r="J17216" s="28">
        <v>0.44339602098764602</v>
      </c>
      <c r="K17216" s="29">
        <v>0.98289565623980701</v>
      </c>
    </row>
    <row r="17217" spans="1:11" x14ac:dyDescent="0.35">
      <c r="A17217" s="9" t="str">
        <f>HYPERLINK("http://www.ensembl.org/id/WBGene00013797", "WBGene00013797")</f>
        <v>WBGene00013797</v>
      </c>
      <c r="B17217" s="9" t="str">
        <f>HYPERLINK("http://www.ncbi.nlm.nih.gov/gene/178478", "178478")</f>
        <v>178478</v>
      </c>
      <c r="C17217" s="9"/>
      <c r="D17217" t="str">
        <f>"Y116A8C.20"</f>
        <v>Y116A8C.20</v>
      </c>
      <c r="F17217" t="s">
        <v>11</v>
      </c>
      <c r="G17217" t="s">
        <v>4675</v>
      </c>
      <c r="H17217" s="12">
        <v>1.5089645525172299</v>
      </c>
      <c r="I17217" s="20">
        <v>0.69403310295994503</v>
      </c>
      <c r="J17217" s="28">
        <v>0.48766144946426798</v>
      </c>
      <c r="K17217" s="29">
        <v>0.98289565623980701</v>
      </c>
    </row>
    <row r="17218" spans="1:11" x14ac:dyDescent="0.35">
      <c r="A17218" s="9" t="str">
        <f>HYPERLINK("http://www.ensembl.org/id/WBGene00013800", "WBGene00013800")</f>
        <v>WBGene00013800</v>
      </c>
      <c r="B17218" s="9" t="str">
        <f>HYPERLINK("http://www.ncbi.nlm.nih.gov/gene/178480", "178480")</f>
        <v>178480</v>
      </c>
      <c r="C17218" s="9"/>
      <c r="D17218" t="str">
        <f>"Y116A8C.23"</f>
        <v>Y116A8C.23</v>
      </c>
      <c r="F17218" t="s">
        <v>11</v>
      </c>
      <c r="G17218" t="s">
        <v>25</v>
      </c>
      <c r="H17218" s="12">
        <v>3.72128552264012</v>
      </c>
      <c r="I17218" s="20">
        <v>0.66487714031624701</v>
      </c>
      <c r="J17218" s="28">
        <v>0.50612907800247298</v>
      </c>
      <c r="K17218" s="29">
        <v>0.98289565623980701</v>
      </c>
    </row>
    <row r="17219" spans="1:11" x14ac:dyDescent="0.35">
      <c r="A17219" s="9" t="str">
        <f>HYPERLINK("http://www.ensembl.org/id/WBGene00013804", "WBGene00013804")</f>
        <v>WBGene00013804</v>
      </c>
      <c r="B17219" s="9" t="str">
        <f>HYPERLINK("http://www.ncbi.nlm.nih.gov/gene/191004", "191004")</f>
        <v>191004</v>
      </c>
      <c r="C17219" s="9" t="str">
        <f>HYPERLINK("http://www.ncbi.nlm.nih.gov/gene/91647", "91647")</f>
        <v>91647</v>
      </c>
      <c r="D17219" t="str">
        <f>"Y116A8C.27"</f>
        <v>Y116A8C.27</v>
      </c>
      <c r="F17219" t="s">
        <v>11</v>
      </c>
      <c r="G17219" t="s">
        <v>8822</v>
      </c>
      <c r="H17219" s="12">
        <v>-1.19946349150805</v>
      </c>
      <c r="I17219" s="20">
        <v>-0.79904116853442098</v>
      </c>
      <c r="J17219" s="28">
        <v>0.42426654095245703</v>
      </c>
      <c r="K17219" s="29">
        <v>0.98289565623980701</v>
      </c>
    </row>
    <row r="17220" spans="1:11" x14ac:dyDescent="0.35">
      <c r="A17220" s="9" t="str">
        <f>HYPERLINK("http://www.ensembl.org/id/WBGene00013806", "WBGene00013806")</f>
        <v>WBGene00013806</v>
      </c>
      <c r="B17220" s="9" t="str">
        <f>HYPERLINK("http://www.ncbi.nlm.nih.gov/gene/191005", "191005")</f>
        <v>191005</v>
      </c>
      <c r="C17220" s="9"/>
      <c r="D17220" t="str">
        <f>"Y116A8C.29"</f>
        <v>Y116A8C.29</v>
      </c>
      <c r="F17220" t="s">
        <v>11</v>
      </c>
      <c r="G17220" t="s">
        <v>25</v>
      </c>
      <c r="H17220" s="12">
        <v>1.1570753768450599</v>
      </c>
      <c r="I17220" s="20">
        <v>0.637958078712481</v>
      </c>
      <c r="J17220" s="28">
        <v>0.52350096936410595</v>
      </c>
      <c r="K17220" s="29">
        <v>0.98289565623980701</v>
      </c>
    </row>
    <row r="17221" spans="1:11" x14ac:dyDescent="0.35">
      <c r="A17221" s="9" t="str">
        <f>HYPERLINK("http://www.ensembl.org/id/WBGene00013809", "WBGene00013809")</f>
        <v>WBGene00013809</v>
      </c>
      <c r="B17221" s="9" t="str">
        <f>HYPERLINK("http://www.ncbi.nlm.nih.gov/gene/178488", "178488")</f>
        <v>178488</v>
      </c>
      <c r="C17221" s="9"/>
      <c r="D17221" t="str">
        <f>"Y116A8C.33"</f>
        <v>Y116A8C.33</v>
      </c>
      <c r="F17221" t="s">
        <v>11</v>
      </c>
      <c r="H17221" s="12">
        <v>1.3449076877927899</v>
      </c>
      <c r="I17221" s="20">
        <v>0.42561489628952398</v>
      </c>
      <c r="J17221" s="28">
        <v>0.67038848393774497</v>
      </c>
      <c r="K17221" s="29">
        <v>0.98289565623980701</v>
      </c>
    </row>
    <row r="17222" spans="1:11" x14ac:dyDescent="0.35">
      <c r="A17222" s="9" t="str">
        <f>HYPERLINK("http://www.ensembl.org/id/WBGene00013810", "WBGene00013810")</f>
        <v>WBGene00013810</v>
      </c>
      <c r="B17222" s="9" t="str">
        <f>HYPERLINK("http://www.ncbi.nlm.nih.gov/gene/191006", "191006")</f>
        <v>191006</v>
      </c>
      <c r="C17222" s="9"/>
      <c r="D17222" t="str">
        <f>"Y116A8C.37"</f>
        <v>Y116A8C.37</v>
      </c>
      <c r="F17222" t="s">
        <v>11</v>
      </c>
      <c r="G17222" t="s">
        <v>4312</v>
      </c>
      <c r="H17222" s="12">
        <v>2.4578120077400301</v>
      </c>
      <c r="I17222" s="20">
        <v>0.26093350314551</v>
      </c>
      <c r="J17222" s="28">
        <v>0.79414378780213601</v>
      </c>
      <c r="K17222" s="29">
        <v>0.98289565623980701</v>
      </c>
    </row>
    <row r="17223" spans="1:11" x14ac:dyDescent="0.35">
      <c r="A17223" s="9" t="str">
        <f>HYPERLINK("http://www.ensembl.org/id/WBGene00013811", "WBGene00013811")</f>
        <v>WBGene00013811</v>
      </c>
      <c r="B17223" s="9" t="str">
        <f>HYPERLINK("http://www.ncbi.nlm.nih.gov/gene/178492", "178492")</f>
        <v>178492</v>
      </c>
      <c r="C17223" s="9"/>
      <c r="D17223" t="str">
        <f>"Y116A8C.38"</f>
        <v>Y116A8C.38</v>
      </c>
      <c r="E17223" t="s">
        <v>2588</v>
      </c>
      <c r="F17223" t="s">
        <v>11</v>
      </c>
      <c r="G17223" t="s">
        <v>2589</v>
      </c>
      <c r="H17223" s="12">
        <v>5.8559308670214598</v>
      </c>
      <c r="I17223" s="20">
        <v>0.778869933312622</v>
      </c>
      <c r="J17223" s="28">
        <v>0.43605633689324402</v>
      </c>
      <c r="K17223" s="29">
        <v>0.98289565623980701</v>
      </c>
    </row>
    <row r="17224" spans="1:11" x14ac:dyDescent="0.35">
      <c r="A17224" s="9" t="str">
        <f>HYPERLINK("http://www.ensembl.org/id/WBGene00013814", "WBGene00013814")</f>
        <v>WBGene00013814</v>
      </c>
      <c r="B17224" s="9" t="str">
        <f>HYPERLINK("http://www.ncbi.nlm.nih.gov/gene/191009", "191009")</f>
        <v>191009</v>
      </c>
      <c r="C17224" s="9"/>
      <c r="D17224" t="str">
        <f>"Y116A8C.43"</f>
        <v>Y116A8C.43</v>
      </c>
      <c r="F17224" t="s">
        <v>11</v>
      </c>
      <c r="H17224" s="12">
        <v>1.2400831299755299</v>
      </c>
      <c r="I17224" s="20">
        <v>0.27075306575643099</v>
      </c>
      <c r="J17224" s="28">
        <v>0.78658095999790401</v>
      </c>
      <c r="K17224" s="29">
        <v>0.98289565623980701</v>
      </c>
    </row>
    <row r="17225" spans="1:11" x14ac:dyDescent="0.35">
      <c r="A17225" s="9" t="str">
        <f>HYPERLINK("http://www.ensembl.org/id/WBGene00013815", "WBGene00013815")</f>
        <v>WBGene00013815</v>
      </c>
      <c r="B17225" s="9" t="str">
        <f>HYPERLINK("http://www.ncbi.nlm.nih.gov/gene/3566001", "3566001")</f>
        <v>3566001</v>
      </c>
      <c r="C17225" s="9"/>
      <c r="D17225" t="str">
        <f>"Y116A8C.44"</f>
        <v>Y116A8C.44</v>
      </c>
      <c r="F17225" t="s">
        <v>11</v>
      </c>
      <c r="H17225" s="12">
        <v>4.0681008470642697</v>
      </c>
      <c r="I17225" s="20">
        <v>1.04805424109162</v>
      </c>
      <c r="J17225" s="28">
        <v>0.29461361710042999</v>
      </c>
      <c r="K17225" s="29">
        <v>0.98289565623980701</v>
      </c>
    </row>
    <row r="17226" spans="1:11" x14ac:dyDescent="0.35">
      <c r="A17226" s="9" t="str">
        <f>HYPERLINK("http://www.ensembl.org/id/WBGene00194672", "WBGene00194672")</f>
        <v>WBGene00194672</v>
      </c>
      <c r="B17226" s="9" t="str">
        <f>HYPERLINK("http://www.ncbi.nlm.nih.gov/gene/13210515", "13210515")</f>
        <v>13210515</v>
      </c>
      <c r="C17226" s="9"/>
      <c r="D17226" t="str">
        <f>"Y116A8C.463"</f>
        <v>Y116A8C.463</v>
      </c>
      <c r="F17226" t="s">
        <v>11</v>
      </c>
      <c r="H17226" s="12">
        <v>2.4578120077400301</v>
      </c>
      <c r="I17226" s="20">
        <v>0.26093350314551</v>
      </c>
      <c r="J17226" s="28">
        <v>0.79414378780213601</v>
      </c>
      <c r="K17226" s="29">
        <v>0.98289565623980701</v>
      </c>
    </row>
    <row r="17227" spans="1:11" x14ac:dyDescent="0.35">
      <c r="A17227" s="9" t="str">
        <f>HYPERLINK("http://www.ensembl.org/id/WBGene00255709", "WBGene00255709")</f>
        <v>WBGene00255709</v>
      </c>
      <c r="B17227" s="9"/>
      <c r="C17227" s="9"/>
      <c r="D17227" t="str">
        <f>"Y116A8C.471"</f>
        <v>Y116A8C.471</v>
      </c>
      <c r="F17227" t="s">
        <v>481</v>
      </c>
      <c r="H17227" s="12">
        <v>2.3893468495514898</v>
      </c>
      <c r="I17227" s="20">
        <v>0.25323547253672701</v>
      </c>
      <c r="J17227" s="28">
        <v>0.80008625651646104</v>
      </c>
      <c r="K17227" s="29">
        <v>0.98289565623980701</v>
      </c>
    </row>
    <row r="17228" spans="1:11" x14ac:dyDescent="0.35">
      <c r="A17228" s="9" t="str">
        <f>HYPERLINK("http://www.ensembl.org/id/WBGene00045043", "WBGene00045043")</f>
        <v>WBGene00045043</v>
      </c>
      <c r="B17228" s="9"/>
      <c r="C17228" s="9"/>
      <c r="D17228" t="str">
        <f>"Y116A8C.48"</f>
        <v>Y116A8C.48</v>
      </c>
      <c r="F17228" t="s">
        <v>481</v>
      </c>
      <c r="H17228" s="12">
        <v>7.6129010534192698</v>
      </c>
      <c r="I17228" s="20">
        <v>1.0758538942173701</v>
      </c>
      <c r="J17228" s="28">
        <v>0.28199260461745002</v>
      </c>
      <c r="K17228" s="29">
        <v>0.98289565623980701</v>
      </c>
    </row>
    <row r="17229" spans="1:11" x14ac:dyDescent="0.35">
      <c r="A17229" s="9" t="str">
        <f>HYPERLINK("http://www.ensembl.org/id/WBGene00045155", "WBGene00045155")</f>
        <v>WBGene00045155</v>
      </c>
      <c r="B17229" s="9"/>
      <c r="C17229" s="9"/>
      <c r="D17229" t="str">
        <f>"Y116A8C.50"</f>
        <v>Y116A8C.50</v>
      </c>
      <c r="F17229" t="s">
        <v>2977</v>
      </c>
      <c r="H17229" s="12">
        <v>3.6645215954135</v>
      </c>
      <c r="I17229" s="20">
        <v>0.37967131826092498</v>
      </c>
      <c r="J17229" s="28">
        <v>0.70418941338960395</v>
      </c>
      <c r="K17229" s="29">
        <v>0.98289565623980701</v>
      </c>
    </row>
    <row r="17230" spans="1:11" x14ac:dyDescent="0.35">
      <c r="A17230" s="9" t="str">
        <f>HYPERLINK("http://www.ensembl.org/id/WBGene00014976", "WBGene00014976")</f>
        <v>WBGene00014976</v>
      </c>
      <c r="B17230" s="9"/>
      <c r="C17230" s="9"/>
      <c r="D17230" t="str">
        <f>"Y116A8C.7"</f>
        <v>Y116A8C.7</v>
      </c>
      <c r="F17230" t="s">
        <v>80</v>
      </c>
      <c r="H17230" s="12">
        <v>-2.8776549544873098</v>
      </c>
      <c r="I17230" s="20">
        <v>-0.46400113904575802</v>
      </c>
      <c r="J17230" s="28">
        <v>0.64264692955617497</v>
      </c>
      <c r="K17230" s="29">
        <v>0.98289565623980701</v>
      </c>
    </row>
    <row r="17231" spans="1:11" x14ac:dyDescent="0.35">
      <c r="A17231" s="9" t="str">
        <f>HYPERLINK("http://www.ensembl.org/id/WBGene00013789", "WBGene00013789")</f>
        <v>WBGene00013789</v>
      </c>
      <c r="B17231" s="9" t="str">
        <f>HYPERLINK("http://www.ncbi.nlm.nih.gov/gene/178473", "178473")</f>
        <v>178473</v>
      </c>
      <c r="C17231" s="9" t="str">
        <f>HYPERLINK("http://www.ncbi.nlm.nih.gov/gene/79134", "79134")</f>
        <v>79134</v>
      </c>
      <c r="D17231" t="str">
        <f>"Y116A8C.9"</f>
        <v>Y116A8C.9</v>
      </c>
      <c r="F17231" t="s">
        <v>11</v>
      </c>
      <c r="G17231" t="s">
        <v>25</v>
      </c>
      <c r="H17231" s="12">
        <v>-1.0646838706438799</v>
      </c>
      <c r="I17231" s="20">
        <v>-0.26142363205984098</v>
      </c>
      <c r="J17231" s="28">
        <v>0.79376583475918205</v>
      </c>
      <c r="K17231" s="29">
        <v>0.98289565623980701</v>
      </c>
    </row>
    <row r="17232" spans="1:11" x14ac:dyDescent="0.35">
      <c r="A17232" s="9" t="str">
        <f>HYPERLINK("http://www.ensembl.org/id/WBGene00013816", "WBGene00013816")</f>
        <v>WBGene00013816</v>
      </c>
      <c r="B17232" s="9" t="str">
        <f>HYPERLINK("http://www.ncbi.nlm.nih.gov/gene/180297", "180297")</f>
        <v>180297</v>
      </c>
      <c r="C17232" s="9"/>
      <c r="D17232" t="str">
        <f>"Y116F11A.1"</f>
        <v>Y116F11A.1</v>
      </c>
      <c r="E17232" t="s">
        <v>4233</v>
      </c>
      <c r="F17232" t="s">
        <v>11</v>
      </c>
      <c r="G17232" t="s">
        <v>4468</v>
      </c>
      <c r="H17232" s="12">
        <v>1.9369389339128</v>
      </c>
      <c r="I17232" s="20">
        <v>0.70915773379312896</v>
      </c>
      <c r="J17232" s="28">
        <v>0.47822659892136798</v>
      </c>
      <c r="K17232" s="29">
        <v>0.98289565623980701</v>
      </c>
    </row>
    <row r="17233" spans="1:11" x14ac:dyDescent="0.35">
      <c r="A17233" s="9" t="str">
        <f>HYPERLINK("http://www.ensembl.org/id/WBGene00013817", "WBGene00013817")</f>
        <v>WBGene00013817</v>
      </c>
      <c r="B17233" s="9" t="str">
        <f>HYPERLINK("http://www.ncbi.nlm.nih.gov/gene/191010", "191010")</f>
        <v>191010</v>
      </c>
      <c r="C17233" s="9"/>
      <c r="D17233" t="str">
        <f>"Y116F11A.3"</f>
        <v>Y116F11A.3</v>
      </c>
      <c r="F17233" t="s">
        <v>11</v>
      </c>
      <c r="H17233" s="12">
        <v>3.6645215954135</v>
      </c>
      <c r="I17233" s="20">
        <v>0.37967131826092498</v>
      </c>
      <c r="J17233" s="28">
        <v>0.70418941338960395</v>
      </c>
      <c r="K17233" s="29">
        <v>0.98289565623980701</v>
      </c>
    </row>
    <row r="17234" spans="1:11" x14ac:dyDescent="0.35">
      <c r="A17234" s="9" t="str">
        <f>HYPERLINK("http://www.ensembl.org/id/WBGene00013826", "WBGene00013826")</f>
        <v>WBGene00013826</v>
      </c>
      <c r="B17234" s="9"/>
      <c r="C17234" s="9"/>
      <c r="D17234" t="str">
        <f>"Y116F11B.10"</f>
        <v>Y116F11B.10</v>
      </c>
      <c r="F17234" t="s">
        <v>80</v>
      </c>
      <c r="H17234" s="12">
        <v>-1.36493109545589</v>
      </c>
      <c r="I17234" s="20">
        <v>-0.365087761969139</v>
      </c>
      <c r="J17234" s="28">
        <v>0.71504589588049206</v>
      </c>
      <c r="K17234" s="29">
        <v>0.98289565623980701</v>
      </c>
    </row>
    <row r="17235" spans="1:11" x14ac:dyDescent="0.35">
      <c r="A17235" s="9" t="str">
        <f>HYPERLINK("http://www.ensembl.org/id/WBGene00013829", "WBGene00013829")</f>
        <v>WBGene00013829</v>
      </c>
      <c r="B17235" s="9" t="str">
        <f>HYPERLINK("http://www.ncbi.nlm.nih.gov/gene/191025", "191025")</f>
        <v>191025</v>
      </c>
      <c r="C17235" s="9"/>
      <c r="D17235" t="str">
        <f>"Y116F11B.14"</f>
        <v>Y116F11B.14</v>
      </c>
      <c r="F17235" t="s">
        <v>11</v>
      </c>
      <c r="H17235" s="12">
        <v>-4.6439353819302998</v>
      </c>
      <c r="I17235" s="20">
        <v>-0.64887541903941104</v>
      </c>
      <c r="J17235" s="28">
        <v>0.51641890415352698</v>
      </c>
      <c r="K17235" s="29">
        <v>0.98289565623980701</v>
      </c>
    </row>
    <row r="17236" spans="1:11" x14ac:dyDescent="0.35">
      <c r="A17236" s="9" t="str">
        <f>HYPERLINK("http://www.ensembl.org/id/WBGene00219483", "WBGene00219483")</f>
        <v>WBGene00219483</v>
      </c>
      <c r="B17236" s="9"/>
      <c r="C17236" s="9"/>
      <c r="D17236" t="str">
        <f>"Y116F11B.24"</f>
        <v>Y116F11B.24</v>
      </c>
      <c r="F17236" t="s">
        <v>481</v>
      </c>
      <c r="H17236" s="12">
        <v>2.43628531154256</v>
      </c>
      <c r="I17236" s="20">
        <v>0.26397437090349102</v>
      </c>
      <c r="J17236" s="28">
        <v>0.79179966754305298</v>
      </c>
      <c r="K17236" s="29">
        <v>0.98289565623980701</v>
      </c>
    </row>
    <row r="17237" spans="1:11" x14ac:dyDescent="0.35">
      <c r="A17237" s="9" t="str">
        <f>HYPERLINK("http://www.ensembl.org/id/WBGene00022475", "WBGene00022475")</f>
        <v>WBGene00022475</v>
      </c>
      <c r="B17237" s="9" t="str">
        <f>HYPERLINK("http://www.ncbi.nlm.nih.gov/gene/191031", "191031")</f>
        <v>191031</v>
      </c>
      <c r="C17237" s="9"/>
      <c r="D17237" t="str">
        <f>"Y119C1B.10"</f>
        <v>Y119C1B.10</v>
      </c>
      <c r="F17237" t="s">
        <v>11</v>
      </c>
      <c r="H17237" s="12">
        <v>1.17531363321249</v>
      </c>
      <c r="I17237" s="20">
        <v>0.67678145142340096</v>
      </c>
      <c r="J17237" s="28">
        <v>0.49854462844590902</v>
      </c>
      <c r="K17237" s="29">
        <v>0.98289565623980701</v>
      </c>
    </row>
    <row r="17238" spans="1:11" x14ac:dyDescent="0.35">
      <c r="A17238" s="9" t="str">
        <f>HYPERLINK("http://www.ensembl.org/id/WBGene00044754", "WBGene00044754")</f>
        <v>WBGene00044754</v>
      </c>
      <c r="B17238" s="9" t="str">
        <f>HYPERLINK("http://www.ncbi.nlm.nih.gov/gene/4363009", "4363009")</f>
        <v>4363009</v>
      </c>
      <c r="C17238" s="9"/>
      <c r="D17238" t="str">
        <f>"Y119C1B.12"</f>
        <v>Y119C1B.12</v>
      </c>
      <c r="F17238" t="s">
        <v>11</v>
      </c>
      <c r="G17238" t="s">
        <v>25</v>
      </c>
      <c r="H17238" s="12">
        <v>3.3395775643782502</v>
      </c>
      <c r="I17238" s="20">
        <v>0.44656260965551497</v>
      </c>
      <c r="J17238" s="28">
        <v>0.65519089741497205</v>
      </c>
      <c r="K17238" s="29">
        <v>0.98289565623980701</v>
      </c>
    </row>
    <row r="17239" spans="1:11" x14ac:dyDescent="0.35">
      <c r="A17239" s="9" t="str">
        <f>HYPERLINK("http://www.ensembl.org/id/WBGene00022469", "WBGene00022469")</f>
        <v>WBGene00022469</v>
      </c>
      <c r="B17239" s="9" t="str">
        <f>HYPERLINK("http://www.ncbi.nlm.nih.gov/gene/191027", "191027")</f>
        <v>191027</v>
      </c>
      <c r="C17239" s="9"/>
      <c r="D17239" t="str">
        <f>"Y119C1B.3"</f>
        <v>Y119C1B.3</v>
      </c>
      <c r="F17239" t="s">
        <v>11</v>
      </c>
      <c r="G17239" t="s">
        <v>25</v>
      </c>
      <c r="H17239" s="12">
        <v>1.1883111283417001</v>
      </c>
      <c r="I17239" s="20">
        <v>0.493273903017448</v>
      </c>
      <c r="J17239" s="28">
        <v>0.62181906543565502</v>
      </c>
      <c r="K17239" s="29">
        <v>0.98289565623980701</v>
      </c>
    </row>
    <row r="17240" spans="1:11" x14ac:dyDescent="0.35">
      <c r="A17240" s="9" t="str">
        <f>HYPERLINK("http://www.ensembl.org/id/WBGene00022472", "WBGene00022472")</f>
        <v>WBGene00022472</v>
      </c>
      <c r="B17240" s="9" t="str">
        <f>HYPERLINK("http://www.ncbi.nlm.nih.gov/gene/191029", "191029")</f>
        <v>191029</v>
      </c>
      <c r="C17240" s="9"/>
      <c r="D17240" t="str">
        <f>"Y119C1B.6"</f>
        <v>Y119C1B.6</v>
      </c>
      <c r="F17240" t="s">
        <v>11</v>
      </c>
      <c r="H17240" s="12">
        <v>-1.2866103148752599</v>
      </c>
      <c r="I17240" s="20">
        <v>-0.84494178851534696</v>
      </c>
      <c r="J17240" s="28">
        <v>0.39814334110118499</v>
      </c>
      <c r="K17240" s="29">
        <v>0.98289565623980701</v>
      </c>
    </row>
    <row r="17241" spans="1:11" x14ac:dyDescent="0.35">
      <c r="A17241" s="9" t="str">
        <f>HYPERLINK("http://www.ensembl.org/id/WBGene00198919", "WBGene00198919")</f>
        <v>WBGene00198919</v>
      </c>
      <c r="B17241" s="9"/>
      <c r="C17241" s="9"/>
      <c r="D17241" t="str">
        <f>"Y119D3B.25"</f>
        <v>Y119D3B.25</v>
      </c>
      <c r="F17241" t="s">
        <v>481</v>
      </c>
      <c r="H17241" s="12">
        <v>-2.4991590031922399</v>
      </c>
      <c r="I17241" s="20">
        <v>-0.26577412737581302</v>
      </c>
      <c r="J17241" s="28">
        <v>0.79041317015736101</v>
      </c>
      <c r="K17241" s="29">
        <v>0.98289565623980701</v>
      </c>
    </row>
    <row r="17242" spans="1:11" x14ac:dyDescent="0.35">
      <c r="A17242" s="9" t="str">
        <f>HYPERLINK("http://www.ensembl.org/id/WBGene00012434", "WBGene00012434")</f>
        <v>WBGene00012434</v>
      </c>
      <c r="B17242" s="9" t="str">
        <f>HYPERLINK("http://www.ncbi.nlm.nih.gov/gene/177747", "177747")</f>
        <v>177747</v>
      </c>
      <c r="C17242" s="9"/>
      <c r="D17242" t="str">
        <f>"Y11D7A.10"</f>
        <v>Y11D7A.10</v>
      </c>
      <c r="F17242" t="s">
        <v>11</v>
      </c>
      <c r="H17242" s="12">
        <v>-1.2550552223734399</v>
      </c>
      <c r="I17242" s="20">
        <v>-1.10530615429134</v>
      </c>
      <c r="J17242" s="28">
        <v>0.269026952114509</v>
      </c>
      <c r="K17242" s="29">
        <v>0.98289565623980701</v>
      </c>
    </row>
    <row r="17243" spans="1:11" x14ac:dyDescent="0.35">
      <c r="A17243" s="9" t="str">
        <f>HYPERLINK("http://www.ensembl.org/id/WBGene00014863", "WBGene00014863")</f>
        <v>WBGene00014863</v>
      </c>
      <c r="B17243" s="9"/>
      <c r="C17243" s="9"/>
      <c r="D17243" t="str">
        <f>"Y11D7A.16"</f>
        <v>Y11D7A.16</v>
      </c>
      <c r="F17243" t="s">
        <v>80</v>
      </c>
      <c r="H17243" s="12">
        <v>3.6645215954135</v>
      </c>
      <c r="I17243" s="20">
        <v>0.37967131826092498</v>
      </c>
      <c r="J17243" s="28">
        <v>0.70418941338960395</v>
      </c>
      <c r="K17243" s="29">
        <v>0.98289565623980701</v>
      </c>
    </row>
    <row r="17244" spans="1:11" x14ac:dyDescent="0.35">
      <c r="A17244" s="9" t="str">
        <f>HYPERLINK("http://www.ensembl.org/id/WBGene00012429", "WBGene00012429")</f>
        <v>WBGene00012429</v>
      </c>
      <c r="B17244" s="9" t="str">
        <f>HYPERLINK("http://www.ncbi.nlm.nih.gov/gene/189430", "189430")</f>
        <v>189430</v>
      </c>
      <c r="C17244" s="9"/>
      <c r="D17244" t="str">
        <f>"Y11D7A.5"</f>
        <v>Y11D7A.5</v>
      </c>
      <c r="F17244" t="s">
        <v>11</v>
      </c>
      <c r="H17244" s="12">
        <v>2.7371478628106201</v>
      </c>
      <c r="I17244" s="20">
        <v>0.80351137852190502</v>
      </c>
      <c r="J17244" s="28">
        <v>0.42167922273851199</v>
      </c>
      <c r="K17244" s="29">
        <v>0.98289565623980701</v>
      </c>
    </row>
    <row r="17245" spans="1:11" x14ac:dyDescent="0.35">
      <c r="A17245" s="9" t="str">
        <f>HYPERLINK("http://www.ensembl.org/id/WBGene00012439", "WBGene00012439")</f>
        <v>WBGene00012439</v>
      </c>
      <c r="B17245" s="9" t="str">
        <f>HYPERLINK("http://www.ncbi.nlm.nih.gov/gene/181482", "181482")</f>
        <v>181482</v>
      </c>
      <c r="C17245" s="9"/>
      <c r="D17245" t="str">
        <f>"Y12A6A.1"</f>
        <v>Y12A6A.1</v>
      </c>
      <c r="F17245" t="s">
        <v>11</v>
      </c>
      <c r="G17245" t="s">
        <v>5795</v>
      </c>
      <c r="H17245" s="12">
        <v>1.1019536467340001</v>
      </c>
      <c r="I17245" s="20">
        <v>0.371182899606536</v>
      </c>
      <c r="J17245" s="28">
        <v>0.71050130893235397</v>
      </c>
      <c r="K17245" s="29">
        <v>0.98289565623980701</v>
      </c>
    </row>
    <row r="17246" spans="1:11" x14ac:dyDescent="0.35">
      <c r="A17246" s="9" t="str">
        <f>HYPERLINK("http://www.ensembl.org/id/WBGene00021188", "WBGene00021188")</f>
        <v>WBGene00021188</v>
      </c>
      <c r="B17246" s="9" t="str">
        <f>HYPERLINK("http://www.ncbi.nlm.nih.gov/gene/189437", "189437")</f>
        <v>189437</v>
      </c>
      <c r="C17246" s="9"/>
      <c r="D17246" t="str">
        <f>"Y13C8A.1"</f>
        <v>Y13C8A.1</v>
      </c>
      <c r="F17246" t="s">
        <v>11</v>
      </c>
      <c r="H17246" s="12">
        <v>1.42215745835735</v>
      </c>
      <c r="I17246" s="20">
        <v>0.286303232750929</v>
      </c>
      <c r="J17246" s="28">
        <v>0.77464588234017695</v>
      </c>
      <c r="K17246" s="29">
        <v>0.98289565623980701</v>
      </c>
    </row>
    <row r="17247" spans="1:11" x14ac:dyDescent="0.35">
      <c r="A17247" s="9" t="str">
        <f>HYPERLINK("http://www.ensembl.org/id/WBGene00021190", "WBGene00021190")</f>
        <v>WBGene00021190</v>
      </c>
      <c r="B17247" s="9" t="str">
        <f>HYPERLINK("http://www.ncbi.nlm.nih.gov/gene/173741", "173741")</f>
        <v>173741</v>
      </c>
      <c r="C17247" s="9"/>
      <c r="D17247" t="str">
        <f>"Y14H12A.1"</f>
        <v>Y14H12A.1</v>
      </c>
      <c r="F17247" t="s">
        <v>11</v>
      </c>
      <c r="G17247" t="s">
        <v>25</v>
      </c>
      <c r="H17247" s="12">
        <v>-1.2072725040493599</v>
      </c>
      <c r="I17247" s="20">
        <v>-0.409466726188215</v>
      </c>
      <c r="J17247" s="28">
        <v>0.68219718040500499</v>
      </c>
      <c r="K17247" s="29">
        <v>0.98289565623980701</v>
      </c>
    </row>
    <row r="17248" spans="1:11" x14ac:dyDescent="0.35">
      <c r="A17248" s="9" t="str">
        <f>HYPERLINK("http://www.ensembl.org/id/WBGene00201811", "WBGene00201811")</f>
        <v>WBGene00201811</v>
      </c>
      <c r="B17248" s="9"/>
      <c r="C17248" s="9"/>
      <c r="D17248" t="str">
        <f>"Y15E3A.13"</f>
        <v>Y15E3A.13</v>
      </c>
      <c r="F17248" t="s">
        <v>481</v>
      </c>
      <c r="H17248" s="12">
        <v>2.11810794594399</v>
      </c>
      <c r="I17248" s="20">
        <v>0.49004167721853698</v>
      </c>
      <c r="J17248" s="28">
        <v>0.62410440730495398</v>
      </c>
      <c r="K17248" s="29">
        <v>0.98289565623980701</v>
      </c>
    </row>
    <row r="17249" spans="1:11" x14ac:dyDescent="0.35">
      <c r="A17249" s="9" t="str">
        <f>HYPERLINK("http://www.ensembl.org/id/WBGene00012442", "WBGene00012442")</f>
        <v>WBGene00012442</v>
      </c>
      <c r="B17249" s="9" t="str">
        <f>HYPERLINK("http://www.ncbi.nlm.nih.gov/gene/189439", "189439")</f>
        <v>189439</v>
      </c>
      <c r="C17249" s="9"/>
      <c r="D17249" t="str">
        <f>"Y15E3A.3"</f>
        <v>Y15E3A.3</v>
      </c>
      <c r="F17249" t="s">
        <v>11</v>
      </c>
      <c r="H17249" s="12">
        <v>-1.62124438301675</v>
      </c>
      <c r="I17249" s="20">
        <v>-0.45304942711032897</v>
      </c>
      <c r="J17249" s="28">
        <v>0.65051315054762504</v>
      </c>
      <c r="K17249" s="29">
        <v>0.98289565623980701</v>
      </c>
    </row>
    <row r="17250" spans="1:11" x14ac:dyDescent="0.35">
      <c r="A17250" s="9" t="str">
        <f>HYPERLINK("http://www.ensembl.org/id/WBGene00194982", "WBGene00194982")</f>
        <v>WBGene00194982</v>
      </c>
      <c r="B17250" s="9" t="str">
        <f>HYPERLINK("http://www.ncbi.nlm.nih.gov/gene/13218327", "13218327")</f>
        <v>13218327</v>
      </c>
      <c r="C17250" s="9"/>
      <c r="D17250" t="str">
        <f>"Y17D7B.10"</f>
        <v>Y17D7B.10</v>
      </c>
      <c r="F17250" t="s">
        <v>11</v>
      </c>
      <c r="H17250" s="12">
        <v>1.9038297832945501</v>
      </c>
      <c r="I17250" s="20">
        <v>0.56370455609885095</v>
      </c>
      <c r="J17250" s="28">
        <v>0.57295521618112299</v>
      </c>
      <c r="K17250" s="29">
        <v>0.98289565623980701</v>
      </c>
    </row>
    <row r="17251" spans="1:11" x14ac:dyDescent="0.35">
      <c r="A17251" s="9" t="str">
        <f>HYPERLINK("http://www.ensembl.org/id/WBGene00012451", "WBGene00012451")</f>
        <v>WBGene00012451</v>
      </c>
      <c r="B17251" s="9" t="str">
        <f>HYPERLINK("http://www.ncbi.nlm.nih.gov/gene/189447", "189447")</f>
        <v>189447</v>
      </c>
      <c r="C17251" s="9"/>
      <c r="D17251" t="str">
        <f>"Y17D7B.3"</f>
        <v>Y17D7B.3</v>
      </c>
      <c r="F17251" t="s">
        <v>11</v>
      </c>
      <c r="H17251" s="12">
        <v>-1.9854322977369501</v>
      </c>
      <c r="I17251" s="20">
        <v>-0.84809074979603705</v>
      </c>
      <c r="J17251" s="28">
        <v>0.396387432789437</v>
      </c>
      <c r="K17251" s="29">
        <v>0.98289565623980701</v>
      </c>
    </row>
    <row r="17252" spans="1:11" x14ac:dyDescent="0.35">
      <c r="A17252" s="9" t="str">
        <f>HYPERLINK("http://www.ensembl.org/id/WBGene00014562", "WBGene00014562")</f>
        <v>WBGene00014562</v>
      </c>
      <c r="B17252" s="9"/>
      <c r="C17252" s="9"/>
      <c r="D17252" t="str">
        <f>"Y17D7B.7"</f>
        <v>Y17D7B.7</v>
      </c>
      <c r="F17252" t="s">
        <v>80</v>
      </c>
      <c r="H17252" s="12">
        <v>-1.2671025280108501</v>
      </c>
      <c r="I17252" s="20">
        <v>-0.599693581233531</v>
      </c>
      <c r="J17252" s="28">
        <v>0.54871046681401803</v>
      </c>
      <c r="K17252" s="29">
        <v>0.98289565623980701</v>
      </c>
    </row>
    <row r="17253" spans="1:11" x14ac:dyDescent="0.35">
      <c r="A17253" s="9" t="str">
        <f>HYPERLINK("http://www.ensembl.org/id/WBGene00077660", "WBGene00077660")</f>
        <v>WBGene00077660</v>
      </c>
      <c r="B17253" s="9"/>
      <c r="C17253" s="9"/>
      <c r="D17253" t="str">
        <f>"Y17D7B.9"</f>
        <v>Y17D7B.9</v>
      </c>
      <c r="F17253" t="s">
        <v>80</v>
      </c>
      <c r="H17253" s="12">
        <v>2.4578120077400301</v>
      </c>
      <c r="I17253" s="20">
        <v>0.26093350314551</v>
      </c>
      <c r="J17253" s="28">
        <v>0.79414378780213601</v>
      </c>
      <c r="K17253" s="29">
        <v>0.98289565623980701</v>
      </c>
    </row>
    <row r="17254" spans="1:11" x14ac:dyDescent="0.35">
      <c r="A17254" s="9" t="str">
        <f>HYPERLINK("http://www.ensembl.org/id/WBGene00012455", "WBGene00012455")</f>
        <v>WBGene00012455</v>
      </c>
      <c r="B17254" s="9" t="str">
        <f>HYPERLINK("http://www.ncbi.nlm.nih.gov/gene/189451", "189451")</f>
        <v>189451</v>
      </c>
      <c r="C17254" s="9"/>
      <c r="D17254" t="str">
        <f>"Y17D7C.1"</f>
        <v>Y17D7C.1</v>
      </c>
      <c r="F17254" t="s">
        <v>11</v>
      </c>
      <c r="H17254" s="12">
        <v>1.9561173881285501</v>
      </c>
      <c r="I17254" s="20">
        <v>0.257782736541043</v>
      </c>
      <c r="J17254" s="28">
        <v>0.79657458856254804</v>
      </c>
      <c r="K17254" s="29">
        <v>0.98289565623980701</v>
      </c>
    </row>
    <row r="17255" spans="1:11" x14ac:dyDescent="0.35">
      <c r="A17255" s="9" t="str">
        <f>HYPERLINK("http://www.ensembl.org/id/WBGene00050903", "WBGene00050903")</f>
        <v>WBGene00050903</v>
      </c>
      <c r="B17255" s="9"/>
      <c r="C17255" s="9"/>
      <c r="D17255" t="str">
        <f>"Y17D7C.4"</f>
        <v>Y17D7C.4</v>
      </c>
      <c r="F17255" t="s">
        <v>80</v>
      </c>
      <c r="H17255" s="12">
        <v>1.68226921384882</v>
      </c>
      <c r="I17255" s="20">
        <v>1.0796864055853701</v>
      </c>
      <c r="J17255" s="28">
        <v>0.28028184961288799</v>
      </c>
      <c r="K17255" s="29">
        <v>0.98289565623980701</v>
      </c>
    </row>
    <row r="17256" spans="1:11" x14ac:dyDescent="0.35">
      <c r="A17256" s="9" t="str">
        <f>HYPERLINK("http://www.ensembl.org/id/WBGene00219343", "WBGene00219343")</f>
        <v>WBGene00219343</v>
      </c>
      <c r="B17256" s="9"/>
      <c r="C17256" s="9"/>
      <c r="D17256" t="str">
        <f>"Y17D7C.9"</f>
        <v>Y17D7C.9</v>
      </c>
      <c r="F17256" t="s">
        <v>481</v>
      </c>
      <c r="H17256" s="12">
        <v>1.86346091198927</v>
      </c>
      <c r="I17256" s="20">
        <v>0.48336338320787597</v>
      </c>
      <c r="J17256" s="28">
        <v>0.62883774274057203</v>
      </c>
      <c r="K17256" s="29">
        <v>0.98289565623980701</v>
      </c>
    </row>
    <row r="17257" spans="1:11" x14ac:dyDescent="0.35">
      <c r="A17257" s="9" t="str">
        <f>HYPERLINK("http://www.ensembl.org/id/WBGene00012468", "WBGene00012468")</f>
        <v>WBGene00012468</v>
      </c>
      <c r="B17257" s="9" t="str">
        <f>HYPERLINK("http://www.ncbi.nlm.nih.gov/gene/174849", "174849")</f>
        <v>174849</v>
      </c>
      <c r="C17257" s="9"/>
      <c r="D17257" t="str">
        <f>"Y17G7B.17"</f>
        <v>Y17G7B.17</v>
      </c>
      <c r="F17257" t="s">
        <v>11</v>
      </c>
      <c r="G17257" t="s">
        <v>7652</v>
      </c>
      <c r="H17257" s="12">
        <v>-1.1377874385914899</v>
      </c>
      <c r="I17257" s="20">
        <v>-0.71201184598384104</v>
      </c>
      <c r="J17257" s="28">
        <v>0.47645744055232803</v>
      </c>
      <c r="K17257" s="29">
        <v>0.98289565623980701</v>
      </c>
    </row>
    <row r="17258" spans="1:11" x14ac:dyDescent="0.35">
      <c r="A17258" s="9" t="str">
        <f>HYPERLINK("http://www.ensembl.org/id/WBGene00012469", "WBGene00012469")</f>
        <v>WBGene00012469</v>
      </c>
      <c r="B17258" s="9" t="str">
        <f>HYPERLINK("http://www.ncbi.nlm.nih.gov/gene/174850", "174850")</f>
        <v>174850</v>
      </c>
      <c r="C17258" s="9"/>
      <c r="D17258" t="str">
        <f>"Y17G7B.18"</f>
        <v>Y17G7B.18</v>
      </c>
      <c r="E17258" t="s">
        <v>9660</v>
      </c>
      <c r="F17258" t="s">
        <v>11</v>
      </c>
      <c r="G17258" t="s">
        <v>9661</v>
      </c>
      <c r="H17258" s="12">
        <v>-1.2741604293581701</v>
      </c>
      <c r="I17258" s="20">
        <v>-1.0245506457968001</v>
      </c>
      <c r="J17258" s="28">
        <v>0.30557526221638498</v>
      </c>
      <c r="K17258" s="29">
        <v>0.98289565623980701</v>
      </c>
    </row>
    <row r="17259" spans="1:11" x14ac:dyDescent="0.35">
      <c r="A17259" s="9" t="str">
        <f>HYPERLINK("http://www.ensembl.org/id/WBGene00012472", "WBGene00012472")</f>
        <v>WBGene00012472</v>
      </c>
      <c r="B17259" s="9" t="str">
        <f>HYPERLINK("http://www.ncbi.nlm.nih.gov/gene/259466", "259466")</f>
        <v>259466</v>
      </c>
      <c r="C17259" s="9"/>
      <c r="D17259" t="str">
        <f>"Y17G7B.21"</f>
        <v>Y17G7B.21</v>
      </c>
      <c r="F17259" t="s">
        <v>11</v>
      </c>
      <c r="H17259" s="12">
        <v>-1.0892940178419599</v>
      </c>
      <c r="I17259" s="20">
        <v>-0.44993716900280201</v>
      </c>
      <c r="J17259" s="28">
        <v>0.65275574575342199</v>
      </c>
      <c r="K17259" s="29">
        <v>0.98289565623980701</v>
      </c>
    </row>
    <row r="17260" spans="1:11" x14ac:dyDescent="0.35">
      <c r="A17260" s="9" t="str">
        <f>HYPERLINK("http://www.ensembl.org/id/WBGene00012473", "WBGene00012473")</f>
        <v>WBGene00012473</v>
      </c>
      <c r="B17260" s="9" t="str">
        <f>HYPERLINK("http://www.ncbi.nlm.nih.gov/gene/259467", "259467")</f>
        <v>259467</v>
      </c>
      <c r="C17260" s="9"/>
      <c r="D17260" t="str">
        <f>"Y17G7B.22"</f>
        <v>Y17G7B.22</v>
      </c>
      <c r="F17260" t="s">
        <v>11</v>
      </c>
      <c r="H17260" s="12">
        <v>1.72924726050974</v>
      </c>
      <c r="I17260" s="20">
        <v>0.821550654280092</v>
      </c>
      <c r="J17260" s="28">
        <v>0.411332683598919</v>
      </c>
      <c r="K17260" s="29">
        <v>0.98289565623980701</v>
      </c>
    </row>
    <row r="17261" spans="1:11" x14ac:dyDescent="0.35">
      <c r="A17261" s="9" t="str">
        <f>HYPERLINK("http://www.ensembl.org/id/WBGene00220134", "WBGene00220134")</f>
        <v>WBGene00220134</v>
      </c>
      <c r="B17261" s="9"/>
      <c r="C17261" s="9"/>
      <c r="D17261" t="str">
        <f>"Y17G7B.25"</f>
        <v>Y17G7B.25</v>
      </c>
      <c r="F17261" t="s">
        <v>2977</v>
      </c>
      <c r="H17261" s="12">
        <v>1.87606368178417</v>
      </c>
      <c r="I17261" s="20">
        <v>0.54291654742891204</v>
      </c>
      <c r="J17261" s="28">
        <v>0.58718726221547002</v>
      </c>
      <c r="K17261" s="29">
        <v>0.98289565623980701</v>
      </c>
    </row>
    <row r="17262" spans="1:11" x14ac:dyDescent="0.35">
      <c r="A17262" s="9" t="str">
        <f>HYPERLINK("http://www.ensembl.org/id/WBGene00012459", "WBGene00012459")</f>
        <v>WBGene00012459</v>
      </c>
      <c r="B17262" s="9" t="str">
        <f>HYPERLINK("http://www.ncbi.nlm.nih.gov/gene/174839", "174839")</f>
        <v>174839</v>
      </c>
      <c r="C17262" s="9" t="str">
        <f>HYPERLINK("http://www.ncbi.nlm.nih.gov/gene/3029", "3029")</f>
        <v>3029</v>
      </c>
      <c r="D17262" t="str">
        <f>"Y17G7B.3"</f>
        <v>Y17G7B.3</v>
      </c>
      <c r="F17262" t="s">
        <v>11</v>
      </c>
      <c r="G17262" t="s">
        <v>8412</v>
      </c>
      <c r="H17262" s="12">
        <v>-1.17588513115641</v>
      </c>
      <c r="I17262" s="20">
        <v>-0.72140830374097997</v>
      </c>
      <c r="J17262" s="28">
        <v>0.470658339141307</v>
      </c>
      <c r="K17262" s="29">
        <v>0.98289565623980701</v>
      </c>
    </row>
    <row r="17263" spans="1:11" x14ac:dyDescent="0.35">
      <c r="A17263" s="9" t="str">
        <f>HYPERLINK("http://www.ensembl.org/id/WBGene00012462", "WBGene00012462")</f>
        <v>WBGene00012462</v>
      </c>
      <c r="B17263" s="9" t="str">
        <f>HYPERLINK("http://www.ncbi.nlm.nih.gov/gene/189455", "189455")</f>
        <v>189455</v>
      </c>
      <c r="C17263" s="9"/>
      <c r="D17263" t="str">
        <f>"Y17G7B.8"</f>
        <v>Y17G7B.8</v>
      </c>
      <c r="F17263" t="s">
        <v>11</v>
      </c>
      <c r="G17263" t="s">
        <v>2543</v>
      </c>
      <c r="H17263" s="12">
        <v>1.2769910168707601</v>
      </c>
      <c r="I17263" s="20">
        <v>1.02852022259097</v>
      </c>
      <c r="J17263" s="28">
        <v>0.30370518322401102</v>
      </c>
      <c r="K17263" s="29">
        <v>0.98289565623980701</v>
      </c>
    </row>
    <row r="17264" spans="1:11" x14ac:dyDescent="0.35">
      <c r="A17264" s="9" t="str">
        <f>HYPERLINK("http://www.ensembl.org/id/WBGene00021195", "WBGene00021195")</f>
        <v>WBGene00021195</v>
      </c>
      <c r="B17264" s="9" t="str">
        <f>HYPERLINK("http://www.ncbi.nlm.nih.gov/gene/177257", "177257")</f>
        <v>177257</v>
      </c>
      <c r="C17264" s="9"/>
      <c r="D17264" t="str">
        <f>"Y17G9A.2"</f>
        <v>Y17G9A.2</v>
      </c>
      <c r="F17264" t="s">
        <v>11</v>
      </c>
      <c r="G17264" t="s">
        <v>25</v>
      </c>
      <c r="H17264" s="12">
        <v>-1.1936352447232399</v>
      </c>
      <c r="I17264" s="20">
        <v>-0.45817277138589801</v>
      </c>
      <c r="J17264" s="28">
        <v>0.64682832033813298</v>
      </c>
      <c r="K17264" s="29">
        <v>0.98289565623980701</v>
      </c>
    </row>
    <row r="17265" spans="1:11" x14ac:dyDescent="0.35">
      <c r="A17265" s="9" t="str">
        <f>HYPERLINK("http://www.ensembl.org/id/WBGene00021196", "WBGene00021196")</f>
        <v>WBGene00021196</v>
      </c>
      <c r="B17265" s="9" t="str">
        <f>HYPERLINK("http://www.ncbi.nlm.nih.gov/gene/189460", "189460")</f>
        <v>189460</v>
      </c>
      <c r="C17265" s="9"/>
      <c r="D17265" t="str">
        <f>"Y17G9A.3"</f>
        <v>Y17G9A.3</v>
      </c>
      <c r="F17265" t="s">
        <v>11</v>
      </c>
      <c r="H17265" s="12">
        <v>-4.2912371281592003</v>
      </c>
      <c r="I17265" s="20">
        <v>-0.56372227087147897</v>
      </c>
      <c r="J17265" s="28">
        <v>0.572943158267888</v>
      </c>
      <c r="K17265" s="29">
        <v>0.98289565623980701</v>
      </c>
    </row>
    <row r="17266" spans="1:11" x14ac:dyDescent="0.35">
      <c r="A17266" s="9" t="str">
        <f>HYPERLINK("http://www.ensembl.org/id/WBGene00201520", "WBGene00201520")</f>
        <v>WBGene00201520</v>
      </c>
      <c r="B17266" s="9"/>
      <c r="C17266" s="9"/>
      <c r="D17266" t="str">
        <f>"Y17G9A.89"</f>
        <v>Y17G9A.89</v>
      </c>
      <c r="F17266" t="s">
        <v>481</v>
      </c>
      <c r="H17266" s="12">
        <v>-2.3838754719136599</v>
      </c>
      <c r="I17266" s="20">
        <v>-0.25807578497976902</v>
      </c>
      <c r="J17266" s="28">
        <v>0.79634841949468704</v>
      </c>
      <c r="K17266" s="29">
        <v>0.98289565623980701</v>
      </c>
    </row>
    <row r="17267" spans="1:11" x14ac:dyDescent="0.35">
      <c r="A17267" s="9" t="str">
        <f>HYPERLINK("http://www.ensembl.org/id/WBGene00023168", "WBGene00023168")</f>
        <v>WBGene00023168</v>
      </c>
      <c r="B17267" s="9"/>
      <c r="C17267" s="9"/>
      <c r="D17267" t="str">
        <f>"Y17G9A.t1"</f>
        <v>Y17G9A.t1</v>
      </c>
      <c r="F17267" t="s">
        <v>4208</v>
      </c>
      <c r="H17267" s="12">
        <v>-2.4991590031922399</v>
      </c>
      <c r="I17267" s="20">
        <v>-0.26577412737581302</v>
      </c>
      <c r="J17267" s="28">
        <v>0.79041317015736101</v>
      </c>
      <c r="K17267" s="29">
        <v>0.98289565623980701</v>
      </c>
    </row>
    <row r="17268" spans="1:11" x14ac:dyDescent="0.35">
      <c r="A17268" s="9" t="str">
        <f>HYPERLINK("http://www.ensembl.org/id/WBGene00194835", "WBGene00194835")</f>
        <v>WBGene00194835</v>
      </c>
      <c r="B17268" s="9" t="str">
        <f>HYPERLINK("http://www.ncbi.nlm.nih.gov/gene/13193027", "13193027")</f>
        <v>13193027</v>
      </c>
      <c r="C17268" s="9"/>
      <c r="D17268" t="str">
        <f>"Y17G9B.11"</f>
        <v>Y17G9B.11</v>
      </c>
      <c r="F17268" t="s">
        <v>11</v>
      </c>
      <c r="H17268" s="12">
        <v>1.22149238405482</v>
      </c>
      <c r="I17268" s="20">
        <v>0.27124844854444402</v>
      </c>
      <c r="J17268" s="28">
        <v>0.78619995263294895</v>
      </c>
      <c r="K17268" s="29">
        <v>0.98289565623980701</v>
      </c>
    </row>
    <row r="17269" spans="1:11" x14ac:dyDescent="0.35">
      <c r="A17269" s="9" t="str">
        <f>HYPERLINK("http://www.ensembl.org/id/WBGene00021199", "WBGene00021199")</f>
        <v>WBGene00021199</v>
      </c>
      <c r="B17269" s="9" t="str">
        <f>HYPERLINK("http://www.ncbi.nlm.nih.gov/gene/177247", "177247")</f>
        <v>177247</v>
      </c>
      <c r="C17269" s="9"/>
      <c r="D17269" t="str">
        <f>"Y17G9B.2"</f>
        <v>Y17G9B.2</v>
      </c>
      <c r="F17269" t="s">
        <v>11</v>
      </c>
      <c r="H17269" s="12">
        <v>1.50314566158625</v>
      </c>
      <c r="I17269" s="20">
        <v>0.93725989144132904</v>
      </c>
      <c r="J17269" s="28">
        <v>0.34862488894622301</v>
      </c>
      <c r="K17269" s="29">
        <v>0.98289565623980701</v>
      </c>
    </row>
    <row r="17270" spans="1:11" x14ac:dyDescent="0.35">
      <c r="A17270" s="9" t="str">
        <f>HYPERLINK("http://www.ensembl.org/id/WBGene00021201", "WBGene00021201")</f>
        <v>WBGene00021201</v>
      </c>
      <c r="B17270" s="9" t="str">
        <f>HYPERLINK("http://www.ncbi.nlm.nih.gov/gene/177245", "177245")</f>
        <v>177245</v>
      </c>
      <c r="C17270" s="9"/>
      <c r="D17270" t="str">
        <f>"Y17G9B.4"</f>
        <v>Y17G9B.4</v>
      </c>
      <c r="E17270" t="s">
        <v>8860</v>
      </c>
      <c r="F17270" t="s">
        <v>11</v>
      </c>
      <c r="G17270" t="s">
        <v>9972</v>
      </c>
      <c r="H17270" s="12">
        <v>-1.5205482295189601</v>
      </c>
      <c r="I17270" s="20">
        <v>-0.875439307923084</v>
      </c>
      <c r="J17270" s="28">
        <v>0.38133491981547002</v>
      </c>
      <c r="K17270" s="29">
        <v>0.98289565623980701</v>
      </c>
    </row>
    <row r="17271" spans="1:11" x14ac:dyDescent="0.35">
      <c r="A17271" s="9" t="str">
        <f>HYPERLINK("http://www.ensembl.org/id/WBGene00021202", "WBGene00021202")</f>
        <v>WBGene00021202</v>
      </c>
      <c r="B17271" s="9" t="str">
        <f>HYPERLINK("http://www.ncbi.nlm.nih.gov/gene/177244", "177244")</f>
        <v>177244</v>
      </c>
      <c r="C17271" s="9" t="str">
        <f>HYPERLINK("http://www.ncbi.nlm.nih.gov/gene/51295", "51295")</f>
        <v>51295</v>
      </c>
      <c r="D17271" t="str">
        <f>"Y17G9B.5"</f>
        <v>Y17G9B.5</v>
      </c>
      <c r="F17271" t="s">
        <v>11</v>
      </c>
      <c r="G17271" t="s">
        <v>6317</v>
      </c>
      <c r="H17271" s="12">
        <v>-1.06237306384196</v>
      </c>
      <c r="I17271" s="20">
        <v>-0.29064479869728099</v>
      </c>
      <c r="J17271" s="28">
        <v>0.77132299396036896</v>
      </c>
      <c r="K17271" s="29">
        <v>0.98289565623980701</v>
      </c>
    </row>
    <row r="17272" spans="1:11" x14ac:dyDescent="0.35">
      <c r="A17272" s="9" t="str">
        <f>HYPERLINK("http://www.ensembl.org/id/WBGene00012475", "WBGene00012475")</f>
        <v>WBGene00012475</v>
      </c>
      <c r="B17272" s="9" t="str">
        <f>HYPERLINK("http://www.ncbi.nlm.nih.gov/gene/189471", "189471")</f>
        <v>189471</v>
      </c>
      <c r="C17272" s="9"/>
      <c r="D17272" t="str">
        <f>"Y18D10A.2"</f>
        <v>Y18D10A.2</v>
      </c>
      <c r="F17272" t="s">
        <v>11</v>
      </c>
      <c r="G17272" t="s">
        <v>1101</v>
      </c>
      <c r="H17272" s="12">
        <v>-1.2128200849544299</v>
      </c>
      <c r="I17272" s="20">
        <v>-0.39837972967330898</v>
      </c>
      <c r="J17272" s="28">
        <v>0.69035029742586695</v>
      </c>
      <c r="K17272" s="29">
        <v>0.98289565623980701</v>
      </c>
    </row>
    <row r="17273" spans="1:11" x14ac:dyDescent="0.35">
      <c r="A17273" s="9" t="str">
        <f>HYPERLINK("http://www.ensembl.org/id/WBGene00012486", "WBGene00012486")</f>
        <v>WBGene00012486</v>
      </c>
      <c r="B17273" s="9" t="str">
        <f>HYPERLINK("http://www.ncbi.nlm.nih.gov/gene/189477", "189477")</f>
        <v>189477</v>
      </c>
      <c r="C17273" s="9"/>
      <c r="D17273" t="str">
        <f>"Y18D10A.21"</f>
        <v>Y18D10A.21</v>
      </c>
      <c r="F17273" t="s">
        <v>11</v>
      </c>
      <c r="H17273" s="12">
        <v>-2.01333790067484</v>
      </c>
      <c r="I17273" s="20">
        <v>-0.42651923173290002</v>
      </c>
      <c r="J17273" s="28">
        <v>0.66972953739979102</v>
      </c>
      <c r="K17273" s="29">
        <v>0.98289565623980701</v>
      </c>
    </row>
    <row r="17274" spans="1:11" x14ac:dyDescent="0.35">
      <c r="A17274" s="9" t="str">
        <f>HYPERLINK("http://www.ensembl.org/id/WBGene00012487", "WBGene00012487")</f>
        <v>WBGene00012487</v>
      </c>
      <c r="B17274" s="9" t="str">
        <f>HYPERLINK("http://www.ncbi.nlm.nih.gov/gene/173155", "173155")</f>
        <v>173155</v>
      </c>
      <c r="C17274" s="9"/>
      <c r="D17274" t="str">
        <f>"Y18D10A.23"</f>
        <v>Y18D10A.23</v>
      </c>
      <c r="F17274" t="s">
        <v>11</v>
      </c>
      <c r="G17274" t="s">
        <v>372</v>
      </c>
      <c r="H17274" s="12">
        <v>1.1987662141681901</v>
      </c>
      <c r="I17274" s="20">
        <v>0.94387622309555497</v>
      </c>
      <c r="J17274" s="28">
        <v>0.34523290363537301</v>
      </c>
      <c r="K17274" s="29">
        <v>0.98289565623980701</v>
      </c>
    </row>
    <row r="17275" spans="1:11" x14ac:dyDescent="0.35">
      <c r="A17275" s="9" t="str">
        <f>HYPERLINK("http://www.ensembl.org/id/WBGene00220135", "WBGene00220135")</f>
        <v>WBGene00220135</v>
      </c>
      <c r="B17275" s="9"/>
      <c r="C17275" s="9"/>
      <c r="D17275" t="str">
        <f>"Y18D10A.29"</f>
        <v>Y18D10A.29</v>
      </c>
      <c r="F17275" t="s">
        <v>481</v>
      </c>
      <c r="H17275" s="12">
        <v>18.675346917252099</v>
      </c>
      <c r="I17275" s="20">
        <v>1.0483735932338201</v>
      </c>
      <c r="J17275" s="28">
        <v>0.294466515011581</v>
      </c>
      <c r="K17275" s="29">
        <v>0.98289565623980701</v>
      </c>
    </row>
    <row r="17276" spans="1:11" x14ac:dyDescent="0.35">
      <c r="A17276" s="9" t="str">
        <f>HYPERLINK("http://www.ensembl.org/id/WBGene00012476", "WBGene00012476")</f>
        <v>WBGene00012476</v>
      </c>
      <c r="B17276" s="9" t="str">
        <f>HYPERLINK("http://www.ncbi.nlm.nih.gov/gene/189472", "189472")</f>
        <v>189472</v>
      </c>
      <c r="C17276" s="9" t="str">
        <f>HYPERLINK("http://www.ncbi.nlm.nih.gov/gene/128240", "128240")</f>
        <v>128240</v>
      </c>
      <c r="D17276" t="str">
        <f>"Y18D10A.3"</f>
        <v>Y18D10A.3</v>
      </c>
      <c r="E17276" t="s">
        <v>7925</v>
      </c>
      <c r="F17276" t="s">
        <v>11</v>
      </c>
      <c r="G17276" t="s">
        <v>7926</v>
      </c>
      <c r="H17276" s="12">
        <v>-1.15160873923366</v>
      </c>
      <c r="I17276" s="20">
        <v>-0.57689966783715696</v>
      </c>
      <c r="J17276" s="28">
        <v>0.56400723499580396</v>
      </c>
      <c r="K17276" s="29">
        <v>0.98289565623980701</v>
      </c>
    </row>
    <row r="17277" spans="1:11" x14ac:dyDescent="0.35">
      <c r="A17277" s="9" t="str">
        <f>HYPERLINK("http://www.ensembl.org/id/WBGene00271598", "WBGene00271598")</f>
        <v>WBGene00271598</v>
      </c>
      <c r="B17277" s="9"/>
      <c r="C17277" s="9"/>
      <c r="D17277" t="str">
        <f>"Y18D10A.30"</f>
        <v>Y18D10A.30</v>
      </c>
      <c r="F17277" t="s">
        <v>80</v>
      </c>
      <c r="H17277" s="12">
        <v>5.1811368191421501</v>
      </c>
      <c r="I17277" s="20">
        <v>0.68391079834567003</v>
      </c>
      <c r="J17277" s="28">
        <v>0.49403149486534498</v>
      </c>
      <c r="K17277" s="29">
        <v>0.98289565623980701</v>
      </c>
    </row>
    <row r="17278" spans="1:11" x14ac:dyDescent="0.35">
      <c r="A17278" s="9" t="str">
        <f>HYPERLINK("http://www.ensembl.org/id/WBGene00012477", "WBGene00012477")</f>
        <v>WBGene00012477</v>
      </c>
      <c r="B17278" s="9" t="str">
        <f>HYPERLINK("http://www.ncbi.nlm.nih.gov/gene/189473", "189473")</f>
        <v>189473</v>
      </c>
      <c r="C17278" s="9"/>
      <c r="D17278" t="str">
        <f>"Y18D10A.4"</f>
        <v>Y18D10A.4</v>
      </c>
      <c r="F17278" t="s">
        <v>11</v>
      </c>
      <c r="G17278" t="s">
        <v>25</v>
      </c>
      <c r="H17278" s="12">
        <v>7.6616465944663696</v>
      </c>
      <c r="I17278" s="20">
        <v>0.60406875593600395</v>
      </c>
      <c r="J17278" s="28">
        <v>0.54579793098927099</v>
      </c>
      <c r="K17278" s="29">
        <v>0.98289565623980701</v>
      </c>
    </row>
    <row r="17279" spans="1:11" x14ac:dyDescent="0.35">
      <c r="A17279" s="9" t="str">
        <f>HYPERLINK("http://www.ensembl.org/id/WBGene00012479", "WBGene00012479")</f>
        <v>WBGene00012479</v>
      </c>
      <c r="B17279" s="9" t="str">
        <f>HYPERLINK("http://www.ncbi.nlm.nih.gov/gene/173152", "173152")</f>
        <v>173152</v>
      </c>
      <c r="C17279" s="9" t="str">
        <f>HYPERLINK("http://www.ncbi.nlm.nih.gov/gene/9391", "9391")</f>
        <v>9391</v>
      </c>
      <c r="D17279" t="str">
        <f>"Y18D10A.9"</f>
        <v>Y18D10A.9</v>
      </c>
      <c r="E17279" t="s">
        <v>9234</v>
      </c>
      <c r="F17279" t="s">
        <v>11</v>
      </c>
      <c r="G17279" t="s">
        <v>9235</v>
      </c>
      <c r="H17279" s="12">
        <v>-1.2296540312786</v>
      </c>
      <c r="I17279" s="20">
        <v>-0.87465422875787302</v>
      </c>
      <c r="J17279" s="28">
        <v>0.38176207175407301</v>
      </c>
      <c r="K17279" s="29">
        <v>0.98289565623980701</v>
      </c>
    </row>
    <row r="17280" spans="1:11" x14ac:dyDescent="0.35">
      <c r="A17280" s="9" t="str">
        <f>HYPERLINK("http://www.ensembl.org/id/WBGene00044434", "WBGene00044434")</f>
        <v>WBGene00044434</v>
      </c>
      <c r="B17280" s="9" t="str">
        <f>HYPERLINK("http://www.ncbi.nlm.nih.gov/gene/3564878", "3564878")</f>
        <v>3564878</v>
      </c>
      <c r="C17280" s="9"/>
      <c r="D17280" t="str">
        <f>"Y18H1A.15"</f>
        <v>Y18H1A.15</v>
      </c>
      <c r="F17280" t="s">
        <v>11</v>
      </c>
      <c r="G17280" t="s">
        <v>25</v>
      </c>
      <c r="H17280" s="12">
        <v>1.54149853887385</v>
      </c>
      <c r="I17280" s="20">
        <v>0.38215040127643601</v>
      </c>
      <c r="J17280" s="28">
        <v>0.70234980884542497</v>
      </c>
      <c r="K17280" s="29">
        <v>0.98289565623980701</v>
      </c>
    </row>
    <row r="17281" spans="1:11" x14ac:dyDescent="0.35">
      <c r="A17281" s="9" t="str">
        <f>HYPERLINK("http://www.ensembl.org/id/WBGene00197162", "WBGene00197162")</f>
        <v>WBGene00197162</v>
      </c>
      <c r="B17281" s="9"/>
      <c r="C17281" s="9"/>
      <c r="D17281" t="str">
        <f>"Y18H1A.16"</f>
        <v>Y18H1A.16</v>
      </c>
      <c r="F17281" t="s">
        <v>481</v>
      </c>
      <c r="H17281" s="12">
        <v>3.6645215954135</v>
      </c>
      <c r="I17281" s="20">
        <v>0.37967131826092498</v>
      </c>
      <c r="J17281" s="28">
        <v>0.70418941338960395</v>
      </c>
      <c r="K17281" s="29">
        <v>0.98289565623980701</v>
      </c>
    </row>
    <row r="17282" spans="1:11" x14ac:dyDescent="0.35">
      <c r="A17282" s="9" t="str">
        <f>HYPERLINK("http://www.ensembl.org/id/WBGene00236789", "WBGene00236789")</f>
        <v>WBGene00236789</v>
      </c>
      <c r="B17282" s="9" t="str">
        <f>HYPERLINK("http://www.ncbi.nlm.nih.gov/gene/24105053", "24105053")</f>
        <v>24105053</v>
      </c>
      <c r="C17282" s="9"/>
      <c r="D17282" t="str">
        <f>"Y18H1A.18"</f>
        <v>Y18H1A.18</v>
      </c>
      <c r="F17282" t="s">
        <v>11</v>
      </c>
      <c r="H17282" s="12">
        <v>1.3708560703236199</v>
      </c>
      <c r="I17282" s="20">
        <v>0.38741026376981202</v>
      </c>
      <c r="J17282" s="28">
        <v>0.69845250653861302</v>
      </c>
      <c r="K17282" s="29">
        <v>0.98289565623980701</v>
      </c>
    </row>
    <row r="17283" spans="1:11" x14ac:dyDescent="0.35">
      <c r="A17283" s="9" t="str">
        <f>HYPERLINK("http://www.ensembl.org/id/WBGene00021210", "WBGene00021210")</f>
        <v>WBGene00021210</v>
      </c>
      <c r="B17283" s="9" t="str">
        <f>HYPERLINK("http://www.ncbi.nlm.nih.gov/gene/171661", "171661")</f>
        <v>171661</v>
      </c>
      <c r="C17283" s="9"/>
      <c r="D17283" t="str">
        <f>"Y18H1A.4"</f>
        <v>Y18H1A.4</v>
      </c>
      <c r="F17283" t="s">
        <v>11</v>
      </c>
      <c r="G17283" t="s">
        <v>6608</v>
      </c>
      <c r="H17283" s="12">
        <v>-1.0795125024703001</v>
      </c>
      <c r="I17283" s="20">
        <v>-0.38827885356027703</v>
      </c>
      <c r="J17283" s="28">
        <v>0.69780968452107495</v>
      </c>
      <c r="K17283" s="29">
        <v>0.98289565623980701</v>
      </c>
    </row>
    <row r="17284" spans="1:11" x14ac:dyDescent="0.35">
      <c r="A17284" s="9" t="str">
        <f>HYPERLINK("http://www.ensembl.org/id/WBGene00044734", "WBGene00044734")</f>
        <v>WBGene00044734</v>
      </c>
      <c r="B17284" s="9" t="str">
        <f>HYPERLINK("http://www.ncbi.nlm.nih.gov/gene/4363084", "4363084")</f>
        <v>4363084</v>
      </c>
      <c r="C17284" s="9"/>
      <c r="D17284" t="str">
        <f>"Y19D10A.16"</f>
        <v>Y19D10A.16</v>
      </c>
      <c r="E17284" t="s">
        <v>10051</v>
      </c>
      <c r="F17284" t="s">
        <v>11</v>
      </c>
      <c r="G17284" t="s">
        <v>10052</v>
      </c>
      <c r="H17284" s="12">
        <v>-2.4295389261469</v>
      </c>
      <c r="I17284" s="20">
        <v>-0.25808529976640998</v>
      </c>
      <c r="J17284" s="28">
        <v>0.79634107645457397</v>
      </c>
      <c r="K17284" s="29">
        <v>0.98289565623980701</v>
      </c>
    </row>
    <row r="17285" spans="1:11" x14ac:dyDescent="0.35">
      <c r="A17285" s="9" t="str">
        <f>HYPERLINK("http://www.ensembl.org/id/WBGene00021233", "WBGene00021233")</f>
        <v>WBGene00021233</v>
      </c>
      <c r="B17285" s="9"/>
      <c r="C17285" s="9"/>
      <c r="D17285" t="str">
        <f>"Y19D10B.4"</f>
        <v>Y19D10B.4</v>
      </c>
      <c r="F17285" t="s">
        <v>80</v>
      </c>
      <c r="H17285" s="12">
        <v>2.4578120077400301</v>
      </c>
      <c r="I17285" s="20">
        <v>0.26093350314551</v>
      </c>
      <c r="J17285" s="28">
        <v>0.79414378780213601</v>
      </c>
      <c r="K17285" s="29">
        <v>0.98289565623980701</v>
      </c>
    </row>
    <row r="17286" spans="1:11" x14ac:dyDescent="0.35">
      <c r="A17286" s="9" t="str">
        <f>HYPERLINK("http://www.ensembl.org/id/WBGene00021235", "WBGene00021235")</f>
        <v>WBGene00021235</v>
      </c>
      <c r="B17286" s="9" t="str">
        <f>HYPERLINK("http://www.ncbi.nlm.nih.gov/gene/189497", "189497")</f>
        <v>189497</v>
      </c>
      <c r="C17286" s="9"/>
      <c r="D17286" t="str">
        <f>"Y19D10B.6"</f>
        <v>Y19D10B.6</v>
      </c>
      <c r="F17286" t="s">
        <v>11</v>
      </c>
      <c r="G17286" t="s">
        <v>9859</v>
      </c>
      <c r="H17286" s="12">
        <v>-1.3335712020475701</v>
      </c>
      <c r="I17286" s="20">
        <v>-0.77545984185440697</v>
      </c>
      <c r="J17286" s="28">
        <v>0.43806798619904702</v>
      </c>
      <c r="K17286" s="29">
        <v>0.98289565623980701</v>
      </c>
    </row>
    <row r="17287" spans="1:11" x14ac:dyDescent="0.35">
      <c r="A17287" s="9" t="str">
        <f>HYPERLINK("http://www.ensembl.org/id/WBGene00235117", "WBGene00235117")</f>
        <v>WBGene00235117</v>
      </c>
      <c r="B17287" s="9" t="str">
        <f>HYPERLINK("http://www.ncbi.nlm.nih.gov/gene/24105054", "24105054")</f>
        <v>24105054</v>
      </c>
      <c r="C17287" s="9"/>
      <c r="D17287" t="str">
        <f>"Y19D10B.8"</f>
        <v>Y19D10B.8</v>
      </c>
      <c r="F17287" t="s">
        <v>11</v>
      </c>
      <c r="H17287" s="12">
        <v>2.4578120077400301</v>
      </c>
      <c r="I17287" s="20">
        <v>0.26093350314551</v>
      </c>
      <c r="J17287" s="28">
        <v>0.79414378780213601</v>
      </c>
      <c r="K17287" s="29">
        <v>0.98289565623980701</v>
      </c>
    </row>
    <row r="17288" spans="1:11" x14ac:dyDescent="0.35">
      <c r="A17288" s="9" t="str">
        <f>HYPERLINK("http://www.ensembl.org/id/WBGene00012489", "WBGene00012489")</f>
        <v>WBGene00012489</v>
      </c>
      <c r="B17288" s="9" t="str">
        <f>HYPERLINK("http://www.ncbi.nlm.nih.gov/gene/189479", "189479")</f>
        <v>189479</v>
      </c>
      <c r="C17288" s="9"/>
      <c r="D17288" t="str">
        <f>"Y19D2B.1"</f>
        <v>Y19D2B.1</v>
      </c>
      <c r="F17288" t="s">
        <v>11</v>
      </c>
      <c r="G17288" t="s">
        <v>4306</v>
      </c>
      <c r="H17288" s="12">
        <v>3.5227018545059199</v>
      </c>
      <c r="I17288" s="20">
        <v>0.36849691206929103</v>
      </c>
      <c r="J17288" s="28">
        <v>0.71250274722433404</v>
      </c>
      <c r="K17288" s="29">
        <v>0.98289565623980701</v>
      </c>
    </row>
    <row r="17289" spans="1:11" x14ac:dyDescent="0.35">
      <c r="A17289" s="9" t="str">
        <f>HYPERLINK("http://www.ensembl.org/id/WBGene00012490", "WBGene00012490")</f>
        <v>WBGene00012490</v>
      </c>
      <c r="B17289" s="9" t="str">
        <f>HYPERLINK("http://www.ncbi.nlm.nih.gov/gene/3565217", "3565217")</f>
        <v>3565217</v>
      </c>
      <c r="C17289" s="9"/>
      <c r="D17289" t="str">
        <f>"Y19D2B.2"</f>
        <v>Y19D2B.2</v>
      </c>
      <c r="F17289" t="s">
        <v>11</v>
      </c>
      <c r="H17289" s="12">
        <v>1.23185458879017</v>
      </c>
      <c r="I17289" s="20">
        <v>0.38060446981757001</v>
      </c>
      <c r="J17289" s="28">
        <v>0.70349676407272399</v>
      </c>
      <c r="K17289" s="29">
        <v>0.98289565623980701</v>
      </c>
    </row>
    <row r="17290" spans="1:11" x14ac:dyDescent="0.35">
      <c r="A17290" s="9" t="str">
        <f>HYPERLINK("http://www.ensembl.org/id/WBGene00012379", "WBGene00012379")</f>
        <v>WBGene00012379</v>
      </c>
      <c r="B17290" s="9" t="str">
        <f>HYPERLINK("http://www.ncbi.nlm.nih.gov/gene/175515", "175515")</f>
        <v>175515</v>
      </c>
      <c r="C17290" s="9"/>
      <c r="D17290" t="str">
        <f>"Y1A5A.1"</f>
        <v>Y1A5A.1</v>
      </c>
      <c r="F17290" t="s">
        <v>11</v>
      </c>
      <c r="G17290" t="s">
        <v>4204</v>
      </c>
      <c r="H17290" s="12">
        <v>3.5690760151780498</v>
      </c>
      <c r="I17290" s="20">
        <v>0.91372516866876596</v>
      </c>
      <c r="J17290" s="28">
        <v>0.36086127553331698</v>
      </c>
      <c r="K17290" s="29">
        <v>0.98289565623980701</v>
      </c>
    </row>
    <row r="17291" spans="1:11" x14ac:dyDescent="0.35">
      <c r="A17291" s="9" t="str">
        <f>HYPERLINK("http://www.ensembl.org/id/WBGene00012491", "WBGene00012491")</f>
        <v>WBGene00012491</v>
      </c>
      <c r="B17291" s="9" t="str">
        <f>HYPERLINK("http://www.ncbi.nlm.nih.gov/gene/180151", "180151")</f>
        <v>180151</v>
      </c>
      <c r="C17291" s="9"/>
      <c r="D17291" t="str">
        <f>"Y20C6A.1"</f>
        <v>Y20C6A.1</v>
      </c>
      <c r="F17291" t="s">
        <v>11</v>
      </c>
      <c r="G17291" t="s">
        <v>54</v>
      </c>
      <c r="H17291" s="12">
        <v>-1.40449322694376</v>
      </c>
      <c r="I17291" s="20">
        <v>-1.0945309543109201</v>
      </c>
      <c r="J17291" s="28">
        <v>0.27372217903950102</v>
      </c>
      <c r="K17291" s="29">
        <v>0.98289565623980701</v>
      </c>
    </row>
    <row r="17292" spans="1:11" x14ac:dyDescent="0.35">
      <c r="A17292" s="9" t="str">
        <f>HYPERLINK("http://www.ensembl.org/id/WBGene00012493", "WBGene00012493")</f>
        <v>WBGene00012493</v>
      </c>
      <c r="B17292" s="9"/>
      <c r="C17292" s="9"/>
      <c r="D17292" t="str">
        <f>"Y20C6A.3"</f>
        <v>Y20C6A.3</v>
      </c>
      <c r="F17292" t="s">
        <v>80</v>
      </c>
      <c r="H17292" s="12">
        <v>-2.4991590031922399</v>
      </c>
      <c r="I17292" s="20">
        <v>-0.26577412737581302</v>
      </c>
      <c r="J17292" s="28">
        <v>0.79041317015736101</v>
      </c>
      <c r="K17292" s="29">
        <v>0.98289565623980701</v>
      </c>
    </row>
    <row r="17293" spans="1:11" x14ac:dyDescent="0.35">
      <c r="A17293" s="9" t="str">
        <f>HYPERLINK("http://www.ensembl.org/id/WBGene00021239", "WBGene00021239")</f>
        <v>WBGene00021239</v>
      </c>
      <c r="B17293" s="9" t="str">
        <f>HYPERLINK("http://www.ncbi.nlm.nih.gov/gene/245999", "245999")</f>
        <v>245999</v>
      </c>
      <c r="C17293" s="9"/>
      <c r="D17293" t="str">
        <f>"Y20F4.4"</f>
        <v>Y20F4.4</v>
      </c>
      <c r="F17293" t="s">
        <v>11</v>
      </c>
      <c r="H17293" s="12">
        <v>1.21154909036492</v>
      </c>
      <c r="I17293" s="20">
        <v>0.90105680718356396</v>
      </c>
      <c r="J17293" s="28">
        <v>0.36755811656381399</v>
      </c>
      <c r="K17293" s="29">
        <v>0.98289565623980701</v>
      </c>
    </row>
    <row r="17294" spans="1:11" x14ac:dyDescent="0.35">
      <c r="A17294" s="9" t="str">
        <f>HYPERLINK("http://www.ensembl.org/id/WBGene00044435", "WBGene00044435")</f>
        <v>WBGene00044435</v>
      </c>
      <c r="B17294" s="9" t="str">
        <f>HYPERLINK("http://www.ncbi.nlm.nih.gov/gene/3565842", "3565842")</f>
        <v>3565842</v>
      </c>
      <c r="C17294" s="9"/>
      <c r="D17294" t="str">
        <f>"Y20F4.8"</f>
        <v>Y20F4.8</v>
      </c>
      <c r="F17294" t="s">
        <v>11</v>
      </c>
      <c r="H17294" s="12">
        <v>1.47164245921214</v>
      </c>
      <c r="I17294" s="20">
        <v>0.487626496231085</v>
      </c>
      <c r="J17294" s="28">
        <v>0.62581442429737899</v>
      </c>
      <c r="K17294" s="29">
        <v>0.98289565623980701</v>
      </c>
    </row>
    <row r="17295" spans="1:11" x14ac:dyDescent="0.35">
      <c r="A17295" s="9" t="str">
        <f>HYPERLINK("http://www.ensembl.org/id/WBGene00021248", "WBGene00021248")</f>
        <v>WBGene00021248</v>
      </c>
      <c r="B17295" s="9" t="str">
        <f>HYPERLINK("http://www.ncbi.nlm.nih.gov/gene/175315", "175315")</f>
        <v>175315</v>
      </c>
      <c r="C17295" s="9" t="str">
        <f>HYPERLINK("http://www.ncbi.nlm.nih.gov/gene/3336", "3336")</f>
        <v>3336</v>
      </c>
      <c r="D17295" t="str">
        <f>"Y22D7AL.10"</f>
        <v>Y22D7AL.10</v>
      </c>
      <c r="F17295" t="s">
        <v>11</v>
      </c>
      <c r="G17295" t="s">
        <v>9152</v>
      </c>
      <c r="H17295" s="12">
        <v>-1.22477264075182</v>
      </c>
      <c r="I17295" s="20">
        <v>-1.02303476030065</v>
      </c>
      <c r="J17295" s="28">
        <v>0.30629141099423401</v>
      </c>
      <c r="K17295" s="29">
        <v>0.98289565623980701</v>
      </c>
    </row>
    <row r="17296" spans="1:11" x14ac:dyDescent="0.35">
      <c r="A17296" s="9" t="str">
        <f>HYPERLINK("http://www.ensembl.org/id/WBGene00021249", "WBGene00021249")</f>
        <v>WBGene00021249</v>
      </c>
      <c r="B17296" s="9" t="str">
        <f>HYPERLINK("http://www.ncbi.nlm.nih.gov/gene/189504", "189504")</f>
        <v>189504</v>
      </c>
      <c r="C17296" s="9"/>
      <c r="D17296" t="str">
        <f>"Y22D7AL.11"</f>
        <v>Y22D7AL.11</v>
      </c>
      <c r="F17296" t="s">
        <v>11</v>
      </c>
      <c r="H17296" s="12">
        <v>1.75156302348358</v>
      </c>
      <c r="I17296" s="20">
        <v>0.803536377839976</v>
      </c>
      <c r="J17296" s="28">
        <v>0.42166477942054398</v>
      </c>
      <c r="K17296" s="29">
        <v>0.98289565623980701</v>
      </c>
    </row>
    <row r="17297" spans="1:11" x14ac:dyDescent="0.35">
      <c r="A17297" s="9" t="str">
        <f>HYPERLINK("http://www.ensembl.org/id/WBGene00202396", "WBGene00202396")</f>
        <v>WBGene00202396</v>
      </c>
      <c r="B17297" s="9"/>
      <c r="C17297" s="9"/>
      <c r="D17297" t="str">
        <f>"Y22D7AL.19"</f>
        <v>Y22D7AL.19</v>
      </c>
      <c r="F17297" t="s">
        <v>481</v>
      </c>
      <c r="H17297" s="12">
        <v>-2.4991590031922399</v>
      </c>
      <c r="I17297" s="20">
        <v>-0.26577412737581302</v>
      </c>
      <c r="J17297" s="28">
        <v>0.79041317015736101</v>
      </c>
      <c r="K17297" s="29">
        <v>0.98289565623980701</v>
      </c>
    </row>
    <row r="17298" spans="1:11" x14ac:dyDescent="0.35">
      <c r="A17298" s="9" t="str">
        <f>HYPERLINK("http://www.ensembl.org/id/WBGene00021246", "WBGene00021246")</f>
        <v>WBGene00021246</v>
      </c>
      <c r="B17298" s="9" t="str">
        <f>HYPERLINK("http://www.ncbi.nlm.nih.gov/gene/175312", "175312")</f>
        <v>175312</v>
      </c>
      <c r="C17298" s="9"/>
      <c r="D17298" t="str">
        <f>"Y22D7AL.7"</f>
        <v>Y22D7AL.7</v>
      </c>
      <c r="F17298" t="s">
        <v>11</v>
      </c>
      <c r="H17298" s="12">
        <v>-1.2276689051352201</v>
      </c>
      <c r="I17298" s="20">
        <v>-0.77994686138255598</v>
      </c>
      <c r="J17298" s="28">
        <v>0.43542215374444498</v>
      </c>
      <c r="K17298" s="29">
        <v>0.98289565623980701</v>
      </c>
    </row>
    <row r="17299" spans="1:11" x14ac:dyDescent="0.35">
      <c r="A17299" s="9" t="str">
        <f>HYPERLINK("http://www.ensembl.org/id/WBGene00021256", "WBGene00021256")</f>
        <v>WBGene00021256</v>
      </c>
      <c r="B17299" s="9" t="str">
        <f>HYPERLINK("http://www.ncbi.nlm.nih.gov/gene/189510", "189510")</f>
        <v>189510</v>
      </c>
      <c r="C17299" s="9"/>
      <c r="D17299" t="str">
        <f>"Y22D7AR.2"</f>
        <v>Y22D7AR.2</v>
      </c>
      <c r="F17299" t="s">
        <v>11</v>
      </c>
      <c r="G17299" t="s">
        <v>417</v>
      </c>
      <c r="H17299" s="12">
        <v>-1.65526994537462</v>
      </c>
      <c r="I17299" s="20">
        <v>-0.80924911264792798</v>
      </c>
      <c r="J17299" s="28">
        <v>0.41837187031196399</v>
      </c>
      <c r="K17299" s="29">
        <v>0.98289565623980701</v>
      </c>
    </row>
    <row r="17300" spans="1:11" x14ac:dyDescent="0.35">
      <c r="A17300" s="9" t="str">
        <f>HYPERLINK("http://www.ensembl.org/id/WBGene00021257", "WBGene00021257")</f>
        <v>WBGene00021257</v>
      </c>
      <c r="B17300" s="9" t="str">
        <f>HYPERLINK("http://www.ncbi.nlm.nih.gov/gene/189511", "189511")</f>
        <v>189511</v>
      </c>
      <c r="C17300" s="9"/>
      <c r="D17300" t="str">
        <f>"Y22D7AR.3"</f>
        <v>Y22D7AR.3</v>
      </c>
      <c r="F17300" t="s">
        <v>11</v>
      </c>
      <c r="H17300" s="12">
        <v>3.4762328012032402</v>
      </c>
      <c r="I17300" s="20">
        <v>0.65543425799545096</v>
      </c>
      <c r="J17300" s="28">
        <v>0.51218820083057803</v>
      </c>
      <c r="K17300" s="29">
        <v>0.98289565623980701</v>
      </c>
    </row>
    <row r="17301" spans="1:11" x14ac:dyDescent="0.35">
      <c r="A17301" s="9" t="str">
        <f>HYPERLINK("http://www.ensembl.org/id/WBGene00021260", "WBGene00021260")</f>
        <v>WBGene00021260</v>
      </c>
      <c r="B17301" s="9" t="str">
        <f>HYPERLINK("http://www.ncbi.nlm.nih.gov/gene/175320", "175320")</f>
        <v>175320</v>
      </c>
      <c r="C17301" s="9"/>
      <c r="D17301" t="str">
        <f>"Y22D7AR.6"</f>
        <v>Y22D7AR.6</v>
      </c>
      <c r="E17301" t="s">
        <v>4005</v>
      </c>
      <c r="F17301" t="s">
        <v>11</v>
      </c>
      <c r="G17301" t="s">
        <v>4006</v>
      </c>
      <c r="H17301" s="12">
        <v>1.1210314065990601</v>
      </c>
      <c r="I17301" s="20">
        <v>0.48133001449437002</v>
      </c>
      <c r="J17301" s="28">
        <v>0.63028196829393202</v>
      </c>
      <c r="K17301" s="29">
        <v>0.98289565623980701</v>
      </c>
    </row>
    <row r="17302" spans="1:11" x14ac:dyDescent="0.35">
      <c r="A17302" s="9" t="str">
        <f>HYPERLINK("http://www.ensembl.org/id/WBGene00021261", "WBGene00021261")</f>
        <v>WBGene00021261</v>
      </c>
      <c r="B17302" s="9" t="str">
        <f>HYPERLINK("http://www.ncbi.nlm.nih.gov/gene/189514", "189514")</f>
        <v>189514</v>
      </c>
      <c r="C17302" s="9"/>
      <c r="D17302" t="str">
        <f>"Y22D7AR.7"</f>
        <v>Y22D7AR.7</v>
      </c>
      <c r="F17302" t="s">
        <v>11</v>
      </c>
      <c r="G17302" t="s">
        <v>4732</v>
      </c>
      <c r="H17302" s="12">
        <v>1.43692621294194</v>
      </c>
      <c r="I17302" s="20">
        <v>0.26133843179264798</v>
      </c>
      <c r="J17302" s="28">
        <v>0.79383153175476096</v>
      </c>
      <c r="K17302" s="29">
        <v>0.98289565623980701</v>
      </c>
    </row>
    <row r="17303" spans="1:11" x14ac:dyDescent="0.35">
      <c r="A17303" s="9" t="str">
        <f>HYPERLINK("http://www.ensembl.org/id/WBGene00206471", "WBGene00206471")</f>
        <v>WBGene00206471</v>
      </c>
      <c r="B17303" s="9" t="str">
        <f>HYPERLINK("http://www.ncbi.nlm.nih.gov/gene/13214708", "13214708")</f>
        <v>13214708</v>
      </c>
      <c r="C17303" s="9"/>
      <c r="D17303" t="str">
        <f>"Y22F5A.11"</f>
        <v>Y22F5A.11</v>
      </c>
      <c r="F17303" t="s">
        <v>11</v>
      </c>
      <c r="H17303" s="12">
        <v>-2.4991590031922399</v>
      </c>
      <c r="I17303" s="20">
        <v>-0.26577412737581302</v>
      </c>
      <c r="J17303" s="28">
        <v>0.79041317015736101</v>
      </c>
      <c r="K17303" s="29">
        <v>0.98289565623980701</v>
      </c>
    </row>
    <row r="17304" spans="1:11" x14ac:dyDescent="0.35">
      <c r="A17304" s="9" t="str">
        <f>HYPERLINK("http://www.ensembl.org/id/WBGene00198727", "WBGene00198727")</f>
        <v>WBGene00198727</v>
      </c>
      <c r="B17304" s="9"/>
      <c r="C17304" s="9"/>
      <c r="D17304" t="str">
        <f>"Y23H5A.10"</f>
        <v>Y23H5A.10</v>
      </c>
      <c r="F17304" t="s">
        <v>481</v>
      </c>
      <c r="H17304" s="12">
        <v>-2.4295389261469</v>
      </c>
      <c r="I17304" s="20">
        <v>-0.25808529976640998</v>
      </c>
      <c r="J17304" s="28">
        <v>0.79634107645457397</v>
      </c>
      <c r="K17304" s="29">
        <v>0.98289565623980701</v>
      </c>
    </row>
    <row r="17305" spans="1:11" x14ac:dyDescent="0.35">
      <c r="A17305" s="9" t="str">
        <f>HYPERLINK("http://www.ensembl.org/id/WBGene00023172", "WBGene00023172")</f>
        <v>WBGene00023172</v>
      </c>
      <c r="B17305" s="9" t="str">
        <f>HYPERLINK("http://www.ncbi.nlm.nih.gov/gene/24105057", "24105057")</f>
        <v>24105057</v>
      </c>
      <c r="C17305" s="9"/>
      <c r="D17305" t="str">
        <f>"Y23H5A.8"</f>
        <v>Y23H5A.8</v>
      </c>
      <c r="F17305" t="s">
        <v>11</v>
      </c>
      <c r="H17305" s="12">
        <v>2.0256742168523401</v>
      </c>
      <c r="I17305" s="20">
        <v>0.71879391744898402</v>
      </c>
      <c r="J17305" s="28">
        <v>0.472267905962928</v>
      </c>
      <c r="K17305" s="29">
        <v>0.98289565623980701</v>
      </c>
    </row>
    <row r="17306" spans="1:11" x14ac:dyDescent="0.35">
      <c r="A17306" s="9" t="str">
        <f>HYPERLINK("http://www.ensembl.org/id/WBGene00021272", "WBGene00021272")</f>
        <v>WBGene00021272</v>
      </c>
      <c r="B17306" s="9" t="str">
        <f>HYPERLINK("http://www.ncbi.nlm.nih.gov/gene/189524", "189524")</f>
        <v>189524</v>
      </c>
      <c r="C17306" s="9"/>
      <c r="D17306" t="str">
        <f>"Y23H5B.1"</f>
        <v>Y23H5B.1</v>
      </c>
      <c r="F17306" t="s">
        <v>11</v>
      </c>
      <c r="H17306" s="12">
        <v>-1.1521716633143899</v>
      </c>
      <c r="I17306" s="20">
        <v>-0.68507479672425797</v>
      </c>
      <c r="J17306" s="28">
        <v>0.49329672329832402</v>
      </c>
      <c r="K17306" s="29">
        <v>0.98289565623980701</v>
      </c>
    </row>
    <row r="17307" spans="1:11" x14ac:dyDescent="0.35">
      <c r="A17307" s="9" t="str">
        <f>HYPERLINK("http://www.ensembl.org/id/WBGene00045093", "WBGene00045093")</f>
        <v>WBGene00045093</v>
      </c>
      <c r="B17307" s="9"/>
      <c r="C17307" s="9"/>
      <c r="D17307" t="str">
        <f>"Y23H5B.10"</f>
        <v>Y23H5B.10</v>
      </c>
      <c r="F17307" t="s">
        <v>2977</v>
      </c>
      <c r="H17307" s="12">
        <v>-10.994907597368501</v>
      </c>
      <c r="I17307" s="20">
        <v>-0.714795004154681</v>
      </c>
      <c r="J17307" s="28">
        <v>0.47473572263588099</v>
      </c>
      <c r="K17307" s="29">
        <v>0.98289565623980701</v>
      </c>
    </row>
    <row r="17308" spans="1:11" x14ac:dyDescent="0.35">
      <c r="A17308" s="9" t="str">
        <f>HYPERLINK("http://www.ensembl.org/id/WBGene00021273", "WBGene00021273")</f>
        <v>WBGene00021273</v>
      </c>
      <c r="B17308" s="9"/>
      <c r="C17308" s="9"/>
      <c r="D17308" t="str">
        <f>"Y23H5B.2"</f>
        <v>Y23H5B.2</v>
      </c>
      <c r="F17308" t="s">
        <v>80</v>
      </c>
      <c r="H17308" s="12">
        <v>-1.9785616567189901</v>
      </c>
      <c r="I17308" s="20">
        <v>-0.35665433950923398</v>
      </c>
      <c r="J17308" s="28">
        <v>0.72135059210136299</v>
      </c>
      <c r="K17308" s="29">
        <v>0.98289565623980701</v>
      </c>
    </row>
    <row r="17309" spans="1:11" x14ac:dyDescent="0.35">
      <c r="A17309" s="9" t="str">
        <f>HYPERLINK("http://www.ensembl.org/id/WBGene00021276", "WBGene00021276")</f>
        <v>WBGene00021276</v>
      </c>
      <c r="B17309" s="9" t="str">
        <f>HYPERLINK("http://www.ncbi.nlm.nih.gov/gene/171811", "171811")</f>
        <v>171811</v>
      </c>
      <c r="C17309" s="9"/>
      <c r="D17309" t="str">
        <f>"Y23H5B.5"</f>
        <v>Y23H5B.5</v>
      </c>
      <c r="F17309" t="s">
        <v>11</v>
      </c>
      <c r="G17309" t="s">
        <v>9399</v>
      </c>
      <c r="H17309" s="12">
        <v>-1.24373065835061</v>
      </c>
      <c r="I17309" s="20">
        <v>-0.99046309776292996</v>
      </c>
      <c r="J17309" s="28">
        <v>0.32194781765997099</v>
      </c>
      <c r="K17309" s="29">
        <v>0.98289565623980701</v>
      </c>
    </row>
    <row r="17310" spans="1:11" x14ac:dyDescent="0.35">
      <c r="A17310" s="9" t="str">
        <f>HYPERLINK("http://www.ensembl.org/id/WBGene00021277", "WBGene00021277")</f>
        <v>WBGene00021277</v>
      </c>
      <c r="B17310" s="9" t="str">
        <f>HYPERLINK("http://www.ncbi.nlm.nih.gov/gene/171810", "171810")</f>
        <v>171810</v>
      </c>
      <c r="C17310" s="9" t="str">
        <f>HYPERLINK("http://www.ncbi.nlm.nih.gov/gene/1662", "1662")</f>
        <v>1662</v>
      </c>
      <c r="D17310" t="str">
        <f>"Y23H5B.6"</f>
        <v>Y23H5B.6</v>
      </c>
      <c r="E17310" t="s">
        <v>7749</v>
      </c>
      <c r="F17310" t="s">
        <v>11</v>
      </c>
      <c r="G17310" t="s">
        <v>8656</v>
      </c>
      <c r="H17310" s="12">
        <v>-1.18891804035962</v>
      </c>
      <c r="I17310" s="20">
        <v>-0.81964504796919802</v>
      </c>
      <c r="J17310" s="28">
        <v>0.41241848508667001</v>
      </c>
      <c r="K17310" s="29">
        <v>0.98289565623980701</v>
      </c>
    </row>
    <row r="17311" spans="1:11" x14ac:dyDescent="0.35">
      <c r="A17311" s="9" t="str">
        <f>HYPERLINK("http://www.ensembl.org/id/WBGene00196315", "WBGene00196315")</f>
        <v>WBGene00196315</v>
      </c>
      <c r="B17311" s="9"/>
      <c r="C17311" s="9"/>
      <c r="D17311" t="str">
        <f>"Y24D9A.11"</f>
        <v>Y24D9A.11</v>
      </c>
      <c r="F17311" t="s">
        <v>481</v>
      </c>
      <c r="H17311" s="12">
        <v>-1.6963726563957899</v>
      </c>
      <c r="I17311" s="20">
        <v>-0.28549314299331102</v>
      </c>
      <c r="J17311" s="28">
        <v>0.77526635701442104</v>
      </c>
      <c r="K17311" s="29">
        <v>0.98289565623980701</v>
      </c>
    </row>
    <row r="17312" spans="1:11" x14ac:dyDescent="0.35">
      <c r="A17312" s="9" t="str">
        <f>HYPERLINK("http://www.ensembl.org/id/WBGene00021284", "WBGene00021284")</f>
        <v>WBGene00021284</v>
      </c>
      <c r="B17312" s="9" t="str">
        <f>HYPERLINK("http://www.ncbi.nlm.nih.gov/gene/189531", "189531")</f>
        <v>189531</v>
      </c>
      <c r="C17312" s="9"/>
      <c r="D17312" t="str">
        <f>"Y24D9A.6"</f>
        <v>Y24D9A.6</v>
      </c>
      <c r="F17312" t="s">
        <v>11</v>
      </c>
      <c r="G17312" t="s">
        <v>25</v>
      </c>
      <c r="H17312" s="12">
        <v>-3.41933832513361</v>
      </c>
      <c r="I17312" s="20">
        <v>-0.44027146715912302</v>
      </c>
      <c r="J17312" s="28">
        <v>0.65974050361005898</v>
      </c>
      <c r="K17312" s="29">
        <v>0.98289565623980701</v>
      </c>
    </row>
    <row r="17313" spans="1:11" x14ac:dyDescent="0.35">
      <c r="A17313" s="9" t="str">
        <f>HYPERLINK("http://www.ensembl.org/id/WBGene00021285", "WBGene00021285")</f>
        <v>WBGene00021285</v>
      </c>
      <c r="B17313" s="9" t="str">
        <f>HYPERLINK("http://www.ncbi.nlm.nih.gov/gene/189532", "189532")</f>
        <v>189532</v>
      </c>
      <c r="C17313" s="9"/>
      <c r="D17313" t="str">
        <f>"Y24D9A.7"</f>
        <v>Y24D9A.7</v>
      </c>
      <c r="F17313" t="s">
        <v>11</v>
      </c>
      <c r="G17313" t="s">
        <v>25</v>
      </c>
      <c r="H17313" s="12">
        <v>-5.4967879193631202</v>
      </c>
      <c r="I17313" s="20">
        <v>-0.50254160819837501</v>
      </c>
      <c r="J17313" s="28">
        <v>0.61528659178453604</v>
      </c>
      <c r="K17313" s="29">
        <v>0.98289565623980701</v>
      </c>
    </row>
    <row r="17314" spans="1:11" x14ac:dyDescent="0.35">
      <c r="A17314" s="9" t="str">
        <f>HYPERLINK("http://www.ensembl.org/id/WBGene00044952", "WBGene00044952")</f>
        <v>WBGene00044952</v>
      </c>
      <c r="B17314" s="9"/>
      <c r="C17314" s="9"/>
      <c r="D17314" t="str">
        <f>"Y24D9A.9"</f>
        <v>Y24D9A.9</v>
      </c>
      <c r="F17314" t="s">
        <v>2977</v>
      </c>
      <c r="H17314" s="12">
        <v>-2.4991590031922399</v>
      </c>
      <c r="I17314" s="20">
        <v>-0.26577412737581302</v>
      </c>
      <c r="J17314" s="28">
        <v>0.79041317015736101</v>
      </c>
      <c r="K17314" s="29">
        <v>0.98289565623980701</v>
      </c>
    </row>
    <row r="17315" spans="1:11" x14ac:dyDescent="0.35">
      <c r="A17315" s="9" t="str">
        <f>HYPERLINK("http://www.ensembl.org/id/WBGene00021287", "WBGene00021287")</f>
        <v>WBGene00021287</v>
      </c>
      <c r="B17315" s="9" t="str">
        <f>HYPERLINK("http://www.ncbi.nlm.nih.gov/gene/177197", "177197")</f>
        <v>177197</v>
      </c>
      <c r="C17315" s="9"/>
      <c r="D17315" t="str">
        <f>"Y24D9B.1"</f>
        <v>Y24D9B.1</v>
      </c>
      <c r="F17315" t="s">
        <v>11</v>
      </c>
      <c r="G17315" t="s">
        <v>2468</v>
      </c>
      <c r="H17315" s="12">
        <v>-1.44360795186941</v>
      </c>
      <c r="I17315" s="20">
        <v>-0.60812672082510799</v>
      </c>
      <c r="J17315" s="28">
        <v>0.54310343123244098</v>
      </c>
      <c r="K17315" s="29">
        <v>0.98289565623980701</v>
      </c>
    </row>
    <row r="17316" spans="1:11" x14ac:dyDescent="0.35">
      <c r="A17316" s="9" t="str">
        <f>HYPERLINK("http://www.ensembl.org/id/WBGene00012499", "WBGene00012499")</f>
        <v>WBGene00012499</v>
      </c>
      <c r="B17316" s="9"/>
      <c r="C17316" s="9"/>
      <c r="D17316" t="str">
        <f>"Y24F12A.4"</f>
        <v>Y24F12A.4</v>
      </c>
      <c r="F17316" t="s">
        <v>80</v>
      </c>
      <c r="H17316" s="12">
        <v>1.2850220083683099</v>
      </c>
      <c r="I17316" s="20">
        <v>0.44194756863503398</v>
      </c>
      <c r="J17316" s="28">
        <v>0.65852714734036</v>
      </c>
      <c r="K17316" s="29">
        <v>0.98289565623980701</v>
      </c>
    </row>
    <row r="17317" spans="1:11" x14ac:dyDescent="0.35">
      <c r="A17317" s="9" t="str">
        <f>HYPERLINK("http://www.ensembl.org/id/WBGene00202455", "WBGene00202455")</f>
        <v>WBGene00202455</v>
      </c>
      <c r="B17317" s="9"/>
      <c r="C17317" s="9"/>
      <c r="D17317" t="str">
        <f>"Y25C1A.15"</f>
        <v>Y25C1A.15</v>
      </c>
      <c r="F17317" t="s">
        <v>481</v>
      </c>
      <c r="H17317" s="12">
        <v>3.6645215954135</v>
      </c>
      <c r="I17317" s="20">
        <v>0.37967131826092498</v>
      </c>
      <c r="J17317" s="28">
        <v>0.70418941338960395</v>
      </c>
      <c r="K17317" s="29">
        <v>0.98289565623980701</v>
      </c>
    </row>
    <row r="17318" spans="1:11" x14ac:dyDescent="0.35">
      <c r="A17318" s="9" t="str">
        <f>HYPERLINK("http://www.ensembl.org/id/WBGene00021289", "WBGene00021289")</f>
        <v>WBGene00021289</v>
      </c>
      <c r="B17318" s="9" t="str">
        <f>HYPERLINK("http://www.ncbi.nlm.nih.gov/gene/189535", "189535")</f>
        <v>189535</v>
      </c>
      <c r="C17318" s="9"/>
      <c r="D17318" t="str">
        <f>"Y25C1A.2"</f>
        <v>Y25C1A.2</v>
      </c>
      <c r="F17318" t="s">
        <v>11</v>
      </c>
      <c r="H17318" s="12">
        <v>-2.1864157624492702</v>
      </c>
      <c r="I17318" s="20">
        <v>-0.36324609368842398</v>
      </c>
      <c r="J17318" s="28">
        <v>0.71642105793810296</v>
      </c>
      <c r="K17318" s="29">
        <v>0.98289565623980701</v>
      </c>
    </row>
    <row r="17319" spans="1:11" x14ac:dyDescent="0.35">
      <c r="A17319" s="9" t="str">
        <f>HYPERLINK("http://www.ensembl.org/id/WBGene00021294", "WBGene00021294")</f>
        <v>WBGene00021294</v>
      </c>
      <c r="B17319" s="9" t="str">
        <f>HYPERLINK("http://www.ncbi.nlm.nih.gov/gene/173654", "173654")</f>
        <v>173654</v>
      </c>
      <c r="C17319" s="9" t="str">
        <f>HYPERLINK("http://www.ncbi.nlm.nih.gov/gene/54432", "54432")</f>
        <v>54432</v>
      </c>
      <c r="D17319" t="str">
        <f>"Y25C1A.7"</f>
        <v>Y25C1A.7</v>
      </c>
      <c r="F17319" t="s">
        <v>11</v>
      </c>
      <c r="G17319" t="s">
        <v>6677</v>
      </c>
      <c r="H17319" s="12">
        <v>-1.08420251201892</v>
      </c>
      <c r="I17319" s="20">
        <v>-0.42750715267871198</v>
      </c>
      <c r="J17319" s="28">
        <v>0.66900997650247296</v>
      </c>
      <c r="K17319" s="29">
        <v>0.98289565623980701</v>
      </c>
    </row>
    <row r="17320" spans="1:11" x14ac:dyDescent="0.35">
      <c r="A17320" s="9" t="str">
        <f>HYPERLINK("http://www.ensembl.org/id/WBGene00021295", "WBGene00021295")</f>
        <v>WBGene00021295</v>
      </c>
      <c r="B17320" s="9" t="str">
        <f>HYPERLINK("http://www.ncbi.nlm.nih.gov/gene/173655", "173655")</f>
        <v>173655</v>
      </c>
      <c r="C17320" s="9"/>
      <c r="D17320" t="str">
        <f>"Y25C1A.8"</f>
        <v>Y25C1A.8</v>
      </c>
      <c r="E17320" t="s">
        <v>7083</v>
      </c>
      <c r="F17320" t="s">
        <v>11</v>
      </c>
      <c r="G17320" t="s">
        <v>7084</v>
      </c>
      <c r="H17320" s="12">
        <v>-1.10608657741906</v>
      </c>
      <c r="I17320" s="20">
        <v>-0.444690804520532</v>
      </c>
      <c r="J17320" s="28">
        <v>0.65654321551008998</v>
      </c>
      <c r="K17320" s="29">
        <v>0.98289565623980701</v>
      </c>
    </row>
    <row r="17321" spans="1:11" x14ac:dyDescent="0.35">
      <c r="A17321" s="9" t="str">
        <f>HYPERLINK("http://www.ensembl.org/id/WBGene00012509", "WBGene00012509")</f>
        <v>WBGene00012509</v>
      </c>
      <c r="B17321" s="9" t="str">
        <f>HYPERLINK("http://www.ncbi.nlm.nih.gov/gene/3564819", "3564819")</f>
        <v>3564819</v>
      </c>
      <c r="C17321" s="9"/>
      <c r="D17321" t="str">
        <f>"Y26D4A.12"</f>
        <v>Y26D4A.12</v>
      </c>
      <c r="F17321" t="s">
        <v>11</v>
      </c>
      <c r="G17321" t="s">
        <v>101</v>
      </c>
      <c r="H17321" s="12">
        <v>-5.3201785866927001</v>
      </c>
      <c r="I17321" s="20">
        <v>-0.49101042295714697</v>
      </c>
      <c r="J17321" s="28">
        <v>0.62341907564475696</v>
      </c>
      <c r="K17321" s="29">
        <v>0.98289565623980701</v>
      </c>
    </row>
    <row r="17322" spans="1:11" x14ac:dyDescent="0.35">
      <c r="A17322" s="9" t="str">
        <f>HYPERLINK("http://www.ensembl.org/id/WBGene00077789", "WBGene00077789")</f>
        <v>WBGene00077789</v>
      </c>
      <c r="B17322" s="9"/>
      <c r="C17322" s="9"/>
      <c r="D17322" t="str">
        <f>"Y26D4A.22"</f>
        <v>Y26D4A.22</v>
      </c>
      <c r="F17322" t="s">
        <v>80</v>
      </c>
      <c r="H17322" s="12">
        <v>2.3893468495514898</v>
      </c>
      <c r="I17322" s="20">
        <v>0.25323547253672701</v>
      </c>
      <c r="J17322" s="28">
        <v>0.80008625651646104</v>
      </c>
      <c r="K17322" s="29">
        <v>0.98289565623980701</v>
      </c>
    </row>
    <row r="17323" spans="1:11" x14ac:dyDescent="0.35">
      <c r="A17323" s="9" t="str">
        <f>HYPERLINK("http://www.ensembl.org/id/WBGene00012514", "WBGene00012514")</f>
        <v>WBGene00012514</v>
      </c>
      <c r="B17323" s="9" t="str">
        <f>HYPERLINK("http://www.ncbi.nlm.nih.gov/gene/3564786", "3564786")</f>
        <v>3564786</v>
      </c>
      <c r="C17323" s="9" t="str">
        <f>HYPERLINK("http://www.ncbi.nlm.nih.gov/gene/84326", "84326")</f>
        <v>84326</v>
      </c>
      <c r="D17323" t="str">
        <f>"Y26E6A.3"</f>
        <v>Y26E6A.3</v>
      </c>
      <c r="F17323" t="s">
        <v>11</v>
      </c>
      <c r="H17323" s="12">
        <v>1.17002913767366</v>
      </c>
      <c r="I17323" s="20">
        <v>0.73190135908879494</v>
      </c>
      <c r="J17323" s="28">
        <v>0.46422877659317402</v>
      </c>
      <c r="K17323" s="29">
        <v>0.98289565623980701</v>
      </c>
    </row>
    <row r="17324" spans="1:11" x14ac:dyDescent="0.35">
      <c r="A17324" s="9" t="str">
        <f>HYPERLINK("http://www.ensembl.org/id/WBGene00021298", "WBGene00021298")</f>
        <v>WBGene00021298</v>
      </c>
      <c r="B17324" s="9" t="str">
        <f>HYPERLINK("http://www.ncbi.nlm.nih.gov/gene/189560", "189560")</f>
        <v>189560</v>
      </c>
      <c r="C17324" s="9"/>
      <c r="D17324" t="str">
        <f>"Y27F2A.6"</f>
        <v>Y27F2A.6</v>
      </c>
      <c r="F17324" t="s">
        <v>11</v>
      </c>
      <c r="G17324" t="s">
        <v>25</v>
      </c>
      <c r="H17324" s="12">
        <v>-1.59489234521933</v>
      </c>
      <c r="I17324" s="20">
        <v>-0.616066721980989</v>
      </c>
      <c r="J17324" s="28">
        <v>0.53785048436418803</v>
      </c>
      <c r="K17324" s="29">
        <v>0.98289565623980701</v>
      </c>
    </row>
    <row r="17325" spans="1:11" x14ac:dyDescent="0.35">
      <c r="A17325" s="9" t="str">
        <f>HYPERLINK("http://www.ensembl.org/id/WBGene00021300", "WBGene00021300")</f>
        <v>WBGene00021300</v>
      </c>
      <c r="B17325" s="9" t="str">
        <f>HYPERLINK("http://www.ncbi.nlm.nih.gov/gene/3565875", "3565875")</f>
        <v>3565875</v>
      </c>
      <c r="C17325" s="9"/>
      <c r="D17325" t="str">
        <f>"Y27F2A.9"</f>
        <v>Y27F2A.9</v>
      </c>
      <c r="F17325" t="s">
        <v>11</v>
      </c>
      <c r="H17325" s="12">
        <v>-2.4991590031922399</v>
      </c>
      <c r="I17325" s="20">
        <v>-0.26577412737581302</v>
      </c>
      <c r="J17325" s="28">
        <v>0.79041317015736101</v>
      </c>
      <c r="K17325" s="29">
        <v>0.98289565623980701</v>
      </c>
    </row>
    <row r="17326" spans="1:11" x14ac:dyDescent="0.35">
      <c r="A17326" s="9" t="str">
        <f>HYPERLINK("http://www.ensembl.org/id/WBGene00012381", "WBGene00012381")</f>
        <v>WBGene00012381</v>
      </c>
      <c r="B17326" s="9" t="str">
        <f>HYPERLINK("http://www.ncbi.nlm.nih.gov/gene/189352", "189352")</f>
        <v>189352</v>
      </c>
      <c r="C17326" s="9"/>
      <c r="D17326" t="str">
        <f>"Y2H9A.4"</f>
        <v>Y2H9A.4</v>
      </c>
      <c r="F17326" t="s">
        <v>11</v>
      </c>
      <c r="G17326" t="s">
        <v>25</v>
      </c>
      <c r="H17326" s="12">
        <v>-1.4062896259380899</v>
      </c>
      <c r="I17326" s="20">
        <v>-0.97470544146690796</v>
      </c>
      <c r="J17326" s="28">
        <v>0.32970639300521298</v>
      </c>
      <c r="K17326" s="29">
        <v>0.98289565623980701</v>
      </c>
    </row>
    <row r="17327" spans="1:11" x14ac:dyDescent="0.35">
      <c r="A17327" s="9" t="str">
        <f>HYPERLINK("http://www.ensembl.org/id/WBGene00012519", "WBGene00012519")</f>
        <v>WBGene00012519</v>
      </c>
      <c r="B17327" s="9"/>
      <c r="C17327" s="9"/>
      <c r="D17327" t="str">
        <f>"Y32B12A.4"</f>
        <v>Y32B12A.4</v>
      </c>
      <c r="F17327" t="s">
        <v>80</v>
      </c>
      <c r="H17327" s="12">
        <v>-2.4991590031922399</v>
      </c>
      <c r="I17327" s="20">
        <v>-0.26577412737581302</v>
      </c>
      <c r="J17327" s="28">
        <v>0.79041317015736101</v>
      </c>
      <c r="K17327" s="29">
        <v>0.98289565623980701</v>
      </c>
    </row>
    <row r="17328" spans="1:11" x14ac:dyDescent="0.35">
      <c r="A17328" s="9" t="str">
        <f>HYPERLINK("http://www.ensembl.org/id/WBGene00012521", "WBGene00012521")</f>
        <v>WBGene00012521</v>
      </c>
      <c r="B17328" s="9" t="str">
        <f>HYPERLINK("http://www.ncbi.nlm.nih.gov/gene/189566", "189566")</f>
        <v>189566</v>
      </c>
      <c r="C17328" s="9"/>
      <c r="D17328" t="str">
        <f>"Y32B12B.1"</f>
        <v>Y32B12B.1</v>
      </c>
      <c r="F17328" t="s">
        <v>11</v>
      </c>
      <c r="G17328" t="s">
        <v>25</v>
      </c>
      <c r="H17328" s="12">
        <v>1.4140994459945699</v>
      </c>
      <c r="I17328" s="20">
        <v>0.26965834050023901</v>
      </c>
      <c r="J17328" s="28">
        <v>0.78742311302762902</v>
      </c>
      <c r="K17328" s="29">
        <v>0.98289565623980701</v>
      </c>
    </row>
    <row r="17329" spans="1:11" x14ac:dyDescent="0.35">
      <c r="A17329" s="9" t="str">
        <f>HYPERLINK("http://www.ensembl.org/id/WBGene00012526", "WBGene00012526")</f>
        <v>WBGene00012526</v>
      </c>
      <c r="B17329" s="9"/>
      <c r="C17329" s="9"/>
      <c r="D17329" t="str">
        <f>"Y32B12C.3"</f>
        <v>Y32B12C.3</v>
      </c>
      <c r="F17329" t="s">
        <v>80</v>
      </c>
      <c r="H17329" s="12">
        <v>2.33803953902498</v>
      </c>
      <c r="I17329" s="20">
        <v>0.55001702216693005</v>
      </c>
      <c r="J17329" s="28">
        <v>0.58230769833625096</v>
      </c>
      <c r="K17329" s="29">
        <v>0.98289565623980701</v>
      </c>
    </row>
    <row r="17330" spans="1:11" x14ac:dyDescent="0.35">
      <c r="A17330" s="9" t="str">
        <f>HYPERLINK("http://www.ensembl.org/id/WBGene00194769", "WBGene00194769")</f>
        <v>WBGene00194769</v>
      </c>
      <c r="B17330" s="9"/>
      <c r="C17330" s="9"/>
      <c r="D17330" t="str">
        <f>"Y32B12C.5"</f>
        <v>Y32B12C.5</v>
      </c>
      <c r="F17330" t="s">
        <v>80</v>
      </c>
      <c r="H17330" s="12">
        <v>-1.42780719155683</v>
      </c>
      <c r="I17330" s="20">
        <v>-0.79464259929776704</v>
      </c>
      <c r="J17330" s="28">
        <v>0.42682143096206798</v>
      </c>
      <c r="K17330" s="29">
        <v>0.98289565623980701</v>
      </c>
    </row>
    <row r="17331" spans="1:11" x14ac:dyDescent="0.35">
      <c r="A17331" s="9" t="str">
        <f>HYPERLINK("http://www.ensembl.org/id/WBGene00012529", "WBGene00012529")</f>
        <v>WBGene00012529</v>
      </c>
      <c r="B17331" s="9" t="str">
        <f>HYPERLINK("http://www.ncbi.nlm.nih.gov/gene/179456", "179456")</f>
        <v>179456</v>
      </c>
      <c r="C17331" s="9"/>
      <c r="D17331" t="str">
        <f>"Y32F6A.4"</f>
        <v>Y32F6A.4</v>
      </c>
      <c r="F17331" t="s">
        <v>11</v>
      </c>
      <c r="G17331" t="s">
        <v>372</v>
      </c>
      <c r="H17331" s="12">
        <v>-1.16266544128795</v>
      </c>
      <c r="I17331" s="20">
        <v>-0.61027985715130995</v>
      </c>
      <c r="J17331" s="28">
        <v>0.54167643779764296</v>
      </c>
      <c r="K17331" s="29">
        <v>0.98289565623980701</v>
      </c>
    </row>
    <row r="17332" spans="1:11" x14ac:dyDescent="0.35">
      <c r="A17332" s="9" t="str">
        <f>HYPERLINK("http://www.ensembl.org/id/WBGene00044209", "WBGene00044209")</f>
        <v>WBGene00044209</v>
      </c>
      <c r="B17332" s="9"/>
      <c r="C17332" s="9"/>
      <c r="D17332" t="str">
        <f>"Y32F6A.6"</f>
        <v>Y32F6A.6</v>
      </c>
      <c r="F17332" t="s">
        <v>80</v>
      </c>
      <c r="H17332" s="12">
        <v>-1.18039689543099</v>
      </c>
      <c r="I17332" s="20">
        <v>-0.504342885117114</v>
      </c>
      <c r="J17332" s="28">
        <v>0.61402044620193597</v>
      </c>
      <c r="K17332" s="29">
        <v>0.98289565623980701</v>
      </c>
    </row>
    <row r="17333" spans="1:11" x14ac:dyDescent="0.35">
      <c r="A17333" s="9" t="str">
        <f>HYPERLINK("http://www.ensembl.org/id/WBGene00012531", "WBGene00012531")</f>
        <v>WBGene00012531</v>
      </c>
      <c r="B17333" s="9" t="str">
        <f>HYPERLINK("http://www.ncbi.nlm.nih.gov/gene/179463", "179463")</f>
        <v>179463</v>
      </c>
      <c r="C17333" s="9"/>
      <c r="D17333" t="str">
        <f>"Y32F6B.1"</f>
        <v>Y32F6B.1</v>
      </c>
      <c r="E17333" t="s">
        <v>782</v>
      </c>
      <c r="F17333" t="s">
        <v>11</v>
      </c>
      <c r="G17333" t="s">
        <v>3740</v>
      </c>
      <c r="H17333" s="12">
        <v>1.1321827254513099</v>
      </c>
      <c r="I17333" s="20">
        <v>0.59729527716511599</v>
      </c>
      <c r="J17333" s="28">
        <v>0.55031025710425896</v>
      </c>
      <c r="K17333" s="29">
        <v>0.98289565623980701</v>
      </c>
    </row>
    <row r="17334" spans="1:11" x14ac:dyDescent="0.35">
      <c r="A17334" s="9" t="str">
        <f>HYPERLINK("http://www.ensembl.org/id/WBGene00220138", "WBGene00220138")</f>
        <v>WBGene00220138</v>
      </c>
      <c r="B17334" s="9"/>
      <c r="C17334" s="9"/>
      <c r="D17334" t="str">
        <f>"Y32F6B.8"</f>
        <v>Y32F6B.8</v>
      </c>
      <c r="F17334" t="s">
        <v>481</v>
      </c>
      <c r="H17334" s="12">
        <v>-3.1586061051055299</v>
      </c>
      <c r="I17334" s="20">
        <v>-0.65604105004824398</v>
      </c>
      <c r="J17334" s="28">
        <v>0.51179771220007197</v>
      </c>
      <c r="K17334" s="29">
        <v>0.98289565623980701</v>
      </c>
    </row>
    <row r="17335" spans="1:11" x14ac:dyDescent="0.35">
      <c r="A17335" s="9" t="str">
        <f>HYPERLINK("http://www.ensembl.org/id/WBGene00021301", "WBGene00021301")</f>
        <v>WBGene00021301</v>
      </c>
      <c r="B17335" s="9" t="str">
        <f>HYPERLINK("http://www.ncbi.nlm.nih.gov/gene/189576", "189576")</f>
        <v>189576</v>
      </c>
      <c r="C17335" s="9"/>
      <c r="D17335" t="str">
        <f>"Y32G9A.2"</f>
        <v>Y32G9A.2</v>
      </c>
      <c r="F17335" t="s">
        <v>11</v>
      </c>
      <c r="H17335" s="12">
        <v>-1.7058485184305201</v>
      </c>
      <c r="I17335" s="20">
        <v>-0.40906157886163902</v>
      </c>
      <c r="J17335" s="28">
        <v>0.68249447122115403</v>
      </c>
      <c r="K17335" s="29">
        <v>0.98289565623980701</v>
      </c>
    </row>
    <row r="17336" spans="1:11" x14ac:dyDescent="0.35">
      <c r="A17336" s="9" t="str">
        <f>HYPERLINK("http://www.ensembl.org/id/WBGene00021303", "WBGene00021303")</f>
        <v>WBGene00021303</v>
      </c>
      <c r="B17336" s="9" t="str">
        <f>HYPERLINK("http://www.ncbi.nlm.nih.gov/gene/189578", "189578")</f>
        <v>189578</v>
      </c>
      <c r="C17336" s="9"/>
      <c r="D17336" t="str">
        <f>"Y32G9A.5"</f>
        <v>Y32G9A.5</v>
      </c>
      <c r="F17336" t="s">
        <v>11</v>
      </c>
      <c r="H17336" s="12">
        <v>6.61045742799383</v>
      </c>
      <c r="I17336" s="20">
        <v>0.55558174612790701</v>
      </c>
      <c r="J17336" s="28">
        <v>0.57849681292850097</v>
      </c>
      <c r="K17336" s="29">
        <v>0.98289565623980701</v>
      </c>
    </row>
    <row r="17337" spans="1:11" x14ac:dyDescent="0.35">
      <c r="A17337" s="9" t="str">
        <f>HYPERLINK("http://www.ensembl.org/id/WBGene00021309", "WBGene00021309")</f>
        <v>WBGene00021309</v>
      </c>
      <c r="B17337" s="9" t="str">
        <f>HYPERLINK("http://www.ncbi.nlm.nih.gov/gene/178662", "178662")</f>
        <v>178662</v>
      </c>
      <c r="C17337" s="9"/>
      <c r="D17337" t="str">
        <f>"Y32G9B.1"</f>
        <v>Y32G9B.1</v>
      </c>
      <c r="F17337" t="s">
        <v>11</v>
      </c>
      <c r="G17337" t="s">
        <v>25</v>
      </c>
      <c r="H17337" s="12">
        <v>1.1950837834166901</v>
      </c>
      <c r="I17337" s="20">
        <v>0.43965619051694199</v>
      </c>
      <c r="J17337" s="28">
        <v>0.66018613696537098</v>
      </c>
      <c r="K17337" s="29">
        <v>0.98289565623980701</v>
      </c>
    </row>
    <row r="17338" spans="1:11" x14ac:dyDescent="0.35">
      <c r="A17338" s="9" t="str">
        <f>HYPERLINK("http://www.ensembl.org/id/WBGene00021310", "WBGene00021310")</f>
        <v>WBGene00021310</v>
      </c>
      <c r="B17338" s="9" t="str">
        <f>HYPERLINK("http://www.ncbi.nlm.nih.gov/gene/189583", "189583")</f>
        <v>189583</v>
      </c>
      <c r="C17338" s="9"/>
      <c r="D17338" t="str">
        <f>"Y32H12A.1"</f>
        <v>Y32H12A.1</v>
      </c>
      <c r="F17338" t="s">
        <v>11</v>
      </c>
      <c r="G17338" t="s">
        <v>25</v>
      </c>
      <c r="H17338" s="12">
        <v>1.35005954800996</v>
      </c>
      <c r="I17338" s="20">
        <v>0.39088317179419402</v>
      </c>
      <c r="J17338" s="28">
        <v>0.69588359334578798</v>
      </c>
      <c r="K17338" s="29">
        <v>0.98289565623980701</v>
      </c>
    </row>
    <row r="17339" spans="1:11" x14ac:dyDescent="0.35">
      <c r="A17339" s="9" t="str">
        <f>HYPERLINK("http://www.ensembl.org/id/WBGene00021314", "WBGene00021314")</f>
        <v>WBGene00021314</v>
      </c>
      <c r="B17339" s="9" t="str">
        <f>HYPERLINK("http://www.ncbi.nlm.nih.gov/gene/175740", "175740")</f>
        <v>175740</v>
      </c>
      <c r="C17339" s="9"/>
      <c r="D17339" t="str">
        <f>"Y32H12A.6"</f>
        <v>Y32H12A.6</v>
      </c>
      <c r="F17339" t="s">
        <v>11</v>
      </c>
      <c r="G17339" t="s">
        <v>5515</v>
      </c>
      <c r="H17339" s="12">
        <v>1.15269910640231</v>
      </c>
      <c r="I17339" s="20">
        <v>0.57062629992497904</v>
      </c>
      <c r="J17339" s="28">
        <v>0.56825298687012304</v>
      </c>
      <c r="K17339" s="29">
        <v>0.98289565623980701</v>
      </c>
    </row>
    <row r="17340" spans="1:11" x14ac:dyDescent="0.35">
      <c r="A17340" s="9" t="str">
        <f>HYPERLINK("http://www.ensembl.org/id/WBGene00021315", "WBGene00021315")</f>
        <v>WBGene00021315</v>
      </c>
      <c r="B17340" s="9" t="str">
        <f>HYPERLINK("http://www.ncbi.nlm.nih.gov/gene/175741", "175741")</f>
        <v>175741</v>
      </c>
      <c r="C17340" s="9" t="str">
        <f>HYPERLINK("http://www.ncbi.nlm.nih.gov/gene/90956", "90956")</f>
        <v>90956</v>
      </c>
      <c r="D17340" t="str">
        <f>"Y32H12A.7"</f>
        <v>Y32H12A.7</v>
      </c>
      <c r="F17340" t="s">
        <v>11</v>
      </c>
      <c r="H17340" s="12">
        <v>-1.2531670962924899</v>
      </c>
      <c r="I17340" s="20">
        <v>-1.1188650175585499</v>
      </c>
      <c r="J17340" s="28">
        <v>0.26319772900183902</v>
      </c>
      <c r="K17340" s="29">
        <v>0.98289565623980701</v>
      </c>
    </row>
    <row r="17341" spans="1:11" x14ac:dyDescent="0.35">
      <c r="A17341" s="9" t="str">
        <f>HYPERLINK("http://www.ensembl.org/id/WBGene00021326", "WBGene00021326")</f>
        <v>WBGene00021326</v>
      </c>
      <c r="B17341" s="9" t="str">
        <f>HYPERLINK("http://www.ncbi.nlm.nih.gov/gene/180794", "180794")</f>
        <v>180794</v>
      </c>
      <c r="C17341" s="9"/>
      <c r="D17341" t="str">
        <f>"Y34B4A.10"</f>
        <v>Y34B4A.10</v>
      </c>
      <c r="F17341" t="s">
        <v>11</v>
      </c>
      <c r="H17341" s="12">
        <v>1.3146303896245299</v>
      </c>
      <c r="I17341" s="20">
        <v>1.0506083570797899</v>
      </c>
      <c r="J17341" s="28">
        <v>0.29343850122735898</v>
      </c>
      <c r="K17341" s="29">
        <v>0.98289565623980701</v>
      </c>
    </row>
    <row r="17342" spans="1:11" x14ac:dyDescent="0.35">
      <c r="A17342" s="9" t="str">
        <f>HYPERLINK("http://www.ensembl.org/id/WBGene00198647", "WBGene00198647")</f>
        <v>WBGene00198647</v>
      </c>
      <c r="B17342" s="9"/>
      <c r="C17342" s="9"/>
      <c r="D17342" t="str">
        <f>"Y34B4A.15"</f>
        <v>Y34B4A.15</v>
      </c>
      <c r="F17342" t="s">
        <v>481</v>
      </c>
      <c r="H17342" s="12">
        <v>4.8330720971898202</v>
      </c>
      <c r="I17342" s="20">
        <v>0.53826283632608196</v>
      </c>
      <c r="J17342" s="28">
        <v>0.59039560452453599</v>
      </c>
      <c r="K17342" s="29">
        <v>0.98289565623980701</v>
      </c>
    </row>
    <row r="17343" spans="1:11" x14ac:dyDescent="0.35">
      <c r="A17343" s="9" t="str">
        <f>HYPERLINK("http://www.ensembl.org/id/WBGene00200999", "WBGene00200999")</f>
        <v>WBGene00200999</v>
      </c>
      <c r="B17343" s="9"/>
      <c r="C17343" s="9"/>
      <c r="D17343" t="str">
        <f>"Y34B4A.17"</f>
        <v>Y34B4A.17</v>
      </c>
      <c r="F17343" t="s">
        <v>481</v>
      </c>
      <c r="H17343" s="12">
        <v>2.43628531154256</v>
      </c>
      <c r="I17343" s="20">
        <v>0.26397437090349102</v>
      </c>
      <c r="J17343" s="28">
        <v>0.79179966754305298</v>
      </c>
      <c r="K17343" s="29">
        <v>0.98289565623980701</v>
      </c>
    </row>
    <row r="17344" spans="1:11" x14ac:dyDescent="0.35">
      <c r="A17344" s="9" t="str">
        <f>HYPERLINK("http://www.ensembl.org/id/WBGene00021320", "WBGene00021320")</f>
        <v>WBGene00021320</v>
      </c>
      <c r="B17344" s="9" t="str">
        <f>HYPERLINK("http://www.ncbi.nlm.nih.gov/gene/180798", "180798")</f>
        <v>180798</v>
      </c>
      <c r="C17344" s="9"/>
      <c r="D17344" t="str">
        <f>"Y34B4A.4"</f>
        <v>Y34B4A.4</v>
      </c>
      <c r="F17344" t="s">
        <v>11</v>
      </c>
      <c r="G17344" t="s">
        <v>5083</v>
      </c>
      <c r="H17344" s="12">
        <v>1.2443322227707401</v>
      </c>
      <c r="I17344" s="20">
        <v>1.1201605628726501</v>
      </c>
      <c r="J17344" s="28">
        <v>0.26264534624900399</v>
      </c>
      <c r="K17344" s="29">
        <v>0.98289565623980701</v>
      </c>
    </row>
    <row r="17345" spans="1:11" x14ac:dyDescent="0.35">
      <c r="A17345" s="9" t="str">
        <f>HYPERLINK("http://www.ensembl.org/id/WBGene00021325", "WBGene00021325")</f>
        <v>WBGene00021325</v>
      </c>
      <c r="B17345" s="9" t="str">
        <f>HYPERLINK("http://www.ncbi.nlm.nih.gov/gene/180796", "180796")</f>
        <v>180796</v>
      </c>
      <c r="C17345" s="9"/>
      <c r="D17345" t="str">
        <f>"Y34B4A.9"</f>
        <v>Y34B4A.9</v>
      </c>
      <c r="F17345" t="s">
        <v>11</v>
      </c>
      <c r="H17345" s="12">
        <v>-1.09854747467572</v>
      </c>
      <c r="I17345" s="20">
        <v>-0.50801614180339705</v>
      </c>
      <c r="J17345" s="28">
        <v>0.61144202305606699</v>
      </c>
      <c r="K17345" s="29">
        <v>0.98289565623980701</v>
      </c>
    </row>
    <row r="17346" spans="1:11" x14ac:dyDescent="0.35">
      <c r="A17346" s="9" t="str">
        <f>HYPERLINK("http://www.ensembl.org/id/WBGene00021329", "WBGene00021329")</f>
        <v>WBGene00021329</v>
      </c>
      <c r="B17346" s="9" t="str">
        <f>HYPERLINK("http://www.ncbi.nlm.nih.gov/gene/171684", "171684")</f>
        <v>171684</v>
      </c>
      <c r="C17346" s="9"/>
      <c r="D17346" t="str">
        <f>"Y34D9A.3"</f>
        <v>Y34D9A.3</v>
      </c>
      <c r="F17346" t="s">
        <v>11</v>
      </c>
      <c r="H17346" s="12">
        <v>-1.3070347499167401</v>
      </c>
      <c r="I17346" s="20">
        <v>-1.10338070852276</v>
      </c>
      <c r="J17346" s="28">
        <v>0.269861870737026</v>
      </c>
      <c r="K17346" s="29">
        <v>0.98289565623980701</v>
      </c>
    </row>
    <row r="17347" spans="1:11" x14ac:dyDescent="0.35">
      <c r="A17347" s="9" t="str">
        <f>HYPERLINK("http://www.ensembl.org/id/WBGene00021332", "WBGene00021332")</f>
        <v>WBGene00021332</v>
      </c>
      <c r="B17347" s="9" t="str">
        <f>HYPERLINK("http://www.ncbi.nlm.nih.gov/gene/189588", "189588")</f>
        <v>189588</v>
      </c>
      <c r="C17347" s="9"/>
      <c r="D17347" t="str">
        <f>"Y34D9A.7"</f>
        <v>Y34D9A.7</v>
      </c>
      <c r="F17347" t="s">
        <v>11</v>
      </c>
      <c r="G17347" t="s">
        <v>2232</v>
      </c>
      <c r="H17347" s="12">
        <v>-1.1243586064534501</v>
      </c>
      <c r="I17347" s="20">
        <v>-0.50661902851030305</v>
      </c>
      <c r="J17347" s="28">
        <v>0.61242215428937696</v>
      </c>
      <c r="K17347" s="29">
        <v>0.98289565623980701</v>
      </c>
    </row>
    <row r="17348" spans="1:11" x14ac:dyDescent="0.35">
      <c r="A17348" s="9" t="str">
        <f>HYPERLINK("http://www.ensembl.org/id/WBGene00021337", "WBGene00021337")</f>
        <v>WBGene00021337</v>
      </c>
      <c r="B17348" s="9" t="str">
        <f>HYPERLINK("http://www.ncbi.nlm.nih.gov/gene/175262", "175262")</f>
        <v>175262</v>
      </c>
      <c r="C17348" s="9"/>
      <c r="D17348" t="str">
        <f>"Y34F4.2"</f>
        <v>Y34F4.2</v>
      </c>
      <c r="F17348" t="s">
        <v>11</v>
      </c>
      <c r="G17348" t="s">
        <v>25</v>
      </c>
      <c r="H17348" s="12">
        <v>1.07544918214869</v>
      </c>
      <c r="I17348" s="20">
        <v>0.29750072702404701</v>
      </c>
      <c r="J17348" s="28">
        <v>0.76608425302234395</v>
      </c>
      <c r="K17348" s="29">
        <v>0.98289565623980701</v>
      </c>
    </row>
    <row r="17349" spans="1:11" x14ac:dyDescent="0.35">
      <c r="A17349" s="9" t="str">
        <f>HYPERLINK("http://www.ensembl.org/id/WBGene00021338", "WBGene00021338")</f>
        <v>WBGene00021338</v>
      </c>
      <c r="B17349" s="9" t="str">
        <f>HYPERLINK("http://www.ncbi.nlm.nih.gov/gene/189592", "189592")</f>
        <v>189592</v>
      </c>
      <c r="C17349" s="9"/>
      <c r="D17349" t="str">
        <f>"Y34F4.3"</f>
        <v>Y34F4.3</v>
      </c>
      <c r="F17349" t="s">
        <v>11</v>
      </c>
      <c r="G17349" t="s">
        <v>4604</v>
      </c>
      <c r="H17349" s="12">
        <v>-4.0271644433061304</v>
      </c>
      <c r="I17349" s="20">
        <v>-0.47804524091721101</v>
      </c>
      <c r="J17349" s="28">
        <v>0.63261800531855095</v>
      </c>
      <c r="K17349" s="29">
        <v>0.98289565623980701</v>
      </c>
    </row>
    <row r="17350" spans="1:11" x14ac:dyDescent="0.35">
      <c r="A17350" s="9" t="str">
        <f>HYPERLINK("http://www.ensembl.org/id/WBGene00021339", "WBGene00021339")</f>
        <v>WBGene00021339</v>
      </c>
      <c r="B17350" s="9" t="str">
        <f>HYPERLINK("http://www.ncbi.nlm.nih.gov/gene/175263", "175263")</f>
        <v>175263</v>
      </c>
      <c r="C17350" s="9"/>
      <c r="D17350" t="str">
        <f>"Y34F4.4"</f>
        <v>Y34F4.4</v>
      </c>
      <c r="F17350" t="s">
        <v>11</v>
      </c>
      <c r="G17350" t="s">
        <v>25</v>
      </c>
      <c r="H17350" s="12">
        <v>-1.3302979118799101</v>
      </c>
      <c r="I17350" s="20">
        <v>-0.29244530182549</v>
      </c>
      <c r="J17350" s="28">
        <v>0.76994617545440502</v>
      </c>
      <c r="K17350" s="29">
        <v>0.98289565623980701</v>
      </c>
    </row>
    <row r="17351" spans="1:11" x14ac:dyDescent="0.35">
      <c r="A17351" s="9" t="str">
        <f>HYPERLINK("http://www.ensembl.org/id/WBGene00021340", "WBGene00021340")</f>
        <v>WBGene00021340</v>
      </c>
      <c r="B17351" s="9" t="str">
        <f>HYPERLINK("http://www.ncbi.nlm.nih.gov/gene/189593", "189593")</f>
        <v>189593</v>
      </c>
      <c r="C17351" s="9"/>
      <c r="D17351" t="str">
        <f>"Y34F4.5"</f>
        <v>Y34F4.5</v>
      </c>
      <c r="F17351" t="s">
        <v>11</v>
      </c>
      <c r="G17351" t="s">
        <v>25</v>
      </c>
      <c r="H17351" s="12">
        <v>-1.24397747866637</v>
      </c>
      <c r="I17351" s="20">
        <v>-1.0216290700711299</v>
      </c>
      <c r="J17351" s="28">
        <v>0.30695649350304899</v>
      </c>
      <c r="K17351" s="29">
        <v>0.98289565623980701</v>
      </c>
    </row>
    <row r="17352" spans="1:11" x14ac:dyDescent="0.35">
      <c r="A17352" s="9" t="str">
        <f>HYPERLINK("http://www.ensembl.org/id/WBGene00220140", "WBGene00220140")</f>
        <v>WBGene00220140</v>
      </c>
      <c r="B17352" s="9"/>
      <c r="C17352" s="9"/>
      <c r="D17352" t="str">
        <f>"Y34F4.7"</f>
        <v>Y34F4.7</v>
      </c>
      <c r="F17352" t="s">
        <v>481</v>
      </c>
      <c r="H17352" s="12">
        <v>-2.9758695565702702</v>
      </c>
      <c r="I17352" s="20">
        <v>-0.80230769473673902</v>
      </c>
      <c r="J17352" s="28">
        <v>0.42237499244101301</v>
      </c>
      <c r="K17352" s="29">
        <v>0.98289565623980701</v>
      </c>
    </row>
    <row r="17353" spans="1:11" x14ac:dyDescent="0.35">
      <c r="A17353" s="9" t="str">
        <f>HYPERLINK("http://www.ensembl.org/id/WBGene00021342", "WBGene00021342")</f>
        <v>WBGene00021342</v>
      </c>
      <c r="B17353" s="9"/>
      <c r="C17353" s="9"/>
      <c r="D17353" t="str">
        <f>"Y35H6.3"</f>
        <v>Y35H6.3</v>
      </c>
      <c r="F17353" t="s">
        <v>80</v>
      </c>
      <c r="H17353" s="12">
        <v>1.1984409204673301</v>
      </c>
      <c r="I17353" s="20">
        <v>0.37592229544230099</v>
      </c>
      <c r="J17353" s="28">
        <v>0.70697466483805904</v>
      </c>
      <c r="K17353" s="29">
        <v>0.98289565623980701</v>
      </c>
    </row>
    <row r="17354" spans="1:11" x14ac:dyDescent="0.35">
      <c r="A17354" s="9" t="str">
        <f>HYPERLINK("http://www.ensembl.org/id/WBGene00194708", "WBGene00194708")</f>
        <v>WBGene00194708</v>
      </c>
      <c r="B17354" s="9" t="str">
        <f>HYPERLINK("http://www.ncbi.nlm.nih.gov/gene/13216964", "13216964")</f>
        <v>13216964</v>
      </c>
      <c r="C17354" s="9"/>
      <c r="D17354" t="str">
        <f>"Y36E3A.2"</f>
        <v>Y36E3A.2</v>
      </c>
      <c r="F17354" t="s">
        <v>11</v>
      </c>
      <c r="G17354" t="s">
        <v>25</v>
      </c>
      <c r="H17354" s="12">
        <v>-1.2197241053564101</v>
      </c>
      <c r="I17354" s="20">
        <v>-0.33866519929385702</v>
      </c>
      <c r="J17354" s="28">
        <v>0.73486195989988901</v>
      </c>
      <c r="K17354" s="29">
        <v>0.98289565623980701</v>
      </c>
    </row>
    <row r="17355" spans="1:11" x14ac:dyDescent="0.35">
      <c r="A17355" s="9" t="str">
        <f>HYPERLINK("http://www.ensembl.org/id/WBGene00045063", "WBGene00045063")</f>
        <v>WBGene00045063</v>
      </c>
      <c r="B17355" s="9" t="str">
        <f>HYPERLINK("http://www.ncbi.nlm.nih.gov/gene/4927018", "4927018")</f>
        <v>4927018</v>
      </c>
      <c r="C17355" s="9"/>
      <c r="D17355" t="str">
        <f>"Y37A1A.4"</f>
        <v>Y37A1A.4</v>
      </c>
      <c r="F17355" t="s">
        <v>11</v>
      </c>
      <c r="H17355" s="12">
        <v>1.1005187218105701</v>
      </c>
      <c r="I17355" s="20">
        <v>0.47831288069438799</v>
      </c>
      <c r="J17355" s="28">
        <v>0.63242752992865403</v>
      </c>
      <c r="K17355" s="29">
        <v>0.98289565623980701</v>
      </c>
    </row>
    <row r="17356" spans="1:11" x14ac:dyDescent="0.35">
      <c r="A17356" s="9" t="str">
        <f>HYPERLINK("http://www.ensembl.org/id/WBGene00044989", "WBGene00044989")</f>
        <v>WBGene00044989</v>
      </c>
      <c r="B17356" s="9" t="str">
        <f>HYPERLINK("http://www.ncbi.nlm.nih.gov/gene/4926960", "4926960")</f>
        <v>4926960</v>
      </c>
      <c r="C17356" s="9"/>
      <c r="D17356" t="str">
        <f>"Y37A1B.17"</f>
        <v>Y37A1B.17</v>
      </c>
      <c r="F17356" t="s">
        <v>11</v>
      </c>
      <c r="G17356" t="s">
        <v>8167</v>
      </c>
      <c r="H17356" s="12">
        <v>-1.1636849119585999</v>
      </c>
      <c r="I17356" s="20">
        <v>-0.81043148473916804</v>
      </c>
      <c r="J17356" s="28">
        <v>0.417692228495401</v>
      </c>
      <c r="K17356" s="29">
        <v>0.98289565623980701</v>
      </c>
    </row>
    <row r="17357" spans="1:11" x14ac:dyDescent="0.35">
      <c r="A17357" s="9" t="str">
        <f>HYPERLINK("http://www.ensembl.org/id/WBGene00012540", "WBGene00012540")</f>
        <v>WBGene00012540</v>
      </c>
      <c r="B17357" s="9" t="str">
        <f>HYPERLINK("http://www.ncbi.nlm.nih.gov/gene/178359", "178359")</f>
        <v>178359</v>
      </c>
      <c r="C17357" s="9"/>
      <c r="D17357" t="str">
        <f>"Y37A1B.7"</f>
        <v>Y37A1B.7</v>
      </c>
      <c r="F17357" t="s">
        <v>11</v>
      </c>
      <c r="H17357" s="12">
        <v>-1.5479873532416699</v>
      </c>
      <c r="I17357" s="20">
        <v>-0.58817106223083204</v>
      </c>
      <c r="J17357" s="28">
        <v>0.55641747878599201</v>
      </c>
      <c r="K17357" s="29">
        <v>0.98289565623980701</v>
      </c>
    </row>
    <row r="17358" spans="1:11" x14ac:dyDescent="0.35">
      <c r="A17358" s="9" t="str">
        <f>HYPERLINK("http://www.ensembl.org/id/WBGene00012554", "WBGene00012554")</f>
        <v>WBGene00012554</v>
      </c>
      <c r="B17358" s="9" t="str">
        <f>HYPERLINK("http://www.ncbi.nlm.nih.gov/gene/176709", "176709")</f>
        <v>176709</v>
      </c>
      <c r="C17358" s="9"/>
      <c r="D17358" t="str">
        <f>"Y37D8A.16"</f>
        <v>Y37D8A.16</v>
      </c>
      <c r="F17358" t="s">
        <v>11</v>
      </c>
      <c r="G17358" t="s">
        <v>25</v>
      </c>
      <c r="H17358" s="12">
        <v>-1.22800427903628</v>
      </c>
      <c r="I17358" s="20">
        <v>-1.09735607661989</v>
      </c>
      <c r="J17358" s="28">
        <v>0.27248576624605703</v>
      </c>
      <c r="K17358" s="29">
        <v>0.98289565623980701</v>
      </c>
    </row>
    <row r="17359" spans="1:11" x14ac:dyDescent="0.35">
      <c r="A17359" s="9" t="str">
        <f>HYPERLINK("http://www.ensembl.org/id/WBGene00012557", "WBGene00012557")</f>
        <v>WBGene00012557</v>
      </c>
      <c r="B17359" s="9" t="str">
        <f>HYPERLINK("http://www.ncbi.nlm.nih.gov/gene/176711", "176711")</f>
        <v>176711</v>
      </c>
      <c r="C17359" s="9"/>
      <c r="D17359" t="str">
        <f>"Y37D8A.19"</f>
        <v>Y37D8A.19</v>
      </c>
      <c r="F17359" t="s">
        <v>11</v>
      </c>
      <c r="H17359" s="12">
        <v>-1.19803452619458</v>
      </c>
      <c r="I17359" s="20">
        <v>-0.92916281204058004</v>
      </c>
      <c r="J17359" s="28">
        <v>0.35280471658094598</v>
      </c>
      <c r="K17359" s="29">
        <v>0.98289565623980701</v>
      </c>
    </row>
    <row r="17360" spans="1:11" x14ac:dyDescent="0.35">
      <c r="A17360" s="9" t="str">
        <f>HYPERLINK("http://www.ensembl.org/id/WBGene00012544", "WBGene00012544")</f>
        <v>WBGene00012544</v>
      </c>
      <c r="B17360" s="9" t="str">
        <f>HYPERLINK("http://www.ncbi.nlm.nih.gov/gene/176698", "176698")</f>
        <v>176698</v>
      </c>
      <c r="C17360" s="9" t="str">
        <f>HYPERLINK("http://www.ncbi.nlm.nih.gov/gene/196463", "196463")</f>
        <v>196463</v>
      </c>
      <c r="D17360" t="str">
        <f>"Y37D8A.2"</f>
        <v>Y37D8A.2</v>
      </c>
      <c r="E17360" t="s">
        <v>9551</v>
      </c>
      <c r="F17360" t="s">
        <v>11</v>
      </c>
      <c r="G17360" t="s">
        <v>9552</v>
      </c>
      <c r="H17360" s="12">
        <v>-1.25776680686071</v>
      </c>
      <c r="I17360" s="20">
        <v>-1.19903979675545</v>
      </c>
      <c r="J17360" s="28">
        <v>0.23051247147387099</v>
      </c>
      <c r="K17360" s="29">
        <v>0.98289565623980701</v>
      </c>
    </row>
    <row r="17361" spans="1:11" x14ac:dyDescent="0.35">
      <c r="A17361" s="9" t="str">
        <f>HYPERLINK("http://www.ensembl.org/id/WBGene00012560", "WBGene00012560")</f>
        <v>WBGene00012560</v>
      </c>
      <c r="B17361" s="9" t="str">
        <f>HYPERLINK("http://www.ncbi.nlm.nih.gov/gene/3565405", "3565405")</f>
        <v>3565405</v>
      </c>
      <c r="C17361" s="9"/>
      <c r="D17361" t="str">
        <f>"Y37D8A.25"</f>
        <v>Y37D8A.25</v>
      </c>
      <c r="F17361" t="s">
        <v>11</v>
      </c>
      <c r="G17361" t="s">
        <v>9351</v>
      </c>
      <c r="H17361" s="12">
        <v>-1.24028671918445</v>
      </c>
      <c r="I17361" s="20">
        <v>-0.86179177225362402</v>
      </c>
      <c r="J17361" s="28">
        <v>0.38880211336296899</v>
      </c>
      <c r="K17361" s="29">
        <v>0.98289565623980701</v>
      </c>
    </row>
    <row r="17362" spans="1:11" x14ac:dyDescent="0.35">
      <c r="A17362" s="9" t="str">
        <f>HYPERLINK("http://www.ensembl.org/id/WBGene00012561", "WBGene00012561")</f>
        <v>WBGene00012561</v>
      </c>
      <c r="B17362" s="9" t="str">
        <f>HYPERLINK("http://www.ncbi.nlm.nih.gov/gene/259541", "259541")</f>
        <v>259541</v>
      </c>
      <c r="C17362" s="9"/>
      <c r="D17362" t="str">
        <f>"Y37D8A.26"</f>
        <v>Y37D8A.26</v>
      </c>
      <c r="F17362" t="s">
        <v>11</v>
      </c>
      <c r="G17362" t="s">
        <v>208</v>
      </c>
      <c r="H17362" s="12">
        <v>-1.62838830437338</v>
      </c>
      <c r="I17362" s="20">
        <v>-0.93834872158906102</v>
      </c>
      <c r="J17362" s="28">
        <v>0.34806522902112602</v>
      </c>
      <c r="K17362" s="29">
        <v>0.98289565623980701</v>
      </c>
    </row>
    <row r="17363" spans="1:11" x14ac:dyDescent="0.35">
      <c r="A17363" s="9" t="str">
        <f>HYPERLINK("http://www.ensembl.org/id/WBGene00198656", "WBGene00198656")</f>
        <v>WBGene00198656</v>
      </c>
      <c r="B17363" s="9"/>
      <c r="C17363" s="9"/>
      <c r="D17363" t="str">
        <f>"Y37D8A.27"</f>
        <v>Y37D8A.27</v>
      </c>
      <c r="F17363" t="s">
        <v>481</v>
      </c>
      <c r="H17363" s="12">
        <v>-1.5036033678012299</v>
      </c>
      <c r="I17363" s="20">
        <v>-0.55242917417189796</v>
      </c>
      <c r="J17363" s="28">
        <v>0.58065434702824803</v>
      </c>
      <c r="K17363" s="29">
        <v>0.98289565623980701</v>
      </c>
    </row>
    <row r="17364" spans="1:11" x14ac:dyDescent="0.35">
      <c r="A17364" s="9" t="str">
        <f>HYPERLINK("http://www.ensembl.org/id/WBGene00012546", "WBGene00012546")</f>
        <v>WBGene00012546</v>
      </c>
      <c r="B17364" s="9" t="str">
        <f>HYPERLINK("http://www.ncbi.nlm.nih.gov/gene/176699", "176699")</f>
        <v>176699</v>
      </c>
      <c r="C17364" s="9"/>
      <c r="D17364" t="str">
        <f>"Y37D8A.4"</f>
        <v>Y37D8A.4</v>
      </c>
      <c r="F17364" t="s">
        <v>11</v>
      </c>
      <c r="H17364" s="12">
        <v>-1.12643862859315</v>
      </c>
      <c r="I17364" s="20">
        <v>-0.55078744587018402</v>
      </c>
      <c r="J17364" s="28">
        <v>0.58177939112817501</v>
      </c>
      <c r="K17364" s="29">
        <v>0.98289565623980701</v>
      </c>
    </row>
    <row r="17365" spans="1:11" x14ac:dyDescent="0.35">
      <c r="A17365" s="9" t="str">
        <f>HYPERLINK("http://www.ensembl.org/id/WBGene00012549", "WBGene00012549")</f>
        <v>WBGene00012549</v>
      </c>
      <c r="B17365" s="9" t="str">
        <f>HYPERLINK("http://www.ncbi.nlm.nih.gov/gene/189616", "189616")</f>
        <v>189616</v>
      </c>
      <c r="C17365" s="9"/>
      <c r="D17365" t="str">
        <f>"Y37D8A.8"</f>
        <v>Y37D8A.8</v>
      </c>
      <c r="F17365" t="s">
        <v>11</v>
      </c>
      <c r="G17365" t="s">
        <v>208</v>
      </c>
      <c r="H17365" s="12">
        <v>8.2193880767886291</v>
      </c>
      <c r="I17365" s="20">
        <v>1.15058201480483</v>
      </c>
      <c r="J17365" s="28">
        <v>0.24990423557841199</v>
      </c>
      <c r="K17365" s="29">
        <v>0.98289565623980701</v>
      </c>
    </row>
    <row r="17366" spans="1:11" x14ac:dyDescent="0.35">
      <c r="A17366" s="9" t="str">
        <f>HYPERLINK("http://www.ensembl.org/id/WBGene00195010", "WBGene00195010")</f>
        <v>WBGene00195010</v>
      </c>
      <c r="B17366" s="9" t="str">
        <f>HYPERLINK("http://www.ncbi.nlm.nih.gov/gene/13192703", "13192703")</f>
        <v>13192703</v>
      </c>
      <c r="C17366" s="9"/>
      <c r="D17366" t="str">
        <f>"Y37E11AL.12"</f>
        <v>Y37E11AL.12</v>
      </c>
      <c r="F17366" t="s">
        <v>11</v>
      </c>
      <c r="G17366" t="s">
        <v>25</v>
      </c>
      <c r="H17366" s="12">
        <v>4.84705885516534</v>
      </c>
      <c r="I17366" s="20">
        <v>0.54594601778963803</v>
      </c>
      <c r="J17366" s="28">
        <v>0.58510304473983399</v>
      </c>
      <c r="K17366" s="29">
        <v>0.98289565623980701</v>
      </c>
    </row>
    <row r="17367" spans="1:11" x14ac:dyDescent="0.35">
      <c r="A17367" s="9" t="str">
        <f>HYPERLINK("http://www.ensembl.org/id/WBGene00021364", "WBGene00021364")</f>
        <v>WBGene00021364</v>
      </c>
      <c r="B17367" s="9" t="str">
        <f>HYPERLINK("http://www.ncbi.nlm.nih.gov/gene/189622", "189622")</f>
        <v>189622</v>
      </c>
      <c r="C17367" s="9"/>
      <c r="D17367" t="str">
        <f>"Y37E11AL.9"</f>
        <v>Y37E11AL.9</v>
      </c>
      <c r="F17367" t="s">
        <v>11</v>
      </c>
      <c r="H17367" s="12">
        <v>1.30638181971342</v>
      </c>
      <c r="I17367" s="20">
        <v>0.28466478080261298</v>
      </c>
      <c r="J17367" s="28">
        <v>0.77590097555884596</v>
      </c>
      <c r="K17367" s="29">
        <v>0.98289565623980701</v>
      </c>
    </row>
    <row r="17368" spans="1:11" x14ac:dyDescent="0.35">
      <c r="A17368" s="9" t="str">
        <f>HYPERLINK("http://www.ensembl.org/id/WBGene00302986", "WBGene00302986")</f>
        <v>WBGene00302986</v>
      </c>
      <c r="B17368" s="9" t="str">
        <f>HYPERLINK("http://www.ncbi.nlm.nih.gov/gene/177133", "177133")</f>
        <v>177133</v>
      </c>
      <c r="C17368" s="9"/>
      <c r="D17368" t="str">
        <f>"Y37E11AM.4"</f>
        <v>Y37E11AM.4</v>
      </c>
      <c r="F17368" t="s">
        <v>11</v>
      </c>
      <c r="H17368" s="12">
        <v>-1.3892442686220701</v>
      </c>
      <c r="I17368" s="20">
        <v>-1.0852456969862201</v>
      </c>
      <c r="J17368" s="28">
        <v>0.27781284977017601</v>
      </c>
      <c r="K17368" s="29">
        <v>0.98289565623980701</v>
      </c>
    </row>
    <row r="17369" spans="1:11" x14ac:dyDescent="0.35">
      <c r="A17369" s="9" t="str">
        <f>HYPERLINK("http://www.ensembl.org/id/WBGene00021373", "WBGene00021373")</f>
        <v>WBGene00021373</v>
      </c>
      <c r="B17369" s="9" t="str">
        <f>HYPERLINK("http://www.ncbi.nlm.nih.gov/gene/3564985", "3564985")</f>
        <v>3564985</v>
      </c>
      <c r="C17369" s="9"/>
      <c r="D17369" t="str">
        <f>"Y37E11AR.7"</f>
        <v>Y37E11AR.7</v>
      </c>
      <c r="F17369" t="s">
        <v>11</v>
      </c>
      <c r="G17369" t="s">
        <v>427</v>
      </c>
      <c r="H17369" s="12">
        <v>-1.96017070386139</v>
      </c>
      <c r="I17369" s="20">
        <v>-0.56682732861827401</v>
      </c>
      <c r="J17369" s="28">
        <v>0.57083150139407002</v>
      </c>
      <c r="K17369" s="29">
        <v>0.98289565623980701</v>
      </c>
    </row>
    <row r="17370" spans="1:11" x14ac:dyDescent="0.35">
      <c r="A17370" s="9" t="str">
        <f>HYPERLINK("http://www.ensembl.org/id/WBGene00021374", "WBGene00021374")</f>
        <v>WBGene00021374</v>
      </c>
      <c r="B17370" s="9" t="str">
        <f>HYPERLINK("http://www.ncbi.nlm.nih.gov/gene/177118", "177118")</f>
        <v>177118</v>
      </c>
      <c r="C17370" s="9"/>
      <c r="D17370" t="str">
        <f>"Y37E11B.1"</f>
        <v>Y37E11B.1</v>
      </c>
      <c r="F17370" t="s">
        <v>11</v>
      </c>
      <c r="G17370" t="s">
        <v>462</v>
      </c>
      <c r="H17370" s="12">
        <v>1.4370541509227499</v>
      </c>
      <c r="I17370" s="20">
        <v>1.02381699531841</v>
      </c>
      <c r="J17370" s="28">
        <v>0.30592172143864599</v>
      </c>
      <c r="K17370" s="29">
        <v>0.98289565623980701</v>
      </c>
    </row>
    <row r="17371" spans="1:11" x14ac:dyDescent="0.35">
      <c r="A17371" s="9" t="str">
        <f>HYPERLINK("http://www.ensembl.org/id/WBGene00195029", "WBGene00195029")</f>
        <v>WBGene00195029</v>
      </c>
      <c r="B17371" s="9"/>
      <c r="C17371" s="9"/>
      <c r="D17371" t="str">
        <f>"Y37E11B.11"</f>
        <v>Y37E11B.11</v>
      </c>
      <c r="F17371" t="s">
        <v>481</v>
      </c>
      <c r="H17371" s="12">
        <v>4.5655686139945102</v>
      </c>
      <c r="I17371" s="20">
        <v>0.54155341165969295</v>
      </c>
      <c r="J17371" s="28">
        <v>0.588126193449649</v>
      </c>
      <c r="K17371" s="29">
        <v>0.98289565623980701</v>
      </c>
    </row>
    <row r="17372" spans="1:11" x14ac:dyDescent="0.35">
      <c r="A17372" s="9" t="str">
        <f>HYPERLINK("http://www.ensembl.org/id/WBGene00235357", "WBGene00235357")</f>
        <v>WBGene00235357</v>
      </c>
      <c r="B17372" s="9"/>
      <c r="C17372" s="9"/>
      <c r="D17372" t="str">
        <f>"Y37E11B.16"</f>
        <v>Y37E11B.16</v>
      </c>
      <c r="F17372" t="s">
        <v>2735</v>
      </c>
      <c r="H17372" s="12">
        <v>1.5334257600326799</v>
      </c>
      <c r="I17372" s="20">
        <v>0.70592491980216898</v>
      </c>
      <c r="J17372" s="28">
        <v>0.48023482950538798</v>
      </c>
      <c r="K17372" s="29">
        <v>0.98289565623980701</v>
      </c>
    </row>
    <row r="17373" spans="1:11" x14ac:dyDescent="0.35">
      <c r="A17373" s="9" t="str">
        <f>HYPERLINK("http://www.ensembl.org/id/WBGene00021375", "WBGene00021375")</f>
        <v>WBGene00021375</v>
      </c>
      <c r="B17373" s="9" t="str">
        <f>HYPERLINK("http://www.ncbi.nlm.nih.gov/gene/189624", "189624")</f>
        <v>189624</v>
      </c>
      <c r="C17373" s="9"/>
      <c r="D17373" t="str">
        <f>"Y37E11B.2"</f>
        <v>Y37E11B.2</v>
      </c>
      <c r="F17373" t="s">
        <v>11</v>
      </c>
      <c r="H17373" s="12">
        <v>1.3923507561902799</v>
      </c>
      <c r="I17373" s="20">
        <v>1.1240846411346801</v>
      </c>
      <c r="J17373" s="28">
        <v>0.260977120338658</v>
      </c>
      <c r="K17373" s="29">
        <v>0.98289565623980701</v>
      </c>
    </row>
    <row r="17374" spans="1:11" x14ac:dyDescent="0.35">
      <c r="A17374" s="9" t="str">
        <f>HYPERLINK("http://www.ensembl.org/id/WBGene00021377", "WBGene00021377")</f>
        <v>WBGene00021377</v>
      </c>
      <c r="B17374" s="9" t="str">
        <f>HYPERLINK("http://www.ncbi.nlm.nih.gov/gene/177120", "177120")</f>
        <v>177120</v>
      </c>
      <c r="C17374" s="9" t="str">
        <f>HYPERLINK("http://www.ncbi.nlm.nih.gov/gene/56931", "56931")</f>
        <v>56931</v>
      </c>
      <c r="D17374" t="str">
        <f>"Y37E11B.5"</f>
        <v>Y37E11B.5</v>
      </c>
      <c r="E17374" t="s">
        <v>8800</v>
      </c>
      <c r="F17374" t="s">
        <v>11</v>
      </c>
      <c r="G17374" t="s">
        <v>8801</v>
      </c>
      <c r="H17374" s="12">
        <v>-1.19779050454568</v>
      </c>
      <c r="I17374" s="20">
        <v>-0.77563942284085496</v>
      </c>
      <c r="J17374" s="28">
        <v>0.43796191651075</v>
      </c>
      <c r="K17374" s="29">
        <v>0.98289565623980701</v>
      </c>
    </row>
    <row r="17375" spans="1:11" x14ac:dyDescent="0.35">
      <c r="A17375" s="9" t="str">
        <f>HYPERLINK("http://www.ensembl.org/id/WBGene00021378", "WBGene00021378")</f>
        <v>WBGene00021378</v>
      </c>
      <c r="B17375" s="9" t="str">
        <f>HYPERLINK("http://www.ncbi.nlm.nih.gov/gene/189625", "189625")</f>
        <v>189625</v>
      </c>
      <c r="C17375" s="9"/>
      <c r="D17375" t="str">
        <f>"Y37E11B.6"</f>
        <v>Y37E11B.6</v>
      </c>
      <c r="F17375" t="s">
        <v>11</v>
      </c>
      <c r="G17375" t="s">
        <v>9792</v>
      </c>
      <c r="H17375" s="12">
        <v>-1.3028190220993601</v>
      </c>
      <c r="I17375" s="20">
        <v>-0.755900397599232</v>
      </c>
      <c r="J17375" s="28">
        <v>0.44970891556108</v>
      </c>
      <c r="K17375" s="29">
        <v>0.98289565623980701</v>
      </c>
    </row>
    <row r="17376" spans="1:11" x14ac:dyDescent="0.35">
      <c r="A17376" s="9" t="str">
        <f>HYPERLINK("http://www.ensembl.org/id/WBGene00021379", "WBGene00021379")</f>
        <v>WBGene00021379</v>
      </c>
      <c r="B17376" s="9" t="str">
        <f>HYPERLINK("http://www.ncbi.nlm.nih.gov/gene/177121", "177121")</f>
        <v>177121</v>
      </c>
      <c r="C17376" s="9"/>
      <c r="D17376" t="str">
        <f>"Y37E11B.7"</f>
        <v>Y37E11B.7</v>
      </c>
      <c r="F17376" t="s">
        <v>11</v>
      </c>
      <c r="H17376" s="12">
        <v>1.23940120306293</v>
      </c>
      <c r="I17376" s="20">
        <v>0.27930569182667803</v>
      </c>
      <c r="J17376" s="28">
        <v>0.78001023859527896</v>
      </c>
      <c r="K17376" s="29">
        <v>0.98289565623980701</v>
      </c>
    </row>
    <row r="17377" spans="1:11" x14ac:dyDescent="0.35">
      <c r="A17377" s="9" t="str">
        <f>HYPERLINK("http://www.ensembl.org/id/WBGene00044810", "WBGene00044810")</f>
        <v>WBGene00044810</v>
      </c>
      <c r="B17377" s="9" t="str">
        <f>HYPERLINK("http://www.ncbi.nlm.nih.gov/gene/4363008", "4363008")</f>
        <v>4363008</v>
      </c>
      <c r="C17377" s="9"/>
      <c r="D17377" t="str">
        <f>"Y37E3.19"</f>
        <v>Y37E3.19</v>
      </c>
      <c r="F17377" t="s">
        <v>11</v>
      </c>
      <c r="G17377" t="s">
        <v>25</v>
      </c>
      <c r="H17377" s="12">
        <v>-2.8501163663065299</v>
      </c>
      <c r="I17377" s="20">
        <v>-0.464562379551336</v>
      </c>
      <c r="J17377" s="28">
        <v>0.64224487838041699</v>
      </c>
      <c r="K17377" s="29">
        <v>0.98289565623980701</v>
      </c>
    </row>
    <row r="17378" spans="1:11" x14ac:dyDescent="0.35">
      <c r="A17378" s="9" t="str">
        <f>HYPERLINK("http://www.ensembl.org/id/WBGene00044932", "WBGene00044932")</f>
        <v>WBGene00044932</v>
      </c>
      <c r="B17378" s="9"/>
      <c r="C17378" s="9"/>
      <c r="D17378" t="str">
        <f>"Y37E3.22"</f>
        <v>Y37E3.22</v>
      </c>
      <c r="F17378" t="s">
        <v>2977</v>
      </c>
      <c r="H17378" s="12">
        <v>2.3893468495514898</v>
      </c>
      <c r="I17378" s="20">
        <v>0.25323547253672701</v>
      </c>
      <c r="J17378" s="28">
        <v>0.80008625651646104</v>
      </c>
      <c r="K17378" s="29">
        <v>0.98289565623980701</v>
      </c>
    </row>
    <row r="17379" spans="1:11" x14ac:dyDescent="0.35">
      <c r="A17379" s="9" t="str">
        <f>HYPERLINK("http://www.ensembl.org/id/WBGene00195031", "WBGene00195031")</f>
        <v>WBGene00195031</v>
      </c>
      <c r="B17379" s="9"/>
      <c r="C17379" s="9"/>
      <c r="D17379" t="str">
        <f>"Y37E3.23"</f>
        <v>Y37E3.23</v>
      </c>
      <c r="F17379" t="s">
        <v>481</v>
      </c>
      <c r="H17379" s="12">
        <v>-3.5819448292659501</v>
      </c>
      <c r="I17379" s="20">
        <v>-0.37337717500031398</v>
      </c>
      <c r="J17379" s="28">
        <v>0.70886774492290605</v>
      </c>
      <c r="K17379" s="29">
        <v>0.98289565623980701</v>
      </c>
    </row>
    <row r="17380" spans="1:11" x14ac:dyDescent="0.35">
      <c r="A17380" s="9" t="str">
        <f>HYPERLINK("http://www.ensembl.org/id/WBGene00197277", "WBGene00197277")</f>
        <v>WBGene00197277</v>
      </c>
      <c r="B17380" s="9"/>
      <c r="C17380" s="9"/>
      <c r="D17380" t="str">
        <f>"Y37E3.28"</f>
        <v>Y37E3.28</v>
      </c>
      <c r="F17380" t="s">
        <v>481</v>
      </c>
      <c r="H17380" s="12">
        <v>-2.4991590031922399</v>
      </c>
      <c r="I17380" s="20">
        <v>-0.26577412737581302</v>
      </c>
      <c r="J17380" s="28">
        <v>0.79041317015736101</v>
      </c>
      <c r="K17380" s="29">
        <v>0.98289565623980701</v>
      </c>
    </row>
    <row r="17381" spans="1:11" x14ac:dyDescent="0.35">
      <c r="A17381" s="9" t="str">
        <f>HYPERLINK("http://www.ensembl.org/id/WBGene00200606", "WBGene00200606")</f>
        <v>WBGene00200606</v>
      </c>
      <c r="B17381" s="9"/>
      <c r="C17381" s="9"/>
      <c r="D17381" t="str">
        <f>"Y37E3.29"</f>
        <v>Y37E3.29</v>
      </c>
      <c r="F17381" t="s">
        <v>481</v>
      </c>
      <c r="H17381" s="12">
        <v>-2.4991590031922399</v>
      </c>
      <c r="I17381" s="20">
        <v>-0.26577412737581302</v>
      </c>
      <c r="J17381" s="28">
        <v>0.79041317015736101</v>
      </c>
      <c r="K17381" s="29">
        <v>0.98289565623980701</v>
      </c>
    </row>
    <row r="17382" spans="1:11" x14ac:dyDescent="0.35">
      <c r="A17382" s="9" t="str">
        <f>HYPERLINK("http://www.ensembl.org/id/WBGene00021350", "WBGene00021350")</f>
        <v>WBGene00021350</v>
      </c>
      <c r="B17382" s="9" t="str">
        <f>HYPERLINK("http://www.ncbi.nlm.nih.gov/gene/171767", "171767")</f>
        <v>171767</v>
      </c>
      <c r="C17382" s="9" t="str">
        <f>HYPERLINK("http://www.ncbi.nlm.nih.gov/gene/6157", "6157")</f>
        <v>6157</v>
      </c>
      <c r="D17382" t="str">
        <f>"Y37E3.8"</f>
        <v>Y37E3.8</v>
      </c>
      <c r="F17382" t="s">
        <v>11</v>
      </c>
      <c r="G17382" t="s">
        <v>8621</v>
      </c>
      <c r="H17382" s="12">
        <v>-1.18690354778393</v>
      </c>
      <c r="I17382" s="20">
        <v>-0.92712624869994897</v>
      </c>
      <c r="J17382" s="28">
        <v>0.353860989120937</v>
      </c>
      <c r="K17382" s="29">
        <v>0.98289565623980701</v>
      </c>
    </row>
    <row r="17383" spans="1:11" x14ac:dyDescent="0.35">
      <c r="A17383" s="9" t="str">
        <f>HYPERLINK("http://www.ensembl.org/id/WBGene00198499", "WBGene00198499")</f>
        <v>WBGene00198499</v>
      </c>
      <c r="B17383" s="9"/>
      <c r="C17383" s="9"/>
      <c r="D17383" t="str">
        <f>"Y37F4.12"</f>
        <v>Y37F4.12</v>
      </c>
      <c r="F17383" t="s">
        <v>481</v>
      </c>
      <c r="H17383" s="12">
        <v>2.4578120077400301</v>
      </c>
      <c r="I17383" s="20">
        <v>0.26093350314551</v>
      </c>
      <c r="J17383" s="28">
        <v>0.79414378780213601</v>
      </c>
      <c r="K17383" s="29">
        <v>0.98289565623980701</v>
      </c>
    </row>
    <row r="17384" spans="1:11" x14ac:dyDescent="0.35">
      <c r="A17384" s="9" t="str">
        <f>HYPERLINK("http://www.ensembl.org/id/WBGene00220142", "WBGene00220142")</f>
        <v>WBGene00220142</v>
      </c>
      <c r="B17384" s="9"/>
      <c r="C17384" s="9"/>
      <c r="D17384" t="str">
        <f>"Y37F4.15"</f>
        <v>Y37F4.15</v>
      </c>
      <c r="F17384" t="s">
        <v>481</v>
      </c>
      <c r="H17384" s="12">
        <v>-1.1942968942931</v>
      </c>
      <c r="I17384" s="20">
        <v>-0.69698942899275396</v>
      </c>
      <c r="J17384" s="28">
        <v>0.48580940935905298</v>
      </c>
      <c r="K17384" s="29">
        <v>0.98289565623980701</v>
      </c>
    </row>
    <row r="17385" spans="1:11" x14ac:dyDescent="0.35">
      <c r="A17385" s="9" t="str">
        <f>HYPERLINK("http://www.ensembl.org/id/WBGene00021383", "WBGene00021383")</f>
        <v>WBGene00021383</v>
      </c>
      <c r="B17385" s="9" t="str">
        <f>HYPERLINK("http://www.ncbi.nlm.nih.gov/gene/260018", "260018")</f>
        <v>260018</v>
      </c>
      <c r="C17385" s="9"/>
      <c r="D17385" t="str">
        <f>"Y37F4.2"</f>
        <v>Y37F4.2</v>
      </c>
      <c r="F17385" t="s">
        <v>11</v>
      </c>
      <c r="H17385" s="12">
        <v>4.6387698961716399</v>
      </c>
      <c r="I17385" s="20">
        <v>0.44985450087338802</v>
      </c>
      <c r="J17385" s="28">
        <v>0.65281535672642099</v>
      </c>
      <c r="K17385" s="29">
        <v>0.98289565623980701</v>
      </c>
    </row>
    <row r="17386" spans="1:11" x14ac:dyDescent="0.35">
      <c r="A17386" s="9" t="str">
        <f>HYPERLINK("http://www.ensembl.org/id/WBGene00021388", "WBGene00021388")</f>
        <v>WBGene00021388</v>
      </c>
      <c r="B17386" s="9" t="str">
        <f>HYPERLINK("http://www.ncbi.nlm.nih.gov/gene/259398", "259398")</f>
        <v>259398</v>
      </c>
      <c r="C17386" s="9"/>
      <c r="D17386" t="str">
        <f>"Y37F4.7"</f>
        <v>Y37F4.7</v>
      </c>
      <c r="F17386" t="s">
        <v>11</v>
      </c>
      <c r="G17386" t="s">
        <v>25</v>
      </c>
      <c r="H17386" s="12">
        <v>-1.3347168672081999</v>
      </c>
      <c r="I17386" s="20">
        <v>-0.98534692692599002</v>
      </c>
      <c r="J17386" s="28">
        <v>0.324453689566015</v>
      </c>
      <c r="K17386" s="29">
        <v>0.98289565623980701</v>
      </c>
    </row>
    <row r="17387" spans="1:11" x14ac:dyDescent="0.35">
      <c r="A17387" s="9" t="str">
        <f>HYPERLINK("http://www.ensembl.org/id/WBGene00012562", "WBGene00012562")</f>
        <v>WBGene00012562</v>
      </c>
      <c r="B17387" s="9" t="str">
        <f>HYPERLINK("http://www.ncbi.nlm.nih.gov/gene/180186", "180186")</f>
        <v>180186</v>
      </c>
      <c r="C17387" s="9"/>
      <c r="D17387" t="str">
        <f>"Y37H2A.1"</f>
        <v>Y37H2A.1</v>
      </c>
      <c r="F17387" t="s">
        <v>11</v>
      </c>
      <c r="G17387" t="s">
        <v>1539</v>
      </c>
      <c r="H17387" s="12">
        <v>-1.22753438435999</v>
      </c>
      <c r="I17387" s="20">
        <v>-0.93681204286156305</v>
      </c>
      <c r="J17387" s="28">
        <v>0.34885524948192997</v>
      </c>
      <c r="K17387" s="29">
        <v>0.98289565623980701</v>
      </c>
    </row>
    <row r="17388" spans="1:11" x14ac:dyDescent="0.35">
      <c r="A17388" s="9" t="str">
        <f>HYPERLINK("http://www.ensembl.org/id/WBGene00012570", "WBGene00012570")</f>
        <v>WBGene00012570</v>
      </c>
      <c r="B17388" s="9" t="str">
        <f>HYPERLINK("http://www.ncbi.nlm.nih.gov/gene/189633", "189633")</f>
        <v>189633</v>
      </c>
      <c r="C17388" s="9"/>
      <c r="D17388" t="str">
        <f>"Y37H2A.10"</f>
        <v>Y37H2A.10</v>
      </c>
      <c r="F17388" t="s">
        <v>11</v>
      </c>
      <c r="G17388" t="s">
        <v>25</v>
      </c>
      <c r="H17388" s="12">
        <v>3.4917188327556898</v>
      </c>
      <c r="I17388" s="20">
        <v>0.38080453806645798</v>
      </c>
      <c r="J17388" s="28">
        <v>0.703348291649464</v>
      </c>
      <c r="K17388" s="29">
        <v>0.98289565623980701</v>
      </c>
    </row>
    <row r="17389" spans="1:11" x14ac:dyDescent="0.35">
      <c r="A17389" s="9" t="str">
        <f>HYPERLINK("http://www.ensembl.org/id/WBGene00045416", "WBGene00045416")</f>
        <v>WBGene00045416</v>
      </c>
      <c r="B17389" s="9" t="str">
        <f>HYPERLINK("http://www.ncbi.nlm.nih.gov/gene/6418795", "6418795")</f>
        <v>6418795</v>
      </c>
      <c r="C17389" s="9"/>
      <c r="D17389" t="str">
        <f>"Y37H2A.14"</f>
        <v>Y37H2A.14</v>
      </c>
      <c r="F17389" t="s">
        <v>11</v>
      </c>
      <c r="G17389" t="s">
        <v>25</v>
      </c>
      <c r="H17389" s="12">
        <v>-1.3133602277401499</v>
      </c>
      <c r="I17389" s="20">
        <v>-0.80814660340945899</v>
      </c>
      <c r="J17389" s="28">
        <v>0.41900619217999302</v>
      </c>
      <c r="K17389" s="29">
        <v>0.98289565623980701</v>
      </c>
    </row>
    <row r="17390" spans="1:11" x14ac:dyDescent="0.35">
      <c r="A17390" s="9" t="str">
        <f>HYPERLINK("http://www.ensembl.org/id/WBGene00219210", "WBGene00219210")</f>
        <v>WBGene00219210</v>
      </c>
      <c r="B17390" s="9" t="str">
        <f>HYPERLINK("http://www.ncbi.nlm.nih.gov/gene/13218078", "13218078")</f>
        <v>13218078</v>
      </c>
      <c r="C17390" s="9"/>
      <c r="D17390" t="str">
        <f>"Y37H2A.18"</f>
        <v>Y37H2A.18</v>
      </c>
      <c r="F17390" t="s">
        <v>11</v>
      </c>
      <c r="G17390" t="s">
        <v>54</v>
      </c>
      <c r="H17390" s="12">
        <v>-2.24824959763792</v>
      </c>
      <c r="I17390" s="20">
        <v>-0.793045541676073</v>
      </c>
      <c r="J17390" s="28">
        <v>0.42775128965610398</v>
      </c>
      <c r="K17390" s="29">
        <v>0.98289565623980701</v>
      </c>
    </row>
    <row r="17391" spans="1:11" x14ac:dyDescent="0.35">
      <c r="A17391" s="9" t="str">
        <f>HYPERLINK("http://www.ensembl.org/id/WBGene00012567", "WBGene00012567")</f>
        <v>WBGene00012567</v>
      </c>
      <c r="B17391" s="9" t="str">
        <f>HYPERLINK("http://www.ncbi.nlm.nih.gov/gene/189630", "189630")</f>
        <v>189630</v>
      </c>
      <c r="C17391" s="9"/>
      <c r="D17391" t="str">
        <f>"Y37H2A.7"</f>
        <v>Y37H2A.7</v>
      </c>
      <c r="F17391" t="s">
        <v>11</v>
      </c>
      <c r="G17391" t="s">
        <v>54</v>
      </c>
      <c r="H17391" s="12">
        <v>-2.3454901781260999</v>
      </c>
      <c r="I17391" s="20">
        <v>-0.75672385419090804</v>
      </c>
      <c r="J17391" s="28">
        <v>0.449215320505435</v>
      </c>
      <c r="K17391" s="29">
        <v>0.98289565623980701</v>
      </c>
    </row>
    <row r="17392" spans="1:11" x14ac:dyDescent="0.35">
      <c r="A17392" s="9" t="str">
        <f>HYPERLINK("http://www.ensembl.org/id/WBGene00012572", "WBGene00012572")</f>
        <v>WBGene00012572</v>
      </c>
      <c r="B17392" s="9"/>
      <c r="C17392" s="9"/>
      <c r="D17392" t="str">
        <f>"Y37H2B.1"</f>
        <v>Y37H2B.1</v>
      </c>
      <c r="F17392" t="s">
        <v>80</v>
      </c>
      <c r="H17392" s="12">
        <v>-2.5338313716468899</v>
      </c>
      <c r="I17392" s="20">
        <v>-0.908709806005219</v>
      </c>
      <c r="J17392" s="28">
        <v>0.363503326638971</v>
      </c>
      <c r="K17392" s="29">
        <v>0.98289565623980701</v>
      </c>
    </row>
    <row r="17393" spans="1:11" x14ac:dyDescent="0.35">
      <c r="A17393" s="9" t="str">
        <f>HYPERLINK("http://www.ensembl.org/id/WBGene00012573", "WBGene00012573")</f>
        <v>WBGene00012573</v>
      </c>
      <c r="B17393" s="9"/>
      <c r="C17393" s="9"/>
      <c r="D17393" t="str">
        <f>"Y37H2C.1"</f>
        <v>Y37H2C.1</v>
      </c>
      <c r="F17393" t="s">
        <v>80</v>
      </c>
      <c r="H17393" s="12">
        <v>1.3913291023069101</v>
      </c>
      <c r="I17393" s="20">
        <v>0.89671437567243095</v>
      </c>
      <c r="J17393" s="28">
        <v>0.369871347660848</v>
      </c>
      <c r="K17393" s="29">
        <v>0.98289565623980701</v>
      </c>
    </row>
    <row r="17394" spans="1:11" x14ac:dyDescent="0.35">
      <c r="A17394" s="9" t="str">
        <f>HYPERLINK("http://www.ensembl.org/id/WBGene00012576", "WBGene00012576")</f>
        <v>WBGene00012576</v>
      </c>
      <c r="B17394" s="9" t="str">
        <f>HYPERLINK("http://www.ncbi.nlm.nih.gov/gene/173243", "173243")</f>
        <v>173243</v>
      </c>
      <c r="C17394" s="9"/>
      <c r="D17394" t="str">
        <f>"Y37H9A.1"</f>
        <v>Y37H9A.1</v>
      </c>
      <c r="F17394" t="s">
        <v>11</v>
      </c>
      <c r="H17394" s="12">
        <v>-1.2174414249685901</v>
      </c>
      <c r="I17394" s="20">
        <v>-0.81603589302009205</v>
      </c>
      <c r="J17394" s="28">
        <v>0.41447960732192801</v>
      </c>
      <c r="K17394" s="29">
        <v>0.98289565623980701</v>
      </c>
    </row>
    <row r="17395" spans="1:11" x14ac:dyDescent="0.35">
      <c r="A17395" s="9" t="str">
        <f>HYPERLINK("http://www.ensembl.org/id/WBGene00012577", "WBGene00012577")</f>
        <v>WBGene00012577</v>
      </c>
      <c r="B17395" s="9" t="str">
        <f>HYPERLINK("http://www.ncbi.nlm.nih.gov/gene/189638", "189638")</f>
        <v>189638</v>
      </c>
      <c r="C17395" s="9"/>
      <c r="D17395" t="str">
        <f>"Y37H9A.2"</f>
        <v>Y37H9A.2</v>
      </c>
      <c r="F17395" t="s">
        <v>11</v>
      </c>
      <c r="H17395" s="12">
        <v>3.7495657430089002</v>
      </c>
      <c r="I17395" s="20">
        <v>0.41509078773660102</v>
      </c>
      <c r="J17395" s="28">
        <v>0.67807544303981004</v>
      </c>
      <c r="K17395" s="29">
        <v>0.98289565623980701</v>
      </c>
    </row>
    <row r="17396" spans="1:11" x14ac:dyDescent="0.35">
      <c r="A17396" s="9" t="str">
        <f>HYPERLINK("http://www.ensembl.org/id/WBGene00012578", "WBGene00012578")</f>
        <v>WBGene00012578</v>
      </c>
      <c r="B17396" s="9" t="str">
        <f>HYPERLINK("http://www.ncbi.nlm.nih.gov/gene/173244", "173244")</f>
        <v>173244</v>
      </c>
      <c r="C17396" s="9" t="str">
        <f>HYPERLINK("http://www.ncbi.nlm.nih.gov/gene/54862", "54862")</f>
        <v>54862</v>
      </c>
      <c r="D17396" t="str">
        <f>"Y37H9A.3"</f>
        <v>Y37H9A.3</v>
      </c>
      <c r="E17396" t="s">
        <v>8155</v>
      </c>
      <c r="F17396" t="s">
        <v>11</v>
      </c>
      <c r="G17396" t="s">
        <v>8156</v>
      </c>
      <c r="H17396" s="12">
        <v>-1.1627207931167201</v>
      </c>
      <c r="I17396" s="20">
        <v>-0.80014177486709204</v>
      </c>
      <c r="J17396" s="28">
        <v>0.42362865986237802</v>
      </c>
      <c r="K17396" s="29">
        <v>0.98289565623980701</v>
      </c>
    </row>
    <row r="17397" spans="1:11" x14ac:dyDescent="0.35">
      <c r="A17397" s="9" t="str">
        <f>HYPERLINK("http://www.ensembl.org/id/WBGene00014870", "WBGene00014870")</f>
        <v>WBGene00014870</v>
      </c>
      <c r="B17397" s="9"/>
      <c r="C17397" s="9"/>
      <c r="D17397" t="str">
        <f>"Y37H9A.4"</f>
        <v>Y37H9A.4</v>
      </c>
      <c r="F17397" t="s">
        <v>80</v>
      </c>
      <c r="H17397" s="12">
        <v>1.5547088412912999</v>
      </c>
      <c r="I17397" s="20">
        <v>0.42656221266535599</v>
      </c>
      <c r="J17397" s="28">
        <v>0.66969822554605296</v>
      </c>
      <c r="K17397" s="29">
        <v>0.98289565623980701</v>
      </c>
    </row>
    <row r="17398" spans="1:11" x14ac:dyDescent="0.35">
      <c r="A17398" s="9" t="str">
        <f>HYPERLINK("http://www.ensembl.org/id/WBGene00021392", "WBGene00021392")</f>
        <v>WBGene00021392</v>
      </c>
      <c r="B17398" s="9" t="str">
        <f>HYPERLINK("http://www.ncbi.nlm.nih.gov/gene/260224", "260224")</f>
        <v>260224</v>
      </c>
      <c r="C17398" s="9" t="str">
        <f>HYPERLINK("http://www.ncbi.nlm.nih.gov/gene/79829", "79829")</f>
        <v>79829</v>
      </c>
      <c r="D17398" t="str">
        <f>"Y38A10A.7"</f>
        <v>Y38A10A.7</v>
      </c>
      <c r="F17398" t="s">
        <v>11</v>
      </c>
      <c r="G17398" t="s">
        <v>9828</v>
      </c>
      <c r="H17398" s="12">
        <v>-1.31484035127837</v>
      </c>
      <c r="I17398" s="20">
        <v>-1.1761153513846001</v>
      </c>
      <c r="J17398" s="28">
        <v>0.239548784223413</v>
      </c>
      <c r="K17398" s="29">
        <v>0.98289565623980701</v>
      </c>
    </row>
    <row r="17399" spans="1:11" x14ac:dyDescent="0.35">
      <c r="A17399" s="9" t="str">
        <f>HYPERLINK("http://www.ensembl.org/id/WBGene00021394", "WBGene00021394")</f>
        <v>WBGene00021394</v>
      </c>
      <c r="B17399" s="9" t="str">
        <f>HYPERLINK("http://www.ncbi.nlm.nih.gov/gene/176836", "176836")</f>
        <v>176836</v>
      </c>
      <c r="C17399" s="9" t="str">
        <f>HYPERLINK("http://www.ncbi.nlm.nih.gov/gene/137695", "137695")</f>
        <v>137695</v>
      </c>
      <c r="D17399" t="str">
        <f>"Y38C1AA.1"</f>
        <v>Y38C1AA.1</v>
      </c>
      <c r="F17399" t="s">
        <v>11</v>
      </c>
      <c r="G17399" t="s">
        <v>6560</v>
      </c>
      <c r="H17399" s="12">
        <v>-1.0762281942968599</v>
      </c>
      <c r="I17399" s="20">
        <v>-0.38128110515747199</v>
      </c>
      <c r="J17399" s="28">
        <v>0.70299467255265802</v>
      </c>
      <c r="K17399" s="29">
        <v>0.98289565623980701</v>
      </c>
    </row>
    <row r="17400" spans="1:11" x14ac:dyDescent="0.35">
      <c r="A17400" s="9" t="str">
        <f>HYPERLINK("http://www.ensembl.org/id/WBGene00196851", "WBGene00196851")</f>
        <v>WBGene00196851</v>
      </c>
      <c r="B17400" s="9"/>
      <c r="C17400" s="9"/>
      <c r="D17400" t="str">
        <f>"Y38C1AA.15"</f>
        <v>Y38C1AA.15</v>
      </c>
      <c r="F17400" t="s">
        <v>481</v>
      </c>
      <c r="H17400" s="12">
        <v>-3.7261494131482999</v>
      </c>
      <c r="I17400" s="20">
        <v>-0.38454673129429601</v>
      </c>
      <c r="J17400" s="28">
        <v>0.70057326682554</v>
      </c>
      <c r="K17400" s="29">
        <v>0.98289565623980701</v>
      </c>
    </row>
    <row r="17401" spans="1:11" x14ac:dyDescent="0.35">
      <c r="A17401" s="9" t="str">
        <f>HYPERLINK("http://www.ensembl.org/id/WBGene00219750", "WBGene00219750")</f>
        <v>WBGene00219750</v>
      </c>
      <c r="B17401" s="9" t="str">
        <f>HYPERLINK("http://www.ncbi.nlm.nih.gov/gene/24105070", "24105070")</f>
        <v>24105070</v>
      </c>
      <c r="C17401" s="9"/>
      <c r="D17401" t="str">
        <f>"Y38C1AA.19"</f>
        <v>Y38C1AA.19</v>
      </c>
      <c r="F17401" t="s">
        <v>11</v>
      </c>
      <c r="G17401" t="s">
        <v>51</v>
      </c>
      <c r="H17401" s="12">
        <v>-8.1518883195782195</v>
      </c>
      <c r="I17401" s="20">
        <v>-1.1477146566374401</v>
      </c>
      <c r="J17401" s="28">
        <v>0.25108637860447502</v>
      </c>
      <c r="K17401" s="29">
        <v>0.98289565623980701</v>
      </c>
    </row>
    <row r="17402" spans="1:11" x14ac:dyDescent="0.35">
      <c r="A17402" s="9" t="str">
        <f>HYPERLINK("http://www.ensembl.org/id/WBGene00198094", "WBGene00198094")</f>
        <v>WBGene00198094</v>
      </c>
      <c r="B17402" s="9"/>
      <c r="C17402" s="9"/>
      <c r="D17402" t="str">
        <f>"Y38C1BA.5"</f>
        <v>Y38C1BA.5</v>
      </c>
      <c r="F17402" t="s">
        <v>481</v>
      </c>
      <c r="H17402" s="12">
        <v>-3.7261494131482999</v>
      </c>
      <c r="I17402" s="20">
        <v>-0.38454673129429601</v>
      </c>
      <c r="J17402" s="28">
        <v>0.70057326682554</v>
      </c>
      <c r="K17402" s="29">
        <v>0.98289565623980701</v>
      </c>
    </row>
    <row r="17403" spans="1:11" x14ac:dyDescent="0.35">
      <c r="A17403" s="9" t="str">
        <f>HYPERLINK("http://www.ensembl.org/id/WBGene00021414", "WBGene00021414")</f>
        <v>WBGene00021414</v>
      </c>
      <c r="B17403" s="9" t="str">
        <f>HYPERLINK("http://www.ncbi.nlm.nih.gov/gene/189651", "189651")</f>
        <v>189651</v>
      </c>
      <c r="C17403" s="9"/>
      <c r="D17403" t="str">
        <f>"Y38C9B.3"</f>
        <v>Y38C9B.3</v>
      </c>
      <c r="F17403" t="s">
        <v>11</v>
      </c>
      <c r="H17403" s="12">
        <v>4.4368407117627902</v>
      </c>
      <c r="I17403" s="20">
        <v>0.43709475933309699</v>
      </c>
      <c r="J17403" s="28">
        <v>0.66204262779770495</v>
      </c>
      <c r="K17403" s="29">
        <v>0.98289565623980701</v>
      </c>
    </row>
    <row r="17404" spans="1:11" x14ac:dyDescent="0.35">
      <c r="A17404" s="9" t="str">
        <f>HYPERLINK("http://www.ensembl.org/id/WBGene00012592", "WBGene00012592")</f>
        <v>WBGene00012592</v>
      </c>
      <c r="B17404" s="9" t="str">
        <f>HYPERLINK("http://www.ncbi.nlm.nih.gov/gene/174896", "174896")</f>
        <v>174896</v>
      </c>
      <c r="C17404" s="9"/>
      <c r="D17404" t="str">
        <f>"Y38E10A.14"</f>
        <v>Y38E10A.14</v>
      </c>
      <c r="F17404" t="s">
        <v>11</v>
      </c>
      <c r="H17404" s="12">
        <v>1.2626156899427301</v>
      </c>
      <c r="I17404" s="20">
        <v>0.72378483064520405</v>
      </c>
      <c r="J17404" s="28">
        <v>0.469197843624232</v>
      </c>
      <c r="K17404" s="29">
        <v>0.98289565623980701</v>
      </c>
    </row>
    <row r="17405" spans="1:11" x14ac:dyDescent="0.35">
      <c r="A17405" s="9" t="str">
        <f>HYPERLINK("http://www.ensembl.org/id/WBGene00012595", "WBGene00012595")</f>
        <v>WBGene00012595</v>
      </c>
      <c r="B17405" s="9" t="str">
        <f>HYPERLINK("http://www.ncbi.nlm.nih.gov/gene/174897", "174897")</f>
        <v>174897</v>
      </c>
      <c r="C17405" s="9"/>
      <c r="D17405" t="str">
        <f>"Y38E10A.17"</f>
        <v>Y38E10A.17</v>
      </c>
      <c r="F17405" t="s">
        <v>11</v>
      </c>
      <c r="H17405" s="12">
        <v>1.3030084226483201</v>
      </c>
      <c r="I17405" s="20">
        <v>0.52607260346332896</v>
      </c>
      <c r="J17405" s="28">
        <v>0.59883776295540903</v>
      </c>
      <c r="K17405" s="29">
        <v>0.98289565623980701</v>
      </c>
    </row>
    <row r="17406" spans="1:11" x14ac:dyDescent="0.35">
      <c r="A17406" s="9" t="str">
        <f>HYPERLINK("http://www.ensembl.org/id/WBGene00012580", "WBGene00012580")</f>
        <v>WBGene00012580</v>
      </c>
      <c r="B17406" s="9" t="str">
        <f>HYPERLINK("http://www.ncbi.nlm.nih.gov/gene/189653", "189653")</f>
        <v>189653</v>
      </c>
      <c r="C17406" s="9"/>
      <c r="D17406" t="str">
        <f>"Y38E10A.2"</f>
        <v>Y38E10A.2</v>
      </c>
      <c r="F17406" t="s">
        <v>11</v>
      </c>
      <c r="H17406" s="12">
        <v>-3.7261494131482999</v>
      </c>
      <c r="I17406" s="20">
        <v>-0.38454673129429601</v>
      </c>
      <c r="J17406" s="28">
        <v>0.70057326682554</v>
      </c>
      <c r="K17406" s="29">
        <v>0.98289565623980701</v>
      </c>
    </row>
    <row r="17407" spans="1:11" x14ac:dyDescent="0.35">
      <c r="A17407" s="9" t="str">
        <f>HYPERLINK("http://www.ensembl.org/id/WBGene00044034", "WBGene00044034")</f>
        <v>WBGene00044034</v>
      </c>
      <c r="B17407" s="9" t="str">
        <f>HYPERLINK("http://www.ncbi.nlm.nih.gov/gene/3564825", "3564825")</f>
        <v>3564825</v>
      </c>
      <c r="C17407" s="9"/>
      <c r="D17407" t="str">
        <f>"Y38E10A.28"</f>
        <v>Y38E10A.28</v>
      </c>
      <c r="F17407" t="s">
        <v>11</v>
      </c>
      <c r="G17407" t="s">
        <v>25</v>
      </c>
      <c r="H17407" s="12">
        <v>1.3327537687943201</v>
      </c>
      <c r="I17407" s="20">
        <v>0.625647338795561</v>
      </c>
      <c r="J17407" s="28">
        <v>0.53154628141011095</v>
      </c>
      <c r="K17407" s="29">
        <v>0.98289565623980701</v>
      </c>
    </row>
    <row r="17408" spans="1:11" x14ac:dyDescent="0.35">
      <c r="A17408" s="9" t="str">
        <f>HYPERLINK("http://www.ensembl.org/id/WBGene00199548", "WBGene00199548")</f>
        <v>WBGene00199548</v>
      </c>
      <c r="B17408" s="9"/>
      <c r="C17408" s="9"/>
      <c r="D17408" t="str">
        <f>"Y38E10A.30"</f>
        <v>Y38E10A.30</v>
      </c>
      <c r="F17408" t="s">
        <v>481</v>
      </c>
      <c r="H17408" s="12">
        <v>5.4871973923358901</v>
      </c>
      <c r="I17408" s="20">
        <v>0.499843548621418</v>
      </c>
      <c r="J17408" s="28">
        <v>0.61718524397184105</v>
      </c>
      <c r="K17408" s="29">
        <v>0.98289565623980701</v>
      </c>
    </row>
    <row r="17409" spans="1:11" x14ac:dyDescent="0.35">
      <c r="A17409" s="9" t="str">
        <f>HYPERLINK("http://www.ensembl.org/id/WBGene00271657", "WBGene00271657")</f>
        <v>WBGene00271657</v>
      </c>
      <c r="B17409" s="9" t="str">
        <f>HYPERLINK("http://www.ncbi.nlm.nih.gov/gene/32928601", "32928601")</f>
        <v>32928601</v>
      </c>
      <c r="C17409" s="9"/>
      <c r="D17409" t="str">
        <f>"Y38E10A.33"</f>
        <v>Y38E10A.33</v>
      </c>
      <c r="F17409" t="s">
        <v>11</v>
      </c>
      <c r="H17409" s="12">
        <v>-2.4991590031922399</v>
      </c>
      <c r="I17409" s="20">
        <v>-0.26577412737581302</v>
      </c>
      <c r="J17409" s="28">
        <v>0.79041317015736101</v>
      </c>
      <c r="K17409" s="29">
        <v>0.98289565623980701</v>
      </c>
    </row>
    <row r="17410" spans="1:11" x14ac:dyDescent="0.35">
      <c r="A17410" s="9" t="str">
        <f>HYPERLINK("http://www.ensembl.org/id/WBGene00012586", "WBGene00012586")</f>
        <v>WBGene00012586</v>
      </c>
      <c r="B17410" s="9" t="str">
        <f>HYPERLINK("http://www.ncbi.nlm.nih.gov/gene/189655", "189655")</f>
        <v>189655</v>
      </c>
      <c r="C17410" s="9"/>
      <c r="D17410" t="str">
        <f>"Y38E10A.8"</f>
        <v>Y38E10A.8</v>
      </c>
      <c r="F17410" t="s">
        <v>11</v>
      </c>
      <c r="G17410" t="s">
        <v>10118</v>
      </c>
      <c r="H17410" s="12">
        <v>-5.3720953244712302</v>
      </c>
      <c r="I17410" s="20">
        <v>-0.603647922463455</v>
      </c>
      <c r="J17410" s="28">
        <v>0.54607774451423896</v>
      </c>
      <c r="K17410" s="29">
        <v>0.98289565623980701</v>
      </c>
    </row>
    <row r="17411" spans="1:11" x14ac:dyDescent="0.35">
      <c r="A17411" s="9" t="str">
        <f>HYPERLINK("http://www.ensembl.org/id/WBGene00014872", "WBGene00014872")</f>
        <v>WBGene00014872</v>
      </c>
      <c r="B17411" s="9"/>
      <c r="C17411" s="9"/>
      <c r="D17411" t="str">
        <f>"Y38E10A.t2"</f>
        <v>Y38E10A.t2</v>
      </c>
      <c r="F17411" t="s">
        <v>80</v>
      </c>
      <c r="H17411" s="12">
        <v>-3.5819448292659501</v>
      </c>
      <c r="I17411" s="20">
        <v>-0.37337717500031398</v>
      </c>
      <c r="J17411" s="28">
        <v>0.70886774492290605</v>
      </c>
      <c r="K17411" s="29">
        <v>0.98289565623980701</v>
      </c>
    </row>
    <row r="17412" spans="1:11" x14ac:dyDescent="0.35">
      <c r="A17412" s="9" t="str">
        <f>HYPERLINK("http://www.ensembl.org/id/WBGene00012605", "WBGene00012605")</f>
        <v>WBGene00012605</v>
      </c>
      <c r="B17412" s="9" t="str">
        <f>HYPERLINK("http://www.ncbi.nlm.nih.gov/gene/174938", "174938")</f>
        <v>174938</v>
      </c>
      <c r="C17412" s="9"/>
      <c r="D17412" t="str">
        <f>"Y38F1A.1"</f>
        <v>Y38F1A.1</v>
      </c>
      <c r="F17412" t="s">
        <v>11</v>
      </c>
      <c r="H17412" s="12">
        <v>-1.2342514997271701</v>
      </c>
      <c r="I17412" s="20">
        <v>-0.65005499262960897</v>
      </c>
      <c r="J17412" s="28">
        <v>0.51565670004791597</v>
      </c>
      <c r="K17412" s="29">
        <v>0.98289565623980701</v>
      </c>
    </row>
    <row r="17413" spans="1:11" x14ac:dyDescent="0.35">
      <c r="A17413" s="9" t="str">
        <f>HYPERLINK("http://www.ensembl.org/id/WBGene00202000", "WBGene00202000")</f>
        <v>WBGene00202000</v>
      </c>
      <c r="B17413" s="9"/>
      <c r="C17413" s="9"/>
      <c r="D17413" t="str">
        <f>"Y38F1A.13"</f>
        <v>Y38F1A.13</v>
      </c>
      <c r="F17413" t="s">
        <v>481</v>
      </c>
      <c r="H17413" s="12">
        <v>2.3893468495514898</v>
      </c>
      <c r="I17413" s="20">
        <v>0.25323547253672701</v>
      </c>
      <c r="J17413" s="28">
        <v>0.80008625651646104</v>
      </c>
      <c r="K17413" s="29">
        <v>0.98289565623980701</v>
      </c>
    </row>
    <row r="17414" spans="1:11" x14ac:dyDescent="0.35">
      <c r="A17414" s="9" t="str">
        <f>HYPERLINK("http://www.ensembl.org/id/WBGene00012607", "WBGene00012607")</f>
        <v>WBGene00012607</v>
      </c>
      <c r="B17414" s="9" t="str">
        <f>HYPERLINK("http://www.ncbi.nlm.nih.gov/gene/189672", "189672")</f>
        <v>189672</v>
      </c>
      <c r="C17414" s="9"/>
      <c r="D17414" t="str">
        <f>"Y38F1A.4"</f>
        <v>Y38F1A.4</v>
      </c>
      <c r="F17414" t="s">
        <v>11</v>
      </c>
      <c r="G17414" t="s">
        <v>25</v>
      </c>
      <c r="H17414" s="12">
        <v>2.47852265088666</v>
      </c>
      <c r="I17414" s="20">
        <v>0.93876451985303999</v>
      </c>
      <c r="J17414" s="28">
        <v>0.347851659035255</v>
      </c>
      <c r="K17414" s="29">
        <v>0.98289565623980701</v>
      </c>
    </row>
    <row r="17415" spans="1:11" x14ac:dyDescent="0.35">
      <c r="A17415" s="9" t="str">
        <f>HYPERLINK("http://www.ensembl.org/id/WBGene00200681", "WBGene00200681")</f>
        <v>WBGene00200681</v>
      </c>
      <c r="B17415" s="9"/>
      <c r="C17415" s="9"/>
      <c r="D17415" t="str">
        <f>"Y38F2AL.10"</f>
        <v>Y38F2AL.10</v>
      </c>
      <c r="F17415" t="s">
        <v>481</v>
      </c>
      <c r="H17415" s="12">
        <v>2.43628531154256</v>
      </c>
      <c r="I17415" s="20">
        <v>0.26397437090349102</v>
      </c>
      <c r="J17415" s="28">
        <v>0.79179966754305298</v>
      </c>
      <c r="K17415" s="29">
        <v>0.98289565623980701</v>
      </c>
    </row>
    <row r="17416" spans="1:11" x14ac:dyDescent="0.35">
      <c r="A17416" s="9" t="str">
        <f>HYPERLINK("http://www.ensembl.org/id/WBGene00219413", "WBGene00219413")</f>
        <v>WBGene00219413</v>
      </c>
      <c r="B17416" s="9" t="str">
        <f>HYPERLINK("http://www.ncbi.nlm.nih.gov/gene/13192359", "13192359")</f>
        <v>13192359</v>
      </c>
      <c r="C17416" s="9"/>
      <c r="D17416" t="str">
        <f>"Y38F2AL.12"</f>
        <v>Y38F2AL.12</v>
      </c>
      <c r="F17416" t="s">
        <v>11</v>
      </c>
      <c r="H17416" s="12">
        <v>-1.6665971472572101</v>
      </c>
      <c r="I17416" s="20">
        <v>-0.49556881347373199</v>
      </c>
      <c r="J17416" s="28">
        <v>0.62019866051717198</v>
      </c>
      <c r="K17416" s="29">
        <v>0.98289565623980701</v>
      </c>
    </row>
    <row r="17417" spans="1:11" x14ac:dyDescent="0.35">
      <c r="A17417" s="9" t="str">
        <f>HYPERLINK("http://www.ensembl.org/id/WBGene00021418", "WBGene00021418")</f>
        <v>WBGene00021418</v>
      </c>
      <c r="B17417" s="9"/>
      <c r="C17417" s="9"/>
      <c r="D17417" t="str">
        <f>"Y38F2AL.6"</f>
        <v>Y38F2AL.6</v>
      </c>
      <c r="F17417" t="s">
        <v>80</v>
      </c>
      <c r="H17417" s="12">
        <v>-1.7302554239710399</v>
      </c>
      <c r="I17417" s="20">
        <v>-0.57867460632003997</v>
      </c>
      <c r="J17417" s="28">
        <v>0.56280875349819104</v>
      </c>
      <c r="K17417" s="29">
        <v>0.98289565623980701</v>
      </c>
    </row>
    <row r="17418" spans="1:11" x14ac:dyDescent="0.35">
      <c r="A17418" s="9" t="str">
        <f>HYPERLINK("http://www.ensembl.org/id/WBGene00021428", "WBGene00021428")</f>
        <v>WBGene00021428</v>
      </c>
      <c r="B17418" s="9" t="str">
        <f>HYPERLINK("http://www.ncbi.nlm.nih.gov/gene/177030", "177030")</f>
        <v>177030</v>
      </c>
      <c r="C17418" s="9"/>
      <c r="D17418" t="str">
        <f>"Y38F2AR.10"</f>
        <v>Y38F2AR.10</v>
      </c>
      <c r="E17418" t="s">
        <v>899</v>
      </c>
      <c r="F17418" t="s">
        <v>11</v>
      </c>
      <c r="G17418" t="s">
        <v>9976</v>
      </c>
      <c r="H17418" s="12">
        <v>-1.52974666308979</v>
      </c>
      <c r="I17418" s="20">
        <v>-0.31449018795959699</v>
      </c>
      <c r="J17418" s="28">
        <v>0.75314876758899596</v>
      </c>
      <c r="K17418" s="29">
        <v>0.98289565623980701</v>
      </c>
    </row>
    <row r="17419" spans="1:11" x14ac:dyDescent="0.35">
      <c r="A17419" s="9" t="str">
        <f>HYPERLINK("http://www.ensembl.org/id/WBGene00021430", "WBGene00021430")</f>
        <v>WBGene00021430</v>
      </c>
      <c r="B17419" s="9" t="str">
        <f>HYPERLINK("http://www.ncbi.nlm.nih.gov/gene/189679", "189679")</f>
        <v>189679</v>
      </c>
      <c r="C17419" s="9" t="str">
        <f>HYPERLINK("http://www.ncbi.nlm.nih.gov/gene/26873", "26873")</f>
        <v>26873</v>
      </c>
      <c r="D17419" t="str">
        <f>"Y38F2AR.12"</f>
        <v>Y38F2AR.12</v>
      </c>
      <c r="F17419" t="s">
        <v>11</v>
      </c>
      <c r="G17419" t="s">
        <v>5524</v>
      </c>
      <c r="H17419" s="12">
        <v>1.15101261448319</v>
      </c>
      <c r="I17419" s="20">
        <v>0.68989650516526202</v>
      </c>
      <c r="J17419" s="28">
        <v>0.49025927377719403</v>
      </c>
      <c r="K17419" s="29">
        <v>0.98289565623980701</v>
      </c>
    </row>
    <row r="17420" spans="1:11" x14ac:dyDescent="0.35">
      <c r="A17420" s="9" t="str">
        <f>HYPERLINK("http://www.ensembl.org/id/WBGene00023467", "WBGene00023467")</f>
        <v>WBGene00023467</v>
      </c>
      <c r="B17420" s="9"/>
      <c r="C17420" s="9"/>
      <c r="D17420" t="str">
        <f>"Y38F2AR.14"</f>
        <v>Y38F2AR.14</v>
      </c>
      <c r="F17420" t="s">
        <v>2977</v>
      </c>
      <c r="H17420" s="12">
        <v>3.5227018545059199</v>
      </c>
      <c r="I17420" s="20">
        <v>0.36849691206929103</v>
      </c>
      <c r="J17420" s="28">
        <v>0.71250274722433404</v>
      </c>
      <c r="K17420" s="29">
        <v>0.98289565623980701</v>
      </c>
    </row>
    <row r="17421" spans="1:11" x14ac:dyDescent="0.35">
      <c r="A17421" s="9" t="str">
        <f>HYPERLINK("http://www.ensembl.org/id/WBGene00021421", "WBGene00021421")</f>
        <v>WBGene00021421</v>
      </c>
      <c r="B17421" s="9" t="str">
        <f>HYPERLINK("http://www.ncbi.nlm.nih.gov/gene/177026", "177026")</f>
        <v>177026</v>
      </c>
      <c r="C17421" s="9"/>
      <c r="D17421" t="str">
        <f>"Y38F2AR.3"</f>
        <v>Y38F2AR.3</v>
      </c>
      <c r="F17421" t="s">
        <v>11</v>
      </c>
      <c r="G17421" t="s">
        <v>1263</v>
      </c>
      <c r="H17421" s="12">
        <v>-1.2169258559963301</v>
      </c>
      <c r="I17421" s="20">
        <v>-0.94982234948456301</v>
      </c>
      <c r="J17421" s="28">
        <v>0.34220252767871101</v>
      </c>
      <c r="K17421" s="29">
        <v>0.98289565623980701</v>
      </c>
    </row>
    <row r="17422" spans="1:11" x14ac:dyDescent="0.35">
      <c r="A17422" s="9" t="str">
        <f>HYPERLINK("http://www.ensembl.org/id/WBGene00021427", "WBGene00021427")</f>
        <v>WBGene00021427</v>
      </c>
      <c r="B17422" s="9" t="str">
        <f>HYPERLINK("http://www.ncbi.nlm.nih.gov/gene/177027", "177027")</f>
        <v>177027</v>
      </c>
      <c r="C17422" s="9"/>
      <c r="D17422" t="str">
        <f>"Y38F2AR.9"</f>
        <v>Y38F2AR.9</v>
      </c>
      <c r="E17422" t="s">
        <v>5683</v>
      </c>
      <c r="F17422" t="s">
        <v>11</v>
      </c>
      <c r="G17422" t="s">
        <v>5684</v>
      </c>
      <c r="H17422" s="12">
        <v>1.12356785273659</v>
      </c>
      <c r="I17422" s="20">
        <v>0.57952681449172005</v>
      </c>
      <c r="J17422" s="28">
        <v>0.56223375890316996</v>
      </c>
      <c r="K17422" s="29">
        <v>0.98289565623980701</v>
      </c>
    </row>
    <row r="17423" spans="1:11" x14ac:dyDescent="0.35">
      <c r="A17423" s="9" t="str">
        <f>HYPERLINK("http://www.ensembl.org/id/WBGene00012612", "WBGene00012612")</f>
        <v>WBGene00012612</v>
      </c>
      <c r="B17423" s="9" t="str">
        <f>HYPERLINK("http://www.ncbi.nlm.nih.gov/gene/189680", "189680")</f>
        <v>189680</v>
      </c>
      <c r="C17423" s="9"/>
      <c r="D17423" t="str">
        <f>"Y38H6A.1"</f>
        <v>Y38H6A.1</v>
      </c>
      <c r="F17423" t="s">
        <v>11</v>
      </c>
      <c r="H17423" s="12">
        <v>2.3893468495514898</v>
      </c>
      <c r="I17423" s="20">
        <v>0.25323547253672701</v>
      </c>
      <c r="J17423" s="28">
        <v>0.80008625651646104</v>
      </c>
      <c r="K17423" s="29">
        <v>0.98289565623980701</v>
      </c>
    </row>
    <row r="17424" spans="1:11" x14ac:dyDescent="0.35">
      <c r="A17424" s="9" t="str">
        <f>HYPERLINK("http://www.ensembl.org/id/WBGene00012614", "WBGene00012614")</f>
        <v>WBGene00012614</v>
      </c>
      <c r="B17424" s="9" t="str">
        <f>HYPERLINK("http://www.ncbi.nlm.nih.gov/gene/180333", "180333")</f>
        <v>180333</v>
      </c>
      <c r="C17424" s="9"/>
      <c r="D17424" t="str">
        <f>"Y38H6A.3"</f>
        <v>Y38H6A.3</v>
      </c>
      <c r="F17424" t="s">
        <v>11</v>
      </c>
      <c r="H17424" s="12">
        <v>2.7838073963449501</v>
      </c>
      <c r="I17424" s="20">
        <v>0.37163527669250002</v>
      </c>
      <c r="J17424" s="28">
        <v>0.71016442031020999</v>
      </c>
      <c r="K17424" s="29">
        <v>0.98289565623980701</v>
      </c>
    </row>
    <row r="17425" spans="1:11" x14ac:dyDescent="0.35">
      <c r="A17425" s="9" t="str">
        <f>HYPERLINK("http://www.ensembl.org/id/WBGene00014874", "WBGene00014874")</f>
        <v>WBGene00014874</v>
      </c>
      <c r="B17425" s="9"/>
      <c r="C17425" s="9"/>
      <c r="D17425" t="str">
        <f>"Y38H6A.4"</f>
        <v>Y38H6A.4</v>
      </c>
      <c r="F17425" t="s">
        <v>80</v>
      </c>
      <c r="H17425" s="12">
        <v>1.47524085338872</v>
      </c>
      <c r="I17425" s="20">
        <v>0.41515687807313301</v>
      </c>
      <c r="J17425" s="28">
        <v>0.67802706396941403</v>
      </c>
      <c r="K17425" s="29">
        <v>0.98289565623980701</v>
      </c>
    </row>
    <row r="17426" spans="1:11" x14ac:dyDescent="0.35">
      <c r="A17426" s="9" t="str">
        <f>HYPERLINK("http://www.ensembl.org/id/WBGene00012625", "WBGene00012625")</f>
        <v>WBGene00012625</v>
      </c>
      <c r="B17426" s="9" t="str">
        <f>HYPERLINK("http://www.ncbi.nlm.nih.gov/gene/189694", "189694")</f>
        <v>189694</v>
      </c>
      <c r="C17426" s="9"/>
      <c r="D17426" t="str">
        <f>"Y38H6C.13"</f>
        <v>Y38H6C.13</v>
      </c>
      <c r="F17426" t="s">
        <v>11</v>
      </c>
      <c r="G17426" t="s">
        <v>54</v>
      </c>
      <c r="H17426" s="12">
        <v>6.0964540778031999</v>
      </c>
      <c r="I17426" s="20">
        <v>0.75114307638817401</v>
      </c>
      <c r="J17426" s="28">
        <v>0.45256655374763</v>
      </c>
      <c r="K17426" s="29">
        <v>0.98289565623980701</v>
      </c>
    </row>
    <row r="17427" spans="1:11" x14ac:dyDescent="0.35">
      <c r="A17427" s="9" t="str">
        <f>HYPERLINK("http://www.ensembl.org/id/WBGene00012627", "WBGene00012627")</f>
        <v>WBGene00012627</v>
      </c>
      <c r="B17427" s="9" t="str">
        <f>HYPERLINK("http://www.ncbi.nlm.nih.gov/gene/189696", "189696")</f>
        <v>189696</v>
      </c>
      <c r="C17427" s="9"/>
      <c r="D17427" t="str">
        <f>"Y38H6C.15"</f>
        <v>Y38H6C.15</v>
      </c>
      <c r="F17427" t="s">
        <v>11</v>
      </c>
      <c r="G17427" t="s">
        <v>25</v>
      </c>
      <c r="H17427" s="12">
        <v>-1.80836726966655</v>
      </c>
      <c r="I17427" s="20">
        <v>-0.57683457621091105</v>
      </c>
      <c r="J17427" s="28">
        <v>0.56405120979484802</v>
      </c>
      <c r="K17427" s="29">
        <v>0.98289565623980701</v>
      </c>
    </row>
    <row r="17428" spans="1:11" x14ac:dyDescent="0.35">
      <c r="A17428" s="9" t="str">
        <f>HYPERLINK("http://www.ensembl.org/id/WBGene00012628", "WBGene00012628")</f>
        <v>WBGene00012628</v>
      </c>
      <c r="B17428" s="9" t="str">
        <f>HYPERLINK("http://www.ncbi.nlm.nih.gov/gene/189697", "189697")</f>
        <v>189697</v>
      </c>
      <c r="C17428" s="9"/>
      <c r="D17428" t="str">
        <f>"Y38H6C.16"</f>
        <v>Y38H6C.16</v>
      </c>
      <c r="F17428" t="s">
        <v>11</v>
      </c>
      <c r="G17428" t="s">
        <v>25</v>
      </c>
      <c r="H17428" s="12">
        <v>1.28366859600008</v>
      </c>
      <c r="I17428" s="20">
        <v>0.71695306848995599</v>
      </c>
      <c r="J17428" s="28">
        <v>0.47340305534786498</v>
      </c>
      <c r="K17428" s="29">
        <v>0.98289565623980701</v>
      </c>
    </row>
    <row r="17429" spans="1:11" x14ac:dyDescent="0.35">
      <c r="A17429" s="9" t="str">
        <f>HYPERLINK("http://www.ensembl.org/id/WBGene00012631", "WBGene00012631")</f>
        <v>WBGene00012631</v>
      </c>
      <c r="B17429" s="9" t="str">
        <f>HYPERLINK("http://www.ncbi.nlm.nih.gov/gene/180346", "180346")</f>
        <v>180346</v>
      </c>
      <c r="C17429" s="9"/>
      <c r="D17429" t="str">
        <f>"Y38H6C.19"</f>
        <v>Y38H6C.19</v>
      </c>
      <c r="F17429" t="s">
        <v>11</v>
      </c>
      <c r="G17429" t="s">
        <v>63</v>
      </c>
      <c r="H17429" s="12">
        <v>-1.4602567603790999</v>
      </c>
      <c r="I17429" s="20">
        <v>-0.87089085769969599</v>
      </c>
      <c r="J17429" s="28">
        <v>0.383813749075958</v>
      </c>
      <c r="K17429" s="29">
        <v>0.98289565623980701</v>
      </c>
    </row>
    <row r="17430" spans="1:11" x14ac:dyDescent="0.35">
      <c r="A17430" s="9" t="str">
        <f>HYPERLINK("http://www.ensembl.org/id/WBGene00012632", "WBGene00012632")</f>
        <v>WBGene00012632</v>
      </c>
      <c r="B17430" s="9" t="str">
        <f>HYPERLINK("http://www.ncbi.nlm.nih.gov/gene/189700", "189700")</f>
        <v>189700</v>
      </c>
      <c r="C17430" s="9"/>
      <c r="D17430" t="str">
        <f>"Y38H6C.20"</f>
        <v>Y38H6C.20</v>
      </c>
      <c r="F17430" t="s">
        <v>11</v>
      </c>
      <c r="G17430" t="s">
        <v>4612</v>
      </c>
      <c r="H17430" s="12">
        <v>1.6044602899568099</v>
      </c>
      <c r="I17430" s="20">
        <v>1.15671006882177</v>
      </c>
      <c r="J17430" s="28">
        <v>0.24739083457507699</v>
      </c>
      <c r="K17430" s="29">
        <v>0.98289565623980701</v>
      </c>
    </row>
    <row r="17431" spans="1:11" x14ac:dyDescent="0.35">
      <c r="A17431" s="9" t="str">
        <f>HYPERLINK("http://www.ensembl.org/id/WBGene00012633", "WBGene00012633")</f>
        <v>WBGene00012633</v>
      </c>
      <c r="B17431" s="9" t="str">
        <f>HYPERLINK("http://www.ncbi.nlm.nih.gov/gene/189701", "189701")</f>
        <v>189701</v>
      </c>
      <c r="C17431" s="9"/>
      <c r="D17431" t="str">
        <f>"Y38H6C.21"</f>
        <v>Y38H6C.21</v>
      </c>
      <c r="F17431" t="s">
        <v>11</v>
      </c>
      <c r="G17431" t="s">
        <v>25</v>
      </c>
      <c r="H17431" s="12">
        <v>-1.6518940230917101</v>
      </c>
      <c r="I17431" s="20">
        <v>-0.93719986281993695</v>
      </c>
      <c r="J17431" s="28">
        <v>0.34865576034649398</v>
      </c>
      <c r="K17431" s="29">
        <v>0.98289565623980701</v>
      </c>
    </row>
    <row r="17432" spans="1:11" x14ac:dyDescent="0.35">
      <c r="A17432" s="9" t="str">
        <f>HYPERLINK("http://www.ensembl.org/id/WBGene00012634", "WBGene00012634")</f>
        <v>WBGene00012634</v>
      </c>
      <c r="B17432" s="9" t="str">
        <f>HYPERLINK("http://www.ncbi.nlm.nih.gov/gene/3565171", "3565171")</f>
        <v>3565171</v>
      </c>
      <c r="C17432" s="9"/>
      <c r="D17432" t="str">
        <f>"Y38H6C.23"</f>
        <v>Y38H6C.23</v>
      </c>
      <c r="F17432" t="s">
        <v>11</v>
      </c>
      <c r="H17432" s="12">
        <v>-1.3191266533936801</v>
      </c>
      <c r="I17432" s="20">
        <v>-0.85062474137003496</v>
      </c>
      <c r="J17432" s="28">
        <v>0.394977841157723</v>
      </c>
      <c r="K17432" s="29">
        <v>0.98289565623980701</v>
      </c>
    </row>
    <row r="17433" spans="1:11" x14ac:dyDescent="0.35">
      <c r="A17433" s="9" t="str">
        <f>HYPERLINK("http://www.ensembl.org/id/WBGene00194689", "WBGene00194689")</f>
        <v>WBGene00194689</v>
      </c>
      <c r="B17433" s="9" t="str">
        <f>HYPERLINK("http://www.ncbi.nlm.nih.gov/gene/13218842", "13218842")</f>
        <v>13218842</v>
      </c>
      <c r="C17433" s="9"/>
      <c r="D17433" t="str">
        <f>"Y38H6C.24"</f>
        <v>Y38H6C.24</v>
      </c>
      <c r="F17433" t="s">
        <v>11</v>
      </c>
      <c r="G17433" t="s">
        <v>25</v>
      </c>
      <c r="H17433" s="12">
        <v>-2.9497673685712602</v>
      </c>
      <c r="I17433" s="20">
        <v>-1.0944072009005199</v>
      </c>
      <c r="J17433" s="28">
        <v>0.27377642715890299</v>
      </c>
      <c r="K17433" s="29">
        <v>0.98289565623980701</v>
      </c>
    </row>
    <row r="17434" spans="1:11" x14ac:dyDescent="0.35">
      <c r="A17434" s="9" t="str">
        <f>HYPERLINK("http://www.ensembl.org/id/WBGene00012620", "WBGene00012620")</f>
        <v>WBGene00012620</v>
      </c>
      <c r="B17434" s="9"/>
      <c r="C17434" s="9"/>
      <c r="D17434" t="str">
        <f>"Y38H6C.7"</f>
        <v>Y38H6C.7</v>
      </c>
      <c r="F17434" t="s">
        <v>80</v>
      </c>
      <c r="H17434" s="12">
        <v>-10.0989263815726</v>
      </c>
      <c r="I17434" s="20">
        <v>-0.68863184780658804</v>
      </c>
      <c r="J17434" s="28">
        <v>0.49105497404077803</v>
      </c>
      <c r="K17434" s="29">
        <v>0.98289565623980701</v>
      </c>
    </row>
    <row r="17435" spans="1:11" x14ac:dyDescent="0.35">
      <c r="A17435" s="9" t="str">
        <f>HYPERLINK("http://www.ensembl.org/id/WBGene00012621", "WBGene00012621")</f>
        <v>WBGene00012621</v>
      </c>
      <c r="B17435" s="9" t="str">
        <f>HYPERLINK("http://www.ncbi.nlm.nih.gov/gene/189689", "189689")</f>
        <v>189689</v>
      </c>
      <c r="C17435" s="9"/>
      <c r="D17435" t="str">
        <f>"Y38H6C.8"</f>
        <v>Y38H6C.8</v>
      </c>
      <c r="F17435" t="s">
        <v>11</v>
      </c>
      <c r="G17435" t="s">
        <v>4470</v>
      </c>
      <c r="H17435" s="12">
        <v>1.93650887995148</v>
      </c>
      <c r="I17435" s="20">
        <v>0.75463660963095802</v>
      </c>
      <c r="J17435" s="28">
        <v>0.45046705109667201</v>
      </c>
      <c r="K17435" s="29">
        <v>0.98289565623980701</v>
      </c>
    </row>
    <row r="17436" spans="1:11" x14ac:dyDescent="0.35">
      <c r="A17436" s="9" t="str">
        <f>HYPERLINK("http://www.ensembl.org/id/WBGene00012635", "WBGene00012635")</f>
        <v>WBGene00012635</v>
      </c>
      <c r="B17436" s="9" t="str">
        <f>HYPERLINK("http://www.ncbi.nlm.nih.gov/gene/178317", "178317")</f>
        <v>178317</v>
      </c>
      <c r="C17436" s="9"/>
      <c r="D17436" t="str">
        <f>"Y38H8A.1"</f>
        <v>Y38H8A.1</v>
      </c>
      <c r="F17436" t="s">
        <v>11</v>
      </c>
      <c r="G17436" t="s">
        <v>25</v>
      </c>
      <c r="H17436" s="12">
        <v>1.4828189255558599</v>
      </c>
      <c r="I17436" s="20">
        <v>0.91342732446686803</v>
      </c>
      <c r="J17436" s="28">
        <v>0.361017840086442</v>
      </c>
      <c r="K17436" s="29">
        <v>0.98289565623980701</v>
      </c>
    </row>
    <row r="17437" spans="1:11" x14ac:dyDescent="0.35">
      <c r="A17437" s="9" t="str">
        <f>HYPERLINK("http://www.ensembl.org/id/WBGene00012636", "WBGene00012636")</f>
        <v>WBGene00012636</v>
      </c>
      <c r="B17437" s="9" t="str">
        <f>HYPERLINK("http://www.ncbi.nlm.nih.gov/gene/189703", "189703")</f>
        <v>189703</v>
      </c>
      <c r="C17437" s="9"/>
      <c r="D17437" t="str">
        <f>"Y38H8A.2"</f>
        <v>Y38H8A.2</v>
      </c>
      <c r="F17437" t="s">
        <v>11</v>
      </c>
      <c r="G17437" t="s">
        <v>51</v>
      </c>
      <c r="H17437" s="12">
        <v>-2.9937297343925802</v>
      </c>
      <c r="I17437" s="20">
        <v>-0.55255826444120004</v>
      </c>
      <c r="J17437" s="28">
        <v>0.58056592722938405</v>
      </c>
      <c r="K17437" s="29">
        <v>0.98289565623980701</v>
      </c>
    </row>
    <row r="17438" spans="1:11" x14ac:dyDescent="0.35">
      <c r="A17438" s="9" t="str">
        <f>HYPERLINK("http://www.ensembl.org/id/WBGene00012637", "WBGene00012637")</f>
        <v>WBGene00012637</v>
      </c>
      <c r="B17438" s="9" t="str">
        <f>HYPERLINK("http://www.ncbi.nlm.nih.gov/gene/178315", "178315")</f>
        <v>178315</v>
      </c>
      <c r="C17438" s="9"/>
      <c r="D17438" t="str">
        <f>"Y38H8A.3"</f>
        <v>Y38H8A.3</v>
      </c>
      <c r="F17438" t="s">
        <v>11</v>
      </c>
      <c r="G17438" t="s">
        <v>961</v>
      </c>
      <c r="H17438" s="12">
        <v>1.3747682454194099</v>
      </c>
      <c r="I17438" s="20">
        <v>0.41710775357045898</v>
      </c>
      <c r="J17438" s="28">
        <v>0.67659959388042501</v>
      </c>
      <c r="K17438" s="29">
        <v>0.98289565623980701</v>
      </c>
    </row>
    <row r="17439" spans="1:11" x14ac:dyDescent="0.35">
      <c r="A17439" s="9" t="str">
        <f>HYPERLINK("http://www.ensembl.org/id/WBGene00012638", "WBGene00012638")</f>
        <v>WBGene00012638</v>
      </c>
      <c r="B17439" s="9" t="str">
        <f>HYPERLINK("http://www.ncbi.nlm.nih.gov/gene/178314", "178314")</f>
        <v>178314</v>
      </c>
      <c r="C17439" s="9" t="str">
        <f>HYPERLINK("http://www.ncbi.nlm.nih.gov/gene/83942", "83942")</f>
        <v>83942</v>
      </c>
      <c r="D17439" t="str">
        <f>"Y38H8A.4"</f>
        <v>Y38H8A.4</v>
      </c>
      <c r="F17439" t="s">
        <v>11</v>
      </c>
      <c r="G17439" t="s">
        <v>4318</v>
      </c>
      <c r="H17439" s="12">
        <v>-1.7137848545060499</v>
      </c>
      <c r="I17439" s="20">
        <v>-0.46137190870941802</v>
      </c>
      <c r="J17439" s="28">
        <v>0.64453180203265004</v>
      </c>
      <c r="K17439" s="29">
        <v>0.98289565623980701</v>
      </c>
    </row>
    <row r="17440" spans="1:11" x14ac:dyDescent="0.35">
      <c r="A17440" s="9" t="str">
        <f>HYPERLINK("http://www.ensembl.org/id/WBGene00012655", "WBGene00012655")</f>
        <v>WBGene00012655</v>
      </c>
      <c r="B17440" s="9" t="str">
        <f>HYPERLINK("http://www.ncbi.nlm.nih.gov/gene/189711", "189711")</f>
        <v>189711</v>
      </c>
      <c r="C17440" s="9"/>
      <c r="D17440" t="str">
        <f>"Y39A1A.17"</f>
        <v>Y39A1A.17</v>
      </c>
      <c r="F17440" t="s">
        <v>11</v>
      </c>
      <c r="G17440" t="s">
        <v>4486</v>
      </c>
      <c r="H17440" s="12">
        <v>1.8788385986551199</v>
      </c>
      <c r="I17440" s="20">
        <v>0.35077945584727299</v>
      </c>
      <c r="J17440" s="28">
        <v>0.72575381092788405</v>
      </c>
      <c r="K17440" s="29">
        <v>0.98289565623980701</v>
      </c>
    </row>
    <row r="17441" spans="1:11" x14ac:dyDescent="0.35">
      <c r="A17441" s="9" t="str">
        <f>HYPERLINK("http://www.ensembl.org/id/WBGene00012656", "WBGene00012656")</f>
        <v>WBGene00012656</v>
      </c>
      <c r="B17441" s="9" t="str">
        <f>HYPERLINK("http://www.ncbi.nlm.nih.gov/gene/189712", "189712")</f>
        <v>189712</v>
      </c>
      <c r="C17441" s="9"/>
      <c r="D17441" t="str">
        <f>"Y39A1A.18"</f>
        <v>Y39A1A.18</v>
      </c>
      <c r="F17441" t="s">
        <v>11</v>
      </c>
      <c r="H17441" s="12">
        <v>-4.7167679298615104</v>
      </c>
      <c r="I17441" s="20">
        <v>-0.454742638005115</v>
      </c>
      <c r="J17441" s="28">
        <v>0.64929440216969203</v>
      </c>
      <c r="K17441" s="29">
        <v>0.98289565623980701</v>
      </c>
    </row>
    <row r="17442" spans="1:11" x14ac:dyDescent="0.35">
      <c r="A17442" s="9" t="str">
        <f>HYPERLINK("http://www.ensembl.org/id/WBGene00012657", "WBGene00012657")</f>
        <v>WBGene00012657</v>
      </c>
      <c r="B17442" s="9" t="str">
        <f>HYPERLINK("http://www.ncbi.nlm.nih.gov/gene/176492", "176492")</f>
        <v>176492</v>
      </c>
      <c r="C17442" s="9"/>
      <c r="D17442" t="str">
        <f>"Y39A1A.20"</f>
        <v>Y39A1A.20</v>
      </c>
      <c r="F17442" t="s">
        <v>11</v>
      </c>
      <c r="G17442" t="s">
        <v>25</v>
      </c>
      <c r="H17442" s="12">
        <v>-1.1378559317582499</v>
      </c>
      <c r="I17442" s="20">
        <v>-0.35941124420905501</v>
      </c>
      <c r="J17442" s="28">
        <v>0.71928746426985501</v>
      </c>
      <c r="K17442" s="29">
        <v>0.98289565623980701</v>
      </c>
    </row>
    <row r="17443" spans="1:11" x14ac:dyDescent="0.35">
      <c r="A17443" s="9" t="str">
        <f>HYPERLINK("http://www.ensembl.org/id/WBGene00012659", "WBGene00012659")</f>
        <v>WBGene00012659</v>
      </c>
      <c r="B17443" s="9" t="str">
        <f>HYPERLINK("http://www.ncbi.nlm.nih.gov/gene/3565273", "3565273")</f>
        <v>3565273</v>
      </c>
      <c r="C17443" s="9"/>
      <c r="D17443" t="str">
        <f>"Y39A1A.22"</f>
        <v>Y39A1A.22</v>
      </c>
      <c r="F17443" t="s">
        <v>11</v>
      </c>
      <c r="G17443" t="s">
        <v>9636</v>
      </c>
      <c r="H17443" s="12">
        <v>-1.27049871757608</v>
      </c>
      <c r="I17443" s="20">
        <v>-1.1362408431922899</v>
      </c>
      <c r="J17443" s="28">
        <v>0.255855781280803</v>
      </c>
      <c r="K17443" s="29">
        <v>0.98289565623980701</v>
      </c>
    </row>
    <row r="17444" spans="1:11" x14ac:dyDescent="0.35">
      <c r="A17444" s="9" t="str">
        <f>HYPERLINK("http://www.ensembl.org/id/WBGene00012660", "WBGene00012660")</f>
        <v>WBGene00012660</v>
      </c>
      <c r="B17444" s="9" t="str">
        <f>HYPERLINK("http://www.ncbi.nlm.nih.gov/gene/3564902", "3564902")</f>
        <v>3564902</v>
      </c>
      <c r="C17444" s="9"/>
      <c r="D17444" t="str">
        <f>"Y39A1A.24"</f>
        <v>Y39A1A.24</v>
      </c>
      <c r="F17444" t="s">
        <v>11</v>
      </c>
      <c r="H17444" s="12">
        <v>1.0917201751575201</v>
      </c>
      <c r="I17444" s="20">
        <v>0.39496364468314599</v>
      </c>
      <c r="J17444" s="28">
        <v>0.69286971859302104</v>
      </c>
      <c r="K17444" s="29">
        <v>0.98289565623980701</v>
      </c>
    </row>
    <row r="17445" spans="1:11" x14ac:dyDescent="0.35">
      <c r="A17445" s="9" t="str">
        <f>HYPERLINK("http://www.ensembl.org/id/WBGene00044808", "WBGene00044808")</f>
        <v>WBGene00044808</v>
      </c>
      <c r="B17445" s="9"/>
      <c r="C17445" s="9"/>
      <c r="D17445" t="str">
        <f>"Y39A1A.25"</f>
        <v>Y39A1A.25</v>
      </c>
      <c r="F17445" t="s">
        <v>80</v>
      </c>
      <c r="H17445" s="12">
        <v>-2.4991590031922399</v>
      </c>
      <c r="I17445" s="20">
        <v>-0.26577412737581302</v>
      </c>
      <c r="J17445" s="28">
        <v>0.79041317015736101</v>
      </c>
      <c r="K17445" s="29">
        <v>0.98289565623980701</v>
      </c>
    </row>
    <row r="17446" spans="1:11" x14ac:dyDescent="0.35">
      <c r="A17446" s="9" t="str">
        <f>HYPERLINK("http://www.ensembl.org/id/WBGene00012648", "WBGene00012648")</f>
        <v>WBGene00012648</v>
      </c>
      <c r="B17446" s="9" t="str">
        <f>HYPERLINK("http://www.ncbi.nlm.nih.gov/gene/176484", "176484")</f>
        <v>176484</v>
      </c>
      <c r="C17446" s="9"/>
      <c r="D17446" t="str">
        <f>"Y39A1A.9"</f>
        <v>Y39A1A.9</v>
      </c>
      <c r="F17446" t="s">
        <v>11</v>
      </c>
      <c r="G17446" t="s">
        <v>4786</v>
      </c>
      <c r="H17446" s="12">
        <v>1.37570987959693</v>
      </c>
      <c r="I17446" s="20">
        <v>0.91854234902917997</v>
      </c>
      <c r="J17446" s="28">
        <v>0.358334998402219</v>
      </c>
      <c r="K17446" s="29">
        <v>0.98289565623980701</v>
      </c>
    </row>
    <row r="17447" spans="1:11" x14ac:dyDescent="0.35">
      <c r="A17447" s="9" t="str">
        <f>HYPERLINK("http://www.ensembl.org/id/WBGene00202219", "WBGene00202219")</f>
        <v>WBGene00202219</v>
      </c>
      <c r="B17447" s="9"/>
      <c r="C17447" s="9"/>
      <c r="D17447" t="str">
        <f>"Y39A1B.9"</f>
        <v>Y39A1B.9</v>
      </c>
      <c r="F17447" t="s">
        <v>481</v>
      </c>
      <c r="H17447" s="12">
        <v>3.6645215954135</v>
      </c>
      <c r="I17447" s="20">
        <v>0.37967131826092498</v>
      </c>
      <c r="J17447" s="28">
        <v>0.70418941338960395</v>
      </c>
      <c r="K17447" s="29">
        <v>0.98289565623980701</v>
      </c>
    </row>
    <row r="17448" spans="1:11" x14ac:dyDescent="0.35">
      <c r="A17448" s="9" t="str">
        <f>HYPERLINK("http://www.ensembl.org/id/WBGene00012662", "WBGene00012662")</f>
        <v>WBGene00012662</v>
      </c>
      <c r="B17448" s="9" t="str">
        <f>HYPERLINK("http://www.ncbi.nlm.nih.gov/gene/189715", "189715")</f>
        <v>189715</v>
      </c>
      <c r="C17448" s="9"/>
      <c r="D17448" t="str">
        <f>"Y39A1C.1"</f>
        <v>Y39A1C.1</v>
      </c>
      <c r="F17448" t="s">
        <v>11</v>
      </c>
      <c r="G17448" t="s">
        <v>4622</v>
      </c>
      <c r="H17448" s="12">
        <v>1.5853218540627501</v>
      </c>
      <c r="I17448" s="20">
        <v>1.2064353704672901</v>
      </c>
      <c r="J17448" s="28">
        <v>0.227649664818215</v>
      </c>
      <c r="K17448" s="29">
        <v>0.98289565623980701</v>
      </c>
    </row>
    <row r="17449" spans="1:11" x14ac:dyDescent="0.35">
      <c r="A17449" s="9" t="str">
        <f>HYPERLINK("http://www.ensembl.org/id/WBGene00021433", "WBGene00021433")</f>
        <v>WBGene00021433</v>
      </c>
      <c r="B17449" s="9" t="str">
        <f>HYPERLINK("http://www.ncbi.nlm.nih.gov/gene/189718", "189718")</f>
        <v>189718</v>
      </c>
      <c r="C17449" s="9"/>
      <c r="D17449" t="str">
        <f>"Y39A3A.2"</f>
        <v>Y39A3A.2</v>
      </c>
      <c r="F17449" t="s">
        <v>11</v>
      </c>
      <c r="H17449" s="12">
        <v>1.64940248706378</v>
      </c>
      <c r="I17449" s="20">
        <v>0.27341058385619599</v>
      </c>
      <c r="J17449" s="28">
        <v>0.78453761788652898</v>
      </c>
      <c r="K17449" s="29">
        <v>0.98289565623980701</v>
      </c>
    </row>
    <row r="17450" spans="1:11" x14ac:dyDescent="0.35">
      <c r="A17450" s="9" t="str">
        <f>HYPERLINK("http://www.ensembl.org/id/WBGene00021435", "WBGene00021435")</f>
        <v>WBGene00021435</v>
      </c>
      <c r="B17450" s="9" t="str">
        <f>HYPERLINK("http://www.ncbi.nlm.nih.gov/gene/189720", "189720")</f>
        <v>189720</v>
      </c>
      <c r="C17450" s="9"/>
      <c r="D17450" t="str">
        <f>"Y39A3A.4"</f>
        <v>Y39A3A.4</v>
      </c>
      <c r="E17450" t="s">
        <v>1019</v>
      </c>
      <c r="F17450" t="s">
        <v>11</v>
      </c>
      <c r="G17450" t="s">
        <v>4312</v>
      </c>
      <c r="H17450" s="12">
        <v>1.2993538495461301</v>
      </c>
      <c r="I17450" s="20">
        <v>0.65628683769887197</v>
      </c>
      <c r="J17450" s="28">
        <v>0.51163958479969296</v>
      </c>
      <c r="K17450" s="29">
        <v>0.98289565623980701</v>
      </c>
    </row>
    <row r="17451" spans="1:11" x14ac:dyDescent="0.35">
      <c r="A17451" s="9" t="str">
        <f>HYPERLINK("http://www.ensembl.org/id/WBGene00021436", "WBGene00021436")</f>
        <v>WBGene00021436</v>
      </c>
      <c r="B17451" s="9" t="str">
        <f>HYPERLINK("http://www.ncbi.nlm.nih.gov/gene/189721", "189721")</f>
        <v>189721</v>
      </c>
      <c r="C17451" s="9"/>
      <c r="D17451" t="str">
        <f>"Y39A3B.1"</f>
        <v>Y39A3B.1</v>
      </c>
      <c r="F17451" t="s">
        <v>11</v>
      </c>
      <c r="G17451" t="s">
        <v>5416</v>
      </c>
      <c r="H17451" s="12">
        <v>1.16848361682465</v>
      </c>
      <c r="I17451" s="20">
        <v>0.52693784844675595</v>
      </c>
      <c r="J17451" s="28">
        <v>0.59823674943368099</v>
      </c>
      <c r="K17451" s="29">
        <v>0.98289565623980701</v>
      </c>
    </row>
    <row r="17452" spans="1:11" x14ac:dyDescent="0.35">
      <c r="A17452" s="9" t="str">
        <f>HYPERLINK("http://www.ensembl.org/id/WBGene00021438", "WBGene00021438")</f>
        <v>WBGene00021438</v>
      </c>
      <c r="B17452" s="9" t="str">
        <f>HYPERLINK("http://www.ncbi.nlm.nih.gov/gene/189723", "189723")</f>
        <v>189723</v>
      </c>
      <c r="C17452" s="9"/>
      <c r="D17452" t="str">
        <f>"Y39A3B.3"</f>
        <v>Y39A3B.3</v>
      </c>
      <c r="F17452" t="s">
        <v>11</v>
      </c>
      <c r="H17452" s="12">
        <v>-1.25652366157821</v>
      </c>
      <c r="I17452" s="20">
        <v>-0.77170227694626703</v>
      </c>
      <c r="J17452" s="28">
        <v>0.440290781837336</v>
      </c>
      <c r="K17452" s="29">
        <v>0.98289565623980701</v>
      </c>
    </row>
    <row r="17453" spans="1:11" x14ac:dyDescent="0.35">
      <c r="A17453" s="9" t="str">
        <f>HYPERLINK("http://www.ensembl.org/id/WBGene00196072", "WBGene00196072")</f>
        <v>WBGene00196072</v>
      </c>
      <c r="B17453" s="9"/>
      <c r="C17453" s="9"/>
      <c r="D17453" t="str">
        <f>"Y39A3B.6"</f>
        <v>Y39A3B.6</v>
      </c>
      <c r="F17453" t="s">
        <v>481</v>
      </c>
      <c r="H17453" s="12">
        <v>2.3893468495514898</v>
      </c>
      <c r="I17453" s="20">
        <v>0.25323547253672701</v>
      </c>
      <c r="J17453" s="28">
        <v>0.80008625651646104</v>
      </c>
      <c r="K17453" s="29">
        <v>0.98289565623980701</v>
      </c>
    </row>
    <row r="17454" spans="1:11" x14ac:dyDescent="0.35">
      <c r="A17454" s="9" t="str">
        <f>HYPERLINK("http://www.ensembl.org/id/WBGene00206512", "WBGene00206512")</f>
        <v>WBGene00206512</v>
      </c>
      <c r="B17454" s="9" t="str">
        <f>HYPERLINK("http://www.ncbi.nlm.nih.gov/gene/13188641", "13188641")</f>
        <v>13188641</v>
      </c>
      <c r="C17454" s="9"/>
      <c r="D17454" t="str">
        <f>"Y39A3B.7"</f>
        <v>Y39A3B.7</v>
      </c>
      <c r="F17454" t="s">
        <v>11</v>
      </c>
      <c r="H17454" s="12">
        <v>2.0737660728219098</v>
      </c>
      <c r="I17454" s="20">
        <v>0.48704193760896303</v>
      </c>
      <c r="J17454" s="28">
        <v>0.62622861163896004</v>
      </c>
      <c r="K17454" s="29">
        <v>0.98289565623980701</v>
      </c>
    </row>
    <row r="17455" spans="1:11" x14ac:dyDescent="0.35">
      <c r="A17455" s="9" t="str">
        <f>HYPERLINK("http://www.ensembl.org/id/WBGene00023370", "WBGene00023370")</f>
        <v>WBGene00023370</v>
      </c>
      <c r="B17455" s="9"/>
      <c r="C17455" s="9"/>
      <c r="D17455" t="str">
        <f>"Y39A3B.t1"</f>
        <v>Y39A3B.t1</v>
      </c>
      <c r="F17455" t="s">
        <v>80</v>
      </c>
      <c r="H17455" s="12">
        <v>-6.0496137383913799</v>
      </c>
      <c r="I17455" s="20">
        <v>-0.52919567380265498</v>
      </c>
      <c r="J17455" s="28">
        <v>0.59666971747150499</v>
      </c>
      <c r="K17455" s="29">
        <v>0.98289565623980701</v>
      </c>
    </row>
    <row r="17456" spans="1:11" x14ac:dyDescent="0.35">
      <c r="A17456" s="9" t="str">
        <f>HYPERLINK("http://www.ensembl.org/id/WBGene00197306", "WBGene00197306")</f>
        <v>WBGene00197306</v>
      </c>
      <c r="B17456" s="9"/>
      <c r="C17456" s="9"/>
      <c r="D17456" t="str">
        <f>"Y39A3CL.10"</f>
        <v>Y39A3CL.10</v>
      </c>
      <c r="F17456" t="s">
        <v>481</v>
      </c>
      <c r="H17456" s="12">
        <v>-8.0686682288854605</v>
      </c>
      <c r="I17456" s="20">
        <v>-0.86178685744189398</v>
      </c>
      <c r="J17456" s="28">
        <v>0.38880481841644998</v>
      </c>
      <c r="K17456" s="29">
        <v>0.98289565623980701</v>
      </c>
    </row>
    <row r="17457" spans="1:11" x14ac:dyDescent="0.35">
      <c r="A17457" s="9" t="str">
        <f>HYPERLINK("http://www.ensembl.org/id/WBGene00021441", "WBGene00021441")</f>
        <v>WBGene00021441</v>
      </c>
      <c r="B17457" s="9" t="str">
        <f>HYPERLINK("http://www.ncbi.nlm.nih.gov/gene/189725", "189725")</f>
        <v>189725</v>
      </c>
      <c r="C17457" s="9"/>
      <c r="D17457" t="str">
        <f>"Y39A3CL.3"</f>
        <v>Y39A3CL.3</v>
      </c>
      <c r="F17457" t="s">
        <v>11</v>
      </c>
      <c r="G17457" t="s">
        <v>25</v>
      </c>
      <c r="H17457" s="12">
        <v>-1.1275838336773401</v>
      </c>
      <c r="I17457" s="20">
        <v>-0.52393237122373704</v>
      </c>
      <c r="J17457" s="28">
        <v>0.60032557862320002</v>
      </c>
      <c r="K17457" s="29">
        <v>0.98289565623980701</v>
      </c>
    </row>
    <row r="17458" spans="1:11" x14ac:dyDescent="0.35">
      <c r="A17458" s="9" t="str">
        <f>HYPERLINK("http://www.ensembl.org/id/WBGene00021443", "WBGene00021443")</f>
        <v>WBGene00021443</v>
      </c>
      <c r="B17458" s="9" t="str">
        <f>HYPERLINK("http://www.ncbi.nlm.nih.gov/gene/175328", "175328")</f>
        <v>175328</v>
      </c>
      <c r="C17458" s="9"/>
      <c r="D17458" t="str">
        <f>"Y39A3CL.7"</f>
        <v>Y39A3CL.7</v>
      </c>
      <c r="F17458" t="s">
        <v>11</v>
      </c>
      <c r="H17458" s="12">
        <v>-1.0828817230197101</v>
      </c>
      <c r="I17458" s="20">
        <v>-0.38944108900454</v>
      </c>
      <c r="J17458" s="28">
        <v>0.69694988168921301</v>
      </c>
      <c r="K17458" s="29">
        <v>0.98289565623980701</v>
      </c>
    </row>
    <row r="17459" spans="1:11" x14ac:dyDescent="0.35">
      <c r="A17459" s="9" t="str">
        <f>HYPERLINK("http://www.ensembl.org/id/WBGene00196069", "WBGene00196069")</f>
        <v>WBGene00196069</v>
      </c>
      <c r="B17459" s="9"/>
      <c r="C17459" s="9"/>
      <c r="D17459" t="str">
        <f>"Y39A3CL.8"</f>
        <v>Y39A3CL.8</v>
      </c>
      <c r="F17459" t="s">
        <v>481</v>
      </c>
      <c r="H17459" s="12">
        <v>-4.5114499031905204</v>
      </c>
      <c r="I17459" s="20">
        <v>-0.44198655555625299</v>
      </c>
      <c r="J17459" s="28">
        <v>0.65849893477547905</v>
      </c>
      <c r="K17459" s="29">
        <v>0.98289565623980701</v>
      </c>
    </row>
    <row r="17460" spans="1:11" x14ac:dyDescent="0.35">
      <c r="A17460" s="9" t="str">
        <f>HYPERLINK("http://www.ensembl.org/id/WBGene00021447", "WBGene00021447")</f>
        <v>WBGene00021447</v>
      </c>
      <c r="B17460" s="9" t="str">
        <f>HYPERLINK("http://www.ncbi.nlm.nih.gov/gene/189729", "189729")</f>
        <v>189729</v>
      </c>
      <c r="C17460" s="9"/>
      <c r="D17460" t="str">
        <f>"Y39A3CR.8"</f>
        <v>Y39A3CR.8</v>
      </c>
      <c r="F17460" t="s">
        <v>11</v>
      </c>
      <c r="H17460" s="12">
        <v>-4.7467792185731703</v>
      </c>
      <c r="I17460" s="20">
        <v>-0.52614829068776403</v>
      </c>
      <c r="J17460" s="28">
        <v>0.59878517842770296</v>
      </c>
      <c r="K17460" s="29">
        <v>0.98289565623980701</v>
      </c>
    </row>
    <row r="17461" spans="1:11" x14ac:dyDescent="0.35">
      <c r="A17461" s="9" t="str">
        <f>HYPERLINK("http://www.ensembl.org/id/WBGene00012679", "WBGene00012679")</f>
        <v>WBGene00012679</v>
      </c>
      <c r="B17461" s="9"/>
      <c r="C17461" s="9"/>
      <c r="D17461" t="str">
        <f>"Y39B6A.18"</f>
        <v>Y39B6A.18</v>
      </c>
      <c r="F17461" t="s">
        <v>80</v>
      </c>
      <c r="H17461" s="12">
        <v>2.3842490266835998</v>
      </c>
      <c r="I17461" s="20">
        <v>0.55754685656191505</v>
      </c>
      <c r="J17461" s="28">
        <v>0.57715385435639999</v>
      </c>
      <c r="K17461" s="29">
        <v>0.98289565623980701</v>
      </c>
    </row>
    <row r="17462" spans="1:11" x14ac:dyDescent="0.35">
      <c r="A17462" s="9" t="str">
        <f>HYPERLINK("http://www.ensembl.org/id/WBGene00012680", "WBGene00012680")</f>
        <v>WBGene00012680</v>
      </c>
      <c r="B17462" s="9"/>
      <c r="C17462" s="9"/>
      <c r="D17462" t="str">
        <f>"Y39B6A.21"</f>
        <v>Y39B6A.21</v>
      </c>
      <c r="F17462" t="s">
        <v>80</v>
      </c>
      <c r="H17462" s="12">
        <v>-2.2266193031140702</v>
      </c>
      <c r="I17462" s="20">
        <v>-0.90216600411130599</v>
      </c>
      <c r="J17462" s="28">
        <v>0.36696869089606099</v>
      </c>
      <c r="K17462" s="29">
        <v>0.98289565623980701</v>
      </c>
    </row>
    <row r="17463" spans="1:11" x14ac:dyDescent="0.35">
      <c r="A17463" s="9" t="str">
        <f>HYPERLINK("http://www.ensembl.org/id/WBGene00012684", "WBGene00012684")</f>
        <v>WBGene00012684</v>
      </c>
      <c r="B17463" s="9" t="str">
        <f>HYPERLINK("http://www.ncbi.nlm.nih.gov/gene/180249", "180249")</f>
        <v>180249</v>
      </c>
      <c r="C17463" s="9"/>
      <c r="D17463" t="str">
        <f>"Y39B6A.25"</f>
        <v>Y39B6A.25</v>
      </c>
      <c r="F17463" t="s">
        <v>11</v>
      </c>
      <c r="H17463" s="12">
        <v>-1.73926275521444</v>
      </c>
      <c r="I17463" s="20">
        <v>-0.33171685665975598</v>
      </c>
      <c r="J17463" s="28">
        <v>0.74010307096054495</v>
      </c>
      <c r="K17463" s="29">
        <v>0.98289565623980701</v>
      </c>
    </row>
    <row r="17464" spans="1:11" x14ac:dyDescent="0.35">
      <c r="A17464" s="9" t="str">
        <f>HYPERLINK("http://www.ensembl.org/id/WBGene00012686", "WBGene00012686")</f>
        <v>WBGene00012686</v>
      </c>
      <c r="B17464" s="9" t="str">
        <f>HYPERLINK("http://www.ncbi.nlm.nih.gov/gene/260227", "260227")</f>
        <v>260227</v>
      </c>
      <c r="C17464" s="9"/>
      <c r="D17464" t="str">
        <f>"Y39B6A.27"</f>
        <v>Y39B6A.27</v>
      </c>
      <c r="F17464" t="s">
        <v>11</v>
      </c>
      <c r="G17464" t="s">
        <v>25</v>
      </c>
      <c r="H17464" s="12">
        <v>-1.3412057150143299</v>
      </c>
      <c r="I17464" s="20">
        <v>-0.39660353151011402</v>
      </c>
      <c r="J17464" s="28">
        <v>0.69165984793455904</v>
      </c>
      <c r="K17464" s="29">
        <v>0.98289565623980701</v>
      </c>
    </row>
    <row r="17465" spans="1:11" x14ac:dyDescent="0.35">
      <c r="A17465" s="9" t="str">
        <f>HYPERLINK("http://www.ensembl.org/id/WBGene00012692", "WBGene00012692")</f>
        <v>WBGene00012692</v>
      </c>
      <c r="B17465" s="9" t="str">
        <f>HYPERLINK("http://www.ncbi.nlm.nih.gov/gene/180246", "180246")</f>
        <v>180246</v>
      </c>
      <c r="C17465" s="9" t="str">
        <f>HYPERLINK("http://www.ncbi.nlm.nih.gov/gene/29997", "29997")</f>
        <v>29997</v>
      </c>
      <c r="D17465" t="str">
        <f>"Y39B6A.33"</f>
        <v>Y39B6A.33</v>
      </c>
      <c r="E17465" t="s">
        <v>7353</v>
      </c>
      <c r="F17465" t="s">
        <v>11</v>
      </c>
      <c r="G17465" t="s">
        <v>7354</v>
      </c>
      <c r="H17465" s="12">
        <v>-1.1214169458176599</v>
      </c>
      <c r="I17465" s="20">
        <v>-0.57167756531148395</v>
      </c>
      <c r="J17465" s="28">
        <v>0.56754043607654703</v>
      </c>
      <c r="K17465" s="29">
        <v>0.98289565623980701</v>
      </c>
    </row>
    <row r="17466" spans="1:11" x14ac:dyDescent="0.35">
      <c r="A17466" s="9" t="str">
        <f>HYPERLINK("http://www.ensembl.org/id/WBGene00012693", "WBGene00012693")</f>
        <v>WBGene00012693</v>
      </c>
      <c r="B17466" s="9" t="str">
        <f>HYPERLINK("http://www.ncbi.nlm.nih.gov/gene/180245", "180245")</f>
        <v>180245</v>
      </c>
      <c r="C17466" s="9"/>
      <c r="D17466" t="str">
        <f>"Y39B6A.34"</f>
        <v>Y39B6A.34</v>
      </c>
      <c r="E17466" t="s">
        <v>7440</v>
      </c>
      <c r="F17466" t="s">
        <v>11</v>
      </c>
      <c r="G17466" t="s">
        <v>7441</v>
      </c>
      <c r="H17466" s="12">
        <v>-1.1255614607461999</v>
      </c>
      <c r="I17466" s="20">
        <v>-0.50886028210380696</v>
      </c>
      <c r="J17466" s="28">
        <v>0.61085016157007199</v>
      </c>
      <c r="K17466" s="29">
        <v>0.98289565623980701</v>
      </c>
    </row>
    <row r="17467" spans="1:11" x14ac:dyDescent="0.35">
      <c r="A17467" s="9" t="str">
        <f>HYPERLINK("http://www.ensembl.org/id/WBGene00012699", "WBGene00012699")</f>
        <v>WBGene00012699</v>
      </c>
      <c r="B17467" s="9" t="str">
        <f>HYPERLINK("http://www.ncbi.nlm.nih.gov/gene/189732", "189732")</f>
        <v>189732</v>
      </c>
      <c r="C17467" s="9"/>
      <c r="D17467" t="str">
        <f>"Y39B6A.41"</f>
        <v>Y39B6A.41</v>
      </c>
      <c r="F17467" t="s">
        <v>11</v>
      </c>
      <c r="G17467" t="s">
        <v>230</v>
      </c>
      <c r="H17467" s="12">
        <v>-2.0564469321795902</v>
      </c>
      <c r="I17467" s="20">
        <v>-0.848073903082188</v>
      </c>
      <c r="J17467" s="28">
        <v>0.39639681431551899</v>
      </c>
      <c r="K17467" s="29">
        <v>0.98289565623980701</v>
      </c>
    </row>
    <row r="17468" spans="1:11" x14ac:dyDescent="0.35">
      <c r="A17468" s="9" t="str">
        <f>HYPERLINK("http://www.ensembl.org/id/WBGene00077457", "WBGene00077457")</f>
        <v>WBGene00077457</v>
      </c>
      <c r="B17468" s="9"/>
      <c r="C17468" s="9"/>
      <c r="D17468" t="str">
        <f>"Y39B6A.49"</f>
        <v>Y39B6A.49</v>
      </c>
      <c r="F17468" t="s">
        <v>80</v>
      </c>
      <c r="H17468" s="12">
        <v>-1.15318374061533</v>
      </c>
      <c r="I17468" s="20">
        <v>-0.30290172209624</v>
      </c>
      <c r="J17468" s="28">
        <v>0.76196475892854898</v>
      </c>
      <c r="K17468" s="29">
        <v>0.98289565623980701</v>
      </c>
    </row>
    <row r="17469" spans="1:11" x14ac:dyDescent="0.35">
      <c r="A17469" s="9" t="str">
        <f>HYPERLINK("http://www.ensembl.org/id/WBGene00195240", "WBGene00195240")</f>
        <v>WBGene00195240</v>
      </c>
      <c r="B17469" s="9" t="str">
        <f>HYPERLINK("http://www.ncbi.nlm.nih.gov/gene/13218429", "13218429")</f>
        <v>13218429</v>
      </c>
      <c r="C17469" s="9"/>
      <c r="D17469" t="str">
        <f>"Y39B6A.69"</f>
        <v>Y39B6A.69</v>
      </c>
      <c r="F17469" t="s">
        <v>11</v>
      </c>
      <c r="H17469" s="12">
        <v>11.7711088571319</v>
      </c>
      <c r="I17469" s="20">
        <v>0.79663765182635704</v>
      </c>
      <c r="J17469" s="28">
        <v>0.42566150362591298</v>
      </c>
      <c r="K17469" s="29">
        <v>0.98289565623980701</v>
      </c>
    </row>
    <row r="17470" spans="1:11" x14ac:dyDescent="0.35">
      <c r="A17470" s="9" t="str">
        <f>HYPERLINK("http://www.ensembl.org/id/WBGene00012669", "WBGene00012669")</f>
        <v>WBGene00012669</v>
      </c>
      <c r="B17470" s="9" t="str">
        <f>HYPERLINK("http://www.ncbi.nlm.nih.gov/gene/189736", "189736")</f>
        <v>189736</v>
      </c>
      <c r="C17470" s="9"/>
      <c r="D17470" t="str">
        <f>"Y39B6A.7"</f>
        <v>Y39B6A.7</v>
      </c>
      <c r="F17470" t="s">
        <v>11</v>
      </c>
      <c r="G17470" t="s">
        <v>4973</v>
      </c>
      <c r="H17470" s="12">
        <v>1.2724247465566001</v>
      </c>
      <c r="I17470" s="20">
        <v>0.44649893624173997</v>
      </c>
      <c r="J17470" s="28">
        <v>0.65523688083470399</v>
      </c>
      <c r="K17470" s="29">
        <v>0.98289565623980701</v>
      </c>
    </row>
    <row r="17471" spans="1:11" x14ac:dyDescent="0.35">
      <c r="A17471" s="9" t="str">
        <f>HYPERLINK("http://www.ensembl.org/id/WBGene00012671", "WBGene00012671")</f>
        <v>WBGene00012671</v>
      </c>
      <c r="B17471" s="9" t="str">
        <f>HYPERLINK("http://www.ncbi.nlm.nih.gov/gene/189735", "189735")</f>
        <v>189735</v>
      </c>
      <c r="C17471" s="9"/>
      <c r="D17471" t="str">
        <f>"Y39B6A.9"</f>
        <v>Y39B6A.9</v>
      </c>
      <c r="F17471" t="s">
        <v>11</v>
      </c>
      <c r="H17471" s="12">
        <v>1.3951157447087701</v>
      </c>
      <c r="I17471" s="20">
        <v>1.1320435826673001</v>
      </c>
      <c r="J17471" s="28">
        <v>0.25761611188454098</v>
      </c>
      <c r="K17471" s="29">
        <v>0.98289565623980701</v>
      </c>
    </row>
    <row r="17472" spans="1:11" x14ac:dyDescent="0.35">
      <c r="A17472" s="9" t="str">
        <f>HYPERLINK("http://www.ensembl.org/id/WBGene00045314", "WBGene00045314")</f>
        <v>WBGene00045314</v>
      </c>
      <c r="B17472" s="9"/>
      <c r="C17472" s="9"/>
      <c r="D17472" t="str">
        <f>"Y39C12A.10"</f>
        <v>Y39C12A.10</v>
      </c>
      <c r="F17472" t="s">
        <v>80</v>
      </c>
      <c r="H17472" s="12">
        <v>5.2256940684203599</v>
      </c>
      <c r="I17472" s="20">
        <v>0.95678045783097498</v>
      </c>
      <c r="J17472" s="28">
        <v>0.338678077916229</v>
      </c>
      <c r="K17472" s="29">
        <v>0.98289565623980701</v>
      </c>
    </row>
    <row r="17473" spans="1:11" x14ac:dyDescent="0.35">
      <c r="A17473" s="9" t="str">
        <f>HYPERLINK("http://www.ensembl.org/id/WBGene00014883", "WBGene00014883")</f>
        <v>WBGene00014883</v>
      </c>
      <c r="B17473" s="9"/>
      <c r="C17473" s="9"/>
      <c r="D17473" t="str">
        <f>"Y39C12A.2"</f>
        <v>Y39C12A.2</v>
      </c>
      <c r="F17473" t="s">
        <v>80</v>
      </c>
      <c r="H17473" s="12">
        <v>-1.87918249998498</v>
      </c>
      <c r="I17473" s="20">
        <v>-0.42530170607385098</v>
      </c>
      <c r="J17473" s="28">
        <v>0.67061675002201004</v>
      </c>
      <c r="K17473" s="29">
        <v>0.98289565623980701</v>
      </c>
    </row>
    <row r="17474" spans="1:11" x14ac:dyDescent="0.35">
      <c r="A17474" s="9" t="str">
        <f>HYPERLINK("http://www.ensembl.org/id/WBGene00012711", "WBGene00012711")</f>
        <v>WBGene00012711</v>
      </c>
      <c r="B17474" s="9" t="str">
        <f>HYPERLINK("http://www.ncbi.nlm.nih.gov/gene/176714", "176714")</f>
        <v>176714</v>
      </c>
      <c r="C17474" s="9"/>
      <c r="D17474" t="str">
        <f>"Y39E4A.1"</f>
        <v>Y39E4A.1</v>
      </c>
      <c r="F17474" t="s">
        <v>11</v>
      </c>
      <c r="G17474" t="s">
        <v>25</v>
      </c>
      <c r="H17474" s="12">
        <v>2.58658939018044</v>
      </c>
      <c r="I17474" s="20">
        <v>0.68681952028158</v>
      </c>
      <c r="J17474" s="28">
        <v>0.49219646721987498</v>
      </c>
      <c r="K17474" s="29">
        <v>0.98289565623980701</v>
      </c>
    </row>
    <row r="17475" spans="1:11" x14ac:dyDescent="0.35">
      <c r="A17475" s="9" t="str">
        <f>HYPERLINK("http://www.ensembl.org/id/WBGene00012719", "WBGene00012719")</f>
        <v>WBGene00012719</v>
      </c>
      <c r="B17475" s="9" t="str">
        <f>HYPERLINK("http://www.ncbi.nlm.nih.gov/gene/189754", "189754")</f>
        <v>189754</v>
      </c>
      <c r="C17475" s="9"/>
      <c r="D17475" t="str">
        <f>"Y39E4B.10"</f>
        <v>Y39E4B.10</v>
      </c>
      <c r="F17475" t="s">
        <v>11</v>
      </c>
      <c r="H17475" s="12">
        <v>-1.2311034766363</v>
      </c>
      <c r="I17475" s="20">
        <v>-0.86027221984584101</v>
      </c>
      <c r="J17475" s="28">
        <v>0.38963900255550898</v>
      </c>
      <c r="K17475" s="29">
        <v>0.98289565623980701</v>
      </c>
    </row>
    <row r="17476" spans="1:11" x14ac:dyDescent="0.35">
      <c r="A17476" s="9" t="str">
        <f>HYPERLINK("http://www.ensembl.org/id/WBGene00012720", "WBGene00012720")</f>
        <v>WBGene00012720</v>
      </c>
      <c r="B17476" s="9" t="str">
        <f>HYPERLINK("http://www.ncbi.nlm.nih.gov/gene/189755", "189755")</f>
        <v>189755</v>
      </c>
      <c r="C17476" s="9"/>
      <c r="D17476" t="str">
        <f>"Y39E4B.11"</f>
        <v>Y39E4B.11</v>
      </c>
      <c r="F17476" t="s">
        <v>11</v>
      </c>
      <c r="H17476" s="12">
        <v>1.5892149404582301</v>
      </c>
      <c r="I17476" s="20">
        <v>0.38247227221616997</v>
      </c>
      <c r="J17476" s="28">
        <v>0.70211109194769705</v>
      </c>
      <c r="K17476" s="29">
        <v>0.98289565623980701</v>
      </c>
    </row>
    <row r="17477" spans="1:11" x14ac:dyDescent="0.35">
      <c r="A17477" s="9" t="str">
        <f>HYPERLINK("http://www.ensembl.org/id/WBGene00012721", "WBGene00012721")</f>
        <v>WBGene00012721</v>
      </c>
      <c r="B17477" s="9" t="str">
        <f>HYPERLINK("http://www.ncbi.nlm.nih.gov/gene/189756", "189756")</f>
        <v>189756</v>
      </c>
      <c r="C17477" s="9"/>
      <c r="D17477" t="str">
        <f>"Y39E4B.13"</f>
        <v>Y39E4B.13</v>
      </c>
      <c r="F17477" t="s">
        <v>11</v>
      </c>
      <c r="G17477" t="s">
        <v>25</v>
      </c>
      <c r="H17477" s="12">
        <v>-2.3349672639802899</v>
      </c>
      <c r="I17477" s="20">
        <v>-0.49950969894198</v>
      </c>
      <c r="J17477" s="28">
        <v>0.61742035576340104</v>
      </c>
      <c r="K17477" s="29">
        <v>0.98289565623980701</v>
      </c>
    </row>
    <row r="17478" spans="1:11" x14ac:dyDescent="0.35">
      <c r="A17478" s="9" t="str">
        <f>HYPERLINK("http://www.ensembl.org/id/WBGene00014884", "WBGene00014884")</f>
        <v>WBGene00014884</v>
      </c>
      <c r="B17478" s="9"/>
      <c r="C17478" s="9"/>
      <c r="D17478" t="str">
        <f>"Y39E4B.14"</f>
        <v>Y39E4B.14</v>
      </c>
      <c r="F17478" t="s">
        <v>80</v>
      </c>
      <c r="H17478" s="12">
        <v>1.58073619896048</v>
      </c>
      <c r="I17478" s="20">
        <v>0.58535601266806203</v>
      </c>
      <c r="J17478" s="28">
        <v>0.55830835924989597</v>
      </c>
      <c r="K17478" s="29">
        <v>0.98289565623980701</v>
      </c>
    </row>
    <row r="17479" spans="1:11" x14ac:dyDescent="0.35">
      <c r="A17479" s="9" t="str">
        <f>HYPERLINK("http://www.ensembl.org/id/WBGene00012717", "WBGene00012717")</f>
        <v>WBGene00012717</v>
      </c>
      <c r="B17479" s="9" t="str">
        <f>HYPERLINK("http://www.ncbi.nlm.nih.gov/gene/176728", "176728")</f>
        <v>176728</v>
      </c>
      <c r="C17479" s="9"/>
      <c r="D17479" t="str">
        <f>"Y39E4B.6"</f>
        <v>Y39E4B.6</v>
      </c>
      <c r="F17479" t="s">
        <v>11</v>
      </c>
      <c r="G17479" t="s">
        <v>5473</v>
      </c>
      <c r="H17479" s="12">
        <v>1.1602129049544401</v>
      </c>
      <c r="I17479" s="20">
        <v>0.80524655404369205</v>
      </c>
      <c r="J17479" s="28">
        <v>0.42067741669362202</v>
      </c>
      <c r="K17479" s="29">
        <v>0.98289565623980701</v>
      </c>
    </row>
    <row r="17480" spans="1:11" x14ac:dyDescent="0.35">
      <c r="A17480" s="9" t="str">
        <f>HYPERLINK("http://www.ensembl.org/id/WBGene00021452", "WBGene00021452")</f>
        <v>WBGene00021452</v>
      </c>
      <c r="B17480" s="9" t="str">
        <f>HYPERLINK("http://www.ncbi.nlm.nih.gov/gene/173464", "173464")</f>
        <v>173464</v>
      </c>
      <c r="C17480" s="9"/>
      <c r="D17480" t="str">
        <f>"Y39F10A.1"</f>
        <v>Y39F10A.1</v>
      </c>
      <c r="F17480" t="s">
        <v>11</v>
      </c>
      <c r="H17480" s="12">
        <v>1.25211004873203</v>
      </c>
      <c r="I17480" s="20">
        <v>0.635244641882174</v>
      </c>
      <c r="J17480" s="28">
        <v>0.52526887193087102</v>
      </c>
      <c r="K17480" s="29">
        <v>0.98289565623980701</v>
      </c>
    </row>
    <row r="17481" spans="1:11" x14ac:dyDescent="0.35">
      <c r="A17481" s="9" t="str">
        <f>HYPERLINK("http://www.ensembl.org/id/WBGene00021457", "WBGene00021457")</f>
        <v>WBGene00021457</v>
      </c>
      <c r="B17481" s="9" t="str">
        <f>HYPERLINK("http://www.ncbi.nlm.nih.gov/gene/189761", "189761")</f>
        <v>189761</v>
      </c>
      <c r="C17481" s="9"/>
      <c r="D17481" t="str">
        <f>"Y39F10C.1"</f>
        <v>Y39F10C.1</v>
      </c>
      <c r="F17481" t="s">
        <v>11</v>
      </c>
      <c r="G17481" t="s">
        <v>3509</v>
      </c>
      <c r="H17481" s="12">
        <v>1.4354279219194199</v>
      </c>
      <c r="I17481" s="20">
        <v>0.407282861018954</v>
      </c>
      <c r="J17481" s="28">
        <v>0.68380024924317295</v>
      </c>
      <c r="K17481" s="29">
        <v>0.98289565623980701</v>
      </c>
    </row>
    <row r="17482" spans="1:11" x14ac:dyDescent="0.35">
      <c r="A17482" s="9" t="str">
        <f>HYPERLINK("http://www.ensembl.org/id/WBGene00021458", "WBGene00021458")</f>
        <v>WBGene00021458</v>
      </c>
      <c r="B17482" s="9" t="str">
        <f>HYPERLINK("http://www.ncbi.nlm.nih.gov/gene/171783", "171783")</f>
        <v>171783</v>
      </c>
      <c r="C17482" s="9"/>
      <c r="D17482" t="str">
        <f>"Y39G10AL.1"</f>
        <v>Y39G10AL.1</v>
      </c>
      <c r="F17482" t="s">
        <v>11</v>
      </c>
      <c r="H17482" s="12">
        <v>-1.22140648022635</v>
      </c>
      <c r="I17482" s="20">
        <v>-0.63801221083139104</v>
      </c>
      <c r="J17482" s="28">
        <v>0.52346573140695796</v>
      </c>
      <c r="K17482" s="29">
        <v>0.98289565623980701</v>
      </c>
    </row>
    <row r="17483" spans="1:11" x14ac:dyDescent="0.35">
      <c r="A17483" s="9" t="str">
        <f>HYPERLINK("http://www.ensembl.org/id/WBGene00021471", "WBGene00021471")</f>
        <v>WBGene00021471</v>
      </c>
      <c r="B17483" s="9" t="str">
        <f>HYPERLINK("http://www.ncbi.nlm.nih.gov/gene/171794", "171794")</f>
        <v>171794</v>
      </c>
      <c r="C17483" s="9"/>
      <c r="D17483" t="str">
        <f>"Y39G10AR.15"</f>
        <v>Y39G10AR.15</v>
      </c>
      <c r="F17483" t="s">
        <v>11</v>
      </c>
      <c r="H17483" s="12">
        <v>2.1110054277559001</v>
      </c>
      <c r="I17483" s="20">
        <v>0.63975130106176004</v>
      </c>
      <c r="J17483" s="28">
        <v>0.52233429753212501</v>
      </c>
      <c r="K17483" s="29">
        <v>0.98289565623980701</v>
      </c>
    </row>
    <row r="17484" spans="1:11" x14ac:dyDescent="0.35">
      <c r="A17484" s="9" t="str">
        <f>HYPERLINK("http://www.ensembl.org/id/WBGene00044926", "WBGene00044926")</f>
        <v>WBGene00044926</v>
      </c>
      <c r="B17484" s="9"/>
      <c r="C17484" s="9"/>
      <c r="D17484" t="str">
        <f>"Y39G10AR.24"</f>
        <v>Y39G10AR.24</v>
      </c>
      <c r="F17484" t="s">
        <v>2977</v>
      </c>
      <c r="H17484" s="12">
        <v>-2.4295389261469</v>
      </c>
      <c r="I17484" s="20">
        <v>-0.25808529976640998</v>
      </c>
      <c r="J17484" s="28">
        <v>0.79634107645457397</v>
      </c>
      <c r="K17484" s="29">
        <v>0.98289565623980701</v>
      </c>
    </row>
    <row r="17485" spans="1:11" x14ac:dyDescent="0.35">
      <c r="A17485" s="9" t="str">
        <f>HYPERLINK("http://www.ensembl.org/id/WBGene00199088", "WBGene00199088")</f>
        <v>WBGene00199088</v>
      </c>
      <c r="B17485" s="9"/>
      <c r="C17485" s="9"/>
      <c r="D17485" t="str">
        <f>"Y39G10AR.30"</f>
        <v>Y39G10AR.30</v>
      </c>
      <c r="F17485" t="s">
        <v>481</v>
      </c>
      <c r="H17485" s="12">
        <v>-2.4705518730954901</v>
      </c>
      <c r="I17485" s="20">
        <v>-0.38954327493699897</v>
      </c>
      <c r="J17485" s="28">
        <v>0.69687430479622203</v>
      </c>
      <c r="K17485" s="29">
        <v>0.98289565623980701</v>
      </c>
    </row>
    <row r="17486" spans="1:11" x14ac:dyDescent="0.35">
      <c r="A17486" s="9" t="str">
        <f>HYPERLINK("http://www.ensembl.org/id/WBGene00219275", "WBGene00219275")</f>
        <v>WBGene00219275</v>
      </c>
      <c r="B17486" s="9" t="str">
        <f>HYPERLINK("http://www.ncbi.nlm.nih.gov/gene/13179495", "13179495")</f>
        <v>13179495</v>
      </c>
      <c r="C17486" s="9"/>
      <c r="D17486" t="str">
        <f>"Y39G10AR.32"</f>
        <v>Y39G10AR.32</v>
      </c>
      <c r="F17486" t="s">
        <v>11</v>
      </c>
      <c r="H17486" s="12">
        <v>-1.13569912780352</v>
      </c>
      <c r="I17486" s="20">
        <v>-0.51902554539968704</v>
      </c>
      <c r="J17486" s="28">
        <v>0.60374292735582402</v>
      </c>
      <c r="K17486" s="29">
        <v>0.98289565623980701</v>
      </c>
    </row>
    <row r="17487" spans="1:11" x14ac:dyDescent="0.35">
      <c r="A17487" s="9" t="str">
        <f>HYPERLINK("http://www.ensembl.org/id/WBGene00012722", "WBGene00012722")</f>
        <v>WBGene00012722</v>
      </c>
      <c r="B17487" s="9" t="str">
        <f>HYPERLINK("http://www.ncbi.nlm.nih.gov/gene/175047", "175047")</f>
        <v>175047</v>
      </c>
      <c r="C17487" s="9"/>
      <c r="D17487" t="str">
        <f>"Y39G8B.1"</f>
        <v>Y39G8B.1</v>
      </c>
      <c r="F17487" t="s">
        <v>11</v>
      </c>
      <c r="G17487" t="s">
        <v>692</v>
      </c>
      <c r="H17487" s="12">
        <v>1.06978961250773</v>
      </c>
      <c r="I17487" s="20">
        <v>0.357242381457473</v>
      </c>
      <c r="J17487" s="28">
        <v>0.72091036054424795</v>
      </c>
      <c r="K17487" s="29">
        <v>0.98289565623980701</v>
      </c>
    </row>
    <row r="17488" spans="1:11" x14ac:dyDescent="0.35">
      <c r="A17488" s="9" t="str">
        <f>HYPERLINK("http://www.ensembl.org/id/WBGene00201696", "WBGene00201696")</f>
        <v>WBGene00201696</v>
      </c>
      <c r="B17488" s="9"/>
      <c r="C17488" s="9"/>
      <c r="D17488" t="str">
        <f>"Y39G8B.12"</f>
        <v>Y39G8B.12</v>
      </c>
      <c r="F17488" t="s">
        <v>481</v>
      </c>
      <c r="H17488" s="12">
        <v>3.5227018545059199</v>
      </c>
      <c r="I17488" s="20">
        <v>0.36849691206929103</v>
      </c>
      <c r="J17488" s="28">
        <v>0.71250274722433404</v>
      </c>
      <c r="K17488" s="29">
        <v>0.98289565623980701</v>
      </c>
    </row>
    <row r="17489" spans="1:11" x14ac:dyDescent="0.35">
      <c r="A17489" s="9" t="str">
        <f>HYPERLINK("http://www.ensembl.org/id/WBGene00012723", "WBGene00012723")</f>
        <v>WBGene00012723</v>
      </c>
      <c r="B17489" s="9" t="str">
        <f>HYPERLINK("http://www.ncbi.nlm.nih.gov/gene/175048", "175048")</f>
        <v>175048</v>
      </c>
      <c r="C17489" s="9"/>
      <c r="D17489" t="str">
        <f>"Y39G8B.2"</f>
        <v>Y39G8B.2</v>
      </c>
      <c r="F17489" t="s">
        <v>11</v>
      </c>
      <c r="G17489" t="s">
        <v>692</v>
      </c>
      <c r="H17489" s="12">
        <v>-1.2747991688208999</v>
      </c>
      <c r="I17489" s="20">
        <v>-0.91113926292118197</v>
      </c>
      <c r="J17489" s="28">
        <v>0.362222001231431</v>
      </c>
      <c r="K17489" s="29">
        <v>0.98289565623980701</v>
      </c>
    </row>
    <row r="17490" spans="1:11" x14ac:dyDescent="0.35">
      <c r="A17490" s="9" t="str">
        <f>HYPERLINK("http://www.ensembl.org/id/WBGene00201029", "WBGene00201029")</f>
        <v>WBGene00201029</v>
      </c>
      <c r="B17490" s="9"/>
      <c r="C17490" s="9"/>
      <c r="D17490" t="str">
        <f>"Y39G8C.11"</f>
        <v>Y39G8C.11</v>
      </c>
      <c r="F17490" t="s">
        <v>481</v>
      </c>
      <c r="H17490" s="12">
        <v>-3.5819448292659501</v>
      </c>
      <c r="I17490" s="20">
        <v>-0.37337717500031398</v>
      </c>
      <c r="J17490" s="28">
        <v>0.70886774492290605</v>
      </c>
      <c r="K17490" s="29">
        <v>0.98289565623980701</v>
      </c>
    </row>
    <row r="17491" spans="1:11" x14ac:dyDescent="0.35">
      <c r="A17491" s="9" t="str">
        <f>HYPERLINK("http://www.ensembl.org/id/WBGene00012731", "WBGene00012731")</f>
        <v>WBGene00012731</v>
      </c>
      <c r="B17491" s="9" t="str">
        <f>HYPERLINK("http://www.ncbi.nlm.nih.gov/gene/175061", "175061")</f>
        <v>175061</v>
      </c>
      <c r="C17491" s="9"/>
      <c r="D17491" t="str">
        <f>"Y39G8C.2"</f>
        <v>Y39G8C.2</v>
      </c>
      <c r="F17491" t="s">
        <v>11</v>
      </c>
      <c r="G17491" t="s">
        <v>961</v>
      </c>
      <c r="H17491" s="12">
        <v>1.42852944531605</v>
      </c>
      <c r="I17491" s="20">
        <v>0.27264981938927102</v>
      </c>
      <c r="J17491" s="28">
        <v>0.78512241190777599</v>
      </c>
      <c r="K17491" s="29">
        <v>0.98289565623980701</v>
      </c>
    </row>
    <row r="17492" spans="1:11" x14ac:dyDescent="0.35">
      <c r="A17492" s="9" t="str">
        <f>HYPERLINK("http://www.ensembl.org/id/WBGene00199357", "WBGene00199357")</f>
        <v>WBGene00199357</v>
      </c>
      <c r="B17492" s="9"/>
      <c r="C17492" s="9"/>
      <c r="D17492" t="str">
        <f>"Y39G8C.9"</f>
        <v>Y39G8C.9</v>
      </c>
      <c r="F17492" t="s">
        <v>481</v>
      </c>
      <c r="H17492" s="12">
        <v>2.3893468495514898</v>
      </c>
      <c r="I17492" s="20">
        <v>0.25323547253672701</v>
      </c>
      <c r="J17492" s="28">
        <v>0.80008625651646104</v>
      </c>
      <c r="K17492" s="29">
        <v>0.98289565623980701</v>
      </c>
    </row>
    <row r="17493" spans="1:11" x14ac:dyDescent="0.35">
      <c r="A17493" s="9" t="str">
        <f>HYPERLINK("http://www.ensembl.org/id/WBGene00021478", "WBGene00021478")</f>
        <v>WBGene00021478</v>
      </c>
      <c r="B17493" s="9" t="str">
        <f>HYPERLINK("http://www.ncbi.nlm.nih.gov/gene/178793", "178793")</f>
        <v>178793</v>
      </c>
      <c r="C17493" s="9"/>
      <c r="D17493" t="str">
        <f>"Y39H10A.1"</f>
        <v>Y39H10A.1</v>
      </c>
      <c r="F17493" t="s">
        <v>11</v>
      </c>
      <c r="H17493" s="12">
        <v>1.53782700060785</v>
      </c>
      <c r="I17493" s="20">
        <v>0.52292276210715805</v>
      </c>
      <c r="J17493" s="28">
        <v>0.60102800383072597</v>
      </c>
      <c r="K17493" s="29">
        <v>0.98289565623980701</v>
      </c>
    </row>
    <row r="17494" spans="1:11" x14ac:dyDescent="0.35">
      <c r="A17494" s="9" t="str">
        <f>HYPERLINK("http://www.ensembl.org/id/WBGene00021482", "WBGene00021482")</f>
        <v>WBGene00021482</v>
      </c>
      <c r="B17494" s="9" t="str">
        <f>HYPERLINK("http://www.ncbi.nlm.nih.gov/gene/178791", "178791")</f>
        <v>178791</v>
      </c>
      <c r="C17494" s="9" t="str">
        <f>HYPERLINK("http://www.ncbi.nlm.nih.gov/gene/80232", "80232")</f>
        <v>80232</v>
      </c>
      <c r="D17494" t="str">
        <f>"Y39H10A.6"</f>
        <v>Y39H10A.6</v>
      </c>
      <c r="F17494" t="s">
        <v>11</v>
      </c>
      <c r="G17494" t="s">
        <v>54</v>
      </c>
      <c r="H17494" s="12">
        <v>1.1253097262098</v>
      </c>
      <c r="I17494" s="20">
        <v>0.62537522742611396</v>
      </c>
      <c r="J17494" s="28">
        <v>0.531724816987028</v>
      </c>
      <c r="K17494" s="29">
        <v>0.98289565623980701</v>
      </c>
    </row>
    <row r="17495" spans="1:11" x14ac:dyDescent="0.35">
      <c r="A17495" s="9" t="str">
        <f>HYPERLINK("http://www.ensembl.org/id/WBGene00044527", "WBGene00044527")</f>
        <v>WBGene00044527</v>
      </c>
      <c r="B17495" s="9" t="str">
        <f>HYPERLINK("http://www.ncbi.nlm.nih.gov/gene/3896857", "3896857")</f>
        <v>3896857</v>
      </c>
      <c r="C17495" s="9"/>
      <c r="D17495" t="str">
        <f>"Y39H10B.2"</f>
        <v>Y39H10B.2</v>
      </c>
      <c r="F17495" t="s">
        <v>11</v>
      </c>
      <c r="G17495" t="s">
        <v>25</v>
      </c>
      <c r="H17495" s="12">
        <v>-1.2326112648934799</v>
      </c>
      <c r="I17495" s="20">
        <v>-1.0141050754271901</v>
      </c>
      <c r="J17495" s="28">
        <v>0.31053261646865299</v>
      </c>
      <c r="K17495" s="29">
        <v>0.98289565623980701</v>
      </c>
    </row>
    <row r="17496" spans="1:11" x14ac:dyDescent="0.35">
      <c r="A17496" s="9" t="str">
        <f>HYPERLINK("http://www.ensembl.org/id/WBGene00194902", "WBGene00194902")</f>
        <v>WBGene00194902</v>
      </c>
      <c r="B17496" s="9" t="str">
        <f>HYPERLINK("http://www.ncbi.nlm.nih.gov/gene/13212369", "13212369")</f>
        <v>13212369</v>
      </c>
      <c r="C17496" s="9"/>
      <c r="D17496" t="str">
        <f>"Y39H10B.3"</f>
        <v>Y39H10B.3</v>
      </c>
      <c r="F17496" t="s">
        <v>11</v>
      </c>
      <c r="H17496" s="12">
        <v>1.52727262978713</v>
      </c>
      <c r="I17496" s="20">
        <v>0.84627421937538905</v>
      </c>
      <c r="J17496" s="28">
        <v>0.39739978631845502</v>
      </c>
      <c r="K17496" s="29">
        <v>0.98289565623980701</v>
      </c>
    </row>
    <row r="17497" spans="1:11" x14ac:dyDescent="0.35">
      <c r="A17497" s="9" t="str">
        <f>HYPERLINK("http://www.ensembl.org/id/WBGene00021485", "WBGene00021485")</f>
        <v>WBGene00021485</v>
      </c>
      <c r="B17497" s="9" t="str">
        <f>HYPERLINK("http://www.ncbi.nlm.nih.gov/gene/180511", "180511")</f>
        <v>180511</v>
      </c>
      <c r="C17497" s="9"/>
      <c r="D17497" t="str">
        <f>"Y40A1A.3"</f>
        <v>Y40A1A.3</v>
      </c>
      <c r="F17497" t="s">
        <v>11</v>
      </c>
      <c r="H17497" s="12">
        <v>1.4206553782300499</v>
      </c>
      <c r="I17497" s="20">
        <v>1.01647944209039</v>
      </c>
      <c r="J17497" s="28">
        <v>0.30940113229035998</v>
      </c>
      <c r="K17497" s="29">
        <v>0.98289565623980701</v>
      </c>
    </row>
    <row r="17498" spans="1:11" x14ac:dyDescent="0.35">
      <c r="A17498" s="9" t="str">
        <f>HYPERLINK("http://www.ensembl.org/id/WBGene00268197", "WBGene00268197")</f>
        <v>WBGene00268197</v>
      </c>
      <c r="B17498" s="9" t="str">
        <f>HYPERLINK("http://www.ncbi.nlm.nih.gov/gene/25502998", "25502998")</f>
        <v>25502998</v>
      </c>
      <c r="C17498" s="9"/>
      <c r="D17498" t="str">
        <f>"Y40B10A.11"</f>
        <v>Y40B10A.11</v>
      </c>
      <c r="F17498" t="s">
        <v>11</v>
      </c>
      <c r="H17498" s="12">
        <v>15.6921441712649</v>
      </c>
      <c r="I17498" s="20">
        <v>0.95028393834463598</v>
      </c>
      <c r="J17498" s="28">
        <v>0.34196799785965198</v>
      </c>
      <c r="K17498" s="29">
        <v>0.98289565623980701</v>
      </c>
    </row>
    <row r="17499" spans="1:11" x14ac:dyDescent="0.35">
      <c r="A17499" s="9" t="str">
        <f>HYPERLINK("http://www.ensembl.org/id/WBGene00021489", "WBGene00021489")</f>
        <v>WBGene00021489</v>
      </c>
      <c r="B17499" s="9"/>
      <c r="C17499" s="9"/>
      <c r="D17499" t="str">
        <f>"Y40B10A.4"</f>
        <v>Y40B10A.4</v>
      </c>
      <c r="F17499" t="s">
        <v>80</v>
      </c>
      <c r="H17499" s="12">
        <v>2.4578120077400301</v>
      </c>
      <c r="I17499" s="20">
        <v>0.26093350314551</v>
      </c>
      <c r="J17499" s="28">
        <v>0.79414378780213601</v>
      </c>
      <c r="K17499" s="29">
        <v>0.98289565623980701</v>
      </c>
    </row>
    <row r="17500" spans="1:11" x14ac:dyDescent="0.35">
      <c r="A17500" s="9" t="str">
        <f>HYPERLINK("http://www.ensembl.org/id/WBGene00021493", "WBGene00021493")</f>
        <v>WBGene00021493</v>
      </c>
      <c r="B17500" s="9" t="str">
        <f>HYPERLINK("http://www.ncbi.nlm.nih.gov/gene/178687", "178687")</f>
        <v>178687</v>
      </c>
      <c r="C17500" s="9"/>
      <c r="D17500" t="str">
        <f>"Y40B10A.9"</f>
        <v>Y40B10A.9</v>
      </c>
      <c r="F17500" t="s">
        <v>11</v>
      </c>
      <c r="G17500" t="s">
        <v>4921</v>
      </c>
      <c r="H17500" s="12">
        <v>1.11635811860584</v>
      </c>
      <c r="I17500" s="20">
        <v>0.50656235479345801</v>
      </c>
      <c r="J17500" s="28">
        <v>0.61246192784016795</v>
      </c>
      <c r="K17500" s="29">
        <v>0.98289565623980701</v>
      </c>
    </row>
    <row r="17501" spans="1:11" x14ac:dyDescent="0.35">
      <c r="A17501" s="9" t="str">
        <f>HYPERLINK("http://www.ensembl.org/id/WBGene00021494", "WBGene00021494")</f>
        <v>WBGene00021494</v>
      </c>
      <c r="B17501" s="9" t="str">
        <f>HYPERLINK("http://www.ncbi.nlm.nih.gov/gene/189790", "189790")</f>
        <v>189790</v>
      </c>
      <c r="C17501" s="9"/>
      <c r="D17501" t="str">
        <f>"Y40B10B.1"</f>
        <v>Y40B10B.1</v>
      </c>
      <c r="F17501" t="s">
        <v>11</v>
      </c>
      <c r="G17501" t="s">
        <v>63</v>
      </c>
      <c r="H17501" s="12">
        <v>15.4310788203624</v>
      </c>
      <c r="I17501" s="20">
        <v>0.98793301332604</v>
      </c>
      <c r="J17501" s="28">
        <v>0.32318545590394598</v>
      </c>
      <c r="K17501" s="29">
        <v>0.98289565623980701</v>
      </c>
    </row>
    <row r="17502" spans="1:11" x14ac:dyDescent="0.35">
      <c r="A17502" s="9" t="str">
        <f>HYPERLINK("http://www.ensembl.org/id/WBGene00012732", "WBGene00012732")</f>
        <v>WBGene00012732</v>
      </c>
      <c r="B17502" s="9" t="str">
        <f>HYPERLINK("http://www.ncbi.nlm.nih.gov/gene/189780", "189780")</f>
        <v>189780</v>
      </c>
      <c r="C17502" s="9"/>
      <c r="D17502" t="str">
        <f>"Y40B1A.1"</f>
        <v>Y40B1A.1</v>
      </c>
      <c r="F17502" t="s">
        <v>11</v>
      </c>
      <c r="G17502" t="s">
        <v>9883</v>
      </c>
      <c r="H17502" s="12">
        <v>-1.34619530782612</v>
      </c>
      <c r="I17502" s="20">
        <v>-1.19109439661456</v>
      </c>
      <c r="J17502" s="28">
        <v>0.23361652936747301</v>
      </c>
      <c r="K17502" s="29">
        <v>0.98289565623980701</v>
      </c>
    </row>
    <row r="17503" spans="1:11" x14ac:dyDescent="0.35">
      <c r="A17503" s="9" t="str">
        <f>HYPERLINK("http://www.ensembl.org/id/WBGene00012733", "WBGene00012733")</f>
        <v>WBGene00012733</v>
      </c>
      <c r="B17503" s="9" t="str">
        <f>HYPERLINK("http://www.ncbi.nlm.nih.gov/gene/189781", "189781")</f>
        <v>189781</v>
      </c>
      <c r="C17503" s="9"/>
      <c r="D17503" t="str">
        <f>"Y40B1A.2"</f>
        <v>Y40B1A.2</v>
      </c>
      <c r="F17503" t="s">
        <v>11</v>
      </c>
      <c r="G17503" t="s">
        <v>54</v>
      </c>
      <c r="H17503" s="12">
        <v>-1.6913683303779501</v>
      </c>
      <c r="I17503" s="20">
        <v>-0.77263668235279503</v>
      </c>
      <c r="J17503" s="28">
        <v>0.43973742881301597</v>
      </c>
      <c r="K17503" s="29">
        <v>0.98289565623980701</v>
      </c>
    </row>
    <row r="17504" spans="1:11" x14ac:dyDescent="0.35">
      <c r="A17504" s="9" t="str">
        <f>HYPERLINK("http://www.ensembl.org/id/WBGene00199416", "WBGene00199416")</f>
        <v>WBGene00199416</v>
      </c>
      <c r="B17504" s="9"/>
      <c r="C17504" s="9"/>
      <c r="D17504" t="str">
        <f>"Y40B1A.5"</f>
        <v>Y40B1A.5</v>
      </c>
      <c r="F17504" t="s">
        <v>481</v>
      </c>
      <c r="H17504" s="12">
        <v>-2.8288868817297002</v>
      </c>
      <c r="I17504" s="20">
        <v>-0.51031084092436996</v>
      </c>
      <c r="J17504" s="28">
        <v>0.60983370895637701</v>
      </c>
      <c r="K17504" s="29">
        <v>0.98289565623980701</v>
      </c>
    </row>
    <row r="17505" spans="1:11" x14ac:dyDescent="0.35">
      <c r="A17505" s="9" t="str">
        <f>HYPERLINK("http://www.ensembl.org/id/WBGene00012739", "WBGene00012739")</f>
        <v>WBGene00012739</v>
      </c>
      <c r="B17505" s="9" t="str">
        <f>HYPERLINK("http://www.ncbi.nlm.nih.gov/gene/173211", "173211")</f>
        <v>173211</v>
      </c>
      <c r="C17505" s="9"/>
      <c r="D17505" t="str">
        <f>"Y40B1B.7"</f>
        <v>Y40B1B.7</v>
      </c>
      <c r="F17505" t="s">
        <v>11</v>
      </c>
      <c r="G17505" t="s">
        <v>6323</v>
      </c>
      <c r="H17505" s="12">
        <v>-1.06276161981536</v>
      </c>
      <c r="I17505" s="20">
        <v>-0.28992460826368699</v>
      </c>
      <c r="J17505" s="28">
        <v>0.77187391510800196</v>
      </c>
      <c r="K17505" s="29">
        <v>0.98289565623980701</v>
      </c>
    </row>
    <row r="17506" spans="1:11" x14ac:dyDescent="0.35">
      <c r="A17506" s="9" t="str">
        <f>HYPERLINK("http://www.ensembl.org/id/WBGene00021497", "WBGene00021497")</f>
        <v>WBGene00021497</v>
      </c>
      <c r="B17506" s="9" t="str">
        <f>HYPERLINK("http://www.ncbi.nlm.nih.gov/gene/177508", "177508")</f>
        <v>177508</v>
      </c>
      <c r="C17506" s="9"/>
      <c r="D17506" t="str">
        <f>"Y40C5A.4"</f>
        <v>Y40C5A.4</v>
      </c>
      <c r="F17506" t="s">
        <v>11</v>
      </c>
      <c r="G17506" t="s">
        <v>1868</v>
      </c>
      <c r="H17506" s="12">
        <v>1.1955510412917401</v>
      </c>
      <c r="I17506" s="20">
        <v>0.80087027650154097</v>
      </c>
      <c r="J17506" s="28">
        <v>0.42320674921309998</v>
      </c>
      <c r="K17506" s="29">
        <v>0.98289565623980701</v>
      </c>
    </row>
    <row r="17507" spans="1:11" x14ac:dyDescent="0.35">
      <c r="A17507" s="9" t="str">
        <f>HYPERLINK("http://www.ensembl.org/id/WBGene00021500", "WBGene00021500")</f>
        <v>WBGene00021500</v>
      </c>
      <c r="B17507" s="9" t="str">
        <f>HYPERLINK("http://www.ncbi.nlm.nih.gov/gene/189796", "189796")</f>
        <v>189796</v>
      </c>
      <c r="C17507" s="9"/>
      <c r="D17507" t="str">
        <f>"Y40C7B.4"</f>
        <v>Y40C7B.4</v>
      </c>
      <c r="F17507" t="s">
        <v>11</v>
      </c>
      <c r="H17507" s="12">
        <v>4.6989579612288797</v>
      </c>
      <c r="I17507" s="20">
        <v>0.78686392151958295</v>
      </c>
      <c r="J17507" s="28">
        <v>0.43136152949717399</v>
      </c>
      <c r="K17507" s="29">
        <v>0.98289565623980701</v>
      </c>
    </row>
    <row r="17508" spans="1:11" x14ac:dyDescent="0.35">
      <c r="A17508" s="9" t="str">
        <f>HYPERLINK("http://www.ensembl.org/id/WBGene00201089", "WBGene00201089")</f>
        <v>WBGene00201089</v>
      </c>
      <c r="B17508" s="9"/>
      <c r="C17508" s="9"/>
      <c r="D17508" t="str">
        <f>"Y40C7B.8"</f>
        <v>Y40C7B.8</v>
      </c>
      <c r="F17508" t="s">
        <v>481</v>
      </c>
      <c r="H17508" s="12">
        <v>3.5227018545059199</v>
      </c>
      <c r="I17508" s="20">
        <v>0.36849691206929103</v>
      </c>
      <c r="J17508" s="28">
        <v>0.71250274722433404</v>
      </c>
      <c r="K17508" s="29">
        <v>0.98289565623980701</v>
      </c>
    </row>
    <row r="17509" spans="1:11" x14ac:dyDescent="0.35">
      <c r="A17509" s="9" t="str">
        <f>HYPERLINK("http://www.ensembl.org/id/WBGene00021502", "WBGene00021502")</f>
        <v>WBGene00021502</v>
      </c>
      <c r="B17509" s="9" t="str">
        <f>HYPERLINK("http://www.ncbi.nlm.nih.gov/gene/182563", "182563")</f>
        <v>182563</v>
      </c>
      <c r="C17509" s="9"/>
      <c r="D17509" t="str">
        <f>"Y40D12A.1"</f>
        <v>Y40D12A.1</v>
      </c>
      <c r="F17509" t="s">
        <v>11</v>
      </c>
      <c r="G17509" t="s">
        <v>7473</v>
      </c>
      <c r="H17509" s="12">
        <v>-1.12795748633568</v>
      </c>
      <c r="I17509" s="20">
        <v>-0.50609621391287396</v>
      </c>
      <c r="J17509" s="28">
        <v>0.61278910829745004</v>
      </c>
      <c r="K17509" s="29">
        <v>0.98289565623980701</v>
      </c>
    </row>
    <row r="17510" spans="1:11" x14ac:dyDescent="0.35">
      <c r="A17510" s="9" t="str">
        <f>HYPERLINK("http://www.ensembl.org/id/WBGene00012741", "WBGene00012741")</f>
        <v>WBGene00012741</v>
      </c>
      <c r="B17510" s="9" t="str">
        <f>HYPERLINK("http://www.ncbi.nlm.nih.gov/gene/189799", "189799")</f>
        <v>189799</v>
      </c>
      <c r="C17510" s="9"/>
      <c r="D17510" t="str">
        <f>"Y40H4A.2"</f>
        <v>Y40H4A.2</v>
      </c>
      <c r="F17510" t="s">
        <v>11</v>
      </c>
      <c r="G17510" t="s">
        <v>4723</v>
      </c>
      <c r="H17510" s="12">
        <v>-1.7995688429718699</v>
      </c>
      <c r="I17510" s="20">
        <v>-0.29669506503334497</v>
      </c>
      <c r="J17510" s="28">
        <v>0.76669932502039695</v>
      </c>
      <c r="K17510" s="29">
        <v>0.98289565623980701</v>
      </c>
    </row>
    <row r="17511" spans="1:11" x14ac:dyDescent="0.35">
      <c r="A17511" s="9" t="str">
        <f>HYPERLINK("http://www.ensembl.org/id/WBGene00012748", "WBGene00012748")</f>
        <v>WBGene00012748</v>
      </c>
      <c r="B17511" s="9" t="str">
        <f>HYPERLINK("http://www.ncbi.nlm.nih.gov/gene/189810", "189810")</f>
        <v>189810</v>
      </c>
      <c r="C17511" s="9"/>
      <c r="D17511" t="str">
        <f>"Y40H7A.11"</f>
        <v>Y40H7A.11</v>
      </c>
      <c r="F17511" t="s">
        <v>11</v>
      </c>
      <c r="G17511" t="s">
        <v>208</v>
      </c>
      <c r="H17511" s="12">
        <v>-2.92207094950576</v>
      </c>
      <c r="I17511" s="20">
        <v>-1.1290812020908301</v>
      </c>
      <c r="J17511" s="28">
        <v>0.258863580364111</v>
      </c>
      <c r="K17511" s="29">
        <v>0.98289565623980701</v>
      </c>
    </row>
    <row r="17512" spans="1:11" x14ac:dyDescent="0.35">
      <c r="A17512" s="9" t="str">
        <f>HYPERLINK("http://www.ensembl.org/id/WBGene00012743", "WBGene00012743")</f>
        <v>WBGene00012743</v>
      </c>
      <c r="B17512" s="9" t="str">
        <f>HYPERLINK("http://www.ncbi.nlm.nih.gov/gene/189802", "189802")</f>
        <v>189802</v>
      </c>
      <c r="C17512" s="9"/>
      <c r="D17512" t="str">
        <f>"Y40H7A.3"</f>
        <v>Y40H7A.3</v>
      </c>
      <c r="F17512" t="s">
        <v>11</v>
      </c>
      <c r="G17512" t="s">
        <v>25</v>
      </c>
      <c r="H17512" s="12">
        <v>5.4058944669092801</v>
      </c>
      <c r="I17512" s="20">
        <v>0.49762513753689303</v>
      </c>
      <c r="J17512" s="28">
        <v>0.61874828254921799</v>
      </c>
      <c r="K17512" s="29">
        <v>0.98289565623980701</v>
      </c>
    </row>
    <row r="17513" spans="1:11" x14ac:dyDescent="0.35">
      <c r="A17513" s="9" t="str">
        <f>HYPERLINK("http://www.ensembl.org/id/WBGene00012744", "WBGene00012744")</f>
        <v>WBGene00012744</v>
      </c>
      <c r="B17513" s="9" t="str">
        <f>HYPERLINK("http://www.ncbi.nlm.nih.gov/gene/189803", "189803")</f>
        <v>189803</v>
      </c>
      <c r="C17513" s="9"/>
      <c r="D17513" t="str">
        <f>"Y40H7A.4"</f>
        <v>Y40H7A.4</v>
      </c>
      <c r="F17513" t="s">
        <v>11</v>
      </c>
      <c r="G17513" t="s">
        <v>25</v>
      </c>
      <c r="H17513" s="12">
        <v>-1.9287076963324401</v>
      </c>
      <c r="I17513" s="20">
        <v>-0.49870404293056197</v>
      </c>
      <c r="J17513" s="28">
        <v>0.61798789600622595</v>
      </c>
      <c r="K17513" s="29">
        <v>0.98289565623980701</v>
      </c>
    </row>
    <row r="17514" spans="1:11" x14ac:dyDescent="0.35">
      <c r="A17514" s="9" t="str">
        <f>HYPERLINK("http://www.ensembl.org/id/WBGene00012745", "WBGene00012745")</f>
        <v>WBGene00012745</v>
      </c>
      <c r="B17514" s="9"/>
      <c r="C17514" s="9"/>
      <c r="D17514" t="str">
        <f>"Y40H7A.7"</f>
        <v>Y40H7A.7</v>
      </c>
      <c r="F17514" t="s">
        <v>80</v>
      </c>
      <c r="H17514" s="12">
        <v>-2.4295389261469</v>
      </c>
      <c r="I17514" s="20">
        <v>-0.25808529976640998</v>
      </c>
      <c r="J17514" s="28">
        <v>0.79634107645457397</v>
      </c>
      <c r="K17514" s="29">
        <v>0.98289565623980701</v>
      </c>
    </row>
    <row r="17515" spans="1:11" x14ac:dyDescent="0.35">
      <c r="A17515" s="9" t="str">
        <f>HYPERLINK("http://www.ensembl.org/id/WBGene00012760", "WBGene00012760")</f>
        <v>WBGene00012760</v>
      </c>
      <c r="B17515" s="9" t="str">
        <f>HYPERLINK("http://www.ncbi.nlm.nih.gov/gene/353422", "353422")</f>
        <v>353422</v>
      </c>
      <c r="C17515" s="9"/>
      <c r="D17515" t="str">
        <f>"Y41C4A.17"</f>
        <v>Y41C4A.17</v>
      </c>
      <c r="F17515" t="s">
        <v>11</v>
      </c>
      <c r="H17515" s="12">
        <v>1.6426165913611199</v>
      </c>
      <c r="I17515" s="20">
        <v>1.15926862716984</v>
      </c>
      <c r="J17515" s="28">
        <v>0.246346705590897</v>
      </c>
      <c r="K17515" s="29">
        <v>0.98289565623980701</v>
      </c>
    </row>
    <row r="17516" spans="1:11" x14ac:dyDescent="0.35">
      <c r="A17516" s="9" t="str">
        <f>HYPERLINK("http://www.ensembl.org/id/WBGene00012761", "WBGene00012761")</f>
        <v>WBGene00012761</v>
      </c>
      <c r="B17516" s="9" t="str">
        <f>HYPERLINK("http://www.ncbi.nlm.nih.gov/gene/176607", "176607")</f>
        <v>176607</v>
      </c>
      <c r="C17516" s="9"/>
      <c r="D17516" t="str">
        <f>"Y41C4A.18"</f>
        <v>Y41C4A.18</v>
      </c>
      <c r="F17516" t="s">
        <v>11</v>
      </c>
      <c r="G17516" t="s">
        <v>25</v>
      </c>
      <c r="H17516" s="12">
        <v>-2.58230470841663</v>
      </c>
      <c r="I17516" s="20">
        <v>-0.505478902733416</v>
      </c>
      <c r="J17516" s="28">
        <v>0.61322251274365602</v>
      </c>
      <c r="K17516" s="29">
        <v>0.98289565623980701</v>
      </c>
    </row>
    <row r="17517" spans="1:11" x14ac:dyDescent="0.35">
      <c r="A17517" s="9" t="str">
        <f>HYPERLINK("http://www.ensembl.org/id/WBGene00194866", "WBGene00194866")</f>
        <v>WBGene00194866</v>
      </c>
      <c r="B17517" s="9" t="str">
        <f>HYPERLINK("http://www.ncbi.nlm.nih.gov/gene/13191428", "13191428")</f>
        <v>13191428</v>
      </c>
      <c r="C17517" s="9"/>
      <c r="D17517" t="str">
        <f>"Y41C4A.22"</f>
        <v>Y41C4A.22</v>
      </c>
      <c r="F17517" t="s">
        <v>11</v>
      </c>
      <c r="H17517" s="12">
        <v>1.36462344520347</v>
      </c>
      <c r="I17517" s="20">
        <v>0.53775175195672598</v>
      </c>
      <c r="J17517" s="28">
        <v>0.59074844547787697</v>
      </c>
      <c r="K17517" s="29">
        <v>0.98289565623980701</v>
      </c>
    </row>
    <row r="17518" spans="1:11" x14ac:dyDescent="0.35">
      <c r="A17518" s="9" t="str">
        <f>HYPERLINK("http://www.ensembl.org/id/WBGene00206423", "WBGene00206423")</f>
        <v>WBGene00206423</v>
      </c>
      <c r="B17518" s="9"/>
      <c r="C17518" s="9"/>
      <c r="D17518" t="str">
        <f>"Y41C4A.29"</f>
        <v>Y41C4A.29</v>
      </c>
      <c r="F17518" t="s">
        <v>481</v>
      </c>
      <c r="H17518" s="12">
        <v>1.2219862182980801</v>
      </c>
      <c r="I17518" s="20">
        <v>0.90240808743214196</v>
      </c>
      <c r="J17518" s="28">
        <v>0.36684012653306403</v>
      </c>
      <c r="K17518" s="29">
        <v>0.98289565623980701</v>
      </c>
    </row>
    <row r="17519" spans="1:11" x14ac:dyDescent="0.35">
      <c r="A17519" s="9" t="str">
        <f>HYPERLINK("http://www.ensembl.org/id/WBGene00012754", "WBGene00012754")</f>
        <v>WBGene00012754</v>
      </c>
      <c r="B17519" s="9" t="str">
        <f>HYPERLINK("http://www.ncbi.nlm.nih.gov/gene/176600", "176600")</f>
        <v>176600</v>
      </c>
      <c r="C17519" s="9"/>
      <c r="D17519" t="str">
        <f>"Y41C4A.7"</f>
        <v>Y41C4A.7</v>
      </c>
      <c r="F17519" t="s">
        <v>11</v>
      </c>
      <c r="H17519" s="12">
        <v>1.55036668741415</v>
      </c>
      <c r="I17519" s="20">
        <v>0.398074680346855</v>
      </c>
      <c r="J17519" s="28">
        <v>0.69057513757025102</v>
      </c>
      <c r="K17519" s="29">
        <v>0.98289565623980701</v>
      </c>
    </row>
    <row r="17520" spans="1:11" x14ac:dyDescent="0.35">
      <c r="A17520" s="9" t="str">
        <f>HYPERLINK("http://www.ensembl.org/id/WBGene00012755", "WBGene00012755")</f>
        <v>WBGene00012755</v>
      </c>
      <c r="B17520" s="9" t="str">
        <f>HYPERLINK("http://www.ncbi.nlm.nih.gov/gene/176603", "176603")</f>
        <v>176603</v>
      </c>
      <c r="C17520" s="9"/>
      <c r="D17520" t="str">
        <f>"Y41C4A.8"</f>
        <v>Y41C4A.8</v>
      </c>
      <c r="F17520" t="s">
        <v>11</v>
      </c>
      <c r="G17520" t="s">
        <v>6714</v>
      </c>
      <c r="H17520" s="12">
        <v>-1.0858451051901299</v>
      </c>
      <c r="I17520" s="20">
        <v>-0.34723329436238298</v>
      </c>
      <c r="J17520" s="28">
        <v>0.72841605980705704</v>
      </c>
      <c r="K17520" s="29">
        <v>0.98289565623980701</v>
      </c>
    </row>
    <row r="17521" spans="1:11" x14ac:dyDescent="0.35">
      <c r="A17521" s="9" t="str">
        <f>HYPERLINK("http://www.ensembl.org/id/WBGene00021504", "WBGene00021504")</f>
        <v>WBGene00021504</v>
      </c>
      <c r="B17521" s="9" t="str">
        <f>HYPERLINK("http://www.ncbi.nlm.nih.gov/gene/176986", "176986")</f>
        <v>176986</v>
      </c>
      <c r="C17521" s="9"/>
      <c r="D17521" t="str">
        <f>"Y41D4A.1"</f>
        <v>Y41D4A.1</v>
      </c>
      <c r="F17521" t="s">
        <v>11</v>
      </c>
      <c r="H17521" s="12">
        <v>-1.9254329746204</v>
      </c>
      <c r="I17521" s="20">
        <v>-0.37577469445891998</v>
      </c>
      <c r="J17521" s="28">
        <v>0.70708440223110403</v>
      </c>
      <c r="K17521" s="29">
        <v>0.98289565623980701</v>
      </c>
    </row>
    <row r="17522" spans="1:11" x14ac:dyDescent="0.35">
      <c r="A17522" s="9" t="str">
        <f>HYPERLINK("http://www.ensembl.org/id/WBGene00021505", "WBGene00021505")</f>
        <v>WBGene00021505</v>
      </c>
      <c r="B17522" s="9" t="str">
        <f>HYPERLINK("http://www.ncbi.nlm.nih.gov/gene/176984", "176984")</f>
        <v>176984</v>
      </c>
      <c r="C17522" s="9"/>
      <c r="D17522" t="str">
        <f>"Y41D4A.3"</f>
        <v>Y41D4A.3</v>
      </c>
      <c r="F17522" t="s">
        <v>11</v>
      </c>
      <c r="H17522" s="12">
        <v>1.33334450819265</v>
      </c>
      <c r="I17522" s="20">
        <v>0.86520467539523205</v>
      </c>
      <c r="J17522" s="28">
        <v>0.38692645969253903</v>
      </c>
      <c r="K17522" s="29">
        <v>0.98289565623980701</v>
      </c>
    </row>
    <row r="17523" spans="1:11" x14ac:dyDescent="0.35">
      <c r="A17523" s="9" t="str">
        <f>HYPERLINK("http://www.ensembl.org/id/WBGene00021506", "WBGene00021506")</f>
        <v>WBGene00021506</v>
      </c>
      <c r="B17523" s="9" t="str">
        <f>HYPERLINK("http://www.ncbi.nlm.nih.gov/gene/176983", "176983")</f>
        <v>176983</v>
      </c>
      <c r="C17523" s="9" t="str">
        <f>HYPERLINK("http://www.ncbi.nlm.nih.gov/gene/56889", "56889")</f>
        <v>56889</v>
      </c>
      <c r="D17523" t="str">
        <f>"Y41D4A.4"</f>
        <v>Y41D4A.4</v>
      </c>
      <c r="E17523" t="s">
        <v>7400</v>
      </c>
      <c r="F17523" t="s">
        <v>11</v>
      </c>
      <c r="G17523" t="s">
        <v>7401</v>
      </c>
      <c r="H17523" s="12">
        <v>-1.15123333968903</v>
      </c>
      <c r="I17523" s="20">
        <v>-0.75563194787506605</v>
      </c>
      <c r="J17523" s="28">
        <v>0.44986989570722402</v>
      </c>
      <c r="K17523" s="29">
        <v>0.98289565623980701</v>
      </c>
    </row>
    <row r="17524" spans="1:11" x14ac:dyDescent="0.35">
      <c r="A17524" s="9" t="str">
        <f>HYPERLINK("http://www.ensembl.org/id/WBGene00021507", "WBGene00021507")</f>
        <v>WBGene00021507</v>
      </c>
      <c r="B17524" s="9" t="str">
        <f>HYPERLINK("http://www.ncbi.nlm.nih.gov/gene/176981", "176981")</f>
        <v>176981</v>
      </c>
      <c r="C17524" s="9"/>
      <c r="D17524" t="str">
        <f>"Y41D4A.5"</f>
        <v>Y41D4A.5</v>
      </c>
      <c r="E17524" t="s">
        <v>1019</v>
      </c>
      <c r="F17524" t="s">
        <v>11</v>
      </c>
      <c r="G17524" t="s">
        <v>9154</v>
      </c>
      <c r="H17524" s="12">
        <v>-1.22500718043084</v>
      </c>
      <c r="I17524" s="20">
        <v>-1.1202486548841499</v>
      </c>
      <c r="J17524" s="28">
        <v>0.26260781547194301</v>
      </c>
      <c r="K17524" s="29">
        <v>0.98289565623980701</v>
      </c>
    </row>
    <row r="17525" spans="1:11" x14ac:dyDescent="0.35">
      <c r="A17525" s="9" t="str">
        <f>HYPERLINK("http://www.ensembl.org/id/WBGene00021508", "WBGene00021508")</f>
        <v>WBGene00021508</v>
      </c>
      <c r="B17525" s="9" t="str">
        <f>HYPERLINK("http://www.ncbi.nlm.nih.gov/gene/176982", "176982")</f>
        <v>176982</v>
      </c>
      <c r="C17525" s="9" t="str">
        <f>HYPERLINK("http://www.ncbi.nlm.nih.gov/gene/55278", "55278")</f>
        <v>55278</v>
      </c>
      <c r="D17525" t="str">
        <f>"Y41D4A.6"</f>
        <v>Y41D4A.6</v>
      </c>
      <c r="E17525" t="s">
        <v>9440</v>
      </c>
      <c r="F17525" t="s">
        <v>11</v>
      </c>
      <c r="G17525" t="s">
        <v>9441</v>
      </c>
      <c r="H17525" s="12">
        <v>-1.24642567295675</v>
      </c>
      <c r="I17525" s="20">
        <v>-1.06369336903936</v>
      </c>
      <c r="J17525" s="28">
        <v>0.28746762933481401</v>
      </c>
      <c r="K17525" s="29">
        <v>0.98289565623980701</v>
      </c>
    </row>
    <row r="17526" spans="1:11" x14ac:dyDescent="0.35">
      <c r="A17526" s="9" t="str">
        <f>HYPERLINK("http://www.ensembl.org/id/WBGene00021509", "WBGene00021509")</f>
        <v>WBGene00021509</v>
      </c>
      <c r="B17526" s="9" t="str">
        <f>HYPERLINK("http://www.ncbi.nlm.nih.gov/gene/189816", "189816")</f>
        <v>189816</v>
      </c>
      <c r="C17526" s="9"/>
      <c r="D17526" t="str">
        <f>"Y41D4A.7"</f>
        <v>Y41D4A.7</v>
      </c>
      <c r="F17526" t="s">
        <v>11</v>
      </c>
      <c r="H17526" s="12">
        <v>1.1314256402239899</v>
      </c>
      <c r="I17526" s="20">
        <v>0.47788788788553999</v>
      </c>
      <c r="J17526" s="28">
        <v>0.63273000259108203</v>
      </c>
      <c r="K17526" s="29">
        <v>0.98289565623980701</v>
      </c>
    </row>
    <row r="17527" spans="1:11" x14ac:dyDescent="0.35">
      <c r="A17527" s="9" t="str">
        <f>HYPERLINK("http://www.ensembl.org/id/WBGene00021511", "WBGene00021511")</f>
        <v>WBGene00021511</v>
      </c>
      <c r="B17527" s="9" t="str">
        <f>HYPERLINK("http://www.ncbi.nlm.nih.gov/gene/189818", "189818")</f>
        <v>189818</v>
      </c>
      <c r="C17527" s="9"/>
      <c r="D17527" t="str">
        <f>"Y41D4B.1"</f>
        <v>Y41D4B.1</v>
      </c>
      <c r="F17527" t="s">
        <v>11</v>
      </c>
      <c r="G17527" t="s">
        <v>25</v>
      </c>
      <c r="H17527" s="12">
        <v>1.5962809737711701</v>
      </c>
      <c r="I17527" s="20">
        <v>1.01781075779775</v>
      </c>
      <c r="J17527" s="28">
        <v>0.30876789858383902</v>
      </c>
      <c r="K17527" s="29">
        <v>0.98289565623980701</v>
      </c>
    </row>
    <row r="17528" spans="1:11" x14ac:dyDescent="0.35">
      <c r="A17528" s="9" t="str">
        <f>HYPERLINK("http://www.ensembl.org/id/WBGene00021514", "WBGene00021514")</f>
        <v>WBGene00021514</v>
      </c>
      <c r="B17528" s="9" t="str">
        <f>HYPERLINK("http://www.ncbi.nlm.nih.gov/gene/3565515", "3565515")</f>
        <v>3565515</v>
      </c>
      <c r="C17528" s="9"/>
      <c r="D17528" t="str">
        <f>"Y41D4B.11"</f>
        <v>Y41D4B.11</v>
      </c>
      <c r="F17528" t="s">
        <v>11</v>
      </c>
      <c r="H17528" s="12">
        <v>-1.0961523570882501</v>
      </c>
      <c r="I17528" s="20">
        <v>-0.44582906951937201</v>
      </c>
      <c r="J17528" s="28">
        <v>0.655720721788283</v>
      </c>
      <c r="K17528" s="29">
        <v>0.98289565623980701</v>
      </c>
    </row>
    <row r="17529" spans="1:11" x14ac:dyDescent="0.35">
      <c r="A17529" s="9" t="str">
        <f>HYPERLINK("http://www.ensembl.org/id/WBGene00021516", "WBGene00021516")</f>
        <v>WBGene00021516</v>
      </c>
      <c r="B17529" s="9" t="str">
        <f>HYPERLINK("http://www.ncbi.nlm.nih.gov/gene/176967", "176967")</f>
        <v>176967</v>
      </c>
      <c r="C17529" s="9"/>
      <c r="D17529" t="str">
        <f>"Y41D4B.14"</f>
        <v>Y41D4B.14</v>
      </c>
      <c r="F17529" t="s">
        <v>11</v>
      </c>
      <c r="H17529" s="12">
        <v>1.24216842512256</v>
      </c>
      <c r="I17529" s="20">
        <v>0.67336133843075996</v>
      </c>
      <c r="J17529" s="28">
        <v>0.50071743848185502</v>
      </c>
      <c r="K17529" s="29">
        <v>0.98289565623980701</v>
      </c>
    </row>
    <row r="17530" spans="1:11" x14ac:dyDescent="0.35">
      <c r="A17530" s="9" t="str">
        <f>HYPERLINK("http://www.ensembl.org/id/WBGene00021520", "WBGene00021520")</f>
        <v>WBGene00021520</v>
      </c>
      <c r="B17530" s="9"/>
      <c r="C17530" s="9"/>
      <c r="D17530" t="str">
        <f>"Y41D4B.18"</f>
        <v>Y41D4B.18</v>
      </c>
      <c r="F17530" t="s">
        <v>80</v>
      </c>
      <c r="H17530" s="12">
        <v>1.3054454315203801</v>
      </c>
      <c r="I17530" s="20">
        <v>0.65284584143677105</v>
      </c>
      <c r="J17530" s="28">
        <v>0.51385566699394802</v>
      </c>
      <c r="K17530" s="29">
        <v>0.98289565623980701</v>
      </c>
    </row>
    <row r="17531" spans="1:11" x14ac:dyDescent="0.35">
      <c r="A17531" s="9" t="str">
        <f>HYPERLINK("http://www.ensembl.org/id/WBGene00021524", "WBGene00021524")</f>
        <v>WBGene00021524</v>
      </c>
      <c r="B17531" s="9" t="str">
        <f>HYPERLINK("http://www.ncbi.nlm.nih.gov/gene/189828", "189828")</f>
        <v>189828</v>
      </c>
      <c r="C17531" s="9"/>
      <c r="D17531" t="str">
        <f>"Y41D4B.24"</f>
        <v>Y41D4B.24</v>
      </c>
      <c r="F17531" t="s">
        <v>11</v>
      </c>
      <c r="G17531" t="s">
        <v>1089</v>
      </c>
      <c r="H17531" s="12">
        <v>1.5909972729228901</v>
      </c>
      <c r="I17531" s="20">
        <v>1.1257564752210101</v>
      </c>
      <c r="J17531" s="28">
        <v>0.260268611803952</v>
      </c>
      <c r="K17531" s="29">
        <v>0.98289565623980701</v>
      </c>
    </row>
    <row r="17532" spans="1:11" x14ac:dyDescent="0.35">
      <c r="A17532" s="9" t="str">
        <f>HYPERLINK("http://www.ensembl.org/id/WBGene00012762", "WBGene00012762")</f>
        <v>WBGene00012762</v>
      </c>
      <c r="B17532" s="9" t="str">
        <f>HYPERLINK("http://www.ncbi.nlm.nih.gov/gene/178413", "178413")</f>
        <v>178413</v>
      </c>
      <c r="C17532" s="9"/>
      <c r="D17532" t="str">
        <f>"Y41E3.1"</f>
        <v>Y41E3.1</v>
      </c>
      <c r="F17532" t="s">
        <v>11</v>
      </c>
      <c r="G17532" t="s">
        <v>790</v>
      </c>
      <c r="H17532" s="12">
        <v>-1.2170738446309599</v>
      </c>
      <c r="I17532" s="20">
        <v>-1.0494258958418301</v>
      </c>
      <c r="J17532" s="28">
        <v>0.29398214489552899</v>
      </c>
      <c r="K17532" s="29">
        <v>0.98289565623980701</v>
      </c>
    </row>
    <row r="17533" spans="1:11" x14ac:dyDescent="0.35">
      <c r="A17533" s="9" t="str">
        <f>HYPERLINK("http://www.ensembl.org/id/WBGene00012771", "WBGene00012771")</f>
        <v>WBGene00012771</v>
      </c>
      <c r="B17533" s="9" t="str">
        <f>HYPERLINK("http://www.ncbi.nlm.nih.gov/gene/189833", "189833")</f>
        <v>189833</v>
      </c>
      <c r="C17533" s="9"/>
      <c r="D17533" t="str">
        <f>"Y41E3.13"</f>
        <v>Y41E3.13</v>
      </c>
      <c r="F17533" t="s">
        <v>11</v>
      </c>
      <c r="H17533" s="12">
        <v>2.3893468495514898</v>
      </c>
      <c r="I17533" s="20">
        <v>0.25323547253672701</v>
      </c>
      <c r="J17533" s="28">
        <v>0.80008625651646104</v>
      </c>
      <c r="K17533" s="29">
        <v>0.98289565623980701</v>
      </c>
    </row>
    <row r="17534" spans="1:11" x14ac:dyDescent="0.35">
      <c r="A17534" s="9" t="str">
        <f>HYPERLINK("http://www.ensembl.org/id/WBGene00044003", "WBGene00044003")</f>
        <v>WBGene00044003</v>
      </c>
      <c r="B17534" s="9" t="str">
        <f>HYPERLINK("http://www.ncbi.nlm.nih.gov/gene/3565105", "3565105")</f>
        <v>3565105</v>
      </c>
      <c r="C17534" s="9"/>
      <c r="D17534" t="str">
        <f>"Y41E3.18"</f>
        <v>Y41E3.18</v>
      </c>
      <c r="F17534" t="s">
        <v>11</v>
      </c>
      <c r="G17534" t="s">
        <v>3117</v>
      </c>
      <c r="H17534" s="12">
        <v>1.9813531665020401</v>
      </c>
      <c r="I17534" s="20">
        <v>0.44004845256220998</v>
      </c>
      <c r="J17534" s="28">
        <v>0.65990201496943501</v>
      </c>
      <c r="K17534" s="29">
        <v>0.98289565623980701</v>
      </c>
    </row>
    <row r="17535" spans="1:11" x14ac:dyDescent="0.35">
      <c r="A17535" s="9" t="str">
        <f>HYPERLINK("http://www.ensembl.org/id/WBGene00044979", "WBGene00044979")</f>
        <v>WBGene00044979</v>
      </c>
      <c r="B17535" s="9" t="str">
        <f>HYPERLINK("http://www.ncbi.nlm.nih.gov/gene/4926945", "4926945")</f>
        <v>4926945</v>
      </c>
      <c r="C17535" s="9"/>
      <c r="D17535" t="str">
        <f>"Y41E3.19"</f>
        <v>Y41E3.19</v>
      </c>
      <c r="F17535" t="s">
        <v>11</v>
      </c>
      <c r="H17535" s="12">
        <v>2.3467749687533699</v>
      </c>
      <c r="I17535" s="20">
        <v>0.75324182722752897</v>
      </c>
      <c r="J17535" s="28">
        <v>0.45130460878148299</v>
      </c>
      <c r="K17535" s="29">
        <v>0.98289565623980701</v>
      </c>
    </row>
    <row r="17536" spans="1:11" x14ac:dyDescent="0.35">
      <c r="A17536" s="9" t="str">
        <f>HYPERLINK("http://www.ensembl.org/id/WBGene00045146", "WBGene00045146")</f>
        <v>WBGene00045146</v>
      </c>
      <c r="B17536" s="9" t="str">
        <f>HYPERLINK("http://www.ncbi.nlm.nih.gov/gene/4927056", "4927056")</f>
        <v>4927056</v>
      </c>
      <c r="C17536" s="9"/>
      <c r="D17536" t="str">
        <f>"Y41E3.22"</f>
        <v>Y41E3.22</v>
      </c>
      <c r="F17536" t="s">
        <v>11</v>
      </c>
      <c r="H17536" s="12">
        <v>1.5249593504352399</v>
      </c>
      <c r="I17536" s="20">
        <v>1.13413112433209</v>
      </c>
      <c r="J17536" s="28">
        <v>0.25673954970788299</v>
      </c>
      <c r="K17536" s="29">
        <v>0.98289565623980701</v>
      </c>
    </row>
    <row r="17537" spans="1:11" x14ac:dyDescent="0.35">
      <c r="A17537" s="9" t="str">
        <f>HYPERLINK("http://www.ensembl.org/id/WBGene00219444", "WBGene00219444")</f>
        <v>WBGene00219444</v>
      </c>
      <c r="B17537" s="9"/>
      <c r="C17537" s="9"/>
      <c r="D17537" t="str">
        <f>"Y41E3.461"</f>
        <v>Y41E3.461</v>
      </c>
      <c r="F17537" t="s">
        <v>481</v>
      </c>
      <c r="H17537" s="12">
        <v>4.2795170926571204</v>
      </c>
      <c r="I17537" s="20">
        <v>0.96551102089928598</v>
      </c>
      <c r="J17537" s="28">
        <v>0.33428891861743298</v>
      </c>
      <c r="K17537" s="29">
        <v>0.98289565623980701</v>
      </c>
    </row>
    <row r="17538" spans="1:11" x14ac:dyDescent="0.35">
      <c r="A17538" s="9" t="str">
        <f>HYPERLINK("http://www.ensembl.org/id/WBGene00220157", "WBGene00220157")</f>
        <v>WBGene00220157</v>
      </c>
      <c r="B17538" s="9"/>
      <c r="C17538" s="9"/>
      <c r="D17538" t="str">
        <f>"Y41E3.464"</f>
        <v>Y41E3.464</v>
      </c>
      <c r="F17538" t="s">
        <v>2977</v>
      </c>
      <c r="H17538" s="12">
        <v>2.4578120077400301</v>
      </c>
      <c r="I17538" s="20">
        <v>0.26093350314551</v>
      </c>
      <c r="J17538" s="28">
        <v>0.79414378780213601</v>
      </c>
      <c r="K17538" s="29">
        <v>0.98289565623980701</v>
      </c>
    </row>
    <row r="17539" spans="1:11" x14ac:dyDescent="0.35">
      <c r="A17539" s="9" t="str">
        <f>HYPERLINK("http://www.ensembl.org/id/WBGene00012765", "WBGene00012765")</f>
        <v>WBGene00012765</v>
      </c>
      <c r="B17539" s="9" t="str">
        <f>HYPERLINK("http://www.ncbi.nlm.nih.gov/gene/178416", "178416")</f>
        <v>178416</v>
      </c>
      <c r="C17539" s="9"/>
      <c r="D17539" t="str">
        <f>"Y41E3.7"</f>
        <v>Y41E3.7</v>
      </c>
      <c r="F17539" t="s">
        <v>11</v>
      </c>
      <c r="G17539" t="s">
        <v>7797</v>
      </c>
      <c r="H17539" s="12">
        <v>-1.1452737868312299</v>
      </c>
      <c r="I17539" s="20">
        <v>-0.73744565544893703</v>
      </c>
      <c r="J17539" s="28">
        <v>0.46085137993518999</v>
      </c>
      <c r="K17539" s="29">
        <v>0.98289565623980701</v>
      </c>
    </row>
    <row r="17540" spans="1:11" x14ac:dyDescent="0.35">
      <c r="A17540" s="9" t="str">
        <f>HYPERLINK("http://www.ensembl.org/id/WBGene00021526", "WBGene00021526")</f>
        <v>WBGene00021526</v>
      </c>
      <c r="B17540" s="9" t="str">
        <f>HYPERLINK("http://www.ncbi.nlm.nih.gov/gene/180584", "180584")</f>
        <v>180584</v>
      </c>
      <c r="C17540" s="9"/>
      <c r="D17540" t="str">
        <f>"Y41G9A.2"</f>
        <v>Y41G9A.2</v>
      </c>
      <c r="F17540" t="s">
        <v>11</v>
      </c>
      <c r="G17540" t="s">
        <v>25</v>
      </c>
      <c r="H17540" s="12">
        <v>1.5641298524237901</v>
      </c>
      <c r="I17540" s="20">
        <v>1.0886085944086601</v>
      </c>
      <c r="J17540" s="28">
        <v>0.27632652518191703</v>
      </c>
      <c r="K17540" s="29">
        <v>0.98289565623980701</v>
      </c>
    </row>
    <row r="17541" spans="1:11" x14ac:dyDescent="0.35">
      <c r="A17541" s="9" t="str">
        <f>HYPERLINK("http://www.ensembl.org/id/WBGene00021530", "WBGene00021530")</f>
        <v>WBGene00021530</v>
      </c>
      <c r="B17541" s="9" t="str">
        <f>HYPERLINK("http://www.ncbi.nlm.nih.gov/gene/180586", "180586")</f>
        <v>180586</v>
      </c>
      <c r="C17541" s="9"/>
      <c r="D17541" t="str">
        <f>"Y41G9A.6"</f>
        <v>Y41G9A.6</v>
      </c>
      <c r="F17541" t="s">
        <v>11</v>
      </c>
      <c r="H17541" s="12">
        <v>1.3205711914929401</v>
      </c>
      <c r="I17541" s="20">
        <v>0.51084710106391995</v>
      </c>
      <c r="J17541" s="28">
        <v>0.60945812479634698</v>
      </c>
      <c r="K17541" s="29">
        <v>0.98289565623980701</v>
      </c>
    </row>
    <row r="17542" spans="1:11" x14ac:dyDescent="0.35">
      <c r="A17542" s="9" t="str">
        <f>HYPERLINK("http://www.ensembl.org/id/WBGene00012778", "WBGene00012778")</f>
        <v>WBGene00012778</v>
      </c>
      <c r="B17542" s="9" t="str">
        <f>HYPERLINK("http://www.ncbi.nlm.nih.gov/gene/189840", "189840")</f>
        <v>189840</v>
      </c>
      <c r="C17542" s="9"/>
      <c r="D17542" t="str">
        <f>"Y42A5A.3"</f>
        <v>Y42A5A.3</v>
      </c>
      <c r="F17542" t="s">
        <v>11</v>
      </c>
      <c r="H17542" s="12">
        <v>1.44862143760991</v>
      </c>
      <c r="I17542" s="20">
        <v>0.68899918313034103</v>
      </c>
      <c r="J17542" s="28">
        <v>0.490823781619385</v>
      </c>
      <c r="K17542" s="29">
        <v>0.98289565623980701</v>
      </c>
    </row>
    <row r="17543" spans="1:11" x14ac:dyDescent="0.35">
      <c r="A17543" s="9" t="str">
        <f>HYPERLINK("http://www.ensembl.org/id/WBGene00012780", "WBGene00012780")</f>
        <v>WBGene00012780</v>
      </c>
      <c r="B17543" s="9" t="str">
        <f>HYPERLINK("http://www.ncbi.nlm.nih.gov/gene/3565757", "3565757")</f>
        <v>3565757</v>
      </c>
      <c r="C17543" s="9"/>
      <c r="D17543" t="str">
        <f>"Y42A5A.5"</f>
        <v>Y42A5A.5</v>
      </c>
      <c r="F17543" t="s">
        <v>11</v>
      </c>
      <c r="H17543" s="12">
        <v>-1.3461105092977801</v>
      </c>
      <c r="I17543" s="20">
        <v>-0.59080179435549796</v>
      </c>
      <c r="J17543" s="28">
        <v>0.554653232586933</v>
      </c>
      <c r="K17543" s="29">
        <v>0.98289565623980701</v>
      </c>
    </row>
    <row r="17544" spans="1:11" x14ac:dyDescent="0.35">
      <c r="A17544" s="9" t="str">
        <f>HYPERLINK("http://www.ensembl.org/id/WBGene00021533", "WBGene00021533")</f>
        <v>WBGene00021533</v>
      </c>
      <c r="B17544" s="9" t="str">
        <f>HYPERLINK("http://www.ncbi.nlm.nih.gov/gene/175865", "175865")</f>
        <v>175865</v>
      </c>
      <c r="C17544" s="9" t="str">
        <f>HYPERLINK("http://www.ncbi.nlm.nih.gov/gene/116064", "116064")</f>
        <v>116064</v>
      </c>
      <c r="D17544" t="str">
        <f>"Y42G9A.3"</f>
        <v>Y42G9A.3</v>
      </c>
      <c r="F17544" t="s">
        <v>11</v>
      </c>
      <c r="G17544" t="s">
        <v>54</v>
      </c>
      <c r="H17544" s="12">
        <v>-1.18902121194766</v>
      </c>
      <c r="I17544" s="20">
        <v>-0.76001509980056803</v>
      </c>
      <c r="J17544" s="28">
        <v>0.447245559099543</v>
      </c>
      <c r="K17544" s="29">
        <v>0.98289565623980701</v>
      </c>
    </row>
    <row r="17545" spans="1:11" x14ac:dyDescent="0.35">
      <c r="A17545" s="9" t="str">
        <f>HYPERLINK("http://www.ensembl.org/id/WBGene00021536", "WBGene00021536")</f>
        <v>WBGene00021536</v>
      </c>
      <c r="B17545" s="9" t="str">
        <f>HYPERLINK("http://www.ncbi.nlm.nih.gov/gene/177604", "177604")</f>
        <v>177604</v>
      </c>
      <c r="C17545" s="9"/>
      <c r="D17545" t="str">
        <f>"Y42H9AR.1"</f>
        <v>Y42H9AR.1</v>
      </c>
      <c r="F17545" t="s">
        <v>11</v>
      </c>
      <c r="G17545" t="s">
        <v>6834</v>
      </c>
      <c r="H17545" s="12">
        <v>-1.0916341265453899</v>
      </c>
      <c r="I17545" s="20">
        <v>-0.44378817107276097</v>
      </c>
      <c r="J17545" s="28">
        <v>0.65719574139103298</v>
      </c>
      <c r="K17545" s="29">
        <v>0.98289565623980701</v>
      </c>
    </row>
    <row r="17546" spans="1:11" x14ac:dyDescent="0.35">
      <c r="A17546" s="9" t="str">
        <f>HYPERLINK("http://www.ensembl.org/id/WBGene00021537", "WBGene00021537")</f>
        <v>WBGene00021537</v>
      </c>
      <c r="B17546" s="9" t="str">
        <f>HYPERLINK("http://www.ncbi.nlm.nih.gov/gene/189842", "189842")</f>
        <v>189842</v>
      </c>
      <c r="C17546" s="9" t="str">
        <f>HYPERLINK("http://www.ncbi.nlm.nih.gov/gene/23017", "23017")</f>
        <v>23017</v>
      </c>
      <c r="D17546" t="str">
        <f>"Y42H9AR.2"</f>
        <v>Y42H9AR.2</v>
      </c>
      <c r="F17546" t="s">
        <v>11</v>
      </c>
      <c r="G17546" t="s">
        <v>25</v>
      </c>
      <c r="H17546" s="12">
        <v>-1.3323633114978699</v>
      </c>
      <c r="I17546" s="20">
        <v>-0.26060837357831501</v>
      </c>
      <c r="J17546" s="28">
        <v>0.79439453159525697</v>
      </c>
      <c r="K17546" s="29">
        <v>0.98289565623980701</v>
      </c>
    </row>
    <row r="17547" spans="1:11" x14ac:dyDescent="0.35">
      <c r="A17547" s="9" t="str">
        <f>HYPERLINK("http://www.ensembl.org/id/WBGene00021539", "WBGene00021539")</f>
        <v>WBGene00021539</v>
      </c>
      <c r="B17547" s="9" t="str">
        <f>HYPERLINK("http://www.ncbi.nlm.nih.gov/gene/3565368", "3565368")</f>
        <v>3565368</v>
      </c>
      <c r="C17547" s="9"/>
      <c r="D17547" t="str">
        <f>"Y42H9AR.4"</f>
        <v>Y42H9AR.4</v>
      </c>
      <c r="F17547" t="s">
        <v>11</v>
      </c>
      <c r="H17547" s="12">
        <v>-1.10740532630071</v>
      </c>
      <c r="I17547" s="20">
        <v>-0.48903702089892198</v>
      </c>
      <c r="J17547" s="28">
        <v>0.62481548736088799</v>
      </c>
      <c r="K17547" s="29">
        <v>0.98289565623980701</v>
      </c>
    </row>
    <row r="17548" spans="1:11" x14ac:dyDescent="0.35">
      <c r="A17548" s="9" t="str">
        <f>HYPERLINK("http://www.ensembl.org/id/WBGene00021540", "WBGene00021540")</f>
        <v>WBGene00021540</v>
      </c>
      <c r="B17548" s="9" t="str">
        <f>HYPERLINK("http://www.ncbi.nlm.nih.gov/gene/259581", "259581")</f>
        <v>259581</v>
      </c>
      <c r="C17548" s="9"/>
      <c r="D17548" t="str">
        <f>"Y42H9AR.5"</f>
        <v>Y42H9AR.5</v>
      </c>
      <c r="F17548" t="s">
        <v>11</v>
      </c>
      <c r="H17548" s="12">
        <v>1.2739718228821799</v>
      </c>
      <c r="I17548" s="20">
        <v>0.41140971926859998</v>
      </c>
      <c r="J17548" s="28">
        <v>0.68077212832802902</v>
      </c>
      <c r="K17548" s="29">
        <v>0.98289565623980701</v>
      </c>
    </row>
    <row r="17549" spans="1:11" x14ac:dyDescent="0.35">
      <c r="A17549" s="9" t="str">
        <f>HYPERLINK("http://www.ensembl.org/id/WBGene00200948", "WBGene00200948")</f>
        <v>WBGene00200948</v>
      </c>
      <c r="B17549" s="9"/>
      <c r="C17549" s="9"/>
      <c r="D17549" t="str">
        <f>"Y42H9B.9"</f>
        <v>Y42H9B.9</v>
      </c>
      <c r="F17549" t="s">
        <v>481</v>
      </c>
      <c r="H17549" s="12">
        <v>-2.4295389261469</v>
      </c>
      <c r="I17549" s="20">
        <v>-0.25808529976640998</v>
      </c>
      <c r="J17549" s="28">
        <v>0.79634107645457397</v>
      </c>
      <c r="K17549" s="29">
        <v>0.98289565623980701</v>
      </c>
    </row>
    <row r="17550" spans="1:11" x14ac:dyDescent="0.35">
      <c r="A17550" s="9" t="str">
        <f>HYPERLINK("http://www.ensembl.org/id/WBGene00021544", "WBGene00021544")</f>
        <v>WBGene00021544</v>
      </c>
      <c r="B17550" s="9" t="str">
        <f>HYPERLINK("http://www.ncbi.nlm.nih.gov/gene/177480", "177480")</f>
        <v>177480</v>
      </c>
      <c r="C17550" s="9"/>
      <c r="D17550" t="str">
        <f>"Y43B11AR.3"</f>
        <v>Y43B11AR.3</v>
      </c>
      <c r="F17550" t="s">
        <v>11</v>
      </c>
      <c r="G17550" t="s">
        <v>2253</v>
      </c>
      <c r="H17550" s="12">
        <v>-1.2671711734878801</v>
      </c>
      <c r="I17550" s="20">
        <v>-0.74895339302720498</v>
      </c>
      <c r="J17550" s="28">
        <v>0.453885297172191</v>
      </c>
      <c r="K17550" s="29">
        <v>0.98289565623980701</v>
      </c>
    </row>
    <row r="17551" spans="1:11" x14ac:dyDescent="0.35">
      <c r="A17551" s="9" t="str">
        <f>HYPERLINK("http://www.ensembl.org/id/WBGene00045086", "WBGene00045086")</f>
        <v>WBGene00045086</v>
      </c>
      <c r="B17551" s="9"/>
      <c r="C17551" s="9"/>
      <c r="D17551" t="str">
        <f>"Y43B11AR.7"</f>
        <v>Y43B11AR.7</v>
      </c>
      <c r="F17551" t="s">
        <v>2977</v>
      </c>
      <c r="H17551" s="12">
        <v>2.3893468495514898</v>
      </c>
      <c r="I17551" s="20">
        <v>0.25323547253672701</v>
      </c>
      <c r="J17551" s="28">
        <v>0.80008625651646104</v>
      </c>
      <c r="K17551" s="29">
        <v>0.98289565623980701</v>
      </c>
    </row>
    <row r="17552" spans="1:11" x14ac:dyDescent="0.35">
      <c r="A17552" s="9" t="str">
        <f>HYPERLINK("http://www.ensembl.org/id/WBGene00012784", "WBGene00012784")</f>
        <v>WBGene00012784</v>
      </c>
      <c r="B17552" s="9" t="str">
        <f>HYPERLINK("http://www.ncbi.nlm.nih.gov/gene/177912", "177912")</f>
        <v>177912</v>
      </c>
      <c r="C17552" s="9"/>
      <c r="D17552" t="str">
        <f>"Y43C5A.4"</f>
        <v>Y43C5A.4</v>
      </c>
      <c r="F17552" t="s">
        <v>11</v>
      </c>
      <c r="G17552" t="s">
        <v>25</v>
      </c>
      <c r="H17552" s="12">
        <v>1.78108224387784</v>
      </c>
      <c r="I17552" s="20">
        <v>0.38815991575115799</v>
      </c>
      <c r="J17552" s="28">
        <v>0.69789769467959994</v>
      </c>
      <c r="K17552" s="29">
        <v>0.98289565623980701</v>
      </c>
    </row>
    <row r="17553" spans="1:11" x14ac:dyDescent="0.35">
      <c r="A17553" s="9" t="str">
        <f>HYPERLINK("http://www.ensembl.org/id/WBGene00012785", "WBGene00012785")</f>
        <v>WBGene00012785</v>
      </c>
      <c r="B17553" s="9" t="str">
        <f>HYPERLINK("http://www.ncbi.nlm.nih.gov/gene/189849", "189849")</f>
        <v>189849</v>
      </c>
      <c r="C17553" s="9"/>
      <c r="D17553" t="str">
        <f>"Y43C5B.2"</f>
        <v>Y43C5B.2</v>
      </c>
      <c r="E17553" t="s">
        <v>2588</v>
      </c>
      <c r="F17553" t="s">
        <v>11</v>
      </c>
      <c r="G17553" t="s">
        <v>2589</v>
      </c>
      <c r="H17553" s="12">
        <v>-2.4295389261469</v>
      </c>
      <c r="I17553" s="20">
        <v>-0.25808529976640998</v>
      </c>
      <c r="J17553" s="28">
        <v>0.79634107645457397</v>
      </c>
      <c r="K17553" s="29">
        <v>0.98289565623980701</v>
      </c>
    </row>
    <row r="17554" spans="1:11" x14ac:dyDescent="0.35">
      <c r="A17554" s="9" t="str">
        <f>HYPERLINK("http://www.ensembl.org/id/WBGene00012786", "WBGene00012786")</f>
        <v>WBGene00012786</v>
      </c>
      <c r="B17554" s="9" t="str">
        <f>HYPERLINK("http://www.ncbi.nlm.nih.gov/gene/177922", "177922")</f>
        <v>177922</v>
      </c>
      <c r="C17554" s="9" t="str">
        <f>HYPERLINK("http://www.ncbi.nlm.nih.gov/gene/9673", "9673")</f>
        <v>9673</v>
      </c>
      <c r="D17554" t="str">
        <f>"Y43C5B.3"</f>
        <v>Y43C5B.3</v>
      </c>
      <c r="F17554" t="s">
        <v>11</v>
      </c>
      <c r="G17554" t="s">
        <v>8437</v>
      </c>
      <c r="H17554" s="12">
        <v>-1.2436951508091101</v>
      </c>
      <c r="I17554" s="20">
        <v>-0.32027558484535901</v>
      </c>
      <c r="J17554" s="28">
        <v>0.74875942962945596</v>
      </c>
      <c r="K17554" s="29">
        <v>0.98289565623980701</v>
      </c>
    </row>
    <row r="17555" spans="1:11" x14ac:dyDescent="0.35">
      <c r="A17555" s="9" t="str">
        <f>HYPERLINK("http://www.ensembl.org/id/WBGene00198812", "WBGene00198812")</f>
        <v>WBGene00198812</v>
      </c>
      <c r="B17555" s="9"/>
      <c r="C17555" s="9"/>
      <c r="D17555" t="str">
        <f>"Y43D4A.162"</f>
        <v>Y43D4A.162</v>
      </c>
      <c r="F17555" t="s">
        <v>481</v>
      </c>
      <c r="H17555" s="12">
        <v>-2.4991590031922399</v>
      </c>
      <c r="I17555" s="20">
        <v>-0.26577412737581302</v>
      </c>
      <c r="J17555" s="28">
        <v>0.79041317015736101</v>
      </c>
      <c r="K17555" s="29">
        <v>0.98289565623980701</v>
      </c>
    </row>
    <row r="17556" spans="1:11" x14ac:dyDescent="0.35">
      <c r="A17556" s="9" t="str">
        <f>HYPERLINK("http://www.ensembl.org/id/WBGene00012788", "WBGene00012788")</f>
        <v>WBGene00012788</v>
      </c>
      <c r="B17556" s="9" t="str">
        <f>HYPERLINK("http://www.ncbi.nlm.nih.gov/gene/189851", "189851")</f>
        <v>189851</v>
      </c>
      <c r="C17556" s="9"/>
      <c r="D17556" t="str">
        <f>"Y43D4A.2"</f>
        <v>Y43D4A.2</v>
      </c>
      <c r="F17556" t="s">
        <v>11</v>
      </c>
      <c r="G17556" t="s">
        <v>9162</v>
      </c>
      <c r="H17556" s="12">
        <v>-1.22542959260503</v>
      </c>
      <c r="I17556" s="20">
        <v>-0.76034615672901096</v>
      </c>
      <c r="J17556" s="28">
        <v>0.44704769870548899</v>
      </c>
      <c r="K17556" s="29">
        <v>0.98289565623980701</v>
      </c>
    </row>
    <row r="17557" spans="1:11" x14ac:dyDescent="0.35">
      <c r="A17557" s="9" t="str">
        <f>HYPERLINK("http://www.ensembl.org/id/WBGene00012789", "WBGene00012789")</f>
        <v>WBGene00012789</v>
      </c>
      <c r="B17557" s="9" t="str">
        <f>HYPERLINK("http://www.ncbi.nlm.nih.gov/gene/189852", "189852")</f>
        <v>189852</v>
      </c>
      <c r="C17557" s="9"/>
      <c r="D17557" t="str">
        <f>"Y43D4A.3"</f>
        <v>Y43D4A.3</v>
      </c>
      <c r="F17557" t="s">
        <v>11</v>
      </c>
      <c r="G17557" t="s">
        <v>25</v>
      </c>
      <c r="H17557" s="12">
        <v>-2.4295389261469</v>
      </c>
      <c r="I17557" s="20">
        <v>-0.25808529976640998</v>
      </c>
      <c r="J17557" s="28">
        <v>0.79634107645457397</v>
      </c>
      <c r="K17557" s="29">
        <v>0.98289565623980701</v>
      </c>
    </row>
    <row r="17558" spans="1:11" x14ac:dyDescent="0.35">
      <c r="A17558" s="9" t="str">
        <f>HYPERLINK("http://www.ensembl.org/id/WBGene00012790", "WBGene00012790")</f>
        <v>WBGene00012790</v>
      </c>
      <c r="B17558" s="9" t="str">
        <f>HYPERLINK("http://www.ncbi.nlm.nih.gov/gene/189853", "189853")</f>
        <v>189853</v>
      </c>
      <c r="C17558" s="9"/>
      <c r="D17558" t="str">
        <f>"Y43D4A.4"</f>
        <v>Y43D4A.4</v>
      </c>
      <c r="F17558" t="s">
        <v>11</v>
      </c>
      <c r="G17558" t="s">
        <v>230</v>
      </c>
      <c r="H17558" s="12">
        <v>2.3893468495514898</v>
      </c>
      <c r="I17558" s="20">
        <v>0.25323547253672701</v>
      </c>
      <c r="J17558" s="28">
        <v>0.80008625651646104</v>
      </c>
      <c r="K17558" s="29">
        <v>0.98289565623980701</v>
      </c>
    </row>
    <row r="17559" spans="1:11" x14ac:dyDescent="0.35">
      <c r="A17559" s="9" t="str">
        <f>HYPERLINK("http://www.ensembl.org/id/WBGene00012791", "WBGene00012791")</f>
        <v>WBGene00012791</v>
      </c>
      <c r="B17559" s="9" t="str">
        <f>HYPERLINK("http://www.ncbi.nlm.nih.gov/gene/189854", "189854")</f>
        <v>189854</v>
      </c>
      <c r="C17559" s="9"/>
      <c r="D17559" t="str">
        <f>"Y43D4A.5"</f>
        <v>Y43D4A.5</v>
      </c>
      <c r="F17559" t="s">
        <v>11</v>
      </c>
      <c r="H17559" s="12">
        <v>2.0131523706431702</v>
      </c>
      <c r="I17559" s="20">
        <v>1.00877507295501</v>
      </c>
      <c r="J17559" s="28">
        <v>0.31308251830978101</v>
      </c>
      <c r="K17559" s="29">
        <v>0.98289565623980701</v>
      </c>
    </row>
    <row r="17560" spans="1:11" x14ac:dyDescent="0.35">
      <c r="A17560" s="9" t="str">
        <f>HYPERLINK("http://www.ensembl.org/id/WBGene00012793", "WBGene00012793")</f>
        <v>WBGene00012793</v>
      </c>
      <c r="B17560" s="9"/>
      <c r="C17560" s="9"/>
      <c r="D17560" t="str">
        <f>"Y43D4A.7"</f>
        <v>Y43D4A.7</v>
      </c>
      <c r="F17560" t="s">
        <v>80</v>
      </c>
      <c r="H17560" s="12">
        <v>-2.11097876868343</v>
      </c>
      <c r="I17560" s="20">
        <v>-0.49797110635353098</v>
      </c>
      <c r="J17560" s="28">
        <v>0.618504407547943</v>
      </c>
      <c r="K17560" s="29">
        <v>0.98289565623980701</v>
      </c>
    </row>
    <row r="17561" spans="1:11" x14ac:dyDescent="0.35">
      <c r="A17561" s="9" t="str">
        <f>HYPERLINK("http://www.ensembl.org/id/WBGene00196904", "WBGene00196904")</f>
        <v>WBGene00196904</v>
      </c>
      <c r="B17561" s="9"/>
      <c r="C17561" s="9"/>
      <c r="D17561" t="str">
        <f>"Y43E12A.4"</f>
        <v>Y43E12A.4</v>
      </c>
      <c r="F17561" t="s">
        <v>481</v>
      </c>
      <c r="H17561" s="12">
        <v>-1.87918249998498</v>
      </c>
      <c r="I17561" s="20">
        <v>-0.42530170607385098</v>
      </c>
      <c r="J17561" s="28">
        <v>0.67061675002201004</v>
      </c>
      <c r="K17561" s="29">
        <v>0.98289565623980701</v>
      </c>
    </row>
    <row r="17562" spans="1:11" x14ac:dyDescent="0.35">
      <c r="A17562" s="9" t="str">
        <f>HYPERLINK("http://www.ensembl.org/id/WBGene00198864", "WBGene00198864")</f>
        <v>WBGene00198864</v>
      </c>
      <c r="B17562" s="9"/>
      <c r="C17562" s="9"/>
      <c r="D17562" t="str">
        <f>"Y43E12A.6"</f>
        <v>Y43E12A.6</v>
      </c>
      <c r="F17562" t="s">
        <v>481</v>
      </c>
      <c r="H17562" s="12">
        <v>2.9371567707092101</v>
      </c>
      <c r="I17562" s="20">
        <v>0.74151853748181995</v>
      </c>
      <c r="J17562" s="28">
        <v>0.45837909619736</v>
      </c>
      <c r="K17562" s="29">
        <v>0.98289565623980701</v>
      </c>
    </row>
    <row r="17563" spans="1:11" x14ac:dyDescent="0.35">
      <c r="A17563" s="9" t="str">
        <f>HYPERLINK("http://www.ensembl.org/id/WBGene00199867", "WBGene00199867")</f>
        <v>WBGene00199867</v>
      </c>
      <c r="B17563" s="9"/>
      <c r="C17563" s="9"/>
      <c r="D17563" t="str">
        <f>"Y43E12A.7"</f>
        <v>Y43E12A.7</v>
      </c>
      <c r="F17563" t="s">
        <v>481</v>
      </c>
      <c r="H17563" s="12">
        <v>-2.4295389261469</v>
      </c>
      <c r="I17563" s="20">
        <v>-0.25808529976640998</v>
      </c>
      <c r="J17563" s="28">
        <v>0.79634107645457397</v>
      </c>
      <c r="K17563" s="29">
        <v>0.98289565623980701</v>
      </c>
    </row>
    <row r="17564" spans="1:11" x14ac:dyDescent="0.35">
      <c r="A17564" s="9" t="str">
        <f>HYPERLINK("http://www.ensembl.org/id/WBGene00012799", "WBGene00012799")</f>
        <v>WBGene00012799</v>
      </c>
      <c r="B17564" s="9" t="str">
        <f>HYPERLINK("http://www.ncbi.nlm.nih.gov/gene/189861", "189861")</f>
        <v>189861</v>
      </c>
      <c r="C17564" s="9"/>
      <c r="D17564" t="str">
        <f>"Y43F4A.4"</f>
        <v>Y43F4A.4</v>
      </c>
      <c r="E17564" t="s">
        <v>4351</v>
      </c>
      <c r="F17564" t="s">
        <v>11</v>
      </c>
      <c r="G17564" t="s">
        <v>4352</v>
      </c>
      <c r="H17564" s="12">
        <v>2.78439855825608</v>
      </c>
      <c r="I17564" s="20">
        <v>0.36883734123397499</v>
      </c>
      <c r="J17564" s="28">
        <v>0.71224896970152196</v>
      </c>
      <c r="K17564" s="29">
        <v>0.98289565623980701</v>
      </c>
    </row>
    <row r="17565" spans="1:11" x14ac:dyDescent="0.35">
      <c r="A17565" s="9" t="str">
        <f>HYPERLINK("http://www.ensembl.org/id/WBGene00012807", "WBGene00012807")</f>
        <v>WBGene00012807</v>
      </c>
      <c r="B17565" s="9" t="str">
        <f>HYPERLINK("http://www.ncbi.nlm.nih.gov/gene/176752", "176752")</f>
        <v>176752</v>
      </c>
      <c r="C17565" s="9"/>
      <c r="D17565" t="str">
        <f>"Y43F4B.10"</f>
        <v>Y43F4B.10</v>
      </c>
      <c r="F17565" t="s">
        <v>11</v>
      </c>
      <c r="H17565" s="12">
        <v>-1.08905419974956</v>
      </c>
      <c r="I17565" s="20">
        <v>-0.378224796051297</v>
      </c>
      <c r="J17565" s="28">
        <v>0.70526360668506305</v>
      </c>
      <c r="K17565" s="29">
        <v>0.98289565623980701</v>
      </c>
    </row>
    <row r="17566" spans="1:11" x14ac:dyDescent="0.35">
      <c r="A17566" s="9" t="str">
        <f>HYPERLINK("http://www.ensembl.org/id/WBGene00012803", "WBGene00012803")</f>
        <v>WBGene00012803</v>
      </c>
      <c r="B17566" s="9" t="str">
        <f>HYPERLINK("http://www.ncbi.nlm.nih.gov/gene/176749", "176749")</f>
        <v>176749</v>
      </c>
      <c r="C17566" s="9" t="str">
        <f>HYPERLINK("http://www.ncbi.nlm.nih.gov/gene/55276", "55276")</f>
        <v>55276</v>
      </c>
      <c r="D17566" t="str">
        <f>"Y43F4B.5"</f>
        <v>Y43F4B.5</v>
      </c>
      <c r="F17566" t="s">
        <v>11</v>
      </c>
      <c r="G17566" t="s">
        <v>7753</v>
      </c>
      <c r="H17566" s="12">
        <v>-1.1425592169210601</v>
      </c>
      <c r="I17566" s="20">
        <v>-0.72522215799442302</v>
      </c>
      <c r="J17566" s="28">
        <v>0.46831575140244902</v>
      </c>
      <c r="K17566" s="29">
        <v>0.98289565623980701</v>
      </c>
    </row>
    <row r="17567" spans="1:11" x14ac:dyDescent="0.35">
      <c r="A17567" s="9" t="str">
        <f>HYPERLINK("http://www.ensembl.org/id/WBGene00012806", "WBGene00012806")</f>
        <v>WBGene00012806</v>
      </c>
      <c r="B17567" s="9" t="str">
        <f>HYPERLINK("http://www.ncbi.nlm.nih.gov/gene/176753", "176753")</f>
        <v>176753</v>
      </c>
      <c r="C17567" s="9"/>
      <c r="D17567" t="str">
        <f>"Y43F4B.9"</f>
        <v>Y43F4B.9</v>
      </c>
      <c r="F17567" t="s">
        <v>11</v>
      </c>
      <c r="G17567" t="s">
        <v>9695</v>
      </c>
      <c r="H17567" s="12">
        <v>-1.28263156207108</v>
      </c>
      <c r="I17567" s="20">
        <v>-0.99346697889000202</v>
      </c>
      <c r="J17567" s="28">
        <v>0.32048243489072498</v>
      </c>
      <c r="K17567" s="29">
        <v>0.98289565623980701</v>
      </c>
    </row>
    <row r="17568" spans="1:11" x14ac:dyDescent="0.35">
      <c r="A17568" s="9" t="str">
        <f>HYPERLINK("http://www.ensembl.org/id/WBGene00012811", "WBGene00012811")</f>
        <v>WBGene00012811</v>
      </c>
      <c r="B17568" s="9" t="str">
        <f>HYPERLINK("http://www.ncbi.nlm.nih.gov/gene/180270", "180270")</f>
        <v>180270</v>
      </c>
      <c r="C17568" s="9" t="str">
        <f>HYPERLINK("http://www.ncbi.nlm.nih.gov/gene/113235", "113235")</f>
        <v>113235</v>
      </c>
      <c r="D17568" t="str">
        <f>"Y43F8A.5"</f>
        <v>Y43F8A.5</v>
      </c>
      <c r="F17568" t="s">
        <v>11</v>
      </c>
      <c r="G17568" t="s">
        <v>25</v>
      </c>
      <c r="H17568" s="12">
        <v>1.1088544238456799</v>
      </c>
      <c r="I17568" s="20">
        <v>0.30413077787245602</v>
      </c>
      <c r="J17568" s="28">
        <v>0.76102825939372998</v>
      </c>
      <c r="K17568" s="29">
        <v>0.98289565623980701</v>
      </c>
    </row>
    <row r="17569" spans="1:11" x14ac:dyDescent="0.35">
      <c r="A17569" s="9" t="str">
        <f>HYPERLINK("http://www.ensembl.org/id/WBGene00012821", "WBGene00012821")</f>
        <v>WBGene00012821</v>
      </c>
      <c r="B17569" s="9" t="str">
        <f>HYPERLINK("http://www.ncbi.nlm.nih.gov/gene/189874", "189874")</f>
        <v>189874</v>
      </c>
      <c r="C17569" s="9"/>
      <c r="D17569" t="str">
        <f>"Y43F8B.11"</f>
        <v>Y43F8B.11</v>
      </c>
      <c r="F17569" t="s">
        <v>11</v>
      </c>
      <c r="H17569" s="12">
        <v>1.3573999711793201</v>
      </c>
      <c r="I17569" s="20">
        <v>0.91612876913057995</v>
      </c>
      <c r="J17569" s="28">
        <v>0.35959936012180899</v>
      </c>
      <c r="K17569" s="29">
        <v>0.98289565623980701</v>
      </c>
    </row>
    <row r="17570" spans="1:11" x14ac:dyDescent="0.35">
      <c r="A17570" s="9" t="str">
        <f>HYPERLINK("http://www.ensembl.org/id/WBGene00012823", "WBGene00012823")</f>
        <v>WBGene00012823</v>
      </c>
      <c r="B17570" s="9" t="str">
        <f>HYPERLINK("http://www.ncbi.nlm.nih.gov/gene/180275", "180275")</f>
        <v>180275</v>
      </c>
      <c r="C17570" s="9"/>
      <c r="D17570" t="str">
        <f>"Y43F8B.13"</f>
        <v>Y43F8B.13</v>
      </c>
      <c r="F17570" t="s">
        <v>11</v>
      </c>
      <c r="H17570" s="12">
        <v>-1.6231510728282299</v>
      </c>
      <c r="I17570" s="20">
        <v>-0.90760817663475302</v>
      </c>
      <c r="J17570" s="28">
        <v>0.36408527276148001</v>
      </c>
      <c r="K17570" s="29">
        <v>0.98289565623980701</v>
      </c>
    </row>
    <row r="17571" spans="1:11" x14ac:dyDescent="0.35">
      <c r="A17571" s="9" t="str">
        <f>HYPERLINK("http://www.ensembl.org/id/WBGene00045415", "WBGene00045415")</f>
        <v>WBGene00045415</v>
      </c>
      <c r="B17571" s="9" t="str">
        <f>HYPERLINK("http://www.ncbi.nlm.nih.gov/gene/6418800", "6418800")</f>
        <v>6418800</v>
      </c>
      <c r="C17571" s="9"/>
      <c r="D17571" t="str">
        <f>"Y43F8B.15"</f>
        <v>Y43F8B.15</v>
      </c>
      <c r="F17571" t="s">
        <v>11</v>
      </c>
      <c r="H17571" s="12">
        <v>-1.7198919300937201</v>
      </c>
      <c r="I17571" s="20">
        <v>-0.43334607407820402</v>
      </c>
      <c r="J17571" s="28">
        <v>0.66476337064050295</v>
      </c>
      <c r="K17571" s="29">
        <v>0.98289565623980701</v>
      </c>
    </row>
    <row r="17572" spans="1:11" x14ac:dyDescent="0.35">
      <c r="A17572" s="9" t="str">
        <f>HYPERLINK("http://www.ensembl.org/id/WBGene00050910", "WBGene00050910")</f>
        <v>WBGene00050910</v>
      </c>
      <c r="B17572" s="9" t="str">
        <f>HYPERLINK("http://www.ncbi.nlm.nih.gov/gene/13218546", "13218546")</f>
        <v>13218546</v>
      </c>
      <c r="C17572" s="9"/>
      <c r="D17572" t="str">
        <f>"Y43F8B.17"</f>
        <v>Y43F8B.17</v>
      </c>
      <c r="F17572" t="s">
        <v>11</v>
      </c>
      <c r="H17572" s="12">
        <v>3.5227018545059199</v>
      </c>
      <c r="I17572" s="20">
        <v>0.36849691206929103</v>
      </c>
      <c r="J17572" s="28">
        <v>0.71250274722433404</v>
      </c>
      <c r="K17572" s="29">
        <v>0.98289565623980701</v>
      </c>
    </row>
    <row r="17573" spans="1:11" x14ac:dyDescent="0.35">
      <c r="A17573" s="9" t="str">
        <f>HYPERLINK("http://www.ensembl.org/id/WBGene00050911", "WBGene00050911")</f>
        <v>WBGene00050911</v>
      </c>
      <c r="B17573" s="9" t="str">
        <f>HYPERLINK("http://www.ncbi.nlm.nih.gov/gene/6418802", "6418802")</f>
        <v>6418802</v>
      </c>
      <c r="C17573" s="9"/>
      <c r="D17573" t="str">
        <f>"Y43F8B.18"</f>
        <v>Y43F8B.18</v>
      </c>
      <c r="F17573" t="s">
        <v>11</v>
      </c>
      <c r="H17573" s="12">
        <v>5.4732737801773901</v>
      </c>
      <c r="I17573" s="20">
        <v>1.1466983926558101</v>
      </c>
      <c r="J17573" s="28">
        <v>0.25150629501742999</v>
      </c>
      <c r="K17573" s="29">
        <v>0.98289565623980701</v>
      </c>
    </row>
    <row r="17574" spans="1:11" x14ac:dyDescent="0.35">
      <c r="A17574" s="9" t="str">
        <f>HYPERLINK("http://www.ensembl.org/id/WBGene00077688", "WBGene00077688")</f>
        <v>WBGene00077688</v>
      </c>
      <c r="B17574" s="9" t="str">
        <f>HYPERLINK("http://www.ncbi.nlm.nih.gov/gene/6418801", "6418801")</f>
        <v>6418801</v>
      </c>
      <c r="C17574" s="9"/>
      <c r="D17574" t="str">
        <f>"Y43F8B.19"</f>
        <v>Y43F8B.19</v>
      </c>
      <c r="F17574" t="s">
        <v>11</v>
      </c>
      <c r="G17574" t="s">
        <v>2536</v>
      </c>
      <c r="H17574" s="12">
        <v>2.4578120077400301</v>
      </c>
      <c r="I17574" s="20">
        <v>0.26093350314551</v>
      </c>
      <c r="J17574" s="28">
        <v>0.79414378780213601</v>
      </c>
      <c r="K17574" s="29">
        <v>0.98289565623980701</v>
      </c>
    </row>
    <row r="17575" spans="1:11" x14ac:dyDescent="0.35">
      <c r="A17575" s="9" t="str">
        <f>HYPERLINK("http://www.ensembl.org/id/WBGene00086559", "WBGene00086559")</f>
        <v>WBGene00086559</v>
      </c>
      <c r="B17575" s="9" t="str">
        <f>HYPERLINK("http://www.ncbi.nlm.nih.gov/gene/7040193", "7040193")</f>
        <v>7040193</v>
      </c>
      <c r="C17575" s="9"/>
      <c r="D17575" t="str">
        <f>"Y43F8B.20"</f>
        <v>Y43F8B.20</v>
      </c>
      <c r="F17575" t="s">
        <v>11</v>
      </c>
      <c r="G17575" t="s">
        <v>25</v>
      </c>
      <c r="H17575" s="12">
        <v>1.8732046903172901</v>
      </c>
      <c r="I17575" s="20">
        <v>1.0408547761250799</v>
      </c>
      <c r="J17575" s="28">
        <v>0.29794295330587001</v>
      </c>
      <c r="K17575" s="29">
        <v>0.98289565623980701</v>
      </c>
    </row>
    <row r="17576" spans="1:11" x14ac:dyDescent="0.35">
      <c r="A17576" s="9" t="str">
        <f>HYPERLINK("http://www.ensembl.org/id/WBGene00194676", "WBGene00194676")</f>
        <v>WBGene00194676</v>
      </c>
      <c r="B17576" s="9"/>
      <c r="C17576" s="9"/>
      <c r="D17576" t="str">
        <f>"Y43F8B.21"</f>
        <v>Y43F8B.21</v>
      </c>
      <c r="F17576" t="s">
        <v>80</v>
      </c>
      <c r="H17576" s="12">
        <v>2.0399072921430101</v>
      </c>
      <c r="I17576" s="20">
        <v>0.36714324868695603</v>
      </c>
      <c r="J17576" s="28">
        <v>0.71351216863840705</v>
      </c>
      <c r="K17576" s="29">
        <v>0.98289565623980701</v>
      </c>
    </row>
    <row r="17577" spans="1:11" x14ac:dyDescent="0.35">
      <c r="A17577" s="9" t="str">
        <f>HYPERLINK("http://www.ensembl.org/id/WBGene00200892", "WBGene00200892")</f>
        <v>WBGene00200892</v>
      </c>
      <c r="B17577" s="9"/>
      <c r="C17577" s="9"/>
      <c r="D17577" t="str">
        <f>"Y43F8B.26"</f>
        <v>Y43F8B.26</v>
      </c>
      <c r="F17577" t="s">
        <v>481</v>
      </c>
      <c r="H17577" s="12">
        <v>3.5227018545059199</v>
      </c>
      <c r="I17577" s="20">
        <v>0.36849691206929103</v>
      </c>
      <c r="J17577" s="28">
        <v>0.71250274722433404</v>
      </c>
      <c r="K17577" s="29">
        <v>0.98289565623980701</v>
      </c>
    </row>
    <row r="17578" spans="1:11" x14ac:dyDescent="0.35">
      <c r="A17578" s="9" t="str">
        <f>HYPERLINK("http://www.ensembl.org/id/WBGene00219302", "WBGene00219302")</f>
        <v>WBGene00219302</v>
      </c>
      <c r="B17578" s="9" t="str">
        <f>HYPERLINK("http://www.ncbi.nlm.nih.gov/gene/13218547", "13218547")</f>
        <v>13218547</v>
      </c>
      <c r="C17578" s="9"/>
      <c r="D17578" t="str">
        <f>"Y43F8B.28"</f>
        <v>Y43F8B.28</v>
      </c>
      <c r="F17578" t="s">
        <v>11</v>
      </c>
      <c r="H17578" s="12">
        <v>4.4368407117627902</v>
      </c>
      <c r="I17578" s="20">
        <v>0.43709475933309699</v>
      </c>
      <c r="J17578" s="28">
        <v>0.66204262779770495</v>
      </c>
      <c r="K17578" s="29">
        <v>0.98289565623980701</v>
      </c>
    </row>
    <row r="17579" spans="1:11" x14ac:dyDescent="0.35">
      <c r="A17579" s="9" t="str">
        <f>HYPERLINK("http://www.ensembl.org/id/WBGene00012818", "WBGene00012818")</f>
        <v>WBGene00012818</v>
      </c>
      <c r="B17579" s="9" t="str">
        <f>HYPERLINK("http://www.ncbi.nlm.nih.gov/gene/189872", "189872")</f>
        <v>189872</v>
      </c>
      <c r="C17579" s="9"/>
      <c r="D17579" t="str">
        <f>"Y43F8B.7"</f>
        <v>Y43F8B.7</v>
      </c>
      <c r="F17579" t="s">
        <v>11</v>
      </c>
      <c r="H17579" s="12">
        <v>4.2410968410785603</v>
      </c>
      <c r="I17579" s="20">
        <v>0.94134356194201496</v>
      </c>
      <c r="J17579" s="28">
        <v>0.34652882575353</v>
      </c>
      <c r="K17579" s="29">
        <v>0.98289565623980701</v>
      </c>
    </row>
    <row r="17580" spans="1:11" x14ac:dyDescent="0.35">
      <c r="A17580" s="9" t="str">
        <f>HYPERLINK("http://www.ensembl.org/id/WBGene00012834", "WBGene00012834")</f>
        <v>WBGene00012834</v>
      </c>
      <c r="B17580" s="9" t="str">
        <f>HYPERLINK("http://www.ncbi.nlm.nih.gov/gene/180290", "180290")</f>
        <v>180290</v>
      </c>
      <c r="C17580" s="9"/>
      <c r="D17580" t="str">
        <f>"Y43F8C.13"</f>
        <v>Y43F8C.13</v>
      </c>
      <c r="F17580" t="s">
        <v>11</v>
      </c>
      <c r="G17580" t="s">
        <v>51</v>
      </c>
      <c r="H17580" s="12">
        <v>-1.06390749127989</v>
      </c>
      <c r="I17580" s="20">
        <v>-0.30128907364610502</v>
      </c>
      <c r="J17580" s="28">
        <v>0.76319407203300105</v>
      </c>
      <c r="K17580" s="29">
        <v>0.98289565623980701</v>
      </c>
    </row>
    <row r="17581" spans="1:11" x14ac:dyDescent="0.35">
      <c r="A17581" s="9" t="str">
        <f>HYPERLINK("http://www.ensembl.org/id/WBGene00012838", "WBGene00012838")</f>
        <v>WBGene00012838</v>
      </c>
      <c r="B17581" s="9" t="str">
        <f>HYPERLINK("http://www.ncbi.nlm.nih.gov/gene/189880", "189880")</f>
        <v>189880</v>
      </c>
      <c r="C17581" s="9"/>
      <c r="D17581" t="str">
        <f>"Y43F8C.17"</f>
        <v>Y43F8C.17</v>
      </c>
      <c r="F17581" t="s">
        <v>11</v>
      </c>
      <c r="H17581" s="12">
        <v>1.35102548815405</v>
      </c>
      <c r="I17581" s="20">
        <v>0.34419253000646899</v>
      </c>
      <c r="J17581" s="28">
        <v>0.73070149969281095</v>
      </c>
      <c r="K17581" s="29">
        <v>0.98289565623980701</v>
      </c>
    </row>
    <row r="17582" spans="1:11" x14ac:dyDescent="0.35">
      <c r="A17582" s="9" t="str">
        <f>HYPERLINK("http://www.ensembl.org/id/WBGene00045345", "WBGene00045345")</f>
        <v>WBGene00045345</v>
      </c>
      <c r="B17582" s="9"/>
      <c r="C17582" s="9"/>
      <c r="D17582" t="str">
        <f>"Y43F8C.24"</f>
        <v>Y43F8C.24</v>
      </c>
      <c r="F17582" t="s">
        <v>80</v>
      </c>
      <c r="H17582" s="12">
        <v>1.9442861038722099</v>
      </c>
      <c r="I17582" s="20">
        <v>0.27284854388649998</v>
      </c>
      <c r="J17582" s="28">
        <v>0.78496964213771203</v>
      </c>
      <c r="K17582" s="29">
        <v>0.98289565623980701</v>
      </c>
    </row>
    <row r="17583" spans="1:11" x14ac:dyDescent="0.35">
      <c r="A17583" s="9" t="str">
        <f>HYPERLINK("http://www.ensembl.org/id/WBGene00012827", "WBGene00012827")</f>
        <v>WBGene00012827</v>
      </c>
      <c r="B17583" s="9" t="str">
        <f>HYPERLINK("http://www.ncbi.nlm.nih.gov/gene/180284", "180284")</f>
        <v>180284</v>
      </c>
      <c r="C17583" s="9"/>
      <c r="D17583" t="str">
        <f>"Y43F8C.5"</f>
        <v>Y43F8C.5</v>
      </c>
      <c r="F17583" t="s">
        <v>11</v>
      </c>
      <c r="H17583" s="12">
        <v>2.67906634077629</v>
      </c>
      <c r="I17583" s="20">
        <v>0.76596068733769496</v>
      </c>
      <c r="J17583" s="28">
        <v>0.44369969414488097</v>
      </c>
      <c r="K17583" s="29">
        <v>0.98289565623980701</v>
      </c>
    </row>
    <row r="17584" spans="1:11" x14ac:dyDescent="0.35">
      <c r="A17584" s="9" t="str">
        <f>HYPERLINK("http://www.ensembl.org/id/WBGene00012828", "WBGene00012828")</f>
        <v>WBGene00012828</v>
      </c>
      <c r="B17584" s="9" t="str">
        <f>HYPERLINK("http://www.ncbi.nlm.nih.gov/gene/180285", "180285")</f>
        <v>180285</v>
      </c>
      <c r="C17584" s="9"/>
      <c r="D17584" t="str">
        <f>"Y43F8C.6"</f>
        <v>Y43F8C.6</v>
      </c>
      <c r="F17584" t="s">
        <v>11</v>
      </c>
      <c r="G17584" t="s">
        <v>9627</v>
      </c>
      <c r="H17584" s="12">
        <v>-1.26854777249177</v>
      </c>
      <c r="I17584" s="20">
        <v>-0.85208190557776597</v>
      </c>
      <c r="J17584" s="28">
        <v>0.39416863405332597</v>
      </c>
      <c r="K17584" s="29">
        <v>0.98289565623980701</v>
      </c>
    </row>
    <row r="17585" spans="1:11" x14ac:dyDescent="0.35">
      <c r="A17585" s="9" t="str">
        <f>HYPERLINK("http://www.ensembl.org/id/WBGene00012829", "WBGene00012829")</f>
        <v>WBGene00012829</v>
      </c>
      <c r="B17585" s="9" t="str">
        <f>HYPERLINK("http://www.ncbi.nlm.nih.gov/gene/180286", "180286")</f>
        <v>180286</v>
      </c>
      <c r="C17585" s="9"/>
      <c r="D17585" t="str">
        <f>"Y43F8C.7"</f>
        <v>Y43F8C.7</v>
      </c>
      <c r="F17585" t="s">
        <v>11</v>
      </c>
      <c r="G17585" t="s">
        <v>6350</v>
      </c>
      <c r="H17585" s="12">
        <v>-1.0641484058462001</v>
      </c>
      <c r="I17585" s="20">
        <v>-0.317457161923072</v>
      </c>
      <c r="J17585" s="28">
        <v>0.75089673945868196</v>
      </c>
      <c r="K17585" s="29">
        <v>0.98289565623980701</v>
      </c>
    </row>
    <row r="17586" spans="1:11" x14ac:dyDescent="0.35">
      <c r="A17586" s="9" t="str">
        <f>HYPERLINK("http://www.ensembl.org/id/WBGene00012831", "WBGene00012831")</f>
        <v>WBGene00012831</v>
      </c>
      <c r="B17586" s="9" t="str">
        <f>HYPERLINK("http://www.ncbi.nlm.nih.gov/gene/180288", "180288")</f>
        <v>180288</v>
      </c>
      <c r="C17586" s="9"/>
      <c r="D17586" t="str">
        <f>"Y43F8C.9"</f>
        <v>Y43F8C.9</v>
      </c>
      <c r="F17586" t="s">
        <v>11</v>
      </c>
      <c r="H17586" s="12">
        <v>-1.3149223966880601</v>
      </c>
      <c r="I17586" s="20">
        <v>-0.337057785014166</v>
      </c>
      <c r="J17586" s="28">
        <v>0.73607333990342405</v>
      </c>
      <c r="K17586" s="29">
        <v>0.98289565623980701</v>
      </c>
    </row>
    <row r="17587" spans="1:11" x14ac:dyDescent="0.35">
      <c r="A17587" s="9" t="str">
        <f>HYPERLINK("http://www.ensembl.org/id/WBGene00014889", "WBGene00014889")</f>
        <v>WBGene00014889</v>
      </c>
      <c r="B17587" s="9"/>
      <c r="C17587" s="9"/>
      <c r="D17587" t="str">
        <f>"Y43F8C.t1"</f>
        <v>Y43F8C.t1</v>
      </c>
      <c r="F17587" t="s">
        <v>80</v>
      </c>
      <c r="H17587" s="12">
        <v>-2.63121112254015</v>
      </c>
      <c r="I17587" s="20">
        <v>-0.34824138835296797</v>
      </c>
      <c r="J17587" s="28">
        <v>0.72765890731954697</v>
      </c>
      <c r="K17587" s="29">
        <v>0.98289565623980701</v>
      </c>
    </row>
    <row r="17588" spans="1:11" x14ac:dyDescent="0.35">
      <c r="A17588" s="9" t="str">
        <f>HYPERLINK("http://www.ensembl.org/id/WBGene00014890", "WBGene00014890")</f>
        <v>WBGene00014890</v>
      </c>
      <c r="B17588" s="9"/>
      <c r="C17588" s="9"/>
      <c r="D17588" t="str">
        <f>"Y43F8C.t2"</f>
        <v>Y43F8C.t2</v>
      </c>
      <c r="F17588" t="s">
        <v>80</v>
      </c>
      <c r="H17588" s="12">
        <v>2.3893468495514898</v>
      </c>
      <c r="I17588" s="20">
        <v>0.25323547253672701</v>
      </c>
      <c r="J17588" s="28">
        <v>0.80008625651646104</v>
      </c>
      <c r="K17588" s="29">
        <v>0.98289565623980701</v>
      </c>
    </row>
    <row r="17589" spans="1:11" x14ac:dyDescent="0.35">
      <c r="A17589" s="9" t="str">
        <f>HYPERLINK("http://www.ensembl.org/id/WBGene00021545", "WBGene00021545")</f>
        <v>WBGene00021545</v>
      </c>
      <c r="B17589" s="9" t="str">
        <f>HYPERLINK("http://www.ncbi.nlm.nih.gov/gene/173408", "173408")</f>
        <v>173408</v>
      </c>
      <c r="C17589" s="9"/>
      <c r="D17589" t="str">
        <f>"Y43H11AL.1"</f>
        <v>Y43H11AL.1</v>
      </c>
      <c r="F17589" t="s">
        <v>11</v>
      </c>
      <c r="G17589" t="s">
        <v>9088</v>
      </c>
      <c r="H17589" s="12">
        <v>-1.2194496736834199</v>
      </c>
      <c r="I17589" s="20">
        <v>-1.04096451851585</v>
      </c>
      <c r="J17589" s="28">
        <v>0.29789201588092001</v>
      </c>
      <c r="K17589" s="29">
        <v>0.98289565623980701</v>
      </c>
    </row>
    <row r="17590" spans="1:11" x14ac:dyDescent="0.35">
      <c r="A17590" s="9" t="str">
        <f>HYPERLINK("http://www.ensembl.org/id/WBGene00199564", "WBGene00199564")</f>
        <v>WBGene00199564</v>
      </c>
      <c r="B17590" s="9"/>
      <c r="C17590" s="9"/>
      <c r="D17590" t="str">
        <f>"Y43H11AL.5"</f>
        <v>Y43H11AL.5</v>
      </c>
      <c r="F17590" t="s">
        <v>481</v>
      </c>
      <c r="H17590" s="12">
        <v>-3.5819448292659501</v>
      </c>
      <c r="I17590" s="20">
        <v>-0.37337717500031398</v>
      </c>
      <c r="J17590" s="28">
        <v>0.70886774492290605</v>
      </c>
      <c r="K17590" s="29">
        <v>0.98289565623980701</v>
      </c>
    </row>
    <row r="17591" spans="1:11" x14ac:dyDescent="0.35">
      <c r="A17591" s="9" t="str">
        <f>HYPERLINK("http://www.ensembl.org/id/WBGene00012850", "WBGene00012850")</f>
        <v>WBGene00012850</v>
      </c>
      <c r="B17591" s="9" t="str">
        <f>HYPERLINK("http://www.ncbi.nlm.nih.gov/gene/189898", "189898")</f>
        <v>189898</v>
      </c>
      <c r="C17591" s="9"/>
      <c r="D17591" t="str">
        <f>"Y44A6C.1"</f>
        <v>Y44A6C.1</v>
      </c>
      <c r="F17591" t="s">
        <v>11</v>
      </c>
      <c r="H17591" s="12">
        <v>-1.2440184916302499</v>
      </c>
      <c r="I17591" s="20">
        <v>-1.1496484053881599</v>
      </c>
      <c r="J17591" s="28">
        <v>0.25028871271641601</v>
      </c>
      <c r="K17591" s="29">
        <v>0.98289565623980701</v>
      </c>
    </row>
    <row r="17592" spans="1:11" x14ac:dyDescent="0.35">
      <c r="A17592" s="9" t="str">
        <f>HYPERLINK("http://www.ensembl.org/id/WBGene00012851", "WBGene00012851")</f>
        <v>WBGene00012851</v>
      </c>
      <c r="B17592" s="9" t="str">
        <f>HYPERLINK("http://www.ncbi.nlm.nih.gov/gene/180355", "180355")</f>
        <v>180355</v>
      </c>
      <c r="C17592" s="9"/>
      <c r="D17592" t="str">
        <f>"Y44A6C.2"</f>
        <v>Y44A6C.2</v>
      </c>
      <c r="F17592" t="s">
        <v>11</v>
      </c>
      <c r="H17592" s="12">
        <v>-1.3692308663714501</v>
      </c>
      <c r="I17592" s="20">
        <v>-0.72295965616397595</v>
      </c>
      <c r="J17592" s="28">
        <v>0.46970467065791299</v>
      </c>
      <c r="K17592" s="29">
        <v>0.98289565623980701</v>
      </c>
    </row>
    <row r="17593" spans="1:11" x14ac:dyDescent="0.35">
      <c r="A17593" s="9" t="str">
        <f>HYPERLINK("http://www.ensembl.org/id/WBGene00220159", "WBGene00220159")</f>
        <v>WBGene00220159</v>
      </c>
      <c r="B17593" s="9"/>
      <c r="C17593" s="9"/>
      <c r="D17593" t="str">
        <f>"Y44A6C.3"</f>
        <v>Y44A6C.3</v>
      </c>
      <c r="F17593" t="s">
        <v>2977</v>
      </c>
      <c r="H17593" s="12">
        <v>2.4578120077400301</v>
      </c>
      <c r="I17593" s="20">
        <v>0.26093350314551</v>
      </c>
      <c r="J17593" s="28">
        <v>0.79414378780213601</v>
      </c>
      <c r="K17593" s="29">
        <v>0.98289565623980701</v>
      </c>
    </row>
    <row r="17594" spans="1:11" x14ac:dyDescent="0.35">
      <c r="A17594" s="9" t="str">
        <f>HYPERLINK("http://www.ensembl.org/id/WBGene00220160", "WBGene00220160")</f>
        <v>WBGene00220160</v>
      </c>
      <c r="B17594" s="9"/>
      <c r="C17594" s="9"/>
      <c r="D17594" t="str">
        <f>"Y44A6C.4"</f>
        <v>Y44A6C.4</v>
      </c>
      <c r="F17594" t="s">
        <v>481</v>
      </c>
      <c r="H17594" s="12">
        <v>5.8907339861828296</v>
      </c>
      <c r="I17594" s="20">
        <v>1.0261032450599501</v>
      </c>
      <c r="J17594" s="28">
        <v>0.30484292086713499</v>
      </c>
      <c r="K17594" s="29">
        <v>0.98289565623980701</v>
      </c>
    </row>
    <row r="17595" spans="1:11" x14ac:dyDescent="0.35">
      <c r="A17595" s="9" t="str">
        <f>HYPERLINK("http://www.ensembl.org/id/WBGene00012852", "WBGene00012852")</f>
        <v>WBGene00012852</v>
      </c>
      <c r="B17595" s="9" t="str">
        <f>HYPERLINK("http://www.ncbi.nlm.nih.gov/gene/189899", "189899")</f>
        <v>189899</v>
      </c>
      <c r="C17595" s="9"/>
      <c r="D17595" t="str">
        <f>"Y44A6D.1"</f>
        <v>Y44A6D.1</v>
      </c>
      <c r="F17595" t="s">
        <v>11</v>
      </c>
      <c r="H17595" s="12">
        <v>-8.1659750409448293</v>
      </c>
      <c r="I17595" s="20">
        <v>-0.91011987239266701</v>
      </c>
      <c r="J17595" s="28">
        <v>0.36275929539859197</v>
      </c>
      <c r="K17595" s="29">
        <v>0.98289565623980701</v>
      </c>
    </row>
    <row r="17596" spans="1:11" x14ac:dyDescent="0.35">
      <c r="A17596" s="9" t="str">
        <f>HYPERLINK("http://www.ensembl.org/id/WBGene00012855", "WBGene00012855")</f>
        <v>WBGene00012855</v>
      </c>
      <c r="B17596" s="9" t="str">
        <f>HYPERLINK("http://www.ncbi.nlm.nih.gov/gene/180361", "180361")</f>
        <v>180361</v>
      </c>
      <c r="C17596" s="9"/>
      <c r="D17596" t="str">
        <f>"Y44A6D.5"</f>
        <v>Y44A6D.5</v>
      </c>
      <c r="E17596" t="s">
        <v>4500</v>
      </c>
      <c r="F17596" t="s">
        <v>11</v>
      </c>
      <c r="G17596" t="s">
        <v>4501</v>
      </c>
      <c r="H17596" s="12">
        <v>1.8418320198701901</v>
      </c>
      <c r="I17596" s="20">
        <v>0.58797662305866005</v>
      </c>
      <c r="J17596" s="28">
        <v>0.55654798392414295</v>
      </c>
      <c r="K17596" s="29">
        <v>0.98289565623980701</v>
      </c>
    </row>
    <row r="17597" spans="1:11" x14ac:dyDescent="0.35">
      <c r="A17597" s="9" t="str">
        <f>HYPERLINK("http://www.ensembl.org/id/WBGene00012856", "WBGene00012856")</f>
        <v>WBGene00012856</v>
      </c>
      <c r="B17597" s="9" t="str">
        <f>HYPERLINK("http://www.ncbi.nlm.nih.gov/gene/189902", "189902")</f>
        <v>189902</v>
      </c>
      <c r="C17597" s="9"/>
      <c r="D17597" t="str">
        <f>"Y44A6D.6"</f>
        <v>Y44A6D.6</v>
      </c>
      <c r="F17597" t="s">
        <v>11</v>
      </c>
      <c r="G17597" t="s">
        <v>25</v>
      </c>
      <c r="H17597" s="12">
        <v>1.7732901084566799</v>
      </c>
      <c r="I17597" s="20">
        <v>0.72350190720959795</v>
      </c>
      <c r="J17597" s="28">
        <v>0.469371582785021</v>
      </c>
      <c r="K17597" s="29">
        <v>0.98289565623980701</v>
      </c>
    </row>
    <row r="17598" spans="1:11" x14ac:dyDescent="0.35">
      <c r="A17598" s="9" t="str">
        <f>HYPERLINK("http://www.ensembl.org/id/WBGene00021547", "WBGene00021547")</f>
        <v>WBGene00021547</v>
      </c>
      <c r="B17598" s="9" t="str">
        <f>HYPERLINK("http://www.ncbi.nlm.nih.gov/gene/189904", "189904")</f>
        <v>189904</v>
      </c>
      <c r="C17598" s="9"/>
      <c r="D17598" t="str">
        <f>"Y44E3A.1"</f>
        <v>Y44E3A.1</v>
      </c>
      <c r="F17598" t="s">
        <v>11</v>
      </c>
      <c r="H17598" s="12">
        <v>1.1099092352161599</v>
      </c>
      <c r="I17598" s="20">
        <v>0.38261566882051601</v>
      </c>
      <c r="J17598" s="28">
        <v>0.70200475073093305</v>
      </c>
      <c r="K17598" s="29">
        <v>0.98289565623980701</v>
      </c>
    </row>
    <row r="17599" spans="1:11" x14ac:dyDescent="0.35">
      <c r="A17599" s="9" t="str">
        <f>HYPERLINK("http://www.ensembl.org/id/WBGene00012858", "WBGene00012858")</f>
        <v>WBGene00012858</v>
      </c>
      <c r="B17599" s="9" t="str">
        <f>HYPERLINK("http://www.ncbi.nlm.nih.gov/gene/175547", "175547")</f>
        <v>175547</v>
      </c>
      <c r="C17599" s="9"/>
      <c r="D17599" t="str">
        <f>"Y44F5A.1"</f>
        <v>Y44F5A.1</v>
      </c>
      <c r="E17599" t="s">
        <v>8530</v>
      </c>
      <c r="F17599" t="s">
        <v>11</v>
      </c>
      <c r="G17599" t="s">
        <v>8531</v>
      </c>
      <c r="H17599" s="12">
        <v>-1.18198035464757</v>
      </c>
      <c r="I17599" s="20">
        <v>-0.66574721850608898</v>
      </c>
      <c r="J17599" s="28">
        <v>0.50557268684767098</v>
      </c>
      <c r="K17599" s="29">
        <v>0.98289565623980701</v>
      </c>
    </row>
    <row r="17600" spans="1:11" x14ac:dyDescent="0.35">
      <c r="A17600" s="9" t="str">
        <f>HYPERLINK("http://www.ensembl.org/id/WBGene00012875", "WBGene00012875")</f>
        <v>WBGene00012875</v>
      </c>
      <c r="B17600" s="9" t="str">
        <f>HYPERLINK("http://www.ncbi.nlm.nih.gov/gene/178325", "178325")</f>
        <v>178325</v>
      </c>
      <c r="C17600" s="9"/>
      <c r="D17600" t="str">
        <f>"Y45F10B.13"</f>
        <v>Y45F10B.13</v>
      </c>
      <c r="F17600" t="s">
        <v>11</v>
      </c>
      <c r="G17600" t="s">
        <v>25</v>
      </c>
      <c r="H17600" s="12">
        <v>1.12325694273071</v>
      </c>
      <c r="I17600" s="20">
        <v>0.45789645314009603</v>
      </c>
      <c r="J17600" s="28">
        <v>0.64702683521778404</v>
      </c>
      <c r="K17600" s="29">
        <v>0.98289565623980701</v>
      </c>
    </row>
    <row r="17601" spans="1:11" x14ac:dyDescent="0.35">
      <c r="A17601" s="9" t="str">
        <f>HYPERLINK("http://www.ensembl.org/id/WBGene00012876", "WBGene00012876")</f>
        <v>WBGene00012876</v>
      </c>
      <c r="B17601" s="9"/>
      <c r="C17601" s="9"/>
      <c r="D17601" t="str">
        <f>"Y45F10B.15"</f>
        <v>Y45F10B.15</v>
      </c>
      <c r="F17601" t="s">
        <v>80</v>
      </c>
      <c r="H17601" s="12">
        <v>-4.7167679298615104</v>
      </c>
      <c r="I17601" s="20">
        <v>-0.454742638005115</v>
      </c>
      <c r="J17601" s="28">
        <v>0.64929440216969203</v>
      </c>
      <c r="K17601" s="29">
        <v>0.98289565623980701</v>
      </c>
    </row>
    <row r="17602" spans="1:11" x14ac:dyDescent="0.35">
      <c r="A17602" s="9" t="str">
        <f>HYPERLINK("http://www.ensembl.org/id/WBGene00194917", "WBGene00194917")</f>
        <v>WBGene00194917</v>
      </c>
      <c r="B17602" s="9" t="str">
        <f>HYPERLINK("http://www.ncbi.nlm.nih.gov/gene/13198981", "13198981")</f>
        <v>13198981</v>
      </c>
      <c r="C17602" s="9"/>
      <c r="D17602" t="str">
        <f>"Y45F10B.59"</f>
        <v>Y45F10B.59</v>
      </c>
      <c r="F17602" t="s">
        <v>11</v>
      </c>
      <c r="H17602" s="12">
        <v>2.0819969497561002</v>
      </c>
      <c r="I17602" s="20">
        <v>0.59646813031716905</v>
      </c>
      <c r="J17602" s="28">
        <v>0.55086253811334795</v>
      </c>
      <c r="K17602" s="29">
        <v>0.98289565623980701</v>
      </c>
    </row>
    <row r="17603" spans="1:11" x14ac:dyDescent="0.35">
      <c r="A17603" s="9" t="str">
        <f>HYPERLINK("http://www.ensembl.org/id/WBGene00012877", "WBGene00012877")</f>
        <v>WBGene00012877</v>
      </c>
      <c r="B17603" s="9" t="str">
        <f>HYPERLINK("http://www.ncbi.nlm.nih.gov/gene/189922", "189922")</f>
        <v>189922</v>
      </c>
      <c r="C17603" s="9"/>
      <c r="D17603" t="str">
        <f>"Y45F10C.1"</f>
        <v>Y45F10C.1</v>
      </c>
      <c r="F17603" t="s">
        <v>11</v>
      </c>
      <c r="H17603" s="12">
        <v>12.685338163804801</v>
      </c>
      <c r="I17603" s="20">
        <v>0.81852262355899996</v>
      </c>
      <c r="J17603" s="28">
        <v>0.41305882922107201</v>
      </c>
      <c r="K17603" s="29">
        <v>0.98289565623980701</v>
      </c>
    </row>
    <row r="17604" spans="1:11" x14ac:dyDescent="0.35">
      <c r="A17604" s="9" t="str">
        <f>HYPERLINK("http://www.ensembl.org/id/WBGene00012880", "WBGene00012880")</f>
        <v>WBGene00012880</v>
      </c>
      <c r="B17604" s="9" t="str">
        <f>HYPERLINK("http://www.ncbi.nlm.nih.gov/gene/178335", "178335")</f>
        <v>178335</v>
      </c>
      <c r="C17604" s="9"/>
      <c r="D17604" t="str">
        <f>"Y45F10C.4"</f>
        <v>Y45F10C.4</v>
      </c>
      <c r="E17604" t="s">
        <v>8388</v>
      </c>
      <c r="F17604" t="s">
        <v>11</v>
      </c>
      <c r="G17604" t="s">
        <v>27</v>
      </c>
      <c r="H17604" s="12">
        <v>-1.17462997722851</v>
      </c>
      <c r="I17604" s="20">
        <v>-0.829638304498584</v>
      </c>
      <c r="J17604" s="28">
        <v>0.40674331299560701</v>
      </c>
      <c r="K17604" s="29">
        <v>0.98289565623980701</v>
      </c>
    </row>
    <row r="17605" spans="1:11" x14ac:dyDescent="0.35">
      <c r="A17605" s="9" t="str">
        <f>HYPERLINK("http://www.ensembl.org/id/WBGene00044256", "WBGene00044256")</f>
        <v>WBGene00044256</v>
      </c>
      <c r="B17605" s="9" t="str">
        <f>HYPERLINK("http://www.ncbi.nlm.nih.gov/gene/3565462", "3565462")</f>
        <v>3565462</v>
      </c>
      <c r="C17605" s="9"/>
      <c r="D17605" t="str">
        <f>"Y45F10C.6"</f>
        <v>Y45F10C.6</v>
      </c>
      <c r="F17605" t="s">
        <v>11</v>
      </c>
      <c r="H17605" s="12">
        <v>-1.6550695985328201</v>
      </c>
      <c r="I17605" s="20">
        <v>-0.81326025868193197</v>
      </c>
      <c r="J17605" s="28">
        <v>0.41606885716333802</v>
      </c>
      <c r="K17605" s="29">
        <v>0.98289565623980701</v>
      </c>
    </row>
    <row r="17606" spans="1:11" x14ac:dyDescent="0.35">
      <c r="A17606" s="9" t="str">
        <f>HYPERLINK("http://www.ensembl.org/id/WBGene00012892", "WBGene00012892")</f>
        <v>WBGene00012892</v>
      </c>
      <c r="B17606" s="9" t="str">
        <f>HYPERLINK("http://www.ncbi.nlm.nih.gov/gene/3565953", "3565953")</f>
        <v>3565953</v>
      </c>
      <c r="C17606" s="9"/>
      <c r="D17606" t="str">
        <f>"Y45F10D.14"</f>
        <v>Y45F10D.14</v>
      </c>
      <c r="F17606" t="s">
        <v>11</v>
      </c>
      <c r="G17606" t="s">
        <v>25</v>
      </c>
      <c r="H17606" s="12">
        <v>1.44234224204763</v>
      </c>
      <c r="I17606" s="20">
        <v>0.66683287623216003</v>
      </c>
      <c r="J17606" s="28">
        <v>0.504878890349025</v>
      </c>
      <c r="K17606" s="29">
        <v>0.98289565623980701</v>
      </c>
    </row>
    <row r="17607" spans="1:11" x14ac:dyDescent="0.35">
      <c r="A17607" s="9" t="str">
        <f>HYPERLINK("http://www.ensembl.org/id/WBGene00012893", "WBGene00012893")</f>
        <v>WBGene00012893</v>
      </c>
      <c r="B17607" s="9" t="str">
        <f>HYPERLINK("http://www.ncbi.nlm.nih.gov/gene/3565807", "3565807")</f>
        <v>3565807</v>
      </c>
      <c r="C17607" s="9"/>
      <c r="D17607" t="str">
        <f>"Y45F10D.15"</f>
        <v>Y45F10D.15</v>
      </c>
      <c r="F17607" t="s">
        <v>11</v>
      </c>
      <c r="G17607" t="s">
        <v>25</v>
      </c>
      <c r="H17607" s="12">
        <v>2.3611597087057499</v>
      </c>
      <c r="I17607" s="20">
        <v>0.88593656306035096</v>
      </c>
      <c r="J17607" s="28">
        <v>0.37565171214112603</v>
      </c>
      <c r="K17607" s="29">
        <v>0.98289565623980701</v>
      </c>
    </row>
    <row r="17608" spans="1:11" x14ac:dyDescent="0.35">
      <c r="A17608" s="9" t="str">
        <f>HYPERLINK("http://www.ensembl.org/id/WBGene00044257", "WBGene00044257")</f>
        <v>WBGene00044257</v>
      </c>
      <c r="B17608" s="9" t="str">
        <f>HYPERLINK("http://www.ncbi.nlm.nih.gov/gene/3564927", "3564927")</f>
        <v>3564927</v>
      </c>
      <c r="C17608" s="9"/>
      <c r="D17608" t="str">
        <f>"Y45F10D.16"</f>
        <v>Y45F10D.16</v>
      </c>
      <c r="F17608" t="s">
        <v>11</v>
      </c>
      <c r="G17608" t="s">
        <v>25</v>
      </c>
      <c r="H17608" s="12">
        <v>-1.29889162722355</v>
      </c>
      <c r="I17608" s="20">
        <v>-0.28803037569969803</v>
      </c>
      <c r="J17608" s="28">
        <v>0.773323487037749</v>
      </c>
      <c r="K17608" s="29">
        <v>0.98289565623980701</v>
      </c>
    </row>
    <row r="17609" spans="1:11" x14ac:dyDescent="0.35">
      <c r="A17609" s="9" t="str">
        <f>HYPERLINK("http://www.ensembl.org/id/WBGene00012887", "WBGene00012887")</f>
        <v>WBGene00012887</v>
      </c>
      <c r="B17609" s="9" t="str">
        <f>HYPERLINK("http://www.ncbi.nlm.nih.gov/gene/178346", "178346")</f>
        <v>178346</v>
      </c>
      <c r="C17609" s="9"/>
      <c r="D17609" t="str">
        <f>"Y45F10D.7"</f>
        <v>Y45F10D.7</v>
      </c>
      <c r="F17609" t="s">
        <v>11</v>
      </c>
      <c r="G17609" t="s">
        <v>7167</v>
      </c>
      <c r="H17609" s="12">
        <v>-1.11098469409463</v>
      </c>
      <c r="I17609" s="20">
        <v>-0.44632330020396199</v>
      </c>
      <c r="J17609" s="28">
        <v>0.65536372776544205</v>
      </c>
      <c r="K17609" s="29">
        <v>0.98289565623980701</v>
      </c>
    </row>
    <row r="17610" spans="1:11" x14ac:dyDescent="0.35">
      <c r="A17610" s="9" t="str">
        <f>HYPERLINK("http://www.ensembl.org/id/WBGene00012863", "WBGene00012863")</f>
        <v>WBGene00012863</v>
      </c>
      <c r="B17610" s="9" t="str">
        <f>HYPERLINK("http://www.ncbi.nlm.nih.gov/gene/189910", "189910")</f>
        <v>189910</v>
      </c>
      <c r="C17610" s="9"/>
      <c r="D17610" t="str">
        <f>"Y45F3A.8"</f>
        <v>Y45F3A.8</v>
      </c>
      <c r="F17610" t="s">
        <v>11</v>
      </c>
      <c r="G17610" t="s">
        <v>1865</v>
      </c>
      <c r="H17610" s="12">
        <v>2.1020639822893199</v>
      </c>
      <c r="I17610" s="20">
        <v>0.65915066274542</v>
      </c>
      <c r="J17610" s="28">
        <v>0.50979902523544496</v>
      </c>
      <c r="K17610" s="29">
        <v>0.98289565623980701</v>
      </c>
    </row>
    <row r="17611" spans="1:11" x14ac:dyDescent="0.35">
      <c r="A17611" s="9" t="str">
        <f>HYPERLINK("http://www.ensembl.org/id/WBGene00012864", "WBGene00012864")</f>
        <v>WBGene00012864</v>
      </c>
      <c r="B17611" s="9" t="str">
        <f>HYPERLINK("http://www.ncbi.nlm.nih.gov/gene/3565184", "3565184")</f>
        <v>3565184</v>
      </c>
      <c r="C17611" s="9" t="str">
        <f>HYPERLINK("http://www.ncbi.nlm.nih.gov/gene/79922", "79922")</f>
        <v>79922</v>
      </c>
      <c r="D17611" t="str">
        <f>"Y45F3A.9"</f>
        <v>Y45F3A.9</v>
      </c>
      <c r="F17611" t="s">
        <v>11</v>
      </c>
      <c r="G17611" t="s">
        <v>9706</v>
      </c>
      <c r="H17611" s="12">
        <v>-1.284423243827</v>
      </c>
      <c r="I17611" s="20">
        <v>-0.849948818598116</v>
      </c>
      <c r="J17611" s="28">
        <v>0.395353542176693</v>
      </c>
      <c r="K17611" s="29">
        <v>0.98289565623980701</v>
      </c>
    </row>
    <row r="17612" spans="1:11" x14ac:dyDescent="0.35">
      <c r="A17612" s="9" t="str">
        <f>HYPERLINK("http://www.ensembl.org/id/WBGene00021563", "WBGene00021563")</f>
        <v>WBGene00021563</v>
      </c>
      <c r="B17612" s="9" t="str">
        <f>HYPERLINK("http://www.ncbi.nlm.nih.gov/gene/178734", "178734")</f>
        <v>178734</v>
      </c>
      <c r="C17612" s="9" t="str">
        <f>HYPERLINK("http://www.ncbi.nlm.nih.gov/gene/7542", "7542")</f>
        <v>7542</v>
      </c>
      <c r="D17612" t="str">
        <f>"Y45G12B.2"</f>
        <v>Y45G12B.2</v>
      </c>
      <c r="E17612" t="s">
        <v>8099</v>
      </c>
      <c r="F17612" t="s">
        <v>11</v>
      </c>
      <c r="G17612" t="s">
        <v>8100</v>
      </c>
      <c r="H17612" s="12">
        <v>-1.1606407897250299</v>
      </c>
      <c r="I17612" s="20">
        <v>-0.74839619849843098</v>
      </c>
      <c r="J17612" s="28">
        <v>0.45422121483859801</v>
      </c>
      <c r="K17612" s="29">
        <v>0.98289565623980701</v>
      </c>
    </row>
    <row r="17613" spans="1:11" x14ac:dyDescent="0.35">
      <c r="A17613" s="9" t="str">
        <f>HYPERLINK("http://www.ensembl.org/id/WBGene00021564", "WBGene00021564")</f>
        <v>WBGene00021564</v>
      </c>
      <c r="B17613" s="9" t="str">
        <f>HYPERLINK("http://www.ncbi.nlm.nih.gov/gene/178733", "178733")</f>
        <v>178733</v>
      </c>
      <c r="C17613" s="9" t="str">
        <f>HYPERLINK("http://www.ncbi.nlm.nih.gov/gene/79944", "79944")</f>
        <v>79944</v>
      </c>
      <c r="D17613" t="str">
        <f>"Y45G12B.3"</f>
        <v>Y45G12B.3</v>
      </c>
      <c r="E17613" t="s">
        <v>8791</v>
      </c>
      <c r="F17613" t="s">
        <v>11</v>
      </c>
      <c r="G17613" t="s">
        <v>8792</v>
      </c>
      <c r="H17613" s="12">
        <v>-1.19679845565663</v>
      </c>
      <c r="I17613" s="20">
        <v>-0.88174523085741496</v>
      </c>
      <c r="J17613" s="28">
        <v>0.37791459534291599</v>
      </c>
      <c r="K17613" s="29">
        <v>0.98289565623980701</v>
      </c>
    </row>
    <row r="17614" spans="1:11" x14ac:dyDescent="0.35">
      <c r="A17614" s="9" t="str">
        <f>HYPERLINK("http://www.ensembl.org/id/WBGene00196319", "WBGene00196319")</f>
        <v>WBGene00196319</v>
      </c>
      <c r="B17614" s="9"/>
      <c r="C17614" s="9"/>
      <c r="D17614" t="str">
        <f>"Y45G5AM.10"</f>
        <v>Y45G5AM.10</v>
      </c>
      <c r="F17614" t="s">
        <v>481</v>
      </c>
      <c r="H17614" s="12">
        <v>-2.4991590031922399</v>
      </c>
      <c r="I17614" s="20">
        <v>-0.26577412737581302</v>
      </c>
      <c r="J17614" s="28">
        <v>0.79041317015736101</v>
      </c>
      <c r="K17614" s="29">
        <v>0.98289565623980701</v>
      </c>
    </row>
    <row r="17615" spans="1:11" x14ac:dyDescent="0.35">
      <c r="A17615" s="9" t="str">
        <f>HYPERLINK("http://www.ensembl.org/id/WBGene00021556", "WBGene00021556")</f>
        <v>WBGene00021556</v>
      </c>
      <c r="B17615" s="9" t="str">
        <f>HYPERLINK("http://www.ncbi.nlm.nih.gov/gene/189928", "189928")</f>
        <v>189928</v>
      </c>
      <c r="C17615" s="9"/>
      <c r="D17615" t="str">
        <f>"Y45G5AM.3"</f>
        <v>Y45G5AM.3</v>
      </c>
      <c r="F17615" t="s">
        <v>11</v>
      </c>
      <c r="H17615" s="12">
        <v>1.1733092687597999</v>
      </c>
      <c r="I17615" s="20">
        <v>0.71405521614909595</v>
      </c>
      <c r="J17615" s="28">
        <v>0.47519303683651798</v>
      </c>
      <c r="K17615" s="29">
        <v>0.98289565623980701</v>
      </c>
    </row>
    <row r="17616" spans="1:11" x14ac:dyDescent="0.35">
      <c r="A17616" s="9" t="str">
        <f>HYPERLINK("http://www.ensembl.org/id/WBGene00021557", "WBGene00021557")</f>
        <v>WBGene00021557</v>
      </c>
      <c r="B17616" s="9" t="str">
        <f>HYPERLINK("http://www.ncbi.nlm.nih.gov/gene/178816", "178816")</f>
        <v>178816</v>
      </c>
      <c r="C17616" s="9"/>
      <c r="D17616" t="str">
        <f>"Y45G5AM.5"</f>
        <v>Y45G5AM.5</v>
      </c>
      <c r="F17616" t="s">
        <v>11</v>
      </c>
      <c r="H17616" s="12">
        <v>1.27095170975059</v>
      </c>
      <c r="I17616" s="20">
        <v>0.73720187051130504</v>
      </c>
      <c r="J17616" s="28">
        <v>0.46099959611968</v>
      </c>
      <c r="K17616" s="29">
        <v>0.98289565623980701</v>
      </c>
    </row>
    <row r="17617" spans="1:11" x14ac:dyDescent="0.35">
      <c r="A17617" s="9" t="str">
        <f>HYPERLINK("http://www.ensembl.org/id/WBGene00021558", "WBGene00021558")</f>
        <v>WBGene00021558</v>
      </c>
      <c r="B17617" s="9" t="str">
        <f>HYPERLINK("http://www.ncbi.nlm.nih.gov/gene/178815", "178815")</f>
        <v>178815</v>
      </c>
      <c r="C17617" s="9"/>
      <c r="D17617" t="str">
        <f>"Y45G5AM.6"</f>
        <v>Y45G5AM.6</v>
      </c>
      <c r="F17617" t="s">
        <v>11</v>
      </c>
      <c r="G17617" t="s">
        <v>784</v>
      </c>
      <c r="H17617" s="12">
        <v>1.1915043029702499</v>
      </c>
      <c r="I17617" s="20">
        <v>0.69462057392827703</v>
      </c>
      <c r="J17617" s="28">
        <v>0.487293115296834</v>
      </c>
      <c r="K17617" s="29">
        <v>0.98289565623980701</v>
      </c>
    </row>
    <row r="17618" spans="1:11" x14ac:dyDescent="0.35">
      <c r="A17618" s="9" t="str">
        <f>HYPERLINK("http://www.ensembl.org/id/WBGene00021559", "WBGene00021559")</f>
        <v>WBGene00021559</v>
      </c>
      <c r="B17618" s="9" t="str">
        <f>HYPERLINK("http://www.ncbi.nlm.nih.gov/gene/178817", "178817")</f>
        <v>178817</v>
      </c>
      <c r="C17618" s="9"/>
      <c r="D17618" t="str">
        <f>"Y45G5AM.7"</f>
        <v>Y45G5AM.7</v>
      </c>
      <c r="F17618" t="s">
        <v>11</v>
      </c>
      <c r="H17618" s="12">
        <v>-1.1806783152714899</v>
      </c>
      <c r="I17618" s="20">
        <v>-0.70237754363954297</v>
      </c>
      <c r="J17618" s="28">
        <v>0.482443746009177</v>
      </c>
      <c r="K17618" s="29">
        <v>0.98289565623980701</v>
      </c>
    </row>
    <row r="17619" spans="1:11" x14ac:dyDescent="0.35">
      <c r="A17619" s="9" t="str">
        <f>HYPERLINK("http://www.ensembl.org/id/WBGene00021561", "WBGene00021561")</f>
        <v>WBGene00021561</v>
      </c>
      <c r="B17619" s="9" t="str">
        <f>HYPERLINK("http://www.ncbi.nlm.nih.gov/gene/178820", "178820")</f>
        <v>178820</v>
      </c>
      <c r="C17619" s="9"/>
      <c r="D17619" t="str">
        <f>"Y45G5AM.9"</f>
        <v>Y45G5AM.9</v>
      </c>
      <c r="F17619" t="s">
        <v>11</v>
      </c>
      <c r="G17619" t="s">
        <v>8608</v>
      </c>
      <c r="H17619" s="12">
        <v>-1.1864045055472401</v>
      </c>
      <c r="I17619" s="20">
        <v>-0.86897286639450699</v>
      </c>
      <c r="J17619" s="28">
        <v>0.38486197205649397</v>
      </c>
      <c r="K17619" s="29">
        <v>0.98289565623980701</v>
      </c>
    </row>
    <row r="17620" spans="1:11" x14ac:dyDescent="0.35">
      <c r="A17620" s="9" t="str">
        <f>HYPERLINK("http://www.ensembl.org/id/WBGene00021577", "WBGene00021577")</f>
        <v>WBGene00021577</v>
      </c>
      <c r="B17620" s="9" t="str">
        <f>HYPERLINK("http://www.ncbi.nlm.nih.gov/gene/189941", "189941")</f>
        <v>189941</v>
      </c>
      <c r="C17620" s="9"/>
      <c r="D17620" t="str">
        <f>"Y46B2A.2"</f>
        <v>Y46B2A.2</v>
      </c>
      <c r="E17620" t="s">
        <v>4233</v>
      </c>
      <c r="F17620" t="s">
        <v>11</v>
      </c>
      <c r="G17620" t="s">
        <v>4234</v>
      </c>
      <c r="H17620" s="12">
        <v>7.5773890663729899</v>
      </c>
      <c r="I17620" s="20">
        <v>0.69857711677247902</v>
      </c>
      <c r="J17620" s="28">
        <v>0.48481634859386202</v>
      </c>
      <c r="K17620" s="29">
        <v>0.98289565623980701</v>
      </c>
    </row>
    <row r="17621" spans="1:11" x14ac:dyDescent="0.35">
      <c r="A17621" s="9" t="str">
        <f>HYPERLINK("http://www.ensembl.org/id/WBGene00021578", "WBGene00021578")</f>
        <v>WBGene00021578</v>
      </c>
      <c r="B17621" s="9" t="str">
        <f>HYPERLINK("http://www.ncbi.nlm.nih.gov/gene/189942", "189942")</f>
        <v>189942</v>
      </c>
      <c r="C17621" s="9"/>
      <c r="D17621" t="str">
        <f>"Y46B2A.3"</f>
        <v>Y46B2A.3</v>
      </c>
      <c r="F17621" t="s">
        <v>11</v>
      </c>
      <c r="G17621" t="s">
        <v>3509</v>
      </c>
      <c r="H17621" s="12">
        <v>1.6830835369083701</v>
      </c>
      <c r="I17621" s="20">
        <v>0.32902516517313701</v>
      </c>
      <c r="J17621" s="28">
        <v>0.74213666700717695</v>
      </c>
      <c r="K17621" s="29">
        <v>0.98289565623980701</v>
      </c>
    </row>
    <row r="17622" spans="1:11" x14ac:dyDescent="0.35">
      <c r="A17622" s="9" t="str">
        <f>HYPERLINK("http://www.ensembl.org/id/WBGene00284850", "WBGene00284850")</f>
        <v>WBGene00284850</v>
      </c>
      <c r="B17622" s="9" t="str">
        <f>HYPERLINK("http://www.ncbi.nlm.nih.gov/gene/36312795", "36312795")</f>
        <v>36312795</v>
      </c>
      <c r="C17622" s="9"/>
      <c r="D17622" t="str">
        <f>"Y46B2A.4"</f>
        <v>Y46B2A.4</v>
      </c>
      <c r="F17622" t="s">
        <v>11</v>
      </c>
      <c r="G17622" t="s">
        <v>25</v>
      </c>
      <c r="H17622" s="12">
        <v>2.3766339094763702</v>
      </c>
      <c r="I17622" s="20">
        <v>0.55145752559563199</v>
      </c>
      <c r="J17622" s="28">
        <v>0.58132007562912502</v>
      </c>
      <c r="K17622" s="29">
        <v>0.98289565623980701</v>
      </c>
    </row>
    <row r="17623" spans="1:11" x14ac:dyDescent="0.35">
      <c r="A17623" s="9" t="str">
        <f>HYPERLINK("http://www.ensembl.org/id/WBGene00195003", "WBGene00195003")</f>
        <v>WBGene00195003</v>
      </c>
      <c r="B17623" s="9" t="str">
        <f>HYPERLINK("http://www.ncbi.nlm.nih.gov/gene/13192772", "13192772")</f>
        <v>13192772</v>
      </c>
      <c r="C17623" s="9"/>
      <c r="D17623" t="str">
        <f>"Y46C8AL.11"</f>
        <v>Y46C8AL.11</v>
      </c>
      <c r="F17623" t="s">
        <v>11</v>
      </c>
      <c r="H17623" s="12">
        <v>2.3893468495514898</v>
      </c>
      <c r="I17623" s="20">
        <v>0.25323547253672701</v>
      </c>
      <c r="J17623" s="28">
        <v>0.80008625651646104</v>
      </c>
      <c r="K17623" s="29">
        <v>0.98289565623980701</v>
      </c>
    </row>
    <row r="17624" spans="1:11" x14ac:dyDescent="0.35">
      <c r="A17624" s="9" t="str">
        <f>HYPERLINK("http://www.ensembl.org/id/WBGene00021589", "WBGene00021589")</f>
        <v>WBGene00021589</v>
      </c>
      <c r="B17624" s="9" t="str">
        <f>HYPERLINK("http://www.ncbi.nlm.nih.gov/gene/189951", "189951")</f>
        <v>189951</v>
      </c>
      <c r="C17624" s="9"/>
      <c r="D17624" t="str">
        <f>"Y46D2A.1"</f>
        <v>Y46D2A.1</v>
      </c>
      <c r="F17624" t="s">
        <v>11</v>
      </c>
      <c r="H17624" s="12">
        <v>1.671882456202</v>
      </c>
      <c r="I17624" s="20">
        <v>0.87360374720692202</v>
      </c>
      <c r="J17624" s="28">
        <v>0.38233408482973302</v>
      </c>
      <c r="K17624" s="29">
        <v>0.98289565623980701</v>
      </c>
    </row>
    <row r="17625" spans="1:11" x14ac:dyDescent="0.35">
      <c r="A17625" s="9" t="str">
        <f>HYPERLINK("http://www.ensembl.org/id/WBGene00021590", "WBGene00021590")</f>
        <v>WBGene00021590</v>
      </c>
      <c r="B17625" s="9" t="str">
        <f>HYPERLINK("http://www.ncbi.nlm.nih.gov/gene/189952", "189952")</f>
        <v>189952</v>
      </c>
      <c r="C17625" s="9"/>
      <c r="D17625" t="str">
        <f>"Y46D2A.2"</f>
        <v>Y46D2A.2</v>
      </c>
      <c r="F17625" t="s">
        <v>11</v>
      </c>
      <c r="H17625" s="12">
        <v>1.24327483042008</v>
      </c>
      <c r="I17625" s="20">
        <v>0.72055582368529203</v>
      </c>
      <c r="J17625" s="28">
        <v>0.471182842000194</v>
      </c>
      <c r="K17625" s="29">
        <v>0.98289565623980701</v>
      </c>
    </row>
    <row r="17626" spans="1:11" x14ac:dyDescent="0.35">
      <c r="A17626" s="9" t="str">
        <f>HYPERLINK("http://www.ensembl.org/id/WBGene00021593", "WBGene00021593")</f>
        <v>WBGene00021593</v>
      </c>
      <c r="B17626" s="9" t="str">
        <f>HYPERLINK("http://www.ncbi.nlm.nih.gov/gene/175323", "175323")</f>
        <v>175323</v>
      </c>
      <c r="C17626" s="9" t="str">
        <f>HYPERLINK("http://www.ncbi.nlm.nih.gov/gene/389207", "389207")</f>
        <v>389207</v>
      </c>
      <c r="D17626" t="str">
        <f>"Y46E12A.3"</f>
        <v>Y46E12A.3</v>
      </c>
      <c r="F17626" t="s">
        <v>11</v>
      </c>
      <c r="G17626" t="s">
        <v>4394</v>
      </c>
      <c r="H17626" s="12">
        <v>2.4230542257316801</v>
      </c>
      <c r="I17626" s="20">
        <v>0.441778245643631</v>
      </c>
      <c r="J17626" s="28">
        <v>0.65864968217018705</v>
      </c>
      <c r="K17626" s="29">
        <v>0.98289565623980701</v>
      </c>
    </row>
    <row r="17627" spans="1:11" x14ac:dyDescent="0.35">
      <c r="A17627" s="9" t="str">
        <f>HYPERLINK("http://www.ensembl.org/id/WBGene00194738", "WBGene00194738")</f>
        <v>WBGene00194738</v>
      </c>
      <c r="B17627" s="9" t="str">
        <f>HYPERLINK("http://www.ncbi.nlm.nih.gov/gene/13188586", "13188586")</f>
        <v>13188586</v>
      </c>
      <c r="C17627" s="9"/>
      <c r="D17627" t="str">
        <f>"Y46E12A.5"</f>
        <v>Y46E12A.5</v>
      </c>
      <c r="F17627" t="s">
        <v>11</v>
      </c>
      <c r="H17627" s="12">
        <v>4.4368407117627902</v>
      </c>
      <c r="I17627" s="20">
        <v>0.43709475933309699</v>
      </c>
      <c r="J17627" s="28">
        <v>0.66204262779770495</v>
      </c>
      <c r="K17627" s="29">
        <v>0.98289565623980701</v>
      </c>
    </row>
    <row r="17628" spans="1:11" x14ac:dyDescent="0.35">
      <c r="A17628" s="9" t="str">
        <f>HYPERLINK("http://www.ensembl.org/id/WBGene00021595", "WBGene00021595")</f>
        <v>WBGene00021595</v>
      </c>
      <c r="B17628" s="9" t="str">
        <f>HYPERLINK("http://www.ncbi.nlm.nih.gov/gene/266878", "266878")</f>
        <v>266878</v>
      </c>
      <c r="C17628" s="9" t="str">
        <f>HYPERLINK("http://www.ncbi.nlm.nih.gov/gene/23223", "23223")</f>
        <v>23223</v>
      </c>
      <c r="D17628" t="str">
        <f>"Y46E12BL.2"</f>
        <v>Y46E12BL.2</v>
      </c>
      <c r="F17628" t="s">
        <v>11</v>
      </c>
      <c r="G17628" t="s">
        <v>6532</v>
      </c>
      <c r="H17628" s="12">
        <v>-1.0742287873615</v>
      </c>
      <c r="I17628" s="20">
        <v>-0.33908116275498301</v>
      </c>
      <c r="J17628" s="28">
        <v>0.73454858866329398</v>
      </c>
      <c r="K17628" s="29">
        <v>0.98289565623980701</v>
      </c>
    </row>
    <row r="17629" spans="1:11" x14ac:dyDescent="0.35">
      <c r="A17629" s="9" t="str">
        <f>HYPERLINK("http://www.ensembl.org/id/WBGene00195908", "WBGene00195908")</f>
        <v>WBGene00195908</v>
      </c>
      <c r="B17629" s="9"/>
      <c r="C17629" s="9"/>
      <c r="D17629" t="str">
        <f>"Y46E12BL.5"</f>
        <v>Y46E12BL.5</v>
      </c>
      <c r="F17629" t="s">
        <v>481</v>
      </c>
      <c r="H17629" s="12">
        <v>-2.4991590031922399</v>
      </c>
      <c r="I17629" s="20">
        <v>-0.26577412737581302</v>
      </c>
      <c r="J17629" s="28">
        <v>0.79041317015736101</v>
      </c>
      <c r="K17629" s="29">
        <v>0.98289565623980701</v>
      </c>
    </row>
    <row r="17630" spans="1:11" x14ac:dyDescent="0.35">
      <c r="A17630" s="9" t="str">
        <f>HYPERLINK("http://www.ensembl.org/id/WBGene00021598", "WBGene00021598")</f>
        <v>WBGene00021598</v>
      </c>
      <c r="B17630" s="9" t="str">
        <f>HYPERLINK("http://www.ncbi.nlm.nih.gov/gene/266874", "266874")</f>
        <v>266874</v>
      </c>
      <c r="C17630" s="9"/>
      <c r="D17630" t="str">
        <f>"Y46E12BR.1"</f>
        <v>Y46E12BR.1</v>
      </c>
      <c r="F17630" t="s">
        <v>11</v>
      </c>
      <c r="H17630" s="12">
        <v>-1.23062630632891</v>
      </c>
      <c r="I17630" s="20">
        <v>-0.60908076287034296</v>
      </c>
      <c r="J17630" s="28">
        <v>0.542470907899952</v>
      </c>
      <c r="K17630" s="29">
        <v>0.98289565623980701</v>
      </c>
    </row>
    <row r="17631" spans="1:11" x14ac:dyDescent="0.35">
      <c r="A17631" s="9" t="str">
        <f>HYPERLINK("http://www.ensembl.org/id/WBGene00012905", "WBGene00012905")</f>
        <v>WBGene00012905</v>
      </c>
      <c r="B17631" s="9" t="str">
        <f>HYPERLINK("http://www.ncbi.nlm.nih.gov/gene/174910", "174910")</f>
        <v>174910</v>
      </c>
      <c r="C17631" s="9"/>
      <c r="D17631" t="str">
        <f>"Y46G5A.14"</f>
        <v>Y46G5A.14</v>
      </c>
      <c r="F17631" t="s">
        <v>11</v>
      </c>
      <c r="H17631" s="12">
        <v>-1.87994705409698</v>
      </c>
      <c r="I17631" s="20">
        <v>-0.49417072158606001</v>
      </c>
      <c r="J17631" s="28">
        <v>0.62118561526583604</v>
      </c>
      <c r="K17631" s="29">
        <v>0.98289565623980701</v>
      </c>
    </row>
    <row r="17632" spans="1:11" x14ac:dyDescent="0.35">
      <c r="A17632" s="9" t="str">
        <f>HYPERLINK("http://www.ensembl.org/id/WBGene00012906", "WBGene00012906")</f>
        <v>WBGene00012906</v>
      </c>
      <c r="B17632" s="9" t="str">
        <f>HYPERLINK("http://www.ncbi.nlm.nih.gov/gene/174911", "174911")</f>
        <v>174911</v>
      </c>
      <c r="C17632" s="9"/>
      <c r="D17632" t="str">
        <f>"Y46G5A.15"</f>
        <v>Y46G5A.15</v>
      </c>
      <c r="F17632" t="s">
        <v>11</v>
      </c>
      <c r="H17632" s="12">
        <v>-1.1750306921810101</v>
      </c>
      <c r="I17632" s="20">
        <v>-0.79547040532704705</v>
      </c>
      <c r="J17632" s="28">
        <v>0.42633991947937799</v>
      </c>
      <c r="K17632" s="29">
        <v>0.98289565623980701</v>
      </c>
    </row>
    <row r="17633" spans="1:11" x14ac:dyDescent="0.35">
      <c r="A17633" s="9" t="str">
        <f>HYPERLINK("http://www.ensembl.org/id/WBGene00012908", "WBGene00012908")</f>
        <v>WBGene00012908</v>
      </c>
      <c r="B17633" s="9" t="str">
        <f>HYPERLINK("http://www.ncbi.nlm.nih.gov/gene/174913", "174913")</f>
        <v>174913</v>
      </c>
      <c r="C17633" s="9"/>
      <c r="D17633" t="str">
        <f>"Y46G5A.18"</f>
        <v>Y46G5A.18</v>
      </c>
      <c r="F17633" t="s">
        <v>11</v>
      </c>
      <c r="G17633" t="s">
        <v>91</v>
      </c>
      <c r="H17633" s="12">
        <v>-1.1552482636505299</v>
      </c>
      <c r="I17633" s="20">
        <v>-0.73175019207181702</v>
      </c>
      <c r="J17633" s="28">
        <v>0.46432105493482301</v>
      </c>
      <c r="K17633" s="29">
        <v>0.98289565623980701</v>
      </c>
    </row>
    <row r="17634" spans="1:11" x14ac:dyDescent="0.35">
      <c r="A17634" s="9" t="str">
        <f>HYPERLINK("http://www.ensembl.org/id/WBGene00012910", "WBGene00012910")</f>
        <v>WBGene00012910</v>
      </c>
      <c r="B17634" s="9" t="str">
        <f>HYPERLINK("http://www.ncbi.nlm.nih.gov/gene/174915", "174915")</f>
        <v>174915</v>
      </c>
      <c r="C17634" s="9"/>
      <c r="D17634" t="str">
        <f>"Y46G5A.20"</f>
        <v>Y46G5A.20</v>
      </c>
      <c r="F17634" t="s">
        <v>11</v>
      </c>
      <c r="G17634" t="s">
        <v>54</v>
      </c>
      <c r="H17634" s="12">
        <v>-1.0741404497168601</v>
      </c>
      <c r="I17634" s="20">
        <v>-0.27846249447272098</v>
      </c>
      <c r="J17634" s="28">
        <v>0.78065735195735297</v>
      </c>
      <c r="K17634" s="29">
        <v>0.98289565623980701</v>
      </c>
    </row>
    <row r="17635" spans="1:11" x14ac:dyDescent="0.35">
      <c r="A17635" s="9" t="str">
        <f>HYPERLINK("http://www.ensembl.org/id/WBGene00012912", "WBGene00012912")</f>
        <v>WBGene00012912</v>
      </c>
      <c r="B17635" s="9" t="str">
        <f>HYPERLINK("http://www.ncbi.nlm.nih.gov/gene/174917", "174917")</f>
        <v>174917</v>
      </c>
      <c r="C17635" s="9"/>
      <c r="D17635" t="str">
        <f>"Y46G5A.22"</f>
        <v>Y46G5A.22</v>
      </c>
      <c r="F17635" t="s">
        <v>11</v>
      </c>
      <c r="G17635" t="s">
        <v>25</v>
      </c>
      <c r="H17635" s="12">
        <v>2.3914587098748101</v>
      </c>
      <c r="I17635" s="20">
        <v>0.44375735747553202</v>
      </c>
      <c r="J17635" s="28">
        <v>0.65721802157284204</v>
      </c>
      <c r="K17635" s="29">
        <v>0.98289565623980701</v>
      </c>
    </row>
    <row r="17636" spans="1:11" x14ac:dyDescent="0.35">
      <c r="A17636" s="9" t="str">
        <f>HYPERLINK("http://www.ensembl.org/id/WBGene00012916", "WBGene00012916")</f>
        <v>WBGene00012916</v>
      </c>
      <c r="B17636" s="9" t="str">
        <f>HYPERLINK("http://www.ncbi.nlm.nih.gov/gene/174921", "174921")</f>
        <v>174921</v>
      </c>
      <c r="C17636" s="9"/>
      <c r="D17636" t="str">
        <f>"Y46G5A.28"</f>
        <v>Y46G5A.28</v>
      </c>
      <c r="F17636" t="s">
        <v>11</v>
      </c>
      <c r="G17636" t="s">
        <v>2989</v>
      </c>
      <c r="H17636" s="12">
        <v>-1.12618415673136</v>
      </c>
      <c r="I17636" s="20">
        <v>-0.26150487174651499</v>
      </c>
      <c r="J17636" s="28">
        <v>0.79370319308680903</v>
      </c>
      <c r="K17636" s="29">
        <v>0.98289565623980701</v>
      </c>
    </row>
    <row r="17637" spans="1:11" x14ac:dyDescent="0.35">
      <c r="A17637" s="9" t="str">
        <f>HYPERLINK("http://www.ensembl.org/id/WBGene00044043", "WBGene00044043")</f>
        <v>WBGene00044043</v>
      </c>
      <c r="B17637" s="9" t="str">
        <f>HYPERLINK("http://www.ncbi.nlm.nih.gov/gene/13187572", "13187572")</f>
        <v>13187572</v>
      </c>
      <c r="C17637" s="9"/>
      <c r="D17637" t="str">
        <f>"Y46G5A.38"</f>
        <v>Y46G5A.38</v>
      </c>
      <c r="F17637" t="s">
        <v>11</v>
      </c>
      <c r="H17637" s="12">
        <v>-7.2621011194969496</v>
      </c>
      <c r="I17637" s="20">
        <v>-0.78226540069164696</v>
      </c>
      <c r="J17637" s="28">
        <v>0.434058616081335</v>
      </c>
      <c r="K17637" s="29">
        <v>0.98289565623980701</v>
      </c>
    </row>
    <row r="17638" spans="1:11" x14ac:dyDescent="0.35">
      <c r="A17638" s="9" t="str">
        <f>HYPERLINK("http://www.ensembl.org/id/WBGene00044164", "WBGene00044164")</f>
        <v>WBGene00044164</v>
      </c>
      <c r="B17638" s="9" t="str">
        <f>HYPERLINK("http://www.ncbi.nlm.nih.gov/gene/3565134", "3565134")</f>
        <v>3565134</v>
      </c>
      <c r="C17638" s="9"/>
      <c r="D17638" t="str">
        <f>"Y46G5A.39"</f>
        <v>Y46G5A.39</v>
      </c>
      <c r="F17638" t="s">
        <v>11</v>
      </c>
      <c r="G17638" t="s">
        <v>54</v>
      </c>
      <c r="H17638" s="12">
        <v>1.9095113640199799</v>
      </c>
      <c r="I17638" s="20">
        <v>0.52393116532545903</v>
      </c>
      <c r="J17638" s="28">
        <v>0.60032641739310999</v>
      </c>
      <c r="K17638" s="29">
        <v>0.98289565623980701</v>
      </c>
    </row>
    <row r="17639" spans="1:11" x14ac:dyDescent="0.35">
      <c r="A17639" s="9" t="str">
        <f>HYPERLINK("http://www.ensembl.org/id/WBGene00077636", "WBGene00077636")</f>
        <v>WBGene00077636</v>
      </c>
      <c r="B17639" s="9"/>
      <c r="C17639" s="9"/>
      <c r="D17639" t="str">
        <f>"Y46G5A.43"</f>
        <v>Y46G5A.43</v>
      </c>
      <c r="F17639" t="s">
        <v>80</v>
      </c>
      <c r="H17639" s="12">
        <v>1.13686224090392</v>
      </c>
      <c r="I17639" s="20">
        <v>0.33832906186676098</v>
      </c>
      <c r="J17639" s="28">
        <v>0.73511522545799801</v>
      </c>
      <c r="K17639" s="29">
        <v>0.98289565623980701</v>
      </c>
    </row>
    <row r="17640" spans="1:11" x14ac:dyDescent="0.35">
      <c r="A17640" s="9" t="str">
        <f>HYPERLINK("http://www.ensembl.org/id/WBGene00219555", "WBGene00219555")</f>
        <v>WBGene00219555</v>
      </c>
      <c r="B17640" s="9"/>
      <c r="C17640" s="9"/>
      <c r="D17640" t="str">
        <f>"Y46G5A.46"</f>
        <v>Y46G5A.46</v>
      </c>
      <c r="F17640" t="s">
        <v>2735</v>
      </c>
      <c r="H17640" s="12">
        <v>-4.7167679298615104</v>
      </c>
      <c r="I17640" s="20">
        <v>-0.454742638005115</v>
      </c>
      <c r="J17640" s="28">
        <v>0.64929440216969203</v>
      </c>
      <c r="K17640" s="29">
        <v>0.98289565623980701</v>
      </c>
    </row>
    <row r="17641" spans="1:11" x14ac:dyDescent="0.35">
      <c r="A17641" s="9" t="str">
        <f>HYPERLINK("http://www.ensembl.org/id/WBGene00012898", "WBGene00012898")</f>
        <v>WBGene00012898</v>
      </c>
      <c r="B17641" s="9"/>
      <c r="C17641" s="9"/>
      <c r="D17641" t="str">
        <f>"Y46G5A.6"</f>
        <v>Y46G5A.6</v>
      </c>
      <c r="F17641" t="s">
        <v>80</v>
      </c>
      <c r="H17641" s="12">
        <v>1.45377929341301</v>
      </c>
      <c r="I17641" s="20">
        <v>0.67001913078554398</v>
      </c>
      <c r="J17641" s="28">
        <v>0.50284559488509595</v>
      </c>
      <c r="K17641" s="29">
        <v>0.98289565623980701</v>
      </c>
    </row>
    <row r="17642" spans="1:11" x14ac:dyDescent="0.35">
      <c r="A17642" s="9" t="str">
        <f>HYPERLINK("http://www.ensembl.org/id/WBGene00012900", "WBGene00012900")</f>
        <v>WBGene00012900</v>
      </c>
      <c r="B17642" s="9" t="str">
        <f>HYPERLINK("http://www.ncbi.nlm.nih.gov/gene/174905", "174905")</f>
        <v>174905</v>
      </c>
      <c r="C17642" s="9"/>
      <c r="D17642" t="str">
        <f>"Y46G5A.8"</f>
        <v>Y46G5A.8</v>
      </c>
      <c r="F17642" t="s">
        <v>11</v>
      </c>
      <c r="G17642" t="s">
        <v>417</v>
      </c>
      <c r="H17642" s="12">
        <v>-1.40088175101174</v>
      </c>
      <c r="I17642" s="20">
        <v>-0.98829267193769699</v>
      </c>
      <c r="J17642" s="28">
        <v>0.32300933328818798</v>
      </c>
      <c r="K17642" s="29">
        <v>0.98289565623980701</v>
      </c>
    </row>
    <row r="17643" spans="1:11" x14ac:dyDescent="0.35">
      <c r="A17643" s="9" t="str">
        <f>HYPERLINK("http://www.ensembl.org/id/WBGene00189967", "WBGene00189967")</f>
        <v>WBGene00189967</v>
      </c>
      <c r="B17643" s="9"/>
      <c r="C17643" s="9"/>
      <c r="D17643" t="str">
        <f>"Y46G5A.t1"</f>
        <v>Y46G5A.t1</v>
      </c>
      <c r="F17643" t="s">
        <v>4208</v>
      </c>
      <c r="H17643" s="12">
        <v>-2.4991590031922399</v>
      </c>
      <c r="I17643" s="20">
        <v>-0.26577412737581302</v>
      </c>
      <c r="J17643" s="28">
        <v>0.79041317015736101</v>
      </c>
      <c r="K17643" s="29">
        <v>0.98289565623980701</v>
      </c>
    </row>
    <row r="17644" spans="1:11" x14ac:dyDescent="0.35">
      <c r="A17644" s="9" t="str">
        <f>HYPERLINK("http://www.ensembl.org/id/WBGene00021605", "WBGene00021605")</f>
        <v>WBGene00021605</v>
      </c>
      <c r="B17644" s="9" t="str">
        <f>HYPERLINK("http://www.ncbi.nlm.nih.gov/gene/178653", "178653")</f>
        <v>178653</v>
      </c>
      <c r="C17644" s="9"/>
      <c r="D17644" t="str">
        <f>"Y46H3C.5"</f>
        <v>Y46H3C.5</v>
      </c>
      <c r="F17644" t="s">
        <v>11</v>
      </c>
      <c r="H17644" s="12">
        <v>1.3672078870789901</v>
      </c>
      <c r="I17644" s="20">
        <v>1.1442942739369799</v>
      </c>
      <c r="J17644" s="28">
        <v>0.25250161718976699</v>
      </c>
      <c r="K17644" s="29">
        <v>0.98289565623980701</v>
      </c>
    </row>
    <row r="17645" spans="1:11" x14ac:dyDescent="0.35">
      <c r="A17645" s="9" t="str">
        <f>HYPERLINK("http://www.ensembl.org/id/WBGene00021614", "WBGene00021614")</f>
        <v>WBGene00021614</v>
      </c>
      <c r="B17645" s="9" t="str">
        <f>HYPERLINK("http://www.ncbi.nlm.nih.gov/gene/178906", "178906")</f>
        <v>178906</v>
      </c>
      <c r="C17645" s="9"/>
      <c r="D17645" t="str">
        <f>"Y47A7.2"</f>
        <v>Y47A7.2</v>
      </c>
      <c r="F17645" t="s">
        <v>11</v>
      </c>
      <c r="H17645" s="12">
        <v>1.2486129652547899</v>
      </c>
      <c r="I17645" s="20">
        <v>1.12451948488884</v>
      </c>
      <c r="J17645" s="28">
        <v>0.26079270917205499</v>
      </c>
      <c r="K17645" s="29">
        <v>0.98289565623980701</v>
      </c>
    </row>
    <row r="17646" spans="1:11" x14ac:dyDescent="0.35">
      <c r="A17646" s="9" t="str">
        <f>HYPERLINK("http://www.ensembl.org/id/WBGene00012922", "WBGene00012922")</f>
        <v>WBGene00012922</v>
      </c>
      <c r="B17646" s="9" t="str">
        <f>HYPERLINK("http://www.ncbi.nlm.nih.gov/gene/189974", "189974")</f>
        <v>189974</v>
      </c>
      <c r="C17646" s="9"/>
      <c r="D17646" t="str">
        <f>"Y47D3A.1"</f>
        <v>Y47D3A.1</v>
      </c>
      <c r="F17646" t="s">
        <v>11</v>
      </c>
      <c r="G17646" t="s">
        <v>178</v>
      </c>
      <c r="H17646" s="12">
        <v>1.16379653213874</v>
      </c>
      <c r="I17646" s="20">
        <v>0.43257321125116299</v>
      </c>
      <c r="J17646" s="28">
        <v>0.66532485458429702</v>
      </c>
      <c r="K17646" s="29">
        <v>0.98289565623980701</v>
      </c>
    </row>
    <row r="17647" spans="1:11" x14ac:dyDescent="0.35">
      <c r="A17647" s="9" t="str">
        <f>HYPERLINK("http://www.ensembl.org/id/WBGene00012926", "WBGene00012926")</f>
        <v>WBGene00012926</v>
      </c>
      <c r="B17647" s="9" t="str">
        <f>HYPERLINK("http://www.ncbi.nlm.nih.gov/gene/176550", "176550")</f>
        <v>176550</v>
      </c>
      <c r="C17647" s="9"/>
      <c r="D17647" t="str">
        <f>"Y47D3A.13"</f>
        <v>Y47D3A.13</v>
      </c>
      <c r="F17647" t="s">
        <v>11</v>
      </c>
      <c r="H17647" s="12">
        <v>-1.35048039959845</v>
      </c>
      <c r="I17647" s="20">
        <v>-0.48255728041110402</v>
      </c>
      <c r="J17647" s="28">
        <v>0.62941011784838496</v>
      </c>
      <c r="K17647" s="29">
        <v>0.98289565623980701</v>
      </c>
    </row>
    <row r="17648" spans="1:11" x14ac:dyDescent="0.35">
      <c r="A17648" s="9" t="str">
        <f>HYPERLINK("http://www.ensembl.org/id/WBGene00012927", "WBGene00012927")</f>
        <v>WBGene00012927</v>
      </c>
      <c r="B17648" s="9" t="str">
        <f>HYPERLINK("http://www.ncbi.nlm.nih.gov/gene/176551", "176551")</f>
        <v>176551</v>
      </c>
      <c r="C17648" s="9"/>
      <c r="D17648" t="str">
        <f>"Y47D3A.14"</f>
        <v>Y47D3A.14</v>
      </c>
      <c r="F17648" t="s">
        <v>11</v>
      </c>
      <c r="G17648" t="s">
        <v>9580</v>
      </c>
      <c r="H17648" s="12">
        <v>-1.2607391537049799</v>
      </c>
      <c r="I17648" s="20">
        <v>-0.95423127294992705</v>
      </c>
      <c r="J17648" s="28">
        <v>0.33996658796253099</v>
      </c>
      <c r="K17648" s="29">
        <v>0.98289565623980701</v>
      </c>
    </row>
    <row r="17649" spans="1:11" x14ac:dyDescent="0.35">
      <c r="A17649" s="9" t="str">
        <f>HYPERLINK("http://www.ensembl.org/id/WBGene00012931", "WBGene00012931")</f>
        <v>WBGene00012931</v>
      </c>
      <c r="B17649" s="9" t="str">
        <f>HYPERLINK("http://www.ncbi.nlm.nih.gov/gene/3565090", "3565090")</f>
        <v>3565090</v>
      </c>
      <c r="C17649" s="9"/>
      <c r="D17649" t="str">
        <f>"Y47D3A.20"</f>
        <v>Y47D3A.20</v>
      </c>
      <c r="F17649" t="s">
        <v>11</v>
      </c>
      <c r="H17649" s="12">
        <v>-1.0977862989698299</v>
      </c>
      <c r="I17649" s="20">
        <v>-0.34490846708225797</v>
      </c>
      <c r="J17649" s="28">
        <v>0.73016318496468702</v>
      </c>
      <c r="K17649" s="29">
        <v>0.98289565623980701</v>
      </c>
    </row>
    <row r="17650" spans="1:11" x14ac:dyDescent="0.35">
      <c r="A17650" s="9" t="str">
        <f>HYPERLINK("http://www.ensembl.org/id/WBGene00012932", "WBGene00012932")</f>
        <v>WBGene00012932</v>
      </c>
      <c r="B17650" s="9" t="str">
        <f>HYPERLINK("http://www.ncbi.nlm.nih.gov/gene/176556", "176556")</f>
        <v>176556</v>
      </c>
      <c r="C17650" s="9" t="str">
        <f>HYPERLINK("http://www.ncbi.nlm.nih.gov/gene/8562", "8562")</f>
        <v>8562</v>
      </c>
      <c r="D17650" t="str">
        <f>"Y47D3A.21"</f>
        <v>Y47D3A.21</v>
      </c>
      <c r="E17650" t="s">
        <v>8568</v>
      </c>
      <c r="F17650" t="s">
        <v>11</v>
      </c>
      <c r="G17650" t="s">
        <v>8569</v>
      </c>
      <c r="H17650" s="12">
        <v>-1.18403972041155</v>
      </c>
      <c r="I17650" s="20">
        <v>-0.86442181335992396</v>
      </c>
      <c r="J17650" s="28">
        <v>0.38735621420630401</v>
      </c>
      <c r="K17650" s="29">
        <v>0.98289565623980701</v>
      </c>
    </row>
    <row r="17651" spans="1:11" x14ac:dyDescent="0.35">
      <c r="A17651" s="9" t="str">
        <f>HYPERLINK("http://www.ensembl.org/id/WBGene00206461", "WBGene00206461")</f>
        <v>WBGene00206461</v>
      </c>
      <c r="B17651" s="9" t="str">
        <f>HYPERLINK("http://www.ncbi.nlm.nih.gov/gene/13191323", "13191323")</f>
        <v>13191323</v>
      </c>
      <c r="C17651" s="9"/>
      <c r="D17651" t="str">
        <f>"Y47D3A.34"</f>
        <v>Y47D3A.34</v>
      </c>
      <c r="F17651" t="s">
        <v>11</v>
      </c>
      <c r="G17651" t="s">
        <v>25</v>
      </c>
      <c r="H17651" s="12">
        <v>1.79934130131763</v>
      </c>
      <c r="I17651" s="20">
        <v>0.85035562997619696</v>
      </c>
      <c r="J17651" s="28">
        <v>0.39512739661353402</v>
      </c>
      <c r="K17651" s="29">
        <v>0.98289565623980701</v>
      </c>
    </row>
    <row r="17652" spans="1:11" x14ac:dyDescent="0.35">
      <c r="A17652" s="9" t="str">
        <f>HYPERLINK("http://www.ensembl.org/id/WBGene00220163", "WBGene00220163")</f>
        <v>WBGene00220163</v>
      </c>
      <c r="B17652" s="9"/>
      <c r="C17652" s="9"/>
      <c r="D17652" t="str">
        <f>"Y47D3A.35"</f>
        <v>Y47D3A.35</v>
      </c>
      <c r="F17652" t="s">
        <v>481</v>
      </c>
      <c r="H17652" s="12">
        <v>-1.1812906520444599</v>
      </c>
      <c r="I17652" s="20">
        <v>-0.70061521720765496</v>
      </c>
      <c r="J17652" s="28">
        <v>0.48354317920254702</v>
      </c>
      <c r="K17652" s="29">
        <v>0.98289565623980701</v>
      </c>
    </row>
    <row r="17653" spans="1:11" x14ac:dyDescent="0.35">
      <c r="A17653" s="9" t="str">
        <f>HYPERLINK("http://www.ensembl.org/id/WBGene00012924", "WBGene00012924")</f>
        <v>WBGene00012924</v>
      </c>
      <c r="B17653" s="9"/>
      <c r="C17653" s="9"/>
      <c r="D17653" t="str">
        <f>"Y47D3A.5"</f>
        <v>Y47D3A.5</v>
      </c>
      <c r="F17653" t="s">
        <v>80</v>
      </c>
      <c r="H17653" s="12">
        <v>1.1761852666149599</v>
      </c>
      <c r="I17653" s="20">
        <v>0.42644982052414898</v>
      </c>
      <c r="J17653" s="28">
        <v>0.66978010507213004</v>
      </c>
      <c r="K17653" s="29">
        <v>0.98289565623980701</v>
      </c>
    </row>
    <row r="17654" spans="1:11" x14ac:dyDescent="0.35">
      <c r="A17654" s="9" t="str">
        <f>HYPERLINK("http://www.ensembl.org/id/WBGene00185055", "WBGene00185055")</f>
        <v>WBGene00185055</v>
      </c>
      <c r="B17654" s="9" t="str">
        <f>HYPERLINK("http://www.ncbi.nlm.nih.gov/gene/13191359", "13191359")</f>
        <v>13191359</v>
      </c>
      <c r="C17654" s="9"/>
      <c r="D17654" t="str">
        <f>"Y47D3B.12"</f>
        <v>Y47D3B.12</v>
      </c>
      <c r="F17654" t="s">
        <v>11</v>
      </c>
      <c r="H17654" s="12">
        <v>-1.1334389711588599</v>
      </c>
      <c r="I17654" s="20">
        <v>-0.64219926488939105</v>
      </c>
      <c r="J17654" s="28">
        <v>0.52074381025671401</v>
      </c>
      <c r="K17654" s="29">
        <v>0.98289565623980701</v>
      </c>
    </row>
    <row r="17655" spans="1:11" x14ac:dyDescent="0.35">
      <c r="A17655" s="9" t="str">
        <f>HYPERLINK("http://www.ensembl.org/id/WBGene00198031", "WBGene00198031")</f>
        <v>WBGene00198031</v>
      </c>
      <c r="B17655" s="9"/>
      <c r="C17655" s="9"/>
      <c r="D17655" t="str">
        <f>"Y47D3B.16"</f>
        <v>Y47D3B.16</v>
      </c>
      <c r="F17655" t="s">
        <v>481</v>
      </c>
      <c r="H17655" s="12">
        <v>10.8131830636529</v>
      </c>
      <c r="I17655" s="20">
        <v>0.70982715185838596</v>
      </c>
      <c r="J17655" s="28">
        <v>0.477811329444844</v>
      </c>
      <c r="K17655" s="29">
        <v>0.98289565623980701</v>
      </c>
    </row>
    <row r="17656" spans="1:11" x14ac:dyDescent="0.35">
      <c r="A17656" s="9" t="str">
        <f>HYPERLINK("http://www.ensembl.org/id/WBGene00201021", "WBGene00201021")</f>
        <v>WBGene00201021</v>
      </c>
      <c r="B17656" s="9"/>
      <c r="C17656" s="9"/>
      <c r="D17656" t="str">
        <f>"Y47D3B.22"</f>
        <v>Y47D3B.22</v>
      </c>
      <c r="F17656" t="s">
        <v>481</v>
      </c>
      <c r="H17656" s="12">
        <v>3.6645215954135</v>
      </c>
      <c r="I17656" s="20">
        <v>0.37967131826092498</v>
      </c>
      <c r="J17656" s="28">
        <v>0.70418941338960395</v>
      </c>
      <c r="K17656" s="29">
        <v>0.98289565623980701</v>
      </c>
    </row>
    <row r="17657" spans="1:11" x14ac:dyDescent="0.35">
      <c r="A17657" s="9" t="str">
        <f>HYPERLINK("http://www.ensembl.org/id/WBGene00202389", "WBGene00202389")</f>
        <v>WBGene00202389</v>
      </c>
      <c r="B17657" s="9"/>
      <c r="C17657" s="9"/>
      <c r="D17657" t="str">
        <f>"Y47D3B.24"</f>
        <v>Y47D3B.24</v>
      </c>
      <c r="F17657" t="s">
        <v>481</v>
      </c>
      <c r="H17657" s="12">
        <v>-2.4991590031922399</v>
      </c>
      <c r="I17657" s="20">
        <v>-0.26577412737581302</v>
      </c>
      <c r="J17657" s="28">
        <v>0.79041317015736101</v>
      </c>
      <c r="K17657" s="29">
        <v>0.98289565623980701</v>
      </c>
    </row>
    <row r="17658" spans="1:11" x14ac:dyDescent="0.35">
      <c r="A17658" s="9" t="str">
        <f>HYPERLINK("http://www.ensembl.org/id/WBGene00012940", "WBGene00012940")</f>
        <v>WBGene00012940</v>
      </c>
      <c r="B17658" s="9" t="str">
        <f>HYPERLINK("http://www.ncbi.nlm.nih.gov/gene/189979", "189979")</f>
        <v>189979</v>
      </c>
      <c r="C17658" s="9"/>
      <c r="D17658" t="str">
        <f>"Y47D3B.3"</f>
        <v>Y47D3B.3</v>
      </c>
      <c r="F17658" t="s">
        <v>11</v>
      </c>
      <c r="H17658" s="12">
        <v>1.78434260926432</v>
      </c>
      <c r="I17658" s="20">
        <v>0.45937970252890997</v>
      </c>
      <c r="J17658" s="28">
        <v>0.64596152147936003</v>
      </c>
      <c r="K17658" s="29">
        <v>0.98289565623980701</v>
      </c>
    </row>
    <row r="17659" spans="1:11" x14ac:dyDescent="0.35">
      <c r="A17659" s="9" t="str">
        <f>HYPERLINK("http://www.ensembl.org/id/WBGene00012941", "WBGene00012941")</f>
        <v>WBGene00012941</v>
      </c>
      <c r="B17659" s="9" t="str">
        <f>HYPERLINK("http://www.ncbi.nlm.nih.gov/gene/3565656", "3565656")</f>
        <v>3565656</v>
      </c>
      <c r="C17659" s="9"/>
      <c r="D17659" t="str">
        <f>"Y47D3B.4"</f>
        <v>Y47D3B.4</v>
      </c>
      <c r="F17659" t="s">
        <v>11</v>
      </c>
      <c r="G17659" t="s">
        <v>1686</v>
      </c>
      <c r="H17659" s="12">
        <v>1.2626919634332801</v>
      </c>
      <c r="I17659" s="20">
        <v>0.60544517033883605</v>
      </c>
      <c r="J17659" s="28">
        <v>0.54488324553252399</v>
      </c>
      <c r="K17659" s="29">
        <v>0.98289565623980701</v>
      </c>
    </row>
    <row r="17660" spans="1:11" x14ac:dyDescent="0.35">
      <c r="A17660" s="9" t="str">
        <f>HYPERLINK("http://www.ensembl.org/id/WBGene00195160", "WBGene00195160")</f>
        <v>WBGene00195160</v>
      </c>
      <c r="B17660" s="9" t="str">
        <f>HYPERLINK("http://www.ncbi.nlm.nih.gov/gene/13212595", "13212595")</f>
        <v>13212595</v>
      </c>
      <c r="C17660" s="9"/>
      <c r="D17660" t="str">
        <f>"Y47D7A.17"</f>
        <v>Y47D7A.17</v>
      </c>
      <c r="F17660" t="s">
        <v>11</v>
      </c>
      <c r="H17660" s="12">
        <v>-2.4295389261469</v>
      </c>
      <c r="I17660" s="20">
        <v>-0.25808529976640998</v>
      </c>
      <c r="J17660" s="28">
        <v>0.79634107645457397</v>
      </c>
      <c r="K17660" s="29">
        <v>0.98289565623980701</v>
      </c>
    </row>
    <row r="17661" spans="1:11" x14ac:dyDescent="0.35">
      <c r="A17661" s="9" t="str">
        <f>HYPERLINK("http://www.ensembl.org/id/WBGene00235165", "WBGene00235165")</f>
        <v>WBGene00235165</v>
      </c>
      <c r="B17661" s="9" t="str">
        <f>HYPERLINK("http://www.ncbi.nlm.nih.gov/gene/24105111", "24105111")</f>
        <v>24105111</v>
      </c>
      <c r="C17661" s="9"/>
      <c r="D17661" t="str">
        <f>"Y47D7A.18"</f>
        <v>Y47D7A.18</v>
      </c>
      <c r="F17661" t="s">
        <v>11</v>
      </c>
      <c r="H17661" s="12">
        <v>2.4578120077400301</v>
      </c>
      <c r="I17661" s="20">
        <v>0.26093350314551</v>
      </c>
      <c r="J17661" s="28">
        <v>0.79414378780213601</v>
      </c>
      <c r="K17661" s="29">
        <v>0.98289565623980701</v>
      </c>
    </row>
    <row r="17662" spans="1:11" x14ac:dyDescent="0.35">
      <c r="A17662" s="9" t="str">
        <f>HYPERLINK("http://www.ensembl.org/id/WBGene00269437", "WBGene00269437")</f>
        <v>WBGene00269437</v>
      </c>
      <c r="B17662" s="9" t="str">
        <f>HYPERLINK("http://www.ncbi.nlm.nih.gov/gene/28661660", "28661660")</f>
        <v>28661660</v>
      </c>
      <c r="C17662" s="9"/>
      <c r="D17662" t="str">
        <f>"Y47D7A.19"</f>
        <v>Y47D7A.19</v>
      </c>
      <c r="F17662" t="s">
        <v>11</v>
      </c>
      <c r="H17662" s="12">
        <v>3.1706514592375101</v>
      </c>
      <c r="I17662" s="20">
        <v>0.44390112599266301</v>
      </c>
      <c r="J17662" s="28">
        <v>0.65711407043763304</v>
      </c>
      <c r="K17662" s="29">
        <v>0.98289565623980701</v>
      </c>
    </row>
    <row r="17663" spans="1:11" x14ac:dyDescent="0.35">
      <c r="A17663" s="9" t="str">
        <f>HYPERLINK("http://www.ensembl.org/id/WBGene00021616", "WBGene00021616")</f>
        <v>WBGene00021616</v>
      </c>
      <c r="B17663" s="9" t="str">
        <f>HYPERLINK("http://www.ncbi.nlm.nih.gov/gene/178838", "178838")</f>
        <v>178838</v>
      </c>
      <c r="C17663" s="9"/>
      <c r="D17663" t="str">
        <f>"Y47D7A.2"</f>
        <v>Y47D7A.2</v>
      </c>
      <c r="F17663" t="s">
        <v>11</v>
      </c>
      <c r="H17663" s="12">
        <v>1.9638662696056099</v>
      </c>
      <c r="I17663" s="20">
        <v>0.33027268083156702</v>
      </c>
      <c r="J17663" s="28">
        <v>0.74119393338581296</v>
      </c>
      <c r="K17663" s="29">
        <v>0.98289565623980701</v>
      </c>
    </row>
    <row r="17664" spans="1:11" x14ac:dyDescent="0.35">
      <c r="A17664" s="9" t="str">
        <f>HYPERLINK("http://www.ensembl.org/id/WBGene00021620", "WBGene00021620")</f>
        <v>WBGene00021620</v>
      </c>
      <c r="B17664" s="9" t="str">
        <f>HYPERLINK("http://www.ncbi.nlm.nih.gov/gene/189984", "189984")</f>
        <v>189984</v>
      </c>
      <c r="C17664" s="9"/>
      <c r="D17664" t="str">
        <f>"Y47D7A.7"</f>
        <v>Y47D7A.7</v>
      </c>
      <c r="F17664" t="s">
        <v>11</v>
      </c>
      <c r="H17664" s="12">
        <v>2.2645647615582898</v>
      </c>
      <c r="I17664" s="20">
        <v>0.66764066043504899</v>
      </c>
      <c r="J17664" s="28">
        <v>0.50436299644758298</v>
      </c>
      <c r="K17664" s="29">
        <v>0.98289565623980701</v>
      </c>
    </row>
    <row r="17665" spans="1:11" x14ac:dyDescent="0.35">
      <c r="A17665" s="9" t="str">
        <f>HYPERLINK("http://www.ensembl.org/id/WBGene00021628", "WBGene00021628")</f>
        <v>WBGene00021628</v>
      </c>
      <c r="B17665" s="9" t="str">
        <f>HYPERLINK("http://www.ncbi.nlm.nih.gov/gene/172033", "172033")</f>
        <v>172033</v>
      </c>
      <c r="C17665" s="9" t="str">
        <f>HYPERLINK("http://www.ncbi.nlm.nih.gov/gene/29926", "29926")</f>
        <v>29926</v>
      </c>
      <c r="D17665" t="str">
        <f>"Y47D9A.1"</f>
        <v>Y47D9A.1</v>
      </c>
      <c r="F17665" t="s">
        <v>11</v>
      </c>
      <c r="G17665" t="s">
        <v>7288</v>
      </c>
      <c r="H17665" s="12">
        <v>-1.11770759932144</v>
      </c>
      <c r="I17665" s="20">
        <v>-0.57460252201491102</v>
      </c>
      <c r="J17665" s="28">
        <v>0.56556014601148796</v>
      </c>
      <c r="K17665" s="29">
        <v>0.98289565623980701</v>
      </c>
    </row>
    <row r="17666" spans="1:11" x14ac:dyDescent="0.35">
      <c r="A17666" s="9" t="str">
        <f>HYPERLINK("http://www.ensembl.org/id/WBGene00021632", "WBGene00021632")</f>
        <v>WBGene00021632</v>
      </c>
      <c r="B17666" s="9" t="str">
        <f>HYPERLINK("http://www.ncbi.nlm.nih.gov/gene/172031", "172031")</f>
        <v>172031</v>
      </c>
      <c r="C17666" s="9"/>
      <c r="D17666" t="str">
        <f>"Y47D9A.5"</f>
        <v>Y47D9A.5</v>
      </c>
      <c r="F17666" t="s">
        <v>11</v>
      </c>
      <c r="G17666" t="s">
        <v>25</v>
      </c>
      <c r="H17666" s="12">
        <v>1.4259024428168801</v>
      </c>
      <c r="I17666" s="20">
        <v>0.60168201382894004</v>
      </c>
      <c r="J17666" s="28">
        <v>0.54738582470720099</v>
      </c>
      <c r="K17666" s="29">
        <v>0.98289565623980701</v>
      </c>
    </row>
    <row r="17667" spans="1:11" x14ac:dyDescent="0.35">
      <c r="A17667" s="9" t="str">
        <f>HYPERLINK("http://www.ensembl.org/id/WBGene00021641", "WBGene00021641")</f>
        <v>WBGene00021641</v>
      </c>
      <c r="B17667" s="9" t="str">
        <f>HYPERLINK("http://www.ncbi.nlm.nih.gov/gene/189995", "189995")</f>
        <v>189995</v>
      </c>
      <c r="C17667" s="9"/>
      <c r="D17667" t="str">
        <f>"Y47G6A.15"</f>
        <v>Y47G6A.15</v>
      </c>
      <c r="F17667" t="s">
        <v>11</v>
      </c>
      <c r="H17667" s="12">
        <v>1.16852658988624</v>
      </c>
      <c r="I17667" s="20">
        <v>0.71164110265346403</v>
      </c>
      <c r="J17667" s="28">
        <v>0.47668704778636301</v>
      </c>
      <c r="K17667" s="29">
        <v>0.98289565623980701</v>
      </c>
    </row>
    <row r="17668" spans="1:11" x14ac:dyDescent="0.35">
      <c r="A17668" s="9" t="str">
        <f>HYPERLINK("http://www.ensembl.org/id/WBGene00021644", "WBGene00021644")</f>
        <v>WBGene00021644</v>
      </c>
      <c r="B17668" s="9" t="str">
        <f>HYPERLINK("http://www.ncbi.nlm.nih.gov/gene/171919", "171919")</f>
        <v>171919</v>
      </c>
      <c r="C17668" s="9" t="str">
        <f>HYPERLINK("http://www.ncbi.nlm.nih.gov/gene/64083", "64083")</f>
        <v>64083</v>
      </c>
      <c r="D17668" t="str">
        <f>"Y47G6A.18"</f>
        <v>Y47G6A.18</v>
      </c>
      <c r="F17668" t="s">
        <v>11</v>
      </c>
      <c r="G17668" t="s">
        <v>8228</v>
      </c>
      <c r="H17668" s="12">
        <v>-1.16686631309019</v>
      </c>
      <c r="I17668" s="20">
        <v>-0.83471395130275206</v>
      </c>
      <c r="J17668" s="28">
        <v>0.40387878459564203</v>
      </c>
      <c r="K17668" s="29">
        <v>0.98289565623980701</v>
      </c>
    </row>
    <row r="17669" spans="1:11" x14ac:dyDescent="0.35">
      <c r="A17669" s="9" t="str">
        <f>HYPERLINK("http://www.ensembl.org/id/WBGene00021647", "WBGene00021647")</f>
        <v>WBGene00021647</v>
      </c>
      <c r="B17669" s="9" t="str">
        <f>HYPERLINK("http://www.ncbi.nlm.nih.gov/gene/171925", "171925")</f>
        <v>171925</v>
      </c>
      <c r="C17669" s="9"/>
      <c r="D17669" t="str">
        <f>"Y47G6A.22"</f>
        <v>Y47G6A.22</v>
      </c>
      <c r="F17669" t="s">
        <v>11</v>
      </c>
      <c r="G17669" t="s">
        <v>489</v>
      </c>
      <c r="H17669" s="12">
        <v>-1.0904446122715099</v>
      </c>
      <c r="I17669" s="20">
        <v>-0.39030424407408598</v>
      </c>
      <c r="J17669" s="28">
        <v>0.69631158536436599</v>
      </c>
      <c r="K17669" s="29">
        <v>0.98289565623980701</v>
      </c>
    </row>
    <row r="17670" spans="1:11" x14ac:dyDescent="0.35">
      <c r="A17670" s="9" t="str">
        <f>HYPERLINK("http://www.ensembl.org/id/WBGene00021633", "WBGene00021633")</f>
        <v>WBGene00021633</v>
      </c>
      <c r="B17670" s="9" t="str">
        <f>HYPERLINK("http://www.ncbi.nlm.nih.gov/gene/189991", "189991")</f>
        <v>189991</v>
      </c>
      <c r="C17670" s="9"/>
      <c r="D17670" t="str">
        <f>"Y47G6A.3"</f>
        <v>Y47G6A.3</v>
      </c>
      <c r="F17670" t="s">
        <v>11</v>
      </c>
      <c r="G17670" t="s">
        <v>25</v>
      </c>
      <c r="H17670" s="12">
        <v>1.5595611557167</v>
      </c>
      <c r="I17670" s="20">
        <v>0.60724306281828899</v>
      </c>
      <c r="J17670" s="28">
        <v>0.54368961789792203</v>
      </c>
      <c r="K17670" s="29">
        <v>0.98289565623980701</v>
      </c>
    </row>
    <row r="17671" spans="1:11" x14ac:dyDescent="0.35">
      <c r="A17671" s="9" t="str">
        <f>HYPERLINK("http://www.ensembl.org/id/WBGene00021653", "WBGene00021653")</f>
        <v>WBGene00021653</v>
      </c>
      <c r="B17671" s="9" t="str">
        <f>HYPERLINK("http://www.ncbi.nlm.nih.gov/gene/3565592", "3565592")</f>
        <v>3565592</v>
      </c>
      <c r="C17671" s="9"/>
      <c r="D17671" t="str">
        <f>"Y47G6A.30"</f>
        <v>Y47G6A.30</v>
      </c>
      <c r="F17671" t="s">
        <v>11</v>
      </c>
      <c r="H17671" s="12">
        <v>-7.3568545571886697</v>
      </c>
      <c r="I17671" s="20">
        <v>-0.78269599158339298</v>
      </c>
      <c r="J17671" s="28">
        <v>0.43380565666738602</v>
      </c>
      <c r="K17671" s="29">
        <v>0.98289565623980701</v>
      </c>
    </row>
    <row r="17672" spans="1:11" x14ac:dyDescent="0.35">
      <c r="A17672" s="9" t="str">
        <f>HYPERLINK("http://www.ensembl.org/id/WBGene00044436", "WBGene00044436")</f>
        <v>WBGene00044436</v>
      </c>
      <c r="B17672" s="9" t="str">
        <f>HYPERLINK("http://www.ncbi.nlm.nih.gov/gene/3565969", "3565969")</f>
        <v>3565969</v>
      </c>
      <c r="C17672" s="9"/>
      <c r="D17672" t="str">
        <f>"Y47G6A.31"</f>
        <v>Y47G6A.31</v>
      </c>
      <c r="F17672" t="s">
        <v>11</v>
      </c>
      <c r="G17672" t="s">
        <v>583</v>
      </c>
      <c r="H17672" s="12">
        <v>1.28870259869839</v>
      </c>
      <c r="I17672" s="20">
        <v>0.58547898986274804</v>
      </c>
      <c r="J17672" s="28">
        <v>0.55822568974827802</v>
      </c>
      <c r="K17672" s="29">
        <v>0.98289565623980701</v>
      </c>
    </row>
    <row r="17673" spans="1:11" x14ac:dyDescent="0.35">
      <c r="A17673" s="9" t="str">
        <f>HYPERLINK("http://www.ensembl.org/id/WBGene00044437", "WBGene00044437")</f>
        <v>WBGene00044437</v>
      </c>
      <c r="B17673" s="9" t="str">
        <f>HYPERLINK("http://www.ncbi.nlm.nih.gov/gene/3564928", "3564928")</f>
        <v>3564928</v>
      </c>
      <c r="C17673" s="9"/>
      <c r="D17673" t="str">
        <f>"Y47G6A.32"</f>
        <v>Y47G6A.32</v>
      </c>
      <c r="F17673" t="s">
        <v>11</v>
      </c>
      <c r="G17673" t="s">
        <v>25</v>
      </c>
      <c r="H17673" s="12">
        <v>1.6365398074302699</v>
      </c>
      <c r="I17673" s="20">
        <v>0.72869298875630595</v>
      </c>
      <c r="J17673" s="28">
        <v>0.466189482548586</v>
      </c>
      <c r="K17673" s="29">
        <v>0.98289565623980701</v>
      </c>
    </row>
    <row r="17674" spans="1:11" x14ac:dyDescent="0.35">
      <c r="A17674" s="9" t="str">
        <f>HYPERLINK("http://www.ensembl.org/id/WBGene00200878", "WBGene00200878")</f>
        <v>WBGene00200878</v>
      </c>
      <c r="B17674" s="9"/>
      <c r="C17674" s="9"/>
      <c r="D17674" t="str">
        <f>"Y47G6A.35"</f>
        <v>Y47G6A.35</v>
      </c>
      <c r="F17674" t="s">
        <v>481</v>
      </c>
      <c r="H17674" s="12">
        <v>2.4578120077400301</v>
      </c>
      <c r="I17674" s="20">
        <v>0.26093350314551</v>
      </c>
      <c r="J17674" s="28">
        <v>0.79414378780213601</v>
      </c>
      <c r="K17674" s="29">
        <v>0.98289565623980701</v>
      </c>
    </row>
    <row r="17675" spans="1:11" x14ac:dyDescent="0.35">
      <c r="A17675" s="9" t="str">
        <f>HYPERLINK("http://www.ensembl.org/id/WBGene00220167", "WBGene00220167")</f>
        <v>WBGene00220167</v>
      </c>
      <c r="B17675" s="9"/>
      <c r="C17675" s="9"/>
      <c r="D17675" t="str">
        <f>"Y47G6A.38"</f>
        <v>Y47G6A.38</v>
      </c>
      <c r="F17675" t="s">
        <v>2977</v>
      </c>
      <c r="H17675" s="12">
        <v>-3.5819448292659501</v>
      </c>
      <c r="I17675" s="20">
        <v>-0.37337717500031398</v>
      </c>
      <c r="J17675" s="28">
        <v>0.70886774492290605</v>
      </c>
      <c r="K17675" s="29">
        <v>0.98289565623980701</v>
      </c>
    </row>
    <row r="17676" spans="1:11" x14ac:dyDescent="0.35">
      <c r="A17676" s="9" t="str">
        <f>HYPERLINK("http://www.ensembl.org/id/WBGene00271653", "WBGene00271653")</f>
        <v>WBGene00271653</v>
      </c>
      <c r="B17676" s="9"/>
      <c r="C17676" s="9"/>
      <c r="D17676" t="str">
        <f>"Y47G6A.39"</f>
        <v>Y47G6A.39</v>
      </c>
      <c r="F17676" t="s">
        <v>481</v>
      </c>
      <c r="H17676" s="12">
        <v>-2.3838754719136599</v>
      </c>
      <c r="I17676" s="20">
        <v>-0.25807578497976902</v>
      </c>
      <c r="J17676" s="28">
        <v>0.79634841949468704</v>
      </c>
      <c r="K17676" s="29">
        <v>0.98289565623980701</v>
      </c>
    </row>
    <row r="17677" spans="1:11" x14ac:dyDescent="0.35">
      <c r="A17677" s="9" t="str">
        <f>HYPERLINK("http://www.ensembl.org/id/WBGene00021638", "WBGene00021638")</f>
        <v>WBGene00021638</v>
      </c>
      <c r="B17677" s="9" t="str">
        <f>HYPERLINK("http://www.ncbi.nlm.nih.gov/gene/171916", "171916")</f>
        <v>171916</v>
      </c>
      <c r="C17677" s="9"/>
      <c r="D17677" t="str">
        <f>"Y47G6A.9"</f>
        <v>Y47G6A.9</v>
      </c>
      <c r="F17677" t="s">
        <v>11</v>
      </c>
      <c r="G17677" t="s">
        <v>7851</v>
      </c>
      <c r="H17677" s="12">
        <v>-1.1480195518202301</v>
      </c>
      <c r="I17677" s="20">
        <v>-0.56092779789468095</v>
      </c>
      <c r="J17677" s="28">
        <v>0.57484675903312699</v>
      </c>
      <c r="K17677" s="29">
        <v>0.98289565623980701</v>
      </c>
    </row>
    <row r="17678" spans="1:11" x14ac:dyDescent="0.35">
      <c r="A17678" s="9" t="str">
        <f>HYPERLINK("http://www.ensembl.org/id/WBGene00021654", "WBGene00021654")</f>
        <v>WBGene00021654</v>
      </c>
      <c r="B17678" s="9" t="str">
        <f>HYPERLINK("http://www.ncbi.nlm.nih.gov/gene/173614", "173614")</f>
        <v>173614</v>
      </c>
      <c r="C17678" s="9"/>
      <c r="D17678" t="str">
        <f>"Y47G7B.2"</f>
        <v>Y47G7B.2</v>
      </c>
      <c r="F17678" t="s">
        <v>11</v>
      </c>
      <c r="G17678" t="s">
        <v>25</v>
      </c>
      <c r="H17678" s="12">
        <v>-1.4484195070935399</v>
      </c>
      <c r="I17678" s="20">
        <v>-1.05892307970188</v>
      </c>
      <c r="J17678" s="28">
        <v>0.28963481230642102</v>
      </c>
      <c r="K17678" s="29">
        <v>0.98289565623980701</v>
      </c>
    </row>
    <row r="17679" spans="1:11" x14ac:dyDescent="0.35">
      <c r="A17679" s="9" t="str">
        <f>HYPERLINK("http://www.ensembl.org/id/WBGene00012958", "WBGene00012958")</f>
        <v>WBGene00012958</v>
      </c>
      <c r="B17679" s="9" t="str">
        <f>HYPERLINK("http://www.ncbi.nlm.nih.gov/gene/190007", "190007")</f>
        <v>190007</v>
      </c>
      <c r="C17679" s="9"/>
      <c r="D17679" t="str">
        <f>"Y47H10A.2"</f>
        <v>Y47H10A.2</v>
      </c>
      <c r="F17679" t="s">
        <v>11</v>
      </c>
      <c r="H17679" s="12">
        <v>-1.2772372102729199</v>
      </c>
      <c r="I17679" s="20">
        <v>-0.52191258652503103</v>
      </c>
      <c r="J17679" s="28">
        <v>0.601731194404581</v>
      </c>
      <c r="K17679" s="29">
        <v>0.98289565623980701</v>
      </c>
    </row>
    <row r="17680" spans="1:11" x14ac:dyDescent="0.35">
      <c r="A17680" s="9" t="str">
        <f>HYPERLINK("http://www.ensembl.org/id/WBGene00012960", "WBGene00012960")</f>
        <v>WBGene00012960</v>
      </c>
      <c r="B17680" s="9" t="str">
        <f>HYPERLINK("http://www.ncbi.nlm.nih.gov/gene/173090", "173090")</f>
        <v>173090</v>
      </c>
      <c r="C17680" s="9"/>
      <c r="D17680" t="str">
        <f>"Y47H10A.4"</f>
        <v>Y47H10A.4</v>
      </c>
      <c r="F17680" t="s">
        <v>11</v>
      </c>
      <c r="G17680" t="s">
        <v>644</v>
      </c>
      <c r="H17680" s="12">
        <v>1.1171556078202001</v>
      </c>
      <c r="I17680" s="20">
        <v>0.39402537700631401</v>
      </c>
      <c r="J17680" s="28">
        <v>0.69356230356578896</v>
      </c>
      <c r="K17680" s="29">
        <v>0.98289565623980701</v>
      </c>
    </row>
    <row r="17681" spans="1:11" x14ac:dyDescent="0.35">
      <c r="A17681" s="9" t="str">
        <f>HYPERLINK("http://www.ensembl.org/id/WBGene00012946", "WBGene00012946")</f>
        <v>WBGene00012946</v>
      </c>
      <c r="B17681" s="9" t="str">
        <f>HYPERLINK("http://www.ncbi.nlm.nih.gov/gene/173057", "173057")</f>
        <v>173057</v>
      </c>
      <c r="C17681" s="9"/>
      <c r="D17681" t="str">
        <f>"Y47H9B.2"</f>
        <v>Y47H9B.2</v>
      </c>
      <c r="F17681" t="s">
        <v>11</v>
      </c>
      <c r="H17681" s="12">
        <v>-1.5393372948001001</v>
      </c>
      <c r="I17681" s="20">
        <v>-0.43015832128719</v>
      </c>
      <c r="J17681" s="28">
        <v>0.66708047790073399</v>
      </c>
      <c r="K17681" s="29">
        <v>0.98289565623980701</v>
      </c>
    </row>
    <row r="17682" spans="1:11" x14ac:dyDescent="0.35">
      <c r="A17682" s="9" t="str">
        <f>HYPERLINK("http://www.ensembl.org/id/WBGene00012955", "WBGene00012955")</f>
        <v>WBGene00012955</v>
      </c>
      <c r="B17682" s="9" t="str">
        <f>HYPERLINK("http://www.ncbi.nlm.nih.gov/gene/190003", "190003")</f>
        <v>190003</v>
      </c>
      <c r="C17682" s="9"/>
      <c r="D17682" t="str">
        <f>"Y47H9C.12"</f>
        <v>Y47H9C.12</v>
      </c>
      <c r="F17682" t="s">
        <v>11</v>
      </c>
      <c r="H17682" s="12">
        <v>-2.4295389261469</v>
      </c>
      <c r="I17682" s="20">
        <v>-0.25808529976640998</v>
      </c>
      <c r="J17682" s="28">
        <v>0.79634107645457397</v>
      </c>
      <c r="K17682" s="29">
        <v>0.98289565623980701</v>
      </c>
    </row>
    <row r="17683" spans="1:11" x14ac:dyDescent="0.35">
      <c r="A17683" s="9" t="str">
        <f>HYPERLINK("http://www.ensembl.org/id/WBGene00012956", "WBGene00012956")</f>
        <v>WBGene00012956</v>
      </c>
      <c r="B17683" s="9"/>
      <c r="C17683" s="9"/>
      <c r="D17683" t="str">
        <f>"Y47H9C.14"</f>
        <v>Y47H9C.14</v>
      </c>
      <c r="F17683" t="s">
        <v>80</v>
      </c>
      <c r="H17683" s="12">
        <v>5.4871973923358901</v>
      </c>
      <c r="I17683" s="20">
        <v>0.499843548621418</v>
      </c>
      <c r="J17683" s="28">
        <v>0.61718524397184105</v>
      </c>
      <c r="K17683" s="29">
        <v>0.98289565623980701</v>
      </c>
    </row>
    <row r="17684" spans="1:11" x14ac:dyDescent="0.35">
      <c r="A17684" s="9" t="str">
        <f>HYPERLINK("http://www.ensembl.org/id/WBGene00012951", "WBGene00012951")</f>
        <v>WBGene00012951</v>
      </c>
      <c r="B17684" s="9" t="str">
        <f>HYPERLINK("http://www.ncbi.nlm.nih.gov/gene/173068", "173068")</f>
        <v>173068</v>
      </c>
      <c r="C17684" s="9"/>
      <c r="D17684" t="str">
        <f>"Y47H9C.8"</f>
        <v>Y47H9C.8</v>
      </c>
      <c r="F17684" t="s">
        <v>11</v>
      </c>
      <c r="G17684" t="s">
        <v>2783</v>
      </c>
      <c r="H17684" s="12">
        <v>-1.15449506775985</v>
      </c>
      <c r="I17684" s="20">
        <v>-0.63200894720464496</v>
      </c>
      <c r="J17684" s="28">
        <v>0.52738103077183995</v>
      </c>
      <c r="K17684" s="29">
        <v>0.98289565623980701</v>
      </c>
    </row>
    <row r="17685" spans="1:11" x14ac:dyDescent="0.35">
      <c r="A17685" s="9" t="str">
        <f>HYPERLINK("http://www.ensembl.org/id/WBGene00012952", "WBGene00012952")</f>
        <v>WBGene00012952</v>
      </c>
      <c r="B17685" s="9" t="str">
        <f>HYPERLINK("http://www.ncbi.nlm.nih.gov/gene/190000", "190000")</f>
        <v>190000</v>
      </c>
      <c r="C17685" s="9"/>
      <c r="D17685" t="str">
        <f>"Y47H9C.9"</f>
        <v>Y47H9C.9</v>
      </c>
      <c r="F17685" t="s">
        <v>11</v>
      </c>
      <c r="H17685" s="12">
        <v>11.170998397396099</v>
      </c>
      <c r="I17685" s="20">
        <v>0.72284615686154896</v>
      </c>
      <c r="J17685" s="28">
        <v>0.46977440626377698</v>
      </c>
      <c r="K17685" s="29">
        <v>0.98289565623980701</v>
      </c>
    </row>
    <row r="17686" spans="1:11" x14ac:dyDescent="0.35">
      <c r="A17686" s="9" t="str">
        <f>HYPERLINK("http://www.ensembl.org/id/WBGene00194684", "WBGene00194684")</f>
        <v>WBGene00194684</v>
      </c>
      <c r="B17686" s="9" t="str">
        <f>HYPERLINK("http://www.ncbi.nlm.nih.gov/gene/13191287", "13191287")</f>
        <v>13191287</v>
      </c>
      <c r="C17686" s="9"/>
      <c r="D17686" t="str">
        <f>"Y48A6B.14"</f>
        <v>Y48A6B.14</v>
      </c>
      <c r="F17686" t="s">
        <v>11</v>
      </c>
      <c r="H17686" s="12">
        <v>-3.40517997462055</v>
      </c>
      <c r="I17686" s="20">
        <v>-0.44562966553438899</v>
      </c>
      <c r="J17686" s="28">
        <v>0.65586477808227595</v>
      </c>
      <c r="K17686" s="29">
        <v>0.98289565623980701</v>
      </c>
    </row>
    <row r="17687" spans="1:11" x14ac:dyDescent="0.35">
      <c r="A17687" s="9" t="str">
        <f>HYPERLINK("http://www.ensembl.org/id/WBGene00199292", "WBGene00199292")</f>
        <v>WBGene00199292</v>
      </c>
      <c r="B17687" s="9"/>
      <c r="C17687" s="9"/>
      <c r="D17687" t="str">
        <f>"Y48A6B.17"</f>
        <v>Y48A6B.17</v>
      </c>
      <c r="F17687" t="s">
        <v>481</v>
      </c>
      <c r="H17687" s="12">
        <v>-2.4991590031922399</v>
      </c>
      <c r="I17687" s="20">
        <v>-0.26577412737581302</v>
      </c>
      <c r="J17687" s="28">
        <v>0.79041317015736101</v>
      </c>
      <c r="K17687" s="29">
        <v>0.98289565623980701</v>
      </c>
    </row>
    <row r="17688" spans="1:11" x14ac:dyDescent="0.35">
      <c r="A17688" s="9" t="str">
        <f>HYPERLINK("http://www.ensembl.org/id/WBGene00012964", "WBGene00012964")</f>
        <v>WBGene00012964</v>
      </c>
      <c r="B17688" s="9" t="str">
        <f>HYPERLINK("http://www.ncbi.nlm.nih.gov/gene/176531", "176531")</f>
        <v>176531</v>
      </c>
      <c r="C17688" s="9" t="str">
        <f>HYPERLINK("http://www.ncbi.nlm.nih.gov/gene/55651", "55651")</f>
        <v>55651</v>
      </c>
      <c r="D17688" t="str">
        <f>"Y48A6B.3"</f>
        <v>Y48A6B.3</v>
      </c>
      <c r="E17688" t="s">
        <v>7336</v>
      </c>
      <c r="F17688" t="s">
        <v>11</v>
      </c>
      <c r="G17688" t="s">
        <v>7337</v>
      </c>
      <c r="H17688" s="12">
        <v>-1.11994949881068</v>
      </c>
      <c r="I17688" s="20">
        <v>-0.51167680026209905</v>
      </c>
      <c r="J17688" s="28">
        <v>0.60887722547405698</v>
      </c>
      <c r="K17688" s="29">
        <v>0.98289565623980701</v>
      </c>
    </row>
    <row r="17689" spans="1:11" x14ac:dyDescent="0.35">
      <c r="A17689" s="9" t="str">
        <f>HYPERLINK("http://www.ensembl.org/id/WBGene00012969", "WBGene00012969")</f>
        <v>WBGene00012969</v>
      </c>
      <c r="B17689" s="9" t="str">
        <f>HYPERLINK("http://www.ncbi.nlm.nih.gov/gene/190012", "190012")</f>
        <v>190012</v>
      </c>
      <c r="C17689" s="9"/>
      <c r="D17689" t="str">
        <f>"Y48A6B.8"</f>
        <v>Y48A6B.8</v>
      </c>
      <c r="F17689" t="s">
        <v>11</v>
      </c>
      <c r="H17689" s="12">
        <v>1.2972839380047001</v>
      </c>
      <c r="I17689" s="20">
        <v>0.34234961416516402</v>
      </c>
      <c r="J17689" s="28">
        <v>0.73208780204143398</v>
      </c>
      <c r="K17689" s="29">
        <v>0.98289565623980701</v>
      </c>
    </row>
    <row r="17690" spans="1:11" x14ac:dyDescent="0.35">
      <c r="A17690" s="9" t="str">
        <f>HYPERLINK("http://www.ensembl.org/id/WBGene00012970", "WBGene00012970")</f>
        <v>WBGene00012970</v>
      </c>
      <c r="B17690" s="9" t="str">
        <f>HYPERLINK("http://www.ncbi.nlm.nih.gov/gene/176534", "176534")</f>
        <v>176534</v>
      </c>
      <c r="C17690" s="9"/>
      <c r="D17690" t="str">
        <f>"Y48A6B.9"</f>
        <v>Y48A6B.9</v>
      </c>
      <c r="E17690" t="s">
        <v>5611</v>
      </c>
      <c r="F17690" t="s">
        <v>11</v>
      </c>
      <c r="G17690" t="s">
        <v>5612</v>
      </c>
      <c r="H17690" s="12">
        <v>1.1346710536042699</v>
      </c>
      <c r="I17690" s="20">
        <v>0.61876448440954201</v>
      </c>
      <c r="J17690" s="28">
        <v>0.53607152219111298</v>
      </c>
      <c r="K17690" s="29">
        <v>0.98289565623980701</v>
      </c>
    </row>
    <row r="17691" spans="1:11" x14ac:dyDescent="0.35">
      <c r="A17691" s="9" t="str">
        <f>HYPERLINK("http://www.ensembl.org/id/WBGene00164986", "WBGene00164986")</f>
        <v>WBGene00164986</v>
      </c>
      <c r="B17691" s="9" t="str">
        <f>HYPERLINK("http://www.ncbi.nlm.nih.gov/gene/13191306", "13191306")</f>
        <v>13191306</v>
      </c>
      <c r="C17691" s="9"/>
      <c r="D17691" t="str">
        <f>"Y48A6C.6"</f>
        <v>Y48A6C.6</v>
      </c>
      <c r="F17691" t="s">
        <v>11</v>
      </c>
      <c r="H17691" s="12">
        <v>2.3893468495514898</v>
      </c>
      <c r="I17691" s="20">
        <v>0.25323547253672701</v>
      </c>
      <c r="J17691" s="28">
        <v>0.80008625651646104</v>
      </c>
      <c r="K17691" s="29">
        <v>0.98289565623980701</v>
      </c>
    </row>
    <row r="17692" spans="1:11" x14ac:dyDescent="0.35">
      <c r="A17692" s="9" t="str">
        <f>HYPERLINK("http://www.ensembl.org/id/WBGene00012978", "WBGene00012978")</f>
        <v>WBGene00012978</v>
      </c>
      <c r="B17692" s="9" t="str">
        <f>HYPERLINK("http://www.ncbi.nlm.nih.gov/gene/175069", "175069")</f>
        <v>175069</v>
      </c>
      <c r="C17692" s="9" t="str">
        <f>HYPERLINK("http://www.ncbi.nlm.nih.gov/gene/23246", "23246")</f>
        <v>23246</v>
      </c>
      <c r="D17692" t="str">
        <f>"Y48B6A.1"</f>
        <v>Y48B6A.1</v>
      </c>
      <c r="E17692" t="s">
        <v>9484</v>
      </c>
      <c r="F17692" t="s">
        <v>11</v>
      </c>
      <c r="G17692" t="s">
        <v>9485</v>
      </c>
      <c r="H17692" s="12">
        <v>-1.2501911753902899</v>
      </c>
      <c r="I17692" s="20">
        <v>-1.08715859942552</v>
      </c>
      <c r="J17692" s="28">
        <v>0.27696672393428501</v>
      </c>
      <c r="K17692" s="29">
        <v>0.98289565623980701</v>
      </c>
    </row>
    <row r="17693" spans="1:11" x14ac:dyDescent="0.35">
      <c r="A17693" s="9" t="str">
        <f>HYPERLINK("http://www.ensembl.org/id/WBGene00050948", "WBGene00050948")</f>
        <v>WBGene00050948</v>
      </c>
      <c r="B17693" s="9"/>
      <c r="C17693" s="9"/>
      <c r="D17693" t="str">
        <f>"Y48B6A.16"</f>
        <v>Y48B6A.16</v>
      </c>
      <c r="F17693" t="s">
        <v>80</v>
      </c>
      <c r="H17693" s="12">
        <v>-1.4840345008417299</v>
      </c>
      <c r="I17693" s="20">
        <v>-0.32612284361119298</v>
      </c>
      <c r="J17693" s="28">
        <v>0.74433141433039995</v>
      </c>
      <c r="K17693" s="29">
        <v>0.98289565623980701</v>
      </c>
    </row>
    <row r="17694" spans="1:11" x14ac:dyDescent="0.35">
      <c r="A17694" s="9" t="str">
        <f>HYPERLINK("http://www.ensembl.org/id/WBGene00197231", "WBGene00197231")</f>
        <v>WBGene00197231</v>
      </c>
      <c r="B17694" s="9"/>
      <c r="C17694" s="9"/>
      <c r="D17694" t="str">
        <f>"Y48B6A.18"</f>
        <v>Y48B6A.18</v>
      </c>
      <c r="F17694" t="s">
        <v>481</v>
      </c>
      <c r="H17694" s="12">
        <v>2.2723204043556202</v>
      </c>
      <c r="I17694" s="20">
        <v>0.35902834113172899</v>
      </c>
      <c r="J17694" s="28">
        <v>0.71957388766183406</v>
      </c>
      <c r="K17694" s="29">
        <v>0.98289565623980701</v>
      </c>
    </row>
    <row r="17695" spans="1:11" x14ac:dyDescent="0.35">
      <c r="A17695" s="9" t="str">
        <f>HYPERLINK("http://www.ensembl.org/id/WBGene00200061", "WBGene00200061")</f>
        <v>WBGene00200061</v>
      </c>
      <c r="B17695" s="9"/>
      <c r="C17695" s="9"/>
      <c r="D17695" t="str">
        <f>"Y48B6A.21"</f>
        <v>Y48B6A.21</v>
      </c>
      <c r="F17695" t="s">
        <v>481</v>
      </c>
      <c r="H17695" s="12">
        <v>-2.4991590031922399</v>
      </c>
      <c r="I17695" s="20">
        <v>-0.26577412737581302</v>
      </c>
      <c r="J17695" s="28">
        <v>0.79041317015736101</v>
      </c>
      <c r="K17695" s="29">
        <v>0.98289565623980701</v>
      </c>
    </row>
    <row r="17696" spans="1:11" x14ac:dyDescent="0.35">
      <c r="A17696" s="9" t="str">
        <f>HYPERLINK("http://www.ensembl.org/id/WBGene00201670", "WBGene00201670")</f>
        <v>WBGene00201670</v>
      </c>
      <c r="B17696" s="9"/>
      <c r="C17696" s="9"/>
      <c r="D17696" t="str">
        <f>"Y48B6A.23"</f>
        <v>Y48B6A.23</v>
      </c>
      <c r="F17696" t="s">
        <v>481</v>
      </c>
      <c r="H17696" s="12">
        <v>2.4578120077400301</v>
      </c>
      <c r="I17696" s="20">
        <v>0.26093350314551</v>
      </c>
      <c r="J17696" s="28">
        <v>0.79414378780213601</v>
      </c>
      <c r="K17696" s="29">
        <v>0.98289565623980701</v>
      </c>
    </row>
    <row r="17697" spans="1:11" x14ac:dyDescent="0.35">
      <c r="A17697" s="9" t="str">
        <f>HYPERLINK("http://www.ensembl.org/id/WBGene00012979", "WBGene00012979")</f>
        <v>WBGene00012979</v>
      </c>
      <c r="B17697" s="9" t="str">
        <f>HYPERLINK("http://www.ncbi.nlm.nih.gov/gene/190017", "190017")</f>
        <v>190017</v>
      </c>
      <c r="C17697" s="9"/>
      <c r="D17697" t="str">
        <f>"Y48B6A.5"</f>
        <v>Y48B6A.5</v>
      </c>
      <c r="E17697" t="s">
        <v>899</v>
      </c>
      <c r="F17697" t="s">
        <v>11</v>
      </c>
      <c r="G17697" t="s">
        <v>3403</v>
      </c>
      <c r="H17697" s="12">
        <v>1.8265404353007799</v>
      </c>
      <c r="I17697" s="20">
        <v>0.50238884141914197</v>
      </c>
      <c r="J17697" s="28">
        <v>0.61539402672240895</v>
      </c>
      <c r="K17697" s="29">
        <v>0.98289565623980701</v>
      </c>
    </row>
    <row r="17698" spans="1:11" x14ac:dyDescent="0.35">
      <c r="A17698" s="9" t="str">
        <f>HYPERLINK("http://www.ensembl.org/id/WBGene00012994", "WBGene00012994")</f>
        <v>WBGene00012994</v>
      </c>
      <c r="B17698" s="9" t="str">
        <f>HYPERLINK("http://www.ncbi.nlm.nih.gov/gene/190022", "190022")</f>
        <v>190022</v>
      </c>
      <c r="C17698" s="9"/>
      <c r="D17698" t="str">
        <f>"Y48C3A.12"</f>
        <v>Y48C3A.12</v>
      </c>
      <c r="F17698" t="s">
        <v>11</v>
      </c>
      <c r="G17698" t="s">
        <v>6967</v>
      </c>
      <c r="H17698" s="12">
        <v>-1.10018287381602</v>
      </c>
      <c r="I17698" s="20">
        <v>-0.47379261918313098</v>
      </c>
      <c r="J17698" s="28">
        <v>0.6356477983837</v>
      </c>
      <c r="K17698" s="29">
        <v>0.98289565623980701</v>
      </c>
    </row>
    <row r="17699" spans="1:11" x14ac:dyDescent="0.35">
      <c r="A17699" s="9" t="str">
        <f>HYPERLINK("http://www.ensembl.org/id/WBGene00012995", "WBGene00012995")</f>
        <v>WBGene00012995</v>
      </c>
      <c r="B17699" s="9" t="str">
        <f>HYPERLINK("http://www.ncbi.nlm.nih.gov/gene/174978", "174978")</f>
        <v>174978</v>
      </c>
      <c r="C17699" s="9" t="str">
        <f>HYPERLINK("http://www.ncbi.nlm.nih.gov/gene/8940", "8940")</f>
        <v>8940</v>
      </c>
      <c r="D17699" t="str">
        <f>"Y48C3A.14"</f>
        <v>Y48C3A.14</v>
      </c>
      <c r="E17699" t="s">
        <v>9345</v>
      </c>
      <c r="F17699" t="s">
        <v>11</v>
      </c>
      <c r="G17699" t="s">
        <v>9346</v>
      </c>
      <c r="H17699" s="12">
        <v>-1.23994055252224</v>
      </c>
      <c r="I17699" s="20">
        <v>-1.08934434436161</v>
      </c>
      <c r="J17699" s="28">
        <v>0.27600206458579002</v>
      </c>
      <c r="K17699" s="29">
        <v>0.98289565623980701</v>
      </c>
    </row>
    <row r="17700" spans="1:11" x14ac:dyDescent="0.35">
      <c r="A17700" s="9" t="str">
        <f>HYPERLINK("http://www.ensembl.org/id/WBGene00012997", "WBGene00012997")</f>
        <v>WBGene00012997</v>
      </c>
      <c r="B17700" s="9" t="str">
        <f>HYPERLINK("http://www.ncbi.nlm.nih.gov/gene/174981", "174981")</f>
        <v>174981</v>
      </c>
      <c r="C17700" s="9"/>
      <c r="D17700" t="str">
        <f>"Y48C3A.18"</f>
        <v>Y48C3A.18</v>
      </c>
      <c r="F17700" t="s">
        <v>11</v>
      </c>
      <c r="G17700" t="s">
        <v>8941</v>
      </c>
      <c r="H17700" s="12">
        <v>-1.2095750842080699</v>
      </c>
      <c r="I17700" s="20">
        <v>-0.64293392519610904</v>
      </c>
      <c r="J17700" s="28">
        <v>0.52026697505397701</v>
      </c>
      <c r="K17700" s="29">
        <v>0.98289565623980701</v>
      </c>
    </row>
    <row r="17701" spans="1:11" x14ac:dyDescent="0.35">
      <c r="A17701" s="9" t="str">
        <f>HYPERLINK("http://www.ensembl.org/id/WBGene00012998", "WBGene00012998")</f>
        <v>WBGene00012998</v>
      </c>
      <c r="B17701" s="9" t="str">
        <f>HYPERLINK("http://www.ncbi.nlm.nih.gov/gene/174977", "174977")</f>
        <v>174977</v>
      </c>
      <c r="C17701" s="9" t="str">
        <f>HYPERLINK("http://www.ncbi.nlm.nih.gov/gene/150962", "150962")</f>
        <v>150962</v>
      </c>
      <c r="D17701" t="str">
        <f>"Y48C3A.20"</f>
        <v>Y48C3A.20</v>
      </c>
      <c r="F17701" t="s">
        <v>11</v>
      </c>
      <c r="G17701" t="s">
        <v>6576</v>
      </c>
      <c r="H17701" s="12">
        <v>-1.1211072998651399</v>
      </c>
      <c r="I17701" s="20">
        <v>-0.45242439281371799</v>
      </c>
      <c r="J17701" s="28">
        <v>0.65096327756438399</v>
      </c>
      <c r="K17701" s="29">
        <v>0.98289565623980701</v>
      </c>
    </row>
    <row r="17702" spans="1:11" x14ac:dyDescent="0.35">
      <c r="A17702" s="9" t="str">
        <f>HYPERLINK("http://www.ensembl.org/id/WBGene00199755", "WBGene00199755")</f>
        <v>WBGene00199755</v>
      </c>
      <c r="B17702" s="9"/>
      <c r="C17702" s="9"/>
      <c r="D17702" t="str">
        <f>"Y48C3A.22"</f>
        <v>Y48C3A.22</v>
      </c>
      <c r="F17702" t="s">
        <v>481</v>
      </c>
      <c r="H17702" s="12">
        <v>7.8691597089380902</v>
      </c>
      <c r="I17702" s="20">
        <v>0.61251365190975104</v>
      </c>
      <c r="J17702" s="28">
        <v>0.54019796842331003</v>
      </c>
      <c r="K17702" s="29">
        <v>0.98289565623980701</v>
      </c>
    </row>
    <row r="17703" spans="1:11" x14ac:dyDescent="0.35">
      <c r="A17703" s="9" t="str">
        <f>HYPERLINK("http://www.ensembl.org/id/WBGene00202202", "WBGene00202202")</f>
        <v>WBGene00202202</v>
      </c>
      <c r="B17703" s="9"/>
      <c r="C17703" s="9"/>
      <c r="D17703" t="str">
        <f>"Y48C3A.24"</f>
        <v>Y48C3A.24</v>
      </c>
      <c r="F17703" t="s">
        <v>481</v>
      </c>
      <c r="H17703" s="12">
        <v>4.4368407117627902</v>
      </c>
      <c r="I17703" s="20">
        <v>0.43709475933309699</v>
      </c>
      <c r="J17703" s="28">
        <v>0.66204262779770495</v>
      </c>
      <c r="K17703" s="29">
        <v>0.98289565623980701</v>
      </c>
    </row>
    <row r="17704" spans="1:11" x14ac:dyDescent="0.35">
      <c r="A17704" s="9" t="str">
        <f>HYPERLINK("http://www.ensembl.org/id/WBGene00220170", "WBGene00220170")</f>
        <v>WBGene00220170</v>
      </c>
      <c r="B17704" s="9"/>
      <c r="C17704" s="9"/>
      <c r="D17704" t="str">
        <f>"Y48C3A.25"</f>
        <v>Y48C3A.25</v>
      </c>
      <c r="F17704" t="s">
        <v>481</v>
      </c>
      <c r="H17704" s="12">
        <v>2.3893468495514898</v>
      </c>
      <c r="I17704" s="20">
        <v>0.25323547253672701</v>
      </c>
      <c r="J17704" s="28">
        <v>0.80008625651646104</v>
      </c>
      <c r="K17704" s="29">
        <v>0.98289565623980701</v>
      </c>
    </row>
    <row r="17705" spans="1:11" x14ac:dyDescent="0.35">
      <c r="A17705" s="9" t="str">
        <f>HYPERLINK("http://www.ensembl.org/id/WBGene00012987", "WBGene00012987")</f>
        <v>WBGene00012987</v>
      </c>
      <c r="B17705" s="9" t="str">
        <f>HYPERLINK("http://www.ncbi.nlm.nih.gov/gene/190020", "190020")</f>
        <v>190020</v>
      </c>
      <c r="C17705" s="9"/>
      <c r="D17705" t="str">
        <f>"Y48C3A.3"</f>
        <v>Y48C3A.3</v>
      </c>
      <c r="F17705" t="s">
        <v>11</v>
      </c>
      <c r="G17705" t="s">
        <v>318</v>
      </c>
      <c r="H17705" s="12">
        <v>1.2039969074209</v>
      </c>
      <c r="I17705" s="20">
        <v>0.82640176405132804</v>
      </c>
      <c r="J17705" s="28">
        <v>0.408576223087047</v>
      </c>
      <c r="K17705" s="29">
        <v>0.98289565623980701</v>
      </c>
    </row>
    <row r="17706" spans="1:11" x14ac:dyDescent="0.35">
      <c r="A17706" s="9" t="str">
        <f>HYPERLINK("http://www.ensembl.org/id/WBGene00021656", "WBGene00021656")</f>
        <v>WBGene00021656</v>
      </c>
      <c r="B17706" s="9" t="str">
        <f>HYPERLINK("http://www.ncbi.nlm.nih.gov/gene/190024", "190024")</f>
        <v>190024</v>
      </c>
      <c r="C17706" s="9"/>
      <c r="D17706" t="str">
        <f>"Y48D7A.1"</f>
        <v>Y48D7A.1</v>
      </c>
      <c r="F17706" t="s">
        <v>11</v>
      </c>
      <c r="H17706" s="12">
        <v>2.0843261232436499</v>
      </c>
      <c r="I17706" s="20">
        <v>0.62615242540990401</v>
      </c>
      <c r="J17706" s="28">
        <v>0.53121496851284999</v>
      </c>
      <c r="K17706" s="29">
        <v>0.98289565623980701</v>
      </c>
    </row>
    <row r="17707" spans="1:11" x14ac:dyDescent="0.35">
      <c r="A17707" s="9" t="str">
        <f>HYPERLINK("http://www.ensembl.org/id/WBGene00303002", "WBGene00303002")</f>
        <v>WBGene00303002</v>
      </c>
      <c r="B17707" s="9" t="str">
        <f>HYPERLINK("http://www.ncbi.nlm.nih.gov/gene/36805057", "36805057")</f>
        <v>36805057</v>
      </c>
      <c r="C17707" s="9"/>
      <c r="D17707" t="str">
        <f>"Y48E1B.17"</f>
        <v>Y48E1B.17</v>
      </c>
      <c r="F17707" t="s">
        <v>11</v>
      </c>
      <c r="G17707" t="s">
        <v>25</v>
      </c>
      <c r="H17707" s="12">
        <v>-1.1110789767221101</v>
      </c>
      <c r="I17707" s="20">
        <v>-0.26609370777505797</v>
      </c>
      <c r="J17707" s="28">
        <v>0.79016704083409595</v>
      </c>
      <c r="K17707" s="29">
        <v>0.98289565623980701</v>
      </c>
    </row>
    <row r="17708" spans="1:11" x14ac:dyDescent="0.35">
      <c r="A17708" s="9" t="str">
        <f>HYPERLINK("http://www.ensembl.org/id/WBGene00013002", "WBGene00013002")</f>
        <v>WBGene00013002</v>
      </c>
      <c r="B17708" s="9" t="str">
        <f>HYPERLINK("http://www.ncbi.nlm.nih.gov/gene/174999", "174999")</f>
        <v>174999</v>
      </c>
      <c r="C17708" s="9" t="str">
        <f>HYPERLINK("http://www.ncbi.nlm.nih.gov/gene/5229", "5229")</f>
        <v>5229</v>
      </c>
      <c r="D17708" t="str">
        <f>"Y48E1B.3"</f>
        <v>Y48E1B.3</v>
      </c>
      <c r="F17708" t="s">
        <v>11</v>
      </c>
      <c r="G17708" t="s">
        <v>6351</v>
      </c>
      <c r="H17708" s="12">
        <v>-1.0645547024725901</v>
      </c>
      <c r="I17708" s="20">
        <v>-0.31522716970030901</v>
      </c>
      <c r="J17708" s="28">
        <v>0.75258917793753399</v>
      </c>
      <c r="K17708" s="29">
        <v>0.98289565623980701</v>
      </c>
    </row>
    <row r="17709" spans="1:11" x14ac:dyDescent="0.35">
      <c r="A17709" s="9" t="str">
        <f>HYPERLINK("http://www.ensembl.org/id/WBGene00013014", "WBGene00013014")</f>
        <v>WBGene00013014</v>
      </c>
      <c r="B17709" s="9" t="str">
        <f>HYPERLINK("http://www.ncbi.nlm.nih.gov/gene/174982", "174982")</f>
        <v>174982</v>
      </c>
      <c r="C17709" s="9"/>
      <c r="D17709" t="str">
        <f>"Y48E1C.1"</f>
        <v>Y48E1C.1</v>
      </c>
      <c r="F17709" t="s">
        <v>11</v>
      </c>
      <c r="G17709" t="s">
        <v>9217</v>
      </c>
      <c r="H17709" s="12">
        <v>-1.2284943730528599</v>
      </c>
      <c r="I17709" s="20">
        <v>-0.99028657195766201</v>
      </c>
      <c r="J17709" s="28">
        <v>0.32203406804859902</v>
      </c>
      <c r="K17709" s="29">
        <v>0.98289565623980701</v>
      </c>
    </row>
    <row r="17710" spans="1:11" x14ac:dyDescent="0.35">
      <c r="A17710" s="9" t="str">
        <f>HYPERLINK("http://www.ensembl.org/id/WBGene00013017", "WBGene00013017")</f>
        <v>WBGene00013017</v>
      </c>
      <c r="B17710" s="9" t="str">
        <f>HYPERLINK("http://www.ncbi.nlm.nih.gov/gene/174984", "174984")</f>
        <v>174984</v>
      </c>
      <c r="C17710" s="9"/>
      <c r="D17710" t="str">
        <f>"Y48E1C.4"</f>
        <v>Y48E1C.4</v>
      </c>
      <c r="F17710" t="s">
        <v>11</v>
      </c>
      <c r="H17710" s="12">
        <v>-1.06620478955438</v>
      </c>
      <c r="I17710" s="20">
        <v>-0.29319918512068999</v>
      </c>
      <c r="J17710" s="28">
        <v>0.76936990691419405</v>
      </c>
      <c r="K17710" s="29">
        <v>0.98289565623980701</v>
      </c>
    </row>
    <row r="17711" spans="1:11" x14ac:dyDescent="0.35">
      <c r="A17711" s="9" t="str">
        <f>HYPERLINK("http://www.ensembl.org/id/WBGene00013018", "WBGene00013018")</f>
        <v>WBGene00013018</v>
      </c>
      <c r="B17711" s="9" t="str">
        <f>HYPERLINK("http://www.ncbi.nlm.nih.gov/gene/173220", "173220")</f>
        <v>173220</v>
      </c>
      <c r="C17711" s="9" t="str">
        <f>HYPERLINK("http://www.ncbi.nlm.nih.gov/gene/2098", "2098")</f>
        <v>2098</v>
      </c>
      <c r="D17711" t="str">
        <f>"Y48G10A.1"</f>
        <v>Y48G10A.1</v>
      </c>
      <c r="E17711" t="s">
        <v>7976</v>
      </c>
      <c r="F17711" t="s">
        <v>11</v>
      </c>
      <c r="G17711" t="s">
        <v>7977</v>
      </c>
      <c r="H17711" s="12">
        <v>-1.15443885655733</v>
      </c>
      <c r="I17711" s="20">
        <v>-0.74593327076337101</v>
      </c>
      <c r="J17711" s="28">
        <v>0.455707725809612</v>
      </c>
      <c r="K17711" s="29">
        <v>0.98289565623980701</v>
      </c>
    </row>
    <row r="17712" spans="1:11" x14ac:dyDescent="0.35">
      <c r="A17712" s="9" t="str">
        <f>HYPERLINK("http://www.ensembl.org/id/WBGene00013020", "WBGene00013020")</f>
        <v>WBGene00013020</v>
      </c>
      <c r="B17712" s="9" t="str">
        <f>HYPERLINK("http://www.ncbi.nlm.nih.gov/gene/173217", "173217")</f>
        <v>173217</v>
      </c>
      <c r="C17712" s="9" t="str">
        <f>HYPERLINK("http://www.ncbi.nlm.nih.gov/gene/57446", "57446")</f>
        <v>57446</v>
      </c>
      <c r="D17712" t="str">
        <f>"Y48G10A.3"</f>
        <v>Y48G10A.3</v>
      </c>
      <c r="F17712" t="s">
        <v>11</v>
      </c>
      <c r="G17712" t="s">
        <v>8942</v>
      </c>
      <c r="H17712" s="12">
        <v>-1.2096876773603999</v>
      </c>
      <c r="I17712" s="20">
        <v>-1.0144811064597601</v>
      </c>
      <c r="J17712" s="28">
        <v>0.31035324030320599</v>
      </c>
      <c r="K17712" s="29">
        <v>0.98289565623980701</v>
      </c>
    </row>
    <row r="17713" spans="1:11" x14ac:dyDescent="0.35">
      <c r="A17713" s="9" t="str">
        <f>HYPERLINK("http://www.ensembl.org/id/WBGene00013021", "WBGene00013021")</f>
        <v>WBGene00013021</v>
      </c>
      <c r="B17713" s="9" t="str">
        <f>HYPERLINK("http://www.ncbi.nlm.nih.gov/gene/173216", "173216")</f>
        <v>173216</v>
      </c>
      <c r="C17713" s="9"/>
      <c r="D17713" t="str">
        <f>"Y48G10A.4"</f>
        <v>Y48G10A.4</v>
      </c>
      <c r="F17713" t="s">
        <v>11</v>
      </c>
      <c r="G17713" t="s">
        <v>9790</v>
      </c>
      <c r="H17713" s="12">
        <v>-1.3021825429428699</v>
      </c>
      <c r="I17713" s="20">
        <v>-1.19918977977046</v>
      </c>
      <c r="J17713" s="28">
        <v>0.23045416036834801</v>
      </c>
      <c r="K17713" s="29">
        <v>0.98289565623980701</v>
      </c>
    </row>
    <row r="17714" spans="1:11" x14ac:dyDescent="0.35">
      <c r="A17714" s="9" t="str">
        <f>HYPERLINK("http://www.ensembl.org/id/WBGene00235385", "WBGene00235385")</f>
        <v>WBGene00235385</v>
      </c>
      <c r="B17714" s="9"/>
      <c r="C17714" s="9"/>
      <c r="D17714" t="str">
        <f>"Y48G1A.7"</f>
        <v>Y48G1A.7</v>
      </c>
      <c r="F17714" t="s">
        <v>80</v>
      </c>
      <c r="H17714" s="12">
        <v>-1.1786549997212401</v>
      </c>
      <c r="I17714" s="20">
        <v>-0.40994503746148903</v>
      </c>
      <c r="J17714" s="28">
        <v>0.68184626650140301</v>
      </c>
      <c r="K17714" s="29">
        <v>0.98289565623980701</v>
      </c>
    </row>
    <row r="17715" spans="1:11" x14ac:dyDescent="0.35">
      <c r="A17715" s="9" t="str">
        <f>HYPERLINK("http://www.ensembl.org/id/WBGene00021664", "WBGene00021664")</f>
        <v>WBGene00021664</v>
      </c>
      <c r="B17715" s="9"/>
      <c r="C17715" s="9"/>
      <c r="D17715" t="str">
        <f>"Y48G1BL.5"</f>
        <v>Y48G1BL.5</v>
      </c>
      <c r="F17715" t="s">
        <v>80</v>
      </c>
      <c r="H17715" s="12">
        <v>-1.8383065128598</v>
      </c>
      <c r="I17715" s="20">
        <v>-1.1864769945075599</v>
      </c>
      <c r="J17715" s="28">
        <v>0.23543398138874799</v>
      </c>
      <c r="K17715" s="29">
        <v>0.98289565623980701</v>
      </c>
    </row>
    <row r="17716" spans="1:11" x14ac:dyDescent="0.35">
      <c r="A17716" s="9" t="str">
        <f>HYPERLINK("http://www.ensembl.org/id/WBGene00255594", "WBGene00255594")</f>
        <v>WBGene00255594</v>
      </c>
      <c r="B17716" s="9" t="str">
        <f>HYPERLINK("http://www.ncbi.nlm.nih.gov/gene/25502999", "25502999")</f>
        <v>25502999</v>
      </c>
      <c r="C17716" s="9"/>
      <c r="D17716" t="str">
        <f>"Y48G1BL.8"</f>
        <v>Y48G1BL.8</v>
      </c>
      <c r="F17716" t="s">
        <v>11</v>
      </c>
      <c r="G17716" t="s">
        <v>3534</v>
      </c>
      <c r="H17716" s="12">
        <v>-2.1607714105325999</v>
      </c>
      <c r="I17716" s="20">
        <v>-0.96631624526159599</v>
      </c>
      <c r="J17716" s="28">
        <v>0.333885959536039</v>
      </c>
      <c r="K17716" s="29">
        <v>0.98289565623980701</v>
      </c>
    </row>
    <row r="17717" spans="1:11" x14ac:dyDescent="0.35">
      <c r="A17717" s="9" t="str">
        <f>HYPERLINK("http://www.ensembl.org/id/WBGene00021673", "WBGene00021673")</f>
        <v>WBGene00021673</v>
      </c>
      <c r="B17717" s="9"/>
      <c r="C17717" s="9"/>
      <c r="D17717" t="str">
        <f>"Y48G1BM.8"</f>
        <v>Y48G1BM.8</v>
      </c>
      <c r="F17717" t="s">
        <v>80</v>
      </c>
      <c r="H17717" s="12">
        <v>3.11609627495727</v>
      </c>
      <c r="I17717" s="20">
        <v>0.76251975269616701</v>
      </c>
      <c r="J17717" s="28">
        <v>0.44574985861203797</v>
      </c>
      <c r="K17717" s="29">
        <v>0.98289565623980701</v>
      </c>
    </row>
    <row r="17718" spans="1:11" x14ac:dyDescent="0.35">
      <c r="A17718" s="9" t="str">
        <f>HYPERLINK("http://www.ensembl.org/id/WBGene00021683", "WBGene00021683")</f>
        <v>WBGene00021683</v>
      </c>
      <c r="B17718" s="9" t="str">
        <f>HYPERLINK("http://www.ncbi.nlm.nih.gov/gene/353378", "353378")</f>
        <v>353378</v>
      </c>
      <c r="C17718" s="9"/>
      <c r="D17718" t="str">
        <f>"Y48G1C.10"</f>
        <v>Y48G1C.10</v>
      </c>
      <c r="F17718" t="s">
        <v>11</v>
      </c>
      <c r="G17718" t="s">
        <v>7268</v>
      </c>
      <c r="H17718" s="12">
        <v>-1.1162250302271901</v>
      </c>
      <c r="I17718" s="20">
        <v>-0.53730722290975996</v>
      </c>
      <c r="J17718" s="28">
        <v>0.591055417026222</v>
      </c>
      <c r="K17718" s="29">
        <v>0.98289565623980701</v>
      </c>
    </row>
    <row r="17719" spans="1:11" x14ac:dyDescent="0.35">
      <c r="A17719" s="9" t="str">
        <f>HYPERLINK("http://www.ensembl.org/id/WBGene00044345", "WBGene00044345")</f>
        <v>WBGene00044345</v>
      </c>
      <c r="B17719" s="9" t="str">
        <f>HYPERLINK("http://www.ncbi.nlm.nih.gov/gene/3565580", "3565580")</f>
        <v>3565580</v>
      </c>
      <c r="C17719" s="9" t="str">
        <f>HYPERLINK("http://www.ncbi.nlm.nih.gov/gene/10393", "10393")</f>
        <v>10393</v>
      </c>
      <c r="D17719" t="str">
        <f>"Y48G1C.12"</f>
        <v>Y48G1C.12</v>
      </c>
      <c r="F17719" t="s">
        <v>11</v>
      </c>
      <c r="G17719" t="s">
        <v>7862</v>
      </c>
      <c r="H17719" s="12">
        <v>-1.14856354958852</v>
      </c>
      <c r="I17719" s="20">
        <v>-0.59482763460614496</v>
      </c>
      <c r="J17719" s="28">
        <v>0.55195869336783698</v>
      </c>
      <c r="K17719" s="29">
        <v>0.98289565623980701</v>
      </c>
    </row>
    <row r="17720" spans="1:11" x14ac:dyDescent="0.35">
      <c r="A17720" s="9" t="str">
        <f>HYPERLINK("http://www.ensembl.org/id/WBGene00021679", "WBGene00021679")</f>
        <v>WBGene00021679</v>
      </c>
      <c r="B17720" s="9" t="str">
        <f>HYPERLINK("http://www.ncbi.nlm.nih.gov/gene/171597", "171597")</f>
        <v>171597</v>
      </c>
      <c r="C17720" s="9"/>
      <c r="D17720" t="str">
        <f>"Y48G1C.6"</f>
        <v>Y48G1C.6</v>
      </c>
      <c r="F17720" t="s">
        <v>11</v>
      </c>
      <c r="H17720" s="12">
        <v>1.0849988368677801</v>
      </c>
      <c r="I17720" s="20">
        <v>0.28345358999656101</v>
      </c>
      <c r="J17720" s="28">
        <v>0.77682915313921597</v>
      </c>
      <c r="K17720" s="29">
        <v>0.98289565623980701</v>
      </c>
    </row>
    <row r="17721" spans="1:11" x14ac:dyDescent="0.35">
      <c r="A17721" s="9" t="str">
        <f>HYPERLINK("http://www.ensembl.org/id/WBGene00021681", "WBGene00021681")</f>
        <v>WBGene00021681</v>
      </c>
      <c r="B17721" s="9" t="str">
        <f>HYPERLINK("http://www.ncbi.nlm.nih.gov/gene/3564797", "3564797")</f>
        <v>3564797</v>
      </c>
      <c r="C17721" s="9"/>
      <c r="D17721" t="str">
        <f>"Y48G1C.8"</f>
        <v>Y48G1C.8</v>
      </c>
      <c r="F17721" t="s">
        <v>11</v>
      </c>
      <c r="H17721" s="12">
        <v>-1.0978119696838899</v>
      </c>
      <c r="I17721" s="20">
        <v>-0.48272268723728701</v>
      </c>
      <c r="J17721" s="28">
        <v>0.62929265218997898</v>
      </c>
      <c r="K17721" s="29">
        <v>0.98289565623980701</v>
      </c>
    </row>
    <row r="17722" spans="1:11" x14ac:dyDescent="0.35">
      <c r="A17722" s="9" t="str">
        <f>HYPERLINK("http://www.ensembl.org/id/WBGene00021682", "WBGene00021682")</f>
        <v>WBGene00021682</v>
      </c>
      <c r="B17722" s="9" t="str">
        <f>HYPERLINK("http://www.ncbi.nlm.nih.gov/gene/3565103", "3565103")</f>
        <v>3565103</v>
      </c>
      <c r="C17722" s="9"/>
      <c r="D17722" t="str">
        <f>"Y48G1C.9"</f>
        <v>Y48G1C.9</v>
      </c>
      <c r="F17722" t="s">
        <v>11</v>
      </c>
      <c r="G17722" t="s">
        <v>7621</v>
      </c>
      <c r="H17722" s="12">
        <v>-1.13645329579076</v>
      </c>
      <c r="I17722" s="20">
        <v>-0.59969602326308602</v>
      </c>
      <c r="J17722" s="28">
        <v>0.54870883902738599</v>
      </c>
      <c r="K17722" s="29">
        <v>0.98289565623980701</v>
      </c>
    </row>
    <row r="17723" spans="1:11" x14ac:dyDescent="0.35">
      <c r="A17723" s="9" t="str">
        <f>HYPERLINK("http://www.ensembl.org/id/WBGene00021689", "WBGene00021689")</f>
        <v>WBGene00021689</v>
      </c>
      <c r="B17723" s="9" t="str">
        <f>HYPERLINK("http://www.ncbi.nlm.nih.gov/gene/3565634", "3565634")</f>
        <v>3565634</v>
      </c>
      <c r="C17723" s="9"/>
      <c r="D17723" t="str">
        <f>"Y48G8AL.10"</f>
        <v>Y48G8AL.10</v>
      </c>
      <c r="F17723" t="s">
        <v>11</v>
      </c>
      <c r="G17723" t="s">
        <v>6588</v>
      </c>
      <c r="H17723" s="12">
        <v>-1.22534995688876</v>
      </c>
      <c r="I17723" s="20">
        <v>-0.93644852067955298</v>
      </c>
      <c r="J17723" s="28">
        <v>0.34904230600298902</v>
      </c>
      <c r="K17723" s="29">
        <v>0.98289565623980701</v>
      </c>
    </row>
    <row r="17724" spans="1:11" x14ac:dyDescent="0.35">
      <c r="A17724" s="9" t="str">
        <f>HYPERLINK("http://www.ensembl.org/id/WBGene00021690", "WBGene00021690")</f>
        <v>WBGene00021690</v>
      </c>
      <c r="B17724" s="9" t="str">
        <f>HYPERLINK("http://www.ncbi.nlm.nih.gov/gene/171698", "171698")</f>
        <v>171698</v>
      </c>
      <c r="C17724" s="9"/>
      <c r="D17724" t="str">
        <f>"Y48G8AL.12"</f>
        <v>Y48G8AL.12</v>
      </c>
      <c r="F17724" t="s">
        <v>11</v>
      </c>
      <c r="H17724" s="12">
        <v>-1.2654218464731</v>
      </c>
      <c r="I17724" s="20">
        <v>-0.35664727426534498</v>
      </c>
      <c r="J17724" s="28">
        <v>0.72135588198518896</v>
      </c>
      <c r="K17724" s="29">
        <v>0.98289565623980701</v>
      </c>
    </row>
    <row r="17725" spans="1:11" x14ac:dyDescent="0.35">
      <c r="A17725" s="9" t="str">
        <f>HYPERLINK("http://www.ensembl.org/id/WBGene00021691", "WBGene00021691")</f>
        <v>WBGene00021691</v>
      </c>
      <c r="B17725" s="9" t="str">
        <f>HYPERLINK("http://www.ncbi.nlm.nih.gov/gene/171699", "171699")</f>
        <v>171699</v>
      </c>
      <c r="C17725" s="9"/>
      <c r="D17725" t="str">
        <f>"Y48G8AL.13"</f>
        <v>Y48G8AL.13</v>
      </c>
      <c r="F17725" t="s">
        <v>11</v>
      </c>
      <c r="G17725" t="s">
        <v>3092</v>
      </c>
      <c r="H17725" s="12">
        <v>-1.09156645438546</v>
      </c>
      <c r="I17725" s="20">
        <v>-0.49055663139650801</v>
      </c>
      <c r="J17725" s="28">
        <v>0.62374006641855195</v>
      </c>
      <c r="K17725" s="29">
        <v>0.98289565623980701</v>
      </c>
    </row>
    <row r="17726" spans="1:11" x14ac:dyDescent="0.35">
      <c r="A17726" s="9" t="str">
        <f>HYPERLINK("http://www.ensembl.org/id/WBGene00021692", "WBGene00021692")</f>
        <v>WBGene00021692</v>
      </c>
      <c r="B17726" s="9" t="str">
        <f>HYPERLINK("http://www.ncbi.nlm.nih.gov/gene/259363", "259363")</f>
        <v>259363</v>
      </c>
      <c r="C17726" s="9"/>
      <c r="D17726" t="str">
        <f>"Y48G8AL.15"</f>
        <v>Y48G8AL.15</v>
      </c>
      <c r="F17726" t="s">
        <v>11</v>
      </c>
      <c r="G17726" t="s">
        <v>8717</v>
      </c>
      <c r="H17726" s="12">
        <v>-1.19266214629331</v>
      </c>
      <c r="I17726" s="20">
        <v>-0.59463934718211697</v>
      </c>
      <c r="J17726" s="28">
        <v>0.55208457277093403</v>
      </c>
      <c r="K17726" s="29">
        <v>0.98289565623980701</v>
      </c>
    </row>
    <row r="17727" spans="1:11" x14ac:dyDescent="0.35">
      <c r="A17727" s="9" t="str">
        <f>HYPERLINK("http://www.ensembl.org/id/WBGene00195068", "WBGene00195068")</f>
        <v>WBGene00195068</v>
      </c>
      <c r="B17727" s="9" t="str">
        <f>HYPERLINK("http://www.ncbi.nlm.nih.gov/gene/13179322", "13179322")</f>
        <v>13179322</v>
      </c>
      <c r="C17727" s="9"/>
      <c r="D17727" t="str">
        <f>"Y48G8AL.16"</f>
        <v>Y48G8AL.16</v>
      </c>
      <c r="F17727" t="s">
        <v>11</v>
      </c>
      <c r="H17727" s="12">
        <v>2.3893468495514898</v>
      </c>
      <c r="I17727" s="20">
        <v>0.25323547253672701</v>
      </c>
      <c r="J17727" s="28">
        <v>0.80008625651646104</v>
      </c>
      <c r="K17727" s="29">
        <v>0.98289565623980701</v>
      </c>
    </row>
    <row r="17728" spans="1:11" x14ac:dyDescent="0.35">
      <c r="A17728" s="9" t="str">
        <f>HYPERLINK("http://www.ensembl.org/id/WBGene00021686", "WBGene00021686")</f>
        <v>WBGene00021686</v>
      </c>
      <c r="B17728" s="9" t="str">
        <f>HYPERLINK("http://www.ncbi.nlm.nih.gov/gene/171697", "171697")</f>
        <v>171697</v>
      </c>
      <c r="C17728" s="9" t="str">
        <f>HYPERLINK("http://www.ncbi.nlm.nih.gov/gene/54888", "54888")</f>
        <v>54888</v>
      </c>
      <c r="D17728" t="str">
        <f>"Y48G8AL.5"</f>
        <v>Y48G8AL.5</v>
      </c>
      <c r="F17728" t="s">
        <v>11</v>
      </c>
      <c r="G17728" t="s">
        <v>9458</v>
      </c>
      <c r="H17728" s="12">
        <v>-1.2477406168198899</v>
      </c>
      <c r="I17728" s="20">
        <v>-1.1430455921381899</v>
      </c>
      <c r="J17728" s="28">
        <v>0.25301966209201798</v>
      </c>
      <c r="K17728" s="29">
        <v>0.98289565623980701</v>
      </c>
    </row>
    <row r="17729" spans="1:11" x14ac:dyDescent="0.35">
      <c r="A17729" s="9" t="str">
        <f>HYPERLINK("http://www.ensembl.org/id/WBGene00021687", "WBGene00021687")</f>
        <v>WBGene00021687</v>
      </c>
      <c r="B17729" s="9" t="str">
        <f>HYPERLINK("http://www.ncbi.nlm.nih.gov/gene/171693", "171693")</f>
        <v>171693</v>
      </c>
      <c r="C17729" s="9"/>
      <c r="D17729" t="str">
        <f>"Y48G8AL.7"</f>
        <v>Y48G8AL.7</v>
      </c>
      <c r="F17729" t="s">
        <v>11</v>
      </c>
      <c r="H17729" s="12">
        <v>-1.36868997439228</v>
      </c>
      <c r="I17729" s="20">
        <v>-0.986879475897113</v>
      </c>
      <c r="J17729" s="28">
        <v>0.32370172692440002</v>
      </c>
      <c r="K17729" s="29">
        <v>0.98289565623980701</v>
      </c>
    </row>
    <row r="17730" spans="1:11" x14ac:dyDescent="0.35">
      <c r="A17730" s="9" t="str">
        <f>HYPERLINK("http://www.ensembl.org/id/WBGene00021694", "WBGene00021694")</f>
        <v>WBGene00021694</v>
      </c>
      <c r="B17730" s="9" t="str">
        <f>HYPERLINK("http://www.ncbi.nlm.nih.gov/gene/190049", "190049")</f>
        <v>190049</v>
      </c>
      <c r="C17730" s="9"/>
      <c r="D17730" t="str">
        <f>"Y48G8AR.3"</f>
        <v>Y48G8AR.3</v>
      </c>
      <c r="F17730" t="s">
        <v>11</v>
      </c>
      <c r="H17730" s="12">
        <v>3.02946735613844</v>
      </c>
      <c r="I17730" s="20">
        <v>0.71881075931551197</v>
      </c>
      <c r="J17730" s="28">
        <v>0.47225752744497701</v>
      </c>
      <c r="K17730" s="29">
        <v>0.98289565623980701</v>
      </c>
    </row>
    <row r="17731" spans="1:11" x14ac:dyDescent="0.35">
      <c r="A17731" s="9" t="str">
        <f>HYPERLINK("http://www.ensembl.org/id/WBGene00271777", "WBGene00271777")</f>
        <v>WBGene00271777</v>
      </c>
      <c r="B17731" s="9" t="str">
        <f>HYPERLINK("http://www.ncbi.nlm.nih.gov/gene/34700654", "34700654")</f>
        <v>34700654</v>
      </c>
      <c r="C17731" s="9"/>
      <c r="D17731" t="str">
        <f>"Y48G8AR.8"</f>
        <v>Y48G8AR.8</v>
      </c>
      <c r="F17731" t="s">
        <v>11</v>
      </c>
      <c r="H17731" s="12">
        <v>2.7830261720491301</v>
      </c>
      <c r="I17731" s="20">
        <v>0.527063588362779</v>
      </c>
      <c r="J17731" s="28">
        <v>0.598149431193014</v>
      </c>
      <c r="K17731" s="29">
        <v>0.98289565623980701</v>
      </c>
    </row>
    <row r="17732" spans="1:11" x14ac:dyDescent="0.35">
      <c r="A17732" s="9" t="str">
        <f>HYPERLINK("http://www.ensembl.org/id/WBGene00021700", "WBGene00021700")</f>
        <v>WBGene00021700</v>
      </c>
      <c r="B17732" s="9" t="str">
        <f>HYPERLINK("http://www.ncbi.nlm.nih.gov/gene/190053", "190053")</f>
        <v>190053</v>
      </c>
      <c r="C17732" s="9"/>
      <c r="D17732" t="str">
        <f>"Y48G9A.6"</f>
        <v>Y48G9A.6</v>
      </c>
      <c r="F17732" t="s">
        <v>11</v>
      </c>
      <c r="H17732" s="12">
        <v>-3.7261494131482999</v>
      </c>
      <c r="I17732" s="20">
        <v>-0.38454673129429601</v>
      </c>
      <c r="J17732" s="28">
        <v>0.70057326682554</v>
      </c>
      <c r="K17732" s="29">
        <v>0.98289565623980701</v>
      </c>
    </row>
    <row r="17733" spans="1:11" x14ac:dyDescent="0.35">
      <c r="A17733" s="9" t="str">
        <f>HYPERLINK("http://www.ensembl.org/id/WBGene00021702", "WBGene00021702")</f>
        <v>WBGene00021702</v>
      </c>
      <c r="B17733" s="9" t="str">
        <f>HYPERLINK("http://www.ncbi.nlm.nih.gov/gene/175343", "175343")</f>
        <v>175343</v>
      </c>
      <c r="C17733" s="9"/>
      <c r="D17733" t="str">
        <f>"Y48G9A.9"</f>
        <v>Y48G9A.9</v>
      </c>
      <c r="E17733" t="s">
        <v>1019</v>
      </c>
      <c r="F17733" t="s">
        <v>11</v>
      </c>
      <c r="G17733" t="s">
        <v>1020</v>
      </c>
      <c r="H17733" s="12">
        <v>-1.1573382402602801</v>
      </c>
      <c r="I17733" s="20">
        <v>-0.78134668738525703</v>
      </c>
      <c r="J17733" s="28">
        <v>0.43459861784172799</v>
      </c>
      <c r="K17733" s="29">
        <v>0.98289565623980701</v>
      </c>
    </row>
    <row r="17734" spans="1:11" x14ac:dyDescent="0.35">
      <c r="A17734" s="9" t="str">
        <f>HYPERLINK("http://www.ensembl.org/id/WBGene00044949", "WBGene00044949")</f>
        <v>WBGene00044949</v>
      </c>
      <c r="B17734" s="9" t="str">
        <f>HYPERLINK("http://www.ncbi.nlm.nih.gov/gene/4927063", "4927063")</f>
        <v>4927063</v>
      </c>
      <c r="C17734" s="9"/>
      <c r="D17734" t="str">
        <f>"Y49A10A.2"</f>
        <v>Y49A10A.2</v>
      </c>
      <c r="F17734" t="s">
        <v>11</v>
      </c>
      <c r="H17734" s="12">
        <v>1.0744465728339201</v>
      </c>
      <c r="I17734" s="20">
        <v>0.34385709110434398</v>
      </c>
      <c r="J17734" s="28">
        <v>0.73095376262821199</v>
      </c>
      <c r="K17734" s="29">
        <v>0.98289565623980701</v>
      </c>
    </row>
    <row r="17735" spans="1:11" x14ac:dyDescent="0.35">
      <c r="A17735" s="9" t="str">
        <f>HYPERLINK("http://www.ensembl.org/id/WBGene00013027", "WBGene00013027")</f>
        <v>WBGene00013027</v>
      </c>
      <c r="B17735" s="9" t="str">
        <f>HYPERLINK("http://www.ncbi.nlm.nih.gov/gene/190058", "190058")</f>
        <v>190058</v>
      </c>
      <c r="C17735" s="9"/>
      <c r="D17735" t="str">
        <f>"Y49A3A.4"</f>
        <v>Y49A3A.4</v>
      </c>
      <c r="F17735" t="s">
        <v>11</v>
      </c>
      <c r="H17735" s="12">
        <v>1.39291548900632</v>
      </c>
      <c r="I17735" s="20">
        <v>0.57911810266434705</v>
      </c>
      <c r="J17735" s="28">
        <v>0.56250948603293205</v>
      </c>
      <c r="K17735" s="29">
        <v>0.98289565623980701</v>
      </c>
    </row>
    <row r="17736" spans="1:11" x14ac:dyDescent="0.35">
      <c r="A17736" s="9" t="str">
        <f>HYPERLINK("http://www.ensembl.org/id/WBGene00194686", "WBGene00194686")</f>
        <v>WBGene00194686</v>
      </c>
      <c r="B17736" s="9"/>
      <c r="C17736" s="9"/>
      <c r="D17736" t="str">
        <f>"Y49A3A.6"</f>
        <v>Y49A3A.6</v>
      </c>
      <c r="F17736" t="s">
        <v>2735</v>
      </c>
      <c r="H17736" s="12">
        <v>3.5227018545059199</v>
      </c>
      <c r="I17736" s="20">
        <v>0.36849691206929103</v>
      </c>
      <c r="J17736" s="28">
        <v>0.71250274722433404</v>
      </c>
      <c r="K17736" s="29">
        <v>0.98289565623980701</v>
      </c>
    </row>
    <row r="17737" spans="1:11" x14ac:dyDescent="0.35">
      <c r="A17737" s="9" t="str">
        <f>HYPERLINK("http://www.ensembl.org/id/WBGene00013040", "WBGene00013040")</f>
        <v>WBGene00013040</v>
      </c>
      <c r="B17737" s="9" t="str">
        <f>HYPERLINK("http://www.ncbi.nlm.nih.gov/gene/190069", "190069")</f>
        <v>190069</v>
      </c>
      <c r="C17737" s="9"/>
      <c r="D17737" t="str">
        <f>"Y49E10.21"</f>
        <v>Y49E10.21</v>
      </c>
      <c r="F17737" t="s">
        <v>11</v>
      </c>
      <c r="H17737" s="12">
        <v>-1.1081621249487299</v>
      </c>
      <c r="I17737" s="20">
        <v>-0.52484823353084897</v>
      </c>
      <c r="J17737" s="28">
        <v>0.59968869810971503</v>
      </c>
      <c r="K17737" s="29">
        <v>0.98289565623980701</v>
      </c>
    </row>
    <row r="17738" spans="1:11" x14ac:dyDescent="0.35">
      <c r="A17738" s="9" t="str">
        <f>HYPERLINK("http://www.ensembl.org/id/WBGene00013044", "WBGene00013044")</f>
        <v>WBGene00013044</v>
      </c>
      <c r="B17738" s="9" t="str">
        <f>HYPERLINK("http://www.ncbi.nlm.nih.gov/gene/190072", "190072")</f>
        <v>190072</v>
      </c>
      <c r="C17738" s="9"/>
      <c r="D17738" t="str">
        <f>"Y49E10.25"</f>
        <v>Y49E10.25</v>
      </c>
      <c r="F17738" t="s">
        <v>11</v>
      </c>
      <c r="G17738" t="s">
        <v>29</v>
      </c>
      <c r="H17738" s="12">
        <v>16.217611553187702</v>
      </c>
      <c r="I17738" s="20">
        <v>0.94333696891586505</v>
      </c>
      <c r="J17738" s="28">
        <v>0.34550857211368002</v>
      </c>
      <c r="K17738" s="29">
        <v>0.98289565623980701</v>
      </c>
    </row>
    <row r="17739" spans="1:11" x14ac:dyDescent="0.35">
      <c r="A17739" s="9" t="str">
        <f>HYPERLINK("http://www.ensembl.org/id/WBGene00013045", "WBGene00013045")</f>
        <v>WBGene00013045</v>
      </c>
      <c r="B17739" s="9" t="str">
        <f>HYPERLINK("http://www.ncbi.nlm.nih.gov/gene/3565317", "3565317")</f>
        <v>3565317</v>
      </c>
      <c r="C17739" s="9"/>
      <c r="D17739" t="str">
        <f>"Y49E10.27"</f>
        <v>Y49E10.27</v>
      </c>
      <c r="F17739" t="s">
        <v>11</v>
      </c>
      <c r="G17739" t="s">
        <v>51</v>
      </c>
      <c r="H17739" s="12">
        <v>2.3893468495514898</v>
      </c>
      <c r="I17739" s="20">
        <v>0.25323547253672701</v>
      </c>
      <c r="J17739" s="28">
        <v>0.80008625651646104</v>
      </c>
      <c r="K17739" s="29">
        <v>0.98289565623980701</v>
      </c>
    </row>
    <row r="17740" spans="1:11" x14ac:dyDescent="0.35">
      <c r="A17740" s="9" t="str">
        <f>HYPERLINK("http://www.ensembl.org/id/WBGene00045239", "WBGene00045239")</f>
        <v>WBGene00045239</v>
      </c>
      <c r="B17740" s="9" t="str">
        <f>HYPERLINK("http://www.ncbi.nlm.nih.gov/gene/6418662", "6418662")</f>
        <v>6418662</v>
      </c>
      <c r="C17740" s="9"/>
      <c r="D17740" t="str">
        <f>"Y49E10.29"</f>
        <v>Y49E10.29</v>
      </c>
      <c r="F17740" t="s">
        <v>11</v>
      </c>
      <c r="G17740" t="s">
        <v>25</v>
      </c>
      <c r="H17740" s="12">
        <v>-1.24281674838297</v>
      </c>
      <c r="I17740" s="20">
        <v>-1.06778266742631</v>
      </c>
      <c r="J17740" s="28">
        <v>0.28561855825858701</v>
      </c>
      <c r="K17740" s="29">
        <v>0.98289565623980701</v>
      </c>
    </row>
    <row r="17741" spans="1:11" x14ac:dyDescent="0.35">
      <c r="A17741" s="9" t="str">
        <f>HYPERLINK("http://www.ensembl.org/id/WBGene00304219", "WBGene00304219")</f>
        <v>WBGene00304219</v>
      </c>
      <c r="B17741" s="9"/>
      <c r="C17741" s="9"/>
      <c r="D17741" t="str">
        <f>"Y49E10.37"</f>
        <v>Y49E10.37</v>
      </c>
      <c r="F17741" t="s">
        <v>481</v>
      </c>
      <c r="H17741" s="12">
        <v>1.50160122673398</v>
      </c>
      <c r="I17741" s="20">
        <v>0.38113849430438801</v>
      </c>
      <c r="J17741" s="28">
        <v>0.70310048496215705</v>
      </c>
      <c r="K17741" s="29">
        <v>0.98289565623980701</v>
      </c>
    </row>
    <row r="17742" spans="1:11" x14ac:dyDescent="0.35">
      <c r="A17742" s="9" t="str">
        <f>HYPERLINK("http://www.ensembl.org/id/WBGene00014902", "WBGene00014902")</f>
        <v>WBGene00014902</v>
      </c>
      <c r="B17742" s="9"/>
      <c r="C17742" s="9"/>
      <c r="D17742" t="str">
        <f>"Y49E10.5"</f>
        <v>Y49E10.5</v>
      </c>
      <c r="F17742" t="s">
        <v>80</v>
      </c>
      <c r="H17742" s="12">
        <v>-1.9098025896507</v>
      </c>
      <c r="I17742" s="20">
        <v>-0.50698215145961201</v>
      </c>
      <c r="J17742" s="28">
        <v>0.61216734211453405</v>
      </c>
      <c r="K17742" s="29">
        <v>0.98289565623980701</v>
      </c>
    </row>
    <row r="17743" spans="1:11" x14ac:dyDescent="0.35">
      <c r="A17743" s="9" t="str">
        <f>HYPERLINK("http://www.ensembl.org/id/WBGene00013031", "WBGene00013031")</f>
        <v>WBGene00013031</v>
      </c>
      <c r="B17743" s="9"/>
      <c r="C17743" s="9"/>
      <c r="D17743" t="str">
        <f>"Y49E10.7"</f>
        <v>Y49E10.7</v>
      </c>
      <c r="F17743" t="s">
        <v>80</v>
      </c>
      <c r="H17743" s="12">
        <v>-1.6396343811801499</v>
      </c>
      <c r="I17743" s="20">
        <v>-0.26283382870156302</v>
      </c>
      <c r="J17743" s="28">
        <v>0.79267866040857105</v>
      </c>
      <c r="K17743" s="29">
        <v>0.98289565623980701</v>
      </c>
    </row>
    <row r="17744" spans="1:11" x14ac:dyDescent="0.35">
      <c r="A17744" s="9" t="str">
        <f>HYPERLINK("http://www.ensembl.org/id/WBGene00044376", "WBGene00044376")</f>
        <v>WBGene00044376</v>
      </c>
      <c r="B17744" s="9" t="str">
        <f>HYPERLINK("http://www.ncbi.nlm.nih.gov/gene/3565795", "3565795")</f>
        <v>3565795</v>
      </c>
      <c r="C17744" s="9"/>
      <c r="D17744" t="str">
        <f>"Y49F6B.12"</f>
        <v>Y49F6B.12</v>
      </c>
      <c r="F17744" t="s">
        <v>11</v>
      </c>
      <c r="H17744" s="12">
        <v>2.4917050499443198</v>
      </c>
      <c r="I17744" s="20">
        <v>0.92215707349636</v>
      </c>
      <c r="J17744" s="28">
        <v>0.35644665034709599</v>
      </c>
      <c r="K17744" s="29">
        <v>0.98289565623980701</v>
      </c>
    </row>
    <row r="17745" spans="1:11" x14ac:dyDescent="0.35">
      <c r="A17745" s="9" t="str">
        <f>HYPERLINK("http://www.ensembl.org/id/WBGene00303368", "WBGene00303368")</f>
        <v>WBGene00303368</v>
      </c>
      <c r="B17745" s="9"/>
      <c r="C17745" s="9"/>
      <c r="D17745" t="str">
        <f>"Y49F6B.19"</f>
        <v>Y49F6B.19</v>
      </c>
      <c r="F17745" t="s">
        <v>11</v>
      </c>
      <c r="H17745" s="12">
        <v>3.5227018545059199</v>
      </c>
      <c r="I17745" s="20">
        <v>0.36849691206929103</v>
      </c>
      <c r="J17745" s="28">
        <v>0.71250274722433404</v>
      </c>
      <c r="K17745" s="29">
        <v>0.98289565623980701</v>
      </c>
    </row>
    <row r="17746" spans="1:11" x14ac:dyDescent="0.35">
      <c r="A17746" s="9" t="str">
        <f>HYPERLINK("http://www.ensembl.org/id/WBGene00021715", "WBGene00021715")</f>
        <v>WBGene00021715</v>
      </c>
      <c r="B17746" s="9" t="str">
        <f>HYPERLINK("http://www.ncbi.nlm.nih.gov/gene/173696", "173696")</f>
        <v>173696</v>
      </c>
      <c r="C17746" s="9"/>
      <c r="D17746" t="str">
        <f>"Y49F6B.2"</f>
        <v>Y49F6B.2</v>
      </c>
      <c r="F17746" t="s">
        <v>11</v>
      </c>
      <c r="G17746" t="s">
        <v>228</v>
      </c>
      <c r="H17746" s="12">
        <v>-1.2084833354922599</v>
      </c>
      <c r="I17746" s="20">
        <v>-0.68638506635080798</v>
      </c>
      <c r="J17746" s="28">
        <v>0.49247031905147598</v>
      </c>
      <c r="K17746" s="29">
        <v>0.98289565623980701</v>
      </c>
    </row>
    <row r="17747" spans="1:11" x14ac:dyDescent="0.35">
      <c r="A17747" s="9" t="str">
        <f>HYPERLINK("http://www.ensembl.org/id/WBGene00021720", "WBGene00021720")</f>
        <v>WBGene00021720</v>
      </c>
      <c r="B17747" s="9" t="str">
        <f>HYPERLINK("http://www.ncbi.nlm.nih.gov/gene/190082", "190082")</f>
        <v>190082</v>
      </c>
      <c r="C17747" s="9"/>
      <c r="D17747" t="str">
        <f>"Y49F6B.8"</f>
        <v>Y49F6B.8</v>
      </c>
      <c r="F17747" t="s">
        <v>11</v>
      </c>
      <c r="H17747" s="12">
        <v>1.9673468975475299</v>
      </c>
      <c r="I17747" s="20">
        <v>0.62018467158069801</v>
      </c>
      <c r="J17747" s="28">
        <v>0.53513621205397999</v>
      </c>
      <c r="K17747" s="29">
        <v>0.98289565623980701</v>
      </c>
    </row>
    <row r="17748" spans="1:11" x14ac:dyDescent="0.35">
      <c r="A17748" s="9" t="str">
        <f>HYPERLINK("http://www.ensembl.org/id/WBGene00021724", "WBGene00021724")</f>
        <v>WBGene00021724</v>
      </c>
      <c r="B17748" s="9" t="str">
        <f>HYPERLINK("http://www.ncbi.nlm.nih.gov/gene/190085", "190085")</f>
        <v>190085</v>
      </c>
      <c r="C17748" s="9"/>
      <c r="D17748" t="str">
        <f>"Y49F6C.2"</f>
        <v>Y49F6C.2</v>
      </c>
      <c r="F17748" t="s">
        <v>11</v>
      </c>
      <c r="H17748" s="12">
        <v>5.0577248470803502</v>
      </c>
      <c r="I17748" s="20">
        <v>0.99131033237519794</v>
      </c>
      <c r="J17748" s="28">
        <v>0.32153406926224798</v>
      </c>
      <c r="K17748" s="29">
        <v>0.98289565623980701</v>
      </c>
    </row>
    <row r="17749" spans="1:11" x14ac:dyDescent="0.35">
      <c r="A17749" s="9" t="str">
        <f>HYPERLINK("http://www.ensembl.org/id/WBGene00021729", "WBGene00021729")</f>
        <v>WBGene00021729</v>
      </c>
      <c r="B17749" s="9" t="str">
        <f>HYPERLINK("http://www.ncbi.nlm.nih.gov/gene/190088", "190088")</f>
        <v>190088</v>
      </c>
      <c r="C17749" s="9"/>
      <c r="D17749" t="str">
        <f>"Y49F6C.7"</f>
        <v>Y49F6C.7</v>
      </c>
      <c r="F17749" t="s">
        <v>11</v>
      </c>
      <c r="H17749" s="12">
        <v>-2.3838754719136599</v>
      </c>
      <c r="I17749" s="20">
        <v>-0.25807578497976902</v>
      </c>
      <c r="J17749" s="28">
        <v>0.79634841949468704</v>
      </c>
      <c r="K17749" s="29">
        <v>0.98289565623980701</v>
      </c>
    </row>
    <row r="17750" spans="1:11" x14ac:dyDescent="0.35">
      <c r="A17750" s="9" t="str">
        <f>HYPERLINK("http://www.ensembl.org/id/WBGene00021731", "WBGene00021731")</f>
        <v>WBGene00021731</v>
      </c>
      <c r="B17750" s="9" t="str">
        <f>HYPERLINK("http://www.ncbi.nlm.nih.gov/gene/190090", "190090")</f>
        <v>190090</v>
      </c>
      <c r="C17750" s="9"/>
      <c r="D17750" t="str">
        <f>"Y49G5A.1"</f>
        <v>Y49G5A.1</v>
      </c>
      <c r="F17750" t="s">
        <v>11</v>
      </c>
      <c r="G17750" t="s">
        <v>50</v>
      </c>
      <c r="H17750" s="12">
        <v>4.1536505573392999</v>
      </c>
      <c r="I17750" s="20">
        <v>0.66956949505144103</v>
      </c>
      <c r="J17750" s="28">
        <v>0.50313226559565805</v>
      </c>
      <c r="K17750" s="29">
        <v>0.98289565623980701</v>
      </c>
    </row>
    <row r="17751" spans="1:11" x14ac:dyDescent="0.35">
      <c r="A17751" s="9" t="str">
        <f>HYPERLINK("http://www.ensembl.org/id/WBGene00021732", "WBGene00021732")</f>
        <v>WBGene00021732</v>
      </c>
      <c r="B17751" s="9" t="str">
        <f>HYPERLINK("http://www.ncbi.nlm.nih.gov/gene/178908", "178908")</f>
        <v>178908</v>
      </c>
      <c r="C17751" s="9"/>
      <c r="D17751" t="str">
        <f>"Y49G5B.1"</f>
        <v>Y49G5B.1</v>
      </c>
      <c r="F17751" t="s">
        <v>11</v>
      </c>
      <c r="H17751" s="12">
        <v>-1.2025058030251099</v>
      </c>
      <c r="I17751" s="20">
        <v>-0.87943296050541497</v>
      </c>
      <c r="J17751" s="28">
        <v>0.37916656732993398</v>
      </c>
      <c r="K17751" s="29">
        <v>0.98289565623980701</v>
      </c>
    </row>
    <row r="17752" spans="1:11" x14ac:dyDescent="0.35">
      <c r="A17752" s="9" t="str">
        <f>HYPERLINK("http://www.ensembl.org/id/WBGene00198537", "WBGene00198537")</f>
        <v>WBGene00198537</v>
      </c>
      <c r="B17752" s="9"/>
      <c r="C17752" s="9"/>
      <c r="D17752" t="str">
        <f>"Y49G5B.3"</f>
        <v>Y49G5B.3</v>
      </c>
      <c r="F17752" t="s">
        <v>481</v>
      </c>
      <c r="H17752" s="12">
        <v>2.3893468495514898</v>
      </c>
      <c r="I17752" s="20">
        <v>0.25323547253672701</v>
      </c>
      <c r="J17752" s="28">
        <v>0.80008625651646104</v>
      </c>
      <c r="K17752" s="29">
        <v>0.98289565623980701</v>
      </c>
    </row>
    <row r="17753" spans="1:11" x14ac:dyDescent="0.35">
      <c r="A17753" s="9" t="str">
        <f>HYPERLINK("http://www.ensembl.org/id/WBGene00200569", "WBGene00200569")</f>
        <v>WBGene00200569</v>
      </c>
      <c r="B17753" s="9"/>
      <c r="C17753" s="9"/>
      <c r="D17753" t="str">
        <f>"Y49G5B.6"</f>
        <v>Y49G5B.6</v>
      </c>
      <c r="F17753" t="s">
        <v>481</v>
      </c>
      <c r="H17753" s="12">
        <v>2.4578120077400301</v>
      </c>
      <c r="I17753" s="20">
        <v>0.26093350314551</v>
      </c>
      <c r="J17753" s="28">
        <v>0.79414378780213601</v>
      </c>
      <c r="K17753" s="29">
        <v>0.98289565623980701</v>
      </c>
    </row>
    <row r="17754" spans="1:11" x14ac:dyDescent="0.35">
      <c r="A17754" s="9" t="str">
        <f>HYPERLINK("http://www.ensembl.org/id/WBGene00021151", "WBGene00021151")</f>
        <v>WBGene00021151</v>
      </c>
      <c r="B17754" s="9"/>
      <c r="C17754" s="9"/>
      <c r="D17754" t="str">
        <f>"Y4C6A.1"</f>
        <v>Y4C6A.1</v>
      </c>
      <c r="F17754" t="s">
        <v>80</v>
      </c>
      <c r="H17754" s="12">
        <v>-7.9923615199576998</v>
      </c>
      <c r="I17754" s="20">
        <v>-0.90366442390289703</v>
      </c>
      <c r="J17754" s="28">
        <v>0.36617336890905899</v>
      </c>
      <c r="K17754" s="29">
        <v>0.98289565623980701</v>
      </c>
    </row>
    <row r="17755" spans="1:11" x14ac:dyDescent="0.35">
      <c r="A17755" s="9" t="str">
        <f>HYPERLINK("http://www.ensembl.org/id/WBGene00021155", "WBGene00021155")</f>
        <v>WBGene00021155</v>
      </c>
      <c r="B17755" s="9" t="str">
        <f>HYPERLINK("http://www.ncbi.nlm.nih.gov/gene/177315", "177315")</f>
        <v>177315</v>
      </c>
      <c r="C17755" s="9"/>
      <c r="D17755" t="str">
        <f>"Y4C6B.1"</f>
        <v>Y4C6B.1</v>
      </c>
      <c r="F17755" t="s">
        <v>11</v>
      </c>
      <c r="H17755" s="12">
        <v>-1.12036900244513</v>
      </c>
      <c r="I17755" s="20">
        <v>-0.45444720421946</v>
      </c>
      <c r="J17755" s="28">
        <v>0.649506983598517</v>
      </c>
      <c r="K17755" s="29">
        <v>0.98289565623980701</v>
      </c>
    </row>
    <row r="17756" spans="1:11" x14ac:dyDescent="0.35">
      <c r="A17756" s="9" t="str">
        <f>HYPERLINK("http://www.ensembl.org/id/WBGene00201386", "WBGene00201386")</f>
        <v>WBGene00201386</v>
      </c>
      <c r="B17756" s="9"/>
      <c r="C17756" s="9"/>
      <c r="D17756" t="str">
        <f>"Y4C6B.100"</f>
        <v>Y4C6B.100</v>
      </c>
      <c r="F17756" t="s">
        <v>481</v>
      </c>
      <c r="H17756" s="12">
        <v>-2.4295389261469</v>
      </c>
      <c r="I17756" s="20">
        <v>-0.25808529976640998</v>
      </c>
      <c r="J17756" s="28">
        <v>0.79634107645457397</v>
      </c>
      <c r="K17756" s="29">
        <v>0.98289565623980701</v>
      </c>
    </row>
    <row r="17757" spans="1:11" x14ac:dyDescent="0.35">
      <c r="A17757" s="9" t="str">
        <f>HYPERLINK("http://www.ensembl.org/id/WBGene00021156", "WBGene00021156")</f>
        <v>WBGene00021156</v>
      </c>
      <c r="B17757" s="9" t="str">
        <f>HYPERLINK("http://www.ncbi.nlm.nih.gov/gene/189355", "189355")</f>
        <v>189355</v>
      </c>
      <c r="C17757" s="9"/>
      <c r="D17757" t="str">
        <f>"Y4C6B.2"</f>
        <v>Y4C6B.2</v>
      </c>
      <c r="F17757" t="s">
        <v>11</v>
      </c>
      <c r="G17757" t="s">
        <v>372</v>
      </c>
      <c r="H17757" s="12">
        <v>1.4315682114633299</v>
      </c>
      <c r="I17757" s="20">
        <v>1.08987841765037</v>
      </c>
      <c r="J17757" s="28">
        <v>0.27576670482436599</v>
      </c>
      <c r="K17757" s="29">
        <v>0.98289565623980701</v>
      </c>
    </row>
    <row r="17758" spans="1:11" x14ac:dyDescent="0.35">
      <c r="A17758" s="9" t="str">
        <f>HYPERLINK("http://www.ensembl.org/id/WBGene00021157", "WBGene00021157")</f>
        <v>WBGene00021157</v>
      </c>
      <c r="B17758" s="9" t="str">
        <f>HYPERLINK("http://www.ncbi.nlm.nih.gov/gene/177313", "177313")</f>
        <v>177313</v>
      </c>
      <c r="C17758" s="9"/>
      <c r="D17758" t="str">
        <f>"Y4C6B.3"</f>
        <v>Y4C6B.3</v>
      </c>
      <c r="F17758" t="s">
        <v>11</v>
      </c>
      <c r="G17758" t="s">
        <v>230</v>
      </c>
      <c r="H17758" s="12">
        <v>1.65240878976245</v>
      </c>
      <c r="I17758" s="20">
        <v>1.1478967114310299</v>
      </c>
      <c r="J17758" s="28">
        <v>0.25101120595890603</v>
      </c>
      <c r="K17758" s="29">
        <v>0.98289565623980701</v>
      </c>
    </row>
    <row r="17759" spans="1:11" x14ac:dyDescent="0.35">
      <c r="A17759" s="9" t="str">
        <f>HYPERLINK("http://www.ensembl.org/id/WBGene00021158", "WBGene00021158")</f>
        <v>WBGene00021158</v>
      </c>
      <c r="B17759" s="9" t="str">
        <f>HYPERLINK("http://www.ncbi.nlm.nih.gov/gene/177312", "177312")</f>
        <v>177312</v>
      </c>
      <c r="C17759" s="9"/>
      <c r="D17759" t="str">
        <f>"Y4C6B.4"</f>
        <v>Y4C6B.4</v>
      </c>
      <c r="F17759" t="s">
        <v>11</v>
      </c>
      <c r="G17759" t="s">
        <v>230</v>
      </c>
      <c r="H17759" s="12">
        <v>-1.6001774142097001</v>
      </c>
      <c r="I17759" s="20">
        <v>-1.08598721602408</v>
      </c>
      <c r="J17759" s="28">
        <v>0.27748464820678398</v>
      </c>
      <c r="K17759" s="29">
        <v>0.98289565623980701</v>
      </c>
    </row>
    <row r="17760" spans="1:11" x14ac:dyDescent="0.35">
      <c r="A17760" s="9" t="str">
        <f>HYPERLINK("http://www.ensembl.org/id/WBGene00021161", "WBGene00021161")</f>
        <v>WBGene00021161</v>
      </c>
      <c r="B17760" s="9" t="str">
        <f>HYPERLINK("http://www.ncbi.nlm.nih.gov/gene/3565268", "3565268")</f>
        <v>3565268</v>
      </c>
      <c r="C17760" s="9"/>
      <c r="D17760" t="str">
        <f>"Y4C6B.7"</f>
        <v>Y4C6B.7</v>
      </c>
      <c r="F17760" t="s">
        <v>11</v>
      </c>
      <c r="H17760" s="12">
        <v>1.05698052195133</v>
      </c>
      <c r="I17760" s="20">
        <v>0.26120300807292401</v>
      </c>
      <c r="J17760" s="28">
        <v>0.793935958516368</v>
      </c>
      <c r="K17760" s="29">
        <v>0.98289565623980701</v>
      </c>
    </row>
    <row r="17761" spans="1:11" x14ac:dyDescent="0.35">
      <c r="A17761" s="9" t="str">
        <f>HYPERLINK("http://www.ensembl.org/id/WBGene00235315", "WBGene00235315")</f>
        <v>WBGene00235315</v>
      </c>
      <c r="B17761" s="9" t="str">
        <f>HYPERLINK("http://www.ncbi.nlm.nih.gov/gene/24105132", "24105132")</f>
        <v>24105132</v>
      </c>
      <c r="C17761" s="9"/>
      <c r="D17761" t="str">
        <f>"Y50D4A.10"</f>
        <v>Y50D4A.10</v>
      </c>
      <c r="F17761" t="s">
        <v>11</v>
      </c>
      <c r="G17761" t="s">
        <v>25</v>
      </c>
      <c r="H17761" s="12">
        <v>1.10655869156618</v>
      </c>
      <c r="I17761" s="20">
        <v>0.33541538124647902</v>
      </c>
      <c r="J17761" s="28">
        <v>0.73731176675795995</v>
      </c>
      <c r="K17761" s="29">
        <v>0.98289565623980701</v>
      </c>
    </row>
    <row r="17762" spans="1:11" x14ac:dyDescent="0.35">
      <c r="A17762" s="9" t="str">
        <f>HYPERLINK("http://www.ensembl.org/id/WBGene00021737", "WBGene00021737")</f>
        <v>WBGene00021737</v>
      </c>
      <c r="B17762" s="9"/>
      <c r="C17762" s="9"/>
      <c r="D17762" t="str">
        <f>"Y50D4A.3"</f>
        <v>Y50D4A.3</v>
      </c>
      <c r="F17762" t="s">
        <v>80</v>
      </c>
      <c r="H17762" s="12">
        <v>2.3893468495514898</v>
      </c>
      <c r="I17762" s="20">
        <v>0.25323547253672701</v>
      </c>
      <c r="J17762" s="28">
        <v>0.80008625651646104</v>
      </c>
      <c r="K17762" s="29">
        <v>0.98289565623980701</v>
      </c>
    </row>
    <row r="17763" spans="1:11" x14ac:dyDescent="0.35">
      <c r="A17763" s="9" t="str">
        <f>HYPERLINK("http://www.ensembl.org/id/WBGene00021738", "WBGene00021738")</f>
        <v>WBGene00021738</v>
      </c>
      <c r="B17763" s="9" t="str">
        <f>HYPERLINK("http://www.ncbi.nlm.nih.gov/gene/178616", "178616")</f>
        <v>178616</v>
      </c>
      <c r="C17763" s="9" t="str">
        <f>HYPERLINK("http://www.ncbi.nlm.nih.gov/gene/29919", "29919")</f>
        <v>29919</v>
      </c>
      <c r="D17763" t="str">
        <f>"Y50D4A.4"</f>
        <v>Y50D4A.4</v>
      </c>
      <c r="F17763" t="s">
        <v>11</v>
      </c>
      <c r="G17763" t="s">
        <v>8655</v>
      </c>
      <c r="H17763" s="12">
        <v>-1.18890004013286</v>
      </c>
      <c r="I17763" s="20">
        <v>-0.81926995136434899</v>
      </c>
      <c r="J17763" s="28">
        <v>0.41263241253996902</v>
      </c>
      <c r="K17763" s="29">
        <v>0.98289565623980701</v>
      </c>
    </row>
    <row r="17764" spans="1:11" x14ac:dyDescent="0.35">
      <c r="A17764" s="9" t="str">
        <f>HYPERLINK("http://www.ensembl.org/id/WBGene00021739", "WBGene00021739")</f>
        <v>WBGene00021739</v>
      </c>
      <c r="B17764" s="9" t="str">
        <f>HYPERLINK("http://www.ncbi.nlm.nih.gov/gene/259612", "259612")</f>
        <v>259612</v>
      </c>
      <c r="C17764" s="9"/>
      <c r="D17764" t="str">
        <f>"Y50D4A.5"</f>
        <v>Y50D4A.5</v>
      </c>
      <c r="F17764" t="s">
        <v>11</v>
      </c>
      <c r="H17764" s="12">
        <v>-1.25847983190512</v>
      </c>
      <c r="I17764" s="20">
        <v>-0.662170024455771</v>
      </c>
      <c r="J17764" s="28">
        <v>0.50786226258295897</v>
      </c>
      <c r="K17764" s="29">
        <v>0.98289565623980701</v>
      </c>
    </row>
    <row r="17765" spans="1:11" x14ac:dyDescent="0.35">
      <c r="A17765" s="9" t="str">
        <f>HYPERLINK("http://www.ensembl.org/id/WBGene00195169", "WBGene00195169")</f>
        <v>WBGene00195169</v>
      </c>
      <c r="B17765" s="9" t="str">
        <f>HYPERLINK("http://www.ncbi.nlm.nih.gov/gene/13211597", "13211597")</f>
        <v>13211597</v>
      </c>
      <c r="C17765" s="9"/>
      <c r="D17765" t="str">
        <f>"Y50D4A.6"</f>
        <v>Y50D4A.6</v>
      </c>
      <c r="F17765" t="s">
        <v>11</v>
      </c>
      <c r="H17765" s="12">
        <v>-1.78419443262563</v>
      </c>
      <c r="I17765" s="20">
        <v>-0.58100961360173498</v>
      </c>
      <c r="J17765" s="28">
        <v>0.56123397430140598</v>
      </c>
      <c r="K17765" s="29">
        <v>0.98289565623980701</v>
      </c>
    </row>
    <row r="17766" spans="1:11" x14ac:dyDescent="0.35">
      <c r="A17766" s="9" t="str">
        <f>HYPERLINK("http://www.ensembl.org/id/WBGene00021741", "WBGene00021741")</f>
        <v>WBGene00021741</v>
      </c>
      <c r="B17766" s="9" t="str">
        <f>HYPERLINK("http://www.ncbi.nlm.nih.gov/gene/190094", "190094")</f>
        <v>190094</v>
      </c>
      <c r="C17766" s="9" t="str">
        <f>HYPERLINK("http://www.ncbi.nlm.nih.gov/gene/51097", "51097")</f>
        <v>51097</v>
      </c>
      <c r="D17766" t="str">
        <f>"Y50D4B.2"</f>
        <v>Y50D4B.2</v>
      </c>
      <c r="F17766" t="s">
        <v>11</v>
      </c>
      <c r="H17766" s="12">
        <v>-2.1491634393887402</v>
      </c>
      <c r="I17766" s="20">
        <v>-0.80553732122260102</v>
      </c>
      <c r="J17766" s="28">
        <v>0.42050967866079397</v>
      </c>
      <c r="K17766" s="29">
        <v>0.98289565623980701</v>
      </c>
    </row>
    <row r="17767" spans="1:11" x14ac:dyDescent="0.35">
      <c r="A17767" s="9" t="str">
        <f>HYPERLINK("http://www.ensembl.org/id/WBGene00021747", "WBGene00021747")</f>
        <v>WBGene00021747</v>
      </c>
      <c r="B17767" s="9"/>
      <c r="C17767" s="9"/>
      <c r="D17767" t="str">
        <f>"Y50D4C.2"</f>
        <v>Y50D4C.2</v>
      </c>
      <c r="F17767" t="s">
        <v>80</v>
      </c>
      <c r="H17767" s="12">
        <v>-1.4762246975255899</v>
      </c>
      <c r="I17767" s="20">
        <v>-0.61485371205698103</v>
      </c>
      <c r="J17767" s="28">
        <v>0.538651333880935</v>
      </c>
      <c r="K17767" s="29">
        <v>0.98289565623980701</v>
      </c>
    </row>
    <row r="17768" spans="1:11" x14ac:dyDescent="0.35">
      <c r="A17768" s="9" t="str">
        <f>HYPERLINK("http://www.ensembl.org/id/WBGene00021748", "WBGene00021748")</f>
        <v>WBGene00021748</v>
      </c>
      <c r="B17768" s="9" t="str">
        <f>HYPERLINK("http://www.ncbi.nlm.nih.gov/gene/178599", "178599")</f>
        <v>178599</v>
      </c>
      <c r="C17768" s="9"/>
      <c r="D17768" t="str">
        <f>"Y50D4C.3"</f>
        <v>Y50D4C.3</v>
      </c>
      <c r="F17768" t="s">
        <v>11</v>
      </c>
      <c r="G17768" t="s">
        <v>9710</v>
      </c>
      <c r="H17768" s="12">
        <v>-1.28512134969639</v>
      </c>
      <c r="I17768" s="20">
        <v>-1.1988376620946799</v>
      </c>
      <c r="J17768" s="28">
        <v>0.23059107493415301</v>
      </c>
      <c r="K17768" s="29">
        <v>0.98289565623980701</v>
      </c>
    </row>
    <row r="17769" spans="1:11" x14ac:dyDescent="0.35">
      <c r="A17769" s="9" t="str">
        <f>HYPERLINK("http://www.ensembl.org/id/WBGene00021750", "WBGene00021750")</f>
        <v>WBGene00021750</v>
      </c>
      <c r="B17769" s="9" t="str">
        <f>HYPERLINK("http://www.ncbi.nlm.nih.gov/gene/178600", "178600")</f>
        <v>178600</v>
      </c>
      <c r="C17769" s="9"/>
      <c r="D17769" t="str">
        <f>"Y50D4C.6"</f>
        <v>Y50D4C.6</v>
      </c>
      <c r="F17769" t="s">
        <v>11</v>
      </c>
      <c r="G17769" t="s">
        <v>9926</v>
      </c>
      <c r="H17769" s="12">
        <v>-1.3918936988094599</v>
      </c>
      <c r="I17769" s="20">
        <v>-1.15142028105084</v>
      </c>
      <c r="J17769" s="28">
        <v>0.24955937417687801</v>
      </c>
      <c r="K17769" s="29">
        <v>0.98289565623980701</v>
      </c>
    </row>
    <row r="17770" spans="1:11" x14ac:dyDescent="0.35">
      <c r="A17770" s="9" t="str">
        <f>HYPERLINK("http://www.ensembl.org/id/WBGene00021758", "WBGene00021758")</f>
        <v>WBGene00021758</v>
      </c>
      <c r="B17770" s="9" t="str">
        <f>HYPERLINK("http://www.ncbi.nlm.nih.gov/gene/259487", "259487")</f>
        <v>259487</v>
      </c>
      <c r="C17770" s="9" t="str">
        <f>HYPERLINK("http://www.ncbi.nlm.nih.gov/gene/9535", "9535")</f>
        <v>9535</v>
      </c>
      <c r="D17770" t="str">
        <f>"Y50D7A.10"</f>
        <v>Y50D7A.10</v>
      </c>
      <c r="F17770" t="s">
        <v>11</v>
      </c>
      <c r="G17770" t="s">
        <v>8230</v>
      </c>
      <c r="H17770" s="12">
        <v>-1.16693959097608</v>
      </c>
      <c r="I17770" s="20">
        <v>-0.71744716272850795</v>
      </c>
      <c r="J17770" s="28">
        <v>0.47309822758511699</v>
      </c>
      <c r="K17770" s="29">
        <v>0.98289565623980701</v>
      </c>
    </row>
    <row r="17771" spans="1:11" x14ac:dyDescent="0.35">
      <c r="A17771" s="9" t="str">
        <f>HYPERLINK("http://www.ensembl.org/id/WBGene00194737", "WBGene00194737")</f>
        <v>WBGene00194737</v>
      </c>
      <c r="B17771" s="9" t="str">
        <f>HYPERLINK("http://www.ncbi.nlm.nih.gov/gene/13188188", "13188188")</f>
        <v>13188188</v>
      </c>
      <c r="C17771" s="9"/>
      <c r="D17771" t="str">
        <f>"Y50D7A.13"</f>
        <v>Y50D7A.13</v>
      </c>
      <c r="F17771" t="s">
        <v>11</v>
      </c>
      <c r="G17771" t="s">
        <v>10125</v>
      </c>
      <c r="H17771" s="12">
        <v>-15.9583252361485</v>
      </c>
      <c r="I17771" s="20">
        <v>-0.93882533230632104</v>
      </c>
      <c r="J17771" s="28">
        <v>0.34782043040587501</v>
      </c>
      <c r="K17771" s="29">
        <v>0.98289565623980701</v>
      </c>
    </row>
    <row r="17772" spans="1:11" x14ac:dyDescent="0.35">
      <c r="A17772" s="9" t="str">
        <f>HYPERLINK("http://www.ensembl.org/id/WBGene00196000", "WBGene00196000")</f>
        <v>WBGene00196000</v>
      </c>
      <c r="B17772" s="9"/>
      <c r="C17772" s="9"/>
      <c r="D17772" t="str">
        <f>"Y50D7A.14"</f>
        <v>Y50D7A.14</v>
      </c>
      <c r="F17772" t="s">
        <v>481</v>
      </c>
      <c r="H17772" s="12">
        <v>-2.4991590031922399</v>
      </c>
      <c r="I17772" s="20">
        <v>-0.26577412737581302</v>
      </c>
      <c r="J17772" s="28">
        <v>0.79041317015736101</v>
      </c>
      <c r="K17772" s="29">
        <v>0.98289565623980701</v>
      </c>
    </row>
    <row r="17773" spans="1:11" x14ac:dyDescent="0.35">
      <c r="A17773" s="9" t="str">
        <f>HYPERLINK("http://www.ensembl.org/id/WBGene00021753", "WBGene00021753")</f>
        <v>WBGene00021753</v>
      </c>
      <c r="B17773" s="9" t="str">
        <f>HYPERLINK("http://www.ncbi.nlm.nih.gov/gene/190101", "190101")</f>
        <v>190101</v>
      </c>
      <c r="C17773" s="9" t="str">
        <f>HYPERLINK("http://www.ncbi.nlm.nih.gov/gene/5261", "5261")</f>
        <v>5261</v>
      </c>
      <c r="D17773" t="str">
        <f>"Y50D7A.3"</f>
        <v>Y50D7A.3</v>
      </c>
      <c r="F17773" t="s">
        <v>11</v>
      </c>
      <c r="G17773" t="s">
        <v>6972</v>
      </c>
      <c r="H17773" s="12">
        <v>-1.1003566219694001</v>
      </c>
      <c r="I17773" s="20">
        <v>-0.46755524570062901</v>
      </c>
      <c r="J17773" s="28">
        <v>0.64010267599173198</v>
      </c>
      <c r="K17773" s="29">
        <v>0.98289565623980701</v>
      </c>
    </row>
    <row r="17774" spans="1:11" x14ac:dyDescent="0.35">
      <c r="A17774" s="9" t="str">
        <f>HYPERLINK("http://www.ensembl.org/id/WBGene00021756", "WBGene00021756")</f>
        <v>WBGene00021756</v>
      </c>
      <c r="B17774" s="9" t="str">
        <f>HYPERLINK("http://www.ncbi.nlm.nih.gov/gene/175194", "175194")</f>
        <v>175194</v>
      </c>
      <c r="C17774" s="9"/>
      <c r="D17774" t="str">
        <f>"Y50D7A.8"</f>
        <v>Y50D7A.8</v>
      </c>
      <c r="F17774" t="s">
        <v>11</v>
      </c>
      <c r="H17774" s="12">
        <v>-1.0782321472859</v>
      </c>
      <c r="I17774" s="20">
        <v>-0.37715212427141598</v>
      </c>
      <c r="J17774" s="28">
        <v>0.70606055683163405</v>
      </c>
      <c r="K17774" s="29">
        <v>0.98289565623980701</v>
      </c>
    </row>
    <row r="17775" spans="1:11" x14ac:dyDescent="0.35">
      <c r="A17775" s="9" t="str">
        <f>HYPERLINK("http://www.ensembl.org/id/WBGene00013053", "WBGene00013053")</f>
        <v>WBGene00013053</v>
      </c>
      <c r="B17775" s="9" t="str">
        <f>HYPERLINK("http://www.ncbi.nlm.nih.gov/gene/179977", "179977")</f>
        <v>179977</v>
      </c>
      <c r="C17775" s="9"/>
      <c r="D17775" t="str">
        <f>"Y50E8A.10"</f>
        <v>Y50E8A.10</v>
      </c>
      <c r="F17775" t="s">
        <v>11</v>
      </c>
      <c r="G17775" t="s">
        <v>25</v>
      </c>
      <c r="H17775" s="12">
        <v>-1.6400572842748</v>
      </c>
      <c r="I17775" s="20">
        <v>-0.79661608848002097</v>
      </c>
      <c r="J17775" s="28">
        <v>0.42567403075233301</v>
      </c>
      <c r="K17775" s="29">
        <v>0.98289565623980701</v>
      </c>
    </row>
    <row r="17776" spans="1:11" x14ac:dyDescent="0.35">
      <c r="A17776" s="9" t="str">
        <f>HYPERLINK("http://www.ensembl.org/id/WBGene00013054", "WBGene00013054")</f>
        <v>WBGene00013054</v>
      </c>
      <c r="B17776" s="9" t="str">
        <f>HYPERLINK("http://www.ncbi.nlm.nih.gov/gene/190111", "190111")</f>
        <v>190111</v>
      </c>
      <c r="C17776" s="9"/>
      <c r="D17776" t="str">
        <f>"Y50E8A.11"</f>
        <v>Y50E8A.11</v>
      </c>
      <c r="F17776" t="s">
        <v>11</v>
      </c>
      <c r="G17776" t="s">
        <v>25</v>
      </c>
      <c r="H17776" s="12">
        <v>-1.91279324392404</v>
      </c>
      <c r="I17776" s="20">
        <v>-0.93333923635739302</v>
      </c>
      <c r="J17776" s="28">
        <v>0.35064484283362102</v>
      </c>
      <c r="K17776" s="29">
        <v>0.98289565623980701</v>
      </c>
    </row>
    <row r="17777" spans="1:11" x14ac:dyDescent="0.35">
      <c r="A17777" s="9" t="str">
        <f>HYPERLINK("http://www.ensembl.org/id/WBGene00013055", "WBGene00013055")</f>
        <v>WBGene00013055</v>
      </c>
      <c r="B17777" s="9" t="str">
        <f>HYPERLINK("http://www.ncbi.nlm.nih.gov/gene/190112", "190112")</f>
        <v>190112</v>
      </c>
      <c r="C17777" s="9"/>
      <c r="D17777" t="str">
        <f>"Y50E8A.12"</f>
        <v>Y50E8A.12</v>
      </c>
      <c r="F17777" t="s">
        <v>11</v>
      </c>
      <c r="H17777" s="12">
        <v>-1.0921207745004999</v>
      </c>
      <c r="I17777" s="20">
        <v>-0.26634725943437199</v>
      </c>
      <c r="J17777" s="28">
        <v>0.78997177935896501</v>
      </c>
      <c r="K17777" s="29">
        <v>0.98289565623980701</v>
      </c>
    </row>
    <row r="17778" spans="1:11" x14ac:dyDescent="0.35">
      <c r="A17778" s="9" t="str">
        <f>HYPERLINK("http://www.ensembl.org/id/WBGene00050964", "WBGene00050964")</f>
        <v>WBGene00050964</v>
      </c>
      <c r="B17778" s="9"/>
      <c r="C17778" s="9"/>
      <c r="D17778" t="str">
        <f>"Y50E8A.18"</f>
        <v>Y50E8A.18</v>
      </c>
      <c r="F17778" t="s">
        <v>80</v>
      </c>
      <c r="H17778" s="12">
        <v>-2.4991590031922399</v>
      </c>
      <c r="I17778" s="20">
        <v>-0.26577412737581302</v>
      </c>
      <c r="J17778" s="28">
        <v>0.79041317015736101</v>
      </c>
      <c r="K17778" s="29">
        <v>0.98289565623980701</v>
      </c>
    </row>
    <row r="17779" spans="1:11" x14ac:dyDescent="0.35">
      <c r="A17779" s="9" t="str">
        <f>HYPERLINK("http://www.ensembl.org/id/WBGene00206507", "WBGene00206507")</f>
        <v>WBGene00206507</v>
      </c>
      <c r="B17779" s="9" t="str">
        <f>HYPERLINK("http://www.ncbi.nlm.nih.gov/gene/13218144", "13218144")</f>
        <v>13218144</v>
      </c>
      <c r="C17779" s="9"/>
      <c r="D17779" t="str">
        <f>"Y51A2A.16"</f>
        <v>Y51A2A.16</v>
      </c>
      <c r="F17779" t="s">
        <v>11</v>
      </c>
      <c r="H17779" s="12">
        <v>1.77485645863548</v>
      </c>
      <c r="I17779" s="20">
        <v>0.56283412120544596</v>
      </c>
      <c r="J17779" s="28">
        <v>0.57354784331153996</v>
      </c>
      <c r="K17779" s="29">
        <v>0.98289565623980701</v>
      </c>
    </row>
    <row r="17780" spans="1:11" x14ac:dyDescent="0.35">
      <c r="A17780" s="9" t="str">
        <f>HYPERLINK("http://www.ensembl.org/id/WBGene00014905", "WBGene00014905")</f>
        <v>WBGene00014905</v>
      </c>
      <c r="B17780" s="9"/>
      <c r="C17780" s="9"/>
      <c r="D17780" t="str">
        <f>"Y51A2A.2"</f>
        <v>Y51A2A.2</v>
      </c>
      <c r="F17780" t="s">
        <v>80</v>
      </c>
      <c r="H17780" s="12">
        <v>2.5059960603693399</v>
      </c>
      <c r="I17780" s="20">
        <v>0.56837343694554499</v>
      </c>
      <c r="J17780" s="28">
        <v>0.56978142333889203</v>
      </c>
      <c r="K17780" s="29">
        <v>0.98289565623980701</v>
      </c>
    </row>
    <row r="17781" spans="1:11" x14ac:dyDescent="0.35">
      <c r="A17781" s="9" t="str">
        <f>HYPERLINK("http://www.ensembl.org/id/WBGene00013059", "WBGene00013059")</f>
        <v>WBGene00013059</v>
      </c>
      <c r="B17781" s="9"/>
      <c r="C17781" s="9"/>
      <c r="D17781" t="str">
        <f>"Y51A2A.3"</f>
        <v>Y51A2A.3</v>
      </c>
      <c r="F17781" t="s">
        <v>80</v>
      </c>
      <c r="H17781" s="12">
        <v>2.3023301924467101</v>
      </c>
      <c r="I17781" s="20">
        <v>0.26674601818072902</v>
      </c>
      <c r="J17781" s="28">
        <v>0.78966471981773201</v>
      </c>
      <c r="K17781" s="29">
        <v>0.98289565623980701</v>
      </c>
    </row>
    <row r="17782" spans="1:11" x14ac:dyDescent="0.35">
      <c r="A17782" s="9" t="str">
        <f>HYPERLINK("http://www.ensembl.org/id/WBGene00013060", "WBGene00013060")</f>
        <v>WBGene00013060</v>
      </c>
      <c r="B17782" s="9" t="str">
        <f>HYPERLINK("http://www.ncbi.nlm.nih.gov/gene/190120", "190120")</f>
        <v>190120</v>
      </c>
      <c r="C17782" s="9"/>
      <c r="D17782" t="str">
        <f>"Y51A2A.4"</f>
        <v>Y51A2A.4</v>
      </c>
      <c r="F17782" t="s">
        <v>11</v>
      </c>
      <c r="H17782" s="12">
        <v>1.69059565643749</v>
      </c>
      <c r="I17782" s="20">
        <v>0.36403630728443098</v>
      </c>
      <c r="J17782" s="28">
        <v>0.71583089748930695</v>
      </c>
      <c r="K17782" s="29">
        <v>0.98289565623980701</v>
      </c>
    </row>
    <row r="17783" spans="1:11" x14ac:dyDescent="0.35">
      <c r="A17783" s="9" t="str">
        <f>HYPERLINK("http://www.ensembl.org/id/WBGene00013061", "WBGene00013061")</f>
        <v>WBGene00013061</v>
      </c>
      <c r="B17783" s="9" t="str">
        <f>HYPERLINK("http://www.ncbi.nlm.nih.gov/gene/190121", "190121")</f>
        <v>190121</v>
      </c>
      <c r="C17783" s="9"/>
      <c r="D17783" t="str">
        <f>"Y51A2A.5"</f>
        <v>Y51A2A.5</v>
      </c>
      <c r="F17783" t="s">
        <v>11</v>
      </c>
      <c r="H17783" s="12">
        <v>-4.5114499031905204</v>
      </c>
      <c r="I17783" s="20">
        <v>-0.44198655555625299</v>
      </c>
      <c r="J17783" s="28">
        <v>0.65849893477547905</v>
      </c>
      <c r="K17783" s="29">
        <v>0.98289565623980701</v>
      </c>
    </row>
    <row r="17784" spans="1:11" x14ac:dyDescent="0.35">
      <c r="A17784" s="9" t="str">
        <f>HYPERLINK("http://www.ensembl.org/id/WBGene00013066", "WBGene00013066")</f>
        <v>WBGene00013066</v>
      </c>
      <c r="B17784" s="9" t="str">
        <f>HYPERLINK("http://www.ncbi.nlm.nih.gov/gene/190127", "190127")</f>
        <v>190127</v>
      </c>
      <c r="C17784" s="9"/>
      <c r="D17784" t="str">
        <f>"Y51A2B.2"</f>
        <v>Y51A2B.2</v>
      </c>
      <c r="F17784" t="s">
        <v>11</v>
      </c>
      <c r="G17784" t="s">
        <v>25</v>
      </c>
      <c r="H17784" s="12">
        <v>1.7142547142073701</v>
      </c>
      <c r="I17784" s="20">
        <v>0.38606706246471101</v>
      </c>
      <c r="J17784" s="28">
        <v>0.69944700272546301</v>
      </c>
      <c r="K17784" s="29">
        <v>0.98289565623980701</v>
      </c>
    </row>
    <row r="17785" spans="1:11" x14ac:dyDescent="0.35">
      <c r="A17785" s="9" t="str">
        <f>HYPERLINK("http://www.ensembl.org/id/WBGene00013070", "WBGene00013070")</f>
        <v>WBGene00013070</v>
      </c>
      <c r="B17785" s="9" t="str">
        <f>HYPERLINK("http://www.ncbi.nlm.nih.gov/gene/190131", "190131")</f>
        <v>190131</v>
      </c>
      <c r="C17785" s="9"/>
      <c r="D17785" t="str">
        <f>"Y51A2B.6"</f>
        <v>Y51A2B.6</v>
      </c>
      <c r="F17785" t="s">
        <v>11</v>
      </c>
      <c r="H17785" s="12">
        <v>3.2265447381297698</v>
      </c>
      <c r="I17785" s="20">
        <v>0.58945117384305101</v>
      </c>
      <c r="J17785" s="28">
        <v>0.55555865661102499</v>
      </c>
      <c r="K17785" s="29">
        <v>0.98289565623980701</v>
      </c>
    </row>
    <row r="17786" spans="1:11" x14ac:dyDescent="0.35">
      <c r="A17786" s="9" t="str">
        <f>HYPERLINK("http://www.ensembl.org/id/WBGene00013071", "WBGene00013071")</f>
        <v>WBGene00013071</v>
      </c>
      <c r="B17786" s="9" t="str">
        <f>HYPERLINK("http://www.ncbi.nlm.nih.gov/gene/3565144", "3565144")</f>
        <v>3565144</v>
      </c>
      <c r="C17786" s="9"/>
      <c r="D17786" t="str">
        <f>"Y51A2B.8"</f>
        <v>Y51A2B.8</v>
      </c>
      <c r="F17786" t="s">
        <v>11</v>
      </c>
      <c r="H17786" s="12">
        <v>-2.6138306264729199</v>
      </c>
      <c r="I17786" s="20">
        <v>-0.56740873741349895</v>
      </c>
      <c r="J17786" s="28">
        <v>0.57043651499886505</v>
      </c>
      <c r="K17786" s="29">
        <v>0.98289565623980701</v>
      </c>
    </row>
    <row r="17787" spans="1:11" x14ac:dyDescent="0.35">
      <c r="A17787" s="9" t="str">
        <f>HYPERLINK("http://www.ensembl.org/id/WBGene00013072", "WBGene00013072")</f>
        <v>WBGene00013072</v>
      </c>
      <c r="B17787" s="9" t="str">
        <f>HYPERLINK("http://www.ncbi.nlm.nih.gov/gene/180204", "180204")</f>
        <v>180204</v>
      </c>
      <c r="C17787" s="9"/>
      <c r="D17787" t="str">
        <f>"Y51A2D.1"</f>
        <v>Y51A2D.1</v>
      </c>
      <c r="F17787" t="s">
        <v>11</v>
      </c>
      <c r="G17787" t="s">
        <v>180</v>
      </c>
      <c r="H17787" s="12">
        <v>-2.4295389261469</v>
      </c>
      <c r="I17787" s="20">
        <v>-0.25808529976640998</v>
      </c>
      <c r="J17787" s="28">
        <v>0.79634107645457397</v>
      </c>
      <c r="K17787" s="29">
        <v>0.98289565623980701</v>
      </c>
    </row>
    <row r="17788" spans="1:11" x14ac:dyDescent="0.35">
      <c r="A17788" s="9" t="str">
        <f>HYPERLINK("http://www.ensembl.org/id/WBGene00013080", "WBGene00013080")</f>
        <v>WBGene00013080</v>
      </c>
      <c r="B17788" s="9" t="str">
        <f>HYPERLINK("http://www.ncbi.nlm.nih.gov/gene/180213", "180213")</f>
        <v>180213</v>
      </c>
      <c r="C17788" s="9"/>
      <c r="D17788" t="str">
        <f>"Y51A2D.13"</f>
        <v>Y51A2D.13</v>
      </c>
      <c r="F17788" t="s">
        <v>11</v>
      </c>
      <c r="G17788" t="s">
        <v>2996</v>
      </c>
      <c r="H17788" s="12">
        <v>1.2332265312910899</v>
      </c>
      <c r="I17788" s="20">
        <v>1.0699061910929899</v>
      </c>
      <c r="J17788" s="28">
        <v>0.28466153608416001</v>
      </c>
      <c r="K17788" s="29">
        <v>0.98289565623980701</v>
      </c>
    </row>
    <row r="17789" spans="1:11" x14ac:dyDescent="0.35">
      <c r="A17789" s="9" t="str">
        <f>HYPERLINK("http://www.ensembl.org/id/WBGene00013081", "WBGene00013081")</f>
        <v>WBGene00013081</v>
      </c>
      <c r="B17789" s="9" t="str">
        <f>HYPERLINK("http://www.ncbi.nlm.nih.gov/gene/180214", "180214")</f>
        <v>180214</v>
      </c>
      <c r="C17789" s="9"/>
      <c r="D17789" t="str">
        <f>"Y51A2D.14"</f>
        <v>Y51A2D.14</v>
      </c>
      <c r="F17789" t="s">
        <v>11</v>
      </c>
      <c r="H17789" s="12">
        <v>1.14879737150459</v>
      </c>
      <c r="I17789" s="20">
        <v>0.68291534000832199</v>
      </c>
      <c r="J17789" s="28">
        <v>0.49466034010556198</v>
      </c>
      <c r="K17789" s="29">
        <v>0.98289565623980701</v>
      </c>
    </row>
    <row r="17790" spans="1:11" x14ac:dyDescent="0.35">
      <c r="A17790" s="9" t="str">
        <f>HYPERLINK("http://www.ensembl.org/id/WBGene00013083", "WBGene00013083")</f>
        <v>WBGene00013083</v>
      </c>
      <c r="B17790" s="9" t="str">
        <f>HYPERLINK("http://www.ncbi.nlm.nih.gov/gene/180202", "180202")</f>
        <v>180202</v>
      </c>
      <c r="C17790" s="9"/>
      <c r="D17790" t="str">
        <f>"Y51A2D.18"</f>
        <v>Y51A2D.18</v>
      </c>
      <c r="F17790" t="s">
        <v>11</v>
      </c>
      <c r="G17790" t="s">
        <v>230</v>
      </c>
      <c r="H17790" s="12">
        <v>1.86359265515518</v>
      </c>
      <c r="I17790" s="20">
        <v>1.1825395995130901</v>
      </c>
      <c r="J17790" s="28">
        <v>0.23699166256599799</v>
      </c>
      <c r="K17790" s="29">
        <v>0.98289565623980701</v>
      </c>
    </row>
    <row r="17791" spans="1:11" x14ac:dyDescent="0.35">
      <c r="A17791" s="9" t="str">
        <f>HYPERLINK("http://www.ensembl.org/id/WBGene00196326", "WBGene00196326")</f>
        <v>WBGene00196326</v>
      </c>
      <c r="B17791" s="9"/>
      <c r="C17791" s="9"/>
      <c r="D17791" t="str">
        <f>"Y51A2D.26"</f>
        <v>Y51A2D.26</v>
      </c>
      <c r="F17791" t="s">
        <v>481</v>
      </c>
      <c r="H17791" s="12">
        <v>3.6645215954135</v>
      </c>
      <c r="I17791" s="20">
        <v>0.37967131826092498</v>
      </c>
      <c r="J17791" s="28">
        <v>0.70418941338960395</v>
      </c>
      <c r="K17791" s="29">
        <v>0.98289565623980701</v>
      </c>
    </row>
    <row r="17792" spans="1:11" x14ac:dyDescent="0.35">
      <c r="A17792" s="9" t="str">
        <f>HYPERLINK("http://www.ensembl.org/id/WBGene00197339", "WBGene00197339")</f>
        <v>WBGene00197339</v>
      </c>
      <c r="B17792" s="9"/>
      <c r="C17792" s="9"/>
      <c r="D17792" t="str">
        <f>"Y51A2D.28"</f>
        <v>Y51A2D.28</v>
      </c>
      <c r="F17792" t="s">
        <v>481</v>
      </c>
      <c r="H17792" s="12">
        <v>-2.4991590031922399</v>
      </c>
      <c r="I17792" s="20">
        <v>-0.26577412737581302</v>
      </c>
      <c r="J17792" s="28">
        <v>0.79041317015736101</v>
      </c>
      <c r="K17792" s="29">
        <v>0.98289565623980701</v>
      </c>
    </row>
    <row r="17793" spans="1:11" x14ac:dyDescent="0.35">
      <c r="A17793" s="9" t="str">
        <f>HYPERLINK("http://www.ensembl.org/id/WBGene00199002", "WBGene00199002")</f>
        <v>WBGene00199002</v>
      </c>
      <c r="B17793" s="9"/>
      <c r="C17793" s="9"/>
      <c r="D17793" t="str">
        <f>"Y51A2D.33"</f>
        <v>Y51A2D.33</v>
      </c>
      <c r="F17793" t="s">
        <v>481</v>
      </c>
      <c r="H17793" s="12">
        <v>3.9822742124214701</v>
      </c>
      <c r="I17793" s="20">
        <v>0.482462550643251</v>
      </c>
      <c r="J17793" s="28">
        <v>0.62947739556167004</v>
      </c>
      <c r="K17793" s="29">
        <v>0.98289565623980701</v>
      </c>
    </row>
    <row r="17794" spans="1:11" x14ac:dyDescent="0.35">
      <c r="A17794" s="9" t="str">
        <f>HYPERLINK("http://www.ensembl.org/id/WBGene00014909", "WBGene00014909")</f>
        <v>WBGene00014909</v>
      </c>
      <c r="B17794" s="9"/>
      <c r="C17794" s="9"/>
      <c r="D17794" t="str">
        <f>"Y51B9A.2"</f>
        <v>Y51B9A.2</v>
      </c>
      <c r="F17794" t="s">
        <v>80</v>
      </c>
      <c r="H17794" s="12">
        <v>8.5695067701336107</v>
      </c>
      <c r="I17794" s="20">
        <v>0.89819093461970001</v>
      </c>
      <c r="J17794" s="28">
        <v>0.369083765560558</v>
      </c>
      <c r="K17794" s="29">
        <v>0.98289565623980701</v>
      </c>
    </row>
    <row r="17795" spans="1:11" x14ac:dyDescent="0.35">
      <c r="A17795" s="9" t="str">
        <f>HYPERLINK("http://www.ensembl.org/id/WBGene00013087", "WBGene00013087")</f>
        <v>WBGene00013087</v>
      </c>
      <c r="B17795" s="9" t="str">
        <f>HYPERLINK("http://www.ncbi.nlm.nih.gov/gene/190138", "190138")</f>
        <v>190138</v>
      </c>
      <c r="C17795" s="9"/>
      <c r="D17795" t="str">
        <f>"Y51B9A.5"</f>
        <v>Y51B9A.5</v>
      </c>
      <c r="F17795" t="s">
        <v>11</v>
      </c>
      <c r="H17795" s="12">
        <v>3.4963701105454099</v>
      </c>
      <c r="I17795" s="20">
        <v>0.64862224661649504</v>
      </c>
      <c r="J17795" s="28">
        <v>0.51658257246549999</v>
      </c>
      <c r="K17795" s="29">
        <v>0.98289565623980701</v>
      </c>
    </row>
    <row r="17796" spans="1:11" x14ac:dyDescent="0.35">
      <c r="A17796" s="9" t="str">
        <f>HYPERLINK("http://www.ensembl.org/id/WBGene00013088", "WBGene00013088")</f>
        <v>WBGene00013088</v>
      </c>
      <c r="B17796" s="9" t="str">
        <f>HYPERLINK("http://www.ncbi.nlm.nih.gov/gene/190139", "190139")</f>
        <v>190139</v>
      </c>
      <c r="C17796" s="9"/>
      <c r="D17796" t="str">
        <f>"Y51B9A.6"</f>
        <v>Y51B9A.6</v>
      </c>
      <c r="F17796" t="s">
        <v>11</v>
      </c>
      <c r="G17796" t="s">
        <v>230</v>
      </c>
      <c r="H17796" s="12">
        <v>4.9909714503807496</v>
      </c>
      <c r="I17796" s="20">
        <v>0.821287999421357</v>
      </c>
      <c r="J17796" s="28">
        <v>0.411482241652734</v>
      </c>
      <c r="K17796" s="29">
        <v>0.98289565623980701</v>
      </c>
    </row>
    <row r="17797" spans="1:11" x14ac:dyDescent="0.35">
      <c r="A17797" s="9" t="str">
        <f>HYPERLINK("http://www.ensembl.org/id/WBGene00013091", "WBGene00013091")</f>
        <v>WBGene00013091</v>
      </c>
      <c r="B17797" s="9" t="str">
        <f>HYPERLINK("http://www.ncbi.nlm.nih.gov/gene/174489", "174489")</f>
        <v>174489</v>
      </c>
      <c r="C17797" s="9"/>
      <c r="D17797" t="str">
        <f>"Y51B9A.9"</f>
        <v>Y51B9A.9</v>
      </c>
      <c r="F17797" t="s">
        <v>11</v>
      </c>
      <c r="G17797" t="s">
        <v>8852</v>
      </c>
      <c r="H17797" s="12">
        <v>-1.4384254605068301</v>
      </c>
      <c r="I17797" s="20">
        <v>-0.82956208659613895</v>
      </c>
      <c r="J17797" s="28">
        <v>0.40678642005524401</v>
      </c>
      <c r="K17797" s="29">
        <v>0.98289565623980701</v>
      </c>
    </row>
    <row r="17798" spans="1:11" x14ac:dyDescent="0.35">
      <c r="A17798" s="9" t="str">
        <f>HYPERLINK("http://www.ensembl.org/id/WBGene00196465", "WBGene00196465")</f>
        <v>WBGene00196465</v>
      </c>
      <c r="B17798" s="9"/>
      <c r="C17798" s="9"/>
      <c r="D17798" t="str">
        <f>"Y51F10.12"</f>
        <v>Y51F10.12</v>
      </c>
      <c r="F17798" t="s">
        <v>481</v>
      </c>
      <c r="H17798" s="12">
        <v>1.5938335702003099</v>
      </c>
      <c r="I17798" s="20">
        <v>0.42327892389145499</v>
      </c>
      <c r="J17798" s="28">
        <v>0.67209176958635397</v>
      </c>
      <c r="K17798" s="29">
        <v>0.98289565623980701</v>
      </c>
    </row>
    <row r="17799" spans="1:11" x14ac:dyDescent="0.35">
      <c r="A17799" s="9" t="str">
        <f>HYPERLINK("http://www.ensembl.org/id/WBGene00255420", "WBGene00255420")</f>
        <v>WBGene00255420</v>
      </c>
      <c r="B17799" s="9" t="str">
        <f>HYPERLINK("http://www.ncbi.nlm.nih.gov/gene/24105139", "24105139")</f>
        <v>24105139</v>
      </c>
      <c r="C17799" s="9"/>
      <c r="D17799" t="str">
        <f>"Y51F10.15"</f>
        <v>Y51F10.15</v>
      </c>
      <c r="F17799" t="s">
        <v>11</v>
      </c>
      <c r="G17799" t="s">
        <v>25</v>
      </c>
      <c r="H17799" s="12">
        <v>2.3893468495514898</v>
      </c>
      <c r="I17799" s="20">
        <v>0.25323547253672701</v>
      </c>
      <c r="J17799" s="28">
        <v>0.80008625651646104</v>
      </c>
      <c r="K17799" s="29">
        <v>0.98289565623980701</v>
      </c>
    </row>
    <row r="17800" spans="1:11" x14ac:dyDescent="0.35">
      <c r="A17800" s="9" t="str">
        <f>HYPERLINK("http://www.ensembl.org/id/WBGene00021765", "WBGene00021765")</f>
        <v>WBGene00021765</v>
      </c>
      <c r="B17800" s="9" t="str">
        <f>HYPERLINK("http://www.ncbi.nlm.nih.gov/gene/245996", "245996")</f>
        <v>245996</v>
      </c>
      <c r="C17800" s="9" t="str">
        <f>HYPERLINK("http://www.ncbi.nlm.nih.gov/gene/124565", "124565")</f>
        <v>124565</v>
      </c>
      <c r="D17800" t="str">
        <f>"Y51F10.4"</f>
        <v>Y51F10.4</v>
      </c>
      <c r="F17800" t="s">
        <v>11</v>
      </c>
      <c r="G17800" t="s">
        <v>2245</v>
      </c>
      <c r="H17800" s="12">
        <v>-1.21483866023485</v>
      </c>
      <c r="I17800" s="20">
        <v>-0.97432474135123004</v>
      </c>
      <c r="J17800" s="28">
        <v>0.32989532379995201</v>
      </c>
      <c r="K17800" s="29">
        <v>0.98289565623980701</v>
      </c>
    </row>
    <row r="17801" spans="1:11" x14ac:dyDescent="0.35">
      <c r="A17801" s="9" t="str">
        <f>HYPERLINK("http://www.ensembl.org/id/WBGene00013094", "WBGene00013094")</f>
        <v>WBGene00013094</v>
      </c>
      <c r="B17801" s="9" t="str">
        <f>HYPERLINK("http://www.ncbi.nlm.nih.gov/gene/175038", "175038")</f>
        <v>175038</v>
      </c>
      <c r="C17801" s="9"/>
      <c r="D17801" t="str">
        <f>"Y51H1A.3"</f>
        <v>Y51H1A.3</v>
      </c>
      <c r="F17801" t="s">
        <v>11</v>
      </c>
      <c r="G17801" t="s">
        <v>6519</v>
      </c>
      <c r="H17801" s="12">
        <v>-1.07306466410437</v>
      </c>
      <c r="I17801" s="20">
        <v>-0.37214479989659099</v>
      </c>
      <c r="J17801" s="28">
        <v>0.70978504236229401</v>
      </c>
      <c r="K17801" s="29">
        <v>0.98289565623980701</v>
      </c>
    </row>
    <row r="17802" spans="1:11" x14ac:dyDescent="0.35">
      <c r="A17802" s="9" t="str">
        <f>HYPERLINK("http://www.ensembl.org/id/WBGene00013109", "WBGene00013109")</f>
        <v>WBGene00013109</v>
      </c>
      <c r="B17802" s="9" t="str">
        <f>HYPERLINK("http://www.ncbi.nlm.nih.gov/gene/178464", "178464")</f>
        <v>178464</v>
      </c>
      <c r="C17802" s="9"/>
      <c r="D17802" t="str">
        <f>"Y51H4A.15"</f>
        <v>Y51H4A.15</v>
      </c>
      <c r="F17802" t="s">
        <v>11</v>
      </c>
      <c r="G17802" t="s">
        <v>9142</v>
      </c>
      <c r="H17802" s="12">
        <v>-1.2239179362032999</v>
      </c>
      <c r="I17802" s="20">
        <v>-0.91656652018075502</v>
      </c>
      <c r="J17802" s="28">
        <v>0.35936983499389302</v>
      </c>
      <c r="K17802" s="29">
        <v>0.98289565623980701</v>
      </c>
    </row>
    <row r="17803" spans="1:11" x14ac:dyDescent="0.35">
      <c r="A17803" s="9" t="str">
        <f>HYPERLINK("http://www.ensembl.org/id/WBGene00013116", "WBGene00013116")</f>
        <v>WBGene00013116</v>
      </c>
      <c r="B17803" s="9" t="str">
        <f>HYPERLINK("http://www.ncbi.nlm.nih.gov/gene/190157", "190157")</f>
        <v>190157</v>
      </c>
      <c r="C17803" s="9"/>
      <c r="D17803" t="str">
        <f>"Y51H4A.22"</f>
        <v>Y51H4A.22</v>
      </c>
      <c r="F17803" t="s">
        <v>11</v>
      </c>
      <c r="H17803" s="12">
        <v>-2.64522751747859</v>
      </c>
      <c r="I17803" s="20">
        <v>-0.322957783917381</v>
      </c>
      <c r="J17803" s="28">
        <v>0.74672721379852502</v>
      </c>
      <c r="K17803" s="29">
        <v>0.98289565623980701</v>
      </c>
    </row>
    <row r="17804" spans="1:11" x14ac:dyDescent="0.35">
      <c r="A17804" s="9" t="str">
        <f>HYPERLINK("http://www.ensembl.org/id/WBGene00013117", "WBGene00013117")</f>
        <v>WBGene00013117</v>
      </c>
      <c r="B17804" s="9" t="str">
        <f>HYPERLINK("http://www.ncbi.nlm.nih.gov/gene/190158", "190158")</f>
        <v>190158</v>
      </c>
      <c r="C17804" s="9"/>
      <c r="D17804" t="str">
        <f>"Y51H4A.23"</f>
        <v>Y51H4A.23</v>
      </c>
      <c r="F17804" t="s">
        <v>11</v>
      </c>
      <c r="H17804" s="12">
        <v>-2.4991590031922399</v>
      </c>
      <c r="I17804" s="20">
        <v>-0.26577412737581302</v>
      </c>
      <c r="J17804" s="28">
        <v>0.79041317015736101</v>
      </c>
      <c r="K17804" s="29">
        <v>0.98289565623980701</v>
      </c>
    </row>
    <row r="17805" spans="1:11" x14ac:dyDescent="0.35">
      <c r="A17805" s="9" t="str">
        <f>HYPERLINK("http://www.ensembl.org/id/WBGene00013118", "WBGene00013118")</f>
        <v>WBGene00013118</v>
      </c>
      <c r="B17805" s="9" t="str">
        <f>HYPERLINK("http://www.ncbi.nlm.nih.gov/gene/178466", "178466")</f>
        <v>178466</v>
      </c>
      <c r="C17805" s="9"/>
      <c r="D17805" t="str">
        <f>"Y51H4A.24"</f>
        <v>Y51H4A.24</v>
      </c>
      <c r="F17805" t="s">
        <v>11</v>
      </c>
      <c r="H17805" s="12">
        <v>-1.1116177461318899</v>
      </c>
      <c r="I17805" s="20">
        <v>-0.49875436342663199</v>
      </c>
      <c r="J17805" s="28">
        <v>0.61795244131035298</v>
      </c>
      <c r="K17805" s="29">
        <v>0.98289565623980701</v>
      </c>
    </row>
    <row r="17806" spans="1:11" x14ac:dyDescent="0.35">
      <c r="A17806" s="9" t="str">
        <f>HYPERLINK("http://www.ensembl.org/id/WBGene00194647", "WBGene00194647")</f>
        <v>WBGene00194647</v>
      </c>
      <c r="B17806" s="9" t="str">
        <f>HYPERLINK("http://www.ncbi.nlm.nih.gov/gene/13209146", "13209146")</f>
        <v>13209146</v>
      </c>
      <c r="C17806" s="9"/>
      <c r="D17806" t="str">
        <f>"Y51H4A.935"</f>
        <v>Y51H4A.935</v>
      </c>
      <c r="F17806" t="s">
        <v>11</v>
      </c>
      <c r="H17806" s="12">
        <v>3.9536106107363702</v>
      </c>
      <c r="I17806" s="20">
        <v>0.54979560316716403</v>
      </c>
      <c r="J17806" s="28">
        <v>0.58245957473176702</v>
      </c>
      <c r="K17806" s="29">
        <v>0.98289565623980701</v>
      </c>
    </row>
    <row r="17807" spans="1:11" x14ac:dyDescent="0.35">
      <c r="A17807" s="9" t="str">
        <f>HYPERLINK("http://www.ensembl.org/id/WBGene00219244", "WBGene00219244")</f>
        <v>WBGene00219244</v>
      </c>
      <c r="B17807" s="9" t="str">
        <f>HYPERLINK("http://www.ncbi.nlm.nih.gov/gene/13209141", "13209141")</f>
        <v>13209141</v>
      </c>
      <c r="C17807" s="9"/>
      <c r="D17807" t="str">
        <f>"Y51H4A.938"</f>
        <v>Y51H4A.938</v>
      </c>
      <c r="F17807" t="s">
        <v>11</v>
      </c>
      <c r="H17807" s="12">
        <v>3.6645215954135</v>
      </c>
      <c r="I17807" s="20">
        <v>0.37967131826092498</v>
      </c>
      <c r="J17807" s="28">
        <v>0.70418941338960395</v>
      </c>
      <c r="K17807" s="29">
        <v>0.98289565623980701</v>
      </c>
    </row>
    <row r="17808" spans="1:11" x14ac:dyDescent="0.35">
      <c r="A17808" s="9" t="str">
        <f>HYPERLINK("http://www.ensembl.org/id/WBGene00220175", "WBGene00220175")</f>
        <v>WBGene00220175</v>
      </c>
      <c r="B17808" s="9"/>
      <c r="C17808" s="9"/>
      <c r="D17808" t="str">
        <f>"Y51H4A.939"</f>
        <v>Y51H4A.939</v>
      </c>
      <c r="F17808" t="s">
        <v>481</v>
      </c>
      <c r="H17808" s="12">
        <v>2.3893468495514898</v>
      </c>
      <c r="I17808" s="20">
        <v>0.25323547253672701</v>
      </c>
      <c r="J17808" s="28">
        <v>0.80008625651646104</v>
      </c>
      <c r="K17808" s="29">
        <v>0.98289565623980701</v>
      </c>
    </row>
    <row r="17809" spans="1:11" x14ac:dyDescent="0.35">
      <c r="A17809" s="9" t="str">
        <f>HYPERLINK("http://www.ensembl.org/id/WBGene00255553", "WBGene00255553")</f>
        <v>WBGene00255553</v>
      </c>
      <c r="B17809" s="9" t="str">
        <f>HYPERLINK("http://www.ncbi.nlm.nih.gov/gene/24105142", "24105142")</f>
        <v>24105142</v>
      </c>
      <c r="C17809" s="9"/>
      <c r="D17809" t="str">
        <f>"Y51H4A.941"</f>
        <v>Y51H4A.941</v>
      </c>
      <c r="F17809" t="s">
        <v>11</v>
      </c>
      <c r="H17809" s="12">
        <v>7.6616465944663696</v>
      </c>
      <c r="I17809" s="20">
        <v>0.60406875593600395</v>
      </c>
      <c r="J17809" s="28">
        <v>0.54579793098927099</v>
      </c>
      <c r="K17809" s="29">
        <v>0.98289565623980701</v>
      </c>
    </row>
    <row r="17810" spans="1:11" x14ac:dyDescent="0.35">
      <c r="A17810" s="9" t="str">
        <f>HYPERLINK("http://www.ensembl.org/id/WBGene00021776", "WBGene00021776")</f>
        <v>WBGene00021776</v>
      </c>
      <c r="B17810" s="9" t="str">
        <f>HYPERLINK("http://www.ncbi.nlm.nih.gov/gene/190169", "190169")</f>
        <v>190169</v>
      </c>
      <c r="C17810" s="9"/>
      <c r="D17810" t="str">
        <f>"Y51H7BR.4"</f>
        <v>Y51H7BR.4</v>
      </c>
      <c r="F17810" t="s">
        <v>11</v>
      </c>
      <c r="G17810" t="s">
        <v>25</v>
      </c>
      <c r="H17810" s="12">
        <v>-1.1854460015975099</v>
      </c>
      <c r="I17810" s="20">
        <v>-0.62642524232450103</v>
      </c>
      <c r="J17810" s="28">
        <v>0.53103605711102098</v>
      </c>
      <c r="K17810" s="29">
        <v>0.98289565623980701</v>
      </c>
    </row>
    <row r="17811" spans="1:11" x14ac:dyDescent="0.35">
      <c r="A17811" s="9" t="str">
        <f>HYPERLINK("http://www.ensembl.org/id/WBGene00021778", "WBGene00021778")</f>
        <v>WBGene00021778</v>
      </c>
      <c r="B17811" s="9" t="str">
        <f>HYPERLINK("http://www.ncbi.nlm.nih.gov/gene/173527", "173527")</f>
        <v>173527</v>
      </c>
      <c r="C17811" s="9"/>
      <c r="D17811" t="str">
        <f>"Y51H7BR.7"</f>
        <v>Y51H7BR.7</v>
      </c>
      <c r="F17811" t="s">
        <v>11</v>
      </c>
      <c r="G17811" t="s">
        <v>25</v>
      </c>
      <c r="H17811" s="12">
        <v>-1.34722897526105</v>
      </c>
      <c r="I17811" s="20">
        <v>-0.50579574694441398</v>
      </c>
      <c r="J17811" s="28">
        <v>0.61300004451536205</v>
      </c>
      <c r="K17811" s="29">
        <v>0.98289565623980701</v>
      </c>
    </row>
    <row r="17812" spans="1:11" x14ac:dyDescent="0.35">
      <c r="A17812" s="9" t="str">
        <f>HYPERLINK("http://www.ensembl.org/id/WBGene00021788", "WBGene00021788")</f>
        <v>WBGene00021788</v>
      </c>
      <c r="B17812" s="9" t="str">
        <f>HYPERLINK("http://www.ncbi.nlm.nih.gov/gene/190178", "190178")</f>
        <v>190178</v>
      </c>
      <c r="C17812" s="9"/>
      <c r="D17812" t="str">
        <f>"Y51H7C.10"</f>
        <v>Y51H7C.10</v>
      </c>
      <c r="F17812" t="s">
        <v>11</v>
      </c>
      <c r="G17812" t="s">
        <v>25</v>
      </c>
      <c r="H17812" s="12">
        <v>-1.3519056714822799</v>
      </c>
      <c r="I17812" s="20">
        <v>-0.44916786078272603</v>
      </c>
      <c r="J17812" s="28">
        <v>0.65331057011131799</v>
      </c>
      <c r="K17812" s="29">
        <v>0.98289565623980701</v>
      </c>
    </row>
    <row r="17813" spans="1:11" x14ac:dyDescent="0.35">
      <c r="A17813" s="9" t="str">
        <f>HYPERLINK("http://www.ensembl.org/id/WBGene00021790", "WBGene00021790")</f>
        <v>WBGene00021790</v>
      </c>
      <c r="B17813" s="9" t="str">
        <f>HYPERLINK("http://www.ncbi.nlm.nih.gov/gene/190179", "190179")</f>
        <v>190179</v>
      </c>
      <c r="C17813" s="9"/>
      <c r="D17813" t="str">
        <f>"Y51H7C.12"</f>
        <v>Y51H7C.12</v>
      </c>
      <c r="F17813" t="s">
        <v>11</v>
      </c>
      <c r="G17813" t="s">
        <v>25</v>
      </c>
      <c r="H17813" s="12">
        <v>-1.79446617993626</v>
      </c>
      <c r="I17813" s="20">
        <v>-0.75866482541987501</v>
      </c>
      <c r="J17813" s="28">
        <v>0.44805308337854499</v>
      </c>
      <c r="K17813" s="29">
        <v>0.98289565623980701</v>
      </c>
    </row>
    <row r="17814" spans="1:11" x14ac:dyDescent="0.35">
      <c r="A17814" s="9" t="str">
        <f>HYPERLINK("http://www.ensembl.org/id/WBGene00021791", "WBGene00021791")</f>
        <v>WBGene00021791</v>
      </c>
      <c r="B17814" s="9" t="str">
        <f>HYPERLINK("http://www.ncbi.nlm.nih.gov/gene/190180", "190180")</f>
        <v>190180</v>
      </c>
      <c r="C17814" s="9"/>
      <c r="D17814" t="str">
        <f>"Y51H7C.13"</f>
        <v>Y51H7C.13</v>
      </c>
      <c r="F17814" t="s">
        <v>11</v>
      </c>
      <c r="H17814" s="12">
        <v>-1.1720108225814501</v>
      </c>
      <c r="I17814" s="20">
        <v>-0.57093989032000203</v>
      </c>
      <c r="J17814" s="28">
        <v>0.56804038959824399</v>
      </c>
      <c r="K17814" s="29">
        <v>0.98289565623980701</v>
      </c>
    </row>
    <row r="17815" spans="1:11" x14ac:dyDescent="0.35">
      <c r="A17815" s="9" t="str">
        <f>HYPERLINK("http://www.ensembl.org/id/WBGene00200052", "WBGene00200052")</f>
        <v>WBGene00200052</v>
      </c>
      <c r="B17815" s="9"/>
      <c r="C17815" s="9"/>
      <c r="D17815" t="str">
        <f>"Y51H7C.29"</f>
        <v>Y51H7C.29</v>
      </c>
      <c r="F17815" t="s">
        <v>481</v>
      </c>
      <c r="H17815" s="12">
        <v>2.3893468495514898</v>
      </c>
      <c r="I17815" s="20">
        <v>0.25323547253672701</v>
      </c>
      <c r="J17815" s="28">
        <v>0.80008625651646104</v>
      </c>
      <c r="K17815" s="29">
        <v>0.98289565623980701</v>
      </c>
    </row>
    <row r="17816" spans="1:11" x14ac:dyDescent="0.35">
      <c r="A17816" s="9" t="str">
        <f>HYPERLINK("http://www.ensembl.org/id/WBGene00021785", "WBGene00021785")</f>
        <v>WBGene00021785</v>
      </c>
      <c r="B17816" s="9" t="str">
        <f>HYPERLINK("http://www.ncbi.nlm.nih.gov/gene/173517", "173517")</f>
        <v>173517</v>
      </c>
      <c r="C17816" s="9"/>
      <c r="D17816" t="str">
        <f>"Y51H7C.7"</f>
        <v>Y51H7C.7</v>
      </c>
      <c r="F17816" t="s">
        <v>11</v>
      </c>
      <c r="G17816" t="s">
        <v>9642</v>
      </c>
      <c r="H17816" s="12">
        <v>-1.27140591168009</v>
      </c>
      <c r="I17816" s="20">
        <v>-0.92514657478982898</v>
      </c>
      <c r="J17816" s="28">
        <v>0.35488966913109599</v>
      </c>
      <c r="K17816" s="29">
        <v>0.98289565623980701</v>
      </c>
    </row>
    <row r="17817" spans="1:11" x14ac:dyDescent="0.35">
      <c r="A17817" s="9" t="str">
        <f>HYPERLINK("http://www.ensembl.org/id/WBGene00021786", "WBGene00021786")</f>
        <v>WBGene00021786</v>
      </c>
      <c r="B17817" s="9" t="str">
        <f>HYPERLINK("http://www.ncbi.nlm.nih.gov/gene/190177", "190177")</f>
        <v>190177</v>
      </c>
      <c r="C17817" s="9"/>
      <c r="D17817" t="str">
        <f>"Y51H7C.8"</f>
        <v>Y51H7C.8</v>
      </c>
      <c r="F17817" t="s">
        <v>11</v>
      </c>
      <c r="H17817" s="12">
        <v>-1.9524789117864101</v>
      </c>
      <c r="I17817" s="20">
        <v>-0.28472348942818698</v>
      </c>
      <c r="J17817" s="28">
        <v>0.77585599322051002</v>
      </c>
      <c r="K17817" s="29">
        <v>0.98289565623980701</v>
      </c>
    </row>
    <row r="17818" spans="1:11" x14ac:dyDescent="0.35">
      <c r="A17818" s="9" t="str">
        <f>HYPERLINK("http://www.ensembl.org/id/WBGene00021787", "WBGene00021787")</f>
        <v>WBGene00021787</v>
      </c>
      <c r="B17818" s="9" t="str">
        <f>HYPERLINK("http://www.ncbi.nlm.nih.gov/gene/173519", "173519")</f>
        <v>173519</v>
      </c>
      <c r="C17818" s="9"/>
      <c r="D17818" t="str">
        <f>"Y51H7C.9"</f>
        <v>Y51H7C.9</v>
      </c>
      <c r="F17818" t="s">
        <v>11</v>
      </c>
      <c r="G17818" t="s">
        <v>4334</v>
      </c>
      <c r="H17818" s="12">
        <v>2.9210309373810399</v>
      </c>
      <c r="I17818" s="20">
        <v>1.0019203570520001</v>
      </c>
      <c r="J17818" s="28">
        <v>0.31638205982062301</v>
      </c>
      <c r="K17818" s="29">
        <v>0.98289565623980701</v>
      </c>
    </row>
    <row r="17819" spans="1:11" x14ac:dyDescent="0.35">
      <c r="A17819" s="9" t="str">
        <f>HYPERLINK("http://www.ensembl.org/id/WBGene00013129", "WBGene00013129")</f>
        <v>WBGene00013129</v>
      </c>
      <c r="B17819" s="9" t="str">
        <f>HYPERLINK("http://www.ncbi.nlm.nih.gov/gene/173006", "173006")</f>
        <v>173006</v>
      </c>
      <c r="C17819" s="9" t="str">
        <f>HYPERLINK("http://www.ncbi.nlm.nih.gov/gene/64434", "64434")</f>
        <v>64434</v>
      </c>
      <c r="D17819" t="str">
        <f>"Y52B11A.10"</f>
        <v>Y52B11A.10</v>
      </c>
      <c r="F17819" t="s">
        <v>11</v>
      </c>
      <c r="G17819" t="s">
        <v>5574</v>
      </c>
      <c r="H17819" s="12">
        <v>1.14371028490563</v>
      </c>
      <c r="I17819" s="20">
        <v>0.61974046993205401</v>
      </c>
      <c r="J17819" s="28">
        <v>0.53542866695512603</v>
      </c>
      <c r="K17819" s="29">
        <v>0.98289565623980701</v>
      </c>
    </row>
    <row r="17820" spans="1:11" x14ac:dyDescent="0.35">
      <c r="A17820" s="9" t="str">
        <f>HYPERLINK("http://www.ensembl.org/id/WBGene00014914", "WBGene00014914")</f>
        <v>WBGene00014914</v>
      </c>
      <c r="B17820" s="9" t="str">
        <f>HYPERLINK("http://www.ncbi.nlm.nih.gov/gene/13182034", "13182034")</f>
        <v>13182034</v>
      </c>
      <c r="C17820" s="9"/>
      <c r="D17820" t="str">
        <f>"Y52B11A.11"</f>
        <v>Y52B11A.11</v>
      </c>
      <c r="F17820" t="s">
        <v>11</v>
      </c>
      <c r="G17820" t="s">
        <v>4663</v>
      </c>
      <c r="H17820" s="12">
        <v>1.5215179397260099</v>
      </c>
      <c r="I17820" s="20">
        <v>0.32853937487666302</v>
      </c>
      <c r="J17820" s="28">
        <v>0.74250387807157303</v>
      </c>
      <c r="K17820" s="29">
        <v>0.98289565623980701</v>
      </c>
    </row>
    <row r="17821" spans="1:11" x14ac:dyDescent="0.35">
      <c r="A17821" s="9" t="str">
        <f>HYPERLINK("http://www.ensembl.org/id/WBGene00077539", "WBGene00077539")</f>
        <v>WBGene00077539</v>
      </c>
      <c r="B17821" s="9" t="str">
        <f>HYPERLINK("http://www.ncbi.nlm.nih.gov/gene/13182023", "13182023")</f>
        <v>13182023</v>
      </c>
      <c r="C17821" s="9"/>
      <c r="D17821" t="str">
        <f>"Y52B11A.12"</f>
        <v>Y52B11A.12</v>
      </c>
      <c r="F17821" t="s">
        <v>11</v>
      </c>
      <c r="G17821" t="s">
        <v>54</v>
      </c>
      <c r="H17821" s="12">
        <v>-1.41254205835624</v>
      </c>
      <c r="I17821" s="20">
        <v>-0.79641187892160004</v>
      </c>
      <c r="J17821" s="28">
        <v>0.42579267602000898</v>
      </c>
      <c r="K17821" s="29">
        <v>0.98289565623980701</v>
      </c>
    </row>
    <row r="17822" spans="1:11" x14ac:dyDescent="0.35">
      <c r="A17822" s="9" t="str">
        <f>HYPERLINK("http://www.ensembl.org/id/WBGene00206497", "WBGene00206497")</f>
        <v>WBGene00206497</v>
      </c>
      <c r="B17822" s="9" t="str">
        <f>HYPERLINK("http://www.ncbi.nlm.nih.gov/gene/13182031", "13182031")</f>
        <v>13182031</v>
      </c>
      <c r="C17822" s="9"/>
      <c r="D17822" t="str">
        <f>"Y52B11A.18"</f>
        <v>Y52B11A.18</v>
      </c>
      <c r="F17822" t="s">
        <v>11</v>
      </c>
      <c r="H17822" s="12">
        <v>2.13525024972343</v>
      </c>
      <c r="I17822" s="20">
        <v>0.41504666611117602</v>
      </c>
      <c r="J17822" s="28">
        <v>0.67810774143866603</v>
      </c>
      <c r="K17822" s="29">
        <v>0.98289565623980701</v>
      </c>
    </row>
    <row r="17823" spans="1:11" x14ac:dyDescent="0.35">
      <c r="A17823" s="9" t="str">
        <f>HYPERLINK("http://www.ensembl.org/id/WBGene00206530", "WBGene00206530")</f>
        <v>WBGene00206530</v>
      </c>
      <c r="B17823" s="9" t="str">
        <f>HYPERLINK("http://www.ncbi.nlm.nih.gov/gene/13182032", "13182032")</f>
        <v>13182032</v>
      </c>
      <c r="C17823" s="9"/>
      <c r="D17823" t="str">
        <f>"Y52B11A.19"</f>
        <v>Y52B11A.19</v>
      </c>
      <c r="F17823" t="s">
        <v>11</v>
      </c>
      <c r="H17823" s="12">
        <v>1.5410479463017901</v>
      </c>
      <c r="I17823" s="20">
        <v>0.56477009554899904</v>
      </c>
      <c r="J17823" s="28">
        <v>0.57223014979984499</v>
      </c>
      <c r="K17823" s="29">
        <v>0.98289565623980701</v>
      </c>
    </row>
    <row r="17824" spans="1:11" x14ac:dyDescent="0.35">
      <c r="A17824" s="9" t="str">
        <f>HYPERLINK("http://www.ensembl.org/id/WBGene00013123", "WBGene00013123")</f>
        <v>WBGene00013123</v>
      </c>
      <c r="B17824" s="9" t="str">
        <f>HYPERLINK("http://www.ncbi.nlm.nih.gov/gene/173002", "173002")</f>
        <v>173002</v>
      </c>
      <c r="C17824" s="9" t="str">
        <f>HYPERLINK("http://www.ncbi.nlm.nih.gov/gene/51167", "51167")</f>
        <v>51167</v>
      </c>
      <c r="D17824" t="str">
        <f>"Y52B11A.3"</f>
        <v>Y52B11A.3</v>
      </c>
      <c r="F17824" t="s">
        <v>11</v>
      </c>
      <c r="G17824" t="s">
        <v>9029</v>
      </c>
      <c r="H17824" s="12">
        <v>-1.2156909298063201</v>
      </c>
      <c r="I17824" s="20">
        <v>-0.95972275093970705</v>
      </c>
      <c r="J17824" s="28">
        <v>0.33719476981716001</v>
      </c>
      <c r="K17824" s="29">
        <v>0.98289565623980701</v>
      </c>
    </row>
    <row r="17825" spans="1:11" x14ac:dyDescent="0.35">
      <c r="A17825" s="9" t="str">
        <f>HYPERLINK("http://www.ensembl.org/id/WBGene00013130", "WBGene00013130")</f>
        <v>WBGene00013130</v>
      </c>
      <c r="B17825" s="9" t="str">
        <f>HYPERLINK("http://www.ncbi.nlm.nih.gov/gene/173008", "173008")</f>
        <v>173008</v>
      </c>
      <c r="C17825" s="9"/>
      <c r="D17825" t="str">
        <f>"Y52B11B.1"</f>
        <v>Y52B11B.1</v>
      </c>
      <c r="F17825" t="s">
        <v>11</v>
      </c>
      <c r="H17825" s="12">
        <v>-2.4991590031922399</v>
      </c>
      <c r="I17825" s="20">
        <v>-0.26577412737581302</v>
      </c>
      <c r="J17825" s="28">
        <v>0.79041317015736101</v>
      </c>
      <c r="K17825" s="29">
        <v>0.98289565623980701</v>
      </c>
    </row>
    <row r="17826" spans="1:11" x14ac:dyDescent="0.35">
      <c r="A17826" s="9" t="str">
        <f>HYPERLINK("http://www.ensembl.org/id/WBGene00013131", "WBGene00013131")</f>
        <v>WBGene00013131</v>
      </c>
      <c r="B17826" s="9" t="str">
        <f>HYPERLINK("http://www.ncbi.nlm.nih.gov/gene/3565275", "3565275")</f>
        <v>3565275</v>
      </c>
      <c r="C17826" s="9" t="str">
        <f>HYPERLINK("http://www.ncbi.nlm.nih.gov/gene/9487", "9487")</f>
        <v>9487</v>
      </c>
      <c r="D17826" t="str">
        <f>"Y52B11C.1"</f>
        <v>Y52B11C.1</v>
      </c>
      <c r="F17826" t="s">
        <v>11</v>
      </c>
      <c r="G17826" t="s">
        <v>6689</v>
      </c>
      <c r="H17826" s="12">
        <v>-1.08478096018476</v>
      </c>
      <c r="I17826" s="20">
        <v>-0.340582457239406</v>
      </c>
      <c r="J17826" s="28">
        <v>0.73341793779074804</v>
      </c>
      <c r="K17826" s="29">
        <v>0.98289565623980701</v>
      </c>
    </row>
    <row r="17827" spans="1:11" x14ac:dyDescent="0.35">
      <c r="A17827" s="9" t="str">
        <f>HYPERLINK("http://www.ensembl.org/id/WBGene00021792", "WBGene00021792")</f>
        <v>WBGene00021792</v>
      </c>
      <c r="B17827" s="9"/>
      <c r="C17827" s="9"/>
      <c r="D17827" t="str">
        <f>"Y52D5A.1"</f>
        <v>Y52D5A.1</v>
      </c>
      <c r="F17827" t="s">
        <v>80</v>
      </c>
      <c r="H17827" s="12">
        <v>3.24921663643067</v>
      </c>
      <c r="I17827" s="20">
        <v>0.37093133971046299</v>
      </c>
      <c r="J17827" s="28">
        <v>0.710688671961756</v>
      </c>
      <c r="K17827" s="29">
        <v>0.98289565623980701</v>
      </c>
    </row>
    <row r="17828" spans="1:11" x14ac:dyDescent="0.35">
      <c r="A17828" s="9" t="str">
        <f>HYPERLINK("http://www.ensembl.org/id/WBGene00021793", "WBGene00021793")</f>
        <v>WBGene00021793</v>
      </c>
      <c r="B17828" s="9" t="str">
        <f>HYPERLINK("http://www.ncbi.nlm.nih.gov/gene/190185", "190185")</f>
        <v>190185</v>
      </c>
      <c r="C17828" s="9"/>
      <c r="D17828" t="str">
        <f>"Y52D5A.2"</f>
        <v>Y52D5A.2</v>
      </c>
      <c r="E17828" t="s">
        <v>2588</v>
      </c>
      <c r="F17828" t="s">
        <v>11</v>
      </c>
      <c r="G17828" t="s">
        <v>2589</v>
      </c>
      <c r="H17828" s="12">
        <v>-4.5114499031905204</v>
      </c>
      <c r="I17828" s="20">
        <v>-0.44198655555625299</v>
      </c>
      <c r="J17828" s="28">
        <v>0.65849893477547905</v>
      </c>
      <c r="K17828" s="29">
        <v>0.98289565623980701</v>
      </c>
    </row>
    <row r="17829" spans="1:11" x14ac:dyDescent="0.35">
      <c r="A17829" s="9" t="str">
        <f>HYPERLINK("http://www.ensembl.org/id/WBGene00021798", "WBGene00021798")</f>
        <v>WBGene00021798</v>
      </c>
      <c r="B17829" s="9" t="str">
        <f>HYPERLINK("http://www.ncbi.nlm.nih.gov/gene/24105147", "24105147")</f>
        <v>24105147</v>
      </c>
      <c r="C17829" s="9"/>
      <c r="D17829" t="str">
        <f>"Y52E8A.6"</f>
        <v>Y52E8A.6</v>
      </c>
      <c r="F17829" t="s">
        <v>11</v>
      </c>
      <c r="G17829" t="s">
        <v>25</v>
      </c>
      <c r="H17829" s="12">
        <v>-2.64522751747859</v>
      </c>
      <c r="I17829" s="20">
        <v>-0.322957783917381</v>
      </c>
      <c r="J17829" s="28">
        <v>0.74672721379852502</v>
      </c>
      <c r="K17829" s="29">
        <v>0.98289565623980701</v>
      </c>
    </row>
    <row r="17830" spans="1:11" x14ac:dyDescent="0.35">
      <c r="A17830" s="9" t="str">
        <f>HYPERLINK("http://www.ensembl.org/id/WBGene00195847", "WBGene00195847")</f>
        <v>WBGene00195847</v>
      </c>
      <c r="B17830" s="9"/>
      <c r="C17830" s="9"/>
      <c r="D17830" t="str">
        <f>"Y52E8A.7"</f>
        <v>Y52E8A.7</v>
      </c>
      <c r="F17830" t="s">
        <v>481</v>
      </c>
      <c r="H17830" s="12">
        <v>2.3893468495514898</v>
      </c>
      <c r="I17830" s="20">
        <v>0.25323547253672701</v>
      </c>
      <c r="J17830" s="28">
        <v>0.80008625651646104</v>
      </c>
      <c r="K17830" s="29">
        <v>0.98289565623980701</v>
      </c>
    </row>
    <row r="17831" spans="1:11" x14ac:dyDescent="0.35">
      <c r="A17831" s="9" t="str">
        <f>HYPERLINK("http://www.ensembl.org/id/WBGene00014915", "WBGene00014915")</f>
        <v>WBGene00014915</v>
      </c>
      <c r="B17831" s="9"/>
      <c r="C17831" s="9"/>
      <c r="D17831" t="str">
        <f>"Y53C10A.1"</f>
        <v>Y53C10A.1</v>
      </c>
      <c r="F17831" t="s">
        <v>80</v>
      </c>
      <c r="H17831" s="12">
        <v>-1.15858192568819</v>
      </c>
      <c r="I17831" s="20">
        <v>-0.29959414690716502</v>
      </c>
      <c r="J17831" s="28">
        <v>0.76448674930959504</v>
      </c>
      <c r="K17831" s="29">
        <v>0.98289565623980701</v>
      </c>
    </row>
    <row r="17832" spans="1:11" x14ac:dyDescent="0.35">
      <c r="A17832" s="9" t="str">
        <f>HYPERLINK("http://www.ensembl.org/id/WBGene00013138", "WBGene00013138")</f>
        <v>WBGene00013138</v>
      </c>
      <c r="B17832" s="9" t="str">
        <f>HYPERLINK("http://www.ncbi.nlm.nih.gov/gene/190195", "190195")</f>
        <v>190195</v>
      </c>
      <c r="C17832" s="9"/>
      <c r="D17832" t="str">
        <f>"Y53C10A.10"</f>
        <v>Y53C10A.10</v>
      </c>
      <c r="F17832" t="s">
        <v>11</v>
      </c>
      <c r="H17832" s="12">
        <v>1.54140914750025</v>
      </c>
      <c r="I17832" s="20">
        <v>0.40925814962028301</v>
      </c>
      <c r="J17832" s="28">
        <v>0.68235022449490801</v>
      </c>
      <c r="K17832" s="29">
        <v>0.98289565623980701</v>
      </c>
    </row>
    <row r="17833" spans="1:11" x14ac:dyDescent="0.35">
      <c r="A17833" s="9" t="str">
        <f>HYPERLINK("http://www.ensembl.org/id/WBGene00014585", "WBGene00014585")</f>
        <v>WBGene00014585</v>
      </c>
      <c r="B17833" s="9"/>
      <c r="C17833" s="9"/>
      <c r="D17833" t="str">
        <f>"Y53C10A.t1"</f>
        <v>Y53C10A.t1</v>
      </c>
      <c r="F17833" t="s">
        <v>4208</v>
      </c>
      <c r="H17833" s="12">
        <v>2.4578120077400301</v>
      </c>
      <c r="I17833" s="20">
        <v>0.26093350314551</v>
      </c>
      <c r="J17833" s="28">
        <v>0.79414378780213601</v>
      </c>
      <c r="K17833" s="29">
        <v>0.98289565623980701</v>
      </c>
    </row>
    <row r="17834" spans="1:11" x14ac:dyDescent="0.35">
      <c r="A17834" s="9" t="str">
        <f>HYPERLINK("http://www.ensembl.org/id/WBGene00194906", "WBGene00194906")</f>
        <v>WBGene00194906</v>
      </c>
      <c r="B17834" s="9" t="str">
        <f>HYPERLINK("http://www.ncbi.nlm.nih.gov/gene/13186579", "13186579")</f>
        <v>13186579</v>
      </c>
      <c r="C17834" s="9"/>
      <c r="D17834" t="str">
        <f>"Y53C12A.11"</f>
        <v>Y53C12A.11</v>
      </c>
      <c r="F17834" t="s">
        <v>11</v>
      </c>
      <c r="H17834" s="12">
        <v>-1.39487667587132</v>
      </c>
      <c r="I17834" s="20">
        <v>-0.63521980643945797</v>
      </c>
      <c r="J17834" s="28">
        <v>0.52528506722044299</v>
      </c>
      <c r="K17834" s="29">
        <v>0.98289565623980701</v>
      </c>
    </row>
    <row r="17835" spans="1:11" x14ac:dyDescent="0.35">
      <c r="A17835" s="9" t="str">
        <f>HYPERLINK("http://www.ensembl.org/id/WBGene00013141", "WBGene00013141")</f>
        <v>WBGene00013141</v>
      </c>
      <c r="B17835" s="9" t="str">
        <f>HYPERLINK("http://www.ncbi.nlm.nih.gov/gene/190201", "190201")</f>
        <v>190201</v>
      </c>
      <c r="C17835" s="9"/>
      <c r="D17835" t="str">
        <f>"Y53C12A.6"</f>
        <v>Y53C12A.6</v>
      </c>
      <c r="F17835" t="s">
        <v>11</v>
      </c>
      <c r="H17835" s="12">
        <v>1.4401121829755701</v>
      </c>
      <c r="I17835" s="20">
        <v>0.34387700442693198</v>
      </c>
      <c r="J17835" s="28">
        <v>0.73093878623225905</v>
      </c>
      <c r="K17835" s="29">
        <v>0.98289565623980701</v>
      </c>
    </row>
    <row r="17836" spans="1:11" x14ac:dyDescent="0.35">
      <c r="A17836" s="9" t="str">
        <f>HYPERLINK("http://www.ensembl.org/id/WBGene00044158", "WBGene00044158")</f>
        <v>WBGene00044158</v>
      </c>
      <c r="B17836" s="9" t="str">
        <f>HYPERLINK("http://www.ncbi.nlm.nih.gov/gene/3565602", "3565602")</f>
        <v>3565602</v>
      </c>
      <c r="C17836" s="9"/>
      <c r="D17836" t="str">
        <f>"Y53C12A.8"</f>
        <v>Y53C12A.8</v>
      </c>
      <c r="F17836" t="s">
        <v>11</v>
      </c>
      <c r="H17836" s="12">
        <v>3.24921663643067</v>
      </c>
      <c r="I17836" s="20">
        <v>0.37093133971046299</v>
      </c>
      <c r="J17836" s="28">
        <v>0.710688671961756</v>
      </c>
      <c r="K17836" s="29">
        <v>0.98289565623980701</v>
      </c>
    </row>
    <row r="17837" spans="1:11" x14ac:dyDescent="0.35">
      <c r="A17837" s="9" t="str">
        <f>HYPERLINK("http://www.ensembl.org/id/WBGene00013143", "WBGene00013143")</f>
        <v>WBGene00013143</v>
      </c>
      <c r="B17837" s="9" t="str">
        <f>HYPERLINK("http://www.ncbi.nlm.nih.gov/gene/190203", "190203")</f>
        <v>190203</v>
      </c>
      <c r="C17837" s="9" t="str">
        <f>HYPERLINK("http://www.ncbi.nlm.nih.gov/gene/10607", "10607")</f>
        <v>10607</v>
      </c>
      <c r="D17837" t="str">
        <f>"Y53C12B.1"</f>
        <v>Y53C12B.1</v>
      </c>
      <c r="F17837" t="s">
        <v>11</v>
      </c>
      <c r="G17837" t="s">
        <v>9745</v>
      </c>
      <c r="H17837" s="12">
        <v>-1.2924336856488801</v>
      </c>
      <c r="I17837" s="20">
        <v>-1.0796492027931699</v>
      </c>
      <c r="J17837" s="28">
        <v>0.28029842222037898</v>
      </c>
      <c r="K17837" s="29">
        <v>0.98289565623980701</v>
      </c>
    </row>
    <row r="17838" spans="1:11" x14ac:dyDescent="0.35">
      <c r="A17838" s="9" t="str">
        <f>HYPERLINK("http://www.ensembl.org/id/WBGene00013148", "WBGene00013148")</f>
        <v>WBGene00013148</v>
      </c>
      <c r="B17838" s="9" t="str">
        <f>HYPERLINK("http://www.ncbi.nlm.nih.gov/gene/190205", "190205")</f>
        <v>190205</v>
      </c>
      <c r="C17838" s="9"/>
      <c r="D17838" t="str">
        <f>"Y53F4A.2"</f>
        <v>Y53F4A.2</v>
      </c>
      <c r="F17838" t="s">
        <v>11</v>
      </c>
      <c r="H17838" s="12">
        <v>-1.6486363495539</v>
      </c>
      <c r="I17838" s="20">
        <v>-0.36533903838201198</v>
      </c>
      <c r="J17838" s="28">
        <v>0.71485834094140599</v>
      </c>
      <c r="K17838" s="29">
        <v>0.98289565623980701</v>
      </c>
    </row>
    <row r="17839" spans="1:11" x14ac:dyDescent="0.35">
      <c r="A17839" s="9" t="str">
        <f>HYPERLINK("http://www.ensembl.org/id/WBGene00013157", "WBGene00013157")</f>
        <v>WBGene00013157</v>
      </c>
      <c r="B17839" s="9" t="str">
        <f>HYPERLINK("http://www.ncbi.nlm.nih.gov/gene/190212", "190212")</f>
        <v>190212</v>
      </c>
      <c r="C17839" s="9"/>
      <c r="D17839" t="str">
        <f>"Y53F4B.10"</f>
        <v>Y53F4B.10</v>
      </c>
      <c r="F17839" t="s">
        <v>11</v>
      </c>
      <c r="H17839" s="12">
        <v>1.46655011606482</v>
      </c>
      <c r="I17839" s="20">
        <v>0.31292410021740402</v>
      </c>
      <c r="J17839" s="28">
        <v>0.75433832711762006</v>
      </c>
      <c r="K17839" s="29">
        <v>0.98289565623980701</v>
      </c>
    </row>
    <row r="17840" spans="1:11" x14ac:dyDescent="0.35">
      <c r="A17840" s="9" t="str">
        <f>HYPERLINK("http://www.ensembl.org/id/WBGene00013160", "WBGene00013160")</f>
        <v>WBGene00013160</v>
      </c>
      <c r="B17840" s="9" t="str">
        <f>HYPERLINK("http://www.ncbi.nlm.nih.gov/gene/175156", "175156")</f>
        <v>175156</v>
      </c>
      <c r="C17840" s="9" t="str">
        <f>HYPERLINK("http://www.ncbi.nlm.nih.gov/gene/23070", "23070")</f>
        <v>23070</v>
      </c>
      <c r="D17840" t="str">
        <f>"Y53F4B.13"</f>
        <v>Y53F4B.13</v>
      </c>
      <c r="E17840" t="s">
        <v>7588</v>
      </c>
      <c r="F17840" t="s">
        <v>11</v>
      </c>
      <c r="G17840" t="s">
        <v>7589</v>
      </c>
      <c r="H17840" s="12">
        <v>-1.1343802137789001</v>
      </c>
      <c r="I17840" s="20">
        <v>-0.58179395221406904</v>
      </c>
      <c r="J17840" s="28">
        <v>0.56070547819163497</v>
      </c>
      <c r="K17840" s="29">
        <v>0.98289565623980701</v>
      </c>
    </row>
    <row r="17841" spans="1:11" x14ac:dyDescent="0.35">
      <c r="A17841" s="9" t="str">
        <f>HYPERLINK("http://www.ensembl.org/id/WBGene00013161", "WBGene00013161")</f>
        <v>WBGene00013161</v>
      </c>
      <c r="B17841" s="9" t="str">
        <f>HYPERLINK("http://www.ncbi.nlm.nih.gov/gene/175157", "175157")</f>
        <v>175157</v>
      </c>
      <c r="C17841" s="9"/>
      <c r="D17841" t="str">
        <f>"Y53F4B.14"</f>
        <v>Y53F4B.14</v>
      </c>
      <c r="F17841" t="s">
        <v>11</v>
      </c>
      <c r="G17841" t="s">
        <v>5560</v>
      </c>
      <c r="H17841" s="12">
        <v>1.1461983252963099</v>
      </c>
      <c r="I17841" s="20">
        <v>0.589382072058247</v>
      </c>
      <c r="J17841" s="28">
        <v>0.555605000212258</v>
      </c>
      <c r="K17841" s="29">
        <v>0.98289565623980701</v>
      </c>
    </row>
    <row r="17842" spans="1:11" x14ac:dyDescent="0.35">
      <c r="A17842" s="9" t="str">
        <f>HYPERLINK("http://www.ensembl.org/id/WBGene00013163", "WBGene00013163")</f>
        <v>WBGene00013163</v>
      </c>
      <c r="B17842" s="9" t="str">
        <f>HYPERLINK("http://www.ncbi.nlm.nih.gov/gene/190216", "190216")</f>
        <v>190216</v>
      </c>
      <c r="C17842" s="9"/>
      <c r="D17842" t="str">
        <f>"Y53F4B.17"</f>
        <v>Y53F4B.17</v>
      </c>
      <c r="F17842" t="s">
        <v>11</v>
      </c>
      <c r="H17842" s="12">
        <v>2.20918333845459</v>
      </c>
      <c r="I17842" s="20">
        <v>0.416665609070135</v>
      </c>
      <c r="J17842" s="28">
        <v>0.67692301270072197</v>
      </c>
      <c r="K17842" s="29">
        <v>0.98289565623980701</v>
      </c>
    </row>
    <row r="17843" spans="1:11" x14ac:dyDescent="0.35">
      <c r="A17843" s="9" t="str">
        <f>HYPERLINK("http://www.ensembl.org/id/WBGene00013164", "WBGene00013164")</f>
        <v>WBGene00013164</v>
      </c>
      <c r="B17843" s="9" t="str">
        <f>HYPERLINK("http://www.ncbi.nlm.nih.gov/gene/190217", "190217")</f>
        <v>190217</v>
      </c>
      <c r="C17843" s="9" t="str">
        <f>HYPERLINK("http://www.ncbi.nlm.nih.gov/gene/158584", "158584")</f>
        <v>158584</v>
      </c>
      <c r="D17843" t="str">
        <f>"Y53F4B.18"</f>
        <v>Y53F4B.18</v>
      </c>
      <c r="F17843" t="s">
        <v>11</v>
      </c>
      <c r="G17843" t="s">
        <v>25</v>
      </c>
      <c r="H17843" s="12">
        <v>-1.1261869673636</v>
      </c>
      <c r="I17843" s="20">
        <v>-0.58929407206400097</v>
      </c>
      <c r="J17843" s="28">
        <v>0.55566402076381005</v>
      </c>
      <c r="K17843" s="29">
        <v>0.98289565623980701</v>
      </c>
    </row>
    <row r="17844" spans="1:11" x14ac:dyDescent="0.35">
      <c r="A17844" s="9" t="str">
        <f>HYPERLINK("http://www.ensembl.org/id/WBGene00013165", "WBGene00013165")</f>
        <v>WBGene00013165</v>
      </c>
      <c r="B17844" s="9" t="str">
        <f>HYPERLINK("http://www.ncbi.nlm.nih.gov/gene/190218", "190218")</f>
        <v>190218</v>
      </c>
      <c r="C17844" s="9"/>
      <c r="D17844" t="str">
        <f>"Y53F4B.19"</f>
        <v>Y53F4B.19</v>
      </c>
      <c r="E17844" t="s">
        <v>899</v>
      </c>
      <c r="F17844" t="s">
        <v>11</v>
      </c>
      <c r="G17844" t="s">
        <v>3403</v>
      </c>
      <c r="H17844" s="12">
        <v>-1.2832781428651101</v>
      </c>
      <c r="I17844" s="20">
        <v>-0.28785263822183899</v>
      </c>
      <c r="J17844" s="28">
        <v>0.77345954229527902</v>
      </c>
      <c r="K17844" s="29">
        <v>0.98289565623980701</v>
      </c>
    </row>
    <row r="17845" spans="1:11" x14ac:dyDescent="0.35">
      <c r="A17845" s="9" t="str">
        <f>HYPERLINK("http://www.ensembl.org/id/WBGene00013166", "WBGene00013166")</f>
        <v>WBGene00013166</v>
      </c>
      <c r="B17845" s="9" t="str">
        <f>HYPERLINK("http://www.ncbi.nlm.nih.gov/gene/175160", "175160")</f>
        <v>175160</v>
      </c>
      <c r="C17845" s="9"/>
      <c r="D17845" t="str">
        <f>"Y53F4B.20"</f>
        <v>Y53F4B.20</v>
      </c>
      <c r="F17845" t="s">
        <v>11</v>
      </c>
      <c r="G17845" t="s">
        <v>4693</v>
      </c>
      <c r="H17845" s="12">
        <v>1.4171726273399201</v>
      </c>
      <c r="I17845" s="20">
        <v>0.91340524408008705</v>
      </c>
      <c r="J17845" s="28">
        <v>0.36102944854167102</v>
      </c>
      <c r="K17845" s="29">
        <v>0.98289565623980701</v>
      </c>
    </row>
    <row r="17846" spans="1:11" x14ac:dyDescent="0.35">
      <c r="A17846" s="9" t="str">
        <f>HYPERLINK("http://www.ensembl.org/id/WBGene00013167", "WBGene00013167")</f>
        <v>WBGene00013167</v>
      </c>
      <c r="B17846" s="9" t="str">
        <f>HYPERLINK("http://www.ncbi.nlm.nih.gov/gene/190219", "190219")</f>
        <v>190219</v>
      </c>
      <c r="C17846" s="9" t="str">
        <f>HYPERLINK("http://www.ncbi.nlm.nih.gov/gene/23325", "23325")</f>
        <v>23325</v>
      </c>
      <c r="D17846" t="str">
        <f>"Y53F4B.21"</f>
        <v>Y53F4B.21</v>
      </c>
      <c r="F17846" t="s">
        <v>11</v>
      </c>
      <c r="G17846" t="s">
        <v>6046</v>
      </c>
      <c r="H17846" s="12">
        <v>1.0698393431281501</v>
      </c>
      <c r="I17846" s="20">
        <v>0.261928370967768</v>
      </c>
      <c r="J17846" s="28">
        <v>0.79337666612594204</v>
      </c>
      <c r="K17846" s="29">
        <v>0.98289565623980701</v>
      </c>
    </row>
    <row r="17847" spans="1:11" x14ac:dyDescent="0.35">
      <c r="A17847" s="9" t="str">
        <f>HYPERLINK("http://www.ensembl.org/id/WBGene00013170", "WBGene00013170")</f>
        <v>WBGene00013170</v>
      </c>
      <c r="B17847" s="9" t="str">
        <f>HYPERLINK("http://www.ncbi.nlm.nih.gov/gene/190221", "190221")</f>
        <v>190221</v>
      </c>
      <c r="C17847" s="9"/>
      <c r="D17847" t="str">
        <f>"Y53F4B.24"</f>
        <v>Y53F4B.24</v>
      </c>
      <c r="F17847" t="s">
        <v>11</v>
      </c>
      <c r="H17847" s="12">
        <v>4.3653967363455903</v>
      </c>
      <c r="I17847" s="20">
        <v>0.72138825739898504</v>
      </c>
      <c r="J17847" s="28">
        <v>0.47067066929276302</v>
      </c>
      <c r="K17847" s="29">
        <v>0.98289565623980701</v>
      </c>
    </row>
    <row r="17848" spans="1:11" x14ac:dyDescent="0.35">
      <c r="A17848" s="9" t="str">
        <f>HYPERLINK("http://www.ensembl.org/id/WBGene00013171", "WBGene00013171")</f>
        <v>WBGene00013171</v>
      </c>
      <c r="B17848" s="9" t="str">
        <f>HYPERLINK("http://www.ncbi.nlm.nih.gov/gene/175163", "175163")</f>
        <v>175163</v>
      </c>
      <c r="C17848" s="9"/>
      <c r="D17848" t="str">
        <f>"Y53F4B.25"</f>
        <v>Y53F4B.25</v>
      </c>
      <c r="F17848" t="s">
        <v>11</v>
      </c>
      <c r="H17848" s="12">
        <v>1.3092089645631499</v>
      </c>
      <c r="I17848" s="20">
        <v>0.25905599967891602</v>
      </c>
      <c r="J17848" s="28">
        <v>0.79559203330543604</v>
      </c>
      <c r="K17848" s="29">
        <v>0.98289565623980701</v>
      </c>
    </row>
    <row r="17849" spans="1:11" x14ac:dyDescent="0.35">
      <c r="A17849" s="9" t="str">
        <f>HYPERLINK("http://www.ensembl.org/id/WBGene00013175", "WBGene00013175")</f>
        <v>WBGene00013175</v>
      </c>
      <c r="B17849" s="9" t="str">
        <f>HYPERLINK("http://www.ncbi.nlm.nih.gov/gene/190229", "190229")</f>
        <v>190229</v>
      </c>
      <c r="C17849" s="9"/>
      <c r="D17849" t="str">
        <f>"Y53F4B.36"</f>
        <v>Y53F4B.36</v>
      </c>
      <c r="F17849" t="s">
        <v>11</v>
      </c>
      <c r="H17849" s="12">
        <v>9.3362896129311999</v>
      </c>
      <c r="I17849" s="20">
        <v>1.1506829034377499</v>
      </c>
      <c r="J17849" s="28">
        <v>0.24986271254133</v>
      </c>
      <c r="K17849" s="29">
        <v>0.98289565623980701</v>
      </c>
    </row>
    <row r="17850" spans="1:11" x14ac:dyDescent="0.35">
      <c r="A17850" s="9" t="str">
        <f>HYPERLINK("http://www.ensembl.org/id/WBGene00013176", "WBGene00013176")</f>
        <v>WBGene00013176</v>
      </c>
      <c r="B17850" s="9" t="str">
        <f>HYPERLINK("http://www.ncbi.nlm.nih.gov/gene/175161", "175161")</f>
        <v>175161</v>
      </c>
      <c r="C17850" s="9" t="str">
        <f>HYPERLINK("http://www.ncbi.nlm.nih.gov/gene/51110", "51110")</f>
        <v>51110</v>
      </c>
      <c r="D17850" t="str">
        <f>"Y53F4B.39"</f>
        <v>Y53F4B.39</v>
      </c>
      <c r="E17850" t="s">
        <v>5946</v>
      </c>
      <c r="F17850" t="s">
        <v>11</v>
      </c>
      <c r="G17850" t="s">
        <v>5947</v>
      </c>
      <c r="H17850" s="12">
        <v>1.0812726879635599</v>
      </c>
      <c r="I17850" s="20">
        <v>0.38657727894556898</v>
      </c>
      <c r="J17850" s="28">
        <v>0.69906918142404595</v>
      </c>
      <c r="K17850" s="29">
        <v>0.98289565623980701</v>
      </c>
    </row>
    <row r="17851" spans="1:11" x14ac:dyDescent="0.35">
      <c r="A17851" s="9" t="str">
        <f>HYPERLINK("http://www.ensembl.org/id/WBGene00044726", "WBGene00044726")</f>
        <v>WBGene00044726</v>
      </c>
      <c r="B17851" s="9" t="str">
        <f>HYPERLINK("http://www.ncbi.nlm.nih.gov/gene/13188087", "13188087")</f>
        <v>13188087</v>
      </c>
      <c r="C17851" s="9"/>
      <c r="D17851" t="str">
        <f>"Y53F4B.43"</f>
        <v>Y53F4B.43</v>
      </c>
      <c r="F17851" t="s">
        <v>11</v>
      </c>
      <c r="G17851" t="s">
        <v>4745</v>
      </c>
      <c r="H17851" s="12">
        <v>1.4193741050574</v>
      </c>
      <c r="I17851" s="20">
        <v>0.28600285864831698</v>
      </c>
      <c r="J17851" s="28">
        <v>0.77487593208505501</v>
      </c>
      <c r="K17851" s="29">
        <v>0.98289565623980701</v>
      </c>
    </row>
    <row r="17852" spans="1:11" x14ac:dyDescent="0.35">
      <c r="A17852" s="9" t="str">
        <f>HYPERLINK("http://www.ensembl.org/id/WBGene00044728", "WBGene00044728")</f>
        <v>WBGene00044728</v>
      </c>
      <c r="B17852" s="9"/>
      <c r="C17852" s="9"/>
      <c r="D17852" t="str">
        <f>"Y53F4B.45"</f>
        <v>Y53F4B.45</v>
      </c>
      <c r="F17852" t="s">
        <v>481</v>
      </c>
      <c r="H17852" s="12">
        <v>-1.18448924584482</v>
      </c>
      <c r="I17852" s="20">
        <v>-0.91460936612859101</v>
      </c>
      <c r="J17852" s="28">
        <v>0.36039673995316102</v>
      </c>
      <c r="K17852" s="29">
        <v>0.98289565623980701</v>
      </c>
    </row>
    <row r="17853" spans="1:11" x14ac:dyDescent="0.35">
      <c r="A17853" s="9" t="str">
        <f>HYPERLINK("http://www.ensembl.org/id/WBGene00045142", "WBGene00045142")</f>
        <v>WBGene00045142</v>
      </c>
      <c r="B17853" s="9"/>
      <c r="C17853" s="9"/>
      <c r="D17853" t="str">
        <f>"Y53F4B.48"</f>
        <v>Y53F4B.48</v>
      </c>
      <c r="F17853" t="s">
        <v>2977</v>
      </c>
      <c r="H17853" s="12">
        <v>2.0710977244993098</v>
      </c>
      <c r="I17853" s="20">
        <v>0.40910840865856102</v>
      </c>
      <c r="J17853" s="28">
        <v>0.68246010572411797</v>
      </c>
      <c r="K17853" s="29">
        <v>0.98289565623980701</v>
      </c>
    </row>
    <row r="17854" spans="1:11" x14ac:dyDescent="0.35">
      <c r="A17854" s="9" t="str">
        <f>HYPERLINK("http://www.ensembl.org/id/WBGene00194905", "WBGene00194905")</f>
        <v>WBGene00194905</v>
      </c>
      <c r="B17854" s="9" t="str">
        <f>HYPERLINK("http://www.ncbi.nlm.nih.gov/gene/13188094", "13188094")</f>
        <v>13188094</v>
      </c>
      <c r="C17854" s="9"/>
      <c r="D17854" t="str">
        <f>"Y53F4B.51"</f>
        <v>Y53F4B.51</v>
      </c>
      <c r="F17854" t="s">
        <v>11</v>
      </c>
      <c r="H17854" s="12">
        <v>1.1036840164460699</v>
      </c>
      <c r="I17854" s="20">
        <v>0.305393415995168</v>
      </c>
      <c r="J17854" s="28">
        <v>0.76006653570983596</v>
      </c>
      <c r="K17854" s="29">
        <v>0.98289565623980701</v>
      </c>
    </row>
    <row r="17855" spans="1:11" x14ac:dyDescent="0.35">
      <c r="A17855" s="9" t="str">
        <f>HYPERLINK("http://www.ensembl.org/id/WBGene00200873", "WBGene00200873")</f>
        <v>WBGene00200873</v>
      </c>
      <c r="B17855" s="9"/>
      <c r="C17855" s="9"/>
      <c r="D17855" t="str">
        <f>"Y53F4B.61"</f>
        <v>Y53F4B.61</v>
      </c>
      <c r="F17855" t="s">
        <v>481</v>
      </c>
      <c r="H17855" s="12">
        <v>-2.4295389261469</v>
      </c>
      <c r="I17855" s="20">
        <v>-0.25808529976640998</v>
      </c>
      <c r="J17855" s="28">
        <v>0.79634107645457397</v>
      </c>
      <c r="K17855" s="29">
        <v>0.98289565623980701</v>
      </c>
    </row>
    <row r="17856" spans="1:11" x14ac:dyDescent="0.35">
      <c r="A17856" s="9" t="str">
        <f>HYPERLINK("http://www.ensembl.org/id/WBGene00219492", "WBGene00219492")</f>
        <v>WBGene00219492</v>
      </c>
      <c r="B17856" s="9"/>
      <c r="C17856" s="9"/>
      <c r="D17856" t="str">
        <f>"Y53F4B.63"</f>
        <v>Y53F4B.63</v>
      </c>
      <c r="F17856" t="s">
        <v>80</v>
      </c>
      <c r="H17856" s="12">
        <v>-3.5819448292659501</v>
      </c>
      <c r="I17856" s="20">
        <v>-0.37337717500031398</v>
      </c>
      <c r="J17856" s="28">
        <v>0.70886774492290605</v>
      </c>
      <c r="K17856" s="29">
        <v>0.98289565623980701</v>
      </c>
    </row>
    <row r="17857" spans="1:11" x14ac:dyDescent="0.35">
      <c r="A17857" s="9" t="str">
        <f>HYPERLINK("http://www.ensembl.org/id/WBGene00013154", "WBGene00013154")</f>
        <v>WBGene00013154</v>
      </c>
      <c r="B17857" s="9" t="str">
        <f>HYPERLINK("http://www.ncbi.nlm.nih.gov/gene/190210", "190210")</f>
        <v>190210</v>
      </c>
      <c r="C17857" s="9"/>
      <c r="D17857" t="str">
        <f>"Y53F4B.7"</f>
        <v>Y53F4B.7</v>
      </c>
      <c r="F17857" t="s">
        <v>11</v>
      </c>
      <c r="H17857" s="12">
        <v>-2.2537886468019002</v>
      </c>
      <c r="I17857" s="20">
        <v>-0.38344622282184598</v>
      </c>
      <c r="J17857" s="28">
        <v>0.70138893657708501</v>
      </c>
      <c r="K17857" s="29">
        <v>0.98289565623980701</v>
      </c>
    </row>
    <row r="17858" spans="1:11" x14ac:dyDescent="0.35">
      <c r="A17858" s="9" t="str">
        <f>HYPERLINK("http://www.ensembl.org/id/WBGene00013156", "WBGene00013156")</f>
        <v>WBGene00013156</v>
      </c>
      <c r="B17858" s="9" t="str">
        <f>HYPERLINK("http://www.ncbi.nlm.nih.gov/gene/175155", "175155")</f>
        <v>175155</v>
      </c>
      <c r="C17858" s="9"/>
      <c r="D17858" t="str">
        <f>"Y53F4B.9"</f>
        <v>Y53F4B.9</v>
      </c>
      <c r="F17858" t="s">
        <v>11</v>
      </c>
      <c r="G17858" t="s">
        <v>3049</v>
      </c>
      <c r="H17858" s="12">
        <v>-1.2246984119794599</v>
      </c>
      <c r="I17858" s="20">
        <v>-0.91519241649864802</v>
      </c>
      <c r="J17858" s="28">
        <v>0.36009062508880102</v>
      </c>
      <c r="K17858" s="29">
        <v>0.98289565623980701</v>
      </c>
    </row>
    <row r="17859" spans="1:11" x14ac:dyDescent="0.35">
      <c r="A17859" s="9" t="str">
        <f>HYPERLINK("http://www.ensembl.org/id/WBGene00021799", "WBGene00021799")</f>
        <v>WBGene00021799</v>
      </c>
      <c r="B17859" s="9" t="str">
        <f>HYPERLINK("http://www.ncbi.nlm.nih.gov/gene/190231", "190231")</f>
        <v>190231</v>
      </c>
      <c r="C17859" s="9"/>
      <c r="D17859" t="str">
        <f>"Y53G8AL.1"</f>
        <v>Y53G8AL.1</v>
      </c>
      <c r="F17859" t="s">
        <v>11</v>
      </c>
      <c r="G17859" t="s">
        <v>54</v>
      </c>
      <c r="H17859" s="12">
        <v>1.7820892312885299</v>
      </c>
      <c r="I17859" s="20">
        <v>0.94146817930424198</v>
      </c>
      <c r="J17859" s="28">
        <v>0.34646498868193898</v>
      </c>
      <c r="K17859" s="29">
        <v>0.98289565623980701</v>
      </c>
    </row>
    <row r="17860" spans="1:11" x14ac:dyDescent="0.35">
      <c r="A17860" s="9" t="str">
        <f>HYPERLINK("http://www.ensembl.org/id/WBGene00021800", "WBGene00021800")</f>
        <v>WBGene00021800</v>
      </c>
      <c r="B17860" s="9" t="str">
        <f>HYPERLINK("http://www.ncbi.nlm.nih.gov/gene/175429", "175429")</f>
        <v>175429</v>
      </c>
      <c r="C17860" s="9" t="str">
        <f>HYPERLINK("http://www.ncbi.nlm.nih.gov/gene/4704", "4704")</f>
        <v>4704</v>
      </c>
      <c r="D17860" t="str">
        <f>"Y53G8AL.2"</f>
        <v>Y53G8AL.2</v>
      </c>
      <c r="F17860" t="s">
        <v>11</v>
      </c>
      <c r="G17860" t="s">
        <v>6470</v>
      </c>
      <c r="H17860" s="12">
        <v>-1.07094246821135</v>
      </c>
      <c r="I17860" s="20">
        <v>-0.36311859518813699</v>
      </c>
      <c r="J17860" s="28">
        <v>0.71651629436853304</v>
      </c>
      <c r="K17860" s="29">
        <v>0.98289565623980701</v>
      </c>
    </row>
    <row r="17861" spans="1:11" x14ac:dyDescent="0.35">
      <c r="A17861" s="9" t="str">
        <f>HYPERLINK("http://www.ensembl.org/id/WBGene00050917", "WBGene00050917")</f>
        <v>WBGene00050917</v>
      </c>
      <c r="B17861" s="9" t="str">
        <f>HYPERLINK("http://www.ncbi.nlm.nih.gov/gene/6418663", "6418663")</f>
        <v>6418663</v>
      </c>
      <c r="C17861" s="9"/>
      <c r="D17861" t="str">
        <f>"Y53G8AL.4"</f>
        <v>Y53G8AL.4</v>
      </c>
      <c r="F17861" t="s">
        <v>11</v>
      </c>
      <c r="H17861" s="12">
        <v>1.6203533395790699</v>
      </c>
      <c r="I17861" s="20">
        <v>0.52780603237892099</v>
      </c>
      <c r="J17861" s="28">
        <v>0.59763396982497996</v>
      </c>
      <c r="K17861" s="29">
        <v>0.98289565623980701</v>
      </c>
    </row>
    <row r="17862" spans="1:11" x14ac:dyDescent="0.35">
      <c r="A17862" s="9" t="str">
        <f>HYPERLINK("http://www.ensembl.org/id/WBGene00021805", "WBGene00021805")</f>
        <v>WBGene00021805</v>
      </c>
      <c r="B17862" s="9" t="str">
        <f>HYPERLINK("http://www.ncbi.nlm.nih.gov/gene/190237", "190237")</f>
        <v>190237</v>
      </c>
      <c r="C17862" s="9"/>
      <c r="D17862" t="str">
        <f>"Y53G8AM.5"</f>
        <v>Y53G8AM.5</v>
      </c>
      <c r="F17862" t="s">
        <v>11</v>
      </c>
      <c r="H17862" s="12">
        <v>2.4578120077400301</v>
      </c>
      <c r="I17862" s="20">
        <v>0.26093350314551</v>
      </c>
      <c r="J17862" s="28">
        <v>0.79414378780213601</v>
      </c>
      <c r="K17862" s="29">
        <v>0.98289565623980701</v>
      </c>
    </row>
    <row r="17863" spans="1:11" x14ac:dyDescent="0.35">
      <c r="A17863" s="9" t="str">
        <f>HYPERLINK("http://www.ensembl.org/id/WBGene00021806", "WBGene00021806")</f>
        <v>WBGene00021806</v>
      </c>
      <c r="B17863" s="9" t="str">
        <f>HYPERLINK("http://www.ncbi.nlm.nih.gov/gene/190238", "190238")</f>
        <v>190238</v>
      </c>
      <c r="C17863" s="9"/>
      <c r="D17863" t="str">
        <f>"Y53G8AM.6"</f>
        <v>Y53G8AM.6</v>
      </c>
      <c r="F17863" t="s">
        <v>11</v>
      </c>
      <c r="H17863" s="12">
        <v>-8.0014360469151899</v>
      </c>
      <c r="I17863" s="20">
        <v>-0.61746222315259702</v>
      </c>
      <c r="J17863" s="28">
        <v>0.536929891129723</v>
      </c>
      <c r="K17863" s="29">
        <v>0.98289565623980701</v>
      </c>
    </row>
    <row r="17864" spans="1:11" x14ac:dyDescent="0.35">
      <c r="A17864" s="9" t="str">
        <f>HYPERLINK("http://www.ensembl.org/id/WBGene00021807", "WBGene00021807")</f>
        <v>WBGene00021807</v>
      </c>
      <c r="B17864" s="9" t="str">
        <f>HYPERLINK("http://www.ncbi.nlm.nih.gov/gene/190239", "190239")</f>
        <v>190239</v>
      </c>
      <c r="C17864" s="9"/>
      <c r="D17864" t="str">
        <f>"Y53G8AM.7"</f>
        <v>Y53G8AM.7</v>
      </c>
      <c r="F17864" t="s">
        <v>11</v>
      </c>
      <c r="G17864" t="s">
        <v>25</v>
      </c>
      <c r="H17864" s="12">
        <v>1.5054629429363</v>
      </c>
      <c r="I17864" s="20">
        <v>0.29422493638098401</v>
      </c>
      <c r="J17864" s="28">
        <v>0.76858602704545598</v>
      </c>
      <c r="K17864" s="29">
        <v>0.98289565623980701</v>
      </c>
    </row>
    <row r="17865" spans="1:11" x14ac:dyDescent="0.35">
      <c r="A17865" s="9" t="str">
        <f>HYPERLINK("http://www.ensembl.org/id/WBGene00021808", "WBGene00021808")</f>
        <v>WBGene00021808</v>
      </c>
      <c r="B17865" s="9" t="str">
        <f>HYPERLINK("http://www.ncbi.nlm.nih.gov/gene/175430", "175430")</f>
        <v>175430</v>
      </c>
      <c r="C17865" s="9"/>
      <c r="D17865" t="str">
        <f>"Y53G8AM.8"</f>
        <v>Y53G8AM.8</v>
      </c>
      <c r="F17865" t="s">
        <v>11</v>
      </c>
      <c r="G17865" t="s">
        <v>3049</v>
      </c>
      <c r="H17865" s="12">
        <v>1.1368554731198599</v>
      </c>
      <c r="I17865" s="20">
        <v>0.64489071308206103</v>
      </c>
      <c r="J17865" s="28">
        <v>0.51899801042933502</v>
      </c>
      <c r="K17865" s="29">
        <v>0.98289565623980701</v>
      </c>
    </row>
    <row r="17866" spans="1:11" x14ac:dyDescent="0.35">
      <c r="A17866" s="9" t="str">
        <f>HYPERLINK("http://www.ensembl.org/id/WBGene00021809", "WBGene00021809")</f>
        <v>WBGene00021809</v>
      </c>
      <c r="B17866" s="9" t="str">
        <f>HYPERLINK("http://www.ncbi.nlm.nih.gov/gene/190240", "190240")</f>
        <v>190240</v>
      </c>
      <c r="C17866" s="9"/>
      <c r="D17866" t="str">
        <f>"Y53G8AR.1"</f>
        <v>Y53G8AR.1</v>
      </c>
      <c r="F17866" t="s">
        <v>11</v>
      </c>
      <c r="H17866" s="12">
        <v>-1.9533368656307899</v>
      </c>
      <c r="I17866" s="20">
        <v>-0.47572915617505601</v>
      </c>
      <c r="J17866" s="28">
        <v>0.63426734649887595</v>
      </c>
      <c r="K17866" s="29">
        <v>0.98289565623980701</v>
      </c>
    </row>
    <row r="17867" spans="1:11" x14ac:dyDescent="0.35">
      <c r="A17867" s="9" t="str">
        <f>HYPERLINK("http://www.ensembl.org/id/WBGene00196747", "WBGene00196747")</f>
        <v>WBGene00196747</v>
      </c>
      <c r="B17867" s="9"/>
      <c r="C17867" s="9"/>
      <c r="D17867" t="str">
        <f>"Y53G8AR.10"</f>
        <v>Y53G8AR.10</v>
      </c>
      <c r="F17867" t="s">
        <v>481</v>
      </c>
      <c r="H17867" s="12">
        <v>2.3444892507898301</v>
      </c>
      <c r="I17867" s="20">
        <v>0.253126732237689</v>
      </c>
      <c r="J17867" s="28">
        <v>0.80017028205419904</v>
      </c>
      <c r="K17867" s="29">
        <v>0.98289565623980701</v>
      </c>
    </row>
    <row r="17868" spans="1:11" x14ac:dyDescent="0.35">
      <c r="A17868" s="9" t="str">
        <f>HYPERLINK("http://www.ensembl.org/id/WBGene00021813", "WBGene00021813")</f>
        <v>WBGene00021813</v>
      </c>
      <c r="B17868" s="9" t="str">
        <f>HYPERLINK("http://www.ncbi.nlm.nih.gov/gene/175432", "175432")</f>
        <v>175432</v>
      </c>
      <c r="C17868" s="9"/>
      <c r="D17868" t="str">
        <f>"Y53G8AR.6"</f>
        <v>Y53G8AR.6</v>
      </c>
      <c r="F17868" t="s">
        <v>11</v>
      </c>
      <c r="G17868" t="s">
        <v>7462</v>
      </c>
      <c r="H17868" s="12">
        <v>-1.12714329677152</v>
      </c>
      <c r="I17868" s="20">
        <v>-0.53156134467723704</v>
      </c>
      <c r="J17868" s="28">
        <v>0.59502984340880305</v>
      </c>
      <c r="K17868" s="29">
        <v>0.98289565623980701</v>
      </c>
    </row>
    <row r="17869" spans="1:11" x14ac:dyDescent="0.35">
      <c r="A17869" s="9" t="str">
        <f>HYPERLINK("http://www.ensembl.org/id/WBGene00021817", "WBGene00021817")</f>
        <v>WBGene00021817</v>
      </c>
      <c r="B17869" s="9" t="str">
        <f>HYPERLINK("http://www.ncbi.nlm.nih.gov/gene/190243", "190243")</f>
        <v>190243</v>
      </c>
      <c r="C17869" s="9" t="str">
        <f>HYPERLINK("http://www.ncbi.nlm.nih.gov/gene/2954", "2954")</f>
        <v>2954</v>
      </c>
      <c r="D17869" t="str">
        <f>"Y53G8B.1"</f>
        <v>Y53G8B.1</v>
      </c>
      <c r="F17869" t="s">
        <v>11</v>
      </c>
      <c r="G17869" t="s">
        <v>5595</v>
      </c>
      <c r="H17869" s="12">
        <v>1.13754784608568</v>
      </c>
      <c r="I17869" s="20">
        <v>0.462449990460643</v>
      </c>
      <c r="J17869" s="28">
        <v>0.64375865724963599</v>
      </c>
      <c r="K17869" s="29">
        <v>0.98289565623980701</v>
      </c>
    </row>
    <row r="17870" spans="1:11" x14ac:dyDescent="0.35">
      <c r="A17870" s="9" t="str">
        <f>HYPERLINK("http://www.ensembl.org/id/WBGene00021819", "WBGene00021819")</f>
        <v>WBGene00021819</v>
      </c>
      <c r="B17870" s="9"/>
      <c r="C17870" s="9"/>
      <c r="D17870" t="str">
        <f>"Y53G8B.3"</f>
        <v>Y53G8B.3</v>
      </c>
      <c r="F17870" t="s">
        <v>80</v>
      </c>
      <c r="H17870" s="12">
        <v>-2.6760749979946299</v>
      </c>
      <c r="I17870" s="20">
        <v>-1.0566361532361099</v>
      </c>
      <c r="J17870" s="28">
        <v>0.29067767401391498</v>
      </c>
      <c r="K17870" s="29">
        <v>0.98289565623980701</v>
      </c>
    </row>
    <row r="17871" spans="1:11" x14ac:dyDescent="0.35">
      <c r="A17871" s="9" t="str">
        <f>HYPERLINK("http://www.ensembl.org/id/WBGene00023381", "WBGene00023381")</f>
        <v>WBGene00023381</v>
      </c>
      <c r="B17871" s="9"/>
      <c r="C17871" s="9"/>
      <c r="D17871" t="str">
        <f>"Y53G8B.t9"</f>
        <v>Y53G8B.t9</v>
      </c>
      <c r="F17871" t="s">
        <v>80</v>
      </c>
      <c r="H17871" s="12">
        <v>-2.4295389261469</v>
      </c>
      <c r="I17871" s="20">
        <v>-0.25808529976640998</v>
      </c>
      <c r="J17871" s="28">
        <v>0.79634107645457397</v>
      </c>
      <c r="K17871" s="29">
        <v>0.98289565623980701</v>
      </c>
    </row>
    <row r="17872" spans="1:11" x14ac:dyDescent="0.35">
      <c r="A17872" s="9" t="str">
        <f>HYPERLINK("http://www.ensembl.org/id/WBGene00206528", "WBGene00206528")</f>
        <v>WBGene00206528</v>
      </c>
      <c r="B17872" s="9" t="str">
        <f>HYPERLINK("http://www.ncbi.nlm.nih.gov/gene/13182058", "13182058")</f>
        <v>13182058</v>
      </c>
      <c r="C17872" s="9"/>
      <c r="D17872" t="str">
        <f>"Y53H1A.7"</f>
        <v>Y53H1A.7</v>
      </c>
      <c r="F17872" t="s">
        <v>11</v>
      </c>
      <c r="H17872" s="12">
        <v>1.4359771112072801</v>
      </c>
      <c r="I17872" s="20">
        <v>0.39378909121516997</v>
      </c>
      <c r="J17872" s="28">
        <v>0.69373675898691001</v>
      </c>
      <c r="K17872" s="29">
        <v>0.98289565623980701</v>
      </c>
    </row>
    <row r="17873" spans="1:11" x14ac:dyDescent="0.35">
      <c r="A17873" s="9" t="str">
        <f>HYPERLINK("http://www.ensembl.org/id/WBGene00013181", "WBGene00013181")</f>
        <v>WBGene00013181</v>
      </c>
      <c r="B17873" s="9" t="str">
        <f>HYPERLINK("http://www.ncbi.nlm.nih.gov/gene/173020", "173020")</f>
        <v>173020</v>
      </c>
      <c r="C17873" s="9"/>
      <c r="D17873" t="str">
        <f>"Y53H1B.2"</f>
        <v>Y53H1B.2</v>
      </c>
      <c r="F17873" t="s">
        <v>11</v>
      </c>
      <c r="H17873" s="12">
        <v>-1.07688554827019</v>
      </c>
      <c r="I17873" s="20">
        <v>-0.36723567437631199</v>
      </c>
      <c r="J17873" s="28">
        <v>0.71344323118921105</v>
      </c>
      <c r="K17873" s="29">
        <v>0.98289565623980701</v>
      </c>
    </row>
    <row r="17874" spans="1:11" x14ac:dyDescent="0.35">
      <c r="A17874" s="9" t="str">
        <f>HYPERLINK("http://www.ensembl.org/id/WBGene00013182", "WBGene00013182")</f>
        <v>WBGene00013182</v>
      </c>
      <c r="B17874" s="9" t="str">
        <f>HYPERLINK("http://www.ncbi.nlm.nih.gov/gene/190247", "190247")</f>
        <v>190247</v>
      </c>
      <c r="C17874" s="9"/>
      <c r="D17874" t="str">
        <f>"Y53H1B.4"</f>
        <v>Y53H1B.4</v>
      </c>
      <c r="F17874" t="s">
        <v>11</v>
      </c>
      <c r="H17874" s="12">
        <v>3.24921663643067</v>
      </c>
      <c r="I17874" s="20">
        <v>0.37093133971046299</v>
      </c>
      <c r="J17874" s="28">
        <v>0.710688671961756</v>
      </c>
      <c r="K17874" s="29">
        <v>0.98289565623980701</v>
      </c>
    </row>
    <row r="17875" spans="1:11" x14ac:dyDescent="0.35">
      <c r="A17875" s="9" t="str">
        <f>HYPERLINK("http://www.ensembl.org/id/WBGene00021821", "WBGene00021821")</f>
        <v>WBGene00021821</v>
      </c>
      <c r="B17875" s="9" t="str">
        <f>HYPERLINK("http://www.ncbi.nlm.nih.gov/gene/190253", "190253")</f>
        <v>190253</v>
      </c>
      <c r="C17875" s="9"/>
      <c r="D17875" t="str">
        <f>"Y54B9A.1"</f>
        <v>Y54B9A.1</v>
      </c>
      <c r="F17875" t="s">
        <v>11</v>
      </c>
      <c r="H17875" s="12">
        <v>4.4368407117627902</v>
      </c>
      <c r="I17875" s="20">
        <v>0.43709475933309699</v>
      </c>
      <c r="J17875" s="28">
        <v>0.66204262779770495</v>
      </c>
      <c r="K17875" s="29">
        <v>0.98289565623980701</v>
      </c>
    </row>
    <row r="17876" spans="1:11" x14ac:dyDescent="0.35">
      <c r="A17876" s="9" t="str">
        <f>HYPERLINK("http://www.ensembl.org/id/WBGene00021830", "WBGene00021830")</f>
        <v>WBGene00021830</v>
      </c>
      <c r="B17876" s="9" t="str">
        <f>HYPERLINK("http://www.ncbi.nlm.nih.gov/gene/171892", "171892")</f>
        <v>171892</v>
      </c>
      <c r="C17876" s="9" t="str">
        <f>HYPERLINK("http://www.ncbi.nlm.nih.gov/gene/84154", "84154")</f>
        <v>84154</v>
      </c>
      <c r="D17876" t="str">
        <f>"Y54E10A.10"</f>
        <v>Y54E10A.10</v>
      </c>
      <c r="E17876" t="s">
        <v>7449</v>
      </c>
      <c r="F17876" t="s">
        <v>11</v>
      </c>
      <c r="G17876" t="s">
        <v>7450</v>
      </c>
      <c r="H17876" s="12">
        <v>-1.12612845257075</v>
      </c>
      <c r="I17876" s="20">
        <v>-0.53703514543808795</v>
      </c>
      <c r="J17876" s="28">
        <v>0.59124333753592295</v>
      </c>
      <c r="K17876" s="29">
        <v>0.98289565623980701</v>
      </c>
    </row>
    <row r="17877" spans="1:11" x14ac:dyDescent="0.35">
      <c r="A17877" s="9" t="str">
        <f>HYPERLINK("http://www.ensembl.org/id/WBGene00021831", "WBGene00021831")</f>
        <v>WBGene00021831</v>
      </c>
      <c r="B17877" s="9" t="str">
        <f>HYPERLINK("http://www.ncbi.nlm.nih.gov/gene/171893", "171893")</f>
        <v>171893</v>
      </c>
      <c r="C17877" s="9"/>
      <c r="D17877" t="str">
        <f>"Y54E10A.11"</f>
        <v>Y54E10A.11</v>
      </c>
      <c r="E17877" t="s">
        <v>8189</v>
      </c>
      <c r="F17877" t="s">
        <v>11</v>
      </c>
      <c r="G17877" t="s">
        <v>8190</v>
      </c>
      <c r="H17877" s="12">
        <v>-1.16462197602594</v>
      </c>
      <c r="I17877" s="20">
        <v>-0.78619037182765505</v>
      </c>
      <c r="J17877" s="28">
        <v>0.43175596590826598</v>
      </c>
      <c r="K17877" s="29">
        <v>0.98289565623980701</v>
      </c>
    </row>
    <row r="17878" spans="1:11" x14ac:dyDescent="0.35">
      <c r="A17878" s="9" t="str">
        <f>HYPERLINK("http://www.ensembl.org/id/WBGene00021833", "WBGene00021833")</f>
        <v>WBGene00021833</v>
      </c>
      <c r="B17878" s="9" t="str">
        <f>HYPERLINK("http://www.ncbi.nlm.nih.gov/gene/190259", "190259")</f>
        <v>190259</v>
      </c>
      <c r="C17878" s="9"/>
      <c r="D17878" t="str">
        <f>"Y54E10A.13"</f>
        <v>Y54E10A.13</v>
      </c>
      <c r="F17878" t="s">
        <v>11</v>
      </c>
      <c r="H17878" s="12">
        <v>-3.5819448292659501</v>
      </c>
      <c r="I17878" s="20">
        <v>-0.37337717500031398</v>
      </c>
      <c r="J17878" s="28">
        <v>0.70886774492290605</v>
      </c>
      <c r="K17878" s="29">
        <v>0.98289565623980701</v>
      </c>
    </row>
    <row r="17879" spans="1:11" x14ac:dyDescent="0.35">
      <c r="A17879" s="9" t="str">
        <f>HYPERLINK("http://www.ensembl.org/id/WBGene00198001", "WBGene00198001")</f>
        <v>WBGene00198001</v>
      </c>
      <c r="B17879" s="9"/>
      <c r="C17879" s="9"/>
      <c r="D17879" t="str">
        <f>"Y54E10A.24"</f>
        <v>Y54E10A.24</v>
      </c>
      <c r="F17879" t="s">
        <v>481</v>
      </c>
      <c r="H17879" s="12">
        <v>3.5227018545059199</v>
      </c>
      <c r="I17879" s="20">
        <v>0.36849691206929103</v>
      </c>
      <c r="J17879" s="28">
        <v>0.71250274722433404</v>
      </c>
      <c r="K17879" s="29">
        <v>0.98289565623980701</v>
      </c>
    </row>
    <row r="17880" spans="1:11" x14ac:dyDescent="0.35">
      <c r="A17880" s="9" t="str">
        <f>HYPERLINK("http://www.ensembl.org/id/WBGene00199669", "WBGene00199669")</f>
        <v>WBGene00199669</v>
      </c>
      <c r="B17880" s="9"/>
      <c r="C17880" s="9"/>
      <c r="D17880" t="str">
        <f>"Y54E10A.25"</f>
        <v>Y54E10A.25</v>
      </c>
      <c r="F17880" t="s">
        <v>481</v>
      </c>
      <c r="H17880" s="12">
        <v>9.5215001458148301</v>
      </c>
      <c r="I17880" s="20">
        <v>0.67036031720767997</v>
      </c>
      <c r="J17880" s="28">
        <v>0.50262812496729803</v>
      </c>
      <c r="K17880" s="29">
        <v>0.98289565623980701</v>
      </c>
    </row>
    <row r="17881" spans="1:11" x14ac:dyDescent="0.35">
      <c r="A17881" s="9" t="str">
        <f>HYPERLINK("http://www.ensembl.org/id/WBGene00201300", "WBGene00201300")</f>
        <v>WBGene00201300</v>
      </c>
      <c r="B17881" s="9"/>
      <c r="C17881" s="9"/>
      <c r="D17881" t="str">
        <f>"Y54E10A.27"</f>
        <v>Y54E10A.27</v>
      </c>
      <c r="F17881" t="s">
        <v>481</v>
      </c>
      <c r="H17881" s="12">
        <v>-2.4295389261469</v>
      </c>
      <c r="I17881" s="20">
        <v>-0.25808529976640998</v>
      </c>
      <c r="J17881" s="28">
        <v>0.79634107645457397</v>
      </c>
      <c r="K17881" s="29">
        <v>0.98289565623980701</v>
      </c>
    </row>
    <row r="17882" spans="1:11" x14ac:dyDescent="0.35">
      <c r="A17882" s="9" t="str">
        <f>HYPERLINK("http://www.ensembl.org/id/WBGene00021842", "WBGene00021842")</f>
        <v>WBGene00021842</v>
      </c>
      <c r="B17882" s="9" t="str">
        <f>HYPERLINK("http://www.ncbi.nlm.nih.gov/gene/171875", "171875")</f>
        <v>171875</v>
      </c>
      <c r="C17882" s="9"/>
      <c r="D17882" t="str">
        <f>"Y54E10BR.3"</f>
        <v>Y54E10BR.3</v>
      </c>
      <c r="F17882" t="s">
        <v>11</v>
      </c>
      <c r="G17882" t="s">
        <v>8829</v>
      </c>
      <c r="H17882" s="12">
        <v>-1.1999234337246001</v>
      </c>
      <c r="I17882" s="20">
        <v>-0.95582897524340105</v>
      </c>
      <c r="J17882" s="28">
        <v>0.33915864684739799</v>
      </c>
      <c r="K17882" s="29">
        <v>0.98289565623980701</v>
      </c>
    </row>
    <row r="17883" spans="1:11" x14ac:dyDescent="0.35">
      <c r="A17883" s="9" t="str">
        <f>HYPERLINK("http://www.ensembl.org/id/WBGene00021843", "WBGene00021843")</f>
        <v>WBGene00021843</v>
      </c>
      <c r="B17883" s="9" t="str">
        <f>HYPERLINK("http://www.ncbi.nlm.nih.gov/gene/171874", "171874")</f>
        <v>171874</v>
      </c>
      <c r="C17883" s="9" t="str">
        <f>HYPERLINK("http://www.ncbi.nlm.nih.gov/gene/28987", "28987")</f>
        <v>28987</v>
      </c>
      <c r="D17883" t="str">
        <f>"Y54E10BR.4"</f>
        <v>Y54E10BR.4</v>
      </c>
      <c r="F17883" t="s">
        <v>11</v>
      </c>
      <c r="G17883" t="s">
        <v>7591</v>
      </c>
      <c r="H17883" s="12">
        <v>-1.1345418540693999</v>
      </c>
      <c r="I17883" s="20">
        <v>-0.66613364377387196</v>
      </c>
      <c r="J17883" s="28">
        <v>0.50532568179119197</v>
      </c>
      <c r="K17883" s="29">
        <v>0.98289565623980701</v>
      </c>
    </row>
    <row r="17884" spans="1:11" x14ac:dyDescent="0.35">
      <c r="A17884" s="9" t="str">
        <f>HYPERLINK("http://www.ensembl.org/id/WBGene00013195", "WBGene00013195")</f>
        <v>WBGene00013195</v>
      </c>
      <c r="B17884" s="9" t="str">
        <f>HYPERLINK("http://www.ncbi.nlm.nih.gov/gene/175137", "175137")</f>
        <v>175137</v>
      </c>
      <c r="C17884" s="9"/>
      <c r="D17884" t="str">
        <f>"Y54E2A.10"</f>
        <v>Y54E2A.10</v>
      </c>
      <c r="F17884" t="s">
        <v>11</v>
      </c>
      <c r="G17884" t="s">
        <v>603</v>
      </c>
      <c r="H17884" s="12">
        <v>-1.1307593412091399</v>
      </c>
      <c r="I17884" s="20">
        <v>-0.49316134353650598</v>
      </c>
      <c r="J17884" s="28">
        <v>0.62189858941764398</v>
      </c>
      <c r="K17884" s="29">
        <v>0.98289565623980701</v>
      </c>
    </row>
    <row r="17885" spans="1:11" x14ac:dyDescent="0.35">
      <c r="A17885" s="9" t="str">
        <f>HYPERLINK("http://www.ensembl.org/id/WBGene00013190", "WBGene00013190")</f>
        <v>WBGene00013190</v>
      </c>
      <c r="B17885" s="9" t="str">
        <f>HYPERLINK("http://www.ncbi.nlm.nih.gov/gene/175134", "175134")</f>
        <v>175134</v>
      </c>
      <c r="C17885" s="9"/>
      <c r="D17885" t="str">
        <f>"Y54E2A.5"</f>
        <v>Y54E2A.5</v>
      </c>
      <c r="F17885" t="s">
        <v>11</v>
      </c>
      <c r="G17885" t="s">
        <v>25</v>
      </c>
      <c r="H17885" s="12">
        <v>-1.32321327546908</v>
      </c>
      <c r="I17885" s="20">
        <v>-0.58514624042855501</v>
      </c>
      <c r="J17885" s="28">
        <v>0.55844938910043895</v>
      </c>
      <c r="K17885" s="29">
        <v>0.98289565623980701</v>
      </c>
    </row>
    <row r="17886" spans="1:11" x14ac:dyDescent="0.35">
      <c r="A17886" s="9" t="str">
        <f>HYPERLINK("http://www.ensembl.org/id/WBGene00013194", "WBGene00013194")</f>
        <v>WBGene00013194</v>
      </c>
      <c r="B17886" s="9" t="str">
        <f>HYPERLINK("http://www.ncbi.nlm.nih.gov/gene/190258", "190258")</f>
        <v>190258</v>
      </c>
      <c r="C17886" s="9"/>
      <c r="D17886" t="str">
        <f>"Y54E2A.9"</f>
        <v>Y54E2A.9</v>
      </c>
      <c r="F17886" t="s">
        <v>11</v>
      </c>
      <c r="G17886" t="s">
        <v>63</v>
      </c>
      <c r="H17886" s="12">
        <v>2.5733705447253699</v>
      </c>
      <c r="I17886" s="20">
        <v>0.58934556711127095</v>
      </c>
      <c r="J17886" s="28">
        <v>0.55562948327535699</v>
      </c>
      <c r="K17886" s="29">
        <v>0.98289565623980701</v>
      </c>
    </row>
    <row r="17887" spans="1:11" x14ac:dyDescent="0.35">
      <c r="A17887" s="9" t="str">
        <f>HYPERLINK("http://www.ensembl.org/id/WBGene00013200", "WBGene00013200")</f>
        <v>WBGene00013200</v>
      </c>
      <c r="B17887" s="9" t="str">
        <f>HYPERLINK("http://www.ncbi.nlm.nih.gov/gene/173330", "173330")</f>
        <v>173330</v>
      </c>
      <c r="C17887" s="9" t="str">
        <f>HYPERLINK("http://www.ncbi.nlm.nih.gov/gene/51260", "51260")</f>
        <v>51260</v>
      </c>
      <c r="D17887" t="str">
        <f>"Y54E5A.5"</f>
        <v>Y54E5A.5</v>
      </c>
      <c r="F17887" t="s">
        <v>11</v>
      </c>
      <c r="G17887" t="s">
        <v>5777</v>
      </c>
      <c r="H17887" s="12">
        <v>-1.2338700278475201</v>
      </c>
      <c r="I17887" s="20">
        <v>-1.0001440797947401</v>
      </c>
      <c r="J17887" s="28">
        <v>0.31724078670133998</v>
      </c>
      <c r="K17887" s="29">
        <v>0.98289565623980701</v>
      </c>
    </row>
    <row r="17888" spans="1:11" x14ac:dyDescent="0.35">
      <c r="A17888" s="9" t="str">
        <f>HYPERLINK("http://www.ensembl.org/id/WBGene00013204", "WBGene00013204")</f>
        <v>WBGene00013204</v>
      </c>
      <c r="B17888" s="9" t="str">
        <f>HYPERLINK("http://www.ncbi.nlm.nih.gov/gene/173352", "173352")</f>
        <v>173352</v>
      </c>
      <c r="C17888" s="9"/>
      <c r="D17888" t="str">
        <f>"Y54E5B.2"</f>
        <v>Y54E5B.2</v>
      </c>
      <c r="F17888" t="s">
        <v>11</v>
      </c>
      <c r="G17888" t="s">
        <v>8300</v>
      </c>
      <c r="H17888" s="12">
        <v>-1.1700132731967601</v>
      </c>
      <c r="I17888" s="20">
        <v>-0.65603095405146905</v>
      </c>
      <c r="J17888" s="28">
        <v>0.51180420800138005</v>
      </c>
      <c r="K17888" s="29">
        <v>0.98289565623980701</v>
      </c>
    </row>
    <row r="17889" spans="1:11" x14ac:dyDescent="0.35">
      <c r="A17889" s="9" t="str">
        <f>HYPERLINK("http://www.ensembl.org/id/WBGene00014921", "WBGene00014921")</f>
        <v>WBGene00014921</v>
      </c>
      <c r="B17889" s="9"/>
      <c r="C17889" s="9"/>
      <c r="D17889" t="str">
        <f>"Y54E5B.5"</f>
        <v>Y54E5B.5</v>
      </c>
      <c r="F17889" t="s">
        <v>80</v>
      </c>
      <c r="H17889" s="12">
        <v>-3.5505133547207399</v>
      </c>
      <c r="I17889" s="20">
        <v>-0.38567206318137798</v>
      </c>
      <c r="J17889" s="28">
        <v>0.69973955545800504</v>
      </c>
      <c r="K17889" s="29">
        <v>0.98289565623980701</v>
      </c>
    </row>
    <row r="17890" spans="1:11" x14ac:dyDescent="0.35">
      <c r="A17890" s="9" t="str">
        <f>HYPERLINK("http://www.ensembl.org/id/WBGene00200067", "WBGene00200067")</f>
        <v>WBGene00200067</v>
      </c>
      <c r="B17890" s="9"/>
      <c r="C17890" s="9"/>
      <c r="D17890" t="str">
        <f>"Y54E5B.7"</f>
        <v>Y54E5B.7</v>
      </c>
      <c r="F17890" t="s">
        <v>481</v>
      </c>
      <c r="H17890" s="12">
        <v>-2.4295389261469</v>
      </c>
      <c r="I17890" s="20">
        <v>-0.25808529976640998</v>
      </c>
      <c r="J17890" s="28">
        <v>0.79634107645457397</v>
      </c>
      <c r="K17890" s="29">
        <v>0.98289565623980701</v>
      </c>
    </row>
    <row r="17891" spans="1:11" x14ac:dyDescent="0.35">
      <c r="A17891" s="9" t="str">
        <f>HYPERLINK("http://www.ensembl.org/id/WBGene00021847", "WBGene00021847")</f>
        <v>WBGene00021847</v>
      </c>
      <c r="B17891" s="9" t="str">
        <f>HYPERLINK("http://www.ncbi.nlm.nih.gov/gene/175368", "175368")</f>
        <v>175368</v>
      </c>
      <c r="C17891" s="9" t="str">
        <f>HYPERLINK("http://www.ncbi.nlm.nih.gov/gene/55858", "55858")</f>
        <v>55858</v>
      </c>
      <c r="D17891" t="str">
        <f>"Y54F10AL.1"</f>
        <v>Y54F10AL.1</v>
      </c>
      <c r="F17891" t="s">
        <v>11</v>
      </c>
      <c r="G17891" t="s">
        <v>9300</v>
      </c>
      <c r="H17891" s="12">
        <v>-1.23592127964877</v>
      </c>
      <c r="I17891" s="20">
        <v>-1.1032302821304301</v>
      </c>
      <c r="J17891" s="28">
        <v>0.26992717393551702</v>
      </c>
      <c r="K17891" s="29">
        <v>0.98289565623980701</v>
      </c>
    </row>
    <row r="17892" spans="1:11" x14ac:dyDescent="0.35">
      <c r="A17892" s="9" t="str">
        <f>HYPERLINK("http://www.ensembl.org/id/WBGene00303092", "WBGene00303092")</f>
        <v>WBGene00303092</v>
      </c>
      <c r="B17892" s="9" t="str">
        <f>HYPERLINK("http://www.ncbi.nlm.nih.gov/gene/36805060", "36805060")</f>
        <v>36805060</v>
      </c>
      <c r="C17892" s="9"/>
      <c r="D17892" t="str">
        <f>"Y54F10AM.15"</f>
        <v>Y54F10AM.15</v>
      </c>
      <c r="F17892" t="s">
        <v>11</v>
      </c>
      <c r="H17892" s="12">
        <v>2.4578120077400301</v>
      </c>
      <c r="I17892" s="20">
        <v>0.26093350314551</v>
      </c>
      <c r="J17892" s="28">
        <v>0.79414378780213601</v>
      </c>
      <c r="K17892" s="29">
        <v>0.98289565623980701</v>
      </c>
    </row>
    <row r="17893" spans="1:11" x14ac:dyDescent="0.35">
      <c r="A17893" s="9" t="str">
        <f>HYPERLINK("http://www.ensembl.org/id/WBGene00021849", "WBGene00021849")</f>
        <v>WBGene00021849</v>
      </c>
      <c r="B17893" s="9" t="str">
        <f>HYPERLINK("http://www.ncbi.nlm.nih.gov/gene/175371", "175371")</f>
        <v>175371</v>
      </c>
      <c r="C17893" s="9" t="str">
        <f>HYPERLINK("http://www.ncbi.nlm.nih.gov/gene/4702", "4702")</f>
        <v>4702</v>
      </c>
      <c r="D17893" t="str">
        <f>"Y54F10AM.5"</f>
        <v>Y54F10AM.5</v>
      </c>
      <c r="E17893" t="s">
        <v>6851</v>
      </c>
      <c r="F17893" t="s">
        <v>11</v>
      </c>
      <c r="G17893" t="s">
        <v>6852</v>
      </c>
      <c r="H17893" s="12">
        <v>-1.0926818943199299</v>
      </c>
      <c r="I17893" s="20">
        <v>-0.465497606823637</v>
      </c>
      <c r="J17893" s="28">
        <v>0.64157515032453805</v>
      </c>
      <c r="K17893" s="29">
        <v>0.98289565623980701</v>
      </c>
    </row>
    <row r="17894" spans="1:11" x14ac:dyDescent="0.35">
      <c r="A17894" s="9" t="str">
        <f>HYPERLINK("http://www.ensembl.org/id/WBGene00021854", "WBGene00021854")</f>
        <v>WBGene00021854</v>
      </c>
      <c r="B17894" s="9" t="str">
        <f>HYPERLINK("http://www.ncbi.nlm.nih.gov/gene/190268", "190268")</f>
        <v>190268</v>
      </c>
      <c r="C17894" s="9" t="str">
        <f>HYPERLINK("http://www.ncbi.nlm.nih.gov/gene/23760", "23760")</f>
        <v>23760</v>
      </c>
      <c r="D17894" t="str">
        <f>"Y54F10AR.1"</f>
        <v>Y54F10AR.1</v>
      </c>
      <c r="F17894" t="s">
        <v>11</v>
      </c>
      <c r="G17894" t="s">
        <v>2877</v>
      </c>
      <c r="H17894" s="12">
        <v>-1.1511935975224901</v>
      </c>
      <c r="I17894" s="20">
        <v>-0.73250898022167399</v>
      </c>
      <c r="J17894" s="28">
        <v>0.46385796355846598</v>
      </c>
      <c r="K17894" s="29">
        <v>0.98289565623980701</v>
      </c>
    </row>
    <row r="17895" spans="1:11" x14ac:dyDescent="0.35">
      <c r="A17895" s="9" t="str">
        <f>HYPERLINK("http://www.ensembl.org/id/WBGene00021867", "WBGene00021867")</f>
        <v>WBGene00021867</v>
      </c>
      <c r="B17895" s="9" t="str">
        <f>HYPERLINK("http://www.ncbi.nlm.nih.gov/gene/190277", "190277")</f>
        <v>190277</v>
      </c>
      <c r="C17895" s="9"/>
      <c r="D17895" t="str">
        <f>"Y54F10BM.13"</f>
        <v>Y54F10BM.13</v>
      </c>
      <c r="F17895" t="s">
        <v>11</v>
      </c>
      <c r="G17895" t="s">
        <v>8837</v>
      </c>
      <c r="H17895" s="12">
        <v>-1.20057443585121</v>
      </c>
      <c r="I17895" s="20">
        <v>-0.58029774381439603</v>
      </c>
      <c r="J17895" s="28">
        <v>0.561713848650925</v>
      </c>
      <c r="K17895" s="29">
        <v>0.98289565623980701</v>
      </c>
    </row>
    <row r="17896" spans="1:11" x14ac:dyDescent="0.35">
      <c r="A17896" s="9" t="str">
        <f>HYPERLINK("http://www.ensembl.org/id/WBGene00206486", "WBGene00206486")</f>
        <v>WBGene00206486</v>
      </c>
      <c r="B17896" s="9" t="str">
        <f>HYPERLINK("http://www.ncbi.nlm.nih.gov/gene/13188710", "13188710")</f>
        <v>13188710</v>
      </c>
      <c r="C17896" s="9"/>
      <c r="D17896" t="str">
        <f>"Y54F10BM.20"</f>
        <v>Y54F10BM.20</v>
      </c>
      <c r="F17896" t="s">
        <v>11</v>
      </c>
      <c r="G17896" t="s">
        <v>54</v>
      </c>
      <c r="H17896" s="12">
        <v>2.4578120077400301</v>
      </c>
      <c r="I17896" s="20">
        <v>0.26093350314551</v>
      </c>
      <c r="J17896" s="28">
        <v>0.79414378780213601</v>
      </c>
      <c r="K17896" s="29">
        <v>0.98289565623980701</v>
      </c>
    </row>
    <row r="17897" spans="1:11" x14ac:dyDescent="0.35">
      <c r="A17897" s="9" t="str">
        <f>HYPERLINK("http://www.ensembl.org/id/WBGene00021858", "WBGene00021858")</f>
        <v>WBGene00021858</v>
      </c>
      <c r="B17897" s="9" t="str">
        <f>HYPERLINK("http://www.ncbi.nlm.nih.gov/gene/175350", "175350")</f>
        <v>175350</v>
      </c>
      <c r="C17897" s="9"/>
      <c r="D17897" t="str">
        <f>"Y54F10BM.3"</f>
        <v>Y54F10BM.3</v>
      </c>
      <c r="F17897" t="s">
        <v>11</v>
      </c>
      <c r="G17897" t="s">
        <v>1020</v>
      </c>
      <c r="H17897" s="12">
        <v>1.1607580159578099</v>
      </c>
      <c r="I17897" s="20">
        <v>0.29327120826962</v>
      </c>
      <c r="J17897" s="28">
        <v>0.76931485906528796</v>
      </c>
      <c r="K17897" s="29">
        <v>0.98289565623980701</v>
      </c>
    </row>
    <row r="17898" spans="1:11" x14ac:dyDescent="0.35">
      <c r="A17898" s="9" t="str">
        <f>HYPERLINK("http://www.ensembl.org/id/WBGene00021861", "WBGene00021861")</f>
        <v>WBGene00021861</v>
      </c>
      <c r="B17898" s="9" t="str">
        <f>HYPERLINK("http://www.ncbi.nlm.nih.gov/gene/190272", "190272")</f>
        <v>190272</v>
      </c>
      <c r="C17898" s="9"/>
      <c r="D17898" t="str">
        <f>"Y54F10BM.6"</f>
        <v>Y54F10BM.6</v>
      </c>
      <c r="F17898" t="s">
        <v>11</v>
      </c>
      <c r="G17898" t="s">
        <v>583</v>
      </c>
      <c r="H17898" s="12">
        <v>-1.50193647732099</v>
      </c>
      <c r="I17898" s="20">
        <v>-0.63431266692321597</v>
      </c>
      <c r="J17898" s="28">
        <v>0.52587679150994604</v>
      </c>
      <c r="K17898" s="29">
        <v>0.98289565623980701</v>
      </c>
    </row>
    <row r="17899" spans="1:11" x14ac:dyDescent="0.35">
      <c r="A17899" s="9" t="str">
        <f>HYPERLINK("http://www.ensembl.org/id/WBGene00021863", "WBGene00021863")</f>
        <v>WBGene00021863</v>
      </c>
      <c r="B17899" s="9" t="str">
        <f>HYPERLINK("http://www.ncbi.nlm.nih.gov/gene/175351", "175351")</f>
        <v>175351</v>
      </c>
      <c r="C17899" s="9"/>
      <c r="D17899" t="str">
        <f>"Y54F10BM.9"</f>
        <v>Y54F10BM.9</v>
      </c>
      <c r="F17899" t="s">
        <v>11</v>
      </c>
      <c r="H17899" s="12">
        <v>1.2086408862681399</v>
      </c>
      <c r="I17899" s="20">
        <v>0.81295683650786399</v>
      </c>
      <c r="J17899" s="28">
        <v>0.41624280596985003</v>
      </c>
      <c r="K17899" s="29">
        <v>0.98289565623980701</v>
      </c>
    </row>
    <row r="17900" spans="1:11" x14ac:dyDescent="0.35">
      <c r="A17900" s="9" t="str">
        <f>HYPERLINK("http://www.ensembl.org/id/WBGene00013212", "WBGene00013212")</f>
        <v>WBGene00013212</v>
      </c>
      <c r="B17900" s="9" t="str">
        <f>HYPERLINK("http://www.ncbi.nlm.nih.gov/gene/190294", "190294")</f>
        <v>190294</v>
      </c>
      <c r="C17900" s="9"/>
      <c r="D17900" t="str">
        <f>"Y54G11A.1"</f>
        <v>Y54G11A.1</v>
      </c>
      <c r="F17900" t="s">
        <v>11</v>
      </c>
      <c r="G17900" t="s">
        <v>25</v>
      </c>
      <c r="H17900" s="12">
        <v>-1.21840163443376</v>
      </c>
      <c r="I17900" s="20">
        <v>-0.943185310758891</v>
      </c>
      <c r="J17900" s="28">
        <v>0.34558612552514101</v>
      </c>
      <c r="K17900" s="29">
        <v>0.98289565623980701</v>
      </c>
    </row>
    <row r="17901" spans="1:11" x14ac:dyDescent="0.35">
      <c r="A17901" s="9" t="str">
        <f>HYPERLINK("http://www.ensembl.org/id/WBGene00013219", "WBGene00013219")</f>
        <v>WBGene00013219</v>
      </c>
      <c r="B17901" s="9" t="str">
        <f>HYPERLINK("http://www.ncbi.nlm.nih.gov/gene/175090", "175090")</f>
        <v>175090</v>
      </c>
      <c r="C17901" s="9" t="str">
        <f>HYPERLINK("http://www.ncbi.nlm.nih.gov/gene/84337", "84337")</f>
        <v>84337</v>
      </c>
      <c r="D17901" t="str">
        <f>"Y54G11A.11"</f>
        <v>Y54G11A.11</v>
      </c>
      <c r="E17901" t="s">
        <v>7383</v>
      </c>
      <c r="F17901" t="s">
        <v>11</v>
      </c>
      <c r="G17901" t="s">
        <v>7384</v>
      </c>
      <c r="H17901" s="12">
        <v>-1.1229958810782501</v>
      </c>
      <c r="I17901" s="20">
        <v>-0.55821012493410405</v>
      </c>
      <c r="J17901" s="28">
        <v>0.57670090780864602</v>
      </c>
      <c r="K17901" s="29">
        <v>0.98289565623980701</v>
      </c>
    </row>
    <row r="17902" spans="1:11" x14ac:dyDescent="0.35">
      <c r="A17902" s="9" t="str">
        <f>HYPERLINK("http://www.ensembl.org/id/WBGene00013221", "WBGene00013221")</f>
        <v>WBGene00013221</v>
      </c>
      <c r="B17902" s="9" t="str">
        <f>HYPERLINK("http://www.ncbi.nlm.nih.gov/gene/266873", "266873")</f>
        <v>266873</v>
      </c>
      <c r="C17902" s="9"/>
      <c r="D17902" t="str">
        <f>"Y54G11A.14"</f>
        <v>Y54G11A.14</v>
      </c>
      <c r="F17902" t="s">
        <v>11</v>
      </c>
      <c r="G17902" t="s">
        <v>25</v>
      </c>
      <c r="H17902" s="12">
        <v>-1.54170326800274</v>
      </c>
      <c r="I17902" s="20">
        <v>-0.51359426832788702</v>
      </c>
      <c r="J17902" s="28">
        <v>0.607535687712906</v>
      </c>
      <c r="K17902" s="29">
        <v>0.98289565623980701</v>
      </c>
    </row>
    <row r="17903" spans="1:11" x14ac:dyDescent="0.35">
      <c r="A17903" s="9" t="str">
        <f>HYPERLINK("http://www.ensembl.org/id/WBGene00185067", "WBGene00185067")</f>
        <v>WBGene00185067</v>
      </c>
      <c r="B17903" s="9" t="str">
        <f>HYPERLINK("http://www.ncbi.nlm.nih.gov/gene/13187936", "13187936")</f>
        <v>13187936</v>
      </c>
      <c r="C17903" s="9"/>
      <c r="D17903" t="str">
        <f>"Y54G11A.17"</f>
        <v>Y54G11A.17</v>
      </c>
      <c r="F17903" t="s">
        <v>11</v>
      </c>
      <c r="G17903" t="s">
        <v>7580</v>
      </c>
      <c r="H17903" s="12">
        <v>-1.1922821344975501</v>
      </c>
      <c r="I17903" s="20">
        <v>-0.81527231312683401</v>
      </c>
      <c r="J17903" s="28">
        <v>0.414916453261227</v>
      </c>
      <c r="K17903" s="29">
        <v>0.98289565623980701</v>
      </c>
    </row>
    <row r="17904" spans="1:11" x14ac:dyDescent="0.35">
      <c r="A17904" s="9" t="str">
        <f>HYPERLINK("http://www.ensembl.org/id/WBGene00013213", "WBGene00013213")</f>
        <v>WBGene00013213</v>
      </c>
      <c r="B17904" s="9" t="str">
        <f>HYPERLINK("http://www.ncbi.nlm.nih.gov/gene/175082", "175082")</f>
        <v>175082</v>
      </c>
      <c r="C17904" s="9" t="str">
        <f>HYPERLINK("http://www.ncbi.nlm.nih.gov/gene/55246", "55246")</f>
        <v>55246</v>
      </c>
      <c r="D17904" t="str">
        <f>"Y54G11A.2"</f>
        <v>Y54G11A.2</v>
      </c>
      <c r="F17904" t="s">
        <v>11</v>
      </c>
      <c r="H17904" s="12">
        <v>-1.21584500129352</v>
      </c>
      <c r="I17904" s="20">
        <v>-0.96684439057621996</v>
      </c>
      <c r="J17904" s="28">
        <v>0.33362182954981601</v>
      </c>
      <c r="K17904" s="29">
        <v>0.98289565623980701</v>
      </c>
    </row>
    <row r="17905" spans="1:11" x14ac:dyDescent="0.35">
      <c r="A17905" s="9" t="str">
        <f>HYPERLINK("http://www.ensembl.org/id/WBGene00013216", "WBGene00013216")</f>
        <v>WBGene00013216</v>
      </c>
      <c r="B17905" s="9" t="str">
        <f>HYPERLINK("http://www.ncbi.nlm.nih.gov/gene/175084", "175084")</f>
        <v>175084</v>
      </c>
      <c r="C17905" s="9" t="str">
        <f>HYPERLINK("http://www.ncbi.nlm.nih.gov/gene/55020", "55020")</f>
        <v>55020</v>
      </c>
      <c r="D17905" t="str">
        <f>"Y54G11A.7"</f>
        <v>Y54G11A.7</v>
      </c>
      <c r="F17905" t="s">
        <v>11</v>
      </c>
      <c r="G17905" t="s">
        <v>54</v>
      </c>
      <c r="H17905" s="12">
        <v>-1.2268875592498301</v>
      </c>
      <c r="I17905" s="20">
        <v>-1.0510917784084499</v>
      </c>
      <c r="J17905" s="28">
        <v>0.29321643974182598</v>
      </c>
      <c r="K17905" s="29">
        <v>0.98289565623980701</v>
      </c>
    </row>
    <row r="17906" spans="1:11" x14ac:dyDescent="0.35">
      <c r="A17906" s="9" t="str">
        <f>HYPERLINK("http://www.ensembl.org/id/WBGene00021878", "WBGene00021878")</f>
        <v>WBGene00021878</v>
      </c>
      <c r="B17906" s="9" t="str">
        <f>HYPERLINK("http://www.ncbi.nlm.nih.gov/gene/190279", "190279")</f>
        <v>190279</v>
      </c>
      <c r="C17906" s="9"/>
      <c r="D17906" t="str">
        <f>"Y54G2A.13"</f>
        <v>Y54G2A.13</v>
      </c>
      <c r="F17906" t="s">
        <v>11</v>
      </c>
      <c r="G17906" t="s">
        <v>25</v>
      </c>
      <c r="H17906" s="12">
        <v>2.8024587668003802</v>
      </c>
      <c r="I17906" s="20">
        <v>1.0296818746816701</v>
      </c>
      <c r="J17906" s="28">
        <v>0.30315936682507699</v>
      </c>
      <c r="K17906" s="29">
        <v>0.98289565623980701</v>
      </c>
    </row>
    <row r="17907" spans="1:11" x14ac:dyDescent="0.35">
      <c r="A17907" s="9" t="str">
        <f>HYPERLINK("http://www.ensembl.org/id/WBGene00021880", "WBGene00021880")</f>
        <v>WBGene00021880</v>
      </c>
      <c r="B17907" s="9" t="str">
        <f>HYPERLINK("http://www.ncbi.nlm.nih.gov/gene/177066", "177066")</f>
        <v>177066</v>
      </c>
      <c r="C17907" s="9"/>
      <c r="D17907" t="str">
        <f>"Y54G2A.15"</f>
        <v>Y54G2A.15</v>
      </c>
      <c r="F17907" t="s">
        <v>11</v>
      </c>
      <c r="H17907" s="12">
        <v>-2.6181350195312101</v>
      </c>
      <c r="I17907" s="20">
        <v>-0.76433927831437398</v>
      </c>
      <c r="J17907" s="28">
        <v>0.444665084151392</v>
      </c>
      <c r="K17907" s="29">
        <v>0.98289565623980701</v>
      </c>
    </row>
    <row r="17908" spans="1:11" x14ac:dyDescent="0.35">
      <c r="A17908" s="9" t="str">
        <f>HYPERLINK("http://www.ensembl.org/id/WBGene00021884", "WBGene00021884")</f>
        <v>WBGene00021884</v>
      </c>
      <c r="B17908" s="9" t="str">
        <f>HYPERLINK("http://www.ncbi.nlm.nih.gov/gene/190280", "190280")</f>
        <v>190280</v>
      </c>
      <c r="C17908" s="9"/>
      <c r="D17908" t="str">
        <f>"Y54G2A.19"</f>
        <v>Y54G2A.19</v>
      </c>
      <c r="F17908" t="s">
        <v>11</v>
      </c>
      <c r="H17908" s="12">
        <v>-1.16459284057797</v>
      </c>
      <c r="I17908" s="20">
        <v>-0.38818431687146898</v>
      </c>
      <c r="J17908" s="28">
        <v>0.69787963830299304</v>
      </c>
      <c r="K17908" s="29">
        <v>0.98289565623980701</v>
      </c>
    </row>
    <row r="17909" spans="1:11" x14ac:dyDescent="0.35">
      <c r="A17909" s="9" t="str">
        <f>HYPERLINK("http://www.ensembl.org/id/WBGene00021885", "WBGene00021885")</f>
        <v>WBGene00021885</v>
      </c>
      <c r="B17909" s="9"/>
      <c r="C17909" s="9"/>
      <c r="D17909" t="str">
        <f>"Y54G2A.20"</f>
        <v>Y54G2A.20</v>
      </c>
      <c r="F17909" t="s">
        <v>80</v>
      </c>
      <c r="H17909" s="12">
        <v>3.5227018545059199</v>
      </c>
      <c r="I17909" s="20">
        <v>0.36849691206929103</v>
      </c>
      <c r="J17909" s="28">
        <v>0.71250274722433404</v>
      </c>
      <c r="K17909" s="29">
        <v>0.98289565623980701</v>
      </c>
    </row>
    <row r="17910" spans="1:11" x14ac:dyDescent="0.35">
      <c r="A17910" s="9" t="str">
        <f>HYPERLINK("http://www.ensembl.org/id/WBGene00021886", "WBGene00021886")</f>
        <v>WBGene00021886</v>
      </c>
      <c r="B17910" s="9"/>
      <c r="C17910" s="9"/>
      <c r="D17910" t="str">
        <f>"Y54G2A.21"</f>
        <v>Y54G2A.21</v>
      </c>
      <c r="F17910" t="s">
        <v>80</v>
      </c>
      <c r="H17910" s="12">
        <v>1.42115302294169</v>
      </c>
      <c r="I17910" s="20">
        <v>0.90541700383400803</v>
      </c>
      <c r="J17910" s="28">
        <v>0.36524451088528398</v>
      </c>
      <c r="K17910" s="29">
        <v>0.98289565623980701</v>
      </c>
    </row>
    <row r="17911" spans="1:11" x14ac:dyDescent="0.35">
      <c r="A17911" s="9" t="str">
        <f>HYPERLINK("http://www.ensembl.org/id/WBGene00021889", "WBGene00021889")</f>
        <v>WBGene00021889</v>
      </c>
      <c r="B17911" s="9"/>
      <c r="C17911" s="9"/>
      <c r="D17911" t="str">
        <f>"Y54G2A.24"</f>
        <v>Y54G2A.24</v>
      </c>
      <c r="F17911" t="s">
        <v>80</v>
      </c>
      <c r="H17911" s="12">
        <v>3.24921663643067</v>
      </c>
      <c r="I17911" s="20">
        <v>0.37093133971046299</v>
      </c>
      <c r="J17911" s="28">
        <v>0.710688671961756</v>
      </c>
      <c r="K17911" s="29">
        <v>0.98289565623980701</v>
      </c>
    </row>
    <row r="17912" spans="1:11" x14ac:dyDescent="0.35">
      <c r="A17912" s="9" t="str">
        <f>HYPERLINK("http://www.ensembl.org/id/WBGene00023484", "WBGene00023484")</f>
        <v>WBGene00023484</v>
      </c>
      <c r="B17912" s="9" t="str">
        <f>HYPERLINK("http://www.ncbi.nlm.nih.gov/gene/259760", "259760")</f>
        <v>259760</v>
      </c>
      <c r="C17912" s="9"/>
      <c r="D17912" t="str">
        <f>"Y54G2A.37"</f>
        <v>Y54G2A.37</v>
      </c>
      <c r="F17912" t="s">
        <v>11</v>
      </c>
      <c r="G17912" t="s">
        <v>47</v>
      </c>
      <c r="H17912" s="12">
        <v>-7.24273917348554</v>
      </c>
      <c r="I17912" s="20">
        <v>-1.12699998796793</v>
      </c>
      <c r="J17912" s="28">
        <v>0.259742486071951</v>
      </c>
      <c r="K17912" s="29">
        <v>0.98289565623980701</v>
      </c>
    </row>
    <row r="17913" spans="1:11" x14ac:dyDescent="0.35">
      <c r="A17913" s="9" t="str">
        <f>HYPERLINK("http://www.ensembl.org/id/WBGene00043061", "WBGene00043061")</f>
        <v>WBGene00043061</v>
      </c>
      <c r="B17913" s="9" t="str">
        <f>HYPERLINK("http://www.ncbi.nlm.nih.gov/gene/3564881", "3564881")</f>
        <v>3564881</v>
      </c>
      <c r="C17913" s="9"/>
      <c r="D17913" t="str">
        <f>"Y54G2A.38"</f>
        <v>Y54G2A.38</v>
      </c>
      <c r="E17913" t="s">
        <v>1828</v>
      </c>
      <c r="F17913" t="s">
        <v>11</v>
      </c>
      <c r="G17913" t="s">
        <v>1829</v>
      </c>
      <c r="H17913" s="12">
        <v>2.0174677342631799</v>
      </c>
      <c r="I17913" s="20">
        <v>0.292755713341387</v>
      </c>
      <c r="J17913" s="28">
        <v>0.76970888142491001</v>
      </c>
      <c r="K17913" s="29">
        <v>0.98289565623980701</v>
      </c>
    </row>
    <row r="17914" spans="1:11" x14ac:dyDescent="0.35">
      <c r="A17914" s="9" t="str">
        <f>HYPERLINK("http://www.ensembl.org/id/WBGene00044495", "WBGene00044495")</f>
        <v>WBGene00044495</v>
      </c>
      <c r="B17914" s="9" t="str">
        <f>HYPERLINK("http://www.ncbi.nlm.nih.gov/gene/3896797", "3896797")</f>
        <v>3896797</v>
      </c>
      <c r="C17914" s="9"/>
      <c r="D17914" t="str">
        <f>"Y54G2A.40"</f>
        <v>Y54G2A.40</v>
      </c>
      <c r="F17914" t="s">
        <v>11</v>
      </c>
      <c r="G17914" t="s">
        <v>51</v>
      </c>
      <c r="H17914" s="12">
        <v>1.12356438886884</v>
      </c>
      <c r="I17914" s="20">
        <v>0.29391973643892</v>
      </c>
      <c r="J17914" s="28">
        <v>0.76881923638049698</v>
      </c>
      <c r="K17914" s="29">
        <v>0.98289565623980701</v>
      </c>
    </row>
    <row r="17915" spans="1:11" x14ac:dyDescent="0.35">
      <c r="A17915" s="9" t="str">
        <f>HYPERLINK("http://www.ensembl.org/id/WBGene00044485", "WBGene00044485")</f>
        <v>WBGene00044485</v>
      </c>
      <c r="B17915" s="9" t="str">
        <f>HYPERLINK("http://www.ncbi.nlm.nih.gov/gene/3896798", "3896798")</f>
        <v>3896798</v>
      </c>
      <c r="C17915" s="9"/>
      <c r="D17915" t="str">
        <f>"Y54G2A.41"</f>
        <v>Y54G2A.41</v>
      </c>
      <c r="F17915" t="s">
        <v>11</v>
      </c>
      <c r="H17915" s="12">
        <v>1.39932244526133</v>
      </c>
      <c r="I17915" s="20">
        <v>1.1113856130339601</v>
      </c>
      <c r="J17915" s="28">
        <v>0.26640240233271001</v>
      </c>
      <c r="K17915" s="29">
        <v>0.98289565623980701</v>
      </c>
    </row>
    <row r="17916" spans="1:11" x14ac:dyDescent="0.35">
      <c r="A17916" s="9" t="str">
        <f>HYPERLINK("http://www.ensembl.org/id/WBGene00044487", "WBGene00044487")</f>
        <v>WBGene00044487</v>
      </c>
      <c r="B17916" s="9" t="str">
        <f>HYPERLINK("http://www.ncbi.nlm.nih.gov/gene/3896801", "3896801")</f>
        <v>3896801</v>
      </c>
      <c r="C17916" s="9"/>
      <c r="D17916" t="str">
        <f>"Y54G2A.44"</f>
        <v>Y54G2A.44</v>
      </c>
      <c r="F17916" t="s">
        <v>11</v>
      </c>
      <c r="H17916" s="12">
        <v>1.2571322621910399</v>
      </c>
      <c r="I17916" s="20">
        <v>0.30614496286572501</v>
      </c>
      <c r="J17916" s="28">
        <v>0.75949427492558497</v>
      </c>
      <c r="K17916" s="29">
        <v>0.98289565623980701</v>
      </c>
    </row>
    <row r="17917" spans="1:11" x14ac:dyDescent="0.35">
      <c r="A17917" s="9" t="str">
        <f>HYPERLINK("http://www.ensembl.org/id/WBGene00044493", "WBGene00044493")</f>
        <v>WBGene00044493</v>
      </c>
      <c r="B17917" s="9" t="str">
        <f>HYPERLINK("http://www.ncbi.nlm.nih.gov/gene/3896807", "3896807")</f>
        <v>3896807</v>
      </c>
      <c r="C17917" s="9"/>
      <c r="D17917" t="str">
        <f>"Y54G2A.50"</f>
        <v>Y54G2A.50</v>
      </c>
      <c r="F17917" t="s">
        <v>11</v>
      </c>
      <c r="G17917" t="s">
        <v>4711</v>
      </c>
      <c r="H17917" s="12">
        <v>1.46111052865271</v>
      </c>
      <c r="I17917" s="20">
        <v>1.0719611439330501</v>
      </c>
      <c r="J17917" s="28">
        <v>0.28373748496776402</v>
      </c>
      <c r="K17917" s="29">
        <v>0.98289565623980701</v>
      </c>
    </row>
    <row r="17918" spans="1:11" x14ac:dyDescent="0.35">
      <c r="A17918" s="9" t="str">
        <f>HYPERLINK("http://www.ensembl.org/id/WBGene00200823", "WBGene00200823")</f>
        <v>WBGene00200823</v>
      </c>
      <c r="B17918" s="9"/>
      <c r="C17918" s="9"/>
      <c r="D17918" t="str">
        <f>"Y54G2A.68"</f>
        <v>Y54G2A.68</v>
      </c>
      <c r="F17918" t="s">
        <v>481</v>
      </c>
      <c r="H17918" s="12">
        <v>-3.5895742674186799</v>
      </c>
      <c r="I17918" s="20">
        <v>-0.51888192149280599</v>
      </c>
      <c r="J17918" s="28">
        <v>0.60384308549044796</v>
      </c>
      <c r="K17918" s="29">
        <v>0.98289565623980701</v>
      </c>
    </row>
    <row r="17919" spans="1:11" x14ac:dyDescent="0.35">
      <c r="A17919" s="9" t="str">
        <f>HYPERLINK("http://www.ensembl.org/id/WBGene00201650", "WBGene00201650")</f>
        <v>WBGene00201650</v>
      </c>
      <c r="B17919" s="9"/>
      <c r="C17919" s="9"/>
      <c r="D17919" t="str">
        <f>"Y54G2A.69"</f>
        <v>Y54G2A.69</v>
      </c>
      <c r="F17919" t="s">
        <v>481</v>
      </c>
      <c r="H17919" s="12">
        <v>2.3893468495514898</v>
      </c>
      <c r="I17919" s="20">
        <v>0.25323547253672701</v>
      </c>
      <c r="J17919" s="28">
        <v>0.80008625651646104</v>
      </c>
      <c r="K17919" s="29">
        <v>0.98289565623980701</v>
      </c>
    </row>
    <row r="17920" spans="1:11" x14ac:dyDescent="0.35">
      <c r="A17920" s="9" t="str">
        <f>HYPERLINK("http://www.ensembl.org/id/WBGene00235102", "WBGene00235102")</f>
        <v>WBGene00235102</v>
      </c>
      <c r="B17920" s="9" t="str">
        <f>HYPERLINK("http://www.ncbi.nlm.nih.gov/gene/24105155", "24105155")</f>
        <v>24105155</v>
      </c>
      <c r="C17920" s="9"/>
      <c r="D17920" t="str">
        <f>"Y54G2A.75"</f>
        <v>Y54G2A.75</v>
      </c>
      <c r="F17920" t="s">
        <v>11</v>
      </c>
      <c r="G17920" t="s">
        <v>7417</v>
      </c>
      <c r="H17920" s="12">
        <v>-1.1242253099960899</v>
      </c>
      <c r="I17920" s="20">
        <v>-0.57983191023132197</v>
      </c>
      <c r="J17920" s="28">
        <v>0.56202797631980395</v>
      </c>
      <c r="K17920" s="29">
        <v>0.98289565623980701</v>
      </c>
    </row>
    <row r="17921" spans="1:11" x14ac:dyDescent="0.35">
      <c r="A17921" s="9" t="str">
        <f>HYPERLINK("http://www.ensembl.org/id/WBGene00235350", "WBGene00235350")</f>
        <v>WBGene00235350</v>
      </c>
      <c r="B17921" s="9" t="str">
        <f>HYPERLINK("http://www.ncbi.nlm.nih.gov/gene/24105157", "24105157")</f>
        <v>24105157</v>
      </c>
      <c r="C17921" s="9"/>
      <c r="D17921" t="str">
        <f>"Y54G2A.77"</f>
        <v>Y54G2A.77</v>
      </c>
      <c r="E17921" t="s">
        <v>1828</v>
      </c>
      <c r="F17921" t="s">
        <v>11</v>
      </c>
      <c r="G17921" t="s">
        <v>1829</v>
      </c>
      <c r="H17921" s="12">
        <v>-13.631801325966601</v>
      </c>
      <c r="I17921" s="20">
        <v>-0.81817789633815496</v>
      </c>
      <c r="J17921" s="28">
        <v>0.41325561456537002</v>
      </c>
      <c r="K17921" s="29">
        <v>0.98289565623980701</v>
      </c>
    </row>
    <row r="17922" spans="1:11" x14ac:dyDescent="0.35">
      <c r="A17922" s="9" t="str">
        <f>HYPERLINK("http://www.ensembl.org/id/WBGene00023181", "WBGene00023181")</f>
        <v>WBGene00023181</v>
      </c>
      <c r="B17922" s="9"/>
      <c r="C17922" s="9"/>
      <c r="D17922" t="str">
        <f>"Y54G2A.t4"</f>
        <v>Y54G2A.t4</v>
      </c>
      <c r="F17922" t="s">
        <v>4208</v>
      </c>
      <c r="H17922" s="12">
        <v>-2.4991590031922399</v>
      </c>
      <c r="I17922" s="20">
        <v>-0.26577412737581302</v>
      </c>
      <c r="J17922" s="28">
        <v>0.79041317015736101</v>
      </c>
      <c r="K17922" s="29">
        <v>0.98289565623980701</v>
      </c>
    </row>
    <row r="17923" spans="1:11" x14ac:dyDescent="0.35">
      <c r="A17923" s="9" t="str">
        <f>HYPERLINK("http://www.ensembl.org/id/WBGene00013210", "WBGene00013210")</f>
        <v>WBGene00013210</v>
      </c>
      <c r="B17923" s="9" t="str">
        <f>HYPERLINK("http://www.ncbi.nlm.nih.gov/gene/175017", "175017")</f>
        <v>175017</v>
      </c>
      <c r="C17923" s="9"/>
      <c r="D17923" t="str">
        <f>"Y54G9A.7"</f>
        <v>Y54G9A.7</v>
      </c>
      <c r="E17923" t="s">
        <v>9370</v>
      </c>
      <c r="F17923" t="s">
        <v>11</v>
      </c>
      <c r="G17923" t="s">
        <v>9371</v>
      </c>
      <c r="H17923" s="12">
        <v>-1.2418233766653199</v>
      </c>
      <c r="I17923" s="20">
        <v>-1.01062070857283</v>
      </c>
      <c r="J17923" s="28">
        <v>0.31219800041911999</v>
      </c>
      <c r="K17923" s="29">
        <v>0.98289565623980701</v>
      </c>
    </row>
    <row r="17924" spans="1:11" x14ac:dyDescent="0.35">
      <c r="A17924" s="9" t="str">
        <f>HYPERLINK("http://www.ensembl.org/id/WBGene00014589", "WBGene00014589")</f>
        <v>WBGene00014589</v>
      </c>
      <c r="B17924" s="9"/>
      <c r="C17924" s="9"/>
      <c r="D17924" t="str">
        <f>"Y54G9A.8"</f>
        <v>Y54G9A.8</v>
      </c>
      <c r="F17924" t="s">
        <v>4205</v>
      </c>
      <c r="H17924" s="12">
        <v>-4.7167679298615104</v>
      </c>
      <c r="I17924" s="20">
        <v>-0.454742638005115</v>
      </c>
      <c r="J17924" s="28">
        <v>0.64929440216969203</v>
      </c>
      <c r="K17924" s="29">
        <v>0.98289565623980701</v>
      </c>
    </row>
    <row r="17925" spans="1:11" x14ac:dyDescent="0.35">
      <c r="A17925" s="9" t="str">
        <f>HYPERLINK("http://www.ensembl.org/id/WBGene00013211", "WBGene00013211")</f>
        <v>WBGene00013211</v>
      </c>
      <c r="B17925" s="9" t="str">
        <f>HYPERLINK("http://www.ncbi.nlm.nih.gov/gene/259327", "259327")</f>
        <v>259327</v>
      </c>
      <c r="C17925" s="9"/>
      <c r="D17925" t="str">
        <f>"Y54G9A.9"</f>
        <v>Y54G9A.9</v>
      </c>
      <c r="F17925" t="s">
        <v>11</v>
      </c>
      <c r="G17925" t="s">
        <v>25</v>
      </c>
      <c r="H17925" s="12">
        <v>-1.10793062898193</v>
      </c>
      <c r="I17925" s="20">
        <v>-0.311396657058222</v>
      </c>
      <c r="J17925" s="28">
        <v>0.75549909494735201</v>
      </c>
      <c r="K17925" s="29">
        <v>0.98289565623980701</v>
      </c>
    </row>
    <row r="17926" spans="1:11" x14ac:dyDescent="0.35">
      <c r="A17926" s="9" t="str">
        <f>HYPERLINK("http://www.ensembl.org/id/WBGene00021899", "WBGene00021899")</f>
        <v>WBGene00021899</v>
      </c>
      <c r="B17926" s="9" t="str">
        <f>HYPERLINK("http://www.ncbi.nlm.nih.gov/gene/175701", "175701")</f>
        <v>175701</v>
      </c>
      <c r="C17926" s="9" t="str">
        <f>HYPERLINK("http://www.ncbi.nlm.nih.gov/gene/83743", "83743")</f>
        <v>83743</v>
      </c>
      <c r="D17926" t="str">
        <f>"Y54H5A.1"</f>
        <v>Y54H5A.1</v>
      </c>
      <c r="F17926" t="s">
        <v>11</v>
      </c>
      <c r="G17926" t="s">
        <v>1525</v>
      </c>
      <c r="H17926" s="12">
        <v>-1.1845396835203701</v>
      </c>
      <c r="I17926" s="20">
        <v>-0.83412040895651096</v>
      </c>
      <c r="J17926" s="28">
        <v>0.40421313554542398</v>
      </c>
      <c r="K17926" s="29">
        <v>0.98289565623980701</v>
      </c>
    </row>
    <row r="17927" spans="1:11" x14ac:dyDescent="0.35">
      <c r="A17927" s="9" t="str">
        <f>HYPERLINK("http://www.ensembl.org/id/WBGene00021900", "WBGene00021900")</f>
        <v>WBGene00021900</v>
      </c>
      <c r="B17927" s="9" t="str">
        <f>HYPERLINK("http://www.ncbi.nlm.nih.gov/gene/175699", "175699")</f>
        <v>175699</v>
      </c>
      <c r="C17927" s="9"/>
      <c r="D17927" t="str">
        <f>"Y54H5A.2"</f>
        <v>Y54H5A.2</v>
      </c>
      <c r="F17927" t="s">
        <v>11</v>
      </c>
      <c r="H17927" s="12">
        <v>-1.15719885672478</v>
      </c>
      <c r="I17927" s="20">
        <v>-0.68680225565408104</v>
      </c>
      <c r="J17927" s="28">
        <v>0.49220734817260298</v>
      </c>
      <c r="K17927" s="29">
        <v>0.98289565623980701</v>
      </c>
    </row>
    <row r="17928" spans="1:11" x14ac:dyDescent="0.35">
      <c r="A17928" s="9" t="str">
        <f>HYPERLINK("http://www.ensembl.org/id/WBGene00021906", "WBGene00021906")</f>
        <v>WBGene00021906</v>
      </c>
      <c r="B17928" s="9" t="str">
        <f>HYPERLINK("http://www.ncbi.nlm.nih.gov/gene/175211", "175211")</f>
        <v>175211</v>
      </c>
      <c r="C17928" s="9"/>
      <c r="D17928" t="str">
        <f>"Y55B1AR.2"</f>
        <v>Y55B1AR.2</v>
      </c>
      <c r="F17928" t="s">
        <v>11</v>
      </c>
      <c r="H17928" s="12">
        <v>-1.1687167566969801</v>
      </c>
      <c r="I17928" s="20">
        <v>-0.811193076220874</v>
      </c>
      <c r="J17928" s="28">
        <v>0.41725480113411501</v>
      </c>
      <c r="K17928" s="29">
        <v>0.98289565623980701</v>
      </c>
    </row>
    <row r="17929" spans="1:11" x14ac:dyDescent="0.35">
      <c r="A17929" s="9" t="str">
        <f>HYPERLINK("http://www.ensembl.org/id/WBGene00021907", "WBGene00021907")</f>
        <v>WBGene00021907</v>
      </c>
      <c r="B17929" s="9" t="str">
        <f>HYPERLINK("http://www.ncbi.nlm.nih.gov/gene/190299", "190299")</f>
        <v>190299</v>
      </c>
      <c r="C17929" s="9"/>
      <c r="D17929" t="str">
        <f>"Y55B1AR.3"</f>
        <v>Y55B1AR.3</v>
      </c>
      <c r="F17929" t="s">
        <v>11</v>
      </c>
      <c r="H17929" s="12">
        <v>5.9495765472548197</v>
      </c>
      <c r="I17929" s="20">
        <v>0.52429389276509997</v>
      </c>
      <c r="J17929" s="28">
        <v>0.60007414400596704</v>
      </c>
      <c r="K17929" s="29">
        <v>0.98289565623980701</v>
      </c>
    </row>
    <row r="17930" spans="1:11" x14ac:dyDescent="0.35">
      <c r="A17930" s="9" t="str">
        <f>HYPERLINK("http://www.ensembl.org/id/WBGene00021908", "WBGene00021908")</f>
        <v>WBGene00021908</v>
      </c>
      <c r="B17930" s="9" t="str">
        <f>HYPERLINK("http://www.ncbi.nlm.nih.gov/gene/190300", "190300")</f>
        <v>190300</v>
      </c>
      <c r="C17930" s="9"/>
      <c r="D17930" t="str">
        <f>"Y55B1AR.4"</f>
        <v>Y55B1AR.4</v>
      </c>
      <c r="F17930" t="s">
        <v>11</v>
      </c>
      <c r="H17930" s="12">
        <v>-2.81395873258275</v>
      </c>
      <c r="I17930" s="20">
        <v>-0.65857419570279097</v>
      </c>
      <c r="J17930" s="28">
        <v>0.51016923765923305</v>
      </c>
      <c r="K17930" s="29">
        <v>0.98289565623980701</v>
      </c>
    </row>
    <row r="17931" spans="1:11" x14ac:dyDescent="0.35">
      <c r="A17931" s="9" t="str">
        <f>HYPERLINK("http://www.ensembl.org/id/WBGene00021911", "WBGene00021911")</f>
        <v>WBGene00021911</v>
      </c>
      <c r="B17931" s="9" t="str">
        <f>HYPERLINK("http://www.ncbi.nlm.nih.gov/gene/190301", "190301")</f>
        <v>190301</v>
      </c>
      <c r="C17931" s="9"/>
      <c r="D17931" t="str">
        <f>"Y55B1BR.1"</f>
        <v>Y55B1BR.1</v>
      </c>
      <c r="F17931" t="s">
        <v>11</v>
      </c>
      <c r="H17931" s="12">
        <v>1.83043103170268</v>
      </c>
      <c r="I17931" s="20">
        <v>0.49231192131454099</v>
      </c>
      <c r="J17931" s="28">
        <v>0.62249885386854498</v>
      </c>
      <c r="K17931" s="29">
        <v>0.98289565623980701</v>
      </c>
    </row>
    <row r="17932" spans="1:11" x14ac:dyDescent="0.35">
      <c r="A17932" s="9" t="str">
        <f>HYPERLINK("http://www.ensembl.org/id/WBGene00021912", "WBGene00021912")</f>
        <v>WBGene00021912</v>
      </c>
      <c r="B17932" s="9" t="str">
        <f>HYPERLINK("http://www.ncbi.nlm.nih.gov/gene/175203", "175203")</f>
        <v>175203</v>
      </c>
      <c r="C17932" s="9"/>
      <c r="D17932" t="str">
        <f>"Y55B1BR.2"</f>
        <v>Y55B1BR.2</v>
      </c>
      <c r="F17932" t="s">
        <v>11</v>
      </c>
      <c r="G17932" t="s">
        <v>228</v>
      </c>
      <c r="H17932" s="12">
        <v>-1.0646720157551099</v>
      </c>
      <c r="I17932" s="20">
        <v>-0.29612406512190398</v>
      </c>
      <c r="J17932" s="28">
        <v>0.76713533641368004</v>
      </c>
      <c r="K17932" s="29">
        <v>0.98289565623980701</v>
      </c>
    </row>
    <row r="17933" spans="1:11" x14ac:dyDescent="0.35">
      <c r="A17933" s="9" t="str">
        <f>HYPERLINK("http://www.ensembl.org/id/WBGene00021915", "WBGene00021915")</f>
        <v>WBGene00021915</v>
      </c>
      <c r="B17933" s="9" t="str">
        <f>HYPERLINK("http://www.ncbi.nlm.nih.gov/gene/175408", "175408")</f>
        <v>175408</v>
      </c>
      <c r="C17933" s="9"/>
      <c r="D17933" t="str">
        <f>"Y55D5A.1"</f>
        <v>Y55D5A.1</v>
      </c>
      <c r="F17933" t="s">
        <v>11</v>
      </c>
      <c r="H17933" s="12">
        <v>1.16215843034652</v>
      </c>
      <c r="I17933" s="20">
        <v>0.50117970882437202</v>
      </c>
      <c r="J17933" s="28">
        <v>0.61624465343785395</v>
      </c>
      <c r="K17933" s="29">
        <v>0.98289565623980701</v>
      </c>
    </row>
    <row r="17934" spans="1:11" x14ac:dyDescent="0.35">
      <c r="A17934" s="9" t="str">
        <f>HYPERLINK("http://www.ensembl.org/id/WBGene00021916", "WBGene00021916")</f>
        <v>WBGene00021916</v>
      </c>
      <c r="B17934" s="9" t="str">
        <f>HYPERLINK("http://www.ncbi.nlm.nih.gov/gene/190303", "190303")</f>
        <v>190303</v>
      </c>
      <c r="C17934" s="9"/>
      <c r="D17934" t="str">
        <f>"Y55D5A.2"</f>
        <v>Y55D5A.2</v>
      </c>
      <c r="F17934" t="s">
        <v>11</v>
      </c>
      <c r="H17934" s="12">
        <v>-3.5819448292659501</v>
      </c>
      <c r="I17934" s="20">
        <v>-0.37337717500031398</v>
      </c>
      <c r="J17934" s="28">
        <v>0.70886774492290605</v>
      </c>
      <c r="K17934" s="29">
        <v>0.98289565623980701</v>
      </c>
    </row>
    <row r="17935" spans="1:11" x14ac:dyDescent="0.35">
      <c r="A17935" s="9" t="str">
        <f>HYPERLINK("http://www.ensembl.org/id/WBGene00021917", "WBGene00021917")</f>
        <v>WBGene00021917</v>
      </c>
      <c r="B17935" s="9" t="str">
        <f>HYPERLINK("http://www.ncbi.nlm.nih.gov/gene/190304", "190304")</f>
        <v>190304</v>
      </c>
      <c r="C17935" s="9" t="str">
        <f>HYPERLINK("http://www.ncbi.nlm.nih.gov/gene/27163", "27163")</f>
        <v>27163</v>
      </c>
      <c r="D17935" t="str">
        <f>"Y55D5A.3"</f>
        <v>Y55D5A.3</v>
      </c>
      <c r="F17935" t="s">
        <v>11</v>
      </c>
      <c r="G17935" t="s">
        <v>9572</v>
      </c>
      <c r="H17935" s="12">
        <v>-1.2603022411013001</v>
      </c>
      <c r="I17935" s="20">
        <v>-0.63638286484140105</v>
      </c>
      <c r="J17935" s="28">
        <v>0.52452690656288703</v>
      </c>
      <c r="K17935" s="29">
        <v>0.98289565623980701</v>
      </c>
    </row>
    <row r="17936" spans="1:11" x14ac:dyDescent="0.35">
      <c r="A17936" s="9" t="str">
        <f>HYPERLINK("http://www.ensembl.org/id/WBGene00021918", "WBGene00021918")</f>
        <v>WBGene00021918</v>
      </c>
      <c r="B17936" s="9" t="str">
        <f>HYPERLINK("http://www.ncbi.nlm.nih.gov/gene/175409", "175409")</f>
        <v>175409</v>
      </c>
      <c r="C17936" s="9"/>
      <c r="D17936" t="str">
        <f>"Y55D5A.4"</f>
        <v>Y55D5A.4</v>
      </c>
      <c r="F17936" t="s">
        <v>11</v>
      </c>
      <c r="H17936" s="12">
        <v>1.2882830801185401</v>
      </c>
      <c r="I17936" s="20">
        <v>0.93586402291368398</v>
      </c>
      <c r="J17936" s="28">
        <v>0.34934320279479802</v>
      </c>
      <c r="K17936" s="29">
        <v>0.98289565623980701</v>
      </c>
    </row>
    <row r="17937" spans="1:11" x14ac:dyDescent="0.35">
      <c r="A17937" s="9" t="str">
        <f>HYPERLINK("http://www.ensembl.org/id/WBGene00013224", "WBGene00013224")</f>
        <v>WBGene00013224</v>
      </c>
      <c r="B17937" s="9" t="str">
        <f>HYPERLINK("http://www.ncbi.nlm.nih.gov/gene/178216", "178216")</f>
        <v>178216</v>
      </c>
      <c r="C17937" s="9"/>
      <c r="D17937" t="str">
        <f>"Y55D9A.2"</f>
        <v>Y55D9A.2</v>
      </c>
      <c r="F17937" t="s">
        <v>11</v>
      </c>
      <c r="G17937" t="s">
        <v>445</v>
      </c>
      <c r="H17937" s="12">
        <v>-1.2544788187071401</v>
      </c>
      <c r="I17937" s="20">
        <v>-1.0036920365694</v>
      </c>
      <c r="J17937" s="28">
        <v>0.31552707666350699</v>
      </c>
      <c r="K17937" s="29">
        <v>0.98289565623980701</v>
      </c>
    </row>
    <row r="17938" spans="1:11" x14ac:dyDescent="0.35">
      <c r="A17938" s="9" t="str">
        <f>HYPERLINK("http://www.ensembl.org/id/WBGene00021931", "WBGene00021931")</f>
        <v>WBGene00021931</v>
      </c>
      <c r="B17938" s="9" t="str">
        <f>HYPERLINK("http://www.ncbi.nlm.nih.gov/gene/190310", "190310")</f>
        <v>190310</v>
      </c>
      <c r="C17938" s="9"/>
      <c r="D17938" t="str">
        <f>"Y55F3AM.14"</f>
        <v>Y55F3AM.14</v>
      </c>
      <c r="F17938" t="s">
        <v>11</v>
      </c>
      <c r="G17938" t="s">
        <v>9981</v>
      </c>
      <c r="H17938" s="12">
        <v>-1.5661877278140399</v>
      </c>
      <c r="I17938" s="20">
        <v>-1.12097468656682</v>
      </c>
      <c r="J17938" s="28">
        <v>0.26229863750725602</v>
      </c>
      <c r="K17938" s="29">
        <v>0.98289565623980701</v>
      </c>
    </row>
    <row r="17939" spans="1:11" x14ac:dyDescent="0.35">
      <c r="A17939" s="9" t="str">
        <f>HYPERLINK("http://www.ensembl.org/id/WBGene00219399", "WBGene00219399")</f>
        <v>WBGene00219399</v>
      </c>
      <c r="B17939" s="9" t="str">
        <f>HYPERLINK("http://www.ncbi.nlm.nih.gov/gene/13192109", "13192109")</f>
        <v>13192109</v>
      </c>
      <c r="C17939" s="9"/>
      <c r="D17939" t="str">
        <f>"Y55F3AM.21"</f>
        <v>Y55F3AM.21</v>
      </c>
      <c r="F17939" t="s">
        <v>11</v>
      </c>
      <c r="H17939" s="12">
        <v>-1.3152704133658</v>
      </c>
      <c r="I17939" s="20">
        <v>-0.337044342606723</v>
      </c>
      <c r="J17939" s="28">
        <v>0.73608347314618705</v>
      </c>
      <c r="K17939" s="29">
        <v>0.98289565623980701</v>
      </c>
    </row>
    <row r="17940" spans="1:11" x14ac:dyDescent="0.35">
      <c r="A17940" s="9" t="str">
        <f>HYPERLINK("http://www.ensembl.org/id/WBGene00021923", "WBGene00021923")</f>
        <v>WBGene00021923</v>
      </c>
      <c r="B17940" s="9" t="str">
        <f>HYPERLINK("http://www.ncbi.nlm.nih.gov/gene/190307", "190307")</f>
        <v>190307</v>
      </c>
      <c r="C17940" s="9"/>
      <c r="D17940" t="str">
        <f>"Y55F3AM.5"</f>
        <v>Y55F3AM.5</v>
      </c>
      <c r="F17940" t="s">
        <v>11</v>
      </c>
      <c r="H17940" s="12">
        <v>-1.0803759756312701</v>
      </c>
      <c r="I17940" s="20">
        <v>-0.33510329262513899</v>
      </c>
      <c r="J17940" s="28">
        <v>0.73754716916556395</v>
      </c>
      <c r="K17940" s="29">
        <v>0.98289565623980701</v>
      </c>
    </row>
    <row r="17941" spans="1:11" x14ac:dyDescent="0.35">
      <c r="A17941" s="9" t="str">
        <f>HYPERLINK("http://www.ensembl.org/id/WBGene00021926", "WBGene00021926")</f>
        <v>WBGene00021926</v>
      </c>
      <c r="B17941" s="9" t="str">
        <f>HYPERLINK("http://www.ncbi.nlm.nih.gov/gene/176920", "176920")</f>
        <v>176920</v>
      </c>
      <c r="C17941" s="9" t="str">
        <f>HYPERLINK("http://www.ncbi.nlm.nih.gov/gene/54629", "54629")</f>
        <v>54629</v>
      </c>
      <c r="D17941" t="str">
        <f>"Y55F3AM.9"</f>
        <v>Y55F3AM.9</v>
      </c>
      <c r="F17941" t="s">
        <v>11</v>
      </c>
      <c r="G17941" t="s">
        <v>8076</v>
      </c>
      <c r="H17941" s="12">
        <v>-1.1598904134019601</v>
      </c>
      <c r="I17941" s="20">
        <v>-0.77096053018367305</v>
      </c>
      <c r="J17941" s="28">
        <v>0.44073032699761799</v>
      </c>
      <c r="K17941" s="29">
        <v>0.98289565623980701</v>
      </c>
    </row>
    <row r="17942" spans="1:11" x14ac:dyDescent="0.35">
      <c r="A17942" s="9" t="str">
        <f>HYPERLINK("http://www.ensembl.org/id/WBGene00021933", "WBGene00021933")</f>
        <v>WBGene00021933</v>
      </c>
      <c r="B17942" s="9" t="str">
        <f>HYPERLINK("http://www.ncbi.nlm.nih.gov/gene/176929", "176929")</f>
        <v>176929</v>
      </c>
      <c r="C17942" s="9"/>
      <c r="D17942" t="str">
        <f>"Y55F3AR.2"</f>
        <v>Y55F3AR.2</v>
      </c>
      <c r="F17942" t="s">
        <v>11</v>
      </c>
      <c r="G17942" t="s">
        <v>25</v>
      </c>
      <c r="H17942" s="12">
        <v>-1.1383158878991599</v>
      </c>
      <c r="I17942" s="20">
        <v>-0.66348202081418195</v>
      </c>
      <c r="J17942" s="28">
        <v>0.50702189059812597</v>
      </c>
      <c r="K17942" s="29">
        <v>0.98289565623980701</v>
      </c>
    </row>
    <row r="17943" spans="1:11" x14ac:dyDescent="0.35">
      <c r="A17943" s="9" t="str">
        <f>HYPERLINK("http://www.ensembl.org/id/WBGene00185088", "WBGene00185088")</f>
        <v>WBGene00185088</v>
      </c>
      <c r="B17943" s="9" t="str">
        <f>HYPERLINK("http://www.ncbi.nlm.nih.gov/gene/13192056", "13192056")</f>
        <v>13192056</v>
      </c>
      <c r="C17943" s="9"/>
      <c r="D17943" t="str">
        <f>"Y55F3BL.4"</f>
        <v>Y55F3BL.4</v>
      </c>
      <c r="F17943" t="s">
        <v>11</v>
      </c>
      <c r="H17943" s="12">
        <v>-1.1018248805977799</v>
      </c>
      <c r="I17943" s="20">
        <v>-0.30213153211720201</v>
      </c>
      <c r="J17943" s="28">
        <v>0.76255179582892396</v>
      </c>
      <c r="K17943" s="29">
        <v>0.98289565623980701</v>
      </c>
    </row>
    <row r="17944" spans="1:11" x14ac:dyDescent="0.35">
      <c r="A17944" s="9" t="str">
        <f>HYPERLINK("http://www.ensembl.org/id/WBGene00235283", "WBGene00235283")</f>
        <v>WBGene00235283</v>
      </c>
      <c r="B17944" s="9" t="str">
        <f>HYPERLINK("http://www.ncbi.nlm.nih.gov/gene/24105162", "24105162")</f>
        <v>24105162</v>
      </c>
      <c r="C17944" s="9"/>
      <c r="D17944" t="str">
        <f>"Y55F3BL.6"</f>
        <v>Y55F3BL.6</v>
      </c>
      <c r="F17944" t="s">
        <v>11</v>
      </c>
      <c r="G17944" t="s">
        <v>25</v>
      </c>
      <c r="H17944" s="12">
        <v>1.96917050030906</v>
      </c>
      <c r="I17944" s="20">
        <v>0.323668101232156</v>
      </c>
      <c r="J17944" s="28">
        <v>0.74618932341488198</v>
      </c>
      <c r="K17944" s="29">
        <v>0.98289565623980701</v>
      </c>
    </row>
    <row r="17945" spans="1:11" x14ac:dyDescent="0.35">
      <c r="A17945" s="9" t="str">
        <f>HYPERLINK("http://www.ensembl.org/id/WBGene00021938", "WBGene00021938")</f>
        <v>WBGene00021938</v>
      </c>
      <c r="B17945" s="9" t="str">
        <f>HYPERLINK("http://www.ncbi.nlm.nih.gov/gene/176913", "176913")</f>
        <v>176913</v>
      </c>
      <c r="C17945" s="9" t="str">
        <f>HYPERLINK("http://www.ncbi.nlm.nih.gov/gene/1653", "1653")</f>
        <v>1653</v>
      </c>
      <c r="D17945" t="str">
        <f>"Y55F3BR.1"</f>
        <v>Y55F3BR.1</v>
      </c>
      <c r="F17945" t="s">
        <v>11</v>
      </c>
      <c r="G17945" t="s">
        <v>8785</v>
      </c>
      <c r="H17945" s="12">
        <v>-1.1962264543916601</v>
      </c>
      <c r="I17945" s="20">
        <v>-0.92245607951553299</v>
      </c>
      <c r="J17945" s="28">
        <v>0.35629072963216002</v>
      </c>
      <c r="K17945" s="29">
        <v>0.98289565623980701</v>
      </c>
    </row>
    <row r="17946" spans="1:11" x14ac:dyDescent="0.35">
      <c r="A17946" s="9" t="str">
        <f>HYPERLINK("http://www.ensembl.org/id/WBGene00044742", "WBGene00044742")</f>
        <v>WBGene00044742</v>
      </c>
      <c r="B17946" s="9" t="str">
        <f>HYPERLINK("http://www.ncbi.nlm.nih.gov/gene/4363074", "4363074")</f>
        <v>4363074</v>
      </c>
      <c r="C17946" s="9"/>
      <c r="D17946" t="str">
        <f>"Y55F3BR.10"</f>
        <v>Y55F3BR.10</v>
      </c>
      <c r="F17946" t="s">
        <v>11</v>
      </c>
      <c r="H17946" s="12">
        <v>-1.13030443828898</v>
      </c>
      <c r="I17946" s="20">
        <v>-0.3544937271127</v>
      </c>
      <c r="J17946" s="28">
        <v>0.72296890426089599</v>
      </c>
      <c r="K17946" s="29">
        <v>0.98289565623980701</v>
      </c>
    </row>
    <row r="17947" spans="1:11" x14ac:dyDescent="0.35">
      <c r="A17947" s="9" t="str">
        <f>HYPERLINK("http://www.ensembl.org/id/WBGene00044757", "WBGene00044757")</f>
        <v>WBGene00044757</v>
      </c>
      <c r="B17947" s="9" t="str">
        <f>HYPERLINK("http://www.ncbi.nlm.nih.gov/gene/4363075", "4363075")</f>
        <v>4363075</v>
      </c>
      <c r="C17947" s="9"/>
      <c r="D17947" t="str">
        <f>"Y55F3BR.11"</f>
        <v>Y55F3BR.11</v>
      </c>
      <c r="F17947" t="s">
        <v>11</v>
      </c>
      <c r="H17947" s="12">
        <v>-1.4757286848447499</v>
      </c>
      <c r="I17947" s="20">
        <v>-1.15747033258471</v>
      </c>
      <c r="J17947" s="28">
        <v>0.24708025342541401</v>
      </c>
      <c r="K17947" s="29">
        <v>0.98289565623980701</v>
      </c>
    </row>
    <row r="17948" spans="1:11" x14ac:dyDescent="0.35">
      <c r="A17948" s="9" t="str">
        <f>HYPERLINK("http://www.ensembl.org/id/WBGene00201671", "WBGene00201671")</f>
        <v>WBGene00201671</v>
      </c>
      <c r="B17948" s="9"/>
      <c r="C17948" s="9"/>
      <c r="D17948" t="str">
        <f>"Y55F3BR.17"</f>
        <v>Y55F3BR.17</v>
      </c>
      <c r="F17948" t="s">
        <v>481</v>
      </c>
      <c r="H17948" s="12">
        <v>-3.7261494131482999</v>
      </c>
      <c r="I17948" s="20">
        <v>-0.38454673129429601</v>
      </c>
      <c r="J17948" s="28">
        <v>0.70057326682554</v>
      </c>
      <c r="K17948" s="29">
        <v>0.98289565623980701</v>
      </c>
    </row>
    <row r="17949" spans="1:11" x14ac:dyDescent="0.35">
      <c r="A17949" s="9" t="str">
        <f>HYPERLINK("http://www.ensembl.org/id/WBGene00220183", "WBGene00220183")</f>
        <v>WBGene00220183</v>
      </c>
      <c r="B17949" s="9"/>
      <c r="C17949" s="9"/>
      <c r="D17949" t="str">
        <f>"Y55F3BR.19"</f>
        <v>Y55F3BR.19</v>
      </c>
      <c r="F17949" t="s">
        <v>481</v>
      </c>
      <c r="H17949" s="12">
        <v>5.9495765472548197</v>
      </c>
      <c r="I17949" s="20">
        <v>0.52429389276509997</v>
      </c>
      <c r="J17949" s="28">
        <v>0.60007414400596704</v>
      </c>
      <c r="K17949" s="29">
        <v>0.98289565623980701</v>
      </c>
    </row>
    <row r="17950" spans="1:11" x14ac:dyDescent="0.35">
      <c r="A17950" s="9" t="str">
        <f>HYPERLINK("http://www.ensembl.org/id/WBGene00021939", "WBGene00021939")</f>
        <v>WBGene00021939</v>
      </c>
      <c r="B17950" s="9" t="str">
        <f>HYPERLINK("http://www.ncbi.nlm.nih.gov/gene/190314", "190314")</f>
        <v>190314</v>
      </c>
      <c r="C17950" s="9"/>
      <c r="D17950" t="str">
        <f>"Y55F3BR.2"</f>
        <v>Y55F3BR.2</v>
      </c>
      <c r="F17950" t="s">
        <v>11</v>
      </c>
      <c r="G17950" t="s">
        <v>50</v>
      </c>
      <c r="H17950" s="12">
        <v>1.1320656452830899</v>
      </c>
      <c r="I17950" s="20">
        <v>0.46601437134910001</v>
      </c>
      <c r="J17950" s="28">
        <v>0.641205213729797</v>
      </c>
      <c r="K17950" s="29">
        <v>0.98289565623980701</v>
      </c>
    </row>
    <row r="17951" spans="1:11" x14ac:dyDescent="0.35">
      <c r="A17951" s="9" t="str">
        <f>HYPERLINK("http://www.ensembl.org/id/WBGene00023183", "WBGene00023183")</f>
        <v>WBGene00023183</v>
      </c>
      <c r="B17951" s="9"/>
      <c r="C17951" s="9"/>
      <c r="D17951" t="str">
        <f>"Y55F3BR.9"</f>
        <v>Y55F3BR.9</v>
      </c>
      <c r="F17951" t="s">
        <v>2977</v>
      </c>
      <c r="H17951" s="12">
        <v>4.4368407117627902</v>
      </c>
      <c r="I17951" s="20">
        <v>0.43709475933309699</v>
      </c>
      <c r="J17951" s="28">
        <v>0.66204262779770495</v>
      </c>
      <c r="K17951" s="29">
        <v>0.98289565623980701</v>
      </c>
    </row>
    <row r="17952" spans="1:11" x14ac:dyDescent="0.35">
      <c r="A17952" s="9" t="str">
        <f>HYPERLINK("http://www.ensembl.org/id/WBGene00194844", "WBGene00194844")</f>
        <v>WBGene00194844</v>
      </c>
      <c r="B17952" s="9"/>
      <c r="C17952" s="9"/>
      <c r="D17952" t="str">
        <f>"Y55F3C.13"</f>
        <v>Y55F3C.13</v>
      </c>
      <c r="F17952" t="s">
        <v>80</v>
      </c>
      <c r="H17952" s="12">
        <v>-3.5414225332506102</v>
      </c>
      <c r="I17952" s="20">
        <v>-0.70861836321379701</v>
      </c>
      <c r="J17952" s="28">
        <v>0.47856133767060699</v>
      </c>
      <c r="K17952" s="29">
        <v>0.98289565623980701</v>
      </c>
    </row>
    <row r="17953" spans="1:11" x14ac:dyDescent="0.35">
      <c r="A17953" s="9" t="str">
        <f>HYPERLINK("http://www.ensembl.org/id/WBGene00235287", "WBGene00235287")</f>
        <v>WBGene00235287</v>
      </c>
      <c r="B17953" s="9" t="str">
        <f>HYPERLINK("http://www.ncbi.nlm.nih.gov/gene/24105165", "24105165")</f>
        <v>24105165</v>
      </c>
      <c r="C17953" s="9"/>
      <c r="D17953" t="str">
        <f>"Y55F3C.17"</f>
        <v>Y55F3C.17</v>
      </c>
      <c r="E17953" t="s">
        <v>4217</v>
      </c>
      <c r="F17953" t="s">
        <v>11</v>
      </c>
      <c r="G17953" t="s">
        <v>962</v>
      </c>
      <c r="H17953" s="12">
        <v>9.6667605240403507</v>
      </c>
      <c r="I17953" s="20">
        <v>1.0089661203057501</v>
      </c>
      <c r="J17953" s="28">
        <v>0.31299088269406899</v>
      </c>
      <c r="K17953" s="29">
        <v>0.98289565623980701</v>
      </c>
    </row>
    <row r="17954" spans="1:11" x14ac:dyDescent="0.35">
      <c r="A17954" s="9" t="str">
        <f>HYPERLINK("http://www.ensembl.org/id/WBGene00044459", "WBGene00044459")</f>
        <v>WBGene00044459</v>
      </c>
      <c r="B17954" s="9" t="str">
        <f>HYPERLINK("http://www.ncbi.nlm.nih.gov/gene/3896809", "3896809")</f>
        <v>3896809</v>
      </c>
      <c r="C17954" s="9"/>
      <c r="D17954" t="str">
        <f>"Y55F3C.9"</f>
        <v>Y55F3C.9</v>
      </c>
      <c r="F17954" t="s">
        <v>11</v>
      </c>
      <c r="G17954" t="s">
        <v>5209</v>
      </c>
      <c r="H17954" s="12">
        <v>1.21594079341822</v>
      </c>
      <c r="I17954" s="20">
        <v>0.65680939076829103</v>
      </c>
      <c r="J17954" s="28">
        <v>0.51130348522319702</v>
      </c>
      <c r="K17954" s="29">
        <v>0.98289565623980701</v>
      </c>
    </row>
    <row r="17955" spans="1:11" x14ac:dyDescent="0.35">
      <c r="A17955" s="9" t="str">
        <f>HYPERLINK("http://www.ensembl.org/id/WBGene00013236", "WBGene00013236")</f>
        <v>WBGene00013236</v>
      </c>
      <c r="B17955" s="9" t="str">
        <f>HYPERLINK("http://www.ncbi.nlm.nih.gov/gene/176624", "176624")</f>
        <v>176624</v>
      </c>
      <c r="C17955" s="9" t="str">
        <f>HYPERLINK("http://www.ncbi.nlm.nih.gov/gene/51042", "51042")</f>
        <v>51042</v>
      </c>
      <c r="D17955" t="str">
        <f>"Y56A3A.18"</f>
        <v>Y56A3A.18</v>
      </c>
      <c r="E17955" t="s">
        <v>8062</v>
      </c>
      <c r="F17955" t="s">
        <v>11</v>
      </c>
      <c r="G17955" t="s">
        <v>51</v>
      </c>
      <c r="H17955" s="12">
        <v>-1.15919983210433</v>
      </c>
      <c r="I17955" s="20">
        <v>-0.69582371265449305</v>
      </c>
      <c r="J17955" s="28">
        <v>0.48653923716344</v>
      </c>
      <c r="K17955" s="29">
        <v>0.98289565623980701</v>
      </c>
    </row>
    <row r="17956" spans="1:11" x14ac:dyDescent="0.35">
      <c r="A17956" s="9" t="str">
        <f>HYPERLINK("http://www.ensembl.org/id/WBGene00013237", "WBGene00013237")</f>
        <v>WBGene00013237</v>
      </c>
      <c r="B17956" s="9" t="str">
        <f>HYPERLINK("http://www.ncbi.nlm.nih.gov/gene/176622", "176622")</f>
        <v>176622</v>
      </c>
      <c r="C17956" s="9" t="str">
        <f>HYPERLINK("http://www.ncbi.nlm.nih.gov/gene/4706", "4706")</f>
        <v>4706</v>
      </c>
      <c r="D17956" t="str">
        <f>"Y56A3A.19"</f>
        <v>Y56A3A.19</v>
      </c>
      <c r="E17956" t="s">
        <v>6807</v>
      </c>
      <c r="F17956" t="s">
        <v>11</v>
      </c>
      <c r="G17956" t="s">
        <v>6808</v>
      </c>
      <c r="H17956" s="12">
        <v>-1.0901994578549199</v>
      </c>
      <c r="I17956" s="20">
        <v>-0.42873238442549599</v>
      </c>
      <c r="J17956" s="28">
        <v>0.668117990344678</v>
      </c>
      <c r="K17956" s="29">
        <v>0.98289565623980701</v>
      </c>
    </row>
    <row r="17957" spans="1:11" x14ac:dyDescent="0.35">
      <c r="A17957" s="9" t="str">
        <f>HYPERLINK("http://www.ensembl.org/id/WBGene00013225", "WBGene00013225")</f>
        <v>WBGene00013225</v>
      </c>
      <c r="B17957" s="9" t="str">
        <f>HYPERLINK("http://www.ncbi.nlm.nih.gov/gene/176616", "176616")</f>
        <v>176616</v>
      </c>
      <c r="C17957" s="9" t="str">
        <f>HYPERLINK("http://www.ncbi.nlm.nih.gov/gene/51360", "51360")</f>
        <v>51360</v>
      </c>
      <c r="D17957" t="str">
        <f>"Y56A3A.2"</f>
        <v>Y56A3A.2</v>
      </c>
      <c r="F17957" t="s">
        <v>11</v>
      </c>
      <c r="G17957" t="s">
        <v>7110</v>
      </c>
      <c r="H17957" s="12">
        <v>-1.10717579469066</v>
      </c>
      <c r="I17957" s="20">
        <v>-0.55159177551253902</v>
      </c>
      <c r="J17957" s="28">
        <v>0.58122807255037201</v>
      </c>
      <c r="K17957" s="29">
        <v>0.98289565623980701</v>
      </c>
    </row>
    <row r="17958" spans="1:11" x14ac:dyDescent="0.35">
      <c r="A17958" s="9" t="str">
        <f>HYPERLINK("http://www.ensembl.org/id/WBGene00013240", "WBGene00013240")</f>
        <v>WBGene00013240</v>
      </c>
      <c r="B17958" s="9" t="str">
        <f>HYPERLINK("http://www.ncbi.nlm.nih.gov/gene/176632", "176632")</f>
        <v>176632</v>
      </c>
      <c r="C17958" s="9"/>
      <c r="D17958" t="str">
        <f>"Y56A3A.28"</f>
        <v>Y56A3A.28</v>
      </c>
      <c r="F17958" t="s">
        <v>11</v>
      </c>
      <c r="G17958" t="s">
        <v>6588</v>
      </c>
      <c r="H17958" s="12">
        <v>-1.0784894887227701</v>
      </c>
      <c r="I17958" s="20">
        <v>-0.33503949206786099</v>
      </c>
      <c r="J17958" s="28">
        <v>0.73759529572294702</v>
      </c>
      <c r="K17958" s="29">
        <v>0.98289565623980701</v>
      </c>
    </row>
    <row r="17959" spans="1:11" x14ac:dyDescent="0.35">
      <c r="A17959" s="9" t="str">
        <f>HYPERLINK("http://www.ensembl.org/id/WBGene00013243", "WBGene00013243")</f>
        <v>WBGene00013243</v>
      </c>
      <c r="B17959" s="9" t="str">
        <f>HYPERLINK("http://www.ncbi.nlm.nih.gov/gene/190330", "190330")</f>
        <v>190330</v>
      </c>
      <c r="C17959" s="9"/>
      <c r="D17959" t="str">
        <f>"Y56A3A.31"</f>
        <v>Y56A3A.31</v>
      </c>
      <c r="F17959" t="s">
        <v>11</v>
      </c>
      <c r="H17959" s="12">
        <v>-1.18252612501396</v>
      </c>
      <c r="I17959" s="20">
        <v>-0.81857314353404398</v>
      </c>
      <c r="J17959" s="28">
        <v>0.41302999487836001</v>
      </c>
      <c r="K17959" s="29">
        <v>0.98289565623980701</v>
      </c>
    </row>
    <row r="17960" spans="1:11" x14ac:dyDescent="0.35">
      <c r="A17960" s="9" t="str">
        <f>HYPERLINK("http://www.ensembl.org/id/WBGene00269438", "WBGene00269438")</f>
        <v>WBGene00269438</v>
      </c>
      <c r="B17960" s="9" t="str">
        <f>HYPERLINK("http://www.ncbi.nlm.nih.gov/gene/28661661", "28661661")</f>
        <v>28661661</v>
      </c>
      <c r="C17960" s="9"/>
      <c r="D17960" t="str">
        <f>"Y56A3A.41"</f>
        <v>Y56A3A.41</v>
      </c>
      <c r="F17960" t="s">
        <v>11</v>
      </c>
      <c r="G17960" t="s">
        <v>91</v>
      </c>
      <c r="H17960" s="12">
        <v>-4.0507796894090404</v>
      </c>
      <c r="I17960" s="20">
        <v>-0.473517207271621</v>
      </c>
      <c r="J17960" s="28">
        <v>0.63584422757043702</v>
      </c>
      <c r="K17960" s="29">
        <v>0.98289565623980701</v>
      </c>
    </row>
    <row r="17961" spans="1:11" x14ac:dyDescent="0.35">
      <c r="A17961" s="9" t="str">
        <f>HYPERLINK("http://www.ensembl.org/id/WBGene00013228", "WBGene00013228")</f>
        <v>WBGene00013228</v>
      </c>
      <c r="B17961" s="9" t="str">
        <f>HYPERLINK("http://www.ncbi.nlm.nih.gov/gene/176629", "176629")</f>
        <v>176629</v>
      </c>
      <c r="C17961" s="9"/>
      <c r="D17961" t="str">
        <f>"Y56A3A.7"</f>
        <v>Y56A3A.7</v>
      </c>
      <c r="F17961" t="s">
        <v>11</v>
      </c>
      <c r="G17961" t="s">
        <v>54</v>
      </c>
      <c r="H17961" s="12">
        <v>1.19399945945704</v>
      </c>
      <c r="I17961" s="20">
        <v>0.92994965682581698</v>
      </c>
      <c r="J17961" s="28">
        <v>0.35239715083761602</v>
      </c>
      <c r="K17961" s="29">
        <v>0.98289565623980701</v>
      </c>
    </row>
    <row r="17962" spans="1:11" x14ac:dyDescent="0.35">
      <c r="A17962" s="9" t="str">
        <f>HYPERLINK("http://www.ensembl.org/id/WBGene00013256", "WBGene00013256")</f>
        <v>WBGene00013256</v>
      </c>
      <c r="B17962" s="9" t="str">
        <f>HYPERLINK("http://www.ncbi.nlm.nih.gov/gene/174858", "174858")</f>
        <v>174858</v>
      </c>
      <c r="C17962" s="9"/>
      <c r="D17962" t="str">
        <f>"Y57A10A.13"</f>
        <v>Y57A10A.13</v>
      </c>
      <c r="F17962" t="s">
        <v>11</v>
      </c>
      <c r="G17962" t="s">
        <v>7997</v>
      </c>
      <c r="H17962" s="12">
        <v>-1.15506000854611</v>
      </c>
      <c r="I17962" s="20">
        <v>-0.71789795208941298</v>
      </c>
      <c r="J17962" s="28">
        <v>0.472820210693008</v>
      </c>
      <c r="K17962" s="29">
        <v>0.98289565623980701</v>
      </c>
    </row>
    <row r="17963" spans="1:11" x14ac:dyDescent="0.35">
      <c r="A17963" s="9" t="str">
        <f>HYPERLINK("http://www.ensembl.org/id/WBGene00013267", "WBGene00013267")</f>
        <v>WBGene00013267</v>
      </c>
      <c r="B17963" s="9" t="str">
        <f>HYPERLINK("http://www.ncbi.nlm.nih.gov/gene/174869", "174869")</f>
        <v>174869</v>
      </c>
      <c r="C17963" s="9"/>
      <c r="D17963" t="str">
        <f>"Y57A10A.27"</f>
        <v>Y57A10A.27</v>
      </c>
      <c r="F17963" t="s">
        <v>11</v>
      </c>
      <c r="H17963" s="12">
        <v>-1.30199659360831</v>
      </c>
      <c r="I17963" s="20">
        <v>-1.08605418434478</v>
      </c>
      <c r="J17963" s="28">
        <v>0.27745502056264898</v>
      </c>
      <c r="K17963" s="29">
        <v>0.98289565623980701</v>
      </c>
    </row>
    <row r="17964" spans="1:11" x14ac:dyDescent="0.35">
      <c r="A17964" s="9" t="str">
        <f>HYPERLINK("http://www.ensembl.org/id/WBGene00013269", "WBGene00013269")</f>
        <v>WBGene00013269</v>
      </c>
      <c r="B17964" s="9" t="str">
        <f>HYPERLINK("http://www.ncbi.nlm.nih.gov/gene/174870", "174870")</f>
        <v>174870</v>
      </c>
      <c r="C17964" s="9"/>
      <c r="D17964" t="str">
        <f>"Y57A10A.29"</f>
        <v>Y57A10A.29</v>
      </c>
      <c r="E17964" t="s">
        <v>8910</v>
      </c>
      <c r="F17964" t="s">
        <v>11</v>
      </c>
      <c r="G17964" t="s">
        <v>8911</v>
      </c>
      <c r="H17964" s="12">
        <v>-1.206940831929</v>
      </c>
      <c r="I17964" s="20">
        <v>-0.82844849042378699</v>
      </c>
      <c r="J17964" s="28">
        <v>0.40741655475104799</v>
      </c>
      <c r="K17964" s="29">
        <v>0.98289565623980701</v>
      </c>
    </row>
    <row r="17965" spans="1:11" x14ac:dyDescent="0.35">
      <c r="A17965" s="9" t="str">
        <f>HYPERLINK("http://www.ensembl.org/id/WBGene00044051", "WBGene00044051")</f>
        <v>WBGene00044051</v>
      </c>
      <c r="B17965" s="9"/>
      <c r="C17965" s="9"/>
      <c r="D17965" t="str">
        <f>"Y57A10A.37"</f>
        <v>Y57A10A.37</v>
      </c>
      <c r="F17965" t="s">
        <v>80</v>
      </c>
      <c r="H17965" s="12">
        <v>-3.3062271141133701</v>
      </c>
      <c r="I17965" s="20">
        <v>-0.366461905584539</v>
      </c>
      <c r="J17965" s="28">
        <v>0.71402043343558397</v>
      </c>
      <c r="K17965" s="29">
        <v>0.98289565623980701</v>
      </c>
    </row>
    <row r="17966" spans="1:11" x14ac:dyDescent="0.35">
      <c r="A17966" s="9" t="str">
        <f>HYPERLINK("http://www.ensembl.org/id/WBGene00013249", "WBGene00013249")</f>
        <v>WBGene00013249</v>
      </c>
      <c r="B17966" s="9" t="str">
        <f>HYPERLINK("http://www.ncbi.nlm.nih.gov/gene/190333", "190333")</f>
        <v>190333</v>
      </c>
      <c r="C17966" s="9"/>
      <c r="D17966" t="str">
        <f>"Y57A10A.4"</f>
        <v>Y57A10A.4</v>
      </c>
      <c r="F17966" t="s">
        <v>11</v>
      </c>
      <c r="H17966" s="12">
        <v>-1.98888306645159</v>
      </c>
      <c r="I17966" s="20">
        <v>-1.0232548502280601</v>
      </c>
      <c r="J17966" s="28">
        <v>0.30618736508621902</v>
      </c>
      <c r="K17966" s="29">
        <v>0.98289565623980701</v>
      </c>
    </row>
    <row r="17967" spans="1:11" x14ac:dyDescent="0.35">
      <c r="A17967" s="9" t="str">
        <f>HYPERLINK("http://www.ensembl.org/id/WBGene00197395", "WBGene00197395")</f>
        <v>WBGene00197395</v>
      </c>
      <c r="B17967" s="9"/>
      <c r="C17967" s="9"/>
      <c r="D17967" t="str">
        <f>"Y57A10A.40"</f>
        <v>Y57A10A.40</v>
      </c>
      <c r="F17967" t="s">
        <v>481</v>
      </c>
      <c r="H17967" s="12">
        <v>2.4578120077400301</v>
      </c>
      <c r="I17967" s="20">
        <v>0.26093350314551</v>
      </c>
      <c r="J17967" s="28">
        <v>0.79414378780213601</v>
      </c>
      <c r="K17967" s="29">
        <v>0.98289565623980701</v>
      </c>
    </row>
    <row r="17968" spans="1:11" x14ac:dyDescent="0.35">
      <c r="A17968" s="9" t="str">
        <f>HYPERLINK("http://www.ensembl.org/id/WBGene00198206", "WBGene00198206")</f>
        <v>WBGene00198206</v>
      </c>
      <c r="B17968" s="9"/>
      <c r="C17968" s="9"/>
      <c r="D17968" t="str">
        <f>"Y57A10A.41"</f>
        <v>Y57A10A.41</v>
      </c>
      <c r="F17968" t="s">
        <v>481</v>
      </c>
      <c r="H17968" s="12">
        <v>2.3893468495514898</v>
      </c>
      <c r="I17968" s="20">
        <v>0.25323547253672701</v>
      </c>
      <c r="J17968" s="28">
        <v>0.80008625651646104</v>
      </c>
      <c r="K17968" s="29">
        <v>0.98289565623980701</v>
      </c>
    </row>
    <row r="17969" spans="1:11" x14ac:dyDescent="0.35">
      <c r="A17969" s="9" t="str">
        <f>HYPERLINK("http://www.ensembl.org/id/WBGene00013251", "WBGene00013251")</f>
        <v>WBGene00013251</v>
      </c>
      <c r="B17969" s="9"/>
      <c r="C17969" s="9"/>
      <c r="D17969" t="str">
        <f>"Y57A10A.6"</f>
        <v>Y57A10A.6</v>
      </c>
      <c r="F17969" t="s">
        <v>80</v>
      </c>
      <c r="H17969" s="12">
        <v>-1.3935542748128</v>
      </c>
      <c r="I17969" s="20">
        <v>-0.51706918193055396</v>
      </c>
      <c r="J17969" s="28">
        <v>0.60510786585516696</v>
      </c>
      <c r="K17969" s="29">
        <v>0.98289565623980701</v>
      </c>
    </row>
    <row r="17970" spans="1:11" x14ac:dyDescent="0.35">
      <c r="A17970" s="9" t="str">
        <f>HYPERLINK("http://www.ensembl.org/id/WBGene00013274", "WBGene00013274")</f>
        <v>WBGene00013274</v>
      </c>
      <c r="B17970" s="9" t="str">
        <f>HYPERLINK("http://www.ncbi.nlm.nih.gov/gene/190343", "190343")</f>
        <v>190343</v>
      </c>
      <c r="C17970" s="9"/>
      <c r="D17970" t="str">
        <f>"Y57A10B.2"</f>
        <v>Y57A10B.2</v>
      </c>
      <c r="F17970" t="s">
        <v>11</v>
      </c>
      <c r="H17970" s="12">
        <v>1.23633340547321</v>
      </c>
      <c r="I17970" s="20">
        <v>0.37094617532098301</v>
      </c>
      <c r="J17970" s="28">
        <v>0.71067762184191396</v>
      </c>
      <c r="K17970" s="29">
        <v>0.98289565623980701</v>
      </c>
    </row>
    <row r="17971" spans="1:11" x14ac:dyDescent="0.35">
      <c r="A17971" s="9" t="str">
        <f>HYPERLINK("http://www.ensembl.org/id/WBGene00013279", "WBGene00013279")</f>
        <v>WBGene00013279</v>
      </c>
      <c r="B17971" s="9" t="str">
        <f>HYPERLINK("http://www.ncbi.nlm.nih.gov/gene/190346", "190346")</f>
        <v>190346</v>
      </c>
      <c r="C17971" s="9"/>
      <c r="D17971" t="str">
        <f>"Y57A10B.7"</f>
        <v>Y57A10B.7</v>
      </c>
      <c r="F17971" t="s">
        <v>11</v>
      </c>
      <c r="H17971" s="12">
        <v>1.9743271747933899</v>
      </c>
      <c r="I17971" s="20">
        <v>0.47003668382763603</v>
      </c>
      <c r="J17971" s="28">
        <v>0.63832880900653899</v>
      </c>
      <c r="K17971" s="29">
        <v>0.98289565623980701</v>
      </c>
    </row>
    <row r="17972" spans="1:11" x14ac:dyDescent="0.35">
      <c r="A17972" s="9" t="str">
        <f>HYPERLINK("http://www.ensembl.org/id/WBGene00195644", "WBGene00195644")</f>
        <v>WBGene00195644</v>
      </c>
      <c r="B17972" s="9"/>
      <c r="C17972" s="9"/>
      <c r="D17972" t="str">
        <f>"Y57A10B.8"</f>
        <v>Y57A10B.8</v>
      </c>
      <c r="F17972" t="s">
        <v>481</v>
      </c>
      <c r="H17972" s="12">
        <v>3.27870548345888</v>
      </c>
      <c r="I17972" s="20">
        <v>0.839754387225363</v>
      </c>
      <c r="J17972" s="28">
        <v>0.40104611276896801</v>
      </c>
      <c r="K17972" s="29">
        <v>0.98289565623980701</v>
      </c>
    </row>
    <row r="17973" spans="1:11" x14ac:dyDescent="0.35">
      <c r="A17973" s="9" t="str">
        <f>HYPERLINK("http://www.ensembl.org/id/WBGene00013280", "WBGene00013280")</f>
        <v>WBGene00013280</v>
      </c>
      <c r="B17973" s="9" t="str">
        <f>HYPERLINK("http://www.ncbi.nlm.nih.gov/gene/174880", "174880")</f>
        <v>174880</v>
      </c>
      <c r="C17973" s="9"/>
      <c r="D17973" t="str">
        <f>"Y57A10C.1"</f>
        <v>Y57A10C.1</v>
      </c>
      <c r="F17973" t="s">
        <v>11</v>
      </c>
      <c r="G17973" t="s">
        <v>25</v>
      </c>
      <c r="H17973" s="12">
        <v>-1.27666828512719</v>
      </c>
      <c r="I17973" s="20">
        <v>-0.417113036128686</v>
      </c>
      <c r="J17973" s="28">
        <v>0.67659573016757402</v>
      </c>
      <c r="K17973" s="29">
        <v>0.98289565623980701</v>
      </c>
    </row>
    <row r="17974" spans="1:11" x14ac:dyDescent="0.35">
      <c r="A17974" s="9" t="str">
        <f>HYPERLINK("http://www.ensembl.org/id/WBGene00013288", "WBGene00013288")</f>
        <v>WBGene00013288</v>
      </c>
      <c r="B17974" s="9" t="str">
        <f>HYPERLINK("http://www.ncbi.nlm.nih.gov/gene/190353", "190353")</f>
        <v>190353</v>
      </c>
      <c r="C17974" s="9"/>
      <c r="D17974" t="str">
        <f>"Y57A10C.10"</f>
        <v>Y57A10C.10</v>
      </c>
      <c r="F17974" t="s">
        <v>11</v>
      </c>
      <c r="G17974" t="s">
        <v>25</v>
      </c>
      <c r="H17974" s="12">
        <v>2.4578120077400301</v>
      </c>
      <c r="I17974" s="20">
        <v>0.26093350314551</v>
      </c>
      <c r="J17974" s="28">
        <v>0.79414378780213601</v>
      </c>
      <c r="K17974" s="29">
        <v>0.98289565623980701</v>
      </c>
    </row>
    <row r="17975" spans="1:11" x14ac:dyDescent="0.35">
      <c r="A17975" s="9" t="str">
        <f>HYPERLINK("http://www.ensembl.org/id/WBGene00044047", "WBGene00044047")</f>
        <v>WBGene00044047</v>
      </c>
      <c r="B17975" s="9" t="str">
        <f>HYPERLINK("http://www.ncbi.nlm.nih.gov/gene/3565453", "3565453")</f>
        <v>3565453</v>
      </c>
      <c r="C17975" s="9"/>
      <c r="D17975" t="str">
        <f>"Y57A10C.11"</f>
        <v>Y57A10C.11</v>
      </c>
      <c r="F17975" t="s">
        <v>11</v>
      </c>
      <c r="G17975" t="s">
        <v>25</v>
      </c>
      <c r="H17975" s="12">
        <v>1.3837174437636801</v>
      </c>
      <c r="I17975" s="20">
        <v>0.47529943519686602</v>
      </c>
      <c r="J17975" s="28">
        <v>0.63457356160887601</v>
      </c>
      <c r="K17975" s="29">
        <v>0.98289565623980701</v>
      </c>
    </row>
    <row r="17976" spans="1:11" x14ac:dyDescent="0.35">
      <c r="A17976" s="9" t="str">
        <f>HYPERLINK("http://www.ensembl.org/id/WBGene00013287", "WBGene00013287")</f>
        <v>WBGene00013287</v>
      </c>
      <c r="B17976" s="9" t="str">
        <f>HYPERLINK("http://www.ncbi.nlm.nih.gov/gene/174882", "174882")</f>
        <v>174882</v>
      </c>
      <c r="C17976" s="9"/>
      <c r="D17976" t="str">
        <f>"Y57A10C.9"</f>
        <v>Y57A10C.9</v>
      </c>
      <c r="F17976" t="s">
        <v>11</v>
      </c>
      <c r="G17976" t="s">
        <v>25</v>
      </c>
      <c r="H17976" s="12">
        <v>1.5463982002137</v>
      </c>
      <c r="I17976" s="20">
        <v>0.66179325397983202</v>
      </c>
      <c r="J17976" s="28">
        <v>0.50810373010593302</v>
      </c>
      <c r="K17976" s="29">
        <v>0.98289565623980701</v>
      </c>
    </row>
    <row r="17977" spans="1:11" x14ac:dyDescent="0.35">
      <c r="A17977" s="9" t="str">
        <f>HYPERLINK("http://www.ensembl.org/id/WBGene00014591", "WBGene00014591")</f>
        <v>WBGene00014591</v>
      </c>
      <c r="B17977" s="9"/>
      <c r="C17977" s="9"/>
      <c r="D17977" t="str">
        <f>"Y57A10C.t1"</f>
        <v>Y57A10C.t1</v>
      </c>
      <c r="F17977" t="s">
        <v>4208</v>
      </c>
      <c r="H17977" s="12">
        <v>2.3893468495514898</v>
      </c>
      <c r="I17977" s="20">
        <v>0.25323547253672701</v>
      </c>
      <c r="J17977" s="28">
        <v>0.80008625651646104</v>
      </c>
      <c r="K17977" s="29">
        <v>0.98289565623980701</v>
      </c>
    </row>
    <row r="17978" spans="1:11" x14ac:dyDescent="0.35">
      <c r="A17978" s="9" t="str">
        <f>HYPERLINK("http://www.ensembl.org/id/WBGene00023382", "WBGene00023382")</f>
        <v>WBGene00023382</v>
      </c>
      <c r="B17978" s="9"/>
      <c r="C17978" s="9"/>
      <c r="D17978" t="str">
        <f>"Y57E12AL.3"</f>
        <v>Y57E12AL.3</v>
      </c>
      <c r="F17978" t="s">
        <v>80</v>
      </c>
      <c r="H17978" s="12">
        <v>4.4368407117627902</v>
      </c>
      <c r="I17978" s="20">
        <v>0.43709475933309699</v>
      </c>
      <c r="J17978" s="28">
        <v>0.66204262779770495</v>
      </c>
      <c r="K17978" s="29">
        <v>0.98289565623980701</v>
      </c>
    </row>
    <row r="17979" spans="1:11" x14ac:dyDescent="0.35">
      <c r="A17979" s="9" t="str">
        <f>HYPERLINK("http://www.ensembl.org/id/WBGene00021958", "WBGene00021958")</f>
        <v>WBGene00021958</v>
      </c>
      <c r="B17979" s="9" t="str">
        <f>HYPERLINK("http://www.ncbi.nlm.nih.gov/gene/190356", "190356")</f>
        <v>190356</v>
      </c>
      <c r="C17979" s="9"/>
      <c r="D17979" t="str">
        <f>"Y57E12AL.4"</f>
        <v>Y57E12AL.4</v>
      </c>
      <c r="F17979" t="s">
        <v>11</v>
      </c>
      <c r="H17979" s="12">
        <v>3.0465737357671099</v>
      </c>
      <c r="I17979" s="20">
        <v>1.01752627212314</v>
      </c>
      <c r="J17979" s="28">
        <v>0.308903140743086</v>
      </c>
      <c r="K17979" s="29">
        <v>0.98289565623980701</v>
      </c>
    </row>
    <row r="17980" spans="1:11" x14ac:dyDescent="0.35">
      <c r="A17980" s="9" t="str">
        <f>HYPERLINK("http://www.ensembl.org/id/WBGene00021959", "WBGene00021959")</f>
        <v>WBGene00021959</v>
      </c>
      <c r="B17980" s="9" t="str">
        <f>HYPERLINK("http://www.ncbi.nlm.nih.gov/gene/179092", "179092")</f>
        <v>179092</v>
      </c>
      <c r="C17980" s="9"/>
      <c r="D17980" t="str">
        <f>"Y57E12AL.6"</f>
        <v>Y57E12AL.6</v>
      </c>
      <c r="F17980" t="s">
        <v>11</v>
      </c>
      <c r="G17980" t="s">
        <v>8469</v>
      </c>
      <c r="H17980" s="12">
        <v>-1.1793978471956801</v>
      </c>
      <c r="I17980" s="20">
        <v>-0.85260080097895496</v>
      </c>
      <c r="J17980" s="28">
        <v>0.39388071825318999</v>
      </c>
      <c r="K17980" s="29">
        <v>0.98289565623980701</v>
      </c>
    </row>
    <row r="17981" spans="1:11" x14ac:dyDescent="0.35">
      <c r="A17981" s="9" t="str">
        <f>HYPERLINK("http://www.ensembl.org/id/WBGene00021960", "WBGene00021960")</f>
        <v>WBGene00021960</v>
      </c>
      <c r="B17981" s="9" t="str">
        <f>HYPERLINK("http://www.ncbi.nlm.nih.gov/gene/179094", "179094")</f>
        <v>179094</v>
      </c>
      <c r="C17981" s="9"/>
      <c r="D17981" t="str">
        <f>"Y57E12AM.1"</f>
        <v>Y57E12AM.1</v>
      </c>
      <c r="E17981" t="s">
        <v>6843</v>
      </c>
      <c r="F17981" t="s">
        <v>11</v>
      </c>
      <c r="G17981" t="s">
        <v>6844</v>
      </c>
      <c r="H17981" s="12">
        <v>-1.0923244750971699</v>
      </c>
      <c r="I17981" s="20">
        <v>-0.45778100293947499</v>
      </c>
      <c r="J17981" s="28">
        <v>0.64710978536322505</v>
      </c>
      <c r="K17981" s="29">
        <v>0.98289565623980701</v>
      </c>
    </row>
    <row r="17982" spans="1:11" x14ac:dyDescent="0.35">
      <c r="A17982" s="9" t="str">
        <f>HYPERLINK("http://www.ensembl.org/id/WBGene00235311", "WBGene00235311")</f>
        <v>WBGene00235311</v>
      </c>
      <c r="B17982" s="9" t="str">
        <f>HYPERLINK("http://www.ncbi.nlm.nih.gov/gene/24105169", "24105169")</f>
        <v>24105169</v>
      </c>
      <c r="C17982" s="9"/>
      <c r="D17982" t="str">
        <f>"Y57E12B.11"</f>
        <v>Y57E12B.11</v>
      </c>
      <c r="F17982" t="s">
        <v>11</v>
      </c>
      <c r="G17982" t="s">
        <v>25</v>
      </c>
      <c r="H17982" s="12">
        <v>-10.994907597368501</v>
      </c>
      <c r="I17982" s="20">
        <v>-0.714795004154681</v>
      </c>
      <c r="J17982" s="28">
        <v>0.47473572263588099</v>
      </c>
      <c r="K17982" s="29">
        <v>0.98289565623980701</v>
      </c>
    </row>
    <row r="17983" spans="1:11" x14ac:dyDescent="0.35">
      <c r="A17983" s="9" t="str">
        <f>HYPERLINK("http://www.ensembl.org/id/WBGene00235109", "WBGene00235109")</f>
        <v>WBGene00235109</v>
      </c>
      <c r="B17983" s="9"/>
      <c r="C17983" s="9"/>
      <c r="D17983" t="str">
        <f>"Y57G11A.226"</f>
        <v>Y57G11A.226</v>
      </c>
      <c r="F17983" t="s">
        <v>481</v>
      </c>
      <c r="H17983" s="12">
        <v>1.86335652515904</v>
      </c>
      <c r="I17983" s="20">
        <v>0.92085442669385398</v>
      </c>
      <c r="J17983" s="28">
        <v>0.35712643474670402</v>
      </c>
      <c r="K17983" s="29">
        <v>0.98289565623980701</v>
      </c>
    </row>
    <row r="17984" spans="1:11" x14ac:dyDescent="0.35">
      <c r="A17984" s="9" t="str">
        <f>HYPERLINK("http://www.ensembl.org/id/WBGene00013295", "WBGene00013295")</f>
        <v>WBGene00013295</v>
      </c>
      <c r="B17984" s="9" t="str">
        <f>HYPERLINK("http://www.ncbi.nlm.nih.gov/gene/190366", "190366")</f>
        <v>190366</v>
      </c>
      <c r="C17984" s="9"/>
      <c r="D17984" t="str">
        <f>"Y57G11B.2"</f>
        <v>Y57G11B.2</v>
      </c>
      <c r="F17984" t="s">
        <v>11</v>
      </c>
      <c r="H17984" s="12">
        <v>-1.2134621065834701</v>
      </c>
      <c r="I17984" s="20">
        <v>-1.01531794077492</v>
      </c>
      <c r="J17984" s="28">
        <v>0.30995429503830602</v>
      </c>
      <c r="K17984" s="29">
        <v>0.98289565623980701</v>
      </c>
    </row>
    <row r="17985" spans="1:11" x14ac:dyDescent="0.35">
      <c r="A17985" s="9" t="str">
        <f>HYPERLINK("http://www.ensembl.org/id/WBGene00013296", "WBGene00013296")</f>
        <v>WBGene00013296</v>
      </c>
      <c r="B17985" s="9" t="str">
        <f>HYPERLINK("http://www.ncbi.nlm.nih.gov/gene/190367", "190367")</f>
        <v>190367</v>
      </c>
      <c r="C17985" s="9"/>
      <c r="D17985" t="str">
        <f>"Y57G11B.3"</f>
        <v>Y57G11B.3</v>
      </c>
      <c r="F17985" t="s">
        <v>11</v>
      </c>
      <c r="H17985" s="12">
        <v>1.2444894320947499</v>
      </c>
      <c r="I17985" s="20">
        <v>0.82734673470900399</v>
      </c>
      <c r="J17985" s="28">
        <v>0.408040561818102</v>
      </c>
      <c r="K17985" s="29">
        <v>0.98289565623980701</v>
      </c>
    </row>
    <row r="17986" spans="1:11" x14ac:dyDescent="0.35">
      <c r="A17986" s="9" t="str">
        <f>HYPERLINK("http://www.ensembl.org/id/WBGene00013298", "WBGene00013298")</f>
        <v>WBGene00013298</v>
      </c>
      <c r="B17986" s="9" t="str">
        <f>HYPERLINK("http://www.ncbi.nlm.nih.gov/gene/3565690", "3565690")</f>
        <v>3565690</v>
      </c>
      <c r="C17986" s="9"/>
      <c r="D17986" t="str">
        <f>"Y57G11B.6"</f>
        <v>Y57G11B.6</v>
      </c>
      <c r="F17986" t="s">
        <v>11</v>
      </c>
      <c r="H17986" s="12">
        <v>1.44016711348148</v>
      </c>
      <c r="I17986" s="20">
        <v>0.34671018047826302</v>
      </c>
      <c r="J17986" s="28">
        <v>0.72880906119206901</v>
      </c>
      <c r="K17986" s="29">
        <v>0.98289565623980701</v>
      </c>
    </row>
    <row r="17987" spans="1:11" x14ac:dyDescent="0.35">
      <c r="A17987" s="9" t="str">
        <f>HYPERLINK("http://www.ensembl.org/id/WBGene00045061", "WBGene00045061")</f>
        <v>WBGene00045061</v>
      </c>
      <c r="B17987" s="9" t="str">
        <f>HYPERLINK("http://www.ncbi.nlm.nih.gov/gene/13202193", "13202193")</f>
        <v>13202193</v>
      </c>
      <c r="C17987" s="9"/>
      <c r="D17987" t="str">
        <f>"Y57G11B.8"</f>
        <v>Y57G11B.8</v>
      </c>
      <c r="F17987" t="s">
        <v>11</v>
      </c>
      <c r="H17987" s="12">
        <v>2.0782864323862702</v>
      </c>
      <c r="I17987" s="20">
        <v>0.67414108320630295</v>
      </c>
      <c r="J17987" s="28">
        <v>0.50022162245626101</v>
      </c>
      <c r="K17987" s="29">
        <v>0.98289565623980701</v>
      </c>
    </row>
    <row r="17988" spans="1:11" x14ac:dyDescent="0.35">
      <c r="A17988" s="9" t="str">
        <f>HYPERLINK("http://www.ensembl.org/id/WBGene00194649", "WBGene00194649")</f>
        <v>WBGene00194649</v>
      </c>
      <c r="B17988" s="9" t="str">
        <f>HYPERLINK("http://www.ncbi.nlm.nih.gov/gene/13203002", "13203002")</f>
        <v>13203002</v>
      </c>
      <c r="C17988" s="9"/>
      <c r="D17988" t="str">
        <f>"Y57G11C.1130"</f>
        <v>Y57G11C.1130</v>
      </c>
      <c r="F17988" t="s">
        <v>11</v>
      </c>
      <c r="H17988" s="12">
        <v>1.3097616235615599</v>
      </c>
      <c r="I17988" s="20">
        <v>0.44292563670649598</v>
      </c>
      <c r="J17988" s="28">
        <v>0.65781952338793803</v>
      </c>
      <c r="K17988" s="29">
        <v>0.98289565623980701</v>
      </c>
    </row>
    <row r="17989" spans="1:11" x14ac:dyDescent="0.35">
      <c r="A17989" s="9" t="str">
        <f>HYPERLINK("http://www.ensembl.org/id/WBGene00195043", "WBGene00195043")</f>
        <v>WBGene00195043</v>
      </c>
      <c r="B17989" s="9"/>
      <c r="C17989" s="9"/>
      <c r="D17989" t="str">
        <f>"Y57G11C.1135"</f>
        <v>Y57G11C.1135</v>
      </c>
      <c r="F17989" t="s">
        <v>481</v>
      </c>
      <c r="H17989" s="12">
        <v>1.38286645594208</v>
      </c>
      <c r="I17989" s="20">
        <v>0.86977690183132605</v>
      </c>
      <c r="J17989" s="28">
        <v>0.38442233670352299</v>
      </c>
      <c r="K17989" s="29">
        <v>0.98289565623980701</v>
      </c>
    </row>
    <row r="17990" spans="1:11" x14ac:dyDescent="0.35">
      <c r="A17990" s="9" t="str">
        <f>HYPERLINK("http://www.ensembl.org/id/WBGene00206490", "WBGene00206490")</f>
        <v>WBGene00206490</v>
      </c>
      <c r="B17990" s="9" t="str">
        <f>HYPERLINK("http://www.ncbi.nlm.nih.gov/gene/13203014", "13203014")</f>
        <v>13203014</v>
      </c>
      <c r="C17990" s="9"/>
      <c r="D17990" t="str">
        <f>"Y57G11C.1142"</f>
        <v>Y57G11C.1142</v>
      </c>
      <c r="F17990" t="s">
        <v>11</v>
      </c>
      <c r="H17990" s="12">
        <v>7.7332001203887399</v>
      </c>
      <c r="I17990" s="20">
        <v>0.82261633065247097</v>
      </c>
      <c r="J17990" s="28">
        <v>0.41072620892744899</v>
      </c>
      <c r="K17990" s="29">
        <v>0.98289565623980701</v>
      </c>
    </row>
    <row r="17991" spans="1:11" x14ac:dyDescent="0.35">
      <c r="A17991" s="9" t="str">
        <f>HYPERLINK("http://www.ensembl.org/id/WBGene00219443", "WBGene00219443")</f>
        <v>WBGene00219443</v>
      </c>
      <c r="B17991" s="9" t="str">
        <f>HYPERLINK("http://www.ncbi.nlm.nih.gov/gene/24105173", "24105173")</f>
        <v>24105173</v>
      </c>
      <c r="C17991" s="9"/>
      <c r="D17991" t="str">
        <f>"Y57G11C.1144"</f>
        <v>Y57G11C.1144</v>
      </c>
      <c r="F17991" t="s">
        <v>11</v>
      </c>
      <c r="H17991" s="12">
        <v>-1.599389084722</v>
      </c>
      <c r="I17991" s="20">
        <v>-0.30403403899494402</v>
      </c>
      <c r="J17991" s="28">
        <v>0.76110195852086404</v>
      </c>
      <c r="K17991" s="29">
        <v>0.98289565623980701</v>
      </c>
    </row>
    <row r="17992" spans="1:11" x14ac:dyDescent="0.35">
      <c r="A17992" s="9" t="str">
        <f>HYPERLINK("http://www.ensembl.org/id/WBGene00013310", "WBGene00013310")</f>
        <v>WBGene00013310</v>
      </c>
      <c r="B17992" s="9" t="str">
        <f>HYPERLINK("http://www.ncbi.nlm.nih.gov/gene/178406", "178406")</f>
        <v>178406</v>
      </c>
      <c r="C17992" s="9"/>
      <c r="D17992" t="str">
        <f>"Y57G11C.14"</f>
        <v>Y57G11C.14</v>
      </c>
      <c r="F17992" t="s">
        <v>11</v>
      </c>
      <c r="H17992" s="12">
        <v>-1.4523008740093899</v>
      </c>
      <c r="I17992" s="20">
        <v>-0.68745169753437796</v>
      </c>
      <c r="J17992" s="28">
        <v>0.49179812926247601</v>
      </c>
      <c r="K17992" s="29">
        <v>0.98289565623980701</v>
      </c>
    </row>
    <row r="17993" spans="1:11" x14ac:dyDescent="0.35">
      <c r="A17993" s="9" t="str">
        <f>HYPERLINK("http://www.ensembl.org/id/WBGene00013313", "WBGene00013313")</f>
        <v>WBGene00013313</v>
      </c>
      <c r="B17993" s="9"/>
      <c r="C17993" s="9"/>
      <c r="D17993" t="str">
        <f>"Y57G11C.18"</f>
        <v>Y57G11C.18</v>
      </c>
      <c r="F17993" t="s">
        <v>80</v>
      </c>
      <c r="H17993" s="12">
        <v>-2.4991590031922399</v>
      </c>
      <c r="I17993" s="20">
        <v>-0.26577412737581302</v>
      </c>
      <c r="J17993" s="28">
        <v>0.79041317015736101</v>
      </c>
      <c r="K17993" s="29">
        <v>0.98289565623980701</v>
      </c>
    </row>
    <row r="17994" spans="1:11" x14ac:dyDescent="0.35">
      <c r="A17994" s="9" t="str">
        <f>HYPERLINK("http://www.ensembl.org/id/WBGene00013316", "WBGene00013316")</f>
        <v>WBGene00013316</v>
      </c>
      <c r="B17994" s="9"/>
      <c r="C17994" s="9"/>
      <c r="D17994" t="str">
        <f>"Y57G11C.21"</f>
        <v>Y57G11C.21</v>
      </c>
      <c r="F17994" t="s">
        <v>80</v>
      </c>
      <c r="H17994" s="12">
        <v>-7.7904337984490803</v>
      </c>
      <c r="I17994" s="20">
        <v>-0.60901310058451197</v>
      </c>
      <c r="J17994" s="28">
        <v>0.54251575542982</v>
      </c>
      <c r="K17994" s="29">
        <v>0.98289565623980701</v>
      </c>
    </row>
    <row r="17995" spans="1:11" x14ac:dyDescent="0.35">
      <c r="A17995" s="9" t="str">
        <f>HYPERLINK("http://www.ensembl.org/id/WBGene00013317", "WBGene00013317")</f>
        <v>WBGene00013317</v>
      </c>
      <c r="B17995" s="9" t="str">
        <f>HYPERLINK("http://www.ncbi.nlm.nih.gov/gene/178409", "178409")</f>
        <v>178409</v>
      </c>
      <c r="C17995" s="9" t="str">
        <f>HYPERLINK("http://www.ncbi.nlm.nih.gov/gene/9463", "9463")</f>
        <v>9463</v>
      </c>
      <c r="D17995" t="str">
        <f>"Y57G11C.22"</f>
        <v>Y57G11C.22</v>
      </c>
      <c r="F17995" t="s">
        <v>11</v>
      </c>
      <c r="G17995" t="s">
        <v>5121</v>
      </c>
      <c r="H17995" s="12">
        <v>1.2350475047004199</v>
      </c>
      <c r="I17995" s="20">
        <v>0.96742054240368403</v>
      </c>
      <c r="J17995" s="28">
        <v>0.33333384487741102</v>
      </c>
      <c r="K17995" s="29">
        <v>0.98289565623980701</v>
      </c>
    </row>
    <row r="17996" spans="1:11" x14ac:dyDescent="0.35">
      <c r="A17996" s="9" t="str">
        <f>HYPERLINK("http://www.ensembl.org/id/WBGene00014923", "WBGene00014923")</f>
        <v>WBGene00014923</v>
      </c>
      <c r="B17996" s="9"/>
      <c r="C17996" s="9"/>
      <c r="D17996" t="str">
        <f>"Y57G11C.26"</f>
        <v>Y57G11C.26</v>
      </c>
      <c r="F17996" t="s">
        <v>80</v>
      </c>
      <c r="H17996" s="12">
        <v>-2.4991590031922399</v>
      </c>
      <c r="I17996" s="20">
        <v>-0.26577412737581302</v>
      </c>
      <c r="J17996" s="28">
        <v>0.79041317015736101</v>
      </c>
      <c r="K17996" s="29">
        <v>0.98289565623980701</v>
      </c>
    </row>
    <row r="17997" spans="1:11" x14ac:dyDescent="0.35">
      <c r="A17997" s="9" t="str">
        <f>HYPERLINK("http://www.ensembl.org/id/WBGene00014924", "WBGene00014924")</f>
        <v>WBGene00014924</v>
      </c>
      <c r="B17997" s="9" t="str">
        <f>HYPERLINK("http://www.ncbi.nlm.nih.gov/gene/13203519", "13203519")</f>
        <v>13203519</v>
      </c>
      <c r="C17997" s="9"/>
      <c r="D17997" t="str">
        <f>"Y57G11C.28"</f>
        <v>Y57G11C.28</v>
      </c>
      <c r="F17997" t="s">
        <v>11</v>
      </c>
      <c r="G17997" t="s">
        <v>25</v>
      </c>
      <c r="H17997" s="12">
        <v>-1.4869565963248901</v>
      </c>
      <c r="I17997" s="20">
        <v>-0.48144109100486199</v>
      </c>
      <c r="J17997" s="28">
        <v>0.63020303825560298</v>
      </c>
      <c r="K17997" s="29">
        <v>0.98289565623980701</v>
      </c>
    </row>
    <row r="17998" spans="1:11" x14ac:dyDescent="0.35">
      <c r="A17998" s="9" t="str">
        <f>HYPERLINK("http://www.ensembl.org/id/WBGene00014925", "WBGene00014925")</f>
        <v>WBGene00014925</v>
      </c>
      <c r="B17998" s="9"/>
      <c r="C17998" s="9"/>
      <c r="D17998" t="str">
        <f>"Y57G11C.29"</f>
        <v>Y57G11C.29</v>
      </c>
      <c r="F17998" t="s">
        <v>80</v>
      </c>
      <c r="H17998" s="12">
        <v>-1.55002911115911</v>
      </c>
      <c r="I17998" s="20">
        <v>-0.41312624756291699</v>
      </c>
      <c r="J17998" s="28">
        <v>0.67951411982441701</v>
      </c>
      <c r="K17998" s="29">
        <v>0.98289565623980701</v>
      </c>
    </row>
    <row r="17999" spans="1:11" x14ac:dyDescent="0.35">
      <c r="A17999" s="9" t="str">
        <f>HYPERLINK("http://www.ensembl.org/id/WBGene00013301", "WBGene00013301")</f>
        <v>WBGene00013301</v>
      </c>
      <c r="B17999" s="9" t="str">
        <f>HYPERLINK("http://www.ncbi.nlm.nih.gov/gene/178398", "178398")</f>
        <v>178398</v>
      </c>
      <c r="C17999" s="9"/>
      <c r="D17999" t="str">
        <f>"Y57G11C.3"</f>
        <v>Y57G11C.3</v>
      </c>
      <c r="E17999" t="s">
        <v>7799</v>
      </c>
      <c r="F17999" t="s">
        <v>11</v>
      </c>
      <c r="G17999" t="s">
        <v>7800</v>
      </c>
      <c r="H17999" s="12">
        <v>-1.1452919369711201</v>
      </c>
      <c r="I17999" s="20">
        <v>-0.71278835553570696</v>
      </c>
      <c r="J17999" s="28">
        <v>0.47597673225922299</v>
      </c>
      <c r="K17999" s="29">
        <v>0.98289565623980701</v>
      </c>
    </row>
    <row r="18000" spans="1:11" x14ac:dyDescent="0.35">
      <c r="A18000" s="9" t="str">
        <f>HYPERLINK("http://www.ensembl.org/id/WBGene00013322", "WBGene00013322")</f>
        <v>WBGene00013322</v>
      </c>
      <c r="B18000" s="9" t="str">
        <f>HYPERLINK("http://www.ncbi.nlm.nih.gov/gene/178393", "178393")</f>
        <v>178393</v>
      </c>
      <c r="C18000" s="9"/>
      <c r="D18000" t="str">
        <f>"Y57G11C.32"</f>
        <v>Y57G11C.32</v>
      </c>
      <c r="F18000" t="s">
        <v>11</v>
      </c>
      <c r="H18000" s="12">
        <v>1.26842435636051</v>
      </c>
      <c r="I18000" s="20">
        <v>0.581798230658777</v>
      </c>
      <c r="J18000" s="28">
        <v>0.56070259598884598</v>
      </c>
      <c r="K18000" s="29">
        <v>0.98289565623980701</v>
      </c>
    </row>
    <row r="18001" spans="1:11" x14ac:dyDescent="0.35">
      <c r="A18001" s="9" t="str">
        <f>HYPERLINK("http://www.ensembl.org/id/WBGene00013323", "WBGene00013323")</f>
        <v>WBGene00013323</v>
      </c>
      <c r="B18001" s="9" t="str">
        <f>HYPERLINK("http://www.ncbi.nlm.nih.gov/gene/178394", "178394")</f>
        <v>178394</v>
      </c>
      <c r="C18001" s="9" t="str">
        <f>HYPERLINK("http://www.ncbi.nlm.nih.gov/gene/51125", "51125")</f>
        <v>51125</v>
      </c>
      <c r="D18001" t="str">
        <f>"Y57G11C.33"</f>
        <v>Y57G11C.33</v>
      </c>
      <c r="F18001" t="s">
        <v>11</v>
      </c>
      <c r="G18001" t="s">
        <v>9631</v>
      </c>
      <c r="H18001" s="12">
        <v>-1.2693170168297701</v>
      </c>
      <c r="I18001" s="20">
        <v>-1.1475701220679799</v>
      </c>
      <c r="J18001" s="28">
        <v>0.251146069877828</v>
      </c>
      <c r="K18001" s="29">
        <v>0.98289565623980701</v>
      </c>
    </row>
    <row r="18002" spans="1:11" x14ac:dyDescent="0.35">
      <c r="A18002" s="9" t="str">
        <f>HYPERLINK("http://www.ensembl.org/id/WBGene00013325", "WBGene00013325")</f>
        <v>WBGene00013325</v>
      </c>
      <c r="B18002" s="9" t="str">
        <f>HYPERLINK("http://www.ncbi.nlm.nih.gov/gene/259844", "259844")</f>
        <v>259844</v>
      </c>
      <c r="C18002" s="9"/>
      <c r="D18002" t="str">
        <f>"Y57G11C.36"</f>
        <v>Y57G11C.36</v>
      </c>
      <c r="F18002" t="s">
        <v>11</v>
      </c>
      <c r="G18002" t="s">
        <v>7298</v>
      </c>
      <c r="H18002" s="12">
        <v>-1.1181001095682299</v>
      </c>
      <c r="I18002" s="20">
        <v>-0.51679916029557504</v>
      </c>
      <c r="J18002" s="28">
        <v>0.60529636628022498</v>
      </c>
      <c r="K18002" s="29">
        <v>0.98289565623980701</v>
      </c>
    </row>
    <row r="18003" spans="1:11" x14ac:dyDescent="0.35">
      <c r="A18003" s="9" t="str">
        <f>HYPERLINK("http://www.ensembl.org/id/WBGene00013328", "WBGene00013328")</f>
        <v>WBGene00013328</v>
      </c>
      <c r="B18003" s="9" t="str">
        <f>HYPERLINK("http://www.ncbi.nlm.nih.gov/gene/3565944", "3565944")</f>
        <v>3565944</v>
      </c>
      <c r="C18003" s="9"/>
      <c r="D18003" t="str">
        <f>"Y57G11C.39"</f>
        <v>Y57G11C.39</v>
      </c>
      <c r="F18003" t="s">
        <v>11</v>
      </c>
      <c r="H18003" s="12">
        <v>2.1013682844233301</v>
      </c>
      <c r="I18003" s="20">
        <v>0.90414291452370099</v>
      </c>
      <c r="J18003" s="28">
        <v>0.36591962530269101</v>
      </c>
      <c r="K18003" s="29">
        <v>0.98289565623980701</v>
      </c>
    </row>
    <row r="18004" spans="1:11" x14ac:dyDescent="0.35">
      <c r="A18004" s="9" t="str">
        <f>HYPERLINK("http://www.ensembl.org/id/WBGene00013330", "WBGene00013330")</f>
        <v>WBGene00013330</v>
      </c>
      <c r="B18004" s="9" t="str">
        <f>HYPERLINK("http://www.ncbi.nlm.nih.gov/gene/3565106", "3565106")</f>
        <v>3565106</v>
      </c>
      <c r="C18004" s="9"/>
      <c r="D18004" t="str">
        <f>"Y57G11C.41"</f>
        <v>Y57G11C.41</v>
      </c>
      <c r="F18004" t="s">
        <v>11</v>
      </c>
      <c r="H18004" s="12">
        <v>2.0404071254367402</v>
      </c>
      <c r="I18004" s="20">
        <v>0.86463591703436304</v>
      </c>
      <c r="J18004" s="28">
        <v>0.387238652433057</v>
      </c>
      <c r="K18004" s="29">
        <v>0.98289565623980701</v>
      </c>
    </row>
    <row r="18005" spans="1:11" x14ac:dyDescent="0.35">
      <c r="A18005" s="9" t="str">
        <f>HYPERLINK("http://www.ensembl.org/id/WBGene00013331", "WBGene00013331")</f>
        <v>WBGene00013331</v>
      </c>
      <c r="B18005" s="9" t="str">
        <f>HYPERLINK("http://www.ncbi.nlm.nih.gov/gene/3565027", "3565027")</f>
        <v>3565027</v>
      </c>
      <c r="C18005" s="9"/>
      <c r="D18005" t="str">
        <f>"Y57G11C.42"</f>
        <v>Y57G11C.42</v>
      </c>
      <c r="F18005" t="s">
        <v>11</v>
      </c>
      <c r="H18005" s="12">
        <v>-1.40857918123407</v>
      </c>
      <c r="I18005" s="20">
        <v>-1.15558786337624</v>
      </c>
      <c r="J18005" s="28">
        <v>0.24784977464043201</v>
      </c>
      <c r="K18005" s="29">
        <v>0.98289565623980701</v>
      </c>
    </row>
    <row r="18006" spans="1:11" x14ac:dyDescent="0.35">
      <c r="A18006" s="9" t="str">
        <f>HYPERLINK("http://www.ensembl.org/id/WBGene00013333", "WBGene00013333")</f>
        <v>WBGene00013333</v>
      </c>
      <c r="B18006" s="9" t="str">
        <f>HYPERLINK("http://www.ncbi.nlm.nih.gov/gene/3565567", "3565567")</f>
        <v>3565567</v>
      </c>
      <c r="C18006" s="9"/>
      <c r="D18006" t="str">
        <f>"Y57G11C.44"</f>
        <v>Y57G11C.44</v>
      </c>
      <c r="F18006" t="s">
        <v>11</v>
      </c>
      <c r="G18006" t="s">
        <v>2755</v>
      </c>
      <c r="H18006" s="12">
        <v>2.2204819286444</v>
      </c>
      <c r="I18006" s="20">
        <v>0.65896700959050203</v>
      </c>
      <c r="J18006" s="28">
        <v>0.50991695371354295</v>
      </c>
      <c r="K18006" s="29">
        <v>0.98289565623980701</v>
      </c>
    </row>
    <row r="18007" spans="1:11" x14ac:dyDescent="0.35">
      <c r="A18007" s="9" t="str">
        <f>HYPERLINK("http://www.ensembl.org/id/WBGene00013335", "WBGene00013335")</f>
        <v>WBGene00013335</v>
      </c>
      <c r="B18007" s="9" t="str">
        <f>HYPERLINK("http://www.ncbi.nlm.nih.gov/gene/3565396", "3565396")</f>
        <v>3565396</v>
      </c>
      <c r="C18007" s="9"/>
      <c r="D18007" t="str">
        <f>"Y57G11C.46"</f>
        <v>Y57G11C.46</v>
      </c>
      <c r="F18007" t="s">
        <v>11</v>
      </c>
      <c r="G18007" t="s">
        <v>4731</v>
      </c>
      <c r="H18007" s="12">
        <v>1.43712391863164</v>
      </c>
      <c r="I18007" s="20">
        <v>0.88467171042166304</v>
      </c>
      <c r="J18007" s="28">
        <v>0.37633371771380703</v>
      </c>
      <c r="K18007" s="29">
        <v>0.98289565623980701</v>
      </c>
    </row>
    <row r="18008" spans="1:11" x14ac:dyDescent="0.35">
      <c r="A18008" s="9" t="str">
        <f>HYPERLINK("http://www.ensembl.org/id/WBGene00013337", "WBGene00013337")</f>
        <v>WBGene00013337</v>
      </c>
      <c r="B18008" s="9" t="str">
        <f>HYPERLINK("http://www.ncbi.nlm.nih.gov/gene/3565195", "3565195")</f>
        <v>3565195</v>
      </c>
      <c r="C18008" s="9"/>
      <c r="D18008" t="str">
        <f>"Y57G11C.48"</f>
        <v>Y57G11C.48</v>
      </c>
      <c r="F18008" t="s">
        <v>11</v>
      </c>
      <c r="H18008" s="12">
        <v>-2.9786414431210799</v>
      </c>
      <c r="I18008" s="20">
        <v>-0.48599263589740999</v>
      </c>
      <c r="J18008" s="28">
        <v>0.626972387154206</v>
      </c>
      <c r="K18008" s="29">
        <v>0.98289565623980701</v>
      </c>
    </row>
    <row r="18009" spans="1:11" x14ac:dyDescent="0.35">
      <c r="A18009" s="9" t="str">
        <f>HYPERLINK("http://www.ensembl.org/id/WBGene00013303", "WBGene00013303")</f>
        <v>WBGene00013303</v>
      </c>
      <c r="B18009" s="9" t="str">
        <f>HYPERLINK("http://www.ncbi.nlm.nih.gov/gene/190371", "190371")</f>
        <v>190371</v>
      </c>
      <c r="C18009" s="9"/>
      <c r="D18009" t="str">
        <f>"Y57G11C.5"</f>
        <v>Y57G11C.5</v>
      </c>
      <c r="F18009" t="s">
        <v>11</v>
      </c>
      <c r="G18009" t="s">
        <v>4841</v>
      </c>
      <c r="H18009" s="12">
        <v>1.3396400011318099</v>
      </c>
      <c r="I18009" s="20">
        <v>0.60493512118141701</v>
      </c>
      <c r="J18009" s="28">
        <v>0.54522210592209996</v>
      </c>
      <c r="K18009" s="29">
        <v>0.98289565623980701</v>
      </c>
    </row>
    <row r="18010" spans="1:11" x14ac:dyDescent="0.35">
      <c r="A18010" s="9" t="str">
        <f>HYPERLINK("http://www.ensembl.org/id/WBGene00044741", "WBGene00044741")</f>
        <v>WBGene00044741</v>
      </c>
      <c r="B18010" s="9" t="str">
        <f>HYPERLINK("http://www.ncbi.nlm.nih.gov/gene/4363061", "4363061")</f>
        <v>4363061</v>
      </c>
      <c r="C18010" s="9"/>
      <c r="D18010" t="str">
        <f>"Y57G11C.52"</f>
        <v>Y57G11C.52</v>
      </c>
      <c r="F18010" t="s">
        <v>11</v>
      </c>
      <c r="H18010" s="12">
        <v>-2.61107526133679</v>
      </c>
      <c r="I18010" s="20">
        <v>-0.66694120302424598</v>
      </c>
      <c r="J18010" s="28">
        <v>0.504809690962568</v>
      </c>
      <c r="K18010" s="29">
        <v>0.98289565623980701</v>
      </c>
    </row>
    <row r="18011" spans="1:11" x14ac:dyDescent="0.35">
      <c r="A18011" s="9" t="str">
        <f>HYPERLINK("http://www.ensembl.org/id/WBGene00013306", "WBGene00013306")</f>
        <v>WBGene00013306</v>
      </c>
      <c r="B18011" s="9" t="str">
        <f>HYPERLINK("http://www.ncbi.nlm.nih.gov/gene/178400", "178400")</f>
        <v>178400</v>
      </c>
      <c r="C18011" s="9"/>
      <c r="D18011" t="str">
        <f>"Y57G11C.8"</f>
        <v>Y57G11C.8</v>
      </c>
      <c r="F18011" t="s">
        <v>11</v>
      </c>
      <c r="H18011" s="12">
        <v>1.2075622077333801</v>
      </c>
      <c r="I18011" s="20">
        <v>0.43944571784291497</v>
      </c>
      <c r="J18011" s="28">
        <v>0.66033860606578898</v>
      </c>
      <c r="K18011" s="29">
        <v>0.98289565623980701</v>
      </c>
    </row>
    <row r="18012" spans="1:11" x14ac:dyDescent="0.35">
      <c r="A18012" s="9" t="str">
        <f>HYPERLINK("http://www.ensembl.org/id/WBGene00013307", "WBGene00013307")</f>
        <v>WBGene00013307</v>
      </c>
      <c r="B18012" s="9" t="str">
        <f>HYPERLINK("http://www.ncbi.nlm.nih.gov/gene/178401", "178401")</f>
        <v>178401</v>
      </c>
      <c r="C18012" s="9"/>
      <c r="D18012" t="str">
        <f>"Y57G11C.9"</f>
        <v>Y57G11C.9</v>
      </c>
      <c r="F18012" t="s">
        <v>11</v>
      </c>
      <c r="G18012" t="s">
        <v>6537</v>
      </c>
      <c r="H18012" s="12">
        <v>-1.07492801814033</v>
      </c>
      <c r="I18012" s="20">
        <v>-0.38700878858410298</v>
      </c>
      <c r="J18012" s="28">
        <v>0.69874970161932104</v>
      </c>
      <c r="K18012" s="29">
        <v>0.98289565623980701</v>
      </c>
    </row>
    <row r="18013" spans="1:11" x14ac:dyDescent="0.35">
      <c r="A18013" s="9" t="str">
        <f>HYPERLINK("http://www.ensembl.org/id/WBGene00021974", "WBGene00021974")</f>
        <v>WBGene00021974</v>
      </c>
      <c r="B18013" s="9" t="str">
        <f>HYPERLINK("http://www.ncbi.nlm.nih.gov/gene/259416", "259416")</f>
        <v>259416</v>
      </c>
      <c r="C18013" s="9"/>
      <c r="D18013" t="str">
        <f>"Y57G7A.11"</f>
        <v>Y57G7A.11</v>
      </c>
      <c r="F18013" t="s">
        <v>11</v>
      </c>
      <c r="H18013" s="12">
        <v>1.6057337229492501</v>
      </c>
      <c r="I18013" s="20">
        <v>0.72340558616134798</v>
      </c>
      <c r="J18013" s="28">
        <v>0.46943074025373799</v>
      </c>
      <c r="K18013" s="29">
        <v>0.98289565623980701</v>
      </c>
    </row>
    <row r="18014" spans="1:11" x14ac:dyDescent="0.35">
      <c r="A18014" s="9" t="str">
        <f>HYPERLINK("http://www.ensembl.org/id/WBGene00021968", "WBGene00021968")</f>
        <v>WBGene00021968</v>
      </c>
      <c r="B18014" s="9" t="str">
        <f>HYPERLINK("http://www.ncbi.nlm.nih.gov/gene/173505", "173505")</f>
        <v>173505</v>
      </c>
      <c r="C18014" s="9"/>
      <c r="D18014" t="str">
        <f>"Y57G7A.5"</f>
        <v>Y57G7A.5</v>
      </c>
      <c r="F18014" t="s">
        <v>11</v>
      </c>
      <c r="H18014" s="12">
        <v>1.42208510395331</v>
      </c>
      <c r="I18014" s="20">
        <v>0.35704060705257501</v>
      </c>
      <c r="J18014" s="28">
        <v>0.72106140646300099</v>
      </c>
      <c r="K18014" s="29">
        <v>0.98289565623980701</v>
      </c>
    </row>
    <row r="18015" spans="1:11" x14ac:dyDescent="0.35">
      <c r="A18015" s="9" t="str">
        <f>HYPERLINK("http://www.ensembl.org/id/WBGene00021969", "WBGene00021969")</f>
        <v>WBGene00021969</v>
      </c>
      <c r="B18015" s="9" t="str">
        <f>HYPERLINK("http://www.ncbi.nlm.nih.gov/gene/173506", "173506")</f>
        <v>173506</v>
      </c>
      <c r="C18015" s="9"/>
      <c r="D18015" t="str">
        <f>"Y57G7A.6"</f>
        <v>Y57G7A.6</v>
      </c>
      <c r="F18015" t="s">
        <v>11</v>
      </c>
      <c r="G18015" t="s">
        <v>25</v>
      </c>
      <c r="H18015" s="12">
        <v>1.39145172348736</v>
      </c>
      <c r="I18015" s="20">
        <v>0.48409528424036602</v>
      </c>
      <c r="J18015" s="28">
        <v>0.62831824788937896</v>
      </c>
      <c r="K18015" s="29">
        <v>0.98289565623980701</v>
      </c>
    </row>
    <row r="18016" spans="1:11" x14ac:dyDescent="0.35">
      <c r="A18016" s="9" t="str">
        <f>HYPERLINK("http://www.ensembl.org/id/WBGene00021971", "WBGene00021971")</f>
        <v>WBGene00021971</v>
      </c>
      <c r="B18016" s="9"/>
      <c r="C18016" s="9"/>
      <c r="D18016" t="str">
        <f>"Y57G7A.8"</f>
        <v>Y57G7A.8</v>
      </c>
      <c r="F18016" t="s">
        <v>80</v>
      </c>
      <c r="H18016" s="12">
        <v>3.5849796913175398</v>
      </c>
      <c r="I18016" s="20">
        <v>1.0285213268951501</v>
      </c>
      <c r="J18016" s="28">
        <v>0.30370466404337398</v>
      </c>
      <c r="K18016" s="29">
        <v>0.98289565623980701</v>
      </c>
    </row>
    <row r="18017" spans="1:11" x14ac:dyDescent="0.35">
      <c r="A18017" s="9" t="str">
        <f>HYPERLINK("http://www.ensembl.org/id/WBGene00021975", "WBGene00021975")</f>
        <v>WBGene00021975</v>
      </c>
      <c r="B18017" s="9" t="str">
        <f>HYPERLINK("http://www.ncbi.nlm.nih.gov/gene/190381", "190381")</f>
        <v>190381</v>
      </c>
      <c r="C18017" s="9"/>
      <c r="D18017" t="str">
        <f>"Y58A7A.1"</f>
        <v>Y58A7A.1</v>
      </c>
      <c r="F18017" t="s">
        <v>11</v>
      </c>
      <c r="G18017" t="s">
        <v>2090</v>
      </c>
      <c r="H18017" s="12">
        <v>-1.10813881269757</v>
      </c>
      <c r="I18017" s="20">
        <v>-0.441544899518936</v>
      </c>
      <c r="J18017" s="28">
        <v>0.658818563966174</v>
      </c>
      <c r="K18017" s="29">
        <v>0.98289565623980701</v>
      </c>
    </row>
    <row r="18018" spans="1:11" x14ac:dyDescent="0.35">
      <c r="A18018" s="9" t="str">
        <f>HYPERLINK("http://www.ensembl.org/id/WBGene00198104", "WBGene00198104")</f>
        <v>WBGene00198104</v>
      </c>
      <c r="B18018" s="9"/>
      <c r="C18018" s="9"/>
      <c r="D18018" t="str">
        <f>"Y58A7A.10"</f>
        <v>Y58A7A.10</v>
      </c>
      <c r="F18018" t="s">
        <v>481</v>
      </c>
      <c r="H18018" s="12">
        <v>6.4677662992335101</v>
      </c>
      <c r="I18018" s="20">
        <v>0.74692370508457595</v>
      </c>
      <c r="J18018" s="28">
        <v>0.45510961595486299</v>
      </c>
      <c r="K18018" s="29">
        <v>0.98289565623980701</v>
      </c>
    </row>
    <row r="18019" spans="1:11" x14ac:dyDescent="0.35">
      <c r="A18019" s="9" t="str">
        <f>HYPERLINK("http://www.ensembl.org/id/WBGene00198478", "WBGene00198478")</f>
        <v>WBGene00198478</v>
      </c>
      <c r="B18019" s="9"/>
      <c r="C18019" s="9"/>
      <c r="D18019" t="str">
        <f>"Y58A7A.11"</f>
        <v>Y58A7A.11</v>
      </c>
      <c r="F18019" t="s">
        <v>481</v>
      </c>
      <c r="H18019" s="12">
        <v>-5.3720953244712302</v>
      </c>
      <c r="I18019" s="20">
        <v>-0.603647922463455</v>
      </c>
      <c r="J18019" s="28">
        <v>0.54607774451423896</v>
      </c>
      <c r="K18019" s="29">
        <v>0.98289565623980701</v>
      </c>
    </row>
    <row r="18020" spans="1:11" x14ac:dyDescent="0.35">
      <c r="A18020" s="9" t="str">
        <f>HYPERLINK("http://www.ensembl.org/id/WBGene00021976", "WBGene00021976")</f>
        <v>WBGene00021976</v>
      </c>
      <c r="B18020" s="9" t="str">
        <f>HYPERLINK("http://www.ncbi.nlm.nih.gov/gene/190382", "190382")</f>
        <v>190382</v>
      </c>
      <c r="C18020" s="9"/>
      <c r="D18020" t="str">
        <f>"Y58A7A.2"</f>
        <v>Y58A7A.2</v>
      </c>
      <c r="F18020" t="s">
        <v>11</v>
      </c>
      <c r="H18020" s="12">
        <v>1.8420745813713999</v>
      </c>
      <c r="I18020" s="20">
        <v>0.96290014126477097</v>
      </c>
      <c r="J18020" s="28">
        <v>0.335597638689491</v>
      </c>
      <c r="K18020" s="29">
        <v>0.98289565623980701</v>
      </c>
    </row>
    <row r="18021" spans="1:11" x14ac:dyDescent="0.35">
      <c r="A18021" s="9" t="str">
        <f>HYPERLINK("http://www.ensembl.org/id/WBGene00197676", "WBGene00197676")</f>
        <v>WBGene00197676</v>
      </c>
      <c r="B18021" s="9"/>
      <c r="C18021" s="9"/>
      <c r="D18021" t="str">
        <f>"Y59A8B.29"</f>
        <v>Y59A8B.29</v>
      </c>
      <c r="F18021" t="s">
        <v>481</v>
      </c>
      <c r="H18021" s="12">
        <v>11.7711088571319</v>
      </c>
      <c r="I18021" s="20">
        <v>0.79663765182635704</v>
      </c>
      <c r="J18021" s="28">
        <v>0.42566150362591298</v>
      </c>
      <c r="K18021" s="29">
        <v>0.98289565623980701</v>
      </c>
    </row>
    <row r="18022" spans="1:11" x14ac:dyDescent="0.35">
      <c r="A18022" s="9" t="str">
        <f>HYPERLINK("http://www.ensembl.org/id/WBGene00013345", "WBGene00013345")</f>
        <v>WBGene00013345</v>
      </c>
      <c r="B18022" s="9" t="str">
        <f>HYPERLINK("http://www.ncbi.nlm.nih.gov/gene/180182", "180182")</f>
        <v>180182</v>
      </c>
      <c r="C18022" s="9" t="str">
        <f>HYPERLINK("http://www.ncbi.nlm.nih.gov/gene/8774", "8774")</f>
        <v>8774</v>
      </c>
      <c r="D18022" t="str">
        <f>"Y59A8B.8"</f>
        <v>Y59A8B.8</v>
      </c>
      <c r="F18022" t="s">
        <v>11</v>
      </c>
      <c r="G18022" t="s">
        <v>6084</v>
      </c>
      <c r="H18022" s="12">
        <v>1.0642551133371201</v>
      </c>
      <c r="I18022" s="20">
        <v>0.28532032962193898</v>
      </c>
      <c r="J18022" s="28">
        <v>0.77539873910643298</v>
      </c>
      <c r="K18022" s="29">
        <v>0.98289565623980701</v>
      </c>
    </row>
    <row r="18023" spans="1:11" x14ac:dyDescent="0.35">
      <c r="A18023" s="9" t="str">
        <f>HYPERLINK("http://www.ensembl.org/id/WBGene00021986", "WBGene00021986")</f>
        <v>WBGene00021986</v>
      </c>
      <c r="B18023" s="9" t="str">
        <f>HYPERLINK("http://www.ncbi.nlm.nih.gov/gene/173578", "173578")</f>
        <v>173578</v>
      </c>
      <c r="C18023" s="9"/>
      <c r="D18023" t="str">
        <f>"Y59C2A.3"</f>
        <v>Y59C2A.3</v>
      </c>
      <c r="F18023" t="s">
        <v>11</v>
      </c>
      <c r="H18023" s="12">
        <v>1.1223757312659299</v>
      </c>
      <c r="I18023" s="20">
        <v>0.60302699989609199</v>
      </c>
      <c r="J18023" s="28">
        <v>0.54649072773937402</v>
      </c>
      <c r="K18023" s="29">
        <v>0.98289565623980701</v>
      </c>
    </row>
    <row r="18024" spans="1:11" x14ac:dyDescent="0.35">
      <c r="A18024" s="9" t="str">
        <f>HYPERLINK("http://www.ensembl.org/id/WBGene00021990", "WBGene00021990")</f>
        <v>WBGene00021990</v>
      </c>
      <c r="B18024" s="9"/>
      <c r="C18024" s="9"/>
      <c r="D18024" t="str">
        <f>"Y59E1B.1"</f>
        <v>Y59E1B.1</v>
      </c>
      <c r="F18024" t="s">
        <v>481</v>
      </c>
      <c r="H18024" s="12">
        <v>-3.4381692680997</v>
      </c>
      <c r="I18024" s="20">
        <v>-0.66589672130188204</v>
      </c>
      <c r="J18024" s="28">
        <v>0.50547711633834203</v>
      </c>
      <c r="K18024" s="29">
        <v>0.98289565623980701</v>
      </c>
    </row>
    <row r="18025" spans="1:11" x14ac:dyDescent="0.35">
      <c r="A18025" s="9" t="str">
        <f>HYPERLINK("http://www.ensembl.org/id/WBGene00043743", "WBGene00043743")</f>
        <v>WBGene00043743</v>
      </c>
      <c r="B18025" s="9" t="str">
        <f>HYPERLINK("http://www.ncbi.nlm.nih.gov/gene/3565611", "3565611")</f>
        <v>3565611</v>
      </c>
      <c r="C18025" s="9"/>
      <c r="D18025" t="str">
        <f>"Y59E9AL.2"</f>
        <v>Y59E9AL.2</v>
      </c>
      <c r="F18025" t="s">
        <v>11</v>
      </c>
      <c r="H18025" s="12">
        <v>-1.93064722890258</v>
      </c>
      <c r="I18025" s="20">
        <v>-0.33632844965547798</v>
      </c>
      <c r="J18025" s="28">
        <v>0.73662319850214497</v>
      </c>
      <c r="K18025" s="29">
        <v>0.98289565623980701</v>
      </c>
    </row>
    <row r="18026" spans="1:11" x14ac:dyDescent="0.35">
      <c r="A18026" s="9" t="str">
        <f>HYPERLINK("http://www.ensembl.org/id/WBGene00021993", "WBGene00021993")</f>
        <v>WBGene00021993</v>
      </c>
      <c r="B18026" s="9" t="str">
        <f>HYPERLINK("http://www.ncbi.nlm.nih.gov/gene/3565257", "3565257")</f>
        <v>3565257</v>
      </c>
      <c r="C18026" s="9"/>
      <c r="D18026" t="str">
        <f>"Y59E9AL.3"</f>
        <v>Y59E9AL.3</v>
      </c>
      <c r="F18026" t="s">
        <v>11</v>
      </c>
      <c r="H18026" s="12">
        <v>-1.8321254810668799</v>
      </c>
      <c r="I18026" s="20">
        <v>-0.64299949162157499</v>
      </c>
      <c r="J18026" s="28">
        <v>0.52022442975735605</v>
      </c>
      <c r="K18026" s="29">
        <v>0.98289565623980701</v>
      </c>
    </row>
    <row r="18027" spans="1:11" x14ac:dyDescent="0.35">
      <c r="A18027" s="9" t="str">
        <f>HYPERLINK("http://www.ensembl.org/id/WBGene00195093", "WBGene00195093")</f>
        <v>WBGene00195093</v>
      </c>
      <c r="B18027" s="9" t="str">
        <f>HYPERLINK("http://www.ncbi.nlm.nih.gov/gene/13193758", "13193758")</f>
        <v>13193758</v>
      </c>
      <c r="C18027" s="9"/>
      <c r="D18027" t="str">
        <f>"Y59E9AL.36"</f>
        <v>Y59E9AL.36</v>
      </c>
      <c r="F18027" t="s">
        <v>11</v>
      </c>
      <c r="G18027" t="s">
        <v>2343</v>
      </c>
      <c r="H18027" s="12">
        <v>-1.1929877417402399</v>
      </c>
      <c r="I18027" s="20">
        <v>-0.80482659451231497</v>
      </c>
      <c r="J18027" s="28">
        <v>0.42091975266009402</v>
      </c>
      <c r="K18027" s="29">
        <v>0.98289565623980701</v>
      </c>
    </row>
    <row r="18028" spans="1:11" x14ac:dyDescent="0.35">
      <c r="A18028" s="9" t="str">
        <f>HYPERLINK("http://www.ensembl.org/id/WBGene00021995", "WBGene00021995")</f>
        <v>WBGene00021995</v>
      </c>
      <c r="B18028" s="9"/>
      <c r="C18028" s="9"/>
      <c r="D18028" t="str">
        <f>"Y59E9AL.5"</f>
        <v>Y59E9AL.5</v>
      </c>
      <c r="F18028" t="s">
        <v>80</v>
      </c>
      <c r="H18028" s="12">
        <v>7.8691597089380902</v>
      </c>
      <c r="I18028" s="20">
        <v>0.61251365190975104</v>
      </c>
      <c r="J18028" s="28">
        <v>0.54019796842331003</v>
      </c>
      <c r="K18028" s="29">
        <v>0.98289565623980701</v>
      </c>
    </row>
    <row r="18029" spans="1:11" x14ac:dyDescent="0.35">
      <c r="A18029" s="9" t="str">
        <f>HYPERLINK("http://www.ensembl.org/id/WBGene00235290", "WBGene00235290")</f>
        <v>WBGene00235290</v>
      </c>
      <c r="B18029" s="9" t="str">
        <f>HYPERLINK("http://www.ncbi.nlm.nih.gov/gene/24105180", "24105180")</f>
        <v>24105180</v>
      </c>
      <c r="C18029" s="9"/>
      <c r="D18029" t="str">
        <f>"Y59H11AR.10"</f>
        <v>Y59H11AR.10</v>
      </c>
      <c r="F18029" t="s">
        <v>11</v>
      </c>
      <c r="G18029" t="s">
        <v>25</v>
      </c>
      <c r="H18029" s="12">
        <v>2.4578120077400301</v>
      </c>
      <c r="I18029" s="20">
        <v>0.26093350314551</v>
      </c>
      <c r="J18029" s="28">
        <v>0.79414378780213601</v>
      </c>
      <c r="K18029" s="29">
        <v>0.98289565623980701</v>
      </c>
    </row>
    <row r="18030" spans="1:11" x14ac:dyDescent="0.35">
      <c r="A18030" s="9" t="str">
        <f>HYPERLINK("http://www.ensembl.org/id/WBGene00022011", "WBGene00022011")</f>
        <v>WBGene00022011</v>
      </c>
      <c r="B18030" s="9" t="str">
        <f>HYPERLINK("http://www.ncbi.nlm.nih.gov/gene/190428", "190428")</f>
        <v>190428</v>
      </c>
      <c r="C18030" s="9"/>
      <c r="D18030" t="str">
        <f>"Y59H11AR.3"</f>
        <v>Y59H11AR.3</v>
      </c>
      <c r="F18030" t="s">
        <v>11</v>
      </c>
      <c r="H18030" s="12">
        <v>-2.4991590031922399</v>
      </c>
      <c r="I18030" s="20">
        <v>-0.26577412737581302</v>
      </c>
      <c r="J18030" s="28">
        <v>0.79041317015736101</v>
      </c>
      <c r="K18030" s="29">
        <v>0.98289565623980701</v>
      </c>
    </row>
    <row r="18031" spans="1:11" x14ac:dyDescent="0.35">
      <c r="A18031" s="9" t="str">
        <f>HYPERLINK("http://www.ensembl.org/id/WBGene00195019", "WBGene00195019")</f>
        <v>WBGene00195019</v>
      </c>
      <c r="B18031" s="9"/>
      <c r="C18031" s="9"/>
      <c r="D18031" t="str">
        <f>"Y59H11AR.8"</f>
        <v>Y59H11AR.8</v>
      </c>
      <c r="F18031" t="s">
        <v>481</v>
      </c>
      <c r="H18031" s="12">
        <v>-3.7261494131482999</v>
      </c>
      <c r="I18031" s="20">
        <v>-0.38454673129429601</v>
      </c>
      <c r="J18031" s="28">
        <v>0.70057326682554</v>
      </c>
      <c r="K18031" s="29">
        <v>0.98289565623980701</v>
      </c>
    </row>
    <row r="18032" spans="1:11" x14ac:dyDescent="0.35">
      <c r="A18032" s="9" t="str">
        <f>HYPERLINK("http://www.ensembl.org/id/WBGene00021162", "WBGene00021162")</f>
        <v>WBGene00021162</v>
      </c>
      <c r="B18032" s="9" t="str">
        <f>HYPERLINK("http://www.ncbi.nlm.nih.gov/gene/189359", "189359")</f>
        <v>189359</v>
      </c>
      <c r="C18032" s="9"/>
      <c r="D18032" t="str">
        <f>"Y5H2A.1"</f>
        <v>Y5H2A.1</v>
      </c>
      <c r="F18032" t="s">
        <v>11</v>
      </c>
      <c r="H18032" s="12">
        <v>3.6645215954135</v>
      </c>
      <c r="I18032" s="20">
        <v>0.37967131826092498</v>
      </c>
      <c r="J18032" s="28">
        <v>0.70418941338960395</v>
      </c>
      <c r="K18032" s="29">
        <v>0.98289565623980701</v>
      </c>
    </row>
    <row r="18033" spans="1:11" x14ac:dyDescent="0.35">
      <c r="A18033" s="9" t="str">
        <f>HYPERLINK("http://www.ensembl.org/id/WBGene00044521", "WBGene00044521")</f>
        <v>WBGene00044521</v>
      </c>
      <c r="B18033" s="9" t="str">
        <f>HYPERLINK("http://www.ncbi.nlm.nih.gov/gene/3896863", "3896863")</f>
        <v>3896863</v>
      </c>
      <c r="C18033" s="9"/>
      <c r="D18033" t="str">
        <f>"Y5H2A.4"</f>
        <v>Y5H2A.4</v>
      </c>
      <c r="F18033" t="s">
        <v>11</v>
      </c>
      <c r="H18033" s="12">
        <v>2.0612659745432098</v>
      </c>
      <c r="I18033" s="20">
        <v>0.51361035520610399</v>
      </c>
      <c r="J18033" s="28">
        <v>0.607524438266691</v>
      </c>
      <c r="K18033" s="29">
        <v>0.98289565623980701</v>
      </c>
    </row>
    <row r="18034" spans="1:11" x14ac:dyDescent="0.35">
      <c r="A18034" s="9" t="str">
        <f>HYPERLINK("http://www.ensembl.org/id/WBGene00196324", "WBGene00196324")</f>
        <v>WBGene00196324</v>
      </c>
      <c r="B18034" s="9"/>
      <c r="C18034" s="9"/>
      <c r="D18034" t="str">
        <f>"Y5H2A.5"</f>
        <v>Y5H2A.5</v>
      </c>
      <c r="F18034" t="s">
        <v>481</v>
      </c>
      <c r="H18034" s="12">
        <v>4.9932897755351497</v>
      </c>
      <c r="I18034" s="20">
        <v>0.72186475086862301</v>
      </c>
      <c r="J18034" s="28">
        <v>0.47037763482039302</v>
      </c>
      <c r="K18034" s="29">
        <v>0.98289565623980701</v>
      </c>
    </row>
    <row r="18035" spans="1:11" x14ac:dyDescent="0.35">
      <c r="A18035" s="9" t="str">
        <f>HYPERLINK("http://www.ensembl.org/id/WBGene00021164", "WBGene00021164")</f>
        <v>WBGene00021164</v>
      </c>
      <c r="B18035" s="9" t="str">
        <f>HYPERLINK("http://www.ncbi.nlm.nih.gov/gene/189361", "189361")</f>
        <v>189361</v>
      </c>
      <c r="C18035" s="9"/>
      <c r="D18035" t="str">
        <f>"Y5H2B.1"</f>
        <v>Y5H2B.1</v>
      </c>
      <c r="F18035" t="s">
        <v>11</v>
      </c>
      <c r="G18035" t="s">
        <v>10042</v>
      </c>
      <c r="H18035" s="12">
        <v>-2.1774317891213202</v>
      </c>
      <c r="I18035" s="20">
        <v>-0.646632421472498</v>
      </c>
      <c r="J18035" s="28">
        <v>0.517869869550448</v>
      </c>
      <c r="K18035" s="29">
        <v>0.98289565623980701</v>
      </c>
    </row>
    <row r="18036" spans="1:11" x14ac:dyDescent="0.35">
      <c r="A18036" s="9" t="str">
        <f>HYPERLINK("http://www.ensembl.org/id/WBGene00021165", "WBGene00021165")</f>
        <v>WBGene00021165</v>
      </c>
      <c r="B18036" s="9" t="str">
        <f>HYPERLINK("http://www.ncbi.nlm.nih.gov/gene/189362", "189362")</f>
        <v>189362</v>
      </c>
      <c r="C18036" s="9"/>
      <c r="D18036" t="str">
        <f>"Y5H2B.3"</f>
        <v>Y5H2B.3</v>
      </c>
      <c r="F18036" t="s">
        <v>11</v>
      </c>
      <c r="H18036" s="12">
        <v>1.34196680351924</v>
      </c>
      <c r="I18036" s="20">
        <v>0.69644286490506002</v>
      </c>
      <c r="J18036" s="28">
        <v>0.48615152660965399</v>
      </c>
      <c r="K18036" s="29">
        <v>0.98289565623980701</v>
      </c>
    </row>
    <row r="18037" spans="1:11" x14ac:dyDescent="0.35">
      <c r="A18037" s="9" t="str">
        <f>HYPERLINK("http://www.ensembl.org/id/WBGene00013364", "WBGene00013364")</f>
        <v>WBGene00013364</v>
      </c>
      <c r="B18037" s="9" t="str">
        <f>HYPERLINK("http://www.ncbi.nlm.nih.gov/gene/190438", "190438")</f>
        <v>190438</v>
      </c>
      <c r="C18037" s="9"/>
      <c r="D18037" t="str">
        <f>"Y60A3A.16"</f>
        <v>Y60A3A.16</v>
      </c>
      <c r="F18037" t="s">
        <v>11</v>
      </c>
      <c r="G18037" t="s">
        <v>2897</v>
      </c>
      <c r="H18037" s="12">
        <v>-1.6566318923561401</v>
      </c>
      <c r="I18037" s="20">
        <v>-0.99357052120866396</v>
      </c>
      <c r="J18037" s="28">
        <v>0.32043200171035702</v>
      </c>
      <c r="K18037" s="29">
        <v>0.98289565623980701</v>
      </c>
    </row>
    <row r="18038" spans="1:11" x14ac:dyDescent="0.35">
      <c r="A18038" s="9" t="str">
        <f>HYPERLINK("http://www.ensembl.org/id/WBGene00014934", "WBGene00014934")</f>
        <v>WBGene00014934</v>
      </c>
      <c r="B18038" s="9"/>
      <c r="C18038" s="9"/>
      <c r="D18038" t="str">
        <f>"Y60A3A.17"</f>
        <v>Y60A3A.17</v>
      </c>
      <c r="F18038" t="s">
        <v>80</v>
      </c>
      <c r="H18038" s="12">
        <v>3.6645215954135</v>
      </c>
      <c r="I18038" s="20">
        <v>0.37967131826092498</v>
      </c>
      <c r="J18038" s="28">
        <v>0.70418941338960395</v>
      </c>
      <c r="K18038" s="29">
        <v>0.98289565623980701</v>
      </c>
    </row>
    <row r="18039" spans="1:11" x14ac:dyDescent="0.35">
      <c r="A18039" s="9" t="str">
        <f>HYPERLINK("http://www.ensembl.org/id/WBGene00013366", "WBGene00013366")</f>
        <v>WBGene00013366</v>
      </c>
      <c r="B18039" s="9" t="str">
        <f>HYPERLINK("http://www.ncbi.nlm.nih.gov/gene/353457", "353457")</f>
        <v>353457</v>
      </c>
      <c r="C18039" s="9"/>
      <c r="D18039" t="str">
        <f>"Y60A3A.21"</f>
        <v>Y60A3A.21</v>
      </c>
      <c r="F18039" t="s">
        <v>11</v>
      </c>
      <c r="H18039" s="12">
        <v>-1.06282875856977</v>
      </c>
      <c r="I18039" s="20">
        <v>-0.32944385647703001</v>
      </c>
      <c r="J18039" s="28">
        <v>0.74182022345902998</v>
      </c>
      <c r="K18039" s="29">
        <v>0.98289565623980701</v>
      </c>
    </row>
    <row r="18040" spans="1:11" x14ac:dyDescent="0.35">
      <c r="A18040" s="9" t="str">
        <f>HYPERLINK("http://www.ensembl.org/id/WBGene00044211", "WBGene00044211")</f>
        <v>WBGene00044211</v>
      </c>
      <c r="B18040" s="9" t="str">
        <f>HYPERLINK("http://www.ncbi.nlm.nih.gov/gene/3565624", "3565624")</f>
        <v>3565624</v>
      </c>
      <c r="C18040" s="9"/>
      <c r="D18040" t="str">
        <f>"Y60A3A.25"</f>
        <v>Y60A3A.25</v>
      </c>
      <c r="F18040" t="s">
        <v>11</v>
      </c>
      <c r="H18040" s="12">
        <v>1.22098359562884</v>
      </c>
      <c r="I18040" s="20">
        <v>0.51707530472790297</v>
      </c>
      <c r="J18040" s="28">
        <v>0.60510359187348794</v>
      </c>
      <c r="K18040" s="29">
        <v>0.98289565623980701</v>
      </c>
    </row>
    <row r="18041" spans="1:11" x14ac:dyDescent="0.35">
      <c r="A18041" s="9" t="str">
        <f>HYPERLINK("http://www.ensembl.org/id/WBGene00013360", "WBGene00013360")</f>
        <v>WBGene00013360</v>
      </c>
      <c r="B18041" s="9" t="str">
        <f>HYPERLINK("http://www.ncbi.nlm.nih.gov/gene/180307", "180307")</f>
        <v>180307</v>
      </c>
      <c r="C18041" s="9" t="str">
        <f>HYPERLINK("http://www.ncbi.nlm.nih.gov/gene/222068", "222068")</f>
        <v>222068</v>
      </c>
      <c r="D18041" t="str">
        <f>"Y60A3A.9"</f>
        <v>Y60A3A.9</v>
      </c>
      <c r="F18041" t="s">
        <v>11</v>
      </c>
      <c r="G18041" t="s">
        <v>5288</v>
      </c>
      <c r="H18041" s="12">
        <v>-1.1541290138215501</v>
      </c>
      <c r="I18041" s="20">
        <v>-0.75578536643196303</v>
      </c>
      <c r="J18041" s="28">
        <v>0.44977789183073102</v>
      </c>
      <c r="K18041" s="29">
        <v>0.98289565623980701</v>
      </c>
    </row>
    <row r="18042" spans="1:11" x14ac:dyDescent="0.35">
      <c r="A18042" s="9" t="str">
        <f>HYPERLINK("http://www.ensembl.org/id/WBGene00013369", "WBGene00013369")</f>
        <v>WBGene00013369</v>
      </c>
      <c r="B18042" s="9"/>
      <c r="C18042" s="9"/>
      <c r="D18042" t="str">
        <f>"Y60A9.2"</f>
        <v>Y60A9.2</v>
      </c>
      <c r="F18042" t="s">
        <v>80</v>
      </c>
      <c r="H18042" s="12">
        <v>1.92004068974638</v>
      </c>
      <c r="I18042" s="20">
        <v>0.65005183369390096</v>
      </c>
      <c r="J18042" s="28">
        <v>0.51565874047491</v>
      </c>
      <c r="K18042" s="29">
        <v>0.98289565623980701</v>
      </c>
    </row>
    <row r="18043" spans="1:11" x14ac:dyDescent="0.35">
      <c r="A18043" s="9" t="str">
        <f>HYPERLINK("http://www.ensembl.org/id/WBGene00013370", "WBGene00013370")</f>
        <v>WBGene00013370</v>
      </c>
      <c r="B18043" s="9" t="str">
        <f>HYPERLINK("http://www.ncbi.nlm.nih.gov/gene/190441", "190441")</f>
        <v>190441</v>
      </c>
      <c r="C18043" s="9"/>
      <c r="D18043" t="str">
        <f>"Y60A9.3"</f>
        <v>Y60A9.3</v>
      </c>
      <c r="F18043" t="s">
        <v>11</v>
      </c>
      <c r="G18043" t="s">
        <v>4675</v>
      </c>
      <c r="H18043" s="12">
        <v>1.2702852707269601</v>
      </c>
      <c r="I18043" s="20">
        <v>0.31769788868314802</v>
      </c>
      <c r="J18043" s="28">
        <v>0.75071411289769097</v>
      </c>
      <c r="K18043" s="29">
        <v>0.98289565623980701</v>
      </c>
    </row>
    <row r="18044" spans="1:11" x14ac:dyDescent="0.35">
      <c r="A18044" s="9" t="str">
        <f>HYPERLINK("http://www.ensembl.org/id/WBGene00194675", "WBGene00194675")</f>
        <v>WBGene00194675</v>
      </c>
      <c r="B18044" s="9"/>
      <c r="C18044" s="9"/>
      <c r="D18044" t="str">
        <f>"Y60A9A.3"</f>
        <v>Y60A9A.3</v>
      </c>
      <c r="F18044" t="s">
        <v>80</v>
      </c>
      <c r="H18044" s="12">
        <v>1.71741479312429</v>
      </c>
      <c r="I18044" s="20">
        <v>0.28761201736444097</v>
      </c>
      <c r="J18044" s="28">
        <v>0.77364374488588195</v>
      </c>
      <c r="K18044" s="29">
        <v>0.98289565623980701</v>
      </c>
    </row>
    <row r="18045" spans="1:11" x14ac:dyDescent="0.35">
      <c r="A18045" s="9" t="str">
        <f>HYPERLINK("http://www.ensembl.org/id/WBGene00022013", "WBGene00022013")</f>
        <v>WBGene00022013</v>
      </c>
      <c r="B18045" s="9" t="str">
        <f>HYPERLINK("http://www.ncbi.nlm.nih.gov/gene/190442", "190442")</f>
        <v>190442</v>
      </c>
      <c r="C18045" s="9"/>
      <c r="D18045" t="str">
        <f>"Y60C6A.1"</f>
        <v>Y60C6A.1</v>
      </c>
      <c r="F18045" t="s">
        <v>11</v>
      </c>
      <c r="G18045" t="s">
        <v>25</v>
      </c>
      <c r="H18045" s="12">
        <v>1.4787938424900899</v>
      </c>
      <c r="I18045" s="20">
        <v>0.32558345863535099</v>
      </c>
      <c r="J18045" s="28">
        <v>0.744739528945912</v>
      </c>
      <c r="K18045" s="29">
        <v>0.98289565623980701</v>
      </c>
    </row>
    <row r="18046" spans="1:11" x14ac:dyDescent="0.35">
      <c r="A18046" s="9" t="str">
        <f>HYPERLINK("http://www.ensembl.org/id/WBGene00202498", "WBGene00202498")</f>
        <v>WBGene00202498</v>
      </c>
      <c r="B18046" s="9" t="str">
        <f>HYPERLINK("http://www.ncbi.nlm.nih.gov/gene/13212671", "13212671")</f>
        <v>13212671</v>
      </c>
      <c r="C18046" s="9"/>
      <c r="D18046" t="str">
        <f>"Y60C6A.2"</f>
        <v>Y60C6A.2</v>
      </c>
      <c r="F18046" t="s">
        <v>11</v>
      </c>
      <c r="H18046" s="12">
        <v>-6.3507302933957197</v>
      </c>
      <c r="I18046" s="20">
        <v>-0.54348709410156204</v>
      </c>
      <c r="J18046" s="28">
        <v>0.58679447442024202</v>
      </c>
      <c r="K18046" s="29">
        <v>0.98289565623980701</v>
      </c>
    </row>
    <row r="18047" spans="1:11" x14ac:dyDescent="0.35">
      <c r="A18047" s="9" t="str">
        <f>HYPERLINK("http://www.ensembl.org/id/WBGene00271832", "WBGene00271832")</f>
        <v>WBGene00271832</v>
      </c>
      <c r="B18047" s="9" t="str">
        <f>HYPERLINK("http://www.ncbi.nlm.nih.gov/gene/35381283", "35381283")</f>
        <v>35381283</v>
      </c>
      <c r="C18047" s="9"/>
      <c r="D18047" t="str">
        <f>"Y60C6A.3"</f>
        <v>Y60C6A.3</v>
      </c>
      <c r="F18047" t="s">
        <v>11</v>
      </c>
      <c r="H18047" s="12">
        <v>2.3023301924467101</v>
      </c>
      <c r="I18047" s="20">
        <v>0.26674601818072902</v>
      </c>
      <c r="J18047" s="28">
        <v>0.78966471981773201</v>
      </c>
      <c r="K18047" s="29">
        <v>0.98289565623980701</v>
      </c>
    </row>
    <row r="18048" spans="1:11" x14ac:dyDescent="0.35">
      <c r="A18048" s="9" t="str">
        <f>HYPERLINK("http://www.ensembl.org/id/WBGene00022021", "WBGene00022021")</f>
        <v>WBGene00022021</v>
      </c>
      <c r="B18048" s="9" t="str">
        <f>HYPERLINK("http://www.ncbi.nlm.nih.gov/gene/178851", "178851")</f>
        <v>178851</v>
      </c>
      <c r="C18048" s="9" t="str">
        <f>HYPERLINK("http://www.ncbi.nlm.nih.gov/gene/9790", "9790")</f>
        <v>9790</v>
      </c>
      <c r="D18048" t="str">
        <f>"Y61A9LA.10"</f>
        <v>Y61A9LA.10</v>
      </c>
      <c r="F18048" t="s">
        <v>11</v>
      </c>
      <c r="G18048" t="s">
        <v>7634</v>
      </c>
      <c r="H18048" s="12">
        <v>-1.1369970786335699</v>
      </c>
      <c r="I18048" s="20">
        <v>-0.59832800277114095</v>
      </c>
      <c r="J18048" s="28">
        <v>0.54962109532533898</v>
      </c>
      <c r="K18048" s="29">
        <v>0.98289565623980701</v>
      </c>
    </row>
    <row r="18049" spans="1:11" x14ac:dyDescent="0.35">
      <c r="A18049" s="9" t="str">
        <f>HYPERLINK("http://www.ensembl.org/id/WBGene00022022", "WBGene00022022")</f>
        <v>WBGene00022022</v>
      </c>
      <c r="B18049" s="9" t="str">
        <f>HYPERLINK("http://www.ncbi.nlm.nih.gov/gene/178850", "178850")</f>
        <v>178850</v>
      </c>
      <c r="C18049" s="9"/>
      <c r="D18049" t="str">
        <f>"Y61A9LA.11"</f>
        <v>Y61A9LA.11</v>
      </c>
      <c r="F18049" t="s">
        <v>11</v>
      </c>
      <c r="H18049" s="12">
        <v>-1.0804147770690999</v>
      </c>
      <c r="I18049" s="20">
        <v>-0.30343967765705898</v>
      </c>
      <c r="J18049" s="28">
        <v>0.76155481173474004</v>
      </c>
      <c r="K18049" s="29">
        <v>0.98289565623980701</v>
      </c>
    </row>
    <row r="18050" spans="1:11" x14ac:dyDescent="0.35">
      <c r="A18050" s="9" t="str">
        <f>HYPERLINK("http://www.ensembl.org/id/WBGene00044586", "WBGene00044586")</f>
        <v>WBGene00044586</v>
      </c>
      <c r="B18050" s="9" t="str">
        <f>HYPERLINK("http://www.ncbi.nlm.nih.gov/gene/3896864", "3896864")</f>
        <v>3896864</v>
      </c>
      <c r="C18050" s="9"/>
      <c r="D18050" t="str">
        <f>"Y61A9LA.12"</f>
        <v>Y61A9LA.12</v>
      </c>
      <c r="F18050" t="s">
        <v>11</v>
      </c>
      <c r="H18050" s="12">
        <v>1.4903281254924601</v>
      </c>
      <c r="I18050" s="20">
        <v>0.52253390307103897</v>
      </c>
      <c r="J18050" s="28">
        <v>0.60129864750235795</v>
      </c>
      <c r="K18050" s="29">
        <v>0.98289565623980701</v>
      </c>
    </row>
    <row r="18051" spans="1:11" x14ac:dyDescent="0.35">
      <c r="A18051" s="9" t="str">
        <f>HYPERLINK("http://www.ensembl.org/id/WBGene00022015", "WBGene00022015")</f>
        <v>WBGene00022015</v>
      </c>
      <c r="B18051" s="9" t="str">
        <f>HYPERLINK("http://www.ncbi.nlm.nih.gov/gene/178848", "178848")</f>
        <v>178848</v>
      </c>
      <c r="C18051" s="9"/>
      <c r="D18051" t="str">
        <f>"Y61A9LA.3"</f>
        <v>Y61A9LA.3</v>
      </c>
      <c r="F18051" t="s">
        <v>11</v>
      </c>
      <c r="H18051" s="12">
        <v>1.2012353515952501</v>
      </c>
      <c r="I18051" s="20">
        <v>0.96305259555481704</v>
      </c>
      <c r="J18051" s="28">
        <v>0.335521129434183</v>
      </c>
      <c r="K18051" s="29">
        <v>0.98289565623980701</v>
      </c>
    </row>
    <row r="18052" spans="1:11" x14ac:dyDescent="0.35">
      <c r="A18052" s="9" t="str">
        <f>HYPERLINK("http://www.ensembl.org/id/WBGene00022016", "WBGene00022016")</f>
        <v>WBGene00022016</v>
      </c>
      <c r="B18052" s="9" t="str">
        <f>HYPERLINK("http://www.ncbi.nlm.nih.gov/gene/190444", "190444")</f>
        <v>190444</v>
      </c>
      <c r="C18052" s="9"/>
      <c r="D18052" t="str">
        <f>"Y61A9LA.4"</f>
        <v>Y61A9LA.4</v>
      </c>
      <c r="F18052" t="s">
        <v>11</v>
      </c>
      <c r="H18052" s="12">
        <v>2.4093595897525701</v>
      </c>
      <c r="I18052" s="20">
        <v>0.36431699316729799</v>
      </c>
      <c r="J18052" s="28">
        <v>0.71562131183273303</v>
      </c>
      <c r="K18052" s="29">
        <v>0.98289565623980701</v>
      </c>
    </row>
    <row r="18053" spans="1:11" x14ac:dyDescent="0.35">
      <c r="A18053" s="9" t="str">
        <f>HYPERLINK("http://www.ensembl.org/id/WBGene00219383", "WBGene00219383")</f>
        <v>WBGene00219383</v>
      </c>
      <c r="B18053" s="9" t="str">
        <f>HYPERLINK("http://www.ncbi.nlm.nih.gov/gene/24105181", "24105181")</f>
        <v>24105181</v>
      </c>
      <c r="C18053" s="9"/>
      <c r="D18053" t="str">
        <f>"Y61B8A.6"</f>
        <v>Y61B8A.6</v>
      </c>
      <c r="F18053" t="s">
        <v>11</v>
      </c>
      <c r="H18053" s="12">
        <v>-5.4967879193631202</v>
      </c>
      <c r="I18053" s="20">
        <v>-0.50254160819837501</v>
      </c>
      <c r="J18053" s="28">
        <v>0.61528659178453604</v>
      </c>
      <c r="K18053" s="29">
        <v>0.98289565623980701</v>
      </c>
    </row>
    <row r="18054" spans="1:11" x14ac:dyDescent="0.35">
      <c r="A18054" s="9" t="str">
        <f>HYPERLINK("http://www.ensembl.org/id/WBGene00013379", "WBGene00013379")</f>
        <v>WBGene00013379</v>
      </c>
      <c r="B18054" s="9" t="str">
        <f>HYPERLINK("http://www.ncbi.nlm.nih.gov/gene/178304", "178304")</f>
        <v>178304</v>
      </c>
      <c r="C18054" s="9" t="str">
        <f>HYPERLINK("http://www.ncbi.nlm.nih.gov/gene/5723", "5723")</f>
        <v>5723</v>
      </c>
      <c r="D18054" t="str">
        <f>"Y62E10A.13"</f>
        <v>Y62E10A.13</v>
      </c>
      <c r="F18054" t="s">
        <v>11</v>
      </c>
      <c r="G18054" t="s">
        <v>8579</v>
      </c>
      <c r="H18054" s="12">
        <v>-1.18444112283693</v>
      </c>
      <c r="I18054" s="20">
        <v>-0.88092681894321201</v>
      </c>
      <c r="J18054" s="28">
        <v>0.37835743059932497</v>
      </c>
      <c r="K18054" s="29">
        <v>0.98289565623980701</v>
      </c>
    </row>
    <row r="18055" spans="1:11" x14ac:dyDescent="0.35">
      <c r="A18055" s="9" t="str">
        <f>HYPERLINK("http://www.ensembl.org/id/WBGene00013385", "WBGene00013385")</f>
        <v>WBGene00013385</v>
      </c>
      <c r="B18055" s="9" t="str">
        <f>HYPERLINK("http://www.ncbi.nlm.nih.gov/gene/3565328", "3565328")</f>
        <v>3565328</v>
      </c>
      <c r="C18055" s="9"/>
      <c r="D18055" t="str">
        <f>"Y62E10A.19"</f>
        <v>Y62E10A.19</v>
      </c>
      <c r="F18055" t="s">
        <v>11</v>
      </c>
      <c r="H18055" s="12">
        <v>1.3599825341146401</v>
      </c>
      <c r="I18055" s="20">
        <v>0.785158385558269</v>
      </c>
      <c r="J18055" s="28">
        <v>0.43236071107470497</v>
      </c>
      <c r="K18055" s="29">
        <v>0.98289565623980701</v>
      </c>
    </row>
    <row r="18056" spans="1:11" x14ac:dyDescent="0.35">
      <c r="A18056" s="9" t="str">
        <f>HYPERLINK("http://www.ensembl.org/id/WBGene00013373", "WBGene00013373")</f>
        <v>WBGene00013373</v>
      </c>
      <c r="B18056" s="9" t="str">
        <f>HYPERLINK("http://www.ncbi.nlm.nih.gov/gene/178298", "178298")</f>
        <v>178298</v>
      </c>
      <c r="C18056" s="9"/>
      <c r="D18056" t="str">
        <f>"Y62E10A.2"</f>
        <v>Y62E10A.2</v>
      </c>
      <c r="F18056" t="s">
        <v>11</v>
      </c>
      <c r="G18056" t="s">
        <v>7113</v>
      </c>
      <c r="H18056" s="12">
        <v>-1.1074091140492699</v>
      </c>
      <c r="I18056" s="20">
        <v>-0.43032903001071998</v>
      </c>
      <c r="J18056" s="28">
        <v>0.66695631274641498</v>
      </c>
      <c r="K18056" s="29">
        <v>0.98289565623980701</v>
      </c>
    </row>
    <row r="18057" spans="1:11" x14ac:dyDescent="0.35">
      <c r="A18057" s="9" t="str">
        <f>HYPERLINK("http://www.ensembl.org/id/WBGene00044745", "WBGene00044745")</f>
        <v>WBGene00044745</v>
      </c>
      <c r="B18057" s="9" t="str">
        <f>HYPERLINK("http://www.ncbi.nlm.nih.gov/gene/4363066", "4363066")</f>
        <v>4363066</v>
      </c>
      <c r="C18057" s="9"/>
      <c r="D18057" t="str">
        <f>"Y62E10A.20"</f>
        <v>Y62E10A.20</v>
      </c>
      <c r="F18057" t="s">
        <v>11</v>
      </c>
      <c r="G18057" t="s">
        <v>8198</v>
      </c>
      <c r="H18057" s="12">
        <v>-1.16515518936617</v>
      </c>
      <c r="I18057" s="20">
        <v>-0.50916490854804297</v>
      </c>
      <c r="J18057" s="28">
        <v>0.61063663783744204</v>
      </c>
      <c r="K18057" s="29">
        <v>0.98289565623980701</v>
      </c>
    </row>
    <row r="18058" spans="1:11" x14ac:dyDescent="0.35">
      <c r="A18058" s="9" t="str">
        <f>HYPERLINK("http://www.ensembl.org/id/WBGene00302964", "WBGene00302964")</f>
        <v>WBGene00302964</v>
      </c>
      <c r="B18058" s="9" t="str">
        <f>HYPERLINK("http://www.ncbi.nlm.nih.gov/gene/4927037", "4927037")</f>
        <v>4927037</v>
      </c>
      <c r="C18058" s="9"/>
      <c r="D18058" t="str">
        <f>"Y62E10A.23"</f>
        <v>Y62E10A.23</v>
      </c>
      <c r="F18058" t="s">
        <v>11</v>
      </c>
      <c r="H18058" s="12">
        <v>-1.1871144709671699</v>
      </c>
      <c r="I18058" s="20">
        <v>-0.68152422773210397</v>
      </c>
      <c r="J18058" s="28">
        <v>0.49553984188934502</v>
      </c>
      <c r="K18058" s="29">
        <v>0.98289565623980701</v>
      </c>
    </row>
    <row r="18059" spans="1:11" x14ac:dyDescent="0.35">
      <c r="A18059" s="9" t="str">
        <f>HYPERLINK("http://www.ensembl.org/id/WBGene00302968", "WBGene00302968")</f>
        <v>WBGene00302968</v>
      </c>
      <c r="B18059" s="9" t="str">
        <f>HYPERLINK("http://www.ncbi.nlm.nih.gov/gene/36805064", "36805064")</f>
        <v>36805064</v>
      </c>
      <c r="C18059" s="9"/>
      <c r="D18059" t="str">
        <f>"Y62E10A.24"</f>
        <v>Y62E10A.24</v>
      </c>
      <c r="E18059" t="s">
        <v>6970</v>
      </c>
      <c r="F18059" t="s">
        <v>11</v>
      </c>
      <c r="G18059" t="s">
        <v>6971</v>
      </c>
      <c r="H18059" s="12">
        <v>-1.1003366464075199</v>
      </c>
      <c r="I18059" s="20">
        <v>-0.48130265848767501</v>
      </c>
      <c r="J18059" s="28">
        <v>0.63030140789091404</v>
      </c>
      <c r="K18059" s="29">
        <v>0.98289565623980701</v>
      </c>
    </row>
    <row r="18060" spans="1:11" x14ac:dyDescent="0.35">
      <c r="A18060" s="9" t="str">
        <f>HYPERLINK("http://www.ensembl.org/id/WBGene00077452", "WBGene00077452")</f>
        <v>WBGene00077452</v>
      </c>
      <c r="B18060" s="9"/>
      <c r="C18060" s="9"/>
      <c r="D18060" t="str">
        <f>"Y62F5A.11"</f>
        <v>Y62F5A.11</v>
      </c>
      <c r="F18060" t="s">
        <v>2977</v>
      </c>
      <c r="H18060" s="12">
        <v>2.3893468495514898</v>
      </c>
      <c r="I18060" s="20">
        <v>0.25323547253672701</v>
      </c>
      <c r="J18060" s="28">
        <v>0.80008625651646104</v>
      </c>
      <c r="K18060" s="29">
        <v>0.98289565623980701</v>
      </c>
    </row>
    <row r="18061" spans="1:11" x14ac:dyDescent="0.35">
      <c r="A18061" s="9" t="str">
        <f>HYPERLINK("http://www.ensembl.org/id/WBGene00013387", "WBGene00013387")</f>
        <v>WBGene00013387</v>
      </c>
      <c r="B18061" s="9" t="str">
        <f>HYPERLINK("http://www.ncbi.nlm.nih.gov/gene/259465", "259465")</f>
        <v>259465</v>
      </c>
      <c r="C18061" s="9"/>
      <c r="D18061" t="str">
        <f>"Y62F5A.9"</f>
        <v>Y62F5A.9</v>
      </c>
      <c r="F18061" t="s">
        <v>11</v>
      </c>
      <c r="H18061" s="12">
        <v>1.19331270676116</v>
      </c>
      <c r="I18061" s="20">
        <v>0.38225025509662103</v>
      </c>
      <c r="J18061" s="28">
        <v>0.70227574870882503</v>
      </c>
      <c r="K18061" s="29">
        <v>0.98289565623980701</v>
      </c>
    </row>
    <row r="18062" spans="1:11" x14ac:dyDescent="0.35">
      <c r="A18062" s="9" t="str">
        <f>HYPERLINK("http://www.ensembl.org/id/WBGene00013398", "WBGene00013398")</f>
        <v>WBGene00013398</v>
      </c>
      <c r="B18062" s="9" t="str">
        <f>HYPERLINK("http://www.ncbi.nlm.nih.gov/gene/190465", "190465")</f>
        <v>190465</v>
      </c>
      <c r="C18062" s="9"/>
      <c r="D18062" t="str">
        <f>"Y62H9A.10"</f>
        <v>Y62H9A.10</v>
      </c>
      <c r="F18062" t="s">
        <v>11</v>
      </c>
      <c r="G18062" t="s">
        <v>25</v>
      </c>
      <c r="H18062" s="12">
        <v>-1.6886385848299199</v>
      </c>
      <c r="I18062" s="20">
        <v>-1.0130954604362801</v>
      </c>
      <c r="J18062" s="28">
        <v>0.31101456640251002</v>
      </c>
      <c r="K18062" s="29">
        <v>0.98289565623980701</v>
      </c>
    </row>
    <row r="18063" spans="1:11" x14ac:dyDescent="0.35">
      <c r="A18063" s="9" t="str">
        <f>HYPERLINK("http://www.ensembl.org/id/WBGene00013401", "WBGene00013401")</f>
        <v>WBGene00013401</v>
      </c>
      <c r="B18063" s="9" t="str">
        <f>HYPERLINK("http://www.ncbi.nlm.nih.gov/gene/190468", "190468")</f>
        <v>190468</v>
      </c>
      <c r="C18063" s="9"/>
      <c r="D18063" t="str">
        <f>"Y62H9A.13"</f>
        <v>Y62H9A.13</v>
      </c>
      <c r="F18063" t="s">
        <v>11</v>
      </c>
      <c r="H18063" s="12">
        <v>1.49642555661531</v>
      </c>
      <c r="I18063" s="20">
        <v>0.754903988424376</v>
      </c>
      <c r="J18063" s="28">
        <v>0.450306592507345</v>
      </c>
      <c r="K18063" s="29">
        <v>0.98289565623980701</v>
      </c>
    </row>
    <row r="18064" spans="1:11" x14ac:dyDescent="0.35">
      <c r="A18064" s="9" t="str">
        <f>HYPERLINK("http://www.ensembl.org/id/WBGene00013402", "WBGene00013402")</f>
        <v>WBGene00013402</v>
      </c>
      <c r="B18064" s="9" t="str">
        <f>HYPERLINK("http://www.ncbi.nlm.nih.gov/gene/190469", "190469")</f>
        <v>190469</v>
      </c>
      <c r="C18064" s="9"/>
      <c r="D18064" t="str">
        <f>"Y62H9A.14"</f>
        <v>Y62H9A.14</v>
      </c>
      <c r="F18064" t="s">
        <v>11</v>
      </c>
      <c r="H18064" s="12">
        <v>1.8596293571928999</v>
      </c>
      <c r="I18064" s="20">
        <v>0.67041252194348799</v>
      </c>
      <c r="J18064" s="28">
        <v>0.50259485440847196</v>
      </c>
      <c r="K18064" s="29">
        <v>0.98289565623980701</v>
      </c>
    </row>
    <row r="18065" spans="1:11" x14ac:dyDescent="0.35">
      <c r="A18065" s="9" t="str">
        <f>HYPERLINK("http://www.ensembl.org/id/WBGene00013391", "WBGene00013391")</f>
        <v>WBGene00013391</v>
      </c>
      <c r="B18065" s="9" t="str">
        <f>HYPERLINK("http://www.ncbi.nlm.nih.gov/gene/181363", "181363")</f>
        <v>181363</v>
      </c>
      <c r="C18065" s="9"/>
      <c r="D18065" t="str">
        <f>"Y62H9A.3"</f>
        <v>Y62H9A.3</v>
      </c>
      <c r="F18065" t="s">
        <v>11</v>
      </c>
      <c r="H18065" s="12">
        <v>1.05965885965676</v>
      </c>
      <c r="I18065" s="20">
        <v>0.29706191809086102</v>
      </c>
      <c r="J18065" s="28">
        <v>0.76641923764695397</v>
      </c>
      <c r="K18065" s="29">
        <v>0.98289565623980701</v>
      </c>
    </row>
    <row r="18066" spans="1:11" x14ac:dyDescent="0.35">
      <c r="A18066" s="9" t="str">
        <f>HYPERLINK("http://www.ensembl.org/id/WBGene00013392", "WBGene00013392")</f>
        <v>WBGene00013392</v>
      </c>
      <c r="B18066" s="9" t="str">
        <f>HYPERLINK("http://www.ncbi.nlm.nih.gov/gene/190461", "190461")</f>
        <v>190461</v>
      </c>
      <c r="C18066" s="9"/>
      <c r="D18066" t="str">
        <f>"Y62H9A.4"</f>
        <v>Y62H9A.4</v>
      </c>
      <c r="F18066" t="s">
        <v>11</v>
      </c>
      <c r="H18066" s="12">
        <v>1.20074418335041</v>
      </c>
      <c r="I18066" s="20">
        <v>0.94286926611324995</v>
      </c>
      <c r="J18066" s="28">
        <v>0.345747776882463</v>
      </c>
      <c r="K18066" s="29">
        <v>0.98289565623980701</v>
      </c>
    </row>
    <row r="18067" spans="1:11" x14ac:dyDescent="0.35">
      <c r="A18067" s="9" t="str">
        <f>HYPERLINK("http://www.ensembl.org/id/WBGene00013395", "WBGene00013395")</f>
        <v>WBGene00013395</v>
      </c>
      <c r="B18067" s="9" t="str">
        <f>HYPERLINK("http://www.ncbi.nlm.nih.gov/gene/190462", "190462")</f>
        <v>190462</v>
      </c>
      <c r="C18067" s="9"/>
      <c r="D18067" t="str">
        <f>"Y62H9A.7"</f>
        <v>Y62H9A.7</v>
      </c>
      <c r="F18067" t="s">
        <v>11</v>
      </c>
      <c r="H18067" s="12">
        <v>2.3893468495514898</v>
      </c>
      <c r="I18067" s="20">
        <v>0.25323547253672701</v>
      </c>
      <c r="J18067" s="28">
        <v>0.80008625651646104</v>
      </c>
      <c r="K18067" s="29">
        <v>0.98289565623980701</v>
      </c>
    </row>
    <row r="18068" spans="1:11" x14ac:dyDescent="0.35">
      <c r="A18068" s="9" t="str">
        <f>HYPERLINK("http://www.ensembl.org/id/WBGene00013397", "WBGene00013397")</f>
        <v>WBGene00013397</v>
      </c>
      <c r="B18068" s="9" t="str">
        <f>HYPERLINK("http://www.ncbi.nlm.nih.gov/gene/190464", "190464")</f>
        <v>190464</v>
      </c>
      <c r="C18068" s="9"/>
      <c r="D18068" t="str">
        <f>"Y62H9A.9"</f>
        <v>Y62H9A.9</v>
      </c>
      <c r="F18068" t="s">
        <v>11</v>
      </c>
      <c r="H18068" s="12">
        <v>-2.6421444539657299</v>
      </c>
      <c r="I18068" s="20">
        <v>-0.41198251077766501</v>
      </c>
      <c r="J18068" s="28">
        <v>0.68035224218671497</v>
      </c>
      <c r="K18068" s="29">
        <v>0.98289565623980701</v>
      </c>
    </row>
    <row r="18069" spans="1:11" x14ac:dyDescent="0.35">
      <c r="A18069" s="9" t="str">
        <f>HYPERLINK("http://www.ensembl.org/id/WBGene00013407", "WBGene00013407")</f>
        <v>WBGene00013407</v>
      </c>
      <c r="B18069" s="9" t="str">
        <f>HYPERLINK("http://www.ncbi.nlm.nih.gov/gene/173280", "173280")</f>
        <v>173280</v>
      </c>
      <c r="C18069" s="9"/>
      <c r="D18069" t="str">
        <f>"Y63D3A.8"</f>
        <v>Y63D3A.8</v>
      </c>
      <c r="F18069" t="s">
        <v>11</v>
      </c>
      <c r="G18069" t="s">
        <v>3092</v>
      </c>
      <c r="H18069" s="12">
        <v>1.0589561373371901</v>
      </c>
      <c r="I18069" s="20">
        <v>0.28034933216998498</v>
      </c>
      <c r="J18069" s="28">
        <v>0.77920950596404404</v>
      </c>
      <c r="K18069" s="29">
        <v>0.98289565623980701</v>
      </c>
    </row>
    <row r="18070" spans="1:11" x14ac:dyDescent="0.35">
      <c r="A18070" s="9" t="str">
        <f>HYPERLINK("http://www.ensembl.org/id/WBGene00013411", "WBGene00013411")</f>
        <v>WBGene00013411</v>
      </c>
      <c r="B18070" s="9" t="str">
        <f>HYPERLINK("http://www.ncbi.nlm.nih.gov/gene/190473", "190473")</f>
        <v>190473</v>
      </c>
      <c r="C18070" s="9"/>
      <c r="D18070" t="str">
        <f>"Y64G10A.1"</f>
        <v>Y64G10A.1</v>
      </c>
      <c r="F18070" t="s">
        <v>11</v>
      </c>
      <c r="H18070" s="12">
        <v>-2.4991590031922399</v>
      </c>
      <c r="I18070" s="20">
        <v>-0.26577412737581302</v>
      </c>
      <c r="J18070" s="28">
        <v>0.79041317015736101</v>
      </c>
      <c r="K18070" s="29">
        <v>0.98289565623980701</v>
      </c>
    </row>
    <row r="18071" spans="1:11" x14ac:dyDescent="0.35">
      <c r="A18071" s="9" t="str">
        <f>HYPERLINK("http://www.ensembl.org/id/WBGene00045144", "WBGene00045144")</f>
        <v>WBGene00045144</v>
      </c>
      <c r="B18071" s="9" t="str">
        <f>HYPERLINK("http://www.ncbi.nlm.nih.gov/gene/4926936", "4926936")</f>
        <v>4926936</v>
      </c>
      <c r="C18071" s="9"/>
      <c r="D18071" t="str">
        <f>"Y64G10A.10"</f>
        <v>Y64G10A.10</v>
      </c>
      <c r="F18071" t="s">
        <v>11</v>
      </c>
      <c r="H18071" s="12">
        <v>2.4578120077400301</v>
      </c>
      <c r="I18071" s="20">
        <v>0.26093350314551</v>
      </c>
      <c r="J18071" s="28">
        <v>0.79414378780213601</v>
      </c>
      <c r="K18071" s="29">
        <v>0.98289565623980701</v>
      </c>
    </row>
    <row r="18072" spans="1:11" x14ac:dyDescent="0.35">
      <c r="A18072" s="9" t="str">
        <f>HYPERLINK("http://www.ensembl.org/id/WBGene00045202", "WBGene00045202")</f>
        <v>WBGene00045202</v>
      </c>
      <c r="B18072" s="9"/>
      <c r="C18072" s="9"/>
      <c r="D18072" t="str">
        <f>"Y64G10A.13"</f>
        <v>Y64G10A.13</v>
      </c>
      <c r="F18072" t="s">
        <v>80</v>
      </c>
      <c r="H18072" s="12">
        <v>2.3893468495514898</v>
      </c>
      <c r="I18072" s="20">
        <v>0.25323547253672701</v>
      </c>
      <c r="J18072" s="28">
        <v>0.80008625651646104</v>
      </c>
      <c r="K18072" s="29">
        <v>0.98289565623980701</v>
      </c>
    </row>
    <row r="18073" spans="1:11" x14ac:dyDescent="0.35">
      <c r="A18073" s="9" t="str">
        <f>HYPERLINK("http://www.ensembl.org/id/WBGene00198655", "WBGene00198655")</f>
        <v>WBGene00198655</v>
      </c>
      <c r="B18073" s="9"/>
      <c r="C18073" s="9"/>
      <c r="D18073" t="str">
        <f>"Y64G10A.356"</f>
        <v>Y64G10A.356</v>
      </c>
      <c r="F18073" t="s">
        <v>481</v>
      </c>
      <c r="H18073" s="12">
        <v>-2.4295389261469</v>
      </c>
      <c r="I18073" s="20">
        <v>-0.25808529976640998</v>
      </c>
      <c r="J18073" s="28">
        <v>0.79634107645457397</v>
      </c>
      <c r="K18073" s="29">
        <v>0.98289565623980701</v>
      </c>
    </row>
    <row r="18074" spans="1:11" x14ac:dyDescent="0.35">
      <c r="A18074" s="9" t="str">
        <f>HYPERLINK("http://www.ensembl.org/id/WBGene00013416", "WBGene00013416")</f>
        <v>WBGene00013416</v>
      </c>
      <c r="B18074" s="9" t="str">
        <f>HYPERLINK("http://www.ncbi.nlm.nih.gov/gene/178377", "178377")</f>
        <v>178377</v>
      </c>
      <c r="C18074" s="9" t="str">
        <f>HYPERLINK("http://www.ncbi.nlm.nih.gov/gene/1953", "1953")</f>
        <v>1953</v>
      </c>
      <c r="D18074" t="str">
        <f>"Y64G10A.7"</f>
        <v>Y64G10A.7</v>
      </c>
      <c r="F18074" t="s">
        <v>11</v>
      </c>
      <c r="G18074" t="s">
        <v>442</v>
      </c>
      <c r="H18074" s="12">
        <v>1.26341164245486</v>
      </c>
      <c r="I18074" s="20">
        <v>1.16100967566488</v>
      </c>
      <c r="J18074" s="28">
        <v>0.245637964659464</v>
      </c>
      <c r="K18074" s="29">
        <v>0.98289565623980701</v>
      </c>
    </row>
    <row r="18075" spans="1:11" x14ac:dyDescent="0.35">
      <c r="A18075" s="9" t="str">
        <f>HYPERLINK("http://www.ensembl.org/id/WBGene00185101", "WBGene00185101")</f>
        <v>WBGene00185101</v>
      </c>
      <c r="B18075" s="9" t="str">
        <f>HYPERLINK("http://www.ncbi.nlm.nih.gov/gene/13208921", "13208921")</f>
        <v>13208921</v>
      </c>
      <c r="C18075" s="9"/>
      <c r="D18075" t="str">
        <f>"Y65A5A.24"</f>
        <v>Y65A5A.24</v>
      </c>
      <c r="F18075" t="s">
        <v>11</v>
      </c>
      <c r="H18075" s="12">
        <v>4.5615672134496297</v>
      </c>
      <c r="I18075" s="20">
        <v>0.60001680761973897</v>
      </c>
      <c r="J18075" s="28">
        <v>0.54849503413180201</v>
      </c>
      <c r="K18075" s="29">
        <v>0.98289565623980701</v>
      </c>
    </row>
    <row r="18076" spans="1:11" x14ac:dyDescent="0.35">
      <c r="A18076" s="9" t="str">
        <f>HYPERLINK("http://www.ensembl.org/id/WBGene00199886", "WBGene00199886")</f>
        <v>WBGene00199886</v>
      </c>
      <c r="B18076" s="9"/>
      <c r="C18076" s="9"/>
      <c r="D18076" t="str">
        <f>"Y65A5A.26"</f>
        <v>Y65A5A.26</v>
      </c>
      <c r="F18076" t="s">
        <v>481</v>
      </c>
      <c r="H18076" s="12">
        <v>2.6979837705808198</v>
      </c>
      <c r="I18076" s="20">
        <v>0.74935582503769904</v>
      </c>
      <c r="J18076" s="28">
        <v>0.45364276885030402</v>
      </c>
      <c r="K18076" s="29">
        <v>0.98289565623980701</v>
      </c>
    </row>
    <row r="18077" spans="1:11" x14ac:dyDescent="0.35">
      <c r="A18077" s="9" t="str">
        <f>HYPERLINK("http://www.ensembl.org/id/WBGene00014599", "WBGene00014599")</f>
        <v>WBGene00014599</v>
      </c>
      <c r="B18077" s="9"/>
      <c r="C18077" s="9"/>
      <c r="D18077" t="str">
        <f>"Y65A5A.t4"</f>
        <v>Y65A5A.t4</v>
      </c>
      <c r="F18077" t="s">
        <v>4208</v>
      </c>
      <c r="H18077" s="12">
        <v>-2.4991590031922399</v>
      </c>
      <c r="I18077" s="20">
        <v>-0.26577412737581302</v>
      </c>
      <c r="J18077" s="28">
        <v>0.79041317015736101</v>
      </c>
      <c r="K18077" s="29">
        <v>0.98289565623980701</v>
      </c>
    </row>
    <row r="18078" spans="1:11" x14ac:dyDescent="0.35">
      <c r="A18078" s="9" t="str">
        <f>HYPERLINK("http://www.ensembl.org/id/WBGene00022028", "WBGene00022028")</f>
        <v>WBGene00022028</v>
      </c>
      <c r="B18078" s="9" t="str">
        <f>HYPERLINK("http://www.ncbi.nlm.nih.gov/gene/190484", "190484")</f>
        <v>190484</v>
      </c>
      <c r="C18078" s="9"/>
      <c r="D18078" t="str">
        <f>"Y65B4A.4"</f>
        <v>Y65B4A.4</v>
      </c>
      <c r="F18078" t="s">
        <v>11</v>
      </c>
      <c r="G18078" t="s">
        <v>1146</v>
      </c>
      <c r="H18078" s="12">
        <v>1.42867574400048</v>
      </c>
      <c r="I18078" s="20">
        <v>0.48232561651315298</v>
      </c>
      <c r="J18078" s="28">
        <v>0.62957465252952405</v>
      </c>
      <c r="K18078" s="29">
        <v>0.98289565623980701</v>
      </c>
    </row>
    <row r="18079" spans="1:11" x14ac:dyDescent="0.35">
      <c r="A18079" s="9" t="str">
        <f>HYPERLINK("http://www.ensembl.org/id/WBGene00022029", "WBGene00022029")</f>
        <v>WBGene00022029</v>
      </c>
      <c r="B18079" s="9" t="str">
        <f>HYPERLINK("http://www.ncbi.nlm.nih.gov/gene/190485", "190485")</f>
        <v>190485</v>
      </c>
      <c r="C18079" s="9" t="str">
        <f>HYPERLINK("http://www.ncbi.nlm.nih.gov/gene/9775", "9775")</f>
        <v>9775</v>
      </c>
      <c r="D18079" t="str">
        <f>"Y65B4A.6"</f>
        <v>Y65B4A.6</v>
      </c>
      <c r="F18079" t="s">
        <v>11</v>
      </c>
      <c r="G18079" t="s">
        <v>6447</v>
      </c>
      <c r="H18079" s="12">
        <v>-1.06993534566063</v>
      </c>
      <c r="I18079" s="20">
        <v>-0.33209557567380099</v>
      </c>
      <c r="J18079" s="28">
        <v>0.739817090835302</v>
      </c>
      <c r="K18079" s="29">
        <v>0.98289565623980701</v>
      </c>
    </row>
    <row r="18080" spans="1:11" x14ac:dyDescent="0.35">
      <c r="A18080" s="9" t="str">
        <f>HYPERLINK("http://www.ensembl.org/id/WBGene00022030", "WBGene00022030")</f>
        <v>WBGene00022030</v>
      </c>
      <c r="B18080" s="9" t="str">
        <f>HYPERLINK("http://www.ncbi.nlm.nih.gov/gene/190486", "190486")</f>
        <v>190486</v>
      </c>
      <c r="C18080" s="9"/>
      <c r="D18080" t="str">
        <f>"Y65B4A.7"</f>
        <v>Y65B4A.7</v>
      </c>
      <c r="F18080" t="s">
        <v>11</v>
      </c>
      <c r="G18080" t="s">
        <v>4204</v>
      </c>
      <c r="H18080" s="12">
        <v>-1.99601729582475</v>
      </c>
      <c r="I18080" s="20">
        <v>-0.55857649504218898</v>
      </c>
      <c r="J18080" s="28">
        <v>0.57645078522158599</v>
      </c>
      <c r="K18080" s="29">
        <v>0.98289565623980701</v>
      </c>
    </row>
    <row r="18081" spans="1:11" x14ac:dyDescent="0.35">
      <c r="A18081" s="9" t="str">
        <f>HYPERLINK("http://www.ensembl.org/id/WBGene00022031", "WBGene00022031")</f>
        <v>WBGene00022031</v>
      </c>
      <c r="B18081" s="9" t="str">
        <f>HYPERLINK("http://www.ncbi.nlm.nih.gov/gene/171657", "171657")</f>
        <v>171657</v>
      </c>
      <c r="C18081" s="9" t="str">
        <f>HYPERLINK("http://www.ncbi.nlm.nih.gov/gene/80347", "80347")</f>
        <v>80347</v>
      </c>
      <c r="D18081" t="str">
        <f>"Y65B4A.8"</f>
        <v>Y65B4A.8</v>
      </c>
      <c r="F18081" t="s">
        <v>11</v>
      </c>
      <c r="G18081" t="s">
        <v>7232</v>
      </c>
      <c r="H18081" s="12">
        <v>-1.11472089199552</v>
      </c>
      <c r="I18081" s="20">
        <v>-0.50155449574344002</v>
      </c>
      <c r="J18081" s="28">
        <v>0.61598093505398899</v>
      </c>
      <c r="K18081" s="29">
        <v>0.98289565623980701</v>
      </c>
    </row>
    <row r="18082" spans="1:11" x14ac:dyDescent="0.35">
      <c r="A18082" s="9" t="str">
        <f>HYPERLINK("http://www.ensembl.org/id/WBGene00022032", "WBGene00022032")</f>
        <v>WBGene00022032</v>
      </c>
      <c r="B18082" s="9" t="str">
        <f>HYPERLINK("http://www.ncbi.nlm.nih.gov/gene/171658", "171658")</f>
        <v>171658</v>
      </c>
      <c r="C18082" s="9"/>
      <c r="D18082" t="str">
        <f>"Y65B4A.9"</f>
        <v>Y65B4A.9</v>
      </c>
      <c r="F18082" t="s">
        <v>11</v>
      </c>
      <c r="G18082" t="s">
        <v>1763</v>
      </c>
      <c r="H18082" s="12">
        <v>-2.0087505217530701</v>
      </c>
      <c r="I18082" s="20">
        <v>-0.42839512051741802</v>
      </c>
      <c r="J18082" s="28">
        <v>0.66836347659342799</v>
      </c>
      <c r="K18082" s="29">
        <v>0.98289565623980701</v>
      </c>
    </row>
    <row r="18083" spans="1:11" x14ac:dyDescent="0.35">
      <c r="A18083" s="9" t="str">
        <f>HYPERLINK("http://www.ensembl.org/id/WBGene00022033", "WBGene00022033")</f>
        <v>WBGene00022033</v>
      </c>
      <c r="B18083" s="9" t="str">
        <f>HYPERLINK("http://www.ncbi.nlm.nih.gov/gene/171644", "171644")</f>
        <v>171644</v>
      </c>
      <c r="C18083" s="9"/>
      <c r="D18083" t="str">
        <f>"Y65B4BL.1"</f>
        <v>Y65B4BL.1</v>
      </c>
      <c r="F18083" t="s">
        <v>11</v>
      </c>
      <c r="H18083" s="12">
        <v>1.1274366365669299</v>
      </c>
      <c r="I18083" s="20">
        <v>0.31722844700057901</v>
      </c>
      <c r="J18083" s="28">
        <v>0.75107026620860395</v>
      </c>
      <c r="K18083" s="29">
        <v>0.98289565623980701</v>
      </c>
    </row>
    <row r="18084" spans="1:11" x14ac:dyDescent="0.35">
      <c r="A18084" s="9" t="str">
        <f>HYPERLINK("http://www.ensembl.org/id/WBGene00022039", "WBGene00022039")</f>
        <v>WBGene00022039</v>
      </c>
      <c r="B18084" s="9" t="str">
        <f>HYPERLINK("http://www.ncbi.nlm.nih.gov/gene/3564829", "3564829")</f>
        <v>3564829</v>
      </c>
      <c r="C18084" s="9"/>
      <c r="D18084" t="str">
        <f>"Y65B4BL.7"</f>
        <v>Y65B4BL.7</v>
      </c>
      <c r="F18084" t="s">
        <v>11</v>
      </c>
      <c r="G18084" t="s">
        <v>25</v>
      </c>
      <c r="H18084" s="12">
        <v>-1.60060125677786</v>
      </c>
      <c r="I18084" s="20">
        <v>-1.04017065741723</v>
      </c>
      <c r="J18084" s="28">
        <v>0.29826062128423703</v>
      </c>
      <c r="K18084" s="29">
        <v>0.98289565623980701</v>
      </c>
    </row>
    <row r="18085" spans="1:11" x14ac:dyDescent="0.35">
      <c r="A18085" s="9" t="str">
        <f>HYPERLINK("http://www.ensembl.org/id/WBGene00302974", "WBGene00302974")</f>
        <v>WBGene00302974</v>
      </c>
      <c r="B18085" s="9" t="str">
        <f>HYPERLINK("http://www.ncbi.nlm.nih.gov/gene/36805065", "36805065")</f>
        <v>36805065</v>
      </c>
      <c r="C18085" s="9"/>
      <c r="D18085" t="str">
        <f>"Y65B4BM.3"</f>
        <v>Y65B4BM.3</v>
      </c>
      <c r="F18085" t="s">
        <v>11</v>
      </c>
      <c r="H18085" s="12">
        <v>1.19732640017462</v>
      </c>
      <c r="I18085" s="20">
        <v>0.78079465883754395</v>
      </c>
      <c r="J18085" s="28">
        <v>0.43492327596686597</v>
      </c>
      <c r="K18085" s="29">
        <v>0.98289565623980701</v>
      </c>
    </row>
    <row r="18086" spans="1:11" x14ac:dyDescent="0.35">
      <c r="A18086" s="9" t="str">
        <f>HYPERLINK("http://www.ensembl.org/id/WBGene00202444", "WBGene00202444")</f>
        <v>WBGene00202444</v>
      </c>
      <c r="B18086" s="9"/>
      <c r="C18086" s="9"/>
      <c r="D18086" t="str">
        <f>"Y65B4BR.11"</f>
        <v>Y65B4BR.11</v>
      </c>
      <c r="F18086" t="s">
        <v>481</v>
      </c>
      <c r="H18086" s="12">
        <v>-4.7167679298615104</v>
      </c>
      <c r="I18086" s="20">
        <v>-0.454742638005115</v>
      </c>
      <c r="J18086" s="28">
        <v>0.64929440216969203</v>
      </c>
      <c r="K18086" s="29">
        <v>0.98289565623980701</v>
      </c>
    </row>
    <row r="18087" spans="1:11" x14ac:dyDescent="0.35">
      <c r="A18087" s="9" t="str">
        <f>HYPERLINK("http://www.ensembl.org/id/WBGene00220191", "WBGene00220191")</f>
        <v>WBGene00220191</v>
      </c>
      <c r="B18087" s="9"/>
      <c r="C18087" s="9"/>
      <c r="D18087" t="str">
        <f>"Y65B4BR.12"</f>
        <v>Y65B4BR.12</v>
      </c>
      <c r="F18087" t="s">
        <v>2977</v>
      </c>
      <c r="H18087" s="12">
        <v>-2.2747253724340402</v>
      </c>
      <c r="I18087" s="20">
        <v>-0.31719583161315601</v>
      </c>
      <c r="J18087" s="28">
        <v>0.75109501263425704</v>
      </c>
      <c r="K18087" s="29">
        <v>0.98289565623980701</v>
      </c>
    </row>
    <row r="18088" spans="1:11" x14ac:dyDescent="0.35">
      <c r="A18088" s="9" t="str">
        <f>HYPERLINK("http://www.ensembl.org/id/WBGene00013422", "WBGene00013422")</f>
        <v>WBGene00013422</v>
      </c>
      <c r="B18088" s="9" t="str">
        <f>HYPERLINK("http://www.ncbi.nlm.nih.gov/gene/176577", "176577")</f>
        <v>176577</v>
      </c>
      <c r="C18088" s="9"/>
      <c r="D18088" t="str">
        <f>"Y66A7A.2"</f>
        <v>Y66A7A.2</v>
      </c>
      <c r="E18088" t="s">
        <v>6947</v>
      </c>
      <c r="F18088" t="s">
        <v>11</v>
      </c>
      <c r="G18088" t="s">
        <v>6948</v>
      </c>
      <c r="H18088" s="12">
        <v>-1.0992221854409701</v>
      </c>
      <c r="I18088" s="20">
        <v>-0.40068725324920601</v>
      </c>
      <c r="J18088" s="28">
        <v>0.68865039668790096</v>
      </c>
      <c r="K18088" s="29">
        <v>0.98289565623980701</v>
      </c>
    </row>
    <row r="18089" spans="1:11" x14ac:dyDescent="0.35">
      <c r="A18089" s="9" t="str">
        <f>HYPERLINK("http://www.ensembl.org/id/WBGene00013424", "WBGene00013424")</f>
        <v>WBGene00013424</v>
      </c>
      <c r="B18089" s="9" t="str">
        <f>HYPERLINK("http://www.ncbi.nlm.nih.gov/gene/190491", "190491")</f>
        <v>190491</v>
      </c>
      <c r="C18089" s="9"/>
      <c r="D18089" t="str">
        <f>"Y66A7A.4"</f>
        <v>Y66A7A.4</v>
      </c>
      <c r="F18089" t="s">
        <v>11</v>
      </c>
      <c r="H18089" s="12">
        <v>1.75661870553055</v>
      </c>
      <c r="I18089" s="20">
        <v>0.51707414860660394</v>
      </c>
      <c r="J18089" s="28">
        <v>0.60510439889593604</v>
      </c>
      <c r="K18089" s="29">
        <v>0.98289565623980701</v>
      </c>
    </row>
    <row r="18090" spans="1:11" x14ac:dyDescent="0.35">
      <c r="A18090" s="9" t="str">
        <f>HYPERLINK("http://www.ensembl.org/id/WBGene00194864", "WBGene00194864")</f>
        <v>WBGene00194864</v>
      </c>
      <c r="B18090" s="9" t="str">
        <f>HYPERLINK("http://www.ncbi.nlm.nih.gov/gene/13191416", "13191416")</f>
        <v>13191416</v>
      </c>
      <c r="C18090" s="9"/>
      <c r="D18090" t="str">
        <f>"Y66A7A.9"</f>
        <v>Y66A7A.9</v>
      </c>
      <c r="F18090" t="s">
        <v>11</v>
      </c>
      <c r="H18090" s="12">
        <v>3.6645215954135</v>
      </c>
      <c r="I18090" s="20">
        <v>0.37967131826092498</v>
      </c>
      <c r="J18090" s="28">
        <v>0.70418941338960395</v>
      </c>
      <c r="K18090" s="29">
        <v>0.98289565623980701</v>
      </c>
    </row>
    <row r="18091" spans="1:11" x14ac:dyDescent="0.35">
      <c r="A18091" s="9" t="str">
        <f>HYPERLINK("http://www.ensembl.org/id/WBGene00197877", "WBGene00197877")</f>
        <v>WBGene00197877</v>
      </c>
      <c r="B18091" s="9"/>
      <c r="C18091" s="9"/>
      <c r="D18091" t="str">
        <f>"Y66A7AL.5"</f>
        <v>Y66A7AL.5</v>
      </c>
      <c r="F18091" t="s">
        <v>481</v>
      </c>
      <c r="H18091" s="12">
        <v>3.5227018545059199</v>
      </c>
      <c r="I18091" s="20">
        <v>0.36849691206929103</v>
      </c>
      <c r="J18091" s="28">
        <v>0.71250274722433404</v>
      </c>
      <c r="K18091" s="29">
        <v>0.98289565623980701</v>
      </c>
    </row>
    <row r="18092" spans="1:11" x14ac:dyDescent="0.35">
      <c r="A18092" s="9" t="str">
        <f>HYPERLINK("http://www.ensembl.org/id/WBGene00199376", "WBGene00199376")</f>
        <v>WBGene00199376</v>
      </c>
      <c r="B18092" s="9"/>
      <c r="C18092" s="9"/>
      <c r="D18092" t="str">
        <f>"Y66A7AL.7"</f>
        <v>Y66A7AL.7</v>
      </c>
      <c r="F18092" t="s">
        <v>481</v>
      </c>
      <c r="H18092" s="12">
        <v>3.5227018545059199</v>
      </c>
      <c r="I18092" s="20">
        <v>0.36849691206929103</v>
      </c>
      <c r="J18092" s="28">
        <v>0.71250274722433404</v>
      </c>
      <c r="K18092" s="29">
        <v>0.98289565623980701</v>
      </c>
    </row>
    <row r="18093" spans="1:11" x14ac:dyDescent="0.35">
      <c r="A18093" s="9" t="str">
        <f>HYPERLINK("http://www.ensembl.org/id/WBGene00044156", "WBGene00044156")</f>
        <v>WBGene00044156</v>
      </c>
      <c r="B18093" s="9" t="str">
        <f>HYPERLINK("http://www.ncbi.nlm.nih.gov/gene/3565864", "3565864")</f>
        <v>3565864</v>
      </c>
      <c r="C18093" s="9"/>
      <c r="D18093" t="str">
        <f>"Y66C5A.1"</f>
        <v>Y66C5A.1</v>
      </c>
      <c r="F18093" t="s">
        <v>11</v>
      </c>
      <c r="H18093" s="12">
        <v>-1.14118535420293</v>
      </c>
      <c r="I18093" s="20">
        <v>-0.273393581113894</v>
      </c>
      <c r="J18093" s="28">
        <v>0.78455068644124104</v>
      </c>
      <c r="K18093" s="29">
        <v>0.98289565623980701</v>
      </c>
    </row>
    <row r="18094" spans="1:11" x14ac:dyDescent="0.35">
      <c r="A18094" s="9" t="str">
        <f>HYPERLINK("http://www.ensembl.org/id/WBGene00044157", "WBGene00044157")</f>
        <v>WBGene00044157</v>
      </c>
      <c r="B18094" s="9" t="str">
        <f>HYPERLINK("http://www.ncbi.nlm.nih.gov/gene/3565649", "3565649")</f>
        <v>3565649</v>
      </c>
      <c r="C18094" s="9"/>
      <c r="D18094" t="str">
        <f>"Y66C5A.2"</f>
        <v>Y66C5A.2</v>
      </c>
      <c r="F18094" t="s">
        <v>11</v>
      </c>
      <c r="H18094" s="12">
        <v>-2.4991590031922399</v>
      </c>
      <c r="I18094" s="20">
        <v>-0.26577412737581302</v>
      </c>
      <c r="J18094" s="28">
        <v>0.79041317015736101</v>
      </c>
      <c r="K18094" s="29">
        <v>0.98289565623980701</v>
      </c>
    </row>
    <row r="18095" spans="1:11" x14ac:dyDescent="0.35">
      <c r="A18095" s="9" t="str">
        <f>HYPERLINK("http://www.ensembl.org/id/WBGene00013427", "WBGene00013427")</f>
        <v>WBGene00013427</v>
      </c>
      <c r="B18095" s="9" t="str">
        <f>HYPERLINK("http://www.ncbi.nlm.nih.gov/gene/190495", "190495")</f>
        <v>190495</v>
      </c>
      <c r="C18095" s="9"/>
      <c r="D18095" t="str">
        <f>"Y66D12A.1"</f>
        <v>Y66D12A.1</v>
      </c>
      <c r="F18095" t="s">
        <v>11</v>
      </c>
      <c r="H18095" s="12">
        <v>-6.15299323723832</v>
      </c>
      <c r="I18095" s="20">
        <v>-0.69206744853357904</v>
      </c>
      <c r="J18095" s="28">
        <v>0.48889497264889498</v>
      </c>
      <c r="K18095" s="29">
        <v>0.98289565623980701</v>
      </c>
    </row>
    <row r="18096" spans="1:11" x14ac:dyDescent="0.35">
      <c r="A18096" s="9" t="str">
        <f>HYPERLINK("http://www.ensembl.org/id/WBGene00013446", "WBGene00013446")</f>
        <v>WBGene00013446</v>
      </c>
      <c r="B18096" s="9" t="str">
        <f>HYPERLINK("http://www.ncbi.nlm.nih.gov/gene/176581", "176581")</f>
        <v>176581</v>
      </c>
      <c r="C18096" s="9" t="str">
        <f>HYPERLINK("http://www.ncbi.nlm.nih.gov/gene/83941", "83941")</f>
        <v>83941</v>
      </c>
      <c r="D18096" t="str">
        <f>"Y66D12A.21"</f>
        <v>Y66D12A.21</v>
      </c>
      <c r="E18096" t="s">
        <v>7126</v>
      </c>
      <c r="F18096" t="s">
        <v>11</v>
      </c>
      <c r="G18096" t="s">
        <v>25</v>
      </c>
      <c r="H18096" s="12">
        <v>-1.10864042528463</v>
      </c>
      <c r="I18096" s="20">
        <v>-0.46840298030111199</v>
      </c>
      <c r="J18096" s="28">
        <v>0.63949643716342597</v>
      </c>
      <c r="K18096" s="29">
        <v>0.98289565623980701</v>
      </c>
    </row>
    <row r="18097" spans="1:11" x14ac:dyDescent="0.35">
      <c r="A18097" s="9" t="str">
        <f>HYPERLINK("http://www.ensembl.org/id/WBGene00201258", "WBGene00201258")</f>
        <v>WBGene00201258</v>
      </c>
      <c r="B18097" s="9"/>
      <c r="C18097" s="9"/>
      <c r="D18097" t="str">
        <f>"Y66D12A.29"</f>
        <v>Y66D12A.29</v>
      </c>
      <c r="F18097" t="s">
        <v>481</v>
      </c>
      <c r="H18097" s="12">
        <v>-5.5794491025289696</v>
      </c>
      <c r="I18097" s="20">
        <v>-0.504738274115201</v>
      </c>
      <c r="J18097" s="28">
        <v>0.61374267489732603</v>
      </c>
      <c r="K18097" s="29">
        <v>0.98289565623980701</v>
      </c>
    </row>
    <row r="18098" spans="1:11" x14ac:dyDescent="0.35">
      <c r="A18098" s="9" t="str">
        <f>HYPERLINK("http://www.ensembl.org/id/WBGene00013429", "WBGene00013429")</f>
        <v>WBGene00013429</v>
      </c>
      <c r="B18098" s="9" t="str">
        <f>HYPERLINK("http://www.ncbi.nlm.nih.gov/gene/176592", "176592")</f>
        <v>176592</v>
      </c>
      <c r="C18098" s="9"/>
      <c r="D18098" t="str">
        <f>"Y66D12A.3"</f>
        <v>Y66D12A.3</v>
      </c>
      <c r="F18098" t="s">
        <v>11</v>
      </c>
      <c r="H18098" s="12">
        <v>-1.60957563563883</v>
      </c>
      <c r="I18098" s="20">
        <v>-0.32640318270167601</v>
      </c>
      <c r="J18098" s="28">
        <v>0.74411932983139994</v>
      </c>
      <c r="K18098" s="29">
        <v>0.98289565623980701</v>
      </c>
    </row>
    <row r="18099" spans="1:11" x14ac:dyDescent="0.35">
      <c r="A18099" s="9" t="str">
        <f>HYPERLINK("http://www.ensembl.org/id/WBGene00219421", "WBGene00219421")</f>
        <v>WBGene00219421</v>
      </c>
      <c r="B18099" s="9" t="str">
        <f>HYPERLINK("http://www.ncbi.nlm.nih.gov/gene/13191415", "13191415")</f>
        <v>13191415</v>
      </c>
      <c r="C18099" s="9"/>
      <c r="D18099" t="str">
        <f>"Y66D12A.30"</f>
        <v>Y66D12A.30</v>
      </c>
      <c r="F18099" t="s">
        <v>11</v>
      </c>
      <c r="H18099" s="12">
        <v>4.4368407117627902</v>
      </c>
      <c r="I18099" s="20">
        <v>0.43709475933309699</v>
      </c>
      <c r="J18099" s="28">
        <v>0.66204262779770495</v>
      </c>
      <c r="K18099" s="29">
        <v>0.98289565623980701</v>
      </c>
    </row>
    <row r="18100" spans="1:11" x14ac:dyDescent="0.35">
      <c r="A18100" s="9" t="str">
        <f>HYPERLINK("http://www.ensembl.org/id/WBGene00013434", "WBGene00013434")</f>
        <v>WBGene00013434</v>
      </c>
      <c r="B18100" s="9" t="str">
        <f>HYPERLINK("http://www.ncbi.nlm.nih.gov/gene/176589", "176589")</f>
        <v>176589</v>
      </c>
      <c r="C18100" s="9" t="str">
        <f>HYPERLINK("http://www.ncbi.nlm.nih.gov/gene/63932", "63932")</f>
        <v>63932</v>
      </c>
      <c r="D18100" t="str">
        <f>"Y66D12A.8"</f>
        <v>Y66D12A.8</v>
      </c>
      <c r="F18100" t="s">
        <v>11</v>
      </c>
      <c r="H18100" s="12">
        <v>-1.13551824668664</v>
      </c>
      <c r="I18100" s="20">
        <v>-0.62293154390307304</v>
      </c>
      <c r="J18100" s="28">
        <v>0.53332950814413205</v>
      </c>
      <c r="K18100" s="29">
        <v>0.98289565623980701</v>
      </c>
    </row>
    <row r="18101" spans="1:11" x14ac:dyDescent="0.35">
      <c r="A18101" s="9" t="str">
        <f>HYPERLINK("http://www.ensembl.org/id/WBGene00022046", "WBGene00022046")</f>
        <v>WBGene00022046</v>
      </c>
      <c r="B18101" s="9" t="str">
        <f>HYPERLINK("http://www.ncbi.nlm.nih.gov/gene/176870", "176870")</f>
        <v>176870</v>
      </c>
      <c r="C18101" s="9"/>
      <c r="D18101" t="str">
        <f>"Y66H1A.4"</f>
        <v>Y66H1A.4</v>
      </c>
      <c r="E18101" t="s">
        <v>7021</v>
      </c>
      <c r="F18101" t="s">
        <v>11</v>
      </c>
      <c r="G18101" t="s">
        <v>7022</v>
      </c>
      <c r="H18101" s="12">
        <v>-1.1026667039242399</v>
      </c>
      <c r="I18101" s="20">
        <v>-0.46857482048670202</v>
      </c>
      <c r="J18101" s="28">
        <v>0.63937357874620904</v>
      </c>
      <c r="K18101" s="29">
        <v>0.98289565623980701</v>
      </c>
    </row>
    <row r="18102" spans="1:11" x14ac:dyDescent="0.35">
      <c r="A18102" s="9" t="str">
        <f>HYPERLINK("http://www.ensembl.org/id/WBGene00271640", "WBGene00271640")</f>
        <v>WBGene00271640</v>
      </c>
      <c r="B18102" s="9"/>
      <c r="C18102" s="9"/>
      <c r="D18102" t="str">
        <f>"Y66H1A.9"</f>
        <v>Y66H1A.9</v>
      </c>
      <c r="F18102" t="s">
        <v>481</v>
      </c>
      <c r="H18102" s="12">
        <v>3.5848161305969599</v>
      </c>
      <c r="I18102" s="20">
        <v>0.76978882380909697</v>
      </c>
      <c r="J18102" s="28">
        <v>0.44142517037072598</v>
      </c>
      <c r="K18102" s="29">
        <v>0.98289565623980701</v>
      </c>
    </row>
    <row r="18103" spans="1:11" x14ac:dyDescent="0.35">
      <c r="A18103" s="9" t="str">
        <f>HYPERLINK("http://www.ensembl.org/id/WBGene00044906", "WBGene00044906")</f>
        <v>WBGene00044906</v>
      </c>
      <c r="B18103" s="9" t="str">
        <f>HYPERLINK("http://www.ncbi.nlm.nih.gov/gene/4927036", "4927036")</f>
        <v>4927036</v>
      </c>
      <c r="C18103" s="9"/>
      <c r="D18103" t="str">
        <f>"Y67A10A.11"</f>
        <v>Y67A10A.11</v>
      </c>
      <c r="F18103" t="s">
        <v>11</v>
      </c>
      <c r="H18103" s="12">
        <v>-2.4940488160199199</v>
      </c>
      <c r="I18103" s="20">
        <v>-0.44842235721639701</v>
      </c>
      <c r="J18103" s="28">
        <v>0.65384840952172396</v>
      </c>
      <c r="K18103" s="29">
        <v>0.98289565623980701</v>
      </c>
    </row>
    <row r="18104" spans="1:11" x14ac:dyDescent="0.35">
      <c r="A18104" s="9" t="str">
        <f>HYPERLINK("http://www.ensembl.org/id/WBGene00013452", "WBGene00013452")</f>
        <v>WBGene00013452</v>
      </c>
      <c r="B18104" s="9" t="str">
        <f>HYPERLINK("http://www.ncbi.nlm.nih.gov/gene/190507", "190507")</f>
        <v>190507</v>
      </c>
      <c r="C18104" s="9"/>
      <c r="D18104" t="str">
        <f>"Y67A10A.3"</f>
        <v>Y67A10A.3</v>
      </c>
      <c r="F18104" t="s">
        <v>11</v>
      </c>
      <c r="G18104" t="s">
        <v>417</v>
      </c>
      <c r="H18104" s="12">
        <v>3.86423719052382</v>
      </c>
      <c r="I18104" s="20">
        <v>1.1490441960982301</v>
      </c>
      <c r="J18104" s="28">
        <v>0.25053775702759101</v>
      </c>
      <c r="K18104" s="29">
        <v>0.98289565623980701</v>
      </c>
    </row>
    <row r="18105" spans="1:11" x14ac:dyDescent="0.35">
      <c r="A18105" s="9" t="str">
        <f>HYPERLINK("http://www.ensembl.org/id/WBGene00013456", "WBGene00013456")</f>
        <v>WBGene00013456</v>
      </c>
      <c r="B18105" s="9" t="str">
        <f>HYPERLINK("http://www.ncbi.nlm.nih.gov/gene/190509", "190509")</f>
        <v>190509</v>
      </c>
      <c r="C18105" s="9"/>
      <c r="D18105" t="str">
        <f>"Y67A10A.7"</f>
        <v>Y67A10A.7</v>
      </c>
      <c r="F18105" t="s">
        <v>11</v>
      </c>
      <c r="G18105" t="s">
        <v>1865</v>
      </c>
      <c r="H18105" s="12">
        <v>-1.07150329607265</v>
      </c>
      <c r="I18105" s="20">
        <v>-0.30813322836999102</v>
      </c>
      <c r="J18105" s="28">
        <v>0.75798095791265596</v>
      </c>
      <c r="K18105" s="29">
        <v>0.98289565623980701</v>
      </c>
    </row>
    <row r="18106" spans="1:11" x14ac:dyDescent="0.35">
      <c r="A18106" s="9" t="str">
        <f>HYPERLINK("http://www.ensembl.org/id/WBGene00013458", "WBGene00013458")</f>
        <v>WBGene00013458</v>
      </c>
      <c r="B18106" s="9" t="str">
        <f>HYPERLINK("http://www.ncbi.nlm.nih.gov/gene/178380", "178380")</f>
        <v>178380</v>
      </c>
      <c r="C18106" s="9"/>
      <c r="D18106" t="str">
        <f>"Y67A10A.9"</f>
        <v>Y67A10A.9</v>
      </c>
      <c r="F18106" t="s">
        <v>11</v>
      </c>
      <c r="G18106" t="s">
        <v>25</v>
      </c>
      <c r="H18106" s="12">
        <v>1.2669658818435099</v>
      </c>
      <c r="I18106" s="20">
        <v>0.744383994355863</v>
      </c>
      <c r="J18106" s="28">
        <v>0.45664419926414701</v>
      </c>
      <c r="K18106" s="29">
        <v>0.98289565623980701</v>
      </c>
    </row>
    <row r="18107" spans="1:11" x14ac:dyDescent="0.35">
      <c r="A18107" s="9" t="str">
        <f>HYPERLINK("http://www.ensembl.org/id/WBGene00013449", "WBGene00013449")</f>
        <v>WBGene00013449</v>
      </c>
      <c r="B18107" s="9" t="str">
        <f>HYPERLINK("http://www.ncbi.nlm.nih.gov/gene/172835", "172835")</f>
        <v>172835</v>
      </c>
      <c r="C18107" s="9"/>
      <c r="D18107" t="str">
        <f>"Y67A6A.1"</f>
        <v>Y67A6A.1</v>
      </c>
      <c r="F18107" t="s">
        <v>11</v>
      </c>
      <c r="H18107" s="12">
        <v>-2.2982965714318002</v>
      </c>
      <c r="I18107" s="20">
        <v>-1.0643081696838399</v>
      </c>
      <c r="J18107" s="28">
        <v>0.28718911824154802</v>
      </c>
      <c r="K18107" s="29">
        <v>0.98289565623980701</v>
      </c>
    </row>
    <row r="18108" spans="1:11" x14ac:dyDescent="0.35">
      <c r="A18108" s="9" t="str">
        <f>HYPERLINK("http://www.ensembl.org/id/WBGene00022052", "WBGene00022052")</f>
        <v>WBGene00022052</v>
      </c>
      <c r="B18108" s="9" t="str">
        <f>HYPERLINK("http://www.ncbi.nlm.nih.gov/gene/175310", "175310")</f>
        <v>175310</v>
      </c>
      <c r="C18108" s="9" t="str">
        <f>HYPERLINK("http://www.ncbi.nlm.nih.gov/gene/84749", "84749")</f>
        <v>84749</v>
      </c>
      <c r="D18108" t="str">
        <f>"Y67D2.2"</f>
        <v>Y67D2.2</v>
      </c>
      <c r="E18108" t="s">
        <v>2664</v>
      </c>
      <c r="F18108" t="s">
        <v>11</v>
      </c>
      <c r="G18108" t="s">
        <v>9718</v>
      </c>
      <c r="H18108" s="12">
        <v>-1.28594360540748</v>
      </c>
      <c r="I18108" s="20">
        <v>-1.0196741830781599</v>
      </c>
      <c r="J18108" s="28">
        <v>0.30788300962753501</v>
      </c>
      <c r="K18108" s="29">
        <v>0.98289565623980701</v>
      </c>
    </row>
    <row r="18109" spans="1:11" x14ac:dyDescent="0.35">
      <c r="A18109" s="9" t="str">
        <f>HYPERLINK("http://www.ensembl.org/id/WBGene00022054", "WBGene00022054")</f>
        <v>WBGene00022054</v>
      </c>
      <c r="B18109" s="9" t="str">
        <f>HYPERLINK("http://www.ncbi.nlm.nih.gov/gene/175306", "175306")</f>
        <v>175306</v>
      </c>
      <c r="C18109" s="9" t="str">
        <f>HYPERLINK("http://www.ncbi.nlm.nih.gov/gene/92170", "92170")</f>
        <v>92170</v>
      </c>
      <c r="D18109" t="str">
        <f>"Y67D2.4"</f>
        <v>Y67D2.4</v>
      </c>
      <c r="F18109" t="s">
        <v>11</v>
      </c>
      <c r="G18109" t="s">
        <v>9948</v>
      </c>
      <c r="H18109" s="12">
        <v>-1.4553903057622699</v>
      </c>
      <c r="I18109" s="20">
        <v>-1.1341769538044599</v>
      </c>
      <c r="J18109" s="28">
        <v>0.25672032909403703</v>
      </c>
      <c r="K18109" s="29">
        <v>0.98289565623980701</v>
      </c>
    </row>
    <row r="18110" spans="1:11" x14ac:dyDescent="0.35">
      <c r="A18110" s="9" t="str">
        <f>HYPERLINK("http://www.ensembl.org/id/WBGene00022057", "WBGene00022057")</f>
        <v>WBGene00022057</v>
      </c>
      <c r="B18110" s="9" t="str">
        <f>HYPERLINK("http://www.ncbi.nlm.nih.gov/gene/175309", "175309")</f>
        <v>175309</v>
      </c>
      <c r="C18110" s="9"/>
      <c r="D18110" t="str">
        <f>"Y67D2.7"</f>
        <v>Y67D2.7</v>
      </c>
      <c r="F18110" t="s">
        <v>11</v>
      </c>
      <c r="G18110" t="s">
        <v>801</v>
      </c>
      <c r="H18110" s="12">
        <v>-1.2475552346162899</v>
      </c>
      <c r="I18110" s="20">
        <v>-1.0129908509115</v>
      </c>
      <c r="J18110" s="28">
        <v>0.31106453101658299</v>
      </c>
      <c r="K18110" s="29">
        <v>0.98289565623980701</v>
      </c>
    </row>
    <row r="18111" spans="1:11" x14ac:dyDescent="0.35">
      <c r="A18111" s="9" t="str">
        <f>HYPERLINK("http://www.ensembl.org/id/WBGene00023387", "WBGene00023387")</f>
        <v>WBGene00023387</v>
      </c>
      <c r="B18111" s="9"/>
      <c r="C18111" s="9"/>
      <c r="D18111" t="str">
        <f>"Y67D2.t3"</f>
        <v>Y67D2.t3</v>
      </c>
      <c r="F18111" t="s">
        <v>80</v>
      </c>
      <c r="H18111" s="12">
        <v>3.5227018545059199</v>
      </c>
      <c r="I18111" s="20">
        <v>0.36849691206929103</v>
      </c>
      <c r="J18111" s="28">
        <v>0.71250274722433404</v>
      </c>
      <c r="K18111" s="29">
        <v>0.98289565623980701</v>
      </c>
    </row>
    <row r="18112" spans="1:11" x14ac:dyDescent="0.35">
      <c r="A18112" s="9" t="str">
        <f>HYPERLINK("http://www.ensembl.org/id/WBGene00235356", "WBGene00235356")</f>
        <v>WBGene00235356</v>
      </c>
      <c r="B18112" s="9"/>
      <c r="C18112" s="9"/>
      <c r="D18112" t="str">
        <f>"Y67D8A.10"</f>
        <v>Y67D8A.10</v>
      </c>
      <c r="F18112" t="s">
        <v>481</v>
      </c>
      <c r="H18112" s="12">
        <v>-1.20485327221751</v>
      </c>
      <c r="I18112" s="20">
        <v>-0.66018429011269097</v>
      </c>
      <c r="J18112" s="28">
        <v>0.50913557248225505</v>
      </c>
      <c r="K18112" s="29">
        <v>0.98289565623980701</v>
      </c>
    </row>
    <row r="18113" spans="1:11" x14ac:dyDescent="0.35">
      <c r="A18113" s="9" t="str">
        <f>HYPERLINK("http://www.ensembl.org/id/WBGene00022059", "WBGene00022059")</f>
        <v>WBGene00022059</v>
      </c>
      <c r="B18113" s="9" t="str">
        <f>HYPERLINK("http://www.ncbi.nlm.nih.gov/gene/177092", "177092")</f>
        <v>177092</v>
      </c>
      <c r="C18113" s="9" t="str">
        <f>HYPERLINK("http://www.ncbi.nlm.nih.gov/gene/5257", "5257")</f>
        <v>5257</v>
      </c>
      <c r="D18113" t="str">
        <f>"Y67D8A.2"</f>
        <v>Y67D8A.2</v>
      </c>
      <c r="E18113" t="s">
        <v>8715</v>
      </c>
      <c r="F18113" t="s">
        <v>11</v>
      </c>
      <c r="G18113" t="s">
        <v>8716</v>
      </c>
      <c r="H18113" s="12">
        <v>-1.1926312004361299</v>
      </c>
      <c r="I18113" s="20">
        <v>-0.947089654205996</v>
      </c>
      <c r="J18113" s="28">
        <v>0.34359309613662598</v>
      </c>
      <c r="K18113" s="29">
        <v>0.98289565623980701</v>
      </c>
    </row>
    <row r="18114" spans="1:11" x14ac:dyDescent="0.35">
      <c r="A18114" s="9" t="str">
        <f>HYPERLINK("http://www.ensembl.org/id/WBGene00196015", "WBGene00196015")</f>
        <v>WBGene00196015</v>
      </c>
      <c r="B18114" s="9"/>
      <c r="C18114" s="9"/>
      <c r="D18114" t="str">
        <f>"Y67D8A.6"</f>
        <v>Y67D8A.6</v>
      </c>
      <c r="F18114" t="s">
        <v>481</v>
      </c>
      <c r="H18114" s="12">
        <v>-4.2912371281592003</v>
      </c>
      <c r="I18114" s="20">
        <v>-0.56372227087147897</v>
      </c>
      <c r="J18114" s="28">
        <v>0.572943158267888</v>
      </c>
      <c r="K18114" s="29">
        <v>0.98289565623980701</v>
      </c>
    </row>
    <row r="18115" spans="1:11" x14ac:dyDescent="0.35">
      <c r="A18115" s="9" t="str">
        <f>HYPERLINK("http://www.ensembl.org/id/WBGene00197555", "WBGene00197555")</f>
        <v>WBGene00197555</v>
      </c>
      <c r="B18115" s="9"/>
      <c r="C18115" s="9"/>
      <c r="D18115" t="str">
        <f>"Y67D8A.8"</f>
        <v>Y67D8A.8</v>
      </c>
      <c r="F18115" t="s">
        <v>481</v>
      </c>
      <c r="H18115" s="12">
        <v>-6.2102229019083799</v>
      </c>
      <c r="I18115" s="20">
        <v>-0.67619676343489199</v>
      </c>
      <c r="J18115" s="28">
        <v>0.49891572720914601</v>
      </c>
      <c r="K18115" s="29">
        <v>0.98289565623980701</v>
      </c>
    </row>
    <row r="18116" spans="1:11" x14ac:dyDescent="0.35">
      <c r="A18116" s="9" t="str">
        <f>HYPERLINK("http://www.ensembl.org/id/WBGene00022061", "WBGene00022061")</f>
        <v>WBGene00022061</v>
      </c>
      <c r="B18116" s="9" t="str">
        <f>HYPERLINK("http://www.ncbi.nlm.nih.gov/gene/190513", "190513")</f>
        <v>190513</v>
      </c>
      <c r="C18116" s="9"/>
      <c r="D18116" t="str">
        <f>"Y67D8B.1"</f>
        <v>Y67D8B.1</v>
      </c>
      <c r="F18116" t="s">
        <v>11</v>
      </c>
      <c r="G18116" t="s">
        <v>51</v>
      </c>
      <c r="H18116" s="12">
        <v>1.19007531020574</v>
      </c>
      <c r="I18116" s="20">
        <v>0.26784354828400703</v>
      </c>
      <c r="J18116" s="28">
        <v>0.78881974829683599</v>
      </c>
      <c r="K18116" s="29">
        <v>0.98289565623980701</v>
      </c>
    </row>
    <row r="18117" spans="1:11" x14ac:dyDescent="0.35">
      <c r="A18117" s="9" t="str">
        <f>HYPERLINK("http://www.ensembl.org/id/WBGene00197397", "WBGene00197397")</f>
        <v>WBGene00197397</v>
      </c>
      <c r="B18117" s="9"/>
      <c r="C18117" s="9"/>
      <c r="D18117" t="str">
        <f>"Y67D8C.14"</f>
        <v>Y67D8C.14</v>
      </c>
      <c r="F18117" t="s">
        <v>481</v>
      </c>
      <c r="H18117" s="12">
        <v>2.3893468495514898</v>
      </c>
      <c r="I18117" s="20">
        <v>0.25323547253672701</v>
      </c>
      <c r="J18117" s="28">
        <v>0.80008625651646104</v>
      </c>
      <c r="K18117" s="29">
        <v>0.98289565623980701</v>
      </c>
    </row>
    <row r="18118" spans="1:11" x14ac:dyDescent="0.35">
      <c r="A18118" s="9" t="str">
        <f>HYPERLINK("http://www.ensembl.org/id/WBGene00197431", "WBGene00197431")</f>
        <v>WBGene00197431</v>
      </c>
      <c r="B18118" s="9"/>
      <c r="C18118" s="9"/>
      <c r="D18118" t="str">
        <f>"Y67D8C.15"</f>
        <v>Y67D8C.15</v>
      </c>
      <c r="F18118" t="s">
        <v>481</v>
      </c>
      <c r="H18118" s="12">
        <v>2.4578120077400301</v>
      </c>
      <c r="I18118" s="20">
        <v>0.26093350314551</v>
      </c>
      <c r="J18118" s="28">
        <v>0.79414378780213601</v>
      </c>
      <c r="K18118" s="29">
        <v>0.98289565623980701</v>
      </c>
    </row>
    <row r="18119" spans="1:11" x14ac:dyDescent="0.35">
      <c r="A18119" s="9" t="str">
        <f>HYPERLINK("http://www.ensembl.org/id/WBGene00235279", "WBGene00235279")</f>
        <v>WBGene00235279</v>
      </c>
      <c r="B18119" s="9" t="str">
        <f>HYPERLINK("http://www.ncbi.nlm.nih.gov/gene/24105192", "24105192")</f>
        <v>24105192</v>
      </c>
      <c r="C18119" s="9"/>
      <c r="D18119" t="str">
        <f>"Y67D8C.22"</f>
        <v>Y67D8C.22</v>
      </c>
      <c r="F18119" t="s">
        <v>11</v>
      </c>
      <c r="G18119" t="s">
        <v>25</v>
      </c>
      <c r="H18119" s="12">
        <v>2.1946087102278402</v>
      </c>
      <c r="I18119" s="20">
        <v>0.50003410910244295</v>
      </c>
      <c r="J18119" s="28">
        <v>0.61705106039218505</v>
      </c>
      <c r="K18119" s="29">
        <v>0.98289565623980701</v>
      </c>
    </row>
    <row r="18120" spans="1:11" x14ac:dyDescent="0.35">
      <c r="A18120" s="9" t="str">
        <f>HYPERLINK("http://www.ensembl.org/id/WBGene00235353", "WBGene00235353")</f>
        <v>WBGene00235353</v>
      </c>
      <c r="B18120" s="9"/>
      <c r="C18120" s="9"/>
      <c r="D18120" t="str">
        <f>"Y67D8C.23"</f>
        <v>Y67D8C.23</v>
      </c>
      <c r="F18120" t="s">
        <v>80</v>
      </c>
      <c r="H18120" s="12">
        <v>2.3224425279554</v>
      </c>
      <c r="I18120" s="20">
        <v>0.85741278709457802</v>
      </c>
      <c r="J18120" s="28">
        <v>0.39121679487139299</v>
      </c>
      <c r="K18120" s="29">
        <v>0.98289565623980701</v>
      </c>
    </row>
    <row r="18121" spans="1:11" x14ac:dyDescent="0.35">
      <c r="A18121" s="9" t="str">
        <f>HYPERLINK("http://www.ensembl.org/id/WBGene00022067", "WBGene00022067")</f>
        <v>WBGene00022067</v>
      </c>
      <c r="B18121" s="9" t="str">
        <f>HYPERLINK("http://www.ncbi.nlm.nih.gov/gene/177086", "177086")</f>
        <v>177086</v>
      </c>
      <c r="C18121" s="9"/>
      <c r="D18121" t="str">
        <f>"Y67D8C.3"</f>
        <v>Y67D8C.3</v>
      </c>
      <c r="F18121" t="s">
        <v>11</v>
      </c>
      <c r="G18121" t="s">
        <v>1755</v>
      </c>
      <c r="H18121" s="12">
        <v>-1.1913088511194401</v>
      </c>
      <c r="I18121" s="20">
        <v>-0.69183144822695797</v>
      </c>
      <c r="J18121" s="28">
        <v>0.48904318480446002</v>
      </c>
      <c r="K18121" s="29">
        <v>0.98289565623980701</v>
      </c>
    </row>
    <row r="18122" spans="1:11" x14ac:dyDescent="0.35">
      <c r="A18122" s="9" t="str">
        <f>HYPERLINK("http://www.ensembl.org/id/WBGene00022070", "WBGene00022070")</f>
        <v>WBGene00022070</v>
      </c>
      <c r="B18122" s="9" t="str">
        <f>HYPERLINK("http://www.ncbi.nlm.nih.gov/gene/190520", "190520")</f>
        <v>190520</v>
      </c>
      <c r="C18122" s="9"/>
      <c r="D18122" t="str">
        <f>"Y67D8C.6"</f>
        <v>Y67D8C.6</v>
      </c>
      <c r="F18122" t="s">
        <v>11</v>
      </c>
      <c r="G18122" t="s">
        <v>25</v>
      </c>
      <c r="H18122" s="12">
        <v>8.9141069551506007</v>
      </c>
      <c r="I18122" s="20">
        <v>1.09293663776424</v>
      </c>
      <c r="J18122" s="28">
        <v>0.27442162062791903</v>
      </c>
      <c r="K18122" s="29">
        <v>0.98289565623980701</v>
      </c>
    </row>
    <row r="18123" spans="1:11" x14ac:dyDescent="0.35">
      <c r="A18123" s="9" t="str">
        <f>HYPERLINK("http://www.ensembl.org/id/WBGene00022071", "WBGene00022071")</f>
        <v>WBGene00022071</v>
      </c>
      <c r="B18123" s="9" t="str">
        <f>HYPERLINK("http://www.ncbi.nlm.nih.gov/gene/190521", "190521")</f>
        <v>190521</v>
      </c>
      <c r="C18123" s="9"/>
      <c r="D18123" t="str">
        <f>"Y67D8C.7"</f>
        <v>Y67D8C.7</v>
      </c>
      <c r="F18123" t="s">
        <v>11</v>
      </c>
      <c r="H18123" s="12">
        <v>-1.60035556403834</v>
      </c>
      <c r="I18123" s="20">
        <v>-0.37227736269219902</v>
      </c>
      <c r="J18123" s="28">
        <v>0.70968635128259105</v>
      </c>
      <c r="K18123" s="29">
        <v>0.98289565623980701</v>
      </c>
    </row>
    <row r="18124" spans="1:11" x14ac:dyDescent="0.35">
      <c r="A18124" s="9" t="str">
        <f>HYPERLINK("http://www.ensembl.org/id/WBGene00022073", "WBGene00022073")</f>
        <v>WBGene00022073</v>
      </c>
      <c r="B18124" s="9" t="str">
        <f>HYPERLINK("http://www.ncbi.nlm.nih.gov/gene/177088", "177088")</f>
        <v>177088</v>
      </c>
      <c r="C18124" s="9"/>
      <c r="D18124" t="str">
        <f>"Y67D8C.9"</f>
        <v>Y67D8C.9</v>
      </c>
      <c r="E18124" t="s">
        <v>594</v>
      </c>
      <c r="F18124" t="s">
        <v>11</v>
      </c>
      <c r="G18124" t="s">
        <v>5727</v>
      </c>
      <c r="H18124" s="12">
        <v>1.1151209516925999</v>
      </c>
      <c r="I18124" s="20">
        <v>0.46918500404221097</v>
      </c>
      <c r="J18124" s="28">
        <v>0.63893740342658201</v>
      </c>
      <c r="K18124" s="29">
        <v>0.98289565623980701</v>
      </c>
    </row>
    <row r="18125" spans="1:11" x14ac:dyDescent="0.35">
      <c r="A18125" s="9" t="str">
        <f>HYPERLINK("http://www.ensembl.org/id/WBGene00013465", "WBGene00013465")</f>
        <v>WBGene00013465</v>
      </c>
      <c r="B18125" s="9" t="str">
        <f>HYPERLINK("http://www.ncbi.nlm.nih.gov/gene/259340", "259340")</f>
        <v>259340</v>
      </c>
      <c r="C18125" s="9"/>
      <c r="D18125" t="str">
        <f>"Y67H2A.10"</f>
        <v>Y67H2A.10</v>
      </c>
      <c r="F18125" t="s">
        <v>11</v>
      </c>
      <c r="G18125" t="s">
        <v>228</v>
      </c>
      <c r="H18125" s="12">
        <v>-1.1004493115027401</v>
      </c>
      <c r="I18125" s="20">
        <v>-0.39903665186902698</v>
      </c>
      <c r="J18125" s="28">
        <v>0.68986619809755501</v>
      </c>
      <c r="K18125" s="29">
        <v>0.98289565623980701</v>
      </c>
    </row>
    <row r="18126" spans="1:11" x14ac:dyDescent="0.35">
      <c r="A18126" s="9" t="str">
        <f>HYPERLINK("http://www.ensembl.org/id/WBGene00013461", "WBGene00013461")</f>
        <v>WBGene00013461</v>
      </c>
      <c r="B18126" s="9" t="str">
        <f>HYPERLINK("http://www.ncbi.nlm.nih.gov/gene/178286", "178286")</f>
        <v>178286</v>
      </c>
      <c r="C18126" s="9" t="str">
        <f>HYPERLINK("http://www.ncbi.nlm.nih.gov/gene/23008", "23008")</f>
        <v>23008</v>
      </c>
      <c r="D18126" t="str">
        <f>"Y67H2A.2"</f>
        <v>Y67H2A.2</v>
      </c>
      <c r="F18126" t="s">
        <v>11</v>
      </c>
      <c r="G18126" t="s">
        <v>6773</v>
      </c>
      <c r="H18126" s="12">
        <v>-1.0883338925630801</v>
      </c>
      <c r="I18126" s="20">
        <v>-0.41602481028245802</v>
      </c>
      <c r="J18126" s="28">
        <v>0.67739184843964595</v>
      </c>
      <c r="K18126" s="29">
        <v>0.98289565623980701</v>
      </c>
    </row>
    <row r="18127" spans="1:11" x14ac:dyDescent="0.35">
      <c r="A18127" s="9" t="str">
        <f>HYPERLINK("http://www.ensembl.org/id/WBGene00013464", "WBGene00013464")</f>
        <v>WBGene00013464</v>
      </c>
      <c r="B18127" s="9" t="str">
        <f>HYPERLINK("http://www.ncbi.nlm.nih.gov/gene/178290", "178290")</f>
        <v>178290</v>
      </c>
      <c r="C18127" s="9" t="str">
        <f>HYPERLINK("http://www.ncbi.nlm.nih.gov/gene/4285", "4285")</f>
        <v>4285</v>
      </c>
      <c r="D18127" t="str">
        <f>"Y67H2A.7"</f>
        <v>Y67H2A.7</v>
      </c>
      <c r="F18127" t="s">
        <v>11</v>
      </c>
      <c r="G18127" t="s">
        <v>7434</v>
      </c>
      <c r="H18127" s="12">
        <v>-1.1254612206885399</v>
      </c>
      <c r="I18127" s="20">
        <v>-0.55425526483182597</v>
      </c>
      <c r="J18127" s="28">
        <v>0.57940416123430705</v>
      </c>
      <c r="K18127" s="29">
        <v>0.98289565623980701</v>
      </c>
    </row>
    <row r="18128" spans="1:11" x14ac:dyDescent="0.35">
      <c r="A18128" s="9" t="str">
        <f>HYPERLINK("http://www.ensembl.org/id/WBGene00014941", "WBGene00014941")</f>
        <v>WBGene00014941</v>
      </c>
      <c r="B18128" s="9"/>
      <c r="C18128" s="9"/>
      <c r="D18128" t="str">
        <f>"Y67H2A.9"</f>
        <v>Y67H2A.9</v>
      </c>
      <c r="F18128" t="s">
        <v>80</v>
      </c>
      <c r="H18128" s="12">
        <v>1.4225627563213901</v>
      </c>
      <c r="I18128" s="20">
        <v>0.98989787883800096</v>
      </c>
      <c r="J18128" s="28">
        <v>0.322224036398087</v>
      </c>
      <c r="K18128" s="29">
        <v>0.98289565623980701</v>
      </c>
    </row>
    <row r="18129" spans="1:11" x14ac:dyDescent="0.35">
      <c r="A18129" s="9" t="str">
        <f>HYPERLINK("http://www.ensembl.org/id/WBGene00013472", "WBGene00013472")</f>
        <v>WBGene00013472</v>
      </c>
      <c r="B18129" s="9" t="str">
        <f>HYPERLINK("http://www.ncbi.nlm.nih.gov/gene/190532", "190532")</f>
        <v>190532</v>
      </c>
      <c r="C18129" s="9"/>
      <c r="D18129" t="str">
        <f>"Y68A4B.3"</f>
        <v>Y68A4B.3</v>
      </c>
      <c r="F18129" t="s">
        <v>11</v>
      </c>
      <c r="H18129" s="12">
        <v>-4.7167679298615104</v>
      </c>
      <c r="I18129" s="20">
        <v>-0.454742638005115</v>
      </c>
      <c r="J18129" s="28">
        <v>0.64929440216969203</v>
      </c>
      <c r="K18129" s="29">
        <v>0.98289565623980701</v>
      </c>
    </row>
    <row r="18130" spans="1:11" x14ac:dyDescent="0.35">
      <c r="A18130" s="9" t="str">
        <f>HYPERLINK("http://www.ensembl.org/id/WBGene00022074", "WBGene00022074")</f>
        <v>WBGene00022074</v>
      </c>
      <c r="B18130" s="9" t="str">
        <f>HYPERLINK("http://www.ncbi.nlm.nih.gov/gene/177051", "177051")</f>
        <v>177051</v>
      </c>
      <c r="C18130" s="9"/>
      <c r="D18130" t="str">
        <f>"Y69A2AR.1"</f>
        <v>Y69A2AR.1</v>
      </c>
      <c r="F18130" t="s">
        <v>11</v>
      </c>
      <c r="H18130" s="12">
        <v>-1.1970324938160799</v>
      </c>
      <c r="I18130" s="20">
        <v>-0.89809749305338704</v>
      </c>
      <c r="J18130" s="28">
        <v>0.36913357544337899</v>
      </c>
      <c r="K18130" s="29">
        <v>0.98289565623980701</v>
      </c>
    </row>
    <row r="18131" spans="1:11" x14ac:dyDescent="0.35">
      <c r="A18131" s="9" t="str">
        <f>HYPERLINK("http://www.ensembl.org/id/WBGene00022082", "WBGene00022082")</f>
        <v>WBGene00022082</v>
      </c>
      <c r="B18131" s="9"/>
      <c r="C18131" s="9"/>
      <c r="D18131" t="str">
        <f>"Y69A2AR.11"</f>
        <v>Y69A2AR.11</v>
      </c>
      <c r="F18131" t="s">
        <v>80</v>
      </c>
      <c r="H18131" s="12">
        <v>2.3713319058390998</v>
      </c>
      <c r="I18131" s="20">
        <v>0.79718890923665298</v>
      </c>
      <c r="J18131" s="28">
        <v>0.42534132625582</v>
      </c>
      <c r="K18131" s="29">
        <v>0.98289565623980701</v>
      </c>
    </row>
    <row r="18132" spans="1:11" x14ac:dyDescent="0.35">
      <c r="A18132" s="9" t="str">
        <f>HYPERLINK("http://www.ensembl.org/id/WBGene00022083", "WBGene00022083")</f>
        <v>WBGene00022083</v>
      </c>
      <c r="B18132" s="9" t="str">
        <f>HYPERLINK("http://www.ncbi.nlm.nih.gov/gene/190538", "190538")</f>
        <v>190538</v>
      </c>
      <c r="C18132" s="9"/>
      <c r="D18132" t="str">
        <f>"Y69A2AR.12"</f>
        <v>Y69A2AR.12</v>
      </c>
      <c r="F18132" t="s">
        <v>11</v>
      </c>
      <c r="G18132" t="s">
        <v>25</v>
      </c>
      <c r="H18132" s="12">
        <v>-1.6756321873742701</v>
      </c>
      <c r="I18132" s="20">
        <v>-0.631621677601377</v>
      </c>
      <c r="J18132" s="28">
        <v>0.52763411806180904</v>
      </c>
      <c r="K18132" s="29">
        <v>0.98289565623980701</v>
      </c>
    </row>
    <row r="18133" spans="1:11" x14ac:dyDescent="0.35">
      <c r="A18133" s="9" t="str">
        <f>HYPERLINK("http://www.ensembl.org/id/WBGene00022085", "WBGene00022085")</f>
        <v>WBGene00022085</v>
      </c>
      <c r="B18133" s="9"/>
      <c r="C18133" s="9"/>
      <c r="D18133" t="str">
        <f>"Y69A2AR.14"</f>
        <v>Y69A2AR.14</v>
      </c>
      <c r="F18133" t="s">
        <v>80</v>
      </c>
      <c r="H18133" s="12">
        <v>-8.7328318478741096</v>
      </c>
      <c r="I18133" s="20">
        <v>-1.09418321162128</v>
      </c>
      <c r="J18133" s="28">
        <v>0.27387463301409098</v>
      </c>
      <c r="K18133" s="29">
        <v>0.98289565623980701</v>
      </c>
    </row>
    <row r="18134" spans="1:11" x14ac:dyDescent="0.35">
      <c r="A18134" s="9" t="str">
        <f>HYPERLINK("http://www.ensembl.org/id/WBGene00022087", "WBGene00022087")</f>
        <v>WBGene00022087</v>
      </c>
      <c r="B18134" s="9" t="str">
        <f>HYPERLINK("http://www.ncbi.nlm.nih.gov/gene/177039", "177039")</f>
        <v>177039</v>
      </c>
      <c r="C18134" s="9" t="str">
        <f>HYPERLINK("http://www.ncbi.nlm.nih.gov/gene/64328", "64328")</f>
        <v>64328</v>
      </c>
      <c r="D18134" t="str">
        <f>"Y69A2AR.16"</f>
        <v>Y69A2AR.16</v>
      </c>
      <c r="F18134" t="s">
        <v>11</v>
      </c>
      <c r="G18134" t="s">
        <v>7894</v>
      </c>
      <c r="H18134" s="12">
        <v>-1.1846316531765699</v>
      </c>
      <c r="I18134" s="20">
        <v>-0.85298863383762002</v>
      </c>
      <c r="J18134" s="28">
        <v>0.39366560735497302</v>
      </c>
      <c r="K18134" s="29">
        <v>0.98289565623980701</v>
      </c>
    </row>
    <row r="18135" spans="1:11" x14ac:dyDescent="0.35">
      <c r="A18135" s="9" t="str">
        <f>HYPERLINK("http://www.ensembl.org/id/WBGene00022089", "WBGene00022089")</f>
        <v>WBGene00022089</v>
      </c>
      <c r="B18135" s="9" t="str">
        <f>HYPERLINK("http://www.ncbi.nlm.nih.gov/gene/177038", "177038")</f>
        <v>177038</v>
      </c>
      <c r="C18135" s="9" t="str">
        <f>HYPERLINK("http://www.ncbi.nlm.nih.gov/gene/509", "509")</f>
        <v>509</v>
      </c>
      <c r="D18135" t="str">
        <f>"Y69A2AR.18"</f>
        <v>Y69A2AR.18</v>
      </c>
      <c r="F18135" t="s">
        <v>11</v>
      </c>
      <c r="G18135" t="s">
        <v>7130</v>
      </c>
      <c r="H18135" s="12">
        <v>-1.1088649007293501</v>
      </c>
      <c r="I18135" s="20">
        <v>-0.54605918668053699</v>
      </c>
      <c r="J18135" s="28">
        <v>0.58502525336678501</v>
      </c>
      <c r="K18135" s="29">
        <v>0.98289565623980701</v>
      </c>
    </row>
    <row r="18136" spans="1:11" x14ac:dyDescent="0.35">
      <c r="A18136" s="9" t="str">
        <f>HYPERLINK("http://www.ensembl.org/id/WBGene00022090", "WBGene00022090")</f>
        <v>WBGene00022090</v>
      </c>
      <c r="B18136" s="9" t="str">
        <f>HYPERLINK("http://www.ncbi.nlm.nih.gov/gene/177036", "177036")</f>
        <v>177036</v>
      </c>
      <c r="C18136" s="9"/>
      <c r="D18136" t="str">
        <f>"Y69A2AR.19"</f>
        <v>Y69A2AR.19</v>
      </c>
      <c r="F18136" t="s">
        <v>11</v>
      </c>
      <c r="G18136" t="s">
        <v>4317</v>
      </c>
      <c r="H18136" s="12">
        <v>-1.2304144175338001</v>
      </c>
      <c r="I18136" s="20">
        <v>-0.37451838165004397</v>
      </c>
      <c r="J18136" s="28">
        <v>0.70801868346140595</v>
      </c>
      <c r="K18136" s="29">
        <v>0.98289565623980701</v>
      </c>
    </row>
    <row r="18137" spans="1:11" x14ac:dyDescent="0.35">
      <c r="A18137" s="9" t="str">
        <f>HYPERLINK("http://www.ensembl.org/id/WBGene00022092", "WBGene00022092")</f>
        <v>WBGene00022092</v>
      </c>
      <c r="B18137" s="9" t="str">
        <f>HYPERLINK("http://www.ncbi.nlm.nih.gov/gene/177037", "177037")</f>
        <v>177037</v>
      </c>
      <c r="C18137" s="9"/>
      <c r="D18137" t="str">
        <f>"Y69A2AR.21"</f>
        <v>Y69A2AR.21</v>
      </c>
      <c r="F18137" t="s">
        <v>11</v>
      </c>
      <c r="G18137" t="s">
        <v>9671</v>
      </c>
      <c r="H18137" s="12">
        <v>-1.27553995896342</v>
      </c>
      <c r="I18137" s="20">
        <v>-1.04903812273264</v>
      </c>
      <c r="J18137" s="28">
        <v>0.29416057289254699</v>
      </c>
      <c r="K18137" s="29">
        <v>0.98289565623980701</v>
      </c>
    </row>
    <row r="18138" spans="1:11" x14ac:dyDescent="0.35">
      <c r="A18138" s="9" t="str">
        <f>HYPERLINK("http://www.ensembl.org/id/WBGene00022096", "WBGene00022096")</f>
        <v>WBGene00022096</v>
      </c>
      <c r="B18138" s="9" t="str">
        <f>HYPERLINK("http://www.ncbi.nlm.nih.gov/gene/190546", "190546")</f>
        <v>190546</v>
      </c>
      <c r="C18138" s="9"/>
      <c r="D18138" t="str">
        <f>"Y69A2AR.25"</f>
        <v>Y69A2AR.25</v>
      </c>
      <c r="F18138" t="s">
        <v>11</v>
      </c>
      <c r="H18138" s="12">
        <v>-2.7976695413583101</v>
      </c>
      <c r="I18138" s="20">
        <v>-0.97963515521776401</v>
      </c>
      <c r="J18138" s="28">
        <v>0.327266245161075</v>
      </c>
      <c r="K18138" s="29">
        <v>0.98289565623980701</v>
      </c>
    </row>
    <row r="18139" spans="1:11" x14ac:dyDescent="0.35">
      <c r="A18139" s="9" t="str">
        <f>HYPERLINK("http://www.ensembl.org/id/WBGene00022099", "WBGene00022099")</f>
        <v>WBGene00022099</v>
      </c>
      <c r="B18139" s="9" t="str">
        <f>HYPERLINK("http://www.ncbi.nlm.nih.gov/gene/177043", "177043")</f>
        <v>177043</v>
      </c>
      <c r="C18139" s="9"/>
      <c r="D18139" t="str">
        <f>"Y69A2AR.28"</f>
        <v>Y69A2AR.28</v>
      </c>
      <c r="F18139" t="s">
        <v>11</v>
      </c>
      <c r="H18139" s="12">
        <v>-1.08235354332474</v>
      </c>
      <c r="I18139" s="20">
        <v>-0.31030346210533799</v>
      </c>
      <c r="J18139" s="28">
        <v>0.75633019863350204</v>
      </c>
      <c r="K18139" s="29">
        <v>0.98289565623980701</v>
      </c>
    </row>
    <row r="18140" spans="1:11" x14ac:dyDescent="0.35">
      <c r="A18140" s="9" t="str">
        <f>HYPERLINK("http://www.ensembl.org/id/WBGene00022100", "WBGene00022100")</f>
        <v>WBGene00022100</v>
      </c>
      <c r="B18140" s="9" t="str">
        <f>HYPERLINK("http://www.ncbi.nlm.nih.gov/gene/177049", "177049")</f>
        <v>177049</v>
      </c>
      <c r="C18140" s="9"/>
      <c r="D18140" t="str">
        <f>"Y69A2AR.31"</f>
        <v>Y69A2AR.31</v>
      </c>
      <c r="F18140" t="s">
        <v>11</v>
      </c>
      <c r="G18140" t="s">
        <v>9404</v>
      </c>
      <c r="H18140" s="12">
        <v>-1.244206838892</v>
      </c>
      <c r="I18140" s="20">
        <v>-0.915545108379473</v>
      </c>
      <c r="J18140" s="28">
        <v>0.359905533000134</v>
      </c>
      <c r="K18140" s="29">
        <v>0.98289565623980701</v>
      </c>
    </row>
    <row r="18141" spans="1:11" x14ac:dyDescent="0.35">
      <c r="A18141" s="9" t="str">
        <f>HYPERLINK("http://www.ensembl.org/id/WBGene00022101", "WBGene00022101")</f>
        <v>WBGene00022101</v>
      </c>
      <c r="B18141" s="9" t="str">
        <f>HYPERLINK("http://www.ncbi.nlm.nih.gov/gene/177042", "177042")</f>
        <v>177042</v>
      </c>
      <c r="C18141" s="9"/>
      <c r="D18141" t="str">
        <f>"Y69A2AR.32"</f>
        <v>Y69A2AR.32</v>
      </c>
      <c r="F18141" t="s">
        <v>11</v>
      </c>
      <c r="G18141" t="s">
        <v>7298</v>
      </c>
      <c r="H18141" s="12">
        <v>-1.23594665829006</v>
      </c>
      <c r="I18141" s="20">
        <v>-0.64089274457691103</v>
      </c>
      <c r="J18141" s="28">
        <v>0.52159237009065096</v>
      </c>
      <c r="K18141" s="29">
        <v>0.98289565623980701</v>
      </c>
    </row>
    <row r="18142" spans="1:11" x14ac:dyDescent="0.35">
      <c r="A18142" s="9" t="str">
        <f>HYPERLINK("http://www.ensembl.org/id/WBGene00199492", "WBGene00199492")</f>
        <v>WBGene00199492</v>
      </c>
      <c r="B18142" s="9"/>
      <c r="C18142" s="9"/>
      <c r="D18142" t="str">
        <f>"Y69A2AR.41"</f>
        <v>Y69A2AR.41</v>
      </c>
      <c r="F18142" t="s">
        <v>481</v>
      </c>
      <c r="H18142" s="12">
        <v>2.3893468495514898</v>
      </c>
      <c r="I18142" s="20">
        <v>0.25323547253672701</v>
      </c>
      <c r="J18142" s="28">
        <v>0.80008625651646104</v>
      </c>
      <c r="K18142" s="29">
        <v>0.98289565623980701</v>
      </c>
    </row>
    <row r="18143" spans="1:11" x14ac:dyDescent="0.35">
      <c r="A18143" s="9" t="str">
        <f>HYPERLINK("http://www.ensembl.org/id/WBGene00200267", "WBGene00200267")</f>
        <v>WBGene00200267</v>
      </c>
      <c r="B18143" s="9"/>
      <c r="C18143" s="9"/>
      <c r="D18143" t="str">
        <f>"Y69A2AR.42"</f>
        <v>Y69A2AR.42</v>
      </c>
      <c r="F18143" t="s">
        <v>481</v>
      </c>
      <c r="H18143" s="12">
        <v>5.2322000618327396</v>
      </c>
      <c r="I18143" s="20">
        <v>0.486112489888328</v>
      </c>
      <c r="J18143" s="28">
        <v>0.62688741196182496</v>
      </c>
      <c r="K18143" s="29">
        <v>0.98289565623980701</v>
      </c>
    </row>
    <row r="18144" spans="1:11" x14ac:dyDescent="0.35">
      <c r="A18144" s="9" t="str">
        <f>HYPERLINK("http://www.ensembl.org/id/WBGene00235288", "WBGene00235288")</f>
        <v>WBGene00235288</v>
      </c>
      <c r="B18144" s="9" t="str">
        <f>HYPERLINK("http://www.ncbi.nlm.nih.gov/gene/24105194", "24105194")</f>
        <v>24105194</v>
      </c>
      <c r="C18144" s="9"/>
      <c r="D18144" t="str">
        <f>"Y69A2AR.46"</f>
        <v>Y69A2AR.46</v>
      </c>
      <c r="F18144" t="s">
        <v>11</v>
      </c>
      <c r="H18144" s="12">
        <v>5.4871973923358901</v>
      </c>
      <c r="I18144" s="20">
        <v>0.499843548621418</v>
      </c>
      <c r="J18144" s="28">
        <v>0.61718524397184105</v>
      </c>
      <c r="K18144" s="29">
        <v>0.98289565623980701</v>
      </c>
    </row>
    <row r="18145" spans="1:11" x14ac:dyDescent="0.35">
      <c r="A18145" s="9" t="str">
        <f>HYPERLINK("http://www.ensembl.org/id/WBGene00235294", "WBGene00235294")</f>
        <v>WBGene00235294</v>
      </c>
      <c r="B18145" s="9" t="str">
        <f>HYPERLINK("http://www.ncbi.nlm.nih.gov/gene/24105195", "24105195")</f>
        <v>24105195</v>
      </c>
      <c r="C18145" s="9"/>
      <c r="D18145" t="str">
        <f>"Y69A2AR.47"</f>
        <v>Y69A2AR.47</v>
      </c>
      <c r="F18145" t="s">
        <v>11</v>
      </c>
      <c r="H18145" s="12">
        <v>2.4578120077400301</v>
      </c>
      <c r="I18145" s="20">
        <v>0.26093350314551</v>
      </c>
      <c r="J18145" s="28">
        <v>0.79414378780213601</v>
      </c>
      <c r="K18145" s="29">
        <v>0.98289565623980701</v>
      </c>
    </row>
    <row r="18146" spans="1:11" x14ac:dyDescent="0.35">
      <c r="A18146" s="9" t="str">
        <f>HYPERLINK("http://www.ensembl.org/id/WBGene00235299", "WBGene00235299")</f>
        <v>WBGene00235299</v>
      </c>
      <c r="B18146" s="9"/>
      <c r="C18146" s="9"/>
      <c r="D18146" t="str">
        <f>"Y69A2AR.48"</f>
        <v>Y69A2AR.48</v>
      </c>
      <c r="F18146" t="s">
        <v>481</v>
      </c>
      <c r="H18146" s="12">
        <v>-5.4967879193631202</v>
      </c>
      <c r="I18146" s="20">
        <v>-0.50254160819837501</v>
      </c>
      <c r="J18146" s="28">
        <v>0.61528659178453604</v>
      </c>
      <c r="K18146" s="29">
        <v>0.98289565623980701</v>
      </c>
    </row>
    <row r="18147" spans="1:11" x14ac:dyDescent="0.35">
      <c r="A18147" s="9" t="str">
        <f>HYPERLINK("http://www.ensembl.org/id/WBGene00235343", "WBGene00235343")</f>
        <v>WBGene00235343</v>
      </c>
      <c r="B18147" s="9" t="str">
        <f>HYPERLINK("http://www.ncbi.nlm.nih.gov/gene/24105199", "24105199")</f>
        <v>24105199</v>
      </c>
      <c r="C18147" s="9"/>
      <c r="D18147" t="str">
        <f>"Y69A2AR.51"</f>
        <v>Y69A2AR.51</v>
      </c>
      <c r="F18147" t="s">
        <v>11</v>
      </c>
      <c r="H18147" s="12">
        <v>-2.4295389261469</v>
      </c>
      <c r="I18147" s="20">
        <v>-0.25808529976640998</v>
      </c>
      <c r="J18147" s="28">
        <v>0.79634107645457397</v>
      </c>
      <c r="K18147" s="29">
        <v>0.98289565623980701</v>
      </c>
    </row>
    <row r="18148" spans="1:11" x14ac:dyDescent="0.35">
      <c r="A18148" s="9" t="str">
        <f>HYPERLINK("http://www.ensembl.org/id/WBGene00023188", "WBGene00023188")</f>
        <v>WBGene00023188</v>
      </c>
      <c r="B18148" s="9"/>
      <c r="C18148" s="9"/>
      <c r="D18148" t="str">
        <f>"Y69A2AR.t2"</f>
        <v>Y69A2AR.t2</v>
      </c>
      <c r="F18148" t="s">
        <v>4208</v>
      </c>
      <c r="H18148" s="12">
        <v>2.4578120077400301</v>
      </c>
      <c r="I18148" s="20">
        <v>0.26093350314551</v>
      </c>
      <c r="J18148" s="28">
        <v>0.79414378780213601</v>
      </c>
      <c r="K18148" s="29">
        <v>0.98289565623980701</v>
      </c>
    </row>
    <row r="18149" spans="1:11" x14ac:dyDescent="0.35">
      <c r="A18149" s="9" t="str">
        <f>HYPERLINK("http://www.ensembl.org/id/WBGene00013473", "WBGene00013473")</f>
        <v>WBGene00013473</v>
      </c>
      <c r="B18149" s="9" t="str">
        <f>HYPERLINK("http://www.ncbi.nlm.nih.gov/gene/177991", "177991")</f>
        <v>177991</v>
      </c>
      <c r="C18149" s="9"/>
      <c r="D18149" t="str">
        <f>"Y69E1A.1"</f>
        <v>Y69E1A.1</v>
      </c>
      <c r="F18149" t="s">
        <v>11</v>
      </c>
      <c r="G18149" t="s">
        <v>25</v>
      </c>
      <c r="H18149" s="12">
        <v>-1.21946434700881</v>
      </c>
      <c r="I18149" s="20">
        <v>-0.35826179231953897</v>
      </c>
      <c r="J18149" s="28">
        <v>0.72014740826559898</v>
      </c>
      <c r="K18149" s="29">
        <v>0.98289565623980701</v>
      </c>
    </row>
    <row r="18150" spans="1:11" x14ac:dyDescent="0.35">
      <c r="A18150" s="9" t="str">
        <f>HYPERLINK("http://www.ensembl.org/id/WBGene00013475", "WBGene00013475")</f>
        <v>WBGene00013475</v>
      </c>
      <c r="B18150" s="9" t="str">
        <f>HYPERLINK("http://www.ncbi.nlm.nih.gov/gene/190549", "190549")</f>
        <v>190549</v>
      </c>
      <c r="C18150" s="9"/>
      <c r="D18150" t="str">
        <f>"Y69E1A.3"</f>
        <v>Y69E1A.3</v>
      </c>
      <c r="E18150" t="s">
        <v>2588</v>
      </c>
      <c r="F18150" t="s">
        <v>11</v>
      </c>
      <c r="G18150" t="s">
        <v>2589</v>
      </c>
      <c r="H18150" s="12">
        <v>3.2247018142272399</v>
      </c>
      <c r="I18150" s="20">
        <v>0.49320310975751802</v>
      </c>
      <c r="J18150" s="28">
        <v>0.62186908080437198</v>
      </c>
      <c r="K18150" s="29">
        <v>0.98289565623980701</v>
      </c>
    </row>
    <row r="18151" spans="1:11" x14ac:dyDescent="0.35">
      <c r="A18151" s="9" t="str">
        <f>HYPERLINK("http://www.ensembl.org/id/WBGene00013476", "WBGene00013476")</f>
        <v>WBGene00013476</v>
      </c>
      <c r="B18151" s="9" t="str">
        <f>HYPERLINK("http://www.ncbi.nlm.nih.gov/gene/190550", "190550")</f>
        <v>190550</v>
      </c>
      <c r="C18151" s="9"/>
      <c r="D18151" t="str">
        <f>"Y69E1A.4"</f>
        <v>Y69E1A.4</v>
      </c>
      <c r="E18151" t="s">
        <v>2496</v>
      </c>
      <c r="F18151" t="s">
        <v>11</v>
      </c>
      <c r="G18151" t="s">
        <v>2497</v>
      </c>
      <c r="H18151" s="12">
        <v>3.3395775643782502</v>
      </c>
      <c r="I18151" s="20">
        <v>0.44656260965551497</v>
      </c>
      <c r="J18151" s="28">
        <v>0.65519089741497205</v>
      </c>
      <c r="K18151" s="29">
        <v>0.98289565623980701</v>
      </c>
    </row>
    <row r="18152" spans="1:11" x14ac:dyDescent="0.35">
      <c r="A18152" s="9" t="str">
        <f>HYPERLINK("http://www.ensembl.org/id/WBGene00013478", "WBGene00013478")</f>
        <v>WBGene00013478</v>
      </c>
      <c r="B18152" s="9" t="str">
        <f>HYPERLINK("http://www.ncbi.nlm.nih.gov/gene/190554", "190554")</f>
        <v>190554</v>
      </c>
      <c r="C18152" s="9"/>
      <c r="D18152" t="str">
        <f>"Y69E1A.8"</f>
        <v>Y69E1A.8</v>
      </c>
      <c r="F18152" t="s">
        <v>11</v>
      </c>
      <c r="H18152" s="12">
        <v>-2.2575546102491901</v>
      </c>
      <c r="I18152" s="20">
        <v>-0.77040323419942802</v>
      </c>
      <c r="J18152" s="28">
        <v>0.44106073552452602</v>
      </c>
      <c r="K18152" s="29">
        <v>0.98289565623980701</v>
      </c>
    </row>
    <row r="18153" spans="1:11" x14ac:dyDescent="0.35">
      <c r="A18153" s="9" t="str">
        <f>HYPERLINK("http://www.ensembl.org/id/WBGene00077455", "WBGene00077455")</f>
        <v>WBGene00077455</v>
      </c>
      <c r="B18153" s="9" t="str">
        <f>HYPERLINK("http://www.ncbi.nlm.nih.gov/gene/13218279", "13218279")</f>
        <v>13218279</v>
      </c>
      <c r="C18153" s="9"/>
      <c r="D18153" t="str">
        <f>"Y69H2.17"</f>
        <v>Y69H2.17</v>
      </c>
      <c r="F18153" t="s">
        <v>11</v>
      </c>
      <c r="H18153" s="12">
        <v>2.3023301924467101</v>
      </c>
      <c r="I18153" s="20">
        <v>0.26674601818072902</v>
      </c>
      <c r="J18153" s="28">
        <v>0.78966471981773201</v>
      </c>
      <c r="K18153" s="29">
        <v>0.98289565623980701</v>
      </c>
    </row>
    <row r="18154" spans="1:11" x14ac:dyDescent="0.35">
      <c r="A18154" s="9" t="str">
        <f>HYPERLINK("http://www.ensembl.org/id/WBGene00013481", "WBGene00013481")</f>
        <v>WBGene00013481</v>
      </c>
      <c r="B18154" s="9" t="str">
        <f>HYPERLINK("http://www.ncbi.nlm.nih.gov/gene/180221", "180221")</f>
        <v>180221</v>
      </c>
      <c r="C18154" s="9"/>
      <c r="D18154" t="str">
        <f>"Y69H2.3"</f>
        <v>Y69H2.3</v>
      </c>
      <c r="F18154" t="s">
        <v>11</v>
      </c>
      <c r="G18154" t="s">
        <v>5967</v>
      </c>
      <c r="H18154" s="12">
        <v>1.0786464241471101</v>
      </c>
      <c r="I18154" s="20">
        <v>0.343137202853527</v>
      </c>
      <c r="J18154" s="28">
        <v>0.731495244439339</v>
      </c>
      <c r="K18154" s="29">
        <v>0.98289565623980701</v>
      </c>
    </row>
    <row r="18155" spans="1:11" x14ac:dyDescent="0.35">
      <c r="A18155" s="9" t="str">
        <f>HYPERLINK("http://www.ensembl.org/id/WBGene00013482", "WBGene00013482")</f>
        <v>WBGene00013482</v>
      </c>
      <c r="B18155" s="9" t="str">
        <f>HYPERLINK("http://www.ncbi.nlm.nih.gov/gene/180224", "180224")</f>
        <v>180224</v>
      </c>
      <c r="C18155" s="9"/>
      <c r="D18155" t="str">
        <f>"Y69H2.7"</f>
        <v>Y69H2.7</v>
      </c>
      <c r="F18155" t="s">
        <v>11</v>
      </c>
      <c r="H18155" s="12">
        <v>-1.2468644709889001</v>
      </c>
      <c r="I18155" s="20">
        <v>-0.99019956648539798</v>
      </c>
      <c r="J18155" s="28">
        <v>0.32207658441083198</v>
      </c>
      <c r="K18155" s="29">
        <v>0.98289565623980701</v>
      </c>
    </row>
    <row r="18156" spans="1:11" x14ac:dyDescent="0.35">
      <c r="A18156" s="9" t="str">
        <f>HYPERLINK("http://www.ensembl.org/id/WBGene00013484", "WBGene00013484")</f>
        <v>WBGene00013484</v>
      </c>
      <c r="B18156" s="9" t="str">
        <f>HYPERLINK("http://www.ncbi.nlm.nih.gov/gene/190559", "190559")</f>
        <v>190559</v>
      </c>
      <c r="C18156" s="9"/>
      <c r="D18156" t="str">
        <f>"Y69H2.9"</f>
        <v>Y69H2.9</v>
      </c>
      <c r="F18156" t="s">
        <v>11</v>
      </c>
      <c r="G18156" t="s">
        <v>25</v>
      </c>
      <c r="H18156" s="12">
        <v>1.2003968947180801</v>
      </c>
      <c r="I18156" s="20">
        <v>0.41346045225558198</v>
      </c>
      <c r="J18156" s="28">
        <v>0.67926929165760896</v>
      </c>
      <c r="K18156" s="29">
        <v>0.98289565623980701</v>
      </c>
    </row>
    <row r="18157" spans="1:11" x14ac:dyDescent="0.35">
      <c r="A18157" s="9" t="str">
        <f>HYPERLINK("http://www.ensembl.org/id/WBGene00220128", "WBGene00220128")</f>
        <v>WBGene00220128</v>
      </c>
      <c r="B18157" s="9"/>
      <c r="C18157" s="9"/>
      <c r="D18157" t="str">
        <f>"Y6B3B.15"</f>
        <v>Y6B3B.15</v>
      </c>
      <c r="F18157" t="s">
        <v>2977</v>
      </c>
      <c r="H18157" s="12">
        <v>2.3893468495514898</v>
      </c>
      <c r="I18157" s="20">
        <v>0.25323547253672701</v>
      </c>
      <c r="J18157" s="28">
        <v>0.80008625651646104</v>
      </c>
      <c r="K18157" s="29">
        <v>0.98289565623980701</v>
      </c>
    </row>
    <row r="18158" spans="1:11" x14ac:dyDescent="0.35">
      <c r="A18158" s="9" t="str">
        <f>HYPERLINK("http://www.ensembl.org/id/WBGene00014861", "WBGene00014861")</f>
        <v>WBGene00014861</v>
      </c>
      <c r="B18158" s="9"/>
      <c r="C18158" s="9"/>
      <c r="D18158" t="str">
        <f>"Y6B3B.2"</f>
        <v>Y6B3B.2</v>
      </c>
      <c r="F18158" t="s">
        <v>80</v>
      </c>
      <c r="H18158" s="12">
        <v>-3.5819448292659501</v>
      </c>
      <c r="I18158" s="20">
        <v>-0.37337717500031398</v>
      </c>
      <c r="J18158" s="28">
        <v>0.70886774492290605</v>
      </c>
      <c r="K18158" s="29">
        <v>0.98289565623980701</v>
      </c>
    </row>
    <row r="18159" spans="1:11" x14ac:dyDescent="0.35">
      <c r="A18159" s="9" t="str">
        <f>HYPERLINK("http://www.ensembl.org/id/WBGene00012388", "WBGene00012388")</f>
        <v>WBGene00012388</v>
      </c>
      <c r="B18159" s="9" t="str">
        <f>HYPERLINK("http://www.ncbi.nlm.nih.gov/gene/189367", "189367")</f>
        <v>189367</v>
      </c>
      <c r="C18159" s="9"/>
      <c r="D18159" t="str">
        <f>"Y6B3B.3"</f>
        <v>Y6B3B.3</v>
      </c>
      <c r="F18159" t="s">
        <v>11</v>
      </c>
      <c r="H18159" s="12">
        <v>3.6645215954135</v>
      </c>
      <c r="I18159" s="20">
        <v>0.37967131826092498</v>
      </c>
      <c r="J18159" s="28">
        <v>0.70418941338960395</v>
      </c>
      <c r="K18159" s="29">
        <v>0.98289565623980701</v>
      </c>
    </row>
    <row r="18160" spans="1:11" x14ac:dyDescent="0.35">
      <c r="A18160" s="9" t="str">
        <f>HYPERLINK("http://www.ensembl.org/id/WBGene00012389", "WBGene00012389")</f>
        <v>WBGene00012389</v>
      </c>
      <c r="B18160" s="9" t="str">
        <f>HYPERLINK("http://www.ncbi.nlm.nih.gov/gene/189368", "189368")</f>
        <v>189368</v>
      </c>
      <c r="C18160" s="9"/>
      <c r="D18160" t="str">
        <f>"Y6B3B.4"</f>
        <v>Y6B3B.4</v>
      </c>
      <c r="F18160" t="s">
        <v>11</v>
      </c>
      <c r="H18160" s="12">
        <v>-1.25035373662191</v>
      </c>
      <c r="I18160" s="20">
        <v>-1.14550382073265</v>
      </c>
      <c r="J18160" s="28">
        <v>0.25200051363723402</v>
      </c>
      <c r="K18160" s="29">
        <v>0.98289565623980701</v>
      </c>
    </row>
    <row r="18161" spans="1:11" x14ac:dyDescent="0.35">
      <c r="A18161" s="9" t="str">
        <f>HYPERLINK("http://www.ensembl.org/id/WBGene00012393", "WBGene00012393")</f>
        <v>WBGene00012393</v>
      </c>
      <c r="B18161" s="9" t="str">
        <f>HYPERLINK("http://www.ncbi.nlm.nih.gov/gene/173239", "173239")</f>
        <v>173239</v>
      </c>
      <c r="C18161" s="9"/>
      <c r="D18161" t="str">
        <f>"Y6B3B.9"</f>
        <v>Y6B3B.9</v>
      </c>
      <c r="F18161" t="s">
        <v>11</v>
      </c>
      <c r="G18161" t="s">
        <v>9488</v>
      </c>
      <c r="H18161" s="12">
        <v>-1.25082728268076</v>
      </c>
      <c r="I18161" s="20">
        <v>-0.91764174787017105</v>
      </c>
      <c r="J18161" s="28">
        <v>0.35880645386174398</v>
      </c>
      <c r="K18161" s="29">
        <v>0.98289565623980701</v>
      </c>
    </row>
    <row r="18162" spans="1:11" x14ac:dyDescent="0.35">
      <c r="A18162" s="9" t="str">
        <f>HYPERLINK("http://www.ensembl.org/id/WBGene00012395", "WBGene00012395")</f>
        <v>WBGene00012395</v>
      </c>
      <c r="B18162" s="9" t="str">
        <f>HYPERLINK("http://www.ncbi.nlm.nih.gov/gene/174818", "174818")</f>
        <v>174818</v>
      </c>
      <c r="C18162" s="9"/>
      <c r="D18162" t="str">
        <f>"Y6D1A.1"</f>
        <v>Y6D1A.1</v>
      </c>
      <c r="F18162" t="s">
        <v>11</v>
      </c>
      <c r="H18162" s="12">
        <v>-1.13022380435796</v>
      </c>
      <c r="I18162" s="20">
        <v>-0.54029531796717001</v>
      </c>
      <c r="J18162" s="28">
        <v>0.58899338677019097</v>
      </c>
      <c r="K18162" s="29">
        <v>0.98289565623980701</v>
      </c>
    </row>
    <row r="18163" spans="1:11" x14ac:dyDescent="0.35">
      <c r="A18163" s="9" t="str">
        <f>HYPERLINK("http://www.ensembl.org/id/WBGene00194891", "WBGene00194891")</f>
        <v>WBGene00194891</v>
      </c>
      <c r="B18163" s="9"/>
      <c r="C18163" s="9"/>
      <c r="D18163" t="str">
        <f>"Y6D1A.3"</f>
        <v>Y6D1A.3</v>
      </c>
      <c r="F18163" t="s">
        <v>80</v>
      </c>
      <c r="H18163" s="12">
        <v>-2.4295389261469</v>
      </c>
      <c r="I18163" s="20">
        <v>-0.25808529976640998</v>
      </c>
      <c r="J18163" s="28">
        <v>0.79634107645457397</v>
      </c>
      <c r="K18163" s="29">
        <v>0.98289565623980701</v>
      </c>
    </row>
    <row r="18164" spans="1:11" x14ac:dyDescent="0.35">
      <c r="A18164" s="9" t="str">
        <f>HYPERLINK("http://www.ensembl.org/id/WBGene00012404", "WBGene00012404")</f>
        <v>WBGene00012404</v>
      </c>
      <c r="B18164" s="9" t="str">
        <f>HYPERLINK("http://www.ncbi.nlm.nih.gov/gene/180157", "180157")</f>
        <v>180157</v>
      </c>
      <c r="C18164" s="9"/>
      <c r="D18164" t="str">
        <f>"Y6G8.2"</f>
        <v>Y6G8.2</v>
      </c>
      <c r="F18164" t="s">
        <v>11</v>
      </c>
      <c r="G18164" t="s">
        <v>54</v>
      </c>
      <c r="H18164" s="12">
        <v>-1.3439192949555601</v>
      </c>
      <c r="I18164" s="20">
        <v>-1.1694858508844299</v>
      </c>
      <c r="J18164" s="28">
        <v>0.242207938608547</v>
      </c>
      <c r="K18164" s="29">
        <v>0.98289565623980701</v>
      </c>
    </row>
    <row r="18165" spans="1:11" x14ac:dyDescent="0.35">
      <c r="A18165" s="9" t="str">
        <f>HYPERLINK("http://www.ensembl.org/id/WBGene00044207", "WBGene00044207")</f>
        <v>WBGene00044207</v>
      </c>
      <c r="B18165" s="9" t="str">
        <f>HYPERLINK("http://www.ncbi.nlm.nih.gov/gene/3565848", "3565848")</f>
        <v>3565848</v>
      </c>
      <c r="C18165" s="9"/>
      <c r="D18165" t="str">
        <f>"Y6G8.5"</f>
        <v>Y6G8.5</v>
      </c>
      <c r="F18165" t="s">
        <v>11</v>
      </c>
      <c r="H18165" s="12">
        <v>-2.4295389261469</v>
      </c>
      <c r="I18165" s="20">
        <v>-0.25808529976640998</v>
      </c>
      <c r="J18165" s="28">
        <v>0.79634107645457397</v>
      </c>
      <c r="K18165" s="29">
        <v>0.98289565623980701</v>
      </c>
    </row>
    <row r="18166" spans="1:11" x14ac:dyDescent="0.35">
      <c r="A18166" s="9" t="str">
        <f>HYPERLINK("http://www.ensembl.org/id/WBGene00050974", "WBGene00050974")</f>
        <v>WBGene00050974</v>
      </c>
      <c r="B18166" s="9"/>
      <c r="C18166" s="9"/>
      <c r="D18166" t="str">
        <f>"Y6G8.9"</f>
        <v>Y6G8.9</v>
      </c>
      <c r="F18166" t="s">
        <v>80</v>
      </c>
      <c r="H18166" s="12">
        <v>-1.978540170819</v>
      </c>
      <c r="I18166" s="20">
        <v>-0.67556898913890995</v>
      </c>
      <c r="J18166" s="28">
        <v>0.499314336018301</v>
      </c>
      <c r="K18166" s="29">
        <v>0.98289565623980701</v>
      </c>
    </row>
    <row r="18167" spans="1:11" x14ac:dyDescent="0.35">
      <c r="A18167" s="9" t="str">
        <f>HYPERLINK("http://www.ensembl.org/id/WBGene00013490", "WBGene00013490")</f>
        <v>WBGene00013490</v>
      </c>
      <c r="B18167" s="9" t="str">
        <f>HYPERLINK("http://www.ncbi.nlm.nih.gov/gene/180114", "180114")</f>
        <v>180114</v>
      </c>
      <c r="C18167" s="9"/>
      <c r="D18167" t="str">
        <f>"Y70C5A.2"</f>
        <v>Y70C5A.2</v>
      </c>
      <c r="F18167" t="s">
        <v>11</v>
      </c>
      <c r="G18167" t="s">
        <v>25</v>
      </c>
      <c r="H18167" s="12">
        <v>3.7287515576388399</v>
      </c>
      <c r="I18167" s="20">
        <v>1.0717071867411301</v>
      </c>
      <c r="J18167" s="28">
        <v>0.28385157183206999</v>
      </c>
      <c r="K18167" s="29">
        <v>0.98289565623980701</v>
      </c>
    </row>
    <row r="18168" spans="1:11" x14ac:dyDescent="0.35">
      <c r="A18168" s="9" t="str">
        <f>HYPERLINK("http://www.ensembl.org/id/WBGene00050904", "WBGene00050904")</f>
        <v>WBGene00050904</v>
      </c>
      <c r="B18168" s="9" t="str">
        <f>HYPERLINK("http://www.ncbi.nlm.nih.gov/gene/6418793", "6418793")</f>
        <v>6418793</v>
      </c>
      <c r="C18168" s="9"/>
      <c r="D18168" t="str">
        <f>"Y70C5A.3"</f>
        <v>Y70C5A.3</v>
      </c>
      <c r="F18168" t="s">
        <v>11</v>
      </c>
      <c r="H18168" s="12">
        <v>-1.5656817694787399</v>
      </c>
      <c r="I18168" s="20">
        <v>-1.18987213823434</v>
      </c>
      <c r="J18168" s="28">
        <v>0.23409665078549999</v>
      </c>
      <c r="K18168" s="29">
        <v>0.98289565623980701</v>
      </c>
    </row>
    <row r="18169" spans="1:11" x14ac:dyDescent="0.35">
      <c r="A18169" s="9" t="str">
        <f>HYPERLINK("http://www.ensembl.org/id/WBGene00013496", "WBGene00013496")</f>
        <v>WBGene00013496</v>
      </c>
      <c r="B18169" s="9" t="str">
        <f>HYPERLINK("http://www.ncbi.nlm.nih.gov/gene/190571", "190571")</f>
        <v>190571</v>
      </c>
      <c r="C18169" s="9"/>
      <c r="D18169" t="str">
        <f>"Y70D2A.1"</f>
        <v>Y70D2A.1</v>
      </c>
      <c r="F18169" t="s">
        <v>11</v>
      </c>
      <c r="G18169" t="s">
        <v>1089</v>
      </c>
      <c r="H18169" s="12">
        <v>1.43186095613436</v>
      </c>
      <c r="I18169" s="20">
        <v>0.88739897420031799</v>
      </c>
      <c r="J18169" s="28">
        <v>0.37486413558460802</v>
      </c>
      <c r="K18169" s="29">
        <v>0.98289565623980701</v>
      </c>
    </row>
    <row r="18170" spans="1:11" x14ac:dyDescent="0.35">
      <c r="A18170" s="9" t="str">
        <f>HYPERLINK("http://www.ensembl.org/id/WBGene00014946", "WBGene00014946")</f>
        <v>WBGene00014946</v>
      </c>
      <c r="B18170" s="9"/>
      <c r="C18170" s="9"/>
      <c r="D18170" t="str">
        <f>"Y70G10A.1"</f>
        <v>Y70G10A.1</v>
      </c>
      <c r="F18170" t="s">
        <v>80</v>
      </c>
      <c r="H18170" s="12">
        <v>1.76344856397025</v>
      </c>
      <c r="I18170" s="20">
        <v>0.68417067568571799</v>
      </c>
      <c r="J18170" s="28">
        <v>0.49386739707518901</v>
      </c>
      <c r="K18170" s="29">
        <v>0.98289565623980701</v>
      </c>
    </row>
    <row r="18171" spans="1:11" x14ac:dyDescent="0.35">
      <c r="A18171" s="9" t="str">
        <f>HYPERLINK("http://www.ensembl.org/id/WBGene00013507", "WBGene00013507")</f>
        <v>WBGene00013507</v>
      </c>
      <c r="B18171" s="9" t="str">
        <f>HYPERLINK("http://www.ncbi.nlm.nih.gov/gene/190580", "190580")</f>
        <v>190580</v>
      </c>
      <c r="C18171" s="9"/>
      <c r="D18171" t="str">
        <f>"Y71A12B.10"</f>
        <v>Y71A12B.10</v>
      </c>
      <c r="F18171" t="s">
        <v>11</v>
      </c>
      <c r="G18171" t="s">
        <v>4252</v>
      </c>
      <c r="H18171" s="12">
        <v>5.86688511605362</v>
      </c>
      <c r="I18171" s="20">
        <v>0.99429141331573601</v>
      </c>
      <c r="J18171" s="28">
        <v>0.32008101486474</v>
      </c>
      <c r="K18171" s="29">
        <v>0.98289565623980701</v>
      </c>
    </row>
    <row r="18172" spans="1:11" x14ac:dyDescent="0.35">
      <c r="A18172" s="9" t="str">
        <f>HYPERLINK("http://www.ensembl.org/id/WBGene00013508", "WBGene00013508")</f>
        <v>WBGene00013508</v>
      </c>
      <c r="B18172" s="9" t="str">
        <f>HYPERLINK("http://www.ncbi.nlm.nih.gov/gene/173262", "173262")</f>
        <v>173262</v>
      </c>
      <c r="C18172" s="9"/>
      <c r="D18172" t="str">
        <f>"Y71A12B.11"</f>
        <v>Y71A12B.11</v>
      </c>
      <c r="F18172" t="s">
        <v>11</v>
      </c>
      <c r="G18172" t="s">
        <v>25</v>
      </c>
      <c r="H18172" s="12">
        <v>1.1982501463783799</v>
      </c>
      <c r="I18172" s="20">
        <v>0.61584429884727798</v>
      </c>
      <c r="J18172" s="28">
        <v>0.53799728708147199</v>
      </c>
      <c r="K18172" s="29">
        <v>0.98289565623980701</v>
      </c>
    </row>
    <row r="18173" spans="1:11" x14ac:dyDescent="0.35">
      <c r="A18173" s="9" t="str">
        <f>HYPERLINK("http://www.ensembl.org/id/WBGene00013510", "WBGene00013510")</f>
        <v>WBGene00013510</v>
      </c>
      <c r="B18173" s="9"/>
      <c r="C18173" s="9"/>
      <c r="D18173" t="str">
        <f>"Y71A12B.13"</f>
        <v>Y71A12B.13</v>
      </c>
      <c r="F18173" t="s">
        <v>80</v>
      </c>
      <c r="H18173" s="12">
        <v>1.3301983957202601</v>
      </c>
      <c r="I18173" s="20">
        <v>0.58262119998023099</v>
      </c>
      <c r="J18173" s="28">
        <v>0.56014833067615</v>
      </c>
      <c r="K18173" s="29">
        <v>0.98289565623980701</v>
      </c>
    </row>
    <row r="18174" spans="1:11" x14ac:dyDescent="0.35">
      <c r="A18174" s="9" t="str">
        <f>HYPERLINK("http://www.ensembl.org/id/WBGene00014947", "WBGene00014947")</f>
        <v>WBGene00014947</v>
      </c>
      <c r="B18174" s="9"/>
      <c r="C18174" s="9"/>
      <c r="D18174" t="str">
        <f>"Y71A12B.14"</f>
        <v>Y71A12B.14</v>
      </c>
      <c r="F18174" t="s">
        <v>80</v>
      </c>
      <c r="H18174" s="12">
        <v>1.5976376188432699</v>
      </c>
      <c r="I18174" s="20">
        <v>1.0657451003521199</v>
      </c>
      <c r="J18174" s="28">
        <v>0.28653888415602402</v>
      </c>
      <c r="K18174" s="29">
        <v>0.98289565623980701</v>
      </c>
    </row>
    <row r="18175" spans="1:11" x14ac:dyDescent="0.35">
      <c r="A18175" s="9" t="str">
        <f>HYPERLINK("http://www.ensembl.org/id/WBGene00077443", "WBGene00077443")</f>
        <v>WBGene00077443</v>
      </c>
      <c r="B18175" s="9"/>
      <c r="C18175" s="9"/>
      <c r="D18175" t="str">
        <f>"Y71A12B.19"</f>
        <v>Y71A12B.19</v>
      </c>
      <c r="F18175" t="s">
        <v>80</v>
      </c>
      <c r="H18175" s="12">
        <v>1.87342823744049</v>
      </c>
      <c r="I18175" s="20">
        <v>0.78640411367000496</v>
      </c>
      <c r="J18175" s="28">
        <v>0.43163077423959401</v>
      </c>
      <c r="K18175" s="29">
        <v>0.98289565623980701</v>
      </c>
    </row>
    <row r="18176" spans="1:11" x14ac:dyDescent="0.35">
      <c r="A18176" s="9" t="str">
        <f>HYPERLINK("http://www.ensembl.org/id/WBGene00175036", "WBGene00175036")</f>
        <v>WBGene00175036</v>
      </c>
      <c r="B18176" s="9"/>
      <c r="C18176" s="9"/>
      <c r="D18176" t="str">
        <f>"Y71A12B.21"</f>
        <v>Y71A12B.21</v>
      </c>
      <c r="F18176" t="s">
        <v>80</v>
      </c>
      <c r="H18176" s="12">
        <v>-1.61559681427683</v>
      </c>
      <c r="I18176" s="20">
        <v>-0.25529003944443202</v>
      </c>
      <c r="J18176" s="28">
        <v>0.79849909250425799</v>
      </c>
      <c r="K18176" s="29">
        <v>0.98289565623980701</v>
      </c>
    </row>
    <row r="18177" spans="1:11" x14ac:dyDescent="0.35">
      <c r="A18177" s="9" t="str">
        <f>HYPERLINK("http://www.ensembl.org/id/WBGene00195228", "WBGene00195228")</f>
        <v>WBGene00195228</v>
      </c>
      <c r="B18177" s="9" t="str">
        <f>HYPERLINK("http://www.ncbi.nlm.nih.gov/gene/13182889", "13182889")</f>
        <v>13182889</v>
      </c>
      <c r="C18177" s="9"/>
      <c r="D18177" t="str">
        <f>"Y71A12B.24"</f>
        <v>Y71A12B.24</v>
      </c>
      <c r="F18177" t="s">
        <v>11</v>
      </c>
      <c r="H18177" s="12">
        <v>2.4578120077400301</v>
      </c>
      <c r="I18177" s="20">
        <v>0.26093350314551</v>
      </c>
      <c r="J18177" s="28">
        <v>0.79414378780213601</v>
      </c>
      <c r="K18177" s="29">
        <v>0.98289565623980701</v>
      </c>
    </row>
    <row r="18178" spans="1:11" x14ac:dyDescent="0.35">
      <c r="A18178" s="9" t="str">
        <f>HYPERLINK("http://www.ensembl.org/id/WBGene00235237", "WBGene00235237")</f>
        <v>WBGene00235237</v>
      </c>
      <c r="B18178" s="9"/>
      <c r="C18178" s="9"/>
      <c r="D18178" t="str">
        <f>"Y71A12B.33"</f>
        <v>Y71A12B.33</v>
      </c>
      <c r="F18178" t="s">
        <v>481</v>
      </c>
      <c r="H18178" s="12">
        <v>5.2322000618327396</v>
      </c>
      <c r="I18178" s="20">
        <v>0.486112489888328</v>
      </c>
      <c r="J18178" s="28">
        <v>0.62688741196182496</v>
      </c>
      <c r="K18178" s="29">
        <v>0.98289565623980701</v>
      </c>
    </row>
    <row r="18179" spans="1:11" x14ac:dyDescent="0.35">
      <c r="A18179" s="9" t="str">
        <f>HYPERLINK("http://www.ensembl.org/id/WBGene00050878", "WBGene00050878")</f>
        <v>WBGene00050878</v>
      </c>
      <c r="B18179" s="9"/>
      <c r="C18179" s="9"/>
      <c r="D18179" t="str">
        <f>"Y71A12C.3"</f>
        <v>Y71A12C.3</v>
      </c>
      <c r="F18179" t="s">
        <v>80</v>
      </c>
      <c r="H18179" s="12">
        <v>2.7092878833318199</v>
      </c>
      <c r="I18179" s="20">
        <v>0.37440322893469302</v>
      </c>
      <c r="J18179" s="28">
        <v>0.70810434101450404</v>
      </c>
      <c r="K18179" s="29">
        <v>0.98289565623980701</v>
      </c>
    </row>
    <row r="18180" spans="1:11" x14ac:dyDescent="0.35">
      <c r="A18180" s="9" t="str">
        <f>HYPERLINK("http://www.ensembl.org/id/WBGene00022107", "WBGene00022107")</f>
        <v>WBGene00022107</v>
      </c>
      <c r="B18180" s="9" t="str">
        <f>HYPERLINK("http://www.ncbi.nlm.nih.gov/gene/171864", "171864")</f>
        <v>171864</v>
      </c>
      <c r="C18180" s="9" t="str">
        <f>HYPERLINK("http://www.ncbi.nlm.nih.gov/gene/60487", "60487")</f>
        <v>60487</v>
      </c>
      <c r="D18180" t="str">
        <f>"Y71F9AL.1"</f>
        <v>Y71F9AL.1</v>
      </c>
      <c r="F18180" t="s">
        <v>11</v>
      </c>
      <c r="G18180" t="s">
        <v>9670</v>
      </c>
      <c r="H18180" s="12">
        <v>-1.2752894451671399</v>
      </c>
      <c r="I18180" s="20">
        <v>-1.0224601178732999</v>
      </c>
      <c r="J18180" s="28">
        <v>0.30656317945804301</v>
      </c>
      <c r="K18180" s="29">
        <v>0.98289565623980701</v>
      </c>
    </row>
    <row r="18181" spans="1:11" x14ac:dyDescent="0.35">
      <c r="A18181" s="9" t="str">
        <f>HYPERLINK("http://www.ensembl.org/id/WBGene00022115", "WBGene00022115")</f>
        <v>WBGene00022115</v>
      </c>
      <c r="B18181" s="9" t="str">
        <f>HYPERLINK("http://www.ncbi.nlm.nih.gov/gene/171852", "171852")</f>
        <v>171852</v>
      </c>
      <c r="C18181" s="9"/>
      <c r="D18181" t="str">
        <f>"Y71F9AL.10"</f>
        <v>Y71F9AL.10</v>
      </c>
      <c r="F18181" t="s">
        <v>11</v>
      </c>
      <c r="G18181" t="s">
        <v>51</v>
      </c>
      <c r="H18181" s="12">
        <v>-1.11079861762392</v>
      </c>
      <c r="I18181" s="20">
        <v>-0.53046571376656604</v>
      </c>
      <c r="J18181" s="28">
        <v>0.59578907478756105</v>
      </c>
      <c r="K18181" s="29">
        <v>0.98289565623980701</v>
      </c>
    </row>
    <row r="18182" spans="1:11" x14ac:dyDescent="0.35">
      <c r="A18182" s="9" t="str">
        <f>HYPERLINK("http://www.ensembl.org/id/WBGene00022116", "WBGene00022116")</f>
        <v>WBGene00022116</v>
      </c>
      <c r="B18182" s="9" t="str">
        <f>HYPERLINK("http://www.ncbi.nlm.nih.gov/gene/190587", "190587")</f>
        <v>190587</v>
      </c>
      <c r="C18182" s="9"/>
      <c r="D18182" t="str">
        <f>"Y71F9AL.11"</f>
        <v>Y71F9AL.11</v>
      </c>
      <c r="F18182" t="s">
        <v>11</v>
      </c>
      <c r="H18182" s="12">
        <v>2.16952301907564</v>
      </c>
      <c r="I18182" s="20">
        <v>0.65634769156746597</v>
      </c>
      <c r="J18182" s="28">
        <v>0.51160043842316205</v>
      </c>
      <c r="K18182" s="29">
        <v>0.98289565623980701</v>
      </c>
    </row>
    <row r="18183" spans="1:11" x14ac:dyDescent="0.35">
      <c r="A18183" s="9" t="str">
        <f>HYPERLINK("http://www.ensembl.org/id/WBGene00022117", "WBGene00022117")</f>
        <v>WBGene00022117</v>
      </c>
      <c r="B18183" s="9" t="str">
        <f>HYPERLINK("http://www.ncbi.nlm.nih.gov/gene/190588", "190588")</f>
        <v>190588</v>
      </c>
      <c r="C18183" s="9"/>
      <c r="D18183" t="str">
        <f>"Y71F9AL.12"</f>
        <v>Y71F9AL.12</v>
      </c>
      <c r="F18183" t="s">
        <v>11</v>
      </c>
      <c r="H18183" s="12">
        <v>-1.19380088871162</v>
      </c>
      <c r="I18183" s="20">
        <v>-0.79424696896278701</v>
      </c>
      <c r="J18183" s="28">
        <v>0.427051669908042</v>
      </c>
      <c r="K18183" s="29">
        <v>0.98289565623980701</v>
      </c>
    </row>
    <row r="18184" spans="1:11" x14ac:dyDescent="0.35">
      <c r="A18184" s="9" t="str">
        <f>HYPERLINK("http://www.ensembl.org/id/WBGene00200294", "WBGene00200294")</f>
        <v>WBGene00200294</v>
      </c>
      <c r="B18184" s="9"/>
      <c r="C18184" s="9"/>
      <c r="D18184" t="str">
        <f>"Y71F9AL.21"</f>
        <v>Y71F9AL.21</v>
      </c>
      <c r="F18184" t="s">
        <v>481</v>
      </c>
      <c r="H18184" s="12">
        <v>4.6387698961716399</v>
      </c>
      <c r="I18184" s="20">
        <v>0.44985450087338802</v>
      </c>
      <c r="J18184" s="28">
        <v>0.65281535672642099</v>
      </c>
      <c r="K18184" s="29">
        <v>0.98289565623980701</v>
      </c>
    </row>
    <row r="18185" spans="1:11" x14ac:dyDescent="0.35">
      <c r="A18185" s="9" t="str">
        <f>HYPERLINK("http://www.ensembl.org/id/WBGene00022114", "WBGene00022114")</f>
        <v>WBGene00022114</v>
      </c>
      <c r="B18185" s="9" t="str">
        <f>HYPERLINK("http://www.ncbi.nlm.nih.gov/gene/171854", "171854")</f>
        <v>171854</v>
      </c>
      <c r="C18185" s="9"/>
      <c r="D18185" t="str">
        <f>"Y71F9AL.9"</f>
        <v>Y71F9AL.9</v>
      </c>
      <c r="F18185" t="s">
        <v>11</v>
      </c>
      <c r="G18185" t="s">
        <v>3526</v>
      </c>
      <c r="H18185" s="12">
        <v>-1.11962306226237</v>
      </c>
      <c r="I18185" s="20">
        <v>-0.62099877764145495</v>
      </c>
      <c r="J18185" s="28">
        <v>0.53460042744074499</v>
      </c>
      <c r="K18185" s="29">
        <v>0.98289565623980701</v>
      </c>
    </row>
    <row r="18186" spans="1:11" x14ac:dyDescent="0.35">
      <c r="A18186" s="9" t="str">
        <f>HYPERLINK("http://www.ensembl.org/id/WBGene00044928", "WBGene00044928")</f>
        <v>WBGene00044928</v>
      </c>
      <c r="B18186" s="9"/>
      <c r="C18186" s="9"/>
      <c r="D18186" t="str">
        <f>"Y71F9AM.7"</f>
        <v>Y71F9AM.7</v>
      </c>
      <c r="F18186" t="s">
        <v>2977</v>
      </c>
      <c r="H18186" s="12">
        <v>2.4578120077400301</v>
      </c>
      <c r="I18186" s="20">
        <v>0.26093350314551</v>
      </c>
      <c r="J18186" s="28">
        <v>0.79414378780213601</v>
      </c>
      <c r="K18186" s="29">
        <v>0.98289565623980701</v>
      </c>
    </row>
    <row r="18187" spans="1:11" x14ac:dyDescent="0.35">
      <c r="A18187" s="9" t="str">
        <f>HYPERLINK("http://www.ensembl.org/id/WBGene00045398", "WBGene00045398")</f>
        <v>WBGene00045398</v>
      </c>
      <c r="B18187" s="9" t="str">
        <f>HYPERLINK("http://www.ncbi.nlm.nih.gov/gene/6418614", "6418614")</f>
        <v>6418614</v>
      </c>
      <c r="C18187" s="9"/>
      <c r="D18187" t="str">
        <f>"Y71F9AM.8"</f>
        <v>Y71F9AM.8</v>
      </c>
      <c r="F18187" t="s">
        <v>11</v>
      </c>
      <c r="H18187" s="12">
        <v>-2.2453488509463599</v>
      </c>
      <c r="I18187" s="20">
        <v>-0.39007472154535699</v>
      </c>
      <c r="J18187" s="28">
        <v>0.69648129448532103</v>
      </c>
      <c r="K18187" s="29">
        <v>0.98289565623980701</v>
      </c>
    </row>
    <row r="18188" spans="1:11" x14ac:dyDescent="0.35">
      <c r="A18188" s="9" t="str">
        <f>HYPERLINK("http://www.ensembl.org/id/WBGene00271781", "WBGene00271781")</f>
        <v>WBGene00271781</v>
      </c>
      <c r="B18188" s="9"/>
      <c r="C18188" s="9"/>
      <c r="D18188" t="str">
        <f>"Y71F9AM.9"</f>
        <v>Y71F9AM.9</v>
      </c>
      <c r="F18188" t="s">
        <v>1510</v>
      </c>
      <c r="H18188" s="12">
        <v>-16.490095688159499</v>
      </c>
      <c r="I18188" s="20">
        <v>-0.94793960937074495</v>
      </c>
      <c r="J18188" s="28">
        <v>0.34316019894966998</v>
      </c>
      <c r="K18188" s="29">
        <v>0.98289565623980701</v>
      </c>
    </row>
    <row r="18189" spans="1:11" x14ac:dyDescent="0.35">
      <c r="A18189" s="9" t="str">
        <f>HYPERLINK("http://www.ensembl.org/id/WBGene00022123", "WBGene00022123")</f>
        <v>WBGene00022123</v>
      </c>
      <c r="B18189" s="9" t="str">
        <f>HYPERLINK("http://www.ncbi.nlm.nih.gov/gene/190589", "190589")</f>
        <v>190589</v>
      </c>
      <c r="C18189" s="9" t="str">
        <f>HYPERLINK("http://www.ncbi.nlm.nih.gov/gene/51285", "51285")</f>
        <v>51285</v>
      </c>
      <c r="D18189" t="str">
        <f>"Y71F9AR.2"</f>
        <v>Y71F9AR.2</v>
      </c>
      <c r="F18189" t="s">
        <v>11</v>
      </c>
      <c r="G18189" t="s">
        <v>4779</v>
      </c>
      <c r="H18189" s="12">
        <v>1.3832004346795701</v>
      </c>
      <c r="I18189" s="20">
        <v>0.76488052343316104</v>
      </c>
      <c r="J18189" s="28">
        <v>0.444342692616775</v>
      </c>
      <c r="K18189" s="29">
        <v>0.98289565623980701</v>
      </c>
    </row>
    <row r="18190" spans="1:11" x14ac:dyDescent="0.35">
      <c r="A18190" s="9" t="str">
        <f>HYPERLINK("http://www.ensembl.org/id/WBGene00044894", "WBGene00044894")</f>
        <v>WBGene00044894</v>
      </c>
      <c r="B18190" s="9" t="str">
        <f>HYPERLINK("http://www.ncbi.nlm.nih.gov/gene/4927045", "4927045")</f>
        <v>4927045</v>
      </c>
      <c r="C18190" s="9"/>
      <c r="D18190" t="str">
        <f>"Y71F9AR.4"</f>
        <v>Y71F9AR.4</v>
      </c>
      <c r="F18190" t="s">
        <v>11</v>
      </c>
      <c r="H18190" s="12">
        <v>-1.2933826015709999</v>
      </c>
      <c r="I18190" s="20">
        <v>-0.83373221769113304</v>
      </c>
      <c r="J18190" s="28">
        <v>0.40443189883321601</v>
      </c>
      <c r="K18190" s="29">
        <v>0.98289565623980701</v>
      </c>
    </row>
    <row r="18191" spans="1:11" x14ac:dyDescent="0.35">
      <c r="A18191" s="9" t="str">
        <f>HYPERLINK("http://www.ensembl.org/id/WBGene00022125", "WBGene00022125")</f>
        <v>WBGene00022125</v>
      </c>
      <c r="B18191" s="9" t="str">
        <f>HYPERLINK("http://www.ncbi.nlm.nih.gov/gene/190590", "190590")</f>
        <v>190590</v>
      </c>
      <c r="C18191" s="9"/>
      <c r="D18191" t="str">
        <f>"Y71F9B.1"</f>
        <v>Y71F9B.1</v>
      </c>
      <c r="F18191" t="s">
        <v>11</v>
      </c>
      <c r="G18191" t="s">
        <v>25</v>
      </c>
      <c r="H18191" s="12">
        <v>1.08763468167922</v>
      </c>
      <c r="I18191" s="20">
        <v>0.30896707763603798</v>
      </c>
      <c r="J18191" s="28">
        <v>0.75734657059911203</v>
      </c>
      <c r="K18191" s="29">
        <v>0.98289565623980701</v>
      </c>
    </row>
    <row r="18192" spans="1:11" x14ac:dyDescent="0.35">
      <c r="A18192" s="9" t="str">
        <f>HYPERLINK("http://www.ensembl.org/id/WBGene00022133", "WBGene00022133")</f>
        <v>WBGene00022133</v>
      </c>
      <c r="B18192" s="9" t="str">
        <f>HYPERLINK("http://www.ncbi.nlm.nih.gov/gene/190592", "190592")</f>
        <v>190592</v>
      </c>
      <c r="C18192" s="9"/>
      <c r="D18192" t="str">
        <f>"Y71F9B.15"</f>
        <v>Y71F9B.15</v>
      </c>
      <c r="F18192" t="s">
        <v>11</v>
      </c>
      <c r="G18192" t="s">
        <v>25</v>
      </c>
      <c r="H18192" s="12">
        <v>-3.8300983267381299</v>
      </c>
      <c r="I18192" s="20">
        <v>-0.70630527564844603</v>
      </c>
      <c r="J18192" s="28">
        <v>0.479998313322821</v>
      </c>
      <c r="K18192" s="29">
        <v>0.98289565623980701</v>
      </c>
    </row>
    <row r="18193" spans="1:11" x14ac:dyDescent="0.35">
      <c r="A18193" s="9" t="str">
        <f>HYPERLINK("http://www.ensembl.org/id/WBGene00022126", "WBGene00022126")</f>
        <v>WBGene00022126</v>
      </c>
      <c r="B18193" s="9" t="str">
        <f>HYPERLINK("http://www.ncbi.nlm.nih.gov/gene/171836", "171836")</f>
        <v>171836</v>
      </c>
      <c r="C18193" s="9" t="str">
        <f>HYPERLINK("http://www.ncbi.nlm.nih.gov/gene/132001", "132001")</f>
        <v>132001</v>
      </c>
      <c r="D18193" t="str">
        <f>"Y71F9B.2"</f>
        <v>Y71F9B.2</v>
      </c>
      <c r="E18193" t="s">
        <v>9737</v>
      </c>
      <c r="F18193" t="s">
        <v>11</v>
      </c>
      <c r="G18193" t="s">
        <v>9738</v>
      </c>
      <c r="H18193" s="12">
        <v>-1.29066794993189</v>
      </c>
      <c r="I18193" s="20">
        <v>-1.1493489677146</v>
      </c>
      <c r="J18193" s="28">
        <v>0.250412113977099</v>
      </c>
      <c r="K18193" s="29">
        <v>0.98289565623980701</v>
      </c>
    </row>
    <row r="18194" spans="1:11" x14ac:dyDescent="0.35">
      <c r="A18194" s="9" t="str">
        <f>HYPERLINK("http://www.ensembl.org/id/WBGene00200310", "WBGene00200310")</f>
        <v>WBGene00200310</v>
      </c>
      <c r="B18194" s="9"/>
      <c r="C18194" s="9"/>
      <c r="D18194" t="str">
        <f>"Y71F9B.21"</f>
        <v>Y71F9B.21</v>
      </c>
      <c r="F18194" t="s">
        <v>481</v>
      </c>
      <c r="H18194" s="12">
        <v>2.3893468495514898</v>
      </c>
      <c r="I18194" s="20">
        <v>0.25323547253672701</v>
      </c>
      <c r="J18194" s="28">
        <v>0.80008625651646104</v>
      </c>
      <c r="K18194" s="29">
        <v>0.98289565623980701</v>
      </c>
    </row>
    <row r="18195" spans="1:11" x14ac:dyDescent="0.35">
      <c r="A18195" s="9" t="str">
        <f>HYPERLINK("http://www.ensembl.org/id/WBGene00201019", "WBGene00201019")</f>
        <v>WBGene00201019</v>
      </c>
      <c r="B18195" s="9"/>
      <c r="C18195" s="9"/>
      <c r="D18195" t="str">
        <f>"Y71F9B.22"</f>
        <v>Y71F9B.22</v>
      </c>
      <c r="F18195" t="s">
        <v>481</v>
      </c>
      <c r="H18195" s="12">
        <v>-5.4967879193631202</v>
      </c>
      <c r="I18195" s="20">
        <v>-0.50254160819837501</v>
      </c>
      <c r="J18195" s="28">
        <v>0.61528659178453604</v>
      </c>
      <c r="K18195" s="29">
        <v>0.98289565623980701</v>
      </c>
    </row>
    <row r="18196" spans="1:11" x14ac:dyDescent="0.35">
      <c r="A18196" s="9" t="str">
        <f>HYPERLINK("http://www.ensembl.org/id/WBGene00022128", "WBGene00022128")</f>
        <v>WBGene00022128</v>
      </c>
      <c r="B18196" s="9" t="str">
        <f>HYPERLINK("http://www.ncbi.nlm.nih.gov/gene/260184", "260184")</f>
        <v>260184</v>
      </c>
      <c r="C18196" s="9"/>
      <c r="D18196" t="str">
        <f>"Y71F9B.6"</f>
        <v>Y71F9B.6</v>
      </c>
      <c r="F18196" t="s">
        <v>11</v>
      </c>
      <c r="G18196" t="s">
        <v>8876</v>
      </c>
      <c r="H18196" s="12">
        <v>-1.2043908465805999</v>
      </c>
      <c r="I18196" s="20">
        <v>-0.87352371652884597</v>
      </c>
      <c r="J18196" s="28">
        <v>0.382377685036277</v>
      </c>
      <c r="K18196" s="29">
        <v>0.98289565623980701</v>
      </c>
    </row>
    <row r="18197" spans="1:11" x14ac:dyDescent="0.35">
      <c r="A18197" s="9" t="str">
        <f>HYPERLINK("http://www.ensembl.org/id/WBGene00044650", "WBGene00044650")</f>
        <v>WBGene00044650</v>
      </c>
      <c r="B18197" s="9" t="str">
        <f>HYPERLINK("http://www.ncbi.nlm.nih.gov/gene/4363069", "4363069")</f>
        <v>4363069</v>
      </c>
      <c r="C18197" s="9"/>
      <c r="D18197" t="str">
        <f>"Y71G10AR.4"</f>
        <v>Y71G10AR.4</v>
      </c>
      <c r="F18197" t="s">
        <v>11</v>
      </c>
      <c r="G18197" t="s">
        <v>4960</v>
      </c>
      <c r="H18197" s="12">
        <v>-1.1277086831484799</v>
      </c>
      <c r="I18197" s="20">
        <v>-0.64253341037147804</v>
      </c>
      <c r="J18197" s="28">
        <v>0.52052690343636399</v>
      </c>
      <c r="K18197" s="29">
        <v>0.98289565623980701</v>
      </c>
    </row>
    <row r="18198" spans="1:11" x14ac:dyDescent="0.35">
      <c r="A18198" s="9" t="str">
        <f>HYPERLINK("http://www.ensembl.org/id/WBGene00022140", "WBGene00022140")</f>
        <v>WBGene00022140</v>
      </c>
      <c r="B18198" s="9" t="str">
        <f>HYPERLINK("http://www.ncbi.nlm.nih.gov/gene/171759", "171759")</f>
        <v>171759</v>
      </c>
      <c r="C18198" s="9"/>
      <c r="D18198" t="str">
        <f>"Y71G12A.4"</f>
        <v>Y71G12A.4</v>
      </c>
      <c r="F18198" t="s">
        <v>11</v>
      </c>
      <c r="G18198" t="s">
        <v>10006</v>
      </c>
      <c r="H18198" s="12">
        <v>-1.6918802221660001</v>
      </c>
      <c r="I18198" s="20">
        <v>-0.68017883227142595</v>
      </c>
      <c r="J18198" s="28">
        <v>0.49639123373482602</v>
      </c>
      <c r="K18198" s="29">
        <v>0.98289565623980701</v>
      </c>
    </row>
    <row r="18199" spans="1:11" x14ac:dyDescent="0.35">
      <c r="A18199" s="9" t="str">
        <f>HYPERLINK("http://www.ensembl.org/id/WBGene00022150", "WBGene00022150")</f>
        <v>WBGene00022150</v>
      </c>
      <c r="B18199" s="9" t="str">
        <f>HYPERLINK("http://www.ncbi.nlm.nih.gov/gene/171738", "171738")</f>
        <v>171738</v>
      </c>
      <c r="C18199" s="9" t="str">
        <f>HYPERLINK("http://www.ncbi.nlm.nih.gov/gene/3155", "3155")</f>
        <v>3155</v>
      </c>
      <c r="D18199" t="str">
        <f>"Y71G12B.10"</f>
        <v>Y71G12B.10</v>
      </c>
      <c r="F18199" t="s">
        <v>11</v>
      </c>
      <c r="G18199" t="s">
        <v>8003</v>
      </c>
      <c r="H18199" s="12">
        <v>-1.1556168014525601</v>
      </c>
      <c r="I18199" s="20">
        <v>-0.72977282525846898</v>
      </c>
      <c r="J18199" s="28">
        <v>0.46552905777123299</v>
      </c>
      <c r="K18199" s="29">
        <v>0.98289565623980701</v>
      </c>
    </row>
    <row r="18200" spans="1:11" x14ac:dyDescent="0.35">
      <c r="A18200" s="9" t="str">
        <f>HYPERLINK("http://www.ensembl.org/id/WBGene00022153", "WBGene00022153")</f>
        <v>WBGene00022153</v>
      </c>
      <c r="B18200" s="9" t="str">
        <f>HYPERLINK("http://www.ncbi.nlm.nih.gov/gene/190600", "190600")</f>
        <v>190600</v>
      </c>
      <c r="C18200" s="9"/>
      <c r="D18200" t="str">
        <f>"Y71G12B.13"</f>
        <v>Y71G12B.13</v>
      </c>
      <c r="F18200" t="s">
        <v>11</v>
      </c>
      <c r="H18200" s="12">
        <v>-1.0850004423980499</v>
      </c>
      <c r="I18200" s="20">
        <v>-0.38800663020413101</v>
      </c>
      <c r="J18200" s="28">
        <v>0.69801112705360002</v>
      </c>
      <c r="K18200" s="29">
        <v>0.98289565623980701</v>
      </c>
    </row>
    <row r="18201" spans="1:11" x14ac:dyDescent="0.35">
      <c r="A18201" s="9" t="str">
        <f>HYPERLINK("http://www.ensembl.org/id/WBGene00022157", "WBGene00022157")</f>
        <v>WBGene00022157</v>
      </c>
      <c r="B18201" s="9" t="str">
        <f>HYPERLINK("http://www.ncbi.nlm.nih.gov/gene/190603", "190603")</f>
        <v>190603</v>
      </c>
      <c r="C18201" s="9"/>
      <c r="D18201" t="str">
        <f>"Y71G12B.22"</f>
        <v>Y71G12B.22</v>
      </c>
      <c r="F18201" t="s">
        <v>11</v>
      </c>
      <c r="H18201" s="12">
        <v>2.53850550792651</v>
      </c>
      <c r="I18201" s="20">
        <v>0.66109875683552399</v>
      </c>
      <c r="J18201" s="28">
        <v>0.50854898249032598</v>
      </c>
      <c r="K18201" s="29">
        <v>0.98289565623980701</v>
      </c>
    </row>
    <row r="18202" spans="1:11" x14ac:dyDescent="0.35">
      <c r="A18202" s="9" t="str">
        <f>HYPERLINK("http://www.ensembl.org/id/WBGene00022158", "WBGene00022158")</f>
        <v>WBGene00022158</v>
      </c>
      <c r="B18202" s="9" t="str">
        <f>HYPERLINK("http://www.ncbi.nlm.nih.gov/gene/171731", "171731")</f>
        <v>171731</v>
      </c>
      <c r="C18202" s="9" t="str">
        <f>HYPERLINK("http://www.ncbi.nlm.nih.gov/gene/221938", "221938")</f>
        <v>221938</v>
      </c>
      <c r="D18202" t="str">
        <f>"Y71G12B.23"</f>
        <v>Y71G12B.23</v>
      </c>
      <c r="F18202" t="s">
        <v>11</v>
      </c>
      <c r="G18202" t="s">
        <v>5395</v>
      </c>
      <c r="H18202" s="12">
        <v>1.1742460090409601</v>
      </c>
      <c r="I18202" s="20">
        <v>0.65448543260973902</v>
      </c>
      <c r="J18202" s="28">
        <v>0.51279910934064799</v>
      </c>
      <c r="K18202" s="29">
        <v>0.98289565623980701</v>
      </c>
    </row>
    <row r="18203" spans="1:11" x14ac:dyDescent="0.35">
      <c r="A18203" s="9" t="str">
        <f>HYPERLINK("http://www.ensembl.org/id/WBGene00022161", "WBGene00022161")</f>
        <v>WBGene00022161</v>
      </c>
      <c r="B18203" s="9" t="str">
        <f>HYPERLINK("http://www.ncbi.nlm.nih.gov/gene/171742", "171742")</f>
        <v>171742</v>
      </c>
      <c r="C18203" s="9"/>
      <c r="D18203" t="str">
        <f>"Y71G12B.26"</f>
        <v>Y71G12B.26</v>
      </c>
      <c r="F18203" t="s">
        <v>11</v>
      </c>
      <c r="G18203" t="s">
        <v>25</v>
      </c>
      <c r="H18203" s="12">
        <v>-1.2375677546977</v>
      </c>
      <c r="I18203" s="20">
        <v>-1.0593907435749801</v>
      </c>
      <c r="J18203" s="28">
        <v>0.28942186350141302</v>
      </c>
      <c r="K18203" s="29">
        <v>0.98289565623980701</v>
      </c>
    </row>
    <row r="18204" spans="1:11" x14ac:dyDescent="0.35">
      <c r="A18204" s="9" t="str">
        <f>HYPERLINK("http://www.ensembl.org/id/WBGene00022162", "WBGene00022162")</f>
        <v>WBGene00022162</v>
      </c>
      <c r="B18204" s="9" t="str">
        <f>HYPERLINK("http://www.ncbi.nlm.nih.gov/gene/171745", "171745")</f>
        <v>171745</v>
      </c>
      <c r="C18204" s="9" t="str">
        <f>HYPERLINK("http://www.ncbi.nlm.nih.gov/gene/1164", "1164")</f>
        <v>1164</v>
      </c>
      <c r="D18204" t="str">
        <f>"Y71G12B.27"</f>
        <v>Y71G12B.27</v>
      </c>
      <c r="E18204" t="s">
        <v>3776</v>
      </c>
      <c r="F18204" t="s">
        <v>11</v>
      </c>
      <c r="G18204" t="s">
        <v>4825</v>
      </c>
      <c r="H18204" s="12">
        <v>1.34666779845273</v>
      </c>
      <c r="I18204" s="20">
        <v>0.274935582931494</v>
      </c>
      <c r="J18204" s="28">
        <v>0.78336572895117695</v>
      </c>
      <c r="K18204" s="29">
        <v>0.98289565623980701</v>
      </c>
    </row>
    <row r="18205" spans="1:11" x14ac:dyDescent="0.35">
      <c r="A18205" s="9" t="str">
        <f>HYPERLINK("http://www.ensembl.org/id/WBGene00022163", "WBGene00022163")</f>
        <v>WBGene00022163</v>
      </c>
      <c r="B18205" s="9"/>
      <c r="C18205" s="9"/>
      <c r="D18205" t="str">
        <f>"Y71G12B.28"</f>
        <v>Y71G12B.28</v>
      </c>
      <c r="F18205" t="s">
        <v>80</v>
      </c>
      <c r="H18205" s="12">
        <v>1.2909444852610601</v>
      </c>
      <c r="I18205" s="20">
        <v>0.27605394538553601</v>
      </c>
      <c r="J18205" s="28">
        <v>0.78250663291437395</v>
      </c>
      <c r="K18205" s="29">
        <v>0.98289565623980701</v>
      </c>
    </row>
    <row r="18206" spans="1:11" x14ac:dyDescent="0.35">
      <c r="A18206" s="9" t="str">
        <f>HYPERLINK("http://www.ensembl.org/id/WBGene00022143", "WBGene00022143")</f>
        <v>WBGene00022143</v>
      </c>
      <c r="B18206" s="9" t="str">
        <f>HYPERLINK("http://www.ncbi.nlm.nih.gov/gene/190597", "190597")</f>
        <v>190597</v>
      </c>
      <c r="C18206" s="9"/>
      <c r="D18206" t="str">
        <f>"Y71G12B.3"</f>
        <v>Y71G12B.3</v>
      </c>
      <c r="F18206" t="s">
        <v>11</v>
      </c>
      <c r="G18206" t="s">
        <v>25</v>
      </c>
      <c r="H18206" s="12">
        <v>2.6931224734362198</v>
      </c>
      <c r="I18206" s="20">
        <v>0.61906797099543398</v>
      </c>
      <c r="J18206" s="28">
        <v>0.53587158217382502</v>
      </c>
      <c r="K18206" s="29">
        <v>0.98289565623980701</v>
      </c>
    </row>
    <row r="18207" spans="1:11" x14ac:dyDescent="0.35">
      <c r="A18207" s="9" t="str">
        <f>HYPERLINK("http://www.ensembl.org/id/WBGene00044347", "WBGene00044347")</f>
        <v>WBGene00044347</v>
      </c>
      <c r="B18207" s="9" t="str">
        <f>HYPERLINK("http://www.ncbi.nlm.nih.gov/gene/3565302", "3565302")</f>
        <v>3565302</v>
      </c>
      <c r="C18207" s="9"/>
      <c r="D18207" t="str">
        <f>"Y71G12B.30"</f>
        <v>Y71G12B.30</v>
      </c>
      <c r="E18207" t="s">
        <v>2496</v>
      </c>
      <c r="F18207" t="s">
        <v>11</v>
      </c>
      <c r="G18207" t="s">
        <v>2497</v>
      </c>
      <c r="H18207" s="12">
        <v>1.2942078024450401</v>
      </c>
      <c r="I18207" s="20">
        <v>0.29561453494972401</v>
      </c>
      <c r="J18207" s="28">
        <v>0.76752447221495701</v>
      </c>
      <c r="K18207" s="29">
        <v>0.98289565623980701</v>
      </c>
    </row>
    <row r="18208" spans="1:11" x14ac:dyDescent="0.35">
      <c r="A18208" s="9" t="str">
        <f>HYPERLINK("http://www.ensembl.org/id/WBGene00044349", "WBGene00044349")</f>
        <v>WBGene00044349</v>
      </c>
      <c r="B18208" s="9" t="str">
        <f>HYPERLINK("http://www.ncbi.nlm.nih.gov/gene/3565893", "3565893")</f>
        <v>3565893</v>
      </c>
      <c r="C18208" s="9"/>
      <c r="D18208" t="str">
        <f>"Y71G12B.32"</f>
        <v>Y71G12B.32</v>
      </c>
      <c r="F18208" t="s">
        <v>11</v>
      </c>
      <c r="H18208" s="12">
        <v>1.1835690383599</v>
      </c>
      <c r="I18208" s="20">
        <v>0.26494374158754802</v>
      </c>
      <c r="J18208" s="28">
        <v>0.79105280108633502</v>
      </c>
      <c r="K18208" s="29">
        <v>0.98289565623980701</v>
      </c>
    </row>
    <row r="18209" spans="1:11" x14ac:dyDescent="0.35">
      <c r="A18209" s="9" t="str">
        <f>HYPERLINK("http://www.ensembl.org/id/WBGene00044358", "WBGene00044358")</f>
        <v>WBGene00044358</v>
      </c>
      <c r="B18209" s="9" t="str">
        <f>HYPERLINK("http://www.ncbi.nlm.nih.gov/gene/3564853", "3564853")</f>
        <v>3564853</v>
      </c>
      <c r="C18209" s="9"/>
      <c r="D18209" t="str">
        <f>"Y71G12B.33"</f>
        <v>Y71G12B.33</v>
      </c>
      <c r="F18209" t="s">
        <v>11</v>
      </c>
      <c r="G18209" t="s">
        <v>25</v>
      </c>
      <c r="H18209" s="12">
        <v>2.1487269372705602</v>
      </c>
      <c r="I18209" s="20">
        <v>0.54523584981958895</v>
      </c>
      <c r="J18209" s="28">
        <v>0.58559131810262</v>
      </c>
      <c r="K18209" s="29">
        <v>0.98289565623980701</v>
      </c>
    </row>
    <row r="18210" spans="1:11" x14ac:dyDescent="0.35">
      <c r="A18210" s="9" t="str">
        <f>HYPERLINK("http://www.ensembl.org/id/WBGene00200707", "WBGene00200707")</f>
        <v>WBGene00200707</v>
      </c>
      <c r="B18210" s="9"/>
      <c r="C18210" s="9"/>
      <c r="D18210" t="str">
        <f>"Y71G12B.37"</f>
        <v>Y71G12B.37</v>
      </c>
      <c r="F18210" t="s">
        <v>481</v>
      </c>
      <c r="H18210" s="12">
        <v>-2.4991590031922399</v>
      </c>
      <c r="I18210" s="20">
        <v>-0.26577412737581302</v>
      </c>
      <c r="J18210" s="28">
        <v>0.79041317015736101</v>
      </c>
      <c r="K18210" s="29">
        <v>0.98289565623980701</v>
      </c>
    </row>
    <row r="18211" spans="1:11" x14ac:dyDescent="0.35">
      <c r="A18211" s="9" t="str">
        <f>HYPERLINK("http://www.ensembl.org/id/WBGene00236797", "WBGene00236797")</f>
        <v>WBGene00236797</v>
      </c>
      <c r="B18211" s="9"/>
      <c r="C18211" s="9"/>
      <c r="D18211" t="str">
        <f>"Y71G12B.44"</f>
        <v>Y71G12B.44</v>
      </c>
      <c r="F18211" t="s">
        <v>2735</v>
      </c>
      <c r="H18211" s="12">
        <v>3.4013239643533102</v>
      </c>
      <c r="I18211" s="20">
        <v>0.88492629609689</v>
      </c>
      <c r="J18211" s="28">
        <v>0.37619638432983799</v>
      </c>
      <c r="K18211" s="29">
        <v>0.98289565623980701</v>
      </c>
    </row>
    <row r="18212" spans="1:11" x14ac:dyDescent="0.35">
      <c r="A18212" s="9" t="str">
        <f>HYPERLINK("http://www.ensembl.org/id/WBGene00022145", "WBGene00022145")</f>
        <v>WBGene00022145</v>
      </c>
      <c r="B18212" s="9" t="str">
        <f>HYPERLINK("http://www.ncbi.nlm.nih.gov/gene/190598", "190598")</f>
        <v>190598</v>
      </c>
      <c r="C18212" s="9"/>
      <c r="D18212" t="str">
        <f>"Y71G12B.5"</f>
        <v>Y71G12B.5</v>
      </c>
      <c r="F18212" t="s">
        <v>11</v>
      </c>
      <c r="H18212" s="12">
        <v>2.0230170191619998</v>
      </c>
      <c r="I18212" s="20">
        <v>0.71595820809908095</v>
      </c>
      <c r="J18212" s="28">
        <v>0.47401715468571998</v>
      </c>
      <c r="K18212" s="29">
        <v>0.98289565623980701</v>
      </c>
    </row>
    <row r="18213" spans="1:11" x14ac:dyDescent="0.35">
      <c r="A18213" s="9" t="str">
        <f>HYPERLINK("http://www.ensembl.org/id/WBGene00022146", "WBGene00022146")</f>
        <v>WBGene00022146</v>
      </c>
      <c r="B18213" s="9" t="str">
        <f>HYPERLINK("http://www.ncbi.nlm.nih.gov/gene/171744", "171744")</f>
        <v>171744</v>
      </c>
      <c r="C18213" s="9"/>
      <c r="D18213" t="str">
        <f>"Y71G12B.6"</f>
        <v>Y71G12B.6</v>
      </c>
      <c r="F18213" t="s">
        <v>11</v>
      </c>
      <c r="H18213" s="12">
        <v>1.0789709598003101</v>
      </c>
      <c r="I18213" s="20">
        <v>0.38561536674575297</v>
      </c>
      <c r="J18213" s="28">
        <v>0.69978155083139404</v>
      </c>
      <c r="K18213" s="29">
        <v>0.98289565623980701</v>
      </c>
    </row>
    <row r="18214" spans="1:11" x14ac:dyDescent="0.35">
      <c r="A18214" s="9" t="str">
        <f>HYPERLINK("http://www.ensembl.org/id/WBGene00198658", "WBGene00198658")</f>
        <v>WBGene00198658</v>
      </c>
      <c r="B18214" s="9"/>
      <c r="C18214" s="9"/>
      <c r="D18214" t="str">
        <f>"Y71H10A.3"</f>
        <v>Y71H10A.3</v>
      </c>
      <c r="F18214" t="s">
        <v>481</v>
      </c>
      <c r="H18214" s="12">
        <v>-13.631801325966601</v>
      </c>
      <c r="I18214" s="20">
        <v>-0.81817789633815496</v>
      </c>
      <c r="J18214" s="28">
        <v>0.41325561456537002</v>
      </c>
      <c r="K18214" s="29">
        <v>0.98289565623980701</v>
      </c>
    </row>
    <row r="18215" spans="1:11" x14ac:dyDescent="0.35">
      <c r="A18215" s="9" t="str">
        <f>HYPERLINK("http://www.ensembl.org/id/WBGene00022201", "WBGene00022201")</f>
        <v>WBGene00022201</v>
      </c>
      <c r="B18215" s="9" t="str">
        <f>HYPERLINK("http://www.ncbi.nlm.nih.gov/gene/180573", "180573")</f>
        <v>180573</v>
      </c>
      <c r="C18215" s="9" t="str">
        <f>HYPERLINK("http://www.ncbi.nlm.nih.gov/gene/22978", "22978")</f>
        <v>22978</v>
      </c>
      <c r="D18215" t="str">
        <f>"Y71H10B.1"</f>
        <v>Y71H10B.1</v>
      </c>
      <c r="F18215" t="s">
        <v>11</v>
      </c>
      <c r="G18215" t="s">
        <v>5932</v>
      </c>
      <c r="H18215" s="12">
        <v>1.0836281583547001</v>
      </c>
      <c r="I18215" s="20">
        <v>0.41844628315587401</v>
      </c>
      <c r="J18215" s="28">
        <v>0.67562085319219101</v>
      </c>
      <c r="K18215" s="29">
        <v>0.98289565623980701</v>
      </c>
    </row>
    <row r="18216" spans="1:11" x14ac:dyDescent="0.35">
      <c r="A18216" s="9" t="str">
        <f>HYPERLINK("http://www.ensembl.org/id/WBGene00303095", "WBGene00303095")</f>
        <v>WBGene00303095</v>
      </c>
      <c r="B18216" s="9" t="str">
        <f>HYPERLINK("http://www.ncbi.nlm.nih.gov/gene/36805068", "36805068")</f>
        <v>36805068</v>
      </c>
      <c r="C18216" s="9"/>
      <c r="D18216" t="str">
        <f>"Y71H2AL.4"</f>
        <v>Y71H2AL.4</v>
      </c>
      <c r="F18216" t="s">
        <v>11</v>
      </c>
      <c r="H18216" s="12">
        <v>-3.5505133547207399</v>
      </c>
      <c r="I18216" s="20">
        <v>-0.38567206318137798</v>
      </c>
      <c r="J18216" s="28">
        <v>0.69973955545800504</v>
      </c>
      <c r="K18216" s="29">
        <v>0.98289565623980701</v>
      </c>
    </row>
    <row r="18217" spans="1:11" x14ac:dyDescent="0.35">
      <c r="A18217" s="9" t="str">
        <f>HYPERLINK("http://www.ensembl.org/id/WBGene00022166", "WBGene00022166")</f>
        <v>WBGene00022166</v>
      </c>
      <c r="B18217" s="9" t="str">
        <f>HYPERLINK("http://www.ncbi.nlm.nih.gov/gene/175399", "175399")</f>
        <v>175399</v>
      </c>
      <c r="C18217" s="9" t="str">
        <f>HYPERLINK("http://www.ncbi.nlm.nih.gov/gene/55644", "55644")</f>
        <v>55644</v>
      </c>
      <c r="D18217" t="str">
        <f>"Y71H2AM.1"</f>
        <v>Y71H2AM.1</v>
      </c>
      <c r="E18217" t="s">
        <v>8079</v>
      </c>
      <c r="F18217" t="s">
        <v>11</v>
      </c>
      <c r="G18217" t="s">
        <v>8080</v>
      </c>
      <c r="H18217" s="12">
        <v>-1.1601161198366701</v>
      </c>
      <c r="I18217" s="20">
        <v>-0.68016916965757601</v>
      </c>
      <c r="J18217" s="28">
        <v>0.49639735124089301</v>
      </c>
      <c r="K18217" s="29">
        <v>0.98289565623980701</v>
      </c>
    </row>
    <row r="18218" spans="1:11" x14ac:dyDescent="0.35">
      <c r="A18218" s="9" t="str">
        <f>HYPERLINK("http://www.ensembl.org/id/WBGene00022175", "WBGene00022175")</f>
        <v>WBGene00022175</v>
      </c>
      <c r="B18218" s="9" t="str">
        <f>HYPERLINK("http://www.ncbi.nlm.nih.gov/gene/175386", "175386")</f>
        <v>175386</v>
      </c>
      <c r="C18218" s="9"/>
      <c r="D18218" t="str">
        <f>"Y71H2AM.10"</f>
        <v>Y71H2AM.10</v>
      </c>
      <c r="F18218" t="s">
        <v>11</v>
      </c>
      <c r="G18218" t="s">
        <v>25</v>
      </c>
      <c r="H18218" s="12">
        <v>1.25539980802187</v>
      </c>
      <c r="I18218" s="20">
        <v>0.97580091277064296</v>
      </c>
      <c r="J18218" s="28">
        <v>0.329163132351947</v>
      </c>
      <c r="K18218" s="29">
        <v>0.98289565623980701</v>
      </c>
    </row>
    <row r="18219" spans="1:11" x14ac:dyDescent="0.35">
      <c r="A18219" s="9" t="str">
        <f>HYPERLINK("http://www.ensembl.org/id/WBGene00022176", "WBGene00022176")</f>
        <v>WBGene00022176</v>
      </c>
      <c r="B18219" s="9" t="str">
        <f>HYPERLINK("http://www.ncbi.nlm.nih.gov/gene/175387", "175387")</f>
        <v>175387</v>
      </c>
      <c r="C18219" s="9" t="str">
        <f>HYPERLINK("http://www.ncbi.nlm.nih.gov/gene/55748", "55748")</f>
        <v>55748</v>
      </c>
      <c r="D18219" t="str">
        <f>"Y71H2AM.11"</f>
        <v>Y71H2AM.11</v>
      </c>
      <c r="F18219" t="s">
        <v>11</v>
      </c>
      <c r="G18219" t="s">
        <v>2757</v>
      </c>
      <c r="H18219" s="12">
        <v>-1.24574625200748</v>
      </c>
      <c r="I18219" s="20">
        <v>-1.1489098879997299</v>
      </c>
      <c r="J18219" s="28">
        <v>0.25059313993021498</v>
      </c>
      <c r="K18219" s="29">
        <v>0.98289565623980701</v>
      </c>
    </row>
    <row r="18220" spans="1:11" x14ac:dyDescent="0.35">
      <c r="A18220" s="9" t="str">
        <f>HYPERLINK("http://www.ensembl.org/id/WBGene00022177", "WBGene00022177")</f>
        <v>WBGene00022177</v>
      </c>
      <c r="B18220" s="9" t="str">
        <f>HYPERLINK("http://www.ncbi.nlm.nih.gov/gene/175389", "175389")</f>
        <v>175389</v>
      </c>
      <c r="C18220" s="9"/>
      <c r="D18220" t="str">
        <f>"Y71H2AM.12"</f>
        <v>Y71H2AM.12</v>
      </c>
      <c r="F18220" t="s">
        <v>11</v>
      </c>
      <c r="G18220" t="s">
        <v>7319</v>
      </c>
      <c r="H18220" s="12">
        <v>-1.11919283376991</v>
      </c>
      <c r="I18220" s="20">
        <v>-0.49126180363265498</v>
      </c>
      <c r="J18220" s="28">
        <v>0.62324129157366404</v>
      </c>
      <c r="K18220" s="29">
        <v>0.98289565623980701</v>
      </c>
    </row>
    <row r="18221" spans="1:11" x14ac:dyDescent="0.35">
      <c r="A18221" s="9" t="str">
        <f>HYPERLINK("http://www.ensembl.org/id/WBGene00022180", "WBGene00022180")</f>
        <v>WBGene00022180</v>
      </c>
      <c r="B18221" s="9" t="str">
        <f>HYPERLINK("http://www.ncbi.nlm.nih.gov/gene/175391", "175391")</f>
        <v>175391</v>
      </c>
      <c r="C18221" s="9"/>
      <c r="D18221" t="str">
        <f>"Y71H2AM.15"</f>
        <v>Y71H2AM.15</v>
      </c>
      <c r="F18221" t="s">
        <v>11</v>
      </c>
      <c r="G18221" t="s">
        <v>5866</v>
      </c>
      <c r="H18221" s="12">
        <v>1.0915952955635999</v>
      </c>
      <c r="I18221" s="20">
        <v>0.323663706035282</v>
      </c>
      <c r="J18221" s="28">
        <v>0.74619265131384804</v>
      </c>
      <c r="K18221" s="29">
        <v>0.98289565623980701</v>
      </c>
    </row>
    <row r="18222" spans="1:11" x14ac:dyDescent="0.35">
      <c r="A18222" s="9" t="str">
        <f>HYPERLINK("http://www.ensembl.org/id/WBGene00022185", "WBGene00022185")</f>
        <v>WBGene00022185</v>
      </c>
      <c r="B18222" s="9" t="str">
        <f>HYPERLINK("http://www.ncbi.nlm.nih.gov/gene/175395", "175395")</f>
        <v>175395</v>
      </c>
      <c r="C18222" s="9" t="str">
        <f>HYPERLINK("http://www.ncbi.nlm.nih.gov/gene/5524", "5524")</f>
        <v>5524</v>
      </c>
      <c r="D18222" t="str">
        <f>"Y71H2AM.20"</f>
        <v>Y71H2AM.20</v>
      </c>
      <c r="E18222" t="s">
        <v>9517</v>
      </c>
      <c r="F18222" t="s">
        <v>11</v>
      </c>
      <c r="G18222" t="s">
        <v>9518</v>
      </c>
      <c r="H18222" s="12">
        <v>-1.25431821872405</v>
      </c>
      <c r="I18222" s="20">
        <v>-1.11931215738746</v>
      </c>
      <c r="J18222" s="28">
        <v>0.26300699107440101</v>
      </c>
      <c r="K18222" s="29">
        <v>0.98289565623980701</v>
      </c>
    </row>
    <row r="18223" spans="1:11" x14ac:dyDescent="0.35">
      <c r="A18223" s="9" t="str">
        <f>HYPERLINK("http://www.ensembl.org/id/WBGene00022168", "WBGene00022168")</f>
        <v>WBGene00022168</v>
      </c>
      <c r="B18223" s="9" t="str">
        <f>HYPERLINK("http://www.ncbi.nlm.nih.gov/gene/190606", "190606")</f>
        <v>190606</v>
      </c>
      <c r="C18223" s="9"/>
      <c r="D18223" t="str">
        <f>"Y71H2AM.3"</f>
        <v>Y71H2AM.3</v>
      </c>
      <c r="F18223" t="s">
        <v>11</v>
      </c>
      <c r="G18223" t="s">
        <v>9159</v>
      </c>
      <c r="H18223" s="12">
        <v>-1.2252885171215999</v>
      </c>
      <c r="I18223" s="20">
        <v>-1.0112000372494401</v>
      </c>
      <c r="J18223" s="28">
        <v>0.31192069798356498</v>
      </c>
      <c r="K18223" s="29">
        <v>0.98289565623980701</v>
      </c>
    </row>
    <row r="18224" spans="1:11" x14ac:dyDescent="0.35">
      <c r="A18224" s="9" t="str">
        <f>HYPERLINK("http://www.ensembl.org/id/WBGene00022171", "WBGene00022171")</f>
        <v>WBGene00022171</v>
      </c>
      <c r="B18224" s="9" t="str">
        <f>HYPERLINK("http://www.ncbi.nlm.nih.gov/gene/175394", "175394")</f>
        <v>175394</v>
      </c>
      <c r="C18224" s="9" t="str">
        <f>HYPERLINK("http://www.ncbi.nlm.nih.gov/gene/79717", "79717")</f>
        <v>79717</v>
      </c>
      <c r="D18224" t="str">
        <f>"Y71H2AM.6"</f>
        <v>Y71H2AM.6</v>
      </c>
      <c r="F18224" t="s">
        <v>11</v>
      </c>
      <c r="G18224" t="s">
        <v>6034</v>
      </c>
      <c r="H18224" s="12">
        <v>1.07080556604664</v>
      </c>
      <c r="I18224" s="20">
        <v>0.25294798111495398</v>
      </c>
      <c r="J18224" s="28">
        <v>0.80030841120968199</v>
      </c>
      <c r="K18224" s="29">
        <v>0.98289565623980701</v>
      </c>
    </row>
    <row r="18225" spans="1:11" x14ac:dyDescent="0.35">
      <c r="A18225" s="9" t="str">
        <f>HYPERLINK("http://www.ensembl.org/id/WBGene00022188", "WBGene00022188")</f>
        <v>WBGene00022188</v>
      </c>
      <c r="B18225" s="9" t="str">
        <f>HYPERLINK("http://www.ncbi.nlm.nih.gov/gene/175400", "175400")</f>
        <v>175400</v>
      </c>
      <c r="C18225" s="9"/>
      <c r="D18225" t="str">
        <f>"Y71H2AR.1"</f>
        <v>Y71H2AR.1</v>
      </c>
      <c r="F18225" t="s">
        <v>11</v>
      </c>
      <c r="G18225" t="s">
        <v>7121</v>
      </c>
      <c r="H18225" s="12">
        <v>-1.1080699187810601</v>
      </c>
      <c r="I18225" s="20">
        <v>-0.48487235963881298</v>
      </c>
      <c r="J18225" s="28">
        <v>0.62776689022082199</v>
      </c>
      <c r="K18225" s="29">
        <v>0.98289565623980701</v>
      </c>
    </row>
    <row r="18226" spans="1:11" x14ac:dyDescent="0.35">
      <c r="A18226" s="9" t="str">
        <f>HYPERLINK("http://www.ensembl.org/id/WBGene00022189", "WBGene00022189")</f>
        <v>WBGene00022189</v>
      </c>
      <c r="B18226" s="9" t="str">
        <f>HYPERLINK("http://www.ncbi.nlm.nih.gov/gene/190615", "190615")</f>
        <v>190615</v>
      </c>
      <c r="C18226" s="9"/>
      <c r="D18226" t="str">
        <f>"Y71H2AR.2"</f>
        <v>Y71H2AR.2</v>
      </c>
      <c r="F18226" t="s">
        <v>11</v>
      </c>
      <c r="G18226" t="s">
        <v>632</v>
      </c>
      <c r="H18226" s="12">
        <v>6.56699417505002</v>
      </c>
      <c r="I18226" s="20">
        <v>1.0491881499087801</v>
      </c>
      <c r="J18226" s="28">
        <v>0.29409153152097101</v>
      </c>
      <c r="K18226" s="29">
        <v>0.98289565623980701</v>
      </c>
    </row>
    <row r="18227" spans="1:11" x14ac:dyDescent="0.35">
      <c r="A18227" s="9" t="str">
        <f>HYPERLINK("http://www.ensembl.org/id/WBGene00022191", "WBGene00022191")</f>
        <v>WBGene00022191</v>
      </c>
      <c r="B18227" s="9" t="str">
        <f>HYPERLINK("http://www.ncbi.nlm.nih.gov/gene/190616", "190616")</f>
        <v>190616</v>
      </c>
      <c r="C18227" s="9"/>
      <c r="D18227" t="str">
        <f>"Y71H2B.1"</f>
        <v>Y71H2B.1</v>
      </c>
      <c r="F18227" t="s">
        <v>11</v>
      </c>
      <c r="G18227" t="s">
        <v>4169</v>
      </c>
      <c r="H18227" s="12">
        <v>1.1292738075104101</v>
      </c>
      <c r="I18227" s="20">
        <v>0.59907490460462098</v>
      </c>
      <c r="J18227" s="28">
        <v>0.54912293563982595</v>
      </c>
      <c r="K18227" s="29">
        <v>0.98289565623980701</v>
      </c>
    </row>
    <row r="18228" spans="1:11" x14ac:dyDescent="0.35">
      <c r="A18228" s="9" t="str">
        <f>HYPERLINK("http://www.ensembl.org/id/WBGene00022198", "WBGene00022198")</f>
        <v>WBGene00022198</v>
      </c>
      <c r="B18228" s="9" t="str">
        <f>HYPERLINK("http://www.ncbi.nlm.nih.gov/gene/175379", "175379")</f>
        <v>175379</v>
      </c>
      <c r="C18228" s="9"/>
      <c r="D18228" t="str">
        <f>"Y71H2B.11"</f>
        <v>Y71H2B.11</v>
      </c>
      <c r="F18228" t="s">
        <v>11</v>
      </c>
      <c r="H18228" s="12">
        <v>1.15353702557572</v>
      </c>
      <c r="I18228" s="20">
        <v>0.30715124204291899</v>
      </c>
      <c r="J18228" s="28">
        <v>0.75872825597887505</v>
      </c>
      <c r="K18228" s="29">
        <v>0.98289565623980701</v>
      </c>
    </row>
    <row r="18229" spans="1:11" x14ac:dyDescent="0.35">
      <c r="A18229" s="9" t="str">
        <f>HYPERLINK("http://www.ensembl.org/id/WBGene00022192", "WBGene00022192")</f>
        <v>WBGene00022192</v>
      </c>
      <c r="B18229" s="9" t="str">
        <f>HYPERLINK("http://www.ncbi.nlm.nih.gov/gene/175382", "175382")</f>
        <v>175382</v>
      </c>
      <c r="C18229" s="9"/>
      <c r="D18229" t="str">
        <f>"Y71H2B.2"</f>
        <v>Y71H2B.2</v>
      </c>
      <c r="F18229" t="s">
        <v>11</v>
      </c>
      <c r="G18229" t="s">
        <v>9542</v>
      </c>
      <c r="H18229" s="12">
        <v>-1.2565081831301601</v>
      </c>
      <c r="I18229" s="20">
        <v>-1.0451466810126699</v>
      </c>
      <c r="J18229" s="28">
        <v>0.29595518189129799</v>
      </c>
      <c r="K18229" s="29">
        <v>0.98289565623980701</v>
      </c>
    </row>
    <row r="18230" spans="1:11" x14ac:dyDescent="0.35">
      <c r="A18230" s="9" t="str">
        <f>HYPERLINK("http://www.ensembl.org/id/WBGene00022194", "WBGene00022194")</f>
        <v>WBGene00022194</v>
      </c>
      <c r="B18230" s="9" t="str">
        <f>HYPERLINK("http://www.ncbi.nlm.nih.gov/gene/175381", "175381")</f>
        <v>175381</v>
      </c>
      <c r="C18230" s="9"/>
      <c r="D18230" t="str">
        <f>"Y71H2B.4"</f>
        <v>Y71H2B.4</v>
      </c>
      <c r="F18230" t="s">
        <v>11</v>
      </c>
      <c r="H18230" s="12">
        <v>-1.16120301007546</v>
      </c>
      <c r="I18230" s="20">
        <v>-0.65381163996963798</v>
      </c>
      <c r="J18230" s="28">
        <v>0.51323316635315996</v>
      </c>
      <c r="K18230" s="29">
        <v>0.98289565623980701</v>
      </c>
    </row>
    <row r="18231" spans="1:11" x14ac:dyDescent="0.35">
      <c r="A18231" s="9" t="str">
        <f>HYPERLINK("http://www.ensembl.org/id/WBGene00022195", "WBGene00022195")</f>
        <v>WBGene00022195</v>
      </c>
      <c r="B18231" s="9" t="str">
        <f>HYPERLINK("http://www.ncbi.nlm.nih.gov/gene/175380", "175380")</f>
        <v>175380</v>
      </c>
      <c r="C18231" s="9"/>
      <c r="D18231" t="str">
        <f>"Y71H2B.5"</f>
        <v>Y71H2B.5</v>
      </c>
      <c r="F18231" t="s">
        <v>11</v>
      </c>
      <c r="G18231" t="s">
        <v>9783</v>
      </c>
      <c r="H18231" s="12">
        <v>-1.3014057555098799</v>
      </c>
      <c r="I18231" s="20">
        <v>-1.1514337114436699</v>
      </c>
      <c r="J18231" s="28">
        <v>0.24955385164270799</v>
      </c>
      <c r="K18231" s="29">
        <v>0.98289565623980701</v>
      </c>
    </row>
    <row r="18232" spans="1:11" x14ac:dyDescent="0.35">
      <c r="A18232" s="9" t="str">
        <f>HYPERLINK("http://www.ensembl.org/id/WBGene00022197", "WBGene00022197")</f>
        <v>WBGene00022197</v>
      </c>
      <c r="B18232" s="9" t="str">
        <f>HYPERLINK("http://www.ncbi.nlm.nih.gov/gene/190618", "190618")</f>
        <v>190618</v>
      </c>
      <c r="C18232" s="9"/>
      <c r="D18232" t="str">
        <f>"Y71H2B.8"</f>
        <v>Y71H2B.8</v>
      </c>
      <c r="F18232" t="s">
        <v>11</v>
      </c>
      <c r="H18232" s="12">
        <v>-1.1442267875302601</v>
      </c>
      <c r="I18232" s="20">
        <v>-0.56405327632954005</v>
      </c>
      <c r="J18232" s="28">
        <v>0.57271787495049997</v>
      </c>
      <c r="K18232" s="29">
        <v>0.98289565623980701</v>
      </c>
    </row>
    <row r="18233" spans="1:11" x14ac:dyDescent="0.35">
      <c r="A18233" s="9" t="str">
        <f>HYPERLINK("http://www.ensembl.org/id/WBGene00200195", "WBGene00200195")</f>
        <v>WBGene00200195</v>
      </c>
      <c r="B18233" s="9"/>
      <c r="C18233" s="9"/>
      <c r="D18233" t="str">
        <f>"Y71H9A.7"</f>
        <v>Y71H9A.7</v>
      </c>
      <c r="F18233" t="s">
        <v>481</v>
      </c>
      <c r="H18233" s="12">
        <v>3.6645215954135</v>
      </c>
      <c r="I18233" s="20">
        <v>0.37967131826092498</v>
      </c>
      <c r="J18233" s="28">
        <v>0.70418941338960395</v>
      </c>
      <c r="K18233" s="29">
        <v>0.98289565623980701</v>
      </c>
    </row>
    <row r="18234" spans="1:11" x14ac:dyDescent="0.35">
      <c r="A18234" s="9" t="str">
        <f>HYPERLINK("http://www.ensembl.org/id/WBGene00022213", "WBGene00022213")</f>
        <v>WBGene00022213</v>
      </c>
      <c r="B18234" s="9" t="str">
        <f>HYPERLINK("http://www.ncbi.nlm.nih.gov/gene/190629", "190629")</f>
        <v>190629</v>
      </c>
      <c r="C18234" s="9"/>
      <c r="D18234" t="str">
        <f>"Y73B3A.11"</f>
        <v>Y73B3A.11</v>
      </c>
      <c r="F18234" t="s">
        <v>11</v>
      </c>
      <c r="H18234" s="12">
        <v>-2.07718170485844</v>
      </c>
      <c r="I18234" s="20">
        <v>-0.31320732647153898</v>
      </c>
      <c r="J18234" s="28">
        <v>0.75412315255094498</v>
      </c>
      <c r="K18234" s="29">
        <v>0.98289565623980701</v>
      </c>
    </row>
    <row r="18235" spans="1:11" x14ac:dyDescent="0.35">
      <c r="A18235" s="9" t="str">
        <f>HYPERLINK("http://www.ensembl.org/id/WBGene00023191", "WBGene00023191")</f>
        <v>WBGene00023191</v>
      </c>
      <c r="B18235" s="9"/>
      <c r="C18235" s="9"/>
      <c r="D18235" t="str">
        <f>"Y73B3A.17"</f>
        <v>Y73B3A.17</v>
      </c>
      <c r="F18235" t="s">
        <v>80</v>
      </c>
      <c r="H18235" s="12">
        <v>1.81910907745596</v>
      </c>
      <c r="I18235" s="20">
        <v>0.80164974602032002</v>
      </c>
      <c r="J18235" s="28">
        <v>0.42275559310394301</v>
      </c>
      <c r="K18235" s="29">
        <v>0.98289565623980701</v>
      </c>
    </row>
    <row r="18236" spans="1:11" x14ac:dyDescent="0.35">
      <c r="A18236" s="9" t="str">
        <f>HYPERLINK("http://www.ensembl.org/id/WBGene00022204", "WBGene00022204")</f>
        <v>WBGene00022204</v>
      </c>
      <c r="B18236" s="9"/>
      <c r="C18236" s="9"/>
      <c r="D18236" t="str">
        <f>"Y73B3A.2"</f>
        <v>Y73B3A.2</v>
      </c>
      <c r="F18236" t="s">
        <v>80</v>
      </c>
      <c r="H18236" s="12">
        <v>1.2803547304679199</v>
      </c>
      <c r="I18236" s="20">
        <v>0.28137986721130398</v>
      </c>
      <c r="J18236" s="28">
        <v>0.77841905822052504</v>
      </c>
      <c r="K18236" s="29">
        <v>0.98289565623980701</v>
      </c>
    </row>
    <row r="18237" spans="1:11" x14ac:dyDescent="0.35">
      <c r="A18237" s="9" t="str">
        <f>HYPERLINK("http://www.ensembl.org/id/WBGene00022222", "WBGene00022222")</f>
        <v>WBGene00022222</v>
      </c>
      <c r="B18237" s="9"/>
      <c r="C18237" s="9"/>
      <c r="D18237" t="str">
        <f>"Y73B3A.21"</f>
        <v>Y73B3A.21</v>
      </c>
      <c r="F18237" t="s">
        <v>80</v>
      </c>
      <c r="H18237" s="12">
        <v>-1.78362997527332</v>
      </c>
      <c r="I18237" s="20">
        <v>-0.81069102235138002</v>
      </c>
      <c r="J18237" s="28">
        <v>0.41754313024210699</v>
      </c>
      <c r="K18237" s="29">
        <v>0.98289565623980701</v>
      </c>
    </row>
    <row r="18238" spans="1:11" x14ac:dyDescent="0.35">
      <c r="A18238" s="9" t="str">
        <f>HYPERLINK("http://www.ensembl.org/id/WBGene00198345", "WBGene00198345")</f>
        <v>WBGene00198345</v>
      </c>
      <c r="B18238" s="9"/>
      <c r="C18238" s="9"/>
      <c r="D18238" t="str">
        <f>"Y73B3A.25"</f>
        <v>Y73B3A.25</v>
      </c>
      <c r="F18238" t="s">
        <v>481</v>
      </c>
      <c r="H18238" s="12">
        <v>3.6645215954135</v>
      </c>
      <c r="I18238" s="20">
        <v>0.37967131826092498</v>
      </c>
      <c r="J18238" s="28">
        <v>0.70418941338960395</v>
      </c>
      <c r="K18238" s="29">
        <v>0.98289565623980701</v>
      </c>
    </row>
    <row r="18239" spans="1:11" x14ac:dyDescent="0.35">
      <c r="A18239" s="9" t="str">
        <f>HYPERLINK("http://www.ensembl.org/id/WBGene00022209", "WBGene00022209")</f>
        <v>WBGene00022209</v>
      </c>
      <c r="B18239" s="9" t="str">
        <f>HYPERLINK("http://www.ncbi.nlm.nih.gov/gene/190625", "190625")</f>
        <v>190625</v>
      </c>
      <c r="C18239" s="9"/>
      <c r="D18239" t="str">
        <f>"Y73B3A.7"</f>
        <v>Y73B3A.7</v>
      </c>
      <c r="F18239" t="s">
        <v>11</v>
      </c>
      <c r="H18239" s="12">
        <v>3.5227018545059199</v>
      </c>
      <c r="I18239" s="20">
        <v>0.36849691206929103</v>
      </c>
      <c r="J18239" s="28">
        <v>0.71250274722433404</v>
      </c>
      <c r="K18239" s="29">
        <v>0.98289565623980701</v>
      </c>
    </row>
    <row r="18240" spans="1:11" x14ac:dyDescent="0.35">
      <c r="A18240" s="9" t="str">
        <f>HYPERLINK("http://www.ensembl.org/id/WBGene00022211", "WBGene00022211")</f>
        <v>WBGene00022211</v>
      </c>
      <c r="B18240" s="9"/>
      <c r="C18240" s="9"/>
      <c r="D18240" t="str">
        <f>"Y73B3A.9"</f>
        <v>Y73B3A.9</v>
      </c>
      <c r="F18240" t="s">
        <v>80</v>
      </c>
      <c r="H18240" s="12">
        <v>1.0876440788162001</v>
      </c>
      <c r="I18240" s="20">
        <v>0.38840520777797699</v>
      </c>
      <c r="J18240" s="28">
        <v>0.69771619091078996</v>
      </c>
      <c r="K18240" s="29">
        <v>0.98289565623980701</v>
      </c>
    </row>
    <row r="18241" spans="1:11" x14ac:dyDescent="0.35">
      <c r="A18241" s="9" t="str">
        <f>HYPERLINK("http://www.ensembl.org/id/WBGene00022225", "WBGene00022225")</f>
        <v>WBGene00022225</v>
      </c>
      <c r="B18241" s="9" t="str">
        <f>HYPERLINK("http://www.ncbi.nlm.nih.gov/gene/190642", "190642")</f>
        <v>190642</v>
      </c>
      <c r="C18241" s="9"/>
      <c r="D18241" t="str">
        <f>"Y73B3B.3"</f>
        <v>Y73B3B.3</v>
      </c>
      <c r="F18241" t="s">
        <v>11</v>
      </c>
      <c r="H18241" s="12">
        <v>2.4099598308896599</v>
      </c>
      <c r="I18241" s="20">
        <v>0.44242647277252001</v>
      </c>
      <c r="J18241" s="28">
        <v>0.65818062599971305</v>
      </c>
      <c r="K18241" s="29">
        <v>0.98289565623980701</v>
      </c>
    </row>
    <row r="18242" spans="1:11" x14ac:dyDescent="0.35">
      <c r="A18242" s="9" t="str">
        <f>HYPERLINK("http://www.ensembl.org/id/WBGene00022227", "WBGene00022227")</f>
        <v>WBGene00022227</v>
      </c>
      <c r="B18242" s="9"/>
      <c r="C18242" s="9"/>
      <c r="D18242" t="str">
        <f>"Y73B3B.5"</f>
        <v>Y73B3B.5</v>
      </c>
      <c r="F18242" t="s">
        <v>80</v>
      </c>
      <c r="H18242" s="12">
        <v>1.42848182784422</v>
      </c>
      <c r="I18242" s="20">
        <v>1.20861314862059</v>
      </c>
      <c r="J18242" s="28">
        <v>0.226811502516234</v>
      </c>
      <c r="K18242" s="29">
        <v>0.98289565623980701</v>
      </c>
    </row>
    <row r="18243" spans="1:11" x14ac:dyDescent="0.35">
      <c r="A18243" s="9" t="str">
        <f>HYPERLINK("http://www.ensembl.org/id/WBGene00022228", "WBGene00022228")</f>
        <v>WBGene00022228</v>
      </c>
      <c r="B18243" s="9" t="str">
        <f>HYPERLINK("http://www.ncbi.nlm.nih.gov/gene/177434", "177434")</f>
        <v>177434</v>
      </c>
      <c r="C18243" s="9"/>
      <c r="D18243" t="str">
        <f>"Y73B6A.1"</f>
        <v>Y73B6A.1</v>
      </c>
      <c r="F18243" t="s">
        <v>11</v>
      </c>
      <c r="G18243" t="s">
        <v>5621</v>
      </c>
      <c r="H18243" s="12">
        <v>1.1335130071450801</v>
      </c>
      <c r="I18243" s="20">
        <v>0.257235156415281</v>
      </c>
      <c r="J18243" s="28">
        <v>0.79699724599828004</v>
      </c>
      <c r="K18243" s="29">
        <v>0.98289565623980701</v>
      </c>
    </row>
    <row r="18244" spans="1:11" x14ac:dyDescent="0.35">
      <c r="A18244" s="9" t="str">
        <f>HYPERLINK("http://www.ensembl.org/id/WBGene00220204", "WBGene00220204")</f>
        <v>WBGene00220204</v>
      </c>
      <c r="B18244" s="9"/>
      <c r="C18244" s="9"/>
      <c r="D18244" t="str">
        <f>"Y73B6A.15"</f>
        <v>Y73B6A.15</v>
      </c>
      <c r="F18244" t="s">
        <v>2977</v>
      </c>
      <c r="H18244" s="12">
        <v>2.4578120077400301</v>
      </c>
      <c r="I18244" s="20">
        <v>0.26093350314551</v>
      </c>
      <c r="J18244" s="28">
        <v>0.79414378780213601</v>
      </c>
      <c r="K18244" s="29">
        <v>0.98289565623980701</v>
      </c>
    </row>
    <row r="18245" spans="1:11" x14ac:dyDescent="0.35">
      <c r="A18245" s="9" t="str">
        <f>HYPERLINK("http://www.ensembl.org/id/WBGene00236785", "WBGene00236785")</f>
        <v>WBGene00236785</v>
      </c>
      <c r="B18245" s="9"/>
      <c r="C18245" s="9"/>
      <c r="D18245" t="str">
        <f>"Y73B6A.16"</f>
        <v>Y73B6A.16</v>
      </c>
      <c r="F18245" t="s">
        <v>481</v>
      </c>
      <c r="H18245" s="12">
        <v>-1.1342345039678401</v>
      </c>
      <c r="I18245" s="20">
        <v>-0.29963683883417302</v>
      </c>
      <c r="J18245" s="28">
        <v>0.76445418119386099</v>
      </c>
      <c r="K18245" s="29">
        <v>0.98289565623980701</v>
      </c>
    </row>
    <row r="18246" spans="1:11" x14ac:dyDescent="0.35">
      <c r="A18246" s="9" t="str">
        <f>HYPERLINK("http://www.ensembl.org/id/WBGene00022236", "WBGene00022236")</f>
        <v>WBGene00022236</v>
      </c>
      <c r="B18246" s="9" t="str">
        <f>HYPERLINK("http://www.ncbi.nlm.nih.gov/gene/190648", "190648")</f>
        <v>190648</v>
      </c>
      <c r="C18246" s="9"/>
      <c r="D18246" t="str">
        <f>"Y73B6BL.12"</f>
        <v>Y73B6BL.12</v>
      </c>
      <c r="E18246" t="s">
        <v>4937</v>
      </c>
      <c r="F18246" t="s">
        <v>11</v>
      </c>
      <c r="H18246" s="12">
        <v>1.2908719682909</v>
      </c>
      <c r="I18246" s="20">
        <v>0.256454749891456</v>
      </c>
      <c r="J18246" s="28">
        <v>0.797599716634117</v>
      </c>
      <c r="K18246" s="29">
        <v>0.98289565623980701</v>
      </c>
    </row>
    <row r="18247" spans="1:11" x14ac:dyDescent="0.35">
      <c r="A18247" s="9" t="str">
        <f>HYPERLINK("http://www.ensembl.org/id/WBGene00022237", "WBGene00022237")</f>
        <v>WBGene00022237</v>
      </c>
      <c r="B18247" s="9" t="str">
        <f>HYPERLINK("http://www.ncbi.nlm.nih.gov/gene/190650", "190650")</f>
        <v>190650</v>
      </c>
      <c r="C18247" s="9"/>
      <c r="D18247" t="str">
        <f>"Y73B6BL.14"</f>
        <v>Y73B6BL.14</v>
      </c>
      <c r="F18247" t="s">
        <v>11</v>
      </c>
      <c r="G18247" t="s">
        <v>10079</v>
      </c>
      <c r="H18247" s="12">
        <v>-2.7497762165328701</v>
      </c>
      <c r="I18247" s="20">
        <v>-1.1832302959828001</v>
      </c>
      <c r="J18247" s="28">
        <v>0.236717889176004</v>
      </c>
      <c r="K18247" s="29">
        <v>0.98289565623980701</v>
      </c>
    </row>
    <row r="18248" spans="1:11" x14ac:dyDescent="0.35">
      <c r="A18248" s="9" t="str">
        <f>HYPERLINK("http://www.ensembl.org/id/WBGene00022248", "WBGene00022248")</f>
        <v>WBGene00022248</v>
      </c>
      <c r="B18248" s="9" t="str">
        <f>HYPERLINK("http://www.ncbi.nlm.nih.gov/gene/177410", "177410")</f>
        <v>177410</v>
      </c>
      <c r="C18248" s="9"/>
      <c r="D18248" t="str">
        <f>"Y73B6BL.27"</f>
        <v>Y73B6BL.27</v>
      </c>
      <c r="F18248" t="s">
        <v>11</v>
      </c>
      <c r="H18248" s="12">
        <v>1.1371729390891501</v>
      </c>
      <c r="I18248" s="20">
        <v>0.61606726903212705</v>
      </c>
      <c r="J18248" s="28">
        <v>0.53785012332674798</v>
      </c>
      <c r="K18248" s="29">
        <v>0.98289565623980701</v>
      </c>
    </row>
    <row r="18249" spans="1:11" x14ac:dyDescent="0.35">
      <c r="A18249" s="9" t="str">
        <f>HYPERLINK("http://www.ensembl.org/id/WBGene00196230", "WBGene00196230")</f>
        <v>WBGene00196230</v>
      </c>
      <c r="B18249" s="9"/>
      <c r="C18249" s="9"/>
      <c r="D18249" t="str">
        <f>"Y73B6BL.273"</f>
        <v>Y73B6BL.273</v>
      </c>
      <c r="F18249" t="s">
        <v>481</v>
      </c>
      <c r="H18249" s="12">
        <v>4.4368407117627902</v>
      </c>
      <c r="I18249" s="20">
        <v>0.43709475933309699</v>
      </c>
      <c r="J18249" s="28">
        <v>0.66204262779770495</v>
      </c>
      <c r="K18249" s="29">
        <v>0.98289565623980701</v>
      </c>
    </row>
    <row r="18250" spans="1:11" x14ac:dyDescent="0.35">
      <c r="A18250" s="9" t="str">
        <f>HYPERLINK("http://www.ensembl.org/id/WBGene00199287", "WBGene00199287")</f>
        <v>WBGene00199287</v>
      </c>
      <c r="B18250" s="9"/>
      <c r="C18250" s="9"/>
      <c r="D18250" t="str">
        <f>"Y73B6BL.279"</f>
        <v>Y73B6BL.279</v>
      </c>
      <c r="F18250" t="s">
        <v>481</v>
      </c>
      <c r="H18250" s="12">
        <v>-2.4991590031922399</v>
      </c>
      <c r="I18250" s="20">
        <v>-0.26577412737581302</v>
      </c>
      <c r="J18250" s="28">
        <v>0.79041317015736101</v>
      </c>
      <c r="K18250" s="29">
        <v>0.98289565623980701</v>
      </c>
    </row>
    <row r="18251" spans="1:11" x14ac:dyDescent="0.35">
      <c r="A18251" s="9" t="str">
        <f>HYPERLINK("http://www.ensembl.org/id/WBGene00201266", "WBGene00201266")</f>
        <v>WBGene00201266</v>
      </c>
      <c r="B18251" s="9"/>
      <c r="C18251" s="9"/>
      <c r="D18251" t="str">
        <f>"Y73B6BL.284"</f>
        <v>Y73B6BL.284</v>
      </c>
      <c r="F18251" t="s">
        <v>481</v>
      </c>
      <c r="H18251" s="12">
        <v>2.4578120077400301</v>
      </c>
      <c r="I18251" s="20">
        <v>0.26093350314551</v>
      </c>
      <c r="J18251" s="28">
        <v>0.79414378780213601</v>
      </c>
      <c r="K18251" s="29">
        <v>0.98289565623980701</v>
      </c>
    </row>
    <row r="18252" spans="1:11" x14ac:dyDescent="0.35">
      <c r="A18252" s="9" t="str">
        <f>HYPERLINK("http://www.ensembl.org/id/WBGene00201568", "WBGene00201568")</f>
        <v>WBGene00201568</v>
      </c>
      <c r="B18252" s="9"/>
      <c r="C18252" s="9"/>
      <c r="D18252" t="str">
        <f>"Y73B6BL.286"</f>
        <v>Y73B6BL.286</v>
      </c>
      <c r="F18252" t="s">
        <v>481</v>
      </c>
      <c r="H18252" s="12">
        <v>2.3893468495514898</v>
      </c>
      <c r="I18252" s="20">
        <v>0.25323547253672701</v>
      </c>
      <c r="J18252" s="28">
        <v>0.80008625651646104</v>
      </c>
      <c r="K18252" s="29">
        <v>0.98289565623980701</v>
      </c>
    </row>
    <row r="18253" spans="1:11" x14ac:dyDescent="0.35">
      <c r="A18253" s="9" t="str">
        <f>HYPERLINK("http://www.ensembl.org/id/WBGene00022250", "WBGene00022250")</f>
        <v>WBGene00022250</v>
      </c>
      <c r="B18253" s="9" t="str">
        <f>HYPERLINK("http://www.ncbi.nlm.nih.gov/gene/260252", "260252")</f>
        <v>260252</v>
      </c>
      <c r="C18253" s="9"/>
      <c r="D18253" t="str">
        <f>"Y73B6BL.29"</f>
        <v>Y73B6BL.29</v>
      </c>
      <c r="E18253" t="s">
        <v>6575</v>
      </c>
      <c r="F18253" t="s">
        <v>11</v>
      </c>
      <c r="G18253" t="s">
        <v>6576</v>
      </c>
      <c r="H18253" s="12">
        <v>-1.07735758709092</v>
      </c>
      <c r="I18253" s="20">
        <v>-0.31033241024213398</v>
      </c>
      <c r="J18253" s="28">
        <v>0.75630818711512104</v>
      </c>
      <c r="K18253" s="29">
        <v>0.98289565623980701</v>
      </c>
    </row>
    <row r="18254" spans="1:11" x14ac:dyDescent="0.35">
      <c r="A18254" s="9" t="str">
        <f>HYPERLINK("http://www.ensembl.org/id/WBGene00022252", "WBGene00022252")</f>
        <v>WBGene00022252</v>
      </c>
      <c r="B18254" s="9" t="str">
        <f>HYPERLINK("http://www.ncbi.nlm.nih.gov/gene/177408", "177408")</f>
        <v>177408</v>
      </c>
      <c r="C18254" s="9" t="str">
        <f>HYPERLINK("http://www.ncbi.nlm.nih.gov/gene/148641", "148641")</f>
        <v>148641</v>
      </c>
      <c r="D18254" t="str">
        <f>"Y73B6BL.31"</f>
        <v>Y73B6BL.31</v>
      </c>
      <c r="F18254" t="s">
        <v>11</v>
      </c>
      <c r="G18254" t="s">
        <v>25</v>
      </c>
      <c r="H18254" s="12">
        <v>-1.2239917331991701</v>
      </c>
      <c r="I18254" s="20">
        <v>-0.96627144906587503</v>
      </c>
      <c r="J18254" s="28">
        <v>0.33390836869968898</v>
      </c>
      <c r="K18254" s="29">
        <v>0.98289565623980701</v>
      </c>
    </row>
    <row r="18255" spans="1:11" x14ac:dyDescent="0.35">
      <c r="A18255" s="9" t="str">
        <f>HYPERLINK("http://www.ensembl.org/id/WBGene00022255", "WBGene00022255")</f>
        <v>WBGene00022255</v>
      </c>
      <c r="B18255" s="9" t="str">
        <f>HYPERLINK("http://www.ncbi.nlm.nih.gov/gene/260287", "260287")</f>
        <v>260287</v>
      </c>
      <c r="C18255" s="9"/>
      <c r="D18255" t="str">
        <f>"Y73B6BL.36"</f>
        <v>Y73B6BL.36</v>
      </c>
      <c r="F18255" t="s">
        <v>11</v>
      </c>
      <c r="G18255" t="s">
        <v>5288</v>
      </c>
      <c r="H18255" s="12">
        <v>1.1948467993068399</v>
      </c>
      <c r="I18255" s="20">
        <v>0.52357444826133903</v>
      </c>
      <c r="J18255" s="28">
        <v>0.60057455738548104</v>
      </c>
      <c r="K18255" s="29">
        <v>0.98289565623980701</v>
      </c>
    </row>
    <row r="18256" spans="1:11" x14ac:dyDescent="0.35">
      <c r="A18256" s="9" t="str">
        <f>HYPERLINK("http://www.ensembl.org/id/WBGene00045250", "WBGene00045250")</f>
        <v>WBGene00045250</v>
      </c>
      <c r="B18256" s="9" t="str">
        <f>HYPERLINK("http://www.ncbi.nlm.nih.gov/gene/6418688", "6418688")</f>
        <v>6418688</v>
      </c>
      <c r="C18256" s="9"/>
      <c r="D18256" t="str">
        <f>"Y73B6BL.47"</f>
        <v>Y73B6BL.47</v>
      </c>
      <c r="F18256" t="s">
        <v>11</v>
      </c>
      <c r="G18256" t="s">
        <v>25</v>
      </c>
      <c r="H18256" s="12">
        <v>1.88696565774448</v>
      </c>
      <c r="I18256" s="20">
        <v>1.1726953105640501</v>
      </c>
      <c r="J18256" s="28">
        <v>0.240918012635466</v>
      </c>
      <c r="K18256" s="29">
        <v>0.98289565623980701</v>
      </c>
    </row>
    <row r="18257" spans="1:11" x14ac:dyDescent="0.35">
      <c r="A18257" s="9" t="str">
        <f>HYPERLINK("http://www.ensembl.org/id/WBGene00022258", "WBGene00022258")</f>
        <v>WBGene00022258</v>
      </c>
      <c r="B18257" s="9" t="str">
        <f>HYPERLINK("http://www.ncbi.nlm.nih.gov/gene/190658", "190658")</f>
        <v>190658</v>
      </c>
      <c r="C18257" s="9"/>
      <c r="D18257" t="str">
        <f>"Y73C8B.1"</f>
        <v>Y73C8B.1</v>
      </c>
      <c r="F18257" t="s">
        <v>11</v>
      </c>
      <c r="H18257" s="12">
        <v>1.09113005631883</v>
      </c>
      <c r="I18257" s="20">
        <v>0.41852480460861402</v>
      </c>
      <c r="J18257" s="28">
        <v>0.67556345484876801</v>
      </c>
      <c r="K18257" s="29">
        <v>0.98289565623980701</v>
      </c>
    </row>
    <row r="18258" spans="1:11" x14ac:dyDescent="0.35">
      <c r="A18258" s="9" t="str">
        <f>HYPERLINK("http://www.ensembl.org/id/WBGene00022259", "WBGene00022259")</f>
        <v>WBGene00022259</v>
      </c>
      <c r="B18258" s="9" t="str">
        <f>HYPERLINK("http://www.ncbi.nlm.nih.gov/gene/178757", "178757")</f>
        <v>178757</v>
      </c>
      <c r="C18258" s="9"/>
      <c r="D18258" t="str">
        <f>"Y73C8B.2"</f>
        <v>Y73C8B.2</v>
      </c>
      <c r="F18258" t="s">
        <v>11</v>
      </c>
      <c r="H18258" s="12">
        <v>1.1368210583133</v>
      </c>
      <c r="I18258" s="20">
        <v>0.60802568683869695</v>
      </c>
      <c r="J18258" s="28">
        <v>0.54317043757443995</v>
      </c>
      <c r="K18258" s="29">
        <v>0.98289565623980701</v>
      </c>
    </row>
    <row r="18259" spans="1:11" x14ac:dyDescent="0.35">
      <c r="A18259" s="9" t="str">
        <f>HYPERLINK("http://www.ensembl.org/id/WBGene00022260", "WBGene00022260")</f>
        <v>WBGene00022260</v>
      </c>
      <c r="B18259" s="9" t="str">
        <f>HYPERLINK("http://www.ncbi.nlm.nih.gov/gene/178756", "178756")</f>
        <v>178756</v>
      </c>
      <c r="C18259" s="9"/>
      <c r="D18259" t="str">
        <f>"Y73C8B.3"</f>
        <v>Y73C8B.3</v>
      </c>
      <c r="F18259" t="s">
        <v>11</v>
      </c>
      <c r="H18259" s="12">
        <v>1.1521402790811299</v>
      </c>
      <c r="I18259" s="20">
        <v>0.66441224683086997</v>
      </c>
      <c r="J18259" s="28">
        <v>0.50642649663207295</v>
      </c>
      <c r="K18259" s="29">
        <v>0.98289565623980701</v>
      </c>
    </row>
    <row r="18260" spans="1:11" x14ac:dyDescent="0.35">
      <c r="A18260" s="9" t="str">
        <f>HYPERLINK("http://www.ensembl.org/id/WBGene00044525", "WBGene00044525")</f>
        <v>WBGene00044525</v>
      </c>
      <c r="B18260" s="9" t="str">
        <f>HYPERLINK("http://www.ncbi.nlm.nih.gov/gene/3896865", "3896865")</f>
        <v>3896865</v>
      </c>
      <c r="C18260" s="9"/>
      <c r="D18260" t="str">
        <f>"Y73C8B.5"</f>
        <v>Y73C8B.5</v>
      </c>
      <c r="F18260" t="s">
        <v>11</v>
      </c>
      <c r="G18260" t="s">
        <v>325</v>
      </c>
      <c r="H18260" s="12">
        <v>-1.3997503829217499</v>
      </c>
      <c r="I18260" s="20">
        <v>-0.72767563238866495</v>
      </c>
      <c r="J18260" s="28">
        <v>0.46681217029114702</v>
      </c>
      <c r="K18260" s="29">
        <v>0.98289565623980701</v>
      </c>
    </row>
    <row r="18261" spans="1:11" x14ac:dyDescent="0.35">
      <c r="A18261" s="9" t="str">
        <f>HYPERLINK("http://www.ensembl.org/id/WBGene00235321", "WBGene00235321")</f>
        <v>WBGene00235321</v>
      </c>
      <c r="B18261" s="9" t="str">
        <f>HYPERLINK("http://www.ncbi.nlm.nih.gov/gene/24105227", "24105227")</f>
        <v>24105227</v>
      </c>
      <c r="C18261" s="9"/>
      <c r="D18261" t="str">
        <f>"Y73C8B.9"</f>
        <v>Y73C8B.9</v>
      </c>
      <c r="F18261" t="s">
        <v>11</v>
      </c>
      <c r="H18261" s="12">
        <v>2.07858236141894</v>
      </c>
      <c r="I18261" s="20">
        <v>0.45550377214716797</v>
      </c>
      <c r="J18261" s="28">
        <v>0.64874685441809699</v>
      </c>
      <c r="K18261" s="29">
        <v>0.98289565623980701</v>
      </c>
    </row>
    <row r="18262" spans="1:11" x14ac:dyDescent="0.35">
      <c r="A18262" s="9" t="str">
        <f>HYPERLINK("http://www.ensembl.org/id/WBGene00022263", "WBGene00022263")</f>
        <v>WBGene00022263</v>
      </c>
      <c r="B18262" s="9" t="str">
        <f>HYPERLINK("http://www.ncbi.nlm.nih.gov/gene/190661", "190661")</f>
        <v>190661</v>
      </c>
      <c r="C18262" s="9"/>
      <c r="D18262" t="str">
        <f>"Y73C8C.4"</f>
        <v>Y73C8C.4</v>
      </c>
      <c r="F18262" t="s">
        <v>11</v>
      </c>
      <c r="H18262" s="12">
        <v>2.2354644554012002</v>
      </c>
      <c r="I18262" s="20">
        <v>0.702287710060852</v>
      </c>
      <c r="J18262" s="28">
        <v>0.48249975610296703</v>
      </c>
      <c r="K18262" s="29">
        <v>0.98289565623980701</v>
      </c>
    </row>
    <row r="18263" spans="1:11" x14ac:dyDescent="0.35">
      <c r="A18263" s="9" t="str">
        <f>HYPERLINK("http://www.ensembl.org/id/WBGene00022265", "WBGene00022265")</f>
        <v>WBGene00022265</v>
      </c>
      <c r="B18263" s="9" t="str">
        <f>HYPERLINK("http://www.ncbi.nlm.nih.gov/gene/178753", "178753")</f>
        <v>178753</v>
      </c>
      <c r="C18263" s="9"/>
      <c r="D18263" t="str">
        <f>"Y73C8C.8"</f>
        <v>Y73C8C.8</v>
      </c>
      <c r="F18263" t="s">
        <v>11</v>
      </c>
      <c r="G18263" t="s">
        <v>9990</v>
      </c>
      <c r="H18263" s="12">
        <v>-1.59633057978146</v>
      </c>
      <c r="I18263" s="20">
        <v>-1.01973328814294</v>
      </c>
      <c r="J18263" s="28">
        <v>0.30785496975791399</v>
      </c>
      <c r="K18263" s="29">
        <v>0.98289565623980701</v>
      </c>
    </row>
    <row r="18264" spans="1:11" x14ac:dyDescent="0.35">
      <c r="A18264" s="9" t="str">
        <f>HYPERLINK("http://www.ensembl.org/id/WBGene00022268", "WBGene00022268")</f>
        <v>WBGene00022268</v>
      </c>
      <c r="B18264" s="9" t="str">
        <f>HYPERLINK("http://www.ncbi.nlm.nih.gov/gene/171725", "171725")</f>
        <v>171725</v>
      </c>
      <c r="C18264" s="9" t="str">
        <f>HYPERLINK("http://www.ncbi.nlm.nih.gov/gene/115098", "115098")</f>
        <v>115098</v>
      </c>
      <c r="D18264" t="str">
        <f>"Y73E7A.1"</f>
        <v>Y73E7A.1</v>
      </c>
      <c r="F18264" t="s">
        <v>11</v>
      </c>
      <c r="H18264" s="12">
        <v>-1.1048442035143899</v>
      </c>
      <c r="I18264" s="20">
        <v>-0.53283873973124796</v>
      </c>
      <c r="J18264" s="28">
        <v>0.59414521442889501</v>
      </c>
      <c r="K18264" s="29">
        <v>0.98289565623980701</v>
      </c>
    </row>
    <row r="18265" spans="1:11" x14ac:dyDescent="0.35">
      <c r="A18265" s="9" t="str">
        <f>HYPERLINK("http://www.ensembl.org/id/WBGene00022270", "WBGene00022270")</f>
        <v>WBGene00022270</v>
      </c>
      <c r="B18265" s="9" t="str">
        <f>HYPERLINK("http://www.ncbi.nlm.nih.gov/gene/190665", "190665")</f>
        <v>190665</v>
      </c>
      <c r="C18265" s="9" t="str">
        <f>HYPERLINK("http://www.ncbi.nlm.nih.gov/gene/222553", "222553")</f>
        <v>222553</v>
      </c>
      <c r="D18265" t="str">
        <f>"Y73E7A.3"</f>
        <v>Y73E7A.3</v>
      </c>
      <c r="F18265" t="s">
        <v>11</v>
      </c>
      <c r="G18265" t="s">
        <v>230</v>
      </c>
      <c r="H18265" s="12">
        <v>1.2007430677136599</v>
      </c>
      <c r="I18265" s="20">
        <v>0.60395353920337402</v>
      </c>
      <c r="J18265" s="28">
        <v>0.54587453189494095</v>
      </c>
      <c r="K18265" s="29">
        <v>0.98289565623980701</v>
      </c>
    </row>
    <row r="18266" spans="1:11" x14ac:dyDescent="0.35">
      <c r="A18266" s="9" t="str">
        <f>HYPERLINK("http://www.ensembl.org/id/WBGene00022272", "WBGene00022272")</f>
        <v>WBGene00022272</v>
      </c>
      <c r="B18266" s="9"/>
      <c r="C18266" s="9"/>
      <c r="D18266" t="str">
        <f>"Y73E7A.5"</f>
        <v>Y73E7A.5</v>
      </c>
      <c r="F18266" t="s">
        <v>80</v>
      </c>
      <c r="H18266" s="12">
        <v>1.66551786544332</v>
      </c>
      <c r="I18266" s="20">
        <v>0.36935220292072701</v>
      </c>
      <c r="J18266" s="28">
        <v>0.711865219640618</v>
      </c>
      <c r="K18266" s="29">
        <v>0.98289565623980701</v>
      </c>
    </row>
    <row r="18267" spans="1:11" x14ac:dyDescent="0.35">
      <c r="A18267" s="9" t="str">
        <f>HYPERLINK("http://www.ensembl.org/id/WBGene00194930", "WBGene00194930")</f>
        <v>WBGene00194930</v>
      </c>
      <c r="B18267" s="9" t="str">
        <f>HYPERLINK("http://www.ncbi.nlm.nih.gov/gene/13205219", "13205219")</f>
        <v>13205219</v>
      </c>
      <c r="C18267" s="9"/>
      <c r="D18267" t="str">
        <f>"Y73F8A.1159"</f>
        <v>Y73F8A.1159</v>
      </c>
      <c r="F18267" t="s">
        <v>11</v>
      </c>
      <c r="H18267" s="12">
        <v>2.4578120077400301</v>
      </c>
      <c r="I18267" s="20">
        <v>0.26093350314551</v>
      </c>
      <c r="J18267" s="28">
        <v>0.79414378780213601</v>
      </c>
      <c r="K18267" s="29">
        <v>0.98289565623980701</v>
      </c>
    </row>
    <row r="18268" spans="1:11" x14ac:dyDescent="0.35">
      <c r="A18268" s="9" t="str">
        <f>HYPERLINK("http://www.ensembl.org/id/WBGene00206491", "WBGene00206491")</f>
        <v>WBGene00206491</v>
      </c>
      <c r="B18268" s="9"/>
      <c r="C18268" s="9"/>
      <c r="D18268" t="str">
        <f>"Y73F8A.1173"</f>
        <v>Y73F8A.1173</v>
      </c>
      <c r="F18268" t="s">
        <v>80</v>
      </c>
      <c r="H18268" s="12">
        <v>-1.93444979412869</v>
      </c>
      <c r="I18268" s="20">
        <v>-1.1425471547409001</v>
      </c>
      <c r="J18268" s="28">
        <v>0.25322665714084802</v>
      </c>
      <c r="K18268" s="29">
        <v>0.98289565623980701</v>
      </c>
    </row>
    <row r="18269" spans="1:11" x14ac:dyDescent="0.35">
      <c r="A18269" s="9" t="str">
        <f>HYPERLINK("http://www.ensembl.org/id/WBGene00013526", "WBGene00013526")</f>
        <v>WBGene00013526</v>
      </c>
      <c r="B18269" s="9" t="str">
        <f>HYPERLINK("http://www.ncbi.nlm.nih.gov/gene/178430", "178430")</f>
        <v>178430</v>
      </c>
      <c r="C18269" s="9"/>
      <c r="D18269" t="str">
        <f>"Y73F8A.20"</f>
        <v>Y73F8A.20</v>
      </c>
      <c r="F18269" t="s">
        <v>11</v>
      </c>
      <c r="H18269" s="12">
        <v>4.5687066199561501</v>
      </c>
      <c r="I18269" s="20">
        <v>1.12406599223979</v>
      </c>
      <c r="J18269" s="28">
        <v>0.26098503109089999</v>
      </c>
      <c r="K18269" s="29">
        <v>0.98289565623980701</v>
      </c>
    </row>
    <row r="18270" spans="1:11" x14ac:dyDescent="0.35">
      <c r="A18270" s="9" t="str">
        <f>HYPERLINK("http://www.ensembl.org/id/WBGene00013527", "WBGene00013527")</f>
        <v>WBGene00013527</v>
      </c>
      <c r="B18270" s="9" t="str">
        <f>HYPERLINK("http://www.ncbi.nlm.nih.gov/gene/190682", "190682")</f>
        <v>190682</v>
      </c>
      <c r="C18270" s="9"/>
      <c r="D18270" t="str">
        <f>"Y73F8A.22"</f>
        <v>Y73F8A.22</v>
      </c>
      <c r="F18270" t="s">
        <v>11</v>
      </c>
      <c r="H18270" s="12">
        <v>-1.7609766814701699</v>
      </c>
      <c r="I18270" s="20">
        <v>-0.359200238164539</v>
      </c>
      <c r="J18270" s="28">
        <v>0.71944529847033001</v>
      </c>
      <c r="K18270" s="29">
        <v>0.98289565623980701</v>
      </c>
    </row>
    <row r="18271" spans="1:11" x14ac:dyDescent="0.35">
      <c r="A18271" s="9" t="str">
        <f>HYPERLINK("http://www.ensembl.org/id/WBGene00013531", "WBGene00013531")</f>
        <v>WBGene00013531</v>
      </c>
      <c r="B18271" s="9" t="str">
        <f>HYPERLINK("http://www.ncbi.nlm.nih.gov/gene/178435", "178435")</f>
        <v>178435</v>
      </c>
      <c r="C18271" s="9" t="str">
        <f>HYPERLINK("http://www.ncbi.nlm.nih.gov/gene/10491", "10491")</f>
        <v>10491</v>
      </c>
      <c r="D18271" t="str">
        <f>"Y73F8A.26"</f>
        <v>Y73F8A.26</v>
      </c>
      <c r="F18271" t="s">
        <v>11</v>
      </c>
      <c r="G18271" t="s">
        <v>5801</v>
      </c>
      <c r="H18271" s="12">
        <v>1.10040400306585</v>
      </c>
      <c r="I18271" s="20">
        <v>0.42305218839616399</v>
      </c>
      <c r="J18271" s="28">
        <v>0.672257184710916</v>
      </c>
      <c r="K18271" s="29">
        <v>0.98289565623980701</v>
      </c>
    </row>
    <row r="18272" spans="1:11" x14ac:dyDescent="0.35">
      <c r="A18272" s="9" t="str">
        <f>HYPERLINK("http://www.ensembl.org/id/WBGene00013532", "WBGene00013532")</f>
        <v>WBGene00013532</v>
      </c>
      <c r="B18272" s="9" t="str">
        <f>HYPERLINK("http://www.ncbi.nlm.nih.gov/gene/178434", "178434")</f>
        <v>178434</v>
      </c>
      <c r="C18272" s="9" t="str">
        <f>HYPERLINK("http://www.ncbi.nlm.nih.gov/gene/112812", "112812")</f>
        <v>112812</v>
      </c>
      <c r="D18272" t="str">
        <f>"Y73F8A.27"</f>
        <v>Y73F8A.27</v>
      </c>
      <c r="F18272" t="s">
        <v>11</v>
      </c>
      <c r="G18272" t="s">
        <v>8952</v>
      </c>
      <c r="H18272" s="12">
        <v>-1.2104301165712901</v>
      </c>
      <c r="I18272" s="20">
        <v>-0.92255709350232395</v>
      </c>
      <c r="J18272" s="28">
        <v>0.35623806424568899</v>
      </c>
      <c r="K18272" s="29">
        <v>0.98289565623980701</v>
      </c>
    </row>
    <row r="18273" spans="1:11" x14ac:dyDescent="0.35">
      <c r="A18273" s="9" t="str">
        <f>HYPERLINK("http://www.ensembl.org/id/WBGene00013518", "WBGene00013518")</f>
        <v>WBGene00013518</v>
      </c>
      <c r="B18273" s="9" t="str">
        <f>HYPERLINK("http://www.ncbi.nlm.nih.gov/gene/178425", "178425")</f>
        <v>178425</v>
      </c>
      <c r="C18273" s="9" t="str">
        <f>HYPERLINK("http://www.ncbi.nlm.nih.gov/gene/222223", "222223")</f>
        <v>222223</v>
      </c>
      <c r="D18273" t="str">
        <f>"Y73F8A.5"</f>
        <v>Y73F8A.5</v>
      </c>
      <c r="F18273" t="s">
        <v>11</v>
      </c>
      <c r="G18273" t="s">
        <v>372</v>
      </c>
      <c r="H18273" s="12">
        <v>1.18553481419361</v>
      </c>
      <c r="I18273" s="20">
        <v>0.73521540532468399</v>
      </c>
      <c r="J18273" s="28">
        <v>0.462208318314072</v>
      </c>
      <c r="K18273" s="29">
        <v>0.98289565623980701</v>
      </c>
    </row>
    <row r="18274" spans="1:11" x14ac:dyDescent="0.35">
      <c r="A18274" s="9" t="str">
        <f>HYPERLINK("http://www.ensembl.org/id/WBGene00022280", "WBGene00022280")</f>
        <v>WBGene00022280</v>
      </c>
      <c r="B18274" s="9" t="str">
        <f>HYPERLINK("http://www.ncbi.nlm.nih.gov/gene/171806", "171806")</f>
        <v>171806</v>
      </c>
      <c r="C18274" s="9" t="str">
        <f>HYPERLINK("http://www.ncbi.nlm.nih.gov/gene/757", "757")</f>
        <v>757</v>
      </c>
      <c r="D18274" t="str">
        <f>"Y74C10AL.2"</f>
        <v>Y74C10AL.2</v>
      </c>
      <c r="F18274" t="s">
        <v>11</v>
      </c>
      <c r="G18274" t="s">
        <v>6594</v>
      </c>
      <c r="H18274" s="12">
        <v>-1.0787218996634</v>
      </c>
      <c r="I18274" s="20">
        <v>-0.38913244632320398</v>
      </c>
      <c r="J18274" s="28">
        <v>0.69717817261068304</v>
      </c>
      <c r="K18274" s="29">
        <v>0.98289565623980701</v>
      </c>
    </row>
    <row r="18275" spans="1:11" x14ac:dyDescent="0.35">
      <c r="A18275" s="9" t="str">
        <f>HYPERLINK("http://www.ensembl.org/id/WBGene00022275", "WBGene00022275")</f>
        <v>WBGene00022275</v>
      </c>
      <c r="B18275" s="9" t="str">
        <f>HYPERLINK("http://www.ncbi.nlm.nih.gov/gene/190694", "190694")</f>
        <v>190694</v>
      </c>
      <c r="C18275" s="9"/>
      <c r="D18275" t="str">
        <f>"Y74C9A.1"</f>
        <v>Y74C9A.1</v>
      </c>
      <c r="F18275" t="s">
        <v>11</v>
      </c>
      <c r="H18275" s="12">
        <v>2.2451813851413802</v>
      </c>
      <c r="I18275" s="20">
        <v>0.73931532243965703</v>
      </c>
      <c r="J18275" s="28">
        <v>0.45971554722980701</v>
      </c>
      <c r="K18275" s="29">
        <v>0.98289565623980701</v>
      </c>
    </row>
    <row r="18276" spans="1:11" x14ac:dyDescent="0.35">
      <c r="A18276" s="9" t="str">
        <f>HYPERLINK("http://www.ensembl.org/id/WBGene00013566", "WBGene00013566")</f>
        <v>WBGene00013566</v>
      </c>
      <c r="B18276" s="9" t="str">
        <f>HYPERLINK("http://www.ncbi.nlm.nih.gov/gene/190715", "190715")</f>
        <v>190715</v>
      </c>
      <c r="C18276" s="9"/>
      <c r="D18276" t="str">
        <f>"Y75B12A.2"</f>
        <v>Y75B12A.2</v>
      </c>
      <c r="F18276" t="s">
        <v>11</v>
      </c>
      <c r="G18276" t="s">
        <v>25</v>
      </c>
      <c r="H18276" s="12">
        <v>-2.5057805812971501</v>
      </c>
      <c r="I18276" s="20">
        <v>-0.36630651471395898</v>
      </c>
      <c r="J18276" s="28">
        <v>0.71413636889362797</v>
      </c>
      <c r="K18276" s="29">
        <v>0.98289565623980701</v>
      </c>
    </row>
    <row r="18277" spans="1:11" x14ac:dyDescent="0.35">
      <c r="A18277" s="9" t="str">
        <f>HYPERLINK("http://www.ensembl.org/id/WBGene00045129", "WBGene00045129")</f>
        <v>WBGene00045129</v>
      </c>
      <c r="B18277" s="9"/>
      <c r="C18277" s="9"/>
      <c r="D18277" t="str">
        <f>"Y75B12B.12"</f>
        <v>Y75B12B.12</v>
      </c>
      <c r="F18277" t="s">
        <v>2977</v>
      </c>
      <c r="H18277" s="12">
        <v>2.3893468495514898</v>
      </c>
      <c r="I18277" s="20">
        <v>0.25323547253672701</v>
      </c>
      <c r="J18277" s="28">
        <v>0.80008625651646104</v>
      </c>
      <c r="K18277" s="29">
        <v>0.98289565623980701</v>
      </c>
    </row>
    <row r="18278" spans="1:11" x14ac:dyDescent="0.35">
      <c r="A18278" s="9" t="str">
        <f>HYPERLINK("http://www.ensembl.org/id/WBGene00199049", "WBGene00199049")</f>
        <v>WBGene00199049</v>
      </c>
      <c r="B18278" s="9"/>
      <c r="C18278" s="9"/>
      <c r="D18278" t="str">
        <f>"Y75B7AL.7"</f>
        <v>Y75B7AL.7</v>
      </c>
      <c r="F18278" t="s">
        <v>481</v>
      </c>
      <c r="H18278" s="12">
        <v>4.4368407117627902</v>
      </c>
      <c r="I18278" s="20">
        <v>0.43709475933309699</v>
      </c>
      <c r="J18278" s="28">
        <v>0.66204262779770495</v>
      </c>
      <c r="K18278" s="29">
        <v>0.98289565623980701</v>
      </c>
    </row>
    <row r="18279" spans="1:11" x14ac:dyDescent="0.35">
      <c r="A18279" s="9" t="str">
        <f>HYPERLINK("http://www.ensembl.org/id/WBGene00199852", "WBGene00199852")</f>
        <v>WBGene00199852</v>
      </c>
      <c r="B18279" s="9"/>
      <c r="C18279" s="9"/>
      <c r="D18279" t="str">
        <f>"Y75B7AL.8"</f>
        <v>Y75B7AL.8</v>
      </c>
      <c r="F18279" t="s">
        <v>481</v>
      </c>
      <c r="H18279" s="12">
        <v>-2.4295389261469</v>
      </c>
      <c r="I18279" s="20">
        <v>-0.25808529976640998</v>
      </c>
      <c r="J18279" s="28">
        <v>0.79634107645457397</v>
      </c>
      <c r="K18279" s="29">
        <v>0.98289565623980701</v>
      </c>
    </row>
    <row r="18280" spans="1:11" x14ac:dyDescent="0.35">
      <c r="A18280" s="9" t="str">
        <f>HYPERLINK("http://www.ensembl.org/id/WBGene00022288", "WBGene00022288")</f>
        <v>WBGene00022288</v>
      </c>
      <c r="B18280" s="9" t="str">
        <f>HYPERLINK("http://www.ncbi.nlm.nih.gov/gene/190699", "190699")</f>
        <v>190699</v>
      </c>
      <c r="C18280" s="9"/>
      <c r="D18280" t="str">
        <f>"Y75B7B.1"</f>
        <v>Y75B7B.1</v>
      </c>
      <c r="F18280" t="s">
        <v>11</v>
      </c>
      <c r="H18280" s="12">
        <v>-1.5272967975034699</v>
      </c>
      <c r="I18280" s="20">
        <v>-0.93121258524782002</v>
      </c>
      <c r="J18280" s="28">
        <v>0.351743609050369</v>
      </c>
      <c r="K18280" s="29">
        <v>0.98289565623980701</v>
      </c>
    </row>
    <row r="18281" spans="1:11" x14ac:dyDescent="0.35">
      <c r="A18281" s="9" t="str">
        <f>HYPERLINK("http://www.ensembl.org/id/WBGene00013547", "WBGene00013547")</f>
        <v>WBGene00013547</v>
      </c>
      <c r="B18281" s="9" t="str">
        <f>HYPERLINK("http://www.ncbi.nlm.nih.gov/gene/190702", "190702")</f>
        <v>190702</v>
      </c>
      <c r="C18281" s="9"/>
      <c r="D18281" t="str">
        <f>"Y75B8A.10"</f>
        <v>Y75B8A.10</v>
      </c>
      <c r="F18281" t="s">
        <v>11</v>
      </c>
      <c r="G18281" t="s">
        <v>51</v>
      </c>
      <c r="H18281" s="12">
        <v>-1.6871740775627699</v>
      </c>
      <c r="I18281" s="20">
        <v>-0.422075823275182</v>
      </c>
      <c r="J18281" s="28">
        <v>0.67296967412958097</v>
      </c>
      <c r="K18281" s="29">
        <v>0.98289565623980701</v>
      </c>
    </row>
    <row r="18282" spans="1:11" x14ac:dyDescent="0.35">
      <c r="A18282" s="9" t="str">
        <f>HYPERLINK("http://www.ensembl.org/id/WBGene00013549", "WBGene00013549")</f>
        <v>WBGene00013549</v>
      </c>
      <c r="B18282" s="9" t="str">
        <f>HYPERLINK("http://www.ncbi.nlm.nih.gov/gene/176648", "176648")</f>
        <v>176648</v>
      </c>
      <c r="C18282" s="9"/>
      <c r="D18282" t="str">
        <f>"Y75B8A.13"</f>
        <v>Y75B8A.13</v>
      </c>
      <c r="F18282" t="s">
        <v>11</v>
      </c>
      <c r="H18282" s="12">
        <v>1.1093804593671399</v>
      </c>
      <c r="I18282" s="20">
        <v>0.49930777085352301</v>
      </c>
      <c r="J18282" s="28">
        <v>0.61756258153561105</v>
      </c>
      <c r="K18282" s="29">
        <v>0.98289565623980701</v>
      </c>
    </row>
    <row r="18283" spans="1:11" x14ac:dyDescent="0.35">
      <c r="A18283" s="9" t="str">
        <f>HYPERLINK("http://www.ensembl.org/id/WBGene00013550", "WBGene00013550")</f>
        <v>WBGene00013550</v>
      </c>
      <c r="B18283" s="9" t="str">
        <f>HYPERLINK("http://www.ncbi.nlm.nih.gov/gene/176649", "176649")</f>
        <v>176649</v>
      </c>
      <c r="C18283" s="9" t="str">
        <f>HYPERLINK("http://www.ncbi.nlm.nih.gov/gene/51184", "51184")</f>
        <v>51184</v>
      </c>
      <c r="D18283" t="str">
        <f>"Y75B8A.14"</f>
        <v>Y75B8A.14</v>
      </c>
      <c r="E18283" t="s">
        <v>8862</v>
      </c>
      <c r="F18283" t="s">
        <v>11</v>
      </c>
      <c r="G18283" t="s">
        <v>8863</v>
      </c>
      <c r="H18283" s="12">
        <v>-1.2028925945075299</v>
      </c>
      <c r="I18283" s="20">
        <v>-0.81884854120623196</v>
      </c>
      <c r="J18283" s="28">
        <v>0.41287283225947202</v>
      </c>
      <c r="K18283" s="29">
        <v>0.98289565623980701</v>
      </c>
    </row>
    <row r="18284" spans="1:11" x14ac:dyDescent="0.35">
      <c r="A18284" s="9" t="str">
        <f>HYPERLINK("http://www.ensembl.org/id/WBGene00013553", "WBGene00013553")</f>
        <v>WBGene00013553</v>
      </c>
      <c r="B18284" s="9" t="str">
        <f>HYPERLINK("http://www.ncbi.nlm.nih.gov/gene/190705", "190705")</f>
        <v>190705</v>
      </c>
      <c r="C18284" s="9"/>
      <c r="D18284" t="str">
        <f>"Y75B8A.18"</f>
        <v>Y75B8A.18</v>
      </c>
      <c r="F18284" t="s">
        <v>11</v>
      </c>
      <c r="H18284" s="12">
        <v>-1.296134760443</v>
      </c>
      <c r="I18284" s="20">
        <v>-0.94781549407863697</v>
      </c>
      <c r="J18284" s="28">
        <v>0.34322339132367802</v>
      </c>
      <c r="K18284" s="29">
        <v>0.98289565623980701</v>
      </c>
    </row>
    <row r="18285" spans="1:11" x14ac:dyDescent="0.35">
      <c r="A18285" s="9" t="str">
        <f>HYPERLINK("http://www.ensembl.org/id/WBGene00013554", "WBGene00013554")</f>
        <v>WBGene00013554</v>
      </c>
      <c r="B18285" s="9" t="str">
        <f>HYPERLINK("http://www.ncbi.nlm.nih.gov/gene/190706", "190706")</f>
        <v>190706</v>
      </c>
      <c r="C18285" s="9"/>
      <c r="D18285" t="str">
        <f>"Y75B8A.19"</f>
        <v>Y75B8A.19</v>
      </c>
      <c r="F18285" t="s">
        <v>11</v>
      </c>
      <c r="H18285" s="12">
        <v>1.2076908572251199</v>
      </c>
      <c r="I18285" s="20">
        <v>0.82529485634869204</v>
      </c>
      <c r="J18285" s="28">
        <v>0.40920421134483698</v>
      </c>
      <c r="K18285" s="29">
        <v>0.98289565623980701</v>
      </c>
    </row>
    <row r="18286" spans="1:11" x14ac:dyDescent="0.35">
      <c r="A18286" s="9" t="str">
        <f>HYPERLINK("http://www.ensembl.org/id/WBGene00013556", "WBGene00013556")</f>
        <v>WBGene00013556</v>
      </c>
      <c r="B18286" s="9" t="str">
        <f>HYPERLINK("http://www.ncbi.nlm.nih.gov/gene/190709", "190709")</f>
        <v>190709</v>
      </c>
      <c r="C18286" s="9"/>
      <c r="D18286" t="str">
        <f>"Y75B8A.23"</f>
        <v>Y75B8A.23</v>
      </c>
      <c r="F18286" t="s">
        <v>11</v>
      </c>
      <c r="H18286" s="12">
        <v>1.5514089670047899</v>
      </c>
      <c r="I18286" s="20">
        <v>0.48041188711482202</v>
      </c>
      <c r="J18286" s="28">
        <v>0.63093454345592903</v>
      </c>
      <c r="K18286" s="29">
        <v>0.98289565623980701</v>
      </c>
    </row>
    <row r="18287" spans="1:11" x14ac:dyDescent="0.35">
      <c r="A18287" s="9" t="str">
        <f>HYPERLINK("http://www.ensembl.org/id/WBGene00013558", "WBGene00013558")</f>
        <v>WBGene00013558</v>
      </c>
      <c r="B18287" s="9" t="str">
        <f>HYPERLINK("http://www.ncbi.nlm.nih.gov/gene/176654", "176654")</f>
        <v>176654</v>
      </c>
      <c r="C18287" s="9"/>
      <c r="D18287" t="str">
        <f>"Y75B8A.25"</f>
        <v>Y75B8A.25</v>
      </c>
      <c r="F18287" t="s">
        <v>11</v>
      </c>
      <c r="H18287" s="12">
        <v>-1.2443128400857399</v>
      </c>
      <c r="I18287" s="20">
        <v>-1.0276242852565101</v>
      </c>
      <c r="J18287" s="28">
        <v>0.30412659600929498</v>
      </c>
      <c r="K18287" s="29">
        <v>0.98289565623980701</v>
      </c>
    </row>
    <row r="18288" spans="1:11" x14ac:dyDescent="0.35">
      <c r="A18288" s="9" t="str">
        <f>HYPERLINK("http://www.ensembl.org/id/WBGene00013561", "WBGene00013561")</f>
        <v>WBGene00013561</v>
      </c>
      <c r="B18288" s="9" t="str">
        <f>HYPERLINK("http://www.ncbi.nlm.nih.gov/gene/176658", "176658")</f>
        <v>176658</v>
      </c>
      <c r="C18288" s="9" t="str">
        <f>HYPERLINK("http://www.ncbi.nlm.nih.gov/gene/83989", "83989")</f>
        <v>83989</v>
      </c>
      <c r="D18288" t="str">
        <f>"Y75B8A.31"</f>
        <v>Y75B8A.31</v>
      </c>
      <c r="E18288" t="s">
        <v>8207</v>
      </c>
      <c r="F18288" t="s">
        <v>11</v>
      </c>
      <c r="G18288" t="s">
        <v>8208</v>
      </c>
      <c r="H18288" s="12">
        <v>-1.1659037840881801</v>
      </c>
      <c r="I18288" s="20">
        <v>-0.66255840374092501</v>
      </c>
      <c r="J18288" s="28">
        <v>0.50761341816618</v>
      </c>
      <c r="K18288" s="29">
        <v>0.98289565623980701</v>
      </c>
    </row>
    <row r="18289" spans="1:11" x14ac:dyDescent="0.35">
      <c r="A18289" s="9" t="str">
        <f>HYPERLINK("http://www.ensembl.org/id/WBGene00013562", "WBGene00013562")</f>
        <v>WBGene00013562</v>
      </c>
      <c r="B18289" s="9" t="str">
        <f>HYPERLINK("http://www.ncbi.nlm.nih.gov/gene/176659", "176659")</f>
        <v>176659</v>
      </c>
      <c r="C18289" s="9"/>
      <c r="D18289" t="str">
        <f>"Y75B8A.32"</f>
        <v>Y75B8A.32</v>
      </c>
      <c r="F18289" t="s">
        <v>11</v>
      </c>
      <c r="H18289" s="12">
        <v>1.15953229521247</v>
      </c>
      <c r="I18289" s="20">
        <v>0.34641789571478898</v>
      </c>
      <c r="J18289" s="28">
        <v>0.72902867791804904</v>
      </c>
      <c r="K18289" s="29">
        <v>0.98289565623980701</v>
      </c>
    </row>
    <row r="18290" spans="1:11" x14ac:dyDescent="0.35">
      <c r="A18290" s="9" t="str">
        <f>HYPERLINK("http://www.ensembl.org/id/WBGene00013563", "WBGene00013563")</f>
        <v>WBGene00013563</v>
      </c>
      <c r="B18290" s="9" t="str">
        <f>HYPERLINK("http://www.ncbi.nlm.nih.gov/gene/190713", "190713")</f>
        <v>190713</v>
      </c>
      <c r="C18290" s="9"/>
      <c r="D18290" t="str">
        <f>"Y75B8A.33"</f>
        <v>Y75B8A.33</v>
      </c>
      <c r="F18290" t="s">
        <v>11</v>
      </c>
      <c r="G18290" t="s">
        <v>25</v>
      </c>
      <c r="H18290" s="12">
        <v>1.8605716289774801</v>
      </c>
      <c r="I18290" s="20">
        <v>0.52747747491373898</v>
      </c>
      <c r="J18290" s="28">
        <v>0.59786205462476805</v>
      </c>
      <c r="K18290" s="29">
        <v>0.98289565623980701</v>
      </c>
    </row>
    <row r="18291" spans="1:11" x14ac:dyDescent="0.35">
      <c r="A18291" s="9" t="str">
        <f>HYPERLINK("http://www.ensembl.org/id/WBGene00013564", "WBGene00013564")</f>
        <v>WBGene00013564</v>
      </c>
      <c r="B18291" s="9" t="str">
        <f>HYPERLINK("http://www.ncbi.nlm.nih.gov/gene/190714", "190714")</f>
        <v>190714</v>
      </c>
      <c r="C18291" s="9"/>
      <c r="D18291" t="str">
        <f>"Y75B8A.34"</f>
        <v>Y75B8A.34</v>
      </c>
      <c r="F18291" t="s">
        <v>11</v>
      </c>
      <c r="G18291" t="s">
        <v>25</v>
      </c>
      <c r="H18291" s="12">
        <v>3.02358794610968</v>
      </c>
      <c r="I18291" s="20">
        <v>1.0304795686033501</v>
      </c>
      <c r="J18291" s="28">
        <v>0.30278493847260002</v>
      </c>
      <c r="K18291" s="29">
        <v>0.98289565623980701</v>
      </c>
    </row>
    <row r="18292" spans="1:11" x14ac:dyDescent="0.35">
      <c r="A18292" s="9" t="str">
        <f>HYPERLINK("http://www.ensembl.org/id/WBGene00013565", "WBGene00013565")</f>
        <v>WBGene00013565</v>
      </c>
      <c r="B18292" s="9" t="str">
        <f>HYPERLINK("http://www.ncbi.nlm.nih.gov/gene/3565445", "3565445")</f>
        <v>3565445</v>
      </c>
      <c r="C18292" s="9"/>
      <c r="D18292" t="str">
        <f>"Y75B8A.37"</f>
        <v>Y75B8A.37</v>
      </c>
      <c r="F18292" t="s">
        <v>11</v>
      </c>
      <c r="G18292" t="s">
        <v>10104</v>
      </c>
      <c r="H18292" s="12">
        <v>-3.7261494131482999</v>
      </c>
      <c r="I18292" s="20">
        <v>-0.38454673129429601</v>
      </c>
      <c r="J18292" s="28">
        <v>0.70057326682554</v>
      </c>
      <c r="K18292" s="29">
        <v>0.98289565623980701</v>
      </c>
    </row>
    <row r="18293" spans="1:11" x14ac:dyDescent="0.35">
      <c r="A18293" s="9" t="str">
        <f>HYPERLINK("http://www.ensembl.org/id/WBGene00023483", "WBGene00023483")</f>
        <v>WBGene00023483</v>
      </c>
      <c r="B18293" s="9" t="str">
        <f>HYPERLINK("http://www.ncbi.nlm.nih.gov/gene/3565029", "3565029")</f>
        <v>3565029</v>
      </c>
      <c r="C18293" s="9"/>
      <c r="D18293" t="str">
        <f>"Y75B8A.39"</f>
        <v>Y75B8A.39</v>
      </c>
      <c r="F18293" t="s">
        <v>11</v>
      </c>
      <c r="H18293" s="12">
        <v>-4.8397801586413403</v>
      </c>
      <c r="I18293" s="20">
        <v>-0.99900290752403798</v>
      </c>
      <c r="J18293" s="28">
        <v>0.31779328280621499</v>
      </c>
      <c r="K18293" s="29">
        <v>0.98289565623980701</v>
      </c>
    </row>
    <row r="18294" spans="1:11" x14ac:dyDescent="0.35">
      <c r="A18294" s="9" t="str">
        <f>HYPERLINK("http://www.ensembl.org/id/WBGene00044000", "WBGene00044000")</f>
        <v>WBGene00044000</v>
      </c>
      <c r="B18294" s="9"/>
      <c r="C18294" s="9"/>
      <c r="D18294" t="str">
        <f>"Y75B8A.41"</f>
        <v>Y75B8A.41</v>
      </c>
      <c r="F18294" t="s">
        <v>80</v>
      </c>
      <c r="H18294" s="12">
        <v>3.5227018545059199</v>
      </c>
      <c r="I18294" s="20">
        <v>0.36849691206929103</v>
      </c>
      <c r="J18294" s="28">
        <v>0.71250274722433404</v>
      </c>
      <c r="K18294" s="29">
        <v>0.98289565623980701</v>
      </c>
    </row>
    <row r="18295" spans="1:11" x14ac:dyDescent="0.35">
      <c r="A18295" s="9" t="str">
        <f>HYPERLINK("http://www.ensembl.org/id/WBGene00196921", "WBGene00196921")</f>
        <v>WBGene00196921</v>
      </c>
      <c r="B18295" s="9"/>
      <c r="C18295" s="9"/>
      <c r="D18295" t="str">
        <f>"Y75B8A.48"</f>
        <v>Y75B8A.48</v>
      </c>
      <c r="F18295" t="s">
        <v>481</v>
      </c>
      <c r="H18295" s="12">
        <v>2.3893468495514898</v>
      </c>
      <c r="I18295" s="20">
        <v>0.25323547253672701</v>
      </c>
      <c r="J18295" s="28">
        <v>0.80008625651646104</v>
      </c>
      <c r="K18295" s="29">
        <v>0.98289565623980701</v>
      </c>
    </row>
    <row r="18296" spans="1:11" x14ac:dyDescent="0.35">
      <c r="A18296" s="9" t="str">
        <f>HYPERLINK("http://www.ensembl.org/id/WBGene00197620", "WBGene00197620")</f>
        <v>WBGene00197620</v>
      </c>
      <c r="B18296" s="9"/>
      <c r="C18296" s="9"/>
      <c r="D18296" t="str">
        <f>"Y75B8A.49"</f>
        <v>Y75B8A.49</v>
      </c>
      <c r="F18296" t="s">
        <v>481</v>
      </c>
      <c r="H18296" s="12">
        <v>2.3893468495514898</v>
      </c>
      <c r="I18296" s="20">
        <v>0.25323547253672701</v>
      </c>
      <c r="J18296" s="28">
        <v>0.80008625651646104</v>
      </c>
      <c r="K18296" s="29">
        <v>0.98289565623980701</v>
      </c>
    </row>
    <row r="18297" spans="1:11" x14ac:dyDescent="0.35">
      <c r="A18297" s="9" t="str">
        <f>HYPERLINK("http://www.ensembl.org/id/WBGene00013544", "WBGene00013544")</f>
        <v>WBGene00013544</v>
      </c>
      <c r="B18297" s="9" t="str">
        <f>HYPERLINK("http://www.ncbi.nlm.nih.gov/gene/176646", "176646")</f>
        <v>176646</v>
      </c>
      <c r="C18297" s="9"/>
      <c r="D18297" t="str">
        <f>"Y75B8A.7"</f>
        <v>Y75B8A.7</v>
      </c>
      <c r="E18297" t="s">
        <v>5243</v>
      </c>
      <c r="F18297" t="s">
        <v>11</v>
      </c>
      <c r="G18297" t="s">
        <v>5244</v>
      </c>
      <c r="H18297" s="12">
        <v>1.20677521654037</v>
      </c>
      <c r="I18297" s="20">
        <v>0.84467643479569199</v>
      </c>
      <c r="J18297" s="28">
        <v>0.39829152012394797</v>
      </c>
      <c r="K18297" s="29">
        <v>0.98289565623980701</v>
      </c>
    </row>
    <row r="18298" spans="1:11" x14ac:dyDescent="0.35">
      <c r="A18298" s="9" t="str">
        <f>HYPERLINK("http://www.ensembl.org/id/WBGene00013545", "WBGene00013545")</f>
        <v>WBGene00013545</v>
      </c>
      <c r="B18298" s="9" t="str">
        <f>HYPERLINK("http://www.ncbi.nlm.nih.gov/gene/190701", "190701")</f>
        <v>190701</v>
      </c>
      <c r="C18298" s="9"/>
      <c r="D18298" t="str">
        <f>"Y75B8A.8"</f>
        <v>Y75B8A.8</v>
      </c>
      <c r="F18298" t="s">
        <v>11</v>
      </c>
      <c r="H18298" s="12">
        <v>-1.0814723758318201</v>
      </c>
      <c r="I18298" s="20">
        <v>-0.41626673018758997</v>
      </c>
      <c r="J18298" s="28">
        <v>0.67721483481674705</v>
      </c>
      <c r="K18298" s="29">
        <v>0.98289565623980701</v>
      </c>
    </row>
    <row r="18299" spans="1:11" x14ac:dyDescent="0.35">
      <c r="A18299" s="9" t="str">
        <f>HYPERLINK("http://www.ensembl.org/id/WBGene00220210", "WBGene00220210")</f>
        <v>WBGene00220210</v>
      </c>
      <c r="B18299" s="9"/>
      <c r="C18299" s="9"/>
      <c r="D18299" t="str">
        <f>"Y76A2B.10"</f>
        <v>Y76A2B.10</v>
      </c>
      <c r="F18299" t="s">
        <v>481</v>
      </c>
      <c r="H18299" s="12">
        <v>9.9320123134608593</v>
      </c>
      <c r="I18299" s="20">
        <v>0.68366985730865304</v>
      </c>
      <c r="J18299" s="28">
        <v>0.49418366151259002</v>
      </c>
      <c r="K18299" s="29">
        <v>0.98289565623980701</v>
      </c>
    </row>
    <row r="18300" spans="1:11" x14ac:dyDescent="0.35">
      <c r="A18300" s="9" t="str">
        <f>HYPERLINK("http://www.ensembl.org/id/WBGene00013577", "WBGene00013577")</f>
        <v>WBGene00013577</v>
      </c>
      <c r="B18300" s="9" t="str">
        <f>HYPERLINK("http://www.ncbi.nlm.nih.gov/gene/176786", "176786")</f>
        <v>176786</v>
      </c>
      <c r="C18300" s="9" t="str">
        <f>HYPERLINK("http://www.ncbi.nlm.nih.gov/gene/27249", "27249")</f>
        <v>27249</v>
      </c>
      <c r="D18300" t="str">
        <f>"Y76A2B.5"</f>
        <v>Y76A2B.5</v>
      </c>
      <c r="F18300" t="s">
        <v>11</v>
      </c>
      <c r="G18300" t="s">
        <v>9001</v>
      </c>
      <c r="H18300" s="12">
        <v>-1.21268501214017</v>
      </c>
      <c r="I18300" s="20">
        <v>-1.04503822136309</v>
      </c>
      <c r="J18300" s="28">
        <v>0.29600530477890502</v>
      </c>
      <c r="K18300" s="29">
        <v>0.98289565623980701</v>
      </c>
    </row>
    <row r="18301" spans="1:11" x14ac:dyDescent="0.35">
      <c r="A18301" s="9" t="str">
        <f>HYPERLINK("http://www.ensembl.org/id/WBGene00197371", "WBGene00197371")</f>
        <v>WBGene00197371</v>
      </c>
      <c r="B18301" s="9"/>
      <c r="C18301" s="9"/>
      <c r="D18301" t="str">
        <f>"Y76A2B.8"</f>
        <v>Y76A2B.8</v>
      </c>
      <c r="F18301" t="s">
        <v>481</v>
      </c>
      <c r="H18301" s="12">
        <v>4.6989579612288797</v>
      </c>
      <c r="I18301" s="20">
        <v>0.78686392151958295</v>
      </c>
      <c r="J18301" s="28">
        <v>0.43136152949717399</v>
      </c>
      <c r="K18301" s="29">
        <v>0.98289565623980701</v>
      </c>
    </row>
    <row r="18302" spans="1:11" x14ac:dyDescent="0.35">
      <c r="A18302" s="9" t="str">
        <f>HYPERLINK("http://www.ensembl.org/id/WBGene00201856", "WBGene00201856")</f>
        <v>WBGene00201856</v>
      </c>
      <c r="B18302" s="9"/>
      <c r="C18302" s="9"/>
      <c r="D18302" t="str">
        <f>"Y76A2B.9"</f>
        <v>Y76A2B.9</v>
      </c>
      <c r="F18302" t="s">
        <v>481</v>
      </c>
      <c r="H18302" s="12">
        <v>-2.4295389261469</v>
      </c>
      <c r="I18302" s="20">
        <v>-0.25808529976640998</v>
      </c>
      <c r="J18302" s="28">
        <v>0.79634107645457397</v>
      </c>
      <c r="K18302" s="29">
        <v>0.98289565623980701</v>
      </c>
    </row>
    <row r="18303" spans="1:11" x14ac:dyDescent="0.35">
      <c r="A18303" s="9" t="str">
        <f>HYPERLINK("http://www.ensembl.org/id/WBGene00022297", "WBGene00022297")</f>
        <v>WBGene00022297</v>
      </c>
      <c r="B18303" s="9" t="str">
        <f>HYPERLINK("http://www.ncbi.nlm.nih.gov/gene/176999", "176999")</f>
        <v>176999</v>
      </c>
      <c r="C18303" s="9" t="str">
        <f>HYPERLINK("http://www.ncbi.nlm.nih.gov/gene/9403", "9403")</f>
        <v>9403</v>
      </c>
      <c r="D18303" t="str">
        <f>"Y76B12C.3"</f>
        <v>Y76B12C.3</v>
      </c>
      <c r="F18303" t="s">
        <v>11</v>
      </c>
      <c r="G18303" t="s">
        <v>6340</v>
      </c>
      <c r="H18303" s="12">
        <v>-1.0635547602953499</v>
      </c>
      <c r="I18303" s="20">
        <v>-0.31773715429247001</v>
      </c>
      <c r="J18303" s="28">
        <v>0.75068432549753605</v>
      </c>
      <c r="K18303" s="29">
        <v>0.98289565623980701</v>
      </c>
    </row>
    <row r="18304" spans="1:11" x14ac:dyDescent="0.35">
      <c r="A18304" s="9" t="str">
        <f>HYPERLINK("http://www.ensembl.org/id/WBGene00022303", "WBGene00022303")</f>
        <v>WBGene00022303</v>
      </c>
      <c r="B18304" s="9" t="str">
        <f>HYPERLINK("http://www.ncbi.nlm.nih.gov/gene/259556", "259556")</f>
        <v>259556</v>
      </c>
      <c r="C18304" s="9"/>
      <c r="D18304" t="str">
        <f>"Y76B12C.9"</f>
        <v>Y76B12C.9</v>
      </c>
      <c r="F18304" t="s">
        <v>11</v>
      </c>
      <c r="H18304" s="12">
        <v>1.3177211378156599</v>
      </c>
      <c r="I18304" s="20">
        <v>0.40222624905945098</v>
      </c>
      <c r="J18304" s="28">
        <v>0.68751752589525295</v>
      </c>
      <c r="K18304" s="29">
        <v>0.98289565623980701</v>
      </c>
    </row>
    <row r="18305" spans="1:11" x14ac:dyDescent="0.35">
      <c r="A18305" s="9" t="str">
        <f>HYPERLINK("http://www.ensembl.org/id/WBGene00022313", "WBGene00022313")</f>
        <v>WBGene00022313</v>
      </c>
      <c r="B18305" s="9" t="str">
        <f>HYPERLINK("http://www.ncbi.nlm.nih.gov/gene/259552", "259552")</f>
        <v>259552</v>
      </c>
      <c r="C18305" s="9"/>
      <c r="D18305" t="str">
        <f>"Y77E11A.12"</f>
        <v>Y77E11A.12</v>
      </c>
      <c r="F18305" t="s">
        <v>11</v>
      </c>
      <c r="G18305" t="s">
        <v>5850</v>
      </c>
      <c r="H18305" s="12">
        <v>1.0936773200425001</v>
      </c>
      <c r="I18305" s="20">
        <v>0.30323638221759303</v>
      </c>
      <c r="J18305" s="28">
        <v>0.761709724468975</v>
      </c>
      <c r="K18305" s="29">
        <v>0.98289565623980701</v>
      </c>
    </row>
    <row r="18306" spans="1:11" x14ac:dyDescent="0.35">
      <c r="A18306" s="9" t="str">
        <f>HYPERLINK("http://www.ensembl.org/id/WBGene00022314", "WBGene00022314")</f>
        <v>WBGene00022314</v>
      </c>
      <c r="B18306" s="9" t="str">
        <f>HYPERLINK("http://www.ncbi.nlm.nih.gov/gene/176949", "176949")</f>
        <v>176949</v>
      </c>
      <c r="C18306" s="9"/>
      <c r="D18306" t="str">
        <f>"Y77E11A.14"</f>
        <v>Y77E11A.14</v>
      </c>
      <c r="F18306" t="s">
        <v>11</v>
      </c>
      <c r="H18306" s="12">
        <v>1.50534732954384</v>
      </c>
      <c r="I18306" s="20">
        <v>0.80230818869109</v>
      </c>
      <c r="J18306" s="28">
        <v>0.42237470678088601</v>
      </c>
      <c r="K18306" s="29">
        <v>0.98289565623980701</v>
      </c>
    </row>
    <row r="18307" spans="1:11" x14ac:dyDescent="0.35">
      <c r="A18307" s="9" t="str">
        <f>HYPERLINK("http://www.ensembl.org/id/WBGene00044464", "WBGene00044464")</f>
        <v>WBGene00044464</v>
      </c>
      <c r="B18307" s="9" t="str">
        <f>HYPERLINK("http://www.ncbi.nlm.nih.gov/gene/3896816", "3896816")</f>
        <v>3896816</v>
      </c>
      <c r="C18307" s="9"/>
      <c r="D18307" t="str">
        <f>"Y77E11A.16"</f>
        <v>Y77E11A.16</v>
      </c>
      <c r="F18307" t="s">
        <v>11</v>
      </c>
      <c r="G18307" t="s">
        <v>25</v>
      </c>
      <c r="H18307" s="12">
        <v>1.1269920743624999</v>
      </c>
      <c r="I18307" s="20">
        <v>0.25624358208944997</v>
      </c>
      <c r="J18307" s="28">
        <v>0.79776275805522501</v>
      </c>
      <c r="K18307" s="29">
        <v>0.98289565623980701</v>
      </c>
    </row>
    <row r="18308" spans="1:11" x14ac:dyDescent="0.35">
      <c r="A18308" s="9" t="str">
        <f>HYPERLINK("http://www.ensembl.org/id/WBGene00235266", "WBGene00235266")</f>
        <v>WBGene00235266</v>
      </c>
      <c r="B18308" s="9"/>
      <c r="C18308" s="9"/>
      <c r="D18308" t="str">
        <f>"Y77E11A.22"</f>
        <v>Y77E11A.22</v>
      </c>
      <c r="F18308" t="s">
        <v>80</v>
      </c>
      <c r="H18308" s="12">
        <v>4.3847677812909902</v>
      </c>
      <c r="I18308" s="20">
        <v>1.0300775581785999</v>
      </c>
      <c r="J18308" s="28">
        <v>0.302973599086867</v>
      </c>
      <c r="K18308" s="29">
        <v>0.98289565623980701</v>
      </c>
    </row>
    <row r="18309" spans="1:11" x14ac:dyDescent="0.35">
      <c r="A18309" s="9" t="str">
        <f>HYPERLINK("http://www.ensembl.org/id/WBGene00235267", "WBGene00235267")</f>
        <v>WBGene00235267</v>
      </c>
      <c r="B18309" s="9" t="str">
        <f>HYPERLINK("http://www.ncbi.nlm.nih.gov/gene/24105244", "24105244")</f>
        <v>24105244</v>
      </c>
      <c r="C18309" s="9"/>
      <c r="D18309" t="str">
        <f>"Y77E11A.23"</f>
        <v>Y77E11A.23</v>
      </c>
      <c r="F18309" t="s">
        <v>11</v>
      </c>
      <c r="H18309" s="12">
        <v>1.1895886869276699</v>
      </c>
      <c r="I18309" s="20">
        <v>0.42445881075435499</v>
      </c>
      <c r="J18309" s="28">
        <v>0.67123123825520004</v>
      </c>
      <c r="K18309" s="29">
        <v>0.98289565623980701</v>
      </c>
    </row>
    <row r="18310" spans="1:11" x14ac:dyDescent="0.35">
      <c r="A18310" s="9" t="str">
        <f>HYPERLINK("http://www.ensembl.org/id/WBGene00022308", "WBGene00022308")</f>
        <v>WBGene00022308</v>
      </c>
      <c r="B18310" s="9"/>
      <c r="C18310" s="9"/>
      <c r="D18310" t="str">
        <f>"Y77E11A.3"</f>
        <v>Y77E11A.3</v>
      </c>
      <c r="F18310" t="s">
        <v>481</v>
      </c>
      <c r="H18310" s="12">
        <v>3.5227018545059199</v>
      </c>
      <c r="I18310" s="20">
        <v>0.36849691206929103</v>
      </c>
      <c r="J18310" s="28">
        <v>0.71250274722433404</v>
      </c>
      <c r="K18310" s="29">
        <v>0.98289565623980701</v>
      </c>
    </row>
    <row r="18311" spans="1:11" x14ac:dyDescent="0.35">
      <c r="A18311" s="9" t="str">
        <f>HYPERLINK("http://www.ensembl.org/id/WBGene00022310", "WBGene00022310")</f>
        <v>WBGene00022310</v>
      </c>
      <c r="B18311" s="9" t="str">
        <f>HYPERLINK("http://www.ncbi.nlm.nih.gov/gene/176951", "176951")</f>
        <v>176951</v>
      </c>
      <c r="C18311" s="9"/>
      <c r="D18311" t="str">
        <f>"Y77E11A.7"</f>
        <v>Y77E11A.7</v>
      </c>
      <c r="F18311" t="s">
        <v>11</v>
      </c>
      <c r="H18311" s="12">
        <v>-1.1067680146958401</v>
      </c>
      <c r="I18311" s="20">
        <v>-0.47008672334056101</v>
      </c>
      <c r="J18311" s="28">
        <v>0.63829305928083302</v>
      </c>
      <c r="K18311" s="29">
        <v>0.98289565623980701</v>
      </c>
    </row>
    <row r="18312" spans="1:11" x14ac:dyDescent="0.35">
      <c r="A18312" s="9" t="str">
        <f>HYPERLINK("http://www.ensembl.org/id/WBGene00022311", "WBGene00022311")</f>
        <v>WBGene00022311</v>
      </c>
      <c r="B18312" s="9" t="str">
        <f>HYPERLINK("http://www.ncbi.nlm.nih.gov/gene/190736", "190736")</f>
        <v>190736</v>
      </c>
      <c r="C18312" s="9"/>
      <c r="D18312" t="str">
        <f>"Y77E11A.8"</f>
        <v>Y77E11A.8</v>
      </c>
      <c r="F18312" t="s">
        <v>11</v>
      </c>
      <c r="H18312" s="12">
        <v>2.12699861069011</v>
      </c>
      <c r="I18312" s="20">
        <v>0.41552723255109197</v>
      </c>
      <c r="J18312" s="28">
        <v>0.67775598376706803</v>
      </c>
      <c r="K18312" s="29">
        <v>0.98289565623980701</v>
      </c>
    </row>
    <row r="18313" spans="1:11" x14ac:dyDescent="0.35">
      <c r="A18313" s="9" t="str">
        <f>HYPERLINK("http://www.ensembl.org/id/WBGene00196031", "WBGene00196031")</f>
        <v>WBGene00196031</v>
      </c>
      <c r="B18313" s="9"/>
      <c r="C18313" s="9"/>
      <c r="D18313" t="str">
        <f>"Y79H2A.13"</f>
        <v>Y79H2A.13</v>
      </c>
      <c r="F18313" t="s">
        <v>481</v>
      </c>
      <c r="H18313" s="12">
        <v>2.3893468495514898</v>
      </c>
      <c r="I18313" s="20">
        <v>0.25323547253672701</v>
      </c>
      <c r="J18313" s="28">
        <v>0.80008625651646104</v>
      </c>
      <c r="K18313" s="29">
        <v>0.98289565623980701</v>
      </c>
    </row>
    <row r="18314" spans="1:11" x14ac:dyDescent="0.35">
      <c r="A18314" s="9" t="str">
        <f>HYPERLINK("http://www.ensembl.org/id/WBGene00044154", "WBGene00044154")</f>
        <v>WBGene00044154</v>
      </c>
      <c r="B18314" s="9" t="str">
        <f>HYPERLINK("http://www.ncbi.nlm.nih.gov/gene/3565466", "3565466")</f>
        <v>3565466</v>
      </c>
      <c r="C18314" s="9"/>
      <c r="D18314" t="str">
        <f>"Y7A5A.10"</f>
        <v>Y7A5A.10</v>
      </c>
      <c r="F18314" t="s">
        <v>11</v>
      </c>
      <c r="H18314" s="12">
        <v>-1.63969305029634</v>
      </c>
      <c r="I18314" s="20">
        <v>-0.35402285217819401</v>
      </c>
      <c r="J18314" s="28">
        <v>0.72332175731689397</v>
      </c>
      <c r="K18314" s="29">
        <v>0.98289565623980701</v>
      </c>
    </row>
    <row r="18315" spans="1:11" x14ac:dyDescent="0.35">
      <c r="A18315" s="9" t="str">
        <f>HYPERLINK("http://www.ensembl.org/id/WBGene00044155", "WBGene00044155")</f>
        <v>WBGene00044155</v>
      </c>
      <c r="B18315" s="9"/>
      <c r="C18315" s="9"/>
      <c r="D18315" t="str">
        <f>"Y7A5A.11"</f>
        <v>Y7A5A.11</v>
      </c>
      <c r="F18315" t="s">
        <v>80</v>
      </c>
      <c r="H18315" s="12">
        <v>1.4191898069881099</v>
      </c>
      <c r="I18315" s="20">
        <v>0.28583636729823197</v>
      </c>
      <c r="J18315" s="28">
        <v>0.77500345256648595</v>
      </c>
      <c r="K18315" s="29">
        <v>0.98289565623980701</v>
      </c>
    </row>
    <row r="18316" spans="1:11" x14ac:dyDescent="0.35">
      <c r="A18316" s="9" t="str">
        <f>HYPERLINK("http://www.ensembl.org/id/WBGene00012408", "WBGene00012408")</f>
        <v>WBGene00012408</v>
      </c>
      <c r="B18316" s="9" t="str">
        <f>HYPERLINK("http://www.ncbi.nlm.nih.gov/gene/189381", "189381")</f>
        <v>189381</v>
      </c>
      <c r="C18316" s="9"/>
      <c r="D18316" t="str">
        <f>"Y7A5A.2"</f>
        <v>Y7A5A.2</v>
      </c>
      <c r="F18316" t="s">
        <v>11</v>
      </c>
      <c r="H18316" s="12">
        <v>-1.18987093983056</v>
      </c>
      <c r="I18316" s="20">
        <v>-0.30055462619761603</v>
      </c>
      <c r="J18316" s="28">
        <v>0.76375413548965398</v>
      </c>
      <c r="K18316" s="29">
        <v>0.98289565623980701</v>
      </c>
    </row>
    <row r="18317" spans="1:11" x14ac:dyDescent="0.35">
      <c r="A18317" s="9" t="str">
        <f>HYPERLINK("http://www.ensembl.org/id/WBGene00219351", "WBGene00219351")</f>
        <v>WBGene00219351</v>
      </c>
      <c r="B18317" s="9" t="str">
        <f>HYPERLINK("http://www.ncbi.nlm.nih.gov/gene/13224360", "13224360")</f>
        <v>13224360</v>
      </c>
      <c r="C18317" s="9"/>
      <c r="D18317" t="str">
        <f>"Y7A5A.20"</f>
        <v>Y7A5A.20</v>
      </c>
      <c r="F18317" t="s">
        <v>11</v>
      </c>
      <c r="H18317" s="12">
        <v>2.6112501638207299</v>
      </c>
      <c r="I18317" s="20">
        <v>0.50682746080737595</v>
      </c>
      <c r="J18317" s="28">
        <v>0.612275886561224</v>
      </c>
      <c r="K18317" s="29">
        <v>0.98289565623980701</v>
      </c>
    </row>
    <row r="18318" spans="1:11" x14ac:dyDescent="0.35">
      <c r="A18318" s="9" t="str">
        <f>HYPERLINK("http://www.ensembl.org/id/WBGene00219352", "WBGene00219352")</f>
        <v>WBGene00219352</v>
      </c>
      <c r="B18318" s="9"/>
      <c r="C18318" s="9"/>
      <c r="D18318" t="str">
        <f>"Y7A5A.21"</f>
        <v>Y7A5A.21</v>
      </c>
      <c r="F18318" t="s">
        <v>80</v>
      </c>
      <c r="H18318" s="12">
        <v>-1.50148509396631</v>
      </c>
      <c r="I18318" s="20">
        <v>-0.35724387707412902</v>
      </c>
      <c r="J18318" s="28">
        <v>0.72090924098405695</v>
      </c>
      <c r="K18318" s="29">
        <v>0.98289565623980701</v>
      </c>
    </row>
    <row r="18319" spans="1:11" x14ac:dyDescent="0.35">
      <c r="A18319" s="9" t="str">
        <f>HYPERLINK("http://www.ensembl.org/id/WBGene00235153", "WBGene00235153")</f>
        <v>WBGene00235153</v>
      </c>
      <c r="B18319" s="9"/>
      <c r="C18319" s="9"/>
      <c r="D18319" t="str">
        <f>"Y7A5A.23"</f>
        <v>Y7A5A.23</v>
      </c>
      <c r="F18319" t="s">
        <v>481</v>
      </c>
      <c r="H18319" s="12">
        <v>-6.3507302933957197</v>
      </c>
      <c r="I18319" s="20">
        <v>-0.54348709410156204</v>
      </c>
      <c r="J18319" s="28">
        <v>0.58679447442024202</v>
      </c>
      <c r="K18319" s="29">
        <v>0.98289565623980701</v>
      </c>
    </row>
    <row r="18320" spans="1:11" x14ac:dyDescent="0.35">
      <c r="A18320" s="9" t="str">
        <f>HYPERLINK("http://www.ensembl.org/id/WBGene00012411", "WBGene00012411")</f>
        <v>WBGene00012411</v>
      </c>
      <c r="B18320" s="9" t="str">
        <f>HYPERLINK("http://www.ncbi.nlm.nih.gov/gene/189384", "189384")</f>
        <v>189384</v>
      </c>
      <c r="C18320" s="9"/>
      <c r="D18320" t="str">
        <f>"Y7A5A.5"</f>
        <v>Y7A5A.5</v>
      </c>
      <c r="F18320" t="s">
        <v>11</v>
      </c>
      <c r="H18320" s="12">
        <v>16.217611553187702</v>
      </c>
      <c r="I18320" s="20">
        <v>0.94333696891586505</v>
      </c>
      <c r="J18320" s="28">
        <v>0.34550857211368002</v>
      </c>
      <c r="K18320" s="29">
        <v>0.98289565623980701</v>
      </c>
    </row>
    <row r="18321" spans="1:11" x14ac:dyDescent="0.35">
      <c r="A18321" s="9" t="str">
        <f>HYPERLINK("http://www.ensembl.org/id/WBGene00012412", "WBGene00012412")</f>
        <v>WBGene00012412</v>
      </c>
      <c r="B18321" s="9" t="str">
        <f>HYPERLINK("http://www.ncbi.nlm.nih.gov/gene/189385", "189385")</f>
        <v>189385</v>
      </c>
      <c r="C18321" s="9"/>
      <c r="D18321" t="str">
        <f>"Y7A5A.6"</f>
        <v>Y7A5A.6</v>
      </c>
      <c r="F18321" t="s">
        <v>11</v>
      </c>
      <c r="H18321" s="12">
        <v>-1.6253679648605699</v>
      </c>
      <c r="I18321" s="20">
        <v>-0.69925674237795599</v>
      </c>
      <c r="J18321" s="28">
        <v>0.48439159540563398</v>
      </c>
      <c r="K18321" s="29">
        <v>0.98289565623980701</v>
      </c>
    </row>
    <row r="18322" spans="1:11" x14ac:dyDescent="0.35">
      <c r="A18322" s="9" t="str">
        <f>HYPERLINK("http://www.ensembl.org/id/WBGene00012413", "WBGene00012413")</f>
        <v>WBGene00012413</v>
      </c>
      <c r="B18322" s="9" t="str">
        <f>HYPERLINK("http://www.ncbi.nlm.nih.gov/gene/189386", "189386")</f>
        <v>189386</v>
      </c>
      <c r="C18322" s="9"/>
      <c r="D18322" t="str">
        <f>"Y7A5A.7"</f>
        <v>Y7A5A.7</v>
      </c>
      <c r="F18322" t="s">
        <v>11</v>
      </c>
      <c r="H18322" s="12">
        <v>1.79443818773351</v>
      </c>
      <c r="I18322" s="20">
        <v>0.32176537694531998</v>
      </c>
      <c r="J18322" s="28">
        <v>0.74763044567846404</v>
      </c>
      <c r="K18322" s="29">
        <v>0.98289565623980701</v>
      </c>
    </row>
    <row r="18323" spans="1:11" x14ac:dyDescent="0.35">
      <c r="A18323" s="9" t="str">
        <f>HYPERLINK("http://www.ensembl.org/id/WBGene00012415", "WBGene00012415")</f>
        <v>WBGene00012415</v>
      </c>
      <c r="B18323" s="9" t="str">
        <f>HYPERLINK("http://www.ncbi.nlm.nih.gov/gene/189388", "189388")</f>
        <v>189388</v>
      </c>
      <c r="C18323" s="9"/>
      <c r="D18323" t="str">
        <f>"Y7A5A.9"</f>
        <v>Y7A5A.9</v>
      </c>
      <c r="F18323" t="s">
        <v>11</v>
      </c>
      <c r="H18323" s="12">
        <v>-1.9932555933675999</v>
      </c>
      <c r="I18323" s="20">
        <v>-0.45961805314512</v>
      </c>
      <c r="J18323" s="28">
        <v>0.64579039861507703</v>
      </c>
      <c r="K18323" s="29">
        <v>0.98289565623980701</v>
      </c>
    </row>
    <row r="18324" spans="1:11" x14ac:dyDescent="0.35">
      <c r="A18324" s="9" t="str">
        <f>HYPERLINK("http://www.ensembl.org/id/WBGene00012416", "WBGene00012416")</f>
        <v>WBGene00012416</v>
      </c>
      <c r="B18324" s="9" t="str">
        <f>HYPERLINK("http://www.ncbi.nlm.nih.gov/gene/178453", "178453")</f>
        <v>178453</v>
      </c>
      <c r="C18324" s="9" t="str">
        <f>HYPERLINK("http://www.ncbi.nlm.nih.gov/gene/2678", "2678")</f>
        <v>2678</v>
      </c>
      <c r="D18324" t="str">
        <f>"Y7A9A.1"</f>
        <v>Y7A9A.1</v>
      </c>
      <c r="F18324" t="s">
        <v>11</v>
      </c>
      <c r="G18324" t="s">
        <v>412</v>
      </c>
      <c r="H18324" s="12">
        <v>-1.28035206285062</v>
      </c>
      <c r="I18324" s="20">
        <v>-0.45179167625265798</v>
      </c>
      <c r="J18324" s="28">
        <v>0.65141906673053696</v>
      </c>
      <c r="K18324" s="29">
        <v>0.98289565623980701</v>
      </c>
    </row>
    <row r="18325" spans="1:11" x14ac:dyDescent="0.35">
      <c r="A18325" s="9" t="str">
        <f>HYPERLINK("http://www.ensembl.org/id/WBGene00012418", "WBGene00012418")</f>
        <v>WBGene00012418</v>
      </c>
      <c r="B18325" s="9"/>
      <c r="C18325" s="9"/>
      <c r="D18325" t="str">
        <f>"Y7A9C.1"</f>
        <v>Y7A9C.1</v>
      </c>
      <c r="F18325" t="s">
        <v>80</v>
      </c>
      <c r="H18325" s="12">
        <v>-1.1812415888064001</v>
      </c>
      <c r="I18325" s="20">
        <v>-0.44568642903071398</v>
      </c>
      <c r="J18325" s="28">
        <v>0.65582376887748906</v>
      </c>
      <c r="K18325" s="29">
        <v>0.98289565623980701</v>
      </c>
    </row>
    <row r="18326" spans="1:11" x14ac:dyDescent="0.35">
      <c r="A18326" s="9" t="str">
        <f>HYPERLINK("http://www.ensembl.org/id/WBGene00014561", "WBGene00014561")</f>
        <v>WBGene00014561</v>
      </c>
      <c r="B18326" s="9"/>
      <c r="C18326" s="9"/>
      <c r="D18326" t="str">
        <f>"Y7A9D.t3"</f>
        <v>Y7A9D.t3</v>
      </c>
      <c r="F18326" t="s">
        <v>4208</v>
      </c>
      <c r="H18326" s="12">
        <v>3.28624938312884</v>
      </c>
      <c r="I18326" s="20">
        <v>0.36379512681977599</v>
      </c>
      <c r="J18326" s="28">
        <v>0.716011001908614</v>
      </c>
      <c r="K18326" s="29">
        <v>0.98289565623980701</v>
      </c>
    </row>
    <row r="18327" spans="1:11" x14ac:dyDescent="0.35">
      <c r="A18327" s="9" t="str">
        <f>HYPERLINK("http://www.ensembl.org/id/WBGene00013589", "WBGene00013589")</f>
        <v>WBGene00013589</v>
      </c>
      <c r="B18327" s="9"/>
      <c r="C18327" s="9"/>
      <c r="D18327" t="str">
        <f>"Y80D3A.11"</f>
        <v>Y80D3A.11</v>
      </c>
      <c r="F18327" t="s">
        <v>80</v>
      </c>
      <c r="H18327" s="12">
        <v>2.4578120077400301</v>
      </c>
      <c r="I18327" s="20">
        <v>0.26093350314551</v>
      </c>
      <c r="J18327" s="28">
        <v>0.79414378780213601</v>
      </c>
      <c r="K18327" s="29">
        <v>0.98289565623980701</v>
      </c>
    </row>
    <row r="18328" spans="1:11" x14ac:dyDescent="0.35">
      <c r="A18328" s="9" t="str">
        <f>HYPERLINK("http://www.ensembl.org/id/WBGene00200094", "WBGene00200094")</f>
        <v>WBGene00200094</v>
      </c>
      <c r="B18328" s="9"/>
      <c r="C18328" s="9"/>
      <c r="D18328" t="str">
        <f>"Y80D3A.14"</f>
        <v>Y80D3A.14</v>
      </c>
      <c r="F18328" t="s">
        <v>481</v>
      </c>
      <c r="H18328" s="12">
        <v>2.3893468495514898</v>
      </c>
      <c r="I18328" s="20">
        <v>0.25323547253672701</v>
      </c>
      <c r="J18328" s="28">
        <v>0.80008625651646104</v>
      </c>
      <c r="K18328" s="29">
        <v>0.98289565623980701</v>
      </c>
    </row>
    <row r="18329" spans="1:11" x14ac:dyDescent="0.35">
      <c r="A18329" s="9" t="str">
        <f>HYPERLINK("http://www.ensembl.org/id/WBGene00013587", "WBGene00013587")</f>
        <v>WBGene00013587</v>
      </c>
      <c r="B18329" s="9" t="str">
        <f>HYPERLINK("http://www.ncbi.nlm.nih.gov/gene/190742", "190742")</f>
        <v>190742</v>
      </c>
      <c r="C18329" s="9" t="str">
        <f>HYPERLINK("http://www.ncbi.nlm.nih.gov/gene/128989", "128989")</f>
        <v>128989</v>
      </c>
      <c r="D18329" t="str">
        <f>"Y80D3A.9"</f>
        <v>Y80D3A.9</v>
      </c>
      <c r="F18329" t="s">
        <v>11</v>
      </c>
      <c r="G18329" t="s">
        <v>5068</v>
      </c>
      <c r="H18329" s="12">
        <v>1.2475646893868999</v>
      </c>
      <c r="I18329" s="20">
        <v>0.94699160469565502</v>
      </c>
      <c r="J18329" s="28">
        <v>0.34364305691320102</v>
      </c>
      <c r="K18329" s="29">
        <v>0.98289565623980701</v>
      </c>
    </row>
    <row r="18330" spans="1:11" x14ac:dyDescent="0.35">
      <c r="A18330" s="9" t="str">
        <f>HYPERLINK("http://www.ensembl.org/id/WBGene00206459", "WBGene00206459")</f>
        <v>WBGene00206459</v>
      </c>
      <c r="B18330" s="9"/>
      <c r="C18330" s="9"/>
      <c r="D18330" t="str">
        <f>"Y80D4G.1"</f>
        <v>Y80D4G.1</v>
      </c>
      <c r="F18330" t="s">
        <v>80</v>
      </c>
      <c r="H18330" s="12">
        <v>1.2128997005136399</v>
      </c>
      <c r="I18330" s="20">
        <v>0.42676343945073603</v>
      </c>
      <c r="J18330" s="28">
        <v>0.669551638324552</v>
      </c>
      <c r="K18330" s="29">
        <v>0.98289565623980701</v>
      </c>
    </row>
    <row r="18331" spans="1:11" x14ac:dyDescent="0.35">
      <c r="A18331" s="9" t="str">
        <f>HYPERLINK("http://www.ensembl.org/id/WBGene00195632", "WBGene00195632")</f>
        <v>WBGene00195632</v>
      </c>
      <c r="B18331" s="9"/>
      <c r="C18331" s="9"/>
      <c r="D18331" t="str">
        <f>"Y80E2A.1"</f>
        <v>Y80E2A.1</v>
      </c>
      <c r="F18331" t="s">
        <v>481</v>
      </c>
      <c r="H18331" s="12">
        <v>2.4239262637421901</v>
      </c>
      <c r="I18331" s="20">
        <v>0.506258789952308</v>
      </c>
      <c r="J18331" s="28">
        <v>0.61267498874071902</v>
      </c>
      <c r="K18331" s="29">
        <v>0.98289565623980701</v>
      </c>
    </row>
    <row r="18332" spans="1:11" x14ac:dyDescent="0.35">
      <c r="A18332" s="9" t="str">
        <f>HYPERLINK("http://www.ensembl.org/id/WBGene00022316", "WBGene00022316")</f>
        <v>WBGene00022316</v>
      </c>
      <c r="B18332" s="9" t="str">
        <f>HYPERLINK("http://www.ncbi.nlm.nih.gov/gene/190745", "190745")</f>
        <v>190745</v>
      </c>
      <c r="C18332" s="9"/>
      <c r="D18332" t="str">
        <f>"Y81B9A.2"</f>
        <v>Y81B9A.2</v>
      </c>
      <c r="F18332" t="s">
        <v>11</v>
      </c>
      <c r="H18332" s="12">
        <v>2.1344978147379798</v>
      </c>
      <c r="I18332" s="20">
        <v>0.83548008957563602</v>
      </c>
      <c r="J18332" s="28">
        <v>0.403447452727484</v>
      </c>
      <c r="K18332" s="29">
        <v>0.98289565623980701</v>
      </c>
    </row>
    <row r="18333" spans="1:11" x14ac:dyDescent="0.35">
      <c r="A18333" s="9" t="str">
        <f>HYPERLINK("http://www.ensembl.org/id/WBGene00013590", "WBGene00013590")</f>
        <v>WBGene00013590</v>
      </c>
      <c r="B18333" s="9" t="str">
        <f>HYPERLINK("http://www.ncbi.nlm.nih.gov/gene/190747", "190747")</f>
        <v>190747</v>
      </c>
      <c r="C18333" s="9"/>
      <c r="D18333" t="str">
        <f>"Y81G3A.1"</f>
        <v>Y81G3A.1</v>
      </c>
      <c r="F18333" t="s">
        <v>11</v>
      </c>
      <c r="H18333" s="12">
        <v>-1.83702177695769</v>
      </c>
      <c r="I18333" s="20">
        <v>-0.31846060723816</v>
      </c>
      <c r="J18333" s="28">
        <v>0.75013557126046104</v>
      </c>
      <c r="K18333" s="29">
        <v>0.98289565623980701</v>
      </c>
    </row>
    <row r="18334" spans="1:11" x14ac:dyDescent="0.35">
      <c r="A18334" s="9" t="str">
        <f>HYPERLINK("http://www.ensembl.org/id/WBGene00044402", "WBGene00044402")</f>
        <v>WBGene00044402</v>
      </c>
      <c r="B18334" s="9" t="str">
        <f>HYPERLINK("http://www.ncbi.nlm.nih.gov/gene/3565083", "3565083")</f>
        <v>3565083</v>
      </c>
      <c r="C18334" s="9"/>
      <c r="D18334" t="str">
        <f>"Y82E9BL.18"</f>
        <v>Y82E9BL.18</v>
      </c>
      <c r="F18334" t="s">
        <v>11</v>
      </c>
      <c r="G18334" t="s">
        <v>54</v>
      </c>
      <c r="H18334" s="12">
        <v>1.8424014355741301</v>
      </c>
      <c r="I18334" s="20">
        <v>0.62074216460349396</v>
      </c>
      <c r="J18334" s="28">
        <v>0.53476928201482199</v>
      </c>
      <c r="K18334" s="29">
        <v>0.98289565623980701</v>
      </c>
    </row>
    <row r="18335" spans="1:11" x14ac:dyDescent="0.35">
      <c r="A18335" s="9" t="str">
        <f>HYPERLINK("http://www.ensembl.org/id/WBGene00194735", "WBGene00194735")</f>
        <v>WBGene00194735</v>
      </c>
      <c r="B18335" s="9" t="str">
        <f>HYPERLINK("http://www.ncbi.nlm.nih.gov/gene/13188477", "13188477")</f>
        <v>13188477</v>
      </c>
      <c r="C18335" s="9"/>
      <c r="D18335" t="str">
        <f>"Y82E9BL.19"</f>
        <v>Y82E9BL.19</v>
      </c>
      <c r="F18335" t="s">
        <v>11</v>
      </c>
      <c r="H18335" s="12">
        <v>7.8691597089380902</v>
      </c>
      <c r="I18335" s="20">
        <v>0.61251365190975104</v>
      </c>
      <c r="J18335" s="28">
        <v>0.54019796842331003</v>
      </c>
      <c r="K18335" s="29">
        <v>0.98289565623980701</v>
      </c>
    </row>
    <row r="18336" spans="1:11" x14ac:dyDescent="0.35">
      <c r="A18336" s="9" t="str">
        <f>HYPERLINK("http://www.ensembl.org/id/WBGene00022320", "WBGene00022320")</f>
        <v>WBGene00022320</v>
      </c>
      <c r="B18336" s="9" t="str">
        <f>HYPERLINK("http://www.ncbi.nlm.nih.gov/gene/190752", "190752")</f>
        <v>190752</v>
      </c>
      <c r="C18336" s="9"/>
      <c r="D18336" t="str">
        <f>"Y82E9BL.3"</f>
        <v>Y82E9BL.3</v>
      </c>
      <c r="F18336" t="s">
        <v>11</v>
      </c>
      <c r="G18336" t="s">
        <v>25</v>
      </c>
      <c r="H18336" s="12">
        <v>-3.3524793510159401</v>
      </c>
      <c r="I18336" s="20">
        <v>-1.20811566994827</v>
      </c>
      <c r="J18336" s="28">
        <v>0.22700277309441899</v>
      </c>
      <c r="K18336" s="29">
        <v>0.98289565623980701</v>
      </c>
    </row>
    <row r="18337" spans="1:11" x14ac:dyDescent="0.35">
      <c r="A18337" s="9" t="str">
        <f>HYPERLINK("http://www.ensembl.org/id/WBGene00022323", "WBGene00022323")</f>
        <v>WBGene00022323</v>
      </c>
      <c r="B18337" s="9" t="str">
        <f>HYPERLINK("http://www.ncbi.nlm.nih.gov/gene/190755", "190755")</f>
        <v>190755</v>
      </c>
      <c r="C18337" s="9"/>
      <c r="D18337" t="str">
        <f>"Y82E9BL.6"</f>
        <v>Y82E9BL.6</v>
      </c>
      <c r="F18337" t="s">
        <v>11</v>
      </c>
      <c r="G18337" t="s">
        <v>25</v>
      </c>
      <c r="H18337" s="12">
        <v>-1.49560689996842</v>
      </c>
      <c r="I18337" s="20">
        <v>-0.51691125183475295</v>
      </c>
      <c r="J18337" s="28">
        <v>0.60521811267930403</v>
      </c>
      <c r="K18337" s="29">
        <v>0.98289565623980701</v>
      </c>
    </row>
    <row r="18338" spans="1:11" x14ac:dyDescent="0.35">
      <c r="A18338" s="9" t="str">
        <f>HYPERLINK("http://www.ensembl.org/id/WBGene00023395", "WBGene00023395")</f>
        <v>WBGene00023395</v>
      </c>
      <c r="B18338" s="9"/>
      <c r="C18338" s="9"/>
      <c r="D18338" t="str">
        <f>"Y82E9BL.9"</f>
        <v>Y82E9BL.9</v>
      </c>
      <c r="F18338" t="s">
        <v>80</v>
      </c>
      <c r="H18338" s="12">
        <v>1.3866348918308999</v>
      </c>
      <c r="I18338" s="20">
        <v>0.32163075217057202</v>
      </c>
      <c r="J18338" s="28">
        <v>0.74773244389075799</v>
      </c>
      <c r="K18338" s="29">
        <v>0.98289565623980701</v>
      </c>
    </row>
    <row r="18339" spans="1:11" x14ac:dyDescent="0.35">
      <c r="A18339" s="9" t="str">
        <f>HYPERLINK("http://www.ensembl.org/id/WBGene00022347", "WBGene00022347")</f>
        <v>WBGene00022347</v>
      </c>
      <c r="B18339" s="9" t="str">
        <f>HYPERLINK("http://www.ncbi.nlm.nih.gov/gene/175298", "175298")</f>
        <v>175298</v>
      </c>
      <c r="C18339" s="9" t="str">
        <f>HYPERLINK("http://www.ncbi.nlm.nih.gov/gene/51228", "51228")</f>
        <v>51228</v>
      </c>
      <c r="D18339" t="str">
        <f>"Y82E9BR.14"</f>
        <v>Y82E9BR.14</v>
      </c>
      <c r="F18339" t="s">
        <v>11</v>
      </c>
      <c r="G18339" t="s">
        <v>6913</v>
      </c>
      <c r="H18339" s="12">
        <v>-1.09682731498204</v>
      </c>
      <c r="I18339" s="20">
        <v>-0.49031503951049799</v>
      </c>
      <c r="J18339" s="28">
        <v>0.623910986292325</v>
      </c>
      <c r="K18339" s="29">
        <v>0.98289565623980701</v>
      </c>
    </row>
    <row r="18340" spans="1:11" x14ac:dyDescent="0.35">
      <c r="A18340" s="9" t="str">
        <f>HYPERLINK("http://www.ensembl.org/id/WBGene00022348", "WBGene00022348")</f>
        <v>WBGene00022348</v>
      </c>
      <c r="B18340" s="9" t="str">
        <f>HYPERLINK("http://www.ncbi.nlm.nih.gov/gene/175300", "175300")</f>
        <v>175300</v>
      </c>
      <c r="C18340" s="9"/>
      <c r="D18340" t="str">
        <f>"Y82E9BR.16"</f>
        <v>Y82E9BR.16</v>
      </c>
      <c r="F18340" t="s">
        <v>11</v>
      </c>
      <c r="G18340" t="s">
        <v>230</v>
      </c>
      <c r="H18340" s="12">
        <v>-1.22727270486669</v>
      </c>
      <c r="I18340" s="20">
        <v>-1.05444625530169</v>
      </c>
      <c r="J18340" s="28">
        <v>0.29167865448493302</v>
      </c>
      <c r="K18340" s="29">
        <v>0.98289565623980701</v>
      </c>
    </row>
    <row r="18341" spans="1:11" x14ac:dyDescent="0.35">
      <c r="A18341" s="9" t="str">
        <f>HYPERLINK("http://www.ensembl.org/id/WBGene00022352", "WBGene00022352")</f>
        <v>WBGene00022352</v>
      </c>
      <c r="B18341" s="9" t="str">
        <f>HYPERLINK("http://www.ncbi.nlm.nih.gov/gene/175295", "175295")</f>
        <v>175295</v>
      </c>
      <c r="C18341" s="9"/>
      <c r="D18341" t="str">
        <f>"Y82E9BR.20"</f>
        <v>Y82E9BR.20</v>
      </c>
      <c r="F18341" t="s">
        <v>11</v>
      </c>
      <c r="H18341" s="12">
        <v>-1.67330012503574</v>
      </c>
      <c r="I18341" s="20">
        <v>-0.44345017574518902</v>
      </c>
      <c r="J18341" s="28">
        <v>0.65744015006796397</v>
      </c>
      <c r="K18341" s="29">
        <v>0.98289565623980701</v>
      </c>
    </row>
    <row r="18342" spans="1:11" x14ac:dyDescent="0.35">
      <c r="A18342" s="9" t="str">
        <f>HYPERLINK("http://www.ensembl.org/id/WBGene00022354", "WBGene00022354")</f>
        <v>WBGene00022354</v>
      </c>
      <c r="B18342" s="9" t="str">
        <f>HYPERLINK("http://www.ncbi.nlm.nih.gov/gene/3565003", "3565003")</f>
        <v>3565003</v>
      </c>
      <c r="C18342" s="9"/>
      <c r="D18342" t="str">
        <f>"Y82E9BR.22"</f>
        <v>Y82E9BR.22</v>
      </c>
      <c r="F18342" t="s">
        <v>11</v>
      </c>
      <c r="H18342" s="12">
        <v>-1.08920024660931</v>
      </c>
      <c r="I18342" s="20">
        <v>-0.40477365764152801</v>
      </c>
      <c r="J18342" s="28">
        <v>0.68564389366704104</v>
      </c>
      <c r="K18342" s="29">
        <v>0.98289565623980701</v>
      </c>
    </row>
    <row r="18343" spans="1:11" x14ac:dyDescent="0.35">
      <c r="A18343" s="9" t="str">
        <f>HYPERLINK("http://www.ensembl.org/id/WBGene00022336", "WBGene00022336")</f>
        <v>WBGene00022336</v>
      </c>
      <c r="B18343" s="9" t="str">
        <f>HYPERLINK("http://www.ncbi.nlm.nih.gov/gene/175299", "175299")</f>
        <v>175299</v>
      </c>
      <c r="C18343" s="9"/>
      <c r="D18343" t="str">
        <f>"Y82E9BR.3"</f>
        <v>Y82E9BR.3</v>
      </c>
      <c r="E18343" t="s">
        <v>6767</v>
      </c>
      <c r="F18343" t="s">
        <v>11</v>
      </c>
      <c r="G18343" t="s">
        <v>6768</v>
      </c>
      <c r="H18343" s="12">
        <v>-1.08820689366951</v>
      </c>
      <c r="I18343" s="20">
        <v>-0.45637478937739701</v>
      </c>
      <c r="J18343" s="28">
        <v>0.64812049142312</v>
      </c>
      <c r="K18343" s="29">
        <v>0.98289565623980701</v>
      </c>
    </row>
    <row r="18344" spans="1:11" x14ac:dyDescent="0.35">
      <c r="A18344" s="9" t="str">
        <f>HYPERLINK("http://www.ensembl.org/id/WBGene00022338", "WBGene00022338")</f>
        <v>WBGene00022338</v>
      </c>
      <c r="B18344" s="9" t="str">
        <f>HYPERLINK("http://www.ncbi.nlm.nih.gov/gene/175296", "175296")</f>
        <v>175296</v>
      </c>
      <c r="C18344" s="9"/>
      <c r="D18344" t="str">
        <f>"Y82E9BR.5"</f>
        <v>Y82E9BR.5</v>
      </c>
      <c r="F18344" t="s">
        <v>11</v>
      </c>
      <c r="H18344" s="12">
        <v>-1.1964920797134899</v>
      </c>
      <c r="I18344" s="20">
        <v>-0.46340090612615698</v>
      </c>
      <c r="J18344" s="28">
        <v>0.64307702927911703</v>
      </c>
      <c r="K18344" s="29">
        <v>0.98289565623980701</v>
      </c>
    </row>
    <row r="18345" spans="1:11" x14ac:dyDescent="0.35">
      <c r="A18345" s="9" t="str">
        <f>HYPERLINK("http://www.ensembl.org/id/WBGene00022339", "WBGene00022339")</f>
        <v>WBGene00022339</v>
      </c>
      <c r="B18345" s="9" t="str">
        <f>HYPERLINK("http://www.ncbi.nlm.nih.gov/gene/190768", "190768")</f>
        <v>190768</v>
      </c>
      <c r="C18345" s="9"/>
      <c r="D18345" t="str">
        <f>"Y82E9BR.6"</f>
        <v>Y82E9BR.6</v>
      </c>
      <c r="F18345" t="s">
        <v>11</v>
      </c>
      <c r="H18345" s="12">
        <v>-1.3583909430005101</v>
      </c>
      <c r="I18345" s="20">
        <v>-0.29416612776665302</v>
      </c>
      <c r="J18345" s="28">
        <v>0.76863096224707905</v>
      </c>
      <c r="K18345" s="29">
        <v>0.98289565623980701</v>
      </c>
    </row>
    <row r="18346" spans="1:11" x14ac:dyDescent="0.35">
      <c r="A18346" s="9" t="str">
        <f>HYPERLINK("http://www.ensembl.org/id/WBGene00023195", "WBGene00023195")</f>
        <v>WBGene00023195</v>
      </c>
      <c r="B18346" s="9"/>
      <c r="C18346" s="9"/>
      <c r="D18346" t="str">
        <f>"Y82E9BR.t1"</f>
        <v>Y82E9BR.t1</v>
      </c>
      <c r="F18346" t="s">
        <v>4208</v>
      </c>
      <c r="H18346" s="12">
        <v>2.4578120077400301</v>
      </c>
      <c r="I18346" s="20">
        <v>0.26093350314551</v>
      </c>
      <c r="J18346" s="28">
        <v>0.79414378780213601</v>
      </c>
      <c r="K18346" s="29">
        <v>0.98289565623980701</v>
      </c>
    </row>
    <row r="18347" spans="1:11" x14ac:dyDescent="0.35">
      <c r="A18347" s="9" t="str">
        <f>HYPERLINK("http://www.ensembl.org/id/WBGene00013593", "WBGene00013593")</f>
        <v>WBGene00013593</v>
      </c>
      <c r="B18347" s="9" t="str">
        <f>HYPERLINK("http://www.ncbi.nlm.nih.gov/gene/173221", "173221")</f>
        <v>173221</v>
      </c>
      <c r="C18347" s="9"/>
      <c r="D18347" t="str">
        <f>"Y87G2A.1"</f>
        <v>Y87G2A.1</v>
      </c>
      <c r="F18347" t="s">
        <v>11</v>
      </c>
      <c r="H18347" s="12">
        <v>-1.22300469037784</v>
      </c>
      <c r="I18347" s="20">
        <v>-0.92718799294383203</v>
      </c>
      <c r="J18347" s="28">
        <v>0.353828935849898</v>
      </c>
      <c r="K18347" s="29">
        <v>0.98289565623980701</v>
      </c>
    </row>
    <row r="18348" spans="1:11" x14ac:dyDescent="0.35">
      <c r="A18348" s="9" t="str">
        <f>HYPERLINK("http://www.ensembl.org/id/WBGene00013594", "WBGene00013594")</f>
        <v>WBGene00013594</v>
      </c>
      <c r="B18348" s="9" t="str">
        <f>HYPERLINK("http://www.ncbi.nlm.nih.gov/gene/173222", "173222")</f>
        <v>173222</v>
      </c>
      <c r="C18348" s="9"/>
      <c r="D18348" t="str">
        <f>"Y87G2A.2"</f>
        <v>Y87G2A.2</v>
      </c>
      <c r="F18348" t="s">
        <v>11</v>
      </c>
      <c r="G18348" t="s">
        <v>4467</v>
      </c>
      <c r="H18348" s="12">
        <v>-1.22904740383259</v>
      </c>
      <c r="I18348" s="20">
        <v>-0.976591087139144</v>
      </c>
      <c r="J18348" s="28">
        <v>0.328771633347819</v>
      </c>
      <c r="K18348" s="29">
        <v>0.98289565623980701</v>
      </c>
    </row>
    <row r="18349" spans="1:11" x14ac:dyDescent="0.35">
      <c r="A18349" s="9" t="str">
        <f>HYPERLINK("http://www.ensembl.org/id/WBGene00044261", "WBGene00044261")</f>
        <v>WBGene00044261</v>
      </c>
      <c r="B18349" s="9" t="str">
        <f>HYPERLINK("http://www.ncbi.nlm.nih.gov/gene/3565705", "3565705")</f>
        <v>3565705</v>
      </c>
      <c r="C18349" s="9"/>
      <c r="D18349" t="str">
        <f>"Y87G2A.20"</f>
        <v>Y87G2A.20</v>
      </c>
      <c r="F18349" t="s">
        <v>11</v>
      </c>
      <c r="H18349" s="12">
        <v>-2.3556599569054701</v>
      </c>
      <c r="I18349" s="20">
        <v>-0.53573707426066197</v>
      </c>
      <c r="J18349" s="28">
        <v>0.59214027693472904</v>
      </c>
      <c r="K18349" s="29">
        <v>0.98289565623980701</v>
      </c>
    </row>
    <row r="18350" spans="1:11" x14ac:dyDescent="0.35">
      <c r="A18350" s="9" t="str">
        <f>HYPERLINK("http://www.ensembl.org/id/WBGene00219288", "WBGene00219288")</f>
        <v>WBGene00219288</v>
      </c>
      <c r="B18350" s="9" t="str">
        <f>HYPERLINK("http://www.ncbi.nlm.nih.gov/gene/13182797", "13182797")</f>
        <v>13182797</v>
      </c>
      <c r="C18350" s="9"/>
      <c r="D18350" t="str">
        <f>"Y87G2A.25"</f>
        <v>Y87G2A.25</v>
      </c>
      <c r="F18350" t="s">
        <v>11</v>
      </c>
      <c r="G18350" t="s">
        <v>25</v>
      </c>
      <c r="H18350" s="12">
        <v>1.0856261945699299</v>
      </c>
      <c r="I18350" s="20">
        <v>0.25852354611390099</v>
      </c>
      <c r="J18350" s="28">
        <v>0.79600287922596702</v>
      </c>
      <c r="K18350" s="29">
        <v>0.98289565623980701</v>
      </c>
    </row>
    <row r="18351" spans="1:11" x14ac:dyDescent="0.35">
      <c r="A18351" s="9" t="str">
        <f>HYPERLINK("http://www.ensembl.org/id/WBGene00021172", "WBGene00021172")</f>
        <v>WBGene00021172</v>
      </c>
      <c r="B18351" s="9" t="str">
        <f>HYPERLINK("http://www.ncbi.nlm.nih.gov/gene/189400", "189400")</f>
        <v>189400</v>
      </c>
      <c r="C18351" s="9"/>
      <c r="D18351" t="str">
        <f>"Y8A9A.3"</f>
        <v>Y8A9A.3</v>
      </c>
      <c r="F18351" t="s">
        <v>11</v>
      </c>
      <c r="H18351" s="12">
        <v>2.78439855825608</v>
      </c>
      <c r="I18351" s="20">
        <v>0.36883734123397499</v>
      </c>
      <c r="J18351" s="28">
        <v>0.71224896970152196</v>
      </c>
      <c r="K18351" s="29">
        <v>0.98289565623980701</v>
      </c>
    </row>
    <row r="18352" spans="1:11" x14ac:dyDescent="0.35">
      <c r="A18352" s="9" t="str">
        <f>HYPERLINK("http://www.ensembl.org/id/WBGene00021173", "WBGene00021173")</f>
        <v>WBGene00021173</v>
      </c>
      <c r="B18352" s="9" t="str">
        <f>HYPERLINK("http://www.ncbi.nlm.nih.gov/gene/189401", "189401")</f>
        <v>189401</v>
      </c>
      <c r="C18352" s="9"/>
      <c r="D18352" t="str">
        <f>"Y8A9A.4"</f>
        <v>Y8A9A.4</v>
      </c>
      <c r="F18352" t="s">
        <v>11</v>
      </c>
      <c r="H18352" s="12">
        <v>-4.8642129455176804</v>
      </c>
      <c r="I18352" s="20">
        <v>-0.70168145516352298</v>
      </c>
      <c r="J18352" s="28">
        <v>0.48287784070397299</v>
      </c>
      <c r="K18352" s="29">
        <v>0.98289565623980701</v>
      </c>
    </row>
    <row r="18353" spans="1:11" x14ac:dyDescent="0.35">
      <c r="A18353" s="9" t="str">
        <f>HYPERLINK("http://www.ensembl.org/id/WBGene00022360", "WBGene00022360")</f>
        <v>WBGene00022360</v>
      </c>
      <c r="B18353" s="9" t="str">
        <f>HYPERLINK("http://www.ncbi.nlm.nih.gov/gene/3565441", "3565441")</f>
        <v>3565441</v>
      </c>
      <c r="C18353" s="9" t="str">
        <f>HYPERLINK("http://www.ncbi.nlm.nih.gov/gene/65123", "65123")</f>
        <v>65123</v>
      </c>
      <c r="D18353" t="str">
        <f>"Y92H12A.4"</f>
        <v>Y92H12A.4</v>
      </c>
      <c r="F18353" t="s">
        <v>11</v>
      </c>
      <c r="H18353" s="12">
        <v>-1.05715619058187</v>
      </c>
      <c r="I18353" s="20">
        <v>-0.254247411060537</v>
      </c>
      <c r="J18353" s="28">
        <v>0.79930442493484599</v>
      </c>
      <c r="K18353" s="29">
        <v>0.98289565623980701</v>
      </c>
    </row>
    <row r="18354" spans="1:11" x14ac:dyDescent="0.35">
      <c r="A18354" s="9" t="str">
        <f>HYPERLINK("http://www.ensembl.org/id/WBGene00022361", "WBGene00022361")</f>
        <v>WBGene00022361</v>
      </c>
      <c r="B18354" s="9" t="str">
        <f>HYPERLINK("http://www.ncbi.nlm.nih.gov/gene/171716", "171716")</f>
        <v>171716</v>
      </c>
      <c r="C18354" s="9"/>
      <c r="D18354" t="str">
        <f>"Y92H12A.5"</f>
        <v>Y92H12A.5</v>
      </c>
      <c r="F18354" t="s">
        <v>11</v>
      </c>
      <c r="G18354" t="s">
        <v>7964</v>
      </c>
      <c r="H18354" s="12">
        <v>-1.15317292513342</v>
      </c>
      <c r="I18354" s="20">
        <v>-0.74388838406281199</v>
      </c>
      <c r="J18354" s="28">
        <v>0.45694400335389102</v>
      </c>
      <c r="K18354" s="29">
        <v>0.98289565623980701</v>
      </c>
    </row>
    <row r="18355" spans="1:11" x14ac:dyDescent="0.35">
      <c r="A18355" s="9" t="str">
        <f>HYPERLINK("http://www.ensembl.org/id/WBGene00022363", "WBGene00022363")</f>
        <v>WBGene00022363</v>
      </c>
      <c r="B18355" s="9" t="str">
        <f>HYPERLINK("http://www.ncbi.nlm.nih.gov/gene/190786", "190786")</f>
        <v>190786</v>
      </c>
      <c r="C18355" s="9" t="str">
        <f>HYPERLINK("http://www.ncbi.nlm.nih.gov/gene/54901", "54901")</f>
        <v>54901</v>
      </c>
      <c r="D18355" t="str">
        <f>"Y92H12BL.1"</f>
        <v>Y92H12BL.1</v>
      </c>
      <c r="E18355" t="s">
        <v>6343</v>
      </c>
      <c r="F18355" t="s">
        <v>11</v>
      </c>
      <c r="G18355" t="s">
        <v>6344</v>
      </c>
      <c r="H18355" s="12">
        <v>-1.0638440479942299</v>
      </c>
      <c r="I18355" s="20">
        <v>-0.273207752141785</v>
      </c>
      <c r="J18355" s="28">
        <v>0.78469352124796299</v>
      </c>
      <c r="K18355" s="29">
        <v>0.98289565623980701</v>
      </c>
    </row>
    <row r="18356" spans="1:11" x14ac:dyDescent="0.35">
      <c r="A18356" s="9" t="str">
        <f>HYPERLINK("http://www.ensembl.org/id/WBGene00022366", "WBGene00022366")</f>
        <v>WBGene00022366</v>
      </c>
      <c r="B18356" s="9" t="str">
        <f>HYPERLINK("http://www.ncbi.nlm.nih.gov/gene/259365", "259365")</f>
        <v>259365</v>
      </c>
      <c r="C18356" s="9" t="str">
        <f>HYPERLINK("http://www.ncbi.nlm.nih.gov/gene/11165", "11165")</f>
        <v>11165</v>
      </c>
      <c r="D18356" t="str">
        <f>"Y92H12BL.5"</f>
        <v>Y92H12BL.5</v>
      </c>
      <c r="F18356" t="s">
        <v>11</v>
      </c>
      <c r="G18356" t="s">
        <v>5253</v>
      </c>
      <c r="H18356" s="12">
        <v>1.20359948447522</v>
      </c>
      <c r="I18356" s="20">
        <v>0.780952157742553</v>
      </c>
      <c r="J18356" s="28">
        <v>0.43483063369723601</v>
      </c>
      <c r="K18356" s="29">
        <v>0.98289565623980701</v>
      </c>
    </row>
    <row r="18357" spans="1:11" x14ac:dyDescent="0.35">
      <c r="A18357" s="9" t="str">
        <f>HYPERLINK("http://www.ensembl.org/id/WBGene00022368", "WBGene00022368")</f>
        <v>WBGene00022368</v>
      </c>
      <c r="B18357" s="9" t="str">
        <f>HYPERLINK("http://www.ncbi.nlm.nih.gov/gene/171706", "171706")</f>
        <v>171706</v>
      </c>
      <c r="C18357" s="9"/>
      <c r="D18357" t="str">
        <f>"Y92H12BR.2"</f>
        <v>Y92H12BR.2</v>
      </c>
      <c r="F18357" t="s">
        <v>11</v>
      </c>
      <c r="H18357" s="12">
        <v>-1.06961852568766</v>
      </c>
      <c r="I18357" s="20">
        <v>-0.31987667627227601</v>
      </c>
      <c r="J18357" s="28">
        <v>0.74906181931262505</v>
      </c>
      <c r="K18357" s="29">
        <v>0.98289565623980701</v>
      </c>
    </row>
    <row r="18358" spans="1:11" x14ac:dyDescent="0.35">
      <c r="A18358" s="9" t="str">
        <f>HYPERLINK("http://www.ensembl.org/id/WBGene00022369", "WBGene00022369")</f>
        <v>WBGene00022369</v>
      </c>
      <c r="B18358" s="9" t="str">
        <f>HYPERLINK("http://www.ncbi.nlm.nih.gov/gene/171707", "171707")</f>
        <v>171707</v>
      </c>
      <c r="C18358" s="9"/>
      <c r="D18358" t="str">
        <f>"Y92H12BR.3"</f>
        <v>Y92H12BR.3</v>
      </c>
      <c r="F18358" t="s">
        <v>11</v>
      </c>
      <c r="G18358" t="s">
        <v>25</v>
      </c>
      <c r="H18358" s="12">
        <v>-1.1430114481717599</v>
      </c>
      <c r="I18358" s="20">
        <v>-0.71751958839375296</v>
      </c>
      <c r="J18358" s="28">
        <v>0.47305355418811701</v>
      </c>
      <c r="K18358" s="29">
        <v>0.98289565623980701</v>
      </c>
    </row>
    <row r="18359" spans="1:11" x14ac:dyDescent="0.35">
      <c r="A18359" s="9" t="str">
        <f>HYPERLINK("http://www.ensembl.org/id/WBGene00022370", "WBGene00022370")</f>
        <v>WBGene00022370</v>
      </c>
      <c r="B18359" s="9"/>
      <c r="C18359" s="9"/>
      <c r="D18359" t="str">
        <f>"Y92H12BR.4"</f>
        <v>Y92H12BR.4</v>
      </c>
      <c r="F18359" t="s">
        <v>80</v>
      </c>
      <c r="H18359" s="12">
        <v>1.6104512782456399</v>
      </c>
      <c r="I18359" s="20">
        <v>0.933874622568305</v>
      </c>
      <c r="J18359" s="28">
        <v>0.350368570782567</v>
      </c>
      <c r="K18359" s="29">
        <v>0.98289565623980701</v>
      </c>
    </row>
    <row r="18360" spans="1:11" x14ac:dyDescent="0.35">
      <c r="A18360" s="9" t="str">
        <f>HYPERLINK("http://www.ensembl.org/id/WBGene00050893", "WBGene00050893")</f>
        <v>WBGene00050893</v>
      </c>
      <c r="B18360" s="9" t="str">
        <f>HYPERLINK("http://www.ncbi.nlm.nih.gov/gene/6418709", "6418709")</f>
        <v>6418709</v>
      </c>
      <c r="C18360" s="9"/>
      <c r="D18360" t="str">
        <f>"Y94A7B.11"</f>
        <v>Y94A7B.11</v>
      </c>
      <c r="F18360" t="s">
        <v>11</v>
      </c>
      <c r="G18360" t="s">
        <v>4308</v>
      </c>
      <c r="H18360" s="12">
        <v>3.5227018545059199</v>
      </c>
      <c r="I18360" s="20">
        <v>0.36849691206929103</v>
      </c>
      <c r="J18360" s="28">
        <v>0.71250274722433404</v>
      </c>
      <c r="K18360" s="29">
        <v>0.98289565623980701</v>
      </c>
    </row>
    <row r="18361" spans="1:11" x14ac:dyDescent="0.35">
      <c r="A18361" s="9" t="str">
        <f>HYPERLINK("http://www.ensembl.org/id/WBGene00050885", "WBGene00050885")</f>
        <v>WBGene00050885</v>
      </c>
      <c r="B18361" s="9" t="str">
        <f>HYPERLINK("http://www.ncbi.nlm.nih.gov/gene/6418689", "6418689")</f>
        <v>6418689</v>
      </c>
      <c r="C18361" s="9" t="str">
        <f>HYPERLINK("http://www.ncbi.nlm.nih.gov/gene/391356", "391356")</f>
        <v>391356</v>
      </c>
      <c r="D18361" t="str">
        <f>"Y94H6A.12"</f>
        <v>Y94H6A.12</v>
      </c>
      <c r="F18361" t="s">
        <v>11</v>
      </c>
      <c r="G18361" t="s">
        <v>6956</v>
      </c>
      <c r="H18361" s="12">
        <v>-1.0999196662853901</v>
      </c>
      <c r="I18361" s="20">
        <v>-0.29314475035112197</v>
      </c>
      <c r="J18361" s="28">
        <v>0.76941151260025398</v>
      </c>
      <c r="K18361" s="29">
        <v>0.98289565623980701</v>
      </c>
    </row>
    <row r="18362" spans="1:11" x14ac:dyDescent="0.35">
      <c r="A18362" s="9" t="str">
        <f>HYPERLINK("http://www.ensembl.org/id/WBGene00220216", "WBGene00220216")</f>
        <v>WBGene00220216</v>
      </c>
      <c r="B18362" s="9"/>
      <c r="C18362" s="9"/>
      <c r="D18362" t="str">
        <f>"Y94H6A.15"</f>
        <v>Y94H6A.15</v>
      </c>
      <c r="F18362" t="s">
        <v>481</v>
      </c>
      <c r="H18362" s="12">
        <v>-7.4098134751824398</v>
      </c>
      <c r="I18362" s="20">
        <v>-0.64479448731255495</v>
      </c>
      <c r="J18362" s="28">
        <v>0.51906037484517198</v>
      </c>
      <c r="K18362" s="29">
        <v>0.98289565623980701</v>
      </c>
    </row>
    <row r="18363" spans="1:11" x14ac:dyDescent="0.35">
      <c r="A18363" s="9" t="str">
        <f>HYPERLINK("http://www.ensembl.org/id/WBGene00235346", "WBGene00235346")</f>
        <v>WBGene00235346</v>
      </c>
      <c r="B18363" s="9"/>
      <c r="C18363" s="9"/>
      <c r="D18363" t="str">
        <f>"Y94H6A.16"</f>
        <v>Y94H6A.16</v>
      </c>
      <c r="F18363" t="s">
        <v>481</v>
      </c>
      <c r="H18363" s="12">
        <v>1.1330282228173501</v>
      </c>
      <c r="I18363" s="20">
        <v>0.32674846286606701</v>
      </c>
      <c r="J18363" s="28">
        <v>0.74385814223296498</v>
      </c>
      <c r="K18363" s="29">
        <v>0.98289565623980701</v>
      </c>
    </row>
    <row r="18364" spans="1:11" x14ac:dyDescent="0.35">
      <c r="A18364" s="9" t="str">
        <f>HYPERLINK("http://www.ensembl.org/id/WBGene00022375", "WBGene00022375")</f>
        <v>WBGene00022375</v>
      </c>
      <c r="B18364" s="9" t="str">
        <f>HYPERLINK("http://www.ncbi.nlm.nih.gov/gene/190800", "190800")</f>
        <v>190800</v>
      </c>
      <c r="C18364" s="9"/>
      <c r="D18364" t="str">
        <f>"Y94H6A.2"</f>
        <v>Y94H6A.2</v>
      </c>
      <c r="F18364" t="s">
        <v>11</v>
      </c>
      <c r="H18364" s="12">
        <v>1.39907498607916</v>
      </c>
      <c r="I18364" s="20">
        <v>0.57448937685772306</v>
      </c>
      <c r="J18364" s="28">
        <v>0.56563668717599302</v>
      </c>
      <c r="K18364" s="29">
        <v>0.98289565623980701</v>
      </c>
    </row>
    <row r="18365" spans="1:11" x14ac:dyDescent="0.35">
      <c r="A18365" s="9" t="str">
        <f>HYPERLINK("http://www.ensembl.org/id/WBGene00022376", "WBGene00022376")</f>
        <v>WBGene00022376</v>
      </c>
      <c r="B18365" s="9" t="str">
        <f>HYPERLINK("http://www.ncbi.nlm.nih.gov/gene/177052", "177052")</f>
        <v>177052</v>
      </c>
      <c r="C18365" s="9"/>
      <c r="D18365" t="str">
        <f>"Y94H6A.3"</f>
        <v>Y94H6A.3</v>
      </c>
      <c r="F18365" t="s">
        <v>11</v>
      </c>
      <c r="H18365" s="12">
        <v>-1.16881839704569</v>
      </c>
      <c r="I18365" s="20">
        <v>-0.62155233280267497</v>
      </c>
      <c r="J18365" s="28">
        <v>0.53423627288257403</v>
      </c>
      <c r="K18365" s="29">
        <v>0.98289565623980701</v>
      </c>
    </row>
    <row r="18366" spans="1:11" x14ac:dyDescent="0.35">
      <c r="A18366" s="9" t="str">
        <f>HYPERLINK("http://www.ensembl.org/id/WBGene00022379", "WBGene00022379")</f>
        <v>WBGene00022379</v>
      </c>
      <c r="B18366" s="9" t="str">
        <f>HYPERLINK("http://www.ncbi.nlm.nih.gov/gene/177055", "177055")</f>
        <v>177055</v>
      </c>
      <c r="C18366" s="9" t="str">
        <f>HYPERLINK("http://www.ncbi.nlm.nih.gov/gene/52", "52")</f>
        <v>52</v>
      </c>
      <c r="D18366" t="str">
        <f>"Y94H6A.7"</f>
        <v>Y94H6A.7</v>
      </c>
      <c r="F18366" t="s">
        <v>11</v>
      </c>
      <c r="G18366" t="s">
        <v>7515</v>
      </c>
      <c r="H18366" s="12">
        <v>-1.1303146273265701</v>
      </c>
      <c r="I18366" s="20">
        <v>-0.454676782138354</v>
      </c>
      <c r="J18366" s="28">
        <v>0.649341786742333</v>
      </c>
      <c r="K18366" s="29">
        <v>0.98289565623980701</v>
      </c>
    </row>
    <row r="18367" spans="1:11" x14ac:dyDescent="0.35">
      <c r="A18367" s="9" t="str">
        <f>HYPERLINK("http://www.ensembl.org/id/WBGene00195544", "WBGene00195544")</f>
        <v>WBGene00195544</v>
      </c>
      <c r="B18367" s="9"/>
      <c r="C18367" s="9"/>
      <c r="D18367" t="str">
        <f>"Y95B8A.13"</f>
        <v>Y95B8A.13</v>
      </c>
      <c r="F18367" t="s">
        <v>481</v>
      </c>
      <c r="H18367" s="12">
        <v>3.5227018545059199</v>
      </c>
      <c r="I18367" s="20">
        <v>0.36849691206929103</v>
      </c>
      <c r="J18367" s="28">
        <v>0.71250274722433404</v>
      </c>
      <c r="K18367" s="29">
        <v>0.98289565623980701</v>
      </c>
    </row>
    <row r="18368" spans="1:11" x14ac:dyDescent="0.35">
      <c r="A18368" s="9" t="str">
        <f>HYPERLINK("http://www.ensembl.org/id/WBGene00022383", "WBGene00022383")</f>
        <v>WBGene00022383</v>
      </c>
      <c r="B18368" s="9" t="str">
        <f>HYPERLINK("http://www.ncbi.nlm.nih.gov/gene/171676", "171676")</f>
        <v>171676</v>
      </c>
      <c r="C18368" s="9"/>
      <c r="D18368" t="str">
        <f>"Y95B8A.2"</f>
        <v>Y95B8A.2</v>
      </c>
      <c r="F18368" t="s">
        <v>11</v>
      </c>
      <c r="H18368" s="12">
        <v>1.2604255482861699</v>
      </c>
      <c r="I18368" s="20">
        <v>0.74438622506219398</v>
      </c>
      <c r="J18368" s="28">
        <v>0.456642850117435</v>
      </c>
      <c r="K18368" s="29">
        <v>0.98289565623980701</v>
      </c>
    </row>
    <row r="18369" spans="1:11" x14ac:dyDescent="0.35">
      <c r="A18369" s="9" t="str">
        <f>HYPERLINK("http://www.ensembl.org/id/WBGene00022385", "WBGene00022385")</f>
        <v>WBGene00022385</v>
      </c>
      <c r="B18369" s="9" t="str">
        <f>HYPERLINK("http://www.ncbi.nlm.nih.gov/gene/190805", "190805")</f>
        <v>190805</v>
      </c>
      <c r="C18369" s="9"/>
      <c r="D18369" t="str">
        <f>"Y95B8A.4"</f>
        <v>Y95B8A.4</v>
      </c>
      <c r="F18369" t="s">
        <v>11</v>
      </c>
      <c r="G18369" t="s">
        <v>25</v>
      </c>
      <c r="H18369" s="12">
        <v>1.5018580614862</v>
      </c>
      <c r="I18369" s="20">
        <v>0.34513328519393399</v>
      </c>
      <c r="J18369" s="28">
        <v>0.72999417112119103</v>
      </c>
      <c r="K18369" s="29">
        <v>0.98289565623980701</v>
      </c>
    </row>
    <row r="18370" spans="1:11" x14ac:dyDescent="0.35">
      <c r="A18370" s="9" t="str">
        <f>HYPERLINK("http://www.ensembl.org/id/WBGene00022386", "WBGene00022386")</f>
        <v>WBGene00022386</v>
      </c>
      <c r="B18370" s="9" t="str">
        <f>HYPERLINK("http://www.ncbi.nlm.nih.gov/gene/171674", "171674")</f>
        <v>171674</v>
      </c>
      <c r="C18370" s="9"/>
      <c r="D18370" t="str">
        <f>"Y95B8A.6"</f>
        <v>Y95B8A.6</v>
      </c>
      <c r="F18370" t="s">
        <v>11</v>
      </c>
      <c r="H18370" s="12">
        <v>1.16589136287096</v>
      </c>
      <c r="I18370" s="20">
        <v>0.66197497266899896</v>
      </c>
      <c r="J18370" s="28">
        <v>0.507987261334089</v>
      </c>
      <c r="K18370" s="29">
        <v>0.98289565623980701</v>
      </c>
    </row>
    <row r="18371" spans="1:11" x14ac:dyDescent="0.35">
      <c r="A18371" s="9" t="str">
        <f>HYPERLINK("http://www.ensembl.org/id/WBGene00022388", "WBGene00022388")</f>
        <v>WBGene00022388</v>
      </c>
      <c r="B18371" s="9" t="str">
        <f>HYPERLINK("http://www.ncbi.nlm.nih.gov/gene/190806", "190806")</f>
        <v>190806</v>
      </c>
      <c r="C18371" s="9" t="str">
        <f>HYPERLINK("http://www.ncbi.nlm.nih.gov/gene/51663", "51663")</f>
        <v>51663</v>
      </c>
      <c r="D18371" t="str">
        <f>"Y95B8A.8"</f>
        <v>Y95B8A.8</v>
      </c>
      <c r="F18371" t="s">
        <v>11</v>
      </c>
      <c r="G18371" t="s">
        <v>9545</v>
      </c>
      <c r="H18371" s="12">
        <v>-1.25696684651073</v>
      </c>
      <c r="I18371" s="20">
        <v>-1.0794385366396699</v>
      </c>
      <c r="J18371" s="28">
        <v>0.28039227954761597</v>
      </c>
      <c r="K18371" s="29">
        <v>0.98289565623980701</v>
      </c>
    </row>
    <row r="18372" spans="1:11" x14ac:dyDescent="0.35">
      <c r="A18372" s="9" t="str">
        <f>HYPERLINK("http://www.ensembl.org/id/WBGene00044262", "WBGene00044262")</f>
        <v>WBGene00044262</v>
      </c>
      <c r="B18372" s="9"/>
      <c r="C18372" s="9"/>
      <c r="D18372" t="str">
        <f>"Y95D11A.2"</f>
        <v>Y95D11A.2</v>
      </c>
      <c r="F18372" t="s">
        <v>80</v>
      </c>
      <c r="H18372" s="12">
        <v>-1.8228327047853701</v>
      </c>
      <c r="I18372" s="20">
        <v>-0.62635603116629501</v>
      </c>
      <c r="J18372" s="28">
        <v>0.53108144240483202</v>
      </c>
      <c r="K18372" s="29">
        <v>0.98289565623980701</v>
      </c>
    </row>
    <row r="18373" spans="1:11" x14ac:dyDescent="0.35">
      <c r="A18373" s="9" t="str">
        <f>HYPERLINK("http://www.ensembl.org/id/WBGene00022392", "WBGene00022392")</f>
        <v>WBGene00022392</v>
      </c>
      <c r="B18373" s="9" t="str">
        <f>HYPERLINK("http://www.ncbi.nlm.nih.gov/gene/190813", "190813")</f>
        <v>190813</v>
      </c>
      <c r="C18373" s="9"/>
      <c r="D18373" t="str">
        <f>"Y97E10AL.1"</f>
        <v>Y97E10AL.1</v>
      </c>
      <c r="F18373" t="s">
        <v>11</v>
      </c>
      <c r="G18373" t="s">
        <v>25</v>
      </c>
      <c r="H18373" s="12">
        <v>1.59590444735849</v>
      </c>
      <c r="I18373" s="20">
        <v>0.61413496843918602</v>
      </c>
      <c r="J18373" s="28">
        <v>0.53912614244479296</v>
      </c>
      <c r="K18373" s="29">
        <v>0.98289565623980701</v>
      </c>
    </row>
    <row r="18374" spans="1:11" x14ac:dyDescent="0.35">
      <c r="A18374" s="9" t="str">
        <f>HYPERLINK("http://www.ensembl.org/id/WBGene00022396", "WBGene00022396")</f>
        <v>WBGene00022396</v>
      </c>
      <c r="B18374" s="9" t="str">
        <f>HYPERLINK("http://www.ncbi.nlm.nih.gov/gene/179174", "179174")</f>
        <v>179174</v>
      </c>
      <c r="C18374" s="9"/>
      <c r="D18374" t="str">
        <f>"Y97E10AR.1"</f>
        <v>Y97E10AR.1</v>
      </c>
      <c r="F18374" t="s">
        <v>11</v>
      </c>
      <c r="G18374" t="s">
        <v>54</v>
      </c>
      <c r="H18374" s="12">
        <v>-1.1240174649708099</v>
      </c>
      <c r="I18374" s="20">
        <v>-0.55540104477845997</v>
      </c>
      <c r="J18374" s="28">
        <v>0.57862037813031397</v>
      </c>
      <c r="K18374" s="29">
        <v>0.98289565623980701</v>
      </c>
    </row>
    <row r="18375" spans="1:11" x14ac:dyDescent="0.35">
      <c r="A18375" s="9" t="str">
        <f>HYPERLINK("http://www.ensembl.org/id/WBGene00022398", "WBGene00022398")</f>
        <v>WBGene00022398</v>
      </c>
      <c r="B18375" s="9" t="str">
        <f>HYPERLINK("http://www.ncbi.nlm.nih.gov/gene/179175", "179175")</f>
        <v>179175</v>
      </c>
      <c r="C18375" s="9"/>
      <c r="D18375" t="str">
        <f>"Y97E10AR.3"</f>
        <v>Y97E10AR.3</v>
      </c>
      <c r="F18375" t="s">
        <v>11</v>
      </c>
      <c r="H18375" s="12">
        <v>-1.21266441452597</v>
      </c>
      <c r="I18375" s="20">
        <v>-0.794927395600314</v>
      </c>
      <c r="J18375" s="28">
        <v>0.42665573720512701</v>
      </c>
      <c r="K18375" s="29">
        <v>0.98289565623980701</v>
      </c>
    </row>
    <row r="18376" spans="1:11" x14ac:dyDescent="0.35">
      <c r="A18376" s="9" t="str">
        <f>HYPERLINK("http://www.ensembl.org/id/WBGene00044552", "WBGene00044552")</f>
        <v>WBGene00044552</v>
      </c>
      <c r="B18376" s="9" t="str">
        <f>HYPERLINK("http://www.ncbi.nlm.nih.gov/gene/3896867", "3896867")</f>
        <v>3896867</v>
      </c>
      <c r="C18376" s="9"/>
      <c r="D18376" t="str">
        <f>"Y97E10AR.8"</f>
        <v>Y97E10AR.8</v>
      </c>
      <c r="F18376" t="s">
        <v>11</v>
      </c>
      <c r="H18376" s="12">
        <v>2.8200226561900599</v>
      </c>
      <c r="I18376" s="20">
        <v>1.08585478860642</v>
      </c>
      <c r="J18376" s="28">
        <v>0.27754324213868098</v>
      </c>
      <c r="K18376" s="29">
        <v>0.98289565623980701</v>
      </c>
    </row>
    <row r="18377" spans="1:11" x14ac:dyDescent="0.35">
      <c r="A18377" s="9" t="str">
        <f>HYPERLINK("http://www.ensembl.org/id/WBGene00022403", "WBGene00022403")</f>
        <v>WBGene00022403</v>
      </c>
      <c r="B18377" s="9" t="str">
        <f>HYPERLINK("http://www.ncbi.nlm.nih.gov/gene/190816", "190816")</f>
        <v>190816</v>
      </c>
      <c r="C18377" s="9"/>
      <c r="D18377" t="str">
        <f>"Y97E10B.1"</f>
        <v>Y97E10B.1</v>
      </c>
      <c r="F18377" t="s">
        <v>11</v>
      </c>
      <c r="G18377" t="s">
        <v>1686</v>
      </c>
      <c r="H18377" s="12">
        <v>3.5227018545059199</v>
      </c>
      <c r="I18377" s="20">
        <v>0.36849691206929103</v>
      </c>
      <c r="J18377" s="28">
        <v>0.71250274722433404</v>
      </c>
      <c r="K18377" s="29">
        <v>0.98289565623980701</v>
      </c>
    </row>
    <row r="18378" spans="1:11" x14ac:dyDescent="0.35">
      <c r="A18378" s="9" t="str">
        <f>HYPERLINK("http://www.ensembl.org/id/WBGene00022410", "WBGene00022410")</f>
        <v>WBGene00022410</v>
      </c>
      <c r="B18378" s="9" t="str">
        <f>HYPERLINK("http://www.ncbi.nlm.nih.gov/gene/259630", "259630")</f>
        <v>259630</v>
      </c>
      <c r="C18378" s="9"/>
      <c r="D18378" t="str">
        <f>"Y97E10C.1"</f>
        <v>Y97E10C.1</v>
      </c>
      <c r="F18378" t="s">
        <v>11</v>
      </c>
      <c r="H18378" s="12">
        <v>1.2241800799102001</v>
      </c>
      <c r="I18378" s="20">
        <v>1.0423451641099699</v>
      </c>
      <c r="J18378" s="28">
        <v>0.29725168007181402</v>
      </c>
      <c r="K18378" s="29">
        <v>0.98289565623980701</v>
      </c>
    </row>
    <row r="18379" spans="1:11" x14ac:dyDescent="0.35">
      <c r="A18379" s="9" t="str">
        <f>HYPERLINK("http://www.ensembl.org/id/WBGene00021185", "WBGene00021185")</f>
        <v>WBGene00021185</v>
      </c>
      <c r="B18379" s="9" t="str">
        <f>HYPERLINK("http://www.ncbi.nlm.nih.gov/gene/189424", "189424")</f>
        <v>189424</v>
      </c>
      <c r="C18379" s="9"/>
      <c r="D18379" t="str">
        <f>"Y9C12A.1"</f>
        <v>Y9C12A.1</v>
      </c>
      <c r="F18379" t="s">
        <v>11</v>
      </c>
      <c r="G18379" t="s">
        <v>25</v>
      </c>
      <c r="H18379" s="12">
        <v>-1.29818576739439</v>
      </c>
      <c r="I18379" s="20">
        <v>-1.20789484414986</v>
      </c>
      <c r="J18379" s="28">
        <v>0.22708771303675099</v>
      </c>
      <c r="K18379" s="29">
        <v>0.98289565623980701</v>
      </c>
    </row>
    <row r="18380" spans="1:11" x14ac:dyDescent="0.35">
      <c r="A18380" s="9" t="str">
        <f>HYPERLINK("http://www.ensembl.org/id/WBGene00235247", "WBGene00235247")</f>
        <v>WBGene00235247</v>
      </c>
      <c r="B18380" s="9"/>
      <c r="C18380" s="9"/>
      <c r="D18380" t="str">
        <f>"Y9C9A.111"</f>
        <v>Y9C9A.111</v>
      </c>
      <c r="F18380" t="s">
        <v>4205</v>
      </c>
      <c r="H18380" s="12">
        <v>2.4578120077400301</v>
      </c>
      <c r="I18380" s="20">
        <v>0.26093350314551</v>
      </c>
      <c r="J18380" s="28">
        <v>0.79414378780213601</v>
      </c>
      <c r="K18380" s="29">
        <v>0.98289565623980701</v>
      </c>
    </row>
    <row r="18381" spans="1:11" x14ac:dyDescent="0.35">
      <c r="A18381" s="9" t="str">
        <f>HYPERLINK("http://www.ensembl.org/id/WBGene00021180", "WBGene00021180")</f>
        <v>WBGene00021180</v>
      </c>
      <c r="B18381" s="9" t="str">
        <f>HYPERLINK("http://www.ncbi.nlm.nih.gov/gene/189418", "189418")</f>
        <v>189418</v>
      </c>
      <c r="C18381" s="9"/>
      <c r="D18381" t="str">
        <f>"Y9C9A.13"</f>
        <v>Y9C9A.13</v>
      </c>
      <c r="F18381" t="s">
        <v>11</v>
      </c>
      <c r="G18381" t="s">
        <v>4486</v>
      </c>
      <c r="H18381" s="12">
        <v>1.7168168978460201</v>
      </c>
      <c r="I18381" s="20">
        <v>0.92735541948760902</v>
      </c>
      <c r="J18381" s="28">
        <v>0.353742028991756</v>
      </c>
      <c r="K18381" s="29">
        <v>0.98289565623980701</v>
      </c>
    </row>
    <row r="18382" spans="1:11" x14ac:dyDescent="0.35">
      <c r="A18382" s="9" t="str">
        <f>HYPERLINK("http://www.ensembl.org/id/WBGene00021183", "WBGene00021183")</f>
        <v>WBGene00021183</v>
      </c>
      <c r="B18382" s="9" t="str">
        <f>HYPERLINK("http://www.ncbi.nlm.nih.gov/gene/189421", "189421")</f>
        <v>189421</v>
      </c>
      <c r="C18382" s="9" t="str">
        <f>HYPERLINK("http://www.ncbi.nlm.nih.gov/gene/58472", "58472")</f>
        <v>58472</v>
      </c>
      <c r="D18382" t="str">
        <f>"Y9C9A.16"</f>
        <v>Y9C9A.16</v>
      </c>
      <c r="F18382" t="s">
        <v>11</v>
      </c>
      <c r="G18382" t="s">
        <v>1048</v>
      </c>
      <c r="H18382" s="12">
        <v>-1.39133742149457</v>
      </c>
      <c r="I18382" s="20">
        <v>-0.87929552938814204</v>
      </c>
      <c r="J18382" s="28">
        <v>0.37924105925535001</v>
      </c>
      <c r="K18382" s="29">
        <v>0.98289565623980701</v>
      </c>
    </row>
    <row r="18383" spans="1:11" x14ac:dyDescent="0.35">
      <c r="A18383" s="9" t="str">
        <f>HYPERLINK("http://www.ensembl.org/id/WBGene00021178", "WBGene00021178")</f>
        <v>WBGene00021178</v>
      </c>
      <c r="B18383" s="9" t="str">
        <f>HYPERLINK("http://www.ncbi.nlm.nih.gov/gene/177261", "177261")</f>
        <v>177261</v>
      </c>
      <c r="C18383" s="9"/>
      <c r="D18383" t="str">
        <f>"Y9C9A.8"</f>
        <v>Y9C9A.8</v>
      </c>
      <c r="F18383" t="s">
        <v>11</v>
      </c>
      <c r="G18383" t="s">
        <v>54</v>
      </c>
      <c r="H18383" s="12">
        <v>-1.18119062014744</v>
      </c>
      <c r="I18383" s="20">
        <v>-0.45701401074439402</v>
      </c>
      <c r="J18383" s="28">
        <v>0.64766097505260201</v>
      </c>
      <c r="K18383" s="29">
        <v>0.98289565623980701</v>
      </c>
    </row>
    <row r="18384" spans="1:11" x14ac:dyDescent="0.35">
      <c r="A18384" s="9" t="str">
        <f>HYPERLINK("http://www.ensembl.org/id/WBGene00021187", "WBGene00021187")</f>
        <v>WBGene00021187</v>
      </c>
      <c r="B18384" s="9"/>
      <c r="C18384" s="9"/>
      <c r="D18384" t="str">
        <f>"Y9D1A.2"</f>
        <v>Y9D1A.2</v>
      </c>
      <c r="F18384" t="s">
        <v>80</v>
      </c>
      <c r="H18384" s="12">
        <v>-2.4991590031922399</v>
      </c>
      <c r="I18384" s="20">
        <v>-0.26577412737581302</v>
      </c>
      <c r="J18384" s="28">
        <v>0.79041317015736101</v>
      </c>
      <c r="K18384" s="29">
        <v>0.98289565623980701</v>
      </c>
    </row>
    <row r="18385" spans="1:11" x14ac:dyDescent="0.35">
      <c r="A18385" s="9" t="str">
        <f>HYPERLINK("http://www.ensembl.org/id/WBGene00013677", "WBGene00013677")</f>
        <v>WBGene00013677</v>
      </c>
      <c r="B18385" s="9" t="str">
        <f>HYPERLINK("http://www.ncbi.nlm.nih.gov/gene/173311", "173311")</f>
        <v>173311</v>
      </c>
      <c r="C18385" s="9"/>
      <c r="D18385" t="str">
        <f>"yars-1"</f>
        <v>yars-1</v>
      </c>
      <c r="E18385" t="s">
        <v>6785</v>
      </c>
      <c r="F18385" t="s">
        <v>11</v>
      </c>
      <c r="G18385" t="s">
        <v>7792</v>
      </c>
      <c r="H18385" s="12">
        <v>-1.14496596065778</v>
      </c>
      <c r="I18385" s="20">
        <v>-0.71352041391802301</v>
      </c>
      <c r="J18385" s="28">
        <v>0.47552378562368502</v>
      </c>
      <c r="K18385" s="29">
        <v>0.98289565623980701</v>
      </c>
    </row>
    <row r="18386" spans="1:11" x14ac:dyDescent="0.35">
      <c r="A18386" s="9" t="str">
        <f>HYPERLINK("http://www.ensembl.org/id/WBGene00006968", "WBGene00006968")</f>
        <v>WBGene00006968</v>
      </c>
      <c r="B18386" s="9" t="str">
        <f>HYPERLINK("http://www.ncbi.nlm.nih.gov/gene/177237", "177237")</f>
        <v>177237</v>
      </c>
      <c r="C18386" s="9" t="str">
        <f>HYPERLINK("http://www.ncbi.nlm.nih.gov/gene/51067", "51067")</f>
        <v>51067</v>
      </c>
      <c r="D18386" t="str">
        <f>"yars-2"</f>
        <v>yars-2</v>
      </c>
      <c r="E18386" t="s">
        <v>6785</v>
      </c>
      <c r="F18386" t="s">
        <v>11</v>
      </c>
      <c r="G18386" t="s">
        <v>6786</v>
      </c>
      <c r="H18386" s="12">
        <v>-1.088885086239</v>
      </c>
      <c r="I18386" s="20">
        <v>-0.40245654190617502</v>
      </c>
      <c r="J18386" s="28">
        <v>0.68734806518671698</v>
      </c>
      <c r="K18386" s="29">
        <v>0.98289565623980701</v>
      </c>
    </row>
    <row r="18387" spans="1:11" x14ac:dyDescent="0.35">
      <c r="A18387" s="9" t="str">
        <f>HYPERLINK("http://www.ensembl.org/id/WBGene00015164", "WBGene00015164")</f>
        <v>WBGene00015164</v>
      </c>
      <c r="B18387" s="9" t="str">
        <f>HYPERLINK("http://www.ncbi.nlm.nih.gov/gene/176031", "176031")</f>
        <v>176031</v>
      </c>
      <c r="C18387" s="9" t="str">
        <f>HYPERLINK("http://www.ncbi.nlm.nih.gov/gene/10652", "10652")</f>
        <v>10652</v>
      </c>
      <c r="D18387" t="str">
        <f>"ykt-6"</f>
        <v>ykt-6</v>
      </c>
      <c r="E18387" t="s">
        <v>7334</v>
      </c>
      <c r="F18387" t="s">
        <v>11</v>
      </c>
      <c r="G18387" t="s">
        <v>7335</v>
      </c>
      <c r="H18387" s="12">
        <v>-1.1198709751167299</v>
      </c>
      <c r="I18387" s="20">
        <v>-0.58183029883222603</v>
      </c>
      <c r="J18387" s="28">
        <v>0.56068099327851895</v>
      </c>
      <c r="K18387" s="29">
        <v>0.98289565623980701</v>
      </c>
    </row>
    <row r="18388" spans="1:11" x14ac:dyDescent="0.35">
      <c r="A18388" s="9" t="str">
        <f>HYPERLINK("http://www.ensembl.org/id/WBGene00010842", "WBGene00010842")</f>
        <v>WBGene00010842</v>
      </c>
      <c r="B18388" s="9" t="str">
        <f>HYPERLINK("http://www.ncbi.nlm.nih.gov/gene/176460", "176460")</f>
        <v>176460</v>
      </c>
      <c r="C18388" s="9" t="str">
        <f>HYPERLINK("http://www.ncbi.nlm.nih.gov/gene/10730", "10730")</f>
        <v>10730</v>
      </c>
      <c r="D18388" t="str">
        <f>"ymel-1"</f>
        <v>ymel-1</v>
      </c>
      <c r="E18388" t="s">
        <v>6658</v>
      </c>
      <c r="F18388" t="s">
        <v>11</v>
      </c>
      <c r="G18388" t="s">
        <v>6659</v>
      </c>
      <c r="H18388" s="12">
        <v>-1.08348531749346</v>
      </c>
      <c r="I18388" s="20">
        <v>-0.42641853455219603</v>
      </c>
      <c r="J18388" s="28">
        <v>0.66980289811632099</v>
      </c>
      <c r="K18388" s="29">
        <v>0.98289565623980701</v>
      </c>
    </row>
    <row r="18389" spans="1:11" x14ac:dyDescent="0.35">
      <c r="A18389" s="9" t="str">
        <f>HYPERLINK("http://www.ensembl.org/id/WBGene00006967", "WBGene00006967")</f>
        <v>WBGene00006967</v>
      </c>
      <c r="B18389" s="9"/>
      <c r="C18389" s="9"/>
      <c r="D18389" t="str">
        <f>"yrn-1"</f>
        <v>yrn-1</v>
      </c>
      <c r="F18389" t="s">
        <v>481</v>
      </c>
      <c r="H18389" s="12">
        <v>4.4368407117627902</v>
      </c>
      <c r="I18389" s="20">
        <v>0.43709475933309699</v>
      </c>
      <c r="J18389" s="28">
        <v>0.66204262779770495</v>
      </c>
      <c r="K18389" s="29">
        <v>0.98289565623980701</v>
      </c>
    </row>
    <row r="18390" spans="1:11" x14ac:dyDescent="0.35">
      <c r="A18390" s="9" t="str">
        <f>HYPERLINK("http://www.ensembl.org/id/WBGene00119204", "WBGene00119204")</f>
        <v>WBGene00119204</v>
      </c>
      <c r="B18390" s="9" t="str">
        <f>HYPERLINK("http://www.ncbi.nlm.nih.gov/gene/13215857", "13215857")</f>
        <v>13215857</v>
      </c>
      <c r="C18390" s="9"/>
      <c r="D18390" t="str">
        <f>"ZC116.5"</f>
        <v>ZC116.5</v>
      </c>
      <c r="F18390" t="s">
        <v>11</v>
      </c>
      <c r="H18390" s="12">
        <v>3.8937446737797901</v>
      </c>
      <c r="I18390" s="20">
        <v>0.680702948803251</v>
      </c>
      <c r="J18390" s="28">
        <v>0.49605947009503798</v>
      </c>
      <c r="K18390" s="29">
        <v>0.98289565623980701</v>
      </c>
    </row>
    <row r="18391" spans="1:11" x14ac:dyDescent="0.35">
      <c r="A18391" s="9" t="str">
        <f>HYPERLINK("http://www.ensembl.org/id/WBGene00201436", "WBGene00201436")</f>
        <v>WBGene00201436</v>
      </c>
      <c r="B18391" s="9"/>
      <c r="C18391" s="9"/>
      <c r="D18391" t="str">
        <f>"ZC123.10"</f>
        <v>ZC123.10</v>
      </c>
      <c r="F18391" t="s">
        <v>481</v>
      </c>
      <c r="H18391" s="12">
        <v>5.4871973923358901</v>
      </c>
      <c r="I18391" s="20">
        <v>0.499843548621418</v>
      </c>
      <c r="J18391" s="28">
        <v>0.61718524397184105</v>
      </c>
      <c r="K18391" s="29">
        <v>0.98289565623980701</v>
      </c>
    </row>
    <row r="18392" spans="1:11" x14ac:dyDescent="0.35">
      <c r="A18392" s="9" t="str">
        <f>HYPERLINK("http://www.ensembl.org/id/WBGene00022519", "WBGene00022519")</f>
        <v>WBGene00022519</v>
      </c>
      <c r="B18392" s="9" t="str">
        <f>HYPERLINK("http://www.ncbi.nlm.nih.gov/gene/171672", "171672")</f>
        <v>171672</v>
      </c>
      <c r="C18392" s="9" t="str">
        <f>HYPERLINK("http://www.ncbi.nlm.nih.gov/gene/5218", "5218")</f>
        <v>5218</v>
      </c>
      <c r="D18392" t="str">
        <f>"ZC123.4"</f>
        <v>ZC123.4</v>
      </c>
      <c r="F18392" t="s">
        <v>11</v>
      </c>
      <c r="G18392" t="s">
        <v>5046</v>
      </c>
      <c r="H18392" s="12">
        <v>1.2524309585400499</v>
      </c>
      <c r="I18392" s="20">
        <v>0.92431315441861694</v>
      </c>
      <c r="J18392" s="28">
        <v>0.355323295882432</v>
      </c>
      <c r="K18392" s="29">
        <v>0.98289565623980701</v>
      </c>
    </row>
    <row r="18393" spans="1:11" x14ac:dyDescent="0.35">
      <c r="A18393" s="9" t="str">
        <f>HYPERLINK("http://www.ensembl.org/id/WBGene00200506", "WBGene00200506")</f>
        <v>WBGene00200506</v>
      </c>
      <c r="B18393" s="9"/>
      <c r="C18393" s="9"/>
      <c r="D18393" t="str">
        <f>"ZC123.9"</f>
        <v>ZC123.9</v>
      </c>
      <c r="F18393" t="s">
        <v>481</v>
      </c>
      <c r="H18393" s="12">
        <v>2.3893468495514898</v>
      </c>
      <c r="I18393" s="20">
        <v>0.25323547253672701</v>
      </c>
      <c r="J18393" s="28">
        <v>0.80008625651646104</v>
      </c>
      <c r="K18393" s="29">
        <v>0.98289565623980701</v>
      </c>
    </row>
    <row r="18394" spans="1:11" x14ac:dyDescent="0.35">
      <c r="A18394" s="9" t="str">
        <f>HYPERLINK("http://www.ensembl.org/id/WBGene00022502", "WBGene00022502")</f>
        <v>WBGene00022502</v>
      </c>
      <c r="B18394" s="9" t="str">
        <f>HYPERLINK("http://www.ncbi.nlm.nih.gov/gene/180437", "180437")</f>
        <v>180437</v>
      </c>
      <c r="C18394" s="9" t="str">
        <f>HYPERLINK("http://www.ncbi.nlm.nih.gov/gene/84900", "84900")</f>
        <v>84900</v>
      </c>
      <c r="D18394" t="str">
        <f>"ZC13.1"</f>
        <v>ZC13.1</v>
      </c>
      <c r="F18394" t="s">
        <v>11</v>
      </c>
      <c r="G18394" t="s">
        <v>8684</v>
      </c>
      <c r="H18394" s="12">
        <v>-1.19049955367587</v>
      </c>
      <c r="I18394" s="20">
        <v>-0.78449970555073001</v>
      </c>
      <c r="J18394" s="28">
        <v>0.43274695464007401</v>
      </c>
      <c r="K18394" s="29">
        <v>0.98289565623980701</v>
      </c>
    </row>
    <row r="18395" spans="1:11" x14ac:dyDescent="0.35">
      <c r="A18395" s="9" t="str">
        <f>HYPERLINK("http://www.ensembl.org/id/WBGene00044557", "WBGene00044557")</f>
        <v>WBGene00044557</v>
      </c>
      <c r="B18395" s="9" t="str">
        <f>HYPERLINK("http://www.ncbi.nlm.nih.gov/gene/3896888", "3896888")</f>
        <v>3896888</v>
      </c>
      <c r="C18395" s="9"/>
      <c r="D18395" t="str">
        <f>"ZC13.10"</f>
        <v>ZC13.10</v>
      </c>
      <c r="F18395" t="s">
        <v>11</v>
      </c>
      <c r="G18395" t="s">
        <v>25</v>
      </c>
      <c r="H18395" s="12">
        <v>-1.42804073854064</v>
      </c>
      <c r="I18395" s="20">
        <v>-0.64371505529280004</v>
      </c>
      <c r="J18395" s="28">
        <v>0.51976022537815303</v>
      </c>
      <c r="K18395" s="29">
        <v>0.98289565623980701</v>
      </c>
    </row>
    <row r="18396" spans="1:11" x14ac:dyDescent="0.35">
      <c r="A18396" s="9" t="str">
        <f>HYPERLINK("http://www.ensembl.org/id/WBGene00195266", "WBGene00195266")</f>
        <v>WBGene00195266</v>
      </c>
      <c r="B18396" s="9"/>
      <c r="C18396" s="9"/>
      <c r="D18396" t="str">
        <f>"ZC132.10"</f>
        <v>ZC132.10</v>
      </c>
      <c r="F18396" t="s">
        <v>481</v>
      </c>
      <c r="H18396" s="12">
        <v>1.2497805297923199</v>
      </c>
      <c r="I18396" s="20">
        <v>0.29956349231108798</v>
      </c>
      <c r="J18396" s="28">
        <v>0.76451013484105501</v>
      </c>
      <c r="K18396" s="29">
        <v>0.98289565623980701</v>
      </c>
    </row>
    <row r="18397" spans="1:11" x14ac:dyDescent="0.35">
      <c r="A18397" s="9" t="str">
        <f>HYPERLINK("http://www.ensembl.org/id/WBGene00269432", "WBGene00269432")</f>
        <v>WBGene00269432</v>
      </c>
      <c r="B18397" s="9" t="str">
        <f>HYPERLINK("http://www.ncbi.nlm.nih.gov/gene/178827", "178827")</f>
        <v>178827</v>
      </c>
      <c r="C18397" s="9"/>
      <c r="D18397" t="str">
        <f>"ZC132.11"</f>
        <v>ZC132.11</v>
      </c>
      <c r="F18397" t="s">
        <v>11</v>
      </c>
      <c r="G18397" t="s">
        <v>25</v>
      </c>
      <c r="H18397" s="12">
        <v>1.5584508353067701</v>
      </c>
      <c r="I18397" s="20">
        <v>0.51843451020613096</v>
      </c>
      <c r="J18397" s="28">
        <v>0.60415514182932195</v>
      </c>
      <c r="K18397" s="29">
        <v>0.98289565623980701</v>
      </c>
    </row>
    <row r="18398" spans="1:11" x14ac:dyDescent="0.35">
      <c r="A18398" s="9" t="str">
        <f>HYPERLINK("http://www.ensembl.org/id/WBGene00022521", "WBGene00022521")</f>
        <v>WBGene00022521</v>
      </c>
      <c r="B18398" s="9"/>
      <c r="C18398" s="9"/>
      <c r="D18398" t="str">
        <f>"ZC132.2"</f>
        <v>ZC132.2</v>
      </c>
      <c r="F18398" t="s">
        <v>80</v>
      </c>
      <c r="H18398" s="12">
        <v>4.4368407117627902</v>
      </c>
      <c r="I18398" s="20">
        <v>0.43709475933309699</v>
      </c>
      <c r="J18398" s="28">
        <v>0.66204262779770495</v>
      </c>
      <c r="K18398" s="29">
        <v>0.98289565623980701</v>
      </c>
    </row>
    <row r="18399" spans="1:11" x14ac:dyDescent="0.35">
      <c r="A18399" s="9" t="str">
        <f>HYPERLINK("http://www.ensembl.org/id/WBGene00022526", "WBGene00022526")</f>
        <v>WBGene00022526</v>
      </c>
      <c r="B18399" s="9"/>
      <c r="C18399" s="9"/>
      <c r="D18399" t="str">
        <f>"ZC132.8"</f>
        <v>ZC132.8</v>
      </c>
      <c r="F18399" t="s">
        <v>80</v>
      </c>
      <c r="H18399" s="12">
        <v>5.1811368191421501</v>
      </c>
      <c r="I18399" s="20">
        <v>0.68391079834567003</v>
      </c>
      <c r="J18399" s="28">
        <v>0.49403149486534498</v>
      </c>
      <c r="K18399" s="29">
        <v>0.98289565623980701</v>
      </c>
    </row>
    <row r="18400" spans="1:11" x14ac:dyDescent="0.35">
      <c r="A18400" s="9" t="str">
        <f>HYPERLINK("http://www.ensembl.org/id/WBGene00045050", "WBGene00045050")</f>
        <v>WBGene00045050</v>
      </c>
      <c r="B18400" s="9" t="str">
        <f>HYPERLINK("http://www.ncbi.nlm.nih.gov/gene/4926898", "4926898")</f>
        <v>4926898</v>
      </c>
      <c r="C18400" s="9"/>
      <c r="D18400" t="str">
        <f>"ZC15.10"</f>
        <v>ZC15.10</v>
      </c>
      <c r="F18400" t="s">
        <v>11</v>
      </c>
      <c r="H18400" s="12">
        <v>1.50332337161286</v>
      </c>
      <c r="I18400" s="20">
        <v>0.64978896745693304</v>
      </c>
      <c r="J18400" s="28">
        <v>0.51582854631721498</v>
      </c>
      <c r="K18400" s="29">
        <v>0.98289565623980701</v>
      </c>
    </row>
    <row r="18401" spans="1:11" x14ac:dyDescent="0.35">
      <c r="A18401" s="9" t="str">
        <f>HYPERLINK("http://www.ensembl.org/id/WBGene00013832", "WBGene00013832")</f>
        <v>WBGene00013832</v>
      </c>
      <c r="B18401" s="9" t="str">
        <f>HYPERLINK("http://www.ncbi.nlm.nih.gov/gene/180331", "180331")</f>
        <v>180331</v>
      </c>
      <c r="C18401" s="9"/>
      <c r="D18401" t="str">
        <f>"ZC15.3"</f>
        <v>ZC15.3</v>
      </c>
      <c r="F18401" t="s">
        <v>11</v>
      </c>
      <c r="H18401" s="12">
        <v>1.4612964169456999</v>
      </c>
      <c r="I18401" s="20">
        <v>0.26592323755714198</v>
      </c>
      <c r="J18401" s="28">
        <v>0.79029832825847401</v>
      </c>
      <c r="K18401" s="29">
        <v>0.98289565623980701</v>
      </c>
    </row>
    <row r="18402" spans="1:11" x14ac:dyDescent="0.35">
      <c r="A18402" s="9" t="str">
        <f>HYPERLINK("http://www.ensembl.org/id/WBGene00014977", "WBGene00014977")</f>
        <v>WBGene00014977</v>
      </c>
      <c r="B18402" s="9"/>
      <c r="C18402" s="9"/>
      <c r="D18402" t="str">
        <f>"ZC15.4"</f>
        <v>ZC15.4</v>
      </c>
      <c r="F18402" t="s">
        <v>80</v>
      </c>
      <c r="H18402" s="12">
        <v>2.8773624530597801</v>
      </c>
      <c r="I18402" s="20">
        <v>0.92498370677052999</v>
      </c>
      <c r="J18402" s="28">
        <v>0.354974382723443</v>
      </c>
      <c r="K18402" s="29">
        <v>0.98289565623980701</v>
      </c>
    </row>
    <row r="18403" spans="1:11" x14ac:dyDescent="0.35">
      <c r="A18403" s="9" t="str">
        <f>HYPERLINK("http://www.ensembl.org/id/WBGene00013833", "WBGene00013833")</f>
        <v>WBGene00013833</v>
      </c>
      <c r="B18403" s="9" t="str">
        <f>HYPERLINK("http://www.ncbi.nlm.nih.gov/gene/191052", "191052")</f>
        <v>191052</v>
      </c>
      <c r="C18403" s="9"/>
      <c r="D18403" t="str">
        <f>"ZC15.5"</f>
        <v>ZC15.5</v>
      </c>
      <c r="F18403" t="s">
        <v>11</v>
      </c>
      <c r="G18403" t="s">
        <v>25</v>
      </c>
      <c r="H18403" s="12">
        <v>2.2943579989853502</v>
      </c>
      <c r="I18403" s="20">
        <v>1.1858455585575101</v>
      </c>
      <c r="J18403" s="28">
        <v>0.23568329606999799</v>
      </c>
      <c r="K18403" s="29">
        <v>0.98289565623980701</v>
      </c>
    </row>
    <row r="18404" spans="1:11" x14ac:dyDescent="0.35">
      <c r="A18404" s="9" t="str">
        <f>HYPERLINK("http://www.ensembl.org/id/WBGene00022530", "WBGene00022530")</f>
        <v>WBGene00022530</v>
      </c>
      <c r="B18404" s="9" t="str">
        <f>HYPERLINK("http://www.ncbi.nlm.nih.gov/gene/191089", "191089")</f>
        <v>191089</v>
      </c>
      <c r="C18404" s="9"/>
      <c r="D18404" t="str">
        <f>"ZC155.2"</f>
        <v>ZC155.2</v>
      </c>
      <c r="F18404" t="s">
        <v>11</v>
      </c>
      <c r="G18404" t="s">
        <v>4449</v>
      </c>
      <c r="H18404" s="12">
        <v>2.04374576703793</v>
      </c>
      <c r="I18404" s="20">
        <v>0.827368401173881</v>
      </c>
      <c r="J18404" s="28">
        <v>0.40802828498446198</v>
      </c>
      <c r="K18404" s="29">
        <v>0.98289565623980701</v>
      </c>
    </row>
    <row r="18405" spans="1:11" x14ac:dyDescent="0.35">
      <c r="A18405" s="9" t="str">
        <f>HYPERLINK("http://www.ensembl.org/id/WBGene00022544", "WBGene00022544")</f>
        <v>WBGene00022544</v>
      </c>
      <c r="B18405" s="9" t="str">
        <f>HYPERLINK("http://www.ncbi.nlm.nih.gov/gene/191099", "191099")</f>
        <v>191099</v>
      </c>
      <c r="C18405" s="9"/>
      <c r="D18405" t="str">
        <f>"ZC190.10"</f>
        <v>ZC190.10</v>
      </c>
      <c r="F18405" t="s">
        <v>11</v>
      </c>
      <c r="H18405" s="12">
        <v>2.8922044337266501</v>
      </c>
      <c r="I18405" s="20">
        <v>1.0899404042893699</v>
      </c>
      <c r="J18405" s="28">
        <v>0.27573939691864502</v>
      </c>
      <c r="K18405" s="29">
        <v>0.98289565623980701</v>
      </c>
    </row>
    <row r="18406" spans="1:11" x14ac:dyDescent="0.35">
      <c r="A18406" s="9" t="str">
        <f>HYPERLINK("http://www.ensembl.org/id/WBGene00201410", "WBGene00201410")</f>
        <v>WBGene00201410</v>
      </c>
      <c r="B18406" s="9"/>
      <c r="C18406" s="9"/>
      <c r="D18406" t="str">
        <f>"ZC190.15"</f>
        <v>ZC190.15</v>
      </c>
      <c r="F18406" t="s">
        <v>481</v>
      </c>
      <c r="H18406" s="12">
        <v>4.4368407117627902</v>
      </c>
      <c r="I18406" s="20">
        <v>0.43709475933309699</v>
      </c>
      <c r="J18406" s="28">
        <v>0.66204262779770495</v>
      </c>
      <c r="K18406" s="29">
        <v>0.98289565623980701</v>
      </c>
    </row>
    <row r="18407" spans="1:11" x14ac:dyDescent="0.35">
      <c r="A18407" s="9" t="str">
        <f>HYPERLINK("http://www.ensembl.org/id/WBGene00022538", "WBGene00022538")</f>
        <v>WBGene00022538</v>
      </c>
      <c r="B18407" s="9" t="str">
        <f>HYPERLINK("http://www.ncbi.nlm.nih.gov/gene/179248", "179248")</f>
        <v>179248</v>
      </c>
      <c r="C18407" s="9"/>
      <c r="D18407" t="str">
        <f>"ZC190.4"</f>
        <v>ZC190.4</v>
      </c>
      <c r="F18407" t="s">
        <v>11</v>
      </c>
      <c r="G18407" t="s">
        <v>5609</v>
      </c>
      <c r="H18407" s="12">
        <v>1.1353129296467801</v>
      </c>
      <c r="I18407" s="20">
        <v>0.61115567286335704</v>
      </c>
      <c r="J18407" s="28">
        <v>0.54109652587905899</v>
      </c>
      <c r="K18407" s="29">
        <v>0.98289565623980701</v>
      </c>
    </row>
    <row r="18408" spans="1:11" x14ac:dyDescent="0.35">
      <c r="A18408" s="9" t="str">
        <f>HYPERLINK("http://www.ensembl.org/id/WBGene00022539", "WBGene00022539")</f>
        <v>WBGene00022539</v>
      </c>
      <c r="B18408" s="9" t="str">
        <f>HYPERLINK("http://www.ncbi.nlm.nih.gov/gene/191095", "191095")</f>
        <v>191095</v>
      </c>
      <c r="C18408" s="9"/>
      <c r="D18408" t="str">
        <f>"ZC190.5"</f>
        <v>ZC190.5</v>
      </c>
      <c r="F18408" t="s">
        <v>11</v>
      </c>
      <c r="G18408" t="s">
        <v>25</v>
      </c>
      <c r="H18408" s="12">
        <v>2.6897703146682601</v>
      </c>
      <c r="I18408" s="20">
        <v>0.51469490281756602</v>
      </c>
      <c r="J18408" s="28">
        <v>0.60676623585839695</v>
      </c>
      <c r="K18408" s="29">
        <v>0.98289565623980701</v>
      </c>
    </row>
    <row r="18409" spans="1:11" x14ac:dyDescent="0.35">
      <c r="A18409" s="9" t="str">
        <f>HYPERLINK("http://www.ensembl.org/id/WBGene00022545", "WBGene00022545")</f>
        <v>WBGene00022545</v>
      </c>
      <c r="B18409" s="9"/>
      <c r="C18409" s="9"/>
      <c r="D18409" t="str">
        <f>"ZC196.1"</f>
        <v>ZC196.1</v>
      </c>
      <c r="F18409" t="s">
        <v>80</v>
      </c>
      <c r="H18409" s="12">
        <v>2.2861943255762198</v>
      </c>
      <c r="I18409" s="20">
        <v>0.64775572299996698</v>
      </c>
      <c r="J18409" s="28">
        <v>0.517142957166006</v>
      </c>
      <c r="K18409" s="29">
        <v>0.98289565623980701</v>
      </c>
    </row>
    <row r="18410" spans="1:11" x14ac:dyDescent="0.35">
      <c r="A18410" s="9" t="str">
        <f>HYPERLINK("http://www.ensembl.org/id/WBGene00022546", "WBGene00022546")</f>
        <v>WBGene00022546</v>
      </c>
      <c r="B18410" s="9" t="str">
        <f>HYPERLINK("http://www.ncbi.nlm.nih.gov/gene/191101", "191101")</f>
        <v>191101</v>
      </c>
      <c r="C18410" s="9"/>
      <c r="D18410" t="str">
        <f>"ZC196.2"</f>
        <v>ZC196.2</v>
      </c>
      <c r="E18410" t="s">
        <v>899</v>
      </c>
      <c r="F18410" t="s">
        <v>11</v>
      </c>
      <c r="G18410" t="s">
        <v>9976</v>
      </c>
      <c r="H18410" s="12">
        <v>-1.53817754214099</v>
      </c>
      <c r="I18410" s="20">
        <v>-1.0130190279785001</v>
      </c>
      <c r="J18410" s="28">
        <v>0.31105107229199402</v>
      </c>
      <c r="K18410" s="29">
        <v>0.98289565623980701</v>
      </c>
    </row>
    <row r="18411" spans="1:11" x14ac:dyDescent="0.35">
      <c r="A18411" s="9" t="str">
        <f>HYPERLINK("http://www.ensembl.org/id/WBGene00022547", "WBGene00022547")</f>
        <v>WBGene00022547</v>
      </c>
      <c r="B18411" s="9" t="str">
        <f>HYPERLINK("http://www.ncbi.nlm.nih.gov/gene/191102", "191102")</f>
        <v>191102</v>
      </c>
      <c r="C18411" s="9"/>
      <c r="D18411" t="str">
        <f>"ZC196.3"</f>
        <v>ZC196.3</v>
      </c>
      <c r="F18411" t="s">
        <v>11</v>
      </c>
      <c r="H18411" s="12">
        <v>4.4923346433506604</v>
      </c>
      <c r="I18411" s="20">
        <v>1.0991671001315499</v>
      </c>
      <c r="J18411" s="28">
        <v>0.27169518624251998</v>
      </c>
      <c r="K18411" s="29">
        <v>0.98289565623980701</v>
      </c>
    </row>
    <row r="18412" spans="1:11" x14ac:dyDescent="0.35">
      <c r="A18412" s="9" t="str">
        <f>HYPERLINK("http://www.ensembl.org/id/WBGene00022564", "WBGene00022564")</f>
        <v>WBGene00022564</v>
      </c>
      <c r="B18412" s="9" t="str">
        <f>HYPERLINK("http://www.ncbi.nlm.nih.gov/gene/191117", "191117")</f>
        <v>191117</v>
      </c>
      <c r="C18412" s="9"/>
      <c r="D18412" t="str">
        <f>"ZC204.14"</f>
        <v>ZC204.14</v>
      </c>
      <c r="F18412" t="s">
        <v>11</v>
      </c>
      <c r="H18412" s="12">
        <v>-1.27126075362139</v>
      </c>
      <c r="I18412" s="20">
        <v>-0.65293774363392598</v>
      </c>
      <c r="J18412" s="28">
        <v>0.51379641498190598</v>
      </c>
      <c r="K18412" s="29">
        <v>0.98289565623980701</v>
      </c>
    </row>
    <row r="18413" spans="1:11" x14ac:dyDescent="0.35">
      <c r="A18413" s="9" t="str">
        <f>HYPERLINK("http://www.ensembl.org/id/WBGene00194714", "WBGene00194714")</f>
        <v>WBGene00194714</v>
      </c>
      <c r="B18413" s="9" t="str">
        <f>HYPERLINK("http://www.ncbi.nlm.nih.gov/gene/13183688", "13183688")</f>
        <v>13183688</v>
      </c>
      <c r="C18413" s="9"/>
      <c r="D18413" t="str">
        <f>"ZC204.17"</f>
        <v>ZC204.17</v>
      </c>
      <c r="F18413" t="s">
        <v>11</v>
      </c>
      <c r="H18413" s="12">
        <v>3.6645215954135</v>
      </c>
      <c r="I18413" s="20">
        <v>0.37967131826092498</v>
      </c>
      <c r="J18413" s="28">
        <v>0.70418941338960395</v>
      </c>
      <c r="K18413" s="29">
        <v>0.98289565623980701</v>
      </c>
    </row>
    <row r="18414" spans="1:11" x14ac:dyDescent="0.35">
      <c r="A18414" s="9" t="str">
        <f>HYPERLINK("http://www.ensembl.org/id/WBGene00044443", "WBGene00044443")</f>
        <v>WBGene00044443</v>
      </c>
      <c r="B18414" s="9" t="str">
        <f>HYPERLINK("http://www.ncbi.nlm.nih.gov/gene/3896746", "3896746")</f>
        <v>3896746</v>
      </c>
      <c r="C18414" s="9"/>
      <c r="D18414" t="str">
        <f>"ZC21.10"</f>
        <v>ZC21.10</v>
      </c>
      <c r="F18414" t="s">
        <v>11</v>
      </c>
      <c r="H18414" s="12">
        <v>1.2077846349085399</v>
      </c>
      <c r="I18414" s="20">
        <v>0.34023219100621099</v>
      </c>
      <c r="J18414" s="28">
        <v>0.73368167774641102</v>
      </c>
      <c r="K18414" s="29">
        <v>0.98289565623980701</v>
      </c>
    </row>
    <row r="18415" spans="1:11" x14ac:dyDescent="0.35">
      <c r="A18415" s="9" t="str">
        <f>HYPERLINK("http://www.ensembl.org/id/WBGene00198633", "WBGene00198633")</f>
        <v>WBGene00198633</v>
      </c>
      <c r="B18415" s="9"/>
      <c r="C18415" s="9"/>
      <c r="D18415" t="str">
        <f>"ZC21.12"</f>
        <v>ZC21.12</v>
      </c>
      <c r="F18415" t="s">
        <v>481</v>
      </c>
      <c r="H18415" s="12">
        <v>2.4578120077400301</v>
      </c>
      <c r="I18415" s="20">
        <v>0.26093350314551</v>
      </c>
      <c r="J18415" s="28">
        <v>0.79414378780213601</v>
      </c>
      <c r="K18415" s="29">
        <v>0.98289565623980701</v>
      </c>
    </row>
    <row r="18416" spans="1:11" x14ac:dyDescent="0.35">
      <c r="A18416" s="9" t="str">
        <f>HYPERLINK("http://www.ensembl.org/id/WBGene00022506", "WBGene00022506")</f>
        <v>WBGene00022506</v>
      </c>
      <c r="B18416" s="9" t="str">
        <f>HYPERLINK("http://www.ncbi.nlm.nih.gov/gene/191054", "191054")</f>
        <v>191054</v>
      </c>
      <c r="C18416" s="9"/>
      <c r="D18416" t="str">
        <f>"ZC21.6"</f>
        <v>ZC21.6</v>
      </c>
      <c r="F18416" t="s">
        <v>11</v>
      </c>
      <c r="G18416" t="s">
        <v>25</v>
      </c>
      <c r="H18416" s="12">
        <v>-1.1387107035299699</v>
      </c>
      <c r="I18416" s="20">
        <v>-0.50651426559022095</v>
      </c>
      <c r="J18416" s="28">
        <v>0.61249567768448299</v>
      </c>
      <c r="K18416" s="29">
        <v>0.98289565623980701</v>
      </c>
    </row>
    <row r="18417" spans="1:11" x14ac:dyDescent="0.35">
      <c r="A18417" s="9" t="str">
        <f>HYPERLINK("http://www.ensembl.org/id/WBGene00022507", "WBGene00022507")</f>
        <v>WBGene00022507</v>
      </c>
      <c r="B18417" s="9" t="str">
        <f>HYPERLINK("http://www.ncbi.nlm.nih.gov/gene/191055", "191055")</f>
        <v>191055</v>
      </c>
      <c r="C18417" s="9"/>
      <c r="D18417" t="str">
        <f>"ZC21.8"</f>
        <v>ZC21.8</v>
      </c>
      <c r="F18417" t="s">
        <v>11</v>
      </c>
      <c r="H18417" s="12">
        <v>8.0820207067629397</v>
      </c>
      <c r="I18417" s="20">
        <v>0.85865707396196</v>
      </c>
      <c r="J18417" s="28">
        <v>0.39052973976173999</v>
      </c>
      <c r="K18417" s="29">
        <v>0.98289565623980701</v>
      </c>
    </row>
    <row r="18418" spans="1:11" x14ac:dyDescent="0.35">
      <c r="A18418" s="9" t="str">
        <f>HYPERLINK("http://www.ensembl.org/id/WBGene00023399", "WBGene00023399")</f>
        <v>WBGene00023399</v>
      </c>
      <c r="B18418" s="9"/>
      <c r="C18418" s="9"/>
      <c r="D18418" t="str">
        <f>"ZC239.1"</f>
        <v>ZC239.1</v>
      </c>
      <c r="F18418" t="s">
        <v>80</v>
      </c>
      <c r="H18418" s="12">
        <v>2.4578120077400301</v>
      </c>
      <c r="I18418" s="20">
        <v>0.26093350314551</v>
      </c>
      <c r="J18418" s="28">
        <v>0.79414378780213601</v>
      </c>
      <c r="K18418" s="29">
        <v>0.98289565623980701</v>
      </c>
    </row>
    <row r="18419" spans="1:11" x14ac:dyDescent="0.35">
      <c r="A18419" s="9" t="str">
        <f>HYPERLINK("http://www.ensembl.org/id/WBGene00022572", "WBGene00022572")</f>
        <v>WBGene00022572</v>
      </c>
      <c r="B18419" s="9" t="str">
        <f>HYPERLINK("http://www.ncbi.nlm.nih.gov/gene/191124", "191124")</f>
        <v>191124</v>
      </c>
      <c r="C18419" s="9"/>
      <c r="D18419" t="str">
        <f>"ZC239.14"</f>
        <v>ZC239.14</v>
      </c>
      <c r="F18419" t="s">
        <v>11</v>
      </c>
      <c r="G18419" t="s">
        <v>817</v>
      </c>
      <c r="H18419" s="12">
        <v>-3.17435902182216</v>
      </c>
      <c r="I18419" s="20">
        <v>-1.0165651103784299</v>
      </c>
      <c r="J18419" s="28">
        <v>0.309360358780565</v>
      </c>
      <c r="K18419" s="29">
        <v>0.98289565623980701</v>
      </c>
    </row>
    <row r="18420" spans="1:11" x14ac:dyDescent="0.35">
      <c r="A18420" s="9" t="str">
        <f>HYPERLINK("http://www.ensembl.org/id/WBGene00022573", "WBGene00022573")</f>
        <v>WBGene00022573</v>
      </c>
      <c r="B18420" s="9" t="str">
        <f>HYPERLINK("http://www.ncbi.nlm.nih.gov/gene/191125", "191125")</f>
        <v>191125</v>
      </c>
      <c r="C18420" s="9"/>
      <c r="D18420" t="str">
        <f>"ZC239.15"</f>
        <v>ZC239.15</v>
      </c>
      <c r="F18420" t="s">
        <v>11</v>
      </c>
      <c r="G18420" t="s">
        <v>817</v>
      </c>
      <c r="H18420" s="12">
        <v>-1.32399258744841</v>
      </c>
      <c r="I18420" s="20">
        <v>-0.530412001233596</v>
      </c>
      <c r="J18420" s="28">
        <v>0.59582630692579897</v>
      </c>
      <c r="K18420" s="29">
        <v>0.98289565623980701</v>
      </c>
    </row>
    <row r="18421" spans="1:11" x14ac:dyDescent="0.35">
      <c r="A18421" s="9" t="str">
        <f>HYPERLINK("http://www.ensembl.org/id/WBGene00022574", "WBGene00022574")</f>
        <v>WBGene00022574</v>
      </c>
      <c r="B18421" s="9" t="str">
        <f>HYPERLINK("http://www.ncbi.nlm.nih.gov/gene/191126", "191126")</f>
        <v>191126</v>
      </c>
      <c r="C18421" s="9"/>
      <c r="D18421" t="str">
        <f>"ZC239.16"</f>
        <v>ZC239.16</v>
      </c>
      <c r="F18421" t="s">
        <v>11</v>
      </c>
      <c r="G18421" t="s">
        <v>2068</v>
      </c>
      <c r="H18421" s="12">
        <v>-1.51277442882087</v>
      </c>
      <c r="I18421" s="20">
        <v>-1.10041127307084</v>
      </c>
      <c r="J18421" s="28">
        <v>0.27115296895762397</v>
      </c>
      <c r="K18421" s="29">
        <v>0.98289565623980701</v>
      </c>
    </row>
    <row r="18422" spans="1:11" x14ac:dyDescent="0.35">
      <c r="A18422" s="9" t="str">
        <f>HYPERLINK("http://www.ensembl.org/id/WBGene00022575", "WBGene00022575")</f>
        <v>WBGene00022575</v>
      </c>
      <c r="B18422" s="9" t="str">
        <f>HYPERLINK("http://www.ncbi.nlm.nih.gov/gene/173665", "173665")</f>
        <v>173665</v>
      </c>
      <c r="C18422" s="9"/>
      <c r="D18422" t="str">
        <f>"ZC239.17"</f>
        <v>ZC239.17</v>
      </c>
      <c r="F18422" t="s">
        <v>11</v>
      </c>
      <c r="G18422" t="s">
        <v>9931</v>
      </c>
      <c r="H18422" s="12">
        <v>-1.41366262753406</v>
      </c>
      <c r="I18422" s="20">
        <v>-0.59900483438029195</v>
      </c>
      <c r="J18422" s="28">
        <v>0.54916966077323304</v>
      </c>
      <c r="K18422" s="29">
        <v>0.98289565623980701</v>
      </c>
    </row>
    <row r="18423" spans="1:11" x14ac:dyDescent="0.35">
      <c r="A18423" s="9" t="str">
        <f>HYPERLINK("http://www.ensembl.org/id/WBGene00022565", "WBGene00022565")</f>
        <v>WBGene00022565</v>
      </c>
      <c r="B18423" s="9" t="str">
        <f>HYPERLINK("http://www.ncbi.nlm.nih.gov/gene/191119", "191119")</f>
        <v>191119</v>
      </c>
      <c r="C18423" s="9"/>
      <c r="D18423" t="str">
        <f>"ZC239.2"</f>
        <v>ZC239.2</v>
      </c>
      <c r="F18423" t="s">
        <v>11</v>
      </c>
      <c r="G18423" t="s">
        <v>2932</v>
      </c>
      <c r="H18423" s="12">
        <v>-3.3275376228623301</v>
      </c>
      <c r="I18423" s="20">
        <v>-0.71786551767232398</v>
      </c>
      <c r="J18423" s="28">
        <v>0.47284021108093099</v>
      </c>
      <c r="K18423" s="29">
        <v>0.98289565623980701</v>
      </c>
    </row>
    <row r="18424" spans="1:11" x14ac:dyDescent="0.35">
      <c r="A18424" s="9" t="str">
        <f>HYPERLINK("http://www.ensembl.org/id/WBGene00044372", "WBGene00044372")</f>
        <v>WBGene00044372</v>
      </c>
      <c r="B18424" s="9" t="str">
        <f>HYPERLINK("http://www.ncbi.nlm.nih.gov/gene/3565804", "3565804")</f>
        <v>3565804</v>
      </c>
      <c r="C18424" s="9"/>
      <c r="D18424" t="str">
        <f>"ZC239.21"</f>
        <v>ZC239.21</v>
      </c>
      <c r="F18424" t="s">
        <v>11</v>
      </c>
      <c r="H18424" s="12">
        <v>1.3264896250000999</v>
      </c>
      <c r="I18424" s="20">
        <v>0.51915411133307698</v>
      </c>
      <c r="J18424" s="28">
        <v>0.60365327644184696</v>
      </c>
      <c r="K18424" s="29">
        <v>0.98289565623980701</v>
      </c>
    </row>
    <row r="18425" spans="1:11" x14ac:dyDescent="0.35">
      <c r="A18425" s="9" t="str">
        <f>HYPERLINK("http://www.ensembl.org/id/WBGene00194717", "WBGene00194717")</f>
        <v>WBGene00194717</v>
      </c>
      <c r="B18425" s="9" t="str">
        <f>HYPERLINK("http://www.ncbi.nlm.nih.gov/gene/13184240", "13184240")</f>
        <v>13184240</v>
      </c>
      <c r="C18425" s="9"/>
      <c r="D18425" t="str">
        <f>"ZC239.22"</f>
        <v>ZC239.22</v>
      </c>
      <c r="F18425" t="s">
        <v>11</v>
      </c>
      <c r="H18425" s="12">
        <v>-1.1992280325208899</v>
      </c>
      <c r="I18425" s="20">
        <v>-0.56575700234969895</v>
      </c>
      <c r="J18425" s="28">
        <v>0.57155897957843105</v>
      </c>
      <c r="K18425" s="29">
        <v>0.98289565623980701</v>
      </c>
    </row>
    <row r="18426" spans="1:11" x14ac:dyDescent="0.35">
      <c r="A18426" s="9" t="str">
        <f>HYPERLINK("http://www.ensembl.org/id/WBGene00022566", "WBGene00022566")</f>
        <v>WBGene00022566</v>
      </c>
      <c r="B18426" s="9" t="str">
        <f>HYPERLINK("http://www.ncbi.nlm.nih.gov/gene/191120", "191120")</f>
        <v>191120</v>
      </c>
      <c r="C18426" s="9"/>
      <c r="D18426" t="str">
        <f>"ZC239.3"</f>
        <v>ZC239.3</v>
      </c>
      <c r="F18426" t="s">
        <v>11</v>
      </c>
      <c r="G18426" t="s">
        <v>2068</v>
      </c>
      <c r="H18426" s="12">
        <v>1.6396833106895199</v>
      </c>
      <c r="I18426" s="20">
        <v>0.59414688508022695</v>
      </c>
      <c r="J18426" s="28">
        <v>0.55241387453939805</v>
      </c>
      <c r="K18426" s="29">
        <v>0.98289565623980701</v>
      </c>
    </row>
    <row r="18427" spans="1:11" x14ac:dyDescent="0.35">
      <c r="A18427" s="9" t="str">
        <f>HYPERLINK("http://www.ensembl.org/id/WBGene00022567", "WBGene00022567")</f>
        <v>WBGene00022567</v>
      </c>
      <c r="B18427" s="9" t="str">
        <f>HYPERLINK("http://www.ncbi.nlm.nih.gov/gene/191121", "191121")</f>
        <v>191121</v>
      </c>
      <c r="C18427" s="9"/>
      <c r="D18427" t="str">
        <f>"ZC239.4"</f>
        <v>ZC239.4</v>
      </c>
      <c r="F18427" t="s">
        <v>11</v>
      </c>
      <c r="G18427" t="s">
        <v>817</v>
      </c>
      <c r="H18427" s="12">
        <v>1.41374926997723</v>
      </c>
      <c r="I18427" s="20">
        <v>0.77340614873664004</v>
      </c>
      <c r="J18427" s="28">
        <v>0.43928205217627397</v>
      </c>
      <c r="K18427" s="29">
        <v>0.98289565623980701</v>
      </c>
    </row>
    <row r="18428" spans="1:11" x14ac:dyDescent="0.35">
      <c r="A18428" s="9" t="str">
        <f>HYPERLINK("http://www.ensembl.org/id/WBGene00022568", "WBGene00022568")</f>
        <v>WBGene00022568</v>
      </c>
      <c r="B18428" s="9" t="str">
        <f>HYPERLINK("http://www.ncbi.nlm.nih.gov/gene/191122", "191122")</f>
        <v>191122</v>
      </c>
      <c r="C18428" s="9"/>
      <c r="D18428" t="str">
        <f>"ZC239.5"</f>
        <v>ZC239.5</v>
      </c>
      <c r="F18428" t="s">
        <v>11</v>
      </c>
      <c r="G18428" t="s">
        <v>2068</v>
      </c>
      <c r="H18428" s="12">
        <v>1.53546187632786</v>
      </c>
      <c r="I18428" s="20">
        <v>0.94979813482509801</v>
      </c>
      <c r="J18428" s="28">
        <v>0.34221483380378698</v>
      </c>
      <c r="K18428" s="29">
        <v>0.98289565623980701</v>
      </c>
    </row>
    <row r="18429" spans="1:11" x14ac:dyDescent="0.35">
      <c r="A18429" s="9" t="str">
        <f>HYPERLINK("http://www.ensembl.org/id/WBGene00022569", "WBGene00022569")</f>
        <v>WBGene00022569</v>
      </c>
      <c r="B18429" s="9" t="str">
        <f>HYPERLINK("http://www.ncbi.nlm.nih.gov/gene/173663", "173663")</f>
        <v>173663</v>
      </c>
      <c r="C18429" s="9"/>
      <c r="D18429" t="str">
        <f>"ZC239.6"</f>
        <v>ZC239.6</v>
      </c>
      <c r="F18429" t="s">
        <v>11</v>
      </c>
      <c r="G18429" t="s">
        <v>817</v>
      </c>
      <c r="H18429" s="12">
        <v>-1.0675452860953001</v>
      </c>
      <c r="I18429" s="20">
        <v>-0.30594313918219002</v>
      </c>
      <c r="J18429" s="28">
        <v>0.75964793942147302</v>
      </c>
      <c r="K18429" s="29">
        <v>0.98289565623980701</v>
      </c>
    </row>
    <row r="18430" spans="1:11" x14ac:dyDescent="0.35">
      <c r="A18430" s="9" t="str">
        <f>HYPERLINK("http://www.ensembl.org/id/WBGene00013860", "WBGene00013860")</f>
        <v>WBGene00013860</v>
      </c>
      <c r="B18430" s="9" t="str">
        <f>HYPERLINK("http://www.ncbi.nlm.nih.gov/gene/172894", "172894")</f>
        <v>172894</v>
      </c>
      <c r="C18430" s="9"/>
      <c r="D18430" t="str">
        <f>"ZC247.2"</f>
        <v>ZC247.2</v>
      </c>
      <c r="F18430" t="s">
        <v>11</v>
      </c>
      <c r="H18430" s="12">
        <v>1.25927568844452</v>
      </c>
      <c r="I18430" s="20">
        <v>0.99699268523012696</v>
      </c>
      <c r="J18430" s="28">
        <v>0.31876806049628797</v>
      </c>
      <c r="K18430" s="29">
        <v>0.98289565623980701</v>
      </c>
    </row>
    <row r="18431" spans="1:11" x14ac:dyDescent="0.35">
      <c r="A18431" s="9" t="str">
        <f>HYPERLINK("http://www.ensembl.org/id/WBGene00022576", "WBGene00022576")</f>
        <v>WBGene00022576</v>
      </c>
      <c r="B18431" s="9" t="str">
        <f>HYPERLINK("http://www.ncbi.nlm.nih.gov/gene/178968", "178968")</f>
        <v>178968</v>
      </c>
      <c r="C18431" s="9" t="str">
        <f>HYPERLINK("http://www.ncbi.nlm.nih.gov/gene/145173", "145173")</f>
        <v>145173</v>
      </c>
      <c r="D18431" t="str">
        <f>"ZC250.2"</f>
        <v>ZC250.2</v>
      </c>
      <c r="E18431" t="s">
        <v>3820</v>
      </c>
      <c r="F18431" t="s">
        <v>11</v>
      </c>
      <c r="G18431" t="s">
        <v>5164</v>
      </c>
      <c r="H18431" s="12">
        <v>1.2252004704120301</v>
      </c>
      <c r="I18431" s="20">
        <v>0.69545817271370802</v>
      </c>
      <c r="J18431" s="28">
        <v>0.486768215187523</v>
      </c>
      <c r="K18431" s="29">
        <v>0.98289565623980701</v>
      </c>
    </row>
    <row r="18432" spans="1:11" x14ac:dyDescent="0.35">
      <c r="A18432" s="9" t="str">
        <f>HYPERLINK("http://www.ensembl.org/id/WBGene00197756", "WBGene00197756")</f>
        <v>WBGene00197756</v>
      </c>
      <c r="B18432" s="9"/>
      <c r="C18432" s="9"/>
      <c r="D18432" t="str">
        <f>"ZC250.8"</f>
        <v>ZC250.8</v>
      </c>
      <c r="F18432" t="s">
        <v>481</v>
      </c>
      <c r="H18432" s="12">
        <v>-3.7261494131482999</v>
      </c>
      <c r="I18432" s="20">
        <v>-0.38454673129429601</v>
      </c>
      <c r="J18432" s="28">
        <v>0.70057326682554</v>
      </c>
      <c r="K18432" s="29">
        <v>0.98289565623980701</v>
      </c>
    </row>
    <row r="18433" spans="1:11" x14ac:dyDescent="0.35">
      <c r="A18433" s="9" t="str">
        <f>HYPERLINK("http://www.ensembl.org/id/WBGene00284846", "WBGene00284846")</f>
        <v>WBGene00284846</v>
      </c>
      <c r="B18433" s="9" t="str">
        <f>HYPERLINK("http://www.ncbi.nlm.nih.gov/gene/36312798", "36312798")</f>
        <v>36312798</v>
      </c>
      <c r="C18433" s="9"/>
      <c r="D18433" t="str">
        <f>"ZC262.13"</f>
        <v>ZC262.13</v>
      </c>
      <c r="F18433" t="s">
        <v>11</v>
      </c>
      <c r="H18433" s="12">
        <v>-1.4645386478912299</v>
      </c>
      <c r="I18433" s="20">
        <v>-0.93327305398952698</v>
      </c>
      <c r="J18433" s="28">
        <v>0.35067900410368402</v>
      </c>
      <c r="K18433" s="29">
        <v>0.98289565623980701</v>
      </c>
    </row>
    <row r="18434" spans="1:11" x14ac:dyDescent="0.35">
      <c r="A18434" s="9" t="str">
        <f>HYPERLINK("http://www.ensembl.org/id/WBGene00022579", "WBGene00022579")</f>
        <v>WBGene00022579</v>
      </c>
      <c r="B18434" s="9" t="str">
        <f>HYPERLINK("http://www.ncbi.nlm.nih.gov/gene/191130", "191130")</f>
        <v>191130</v>
      </c>
      <c r="C18434" s="9"/>
      <c r="D18434" t="str">
        <f>"ZC262.2"</f>
        <v>ZC262.2</v>
      </c>
      <c r="F18434" t="s">
        <v>11</v>
      </c>
      <c r="H18434" s="12">
        <v>-1.1080719549542699</v>
      </c>
      <c r="I18434" s="20">
        <v>-0.51865659838853595</v>
      </c>
      <c r="J18434" s="28">
        <v>0.60400023274052494</v>
      </c>
      <c r="K18434" s="29">
        <v>0.98289565623980701</v>
      </c>
    </row>
    <row r="18435" spans="1:11" x14ac:dyDescent="0.35">
      <c r="A18435" s="9" t="str">
        <f>HYPERLINK("http://www.ensembl.org/id/WBGene00022581", "WBGene00022581")</f>
        <v>WBGene00022581</v>
      </c>
      <c r="B18435" s="9" t="str">
        <f>HYPERLINK("http://www.ncbi.nlm.nih.gov/gene/191131", "191131")</f>
        <v>191131</v>
      </c>
      <c r="C18435" s="9"/>
      <c r="D18435" t="str">
        <f>"ZC262.4"</f>
        <v>ZC262.4</v>
      </c>
      <c r="F18435" t="s">
        <v>11</v>
      </c>
      <c r="H18435" s="12">
        <v>2.6224705946786901</v>
      </c>
      <c r="I18435" s="20">
        <v>0.32440394850383503</v>
      </c>
      <c r="J18435" s="28">
        <v>0.74563223077784602</v>
      </c>
      <c r="K18435" s="29">
        <v>0.98289565623980701</v>
      </c>
    </row>
    <row r="18436" spans="1:11" x14ac:dyDescent="0.35">
      <c r="A18436" s="9" t="str">
        <f>HYPERLINK("http://www.ensembl.org/id/WBGene00043948", "WBGene00043948")</f>
        <v>WBGene00043948</v>
      </c>
      <c r="B18436" s="9" t="str">
        <f>HYPERLINK("http://www.ncbi.nlm.nih.gov/gene/24105263", "24105263")</f>
        <v>24105263</v>
      </c>
      <c r="C18436" s="9"/>
      <c r="D18436" t="str">
        <f>"ZC262.7"</f>
        <v>ZC262.7</v>
      </c>
      <c r="F18436" t="s">
        <v>11</v>
      </c>
      <c r="H18436" s="12">
        <v>2.4578120077400301</v>
      </c>
      <c r="I18436" s="20">
        <v>0.26093350314551</v>
      </c>
      <c r="J18436" s="28">
        <v>0.79414378780213601</v>
      </c>
      <c r="K18436" s="29">
        <v>0.98289565623980701</v>
      </c>
    </row>
    <row r="18437" spans="1:11" x14ac:dyDescent="0.35">
      <c r="A18437" s="9" t="str">
        <f>HYPERLINK("http://www.ensembl.org/id/WBGene00013863", "WBGene00013863")</f>
        <v>WBGene00013863</v>
      </c>
      <c r="B18437" s="9" t="str">
        <f>HYPERLINK("http://www.ncbi.nlm.nih.gov/gene/191136", "191136")</f>
        <v>191136</v>
      </c>
      <c r="C18437" s="9"/>
      <c r="D18437" t="str">
        <f>"ZC302.3"</f>
        <v>ZC302.3</v>
      </c>
      <c r="F18437" t="s">
        <v>11</v>
      </c>
      <c r="H18437" s="12">
        <v>-1.38452881353914</v>
      </c>
      <c r="I18437" s="20">
        <v>-0.46078771534259</v>
      </c>
      <c r="J18437" s="28">
        <v>0.64495091620697897</v>
      </c>
      <c r="K18437" s="29">
        <v>0.98289565623980701</v>
      </c>
    </row>
    <row r="18438" spans="1:11" x14ac:dyDescent="0.35">
      <c r="A18438" s="9" t="str">
        <f>HYPERLINK("http://www.ensembl.org/id/WBGene00022587", "WBGene00022587")</f>
        <v>WBGene00022587</v>
      </c>
      <c r="B18438" s="9"/>
      <c r="C18438" s="9"/>
      <c r="D18438" t="str">
        <f>"ZC317.1"</f>
        <v>ZC317.1</v>
      </c>
      <c r="F18438" t="s">
        <v>80</v>
      </c>
      <c r="H18438" s="12">
        <v>-8.0014360469151899</v>
      </c>
      <c r="I18438" s="20">
        <v>-0.61746222315259702</v>
      </c>
      <c r="J18438" s="28">
        <v>0.536929891129723</v>
      </c>
      <c r="K18438" s="29">
        <v>0.98289565623980701</v>
      </c>
    </row>
    <row r="18439" spans="1:11" x14ac:dyDescent="0.35">
      <c r="A18439" s="9" t="str">
        <f>HYPERLINK("http://www.ensembl.org/id/WBGene00022588", "WBGene00022588")</f>
        <v>WBGene00022588</v>
      </c>
      <c r="B18439" s="9" t="str">
        <f>HYPERLINK("http://www.ncbi.nlm.nih.gov/gene/191139", "191139")</f>
        <v>191139</v>
      </c>
      <c r="C18439" s="9"/>
      <c r="D18439" t="str">
        <f>"ZC317.2"</f>
        <v>ZC317.2</v>
      </c>
      <c r="F18439" t="s">
        <v>11</v>
      </c>
      <c r="G18439" t="s">
        <v>25</v>
      </c>
      <c r="H18439" s="12">
        <v>1.68546711901482</v>
      </c>
      <c r="I18439" s="20">
        <v>0.71511000151449899</v>
      </c>
      <c r="J18439" s="28">
        <v>0.47454107433168802</v>
      </c>
      <c r="K18439" s="29">
        <v>0.98289565623980701</v>
      </c>
    </row>
    <row r="18440" spans="1:11" x14ac:dyDescent="0.35">
      <c r="A18440" s="9" t="str">
        <f>HYPERLINK("http://www.ensembl.org/id/WBGene00022589", "WBGene00022589")</f>
        <v>WBGene00022589</v>
      </c>
      <c r="B18440" s="9" t="str">
        <f>HYPERLINK("http://www.ncbi.nlm.nih.gov/gene/191142", "191142")</f>
        <v>191142</v>
      </c>
      <c r="C18440" s="9"/>
      <c r="D18440" t="str">
        <f>"ZC317.6"</f>
        <v>ZC317.6</v>
      </c>
      <c r="F18440" t="s">
        <v>11</v>
      </c>
      <c r="H18440" s="12">
        <v>1.5985083816582599</v>
      </c>
      <c r="I18440" s="20">
        <v>0.33756876221186899</v>
      </c>
      <c r="J18440" s="28">
        <v>0.73568818581582296</v>
      </c>
      <c r="K18440" s="29">
        <v>0.98289565623980701</v>
      </c>
    </row>
    <row r="18441" spans="1:11" x14ac:dyDescent="0.35">
      <c r="A18441" s="9" t="str">
        <f>HYPERLINK("http://www.ensembl.org/id/WBGene00022593", "WBGene00022593")</f>
        <v>WBGene00022593</v>
      </c>
      <c r="B18441" s="9" t="str">
        <f>HYPERLINK("http://www.ncbi.nlm.nih.gov/gene/172343", "172343")</f>
        <v>172343</v>
      </c>
      <c r="C18441" s="9"/>
      <c r="D18441" t="str">
        <f>"ZC328.3"</f>
        <v>ZC328.3</v>
      </c>
      <c r="F18441" t="s">
        <v>11</v>
      </c>
      <c r="G18441" t="s">
        <v>372</v>
      </c>
      <c r="H18441" s="12">
        <v>-1.1523478846092701</v>
      </c>
      <c r="I18441" s="20">
        <v>-0.69007938872409202</v>
      </c>
      <c r="J18441" s="28">
        <v>0.49014426405990702</v>
      </c>
      <c r="K18441" s="29">
        <v>0.98289565623980701</v>
      </c>
    </row>
    <row r="18442" spans="1:11" x14ac:dyDescent="0.35">
      <c r="A18442" s="9" t="str">
        <f>HYPERLINK("http://www.ensembl.org/id/WBGene00022594", "WBGene00022594")</f>
        <v>WBGene00022594</v>
      </c>
      <c r="B18442" s="9" t="str">
        <f>HYPERLINK("http://www.ncbi.nlm.nih.gov/gene/172341", "172341")</f>
        <v>172341</v>
      </c>
      <c r="C18442" s="9"/>
      <c r="D18442" t="str">
        <f>"ZC328.5"</f>
        <v>ZC328.5</v>
      </c>
      <c r="F18442" t="s">
        <v>11</v>
      </c>
      <c r="H18442" s="12">
        <v>2.4328545712195901</v>
      </c>
      <c r="I18442" s="20">
        <v>0.31285255054445599</v>
      </c>
      <c r="J18442" s="28">
        <v>0.75439268833751705</v>
      </c>
      <c r="K18442" s="29">
        <v>0.98289565623980701</v>
      </c>
    </row>
    <row r="18443" spans="1:11" x14ac:dyDescent="0.35">
      <c r="A18443" s="9" t="str">
        <f>HYPERLINK("http://www.ensembl.org/id/WBGene00045396", "WBGene00045396")</f>
        <v>WBGene00045396</v>
      </c>
      <c r="B18443" s="9" t="str">
        <f>HYPERLINK("http://www.ncbi.nlm.nih.gov/gene/6418615", "6418615")</f>
        <v>6418615</v>
      </c>
      <c r="C18443" s="9"/>
      <c r="D18443" t="str">
        <f>"ZC334.12"</f>
        <v>ZC334.12</v>
      </c>
      <c r="F18443" t="s">
        <v>11</v>
      </c>
      <c r="H18443" s="12">
        <v>-2.7596102807760801</v>
      </c>
      <c r="I18443" s="20">
        <v>-0.71785953635701705</v>
      </c>
      <c r="J18443" s="28">
        <v>0.47284389945540301</v>
      </c>
      <c r="K18443" s="29">
        <v>0.98289565623980701</v>
      </c>
    </row>
    <row r="18444" spans="1:11" x14ac:dyDescent="0.35">
      <c r="A18444" s="9" t="str">
        <f>HYPERLINK("http://www.ensembl.org/id/WBGene00086553", "WBGene00086553")</f>
        <v>WBGene00086553</v>
      </c>
      <c r="B18444" s="9" t="str">
        <f>HYPERLINK("http://www.ncbi.nlm.nih.gov/gene/7040195", "7040195")</f>
        <v>7040195</v>
      </c>
      <c r="C18444" s="9"/>
      <c r="D18444" t="str">
        <f>"ZC334.13"</f>
        <v>ZC334.13</v>
      </c>
      <c r="F18444" t="s">
        <v>11</v>
      </c>
      <c r="H18444" s="12">
        <v>2.421041636555</v>
      </c>
      <c r="I18444" s="20">
        <v>0.85178888497180905</v>
      </c>
      <c r="J18444" s="28">
        <v>0.39433127656649702</v>
      </c>
      <c r="K18444" s="29">
        <v>0.98289565623980701</v>
      </c>
    </row>
    <row r="18445" spans="1:11" x14ac:dyDescent="0.35">
      <c r="A18445" s="9" t="str">
        <f>HYPERLINK("http://www.ensembl.org/id/WBGene00013867", "WBGene00013867")</f>
        <v>WBGene00013867</v>
      </c>
      <c r="B18445" s="9" t="str">
        <f>HYPERLINK("http://www.ncbi.nlm.nih.gov/gene/181216", "181216")</f>
        <v>181216</v>
      </c>
      <c r="C18445" s="9"/>
      <c r="D18445" t="str">
        <f>"ZC373.2"</f>
        <v>ZC373.2</v>
      </c>
      <c r="F18445" t="s">
        <v>11</v>
      </c>
      <c r="H18445" s="12">
        <v>-1.2264056110853401</v>
      </c>
      <c r="I18445" s="20">
        <v>-1.05400475287559</v>
      </c>
      <c r="J18445" s="28">
        <v>0.29188074111287698</v>
      </c>
      <c r="K18445" s="29">
        <v>0.98289565623980701</v>
      </c>
    </row>
    <row r="18446" spans="1:11" x14ac:dyDescent="0.35">
      <c r="A18446" s="9" t="str">
        <f>HYPERLINK("http://www.ensembl.org/id/WBGene00013870", "WBGene00013870")</f>
        <v>WBGene00013870</v>
      </c>
      <c r="B18446" s="9" t="str">
        <f>HYPERLINK("http://www.ncbi.nlm.nih.gov/gene/181218", "181218")</f>
        <v>181218</v>
      </c>
      <c r="C18446" s="9" t="str">
        <f>HYPERLINK("http://www.ncbi.nlm.nih.gov/gene/51074", "51074")</f>
        <v>51074</v>
      </c>
      <c r="D18446" t="str">
        <f>"ZC373.5"</f>
        <v>ZC373.5</v>
      </c>
      <c r="E18446" t="s">
        <v>5590</v>
      </c>
      <c r="F18446" t="s">
        <v>11</v>
      </c>
      <c r="G18446" t="s">
        <v>5591</v>
      </c>
      <c r="H18446" s="12">
        <v>1.13866599722217</v>
      </c>
      <c r="I18446" s="20">
        <v>0.59320168623470904</v>
      </c>
      <c r="J18446" s="28">
        <v>0.55304618427901597</v>
      </c>
      <c r="K18446" s="29">
        <v>0.98289565623980701</v>
      </c>
    </row>
    <row r="18447" spans="1:11" x14ac:dyDescent="0.35">
      <c r="A18447" s="9" t="str">
        <f>HYPERLINK("http://www.ensembl.org/id/WBGene00013873", "WBGene00013873")</f>
        <v>WBGene00013873</v>
      </c>
      <c r="B18447" s="9" t="str">
        <f>HYPERLINK("http://www.ncbi.nlm.nih.gov/gene/179918", "179918")</f>
        <v>179918</v>
      </c>
      <c r="C18447" s="9"/>
      <c r="D18447" t="str">
        <f>"ZC376.1"</f>
        <v>ZC376.1</v>
      </c>
      <c r="F18447" t="s">
        <v>11</v>
      </c>
      <c r="G18447" t="s">
        <v>3509</v>
      </c>
      <c r="H18447" s="12">
        <v>1.4960466056894901</v>
      </c>
      <c r="I18447" s="20">
        <v>0.73980375609822802</v>
      </c>
      <c r="J18447" s="28">
        <v>0.45941907956901601</v>
      </c>
      <c r="K18447" s="29">
        <v>0.98289565623980701</v>
      </c>
    </row>
    <row r="18448" spans="1:11" x14ac:dyDescent="0.35">
      <c r="A18448" s="9" t="str">
        <f>HYPERLINK("http://www.ensembl.org/id/WBGene00013874", "WBGene00013874")</f>
        <v>WBGene00013874</v>
      </c>
      <c r="B18448" s="9" t="str">
        <f>HYPERLINK("http://www.ncbi.nlm.nih.gov/gene/179917", "179917")</f>
        <v>179917</v>
      </c>
      <c r="C18448" s="9"/>
      <c r="D18448" t="str">
        <f>"ZC376.2"</f>
        <v>ZC376.2</v>
      </c>
      <c r="F18448" t="s">
        <v>11</v>
      </c>
      <c r="G18448" t="s">
        <v>3509</v>
      </c>
      <c r="H18448" s="12">
        <v>1.1266271424171801</v>
      </c>
      <c r="I18448" s="20">
        <v>0.37631217954197999</v>
      </c>
      <c r="J18448" s="28">
        <v>0.70668482570125601</v>
      </c>
      <c r="K18448" s="29">
        <v>0.98289565623980701</v>
      </c>
    </row>
    <row r="18449" spans="1:11" x14ac:dyDescent="0.35">
      <c r="A18449" s="9" t="str">
        <f>HYPERLINK("http://www.ensembl.org/id/WBGene00013875", "WBGene00013875")</f>
        <v>WBGene00013875</v>
      </c>
      <c r="B18449" s="9" t="str">
        <f>HYPERLINK("http://www.ncbi.nlm.nih.gov/gene/179916", "179916")</f>
        <v>179916</v>
      </c>
      <c r="C18449" s="9"/>
      <c r="D18449" t="str">
        <f>"ZC376.3"</f>
        <v>ZC376.3</v>
      </c>
      <c r="F18449" t="s">
        <v>11</v>
      </c>
      <c r="G18449" t="s">
        <v>3509</v>
      </c>
      <c r="H18449" s="12">
        <v>1.34114477653912</v>
      </c>
      <c r="I18449" s="20">
        <v>0.83086291015943203</v>
      </c>
      <c r="J18449" s="28">
        <v>0.40605107850733702</v>
      </c>
      <c r="K18449" s="29">
        <v>0.98289565623980701</v>
      </c>
    </row>
    <row r="18450" spans="1:11" x14ac:dyDescent="0.35">
      <c r="A18450" s="9" t="str">
        <f>HYPERLINK("http://www.ensembl.org/id/WBGene00013879", "WBGene00013879")</f>
        <v>WBGene00013879</v>
      </c>
      <c r="B18450" s="9" t="str">
        <f>HYPERLINK("http://www.ncbi.nlm.nih.gov/gene/179919", "179919")</f>
        <v>179919</v>
      </c>
      <c r="C18450" s="9"/>
      <c r="D18450" t="str">
        <f>"ZC376.8"</f>
        <v>ZC376.8</v>
      </c>
      <c r="F18450" t="s">
        <v>11</v>
      </c>
      <c r="G18450" t="s">
        <v>25</v>
      </c>
      <c r="H18450" s="12">
        <v>-1.5017127321714601</v>
      </c>
      <c r="I18450" s="20">
        <v>-0.32847793606203401</v>
      </c>
      <c r="J18450" s="28">
        <v>0.74255032412391397</v>
      </c>
      <c r="K18450" s="29">
        <v>0.98289565623980701</v>
      </c>
    </row>
    <row r="18451" spans="1:11" x14ac:dyDescent="0.35">
      <c r="A18451" s="9" t="str">
        <f>HYPERLINK("http://www.ensembl.org/id/WBGene00220233", "WBGene00220233")</f>
        <v>WBGene00220233</v>
      </c>
      <c r="B18451" s="9"/>
      <c r="C18451" s="9"/>
      <c r="D18451" t="str">
        <f>"ZC395.12"</f>
        <v>ZC395.12</v>
      </c>
      <c r="F18451" t="s">
        <v>2977</v>
      </c>
      <c r="H18451" s="12">
        <v>4.0998653705833101</v>
      </c>
      <c r="I18451" s="20">
        <v>0.55306364318332502</v>
      </c>
      <c r="J18451" s="28">
        <v>0.58021983102034203</v>
      </c>
      <c r="K18451" s="29">
        <v>0.98289565623980701</v>
      </c>
    </row>
    <row r="18452" spans="1:11" x14ac:dyDescent="0.35">
      <c r="A18452" s="9" t="str">
        <f>HYPERLINK("http://www.ensembl.org/id/WBGene00022601", "WBGene00022601")</f>
        <v>WBGene00022601</v>
      </c>
      <c r="B18452" s="9" t="str">
        <f>HYPERLINK("http://www.ncbi.nlm.nih.gov/gene/191154", "191154")</f>
        <v>191154</v>
      </c>
      <c r="C18452" s="9"/>
      <c r="D18452" t="str">
        <f>"ZC404.1"</f>
        <v>ZC404.1</v>
      </c>
      <c r="F18452" t="s">
        <v>11</v>
      </c>
      <c r="H18452" s="12">
        <v>1.3187742841936601</v>
      </c>
      <c r="I18452" s="20">
        <v>0.68374105600378499</v>
      </c>
      <c r="J18452" s="28">
        <v>0.49413869326808602</v>
      </c>
      <c r="K18452" s="29">
        <v>0.98289565623980701</v>
      </c>
    </row>
    <row r="18453" spans="1:11" x14ac:dyDescent="0.35">
      <c r="A18453" s="9" t="str">
        <f>HYPERLINK("http://www.ensembl.org/id/WBGene00194910", "WBGene00194910")</f>
        <v>WBGene00194910</v>
      </c>
      <c r="B18453" s="9" t="str">
        <f>HYPERLINK("http://www.ncbi.nlm.nih.gov/gene/13213391", "13213391")</f>
        <v>13213391</v>
      </c>
      <c r="C18453" s="9"/>
      <c r="D18453" t="str">
        <f>"ZC404.15"</f>
        <v>ZC404.15</v>
      </c>
      <c r="F18453" t="s">
        <v>11</v>
      </c>
      <c r="G18453" t="s">
        <v>25</v>
      </c>
      <c r="H18453" s="12">
        <v>1.96096561477589</v>
      </c>
      <c r="I18453" s="20">
        <v>0.64637197237755895</v>
      </c>
      <c r="J18453" s="28">
        <v>0.51803848716737499</v>
      </c>
      <c r="K18453" s="29">
        <v>0.98289565623980701</v>
      </c>
    </row>
    <row r="18454" spans="1:11" x14ac:dyDescent="0.35">
      <c r="A18454" s="9" t="str">
        <f>HYPERLINK("http://www.ensembl.org/id/WBGene00195226", "WBGene00195226")</f>
        <v>WBGene00195226</v>
      </c>
      <c r="B18454" s="9" t="str">
        <f>HYPERLINK("http://www.ncbi.nlm.nih.gov/gene/13213387", "13213387")</f>
        <v>13213387</v>
      </c>
      <c r="C18454" s="9"/>
      <c r="D18454" t="str">
        <f>"ZC404.16"</f>
        <v>ZC404.16</v>
      </c>
      <c r="F18454" t="s">
        <v>11</v>
      </c>
      <c r="H18454" s="12">
        <v>6.1200903364641901</v>
      </c>
      <c r="I18454" s="20">
        <v>0.79119065338258499</v>
      </c>
      <c r="J18454" s="28">
        <v>0.428832744842291</v>
      </c>
      <c r="K18454" s="29">
        <v>0.98289565623980701</v>
      </c>
    </row>
    <row r="18455" spans="1:11" x14ac:dyDescent="0.35">
      <c r="A18455" s="9" t="str">
        <f>HYPERLINK("http://www.ensembl.org/id/WBGene00043952", "WBGene00043952")</f>
        <v>WBGene00043952</v>
      </c>
      <c r="B18455" s="9" t="str">
        <f>HYPERLINK("http://www.ncbi.nlm.nih.gov/gene/13213394", "13213394")</f>
        <v>13213394</v>
      </c>
      <c r="C18455" s="9"/>
      <c r="D18455" t="str">
        <f>"ZC404.2"</f>
        <v>ZC404.2</v>
      </c>
      <c r="F18455" t="s">
        <v>11</v>
      </c>
      <c r="G18455" t="s">
        <v>25</v>
      </c>
      <c r="H18455" s="12">
        <v>4.5844340588449803</v>
      </c>
      <c r="I18455" s="20">
        <v>1.0192832191094601</v>
      </c>
      <c r="J18455" s="28">
        <v>0.308068528319204</v>
      </c>
      <c r="K18455" s="29">
        <v>0.98289565623980701</v>
      </c>
    </row>
    <row r="18456" spans="1:11" x14ac:dyDescent="0.35">
      <c r="A18456" s="9" t="str">
        <f>HYPERLINK("http://www.ensembl.org/id/WBGene00220234", "WBGene00220234")</f>
        <v>WBGene00220234</v>
      </c>
      <c r="B18456" s="9"/>
      <c r="C18456" s="9"/>
      <c r="D18456" t="str">
        <f>"ZC410.9"</f>
        <v>ZC410.9</v>
      </c>
      <c r="F18456" t="s">
        <v>2977</v>
      </c>
      <c r="H18456" s="12">
        <v>2.4578120077400301</v>
      </c>
      <c r="I18456" s="20">
        <v>0.26093350314551</v>
      </c>
      <c r="J18456" s="28">
        <v>0.79414378780213601</v>
      </c>
      <c r="K18456" s="29">
        <v>0.98289565623980701</v>
      </c>
    </row>
    <row r="18457" spans="1:11" x14ac:dyDescent="0.35">
      <c r="A18457" s="9" t="str">
        <f>HYPERLINK("http://www.ensembl.org/id/WBGene00013886", "WBGene00013886")</f>
        <v>WBGene00013886</v>
      </c>
      <c r="B18457" s="9" t="str">
        <f>HYPERLINK("http://www.ncbi.nlm.nih.gov/gene/191161", "191161")</f>
        <v>191161</v>
      </c>
      <c r="C18457" s="9"/>
      <c r="D18457" t="str">
        <f>"ZC412.5"</f>
        <v>ZC412.5</v>
      </c>
      <c r="F18457" t="s">
        <v>11</v>
      </c>
      <c r="H18457" s="12">
        <v>1.56517673601302</v>
      </c>
      <c r="I18457" s="20">
        <v>0.27610616594507498</v>
      </c>
      <c r="J18457" s="28">
        <v>0.78246652495403002</v>
      </c>
      <c r="K18457" s="29">
        <v>0.98289565623980701</v>
      </c>
    </row>
    <row r="18458" spans="1:11" x14ac:dyDescent="0.35">
      <c r="A18458" s="9" t="str">
        <f>HYPERLINK("http://www.ensembl.org/id/WBGene00022609", "WBGene00022609")</f>
        <v>WBGene00022609</v>
      </c>
      <c r="B18458" s="9" t="str">
        <f>HYPERLINK("http://www.ncbi.nlm.nih.gov/gene/191168", "191168")</f>
        <v>191168</v>
      </c>
      <c r="C18458" s="9"/>
      <c r="D18458" t="str">
        <f>"ZC416.2"</f>
        <v>ZC416.2</v>
      </c>
      <c r="F18458" t="s">
        <v>11</v>
      </c>
      <c r="G18458" t="s">
        <v>2947</v>
      </c>
      <c r="H18458" s="12">
        <v>1.2843192023360701</v>
      </c>
      <c r="I18458" s="20">
        <v>0.75298896029943396</v>
      </c>
      <c r="J18458" s="28">
        <v>0.45145654800908402</v>
      </c>
      <c r="K18458" s="29">
        <v>0.98289565623980701</v>
      </c>
    </row>
    <row r="18459" spans="1:11" x14ac:dyDescent="0.35">
      <c r="A18459" s="9" t="str">
        <f>HYPERLINK("http://www.ensembl.org/id/WBGene00220261", "WBGene00220261")</f>
        <v>WBGene00220261</v>
      </c>
      <c r="B18459" s="9" t="str">
        <f>HYPERLINK("http://www.ncbi.nlm.nih.gov/gene/24105269", "24105269")</f>
        <v>24105269</v>
      </c>
      <c r="C18459" s="9"/>
      <c r="D18459" t="str">
        <f>"ZC434.10"</f>
        <v>ZC434.10</v>
      </c>
      <c r="F18459" t="s">
        <v>11</v>
      </c>
      <c r="H18459" s="12">
        <v>5.2954185682811996</v>
      </c>
      <c r="I18459" s="20">
        <v>0.58847157202951395</v>
      </c>
      <c r="J18459" s="28">
        <v>0.55621580972939799</v>
      </c>
      <c r="K18459" s="29">
        <v>0.98289565623980701</v>
      </c>
    </row>
    <row r="18460" spans="1:11" x14ac:dyDescent="0.35">
      <c r="A18460" s="9" t="str">
        <f>HYPERLINK("http://www.ensembl.org/id/WBGene00022611", "WBGene00022611")</f>
        <v>WBGene00022611</v>
      </c>
      <c r="B18460" s="9" t="str">
        <f>HYPERLINK("http://www.ncbi.nlm.nih.gov/gene/180775", "180775")</f>
        <v>180775</v>
      </c>
      <c r="C18460" s="9"/>
      <c r="D18460" t="str">
        <f>"ZC449.1"</f>
        <v>ZC449.1</v>
      </c>
      <c r="F18460" t="s">
        <v>11</v>
      </c>
      <c r="H18460" s="12">
        <v>1.8419695810177601</v>
      </c>
      <c r="I18460" s="20">
        <v>1.1445156320113501</v>
      </c>
      <c r="J18460" s="28">
        <v>0.25240985879891698</v>
      </c>
      <c r="K18460" s="29">
        <v>0.98289565623980701</v>
      </c>
    </row>
    <row r="18461" spans="1:11" x14ac:dyDescent="0.35">
      <c r="A18461" s="9" t="str">
        <f>HYPERLINK("http://www.ensembl.org/id/WBGene00022612", "WBGene00022612")</f>
        <v>WBGene00022612</v>
      </c>
      <c r="B18461" s="9" t="str">
        <f>HYPERLINK("http://www.ncbi.nlm.nih.gov/gene/180774", "180774")</f>
        <v>180774</v>
      </c>
      <c r="C18461" s="9"/>
      <c r="D18461" t="str">
        <f>"ZC449.2"</f>
        <v>ZC449.2</v>
      </c>
      <c r="F18461" t="s">
        <v>11</v>
      </c>
      <c r="H18461" s="12">
        <v>1.1773571860204</v>
      </c>
      <c r="I18461" s="20">
        <v>0.39537781798273203</v>
      </c>
      <c r="J18461" s="28">
        <v>0.69256407699349098</v>
      </c>
      <c r="K18461" s="29">
        <v>0.98289565623980701</v>
      </c>
    </row>
    <row r="18462" spans="1:11" x14ac:dyDescent="0.35">
      <c r="A18462" s="9" t="str">
        <f>HYPERLINK("http://www.ensembl.org/id/WBGene00022614", "WBGene00022614")</f>
        <v>WBGene00022614</v>
      </c>
      <c r="B18462" s="9" t="str">
        <f>HYPERLINK("http://www.ncbi.nlm.nih.gov/gene/191172", "191172")</f>
        <v>191172</v>
      </c>
      <c r="C18462" s="9"/>
      <c r="D18462" t="str">
        <f>"ZC449.4"</f>
        <v>ZC449.4</v>
      </c>
      <c r="F18462" t="s">
        <v>11</v>
      </c>
      <c r="G18462" t="s">
        <v>25</v>
      </c>
      <c r="H18462" s="12">
        <v>1.15157553595799</v>
      </c>
      <c r="I18462" s="20">
        <v>0.60894998007280698</v>
      </c>
      <c r="J18462" s="28">
        <v>0.54255759427307004</v>
      </c>
      <c r="K18462" s="29">
        <v>0.98289565623980701</v>
      </c>
    </row>
    <row r="18463" spans="1:11" x14ac:dyDescent="0.35">
      <c r="A18463" s="9" t="str">
        <f>HYPERLINK("http://www.ensembl.org/id/WBGene00195189", "WBGene00195189")</f>
        <v>WBGene00195189</v>
      </c>
      <c r="B18463" s="9" t="str">
        <f>HYPERLINK("http://www.ncbi.nlm.nih.gov/gene/13220478", "13220478")</f>
        <v>13220478</v>
      </c>
      <c r="C18463" s="9"/>
      <c r="D18463" t="str">
        <f>"ZC449.8"</f>
        <v>ZC449.8</v>
      </c>
      <c r="F18463" t="s">
        <v>11</v>
      </c>
      <c r="H18463" s="12">
        <v>1.24774294076753</v>
      </c>
      <c r="I18463" s="20">
        <v>0.70585010286803895</v>
      </c>
      <c r="J18463" s="28">
        <v>0.48028136029842999</v>
      </c>
      <c r="K18463" s="29">
        <v>0.98289565623980701</v>
      </c>
    </row>
    <row r="18464" spans="1:11" x14ac:dyDescent="0.35">
      <c r="A18464" s="9" t="str">
        <f>HYPERLINK("http://www.ensembl.org/id/WBGene00195809", "WBGene00195809")</f>
        <v>WBGene00195809</v>
      </c>
      <c r="B18464" s="9"/>
      <c r="C18464" s="9"/>
      <c r="D18464" t="str">
        <f>"ZC455.14"</f>
        <v>ZC455.14</v>
      </c>
      <c r="F18464" t="s">
        <v>481</v>
      </c>
      <c r="H18464" s="12">
        <v>7.6616465944663696</v>
      </c>
      <c r="I18464" s="20">
        <v>0.60406875593600395</v>
      </c>
      <c r="J18464" s="28">
        <v>0.54579793098927099</v>
      </c>
      <c r="K18464" s="29">
        <v>0.98289565623980701</v>
      </c>
    </row>
    <row r="18465" spans="1:11" x14ac:dyDescent="0.35">
      <c r="A18465" s="9" t="str">
        <f>HYPERLINK("http://www.ensembl.org/id/WBGene00196701", "WBGene00196701")</f>
        <v>WBGene00196701</v>
      </c>
      <c r="B18465" s="9"/>
      <c r="C18465" s="9"/>
      <c r="D18465" t="str">
        <f>"ZC455.15"</f>
        <v>ZC455.15</v>
      </c>
      <c r="F18465" t="s">
        <v>481</v>
      </c>
      <c r="H18465" s="12">
        <v>-3.7261494131482999</v>
      </c>
      <c r="I18465" s="20">
        <v>-0.38454673129429601</v>
      </c>
      <c r="J18465" s="28">
        <v>0.70057326682554</v>
      </c>
      <c r="K18465" s="29">
        <v>0.98289565623980701</v>
      </c>
    </row>
    <row r="18466" spans="1:11" x14ac:dyDescent="0.35">
      <c r="A18466" s="9" t="str">
        <f>HYPERLINK("http://www.ensembl.org/id/WBGene00014978", "WBGene00014978")</f>
        <v>WBGene00014978</v>
      </c>
      <c r="B18466" s="9"/>
      <c r="C18466" s="9"/>
      <c r="D18466" t="str">
        <f>"ZC47.8"</f>
        <v>ZC47.8</v>
      </c>
      <c r="F18466" t="s">
        <v>80</v>
      </c>
      <c r="H18466" s="12">
        <v>-1.2520545665419101</v>
      </c>
      <c r="I18466" s="20">
        <v>-0.59325083358198005</v>
      </c>
      <c r="J18466" s="28">
        <v>0.55301329743096295</v>
      </c>
      <c r="K18466" s="29">
        <v>0.98289565623980701</v>
      </c>
    </row>
    <row r="18467" spans="1:11" x14ac:dyDescent="0.35">
      <c r="A18467" s="9" t="str">
        <f>HYPERLINK("http://www.ensembl.org/id/WBGene00022622", "WBGene00022622")</f>
        <v>WBGene00022622</v>
      </c>
      <c r="B18467" s="9"/>
      <c r="C18467" s="9"/>
      <c r="D18467" t="str">
        <f>"ZC477.10"</f>
        <v>ZC477.10</v>
      </c>
      <c r="F18467" t="s">
        <v>80</v>
      </c>
      <c r="H18467" s="12">
        <v>-1.7364970022561299</v>
      </c>
      <c r="I18467" s="20">
        <v>-0.34523008354009499</v>
      </c>
      <c r="J18467" s="28">
        <v>0.72992140406278205</v>
      </c>
      <c r="K18467" s="29">
        <v>0.98289565623980701</v>
      </c>
    </row>
    <row r="18468" spans="1:11" x14ac:dyDescent="0.35">
      <c r="A18468" s="9" t="str">
        <f>HYPERLINK("http://www.ensembl.org/id/WBGene00201747", "WBGene00201747")</f>
        <v>WBGene00201747</v>
      </c>
      <c r="B18468" s="9"/>
      <c r="C18468" s="9"/>
      <c r="D18468" t="str">
        <f>"ZC477.20"</f>
        <v>ZC477.20</v>
      </c>
      <c r="F18468" t="s">
        <v>481</v>
      </c>
      <c r="H18468" s="12">
        <v>-2.4991590031922399</v>
      </c>
      <c r="I18468" s="20">
        <v>-0.26577412737581302</v>
      </c>
      <c r="J18468" s="28">
        <v>0.79041317015736101</v>
      </c>
      <c r="K18468" s="29">
        <v>0.98289565623980701</v>
      </c>
    </row>
    <row r="18469" spans="1:11" x14ac:dyDescent="0.35">
      <c r="A18469" s="9" t="str">
        <f>HYPERLINK("http://www.ensembl.org/id/WBGene00022618", "WBGene00022618")</f>
        <v>WBGene00022618</v>
      </c>
      <c r="B18469" s="9" t="str">
        <f>HYPERLINK("http://www.ncbi.nlm.nih.gov/gene/177484", "177484")</f>
        <v>177484</v>
      </c>
      <c r="C18469" s="9" t="str">
        <f>HYPERLINK("http://www.ncbi.nlm.nih.gov/gene/79714", "79714")</f>
        <v>79714</v>
      </c>
      <c r="D18469" t="str">
        <f>"ZC477.3"</f>
        <v>ZC477.3</v>
      </c>
      <c r="F18469" t="s">
        <v>11</v>
      </c>
      <c r="G18469" t="s">
        <v>25</v>
      </c>
      <c r="H18469" s="12">
        <v>-1.11840898070051</v>
      </c>
      <c r="I18469" s="20">
        <v>-0.55489050594335299</v>
      </c>
      <c r="J18469" s="28">
        <v>0.57896955616888301</v>
      </c>
      <c r="K18469" s="29">
        <v>0.98289565623980701</v>
      </c>
    </row>
    <row r="18470" spans="1:11" x14ac:dyDescent="0.35">
      <c r="A18470" s="9" t="str">
        <f>HYPERLINK("http://www.ensembl.org/id/WBGene00022624", "WBGene00022624")</f>
        <v>WBGene00022624</v>
      </c>
      <c r="B18470" s="9" t="str">
        <f>HYPERLINK("http://www.ncbi.nlm.nih.gov/gene/191189", "191189")</f>
        <v>191189</v>
      </c>
      <c r="C18470" s="9"/>
      <c r="D18470" t="str">
        <f>"ZC487.2"</f>
        <v>ZC487.2</v>
      </c>
      <c r="F18470" t="s">
        <v>11</v>
      </c>
      <c r="G18470" t="s">
        <v>25</v>
      </c>
      <c r="H18470" s="12">
        <v>7.3088293689036803</v>
      </c>
      <c r="I18470" s="20">
        <v>0.93528831145381397</v>
      </c>
      <c r="J18470" s="28">
        <v>0.34963973738127302</v>
      </c>
      <c r="K18470" s="29">
        <v>0.98289565623980701</v>
      </c>
    </row>
    <row r="18471" spans="1:11" x14ac:dyDescent="0.35">
      <c r="A18471" s="9" t="str">
        <f>HYPERLINK("http://www.ensembl.org/id/WBGene00196392", "WBGene00196392")</f>
        <v>WBGene00196392</v>
      </c>
      <c r="B18471" s="9"/>
      <c r="C18471" s="9"/>
      <c r="D18471" t="str">
        <f>"ZC487.7"</f>
        <v>ZC487.7</v>
      </c>
      <c r="F18471" t="s">
        <v>481</v>
      </c>
      <c r="H18471" s="12">
        <v>2.4578120077400301</v>
      </c>
      <c r="I18471" s="20">
        <v>0.26093350314551</v>
      </c>
      <c r="J18471" s="28">
        <v>0.79414378780213601</v>
      </c>
      <c r="K18471" s="29">
        <v>0.98289565623980701</v>
      </c>
    </row>
    <row r="18472" spans="1:11" x14ac:dyDescent="0.35">
      <c r="A18472" s="9" t="str">
        <f>HYPERLINK("http://www.ensembl.org/id/WBGene00198402", "WBGene00198402")</f>
        <v>WBGene00198402</v>
      </c>
      <c r="B18472" s="9"/>
      <c r="C18472" s="9"/>
      <c r="D18472" t="str">
        <f>"ZC487.8"</f>
        <v>ZC487.8</v>
      </c>
      <c r="F18472" t="s">
        <v>481</v>
      </c>
      <c r="H18472" s="12">
        <v>2.3893468495514898</v>
      </c>
      <c r="I18472" s="20">
        <v>0.25323547253672701</v>
      </c>
      <c r="J18472" s="28">
        <v>0.80008625651646104</v>
      </c>
      <c r="K18472" s="29">
        <v>0.98289565623980701</v>
      </c>
    </row>
    <row r="18473" spans="1:11" x14ac:dyDescent="0.35">
      <c r="A18473" s="9" t="str">
        <f>HYPERLINK("http://www.ensembl.org/id/WBGene00013916", "WBGene00013916")</f>
        <v>WBGene00013916</v>
      </c>
      <c r="B18473" s="9" t="str">
        <f>HYPERLINK("http://www.ncbi.nlm.nih.gov/gene/191192", "191192")</f>
        <v>191192</v>
      </c>
      <c r="C18473" s="9"/>
      <c r="D18473" t="str">
        <f>"ZC504.1"</f>
        <v>ZC504.1</v>
      </c>
      <c r="F18473" t="s">
        <v>11</v>
      </c>
      <c r="G18473" t="s">
        <v>9785</v>
      </c>
      <c r="H18473" s="12">
        <v>-1.5112402340928199</v>
      </c>
      <c r="I18473" s="20">
        <v>-0.35124216492517801</v>
      </c>
      <c r="J18473" s="28">
        <v>0.725406679709243</v>
      </c>
      <c r="K18473" s="29">
        <v>0.98289565623980701</v>
      </c>
    </row>
    <row r="18474" spans="1:11" x14ac:dyDescent="0.35">
      <c r="A18474" s="9" t="str">
        <f>HYPERLINK("http://www.ensembl.org/id/WBGene00197720", "WBGene00197720")</f>
        <v>WBGene00197720</v>
      </c>
      <c r="B18474" s="9"/>
      <c r="C18474" s="9"/>
      <c r="D18474" t="str">
        <f>"ZC504.11"</f>
        <v>ZC504.11</v>
      </c>
      <c r="F18474" t="s">
        <v>481</v>
      </c>
      <c r="H18474" s="12">
        <v>2.4578120077400301</v>
      </c>
      <c r="I18474" s="20">
        <v>0.26093350314551</v>
      </c>
      <c r="J18474" s="28">
        <v>0.79414378780213601</v>
      </c>
      <c r="K18474" s="29">
        <v>0.98289565623980701</v>
      </c>
    </row>
    <row r="18475" spans="1:11" x14ac:dyDescent="0.35">
      <c r="A18475" s="9" t="str">
        <f>HYPERLINK("http://www.ensembl.org/id/WBGene00199990", "WBGene00199990")</f>
        <v>WBGene00199990</v>
      </c>
      <c r="B18475" s="9"/>
      <c r="C18475" s="9"/>
      <c r="D18475" t="str">
        <f>"ZC504.15"</f>
        <v>ZC504.15</v>
      </c>
      <c r="F18475" t="s">
        <v>481</v>
      </c>
      <c r="H18475" s="12">
        <v>2.3893468495514898</v>
      </c>
      <c r="I18475" s="20">
        <v>0.25323547253672701</v>
      </c>
      <c r="J18475" s="28">
        <v>0.80008625651646104</v>
      </c>
      <c r="K18475" s="29">
        <v>0.98289565623980701</v>
      </c>
    </row>
    <row r="18476" spans="1:11" x14ac:dyDescent="0.35">
      <c r="A18476" s="9" t="str">
        <f>HYPERLINK("http://www.ensembl.org/id/WBGene00196925", "WBGene00196925")</f>
        <v>WBGene00196925</v>
      </c>
      <c r="B18476" s="9"/>
      <c r="C18476" s="9"/>
      <c r="D18476" t="str">
        <f>"ZC504.8"</f>
        <v>ZC504.8</v>
      </c>
      <c r="F18476" t="s">
        <v>481</v>
      </c>
      <c r="H18476" s="12">
        <v>-2.4991590031922399</v>
      </c>
      <c r="I18476" s="20">
        <v>-0.26577412737581302</v>
      </c>
      <c r="J18476" s="28">
        <v>0.79041317015736101</v>
      </c>
      <c r="K18476" s="29">
        <v>0.98289565623980701</v>
      </c>
    </row>
    <row r="18477" spans="1:11" x14ac:dyDescent="0.35">
      <c r="A18477" s="9" t="str">
        <f>HYPERLINK("http://www.ensembl.org/id/WBGene00200119", "WBGene00200119")</f>
        <v>WBGene00200119</v>
      </c>
      <c r="B18477" s="9"/>
      <c r="C18477" s="9"/>
      <c r="D18477" t="str">
        <f>"ZC506.8"</f>
        <v>ZC506.8</v>
      </c>
      <c r="F18477" t="s">
        <v>481</v>
      </c>
      <c r="H18477" s="12">
        <v>3.5227018545059199</v>
      </c>
      <c r="I18477" s="20">
        <v>0.36849691206929103</v>
      </c>
      <c r="J18477" s="28">
        <v>0.71250274722433404</v>
      </c>
      <c r="K18477" s="29">
        <v>0.98289565623980701</v>
      </c>
    </row>
    <row r="18478" spans="1:11" x14ac:dyDescent="0.35">
      <c r="A18478" s="9" t="str">
        <f>HYPERLINK("http://www.ensembl.org/id/WBGene00194928", "WBGene00194928")</f>
        <v>WBGene00194928</v>
      </c>
      <c r="B18478" s="9" t="str">
        <f>HYPERLINK("http://www.ncbi.nlm.nih.gov/gene/13213873", "13213873")</f>
        <v>13213873</v>
      </c>
      <c r="C18478" s="9"/>
      <c r="D18478" t="str">
        <f>"ZC513.14"</f>
        <v>ZC513.14</v>
      </c>
      <c r="F18478" t="s">
        <v>11</v>
      </c>
      <c r="H18478" s="12">
        <v>2.05027736613058</v>
      </c>
      <c r="I18478" s="20">
        <v>0.535151333896839</v>
      </c>
      <c r="J18478" s="28">
        <v>0.59254521535853599</v>
      </c>
      <c r="K18478" s="29">
        <v>0.98289565623980701</v>
      </c>
    </row>
    <row r="18479" spans="1:11" x14ac:dyDescent="0.35">
      <c r="A18479" s="9" t="str">
        <f>HYPERLINK("http://www.ensembl.org/id/WBGene00198488", "WBGene00198488")</f>
        <v>WBGene00198488</v>
      </c>
      <c r="B18479" s="9"/>
      <c r="C18479" s="9"/>
      <c r="D18479" t="str">
        <f>"ZC513.17"</f>
        <v>ZC513.17</v>
      </c>
      <c r="F18479" t="s">
        <v>481</v>
      </c>
      <c r="H18479" s="12">
        <v>-2.4991590031922399</v>
      </c>
      <c r="I18479" s="20">
        <v>-0.26577412737581302</v>
      </c>
      <c r="J18479" s="28">
        <v>0.79041317015736101</v>
      </c>
      <c r="K18479" s="29">
        <v>0.98289565623980701</v>
      </c>
    </row>
    <row r="18480" spans="1:11" x14ac:dyDescent="0.35">
      <c r="A18480" s="9" t="str">
        <f>HYPERLINK("http://www.ensembl.org/id/WBGene00022627", "WBGene00022627")</f>
        <v>WBGene00022627</v>
      </c>
      <c r="B18480" s="9" t="str">
        <f>HYPERLINK("http://www.ncbi.nlm.nih.gov/gene/191194", "191194")</f>
        <v>191194</v>
      </c>
      <c r="C18480" s="9"/>
      <c r="D18480" t="str">
        <f>"ZC513.2"</f>
        <v>ZC513.2</v>
      </c>
      <c r="F18480" t="s">
        <v>11</v>
      </c>
      <c r="G18480" t="s">
        <v>554</v>
      </c>
      <c r="H18480" s="12">
        <v>-1.1492567895697801</v>
      </c>
      <c r="I18480" s="20">
        <v>-0.40863294533008698</v>
      </c>
      <c r="J18480" s="28">
        <v>0.68280904949045196</v>
      </c>
      <c r="K18480" s="29">
        <v>0.98289565623980701</v>
      </c>
    </row>
    <row r="18481" spans="1:11" x14ac:dyDescent="0.35">
      <c r="A18481" s="9" t="str">
        <f>HYPERLINK("http://www.ensembl.org/id/WBGene00023209", "WBGene00023209")</f>
        <v>WBGene00023209</v>
      </c>
      <c r="B18481" s="9"/>
      <c r="C18481" s="9"/>
      <c r="D18481" t="str">
        <f>"ZC513.7"</f>
        <v>ZC513.7</v>
      </c>
      <c r="F18481" t="s">
        <v>80</v>
      </c>
      <c r="H18481" s="12">
        <v>-1.1179552664880501</v>
      </c>
      <c r="I18481" s="20">
        <v>-0.55742109371426896</v>
      </c>
      <c r="J18481" s="28">
        <v>0.57723975681305095</v>
      </c>
      <c r="K18481" s="29">
        <v>0.98289565623980701</v>
      </c>
    </row>
    <row r="18482" spans="1:11" x14ac:dyDescent="0.35">
      <c r="A18482" s="9" t="str">
        <f>HYPERLINK("http://www.ensembl.org/id/WBGene00235129", "WBGene00235129")</f>
        <v>WBGene00235129</v>
      </c>
      <c r="B18482" s="9" t="str">
        <f>HYPERLINK("http://www.ncbi.nlm.nih.gov/gene/24105271", "24105271")</f>
        <v>24105271</v>
      </c>
      <c r="C18482" s="9"/>
      <c r="D18482" t="str">
        <f>"ZC518.8"</f>
        <v>ZC518.8</v>
      </c>
      <c r="F18482" t="s">
        <v>11</v>
      </c>
      <c r="H18482" s="12">
        <v>-1.7421377075195901</v>
      </c>
      <c r="I18482" s="20">
        <v>-0.58314156452308596</v>
      </c>
      <c r="J18482" s="28">
        <v>0.55979800511497302</v>
      </c>
      <c r="K18482" s="29">
        <v>0.98289565623980701</v>
      </c>
    </row>
    <row r="18483" spans="1:11" x14ac:dyDescent="0.35">
      <c r="A18483" s="9" t="str">
        <f>HYPERLINK("http://www.ensembl.org/id/WBGene00197216", "WBGene00197216")</f>
        <v>WBGene00197216</v>
      </c>
      <c r="B18483" s="9"/>
      <c r="C18483" s="9"/>
      <c r="D18483" t="str">
        <f>"ZC53.11"</f>
        <v>ZC53.11</v>
      </c>
      <c r="F18483" t="s">
        <v>481</v>
      </c>
      <c r="H18483" s="12">
        <v>2.4578120077400301</v>
      </c>
      <c r="I18483" s="20">
        <v>0.26093350314551</v>
      </c>
      <c r="J18483" s="28">
        <v>0.79414378780213601</v>
      </c>
      <c r="K18483" s="29">
        <v>0.98289565623980701</v>
      </c>
    </row>
    <row r="18484" spans="1:11" x14ac:dyDescent="0.35">
      <c r="A18484" s="9" t="str">
        <f>HYPERLINK("http://www.ensembl.org/id/WBGene00198736", "WBGene00198736")</f>
        <v>WBGene00198736</v>
      </c>
      <c r="B18484" s="9"/>
      <c r="C18484" s="9"/>
      <c r="D18484" t="str">
        <f>"ZC581.13"</f>
        <v>ZC581.13</v>
      </c>
      <c r="F18484" t="s">
        <v>481</v>
      </c>
      <c r="H18484" s="12">
        <v>2.3893468495514898</v>
      </c>
      <c r="I18484" s="20">
        <v>0.25323547253672701</v>
      </c>
      <c r="J18484" s="28">
        <v>0.80008625651646104</v>
      </c>
      <c r="K18484" s="29">
        <v>0.98289565623980701</v>
      </c>
    </row>
    <row r="18485" spans="1:11" x14ac:dyDescent="0.35">
      <c r="A18485" s="9" t="str">
        <f>HYPERLINK("http://www.ensembl.org/id/WBGene00022634", "WBGene00022634")</f>
        <v>WBGene00022634</v>
      </c>
      <c r="B18485" s="9" t="str">
        <f>HYPERLINK("http://www.ncbi.nlm.nih.gov/gene/266838", "266838")</f>
        <v>266838</v>
      </c>
      <c r="C18485" s="9"/>
      <c r="D18485" t="str">
        <f>"ZC581.7"</f>
        <v>ZC581.7</v>
      </c>
      <c r="E18485" t="s">
        <v>2588</v>
      </c>
      <c r="F18485" t="s">
        <v>11</v>
      </c>
      <c r="G18485" t="s">
        <v>2589</v>
      </c>
      <c r="H18485" s="12">
        <v>-1.54522098051905</v>
      </c>
      <c r="I18485" s="20">
        <v>-0.36870792106306999</v>
      </c>
      <c r="J18485" s="28">
        <v>0.71234544396472199</v>
      </c>
      <c r="K18485" s="29">
        <v>0.98289565623980701</v>
      </c>
    </row>
    <row r="18486" spans="1:11" x14ac:dyDescent="0.35">
      <c r="A18486" s="9" t="str">
        <f>HYPERLINK("http://www.ensembl.org/id/WBGene00022501", "WBGene00022501")</f>
        <v>WBGene00022501</v>
      </c>
      <c r="B18486" s="9" t="str">
        <f>HYPERLINK("http://www.ncbi.nlm.nih.gov/gene/180770", "180770")</f>
        <v>180770</v>
      </c>
      <c r="C18486" s="9" t="str">
        <f>HYPERLINK("http://www.ncbi.nlm.nih.gov/gene/55361", "55361")</f>
        <v>55361</v>
      </c>
      <c r="D18486" t="str">
        <f>"ZC8.6"</f>
        <v>ZC8.6</v>
      </c>
      <c r="F18486" t="s">
        <v>11</v>
      </c>
      <c r="G18486" t="s">
        <v>1697</v>
      </c>
      <c r="H18486" s="12">
        <v>-1.10278031954876</v>
      </c>
      <c r="I18486" s="20">
        <v>-0.47549644448650102</v>
      </c>
      <c r="J18486" s="28">
        <v>0.63443316688261597</v>
      </c>
      <c r="K18486" s="29">
        <v>0.98289565623980701</v>
      </c>
    </row>
    <row r="18487" spans="1:11" x14ac:dyDescent="0.35">
      <c r="A18487" s="9" t="str">
        <f>HYPERLINK("http://www.ensembl.org/id/WBGene00014980", "WBGene00014980")</f>
        <v>WBGene00014980</v>
      </c>
      <c r="B18487" s="9"/>
      <c r="C18487" s="9"/>
      <c r="D18487" t="str">
        <f>"ZC84.5"</f>
        <v>ZC84.5</v>
      </c>
      <c r="F18487" t="s">
        <v>80</v>
      </c>
      <c r="H18487" s="12">
        <v>3.85361667200526</v>
      </c>
      <c r="I18487" s="20">
        <v>0.570215181864547</v>
      </c>
      <c r="J18487" s="28">
        <v>0.568531760239807</v>
      </c>
      <c r="K18487" s="29">
        <v>0.98289565623980701</v>
      </c>
    </row>
    <row r="18488" spans="1:11" x14ac:dyDescent="0.35">
      <c r="A18488" s="9" t="str">
        <f>HYPERLINK("http://www.ensembl.org/id/WBGene00013850", "WBGene00013850")</f>
        <v>WBGene00013850</v>
      </c>
      <c r="B18488" s="9" t="str">
        <f>HYPERLINK("http://www.ncbi.nlm.nih.gov/gene/3565556", "3565556")</f>
        <v>3565556</v>
      </c>
      <c r="C18488" s="9"/>
      <c r="D18488" t="str">
        <f>"ZC84.7"</f>
        <v>ZC84.7</v>
      </c>
      <c r="F18488" t="s">
        <v>11</v>
      </c>
      <c r="G18488" t="s">
        <v>25</v>
      </c>
      <c r="H18488" s="12">
        <v>2.7219920220850602</v>
      </c>
      <c r="I18488" s="20">
        <v>1.17918319884203</v>
      </c>
      <c r="J18488" s="28">
        <v>0.23832523473266801</v>
      </c>
      <c r="K18488" s="29">
        <v>0.98289565623980701</v>
      </c>
    </row>
    <row r="18489" spans="1:11" x14ac:dyDescent="0.35">
      <c r="A18489" s="9" t="str">
        <f>HYPERLINK("http://www.ensembl.org/id/WBGene00006974", "WBGene00006974")</f>
        <v>WBGene00006974</v>
      </c>
      <c r="B18489" s="9" t="str">
        <f>HYPERLINK("http://www.ncbi.nlm.nih.gov/gene/177374", "177374")</f>
        <v>177374</v>
      </c>
      <c r="C18489" s="9" t="str">
        <f>HYPERLINK("http://www.ncbi.nlm.nih.gov/gene/9493", "9493")</f>
        <v>9493</v>
      </c>
      <c r="D18489" t="str">
        <f>"zen-4"</f>
        <v>zen-4</v>
      </c>
      <c r="E18489" t="s">
        <v>469</v>
      </c>
      <c r="F18489" t="s">
        <v>11</v>
      </c>
      <c r="G18489" t="s">
        <v>7863</v>
      </c>
      <c r="H18489" s="12">
        <v>-1.14859502561764</v>
      </c>
      <c r="I18489" s="20">
        <v>-0.58191236747376696</v>
      </c>
      <c r="J18489" s="28">
        <v>0.56062570961153102</v>
      </c>
      <c r="K18489" s="29">
        <v>0.98289565623980701</v>
      </c>
    </row>
    <row r="18490" spans="1:11" x14ac:dyDescent="0.35">
      <c r="A18490" s="9" t="str">
        <f>HYPERLINK("http://www.ensembl.org/id/WBGene00020762", "WBGene00020762")</f>
        <v>WBGene00020762</v>
      </c>
      <c r="B18490" s="9" t="str">
        <f>HYPERLINK("http://www.ncbi.nlm.nih.gov/gene/175249", "175249")</f>
        <v>175249</v>
      </c>
      <c r="C18490" s="9" t="str">
        <f>HYPERLINK("http://www.ncbi.nlm.nih.gov/gene/10444", "10444")</f>
        <v>10444</v>
      </c>
      <c r="D18490" t="str">
        <f>"zer-1"</f>
        <v>zer-1</v>
      </c>
      <c r="E18490" t="s">
        <v>6413</v>
      </c>
      <c r="F18490" t="s">
        <v>11</v>
      </c>
      <c r="G18490" t="s">
        <v>4517</v>
      </c>
      <c r="H18490" s="12">
        <v>-1.06832262629921</v>
      </c>
      <c r="I18490" s="20">
        <v>-0.364431372966245</v>
      </c>
      <c r="J18490" s="28">
        <v>0.71553591159752705</v>
      </c>
      <c r="K18490" s="29">
        <v>0.98289565623980701</v>
      </c>
    </row>
    <row r="18491" spans="1:11" x14ac:dyDescent="0.35">
      <c r="A18491" s="9" t="str">
        <f>HYPERLINK("http://www.ensembl.org/id/WBGene00022518", "WBGene00022518")</f>
        <v>WBGene00022518</v>
      </c>
      <c r="B18491" s="9" t="str">
        <f>HYPERLINK("http://www.ncbi.nlm.nih.gov/gene/171670", "171670")</f>
        <v>171670</v>
      </c>
      <c r="C18491" s="9"/>
      <c r="D18491" t="str">
        <f>"zfh-2"</f>
        <v>zfh-2</v>
      </c>
      <c r="E18491" t="s">
        <v>5536</v>
      </c>
      <c r="F18491" t="s">
        <v>11</v>
      </c>
      <c r="G18491" t="s">
        <v>5537</v>
      </c>
      <c r="H18491" s="12">
        <v>1.14928099834765</v>
      </c>
      <c r="I18491" s="20">
        <v>0.76412435573292903</v>
      </c>
      <c r="J18491" s="28">
        <v>0.44479313934723003</v>
      </c>
      <c r="K18491" s="29">
        <v>0.98289565623980701</v>
      </c>
    </row>
    <row r="18492" spans="1:11" x14ac:dyDescent="0.35">
      <c r="A18492" s="9" t="str">
        <f>HYPERLINK("http://www.ensembl.org/id/WBGene00009448", "WBGene00009448")</f>
        <v>WBGene00009448</v>
      </c>
      <c r="B18492" s="9" t="str">
        <f>HYPERLINK("http://www.ncbi.nlm.nih.gov/gene/174505", "174505")</f>
        <v>174505</v>
      </c>
      <c r="C18492" s="9"/>
      <c r="D18492" t="str">
        <f>"zfp-2"</f>
        <v>zfp-2</v>
      </c>
      <c r="E18492" t="s">
        <v>9609</v>
      </c>
      <c r="F18492" t="s">
        <v>11</v>
      </c>
      <c r="G18492" t="s">
        <v>9610</v>
      </c>
      <c r="H18492" s="12">
        <v>-1.2640581527608199</v>
      </c>
      <c r="I18492" s="20">
        <v>-1.1350547786559599</v>
      </c>
      <c r="J18492" s="28">
        <v>0.25635236728146099</v>
      </c>
      <c r="K18492" s="29">
        <v>0.98289565623980701</v>
      </c>
    </row>
    <row r="18493" spans="1:11" x14ac:dyDescent="0.35">
      <c r="A18493" s="9" t="str">
        <f>HYPERLINK("http://www.ensembl.org/id/WBGene00021047", "WBGene00021047")</f>
        <v>WBGene00021047</v>
      </c>
      <c r="B18493" s="9" t="str">
        <f>HYPERLINK("http://www.ncbi.nlm.nih.gov/gene/180479", "180479")</f>
        <v>180479</v>
      </c>
      <c r="C18493" s="9"/>
      <c r="D18493" t="str">
        <f>"zfp-3"</f>
        <v>zfp-3</v>
      </c>
      <c r="E18493" t="s">
        <v>9277</v>
      </c>
      <c r="F18493" t="s">
        <v>11</v>
      </c>
      <c r="G18493" t="s">
        <v>9278</v>
      </c>
      <c r="H18493" s="12">
        <v>-1.23316506744399</v>
      </c>
      <c r="I18493" s="20">
        <v>-1.12937553264738</v>
      </c>
      <c r="J18493" s="28">
        <v>0.258739449821695</v>
      </c>
      <c r="K18493" s="29">
        <v>0.98289565623980701</v>
      </c>
    </row>
    <row r="18494" spans="1:11" x14ac:dyDescent="0.35">
      <c r="A18494" s="9" t="str">
        <f>HYPERLINK("http://www.ensembl.org/id/WBGene00006489", "WBGene00006489")</f>
        <v>WBGene00006489</v>
      </c>
      <c r="B18494" s="9" t="str">
        <f>HYPERLINK("http://www.ncbi.nlm.nih.gov/gene/179420", "179420")</f>
        <v>179420</v>
      </c>
      <c r="C18494" s="9"/>
      <c r="D18494" t="str">
        <f>"zhit-3"</f>
        <v>zhit-3</v>
      </c>
      <c r="E18494" t="s">
        <v>2739</v>
      </c>
      <c r="F18494" t="s">
        <v>11</v>
      </c>
      <c r="G18494" t="s">
        <v>9798</v>
      </c>
      <c r="H18494" s="12">
        <v>-1.3048924502125601</v>
      </c>
      <c r="I18494" s="20">
        <v>-1.09356591332826</v>
      </c>
      <c r="J18494" s="28">
        <v>0.27414540585269198</v>
      </c>
      <c r="K18494" s="29">
        <v>0.98289565623980701</v>
      </c>
    </row>
    <row r="18495" spans="1:11" x14ac:dyDescent="0.35">
      <c r="A18495" s="9" t="str">
        <f>HYPERLINK("http://www.ensembl.org/id/WBGene00006978", "WBGene00006978")</f>
        <v>WBGene00006978</v>
      </c>
      <c r="B18495" s="9" t="str">
        <f>HYPERLINK("http://www.ncbi.nlm.nih.gov/gene/192086", "192086")</f>
        <v>192086</v>
      </c>
      <c r="C18495" s="9"/>
      <c r="D18495" t="str">
        <f>"zig-1"</f>
        <v>zig-1</v>
      </c>
      <c r="E18495" t="s">
        <v>6009</v>
      </c>
      <c r="F18495" t="s">
        <v>11</v>
      </c>
      <c r="G18495" t="s">
        <v>305</v>
      </c>
      <c r="H18495" s="12">
        <v>1.07329375786293</v>
      </c>
      <c r="I18495" s="20">
        <v>0.34592661463024799</v>
      </c>
      <c r="J18495" s="28">
        <v>0.72939786645765003</v>
      </c>
      <c r="K18495" s="29">
        <v>0.98289565623980701</v>
      </c>
    </row>
    <row r="18496" spans="1:11" x14ac:dyDescent="0.35">
      <c r="A18496" s="9" t="str">
        <f>HYPERLINK("http://www.ensembl.org/id/WBGene00020800", "WBGene00020800")</f>
        <v>WBGene00020800</v>
      </c>
      <c r="B18496" s="9" t="str">
        <f>HYPERLINK("http://www.ncbi.nlm.nih.gov/gene/188896", "188896")</f>
        <v>188896</v>
      </c>
      <c r="C18496" s="9"/>
      <c r="D18496" t="str">
        <f>"zig-10"</f>
        <v>zig-10</v>
      </c>
      <c r="E18496" t="s">
        <v>754</v>
      </c>
      <c r="F18496" t="s">
        <v>11</v>
      </c>
      <c r="G18496" t="s">
        <v>5570</v>
      </c>
      <c r="H18496" s="12">
        <v>1.14468386357423</v>
      </c>
      <c r="I18496" s="20">
        <v>0.44272350786507503</v>
      </c>
      <c r="J18496" s="28">
        <v>0.65796573678349102</v>
      </c>
      <c r="K18496" s="29">
        <v>0.98289565623980701</v>
      </c>
    </row>
    <row r="18497" spans="1:11" x14ac:dyDescent="0.35">
      <c r="A18497" s="9" t="str">
        <f>HYPERLINK("http://www.ensembl.org/id/WBGene00021305", "WBGene00021305")</f>
        <v>WBGene00021305</v>
      </c>
      <c r="B18497" s="9" t="str">
        <f>HYPERLINK("http://www.ncbi.nlm.nih.gov/gene/189580", "189580")</f>
        <v>189580</v>
      </c>
      <c r="C18497" s="9"/>
      <c r="D18497" t="str">
        <f>"zig-11"</f>
        <v>zig-11</v>
      </c>
      <c r="E18497" t="s">
        <v>754</v>
      </c>
      <c r="F18497" t="s">
        <v>11</v>
      </c>
      <c r="G18497" t="s">
        <v>305</v>
      </c>
      <c r="H18497" s="12">
        <v>-1.1638022036926201</v>
      </c>
      <c r="I18497" s="20">
        <v>-0.83758895631271102</v>
      </c>
      <c r="J18497" s="28">
        <v>0.40226159741198603</v>
      </c>
      <c r="K18497" s="29">
        <v>0.98289565623980701</v>
      </c>
    </row>
    <row r="18498" spans="1:11" x14ac:dyDescent="0.35">
      <c r="A18498" s="9" t="str">
        <f>HYPERLINK("http://www.ensembl.org/id/WBGene00019727", "WBGene00019727")</f>
        <v>WBGene00019727</v>
      </c>
      <c r="B18498" s="9" t="str">
        <f>HYPERLINK("http://www.ncbi.nlm.nih.gov/gene/181123", "181123")</f>
        <v>181123</v>
      </c>
      <c r="C18498" s="9"/>
      <c r="D18498" t="str">
        <f>"zig-12"</f>
        <v>zig-12</v>
      </c>
      <c r="E18498" t="s">
        <v>754</v>
      </c>
      <c r="F18498" t="s">
        <v>11</v>
      </c>
      <c r="G18498" t="s">
        <v>6989</v>
      </c>
      <c r="H18498" s="12">
        <v>-1.1013130915910201</v>
      </c>
      <c r="I18498" s="20">
        <v>-0.40830263350217499</v>
      </c>
      <c r="J18498" s="28">
        <v>0.68305150611279197</v>
      </c>
      <c r="K18498" s="29">
        <v>0.98289565623980701</v>
      </c>
    </row>
    <row r="18499" spans="1:11" x14ac:dyDescent="0.35">
      <c r="A18499" s="9" t="str">
        <f>HYPERLINK("http://www.ensembl.org/id/WBGene00006979", "WBGene00006979")</f>
        <v>WBGene00006979</v>
      </c>
      <c r="B18499" s="9" t="str">
        <f>HYPERLINK("http://www.ncbi.nlm.nih.gov/gene/192087", "192087")</f>
        <v>192087</v>
      </c>
      <c r="C18499" s="9"/>
      <c r="D18499" t="str">
        <f>"zig-2"</f>
        <v>zig-2</v>
      </c>
      <c r="E18499" t="s">
        <v>7025</v>
      </c>
      <c r="F18499" t="s">
        <v>11</v>
      </c>
      <c r="G18499" t="s">
        <v>33</v>
      </c>
      <c r="H18499" s="12">
        <v>-1.10275779544988</v>
      </c>
      <c r="I18499" s="20">
        <v>-0.37317847637581703</v>
      </c>
      <c r="J18499" s="28">
        <v>0.70901561436041005</v>
      </c>
      <c r="K18499" s="29">
        <v>0.98289565623980701</v>
      </c>
    </row>
    <row r="18500" spans="1:11" x14ac:dyDescent="0.35">
      <c r="A18500" s="9" t="str">
        <f>HYPERLINK("http://www.ensembl.org/id/WBGene00006982", "WBGene00006982")</f>
        <v>WBGene00006982</v>
      </c>
      <c r="B18500" s="9" t="str">
        <f>HYPERLINK("http://www.ncbi.nlm.nih.gov/gene/176527", "176527")</f>
        <v>176527</v>
      </c>
      <c r="C18500" s="9"/>
      <c r="D18500" t="str">
        <f>"zig-5"</f>
        <v>zig-5</v>
      </c>
      <c r="E18500" t="s">
        <v>4894</v>
      </c>
      <c r="F18500" t="s">
        <v>11</v>
      </c>
      <c r="G18500" t="s">
        <v>4895</v>
      </c>
      <c r="H18500" s="12">
        <v>1.31182484800459</v>
      </c>
      <c r="I18500" s="20">
        <v>1.1947324945625499</v>
      </c>
      <c r="J18500" s="28">
        <v>0.23219156239015501</v>
      </c>
      <c r="K18500" s="29">
        <v>0.98289565623980701</v>
      </c>
    </row>
    <row r="18501" spans="1:11" x14ac:dyDescent="0.35">
      <c r="A18501" s="9" t="str">
        <f>HYPERLINK("http://www.ensembl.org/id/WBGene00006983", "WBGene00006983")</f>
        <v>WBGene00006983</v>
      </c>
      <c r="B18501" s="9" t="str">
        <f>HYPERLINK("http://www.ncbi.nlm.nih.gov/gene/192089", "192089")</f>
        <v>192089</v>
      </c>
      <c r="C18501" s="9"/>
      <c r="D18501" t="str">
        <f>"zig-6"</f>
        <v>zig-6</v>
      </c>
      <c r="E18501" t="s">
        <v>5462</v>
      </c>
      <c r="F18501" t="s">
        <v>11</v>
      </c>
      <c r="G18501" t="s">
        <v>5463</v>
      </c>
      <c r="H18501" s="12">
        <v>1.16164514403887</v>
      </c>
      <c r="I18501" s="20">
        <v>0.55883812852572801</v>
      </c>
      <c r="J18501" s="28">
        <v>0.57627219814222097</v>
      </c>
      <c r="K18501" s="29">
        <v>0.98289565623980701</v>
      </c>
    </row>
    <row r="18502" spans="1:11" x14ac:dyDescent="0.35">
      <c r="A18502" s="9" t="str">
        <f>HYPERLINK("http://www.ensembl.org/id/WBGene00006984", "WBGene00006984")</f>
        <v>WBGene00006984</v>
      </c>
      <c r="B18502" s="9" t="str">
        <f>HYPERLINK("http://www.ncbi.nlm.nih.gov/gene/172096", "172096")</f>
        <v>172096</v>
      </c>
      <c r="C18502" s="9"/>
      <c r="D18502" t="str">
        <f>"zig-7"</f>
        <v>zig-7</v>
      </c>
      <c r="E18502" t="s">
        <v>6065</v>
      </c>
      <c r="F18502" t="s">
        <v>11</v>
      </c>
      <c r="G18502" t="s">
        <v>33</v>
      </c>
      <c r="H18502" s="12">
        <v>1.0663839345881501</v>
      </c>
      <c r="I18502" s="20">
        <v>0.33639577218762901</v>
      </c>
      <c r="J18502" s="28">
        <v>0.73657243722034904</v>
      </c>
      <c r="K18502" s="29">
        <v>0.98289565623980701</v>
      </c>
    </row>
    <row r="18503" spans="1:11" x14ac:dyDescent="0.35">
      <c r="A18503" s="9" t="str">
        <f>HYPERLINK("http://www.ensembl.org/id/WBGene00006985", "WBGene00006985")</f>
        <v>WBGene00006985</v>
      </c>
      <c r="B18503" s="9" t="str">
        <f>HYPERLINK("http://www.ncbi.nlm.nih.gov/gene/176732", "176732")</f>
        <v>176732</v>
      </c>
      <c r="C18503" s="9"/>
      <c r="D18503" t="str">
        <f>"zig-8"</f>
        <v>zig-8</v>
      </c>
      <c r="E18503" t="s">
        <v>4793</v>
      </c>
      <c r="F18503" t="s">
        <v>11</v>
      </c>
      <c r="G18503" t="s">
        <v>4794</v>
      </c>
      <c r="H18503" s="12">
        <v>1.3693475325047899</v>
      </c>
      <c r="I18503" s="20">
        <v>1.16587789451688</v>
      </c>
      <c r="J18503" s="28">
        <v>0.243663817657371</v>
      </c>
      <c r="K18503" s="29">
        <v>0.98289565623980701</v>
      </c>
    </row>
    <row r="18504" spans="1:11" x14ac:dyDescent="0.35">
      <c r="A18504" s="9" t="str">
        <f>HYPERLINK("http://www.ensembl.org/id/WBGene00021082", "WBGene00021082")</f>
        <v>WBGene00021082</v>
      </c>
      <c r="B18504" s="9" t="str">
        <f>HYPERLINK("http://www.ncbi.nlm.nih.gov/gene/177099", "177099")</f>
        <v>177099</v>
      </c>
      <c r="C18504" s="9"/>
      <c r="D18504" t="str">
        <f>"zip-11"</f>
        <v>zip-11</v>
      </c>
      <c r="E18504" t="s">
        <v>777</v>
      </c>
      <c r="F18504" t="s">
        <v>11</v>
      </c>
      <c r="G18504" t="s">
        <v>8012</v>
      </c>
      <c r="H18504" s="12">
        <v>-1.1561185337973701</v>
      </c>
      <c r="I18504" s="20">
        <v>-0.407506445037353</v>
      </c>
      <c r="J18504" s="28">
        <v>0.68363606147371203</v>
      </c>
      <c r="K18504" s="29">
        <v>0.98289565623980701</v>
      </c>
    </row>
    <row r="18505" spans="1:11" x14ac:dyDescent="0.35">
      <c r="A18505" s="9" t="str">
        <f>HYPERLINK("http://www.ensembl.org/id/WBGene00013560", "WBGene00013560")</f>
        <v>WBGene00013560</v>
      </c>
      <c r="B18505" s="9" t="str">
        <f>HYPERLINK("http://www.ncbi.nlm.nih.gov/gene/176655", "176655")</f>
        <v>176655</v>
      </c>
      <c r="C18505" s="9"/>
      <c r="D18505" t="str">
        <f>"zip-12"</f>
        <v>zip-12</v>
      </c>
      <c r="E18505" t="s">
        <v>777</v>
      </c>
      <c r="F18505" t="s">
        <v>11</v>
      </c>
      <c r="H18505" s="12">
        <v>1.12088128440146</v>
      </c>
      <c r="I18505" s="20">
        <v>0.50909651769612996</v>
      </c>
      <c r="J18505" s="28">
        <v>0.61068457258582598</v>
      </c>
      <c r="K18505" s="29">
        <v>0.98289565623980701</v>
      </c>
    </row>
    <row r="18506" spans="1:11" x14ac:dyDescent="0.35">
      <c r="A18506" s="9" t="str">
        <f>HYPERLINK("http://www.ensembl.org/id/WBGene00007932", "WBGene00007932")</f>
        <v>WBGene00007932</v>
      </c>
      <c r="B18506" s="9" t="str">
        <f>HYPERLINK("http://www.ncbi.nlm.nih.gov/gene/183204", "183204")</f>
        <v>183204</v>
      </c>
      <c r="C18506" s="9"/>
      <c r="D18506" t="str">
        <f>"zip-5"</f>
        <v>zip-5</v>
      </c>
      <c r="E18506" t="s">
        <v>777</v>
      </c>
      <c r="F18506" t="s">
        <v>11</v>
      </c>
      <c r="G18506" t="s">
        <v>9799</v>
      </c>
      <c r="H18506" s="12">
        <v>-1.30522867842416</v>
      </c>
      <c r="I18506" s="20">
        <v>-0.96062068301034098</v>
      </c>
      <c r="J18506" s="28">
        <v>0.33674292526842098</v>
      </c>
      <c r="K18506" s="29">
        <v>0.98289565623980701</v>
      </c>
    </row>
    <row r="18507" spans="1:11" x14ac:dyDescent="0.35">
      <c r="A18507" s="9" t="str">
        <f>HYPERLINK("http://www.ensembl.org/id/WBGene00006486", "WBGene00006486")</f>
        <v>WBGene00006486</v>
      </c>
      <c r="B18507" s="9" t="str">
        <f>HYPERLINK("http://www.ncbi.nlm.nih.gov/gene/179576", "179576")</f>
        <v>179576</v>
      </c>
      <c r="C18507" s="9" t="str">
        <f>HYPERLINK("http://www.ncbi.nlm.nih.gov/gene/23516", "23516")</f>
        <v>23516</v>
      </c>
      <c r="D18507" t="str">
        <f>"zipt-16"</f>
        <v>zipt-16</v>
      </c>
      <c r="E18507" t="s">
        <v>106</v>
      </c>
      <c r="F18507" t="s">
        <v>11</v>
      </c>
      <c r="G18507" t="s">
        <v>1192</v>
      </c>
      <c r="H18507" s="12">
        <v>1.5050099849947001</v>
      </c>
      <c r="I18507" s="20">
        <v>1.1265090641272799</v>
      </c>
      <c r="J18507" s="28">
        <v>0.25995010613182501</v>
      </c>
      <c r="K18507" s="29">
        <v>0.98289565623980701</v>
      </c>
    </row>
    <row r="18508" spans="1:11" x14ac:dyDescent="0.35">
      <c r="A18508" s="9" t="str">
        <f>HYPERLINK("http://www.ensembl.org/id/WBGene00006487", "WBGene00006487")</f>
        <v>WBGene00006487</v>
      </c>
      <c r="B18508" s="9" t="str">
        <f>HYPERLINK("http://www.ncbi.nlm.nih.gov/gene/183065", "183065")</f>
        <v>183065</v>
      </c>
      <c r="C18508" s="9"/>
      <c r="D18508" t="str">
        <f>"zipt-17"</f>
        <v>zipt-17</v>
      </c>
      <c r="E18508" t="s">
        <v>106</v>
      </c>
      <c r="F18508" t="s">
        <v>11</v>
      </c>
      <c r="G18508" t="s">
        <v>9950</v>
      </c>
      <c r="H18508" s="12">
        <v>-1.4584430732312701</v>
      </c>
      <c r="I18508" s="20">
        <v>-0.76165354755712</v>
      </c>
      <c r="J18508" s="28">
        <v>0.44626680665109297</v>
      </c>
      <c r="K18508" s="29">
        <v>0.98289565623980701</v>
      </c>
    </row>
    <row r="18509" spans="1:11" x14ac:dyDescent="0.35">
      <c r="A18509" s="9" t="str">
        <f>HYPERLINK("http://www.ensembl.org/id/WBGene00014669", "WBGene00014669")</f>
        <v>WBGene00014669</v>
      </c>
      <c r="B18509" s="9" t="str">
        <f>HYPERLINK("http://www.ncbi.nlm.nih.gov/gene/182346", "182346")</f>
        <v>182346</v>
      </c>
      <c r="C18509" s="9"/>
      <c r="D18509" t="str">
        <f>"zipt-2.1"</f>
        <v>zipt-2.1</v>
      </c>
      <c r="E18509" t="s">
        <v>106</v>
      </c>
      <c r="F18509" t="s">
        <v>11</v>
      </c>
      <c r="G18509" t="s">
        <v>107</v>
      </c>
      <c r="H18509" s="12">
        <v>-1.0991168009563199</v>
      </c>
      <c r="I18509" s="20">
        <v>-0.47835069321509799</v>
      </c>
      <c r="J18509" s="28">
        <v>0.63240062126559504</v>
      </c>
      <c r="K18509" s="29">
        <v>0.98289565623980701</v>
      </c>
    </row>
    <row r="18510" spans="1:11" x14ac:dyDescent="0.35">
      <c r="A18510" s="9" t="str">
        <f>HYPERLINK("http://www.ensembl.org/id/WBGene00013207", "WBGene00013207")</f>
        <v>WBGene00013207</v>
      </c>
      <c r="B18510" s="9" t="str">
        <f>HYPERLINK("http://www.ncbi.nlm.nih.gov/gene/190293", "190293")</f>
        <v>190293</v>
      </c>
      <c r="C18510" s="9"/>
      <c r="D18510" t="str">
        <f>"zipt-2.3"</f>
        <v>zipt-2.3</v>
      </c>
      <c r="E18510" t="s">
        <v>106</v>
      </c>
      <c r="F18510" t="s">
        <v>11</v>
      </c>
      <c r="G18510" t="s">
        <v>107</v>
      </c>
      <c r="H18510" s="12">
        <v>-3.1574233927302502</v>
      </c>
      <c r="I18510" s="20">
        <v>-1.0595778261217199</v>
      </c>
      <c r="J18510" s="28">
        <v>0.289336705776992</v>
      </c>
      <c r="K18510" s="29">
        <v>0.98289565623980701</v>
      </c>
    </row>
    <row r="18511" spans="1:11" x14ac:dyDescent="0.35">
      <c r="A18511" s="9" t="str">
        <f>HYPERLINK("http://www.ensembl.org/id/WBGene00015940", "WBGene00015940")</f>
        <v>WBGene00015940</v>
      </c>
      <c r="B18511" s="9" t="str">
        <f>HYPERLINK("http://www.ncbi.nlm.nih.gov/gene/173969", "173969")</f>
        <v>173969</v>
      </c>
      <c r="C18511" s="9"/>
      <c r="D18511" t="str">
        <f>"zipt-3"</f>
        <v>zipt-3</v>
      </c>
      <c r="E18511" t="s">
        <v>106</v>
      </c>
      <c r="F18511" t="s">
        <v>11</v>
      </c>
      <c r="G18511" t="s">
        <v>107</v>
      </c>
      <c r="H18511" s="12">
        <v>1.08040141087971</v>
      </c>
      <c r="I18511" s="20">
        <v>0.35994741084911303</v>
      </c>
      <c r="J18511" s="28">
        <v>0.71888646121876398</v>
      </c>
      <c r="K18511" s="29">
        <v>0.98289565623980701</v>
      </c>
    </row>
    <row r="18512" spans="1:11" x14ac:dyDescent="0.35">
      <c r="A18512" s="9" t="str">
        <f>HYPERLINK("http://www.ensembl.org/id/WBGene00011329", "WBGene00011329")</f>
        <v>WBGene00011329</v>
      </c>
      <c r="B18512" s="9" t="str">
        <f>HYPERLINK("http://www.ncbi.nlm.nih.gov/gene/179862", "179862")</f>
        <v>179862</v>
      </c>
      <c r="C18512" s="9" t="str">
        <f>HYPERLINK("http://www.ncbi.nlm.nih.gov/gene/55334", "55334")</f>
        <v>55334</v>
      </c>
      <c r="D18512" t="str">
        <f>"zipt-9"</f>
        <v>zipt-9</v>
      </c>
      <c r="E18512" t="s">
        <v>106</v>
      </c>
      <c r="F18512" t="s">
        <v>11</v>
      </c>
      <c r="G18512" t="s">
        <v>8838</v>
      </c>
      <c r="H18512" s="12">
        <v>-1.200604092738</v>
      </c>
      <c r="I18512" s="20">
        <v>-0.91822537213018396</v>
      </c>
      <c r="J18512" s="28">
        <v>0.35850088809835801</v>
      </c>
      <c r="K18512" s="29">
        <v>0.98289565623980701</v>
      </c>
    </row>
    <row r="18513" spans="1:11" x14ac:dyDescent="0.35">
      <c r="A18513" s="9" t="str">
        <f>HYPERLINK("http://www.ensembl.org/id/WBGene00271703", "WBGene00271703")</f>
        <v>WBGene00271703</v>
      </c>
      <c r="B18513" s="9" t="str">
        <f>HYPERLINK("http://www.ncbi.nlm.nih.gov/gene/32928605", "32928605")</f>
        <v>32928605</v>
      </c>
      <c r="C18513" s="9"/>
      <c r="D18513" t="str">
        <f>"ZK1010.12"</f>
        <v>ZK1010.12</v>
      </c>
      <c r="F18513" t="s">
        <v>11</v>
      </c>
      <c r="H18513" s="12">
        <v>2.3893468495514898</v>
      </c>
      <c r="I18513" s="20">
        <v>0.25323547253672701</v>
      </c>
      <c r="J18513" s="28">
        <v>0.80008625651646104</v>
      </c>
      <c r="K18513" s="29">
        <v>0.98289565623980701</v>
      </c>
    </row>
    <row r="18514" spans="1:11" x14ac:dyDescent="0.35">
      <c r="A18514" s="9" t="str">
        <f>HYPERLINK("http://www.ensembl.org/id/WBGene00014184", "WBGene00014184")</f>
        <v>WBGene00014184</v>
      </c>
      <c r="B18514" s="9" t="str">
        <f>HYPERLINK("http://www.ncbi.nlm.nih.gov/gene/191493", "191493")</f>
        <v>191493</v>
      </c>
      <c r="C18514" s="9"/>
      <c r="D18514" t="str">
        <f>"ZK1025.4"</f>
        <v>ZK1025.4</v>
      </c>
      <c r="F18514" t="s">
        <v>11</v>
      </c>
      <c r="G18514" t="s">
        <v>1212</v>
      </c>
      <c r="H18514" s="12">
        <v>7.8691597089380902</v>
      </c>
      <c r="I18514" s="20">
        <v>0.61251365190975104</v>
      </c>
      <c r="J18514" s="28">
        <v>0.54019796842331003</v>
      </c>
      <c r="K18514" s="29">
        <v>0.98289565623980701</v>
      </c>
    </row>
    <row r="18515" spans="1:11" x14ac:dyDescent="0.35">
      <c r="A18515" s="9" t="str">
        <f>HYPERLINK("http://www.ensembl.org/id/WBGene00045514", "WBGene00045514")</f>
        <v>WBGene00045514</v>
      </c>
      <c r="B18515" s="9"/>
      <c r="C18515" s="9"/>
      <c r="D18515" t="str">
        <f>"ZK1037.12"</f>
        <v>ZK1037.12</v>
      </c>
      <c r="F18515" t="s">
        <v>80</v>
      </c>
      <c r="H18515" s="12">
        <v>-5.4967879193631202</v>
      </c>
      <c r="I18515" s="20">
        <v>-0.50254160819837501</v>
      </c>
      <c r="J18515" s="28">
        <v>0.61528659178453604</v>
      </c>
      <c r="K18515" s="29">
        <v>0.98289565623980701</v>
      </c>
    </row>
    <row r="18516" spans="1:11" x14ac:dyDescent="0.35">
      <c r="A18516" s="9" t="str">
        <f>HYPERLINK("http://www.ensembl.org/id/WBGene00014194", "WBGene00014194")</f>
        <v>WBGene00014194</v>
      </c>
      <c r="B18516" s="9" t="str">
        <f>HYPERLINK("http://www.ncbi.nlm.nih.gov/gene/180034", "180034")</f>
        <v>180034</v>
      </c>
      <c r="C18516" s="9"/>
      <c r="D18516" t="str">
        <f>"ZK1037.6"</f>
        <v>ZK1037.6</v>
      </c>
      <c r="F18516" t="s">
        <v>11</v>
      </c>
      <c r="G18516" t="s">
        <v>25</v>
      </c>
      <c r="H18516" s="12">
        <v>-1.2514200883676201</v>
      </c>
      <c r="I18516" s="20">
        <v>-1.20504976466029</v>
      </c>
      <c r="J18516" s="28">
        <v>0.228184091122341</v>
      </c>
      <c r="K18516" s="29">
        <v>0.98289565623980701</v>
      </c>
    </row>
    <row r="18517" spans="1:11" x14ac:dyDescent="0.35">
      <c r="A18517" s="9" t="str">
        <f>HYPERLINK("http://www.ensembl.org/id/WBGene00022653", "WBGene00022653")</f>
        <v>WBGene00022653</v>
      </c>
      <c r="B18517" s="9" t="str">
        <f>HYPERLINK("http://www.ncbi.nlm.nih.gov/gene/191220", "191220")</f>
        <v>191220</v>
      </c>
      <c r="C18517" s="9"/>
      <c r="D18517" t="str">
        <f>"ZK105.1"</f>
        <v>ZK105.1</v>
      </c>
      <c r="F18517" t="s">
        <v>11</v>
      </c>
      <c r="H18517" s="12">
        <v>1.24563871135393</v>
      </c>
      <c r="I18517" s="20">
        <v>0.97936061432712695</v>
      </c>
      <c r="J18517" s="28">
        <v>0.327401830440122</v>
      </c>
      <c r="K18517" s="29">
        <v>0.98289565623980701</v>
      </c>
    </row>
    <row r="18518" spans="1:11" x14ac:dyDescent="0.35">
      <c r="A18518" s="9" t="str">
        <f>HYPERLINK("http://www.ensembl.org/id/WBGene00271707", "WBGene00271707")</f>
        <v>WBGene00271707</v>
      </c>
      <c r="B18518" s="9" t="str">
        <f>HYPERLINK("http://www.ncbi.nlm.nih.gov/gene/32928606", "32928606")</f>
        <v>32928606</v>
      </c>
      <c r="C18518" s="9"/>
      <c r="D18518" t="str">
        <f>"ZK105.14"</f>
        <v>ZK105.14</v>
      </c>
      <c r="F18518" t="s">
        <v>11</v>
      </c>
      <c r="H18518" s="12">
        <v>-2.4991590031922399</v>
      </c>
      <c r="I18518" s="20">
        <v>-0.26577412737581302</v>
      </c>
      <c r="J18518" s="28">
        <v>0.79041317015736101</v>
      </c>
      <c r="K18518" s="29">
        <v>0.98289565623980701</v>
      </c>
    </row>
    <row r="18519" spans="1:11" x14ac:dyDescent="0.35">
      <c r="A18519" s="9" t="str">
        <f>HYPERLINK("http://www.ensembl.org/id/WBGene00022654", "WBGene00022654")</f>
        <v>WBGene00022654</v>
      </c>
      <c r="B18519" s="9" t="str">
        <f>HYPERLINK("http://www.ncbi.nlm.nih.gov/gene/191222", "191222")</f>
        <v>191222</v>
      </c>
      <c r="C18519" s="9"/>
      <c r="D18519" t="str">
        <f>"ZK105.3"</f>
        <v>ZK105.3</v>
      </c>
      <c r="F18519" t="s">
        <v>11</v>
      </c>
      <c r="H18519" s="12">
        <v>1.80181354149953</v>
      </c>
      <c r="I18519" s="20">
        <v>0.68376665303671202</v>
      </c>
      <c r="J18519" s="28">
        <v>0.49412252702312498</v>
      </c>
      <c r="K18519" s="29">
        <v>0.98289565623980701</v>
      </c>
    </row>
    <row r="18520" spans="1:11" x14ac:dyDescent="0.35">
      <c r="A18520" s="9" t="str">
        <f>HYPERLINK("http://www.ensembl.org/id/WBGene00014197", "WBGene00014197")</f>
        <v>WBGene00014197</v>
      </c>
      <c r="B18520" s="9" t="str">
        <f>HYPERLINK("http://www.ncbi.nlm.nih.gov/gene/191507", "191507")</f>
        <v>191507</v>
      </c>
      <c r="C18520" s="9"/>
      <c r="D18520" t="str">
        <f>"ZK1053.2"</f>
        <v>ZK1053.2</v>
      </c>
      <c r="F18520" t="s">
        <v>11</v>
      </c>
      <c r="G18520" t="s">
        <v>25</v>
      </c>
      <c r="H18520" s="12">
        <v>2.8636072084802402</v>
      </c>
      <c r="I18520" s="20">
        <v>1.0588988454449999</v>
      </c>
      <c r="J18520" s="28">
        <v>0.28964585014940297</v>
      </c>
      <c r="K18520" s="29">
        <v>0.98289565623980701</v>
      </c>
    </row>
    <row r="18521" spans="1:11" x14ac:dyDescent="0.35">
      <c r="A18521" s="9" t="str">
        <f>HYPERLINK("http://www.ensembl.org/id/WBGene00014201", "WBGene00014201")</f>
        <v>WBGene00014201</v>
      </c>
      <c r="B18521" s="9" t="str">
        <f>HYPERLINK("http://www.ncbi.nlm.nih.gov/gene/191510", "191510")</f>
        <v>191510</v>
      </c>
      <c r="C18521" s="9"/>
      <c r="D18521" t="str">
        <f>"ZK1053.6"</f>
        <v>ZK1053.6</v>
      </c>
      <c r="F18521" t="s">
        <v>11</v>
      </c>
      <c r="G18521" t="s">
        <v>3238</v>
      </c>
      <c r="H18521" s="12">
        <v>2.8323276401731698</v>
      </c>
      <c r="I18521" s="20">
        <v>0.767103507466666</v>
      </c>
      <c r="J18521" s="28">
        <v>0.44301997670605903</v>
      </c>
      <c r="K18521" s="29">
        <v>0.98289565623980701</v>
      </c>
    </row>
    <row r="18522" spans="1:11" x14ac:dyDescent="0.35">
      <c r="A18522" s="9" t="str">
        <f>HYPERLINK("http://www.ensembl.org/id/WBGene00022843", "WBGene00022843")</f>
        <v>WBGene00022843</v>
      </c>
      <c r="B18522" s="9" t="str">
        <f>HYPERLINK("http://www.ncbi.nlm.nih.gov/gene/191511", "191511")</f>
        <v>191511</v>
      </c>
      <c r="C18522" s="9"/>
      <c r="D18522" t="str">
        <f>"ZK1055.2"</f>
        <v>ZK1055.2</v>
      </c>
      <c r="F18522" t="s">
        <v>11</v>
      </c>
      <c r="G18522" t="s">
        <v>25</v>
      </c>
      <c r="H18522" s="12">
        <v>-1.7446231521738</v>
      </c>
      <c r="I18522" s="20">
        <v>-1.1836451675716699</v>
      </c>
      <c r="J18522" s="28">
        <v>0.23655355282214699</v>
      </c>
      <c r="K18522" s="29">
        <v>0.98289565623980701</v>
      </c>
    </row>
    <row r="18523" spans="1:11" x14ac:dyDescent="0.35">
      <c r="A18523" s="9" t="str">
        <f>HYPERLINK("http://www.ensembl.org/id/WBGene00022846", "WBGene00022846")</f>
        <v>WBGene00022846</v>
      </c>
      <c r="B18523" s="9"/>
      <c r="C18523" s="9"/>
      <c r="D18523" t="str">
        <f>"ZK1055.5"</f>
        <v>ZK1055.5</v>
      </c>
      <c r="F18523" t="s">
        <v>80</v>
      </c>
      <c r="H18523" s="12">
        <v>1.5823547353987399</v>
      </c>
      <c r="I18523" s="20">
        <v>0.44565972525159803</v>
      </c>
      <c r="J18523" s="28">
        <v>0.655843061089599</v>
      </c>
      <c r="K18523" s="29">
        <v>0.98289565623980701</v>
      </c>
    </row>
    <row r="18524" spans="1:11" x14ac:dyDescent="0.35">
      <c r="A18524" s="9" t="str">
        <f>HYPERLINK("http://www.ensembl.org/id/WBGene00022848", "WBGene00022848")</f>
        <v>WBGene00022848</v>
      </c>
      <c r="B18524" s="9" t="str">
        <f>HYPERLINK("http://www.ncbi.nlm.nih.gov/gene/179051", "179051")</f>
        <v>179051</v>
      </c>
      <c r="C18524" s="9"/>
      <c r="D18524" t="str">
        <f>"ZK1055.7"</f>
        <v>ZK1055.7</v>
      </c>
      <c r="F18524" t="s">
        <v>11</v>
      </c>
      <c r="G18524" t="s">
        <v>6609</v>
      </c>
      <c r="H18524" s="12">
        <v>-1.0795583943549301</v>
      </c>
      <c r="I18524" s="20">
        <v>-0.39959644761493002</v>
      </c>
      <c r="J18524" s="28">
        <v>0.68945377334929603</v>
      </c>
      <c r="K18524" s="29">
        <v>0.98289565623980701</v>
      </c>
    </row>
    <row r="18525" spans="1:11" x14ac:dyDescent="0.35">
      <c r="A18525" s="9" t="str">
        <f>HYPERLINK("http://www.ensembl.org/id/WBGene00014203", "WBGene00014203")</f>
        <v>WBGene00014203</v>
      </c>
      <c r="B18525" s="9" t="str">
        <f>HYPERLINK("http://www.ncbi.nlm.nih.gov/gene/175506", "175506")</f>
        <v>175506</v>
      </c>
      <c r="C18525" s="9" t="str">
        <f>HYPERLINK("http://www.ncbi.nlm.nih.gov/gene/2592", "2592")</f>
        <v>2592</v>
      </c>
      <c r="D18525" t="str">
        <f>"ZK1058.3"</f>
        <v>ZK1058.3</v>
      </c>
      <c r="E18525" t="s">
        <v>9596</v>
      </c>
      <c r="F18525" t="s">
        <v>11</v>
      </c>
      <c r="G18525" t="s">
        <v>9597</v>
      </c>
      <c r="H18525" s="12">
        <v>-1.26262207144427</v>
      </c>
      <c r="I18525" s="20">
        <v>-0.79620359872070201</v>
      </c>
      <c r="J18525" s="28">
        <v>0.425913706199538</v>
      </c>
      <c r="K18525" s="29">
        <v>0.98289565623980701</v>
      </c>
    </row>
    <row r="18526" spans="1:11" x14ac:dyDescent="0.35">
      <c r="A18526" s="9" t="str">
        <f>HYPERLINK("http://www.ensembl.org/id/WBGene00014208", "WBGene00014208")</f>
        <v>WBGene00014208</v>
      </c>
      <c r="B18526" s="9" t="str">
        <f>HYPERLINK("http://www.ncbi.nlm.nih.gov/gene/174463", "174463")</f>
        <v>174463</v>
      </c>
      <c r="C18526" s="9"/>
      <c r="D18526" t="str">
        <f>"ZK1067.2"</f>
        <v>ZK1067.2</v>
      </c>
      <c r="F18526" t="s">
        <v>11</v>
      </c>
      <c r="G18526" t="s">
        <v>6774</v>
      </c>
      <c r="H18526" s="12">
        <v>-1.0883745110771901</v>
      </c>
      <c r="I18526" s="20">
        <v>-0.42745119673814402</v>
      </c>
      <c r="J18526" s="28">
        <v>0.66905072439129698</v>
      </c>
      <c r="K18526" s="29">
        <v>0.98289565623980701</v>
      </c>
    </row>
    <row r="18527" spans="1:11" x14ac:dyDescent="0.35">
      <c r="A18527" s="9" t="str">
        <f>HYPERLINK("http://www.ensembl.org/id/WBGene00014214", "WBGene00014214")</f>
        <v>WBGene00014214</v>
      </c>
      <c r="B18527" s="9" t="str">
        <f>HYPERLINK("http://www.ncbi.nlm.nih.gov/gene/181688", "181688")</f>
        <v>181688</v>
      </c>
      <c r="C18527" s="9"/>
      <c r="D18527" t="str">
        <f>"ZK1073.2"</f>
        <v>ZK1073.2</v>
      </c>
      <c r="F18527" t="s">
        <v>11</v>
      </c>
      <c r="G18527" t="s">
        <v>25</v>
      </c>
      <c r="H18527" s="12">
        <v>1.17467658362213</v>
      </c>
      <c r="I18527" s="20">
        <v>0.68359287307930905</v>
      </c>
      <c r="J18527" s="28">
        <v>0.494232286294298</v>
      </c>
      <c r="K18527" s="29">
        <v>0.98289565623980701</v>
      </c>
    </row>
    <row r="18528" spans="1:11" x14ac:dyDescent="0.35">
      <c r="A18528" s="9" t="str">
        <f>HYPERLINK("http://www.ensembl.org/id/WBGene00014216", "WBGene00014216")</f>
        <v>WBGene00014216</v>
      </c>
      <c r="B18528" s="9" t="str">
        <f>HYPERLINK("http://www.ncbi.nlm.nih.gov/gene/191519", "191519")</f>
        <v>191519</v>
      </c>
      <c r="C18528" s="9"/>
      <c r="D18528" t="str">
        <f>"ZK1086.2"</f>
        <v>ZK1086.2</v>
      </c>
      <c r="F18528" t="s">
        <v>11</v>
      </c>
      <c r="G18528" t="s">
        <v>25</v>
      </c>
      <c r="H18528" s="12">
        <v>-1.1409503171115301</v>
      </c>
      <c r="I18528" s="20">
        <v>-0.27262737419294603</v>
      </c>
      <c r="J18528" s="28">
        <v>0.78513966720814798</v>
      </c>
      <c r="K18528" s="29">
        <v>0.98289565623980701</v>
      </c>
    </row>
    <row r="18529" spans="1:11" x14ac:dyDescent="0.35">
      <c r="A18529" s="9" t="str">
        <f>HYPERLINK("http://www.ensembl.org/id/WBGene00014217", "WBGene00014217")</f>
        <v>WBGene00014217</v>
      </c>
      <c r="B18529" s="9" t="str">
        <f>HYPERLINK("http://www.ncbi.nlm.nih.gov/gene/191520", "191520")</f>
        <v>191520</v>
      </c>
      <c r="C18529" s="9"/>
      <c r="D18529" t="str">
        <f>"ZK1086.3"</f>
        <v>ZK1086.3</v>
      </c>
      <c r="F18529" t="s">
        <v>11</v>
      </c>
      <c r="H18529" s="12">
        <v>2.4578120077400301</v>
      </c>
      <c r="I18529" s="20">
        <v>0.26093350314551</v>
      </c>
      <c r="J18529" s="28">
        <v>0.79414378780213601</v>
      </c>
      <c r="K18529" s="29">
        <v>0.98289565623980701</v>
      </c>
    </row>
    <row r="18530" spans="1:11" x14ac:dyDescent="0.35">
      <c r="A18530" s="9" t="str">
        <f>HYPERLINK("http://www.ensembl.org/id/WBGene00014226", "WBGene00014226")</f>
        <v>WBGene00014226</v>
      </c>
      <c r="B18530" s="9" t="str">
        <f>HYPERLINK("http://www.ncbi.nlm.nih.gov/gene/3565174", "3565174")</f>
        <v>3565174</v>
      </c>
      <c r="C18530" s="9"/>
      <c r="D18530" t="str">
        <f>"ZK1098.11"</f>
        <v>ZK1098.11</v>
      </c>
      <c r="F18530" t="s">
        <v>11</v>
      </c>
      <c r="G18530" t="s">
        <v>4270</v>
      </c>
      <c r="H18530" s="12">
        <v>-1.0862290897571201</v>
      </c>
      <c r="I18530" s="20">
        <v>-0.35201050018032898</v>
      </c>
      <c r="J18530" s="28">
        <v>0.72483038783701903</v>
      </c>
      <c r="K18530" s="29">
        <v>0.98289565623980701</v>
      </c>
    </row>
    <row r="18531" spans="1:11" x14ac:dyDescent="0.35">
      <c r="A18531" s="9" t="str">
        <f>HYPERLINK("http://www.ensembl.org/id/WBGene00194691", "WBGene00194691")</f>
        <v>WBGene00194691</v>
      </c>
      <c r="B18531" s="9" t="str">
        <f>HYPERLINK("http://www.ncbi.nlm.nih.gov/gene/13190829", "13190829")</f>
        <v>13190829</v>
      </c>
      <c r="C18531" s="9"/>
      <c r="D18531" t="str">
        <f>"ZK1098.12"</f>
        <v>ZK1098.12</v>
      </c>
      <c r="F18531" t="s">
        <v>11</v>
      </c>
      <c r="G18531" t="s">
        <v>25</v>
      </c>
      <c r="H18531" s="12">
        <v>-1.7399240616769001</v>
      </c>
      <c r="I18531" s="20">
        <v>-0.32561561872911099</v>
      </c>
      <c r="J18531" s="28">
        <v>0.74471519365793104</v>
      </c>
      <c r="K18531" s="29">
        <v>0.98289565623980701</v>
      </c>
    </row>
    <row r="18532" spans="1:11" x14ac:dyDescent="0.35">
      <c r="A18532" s="9" t="str">
        <f>HYPERLINK("http://www.ensembl.org/id/WBGene00199404", "WBGene00199404")</f>
        <v>WBGene00199404</v>
      </c>
      <c r="B18532" s="9"/>
      <c r="C18532" s="9"/>
      <c r="D18532" t="str">
        <f>"ZK1098.13"</f>
        <v>ZK1098.13</v>
      </c>
      <c r="F18532" t="s">
        <v>481</v>
      </c>
      <c r="H18532" s="12">
        <v>2.4578120077400301</v>
      </c>
      <c r="I18532" s="20">
        <v>0.26093350314551</v>
      </c>
      <c r="J18532" s="28">
        <v>0.79414378780213601</v>
      </c>
      <c r="K18532" s="29">
        <v>0.98289565623980701</v>
      </c>
    </row>
    <row r="18533" spans="1:11" x14ac:dyDescent="0.35">
      <c r="A18533" s="9" t="str">
        <f>HYPERLINK("http://www.ensembl.org/id/WBGene00014219", "WBGene00014219")</f>
        <v>WBGene00014219</v>
      </c>
      <c r="B18533" s="9" t="str">
        <f>HYPERLINK("http://www.ncbi.nlm.nih.gov/gene/176345", "176345")</f>
        <v>176345</v>
      </c>
      <c r="C18533" s="9"/>
      <c r="D18533" t="str">
        <f>"ZK1098.2"</f>
        <v>ZK1098.2</v>
      </c>
      <c r="F18533" t="s">
        <v>11</v>
      </c>
      <c r="H18533" s="12">
        <v>-1.11362739821172</v>
      </c>
      <c r="I18533" s="20">
        <v>-0.50314017648638099</v>
      </c>
      <c r="J18533" s="28">
        <v>0.61486572145862395</v>
      </c>
      <c r="K18533" s="29">
        <v>0.98289565623980701</v>
      </c>
    </row>
    <row r="18534" spans="1:11" x14ac:dyDescent="0.35">
      <c r="A18534" s="9" t="str">
        <f>HYPERLINK("http://www.ensembl.org/id/WBGene00014223", "WBGene00014223")</f>
        <v>WBGene00014223</v>
      </c>
      <c r="B18534" s="9" t="str">
        <f>HYPERLINK("http://www.ncbi.nlm.nih.gov/gene/191522", "191522")</f>
        <v>191522</v>
      </c>
      <c r="C18534" s="9"/>
      <c r="D18534" t="str">
        <f>"ZK1098.6"</f>
        <v>ZK1098.6</v>
      </c>
      <c r="F18534" t="s">
        <v>11</v>
      </c>
      <c r="H18534" s="12">
        <v>1.25152578791242</v>
      </c>
      <c r="I18534" s="20">
        <v>0.27501746532441701</v>
      </c>
      <c r="J18534" s="28">
        <v>0.78330282011788099</v>
      </c>
      <c r="K18534" s="29">
        <v>0.98289565623980701</v>
      </c>
    </row>
    <row r="18535" spans="1:11" x14ac:dyDescent="0.35">
      <c r="A18535" s="9" t="str">
        <f>HYPERLINK("http://www.ensembl.org/id/WBGene00014225", "WBGene00014225")</f>
        <v>WBGene00014225</v>
      </c>
      <c r="B18535" s="9" t="str">
        <f>HYPERLINK("http://www.ncbi.nlm.nih.gov/gene/191524", "191524")</f>
        <v>191524</v>
      </c>
      <c r="C18535" s="9"/>
      <c r="D18535" t="str">
        <f>"ZK1098.9"</f>
        <v>ZK1098.9</v>
      </c>
      <c r="F18535" t="s">
        <v>11</v>
      </c>
      <c r="G18535" t="s">
        <v>25</v>
      </c>
      <c r="H18535" s="12">
        <v>1.96917050030906</v>
      </c>
      <c r="I18535" s="20">
        <v>0.323668101232156</v>
      </c>
      <c r="J18535" s="28">
        <v>0.74618932341488198</v>
      </c>
      <c r="K18535" s="29">
        <v>0.98289565623980701</v>
      </c>
    </row>
    <row r="18536" spans="1:11" x14ac:dyDescent="0.35">
      <c r="A18536" s="9" t="str">
        <f>HYPERLINK("http://www.ensembl.org/id/WBGene00022660", "WBGene00022660")</f>
        <v>WBGene00022660</v>
      </c>
      <c r="B18536" s="9" t="str">
        <f>HYPERLINK("http://www.ncbi.nlm.nih.gov/gene/191227", "191227")</f>
        <v>191227</v>
      </c>
      <c r="C18536" s="9"/>
      <c r="D18536" t="str">
        <f>"ZK112.4"</f>
        <v>ZK112.4</v>
      </c>
      <c r="F18536" t="s">
        <v>11</v>
      </c>
      <c r="H18536" s="12">
        <v>2.3893468495514898</v>
      </c>
      <c r="I18536" s="20">
        <v>0.25323547253672701</v>
      </c>
      <c r="J18536" s="28">
        <v>0.80008625651646104</v>
      </c>
      <c r="K18536" s="29">
        <v>0.98289565623980701</v>
      </c>
    </row>
    <row r="18537" spans="1:11" x14ac:dyDescent="0.35">
      <c r="A18537" s="9" t="str">
        <f>HYPERLINK("http://www.ensembl.org/id/WBGene00022661", "WBGene00022661")</f>
        <v>WBGene00022661</v>
      </c>
      <c r="B18537" s="9" t="str">
        <f>HYPERLINK("http://www.ncbi.nlm.nih.gov/gene/191228", "191228")</f>
        <v>191228</v>
      </c>
      <c r="C18537" s="9"/>
      <c r="D18537" t="str">
        <f>"ZK112.5"</f>
        <v>ZK112.5</v>
      </c>
      <c r="F18537" t="s">
        <v>11</v>
      </c>
      <c r="H18537" s="12">
        <v>1.50468731219083</v>
      </c>
      <c r="I18537" s="20">
        <v>0.90805922871018796</v>
      </c>
      <c r="J18537" s="28">
        <v>0.36384692985281297</v>
      </c>
      <c r="K18537" s="29">
        <v>0.98289565623980701</v>
      </c>
    </row>
    <row r="18538" spans="1:11" x14ac:dyDescent="0.35">
      <c r="A18538" s="9" t="str">
        <f>HYPERLINK("http://www.ensembl.org/id/WBGene00022857", "WBGene00022857")</f>
        <v>WBGene00022857</v>
      </c>
      <c r="B18538" s="9" t="str">
        <f>HYPERLINK("http://www.ncbi.nlm.nih.gov/gene/174152", "174152")</f>
        <v>174152</v>
      </c>
      <c r="C18538" s="9"/>
      <c r="D18538" t="str">
        <f>"ZK1127.12"</f>
        <v>ZK1127.12</v>
      </c>
      <c r="F18538" t="s">
        <v>11</v>
      </c>
      <c r="H18538" s="12">
        <v>1.0832400757424001</v>
      </c>
      <c r="I18538" s="20">
        <v>0.27525767562070602</v>
      </c>
      <c r="J18538" s="28">
        <v>0.78311827885638796</v>
      </c>
      <c r="K18538" s="29">
        <v>0.98289565623980701</v>
      </c>
    </row>
    <row r="18539" spans="1:11" x14ac:dyDescent="0.35">
      <c r="A18539" s="9" t="str">
        <f>HYPERLINK("http://www.ensembl.org/id/WBGene00195239", "WBGene00195239")</f>
        <v>WBGene00195239</v>
      </c>
      <c r="B18539" s="9" t="str">
        <f>HYPERLINK("http://www.ncbi.nlm.nih.gov/gene/13185652", "13185652")</f>
        <v>13185652</v>
      </c>
      <c r="C18539" s="9"/>
      <c r="D18539" t="str">
        <f>"ZK1127.13"</f>
        <v>ZK1127.13</v>
      </c>
      <c r="F18539" t="s">
        <v>11</v>
      </c>
      <c r="G18539" t="s">
        <v>9877</v>
      </c>
      <c r="H18539" s="12">
        <v>-1.3422052124813999</v>
      </c>
      <c r="I18539" s="20">
        <v>-1.16581953577322</v>
      </c>
      <c r="J18539" s="28">
        <v>0.24368741693801199</v>
      </c>
      <c r="K18539" s="29">
        <v>0.98289565623980701</v>
      </c>
    </row>
    <row r="18540" spans="1:11" x14ac:dyDescent="0.35">
      <c r="A18540" s="9" t="str">
        <f>HYPERLINK("http://www.ensembl.org/id/WBGene00022850", "WBGene00022850")</f>
        <v>WBGene00022850</v>
      </c>
      <c r="B18540" s="9" t="str">
        <f>HYPERLINK("http://www.ncbi.nlm.nih.gov/gene/174154", "174154")</f>
        <v>174154</v>
      </c>
      <c r="C18540" s="9"/>
      <c r="D18540" t="str">
        <f>"ZK1127.3"</f>
        <v>ZK1127.3</v>
      </c>
      <c r="F18540" t="s">
        <v>11</v>
      </c>
      <c r="G18540" t="s">
        <v>7651</v>
      </c>
      <c r="H18540" s="12">
        <v>-1.1376789307989099</v>
      </c>
      <c r="I18540" s="20">
        <v>-0.55929065882959195</v>
      </c>
      <c r="J18540" s="28">
        <v>0.57596336940520199</v>
      </c>
      <c r="K18540" s="29">
        <v>0.98289565623980701</v>
      </c>
    </row>
    <row r="18541" spans="1:11" x14ac:dyDescent="0.35">
      <c r="A18541" s="9" t="str">
        <f>HYPERLINK("http://www.ensembl.org/id/WBGene00022851", "WBGene00022851")</f>
        <v>WBGene00022851</v>
      </c>
      <c r="B18541" s="9" t="str">
        <f>HYPERLINK("http://www.ncbi.nlm.nih.gov/gene/174153", "174153")</f>
        <v>174153</v>
      </c>
      <c r="C18541" s="9"/>
      <c r="D18541" t="str">
        <f>"ZK1127.4"</f>
        <v>ZK1127.4</v>
      </c>
      <c r="F18541" t="s">
        <v>11</v>
      </c>
      <c r="G18541" t="s">
        <v>228</v>
      </c>
      <c r="H18541" s="12">
        <v>-1.1528750410923201</v>
      </c>
      <c r="I18541" s="20">
        <v>-0.63879026080706403</v>
      </c>
      <c r="J18541" s="28">
        <v>0.52295938485423599</v>
      </c>
      <c r="K18541" s="29">
        <v>0.98289565623980701</v>
      </c>
    </row>
    <row r="18542" spans="1:11" x14ac:dyDescent="0.35">
      <c r="A18542" s="9" t="str">
        <f>HYPERLINK("http://www.ensembl.org/id/WBGene00014227", "WBGene00014227")</f>
        <v>WBGene00014227</v>
      </c>
      <c r="B18542" s="9" t="str">
        <f>HYPERLINK("http://www.ncbi.nlm.nih.gov/gene/259527", "259527")</f>
        <v>259527</v>
      </c>
      <c r="C18542" s="9" t="str">
        <f>HYPERLINK("http://www.ncbi.nlm.nih.gov/gene/55471", "55471")</f>
        <v>55471</v>
      </c>
      <c r="D18542" t="str">
        <f>"ZK1128.1"</f>
        <v>ZK1128.1</v>
      </c>
      <c r="E18542" t="s">
        <v>6665</v>
      </c>
      <c r="F18542" t="s">
        <v>11</v>
      </c>
      <c r="G18542" t="s">
        <v>6666</v>
      </c>
      <c r="H18542" s="12">
        <v>-1.0836599784096901</v>
      </c>
      <c r="I18542" s="20">
        <v>-0.37063440042798101</v>
      </c>
      <c r="J18542" s="28">
        <v>0.71090985627657399</v>
      </c>
      <c r="K18542" s="29">
        <v>0.98289565623980701</v>
      </c>
    </row>
    <row r="18543" spans="1:11" x14ac:dyDescent="0.35">
      <c r="A18543" s="9" t="str">
        <f>HYPERLINK("http://www.ensembl.org/id/WBGene00014229", "WBGene00014229")</f>
        <v>WBGene00014229</v>
      </c>
      <c r="B18543" s="9" t="str">
        <f>HYPERLINK("http://www.ncbi.nlm.nih.gov/gene/191527", "191527")</f>
        <v>191527</v>
      </c>
      <c r="C18543" s="9"/>
      <c r="D18543" t="str">
        <f>"ZK1128.3"</f>
        <v>ZK1128.3</v>
      </c>
      <c r="F18543" t="s">
        <v>11</v>
      </c>
      <c r="H18543" s="12">
        <v>-1.90089092584415</v>
      </c>
      <c r="I18543" s="20">
        <v>-0.62985123270896504</v>
      </c>
      <c r="J18543" s="28">
        <v>0.52879192216594295</v>
      </c>
      <c r="K18543" s="29">
        <v>0.98289565623980701</v>
      </c>
    </row>
    <row r="18544" spans="1:11" x14ac:dyDescent="0.35">
      <c r="A18544" s="9" t="str">
        <f>HYPERLINK("http://www.ensembl.org/id/WBGene00195302", "WBGene00195302")</f>
        <v>WBGene00195302</v>
      </c>
      <c r="B18544" s="9"/>
      <c r="C18544" s="9"/>
      <c r="D18544" t="str">
        <f>"ZK1131.2"</f>
        <v>ZK1131.2</v>
      </c>
      <c r="F18544" t="s">
        <v>481</v>
      </c>
      <c r="H18544" s="12">
        <v>-2.4991590031922399</v>
      </c>
      <c r="I18544" s="20">
        <v>-0.26577412737581302</v>
      </c>
      <c r="J18544" s="28">
        <v>0.79041317015736101</v>
      </c>
      <c r="K18544" s="29">
        <v>0.98289565623980701</v>
      </c>
    </row>
    <row r="18545" spans="1:11" x14ac:dyDescent="0.35">
      <c r="A18545" s="9" t="str">
        <f>HYPERLINK("http://www.ensembl.org/id/WBGene00201298", "WBGene00201298")</f>
        <v>WBGene00201298</v>
      </c>
      <c r="B18545" s="9"/>
      <c r="C18545" s="9"/>
      <c r="D18545" t="str">
        <f>"ZK1193.10"</f>
        <v>ZK1193.10</v>
      </c>
      <c r="F18545" t="s">
        <v>481</v>
      </c>
      <c r="H18545" s="12">
        <v>4.4368407117627902</v>
      </c>
      <c r="I18545" s="20">
        <v>0.43709475933309699</v>
      </c>
      <c r="J18545" s="28">
        <v>0.66204262779770495</v>
      </c>
      <c r="K18545" s="29">
        <v>0.98289565623980701</v>
      </c>
    </row>
    <row r="18546" spans="1:11" x14ac:dyDescent="0.35">
      <c r="A18546" s="9" t="str">
        <f>HYPERLINK("http://www.ensembl.org/id/WBGene00198244", "WBGene00198244")</f>
        <v>WBGene00198244</v>
      </c>
      <c r="B18546" s="9"/>
      <c r="C18546" s="9"/>
      <c r="D18546" t="str">
        <f>"ZK1193.8"</f>
        <v>ZK1193.8</v>
      </c>
      <c r="F18546" t="s">
        <v>481</v>
      </c>
      <c r="H18546" s="12">
        <v>-2.4991590031922399</v>
      </c>
      <c r="I18546" s="20">
        <v>-0.26577412737581302</v>
      </c>
      <c r="J18546" s="28">
        <v>0.79041317015736101</v>
      </c>
      <c r="K18546" s="29">
        <v>0.98289565623980701</v>
      </c>
    </row>
    <row r="18547" spans="1:11" x14ac:dyDescent="0.35">
      <c r="A18547" s="9" t="str">
        <f>HYPERLINK("http://www.ensembl.org/id/WBGene00014236", "WBGene00014236")</f>
        <v>WBGene00014236</v>
      </c>
      <c r="B18547" s="9" t="str">
        <f>HYPERLINK("http://www.ncbi.nlm.nih.gov/gene/191534", "191534")</f>
        <v>191534</v>
      </c>
      <c r="C18547" s="9"/>
      <c r="D18547" t="str">
        <f>"ZK1225.2"</f>
        <v>ZK1225.2</v>
      </c>
      <c r="F18547" t="s">
        <v>11</v>
      </c>
      <c r="G18547" t="s">
        <v>4242</v>
      </c>
      <c r="H18547" s="12">
        <v>3.5227018545059199</v>
      </c>
      <c r="I18547" s="20">
        <v>0.36849691206929103</v>
      </c>
      <c r="J18547" s="28">
        <v>0.71250274722433404</v>
      </c>
      <c r="K18547" s="29">
        <v>0.98289565623980701</v>
      </c>
    </row>
    <row r="18548" spans="1:11" x14ac:dyDescent="0.35">
      <c r="A18548" s="9" t="str">
        <f>HYPERLINK("http://www.ensembl.org/id/WBGene00014238", "WBGene00014238")</f>
        <v>WBGene00014238</v>
      </c>
      <c r="B18548" s="9" t="str">
        <f>HYPERLINK("http://www.ncbi.nlm.nih.gov/gene/173185", "173185")</f>
        <v>173185</v>
      </c>
      <c r="C18548" s="9"/>
      <c r="D18548" t="str">
        <f>"ZK1225.4"</f>
        <v>ZK1225.4</v>
      </c>
      <c r="F18548" t="s">
        <v>11</v>
      </c>
      <c r="H18548" s="12">
        <v>2.7190393203872398</v>
      </c>
      <c r="I18548" s="20">
        <v>0.91754827262583905</v>
      </c>
      <c r="J18548" s="28">
        <v>0.35885540952126099</v>
      </c>
      <c r="K18548" s="29">
        <v>0.98289565623980701</v>
      </c>
    </row>
    <row r="18549" spans="1:11" x14ac:dyDescent="0.35">
      <c r="A18549" s="9" t="str">
        <f>HYPERLINK("http://www.ensembl.org/id/WBGene00022869", "WBGene00022869")</f>
        <v>WBGene00022869</v>
      </c>
      <c r="B18549" s="9" t="str">
        <f>HYPERLINK("http://www.ncbi.nlm.nih.gov/gene/191539", "191539")</f>
        <v>191539</v>
      </c>
      <c r="C18549" s="9"/>
      <c r="D18549" t="str">
        <f>"ZK1240.4"</f>
        <v>ZK1240.4</v>
      </c>
      <c r="F18549" t="s">
        <v>11</v>
      </c>
      <c r="H18549" s="12">
        <v>2.3893468495514898</v>
      </c>
      <c r="I18549" s="20">
        <v>0.25323547253672701</v>
      </c>
      <c r="J18549" s="28">
        <v>0.80008625651646104</v>
      </c>
      <c r="K18549" s="29">
        <v>0.98289565623980701</v>
      </c>
    </row>
    <row r="18550" spans="1:11" x14ac:dyDescent="0.35">
      <c r="A18550" s="9" t="str">
        <f>HYPERLINK("http://www.ensembl.org/id/WBGene00022870", "WBGene00022870")</f>
        <v>WBGene00022870</v>
      </c>
      <c r="B18550" s="9" t="str">
        <f>HYPERLINK("http://www.ncbi.nlm.nih.gov/gene/191540", "191540")</f>
        <v>191540</v>
      </c>
      <c r="C18550" s="9"/>
      <c r="D18550" t="str">
        <f>"ZK1240.5"</f>
        <v>ZK1240.5</v>
      </c>
      <c r="F18550" t="s">
        <v>11</v>
      </c>
      <c r="G18550" t="s">
        <v>3465</v>
      </c>
      <c r="H18550" s="12">
        <v>1.26154261636739</v>
      </c>
      <c r="I18550" s="20">
        <v>0.28140564326828599</v>
      </c>
      <c r="J18550" s="28">
        <v>0.77839929023486898</v>
      </c>
      <c r="K18550" s="29">
        <v>0.98289565623980701</v>
      </c>
    </row>
    <row r="18551" spans="1:11" x14ac:dyDescent="0.35">
      <c r="A18551" s="9" t="str">
        <f>HYPERLINK("http://www.ensembl.org/id/WBGene00022872", "WBGene00022872")</f>
        <v>WBGene00022872</v>
      </c>
      <c r="B18551" s="9" t="str">
        <f>HYPERLINK("http://www.ncbi.nlm.nih.gov/gene/191542", "191542")</f>
        <v>191542</v>
      </c>
      <c r="C18551" s="9"/>
      <c r="D18551" t="str">
        <f>"ZK1240.8"</f>
        <v>ZK1240.8</v>
      </c>
      <c r="F18551" t="s">
        <v>11</v>
      </c>
      <c r="G18551" t="s">
        <v>3465</v>
      </c>
      <c r="H18551" s="12">
        <v>-3.9928572241818001</v>
      </c>
      <c r="I18551" s="20">
        <v>-0.80032870023820002</v>
      </c>
      <c r="J18551" s="28">
        <v>0.42352037884274402</v>
      </c>
      <c r="K18551" s="29">
        <v>0.98289565623980701</v>
      </c>
    </row>
    <row r="18552" spans="1:11" x14ac:dyDescent="0.35">
      <c r="A18552" s="9" t="str">
        <f>HYPERLINK("http://www.ensembl.org/id/WBGene00022873", "WBGene00022873")</f>
        <v>WBGene00022873</v>
      </c>
      <c r="B18552" s="9" t="str">
        <f>HYPERLINK("http://www.ncbi.nlm.nih.gov/gene/173587", "173587")</f>
        <v>173587</v>
      </c>
      <c r="C18552" s="9"/>
      <c r="D18552" t="str">
        <f>"ZK1240.9"</f>
        <v>ZK1240.9</v>
      </c>
      <c r="F18552" t="s">
        <v>11</v>
      </c>
      <c r="G18552" t="s">
        <v>3465</v>
      </c>
      <c r="H18552" s="12">
        <v>-1.30001212116919</v>
      </c>
      <c r="I18552" s="20">
        <v>-0.78430706870294997</v>
      </c>
      <c r="J18552" s="28">
        <v>0.43285995275184902</v>
      </c>
      <c r="K18552" s="29">
        <v>0.98289565623980701</v>
      </c>
    </row>
    <row r="18553" spans="1:11" x14ac:dyDescent="0.35">
      <c r="A18553" s="9" t="str">
        <f>HYPERLINK("http://www.ensembl.org/id/WBGene00022881", "WBGene00022881")</f>
        <v>WBGene00022881</v>
      </c>
      <c r="B18553" s="9" t="str">
        <f>HYPERLINK("http://www.ncbi.nlm.nih.gov/gene/173987", "173987")</f>
        <v>173987</v>
      </c>
      <c r="C18553" s="9"/>
      <c r="D18553" t="str">
        <f>"ZK1248.11"</f>
        <v>ZK1248.11</v>
      </c>
      <c r="F18553" t="s">
        <v>11</v>
      </c>
      <c r="G18553" t="s">
        <v>9606</v>
      </c>
      <c r="H18553" s="12">
        <v>-1.26318896178393</v>
      </c>
      <c r="I18553" s="20">
        <v>-1.0392470672721601</v>
      </c>
      <c r="J18553" s="28">
        <v>0.29868984565814399</v>
      </c>
      <c r="K18553" s="29">
        <v>0.98289565623980701</v>
      </c>
    </row>
    <row r="18554" spans="1:11" x14ac:dyDescent="0.35">
      <c r="A18554" s="9" t="str">
        <f>HYPERLINK("http://www.ensembl.org/id/WBGene00022882", "WBGene00022882")</f>
        <v>WBGene00022882</v>
      </c>
      <c r="B18554" s="9" t="str">
        <f>HYPERLINK("http://www.ncbi.nlm.nih.gov/gene/173988", "173988")</f>
        <v>173988</v>
      </c>
      <c r="C18554" s="9"/>
      <c r="D18554" t="str">
        <f>"ZK1248.13"</f>
        <v>ZK1248.13</v>
      </c>
      <c r="F18554" t="s">
        <v>11</v>
      </c>
      <c r="H18554" s="12">
        <v>-1.2559280627093501</v>
      </c>
      <c r="I18554" s="20">
        <v>-1.04842063469034</v>
      </c>
      <c r="J18554" s="28">
        <v>0.29444485062676201</v>
      </c>
      <c r="K18554" s="29">
        <v>0.98289565623980701</v>
      </c>
    </row>
    <row r="18555" spans="1:11" x14ac:dyDescent="0.35">
      <c r="A18555" s="9" t="str">
        <f>HYPERLINK("http://www.ensembl.org/id/WBGene00022884", "WBGene00022884")</f>
        <v>WBGene00022884</v>
      </c>
      <c r="B18555" s="9" t="str">
        <f>HYPERLINK("http://www.ncbi.nlm.nih.gov/gene/191548", "191548")</f>
        <v>191548</v>
      </c>
      <c r="C18555" s="9"/>
      <c r="D18555" t="str">
        <f>"ZK1248.17"</f>
        <v>ZK1248.17</v>
      </c>
      <c r="F18555" t="s">
        <v>11</v>
      </c>
      <c r="H18555" s="12">
        <v>-1.69545516489811</v>
      </c>
      <c r="I18555" s="20">
        <v>-0.66668096376915698</v>
      </c>
      <c r="J18555" s="28">
        <v>0.50497594077562702</v>
      </c>
      <c r="K18555" s="29">
        <v>0.98289565623980701</v>
      </c>
    </row>
    <row r="18556" spans="1:11" x14ac:dyDescent="0.35">
      <c r="A18556" s="9" t="str">
        <f>HYPERLINK("http://www.ensembl.org/id/WBGene00022885", "WBGene00022885")</f>
        <v>WBGene00022885</v>
      </c>
      <c r="B18556" s="9" t="str">
        <f>HYPERLINK("http://www.ncbi.nlm.nih.gov/gene/3564772", "3564772")</f>
        <v>3564772</v>
      </c>
      <c r="C18556" s="9" t="str">
        <f>HYPERLINK("http://www.ncbi.nlm.nih.gov/gene/84328", "84328")</f>
        <v>84328</v>
      </c>
      <c r="D18556" t="str">
        <f>"ZK1248.19"</f>
        <v>ZK1248.19</v>
      </c>
      <c r="F18556" t="s">
        <v>11</v>
      </c>
      <c r="G18556" t="s">
        <v>6816</v>
      </c>
      <c r="H18556" s="12">
        <v>-1.0906411367578499</v>
      </c>
      <c r="I18556" s="20">
        <v>-0.300199193686433</v>
      </c>
      <c r="J18556" s="28">
        <v>0.76402522007299101</v>
      </c>
      <c r="K18556" s="29">
        <v>0.98289565623980701</v>
      </c>
    </row>
    <row r="18557" spans="1:11" x14ac:dyDescent="0.35">
      <c r="A18557" s="9" t="str">
        <f>HYPERLINK("http://www.ensembl.org/id/WBGene00044393", "WBGene00044393")</f>
        <v>WBGene00044393</v>
      </c>
      <c r="B18557" s="9" t="str">
        <f>HYPERLINK("http://www.ncbi.nlm.nih.gov/gene/3565182", "3565182")</f>
        <v>3565182</v>
      </c>
      <c r="C18557" s="9"/>
      <c r="D18557" t="str">
        <f>"ZK1248.20"</f>
        <v>ZK1248.20</v>
      </c>
      <c r="F18557" t="s">
        <v>11</v>
      </c>
      <c r="G18557" t="s">
        <v>25</v>
      </c>
      <c r="H18557" s="12">
        <v>2.5964443813758602</v>
      </c>
      <c r="I18557" s="20">
        <v>0.32033355057255902</v>
      </c>
      <c r="J18557" s="28">
        <v>0.74871549235374901</v>
      </c>
      <c r="K18557" s="29">
        <v>0.98289565623980701</v>
      </c>
    </row>
    <row r="18558" spans="1:11" x14ac:dyDescent="0.35">
      <c r="A18558" s="9" t="str">
        <f>HYPERLINK("http://www.ensembl.org/id/WBGene00194669", "WBGene00194669")</f>
        <v>WBGene00194669</v>
      </c>
      <c r="B18558" s="9"/>
      <c r="C18558" s="9"/>
      <c r="D18558" t="str">
        <f>"ZK1251.15"</f>
        <v>ZK1251.15</v>
      </c>
      <c r="F18558" t="s">
        <v>2735</v>
      </c>
      <c r="H18558" s="12">
        <v>2.3893468495514898</v>
      </c>
      <c r="I18558" s="20">
        <v>0.25323547253672701</v>
      </c>
      <c r="J18558" s="28">
        <v>0.80008625651646104</v>
      </c>
      <c r="K18558" s="29">
        <v>0.98289565623980701</v>
      </c>
    </row>
    <row r="18559" spans="1:11" x14ac:dyDescent="0.35">
      <c r="A18559" s="9" t="str">
        <f>HYPERLINK("http://www.ensembl.org/id/WBGene00014996", "WBGene00014996")</f>
        <v>WBGene00014996</v>
      </c>
      <c r="B18559" s="9"/>
      <c r="C18559" s="9"/>
      <c r="D18559" t="str">
        <f>"ZK1251.5"</f>
        <v>ZK1251.5</v>
      </c>
      <c r="F18559" t="s">
        <v>80</v>
      </c>
      <c r="H18559" s="12">
        <v>4.9335718579655197</v>
      </c>
      <c r="I18559" s="20">
        <v>0.89079003523220901</v>
      </c>
      <c r="J18559" s="28">
        <v>0.37304182200936598</v>
      </c>
      <c r="K18559" s="29">
        <v>0.98289565623980701</v>
      </c>
    </row>
    <row r="18560" spans="1:11" x14ac:dyDescent="0.35">
      <c r="A18560" s="9" t="str">
        <f>HYPERLINK("http://www.ensembl.org/id/WBGene00022886", "WBGene00022886")</f>
        <v>WBGene00022886</v>
      </c>
      <c r="B18560" s="9" t="str">
        <f>HYPERLINK("http://www.ncbi.nlm.nih.gov/gene/191554", "191554")</f>
        <v>191554</v>
      </c>
      <c r="C18560" s="9"/>
      <c r="D18560" t="str">
        <f>"ZK1290.1"</f>
        <v>ZK1290.1</v>
      </c>
      <c r="F18560" t="s">
        <v>11</v>
      </c>
      <c r="H18560" s="12">
        <v>-2.4703018886837098</v>
      </c>
      <c r="I18560" s="20">
        <v>-0.36490693701166099</v>
      </c>
      <c r="J18560" s="28">
        <v>0.71518087587669499</v>
      </c>
      <c r="K18560" s="29">
        <v>0.98289565623980701</v>
      </c>
    </row>
    <row r="18561" spans="1:11" x14ac:dyDescent="0.35">
      <c r="A18561" s="9" t="str">
        <f>HYPERLINK("http://www.ensembl.org/id/WBGene00022891", "WBGene00022891")</f>
        <v>WBGene00022891</v>
      </c>
      <c r="B18561" s="9" t="str">
        <f>HYPERLINK("http://www.ncbi.nlm.nih.gov/gene/191558", "191558")</f>
        <v>191558</v>
      </c>
      <c r="C18561" s="9"/>
      <c r="D18561" t="str">
        <f>"ZK1290.10"</f>
        <v>ZK1290.10</v>
      </c>
      <c r="F18561" t="s">
        <v>11</v>
      </c>
      <c r="H18561" s="12">
        <v>1.45779707497801</v>
      </c>
      <c r="I18561" s="20">
        <v>1.1554283011249</v>
      </c>
      <c r="J18561" s="28">
        <v>0.24791507798936299</v>
      </c>
      <c r="K18561" s="29">
        <v>0.98289565623980701</v>
      </c>
    </row>
    <row r="18562" spans="1:11" x14ac:dyDescent="0.35">
      <c r="A18562" s="9" t="str">
        <f>HYPERLINK("http://www.ensembl.org/id/WBGene00044396", "WBGene00044396")</f>
        <v>WBGene00044396</v>
      </c>
      <c r="B18562" s="9" t="str">
        <f>HYPERLINK("http://www.ncbi.nlm.nih.gov/gene/3564816", "3564816")</f>
        <v>3564816</v>
      </c>
      <c r="C18562" s="9"/>
      <c r="D18562" t="str">
        <f>"ZK1290.14"</f>
        <v>ZK1290.14</v>
      </c>
      <c r="F18562" t="s">
        <v>11</v>
      </c>
      <c r="H18562" s="12">
        <v>1.17496626395313</v>
      </c>
      <c r="I18562" s="20">
        <v>0.74863496869534696</v>
      </c>
      <c r="J18562" s="28">
        <v>0.45407724952006301</v>
      </c>
      <c r="K18562" s="29">
        <v>0.98289565623980701</v>
      </c>
    </row>
    <row r="18563" spans="1:11" x14ac:dyDescent="0.35">
      <c r="A18563" s="9" t="str">
        <f>HYPERLINK("http://www.ensembl.org/id/WBGene00197968", "WBGene00197968")</f>
        <v>WBGene00197968</v>
      </c>
      <c r="B18563" s="9"/>
      <c r="C18563" s="9"/>
      <c r="D18563" t="str">
        <f>"ZK1290.19"</f>
        <v>ZK1290.19</v>
      </c>
      <c r="F18563" t="s">
        <v>481</v>
      </c>
      <c r="H18563" s="12">
        <v>4.4368407117627902</v>
      </c>
      <c r="I18563" s="20">
        <v>0.43709475933309699</v>
      </c>
      <c r="J18563" s="28">
        <v>0.66204262779770495</v>
      </c>
      <c r="K18563" s="29">
        <v>0.98289565623980701</v>
      </c>
    </row>
    <row r="18564" spans="1:11" x14ac:dyDescent="0.35">
      <c r="A18564" s="9" t="str">
        <f>HYPERLINK("http://www.ensembl.org/id/WBGene00022887", "WBGene00022887")</f>
        <v>WBGene00022887</v>
      </c>
      <c r="B18564" s="9" t="str">
        <f>HYPERLINK("http://www.ncbi.nlm.nih.gov/gene/191555", "191555")</f>
        <v>191555</v>
      </c>
      <c r="C18564" s="9"/>
      <c r="D18564" t="str">
        <f>"ZK1290.5"</f>
        <v>ZK1290.5</v>
      </c>
      <c r="E18564" t="s">
        <v>6058</v>
      </c>
      <c r="F18564" t="s">
        <v>11</v>
      </c>
      <c r="G18564" t="s">
        <v>6059</v>
      </c>
      <c r="H18564" s="12">
        <v>1.06831574203138</v>
      </c>
      <c r="I18564" s="20">
        <v>0.31913643538682701</v>
      </c>
      <c r="J18564" s="28">
        <v>0.749623055630804</v>
      </c>
      <c r="K18564" s="29">
        <v>0.98289565623980701</v>
      </c>
    </row>
    <row r="18565" spans="1:11" x14ac:dyDescent="0.35">
      <c r="A18565" s="9" t="str">
        <f>HYPERLINK("http://www.ensembl.org/id/WBGene00014244", "WBGene00014244")</f>
        <v>WBGene00014244</v>
      </c>
      <c r="B18565" s="9" t="str">
        <f>HYPERLINK("http://www.ncbi.nlm.nih.gov/gene/174519", "174519")</f>
        <v>174519</v>
      </c>
      <c r="C18565" s="9"/>
      <c r="D18565" t="str">
        <f>"ZK1307.1"</f>
        <v>ZK1307.1</v>
      </c>
      <c r="F18565" t="s">
        <v>11</v>
      </c>
      <c r="H18565" s="12">
        <v>-1.18218859301672</v>
      </c>
      <c r="I18565" s="20">
        <v>-0.77523959890185901</v>
      </c>
      <c r="J18565" s="28">
        <v>0.43819809308586199</v>
      </c>
      <c r="K18565" s="29">
        <v>0.98289565623980701</v>
      </c>
    </row>
    <row r="18566" spans="1:11" x14ac:dyDescent="0.35">
      <c r="A18566" s="9" t="str">
        <f>HYPERLINK("http://www.ensembl.org/id/WBGene00014245", "WBGene00014245")</f>
        <v>WBGene00014245</v>
      </c>
      <c r="B18566" s="9" t="str">
        <f>HYPERLINK("http://www.ncbi.nlm.nih.gov/gene/191559", "191559")</f>
        <v>191559</v>
      </c>
      <c r="C18566" s="9"/>
      <c r="D18566" t="str">
        <f>"ZK1307.2"</f>
        <v>ZK1307.2</v>
      </c>
      <c r="F18566" t="s">
        <v>11</v>
      </c>
      <c r="H18566" s="12">
        <v>-1.52879799999795</v>
      </c>
      <c r="I18566" s="20">
        <v>-0.49775774354575097</v>
      </c>
      <c r="J18566" s="28">
        <v>0.61865480300310605</v>
      </c>
      <c r="K18566" s="29">
        <v>0.98289565623980701</v>
      </c>
    </row>
    <row r="18567" spans="1:11" x14ac:dyDescent="0.35">
      <c r="A18567" s="9" t="str">
        <f>HYPERLINK("http://www.ensembl.org/id/WBGene00014247", "WBGene00014247")</f>
        <v>WBGene00014247</v>
      </c>
      <c r="B18567" s="9" t="str">
        <f>HYPERLINK("http://www.ncbi.nlm.nih.gov/gene/191561", "191561")</f>
        <v>191561</v>
      </c>
      <c r="C18567" s="9"/>
      <c r="D18567" t="str">
        <f>"ZK1307.4"</f>
        <v>ZK1307.4</v>
      </c>
      <c r="F18567" t="s">
        <v>11</v>
      </c>
      <c r="H18567" s="12">
        <v>-1.58002492593679</v>
      </c>
      <c r="I18567" s="20">
        <v>-0.54342897158435899</v>
      </c>
      <c r="J18567" s="28">
        <v>0.58683448278210004</v>
      </c>
      <c r="K18567" s="29">
        <v>0.98289565623980701</v>
      </c>
    </row>
    <row r="18568" spans="1:11" x14ac:dyDescent="0.35">
      <c r="A18568" s="9" t="str">
        <f>HYPERLINK("http://www.ensembl.org/id/WBGene00014256", "WBGene00014256")</f>
        <v>WBGene00014256</v>
      </c>
      <c r="B18568" s="9" t="str">
        <f>HYPERLINK("http://www.ncbi.nlm.nih.gov/gene/259457", "259457")</f>
        <v>259457</v>
      </c>
      <c r="C18568" s="9"/>
      <c r="D18568" t="str">
        <f>"ZK1320.7"</f>
        <v>ZK1320.7</v>
      </c>
      <c r="E18568" t="s">
        <v>9312</v>
      </c>
      <c r="F18568" t="s">
        <v>11</v>
      </c>
      <c r="G18568" t="s">
        <v>9313</v>
      </c>
      <c r="H18568" s="12">
        <v>-1.23706863134564</v>
      </c>
      <c r="I18568" s="20">
        <v>-0.935599491115367</v>
      </c>
      <c r="J18568" s="28">
        <v>0.34947943667975501</v>
      </c>
      <c r="K18568" s="29">
        <v>0.98289565623980701</v>
      </c>
    </row>
    <row r="18569" spans="1:11" x14ac:dyDescent="0.35">
      <c r="A18569" s="9" t="str">
        <f>HYPERLINK("http://www.ensembl.org/id/WBGene00014258", "WBGene00014258")</f>
        <v>WBGene00014258</v>
      </c>
      <c r="B18569" s="9" t="str">
        <f>HYPERLINK("http://www.ncbi.nlm.nih.gov/gene/174526", "174526")</f>
        <v>174526</v>
      </c>
      <c r="C18569" s="9"/>
      <c r="D18569" t="str">
        <f>"ZK1320.9"</f>
        <v>ZK1320.9</v>
      </c>
      <c r="F18569" t="s">
        <v>11</v>
      </c>
      <c r="G18569" t="s">
        <v>7014</v>
      </c>
      <c r="H18569" s="12">
        <v>-1.1023814562357199</v>
      </c>
      <c r="I18569" s="20">
        <v>-0.48874393646938102</v>
      </c>
      <c r="J18569" s="28">
        <v>0.625022993809637</v>
      </c>
      <c r="K18569" s="29">
        <v>0.98289565623980701</v>
      </c>
    </row>
    <row r="18570" spans="1:11" x14ac:dyDescent="0.35">
      <c r="A18570" s="9" t="str">
        <f>HYPERLINK("http://www.ensembl.org/id/WBGene00022665", "WBGene00022665")</f>
        <v>WBGene00022665</v>
      </c>
      <c r="B18570" s="9" t="str">
        <f>HYPERLINK("http://www.ncbi.nlm.nih.gov/gene/181038", "181038")</f>
        <v>181038</v>
      </c>
      <c r="C18570" s="9"/>
      <c r="D18570" t="str">
        <f>"ZK154.1"</f>
        <v>ZK154.1</v>
      </c>
      <c r="F18570" t="s">
        <v>11</v>
      </c>
      <c r="H18570" s="12">
        <v>1.3209389116310899</v>
      </c>
      <c r="I18570" s="20">
        <v>0.69257127466302504</v>
      </c>
      <c r="J18570" s="28">
        <v>0.48857864238082399</v>
      </c>
      <c r="K18570" s="29">
        <v>0.98289565623980701</v>
      </c>
    </row>
    <row r="18571" spans="1:11" x14ac:dyDescent="0.35">
      <c r="A18571" s="9" t="str">
        <f>HYPERLINK("http://www.ensembl.org/id/WBGene00023210", "WBGene00023210")</f>
        <v>WBGene00023210</v>
      </c>
      <c r="B18571" s="9"/>
      <c r="C18571" s="9"/>
      <c r="D18571" t="str">
        <f>"ZK154.t1"</f>
        <v>ZK154.t1</v>
      </c>
      <c r="F18571" t="s">
        <v>4208</v>
      </c>
      <c r="H18571" s="12">
        <v>2.3893468495514898</v>
      </c>
      <c r="I18571" s="20">
        <v>0.25323547253672701</v>
      </c>
      <c r="J18571" s="28">
        <v>0.80008625651646104</v>
      </c>
      <c r="K18571" s="29">
        <v>0.98289565623980701</v>
      </c>
    </row>
    <row r="18572" spans="1:11" x14ac:dyDescent="0.35">
      <c r="A18572" s="9" t="str">
        <f>HYPERLINK("http://www.ensembl.org/id/WBGene00023211", "WBGene00023211")</f>
        <v>WBGene00023211</v>
      </c>
      <c r="B18572" s="9"/>
      <c r="C18572" s="9"/>
      <c r="D18572" t="str">
        <f>"ZK154.t2"</f>
        <v>ZK154.t2</v>
      </c>
      <c r="F18572" t="s">
        <v>4208</v>
      </c>
      <c r="H18572" s="12">
        <v>-2.4991590031922399</v>
      </c>
      <c r="I18572" s="20">
        <v>-0.26577412737581302</v>
      </c>
      <c r="J18572" s="28">
        <v>0.79041317015736101</v>
      </c>
      <c r="K18572" s="29">
        <v>0.98289565623980701</v>
      </c>
    </row>
    <row r="18573" spans="1:11" x14ac:dyDescent="0.35">
      <c r="A18573" s="9" t="str">
        <f>HYPERLINK("http://www.ensembl.org/id/WBGene00023213", "WBGene00023213")</f>
        <v>WBGene00023213</v>
      </c>
      <c r="B18573" s="9"/>
      <c r="C18573" s="9"/>
      <c r="D18573" t="str">
        <f>"ZK154.t4"</f>
        <v>ZK154.t4</v>
      </c>
      <c r="F18573" t="s">
        <v>4208</v>
      </c>
      <c r="H18573" s="12">
        <v>-2.4295389261469</v>
      </c>
      <c r="I18573" s="20">
        <v>-0.25808529976640998</v>
      </c>
      <c r="J18573" s="28">
        <v>0.79634107645457397</v>
      </c>
      <c r="K18573" s="29">
        <v>0.98289565623980701</v>
      </c>
    </row>
    <row r="18574" spans="1:11" x14ac:dyDescent="0.35">
      <c r="A18574" s="9" t="str">
        <f>HYPERLINK("http://www.ensembl.org/id/WBGene00022671", "WBGene00022671")</f>
        <v>WBGene00022671</v>
      </c>
      <c r="B18574" s="9" t="str">
        <f>HYPERLINK("http://www.ncbi.nlm.nih.gov/gene/191237", "191237")</f>
        <v>191237</v>
      </c>
      <c r="C18574" s="9"/>
      <c r="D18574" t="str">
        <f>"ZK177.3"</f>
        <v>ZK177.3</v>
      </c>
      <c r="F18574" t="s">
        <v>11</v>
      </c>
      <c r="H18574" s="12">
        <v>16.217611553187702</v>
      </c>
      <c r="I18574" s="20">
        <v>0.94333696891586505</v>
      </c>
      <c r="J18574" s="28">
        <v>0.34550857211368002</v>
      </c>
      <c r="K18574" s="29">
        <v>0.98289565623980701</v>
      </c>
    </row>
    <row r="18575" spans="1:11" x14ac:dyDescent="0.35">
      <c r="A18575" s="9" t="str">
        <f>HYPERLINK("http://www.ensembl.org/id/WBGene00022674", "WBGene00022674")</f>
        <v>WBGene00022674</v>
      </c>
      <c r="B18575" s="9" t="str">
        <f>HYPERLINK("http://www.ncbi.nlm.nih.gov/gene/191238", "191238")</f>
        <v>191238</v>
      </c>
      <c r="C18575" s="9"/>
      <c r="D18575" t="str">
        <f>"ZK177.9"</f>
        <v>ZK177.9</v>
      </c>
      <c r="F18575" t="s">
        <v>11</v>
      </c>
      <c r="H18575" s="12">
        <v>2.3573004575185799</v>
      </c>
      <c r="I18575" s="20">
        <v>0.50560860457745804</v>
      </c>
      <c r="J18575" s="28">
        <v>0.61313143989578101</v>
      </c>
      <c r="K18575" s="29">
        <v>0.98289565623980701</v>
      </c>
    </row>
    <row r="18576" spans="1:11" x14ac:dyDescent="0.35">
      <c r="A18576" s="9" t="str">
        <f>HYPERLINK("http://www.ensembl.org/id/WBGene00197811", "WBGene00197811")</f>
        <v>WBGene00197811</v>
      </c>
      <c r="B18576" s="9"/>
      <c r="C18576" s="9"/>
      <c r="D18576" t="str">
        <f>"ZK180.10"</f>
        <v>ZK180.10</v>
      </c>
      <c r="F18576" t="s">
        <v>481</v>
      </c>
      <c r="H18576" s="12">
        <v>3.5227018545059199</v>
      </c>
      <c r="I18576" s="20">
        <v>0.36849691206929103</v>
      </c>
      <c r="J18576" s="28">
        <v>0.71250274722433404</v>
      </c>
      <c r="K18576" s="29">
        <v>0.98289565623980701</v>
      </c>
    </row>
    <row r="18577" spans="1:11" x14ac:dyDescent="0.35">
      <c r="A18577" s="9" t="str">
        <f>HYPERLINK("http://www.ensembl.org/id/WBGene00198815", "WBGene00198815")</f>
        <v>WBGene00198815</v>
      </c>
      <c r="B18577" s="9"/>
      <c r="C18577" s="9"/>
      <c r="D18577" t="str">
        <f>"ZK180.12"</f>
        <v>ZK180.12</v>
      </c>
      <c r="F18577" t="s">
        <v>481</v>
      </c>
      <c r="H18577" s="12">
        <v>-2.4991590031922399</v>
      </c>
      <c r="I18577" s="20">
        <v>-0.26577412737581302</v>
      </c>
      <c r="J18577" s="28">
        <v>0.79041317015736101</v>
      </c>
      <c r="K18577" s="29">
        <v>0.98289565623980701</v>
      </c>
    </row>
    <row r="18578" spans="1:11" x14ac:dyDescent="0.35">
      <c r="A18578" s="9" t="str">
        <f>HYPERLINK("http://www.ensembl.org/id/WBGene00200649", "WBGene00200649")</f>
        <v>WBGene00200649</v>
      </c>
      <c r="B18578" s="9"/>
      <c r="C18578" s="9"/>
      <c r="D18578" t="str">
        <f>"ZK180.17"</f>
        <v>ZK180.17</v>
      </c>
      <c r="F18578" t="s">
        <v>481</v>
      </c>
      <c r="H18578" s="12">
        <v>-2.4295389261469</v>
      </c>
      <c r="I18578" s="20">
        <v>-0.25808529976640998</v>
      </c>
      <c r="J18578" s="28">
        <v>0.79634107645457397</v>
      </c>
      <c r="K18578" s="29">
        <v>0.98289565623980701</v>
      </c>
    </row>
    <row r="18579" spans="1:11" x14ac:dyDescent="0.35">
      <c r="A18579" s="9" t="str">
        <f>HYPERLINK("http://www.ensembl.org/id/WBGene00022682", "WBGene00022682")</f>
        <v>WBGene00022682</v>
      </c>
      <c r="B18579" s="9" t="str">
        <f>HYPERLINK("http://www.ncbi.nlm.nih.gov/gene/177221", "177221")</f>
        <v>177221</v>
      </c>
      <c r="C18579" s="9"/>
      <c r="D18579" t="str">
        <f>"ZK185.2"</f>
        <v>ZK185.2</v>
      </c>
      <c r="F18579" t="s">
        <v>11</v>
      </c>
      <c r="G18579" t="s">
        <v>3238</v>
      </c>
      <c r="H18579" s="12">
        <v>1.16874428691799</v>
      </c>
      <c r="I18579" s="20">
        <v>0.40108821151811203</v>
      </c>
      <c r="J18579" s="28">
        <v>0.688355179738109</v>
      </c>
      <c r="K18579" s="29">
        <v>0.98289565623980701</v>
      </c>
    </row>
    <row r="18580" spans="1:11" x14ac:dyDescent="0.35">
      <c r="A18580" s="9" t="str">
        <f>HYPERLINK("http://www.ensembl.org/id/WBGene00044480", "WBGene00044480")</f>
        <v>WBGene00044480</v>
      </c>
      <c r="B18580" s="9" t="str">
        <f>HYPERLINK("http://www.ncbi.nlm.nih.gov/gene/3896817", "3896817")</f>
        <v>3896817</v>
      </c>
      <c r="C18580" s="9"/>
      <c r="D18580" t="str">
        <f>"ZK185.4"</f>
        <v>ZK185.4</v>
      </c>
      <c r="F18580" t="s">
        <v>11</v>
      </c>
      <c r="G18580" t="s">
        <v>557</v>
      </c>
      <c r="H18580" s="12">
        <v>2.3444892507898301</v>
      </c>
      <c r="I18580" s="20">
        <v>0.253126732237689</v>
      </c>
      <c r="J18580" s="28">
        <v>0.80017028205419904</v>
      </c>
      <c r="K18580" s="29">
        <v>0.98289565623980701</v>
      </c>
    </row>
    <row r="18581" spans="1:11" x14ac:dyDescent="0.35">
      <c r="A18581" s="9" t="str">
        <f>HYPERLINK("http://www.ensembl.org/id/WBGene00044481", "WBGene00044481")</f>
        <v>WBGene00044481</v>
      </c>
      <c r="B18581" s="9" t="str">
        <f>HYPERLINK("http://www.ncbi.nlm.nih.gov/gene/3896818", "3896818")</f>
        <v>3896818</v>
      </c>
      <c r="C18581" s="9"/>
      <c r="D18581" t="str">
        <f>"ZK185.5"</f>
        <v>ZK185.5</v>
      </c>
      <c r="F18581" t="s">
        <v>11</v>
      </c>
      <c r="G18581" t="s">
        <v>307</v>
      </c>
      <c r="H18581" s="12">
        <v>-1.19076035462201</v>
      </c>
      <c r="I18581" s="20">
        <v>-0.57831073729851201</v>
      </c>
      <c r="J18581" s="28">
        <v>0.56305434650695696</v>
      </c>
      <c r="K18581" s="29">
        <v>0.98289565623980701</v>
      </c>
    </row>
    <row r="18582" spans="1:11" x14ac:dyDescent="0.35">
      <c r="A18582" s="9" t="str">
        <f>HYPERLINK("http://www.ensembl.org/id/WBGene00220238", "WBGene00220238")</f>
        <v>WBGene00220238</v>
      </c>
      <c r="B18582" s="9"/>
      <c r="C18582" s="9"/>
      <c r="D18582" t="str">
        <f>"ZK185.9"</f>
        <v>ZK185.9</v>
      </c>
      <c r="F18582" t="s">
        <v>2977</v>
      </c>
      <c r="H18582" s="12">
        <v>-4.7467792185731703</v>
      </c>
      <c r="I18582" s="20">
        <v>-0.52614829068776403</v>
      </c>
      <c r="J18582" s="28">
        <v>0.59878517842770296</v>
      </c>
      <c r="K18582" s="29">
        <v>0.98289565623980701</v>
      </c>
    </row>
    <row r="18583" spans="1:11" x14ac:dyDescent="0.35">
      <c r="A18583" s="9" t="str">
        <f>HYPERLINK("http://www.ensembl.org/id/WBGene00220237", "WBGene00220237")</f>
        <v>WBGene00220237</v>
      </c>
      <c r="B18583" s="9"/>
      <c r="C18583" s="9"/>
      <c r="D18583" t="str">
        <f>"ZK20.10"</f>
        <v>ZK20.10</v>
      </c>
      <c r="F18583" t="s">
        <v>481</v>
      </c>
      <c r="H18583" s="12">
        <v>-2.3700125250522901</v>
      </c>
      <c r="I18583" s="20">
        <v>-0.29053697296179998</v>
      </c>
      <c r="J18583" s="28">
        <v>0.77140546964177203</v>
      </c>
      <c r="K18583" s="29">
        <v>0.98289565623980701</v>
      </c>
    </row>
    <row r="18584" spans="1:11" x14ac:dyDescent="0.35">
      <c r="A18584" s="9" t="str">
        <f>HYPERLINK("http://www.ensembl.org/id/WBGene00197648", "WBGene00197648")</f>
        <v>WBGene00197648</v>
      </c>
      <c r="B18584" s="9"/>
      <c r="C18584" s="9"/>
      <c r="D18584" t="str">
        <f>"ZK20.8"</f>
        <v>ZK20.8</v>
      </c>
      <c r="F18584" t="s">
        <v>481</v>
      </c>
      <c r="H18584" s="12">
        <v>-1.5195696999733499</v>
      </c>
      <c r="I18584" s="20">
        <v>-0.48761626997367402</v>
      </c>
      <c r="J18584" s="28">
        <v>0.62582166906868397</v>
      </c>
      <c r="K18584" s="29">
        <v>0.98289565623980701</v>
      </c>
    </row>
    <row r="18585" spans="1:11" x14ac:dyDescent="0.35">
      <c r="A18585" s="9" t="str">
        <f>HYPERLINK("http://www.ensembl.org/id/WBGene00220236", "WBGene00220236")</f>
        <v>WBGene00220236</v>
      </c>
      <c r="B18585" s="9"/>
      <c r="C18585" s="9"/>
      <c r="D18585" t="str">
        <f>"ZK20.9"</f>
        <v>ZK20.9</v>
      </c>
      <c r="F18585" t="s">
        <v>2977</v>
      </c>
      <c r="H18585" s="12">
        <v>-1.4400041908312</v>
      </c>
      <c r="I18585" s="20">
        <v>-0.281765798433948</v>
      </c>
      <c r="J18585" s="28">
        <v>0.77812309766548104</v>
      </c>
      <c r="K18585" s="29">
        <v>0.98289565623980701</v>
      </c>
    </row>
    <row r="18586" spans="1:11" x14ac:dyDescent="0.35">
      <c r="A18586" s="9" t="str">
        <f>HYPERLINK("http://www.ensembl.org/id/WBGene00013935", "WBGene00013935")</f>
        <v>WBGene00013935</v>
      </c>
      <c r="B18586" s="9" t="str">
        <f>HYPERLINK("http://www.ncbi.nlm.nih.gov/gene/191243", "191243")</f>
        <v>191243</v>
      </c>
      <c r="C18586" s="9"/>
      <c r="D18586" t="str">
        <f>"ZK218.1"</f>
        <v>ZK218.1</v>
      </c>
      <c r="F18586" t="s">
        <v>11</v>
      </c>
      <c r="H18586" s="12">
        <v>1.3559490946155099</v>
      </c>
      <c r="I18586" s="20">
        <v>0.29906775213196302</v>
      </c>
      <c r="J18586" s="28">
        <v>0.76488835092171303</v>
      </c>
      <c r="K18586" s="29">
        <v>0.98289565623980701</v>
      </c>
    </row>
    <row r="18587" spans="1:11" x14ac:dyDescent="0.35">
      <c r="A18587" s="9" t="str">
        <f>HYPERLINK("http://www.ensembl.org/id/WBGene00077652", "WBGene00077652")</f>
        <v>WBGene00077652</v>
      </c>
      <c r="B18587" s="9"/>
      <c r="C18587" s="9"/>
      <c r="D18587" t="str">
        <f>"ZK228.12"</f>
        <v>ZK228.12</v>
      </c>
      <c r="F18587" t="s">
        <v>80</v>
      </c>
      <c r="H18587" s="12">
        <v>1.7168231912501399</v>
      </c>
      <c r="I18587" s="20">
        <v>0.459260511031092</v>
      </c>
      <c r="J18587" s="28">
        <v>0.64604710156328904</v>
      </c>
      <c r="K18587" s="29">
        <v>0.98289565623980701</v>
      </c>
    </row>
    <row r="18588" spans="1:11" x14ac:dyDescent="0.35">
      <c r="A18588" s="9" t="str">
        <f>HYPERLINK("http://www.ensembl.org/id/WBGene00195061", "WBGene00195061")</f>
        <v>WBGene00195061</v>
      </c>
      <c r="B18588" s="9" t="str">
        <f>HYPERLINK("http://www.ncbi.nlm.nih.gov/gene/13218227", "13218227")</f>
        <v>13218227</v>
      </c>
      <c r="C18588" s="9"/>
      <c r="D18588" t="str">
        <f>"ZK228.13"</f>
        <v>ZK228.13</v>
      </c>
      <c r="F18588" t="s">
        <v>11</v>
      </c>
      <c r="H18588" s="12">
        <v>-3.7261494131482999</v>
      </c>
      <c r="I18588" s="20">
        <v>-0.38454673129429601</v>
      </c>
      <c r="J18588" s="28">
        <v>0.70057326682554</v>
      </c>
      <c r="K18588" s="29">
        <v>0.98289565623980701</v>
      </c>
    </row>
    <row r="18589" spans="1:11" x14ac:dyDescent="0.35">
      <c r="A18589" s="9" t="str">
        <f>HYPERLINK("http://www.ensembl.org/id/WBGene00013946", "WBGene00013946")</f>
        <v>WBGene00013946</v>
      </c>
      <c r="B18589" s="9" t="str">
        <f>HYPERLINK("http://www.ncbi.nlm.nih.gov/gene/180200", "180200")</f>
        <v>180200</v>
      </c>
      <c r="C18589" s="9"/>
      <c r="D18589" t="str">
        <f>"ZK228.3"</f>
        <v>ZK228.3</v>
      </c>
      <c r="F18589" t="s">
        <v>11</v>
      </c>
      <c r="H18589" s="12">
        <v>1.20909701463918</v>
      </c>
      <c r="I18589" s="20">
        <v>0.69797217356858299</v>
      </c>
      <c r="J18589" s="28">
        <v>0.48519459637074103</v>
      </c>
      <c r="K18589" s="29">
        <v>0.98289565623980701</v>
      </c>
    </row>
    <row r="18590" spans="1:11" x14ac:dyDescent="0.35">
      <c r="A18590" s="9" t="str">
        <f>HYPERLINK("http://www.ensembl.org/id/WBGene00013947", "WBGene00013947")</f>
        <v>WBGene00013947</v>
      </c>
      <c r="B18590" s="9" t="str">
        <f>HYPERLINK("http://www.ncbi.nlm.nih.gov/gene/180201", "180201")</f>
        <v>180201</v>
      </c>
      <c r="C18590" s="9"/>
      <c r="D18590" t="str">
        <f>"ZK228.4"</f>
        <v>ZK228.4</v>
      </c>
      <c r="F18590" t="s">
        <v>11</v>
      </c>
      <c r="G18590" t="s">
        <v>4915</v>
      </c>
      <c r="H18590" s="12">
        <v>1.3044582591618099</v>
      </c>
      <c r="I18590" s="20">
        <v>0.788089737695707</v>
      </c>
      <c r="J18590" s="28">
        <v>0.43064421748287202</v>
      </c>
      <c r="K18590" s="29">
        <v>0.98289565623980701</v>
      </c>
    </row>
    <row r="18591" spans="1:11" x14ac:dyDescent="0.35">
      <c r="A18591" s="9" t="str">
        <f>HYPERLINK("http://www.ensembl.org/id/WBGene00235352", "WBGene00235352")</f>
        <v>WBGene00235352</v>
      </c>
      <c r="B18591" s="9" t="str">
        <f>HYPERLINK("http://www.ncbi.nlm.nih.gov/gene/24105281", "24105281")</f>
        <v>24105281</v>
      </c>
      <c r="C18591" s="9"/>
      <c r="D18591" t="str">
        <f>"ZK250.13"</f>
        <v>ZK250.13</v>
      </c>
      <c r="F18591" t="s">
        <v>11</v>
      </c>
      <c r="G18591" t="s">
        <v>54</v>
      </c>
      <c r="H18591" s="12">
        <v>-1.1932284248790801</v>
      </c>
      <c r="I18591" s="20">
        <v>-0.69155222369351399</v>
      </c>
      <c r="J18591" s="28">
        <v>0.48921857375553501</v>
      </c>
      <c r="K18591" s="29">
        <v>0.98289565623980701</v>
      </c>
    </row>
    <row r="18592" spans="1:11" x14ac:dyDescent="0.35">
      <c r="A18592" s="9" t="str">
        <f>HYPERLINK("http://www.ensembl.org/id/WBGene00235355", "WBGene00235355")</f>
        <v>WBGene00235355</v>
      </c>
      <c r="B18592" s="9"/>
      <c r="C18592" s="9"/>
      <c r="D18592" t="str">
        <f>"ZK250.15"</f>
        <v>ZK250.15</v>
      </c>
      <c r="F18592" t="s">
        <v>80</v>
      </c>
      <c r="H18592" s="12">
        <v>1.39518602930916</v>
      </c>
      <c r="I18592" s="20">
        <v>0.36663913824018102</v>
      </c>
      <c r="J18592" s="28">
        <v>0.71388821011551395</v>
      </c>
      <c r="K18592" s="29">
        <v>0.98289565623980701</v>
      </c>
    </row>
    <row r="18593" spans="1:11" x14ac:dyDescent="0.35">
      <c r="A18593" s="9" t="str">
        <f>HYPERLINK("http://www.ensembl.org/id/WBGene00022685", "WBGene00022685")</f>
        <v>WBGene00022685</v>
      </c>
      <c r="B18593" s="9" t="str">
        <f>HYPERLINK("http://www.ncbi.nlm.nih.gov/gene/191258", "191258")</f>
        <v>191258</v>
      </c>
      <c r="C18593" s="9"/>
      <c r="D18593" t="str">
        <f>"ZK250.2"</f>
        <v>ZK250.2</v>
      </c>
      <c r="F18593" t="s">
        <v>11</v>
      </c>
      <c r="H18593" s="12">
        <v>2.7673577891718502</v>
      </c>
      <c r="I18593" s="20">
        <v>0.67844581343430499</v>
      </c>
      <c r="J18593" s="28">
        <v>0.497489069597436</v>
      </c>
      <c r="K18593" s="29">
        <v>0.98289565623980701</v>
      </c>
    </row>
    <row r="18594" spans="1:11" x14ac:dyDescent="0.35">
      <c r="A18594" s="9" t="str">
        <f>HYPERLINK("http://www.ensembl.org/id/WBGene00014984", "WBGene00014984")</f>
        <v>WBGene00014984</v>
      </c>
      <c r="B18594" s="9"/>
      <c r="C18594" s="9"/>
      <c r="D18594" t="str">
        <f>"ZK262.12"</f>
        <v>ZK262.12</v>
      </c>
      <c r="F18594" t="s">
        <v>80</v>
      </c>
      <c r="H18594" s="12">
        <v>-3.5819448292659501</v>
      </c>
      <c r="I18594" s="20">
        <v>-0.37337717500031398</v>
      </c>
      <c r="J18594" s="28">
        <v>0.70886774492290605</v>
      </c>
      <c r="K18594" s="29">
        <v>0.98289565623980701</v>
      </c>
    </row>
    <row r="18595" spans="1:11" x14ac:dyDescent="0.35">
      <c r="A18595" s="9" t="str">
        <f>HYPERLINK("http://www.ensembl.org/id/WBGene00219370", "WBGene00219370")</f>
        <v>WBGene00219370</v>
      </c>
      <c r="B18595" s="9" t="str">
        <f>HYPERLINK("http://www.ncbi.nlm.nih.gov/gene/13218215", "13218215")</f>
        <v>13218215</v>
      </c>
      <c r="C18595" s="9"/>
      <c r="D18595" t="str">
        <f>"ZK262.20"</f>
        <v>ZK262.20</v>
      </c>
      <c r="F18595" t="s">
        <v>11</v>
      </c>
      <c r="H18595" s="12">
        <v>3.5227018545059199</v>
      </c>
      <c r="I18595" s="20">
        <v>0.36849691206929103</v>
      </c>
      <c r="J18595" s="28">
        <v>0.71250274722433404</v>
      </c>
      <c r="K18595" s="29">
        <v>0.98289565623980701</v>
      </c>
    </row>
    <row r="18596" spans="1:11" x14ac:dyDescent="0.35">
      <c r="A18596" s="9" t="str">
        <f>HYPERLINK("http://www.ensembl.org/id/WBGene00013953", "WBGene00013953")</f>
        <v>WBGene00013953</v>
      </c>
      <c r="B18596" s="9" t="str">
        <f>HYPERLINK("http://www.ncbi.nlm.nih.gov/gene/191270", "191270")</f>
        <v>191270</v>
      </c>
      <c r="C18596" s="9"/>
      <c r="D18596" t="str">
        <f>"ZK262.8"</f>
        <v>ZK262.8</v>
      </c>
      <c r="F18596" t="s">
        <v>11</v>
      </c>
      <c r="H18596" s="12">
        <v>-2.4295389261469</v>
      </c>
      <c r="I18596" s="20">
        <v>-0.25808529976640998</v>
      </c>
      <c r="J18596" s="28">
        <v>0.79634107645457397</v>
      </c>
      <c r="K18596" s="29">
        <v>0.98289565623980701</v>
      </c>
    </row>
    <row r="18597" spans="1:11" x14ac:dyDescent="0.35">
      <c r="A18597" s="9" t="str">
        <f>HYPERLINK("http://www.ensembl.org/id/WBGene00013954", "WBGene00013954")</f>
        <v>WBGene00013954</v>
      </c>
      <c r="B18597" s="9" t="str">
        <f>HYPERLINK("http://www.ncbi.nlm.nih.gov/gene/191271", "191271")</f>
        <v>191271</v>
      </c>
      <c r="C18597" s="9"/>
      <c r="D18597" t="str">
        <f>"ZK262.9"</f>
        <v>ZK262.9</v>
      </c>
      <c r="F18597" t="s">
        <v>11</v>
      </c>
      <c r="H18597" s="12">
        <v>-3.2495597408956902</v>
      </c>
      <c r="I18597" s="20">
        <v>-0.45938284331649798</v>
      </c>
      <c r="J18597" s="28">
        <v>0.64595926644172297</v>
      </c>
      <c r="K18597" s="29">
        <v>0.98289565623980701</v>
      </c>
    </row>
    <row r="18598" spans="1:11" x14ac:dyDescent="0.35">
      <c r="A18598" s="9" t="str">
        <f>HYPERLINK("http://www.ensembl.org/id/WBGene00045150", "WBGene00045150")</f>
        <v>WBGene00045150</v>
      </c>
      <c r="B18598" s="9"/>
      <c r="C18598" s="9"/>
      <c r="D18598" t="str">
        <f>"ZK265.10"</f>
        <v>ZK265.10</v>
      </c>
      <c r="F18598" t="s">
        <v>2977</v>
      </c>
      <c r="H18598" s="12">
        <v>-3.2035722220826099</v>
      </c>
      <c r="I18598" s="20">
        <v>-0.52599423242316801</v>
      </c>
      <c r="J18598" s="28">
        <v>0.59889221429994999</v>
      </c>
      <c r="K18598" s="29">
        <v>0.98289565623980701</v>
      </c>
    </row>
    <row r="18599" spans="1:11" x14ac:dyDescent="0.35">
      <c r="A18599" s="9" t="str">
        <f>HYPERLINK("http://www.ensembl.org/id/WBGene00200345", "WBGene00200345")</f>
        <v>WBGene00200345</v>
      </c>
      <c r="B18599" s="9"/>
      <c r="C18599" s="9"/>
      <c r="D18599" t="str">
        <f>"ZK270.3"</f>
        <v>ZK270.3</v>
      </c>
      <c r="F18599" t="s">
        <v>481</v>
      </c>
      <c r="H18599" s="12">
        <v>2.3893468495514898</v>
      </c>
      <c r="I18599" s="20">
        <v>0.25323547253672701</v>
      </c>
      <c r="J18599" s="28">
        <v>0.80008625651646104</v>
      </c>
      <c r="K18599" s="29">
        <v>0.98289565623980701</v>
      </c>
    </row>
    <row r="18600" spans="1:11" x14ac:dyDescent="0.35">
      <c r="A18600" s="9" t="str">
        <f>HYPERLINK("http://www.ensembl.org/id/WBGene00220240", "WBGene00220240")</f>
        <v>WBGene00220240</v>
      </c>
      <c r="B18600" s="9"/>
      <c r="C18600" s="9"/>
      <c r="D18600" t="str">
        <f>"ZK270.4"</f>
        <v>ZK270.4</v>
      </c>
      <c r="F18600" t="s">
        <v>481</v>
      </c>
      <c r="H18600" s="12">
        <v>5.9495765472548197</v>
      </c>
      <c r="I18600" s="20">
        <v>0.52429389276509997</v>
      </c>
      <c r="J18600" s="28">
        <v>0.60007414400596704</v>
      </c>
      <c r="K18600" s="29">
        <v>0.98289565623980701</v>
      </c>
    </row>
    <row r="18601" spans="1:11" x14ac:dyDescent="0.35">
      <c r="A18601" s="9" t="str">
        <f>HYPERLINK("http://www.ensembl.org/id/WBGene00013961", "WBGene00013961")</f>
        <v>WBGene00013961</v>
      </c>
      <c r="B18601" s="9" t="str">
        <f>HYPERLINK("http://www.ncbi.nlm.nih.gov/gene/3565533", "3565533")</f>
        <v>3565533</v>
      </c>
      <c r="C18601" s="9"/>
      <c r="D18601" t="str">
        <f>"ZK285.2"</f>
        <v>ZK285.2</v>
      </c>
      <c r="F18601" t="s">
        <v>11</v>
      </c>
      <c r="G18601" t="s">
        <v>25</v>
      </c>
      <c r="H18601" s="12">
        <v>3.28624938312884</v>
      </c>
      <c r="I18601" s="20">
        <v>0.36379512681977599</v>
      </c>
      <c r="J18601" s="28">
        <v>0.716011001908614</v>
      </c>
      <c r="K18601" s="29">
        <v>0.98289565623980701</v>
      </c>
    </row>
    <row r="18602" spans="1:11" x14ac:dyDescent="0.35">
      <c r="A18602" s="9" t="str">
        <f>HYPERLINK("http://www.ensembl.org/id/WBGene00197879", "WBGene00197879")</f>
        <v>WBGene00197879</v>
      </c>
      <c r="B18602" s="9"/>
      <c r="C18602" s="9"/>
      <c r="D18602" t="str">
        <f>"ZK287.11"</f>
        <v>ZK287.11</v>
      </c>
      <c r="F18602" t="s">
        <v>481</v>
      </c>
      <c r="H18602" s="12">
        <v>-2.2462711840042502</v>
      </c>
      <c r="I18602" s="20">
        <v>-0.28752192663158799</v>
      </c>
      <c r="J18602" s="28">
        <v>0.77371271536475705</v>
      </c>
      <c r="K18602" s="29">
        <v>0.98289565623980701</v>
      </c>
    </row>
    <row r="18603" spans="1:11" x14ac:dyDescent="0.35">
      <c r="A18603" s="9" t="str">
        <f>HYPERLINK("http://www.ensembl.org/id/WBGene00198937", "WBGene00198937")</f>
        <v>WBGene00198937</v>
      </c>
      <c r="B18603" s="9"/>
      <c r="C18603" s="9"/>
      <c r="D18603" t="str">
        <f>"ZK287.14"</f>
        <v>ZK287.14</v>
      </c>
      <c r="F18603" t="s">
        <v>481</v>
      </c>
      <c r="H18603" s="12">
        <v>2.4578120077400301</v>
      </c>
      <c r="I18603" s="20">
        <v>0.26093350314551</v>
      </c>
      <c r="J18603" s="28">
        <v>0.79414378780213601</v>
      </c>
      <c r="K18603" s="29">
        <v>0.98289565623980701</v>
      </c>
    </row>
    <row r="18604" spans="1:11" x14ac:dyDescent="0.35">
      <c r="A18604" s="9" t="str">
        <f>HYPERLINK("http://www.ensembl.org/id/WBGene00013968", "WBGene00013968")</f>
        <v>WBGene00013968</v>
      </c>
      <c r="B18604" s="9" t="str">
        <f>HYPERLINK("http://www.ncbi.nlm.nih.gov/gene/3565283", "3565283")</f>
        <v>3565283</v>
      </c>
      <c r="C18604" s="9"/>
      <c r="D18604" t="str">
        <f>"ZK287.9"</f>
        <v>ZK287.9</v>
      </c>
      <c r="F18604" t="s">
        <v>11</v>
      </c>
      <c r="G18604" t="s">
        <v>25</v>
      </c>
      <c r="H18604" s="12">
        <v>-1.2146320940589901</v>
      </c>
      <c r="I18604" s="20">
        <v>-0.38205251131159801</v>
      </c>
      <c r="J18604" s="28">
        <v>0.70242241516217596</v>
      </c>
      <c r="K18604" s="29">
        <v>0.98289565623980701</v>
      </c>
    </row>
    <row r="18605" spans="1:11" x14ac:dyDescent="0.35">
      <c r="A18605" s="9" t="str">
        <f>HYPERLINK("http://www.ensembl.org/id/WBGene00022704", "WBGene00022704")</f>
        <v>WBGene00022704</v>
      </c>
      <c r="B18605" s="9" t="str">
        <f>HYPERLINK("http://www.ncbi.nlm.nih.gov/gene/191290", "191290")</f>
        <v>191290</v>
      </c>
      <c r="C18605" s="9" t="str">
        <f>HYPERLINK("http://www.ncbi.nlm.nih.gov/gene/57095", "57095")</f>
        <v>57095</v>
      </c>
      <c r="D18605" t="str">
        <f>"ZK353.9"</f>
        <v>ZK353.9</v>
      </c>
      <c r="E18605" t="s">
        <v>9577</v>
      </c>
      <c r="F18605" t="s">
        <v>11</v>
      </c>
      <c r="G18605" t="s">
        <v>228</v>
      </c>
      <c r="H18605" s="12">
        <v>-1.2605379926690199</v>
      </c>
      <c r="I18605" s="20">
        <v>-1.0905375123916301</v>
      </c>
      <c r="J18605" s="28">
        <v>0.27547643839109398</v>
      </c>
      <c r="K18605" s="29">
        <v>0.98289565623980701</v>
      </c>
    </row>
    <row r="18606" spans="1:11" x14ac:dyDescent="0.35">
      <c r="A18606" s="9" t="str">
        <f>HYPERLINK("http://www.ensembl.org/id/WBGene00022706", "WBGene00022706")</f>
        <v>WBGene00022706</v>
      </c>
      <c r="B18606" s="9" t="str">
        <f>HYPERLINK("http://www.ncbi.nlm.nih.gov/gene/191291", "191291")</f>
        <v>191291</v>
      </c>
      <c r="C18606" s="9"/>
      <c r="D18606" t="str">
        <f>"ZK354.3"</f>
        <v>ZK354.3</v>
      </c>
      <c r="F18606" t="s">
        <v>11</v>
      </c>
      <c r="H18606" s="12">
        <v>1.46156644092141</v>
      </c>
      <c r="I18606" s="20">
        <v>0.51128983850110898</v>
      </c>
      <c r="J18606" s="28">
        <v>0.60914811929218704</v>
      </c>
      <c r="K18606" s="29">
        <v>0.98289565623980701</v>
      </c>
    </row>
    <row r="18607" spans="1:11" x14ac:dyDescent="0.35">
      <c r="A18607" s="9" t="str">
        <f>HYPERLINK("http://www.ensembl.org/id/WBGene00022708", "WBGene00022708")</f>
        <v>WBGene00022708</v>
      </c>
      <c r="B18607" s="9" t="str">
        <f>HYPERLINK("http://www.ncbi.nlm.nih.gov/gene/191294", "191294")</f>
        <v>191294</v>
      </c>
      <c r="C18607" s="9"/>
      <c r="D18607" t="str">
        <f>"ZK354.7"</f>
        <v>ZK354.7</v>
      </c>
      <c r="E18607" t="s">
        <v>899</v>
      </c>
      <c r="F18607" t="s">
        <v>11</v>
      </c>
      <c r="G18607" t="s">
        <v>3403</v>
      </c>
      <c r="H18607" s="12">
        <v>-1.6887666144490101</v>
      </c>
      <c r="I18607" s="20">
        <v>-0.38108185729308702</v>
      </c>
      <c r="J18607" s="28">
        <v>0.70314250929675104</v>
      </c>
      <c r="K18607" s="29">
        <v>0.98289565623980701</v>
      </c>
    </row>
    <row r="18608" spans="1:11" x14ac:dyDescent="0.35">
      <c r="A18608" s="9" t="str">
        <f>HYPERLINK("http://www.ensembl.org/id/WBGene00201986", "WBGene00201986")</f>
        <v>WBGene00201986</v>
      </c>
      <c r="B18608" s="9"/>
      <c r="C18608" s="9"/>
      <c r="D18608" t="str">
        <f>"ZK370.11"</f>
        <v>ZK370.11</v>
      </c>
      <c r="F18608" t="s">
        <v>481</v>
      </c>
      <c r="H18608" s="12">
        <v>3.6645215954135</v>
      </c>
      <c r="I18608" s="20">
        <v>0.37967131826092498</v>
      </c>
      <c r="J18608" s="28">
        <v>0.70418941338960395</v>
      </c>
      <c r="K18608" s="29">
        <v>0.98289565623980701</v>
      </c>
    </row>
    <row r="18609" spans="1:11" x14ac:dyDescent="0.35">
      <c r="A18609" s="9" t="str">
        <f>HYPERLINK("http://www.ensembl.org/id/WBGene00202370", "WBGene00202370")</f>
        <v>WBGene00202370</v>
      </c>
      <c r="B18609" s="9"/>
      <c r="C18609" s="9"/>
      <c r="D18609" t="str">
        <f>"ZK377.13"</f>
        <v>ZK377.13</v>
      </c>
      <c r="F18609" t="s">
        <v>481</v>
      </c>
      <c r="H18609" s="12">
        <v>2.4578120077400301</v>
      </c>
      <c r="I18609" s="20">
        <v>0.26093350314551</v>
      </c>
      <c r="J18609" s="28">
        <v>0.79414378780213601</v>
      </c>
      <c r="K18609" s="29">
        <v>0.98289565623980701</v>
      </c>
    </row>
    <row r="18610" spans="1:11" x14ac:dyDescent="0.35">
      <c r="A18610" s="9" t="str">
        <f>HYPERLINK("http://www.ensembl.org/id/WBGene00202397", "WBGene00202397")</f>
        <v>WBGene00202397</v>
      </c>
      <c r="B18610" s="9"/>
      <c r="C18610" s="9"/>
      <c r="D18610" t="str">
        <f>"ZK377.14"</f>
        <v>ZK377.14</v>
      </c>
      <c r="F18610" t="s">
        <v>481</v>
      </c>
      <c r="H18610" s="12">
        <v>3.6645215954135</v>
      </c>
      <c r="I18610" s="20">
        <v>0.37967131826092498</v>
      </c>
      <c r="J18610" s="28">
        <v>0.70418941338960395</v>
      </c>
      <c r="K18610" s="29">
        <v>0.98289565623980701</v>
      </c>
    </row>
    <row r="18611" spans="1:11" x14ac:dyDescent="0.35">
      <c r="A18611" s="9" t="str">
        <f>HYPERLINK("http://www.ensembl.org/id/WBGene00195727", "WBGene00195727")</f>
        <v>WBGene00195727</v>
      </c>
      <c r="B18611" s="9"/>
      <c r="C18611" s="9"/>
      <c r="D18611" t="str">
        <f>"ZK377.4"</f>
        <v>ZK377.4</v>
      </c>
      <c r="F18611" t="s">
        <v>481</v>
      </c>
      <c r="H18611" s="12">
        <v>-2.4991590031922399</v>
      </c>
      <c r="I18611" s="20">
        <v>-0.26577412737581302</v>
      </c>
      <c r="J18611" s="28">
        <v>0.79041317015736101</v>
      </c>
      <c r="K18611" s="29">
        <v>0.98289565623980701</v>
      </c>
    </row>
    <row r="18612" spans="1:11" x14ac:dyDescent="0.35">
      <c r="A18612" s="9" t="str">
        <f>HYPERLINK("http://www.ensembl.org/id/WBGene00197750", "WBGene00197750")</f>
        <v>WBGene00197750</v>
      </c>
      <c r="B18612" s="9"/>
      <c r="C18612" s="9"/>
      <c r="D18612" t="str">
        <f>"ZK377.5"</f>
        <v>ZK377.5</v>
      </c>
      <c r="F18612" t="s">
        <v>481</v>
      </c>
      <c r="H18612" s="12">
        <v>3.5227018545059199</v>
      </c>
      <c r="I18612" s="20">
        <v>0.36849691206929103</v>
      </c>
      <c r="J18612" s="28">
        <v>0.71250274722433404</v>
      </c>
      <c r="K18612" s="29">
        <v>0.98289565623980701</v>
      </c>
    </row>
    <row r="18613" spans="1:11" x14ac:dyDescent="0.35">
      <c r="A18613" s="9" t="str">
        <f>HYPERLINK("http://www.ensembl.org/id/WBGene00198450", "WBGene00198450")</f>
        <v>WBGene00198450</v>
      </c>
      <c r="B18613" s="9"/>
      <c r="C18613" s="9"/>
      <c r="D18613" t="str">
        <f>"ZK377.6"</f>
        <v>ZK377.6</v>
      </c>
      <c r="F18613" t="s">
        <v>481</v>
      </c>
      <c r="H18613" s="12">
        <v>-3.7261494131482999</v>
      </c>
      <c r="I18613" s="20">
        <v>-0.38454673129429601</v>
      </c>
      <c r="J18613" s="28">
        <v>0.70057326682554</v>
      </c>
      <c r="K18613" s="29">
        <v>0.98289565623980701</v>
      </c>
    </row>
    <row r="18614" spans="1:11" x14ac:dyDescent="0.35">
      <c r="A18614" s="9" t="str">
        <f>HYPERLINK("http://www.ensembl.org/id/WBGene00199290", "WBGene00199290")</f>
        <v>WBGene00199290</v>
      </c>
      <c r="B18614" s="9"/>
      <c r="C18614" s="9"/>
      <c r="D18614" t="str">
        <f>"ZK377.9"</f>
        <v>ZK377.9</v>
      </c>
      <c r="F18614" t="s">
        <v>481</v>
      </c>
      <c r="H18614" s="12">
        <v>2.3893468495514898</v>
      </c>
      <c r="I18614" s="20">
        <v>0.25323547253672701</v>
      </c>
      <c r="J18614" s="28">
        <v>0.80008625651646104</v>
      </c>
      <c r="K18614" s="29">
        <v>0.98289565623980701</v>
      </c>
    </row>
    <row r="18615" spans="1:11" x14ac:dyDescent="0.35">
      <c r="A18615" s="9" t="str">
        <f>HYPERLINK("http://www.ensembl.org/id/WBGene00022723", "WBGene00022723")</f>
        <v>WBGene00022723</v>
      </c>
      <c r="B18615" s="9" t="str">
        <f>HYPERLINK("http://www.ncbi.nlm.nih.gov/gene/191304", "191304")</f>
        <v>191304</v>
      </c>
      <c r="C18615" s="9"/>
      <c r="D18615" t="str">
        <f>"ZK380.2"</f>
        <v>ZK380.2</v>
      </c>
      <c r="F18615" t="s">
        <v>11</v>
      </c>
      <c r="H18615" s="12">
        <v>-2.4991590031922399</v>
      </c>
      <c r="I18615" s="20">
        <v>-0.26577412737581302</v>
      </c>
      <c r="J18615" s="28">
        <v>0.79041317015736101</v>
      </c>
      <c r="K18615" s="29">
        <v>0.98289565623980701</v>
      </c>
    </row>
    <row r="18616" spans="1:11" x14ac:dyDescent="0.35">
      <c r="A18616" s="9" t="str">
        <f>HYPERLINK("http://www.ensembl.org/id/WBGene00022724", "WBGene00022724")</f>
        <v>WBGene00022724</v>
      </c>
      <c r="B18616" s="9" t="str">
        <f>HYPERLINK("http://www.ncbi.nlm.nih.gov/gene/191305", "191305")</f>
        <v>191305</v>
      </c>
      <c r="C18616" s="9"/>
      <c r="D18616" t="str">
        <f>"ZK380.4"</f>
        <v>ZK380.4</v>
      </c>
      <c r="F18616" t="s">
        <v>11</v>
      </c>
      <c r="H18616" s="12">
        <v>1.4376483057545499</v>
      </c>
      <c r="I18616" s="20">
        <v>0.49693012168857997</v>
      </c>
      <c r="J18616" s="28">
        <v>0.61923832928239197</v>
      </c>
      <c r="K18616" s="29">
        <v>0.98289565623980701</v>
      </c>
    </row>
    <row r="18617" spans="1:11" x14ac:dyDescent="0.35">
      <c r="A18617" s="9" t="str">
        <f>HYPERLINK("http://www.ensembl.org/id/WBGene00022725", "WBGene00022725")</f>
        <v>WBGene00022725</v>
      </c>
      <c r="B18617" s="9" t="str">
        <f>HYPERLINK("http://www.ncbi.nlm.nih.gov/gene/191306", "191306")</f>
        <v>191306</v>
      </c>
      <c r="C18617" s="9"/>
      <c r="D18617" t="str">
        <f>"ZK381.2"</f>
        <v>ZK381.2</v>
      </c>
      <c r="E18617" t="s">
        <v>4421</v>
      </c>
      <c r="F18617" t="s">
        <v>11</v>
      </c>
      <c r="G18617" t="s">
        <v>1686</v>
      </c>
      <c r="H18617" s="12">
        <v>2.25637182009056</v>
      </c>
      <c r="I18617" s="20">
        <v>0.91308621759225805</v>
      </c>
      <c r="J18617" s="28">
        <v>0.36119719839432601</v>
      </c>
      <c r="K18617" s="29">
        <v>0.98289565623980701</v>
      </c>
    </row>
    <row r="18618" spans="1:11" x14ac:dyDescent="0.35">
      <c r="A18618" s="9" t="str">
        <f>HYPERLINK("http://www.ensembl.org/id/WBGene00050881", "WBGene00050881")</f>
        <v>WBGene00050881</v>
      </c>
      <c r="B18618" s="9" t="str">
        <f>HYPERLINK("http://www.ncbi.nlm.nih.gov/gene/6418616", "6418616")</f>
        <v>6418616</v>
      </c>
      <c r="C18618" s="9"/>
      <c r="D18618" t="str">
        <f>"ZK39.10"</f>
        <v>ZK39.10</v>
      </c>
      <c r="F18618" t="s">
        <v>11</v>
      </c>
      <c r="G18618" t="s">
        <v>25</v>
      </c>
      <c r="H18618" s="12">
        <v>-2.9401334816925302</v>
      </c>
      <c r="I18618" s="20">
        <v>-0.60428580167532497</v>
      </c>
      <c r="J18618" s="28">
        <v>0.54565364437971398</v>
      </c>
      <c r="K18618" s="29">
        <v>0.98289565623980701</v>
      </c>
    </row>
    <row r="18619" spans="1:11" x14ac:dyDescent="0.35">
      <c r="A18619" s="9" t="str">
        <f>HYPERLINK("http://www.ensembl.org/id/WBGene00044266", "WBGene00044266")</f>
        <v>WBGene00044266</v>
      </c>
      <c r="B18619" s="9" t="str">
        <f>HYPERLINK("http://www.ncbi.nlm.nih.gov/gene/3564836", "3564836")</f>
        <v>3564836</v>
      </c>
      <c r="C18619" s="9"/>
      <c r="D18619" t="str">
        <f>"ZK39.9"</f>
        <v>ZK39.9</v>
      </c>
      <c r="F18619" t="s">
        <v>11</v>
      </c>
      <c r="H18619" s="12">
        <v>4.4368407117627902</v>
      </c>
      <c r="I18619" s="20">
        <v>0.43709475933309699</v>
      </c>
      <c r="J18619" s="28">
        <v>0.66204262779770495</v>
      </c>
      <c r="K18619" s="29">
        <v>0.98289565623980701</v>
      </c>
    </row>
    <row r="18620" spans="1:11" x14ac:dyDescent="0.35">
      <c r="A18620" s="9" t="str">
        <f>HYPERLINK("http://www.ensembl.org/id/WBGene00022730", "WBGene00022730")</f>
        <v>WBGene00022730</v>
      </c>
      <c r="B18620" s="9" t="str">
        <f>HYPERLINK("http://www.ncbi.nlm.nih.gov/gene/191313", "191313")</f>
        <v>191313</v>
      </c>
      <c r="C18620" s="9"/>
      <c r="D18620" t="str">
        <f>"ZK402.3"</f>
        <v>ZK402.3</v>
      </c>
      <c r="F18620" t="s">
        <v>11</v>
      </c>
      <c r="H18620" s="12">
        <v>1.2054951213793299</v>
      </c>
      <c r="I18620" s="20">
        <v>0.29844856161606698</v>
      </c>
      <c r="J18620" s="28">
        <v>0.76536082997775301</v>
      </c>
      <c r="K18620" s="29">
        <v>0.98289565623980701</v>
      </c>
    </row>
    <row r="18621" spans="1:11" x14ac:dyDescent="0.35">
      <c r="A18621" s="9" t="str">
        <f>HYPERLINK("http://www.ensembl.org/id/WBGene00199120", "WBGene00199120")</f>
        <v>WBGene00199120</v>
      </c>
      <c r="B18621" s="9"/>
      <c r="C18621" s="9"/>
      <c r="D18621" t="str">
        <f>"ZK418.12"</f>
        <v>ZK418.12</v>
      </c>
      <c r="F18621" t="s">
        <v>481</v>
      </c>
      <c r="H18621" s="12">
        <v>2.4578120077400301</v>
      </c>
      <c r="I18621" s="20">
        <v>0.26093350314551</v>
      </c>
      <c r="J18621" s="28">
        <v>0.79414378780213601</v>
      </c>
      <c r="K18621" s="29">
        <v>0.98289565623980701</v>
      </c>
    </row>
    <row r="18622" spans="1:11" x14ac:dyDescent="0.35">
      <c r="A18622" s="9" t="str">
        <f>HYPERLINK("http://www.ensembl.org/id/WBGene00220259", "WBGene00220259")</f>
        <v>WBGene00220259</v>
      </c>
      <c r="B18622" s="9" t="str">
        <f>HYPERLINK("http://www.ncbi.nlm.nih.gov/gene/24105289", "24105289")</f>
        <v>24105289</v>
      </c>
      <c r="C18622" s="9"/>
      <c r="D18622" t="str">
        <f>"ZK418.13"</f>
        <v>ZK418.13</v>
      </c>
      <c r="F18622" t="s">
        <v>11</v>
      </c>
      <c r="G18622" t="s">
        <v>25</v>
      </c>
      <c r="H18622" s="12">
        <v>1.24361672844821</v>
      </c>
      <c r="I18622" s="20">
        <v>0.38507142389253002</v>
      </c>
      <c r="J18622" s="28">
        <v>0.70018449904957103</v>
      </c>
      <c r="K18622" s="29">
        <v>0.98289565623980701</v>
      </c>
    </row>
    <row r="18623" spans="1:11" x14ac:dyDescent="0.35">
      <c r="A18623" s="9" t="str">
        <f>HYPERLINK("http://www.ensembl.org/id/WBGene00022735", "WBGene00022735")</f>
        <v>WBGene00022735</v>
      </c>
      <c r="B18623" s="9" t="str">
        <f>HYPERLINK("http://www.ncbi.nlm.nih.gov/gene/191317", "191317")</f>
        <v>191317</v>
      </c>
      <c r="C18623" s="9"/>
      <c r="D18623" t="str">
        <f>"ZK418.6"</f>
        <v>ZK418.6</v>
      </c>
      <c r="F18623" t="s">
        <v>11</v>
      </c>
      <c r="G18623" t="s">
        <v>1793</v>
      </c>
      <c r="H18623" s="12">
        <v>1.2226092638806301</v>
      </c>
      <c r="I18623" s="20">
        <v>0.52772681909830099</v>
      </c>
      <c r="J18623" s="28">
        <v>0.59768895611690598</v>
      </c>
      <c r="K18623" s="29">
        <v>0.98289565623980701</v>
      </c>
    </row>
    <row r="18624" spans="1:11" x14ac:dyDescent="0.35">
      <c r="A18624" s="9" t="str">
        <f>HYPERLINK("http://www.ensembl.org/id/WBGene00022736", "WBGene00022736")</f>
        <v>WBGene00022736</v>
      </c>
      <c r="B18624" s="9" t="str">
        <f>HYPERLINK("http://www.ncbi.nlm.nih.gov/gene/191318", "191318")</f>
        <v>191318</v>
      </c>
      <c r="C18624" s="9"/>
      <c r="D18624" t="str">
        <f>"ZK418.7"</f>
        <v>ZK418.7</v>
      </c>
      <c r="F18624" t="s">
        <v>11</v>
      </c>
      <c r="G18624" t="s">
        <v>1793</v>
      </c>
      <c r="H18624" s="12">
        <v>1.08814543570383</v>
      </c>
      <c r="I18624" s="20">
        <v>0.329595425024309</v>
      </c>
      <c r="J18624" s="28">
        <v>0.74170567991709802</v>
      </c>
      <c r="K18624" s="29">
        <v>0.98289565623980701</v>
      </c>
    </row>
    <row r="18625" spans="1:11" x14ac:dyDescent="0.35">
      <c r="A18625" s="9" t="str">
        <f>HYPERLINK("http://www.ensembl.org/id/WBGene00022742", "WBGene00022742")</f>
        <v>WBGene00022742</v>
      </c>
      <c r="B18625" s="9" t="str">
        <f>HYPERLINK("http://www.ncbi.nlm.nih.gov/gene/173778", "173778")</f>
        <v>173778</v>
      </c>
      <c r="C18625" s="9" t="str">
        <f>HYPERLINK("http://www.ncbi.nlm.nih.gov/gene/25879", "25879")</f>
        <v>25879</v>
      </c>
      <c r="D18625" t="str">
        <f>"ZK430.7"</f>
        <v>ZK430.7</v>
      </c>
      <c r="F18625" t="s">
        <v>11</v>
      </c>
      <c r="G18625" t="s">
        <v>7408</v>
      </c>
      <c r="H18625" s="12">
        <v>-1.1240762857598201</v>
      </c>
      <c r="I18625" s="20">
        <v>-0.53573994869944996</v>
      </c>
      <c r="J18625" s="28">
        <v>0.59213829006932694</v>
      </c>
      <c r="K18625" s="29">
        <v>0.98289565623980701</v>
      </c>
    </row>
    <row r="18626" spans="1:11" x14ac:dyDescent="0.35">
      <c r="A18626" s="9" t="str">
        <f>HYPERLINK("http://www.ensembl.org/id/WBGene00022744", "WBGene00022744")</f>
        <v>WBGene00022744</v>
      </c>
      <c r="B18626" s="9" t="str">
        <f>HYPERLINK("http://www.ncbi.nlm.nih.gov/gene/191323", "191323")</f>
        <v>191323</v>
      </c>
      <c r="C18626" s="9" t="str">
        <f>HYPERLINK("http://www.ncbi.nlm.nih.gov/gene/84769", "84769")</f>
        <v>84769</v>
      </c>
      <c r="D18626" t="str">
        <f>"ZK470.1"</f>
        <v>ZK470.1</v>
      </c>
      <c r="F18626" t="s">
        <v>11</v>
      </c>
      <c r="G18626" t="s">
        <v>5450</v>
      </c>
      <c r="H18626" s="12">
        <v>1.16299535729422</v>
      </c>
      <c r="I18626" s="20">
        <v>0.30939985921343399</v>
      </c>
      <c r="J18626" s="28">
        <v>0.75701737747159903</v>
      </c>
      <c r="K18626" s="29">
        <v>0.98289565623980701</v>
      </c>
    </row>
    <row r="18627" spans="1:11" x14ac:dyDescent="0.35">
      <c r="A18627" s="9" t="str">
        <f>HYPERLINK("http://www.ensembl.org/id/WBGene00200857", "WBGene00200857")</f>
        <v>WBGene00200857</v>
      </c>
      <c r="B18627" s="9"/>
      <c r="C18627" s="9"/>
      <c r="D18627" t="str">
        <f>"ZK470.12"</f>
        <v>ZK470.12</v>
      </c>
      <c r="F18627" t="s">
        <v>481</v>
      </c>
      <c r="H18627" s="12">
        <v>-2.4991590031922399</v>
      </c>
      <c r="I18627" s="20">
        <v>-0.26577412737581302</v>
      </c>
      <c r="J18627" s="28">
        <v>0.79041317015736101</v>
      </c>
      <c r="K18627" s="29">
        <v>0.98289565623980701</v>
      </c>
    </row>
    <row r="18628" spans="1:11" x14ac:dyDescent="0.35">
      <c r="A18628" s="9" t="str">
        <f>HYPERLINK("http://www.ensembl.org/id/WBGene00022746", "WBGene00022746")</f>
        <v>WBGene00022746</v>
      </c>
      <c r="B18628" s="9" t="str">
        <f>HYPERLINK("http://www.ncbi.nlm.nih.gov/gene/191325", "191325")</f>
        <v>191325</v>
      </c>
      <c r="C18628" s="9"/>
      <c r="D18628" t="str">
        <f>"ZK470.4"</f>
        <v>ZK470.4</v>
      </c>
      <c r="F18628" t="s">
        <v>11</v>
      </c>
      <c r="H18628" s="12">
        <v>-2.4991590031922399</v>
      </c>
      <c r="I18628" s="20">
        <v>-0.26577412737581302</v>
      </c>
      <c r="J18628" s="28">
        <v>0.79041317015736101</v>
      </c>
      <c r="K18628" s="29">
        <v>0.98289565623980701</v>
      </c>
    </row>
    <row r="18629" spans="1:11" x14ac:dyDescent="0.35">
      <c r="A18629" s="9" t="str">
        <f>HYPERLINK("http://www.ensembl.org/id/WBGene00196223", "WBGene00196223")</f>
        <v>WBGene00196223</v>
      </c>
      <c r="B18629" s="9"/>
      <c r="C18629" s="9"/>
      <c r="D18629" t="str">
        <f>"ZK470.8"</f>
        <v>ZK470.8</v>
      </c>
      <c r="F18629" t="s">
        <v>481</v>
      </c>
      <c r="H18629" s="12">
        <v>-2.4295389261469</v>
      </c>
      <c r="I18629" s="20">
        <v>-0.25808529976640998</v>
      </c>
      <c r="J18629" s="28">
        <v>0.79634107645457397</v>
      </c>
      <c r="K18629" s="29">
        <v>0.98289565623980701</v>
      </c>
    </row>
    <row r="18630" spans="1:11" x14ac:dyDescent="0.35">
      <c r="A18630" s="9" t="str">
        <f>HYPERLINK("http://www.ensembl.org/id/WBGene00022750", "WBGene00022750")</f>
        <v>WBGene00022750</v>
      </c>
      <c r="B18630" s="9" t="str">
        <f>HYPERLINK("http://www.ncbi.nlm.nih.gov/gene/172287", "172287")</f>
        <v>172287</v>
      </c>
      <c r="C18630" s="9"/>
      <c r="D18630" t="str">
        <f>"ZK484.4"</f>
        <v>ZK484.4</v>
      </c>
      <c r="F18630" t="s">
        <v>11</v>
      </c>
      <c r="G18630" t="s">
        <v>7393</v>
      </c>
      <c r="H18630" s="12">
        <v>-1.1234647285513499</v>
      </c>
      <c r="I18630" s="20">
        <v>-0.58728986782258896</v>
      </c>
      <c r="J18630" s="28">
        <v>0.55700904483792402</v>
      </c>
      <c r="K18630" s="29">
        <v>0.98289565623980701</v>
      </c>
    </row>
    <row r="18631" spans="1:11" x14ac:dyDescent="0.35">
      <c r="A18631" s="9" t="str">
        <f>HYPERLINK("http://www.ensembl.org/id/WBGene00022752", "WBGene00022752")</f>
        <v>WBGene00022752</v>
      </c>
      <c r="B18631" s="9" t="str">
        <f>HYPERLINK("http://www.ncbi.nlm.nih.gov/gene/172290", "172290")</f>
        <v>172290</v>
      </c>
      <c r="C18631" s="9"/>
      <c r="D18631" t="str">
        <f>"ZK484.6"</f>
        <v>ZK484.6</v>
      </c>
      <c r="F18631" t="s">
        <v>11</v>
      </c>
      <c r="G18631" t="s">
        <v>4664</v>
      </c>
      <c r="H18631" s="12">
        <v>1.51920425248887</v>
      </c>
      <c r="I18631" s="20">
        <v>0.74351561799057497</v>
      </c>
      <c r="J18631" s="28">
        <v>0.457169569485459</v>
      </c>
      <c r="K18631" s="29">
        <v>0.98289565623980701</v>
      </c>
    </row>
    <row r="18632" spans="1:11" x14ac:dyDescent="0.35">
      <c r="A18632" s="9" t="str">
        <f>HYPERLINK("http://www.ensembl.org/id/WBGene00022753", "WBGene00022753")</f>
        <v>WBGene00022753</v>
      </c>
      <c r="B18632" s="9" t="str">
        <f>HYPERLINK("http://www.ncbi.nlm.nih.gov/gene/191327", "191327")</f>
        <v>191327</v>
      </c>
      <c r="C18632" s="9"/>
      <c r="D18632" t="str">
        <f>"ZK484.7"</f>
        <v>ZK484.7</v>
      </c>
      <c r="E18632" t="s">
        <v>1019</v>
      </c>
      <c r="F18632" t="s">
        <v>11</v>
      </c>
      <c r="G18632" t="s">
        <v>1020</v>
      </c>
      <c r="H18632" s="12">
        <v>-2.0360654911683098</v>
      </c>
      <c r="I18632" s="20">
        <v>-0.60686237431703205</v>
      </c>
      <c r="J18632" s="28">
        <v>0.54394224982625305</v>
      </c>
      <c r="K18632" s="29">
        <v>0.98289565623980701</v>
      </c>
    </row>
    <row r="18633" spans="1:11" x14ac:dyDescent="0.35">
      <c r="A18633" s="9" t="str">
        <f>HYPERLINK("http://www.ensembl.org/id/WBGene00022757", "WBGene00022757")</f>
        <v>WBGene00022757</v>
      </c>
      <c r="B18633" s="9" t="str">
        <f>HYPERLINK("http://www.ncbi.nlm.nih.gov/gene/191330", "191330")</f>
        <v>191330</v>
      </c>
      <c r="C18633" s="9"/>
      <c r="D18633" t="str">
        <f>"ZK488.5"</f>
        <v>ZK488.5</v>
      </c>
      <c r="F18633" t="s">
        <v>11</v>
      </c>
      <c r="G18633" t="s">
        <v>1212</v>
      </c>
      <c r="H18633" s="12">
        <v>3.5227018545059199</v>
      </c>
      <c r="I18633" s="20">
        <v>0.36849691206929103</v>
      </c>
      <c r="J18633" s="28">
        <v>0.71250274722433404</v>
      </c>
      <c r="K18633" s="29">
        <v>0.98289565623980701</v>
      </c>
    </row>
    <row r="18634" spans="1:11" x14ac:dyDescent="0.35">
      <c r="A18634" s="9" t="str">
        <f>HYPERLINK("http://www.ensembl.org/id/WBGene00022758", "WBGene00022758")</f>
        <v>WBGene00022758</v>
      </c>
      <c r="B18634" s="9" t="str">
        <f>HYPERLINK("http://www.ncbi.nlm.nih.gov/gene/191331", "191331")</f>
        <v>191331</v>
      </c>
      <c r="C18634" s="9"/>
      <c r="D18634" t="str">
        <f>"ZK488.6"</f>
        <v>ZK488.6</v>
      </c>
      <c r="F18634" t="s">
        <v>11</v>
      </c>
      <c r="G18634" t="s">
        <v>1212</v>
      </c>
      <c r="H18634" s="12">
        <v>2.3893468495514898</v>
      </c>
      <c r="I18634" s="20">
        <v>0.25323547253672701</v>
      </c>
      <c r="J18634" s="28">
        <v>0.80008625651646104</v>
      </c>
      <c r="K18634" s="29">
        <v>0.98289565623980701</v>
      </c>
    </row>
    <row r="18635" spans="1:11" x14ac:dyDescent="0.35">
      <c r="A18635" s="9" t="str">
        <f>HYPERLINK("http://www.ensembl.org/id/WBGene00013978", "WBGene00013978")</f>
        <v>WBGene00013978</v>
      </c>
      <c r="B18635" s="9" t="str">
        <f>HYPERLINK("http://www.ncbi.nlm.nih.gov/gene/191336", "191336")</f>
        <v>191336</v>
      </c>
      <c r="C18635" s="9"/>
      <c r="D18635" t="str">
        <f>"ZK507.1"</f>
        <v>ZK507.1</v>
      </c>
      <c r="E18635" t="s">
        <v>4339</v>
      </c>
      <c r="F18635" t="s">
        <v>11</v>
      </c>
      <c r="G18635" t="s">
        <v>4237</v>
      </c>
      <c r="H18635" s="12">
        <v>2.8943221059687301</v>
      </c>
      <c r="I18635" s="20">
        <v>0.61652578182330098</v>
      </c>
      <c r="J18635" s="28">
        <v>0.53754756135327497</v>
      </c>
      <c r="K18635" s="29">
        <v>0.98289565623980701</v>
      </c>
    </row>
    <row r="18636" spans="1:11" x14ac:dyDescent="0.35">
      <c r="A18636" s="9" t="str">
        <f>HYPERLINK("http://www.ensembl.org/id/WBGene00013979", "WBGene00013979")</f>
        <v>WBGene00013979</v>
      </c>
      <c r="B18636" s="9" t="str">
        <f>HYPERLINK("http://www.ncbi.nlm.nih.gov/gene/191337", "191337")</f>
        <v>191337</v>
      </c>
      <c r="C18636" s="9"/>
      <c r="D18636" t="str">
        <f>"ZK507.3"</f>
        <v>ZK507.3</v>
      </c>
      <c r="E18636" t="s">
        <v>10049</v>
      </c>
      <c r="F18636" t="s">
        <v>11</v>
      </c>
      <c r="G18636" t="s">
        <v>4237</v>
      </c>
      <c r="H18636" s="12">
        <v>-2.36861232895316</v>
      </c>
      <c r="I18636" s="20">
        <v>-0.77815429822016902</v>
      </c>
      <c r="J18636" s="28">
        <v>0.43647805557945302</v>
      </c>
      <c r="K18636" s="29">
        <v>0.98289565623980701</v>
      </c>
    </row>
    <row r="18637" spans="1:11" x14ac:dyDescent="0.35">
      <c r="A18637" s="9" t="str">
        <f>HYPERLINK("http://www.ensembl.org/id/WBGene00013982", "WBGene00013982")</f>
        <v>WBGene00013982</v>
      </c>
      <c r="B18637" s="9" t="str">
        <f>HYPERLINK("http://www.ncbi.nlm.nih.gov/gene/191340", "191340")</f>
        <v>191340</v>
      </c>
      <c r="C18637" s="9"/>
      <c r="D18637" t="str">
        <f>"ZK512.1"</f>
        <v>ZK512.1</v>
      </c>
      <c r="F18637" t="s">
        <v>11</v>
      </c>
      <c r="G18637" t="s">
        <v>25</v>
      </c>
      <c r="H18637" s="12">
        <v>1.3884474273676899</v>
      </c>
      <c r="I18637" s="20">
        <v>1.06640064108752</v>
      </c>
      <c r="J18637" s="28">
        <v>0.28624257202002301</v>
      </c>
      <c r="K18637" s="29">
        <v>0.98289565623980701</v>
      </c>
    </row>
    <row r="18638" spans="1:11" x14ac:dyDescent="0.35">
      <c r="A18638" s="9" t="str">
        <f>HYPERLINK("http://www.ensembl.org/id/WBGene00013988", "WBGene00013988")</f>
        <v>WBGene00013988</v>
      </c>
      <c r="B18638" s="9" t="str">
        <f>HYPERLINK("http://www.ncbi.nlm.nih.gov/gene/3565367", "3565367")</f>
        <v>3565367</v>
      </c>
      <c r="C18638" s="9"/>
      <c r="D18638" t="str">
        <f>"ZK512.10"</f>
        <v>ZK512.10</v>
      </c>
      <c r="F18638" t="s">
        <v>11</v>
      </c>
      <c r="H18638" s="12">
        <v>-2.8156509339217499</v>
      </c>
      <c r="I18638" s="20">
        <v>-0.38862640419098798</v>
      </c>
      <c r="J18638" s="28">
        <v>0.69755253151170804</v>
      </c>
      <c r="K18638" s="29">
        <v>0.98289565623980701</v>
      </c>
    </row>
    <row r="18639" spans="1:11" x14ac:dyDescent="0.35">
      <c r="A18639" s="9" t="str">
        <f>HYPERLINK("http://www.ensembl.org/id/WBGene00013983", "WBGene00013983")</f>
        <v>WBGene00013983</v>
      </c>
      <c r="B18639" s="9" t="str">
        <f>HYPERLINK("http://www.ncbi.nlm.nih.gov/gene/176292", "176292")</f>
        <v>176292</v>
      </c>
      <c r="C18639" s="9"/>
      <c r="D18639" t="str">
        <f>"ZK512.2"</f>
        <v>ZK512.2</v>
      </c>
      <c r="E18639" t="s">
        <v>7273</v>
      </c>
      <c r="F18639" t="s">
        <v>11</v>
      </c>
      <c r="G18639" t="s">
        <v>7274</v>
      </c>
      <c r="H18639" s="12">
        <v>-1.1167016178143401</v>
      </c>
      <c r="I18639" s="20">
        <v>-0.49987609983603898</v>
      </c>
      <c r="J18639" s="28">
        <v>0.61716232205754995</v>
      </c>
      <c r="K18639" s="29">
        <v>0.98289565623980701</v>
      </c>
    </row>
    <row r="18640" spans="1:11" x14ac:dyDescent="0.35">
      <c r="A18640" s="9" t="str">
        <f>HYPERLINK("http://www.ensembl.org/id/WBGene00013986", "WBGene00013986")</f>
        <v>WBGene00013986</v>
      </c>
      <c r="B18640" s="9" t="str">
        <f>HYPERLINK("http://www.ncbi.nlm.nih.gov/gene/176290", "176290")</f>
        <v>176290</v>
      </c>
      <c r="C18640" s="9"/>
      <c r="D18640" t="str">
        <f>"ZK512.7"</f>
        <v>ZK512.7</v>
      </c>
      <c r="F18640" t="s">
        <v>11</v>
      </c>
      <c r="H18640" s="12">
        <v>-1.2512328426089201</v>
      </c>
      <c r="I18640" s="20">
        <v>-0.74172662778666498</v>
      </c>
      <c r="J18640" s="28">
        <v>0.45825298314288399</v>
      </c>
      <c r="K18640" s="29">
        <v>0.98289565623980701</v>
      </c>
    </row>
    <row r="18641" spans="1:11" x14ac:dyDescent="0.35">
      <c r="A18641" s="9" t="str">
        <f>HYPERLINK("http://www.ensembl.org/id/WBGene00013987", "WBGene00013987")</f>
        <v>WBGene00013987</v>
      </c>
      <c r="B18641" s="9" t="str">
        <f>HYPERLINK("http://www.ncbi.nlm.nih.gov/gene/176294", "176294")</f>
        <v>176294</v>
      </c>
      <c r="C18641" s="9"/>
      <c r="D18641" t="str">
        <f>"ZK512.8"</f>
        <v>ZK512.8</v>
      </c>
      <c r="F18641" t="s">
        <v>11</v>
      </c>
      <c r="H18641" s="12">
        <v>2.0515488102689101</v>
      </c>
      <c r="I18641" s="20">
        <v>0.86397778885881504</v>
      </c>
      <c r="J18641" s="28">
        <v>0.387600092118628</v>
      </c>
      <c r="K18641" s="29">
        <v>0.98289565623980701</v>
      </c>
    </row>
    <row r="18642" spans="1:11" x14ac:dyDescent="0.35">
      <c r="A18642" s="9" t="str">
        <f>HYPERLINK("http://www.ensembl.org/id/WBGene00013994", "WBGene00013994")</f>
        <v>WBGene00013994</v>
      </c>
      <c r="B18642" s="9" t="str">
        <f>HYPERLINK("http://www.ncbi.nlm.nih.gov/gene/172500", "172500")</f>
        <v>172500</v>
      </c>
      <c r="C18642" s="9"/>
      <c r="D18642" t="str">
        <f>"ZK524.4"</f>
        <v>ZK524.4</v>
      </c>
      <c r="F18642" t="s">
        <v>11</v>
      </c>
      <c r="G18642" t="s">
        <v>4318</v>
      </c>
      <c r="H18642" s="12">
        <v>-1.2156584169832101</v>
      </c>
      <c r="I18642" s="20">
        <v>-1.0322640221742601</v>
      </c>
      <c r="J18642" s="28">
        <v>0.30194845037605</v>
      </c>
      <c r="K18642" s="29">
        <v>0.98289565623980701</v>
      </c>
    </row>
    <row r="18643" spans="1:11" x14ac:dyDescent="0.35">
      <c r="A18643" s="9" t="str">
        <f>HYPERLINK("http://www.ensembl.org/id/WBGene00022765", "WBGene00022765")</f>
        <v>WBGene00022765</v>
      </c>
      <c r="B18643" s="9" t="str">
        <f>HYPERLINK("http://www.ncbi.nlm.nih.gov/gene/173854", "173854")</f>
        <v>173854</v>
      </c>
      <c r="C18643" s="9"/>
      <c r="D18643" t="str">
        <f>"ZK546.14"</f>
        <v>ZK546.14</v>
      </c>
      <c r="F18643" t="s">
        <v>11</v>
      </c>
      <c r="G18643" t="s">
        <v>9650</v>
      </c>
      <c r="H18643" s="12">
        <v>-1.2731823497615999</v>
      </c>
      <c r="I18643" s="20">
        <v>-1.14086696492397</v>
      </c>
      <c r="J18643" s="28">
        <v>0.253925288507105</v>
      </c>
      <c r="K18643" s="29">
        <v>0.98289565623980701</v>
      </c>
    </row>
    <row r="18644" spans="1:11" x14ac:dyDescent="0.35">
      <c r="A18644" s="9" t="str">
        <f>HYPERLINK("http://www.ensembl.org/id/WBGene00044937", "WBGene00044937")</f>
        <v>WBGene00044937</v>
      </c>
      <c r="B18644" s="9"/>
      <c r="C18644" s="9"/>
      <c r="D18644" t="str">
        <f>"ZK546.18"</f>
        <v>ZK546.18</v>
      </c>
      <c r="F18644" t="s">
        <v>2977</v>
      </c>
      <c r="H18644" s="12">
        <v>2.3893468495514898</v>
      </c>
      <c r="I18644" s="20">
        <v>0.25323547253672701</v>
      </c>
      <c r="J18644" s="28">
        <v>0.80008625651646104</v>
      </c>
      <c r="K18644" s="29">
        <v>0.98289565623980701</v>
      </c>
    </row>
    <row r="18645" spans="1:11" x14ac:dyDescent="0.35">
      <c r="A18645" s="9" t="str">
        <f>HYPERLINK("http://www.ensembl.org/id/WBGene00195246", "WBGene00195246")</f>
        <v>WBGene00195246</v>
      </c>
      <c r="B18645" s="9" t="str">
        <f>HYPERLINK("http://www.ncbi.nlm.nih.gov/gene/13184789", "13184789")</f>
        <v>13184789</v>
      </c>
      <c r="C18645" s="9"/>
      <c r="D18645" t="str">
        <f>"ZK546.19"</f>
        <v>ZK546.19</v>
      </c>
      <c r="F18645" t="s">
        <v>11</v>
      </c>
      <c r="H18645" s="12">
        <v>1.3827491118206201</v>
      </c>
      <c r="I18645" s="20">
        <v>0.49008839994228298</v>
      </c>
      <c r="J18645" s="28">
        <v>0.62407134620337401</v>
      </c>
      <c r="K18645" s="29">
        <v>0.98289565623980701</v>
      </c>
    </row>
    <row r="18646" spans="1:11" x14ac:dyDescent="0.35">
      <c r="A18646" s="9" t="str">
        <f>HYPERLINK("http://www.ensembl.org/id/WBGene00201423", "WBGene00201423")</f>
        <v>WBGene00201423</v>
      </c>
      <c r="B18646" s="9"/>
      <c r="C18646" s="9"/>
      <c r="D18646" t="str">
        <f>"ZK546.20"</f>
        <v>ZK546.20</v>
      </c>
      <c r="F18646" t="s">
        <v>481</v>
      </c>
      <c r="H18646" s="12">
        <v>-3.7261494131482999</v>
      </c>
      <c r="I18646" s="20">
        <v>-0.38454673129429601</v>
      </c>
      <c r="J18646" s="28">
        <v>0.70057326682554</v>
      </c>
      <c r="K18646" s="29">
        <v>0.98289565623980701</v>
      </c>
    </row>
    <row r="18647" spans="1:11" x14ac:dyDescent="0.35">
      <c r="A18647" s="9" t="str">
        <f>HYPERLINK("http://www.ensembl.org/id/WBGene00022760", "WBGene00022760")</f>
        <v>WBGene00022760</v>
      </c>
      <c r="B18647" s="9"/>
      <c r="C18647" s="9"/>
      <c r="D18647" t="str">
        <f>"ZK546.3"</f>
        <v>ZK546.3</v>
      </c>
      <c r="F18647" t="s">
        <v>80</v>
      </c>
      <c r="H18647" s="12">
        <v>1.6581182570814801</v>
      </c>
      <c r="I18647" s="20">
        <v>0.307042833304357</v>
      </c>
      <c r="J18647" s="28">
        <v>0.75881076957253701</v>
      </c>
      <c r="K18647" s="29">
        <v>0.98289565623980701</v>
      </c>
    </row>
    <row r="18648" spans="1:11" x14ac:dyDescent="0.35">
      <c r="A18648" s="9" t="str">
        <f>HYPERLINK("http://www.ensembl.org/id/WBGene00022761", "WBGene00022761")</f>
        <v>WBGene00022761</v>
      </c>
      <c r="B18648" s="9" t="str">
        <f>HYPERLINK("http://www.ncbi.nlm.nih.gov/gene/173851", "173851")</f>
        <v>173851</v>
      </c>
      <c r="C18648" s="9"/>
      <c r="D18648" t="str">
        <f>"ZK546.4"</f>
        <v>ZK546.4</v>
      </c>
      <c r="F18648" t="s">
        <v>11</v>
      </c>
      <c r="G18648" t="s">
        <v>25</v>
      </c>
      <c r="H18648" s="12">
        <v>2.1964037792670399</v>
      </c>
      <c r="I18648" s="20">
        <v>0.68797896258786295</v>
      </c>
      <c r="J18648" s="28">
        <v>0.49146602936371298</v>
      </c>
      <c r="K18648" s="29">
        <v>0.98289565623980701</v>
      </c>
    </row>
    <row r="18649" spans="1:11" x14ac:dyDescent="0.35">
      <c r="A18649" s="9" t="str">
        <f>HYPERLINK("http://www.ensembl.org/id/WBGene00022762", "WBGene00022762")</f>
        <v>WBGene00022762</v>
      </c>
      <c r="B18649" s="9" t="str">
        <f>HYPERLINK("http://www.ncbi.nlm.nih.gov/gene/173850", "173850")</f>
        <v>173850</v>
      </c>
      <c r="C18649" s="9"/>
      <c r="D18649" t="str">
        <f>"ZK546.5"</f>
        <v>ZK546.5</v>
      </c>
      <c r="F18649" t="s">
        <v>11</v>
      </c>
      <c r="G18649" t="s">
        <v>485</v>
      </c>
      <c r="H18649" s="12">
        <v>-1.1991488620751201</v>
      </c>
      <c r="I18649" s="20">
        <v>-0.79281816302227603</v>
      </c>
      <c r="J18649" s="28">
        <v>0.427883772729791</v>
      </c>
      <c r="K18649" s="29">
        <v>0.98289565623980701</v>
      </c>
    </row>
    <row r="18650" spans="1:11" x14ac:dyDescent="0.35">
      <c r="A18650" s="9" t="str">
        <f>HYPERLINK("http://www.ensembl.org/id/WBGene00022763", "WBGene00022763")</f>
        <v>WBGene00022763</v>
      </c>
      <c r="B18650" s="9"/>
      <c r="C18650" s="9"/>
      <c r="D18650" t="str">
        <f>"ZK546.7"</f>
        <v>ZK546.7</v>
      </c>
      <c r="F18650" t="s">
        <v>80</v>
      </c>
      <c r="H18650" s="12">
        <v>13.2083681824683</v>
      </c>
      <c r="I18650" s="20">
        <v>0.79736709025154395</v>
      </c>
      <c r="J18650" s="28">
        <v>0.42523786651974499</v>
      </c>
      <c r="K18650" s="29">
        <v>0.98289565623980701</v>
      </c>
    </row>
    <row r="18651" spans="1:11" x14ac:dyDescent="0.35">
      <c r="A18651" s="9" t="str">
        <f>HYPERLINK("http://www.ensembl.org/id/WBGene00013997", "WBGene00013997")</f>
        <v>WBGene00013997</v>
      </c>
      <c r="B18651" s="9" t="str">
        <f>HYPERLINK("http://www.ncbi.nlm.nih.gov/gene/178501", "178501")</f>
        <v>178501</v>
      </c>
      <c r="C18651" s="9"/>
      <c r="D18651" t="str">
        <f>"ZK550.3"</f>
        <v>ZK550.3</v>
      </c>
      <c r="F18651" t="s">
        <v>11</v>
      </c>
      <c r="G18651" t="s">
        <v>7536</v>
      </c>
      <c r="H18651" s="12">
        <v>-1.1311869628506701</v>
      </c>
      <c r="I18651" s="20">
        <v>-0.643817476905304</v>
      </c>
      <c r="J18651" s="28">
        <v>0.51969379935501903</v>
      </c>
      <c r="K18651" s="29">
        <v>0.98289565623980701</v>
      </c>
    </row>
    <row r="18652" spans="1:11" x14ac:dyDescent="0.35">
      <c r="A18652" s="9" t="str">
        <f>HYPERLINK("http://www.ensembl.org/id/WBGene00014000", "WBGene00014000")</f>
        <v>WBGene00014000</v>
      </c>
      <c r="B18652" s="9" t="str">
        <f>HYPERLINK("http://www.ncbi.nlm.nih.gov/gene/178503", "178503")</f>
        <v>178503</v>
      </c>
      <c r="C18652" s="9" t="str">
        <f>HYPERLINK("http://www.ncbi.nlm.nih.gov/gene/5264", "5264")</f>
        <v>5264</v>
      </c>
      <c r="D18652" t="str">
        <f>"ZK550.6"</f>
        <v>ZK550.6</v>
      </c>
      <c r="E18652" t="s">
        <v>9376</v>
      </c>
      <c r="F18652" t="s">
        <v>11</v>
      </c>
      <c r="G18652" t="s">
        <v>9377</v>
      </c>
      <c r="H18652" s="12">
        <v>-1.24204066868346</v>
      </c>
      <c r="I18652" s="20">
        <v>-1.1772513358468599</v>
      </c>
      <c r="J18652" s="28">
        <v>0.23909520418516</v>
      </c>
      <c r="K18652" s="29">
        <v>0.98289565623980701</v>
      </c>
    </row>
    <row r="18653" spans="1:11" x14ac:dyDescent="0.35">
      <c r="A18653" s="9" t="str">
        <f>HYPERLINK("http://www.ensembl.org/id/WBGene00201603", "WBGene00201603")</f>
        <v>WBGene00201603</v>
      </c>
      <c r="B18653" s="9"/>
      <c r="C18653" s="9"/>
      <c r="D18653" t="str">
        <f>"ZK563.10"</f>
        <v>ZK563.10</v>
      </c>
      <c r="F18653" t="s">
        <v>481</v>
      </c>
      <c r="H18653" s="12">
        <v>-1.9156238364150899</v>
      </c>
      <c r="I18653" s="20">
        <v>-0.80809336288289502</v>
      </c>
      <c r="J18653" s="28">
        <v>0.419036838101216</v>
      </c>
      <c r="K18653" s="29">
        <v>0.98289565623980701</v>
      </c>
    </row>
    <row r="18654" spans="1:11" x14ac:dyDescent="0.35">
      <c r="A18654" s="9" t="str">
        <f>HYPERLINK("http://www.ensembl.org/id/WBGene00202104", "WBGene00202104")</f>
        <v>WBGene00202104</v>
      </c>
      <c r="B18654" s="9"/>
      <c r="C18654" s="9"/>
      <c r="D18654" t="str">
        <f>"ZK563.11"</f>
        <v>ZK563.11</v>
      </c>
      <c r="F18654" t="s">
        <v>481</v>
      </c>
      <c r="H18654" s="12">
        <v>-3.5819448292659501</v>
      </c>
      <c r="I18654" s="20">
        <v>-0.37337717500031398</v>
      </c>
      <c r="J18654" s="28">
        <v>0.70886774492290605</v>
      </c>
      <c r="K18654" s="29">
        <v>0.98289565623980701</v>
      </c>
    </row>
    <row r="18655" spans="1:11" x14ac:dyDescent="0.35">
      <c r="A18655" s="9" t="str">
        <f>HYPERLINK("http://www.ensembl.org/id/WBGene00044355", "WBGene00044355")</f>
        <v>WBGene00044355</v>
      </c>
      <c r="B18655" s="9" t="str">
        <f>HYPERLINK("http://www.ncbi.nlm.nih.gov/gene/3565372", "3565372")</f>
        <v>3565372</v>
      </c>
      <c r="C18655" s="9"/>
      <c r="D18655" t="str">
        <f>"ZK563.7"</f>
        <v>ZK563.7</v>
      </c>
      <c r="F18655" t="s">
        <v>11</v>
      </c>
      <c r="G18655" t="s">
        <v>9527</v>
      </c>
      <c r="H18655" s="12">
        <v>-1.25530466182131</v>
      </c>
      <c r="I18655" s="20">
        <v>-0.96415737311892502</v>
      </c>
      <c r="J18655" s="28">
        <v>0.33496703193917099</v>
      </c>
      <c r="K18655" s="29">
        <v>0.98289565623980701</v>
      </c>
    </row>
    <row r="18656" spans="1:11" x14ac:dyDescent="0.35">
      <c r="A18656" s="9" t="str">
        <f>HYPERLINK("http://www.ensembl.org/id/WBGene00195969", "WBGene00195969")</f>
        <v>WBGene00195969</v>
      </c>
      <c r="B18656" s="9"/>
      <c r="C18656" s="9"/>
      <c r="D18656" t="str">
        <f>"ZK563.8"</f>
        <v>ZK563.8</v>
      </c>
      <c r="F18656" t="s">
        <v>481</v>
      </c>
      <c r="H18656" s="12">
        <v>-2.4295389261469</v>
      </c>
      <c r="I18656" s="20">
        <v>-0.25808529976640998</v>
      </c>
      <c r="J18656" s="28">
        <v>0.79634107645457397</v>
      </c>
      <c r="K18656" s="29">
        <v>0.98289565623980701</v>
      </c>
    </row>
    <row r="18657" spans="1:11" x14ac:dyDescent="0.35">
      <c r="A18657" s="9" t="str">
        <f>HYPERLINK("http://www.ensembl.org/id/WBGene00200492", "WBGene00200492")</f>
        <v>WBGene00200492</v>
      </c>
      <c r="B18657" s="9"/>
      <c r="C18657" s="9"/>
      <c r="D18657" t="str">
        <f>"ZK563.9"</f>
        <v>ZK563.9</v>
      </c>
      <c r="F18657" t="s">
        <v>481</v>
      </c>
      <c r="H18657" s="12">
        <v>2.3893468495514898</v>
      </c>
      <c r="I18657" s="20">
        <v>0.25323547253672701</v>
      </c>
      <c r="J18657" s="28">
        <v>0.80008625651646104</v>
      </c>
      <c r="K18657" s="29">
        <v>0.98289565623980701</v>
      </c>
    </row>
    <row r="18658" spans="1:11" x14ac:dyDescent="0.35">
      <c r="A18658" s="9" t="str">
        <f>HYPERLINK("http://www.ensembl.org/id/WBGene00194673", "WBGene00194673")</f>
        <v>WBGene00194673</v>
      </c>
      <c r="B18658" s="9"/>
      <c r="C18658" s="9"/>
      <c r="D18658" t="str">
        <f>"ZK593.11"</f>
        <v>ZK593.11</v>
      </c>
      <c r="F18658" t="s">
        <v>2735</v>
      </c>
      <c r="H18658" s="12">
        <v>-4.7378289591495202</v>
      </c>
      <c r="I18658" s="20">
        <v>-0.77642821221031</v>
      </c>
      <c r="J18658" s="28">
        <v>0.43749619226092201</v>
      </c>
      <c r="K18658" s="29">
        <v>0.98289565623980701</v>
      </c>
    </row>
    <row r="18659" spans="1:11" x14ac:dyDescent="0.35">
      <c r="A18659" s="9" t="str">
        <f>HYPERLINK("http://www.ensembl.org/id/WBGene00014002", "WBGene00014002")</f>
        <v>WBGene00014002</v>
      </c>
      <c r="B18659" s="9" t="str">
        <f>HYPERLINK("http://www.ncbi.nlm.nih.gov/gene/191354", "191354")</f>
        <v>191354</v>
      </c>
      <c r="C18659" s="9"/>
      <c r="D18659" t="str">
        <f>"ZK593.2"</f>
        <v>ZK593.2</v>
      </c>
      <c r="F18659" t="s">
        <v>11</v>
      </c>
      <c r="H18659" s="12">
        <v>-1.46040355228644</v>
      </c>
      <c r="I18659" s="20">
        <v>-1.0260096514861199</v>
      </c>
      <c r="J18659" s="28">
        <v>0.304887034746393</v>
      </c>
      <c r="K18659" s="29">
        <v>0.98289565623980701</v>
      </c>
    </row>
    <row r="18660" spans="1:11" x14ac:dyDescent="0.35">
      <c r="A18660" s="9" t="str">
        <f>HYPERLINK("http://www.ensembl.org/id/WBGene00014003", "WBGene00014003")</f>
        <v>WBGene00014003</v>
      </c>
      <c r="B18660" s="9" t="str">
        <f>HYPERLINK("http://www.ncbi.nlm.nih.gov/gene/191355", "191355")</f>
        <v>191355</v>
      </c>
      <c r="C18660" s="9"/>
      <c r="D18660" t="str">
        <f>"ZK593.3"</f>
        <v>ZK593.3</v>
      </c>
      <c r="F18660" t="s">
        <v>11</v>
      </c>
      <c r="G18660" t="s">
        <v>25</v>
      </c>
      <c r="H18660" s="12">
        <v>-1.3546428988832</v>
      </c>
      <c r="I18660" s="20">
        <v>-1.17069839586627</v>
      </c>
      <c r="J18660" s="28">
        <v>0.241720030248259</v>
      </c>
      <c r="K18660" s="29">
        <v>0.98289565623980701</v>
      </c>
    </row>
    <row r="18661" spans="1:11" x14ac:dyDescent="0.35">
      <c r="A18661" s="9" t="str">
        <f>HYPERLINK("http://www.ensembl.org/id/WBGene00014006", "WBGene00014006")</f>
        <v>WBGene00014006</v>
      </c>
      <c r="B18661" s="9" t="str">
        <f>HYPERLINK("http://www.ncbi.nlm.nih.gov/gene/177982", "177982")</f>
        <v>177982</v>
      </c>
      <c r="C18661" s="9"/>
      <c r="D18661" t="str">
        <f>"ZK596.1"</f>
        <v>ZK596.1</v>
      </c>
      <c r="F18661" t="s">
        <v>11</v>
      </c>
      <c r="H18661" s="12">
        <v>1.07482680170167</v>
      </c>
      <c r="I18661" s="20">
        <v>0.284730926915988</v>
      </c>
      <c r="J18661" s="28">
        <v>0.77585029469769196</v>
      </c>
      <c r="K18661" s="29">
        <v>0.98289565623980701</v>
      </c>
    </row>
    <row r="18662" spans="1:11" x14ac:dyDescent="0.35">
      <c r="A18662" s="9" t="str">
        <f>HYPERLINK("http://www.ensembl.org/id/WBGene00014007", "WBGene00014007")</f>
        <v>WBGene00014007</v>
      </c>
      <c r="B18662" s="9" t="str">
        <f>HYPERLINK("http://www.ncbi.nlm.nih.gov/gene/177983", "177983")</f>
        <v>177983</v>
      </c>
      <c r="C18662" s="9"/>
      <c r="D18662" t="str">
        <f>"ZK596.2"</f>
        <v>ZK596.2</v>
      </c>
      <c r="F18662" t="s">
        <v>11</v>
      </c>
      <c r="G18662" t="s">
        <v>961</v>
      </c>
      <c r="H18662" s="12">
        <v>-1.5029291984164601</v>
      </c>
      <c r="I18662" s="20">
        <v>-0.38382265922000203</v>
      </c>
      <c r="J18662" s="28">
        <v>0.70110989241567501</v>
      </c>
      <c r="K18662" s="29">
        <v>0.98289565623980701</v>
      </c>
    </row>
    <row r="18663" spans="1:11" x14ac:dyDescent="0.35">
      <c r="A18663" s="9" t="str">
        <f>HYPERLINK("http://www.ensembl.org/id/WBGene00022643", "WBGene00022643")</f>
        <v>WBGene00022643</v>
      </c>
      <c r="B18663" s="9" t="str">
        <f>HYPERLINK("http://www.ncbi.nlm.nih.gov/gene/191208", "191208")</f>
        <v>191208</v>
      </c>
      <c r="C18663" s="9"/>
      <c r="D18663" t="str">
        <f>"ZK6.8"</f>
        <v>ZK6.8</v>
      </c>
      <c r="F18663" t="s">
        <v>11</v>
      </c>
      <c r="G18663" t="s">
        <v>25</v>
      </c>
      <c r="H18663" s="12">
        <v>1.5931355470627699</v>
      </c>
      <c r="I18663" s="20">
        <v>0.72885786007223796</v>
      </c>
      <c r="J18663" s="28">
        <v>0.46608861410758801</v>
      </c>
      <c r="K18663" s="29">
        <v>0.98289565623980701</v>
      </c>
    </row>
    <row r="18664" spans="1:11" x14ac:dyDescent="0.35">
      <c r="A18664" s="9" t="str">
        <f>HYPERLINK("http://www.ensembl.org/id/WBGene00022772", "WBGene00022772")</f>
        <v>WBGene00022772</v>
      </c>
      <c r="B18664" s="9" t="str">
        <f>HYPERLINK("http://www.ncbi.nlm.nih.gov/gene/191359", "191359")</f>
        <v>191359</v>
      </c>
      <c r="C18664" s="9"/>
      <c r="D18664" t="str">
        <f>"ZK616.2"</f>
        <v>ZK616.2</v>
      </c>
      <c r="F18664" t="s">
        <v>11</v>
      </c>
      <c r="G18664" t="s">
        <v>5123</v>
      </c>
      <c r="H18664" s="12">
        <v>-1.5538179156418801</v>
      </c>
      <c r="I18664" s="20">
        <v>-1.0173464406747299</v>
      </c>
      <c r="J18664" s="28">
        <v>0.308988651338585</v>
      </c>
      <c r="K18664" s="29">
        <v>0.98289565623980701</v>
      </c>
    </row>
    <row r="18665" spans="1:11" x14ac:dyDescent="0.35">
      <c r="A18665" s="9" t="str">
        <f>HYPERLINK("http://www.ensembl.org/id/WBGene00022773", "WBGene00022773")</f>
        <v>WBGene00022773</v>
      </c>
      <c r="B18665" s="9" t="str">
        <f>HYPERLINK("http://www.ncbi.nlm.nih.gov/gene/191360", "191360")</f>
        <v>191360</v>
      </c>
      <c r="C18665" s="9"/>
      <c r="D18665" t="str">
        <f>"ZK616.3"</f>
        <v>ZK616.3</v>
      </c>
      <c r="F18665" t="s">
        <v>11</v>
      </c>
      <c r="G18665" t="s">
        <v>5123</v>
      </c>
      <c r="H18665" s="12">
        <v>-1.37425101077843</v>
      </c>
      <c r="I18665" s="20">
        <v>-1.01050792511216</v>
      </c>
      <c r="J18665" s="28">
        <v>0.31225200442523598</v>
      </c>
      <c r="K18665" s="29">
        <v>0.98289565623980701</v>
      </c>
    </row>
    <row r="18666" spans="1:11" x14ac:dyDescent="0.35">
      <c r="A18666" s="9" t="str">
        <f>HYPERLINK("http://www.ensembl.org/id/WBGene00194816", "WBGene00194816")</f>
        <v>WBGene00194816</v>
      </c>
      <c r="B18666" s="9" t="str">
        <f>HYPERLINK("http://www.ncbi.nlm.nih.gov/gene/13194041", "13194041")</f>
        <v>13194041</v>
      </c>
      <c r="C18666" s="9"/>
      <c r="D18666" t="str">
        <f>"ZK616.61"</f>
        <v>ZK616.61</v>
      </c>
      <c r="F18666" t="s">
        <v>11</v>
      </c>
      <c r="G18666" t="s">
        <v>4741</v>
      </c>
      <c r="H18666" s="12">
        <v>1.4248188441699901</v>
      </c>
      <c r="I18666" s="20">
        <v>0.32614956949132201</v>
      </c>
      <c r="J18666" s="28">
        <v>0.74431119460518202</v>
      </c>
      <c r="K18666" s="29">
        <v>0.98289565623980701</v>
      </c>
    </row>
    <row r="18667" spans="1:11" x14ac:dyDescent="0.35">
      <c r="A18667" s="9" t="str">
        <f>HYPERLINK("http://www.ensembl.org/id/WBGene00196096", "WBGene00196096")</f>
        <v>WBGene00196096</v>
      </c>
      <c r="B18667" s="9"/>
      <c r="C18667" s="9"/>
      <c r="D18667" t="str">
        <f>"ZK616.62"</f>
        <v>ZK616.62</v>
      </c>
      <c r="F18667" t="s">
        <v>481</v>
      </c>
      <c r="H18667" s="12">
        <v>-2.4295389261469</v>
      </c>
      <c r="I18667" s="20">
        <v>-0.25808529976640998</v>
      </c>
      <c r="J18667" s="28">
        <v>0.79634107645457397</v>
      </c>
      <c r="K18667" s="29">
        <v>0.98289565623980701</v>
      </c>
    </row>
    <row r="18668" spans="1:11" x14ac:dyDescent="0.35">
      <c r="A18668" s="9" t="str">
        <f>HYPERLINK("http://www.ensembl.org/id/WBGene00235383", "WBGene00235383")</f>
        <v>WBGene00235383</v>
      </c>
      <c r="B18668" s="9" t="str">
        <f>HYPERLINK("http://www.ncbi.nlm.nih.gov/gene/24105295", "24105295")</f>
        <v>24105295</v>
      </c>
      <c r="C18668" s="9"/>
      <c r="D18668" t="str">
        <f>"ZK616.65"</f>
        <v>ZK616.65</v>
      </c>
      <c r="E18668" t="s">
        <v>1019</v>
      </c>
      <c r="F18668" t="s">
        <v>11</v>
      </c>
      <c r="G18668" t="s">
        <v>4544</v>
      </c>
      <c r="H18668" s="12">
        <v>1.73280292375106</v>
      </c>
      <c r="I18668" s="20">
        <v>0.356317372560149</v>
      </c>
      <c r="J18668" s="28">
        <v>0.72160290056778797</v>
      </c>
      <c r="K18668" s="29">
        <v>0.98289565623980701</v>
      </c>
    </row>
    <row r="18669" spans="1:11" x14ac:dyDescent="0.35">
      <c r="A18669" s="9" t="str">
        <f>HYPERLINK("http://www.ensembl.org/id/WBGene00022778", "WBGene00022778")</f>
        <v>WBGene00022778</v>
      </c>
      <c r="B18669" s="9" t="str">
        <f>HYPERLINK("http://www.ncbi.nlm.nih.gov/gene/191362", "191362")</f>
        <v>191362</v>
      </c>
      <c r="C18669" s="9"/>
      <c r="D18669" t="str">
        <f>"ZK616.8"</f>
        <v>ZK616.8</v>
      </c>
      <c r="F18669" t="s">
        <v>11</v>
      </c>
      <c r="G18669" t="s">
        <v>54</v>
      </c>
      <c r="H18669" s="12">
        <v>4.9201184411617902</v>
      </c>
      <c r="I18669" s="20">
        <v>0.66583620639406405</v>
      </c>
      <c r="J18669" s="28">
        <v>0.50551579969002203</v>
      </c>
      <c r="K18669" s="29">
        <v>0.98289565623980701</v>
      </c>
    </row>
    <row r="18670" spans="1:11" x14ac:dyDescent="0.35">
      <c r="A18670" s="9" t="str">
        <f>HYPERLINK("http://www.ensembl.org/id/WBGene00201849", "WBGene00201849")</f>
        <v>WBGene00201849</v>
      </c>
      <c r="B18670" s="9"/>
      <c r="C18670" s="9"/>
      <c r="D18670" t="str">
        <f>"ZK617.23"</f>
        <v>ZK617.23</v>
      </c>
      <c r="F18670" t="s">
        <v>481</v>
      </c>
      <c r="H18670" s="12">
        <v>-5.5794491025289696</v>
      </c>
      <c r="I18670" s="20">
        <v>-0.504738274115201</v>
      </c>
      <c r="J18670" s="28">
        <v>0.61374267489732603</v>
      </c>
      <c r="K18670" s="29">
        <v>0.98289565623980701</v>
      </c>
    </row>
    <row r="18671" spans="1:11" x14ac:dyDescent="0.35">
      <c r="A18671" s="9" t="str">
        <f>HYPERLINK("http://www.ensembl.org/id/WBGene00195308", "WBGene00195308")</f>
        <v>WBGene00195308</v>
      </c>
      <c r="B18671" s="9"/>
      <c r="C18671" s="9"/>
      <c r="D18671" t="str">
        <f>"ZK617.8"</f>
        <v>ZK617.8</v>
      </c>
      <c r="F18671" t="s">
        <v>481</v>
      </c>
      <c r="H18671" s="12">
        <v>-4.7167679298615104</v>
      </c>
      <c r="I18671" s="20">
        <v>-0.454742638005115</v>
      </c>
      <c r="J18671" s="28">
        <v>0.64929440216969203</v>
      </c>
      <c r="K18671" s="29">
        <v>0.98289565623980701</v>
      </c>
    </row>
    <row r="18672" spans="1:11" x14ac:dyDescent="0.35">
      <c r="A18672" s="9" t="str">
        <f>HYPERLINK("http://www.ensembl.org/id/WBGene00022780", "WBGene00022780")</f>
        <v>WBGene00022780</v>
      </c>
      <c r="B18672" s="9" t="str">
        <f>HYPERLINK("http://www.ncbi.nlm.nih.gov/gene/191366", "191366")</f>
        <v>191366</v>
      </c>
      <c r="C18672" s="9" t="str">
        <f>HYPERLINK("http://www.ncbi.nlm.nih.gov/gene/2242", "2242")</f>
        <v>2242</v>
      </c>
      <c r="D18672" t="str">
        <f>"ZK622.1"</f>
        <v>ZK622.1</v>
      </c>
      <c r="E18672" t="s">
        <v>2588</v>
      </c>
      <c r="F18672" t="s">
        <v>11</v>
      </c>
      <c r="G18672" t="s">
        <v>2589</v>
      </c>
      <c r="H18672" s="12">
        <v>1.84421509362902</v>
      </c>
      <c r="I18672" s="20">
        <v>0.39131730990028202</v>
      </c>
      <c r="J18672" s="28">
        <v>0.69556270550970001</v>
      </c>
      <c r="K18672" s="29">
        <v>0.98289565623980701</v>
      </c>
    </row>
    <row r="18673" spans="1:11" x14ac:dyDescent="0.35">
      <c r="A18673" s="9" t="str">
        <f>HYPERLINK("http://www.ensembl.org/id/WBGene00044667", "WBGene00044667")</f>
        <v>WBGene00044667</v>
      </c>
      <c r="B18673" s="9" t="str">
        <f>HYPERLINK("http://www.ncbi.nlm.nih.gov/gene/4363029", "4363029")</f>
        <v>4363029</v>
      </c>
      <c r="C18673" s="9"/>
      <c r="D18673" t="str">
        <f>"ZK622.5"</f>
        <v>ZK622.5</v>
      </c>
      <c r="F18673" t="s">
        <v>11</v>
      </c>
      <c r="H18673" s="12">
        <v>1.16916676493716</v>
      </c>
      <c r="I18673" s="20">
        <v>0.55720891883163903</v>
      </c>
      <c r="J18673" s="28">
        <v>0.57738469675898196</v>
      </c>
      <c r="K18673" s="29">
        <v>0.98289565623980701</v>
      </c>
    </row>
    <row r="18674" spans="1:11" x14ac:dyDescent="0.35">
      <c r="A18674" s="9" t="str">
        <f>HYPERLINK("http://www.ensembl.org/id/WBGene00200099", "WBGene00200099")</f>
        <v>WBGene00200099</v>
      </c>
      <c r="B18674" s="9"/>
      <c r="C18674" s="9"/>
      <c r="D18674" t="str">
        <f>"ZK632.16"</f>
        <v>ZK632.16</v>
      </c>
      <c r="F18674" t="s">
        <v>481</v>
      </c>
      <c r="H18674" s="12">
        <v>-4.6642291292940401</v>
      </c>
      <c r="I18674" s="20">
        <v>-0.78523151551168102</v>
      </c>
      <c r="J18674" s="28">
        <v>0.43231784069514501</v>
      </c>
      <c r="K18674" s="29">
        <v>0.98289565623980701</v>
      </c>
    </row>
    <row r="18675" spans="1:11" x14ac:dyDescent="0.35">
      <c r="A18675" s="9" t="str">
        <f>HYPERLINK("http://www.ensembl.org/id/WBGene00220244", "WBGene00220244")</f>
        <v>WBGene00220244</v>
      </c>
      <c r="B18675" s="9"/>
      <c r="C18675" s="9"/>
      <c r="D18675" t="str">
        <f>"ZK632.18"</f>
        <v>ZK632.18</v>
      </c>
      <c r="F18675" t="s">
        <v>2977</v>
      </c>
      <c r="H18675" s="12">
        <v>-2.4991590031922399</v>
      </c>
      <c r="I18675" s="20">
        <v>-0.26577412737581302</v>
      </c>
      <c r="J18675" s="28">
        <v>0.79041317015736101</v>
      </c>
      <c r="K18675" s="29">
        <v>0.98289565623980701</v>
      </c>
    </row>
    <row r="18676" spans="1:11" x14ac:dyDescent="0.35">
      <c r="A18676" s="9" t="str">
        <f>HYPERLINK("http://www.ensembl.org/id/WBGene00014011", "WBGene00014011")</f>
        <v>WBGene00014011</v>
      </c>
      <c r="B18676" s="9" t="str">
        <f>HYPERLINK("http://www.ncbi.nlm.nih.gov/gene/176386", "176386")</f>
        <v>176386</v>
      </c>
      <c r="C18676" s="9"/>
      <c r="D18676" t="str">
        <f>"ZK632.2"</f>
        <v>ZK632.2</v>
      </c>
      <c r="F18676" t="s">
        <v>11</v>
      </c>
      <c r="G18676" t="s">
        <v>8023</v>
      </c>
      <c r="H18676" s="12">
        <v>-1.1565023224311699</v>
      </c>
      <c r="I18676" s="20">
        <v>-0.71360331694453105</v>
      </c>
      <c r="J18676" s="28">
        <v>0.475472505924384</v>
      </c>
      <c r="K18676" s="29">
        <v>0.98289565623980701</v>
      </c>
    </row>
    <row r="18677" spans="1:11" x14ac:dyDescent="0.35">
      <c r="A18677" s="9" t="str">
        <f>HYPERLINK("http://www.ensembl.org/id/WBGene00014014", "WBGene00014014")</f>
        <v>WBGene00014014</v>
      </c>
      <c r="B18677" s="9" t="str">
        <f>HYPERLINK("http://www.ncbi.nlm.nih.gov/gene/176389", "176389")</f>
        <v>176389</v>
      </c>
      <c r="C18677" s="9"/>
      <c r="D18677" t="str">
        <f>"ZK632.5"</f>
        <v>ZK632.5</v>
      </c>
      <c r="F18677" t="s">
        <v>11</v>
      </c>
      <c r="G18677" t="s">
        <v>9571</v>
      </c>
      <c r="H18677" s="12">
        <v>-1.2601363406872701</v>
      </c>
      <c r="I18677" s="20">
        <v>-1.0458337356308001</v>
      </c>
      <c r="J18677" s="28">
        <v>0.29563780260266198</v>
      </c>
      <c r="K18677" s="29">
        <v>0.98289565623980701</v>
      </c>
    </row>
    <row r="18678" spans="1:11" x14ac:dyDescent="0.35">
      <c r="A18678" s="9" t="str">
        <f>HYPERLINK("http://www.ensembl.org/id/WBGene00014016", "WBGene00014016")</f>
        <v>WBGene00014016</v>
      </c>
      <c r="B18678" s="9" t="str">
        <f>HYPERLINK("http://www.ncbi.nlm.nih.gov/gene/176394", "176394")</f>
        <v>176394</v>
      </c>
      <c r="C18678" s="9"/>
      <c r="D18678" t="str">
        <f>"ZK632.9"</f>
        <v>ZK632.9</v>
      </c>
      <c r="F18678" t="s">
        <v>11</v>
      </c>
      <c r="H18678" s="12">
        <v>-1.22001728386479</v>
      </c>
      <c r="I18678" s="20">
        <v>-1.11828407942223</v>
      </c>
      <c r="J18678" s="28">
        <v>0.26344568428346399</v>
      </c>
      <c r="K18678" s="29">
        <v>0.98289565623980701</v>
      </c>
    </row>
    <row r="18679" spans="1:11" x14ac:dyDescent="0.35">
      <c r="A18679" s="9" t="str">
        <f>HYPERLINK("http://www.ensembl.org/id/WBGene00014029", "WBGene00014029")</f>
        <v>WBGene00014029</v>
      </c>
      <c r="B18679" s="9" t="str">
        <f>HYPERLINK("http://www.ncbi.nlm.nih.gov/gene/176262", "176262")</f>
        <v>176262</v>
      </c>
      <c r="C18679" s="9"/>
      <c r="D18679" t="str">
        <f>"ZK637.12"</f>
        <v>ZK637.12</v>
      </c>
      <c r="F18679" t="s">
        <v>11</v>
      </c>
      <c r="H18679" s="12">
        <v>-2.5358015635957201</v>
      </c>
      <c r="I18679" s="20">
        <v>-1.04610006027324</v>
      </c>
      <c r="J18679" s="28">
        <v>0.29551483741394702</v>
      </c>
      <c r="K18679" s="29">
        <v>0.98289565623980701</v>
      </c>
    </row>
    <row r="18680" spans="1:11" x14ac:dyDescent="0.35">
      <c r="A18680" s="9" t="str">
        <f>HYPERLINK("http://www.ensembl.org/id/WBGene00014031", "WBGene00014031")</f>
        <v>WBGene00014031</v>
      </c>
      <c r="B18680" s="9" t="str">
        <f>HYPERLINK("http://www.ncbi.nlm.nih.gov/gene/176251", "176251")</f>
        <v>176251</v>
      </c>
      <c r="C18680" s="9"/>
      <c r="D18680" t="str">
        <f>"ZK637.14"</f>
        <v>ZK637.14</v>
      </c>
      <c r="E18680" t="s">
        <v>7563</v>
      </c>
      <c r="F18680" t="s">
        <v>11</v>
      </c>
      <c r="G18680" t="s">
        <v>7564</v>
      </c>
      <c r="H18680" s="12">
        <v>-1.1333099933272299</v>
      </c>
      <c r="I18680" s="20">
        <v>-0.55678204372758999</v>
      </c>
      <c r="J18680" s="28">
        <v>0.57767635366530801</v>
      </c>
      <c r="K18680" s="29">
        <v>0.98289565623980701</v>
      </c>
    </row>
    <row r="18681" spans="1:11" x14ac:dyDescent="0.35">
      <c r="A18681" s="9" t="str">
        <f>HYPERLINK("http://www.ensembl.org/id/WBGene00201389", "WBGene00201389")</f>
        <v>WBGene00201389</v>
      </c>
      <c r="B18681" s="9"/>
      <c r="C18681" s="9"/>
      <c r="D18681" t="str">
        <f>"ZK637.20"</f>
        <v>ZK637.20</v>
      </c>
      <c r="F18681" t="s">
        <v>481</v>
      </c>
      <c r="H18681" s="12">
        <v>-3.4925756442813398</v>
      </c>
      <c r="I18681" s="20">
        <v>-0.596539123152663</v>
      </c>
      <c r="J18681" s="28">
        <v>0.55081512592554605</v>
      </c>
      <c r="K18681" s="29">
        <v>0.98289565623980701</v>
      </c>
    </row>
    <row r="18682" spans="1:11" x14ac:dyDescent="0.35">
      <c r="A18682" s="9" t="str">
        <f>HYPERLINK("http://www.ensembl.org/id/WBGene00014024", "WBGene00014024")</f>
        <v>WBGene00014024</v>
      </c>
      <c r="B18682" s="9" t="str">
        <f>HYPERLINK("http://www.ncbi.nlm.nih.gov/gene/191370", "191370")</f>
        <v>191370</v>
      </c>
      <c r="C18682" s="9"/>
      <c r="D18682" t="str">
        <f>"ZK637.4"</f>
        <v>ZK637.4</v>
      </c>
      <c r="F18682" t="s">
        <v>11</v>
      </c>
      <c r="H18682" s="12">
        <v>-1.1710357874095401</v>
      </c>
      <c r="I18682" s="20">
        <v>-0.33717742014081997</v>
      </c>
      <c r="J18682" s="28">
        <v>0.73598315779910695</v>
      </c>
      <c r="K18682" s="29">
        <v>0.98289565623980701</v>
      </c>
    </row>
    <row r="18683" spans="1:11" x14ac:dyDescent="0.35">
      <c r="A18683" s="9" t="str">
        <f>HYPERLINK("http://www.ensembl.org/id/WBGene00014034", "WBGene00014034")</f>
        <v>WBGene00014034</v>
      </c>
      <c r="B18683" s="9" t="str">
        <f>HYPERLINK("http://www.ncbi.nlm.nih.gov/gene/191373", "191373")</f>
        <v>191373</v>
      </c>
      <c r="C18683" s="9"/>
      <c r="D18683" t="str">
        <f>"ZK643.2"</f>
        <v>ZK643.2</v>
      </c>
      <c r="E18683" t="s">
        <v>9818</v>
      </c>
      <c r="F18683" t="s">
        <v>11</v>
      </c>
      <c r="G18683" t="s">
        <v>9819</v>
      </c>
      <c r="H18683" s="12">
        <v>-1.3117542496782399</v>
      </c>
      <c r="I18683" s="20">
        <v>-1.0555249216338201</v>
      </c>
      <c r="J18683" s="28">
        <v>0.291185317718888</v>
      </c>
      <c r="K18683" s="29">
        <v>0.98289565623980701</v>
      </c>
    </row>
    <row r="18684" spans="1:11" x14ac:dyDescent="0.35">
      <c r="A18684" s="9" t="str">
        <f>HYPERLINK("http://www.ensembl.org/id/WBGene00014036", "WBGene00014036")</f>
        <v>WBGene00014036</v>
      </c>
      <c r="B18684" s="9" t="str">
        <f>HYPERLINK("http://www.ncbi.nlm.nih.gov/gene/176263", "176263")</f>
        <v>176263</v>
      </c>
      <c r="C18684" s="9"/>
      <c r="D18684" t="str">
        <f>"ZK643.5"</f>
        <v>ZK643.5</v>
      </c>
      <c r="F18684" t="s">
        <v>11</v>
      </c>
      <c r="H18684" s="12">
        <v>-1.1447690512642901</v>
      </c>
      <c r="I18684" s="20">
        <v>-0.71241248863406603</v>
      </c>
      <c r="J18684" s="28">
        <v>0.47620938432542298</v>
      </c>
      <c r="K18684" s="29">
        <v>0.98289565623980701</v>
      </c>
    </row>
    <row r="18685" spans="1:11" x14ac:dyDescent="0.35">
      <c r="A18685" s="9" t="str">
        <f>HYPERLINK("http://www.ensembl.org/id/WBGene00014038", "WBGene00014038")</f>
        <v>WBGene00014038</v>
      </c>
      <c r="B18685" s="9" t="str">
        <f>HYPERLINK("http://www.ncbi.nlm.nih.gov/gene/191376", "191376")</f>
        <v>191376</v>
      </c>
      <c r="C18685" s="9"/>
      <c r="D18685" t="str">
        <f>"ZK643.7"</f>
        <v>ZK643.7</v>
      </c>
      <c r="F18685" t="s">
        <v>11</v>
      </c>
      <c r="H18685" s="12">
        <v>2.3893468495514898</v>
      </c>
      <c r="I18685" s="20">
        <v>0.25323547253672701</v>
      </c>
      <c r="J18685" s="28">
        <v>0.80008625651646104</v>
      </c>
      <c r="K18685" s="29">
        <v>0.98289565623980701</v>
      </c>
    </row>
    <row r="18686" spans="1:11" x14ac:dyDescent="0.35">
      <c r="A18686" s="9" t="str">
        <f>HYPERLINK("http://www.ensembl.org/id/WBGene00045132", "WBGene00045132")</f>
        <v>WBGene00045132</v>
      </c>
      <c r="B18686" s="9"/>
      <c r="C18686" s="9"/>
      <c r="D18686" t="str">
        <f>"ZK643.9"</f>
        <v>ZK643.9</v>
      </c>
      <c r="F18686" t="s">
        <v>2977</v>
      </c>
      <c r="H18686" s="12">
        <v>-1.3865088021368399</v>
      </c>
      <c r="I18686" s="20">
        <v>-0.54236918029422299</v>
      </c>
      <c r="J18686" s="28">
        <v>0.587564206637749</v>
      </c>
      <c r="K18686" s="29">
        <v>0.98289565623980701</v>
      </c>
    </row>
    <row r="18687" spans="1:11" x14ac:dyDescent="0.35">
      <c r="A18687" s="9" t="str">
        <f>HYPERLINK("http://www.ensembl.org/id/WBGene00022785", "WBGene00022785")</f>
        <v>WBGene00022785</v>
      </c>
      <c r="B18687" s="9" t="str">
        <f>HYPERLINK("http://www.ncbi.nlm.nih.gov/gene/176095", "176095")</f>
        <v>176095</v>
      </c>
      <c r="C18687" s="9"/>
      <c r="D18687" t="str">
        <f>"ZK652.6"</f>
        <v>ZK652.6</v>
      </c>
      <c r="F18687" t="s">
        <v>11</v>
      </c>
      <c r="G18687" t="s">
        <v>8107</v>
      </c>
      <c r="H18687" s="12">
        <v>-1.16083420368181</v>
      </c>
      <c r="I18687" s="20">
        <v>-0.77416876052933703</v>
      </c>
      <c r="J18687" s="28">
        <v>0.438830999452752</v>
      </c>
      <c r="K18687" s="29">
        <v>0.98289565623980701</v>
      </c>
    </row>
    <row r="18688" spans="1:11" x14ac:dyDescent="0.35">
      <c r="A18688" s="9" t="str">
        <f>HYPERLINK("http://www.ensembl.org/id/WBGene00014040", "WBGene00014040")</f>
        <v>WBGene00014040</v>
      </c>
      <c r="B18688" s="9" t="str">
        <f>HYPERLINK("http://www.ncbi.nlm.nih.gov/gene/191378", "191378")</f>
        <v>191378</v>
      </c>
      <c r="C18688" s="9"/>
      <c r="D18688" t="str">
        <f>"ZK662.5"</f>
        <v>ZK662.5</v>
      </c>
      <c r="F18688" t="s">
        <v>11</v>
      </c>
      <c r="G18688" t="s">
        <v>1755</v>
      </c>
      <c r="H18688" s="12">
        <v>-1.3372141434734499</v>
      </c>
      <c r="I18688" s="20">
        <v>-0.40322829537127802</v>
      </c>
      <c r="J18688" s="28">
        <v>0.68678028589474305</v>
      </c>
      <c r="K18688" s="29">
        <v>0.98289565623980701</v>
      </c>
    </row>
    <row r="18689" spans="1:11" x14ac:dyDescent="0.35">
      <c r="A18689" s="9" t="str">
        <f>HYPERLINK("http://www.ensembl.org/id/WBGene00201852", "WBGene00201852")</f>
        <v>WBGene00201852</v>
      </c>
      <c r="B18689" s="9"/>
      <c r="C18689" s="9"/>
      <c r="D18689" t="str">
        <f>"ZK662.9"</f>
        <v>ZK662.9</v>
      </c>
      <c r="F18689" t="s">
        <v>481</v>
      </c>
      <c r="H18689" s="12">
        <v>-1.3941628033587301</v>
      </c>
      <c r="I18689" s="20">
        <v>-0.37387071468989802</v>
      </c>
      <c r="J18689" s="28">
        <v>0.70850050532408004</v>
      </c>
      <c r="K18689" s="29">
        <v>0.98289565623980701</v>
      </c>
    </row>
    <row r="18690" spans="1:11" x14ac:dyDescent="0.35">
      <c r="A18690" s="9" t="str">
        <f>HYPERLINK("http://www.ensembl.org/id/WBGene00014041", "WBGene00014041")</f>
        <v>WBGene00014041</v>
      </c>
      <c r="B18690" s="9" t="str">
        <f>HYPERLINK("http://www.ncbi.nlm.nih.gov/gene/191379", "191379")</f>
        <v>191379</v>
      </c>
      <c r="C18690" s="9"/>
      <c r="D18690" t="str">
        <f>"ZK666.1"</f>
        <v>ZK666.1</v>
      </c>
      <c r="F18690" t="s">
        <v>11</v>
      </c>
      <c r="H18690" s="12">
        <v>-1.35879262763668</v>
      </c>
      <c r="I18690" s="20">
        <v>-0.34013915877966799</v>
      </c>
      <c r="J18690" s="28">
        <v>0.73375173350354195</v>
      </c>
      <c r="K18690" s="29">
        <v>0.98289565623980701</v>
      </c>
    </row>
    <row r="18691" spans="1:11" x14ac:dyDescent="0.35">
      <c r="A18691" s="9" t="str">
        <f>HYPERLINK("http://www.ensembl.org/id/WBGene00014049", "WBGene00014049")</f>
        <v>WBGene00014049</v>
      </c>
      <c r="B18691" s="9" t="str">
        <f>HYPERLINK("http://www.ncbi.nlm.nih.gov/gene/3565448", "3565448")</f>
        <v>3565448</v>
      </c>
      <c r="C18691" s="9"/>
      <c r="D18691" t="str">
        <f>"ZK666.11"</f>
        <v>ZK666.11</v>
      </c>
      <c r="F18691" t="s">
        <v>11</v>
      </c>
      <c r="H18691" s="12">
        <v>-1.28485802336003</v>
      </c>
      <c r="I18691" s="20">
        <v>-0.27934484389950598</v>
      </c>
      <c r="J18691" s="28">
        <v>0.77998019496368598</v>
      </c>
      <c r="K18691" s="29">
        <v>0.98289565623980701</v>
      </c>
    </row>
    <row r="18692" spans="1:11" x14ac:dyDescent="0.35">
      <c r="A18692" s="9" t="str">
        <f>HYPERLINK("http://www.ensembl.org/id/WBGene00014050", "WBGene00014050")</f>
        <v>WBGene00014050</v>
      </c>
      <c r="B18692" s="9" t="str">
        <f>HYPERLINK("http://www.ncbi.nlm.nih.gov/gene/3565847", "3565847")</f>
        <v>3565847</v>
      </c>
      <c r="C18692" s="9"/>
      <c r="D18692" t="str">
        <f>"ZK666.12"</f>
        <v>ZK666.12</v>
      </c>
      <c r="F18692" t="s">
        <v>11</v>
      </c>
      <c r="G18692" t="s">
        <v>25</v>
      </c>
      <c r="H18692" s="12">
        <v>2.3893468495514898</v>
      </c>
      <c r="I18692" s="20">
        <v>0.25323547253672701</v>
      </c>
      <c r="J18692" s="28">
        <v>0.80008625651646104</v>
      </c>
      <c r="K18692" s="29">
        <v>0.98289565623980701</v>
      </c>
    </row>
    <row r="18693" spans="1:11" x14ac:dyDescent="0.35">
      <c r="A18693" s="9" t="str">
        <f>HYPERLINK("http://www.ensembl.org/id/WBGene00194952", "WBGene00194952")</f>
        <v>WBGene00194952</v>
      </c>
      <c r="B18693" s="9" t="str">
        <f>HYPERLINK("http://www.ncbi.nlm.nih.gov/gene/13186823", "13186823")</f>
        <v>13186823</v>
      </c>
      <c r="C18693" s="9"/>
      <c r="D18693" t="str">
        <f>"ZK666.14"</f>
        <v>ZK666.14</v>
      </c>
      <c r="F18693" t="s">
        <v>11</v>
      </c>
      <c r="G18693" t="s">
        <v>25</v>
      </c>
      <c r="H18693" s="12">
        <v>-1.6597711294562101</v>
      </c>
      <c r="I18693" s="20">
        <v>-0.54383922629555503</v>
      </c>
      <c r="J18693" s="28">
        <v>0.58655211290306997</v>
      </c>
      <c r="K18693" s="29">
        <v>0.98289565623980701</v>
      </c>
    </row>
    <row r="18694" spans="1:11" x14ac:dyDescent="0.35">
      <c r="A18694" s="9" t="str">
        <f>HYPERLINK("http://www.ensembl.org/id/WBGene00195145", "WBGene00195145")</f>
        <v>WBGene00195145</v>
      </c>
      <c r="B18694" s="9" t="str">
        <f>HYPERLINK("http://www.ncbi.nlm.nih.gov/gene/13186820", "13186820")</f>
        <v>13186820</v>
      </c>
      <c r="C18694" s="9"/>
      <c r="D18694" t="str">
        <f>"ZK666.15"</f>
        <v>ZK666.15</v>
      </c>
      <c r="F18694" t="s">
        <v>11</v>
      </c>
      <c r="G18694" t="s">
        <v>25</v>
      </c>
      <c r="H18694" s="12">
        <v>1.32300656913569</v>
      </c>
      <c r="I18694" s="20">
        <v>0.28578981317192598</v>
      </c>
      <c r="J18694" s="28">
        <v>0.77503911078766097</v>
      </c>
      <c r="K18694" s="29">
        <v>0.98289565623980701</v>
      </c>
    </row>
    <row r="18695" spans="1:11" x14ac:dyDescent="0.35">
      <c r="A18695" s="9" t="str">
        <f>HYPERLINK("http://www.ensembl.org/id/WBGene00014044", "WBGene00014044")</f>
        <v>WBGene00014044</v>
      </c>
      <c r="B18695" s="9" t="str">
        <f>HYPERLINK("http://www.ncbi.nlm.nih.gov/gene/191382", "191382")</f>
        <v>191382</v>
      </c>
      <c r="C18695" s="9"/>
      <c r="D18695" t="str">
        <f>"ZK666.4"</f>
        <v>ZK666.4</v>
      </c>
      <c r="F18695" t="s">
        <v>11</v>
      </c>
      <c r="H18695" s="12">
        <v>-2.8354343612530699</v>
      </c>
      <c r="I18695" s="20">
        <v>-0.54563380453281196</v>
      </c>
      <c r="J18695" s="28">
        <v>0.58531768250643301</v>
      </c>
      <c r="K18695" s="29">
        <v>0.98289565623980701</v>
      </c>
    </row>
    <row r="18696" spans="1:11" x14ac:dyDescent="0.35">
      <c r="A18696" s="9" t="str">
        <f>HYPERLINK("http://www.ensembl.org/id/WBGene00201817", "WBGene00201817")</f>
        <v>WBGene00201817</v>
      </c>
      <c r="B18696" s="9"/>
      <c r="C18696" s="9"/>
      <c r="D18696" t="str">
        <f>"ZK669.9"</f>
        <v>ZK669.9</v>
      </c>
      <c r="F18696" t="s">
        <v>481</v>
      </c>
      <c r="H18696" s="12">
        <v>9.9320123134608593</v>
      </c>
      <c r="I18696" s="20">
        <v>0.68366985730865304</v>
      </c>
      <c r="J18696" s="28">
        <v>0.49418366151259002</v>
      </c>
      <c r="K18696" s="29">
        <v>0.98289565623980701</v>
      </c>
    </row>
    <row r="18697" spans="1:11" x14ac:dyDescent="0.35">
      <c r="A18697" s="9" t="str">
        <f>HYPERLINK("http://www.ensembl.org/id/WBGene00014065", "WBGene00014065")</f>
        <v>WBGene00014065</v>
      </c>
      <c r="B18697" s="9" t="str">
        <f>HYPERLINK("http://www.ncbi.nlm.nih.gov/gene/259463", "259463")</f>
        <v>259463</v>
      </c>
      <c r="C18697" s="9"/>
      <c r="D18697" t="str">
        <f>"ZK673.11"</f>
        <v>ZK673.11</v>
      </c>
      <c r="F18697" t="s">
        <v>11</v>
      </c>
      <c r="G18697" t="s">
        <v>25</v>
      </c>
      <c r="H18697" s="12">
        <v>1.4279266408807301</v>
      </c>
      <c r="I18697" s="20">
        <v>0.83173246906812204</v>
      </c>
      <c r="J18697" s="28">
        <v>0.40555996916565601</v>
      </c>
      <c r="K18697" s="29">
        <v>0.98289565623980701</v>
      </c>
    </row>
    <row r="18698" spans="1:11" x14ac:dyDescent="0.35">
      <c r="A18698" s="9" t="str">
        <f>HYPERLINK("http://www.ensembl.org/id/WBGene00014058", "WBGene00014058")</f>
        <v>WBGene00014058</v>
      </c>
      <c r="B18698" s="9" t="str">
        <f>HYPERLINK("http://www.ncbi.nlm.nih.gov/gene/174608", "174608")</f>
        <v>174608</v>
      </c>
      <c r="C18698" s="9" t="str">
        <f>HYPERLINK("http://www.ncbi.nlm.nih.gov/gene/50808", "50808")</f>
        <v>50808</v>
      </c>
      <c r="D18698" t="str">
        <f>"ZK673.2"</f>
        <v>ZK673.2</v>
      </c>
      <c r="E18698" t="s">
        <v>7989</v>
      </c>
      <c r="F18698" t="s">
        <v>11</v>
      </c>
      <c r="G18698" t="s">
        <v>7990</v>
      </c>
      <c r="H18698" s="12">
        <v>-1.1547122188822601</v>
      </c>
      <c r="I18698" s="20">
        <v>-0.79338216563655295</v>
      </c>
      <c r="J18698" s="28">
        <v>0.42755519823202698</v>
      </c>
      <c r="K18698" s="29">
        <v>0.98289565623980701</v>
      </c>
    </row>
    <row r="18699" spans="1:11" x14ac:dyDescent="0.35">
      <c r="A18699" s="9" t="str">
        <f>HYPERLINK("http://www.ensembl.org/id/WBGene00014067", "WBGene00014067")</f>
        <v>WBGene00014067</v>
      </c>
      <c r="B18699" s="9" t="str">
        <f>HYPERLINK("http://www.ncbi.nlm.nih.gov/gene/174277", "174277")</f>
        <v>174277</v>
      </c>
      <c r="C18699" s="9"/>
      <c r="D18699" t="str">
        <f>"ZK675.4"</f>
        <v>ZK675.4</v>
      </c>
      <c r="F18699" t="s">
        <v>11</v>
      </c>
      <c r="H18699" s="12">
        <v>-1.1915022122390899</v>
      </c>
      <c r="I18699" s="20">
        <v>-0.275602907348174</v>
      </c>
      <c r="J18699" s="28">
        <v>0.78285307638282997</v>
      </c>
      <c r="K18699" s="29">
        <v>0.98289565623980701</v>
      </c>
    </row>
    <row r="18700" spans="1:11" x14ac:dyDescent="0.35">
      <c r="A18700" s="9" t="str">
        <f>HYPERLINK("http://www.ensembl.org/id/WBGene00196563", "WBGene00196563")</f>
        <v>WBGene00196563</v>
      </c>
      <c r="B18700" s="9"/>
      <c r="C18700" s="9"/>
      <c r="D18700" t="str">
        <f>"ZK675.6"</f>
        <v>ZK675.6</v>
      </c>
      <c r="F18700" t="s">
        <v>481</v>
      </c>
      <c r="H18700" s="12">
        <v>4.9201184411617902</v>
      </c>
      <c r="I18700" s="20">
        <v>0.66583620639406405</v>
      </c>
      <c r="J18700" s="28">
        <v>0.50551579969002203</v>
      </c>
      <c r="K18700" s="29">
        <v>0.98289565623980701</v>
      </c>
    </row>
    <row r="18701" spans="1:11" x14ac:dyDescent="0.35">
      <c r="A18701" s="9" t="str">
        <f>HYPERLINK("http://www.ensembl.org/id/WBGene00197899", "WBGene00197899")</f>
        <v>WBGene00197899</v>
      </c>
      <c r="B18701" s="9"/>
      <c r="C18701" s="9"/>
      <c r="D18701" t="str">
        <f>"ZK682.9"</f>
        <v>ZK682.9</v>
      </c>
      <c r="F18701" t="s">
        <v>481</v>
      </c>
      <c r="H18701" s="12">
        <v>2.5964443813758602</v>
      </c>
      <c r="I18701" s="20">
        <v>0.32033355057255902</v>
      </c>
      <c r="J18701" s="28">
        <v>0.74871549235374901</v>
      </c>
      <c r="K18701" s="29">
        <v>0.98289565623980701</v>
      </c>
    </row>
    <row r="18702" spans="1:11" x14ac:dyDescent="0.35">
      <c r="A18702" s="9" t="str">
        <f>HYPERLINK("http://www.ensembl.org/id/WBGene00022795", "WBGene00022795")</f>
        <v>WBGene00022795</v>
      </c>
      <c r="B18702" s="9" t="str">
        <f>HYPERLINK("http://www.ncbi.nlm.nih.gov/gene/3565160", "3565160")</f>
        <v>3565160</v>
      </c>
      <c r="C18702" s="9"/>
      <c r="D18702" t="str">
        <f>"ZK686.5"</f>
        <v>ZK686.5</v>
      </c>
      <c r="E18702" t="s">
        <v>4656</v>
      </c>
      <c r="F18702" t="s">
        <v>11</v>
      </c>
      <c r="G18702" t="s">
        <v>4657</v>
      </c>
      <c r="H18702" s="12">
        <v>1.5295641670857301</v>
      </c>
      <c r="I18702" s="20">
        <v>0.28397714407001001</v>
      </c>
      <c r="J18702" s="28">
        <v>0.776427896287891</v>
      </c>
      <c r="K18702" s="29">
        <v>0.98289565623980701</v>
      </c>
    </row>
    <row r="18703" spans="1:11" x14ac:dyDescent="0.35">
      <c r="A18703" s="9" t="str">
        <f>HYPERLINK("http://www.ensembl.org/id/WBGene00044447", "WBGene00044447")</f>
        <v>WBGene00044447</v>
      </c>
      <c r="B18703" s="9" t="str">
        <f>HYPERLINK("http://www.ncbi.nlm.nih.gov/gene/3896743", "3896743")</f>
        <v>3896743</v>
      </c>
      <c r="C18703" s="9"/>
      <c r="D18703" t="str">
        <f>"ZK688.10"</f>
        <v>ZK688.10</v>
      </c>
      <c r="F18703" t="s">
        <v>11</v>
      </c>
      <c r="G18703" t="s">
        <v>25</v>
      </c>
      <c r="H18703" s="12">
        <v>2.5081681227830401</v>
      </c>
      <c r="I18703" s="20">
        <v>0.70909910547951405</v>
      </c>
      <c r="J18703" s="28">
        <v>0.47826297803602802</v>
      </c>
      <c r="K18703" s="29">
        <v>0.98289565623980701</v>
      </c>
    </row>
    <row r="18704" spans="1:11" x14ac:dyDescent="0.35">
      <c r="A18704" s="9" t="str">
        <f>HYPERLINK("http://www.ensembl.org/id/WBGene00044762", "WBGene00044762")</f>
        <v>WBGene00044762</v>
      </c>
      <c r="B18704" s="9" t="str">
        <f>HYPERLINK("http://www.ncbi.nlm.nih.gov/gene/4363059", "4363059")</f>
        <v>4363059</v>
      </c>
      <c r="C18704" s="9"/>
      <c r="D18704" t="str">
        <f>"ZK688.11"</f>
        <v>ZK688.11</v>
      </c>
      <c r="F18704" t="s">
        <v>11</v>
      </c>
      <c r="G18704" t="s">
        <v>25</v>
      </c>
      <c r="H18704" s="12">
        <v>-1.2171194050635501</v>
      </c>
      <c r="I18704" s="20">
        <v>-1.0006954157533801</v>
      </c>
      <c r="J18704" s="28">
        <v>0.31697408437331598</v>
      </c>
      <c r="K18704" s="29">
        <v>0.98289565623980701</v>
      </c>
    </row>
    <row r="18705" spans="1:11" x14ac:dyDescent="0.35">
      <c r="A18705" s="9" t="str">
        <f>HYPERLINK("http://www.ensembl.org/id/WBGene00022799", "WBGene00022799")</f>
        <v>WBGene00022799</v>
      </c>
      <c r="B18705" s="9" t="str">
        <f>HYPERLINK("http://www.ncbi.nlm.nih.gov/gene/191406", "191406")</f>
        <v>191406</v>
      </c>
      <c r="C18705" s="9"/>
      <c r="D18705" t="str">
        <f>"ZK688.4"</f>
        <v>ZK688.4</v>
      </c>
      <c r="F18705" t="s">
        <v>11</v>
      </c>
      <c r="H18705" s="12">
        <v>2.7626118609501802</v>
      </c>
      <c r="I18705" s="20">
        <v>0.38293686937655103</v>
      </c>
      <c r="J18705" s="28">
        <v>0.70176657339128301</v>
      </c>
      <c r="K18705" s="29">
        <v>0.98289565623980701</v>
      </c>
    </row>
    <row r="18706" spans="1:11" x14ac:dyDescent="0.35">
      <c r="A18706" s="9" t="str">
        <f>HYPERLINK("http://www.ensembl.org/id/WBGene00022804", "WBGene00022804")</f>
        <v>WBGene00022804</v>
      </c>
      <c r="B18706" s="9" t="str">
        <f>HYPERLINK("http://www.ncbi.nlm.nih.gov/gene/191408", "191408")</f>
        <v>191408</v>
      </c>
      <c r="C18706" s="9"/>
      <c r="D18706" t="str">
        <f>"ZK697.1"</f>
        <v>ZK697.1</v>
      </c>
      <c r="F18706" t="s">
        <v>11</v>
      </c>
      <c r="G18706" t="s">
        <v>25</v>
      </c>
      <c r="H18706" s="12">
        <v>4.4368407117627902</v>
      </c>
      <c r="I18706" s="20">
        <v>0.43709475933309699</v>
      </c>
      <c r="J18706" s="28">
        <v>0.66204262779770495</v>
      </c>
      <c r="K18706" s="29">
        <v>0.98289565623980701</v>
      </c>
    </row>
    <row r="18707" spans="1:11" x14ac:dyDescent="0.35">
      <c r="A18707" s="9" t="str">
        <f>HYPERLINK("http://www.ensembl.org/id/WBGene00022809", "WBGene00022809")</f>
        <v>WBGene00022809</v>
      </c>
      <c r="B18707" s="9" t="str">
        <f>HYPERLINK("http://www.ncbi.nlm.nih.gov/gene/3565013", "3565013")</f>
        <v>3565013</v>
      </c>
      <c r="C18707" s="9"/>
      <c r="D18707" t="str">
        <f>"ZK697.14"</f>
        <v>ZK697.14</v>
      </c>
      <c r="F18707" t="s">
        <v>11</v>
      </c>
      <c r="G18707" t="s">
        <v>489</v>
      </c>
      <c r="H18707" s="12">
        <v>2.7921344297660502</v>
      </c>
      <c r="I18707" s="20">
        <v>0.517470421844615</v>
      </c>
      <c r="J18707" s="28">
        <v>0.60482781137498998</v>
      </c>
      <c r="K18707" s="29">
        <v>0.98289565623980701</v>
      </c>
    </row>
    <row r="18708" spans="1:11" x14ac:dyDescent="0.35">
      <c r="A18708" s="9" t="str">
        <f>HYPERLINK("http://www.ensembl.org/id/WBGene00022806", "WBGene00022806")</f>
        <v>WBGene00022806</v>
      </c>
      <c r="B18708" s="9"/>
      <c r="C18708" s="9"/>
      <c r="D18708" t="str">
        <f>"ZK697.3"</f>
        <v>ZK697.3</v>
      </c>
      <c r="F18708" t="s">
        <v>80</v>
      </c>
      <c r="H18708" s="12">
        <v>2.3893468495514898</v>
      </c>
      <c r="I18708" s="20">
        <v>0.25323547253672701</v>
      </c>
      <c r="J18708" s="28">
        <v>0.80008625651646104</v>
      </c>
      <c r="K18708" s="29">
        <v>0.98289565623980701</v>
      </c>
    </row>
    <row r="18709" spans="1:11" x14ac:dyDescent="0.35">
      <c r="A18709" s="9" t="str">
        <f>HYPERLINK("http://www.ensembl.org/id/WBGene00022810", "WBGene00022810")</f>
        <v>WBGene00022810</v>
      </c>
      <c r="B18709" s="9" t="str">
        <f>HYPERLINK("http://www.ncbi.nlm.nih.gov/gene/191416", "191416")</f>
        <v>191416</v>
      </c>
      <c r="C18709" s="9"/>
      <c r="D18709" t="str">
        <f>"ZK721.3"</f>
        <v>ZK721.3</v>
      </c>
      <c r="F18709" t="s">
        <v>11</v>
      </c>
      <c r="H18709" s="12">
        <v>1.2722414871274099</v>
      </c>
      <c r="I18709" s="20">
        <v>0.86865287216724496</v>
      </c>
      <c r="J18709" s="28">
        <v>0.38503702591705802</v>
      </c>
      <c r="K18709" s="29">
        <v>0.98289565623980701</v>
      </c>
    </row>
    <row r="18710" spans="1:11" x14ac:dyDescent="0.35">
      <c r="A18710" s="9" t="str">
        <f>HYPERLINK("http://www.ensembl.org/id/WBGene00022811", "WBGene00022811")</f>
        <v>WBGene00022811</v>
      </c>
      <c r="B18710" s="9" t="str">
        <f>HYPERLINK("http://www.ncbi.nlm.nih.gov/gene/191417", "191417")</f>
        <v>191417</v>
      </c>
      <c r="C18710" s="9"/>
      <c r="D18710" t="str">
        <f>"ZK721.4"</f>
        <v>ZK721.4</v>
      </c>
      <c r="F18710" t="s">
        <v>11</v>
      </c>
      <c r="G18710" t="s">
        <v>1089</v>
      </c>
      <c r="H18710" s="12">
        <v>1.22932480734173</v>
      </c>
      <c r="I18710" s="20">
        <v>0.54373486377464297</v>
      </c>
      <c r="J18710" s="28">
        <v>0.58662393750680397</v>
      </c>
      <c r="K18710" s="29">
        <v>0.98289565623980701</v>
      </c>
    </row>
    <row r="18711" spans="1:11" x14ac:dyDescent="0.35">
      <c r="A18711" s="9" t="str">
        <f>HYPERLINK("http://www.ensembl.org/id/WBGene00022813", "WBGene00022813")</f>
        <v>WBGene00022813</v>
      </c>
      <c r="B18711" s="9" t="str">
        <f>HYPERLINK("http://www.ncbi.nlm.nih.gov/gene/191419", "191419")</f>
        <v>191419</v>
      </c>
      <c r="C18711" s="9"/>
      <c r="D18711" t="str">
        <f>"ZK742.3"</f>
        <v>ZK742.3</v>
      </c>
      <c r="F18711" t="s">
        <v>11</v>
      </c>
      <c r="G18711" t="s">
        <v>260</v>
      </c>
      <c r="H18711" s="12">
        <v>1.2482616213453399</v>
      </c>
      <c r="I18711" s="20">
        <v>0.682588031731173</v>
      </c>
      <c r="J18711" s="28">
        <v>0.49486719885346597</v>
      </c>
      <c r="K18711" s="29">
        <v>0.98289565623980701</v>
      </c>
    </row>
    <row r="18712" spans="1:11" x14ac:dyDescent="0.35">
      <c r="A18712" s="9" t="str">
        <f>HYPERLINK("http://www.ensembl.org/id/WBGene00045277", "WBGene00045277")</f>
        <v>WBGene00045277</v>
      </c>
      <c r="B18712" s="9" t="str">
        <f>HYPERLINK("http://www.ncbi.nlm.nih.gov/gene/6418825", "6418825")</f>
        <v>6418825</v>
      </c>
      <c r="C18712" s="9"/>
      <c r="D18712" t="str">
        <f>"ZK742.6"</f>
        <v>ZK742.6</v>
      </c>
      <c r="F18712" t="s">
        <v>11</v>
      </c>
      <c r="H18712" s="12">
        <v>1.5682756854350499</v>
      </c>
      <c r="I18712" s="20">
        <v>1.1255108091130701</v>
      </c>
      <c r="J18712" s="28">
        <v>0.26037263942272798</v>
      </c>
      <c r="K18712" s="29">
        <v>0.98289565623980701</v>
      </c>
    </row>
    <row r="18713" spans="1:11" x14ac:dyDescent="0.35">
      <c r="A18713" s="9" t="str">
        <f>HYPERLINK("http://www.ensembl.org/id/WBGene00206488", "WBGene00206488")</f>
        <v>WBGene00206488</v>
      </c>
      <c r="B18713" s="9" t="str">
        <f>HYPERLINK("http://www.ncbi.nlm.nih.gov/gene/13190957", "13190957")</f>
        <v>13190957</v>
      </c>
      <c r="C18713" s="9"/>
      <c r="D18713" t="str">
        <f>"ZK757.10"</f>
        <v>ZK757.10</v>
      </c>
      <c r="F18713" t="s">
        <v>11</v>
      </c>
      <c r="H18713" s="12">
        <v>1.3995456898846801</v>
      </c>
      <c r="I18713" s="20">
        <v>0.47305553760871399</v>
      </c>
      <c r="J18713" s="28">
        <v>0.636173556904436</v>
      </c>
      <c r="K18713" s="29">
        <v>0.98289565623980701</v>
      </c>
    </row>
    <row r="18714" spans="1:11" x14ac:dyDescent="0.35">
      <c r="A18714" s="9" t="str">
        <f>HYPERLINK("http://www.ensembl.org/id/WBGene00014074", "WBGene00014074")</f>
        <v>WBGene00014074</v>
      </c>
      <c r="B18714" s="9" t="str">
        <f>HYPERLINK("http://www.ncbi.nlm.nih.gov/gene/191421", "191421")</f>
        <v>191421</v>
      </c>
      <c r="C18714" s="9"/>
      <c r="D18714" t="str">
        <f>"ZK757.2"</f>
        <v>ZK757.2</v>
      </c>
      <c r="F18714" t="s">
        <v>11</v>
      </c>
      <c r="G18714" t="s">
        <v>4785</v>
      </c>
      <c r="H18714" s="12">
        <v>1.38058227896993</v>
      </c>
      <c r="I18714" s="20">
        <v>1.04669062510539</v>
      </c>
      <c r="J18714" s="28">
        <v>0.29524228894562199</v>
      </c>
      <c r="K18714" s="29">
        <v>0.98289565623980701</v>
      </c>
    </row>
    <row r="18715" spans="1:11" x14ac:dyDescent="0.35">
      <c r="A18715" s="9" t="str">
        <f>HYPERLINK("http://www.ensembl.org/id/WBGene00196391", "WBGene00196391")</f>
        <v>WBGene00196391</v>
      </c>
      <c r="B18715" s="9"/>
      <c r="C18715" s="9"/>
      <c r="D18715" t="str">
        <f>"ZK757.5"</f>
        <v>ZK757.5</v>
      </c>
      <c r="F18715" t="s">
        <v>481</v>
      </c>
      <c r="H18715" s="12">
        <v>7.6616465944663696</v>
      </c>
      <c r="I18715" s="20">
        <v>0.60406875593600395</v>
      </c>
      <c r="J18715" s="28">
        <v>0.54579793098927099</v>
      </c>
      <c r="K18715" s="29">
        <v>0.98289565623980701</v>
      </c>
    </row>
    <row r="18716" spans="1:11" x14ac:dyDescent="0.35">
      <c r="A18716" s="9" t="str">
        <f>HYPERLINK("http://www.ensembl.org/id/WBGene00200485", "WBGene00200485")</f>
        <v>WBGene00200485</v>
      </c>
      <c r="B18716" s="9"/>
      <c r="C18716" s="9"/>
      <c r="D18716" t="str">
        <f>"ZK757.7"</f>
        <v>ZK757.7</v>
      </c>
      <c r="F18716" t="s">
        <v>481</v>
      </c>
      <c r="H18716" s="12">
        <v>1.71484787360319</v>
      </c>
      <c r="I18716" s="20">
        <v>0.48649944936398198</v>
      </c>
      <c r="J18716" s="28">
        <v>0.62661309564869805</v>
      </c>
      <c r="K18716" s="29">
        <v>0.98289565623980701</v>
      </c>
    </row>
    <row r="18717" spans="1:11" x14ac:dyDescent="0.35">
      <c r="A18717" s="9" t="str">
        <f>HYPERLINK("http://www.ensembl.org/id/WBGene00022818", "WBGene00022818")</f>
        <v>WBGene00022818</v>
      </c>
      <c r="B18717" s="9"/>
      <c r="C18717" s="9"/>
      <c r="D18717" t="str">
        <f>"ZK783.3"</f>
        <v>ZK783.3</v>
      </c>
      <c r="F18717" t="s">
        <v>80</v>
      </c>
      <c r="H18717" s="12">
        <v>9.9320123134608593</v>
      </c>
      <c r="I18717" s="20">
        <v>0.68366985730865304</v>
      </c>
      <c r="J18717" s="28">
        <v>0.49418366151259002</v>
      </c>
      <c r="K18717" s="29">
        <v>0.98289565623980701</v>
      </c>
    </row>
    <row r="18718" spans="1:11" x14ac:dyDescent="0.35">
      <c r="A18718" s="9" t="str">
        <f>HYPERLINK("http://www.ensembl.org/id/WBGene00023219", "WBGene00023219")</f>
        <v>WBGene00023219</v>
      </c>
      <c r="B18718" s="9"/>
      <c r="C18718" s="9"/>
      <c r="D18718" t="str">
        <f>"ZK783.t1"</f>
        <v>ZK783.t1</v>
      </c>
      <c r="F18718" t="s">
        <v>4208</v>
      </c>
      <c r="H18718" s="12">
        <v>5.4058944669092801</v>
      </c>
      <c r="I18718" s="20">
        <v>0.49762513753689303</v>
      </c>
      <c r="J18718" s="28">
        <v>0.61874828254921799</v>
      </c>
      <c r="K18718" s="29">
        <v>0.98289565623980701</v>
      </c>
    </row>
    <row r="18719" spans="1:11" x14ac:dyDescent="0.35">
      <c r="A18719" s="9" t="str">
        <f>HYPERLINK("http://www.ensembl.org/id/WBGene00014076", "WBGene00014076")</f>
        <v>WBGene00014076</v>
      </c>
      <c r="B18719" s="9" t="str">
        <f>HYPERLINK("http://www.ncbi.nlm.nih.gov/gene/178100", "178100")</f>
        <v>178100</v>
      </c>
      <c r="C18719" s="9" t="str">
        <f>HYPERLINK("http://www.ncbi.nlm.nih.gov/gene/92370", "92370")</f>
        <v>92370</v>
      </c>
      <c r="D18719" t="str">
        <f>"ZK792.1"</f>
        <v>ZK792.1</v>
      </c>
      <c r="F18719" t="s">
        <v>11</v>
      </c>
      <c r="G18719" t="s">
        <v>1331</v>
      </c>
      <c r="H18719" s="12">
        <v>1.09635059197339</v>
      </c>
      <c r="I18719" s="20">
        <v>0.46602635864387398</v>
      </c>
      <c r="J18719" s="28">
        <v>0.64119663343323596</v>
      </c>
      <c r="K18719" s="29">
        <v>0.98289565623980701</v>
      </c>
    </row>
    <row r="18720" spans="1:11" x14ac:dyDescent="0.35">
      <c r="A18720" s="9" t="str">
        <f>HYPERLINK("http://www.ensembl.org/id/WBGene00201031", "WBGene00201031")</f>
        <v>WBGene00201031</v>
      </c>
      <c r="B18720" s="9"/>
      <c r="C18720" s="9"/>
      <c r="D18720" t="str">
        <f>"ZK792.10"</f>
        <v>ZK792.10</v>
      </c>
      <c r="F18720" t="s">
        <v>481</v>
      </c>
      <c r="H18720" s="12">
        <v>7.2164368412952902</v>
      </c>
      <c r="I18720" s="20">
        <v>0.80153596297458896</v>
      </c>
      <c r="J18720" s="28">
        <v>0.42282143304245901</v>
      </c>
      <c r="K18720" s="29">
        <v>0.98289565623980701</v>
      </c>
    </row>
    <row r="18721" spans="1:11" x14ac:dyDescent="0.35">
      <c r="A18721" s="9" t="str">
        <f>HYPERLINK("http://www.ensembl.org/id/WBGene00014078", "WBGene00014078")</f>
        <v>WBGene00014078</v>
      </c>
      <c r="B18721" s="9" t="str">
        <f>HYPERLINK("http://www.ncbi.nlm.nih.gov/gene/178103", "178103")</f>
        <v>178103</v>
      </c>
      <c r="C18721" s="9"/>
      <c r="D18721" t="str">
        <f>"ZK792.5"</f>
        <v>ZK792.5</v>
      </c>
      <c r="F18721" t="s">
        <v>11</v>
      </c>
      <c r="G18721" t="s">
        <v>9567</v>
      </c>
      <c r="H18721" s="12">
        <v>-1.2596947072805</v>
      </c>
      <c r="I18721" s="20">
        <v>-1.1211058072148099</v>
      </c>
      <c r="J18721" s="28">
        <v>0.26224282706961699</v>
      </c>
      <c r="K18721" s="29">
        <v>0.98289565623980701</v>
      </c>
    </row>
    <row r="18722" spans="1:11" x14ac:dyDescent="0.35">
      <c r="A18722" s="9" t="str">
        <f>HYPERLINK("http://www.ensembl.org/id/WBGene00014079", "WBGene00014079")</f>
        <v>WBGene00014079</v>
      </c>
      <c r="B18722" s="9" t="str">
        <f>HYPERLINK("http://www.ncbi.nlm.nih.gov/gene/191425", "191425")</f>
        <v>191425</v>
      </c>
      <c r="C18722" s="9"/>
      <c r="D18722" t="str">
        <f>"ZK792.7"</f>
        <v>ZK792.7</v>
      </c>
      <c r="F18722" t="s">
        <v>11</v>
      </c>
      <c r="G18722" t="s">
        <v>5730</v>
      </c>
      <c r="H18722" s="12">
        <v>1.11445378036432</v>
      </c>
      <c r="I18722" s="20">
        <v>0.445933250447895</v>
      </c>
      <c r="J18722" s="28">
        <v>0.65564546299676996</v>
      </c>
      <c r="K18722" s="29">
        <v>0.98289565623980701</v>
      </c>
    </row>
    <row r="18723" spans="1:11" x14ac:dyDescent="0.35">
      <c r="A18723" s="9" t="str">
        <f>HYPERLINK("http://www.ensembl.org/id/WBGene00014082", "WBGene00014082")</f>
        <v>WBGene00014082</v>
      </c>
      <c r="B18723" s="9" t="str">
        <f>HYPERLINK("http://www.ncbi.nlm.nih.gov/gene/178206", "178206")</f>
        <v>178206</v>
      </c>
      <c r="C18723" s="9"/>
      <c r="D18723" t="str">
        <f>"ZK795.2"</f>
        <v>ZK795.2</v>
      </c>
      <c r="F18723" t="s">
        <v>11</v>
      </c>
      <c r="G18723" t="s">
        <v>25</v>
      </c>
      <c r="H18723" s="12">
        <v>-1.4200243056087301</v>
      </c>
      <c r="I18723" s="20">
        <v>-0.412305468254689</v>
      </c>
      <c r="J18723" s="28">
        <v>0.68011554113158501</v>
      </c>
      <c r="K18723" s="29">
        <v>0.98289565623980701</v>
      </c>
    </row>
    <row r="18724" spans="1:11" x14ac:dyDescent="0.35">
      <c r="A18724" s="9" t="str">
        <f>HYPERLINK("http://www.ensembl.org/id/WBGene00014083", "WBGene00014083")</f>
        <v>WBGene00014083</v>
      </c>
      <c r="B18724" s="9" t="str">
        <f>HYPERLINK("http://www.ncbi.nlm.nih.gov/gene/178207", "178207")</f>
        <v>178207</v>
      </c>
      <c r="C18724" s="9" t="str">
        <f>HYPERLINK("http://www.ncbi.nlm.nih.gov/gene/92856", "92856")</f>
        <v>92856</v>
      </c>
      <c r="D18724" t="str">
        <f>"ZK795.3"</f>
        <v>ZK795.3</v>
      </c>
      <c r="E18724" t="s">
        <v>8744</v>
      </c>
      <c r="F18724" t="s">
        <v>11</v>
      </c>
      <c r="G18724" t="s">
        <v>8745</v>
      </c>
      <c r="H18724" s="12">
        <v>-1.19393965665505</v>
      </c>
      <c r="I18724" s="20">
        <v>-0.812150940909802</v>
      </c>
      <c r="J18724" s="28">
        <v>0.416705025952329</v>
      </c>
      <c r="K18724" s="29">
        <v>0.98289565623980701</v>
      </c>
    </row>
    <row r="18725" spans="1:11" x14ac:dyDescent="0.35">
      <c r="A18725" s="9" t="str">
        <f>HYPERLINK("http://www.ensembl.org/id/WBGene00194644", "WBGene00194644")</f>
        <v>WBGene00194644</v>
      </c>
      <c r="B18725" s="9"/>
      <c r="C18725" s="9"/>
      <c r="D18725" t="str">
        <f>"ZK795.6"</f>
        <v>ZK795.6</v>
      </c>
      <c r="F18725" t="s">
        <v>80</v>
      </c>
      <c r="H18725" s="12">
        <v>1.5308390079223</v>
      </c>
      <c r="I18725" s="20">
        <v>1.1446281198722099</v>
      </c>
      <c r="J18725" s="28">
        <v>0.25236323870862798</v>
      </c>
      <c r="K18725" s="29">
        <v>0.98289565623980701</v>
      </c>
    </row>
    <row r="18726" spans="1:11" x14ac:dyDescent="0.35">
      <c r="A18726" s="9" t="str">
        <f>HYPERLINK("http://www.ensembl.org/id/WBGene00200236", "WBGene00200236")</f>
        <v>WBGene00200236</v>
      </c>
      <c r="B18726" s="9"/>
      <c r="C18726" s="9"/>
      <c r="D18726" t="str">
        <f>"ZK795.8"</f>
        <v>ZK795.8</v>
      </c>
      <c r="F18726" t="s">
        <v>481</v>
      </c>
      <c r="H18726" s="12">
        <v>10.8131830636529</v>
      </c>
      <c r="I18726" s="20">
        <v>0.70982715185838596</v>
      </c>
      <c r="J18726" s="28">
        <v>0.477811329444844</v>
      </c>
      <c r="K18726" s="29">
        <v>0.98289565623980701</v>
      </c>
    </row>
    <row r="18727" spans="1:11" x14ac:dyDescent="0.35">
      <c r="A18727" s="9" t="str">
        <f>HYPERLINK("http://www.ensembl.org/id/WBGene00014085", "WBGene00014085")</f>
        <v>WBGene00014085</v>
      </c>
      <c r="B18727" s="9" t="str">
        <f>HYPERLINK("http://www.ncbi.nlm.nih.gov/gene/191427", "191427")</f>
        <v>191427</v>
      </c>
      <c r="C18727" s="9"/>
      <c r="D18727" t="str">
        <f>"ZK809.1"</f>
        <v>ZK809.1</v>
      </c>
      <c r="F18727" t="s">
        <v>11</v>
      </c>
      <c r="G18727" t="s">
        <v>1020</v>
      </c>
      <c r="H18727" s="12">
        <v>-1.5886450174765301</v>
      </c>
      <c r="I18727" s="20">
        <v>-0.39579120010048102</v>
      </c>
      <c r="J18727" s="28">
        <v>0.69225906915408997</v>
      </c>
      <c r="K18727" s="29">
        <v>0.98289565623980701</v>
      </c>
    </row>
    <row r="18728" spans="1:11" x14ac:dyDescent="0.35">
      <c r="A18728" s="9" t="str">
        <f>HYPERLINK("http://www.ensembl.org/id/WBGene00198390", "WBGene00198390")</f>
        <v>WBGene00198390</v>
      </c>
      <c r="B18728" s="9"/>
      <c r="C18728" s="9"/>
      <c r="D18728" t="str">
        <f>"ZK809.12"</f>
        <v>ZK809.12</v>
      </c>
      <c r="F18728" t="s">
        <v>481</v>
      </c>
      <c r="H18728" s="12">
        <v>2.3893468495514898</v>
      </c>
      <c r="I18728" s="20">
        <v>0.25323547253672701</v>
      </c>
      <c r="J18728" s="28">
        <v>0.80008625651646104</v>
      </c>
      <c r="K18728" s="29">
        <v>0.98289565623980701</v>
      </c>
    </row>
    <row r="18729" spans="1:11" x14ac:dyDescent="0.35">
      <c r="A18729" s="9" t="str">
        <f>HYPERLINK("http://www.ensembl.org/id/WBGene00014086", "WBGene00014086")</f>
        <v>WBGene00014086</v>
      </c>
      <c r="B18729" s="9" t="str">
        <f>HYPERLINK("http://www.ncbi.nlm.nih.gov/gene/178096", "178096")</f>
        <v>178096</v>
      </c>
      <c r="C18729" s="9"/>
      <c r="D18729" t="str">
        <f>"ZK809.3"</f>
        <v>ZK809.3</v>
      </c>
      <c r="F18729" t="s">
        <v>11</v>
      </c>
      <c r="G18729" t="s">
        <v>6799</v>
      </c>
      <c r="H18729" s="12">
        <v>-1.0896447976322401</v>
      </c>
      <c r="I18729" s="20">
        <v>-0.455445216637753</v>
      </c>
      <c r="J18729" s="28">
        <v>0.64878897158080695</v>
      </c>
      <c r="K18729" s="29">
        <v>0.98289565623980701</v>
      </c>
    </row>
    <row r="18730" spans="1:11" x14ac:dyDescent="0.35">
      <c r="A18730" s="9" t="str">
        <f>HYPERLINK("http://www.ensembl.org/id/WBGene00014088", "WBGene00014088")</f>
        <v>WBGene00014088</v>
      </c>
      <c r="B18730" s="9" t="str">
        <f>HYPERLINK("http://www.ncbi.nlm.nih.gov/gene/178093", "178093")</f>
        <v>178093</v>
      </c>
      <c r="C18730" s="9"/>
      <c r="D18730" t="str">
        <f>"ZK809.8"</f>
        <v>ZK809.8</v>
      </c>
      <c r="F18730" t="s">
        <v>11</v>
      </c>
      <c r="G18730" t="s">
        <v>25</v>
      </c>
      <c r="H18730" s="12">
        <v>-1.07219919911155</v>
      </c>
      <c r="I18730" s="20">
        <v>-0.34606082012938899</v>
      </c>
      <c r="J18730" s="28">
        <v>0.72929700730439495</v>
      </c>
      <c r="K18730" s="29">
        <v>0.98289565623980701</v>
      </c>
    </row>
    <row r="18731" spans="1:11" x14ac:dyDescent="0.35">
      <c r="A18731" s="9" t="str">
        <f>HYPERLINK("http://www.ensembl.org/id/WBGene00194934", "WBGene00194934")</f>
        <v>WBGene00194934</v>
      </c>
      <c r="B18731" s="9" t="str">
        <f>HYPERLINK("http://www.ncbi.nlm.nih.gov/gene/13198270", "13198270")</f>
        <v>13198270</v>
      </c>
      <c r="C18731" s="9" t="str">
        <f>HYPERLINK("http://www.ncbi.nlm.nih.gov/gene/92370", "92370")</f>
        <v>92370</v>
      </c>
      <c r="D18731" t="str">
        <f>"ZK809.9"</f>
        <v>ZK809.9</v>
      </c>
      <c r="F18731" t="s">
        <v>11</v>
      </c>
      <c r="G18731" t="s">
        <v>1331</v>
      </c>
      <c r="H18731" s="12">
        <v>1.20670120264689</v>
      </c>
      <c r="I18731" s="20">
        <v>0.54001331573806899</v>
      </c>
      <c r="J18731" s="28">
        <v>0.58918784945203395</v>
      </c>
      <c r="K18731" s="29">
        <v>0.98289565623980701</v>
      </c>
    </row>
    <row r="18732" spans="1:11" x14ac:dyDescent="0.35">
      <c r="A18732" s="9" t="str">
        <f>HYPERLINK("http://www.ensembl.org/id/WBGene00022821", "WBGene00022821")</f>
        <v>WBGene00022821</v>
      </c>
      <c r="B18732" s="9" t="str">
        <f>HYPERLINK("http://www.ncbi.nlm.nih.gov/gene/191428", "191428")</f>
        <v>191428</v>
      </c>
      <c r="C18732" s="9"/>
      <c r="D18732" t="str">
        <f>"ZK813.2"</f>
        <v>ZK813.2</v>
      </c>
      <c r="F18732" t="s">
        <v>11</v>
      </c>
      <c r="H18732" s="12">
        <v>-1.0730118066406</v>
      </c>
      <c r="I18732" s="20">
        <v>-0.38530154535845001</v>
      </c>
      <c r="J18732" s="28">
        <v>0.70001401672660601</v>
      </c>
      <c r="K18732" s="29">
        <v>0.98289565623980701</v>
      </c>
    </row>
    <row r="18733" spans="1:11" x14ac:dyDescent="0.35">
      <c r="A18733" s="9" t="str">
        <f>HYPERLINK("http://www.ensembl.org/id/WBGene00022823", "WBGene00022823")</f>
        <v>WBGene00022823</v>
      </c>
      <c r="B18733" s="9" t="str">
        <f>HYPERLINK("http://www.ncbi.nlm.nih.gov/gene/180633", "180633")</f>
        <v>180633</v>
      </c>
      <c r="C18733" s="9"/>
      <c r="D18733" t="str">
        <f>"ZK813.4"</f>
        <v>ZK813.4</v>
      </c>
      <c r="F18733" t="s">
        <v>11</v>
      </c>
      <c r="H18733" s="12">
        <v>-1.0608004295736699</v>
      </c>
      <c r="I18733" s="20">
        <v>-0.302429048282924</v>
      </c>
      <c r="J18733" s="28">
        <v>0.76232501353058602</v>
      </c>
      <c r="K18733" s="29">
        <v>0.98289565623980701</v>
      </c>
    </row>
    <row r="18734" spans="1:11" x14ac:dyDescent="0.35">
      <c r="A18734" s="9" t="str">
        <f>HYPERLINK("http://www.ensembl.org/id/WBGene00195636", "WBGene00195636")</f>
        <v>WBGene00195636</v>
      </c>
      <c r="B18734" s="9"/>
      <c r="C18734" s="9"/>
      <c r="D18734" t="str">
        <f>"ZK813.8"</f>
        <v>ZK813.8</v>
      </c>
      <c r="F18734" t="s">
        <v>481</v>
      </c>
      <c r="H18734" s="12">
        <v>-4.5114499031905204</v>
      </c>
      <c r="I18734" s="20">
        <v>-0.44198655555625299</v>
      </c>
      <c r="J18734" s="28">
        <v>0.65849893477547905</v>
      </c>
      <c r="K18734" s="29">
        <v>0.98289565623980701</v>
      </c>
    </row>
    <row r="18735" spans="1:11" x14ac:dyDescent="0.35">
      <c r="A18735" s="9" t="str">
        <f>HYPERLINK("http://www.ensembl.org/id/WBGene00022827", "WBGene00022827")</f>
        <v>WBGene00022827</v>
      </c>
      <c r="B18735" s="9" t="str">
        <f>HYPERLINK("http://www.ncbi.nlm.nih.gov/gene/191431", "191431")</f>
        <v>191431</v>
      </c>
      <c r="C18735" s="9"/>
      <c r="D18735" t="str">
        <f>"ZK816.4"</f>
        <v>ZK816.4</v>
      </c>
      <c r="F18735" t="s">
        <v>11</v>
      </c>
      <c r="H18735" s="12">
        <v>2.73136017532258</v>
      </c>
      <c r="I18735" s="20">
        <v>1.15055225197968</v>
      </c>
      <c r="J18735" s="28">
        <v>0.24991648607433301</v>
      </c>
      <c r="K18735" s="29">
        <v>0.98289565623980701</v>
      </c>
    </row>
    <row r="18736" spans="1:11" x14ac:dyDescent="0.35">
      <c r="A18736" s="9" t="str">
        <f>HYPERLINK("http://www.ensembl.org/id/WBGene00197683", "WBGene00197683")</f>
        <v>WBGene00197683</v>
      </c>
      <c r="B18736" s="9"/>
      <c r="C18736" s="9"/>
      <c r="D18736" t="str">
        <f>"ZK816.6"</f>
        <v>ZK816.6</v>
      </c>
      <c r="F18736" t="s">
        <v>481</v>
      </c>
      <c r="H18736" s="12">
        <v>3.6645215954135</v>
      </c>
      <c r="I18736" s="20">
        <v>0.37967131826092498</v>
      </c>
      <c r="J18736" s="28">
        <v>0.70418941338960395</v>
      </c>
      <c r="K18736" s="29">
        <v>0.98289565623980701</v>
      </c>
    </row>
    <row r="18737" spans="1:11" x14ac:dyDescent="0.35">
      <c r="A18737" s="9" t="str">
        <f>HYPERLINK("http://www.ensembl.org/id/WBGene00014089", "WBGene00014089")</f>
        <v>WBGene00014089</v>
      </c>
      <c r="B18737" s="9" t="str">
        <f>HYPERLINK("http://www.ncbi.nlm.nih.gov/gene/178123", "178123")</f>
        <v>178123</v>
      </c>
      <c r="C18737" s="9"/>
      <c r="D18737" t="str">
        <f>"ZK822.1"</f>
        <v>ZK822.1</v>
      </c>
      <c r="F18737" t="s">
        <v>11</v>
      </c>
      <c r="H18737" s="12">
        <v>1.1341592150287501</v>
      </c>
      <c r="I18737" s="20">
        <v>0.45674180833808797</v>
      </c>
      <c r="J18737" s="28">
        <v>0.64785663650130598</v>
      </c>
      <c r="K18737" s="29">
        <v>0.98289565623980701</v>
      </c>
    </row>
    <row r="18738" spans="1:11" x14ac:dyDescent="0.35">
      <c r="A18738" s="9" t="str">
        <f>HYPERLINK("http://www.ensembl.org/id/WBGene00014090", "WBGene00014090")</f>
        <v>WBGene00014090</v>
      </c>
      <c r="B18738" s="9" t="str">
        <f>HYPERLINK("http://www.ncbi.nlm.nih.gov/gene/191432", "191432")</f>
        <v>191432</v>
      </c>
      <c r="C18738" s="9"/>
      <c r="D18738" t="str">
        <f>"ZK822.2"</f>
        <v>ZK822.2</v>
      </c>
      <c r="F18738" t="s">
        <v>11</v>
      </c>
      <c r="H18738" s="12">
        <v>-1.1060436990734801</v>
      </c>
      <c r="I18738" s="20">
        <v>-0.55652803317530897</v>
      </c>
      <c r="J18738" s="28">
        <v>0.57784993600031098</v>
      </c>
      <c r="K18738" s="29">
        <v>0.98289565623980701</v>
      </c>
    </row>
    <row r="18739" spans="1:11" x14ac:dyDescent="0.35">
      <c r="A18739" s="9" t="str">
        <f>HYPERLINK("http://www.ensembl.org/id/WBGene00014092", "WBGene00014092")</f>
        <v>WBGene00014092</v>
      </c>
      <c r="B18739" s="9" t="str">
        <f>HYPERLINK("http://www.ncbi.nlm.nih.gov/gene/178127", "178127")</f>
        <v>178127</v>
      </c>
      <c r="C18739" s="9" t="str">
        <f>HYPERLINK("http://www.ncbi.nlm.nih.gov/gene/159963", "159963")</f>
        <v>159963</v>
      </c>
      <c r="D18739" t="str">
        <f>"ZK822.5"</f>
        <v>ZK822.5</v>
      </c>
      <c r="F18739" t="s">
        <v>11</v>
      </c>
      <c r="G18739" t="s">
        <v>3477</v>
      </c>
      <c r="H18739" s="12">
        <v>1.07939241201396</v>
      </c>
      <c r="I18739" s="20">
        <v>0.30489852277190999</v>
      </c>
      <c r="J18739" s="28">
        <v>0.76044344088667704</v>
      </c>
      <c r="K18739" s="29">
        <v>0.98289565623980701</v>
      </c>
    </row>
    <row r="18740" spans="1:11" x14ac:dyDescent="0.35">
      <c r="A18740" s="9" t="str">
        <f>HYPERLINK("http://www.ensembl.org/id/WBGene00194665", "WBGene00194665")</f>
        <v>WBGene00194665</v>
      </c>
      <c r="B18740" s="9"/>
      <c r="C18740" s="9"/>
      <c r="D18740" t="str">
        <f>"ZK822.8"</f>
        <v>ZK822.8</v>
      </c>
      <c r="F18740" t="s">
        <v>2735</v>
      </c>
      <c r="H18740" s="12">
        <v>-1.2409282014502601</v>
      </c>
      <c r="I18740" s="20">
        <v>-0.43721143818272801</v>
      </c>
      <c r="J18740" s="28">
        <v>0.66195801525481002</v>
      </c>
      <c r="K18740" s="29">
        <v>0.98289565623980701</v>
      </c>
    </row>
    <row r="18741" spans="1:11" x14ac:dyDescent="0.35">
      <c r="A18741" s="9" t="str">
        <f>HYPERLINK("http://www.ensembl.org/id/WBGene00014093", "WBGene00014093")</f>
        <v>WBGene00014093</v>
      </c>
      <c r="B18741" s="9" t="str">
        <f>HYPERLINK("http://www.ncbi.nlm.nih.gov/gene/191434", "191434")</f>
        <v>191434</v>
      </c>
      <c r="C18741" s="9"/>
      <c r="D18741" t="str">
        <f>"ZK829.1"</f>
        <v>ZK829.1</v>
      </c>
      <c r="F18741" t="s">
        <v>11</v>
      </c>
      <c r="G18741" t="s">
        <v>489</v>
      </c>
      <c r="H18741" s="12">
        <v>2.1859110225420499</v>
      </c>
      <c r="I18741" s="20">
        <v>0.89069623042377</v>
      </c>
      <c r="J18741" s="28">
        <v>0.37309215763554299</v>
      </c>
      <c r="K18741" s="29">
        <v>0.98289565623980701</v>
      </c>
    </row>
    <row r="18742" spans="1:11" x14ac:dyDescent="0.35">
      <c r="A18742" s="9" t="str">
        <f>HYPERLINK("http://www.ensembl.org/id/WBGene00014097", "WBGene00014097")</f>
        <v>WBGene00014097</v>
      </c>
      <c r="B18742" s="9" t="str">
        <f>HYPERLINK("http://www.ncbi.nlm.nih.gov/gene/178134", "178134")</f>
        <v>178134</v>
      </c>
      <c r="C18742" s="9"/>
      <c r="D18742" t="str">
        <f>"ZK829.9"</f>
        <v>ZK829.9</v>
      </c>
      <c r="F18742" t="s">
        <v>11</v>
      </c>
      <c r="G18742" t="s">
        <v>230</v>
      </c>
      <c r="H18742" s="12">
        <v>-1.33470183391568</v>
      </c>
      <c r="I18742" s="20">
        <v>-1.0105066838436101</v>
      </c>
      <c r="J18742" s="28">
        <v>0.31225259881501499</v>
      </c>
      <c r="K18742" s="29">
        <v>0.98289565623980701</v>
      </c>
    </row>
    <row r="18743" spans="1:11" x14ac:dyDescent="0.35">
      <c r="A18743" s="9" t="str">
        <f>HYPERLINK("http://www.ensembl.org/id/WBGene00197675", "WBGene00197675")</f>
        <v>WBGene00197675</v>
      </c>
      <c r="B18743" s="9"/>
      <c r="C18743" s="9"/>
      <c r="D18743" t="str">
        <f>"ZK84.11"</f>
        <v>ZK84.11</v>
      </c>
      <c r="F18743" t="s">
        <v>481</v>
      </c>
      <c r="H18743" s="12">
        <v>-2.4991590031922399</v>
      </c>
      <c r="I18743" s="20">
        <v>-0.26577412737581302</v>
      </c>
      <c r="J18743" s="28">
        <v>0.79041317015736101</v>
      </c>
      <c r="K18743" s="29">
        <v>0.98289565623980701</v>
      </c>
    </row>
    <row r="18744" spans="1:11" x14ac:dyDescent="0.35">
      <c r="A18744" s="9" t="str">
        <f>HYPERLINK("http://www.ensembl.org/id/WBGene00022650", "WBGene00022650")</f>
        <v>WBGene00022650</v>
      </c>
      <c r="B18744" s="9" t="str">
        <f>HYPERLINK("http://www.ncbi.nlm.nih.gov/gene/174007", "174007")</f>
        <v>174007</v>
      </c>
      <c r="C18744" s="9"/>
      <c r="D18744" t="str">
        <f>"ZK84.2"</f>
        <v>ZK84.2</v>
      </c>
      <c r="F18744" t="s">
        <v>11</v>
      </c>
      <c r="G18744" t="s">
        <v>25</v>
      </c>
      <c r="H18744" s="12">
        <v>-1.39460800833346</v>
      </c>
      <c r="I18744" s="20">
        <v>-0.90466704278766197</v>
      </c>
      <c r="J18744" s="28">
        <v>0.365641806004599</v>
      </c>
      <c r="K18744" s="29">
        <v>0.98289565623980701</v>
      </c>
    </row>
    <row r="18745" spans="1:11" x14ac:dyDescent="0.35">
      <c r="A18745" s="9" t="str">
        <f>HYPERLINK("http://www.ensembl.org/id/WBGene00022652", "WBGene00022652")</f>
        <v>WBGene00022652</v>
      </c>
      <c r="B18745" s="9" t="str">
        <f>HYPERLINK("http://www.ncbi.nlm.nih.gov/gene/191219", "191219")</f>
        <v>191219</v>
      </c>
      <c r="C18745" s="9"/>
      <c r="D18745" t="str">
        <f>"ZK84.5"</f>
        <v>ZK84.5</v>
      </c>
      <c r="F18745" t="s">
        <v>11</v>
      </c>
      <c r="H18745" s="12">
        <v>2.1984315862700798</v>
      </c>
      <c r="I18745" s="20">
        <v>0.28497317452086202</v>
      </c>
      <c r="J18745" s="28">
        <v>0.77566469379881398</v>
      </c>
      <c r="K18745" s="29">
        <v>0.98289565623980701</v>
      </c>
    </row>
    <row r="18746" spans="1:11" x14ac:dyDescent="0.35">
      <c r="A18746" s="9" t="str">
        <f>HYPERLINK("http://www.ensembl.org/id/WBGene00044020", "WBGene00044020")</f>
        <v>WBGene00044020</v>
      </c>
      <c r="B18746" s="9" t="str">
        <f>HYPERLINK("http://www.ncbi.nlm.nih.gov/gene/3565498", "3565498")</f>
        <v>3565498</v>
      </c>
      <c r="C18746" s="9"/>
      <c r="D18746" t="str">
        <f>"ZK856.14"</f>
        <v>ZK856.14</v>
      </c>
      <c r="F18746" t="s">
        <v>11</v>
      </c>
      <c r="G18746" t="s">
        <v>25</v>
      </c>
      <c r="H18746" s="12">
        <v>1.7604702808555399</v>
      </c>
      <c r="I18746" s="20">
        <v>0.493044450255891</v>
      </c>
      <c r="J18746" s="28">
        <v>0.62198117992909996</v>
      </c>
      <c r="K18746" s="29">
        <v>0.98289565623980701</v>
      </c>
    </row>
    <row r="18747" spans="1:11" x14ac:dyDescent="0.35">
      <c r="A18747" s="9" t="str">
        <f>HYPERLINK("http://www.ensembl.org/id/WBGene00050936", "WBGene00050936")</f>
        <v>WBGene00050936</v>
      </c>
      <c r="B18747" s="9" t="str">
        <f>HYPERLINK("http://www.ncbi.nlm.nih.gov/gene/6418826", "6418826")</f>
        <v>6418826</v>
      </c>
      <c r="C18747" s="9"/>
      <c r="D18747" t="str">
        <f>"ZK856.16"</f>
        <v>ZK856.16</v>
      </c>
      <c r="F18747" t="s">
        <v>11</v>
      </c>
      <c r="H18747" s="12">
        <v>-1.9939522494739901</v>
      </c>
      <c r="I18747" s="20">
        <v>-0.75139361654070502</v>
      </c>
      <c r="J18747" s="28">
        <v>0.45241580330387599</v>
      </c>
      <c r="K18747" s="29">
        <v>0.98289565623980701</v>
      </c>
    </row>
    <row r="18748" spans="1:11" x14ac:dyDescent="0.35">
      <c r="A18748" s="9" t="str">
        <f>HYPERLINK("http://www.ensembl.org/id/WBGene00014107", "WBGene00014107")</f>
        <v>WBGene00014107</v>
      </c>
      <c r="B18748" s="9" t="str">
        <f>HYPERLINK("http://www.ncbi.nlm.nih.gov/gene/191442", "191442")</f>
        <v>191442</v>
      </c>
      <c r="C18748" s="9"/>
      <c r="D18748" t="str">
        <f>"ZK856.6"</f>
        <v>ZK856.6</v>
      </c>
      <c r="F18748" t="s">
        <v>11</v>
      </c>
      <c r="H18748" s="12">
        <v>2.0751616851719299</v>
      </c>
      <c r="I18748" s="20">
        <v>1.05924679415705</v>
      </c>
      <c r="J18748" s="28">
        <v>0.28948739903505699</v>
      </c>
      <c r="K18748" s="29">
        <v>0.98289565623980701</v>
      </c>
    </row>
    <row r="18749" spans="1:11" x14ac:dyDescent="0.35">
      <c r="A18749" s="9" t="str">
        <f>HYPERLINK("http://www.ensembl.org/id/WBGene00014108", "WBGene00014108")</f>
        <v>WBGene00014108</v>
      </c>
      <c r="B18749" s="9" t="str">
        <f>HYPERLINK("http://www.ncbi.nlm.nih.gov/gene/179416", "179416")</f>
        <v>179416</v>
      </c>
      <c r="C18749" s="9"/>
      <c r="D18749" t="str">
        <f>"ZK856.7"</f>
        <v>ZK856.7</v>
      </c>
      <c r="F18749" t="s">
        <v>11</v>
      </c>
      <c r="H18749" s="12">
        <v>1.15016605770934</v>
      </c>
      <c r="I18749" s="20">
        <v>0.75408807031018299</v>
      </c>
      <c r="J18749" s="28">
        <v>0.45079634027854298</v>
      </c>
      <c r="K18749" s="29">
        <v>0.98289565623980701</v>
      </c>
    </row>
    <row r="18750" spans="1:11" x14ac:dyDescent="0.35">
      <c r="A18750" s="9" t="str">
        <f>HYPERLINK("http://www.ensembl.org/id/WBGene00014116", "WBGene00014116")</f>
        <v>WBGene00014116</v>
      </c>
      <c r="B18750" s="9" t="str">
        <f>HYPERLINK("http://www.ncbi.nlm.nih.gov/gene/191443", "191443")</f>
        <v>191443</v>
      </c>
      <c r="C18750" s="9"/>
      <c r="D18750" t="str">
        <f>"ZK858.2"</f>
        <v>ZK858.2</v>
      </c>
      <c r="F18750" t="s">
        <v>11</v>
      </c>
      <c r="H18750" s="12">
        <v>-1.3158803270244099</v>
      </c>
      <c r="I18750" s="20">
        <v>-0.31068555789358598</v>
      </c>
      <c r="J18750" s="28">
        <v>0.75603967743292599</v>
      </c>
      <c r="K18750" s="29">
        <v>0.98289565623980701</v>
      </c>
    </row>
    <row r="18751" spans="1:11" x14ac:dyDescent="0.35">
      <c r="A18751" s="9" t="str">
        <f>HYPERLINK("http://www.ensembl.org/id/WBGene00014118", "WBGene00014118")</f>
        <v>WBGene00014118</v>
      </c>
      <c r="B18751" s="9" t="str">
        <f>HYPERLINK("http://www.ncbi.nlm.nih.gov/gene/172738", "172738")</f>
        <v>172738</v>
      </c>
      <c r="C18751" s="9"/>
      <c r="D18751" t="str">
        <f>"ZK858.5"</f>
        <v>ZK858.5</v>
      </c>
      <c r="E18751" t="s">
        <v>8580</v>
      </c>
      <c r="F18751" t="s">
        <v>11</v>
      </c>
      <c r="G18751" t="s">
        <v>25</v>
      </c>
      <c r="H18751" s="12">
        <v>-1.18445492235762</v>
      </c>
      <c r="I18751" s="20">
        <v>-0.71907155266656797</v>
      </c>
      <c r="J18751" s="28">
        <v>0.47209683395067797</v>
      </c>
      <c r="K18751" s="29">
        <v>0.98289565623980701</v>
      </c>
    </row>
    <row r="18752" spans="1:11" x14ac:dyDescent="0.35">
      <c r="A18752" s="9" t="str">
        <f>HYPERLINK("http://www.ensembl.org/id/WBGene00014119", "WBGene00014119")</f>
        <v>WBGene00014119</v>
      </c>
      <c r="B18752" s="9" t="str">
        <f>HYPERLINK("http://www.ncbi.nlm.nih.gov/gene/172739", "172739")</f>
        <v>172739</v>
      </c>
      <c r="C18752" s="9" t="str">
        <f>HYPERLINK("http://www.ncbi.nlm.nih.gov/gene/9777", "9777")</f>
        <v>9777</v>
      </c>
      <c r="D18752" t="str">
        <f>"ZK858.6"</f>
        <v>ZK858.6</v>
      </c>
      <c r="E18752" t="s">
        <v>7400</v>
      </c>
      <c r="F18752" t="s">
        <v>11</v>
      </c>
      <c r="G18752" t="s">
        <v>7401</v>
      </c>
      <c r="H18752" s="12">
        <v>-1.2394561884041799</v>
      </c>
      <c r="I18752" s="20">
        <v>-1.1631123557945799</v>
      </c>
      <c r="J18752" s="28">
        <v>0.244783919671091</v>
      </c>
      <c r="K18752" s="29">
        <v>0.98289565623980701</v>
      </c>
    </row>
    <row r="18753" spans="1:11" x14ac:dyDescent="0.35">
      <c r="A18753" s="9" t="str">
        <f>HYPERLINK("http://www.ensembl.org/id/WBGene00014121", "WBGene00014121")</f>
        <v>WBGene00014121</v>
      </c>
      <c r="B18753" s="9" t="str">
        <f>HYPERLINK("http://www.ncbi.nlm.nih.gov/gene/3564768", "3564768")</f>
        <v>3564768</v>
      </c>
      <c r="C18753" s="9"/>
      <c r="D18753" t="str">
        <f>"ZK858.8"</f>
        <v>ZK858.8</v>
      </c>
      <c r="F18753" t="s">
        <v>11</v>
      </c>
      <c r="H18753" s="12">
        <v>1.4623821101409</v>
      </c>
      <c r="I18753" s="20">
        <v>0.40463094906272901</v>
      </c>
      <c r="J18753" s="28">
        <v>0.68574880560476104</v>
      </c>
      <c r="K18753" s="29">
        <v>0.98289565623980701</v>
      </c>
    </row>
    <row r="18754" spans="1:11" x14ac:dyDescent="0.35">
      <c r="A18754" s="9" t="str">
        <f>HYPERLINK("http://www.ensembl.org/id/WBGene00014122", "WBGene00014122")</f>
        <v>WBGene00014122</v>
      </c>
      <c r="B18754" s="9" t="str">
        <f>HYPERLINK("http://www.ncbi.nlm.nih.gov/gene/191444", "191444")</f>
        <v>191444</v>
      </c>
      <c r="C18754" s="9"/>
      <c r="D18754" t="str">
        <f>"ZK863.1"</f>
        <v>ZK863.1</v>
      </c>
      <c r="F18754" t="s">
        <v>11</v>
      </c>
      <c r="G18754" t="s">
        <v>25</v>
      </c>
      <c r="H18754" s="12">
        <v>1.51315320085878</v>
      </c>
      <c r="I18754" s="20">
        <v>0.60876293752330501</v>
      </c>
      <c r="J18754" s="28">
        <v>0.54268158312789705</v>
      </c>
      <c r="K18754" s="29">
        <v>0.98289565623980701</v>
      </c>
    </row>
    <row r="18755" spans="1:11" x14ac:dyDescent="0.35">
      <c r="A18755" s="9" t="str">
        <f>HYPERLINK("http://www.ensembl.org/id/WBGene00014125", "WBGene00014125")</f>
        <v>WBGene00014125</v>
      </c>
      <c r="B18755" s="9" t="str">
        <f>HYPERLINK("http://www.ncbi.nlm.nih.gov/gene/259652", "259652")</f>
        <v>259652</v>
      </c>
      <c r="C18755" s="9"/>
      <c r="D18755" t="str">
        <f>"ZK863.8"</f>
        <v>ZK863.8</v>
      </c>
      <c r="F18755" t="s">
        <v>11</v>
      </c>
      <c r="G18755" t="s">
        <v>25</v>
      </c>
      <c r="H18755" s="12">
        <v>1.2509806118701099</v>
      </c>
      <c r="I18755" s="20">
        <v>1.1397781666869</v>
      </c>
      <c r="J18755" s="28">
        <v>0.25437873202619299</v>
      </c>
      <c r="K18755" s="29">
        <v>0.98289565623980701</v>
      </c>
    </row>
    <row r="18756" spans="1:11" x14ac:dyDescent="0.35">
      <c r="A18756" s="9" t="str">
        <f>HYPERLINK("http://www.ensembl.org/id/WBGene00198352", "WBGene00198352")</f>
        <v>WBGene00198352</v>
      </c>
      <c r="B18756" s="9"/>
      <c r="C18756" s="9"/>
      <c r="D18756" t="str">
        <f>"ZK867.13"</f>
        <v>ZK867.13</v>
      </c>
      <c r="F18756" t="s">
        <v>481</v>
      </c>
      <c r="H18756" s="12">
        <v>-2.4991590031922399</v>
      </c>
      <c r="I18756" s="20">
        <v>-0.26577412737581302</v>
      </c>
      <c r="J18756" s="28">
        <v>0.79041317015736101</v>
      </c>
      <c r="K18756" s="29">
        <v>0.98289565623980701</v>
      </c>
    </row>
    <row r="18757" spans="1:11" x14ac:dyDescent="0.35">
      <c r="A18757" s="9" t="str">
        <f>HYPERLINK("http://www.ensembl.org/id/WBGene00198571", "WBGene00198571")</f>
        <v>WBGene00198571</v>
      </c>
      <c r="B18757" s="9"/>
      <c r="C18757" s="9"/>
      <c r="D18757" t="str">
        <f>"ZK867.14"</f>
        <v>ZK867.14</v>
      </c>
      <c r="F18757" t="s">
        <v>481</v>
      </c>
      <c r="H18757" s="12">
        <v>2.3893468495514898</v>
      </c>
      <c r="I18757" s="20">
        <v>0.25323547253672701</v>
      </c>
      <c r="J18757" s="28">
        <v>0.80008625651646104</v>
      </c>
      <c r="K18757" s="29">
        <v>0.98289565623980701</v>
      </c>
    </row>
    <row r="18758" spans="1:11" x14ac:dyDescent="0.35">
      <c r="A18758" s="9" t="str">
        <f>HYPERLINK("http://www.ensembl.org/id/WBGene00199711", "WBGene00199711")</f>
        <v>WBGene00199711</v>
      </c>
      <c r="B18758" s="9"/>
      <c r="C18758" s="9"/>
      <c r="D18758" t="str">
        <f>"ZK867.17"</f>
        <v>ZK867.17</v>
      </c>
      <c r="F18758" t="s">
        <v>481</v>
      </c>
      <c r="H18758" s="12">
        <v>2.3893468495514898</v>
      </c>
      <c r="I18758" s="20">
        <v>0.25323547253672701</v>
      </c>
      <c r="J18758" s="28">
        <v>0.80008625651646104</v>
      </c>
      <c r="K18758" s="29">
        <v>0.98289565623980701</v>
      </c>
    </row>
    <row r="18759" spans="1:11" x14ac:dyDescent="0.35">
      <c r="A18759" s="9" t="str">
        <f>HYPERLINK("http://www.ensembl.org/id/WBGene00022829", "WBGene00022829")</f>
        <v>WBGene00022829</v>
      </c>
      <c r="B18759" s="9" t="str">
        <f>HYPERLINK("http://www.ncbi.nlm.nih.gov/gene/191445", "191445")</f>
        <v>191445</v>
      </c>
      <c r="C18759" s="9"/>
      <c r="D18759" t="str">
        <f>"ZK867.2"</f>
        <v>ZK867.2</v>
      </c>
      <c r="F18759" t="s">
        <v>11</v>
      </c>
      <c r="G18759" t="s">
        <v>4480</v>
      </c>
      <c r="H18759" s="12">
        <v>1.8949974733025701</v>
      </c>
      <c r="I18759" s="20">
        <v>0.63820219260510302</v>
      </c>
      <c r="J18759" s="28">
        <v>0.52334207010584799</v>
      </c>
      <c r="K18759" s="29">
        <v>0.98289565623980701</v>
      </c>
    </row>
    <row r="18760" spans="1:11" x14ac:dyDescent="0.35">
      <c r="A18760" s="9" t="str">
        <f>HYPERLINK("http://www.ensembl.org/id/WBGene00195481", "WBGene00195481")</f>
        <v>WBGene00195481</v>
      </c>
      <c r="B18760" s="9"/>
      <c r="C18760" s="9"/>
      <c r="D18760" t="str">
        <f>"ZK867.6"</f>
        <v>ZK867.6</v>
      </c>
      <c r="F18760" t="s">
        <v>481</v>
      </c>
      <c r="H18760" s="12">
        <v>2.3893468495514898</v>
      </c>
      <c r="I18760" s="20">
        <v>0.25323547253672701</v>
      </c>
      <c r="J18760" s="28">
        <v>0.80008625651646104</v>
      </c>
      <c r="K18760" s="29">
        <v>0.98289565623980701</v>
      </c>
    </row>
    <row r="18761" spans="1:11" x14ac:dyDescent="0.35">
      <c r="A18761" s="9" t="str">
        <f>HYPERLINK("http://www.ensembl.org/id/WBGene00196005", "WBGene00196005")</f>
        <v>WBGene00196005</v>
      </c>
      <c r="B18761" s="9"/>
      <c r="C18761" s="9"/>
      <c r="D18761" t="str">
        <f>"ZK867.8"</f>
        <v>ZK867.8</v>
      </c>
      <c r="F18761" t="s">
        <v>481</v>
      </c>
      <c r="H18761" s="12">
        <v>2.3893468495514898</v>
      </c>
      <c r="I18761" s="20">
        <v>0.25323547253672701</v>
      </c>
      <c r="J18761" s="28">
        <v>0.80008625651646104</v>
      </c>
      <c r="K18761" s="29">
        <v>0.98289565623980701</v>
      </c>
    </row>
    <row r="18762" spans="1:11" x14ac:dyDescent="0.35">
      <c r="A18762" s="9" t="str">
        <f>HYPERLINK("http://www.ensembl.org/id/WBGene00197072", "WBGene00197072")</f>
        <v>WBGene00197072</v>
      </c>
      <c r="B18762" s="9"/>
      <c r="C18762" s="9"/>
      <c r="D18762" t="str">
        <f>"ZK867.9"</f>
        <v>ZK867.9</v>
      </c>
      <c r="F18762" t="s">
        <v>481</v>
      </c>
      <c r="H18762" s="12">
        <v>-1.9639834104423499</v>
      </c>
      <c r="I18762" s="20">
        <v>-0.304963748067278</v>
      </c>
      <c r="J18762" s="28">
        <v>0.76039376277098603</v>
      </c>
      <c r="K18762" s="29">
        <v>0.98289565623980701</v>
      </c>
    </row>
    <row r="18763" spans="1:11" x14ac:dyDescent="0.35">
      <c r="A18763" s="9" t="str">
        <f>HYPERLINK("http://www.ensembl.org/id/WBGene00014127", "WBGene00014127")</f>
        <v>WBGene00014127</v>
      </c>
      <c r="B18763" s="9" t="str">
        <f>HYPERLINK("http://www.ncbi.nlm.nih.gov/gene/174558", "174558")</f>
        <v>174558</v>
      </c>
      <c r="C18763" s="9"/>
      <c r="D18763" t="str">
        <f>"ZK892.3"</f>
        <v>ZK892.3</v>
      </c>
      <c r="F18763" t="s">
        <v>11</v>
      </c>
      <c r="G18763" t="s">
        <v>230</v>
      </c>
      <c r="H18763" s="12">
        <v>4.6654079932490999</v>
      </c>
      <c r="I18763" s="20">
        <v>0.52614446217109401</v>
      </c>
      <c r="J18763" s="28">
        <v>0.59878783828128901</v>
      </c>
      <c r="K18763" s="29">
        <v>0.98289565623980701</v>
      </c>
    </row>
    <row r="18764" spans="1:11" x14ac:dyDescent="0.35">
      <c r="A18764" s="9" t="str">
        <f>HYPERLINK("http://www.ensembl.org/id/WBGene00014128", "WBGene00014128")</f>
        <v>WBGene00014128</v>
      </c>
      <c r="B18764" s="9" t="str">
        <f>HYPERLINK("http://www.ncbi.nlm.nih.gov/gene/174559", "174559")</f>
        <v>174559</v>
      </c>
      <c r="C18764" s="9" t="str">
        <f>HYPERLINK("http://www.ncbi.nlm.nih.gov/gene/23600", "23600")</f>
        <v>23600</v>
      </c>
      <c r="D18764" t="str">
        <f>"ZK892.4"</f>
        <v>ZK892.4</v>
      </c>
      <c r="E18764" t="s">
        <v>4321</v>
      </c>
      <c r="F18764" t="s">
        <v>11</v>
      </c>
      <c r="G18764" t="s">
        <v>4322</v>
      </c>
      <c r="H18764" s="12">
        <v>3.09224890403117</v>
      </c>
      <c r="I18764" s="20">
        <v>0.97298366293094196</v>
      </c>
      <c r="J18764" s="28">
        <v>0.330561421762955</v>
      </c>
      <c r="K18764" s="29">
        <v>0.98289565623980701</v>
      </c>
    </row>
    <row r="18765" spans="1:11" x14ac:dyDescent="0.35">
      <c r="A18765" s="9" t="str">
        <f>HYPERLINK("http://www.ensembl.org/id/WBGene00014130", "WBGene00014130")</f>
        <v>WBGene00014130</v>
      </c>
      <c r="B18765" s="9" t="str">
        <f>HYPERLINK("http://www.ncbi.nlm.nih.gov/gene/191447", "191447")</f>
        <v>191447</v>
      </c>
      <c r="C18765" s="9"/>
      <c r="D18765" t="str">
        <f>"ZK892.6"</f>
        <v>ZK892.6</v>
      </c>
      <c r="F18765" t="s">
        <v>11</v>
      </c>
      <c r="H18765" s="12">
        <v>-4.7128502946836504</v>
      </c>
      <c r="I18765" s="20">
        <v>-0.731622533166987</v>
      </c>
      <c r="J18765" s="28">
        <v>0.464398990942954</v>
      </c>
      <c r="K18765" s="29">
        <v>0.98289565623980701</v>
      </c>
    </row>
    <row r="18766" spans="1:11" x14ac:dyDescent="0.35">
      <c r="A18766" s="9" t="str">
        <f>HYPERLINK("http://www.ensembl.org/id/WBGene00014132", "WBGene00014132")</f>
        <v>WBGene00014132</v>
      </c>
      <c r="B18766" s="9" t="str">
        <f>HYPERLINK("http://www.ncbi.nlm.nih.gov/gene/191449", "191449")</f>
        <v>191449</v>
      </c>
      <c r="C18766" s="9"/>
      <c r="D18766" t="str">
        <f>"ZK896.1"</f>
        <v>ZK896.1</v>
      </c>
      <c r="F18766" t="s">
        <v>11</v>
      </c>
      <c r="H18766" s="12">
        <v>-2.1495389970185501</v>
      </c>
      <c r="I18766" s="20">
        <v>-1.03002019655772</v>
      </c>
      <c r="J18766" s="28">
        <v>0.30300052485514101</v>
      </c>
      <c r="K18766" s="29">
        <v>0.98289565623980701</v>
      </c>
    </row>
    <row r="18767" spans="1:11" x14ac:dyDescent="0.35">
      <c r="A18767" s="9" t="str">
        <f>HYPERLINK("http://www.ensembl.org/id/WBGene00014134", "WBGene00014134")</f>
        <v>WBGene00014134</v>
      </c>
      <c r="B18767" s="9"/>
      <c r="C18767" s="9"/>
      <c r="D18767" t="str">
        <f>"ZK896.3"</f>
        <v>ZK896.3</v>
      </c>
      <c r="F18767" t="s">
        <v>80</v>
      </c>
      <c r="H18767" s="12">
        <v>2.82816636627809</v>
      </c>
      <c r="I18767" s="20">
        <v>1.0406985259364001</v>
      </c>
      <c r="J18767" s="28">
        <v>0.29801548757479202</v>
      </c>
      <c r="K18767" s="29">
        <v>0.98289565623980701</v>
      </c>
    </row>
    <row r="18768" spans="1:11" x14ac:dyDescent="0.35">
      <c r="A18768" s="9" t="str">
        <f>HYPERLINK("http://www.ensembl.org/id/WBGene00014136", "WBGene00014136")</f>
        <v>WBGene00014136</v>
      </c>
      <c r="B18768" s="9" t="str">
        <f>HYPERLINK("http://www.ncbi.nlm.nih.gov/gene/178239", "178239")</f>
        <v>178239</v>
      </c>
      <c r="C18768" s="9"/>
      <c r="D18768" t="str">
        <f>"ZK896.5"</f>
        <v>ZK896.5</v>
      </c>
      <c r="F18768" t="s">
        <v>11</v>
      </c>
      <c r="H18768" s="12">
        <v>-1.34987023871824</v>
      </c>
      <c r="I18768" s="20">
        <v>-0.70745039397531995</v>
      </c>
      <c r="J18768" s="28">
        <v>0.47928662950531697</v>
      </c>
      <c r="K18768" s="29">
        <v>0.98289565623980701</v>
      </c>
    </row>
    <row r="18769" spans="1:11" x14ac:dyDescent="0.35">
      <c r="A18769" s="9" t="str">
        <f>HYPERLINK("http://www.ensembl.org/id/WBGene00206520", "WBGene00206520")</f>
        <v>WBGene00206520</v>
      </c>
      <c r="B18769" s="9" t="str">
        <f>HYPERLINK("http://www.ncbi.nlm.nih.gov/gene/13198689", "13198689")</f>
        <v>13198689</v>
      </c>
      <c r="C18769" s="9"/>
      <c r="D18769" t="str">
        <f>"ZK897.10"</f>
        <v>ZK897.10</v>
      </c>
      <c r="F18769" t="s">
        <v>11</v>
      </c>
      <c r="H18769" s="12">
        <v>7.8165822876177797</v>
      </c>
      <c r="I18769" s="20">
        <v>1.0475179707613</v>
      </c>
      <c r="J18769" s="28">
        <v>0.29486074825063202</v>
      </c>
      <c r="K18769" s="29">
        <v>0.98289565623980701</v>
      </c>
    </row>
    <row r="18770" spans="1:11" x14ac:dyDescent="0.35">
      <c r="A18770" s="9" t="str">
        <f>HYPERLINK("http://www.ensembl.org/id/WBGene00014633", "WBGene00014633")</f>
        <v>WBGene00014633</v>
      </c>
      <c r="B18770" s="9"/>
      <c r="C18770" s="9"/>
      <c r="D18770" t="str">
        <f>"ZK897.4"</f>
        <v>ZK897.4</v>
      </c>
      <c r="F18770" t="s">
        <v>4205</v>
      </c>
      <c r="H18770" s="12">
        <v>-2.3164876816341802</v>
      </c>
      <c r="I18770" s="20">
        <v>-0.35730505342263802</v>
      </c>
      <c r="J18770" s="28">
        <v>0.72086344727256502</v>
      </c>
      <c r="K18770" s="29">
        <v>0.98289565623980701</v>
      </c>
    </row>
    <row r="18771" spans="1:11" x14ac:dyDescent="0.35">
      <c r="A18771" s="9" t="str">
        <f>HYPERLINK("http://www.ensembl.org/id/WBGene00014140", "WBGene00014140")</f>
        <v>WBGene00014140</v>
      </c>
      <c r="B18771" s="9" t="str">
        <f>HYPERLINK("http://www.ncbi.nlm.nih.gov/gene/191453", "191453")</f>
        <v>191453</v>
      </c>
      <c r="C18771" s="9"/>
      <c r="D18771" t="str">
        <f>"ZK899.1"</f>
        <v>ZK899.1</v>
      </c>
      <c r="F18771" t="s">
        <v>11</v>
      </c>
      <c r="H18771" s="12">
        <v>-1.20049807492067</v>
      </c>
      <c r="I18771" s="20">
        <v>-0.78658427730204294</v>
      </c>
      <c r="J18771" s="28">
        <v>0.43152526615387199</v>
      </c>
      <c r="K18771" s="29">
        <v>0.98289565623980701</v>
      </c>
    </row>
    <row r="18772" spans="1:11" x14ac:dyDescent="0.35">
      <c r="A18772" s="9" t="str">
        <f>HYPERLINK("http://www.ensembl.org/id/WBGene00200901", "WBGene00200901")</f>
        <v>WBGene00200901</v>
      </c>
      <c r="B18772" s="9"/>
      <c r="C18772" s="9"/>
      <c r="D18772" t="str">
        <f>"ZK899.11"</f>
        <v>ZK899.11</v>
      </c>
      <c r="F18772" t="s">
        <v>481</v>
      </c>
      <c r="H18772" s="12">
        <v>2.4578120077400301</v>
      </c>
      <c r="I18772" s="20">
        <v>0.26093350314551</v>
      </c>
      <c r="J18772" s="28">
        <v>0.79414378780213601</v>
      </c>
      <c r="K18772" s="29">
        <v>0.98289565623980701</v>
      </c>
    </row>
    <row r="18773" spans="1:11" x14ac:dyDescent="0.35">
      <c r="A18773" s="9" t="str">
        <f>HYPERLINK("http://www.ensembl.org/id/WBGene00014141", "WBGene00014141")</f>
        <v>WBGene00014141</v>
      </c>
      <c r="B18773" s="9" t="str">
        <f>HYPERLINK("http://www.ncbi.nlm.nih.gov/gene/181171", "181171")</f>
        <v>181171</v>
      </c>
      <c r="C18773" s="9"/>
      <c r="D18773" t="str">
        <f>"ZK899.2"</f>
        <v>ZK899.2</v>
      </c>
      <c r="F18773" t="s">
        <v>11</v>
      </c>
      <c r="G18773" t="s">
        <v>25</v>
      </c>
      <c r="H18773" s="12">
        <v>-1.0944053791570301</v>
      </c>
      <c r="I18773" s="20">
        <v>-0.44290709377510801</v>
      </c>
      <c r="J18773" s="28">
        <v>0.65783293619301197</v>
      </c>
      <c r="K18773" s="29">
        <v>0.98289565623980701</v>
      </c>
    </row>
    <row r="18774" spans="1:11" x14ac:dyDescent="0.35">
      <c r="A18774" s="9" t="str">
        <f>HYPERLINK("http://www.ensembl.org/id/WBGene00014143", "WBGene00014143")</f>
        <v>WBGene00014143</v>
      </c>
      <c r="B18774" s="9" t="str">
        <f>HYPERLINK("http://www.ncbi.nlm.nih.gov/gene/191456", "191456")</f>
        <v>191456</v>
      </c>
      <c r="C18774" s="9"/>
      <c r="D18774" t="str">
        <f>"ZK899.5"</f>
        <v>ZK899.5</v>
      </c>
      <c r="F18774" t="s">
        <v>11</v>
      </c>
      <c r="H18774" s="12">
        <v>-1.82457744531572</v>
      </c>
      <c r="I18774" s="20">
        <v>-0.86270058606637401</v>
      </c>
      <c r="J18774" s="28">
        <v>0.38830211008790499</v>
      </c>
      <c r="K18774" s="29">
        <v>0.98289565623980701</v>
      </c>
    </row>
    <row r="18775" spans="1:11" x14ac:dyDescent="0.35">
      <c r="A18775" s="9" t="str">
        <f>HYPERLINK("http://www.ensembl.org/id/WBGene00014144", "WBGene00014144")</f>
        <v>WBGene00014144</v>
      </c>
      <c r="B18775" s="9" t="str">
        <f>HYPERLINK("http://www.ncbi.nlm.nih.gov/gene/191457", "191457")</f>
        <v>191457</v>
      </c>
      <c r="C18775" s="9"/>
      <c r="D18775" t="str">
        <f>"ZK899.6"</f>
        <v>ZK899.6</v>
      </c>
      <c r="F18775" t="s">
        <v>11</v>
      </c>
      <c r="H18775" s="12">
        <v>-1.3202812731418001</v>
      </c>
      <c r="I18775" s="20">
        <v>-0.54017405457128997</v>
      </c>
      <c r="J18775" s="28">
        <v>0.58907700377397798</v>
      </c>
      <c r="K18775" s="29">
        <v>0.98289565623980701</v>
      </c>
    </row>
    <row r="18776" spans="1:11" x14ac:dyDescent="0.35">
      <c r="A18776" s="9" t="str">
        <f>HYPERLINK("http://www.ensembl.org/id/WBGene00014145", "WBGene00014145")</f>
        <v>WBGene00014145</v>
      </c>
      <c r="B18776" s="9" t="str">
        <f>HYPERLINK("http://www.ncbi.nlm.nih.gov/gene/191458", "191458")</f>
        <v>191458</v>
      </c>
      <c r="C18776" s="9"/>
      <c r="D18776" t="str">
        <f>"ZK899.7"</f>
        <v>ZK899.7</v>
      </c>
      <c r="F18776" t="s">
        <v>11</v>
      </c>
      <c r="H18776" s="12">
        <v>1.9200246427977501</v>
      </c>
      <c r="I18776" s="20">
        <v>1.03552208583786</v>
      </c>
      <c r="J18776" s="28">
        <v>0.30042515758000699</v>
      </c>
      <c r="K18776" s="29">
        <v>0.98289565623980701</v>
      </c>
    </row>
    <row r="18777" spans="1:11" x14ac:dyDescent="0.35">
      <c r="A18777" s="9" t="str">
        <f>HYPERLINK("http://www.ensembl.org/id/WBGene00201365", "WBGene00201365")</f>
        <v>WBGene00201365</v>
      </c>
      <c r="B18777" s="9"/>
      <c r="C18777" s="9"/>
      <c r="D18777" t="str">
        <f>"ZK930.12"</f>
        <v>ZK930.12</v>
      </c>
      <c r="F18777" t="s">
        <v>481</v>
      </c>
      <c r="H18777" s="12">
        <v>-1.5181495036520001</v>
      </c>
      <c r="I18777" s="20">
        <v>-0.50784675703582005</v>
      </c>
      <c r="J18777" s="28">
        <v>0.61156081627506198</v>
      </c>
      <c r="K18777" s="29">
        <v>0.98289565623980701</v>
      </c>
    </row>
    <row r="18778" spans="1:11" x14ac:dyDescent="0.35">
      <c r="A18778" s="9" t="str">
        <f>HYPERLINK("http://www.ensembl.org/id/WBGene00014154", "WBGene00014154")</f>
        <v>WBGene00014154</v>
      </c>
      <c r="B18778" s="9" t="str">
        <f>HYPERLINK("http://www.ncbi.nlm.nih.gov/gene/191464", "191464")</f>
        <v>191464</v>
      </c>
      <c r="C18778" s="9"/>
      <c r="D18778" t="str">
        <f>"ZK930.4"</f>
        <v>ZK930.4</v>
      </c>
      <c r="F18778" t="s">
        <v>11</v>
      </c>
      <c r="H18778" s="12">
        <v>1.41750451263712</v>
      </c>
      <c r="I18778" s="20">
        <v>0.38293198748614199</v>
      </c>
      <c r="J18778" s="28">
        <v>0.70177019320216805</v>
      </c>
      <c r="K18778" s="29">
        <v>0.98289565623980701</v>
      </c>
    </row>
    <row r="18779" spans="1:11" x14ac:dyDescent="0.35">
      <c r="A18779" s="9" t="str">
        <f>HYPERLINK("http://www.ensembl.org/id/WBGene00014155", "WBGene00014155")</f>
        <v>WBGene00014155</v>
      </c>
      <c r="B18779" s="9" t="str">
        <f>HYPERLINK("http://www.ncbi.nlm.nih.gov/gene/191465", "191465")</f>
        <v>191465</v>
      </c>
      <c r="C18779" s="9"/>
      <c r="D18779" t="str">
        <f>"ZK930.5"</f>
        <v>ZK930.5</v>
      </c>
      <c r="F18779" t="s">
        <v>11</v>
      </c>
      <c r="H18779" s="12">
        <v>11.186874698463701</v>
      </c>
      <c r="I18779" s="20">
        <v>1.2042824821923299</v>
      </c>
      <c r="J18779" s="28">
        <v>0.22848041511747699</v>
      </c>
      <c r="K18779" s="29">
        <v>0.98289565623980701</v>
      </c>
    </row>
    <row r="18780" spans="1:11" x14ac:dyDescent="0.35">
      <c r="A18780" s="9" t="str">
        <f>HYPERLINK("http://www.ensembl.org/id/WBGene00202513", "WBGene00202513")</f>
        <v>WBGene00202513</v>
      </c>
      <c r="B18780" s="9" t="str">
        <f>HYPERLINK("http://www.ncbi.nlm.nih.gov/gene/13186618", "13186618")</f>
        <v>13186618</v>
      </c>
      <c r="C18780" s="9"/>
      <c r="D18780" t="str">
        <f>"ZK938.10"</f>
        <v>ZK938.10</v>
      </c>
      <c r="F18780" t="s">
        <v>11</v>
      </c>
      <c r="G18780" t="s">
        <v>25</v>
      </c>
      <c r="H18780" s="12">
        <v>2.1175574480343</v>
      </c>
      <c r="I18780" s="20">
        <v>0.62317131524448099</v>
      </c>
      <c r="J18780" s="28">
        <v>0.53317194948482005</v>
      </c>
      <c r="K18780" s="29">
        <v>0.98289565623980701</v>
      </c>
    </row>
    <row r="18781" spans="1:11" x14ac:dyDescent="0.35">
      <c r="A18781" s="9" t="str">
        <f>HYPERLINK("http://www.ensembl.org/id/WBGene00270290", "WBGene00270290")</f>
        <v>WBGene00270290</v>
      </c>
      <c r="B18781" s="9" t="str">
        <f>HYPERLINK("http://www.ncbi.nlm.nih.gov/gene/28661663", "28661663")</f>
        <v>28661663</v>
      </c>
      <c r="C18781" s="9"/>
      <c r="D18781" t="str">
        <f>"ZK938.11"</f>
        <v>ZK938.11</v>
      </c>
      <c r="F18781" t="s">
        <v>11</v>
      </c>
      <c r="G18781" t="s">
        <v>378</v>
      </c>
      <c r="H18781" s="12">
        <v>1.5132201394982701</v>
      </c>
      <c r="I18781" s="20">
        <v>0.50728345958945797</v>
      </c>
      <c r="J18781" s="28">
        <v>0.61195594250388496</v>
      </c>
      <c r="K18781" s="29">
        <v>0.98289565623980701</v>
      </c>
    </row>
    <row r="18782" spans="1:11" x14ac:dyDescent="0.35">
      <c r="A18782" s="9" t="str">
        <f>HYPERLINK("http://www.ensembl.org/id/WBGene00014160", "WBGene00014160")</f>
        <v>WBGene00014160</v>
      </c>
      <c r="B18782" s="9" t="str">
        <f>HYPERLINK("http://www.ncbi.nlm.nih.gov/gene/191468", "191468")</f>
        <v>191468</v>
      </c>
      <c r="C18782" s="9"/>
      <c r="D18782" t="str">
        <f>"ZK938.3"</f>
        <v>ZK938.3</v>
      </c>
      <c r="F18782" t="s">
        <v>11</v>
      </c>
      <c r="G18782" t="s">
        <v>4527</v>
      </c>
      <c r="H18782" s="12">
        <v>1.7679890544077499</v>
      </c>
      <c r="I18782" s="20">
        <v>0.59871070401971804</v>
      </c>
      <c r="J18782" s="28">
        <v>0.549365817978131</v>
      </c>
      <c r="K18782" s="29">
        <v>0.98289565623980701</v>
      </c>
    </row>
    <row r="18783" spans="1:11" x14ac:dyDescent="0.35">
      <c r="A18783" s="9" t="str">
        <f>HYPERLINK("http://www.ensembl.org/id/WBGene00014166", "WBGene00014166")</f>
        <v>WBGene00014166</v>
      </c>
      <c r="B18783" s="9" t="str">
        <f>HYPERLINK("http://www.ncbi.nlm.nih.gov/gene/174573", "174573")</f>
        <v>174573</v>
      </c>
      <c r="C18783" s="9"/>
      <c r="D18783" t="str">
        <f>"ZK945.4"</f>
        <v>ZK945.4</v>
      </c>
      <c r="E18783" t="s">
        <v>7479</v>
      </c>
      <c r="F18783" t="s">
        <v>11</v>
      </c>
      <c r="G18783" t="s">
        <v>3465</v>
      </c>
      <c r="H18783" s="12">
        <v>-1.12827307664937</v>
      </c>
      <c r="I18783" s="20">
        <v>-0.41976110240339398</v>
      </c>
      <c r="J18783" s="28">
        <v>0.67465998319981402</v>
      </c>
      <c r="K18783" s="29">
        <v>0.98289565623980701</v>
      </c>
    </row>
    <row r="18784" spans="1:11" x14ac:dyDescent="0.35">
      <c r="A18784" s="9" t="str">
        <f>HYPERLINK("http://www.ensembl.org/id/WBGene00014168", "WBGene00014168")</f>
        <v>WBGene00014168</v>
      </c>
      <c r="B18784" s="9" t="str">
        <f>HYPERLINK("http://www.ncbi.nlm.nih.gov/gene/174574", "174574")</f>
        <v>174574</v>
      </c>
      <c r="C18784" s="9"/>
      <c r="D18784" t="str">
        <f>"ZK945.6"</f>
        <v>ZK945.6</v>
      </c>
      <c r="F18784" t="s">
        <v>11</v>
      </c>
      <c r="H18784" s="12">
        <v>-4.1486965442300701</v>
      </c>
      <c r="I18784" s="20">
        <v>-0.56951198019384397</v>
      </c>
      <c r="J18784" s="28">
        <v>0.56900874288413705</v>
      </c>
      <c r="K18784" s="29">
        <v>0.98289565623980701</v>
      </c>
    </row>
    <row r="18785" spans="1:11" x14ac:dyDescent="0.35">
      <c r="A18785" s="9" t="str">
        <f>HYPERLINK("http://www.ensembl.org/id/WBGene00014169", "WBGene00014169")</f>
        <v>WBGene00014169</v>
      </c>
      <c r="B18785" s="9" t="str">
        <f>HYPERLINK("http://www.ncbi.nlm.nih.gov/gene/174575", "174575")</f>
        <v>174575</v>
      </c>
      <c r="C18785" s="9"/>
      <c r="D18785" t="str">
        <f>"ZK945.7"</f>
        <v>ZK945.7</v>
      </c>
      <c r="F18785" t="s">
        <v>11</v>
      </c>
      <c r="H18785" s="12">
        <v>1.27957652327919</v>
      </c>
      <c r="I18785" s="20">
        <v>0.36134628710845701</v>
      </c>
      <c r="J18785" s="28">
        <v>0.71784059574835501</v>
      </c>
      <c r="K18785" s="29">
        <v>0.98289565623980701</v>
      </c>
    </row>
    <row r="18786" spans="1:11" x14ac:dyDescent="0.35">
      <c r="A18786" s="9" t="str">
        <f>HYPERLINK("http://www.ensembl.org/id/WBGene00014170", "WBGene00014170")</f>
        <v>WBGene00014170</v>
      </c>
      <c r="B18786" s="9" t="str">
        <f>HYPERLINK("http://www.ncbi.nlm.nih.gov/gene/191472", "191472")</f>
        <v>191472</v>
      </c>
      <c r="C18786" s="9"/>
      <c r="D18786" t="str">
        <f>"ZK945.8"</f>
        <v>ZK945.8</v>
      </c>
      <c r="F18786" t="s">
        <v>11</v>
      </c>
      <c r="G18786" t="s">
        <v>4377</v>
      </c>
      <c r="H18786" s="12">
        <v>-6.0496137383913799</v>
      </c>
      <c r="I18786" s="20">
        <v>-0.52919567380265498</v>
      </c>
      <c r="J18786" s="28">
        <v>0.59666971747150499</v>
      </c>
      <c r="K18786" s="29">
        <v>0.98289565623980701</v>
      </c>
    </row>
    <row r="18787" spans="1:11" x14ac:dyDescent="0.35">
      <c r="A18787" s="9" t="str">
        <f>HYPERLINK("http://www.ensembl.org/id/WBGene00014173", "WBGene00014173")</f>
        <v>WBGene00014173</v>
      </c>
      <c r="B18787" s="9" t="str">
        <f>HYPERLINK("http://www.ncbi.nlm.nih.gov/gene/191473", "191473")</f>
        <v>191473</v>
      </c>
      <c r="C18787" s="9"/>
      <c r="D18787" t="str">
        <f>"ZK970.7"</f>
        <v>ZK970.7</v>
      </c>
      <c r="F18787" t="s">
        <v>11</v>
      </c>
      <c r="H18787" s="12">
        <v>1.15029462572081</v>
      </c>
      <c r="I18787" s="20">
        <v>0.29472188517169501</v>
      </c>
      <c r="J18787" s="28">
        <v>0.76820634342540595</v>
      </c>
      <c r="K18787" s="29">
        <v>0.98289565623980701</v>
      </c>
    </row>
    <row r="18788" spans="1:11" x14ac:dyDescent="0.35">
      <c r="A18788" s="9" t="str">
        <f>HYPERLINK("http://www.ensembl.org/id/WBGene00014174", "WBGene00014174")</f>
        <v>WBGene00014174</v>
      </c>
      <c r="B18788" s="9" t="str">
        <f>HYPERLINK("http://www.ncbi.nlm.nih.gov/gene/3565809", "3565809")</f>
        <v>3565809</v>
      </c>
      <c r="C18788" s="9"/>
      <c r="D18788" t="str">
        <f>"ZK970.8"</f>
        <v>ZK970.8</v>
      </c>
      <c r="F18788" t="s">
        <v>11</v>
      </c>
      <c r="G18788" t="s">
        <v>10033</v>
      </c>
      <c r="H18788" s="12">
        <v>-1.94733562863373</v>
      </c>
      <c r="I18788" s="20">
        <v>-0.388951989567136</v>
      </c>
      <c r="J18788" s="28">
        <v>0.69731166212002305</v>
      </c>
      <c r="K18788" s="29">
        <v>0.98289565623980701</v>
      </c>
    </row>
    <row r="18789" spans="1:11" x14ac:dyDescent="0.35">
      <c r="A18789" s="9" t="str">
        <f>HYPERLINK("http://www.ensembl.org/id/WBGene00014175", "WBGene00014175")</f>
        <v>WBGene00014175</v>
      </c>
      <c r="B18789" s="9" t="str">
        <f>HYPERLINK("http://www.ncbi.nlm.nih.gov/gene/174592", "174592")</f>
        <v>174592</v>
      </c>
      <c r="C18789" s="9"/>
      <c r="D18789" t="str">
        <f>"ZK971.1"</f>
        <v>ZK971.1</v>
      </c>
      <c r="F18789" t="s">
        <v>11</v>
      </c>
      <c r="H18789" s="12">
        <v>1.1572182771270301</v>
      </c>
      <c r="I18789" s="20">
        <v>0.61239759499083701</v>
      </c>
      <c r="J18789" s="28">
        <v>0.54027473262845804</v>
      </c>
      <c r="K18789" s="29">
        <v>0.98289565623980701</v>
      </c>
    </row>
    <row r="18790" spans="1:11" x14ac:dyDescent="0.35">
      <c r="A18790" s="9" t="str">
        <f>HYPERLINK("http://www.ensembl.org/id/WBGene00022833", "WBGene00022833")</f>
        <v>WBGene00022833</v>
      </c>
      <c r="B18790" s="9" t="str">
        <f>HYPERLINK("http://www.ncbi.nlm.nih.gov/gene/191478", "191478")</f>
        <v>191478</v>
      </c>
      <c r="C18790" s="9"/>
      <c r="D18790" t="str">
        <f>"ZK973.4"</f>
        <v>ZK973.4</v>
      </c>
      <c r="F18790" t="s">
        <v>11</v>
      </c>
      <c r="H18790" s="12">
        <v>7.6616465944663696</v>
      </c>
      <c r="I18790" s="20">
        <v>0.60406875593600395</v>
      </c>
      <c r="J18790" s="28">
        <v>0.54579793098927099</v>
      </c>
      <c r="K18790" s="29">
        <v>0.98289565623980701</v>
      </c>
    </row>
    <row r="18791" spans="1:11" x14ac:dyDescent="0.35">
      <c r="A18791" s="9" t="str">
        <f>HYPERLINK("http://www.ensembl.org/id/WBGene00022834", "WBGene00022834")</f>
        <v>WBGene00022834</v>
      </c>
      <c r="B18791" s="9" t="str">
        <f>HYPERLINK("http://www.ncbi.nlm.nih.gov/gene/191480", "191480")</f>
        <v>191480</v>
      </c>
      <c r="C18791" s="9"/>
      <c r="D18791" t="str">
        <f>"ZK973.8"</f>
        <v>ZK973.8</v>
      </c>
      <c r="F18791" t="s">
        <v>11</v>
      </c>
      <c r="H18791" s="12">
        <v>1.27193969540832</v>
      </c>
      <c r="I18791" s="20">
        <v>0.37298962077230702</v>
      </c>
      <c r="J18791" s="28">
        <v>0.70915616888837796</v>
      </c>
      <c r="K18791" s="29">
        <v>0.98289565623980701</v>
      </c>
    </row>
    <row r="18792" spans="1:11" x14ac:dyDescent="0.35">
      <c r="A18792" s="9" t="str">
        <f>HYPERLINK("http://www.ensembl.org/id/WBGene00022838", "WBGene00022838")</f>
        <v>WBGene00022838</v>
      </c>
      <c r="B18792" s="9" t="str">
        <f>HYPERLINK("http://www.ncbi.nlm.nih.gov/gene/191481", "191481")</f>
        <v>191481</v>
      </c>
      <c r="C18792" s="9"/>
      <c r="D18792" t="str">
        <f>"ZK993.2"</f>
        <v>ZK993.2</v>
      </c>
      <c r="F18792" t="s">
        <v>11</v>
      </c>
      <c r="H18792" s="12">
        <v>-2.3558424838283401</v>
      </c>
      <c r="I18792" s="20">
        <v>-0.87600100996091401</v>
      </c>
      <c r="J18792" s="28">
        <v>0.38102948472891401</v>
      </c>
      <c r="K18792" s="29">
        <v>0.98289565623980701</v>
      </c>
    </row>
    <row r="18793" spans="1:11" x14ac:dyDescent="0.35">
      <c r="A18793" s="9" t="str">
        <f>HYPERLINK("http://www.ensembl.org/id/WBGene00236809", "WBGene00236809")</f>
        <v>WBGene00236809</v>
      </c>
      <c r="B18793" s="9" t="str">
        <f>HYPERLINK("http://www.ncbi.nlm.nih.gov/gene/24105306", "24105306")</f>
        <v>24105306</v>
      </c>
      <c r="C18793" s="9"/>
      <c r="D18793" t="str">
        <f>"ZK993.5"</f>
        <v>ZK993.5</v>
      </c>
      <c r="F18793" t="s">
        <v>11</v>
      </c>
      <c r="G18793" t="s">
        <v>51</v>
      </c>
      <c r="H18793" s="12">
        <v>-3.1636219477429899</v>
      </c>
      <c r="I18793" s="20">
        <v>-0.57866108578591002</v>
      </c>
      <c r="J18793" s="28">
        <v>0.56281787824348195</v>
      </c>
      <c r="K18793" s="29">
        <v>0.98289565623980701</v>
      </c>
    </row>
    <row r="18794" spans="1:11" x14ac:dyDescent="0.35">
      <c r="A18794" s="9" t="str">
        <f>HYPERLINK("http://www.ensembl.org/id/WBGene00022840", "WBGene00022840")</f>
        <v>WBGene00022840</v>
      </c>
      <c r="B18794" s="9"/>
      <c r="C18794" s="9"/>
      <c r="D18794" t="str">
        <f>"ZK994.1"</f>
        <v>ZK994.1</v>
      </c>
      <c r="F18794" t="s">
        <v>80</v>
      </c>
      <c r="H18794" s="12">
        <v>2.3893468495514898</v>
      </c>
      <c r="I18794" s="20">
        <v>0.25323547253672701</v>
      </c>
      <c r="J18794" s="28">
        <v>0.80008625651646104</v>
      </c>
      <c r="K18794" s="29">
        <v>0.98289565623980701</v>
      </c>
    </row>
    <row r="18795" spans="1:11" x14ac:dyDescent="0.35">
      <c r="A18795" s="9" t="str">
        <f>HYPERLINK("http://www.ensembl.org/id/WBGene00044958", "WBGene00044958")</f>
        <v>WBGene00044958</v>
      </c>
      <c r="B18795" s="9"/>
      <c r="C18795" s="9"/>
      <c r="D18795" t="str">
        <f>"ZK994.7"</f>
        <v>ZK994.7</v>
      </c>
      <c r="F18795" t="s">
        <v>2977</v>
      </c>
      <c r="H18795" s="12">
        <v>2.3893468495514898</v>
      </c>
      <c r="I18795" s="20">
        <v>0.25323547253672701</v>
      </c>
      <c r="J18795" s="28">
        <v>0.80008625651646104</v>
      </c>
      <c r="K18795" s="29">
        <v>0.98289565623980701</v>
      </c>
    </row>
    <row r="18796" spans="1:11" x14ac:dyDescent="0.35">
      <c r="A18796" s="9" t="str">
        <f>HYPERLINK("http://www.ensembl.org/id/WBGene00016283", "WBGene00016283")</f>
        <v>WBGene00016283</v>
      </c>
      <c r="B18796" s="9" t="str">
        <f>HYPERLINK("http://www.ncbi.nlm.nih.gov/gene/178748", "178748")</f>
        <v>178748</v>
      </c>
      <c r="C18796" s="9" t="str">
        <f>HYPERLINK("http://www.ncbi.nlm.nih.gov/gene/4322", "4322")</f>
        <v>4322</v>
      </c>
      <c r="D18796" t="str">
        <f>"zmp-3"</f>
        <v>zmp-3</v>
      </c>
      <c r="E18796" t="s">
        <v>4535</v>
      </c>
      <c r="F18796" t="s">
        <v>11</v>
      </c>
      <c r="G18796" t="s">
        <v>3193</v>
      </c>
      <c r="H18796" s="12">
        <v>1.7597931565769001</v>
      </c>
      <c r="I18796" s="20">
        <v>1.1777130753463001</v>
      </c>
      <c r="J18796" s="28">
        <v>0.23891101243110499</v>
      </c>
      <c r="K18796" s="29">
        <v>0.98289565623980701</v>
      </c>
    </row>
    <row r="18797" spans="1:11" x14ac:dyDescent="0.35">
      <c r="A18797" s="9" t="str">
        <f>HYPERLINK("http://www.ensembl.org/id/WBGene00012364", "WBGene00012364")</f>
        <v>WBGene00012364</v>
      </c>
      <c r="B18797" s="9" t="str">
        <f>HYPERLINK("http://www.ncbi.nlm.nih.gov/gene/179991", "179991")</f>
        <v>179991</v>
      </c>
      <c r="C18797" s="9"/>
      <c r="D18797" t="str">
        <f>"zmp-4"</f>
        <v>zmp-4</v>
      </c>
      <c r="E18797" t="s">
        <v>4997</v>
      </c>
      <c r="F18797" t="s">
        <v>11</v>
      </c>
      <c r="G18797" t="s">
        <v>2379</v>
      </c>
      <c r="H18797" s="12">
        <v>1.06670135591028</v>
      </c>
      <c r="I18797" s="20">
        <v>0.32246756823237799</v>
      </c>
      <c r="J18797" s="28">
        <v>0.74709850340571704</v>
      </c>
      <c r="K18797" s="29">
        <v>0.98289565623980701</v>
      </c>
    </row>
    <row r="18798" spans="1:11" x14ac:dyDescent="0.35">
      <c r="A18798" s="9" t="str">
        <f>HYPERLINK("http://www.ensembl.org/id/WBGene00010423", "WBGene00010423")</f>
        <v>WBGene00010423</v>
      </c>
      <c r="B18798" s="9" t="str">
        <f>HYPERLINK("http://www.ncbi.nlm.nih.gov/gene/186805", "186805")</f>
        <v>186805</v>
      </c>
      <c r="C18798" s="9" t="str">
        <f>HYPERLINK("http://www.ncbi.nlm.nih.gov/gene/4323", "4323")</f>
        <v>4323</v>
      </c>
      <c r="D18798" t="str">
        <f>"zmp-5"</f>
        <v>zmp-5</v>
      </c>
      <c r="E18798" t="s">
        <v>4997</v>
      </c>
      <c r="F18798" t="s">
        <v>11</v>
      </c>
      <c r="G18798" t="s">
        <v>4998</v>
      </c>
      <c r="H18798" s="12">
        <v>1.26699868087302</v>
      </c>
      <c r="I18798" s="20">
        <v>0.33143219911203697</v>
      </c>
      <c r="J18798" s="28">
        <v>0.74031804659238198</v>
      </c>
      <c r="K18798" s="29">
        <v>0.98289565623980701</v>
      </c>
    </row>
    <row r="18799" spans="1:11" x14ac:dyDescent="0.35">
      <c r="A18799" s="9" t="str">
        <f>HYPERLINK("http://www.ensembl.org/id/WBGene00007105", "WBGene00007105")</f>
        <v>WBGene00007105</v>
      </c>
      <c r="B18799" s="9" t="str">
        <f>HYPERLINK("http://www.ncbi.nlm.nih.gov/gene/178042", "178042")</f>
        <v>178042</v>
      </c>
      <c r="C18799" s="9"/>
      <c r="D18799" t="str">
        <f>"znf-207"</f>
        <v>znf-207</v>
      </c>
      <c r="E18799" t="s">
        <v>6814</v>
      </c>
      <c r="F18799" t="s">
        <v>11</v>
      </c>
      <c r="G18799" t="s">
        <v>6815</v>
      </c>
      <c r="H18799" s="12">
        <v>-1.0906316918422501</v>
      </c>
      <c r="I18799" s="20">
        <v>-0.43595336369313398</v>
      </c>
      <c r="J18799" s="28">
        <v>0.66287056641130204</v>
      </c>
      <c r="K18799" s="29">
        <v>0.98289565623980701</v>
      </c>
    </row>
    <row r="18800" spans="1:11" x14ac:dyDescent="0.35">
      <c r="A18800" s="9" t="str">
        <f>HYPERLINK("http://www.ensembl.org/id/WBGene00013683", "WBGene00013683")</f>
        <v>WBGene00013683</v>
      </c>
      <c r="B18800" s="9" t="str">
        <f>HYPERLINK("http://www.ncbi.nlm.nih.gov/gene/173316", "173316")</f>
        <v>173316</v>
      </c>
      <c r="C18800" s="9"/>
      <c r="D18800" t="str">
        <f>"zoo-1"</f>
        <v>zoo-1</v>
      </c>
      <c r="E18800" t="s">
        <v>5372</v>
      </c>
      <c r="F18800" t="s">
        <v>11</v>
      </c>
      <c r="G18800" t="s">
        <v>5373</v>
      </c>
      <c r="H18800" s="12">
        <v>1.1814642657532699</v>
      </c>
      <c r="I18800" s="20">
        <v>0.87993437699216004</v>
      </c>
      <c r="J18800" s="28">
        <v>0.37889486039697801</v>
      </c>
      <c r="K18800" s="29">
        <v>0.98289565623980701</v>
      </c>
    </row>
    <row r="18801" spans="1:11" x14ac:dyDescent="0.35">
      <c r="A18801" s="9" t="str">
        <f>HYPERLINK("http://www.ensembl.org/id/WBGene00018704", "WBGene00018704")</f>
        <v>WBGene00018704</v>
      </c>
      <c r="B18801" s="9" t="str">
        <f>HYPERLINK("http://www.ncbi.nlm.nih.gov/gene/186116", "186116")</f>
        <v>186116</v>
      </c>
      <c r="C18801" s="9"/>
      <c r="D18801" t="str">
        <f>"ztf-13"</f>
        <v>ztf-13</v>
      </c>
      <c r="E18801" t="s">
        <v>461</v>
      </c>
      <c r="F18801" t="s">
        <v>11</v>
      </c>
      <c r="H18801" s="12">
        <v>-1.15229133015165</v>
      </c>
      <c r="I18801" s="20">
        <v>-0.71464010802401701</v>
      </c>
      <c r="J18801" s="28">
        <v>0.47483145465513099</v>
      </c>
      <c r="K18801" s="29">
        <v>0.98289565623980701</v>
      </c>
    </row>
    <row r="18802" spans="1:11" x14ac:dyDescent="0.35">
      <c r="A18802" s="9" t="str">
        <f>HYPERLINK("http://www.ensembl.org/id/WBGene00020763", "WBGene00020763")</f>
        <v>WBGene00020763</v>
      </c>
      <c r="B18802" s="9" t="str">
        <f>HYPERLINK("http://www.ncbi.nlm.nih.gov/gene/175250", "175250")</f>
        <v>175250</v>
      </c>
      <c r="C18802" s="9"/>
      <c r="D18802" t="str">
        <f>"ztf-18"</f>
        <v>ztf-18</v>
      </c>
      <c r="E18802" t="s">
        <v>461</v>
      </c>
      <c r="F18802" t="s">
        <v>11</v>
      </c>
      <c r="G18802" t="s">
        <v>91</v>
      </c>
      <c r="H18802" s="12">
        <v>-1.14540806533141</v>
      </c>
      <c r="I18802" s="20">
        <v>-0.58400560430664095</v>
      </c>
      <c r="J18802" s="28">
        <v>0.55921654151329503</v>
      </c>
      <c r="K18802" s="29">
        <v>0.98289565623980701</v>
      </c>
    </row>
    <row r="18803" spans="1:11" x14ac:dyDescent="0.35">
      <c r="A18803" s="9" t="str">
        <f>HYPERLINK("http://www.ensembl.org/id/WBGene00012702", "WBGene00012702")</f>
        <v>WBGene00012702</v>
      </c>
      <c r="B18803" s="9" t="str">
        <f>HYPERLINK("http://www.ncbi.nlm.nih.gov/gene/189730", "189730")</f>
        <v>189730</v>
      </c>
      <c r="C18803" s="9"/>
      <c r="D18803" t="str">
        <f>"ztf-20"</f>
        <v>ztf-20</v>
      </c>
      <c r="E18803" t="s">
        <v>461</v>
      </c>
      <c r="F18803" t="s">
        <v>11</v>
      </c>
      <c r="H18803" s="12">
        <v>-1.27517565673575</v>
      </c>
      <c r="I18803" s="20">
        <v>-0.57995672307178303</v>
      </c>
      <c r="J18803" s="28">
        <v>0.56194380238784403</v>
      </c>
      <c r="K18803" s="29">
        <v>0.98289565623980701</v>
      </c>
    </row>
    <row r="18804" spans="1:11" x14ac:dyDescent="0.35">
      <c r="A18804" s="9" t="str">
        <f>HYPERLINK("http://www.ensembl.org/id/WBGene00012988", "WBGene00012988")</f>
        <v>WBGene00012988</v>
      </c>
      <c r="B18804" s="9" t="str">
        <f>HYPERLINK("http://www.ncbi.nlm.nih.gov/gene/174971", "174971")</f>
        <v>174971</v>
      </c>
      <c r="C18804" s="9"/>
      <c r="D18804" t="str">
        <f>"ztf-22"</f>
        <v>ztf-22</v>
      </c>
      <c r="E18804" t="s">
        <v>461</v>
      </c>
      <c r="F18804" t="s">
        <v>11</v>
      </c>
      <c r="H18804" s="12">
        <v>1.1844845165723299</v>
      </c>
      <c r="I18804" s="20">
        <v>0.87839056085544598</v>
      </c>
      <c r="J18804" s="28">
        <v>0.37973180504966297</v>
      </c>
      <c r="K18804" s="29">
        <v>0.98289565623980701</v>
      </c>
    </row>
    <row r="18805" spans="1:11" x14ac:dyDescent="0.35">
      <c r="A18805" s="9" t="str">
        <f>HYPERLINK("http://www.ensembl.org/id/WBGene00021846", "WBGene00021846")</f>
        <v>WBGene00021846</v>
      </c>
      <c r="B18805" s="9" t="str">
        <f>HYPERLINK("http://www.ncbi.nlm.nih.gov/gene/171880", "171880")</f>
        <v>171880</v>
      </c>
      <c r="C18805" s="9"/>
      <c r="D18805" t="str">
        <f>"ztf-23"</f>
        <v>ztf-23</v>
      </c>
      <c r="E18805" t="s">
        <v>461</v>
      </c>
      <c r="F18805" t="s">
        <v>11</v>
      </c>
      <c r="G18805" t="s">
        <v>9826</v>
      </c>
      <c r="H18805" s="12">
        <v>-1.3137853686187599</v>
      </c>
      <c r="I18805" s="20">
        <v>-1.1932481777850701</v>
      </c>
      <c r="J18805" s="28">
        <v>0.23277219144193101</v>
      </c>
      <c r="K18805" s="29">
        <v>0.98289565623980701</v>
      </c>
    </row>
    <row r="18806" spans="1:11" x14ac:dyDescent="0.35">
      <c r="A18806" s="9" t="str">
        <f>HYPERLINK("http://www.ensembl.org/id/WBGene00012405", "WBGene00012405")</f>
        <v>WBGene00012405</v>
      </c>
      <c r="B18806" s="9" t="str">
        <f>HYPERLINK("http://www.ncbi.nlm.nih.gov/gene/180158", "180158")</f>
        <v>180158</v>
      </c>
      <c r="C18806" s="9"/>
      <c r="D18806" t="str">
        <f>"ztf-25"</f>
        <v>ztf-25</v>
      </c>
      <c r="E18806" t="s">
        <v>461</v>
      </c>
      <c r="F18806" t="s">
        <v>11</v>
      </c>
      <c r="G18806" t="s">
        <v>1791</v>
      </c>
      <c r="H18806" s="12">
        <v>-1.24666063854839</v>
      </c>
      <c r="I18806" s="20">
        <v>-0.69578436789843501</v>
      </c>
      <c r="J18806" s="28">
        <v>0.486563880331839</v>
      </c>
      <c r="K18806" s="29">
        <v>0.98289565623980701</v>
      </c>
    </row>
    <row r="18807" spans="1:11" x14ac:dyDescent="0.35">
      <c r="A18807" s="9" t="str">
        <f>HYPERLINK("http://www.ensembl.org/id/WBGene00010137", "WBGene00010137")</f>
        <v>WBGene00010137</v>
      </c>
      <c r="B18807" s="9" t="str">
        <f>HYPERLINK("http://www.ncbi.nlm.nih.gov/gene/172699", "172699")</f>
        <v>172699</v>
      </c>
      <c r="C18807" s="9"/>
      <c r="D18807" t="str">
        <f>"ztf-26"</f>
        <v>ztf-26</v>
      </c>
      <c r="E18807" t="s">
        <v>461</v>
      </c>
      <c r="F18807" t="s">
        <v>11</v>
      </c>
      <c r="G18807" t="s">
        <v>4924</v>
      </c>
      <c r="H18807" s="12">
        <v>1.2966903391742799</v>
      </c>
      <c r="I18807" s="20">
        <v>0.70404346071347701</v>
      </c>
      <c r="J18807" s="28">
        <v>0.48140570857206799</v>
      </c>
      <c r="K18807" s="29">
        <v>0.98289565623980701</v>
      </c>
    </row>
    <row r="18808" spans="1:11" x14ac:dyDescent="0.35">
      <c r="A18808" s="9" t="str">
        <f>HYPERLINK("http://www.ensembl.org/id/WBGene00013438", "WBGene00013438")</f>
        <v>WBGene00013438</v>
      </c>
      <c r="B18808" s="9" t="str">
        <f>HYPERLINK("http://www.ncbi.nlm.nih.gov/gene/176585", "176585")</f>
        <v>176585</v>
      </c>
      <c r="C18808" s="9"/>
      <c r="D18808" t="str">
        <f>"ztf-29"</f>
        <v>ztf-29</v>
      </c>
      <c r="E18808" t="s">
        <v>461</v>
      </c>
      <c r="F18808" t="s">
        <v>11</v>
      </c>
      <c r="G18808" t="s">
        <v>1791</v>
      </c>
      <c r="H18808" s="12">
        <v>1.2139889941736901</v>
      </c>
      <c r="I18808" s="20">
        <v>0.75195962427525398</v>
      </c>
      <c r="J18808" s="28">
        <v>0.45207533994361498</v>
      </c>
      <c r="K18808" s="29">
        <v>0.98289565623980701</v>
      </c>
    </row>
    <row r="18809" spans="1:11" x14ac:dyDescent="0.35">
      <c r="A18809" s="9" t="str">
        <f>HYPERLINK("http://www.ensembl.org/id/WBGene00016905", "WBGene00016905")</f>
        <v>WBGene00016905</v>
      </c>
      <c r="B18809" s="9" t="str">
        <f>HYPERLINK("http://www.ncbi.nlm.nih.gov/gene/171617", "171617")</f>
        <v>171617</v>
      </c>
      <c r="C18809" s="9"/>
      <c r="D18809" t="str">
        <f>"ztf-3"</f>
        <v>ztf-3</v>
      </c>
      <c r="E18809" t="s">
        <v>461</v>
      </c>
      <c r="F18809" t="s">
        <v>11</v>
      </c>
      <c r="G18809" t="s">
        <v>8986</v>
      </c>
      <c r="H18809" s="12">
        <v>-1.2120527628384099</v>
      </c>
      <c r="I18809" s="20">
        <v>-0.83068733665361505</v>
      </c>
      <c r="J18809" s="28">
        <v>0.40615028195674202</v>
      </c>
      <c r="K18809" s="29">
        <v>0.98289565623980701</v>
      </c>
    </row>
    <row r="18810" spans="1:11" x14ac:dyDescent="0.35">
      <c r="A18810" s="9" t="str">
        <f>HYPERLINK("http://www.ensembl.org/id/WBGene00020399", "WBGene00020399")</f>
        <v>WBGene00020399</v>
      </c>
      <c r="B18810" s="9" t="str">
        <f>HYPERLINK("http://www.ncbi.nlm.nih.gov/gene/172422", "172422")</f>
        <v>172422</v>
      </c>
      <c r="C18810" s="9"/>
      <c r="D18810" t="str">
        <f>"ztf-4"</f>
        <v>ztf-4</v>
      </c>
      <c r="E18810" t="s">
        <v>461</v>
      </c>
      <c r="F18810" t="s">
        <v>11</v>
      </c>
      <c r="G18810" t="s">
        <v>3013</v>
      </c>
      <c r="H18810" s="12">
        <v>-1.1228746708555</v>
      </c>
      <c r="I18810" s="20">
        <v>-0.54469140385752701</v>
      </c>
      <c r="J18810" s="28">
        <v>0.58596577797808602</v>
      </c>
      <c r="K18810" s="29">
        <v>0.98289565623980701</v>
      </c>
    </row>
    <row r="18811" spans="1:11" x14ac:dyDescent="0.35">
      <c r="A18811" s="9" t="str">
        <f>HYPERLINK("http://www.ensembl.org/id/WBGene00009772", "WBGene00009772")</f>
        <v>WBGene00009772</v>
      </c>
      <c r="B18811" s="9" t="str">
        <f>HYPERLINK("http://www.ncbi.nlm.nih.gov/gene/179375", "179375")</f>
        <v>179375</v>
      </c>
      <c r="C18811" s="9" t="str">
        <f>HYPERLINK("http://www.ncbi.nlm.nih.gov/gene/11179", "11179")</f>
        <v>11179</v>
      </c>
      <c r="D18811" t="str">
        <f>"ztf-7"</f>
        <v>ztf-7</v>
      </c>
      <c r="E18811" t="s">
        <v>461</v>
      </c>
      <c r="F18811" t="s">
        <v>11</v>
      </c>
      <c r="H18811" s="12">
        <v>-1.2176900969999001</v>
      </c>
      <c r="I18811" s="20">
        <v>-1.1073526934704701</v>
      </c>
      <c r="J18811" s="28">
        <v>0.268141470468655</v>
      </c>
      <c r="K18811" s="29">
        <v>0.98289565623980701</v>
      </c>
    </row>
    <row r="18812" spans="1:11" x14ac:dyDescent="0.35">
      <c r="A18812" s="9" t="str">
        <f>HYPERLINK("http://www.ensembl.org/id/WBGene00013966", "WBGene00013966")</f>
        <v>WBGene00013966</v>
      </c>
      <c r="B18812" s="9" t="str">
        <f>HYPERLINK("http://www.ncbi.nlm.nih.gov/gene/191283", "191283")</f>
        <v>191283</v>
      </c>
      <c r="C18812" s="9"/>
      <c r="D18812" t="str">
        <f>"ztf-9"</f>
        <v>ztf-9</v>
      </c>
      <c r="E18812" t="s">
        <v>461</v>
      </c>
      <c r="F18812" t="s">
        <v>11</v>
      </c>
      <c r="H18812" s="12">
        <v>-1.36386610152388</v>
      </c>
      <c r="I18812" s="20">
        <v>-1.1520740228170101</v>
      </c>
      <c r="J18812" s="28">
        <v>0.249290656762652</v>
      </c>
      <c r="K18812" s="29">
        <v>0.98289565623980701</v>
      </c>
    </row>
    <row r="18813" spans="1:11" x14ac:dyDescent="0.35">
      <c r="A18813" s="9" t="str">
        <f>HYPERLINK("http://www.ensembl.org/id/WBGene00006988", "WBGene00006988")</f>
        <v>WBGene00006988</v>
      </c>
      <c r="B18813" s="9" t="str">
        <f>HYPERLINK("http://www.ncbi.nlm.nih.gov/gene/173956", "173956")</f>
        <v>173956</v>
      </c>
      <c r="C18813" s="9"/>
      <c r="D18813" t="str">
        <f>"zyg-1"</f>
        <v>zyg-1</v>
      </c>
      <c r="E18813" t="s">
        <v>8185</v>
      </c>
      <c r="F18813" t="s">
        <v>11</v>
      </c>
      <c r="G18813" t="s">
        <v>8186</v>
      </c>
      <c r="H18813" s="12">
        <v>-1.1644379445438799</v>
      </c>
      <c r="I18813" s="20">
        <v>-0.65394085554845904</v>
      </c>
      <c r="J18813" s="28">
        <v>0.51314991089114803</v>
      </c>
      <c r="K18813" s="29">
        <v>0.98289565623980701</v>
      </c>
    </row>
    <row r="18814" spans="1:11" x14ac:dyDescent="0.35">
      <c r="A18814" s="9" t="str">
        <f>HYPERLINK("http://www.ensembl.org/id/WBGene00006997", "WBGene00006997")</f>
        <v>WBGene00006997</v>
      </c>
      <c r="B18814" s="9" t="str">
        <f>HYPERLINK("http://www.ncbi.nlm.nih.gov/gene/24105291", "24105291")</f>
        <v>24105291</v>
      </c>
      <c r="C18814" s="9"/>
      <c r="D18814" t="str">
        <f>"zyg-12"</f>
        <v>zyg-12</v>
      </c>
      <c r="E18814" t="s">
        <v>7736</v>
      </c>
      <c r="F18814" t="s">
        <v>11</v>
      </c>
      <c r="G18814" t="s">
        <v>1475</v>
      </c>
      <c r="H18814" s="12">
        <v>-1.1420827013988</v>
      </c>
      <c r="I18814" s="20">
        <v>-0.64831007945558095</v>
      </c>
      <c r="J18814" s="28">
        <v>0.51678441609357895</v>
      </c>
      <c r="K18814" s="29">
        <v>0.98289565623980701</v>
      </c>
    </row>
    <row r="18815" spans="1:11" x14ac:dyDescent="0.35">
      <c r="A18815" s="9" t="str">
        <f>HYPERLINK("http://www.ensembl.org/id/WBGene00006993", "WBGene00006993")</f>
        <v>WBGene00006993</v>
      </c>
      <c r="B18815" s="9" t="str">
        <f>HYPERLINK("http://www.ncbi.nlm.nih.gov/gene/176639", "176639")</f>
        <v>176639</v>
      </c>
      <c r="C18815" s="9" t="str">
        <f>HYPERLINK("http://www.ncbi.nlm.nih.gov/gene/9201", "9201")</f>
        <v>9201</v>
      </c>
      <c r="D18815" t="str">
        <f>"zyg-8"</f>
        <v>zyg-8</v>
      </c>
      <c r="E18815" t="s">
        <v>7340</v>
      </c>
      <c r="F18815" t="s">
        <v>11</v>
      </c>
      <c r="G18815" t="s">
        <v>7341</v>
      </c>
      <c r="H18815" s="12">
        <v>-1.1202433432772401</v>
      </c>
      <c r="I18815" s="20">
        <v>-0.57162945618908101</v>
      </c>
      <c r="J18815" s="28">
        <v>0.56757303523889502</v>
      </c>
      <c r="K18815" s="29">
        <v>0.98289565623980701</v>
      </c>
    </row>
    <row r="18816" spans="1:11" x14ac:dyDescent="0.35">
      <c r="A18816" s="9" t="str">
        <f>HYPERLINK("http://www.ensembl.org/id/WBGene00006994", "WBGene00006994")</f>
        <v>WBGene00006994</v>
      </c>
      <c r="B18816" s="9" t="str">
        <f>HYPERLINK("http://www.ncbi.nlm.nih.gov/gene/174350", "174350")</f>
        <v>174350</v>
      </c>
      <c r="C18816" s="9"/>
      <c r="D18816" t="str">
        <f>"zyg-9"</f>
        <v>zyg-9</v>
      </c>
      <c r="E18816" t="s">
        <v>6179</v>
      </c>
      <c r="F18816" t="s">
        <v>11</v>
      </c>
      <c r="G18816" t="s">
        <v>6180</v>
      </c>
      <c r="H18816" s="12">
        <v>-1.05146412440332</v>
      </c>
      <c r="I18816" s="20">
        <v>-0.27733881111790998</v>
      </c>
      <c r="J18816" s="28">
        <v>0.78151996093374099</v>
      </c>
      <c r="K18816" s="29">
        <v>0.98289565623980701</v>
      </c>
    </row>
    <row r="18817" spans="1:11" x14ac:dyDescent="0.35">
      <c r="A18817" s="9" t="str">
        <f>HYPERLINK("http://www.ensembl.org/id/WBGene00016664", "WBGene00016664")</f>
        <v>WBGene00016664</v>
      </c>
      <c r="B18817" s="9" t="str">
        <f>HYPERLINK("http://www.ncbi.nlm.nih.gov/gene/183469", "183469")</f>
        <v>183469</v>
      </c>
      <c r="C18817" s="9" t="str">
        <f>HYPERLINK("http://www.ncbi.nlm.nih.gov/gene/283871", "283871")</f>
        <v>283871</v>
      </c>
      <c r="D18817" t="str">
        <f>"C45E5.1"</f>
        <v>C45E5.1</v>
      </c>
      <c r="F18817" t="s">
        <v>11</v>
      </c>
      <c r="G18817" t="s">
        <v>10126</v>
      </c>
      <c r="H18817" s="12">
        <v>1.09134525680711</v>
      </c>
      <c r="I18817" s="20">
        <v>0.25283461640430299</v>
      </c>
      <c r="J18817" s="28">
        <v>0.80039601653537396</v>
      </c>
      <c r="K18817" s="29">
        <v>0.98293650587650006</v>
      </c>
    </row>
    <row r="18818" spans="1:11" x14ac:dyDescent="0.35">
      <c r="A18818" s="9" t="str">
        <f>HYPERLINK("http://www.ensembl.org/id/WBGene00015406", "WBGene00015406")</f>
        <v>WBGene00015406</v>
      </c>
      <c r="B18818" s="9" t="str">
        <f>HYPERLINK("http://www.ncbi.nlm.nih.gov/gene/182181", "182181")</f>
        <v>182181</v>
      </c>
      <c r="C18818" s="9"/>
      <c r="D18818" t="str">
        <f>"C03H5.4"</f>
        <v>C03H5.4</v>
      </c>
      <c r="E18818" t="s">
        <v>7452</v>
      </c>
      <c r="F18818" t="s">
        <v>11</v>
      </c>
      <c r="G18818" t="s">
        <v>7453</v>
      </c>
      <c r="H18818" s="12">
        <v>1.4487112450799999</v>
      </c>
      <c r="I18818" s="20">
        <v>0.25254781310878199</v>
      </c>
      <c r="J18818" s="28">
        <v>0.80061766193779504</v>
      </c>
      <c r="K18818" s="29">
        <v>0.98315644646761702</v>
      </c>
    </row>
    <row r="18819" spans="1:11" x14ac:dyDescent="0.35">
      <c r="A18819" s="9" t="str">
        <f>HYPERLINK("http://www.ensembl.org/id/WBGene00008414", "WBGene00008414")</f>
        <v>WBGene00008414</v>
      </c>
      <c r="B18819" s="9" t="str">
        <f>HYPERLINK("http://www.ncbi.nlm.nih.gov/gene/172513", "172513")</f>
        <v>172513</v>
      </c>
      <c r="C18819" s="9"/>
      <c r="D18819" t="str">
        <f>"D2030.4"</f>
        <v>D2030.4</v>
      </c>
      <c r="E18819" t="s">
        <v>10127</v>
      </c>
      <c r="F18819" t="s">
        <v>11</v>
      </c>
      <c r="G18819" t="s">
        <v>10128</v>
      </c>
      <c r="H18819" s="12">
        <v>-1.0493871002040001</v>
      </c>
      <c r="I18819" s="20">
        <v>-0.25245034161756402</v>
      </c>
      <c r="J18819" s="28">
        <v>0.80069299285913098</v>
      </c>
      <c r="K18819" s="29">
        <v>0.98319669942090004</v>
      </c>
    </row>
    <row r="18820" spans="1:11" x14ac:dyDescent="0.35">
      <c r="A18820" s="9" t="str">
        <f>HYPERLINK("http://www.ensembl.org/id/WBGene00195328", "WBGene00195328")</f>
        <v>WBGene00195328</v>
      </c>
      <c r="B18820" s="9"/>
      <c r="C18820" s="9"/>
      <c r="D18820" t="str">
        <f>"C01B7.8"</f>
        <v>C01B7.8</v>
      </c>
      <c r="F18820" t="s">
        <v>481</v>
      </c>
      <c r="H18820" s="12">
        <v>-1.28077408741356</v>
      </c>
      <c r="I18820" s="20">
        <v>-0.252101862598475</v>
      </c>
      <c r="J18820" s="28">
        <v>0.80096233030840303</v>
      </c>
      <c r="K18820" s="29">
        <v>0.98338892112482001</v>
      </c>
    </row>
    <row r="18821" spans="1:11" x14ac:dyDescent="0.35">
      <c r="A18821" s="9" t="str">
        <f>HYPERLINK("http://www.ensembl.org/id/WBGene00044690", "WBGene00044690")</f>
        <v>WBGene00044690</v>
      </c>
      <c r="B18821" s="9" t="str">
        <f>HYPERLINK("http://www.ncbi.nlm.nih.gov/gene/4363070", "4363070")</f>
        <v>4363070</v>
      </c>
      <c r="C18821" s="9"/>
      <c r="D18821" t="str">
        <f>"M02B7.7"</f>
        <v>M02B7.7</v>
      </c>
      <c r="F18821" t="s">
        <v>11</v>
      </c>
      <c r="H18821" s="12">
        <v>-1.0918257317867801</v>
      </c>
      <c r="I18821" s="20">
        <v>-0.252136568024728</v>
      </c>
      <c r="J18821" s="28">
        <v>0.80093550562063498</v>
      </c>
      <c r="K18821" s="29">
        <v>0.98338892112482001</v>
      </c>
    </row>
    <row r="18822" spans="1:11" x14ac:dyDescent="0.35">
      <c r="A18822" s="9" t="str">
        <f>HYPERLINK("http://www.ensembl.org/id/WBGene00011684", "WBGene00011684")</f>
        <v>WBGene00011684</v>
      </c>
      <c r="B18822" s="9" t="str">
        <f>HYPERLINK("http://www.ncbi.nlm.nih.gov/gene/188365", "188365")</f>
        <v>188365</v>
      </c>
      <c r="C18822" s="9"/>
      <c r="D18822" t="str">
        <f>"T10B10.8"</f>
        <v>T10B10.8</v>
      </c>
      <c r="F18822" t="s">
        <v>11</v>
      </c>
      <c r="G18822" t="s">
        <v>10129</v>
      </c>
      <c r="H18822" s="12">
        <v>1.07589507114183</v>
      </c>
      <c r="I18822" s="20">
        <v>0.25198230447714198</v>
      </c>
      <c r="J18822" s="28">
        <v>0.80105474155290401</v>
      </c>
      <c r="K18822" s="29">
        <v>0.98338892112482001</v>
      </c>
    </row>
    <row r="18823" spans="1:11" x14ac:dyDescent="0.35">
      <c r="A18823" s="9" t="str">
        <f>HYPERLINK("http://www.ensembl.org/id/WBGene00013820", "WBGene00013820")</f>
        <v>WBGene00013820</v>
      </c>
      <c r="B18823" s="9" t="str">
        <f>HYPERLINK("http://www.ncbi.nlm.nih.gov/gene/191015", "191015")</f>
        <v>191015</v>
      </c>
      <c r="C18823" s="9"/>
      <c r="D18823" t="str">
        <f>"Y116F11B.2"</f>
        <v>Y116F11B.2</v>
      </c>
      <c r="F18823" t="s">
        <v>11</v>
      </c>
      <c r="H18823" s="12">
        <v>-1.7357994791747799</v>
      </c>
      <c r="I18823" s="20">
        <v>-0.25206516379204003</v>
      </c>
      <c r="J18823" s="28">
        <v>0.80099069598463402</v>
      </c>
      <c r="K18823" s="29">
        <v>0.98338892112482001</v>
      </c>
    </row>
    <row r="18824" spans="1:11" x14ac:dyDescent="0.35">
      <c r="A18824" s="9" t="str">
        <f>HYPERLINK("http://www.ensembl.org/id/WBGene00255596", "WBGene00255596")</f>
        <v>WBGene00255596</v>
      </c>
      <c r="B18824" s="9"/>
      <c r="C18824" s="9"/>
      <c r="D18824" t="str">
        <f>"Y37B11A.8"</f>
        <v>Y37B11A.8</v>
      </c>
      <c r="F18824" t="s">
        <v>80</v>
      </c>
      <c r="H18824" s="12">
        <v>-1.0881397699140001</v>
      </c>
      <c r="I18824" s="20">
        <v>-0.25197248271608502</v>
      </c>
      <c r="J18824" s="28">
        <v>0.80106233330785803</v>
      </c>
      <c r="K18824" s="29">
        <v>0.98338892112482001</v>
      </c>
    </row>
    <row r="18825" spans="1:11" x14ac:dyDescent="0.35">
      <c r="A18825" s="9" t="str">
        <f>HYPERLINK("http://www.ensembl.org/id/WBGene00003552", "WBGene00003552")</f>
        <v>WBGene00003552</v>
      </c>
      <c r="B18825" s="9" t="str">
        <f>HYPERLINK("http://www.ncbi.nlm.nih.gov/gene/172506", "172506")</f>
        <v>172506</v>
      </c>
      <c r="C18825" s="9"/>
      <c r="D18825" t="str">
        <f>"nas-36"</f>
        <v>nas-36</v>
      </c>
      <c r="E18825" t="s">
        <v>10130</v>
      </c>
      <c r="F18825" t="s">
        <v>11</v>
      </c>
      <c r="G18825" t="s">
        <v>267</v>
      </c>
      <c r="H18825" s="12">
        <v>-1.0892154799818401</v>
      </c>
      <c r="I18825" s="20">
        <v>-0.25190223479993501</v>
      </c>
      <c r="J18825" s="28">
        <v>0.80111663215933204</v>
      </c>
      <c r="K18825" s="29">
        <v>0.98340333117321999</v>
      </c>
    </row>
    <row r="18826" spans="1:11" x14ac:dyDescent="0.35">
      <c r="A18826" s="9" t="str">
        <f>HYPERLINK("http://www.ensembl.org/id/WBGene00016435", "WBGene00016435")</f>
        <v>WBGene00016435</v>
      </c>
      <c r="B18826" s="9" t="str">
        <f>HYPERLINK("http://www.ncbi.nlm.nih.gov/gene/177168", "177168")</f>
        <v>177168</v>
      </c>
      <c r="C18826" s="9" t="str">
        <f>HYPERLINK("http://www.ncbi.nlm.nih.gov/gene/158046", "158046")</f>
        <v>158046</v>
      </c>
      <c r="D18826" t="str">
        <f>"C35B1.5"</f>
        <v>C35B1.5</v>
      </c>
      <c r="F18826" t="s">
        <v>11</v>
      </c>
      <c r="H18826" s="12">
        <v>-1.0490007035434501</v>
      </c>
      <c r="I18826" s="20">
        <v>-0.25147791667472003</v>
      </c>
      <c r="J18826" s="28">
        <v>0.80144463365306395</v>
      </c>
      <c r="K18826" s="29">
        <v>0.983539304503388</v>
      </c>
    </row>
    <row r="18827" spans="1:11" x14ac:dyDescent="0.35">
      <c r="A18827" s="9" t="str">
        <f>HYPERLINK("http://www.ensembl.org/id/WBGene00017763", "WBGene00017763")</f>
        <v>WBGene00017763</v>
      </c>
      <c r="B18827" s="9" t="str">
        <f>HYPERLINK("http://www.ncbi.nlm.nih.gov/gene/184910", "184910")</f>
        <v>184910</v>
      </c>
      <c r="C18827" s="9" t="str">
        <f>HYPERLINK("http://www.ncbi.nlm.nih.gov/gene/54675", "54675")</f>
        <v>54675</v>
      </c>
      <c r="D18827" t="str">
        <f>"crls-1"</f>
        <v>crls-1</v>
      </c>
      <c r="E18827" t="s">
        <v>10137</v>
      </c>
      <c r="F18827" t="s">
        <v>11</v>
      </c>
      <c r="G18827" t="s">
        <v>10138</v>
      </c>
      <c r="H18827" s="12">
        <v>-1.05124538111968</v>
      </c>
      <c r="I18827" s="20">
        <v>-0.25109083617545602</v>
      </c>
      <c r="J18827" s="28">
        <v>0.80174388067793001</v>
      </c>
      <c r="K18827" s="29">
        <v>0.983539304503388</v>
      </c>
    </row>
    <row r="18828" spans="1:11" x14ac:dyDescent="0.35">
      <c r="A18828" s="9" t="str">
        <f>HYPERLINK("http://www.ensembl.org/id/WBGene00008424", "WBGene00008424")</f>
        <v>WBGene00008424</v>
      </c>
      <c r="B18828" s="9" t="str">
        <f>HYPERLINK("http://www.ncbi.nlm.nih.gov/gene/183953", "183953")</f>
        <v>183953</v>
      </c>
      <c r="C18828" s="9"/>
      <c r="D18828" t="str">
        <f>"D2045.7"</f>
        <v>D2045.7</v>
      </c>
      <c r="F18828" t="s">
        <v>11</v>
      </c>
      <c r="G18828" t="s">
        <v>10141</v>
      </c>
      <c r="H18828" s="12">
        <v>-1.0649135332589801</v>
      </c>
      <c r="I18828" s="20">
        <v>-0.25128573403820198</v>
      </c>
      <c r="J18828" s="28">
        <v>0.80159320397382094</v>
      </c>
      <c r="K18828" s="29">
        <v>0.983539304503388</v>
      </c>
    </row>
    <row r="18829" spans="1:11" x14ac:dyDescent="0.35">
      <c r="A18829" s="9" t="str">
        <f>HYPERLINK("http://www.ensembl.org/id/WBGene00022605", "WBGene00022605")</f>
        <v>WBGene00022605</v>
      </c>
      <c r="B18829" s="9" t="str">
        <f>HYPERLINK("http://www.ncbi.nlm.nih.gov/gene/191158", "191158")</f>
        <v>191158</v>
      </c>
      <c r="C18829" s="9"/>
      <c r="D18829" t="str">
        <f>"dmsr-11"</f>
        <v>dmsr-11</v>
      </c>
      <c r="E18829" t="s">
        <v>996</v>
      </c>
      <c r="F18829" t="s">
        <v>11</v>
      </c>
      <c r="G18829" t="s">
        <v>1780</v>
      </c>
      <c r="H18829" s="12">
        <v>-1.60419422804875</v>
      </c>
      <c r="I18829" s="20">
        <v>-0.25098710622717901</v>
      </c>
      <c r="J18829" s="28">
        <v>0.80182407792874899</v>
      </c>
      <c r="K18829" s="29">
        <v>0.983539304503388</v>
      </c>
    </row>
    <row r="18830" spans="1:11" x14ac:dyDescent="0.35">
      <c r="A18830" s="9" t="str">
        <f>HYPERLINK("http://www.ensembl.org/id/WBGene00009031", "WBGene00009031")</f>
        <v>WBGene00009031</v>
      </c>
      <c r="B18830" s="9" t="str">
        <f>HYPERLINK("http://www.ncbi.nlm.nih.gov/gene/180090", "180090")</f>
        <v>180090</v>
      </c>
      <c r="C18830" s="9"/>
      <c r="D18830" t="str">
        <f>"F21H7.5"</f>
        <v>F21H7.5</v>
      </c>
      <c r="E18830" t="s">
        <v>899</v>
      </c>
      <c r="F18830" t="s">
        <v>11</v>
      </c>
      <c r="G18830" t="s">
        <v>3403</v>
      </c>
      <c r="H18830" s="12">
        <v>1.1272179082023099</v>
      </c>
      <c r="I18830" s="20">
        <v>0.25093301691862901</v>
      </c>
      <c r="J18830" s="28">
        <v>0.80186589709317202</v>
      </c>
      <c r="K18830" s="29">
        <v>0.983539304503388</v>
      </c>
    </row>
    <row r="18831" spans="1:11" x14ac:dyDescent="0.35">
      <c r="A18831" s="9" t="str">
        <f>HYPERLINK("http://www.ensembl.org/id/WBGene00196872", "WBGene00196872")</f>
        <v>WBGene00196872</v>
      </c>
      <c r="B18831" s="9"/>
      <c r="C18831" s="9"/>
      <c r="D18831" t="str">
        <f>"F40F9.15"</f>
        <v>F40F9.15</v>
      </c>
      <c r="F18831" t="s">
        <v>481</v>
      </c>
      <c r="H18831" s="12">
        <v>1.71934076370643</v>
      </c>
      <c r="I18831" s="20">
        <v>0.25118640759656702</v>
      </c>
      <c r="J18831" s="28">
        <v>0.80166999291857299</v>
      </c>
      <c r="K18831" s="29">
        <v>0.983539304503388</v>
      </c>
    </row>
    <row r="18832" spans="1:11" x14ac:dyDescent="0.35">
      <c r="A18832" s="9" t="str">
        <f>HYPERLINK("http://www.ensembl.org/id/WBGene00016405", "WBGene00016405")</f>
        <v>WBGene00016405</v>
      </c>
      <c r="B18832" s="9" t="str">
        <f>HYPERLINK("http://www.ncbi.nlm.nih.gov/gene/177486", "177486")</f>
        <v>177486</v>
      </c>
      <c r="C18832" s="9" t="str">
        <f>HYPERLINK("http://www.ncbi.nlm.nih.gov/gene/25831", "25831")</f>
        <v>25831</v>
      </c>
      <c r="D18832" t="str">
        <f>"hecd-1"</f>
        <v>hecd-1</v>
      </c>
      <c r="E18832" t="s">
        <v>10133</v>
      </c>
      <c r="F18832" t="s">
        <v>11</v>
      </c>
      <c r="G18832" t="s">
        <v>10134</v>
      </c>
      <c r="H18832" s="12">
        <v>-1.0458647183070899</v>
      </c>
      <c r="I18832" s="20">
        <v>-0.25150759494652197</v>
      </c>
      <c r="J18832" s="28">
        <v>0.80142169095925897</v>
      </c>
      <c r="K18832" s="29">
        <v>0.983539304503388</v>
      </c>
    </row>
    <row r="18833" spans="1:11" x14ac:dyDescent="0.35">
      <c r="A18833" s="9" t="str">
        <f>HYPERLINK("http://www.ensembl.org/id/WBGene00019613", "WBGene00019613")</f>
        <v>WBGene00019613</v>
      </c>
      <c r="B18833" s="9" t="str">
        <f>HYPERLINK("http://www.ncbi.nlm.nih.gov/gene/187249", "187249")</f>
        <v>187249</v>
      </c>
      <c r="C18833" s="9"/>
      <c r="D18833" t="str">
        <f>"K10B4.1"</f>
        <v>K10B4.1</v>
      </c>
      <c r="F18833" t="s">
        <v>11</v>
      </c>
      <c r="G18833" t="s">
        <v>398</v>
      </c>
      <c r="H18833" s="12">
        <v>-1.60419422804875</v>
      </c>
      <c r="I18833" s="20">
        <v>-0.25098710622717901</v>
      </c>
      <c r="J18833" s="28">
        <v>0.80182407792874899</v>
      </c>
      <c r="K18833" s="29">
        <v>0.983539304503388</v>
      </c>
    </row>
    <row r="18834" spans="1:11" x14ac:dyDescent="0.35">
      <c r="A18834" s="9" t="str">
        <f>HYPERLINK("http://www.ensembl.org/id/WBGene00219725", "WBGene00219725")</f>
        <v>WBGene00219725</v>
      </c>
      <c r="B18834" s="9"/>
      <c r="C18834" s="9"/>
      <c r="D18834" t="str">
        <f>"linc-63"</f>
        <v>linc-63</v>
      </c>
      <c r="F18834" t="s">
        <v>1510</v>
      </c>
      <c r="H18834" s="12">
        <v>-1.50275000836503</v>
      </c>
      <c r="I18834" s="20">
        <v>-0.25109986774742798</v>
      </c>
      <c r="J18834" s="28">
        <v>0.80173689815260996</v>
      </c>
      <c r="K18834" s="29">
        <v>0.983539304503388</v>
      </c>
    </row>
    <row r="18835" spans="1:11" x14ac:dyDescent="0.35">
      <c r="A18835" s="9" t="str">
        <f>HYPERLINK("http://www.ensembl.org/id/WBGene00017137", "WBGene00017137")</f>
        <v>WBGene00017137</v>
      </c>
      <c r="B18835" s="9" t="str">
        <f>HYPERLINK("http://www.ncbi.nlm.nih.gov/gene/173918", "173918")</f>
        <v>173918</v>
      </c>
      <c r="C18835" s="9" t="str">
        <f>HYPERLINK("http://www.ncbi.nlm.nih.gov/gene/65018", "65018")</f>
        <v>65018</v>
      </c>
      <c r="D18835" t="str">
        <f>"pink-1"</f>
        <v>pink-1</v>
      </c>
      <c r="E18835" t="s">
        <v>10135</v>
      </c>
      <c r="F18835" t="s">
        <v>11</v>
      </c>
      <c r="G18835" t="s">
        <v>10136</v>
      </c>
      <c r="H18835" s="12">
        <v>-1.05085149453253</v>
      </c>
      <c r="I18835" s="20">
        <v>-0.25156068217542898</v>
      </c>
      <c r="J18835" s="28">
        <v>0.80138065247262003</v>
      </c>
      <c r="K18835" s="29">
        <v>0.983539304503388</v>
      </c>
    </row>
    <row r="18836" spans="1:11" x14ac:dyDescent="0.35">
      <c r="A18836" s="9" t="str">
        <f>HYPERLINK("http://www.ensembl.org/id/WBGene00017406", "WBGene00017406")</f>
        <v>WBGene00017406</v>
      </c>
      <c r="B18836" s="9" t="str">
        <f>HYPERLINK("http://www.ncbi.nlm.nih.gov/gene/184388", "184388")</f>
        <v>184388</v>
      </c>
      <c r="C18836" s="9"/>
      <c r="D18836" t="str">
        <f>"sdz-12"</f>
        <v>sdz-12</v>
      </c>
      <c r="E18836" t="s">
        <v>90</v>
      </c>
      <c r="F18836" t="s">
        <v>11</v>
      </c>
      <c r="G18836" t="s">
        <v>10131</v>
      </c>
      <c r="H18836" s="12">
        <v>1.26068139058669</v>
      </c>
      <c r="I18836" s="20">
        <v>0.25101998178213702</v>
      </c>
      <c r="J18836" s="28">
        <v>0.80179866046139003</v>
      </c>
      <c r="K18836" s="29">
        <v>0.983539304503388</v>
      </c>
    </row>
    <row r="18837" spans="1:11" x14ac:dyDescent="0.35">
      <c r="A18837" s="9" t="str">
        <f>HYPERLINK("http://www.ensembl.org/id/WBGene00018398", "WBGene00018398")</f>
        <v>WBGene00018398</v>
      </c>
      <c r="B18837" s="9" t="str">
        <f>HYPERLINK("http://www.ncbi.nlm.nih.gov/gene/266646", "266646")</f>
        <v>266646</v>
      </c>
      <c r="C18837" s="9" t="str">
        <f>HYPERLINK("http://www.ncbi.nlm.nih.gov/gene/9517", "9517")</f>
        <v>9517</v>
      </c>
      <c r="D18837" t="str">
        <f>"sptl-2"</f>
        <v>sptl-2</v>
      </c>
      <c r="E18837" t="s">
        <v>10132</v>
      </c>
      <c r="F18837" t="s">
        <v>11</v>
      </c>
      <c r="G18837" t="s">
        <v>8689</v>
      </c>
      <c r="H18837" s="12">
        <v>1.0569407566162301</v>
      </c>
      <c r="I18837" s="20">
        <v>0.25150430716284</v>
      </c>
      <c r="J18837" s="28">
        <v>0.80142423256156303</v>
      </c>
      <c r="K18837" s="29">
        <v>0.983539304503388</v>
      </c>
    </row>
    <row r="18838" spans="1:11" x14ac:dyDescent="0.35">
      <c r="A18838" s="9" t="str">
        <f>HYPERLINK("http://www.ensembl.org/id/WBGene00006606", "WBGene00006606")</f>
        <v>WBGene00006606</v>
      </c>
      <c r="B18838" s="9" t="str">
        <f>HYPERLINK("http://www.ncbi.nlm.nih.gov/gene/178385", "178385")</f>
        <v>178385</v>
      </c>
      <c r="C18838" s="9" t="str">
        <f>HYPERLINK("http://www.ncbi.nlm.nih.gov/gene/726", "726")</f>
        <v>726</v>
      </c>
      <c r="D18838" t="str">
        <f>"tra-3"</f>
        <v>tra-3</v>
      </c>
      <c r="E18838" t="s">
        <v>10139</v>
      </c>
      <c r="F18838" t="s">
        <v>11</v>
      </c>
      <c r="G18838" t="s">
        <v>10140</v>
      </c>
      <c r="H18838" s="12">
        <v>-1.0514836315412299</v>
      </c>
      <c r="I18838" s="20">
        <v>-0.25097403856865902</v>
      </c>
      <c r="J18838" s="28">
        <v>0.80183418114067595</v>
      </c>
      <c r="K18838" s="29">
        <v>0.983539304503388</v>
      </c>
    </row>
    <row r="18839" spans="1:11" x14ac:dyDescent="0.35">
      <c r="A18839" s="9" t="str">
        <f>HYPERLINK("http://www.ensembl.org/id/WBGene00013651", "WBGene00013651")</f>
        <v>WBGene00013651</v>
      </c>
      <c r="B18839" s="9" t="str">
        <f>HYPERLINK("http://www.ncbi.nlm.nih.gov/gene/190893", "190893")</f>
        <v>190893</v>
      </c>
      <c r="C18839" s="9"/>
      <c r="D18839" t="str">
        <f>"Y105C5B.11"</f>
        <v>Y105C5B.11</v>
      </c>
      <c r="F18839" t="s">
        <v>11</v>
      </c>
      <c r="G18839" t="s">
        <v>9990</v>
      </c>
      <c r="H18839" s="12">
        <v>-1.3687583144819699</v>
      </c>
      <c r="I18839" s="20">
        <v>-0.25153137049982</v>
      </c>
      <c r="J18839" s="28">
        <v>0.80140331146680199</v>
      </c>
      <c r="K18839" s="29">
        <v>0.983539304503388</v>
      </c>
    </row>
    <row r="18840" spans="1:11" x14ac:dyDescent="0.35">
      <c r="A18840" s="9" t="str">
        <f>HYPERLINK("http://www.ensembl.org/id/WBGene00013076", "WBGene00013076")</f>
        <v>WBGene00013076</v>
      </c>
      <c r="B18840" s="9" t="str">
        <f>HYPERLINK("http://www.ncbi.nlm.nih.gov/gene/180208", "180208")</f>
        <v>180208</v>
      </c>
      <c r="C18840" s="9"/>
      <c r="D18840" t="str">
        <f>"Y51A2D.8"</f>
        <v>Y51A2D.8</v>
      </c>
      <c r="F18840" t="s">
        <v>11</v>
      </c>
      <c r="G18840" t="s">
        <v>180</v>
      </c>
      <c r="H18840" s="12">
        <v>1.09384808766508</v>
      </c>
      <c r="I18840" s="20">
        <v>0.25112053297248099</v>
      </c>
      <c r="J18840" s="28">
        <v>0.80172092143010698</v>
      </c>
      <c r="K18840" s="29">
        <v>0.983539304503388</v>
      </c>
    </row>
    <row r="18841" spans="1:11" x14ac:dyDescent="0.35">
      <c r="A18841" s="9" t="str">
        <f>HYPERLINK("http://www.ensembl.org/id/WBGene00007220", "WBGene00007220")</f>
        <v>WBGene00007220</v>
      </c>
      <c r="B18841" s="9" t="str">
        <f>HYPERLINK("http://www.ncbi.nlm.nih.gov/gene/175023", "175023")</f>
        <v>175023</v>
      </c>
      <c r="C18841" s="9"/>
      <c r="D18841" t="str">
        <f>"C01B9.1"</f>
        <v>C01B9.1</v>
      </c>
      <c r="F18841" t="s">
        <v>11</v>
      </c>
      <c r="H18841" s="12">
        <v>1.1357620359319101</v>
      </c>
      <c r="I18841" s="20">
        <v>0.25084171562283403</v>
      </c>
      <c r="J18841" s="28">
        <v>0.801936488003828</v>
      </c>
      <c r="K18841" s="29">
        <v>0.98355103759867502</v>
      </c>
    </row>
    <row r="18842" spans="1:11" x14ac:dyDescent="0.35">
      <c r="A18842" s="9" t="str">
        <f>HYPERLINK("http://www.ensembl.org/id/WBGene00022754", "WBGene00022754")</f>
        <v>WBGene00022754</v>
      </c>
      <c r="B18842" s="9" t="str">
        <f>HYPERLINK("http://www.ncbi.nlm.nih.gov/gene/172292", "172292")</f>
        <v>172292</v>
      </c>
      <c r="C18842" s="9"/>
      <c r="D18842" t="str">
        <f>"nspd-1"</f>
        <v>nspd-1</v>
      </c>
      <c r="E18842" t="s">
        <v>5563</v>
      </c>
      <c r="F18842" t="s">
        <v>11</v>
      </c>
      <c r="H18842" s="12">
        <v>1.12378988844358</v>
      </c>
      <c r="I18842" s="20">
        <v>0.25081053419522598</v>
      </c>
      <c r="J18842" s="28">
        <v>0.80196059674366105</v>
      </c>
      <c r="K18842" s="29">
        <v>0.98355103759867502</v>
      </c>
    </row>
    <row r="18843" spans="1:11" x14ac:dyDescent="0.35">
      <c r="A18843" s="9" t="str">
        <f>HYPERLINK("http://www.ensembl.org/id/WBGene00003716", "WBGene00003716")</f>
        <v>WBGene00003716</v>
      </c>
      <c r="B18843" s="9" t="str">
        <f>HYPERLINK("http://www.ncbi.nlm.nih.gov/gene/185731", "185731")</f>
        <v>185731</v>
      </c>
      <c r="C18843" s="9"/>
      <c r="D18843" t="str">
        <f>"nhr-126"</f>
        <v>nhr-126</v>
      </c>
      <c r="E18843" t="s">
        <v>10142</v>
      </c>
      <c r="F18843" t="s">
        <v>11</v>
      </c>
      <c r="G18843" t="s">
        <v>1073</v>
      </c>
      <c r="H18843" s="12">
        <v>1.0663495280289501</v>
      </c>
      <c r="I18843" s="20">
        <v>0.25073805749814998</v>
      </c>
      <c r="J18843" s="28">
        <v>0.80201663473424301</v>
      </c>
      <c r="K18843" s="29">
        <v>0.98355631160715695</v>
      </c>
    </row>
    <row r="18844" spans="1:11" x14ac:dyDescent="0.35">
      <c r="A18844" s="9" t="str">
        <f>HYPERLINK("http://www.ensembl.org/id/WBGene00013604", "WBGene00013604")</f>
        <v>WBGene00013604</v>
      </c>
      <c r="B18844" s="9" t="str">
        <f>HYPERLINK("http://www.ncbi.nlm.nih.gov/gene/3564964", "3564964")</f>
        <v>3564964</v>
      </c>
      <c r="C18844" s="9"/>
      <c r="D18844" t="str">
        <f>"Y87G2A.18"</f>
        <v>Y87G2A.18</v>
      </c>
      <c r="F18844" t="s">
        <v>11</v>
      </c>
      <c r="G18844" t="s">
        <v>208</v>
      </c>
      <c r="H18844" s="12">
        <v>-1.06337177652882</v>
      </c>
      <c r="I18844" s="20">
        <v>-0.25069486469416902</v>
      </c>
      <c r="J18844" s="28">
        <v>0.80205003130364605</v>
      </c>
      <c r="K18844" s="29">
        <v>0.98355631160715695</v>
      </c>
    </row>
    <row r="18845" spans="1:11" x14ac:dyDescent="0.35">
      <c r="A18845" s="9" t="str">
        <f>HYPERLINK("http://www.ensembl.org/id/WBGene00007381", "WBGene00007381")</f>
        <v>WBGene00007381</v>
      </c>
      <c r="B18845" s="9" t="str">
        <f>HYPERLINK("http://www.ncbi.nlm.nih.gov/gene/182310", "182310")</f>
        <v>182310</v>
      </c>
      <c r="C18845" s="9"/>
      <c r="D18845" t="str">
        <f>"C06C6.7"</f>
        <v>C06C6.7</v>
      </c>
      <c r="F18845" t="s">
        <v>11</v>
      </c>
      <c r="G18845" t="s">
        <v>25</v>
      </c>
      <c r="H18845" s="12">
        <v>1.86919121902273</v>
      </c>
      <c r="I18845" s="20">
        <v>0.250506199823608</v>
      </c>
      <c r="J18845" s="28">
        <v>0.80219591075457497</v>
      </c>
      <c r="K18845" s="29">
        <v>0.98357859983524598</v>
      </c>
    </row>
    <row r="18846" spans="1:11" x14ac:dyDescent="0.35">
      <c r="A18846" s="9" t="str">
        <f>HYPERLINK("http://www.ensembl.org/id/WBGene00006395", "WBGene00006395")</f>
        <v>WBGene00006395</v>
      </c>
      <c r="B18846" s="9" t="str">
        <f>HYPERLINK("http://www.ncbi.nlm.nih.gov/gene/260198", "260198")</f>
        <v>260198</v>
      </c>
      <c r="C18846" s="9"/>
      <c r="D18846" t="str">
        <f>"taf-11.3"</f>
        <v>taf-11.3</v>
      </c>
      <c r="E18846" t="s">
        <v>747</v>
      </c>
      <c r="F18846" t="s">
        <v>11</v>
      </c>
      <c r="G18846" t="s">
        <v>748</v>
      </c>
      <c r="H18846" s="12">
        <v>-1.10227048525004</v>
      </c>
      <c r="I18846" s="20">
        <v>-0.250562846289618</v>
      </c>
      <c r="J18846" s="28">
        <v>0.80215210984970697</v>
      </c>
      <c r="K18846" s="29">
        <v>0.98357859983524598</v>
      </c>
    </row>
    <row r="18847" spans="1:11" x14ac:dyDescent="0.35">
      <c r="A18847" s="9" t="str">
        <f>HYPERLINK("http://www.ensembl.org/id/WBGene00022657", "WBGene00022657")</f>
        <v>WBGene00022657</v>
      </c>
      <c r="B18847" s="9" t="str">
        <f>HYPERLINK("http://www.ncbi.nlm.nih.gov/gene/191225", "191225")</f>
        <v>191225</v>
      </c>
      <c r="C18847" s="9"/>
      <c r="D18847" t="str">
        <f>"ZK105.6"</f>
        <v>ZK105.6</v>
      </c>
      <c r="F18847" t="s">
        <v>11</v>
      </c>
      <c r="H18847" s="12">
        <v>1.4051838421584999</v>
      </c>
      <c r="I18847" s="20">
        <v>0.25053907608320802</v>
      </c>
      <c r="J18847" s="28">
        <v>0.802170489676996</v>
      </c>
      <c r="K18847" s="29">
        <v>0.98357859983524598</v>
      </c>
    </row>
    <row r="18848" spans="1:11" x14ac:dyDescent="0.35">
      <c r="A18848" s="9" t="str">
        <f>HYPERLINK("http://www.ensembl.org/id/WBGene00012236", "WBGene00012236")</f>
        <v>WBGene00012236</v>
      </c>
      <c r="B18848" s="9" t="str">
        <f>HYPERLINK("http://www.ncbi.nlm.nih.gov/gene/173252", "173252")</f>
        <v>173252</v>
      </c>
      <c r="C18848" s="9"/>
      <c r="D18848" t="str">
        <f>"W04A8.1"</f>
        <v>W04A8.1</v>
      </c>
      <c r="F18848" t="s">
        <v>11</v>
      </c>
      <c r="G18848" t="s">
        <v>10143</v>
      </c>
      <c r="H18848" s="12">
        <v>-1.07113786279159</v>
      </c>
      <c r="I18848" s="20">
        <v>-0.25036731321816702</v>
      </c>
      <c r="J18848" s="28">
        <v>0.80230330506166903</v>
      </c>
      <c r="K18848" s="29">
        <v>0.98365807952642004</v>
      </c>
    </row>
    <row r="18849" spans="1:11" x14ac:dyDescent="0.35">
      <c r="A18849" s="9" t="str">
        <f>HYPERLINK("http://www.ensembl.org/id/WBGene00000711", "WBGene00000711")</f>
        <v>WBGene00000711</v>
      </c>
      <c r="B18849" s="9" t="str">
        <f>HYPERLINK("http://www.ncbi.nlm.nih.gov/gene/183722", "183722")</f>
        <v>183722</v>
      </c>
      <c r="C18849" s="9"/>
      <c r="D18849" t="str">
        <f>"col-138"</f>
        <v>col-138</v>
      </c>
      <c r="E18849" t="s">
        <v>40</v>
      </c>
      <c r="F18849" t="s">
        <v>11</v>
      </c>
      <c r="G18849" t="s">
        <v>41</v>
      </c>
      <c r="H18849" s="12">
        <v>1.24761574077573</v>
      </c>
      <c r="I18849" s="20">
        <v>0.25020889068028801</v>
      </c>
      <c r="J18849" s="28">
        <v>0.802425810121421</v>
      </c>
      <c r="K18849" s="29">
        <v>0.98375607622781103</v>
      </c>
    </row>
    <row r="18850" spans="1:11" x14ac:dyDescent="0.35">
      <c r="A18850" s="9" t="str">
        <f>HYPERLINK("http://www.ensembl.org/id/WBGene00000634", "WBGene00000634")</f>
        <v>WBGene00000634</v>
      </c>
      <c r="B18850" s="9" t="str">
        <f>HYPERLINK("http://www.ncbi.nlm.nih.gov/gene/184957", "184957")</f>
        <v>184957</v>
      </c>
      <c r="C18850" s="9"/>
      <c r="D18850" t="str">
        <f>"col-58"</f>
        <v>col-58</v>
      </c>
      <c r="E18850" t="s">
        <v>40</v>
      </c>
      <c r="F18850" t="s">
        <v>11</v>
      </c>
      <c r="G18850" t="s">
        <v>41</v>
      </c>
      <c r="H18850" s="12">
        <v>-1.3720551285525899</v>
      </c>
      <c r="I18850" s="20">
        <v>-0.25001586844879398</v>
      </c>
      <c r="J18850" s="28">
        <v>0.80257507701207098</v>
      </c>
      <c r="K18850" s="29">
        <v>0.98383467183621998</v>
      </c>
    </row>
    <row r="18851" spans="1:11" x14ac:dyDescent="0.35">
      <c r="A18851" s="9" t="str">
        <f>HYPERLINK("http://www.ensembl.org/id/WBGene00018055", "WBGene00018055")</f>
        <v>WBGene00018055</v>
      </c>
      <c r="B18851" s="9" t="str">
        <f>HYPERLINK("http://www.ncbi.nlm.nih.gov/gene/185310", "185310")</f>
        <v>185310</v>
      </c>
      <c r="C18851" s="9"/>
      <c r="D18851" t="str">
        <f>"F35F10.5"</f>
        <v>F35F10.5</v>
      </c>
      <c r="F18851" t="s">
        <v>11</v>
      </c>
      <c r="H18851" s="12">
        <v>1.1375544700484299</v>
      </c>
      <c r="I18851" s="20">
        <v>0.25002362431337499</v>
      </c>
      <c r="J18851" s="28">
        <v>0.80256907915057796</v>
      </c>
      <c r="K18851" s="29">
        <v>0.98383467183621998</v>
      </c>
    </row>
    <row r="18852" spans="1:11" x14ac:dyDescent="0.35">
      <c r="A18852" s="9" t="str">
        <f>HYPERLINK("http://www.ensembl.org/id/WBGene00018360", "WBGene00018360")</f>
        <v>WBGene00018360</v>
      </c>
      <c r="B18852" s="9" t="str">
        <f>HYPERLINK("http://www.ncbi.nlm.nih.gov/gene/177605", "177605")</f>
        <v>177605</v>
      </c>
      <c r="C18852" s="9"/>
      <c r="D18852" t="str">
        <f>"irld-8"</f>
        <v>irld-8</v>
      </c>
      <c r="E18852" t="s">
        <v>1627</v>
      </c>
      <c r="F18852" t="s">
        <v>11</v>
      </c>
      <c r="G18852" t="s">
        <v>25</v>
      </c>
      <c r="H18852" s="12">
        <v>1.2300963536080201</v>
      </c>
      <c r="I18852" s="20">
        <v>0.249941905052179</v>
      </c>
      <c r="J18852" s="28">
        <v>0.80263227588852204</v>
      </c>
      <c r="K18852" s="29">
        <v>0.98385259239682699</v>
      </c>
    </row>
    <row r="18853" spans="1:11" x14ac:dyDescent="0.35">
      <c r="A18853" s="9" t="str">
        <f>HYPERLINK("http://www.ensembl.org/id/WBGene00019763", "WBGene00019763")</f>
        <v>WBGene00019763</v>
      </c>
      <c r="B18853" s="9" t="str">
        <f>HYPERLINK("http://www.ncbi.nlm.nih.gov/gene/187430", "187430")</f>
        <v>187430</v>
      </c>
      <c r="C18853" s="9"/>
      <c r="D18853" t="str">
        <f>"galt-1"</f>
        <v>galt-1</v>
      </c>
      <c r="E18853" t="s">
        <v>10144</v>
      </c>
      <c r="F18853" t="s">
        <v>11</v>
      </c>
      <c r="H18853" s="12">
        <v>-1.0725483885352101</v>
      </c>
      <c r="I18853" s="20">
        <v>-0.249390383628427</v>
      </c>
      <c r="J18853" s="28">
        <v>0.80305882296008402</v>
      </c>
      <c r="K18853" s="29">
        <v>0.98432322759088098</v>
      </c>
    </row>
    <row r="18854" spans="1:11" x14ac:dyDescent="0.35">
      <c r="A18854" s="9" t="str">
        <f>HYPERLINK("http://www.ensembl.org/id/WBGene00007315", "WBGene00007315")</f>
        <v>WBGene00007315</v>
      </c>
      <c r="B18854" s="9" t="str">
        <f>HYPERLINK("http://www.ncbi.nlm.nih.gov/gene/175115", "175115")</f>
        <v>175115</v>
      </c>
      <c r="C18854" s="9"/>
      <c r="D18854" t="str">
        <f>"C04H5.7"</f>
        <v>C04H5.7</v>
      </c>
      <c r="F18854" t="s">
        <v>11</v>
      </c>
      <c r="H18854" s="12">
        <v>-1.0467966539766</v>
      </c>
      <c r="I18854" s="20">
        <v>-0.249326456884786</v>
      </c>
      <c r="J18854" s="28">
        <v>0.80310826774711297</v>
      </c>
      <c r="K18854" s="29">
        <v>0.98433161651627399</v>
      </c>
    </row>
    <row r="18855" spans="1:11" x14ac:dyDescent="0.35">
      <c r="A18855" s="9" t="str">
        <f>HYPERLINK("http://www.ensembl.org/id/WBGene00007486", "WBGene00007486")</f>
        <v>WBGene00007486</v>
      </c>
      <c r="B18855" s="9" t="str">
        <f>HYPERLINK("http://www.ncbi.nlm.nih.gov/gene/181679", "181679")</f>
        <v>181679</v>
      </c>
      <c r="C18855" s="9"/>
      <c r="D18855" t="str">
        <f>"C09G1.4"</f>
        <v>C09G1.4</v>
      </c>
      <c r="F18855" t="s">
        <v>11</v>
      </c>
      <c r="G18855" t="s">
        <v>10145</v>
      </c>
      <c r="H18855" s="12">
        <v>1.05606928476576</v>
      </c>
      <c r="I18855" s="20">
        <v>0.24919283585785401</v>
      </c>
      <c r="J18855" s="28">
        <v>0.80321162082810504</v>
      </c>
      <c r="K18855" s="29">
        <v>0.98440607387971202</v>
      </c>
    </row>
    <row r="18856" spans="1:11" x14ac:dyDescent="0.35">
      <c r="A18856" s="9" t="str">
        <f>HYPERLINK("http://www.ensembl.org/id/WBGene00000148", "WBGene00000148")</f>
        <v>WBGene00000148</v>
      </c>
      <c r="B18856" s="9" t="str">
        <f>HYPERLINK("http://www.ncbi.nlm.nih.gov/gene/172905", "172905")</f>
        <v>172905</v>
      </c>
      <c r="C18856" s="9" t="str">
        <f>HYPERLINK("http://www.ncbi.nlm.nih.gov/gene/23385", "23385")</f>
        <v>23385</v>
      </c>
      <c r="D18856" t="str">
        <f>"aph-2"</f>
        <v>aph-2</v>
      </c>
      <c r="E18856" t="s">
        <v>10147</v>
      </c>
      <c r="F18856" t="s">
        <v>11</v>
      </c>
      <c r="G18856" t="s">
        <v>10148</v>
      </c>
      <c r="H18856" s="12">
        <v>1.0520476624983399</v>
      </c>
      <c r="I18856" s="20">
        <v>0.248887177401409</v>
      </c>
      <c r="J18856" s="28">
        <v>0.80344805421461096</v>
      </c>
      <c r="K18856" s="29">
        <v>0.98445572933615799</v>
      </c>
    </row>
    <row r="18857" spans="1:11" x14ac:dyDescent="0.35">
      <c r="A18857" s="9" t="str">
        <f>HYPERLINK("http://www.ensembl.org/id/WBGene00164983", "WBGene00164983")</f>
        <v>WBGene00164983</v>
      </c>
      <c r="B18857" s="9"/>
      <c r="C18857" s="9"/>
      <c r="D18857" t="str">
        <f>"C36A4.12"</f>
        <v>C36A4.12</v>
      </c>
      <c r="F18857" t="s">
        <v>80</v>
      </c>
      <c r="H18857" s="12">
        <v>1.16212332180192</v>
      </c>
      <c r="I18857" s="20">
        <v>0.248584075643593</v>
      </c>
      <c r="J18857" s="28">
        <v>0.80368252770199999</v>
      </c>
      <c r="K18857" s="29">
        <v>0.98445572933615799</v>
      </c>
    </row>
    <row r="18858" spans="1:11" x14ac:dyDescent="0.35">
      <c r="A18858" s="9" t="str">
        <f>HYPERLINK("http://www.ensembl.org/id/WBGene00017271", "WBGene00017271")</f>
        <v>WBGene00017271</v>
      </c>
      <c r="B18858" s="9" t="str">
        <f>HYPERLINK("http://www.ncbi.nlm.nih.gov/gene/184198", "184198")</f>
        <v>184198</v>
      </c>
      <c r="C18858" s="9"/>
      <c r="D18858" t="str">
        <f>"F08F8.6"</f>
        <v>F08F8.6</v>
      </c>
      <c r="F18858" t="s">
        <v>11</v>
      </c>
      <c r="G18858" t="s">
        <v>25</v>
      </c>
      <c r="H18858" s="12">
        <v>1.23057010777888</v>
      </c>
      <c r="I18858" s="20">
        <v>0.24873533886105001</v>
      </c>
      <c r="J18858" s="28">
        <v>0.80356551127780296</v>
      </c>
      <c r="K18858" s="29">
        <v>0.98445572933615799</v>
      </c>
    </row>
    <row r="18859" spans="1:11" x14ac:dyDescent="0.35">
      <c r="A18859" s="9" t="str">
        <f>HYPERLINK("http://www.ensembl.org/id/WBGene00013234", "WBGene00013234")</f>
        <v>WBGene00013234</v>
      </c>
      <c r="B18859" s="9" t="str">
        <f>HYPERLINK("http://www.ncbi.nlm.nih.gov/gene/190328", "190328")</f>
        <v>190328</v>
      </c>
      <c r="C18859" s="9"/>
      <c r="D18859" t="str">
        <f>"fbxb-24"</f>
        <v>fbxb-24</v>
      </c>
      <c r="E18859" t="s">
        <v>1436</v>
      </c>
      <c r="F18859" t="s">
        <v>11</v>
      </c>
      <c r="G18859" t="s">
        <v>54</v>
      </c>
      <c r="H18859" s="12">
        <v>1.1025202504561</v>
      </c>
      <c r="I18859" s="20">
        <v>0.248643032440585</v>
      </c>
      <c r="J18859" s="28">
        <v>0.80363691851256602</v>
      </c>
      <c r="K18859" s="29">
        <v>0.98445572933615799</v>
      </c>
    </row>
    <row r="18860" spans="1:11" x14ac:dyDescent="0.35">
      <c r="A18860" s="9" t="str">
        <f>HYPERLINK("http://www.ensembl.org/id/WBGene00003380", "WBGene00003380")</f>
        <v>WBGene00003380</v>
      </c>
      <c r="B18860" s="9" t="str">
        <f>HYPERLINK("http://www.ncbi.nlm.nih.gov/gene/182489", "182489")</f>
        <v>182489</v>
      </c>
      <c r="C18860" s="9"/>
      <c r="D18860" t="str">
        <f>"mnm-2"</f>
        <v>mnm-2</v>
      </c>
      <c r="E18860" t="s">
        <v>10146</v>
      </c>
      <c r="F18860" t="s">
        <v>11</v>
      </c>
      <c r="H18860" s="12">
        <v>1.05850742598473</v>
      </c>
      <c r="I18860" s="20">
        <v>0.248634419486363</v>
      </c>
      <c r="J18860" s="28">
        <v>0.80364358148311898</v>
      </c>
      <c r="K18860" s="29">
        <v>0.98445572933615799</v>
      </c>
    </row>
    <row r="18861" spans="1:11" x14ac:dyDescent="0.35">
      <c r="A18861" s="9" t="str">
        <f>HYPERLINK("http://www.ensembl.org/id/WBGene00017498", "WBGene00017498")</f>
        <v>WBGene00017498</v>
      </c>
      <c r="B18861" s="9" t="str">
        <f>HYPERLINK("http://www.ncbi.nlm.nih.gov/gene/178712", "178712")</f>
        <v>178712</v>
      </c>
      <c r="C18861" s="9"/>
      <c r="D18861" t="str">
        <f>"pud-4"</f>
        <v>pud-4</v>
      </c>
      <c r="E18861" t="s">
        <v>4437</v>
      </c>
      <c r="F18861" t="s">
        <v>11</v>
      </c>
      <c r="H18861" s="12">
        <v>-1.06631611821483</v>
      </c>
      <c r="I18861" s="20">
        <v>-0.24882499128667801</v>
      </c>
      <c r="J18861" s="28">
        <v>0.80349615871379299</v>
      </c>
      <c r="K18861" s="29">
        <v>0.98445572933615799</v>
      </c>
    </row>
    <row r="18862" spans="1:11" x14ac:dyDescent="0.35">
      <c r="A18862" s="9" t="str">
        <f>HYPERLINK("http://www.ensembl.org/id/WBGene00011176", "WBGene00011176")</f>
        <v>WBGene00011176</v>
      </c>
      <c r="B18862" s="9" t="str">
        <f>HYPERLINK("http://www.ncbi.nlm.nih.gov/gene/177916", "177916")</f>
        <v>177916</v>
      </c>
      <c r="C18862" s="9"/>
      <c r="D18862" t="str">
        <f>"R09E10.6"</f>
        <v>R09E10.6</v>
      </c>
      <c r="F18862" t="s">
        <v>11</v>
      </c>
      <c r="H18862" s="12">
        <v>-1.1119128364975199</v>
      </c>
      <c r="I18862" s="20">
        <v>-0.248601485469711</v>
      </c>
      <c r="J18862" s="28">
        <v>0.80366905932856703</v>
      </c>
      <c r="K18862" s="29">
        <v>0.98445572933615799</v>
      </c>
    </row>
    <row r="18863" spans="1:11" x14ac:dyDescent="0.35">
      <c r="A18863" s="9" t="str">
        <f>HYPERLINK("http://www.ensembl.org/id/WBGene00011379", "WBGene00011379")</f>
        <v>WBGene00011379</v>
      </c>
      <c r="B18863" s="9" t="str">
        <f>HYPERLINK("http://www.ncbi.nlm.nih.gov/gene/187988", "187988")</f>
        <v>187988</v>
      </c>
      <c r="C18863" s="9"/>
      <c r="D18863" t="str">
        <f>"T02E1.7"</f>
        <v>T02E1.7</v>
      </c>
      <c r="F18863" t="s">
        <v>11</v>
      </c>
      <c r="G18863" t="s">
        <v>25</v>
      </c>
      <c r="H18863" s="12">
        <v>1.39352822884792</v>
      </c>
      <c r="I18863" s="20">
        <v>0.24907557143338999</v>
      </c>
      <c r="J18863" s="28">
        <v>0.80330232525318501</v>
      </c>
      <c r="K18863" s="29">
        <v>0.98445572933615799</v>
      </c>
    </row>
    <row r="18864" spans="1:11" x14ac:dyDescent="0.35">
      <c r="A18864" s="9" t="str">
        <f>HYPERLINK("http://www.ensembl.org/id/WBGene00020313", "WBGene00020313")</f>
        <v>WBGene00020313</v>
      </c>
      <c r="B18864" s="9" t="str">
        <f>HYPERLINK("http://www.ncbi.nlm.nih.gov/gene/188232", "188232")</f>
        <v>188232</v>
      </c>
      <c r="C18864" s="9"/>
      <c r="D18864" t="str">
        <f>"T07E3.2"</f>
        <v>T07E3.2</v>
      </c>
      <c r="F18864" t="s">
        <v>11</v>
      </c>
      <c r="G18864" t="s">
        <v>25</v>
      </c>
      <c r="H18864" s="12">
        <v>1.5083113953684399</v>
      </c>
      <c r="I18864" s="20">
        <v>0.24853459945255599</v>
      </c>
      <c r="J18864" s="28">
        <v>0.80372080317654704</v>
      </c>
      <c r="K18864" s="29">
        <v>0.98445572933615799</v>
      </c>
    </row>
    <row r="18865" spans="1:11" x14ac:dyDescent="0.35">
      <c r="A18865" s="9" t="str">
        <f>HYPERLINK("http://www.ensembl.org/id/WBGene00022817", "WBGene00022817")</f>
        <v>WBGene00022817</v>
      </c>
      <c r="B18865" s="9" t="str">
        <f>HYPERLINK("http://www.ncbi.nlm.nih.gov/gene/176077", "176077")</f>
        <v>176077</v>
      </c>
      <c r="C18865" s="9" t="str">
        <f>HYPERLINK("http://www.ncbi.nlm.nih.gov/gene/151531", "151531")</f>
        <v>151531</v>
      </c>
      <c r="D18865" t="str">
        <f>"upp-1"</f>
        <v>upp-1</v>
      </c>
      <c r="E18865" t="s">
        <v>10149</v>
      </c>
      <c r="F18865" t="s">
        <v>11</v>
      </c>
      <c r="G18865" t="s">
        <v>10150</v>
      </c>
      <c r="H18865" s="12">
        <v>-1.04830673921367</v>
      </c>
      <c r="I18865" s="20">
        <v>-0.24881282767064999</v>
      </c>
      <c r="J18865" s="28">
        <v>0.80350556805014794</v>
      </c>
      <c r="K18865" s="29">
        <v>0.98445572933615799</v>
      </c>
    </row>
    <row r="18866" spans="1:11" x14ac:dyDescent="0.35">
      <c r="A18866" s="9" t="str">
        <f>HYPERLINK("http://www.ensembl.org/id/WBGene00022269", "WBGene00022269")</f>
        <v>WBGene00022269</v>
      </c>
      <c r="B18866" s="9" t="str">
        <f>HYPERLINK("http://www.ncbi.nlm.nih.gov/gene/171723", "171723")</f>
        <v>171723</v>
      </c>
      <c r="C18866" s="9" t="str">
        <f>HYPERLINK("http://www.ncbi.nlm.nih.gov/gene/26574", "26574")</f>
        <v>26574</v>
      </c>
      <c r="D18866" t="str">
        <f>"Y73E7A.2"</f>
        <v>Y73E7A.2</v>
      </c>
      <c r="F18866" t="s">
        <v>11</v>
      </c>
      <c r="G18866" t="s">
        <v>10151</v>
      </c>
      <c r="H18866" s="12">
        <v>-1.06502964798789</v>
      </c>
      <c r="I18866" s="20">
        <v>-0.24877185790978201</v>
      </c>
      <c r="J18866" s="28">
        <v>0.80353726099471201</v>
      </c>
      <c r="K18866" s="29">
        <v>0.98445572933615799</v>
      </c>
    </row>
    <row r="18867" spans="1:11" x14ac:dyDescent="0.35">
      <c r="A18867" s="9" t="str">
        <f>HYPERLINK("http://www.ensembl.org/id/WBGene00012713", "WBGene00012713")</f>
        <v>WBGene00012713</v>
      </c>
      <c r="B18867" s="9" t="str">
        <f>HYPERLINK("http://www.ncbi.nlm.nih.gov/gene/176716", "176716")</f>
        <v>176716</v>
      </c>
      <c r="C18867" s="9" t="str">
        <f>HYPERLINK("http://www.ncbi.nlm.nih.gov/gene/593", "593")</f>
        <v>593</v>
      </c>
      <c r="D18867" t="str">
        <f>"bckd-1A"</f>
        <v>bckd-1A</v>
      </c>
      <c r="E18867" t="s">
        <v>10156</v>
      </c>
      <c r="F18867" t="s">
        <v>11</v>
      </c>
      <c r="G18867" t="s">
        <v>10157</v>
      </c>
      <c r="H18867" s="12">
        <v>-1.0503406805202899</v>
      </c>
      <c r="I18867" s="20">
        <v>-0.24824862749424301</v>
      </c>
      <c r="J18867" s="28">
        <v>0.80394204430937999</v>
      </c>
      <c r="K18867" s="29">
        <v>0.98447598145422499</v>
      </c>
    </row>
    <row r="18868" spans="1:11" x14ac:dyDescent="0.35">
      <c r="A18868" s="9" t="str">
        <f>HYPERLINK("http://www.ensembl.org/id/WBGene00016550", "WBGene00016550")</f>
        <v>WBGene00016550</v>
      </c>
      <c r="B18868" s="9" t="str">
        <f>HYPERLINK("http://www.ncbi.nlm.nih.gov/gene/183355", "183355")</f>
        <v>183355</v>
      </c>
      <c r="C18868" s="9"/>
      <c r="D18868" t="str">
        <f>"C40A11.7"</f>
        <v>C40A11.7</v>
      </c>
      <c r="F18868" t="s">
        <v>11</v>
      </c>
      <c r="G18868" t="s">
        <v>1343</v>
      </c>
      <c r="H18868" s="12">
        <v>1.2668132115328401</v>
      </c>
      <c r="I18868" s="20">
        <v>0.248206290828028</v>
      </c>
      <c r="J18868" s="28">
        <v>0.80397479924758797</v>
      </c>
      <c r="K18868" s="29">
        <v>0.98447598145422499</v>
      </c>
    </row>
    <row r="18869" spans="1:11" x14ac:dyDescent="0.35">
      <c r="A18869" s="9" t="str">
        <f>HYPERLINK("http://www.ensembl.org/id/WBGene00017419", "WBGene00017419")</f>
        <v>WBGene00017419</v>
      </c>
      <c r="B18869" s="9" t="str">
        <f>HYPERLINK("http://www.ncbi.nlm.nih.gov/gene/181084", "181084")</f>
        <v>181084</v>
      </c>
      <c r="C18869" s="9"/>
      <c r="D18869" t="str">
        <f>"F13B9.1"</f>
        <v>F13B9.1</v>
      </c>
      <c r="E18869" t="s">
        <v>10152</v>
      </c>
      <c r="F18869" t="s">
        <v>11</v>
      </c>
      <c r="G18869" t="s">
        <v>10153</v>
      </c>
      <c r="H18869" s="12">
        <v>1.04606163530507</v>
      </c>
      <c r="I18869" s="20">
        <v>0.24818279333860799</v>
      </c>
      <c r="J18869" s="28">
        <v>0.80399297888172905</v>
      </c>
      <c r="K18869" s="29">
        <v>0.98447598145422499</v>
      </c>
    </row>
    <row r="18870" spans="1:11" x14ac:dyDescent="0.35">
      <c r="A18870" s="9" t="str">
        <f>HYPERLINK("http://www.ensembl.org/id/WBGene00002264", "WBGene00002264")</f>
        <v>WBGene00002264</v>
      </c>
      <c r="B18870" s="9" t="str">
        <f>HYPERLINK("http://www.ncbi.nlm.nih.gov/gene/174964", "174964")</f>
        <v>174964</v>
      </c>
      <c r="C18870" s="9"/>
      <c r="D18870" t="str">
        <f>"lec-1"</f>
        <v>lec-1</v>
      </c>
      <c r="E18870" t="s">
        <v>10154</v>
      </c>
      <c r="F18870" t="s">
        <v>11</v>
      </c>
      <c r="G18870" t="s">
        <v>10155</v>
      </c>
      <c r="H18870" s="12">
        <v>-1.0463124579545799</v>
      </c>
      <c r="I18870" s="20">
        <v>-0.24818606594098599</v>
      </c>
      <c r="J18870" s="28">
        <v>0.80399044691492205</v>
      </c>
      <c r="K18870" s="29">
        <v>0.98447598145422499</v>
      </c>
    </row>
    <row r="18871" spans="1:11" x14ac:dyDescent="0.35">
      <c r="A18871" s="9" t="str">
        <f>HYPERLINK("http://www.ensembl.org/id/WBGene00219660", "WBGene00219660")</f>
        <v>WBGene00219660</v>
      </c>
      <c r="B18871" s="9"/>
      <c r="C18871" s="9"/>
      <c r="D18871" t="str">
        <f>"linc-19"</f>
        <v>linc-19</v>
      </c>
      <c r="F18871" t="s">
        <v>1510</v>
      </c>
      <c r="H18871" s="12">
        <v>1.09303511758883</v>
      </c>
      <c r="I18871" s="20">
        <v>0.24835880062735</v>
      </c>
      <c r="J18871" s="28">
        <v>0.80385680741732402</v>
      </c>
      <c r="K18871" s="29">
        <v>0.98447598145422499</v>
      </c>
    </row>
    <row r="18872" spans="1:11" x14ac:dyDescent="0.35">
      <c r="A18872" s="9" t="str">
        <f>HYPERLINK("http://www.ensembl.org/id/WBGene00021296", "WBGene00021296")</f>
        <v>WBGene00021296</v>
      </c>
      <c r="B18872" s="9" t="str">
        <f>HYPERLINK("http://www.ncbi.nlm.nih.gov/gene/173657", "173657")</f>
        <v>173657</v>
      </c>
      <c r="C18872" s="9" t="str">
        <f>HYPERLINK("http://www.ncbi.nlm.nih.gov/gene/1891", "1891")</f>
        <v>1891</v>
      </c>
      <c r="D18872" t="str">
        <f>"Y25C1A.13"</f>
        <v>Y25C1A.13</v>
      </c>
      <c r="F18872" t="s">
        <v>11</v>
      </c>
      <c r="G18872" t="s">
        <v>6226</v>
      </c>
      <c r="H18872" s="12">
        <v>-1.0491350085840201</v>
      </c>
      <c r="I18872" s="20">
        <v>-0.24841506644397399</v>
      </c>
      <c r="J18872" s="28">
        <v>0.80381327752861798</v>
      </c>
      <c r="K18872" s="29">
        <v>0.98447598145422499</v>
      </c>
    </row>
    <row r="18873" spans="1:11" x14ac:dyDescent="0.35">
      <c r="A18873" s="9" t="str">
        <f>HYPERLINK("http://www.ensembl.org/id/WBGene00220030", "WBGene00220030")</f>
        <v>WBGene00220030</v>
      </c>
      <c r="B18873" s="9"/>
      <c r="C18873" s="9"/>
      <c r="D18873" t="str">
        <f>"M03F4.13"</f>
        <v>M03F4.13</v>
      </c>
      <c r="F18873" t="s">
        <v>481</v>
      </c>
      <c r="H18873" s="12">
        <v>-1.41102289940342</v>
      </c>
      <c r="I18873" s="20">
        <v>-0.24804322157661199</v>
      </c>
      <c r="J18873" s="28">
        <v>0.80410096552070198</v>
      </c>
      <c r="K18873" s="29">
        <v>0.98453171952285201</v>
      </c>
    </row>
    <row r="18874" spans="1:11" x14ac:dyDescent="0.35">
      <c r="A18874" s="9" t="str">
        <f>HYPERLINK("http://www.ensembl.org/id/WBGene00011098", "WBGene00011098")</f>
        <v>WBGene00011098</v>
      </c>
      <c r="B18874" s="9" t="str">
        <f>HYPERLINK("http://www.ncbi.nlm.nih.gov/gene/187661", "187661")</f>
        <v>187661</v>
      </c>
      <c r="C18874" s="9"/>
      <c r="D18874" t="str">
        <f>"nhr-207"</f>
        <v>nhr-207</v>
      </c>
      <c r="E18874" t="s">
        <v>637</v>
      </c>
      <c r="F18874" t="s">
        <v>11</v>
      </c>
      <c r="G18874" t="s">
        <v>4754</v>
      </c>
      <c r="H18874" s="12">
        <v>1.1578737531891301</v>
      </c>
      <c r="I18874" s="20">
        <v>0.24801381578380099</v>
      </c>
      <c r="J18874" s="28">
        <v>0.80412371725245702</v>
      </c>
      <c r="K18874" s="29">
        <v>0.98453171952285201</v>
      </c>
    </row>
    <row r="18875" spans="1:11" x14ac:dyDescent="0.35">
      <c r="A18875" s="9" t="str">
        <f>HYPERLINK("http://www.ensembl.org/id/WBGene00000752", "WBGene00000752")</f>
        <v>WBGene00000752</v>
      </c>
      <c r="B18875" s="9" t="str">
        <f>HYPERLINK("http://www.ncbi.nlm.nih.gov/gene/181308", "181308")</f>
        <v>181308</v>
      </c>
      <c r="C18875" s="9"/>
      <c r="D18875" t="str">
        <f>"col-179"</f>
        <v>col-179</v>
      </c>
      <c r="E18875" t="s">
        <v>40</v>
      </c>
      <c r="F18875" t="s">
        <v>11</v>
      </c>
      <c r="G18875" t="s">
        <v>10158</v>
      </c>
      <c r="H18875" s="12">
        <v>-1.06276394799882</v>
      </c>
      <c r="I18875" s="20">
        <v>-0.24770640045056899</v>
      </c>
      <c r="J18875" s="28">
        <v>0.80436157933897701</v>
      </c>
      <c r="K18875" s="29">
        <v>0.98477076523109197</v>
      </c>
    </row>
    <row r="18876" spans="1:11" x14ac:dyDescent="0.35">
      <c r="A18876" s="9" t="str">
        <f>HYPERLINK("http://www.ensembl.org/id/WBGene00000836", "WBGene00000836")</f>
        <v>WBGene00000836</v>
      </c>
      <c r="B18876" s="9" t="str">
        <f>HYPERLINK("http://www.ncbi.nlm.nih.gov/gene/176466", "176466")</f>
        <v>176466</v>
      </c>
      <c r="C18876" s="9" t="str">
        <f>HYPERLINK("http://www.ncbi.nlm.nih.gov/gene/8454", "8454")</f>
        <v>8454</v>
      </c>
      <c r="D18876" t="str">
        <f>"cul-1"</f>
        <v>cul-1</v>
      </c>
      <c r="E18876" t="s">
        <v>10161</v>
      </c>
      <c r="F18876" t="s">
        <v>11</v>
      </c>
      <c r="G18876" t="s">
        <v>3187</v>
      </c>
      <c r="H18876" s="12">
        <v>-1.05021608773575</v>
      </c>
      <c r="I18876" s="20">
        <v>-0.24746264616236299</v>
      </c>
      <c r="J18876" s="28">
        <v>0.80455019667760297</v>
      </c>
      <c r="K18876" s="29">
        <v>0.98488009661924703</v>
      </c>
    </row>
    <row r="18877" spans="1:11" x14ac:dyDescent="0.35">
      <c r="A18877" s="9" t="str">
        <f>HYPERLINK("http://www.ensembl.org/id/WBGene00017922", "WBGene00017922")</f>
        <v>WBGene00017922</v>
      </c>
      <c r="B18877" s="9" t="str">
        <f>HYPERLINK("http://www.ncbi.nlm.nih.gov/gene/185108", "185108")</f>
        <v>185108</v>
      </c>
      <c r="C18877" s="9"/>
      <c r="D18877" t="str">
        <f>"F29B9.7"</f>
        <v>F29B9.7</v>
      </c>
      <c r="F18877" t="s">
        <v>11</v>
      </c>
      <c r="G18877" t="s">
        <v>25</v>
      </c>
      <c r="H18877" s="12">
        <v>-1.39464318084466</v>
      </c>
      <c r="I18877" s="20">
        <v>-0.247424664677521</v>
      </c>
      <c r="J18877" s="28">
        <v>0.80457958781753303</v>
      </c>
      <c r="K18877" s="29">
        <v>0.98488009661924703</v>
      </c>
    </row>
    <row r="18878" spans="1:11" x14ac:dyDescent="0.35">
      <c r="A18878" s="9" t="str">
        <f>HYPERLINK("http://www.ensembl.org/id/WBGene00007505", "WBGene00007505")</f>
        <v>WBGene00007505</v>
      </c>
      <c r="B18878" s="9" t="str">
        <f>HYPERLINK("http://www.ncbi.nlm.nih.gov/gene/182492", "182492")</f>
        <v>182492</v>
      </c>
      <c r="C18878" s="9"/>
      <c r="D18878" t="str">
        <f>"pezo-1"</f>
        <v>pezo-1</v>
      </c>
      <c r="E18878" t="s">
        <v>10159</v>
      </c>
      <c r="F18878" t="s">
        <v>11</v>
      </c>
      <c r="G18878" t="s">
        <v>10160</v>
      </c>
      <c r="H18878" s="12">
        <v>-1.0454000539409301</v>
      </c>
      <c r="I18878" s="20">
        <v>-0.24742019431864701</v>
      </c>
      <c r="J18878" s="28">
        <v>0.80458304712497697</v>
      </c>
      <c r="K18878" s="29">
        <v>0.98488009661924703</v>
      </c>
    </row>
    <row r="18879" spans="1:11" x14ac:dyDescent="0.35">
      <c r="A18879" s="9" t="str">
        <f>HYPERLINK("http://www.ensembl.org/id/WBGene00020006", "WBGene00020006")</f>
        <v>WBGene00020006</v>
      </c>
      <c r="B18879" s="9" t="str">
        <f>HYPERLINK("http://www.ncbi.nlm.nih.gov/gene/187813", "187813")</f>
        <v>187813</v>
      </c>
      <c r="C18879" s="9"/>
      <c r="D18879" t="str">
        <f>"set-15"</f>
        <v>set-15</v>
      </c>
      <c r="E18879" t="s">
        <v>2055</v>
      </c>
      <c r="F18879" t="s">
        <v>11</v>
      </c>
      <c r="G18879" t="s">
        <v>10162</v>
      </c>
      <c r="H18879" s="12">
        <v>-1.0642785863578501</v>
      </c>
      <c r="I18879" s="20">
        <v>-0.24737065948182199</v>
      </c>
      <c r="J18879" s="28">
        <v>0.80462137903062103</v>
      </c>
      <c r="K18879" s="29">
        <v>0.98488009661924703</v>
      </c>
    </row>
    <row r="18880" spans="1:11" x14ac:dyDescent="0.35">
      <c r="A18880" s="9" t="str">
        <f>HYPERLINK("http://www.ensembl.org/id/WBGene00015714", "WBGene00015714")</f>
        <v>WBGene00015714</v>
      </c>
      <c r="B18880" s="9" t="str">
        <f>HYPERLINK("http://www.ncbi.nlm.nih.gov/gene/182545", "182545")</f>
        <v>182545</v>
      </c>
      <c r="C18880" s="9"/>
      <c r="D18880" t="str">
        <f>"C12D12.3"</f>
        <v>C12D12.3</v>
      </c>
      <c r="F18880" t="s">
        <v>11</v>
      </c>
      <c r="G18880" t="s">
        <v>25</v>
      </c>
      <c r="H18880" s="12">
        <v>1.11986599587816</v>
      </c>
      <c r="I18880" s="20">
        <v>0.24703018978644101</v>
      </c>
      <c r="J18880" s="28">
        <v>0.80488485989361302</v>
      </c>
      <c r="K18880" s="29">
        <v>0.98491874699257098</v>
      </c>
    </row>
    <row r="18881" spans="1:11" x14ac:dyDescent="0.35">
      <c r="A18881" s="9" t="str">
        <f>HYPERLINK("http://www.ensembl.org/id/WBGene00015764", "WBGene00015764")</f>
        <v>WBGene00015764</v>
      </c>
      <c r="B18881" s="9" t="str">
        <f>HYPERLINK("http://www.ncbi.nlm.nih.gov/gene/182607", "182607")</f>
        <v>182607</v>
      </c>
      <c r="C18881" s="9"/>
      <c r="D18881" t="str">
        <f>"C14C6.13"</f>
        <v>C14C6.13</v>
      </c>
      <c r="F18881" t="s">
        <v>11</v>
      </c>
      <c r="H18881" s="12">
        <v>-1.3900865811243399</v>
      </c>
      <c r="I18881" s="20">
        <v>-0.24695887028711799</v>
      </c>
      <c r="J18881" s="28">
        <v>0.80494005505376598</v>
      </c>
      <c r="K18881" s="29">
        <v>0.98491874699257098</v>
      </c>
    </row>
    <row r="18882" spans="1:11" x14ac:dyDescent="0.35">
      <c r="A18882" s="9" t="str">
        <f>HYPERLINK("http://www.ensembl.org/id/WBGene00219971", "WBGene00219971")</f>
        <v>WBGene00219971</v>
      </c>
      <c r="B18882" s="9"/>
      <c r="C18882" s="9"/>
      <c r="D18882" t="str">
        <f>"F54G2.4"</f>
        <v>F54G2.4</v>
      </c>
      <c r="F18882" t="s">
        <v>2977</v>
      </c>
      <c r="H18882" s="12">
        <v>-1.2736128895241401</v>
      </c>
      <c r="I18882" s="20">
        <v>-0.246786939669561</v>
      </c>
      <c r="J18882" s="28">
        <v>0.80507311856465502</v>
      </c>
      <c r="K18882" s="29">
        <v>0.98491874699257098</v>
      </c>
    </row>
    <row r="18883" spans="1:11" x14ac:dyDescent="0.35">
      <c r="A18883" s="9" t="str">
        <f>HYPERLINK("http://www.ensembl.org/id/WBGene00007388", "WBGene00007388")</f>
        <v>WBGene00007388</v>
      </c>
      <c r="B18883" s="9" t="str">
        <f>HYPERLINK("http://www.ncbi.nlm.nih.gov/gene/179544", "179544")</f>
        <v>179544</v>
      </c>
      <c r="C18883" s="9" t="str">
        <f>HYPERLINK("http://www.ncbi.nlm.nih.gov/gene/10560", "10560")</f>
        <v>10560</v>
      </c>
      <c r="D18883" t="str">
        <f>"folt-1"</f>
        <v>folt-1</v>
      </c>
      <c r="E18883" t="s">
        <v>10163</v>
      </c>
      <c r="F18883" t="s">
        <v>11</v>
      </c>
      <c r="G18883" t="s">
        <v>10041</v>
      </c>
      <c r="H18883" s="12">
        <v>1.0695876945548299</v>
      </c>
      <c r="I18883" s="20">
        <v>0.246558764139095</v>
      </c>
      <c r="J18883" s="28">
        <v>0.80524972082734603</v>
      </c>
      <c r="K18883" s="29">
        <v>0.98491874699257098</v>
      </c>
    </row>
    <row r="18884" spans="1:11" x14ac:dyDescent="0.35">
      <c r="A18884" s="9" t="str">
        <f>HYPERLINK("http://www.ensembl.org/id/WBGene00019260", "WBGene00019260")</f>
        <v>WBGene00019260</v>
      </c>
      <c r="B18884" s="9" t="str">
        <f>HYPERLINK("http://www.ncbi.nlm.nih.gov/gene/175402", "175402")</f>
        <v>175402</v>
      </c>
      <c r="C18884" s="9"/>
      <c r="D18884" t="str">
        <f>"H34I24.1"</f>
        <v>H34I24.1</v>
      </c>
      <c r="F18884" t="s">
        <v>11</v>
      </c>
      <c r="H18884" s="12">
        <v>1.30168102134759</v>
      </c>
      <c r="I18884" s="20">
        <v>0.24671478404368599</v>
      </c>
      <c r="J18884" s="28">
        <v>0.80512896417415802</v>
      </c>
      <c r="K18884" s="29">
        <v>0.98491874699257098</v>
      </c>
    </row>
    <row r="18885" spans="1:11" x14ac:dyDescent="0.35">
      <c r="A18885" s="9" t="str">
        <f>HYPERLINK("http://www.ensembl.org/id/WBGene00010943", "WBGene00010943")</f>
        <v>WBGene00010943</v>
      </c>
      <c r="B18885" s="9" t="str">
        <f>HYPERLINK("http://www.ncbi.nlm.nih.gov/gene/174495", "174495")</f>
        <v>174495</v>
      </c>
      <c r="C18885" s="9"/>
      <c r="D18885" t="str">
        <f>"M176.4"</f>
        <v>M176.4</v>
      </c>
      <c r="F18885" t="s">
        <v>11</v>
      </c>
      <c r="G18885" t="s">
        <v>10165</v>
      </c>
      <c r="H18885" s="12">
        <v>-1.05395945333425</v>
      </c>
      <c r="I18885" s="20">
        <v>-0.24660081329265399</v>
      </c>
      <c r="J18885" s="28">
        <v>0.80521717506705404</v>
      </c>
      <c r="K18885" s="29">
        <v>0.98491874699257098</v>
      </c>
    </row>
    <row r="18886" spans="1:11" x14ac:dyDescent="0.35">
      <c r="A18886" s="9" t="str">
        <f>HYPERLINK("http://www.ensembl.org/id/WBGene00019115", "WBGene00019115")</f>
        <v>WBGene00019115</v>
      </c>
      <c r="B18886" s="9" t="str">
        <f>HYPERLINK("http://www.ncbi.nlm.nih.gov/gene/186625", "186625")</f>
        <v>186625</v>
      </c>
      <c r="C18886" s="9"/>
      <c r="D18886" t="str">
        <f>"nhr-195"</f>
        <v>nhr-195</v>
      </c>
      <c r="E18886" t="s">
        <v>637</v>
      </c>
      <c r="F18886" t="s">
        <v>11</v>
      </c>
      <c r="G18886" t="s">
        <v>1073</v>
      </c>
      <c r="H18886" s="12">
        <v>1.07031482781729</v>
      </c>
      <c r="I18886" s="20">
        <v>0.24704756149180401</v>
      </c>
      <c r="J18886" s="28">
        <v>0.80487141583461397</v>
      </c>
      <c r="K18886" s="29">
        <v>0.98491874699257098</v>
      </c>
    </row>
    <row r="18887" spans="1:11" x14ac:dyDescent="0.35">
      <c r="A18887" s="9" t="str">
        <f>HYPERLINK("http://www.ensembl.org/id/WBGene00005275", "WBGene00005275")</f>
        <v>WBGene00005275</v>
      </c>
      <c r="B18887" s="9" t="str">
        <f>HYPERLINK("http://www.ncbi.nlm.nih.gov/gene/187714", "187714")</f>
        <v>187714</v>
      </c>
      <c r="C18887" s="9"/>
      <c r="D18887" t="str">
        <f>"srh-52"</f>
        <v>srh-52</v>
      </c>
      <c r="E18887" t="s">
        <v>153</v>
      </c>
      <c r="F18887" t="s">
        <v>11</v>
      </c>
      <c r="G18887" t="s">
        <v>25</v>
      </c>
      <c r="H18887" s="12">
        <v>2.1356264547535102</v>
      </c>
      <c r="I18887" s="20">
        <v>0.246776684976101</v>
      </c>
      <c r="J18887" s="28">
        <v>0.80508105523245999</v>
      </c>
      <c r="K18887" s="29">
        <v>0.98491874699257098</v>
      </c>
    </row>
    <row r="18888" spans="1:11" x14ac:dyDescent="0.35">
      <c r="A18888" s="9" t="str">
        <f>HYPERLINK("http://www.ensembl.org/id/WBGene00020274", "WBGene00020274")</f>
        <v>WBGene00020274</v>
      </c>
      <c r="B18888" s="9" t="str">
        <f>HYPERLINK("http://www.ncbi.nlm.nih.gov/gene/179024", "179024")</f>
        <v>179024</v>
      </c>
      <c r="C18888" s="9"/>
      <c r="D18888" t="str">
        <f>"T05H4.11"</f>
        <v>T05H4.11</v>
      </c>
      <c r="F18888" t="s">
        <v>11</v>
      </c>
      <c r="H18888" s="12">
        <v>-1.05916253570757</v>
      </c>
      <c r="I18888" s="20">
        <v>-0.24673324374584801</v>
      </c>
      <c r="J18888" s="28">
        <v>0.80511467699786099</v>
      </c>
      <c r="K18888" s="29">
        <v>0.98491874699257098</v>
      </c>
    </row>
    <row r="18889" spans="1:11" x14ac:dyDescent="0.35">
      <c r="A18889" s="9" t="str">
        <f>HYPERLINK("http://www.ensembl.org/id/WBGene00220088", "WBGene00220088")</f>
        <v>WBGene00220088</v>
      </c>
      <c r="B18889" s="9"/>
      <c r="C18889" s="9"/>
      <c r="D18889" t="str">
        <f>"T23F11.12"</f>
        <v>T23F11.12</v>
      </c>
      <c r="F18889" t="s">
        <v>481</v>
      </c>
      <c r="H18889" s="12">
        <v>1.32149324144444</v>
      </c>
      <c r="I18889" s="20">
        <v>0.24689916752580099</v>
      </c>
      <c r="J18889" s="28">
        <v>0.80498626060509804</v>
      </c>
      <c r="K18889" s="29">
        <v>0.98491874699257098</v>
      </c>
    </row>
    <row r="18890" spans="1:11" x14ac:dyDescent="0.35">
      <c r="A18890" s="9" t="str">
        <f>HYPERLINK("http://www.ensembl.org/id/WBGene00201871", "WBGene00201871")</f>
        <v>WBGene00201871</v>
      </c>
      <c r="B18890" s="9"/>
      <c r="C18890" s="9"/>
      <c r="D18890" t="str">
        <f>"T24B8.21"</f>
        <v>T24B8.21</v>
      </c>
      <c r="F18890" t="s">
        <v>481</v>
      </c>
      <c r="H18890" s="12">
        <v>2.1356264547535102</v>
      </c>
      <c r="I18890" s="20">
        <v>0.246776684976101</v>
      </c>
      <c r="J18890" s="28">
        <v>0.80508105523245999</v>
      </c>
      <c r="K18890" s="29">
        <v>0.98491874699257098</v>
      </c>
    </row>
    <row r="18891" spans="1:11" x14ac:dyDescent="0.35">
      <c r="A18891" s="9" t="str">
        <f>HYPERLINK("http://www.ensembl.org/id/WBGene00020790", "WBGene00020790")</f>
        <v>WBGene00020790</v>
      </c>
      <c r="B18891" s="9" t="str">
        <f>HYPERLINK("http://www.ncbi.nlm.nih.gov/gene/188876", "188876")</f>
        <v>188876</v>
      </c>
      <c r="C18891" s="9"/>
      <c r="D18891" t="str">
        <f>"T25B6.4"</f>
        <v>T25B6.4</v>
      </c>
      <c r="F18891" t="s">
        <v>11</v>
      </c>
      <c r="G18891" t="s">
        <v>54</v>
      </c>
      <c r="H18891" s="12">
        <v>1.12903062895093</v>
      </c>
      <c r="I18891" s="20">
        <v>0.246755768463885</v>
      </c>
      <c r="J18891" s="28">
        <v>0.80509724372685298</v>
      </c>
      <c r="K18891" s="29">
        <v>0.98491874699257098</v>
      </c>
    </row>
    <row r="18892" spans="1:11" x14ac:dyDescent="0.35">
      <c r="A18892" s="9" t="str">
        <f>HYPERLINK("http://www.ensembl.org/id/WBGene00020797", "WBGene00020797")</f>
        <v>WBGene00020797</v>
      </c>
      <c r="B18892" s="9" t="str">
        <f>HYPERLINK("http://www.ncbi.nlm.nih.gov/gene/188894", "188894")</f>
        <v>188894</v>
      </c>
      <c r="C18892" s="9"/>
      <c r="D18892" t="str">
        <f>"T25D3.3"</f>
        <v>T25D3.3</v>
      </c>
      <c r="F18892" t="s">
        <v>11</v>
      </c>
      <c r="G18892" t="s">
        <v>10164</v>
      </c>
      <c r="H18892" s="12">
        <v>-1.05205415259341</v>
      </c>
      <c r="I18892" s="20">
        <v>-0.24721132943551299</v>
      </c>
      <c r="J18892" s="28">
        <v>0.80474467775225</v>
      </c>
      <c r="K18892" s="29">
        <v>0.98491874699257098</v>
      </c>
    </row>
    <row r="18893" spans="1:11" x14ac:dyDescent="0.35">
      <c r="A18893" s="9" t="str">
        <f>HYPERLINK("http://www.ensembl.org/id/WBGene00021247", "WBGene00021247")</f>
        <v>WBGene00021247</v>
      </c>
      <c r="B18893" s="9" t="str">
        <f>HYPERLINK("http://www.ncbi.nlm.nih.gov/gene/175314", "175314")</f>
        <v>175314</v>
      </c>
      <c r="C18893" s="9"/>
      <c r="D18893" t="str">
        <f>"Y22D7AL.9"</f>
        <v>Y22D7AL.9</v>
      </c>
      <c r="F18893" t="s">
        <v>11</v>
      </c>
      <c r="G18893" t="s">
        <v>54</v>
      </c>
      <c r="H18893" s="12">
        <v>1.0719273040327999</v>
      </c>
      <c r="I18893" s="20">
        <v>0.24665736790602899</v>
      </c>
      <c r="J18893" s="28">
        <v>0.80517340271122095</v>
      </c>
      <c r="K18893" s="29">
        <v>0.98491874699257098</v>
      </c>
    </row>
    <row r="18894" spans="1:11" x14ac:dyDescent="0.35">
      <c r="A18894" s="9" t="str">
        <f>HYPERLINK("http://www.ensembl.org/id/WBGene00220252", "WBGene00220252")</f>
        <v>WBGene00220252</v>
      </c>
      <c r="B18894" s="9"/>
      <c r="C18894" s="9"/>
      <c r="D18894" t="str">
        <f>"C02F4.12"</f>
        <v>C02F4.12</v>
      </c>
      <c r="F18894" t="s">
        <v>2735</v>
      </c>
      <c r="H18894" s="12">
        <v>1.39956173080762</v>
      </c>
      <c r="I18894" s="20">
        <v>0.246338994467934</v>
      </c>
      <c r="J18894" s="28">
        <v>0.80541982655465105</v>
      </c>
      <c r="K18894" s="29">
        <v>0.98507466188713599</v>
      </c>
    </row>
    <row r="18895" spans="1:11" x14ac:dyDescent="0.35">
      <c r="A18895" s="9" t="str">
        <f>HYPERLINK("http://www.ensembl.org/id/WBGene00015854", "WBGene00015854")</f>
        <v>WBGene00015854</v>
      </c>
      <c r="B18895" s="9" t="str">
        <f>HYPERLINK("http://www.ncbi.nlm.nih.gov/gene/173687", "173687")</f>
        <v>173687</v>
      </c>
      <c r="C18895" s="9"/>
      <c r="D18895" t="str">
        <f>"C16C8.17"</f>
        <v>C16C8.17</v>
      </c>
      <c r="F18895" t="s">
        <v>11</v>
      </c>
      <c r="H18895" s="12">
        <v>1.6981836158699499</v>
      </c>
      <c r="I18895" s="20">
        <v>0.245879420351511</v>
      </c>
      <c r="J18895" s="28">
        <v>0.80577557504552799</v>
      </c>
      <c r="K18895" s="29">
        <v>0.98515921868927103</v>
      </c>
    </row>
    <row r="18896" spans="1:11" x14ac:dyDescent="0.35">
      <c r="A18896" s="9" t="str">
        <f>HYPERLINK("http://www.ensembl.org/id/WBGene00009274", "WBGene00009274")</f>
        <v>WBGene00009274</v>
      </c>
      <c r="B18896" s="9" t="str">
        <f>HYPERLINK("http://www.ncbi.nlm.nih.gov/gene/185130", "185130")</f>
        <v>185130</v>
      </c>
      <c r="C18896" s="9"/>
      <c r="D18896" t="str">
        <f>"F30F8.5"</f>
        <v>F30F8.5</v>
      </c>
      <c r="F18896" t="s">
        <v>11</v>
      </c>
      <c r="H18896" s="12">
        <v>1.06747719500431</v>
      </c>
      <c r="I18896" s="20">
        <v>0.24601078557464201</v>
      </c>
      <c r="J18896" s="28">
        <v>0.80567388335879098</v>
      </c>
      <c r="K18896" s="29">
        <v>0.98515921868927103</v>
      </c>
    </row>
    <row r="18897" spans="1:11" x14ac:dyDescent="0.35">
      <c r="A18897" s="9" t="str">
        <f>HYPERLINK("http://www.ensembl.org/id/WBGene00050931", "WBGene00050931")</f>
        <v>WBGene00050931</v>
      </c>
      <c r="B18897" s="9" t="str">
        <f>HYPERLINK("http://www.ncbi.nlm.nih.gov/gene/6418654", "6418654")</f>
        <v>6418654</v>
      </c>
      <c r="C18897" s="9"/>
      <c r="D18897" t="str">
        <f>"F59B2.14"</f>
        <v>F59B2.14</v>
      </c>
      <c r="F18897" t="s">
        <v>11</v>
      </c>
      <c r="H18897" s="12">
        <v>1.6981836158699499</v>
      </c>
      <c r="I18897" s="20">
        <v>0.245879420351511</v>
      </c>
      <c r="J18897" s="28">
        <v>0.80577557504552799</v>
      </c>
      <c r="K18897" s="29">
        <v>0.98515921868927103</v>
      </c>
    </row>
    <row r="18898" spans="1:11" x14ac:dyDescent="0.35">
      <c r="A18898" s="9" t="str">
        <f>HYPERLINK("http://www.ensembl.org/id/WBGene00008354", "WBGene00008354")</f>
        <v>WBGene00008354</v>
      </c>
      <c r="B18898" s="9" t="str">
        <f>HYPERLINK("http://www.ncbi.nlm.nih.gov/gene/183902", "183902")</f>
        <v>183902</v>
      </c>
      <c r="C18898" s="9" t="str">
        <f>HYPERLINK("http://www.ncbi.nlm.nih.gov/gene/2653", "2653")</f>
        <v>2653</v>
      </c>
      <c r="D18898" t="str">
        <f>"gcsh-1"</f>
        <v>gcsh-1</v>
      </c>
      <c r="E18898" t="s">
        <v>7009</v>
      </c>
      <c r="F18898" t="s">
        <v>11</v>
      </c>
      <c r="G18898" t="s">
        <v>7010</v>
      </c>
      <c r="H18898" s="12">
        <v>1.0736656511042599</v>
      </c>
      <c r="I18898" s="20">
        <v>0.24586412226238299</v>
      </c>
      <c r="J18898" s="28">
        <v>0.80578741772736595</v>
      </c>
      <c r="K18898" s="29">
        <v>0.98515921868927103</v>
      </c>
    </row>
    <row r="18899" spans="1:11" x14ac:dyDescent="0.35">
      <c r="A18899" s="9" t="str">
        <f>HYPERLINK("http://www.ensembl.org/id/WBGene00010415", "WBGene00010415")</f>
        <v>WBGene00010415</v>
      </c>
      <c r="B18899" s="9" t="str">
        <f>HYPERLINK("http://www.ncbi.nlm.nih.gov/gene/186782", "186782")</f>
        <v>186782</v>
      </c>
      <c r="C18899" s="9"/>
      <c r="D18899" t="str">
        <f>"irld-39"</f>
        <v>irld-39</v>
      </c>
      <c r="E18899" t="s">
        <v>1627</v>
      </c>
      <c r="F18899" t="s">
        <v>11</v>
      </c>
      <c r="H18899" s="12">
        <v>1.6981836158699499</v>
      </c>
      <c r="I18899" s="20">
        <v>0.245879420351511</v>
      </c>
      <c r="J18899" s="28">
        <v>0.80577557504552799</v>
      </c>
      <c r="K18899" s="29">
        <v>0.98515921868927103</v>
      </c>
    </row>
    <row r="18900" spans="1:11" x14ac:dyDescent="0.35">
      <c r="A18900" s="9" t="str">
        <f>HYPERLINK("http://www.ensembl.org/id/WBGene00002990", "WBGene00002990")</f>
        <v>WBGene00002990</v>
      </c>
      <c r="B18900" s="9" t="str">
        <f>HYPERLINK("http://www.ncbi.nlm.nih.gov/gene/177016", "177016")</f>
        <v>177016</v>
      </c>
      <c r="C18900" s="9"/>
      <c r="D18900" t="str">
        <f>"lin-1"</f>
        <v>lin-1</v>
      </c>
      <c r="E18900" t="s">
        <v>10166</v>
      </c>
      <c r="F18900" t="s">
        <v>11</v>
      </c>
      <c r="G18900" t="s">
        <v>10167</v>
      </c>
      <c r="H18900" s="12">
        <v>-1.0570595271411201</v>
      </c>
      <c r="I18900" s="20">
        <v>-0.245880785029088</v>
      </c>
      <c r="J18900" s="28">
        <v>0.80577451861232796</v>
      </c>
      <c r="K18900" s="29">
        <v>0.98515921868927103</v>
      </c>
    </row>
    <row r="18901" spans="1:11" x14ac:dyDescent="0.35">
      <c r="A18901" s="9" t="str">
        <f>HYPERLINK("http://www.ensembl.org/id/WBGene00006277", "WBGene00006277")</f>
        <v>WBGene00006277</v>
      </c>
      <c r="B18901" s="9" t="str">
        <f>HYPERLINK("http://www.ncbi.nlm.nih.gov/gene/182295", "182295")</f>
        <v>182295</v>
      </c>
      <c r="C18901" s="9"/>
      <c r="D18901" t="str">
        <f>"str-250"</f>
        <v>str-250</v>
      </c>
      <c r="E18901" t="s">
        <v>590</v>
      </c>
      <c r="F18901" t="s">
        <v>11</v>
      </c>
      <c r="G18901" t="s">
        <v>591</v>
      </c>
      <c r="H18901" s="12">
        <v>1.6981836158699499</v>
      </c>
      <c r="I18901" s="20">
        <v>0.245879420351511</v>
      </c>
      <c r="J18901" s="28">
        <v>0.80577557504552799</v>
      </c>
      <c r="K18901" s="29">
        <v>0.98515921868927103</v>
      </c>
    </row>
    <row r="18902" spans="1:11" x14ac:dyDescent="0.35">
      <c r="A18902" s="9" t="str">
        <f>HYPERLINK("http://www.ensembl.org/id/WBGene00016982", "WBGene00016982")</f>
        <v>WBGene00016982</v>
      </c>
      <c r="B18902" s="9" t="str">
        <f>HYPERLINK("http://www.ncbi.nlm.nih.gov/gene/266886", "266886")</f>
        <v>266886</v>
      </c>
      <c r="C18902" s="9"/>
      <c r="D18902" t="str">
        <f>"C56G2.9"</f>
        <v>C56G2.9</v>
      </c>
      <c r="F18902" t="s">
        <v>11</v>
      </c>
      <c r="H18902" s="12">
        <v>-1.09010220290481</v>
      </c>
      <c r="I18902" s="20">
        <v>-0.24577940875041199</v>
      </c>
      <c r="J18902" s="28">
        <v>0.80585299765009999</v>
      </c>
      <c r="K18902" s="29">
        <v>0.98518726792080402</v>
      </c>
    </row>
    <row r="18903" spans="1:11" x14ac:dyDescent="0.35">
      <c r="A18903" s="9" t="str">
        <f>HYPERLINK("http://www.ensembl.org/id/WBGene00219780", "WBGene00219780")</f>
        <v>WBGene00219780</v>
      </c>
      <c r="B18903" s="9"/>
      <c r="C18903" s="9"/>
      <c r="D18903" t="str">
        <f>"B0228.10"</f>
        <v>B0228.10</v>
      </c>
      <c r="F18903" t="s">
        <v>2977</v>
      </c>
      <c r="H18903" s="12">
        <v>1.15024816387222</v>
      </c>
      <c r="I18903" s="20">
        <v>0.24562903322988799</v>
      </c>
      <c r="J18903" s="28">
        <v>0.80596941237154096</v>
      </c>
      <c r="K18903" s="29">
        <v>0.98523752859005698</v>
      </c>
    </row>
    <row r="18904" spans="1:11" x14ac:dyDescent="0.35">
      <c r="A18904" s="9" t="str">
        <f>HYPERLINK("http://www.ensembl.org/id/WBGene00019410", "WBGene00019410")</f>
        <v>WBGene00019410</v>
      </c>
      <c r="B18904" s="9" t="str">
        <f>HYPERLINK("http://www.ncbi.nlm.nih.gov/gene/173982", "173982")</f>
        <v>173982</v>
      </c>
      <c r="C18904" s="9"/>
      <c r="D18904" t="str">
        <f>"K05F1.9"</f>
        <v>K05F1.9</v>
      </c>
      <c r="E18904" t="s">
        <v>899</v>
      </c>
      <c r="F18904" t="s">
        <v>11</v>
      </c>
      <c r="G18904" t="s">
        <v>3403</v>
      </c>
      <c r="H18904" s="12">
        <v>-1.22528242371914</v>
      </c>
      <c r="I18904" s="20">
        <v>-0.245616146274897</v>
      </c>
      <c r="J18904" s="28">
        <v>0.80597938913742095</v>
      </c>
      <c r="K18904" s="29">
        <v>0.98523752859005698</v>
      </c>
    </row>
    <row r="18905" spans="1:11" x14ac:dyDescent="0.35">
      <c r="A18905" s="9" t="str">
        <f>HYPERLINK("http://www.ensembl.org/id/WBGene00008362", "WBGene00008362")</f>
        <v>WBGene00008362</v>
      </c>
      <c r="B18905" s="9" t="str">
        <f>HYPERLINK("http://www.ncbi.nlm.nih.gov/gene/177710", "177710")</f>
        <v>177710</v>
      </c>
      <c r="C18905" s="9"/>
      <c r="D18905" t="str">
        <f>"cfim-2"</f>
        <v>cfim-2</v>
      </c>
      <c r="E18905" t="s">
        <v>9725</v>
      </c>
      <c r="F18905" t="s">
        <v>11</v>
      </c>
      <c r="G18905" t="s">
        <v>10168</v>
      </c>
      <c r="H18905" s="12">
        <v>1.0495001105764199</v>
      </c>
      <c r="I18905" s="20">
        <v>0.245560816792223</v>
      </c>
      <c r="J18905" s="28">
        <v>0.80602222423070402</v>
      </c>
      <c r="K18905" s="29">
        <v>0.98523776718376199</v>
      </c>
    </row>
    <row r="18906" spans="1:11" x14ac:dyDescent="0.35">
      <c r="A18906" s="9" t="str">
        <f>HYPERLINK("http://www.ensembl.org/id/WBGene00006823", "WBGene00006823")</f>
        <v>WBGene00006823</v>
      </c>
      <c r="B18906" s="9" t="str">
        <f>HYPERLINK("http://www.ncbi.nlm.nih.gov/gene/172275", "172275")</f>
        <v>172275</v>
      </c>
      <c r="C18906" s="9" t="str">
        <f>HYPERLINK("http://www.ncbi.nlm.nih.gov/gene/7111", "7111")</f>
        <v>7111</v>
      </c>
      <c r="D18906" t="str">
        <f>"unc-94"</f>
        <v>unc-94</v>
      </c>
      <c r="E18906" t="s">
        <v>10169</v>
      </c>
      <c r="F18906" t="s">
        <v>11</v>
      </c>
      <c r="G18906" t="s">
        <v>10170</v>
      </c>
      <c r="H18906" s="12">
        <v>-1.0467846620610299</v>
      </c>
      <c r="I18906" s="20">
        <v>-0.245472277475968</v>
      </c>
      <c r="J18906" s="28">
        <v>0.80609077099237003</v>
      </c>
      <c r="K18906" s="29">
        <v>0.98526943263593503</v>
      </c>
    </row>
    <row r="18907" spans="1:11" x14ac:dyDescent="0.35">
      <c r="A18907" s="9" t="str">
        <f>HYPERLINK("http://www.ensembl.org/id/WBGene00000415", "WBGene00000415")</f>
        <v>WBGene00000415</v>
      </c>
      <c r="B18907" s="9" t="str">
        <f>HYPERLINK("http://www.ncbi.nlm.nih.gov/gene/173064", "173064")</f>
        <v>173064</v>
      </c>
      <c r="C18907" s="9" t="str">
        <f>HYPERLINK("http://www.ncbi.nlm.nih.gov/gene/84465", "84465")</f>
        <v>84465</v>
      </c>
      <c r="D18907" t="str">
        <f>"ced-1"</f>
        <v>ced-1</v>
      </c>
      <c r="E18907" t="s">
        <v>10171</v>
      </c>
      <c r="F18907" t="s">
        <v>11</v>
      </c>
      <c r="G18907" t="s">
        <v>54</v>
      </c>
      <c r="H18907" s="12">
        <v>-1.0459010993182101</v>
      </c>
      <c r="I18907" s="20">
        <v>-0.24541608226145201</v>
      </c>
      <c r="J18907" s="28">
        <v>0.80613427786107295</v>
      </c>
      <c r="K18907" s="29">
        <v>0.98527049057169802</v>
      </c>
    </row>
    <row r="18908" spans="1:11" x14ac:dyDescent="0.35">
      <c r="A18908" s="9" t="str">
        <f>HYPERLINK("http://www.ensembl.org/id/WBGene00220171", "WBGene00220171")</f>
        <v>WBGene00220171</v>
      </c>
      <c r="B18908" s="9"/>
      <c r="C18908" s="9"/>
      <c r="D18908" t="str">
        <f>"Y48G10A.9"</f>
        <v>Y48G10A.9</v>
      </c>
      <c r="F18908" t="s">
        <v>481</v>
      </c>
      <c r="H18908" s="12">
        <v>-1.0544632338486599</v>
      </c>
      <c r="I18908" s="20">
        <v>-0.24535829674127699</v>
      </c>
      <c r="J18908" s="28">
        <v>0.80617901658524305</v>
      </c>
      <c r="K18908" s="29">
        <v>0.98527305390979703</v>
      </c>
    </row>
    <row r="18909" spans="1:11" x14ac:dyDescent="0.35">
      <c r="A18909" s="9" t="str">
        <f>HYPERLINK("http://www.ensembl.org/id/WBGene00010457", "WBGene00010457")</f>
        <v>WBGene00010457</v>
      </c>
      <c r="B18909" s="9" t="str">
        <f>HYPERLINK("http://www.ncbi.nlm.nih.gov/gene/186839", "186839")</f>
        <v>186839</v>
      </c>
      <c r="C18909" s="9"/>
      <c r="D18909" t="str">
        <f>"K01C8.2"</f>
        <v>K01C8.2</v>
      </c>
      <c r="F18909" t="s">
        <v>11</v>
      </c>
      <c r="H18909" s="12">
        <v>1.1339310765520001</v>
      </c>
      <c r="I18909" s="20">
        <v>0.24528073593698199</v>
      </c>
      <c r="J18909" s="28">
        <v>0.806239066733347</v>
      </c>
      <c r="K18909" s="29">
        <v>0.98529432886976798</v>
      </c>
    </row>
    <row r="18910" spans="1:11" x14ac:dyDescent="0.35">
      <c r="A18910" s="9" t="str">
        <f>HYPERLINK("http://www.ensembl.org/id/WBGene00016595", "WBGene00016595")</f>
        <v>WBGene00016595</v>
      </c>
      <c r="B18910" s="9" t="str">
        <f>HYPERLINK("http://www.ncbi.nlm.nih.gov/gene/177493", "177493")</f>
        <v>177493</v>
      </c>
      <c r="C18910" s="9"/>
      <c r="D18910" t="str">
        <f>"C42D4.2"</f>
        <v>C42D4.2</v>
      </c>
      <c r="F18910" t="s">
        <v>11</v>
      </c>
      <c r="G18910" t="s">
        <v>25</v>
      </c>
      <c r="H18910" s="12">
        <v>1.07060996824368</v>
      </c>
      <c r="I18910" s="20">
        <v>0.244591000640698</v>
      </c>
      <c r="J18910" s="28">
        <v>0.80677313289758201</v>
      </c>
      <c r="K18910" s="29">
        <v>0.98545852431813497</v>
      </c>
    </row>
    <row r="18911" spans="1:11" x14ac:dyDescent="0.35">
      <c r="A18911" s="9" t="str">
        <f>HYPERLINK("http://www.ensembl.org/id/WBGene00269428", "WBGene00269428")</f>
        <v>WBGene00269428</v>
      </c>
      <c r="B18911" s="9"/>
      <c r="C18911" s="9"/>
      <c r="D18911" t="str">
        <f>"D1065.8"</f>
        <v>D1065.8</v>
      </c>
      <c r="F18911" t="s">
        <v>481</v>
      </c>
      <c r="H18911" s="12">
        <v>1.7070290071182599</v>
      </c>
      <c r="I18911" s="20">
        <v>0.244489681774296</v>
      </c>
      <c r="J18911" s="28">
        <v>0.80685159229765702</v>
      </c>
      <c r="K18911" s="29">
        <v>0.98545852431813497</v>
      </c>
    </row>
    <row r="18912" spans="1:11" x14ac:dyDescent="0.35">
      <c r="A18912" s="9" t="str">
        <f>HYPERLINK("http://www.ensembl.org/id/WBGene00044651", "WBGene00044651")</f>
        <v>WBGene00044651</v>
      </c>
      <c r="B18912" s="9" t="str">
        <f>HYPERLINK("http://www.ncbi.nlm.nih.gov/gene/4363076", "4363076")</f>
        <v>4363076</v>
      </c>
      <c r="C18912" s="9"/>
      <c r="D18912" t="str">
        <f>"egrh-3"</f>
        <v>egrh-3</v>
      </c>
      <c r="E18912" t="s">
        <v>1583</v>
      </c>
      <c r="F18912" t="s">
        <v>11</v>
      </c>
      <c r="H18912" s="12">
        <v>-1.0620884217544599</v>
      </c>
      <c r="I18912" s="20">
        <v>-0.24465338473443901</v>
      </c>
      <c r="J18912" s="28">
        <v>0.80672482481086505</v>
      </c>
      <c r="K18912" s="29">
        <v>0.98545852431813497</v>
      </c>
    </row>
    <row r="18913" spans="1:11" x14ac:dyDescent="0.35">
      <c r="A18913" s="9" t="str">
        <f>HYPERLINK("http://www.ensembl.org/id/WBGene00077769", "WBGene00077769")</f>
        <v>WBGene00077769</v>
      </c>
      <c r="B18913" s="9" t="str">
        <f>HYPERLINK("http://www.ncbi.nlm.nih.gov/gene/7040178", "7040178")</f>
        <v>7040178</v>
      </c>
      <c r="C18913" s="9"/>
      <c r="D18913" t="str">
        <f>"F33E2.10"</f>
        <v>F33E2.10</v>
      </c>
      <c r="F18913" t="s">
        <v>11</v>
      </c>
      <c r="H18913" s="12">
        <v>1.0624423125815801</v>
      </c>
      <c r="I18913" s="20">
        <v>0.24439118735940701</v>
      </c>
      <c r="J18913" s="28">
        <v>0.80692786635934899</v>
      </c>
      <c r="K18913" s="29">
        <v>0.98545852431813497</v>
      </c>
    </row>
    <row r="18914" spans="1:11" x14ac:dyDescent="0.35">
      <c r="A18914" s="9" t="str">
        <f>HYPERLINK("http://www.ensembl.org/id/WBGene00009362", "WBGene00009362")</f>
        <v>WBGene00009362</v>
      </c>
      <c r="B18914" s="9" t="str">
        <f>HYPERLINK("http://www.ncbi.nlm.nih.gov/gene/185235", "185235")</f>
        <v>185235</v>
      </c>
      <c r="C18914" s="9"/>
      <c r="D18914" t="str">
        <f>"F33E2.6"</f>
        <v>F33E2.6</v>
      </c>
      <c r="F18914" t="s">
        <v>11</v>
      </c>
      <c r="H18914" s="12">
        <v>1.7070290071182599</v>
      </c>
      <c r="I18914" s="20">
        <v>0.244489681774296</v>
      </c>
      <c r="J18914" s="28">
        <v>0.80685159229765702</v>
      </c>
      <c r="K18914" s="29">
        <v>0.98545852431813497</v>
      </c>
    </row>
    <row r="18915" spans="1:11" x14ac:dyDescent="0.35">
      <c r="A18915" s="9" t="str">
        <f>HYPERLINK("http://www.ensembl.org/id/WBGene00009389", "WBGene00009389")</f>
        <v>WBGene00009389</v>
      </c>
      <c r="B18915" s="9" t="str">
        <f>HYPERLINK("http://www.ncbi.nlm.nih.gov/gene/179595", "179595")</f>
        <v>179595</v>
      </c>
      <c r="C18915" s="9"/>
      <c r="D18915" t="str">
        <f>"F35B12.10"</f>
        <v>F35B12.10</v>
      </c>
      <c r="F18915" t="s">
        <v>11</v>
      </c>
      <c r="G18915" t="s">
        <v>10173</v>
      </c>
      <c r="H18915" s="12">
        <v>1.0595539032375501</v>
      </c>
      <c r="I18915" s="20">
        <v>0.24475222881652001</v>
      </c>
      <c r="J18915" s="28">
        <v>0.80664828487857998</v>
      </c>
      <c r="K18915" s="29">
        <v>0.98545852431813497</v>
      </c>
    </row>
    <row r="18916" spans="1:11" x14ac:dyDescent="0.35">
      <c r="A18916" s="9" t="str">
        <f>HYPERLINK("http://www.ensembl.org/id/WBGene00018720", "WBGene00018720")</f>
        <v>WBGene00018720</v>
      </c>
      <c r="B18916" s="9" t="str">
        <f>HYPERLINK("http://www.ncbi.nlm.nih.gov/gene/175336", "175336")</f>
        <v>175336</v>
      </c>
      <c r="C18916" s="9"/>
      <c r="D18916" t="str">
        <f>"F53A3.1"</f>
        <v>F53A3.1</v>
      </c>
      <c r="F18916" t="s">
        <v>11</v>
      </c>
      <c r="G18916" t="s">
        <v>25</v>
      </c>
      <c r="H18916" s="12">
        <v>1.18243068574523</v>
      </c>
      <c r="I18916" s="20">
        <v>0.24449841037245701</v>
      </c>
      <c r="J18916" s="28">
        <v>0.80684483296099796</v>
      </c>
      <c r="K18916" s="29">
        <v>0.98545852431813497</v>
      </c>
    </row>
    <row r="18917" spans="1:11" x14ac:dyDescent="0.35">
      <c r="A18917" s="9" t="str">
        <f>HYPERLINK("http://www.ensembl.org/id/WBGene00003585", "WBGene00003585")</f>
        <v>WBGene00003585</v>
      </c>
      <c r="B18917" s="9" t="str">
        <f>HYPERLINK("http://www.ncbi.nlm.nih.gov/gene/190780", "190780")</f>
        <v>190780</v>
      </c>
      <c r="C18917" s="9"/>
      <c r="D18917" t="str">
        <f>"ndx-8"</f>
        <v>ndx-8</v>
      </c>
      <c r="E18917" t="s">
        <v>10172</v>
      </c>
      <c r="F18917" t="s">
        <v>11</v>
      </c>
      <c r="G18917" t="s">
        <v>423</v>
      </c>
      <c r="H18917" s="12">
        <v>1.08619831613797</v>
      </c>
      <c r="I18917" s="20">
        <v>0.24457640120315599</v>
      </c>
      <c r="J18917" s="28">
        <v>0.80678443830402402</v>
      </c>
      <c r="K18917" s="29">
        <v>0.98545852431813497</v>
      </c>
    </row>
    <row r="18918" spans="1:11" x14ac:dyDescent="0.35">
      <c r="A18918" s="9" t="str">
        <f>HYPERLINK("http://www.ensembl.org/id/WBGene00011040", "WBGene00011040")</f>
        <v>WBGene00011040</v>
      </c>
      <c r="B18918" s="9" t="str">
        <f>HYPERLINK("http://www.ncbi.nlm.nih.gov/gene/187628", "187628")</f>
        <v>187628</v>
      </c>
      <c r="C18918" s="9"/>
      <c r="D18918" t="str">
        <f>"R05H5.5"</f>
        <v>R05H5.5</v>
      </c>
      <c r="F18918" t="s">
        <v>11</v>
      </c>
      <c r="G18918" t="s">
        <v>10174</v>
      </c>
      <c r="H18918" s="12">
        <v>-1.0477796155672701</v>
      </c>
      <c r="I18918" s="20">
        <v>-0.245017733878716</v>
      </c>
      <c r="J18918" s="28">
        <v>0.80644270015591701</v>
      </c>
      <c r="K18918" s="29">
        <v>0.98545852431813497</v>
      </c>
    </row>
    <row r="18919" spans="1:11" x14ac:dyDescent="0.35">
      <c r="A18919" s="9" t="str">
        <f>HYPERLINK("http://www.ensembl.org/id/WBGene00013375", "WBGene00013375")</f>
        <v>WBGene00013375</v>
      </c>
      <c r="B18919" s="9" t="str">
        <f>HYPERLINK("http://www.ncbi.nlm.nih.gov/gene/190453", "190453")</f>
        <v>190453</v>
      </c>
      <c r="C18919" s="9"/>
      <c r="D18919" t="str">
        <f>"srsx-25"</f>
        <v>srsx-25</v>
      </c>
      <c r="E18919" t="s">
        <v>1639</v>
      </c>
      <c r="F18919" t="s">
        <v>11</v>
      </c>
      <c r="G18919" t="s">
        <v>1089</v>
      </c>
      <c r="H18919" s="12">
        <v>-1.23561163591806</v>
      </c>
      <c r="I18919" s="20">
        <v>-0.244557398357026</v>
      </c>
      <c r="J18919" s="28">
        <v>0.80679915365050303</v>
      </c>
      <c r="K18919" s="29">
        <v>0.98545852431813497</v>
      </c>
    </row>
    <row r="18920" spans="1:11" x14ac:dyDescent="0.35">
      <c r="A18920" s="9" t="str">
        <f>HYPERLINK("http://www.ensembl.org/id/WBGene00020370", "WBGene00020370")</f>
        <v>WBGene00020370</v>
      </c>
      <c r="B18920" s="9" t="str">
        <f>HYPERLINK("http://www.ncbi.nlm.nih.gov/gene/178843", "178843")</f>
        <v>178843</v>
      </c>
      <c r="C18920" s="9"/>
      <c r="D18920" t="str">
        <f>"T08H10.3"</f>
        <v>T08H10.3</v>
      </c>
      <c r="F18920" t="s">
        <v>11</v>
      </c>
      <c r="G18920" t="s">
        <v>25</v>
      </c>
      <c r="H18920" s="12">
        <v>-1.4557819562951</v>
      </c>
      <c r="I18920" s="20">
        <v>-0.244420773445746</v>
      </c>
      <c r="J18920" s="28">
        <v>0.80690495470509804</v>
      </c>
      <c r="K18920" s="29">
        <v>0.98545852431813497</v>
      </c>
    </row>
    <row r="18921" spans="1:11" x14ac:dyDescent="0.35">
      <c r="A18921" s="9" t="str">
        <f>HYPERLINK("http://www.ensembl.org/id/WBGene00020769", "WBGene00020769")</f>
        <v>WBGene00020769</v>
      </c>
      <c r="B18921" s="9" t="str">
        <f>HYPERLINK("http://www.ncbi.nlm.nih.gov/gene/188858", "188858")</f>
        <v>188858</v>
      </c>
      <c r="C18921" s="9"/>
      <c r="D18921" t="str">
        <f>"T24D8.6"</f>
        <v>T24D8.6</v>
      </c>
      <c r="F18921" t="s">
        <v>11</v>
      </c>
      <c r="H18921" s="12">
        <v>1.7070290071182599</v>
      </c>
      <c r="I18921" s="20">
        <v>0.244489681774296</v>
      </c>
      <c r="J18921" s="28">
        <v>0.80685159229765702</v>
      </c>
      <c r="K18921" s="29">
        <v>0.98545852431813497</v>
      </c>
    </row>
    <row r="18922" spans="1:11" x14ac:dyDescent="0.35">
      <c r="A18922" s="9" t="str">
        <f>HYPERLINK("http://www.ensembl.org/id/WBGene00006705", "WBGene00006705")</f>
        <v>WBGene00006705</v>
      </c>
      <c r="B18922" s="9" t="str">
        <f>HYPERLINK("http://www.ncbi.nlm.nih.gov/gene/190802", "190802")</f>
        <v>190802</v>
      </c>
      <c r="C18922" s="9" t="str">
        <f>HYPERLINK("http://www.ncbi.nlm.nih.gov/gene/7328", "7328")</f>
        <v>7328</v>
      </c>
      <c r="D18922" t="str">
        <f>"ubc-8"</f>
        <v>ubc-8</v>
      </c>
      <c r="E18922" t="s">
        <v>3370</v>
      </c>
      <c r="F18922" t="s">
        <v>11</v>
      </c>
      <c r="G18922" t="s">
        <v>10175</v>
      </c>
      <c r="H18922" s="12">
        <v>-1.0486094585329</v>
      </c>
      <c r="I18922" s="20">
        <v>-0.24467034521203501</v>
      </c>
      <c r="J18922" s="28">
        <v>0.80671169133049303</v>
      </c>
      <c r="K18922" s="29">
        <v>0.98545852431813497</v>
      </c>
    </row>
    <row r="18923" spans="1:11" x14ac:dyDescent="0.35">
      <c r="A18923" s="9" t="str">
        <f>HYPERLINK("http://www.ensembl.org/id/WBGene00011180", "WBGene00011180")</f>
        <v>WBGene00011180</v>
      </c>
      <c r="B18923" s="9" t="str">
        <f>HYPERLINK("http://www.ncbi.nlm.nih.gov/gene/187756", "187756")</f>
        <v>187756</v>
      </c>
      <c r="C18923" s="9"/>
      <c r="D18923" t="str">
        <f>"R09H10.2"</f>
        <v>R09H10.2</v>
      </c>
      <c r="F18923" t="s">
        <v>11</v>
      </c>
      <c r="H18923" s="12">
        <v>-1.1001380899506401</v>
      </c>
      <c r="I18923" s="20">
        <v>-0.24419998211970301</v>
      </c>
      <c r="J18923" s="28">
        <v>0.80707594091245205</v>
      </c>
      <c r="K18923" s="29">
        <v>0.98554735916279401</v>
      </c>
    </row>
    <row r="18924" spans="1:11" x14ac:dyDescent="0.35">
      <c r="A18924" s="9" t="str">
        <f>HYPERLINK("http://www.ensembl.org/id/WBGene00022796", "WBGene00022796")</f>
        <v>WBGene00022796</v>
      </c>
      <c r="B18924" s="9" t="str">
        <f>HYPERLINK("http://www.ncbi.nlm.nih.gov/gene/191405", "191405")</f>
        <v>191405</v>
      </c>
      <c r="C18924" s="9"/>
      <c r="D18924" t="str">
        <f>"ZK688.1"</f>
        <v>ZK688.1</v>
      </c>
      <c r="F18924" t="s">
        <v>11</v>
      </c>
      <c r="H18924" s="12">
        <v>-1.2434482702035401</v>
      </c>
      <c r="I18924" s="20">
        <v>-0.24418710435704499</v>
      </c>
      <c r="J18924" s="28">
        <v>0.80708591405169094</v>
      </c>
      <c r="K18924" s="29">
        <v>0.98554735916279401</v>
      </c>
    </row>
    <row r="18925" spans="1:11" x14ac:dyDescent="0.35">
      <c r="A18925" s="9" t="str">
        <f>HYPERLINK("http://www.ensembl.org/id/WBGene00017874", "WBGene00017874")</f>
        <v>WBGene00017874</v>
      </c>
      <c r="B18925" s="9" t="str">
        <f>HYPERLINK("http://www.ncbi.nlm.nih.gov/gene/173466", "173466")</f>
        <v>173466</v>
      </c>
      <c r="C18925" s="9" t="str">
        <f>HYPERLINK("http://www.ncbi.nlm.nih.gov/gene/27034", "27034")</f>
        <v>27034</v>
      </c>
      <c r="D18925" t="str">
        <f>"acdh-9"</f>
        <v>acdh-9</v>
      </c>
      <c r="E18925" t="s">
        <v>238</v>
      </c>
      <c r="F18925" t="s">
        <v>11</v>
      </c>
      <c r="G18925" t="s">
        <v>10177</v>
      </c>
      <c r="H18925" s="12">
        <v>1.05270154065719</v>
      </c>
      <c r="I18925" s="20">
        <v>0.244024973034978</v>
      </c>
      <c r="J18925" s="28">
        <v>0.80721147878189903</v>
      </c>
      <c r="K18925" s="29">
        <v>0.98560366354944995</v>
      </c>
    </row>
    <row r="18926" spans="1:11" x14ac:dyDescent="0.35">
      <c r="A18926" s="9" t="str">
        <f>HYPERLINK("http://www.ensembl.org/id/WBGene00019105", "WBGene00019105")</f>
        <v>WBGene00019105</v>
      </c>
      <c r="B18926" s="9" t="str">
        <f>HYPERLINK("http://www.ncbi.nlm.nih.gov/gene/178750", "178750")</f>
        <v>178750</v>
      </c>
      <c r="C18926" s="9"/>
      <c r="D18926" t="str">
        <f>"asp-8"</f>
        <v>asp-8</v>
      </c>
      <c r="E18926" t="s">
        <v>1521</v>
      </c>
      <c r="F18926" t="s">
        <v>11</v>
      </c>
      <c r="G18926" t="s">
        <v>4212</v>
      </c>
      <c r="H18926" s="12">
        <v>1.04938314835861</v>
      </c>
      <c r="I18926" s="20">
        <v>0.24259521235592699</v>
      </c>
      <c r="J18926" s="28">
        <v>0.80831899042914002</v>
      </c>
      <c r="K18926" s="29">
        <v>0.98560366354944995</v>
      </c>
    </row>
    <row r="18927" spans="1:11" x14ac:dyDescent="0.35">
      <c r="A18927" s="9" t="str">
        <f>HYPERLINK("http://www.ensembl.org/id/WBGene00044127", "WBGene00044127")</f>
        <v>WBGene00044127</v>
      </c>
      <c r="B18927" s="9" t="str">
        <f>HYPERLINK("http://www.ncbi.nlm.nih.gov/gene/3565049", "3565049")</f>
        <v>3565049</v>
      </c>
      <c r="C18927" s="9"/>
      <c r="D18927" t="str">
        <f>"BE10.5"</f>
        <v>BE10.5</v>
      </c>
      <c r="F18927" t="s">
        <v>11</v>
      </c>
      <c r="H18927" s="12">
        <v>1.69937666417266</v>
      </c>
      <c r="I18927" s="20">
        <v>0.242786349024666</v>
      </c>
      <c r="J18927" s="28">
        <v>0.80817091112726902</v>
      </c>
      <c r="K18927" s="29">
        <v>0.98560366354944995</v>
      </c>
    </row>
    <row r="18928" spans="1:11" x14ac:dyDescent="0.35">
      <c r="A18928" s="9" t="str">
        <f>HYPERLINK("http://www.ensembl.org/id/WBGene00197296", "WBGene00197296")</f>
        <v>WBGene00197296</v>
      </c>
      <c r="B18928" s="9"/>
      <c r="C18928" s="9"/>
      <c r="D18928" t="str">
        <f>"C09B7.6"</f>
        <v>C09B7.6</v>
      </c>
      <c r="F18928" t="s">
        <v>481</v>
      </c>
      <c r="H18928" s="12">
        <v>1.69937666417266</v>
      </c>
      <c r="I18928" s="20">
        <v>0.242786349024666</v>
      </c>
      <c r="J18928" s="28">
        <v>0.80817091112726902</v>
      </c>
      <c r="K18928" s="29">
        <v>0.98560366354944995</v>
      </c>
    </row>
    <row r="18929" spans="1:11" x14ac:dyDescent="0.35">
      <c r="A18929" s="9" t="str">
        <f>HYPERLINK("http://www.ensembl.org/id/WBGene00015641", "WBGene00015641")</f>
        <v>WBGene00015641</v>
      </c>
      <c r="B18929" s="9" t="str">
        <f>HYPERLINK("http://www.ncbi.nlm.nih.gov/gene/175930", "175930")</f>
        <v>175930</v>
      </c>
      <c r="C18929" s="9"/>
      <c r="D18929" t="str">
        <f>"C09E7.7"</f>
        <v>C09E7.7</v>
      </c>
      <c r="F18929" t="s">
        <v>11</v>
      </c>
      <c r="G18929" t="s">
        <v>264</v>
      </c>
      <c r="H18929" s="12">
        <v>-1.06079678274833</v>
      </c>
      <c r="I18929" s="20">
        <v>-0.24253061233411299</v>
      </c>
      <c r="J18929" s="28">
        <v>0.80836903955360695</v>
      </c>
      <c r="K18929" s="29">
        <v>0.98560366354944995</v>
      </c>
    </row>
    <row r="18930" spans="1:11" x14ac:dyDescent="0.35">
      <c r="A18930" s="9" t="str">
        <f>HYPERLINK("http://www.ensembl.org/id/WBGene00015922", "WBGene00015922")</f>
        <v>WBGene00015922</v>
      </c>
      <c r="B18930" s="9" t="str">
        <f>HYPERLINK("http://www.ncbi.nlm.nih.gov/gene/181074", "181074")</f>
        <v>181074</v>
      </c>
      <c r="C18930" s="9"/>
      <c r="D18930" t="str">
        <f>"C17H11.2"</f>
        <v>C17H11.2</v>
      </c>
      <c r="F18930" t="s">
        <v>11</v>
      </c>
      <c r="H18930" s="12">
        <v>-1.05359849377282</v>
      </c>
      <c r="I18930" s="20">
        <v>-0.243833181846528</v>
      </c>
      <c r="J18930" s="28">
        <v>0.80736002039896104</v>
      </c>
      <c r="K18930" s="29">
        <v>0.98560366354944995</v>
      </c>
    </row>
    <row r="18931" spans="1:11" x14ac:dyDescent="0.35">
      <c r="A18931" s="9" t="str">
        <f>HYPERLINK("http://www.ensembl.org/id/WBGene00007691", "WBGene00007691")</f>
        <v>WBGene00007691</v>
      </c>
      <c r="B18931" s="9" t="str">
        <f>HYPERLINK("http://www.ncbi.nlm.nih.gov/gene/182818", "182818")</f>
        <v>182818</v>
      </c>
      <c r="C18931" s="9"/>
      <c r="D18931" t="str">
        <f>"C23H4.2"</f>
        <v>C23H4.2</v>
      </c>
      <c r="E18931" t="s">
        <v>383</v>
      </c>
      <c r="F18931" t="s">
        <v>11</v>
      </c>
      <c r="G18931" t="s">
        <v>2371</v>
      </c>
      <c r="H18931" s="12">
        <v>-1.0975094198961</v>
      </c>
      <c r="I18931" s="20">
        <v>-0.243163123906428</v>
      </c>
      <c r="J18931" s="28">
        <v>0.80787903246988502</v>
      </c>
      <c r="K18931" s="29">
        <v>0.98560366354944995</v>
      </c>
    </row>
    <row r="18932" spans="1:11" x14ac:dyDescent="0.35">
      <c r="A18932" s="9" t="str">
        <f>HYPERLINK("http://www.ensembl.org/id/WBGene00197452", "WBGene00197452")</f>
        <v>WBGene00197452</v>
      </c>
      <c r="B18932" s="9"/>
      <c r="C18932" s="9"/>
      <c r="D18932" t="str">
        <f>"C25F6.13"</f>
        <v>C25F6.13</v>
      </c>
      <c r="F18932" t="s">
        <v>481</v>
      </c>
      <c r="H18932" s="12">
        <v>1.6446304359485799</v>
      </c>
      <c r="I18932" s="20">
        <v>0.24258146695625701</v>
      </c>
      <c r="J18932" s="28">
        <v>0.80832963966665505</v>
      </c>
      <c r="K18932" s="29">
        <v>0.98560366354944995</v>
      </c>
    </row>
    <row r="18933" spans="1:11" x14ac:dyDescent="0.35">
      <c r="A18933" s="9" t="str">
        <f>HYPERLINK("http://www.ensembl.org/id/WBGene00016899", "WBGene00016899")</f>
        <v>WBGene00016899</v>
      </c>
      <c r="B18933" s="9" t="str">
        <f>HYPERLINK("http://www.ncbi.nlm.nih.gov/gene/183754", "183754")</f>
        <v>183754</v>
      </c>
      <c r="C18933" s="9"/>
      <c r="D18933" t="str">
        <f>"C53C11.1"</f>
        <v>C53C11.1</v>
      </c>
      <c r="F18933" t="s">
        <v>11</v>
      </c>
      <c r="H18933" s="12">
        <v>1.14969471335359</v>
      </c>
      <c r="I18933" s="20">
        <v>0.24348029828500001</v>
      </c>
      <c r="J18933" s="28">
        <v>0.80763334565155598</v>
      </c>
      <c r="K18933" s="29">
        <v>0.98560366354944995</v>
      </c>
    </row>
    <row r="18934" spans="1:11" x14ac:dyDescent="0.35">
      <c r="A18934" s="9" t="str">
        <f>HYPERLINK("http://www.ensembl.org/id/WBGene00008324", "WBGene00008324")</f>
        <v>WBGene00008324</v>
      </c>
      <c r="B18934" s="9" t="str">
        <f>HYPERLINK("http://www.ncbi.nlm.nih.gov/gene/183828", "183828")</f>
        <v>183828</v>
      </c>
      <c r="C18934" s="9"/>
      <c r="D18934" t="str">
        <f>"C55A1.7"</f>
        <v>C55A1.7</v>
      </c>
      <c r="F18934" t="s">
        <v>11</v>
      </c>
      <c r="H18934" s="12">
        <v>1.3411127904461499</v>
      </c>
      <c r="I18934" s="20">
        <v>0.243206996522571</v>
      </c>
      <c r="J18934" s="28">
        <v>0.80784504712129501</v>
      </c>
      <c r="K18934" s="29">
        <v>0.98560366354944995</v>
      </c>
    </row>
    <row r="18935" spans="1:11" x14ac:dyDescent="0.35">
      <c r="A18935" s="9" t="str">
        <f>HYPERLINK("http://www.ensembl.org/id/WBGene00015821", "WBGene00015821")</f>
        <v>WBGene00015821</v>
      </c>
      <c r="B18935" s="9" t="str">
        <f>HYPERLINK("http://www.ncbi.nlm.nih.gov/gene/173760", "173760")</f>
        <v>173760</v>
      </c>
      <c r="C18935" s="9"/>
      <c r="D18935" t="str">
        <f>"clec-135"</f>
        <v>clec-135</v>
      </c>
      <c r="E18935" t="s">
        <v>46</v>
      </c>
      <c r="F18935" t="s">
        <v>11</v>
      </c>
      <c r="G18935" t="s">
        <v>47</v>
      </c>
      <c r="H18935" s="12">
        <v>1.3527842009370199</v>
      </c>
      <c r="I18935" s="20">
        <v>0.24374031019647299</v>
      </c>
      <c r="J18935" s="28">
        <v>0.80743195166978599</v>
      </c>
      <c r="K18935" s="29">
        <v>0.98560366354944995</v>
      </c>
    </row>
    <row r="18936" spans="1:11" x14ac:dyDescent="0.35">
      <c r="A18936" s="9" t="str">
        <f>HYPERLINK("http://www.ensembl.org/id/WBGene00008650", "WBGene00008650")</f>
        <v>WBGene00008650</v>
      </c>
      <c r="B18936" s="9" t="str">
        <f>HYPERLINK("http://www.ncbi.nlm.nih.gov/gene/184299", "184299")</f>
        <v>184299</v>
      </c>
      <c r="C18936" s="9"/>
      <c r="D18936" t="str">
        <f>"F10D11.4"</f>
        <v>F10D11.4</v>
      </c>
      <c r="F18936" t="s">
        <v>11</v>
      </c>
      <c r="H18936" s="12">
        <v>-1.7247396015562699</v>
      </c>
      <c r="I18936" s="20">
        <v>-0.243330622021488</v>
      </c>
      <c r="J18936" s="28">
        <v>0.80774928419536296</v>
      </c>
      <c r="K18936" s="29">
        <v>0.98560366354944995</v>
      </c>
    </row>
    <row r="18937" spans="1:11" x14ac:dyDescent="0.35">
      <c r="A18937" s="9" t="str">
        <f>HYPERLINK("http://www.ensembl.org/id/WBGene00010028", "WBGene00010028")</f>
        <v>WBGene00010028</v>
      </c>
      <c r="B18937" s="9" t="str">
        <f>HYPERLINK("http://www.ncbi.nlm.nih.gov/gene/186213", "186213")</f>
        <v>186213</v>
      </c>
      <c r="C18937" s="9"/>
      <c r="D18937" t="str">
        <f>"F54B11.5"</f>
        <v>F54B11.5</v>
      </c>
      <c r="F18937" t="s">
        <v>11</v>
      </c>
      <c r="G18937" t="s">
        <v>8234</v>
      </c>
      <c r="H18937" s="12">
        <v>-1.05151080973734</v>
      </c>
      <c r="I18937" s="20">
        <v>-0.24262633187091601</v>
      </c>
      <c r="J18937" s="28">
        <v>0.80829488074074096</v>
      </c>
      <c r="K18937" s="29">
        <v>0.98560366354944995</v>
      </c>
    </row>
    <row r="18938" spans="1:11" x14ac:dyDescent="0.35">
      <c r="A18938" s="9" t="str">
        <f>HYPERLINK("http://www.ensembl.org/id/WBGene00013839", "WBGene00013839")</f>
        <v>WBGene00013839</v>
      </c>
      <c r="B18938" s="9" t="str">
        <f>HYPERLINK("http://www.ncbi.nlm.nih.gov/gene/191060", "191060")</f>
        <v>191060</v>
      </c>
      <c r="C18938" s="9"/>
      <c r="D18938" t="str">
        <f>"fbxa-32"</f>
        <v>fbxa-32</v>
      </c>
      <c r="E18938" t="s">
        <v>467</v>
      </c>
      <c r="F18938" t="s">
        <v>11</v>
      </c>
      <c r="G18938" t="s">
        <v>54</v>
      </c>
      <c r="H18938" s="12">
        <v>-1.12813317751294</v>
      </c>
      <c r="I18938" s="20">
        <v>-0.24331857781591901</v>
      </c>
      <c r="J18938" s="28">
        <v>0.80775861376507896</v>
      </c>
      <c r="K18938" s="29">
        <v>0.98560366354944995</v>
      </c>
    </row>
    <row r="18939" spans="1:11" x14ac:dyDescent="0.35">
      <c r="A18939" s="9" t="str">
        <f>HYPERLINK("http://www.ensembl.org/id/WBGene00010010", "WBGene00010010")</f>
        <v>WBGene00010010</v>
      </c>
      <c r="B18939" s="9" t="str">
        <f>HYPERLINK("http://www.ncbi.nlm.nih.gov/gene/181676", "181676")</f>
        <v>181676</v>
      </c>
      <c r="C18939" s="9"/>
      <c r="D18939" t="str">
        <f>"gmeb-2"</f>
        <v>gmeb-2</v>
      </c>
      <c r="E18939" t="s">
        <v>10091</v>
      </c>
      <c r="F18939" t="s">
        <v>11</v>
      </c>
      <c r="G18939" t="s">
        <v>10180</v>
      </c>
      <c r="H18939" s="12">
        <v>-1.0518091909396801</v>
      </c>
      <c r="I18939" s="20">
        <v>-0.243148474020702</v>
      </c>
      <c r="J18939" s="28">
        <v>0.80789038089310805</v>
      </c>
      <c r="K18939" s="29">
        <v>0.98560366354944995</v>
      </c>
    </row>
    <row r="18940" spans="1:11" x14ac:dyDescent="0.35">
      <c r="A18940" s="9" t="str">
        <f>HYPERLINK("http://www.ensembl.org/id/WBGene00219600", "WBGene00219600")</f>
        <v>WBGene00219600</v>
      </c>
      <c r="B18940" s="9"/>
      <c r="C18940" s="9"/>
      <c r="D18940" t="str">
        <f>"linc-118"</f>
        <v>linc-118</v>
      </c>
      <c r="F18940" t="s">
        <v>1510</v>
      </c>
      <c r="H18940" s="12">
        <v>1.2843907965338199</v>
      </c>
      <c r="I18940" s="20">
        <v>0.24326560836876199</v>
      </c>
      <c r="J18940" s="28">
        <v>0.807799644786661</v>
      </c>
      <c r="K18940" s="29">
        <v>0.98560366354944995</v>
      </c>
    </row>
    <row r="18941" spans="1:11" x14ac:dyDescent="0.35">
      <c r="A18941" s="9" t="str">
        <f>HYPERLINK("http://www.ensembl.org/id/WBGene00219731", "WBGene00219731")</f>
        <v>WBGene00219731</v>
      </c>
      <c r="B18941" s="9"/>
      <c r="C18941" s="9"/>
      <c r="D18941" t="str">
        <f>"linc-49"</f>
        <v>linc-49</v>
      </c>
      <c r="F18941" t="s">
        <v>1510</v>
      </c>
      <c r="H18941" s="12">
        <v>-1.6082642893977399</v>
      </c>
      <c r="I18941" s="20">
        <v>-0.243162996768747</v>
      </c>
      <c r="J18941" s="28">
        <v>0.80787913095595398</v>
      </c>
      <c r="K18941" s="29">
        <v>0.98560366354944995</v>
      </c>
    </row>
    <row r="18942" spans="1:11" x14ac:dyDescent="0.35">
      <c r="A18942" s="9" t="str">
        <f>HYPERLINK("http://www.ensembl.org/id/WBGene00219599", "WBGene00219599")</f>
        <v>WBGene00219599</v>
      </c>
      <c r="B18942" s="9"/>
      <c r="C18942" s="9"/>
      <c r="D18942" t="str">
        <f>"linc-99"</f>
        <v>linc-99</v>
      </c>
      <c r="F18942" t="s">
        <v>1510</v>
      </c>
      <c r="H18942" s="12">
        <v>-1.7247396015562699</v>
      </c>
      <c r="I18942" s="20">
        <v>-0.243330622021488</v>
      </c>
      <c r="J18942" s="28">
        <v>0.80774928419536296</v>
      </c>
      <c r="K18942" s="29">
        <v>0.98560366354944995</v>
      </c>
    </row>
    <row r="18943" spans="1:11" x14ac:dyDescent="0.35">
      <c r="A18943" s="9" t="str">
        <f>HYPERLINK("http://www.ensembl.org/id/WBGene00010895", "WBGene00010895")</f>
        <v>WBGene00010895</v>
      </c>
      <c r="B18943" s="9" t="str">
        <f>HYPERLINK("http://www.ncbi.nlm.nih.gov/gene/353403", "353403")</f>
        <v>353403</v>
      </c>
      <c r="C18943" s="9"/>
      <c r="D18943" t="str">
        <f>"M28.4"</f>
        <v>M28.4</v>
      </c>
      <c r="F18943" t="s">
        <v>11</v>
      </c>
      <c r="G18943" t="s">
        <v>25</v>
      </c>
      <c r="H18943" s="12">
        <v>1.69937666417266</v>
      </c>
      <c r="I18943" s="20">
        <v>0.242786349024666</v>
      </c>
      <c r="J18943" s="28">
        <v>0.80817091112726902</v>
      </c>
      <c r="K18943" s="29">
        <v>0.98560366354944995</v>
      </c>
    </row>
    <row r="18944" spans="1:11" x14ac:dyDescent="0.35">
      <c r="A18944" s="9" t="str">
        <f>HYPERLINK("http://www.ensembl.org/id/WBGene00019364", "WBGene00019364")</f>
        <v>WBGene00019364</v>
      </c>
      <c r="B18944" s="9" t="str">
        <f>HYPERLINK("http://www.ncbi.nlm.nih.gov/gene/186954", "186954")</f>
        <v>186954</v>
      </c>
      <c r="C18944" s="9" t="str">
        <f>HYPERLINK("http://www.ncbi.nlm.nih.gov/gene/27077", "27077")</f>
        <v>27077</v>
      </c>
      <c r="D18944" t="str">
        <f>"mksr-1"</f>
        <v>mksr-1</v>
      </c>
      <c r="E18944" t="s">
        <v>9732</v>
      </c>
      <c r="F18944" t="s">
        <v>11</v>
      </c>
      <c r="G18944" t="s">
        <v>10176</v>
      </c>
      <c r="H18944" s="12">
        <v>1.14901804017015</v>
      </c>
      <c r="I18944" s="20">
        <v>0.24332168691921399</v>
      </c>
      <c r="J18944" s="28">
        <v>0.80775620541798498</v>
      </c>
      <c r="K18944" s="29">
        <v>0.98560366354944995</v>
      </c>
    </row>
    <row r="18945" spans="1:11" x14ac:dyDescent="0.35">
      <c r="A18945" s="9" t="str">
        <f>HYPERLINK("http://www.ensembl.org/id/WBGene00021476", "WBGene00021476")</f>
        <v>WBGene00021476</v>
      </c>
      <c r="B18945" s="9" t="str">
        <f>HYPERLINK("http://www.ncbi.nlm.nih.gov/gene/171790", "171790")</f>
        <v>171790</v>
      </c>
      <c r="C18945" s="9" t="str">
        <f>HYPERLINK("http://www.ncbi.nlm.nih.gov/gene/387338", "387338")</f>
        <v>387338</v>
      </c>
      <c r="D18945" t="str">
        <f>"nsun-4"</f>
        <v>nsun-4</v>
      </c>
      <c r="E18945" t="s">
        <v>4067</v>
      </c>
      <c r="F18945" t="s">
        <v>11</v>
      </c>
      <c r="G18945" t="s">
        <v>10181</v>
      </c>
      <c r="H18945" s="12">
        <v>-1.0590084256991501</v>
      </c>
      <c r="I18945" s="20">
        <v>-0.24256075530537799</v>
      </c>
      <c r="J18945" s="28">
        <v>0.80834568606884205</v>
      </c>
      <c r="K18945" s="29">
        <v>0.98560366354944995</v>
      </c>
    </row>
    <row r="18946" spans="1:11" x14ac:dyDescent="0.35">
      <c r="A18946" s="9" t="str">
        <f>HYPERLINK("http://www.ensembl.org/id/WBGene00019884", "WBGene00019884")</f>
        <v>WBGene00019884</v>
      </c>
      <c r="B18946" s="9" t="str">
        <f>HYPERLINK("http://www.ncbi.nlm.nih.gov/gene/259522", "259522")</f>
        <v>259522</v>
      </c>
      <c r="C18946" s="9"/>
      <c r="D18946" t="str">
        <f>"R05D3.12"</f>
        <v>R05D3.12</v>
      </c>
      <c r="E18946" t="s">
        <v>10178</v>
      </c>
      <c r="F18946" t="s">
        <v>11</v>
      </c>
      <c r="G18946" t="s">
        <v>10179</v>
      </c>
      <c r="H18946" s="12">
        <v>1.05146448887136</v>
      </c>
      <c r="I18946" s="20">
        <v>0.24257585362290601</v>
      </c>
      <c r="J18946" s="28">
        <v>0.80833398860243699</v>
      </c>
      <c r="K18946" s="29">
        <v>0.98560366354944995</v>
      </c>
    </row>
    <row r="18947" spans="1:11" x14ac:dyDescent="0.35">
      <c r="A18947" s="9" t="str">
        <f>HYPERLINK("http://www.ensembl.org/id/WBGene00017398", "WBGene00017398")</f>
        <v>WBGene00017398</v>
      </c>
      <c r="B18947" s="9" t="str">
        <f>HYPERLINK("http://www.ncbi.nlm.nih.gov/gene/171781", "171781")</f>
        <v>171781</v>
      </c>
      <c r="C18947" s="9"/>
      <c r="D18947" t="str">
        <f>"slc-17.6"</f>
        <v>slc-17.6</v>
      </c>
      <c r="E18947" t="s">
        <v>584</v>
      </c>
      <c r="F18947" t="s">
        <v>11</v>
      </c>
      <c r="G18947" t="s">
        <v>230</v>
      </c>
      <c r="H18947" s="12">
        <v>-1.0691227820126501</v>
      </c>
      <c r="I18947" s="20">
        <v>-0.24363919448108501</v>
      </c>
      <c r="J18947" s="28">
        <v>0.80751027001403797</v>
      </c>
      <c r="K18947" s="29">
        <v>0.98560366354944995</v>
      </c>
    </row>
    <row r="18948" spans="1:11" x14ac:dyDescent="0.35">
      <c r="A18948" s="9" t="str">
        <f>HYPERLINK("http://www.ensembl.org/id/WBGene00005197", "WBGene00005197")</f>
        <v>WBGene00005197</v>
      </c>
      <c r="B18948" s="9" t="str">
        <f>HYPERLINK("http://www.ncbi.nlm.nih.gov/gene/188593", "188593")</f>
        <v>188593</v>
      </c>
      <c r="C18948" s="9"/>
      <c r="D18948" t="str">
        <f>"srg-40"</f>
        <v>srg-40</v>
      </c>
      <c r="E18948" t="s">
        <v>1828</v>
      </c>
      <c r="F18948" t="s">
        <v>11</v>
      </c>
      <c r="G18948" t="s">
        <v>1829</v>
      </c>
      <c r="H18948" s="12">
        <v>-1.31105263994831</v>
      </c>
      <c r="I18948" s="20">
        <v>-0.24368733668310499</v>
      </c>
      <c r="J18948" s="28">
        <v>0.80747298162743397</v>
      </c>
      <c r="K18948" s="29">
        <v>0.98560366354944995</v>
      </c>
    </row>
    <row r="18949" spans="1:11" x14ac:dyDescent="0.35">
      <c r="A18949" s="9" t="str">
        <f>HYPERLINK("http://www.ensembl.org/id/WBGene00006661", "WBGene00006661")</f>
        <v>WBGene00006661</v>
      </c>
      <c r="B18949" s="9" t="str">
        <f>HYPERLINK("http://www.ncbi.nlm.nih.gov/gene/192070", "192070")</f>
        <v>192070</v>
      </c>
      <c r="C18949" s="9"/>
      <c r="D18949" t="str">
        <f>"twk-6"</f>
        <v>twk-6</v>
      </c>
      <c r="E18949" t="s">
        <v>894</v>
      </c>
      <c r="F18949" t="s">
        <v>11</v>
      </c>
      <c r="G18949" t="s">
        <v>895</v>
      </c>
      <c r="H18949" s="12">
        <v>1.69937666417266</v>
      </c>
      <c r="I18949" s="20">
        <v>0.242786349024666</v>
      </c>
      <c r="J18949" s="28">
        <v>0.80817091112726902</v>
      </c>
      <c r="K18949" s="29">
        <v>0.98560366354944995</v>
      </c>
    </row>
    <row r="18950" spans="1:11" x14ac:dyDescent="0.35">
      <c r="A18950" s="9" t="str">
        <f>HYPERLINK("http://www.ensembl.org/id/WBGene00200573", "WBGene00200573")</f>
        <v>WBGene00200573</v>
      </c>
      <c r="B18950" s="9"/>
      <c r="C18950" s="9"/>
      <c r="D18950" t="str">
        <f>"W06H8.14"</f>
        <v>W06H8.14</v>
      </c>
      <c r="F18950" t="s">
        <v>481</v>
      </c>
      <c r="H18950" s="12">
        <v>-1.6082642893977399</v>
      </c>
      <c r="I18950" s="20">
        <v>-0.243162996768747</v>
      </c>
      <c r="J18950" s="28">
        <v>0.80787913095595398</v>
      </c>
      <c r="K18950" s="29">
        <v>0.98560366354944995</v>
      </c>
    </row>
    <row r="18951" spans="1:11" x14ac:dyDescent="0.35">
      <c r="A18951" s="9" t="str">
        <f>HYPERLINK("http://www.ensembl.org/id/WBGene00012358", "WBGene00012358")</f>
        <v>WBGene00012358</v>
      </c>
      <c r="B18951" s="9" t="str">
        <f>HYPERLINK("http://www.ncbi.nlm.nih.gov/gene/176539", "176539")</f>
        <v>176539</v>
      </c>
      <c r="C18951" s="9"/>
      <c r="D18951" t="str">
        <f>"W09D6.5"</f>
        <v>W09D6.5</v>
      </c>
      <c r="F18951" t="s">
        <v>11</v>
      </c>
      <c r="G18951" t="s">
        <v>54</v>
      </c>
      <c r="H18951" s="12">
        <v>-1.0472653648399299</v>
      </c>
      <c r="I18951" s="20">
        <v>-0.243738613253347</v>
      </c>
      <c r="J18951" s="28">
        <v>0.80743326600718002</v>
      </c>
      <c r="K18951" s="29">
        <v>0.98560366354944995</v>
      </c>
    </row>
    <row r="18952" spans="1:11" x14ac:dyDescent="0.35">
      <c r="A18952" s="9" t="str">
        <f>HYPERLINK("http://www.ensembl.org/id/WBGene00013155", "WBGene00013155")</f>
        <v>WBGene00013155</v>
      </c>
      <c r="B18952" s="9"/>
      <c r="C18952" s="9"/>
      <c r="D18952" t="str">
        <f>"Y53F4B.8"</f>
        <v>Y53F4B.8</v>
      </c>
      <c r="F18952" t="s">
        <v>80</v>
      </c>
      <c r="H18952" s="12">
        <v>1.1741663035196399</v>
      </c>
      <c r="I18952" s="20">
        <v>0.242814054350354</v>
      </c>
      <c r="J18952" s="28">
        <v>0.80814944755175699</v>
      </c>
      <c r="K18952" s="29">
        <v>0.98560366354944995</v>
      </c>
    </row>
    <row r="18953" spans="1:11" x14ac:dyDescent="0.35">
      <c r="A18953" s="9" t="str">
        <f>HYPERLINK("http://www.ensembl.org/id/WBGene00022055", "WBGene00022055")</f>
        <v>WBGene00022055</v>
      </c>
      <c r="B18953" s="9" t="str">
        <f>HYPERLINK("http://www.ncbi.nlm.nih.gov/gene/190511", "190511")</f>
        <v>190511</v>
      </c>
      <c r="C18953" s="9" t="str">
        <f>HYPERLINK("http://www.ncbi.nlm.nih.gov/gene/26151", "26151")</f>
        <v>26151</v>
      </c>
      <c r="D18953" t="str">
        <f>"Y67D2.5"</f>
        <v>Y67D2.5</v>
      </c>
      <c r="E18953" t="s">
        <v>10182</v>
      </c>
      <c r="F18953" t="s">
        <v>11</v>
      </c>
      <c r="G18953" t="s">
        <v>10183</v>
      </c>
      <c r="H18953" s="12">
        <v>-1.0638757270279899</v>
      </c>
      <c r="I18953" s="20">
        <v>-0.24261845468680199</v>
      </c>
      <c r="J18953" s="28">
        <v>0.80830098353248003</v>
      </c>
      <c r="K18953" s="29">
        <v>0.98560366354944995</v>
      </c>
    </row>
    <row r="18954" spans="1:11" x14ac:dyDescent="0.35">
      <c r="A18954" s="9" t="str">
        <f>HYPERLINK("http://www.ensembl.org/id/WBGene00167544", "WBGene00167544")</f>
        <v>WBGene00167544</v>
      </c>
      <c r="B18954" s="9"/>
      <c r="C18954" s="9"/>
      <c r="D18954" t="str">
        <f>"21ur-12587"</f>
        <v>21ur-12587</v>
      </c>
      <c r="F18954" t="s">
        <v>3161</v>
      </c>
      <c r="H18954" s="12">
        <v>1.44745815689896</v>
      </c>
      <c r="I18954" s="20">
        <v>0.241899771211707</v>
      </c>
      <c r="J18954" s="28">
        <v>0.80885782741595802</v>
      </c>
      <c r="K18954" s="29">
        <v>0.98579752793841002</v>
      </c>
    </row>
    <row r="18955" spans="1:11" x14ac:dyDescent="0.35">
      <c r="A18955" s="9" t="str">
        <f>HYPERLINK("http://www.ensembl.org/id/WBGene00172271", "WBGene00172271")</f>
        <v>WBGene00172271</v>
      </c>
      <c r="B18955" s="9"/>
      <c r="C18955" s="9"/>
      <c r="D18955" t="str">
        <f>"21ur-7600"</f>
        <v>21ur-7600</v>
      </c>
      <c r="F18955" t="s">
        <v>3161</v>
      </c>
      <c r="H18955" s="12">
        <v>1.92644267430222</v>
      </c>
      <c r="I18955" s="20">
        <v>0.239958278789032</v>
      </c>
      <c r="J18955" s="28">
        <v>0.81036260043547803</v>
      </c>
      <c r="K18955" s="29">
        <v>0.98579752793841002</v>
      </c>
    </row>
    <row r="18956" spans="1:11" x14ac:dyDescent="0.35">
      <c r="A18956" s="9" t="str">
        <f>HYPERLINK("http://www.ensembl.org/id/WBGene00044537", "WBGene00044537")</f>
        <v>WBGene00044537</v>
      </c>
      <c r="B18956" s="9" t="str">
        <f>HYPERLINK("http://www.ncbi.nlm.nih.gov/gene/3896825", "3896825")</f>
        <v>3896825</v>
      </c>
      <c r="C18956" s="9"/>
      <c r="D18956" t="str">
        <f>"B0238.15"</f>
        <v>B0238.15</v>
      </c>
      <c r="F18956" t="s">
        <v>11</v>
      </c>
      <c r="G18956" t="s">
        <v>25</v>
      </c>
      <c r="H18956" s="12">
        <v>-1.37619717739348</v>
      </c>
      <c r="I18956" s="20">
        <v>-0.240319676132731</v>
      </c>
      <c r="J18956" s="28">
        <v>0.81008244255416795</v>
      </c>
      <c r="K18956" s="29">
        <v>0.98579752793841002</v>
      </c>
    </row>
    <row r="18957" spans="1:11" x14ac:dyDescent="0.35">
      <c r="A18957" s="9" t="str">
        <f>HYPERLINK("http://www.ensembl.org/id/WBGene00007365", "WBGene00007365")</f>
        <v>WBGene00007365</v>
      </c>
      <c r="B18957" s="9" t="str">
        <f>HYPERLINK("http://www.ncbi.nlm.nih.gov/gene/182293", "182293")</f>
        <v>182293</v>
      </c>
      <c r="C18957" s="9"/>
      <c r="D18957" t="str">
        <f>"C06B3.6"</f>
        <v>C06B3.6</v>
      </c>
      <c r="F18957" t="s">
        <v>11</v>
      </c>
      <c r="H18957" s="12">
        <v>1.0508462560732199</v>
      </c>
      <c r="I18957" s="20">
        <v>0.240744053205456</v>
      </c>
      <c r="J18957" s="28">
        <v>0.80975349338631997</v>
      </c>
      <c r="K18957" s="29">
        <v>0.98579752793841002</v>
      </c>
    </row>
    <row r="18958" spans="1:11" x14ac:dyDescent="0.35">
      <c r="A18958" s="9" t="str">
        <f>HYPERLINK("http://www.ensembl.org/id/WBGene00007777", "WBGene00007777")</f>
        <v>WBGene00007777</v>
      </c>
      <c r="B18958" s="9" t="str">
        <f>HYPERLINK("http://www.ncbi.nlm.nih.gov/gene/178226", "178226")</f>
        <v>178226</v>
      </c>
      <c r="C18958" s="9"/>
      <c r="D18958" t="str">
        <f>"C27D8.1"</f>
        <v>C27D8.1</v>
      </c>
      <c r="F18958" t="s">
        <v>11</v>
      </c>
      <c r="G18958" t="s">
        <v>961</v>
      </c>
      <c r="H18958" s="12">
        <v>-1.2172018048762301</v>
      </c>
      <c r="I18958" s="20">
        <v>-0.242260394839451</v>
      </c>
      <c r="J18958" s="28">
        <v>0.80857840013284399</v>
      </c>
      <c r="K18958" s="29">
        <v>0.98579752793841002</v>
      </c>
    </row>
    <row r="18959" spans="1:11" x14ac:dyDescent="0.35">
      <c r="A18959" s="9" t="str">
        <f>HYPERLINK("http://www.ensembl.org/id/WBGene00007823", "WBGene00007823")</f>
        <v>WBGene00007823</v>
      </c>
      <c r="B18959" s="9" t="str">
        <f>HYPERLINK("http://www.ncbi.nlm.nih.gov/gene/183068", "183068")</f>
        <v>183068</v>
      </c>
      <c r="C18959" s="9"/>
      <c r="D18959" t="str">
        <f>"C30H6.5"</f>
        <v>C30H6.5</v>
      </c>
      <c r="F18959" t="s">
        <v>11</v>
      </c>
      <c r="H18959" s="12">
        <v>-1.43491482357467</v>
      </c>
      <c r="I18959" s="20">
        <v>-0.241637402227216</v>
      </c>
      <c r="J18959" s="28">
        <v>0.80906113793700396</v>
      </c>
      <c r="K18959" s="29">
        <v>0.98579752793841002</v>
      </c>
    </row>
    <row r="18960" spans="1:11" x14ac:dyDescent="0.35">
      <c r="A18960" s="9" t="str">
        <f>HYPERLINK("http://www.ensembl.org/id/WBGene00016681", "WBGene00016681")</f>
        <v>WBGene00016681</v>
      </c>
      <c r="B18960" s="9" t="str">
        <f>HYPERLINK("http://www.ncbi.nlm.nih.gov/gene/175688", "175688")</f>
        <v>175688</v>
      </c>
      <c r="C18960" s="9"/>
      <c r="D18960" t="str">
        <f>"C45G9.10"</f>
        <v>C45G9.10</v>
      </c>
      <c r="F18960" t="s">
        <v>11</v>
      </c>
      <c r="H18960" s="12">
        <v>1.44745815689896</v>
      </c>
      <c r="I18960" s="20">
        <v>0.241899771211707</v>
      </c>
      <c r="J18960" s="28">
        <v>0.80885782741595802</v>
      </c>
      <c r="K18960" s="29">
        <v>0.98579752793841002</v>
      </c>
    </row>
    <row r="18961" spans="1:11" x14ac:dyDescent="0.35">
      <c r="A18961" s="9" t="str">
        <f>HYPERLINK("http://www.ensembl.org/id/WBGene00018022", "WBGene00018022")</f>
        <v>WBGene00018022</v>
      </c>
      <c r="B18961" s="9" t="str">
        <f>HYPERLINK("http://www.ncbi.nlm.nih.gov/gene/185241", "185241")</f>
        <v>185241</v>
      </c>
      <c r="C18961" s="9"/>
      <c r="D18961" t="str">
        <f>"ceh-87"</f>
        <v>ceh-87</v>
      </c>
      <c r="E18961" t="s">
        <v>349</v>
      </c>
      <c r="F18961" t="s">
        <v>11</v>
      </c>
      <c r="G18961" t="s">
        <v>6309</v>
      </c>
      <c r="H18961" s="12">
        <v>-1.8828136428644699</v>
      </c>
      <c r="I18961" s="20">
        <v>-0.24076864970710399</v>
      </c>
      <c r="J18961" s="28">
        <v>0.80973442882734503</v>
      </c>
      <c r="K18961" s="29">
        <v>0.98579752793841002</v>
      </c>
    </row>
    <row r="18962" spans="1:11" x14ac:dyDescent="0.35">
      <c r="A18962" s="9" t="str">
        <f>HYPERLINK("http://www.ensembl.org/id/WBGene00007184", "WBGene00007184")</f>
        <v>WBGene00007184</v>
      </c>
      <c r="B18962" s="9" t="str">
        <f>HYPERLINK("http://www.ncbi.nlm.nih.gov/gene/176335", "176335")</f>
        <v>176335</v>
      </c>
      <c r="C18962" s="9" t="str">
        <f>HYPERLINK("http://www.ncbi.nlm.nih.gov/gene/9646", "9646")</f>
        <v>9646</v>
      </c>
      <c r="D18962" t="str">
        <f>"ctr-9"</f>
        <v>ctr-9</v>
      </c>
      <c r="E18962" t="s">
        <v>10195</v>
      </c>
      <c r="F18962" t="s">
        <v>11</v>
      </c>
      <c r="G18962" t="s">
        <v>10196</v>
      </c>
      <c r="H18962" s="12">
        <v>-1.05051053265829</v>
      </c>
      <c r="I18962" s="20">
        <v>-0.24100984430321501</v>
      </c>
      <c r="J18962" s="28">
        <v>0.80954748673714305</v>
      </c>
      <c r="K18962" s="29">
        <v>0.98579752793841002</v>
      </c>
    </row>
    <row r="18963" spans="1:11" x14ac:dyDescent="0.35">
      <c r="A18963" s="9" t="str">
        <f>HYPERLINK("http://www.ensembl.org/id/WBGene00007930", "WBGene00007930")</f>
        <v>WBGene00007930</v>
      </c>
      <c r="B18963" s="9" t="str">
        <f>HYPERLINK("http://www.ncbi.nlm.nih.gov/gene/183203", "183203")</f>
        <v>183203</v>
      </c>
      <c r="C18963" s="9"/>
      <c r="D18963" t="str">
        <f>"dmd-11"</f>
        <v>dmd-11</v>
      </c>
      <c r="E18963" t="s">
        <v>780</v>
      </c>
      <c r="F18963" t="s">
        <v>11</v>
      </c>
      <c r="G18963" t="s">
        <v>10199</v>
      </c>
      <c r="H18963" s="12">
        <v>-1.54533312004501</v>
      </c>
      <c r="I18963" s="20">
        <v>-0.24051971842452799</v>
      </c>
      <c r="J18963" s="28">
        <v>0.80992737875596599</v>
      </c>
      <c r="K18963" s="29">
        <v>0.98579752793841002</v>
      </c>
    </row>
    <row r="18964" spans="1:11" x14ac:dyDescent="0.35">
      <c r="A18964" s="9" t="str">
        <f>HYPERLINK("http://www.ensembl.org/id/WBGene00010120", "WBGene00010120")</f>
        <v>WBGene00010120</v>
      </c>
      <c r="B18964" s="9" t="str">
        <f>HYPERLINK("http://www.ncbi.nlm.nih.gov/gene/186332", "186332")</f>
        <v>186332</v>
      </c>
      <c r="C18964" s="9"/>
      <c r="D18964" t="str">
        <f>"dot-1.4"</f>
        <v>dot-1.4</v>
      </c>
      <c r="E18964" t="s">
        <v>2966</v>
      </c>
      <c r="F18964" t="s">
        <v>11</v>
      </c>
      <c r="G18964" t="s">
        <v>2967</v>
      </c>
      <c r="H18964" s="12">
        <v>-1.10984984996748</v>
      </c>
      <c r="I18964" s="20">
        <v>-0.24025691407994801</v>
      </c>
      <c r="J18964" s="28">
        <v>0.81013109441467601</v>
      </c>
      <c r="K18964" s="29">
        <v>0.98579752793841002</v>
      </c>
    </row>
    <row r="18965" spans="1:11" x14ac:dyDescent="0.35">
      <c r="A18965" s="9" t="str">
        <f>HYPERLINK("http://www.ensembl.org/id/WBGene00009955", "WBGene00009955")</f>
        <v>WBGene00009955</v>
      </c>
      <c r="B18965" s="9" t="str">
        <f>HYPERLINK("http://www.ncbi.nlm.nih.gov/gene/186150", "186150")</f>
        <v>186150</v>
      </c>
      <c r="C18965" s="9"/>
      <c r="D18965" t="str">
        <f>"eak-4"</f>
        <v>eak-4</v>
      </c>
      <c r="F18965" t="s">
        <v>11</v>
      </c>
      <c r="H18965" s="12">
        <v>-1.57901126198066</v>
      </c>
      <c r="I18965" s="20">
        <v>-0.24131643476331199</v>
      </c>
      <c r="J18965" s="28">
        <v>0.80930987412570099</v>
      </c>
      <c r="K18965" s="29">
        <v>0.98579752793841002</v>
      </c>
    </row>
    <row r="18966" spans="1:11" x14ac:dyDescent="0.35">
      <c r="A18966" s="9" t="str">
        <f>HYPERLINK("http://www.ensembl.org/id/WBGene00017470", "WBGene00017470")</f>
        <v>WBGene00017470</v>
      </c>
      <c r="B18966" s="9" t="str">
        <f>HYPERLINK("http://www.ncbi.nlm.nih.gov/gene/184502", "184502")</f>
        <v>184502</v>
      </c>
      <c r="C18966" s="9"/>
      <c r="D18966" t="str">
        <f>"F14H12.2"</f>
        <v>F14H12.2</v>
      </c>
      <c r="F18966" t="s">
        <v>11</v>
      </c>
      <c r="H18966" s="12">
        <v>1.1772495796665501</v>
      </c>
      <c r="I18966" s="20">
        <v>0.240991480238373</v>
      </c>
      <c r="J18966" s="28">
        <v>0.80956171974472801</v>
      </c>
      <c r="K18966" s="29">
        <v>0.98579752793841002</v>
      </c>
    </row>
    <row r="18967" spans="1:11" x14ac:dyDescent="0.35">
      <c r="A18967" s="9" t="str">
        <f>HYPERLINK("http://www.ensembl.org/id/WBGene00009768", "WBGene00009768")</f>
        <v>WBGene00009768</v>
      </c>
      <c r="B18967" s="9" t="str">
        <f>HYPERLINK("http://www.ncbi.nlm.nih.gov/gene/185839", "185839")</f>
        <v>185839</v>
      </c>
      <c r="C18967" s="9"/>
      <c r="D18967" t="str">
        <f>"F46B6.2"</f>
        <v>F46B6.2</v>
      </c>
      <c r="F18967" t="s">
        <v>11</v>
      </c>
      <c r="G18967" t="s">
        <v>25</v>
      </c>
      <c r="H18967" s="12">
        <v>1.19552307897949</v>
      </c>
      <c r="I18967" s="20">
        <v>0.24068985395008</v>
      </c>
      <c r="J18967" s="28">
        <v>0.80979550321013405</v>
      </c>
      <c r="K18967" s="29">
        <v>0.98579752793841002</v>
      </c>
    </row>
    <row r="18968" spans="1:11" x14ac:dyDescent="0.35">
      <c r="A18968" s="9" t="str">
        <f>HYPERLINK("http://www.ensembl.org/id/WBGene00010143", "WBGene00010143")</f>
        <v>WBGene00010143</v>
      </c>
      <c r="B18968" s="9" t="str">
        <f>HYPERLINK("http://www.ncbi.nlm.nih.gov/gene/179937", "179937")</f>
        <v>179937</v>
      </c>
      <c r="C18968" s="9"/>
      <c r="D18968" t="str">
        <f>"F56A12.2"</f>
        <v>F56A12.2</v>
      </c>
      <c r="F18968" t="s">
        <v>11</v>
      </c>
      <c r="G18968" t="s">
        <v>25</v>
      </c>
      <c r="H18968" s="12">
        <v>1.09105729955788</v>
      </c>
      <c r="I18968" s="20">
        <v>0.240805124125651</v>
      </c>
      <c r="J18968" s="28">
        <v>0.80970615799432</v>
      </c>
      <c r="K18968" s="29">
        <v>0.98579752793841002</v>
      </c>
    </row>
    <row r="18969" spans="1:11" x14ac:dyDescent="0.35">
      <c r="A18969" s="9" t="str">
        <f>HYPERLINK("http://www.ensembl.org/id/WBGene00018138", "WBGene00018138")</f>
        <v>WBGene00018138</v>
      </c>
      <c r="B18969" s="9" t="str">
        <f>HYPERLINK("http://www.ncbi.nlm.nih.gov/gene/178745", "178745")</f>
        <v>178745</v>
      </c>
      <c r="C18969" s="9"/>
      <c r="D18969" t="str">
        <f>"folt-2"</f>
        <v>folt-2</v>
      </c>
      <c r="E18969" t="s">
        <v>10185</v>
      </c>
      <c r="F18969" t="s">
        <v>11</v>
      </c>
      <c r="G18969" t="s">
        <v>10041</v>
      </c>
      <c r="H18969" s="12">
        <v>1.06354844287349</v>
      </c>
      <c r="I18969" s="20">
        <v>0.242195548985637</v>
      </c>
      <c r="J18969" s="28">
        <v>0.80862864379565202</v>
      </c>
      <c r="K18969" s="29">
        <v>0.98579752793841002</v>
      </c>
    </row>
    <row r="18970" spans="1:11" x14ac:dyDescent="0.35">
      <c r="A18970" s="9" t="str">
        <f>HYPERLINK("http://www.ensembl.org/id/WBGene00021609", "WBGene00021609")</f>
        <v>WBGene00021609</v>
      </c>
      <c r="B18970" s="9" t="str">
        <f>HYPERLINK("http://www.ncbi.nlm.nih.gov/gene/189969", "189969")</f>
        <v>189969</v>
      </c>
      <c r="C18970" s="9"/>
      <c r="D18970" t="str">
        <f>"irld-17"</f>
        <v>irld-17</v>
      </c>
      <c r="E18970" t="s">
        <v>1627</v>
      </c>
      <c r="F18970" t="s">
        <v>11</v>
      </c>
      <c r="H18970" s="12">
        <v>1.92644267430222</v>
      </c>
      <c r="I18970" s="20">
        <v>0.239958278789032</v>
      </c>
      <c r="J18970" s="28">
        <v>0.81036260043547803</v>
      </c>
      <c r="K18970" s="29">
        <v>0.98579752793841002</v>
      </c>
    </row>
    <row r="18971" spans="1:11" x14ac:dyDescent="0.35">
      <c r="A18971" s="9" t="str">
        <f>HYPERLINK("http://www.ensembl.org/id/WBGene00185118", "WBGene00185118")</f>
        <v>WBGene00185118</v>
      </c>
      <c r="B18971" s="9" t="str">
        <f>HYPERLINK("http://www.ncbi.nlm.nih.gov/gene/13218802", "13218802")</f>
        <v>13218802</v>
      </c>
      <c r="C18971" s="9"/>
      <c r="D18971" t="str">
        <f>"K02E2.11"</f>
        <v>K02E2.11</v>
      </c>
      <c r="F18971" t="s">
        <v>11</v>
      </c>
      <c r="H18971" s="12">
        <v>1.0683747423239101</v>
      </c>
      <c r="I18971" s="20">
        <v>0.24041055611572801</v>
      </c>
      <c r="J18971" s="28">
        <v>0.81001199554949499</v>
      </c>
      <c r="K18971" s="29">
        <v>0.98579752793841002</v>
      </c>
    </row>
    <row r="18972" spans="1:11" x14ac:dyDescent="0.35">
      <c r="A18972" s="9" t="str">
        <f>HYPERLINK("http://www.ensembl.org/id/WBGene00044458", "WBGene00044458")</f>
        <v>WBGene00044458</v>
      </c>
      <c r="B18972" s="9" t="str">
        <f>HYPERLINK("http://www.ncbi.nlm.nih.gov/gene/3896787", "3896787")</f>
        <v>3896787</v>
      </c>
      <c r="C18972" s="9"/>
      <c r="D18972" t="str">
        <f>"K11H12.10"</f>
        <v>K11H12.10</v>
      </c>
      <c r="F18972" t="s">
        <v>11</v>
      </c>
      <c r="G18972" t="s">
        <v>25</v>
      </c>
      <c r="H18972" s="12">
        <v>1.92644267430222</v>
      </c>
      <c r="I18972" s="20">
        <v>0.239958278789032</v>
      </c>
      <c r="J18972" s="28">
        <v>0.81036260043547803</v>
      </c>
      <c r="K18972" s="29">
        <v>0.98579752793841002</v>
      </c>
    </row>
    <row r="18973" spans="1:11" x14ac:dyDescent="0.35">
      <c r="A18973" s="9" t="str">
        <f>HYPERLINK("http://www.ensembl.org/id/WBGene00219664", "WBGene00219664")</f>
        <v>WBGene00219664</v>
      </c>
      <c r="B18973" s="9"/>
      <c r="C18973" s="9"/>
      <c r="D18973" t="str">
        <f>"linc-73"</f>
        <v>linc-73</v>
      </c>
      <c r="F18973" t="s">
        <v>1510</v>
      </c>
      <c r="H18973" s="12">
        <v>1.40307774664713</v>
      </c>
      <c r="I18973" s="20">
        <v>0.24121160809453401</v>
      </c>
      <c r="J18973" s="28">
        <v>0.80939111452855295</v>
      </c>
      <c r="K18973" s="29">
        <v>0.98579752793841002</v>
      </c>
    </row>
    <row r="18974" spans="1:11" x14ac:dyDescent="0.35">
      <c r="A18974" s="9" t="str">
        <f>HYPERLINK("http://www.ensembl.org/id/WBGene00016227", "WBGene00016227")</f>
        <v>WBGene00016227</v>
      </c>
      <c r="B18974" s="9" t="str">
        <f>HYPERLINK("http://www.ncbi.nlm.nih.gov/gene/183029", "183029")</f>
        <v>183029</v>
      </c>
      <c r="C18974" s="9"/>
      <c r="D18974" t="str">
        <f>"nhr-280"</f>
        <v>nhr-280</v>
      </c>
      <c r="E18974" t="s">
        <v>637</v>
      </c>
      <c r="F18974" t="s">
        <v>11</v>
      </c>
      <c r="H18974" s="12">
        <v>1.92644267430222</v>
      </c>
      <c r="I18974" s="20">
        <v>0.239958278789032</v>
      </c>
      <c r="J18974" s="28">
        <v>0.81036260043547803</v>
      </c>
      <c r="K18974" s="29">
        <v>0.98579752793841002</v>
      </c>
    </row>
    <row r="18975" spans="1:11" x14ac:dyDescent="0.35">
      <c r="A18975" s="9" t="str">
        <f>HYPERLINK("http://www.ensembl.org/id/WBGene00003746", "WBGene00003746")</f>
        <v>WBGene00003746</v>
      </c>
      <c r="B18975" s="9" t="str">
        <f>HYPERLINK("http://www.ncbi.nlm.nih.gov/gene/172544", "172544")</f>
        <v>172544</v>
      </c>
      <c r="C18975" s="9"/>
      <c r="D18975" t="str">
        <f>"nlp-8"</f>
        <v>nlp-8</v>
      </c>
      <c r="E18975" t="s">
        <v>76</v>
      </c>
      <c r="F18975" t="s">
        <v>11</v>
      </c>
      <c r="G18975" t="s">
        <v>77</v>
      </c>
      <c r="H18975" s="12">
        <v>1.04843197810086</v>
      </c>
      <c r="I18975" s="20">
        <v>0.24070287327738399</v>
      </c>
      <c r="J18975" s="28">
        <v>0.80978541188409603</v>
      </c>
      <c r="K18975" s="29">
        <v>0.98579752793841002</v>
      </c>
    </row>
    <row r="18976" spans="1:11" x14ac:dyDescent="0.35">
      <c r="A18976" s="9" t="str">
        <f>HYPERLINK("http://www.ensembl.org/id/WBGene00011557", "WBGene00011557")</f>
        <v>WBGene00011557</v>
      </c>
      <c r="B18976" s="9" t="str">
        <f>HYPERLINK("http://www.ncbi.nlm.nih.gov/gene/3565426", "3565426")</f>
        <v>3565426</v>
      </c>
      <c r="C18976" s="9"/>
      <c r="D18976" t="str">
        <f>"ostf-4"</f>
        <v>ostf-4</v>
      </c>
      <c r="E18976" t="s">
        <v>10200</v>
      </c>
      <c r="F18976" t="s">
        <v>11</v>
      </c>
      <c r="H18976" s="12">
        <v>-1.8828136428644699</v>
      </c>
      <c r="I18976" s="20">
        <v>-0.24076864970710399</v>
      </c>
      <c r="J18976" s="28">
        <v>0.80973442882734503</v>
      </c>
      <c r="K18976" s="29">
        <v>0.98579752793841002</v>
      </c>
    </row>
    <row r="18977" spans="1:11" x14ac:dyDescent="0.35">
      <c r="A18977" s="9" t="str">
        <f>HYPERLINK("http://www.ensembl.org/id/WBGene00011308", "WBGene00011308")</f>
        <v>WBGene00011308</v>
      </c>
      <c r="B18977" s="9" t="str">
        <f>HYPERLINK("http://www.ncbi.nlm.nih.gov/gene/179783", "179783")</f>
        <v>179783</v>
      </c>
      <c r="C18977" s="9"/>
      <c r="D18977" t="str">
        <f>"pnn-1"</f>
        <v>pnn-1</v>
      </c>
      <c r="E18977" t="s">
        <v>10197</v>
      </c>
      <c r="F18977" t="s">
        <v>11</v>
      </c>
      <c r="G18977" t="s">
        <v>10198</v>
      </c>
      <c r="H18977" s="12">
        <v>-1.0521694464211799</v>
      </c>
      <c r="I18977" s="20">
        <v>-0.24007323390094701</v>
      </c>
      <c r="J18977" s="28">
        <v>0.81027348374979002</v>
      </c>
      <c r="K18977" s="29">
        <v>0.98579752793841002</v>
      </c>
    </row>
    <row r="18978" spans="1:11" x14ac:dyDescent="0.35">
      <c r="A18978" s="9" t="str">
        <f>HYPERLINK("http://www.ensembl.org/id/WBGene00011200", "WBGene00011200")</f>
        <v>WBGene00011200</v>
      </c>
      <c r="B18978" s="9" t="str">
        <f>HYPERLINK("http://www.ncbi.nlm.nih.gov/gene/187769", "187769")</f>
        <v>187769</v>
      </c>
      <c r="C18978" s="9"/>
      <c r="D18978" t="str">
        <f>"R10E4.3"</f>
        <v>R10E4.3</v>
      </c>
      <c r="F18978" t="s">
        <v>11</v>
      </c>
      <c r="G18978" t="s">
        <v>25</v>
      </c>
      <c r="H18978" s="12">
        <v>-1.2857791571719199</v>
      </c>
      <c r="I18978" s="20">
        <v>-0.24094288391177501</v>
      </c>
      <c r="J18978" s="28">
        <v>0.80959938447046098</v>
      </c>
      <c r="K18978" s="29">
        <v>0.98579752793841002</v>
      </c>
    </row>
    <row r="18979" spans="1:11" x14ac:dyDescent="0.35">
      <c r="A18979" s="9" t="str">
        <f>HYPERLINK("http://www.ensembl.org/id/WBGene00020919", "WBGene00020919")</f>
        <v>WBGene00020919</v>
      </c>
      <c r="B18979" s="9" t="str">
        <f>HYPERLINK("http://www.ncbi.nlm.nih.gov/gene/180834", "180834")</f>
        <v>180834</v>
      </c>
      <c r="C18979" s="9"/>
      <c r="D18979" t="str">
        <f>"set-19"</f>
        <v>set-19</v>
      </c>
      <c r="E18979" t="s">
        <v>2055</v>
      </c>
      <c r="F18979" t="s">
        <v>11</v>
      </c>
      <c r="G18979" t="s">
        <v>54</v>
      </c>
      <c r="H18979" s="12">
        <v>1.05279798329983</v>
      </c>
      <c r="I18979" s="20">
        <v>0.24152322000116</v>
      </c>
      <c r="J18979" s="28">
        <v>0.80914962211619701</v>
      </c>
      <c r="K18979" s="29">
        <v>0.98579752793841002</v>
      </c>
    </row>
    <row r="18980" spans="1:11" x14ac:dyDescent="0.35">
      <c r="A18980" s="9" t="str">
        <f>HYPERLINK("http://www.ensembl.org/id/WBGene00004954", "WBGene00004954")</f>
        <v>WBGene00004954</v>
      </c>
      <c r="B18980" s="9" t="str">
        <f>HYPERLINK("http://www.ncbi.nlm.nih.gov/gene/177438", "177438")</f>
        <v>177438</v>
      </c>
      <c r="C18980" s="9"/>
      <c r="D18980" t="str">
        <f>"spd-3"</f>
        <v>spd-3</v>
      </c>
      <c r="F18980" t="s">
        <v>11</v>
      </c>
      <c r="G18980" t="s">
        <v>10184</v>
      </c>
      <c r="H18980" s="12">
        <v>1.08169327568329</v>
      </c>
      <c r="I18980" s="20">
        <v>0.24114409703996401</v>
      </c>
      <c r="J18980" s="28">
        <v>0.80944343651244</v>
      </c>
      <c r="K18980" s="29">
        <v>0.98579752793841002</v>
      </c>
    </row>
    <row r="18981" spans="1:11" x14ac:dyDescent="0.35">
      <c r="A18981" s="9" t="str">
        <f>HYPERLINK("http://www.ensembl.org/id/WBGene00005698", "WBGene00005698")</f>
        <v>WBGene00005698</v>
      </c>
      <c r="B18981" s="9" t="str">
        <f>HYPERLINK("http://www.ncbi.nlm.nih.gov/gene/183159", "183159")</f>
        <v>183159</v>
      </c>
      <c r="C18981" s="9"/>
      <c r="D18981" t="str">
        <f>"sru-35"</f>
        <v>sru-35</v>
      </c>
      <c r="E18981" t="s">
        <v>2653</v>
      </c>
      <c r="F18981" t="s">
        <v>11</v>
      </c>
      <c r="G18981" t="s">
        <v>25</v>
      </c>
      <c r="H18981" s="12">
        <v>1.92644267430222</v>
      </c>
      <c r="I18981" s="20">
        <v>0.239958278789032</v>
      </c>
      <c r="J18981" s="28">
        <v>0.81036260043547803</v>
      </c>
      <c r="K18981" s="29">
        <v>0.98579752793841002</v>
      </c>
    </row>
    <row r="18982" spans="1:11" x14ac:dyDescent="0.35">
      <c r="A18982" s="9" t="str">
        <f>HYPERLINK("http://www.ensembl.org/id/WBGene00023137", "WBGene00023137")</f>
        <v>WBGene00023137</v>
      </c>
      <c r="B18982" s="9"/>
      <c r="C18982" s="9"/>
      <c r="D18982" t="str">
        <f>"T13B5.t2"</f>
        <v>T13B5.t2</v>
      </c>
      <c r="F18982" t="s">
        <v>4208</v>
      </c>
      <c r="H18982" s="12">
        <v>-2.1475004919416398</v>
      </c>
      <c r="I18982" s="20">
        <v>-0.241239378254578</v>
      </c>
      <c r="J18982" s="28">
        <v>0.80936959252479201</v>
      </c>
      <c r="K18982" s="29">
        <v>0.98579752793841002</v>
      </c>
    </row>
    <row r="18983" spans="1:11" x14ac:dyDescent="0.35">
      <c r="A18983" s="9" t="str">
        <f>HYPERLINK("http://www.ensembl.org/id/WBGene00013254", "WBGene00013254")</f>
        <v>WBGene00013254</v>
      </c>
      <c r="B18983" s="9" t="str">
        <f>HYPERLINK("http://www.ncbi.nlm.nih.gov/gene/174865", "174865")</f>
        <v>174865</v>
      </c>
      <c r="C18983" s="9"/>
      <c r="D18983" t="str">
        <f>"tag-276"</f>
        <v>tag-276</v>
      </c>
      <c r="F18983" t="s">
        <v>11</v>
      </c>
      <c r="H18983" s="12">
        <v>1.1071960427748699</v>
      </c>
      <c r="I18983" s="20">
        <v>0.24042574773706499</v>
      </c>
      <c r="J18983" s="28">
        <v>0.81000021968268698</v>
      </c>
      <c r="K18983" s="29">
        <v>0.98579752793841002</v>
      </c>
    </row>
    <row r="18984" spans="1:11" x14ac:dyDescent="0.35">
      <c r="A18984" s="9" t="str">
        <f>HYPERLINK("http://www.ensembl.org/id/WBGene00006815", "WBGene00006815")</f>
        <v>WBGene00006815</v>
      </c>
      <c r="B18984" s="9" t="str">
        <f>HYPERLINK("http://www.ncbi.nlm.nih.gov/gene/179033", "179033")</f>
        <v>179033</v>
      </c>
      <c r="C18984" s="9"/>
      <c r="D18984" t="str">
        <f>"unc-83"</f>
        <v>unc-83</v>
      </c>
      <c r="E18984" t="s">
        <v>10187</v>
      </c>
      <c r="F18984" t="s">
        <v>11</v>
      </c>
      <c r="G18984" t="s">
        <v>10188</v>
      </c>
      <c r="H18984" s="12">
        <v>1.0448368788568301</v>
      </c>
      <c r="I18984" s="20">
        <v>0.24187315084477201</v>
      </c>
      <c r="J18984" s="28">
        <v>0.80887845503100597</v>
      </c>
      <c r="K18984" s="29">
        <v>0.98579752793841002</v>
      </c>
    </row>
    <row r="18985" spans="1:11" x14ac:dyDescent="0.35">
      <c r="A18985" s="9" t="str">
        <f>HYPERLINK("http://www.ensembl.org/id/WBGene00012206", "WBGene00012206")</f>
        <v>WBGene00012206</v>
      </c>
      <c r="B18985" s="9" t="str">
        <f>HYPERLINK("http://www.ncbi.nlm.nih.gov/gene/174754", "174754")</f>
        <v>174754</v>
      </c>
      <c r="C18985" s="9" t="str">
        <f>HYPERLINK("http://www.ncbi.nlm.nih.gov/gene/9334", "9334")</f>
        <v>9334</v>
      </c>
      <c r="D18985" t="str">
        <f>"W02B12.11"</f>
        <v>W02B12.11</v>
      </c>
      <c r="E18985" t="s">
        <v>10191</v>
      </c>
      <c r="F18985" t="s">
        <v>11</v>
      </c>
      <c r="G18985" t="s">
        <v>10192</v>
      </c>
      <c r="H18985" s="12">
        <v>-1.0482362506873799</v>
      </c>
      <c r="I18985" s="20">
        <v>-0.240979232451938</v>
      </c>
      <c r="J18985" s="28">
        <v>0.80957121238602303</v>
      </c>
      <c r="K18985" s="29">
        <v>0.98579752793841002</v>
      </c>
    </row>
    <row r="18986" spans="1:11" x14ac:dyDescent="0.35">
      <c r="A18986" s="9" t="str">
        <f>HYPERLINK("http://www.ensembl.org/id/WBGene00006937", "WBGene00006937")</f>
        <v>WBGene00006937</v>
      </c>
      <c r="B18986" s="9" t="str">
        <f>HYPERLINK("http://www.ncbi.nlm.nih.gov/gene/176635", "176635")</f>
        <v>176635</v>
      </c>
      <c r="C18986" s="9" t="str">
        <f>HYPERLINK("http://www.ncbi.nlm.nih.gov/gene/9131", "9131")</f>
        <v>9131</v>
      </c>
      <c r="D18986" t="str">
        <f>"wah-1"</f>
        <v>wah-1</v>
      </c>
      <c r="E18986" t="s">
        <v>10193</v>
      </c>
      <c r="F18986" t="s">
        <v>11</v>
      </c>
      <c r="G18986" t="s">
        <v>10194</v>
      </c>
      <c r="H18986" s="12">
        <v>-1.04941112932265</v>
      </c>
      <c r="I18986" s="20">
        <v>-0.24174738799659701</v>
      </c>
      <c r="J18986" s="28">
        <v>0.80897590806113395</v>
      </c>
      <c r="K18986" s="29">
        <v>0.98579752793841002</v>
      </c>
    </row>
    <row r="18987" spans="1:11" x14ac:dyDescent="0.35">
      <c r="A18987" s="9" t="str">
        <f>HYPERLINK("http://www.ensembl.org/id/WBGene00013634", "WBGene00013634")</f>
        <v>WBGene00013634</v>
      </c>
      <c r="B18987" s="9" t="str">
        <f>HYPERLINK("http://www.ncbi.nlm.nih.gov/gene/190874", "190874")</f>
        <v>190874</v>
      </c>
      <c r="C18987" s="9"/>
      <c r="D18987" t="str">
        <f>"Y105C5A.9"</f>
        <v>Y105C5A.9</v>
      </c>
      <c r="F18987" t="s">
        <v>11</v>
      </c>
      <c r="H18987" s="12">
        <v>1.1856279312610201</v>
      </c>
      <c r="I18987" s="20">
        <v>0.24114130909284801</v>
      </c>
      <c r="J18987" s="28">
        <v>0.80944559722762299</v>
      </c>
      <c r="K18987" s="29">
        <v>0.98579752793841002</v>
      </c>
    </row>
    <row r="18988" spans="1:11" x14ac:dyDescent="0.35">
      <c r="A18988" s="9" t="str">
        <f>HYPERLINK("http://www.ensembl.org/id/WBGene00021319", "WBGene00021319")</f>
        <v>WBGene00021319</v>
      </c>
      <c r="B18988" s="9" t="str">
        <f>HYPERLINK("http://www.ncbi.nlm.nih.gov/gene/189585", "189585")</f>
        <v>189585</v>
      </c>
      <c r="C18988" s="9"/>
      <c r="D18988" t="str">
        <f>"Y34B4A.2"</f>
        <v>Y34B4A.2</v>
      </c>
      <c r="F18988" t="s">
        <v>11</v>
      </c>
      <c r="G18988" t="s">
        <v>10186</v>
      </c>
      <c r="H18988" s="12">
        <v>1.05432599343055</v>
      </c>
      <c r="I18988" s="20">
        <v>0.24133919079583899</v>
      </c>
      <c r="J18988" s="28">
        <v>0.809292238529569</v>
      </c>
      <c r="K18988" s="29">
        <v>0.98579752793841002</v>
      </c>
    </row>
    <row r="18989" spans="1:11" x14ac:dyDescent="0.35">
      <c r="A18989" s="9" t="str">
        <f>HYPERLINK("http://www.ensembl.org/id/WBGene00012809", "WBGene00012809")</f>
        <v>WBGene00012809</v>
      </c>
      <c r="B18989" s="9" t="str">
        <f>HYPERLINK("http://www.ncbi.nlm.nih.gov/gene/180269", "180269")</f>
        <v>180269</v>
      </c>
      <c r="C18989" s="9"/>
      <c r="D18989" t="str">
        <f>"Y43F8A.2"</f>
        <v>Y43F8A.2</v>
      </c>
      <c r="F18989" t="s">
        <v>11</v>
      </c>
      <c r="H18989" s="12">
        <v>-1.1958804835288801</v>
      </c>
      <c r="I18989" s="20">
        <v>-0.24018854585296101</v>
      </c>
      <c r="J18989" s="28">
        <v>0.81018409290168503</v>
      </c>
      <c r="K18989" s="29">
        <v>0.98579752793841002</v>
      </c>
    </row>
    <row r="18990" spans="1:11" x14ac:dyDescent="0.35">
      <c r="A18990" s="9" t="str">
        <f>HYPERLINK("http://www.ensembl.org/id/WBGene00013186", "WBGene00013186")</f>
        <v>WBGene00013186</v>
      </c>
      <c r="B18990" s="9" t="str">
        <f>HYPERLINK("http://www.ncbi.nlm.nih.gov/gene/190252", "190252")</f>
        <v>190252</v>
      </c>
      <c r="C18990" s="9"/>
      <c r="D18990" t="str">
        <f>"Y53H1C.3"</f>
        <v>Y53H1C.3</v>
      </c>
      <c r="F18990" t="s">
        <v>11</v>
      </c>
      <c r="G18990" t="s">
        <v>25</v>
      </c>
      <c r="H18990" s="12">
        <v>1.4779439912383501</v>
      </c>
      <c r="I18990" s="20">
        <v>0.240072757040764</v>
      </c>
      <c r="J18990" s="28">
        <v>0.81027385342117197</v>
      </c>
      <c r="K18990" s="29">
        <v>0.98579752793841002</v>
      </c>
    </row>
    <row r="18991" spans="1:11" x14ac:dyDescent="0.35">
      <c r="A18991" s="9" t="str">
        <f>HYPERLINK("http://www.ensembl.org/id/WBGene00013367", "WBGene00013367")</f>
        <v>WBGene00013367</v>
      </c>
      <c r="B18991" s="9" t="str">
        <f>HYPERLINK("http://www.ncbi.nlm.nih.gov/gene/3565762", "3565762")</f>
        <v>3565762</v>
      </c>
      <c r="C18991" s="9"/>
      <c r="D18991" t="str">
        <f>"Y60A3A.23"</f>
        <v>Y60A3A.23</v>
      </c>
      <c r="F18991" t="s">
        <v>11</v>
      </c>
      <c r="G18991" t="s">
        <v>25</v>
      </c>
      <c r="H18991" s="12">
        <v>1.41351081940543</v>
      </c>
      <c r="I18991" s="20">
        <v>0.24146823652886801</v>
      </c>
      <c r="J18991" s="28">
        <v>0.80919223178480504</v>
      </c>
      <c r="K18991" s="29">
        <v>0.98579752793841002</v>
      </c>
    </row>
    <row r="18992" spans="1:11" x14ac:dyDescent="0.35">
      <c r="A18992" s="9" t="str">
        <f>HYPERLINK("http://www.ensembl.org/id/WBGene00022282", "WBGene00022282")</f>
        <v>WBGene00022282</v>
      </c>
      <c r="B18992" s="9" t="str">
        <f>HYPERLINK("http://www.ncbi.nlm.nih.gov/gene/171808", "171808")</f>
        <v>171808</v>
      </c>
      <c r="C18992" s="9"/>
      <c r="D18992" t="str">
        <f>"Y74C10AR.2"</f>
        <v>Y74C10AR.2</v>
      </c>
      <c r="F18992" t="s">
        <v>11</v>
      </c>
      <c r="H18992" s="12">
        <v>-2.1475004919416398</v>
      </c>
      <c r="I18992" s="20">
        <v>-0.241239378254578</v>
      </c>
      <c r="J18992" s="28">
        <v>0.80936959252479201</v>
      </c>
      <c r="K18992" s="29">
        <v>0.98579752793841002</v>
      </c>
    </row>
    <row r="18993" spans="1:11" x14ac:dyDescent="0.35">
      <c r="A18993" s="9" t="str">
        <f>HYPERLINK("http://www.ensembl.org/id/WBGene00010178", "WBGene00010178")</f>
        <v>WBGene00010178</v>
      </c>
      <c r="B18993" s="9" t="str">
        <f>HYPERLINK("http://www.ncbi.nlm.nih.gov/gene/179400", "179400")</f>
        <v>179400</v>
      </c>
      <c r="C18993" s="9" t="str">
        <f>HYPERLINK("http://www.ncbi.nlm.nih.gov/gene/10897", "10897")</f>
        <v>10897</v>
      </c>
      <c r="D18993" t="str">
        <f>"yif-1"</f>
        <v>yif-1</v>
      </c>
      <c r="E18993" t="s">
        <v>10189</v>
      </c>
      <c r="F18993" t="s">
        <v>11</v>
      </c>
      <c r="G18993" t="s">
        <v>10190</v>
      </c>
      <c r="H18993" s="12">
        <v>-1.0466957804552399</v>
      </c>
      <c r="I18993" s="20">
        <v>-0.240071702003992</v>
      </c>
      <c r="J18993" s="28">
        <v>0.81027467130655695</v>
      </c>
      <c r="K18993" s="29">
        <v>0.98579752793841002</v>
      </c>
    </row>
    <row r="18994" spans="1:11" x14ac:dyDescent="0.35">
      <c r="A18994" s="9" t="str">
        <f>HYPERLINK("http://www.ensembl.org/id/WBGene00022679", "WBGene00022679")</f>
        <v>WBGene00022679</v>
      </c>
      <c r="B18994" s="9" t="str">
        <f>HYPERLINK("http://www.ncbi.nlm.nih.gov/gene/177218", "177218")</f>
        <v>177218</v>
      </c>
      <c r="C18994" s="9"/>
      <c r="D18994" t="str">
        <f>"ZK180.5"</f>
        <v>ZK180.5</v>
      </c>
      <c r="F18994" t="s">
        <v>11</v>
      </c>
      <c r="H18994" s="12">
        <v>-1.2947844705356299</v>
      </c>
      <c r="I18994" s="20">
        <v>-0.24094956601305301</v>
      </c>
      <c r="J18994" s="28">
        <v>0.80959420546207705</v>
      </c>
      <c r="K18994" s="29">
        <v>0.98579752793841002</v>
      </c>
    </row>
    <row r="18995" spans="1:11" x14ac:dyDescent="0.35">
      <c r="A18995" s="9" t="str">
        <f>HYPERLINK("http://www.ensembl.org/id/WBGene00195011", "WBGene00195011")</f>
        <v>WBGene00195011</v>
      </c>
      <c r="B18995" s="9" t="str">
        <f>HYPERLINK("http://www.ncbi.nlm.nih.gov/gene/13192946", "13192946")</f>
        <v>13192946</v>
      </c>
      <c r="C18995" s="9"/>
      <c r="D18995" t="str">
        <f>"ZK180.8"</f>
        <v>ZK180.8</v>
      </c>
      <c r="F18995" t="s">
        <v>11</v>
      </c>
      <c r="H18995" s="12">
        <v>-1.13272068006779</v>
      </c>
      <c r="I18995" s="20">
        <v>-0.24137382263234899</v>
      </c>
      <c r="J18995" s="28">
        <v>0.80926539954295096</v>
      </c>
      <c r="K18995" s="29">
        <v>0.98579752793841002</v>
      </c>
    </row>
    <row r="18996" spans="1:11" x14ac:dyDescent="0.35">
      <c r="A18996" s="9" t="str">
        <f>HYPERLINK("http://www.ensembl.org/id/WBGene00194729", "WBGene00194729")</f>
        <v>WBGene00194729</v>
      </c>
      <c r="B18996" s="9" t="str">
        <f>HYPERLINK("http://www.ncbi.nlm.nih.gov/gene/13190208", "13190208")</f>
        <v>13190208</v>
      </c>
      <c r="C18996" s="9"/>
      <c r="D18996" t="str">
        <f>"ZK783.7"</f>
        <v>ZK783.7</v>
      </c>
      <c r="F18996" t="s">
        <v>11</v>
      </c>
      <c r="H18996" s="12">
        <v>-1.6193728882179901</v>
      </c>
      <c r="I18996" s="20">
        <v>-0.24100306316648501</v>
      </c>
      <c r="J18996" s="28">
        <v>0.80955274242735298</v>
      </c>
      <c r="K18996" s="29">
        <v>0.98579752793841002</v>
      </c>
    </row>
    <row r="18997" spans="1:11" x14ac:dyDescent="0.35">
      <c r="A18997" s="9" t="str">
        <f>HYPERLINK("http://www.ensembl.org/id/WBGene00173331", "WBGene00173331")</f>
        <v>WBGene00173331</v>
      </c>
      <c r="B18997" s="9"/>
      <c r="C18997" s="9"/>
      <c r="D18997" t="str">
        <f>"21ur-9656"</f>
        <v>21ur-9656</v>
      </c>
      <c r="F18997" t="s">
        <v>3161</v>
      </c>
      <c r="H18997" s="12">
        <v>1.59918161863424</v>
      </c>
      <c r="I18997" s="20">
        <v>0.239692153458538</v>
      </c>
      <c r="J18997" s="28">
        <v>0.81056891828583</v>
      </c>
      <c r="K18997" s="29">
        <v>0.98589279496301496</v>
      </c>
    </row>
    <row r="18998" spans="1:11" x14ac:dyDescent="0.35">
      <c r="A18998" s="9" t="str">
        <f>HYPERLINK("http://www.ensembl.org/id/WBGene00197163", "WBGene00197163")</f>
        <v>WBGene00197163</v>
      </c>
      <c r="B18998" s="9"/>
      <c r="C18998" s="9"/>
      <c r="D18998" t="str">
        <f>"B0495.15"</f>
        <v>B0495.15</v>
      </c>
      <c r="F18998" t="s">
        <v>481</v>
      </c>
      <c r="H18998" s="12">
        <v>1.59918161863424</v>
      </c>
      <c r="I18998" s="20">
        <v>0.239692153458538</v>
      </c>
      <c r="J18998" s="28">
        <v>0.81056891828583</v>
      </c>
      <c r="K18998" s="29">
        <v>0.98589279496301496</v>
      </c>
    </row>
    <row r="18999" spans="1:11" x14ac:dyDescent="0.35">
      <c r="A18999" s="9" t="str">
        <f>HYPERLINK("http://www.ensembl.org/id/WBGene00002694", "WBGene00002694")</f>
        <v>WBGene00002694</v>
      </c>
      <c r="B18999" s="9" t="str">
        <f>HYPERLINK("http://www.ncbi.nlm.nih.gov/gene/172088", "172088")</f>
        <v>172088</v>
      </c>
      <c r="C18999" s="9" t="str">
        <f>HYPERLINK("http://www.ncbi.nlm.nih.gov/gene/9475", "9475")</f>
        <v>9475</v>
      </c>
      <c r="D18999" t="str">
        <f>"let-502"</f>
        <v>let-502</v>
      </c>
      <c r="E18999" t="s">
        <v>10201</v>
      </c>
      <c r="F18999" t="s">
        <v>11</v>
      </c>
      <c r="G18999" t="s">
        <v>10202</v>
      </c>
      <c r="H18999" s="12">
        <v>-1.0447915756583801</v>
      </c>
      <c r="I18999" s="20">
        <v>-0.23978853814544701</v>
      </c>
      <c r="J18999" s="28">
        <v>0.81049419301968695</v>
      </c>
      <c r="K18999" s="29">
        <v>0.98589279496301496</v>
      </c>
    </row>
    <row r="19000" spans="1:11" x14ac:dyDescent="0.35">
      <c r="A19000" s="9" t="str">
        <f>HYPERLINK("http://www.ensembl.org/id/WBGene00001284", "WBGene00001284")</f>
        <v>WBGene00001284</v>
      </c>
      <c r="B19000" s="9" t="str">
        <f>HYPERLINK("http://www.ncbi.nlm.nih.gov/gene/176322", "176322")</f>
        <v>176322</v>
      </c>
      <c r="C19000" s="9"/>
      <c r="D19000" t="str">
        <f>"emb-30"</f>
        <v>emb-30</v>
      </c>
      <c r="E19000" t="s">
        <v>10205</v>
      </c>
      <c r="F19000" t="s">
        <v>11</v>
      </c>
      <c r="G19000" t="s">
        <v>10206</v>
      </c>
      <c r="H19000" s="12">
        <v>-1.0477098653010399</v>
      </c>
      <c r="I19000" s="20">
        <v>-0.23947844343761099</v>
      </c>
      <c r="J19000" s="28">
        <v>0.81073460987134005</v>
      </c>
      <c r="K19000" s="29">
        <v>0.98593862608879901</v>
      </c>
    </row>
    <row r="19001" spans="1:11" x14ac:dyDescent="0.35">
      <c r="A19001" s="9" t="str">
        <f>HYPERLINK("http://www.ensembl.org/id/WBGene00002000", "WBGene00002000")</f>
        <v>WBGene00002000</v>
      </c>
      <c r="B19001" s="9" t="str">
        <f>HYPERLINK("http://www.ncbi.nlm.nih.gov/gene/173086", "173086")</f>
        <v>173086</v>
      </c>
      <c r="C19001" s="9"/>
      <c r="D19001" t="str">
        <f>"hrp-2"</f>
        <v>hrp-2</v>
      </c>
      <c r="E19001" t="s">
        <v>10203</v>
      </c>
      <c r="F19001" t="s">
        <v>11</v>
      </c>
      <c r="G19001" t="s">
        <v>10204</v>
      </c>
      <c r="H19001" s="12">
        <v>1.04942161773994</v>
      </c>
      <c r="I19001" s="20">
        <v>0.239517108014075</v>
      </c>
      <c r="J19001" s="28">
        <v>0.81070463219750699</v>
      </c>
      <c r="K19001" s="29">
        <v>0.98593862608879901</v>
      </c>
    </row>
    <row r="19002" spans="1:11" x14ac:dyDescent="0.35">
      <c r="A19002" s="9" t="str">
        <f>HYPERLINK("http://www.ensembl.org/id/WBGene00021671", "WBGene00021671")</f>
        <v>WBGene00021671</v>
      </c>
      <c r="B19002" s="9"/>
      <c r="C19002" s="9"/>
      <c r="D19002" t="str">
        <f>"Y48G1BM.6"</f>
        <v>Y48G1BM.6</v>
      </c>
      <c r="F19002" t="s">
        <v>80</v>
      </c>
      <c r="H19002" s="12">
        <v>1.0637987250054599</v>
      </c>
      <c r="I19002" s="20">
        <v>0.23952982512667301</v>
      </c>
      <c r="J19002" s="28">
        <v>0.81069477234275999</v>
      </c>
      <c r="K19002" s="29">
        <v>0.98593862608879901</v>
      </c>
    </row>
    <row r="19003" spans="1:11" x14ac:dyDescent="0.35">
      <c r="A19003" s="9" t="str">
        <f>HYPERLINK("http://www.ensembl.org/id/WBGene00012448", "WBGene00012448")</f>
        <v>WBGene00012448</v>
      </c>
      <c r="B19003" s="9" t="str">
        <f>HYPERLINK("http://www.ncbi.nlm.nih.gov/gene/189444", "189444")</f>
        <v>189444</v>
      </c>
      <c r="C19003" s="9" t="str">
        <f>HYPERLINK("http://www.ncbi.nlm.nih.gov/gene/1573", "1573")</f>
        <v>1573</v>
      </c>
      <c r="D19003" t="str">
        <f>"cyp-33D3"</f>
        <v>cyp-33D3</v>
      </c>
      <c r="E19003" t="s">
        <v>176</v>
      </c>
      <c r="F19003" t="s">
        <v>11</v>
      </c>
      <c r="G19003" t="s">
        <v>4623</v>
      </c>
      <c r="H19003" s="12">
        <v>-1.3407159861050999</v>
      </c>
      <c r="I19003" s="20">
        <v>-0.23924241212310901</v>
      </c>
      <c r="J19003" s="28">
        <v>0.81091761724088396</v>
      </c>
      <c r="K19003" s="29">
        <v>0.986109281825581</v>
      </c>
    </row>
    <row r="19004" spans="1:11" x14ac:dyDescent="0.35">
      <c r="A19004" s="9" t="str">
        <f>HYPERLINK("http://www.ensembl.org/id/WBGene00170809", "WBGene00170809")</f>
        <v>WBGene00170809</v>
      </c>
      <c r="B19004" s="9"/>
      <c r="C19004" s="9"/>
      <c r="D19004" t="str">
        <f>"21ur-14330"</f>
        <v>21ur-14330</v>
      </c>
      <c r="F19004" t="s">
        <v>3161</v>
      </c>
      <c r="H19004" s="12">
        <v>2.0732318514413999</v>
      </c>
      <c r="I19004" s="20">
        <v>0.23857934047078599</v>
      </c>
      <c r="J19004" s="28">
        <v>0.81143178648702596</v>
      </c>
      <c r="K19004" s="29">
        <v>0.986237339291679</v>
      </c>
    </row>
    <row r="19005" spans="1:11" x14ac:dyDescent="0.35">
      <c r="A19005" s="9" t="str">
        <f>HYPERLINK("http://www.ensembl.org/id/WBGene00199694", "WBGene00199694")</f>
        <v>WBGene00199694</v>
      </c>
      <c r="B19005" s="9"/>
      <c r="C19005" s="9"/>
      <c r="D19005" t="str">
        <f>"2RSSE.6"</f>
        <v>2RSSE.6</v>
      </c>
      <c r="F19005" t="s">
        <v>481</v>
      </c>
      <c r="H19005" s="12">
        <v>1.11019307227357</v>
      </c>
      <c r="I19005" s="20">
        <v>0.23812360398552701</v>
      </c>
      <c r="J19005" s="28">
        <v>0.81178522788192797</v>
      </c>
      <c r="K19005" s="29">
        <v>0.986237339291679</v>
      </c>
    </row>
    <row r="19006" spans="1:11" x14ac:dyDescent="0.35">
      <c r="A19006" s="9" t="str">
        <f>HYPERLINK("http://www.ensembl.org/id/WBGene00202135", "WBGene00202135")</f>
        <v>WBGene00202135</v>
      </c>
      <c r="B19006" s="9"/>
      <c r="C19006" s="9"/>
      <c r="D19006" t="str">
        <f>"B0563.17"</f>
        <v>B0563.17</v>
      </c>
      <c r="F19006" t="s">
        <v>481</v>
      </c>
      <c r="H19006" s="12">
        <v>2.0732318514413999</v>
      </c>
      <c r="I19006" s="20">
        <v>0.23857934047078599</v>
      </c>
      <c r="J19006" s="28">
        <v>0.81143178648702596</v>
      </c>
      <c r="K19006" s="29">
        <v>0.986237339291679</v>
      </c>
    </row>
    <row r="19007" spans="1:11" x14ac:dyDescent="0.35">
      <c r="A19007" s="9" t="str">
        <f>HYPERLINK("http://www.ensembl.org/id/WBGene00015784", "WBGene00015784")</f>
        <v>WBGene00015784</v>
      </c>
      <c r="B19007" s="9" t="str">
        <f>HYPERLINK("http://www.ncbi.nlm.nih.gov/gene/182627", "182627")</f>
        <v>182627</v>
      </c>
      <c r="C19007" s="9"/>
      <c r="D19007" t="str">
        <f>"C15B12.2"</f>
        <v>C15B12.2</v>
      </c>
      <c r="F19007" t="s">
        <v>11</v>
      </c>
      <c r="G19007" t="s">
        <v>25</v>
      </c>
      <c r="H19007" s="12">
        <v>1.20694238321439</v>
      </c>
      <c r="I19007" s="20">
        <v>0.23835120967498799</v>
      </c>
      <c r="J19007" s="28">
        <v>0.81160870600560198</v>
      </c>
      <c r="K19007" s="29">
        <v>0.986237339291679</v>
      </c>
    </row>
    <row r="19008" spans="1:11" x14ac:dyDescent="0.35">
      <c r="A19008" s="9" t="str">
        <f>HYPERLINK("http://www.ensembl.org/id/WBGene00000475", "WBGene00000475")</f>
        <v>WBGene00000475</v>
      </c>
      <c r="B19008" s="9" t="str">
        <f>HYPERLINK("http://www.ncbi.nlm.nih.gov/gene/176516", "176516")</f>
        <v>176516</v>
      </c>
      <c r="C19008" s="9"/>
      <c r="D19008" t="str">
        <f>"cey-4"</f>
        <v>cey-4</v>
      </c>
      <c r="E19008" t="s">
        <v>170</v>
      </c>
      <c r="F19008" t="s">
        <v>11</v>
      </c>
      <c r="G19008" t="s">
        <v>199</v>
      </c>
      <c r="H19008" s="12">
        <v>-1.0442109667474699</v>
      </c>
      <c r="I19008" s="20">
        <v>-0.23861633404962401</v>
      </c>
      <c r="J19008" s="28">
        <v>0.81140309821107104</v>
      </c>
      <c r="K19008" s="29">
        <v>0.986237339291679</v>
      </c>
    </row>
    <row r="19009" spans="1:11" x14ac:dyDescent="0.35">
      <c r="A19009" s="9" t="str">
        <f>HYPERLINK("http://www.ensembl.org/id/WBGene00017078", "WBGene00017078")</f>
        <v>WBGene00017078</v>
      </c>
      <c r="B19009" s="9" t="str">
        <f>HYPERLINK("http://www.ncbi.nlm.nih.gov/gene/177638", "177638")</f>
        <v>177638</v>
      </c>
      <c r="C19009" s="9"/>
      <c r="D19009" t="str">
        <f>"D2096.11"</f>
        <v>D2096.11</v>
      </c>
      <c r="F19009" t="s">
        <v>11</v>
      </c>
      <c r="G19009" t="s">
        <v>138</v>
      </c>
      <c r="H19009" s="12">
        <v>-1.13396490119488</v>
      </c>
      <c r="I19009" s="20">
        <v>-0.238463420353449</v>
      </c>
      <c r="J19009" s="28">
        <v>0.81152168341170094</v>
      </c>
      <c r="K19009" s="29">
        <v>0.986237339291679</v>
      </c>
    </row>
    <row r="19010" spans="1:11" x14ac:dyDescent="0.35">
      <c r="A19010" s="9" t="str">
        <f>HYPERLINK("http://www.ensembl.org/id/WBGene00017469", "WBGene00017469")</f>
        <v>WBGene00017469</v>
      </c>
      <c r="B19010" s="9" t="str">
        <f>HYPERLINK("http://www.ncbi.nlm.nih.gov/gene/184486", "184486")</f>
        <v>184486</v>
      </c>
      <c r="C19010" s="9"/>
      <c r="D19010" t="str">
        <f>"F14F9.6"</f>
        <v>F14F9.6</v>
      </c>
      <c r="F19010" t="s">
        <v>11</v>
      </c>
      <c r="H19010" s="12">
        <v>-1.3919858148861299</v>
      </c>
      <c r="I19010" s="20">
        <v>-0.23887277813593999</v>
      </c>
      <c r="J19010" s="28">
        <v>0.81120423448092704</v>
      </c>
      <c r="K19010" s="29">
        <v>0.986237339291679</v>
      </c>
    </row>
    <row r="19011" spans="1:11" x14ac:dyDescent="0.35">
      <c r="A19011" s="9" t="str">
        <f>HYPERLINK("http://www.ensembl.org/id/WBGene00138719", "WBGene00138719")</f>
        <v>WBGene00138719</v>
      </c>
      <c r="B19011" s="9" t="str">
        <f>HYPERLINK("http://www.ncbi.nlm.nih.gov/gene/13218867", "13218867")</f>
        <v>13218867</v>
      </c>
      <c r="C19011" s="9"/>
      <c r="D19011" t="str">
        <f>"F26F2.10"</f>
        <v>F26F2.10</v>
      </c>
      <c r="F19011" t="s">
        <v>11</v>
      </c>
      <c r="H19011" s="12">
        <v>1.38644874819349</v>
      </c>
      <c r="I19011" s="20">
        <v>0.238324606114767</v>
      </c>
      <c r="J19011" s="28">
        <v>0.81162933816961202</v>
      </c>
      <c r="K19011" s="29">
        <v>0.986237339291679</v>
      </c>
    </row>
    <row r="19012" spans="1:11" x14ac:dyDescent="0.35">
      <c r="A19012" s="9" t="str">
        <f>HYPERLINK("http://www.ensembl.org/id/WBGene00010058", "WBGene00010058")</f>
        <v>WBGene00010058</v>
      </c>
      <c r="B19012" s="9" t="str">
        <f>HYPERLINK("http://www.ncbi.nlm.nih.gov/gene/186246", "186246")</f>
        <v>186246</v>
      </c>
      <c r="C19012" s="9"/>
      <c r="D19012" t="str">
        <f>"F54E4.2"</f>
        <v>F54E4.2</v>
      </c>
      <c r="F19012" t="s">
        <v>11</v>
      </c>
      <c r="G19012" t="s">
        <v>10213</v>
      </c>
      <c r="H19012" s="12">
        <v>-1.18082646749975</v>
      </c>
      <c r="I19012" s="20">
        <v>-0.23830463172612901</v>
      </c>
      <c r="J19012" s="28">
        <v>0.81164482922217696</v>
      </c>
      <c r="K19012" s="29">
        <v>0.986237339291679</v>
      </c>
    </row>
    <row r="19013" spans="1:11" x14ac:dyDescent="0.35">
      <c r="A19013" s="9" t="str">
        <f>HYPERLINK("http://www.ensembl.org/id/WBGene00003095", "WBGene00003095")</f>
        <v>WBGene00003095</v>
      </c>
      <c r="B19013" s="9" t="str">
        <f>HYPERLINK("http://www.ncbi.nlm.nih.gov/gene/178087", "178087")</f>
        <v>178087</v>
      </c>
      <c r="C19013" s="9"/>
      <c r="D19013" t="str">
        <f>"lys-6"</f>
        <v>lys-6</v>
      </c>
      <c r="E19013" t="s">
        <v>4549</v>
      </c>
      <c r="F19013" t="s">
        <v>11</v>
      </c>
      <c r="G19013" t="s">
        <v>10050</v>
      </c>
      <c r="H19013" s="12">
        <v>-1.10371222688963</v>
      </c>
      <c r="I19013" s="20">
        <v>-0.238181077650891</v>
      </c>
      <c r="J19013" s="28">
        <v>0.811740652700775</v>
      </c>
      <c r="K19013" s="29">
        <v>0.986237339291679</v>
      </c>
    </row>
    <row r="19014" spans="1:11" x14ac:dyDescent="0.35">
      <c r="A19014" s="9" t="str">
        <f>HYPERLINK("http://www.ensembl.org/id/WBGene00010845", "WBGene00010845")</f>
        <v>WBGene00010845</v>
      </c>
      <c r="B19014" s="9" t="str">
        <f>HYPERLINK("http://www.ncbi.nlm.nih.gov/gene/176462", "176462")</f>
        <v>176462</v>
      </c>
      <c r="C19014" s="9"/>
      <c r="D19014" t="str">
        <f>"M03C11.8"</f>
        <v>M03C11.8</v>
      </c>
      <c r="E19014" t="s">
        <v>10209</v>
      </c>
      <c r="F19014" t="s">
        <v>11</v>
      </c>
      <c r="G19014" t="s">
        <v>10210</v>
      </c>
      <c r="H19014" s="12">
        <v>-1.05294665073147</v>
      </c>
      <c r="I19014" s="20">
        <v>-0.23806084319655199</v>
      </c>
      <c r="J19014" s="28">
        <v>0.811833904324753</v>
      </c>
      <c r="K19014" s="29">
        <v>0.986237339291679</v>
      </c>
    </row>
    <row r="19015" spans="1:11" x14ac:dyDescent="0.35">
      <c r="A19015" s="9" t="str">
        <f>HYPERLINK("http://www.ensembl.org/id/WBGene00003729", "WBGene00003729")</f>
        <v>WBGene00003729</v>
      </c>
      <c r="B19015" s="9" t="str">
        <f>HYPERLINK("http://www.ncbi.nlm.nih.gov/gene/181680", "181680")</f>
        <v>181680</v>
      </c>
      <c r="C19015" s="9"/>
      <c r="D19015" t="str">
        <f>"nhx-1"</f>
        <v>nhx-1</v>
      </c>
      <c r="E19015" t="s">
        <v>2819</v>
      </c>
      <c r="F19015" t="s">
        <v>11</v>
      </c>
      <c r="G19015" t="s">
        <v>2820</v>
      </c>
      <c r="H19015" s="12">
        <v>-1.13660098630773</v>
      </c>
      <c r="I19015" s="20">
        <v>-0.23808057512519301</v>
      </c>
      <c r="J19015" s="28">
        <v>0.811818600421919</v>
      </c>
      <c r="K19015" s="29">
        <v>0.986237339291679</v>
      </c>
    </row>
    <row r="19016" spans="1:11" x14ac:dyDescent="0.35">
      <c r="A19016" s="9" t="str">
        <f>HYPERLINK("http://www.ensembl.org/id/WBGene00004236", "WBGene00004236")</f>
        <v>WBGene00004236</v>
      </c>
      <c r="B19016" s="9" t="str">
        <f>HYPERLINK("http://www.ncbi.nlm.nih.gov/gene/191753", "191753")</f>
        <v>191753</v>
      </c>
      <c r="C19016" s="9"/>
      <c r="D19016" t="str">
        <f>"ptr-22"</f>
        <v>ptr-22</v>
      </c>
      <c r="E19016" t="s">
        <v>134</v>
      </c>
      <c r="F19016" t="s">
        <v>11</v>
      </c>
      <c r="G19016" t="s">
        <v>404</v>
      </c>
      <c r="H19016" s="12">
        <v>1.0745418464272101</v>
      </c>
      <c r="I19016" s="20">
        <v>0.23894890460090501</v>
      </c>
      <c r="J19016" s="28">
        <v>0.81114520332198803</v>
      </c>
      <c r="K19016" s="29">
        <v>0.986237339291679</v>
      </c>
    </row>
    <row r="19017" spans="1:11" x14ac:dyDescent="0.35">
      <c r="A19017" s="9" t="str">
        <f>HYPERLINK("http://www.ensembl.org/id/WBGene00019854", "WBGene00019854")</f>
        <v>WBGene00019854</v>
      </c>
      <c r="B19017" s="9" t="str">
        <f>HYPERLINK("http://www.ncbi.nlm.nih.gov/gene/187555", "187555")</f>
        <v>187555</v>
      </c>
      <c r="C19017" s="9"/>
      <c r="D19017" t="str">
        <f>"R03H10.1"</f>
        <v>R03H10.1</v>
      </c>
      <c r="F19017" t="s">
        <v>11</v>
      </c>
      <c r="H19017" s="12">
        <v>-1.0486069282695101</v>
      </c>
      <c r="I19017" s="20">
        <v>-0.23818762930602999</v>
      </c>
      <c r="J19017" s="28">
        <v>0.81173557143466502</v>
      </c>
      <c r="K19017" s="29">
        <v>0.986237339291679</v>
      </c>
    </row>
    <row r="19018" spans="1:11" x14ac:dyDescent="0.35">
      <c r="A19018" s="9" t="str">
        <f>HYPERLINK("http://www.ensembl.org/id/WBGene00021538", "WBGene00021538")</f>
        <v>WBGene00021538</v>
      </c>
      <c r="B19018" s="9" t="str">
        <f>HYPERLINK("http://www.ncbi.nlm.nih.gov/gene/177603", "177603")</f>
        <v>177603</v>
      </c>
      <c r="C19018" s="9" t="str">
        <f>HYPERLINK("http://www.ncbi.nlm.nih.gov/gene/64145", "64145")</f>
        <v>64145</v>
      </c>
      <c r="D19018" t="str">
        <f>"rabs-5"</f>
        <v>rabs-5</v>
      </c>
      <c r="E19018" t="s">
        <v>10211</v>
      </c>
      <c r="F19018" t="s">
        <v>11</v>
      </c>
      <c r="G19018" t="s">
        <v>10212</v>
      </c>
      <c r="H19018" s="12">
        <v>-1.0536878419445299</v>
      </c>
      <c r="I19018" s="20">
        <v>-0.238083683255746</v>
      </c>
      <c r="J19018" s="28">
        <v>0.81181618979092995</v>
      </c>
      <c r="K19018" s="29">
        <v>0.986237339291679</v>
      </c>
    </row>
    <row r="19019" spans="1:11" x14ac:dyDescent="0.35">
      <c r="A19019" s="9" t="str">
        <f>HYPERLINK("http://www.ensembl.org/id/WBGene00005364", "WBGene00005364")</f>
        <v>WBGene00005364</v>
      </c>
      <c r="B19019" s="9" t="str">
        <f>HYPERLINK("http://www.ncbi.nlm.nih.gov/gene/187171", "187171")</f>
        <v>187171</v>
      </c>
      <c r="C19019" s="9"/>
      <c r="D19019" t="str">
        <f>"srh-148"</f>
        <v>srh-148</v>
      </c>
      <c r="E19019" t="s">
        <v>153</v>
      </c>
      <c r="F19019" t="s">
        <v>11</v>
      </c>
      <c r="G19019" t="s">
        <v>25</v>
      </c>
      <c r="H19019" s="12">
        <v>-1.8307533304816399</v>
      </c>
      <c r="I19019" s="20">
        <v>-0.238553085077885</v>
      </c>
      <c r="J19019" s="28">
        <v>0.81145214752436401</v>
      </c>
      <c r="K19019" s="29">
        <v>0.986237339291679</v>
      </c>
    </row>
    <row r="19020" spans="1:11" x14ac:dyDescent="0.35">
      <c r="A19020" s="9" t="str">
        <f>HYPERLINK("http://www.ensembl.org/id/WBGene00006918", "WBGene00006918")</f>
        <v>WBGene00006918</v>
      </c>
      <c r="B19020" s="9" t="str">
        <f>HYPERLINK("http://www.ncbi.nlm.nih.gov/gene/174596", "174596")</f>
        <v>174596</v>
      </c>
      <c r="C19020" s="9" t="str">
        <f>HYPERLINK("http://www.ncbi.nlm.nih.gov/gene/9296", "9296")</f>
        <v>9296</v>
      </c>
      <c r="D19020" t="str">
        <f>"vha-9"</f>
        <v>vha-9</v>
      </c>
      <c r="E19020" t="s">
        <v>10207</v>
      </c>
      <c r="F19020" t="s">
        <v>11</v>
      </c>
      <c r="G19020" t="s">
        <v>10208</v>
      </c>
      <c r="H19020" s="12">
        <v>-1.0456659228315699</v>
      </c>
      <c r="I19020" s="20">
        <v>-0.23885017298296701</v>
      </c>
      <c r="J19020" s="28">
        <v>0.811221763524413</v>
      </c>
      <c r="K19020" s="29">
        <v>0.986237339291679</v>
      </c>
    </row>
    <row r="19021" spans="1:11" x14ac:dyDescent="0.35">
      <c r="A19021" s="9" t="str">
        <f>HYPERLINK("http://www.ensembl.org/id/WBGene00196912", "WBGene00196912")</f>
        <v>WBGene00196912</v>
      </c>
      <c r="B19021" s="9"/>
      <c r="C19021" s="9"/>
      <c r="D19021" t="str">
        <f>"W02A2.11"</f>
        <v>W02A2.11</v>
      </c>
      <c r="F19021" t="s">
        <v>481</v>
      </c>
      <c r="H19021" s="12">
        <v>2.0732318514413999</v>
      </c>
      <c r="I19021" s="20">
        <v>0.23857934047078599</v>
      </c>
      <c r="J19021" s="28">
        <v>0.81143178648702596</v>
      </c>
      <c r="K19021" s="29">
        <v>0.986237339291679</v>
      </c>
    </row>
    <row r="19022" spans="1:11" x14ac:dyDescent="0.35">
      <c r="A19022" s="9" t="str">
        <f>HYPERLINK("http://www.ensembl.org/id/WBGene00195638", "WBGene00195638")</f>
        <v>WBGene00195638</v>
      </c>
      <c r="B19022" s="9"/>
      <c r="C19022" s="9"/>
      <c r="D19022" t="str">
        <f>"W03G11.6"</f>
        <v>W03G11.6</v>
      </c>
      <c r="F19022" t="s">
        <v>481</v>
      </c>
      <c r="H19022" s="12">
        <v>2.0732318514413999</v>
      </c>
      <c r="I19022" s="20">
        <v>0.23857934047078599</v>
      </c>
      <c r="J19022" s="28">
        <v>0.81143178648702596</v>
      </c>
      <c r="K19022" s="29">
        <v>0.986237339291679</v>
      </c>
    </row>
    <row r="19023" spans="1:11" x14ac:dyDescent="0.35">
      <c r="A19023" s="9" t="str">
        <f>HYPERLINK("http://www.ensembl.org/id/WBGene00018207", "WBGene00018207")</f>
        <v>WBGene00018207</v>
      </c>
      <c r="B19023" s="9" t="str">
        <f>HYPERLINK("http://www.ncbi.nlm.nih.gov/gene/185501", "185501")</f>
        <v>185501</v>
      </c>
      <c r="C19023" s="9"/>
      <c r="D19023" t="str">
        <f>"F39G3.2"</f>
        <v>F39G3.2</v>
      </c>
      <c r="F19023" t="s">
        <v>11</v>
      </c>
      <c r="G19023" t="s">
        <v>1686</v>
      </c>
      <c r="H19023" s="12">
        <v>1.0878521524107101</v>
      </c>
      <c r="I19023" s="20">
        <v>0.23776152759402699</v>
      </c>
      <c r="J19023" s="28">
        <v>0.81206605957299305</v>
      </c>
      <c r="K19023" s="29">
        <v>0.98636506586578698</v>
      </c>
    </row>
    <row r="19024" spans="1:11" x14ac:dyDescent="0.35">
      <c r="A19024" s="9" t="str">
        <f>HYPERLINK("http://www.ensembl.org/id/WBGene00019265", "WBGene00019265")</f>
        <v>WBGene00019265</v>
      </c>
      <c r="B19024" s="9" t="str">
        <f>HYPERLINK("http://www.ncbi.nlm.nih.gov/gene/181114", "181114")</f>
        <v>181114</v>
      </c>
      <c r="C19024" s="9"/>
      <c r="D19024" t="str">
        <f>"H35N09.1"</f>
        <v>H35N09.1</v>
      </c>
      <c r="F19024" t="s">
        <v>11</v>
      </c>
      <c r="H19024" s="12">
        <v>-1.36056929937613</v>
      </c>
      <c r="I19024" s="20">
        <v>-0.23758352275540801</v>
      </c>
      <c r="J19024" s="28">
        <v>0.81220413156974003</v>
      </c>
      <c r="K19024" s="29">
        <v>0.98636506586578698</v>
      </c>
    </row>
    <row r="19025" spans="1:11" x14ac:dyDescent="0.35">
      <c r="A19025" s="9" t="str">
        <f>HYPERLINK("http://www.ensembl.org/id/WBGene00002335", "WBGene00002335")</f>
        <v>WBGene00002335</v>
      </c>
      <c r="B19025" s="9" t="str">
        <f>HYPERLINK("http://www.ncbi.nlm.nih.gov/gene/178104", "178104")</f>
        <v>178104</v>
      </c>
      <c r="C19025" s="9" t="str">
        <f>HYPERLINK("http://www.ncbi.nlm.nih.gov/gene/3845", "3845")</f>
        <v>3845</v>
      </c>
      <c r="D19025" t="str">
        <f>"let-60"</f>
        <v>let-60</v>
      </c>
      <c r="E19025" t="s">
        <v>10214</v>
      </c>
      <c r="F19025" t="s">
        <v>11</v>
      </c>
      <c r="G19025" t="s">
        <v>2346</v>
      </c>
      <c r="H19025" s="12">
        <v>1.0447086222056401</v>
      </c>
      <c r="I19025" s="20">
        <v>0.23762117074436101</v>
      </c>
      <c r="J19025" s="28">
        <v>0.81217492888207798</v>
      </c>
      <c r="K19025" s="29">
        <v>0.98636506586578698</v>
      </c>
    </row>
    <row r="19026" spans="1:11" x14ac:dyDescent="0.35">
      <c r="A19026" s="9" t="str">
        <f>HYPERLINK("http://www.ensembl.org/id/WBGene00044318", "WBGene00044318")</f>
        <v>WBGene00044318</v>
      </c>
      <c r="B19026" s="9" t="str">
        <f>HYPERLINK("http://www.ncbi.nlm.nih.gov/gene/175220", "175220")</f>
        <v>175220</v>
      </c>
      <c r="C19026" s="9"/>
      <c r="D19026" t="str">
        <f>"tag-267"</f>
        <v>tag-267</v>
      </c>
      <c r="F19026" t="s">
        <v>11</v>
      </c>
      <c r="H19026" s="12">
        <v>1.0625224127292301</v>
      </c>
      <c r="I19026" s="20">
        <v>0.23778845605145699</v>
      </c>
      <c r="J19026" s="28">
        <v>0.81204517263894205</v>
      </c>
      <c r="K19026" s="29">
        <v>0.98636506586578698</v>
      </c>
    </row>
    <row r="19027" spans="1:11" x14ac:dyDescent="0.35">
      <c r="A19027" s="9" t="str">
        <f>HYPERLINK("http://www.ensembl.org/id/WBGene00021265", "WBGene00021265")</f>
        <v>WBGene00021265</v>
      </c>
      <c r="B19027" s="9"/>
      <c r="C19027" s="9"/>
      <c r="D19027" t="str">
        <f>"Y22D7AR.12"</f>
        <v>Y22D7AR.12</v>
      </c>
      <c r="F19027" t="s">
        <v>80</v>
      </c>
      <c r="H19027" s="12">
        <v>1.2153691882625299</v>
      </c>
      <c r="I19027" s="20">
        <v>0.23767929111424399</v>
      </c>
      <c r="J19027" s="28">
        <v>0.81212984674772704</v>
      </c>
      <c r="K19027" s="29">
        <v>0.98636506586578698</v>
      </c>
    </row>
    <row r="19028" spans="1:11" x14ac:dyDescent="0.35">
      <c r="A19028" s="9" t="str">
        <f>HYPERLINK("http://www.ensembl.org/id/WBGene00022169", "WBGene00022169")</f>
        <v>WBGene00022169</v>
      </c>
      <c r="B19028" s="9" t="str">
        <f>HYPERLINK("http://www.ncbi.nlm.nih.gov/gene/175397", "175397")</f>
        <v>175397</v>
      </c>
      <c r="C19028" s="9"/>
      <c r="D19028" t="str">
        <f>"Y71H2AM.4"</f>
        <v>Y71H2AM.4</v>
      </c>
      <c r="F19028" t="s">
        <v>11</v>
      </c>
      <c r="G19028" t="s">
        <v>10215</v>
      </c>
      <c r="H19028" s="12">
        <v>-1.04586286798432</v>
      </c>
      <c r="I19028" s="20">
        <v>-0.237568502788161</v>
      </c>
      <c r="J19028" s="28">
        <v>0.81221578228917501</v>
      </c>
      <c r="K19028" s="29">
        <v>0.98636506586578698</v>
      </c>
    </row>
    <row r="19029" spans="1:11" x14ac:dyDescent="0.35">
      <c r="A19029" s="9" t="str">
        <f>HYPERLINK("http://www.ensembl.org/id/WBGene00206413", "WBGene00206413")</f>
        <v>WBGene00206413</v>
      </c>
      <c r="B19029" s="9" t="str">
        <f>HYPERLINK("http://www.ncbi.nlm.nih.gov/gene/13183925", "13183925")</f>
        <v>13183925</v>
      </c>
      <c r="C19029" s="9"/>
      <c r="D19029" t="str">
        <f>"ZK1240.11"</f>
        <v>ZK1240.11</v>
      </c>
      <c r="F19029" t="s">
        <v>11</v>
      </c>
      <c r="H19029" s="12">
        <v>1.3563757824081899</v>
      </c>
      <c r="I19029" s="20">
        <v>0.237540034196008</v>
      </c>
      <c r="J19029" s="28">
        <v>0.81223786498002004</v>
      </c>
      <c r="K19029" s="29">
        <v>0.98636506586578698</v>
      </c>
    </row>
    <row r="19030" spans="1:11" x14ac:dyDescent="0.35">
      <c r="A19030" s="9" t="str">
        <f>HYPERLINK("http://www.ensembl.org/id/WBGene00008519", "WBGene00008519")</f>
        <v>WBGene00008519</v>
      </c>
      <c r="B19030" s="9" t="str">
        <f>HYPERLINK("http://www.ncbi.nlm.nih.gov/gene/181462", "181462")</f>
        <v>181462</v>
      </c>
      <c r="C19030" s="9" t="str">
        <f>HYPERLINK("http://www.ncbi.nlm.nih.gov/gene/100861540", "100861540")</f>
        <v>100861540</v>
      </c>
      <c r="D19030" t="str">
        <f>"cyp-13B1"</f>
        <v>cyp-13B1</v>
      </c>
      <c r="E19030" t="s">
        <v>10216</v>
      </c>
      <c r="F19030" t="s">
        <v>11</v>
      </c>
      <c r="G19030" t="s">
        <v>185</v>
      </c>
      <c r="H19030" s="12">
        <v>1.07784731038125</v>
      </c>
      <c r="I19030" s="20">
        <v>0.237462262520927</v>
      </c>
      <c r="J19030" s="28">
        <v>0.81229819214749099</v>
      </c>
      <c r="K19030" s="29">
        <v>0.98638648453646804</v>
      </c>
    </row>
    <row r="19031" spans="1:11" x14ac:dyDescent="0.35">
      <c r="A19031" s="9" t="str">
        <f>HYPERLINK("http://www.ensembl.org/id/WBGene00004175", "WBGene00004175")</f>
        <v>WBGene00004175</v>
      </c>
      <c r="B19031" s="9" t="str">
        <f>HYPERLINK("http://www.ncbi.nlm.nih.gov/gene/176193", "176193")</f>
        <v>176193</v>
      </c>
      <c r="C19031" s="9"/>
      <c r="D19031" t="str">
        <f>"pqn-96"</f>
        <v>pqn-96</v>
      </c>
      <c r="E19031" t="s">
        <v>10217</v>
      </c>
      <c r="F19031" t="s">
        <v>11</v>
      </c>
      <c r="H19031" s="12">
        <v>-1.05530112826589</v>
      </c>
      <c r="I19031" s="20">
        <v>-0.23738529665807601</v>
      </c>
      <c r="J19031" s="28">
        <v>0.81235789534660896</v>
      </c>
      <c r="K19031" s="29">
        <v>0.98640714330121104</v>
      </c>
    </row>
    <row r="19032" spans="1:11" x14ac:dyDescent="0.35">
      <c r="A19032" s="9" t="str">
        <f>HYPERLINK("http://www.ensembl.org/id/WBGene00016399", "WBGene00016399")</f>
        <v>WBGene00016399</v>
      </c>
      <c r="B19032" s="9" t="str">
        <f>HYPERLINK("http://www.ncbi.nlm.nih.gov/gene/177488", "177488")</f>
        <v>177488</v>
      </c>
      <c r="C19032" s="9"/>
      <c r="D19032" t="str">
        <f>"C34D4.3"</f>
        <v>C34D4.3</v>
      </c>
      <c r="F19032" t="s">
        <v>11</v>
      </c>
      <c r="H19032" s="12">
        <v>-1.1901283516058401</v>
      </c>
      <c r="I19032" s="20">
        <v>-0.237166821970724</v>
      </c>
      <c r="J19032" s="28">
        <v>0.81252737431549904</v>
      </c>
      <c r="K19032" s="29">
        <v>0.986509248643472</v>
      </c>
    </row>
    <row r="19033" spans="1:11" x14ac:dyDescent="0.35">
      <c r="A19033" s="9" t="str">
        <f>HYPERLINK("http://www.ensembl.org/id/WBGene00018075", "WBGene00018075")</f>
        <v>WBGene00018075</v>
      </c>
      <c r="B19033" s="9" t="str">
        <f>HYPERLINK("http://www.ncbi.nlm.nih.gov/gene/180444", "180444")</f>
        <v>180444</v>
      </c>
      <c r="C19033" s="9" t="str">
        <f>HYPERLINK("http://www.ncbi.nlm.nih.gov/gene/23637", "23637")</f>
        <v>23637</v>
      </c>
      <c r="D19033" t="str">
        <f>"tbc-11"</f>
        <v>tbc-11</v>
      </c>
      <c r="E19033" t="s">
        <v>1649</v>
      </c>
      <c r="F19033" t="s">
        <v>11</v>
      </c>
      <c r="G19033" t="s">
        <v>6175</v>
      </c>
      <c r="H19033" s="12">
        <v>-1.0497916256150199</v>
      </c>
      <c r="I19033" s="20">
        <v>-0.23718057137908299</v>
      </c>
      <c r="J19033" s="28">
        <v>0.81251670812725596</v>
      </c>
      <c r="K19033" s="29">
        <v>0.986509248643472</v>
      </c>
    </row>
    <row r="19034" spans="1:11" x14ac:dyDescent="0.35">
      <c r="A19034" s="9" t="str">
        <f>HYPERLINK("http://www.ensembl.org/id/WBGene00007155", "WBGene00007155")</f>
        <v>WBGene00007155</v>
      </c>
      <c r="B19034" s="9" t="str">
        <f>HYPERLINK("http://www.ncbi.nlm.nih.gov/gene/172872", "172872")</f>
        <v>172872</v>
      </c>
      <c r="C19034" s="9"/>
      <c r="D19034" t="str">
        <f>"B0379.1"</f>
        <v>B0379.1</v>
      </c>
      <c r="F19034" t="s">
        <v>11</v>
      </c>
      <c r="H19034" s="12">
        <v>-1.04863876063874</v>
      </c>
      <c r="I19034" s="20">
        <v>-0.236306287265374</v>
      </c>
      <c r="J19034" s="28">
        <v>0.81319500854739601</v>
      </c>
      <c r="K19034" s="29">
        <v>0.98654745437317803</v>
      </c>
    </row>
    <row r="19035" spans="1:11" x14ac:dyDescent="0.35">
      <c r="A19035" s="9" t="str">
        <f>HYPERLINK("http://www.ensembl.org/id/WBGene00045400", "WBGene00045400")</f>
        <v>WBGene00045400</v>
      </c>
      <c r="B19035" s="9" t="str">
        <f>HYPERLINK("http://www.ncbi.nlm.nih.gov/gene/6418712", "6418712")</f>
        <v>6418712</v>
      </c>
      <c r="C19035" s="9"/>
      <c r="D19035" t="str">
        <f>"C54D10.13"</f>
        <v>C54D10.13</v>
      </c>
      <c r="F19035" t="s">
        <v>11</v>
      </c>
      <c r="H19035" s="12">
        <v>-1.08266118766985</v>
      </c>
      <c r="I19035" s="20">
        <v>-0.23663736835995</v>
      </c>
      <c r="J19035" s="28">
        <v>0.81293812765481899</v>
      </c>
      <c r="K19035" s="29">
        <v>0.98654745437317803</v>
      </c>
    </row>
    <row r="19036" spans="1:11" x14ac:dyDescent="0.35">
      <c r="A19036" s="9" t="str">
        <f>HYPERLINK("http://www.ensembl.org/id/WBGene00001164", "WBGene00001164")</f>
        <v>WBGene00001164</v>
      </c>
      <c r="B19036" s="9" t="str">
        <f>HYPERLINK("http://www.ncbi.nlm.nih.gov/gene/184508", "184508")</f>
        <v>184508</v>
      </c>
      <c r="C19036" s="9"/>
      <c r="D19036" t="str">
        <f>"efn-3"</f>
        <v>efn-3</v>
      </c>
      <c r="E19036" t="s">
        <v>1719</v>
      </c>
      <c r="F19036" t="s">
        <v>11</v>
      </c>
      <c r="G19036" t="s">
        <v>1720</v>
      </c>
      <c r="H19036" s="12">
        <v>-1.09466335044123</v>
      </c>
      <c r="I19036" s="20">
        <v>-0.23619674414095099</v>
      </c>
      <c r="J19036" s="28">
        <v>0.81328000585320404</v>
      </c>
      <c r="K19036" s="29">
        <v>0.98654745437317803</v>
      </c>
    </row>
    <row r="19037" spans="1:11" x14ac:dyDescent="0.35">
      <c r="A19037" s="9" t="str">
        <f>HYPERLINK("http://www.ensembl.org/id/WBGene00008899", "WBGene00008899")</f>
        <v>WBGene00008899</v>
      </c>
      <c r="B19037" s="9" t="str">
        <f>HYPERLINK("http://www.ncbi.nlm.nih.gov/gene/184596", "184596")</f>
        <v>184596</v>
      </c>
      <c r="C19037" s="9"/>
      <c r="D19037" t="str">
        <f>"F16H6.9"</f>
        <v>F16H6.9</v>
      </c>
      <c r="F19037" t="s">
        <v>11</v>
      </c>
      <c r="H19037" s="12">
        <v>1.1155998148466499</v>
      </c>
      <c r="I19037" s="20">
        <v>0.236190714971242</v>
      </c>
      <c r="J19037" s="28">
        <v>0.81328468410370902</v>
      </c>
      <c r="K19037" s="29">
        <v>0.98654745437317803</v>
      </c>
    </row>
    <row r="19038" spans="1:11" x14ac:dyDescent="0.35">
      <c r="A19038" s="9" t="str">
        <f>HYPERLINK("http://www.ensembl.org/id/WBGene00017804", "WBGene00017804")</f>
        <v>WBGene00017804</v>
      </c>
      <c r="B19038" s="9" t="str">
        <f>HYPERLINK("http://www.ncbi.nlm.nih.gov/gene/184946", "184946")</f>
        <v>184946</v>
      </c>
      <c r="C19038" s="9"/>
      <c r="D19038" t="str">
        <f>"F26A1.6"</f>
        <v>F26A1.6</v>
      </c>
      <c r="F19038" t="s">
        <v>11</v>
      </c>
      <c r="G19038" t="s">
        <v>1268</v>
      </c>
      <c r="H19038" s="12">
        <v>1.2990540255066101</v>
      </c>
      <c r="I19038" s="20">
        <v>0.23673876075064099</v>
      </c>
      <c r="J19038" s="28">
        <v>0.812859462832353</v>
      </c>
      <c r="K19038" s="29">
        <v>0.98654745437317803</v>
      </c>
    </row>
    <row r="19039" spans="1:11" x14ac:dyDescent="0.35">
      <c r="A19039" s="9" t="str">
        <f>HYPERLINK("http://www.ensembl.org/id/WBGene00018848", "WBGene00018848")</f>
        <v>WBGene00018848</v>
      </c>
      <c r="B19039" s="9" t="str">
        <f>HYPERLINK("http://www.ncbi.nlm.nih.gov/gene/172985", "172985")</f>
        <v>172985</v>
      </c>
      <c r="C19039" s="9"/>
      <c r="D19039" t="str">
        <f>"F55A3.2"</f>
        <v>F55A3.2</v>
      </c>
      <c r="F19039" t="s">
        <v>11</v>
      </c>
      <c r="H19039" s="12">
        <v>1.05479627093615</v>
      </c>
      <c r="I19039" s="20">
        <v>0.23625013731738401</v>
      </c>
      <c r="J19039" s="28">
        <v>0.81323857645021302</v>
      </c>
      <c r="K19039" s="29">
        <v>0.98654745437317803</v>
      </c>
    </row>
    <row r="19040" spans="1:11" x14ac:dyDescent="0.35">
      <c r="A19040" s="9" t="str">
        <f>HYPERLINK("http://www.ensembl.org/id/WBGene00016886", "WBGene00016886")</f>
        <v>WBGene00016886</v>
      </c>
      <c r="B19040" s="9" t="str">
        <f>HYPERLINK("http://www.ncbi.nlm.nih.gov/gene/259420", "259420")</f>
        <v>259420</v>
      </c>
      <c r="C19040" s="9"/>
      <c r="D19040" t="str">
        <f>"fbxb-96"</f>
        <v>fbxb-96</v>
      </c>
      <c r="E19040" t="s">
        <v>1436</v>
      </c>
      <c r="F19040" t="s">
        <v>11</v>
      </c>
      <c r="G19040" t="s">
        <v>417</v>
      </c>
      <c r="H19040" s="12">
        <v>1.11744922993391</v>
      </c>
      <c r="I19040" s="20">
        <v>0.236950026284247</v>
      </c>
      <c r="J19040" s="28">
        <v>0.81269555950156402</v>
      </c>
      <c r="K19040" s="29">
        <v>0.98654745437317803</v>
      </c>
    </row>
    <row r="19041" spans="1:11" x14ac:dyDescent="0.35">
      <c r="A19041" s="9" t="str">
        <f>HYPERLINK("http://www.ensembl.org/id/WBGene00010522", "WBGene00010522")</f>
        <v>WBGene00010522</v>
      </c>
      <c r="B19041" s="9" t="str">
        <f>HYPERLINK("http://www.ncbi.nlm.nih.gov/gene/181436", "181436")</f>
        <v>181436</v>
      </c>
      <c r="C19041" s="9"/>
      <c r="D19041" t="str">
        <f>"K03A11.5"</f>
        <v>K03A11.5</v>
      </c>
      <c r="F19041" t="s">
        <v>11</v>
      </c>
      <c r="G19041" t="s">
        <v>25</v>
      </c>
      <c r="H19041" s="12">
        <v>1.06375910892533</v>
      </c>
      <c r="I19041" s="20">
        <v>0.23686379515343201</v>
      </c>
      <c r="J19041" s="28">
        <v>0.81276245806299996</v>
      </c>
      <c r="K19041" s="29">
        <v>0.98654745437317803</v>
      </c>
    </row>
    <row r="19042" spans="1:11" x14ac:dyDescent="0.35">
      <c r="A19042" s="9" t="str">
        <f>HYPERLINK("http://www.ensembl.org/id/WBGene00010894", "WBGene00010894")</f>
        <v>WBGene00010894</v>
      </c>
      <c r="B19042" s="9" t="str">
        <f>HYPERLINK("http://www.ncbi.nlm.nih.gov/gene/187462", "187462")</f>
        <v>187462</v>
      </c>
      <c r="C19042" s="9"/>
      <c r="D19042" t="str">
        <f>"M28.2"</f>
        <v>M28.2</v>
      </c>
      <c r="F19042" t="s">
        <v>11</v>
      </c>
      <c r="H19042" s="12">
        <v>1.4084933606884</v>
      </c>
      <c r="I19042" s="20">
        <v>0.236740284407151</v>
      </c>
      <c r="J19042" s="28">
        <v>0.81285828072481903</v>
      </c>
      <c r="K19042" s="29">
        <v>0.98654745437317803</v>
      </c>
    </row>
    <row r="19043" spans="1:11" x14ac:dyDescent="0.35">
      <c r="A19043" s="9" t="str">
        <f>HYPERLINK("http://www.ensembl.org/id/WBGene00015902", "WBGene00015902")</f>
        <v>WBGene00015902</v>
      </c>
      <c r="B19043" s="9" t="str">
        <f>HYPERLINK("http://www.ncbi.nlm.nih.gov/gene/182732", "182732")</f>
        <v>182732</v>
      </c>
      <c r="C19043" s="9"/>
      <c r="D19043" t="str">
        <f>"nhr-159"</f>
        <v>nhr-159</v>
      </c>
      <c r="E19043" t="s">
        <v>637</v>
      </c>
      <c r="F19043" t="s">
        <v>11</v>
      </c>
      <c r="G19043" t="s">
        <v>1073</v>
      </c>
      <c r="H19043" s="12">
        <v>-1.25287960468271</v>
      </c>
      <c r="I19043" s="20">
        <v>-0.23645582100124399</v>
      </c>
      <c r="J19043" s="28">
        <v>0.81307898505741205</v>
      </c>
      <c r="K19043" s="29">
        <v>0.98654745437317803</v>
      </c>
    </row>
    <row r="19044" spans="1:11" x14ac:dyDescent="0.35">
      <c r="A19044" s="9" t="str">
        <f>HYPERLINK("http://www.ensembl.org/id/WBGene00016023", "WBGene00016023")</f>
        <v>WBGene00016023</v>
      </c>
      <c r="B19044" s="9" t="str">
        <f>HYPERLINK("http://www.ncbi.nlm.nih.gov/gene/182821", "182821")</f>
        <v>182821</v>
      </c>
      <c r="C19044" s="9"/>
      <c r="D19044" t="str">
        <f>"prmt-6"</f>
        <v>prmt-6</v>
      </c>
      <c r="E19044" t="s">
        <v>9747</v>
      </c>
      <c r="F19044" t="s">
        <v>11</v>
      </c>
      <c r="H19044" s="12">
        <v>1.1262166865427701</v>
      </c>
      <c r="I19044" s="20">
        <v>0.23641918342941501</v>
      </c>
      <c r="J19044" s="28">
        <v>0.81310741183482604</v>
      </c>
      <c r="K19044" s="29">
        <v>0.98654745437317803</v>
      </c>
    </row>
    <row r="19045" spans="1:11" x14ac:dyDescent="0.35">
      <c r="A19045" s="9" t="str">
        <f>HYPERLINK("http://www.ensembl.org/id/WBGene00010844", "WBGene00010844")</f>
        <v>WBGene00010844</v>
      </c>
      <c r="B19045" s="9" t="str">
        <f>HYPERLINK("http://www.ncbi.nlm.nih.gov/gene/176461", "176461")</f>
        <v>176461</v>
      </c>
      <c r="C19045" s="9" t="str">
        <f>HYPERLINK("http://www.ncbi.nlm.nih.gov/gene/9129", "9129")</f>
        <v>9129</v>
      </c>
      <c r="D19045" t="str">
        <f>"prp-3"</f>
        <v>prp-3</v>
      </c>
      <c r="E19045" t="s">
        <v>7306</v>
      </c>
      <c r="F19045" t="s">
        <v>11</v>
      </c>
      <c r="G19045" t="s">
        <v>10218</v>
      </c>
      <c r="H19045" s="12">
        <v>-1.04810083597655</v>
      </c>
      <c r="I19045" s="20">
        <v>-0.236562338289147</v>
      </c>
      <c r="J19045" s="28">
        <v>0.81299634060717496</v>
      </c>
      <c r="K19045" s="29">
        <v>0.98654745437317803</v>
      </c>
    </row>
    <row r="19046" spans="1:11" x14ac:dyDescent="0.35">
      <c r="A19046" s="9" t="str">
        <f>HYPERLINK("http://www.ensembl.org/id/WBGene00011919", "WBGene00011919")</f>
        <v>WBGene00011919</v>
      </c>
      <c r="B19046" s="9" t="str">
        <f>HYPERLINK("http://www.ncbi.nlm.nih.gov/gene/172572", "172572")</f>
        <v>172572</v>
      </c>
      <c r="C19046" s="9"/>
      <c r="D19046" t="str">
        <f>"T22C1.9"</f>
        <v>T22C1.9</v>
      </c>
      <c r="F19046" t="s">
        <v>11</v>
      </c>
      <c r="G19046" t="s">
        <v>25</v>
      </c>
      <c r="H19046" s="12">
        <v>1.2976917832753601</v>
      </c>
      <c r="I19046" s="20">
        <v>0.23661500982574499</v>
      </c>
      <c r="J19046" s="28">
        <v>0.81295547467531704</v>
      </c>
      <c r="K19046" s="29">
        <v>0.98654745437317803</v>
      </c>
    </row>
    <row r="19047" spans="1:11" x14ac:dyDescent="0.35">
      <c r="A19047" s="9" t="str">
        <f>HYPERLINK("http://www.ensembl.org/id/WBGene00020983", "WBGene00020983")</f>
        <v>WBGene00020983</v>
      </c>
      <c r="B19047" s="9" t="str">
        <f>HYPERLINK("http://www.ncbi.nlm.nih.gov/gene/189154", "189154")</f>
        <v>189154</v>
      </c>
      <c r="C19047" s="9"/>
      <c r="D19047" t="str">
        <f>"W03D2.9"</f>
        <v>W03D2.9</v>
      </c>
      <c r="F19047" t="s">
        <v>11</v>
      </c>
      <c r="H19047" s="12">
        <v>-1.2784100436210899</v>
      </c>
      <c r="I19047" s="20">
        <v>-0.23640285547403</v>
      </c>
      <c r="J19047" s="28">
        <v>0.81312008063454</v>
      </c>
      <c r="K19047" s="29">
        <v>0.98654745437317803</v>
      </c>
    </row>
    <row r="19048" spans="1:11" x14ac:dyDescent="0.35">
      <c r="A19048" s="9" t="str">
        <f>HYPERLINK("http://www.ensembl.org/id/WBGene00012396", "WBGene00012396")</f>
        <v>WBGene00012396</v>
      </c>
      <c r="B19048" s="9" t="str">
        <f>HYPERLINK("http://www.ncbi.nlm.nih.gov/gene/174817", "174817")</f>
        <v>174817</v>
      </c>
      <c r="C19048" s="9"/>
      <c r="D19048" t="str">
        <f>"Y6D1A.2"</f>
        <v>Y6D1A.2</v>
      </c>
      <c r="F19048" t="s">
        <v>11</v>
      </c>
      <c r="G19048" t="s">
        <v>51</v>
      </c>
      <c r="H19048" s="12">
        <v>1.1231465544395001</v>
      </c>
      <c r="I19048" s="20">
        <v>0.23661786912982199</v>
      </c>
      <c r="J19048" s="28">
        <v>0.81295325625972703</v>
      </c>
      <c r="K19048" s="29">
        <v>0.98654745437317803</v>
      </c>
    </row>
    <row r="19049" spans="1:11" x14ac:dyDescent="0.35">
      <c r="A19049" s="9" t="str">
        <f>HYPERLINK("http://www.ensembl.org/id/WBGene00022219", "WBGene00022219")</f>
        <v>WBGene00022219</v>
      </c>
      <c r="B19049" s="9" t="str">
        <f>HYPERLINK("http://www.ncbi.nlm.nih.gov/gene/190636", "190636")</f>
        <v>190636</v>
      </c>
      <c r="C19049" s="9"/>
      <c r="D19049" t="str">
        <f>"Y73B3A.18"</f>
        <v>Y73B3A.18</v>
      </c>
      <c r="F19049" t="s">
        <v>11</v>
      </c>
      <c r="H19049" s="12">
        <v>1.0760878958697599</v>
      </c>
      <c r="I19049" s="20">
        <v>0.23681626705575301</v>
      </c>
      <c r="J19049" s="28">
        <v>0.81279933119343695</v>
      </c>
      <c r="K19049" s="29">
        <v>0.98654745437317803</v>
      </c>
    </row>
    <row r="19050" spans="1:11" x14ac:dyDescent="0.35">
      <c r="A19050" s="9" t="str">
        <f>HYPERLINK("http://www.ensembl.org/id/WBGene00235348", "WBGene00235348")</f>
        <v>WBGene00235348</v>
      </c>
      <c r="B19050" s="9"/>
      <c r="C19050" s="9"/>
      <c r="D19050" t="str">
        <f>"Y94H6A.17"</f>
        <v>Y94H6A.17</v>
      </c>
      <c r="F19050" t="s">
        <v>481</v>
      </c>
      <c r="H19050" s="12">
        <v>1.11930573930989</v>
      </c>
      <c r="I19050" s="20">
        <v>0.236482999264399</v>
      </c>
      <c r="J19050" s="28">
        <v>0.81305789783547799</v>
      </c>
      <c r="K19050" s="29">
        <v>0.98654745437317803</v>
      </c>
    </row>
    <row r="19051" spans="1:11" x14ac:dyDescent="0.35">
      <c r="A19051" s="9" t="str">
        <f>HYPERLINK("http://www.ensembl.org/id/WBGene00000991", "WBGene00000991")</f>
        <v>WBGene00000991</v>
      </c>
      <c r="B19051" s="9" t="str">
        <f>HYPERLINK("http://www.ncbi.nlm.nih.gov/gene/180950", "180950")</f>
        <v>180950</v>
      </c>
      <c r="C19051" s="9" t="str">
        <f>HYPERLINK("http://www.ncbi.nlm.nih.gov/gene/3295", "3295")</f>
        <v>3295</v>
      </c>
      <c r="D19051" t="str">
        <f>"dhs-28"</f>
        <v>dhs-28</v>
      </c>
      <c r="E19051" t="s">
        <v>488</v>
      </c>
      <c r="F19051" t="s">
        <v>11</v>
      </c>
      <c r="G19051" t="s">
        <v>10219</v>
      </c>
      <c r="H19051" s="12">
        <v>-1.0430879953350101</v>
      </c>
      <c r="I19051" s="20">
        <v>-0.23560813932510399</v>
      </c>
      <c r="J19051" s="28">
        <v>0.81373675698370296</v>
      </c>
      <c r="K19051" s="29">
        <v>0.98699220508480001</v>
      </c>
    </row>
    <row r="19052" spans="1:11" x14ac:dyDescent="0.35">
      <c r="A19052" s="9" t="str">
        <f>HYPERLINK("http://www.ensembl.org/id/WBGene00014813", "WBGene00014813")</f>
        <v>WBGene00014813</v>
      </c>
      <c r="B19052" s="9" t="str">
        <f>HYPERLINK("http://www.ncbi.nlm.nih.gov/gene/13186458", "13186458")</f>
        <v>13186458</v>
      </c>
      <c r="C19052" s="9"/>
      <c r="D19052" t="str">
        <f>"M176.9"</f>
        <v>M176.9</v>
      </c>
      <c r="E19052" t="s">
        <v>2588</v>
      </c>
      <c r="F19052" t="s">
        <v>11</v>
      </c>
      <c r="G19052" t="s">
        <v>4950</v>
      </c>
      <c r="H19052" s="12">
        <v>-1.3586507084502299</v>
      </c>
      <c r="I19052" s="20">
        <v>-0.23561577788527799</v>
      </c>
      <c r="J19052" s="28">
        <v>0.81373082913552697</v>
      </c>
      <c r="K19052" s="29">
        <v>0.98699220508480001</v>
      </c>
    </row>
    <row r="19053" spans="1:11" x14ac:dyDescent="0.35">
      <c r="A19053" s="9" t="str">
        <f>HYPERLINK("http://www.ensembl.org/id/WBGene00015196", "WBGene00015196")</f>
        <v>WBGene00015196</v>
      </c>
      <c r="B19053" s="9" t="str">
        <f>HYPERLINK("http://www.ncbi.nlm.nih.gov/gene/181992", "181992")</f>
        <v>181992</v>
      </c>
      <c r="C19053" s="9"/>
      <c r="D19053" t="str">
        <f>"B0454.5"</f>
        <v>B0454.5</v>
      </c>
      <c r="F19053" t="s">
        <v>11</v>
      </c>
      <c r="G19053" t="s">
        <v>25</v>
      </c>
      <c r="H19053" s="12">
        <v>-1.12804973605098</v>
      </c>
      <c r="I19053" s="20">
        <v>-0.235447936198486</v>
      </c>
      <c r="J19053" s="28">
        <v>0.81386108389395495</v>
      </c>
      <c r="K19053" s="29">
        <v>0.987039376677185</v>
      </c>
    </row>
    <row r="19054" spans="1:11" x14ac:dyDescent="0.35">
      <c r="A19054" s="9" t="str">
        <f>HYPERLINK("http://www.ensembl.org/id/WBGene00010708", "WBGene00010708")</f>
        <v>WBGene00010708</v>
      </c>
      <c r="B19054" s="9" t="str">
        <f>HYPERLINK("http://www.ncbi.nlm.nih.gov/gene/187186", "187186")</f>
        <v>187186</v>
      </c>
      <c r="C19054" s="9"/>
      <c r="D19054" t="str">
        <f>"phf-33"</f>
        <v>phf-33</v>
      </c>
      <c r="E19054" t="s">
        <v>2651</v>
      </c>
      <c r="F19054" t="s">
        <v>11</v>
      </c>
      <c r="G19054" t="s">
        <v>10220</v>
      </c>
      <c r="H19054" s="12">
        <v>-1.38499898206627</v>
      </c>
      <c r="I19054" s="20">
        <v>-0.23548719917616101</v>
      </c>
      <c r="J19054" s="28">
        <v>0.81383061311398797</v>
      </c>
      <c r="K19054" s="29">
        <v>0.987039376677185</v>
      </c>
    </row>
    <row r="19055" spans="1:11" x14ac:dyDescent="0.35">
      <c r="A19055" s="9" t="str">
        <f>HYPERLINK("http://www.ensembl.org/id/WBGene00174184", "WBGene00174184")</f>
        <v>WBGene00174184</v>
      </c>
      <c r="B19055" s="9"/>
      <c r="C19055" s="9"/>
      <c r="D19055" t="str">
        <f>"21ur-11264"</f>
        <v>21ur-11264</v>
      </c>
      <c r="F19055" t="s">
        <v>3161</v>
      </c>
      <c r="H19055" s="12">
        <v>-1.42602256823088</v>
      </c>
      <c r="I19055" s="20">
        <v>-0.23051513643560401</v>
      </c>
      <c r="J19055" s="28">
        <v>0.81769150298509796</v>
      </c>
      <c r="K19055" s="29">
        <v>0.98712231796055705</v>
      </c>
    </row>
    <row r="19056" spans="1:11" x14ac:dyDescent="0.35">
      <c r="A19056" s="9" t="str">
        <f>HYPERLINK("http://www.ensembl.org/id/WBGene00166752", "WBGene00166752")</f>
        <v>WBGene00166752</v>
      </c>
      <c r="B19056" s="9"/>
      <c r="C19056" s="9"/>
      <c r="D19056" t="str">
        <f>"21ur-11975"</f>
        <v>21ur-11975</v>
      </c>
      <c r="F19056" t="s">
        <v>3161</v>
      </c>
      <c r="H19056" s="12">
        <v>-1.7811390491124901</v>
      </c>
      <c r="I19056" s="20">
        <v>-0.23269444465044301</v>
      </c>
      <c r="J19056" s="28">
        <v>0.81599868334563597</v>
      </c>
      <c r="K19056" s="29">
        <v>0.98712231796055705</v>
      </c>
    </row>
    <row r="19057" spans="1:11" x14ac:dyDescent="0.35">
      <c r="A19057" s="9" t="str">
        <f>HYPERLINK("http://www.ensembl.org/id/WBGene00011064", "WBGene00011064")</f>
        <v>WBGene00011064</v>
      </c>
      <c r="B19057" s="9" t="str">
        <f>HYPERLINK("http://www.ncbi.nlm.nih.gov/gene/172466", "172466")</f>
        <v>172466</v>
      </c>
      <c r="C19057" s="9"/>
      <c r="D19057" t="str">
        <f>"adsl-1"</f>
        <v>adsl-1</v>
      </c>
      <c r="E19057" t="s">
        <v>10232</v>
      </c>
      <c r="F19057" t="s">
        <v>11</v>
      </c>
      <c r="G19057" t="s">
        <v>2319</v>
      </c>
      <c r="H19057" s="12">
        <v>1.04860030660641</v>
      </c>
      <c r="I19057" s="20">
        <v>0.233004594828117</v>
      </c>
      <c r="J19057" s="28">
        <v>0.81575783780484801</v>
      </c>
      <c r="K19057" s="29">
        <v>0.98712231796055705</v>
      </c>
    </row>
    <row r="19058" spans="1:11" x14ac:dyDescent="0.35">
      <c r="A19058" s="9" t="str">
        <f>HYPERLINK("http://www.ensembl.org/id/WBGene00015064", "WBGene00015064")</f>
        <v>WBGene00015064</v>
      </c>
      <c r="B19058" s="9" t="str">
        <f>HYPERLINK("http://www.ncbi.nlm.nih.gov/gene/174252", "174252")</f>
        <v>174252</v>
      </c>
      <c r="C19058" s="9" t="str">
        <f>HYPERLINK("http://www.ncbi.nlm.nih.gov/gene/4507", "4507")</f>
        <v>4507</v>
      </c>
      <c r="D19058" t="str">
        <f>"B0228.7"</f>
        <v>B0228.7</v>
      </c>
      <c r="E19058" t="s">
        <v>10242</v>
      </c>
      <c r="F19058" t="s">
        <v>11</v>
      </c>
      <c r="G19058" t="s">
        <v>10243</v>
      </c>
      <c r="H19058" s="12">
        <v>-1.04631331678698</v>
      </c>
      <c r="I19058" s="20">
        <v>-0.23493423329087401</v>
      </c>
      <c r="J19058" s="28">
        <v>0.81425977873361499</v>
      </c>
      <c r="K19058" s="29">
        <v>0.98712231796055705</v>
      </c>
    </row>
    <row r="19059" spans="1:11" x14ac:dyDescent="0.35">
      <c r="A19059" s="9" t="str">
        <f>HYPERLINK("http://www.ensembl.org/id/WBGene00015085", "WBGene00015085")</f>
        <v>WBGene00015085</v>
      </c>
      <c r="B19059" s="9" t="str">
        <f>HYPERLINK("http://www.ncbi.nlm.nih.gov/gene/175806", "175806")</f>
        <v>175806</v>
      </c>
      <c r="C19059" s="9"/>
      <c r="D19059" t="str">
        <f>"B0244.10"</f>
        <v>B0244.10</v>
      </c>
      <c r="E19059" t="s">
        <v>10223</v>
      </c>
      <c r="F19059" t="s">
        <v>11</v>
      </c>
      <c r="G19059" t="s">
        <v>1793</v>
      </c>
      <c r="H19059" s="12">
        <v>1.16957307128018</v>
      </c>
      <c r="I19059" s="20">
        <v>0.22974127963153099</v>
      </c>
      <c r="J19059" s="28">
        <v>0.81829281621289796</v>
      </c>
      <c r="K19059" s="29">
        <v>0.98712231796055705</v>
      </c>
    </row>
    <row r="19060" spans="1:11" x14ac:dyDescent="0.35">
      <c r="A19060" s="9" t="str">
        <f>HYPERLINK("http://www.ensembl.org/id/WBGene00201176", "WBGene00201176")</f>
        <v>WBGene00201176</v>
      </c>
      <c r="B19060" s="9"/>
      <c r="C19060" s="9"/>
      <c r="D19060" t="str">
        <f>"B0310.11"</f>
        <v>B0310.11</v>
      </c>
      <c r="F19060" t="s">
        <v>481</v>
      </c>
      <c r="H19060" s="12">
        <v>-2.0934832239599501</v>
      </c>
      <c r="I19060" s="20">
        <v>-0.22949030257074601</v>
      </c>
      <c r="J19060" s="28">
        <v>0.81848785695737403</v>
      </c>
      <c r="K19060" s="29">
        <v>0.98712231796055705</v>
      </c>
    </row>
    <row r="19061" spans="1:11" x14ac:dyDescent="0.35">
      <c r="A19061" s="9" t="str">
        <f>HYPERLINK("http://www.ensembl.org/id/WBGene00007369", "WBGene00007369")</f>
        <v>WBGene00007369</v>
      </c>
      <c r="B19061" s="9" t="str">
        <f>HYPERLINK("http://www.ncbi.nlm.nih.gov/gene/182298", "182298")</f>
        <v>182298</v>
      </c>
      <c r="C19061" s="9"/>
      <c r="D19061" t="str">
        <f>"C06B8.3"</f>
        <v>C06B8.3</v>
      </c>
      <c r="F19061" t="s">
        <v>11</v>
      </c>
      <c r="G19061" t="s">
        <v>489</v>
      </c>
      <c r="H19061" s="12">
        <v>-1.7811390491124901</v>
      </c>
      <c r="I19061" s="20">
        <v>-0.23269444465044301</v>
      </c>
      <c r="J19061" s="28">
        <v>0.81599868334563597</v>
      </c>
      <c r="K19061" s="29">
        <v>0.98712231796055705</v>
      </c>
    </row>
    <row r="19062" spans="1:11" x14ac:dyDescent="0.35">
      <c r="A19062" s="9" t="str">
        <f>HYPERLINK("http://www.ensembl.org/id/WBGene00201961", "WBGene00201961")</f>
        <v>WBGene00201961</v>
      </c>
      <c r="B19062" s="9"/>
      <c r="C19062" s="9"/>
      <c r="D19062" t="str">
        <f>"C08A9.12"</f>
        <v>C08A9.12</v>
      </c>
      <c r="F19062" t="s">
        <v>481</v>
      </c>
      <c r="H19062" s="12">
        <v>-2.0934832239599501</v>
      </c>
      <c r="I19062" s="20">
        <v>-0.22949030257074601</v>
      </c>
      <c r="J19062" s="28">
        <v>0.81848785695737403</v>
      </c>
      <c r="K19062" s="29">
        <v>0.98712231796055705</v>
      </c>
    </row>
    <row r="19063" spans="1:11" x14ac:dyDescent="0.35">
      <c r="A19063" s="9" t="str">
        <f>HYPERLINK("http://www.ensembl.org/id/WBGene00007610", "WBGene00007610")</f>
        <v>WBGene00007610</v>
      </c>
      <c r="B19063" s="9" t="str">
        <f>HYPERLINK("http://www.ncbi.nlm.nih.gov/gene/182639", "182639")</f>
        <v>182639</v>
      </c>
      <c r="C19063" s="9"/>
      <c r="D19063" t="str">
        <f>"C15H7.3"</f>
        <v>C15H7.3</v>
      </c>
      <c r="E19063" t="s">
        <v>10221</v>
      </c>
      <c r="F19063" t="s">
        <v>11</v>
      </c>
      <c r="G19063" t="s">
        <v>10222</v>
      </c>
      <c r="H19063" s="12">
        <v>1.2816502150175699</v>
      </c>
      <c r="I19063" s="20">
        <v>0.235133071000317</v>
      </c>
      <c r="J19063" s="28">
        <v>0.81410545119799405</v>
      </c>
      <c r="K19063" s="29">
        <v>0.98712231796055705</v>
      </c>
    </row>
    <row r="19064" spans="1:11" x14ac:dyDescent="0.35">
      <c r="A19064" s="9" t="str">
        <f>HYPERLINK("http://www.ensembl.org/id/WBGene00194945", "WBGene00194945")</f>
        <v>WBGene00194945</v>
      </c>
      <c r="B19064" s="9"/>
      <c r="C19064" s="9"/>
      <c r="D19064" t="str">
        <f>"C32H11.16"</f>
        <v>C32H11.16</v>
      </c>
      <c r="F19064" t="s">
        <v>80</v>
      </c>
      <c r="H19064" s="12">
        <v>-2.0934832239599501</v>
      </c>
      <c r="I19064" s="20">
        <v>-0.22949030257074601</v>
      </c>
      <c r="J19064" s="28">
        <v>0.81848785695737403</v>
      </c>
      <c r="K19064" s="29">
        <v>0.98712231796055705</v>
      </c>
    </row>
    <row r="19065" spans="1:11" x14ac:dyDescent="0.35">
      <c r="A19065" s="9" t="str">
        <f>HYPERLINK("http://www.ensembl.org/id/WBGene00196025", "WBGene00196025")</f>
        <v>WBGene00196025</v>
      </c>
      <c r="B19065" s="9"/>
      <c r="C19065" s="9"/>
      <c r="D19065" t="str">
        <f>"C52E4.13"</f>
        <v>C52E4.13</v>
      </c>
      <c r="F19065" t="s">
        <v>481</v>
      </c>
      <c r="H19065" s="12">
        <v>1.41843274366014</v>
      </c>
      <c r="I19065" s="20">
        <v>0.23474737443974</v>
      </c>
      <c r="J19065" s="28">
        <v>0.81440481547069099</v>
      </c>
      <c r="K19065" s="29">
        <v>0.98712231796055705</v>
      </c>
    </row>
    <row r="19066" spans="1:11" x14ac:dyDescent="0.35">
      <c r="A19066" s="9" t="str">
        <f>HYPERLINK("http://www.ensembl.org/id/WBGene00044770", "WBGene00044770")</f>
        <v>WBGene00044770</v>
      </c>
      <c r="B19066" s="9" t="str">
        <f>HYPERLINK("http://www.ncbi.nlm.nih.gov/gene/4363126", "4363126")</f>
        <v>4363126</v>
      </c>
      <c r="C19066" s="9"/>
      <c r="D19066" t="str">
        <f>"C53C11.5"</f>
        <v>C53C11.5</v>
      </c>
      <c r="F19066" t="s">
        <v>11</v>
      </c>
      <c r="G19066" t="s">
        <v>25</v>
      </c>
      <c r="H19066" s="12">
        <v>-1.05203584148989</v>
      </c>
      <c r="I19066" s="20">
        <v>-0.23279654999128499</v>
      </c>
      <c r="J19066" s="28">
        <v>0.815919392042882</v>
      </c>
      <c r="K19066" s="29">
        <v>0.98712231796055705</v>
      </c>
    </row>
    <row r="19067" spans="1:11" x14ac:dyDescent="0.35">
      <c r="A19067" s="9" t="str">
        <f>HYPERLINK("http://www.ensembl.org/id/WBGene00013765", "WBGene00013765")</f>
        <v>WBGene00013765</v>
      </c>
      <c r="B19067" s="9" t="str">
        <f>HYPERLINK("http://www.ncbi.nlm.nih.gov/gene/180327", "180327")</f>
        <v>180327</v>
      </c>
      <c r="C19067" s="9" t="str">
        <f>HYPERLINK("http://www.ncbi.nlm.nih.gov/gene/80279", "80279")</f>
        <v>80279</v>
      </c>
      <c r="D19067" t="str">
        <f>"cdkr-3"</f>
        <v>cdkr-3</v>
      </c>
      <c r="E19067" t="s">
        <v>10245</v>
      </c>
      <c r="F19067" t="s">
        <v>11</v>
      </c>
      <c r="H19067" s="12">
        <v>-1.0470494413882101</v>
      </c>
      <c r="I19067" s="20">
        <v>-0.23309060709964899</v>
      </c>
      <c r="J19067" s="28">
        <v>0.81569104849515495</v>
      </c>
      <c r="K19067" s="29">
        <v>0.98712231796055705</v>
      </c>
    </row>
    <row r="19068" spans="1:11" x14ac:dyDescent="0.35">
      <c r="A19068" s="9" t="str">
        <f>HYPERLINK("http://www.ensembl.org/id/WBGene00007417", "WBGene00007417")</f>
        <v>WBGene00007417</v>
      </c>
      <c r="B19068" s="9" t="str">
        <f>HYPERLINK("http://www.ncbi.nlm.nih.gov/gene/182371", "182371")</f>
        <v>182371</v>
      </c>
      <c r="C19068" s="9"/>
      <c r="D19068" t="str">
        <f>"ceh-58"</f>
        <v>ceh-58</v>
      </c>
      <c r="E19068" t="s">
        <v>349</v>
      </c>
      <c r="F19068" t="s">
        <v>11</v>
      </c>
      <c r="G19068" t="s">
        <v>4292</v>
      </c>
      <c r="H19068" s="12">
        <v>-1.0580207211928601</v>
      </c>
      <c r="I19068" s="20">
        <v>-0.23380978705762101</v>
      </c>
      <c r="J19068" s="28">
        <v>0.81513265117885803</v>
      </c>
      <c r="K19068" s="29">
        <v>0.98712231796055705</v>
      </c>
    </row>
    <row r="19069" spans="1:11" x14ac:dyDescent="0.35">
      <c r="A19069" s="9" t="str">
        <f>HYPERLINK("http://www.ensembl.org/id/WBGene00009822", "WBGene00009822")</f>
        <v>WBGene00009822</v>
      </c>
      <c r="B19069" s="9" t="str">
        <f>HYPERLINK("http://www.ncbi.nlm.nih.gov/gene/185945", "185945")</f>
        <v>185945</v>
      </c>
      <c r="C19069" s="9"/>
      <c r="D19069" t="str">
        <f>"clec-113"</f>
        <v>clec-113</v>
      </c>
      <c r="E19069" t="s">
        <v>46</v>
      </c>
      <c r="F19069" t="s">
        <v>11</v>
      </c>
      <c r="H19069" s="12">
        <v>-1.89735447237306</v>
      </c>
      <c r="I19069" s="20">
        <v>-0.23001795530568001</v>
      </c>
      <c r="J19069" s="28">
        <v>0.81807781744576902</v>
      </c>
      <c r="K19069" s="29">
        <v>0.98712231796055705</v>
      </c>
    </row>
    <row r="19070" spans="1:11" x14ac:dyDescent="0.35">
      <c r="A19070" s="9" t="str">
        <f>HYPERLINK("http://www.ensembl.org/id/WBGene00021582", "WBGene00021582")</f>
        <v>WBGene00021582</v>
      </c>
      <c r="B19070" s="9" t="str">
        <f>HYPERLINK("http://www.ncbi.nlm.nih.gov/gene/189945", "189945")</f>
        <v>189945</v>
      </c>
      <c r="C19070" s="9"/>
      <c r="D19070" t="str">
        <f>"clec-71"</f>
        <v>clec-71</v>
      </c>
      <c r="E19070" t="s">
        <v>46</v>
      </c>
      <c r="F19070" t="s">
        <v>11</v>
      </c>
      <c r="G19070" t="s">
        <v>151</v>
      </c>
      <c r="H19070" s="12">
        <v>-1.89735447237306</v>
      </c>
      <c r="I19070" s="20">
        <v>-0.23001795530568001</v>
      </c>
      <c r="J19070" s="28">
        <v>0.81807781744576902</v>
      </c>
      <c r="K19070" s="29">
        <v>0.98712231796055705</v>
      </c>
    </row>
    <row r="19071" spans="1:11" x14ac:dyDescent="0.35">
      <c r="A19071" s="9" t="str">
        <f>HYPERLINK("http://www.ensembl.org/id/WBGene00021587", "WBGene00021587")</f>
        <v>WBGene00021587</v>
      </c>
      <c r="B19071" s="9" t="str">
        <f>HYPERLINK("http://www.ncbi.nlm.nih.gov/gene/189950", "189950")</f>
        <v>189950</v>
      </c>
      <c r="C19071" s="9"/>
      <c r="D19071" t="str">
        <f>"clec-76"</f>
        <v>clec-76</v>
      </c>
      <c r="E19071" t="s">
        <v>46</v>
      </c>
      <c r="F19071" t="s">
        <v>11</v>
      </c>
      <c r="G19071" t="s">
        <v>47</v>
      </c>
      <c r="H19071" s="12">
        <v>-1.07633327169784</v>
      </c>
      <c r="I19071" s="20">
        <v>-0.22997860691375399</v>
      </c>
      <c r="J19071" s="28">
        <v>0.81810839340795405</v>
      </c>
      <c r="K19071" s="29">
        <v>0.98712231796055705</v>
      </c>
    </row>
    <row r="19072" spans="1:11" x14ac:dyDescent="0.35">
      <c r="A19072" s="9" t="str">
        <f>HYPERLINK("http://www.ensembl.org/id/WBGene00000822", "WBGene00000822")</f>
        <v>WBGene00000822</v>
      </c>
      <c r="B19072" s="9" t="str">
        <f>HYPERLINK("http://www.ncbi.nlm.nih.gov/gene/181563", "181563")</f>
        <v>181563</v>
      </c>
      <c r="C19072" s="9" t="str">
        <f>HYPERLINK("http://www.ncbi.nlm.nih.gov/gene/844", "844")</f>
        <v>844</v>
      </c>
      <c r="D19072" t="str">
        <f>"csq-1"</f>
        <v>csq-1</v>
      </c>
      <c r="E19072" t="s">
        <v>10230</v>
      </c>
      <c r="F19072" t="s">
        <v>11</v>
      </c>
      <c r="G19072" t="s">
        <v>10231</v>
      </c>
      <c r="H19072" s="12">
        <v>1.04908389299961</v>
      </c>
      <c r="I19072" s="20">
        <v>0.23139185432102799</v>
      </c>
      <c r="J19072" s="28">
        <v>0.817010392782476</v>
      </c>
      <c r="K19072" s="29">
        <v>0.98712231796055705</v>
      </c>
    </row>
    <row r="19073" spans="1:11" x14ac:dyDescent="0.35">
      <c r="A19073" s="9" t="str">
        <f>HYPERLINK("http://www.ensembl.org/id/WBGene00016686", "WBGene00016686")</f>
        <v>WBGene00016686</v>
      </c>
      <c r="B19073" s="9" t="str">
        <f>HYPERLINK("http://www.ncbi.nlm.nih.gov/gene/183484", "183484")</f>
        <v>183484</v>
      </c>
      <c r="C19073" s="9" t="str">
        <f>HYPERLINK("http://www.ncbi.nlm.nih.gov/gene/1573", "1573")</f>
        <v>1573</v>
      </c>
      <c r="D19073" t="str">
        <f>"cyp-33C1"</f>
        <v>cyp-33C1</v>
      </c>
      <c r="E19073" t="s">
        <v>176</v>
      </c>
      <c r="F19073" t="s">
        <v>11</v>
      </c>
      <c r="G19073" t="s">
        <v>438</v>
      </c>
      <c r="H19073" s="12">
        <v>1.6024690666222099</v>
      </c>
      <c r="I19073" s="20">
        <v>0.23038150541581301</v>
      </c>
      <c r="J19073" s="28">
        <v>0.81779533121005998</v>
      </c>
      <c r="K19073" s="29">
        <v>0.98712231796055705</v>
      </c>
    </row>
    <row r="19074" spans="1:11" x14ac:dyDescent="0.35">
      <c r="A19074" s="9" t="str">
        <f>HYPERLINK("http://www.ensembl.org/id/WBGene00017102", "WBGene00017102")</f>
        <v>WBGene00017102</v>
      </c>
      <c r="B19074" s="9" t="str">
        <f>HYPERLINK("http://www.ncbi.nlm.nih.gov/gene/175365", "175365")</f>
        <v>175365</v>
      </c>
      <c r="C19074" s="9"/>
      <c r="D19074" t="str">
        <f>"E02H9.4"</f>
        <v>E02H9.4</v>
      </c>
      <c r="F19074" t="s">
        <v>11</v>
      </c>
      <c r="H19074" s="12">
        <v>-1.1096729052971701</v>
      </c>
      <c r="I19074" s="20">
        <v>-0.230479624696066</v>
      </c>
      <c r="J19074" s="28">
        <v>0.81771909447695301</v>
      </c>
      <c r="K19074" s="29">
        <v>0.98712231796055705</v>
      </c>
    </row>
    <row r="19075" spans="1:11" x14ac:dyDescent="0.35">
      <c r="A19075" s="9" t="str">
        <f>HYPERLINK("http://www.ensembl.org/id/WBGene00008471", "WBGene00008471")</f>
        <v>WBGene00008471</v>
      </c>
      <c r="B19075" s="9" t="str">
        <f>HYPERLINK("http://www.ncbi.nlm.nih.gov/gene/184018", "184018")</f>
        <v>184018</v>
      </c>
      <c r="C19075" s="9"/>
      <c r="D19075" t="str">
        <f>"E03H4.3"</f>
        <v>E03H4.3</v>
      </c>
      <c r="E19075" t="s">
        <v>3820</v>
      </c>
      <c r="F19075" t="s">
        <v>11</v>
      </c>
      <c r="G19075" t="s">
        <v>3821</v>
      </c>
      <c r="H19075" s="12">
        <v>1.6024690666222099</v>
      </c>
      <c r="I19075" s="20">
        <v>0.23038150541581301</v>
      </c>
      <c r="J19075" s="28">
        <v>0.81779533121005998</v>
      </c>
      <c r="K19075" s="29">
        <v>0.98712231796055705</v>
      </c>
    </row>
    <row r="19076" spans="1:11" x14ac:dyDescent="0.35">
      <c r="A19076" s="9" t="str">
        <f>HYPERLINK("http://www.ensembl.org/id/WBGene00009686", "WBGene00009686")</f>
        <v>WBGene00009686</v>
      </c>
      <c r="B19076" s="9" t="str">
        <f>HYPERLINK("http://www.ncbi.nlm.nih.gov/gene/177862", "177862")</f>
        <v>177862</v>
      </c>
      <c r="C19076" s="9"/>
      <c r="D19076" t="str">
        <f>"ent-7"</f>
        <v>ent-7</v>
      </c>
      <c r="E19076" t="s">
        <v>381</v>
      </c>
      <c r="F19076" t="s">
        <v>11</v>
      </c>
      <c r="G19076" t="s">
        <v>382</v>
      </c>
      <c r="H19076" s="12">
        <v>1.0592394362136499</v>
      </c>
      <c r="I19076" s="20">
        <v>0.23451962428054299</v>
      </c>
      <c r="J19076" s="28">
        <v>0.81458159996437296</v>
      </c>
      <c r="K19076" s="29">
        <v>0.98712231796055705</v>
      </c>
    </row>
    <row r="19077" spans="1:11" x14ac:dyDescent="0.35">
      <c r="A19077" s="9" t="str">
        <f>HYPERLINK("http://www.ensembl.org/id/WBGene00008880", "WBGene00008880")</f>
        <v>WBGene00008880</v>
      </c>
      <c r="B19077" s="9" t="str">
        <f>HYPERLINK("http://www.ncbi.nlm.nih.gov/gene/184564", "184564")</f>
        <v>184564</v>
      </c>
      <c r="C19077" s="9"/>
      <c r="D19077" t="str">
        <f>"F16B12.4"</f>
        <v>F16B12.4</v>
      </c>
      <c r="F19077" t="s">
        <v>11</v>
      </c>
      <c r="H19077" s="12">
        <v>-1.0482147637811901</v>
      </c>
      <c r="I19077" s="20">
        <v>-0.22931755825567901</v>
      </c>
      <c r="J19077" s="28">
        <v>0.81862210754603704</v>
      </c>
      <c r="K19077" s="29">
        <v>0.98712231796055705</v>
      </c>
    </row>
    <row r="19078" spans="1:11" x14ac:dyDescent="0.35">
      <c r="A19078" s="9" t="str">
        <f>HYPERLINK("http://www.ensembl.org/id/WBGene00201584", "WBGene00201584")</f>
        <v>WBGene00201584</v>
      </c>
      <c r="B19078" s="9"/>
      <c r="C19078" s="9"/>
      <c r="D19078" t="str">
        <f>"F16F9.18"</f>
        <v>F16F9.18</v>
      </c>
      <c r="F19078" t="s">
        <v>481</v>
      </c>
      <c r="H19078" s="12">
        <v>-1.4264651669955299</v>
      </c>
      <c r="I19078" s="20">
        <v>-0.23202330465677301</v>
      </c>
      <c r="J19078" s="28">
        <v>0.81651991316466799</v>
      </c>
      <c r="K19078" s="29">
        <v>0.98712231796055705</v>
      </c>
    </row>
    <row r="19079" spans="1:11" x14ac:dyDescent="0.35">
      <c r="A19079" s="9" t="str">
        <f>HYPERLINK("http://www.ensembl.org/id/WBGene00044058", "WBGene00044058")</f>
        <v>WBGene00044058</v>
      </c>
      <c r="B19079" s="9" t="str">
        <f>HYPERLINK("http://www.ncbi.nlm.nih.gov/gene/3564876", "3564876")</f>
        <v>3564876</v>
      </c>
      <c r="C19079" s="9"/>
      <c r="D19079" t="str">
        <f>"F17B5.6"</f>
        <v>F17B5.6</v>
      </c>
      <c r="F19079" t="s">
        <v>11</v>
      </c>
      <c r="G19079" t="s">
        <v>4254</v>
      </c>
      <c r="H19079" s="12">
        <v>-1.18797064004255</v>
      </c>
      <c r="I19079" s="20">
        <v>-0.234001497277739</v>
      </c>
      <c r="J19079" s="28">
        <v>0.81498381627216199</v>
      </c>
      <c r="K19079" s="29">
        <v>0.98712231796055705</v>
      </c>
    </row>
    <row r="19080" spans="1:11" x14ac:dyDescent="0.35">
      <c r="A19080" s="9" t="str">
        <f>HYPERLINK("http://www.ensembl.org/id/WBGene00198605", "WBGene00198605")</f>
        <v>WBGene00198605</v>
      </c>
      <c r="B19080" s="9"/>
      <c r="C19080" s="9"/>
      <c r="D19080" t="str">
        <f>"F22D3.8"</f>
        <v>F22D3.8</v>
      </c>
      <c r="F19080" t="s">
        <v>481</v>
      </c>
      <c r="H19080" s="12">
        <v>-2.0934832239599501</v>
      </c>
      <c r="I19080" s="20">
        <v>-0.22949030257074601</v>
      </c>
      <c r="J19080" s="28">
        <v>0.81848785695737403</v>
      </c>
      <c r="K19080" s="29">
        <v>0.98712231796055705</v>
      </c>
    </row>
    <row r="19081" spans="1:11" x14ac:dyDescent="0.35">
      <c r="A19081" s="9" t="str">
        <f>HYPERLINK("http://www.ensembl.org/id/WBGene00009467", "WBGene00009467")</f>
        <v>WBGene00009467</v>
      </c>
      <c r="B19081" s="9" t="str">
        <f>HYPERLINK("http://www.ncbi.nlm.nih.gov/gene/185350", "185350")</f>
        <v>185350</v>
      </c>
      <c r="C19081" s="9"/>
      <c r="D19081" t="str">
        <f>"F36D1.8"</f>
        <v>F36D1.8</v>
      </c>
      <c r="F19081" t="s">
        <v>11</v>
      </c>
      <c r="G19081" t="s">
        <v>3419</v>
      </c>
      <c r="H19081" s="12">
        <v>-1.89735447237306</v>
      </c>
      <c r="I19081" s="20">
        <v>-0.23001795530568001</v>
      </c>
      <c r="J19081" s="28">
        <v>0.81807781744576902</v>
      </c>
      <c r="K19081" s="29">
        <v>0.98712231796055705</v>
      </c>
    </row>
    <row r="19082" spans="1:11" x14ac:dyDescent="0.35">
      <c r="A19082" s="9" t="str">
        <f>HYPERLINK("http://www.ensembl.org/id/WBGene00270292", "WBGene00270292")</f>
        <v>WBGene00270292</v>
      </c>
      <c r="B19082" s="9"/>
      <c r="C19082" s="9"/>
      <c r="D19082" t="str">
        <f>"F36H5.16"</f>
        <v>F36H5.16</v>
      </c>
      <c r="F19082" t="s">
        <v>80</v>
      </c>
      <c r="H19082" s="12">
        <v>-1.89735447237306</v>
      </c>
      <c r="I19082" s="20">
        <v>-0.23001795530568001</v>
      </c>
      <c r="J19082" s="28">
        <v>0.81807781744576902</v>
      </c>
      <c r="K19082" s="29">
        <v>0.98712231796055705</v>
      </c>
    </row>
    <row r="19083" spans="1:11" x14ac:dyDescent="0.35">
      <c r="A19083" s="9" t="str">
        <f>HYPERLINK("http://www.ensembl.org/id/WBGene00009550", "WBGene00009550")</f>
        <v>WBGene00009550</v>
      </c>
      <c r="B19083" s="9" t="str">
        <f>HYPERLINK("http://www.ncbi.nlm.nih.gov/gene/185481", "185481")</f>
        <v>185481</v>
      </c>
      <c r="C19083" s="9"/>
      <c r="D19083" t="str">
        <f>"F38H4.6"</f>
        <v>F38H4.6</v>
      </c>
      <c r="E19083" t="s">
        <v>899</v>
      </c>
      <c r="F19083" t="s">
        <v>11</v>
      </c>
      <c r="G19083" t="s">
        <v>3403</v>
      </c>
      <c r="H19083" s="12">
        <v>-1.4318735545377199</v>
      </c>
      <c r="I19083" s="20">
        <v>-0.23346920768535401</v>
      </c>
      <c r="J19083" s="28">
        <v>0.81539707762835401</v>
      </c>
      <c r="K19083" s="29">
        <v>0.98712231796055705</v>
      </c>
    </row>
    <row r="19084" spans="1:11" x14ac:dyDescent="0.35">
      <c r="A19084" s="9" t="str">
        <f>HYPERLINK("http://www.ensembl.org/id/WBGene00199296", "WBGene00199296")</f>
        <v>WBGene00199296</v>
      </c>
      <c r="B19084" s="9"/>
      <c r="C19084" s="9"/>
      <c r="D19084" t="str">
        <f>"F45D3.9"</f>
        <v>F45D3.9</v>
      </c>
      <c r="F19084" t="s">
        <v>481</v>
      </c>
      <c r="H19084" s="12">
        <v>-1.89735447237306</v>
      </c>
      <c r="I19084" s="20">
        <v>-0.23001795530568001</v>
      </c>
      <c r="J19084" s="28">
        <v>0.81807781744576902</v>
      </c>
      <c r="K19084" s="29">
        <v>0.98712231796055705</v>
      </c>
    </row>
    <row r="19085" spans="1:11" x14ac:dyDescent="0.35">
      <c r="A19085" s="9" t="str">
        <f>HYPERLINK("http://www.ensembl.org/id/WBGene00018773", "WBGene00018773")</f>
        <v>WBGene00018773</v>
      </c>
      <c r="B19085" s="9" t="str">
        <f>HYPERLINK("http://www.ncbi.nlm.nih.gov/gene/171604", "171604")</f>
        <v>171604</v>
      </c>
      <c r="C19085" s="9"/>
      <c r="D19085" t="str">
        <f>"F53G12.8"</f>
        <v>F53G12.8</v>
      </c>
      <c r="F19085" t="s">
        <v>11</v>
      </c>
      <c r="G19085" t="s">
        <v>25</v>
      </c>
      <c r="H19085" s="12">
        <v>-1.2510833498246401</v>
      </c>
      <c r="I19085" s="20">
        <v>-0.23016909516388101</v>
      </c>
      <c r="J19085" s="28">
        <v>0.817960375662099</v>
      </c>
      <c r="K19085" s="29">
        <v>0.98712231796055705</v>
      </c>
    </row>
    <row r="19086" spans="1:11" x14ac:dyDescent="0.35">
      <c r="A19086" s="9" t="str">
        <f>HYPERLINK("http://www.ensembl.org/id/WBGene00018776", "WBGene00018776")</f>
        <v>WBGene00018776</v>
      </c>
      <c r="B19086" s="9" t="str">
        <f>HYPERLINK("http://www.ncbi.nlm.nih.gov/gene/176943", "176943")</f>
        <v>176943</v>
      </c>
      <c r="C19086" s="9" t="str">
        <f>HYPERLINK("http://www.ncbi.nlm.nih.gov/gene/9879", "9879")</f>
        <v>9879</v>
      </c>
      <c r="D19086" t="str">
        <f>"F53H1.1"</f>
        <v>F53H1.1</v>
      </c>
      <c r="F19086" t="s">
        <v>11</v>
      </c>
      <c r="G19086" t="s">
        <v>10236</v>
      </c>
      <c r="H19086" s="12">
        <v>1.04444878398931</v>
      </c>
      <c r="I19086" s="20">
        <v>0.23006874944542099</v>
      </c>
      <c r="J19086" s="28">
        <v>0.81803834788885299</v>
      </c>
      <c r="K19086" s="29">
        <v>0.98712231796055705</v>
      </c>
    </row>
    <row r="19087" spans="1:11" x14ac:dyDescent="0.35">
      <c r="A19087" s="9" t="str">
        <f>HYPERLINK("http://www.ensembl.org/id/WBGene00018891", "WBGene00018891")</f>
        <v>WBGene00018891</v>
      </c>
      <c r="B19087" s="9" t="str">
        <f>HYPERLINK("http://www.ncbi.nlm.nih.gov/gene/172224", "172224")</f>
        <v>172224</v>
      </c>
      <c r="C19087" s="9"/>
      <c r="D19087" t="str">
        <f>"F55F8.3"</f>
        <v>F55F8.3</v>
      </c>
      <c r="E19087" t="s">
        <v>10254</v>
      </c>
      <c r="F19087" t="s">
        <v>11</v>
      </c>
      <c r="G19087" t="s">
        <v>10255</v>
      </c>
      <c r="H19087" s="12">
        <v>-1.0562735639274199</v>
      </c>
      <c r="I19087" s="20">
        <v>-0.23125705935705401</v>
      </c>
      <c r="J19087" s="28">
        <v>0.81711510418127598</v>
      </c>
      <c r="K19087" s="29">
        <v>0.98712231796055705</v>
      </c>
    </row>
    <row r="19088" spans="1:11" x14ac:dyDescent="0.35">
      <c r="A19088" s="9" t="str">
        <f>HYPERLINK("http://www.ensembl.org/id/WBGene00010314", "WBGene00010314")</f>
        <v>WBGene00010314</v>
      </c>
      <c r="B19088" s="9" t="str">
        <f>HYPERLINK("http://www.ncbi.nlm.nih.gov/gene/176276", "176276")</f>
        <v>176276</v>
      </c>
      <c r="C19088" s="9"/>
      <c r="D19088" t="str">
        <f>"F59B2.12"</f>
        <v>F59B2.12</v>
      </c>
      <c r="F19088" t="s">
        <v>11</v>
      </c>
      <c r="H19088" s="12">
        <v>-1.89735447237306</v>
      </c>
      <c r="I19088" s="20">
        <v>-0.23001795530568001</v>
      </c>
      <c r="J19088" s="28">
        <v>0.81807781744576902</v>
      </c>
      <c r="K19088" s="29">
        <v>0.98712231796055705</v>
      </c>
    </row>
    <row r="19089" spans="1:11" x14ac:dyDescent="0.35">
      <c r="A19089" s="9" t="str">
        <f>HYPERLINK("http://www.ensembl.org/id/WBGene00195309", "WBGene00195309")</f>
        <v>WBGene00195309</v>
      </c>
      <c r="B19089" s="9"/>
      <c r="C19089" s="9"/>
      <c r="D19089" t="str">
        <f>"F59B8.5"</f>
        <v>F59B8.5</v>
      </c>
      <c r="F19089" t="s">
        <v>481</v>
      </c>
      <c r="H19089" s="12">
        <v>-1.62863961233276</v>
      </c>
      <c r="I19089" s="20">
        <v>-0.23335633675721801</v>
      </c>
      <c r="J19089" s="28">
        <v>0.81548471546437296</v>
      </c>
      <c r="K19089" s="29">
        <v>0.98712231796055705</v>
      </c>
    </row>
    <row r="19090" spans="1:11" x14ac:dyDescent="0.35">
      <c r="A19090" s="9" t="str">
        <f>HYPERLINK("http://www.ensembl.org/id/WBGene00007164", "WBGene00007164")</f>
        <v>WBGene00007164</v>
      </c>
      <c r="B19090" s="9" t="str">
        <f>HYPERLINK("http://www.ncbi.nlm.nih.gov/gene/181954", "181954")</f>
        <v>181954</v>
      </c>
      <c r="C19090" s="9"/>
      <c r="D19090" t="str">
        <f>"fbxa-139"</f>
        <v>fbxa-139</v>
      </c>
      <c r="E19090" t="s">
        <v>467</v>
      </c>
      <c r="F19090" t="s">
        <v>11</v>
      </c>
      <c r="H19090" s="12">
        <v>-1.48953360258655</v>
      </c>
      <c r="I19090" s="20">
        <v>-0.22987032451502801</v>
      </c>
      <c r="J19090" s="28">
        <v>0.81819253648385404</v>
      </c>
      <c r="K19090" s="29">
        <v>0.98712231796055705</v>
      </c>
    </row>
    <row r="19091" spans="1:11" x14ac:dyDescent="0.35">
      <c r="A19091" s="9" t="str">
        <f>HYPERLINK("http://www.ensembl.org/id/WBGene00010099", "WBGene00010099")</f>
        <v>WBGene00010099</v>
      </c>
      <c r="B19091" s="9" t="str">
        <f>HYPERLINK("http://www.ncbi.nlm.nih.gov/gene/186289", "186289")</f>
        <v>186289</v>
      </c>
      <c r="C19091" s="9"/>
      <c r="D19091" t="str">
        <f>"fbxb-117"</f>
        <v>fbxb-117</v>
      </c>
      <c r="E19091" t="s">
        <v>1436</v>
      </c>
      <c r="F19091" t="s">
        <v>11</v>
      </c>
      <c r="H19091" s="12">
        <v>-1.22749239202147</v>
      </c>
      <c r="I19091" s="20">
        <v>-0.229780434395257</v>
      </c>
      <c r="J19091" s="28">
        <v>0.81826238905031601</v>
      </c>
      <c r="K19091" s="29">
        <v>0.98712231796055705</v>
      </c>
    </row>
    <row r="19092" spans="1:11" x14ac:dyDescent="0.35">
      <c r="A19092" s="9" t="str">
        <f>HYPERLINK("http://www.ensembl.org/id/WBGene00014149", "WBGene00014149")</f>
        <v>WBGene00014149</v>
      </c>
      <c r="B19092" s="9" t="str">
        <f>HYPERLINK("http://www.ncbi.nlm.nih.gov/gene/191462", "191462")</f>
        <v>191462</v>
      </c>
      <c r="C19092" s="9"/>
      <c r="D19092" t="str">
        <f>"fbxb-70"</f>
        <v>fbxb-70</v>
      </c>
      <c r="E19092" t="s">
        <v>1436</v>
      </c>
      <c r="F19092" t="s">
        <v>11</v>
      </c>
      <c r="H19092" s="12">
        <v>1.10649243555342</v>
      </c>
      <c r="I19092" s="20">
        <v>0.22922219692134199</v>
      </c>
      <c r="J19092" s="28">
        <v>0.81869622117962704</v>
      </c>
      <c r="K19092" s="29">
        <v>0.98712231796055705</v>
      </c>
    </row>
    <row r="19093" spans="1:11" x14ac:dyDescent="0.35">
      <c r="A19093" s="9" t="str">
        <f>HYPERLINK("http://www.ensembl.org/id/WBGene00012098", "WBGene00012098")</f>
        <v>WBGene00012098</v>
      </c>
      <c r="B19093" s="9"/>
      <c r="C19093" s="9"/>
      <c r="D19093" t="str">
        <f>"fbxb-86"</f>
        <v>fbxb-86</v>
      </c>
      <c r="F19093" t="s">
        <v>80</v>
      </c>
      <c r="H19093" s="12">
        <v>-1.23606501176257</v>
      </c>
      <c r="I19093" s="20">
        <v>-0.234031118993071</v>
      </c>
      <c r="J19093" s="28">
        <v>0.814960819944196</v>
      </c>
      <c r="K19093" s="29">
        <v>0.98712231796055705</v>
      </c>
    </row>
    <row r="19094" spans="1:11" x14ac:dyDescent="0.35">
      <c r="A19094" s="9" t="str">
        <f>HYPERLINK("http://www.ensembl.org/id/WBGene00001506", "WBGene00001506")</f>
        <v>WBGene00001506</v>
      </c>
      <c r="B19094" s="9" t="str">
        <f>HYPERLINK("http://www.ncbi.nlm.nih.gov/gene/184050", "184050")</f>
        <v>184050</v>
      </c>
      <c r="C19094" s="9"/>
      <c r="D19094" t="str">
        <f>"fut-2"</f>
        <v>fut-2</v>
      </c>
      <c r="E19094" t="s">
        <v>10260</v>
      </c>
      <c r="F19094" t="s">
        <v>11</v>
      </c>
      <c r="G19094" t="s">
        <v>10261</v>
      </c>
      <c r="H19094" s="12">
        <v>-1.1653985233428099</v>
      </c>
      <c r="I19094" s="20">
        <v>-0.234204842258113</v>
      </c>
      <c r="J19094" s="28">
        <v>0.81482595597510299</v>
      </c>
      <c r="K19094" s="29">
        <v>0.98712231796055705</v>
      </c>
    </row>
    <row r="19095" spans="1:11" x14ac:dyDescent="0.35">
      <c r="A19095" s="9" t="str">
        <f>HYPERLINK("http://www.ensembl.org/id/WBGene00010373", "WBGene00010373")</f>
        <v>WBGene00010373</v>
      </c>
      <c r="B19095" s="9" t="str">
        <f>HYPERLINK("http://www.ncbi.nlm.nih.gov/gene/186708", "186708")</f>
        <v>186708</v>
      </c>
      <c r="C19095" s="9"/>
      <c r="D19095" t="str">
        <f>"H08M01.1"</f>
        <v>H08M01.1</v>
      </c>
      <c r="F19095" t="s">
        <v>11</v>
      </c>
      <c r="G19095" t="s">
        <v>51</v>
      </c>
      <c r="H19095" s="12">
        <v>1.27520375052507</v>
      </c>
      <c r="I19095" s="20">
        <v>0.23302826199730101</v>
      </c>
      <c r="J19095" s="28">
        <v>0.81573945989961305</v>
      </c>
      <c r="K19095" s="29">
        <v>0.98712231796055705</v>
      </c>
    </row>
    <row r="19096" spans="1:11" x14ac:dyDescent="0.35">
      <c r="A19096" s="9" t="str">
        <f>HYPERLINK("http://www.ensembl.org/id/WBGene00001915", "WBGene00001915")</f>
        <v>WBGene00001915</v>
      </c>
      <c r="B19096" s="9" t="str">
        <f>HYPERLINK("http://www.ncbi.nlm.nih.gov/gene/179340", "179340")</f>
        <v>179340</v>
      </c>
      <c r="C19096" s="9" t="str">
        <f>HYPERLINK("http://www.ncbi.nlm.nih.gov/gene/8970", "8970")</f>
        <v>8970</v>
      </c>
      <c r="D19096" t="str">
        <f>"his-41"</f>
        <v>his-41</v>
      </c>
      <c r="E19096" t="s">
        <v>10237</v>
      </c>
      <c r="F19096" t="s">
        <v>11</v>
      </c>
      <c r="G19096" t="s">
        <v>232</v>
      </c>
      <c r="H19096" s="12">
        <v>-1.0440784859213801</v>
      </c>
      <c r="I19096" s="20">
        <v>-0.23159611244664</v>
      </c>
      <c r="J19096" s="28">
        <v>0.81685172724811395</v>
      </c>
      <c r="K19096" s="29">
        <v>0.98712231796055705</v>
      </c>
    </row>
    <row r="19097" spans="1:11" x14ac:dyDescent="0.35">
      <c r="A19097" s="9" t="str">
        <f>HYPERLINK("http://www.ensembl.org/id/WBGene00022616", "WBGene00022616")</f>
        <v>WBGene00022616</v>
      </c>
      <c r="B19097" s="9" t="str">
        <f>HYPERLINK("http://www.ncbi.nlm.nih.gov/gene/260026", "260026")</f>
        <v>260026</v>
      </c>
      <c r="C19097" s="9"/>
      <c r="D19097" t="str">
        <f>"hsd-3"</f>
        <v>hsd-3</v>
      </c>
      <c r="E19097" t="s">
        <v>3496</v>
      </c>
      <c r="F19097" t="s">
        <v>11</v>
      </c>
      <c r="G19097" t="s">
        <v>385</v>
      </c>
      <c r="H19097" s="12">
        <v>-2.0934832239599501</v>
      </c>
      <c r="I19097" s="20">
        <v>-0.22949030257074601</v>
      </c>
      <c r="J19097" s="28">
        <v>0.81848785695737403</v>
      </c>
      <c r="K19097" s="29">
        <v>0.98712231796055705</v>
      </c>
    </row>
    <row r="19098" spans="1:11" x14ac:dyDescent="0.35">
      <c r="A19098" s="9" t="str">
        <f>HYPERLINK("http://www.ensembl.org/id/WBGene00018356", "WBGene00018356")</f>
        <v>WBGene00018356</v>
      </c>
      <c r="B19098" s="9" t="str">
        <f>HYPERLINK("http://www.ncbi.nlm.nih.gov/gene/185675", "185675")</f>
        <v>185675</v>
      </c>
      <c r="C19098" s="9"/>
      <c r="D19098" t="str">
        <f>"islo-1"</f>
        <v>islo-1</v>
      </c>
      <c r="E19098" t="s">
        <v>10228</v>
      </c>
      <c r="F19098" t="s">
        <v>11</v>
      </c>
      <c r="G19098" t="s">
        <v>25</v>
      </c>
      <c r="H19098" s="12">
        <v>1.06039075628178</v>
      </c>
      <c r="I19098" s="20">
        <v>0.23521694330040599</v>
      </c>
      <c r="J19098" s="28">
        <v>0.81404035602426805</v>
      </c>
      <c r="K19098" s="29">
        <v>0.98712231796055705</v>
      </c>
    </row>
    <row r="19099" spans="1:11" x14ac:dyDescent="0.35">
      <c r="A19099" s="9" t="str">
        <f>HYPERLINK("http://www.ensembl.org/id/WBGene00010509", "WBGene00010509")</f>
        <v>WBGene00010509</v>
      </c>
      <c r="B19099" s="9" t="str">
        <f>HYPERLINK("http://www.ncbi.nlm.nih.gov/gene/186883", "186883")</f>
        <v>186883</v>
      </c>
      <c r="C19099" s="9"/>
      <c r="D19099" t="str">
        <f>"K02E2.8"</f>
        <v>K02E2.8</v>
      </c>
      <c r="F19099" t="s">
        <v>11</v>
      </c>
      <c r="H19099" s="12">
        <v>-2.0934832239599501</v>
      </c>
      <c r="I19099" s="20">
        <v>-0.22949030257074601</v>
      </c>
      <c r="J19099" s="28">
        <v>0.81848785695737403</v>
      </c>
      <c r="K19099" s="29">
        <v>0.98712231796055705</v>
      </c>
    </row>
    <row r="19100" spans="1:11" x14ac:dyDescent="0.35">
      <c r="A19100" s="9" t="str">
        <f>HYPERLINK("http://www.ensembl.org/id/WBGene00019477", "WBGene00019477")</f>
        <v>WBGene00019477</v>
      </c>
      <c r="B19100" s="9" t="str">
        <f>HYPERLINK("http://www.ncbi.nlm.nih.gov/gene/179198", "179198")</f>
        <v>179198</v>
      </c>
      <c r="C19100" s="9"/>
      <c r="D19100" t="str">
        <f>"K07C11.4"</f>
        <v>K07C11.4</v>
      </c>
      <c r="E19100" t="s">
        <v>383</v>
      </c>
      <c r="F19100" t="s">
        <v>11</v>
      </c>
      <c r="G19100" t="s">
        <v>1888</v>
      </c>
      <c r="H19100" s="12">
        <v>1.05134152686823</v>
      </c>
      <c r="I19100" s="20">
        <v>0.229824318543496</v>
      </c>
      <c r="J19100" s="28">
        <v>0.81822828700890005</v>
      </c>
      <c r="K19100" s="29">
        <v>0.98712231796055705</v>
      </c>
    </row>
    <row r="19101" spans="1:11" x14ac:dyDescent="0.35">
      <c r="A19101" s="9" t="str">
        <f>HYPERLINK("http://www.ensembl.org/id/WBGene00197401", "WBGene00197401")</f>
        <v>WBGene00197401</v>
      </c>
      <c r="B19101" s="9"/>
      <c r="C19101" s="9"/>
      <c r="D19101" t="str">
        <f>"K08E3.13"</f>
        <v>K08E3.13</v>
      </c>
      <c r="F19101" t="s">
        <v>481</v>
      </c>
      <c r="H19101" s="12">
        <v>-1.7811390491124901</v>
      </c>
      <c r="I19101" s="20">
        <v>-0.23269444465044301</v>
      </c>
      <c r="J19101" s="28">
        <v>0.81599868334563597</v>
      </c>
      <c r="K19101" s="29">
        <v>0.98712231796055705</v>
      </c>
    </row>
    <row r="19102" spans="1:11" x14ac:dyDescent="0.35">
      <c r="A19102" s="9" t="str">
        <f>HYPERLINK("http://www.ensembl.org/id/WBGene00019639", "WBGene00019639")</f>
        <v>WBGene00019639</v>
      </c>
      <c r="B19102" s="9" t="str">
        <f>HYPERLINK("http://www.ncbi.nlm.nih.gov/gene/3564780", "3564780")</f>
        <v>3564780</v>
      </c>
      <c r="C19102" s="9"/>
      <c r="D19102" t="str">
        <f>"K10F12.7"</f>
        <v>K10F12.7</v>
      </c>
      <c r="F19102" t="s">
        <v>11</v>
      </c>
      <c r="H19102" s="12">
        <v>1.41843274366014</v>
      </c>
      <c r="I19102" s="20">
        <v>0.23474737443974</v>
      </c>
      <c r="J19102" s="28">
        <v>0.81440481547069099</v>
      </c>
      <c r="K19102" s="29">
        <v>0.98712231796055705</v>
      </c>
    </row>
    <row r="19103" spans="1:11" x14ac:dyDescent="0.35">
      <c r="A19103" s="9" t="str">
        <f>HYPERLINK("http://www.ensembl.org/id/WBGene00195164", "WBGene00195164")</f>
        <v>WBGene00195164</v>
      </c>
      <c r="B19103" s="9" t="str">
        <f>HYPERLINK("http://www.ncbi.nlm.nih.gov/gene/13213180", "13213180")</f>
        <v>13213180</v>
      </c>
      <c r="C19103" s="9"/>
      <c r="D19103" t="str">
        <f>"K12B6.11"</f>
        <v>K12B6.11</v>
      </c>
      <c r="F19103" t="s">
        <v>11</v>
      </c>
      <c r="H19103" s="12">
        <v>-2.0800173468627698</v>
      </c>
      <c r="I19103" s="20">
        <v>-0.229782027516793</v>
      </c>
      <c r="J19103" s="28">
        <v>0.81826115104154196</v>
      </c>
      <c r="K19103" s="29">
        <v>0.98712231796055705</v>
      </c>
    </row>
    <row r="19104" spans="1:11" x14ac:dyDescent="0.35">
      <c r="A19104" s="9" t="str">
        <f>HYPERLINK("http://www.ensembl.org/id/WBGene00002268", "WBGene00002268")</f>
        <v>WBGene00002268</v>
      </c>
      <c r="B19104" s="9" t="str">
        <f>HYPERLINK("http://www.ncbi.nlm.nih.gov/gene/173992", "173992")</f>
        <v>173992</v>
      </c>
      <c r="C19104" s="9"/>
      <c r="D19104" t="str">
        <f>"lec-5"</f>
        <v>lec-5</v>
      </c>
      <c r="E19104" t="s">
        <v>2043</v>
      </c>
      <c r="F19104" t="s">
        <v>11</v>
      </c>
      <c r="G19104" t="s">
        <v>2044</v>
      </c>
      <c r="H19104" s="12">
        <v>1.0429050796324399</v>
      </c>
      <c r="I19104" s="20">
        <v>0.23152766723990401</v>
      </c>
      <c r="J19104" s="28">
        <v>0.81690489391917798</v>
      </c>
      <c r="K19104" s="29">
        <v>0.98712231796055705</v>
      </c>
    </row>
    <row r="19105" spans="1:11" x14ac:dyDescent="0.35">
      <c r="A19105" s="9" t="str">
        <f>HYPERLINK("http://www.ensembl.org/id/WBGene00013914", "WBGene00013914")</f>
        <v>WBGene00013914</v>
      </c>
      <c r="B19105" s="9" t="str">
        <f>HYPERLINK("http://www.ncbi.nlm.nih.gov/gene/176694", "176694")</f>
        <v>176694</v>
      </c>
      <c r="C19105" s="9" t="str">
        <f>HYPERLINK("http://www.ncbi.nlm.nih.gov/gene/2559", "2559")</f>
        <v>2559</v>
      </c>
      <c r="D19105" t="str">
        <f>"lgc-37"</f>
        <v>lgc-37</v>
      </c>
      <c r="E19105" t="s">
        <v>505</v>
      </c>
      <c r="F19105" t="s">
        <v>11</v>
      </c>
      <c r="G19105" t="s">
        <v>506</v>
      </c>
      <c r="H19105" s="12">
        <v>1.0964237209391501</v>
      </c>
      <c r="I19105" s="20">
        <v>0.23375685136874</v>
      </c>
      <c r="J19105" s="28">
        <v>0.81517374916356899</v>
      </c>
      <c r="K19105" s="29">
        <v>0.98712231796055705</v>
      </c>
    </row>
    <row r="19106" spans="1:11" x14ac:dyDescent="0.35">
      <c r="A19106" s="9" t="str">
        <f>HYPERLINK("http://www.ensembl.org/id/WBGene00219735", "WBGene00219735")</f>
        <v>WBGene00219735</v>
      </c>
      <c r="B19106" s="9"/>
      <c r="C19106" s="9"/>
      <c r="D19106" t="str">
        <f>"linc-150"</f>
        <v>linc-150</v>
      </c>
      <c r="F19106" t="s">
        <v>1510</v>
      </c>
      <c r="H19106" s="12">
        <v>1.5820431967612201</v>
      </c>
      <c r="I19106" s="20">
        <v>0.234796106149013</v>
      </c>
      <c r="J19106" s="28">
        <v>0.81436699011380298</v>
      </c>
      <c r="K19106" s="29">
        <v>0.98712231796055705</v>
      </c>
    </row>
    <row r="19107" spans="1:11" x14ac:dyDescent="0.35">
      <c r="A19107" s="9" t="str">
        <f>HYPERLINK("http://www.ensembl.org/id/WBGene00271655", "WBGene00271655")</f>
        <v>WBGene00271655</v>
      </c>
      <c r="B19107" s="9"/>
      <c r="C19107" s="9"/>
      <c r="D19107" t="str">
        <f>"M110.13"</f>
        <v>M110.13</v>
      </c>
      <c r="F19107" t="s">
        <v>481</v>
      </c>
      <c r="H19107" s="12">
        <v>-1.3738843705163799</v>
      </c>
      <c r="I19107" s="20">
        <v>-0.23012742277087</v>
      </c>
      <c r="J19107" s="28">
        <v>0.81799275638935998</v>
      </c>
      <c r="K19107" s="29">
        <v>0.98712231796055705</v>
      </c>
    </row>
    <row r="19108" spans="1:11" x14ac:dyDescent="0.35">
      <c r="A19108" s="9" t="str">
        <f>HYPERLINK("http://www.ensembl.org/id/WBGene00019781", "WBGene00019781")</f>
        <v>WBGene00019781</v>
      </c>
      <c r="B19108" s="9" t="str">
        <f>HYPERLINK("http://www.ncbi.nlm.nih.gov/gene/181080", "181080")</f>
        <v>181080</v>
      </c>
      <c r="C19108" s="9"/>
      <c r="D19108" t="str">
        <f>"M60.6"</f>
        <v>M60.6</v>
      </c>
      <c r="F19108" t="s">
        <v>11</v>
      </c>
      <c r="G19108" t="s">
        <v>25</v>
      </c>
      <c r="H19108" s="12">
        <v>1.0475765025741399</v>
      </c>
      <c r="I19108" s="20">
        <v>0.229143995943102</v>
      </c>
      <c r="J19108" s="28">
        <v>0.81875699920860701</v>
      </c>
      <c r="K19108" s="29">
        <v>0.98712231796055705</v>
      </c>
    </row>
    <row r="19109" spans="1:11" x14ac:dyDescent="0.35">
      <c r="A19109" s="9" t="str">
        <f>HYPERLINK("http://www.ensembl.org/id/WBGene00019347", "WBGene00019347")</f>
        <v>WBGene00019347</v>
      </c>
      <c r="B19109" s="9" t="str">
        <f>HYPERLINK("http://www.ncbi.nlm.nih.gov/gene/186912", "186912")</f>
        <v>186912</v>
      </c>
      <c r="C19109" s="9"/>
      <c r="D19109" t="str">
        <f>"mbl-1"</f>
        <v>mbl-1</v>
      </c>
      <c r="E19109" t="s">
        <v>10244</v>
      </c>
      <c r="F19109" t="s">
        <v>11</v>
      </c>
      <c r="G19109" t="s">
        <v>51</v>
      </c>
      <c r="H19109" s="12">
        <v>-1.04638004137746</v>
      </c>
      <c r="I19109" s="20">
        <v>-0.234960973514976</v>
      </c>
      <c r="J19109" s="28">
        <v>0.81423902393638903</v>
      </c>
      <c r="K19109" s="29">
        <v>0.98712231796055705</v>
      </c>
    </row>
    <row r="19110" spans="1:11" x14ac:dyDescent="0.35">
      <c r="A19110" s="9" t="str">
        <f>HYPERLINK("http://www.ensembl.org/id/WBGene00016341", "WBGene00016341")</f>
        <v>WBGene00016341</v>
      </c>
      <c r="B19110" s="9" t="str">
        <f>HYPERLINK("http://www.ncbi.nlm.nih.gov/gene/173575", "173575")</f>
        <v>173575</v>
      </c>
      <c r="C19110" s="9" t="str">
        <f>HYPERLINK("http://www.ncbi.nlm.nih.gov/gene/29104", "29104")</f>
        <v>29104</v>
      </c>
      <c r="D19110" t="str">
        <f>"mtq-2"</f>
        <v>mtq-2</v>
      </c>
      <c r="E19110" t="s">
        <v>10226</v>
      </c>
      <c r="F19110" t="s">
        <v>11</v>
      </c>
      <c r="G19110" t="s">
        <v>10227</v>
      </c>
      <c r="H19110" s="12">
        <v>1.06478464253672</v>
      </c>
      <c r="I19110" s="20">
        <v>0.23132851056009701</v>
      </c>
      <c r="J19110" s="28">
        <v>0.81705959906438397</v>
      </c>
      <c r="K19110" s="29">
        <v>0.98712231796055705</v>
      </c>
    </row>
    <row r="19111" spans="1:11" x14ac:dyDescent="0.35">
      <c r="A19111" s="9" t="str">
        <f>HYPERLINK("http://www.ensembl.org/id/WBGene00003627", "WBGene00003627")</f>
        <v>WBGene00003627</v>
      </c>
      <c r="B19111" s="9" t="str">
        <f>HYPERLINK("http://www.ncbi.nlm.nih.gov/gene/177800", "177800")</f>
        <v>177800</v>
      </c>
      <c r="C19111" s="9"/>
      <c r="D19111" t="str">
        <f>"nhr-34"</f>
        <v>nhr-34</v>
      </c>
      <c r="E19111" t="s">
        <v>10235</v>
      </c>
      <c r="F19111" t="s">
        <v>11</v>
      </c>
      <c r="G19111" t="s">
        <v>852</v>
      </c>
      <c r="H19111" s="12">
        <v>1.0464651396006599</v>
      </c>
      <c r="I19111" s="20">
        <v>0.23084810150370899</v>
      </c>
      <c r="J19111" s="28">
        <v>0.81743281071157103</v>
      </c>
      <c r="K19111" s="29">
        <v>0.98712231796055705</v>
      </c>
    </row>
    <row r="19112" spans="1:11" x14ac:dyDescent="0.35">
      <c r="A19112" s="9" t="str">
        <f>HYPERLINK("http://www.ensembl.org/id/WBGene00003648", "WBGene00003648")</f>
        <v>WBGene00003648</v>
      </c>
      <c r="B19112" s="9" t="str">
        <f>HYPERLINK("http://www.ncbi.nlm.nih.gov/gene/178573", "178573")</f>
        <v>178573</v>
      </c>
      <c r="C19112" s="9"/>
      <c r="D19112" t="str">
        <f>"nhr-58"</f>
        <v>nhr-58</v>
      </c>
      <c r="E19112" t="s">
        <v>637</v>
      </c>
      <c r="F19112" t="s">
        <v>11</v>
      </c>
      <c r="G19112" t="s">
        <v>1073</v>
      </c>
      <c r="H19112" s="12">
        <v>-1.0618592840662999</v>
      </c>
      <c r="I19112" s="20">
        <v>-0.235039295634596</v>
      </c>
      <c r="J19112" s="28">
        <v>0.814178233883187</v>
      </c>
      <c r="K19112" s="29">
        <v>0.98712231796055705</v>
      </c>
    </row>
    <row r="19113" spans="1:11" x14ac:dyDescent="0.35">
      <c r="A19113" s="9" t="str">
        <f>HYPERLINK("http://www.ensembl.org/id/WBGene00017437", "WBGene00017437")</f>
        <v>WBGene00017437</v>
      </c>
      <c r="B19113" s="9" t="str">
        <f>HYPERLINK("http://www.ncbi.nlm.nih.gov/gene/184437", "184437")</f>
        <v>184437</v>
      </c>
      <c r="C19113" s="9"/>
      <c r="D19113" t="str">
        <f>"nmgp-1"</f>
        <v>nmgp-1</v>
      </c>
      <c r="E19113" t="s">
        <v>10252</v>
      </c>
      <c r="F19113" t="s">
        <v>11</v>
      </c>
      <c r="G19113" t="s">
        <v>10253</v>
      </c>
      <c r="H19113" s="12">
        <v>-1.0548776115027301</v>
      </c>
      <c r="I19113" s="20">
        <v>-0.231367540450199</v>
      </c>
      <c r="J19113" s="28">
        <v>0.81702928003771602</v>
      </c>
      <c r="K19113" s="29">
        <v>0.98712231796055705</v>
      </c>
    </row>
    <row r="19114" spans="1:11" x14ac:dyDescent="0.35">
      <c r="A19114" s="9" t="str">
        <f>HYPERLINK("http://www.ensembl.org/id/WBGene00016058", "WBGene00016058")</f>
        <v>WBGene00016058</v>
      </c>
      <c r="B19114" s="9" t="str">
        <f>HYPERLINK("http://www.ncbi.nlm.nih.gov/gene/259569", "259569")</f>
        <v>259569</v>
      </c>
      <c r="C19114" s="9"/>
      <c r="D19114" t="str">
        <f>"nspd-3"</f>
        <v>nspd-3</v>
      </c>
      <c r="E19114" t="s">
        <v>5563</v>
      </c>
      <c r="F19114" t="s">
        <v>11</v>
      </c>
      <c r="H19114" s="12">
        <v>1.3101436924240799</v>
      </c>
      <c r="I19114" s="20">
        <v>0.23403079675341601</v>
      </c>
      <c r="J19114" s="28">
        <v>0.81496107010875596</v>
      </c>
      <c r="K19114" s="29">
        <v>0.98712231796055705</v>
      </c>
    </row>
    <row r="19115" spans="1:11" x14ac:dyDescent="0.35">
      <c r="A19115" s="9" t="str">
        <f>HYPERLINK("http://www.ensembl.org/id/WBGene00017386", "WBGene00017386")</f>
        <v>WBGene00017386</v>
      </c>
      <c r="B19115" s="9" t="str">
        <f>HYPERLINK("http://www.ncbi.nlm.nih.gov/gene/173837", "173837")</f>
        <v>173837</v>
      </c>
      <c r="C19115" s="9"/>
      <c r="D19115" t="str">
        <f>"nspd-5"</f>
        <v>nspd-5</v>
      </c>
      <c r="E19115" t="s">
        <v>5563</v>
      </c>
      <c r="F19115" t="s">
        <v>11</v>
      </c>
      <c r="H19115" s="12">
        <v>-1.14069125084145</v>
      </c>
      <c r="I19115" s="20">
        <v>-0.23107524615362801</v>
      </c>
      <c r="J19115" s="28">
        <v>0.81725634545033898</v>
      </c>
      <c r="K19115" s="29">
        <v>0.98712231796055705</v>
      </c>
    </row>
    <row r="19116" spans="1:11" x14ac:dyDescent="0.35">
      <c r="A19116" s="9" t="str">
        <f>HYPERLINK("http://www.ensembl.org/id/WBGene00012166", "WBGene00012166")</f>
        <v>WBGene00012166</v>
      </c>
      <c r="B19116" s="9" t="str">
        <f>HYPERLINK("http://www.ncbi.nlm.nih.gov/gene/172438", "172438")</f>
        <v>172438</v>
      </c>
      <c r="C19116" s="9"/>
      <c r="D19116" t="str">
        <f>"nuo-6"</f>
        <v>nuo-6</v>
      </c>
      <c r="E19116" t="s">
        <v>6942</v>
      </c>
      <c r="F19116" t="s">
        <v>11</v>
      </c>
      <c r="G19116" t="s">
        <v>10241</v>
      </c>
      <c r="H19116" s="12">
        <v>-1.0459492800282699</v>
      </c>
      <c r="I19116" s="20">
        <v>-0.23144895282627601</v>
      </c>
      <c r="J19116" s="28">
        <v>0.81696603851689198</v>
      </c>
      <c r="K19116" s="29">
        <v>0.98712231796055705</v>
      </c>
    </row>
    <row r="19117" spans="1:11" x14ac:dyDescent="0.35">
      <c r="A19117" s="9" t="str">
        <f>HYPERLINK("http://www.ensembl.org/id/WBGene00013450", "WBGene00013450")</f>
        <v>WBGene00013450</v>
      </c>
      <c r="B19117" s="9" t="str">
        <f>HYPERLINK("http://www.ncbi.nlm.nih.gov/gene/190505", "190505")</f>
        <v>190505</v>
      </c>
      <c r="C19117" s="9"/>
      <c r="D19117" t="str">
        <f>"oac-56"</f>
        <v>oac-56</v>
      </c>
      <c r="E19117" t="s">
        <v>883</v>
      </c>
      <c r="F19117" t="s">
        <v>11</v>
      </c>
      <c r="G19117" t="s">
        <v>1992</v>
      </c>
      <c r="H19117" s="12">
        <v>1.44541937947267</v>
      </c>
      <c r="I19117" s="20">
        <v>0.23419449173022699</v>
      </c>
      <c r="J19117" s="28">
        <v>0.81483399109103305</v>
      </c>
      <c r="K19117" s="29">
        <v>0.98712231796055705</v>
      </c>
    </row>
    <row r="19118" spans="1:11" x14ac:dyDescent="0.35">
      <c r="A19118" s="9" t="str">
        <f>HYPERLINK("http://www.ensembl.org/id/WBGene00015287", "WBGene00015287")</f>
        <v>WBGene00015287</v>
      </c>
      <c r="B19118" s="9" t="str">
        <f>HYPERLINK("http://www.ncbi.nlm.nih.gov/gene/182062", "182062")</f>
        <v>182062</v>
      </c>
      <c r="C19118" s="9"/>
      <c r="D19118" t="str">
        <f>"osta-1"</f>
        <v>osta-1</v>
      </c>
      <c r="E19118" t="s">
        <v>10259</v>
      </c>
      <c r="F19118" t="s">
        <v>11</v>
      </c>
      <c r="H19118" s="12">
        <v>-1.1031829343327799</v>
      </c>
      <c r="I19118" s="20">
        <v>-0.229691951100088</v>
      </c>
      <c r="J19118" s="28">
        <v>0.818331149798873</v>
      </c>
      <c r="K19118" s="29">
        <v>0.98712231796055705</v>
      </c>
    </row>
    <row r="19119" spans="1:11" x14ac:dyDescent="0.35">
      <c r="A19119" s="9" t="str">
        <f>HYPERLINK("http://www.ensembl.org/id/WBGene00007042", "WBGene00007042")</f>
        <v>WBGene00007042</v>
      </c>
      <c r="B19119" s="9" t="str">
        <f>HYPERLINK("http://www.ncbi.nlm.nih.gov/gene/172504", "172504")</f>
        <v>172504</v>
      </c>
      <c r="C19119" s="9" t="str">
        <f>HYPERLINK("http://www.ncbi.nlm.nih.gov/gene/55193", "55193")</f>
        <v>55193</v>
      </c>
      <c r="D19119" t="str">
        <f>"pbrm-1"</f>
        <v>pbrm-1</v>
      </c>
      <c r="E19119" t="s">
        <v>10233</v>
      </c>
      <c r="F19119" t="s">
        <v>11</v>
      </c>
      <c r="G19119" t="s">
        <v>10234</v>
      </c>
      <c r="H19119" s="12">
        <v>1.0467334921048499</v>
      </c>
      <c r="I19119" s="20">
        <v>0.23419802831094499</v>
      </c>
      <c r="J19119" s="28">
        <v>0.81483124564084397</v>
      </c>
      <c r="K19119" s="29">
        <v>0.98712231796055705</v>
      </c>
    </row>
    <row r="19120" spans="1:11" x14ac:dyDescent="0.35">
      <c r="A19120" s="9" t="str">
        <f>HYPERLINK("http://www.ensembl.org/id/WBGene00006862", "WBGene00006862")</f>
        <v>WBGene00006862</v>
      </c>
      <c r="B19120" s="9" t="str">
        <f>HYPERLINK("http://www.ncbi.nlm.nih.gov/gene/180779", "180779")</f>
        <v>180779</v>
      </c>
      <c r="C19120" s="9" t="str">
        <f>HYPERLINK("http://www.ncbi.nlm.nih.gov/gene/55229", "55229")</f>
        <v>55229</v>
      </c>
      <c r="D19120" t="str">
        <f>"pnk-4"</f>
        <v>pnk-4</v>
      </c>
      <c r="E19120" t="s">
        <v>10248</v>
      </c>
      <c r="F19120" t="s">
        <v>11</v>
      </c>
      <c r="G19120" t="s">
        <v>10249</v>
      </c>
      <c r="H19120" s="12">
        <v>-1.04978590524952</v>
      </c>
      <c r="I19120" s="20">
        <v>-0.23096051389067701</v>
      </c>
      <c r="J19120" s="28">
        <v>0.817345478062244</v>
      </c>
      <c r="K19120" s="29">
        <v>0.98712231796055705</v>
      </c>
    </row>
    <row r="19121" spans="1:11" x14ac:dyDescent="0.35">
      <c r="A19121" s="9" t="str">
        <f>HYPERLINK("http://www.ensembl.org/id/WBGene00012676", "WBGene00012676")</f>
        <v>WBGene00012676</v>
      </c>
      <c r="B19121" s="9" t="str">
        <f>HYPERLINK("http://www.ncbi.nlm.nih.gov/gene/180256", "180256")</f>
        <v>180256</v>
      </c>
      <c r="C19121" s="9" t="str">
        <f>HYPERLINK("http://www.ncbi.nlm.nih.gov/gene/55153", "55153")</f>
        <v>55153</v>
      </c>
      <c r="D19121" t="str">
        <f>"pro-3"</f>
        <v>pro-3</v>
      </c>
      <c r="F19121" t="s">
        <v>11</v>
      </c>
      <c r="G19121" t="s">
        <v>10229</v>
      </c>
      <c r="H19121" s="12">
        <v>1.0557635311162601</v>
      </c>
      <c r="I19121" s="20">
        <v>0.23375185504787699</v>
      </c>
      <c r="J19121" s="28">
        <v>0.81517762821215101</v>
      </c>
      <c r="K19121" s="29">
        <v>0.98712231796055705</v>
      </c>
    </row>
    <row r="19122" spans="1:11" x14ac:dyDescent="0.35">
      <c r="A19122" s="9" t="str">
        <f>HYPERLINK("http://www.ensembl.org/id/WBGene00019878", "WBGene00019878")</f>
        <v>WBGene00019878</v>
      </c>
      <c r="B19122" s="9" t="str">
        <f>HYPERLINK("http://www.ncbi.nlm.nih.gov/gene/187601", "187601")</f>
        <v>187601</v>
      </c>
      <c r="C19122" s="9"/>
      <c r="D19122" t="str">
        <f>"R05D3.3"</f>
        <v>R05D3.3</v>
      </c>
      <c r="E19122" t="s">
        <v>10257</v>
      </c>
      <c r="F19122" t="s">
        <v>11</v>
      </c>
      <c r="G19122" t="s">
        <v>4657</v>
      </c>
      <c r="H19122" s="12">
        <v>-1.09071653419647</v>
      </c>
      <c r="I19122" s="20">
        <v>-0.22944931886159001</v>
      </c>
      <c r="J19122" s="28">
        <v>0.818519707521708</v>
      </c>
      <c r="K19122" s="29">
        <v>0.98712231796055705</v>
      </c>
    </row>
    <row r="19123" spans="1:11" x14ac:dyDescent="0.35">
      <c r="A19123" s="9" t="str">
        <f>HYPERLINK("http://www.ensembl.org/id/WBGene00020346", "WBGene00020346")</f>
        <v>WBGene00020346</v>
      </c>
      <c r="B19123" s="9" t="str">
        <f>HYPERLINK("http://www.ncbi.nlm.nih.gov/gene/172312", "172312")</f>
        <v>172312</v>
      </c>
      <c r="C19123" s="9" t="str">
        <f>HYPERLINK("http://www.ncbi.nlm.nih.gov/gene/10181", "10181")</f>
        <v>10181</v>
      </c>
      <c r="D19123" t="str">
        <f>"rbm-5"</f>
        <v>rbm-5</v>
      </c>
      <c r="E19123" t="s">
        <v>2341</v>
      </c>
      <c r="F19123" t="s">
        <v>11</v>
      </c>
      <c r="G19123" t="s">
        <v>10240</v>
      </c>
      <c r="H19123" s="12">
        <v>-1.0455966059730599</v>
      </c>
      <c r="I19123" s="20">
        <v>-0.23471829575772399</v>
      </c>
      <c r="J19123" s="28">
        <v>0.81442738643294899</v>
      </c>
      <c r="K19123" s="29">
        <v>0.98712231796055705</v>
      </c>
    </row>
    <row r="19124" spans="1:11" x14ac:dyDescent="0.35">
      <c r="A19124" s="9" t="str">
        <f>HYPERLINK("http://www.ensembl.org/id/WBGene00044637", "WBGene00044637")</f>
        <v>WBGene00044637</v>
      </c>
      <c r="B19124" s="9" t="str">
        <f>HYPERLINK("http://www.ncbi.nlm.nih.gov/gene/3896860", "3896860")</f>
        <v>3896860</v>
      </c>
      <c r="C19124" s="9" t="str">
        <f>HYPERLINK("http://www.ncbi.nlm.nih.gov/gene/113278", "113278")</f>
        <v>113278</v>
      </c>
      <c r="D19124" t="str">
        <f>"rft-1"</f>
        <v>rft-1</v>
      </c>
      <c r="E19124" t="s">
        <v>10224</v>
      </c>
      <c r="F19124" t="s">
        <v>11</v>
      </c>
      <c r="G19124" t="s">
        <v>10225</v>
      </c>
      <c r="H19124" s="12">
        <v>1.1016406667430201</v>
      </c>
      <c r="I19124" s="20">
        <v>0.230777520499795</v>
      </c>
      <c r="J19124" s="28">
        <v>0.81748764591643497</v>
      </c>
      <c r="K19124" s="29">
        <v>0.98712231796055705</v>
      </c>
    </row>
    <row r="19125" spans="1:11" x14ac:dyDescent="0.35">
      <c r="A19125" s="9" t="str">
        <f>HYPERLINK("http://www.ensembl.org/id/WBGene00004356", "WBGene00004356")</f>
        <v>WBGene00004356</v>
      </c>
      <c r="B19125" s="9" t="str">
        <f>HYPERLINK("http://www.ncbi.nlm.nih.gov/gene/180721", "180721")</f>
        <v>180721</v>
      </c>
      <c r="C19125" s="9" t="str">
        <f>HYPERLINK("http://www.ncbi.nlm.nih.gov/gene/396", "396")</f>
        <v>396</v>
      </c>
      <c r="D19125" t="str">
        <f>"rhi-1"</f>
        <v>rhi-1</v>
      </c>
      <c r="E19125" t="s">
        <v>10238</v>
      </c>
      <c r="F19125" t="s">
        <v>11</v>
      </c>
      <c r="G19125" t="s">
        <v>10239</v>
      </c>
      <c r="H19125" s="12">
        <v>-1.04522418827968</v>
      </c>
      <c r="I19125" s="20">
        <v>-0.23087069946279801</v>
      </c>
      <c r="J19125" s="28">
        <v>0.81741525428248796</v>
      </c>
      <c r="K19125" s="29">
        <v>0.98712231796055705</v>
      </c>
    </row>
    <row r="19126" spans="1:11" x14ac:dyDescent="0.35">
      <c r="A19126" s="9" t="str">
        <f>HYPERLINK("http://www.ensembl.org/id/WBGene00004701", "WBGene00004701")</f>
        <v>WBGene00004701</v>
      </c>
      <c r="B19126" s="9" t="str">
        <f>HYPERLINK("http://www.ncbi.nlm.nih.gov/gene/173915", "173915")</f>
        <v>173915</v>
      </c>
      <c r="C19126" s="9"/>
      <c r="D19126" t="str">
        <f>"rsp-4"</f>
        <v>rsp-4</v>
      </c>
      <c r="E19126" t="s">
        <v>10250</v>
      </c>
      <c r="F19126" t="s">
        <v>11</v>
      </c>
      <c r="G19126" t="s">
        <v>10251</v>
      </c>
      <c r="H19126" s="12">
        <v>-1.0526768912517099</v>
      </c>
      <c r="I19126" s="20">
        <v>-0.230176798387768</v>
      </c>
      <c r="J19126" s="28">
        <v>0.81795439005492898</v>
      </c>
      <c r="K19126" s="29">
        <v>0.98712231796055705</v>
      </c>
    </row>
    <row r="19127" spans="1:11" x14ac:dyDescent="0.35">
      <c r="A19127" s="9" t="str">
        <f>HYPERLINK("http://www.ensembl.org/id/WBGene00018853", "WBGene00018853")</f>
        <v>WBGene00018853</v>
      </c>
      <c r="B19127" s="9" t="str">
        <f>HYPERLINK("http://www.ncbi.nlm.nih.gov/gene/180456", "180456")</f>
        <v>180456</v>
      </c>
      <c r="C19127" s="9" t="str">
        <f>HYPERLINK("http://www.ncbi.nlm.nih.gov/gene/9554", "9554")</f>
        <v>9554</v>
      </c>
      <c r="D19127" t="str">
        <f>"sec-22"</f>
        <v>sec-22</v>
      </c>
      <c r="E19127" t="s">
        <v>5814</v>
      </c>
      <c r="F19127" t="s">
        <v>11</v>
      </c>
      <c r="G19127" t="s">
        <v>10246</v>
      </c>
      <c r="H19127" s="12">
        <v>-1.0481107962475</v>
      </c>
      <c r="I19127" s="20">
        <v>-0.23064859966243001</v>
      </c>
      <c r="J19127" s="28">
        <v>0.81758780832365496</v>
      </c>
      <c r="K19127" s="29">
        <v>0.98712231796055705</v>
      </c>
    </row>
    <row r="19128" spans="1:11" x14ac:dyDescent="0.35">
      <c r="A19128" s="9" t="str">
        <f>HYPERLINK("http://www.ensembl.org/id/WBGene00004756", "WBGene00004756")</f>
        <v>WBGene00004756</v>
      </c>
      <c r="B19128" s="9" t="str">
        <f>HYPERLINK("http://www.ncbi.nlm.nih.gov/gene/178183", "178183")</f>
        <v>178183</v>
      </c>
      <c r="C19128" s="9" t="str">
        <f>HYPERLINK("http://www.ncbi.nlm.nih.gov/gene/10427", "10427")</f>
        <v>10427</v>
      </c>
      <c r="D19128" t="str">
        <f>"sec-24.2"</f>
        <v>sec-24.2</v>
      </c>
      <c r="E19128" t="s">
        <v>5814</v>
      </c>
      <c r="F19128" t="s">
        <v>11</v>
      </c>
      <c r="G19128" t="s">
        <v>6187</v>
      </c>
      <c r="H19128" s="12">
        <v>-1.04530822091051</v>
      </c>
      <c r="I19128" s="20">
        <v>-0.229836432732375</v>
      </c>
      <c r="J19128" s="28">
        <v>0.81821887322444198</v>
      </c>
      <c r="K19128" s="29">
        <v>0.98712231796055705</v>
      </c>
    </row>
    <row r="19129" spans="1:11" x14ac:dyDescent="0.35">
      <c r="A19129" s="9" t="str">
        <f>HYPERLINK("http://www.ensembl.org/id/WBGene00015898", "WBGene00015898")</f>
        <v>WBGene00015898</v>
      </c>
      <c r="B19129" s="9" t="str">
        <f>HYPERLINK("http://www.ncbi.nlm.nih.gov/gene/182729", "182729")</f>
        <v>182729</v>
      </c>
      <c r="C19129" s="9"/>
      <c r="D19129" t="str">
        <f>"sre-9"</f>
        <v>sre-9</v>
      </c>
      <c r="E19129" t="s">
        <v>2638</v>
      </c>
      <c r="F19129" t="s">
        <v>11</v>
      </c>
      <c r="G19129" t="s">
        <v>2639</v>
      </c>
      <c r="H19129" s="12">
        <v>-1.4069341214662701</v>
      </c>
      <c r="I19129" s="20">
        <v>-0.234496955171515</v>
      </c>
      <c r="J19129" s="28">
        <v>0.81459919672342496</v>
      </c>
      <c r="K19129" s="29">
        <v>0.98712231796055705</v>
      </c>
    </row>
    <row r="19130" spans="1:11" x14ac:dyDescent="0.35">
      <c r="A19130" s="9" t="str">
        <f>HYPERLINK("http://www.ensembl.org/id/WBGene00005241", "WBGene00005241")</f>
        <v>WBGene00005241</v>
      </c>
      <c r="B19130" s="9" t="str">
        <f>HYPERLINK("http://www.ncbi.nlm.nih.gov/gene/186287", "186287")</f>
        <v>186287</v>
      </c>
      <c r="C19130" s="9"/>
      <c r="D19130" t="str">
        <f>"srh-16"</f>
        <v>srh-16</v>
      </c>
      <c r="E19130" t="s">
        <v>153</v>
      </c>
      <c r="F19130" t="s">
        <v>11</v>
      </c>
      <c r="G19130" t="s">
        <v>25</v>
      </c>
      <c r="H19130" s="12">
        <v>1.24646518147727</v>
      </c>
      <c r="I19130" s="20">
        <v>0.23063821755703801</v>
      </c>
      <c r="J19130" s="28">
        <v>0.81759587461765604</v>
      </c>
      <c r="K19130" s="29">
        <v>0.98712231796055705</v>
      </c>
    </row>
    <row r="19131" spans="1:11" x14ac:dyDescent="0.35">
      <c r="A19131" s="9" t="str">
        <f>HYPERLINK("http://www.ensembl.org/id/WBGene00005470", "WBGene00005470")</f>
        <v>WBGene00005470</v>
      </c>
      <c r="B19131" s="9" t="str">
        <f>HYPERLINK("http://www.ncbi.nlm.nih.gov/gene/188187", "188187")</f>
        <v>188187</v>
      </c>
      <c r="C19131" s="9"/>
      <c r="D19131" t="str">
        <f>"srh-264"</f>
        <v>srh-264</v>
      </c>
      <c r="E19131" t="s">
        <v>153</v>
      </c>
      <c r="F19131" t="s">
        <v>11</v>
      </c>
      <c r="G19131" t="s">
        <v>25</v>
      </c>
      <c r="H19131" s="12">
        <v>-2.0934832239599501</v>
      </c>
      <c r="I19131" s="20">
        <v>-0.22949030257074601</v>
      </c>
      <c r="J19131" s="28">
        <v>0.81848785695737403</v>
      </c>
      <c r="K19131" s="29">
        <v>0.98712231796055705</v>
      </c>
    </row>
    <row r="19132" spans="1:11" x14ac:dyDescent="0.35">
      <c r="A19132" s="9" t="str">
        <f>HYPERLINK("http://www.ensembl.org/id/WBGene00005311", "WBGene00005311")</f>
        <v>WBGene00005311</v>
      </c>
      <c r="B19132" s="9"/>
      <c r="C19132" s="9"/>
      <c r="D19132" t="str">
        <f>"srh-90"</f>
        <v>srh-90</v>
      </c>
      <c r="F19132" t="s">
        <v>80</v>
      </c>
      <c r="H19132" s="12">
        <v>-1.62863961233276</v>
      </c>
      <c r="I19132" s="20">
        <v>-0.23335633675721801</v>
      </c>
      <c r="J19132" s="28">
        <v>0.81548471546437296</v>
      </c>
      <c r="K19132" s="29">
        <v>0.98712231796055705</v>
      </c>
    </row>
    <row r="19133" spans="1:11" x14ac:dyDescent="0.35">
      <c r="A19133" s="9" t="str">
        <f>HYPERLINK("http://www.ensembl.org/id/WBGene00005695", "WBGene00005695")</f>
        <v>WBGene00005695</v>
      </c>
      <c r="B19133" s="9"/>
      <c r="C19133" s="9"/>
      <c r="D19133" t="str">
        <f>"sru-32"</f>
        <v>sru-32</v>
      </c>
      <c r="F19133" t="s">
        <v>80</v>
      </c>
      <c r="H19133" s="12">
        <v>-2.0934832239599501</v>
      </c>
      <c r="I19133" s="20">
        <v>-0.22949030257074601</v>
      </c>
      <c r="J19133" s="28">
        <v>0.81848785695737403</v>
      </c>
      <c r="K19133" s="29">
        <v>0.98712231796055705</v>
      </c>
    </row>
    <row r="19134" spans="1:11" x14ac:dyDescent="0.35">
      <c r="A19134" s="9" t="str">
        <f>HYPERLINK("http://www.ensembl.org/id/WBGene00006014", "WBGene00006014")</f>
        <v>WBGene00006014</v>
      </c>
      <c r="B19134" s="9"/>
      <c r="C19134" s="9"/>
      <c r="D19134" t="str">
        <f>"srx-123"</f>
        <v>srx-123</v>
      </c>
      <c r="F19134" t="s">
        <v>80</v>
      </c>
      <c r="H19134" s="12">
        <v>1.3599120286808599</v>
      </c>
      <c r="I19134" s="20">
        <v>0.22968636745978399</v>
      </c>
      <c r="J19134" s="28">
        <v>0.81833548891660701</v>
      </c>
      <c r="K19134" s="29">
        <v>0.98712231796055705</v>
      </c>
    </row>
    <row r="19135" spans="1:11" x14ac:dyDescent="0.35">
      <c r="A19135" s="9" t="str">
        <f>HYPERLINK("http://www.ensembl.org/id/WBGene00005989", "WBGene00005989")</f>
        <v>WBGene00005989</v>
      </c>
      <c r="B19135" s="9" t="str">
        <f>HYPERLINK("http://www.ncbi.nlm.nih.gov/gene/184673", "184673")</f>
        <v>184673</v>
      </c>
      <c r="C19135" s="9"/>
      <c r="D19135" t="str">
        <f>"srx-98"</f>
        <v>srx-98</v>
      </c>
      <c r="E19135" t="s">
        <v>1477</v>
      </c>
      <c r="F19135" t="s">
        <v>11</v>
      </c>
      <c r="G19135" t="s">
        <v>25</v>
      </c>
      <c r="H19135" s="12">
        <v>-1.42883310268146</v>
      </c>
      <c r="I19135" s="20">
        <v>-0.233093861024117</v>
      </c>
      <c r="J19135" s="28">
        <v>0.81568852181954798</v>
      </c>
      <c r="K19135" s="29">
        <v>0.98712231796055705</v>
      </c>
    </row>
    <row r="19136" spans="1:11" x14ac:dyDescent="0.35">
      <c r="A19136" s="9" t="str">
        <f>HYPERLINK("http://www.ensembl.org/id/WBGene00077538", "WBGene00077538")</f>
        <v>WBGene00077538</v>
      </c>
      <c r="B19136" s="9" t="str">
        <f>HYPERLINK("http://www.ncbi.nlm.nih.gov/gene/6418766", "6418766")</f>
        <v>6418766</v>
      </c>
      <c r="C19136" s="9"/>
      <c r="D19136" t="str">
        <f>"T04F3.5"</f>
        <v>T04F3.5</v>
      </c>
      <c r="F19136" t="s">
        <v>11</v>
      </c>
      <c r="H19136" s="12">
        <v>-1.89735447237306</v>
      </c>
      <c r="I19136" s="20">
        <v>-0.23001795530568001</v>
      </c>
      <c r="J19136" s="28">
        <v>0.81807781744576902</v>
      </c>
      <c r="K19136" s="29">
        <v>0.98712231796055705</v>
      </c>
    </row>
    <row r="19137" spans="1:11" x14ac:dyDescent="0.35">
      <c r="A19137" s="9" t="str">
        <f>HYPERLINK("http://www.ensembl.org/id/WBGene00235260", "WBGene00235260")</f>
        <v>WBGene00235260</v>
      </c>
      <c r="B19137" s="9" t="str">
        <f>HYPERLINK("http://www.ncbi.nlm.nih.gov/gene/24104854", "24104854")</f>
        <v>24104854</v>
      </c>
      <c r="C19137" s="9"/>
      <c r="D19137" t="str">
        <f>"T05C7.7"</f>
        <v>T05C7.7</v>
      </c>
      <c r="F19137" t="s">
        <v>11</v>
      </c>
      <c r="H19137" s="12">
        <v>1.72371403394817</v>
      </c>
      <c r="I19137" s="20">
        <v>0.23417431469944899</v>
      </c>
      <c r="J19137" s="28">
        <v>0.814849654578224</v>
      </c>
      <c r="K19137" s="29">
        <v>0.98712231796055705</v>
      </c>
    </row>
    <row r="19138" spans="1:11" x14ac:dyDescent="0.35">
      <c r="A19138" s="9" t="str">
        <f>HYPERLINK("http://www.ensembl.org/id/WBGene00235261", "WBGene00235261")</f>
        <v>WBGene00235261</v>
      </c>
      <c r="B19138" s="9" t="str">
        <f>HYPERLINK("http://www.ncbi.nlm.nih.gov/gene/24104855", "24104855")</f>
        <v>24104855</v>
      </c>
      <c r="C19138" s="9"/>
      <c r="D19138" t="str">
        <f>"T05C7.8"</f>
        <v>T05C7.8</v>
      </c>
      <c r="F19138" t="s">
        <v>11</v>
      </c>
      <c r="H19138" s="12">
        <v>-1.5085693694497799</v>
      </c>
      <c r="I19138" s="20">
        <v>-0.233883744223951</v>
      </c>
      <c r="J19138" s="28">
        <v>0.81507523348079203</v>
      </c>
      <c r="K19138" s="29">
        <v>0.98712231796055705</v>
      </c>
    </row>
    <row r="19139" spans="1:11" x14ac:dyDescent="0.35">
      <c r="A19139" s="9" t="str">
        <f>HYPERLINK("http://www.ensembl.org/id/WBGene00206385", "WBGene00206385")</f>
        <v>WBGene00206385</v>
      </c>
      <c r="B19139" s="9" t="str">
        <f>HYPERLINK("http://www.ncbi.nlm.nih.gov/gene/13184322", "13184322")</f>
        <v>13184322</v>
      </c>
      <c r="C19139" s="9"/>
      <c r="D19139" t="str">
        <f>"T06D4.6"</f>
        <v>T06D4.6</v>
      </c>
      <c r="F19139" t="s">
        <v>11</v>
      </c>
      <c r="H19139" s="12">
        <v>-1.6205050092753299</v>
      </c>
      <c r="I19139" s="20">
        <v>-0.22922389110614499</v>
      </c>
      <c r="J19139" s="28">
        <v>0.818694904466299</v>
      </c>
      <c r="K19139" s="29">
        <v>0.98712231796055705</v>
      </c>
    </row>
    <row r="19140" spans="1:11" x14ac:dyDescent="0.35">
      <c r="A19140" s="9" t="str">
        <f>HYPERLINK("http://www.ensembl.org/id/WBGene00020377", "WBGene00020377")</f>
        <v>WBGene00020377</v>
      </c>
      <c r="B19140" s="9" t="str">
        <f>HYPERLINK("http://www.ncbi.nlm.nih.gov/gene/188315", "188315")</f>
        <v>188315</v>
      </c>
      <c r="C19140" s="9"/>
      <c r="D19140" t="str">
        <f>"T09B4.3"</f>
        <v>T09B4.3</v>
      </c>
      <c r="F19140" t="s">
        <v>11</v>
      </c>
      <c r="H19140" s="12">
        <v>1.1515743746826199</v>
      </c>
      <c r="I19140" s="20">
        <v>0.23198617995292201</v>
      </c>
      <c r="J19140" s="28">
        <v>0.81654874782557096</v>
      </c>
      <c r="K19140" s="29">
        <v>0.98712231796055705</v>
      </c>
    </row>
    <row r="19141" spans="1:11" x14ac:dyDescent="0.35">
      <c r="A19141" s="9" t="str">
        <f>HYPERLINK("http://www.ensembl.org/id/WBGene00020483", "WBGene00020483")</f>
        <v>WBGene00020483</v>
      </c>
      <c r="B19141" s="9" t="str">
        <f>HYPERLINK("http://www.ncbi.nlm.nih.gov/gene/259991", "259991")</f>
        <v>259991</v>
      </c>
      <c r="C19141" s="9"/>
      <c r="D19141" t="str">
        <f>"T13C5.2"</f>
        <v>T13C5.2</v>
      </c>
      <c r="F19141" t="s">
        <v>11</v>
      </c>
      <c r="H19141" s="12">
        <v>-1.7811390491124901</v>
      </c>
      <c r="I19141" s="20">
        <v>-0.23269444465044301</v>
      </c>
      <c r="J19141" s="28">
        <v>0.81599868334563597</v>
      </c>
      <c r="K19141" s="29">
        <v>0.98712231796055705</v>
      </c>
    </row>
    <row r="19142" spans="1:11" x14ac:dyDescent="0.35">
      <c r="A19142" s="9" t="str">
        <f>HYPERLINK("http://www.ensembl.org/id/WBGene00020520", "WBGene00020520")</f>
        <v>WBGene00020520</v>
      </c>
      <c r="B19142" s="9" t="str">
        <f>HYPERLINK("http://www.ncbi.nlm.nih.gov/gene/188518", "188518")</f>
        <v>188518</v>
      </c>
      <c r="C19142" s="9"/>
      <c r="D19142" t="str">
        <f>"T15B7.8"</f>
        <v>T15B7.8</v>
      </c>
      <c r="F19142" t="s">
        <v>11</v>
      </c>
      <c r="G19142" t="s">
        <v>25</v>
      </c>
      <c r="H19142" s="12">
        <v>-1.7811390491124901</v>
      </c>
      <c r="I19142" s="20">
        <v>-0.23269444465044301</v>
      </c>
      <c r="J19142" s="28">
        <v>0.81599868334563597</v>
      </c>
      <c r="K19142" s="29">
        <v>0.98712231796055705</v>
      </c>
    </row>
    <row r="19143" spans="1:11" x14ac:dyDescent="0.35">
      <c r="A19143" s="9" t="str">
        <f>HYPERLINK("http://www.ensembl.org/id/WBGene00017738", "WBGene00017738")</f>
        <v>WBGene00017738</v>
      </c>
      <c r="B19143" s="9" t="str">
        <f>HYPERLINK("http://www.ncbi.nlm.nih.gov/gene/171803", "171803")</f>
        <v>171803</v>
      </c>
      <c r="C19143" s="9"/>
      <c r="D19143" t="str">
        <f>"tipn-1"</f>
        <v>tipn-1</v>
      </c>
      <c r="F19143" t="s">
        <v>11</v>
      </c>
      <c r="G19143" t="s">
        <v>10256</v>
      </c>
      <c r="H19143" s="12">
        <v>-1.0640890321637</v>
      </c>
      <c r="I19143" s="20">
        <v>-0.235290280756555</v>
      </c>
      <c r="J19143" s="28">
        <v>0.813983438231625</v>
      </c>
      <c r="K19143" s="29">
        <v>0.98712231796055705</v>
      </c>
    </row>
    <row r="19144" spans="1:11" x14ac:dyDescent="0.35">
      <c r="A19144" s="9" t="str">
        <f>HYPERLINK("http://www.ensembl.org/id/WBGene00007422", "WBGene00007422")</f>
        <v>WBGene00007422</v>
      </c>
      <c r="B19144" s="9" t="str">
        <f>HYPERLINK("http://www.ncbi.nlm.nih.gov/gene/179406", "179406")</f>
        <v>179406</v>
      </c>
      <c r="C19144" s="9"/>
      <c r="D19144" t="str">
        <f>"ugt-17"</f>
        <v>ugt-17</v>
      </c>
      <c r="E19144" t="s">
        <v>103</v>
      </c>
      <c r="F19144" t="s">
        <v>11</v>
      </c>
      <c r="G19144" t="s">
        <v>104</v>
      </c>
      <c r="H19144" s="12">
        <v>1.07770460119607</v>
      </c>
      <c r="I19144" s="20">
        <v>0.22938877240755201</v>
      </c>
      <c r="J19144" s="28">
        <v>0.81856676185698596</v>
      </c>
      <c r="K19144" s="29">
        <v>0.98712231796055705</v>
      </c>
    </row>
    <row r="19145" spans="1:11" x14ac:dyDescent="0.35">
      <c r="A19145" s="9" t="str">
        <f>HYPERLINK("http://www.ensembl.org/id/WBGene00012240", "WBGene00012240")</f>
        <v>WBGene00012240</v>
      </c>
      <c r="B19145" s="9" t="str">
        <f>HYPERLINK("http://www.ncbi.nlm.nih.gov/gene/173255", "173255")</f>
        <v>173255</v>
      </c>
      <c r="C19145" s="9"/>
      <c r="D19145" t="str">
        <f>"W04A8.5"</f>
        <v>W04A8.5</v>
      </c>
      <c r="F19145" t="s">
        <v>11</v>
      </c>
      <c r="G19145" t="s">
        <v>54</v>
      </c>
      <c r="H19145" s="12">
        <v>-1.08803305614053</v>
      </c>
      <c r="I19145" s="20">
        <v>-0.22990379267227001</v>
      </c>
      <c r="J19145" s="28">
        <v>0.81816652913687604</v>
      </c>
      <c r="K19145" s="29">
        <v>0.98712231796055705</v>
      </c>
    </row>
    <row r="19146" spans="1:11" x14ac:dyDescent="0.35">
      <c r="A19146" s="9" t="str">
        <f>HYPERLINK("http://www.ensembl.org/id/WBGene00077752", "WBGene00077752")</f>
        <v>WBGene00077752</v>
      </c>
      <c r="B19146" s="9" t="str">
        <f>HYPERLINK("http://www.ncbi.nlm.nih.gov/gene/13205823", "13205823")</f>
        <v>13205823</v>
      </c>
      <c r="C19146" s="9"/>
      <c r="D19146" t="str">
        <f>"Y105C5A.508"</f>
        <v>Y105C5A.508</v>
      </c>
      <c r="F19146" t="s">
        <v>11</v>
      </c>
      <c r="H19146" s="12">
        <v>1.11416575132808</v>
      </c>
      <c r="I19146" s="20">
        <v>0.23426968292403999</v>
      </c>
      <c r="J19146" s="28">
        <v>0.81477562060229303</v>
      </c>
      <c r="K19146" s="29">
        <v>0.98712231796055705</v>
      </c>
    </row>
    <row r="19147" spans="1:11" x14ac:dyDescent="0.35">
      <c r="A19147" s="9" t="str">
        <f>HYPERLINK("http://www.ensembl.org/id/WBGene00077495", "WBGene00077495")</f>
        <v>WBGene00077495</v>
      </c>
      <c r="B19147" s="9" t="str">
        <f>HYPERLINK("http://www.ncbi.nlm.nih.gov/gene/6418791", "6418791")</f>
        <v>6418791</v>
      </c>
      <c r="C19147" s="9"/>
      <c r="D19147" t="str">
        <f>"Y20C6A.4"</f>
        <v>Y20C6A.4</v>
      </c>
      <c r="F19147" t="s">
        <v>11</v>
      </c>
      <c r="H19147" s="12">
        <v>-1.6205050092753299</v>
      </c>
      <c r="I19147" s="20">
        <v>-0.22922389110614499</v>
      </c>
      <c r="J19147" s="28">
        <v>0.818694904466299</v>
      </c>
      <c r="K19147" s="29">
        <v>0.98712231796055705</v>
      </c>
    </row>
    <row r="19148" spans="1:11" x14ac:dyDescent="0.35">
      <c r="A19148" s="9" t="str">
        <f>HYPERLINK("http://www.ensembl.org/id/WBGene00021322", "WBGene00021322")</f>
        <v>WBGene00021322</v>
      </c>
      <c r="B19148" s="9" t="str">
        <f>HYPERLINK("http://www.ncbi.nlm.nih.gov/gene/180795", "180795")</f>
        <v>180795</v>
      </c>
      <c r="C19148" s="9"/>
      <c r="D19148" t="str">
        <f>"Y34B4A.6"</f>
        <v>Y34B4A.6</v>
      </c>
      <c r="F19148" t="s">
        <v>11</v>
      </c>
      <c r="H19148" s="12">
        <v>-1.0437571571598001</v>
      </c>
      <c r="I19148" s="20">
        <v>-0.23195779532337199</v>
      </c>
      <c r="J19148" s="28">
        <v>0.81657079426102497</v>
      </c>
      <c r="K19148" s="29">
        <v>0.98712231796055705</v>
      </c>
    </row>
    <row r="19149" spans="1:11" x14ac:dyDescent="0.35">
      <c r="A19149" s="9" t="str">
        <f>HYPERLINK("http://www.ensembl.org/id/WBGene00021323", "WBGene00021323")</f>
        <v>WBGene00021323</v>
      </c>
      <c r="B19149" s="9" t="str">
        <f>HYPERLINK("http://www.ncbi.nlm.nih.gov/gene/180793", "180793")</f>
        <v>180793</v>
      </c>
      <c r="C19149" s="9"/>
      <c r="D19149" t="str">
        <f>"Y34B4A.7"</f>
        <v>Y34B4A.7</v>
      </c>
      <c r="F19149" t="s">
        <v>11</v>
      </c>
      <c r="G19149" t="s">
        <v>25</v>
      </c>
      <c r="H19149" s="12">
        <v>-1.0496218474472001</v>
      </c>
      <c r="I19149" s="20">
        <v>-0.234159923616823</v>
      </c>
      <c r="J19149" s="28">
        <v>0.81486082646239399</v>
      </c>
      <c r="K19149" s="29">
        <v>0.98712231796055705</v>
      </c>
    </row>
    <row r="19150" spans="1:11" x14ac:dyDescent="0.35">
      <c r="A19150" s="9" t="str">
        <f>HYPERLINK("http://www.ensembl.org/id/WBGene00021333", "WBGene00021333")</f>
        <v>WBGene00021333</v>
      </c>
      <c r="B19150" s="9" t="str">
        <f>HYPERLINK("http://www.ncbi.nlm.nih.gov/gene/189589", "189589")</f>
        <v>189589</v>
      </c>
      <c r="C19150" s="9"/>
      <c r="D19150" t="str">
        <f>"Y34D9A.8"</f>
        <v>Y34D9A.8</v>
      </c>
      <c r="F19150" t="s">
        <v>11</v>
      </c>
      <c r="G19150" t="s">
        <v>417</v>
      </c>
      <c r="H19150" s="12">
        <v>-1.0534377656531899</v>
      </c>
      <c r="I19150" s="20">
        <v>-0.22945566792375299</v>
      </c>
      <c r="J19150" s="28">
        <v>0.81851477331685896</v>
      </c>
      <c r="K19150" s="29">
        <v>0.98712231796055705</v>
      </c>
    </row>
    <row r="19151" spans="1:11" x14ac:dyDescent="0.35">
      <c r="A19151" s="9" t="str">
        <f>HYPERLINK("http://www.ensembl.org/id/WBGene00012548", "WBGene00012548")</f>
        <v>WBGene00012548</v>
      </c>
      <c r="B19151" s="9" t="str">
        <f>HYPERLINK("http://www.ncbi.nlm.nih.gov/gene/189614", "189614")</f>
        <v>189614</v>
      </c>
      <c r="C19151" s="9"/>
      <c r="D19151" t="str">
        <f>"Y37D8A.6"</f>
        <v>Y37D8A.6</v>
      </c>
      <c r="F19151" t="s">
        <v>11</v>
      </c>
      <c r="G19151" t="s">
        <v>208</v>
      </c>
      <c r="H19151" s="12">
        <v>-1.0452772246387401</v>
      </c>
      <c r="I19151" s="20">
        <v>-0.23120024565403799</v>
      </c>
      <c r="J19151" s="28">
        <v>0.81715923916939504</v>
      </c>
      <c r="K19151" s="29">
        <v>0.98712231796055705</v>
      </c>
    </row>
    <row r="19152" spans="1:11" x14ac:dyDescent="0.35">
      <c r="A19152" s="9" t="str">
        <f>HYPERLINK("http://www.ensembl.org/id/WBGene00021454", "WBGene00021454")</f>
        <v>WBGene00021454</v>
      </c>
      <c r="B19152" s="9" t="str">
        <f>HYPERLINK("http://www.ncbi.nlm.nih.gov/gene/189759", "189759")</f>
        <v>189759</v>
      </c>
      <c r="C19152" s="9"/>
      <c r="D19152" t="str">
        <f>"Y39F10A.3"</f>
        <v>Y39F10A.3</v>
      </c>
      <c r="F19152" t="s">
        <v>11</v>
      </c>
      <c r="H19152" s="12">
        <v>1.85493161033357</v>
      </c>
      <c r="I19152" s="20">
        <v>0.22986317444590201</v>
      </c>
      <c r="J19152" s="28">
        <v>0.81819809266656995</v>
      </c>
      <c r="K19152" s="29">
        <v>0.98712231796055705</v>
      </c>
    </row>
    <row r="19153" spans="1:11" x14ac:dyDescent="0.35">
      <c r="A19153" s="9" t="str">
        <f>HYPERLINK("http://www.ensembl.org/id/WBGene00012764", "WBGene00012764")</f>
        <v>WBGene00012764</v>
      </c>
      <c r="B19153" s="9" t="str">
        <f>HYPERLINK("http://www.ncbi.nlm.nih.gov/gene/189831", "189831")</f>
        <v>189831</v>
      </c>
      <c r="C19153" s="9"/>
      <c r="D19153" t="str">
        <f>"Y41E3.6"</f>
        <v>Y41E3.6</v>
      </c>
      <c r="F19153" t="s">
        <v>11</v>
      </c>
      <c r="H19153" s="12">
        <v>-1.1429440200634799</v>
      </c>
      <c r="I19153" s="20">
        <v>-0.23175209712729</v>
      </c>
      <c r="J19153" s="28">
        <v>0.816730565065241</v>
      </c>
      <c r="K19153" s="29">
        <v>0.98712231796055705</v>
      </c>
    </row>
    <row r="19154" spans="1:11" x14ac:dyDescent="0.35">
      <c r="A19154" s="9" t="str">
        <f>HYPERLINK("http://www.ensembl.org/id/WBGene00012824", "WBGene00012824")</f>
        <v>WBGene00012824</v>
      </c>
      <c r="B19154" s="9" t="str">
        <f>HYPERLINK("http://www.ncbi.nlm.nih.gov/gene/189876", "189876")</f>
        <v>189876</v>
      </c>
      <c r="C19154" s="9"/>
      <c r="D19154" t="str">
        <f>"Y43F8B.14"</f>
        <v>Y43F8B.14</v>
      </c>
      <c r="F19154" t="s">
        <v>11</v>
      </c>
      <c r="G19154" t="s">
        <v>2012</v>
      </c>
      <c r="H19154" s="12">
        <v>-1.1349299985463499</v>
      </c>
      <c r="I19154" s="20">
        <v>-0.22918622088652199</v>
      </c>
      <c r="J19154" s="28">
        <v>0.81872418172380601</v>
      </c>
      <c r="K19154" s="29">
        <v>0.98712231796055705</v>
      </c>
    </row>
    <row r="19155" spans="1:11" x14ac:dyDescent="0.35">
      <c r="A19155" s="9" t="str">
        <f>HYPERLINK("http://www.ensembl.org/id/WBGene00013522", "WBGene00013522")</f>
        <v>WBGene00013522</v>
      </c>
      <c r="B19155" s="9" t="str">
        <f>HYPERLINK("http://www.ncbi.nlm.nih.gov/gene/190675", "190675")</f>
        <v>190675</v>
      </c>
      <c r="C19155" s="9"/>
      <c r="D19155" t="str">
        <f>"Y73F8A.13"</f>
        <v>Y73F8A.13</v>
      </c>
      <c r="F19155" t="s">
        <v>11</v>
      </c>
      <c r="H19155" s="12">
        <v>1.0699980358108301</v>
      </c>
      <c r="I19155" s="20">
        <v>0.230696104445821</v>
      </c>
      <c r="J19155" s="28">
        <v>0.81755090010739195</v>
      </c>
      <c r="K19155" s="29">
        <v>0.98712231796055705</v>
      </c>
    </row>
    <row r="19156" spans="1:11" x14ac:dyDescent="0.35">
      <c r="A19156" s="9" t="str">
        <f>HYPERLINK("http://www.ensembl.org/id/WBGene00013573", "WBGene00013573")</f>
        <v>WBGene00013573</v>
      </c>
      <c r="B19156" s="9" t="str">
        <f>HYPERLINK("http://www.ncbi.nlm.nih.gov/gene/3565626", "3565626")</f>
        <v>3565626</v>
      </c>
      <c r="C19156" s="9"/>
      <c r="D19156" t="str">
        <f>"Y75B12B.11"</f>
        <v>Y75B12B.11</v>
      </c>
      <c r="F19156" t="s">
        <v>11</v>
      </c>
      <c r="H19156" s="12">
        <v>1.4085369310311799</v>
      </c>
      <c r="I19156" s="20">
        <v>0.23491637411704</v>
      </c>
      <c r="J19156" s="28">
        <v>0.81427364045265105</v>
      </c>
      <c r="K19156" s="29">
        <v>0.98712231796055705</v>
      </c>
    </row>
    <row r="19157" spans="1:11" x14ac:dyDescent="0.35">
      <c r="A19157" s="9" t="str">
        <f>HYPERLINK("http://www.ensembl.org/id/WBGene00013592", "WBGene00013592")</f>
        <v>WBGene00013592</v>
      </c>
      <c r="B19157" s="9" t="str">
        <f>HYPERLINK("http://www.ncbi.nlm.nih.gov/gene/190748", "190748")</f>
        <v>190748</v>
      </c>
      <c r="C19157" s="9"/>
      <c r="D19157" t="str">
        <f>"Y81G3A.4"</f>
        <v>Y81G3A.4</v>
      </c>
      <c r="F19157" t="s">
        <v>11</v>
      </c>
      <c r="H19157" s="12">
        <v>1.2081852816460801</v>
      </c>
      <c r="I19157" s="20">
        <v>0.23309439857130601</v>
      </c>
      <c r="J19157" s="28">
        <v>0.81568810441380202</v>
      </c>
      <c r="K19157" s="29">
        <v>0.98712231796055705</v>
      </c>
    </row>
    <row r="19158" spans="1:11" x14ac:dyDescent="0.35">
      <c r="A19158" s="9" t="str">
        <f>HYPERLINK("http://www.ensembl.org/id/WBGene00013884", "WBGene00013884")</f>
        <v>WBGene00013884</v>
      </c>
      <c r="B19158" s="9" t="str">
        <f>HYPERLINK("http://www.ncbi.nlm.nih.gov/gene/3565691", "3565691")</f>
        <v>3565691</v>
      </c>
      <c r="C19158" s="9"/>
      <c r="D19158" t="str">
        <f>"ZC412.3"</f>
        <v>ZC412.3</v>
      </c>
      <c r="F19158" t="s">
        <v>11</v>
      </c>
      <c r="G19158" t="s">
        <v>27</v>
      </c>
      <c r="H19158" s="12">
        <v>1.0566040216869901</v>
      </c>
      <c r="I19158" s="20">
        <v>0.22938734210726899</v>
      </c>
      <c r="J19158" s="28">
        <v>0.81856787343830895</v>
      </c>
      <c r="K19158" s="29">
        <v>0.98712231796055705</v>
      </c>
    </row>
    <row r="19159" spans="1:11" x14ac:dyDescent="0.35">
      <c r="A19159" s="9" t="str">
        <f>HYPERLINK("http://www.ensembl.org/id/WBGene00199729", "WBGene00199729")</f>
        <v>WBGene00199729</v>
      </c>
      <c r="B19159" s="9"/>
      <c r="C19159" s="9"/>
      <c r="D19159" t="str">
        <f>"ZC513.18"</f>
        <v>ZC513.18</v>
      </c>
      <c r="F19159" t="s">
        <v>481</v>
      </c>
      <c r="H19159" s="12">
        <v>-1.7811390491124901</v>
      </c>
      <c r="I19159" s="20">
        <v>-0.23269444465044301</v>
      </c>
      <c r="J19159" s="28">
        <v>0.81599868334563597</v>
      </c>
      <c r="K19159" s="29">
        <v>0.98712231796055705</v>
      </c>
    </row>
    <row r="19160" spans="1:11" x14ac:dyDescent="0.35">
      <c r="A19160" s="9" t="str">
        <f>HYPERLINK("http://www.ensembl.org/id/WBGene00195178", "WBGene00195178")</f>
        <v>WBGene00195178</v>
      </c>
      <c r="B19160" s="9" t="str">
        <f>HYPERLINK("http://www.ncbi.nlm.nih.gov/gene/13180657", "13180657")</f>
        <v>13180657</v>
      </c>
      <c r="C19160" s="9"/>
      <c r="D19160" t="str">
        <f>"ZC581.10"</f>
        <v>ZC581.10</v>
      </c>
      <c r="F19160" t="s">
        <v>11</v>
      </c>
      <c r="H19160" s="12">
        <v>-1.7811390491124901</v>
      </c>
      <c r="I19160" s="20">
        <v>-0.23269444465044301</v>
      </c>
      <c r="J19160" s="28">
        <v>0.81599868334563597</v>
      </c>
      <c r="K19160" s="29">
        <v>0.98712231796055705</v>
      </c>
    </row>
    <row r="19161" spans="1:11" x14ac:dyDescent="0.35">
      <c r="A19161" s="9" t="str">
        <f>HYPERLINK("http://www.ensembl.org/id/WBGene00013846", "WBGene00013846")</f>
        <v>WBGene00013846</v>
      </c>
      <c r="B19161" s="9" t="str">
        <f>HYPERLINK("http://www.ncbi.nlm.nih.gov/gene/191073", "191073")</f>
        <v>191073</v>
      </c>
      <c r="C19161" s="9"/>
      <c r="D19161" t="str">
        <f>"ZC84.1"</f>
        <v>ZC84.1</v>
      </c>
      <c r="F19161" t="s">
        <v>11</v>
      </c>
      <c r="G19161" t="s">
        <v>10258</v>
      </c>
      <c r="H19161" s="12">
        <v>-1.0997334835135</v>
      </c>
      <c r="I19161" s="20">
        <v>-0.23254440101499499</v>
      </c>
      <c r="J19161" s="28">
        <v>0.81611520520661696</v>
      </c>
      <c r="K19161" s="29">
        <v>0.98712231796055705</v>
      </c>
    </row>
    <row r="19162" spans="1:11" x14ac:dyDescent="0.35">
      <c r="A19162" s="9" t="str">
        <f>HYPERLINK("http://www.ensembl.org/id/WBGene00022847", "WBGene00022847")</f>
        <v>WBGene00022847</v>
      </c>
      <c r="B19162" s="9" t="str">
        <f>HYPERLINK("http://www.ncbi.nlm.nih.gov/gene/179050", "179050")</f>
        <v>179050</v>
      </c>
      <c r="C19162" s="9"/>
      <c r="D19162" t="str">
        <f>"ZK1055.6"</f>
        <v>ZK1055.6</v>
      </c>
      <c r="F19162" t="s">
        <v>11</v>
      </c>
      <c r="H19162" s="12">
        <v>-1.05054447401957</v>
      </c>
      <c r="I19162" s="20">
        <v>-0.233914414190558</v>
      </c>
      <c r="J19162" s="28">
        <v>0.81505142270727504</v>
      </c>
      <c r="K19162" s="29">
        <v>0.98712231796055705</v>
      </c>
    </row>
    <row r="19163" spans="1:11" x14ac:dyDescent="0.35">
      <c r="A19163" s="9" t="str">
        <f>HYPERLINK("http://www.ensembl.org/id/WBGene00014207", "WBGene00014207")</f>
        <v>WBGene00014207</v>
      </c>
      <c r="B19163" s="9" t="str">
        <f>HYPERLINK("http://www.ncbi.nlm.nih.gov/gene/175508", "175508")</f>
        <v>175508</v>
      </c>
      <c r="C19163" s="9"/>
      <c r="D19163" t="str">
        <f>"ZK1058.9"</f>
        <v>ZK1058.9</v>
      </c>
      <c r="F19163" t="s">
        <v>11</v>
      </c>
      <c r="H19163" s="12">
        <v>-1.0500215874257699</v>
      </c>
      <c r="I19163" s="20">
        <v>-0.23019230471188001</v>
      </c>
      <c r="J19163" s="28">
        <v>0.81794234126623799</v>
      </c>
      <c r="K19163" s="29">
        <v>0.98712231796055705</v>
      </c>
    </row>
    <row r="19164" spans="1:11" x14ac:dyDescent="0.35">
      <c r="A19164" s="9" t="str">
        <f>HYPERLINK("http://www.ensembl.org/id/WBGene00044390", "WBGene00044390")</f>
        <v>WBGene00044390</v>
      </c>
      <c r="B19164" s="9" t="str">
        <f>HYPERLINK("http://www.ncbi.nlm.nih.gov/gene/3565223", "3565223")</f>
        <v>3565223</v>
      </c>
      <c r="C19164" s="9"/>
      <c r="D19164" t="str">
        <f>"ZK177.11"</f>
        <v>ZK177.11</v>
      </c>
      <c r="F19164" t="s">
        <v>11</v>
      </c>
      <c r="G19164" t="s">
        <v>1659</v>
      </c>
      <c r="H19164" s="12">
        <v>-2.0934832239599501</v>
      </c>
      <c r="I19164" s="20">
        <v>-0.22949030257074601</v>
      </c>
      <c r="J19164" s="28">
        <v>0.81848785695737403</v>
      </c>
      <c r="K19164" s="29">
        <v>0.98712231796055705</v>
      </c>
    </row>
    <row r="19165" spans="1:11" x14ac:dyDescent="0.35">
      <c r="A19165" s="9" t="str">
        <f>HYPERLINK("http://www.ensembl.org/id/WBGene00022707", "WBGene00022707")</f>
        <v>WBGene00022707</v>
      </c>
      <c r="B19165" s="9" t="str">
        <f>HYPERLINK("http://www.ncbi.nlm.nih.gov/gene/191293", "191293")</f>
        <v>191293</v>
      </c>
      <c r="C19165" s="9"/>
      <c r="D19165" t="str">
        <f>"ZK354.6"</f>
        <v>ZK354.6</v>
      </c>
      <c r="F19165" t="s">
        <v>11</v>
      </c>
      <c r="G19165" t="s">
        <v>961</v>
      </c>
      <c r="H19165" s="12">
        <v>-1.32566212519093</v>
      </c>
      <c r="I19165" s="20">
        <v>-0.231116825342397</v>
      </c>
      <c r="J19165" s="28">
        <v>0.81722404420675498</v>
      </c>
      <c r="K19165" s="29">
        <v>0.98712231796055705</v>
      </c>
    </row>
    <row r="19166" spans="1:11" x14ac:dyDescent="0.35">
      <c r="A19166" s="9" t="str">
        <f>HYPERLINK("http://www.ensembl.org/id/WBGene00014135", "WBGene00014135")</f>
        <v>WBGene00014135</v>
      </c>
      <c r="B19166" s="9" t="str">
        <f>HYPERLINK("http://www.ncbi.nlm.nih.gov/gene/191450", "191450")</f>
        <v>191450</v>
      </c>
      <c r="C19166" s="9"/>
      <c r="D19166" t="str">
        <f>"ZK896.4"</f>
        <v>ZK896.4</v>
      </c>
      <c r="F19166" t="s">
        <v>11</v>
      </c>
      <c r="H19166" s="12">
        <v>1.15674139231791</v>
      </c>
      <c r="I19166" s="20">
        <v>0.22961903191188299</v>
      </c>
      <c r="J19166" s="28">
        <v>0.81838781666350102</v>
      </c>
      <c r="K19166" s="29">
        <v>0.98712231796055705</v>
      </c>
    </row>
    <row r="19167" spans="1:11" x14ac:dyDescent="0.35">
      <c r="A19167" s="9" t="str">
        <f>HYPERLINK("http://www.ensembl.org/id/WBGene00022836", "WBGene00022836")</f>
        <v>WBGene00022836</v>
      </c>
      <c r="B19167" s="9" t="str">
        <f>HYPERLINK("http://www.ncbi.nlm.nih.gov/gene/172039", "172039")</f>
        <v>172039</v>
      </c>
      <c r="C19167" s="9" t="str">
        <f>HYPERLINK("http://www.ncbi.nlm.nih.gov/gene/54495", "54495")</f>
        <v>54495</v>
      </c>
      <c r="D19167" t="str">
        <f>"ZK973.11"</f>
        <v>ZK973.11</v>
      </c>
      <c r="F19167" t="s">
        <v>11</v>
      </c>
      <c r="G19167" t="s">
        <v>10247</v>
      </c>
      <c r="H19167" s="12">
        <v>-1.0482919546031599</v>
      </c>
      <c r="I19167" s="20">
        <v>-0.23147705021009801</v>
      </c>
      <c r="J19167" s="28">
        <v>0.81694421261212502</v>
      </c>
      <c r="K19167" s="29">
        <v>0.98712231796055705</v>
      </c>
    </row>
    <row r="19168" spans="1:11" x14ac:dyDescent="0.35">
      <c r="A19168" s="9" t="str">
        <f>HYPERLINK("http://www.ensembl.org/id/WBGene00166464", "WBGene00166464")</f>
        <v>WBGene00166464</v>
      </c>
      <c r="B19168" s="9"/>
      <c r="C19168" s="9"/>
      <c r="D19168" t="str">
        <f>"21ur-13728"</f>
        <v>21ur-13728</v>
      </c>
      <c r="F19168" t="s">
        <v>3161</v>
      </c>
      <c r="H19168" s="12">
        <v>1.6812502223163499</v>
      </c>
      <c r="I19168" s="20">
        <v>0.22899383489123101</v>
      </c>
      <c r="J19168" s="28">
        <v>0.81887370787045199</v>
      </c>
      <c r="K19168" s="29">
        <v>0.98716541035234096</v>
      </c>
    </row>
    <row r="19169" spans="1:11" x14ac:dyDescent="0.35">
      <c r="A19169" s="9" t="str">
        <f>HYPERLINK("http://www.ensembl.org/id/WBGene00017051", "WBGene00017051")</f>
        <v>WBGene00017051</v>
      </c>
      <c r="B19169" s="9" t="str">
        <f>HYPERLINK("http://www.ncbi.nlm.nih.gov/gene/177499", "177499")</f>
        <v>177499</v>
      </c>
      <c r="C19169" s="9" t="str">
        <f>HYPERLINK("http://www.ncbi.nlm.nih.gov/gene/125061", "125061")</f>
        <v>125061</v>
      </c>
      <c r="D19169" t="str">
        <f>"afmd-1"</f>
        <v>afmd-1</v>
      </c>
      <c r="E19169" t="s">
        <v>4114</v>
      </c>
      <c r="F19169" t="s">
        <v>11</v>
      </c>
      <c r="G19169" t="s">
        <v>4115</v>
      </c>
      <c r="H19169" s="12">
        <v>-1.0849272724471899</v>
      </c>
      <c r="I19169" s="20">
        <v>-0.228988070256022</v>
      </c>
      <c r="J19169" s="28">
        <v>0.81887818835901105</v>
      </c>
      <c r="K19169" s="29">
        <v>0.98716541035234096</v>
      </c>
    </row>
    <row r="19170" spans="1:11" x14ac:dyDescent="0.35">
      <c r="A19170" s="9" t="str">
        <f>HYPERLINK("http://www.ensembl.org/id/WBGene00016484", "WBGene00016484")</f>
        <v>WBGene00016484</v>
      </c>
      <c r="B19170" s="9" t="str">
        <f>HYPERLINK("http://www.ncbi.nlm.nih.gov/gene/183271", "183271")</f>
        <v>183271</v>
      </c>
      <c r="C19170" s="9"/>
      <c r="D19170" t="str">
        <f>"C36C5.15"</f>
        <v>C36C5.15</v>
      </c>
      <c r="F19170" t="s">
        <v>11</v>
      </c>
      <c r="H19170" s="12">
        <v>1.7583962836361899</v>
      </c>
      <c r="I19170" s="20">
        <v>0.22873388038929099</v>
      </c>
      <c r="J19170" s="28">
        <v>0.81907576004121996</v>
      </c>
      <c r="K19170" s="29">
        <v>0.987311163759376</v>
      </c>
    </row>
    <row r="19171" spans="1:11" x14ac:dyDescent="0.35">
      <c r="A19171" s="9" t="str">
        <f>HYPERLINK("http://www.ensembl.org/id/WBGene00019952", "WBGene00019952")</f>
        <v>WBGene00019952</v>
      </c>
      <c r="B19171" s="9" t="str">
        <f>HYPERLINK("http://www.ncbi.nlm.nih.gov/gene/177210", "177210")</f>
        <v>177210</v>
      </c>
      <c r="C19171" s="9"/>
      <c r="D19171" t="str">
        <f>"fbxb-74"</f>
        <v>fbxb-74</v>
      </c>
      <c r="E19171" t="s">
        <v>1436</v>
      </c>
      <c r="F19171" t="s">
        <v>11</v>
      </c>
      <c r="G19171" t="s">
        <v>54</v>
      </c>
      <c r="H19171" s="12">
        <v>1.0983784163622901</v>
      </c>
      <c r="I19171" s="20">
        <v>0.228722567055027</v>
      </c>
      <c r="J19171" s="28">
        <v>0.819084553713472</v>
      </c>
      <c r="K19171" s="29">
        <v>0.987311163759376</v>
      </c>
    </row>
    <row r="19172" spans="1:11" x14ac:dyDescent="0.35">
      <c r="A19172" s="9" t="str">
        <f>HYPERLINK("http://www.ensembl.org/id/WBGene00007151", "WBGene00007151")</f>
        <v>WBGene00007151</v>
      </c>
      <c r="B19172" s="9"/>
      <c r="C19172" s="9"/>
      <c r="D19172" t="str">
        <f>"B0365.2"</f>
        <v>B0365.2</v>
      </c>
      <c r="F19172" t="s">
        <v>80</v>
      </c>
      <c r="H19172" s="12">
        <v>-2.1267282631079398</v>
      </c>
      <c r="I19172" s="20">
        <v>-0.22834758734847199</v>
      </c>
      <c r="J19172" s="28">
        <v>0.81937603226100097</v>
      </c>
      <c r="K19172" s="29">
        <v>0.98735346030887505</v>
      </c>
    </row>
    <row r="19173" spans="1:11" x14ac:dyDescent="0.35">
      <c r="A19173" s="9" t="str">
        <f>HYPERLINK("http://www.ensembl.org/id/WBGene00016105", "WBGene00016105")</f>
        <v>WBGene00016105</v>
      </c>
      <c r="B19173" s="9" t="str">
        <f>HYPERLINK("http://www.ncbi.nlm.nih.gov/gene/182897", "182897")</f>
        <v>182897</v>
      </c>
      <c r="C19173" s="9"/>
      <c r="D19173" t="str">
        <f>"C25F6.6"</f>
        <v>C25F6.6</v>
      </c>
      <c r="F19173" t="s">
        <v>11</v>
      </c>
      <c r="H19173" s="12">
        <v>1.2446962005094</v>
      </c>
      <c r="I19173" s="20">
        <v>0.22843727587811599</v>
      </c>
      <c r="J19173" s="28">
        <v>0.81930631346287897</v>
      </c>
      <c r="K19173" s="29">
        <v>0.98735346030887505</v>
      </c>
    </row>
    <row r="19174" spans="1:11" x14ac:dyDescent="0.35">
      <c r="A19174" s="9" t="str">
        <f>HYPERLINK("http://www.ensembl.org/id/WBGene00013217", "WBGene00013217")</f>
        <v>WBGene00013217</v>
      </c>
      <c r="B19174" s="9" t="str">
        <f>HYPERLINK("http://www.ncbi.nlm.nih.gov/gene/175087", "175087")</f>
        <v>175087</v>
      </c>
      <c r="C19174" s="9"/>
      <c r="D19174" t="str">
        <f>"ddl-3"</f>
        <v>ddl-3</v>
      </c>
      <c r="E19174" t="s">
        <v>9788</v>
      </c>
      <c r="F19174" t="s">
        <v>11</v>
      </c>
      <c r="G19174" t="s">
        <v>10262</v>
      </c>
      <c r="H19174" s="12">
        <v>-1.0496705077509501</v>
      </c>
      <c r="I19174" s="20">
        <v>-0.22835095493167101</v>
      </c>
      <c r="J19174" s="28">
        <v>0.81937341446619005</v>
      </c>
      <c r="K19174" s="29">
        <v>0.98735346030887505</v>
      </c>
    </row>
    <row r="19175" spans="1:11" x14ac:dyDescent="0.35">
      <c r="A19175" s="9" t="str">
        <f>HYPERLINK("http://www.ensembl.org/id/WBGene00201908", "WBGene00201908")</f>
        <v>WBGene00201908</v>
      </c>
      <c r="B19175" s="9"/>
      <c r="C19175" s="9"/>
      <c r="D19175" t="str">
        <f>"F09C8.6"</f>
        <v>F09C8.6</v>
      </c>
      <c r="F19175" t="s">
        <v>481</v>
      </c>
      <c r="H19175" s="12">
        <v>-2.1267282631079398</v>
      </c>
      <c r="I19175" s="20">
        <v>-0.22834758734847199</v>
      </c>
      <c r="J19175" s="28">
        <v>0.81937603226100097</v>
      </c>
      <c r="K19175" s="29">
        <v>0.98735346030887505</v>
      </c>
    </row>
    <row r="19176" spans="1:11" x14ac:dyDescent="0.35">
      <c r="A19176" s="9" t="str">
        <f>HYPERLINK("http://www.ensembl.org/id/WBGene00195449", "WBGene00195449")</f>
        <v>WBGene00195449</v>
      </c>
      <c r="B19176" s="9"/>
      <c r="C19176" s="9"/>
      <c r="D19176" t="str">
        <f>"F10D7.6"</f>
        <v>F10D7.6</v>
      </c>
      <c r="F19176" t="s">
        <v>481</v>
      </c>
      <c r="H19176" s="12">
        <v>-2.1267282631079398</v>
      </c>
      <c r="I19176" s="20">
        <v>-0.22834758734847199</v>
      </c>
      <c r="J19176" s="28">
        <v>0.81937603226100097</v>
      </c>
      <c r="K19176" s="29">
        <v>0.98735346030887505</v>
      </c>
    </row>
    <row r="19177" spans="1:11" x14ac:dyDescent="0.35">
      <c r="A19177" s="9" t="str">
        <f>HYPERLINK("http://www.ensembl.org/id/WBGene00045376", "WBGene00045376")</f>
        <v>WBGene00045376</v>
      </c>
      <c r="B19177" s="9"/>
      <c r="C19177" s="9"/>
      <c r="D19177" t="str">
        <f>"F25H5.9"</f>
        <v>F25H5.9</v>
      </c>
      <c r="F19177" t="s">
        <v>2977</v>
      </c>
      <c r="H19177" s="12">
        <v>-2.1267282631079398</v>
      </c>
      <c r="I19177" s="20">
        <v>-0.22834758734847199</v>
      </c>
      <c r="J19177" s="28">
        <v>0.81937603226100097</v>
      </c>
      <c r="K19177" s="29">
        <v>0.98735346030887505</v>
      </c>
    </row>
    <row r="19178" spans="1:11" x14ac:dyDescent="0.35">
      <c r="A19178" s="9" t="str">
        <f>HYPERLINK("http://www.ensembl.org/id/WBGene00011095", "WBGene00011095")</f>
        <v>WBGene00011095</v>
      </c>
      <c r="B19178" s="9" t="str">
        <f>HYPERLINK("http://www.ncbi.nlm.nih.gov/gene/179660", "179660")</f>
        <v>179660</v>
      </c>
      <c r="C19178" s="9" t="str">
        <f>HYPERLINK("http://www.ncbi.nlm.nih.gov/gene/4668", "4668")</f>
        <v>4668</v>
      </c>
      <c r="D19178" t="str">
        <f>"gana-1"</f>
        <v>gana-1</v>
      </c>
      <c r="E19178" t="s">
        <v>10263</v>
      </c>
      <c r="F19178" t="s">
        <v>11</v>
      </c>
      <c r="G19178" t="s">
        <v>10264</v>
      </c>
      <c r="H19178" s="12">
        <v>1.05001216567713</v>
      </c>
      <c r="I19178" s="20">
        <v>0.22828798313388801</v>
      </c>
      <c r="J19178" s="28">
        <v>0.81942236600129503</v>
      </c>
      <c r="K19178" s="29">
        <v>0.98735780083572799</v>
      </c>
    </row>
    <row r="19179" spans="1:11" x14ac:dyDescent="0.35">
      <c r="A19179" s="9" t="str">
        <f>HYPERLINK("http://www.ensembl.org/id/WBGene00008381", "WBGene00008381")</f>
        <v>WBGene00008381</v>
      </c>
      <c r="B19179" s="9" t="str">
        <f>HYPERLINK("http://www.ncbi.nlm.nih.gov/gene/183927", "183927")</f>
        <v>183927</v>
      </c>
      <c r="C19179" s="9"/>
      <c r="D19179" t="str">
        <f>"D1081.3"</f>
        <v>D1081.3</v>
      </c>
      <c r="F19179" t="s">
        <v>11</v>
      </c>
      <c r="H19179" s="12">
        <v>-1.76471428496015</v>
      </c>
      <c r="I19179" s="20">
        <v>-0.227855950963751</v>
      </c>
      <c r="J19179" s="28">
        <v>0.81975822797475395</v>
      </c>
      <c r="K19179" s="29">
        <v>0.98740205471431297</v>
      </c>
    </row>
    <row r="19180" spans="1:11" x14ac:dyDescent="0.35">
      <c r="A19180" s="9" t="str">
        <f>HYPERLINK("http://www.ensembl.org/id/WBGene00009240", "WBGene00009240")</f>
        <v>WBGene00009240</v>
      </c>
      <c r="B19180" s="9" t="str">
        <f>HYPERLINK("http://www.ncbi.nlm.nih.gov/gene/185098", "185098")</f>
        <v>185098</v>
      </c>
      <c r="C19180" s="9"/>
      <c r="D19180" t="str">
        <f>"F28H7.7"</f>
        <v>F28H7.7</v>
      </c>
      <c r="F19180" t="s">
        <v>11</v>
      </c>
      <c r="G19180" t="s">
        <v>1686</v>
      </c>
      <c r="H19180" s="12">
        <v>-1.3887073432232899</v>
      </c>
      <c r="I19180" s="20">
        <v>-0.22817648452845499</v>
      </c>
      <c r="J19180" s="28">
        <v>0.81950904189080198</v>
      </c>
      <c r="K19180" s="29">
        <v>0.98740205471431297</v>
      </c>
    </row>
    <row r="19181" spans="1:11" x14ac:dyDescent="0.35">
      <c r="A19181" s="9" t="str">
        <f>HYPERLINK("http://www.ensembl.org/id/WBGene00045325", "WBGene00045325")</f>
        <v>WBGene00045325</v>
      </c>
      <c r="B19181" s="9"/>
      <c r="C19181" s="9"/>
      <c r="D19181" t="str">
        <f>"mir-789.1"</f>
        <v>mir-789.1</v>
      </c>
      <c r="F19181" t="s">
        <v>1486</v>
      </c>
      <c r="H19181" s="12">
        <v>1.18691169539922</v>
      </c>
      <c r="I19181" s="20">
        <v>0.22797262276871699</v>
      </c>
      <c r="J19181" s="28">
        <v>0.81966752400780996</v>
      </c>
      <c r="K19181" s="29">
        <v>0.98740205471431297</v>
      </c>
    </row>
    <row r="19182" spans="1:11" x14ac:dyDescent="0.35">
      <c r="A19182" s="9" t="str">
        <f>HYPERLINK("http://www.ensembl.org/id/WBGene00009680", "WBGene00009680")</f>
        <v>WBGene00009680</v>
      </c>
      <c r="B19182" s="9" t="str">
        <f>HYPERLINK("http://www.ncbi.nlm.nih.gov/gene/177863", "177863")</f>
        <v>177863</v>
      </c>
      <c r="C19182" s="9"/>
      <c r="D19182" t="str">
        <f>"msd-1"</f>
        <v>msd-1</v>
      </c>
      <c r="E19182" t="s">
        <v>9793</v>
      </c>
      <c r="F19182" t="s">
        <v>11</v>
      </c>
      <c r="G19182" t="s">
        <v>9794</v>
      </c>
      <c r="H19182" s="12">
        <v>-1.76471428496015</v>
      </c>
      <c r="I19182" s="20">
        <v>-0.227855950963751</v>
      </c>
      <c r="J19182" s="28">
        <v>0.81975822797475395</v>
      </c>
      <c r="K19182" s="29">
        <v>0.98740205471431297</v>
      </c>
    </row>
    <row r="19183" spans="1:11" x14ac:dyDescent="0.35">
      <c r="A19183" s="9" t="str">
        <f>HYPERLINK("http://www.ensembl.org/id/WBGene00020502", "WBGene00020502")</f>
        <v>WBGene00020502</v>
      </c>
      <c r="B19183" s="9" t="str">
        <f>HYPERLINK("http://www.ncbi.nlm.nih.gov/gene/188493", "188493")</f>
        <v>188493</v>
      </c>
      <c r="C19183" s="9"/>
      <c r="D19183" t="str">
        <f>"T14B4.8"</f>
        <v>T14B4.8</v>
      </c>
      <c r="F19183" t="s">
        <v>11</v>
      </c>
      <c r="H19183" s="12">
        <v>1.0671272973850701</v>
      </c>
      <c r="I19183" s="20">
        <v>0.22794163279152799</v>
      </c>
      <c r="J19183" s="28">
        <v>0.81969161625889297</v>
      </c>
      <c r="K19183" s="29">
        <v>0.98740205471431297</v>
      </c>
    </row>
    <row r="19184" spans="1:11" x14ac:dyDescent="0.35">
      <c r="A19184" s="9" t="str">
        <f>HYPERLINK("http://www.ensembl.org/id/WBGene00012250", "WBGene00012250")</f>
        <v>WBGene00012250</v>
      </c>
      <c r="B19184" s="9" t="str">
        <f>HYPERLINK("http://www.ncbi.nlm.nih.gov/gene/189192", "189192")</f>
        <v>189192</v>
      </c>
      <c r="C19184" s="9"/>
      <c r="D19184" t="str">
        <f>"W04E12.5"</f>
        <v>W04E12.5</v>
      </c>
      <c r="F19184" t="s">
        <v>11</v>
      </c>
      <c r="G19184" t="s">
        <v>25</v>
      </c>
      <c r="H19184" s="12">
        <v>-1.76471428496015</v>
      </c>
      <c r="I19184" s="20">
        <v>-0.227855950963751</v>
      </c>
      <c r="J19184" s="28">
        <v>0.81975822797475395</v>
      </c>
      <c r="K19184" s="29">
        <v>0.98740205471431297</v>
      </c>
    </row>
    <row r="19185" spans="1:11" x14ac:dyDescent="0.35">
      <c r="A19185" s="9" t="str">
        <f>HYPERLINK("http://www.ensembl.org/id/WBGene00022710", "WBGene00022710")</f>
        <v>WBGene00022710</v>
      </c>
      <c r="B19185" s="9" t="str">
        <f>HYPERLINK("http://www.ncbi.nlm.nih.gov/gene/191296", "191296")</f>
        <v>191296</v>
      </c>
      <c r="C19185" s="9"/>
      <c r="D19185" t="str">
        <f>"ZK354.9"</f>
        <v>ZK354.9</v>
      </c>
      <c r="E19185" t="s">
        <v>2496</v>
      </c>
      <c r="F19185" t="s">
        <v>11</v>
      </c>
      <c r="G19185" t="s">
        <v>2497</v>
      </c>
      <c r="H19185" s="12">
        <v>-1.32169837417431</v>
      </c>
      <c r="I19185" s="20">
        <v>-0.22788919647532299</v>
      </c>
      <c r="J19185" s="28">
        <v>0.81973238172637397</v>
      </c>
      <c r="K19185" s="29">
        <v>0.98740205471431297</v>
      </c>
    </row>
    <row r="19186" spans="1:11" x14ac:dyDescent="0.35">
      <c r="A19186" s="9" t="str">
        <f>HYPERLINK("http://www.ensembl.org/id/WBGene00007883", "WBGene00007883")</f>
        <v>WBGene00007883</v>
      </c>
      <c r="B19186" s="9" t="str">
        <f>HYPERLINK("http://www.ncbi.nlm.nih.gov/gene/177784", "177784")</f>
        <v>177784</v>
      </c>
      <c r="C19186" s="9"/>
      <c r="D19186" t="str">
        <f>"C33A12.4"</f>
        <v>C33A12.4</v>
      </c>
      <c r="F19186" t="s">
        <v>11</v>
      </c>
      <c r="H19186" s="12">
        <v>-1.05230717492689</v>
      </c>
      <c r="I19186" s="20">
        <v>-0.22769681701201699</v>
      </c>
      <c r="J19186" s="28">
        <v>0.81988194710491502</v>
      </c>
      <c r="K19186" s="29">
        <v>0.98744812456638897</v>
      </c>
    </row>
    <row r="19187" spans="1:11" x14ac:dyDescent="0.35">
      <c r="A19187" s="9" t="str">
        <f>HYPERLINK("http://www.ensembl.org/id/WBGene00017359", "WBGene00017359")</f>
        <v>WBGene00017359</v>
      </c>
      <c r="B19187" s="9" t="str">
        <f>HYPERLINK("http://www.ncbi.nlm.nih.gov/gene/260096", "260096")</f>
        <v>260096</v>
      </c>
      <c r="C19187" s="9"/>
      <c r="D19187" t="str">
        <f>"F10E9.10"</f>
        <v>F10E9.10</v>
      </c>
      <c r="F19187" t="s">
        <v>11</v>
      </c>
      <c r="G19187" t="s">
        <v>25</v>
      </c>
      <c r="H19187" s="12">
        <v>-1.1085348678992899</v>
      </c>
      <c r="I19187" s="20">
        <v>-0.227704824670661</v>
      </c>
      <c r="J19187" s="28">
        <v>0.81987572142145204</v>
      </c>
      <c r="K19187" s="29">
        <v>0.98744812456638897</v>
      </c>
    </row>
    <row r="19188" spans="1:11" x14ac:dyDescent="0.35">
      <c r="A19188" s="9" t="str">
        <f>HYPERLINK("http://www.ensembl.org/id/WBGene00269390", "WBGene00269390")</f>
        <v>WBGene00269390</v>
      </c>
      <c r="B19188" s="9"/>
      <c r="C19188" s="9"/>
      <c r="D19188" t="str">
        <f>"C08F1.13"</f>
        <v>C08F1.13</v>
      </c>
      <c r="F19188" t="s">
        <v>80</v>
      </c>
      <c r="H19188" s="12">
        <v>1.2669173234682201</v>
      </c>
      <c r="I19188" s="20">
        <v>0.22763110379155799</v>
      </c>
      <c r="J19188" s="28">
        <v>0.81993303733759504</v>
      </c>
      <c r="K19188" s="29">
        <v>0.98745711544179304</v>
      </c>
    </row>
    <row r="19189" spans="1:11" x14ac:dyDescent="0.35">
      <c r="A19189" s="9" t="str">
        <f>HYPERLINK("http://www.ensembl.org/id/WBGene00018474", "WBGene00018474")</f>
        <v>WBGene00018474</v>
      </c>
      <c r="B19189" s="9" t="str">
        <f>HYPERLINK("http://www.ncbi.nlm.nih.gov/gene/185802", "185802")</f>
        <v>185802</v>
      </c>
      <c r="C19189" s="9" t="str">
        <f>HYPERLINK("http://www.ncbi.nlm.nih.gov/gene/23399", "23399")</f>
        <v>23399</v>
      </c>
      <c r="D19189" t="str">
        <f>"cnep-1"</f>
        <v>cnep-1</v>
      </c>
      <c r="E19189" t="s">
        <v>10265</v>
      </c>
      <c r="F19189" t="s">
        <v>11</v>
      </c>
      <c r="G19189" t="s">
        <v>10266</v>
      </c>
      <c r="H19189" s="12">
        <v>-1.04610599481886</v>
      </c>
      <c r="I19189" s="20">
        <v>-0.22757728031962299</v>
      </c>
      <c r="J19189" s="28">
        <v>0.81997488418513298</v>
      </c>
      <c r="K19189" s="29">
        <v>0.98745711544179304</v>
      </c>
    </row>
    <row r="19190" spans="1:11" x14ac:dyDescent="0.35">
      <c r="A19190" s="9" t="str">
        <f>HYPERLINK("http://www.ensembl.org/id/WBGene00007591", "WBGene00007591")</f>
        <v>WBGene00007591</v>
      </c>
      <c r="B19190" s="9" t="str">
        <f>HYPERLINK("http://www.ncbi.nlm.nih.gov/gene/181233", "181233")</f>
        <v>181233</v>
      </c>
      <c r="C19190" s="9" t="str">
        <f>HYPERLINK("http://www.ncbi.nlm.nih.gov/gene/91252", "91252")</f>
        <v>91252</v>
      </c>
      <c r="D19190" t="str">
        <f>"zipt-13"</f>
        <v>zipt-13</v>
      </c>
      <c r="E19190" t="s">
        <v>106</v>
      </c>
      <c r="F19190" t="s">
        <v>11</v>
      </c>
      <c r="G19190" t="s">
        <v>9950</v>
      </c>
      <c r="H19190" s="12">
        <v>1.0447673337544501</v>
      </c>
      <c r="I19190" s="20">
        <v>0.22746370069439101</v>
      </c>
      <c r="J19190" s="28">
        <v>0.82006319212253698</v>
      </c>
      <c r="K19190" s="29">
        <v>0.98751199276544399</v>
      </c>
    </row>
    <row r="19191" spans="1:11" x14ac:dyDescent="0.35">
      <c r="A19191" s="9" t="str">
        <f>HYPERLINK("http://www.ensembl.org/id/WBGene00017967", "WBGene00017967")</f>
        <v>WBGene00017967</v>
      </c>
      <c r="B19191" s="9" t="str">
        <f>HYPERLINK("http://www.ncbi.nlm.nih.gov/gene/174194", "174194")</f>
        <v>174194</v>
      </c>
      <c r="C19191" s="9"/>
      <c r="D19191" t="str">
        <f>"ada-2"</f>
        <v>ada-2</v>
      </c>
      <c r="E19191" t="s">
        <v>10269</v>
      </c>
      <c r="F19191" t="s">
        <v>11</v>
      </c>
      <c r="G19191" t="s">
        <v>10270</v>
      </c>
      <c r="H19191" s="12">
        <v>-1.04725864898772</v>
      </c>
      <c r="I19191" s="20">
        <v>-0.227261196783374</v>
      </c>
      <c r="J19191" s="28">
        <v>0.82022064417832297</v>
      </c>
      <c r="K19191" s="29">
        <v>0.98753201404768198</v>
      </c>
    </row>
    <row r="19192" spans="1:11" x14ac:dyDescent="0.35">
      <c r="A19192" s="9" t="str">
        <f>HYPERLINK("http://www.ensembl.org/id/WBGene00012482", "WBGene00012482")</f>
        <v>WBGene00012482</v>
      </c>
      <c r="B19192" s="9" t="str">
        <f>HYPERLINK("http://www.ncbi.nlm.nih.gov/gene/173154", "173154")</f>
        <v>173154</v>
      </c>
      <c r="C19192" s="9"/>
      <c r="D19192" t="str">
        <f>"clec-106"</f>
        <v>clec-106</v>
      </c>
      <c r="E19192" t="s">
        <v>46</v>
      </c>
      <c r="F19192" t="s">
        <v>11</v>
      </c>
      <c r="G19192" t="s">
        <v>47</v>
      </c>
      <c r="H19192" s="12">
        <v>1.22831958566584</v>
      </c>
      <c r="I19192" s="20">
        <v>0.22737812187789599</v>
      </c>
      <c r="J19192" s="28">
        <v>0.820129730992877</v>
      </c>
      <c r="K19192" s="29">
        <v>0.98753201404768198</v>
      </c>
    </row>
    <row r="19193" spans="1:11" x14ac:dyDescent="0.35">
      <c r="A19193" s="9" t="str">
        <f>HYPERLINK("http://www.ensembl.org/id/WBGene00009477", "WBGene00009477")</f>
        <v>WBGene00009477</v>
      </c>
      <c r="B19193" s="9" t="str">
        <f>HYPERLINK("http://www.ncbi.nlm.nih.gov/gene/172720", "172720")</f>
        <v>172720</v>
      </c>
      <c r="C19193" s="9"/>
      <c r="D19193" t="str">
        <f>"rbpl-1"</f>
        <v>rbpl-1</v>
      </c>
      <c r="E19193" t="s">
        <v>10267</v>
      </c>
      <c r="F19193" t="s">
        <v>11</v>
      </c>
      <c r="G19193" t="s">
        <v>10268</v>
      </c>
      <c r="H19193" s="12">
        <v>1.0422005900361899</v>
      </c>
      <c r="I19193" s="20">
        <v>0.22722194697381101</v>
      </c>
      <c r="J19193" s="28">
        <v>0.82025116276427801</v>
      </c>
      <c r="K19193" s="29">
        <v>0.98753201404768198</v>
      </c>
    </row>
    <row r="19194" spans="1:11" x14ac:dyDescent="0.35">
      <c r="A19194" s="9" t="str">
        <f>HYPERLINK("http://www.ensembl.org/id/WBGene00006210", "WBGene00006210")</f>
        <v>WBGene00006210</v>
      </c>
      <c r="B19194" s="9" t="str">
        <f>HYPERLINK("http://www.ncbi.nlm.nih.gov/gene/186282", "186282")</f>
        <v>186282</v>
      </c>
      <c r="C19194" s="9"/>
      <c r="D19194" t="str">
        <f>"str-165"</f>
        <v>str-165</v>
      </c>
      <c r="E19194" t="s">
        <v>590</v>
      </c>
      <c r="F19194" t="s">
        <v>11</v>
      </c>
      <c r="G19194" t="s">
        <v>591</v>
      </c>
      <c r="H19194" s="12">
        <v>1.5270840200356901</v>
      </c>
      <c r="I19194" s="20">
        <v>0.22725372880071401</v>
      </c>
      <c r="J19194" s="28">
        <v>0.82022645086758394</v>
      </c>
      <c r="K19194" s="29">
        <v>0.98753201404768198</v>
      </c>
    </row>
    <row r="19195" spans="1:11" x14ac:dyDescent="0.35">
      <c r="A19195" s="9" t="str">
        <f>HYPERLINK("http://www.ensembl.org/id/WBGene00022079", "WBGene00022079")</f>
        <v>WBGene00022079</v>
      </c>
      <c r="B19195" s="9"/>
      <c r="C19195" s="9"/>
      <c r="D19195" t="str">
        <f>"Y69A2AR.8"</f>
        <v>Y69A2AR.8</v>
      </c>
      <c r="F19195" t="s">
        <v>80</v>
      </c>
      <c r="H19195" s="12">
        <v>1.51576894404157</v>
      </c>
      <c r="I19195" s="20">
        <v>0.2271674792094</v>
      </c>
      <c r="J19195" s="28">
        <v>0.82029351448182997</v>
      </c>
      <c r="K19195" s="29">
        <v>0.98753201404768198</v>
      </c>
    </row>
    <row r="19196" spans="1:11" x14ac:dyDescent="0.35">
      <c r="A19196" s="9" t="str">
        <f>HYPERLINK("http://www.ensembl.org/id/WBGene00003808", "WBGene00003808")</f>
        <v>WBGene00003808</v>
      </c>
      <c r="B19196" s="9" t="str">
        <f>HYPERLINK("http://www.ncbi.nlm.nih.gov/gene/177790", "177790")</f>
        <v>177790</v>
      </c>
      <c r="C19196" s="9" t="str">
        <f>HYPERLINK("http://www.ncbi.nlm.nih.gov/gene/3062", "3062")</f>
        <v>3062</v>
      </c>
      <c r="D19196" t="str">
        <f>"npr-2"</f>
        <v>npr-2</v>
      </c>
      <c r="E19196" t="s">
        <v>1021</v>
      </c>
      <c r="F19196" t="s">
        <v>11</v>
      </c>
      <c r="G19196" t="s">
        <v>1259</v>
      </c>
      <c r="H19196" s="12">
        <v>-1.05005774893758</v>
      </c>
      <c r="I19196" s="20">
        <v>-0.22707488512605101</v>
      </c>
      <c r="J19196" s="28">
        <v>0.82036551273636904</v>
      </c>
      <c r="K19196" s="29">
        <v>0.98756723649507805</v>
      </c>
    </row>
    <row r="19197" spans="1:11" x14ac:dyDescent="0.35">
      <c r="A19197" s="9" t="str">
        <f>HYPERLINK("http://www.ensembl.org/id/WBGene00235132", "WBGene00235132")</f>
        <v>WBGene00235132</v>
      </c>
      <c r="B19197" s="9" t="str">
        <f>HYPERLINK("http://www.ncbi.nlm.nih.gov/gene/24105298", "24105298")</f>
        <v>24105298</v>
      </c>
      <c r="C19197" s="9"/>
      <c r="D19197" t="str">
        <f>"ZK792.12"</f>
        <v>ZK792.12</v>
      </c>
      <c r="F19197" t="s">
        <v>11</v>
      </c>
      <c r="G19197" t="s">
        <v>25</v>
      </c>
      <c r="H19197" s="12">
        <v>-1.5038360520382099</v>
      </c>
      <c r="I19197" s="20">
        <v>-0.22697215523924899</v>
      </c>
      <c r="J19197" s="28">
        <v>0.82044539404516303</v>
      </c>
      <c r="K19197" s="29">
        <v>0.98761194450677403</v>
      </c>
    </row>
    <row r="19198" spans="1:11" x14ac:dyDescent="0.35">
      <c r="A19198" s="9" t="str">
        <f>HYPERLINK("http://www.ensembl.org/id/WBGene00002271", "WBGene00002271")</f>
        <v>WBGene00002271</v>
      </c>
      <c r="B19198" s="9" t="str">
        <f>HYPERLINK("http://www.ncbi.nlm.nih.gov/gene/181198", "181198")</f>
        <v>181198</v>
      </c>
      <c r="C19198" s="9"/>
      <c r="D19198" t="str">
        <f>"lec-8"</f>
        <v>lec-8</v>
      </c>
      <c r="E19198" t="s">
        <v>10271</v>
      </c>
      <c r="F19198" t="s">
        <v>11</v>
      </c>
      <c r="G19198" t="s">
        <v>47</v>
      </c>
      <c r="H19198" s="12">
        <v>1.04266675973401</v>
      </c>
      <c r="I19198" s="20">
        <v>0.22687935305919199</v>
      </c>
      <c r="J19198" s="28">
        <v>0.82051755731075204</v>
      </c>
      <c r="K19198" s="29">
        <v>0.98764735774235501</v>
      </c>
    </row>
    <row r="19199" spans="1:11" x14ac:dyDescent="0.35">
      <c r="A19199" s="9" t="str">
        <f>HYPERLINK("http://www.ensembl.org/id/WBGene00016349", "WBGene00016349")</f>
        <v>WBGene00016349</v>
      </c>
      <c r="B19199" s="9" t="str">
        <f>HYPERLINK("http://www.ncbi.nlm.nih.gov/gene/183164", "183164")</f>
        <v>183164</v>
      </c>
      <c r="C19199" s="9"/>
      <c r="D19199" t="str">
        <f>"C33E10.8"</f>
        <v>C33E10.8</v>
      </c>
      <c r="F19199" t="s">
        <v>11</v>
      </c>
      <c r="H19199" s="12">
        <v>-1.2825159497266601</v>
      </c>
      <c r="I19199" s="20">
        <v>-0.226582824919001</v>
      </c>
      <c r="J19199" s="28">
        <v>0.82074814870135104</v>
      </c>
      <c r="K19199" s="29">
        <v>0.987873455430193</v>
      </c>
    </row>
    <row r="19200" spans="1:11" x14ac:dyDescent="0.35">
      <c r="A19200" s="9" t="str">
        <f>HYPERLINK("http://www.ensembl.org/id/WBGene00019641", "WBGene00019641")</f>
        <v>WBGene00019641</v>
      </c>
      <c r="B19200" s="9" t="str">
        <f>HYPERLINK("http://www.ncbi.nlm.nih.gov/gene/173739", "173739")</f>
        <v>173739</v>
      </c>
      <c r="C19200" s="9"/>
      <c r="D19200" t="str">
        <f>"K10G6.4"</f>
        <v>K10G6.4</v>
      </c>
      <c r="F19200" t="s">
        <v>11</v>
      </c>
      <c r="H19200" s="12">
        <v>-1.12655380982562</v>
      </c>
      <c r="I19200" s="20">
        <v>-0.22647229558529899</v>
      </c>
      <c r="J19200" s="28">
        <v>0.82083410441690297</v>
      </c>
      <c r="K19200" s="29">
        <v>0.987925451435408</v>
      </c>
    </row>
    <row r="19201" spans="1:11" x14ac:dyDescent="0.35">
      <c r="A19201" s="9" t="str">
        <f>HYPERLINK("http://www.ensembl.org/id/WBGene00012533", "WBGene00012533")</f>
        <v>WBGene00012533</v>
      </c>
      <c r="B19201" s="9" t="str">
        <f>HYPERLINK("http://www.ncbi.nlm.nih.gov/gene/189597", "189597")</f>
        <v>189597</v>
      </c>
      <c r="C19201" s="9"/>
      <c r="D19201" t="str">
        <f>"fbxa-209"</f>
        <v>fbxa-209</v>
      </c>
      <c r="E19201" t="s">
        <v>467</v>
      </c>
      <c r="F19201" t="s">
        <v>11</v>
      </c>
      <c r="H19201" s="12">
        <v>-1.17395605044992</v>
      </c>
      <c r="I19201" s="20">
        <v>-0.226258924370384</v>
      </c>
      <c r="J19201" s="28">
        <v>0.82100004360636603</v>
      </c>
      <c r="K19201" s="29">
        <v>0.98797078316591203</v>
      </c>
    </row>
    <row r="19202" spans="1:11" x14ac:dyDescent="0.35">
      <c r="A19202" s="9" t="str">
        <f>HYPERLINK("http://www.ensembl.org/id/WBGene00220019", "WBGene00220019")</f>
        <v>WBGene00220019</v>
      </c>
      <c r="B19202" s="9"/>
      <c r="C19202" s="9"/>
      <c r="D19202" t="str">
        <f>"K10D3.10"</f>
        <v>K10D3.10</v>
      </c>
      <c r="F19202" t="s">
        <v>2977</v>
      </c>
      <c r="H19202" s="12">
        <v>1.0471161122252199</v>
      </c>
      <c r="I19202" s="20">
        <v>0.22628043744308701</v>
      </c>
      <c r="J19202" s="28">
        <v>0.82098331248656997</v>
      </c>
      <c r="K19202" s="29">
        <v>0.98797078316591203</v>
      </c>
    </row>
    <row r="19203" spans="1:11" x14ac:dyDescent="0.35">
      <c r="A19203" s="9" t="str">
        <f>HYPERLINK("http://www.ensembl.org/id/WBGene00002999", "WBGene00002999")</f>
        <v>WBGene00002999</v>
      </c>
      <c r="B19203" s="9" t="str">
        <f>HYPERLINK("http://www.ncbi.nlm.nih.gov/gene/172597", "172597")</f>
        <v>172597</v>
      </c>
      <c r="C19203" s="9"/>
      <c r="D19203" t="str">
        <f>"lin-10"</f>
        <v>lin-10</v>
      </c>
      <c r="F19203" t="s">
        <v>11</v>
      </c>
      <c r="G19203" t="s">
        <v>54</v>
      </c>
      <c r="H19203" s="12">
        <v>1.04227209970572</v>
      </c>
      <c r="I19203" s="20">
        <v>0.226270402447311</v>
      </c>
      <c r="J19203" s="28">
        <v>0.82099111688070603</v>
      </c>
      <c r="K19203" s="29">
        <v>0.98797078316591203</v>
      </c>
    </row>
    <row r="19204" spans="1:11" x14ac:dyDescent="0.35">
      <c r="A19204" s="9" t="str">
        <f>HYPERLINK("http://www.ensembl.org/id/WBGene00019327", "WBGene00019327")</f>
        <v>WBGene00019327</v>
      </c>
      <c r="B19204" s="9" t="str">
        <f>HYPERLINK("http://www.ncbi.nlm.nih.gov/gene/175240", "175240")</f>
        <v>175240</v>
      </c>
      <c r="C19204" s="9"/>
      <c r="D19204" t="str">
        <f>"zip-2"</f>
        <v>zip-2</v>
      </c>
      <c r="E19204" t="s">
        <v>777</v>
      </c>
      <c r="F19204" t="s">
        <v>11</v>
      </c>
      <c r="G19204" t="s">
        <v>10272</v>
      </c>
      <c r="H19204" s="12">
        <v>-1.04319182070546</v>
      </c>
      <c r="I19204" s="20">
        <v>-0.22606631246827599</v>
      </c>
      <c r="J19204" s="28">
        <v>0.821149845119998</v>
      </c>
      <c r="K19204" s="29">
        <v>0.98809958969600398</v>
      </c>
    </row>
    <row r="19205" spans="1:11" x14ac:dyDescent="0.35">
      <c r="A19205" s="9" t="str">
        <f>HYPERLINK("http://www.ensembl.org/id/WBGene00255702", "WBGene00255702")</f>
        <v>WBGene00255702</v>
      </c>
      <c r="B19205" s="9" t="str">
        <f>HYPERLINK("http://www.ncbi.nlm.nih.gov/gene/25502972", "25502972")</f>
        <v>25502972</v>
      </c>
      <c r="C19205" s="9"/>
      <c r="D19205" t="str">
        <f>"C06A12.19"</f>
        <v>C06A12.19</v>
      </c>
      <c r="F19205" t="s">
        <v>11</v>
      </c>
      <c r="G19205" t="s">
        <v>25</v>
      </c>
      <c r="H19205" s="12">
        <v>1.1927558055029801</v>
      </c>
      <c r="I19205" s="20">
        <v>0.22544573459714801</v>
      </c>
      <c r="J19205" s="28">
        <v>0.82163253618652798</v>
      </c>
      <c r="K19205" s="29">
        <v>0.98832013020594001</v>
      </c>
    </row>
    <row r="19206" spans="1:11" x14ac:dyDescent="0.35">
      <c r="A19206" s="9" t="str">
        <f>HYPERLINK("http://www.ensembl.org/id/WBGene00019043", "WBGene00019043")</f>
        <v>WBGene00019043</v>
      </c>
      <c r="B19206" s="9" t="str">
        <f>HYPERLINK("http://www.ncbi.nlm.nih.gov/gene/186516", "186516")</f>
        <v>186516</v>
      </c>
      <c r="C19206" s="9"/>
      <c r="D19206" t="str">
        <f>"fbxc-26"</f>
        <v>fbxc-26</v>
      </c>
      <c r="E19206" t="s">
        <v>311</v>
      </c>
      <c r="F19206" t="s">
        <v>11</v>
      </c>
      <c r="H19206" s="12">
        <v>1.12962323635624</v>
      </c>
      <c r="I19206" s="20">
        <v>0.225458162624849</v>
      </c>
      <c r="J19206" s="28">
        <v>0.82162286889115999</v>
      </c>
      <c r="K19206" s="29">
        <v>0.98832013020594001</v>
      </c>
    </row>
    <row r="19207" spans="1:11" x14ac:dyDescent="0.35">
      <c r="A19207" s="9" t="str">
        <f>HYPERLINK("http://www.ensembl.org/id/WBGene00003806", "WBGene00003806")</f>
        <v>WBGene00003806</v>
      </c>
      <c r="B19207" s="9" t="str">
        <f>HYPERLINK("http://www.ncbi.nlm.nih.gov/gene/176957", "176957")</f>
        <v>176957</v>
      </c>
      <c r="C19207" s="9" t="str">
        <f>HYPERLINK("http://www.ncbi.nlm.nih.gov/gene/6396", "6396")</f>
        <v>6396</v>
      </c>
      <c r="D19207" t="str">
        <f>"npp-20"</f>
        <v>npp-20</v>
      </c>
      <c r="F19207" t="s">
        <v>11</v>
      </c>
      <c r="G19207" t="s">
        <v>10274</v>
      </c>
      <c r="H19207" s="12">
        <v>-1.0445291539196799</v>
      </c>
      <c r="I19207" s="20">
        <v>-0.225610450061759</v>
      </c>
      <c r="J19207" s="28">
        <v>0.82150441242105898</v>
      </c>
      <c r="K19207" s="29">
        <v>0.98832013020594001</v>
      </c>
    </row>
    <row r="19208" spans="1:11" x14ac:dyDescent="0.35">
      <c r="A19208" s="9" t="str">
        <f>HYPERLINK("http://www.ensembl.org/id/WBGene00005165", "WBGene00005165")</f>
        <v>WBGene00005165</v>
      </c>
      <c r="B19208" s="9" t="str">
        <f>HYPERLINK("http://www.ncbi.nlm.nih.gov/gene/191833", "191833")</f>
        <v>191833</v>
      </c>
      <c r="C19208" s="9"/>
      <c r="D19208" t="str">
        <f>"srg-7"</f>
        <v>srg-7</v>
      </c>
      <c r="E19208" t="s">
        <v>10273</v>
      </c>
      <c r="F19208" t="s">
        <v>11</v>
      </c>
      <c r="G19208" t="s">
        <v>1829</v>
      </c>
      <c r="H19208" s="12">
        <v>1.3869960913341599</v>
      </c>
      <c r="I19208" s="20">
        <v>0.22568605865917801</v>
      </c>
      <c r="J19208" s="28">
        <v>0.82144560194055005</v>
      </c>
      <c r="K19208" s="29">
        <v>0.98832013020594001</v>
      </c>
    </row>
    <row r="19209" spans="1:11" x14ac:dyDescent="0.35">
      <c r="A19209" s="9" t="str">
        <f>HYPERLINK("http://www.ensembl.org/id/WBGene00011669", "WBGene00011669")</f>
        <v>WBGene00011669</v>
      </c>
      <c r="B19209" s="9" t="str">
        <f>HYPERLINK("http://www.ncbi.nlm.nih.gov/gene/188348", "188348")</f>
        <v>188348</v>
      </c>
      <c r="C19209" s="9"/>
      <c r="D19209" t="str">
        <f>"T09F5.10"</f>
        <v>T09F5.10</v>
      </c>
      <c r="F19209" t="s">
        <v>11</v>
      </c>
      <c r="H19209" s="12">
        <v>1.48684026584742</v>
      </c>
      <c r="I19209" s="20">
        <v>0.22546055763835801</v>
      </c>
      <c r="J19209" s="28">
        <v>0.82162100590333398</v>
      </c>
      <c r="K19209" s="29">
        <v>0.98832013020594001</v>
      </c>
    </row>
    <row r="19210" spans="1:11" x14ac:dyDescent="0.35">
      <c r="A19210" s="9" t="str">
        <f>HYPERLINK("http://www.ensembl.org/id/WBGene00044348", "WBGene00044348")</f>
        <v>WBGene00044348</v>
      </c>
      <c r="B19210" s="9" t="str">
        <f>HYPERLINK("http://www.ncbi.nlm.nih.gov/gene/3565511", "3565511")</f>
        <v>3565511</v>
      </c>
      <c r="C19210" s="9"/>
      <c r="D19210" t="str">
        <f>"Y71G12B.31"</f>
        <v>Y71G12B.31</v>
      </c>
      <c r="E19210" t="s">
        <v>1019</v>
      </c>
      <c r="F19210" t="s">
        <v>11</v>
      </c>
      <c r="G19210" t="s">
        <v>4317</v>
      </c>
      <c r="H19210" s="12">
        <v>1.0843286325865999</v>
      </c>
      <c r="I19210" s="20">
        <v>0.225613766881433</v>
      </c>
      <c r="J19210" s="28">
        <v>0.821501832484963</v>
      </c>
      <c r="K19210" s="29">
        <v>0.98832013020594001</v>
      </c>
    </row>
    <row r="19211" spans="1:11" x14ac:dyDescent="0.35">
      <c r="A19211" s="9" t="str">
        <f>HYPERLINK("http://www.ensembl.org/id/WBGene00022165", "WBGene00022165")</f>
        <v>WBGene00022165</v>
      </c>
      <c r="B19211" s="9" t="str">
        <f>HYPERLINK("http://www.ncbi.nlm.nih.gov/gene/190604", "190604")</f>
        <v>190604</v>
      </c>
      <c r="C19211" s="9"/>
      <c r="D19211" t="str">
        <f>"Y71H2AL.2"</f>
        <v>Y71H2AL.2</v>
      </c>
      <c r="F19211" t="s">
        <v>11</v>
      </c>
      <c r="G19211" t="s">
        <v>25</v>
      </c>
      <c r="H19211" s="12">
        <v>-1.1250825927927299</v>
      </c>
      <c r="I19211" s="20">
        <v>-0.22570827315717501</v>
      </c>
      <c r="J19211" s="28">
        <v>0.821428323073783</v>
      </c>
      <c r="K19211" s="29">
        <v>0.98832013020594001</v>
      </c>
    </row>
    <row r="19212" spans="1:11" x14ac:dyDescent="0.35">
      <c r="A19212" s="9" t="str">
        <f>HYPERLINK("http://www.ensembl.org/id/WBGene00021316", "WBGene00021316")</f>
        <v>WBGene00021316</v>
      </c>
      <c r="B19212" s="9" t="str">
        <f>HYPERLINK("http://www.ncbi.nlm.nih.gov/gene/175742", "175742")</f>
        <v>175742</v>
      </c>
      <c r="C19212" s="9"/>
      <c r="D19212" t="str">
        <f>"Y32H12A.8"</f>
        <v>Y32H12A.8</v>
      </c>
      <c r="F19212" t="s">
        <v>11</v>
      </c>
      <c r="G19212" t="s">
        <v>8687</v>
      </c>
      <c r="H19212" s="12">
        <v>1.04433193945041</v>
      </c>
      <c r="I19212" s="20">
        <v>0.22534791253509801</v>
      </c>
      <c r="J19212" s="28">
        <v>0.82170862923533905</v>
      </c>
      <c r="K19212" s="29">
        <v>0.98836020755396803</v>
      </c>
    </row>
    <row r="19213" spans="1:11" x14ac:dyDescent="0.35">
      <c r="A19213" s="9" t="str">
        <f>HYPERLINK("http://www.ensembl.org/id/WBGene00009050", "WBGene00009050")</f>
        <v>WBGene00009050</v>
      </c>
      <c r="B19213" s="9" t="str">
        <f>HYPERLINK("http://www.ncbi.nlm.nih.gov/gene/172441", "172441")</f>
        <v>172441</v>
      </c>
      <c r="C19213" s="9" t="str">
        <f>HYPERLINK("http://www.ncbi.nlm.nih.gov/gene/7763", "7763")</f>
        <v>7763</v>
      </c>
      <c r="D19213" t="str">
        <f>"F22D6.2"</f>
        <v>F22D6.2</v>
      </c>
      <c r="F19213" t="s">
        <v>11</v>
      </c>
      <c r="G19213" t="s">
        <v>10276</v>
      </c>
      <c r="H19213" s="12">
        <v>-1.0415858301157099</v>
      </c>
      <c r="I19213" s="20">
        <v>-0.22499985082795701</v>
      </c>
      <c r="J19213" s="28">
        <v>0.82197939030967704</v>
      </c>
      <c r="K19213" s="29">
        <v>0.98844675164402196</v>
      </c>
    </row>
    <row r="19214" spans="1:11" x14ac:dyDescent="0.35">
      <c r="A19214" s="9" t="str">
        <f>HYPERLINK("http://www.ensembl.org/id/WBGene00045455", "WBGene00045455")</f>
        <v>WBGene00045455</v>
      </c>
      <c r="B19214" s="9" t="str">
        <f>HYPERLINK("http://www.ncbi.nlm.nih.gov/gene/6418626", "6418626")</f>
        <v>6418626</v>
      </c>
      <c r="C19214" s="9"/>
      <c r="D19214" t="str">
        <f>"F26G1.11"</f>
        <v>F26G1.11</v>
      </c>
      <c r="F19214" t="s">
        <v>11</v>
      </c>
      <c r="G19214" t="s">
        <v>17</v>
      </c>
      <c r="H19214" s="12">
        <v>1.28314171726629</v>
      </c>
      <c r="I19214" s="20">
        <v>0.22515263068591601</v>
      </c>
      <c r="J19214" s="28">
        <v>0.82186053854546004</v>
      </c>
      <c r="K19214" s="29">
        <v>0.98844675164402196</v>
      </c>
    </row>
    <row r="19215" spans="1:11" x14ac:dyDescent="0.35">
      <c r="A19215" s="9" t="str">
        <f>HYPERLINK("http://www.ensembl.org/id/WBGene00001493", "WBGene00001493")</f>
        <v>WBGene00001493</v>
      </c>
      <c r="B19215" s="9" t="str">
        <f>HYPERLINK("http://www.ncbi.nlm.nih.gov/gene/179687", "179687")</f>
        <v>179687</v>
      </c>
      <c r="C19215" s="9"/>
      <c r="D19215" t="str">
        <f>"frm-7"</f>
        <v>frm-7</v>
      </c>
      <c r="E19215" t="s">
        <v>1383</v>
      </c>
      <c r="F19215" t="s">
        <v>11</v>
      </c>
      <c r="G19215" t="s">
        <v>10275</v>
      </c>
      <c r="H19215" s="12">
        <v>1.0418240210073499</v>
      </c>
      <c r="I19215" s="20">
        <v>0.22495861332286701</v>
      </c>
      <c r="J19215" s="28">
        <v>0.82201147082927595</v>
      </c>
      <c r="K19215" s="29">
        <v>0.98844675164402196</v>
      </c>
    </row>
    <row r="19216" spans="1:11" x14ac:dyDescent="0.35">
      <c r="A19216" s="9" t="str">
        <f>HYPERLINK("http://www.ensembl.org/id/WBGene00003668", "WBGene00003668")</f>
        <v>WBGene00003668</v>
      </c>
      <c r="B19216" s="9" t="str">
        <f>HYPERLINK("http://www.ncbi.nlm.nih.gov/gene/191727", "191727")</f>
        <v>191727</v>
      </c>
      <c r="C19216" s="9"/>
      <c r="D19216" t="str">
        <f>"nhr-78"</f>
        <v>nhr-78</v>
      </c>
      <c r="E19216" t="s">
        <v>637</v>
      </c>
      <c r="F19216" t="s">
        <v>11</v>
      </c>
      <c r="G19216" t="s">
        <v>2013</v>
      </c>
      <c r="H19216" s="12">
        <v>-1.0705836222957601</v>
      </c>
      <c r="I19216" s="20">
        <v>-0.22492547157432199</v>
      </c>
      <c r="J19216" s="28">
        <v>0.82203725350954404</v>
      </c>
      <c r="K19216" s="29">
        <v>0.98844675164402196</v>
      </c>
    </row>
    <row r="19217" spans="1:11" x14ac:dyDescent="0.35">
      <c r="A19217" s="9" t="str">
        <f>HYPERLINK("http://www.ensembl.org/id/WBGene00007433", "WBGene00007433")</f>
        <v>WBGene00007433</v>
      </c>
      <c r="B19217" s="9" t="str">
        <f>HYPERLINK("http://www.ncbi.nlm.nih.gov/gene/174286", "174286")</f>
        <v>174286</v>
      </c>
      <c r="C19217" s="9"/>
      <c r="D19217" t="str">
        <f>"swsn-7"</f>
        <v>swsn-7</v>
      </c>
      <c r="E19217" t="s">
        <v>6291</v>
      </c>
      <c r="F19217" t="s">
        <v>11</v>
      </c>
      <c r="G19217" t="s">
        <v>10277</v>
      </c>
      <c r="H19217" s="12">
        <v>-1.04734618401256</v>
      </c>
      <c r="I19217" s="20">
        <v>-0.22503121427647799</v>
      </c>
      <c r="J19217" s="28">
        <v>0.821954991464377</v>
      </c>
      <c r="K19217" s="29">
        <v>0.98844675164402196</v>
      </c>
    </row>
    <row r="19218" spans="1:11" x14ac:dyDescent="0.35">
      <c r="A19218" s="9" t="str">
        <f>HYPERLINK("http://www.ensembl.org/id/WBGene00013891", "WBGene00013891")</f>
        <v>WBGene00013891</v>
      </c>
      <c r="B19218" s="9" t="str">
        <f>HYPERLINK("http://www.ncbi.nlm.nih.gov/gene/172903", "172903")</f>
        <v>172903</v>
      </c>
      <c r="C19218" s="9"/>
      <c r="D19218" t="str">
        <f>"ZC434.3"</f>
        <v>ZC434.3</v>
      </c>
      <c r="F19218" t="s">
        <v>11</v>
      </c>
      <c r="H19218" s="12">
        <v>-1.3042545775985801</v>
      </c>
      <c r="I19218" s="20">
        <v>-0.225060267831618</v>
      </c>
      <c r="J19218" s="28">
        <v>0.82193238972853799</v>
      </c>
      <c r="K19218" s="29">
        <v>0.98844675164402196</v>
      </c>
    </row>
    <row r="19219" spans="1:11" x14ac:dyDescent="0.35">
      <c r="A19219" s="9" t="str">
        <f>HYPERLINK("http://www.ensembl.org/id/WBGene00012930", "WBGene00012930")</f>
        <v>WBGene00012930</v>
      </c>
      <c r="B19219" s="9" t="str">
        <f>HYPERLINK("http://www.ncbi.nlm.nih.gov/gene/176555", "176555")</f>
        <v>176555</v>
      </c>
      <c r="C19219" s="9" t="str">
        <f>HYPERLINK("http://www.ncbi.nlm.nih.gov/gene/23762", "23762")</f>
        <v>23762</v>
      </c>
      <c r="D19219" t="str">
        <f>"obr-1"</f>
        <v>obr-1</v>
      </c>
      <c r="E19219" t="s">
        <v>2242</v>
      </c>
      <c r="F19219" t="s">
        <v>11</v>
      </c>
      <c r="G19219" t="s">
        <v>10278</v>
      </c>
      <c r="H19219" s="12">
        <v>1.0429227732408499</v>
      </c>
      <c r="I19219" s="20">
        <v>0.22483809949709199</v>
      </c>
      <c r="J19219" s="28">
        <v>0.82210522568843003</v>
      </c>
      <c r="K19219" s="29">
        <v>0.98847704349049703</v>
      </c>
    </row>
    <row r="19220" spans="1:11" x14ac:dyDescent="0.35">
      <c r="A19220" s="9" t="str">
        <f>HYPERLINK("http://www.ensembl.org/id/WBGene00003081", "WBGene00003081")</f>
        <v>WBGene00003081</v>
      </c>
      <c r="B19220" s="9" t="str">
        <f>HYPERLINK("http://www.ncbi.nlm.nih.gov/gene/177988", "177988")</f>
        <v>177988</v>
      </c>
      <c r="C19220" s="9" t="str">
        <f>HYPERLINK("http://www.ncbi.nlm.nih.gov/gene/51690", "51690")</f>
        <v>51690</v>
      </c>
      <c r="D19220" t="str">
        <f>"lsm-7"</f>
        <v>lsm-7</v>
      </c>
      <c r="E19220" t="s">
        <v>8954</v>
      </c>
      <c r="F19220" t="s">
        <v>11</v>
      </c>
      <c r="G19220" t="s">
        <v>10279</v>
      </c>
      <c r="H19220" s="12">
        <v>-1.0506691384056499</v>
      </c>
      <c r="I19220" s="20">
        <v>-0.22469516949608001</v>
      </c>
      <c r="J19220" s="28">
        <v>0.82221642271406403</v>
      </c>
      <c r="K19220" s="29">
        <v>0.98850786530158496</v>
      </c>
    </row>
    <row r="19221" spans="1:11" x14ac:dyDescent="0.35">
      <c r="A19221" s="9" t="str">
        <f>HYPERLINK("http://www.ensembl.org/id/WBGene00022298", "WBGene00022298")</f>
        <v>WBGene00022298</v>
      </c>
      <c r="B19221" s="9" t="str">
        <f>HYPERLINK("http://www.ncbi.nlm.nih.gov/gene/176998", "176998")</f>
        <v>176998</v>
      </c>
      <c r="C19221" s="9"/>
      <c r="D19221" t="str">
        <f>"Y76B12C.4"</f>
        <v>Y76B12C.4</v>
      </c>
      <c r="F19221" t="s">
        <v>11</v>
      </c>
      <c r="H19221" s="12">
        <v>-1.15340261897277</v>
      </c>
      <c r="I19221" s="20">
        <v>-0.224745132197674</v>
      </c>
      <c r="J19221" s="28">
        <v>0.82217755220532196</v>
      </c>
      <c r="K19221" s="29">
        <v>0.98850786530158496</v>
      </c>
    </row>
    <row r="19222" spans="1:11" x14ac:dyDescent="0.35">
      <c r="A19222" s="9" t="str">
        <f>HYPERLINK("http://www.ensembl.org/id/WBGene00008601", "WBGene00008601")</f>
        <v>WBGene00008601</v>
      </c>
      <c r="B19222" s="9" t="str">
        <f>HYPERLINK("http://www.ncbi.nlm.nih.gov/gene/181441", "181441")</f>
        <v>181441</v>
      </c>
      <c r="C19222" s="9"/>
      <c r="D19222" t="str">
        <f>"mob-2"</f>
        <v>mob-2</v>
      </c>
      <c r="E19222" t="s">
        <v>7399</v>
      </c>
      <c r="F19222" t="s">
        <v>11</v>
      </c>
      <c r="H19222" s="12">
        <v>-1.0426164801675</v>
      </c>
      <c r="I19222" s="20">
        <v>-0.22460056555469399</v>
      </c>
      <c r="J19222" s="28">
        <v>0.82229002487999403</v>
      </c>
      <c r="K19222" s="29">
        <v>0.98854491752742601</v>
      </c>
    </row>
    <row r="19223" spans="1:11" x14ac:dyDescent="0.35">
      <c r="A19223" s="9" t="str">
        <f>HYPERLINK("http://www.ensembl.org/id/WBGene00019390", "WBGene00019390")</f>
        <v>WBGene00019390</v>
      </c>
      <c r="B19223" s="9"/>
      <c r="C19223" s="9"/>
      <c r="D19223" t="str">
        <f>"irld-43"</f>
        <v>irld-43</v>
      </c>
      <c r="F19223" t="s">
        <v>80</v>
      </c>
      <c r="H19223" s="12">
        <v>1.47917265555969</v>
      </c>
      <c r="I19223" s="20">
        <v>0.224423436411086</v>
      </c>
      <c r="J19223" s="28">
        <v>0.82242783611937598</v>
      </c>
      <c r="K19223" s="29">
        <v>0.98865915308122898</v>
      </c>
    </row>
    <row r="19224" spans="1:11" x14ac:dyDescent="0.35">
      <c r="A19224" s="9" t="str">
        <f>HYPERLINK("http://www.ensembl.org/id/WBGene00018218", "WBGene00018218")</f>
        <v>WBGene00018218</v>
      </c>
      <c r="B19224" s="9" t="str">
        <f>HYPERLINK("http://www.ncbi.nlm.nih.gov/gene/179168", "179168")</f>
        <v>179168</v>
      </c>
      <c r="C19224" s="9"/>
      <c r="D19224" t="str">
        <f>"F40A3.3"</f>
        <v>F40A3.3</v>
      </c>
      <c r="E19224" t="s">
        <v>10280</v>
      </c>
      <c r="F19224" t="s">
        <v>11</v>
      </c>
      <c r="G19224" t="s">
        <v>10281</v>
      </c>
      <c r="H19224" s="12">
        <v>-1.0434005396856301</v>
      </c>
      <c r="I19224" s="20">
        <v>-0.224332135593166</v>
      </c>
      <c r="J19224" s="28">
        <v>0.82249887275209299</v>
      </c>
      <c r="K19224" s="29">
        <v>0.98869310965611601</v>
      </c>
    </row>
    <row r="19225" spans="1:11" x14ac:dyDescent="0.35">
      <c r="A19225" s="9" t="str">
        <f>HYPERLINK("http://www.ensembl.org/id/WBGene00000292", "WBGene00000292")</f>
        <v>WBGene00000292</v>
      </c>
      <c r="B19225" s="9" t="str">
        <f>HYPERLINK("http://www.ncbi.nlm.nih.gov/gene/177497", "177497")</f>
        <v>177497</v>
      </c>
      <c r="C19225" s="9" t="str">
        <f>HYPERLINK("http://www.ncbi.nlm.nih.gov/gene/829", "829")</f>
        <v>829</v>
      </c>
      <c r="D19225" t="str">
        <f>"cap-1"</f>
        <v>cap-1</v>
      </c>
      <c r="E19225" t="s">
        <v>10282</v>
      </c>
      <c r="F19225" t="s">
        <v>11</v>
      </c>
      <c r="G19225" t="s">
        <v>10283</v>
      </c>
      <c r="H19225" s="12">
        <v>-1.0414551495723401</v>
      </c>
      <c r="I19225" s="20">
        <v>-0.224163875989213</v>
      </c>
      <c r="J19225" s="28">
        <v>0.82262979100574896</v>
      </c>
      <c r="K19225" s="29">
        <v>0.98872536058203897</v>
      </c>
    </row>
    <row r="19226" spans="1:11" x14ac:dyDescent="0.35">
      <c r="A19226" s="9" t="str">
        <f>HYPERLINK("http://www.ensembl.org/id/WBGene00017210", "WBGene00017210")</f>
        <v>WBGene00017210</v>
      </c>
      <c r="B19226" s="9" t="str">
        <f>HYPERLINK("http://www.ncbi.nlm.nih.gov/gene/173564", "173564")</f>
        <v>173564</v>
      </c>
      <c r="C19226" s="9"/>
      <c r="D19226" t="str">
        <f>"F07E5.5"</f>
        <v>F07E5.5</v>
      </c>
      <c r="F19226" t="s">
        <v>11</v>
      </c>
      <c r="G19226" t="s">
        <v>2324</v>
      </c>
      <c r="H19226" s="12">
        <v>1.0489244737855099</v>
      </c>
      <c r="I19226" s="20">
        <v>0.22418190632683699</v>
      </c>
      <c r="J19226" s="28">
        <v>0.82261576185070295</v>
      </c>
      <c r="K19226" s="29">
        <v>0.98872536058203897</v>
      </c>
    </row>
    <row r="19227" spans="1:11" x14ac:dyDescent="0.35">
      <c r="A19227" s="9" t="str">
        <f>HYPERLINK("http://www.ensembl.org/id/WBGene00010617", "WBGene00010617")</f>
        <v>WBGene00010617</v>
      </c>
      <c r="B19227" s="9" t="str">
        <f>HYPERLINK("http://www.ncbi.nlm.nih.gov/gene/172793", "172793")</f>
        <v>172793</v>
      </c>
      <c r="C19227" s="9"/>
      <c r="D19227" t="str">
        <f>"K07A1.13"</f>
        <v>K07A1.13</v>
      </c>
      <c r="F19227" t="s">
        <v>11</v>
      </c>
      <c r="G19227" t="s">
        <v>25</v>
      </c>
      <c r="H19227" s="12">
        <v>1.0442979013729199</v>
      </c>
      <c r="I19227" s="20">
        <v>0.224132666241769</v>
      </c>
      <c r="J19227" s="28">
        <v>0.82265407501037302</v>
      </c>
      <c r="K19227" s="29">
        <v>0.98872536058203897</v>
      </c>
    </row>
    <row r="19228" spans="1:11" x14ac:dyDescent="0.35">
      <c r="A19228" s="9" t="str">
        <f>HYPERLINK("http://www.ensembl.org/id/WBGene00219987", "WBGene00219987")</f>
        <v>WBGene00219987</v>
      </c>
      <c r="B19228" s="9"/>
      <c r="C19228" s="9"/>
      <c r="D19228" t="str">
        <f>"F59C6.19"</f>
        <v>F59C6.19</v>
      </c>
      <c r="F19228" t="s">
        <v>481</v>
      </c>
      <c r="H19228" s="12">
        <v>1.76502759874739</v>
      </c>
      <c r="I19228" s="20">
        <v>0.223989228921679</v>
      </c>
      <c r="J19228" s="28">
        <v>0.82276568439504005</v>
      </c>
      <c r="K19228" s="29">
        <v>0.98880806738956595</v>
      </c>
    </row>
    <row r="19229" spans="1:11" x14ac:dyDescent="0.35">
      <c r="A19229" s="9" t="str">
        <f>HYPERLINK("http://www.ensembl.org/id/WBGene00011612", "WBGene00011612")</f>
        <v>WBGene00011612</v>
      </c>
      <c r="B19229" s="9" t="str">
        <f>HYPERLINK("http://www.ncbi.nlm.nih.gov/gene/191613", "191613")</f>
        <v>191613</v>
      </c>
      <c r="C19229" s="9" t="str">
        <f>HYPERLINK("http://www.ncbi.nlm.nih.gov/gene/11200", "11200")</f>
        <v>11200</v>
      </c>
      <c r="D19229" t="str">
        <f>"T08D2.7"</f>
        <v>T08D2.7</v>
      </c>
      <c r="F19229" t="s">
        <v>11</v>
      </c>
      <c r="G19229" t="s">
        <v>10284</v>
      </c>
      <c r="H19229" s="12">
        <v>1.2556613361017801</v>
      </c>
      <c r="I19229" s="20">
        <v>0.223916167119078</v>
      </c>
      <c r="J19229" s="28">
        <v>0.822822535572724</v>
      </c>
      <c r="K19229" s="29">
        <v>0.98882496005322496</v>
      </c>
    </row>
    <row r="19230" spans="1:11" x14ac:dyDescent="0.35">
      <c r="A19230" s="9" t="str">
        <f>HYPERLINK("http://www.ensembl.org/id/WBGene00004856", "WBGene00004856")</f>
        <v>WBGene00004856</v>
      </c>
      <c r="B19230" s="9" t="str">
        <f>HYPERLINK("http://www.ncbi.nlm.nih.gov/gene/176229", "176229")</f>
        <v>176229</v>
      </c>
      <c r="C19230" s="9" t="str">
        <f>HYPERLINK("http://www.ncbi.nlm.nih.gov/gene/4093", "4093")</f>
        <v>4093</v>
      </c>
      <c r="D19230" t="str">
        <f>"sma-2"</f>
        <v>sma-2</v>
      </c>
      <c r="E19230" t="s">
        <v>10285</v>
      </c>
      <c r="F19230" t="s">
        <v>11</v>
      </c>
      <c r="G19230" t="s">
        <v>10286</v>
      </c>
      <c r="H19230" s="12">
        <v>1.05598618655024</v>
      </c>
      <c r="I19230" s="20">
        <v>0.22384870176761901</v>
      </c>
      <c r="J19230" s="28">
        <v>0.82287503284067998</v>
      </c>
      <c r="K19230" s="29">
        <v>0.98883661893159702</v>
      </c>
    </row>
    <row r="19231" spans="1:11" x14ac:dyDescent="0.35">
      <c r="A19231" s="9" t="str">
        <f>HYPERLINK("http://www.ensembl.org/id/WBGene00044644", "WBGene00044644")</f>
        <v>WBGene00044644</v>
      </c>
      <c r="B19231" s="9" t="str">
        <f>HYPERLINK("http://www.ncbi.nlm.nih.gov/gene/4362999", "4362999")</f>
        <v>4362999</v>
      </c>
      <c r="C19231" s="9"/>
      <c r="D19231" t="str">
        <f>"B0205.13"</f>
        <v>B0205.13</v>
      </c>
      <c r="F19231" t="s">
        <v>11</v>
      </c>
      <c r="H19231" s="12">
        <v>1.0830480466632899</v>
      </c>
      <c r="I19231" s="20">
        <v>0.223617572427767</v>
      </c>
      <c r="J19231" s="28">
        <v>0.82305488907859603</v>
      </c>
      <c r="K19231" s="29">
        <v>0.98890786219472004</v>
      </c>
    </row>
    <row r="19232" spans="1:11" x14ac:dyDescent="0.35">
      <c r="A19232" s="9" t="str">
        <f>HYPERLINK("http://www.ensembl.org/id/WBGene00007654", "WBGene00007654")</f>
        <v>WBGene00007654</v>
      </c>
      <c r="B19232" s="9"/>
      <c r="C19232" s="9"/>
      <c r="D19232" t="str">
        <f>"C17H1.1"</f>
        <v>C17H1.1</v>
      </c>
      <c r="F19232" t="s">
        <v>80</v>
      </c>
      <c r="H19232" s="12">
        <v>-1.53943082853999</v>
      </c>
      <c r="I19232" s="20">
        <v>-0.223444423401266</v>
      </c>
      <c r="J19232" s="28">
        <v>0.82318963328870298</v>
      </c>
      <c r="K19232" s="29">
        <v>0.98890786219472004</v>
      </c>
    </row>
    <row r="19233" spans="1:11" x14ac:dyDescent="0.35">
      <c r="A19233" s="9" t="str">
        <f>HYPERLINK("http://www.ensembl.org/id/WBGene00017121", "WBGene00017121")</f>
        <v>WBGene00017121</v>
      </c>
      <c r="B19233" s="9" t="str">
        <f>HYPERLINK("http://www.ncbi.nlm.nih.gov/gene/177243", "177243")</f>
        <v>177243</v>
      </c>
      <c r="C19233" s="9" t="str">
        <f>HYPERLINK("http://www.ncbi.nlm.nih.gov/gene/54205", "54205")</f>
        <v>54205</v>
      </c>
      <c r="D19233" t="str">
        <f>"cyc-2.1"</f>
        <v>cyc-2.1</v>
      </c>
      <c r="E19233" t="s">
        <v>10289</v>
      </c>
      <c r="F19233" t="s">
        <v>11</v>
      </c>
      <c r="G19233" t="s">
        <v>10290</v>
      </c>
      <c r="H19233" s="12">
        <v>-1.04131910710209</v>
      </c>
      <c r="I19233" s="20">
        <v>-0.22312807364877199</v>
      </c>
      <c r="J19233" s="28">
        <v>0.82343582946486904</v>
      </c>
      <c r="K19233" s="29">
        <v>0.98890786219472004</v>
      </c>
    </row>
    <row r="19234" spans="1:11" x14ac:dyDescent="0.35">
      <c r="A19234" s="9" t="str">
        <f>HYPERLINK("http://www.ensembl.org/id/WBGene00001931", "WBGene00001931")</f>
        <v>WBGene00001931</v>
      </c>
      <c r="B19234" s="9" t="str">
        <f>HYPERLINK("http://www.ncbi.nlm.nih.gov/gene/178056", "178056")</f>
        <v>178056</v>
      </c>
      <c r="C19234" s="9" t="str">
        <f>HYPERLINK("http://www.ncbi.nlm.nih.gov/gene/8338", "8338")</f>
        <v>8338</v>
      </c>
      <c r="D19234" t="str">
        <f>"his-57"</f>
        <v>his-57</v>
      </c>
      <c r="E19234" t="s">
        <v>1912</v>
      </c>
      <c r="F19234" t="s">
        <v>11</v>
      </c>
      <c r="G19234" t="s">
        <v>10287</v>
      </c>
      <c r="H19234" s="12">
        <v>1.3064217889258201</v>
      </c>
      <c r="I19234" s="20">
        <v>0.223060727628586</v>
      </c>
      <c r="J19234" s="28">
        <v>0.82348824310686997</v>
      </c>
      <c r="K19234" s="29">
        <v>0.98890786219472004</v>
      </c>
    </row>
    <row r="19235" spans="1:11" x14ac:dyDescent="0.35">
      <c r="A19235" s="9" t="str">
        <f>HYPERLINK("http://www.ensembl.org/id/WBGene00010833", "WBGene00010833")</f>
        <v>WBGene00010833</v>
      </c>
      <c r="B19235" s="9" t="str">
        <f>HYPERLINK("http://www.ncbi.nlm.nih.gov/gene/187417", "187417")</f>
        <v>187417</v>
      </c>
      <c r="C19235" s="9"/>
      <c r="D19235" t="str">
        <f>"M03B6.1"</f>
        <v>M03B6.1</v>
      </c>
      <c r="F19235" t="s">
        <v>11</v>
      </c>
      <c r="H19235" s="12">
        <v>-1.0688602463331101</v>
      </c>
      <c r="I19235" s="20">
        <v>-0.22326002707501799</v>
      </c>
      <c r="J19235" s="28">
        <v>0.82333313585604695</v>
      </c>
      <c r="K19235" s="29">
        <v>0.98890786219472004</v>
      </c>
    </row>
    <row r="19236" spans="1:11" x14ac:dyDescent="0.35">
      <c r="A19236" s="9" t="str">
        <f>HYPERLINK("http://www.ensembl.org/id/WBGene00008998", "WBGene00008998")</f>
        <v>WBGene00008998</v>
      </c>
      <c r="B19236" s="9" t="str">
        <f>HYPERLINK("http://www.ncbi.nlm.nih.gov/gene/184757", "184757")</f>
        <v>184757</v>
      </c>
      <c r="C19236" s="9"/>
      <c r="D19236" t="str">
        <f>"ncs-4"</f>
        <v>ncs-4</v>
      </c>
      <c r="E19236" t="s">
        <v>3304</v>
      </c>
      <c r="F19236" t="s">
        <v>11</v>
      </c>
      <c r="G19236" t="s">
        <v>325</v>
      </c>
      <c r="H19236" s="12">
        <v>1.09208624117483</v>
      </c>
      <c r="I19236" s="20">
        <v>0.22319299058853501</v>
      </c>
      <c r="J19236" s="28">
        <v>0.82338530705798296</v>
      </c>
      <c r="K19236" s="29">
        <v>0.98890786219472004</v>
      </c>
    </row>
    <row r="19237" spans="1:11" x14ac:dyDescent="0.35">
      <c r="A19237" s="9" t="str">
        <f>HYPERLINK("http://www.ensembl.org/id/WBGene00017034", "WBGene00017034")</f>
        <v>WBGene00017034</v>
      </c>
      <c r="B19237" s="9" t="str">
        <f>HYPERLINK("http://www.ncbi.nlm.nih.gov/gene/183919", "183919")</f>
        <v>183919</v>
      </c>
      <c r="C19237" s="9"/>
      <c r="D19237" t="str">
        <f>"otpl-2"</f>
        <v>otpl-2</v>
      </c>
      <c r="E19237" t="s">
        <v>233</v>
      </c>
      <c r="F19237" t="s">
        <v>11</v>
      </c>
      <c r="G19237" t="s">
        <v>10288</v>
      </c>
      <c r="H19237" s="12">
        <v>1.11845936636031</v>
      </c>
      <c r="I19237" s="20">
        <v>0.22315658605042901</v>
      </c>
      <c r="J19237" s="28">
        <v>0.82341363924742395</v>
      </c>
      <c r="K19237" s="29">
        <v>0.98890786219472004</v>
      </c>
    </row>
    <row r="19238" spans="1:11" x14ac:dyDescent="0.35">
      <c r="A19238" s="9" t="str">
        <f>HYPERLINK("http://www.ensembl.org/id/WBGene00005403", "WBGene00005403")</f>
        <v>WBGene00005403</v>
      </c>
      <c r="B19238" s="9"/>
      <c r="C19238" s="9"/>
      <c r="D19238" t="str">
        <f>"srh-189"</f>
        <v>srh-189</v>
      </c>
      <c r="F19238" t="s">
        <v>80</v>
      </c>
      <c r="H19238" s="12">
        <v>-1.53943082853999</v>
      </c>
      <c r="I19238" s="20">
        <v>-0.223444423401266</v>
      </c>
      <c r="J19238" s="28">
        <v>0.82318963328870298</v>
      </c>
      <c r="K19238" s="29">
        <v>0.98890786219472004</v>
      </c>
    </row>
    <row r="19239" spans="1:11" x14ac:dyDescent="0.35">
      <c r="A19239" s="9" t="str">
        <f>HYPERLINK("http://www.ensembl.org/id/WBGene00014835", "WBGene00014835")</f>
        <v>WBGene00014835</v>
      </c>
      <c r="B19239" s="9"/>
      <c r="C19239" s="9"/>
      <c r="D19239" t="str">
        <f>"T09F5.4"</f>
        <v>T09F5.4</v>
      </c>
      <c r="F19239" t="s">
        <v>80</v>
      </c>
      <c r="H19239" s="12">
        <v>-1.2026128307564701</v>
      </c>
      <c r="I19239" s="20">
        <v>-0.22308206724791499</v>
      </c>
      <c r="J19239" s="28">
        <v>0.82347163495534603</v>
      </c>
      <c r="K19239" s="29">
        <v>0.98890786219472004</v>
      </c>
    </row>
    <row r="19240" spans="1:11" x14ac:dyDescent="0.35">
      <c r="A19240" s="9" t="str">
        <f>HYPERLINK("http://www.ensembl.org/id/WBGene00012921", "WBGene00012921")</f>
        <v>WBGene00012921</v>
      </c>
      <c r="B19240" s="9" t="str">
        <f>HYPERLINK("http://www.ncbi.nlm.nih.gov/gene/13187570", "13187570")</f>
        <v>13187570</v>
      </c>
      <c r="C19240" s="9"/>
      <c r="D19240" t="str">
        <f>"Y46G5A.36"</f>
        <v>Y46G5A.36</v>
      </c>
      <c r="F19240" t="s">
        <v>11</v>
      </c>
      <c r="H19240" s="12">
        <v>-1.25121961296387</v>
      </c>
      <c r="I19240" s="20">
        <v>-0.22358556762111001</v>
      </c>
      <c r="J19240" s="28">
        <v>0.82307979475924098</v>
      </c>
      <c r="K19240" s="29">
        <v>0.98890786219472004</v>
      </c>
    </row>
    <row r="19241" spans="1:11" x14ac:dyDescent="0.35">
      <c r="A19241" s="9" t="str">
        <f>HYPERLINK("http://www.ensembl.org/id/WBGene00013433", "WBGene00013433")</f>
        <v>WBGene00013433</v>
      </c>
      <c r="B19241" s="9" t="str">
        <f>HYPERLINK("http://www.ncbi.nlm.nih.gov/gene/176590", "176590")</f>
        <v>176590</v>
      </c>
      <c r="C19241" s="9"/>
      <c r="D19241" t="str">
        <f>"Y66D12A.7"</f>
        <v>Y66D12A.7</v>
      </c>
      <c r="E19241" t="s">
        <v>10291</v>
      </c>
      <c r="F19241" t="s">
        <v>11</v>
      </c>
      <c r="G19241" t="s">
        <v>10292</v>
      </c>
      <c r="H19241" s="12">
        <v>-1.07213787574474</v>
      </c>
      <c r="I19241" s="20">
        <v>-0.22352293946385199</v>
      </c>
      <c r="J19241" s="28">
        <v>0.82312853160685395</v>
      </c>
      <c r="K19241" s="29">
        <v>0.98890786219472004</v>
      </c>
    </row>
    <row r="19242" spans="1:11" x14ac:dyDescent="0.35">
      <c r="A19242" s="9" t="str">
        <f>HYPERLINK("http://www.ensembl.org/id/WBGene00045365", "WBGene00045365")</f>
        <v>WBGene00045365</v>
      </c>
      <c r="B19242" s="9" t="str">
        <f>HYPERLINK("http://www.ncbi.nlm.nih.gov/gene/6418874", "6418874")</f>
        <v>6418874</v>
      </c>
      <c r="C19242" s="9"/>
      <c r="D19242" t="str">
        <f>"ZC449.7"</f>
        <v>ZC449.7</v>
      </c>
      <c r="F19242" t="s">
        <v>11</v>
      </c>
      <c r="H19242" s="12">
        <v>-1.1017890472201699</v>
      </c>
      <c r="I19242" s="20">
        <v>-0.22309196880014801</v>
      </c>
      <c r="J19242" s="28">
        <v>0.823463928824124</v>
      </c>
      <c r="K19242" s="29">
        <v>0.98890786219472004</v>
      </c>
    </row>
    <row r="19243" spans="1:11" x14ac:dyDescent="0.35">
      <c r="A19243" s="9" t="str">
        <f>HYPERLINK("http://www.ensembl.org/id/WBGene00020546", "WBGene00020546")</f>
        <v>WBGene00020546</v>
      </c>
      <c r="B19243" s="9" t="str">
        <f>HYPERLINK("http://www.ncbi.nlm.nih.gov/gene/188571", "188571")</f>
        <v>188571</v>
      </c>
      <c r="C19243" s="9"/>
      <c r="D19243" t="str">
        <f>"zig-13"</f>
        <v>zig-13</v>
      </c>
      <c r="E19243" t="s">
        <v>754</v>
      </c>
      <c r="F19243" t="s">
        <v>11</v>
      </c>
      <c r="G19243" t="s">
        <v>25</v>
      </c>
      <c r="H19243" s="12">
        <v>1.6991358779124</v>
      </c>
      <c r="I19243" s="20">
        <v>0.22305756734024901</v>
      </c>
      <c r="J19243" s="28">
        <v>0.82349070269577596</v>
      </c>
      <c r="K19243" s="29">
        <v>0.98890786219472004</v>
      </c>
    </row>
    <row r="19244" spans="1:11" x14ac:dyDescent="0.35">
      <c r="A19244" s="9" t="str">
        <f>HYPERLINK("http://www.ensembl.org/id/WBGene00022397", "WBGene00022397")</f>
        <v>WBGene00022397</v>
      </c>
      <c r="B19244" s="9" t="str">
        <f>HYPERLINK("http://www.ncbi.nlm.nih.gov/gene/179173", "179173")</f>
        <v>179173</v>
      </c>
      <c r="C19244" s="9"/>
      <c r="D19244" t="str">
        <f>"Y97E10AR.2"</f>
        <v>Y97E10AR.2</v>
      </c>
      <c r="F19244" t="s">
        <v>11</v>
      </c>
      <c r="G19244" t="s">
        <v>412</v>
      </c>
      <c r="H19244" s="12">
        <v>-1.0789193912977999</v>
      </c>
      <c r="I19244" s="20">
        <v>-0.22282000091700199</v>
      </c>
      <c r="J19244" s="28">
        <v>0.82367560083147495</v>
      </c>
      <c r="K19244" s="29">
        <v>0.98907849666417602</v>
      </c>
    </row>
    <row r="19245" spans="1:11" x14ac:dyDescent="0.35">
      <c r="A19245" s="9" t="str">
        <f>HYPERLINK("http://www.ensembl.org/id/WBGene00019995", "WBGene00019995")</f>
        <v>WBGene00019995</v>
      </c>
      <c r="B19245" s="9" t="str">
        <f>HYPERLINK("http://www.ncbi.nlm.nih.gov/gene/187785", "187785")</f>
        <v>187785</v>
      </c>
      <c r="C19245" s="9"/>
      <c r="D19245" t="str">
        <f>"R10F2.4"</f>
        <v>R10F2.4</v>
      </c>
      <c r="F19245" t="s">
        <v>11</v>
      </c>
      <c r="H19245" s="12">
        <v>1.11633698536474</v>
      </c>
      <c r="I19245" s="20">
        <v>0.222754245863408</v>
      </c>
      <c r="J19245" s="28">
        <v>0.82372677977176001</v>
      </c>
      <c r="K19245" s="29">
        <v>0.989088550299136</v>
      </c>
    </row>
    <row r="19246" spans="1:11" x14ac:dyDescent="0.35">
      <c r="A19246" s="9" t="str">
        <f>HYPERLINK("http://www.ensembl.org/id/WBGene00016946", "WBGene00016946")</f>
        <v>WBGene00016946</v>
      </c>
      <c r="B19246" s="9" t="str">
        <f>HYPERLINK("http://www.ncbi.nlm.nih.gov/gene/183845", "183845")</f>
        <v>183845</v>
      </c>
      <c r="C19246" s="9"/>
      <c r="D19246" t="str">
        <f>"C55B7.10"</f>
        <v>C55B7.10</v>
      </c>
      <c r="F19246" t="s">
        <v>11</v>
      </c>
      <c r="G19246" t="s">
        <v>961</v>
      </c>
      <c r="H19246" s="12">
        <v>-1.1765670944387601</v>
      </c>
      <c r="I19246" s="20">
        <v>-0.222433271074084</v>
      </c>
      <c r="J19246" s="28">
        <v>0.82397661390602495</v>
      </c>
      <c r="K19246" s="29">
        <v>0.98910318302794598</v>
      </c>
    </row>
    <row r="19247" spans="1:11" x14ac:dyDescent="0.35">
      <c r="A19247" s="9" t="str">
        <f>HYPERLINK("http://www.ensembl.org/id/WBGene00019089", "WBGene00019089")</f>
        <v>WBGene00019089</v>
      </c>
      <c r="B19247" s="9" t="str">
        <f>HYPERLINK("http://www.ncbi.nlm.nih.gov/gene/186582", "186582")</f>
        <v>186582</v>
      </c>
      <c r="C19247" s="9"/>
      <c r="D19247" t="str">
        <f>"clec-206"</f>
        <v>clec-206</v>
      </c>
      <c r="E19247" t="s">
        <v>46</v>
      </c>
      <c r="F19247" t="s">
        <v>11</v>
      </c>
      <c r="G19247" t="s">
        <v>47</v>
      </c>
      <c r="H19247" s="12">
        <v>-1.4744725916812</v>
      </c>
      <c r="I19247" s="20">
        <v>-0.222353616671917</v>
      </c>
      <c r="J19247" s="28">
        <v>0.82403861651899801</v>
      </c>
      <c r="K19247" s="29">
        <v>0.98910318302794598</v>
      </c>
    </row>
    <row r="19248" spans="1:11" x14ac:dyDescent="0.35">
      <c r="A19248" s="9" t="str">
        <f>HYPERLINK("http://www.ensembl.org/id/WBGene00019640", "WBGene00019640")</f>
        <v>WBGene00019640</v>
      </c>
      <c r="B19248" s="9" t="str">
        <f>HYPERLINK("http://www.ncbi.nlm.nih.gov/gene/187282", "187282")</f>
        <v>187282</v>
      </c>
      <c r="C19248" s="9"/>
      <c r="D19248" t="str">
        <f>"dos-2"</f>
        <v>dos-2</v>
      </c>
      <c r="E19248" t="s">
        <v>4146</v>
      </c>
      <c r="F19248" t="s">
        <v>11</v>
      </c>
      <c r="H19248" s="12">
        <v>1.5876122522989</v>
      </c>
      <c r="I19248" s="20">
        <v>0.22238744808700101</v>
      </c>
      <c r="J19248" s="28">
        <v>0.82401228217002498</v>
      </c>
      <c r="K19248" s="29">
        <v>0.98910318302794598</v>
      </c>
    </row>
    <row r="19249" spans="1:11" x14ac:dyDescent="0.35">
      <c r="A19249" s="9" t="str">
        <f>HYPERLINK("http://www.ensembl.org/id/WBGene00001625", "WBGene00001625")</f>
        <v>WBGene00001625</v>
      </c>
      <c r="B19249" s="9" t="str">
        <f>HYPERLINK("http://www.ncbi.nlm.nih.gov/gene/176880", "176880")</f>
        <v>176880</v>
      </c>
      <c r="C19249" s="9"/>
      <c r="D19249" t="str">
        <f>"glt-7"</f>
        <v>glt-7</v>
      </c>
      <c r="E19249" t="s">
        <v>4959</v>
      </c>
      <c r="F19249" t="s">
        <v>11</v>
      </c>
      <c r="G19249" t="s">
        <v>4960</v>
      </c>
      <c r="H19249" s="12">
        <v>-1.3035271217578199</v>
      </c>
      <c r="I19249" s="20">
        <v>-0.222549860316616</v>
      </c>
      <c r="J19249" s="28">
        <v>0.823885863367391</v>
      </c>
      <c r="K19249" s="29">
        <v>0.98910318302794598</v>
      </c>
    </row>
    <row r="19250" spans="1:11" x14ac:dyDescent="0.35">
      <c r="A19250" s="9" t="str">
        <f>HYPERLINK("http://www.ensembl.org/id/WBGene00003559", "WBGene00003559")</f>
        <v>WBGene00003559</v>
      </c>
      <c r="B19250" s="9" t="str">
        <f>HYPERLINK("http://www.ncbi.nlm.nih.gov/gene/176084", "176084")</f>
        <v>176084</v>
      </c>
      <c r="C19250" s="9"/>
      <c r="D19250" t="str">
        <f>"ncl-1"</f>
        <v>ncl-1</v>
      </c>
      <c r="E19250" t="s">
        <v>10295</v>
      </c>
      <c r="F19250" t="s">
        <v>11</v>
      </c>
      <c r="G19250" t="s">
        <v>5266</v>
      </c>
      <c r="H19250" s="12">
        <v>-1.04300237507549</v>
      </c>
      <c r="I19250" s="20">
        <v>-0.22260726962809399</v>
      </c>
      <c r="J19250" s="28">
        <v>0.82384117806913404</v>
      </c>
      <c r="K19250" s="29">
        <v>0.98910318302794598</v>
      </c>
    </row>
    <row r="19251" spans="1:11" x14ac:dyDescent="0.35">
      <c r="A19251" s="9" t="str">
        <f>HYPERLINK("http://www.ensembl.org/id/WBGene00018857", "WBGene00018857")</f>
        <v>WBGene00018857</v>
      </c>
      <c r="B19251" s="9" t="str">
        <f>HYPERLINK("http://www.ncbi.nlm.nih.gov/gene/180455", "180455")</f>
        <v>180455</v>
      </c>
      <c r="C19251" s="9"/>
      <c r="D19251" t="str">
        <f>"stau-1"</f>
        <v>stau-1</v>
      </c>
      <c r="E19251" t="s">
        <v>10293</v>
      </c>
      <c r="F19251" t="s">
        <v>11</v>
      </c>
      <c r="G19251" t="s">
        <v>10294</v>
      </c>
      <c r="H19251" s="12">
        <v>1.0431567818549801</v>
      </c>
      <c r="I19251" s="20">
        <v>0.22254470902552501</v>
      </c>
      <c r="J19251" s="28">
        <v>0.82388987297098104</v>
      </c>
      <c r="K19251" s="29">
        <v>0.98910318302794598</v>
      </c>
    </row>
    <row r="19252" spans="1:11" x14ac:dyDescent="0.35">
      <c r="A19252" s="9" t="str">
        <f>HYPERLINK("http://www.ensembl.org/id/WBGene00021030", "WBGene00021030")</f>
        <v>WBGene00021030</v>
      </c>
      <c r="B19252" s="9" t="str">
        <f>HYPERLINK("http://www.ncbi.nlm.nih.gov/gene/189205", "189205")</f>
        <v>189205</v>
      </c>
      <c r="C19252" s="9"/>
      <c r="D19252" t="str">
        <f>"W04H10.1"</f>
        <v>W04H10.1</v>
      </c>
      <c r="F19252" t="s">
        <v>11</v>
      </c>
      <c r="H19252" s="12">
        <v>1.1157794466137201</v>
      </c>
      <c r="I19252" s="20">
        <v>0.222470372718651</v>
      </c>
      <c r="J19252" s="28">
        <v>0.82394773453492898</v>
      </c>
      <c r="K19252" s="29">
        <v>0.98910318302794598</v>
      </c>
    </row>
    <row r="19253" spans="1:11" x14ac:dyDescent="0.35">
      <c r="A19253" s="9" t="str">
        <f>HYPERLINK("http://www.ensembl.org/id/WBGene00015968", "WBGene00015968")</f>
        <v>WBGene00015968</v>
      </c>
      <c r="B19253" s="9" t="str">
        <f>HYPERLINK("http://www.ncbi.nlm.nih.gov/gene/178941", "178941")</f>
        <v>178941</v>
      </c>
      <c r="C19253" s="9"/>
      <c r="D19253" t="str">
        <f>"C18C4.7"</f>
        <v>C18C4.7</v>
      </c>
      <c r="F19253" t="s">
        <v>11</v>
      </c>
      <c r="H19253" s="12">
        <v>-1.0427794534069901</v>
      </c>
      <c r="I19253" s="20">
        <v>-0.22229039149131499</v>
      </c>
      <c r="J19253" s="28">
        <v>0.82408783148476505</v>
      </c>
      <c r="K19253" s="29">
        <v>0.98910800774860197</v>
      </c>
    </row>
    <row r="19254" spans="1:11" x14ac:dyDescent="0.35">
      <c r="A19254" s="9" t="str">
        <f>HYPERLINK("http://www.ensembl.org/id/WBGene00008622", "WBGene00008622")</f>
        <v>WBGene00008622</v>
      </c>
      <c r="B19254" s="9" t="str">
        <f>HYPERLINK("http://www.ncbi.nlm.nih.gov/gene/181690", "181690")</f>
        <v>181690</v>
      </c>
      <c r="C19254" s="9"/>
      <c r="D19254" t="str">
        <f>"F09C8.2"</f>
        <v>F09C8.2</v>
      </c>
      <c r="F19254" t="s">
        <v>11</v>
      </c>
      <c r="G19254" t="s">
        <v>10296</v>
      </c>
      <c r="H19254" s="12">
        <v>-1.0412701903881301</v>
      </c>
      <c r="I19254" s="20">
        <v>-0.222238466395873</v>
      </c>
      <c r="J19254" s="28">
        <v>0.82412825089483599</v>
      </c>
      <c r="K19254" s="29">
        <v>0.98910800774860197</v>
      </c>
    </row>
    <row r="19255" spans="1:11" x14ac:dyDescent="0.35">
      <c r="A19255" s="9" t="str">
        <f>HYPERLINK("http://www.ensembl.org/id/WBGene00015621", "WBGene00015621")</f>
        <v>WBGene00015621</v>
      </c>
      <c r="B19255" s="9" t="str">
        <f>HYPERLINK("http://www.ncbi.nlm.nih.gov/gene/182438", "182438")</f>
        <v>182438</v>
      </c>
      <c r="C19255" s="9"/>
      <c r="D19255" t="str">
        <f>"C09B7.2"</f>
        <v>C09B7.2</v>
      </c>
      <c r="F19255" t="s">
        <v>11</v>
      </c>
      <c r="G19255" t="s">
        <v>25</v>
      </c>
      <c r="H19255" s="12">
        <v>-1.0482888045426</v>
      </c>
      <c r="I19255" s="20">
        <v>-0.22209168570202201</v>
      </c>
      <c r="J19255" s="28">
        <v>0.82424251009809801</v>
      </c>
      <c r="K19255" s="29">
        <v>0.98914238279457001</v>
      </c>
    </row>
    <row r="19256" spans="1:11" x14ac:dyDescent="0.35">
      <c r="A19256" s="9" t="str">
        <f>HYPERLINK("http://www.ensembl.org/id/WBGene00021646", "WBGene00021646")</f>
        <v>WBGene00021646</v>
      </c>
      <c r="B19256" s="9" t="str">
        <f>HYPERLINK("http://www.ncbi.nlm.nih.gov/gene/171924", "171924")</f>
        <v>171924</v>
      </c>
      <c r="C19256" s="9"/>
      <c r="D19256" t="str">
        <f>"Y47G6A.21"</f>
        <v>Y47G6A.21</v>
      </c>
      <c r="F19256" t="s">
        <v>11</v>
      </c>
      <c r="G19256" t="s">
        <v>489</v>
      </c>
      <c r="H19256" s="12">
        <v>-1.05334173934383</v>
      </c>
      <c r="I19256" s="20">
        <v>-0.22213605275905099</v>
      </c>
      <c r="J19256" s="28">
        <v>0.82420797284307801</v>
      </c>
      <c r="K19256" s="29">
        <v>0.98914238279457001</v>
      </c>
    </row>
    <row r="19257" spans="1:11" x14ac:dyDescent="0.35">
      <c r="A19257" s="9" t="str">
        <f>HYPERLINK("http://www.ensembl.org/id/WBGene00198968", "WBGene00198968")</f>
        <v>WBGene00198968</v>
      </c>
      <c r="B19257" s="9"/>
      <c r="C19257" s="9"/>
      <c r="D19257" t="str">
        <f>"Y39A3CL.12"</f>
        <v>Y39A3CL.12</v>
      </c>
      <c r="F19257" t="s">
        <v>481</v>
      </c>
      <c r="H19257" s="12">
        <v>-1.3852374509918199</v>
      </c>
      <c r="I19257" s="20">
        <v>-0.22203039425034901</v>
      </c>
      <c r="J19257" s="28">
        <v>0.82429022260091001</v>
      </c>
      <c r="K19257" s="29">
        <v>0.98914826712109205</v>
      </c>
    </row>
    <row r="19258" spans="1:11" x14ac:dyDescent="0.35">
      <c r="A19258" s="9" t="str">
        <f>HYPERLINK("http://www.ensembl.org/id/WBGene00015642", "WBGene00015642")</f>
        <v>WBGene00015642</v>
      </c>
      <c r="B19258" s="9" t="str">
        <f>HYPERLINK("http://www.ncbi.nlm.nih.gov/gene/175931", "175931")</f>
        <v>175931</v>
      </c>
      <c r="C19258" s="9"/>
      <c r="D19258" t="str">
        <f>"C09E7.8"</f>
        <v>C09E7.8</v>
      </c>
      <c r="F19258" t="s">
        <v>11</v>
      </c>
      <c r="G19258" t="s">
        <v>51</v>
      </c>
      <c r="H19258" s="12">
        <v>-1.05442605194076</v>
      </c>
      <c r="I19258" s="20">
        <v>-0.221705702019696</v>
      </c>
      <c r="J19258" s="28">
        <v>0.82454299100707296</v>
      </c>
      <c r="K19258" s="29">
        <v>0.98919070395048903</v>
      </c>
    </row>
    <row r="19259" spans="1:11" x14ac:dyDescent="0.35">
      <c r="A19259" s="9" t="str">
        <f>HYPERLINK("http://www.ensembl.org/id/WBGene00018628", "WBGene00018628")</f>
        <v>WBGene00018628</v>
      </c>
      <c r="B19259" s="9" t="str">
        <f>HYPERLINK("http://www.ncbi.nlm.nih.gov/gene/186033", "186033")</f>
        <v>186033</v>
      </c>
      <c r="C19259" s="9"/>
      <c r="D19259" t="str">
        <f>"F49D11.4"</f>
        <v>F49D11.4</v>
      </c>
      <c r="F19259" t="s">
        <v>11</v>
      </c>
      <c r="H19259" s="12">
        <v>-1.39165473899892</v>
      </c>
      <c r="I19259" s="20">
        <v>-0.22170926292371601</v>
      </c>
      <c r="J19259" s="28">
        <v>0.82454021879386197</v>
      </c>
      <c r="K19259" s="29">
        <v>0.98919070395048903</v>
      </c>
    </row>
    <row r="19260" spans="1:11" x14ac:dyDescent="0.35">
      <c r="A19260" s="9" t="str">
        <f>HYPERLINK("http://www.ensembl.org/id/WBGene00019797", "WBGene00019797")</f>
        <v>WBGene00019797</v>
      </c>
      <c r="B19260" s="9" t="str">
        <f>HYPERLINK("http://www.ncbi.nlm.nih.gov/gene/187482", "187482")</f>
        <v>187482</v>
      </c>
      <c r="C19260" s="9"/>
      <c r="D19260" t="str">
        <f>"fbxb-31"</f>
        <v>fbxb-31</v>
      </c>
      <c r="E19260" t="s">
        <v>1436</v>
      </c>
      <c r="F19260" t="s">
        <v>11</v>
      </c>
      <c r="G19260" t="s">
        <v>54</v>
      </c>
      <c r="H19260" s="12">
        <v>-1.14707772962401</v>
      </c>
      <c r="I19260" s="20">
        <v>-0.22169822134008699</v>
      </c>
      <c r="J19260" s="28">
        <v>0.82454881482712095</v>
      </c>
      <c r="K19260" s="29">
        <v>0.98919070395048903</v>
      </c>
    </row>
    <row r="19261" spans="1:11" x14ac:dyDescent="0.35">
      <c r="A19261" s="9" t="str">
        <f>HYPERLINK("http://www.ensembl.org/id/WBGene00001912", "WBGene00001912")</f>
        <v>WBGene00001912</v>
      </c>
      <c r="B19261" s="9" t="str">
        <f>HYPERLINK("http://www.ncbi.nlm.nih.gov/gene/191680", "191680")</f>
        <v>191680</v>
      </c>
      <c r="C19261" s="9" t="str">
        <f>HYPERLINK("http://www.ncbi.nlm.nih.gov/gene/8364", "8364")</f>
        <v>8364</v>
      </c>
      <c r="D19261" t="str">
        <f>"his-38"</f>
        <v>his-38</v>
      </c>
      <c r="E19261" t="s">
        <v>2675</v>
      </c>
      <c r="F19261" t="s">
        <v>11</v>
      </c>
      <c r="G19261" t="s">
        <v>232</v>
      </c>
      <c r="H19261" s="12">
        <v>1.1311750107607099</v>
      </c>
      <c r="I19261" s="20">
        <v>0.221606298327613</v>
      </c>
      <c r="J19261" s="28">
        <v>0.82462037904442098</v>
      </c>
      <c r="K19261" s="29">
        <v>0.98919070395048903</v>
      </c>
    </row>
    <row r="19262" spans="1:11" x14ac:dyDescent="0.35">
      <c r="A19262" s="9" t="str">
        <f>HYPERLINK("http://www.ensembl.org/id/WBGene00010714", "WBGene00010714")</f>
        <v>WBGene00010714</v>
      </c>
      <c r="B19262" s="9" t="str">
        <f>HYPERLINK("http://www.ncbi.nlm.nih.gov/gene/266652", "266652")</f>
        <v>266652</v>
      </c>
      <c r="C19262" s="9"/>
      <c r="D19262" t="str">
        <f>"mam-3"</f>
        <v>mam-3</v>
      </c>
      <c r="E19262" t="s">
        <v>679</v>
      </c>
      <c r="F19262" t="s">
        <v>11</v>
      </c>
      <c r="G19262" t="s">
        <v>427</v>
      </c>
      <c r="H19262" s="12">
        <v>1.13216402589708</v>
      </c>
      <c r="I19262" s="20">
        <v>0.22160002433716899</v>
      </c>
      <c r="J19262" s="28">
        <v>0.82462526354601895</v>
      </c>
      <c r="K19262" s="29">
        <v>0.98919070395048903</v>
      </c>
    </row>
    <row r="19263" spans="1:11" x14ac:dyDescent="0.35">
      <c r="A19263" s="9" t="str">
        <f>HYPERLINK("http://www.ensembl.org/id/WBGene00005071", "WBGene00005071")</f>
        <v>WBGene00005071</v>
      </c>
      <c r="B19263" s="9" t="str">
        <f>HYPERLINK("http://www.ncbi.nlm.nih.gov/gene/191788", "191788")</f>
        <v>191788</v>
      </c>
      <c r="C19263" s="9"/>
      <c r="D19263" t="str">
        <f>"srb-6"</f>
        <v>srb-6</v>
      </c>
      <c r="E19263" t="s">
        <v>10297</v>
      </c>
      <c r="F19263" t="s">
        <v>11</v>
      </c>
      <c r="G19263" t="s">
        <v>10298</v>
      </c>
      <c r="H19263" s="12">
        <v>1.4028036377311299</v>
      </c>
      <c r="I19263" s="20">
        <v>0.22178407570153899</v>
      </c>
      <c r="J19263" s="28">
        <v>0.82448197651386801</v>
      </c>
      <c r="K19263" s="29">
        <v>0.98919070395048903</v>
      </c>
    </row>
    <row r="19264" spans="1:11" x14ac:dyDescent="0.35">
      <c r="A19264" s="9" t="str">
        <f>HYPERLINK("http://www.ensembl.org/id/WBGene00185098", "WBGene00185098")</f>
        <v>WBGene00185098</v>
      </c>
      <c r="B19264" s="9" t="str">
        <f>HYPERLINK("http://www.ncbi.nlm.nih.gov/gene/13179386", "13179386")</f>
        <v>13179386</v>
      </c>
      <c r="C19264" s="9"/>
      <c r="D19264" t="str">
        <f>"Y71G12B.35"</f>
        <v>Y71G12B.35</v>
      </c>
      <c r="F19264" t="s">
        <v>11</v>
      </c>
      <c r="H19264" s="12">
        <v>1.07135040504893</v>
      </c>
      <c r="I19264" s="20">
        <v>0.22176737539233199</v>
      </c>
      <c r="J19264" s="28">
        <v>0.82449497773967395</v>
      </c>
      <c r="K19264" s="29">
        <v>0.98919070395048903</v>
      </c>
    </row>
    <row r="19265" spans="1:11" x14ac:dyDescent="0.35">
      <c r="A19265" s="9" t="str">
        <f>HYPERLINK("http://www.ensembl.org/id/WBGene00016611", "WBGene00016611")</f>
        <v>WBGene00016611</v>
      </c>
      <c r="B19265" s="9" t="str">
        <f>HYPERLINK("http://www.ncbi.nlm.nih.gov/gene/183417", "183417")</f>
        <v>183417</v>
      </c>
      <c r="C19265" s="9" t="str">
        <f>HYPERLINK("http://www.ncbi.nlm.nih.gov/gene/23299", "23299")</f>
        <v>23299</v>
      </c>
      <c r="D19265" t="str">
        <f>"bicd-1"</f>
        <v>bicd-1</v>
      </c>
      <c r="E19265" t="s">
        <v>10302</v>
      </c>
      <c r="F19265" t="s">
        <v>11</v>
      </c>
      <c r="G19265" t="s">
        <v>10303</v>
      </c>
      <c r="H19265" s="12">
        <v>1.0418768866138299</v>
      </c>
      <c r="I19265" s="20">
        <v>0.221414946577599</v>
      </c>
      <c r="J19265" s="28">
        <v>0.82476935553697694</v>
      </c>
      <c r="K19265" s="29">
        <v>0.98920847014240099</v>
      </c>
    </row>
    <row r="19266" spans="1:11" x14ac:dyDescent="0.35">
      <c r="A19266" s="9" t="str">
        <f>HYPERLINK("http://www.ensembl.org/id/WBGene00017731", "WBGene00017731")</f>
        <v>WBGene00017731</v>
      </c>
      <c r="B19266" s="9"/>
      <c r="C19266" s="9"/>
      <c r="D19266" t="str">
        <f>"F23C8.1"</f>
        <v>F23C8.1</v>
      </c>
      <c r="F19266" t="s">
        <v>80</v>
      </c>
      <c r="H19266" s="12">
        <v>-1.2442750462760199</v>
      </c>
      <c r="I19266" s="20">
        <v>-0.22130605857355801</v>
      </c>
      <c r="J19266" s="28">
        <v>0.82485413287603404</v>
      </c>
      <c r="K19266" s="29">
        <v>0.98920847014240099</v>
      </c>
    </row>
    <row r="19267" spans="1:11" x14ac:dyDescent="0.35">
      <c r="A19267" s="9" t="str">
        <f>HYPERLINK("http://www.ensembl.org/id/WBGene00017301", "WBGene00017301")</f>
        <v>WBGene00017301</v>
      </c>
      <c r="B19267" s="9" t="str">
        <f>HYPERLINK("http://www.ncbi.nlm.nih.gov/gene/175766", "175766")</f>
        <v>175766</v>
      </c>
      <c r="C19267" s="9" t="str">
        <f>HYPERLINK("http://www.ncbi.nlm.nih.gov/gene/26275", "26275")</f>
        <v>26275</v>
      </c>
      <c r="D19267" t="str">
        <f>"hach-1"</f>
        <v>hach-1</v>
      </c>
      <c r="E19267" t="s">
        <v>10300</v>
      </c>
      <c r="F19267" t="s">
        <v>11</v>
      </c>
      <c r="G19267" t="s">
        <v>10301</v>
      </c>
      <c r="H19267" s="12">
        <v>1.0493992747410299</v>
      </c>
      <c r="I19267" s="20">
        <v>0.2213150253308</v>
      </c>
      <c r="J19267" s="28">
        <v>0.82484715151723098</v>
      </c>
      <c r="K19267" s="29">
        <v>0.98920847014240099</v>
      </c>
    </row>
    <row r="19268" spans="1:11" x14ac:dyDescent="0.35">
      <c r="A19268" s="9" t="str">
        <f>HYPERLINK("http://www.ensembl.org/id/WBGene00005187", "WBGene00005187")</f>
        <v>WBGene00005187</v>
      </c>
      <c r="B19268" s="9" t="str">
        <f>HYPERLINK("http://www.ncbi.nlm.nih.gov/gene/189125", "189125")</f>
        <v>189125</v>
      </c>
      <c r="C19268" s="9"/>
      <c r="D19268" t="str">
        <f>"srg-30"</f>
        <v>srg-30</v>
      </c>
      <c r="E19268" t="s">
        <v>10299</v>
      </c>
      <c r="F19268" t="s">
        <v>11</v>
      </c>
      <c r="G19268" t="s">
        <v>1829</v>
      </c>
      <c r="H19268" s="12">
        <v>1.44434565431992</v>
      </c>
      <c r="I19268" s="20">
        <v>0.22145305250040501</v>
      </c>
      <c r="J19268" s="28">
        <v>0.82473968774940998</v>
      </c>
      <c r="K19268" s="29">
        <v>0.98920847014240099</v>
      </c>
    </row>
    <row r="19269" spans="1:11" x14ac:dyDescent="0.35">
      <c r="A19269" s="9" t="str">
        <f>HYPERLINK("http://www.ensembl.org/id/WBGene00023401", "WBGene00023401")</f>
        <v>WBGene00023401</v>
      </c>
      <c r="B19269" s="9"/>
      <c r="C19269" s="9"/>
      <c r="D19269" t="str">
        <f>"ZK380.t2"</f>
        <v>ZK380.t2</v>
      </c>
      <c r="F19269" t="s">
        <v>80</v>
      </c>
      <c r="H19269" s="12">
        <v>1.0941721375340301</v>
      </c>
      <c r="I19269" s="20">
        <v>0.22135117269160801</v>
      </c>
      <c r="J19269" s="28">
        <v>0.82481900796110996</v>
      </c>
      <c r="K19269" s="29">
        <v>0.98920847014240099</v>
      </c>
    </row>
    <row r="19270" spans="1:11" x14ac:dyDescent="0.35">
      <c r="A19270" s="9" t="str">
        <f>HYPERLINK("http://www.ensembl.org/id/WBGene00006272", "WBGene00006272")</f>
        <v>WBGene00006272</v>
      </c>
      <c r="B19270" s="9" t="str">
        <f>HYPERLINK("http://www.ncbi.nlm.nih.gov/gene/185187", "185187")</f>
        <v>185187</v>
      </c>
      <c r="C19270" s="9"/>
      <c r="D19270" t="str">
        <f>"str-245"</f>
        <v>str-245</v>
      </c>
      <c r="E19270" t="s">
        <v>590</v>
      </c>
      <c r="F19270" t="s">
        <v>11</v>
      </c>
      <c r="G19270" t="s">
        <v>591</v>
      </c>
      <c r="H19270" s="12">
        <v>-1.1363278524535301</v>
      </c>
      <c r="I19270" s="20">
        <v>-0.221100973744115</v>
      </c>
      <c r="J19270" s="28">
        <v>0.82501381208259394</v>
      </c>
      <c r="K19270" s="29">
        <v>0.98934861646151195</v>
      </c>
    </row>
    <row r="19271" spans="1:11" x14ac:dyDescent="0.35">
      <c r="A19271" s="9" t="str">
        <f>HYPERLINK("http://www.ensembl.org/id/WBGene00167325", "WBGene00167325")</f>
        <v>WBGene00167325</v>
      </c>
      <c r="B19271" s="9"/>
      <c r="C19271" s="9"/>
      <c r="D19271" t="str">
        <f>"21ur-12253"</f>
        <v>21ur-12253</v>
      </c>
      <c r="F19271" t="s">
        <v>3161</v>
      </c>
      <c r="H19271" s="12">
        <v>2.0886489781828099</v>
      </c>
      <c r="I19271" s="20">
        <v>0.219960124059632</v>
      </c>
      <c r="J19271" s="28">
        <v>0.82590221052191704</v>
      </c>
      <c r="K19271" s="29">
        <v>0.98941214808310096</v>
      </c>
    </row>
    <row r="19272" spans="1:11" x14ac:dyDescent="0.35">
      <c r="A19272" s="9" t="str">
        <f>HYPERLINK("http://www.ensembl.org/id/WBGene00018657", "WBGene00018657")</f>
        <v>WBGene00018657</v>
      </c>
      <c r="B19272" s="9" t="str">
        <f>HYPERLINK("http://www.ncbi.nlm.nih.gov/gene/180519", "180519")</f>
        <v>180519</v>
      </c>
      <c r="C19272" s="9" t="str">
        <f>HYPERLINK("http://www.ncbi.nlm.nih.gov/gene/137964", "137964")</f>
        <v>137964</v>
      </c>
      <c r="D19272" t="str">
        <f>"acl-4"</f>
        <v>acl-4</v>
      </c>
      <c r="E19272" t="s">
        <v>2715</v>
      </c>
      <c r="F19272" t="s">
        <v>11</v>
      </c>
      <c r="G19272" t="s">
        <v>10307</v>
      </c>
      <c r="H19272" s="12">
        <v>-1.0417550556852</v>
      </c>
      <c r="I19272" s="20">
        <v>-0.22034145502125899</v>
      </c>
      <c r="J19272" s="28">
        <v>0.82560523695924604</v>
      </c>
      <c r="K19272" s="29">
        <v>0.98941214808310096</v>
      </c>
    </row>
    <row r="19273" spans="1:11" x14ac:dyDescent="0.35">
      <c r="A19273" s="9" t="str">
        <f>HYPERLINK("http://www.ensembl.org/id/WBGene00201384", "WBGene00201384")</f>
        <v>WBGene00201384</v>
      </c>
      <c r="B19273" s="9"/>
      <c r="C19273" s="9"/>
      <c r="D19273" t="str">
        <f>"B0222.14"</f>
        <v>B0222.14</v>
      </c>
      <c r="F19273" t="s">
        <v>481</v>
      </c>
      <c r="H19273" s="12">
        <v>2.0886489781828099</v>
      </c>
      <c r="I19273" s="20">
        <v>0.219960124059632</v>
      </c>
      <c r="J19273" s="28">
        <v>0.82590221052191704</v>
      </c>
      <c r="K19273" s="29">
        <v>0.98941214808310096</v>
      </c>
    </row>
    <row r="19274" spans="1:11" x14ac:dyDescent="0.35">
      <c r="A19274" s="9" t="str">
        <f>HYPERLINK("http://www.ensembl.org/id/WBGene00015300", "WBGene00015300")</f>
        <v>WBGene00015300</v>
      </c>
      <c r="B19274" s="9" t="str">
        <f>HYPERLINK("http://www.ncbi.nlm.nih.gov/gene/182069", "182069")</f>
        <v>182069</v>
      </c>
      <c r="C19274" s="9"/>
      <c r="D19274" t="str">
        <f>"C01F1.5"</f>
        <v>C01F1.5</v>
      </c>
      <c r="F19274" t="s">
        <v>11</v>
      </c>
      <c r="G19274" t="s">
        <v>10304</v>
      </c>
      <c r="H19274" s="12">
        <v>1.1308268324261499</v>
      </c>
      <c r="I19274" s="20">
        <v>0.220360748319607</v>
      </c>
      <c r="J19274" s="28">
        <v>0.825590212354959</v>
      </c>
      <c r="K19274" s="29">
        <v>0.98941214808310096</v>
      </c>
    </row>
    <row r="19275" spans="1:11" x14ac:dyDescent="0.35">
      <c r="A19275" s="9" t="str">
        <f>HYPERLINK("http://www.ensembl.org/id/WBGene00200125", "WBGene00200125")</f>
        <v>WBGene00200125</v>
      </c>
      <c r="B19275" s="9"/>
      <c r="C19275" s="9"/>
      <c r="D19275" t="str">
        <f>"C24H11.11"</f>
        <v>C24H11.11</v>
      </c>
      <c r="F19275" t="s">
        <v>481</v>
      </c>
      <c r="H19275" s="12">
        <v>2.0886489781828099</v>
      </c>
      <c r="I19275" s="20">
        <v>0.219960124059632</v>
      </c>
      <c r="J19275" s="28">
        <v>0.82590221052191704</v>
      </c>
      <c r="K19275" s="29">
        <v>0.98941214808310096</v>
      </c>
    </row>
    <row r="19276" spans="1:11" x14ac:dyDescent="0.35">
      <c r="A19276" s="9" t="str">
        <f>HYPERLINK("http://www.ensembl.org/id/WBGene00000383", "WBGene00000383")</f>
        <v>WBGene00000383</v>
      </c>
      <c r="B19276" s="9" t="str">
        <f>HYPERLINK("http://www.ncbi.nlm.nih.gov/gene/173945", "173945")</f>
        <v>173945</v>
      </c>
      <c r="C19276" s="9" t="str">
        <f>HYPERLINK("http://www.ncbi.nlm.nih.gov/gene/8556", "8556")</f>
        <v>8556</v>
      </c>
      <c r="D19276" t="str">
        <f>"cdc-14"</f>
        <v>cdc-14</v>
      </c>
      <c r="E19276" t="s">
        <v>10305</v>
      </c>
      <c r="F19276" t="s">
        <v>11</v>
      </c>
      <c r="G19276" t="s">
        <v>10306</v>
      </c>
      <c r="H19276" s="12">
        <v>1.04062559077544</v>
      </c>
      <c r="I19276" s="20">
        <v>0.22028931500003701</v>
      </c>
      <c r="J19276" s="28">
        <v>0.82564584118031104</v>
      </c>
      <c r="K19276" s="29">
        <v>0.98941214808310096</v>
      </c>
    </row>
    <row r="19277" spans="1:11" x14ac:dyDescent="0.35">
      <c r="A19277" s="9" t="str">
        <f>HYPERLINK("http://www.ensembl.org/id/WBGene00008916", "WBGene00008916")</f>
        <v>WBGene00008916</v>
      </c>
      <c r="B19277" s="9" t="str">
        <f>HYPERLINK("http://www.ncbi.nlm.nih.gov/gene/184615", "184615")</f>
        <v>184615</v>
      </c>
      <c r="C19277" s="9"/>
      <c r="D19277" t="str">
        <f>"clec-221"</f>
        <v>clec-221</v>
      </c>
      <c r="E19277" t="s">
        <v>46</v>
      </c>
      <c r="F19277" t="s">
        <v>11</v>
      </c>
      <c r="G19277" t="s">
        <v>47</v>
      </c>
      <c r="H19277" s="12">
        <v>-1.1664673082346799</v>
      </c>
      <c r="I19277" s="20">
        <v>-0.220563784606017</v>
      </c>
      <c r="J19277" s="28">
        <v>0.82543210226629304</v>
      </c>
      <c r="K19277" s="29">
        <v>0.98941214808310096</v>
      </c>
    </row>
    <row r="19278" spans="1:11" x14ac:dyDescent="0.35">
      <c r="A19278" s="9" t="str">
        <f>HYPERLINK("http://www.ensembl.org/id/WBGene00201926", "WBGene00201926")</f>
        <v>WBGene00201926</v>
      </c>
      <c r="B19278" s="9"/>
      <c r="C19278" s="9"/>
      <c r="D19278" t="str">
        <f>"F52F12.18"</f>
        <v>F52F12.18</v>
      </c>
      <c r="F19278" t="s">
        <v>481</v>
      </c>
      <c r="H19278" s="12">
        <v>2.0886489781828099</v>
      </c>
      <c r="I19278" s="20">
        <v>0.219960124059632</v>
      </c>
      <c r="J19278" s="28">
        <v>0.82590221052191704</v>
      </c>
      <c r="K19278" s="29">
        <v>0.98941214808310096</v>
      </c>
    </row>
    <row r="19279" spans="1:11" x14ac:dyDescent="0.35">
      <c r="A19279" s="9" t="str">
        <f>HYPERLINK("http://www.ensembl.org/id/WBGene00022496", "WBGene00022496")</f>
        <v>WBGene00022496</v>
      </c>
      <c r="B19279" s="9" t="str">
        <f>HYPERLINK("http://www.ncbi.nlm.nih.gov/gene/191047", "191047")</f>
        <v>191047</v>
      </c>
      <c r="C19279" s="9"/>
      <c r="D19279" t="str">
        <f>"fbxa-92"</f>
        <v>fbxa-92</v>
      </c>
      <c r="E19279" t="s">
        <v>467</v>
      </c>
      <c r="F19279" t="s">
        <v>11</v>
      </c>
      <c r="G19279" t="s">
        <v>54</v>
      </c>
      <c r="H19279" s="12">
        <v>2.0886489781828099</v>
      </c>
      <c r="I19279" s="20">
        <v>0.219960124059632</v>
      </c>
      <c r="J19279" s="28">
        <v>0.82590221052191704</v>
      </c>
      <c r="K19279" s="29">
        <v>0.98941214808310096</v>
      </c>
    </row>
    <row r="19280" spans="1:11" x14ac:dyDescent="0.35">
      <c r="A19280" s="9" t="str">
        <f>HYPERLINK("http://www.ensembl.org/id/WBGene00010782", "WBGene00010782")</f>
        <v>WBGene00010782</v>
      </c>
      <c r="B19280" s="9" t="str">
        <f>HYPERLINK("http://www.ncbi.nlm.nih.gov/gene/187308", "187308")</f>
        <v>187308</v>
      </c>
      <c r="C19280" s="9"/>
      <c r="D19280" t="str">
        <f>"K11H3.5"</f>
        <v>K11H3.5</v>
      </c>
      <c r="F19280" t="s">
        <v>11</v>
      </c>
      <c r="H19280" s="12">
        <v>-1.1035284605990301</v>
      </c>
      <c r="I19280" s="20">
        <v>-0.21990440166472899</v>
      </c>
      <c r="J19280" s="28">
        <v>0.82594560818857898</v>
      </c>
      <c r="K19280" s="29">
        <v>0.98941214808310096</v>
      </c>
    </row>
    <row r="19281" spans="1:11" x14ac:dyDescent="0.35">
      <c r="A19281" s="9" t="str">
        <f>HYPERLINK("http://www.ensembl.org/id/WBGene00010805", "WBGene00010805")</f>
        <v>WBGene00010805</v>
      </c>
      <c r="B19281" s="9" t="str">
        <f>HYPERLINK("http://www.ncbi.nlm.nih.gov/gene/173192", "173192")</f>
        <v>173192</v>
      </c>
      <c r="C19281" s="9" t="str">
        <f>HYPERLINK("http://www.ncbi.nlm.nih.gov/gene/26164", "26164")</f>
        <v>26164</v>
      </c>
      <c r="D19281" t="str">
        <f>"M01E5.2"</f>
        <v>M01E5.2</v>
      </c>
      <c r="F19281" t="s">
        <v>11</v>
      </c>
      <c r="G19281" t="s">
        <v>10308</v>
      </c>
      <c r="H19281" s="12">
        <v>-1.0546509290203501</v>
      </c>
      <c r="I19281" s="20">
        <v>-0.219878189551591</v>
      </c>
      <c r="J19281" s="28">
        <v>0.82596602286743503</v>
      </c>
      <c r="K19281" s="29">
        <v>0.98941214808310096</v>
      </c>
    </row>
    <row r="19282" spans="1:11" x14ac:dyDescent="0.35">
      <c r="A19282" s="9" t="str">
        <f>HYPERLINK("http://www.ensembl.org/id/WBGene00010180", "WBGene00010180")</f>
        <v>WBGene00010180</v>
      </c>
      <c r="B19282" s="9" t="str">
        <f>HYPERLINK("http://www.ncbi.nlm.nih.gov/gene/186431", "186431")</f>
        <v>186431</v>
      </c>
      <c r="C19282" s="9"/>
      <c r="D19282" t="str">
        <f>"nhr-192"</f>
        <v>nhr-192</v>
      </c>
      <c r="E19282" t="s">
        <v>637</v>
      </c>
      <c r="F19282" t="s">
        <v>11</v>
      </c>
      <c r="G19282" t="s">
        <v>1073</v>
      </c>
      <c r="H19282" s="12">
        <v>2.0886489781828099</v>
      </c>
      <c r="I19282" s="20">
        <v>0.219960124059632</v>
      </c>
      <c r="J19282" s="28">
        <v>0.82590221052191704</v>
      </c>
      <c r="K19282" s="29">
        <v>0.98941214808310096</v>
      </c>
    </row>
    <row r="19283" spans="1:11" x14ac:dyDescent="0.35">
      <c r="A19283" s="9" t="str">
        <f>HYPERLINK("http://www.ensembl.org/id/WBGene00016281", "WBGene00016281")</f>
        <v>WBGene00016281</v>
      </c>
      <c r="B19283" s="9" t="str">
        <f>HYPERLINK("http://www.ncbi.nlm.nih.gov/gene/183078", "183078")</f>
        <v>183078</v>
      </c>
      <c r="C19283" s="9"/>
      <c r="D19283" t="str">
        <f>"pals-32"</f>
        <v>pals-32</v>
      </c>
      <c r="E19283" t="s">
        <v>1147</v>
      </c>
      <c r="F19283" t="s">
        <v>11</v>
      </c>
      <c r="H19283" s="12">
        <v>1.1230188934157199</v>
      </c>
      <c r="I19283" s="20">
        <v>0.220007537330148</v>
      </c>
      <c r="J19283" s="28">
        <v>0.82586528457905495</v>
      </c>
      <c r="K19283" s="29">
        <v>0.98941214808310096</v>
      </c>
    </row>
    <row r="19284" spans="1:11" x14ac:dyDescent="0.35">
      <c r="A19284" s="9" t="str">
        <f>HYPERLINK("http://www.ensembl.org/id/WBGene00015054", "WBGene00015054")</f>
        <v>WBGene00015054</v>
      </c>
      <c r="B19284" s="9" t="str">
        <f>HYPERLINK("http://www.ncbi.nlm.nih.gov/gene/181857", "181857")</f>
        <v>181857</v>
      </c>
      <c r="C19284" s="9" t="str">
        <f>HYPERLINK("http://www.ncbi.nlm.nih.gov/gene/6575", "6575")</f>
        <v>6575</v>
      </c>
      <c r="D19284" t="str">
        <f>"pitr-2"</f>
        <v>pitr-2</v>
      </c>
      <c r="E19284" t="s">
        <v>2064</v>
      </c>
      <c r="F19284" t="s">
        <v>11</v>
      </c>
      <c r="G19284" t="s">
        <v>2065</v>
      </c>
      <c r="H19284" s="12">
        <v>-1.0883307164359</v>
      </c>
      <c r="I19284" s="20">
        <v>-0.22010527828253099</v>
      </c>
      <c r="J19284" s="28">
        <v>0.82578916413534398</v>
      </c>
      <c r="K19284" s="29">
        <v>0.98941214808310096</v>
      </c>
    </row>
    <row r="19285" spans="1:11" x14ac:dyDescent="0.35">
      <c r="A19285" s="9" t="str">
        <f>HYPERLINK("http://www.ensembl.org/id/WBGene00007701", "WBGene00007701")</f>
        <v>WBGene00007701</v>
      </c>
      <c r="B19285" s="9" t="str">
        <f>HYPERLINK("http://www.ncbi.nlm.nih.gov/gene/182862", "182862")</f>
        <v>182862</v>
      </c>
      <c r="C19285" s="9"/>
      <c r="D19285" t="str">
        <f>"srd-74"</f>
        <v>srd-74</v>
      </c>
      <c r="E19285" t="s">
        <v>1513</v>
      </c>
      <c r="F19285" t="s">
        <v>11</v>
      </c>
      <c r="G19285" t="s">
        <v>25</v>
      </c>
      <c r="H19285" s="12">
        <v>2.0886489781828099</v>
      </c>
      <c r="I19285" s="20">
        <v>0.219960124059632</v>
      </c>
      <c r="J19285" s="28">
        <v>0.82590221052191704</v>
      </c>
      <c r="K19285" s="29">
        <v>0.98941214808310096</v>
      </c>
    </row>
    <row r="19286" spans="1:11" x14ac:dyDescent="0.35">
      <c r="A19286" s="9" t="str">
        <f>HYPERLINK("http://www.ensembl.org/id/WBGene00005610", "WBGene00005610")</f>
        <v>WBGene00005610</v>
      </c>
      <c r="B19286" s="9" t="str">
        <f>HYPERLINK("http://www.ncbi.nlm.nih.gov/gene/185095", "185095")</f>
        <v>185095</v>
      </c>
      <c r="C19286" s="9"/>
      <c r="D19286" t="str">
        <f>"srj-22"</f>
        <v>srj-22</v>
      </c>
      <c r="E19286" t="s">
        <v>3123</v>
      </c>
      <c r="F19286" t="s">
        <v>11</v>
      </c>
      <c r="G19286" t="s">
        <v>25</v>
      </c>
      <c r="H19286" s="12">
        <v>2.0886489781828099</v>
      </c>
      <c r="I19286" s="20">
        <v>0.219960124059632</v>
      </c>
      <c r="J19286" s="28">
        <v>0.82590221052191704</v>
      </c>
      <c r="K19286" s="29">
        <v>0.98941214808310096</v>
      </c>
    </row>
    <row r="19287" spans="1:11" x14ac:dyDescent="0.35">
      <c r="A19287" s="9" t="str">
        <f>HYPERLINK("http://www.ensembl.org/id/WBGene00006093", "WBGene00006093")</f>
        <v>WBGene00006093</v>
      </c>
      <c r="B19287" s="9" t="str">
        <f>HYPERLINK("http://www.ncbi.nlm.nih.gov/gene/188782", "188782")</f>
        <v>188782</v>
      </c>
      <c r="C19287" s="9"/>
      <c r="D19287" t="str">
        <f>"str-27"</f>
        <v>str-27</v>
      </c>
      <c r="E19287" t="s">
        <v>590</v>
      </c>
      <c r="F19287" t="s">
        <v>11</v>
      </c>
      <c r="G19287" t="s">
        <v>25</v>
      </c>
      <c r="H19287" s="12">
        <v>2.0886489781828099</v>
      </c>
      <c r="I19287" s="20">
        <v>0.219960124059632</v>
      </c>
      <c r="J19287" s="28">
        <v>0.82590221052191704</v>
      </c>
      <c r="K19287" s="29">
        <v>0.98941214808310096</v>
      </c>
    </row>
    <row r="19288" spans="1:11" x14ac:dyDescent="0.35">
      <c r="A19288" s="9" t="str">
        <f>HYPERLINK("http://www.ensembl.org/id/WBGene00011421", "WBGene00011421")</f>
        <v>WBGene00011421</v>
      </c>
      <c r="B19288" s="9"/>
      <c r="C19288" s="9"/>
      <c r="D19288" t="str">
        <f>"T04B2.1"</f>
        <v>T04B2.1</v>
      </c>
      <c r="F19288" t="s">
        <v>80</v>
      </c>
      <c r="H19288" s="12">
        <v>2.0886489781828099</v>
      </c>
      <c r="I19288" s="20">
        <v>0.219960124059632</v>
      </c>
      <c r="J19288" s="28">
        <v>0.82590221052191704</v>
      </c>
      <c r="K19288" s="29">
        <v>0.98941214808310096</v>
      </c>
    </row>
    <row r="19289" spans="1:11" x14ac:dyDescent="0.35">
      <c r="A19289" s="9" t="str">
        <f>HYPERLINK("http://www.ensembl.org/id/WBGene00018931", "WBGene00018931")</f>
        <v>WBGene00018931</v>
      </c>
      <c r="B19289" s="9" t="str">
        <f>HYPERLINK("http://www.ncbi.nlm.nih.gov/gene/176904", "176904")</f>
        <v>176904</v>
      </c>
      <c r="C19289" s="9"/>
      <c r="D19289" t="str">
        <f>"ugt-52"</f>
        <v>ugt-52</v>
      </c>
      <c r="E19289" t="s">
        <v>103</v>
      </c>
      <c r="F19289" t="s">
        <v>11</v>
      </c>
      <c r="G19289" t="s">
        <v>104</v>
      </c>
      <c r="H19289" s="12">
        <v>-1.09198581108285</v>
      </c>
      <c r="I19289" s="20">
        <v>-0.219956859123388</v>
      </c>
      <c r="J19289" s="28">
        <v>0.82590475330202595</v>
      </c>
      <c r="K19289" s="29">
        <v>0.98941214808310096</v>
      </c>
    </row>
    <row r="19290" spans="1:11" x14ac:dyDescent="0.35">
      <c r="A19290" s="9" t="str">
        <f>HYPERLINK("http://www.ensembl.org/id/WBGene00271654", "WBGene00271654")</f>
        <v>WBGene00271654</v>
      </c>
      <c r="B19290" s="9"/>
      <c r="C19290" s="9"/>
      <c r="D19290" t="str">
        <f>"Y54G9A.17"</f>
        <v>Y54G9A.17</v>
      </c>
      <c r="F19290" t="s">
        <v>481</v>
      </c>
      <c r="H19290" s="12">
        <v>2.0886489781828099</v>
      </c>
      <c r="I19290" s="20">
        <v>0.219960124059632</v>
      </c>
      <c r="J19290" s="28">
        <v>0.82590221052191704</v>
      </c>
      <c r="K19290" s="29">
        <v>0.98941214808310096</v>
      </c>
    </row>
    <row r="19291" spans="1:11" x14ac:dyDescent="0.35">
      <c r="A19291" s="9" t="str">
        <f>HYPERLINK("http://www.ensembl.org/id/WBGene00022221", "WBGene00022221")</f>
        <v>WBGene00022221</v>
      </c>
      <c r="B19291" s="9" t="str">
        <f>HYPERLINK("http://www.ncbi.nlm.nih.gov/gene/3564958", "3564958")</f>
        <v>3564958</v>
      </c>
      <c r="C19291" s="9"/>
      <c r="D19291" t="str">
        <f>"Y73B3A.20"</f>
        <v>Y73B3A.20</v>
      </c>
      <c r="F19291" t="s">
        <v>11</v>
      </c>
      <c r="H19291" s="12">
        <v>1.11963829986204</v>
      </c>
      <c r="I19291" s="20">
        <v>0.22035496576766</v>
      </c>
      <c r="J19291" s="28">
        <v>0.82559471549505803</v>
      </c>
      <c r="K19291" s="29">
        <v>0.98941214808310096</v>
      </c>
    </row>
    <row r="19292" spans="1:11" x14ac:dyDescent="0.35">
      <c r="A19292" s="9" t="str">
        <f>HYPERLINK("http://www.ensembl.org/id/WBGene00015787", "WBGene00015787")</f>
        <v>WBGene00015787</v>
      </c>
      <c r="B19292" s="9" t="str">
        <f>HYPERLINK("http://www.ncbi.nlm.nih.gov/gene/182629", "182629")</f>
        <v>182629</v>
      </c>
      <c r="C19292" s="9"/>
      <c r="D19292" t="str">
        <f>"actl-1"</f>
        <v>actl-1</v>
      </c>
      <c r="E19292" t="s">
        <v>10309</v>
      </c>
      <c r="F19292" t="s">
        <v>11</v>
      </c>
      <c r="H19292" s="12">
        <v>1.0553360483504299</v>
      </c>
      <c r="I19292" s="20">
        <v>0.219597426322761</v>
      </c>
      <c r="J19292" s="28">
        <v>0.82618469598572697</v>
      </c>
      <c r="K19292" s="29">
        <v>0.989520194145045</v>
      </c>
    </row>
    <row r="19293" spans="1:11" x14ac:dyDescent="0.35">
      <c r="A19293" s="9" t="str">
        <f>HYPERLINK("http://www.ensembl.org/id/WBGene00007404", "WBGene00007404")</f>
        <v>WBGene00007404</v>
      </c>
      <c r="B19293" s="9" t="str">
        <f>HYPERLINK("http://www.ncbi.nlm.nih.gov/gene/176367", "176367")</f>
        <v>176367</v>
      </c>
      <c r="C19293" s="9"/>
      <c r="D19293" t="str">
        <f>"best-5"</f>
        <v>best-5</v>
      </c>
      <c r="E19293" t="s">
        <v>10310</v>
      </c>
      <c r="F19293" t="s">
        <v>11</v>
      </c>
      <c r="H19293" s="12">
        <v>-1.06242305454777</v>
      </c>
      <c r="I19293" s="20">
        <v>-0.21959892933865199</v>
      </c>
      <c r="J19293" s="28">
        <v>0.82618352532226302</v>
      </c>
      <c r="K19293" s="29">
        <v>0.989520194145045</v>
      </c>
    </row>
    <row r="19294" spans="1:11" x14ac:dyDescent="0.35">
      <c r="A19294" s="9" t="str">
        <f>HYPERLINK("http://www.ensembl.org/id/WBGene00017258", "WBGene00017258")</f>
        <v>WBGene00017258</v>
      </c>
      <c r="B19294" s="9" t="str">
        <f>HYPERLINK("http://www.ncbi.nlm.nih.gov/gene/181095", "181095")</f>
        <v>181095</v>
      </c>
      <c r="C19294" s="9"/>
      <c r="D19294" t="str">
        <f>"F08F1.4"</f>
        <v>F08F1.4</v>
      </c>
      <c r="F19294" t="s">
        <v>11</v>
      </c>
      <c r="H19294" s="12">
        <v>1.0510641062425601</v>
      </c>
      <c r="I19294" s="20">
        <v>0.21962505399260099</v>
      </c>
      <c r="J19294" s="28">
        <v>0.82616317751005097</v>
      </c>
      <c r="K19294" s="29">
        <v>0.989520194145045</v>
      </c>
    </row>
    <row r="19295" spans="1:11" x14ac:dyDescent="0.35">
      <c r="A19295" s="9" t="str">
        <f>HYPERLINK("http://www.ensembl.org/id/WBGene00007088", "WBGene00007088")</f>
        <v>WBGene00007088</v>
      </c>
      <c r="B19295" s="9" t="str">
        <f>HYPERLINK("http://www.ncbi.nlm.nih.gov/gene/178163", "178163")</f>
        <v>178163</v>
      </c>
      <c r="C19295" s="9"/>
      <c r="D19295" t="str">
        <f>"B0001.3"</f>
        <v>B0001.3</v>
      </c>
      <c r="F19295" t="s">
        <v>11</v>
      </c>
      <c r="H19295" s="12">
        <v>-1.0463739329147701</v>
      </c>
      <c r="I19295" s="20">
        <v>-0.219295342487626</v>
      </c>
      <c r="J19295" s="28">
        <v>0.82641998976655395</v>
      </c>
      <c r="K19295" s="29">
        <v>0.98953014881205303</v>
      </c>
    </row>
    <row r="19296" spans="1:11" x14ac:dyDescent="0.35">
      <c r="A19296" s="9" t="str">
        <f>HYPERLINK("http://www.ensembl.org/id/WBGene00201310", "WBGene00201310")</f>
        <v>WBGene00201310</v>
      </c>
      <c r="B19296" s="9"/>
      <c r="C19296" s="9"/>
      <c r="D19296" t="str">
        <f>"C39H7.70"</f>
        <v>C39H7.70</v>
      </c>
      <c r="F19296" t="s">
        <v>481</v>
      </c>
      <c r="H19296" s="12">
        <v>-1.1803107130999999</v>
      </c>
      <c r="I19296" s="20">
        <v>-0.219487387405254</v>
      </c>
      <c r="J19296" s="28">
        <v>0.82627040374071103</v>
      </c>
      <c r="K19296" s="29">
        <v>0.98953014881205303</v>
      </c>
    </row>
    <row r="19297" spans="1:11" x14ac:dyDescent="0.35">
      <c r="A19297" s="9" t="str">
        <f>HYPERLINK("http://www.ensembl.org/id/WBGene00235269", "WBGene00235269")</f>
        <v>WBGene00235269</v>
      </c>
      <c r="B19297" s="9" t="str">
        <f>HYPERLINK("http://www.ncbi.nlm.nih.gov/gene/24104677", "24104677")</f>
        <v>24104677</v>
      </c>
      <c r="C19297" s="9"/>
      <c r="D19297" t="str">
        <f>"F59E12.15"</f>
        <v>F59E12.15</v>
      </c>
      <c r="F19297" t="s">
        <v>11</v>
      </c>
      <c r="G19297" t="s">
        <v>4225</v>
      </c>
      <c r="H19297" s="12">
        <v>-1.16195798115169</v>
      </c>
      <c r="I19297" s="20">
        <v>-0.219226424103522</v>
      </c>
      <c r="J19297" s="28">
        <v>0.82647367263595795</v>
      </c>
      <c r="K19297" s="29">
        <v>0.98953014881205303</v>
      </c>
    </row>
    <row r="19298" spans="1:11" x14ac:dyDescent="0.35">
      <c r="A19298" s="9" t="str">
        <f>HYPERLINK("http://www.ensembl.org/id/WBGene00022447", "WBGene00022447")</f>
        <v>WBGene00022447</v>
      </c>
      <c r="B19298" s="9" t="str">
        <f>HYPERLINK("http://www.ncbi.nlm.nih.gov/gene/190940", "190940")</f>
        <v>190940</v>
      </c>
      <c r="C19298" s="9" t="str">
        <f>HYPERLINK("http://www.ncbi.nlm.nih.gov/gene/284098", "284098")</f>
        <v>284098</v>
      </c>
      <c r="D19298" t="str">
        <f>"hpo-20"</f>
        <v>hpo-20</v>
      </c>
      <c r="E19298" t="s">
        <v>10311</v>
      </c>
      <c r="F19298" t="s">
        <v>11</v>
      </c>
      <c r="G19298" t="s">
        <v>10312</v>
      </c>
      <c r="H19298" s="12">
        <v>1.0800384104691401</v>
      </c>
      <c r="I19298" s="20">
        <v>0.219312222646703</v>
      </c>
      <c r="J19298" s="28">
        <v>0.82640684136119302</v>
      </c>
      <c r="K19298" s="29">
        <v>0.98953014881205303</v>
      </c>
    </row>
    <row r="19299" spans="1:11" x14ac:dyDescent="0.35">
      <c r="A19299" s="9" t="str">
        <f>HYPERLINK("http://www.ensembl.org/id/WBGene00199166", "WBGene00199166")</f>
        <v>WBGene00199166</v>
      </c>
      <c r="B19299" s="9"/>
      <c r="C19299" s="9"/>
      <c r="D19299" t="str">
        <f>"K08F8.11"</f>
        <v>K08F8.11</v>
      </c>
      <c r="F19299" t="s">
        <v>481</v>
      </c>
      <c r="H19299" s="12">
        <v>1.1934602353364101</v>
      </c>
      <c r="I19299" s="20">
        <v>0.21932343036851801</v>
      </c>
      <c r="J19299" s="28">
        <v>0.82639811139513897</v>
      </c>
      <c r="K19299" s="29">
        <v>0.98953014881205303</v>
      </c>
    </row>
    <row r="19300" spans="1:11" x14ac:dyDescent="0.35">
      <c r="A19300" s="9" t="str">
        <f>HYPERLINK("http://www.ensembl.org/id/WBGene00005408", "WBGene00005408")</f>
        <v>WBGene00005408</v>
      </c>
      <c r="B19300" s="9" t="str">
        <f>HYPERLINK("http://www.ncbi.nlm.nih.gov/gene/187881", "187881")</f>
        <v>187881</v>
      </c>
      <c r="C19300" s="9"/>
      <c r="D19300" t="str">
        <f>"srh-195"</f>
        <v>srh-195</v>
      </c>
      <c r="E19300" t="s">
        <v>153</v>
      </c>
      <c r="F19300" t="s">
        <v>11</v>
      </c>
      <c r="G19300" t="s">
        <v>25</v>
      </c>
      <c r="H19300" s="12">
        <v>-1.5537805538612</v>
      </c>
      <c r="I19300" s="20">
        <v>-0.21908682559597001</v>
      </c>
      <c r="J19300" s="28">
        <v>0.82658241313846204</v>
      </c>
      <c r="K19300" s="29">
        <v>0.98953014881205303</v>
      </c>
    </row>
    <row r="19301" spans="1:11" x14ac:dyDescent="0.35">
      <c r="A19301" s="9" t="str">
        <f>HYPERLINK("http://www.ensembl.org/id/WBGene00005826", "WBGene00005826")</f>
        <v>WBGene00005826</v>
      </c>
      <c r="B19301" s="9" t="str">
        <f>HYPERLINK("http://www.ncbi.nlm.nih.gov/gene/188412", "188412")</f>
        <v>188412</v>
      </c>
      <c r="C19301" s="9"/>
      <c r="D19301" t="str">
        <f>"srw-79"</f>
        <v>srw-79</v>
      </c>
      <c r="E19301" t="s">
        <v>1014</v>
      </c>
      <c r="F19301" t="s">
        <v>11</v>
      </c>
      <c r="G19301" t="s">
        <v>1015</v>
      </c>
      <c r="H19301" s="12">
        <v>1.4024638808693499</v>
      </c>
      <c r="I19301" s="20">
        <v>0.21907062758967899</v>
      </c>
      <c r="J19301" s="28">
        <v>0.82659503081927299</v>
      </c>
      <c r="K19301" s="29">
        <v>0.98953014881205303</v>
      </c>
    </row>
    <row r="19302" spans="1:11" x14ac:dyDescent="0.35">
      <c r="A19302" s="9" t="str">
        <f>HYPERLINK("http://www.ensembl.org/id/WBGene00011190", "WBGene00011190")</f>
        <v>WBGene00011190</v>
      </c>
      <c r="B19302" s="9" t="str">
        <f>HYPERLINK("http://www.ncbi.nlm.nih.gov/gene/187765", "187765")</f>
        <v>187765</v>
      </c>
      <c r="C19302" s="9"/>
      <c r="D19302" t="str">
        <f>"swt-6"</f>
        <v>swt-6</v>
      </c>
      <c r="E19302" t="s">
        <v>5169</v>
      </c>
      <c r="F19302" t="s">
        <v>11</v>
      </c>
      <c r="G19302" t="s">
        <v>9827</v>
      </c>
      <c r="H19302" s="12">
        <v>-1.1749685111560899</v>
      </c>
      <c r="I19302" s="20">
        <v>-0.21906600157862099</v>
      </c>
      <c r="J19302" s="28">
        <v>0.82659863432843605</v>
      </c>
      <c r="K19302" s="29">
        <v>0.98953014881205303</v>
      </c>
    </row>
    <row r="19303" spans="1:11" x14ac:dyDescent="0.35">
      <c r="A19303" s="9" t="str">
        <f>HYPERLINK("http://www.ensembl.org/id/WBGene00020777", "WBGene00020777")</f>
        <v>WBGene00020777</v>
      </c>
      <c r="B19303" s="9" t="str">
        <f>HYPERLINK("http://www.ncbi.nlm.nih.gov/gene/188866", "188866")</f>
        <v>188866</v>
      </c>
      <c r="C19303" s="9"/>
      <c r="D19303" t="str">
        <f>"T24E12.10"</f>
        <v>T24E12.10</v>
      </c>
      <c r="F19303" t="s">
        <v>11</v>
      </c>
      <c r="H19303" s="12">
        <v>-1.13344064058355</v>
      </c>
      <c r="I19303" s="20">
        <v>-0.21911024426463799</v>
      </c>
      <c r="J19303" s="28">
        <v>0.82656417089317502</v>
      </c>
      <c r="K19303" s="29">
        <v>0.98953014881205303</v>
      </c>
    </row>
    <row r="19304" spans="1:11" x14ac:dyDescent="0.35">
      <c r="A19304" s="9" t="str">
        <f>HYPERLINK("http://www.ensembl.org/id/WBGene00044007", "WBGene00044007")</f>
        <v>WBGene00044007</v>
      </c>
      <c r="B19304" s="9" t="str">
        <f>HYPERLINK("http://www.ncbi.nlm.nih.gov/gene/3565061", "3565061")</f>
        <v>3565061</v>
      </c>
      <c r="C19304" s="9"/>
      <c r="D19304" t="str">
        <f>"ZK1320.13"</f>
        <v>ZK1320.13</v>
      </c>
      <c r="F19304" t="s">
        <v>11</v>
      </c>
      <c r="H19304" s="12">
        <v>1.04326994734245</v>
      </c>
      <c r="I19304" s="20">
        <v>0.21903695045135299</v>
      </c>
      <c r="J19304" s="28">
        <v>0.82662126427638905</v>
      </c>
      <c r="K19304" s="29">
        <v>0.98953014881205303</v>
      </c>
    </row>
    <row r="19305" spans="1:11" x14ac:dyDescent="0.35">
      <c r="A19305" s="9" t="str">
        <f>HYPERLINK("http://www.ensembl.org/id/WBGene00019021", "WBGene00019021")</f>
        <v>WBGene00019021</v>
      </c>
      <c r="B19305" s="9" t="str">
        <f>HYPERLINK("http://www.ncbi.nlm.nih.gov/gene/177593", "177593")</f>
        <v>177593</v>
      </c>
      <c r="C19305" s="9"/>
      <c r="D19305" t="str">
        <f>"F57H12.6"</f>
        <v>F57H12.6</v>
      </c>
      <c r="F19305" t="s">
        <v>11</v>
      </c>
      <c r="H19305" s="12">
        <v>1.35233660619022</v>
      </c>
      <c r="I19305" s="20">
        <v>0.21886188706634599</v>
      </c>
      <c r="J19305" s="28">
        <v>0.82675763639705002</v>
      </c>
      <c r="K19305" s="29">
        <v>0.98958869676001704</v>
      </c>
    </row>
    <row r="19306" spans="1:11" x14ac:dyDescent="0.35">
      <c r="A19306" s="9" t="str">
        <f>HYPERLINK("http://www.ensembl.org/id/WBGene00013218", "WBGene00013218")</f>
        <v>WBGene00013218</v>
      </c>
      <c r="B19306" s="9" t="str">
        <f>HYPERLINK("http://www.ncbi.nlm.nih.gov/gene/175088", "175088")</f>
        <v>175088</v>
      </c>
      <c r="C19306" s="9" t="str">
        <f>HYPERLINK("http://www.ncbi.nlm.nih.gov/gene/122961", "122961")</f>
        <v>122961</v>
      </c>
      <c r="D19306" t="str">
        <f>"Y54G11A.9"</f>
        <v>Y54G11A.9</v>
      </c>
      <c r="F19306" t="s">
        <v>11</v>
      </c>
      <c r="G19306" t="s">
        <v>10313</v>
      </c>
      <c r="H19306" s="12">
        <v>-1.05488889249164</v>
      </c>
      <c r="I19306" s="20">
        <v>-0.218866741916592</v>
      </c>
      <c r="J19306" s="28">
        <v>0.82675385446081795</v>
      </c>
      <c r="K19306" s="29">
        <v>0.98958869676001704</v>
      </c>
    </row>
    <row r="19307" spans="1:11" x14ac:dyDescent="0.35">
      <c r="A19307" s="9" t="str">
        <f>HYPERLINK("http://www.ensembl.org/id/WBGene00044353", "WBGene00044353")</f>
        <v>WBGene00044353</v>
      </c>
      <c r="B19307" s="9" t="str">
        <f>HYPERLINK("http://www.ncbi.nlm.nih.gov/gene/3565356", "3565356")</f>
        <v>3565356</v>
      </c>
      <c r="C19307" s="9"/>
      <c r="D19307" t="str">
        <f>"ZK418.10"</f>
        <v>ZK418.10</v>
      </c>
      <c r="F19307" t="s">
        <v>11</v>
      </c>
      <c r="G19307" t="s">
        <v>228</v>
      </c>
      <c r="H19307" s="12">
        <v>1.59992698399264</v>
      </c>
      <c r="I19307" s="20">
        <v>0.218809228241239</v>
      </c>
      <c r="J19307" s="28">
        <v>0.82679865796555596</v>
      </c>
      <c r="K19307" s="29">
        <v>0.98958869676001704</v>
      </c>
    </row>
    <row r="19308" spans="1:11" x14ac:dyDescent="0.35">
      <c r="A19308" s="9" t="str">
        <f>HYPERLINK("http://www.ensembl.org/id/WBGene00012068", "WBGene00012068")</f>
        <v>WBGene00012068</v>
      </c>
      <c r="B19308" s="9" t="str">
        <f>HYPERLINK("http://www.ncbi.nlm.nih.gov/gene/188952", "188952")</f>
        <v>188952</v>
      </c>
      <c r="C19308" s="9"/>
      <c r="D19308" t="str">
        <f>"oac-49"</f>
        <v>oac-49</v>
      </c>
      <c r="E19308" t="s">
        <v>883</v>
      </c>
      <c r="F19308" t="s">
        <v>11</v>
      </c>
      <c r="G19308" t="s">
        <v>10314</v>
      </c>
      <c r="H19308" s="12">
        <v>1.0912546460471599</v>
      </c>
      <c r="I19308" s="20">
        <v>0.21865925957288099</v>
      </c>
      <c r="J19308" s="28">
        <v>0.82691548712668095</v>
      </c>
      <c r="K19308" s="29">
        <v>0.98967528310939301</v>
      </c>
    </row>
    <row r="19309" spans="1:11" x14ac:dyDescent="0.35">
      <c r="A19309" s="9" t="str">
        <f>HYPERLINK("http://www.ensembl.org/id/WBGene00011218", "WBGene00011218")</f>
        <v>WBGene00011218</v>
      </c>
      <c r="B19309" s="9" t="str">
        <f>HYPERLINK("http://www.ncbi.nlm.nih.gov/gene/3565637", "3565637")</f>
        <v>3565637</v>
      </c>
      <c r="C19309" s="9"/>
      <c r="D19309" t="str">
        <f>"R10E11.6"</f>
        <v>R10E11.6</v>
      </c>
      <c r="F19309" t="s">
        <v>11</v>
      </c>
      <c r="G19309" t="s">
        <v>10315</v>
      </c>
      <c r="H19309" s="12">
        <v>-1.05227521721143</v>
      </c>
      <c r="I19309" s="20">
        <v>-0.21856524070604699</v>
      </c>
      <c r="J19309" s="28">
        <v>0.82698873201505596</v>
      </c>
      <c r="K19309" s="29">
        <v>0.98967528310939301</v>
      </c>
    </row>
    <row r="19310" spans="1:11" x14ac:dyDescent="0.35">
      <c r="A19310" s="9" t="str">
        <f>HYPERLINK("http://www.ensembl.org/id/WBGene00012370", "WBGene00012370")</f>
        <v>WBGene00012370</v>
      </c>
      <c r="B19310" s="9" t="str">
        <f>HYPERLINK("http://www.ncbi.nlm.nih.gov/gene/173245", "173245")</f>
        <v>173245</v>
      </c>
      <c r="C19310" s="9" t="str">
        <f>HYPERLINK("http://www.ncbi.nlm.nih.gov/gene/81554", "81554")</f>
        <v>81554</v>
      </c>
      <c r="D19310" t="str">
        <f>"W09G3.7"</f>
        <v>W09G3.7</v>
      </c>
      <c r="F19310" t="s">
        <v>11</v>
      </c>
      <c r="H19310" s="12">
        <v>-1.05600574704323</v>
      </c>
      <c r="I19310" s="20">
        <v>-0.218551423313876</v>
      </c>
      <c r="J19310" s="28">
        <v>0.82699949650636895</v>
      </c>
      <c r="K19310" s="29">
        <v>0.98967528310939301</v>
      </c>
    </row>
    <row r="19311" spans="1:11" x14ac:dyDescent="0.35">
      <c r="A19311" s="9" t="str">
        <f>HYPERLINK("http://www.ensembl.org/id/WBGene00003976", "WBGene00003976")</f>
        <v>WBGene00003976</v>
      </c>
      <c r="B19311" s="9" t="str">
        <f>HYPERLINK("http://www.ncbi.nlm.nih.gov/gene/177267", "177267")</f>
        <v>177267</v>
      </c>
      <c r="C19311" s="9"/>
      <c r="D19311" t="str">
        <f>"pes-1"</f>
        <v>pes-1</v>
      </c>
      <c r="E19311" t="s">
        <v>10316</v>
      </c>
      <c r="F19311" t="s">
        <v>11</v>
      </c>
      <c r="G19311" t="s">
        <v>10317</v>
      </c>
      <c r="H19311" s="12">
        <v>1.09916638062002</v>
      </c>
      <c r="I19311" s="20">
        <v>0.218416127755961</v>
      </c>
      <c r="J19311" s="28">
        <v>0.82710490073654597</v>
      </c>
      <c r="K19311" s="29">
        <v>0.98975015984352499</v>
      </c>
    </row>
    <row r="19312" spans="1:11" x14ac:dyDescent="0.35">
      <c r="A19312" s="9" t="str">
        <f>HYPERLINK("http://www.ensembl.org/id/WBGene00171518", "WBGene00171518")</f>
        <v>WBGene00171518</v>
      </c>
      <c r="B19312" s="9"/>
      <c r="C19312" s="9"/>
      <c r="D19312" t="str">
        <f>"21ur-8244"</f>
        <v>21ur-8244</v>
      </c>
      <c r="F19312" t="s">
        <v>3161</v>
      </c>
      <c r="H19312" s="12">
        <v>2.0386070404968901</v>
      </c>
      <c r="I19312" s="20">
        <v>0.212667654382139</v>
      </c>
      <c r="J19312" s="28">
        <v>0.83158619767804198</v>
      </c>
      <c r="K19312" s="29">
        <v>0.98975608757875</v>
      </c>
    </row>
    <row r="19313" spans="1:11" x14ac:dyDescent="0.35">
      <c r="A19313" s="9" t="str">
        <f>HYPERLINK("http://www.ensembl.org/id/WBGene00000221", "WBGene00000221")</f>
        <v>WBGene00000221</v>
      </c>
      <c r="B19313" s="9" t="str">
        <f>HYPERLINK("http://www.ncbi.nlm.nih.gov/gene/181576", "181576")</f>
        <v>181576</v>
      </c>
      <c r="C19313" s="9"/>
      <c r="D19313" t="str">
        <f>"atf-5"</f>
        <v>atf-5</v>
      </c>
      <c r="E19313" t="s">
        <v>7006</v>
      </c>
      <c r="F19313" t="s">
        <v>11</v>
      </c>
      <c r="G19313" t="s">
        <v>9799</v>
      </c>
      <c r="H19313" s="12">
        <v>-1.04452987751978</v>
      </c>
      <c r="I19313" s="20">
        <v>-0.21697660578977501</v>
      </c>
      <c r="J19313" s="28">
        <v>0.82822657651922604</v>
      </c>
      <c r="K19313" s="29">
        <v>0.98975608757875</v>
      </c>
    </row>
    <row r="19314" spans="1:11" x14ac:dyDescent="0.35">
      <c r="A19314" s="9" t="str">
        <f>HYPERLINK("http://www.ensembl.org/id/WBGene00021868", "WBGene00021868")</f>
        <v>WBGene00021868</v>
      </c>
      <c r="B19314" s="9" t="str">
        <f>HYPERLINK("http://www.ncbi.nlm.nih.gov/gene/177059", "177059")</f>
        <v>177059</v>
      </c>
      <c r="C19314" s="9" t="str">
        <f>HYPERLINK("http://www.ncbi.nlm.nih.gov/gene/64225", "64225")</f>
        <v>64225</v>
      </c>
      <c r="D19314" t="str">
        <f>"atln-1"</f>
        <v>atln-1</v>
      </c>
      <c r="E19314" t="s">
        <v>546</v>
      </c>
      <c r="F19314" t="s">
        <v>11</v>
      </c>
      <c r="G19314" t="s">
        <v>547</v>
      </c>
      <c r="H19314" s="12">
        <v>-1.04025134379096</v>
      </c>
      <c r="I19314" s="20">
        <v>-0.21574526394910901</v>
      </c>
      <c r="J19314" s="28">
        <v>0.82918631644890595</v>
      </c>
      <c r="K19314" s="29">
        <v>0.98975608757875</v>
      </c>
    </row>
    <row r="19315" spans="1:11" x14ac:dyDescent="0.35">
      <c r="A19315" s="9" t="str">
        <f>HYPERLINK("http://www.ensembl.org/id/WBGene00008186", "WBGene00008186")</f>
        <v>WBGene00008186</v>
      </c>
      <c r="B19315" s="9" t="str">
        <f>HYPERLINK("http://www.ncbi.nlm.nih.gov/gene/173292", "173292")</f>
        <v>173292</v>
      </c>
      <c r="C19315" s="9"/>
      <c r="D19315" t="str">
        <f>"best-11"</f>
        <v>best-11</v>
      </c>
      <c r="E19315" t="s">
        <v>1526</v>
      </c>
      <c r="F19315" t="s">
        <v>11</v>
      </c>
      <c r="G19315" t="s">
        <v>1527</v>
      </c>
      <c r="H19315" s="12">
        <v>1.29961616023918</v>
      </c>
      <c r="I19315" s="20">
        <v>0.21712128929252</v>
      </c>
      <c r="J19315" s="28">
        <v>0.82811382323111604</v>
      </c>
      <c r="K19315" s="29">
        <v>0.98975608757875</v>
      </c>
    </row>
    <row r="19316" spans="1:11" x14ac:dyDescent="0.35">
      <c r="A19316" s="9" t="str">
        <f>HYPERLINK("http://www.ensembl.org/id/WBGene00000254", "WBGene00000254")</f>
        <v>WBGene00000254</v>
      </c>
      <c r="B19316" s="9" t="str">
        <f>HYPERLINK("http://www.ncbi.nlm.nih.gov/gene/172333", "172333")</f>
        <v>172333</v>
      </c>
      <c r="C19316" s="9" t="str">
        <f>HYPERLINK("http://www.ncbi.nlm.nih.gov/gene/5122", "5122")</f>
        <v>5122</v>
      </c>
      <c r="D19316" t="str">
        <f>"bli-4"</f>
        <v>bli-4</v>
      </c>
      <c r="E19316" t="s">
        <v>10334</v>
      </c>
      <c r="F19316" t="s">
        <v>11</v>
      </c>
      <c r="G19316" t="s">
        <v>2003</v>
      </c>
      <c r="H19316" s="12">
        <v>1.0395110127867</v>
      </c>
      <c r="I19316" s="20">
        <v>0.21630045137471399</v>
      </c>
      <c r="J19316" s="28">
        <v>0.82875355724678301</v>
      </c>
      <c r="K19316" s="29">
        <v>0.98975608757875</v>
      </c>
    </row>
    <row r="19317" spans="1:11" x14ac:dyDescent="0.35">
      <c r="A19317" s="9" t="str">
        <f>HYPERLINK("http://www.ensembl.org/id/WBGene00219280", "WBGene00219280")</f>
        <v>WBGene00219280</v>
      </c>
      <c r="B19317" s="9" t="str">
        <f>HYPERLINK("http://www.ncbi.nlm.nih.gov/gene/13191014", "13191014")</f>
        <v>13191014</v>
      </c>
      <c r="C19317" s="9"/>
      <c r="D19317" t="str">
        <f>"C05B5.16"</f>
        <v>C05B5.16</v>
      </c>
      <c r="F19317" t="s">
        <v>11</v>
      </c>
      <c r="G19317" t="s">
        <v>25</v>
      </c>
      <c r="H19317" s="12">
        <v>-1.6746669827414</v>
      </c>
      <c r="I19317" s="20">
        <v>-0.21526398819731099</v>
      </c>
      <c r="J19317" s="28">
        <v>0.82956150470288903</v>
      </c>
      <c r="K19317" s="29">
        <v>0.98975608757875</v>
      </c>
    </row>
    <row r="19318" spans="1:11" x14ac:dyDescent="0.35">
      <c r="A19318" s="9" t="str">
        <f>HYPERLINK("http://www.ensembl.org/id/WBGene00007611", "WBGene00007611")</f>
        <v>WBGene00007611</v>
      </c>
      <c r="B19318" s="9" t="str">
        <f>HYPERLINK("http://www.ncbi.nlm.nih.gov/gene/182640", "182640")</f>
        <v>182640</v>
      </c>
      <c r="C19318" s="9"/>
      <c r="D19318" t="str">
        <f>"C15H7.4"</f>
        <v>C15H7.4</v>
      </c>
      <c r="F19318" t="s">
        <v>11</v>
      </c>
      <c r="H19318" s="12">
        <v>-1.3588492834250101</v>
      </c>
      <c r="I19318" s="20">
        <v>-0.217850098415276</v>
      </c>
      <c r="J19318" s="28">
        <v>0.82754590896004099</v>
      </c>
      <c r="K19318" s="29">
        <v>0.98975608757875</v>
      </c>
    </row>
    <row r="19319" spans="1:11" x14ac:dyDescent="0.35">
      <c r="A19319" s="9" t="str">
        <f>HYPERLINK("http://www.ensembl.org/id/WBGene00015914", "WBGene00015914")</f>
        <v>WBGene00015914</v>
      </c>
      <c r="B19319" s="9" t="str">
        <f>HYPERLINK("http://www.ncbi.nlm.nih.gov/gene/182739", "182739")</f>
        <v>182739</v>
      </c>
      <c r="C19319" s="9"/>
      <c r="D19319" t="str">
        <f>"C17F4.8"</f>
        <v>C17F4.8</v>
      </c>
      <c r="F19319" t="s">
        <v>11</v>
      </c>
      <c r="G19319" t="s">
        <v>817</v>
      </c>
      <c r="H19319" s="12">
        <v>1.1026165960804599</v>
      </c>
      <c r="I19319" s="20">
        <v>0.214630144438854</v>
      </c>
      <c r="J19319" s="28">
        <v>0.83005568973057398</v>
      </c>
      <c r="K19319" s="29">
        <v>0.98975608757875</v>
      </c>
    </row>
    <row r="19320" spans="1:11" x14ac:dyDescent="0.35">
      <c r="A19320" s="9" t="str">
        <f>HYPERLINK("http://www.ensembl.org/id/WBGene00016033", "WBGene00016033")</f>
        <v>WBGene00016033</v>
      </c>
      <c r="B19320" s="9" t="str">
        <f>HYPERLINK("http://www.ncbi.nlm.nih.gov/gene/181141", "181141")</f>
        <v>181141</v>
      </c>
      <c r="C19320" s="9"/>
      <c r="D19320" t="str">
        <f>"C24A3.2"</f>
        <v>C24A3.2</v>
      </c>
      <c r="F19320" t="s">
        <v>11</v>
      </c>
      <c r="G19320" t="s">
        <v>10329</v>
      </c>
      <c r="H19320" s="12">
        <v>1.0428246726214101</v>
      </c>
      <c r="I19320" s="20">
        <v>0.213622158846444</v>
      </c>
      <c r="J19320" s="28">
        <v>0.83084171799989304</v>
      </c>
      <c r="K19320" s="29">
        <v>0.98975608757875</v>
      </c>
    </row>
    <row r="19321" spans="1:11" x14ac:dyDescent="0.35">
      <c r="A19321" s="9" t="str">
        <f>HYPERLINK("http://www.ensembl.org/id/WBGene00007735", "WBGene00007735")</f>
        <v>WBGene00007735</v>
      </c>
      <c r="B19321" s="9" t="str">
        <f>HYPERLINK("http://www.ncbi.nlm.nih.gov/gene/182917", "182917")</f>
        <v>182917</v>
      </c>
      <c r="C19321" s="9"/>
      <c r="D19321" t="str">
        <f>"C25G4.8"</f>
        <v>C25G4.8</v>
      </c>
      <c r="F19321" t="s">
        <v>11</v>
      </c>
      <c r="H19321" s="12">
        <v>1.7348518663082899</v>
      </c>
      <c r="I19321" s="20">
        <v>0.21739911433754</v>
      </c>
      <c r="J19321" s="28">
        <v>0.82789732135182004</v>
      </c>
      <c r="K19321" s="29">
        <v>0.98975608757875</v>
      </c>
    </row>
    <row r="19322" spans="1:11" x14ac:dyDescent="0.35">
      <c r="A19322" s="9" t="str">
        <f>HYPERLINK("http://www.ensembl.org/id/WBGene00007792", "WBGene00007792")</f>
        <v>WBGene00007792</v>
      </c>
      <c r="B19322" s="9" t="str">
        <f>HYPERLINK("http://www.ncbi.nlm.nih.gov/gene/182981", "182981")</f>
        <v>182981</v>
      </c>
      <c r="C19322" s="9"/>
      <c r="D19322" t="str">
        <f>"C28D4.4"</f>
        <v>C28D4.4</v>
      </c>
      <c r="F19322" t="s">
        <v>11</v>
      </c>
      <c r="H19322" s="12">
        <v>-1.7872137377064199</v>
      </c>
      <c r="I19322" s="20">
        <v>-0.21485330247561499</v>
      </c>
      <c r="J19322" s="28">
        <v>0.82988169381121601</v>
      </c>
      <c r="K19322" s="29">
        <v>0.98975608757875</v>
      </c>
    </row>
    <row r="19323" spans="1:11" x14ac:dyDescent="0.35">
      <c r="A19323" s="9" t="str">
        <f>HYPERLINK("http://www.ensembl.org/id/WBGene00016288", "WBGene00016288")</f>
        <v>WBGene00016288</v>
      </c>
      <c r="B19323" s="9" t="str">
        <f>HYPERLINK("http://www.ncbi.nlm.nih.gov/gene/183097", "183097")</f>
        <v>183097</v>
      </c>
      <c r="C19323" s="9"/>
      <c r="D19323" t="str">
        <f>"C31H1.5"</f>
        <v>C31H1.5</v>
      </c>
      <c r="F19323" t="s">
        <v>11</v>
      </c>
      <c r="G19323" t="s">
        <v>3239</v>
      </c>
      <c r="H19323" s="12">
        <v>-1.2582108039792701</v>
      </c>
      <c r="I19323" s="20">
        <v>-0.21425077029935</v>
      </c>
      <c r="J19323" s="28">
        <v>0.83035150618641296</v>
      </c>
      <c r="K19323" s="29">
        <v>0.98975608757875</v>
      </c>
    </row>
    <row r="19324" spans="1:11" x14ac:dyDescent="0.35">
      <c r="A19324" s="9" t="str">
        <f>HYPERLINK("http://www.ensembl.org/id/WBGene00016325", "WBGene00016325")</f>
        <v>WBGene00016325</v>
      </c>
      <c r="B19324" s="9" t="str">
        <f>HYPERLINK("http://www.ncbi.nlm.nih.gov/gene/171951", "171951")</f>
        <v>171951</v>
      </c>
      <c r="C19324" s="9" t="str">
        <f>HYPERLINK("http://www.ncbi.nlm.nih.gov/gene/55862", "55862")</f>
        <v>55862</v>
      </c>
      <c r="D19324" t="str">
        <f>"C32E8.9"</f>
        <v>C32E8.9</v>
      </c>
      <c r="F19324" t="s">
        <v>11</v>
      </c>
      <c r="G19324" t="s">
        <v>10360</v>
      </c>
      <c r="H19324" s="12">
        <v>-1.05877735436731</v>
      </c>
      <c r="I19324" s="20">
        <v>-0.217112075083116</v>
      </c>
      <c r="J19324" s="28">
        <v>0.82812100385027798</v>
      </c>
      <c r="K19324" s="29">
        <v>0.98975608757875</v>
      </c>
    </row>
    <row r="19325" spans="1:11" x14ac:dyDescent="0.35">
      <c r="A19325" s="9" t="str">
        <f>HYPERLINK("http://www.ensembl.org/id/WBGene00007905", "WBGene00007905")</f>
        <v>WBGene00007905</v>
      </c>
      <c r="B19325" s="9" t="str">
        <f>HYPERLINK("http://www.ncbi.nlm.nih.gov/gene/183169", "183169")</f>
        <v>183169</v>
      </c>
      <c r="C19325" s="9"/>
      <c r="D19325" t="str">
        <f>"C33G3.5"</f>
        <v>C33G3.5</v>
      </c>
      <c r="F19325" t="s">
        <v>11</v>
      </c>
      <c r="H19325" s="12">
        <v>1.7881661025490201</v>
      </c>
      <c r="I19325" s="20">
        <v>0.212907141321037</v>
      </c>
      <c r="J19325" s="28">
        <v>0.83139939211852398</v>
      </c>
      <c r="K19325" s="29">
        <v>0.98975608757875</v>
      </c>
    </row>
    <row r="19326" spans="1:11" x14ac:dyDescent="0.35">
      <c r="A19326" s="9" t="str">
        <f>HYPERLINK("http://www.ensembl.org/id/WBGene00016532", "WBGene00016532")</f>
        <v>WBGene00016532</v>
      </c>
      <c r="B19326" s="9" t="str">
        <f>HYPERLINK("http://www.ncbi.nlm.nih.gov/gene/181048", "181048")</f>
        <v>181048</v>
      </c>
      <c r="C19326" s="9"/>
      <c r="D19326" t="str">
        <f>"C39D10.5"</f>
        <v>C39D10.5</v>
      </c>
      <c r="F19326" t="s">
        <v>11</v>
      </c>
      <c r="H19326" s="12">
        <v>1.1661949661979401</v>
      </c>
      <c r="I19326" s="20">
        <v>0.21580005722132101</v>
      </c>
      <c r="J19326" s="28">
        <v>0.82914360371288398</v>
      </c>
      <c r="K19326" s="29">
        <v>0.98975608757875</v>
      </c>
    </row>
    <row r="19327" spans="1:11" x14ac:dyDescent="0.35">
      <c r="A19327" s="9" t="str">
        <f>HYPERLINK("http://www.ensembl.org/id/WBGene00000513", "WBGene00000513")</f>
        <v>WBGene00000513</v>
      </c>
      <c r="B19327" s="9" t="str">
        <f>HYPERLINK("http://www.ncbi.nlm.nih.gov/gene/181905", "181905")</f>
        <v>181905</v>
      </c>
      <c r="C19327" s="9"/>
      <c r="D19327" t="str">
        <f>"ckb-3"</f>
        <v>ckb-3</v>
      </c>
      <c r="E19327" t="s">
        <v>10318</v>
      </c>
      <c r="F19327" t="s">
        <v>11</v>
      </c>
      <c r="H19327" s="12">
        <v>1.4582069902300701</v>
      </c>
      <c r="I19327" s="20">
        <v>0.21300656544007401</v>
      </c>
      <c r="J19327" s="28">
        <v>0.83132184171703705</v>
      </c>
      <c r="K19327" s="29">
        <v>0.98975608757875</v>
      </c>
    </row>
    <row r="19328" spans="1:11" x14ac:dyDescent="0.35">
      <c r="A19328" s="9" t="str">
        <f>HYPERLINK("http://www.ensembl.org/id/WBGene00000721", "WBGene00000721")</f>
        <v>WBGene00000721</v>
      </c>
      <c r="B19328" s="9" t="str">
        <f>HYPERLINK("http://www.ncbi.nlm.nih.gov/gene/182542", "182542")</f>
        <v>182542</v>
      </c>
      <c r="C19328" s="9"/>
      <c r="D19328" t="str">
        <f>"col-148"</f>
        <v>col-148</v>
      </c>
      <c r="E19328" t="s">
        <v>40</v>
      </c>
      <c r="F19328" t="s">
        <v>11</v>
      </c>
      <c r="G19328" t="s">
        <v>41</v>
      </c>
      <c r="H19328" s="12">
        <v>2.0386070404968901</v>
      </c>
      <c r="I19328" s="20">
        <v>0.212667654382139</v>
      </c>
      <c r="J19328" s="28">
        <v>0.83158619767804198</v>
      </c>
      <c r="K19328" s="29">
        <v>0.98975608757875</v>
      </c>
    </row>
    <row r="19329" spans="1:11" x14ac:dyDescent="0.35">
      <c r="A19329" s="9" t="str">
        <f>HYPERLINK("http://www.ensembl.org/id/WBGene00000624", "WBGene00000624")</f>
        <v>WBGene00000624</v>
      </c>
      <c r="B19329" s="9" t="str">
        <f>HYPERLINK("http://www.ncbi.nlm.nih.gov/gene/4363004", "4363004")</f>
        <v>4363004</v>
      </c>
      <c r="C19329" s="9"/>
      <c r="D19329" t="str">
        <f>"col-47"</f>
        <v>col-47</v>
      </c>
      <c r="E19329" t="s">
        <v>40</v>
      </c>
      <c r="F19329" t="s">
        <v>11</v>
      </c>
      <c r="G19329" t="s">
        <v>593</v>
      </c>
      <c r="H19329" s="12">
        <v>2.0386070404968901</v>
      </c>
      <c r="I19329" s="20">
        <v>0.212667654382139</v>
      </c>
      <c r="J19329" s="28">
        <v>0.83158619767804198</v>
      </c>
      <c r="K19329" s="29">
        <v>0.98975608757875</v>
      </c>
    </row>
    <row r="19330" spans="1:11" x14ac:dyDescent="0.35">
      <c r="A19330" s="9" t="str">
        <f>HYPERLINK("http://www.ensembl.org/id/WBGene00000663", "WBGene00000663")</f>
        <v>WBGene00000663</v>
      </c>
      <c r="B19330" s="9" t="str">
        <f>HYPERLINK("http://www.ncbi.nlm.nih.gov/gene/175170", "175170")</f>
        <v>175170</v>
      </c>
      <c r="C19330" s="9"/>
      <c r="D19330" t="str">
        <f>"col-88"</f>
        <v>col-88</v>
      </c>
      <c r="E19330" t="s">
        <v>40</v>
      </c>
      <c r="F19330" t="s">
        <v>11</v>
      </c>
      <c r="G19330" t="s">
        <v>41</v>
      </c>
      <c r="H19330" s="12">
        <v>-1.3109108742117701</v>
      </c>
      <c r="I19330" s="20">
        <v>-0.216129932715944</v>
      </c>
      <c r="J19330" s="28">
        <v>0.82888646813202904</v>
      </c>
      <c r="K19330" s="29">
        <v>0.98975608757875</v>
      </c>
    </row>
    <row r="19331" spans="1:11" x14ac:dyDescent="0.35">
      <c r="A19331" s="9" t="str">
        <f>HYPERLINK("http://www.ensembl.org/id/WBGene00000814", "WBGene00000814")</f>
        <v>WBGene00000814</v>
      </c>
      <c r="B19331" s="9" t="str">
        <f>HYPERLINK("http://www.ncbi.nlm.nih.gov/gene/172278", "172278")</f>
        <v>172278</v>
      </c>
      <c r="C19331" s="9"/>
      <c r="D19331" t="str">
        <f>"csn-2"</f>
        <v>csn-2</v>
      </c>
      <c r="E19331" t="s">
        <v>10340</v>
      </c>
      <c r="F19331" t="s">
        <v>11</v>
      </c>
      <c r="G19331" t="s">
        <v>10341</v>
      </c>
      <c r="H19331" s="12">
        <v>-1.04095130844494</v>
      </c>
      <c r="I19331" s="20">
        <v>-0.21375253465250799</v>
      </c>
      <c r="J19331" s="28">
        <v>0.83074004125617495</v>
      </c>
      <c r="K19331" s="29">
        <v>0.98975608757875</v>
      </c>
    </row>
    <row r="19332" spans="1:11" x14ac:dyDescent="0.35">
      <c r="A19332" s="9" t="str">
        <f>HYPERLINK("http://www.ensembl.org/id/WBGene00021710", "WBGene00021710")</f>
        <v>WBGene00021710</v>
      </c>
      <c r="B19332" s="9" t="str">
        <f>HYPERLINK("http://www.ncbi.nlm.nih.gov/gene/190065", "190065")</f>
        <v>190065</v>
      </c>
      <c r="C19332" s="9" t="str">
        <f>HYPERLINK("http://www.ncbi.nlm.nih.gov/gene/1573", "1573")</f>
        <v>1573</v>
      </c>
      <c r="D19332" t="str">
        <f>"cyp-33C11"</f>
        <v>cyp-33C11</v>
      </c>
      <c r="E19332" t="s">
        <v>176</v>
      </c>
      <c r="F19332" t="s">
        <v>11</v>
      </c>
      <c r="G19332" t="s">
        <v>438</v>
      </c>
      <c r="H19332" s="12">
        <v>1.2414393680451501</v>
      </c>
      <c r="I19332" s="20">
        <v>0.21464791401054201</v>
      </c>
      <c r="J19332" s="28">
        <v>0.83004183452203395</v>
      </c>
      <c r="K19332" s="29">
        <v>0.98975608757875</v>
      </c>
    </row>
    <row r="19333" spans="1:11" x14ac:dyDescent="0.35">
      <c r="A19333" s="9" t="str">
        <f>HYPERLINK("http://www.ensembl.org/id/WBGene00017021", "WBGene00017021")</f>
        <v>WBGene00017021</v>
      </c>
      <c r="B19333" s="9" t="str">
        <f>HYPERLINK("http://www.ncbi.nlm.nih.gov/gene/183899", "183899")</f>
        <v>183899</v>
      </c>
      <c r="C19333" s="9"/>
      <c r="D19333" t="str">
        <f>"D1022.2"</f>
        <v>D1022.2</v>
      </c>
      <c r="F19333" t="s">
        <v>11</v>
      </c>
      <c r="H19333" s="12">
        <v>1.7881661025490201</v>
      </c>
      <c r="I19333" s="20">
        <v>0.212907141321037</v>
      </c>
      <c r="J19333" s="28">
        <v>0.83139939211852398</v>
      </c>
      <c r="K19333" s="29">
        <v>0.98975608757875</v>
      </c>
    </row>
    <row r="19334" spans="1:11" x14ac:dyDescent="0.35">
      <c r="A19334" s="9" t="str">
        <f>HYPERLINK("http://www.ensembl.org/id/WBGene00022604", "WBGene00022604")</f>
        <v>WBGene00022604</v>
      </c>
      <c r="B19334" s="9" t="str">
        <f>HYPERLINK("http://www.ncbi.nlm.nih.gov/gene/191157", "191157")</f>
        <v>191157</v>
      </c>
      <c r="C19334" s="9"/>
      <c r="D19334" t="str">
        <f>"dmsr-10"</f>
        <v>dmsr-10</v>
      </c>
      <c r="E19334" t="s">
        <v>996</v>
      </c>
      <c r="F19334" t="s">
        <v>11</v>
      </c>
      <c r="G19334" t="s">
        <v>1015</v>
      </c>
      <c r="H19334" s="12">
        <v>2.0386070404968901</v>
      </c>
      <c r="I19334" s="20">
        <v>0.212667654382139</v>
      </c>
      <c r="J19334" s="28">
        <v>0.83158619767804198</v>
      </c>
      <c r="K19334" s="29">
        <v>0.98975608757875</v>
      </c>
    </row>
    <row r="19335" spans="1:11" x14ac:dyDescent="0.35">
      <c r="A19335" s="9" t="str">
        <f>HYPERLINK("http://www.ensembl.org/id/WBGene00001099", "WBGene00001099")</f>
        <v>WBGene00001099</v>
      </c>
      <c r="B19335" s="9" t="str">
        <f>HYPERLINK("http://www.ncbi.nlm.nih.gov/gene/176852", "176852")</f>
        <v>176852</v>
      </c>
      <c r="C19335" s="9"/>
      <c r="D19335" t="str">
        <f>"dsc-4"</f>
        <v>dsc-4</v>
      </c>
      <c r="E19335" t="s">
        <v>10351</v>
      </c>
      <c r="F19335" t="s">
        <v>11</v>
      </c>
      <c r="G19335" t="s">
        <v>10352</v>
      </c>
      <c r="H19335" s="12">
        <v>-1.0456383257084501</v>
      </c>
      <c r="I19335" s="20">
        <v>-0.21280719661870301</v>
      </c>
      <c r="J19335" s="28">
        <v>0.83147735022735503</v>
      </c>
      <c r="K19335" s="29">
        <v>0.98975608757875</v>
      </c>
    </row>
    <row r="19336" spans="1:11" x14ac:dyDescent="0.35">
      <c r="A19336" s="9" t="str">
        <f>HYPERLINK("http://www.ensembl.org/id/WBGene00015510", "WBGene00015510")</f>
        <v>WBGene00015510</v>
      </c>
      <c r="B19336" s="9" t="str">
        <f>HYPERLINK("http://www.ncbi.nlm.nih.gov/gene/177572", "177572")</f>
        <v>177572</v>
      </c>
      <c r="C19336" s="9"/>
      <c r="D19336" t="str">
        <f>"erp-44.2"</f>
        <v>erp-44.2</v>
      </c>
      <c r="E19336" t="s">
        <v>10335</v>
      </c>
      <c r="F19336" t="s">
        <v>11</v>
      </c>
      <c r="H19336" s="12">
        <v>-1.0397544904800899</v>
      </c>
      <c r="I19336" s="20">
        <v>-0.21264024605645701</v>
      </c>
      <c r="J19336" s="28">
        <v>0.83160757743676295</v>
      </c>
      <c r="K19336" s="29">
        <v>0.98975608757875</v>
      </c>
    </row>
    <row r="19337" spans="1:11" x14ac:dyDescent="0.35">
      <c r="A19337" s="9" t="str">
        <f>HYPERLINK("http://www.ensembl.org/id/WBGene00001340", "WBGene00001340")</f>
        <v>WBGene00001340</v>
      </c>
      <c r="B19337" s="9" t="str">
        <f>HYPERLINK("http://www.ncbi.nlm.nih.gov/gene/173401", "173401")</f>
        <v>173401</v>
      </c>
      <c r="C19337" s="9" t="str">
        <f>HYPERLINK("http://www.ncbi.nlm.nih.gov/gene/10659", "10659")</f>
        <v>10659</v>
      </c>
      <c r="D19337" t="str">
        <f>"etr-1"</f>
        <v>etr-1</v>
      </c>
      <c r="E19337" t="s">
        <v>10337</v>
      </c>
      <c r="F19337" t="s">
        <v>11</v>
      </c>
      <c r="G19337" t="s">
        <v>10338</v>
      </c>
      <c r="H19337" s="12">
        <v>-1.0402536108727301</v>
      </c>
      <c r="I19337" s="20">
        <v>-0.21332126706398999</v>
      </c>
      <c r="J19337" s="28">
        <v>0.83107638658227401</v>
      </c>
      <c r="K19337" s="29">
        <v>0.98975608757875</v>
      </c>
    </row>
    <row r="19338" spans="1:11" x14ac:dyDescent="0.35">
      <c r="A19338" s="9" t="str">
        <f>HYPERLINK("http://www.ensembl.org/id/WBGene00008533", "WBGene00008533")</f>
        <v>WBGene00008533</v>
      </c>
      <c r="B19338" s="9" t="str">
        <f>HYPERLINK("http://www.ncbi.nlm.nih.gov/gene/172630", "172630")</f>
        <v>172630</v>
      </c>
      <c r="C19338" s="9"/>
      <c r="D19338" t="str">
        <f>"F02E9.10"</f>
        <v>F02E9.10</v>
      </c>
      <c r="F19338" t="s">
        <v>11</v>
      </c>
      <c r="G19338" t="s">
        <v>54</v>
      </c>
      <c r="H19338" s="12">
        <v>-1.0520068278043599</v>
      </c>
      <c r="I19338" s="20">
        <v>-0.21623144595129501</v>
      </c>
      <c r="J19338" s="28">
        <v>0.82880734298099601</v>
      </c>
      <c r="K19338" s="29">
        <v>0.98975608757875</v>
      </c>
    </row>
    <row r="19339" spans="1:11" x14ac:dyDescent="0.35">
      <c r="A19339" s="9" t="str">
        <f>HYPERLINK("http://www.ensembl.org/id/WBGene00008568", "WBGene00008568")</f>
        <v>WBGene00008568</v>
      </c>
      <c r="B19339" s="9" t="str">
        <f>HYPERLINK("http://www.ncbi.nlm.nih.gov/gene/184168", "184168")</f>
        <v>184168</v>
      </c>
      <c r="C19339" s="9"/>
      <c r="D19339" t="str">
        <f>"F08A8.5"</f>
        <v>F08A8.5</v>
      </c>
      <c r="E19339" t="s">
        <v>10260</v>
      </c>
      <c r="F19339" t="s">
        <v>11</v>
      </c>
      <c r="G19339" t="s">
        <v>10361</v>
      </c>
      <c r="H19339" s="12">
        <v>-1.1571694461398601</v>
      </c>
      <c r="I19339" s="20">
        <v>-0.21562025693967199</v>
      </c>
      <c r="J19339" s="28">
        <v>0.82928376445173102</v>
      </c>
      <c r="K19339" s="29">
        <v>0.98975608757875</v>
      </c>
    </row>
    <row r="19340" spans="1:11" x14ac:dyDescent="0.35">
      <c r="A19340" s="9" t="str">
        <f>HYPERLINK("http://www.ensembl.org/id/WBGene00008850", "WBGene00008850")</f>
        <v>WBGene00008850</v>
      </c>
      <c r="B19340" s="9" t="str">
        <f>HYPERLINK("http://www.ncbi.nlm.nih.gov/gene/184523", "184523")</f>
        <v>184523</v>
      </c>
      <c r="C19340" s="9"/>
      <c r="D19340" t="str">
        <f>"F15B9.6"</f>
        <v>F15B9.6</v>
      </c>
      <c r="F19340" t="s">
        <v>11</v>
      </c>
      <c r="G19340" t="s">
        <v>25</v>
      </c>
      <c r="H19340" s="12">
        <v>1.1194268647585599</v>
      </c>
      <c r="I19340" s="20">
        <v>0.21698368240423399</v>
      </c>
      <c r="J19340" s="28">
        <v>0.82822106156107</v>
      </c>
      <c r="K19340" s="29">
        <v>0.98975608757875</v>
      </c>
    </row>
    <row r="19341" spans="1:11" x14ac:dyDescent="0.35">
      <c r="A19341" s="9" t="str">
        <f>HYPERLINK("http://www.ensembl.org/id/WBGene00017645", "WBGene00017645")</f>
        <v>WBGene00017645</v>
      </c>
      <c r="B19341" s="9" t="str">
        <f>HYPERLINK("http://www.ncbi.nlm.nih.gov/gene/260102", "260102")</f>
        <v>260102</v>
      </c>
      <c r="C19341" s="9"/>
      <c r="D19341" t="str">
        <f>"F20D12.7"</f>
        <v>F20D12.7</v>
      </c>
      <c r="F19341" t="s">
        <v>11</v>
      </c>
      <c r="G19341" t="s">
        <v>25</v>
      </c>
      <c r="H19341" s="12">
        <v>2.0386070404968901</v>
      </c>
      <c r="I19341" s="20">
        <v>0.212667654382139</v>
      </c>
      <c r="J19341" s="28">
        <v>0.83158619767804198</v>
      </c>
      <c r="K19341" s="29">
        <v>0.98975608757875</v>
      </c>
    </row>
    <row r="19342" spans="1:11" x14ac:dyDescent="0.35">
      <c r="A19342" s="9" t="str">
        <f>HYPERLINK("http://www.ensembl.org/id/WBGene00009099", "WBGene00009099")</f>
        <v>WBGene00009099</v>
      </c>
      <c r="B19342" s="9" t="str">
        <f>HYPERLINK("http://www.ncbi.nlm.nih.gov/gene/184914", "184914")</f>
        <v>184914</v>
      </c>
      <c r="C19342" s="9"/>
      <c r="D19342" t="str">
        <f>"F25B3.2"</f>
        <v>F25B3.2</v>
      </c>
      <c r="F19342" t="s">
        <v>11</v>
      </c>
      <c r="H19342" s="12">
        <v>-1.19862842410176</v>
      </c>
      <c r="I19342" s="20">
        <v>-0.21708936718329</v>
      </c>
      <c r="J19342" s="28">
        <v>0.82813870014287205</v>
      </c>
      <c r="K19342" s="29">
        <v>0.98975608757875</v>
      </c>
    </row>
    <row r="19343" spans="1:11" x14ac:dyDescent="0.35">
      <c r="A19343" s="9" t="str">
        <f>HYPERLINK("http://www.ensembl.org/id/WBGene00045393", "WBGene00045393")</f>
        <v>WBGene00045393</v>
      </c>
      <c r="B19343" s="9" t="str">
        <f>HYPERLINK("http://www.ncbi.nlm.nih.gov/gene/6418733", "6418733")</f>
        <v>6418733</v>
      </c>
      <c r="C19343" s="9"/>
      <c r="D19343" t="str">
        <f>"F26D11.13"</f>
        <v>F26D11.13</v>
      </c>
      <c r="F19343" t="s">
        <v>11</v>
      </c>
      <c r="H19343" s="12">
        <v>-1.12203544340988</v>
      </c>
      <c r="I19343" s="20">
        <v>-0.216390515367649</v>
      </c>
      <c r="J19343" s="28">
        <v>0.82868335878399202</v>
      </c>
      <c r="K19343" s="29">
        <v>0.98975608757875</v>
      </c>
    </row>
    <row r="19344" spans="1:11" x14ac:dyDescent="0.35">
      <c r="A19344" s="9" t="str">
        <f>HYPERLINK("http://www.ensembl.org/id/WBGene00014746", "WBGene00014746")</f>
        <v>WBGene00014746</v>
      </c>
      <c r="B19344" s="9"/>
      <c r="C19344" s="9"/>
      <c r="D19344" t="str">
        <f>"F27D4.3"</f>
        <v>F27D4.3</v>
      </c>
      <c r="F19344" t="s">
        <v>80</v>
      </c>
      <c r="H19344" s="12">
        <v>-1.13562588663969</v>
      </c>
      <c r="I19344" s="20">
        <v>-0.21459911447215799</v>
      </c>
      <c r="J19344" s="28">
        <v>0.830079884399894</v>
      </c>
      <c r="K19344" s="29">
        <v>0.98975608757875</v>
      </c>
    </row>
    <row r="19345" spans="1:11" x14ac:dyDescent="0.35">
      <c r="A19345" s="9" t="str">
        <f>HYPERLINK("http://www.ensembl.org/id/WBGene00017919", "WBGene00017919")</f>
        <v>WBGene00017919</v>
      </c>
      <c r="B19345" s="9" t="str">
        <f>HYPERLINK("http://www.ncbi.nlm.nih.gov/gene/177233", "177233")</f>
        <v>177233</v>
      </c>
      <c r="C19345" s="9" t="str">
        <f>HYPERLINK("http://www.ncbi.nlm.nih.gov/gene/399818", "399818")</f>
        <v>399818</v>
      </c>
      <c r="D19345" t="str">
        <f>"F29B9.1"</f>
        <v>F29B9.1</v>
      </c>
      <c r="E19345" t="s">
        <v>10358</v>
      </c>
      <c r="F19345" t="s">
        <v>11</v>
      </c>
      <c r="G19345" t="s">
        <v>10359</v>
      </c>
      <c r="H19345" s="12">
        <v>-1.05474808935144</v>
      </c>
      <c r="I19345" s="20">
        <v>-0.215373877464553</v>
      </c>
      <c r="J19345" s="28">
        <v>0.82947583487278798</v>
      </c>
      <c r="K19345" s="29">
        <v>0.98975608757875</v>
      </c>
    </row>
    <row r="19346" spans="1:11" x14ac:dyDescent="0.35">
      <c r="A19346" s="9" t="str">
        <f>HYPERLINK("http://www.ensembl.org/id/WBGene00009283", "WBGene00009283")</f>
        <v>WBGene00009283</v>
      </c>
      <c r="B19346" s="9" t="str">
        <f>HYPERLINK("http://www.ncbi.nlm.nih.gov/gene/3565538", "3565538")</f>
        <v>3565538</v>
      </c>
      <c r="C19346" s="9"/>
      <c r="D19346" t="str">
        <f>"F31B12.4"</f>
        <v>F31B12.4</v>
      </c>
      <c r="F19346" t="s">
        <v>11</v>
      </c>
      <c r="H19346" s="12">
        <v>1.1535861178515501</v>
      </c>
      <c r="I19346" s="20">
        <v>0.21417049510664199</v>
      </c>
      <c r="J19346" s="28">
        <v>0.83041410373955105</v>
      </c>
      <c r="K19346" s="29">
        <v>0.98975608757875</v>
      </c>
    </row>
    <row r="19347" spans="1:11" x14ac:dyDescent="0.35">
      <c r="A19347" s="9" t="str">
        <f>HYPERLINK("http://www.ensembl.org/id/WBGene00018033", "WBGene00018033")</f>
        <v>WBGene00018033</v>
      </c>
      <c r="B19347" s="9" t="str">
        <f>HYPERLINK("http://www.ncbi.nlm.nih.gov/gene/185257", "185257")</f>
        <v>185257</v>
      </c>
      <c r="C19347" s="9"/>
      <c r="D19347" t="str">
        <f>"F35B3.7"</f>
        <v>F35B3.7</v>
      </c>
      <c r="F19347" t="s">
        <v>11</v>
      </c>
      <c r="H19347" s="12">
        <v>1.0598790376848299</v>
      </c>
      <c r="I19347" s="20">
        <v>0.21631757565301901</v>
      </c>
      <c r="J19347" s="28">
        <v>0.82874020998714504</v>
      </c>
      <c r="K19347" s="29">
        <v>0.98975608757875</v>
      </c>
    </row>
    <row r="19348" spans="1:11" x14ac:dyDescent="0.35">
      <c r="A19348" s="9" t="str">
        <f>HYPERLINK("http://www.ensembl.org/id/WBGene00018056", "WBGene00018056")</f>
        <v>WBGene00018056</v>
      </c>
      <c r="B19348" s="9" t="str">
        <f>HYPERLINK("http://www.ncbi.nlm.nih.gov/gene/185311", "185311")</f>
        <v>185311</v>
      </c>
      <c r="C19348" s="9" t="str">
        <f>HYPERLINK("http://www.ncbi.nlm.nih.gov/gene/54858", "54858")</f>
        <v>54858</v>
      </c>
      <c r="D19348" t="str">
        <f>"F35F10.6"</f>
        <v>F35F10.6</v>
      </c>
      <c r="F19348" t="s">
        <v>11</v>
      </c>
      <c r="G19348" t="s">
        <v>4311</v>
      </c>
      <c r="H19348" s="12">
        <v>-1.1804715330718001</v>
      </c>
      <c r="I19348" s="20">
        <v>-0.21659579381577801</v>
      </c>
      <c r="J19348" s="28">
        <v>0.82852336397934501</v>
      </c>
      <c r="K19348" s="29">
        <v>0.98975608757875</v>
      </c>
    </row>
    <row r="19349" spans="1:11" x14ac:dyDescent="0.35">
      <c r="A19349" s="9" t="str">
        <f>HYPERLINK("http://www.ensembl.org/id/WBGene00270291", "WBGene00270291")</f>
        <v>WBGene00270291</v>
      </c>
      <c r="B19349" s="9"/>
      <c r="C19349" s="9"/>
      <c r="D19349" t="str">
        <f>"F36H5.15"</f>
        <v>F36H5.15</v>
      </c>
      <c r="F19349" t="s">
        <v>80</v>
      </c>
      <c r="H19349" s="12">
        <v>-1.56102470992011</v>
      </c>
      <c r="I19349" s="20">
        <v>-0.21490219992719301</v>
      </c>
      <c r="J19349" s="28">
        <v>0.82984356967021999</v>
      </c>
      <c r="K19349" s="29">
        <v>0.98975608757875</v>
      </c>
    </row>
    <row r="19350" spans="1:11" x14ac:dyDescent="0.35">
      <c r="A19350" s="9" t="str">
        <f>HYPERLINK("http://www.ensembl.org/id/WBGene00018159", "WBGene00018159")</f>
        <v>WBGene00018159</v>
      </c>
      <c r="B19350" s="9" t="str">
        <f>HYPERLINK("http://www.ncbi.nlm.nih.gov/gene/171711", "171711")</f>
        <v>171711</v>
      </c>
      <c r="C19350" s="9" t="str">
        <f>HYPERLINK("http://www.ncbi.nlm.nih.gov/gene/6728", "6728")</f>
        <v>6728</v>
      </c>
      <c r="D19350" t="str">
        <f>"F37F2.2"</f>
        <v>F37F2.2</v>
      </c>
      <c r="E19350" t="s">
        <v>10353</v>
      </c>
      <c r="F19350" t="s">
        <v>11</v>
      </c>
      <c r="G19350" t="s">
        <v>10354</v>
      </c>
      <c r="H19350" s="12">
        <v>-1.0470441845696301</v>
      </c>
      <c r="I19350" s="20">
        <v>-0.21498382151031101</v>
      </c>
      <c r="J19350" s="28">
        <v>0.82977993222081703</v>
      </c>
      <c r="K19350" s="29">
        <v>0.98975608757875</v>
      </c>
    </row>
    <row r="19351" spans="1:11" x14ac:dyDescent="0.35">
      <c r="A19351" s="9" t="str">
        <f>HYPERLINK("http://www.ensembl.org/id/WBGene00189933", "WBGene00189933")</f>
        <v>WBGene00189933</v>
      </c>
      <c r="B19351" s="9" t="str">
        <f>HYPERLINK("http://www.ncbi.nlm.nih.gov/gene/13215365", "13215365")</f>
        <v>13215365</v>
      </c>
      <c r="C19351" s="9"/>
      <c r="D19351" t="str">
        <f>"F38B7.11"</f>
        <v>F38B7.11</v>
      </c>
      <c r="F19351" t="s">
        <v>11</v>
      </c>
      <c r="G19351" t="s">
        <v>25</v>
      </c>
      <c r="H19351" s="12">
        <v>1.38166456225705</v>
      </c>
      <c r="I19351" s="20">
        <v>0.21647000810067901</v>
      </c>
      <c r="J19351" s="28">
        <v>0.82862140100140702</v>
      </c>
      <c r="K19351" s="29">
        <v>0.98975608757875</v>
      </c>
    </row>
    <row r="19352" spans="1:11" x14ac:dyDescent="0.35">
      <c r="A19352" s="9" t="str">
        <f>HYPERLINK("http://www.ensembl.org/id/WBGene00009754", "WBGene00009754")</f>
        <v>WBGene00009754</v>
      </c>
      <c r="B19352" s="9" t="str">
        <f>HYPERLINK("http://www.ncbi.nlm.nih.gov/gene/172772", "172772")</f>
        <v>172772</v>
      </c>
      <c r="C19352" s="9"/>
      <c r="D19352" t="str">
        <f>"F46A9.1"</f>
        <v>F46A9.1</v>
      </c>
      <c r="F19352" t="s">
        <v>11</v>
      </c>
      <c r="H19352" s="12">
        <v>-1.2590592483512699</v>
      </c>
      <c r="I19352" s="20">
        <v>-0.21476380535166301</v>
      </c>
      <c r="J19352" s="28">
        <v>0.82995147355610199</v>
      </c>
      <c r="K19352" s="29">
        <v>0.98975608757875</v>
      </c>
    </row>
    <row r="19353" spans="1:11" x14ac:dyDescent="0.35">
      <c r="A19353" s="9" t="str">
        <f>HYPERLINK("http://www.ensembl.org/id/WBGene00009990", "WBGene00009990")</f>
        <v>WBGene00009990</v>
      </c>
      <c r="B19353" s="9" t="str">
        <f>HYPERLINK("http://www.ncbi.nlm.nih.gov/gene/179847", "179847")</f>
        <v>179847</v>
      </c>
      <c r="C19353" s="9"/>
      <c r="D19353" t="str">
        <f>"F53F4.7"</f>
        <v>F53F4.7</v>
      </c>
      <c r="F19353" t="s">
        <v>11</v>
      </c>
      <c r="H19353" s="12">
        <v>1.7348518663082899</v>
      </c>
      <c r="I19353" s="20">
        <v>0.21739911433754</v>
      </c>
      <c r="J19353" s="28">
        <v>0.82789732135182004</v>
      </c>
      <c r="K19353" s="29">
        <v>0.98975608757875</v>
      </c>
    </row>
    <row r="19354" spans="1:11" x14ac:dyDescent="0.35">
      <c r="A19354" s="9" t="str">
        <f>HYPERLINK("http://www.ensembl.org/id/WBGene00018825", "WBGene00018825")</f>
        <v>WBGene00018825</v>
      </c>
      <c r="B19354" s="9" t="str">
        <f>HYPERLINK("http://www.ncbi.nlm.nih.gov/gene/186244", "186244")</f>
        <v>186244</v>
      </c>
      <c r="C19354" s="9"/>
      <c r="D19354" t="str">
        <f>"F54E2.5"</f>
        <v>F54E2.5</v>
      </c>
      <c r="F19354" t="s">
        <v>11</v>
      </c>
      <c r="G19354" t="s">
        <v>25</v>
      </c>
      <c r="H19354" s="12">
        <v>-1.45590506445837</v>
      </c>
      <c r="I19354" s="20">
        <v>-0.21426450163505401</v>
      </c>
      <c r="J19354" s="28">
        <v>0.83034079877691003</v>
      </c>
      <c r="K19354" s="29">
        <v>0.98975608757875</v>
      </c>
    </row>
    <row r="19355" spans="1:11" x14ac:dyDescent="0.35">
      <c r="A19355" s="9" t="str">
        <f>HYPERLINK("http://www.ensembl.org/id/WBGene00018844", "WBGene00018844")</f>
        <v>WBGene00018844</v>
      </c>
      <c r="B19355" s="9" t="str">
        <f>HYPERLINK("http://www.ncbi.nlm.nih.gov/gene/186268", "186268")</f>
        <v>186268</v>
      </c>
      <c r="C19355" s="9"/>
      <c r="D19355" t="str">
        <f>"F54H12.4"</f>
        <v>F54H12.4</v>
      </c>
      <c r="F19355" t="s">
        <v>11</v>
      </c>
      <c r="H19355" s="12">
        <v>2.0386070404968901</v>
      </c>
      <c r="I19355" s="20">
        <v>0.212667654382139</v>
      </c>
      <c r="J19355" s="28">
        <v>0.83158619767804198</v>
      </c>
      <c r="K19355" s="29">
        <v>0.98975608757875</v>
      </c>
    </row>
    <row r="19356" spans="1:11" x14ac:dyDescent="0.35">
      <c r="A19356" s="9" t="str">
        <f>HYPERLINK("http://www.ensembl.org/id/WBGene00018898", "WBGene00018898")</f>
        <v>WBGene00018898</v>
      </c>
      <c r="B19356" s="9" t="str">
        <f>HYPERLINK("http://www.ncbi.nlm.nih.gov/gene/186322", "186322")</f>
        <v>186322</v>
      </c>
      <c r="C19356" s="9"/>
      <c r="D19356" t="str">
        <f>"F55F10.1"</f>
        <v>F55F10.1</v>
      </c>
      <c r="E19356" t="s">
        <v>10330</v>
      </c>
      <c r="F19356" t="s">
        <v>11</v>
      </c>
      <c r="G19356" t="s">
        <v>10331</v>
      </c>
      <c r="H19356" s="12">
        <v>1.0420153792258999</v>
      </c>
      <c r="I19356" s="20">
        <v>0.21616103885782401</v>
      </c>
      <c r="J19356" s="28">
        <v>0.82886222206306603</v>
      </c>
      <c r="K19356" s="29">
        <v>0.98975608757875</v>
      </c>
    </row>
    <row r="19357" spans="1:11" x14ac:dyDescent="0.35">
      <c r="A19357" s="9" t="str">
        <f>HYPERLINK("http://www.ensembl.org/id/WBGene00044048", "WBGene00044048")</f>
        <v>WBGene00044048</v>
      </c>
      <c r="B19357" s="9" t="str">
        <f>HYPERLINK("http://www.ncbi.nlm.nih.gov/gene/3565699", "3565699")</f>
        <v>3565699</v>
      </c>
      <c r="C19357" s="9"/>
      <c r="D19357" t="str">
        <f>"F57G9.7"</f>
        <v>F57G9.7</v>
      </c>
      <c r="F19357" t="s">
        <v>11</v>
      </c>
      <c r="G19357" t="s">
        <v>2639</v>
      </c>
      <c r="H19357" s="12">
        <v>2.0386070404968901</v>
      </c>
      <c r="I19357" s="20">
        <v>0.212667654382139</v>
      </c>
      <c r="J19357" s="28">
        <v>0.83158619767804198</v>
      </c>
      <c r="K19357" s="29">
        <v>0.98975608757875</v>
      </c>
    </row>
    <row r="19358" spans="1:11" x14ac:dyDescent="0.35">
      <c r="A19358" s="9" t="str">
        <f>HYPERLINK("http://www.ensembl.org/id/WBGene00044519", "WBGene00044519")</f>
        <v>WBGene00044519</v>
      </c>
      <c r="B19358" s="9" t="str">
        <f>HYPERLINK("http://www.ncbi.nlm.nih.gov/gene/3896836", "3896836")</f>
        <v>3896836</v>
      </c>
      <c r="C19358" s="9"/>
      <c r="D19358" t="str">
        <f>"F59A7.11"</f>
        <v>F59A7.11</v>
      </c>
      <c r="F19358" t="s">
        <v>11</v>
      </c>
      <c r="H19358" s="12">
        <v>1.42772256786007</v>
      </c>
      <c r="I19358" s="20">
        <v>0.21547642380337201</v>
      </c>
      <c r="J19358" s="28">
        <v>0.82939589142903003</v>
      </c>
      <c r="K19358" s="29">
        <v>0.98975608757875</v>
      </c>
    </row>
    <row r="19359" spans="1:11" x14ac:dyDescent="0.35">
      <c r="A19359" s="9" t="str">
        <f>HYPERLINK("http://www.ensembl.org/id/WBGene00008015", "WBGene00008015")</f>
        <v>WBGene00008015</v>
      </c>
      <c r="B19359" s="9" t="str">
        <f>HYPERLINK("http://www.ncbi.nlm.nih.gov/gene/183318", "183318")</f>
        <v>183318</v>
      </c>
      <c r="C19359" s="9"/>
      <c r="D19359" t="str">
        <f>"fbxa-174"</f>
        <v>fbxa-174</v>
      </c>
      <c r="E19359" t="s">
        <v>467</v>
      </c>
      <c r="F19359" t="s">
        <v>11</v>
      </c>
      <c r="G19359" t="s">
        <v>54</v>
      </c>
      <c r="H19359" s="12">
        <v>-1.4175896465920399</v>
      </c>
      <c r="I19359" s="20">
        <v>-0.218238314458475</v>
      </c>
      <c r="J19359" s="28">
        <v>0.82724343384782395</v>
      </c>
      <c r="K19359" s="29">
        <v>0.98975608757875</v>
      </c>
    </row>
    <row r="19360" spans="1:11" x14ac:dyDescent="0.35">
      <c r="A19360" s="9" t="str">
        <f>HYPERLINK("http://www.ensembl.org/id/WBGene00044197", "WBGene00044197")</f>
        <v>WBGene00044197</v>
      </c>
      <c r="B19360" s="9" t="str">
        <f>HYPERLINK("http://www.ncbi.nlm.nih.gov/gene/3565062", "3565062")</f>
        <v>3565062</v>
      </c>
      <c r="C19360" s="9"/>
      <c r="D19360" t="str">
        <f>"fbxb-63"</f>
        <v>fbxb-63</v>
      </c>
      <c r="E19360" t="s">
        <v>1436</v>
      </c>
      <c r="F19360" t="s">
        <v>11</v>
      </c>
      <c r="G19360" t="s">
        <v>54</v>
      </c>
      <c r="H19360" s="12">
        <v>-1.11836126472895</v>
      </c>
      <c r="I19360" s="20">
        <v>-0.21270837432460801</v>
      </c>
      <c r="J19360" s="28">
        <v>0.83155443447410304</v>
      </c>
      <c r="K19360" s="29">
        <v>0.98975608757875</v>
      </c>
    </row>
    <row r="19361" spans="1:11" x14ac:dyDescent="0.35">
      <c r="A19361" s="9" t="str">
        <f>HYPERLINK("http://www.ensembl.org/id/WBGene00001441", "WBGene00001441")</f>
        <v>WBGene00001441</v>
      </c>
      <c r="B19361" s="9" t="str">
        <f>HYPERLINK("http://www.ncbi.nlm.nih.gov/gene/180670", "180670")</f>
        <v>180670</v>
      </c>
      <c r="C19361" s="9"/>
      <c r="D19361" t="str">
        <f>"fkh-9"</f>
        <v>fkh-9</v>
      </c>
      <c r="E19361" t="s">
        <v>2856</v>
      </c>
      <c r="F19361" t="s">
        <v>11</v>
      </c>
      <c r="G19361" t="s">
        <v>10336</v>
      </c>
      <c r="H19361" s="12">
        <v>-1.03980843600495</v>
      </c>
      <c r="I19361" s="20">
        <v>-0.215752539429023</v>
      </c>
      <c r="J19361" s="28">
        <v>0.82918064499995903</v>
      </c>
      <c r="K19361" s="29">
        <v>0.98975608757875</v>
      </c>
    </row>
    <row r="19362" spans="1:11" x14ac:dyDescent="0.35">
      <c r="A19362" s="9" t="str">
        <f>HYPERLINK("http://www.ensembl.org/id/WBGene00006409", "WBGene00006409")</f>
        <v>WBGene00006409</v>
      </c>
      <c r="B19362" s="9" t="str">
        <f>HYPERLINK("http://www.ncbi.nlm.nih.gov/gene/182464", "182464")</f>
        <v>182464</v>
      </c>
      <c r="C19362" s="9"/>
      <c r="D19362" t="str">
        <f>"hdl-2"</f>
        <v>hdl-2</v>
      </c>
      <c r="E19362" t="s">
        <v>10364</v>
      </c>
      <c r="F19362" t="s">
        <v>11</v>
      </c>
      <c r="G19362" t="s">
        <v>10365</v>
      </c>
      <c r="H19362" s="12">
        <v>-1.3663936814908699</v>
      </c>
      <c r="I19362" s="20">
        <v>-0.21659689768360799</v>
      </c>
      <c r="J19362" s="28">
        <v>0.82852250363977598</v>
      </c>
      <c r="K19362" s="29">
        <v>0.98975608757875</v>
      </c>
    </row>
    <row r="19363" spans="1:11" x14ac:dyDescent="0.35">
      <c r="A19363" s="9" t="str">
        <f>HYPERLINK("http://www.ensembl.org/id/WBGene00001974", "WBGene00001974")</f>
        <v>WBGene00001974</v>
      </c>
      <c r="B19363" s="9" t="str">
        <f>HYPERLINK("http://www.ncbi.nlm.nih.gov/gene/176052", "176052")</f>
        <v>176052</v>
      </c>
      <c r="C19363" s="9" t="str">
        <f>HYPERLINK("http://www.ncbi.nlm.nih.gov/gene/6749", "6749")</f>
        <v>6749</v>
      </c>
      <c r="D19363" t="str">
        <f>"hmg-4"</f>
        <v>hmg-4</v>
      </c>
      <c r="E19363" t="s">
        <v>10355</v>
      </c>
      <c r="F19363" t="s">
        <v>11</v>
      </c>
      <c r="G19363" t="s">
        <v>487</v>
      </c>
      <c r="H19363" s="12">
        <v>-1.0487726745528101</v>
      </c>
      <c r="I19363" s="20">
        <v>-0.218209428980362</v>
      </c>
      <c r="J19363" s="28">
        <v>0.82726593883191002</v>
      </c>
      <c r="K19363" s="29">
        <v>0.98975608757875</v>
      </c>
    </row>
    <row r="19364" spans="1:11" x14ac:dyDescent="0.35">
      <c r="A19364" s="9" t="str">
        <f>HYPERLINK("http://www.ensembl.org/id/WBGene00002175", "WBGene00002175")</f>
        <v>WBGene00002175</v>
      </c>
      <c r="B19364" s="9" t="str">
        <f>HYPERLINK("http://www.ncbi.nlm.nih.gov/gene/178451", "178451")</f>
        <v>178451</v>
      </c>
      <c r="C19364" s="9"/>
      <c r="D19364" t="str">
        <f>"jac-1"</f>
        <v>jac-1</v>
      </c>
      <c r="E19364" t="s">
        <v>10332</v>
      </c>
      <c r="F19364" t="s">
        <v>11</v>
      </c>
      <c r="G19364" t="s">
        <v>10333</v>
      </c>
      <c r="H19364" s="12">
        <v>1.04038012643878</v>
      </c>
      <c r="I19364" s="20">
        <v>0.21357074350564301</v>
      </c>
      <c r="J19364" s="28">
        <v>0.83088181628277002</v>
      </c>
      <c r="K19364" s="29">
        <v>0.98975608757875</v>
      </c>
    </row>
    <row r="19365" spans="1:11" x14ac:dyDescent="0.35">
      <c r="A19365" s="9" t="str">
        <f>HYPERLINK("http://www.ensembl.org/id/WBGene00010626", "WBGene00010626")</f>
        <v>WBGene00010626</v>
      </c>
      <c r="B19365" s="9" t="str">
        <f>HYPERLINK("http://www.ncbi.nlm.nih.gov/gene/179441", "179441")</f>
        <v>179441</v>
      </c>
      <c r="C19365" s="9"/>
      <c r="D19365" t="str">
        <f>"K07C5.3"</f>
        <v>K07C5.3</v>
      </c>
      <c r="F19365" t="s">
        <v>11</v>
      </c>
      <c r="G19365" t="s">
        <v>10348</v>
      </c>
      <c r="H19365" s="12">
        <v>-1.04436233882505</v>
      </c>
      <c r="I19365" s="20">
        <v>-0.21572145315813601</v>
      </c>
      <c r="J19365" s="28">
        <v>0.82920487771769602</v>
      </c>
      <c r="K19365" s="29">
        <v>0.98975608757875</v>
      </c>
    </row>
    <row r="19366" spans="1:11" x14ac:dyDescent="0.35">
      <c r="A19366" s="9" t="str">
        <f>HYPERLINK("http://www.ensembl.org/id/WBGene00010728", "WBGene00010728")</f>
        <v>WBGene00010728</v>
      </c>
      <c r="B19366" s="9" t="str">
        <f>HYPERLINK("http://www.ncbi.nlm.nih.gov/gene/187236", "187236")</f>
        <v>187236</v>
      </c>
      <c r="C19366" s="9"/>
      <c r="D19366" t="str">
        <f>"K09G1.2"</f>
        <v>K09G1.2</v>
      </c>
      <c r="F19366" t="s">
        <v>11</v>
      </c>
      <c r="G19366" t="s">
        <v>25</v>
      </c>
      <c r="H19366" s="12">
        <v>1.5918621569353</v>
      </c>
      <c r="I19366" s="20">
        <v>0.21640584204782701</v>
      </c>
      <c r="J19366" s="28">
        <v>0.82867141286547097</v>
      </c>
      <c r="K19366" s="29">
        <v>0.98975608757875</v>
      </c>
    </row>
    <row r="19367" spans="1:11" x14ac:dyDescent="0.35">
      <c r="A19367" s="9" t="str">
        <f>HYPERLINK("http://www.ensembl.org/id/WBGene00206374", "WBGene00206374")</f>
        <v>WBGene00206374</v>
      </c>
      <c r="B19367" s="9" t="str">
        <f>HYPERLINK("http://www.ncbi.nlm.nih.gov/gene/13184534", "13184534")</f>
        <v>13184534</v>
      </c>
      <c r="C19367" s="9"/>
      <c r="D19367" t="str">
        <f>"K10G6.9"</f>
        <v>K10G6.9</v>
      </c>
      <c r="F19367" t="s">
        <v>11</v>
      </c>
      <c r="G19367" t="s">
        <v>25</v>
      </c>
      <c r="H19367" s="12">
        <v>1.12727160683443</v>
      </c>
      <c r="I19367" s="20">
        <v>0.217252280150807</v>
      </c>
      <c r="J19367" s="28">
        <v>0.82801174381153797</v>
      </c>
      <c r="K19367" s="29">
        <v>0.98975608757875</v>
      </c>
    </row>
    <row r="19368" spans="1:11" x14ac:dyDescent="0.35">
      <c r="A19368" s="9" t="str">
        <f>HYPERLINK("http://www.ensembl.org/id/WBGene00219592", "WBGene00219592")</f>
        <v>WBGene00219592</v>
      </c>
      <c r="B19368" s="9"/>
      <c r="C19368" s="9"/>
      <c r="D19368" t="str">
        <f>"linc-84"</f>
        <v>linc-84</v>
      </c>
      <c r="F19368" t="s">
        <v>1510</v>
      </c>
      <c r="H19368" s="12">
        <v>-1.11252113323976</v>
      </c>
      <c r="I19368" s="20">
        <v>-0.213505270720277</v>
      </c>
      <c r="J19368" s="28">
        <v>0.83093287845597297</v>
      </c>
      <c r="K19368" s="29">
        <v>0.98975608757875</v>
      </c>
    </row>
    <row r="19369" spans="1:11" x14ac:dyDescent="0.35">
      <c r="A19369" s="9" t="str">
        <f>HYPERLINK("http://www.ensembl.org/id/WBGene00020571", "WBGene00020571")</f>
        <v>WBGene00020571</v>
      </c>
      <c r="B19369" s="9" t="str">
        <f>HYPERLINK("http://www.ncbi.nlm.nih.gov/gene/180415", "180415")</f>
        <v>180415</v>
      </c>
      <c r="C19369" s="9"/>
      <c r="D19369" t="str">
        <f>"lpr-7"</f>
        <v>lpr-7</v>
      </c>
      <c r="E19369" t="s">
        <v>865</v>
      </c>
      <c r="F19369" t="s">
        <v>11</v>
      </c>
      <c r="G19369" t="s">
        <v>25</v>
      </c>
      <c r="H19369" s="12">
        <v>-1.1271654045587001</v>
      </c>
      <c r="I19369" s="20">
        <v>-0.214431859422099</v>
      </c>
      <c r="J19369" s="28">
        <v>0.83021029919368805</v>
      </c>
      <c r="K19369" s="29">
        <v>0.98975608757875</v>
      </c>
    </row>
    <row r="19370" spans="1:11" x14ac:dyDescent="0.35">
      <c r="A19370" s="9" t="str">
        <f>HYPERLINK("http://www.ensembl.org/id/WBGene00012366", "WBGene00012366")</f>
        <v>WBGene00012366</v>
      </c>
      <c r="B19370" s="9" t="str">
        <f>HYPERLINK("http://www.ncbi.nlm.nih.gov/gene/173248", "173248")</f>
        <v>173248</v>
      </c>
      <c r="C19370" s="9"/>
      <c r="D19370" t="str">
        <f>"maea-1"</f>
        <v>maea-1</v>
      </c>
      <c r="E19370" t="s">
        <v>10342</v>
      </c>
      <c r="F19370" t="s">
        <v>11</v>
      </c>
      <c r="G19370" t="s">
        <v>10343</v>
      </c>
      <c r="H19370" s="12">
        <v>-1.04127545529484</v>
      </c>
      <c r="I19370" s="20">
        <v>-0.21614727470158701</v>
      </c>
      <c r="J19370" s="28">
        <v>0.82887295068563704</v>
      </c>
      <c r="K19370" s="29">
        <v>0.98975608757875</v>
      </c>
    </row>
    <row r="19371" spans="1:11" x14ac:dyDescent="0.35">
      <c r="A19371" s="9" t="str">
        <f>HYPERLINK("http://www.ensembl.org/id/WBGene00010359", "WBGene00010359")</f>
        <v>WBGene00010359</v>
      </c>
      <c r="B19371" s="9" t="str">
        <f>HYPERLINK("http://www.ncbi.nlm.nih.gov/gene/181601", "181601")</f>
        <v>181601</v>
      </c>
      <c r="C19371" s="9"/>
      <c r="D19371" t="str">
        <f>"mam-6"</f>
        <v>mam-6</v>
      </c>
      <c r="E19371" t="s">
        <v>679</v>
      </c>
      <c r="F19371" t="s">
        <v>11</v>
      </c>
      <c r="G19371" t="s">
        <v>427</v>
      </c>
      <c r="H19371" s="12">
        <v>2.0386070404968901</v>
      </c>
      <c r="I19371" s="20">
        <v>0.212667654382139</v>
      </c>
      <c r="J19371" s="28">
        <v>0.83158619767804198</v>
      </c>
      <c r="K19371" s="29">
        <v>0.98975608757875</v>
      </c>
    </row>
    <row r="19372" spans="1:11" x14ac:dyDescent="0.35">
      <c r="A19372" s="9" t="str">
        <f>HYPERLINK("http://www.ensembl.org/id/WBGene00003246", "WBGene00003246")</f>
        <v>WBGene00003246</v>
      </c>
      <c r="B19372" s="9" t="str">
        <f>HYPERLINK("http://www.ncbi.nlm.nih.gov/gene/175020", "175020")</f>
        <v>175020</v>
      </c>
      <c r="C19372" s="9" t="str">
        <f>HYPERLINK("http://www.ncbi.nlm.nih.gov/gene/79971", "79971")</f>
        <v>79971</v>
      </c>
      <c r="D19372" t="str">
        <f>"mig-14"</f>
        <v>mig-14</v>
      </c>
      <c r="F19372" t="s">
        <v>11</v>
      </c>
      <c r="G19372" t="s">
        <v>10356</v>
      </c>
      <c r="H19372" s="12">
        <v>-1.05031601297892</v>
      </c>
      <c r="I19372" s="20">
        <v>-0.217873368132251</v>
      </c>
      <c r="J19372" s="28">
        <v>0.82752777784374798</v>
      </c>
      <c r="K19372" s="29">
        <v>0.98975608757875</v>
      </c>
    </row>
    <row r="19373" spans="1:11" x14ac:dyDescent="0.35">
      <c r="A19373" s="9" t="str">
        <f>HYPERLINK("http://www.ensembl.org/id/WBGene00219219", "WBGene00219219")</f>
        <v>WBGene00219219</v>
      </c>
      <c r="B19373" s="9"/>
      <c r="C19373" s="9"/>
      <c r="D19373" t="str">
        <f>"mir-5546"</f>
        <v>mir-5546</v>
      </c>
      <c r="F19373" t="s">
        <v>1486</v>
      </c>
      <c r="H19373" s="12">
        <v>2.0386070404968901</v>
      </c>
      <c r="I19373" s="20">
        <v>0.212667654382139</v>
      </c>
      <c r="J19373" s="28">
        <v>0.83158619767804198</v>
      </c>
      <c r="K19373" s="29">
        <v>0.98975608757875</v>
      </c>
    </row>
    <row r="19374" spans="1:11" x14ac:dyDescent="0.35">
      <c r="A19374" s="9" t="str">
        <f>HYPERLINK("http://www.ensembl.org/id/WBGene00003511", "WBGene00003511")</f>
        <v>WBGene00003511</v>
      </c>
      <c r="B19374" s="9" t="str">
        <f>HYPERLINK("http://www.ncbi.nlm.nih.gov/gene/181457", "181457")</f>
        <v>181457</v>
      </c>
      <c r="C19374" s="9"/>
      <c r="D19374" t="str">
        <f>"mxl-3"</f>
        <v>mxl-3</v>
      </c>
      <c r="E19374" t="s">
        <v>8368</v>
      </c>
      <c r="F19374" t="s">
        <v>11</v>
      </c>
      <c r="G19374" t="s">
        <v>10350</v>
      </c>
      <c r="H19374" s="12">
        <v>-1.04506550854302</v>
      </c>
      <c r="I19374" s="20">
        <v>-0.215782778447181</v>
      </c>
      <c r="J19374" s="28">
        <v>0.82915707289809204</v>
      </c>
      <c r="K19374" s="29">
        <v>0.98975608757875</v>
      </c>
    </row>
    <row r="19375" spans="1:11" x14ac:dyDescent="0.35">
      <c r="A19375" s="9" t="str">
        <f>HYPERLINK("http://www.ensembl.org/id/WBGene00003702", "WBGene00003702")</f>
        <v>WBGene00003702</v>
      </c>
      <c r="B19375" s="9" t="str">
        <f>HYPERLINK("http://www.ncbi.nlm.nih.gov/gene/180115", "180115")</f>
        <v>180115</v>
      </c>
      <c r="C19375" s="9"/>
      <c r="D19375" t="str">
        <f>"nhr-112"</f>
        <v>nhr-112</v>
      </c>
      <c r="E19375" t="s">
        <v>637</v>
      </c>
      <c r="F19375" t="s">
        <v>11</v>
      </c>
      <c r="G19375" t="s">
        <v>10320</v>
      </c>
      <c r="H19375" s="12">
        <v>1.0597347441162199</v>
      </c>
      <c r="I19375" s="20">
        <v>0.21794987123500401</v>
      </c>
      <c r="J19375" s="28">
        <v>0.82746816940170798</v>
      </c>
      <c r="K19375" s="29">
        <v>0.98975608757875</v>
      </c>
    </row>
    <row r="19376" spans="1:11" x14ac:dyDescent="0.35">
      <c r="A19376" s="9" t="str">
        <f>HYPERLINK("http://www.ensembl.org/id/WBGene00020851", "WBGene00020851")</f>
        <v>WBGene00020851</v>
      </c>
      <c r="B19376" s="9" t="str">
        <f>HYPERLINK("http://www.ncbi.nlm.nih.gov/gene/188976", "188976")</f>
        <v>188976</v>
      </c>
      <c r="C19376" s="9"/>
      <c r="D19376" t="str">
        <f>"nhr-227"</f>
        <v>nhr-227</v>
      </c>
      <c r="E19376" t="s">
        <v>637</v>
      </c>
      <c r="F19376" t="s">
        <v>11</v>
      </c>
      <c r="G19376" t="s">
        <v>1073</v>
      </c>
      <c r="H19376" s="12">
        <v>1.1382876130999999</v>
      </c>
      <c r="I19376" s="20">
        <v>0.213475129658003</v>
      </c>
      <c r="J19376" s="28">
        <v>0.83095638568640395</v>
      </c>
      <c r="K19376" s="29">
        <v>0.98975608757875</v>
      </c>
    </row>
    <row r="19377" spans="1:11" x14ac:dyDescent="0.35">
      <c r="A19377" s="9" t="str">
        <f>HYPERLINK("http://www.ensembl.org/id/WBGene00003934", "WBGene00003934")</f>
        <v>WBGene00003934</v>
      </c>
      <c r="B19377" s="9" t="str">
        <f>HYPERLINK("http://www.ncbi.nlm.nih.gov/gene/172127", "172127")</f>
        <v>172127</v>
      </c>
      <c r="C19377" s="9"/>
      <c r="D19377" t="str">
        <f>"pat-10"</f>
        <v>pat-10</v>
      </c>
      <c r="E19377" t="s">
        <v>10323</v>
      </c>
      <c r="F19377" t="s">
        <v>11</v>
      </c>
      <c r="G19377" t="s">
        <v>10324</v>
      </c>
      <c r="H19377" s="12">
        <v>1.0460608699519001</v>
      </c>
      <c r="I19377" s="20">
        <v>0.21413200049287201</v>
      </c>
      <c r="J19377" s="28">
        <v>0.830444121721436</v>
      </c>
      <c r="K19377" s="29">
        <v>0.98975608757875</v>
      </c>
    </row>
    <row r="19378" spans="1:11" x14ac:dyDescent="0.35">
      <c r="A19378" s="9" t="str">
        <f>HYPERLINK("http://www.ensembl.org/id/WBGene00004031", "WBGene00004031")</f>
        <v>WBGene00004031</v>
      </c>
      <c r="B19378" s="9" t="str">
        <f>HYPERLINK("http://www.ncbi.nlm.nih.gov/gene/177818", "177818")</f>
        <v>177818</v>
      </c>
      <c r="C19378" s="9"/>
      <c r="D19378" t="str">
        <f>"pis-1"</f>
        <v>pis-1</v>
      </c>
      <c r="E19378" t="s">
        <v>10325</v>
      </c>
      <c r="F19378" t="s">
        <v>11</v>
      </c>
      <c r="G19378" t="s">
        <v>10326</v>
      </c>
      <c r="H19378" s="12">
        <v>1.04411511183732</v>
      </c>
      <c r="I19378" s="20">
        <v>0.21399611269431501</v>
      </c>
      <c r="J19378" s="28">
        <v>0.83055008858857304</v>
      </c>
      <c r="K19378" s="29">
        <v>0.98975608757875</v>
      </c>
    </row>
    <row r="19379" spans="1:11" x14ac:dyDescent="0.35">
      <c r="A19379" s="9" t="str">
        <f>HYPERLINK("http://www.ensembl.org/id/WBGene00004088", "WBGene00004088")</f>
        <v>WBGene00004088</v>
      </c>
      <c r="B19379" s="9" t="str">
        <f>HYPERLINK("http://www.ncbi.nlm.nih.gov/gene/175344", "175344")</f>
        <v>175344</v>
      </c>
      <c r="C19379" s="9" t="str">
        <f>HYPERLINK("http://www.ncbi.nlm.nih.gov/gene/8396", "8396")</f>
        <v>8396</v>
      </c>
      <c r="D19379" t="str">
        <f>"ppk-2"</f>
        <v>ppk-2</v>
      </c>
      <c r="E19379" t="s">
        <v>8927</v>
      </c>
      <c r="F19379" t="s">
        <v>11</v>
      </c>
      <c r="G19379" t="s">
        <v>10344</v>
      </c>
      <c r="H19379" s="12">
        <v>-1.04135573592485</v>
      </c>
      <c r="I19379" s="20">
        <v>-0.21647436498261999</v>
      </c>
      <c r="J19379" s="28">
        <v>0.82861800521560103</v>
      </c>
      <c r="K19379" s="29">
        <v>0.98975608757875</v>
      </c>
    </row>
    <row r="19380" spans="1:11" x14ac:dyDescent="0.35">
      <c r="A19380" s="9" t="str">
        <f>HYPERLINK("http://www.ensembl.org/id/WBGene00013343", "WBGene00013343")</f>
        <v>WBGene00013343</v>
      </c>
      <c r="B19380" s="9" t="str">
        <f>HYPERLINK("http://www.ncbi.nlm.nih.gov/gene/180180", "180180")</f>
        <v>180180</v>
      </c>
      <c r="C19380" s="9" t="str">
        <f>HYPERLINK("http://www.ncbi.nlm.nih.gov/gene/24148", "24148")</f>
        <v>24148</v>
      </c>
      <c r="D19380" t="str">
        <f>"prp-6"</f>
        <v>prp-6</v>
      </c>
      <c r="E19380" t="s">
        <v>7306</v>
      </c>
      <c r="F19380" t="s">
        <v>11</v>
      </c>
      <c r="G19380" t="s">
        <v>10339</v>
      </c>
      <c r="H19380" s="12">
        <v>-1.0406442440864001</v>
      </c>
      <c r="I19380" s="20">
        <v>-0.21343880625633899</v>
      </c>
      <c r="J19380" s="28">
        <v>0.83098471476859403</v>
      </c>
      <c r="K19380" s="29">
        <v>0.98975608757875</v>
      </c>
    </row>
    <row r="19381" spans="1:11" x14ac:dyDescent="0.35">
      <c r="A19381" s="9" t="str">
        <f>HYPERLINK("http://www.ensembl.org/id/WBGene00011178", "WBGene00011178")</f>
        <v>WBGene00011178</v>
      </c>
      <c r="B19381" s="9"/>
      <c r="C19381" s="9"/>
      <c r="D19381" t="str">
        <f>"R09E10.9"</f>
        <v>R09E10.9</v>
      </c>
      <c r="F19381" t="s">
        <v>80</v>
      </c>
      <c r="H19381" s="12">
        <v>2.0386070404968901</v>
      </c>
      <c r="I19381" s="20">
        <v>0.212667654382139</v>
      </c>
      <c r="J19381" s="28">
        <v>0.83158619767804198</v>
      </c>
      <c r="K19381" s="29">
        <v>0.98975608757875</v>
      </c>
    </row>
    <row r="19382" spans="1:11" x14ac:dyDescent="0.35">
      <c r="A19382" s="9" t="str">
        <f>HYPERLINK("http://www.ensembl.org/id/WBGene00011224", "WBGene00011224")</f>
        <v>WBGene00011224</v>
      </c>
      <c r="B19382" s="9" t="str">
        <f>HYPERLINK("http://www.ncbi.nlm.nih.gov/gene/187789", "187789")</f>
        <v>187789</v>
      </c>
      <c r="C19382" s="9" t="str">
        <f>HYPERLINK("http://www.ncbi.nlm.nih.gov/gene/55312", "55312")</f>
        <v>55312</v>
      </c>
      <c r="D19382" t="str">
        <f>"R10H10.6"</f>
        <v>R10H10.6</v>
      </c>
      <c r="F19382" t="s">
        <v>11</v>
      </c>
      <c r="G19382" t="s">
        <v>10319</v>
      </c>
      <c r="H19382" s="12">
        <v>1.06680953897759</v>
      </c>
      <c r="I19382" s="20">
        <v>0.21515183018553699</v>
      </c>
      <c r="J19382" s="28">
        <v>0.82964894533921996</v>
      </c>
      <c r="K19382" s="29">
        <v>0.98975608757875</v>
      </c>
    </row>
    <row r="19383" spans="1:11" x14ac:dyDescent="0.35">
      <c r="A19383" s="9" t="str">
        <f>HYPERLINK("http://www.ensembl.org/id/WBGene00220053", "WBGene00220053")</f>
        <v>WBGene00220053</v>
      </c>
      <c r="B19383" s="9"/>
      <c r="C19383" s="9"/>
      <c r="D19383" t="str">
        <f>"R166.11"</f>
        <v>R166.11</v>
      </c>
      <c r="F19383" t="s">
        <v>481</v>
      </c>
      <c r="H19383" s="12">
        <v>2.0386070404968901</v>
      </c>
      <c r="I19383" s="20">
        <v>0.212667654382139</v>
      </c>
      <c r="J19383" s="28">
        <v>0.83158619767804198</v>
      </c>
      <c r="K19383" s="29">
        <v>0.98975608757875</v>
      </c>
    </row>
    <row r="19384" spans="1:11" x14ac:dyDescent="0.35">
      <c r="A19384" s="9" t="str">
        <f>HYPERLINK("http://www.ensembl.org/id/WBGene00004370", "WBGene00004370")</f>
        <v>WBGene00004370</v>
      </c>
      <c r="B19384" s="9" t="str">
        <f>HYPERLINK("http://www.ncbi.nlm.nih.gov/gene/180958", "180958")</f>
        <v>180958</v>
      </c>
      <c r="C19384" s="9"/>
      <c r="D19384" t="str">
        <f>"rig-3"</f>
        <v>rig-3</v>
      </c>
      <c r="E19384" t="s">
        <v>10321</v>
      </c>
      <c r="F19384" t="s">
        <v>11</v>
      </c>
      <c r="G19384" t="s">
        <v>10322</v>
      </c>
      <c r="H19384" s="12">
        <v>1.046324013375</v>
      </c>
      <c r="I19384" s="20">
        <v>0.21617330856726499</v>
      </c>
      <c r="J19384" s="28">
        <v>0.82885265833035504</v>
      </c>
      <c r="K19384" s="29">
        <v>0.98975608757875</v>
      </c>
    </row>
    <row r="19385" spans="1:11" x14ac:dyDescent="0.35">
      <c r="A19385" s="9" t="str">
        <f>HYPERLINK("http://www.ensembl.org/id/WBGene00006433", "WBGene00006433")</f>
        <v>WBGene00006433</v>
      </c>
      <c r="B19385" s="9" t="str">
        <f>HYPERLINK("http://www.ncbi.nlm.nih.gov/gene/174482", "174482")</f>
        <v>174482</v>
      </c>
      <c r="C19385" s="9" t="str">
        <f>HYPERLINK("http://www.ncbi.nlm.nih.gov/gene/6390", "6390")</f>
        <v>6390</v>
      </c>
      <c r="D19385" t="str">
        <f>"sdhb-1"</f>
        <v>sdhb-1</v>
      </c>
      <c r="E19385" t="s">
        <v>10345</v>
      </c>
      <c r="F19385" t="s">
        <v>11</v>
      </c>
      <c r="G19385" t="s">
        <v>10346</v>
      </c>
      <c r="H19385" s="12">
        <v>-1.04285490610205</v>
      </c>
      <c r="I19385" s="20">
        <v>-0.21549739308645399</v>
      </c>
      <c r="J19385" s="28">
        <v>0.82937954433739303</v>
      </c>
      <c r="K19385" s="29">
        <v>0.98975608757875</v>
      </c>
    </row>
    <row r="19386" spans="1:11" x14ac:dyDescent="0.35">
      <c r="A19386" s="9" t="str">
        <f>HYPERLINK("http://www.ensembl.org/id/WBGene00017252", "WBGene00017252")</f>
        <v>WBGene00017252</v>
      </c>
      <c r="B19386" s="9" t="str">
        <f>HYPERLINK("http://www.ncbi.nlm.nih.gov/gene/184179", "184179")</f>
        <v>184179</v>
      </c>
      <c r="C19386" s="9"/>
      <c r="D19386" t="str">
        <f>"sdz-10"</f>
        <v>sdz-10</v>
      </c>
      <c r="E19386" t="s">
        <v>90</v>
      </c>
      <c r="F19386" t="s">
        <v>11</v>
      </c>
      <c r="G19386" t="s">
        <v>54</v>
      </c>
      <c r="H19386" s="12">
        <v>1.1191700910718001</v>
      </c>
      <c r="I19386" s="20">
        <v>0.21277610702562899</v>
      </c>
      <c r="J19386" s="28">
        <v>0.83150160083413904</v>
      </c>
      <c r="K19386" s="29">
        <v>0.98975608757875</v>
      </c>
    </row>
    <row r="19387" spans="1:11" x14ac:dyDescent="0.35">
      <c r="A19387" s="9" t="str">
        <f>HYPERLINK("http://www.ensembl.org/id/WBGene00004945", "WBGene00004945")</f>
        <v>WBGene00004945</v>
      </c>
      <c r="B19387" s="9" t="str">
        <f>HYPERLINK("http://www.ncbi.nlm.nih.gov/gene/174874", "174874")</f>
        <v>174874</v>
      </c>
      <c r="C19387" s="9"/>
      <c r="D19387" t="str">
        <f>"sop-2"</f>
        <v>sop-2</v>
      </c>
      <c r="E19387" t="s">
        <v>10327</v>
      </c>
      <c r="F19387" t="s">
        <v>11</v>
      </c>
      <c r="G19387" t="s">
        <v>10328</v>
      </c>
      <c r="H19387" s="12">
        <v>1.04373711982785</v>
      </c>
      <c r="I19387" s="20">
        <v>0.215083502780438</v>
      </c>
      <c r="J19387" s="28">
        <v>0.82970221578951797</v>
      </c>
      <c r="K19387" s="29">
        <v>0.98975608757875</v>
      </c>
    </row>
    <row r="19388" spans="1:11" x14ac:dyDescent="0.35">
      <c r="A19388" s="9" t="str">
        <f>HYPERLINK("http://www.ensembl.org/id/WBGene00004962", "WBGene00004962")</f>
        <v>WBGene00004962</v>
      </c>
      <c r="B19388" s="9" t="str">
        <f>HYPERLINK("http://www.ncbi.nlm.nih.gov/gene/171606", "171606")</f>
        <v>171606</v>
      </c>
      <c r="C19388" s="9"/>
      <c r="D19388" t="str">
        <f>"spe-8"</f>
        <v>spe-8</v>
      </c>
      <c r="E19388" t="s">
        <v>10362</v>
      </c>
      <c r="F19388" t="s">
        <v>11</v>
      </c>
      <c r="G19388" t="s">
        <v>10363</v>
      </c>
      <c r="H19388" s="12">
        <v>-1.3063110649122101</v>
      </c>
      <c r="I19388" s="20">
        <v>-0.21812322983688201</v>
      </c>
      <c r="J19388" s="28">
        <v>0.82733309834717805</v>
      </c>
      <c r="K19388" s="29">
        <v>0.98975608757875</v>
      </c>
    </row>
    <row r="19389" spans="1:11" x14ac:dyDescent="0.35">
      <c r="A19389" s="9" t="str">
        <f>HYPERLINK("http://www.ensembl.org/id/WBGene00012523", "WBGene00012523")</f>
        <v>WBGene00012523</v>
      </c>
      <c r="B19389" s="9" t="str">
        <f>HYPERLINK("http://www.ncbi.nlm.nih.gov/gene/189567", "189567")</f>
        <v>189567</v>
      </c>
      <c r="C19389" s="9"/>
      <c r="D19389" t="str">
        <f>"srbc-65"</f>
        <v>srbc-65</v>
      </c>
      <c r="E19389" t="s">
        <v>3034</v>
      </c>
      <c r="F19389" t="s">
        <v>11</v>
      </c>
      <c r="G19389" t="s">
        <v>25</v>
      </c>
      <c r="H19389" s="12">
        <v>2.0386070404968901</v>
      </c>
      <c r="I19389" s="20">
        <v>0.212667654382139</v>
      </c>
      <c r="J19389" s="28">
        <v>0.83158619767804198</v>
      </c>
      <c r="K19389" s="29">
        <v>0.98975608757875</v>
      </c>
    </row>
    <row r="19390" spans="1:11" x14ac:dyDescent="0.35">
      <c r="A19390" s="9" t="str">
        <f>HYPERLINK("http://www.ensembl.org/id/WBGene00005176", "WBGene00005176")</f>
        <v>WBGene00005176</v>
      </c>
      <c r="B19390" s="9"/>
      <c r="C19390" s="9"/>
      <c r="D19390" t="str">
        <f>"srg-19"</f>
        <v>srg-19</v>
      </c>
      <c r="F19390" t="s">
        <v>80</v>
      </c>
      <c r="H19390" s="12">
        <v>1.7881661025490201</v>
      </c>
      <c r="I19390" s="20">
        <v>0.212907141321037</v>
      </c>
      <c r="J19390" s="28">
        <v>0.83139939211852398</v>
      </c>
      <c r="K19390" s="29">
        <v>0.98975608757875</v>
      </c>
    </row>
    <row r="19391" spans="1:11" x14ac:dyDescent="0.35">
      <c r="A19391" s="9" t="str">
        <f>HYPERLINK("http://www.ensembl.org/id/WBGene00005227", "WBGene00005227")</f>
        <v>WBGene00005227</v>
      </c>
      <c r="B19391" s="9" t="str">
        <f>HYPERLINK("http://www.ncbi.nlm.nih.gov/gene/3564925", "3564925")</f>
        <v>3564925</v>
      </c>
      <c r="C19391" s="9"/>
      <c r="D19391" t="str">
        <f>"srh-1"</f>
        <v>srh-1</v>
      </c>
      <c r="E19391" t="s">
        <v>153</v>
      </c>
      <c r="F19391" t="s">
        <v>11</v>
      </c>
      <c r="G19391" t="s">
        <v>25</v>
      </c>
      <c r="H19391" s="12">
        <v>2.0386070404968901</v>
      </c>
      <c r="I19391" s="20">
        <v>0.212667654382139</v>
      </c>
      <c r="J19391" s="28">
        <v>0.83158619767804198</v>
      </c>
      <c r="K19391" s="29">
        <v>0.98975608757875</v>
      </c>
    </row>
    <row r="19392" spans="1:11" x14ac:dyDescent="0.35">
      <c r="A19392" s="9" t="str">
        <f>HYPERLINK("http://www.ensembl.org/id/WBGene00005392", "WBGene00005392")</f>
        <v>WBGene00005392</v>
      </c>
      <c r="B19392" s="9" t="str">
        <f>HYPERLINK("http://www.ncbi.nlm.nih.gov/gene/186881", "186881")</f>
        <v>186881</v>
      </c>
      <c r="C19392" s="9"/>
      <c r="D19392" t="str">
        <f>"srh-177"</f>
        <v>srh-177</v>
      </c>
      <c r="E19392" t="s">
        <v>153</v>
      </c>
      <c r="F19392" t="s">
        <v>11</v>
      </c>
      <c r="G19392" t="s">
        <v>25</v>
      </c>
      <c r="H19392" s="12">
        <v>1.7348518663082899</v>
      </c>
      <c r="I19392" s="20">
        <v>0.21739911433754</v>
      </c>
      <c r="J19392" s="28">
        <v>0.82789732135182004</v>
      </c>
      <c r="K19392" s="29">
        <v>0.98975608757875</v>
      </c>
    </row>
    <row r="19393" spans="1:11" x14ac:dyDescent="0.35">
      <c r="A19393" s="9" t="str">
        <f>HYPERLINK("http://www.ensembl.org/id/WBGene00044097", "WBGene00044097")</f>
        <v>WBGene00044097</v>
      </c>
      <c r="B19393" s="9"/>
      <c r="C19393" s="9"/>
      <c r="D19393" t="str">
        <f>"srh-64"</f>
        <v>srh-64</v>
      </c>
      <c r="F19393" t="s">
        <v>80</v>
      </c>
      <c r="H19393" s="12">
        <v>2.0386070404968901</v>
      </c>
      <c r="I19393" s="20">
        <v>0.212667654382139</v>
      </c>
      <c r="J19393" s="28">
        <v>0.83158619767804198</v>
      </c>
      <c r="K19393" s="29">
        <v>0.98975608757875</v>
      </c>
    </row>
    <row r="19394" spans="1:11" x14ac:dyDescent="0.35">
      <c r="A19394" s="9" t="str">
        <f>HYPERLINK("http://www.ensembl.org/id/WBGene00005620", "WBGene00005620")</f>
        <v>WBGene00005620</v>
      </c>
      <c r="B19394" s="9"/>
      <c r="C19394" s="9"/>
      <c r="D19394" t="str">
        <f>"srj-35"</f>
        <v>srj-35</v>
      </c>
      <c r="F19394" t="s">
        <v>80</v>
      </c>
      <c r="H19394" s="12">
        <v>1.30409673242937</v>
      </c>
      <c r="I19394" s="20">
        <v>0.21626843803181001</v>
      </c>
      <c r="J19394" s="28">
        <v>0.82877850969515299</v>
      </c>
      <c r="K19394" s="29">
        <v>0.98975608757875</v>
      </c>
    </row>
    <row r="19395" spans="1:11" x14ac:dyDescent="0.35">
      <c r="A19395" s="9" t="str">
        <f>HYPERLINK("http://www.ensembl.org/id/WBGene00005847", "WBGene00005847")</f>
        <v>WBGene00005847</v>
      </c>
      <c r="B19395" s="9" t="str">
        <f>HYPERLINK("http://www.ncbi.nlm.nih.gov/gene/189964", "189964")</f>
        <v>189964</v>
      </c>
      <c r="C19395" s="9"/>
      <c r="D19395" t="str">
        <f>"srw-100"</f>
        <v>srw-100</v>
      </c>
      <c r="E19395" t="s">
        <v>1014</v>
      </c>
      <c r="F19395" t="s">
        <v>11</v>
      </c>
      <c r="G19395" t="s">
        <v>1015</v>
      </c>
      <c r="H19395" s="12">
        <v>1.7881661025490201</v>
      </c>
      <c r="I19395" s="20">
        <v>0.212907141321037</v>
      </c>
      <c r="J19395" s="28">
        <v>0.83139939211852398</v>
      </c>
      <c r="K19395" s="29">
        <v>0.98975608757875</v>
      </c>
    </row>
    <row r="19396" spans="1:11" x14ac:dyDescent="0.35">
      <c r="A19396" s="9" t="str">
        <f>HYPERLINK("http://www.ensembl.org/id/WBGene00005803", "WBGene00005803")</f>
        <v>WBGene00005803</v>
      </c>
      <c r="B19396" s="9" t="str">
        <f>HYPERLINK("http://www.ncbi.nlm.nih.gov/gene/3565971", "3565971")</f>
        <v>3565971</v>
      </c>
      <c r="C19396" s="9"/>
      <c r="D19396" t="str">
        <f>"srw-56"</f>
        <v>srw-56</v>
      </c>
      <c r="E19396" t="s">
        <v>1014</v>
      </c>
      <c r="F19396" t="s">
        <v>11</v>
      </c>
      <c r="G19396" t="s">
        <v>1015</v>
      </c>
      <c r="H19396" s="12">
        <v>1.7881661025490201</v>
      </c>
      <c r="I19396" s="20">
        <v>0.212907141321037</v>
      </c>
      <c r="J19396" s="28">
        <v>0.83139939211852398</v>
      </c>
      <c r="K19396" s="29">
        <v>0.98975608757875</v>
      </c>
    </row>
    <row r="19397" spans="1:11" x14ac:dyDescent="0.35">
      <c r="A19397" s="9" t="str">
        <f>HYPERLINK("http://www.ensembl.org/id/WBGene00005927", "WBGene00005927")</f>
        <v>WBGene00005927</v>
      </c>
      <c r="B19397" s="9" t="str">
        <f>HYPERLINK("http://www.ncbi.nlm.nih.gov/gene/187946", "187946")</f>
        <v>187946</v>
      </c>
      <c r="C19397" s="9"/>
      <c r="D19397" t="str">
        <f>"srx-36"</f>
        <v>srx-36</v>
      </c>
      <c r="E19397" t="s">
        <v>1477</v>
      </c>
      <c r="F19397" t="s">
        <v>11</v>
      </c>
      <c r="G19397" t="s">
        <v>25</v>
      </c>
      <c r="H19397" s="12">
        <v>2.0386070404968901</v>
      </c>
      <c r="I19397" s="20">
        <v>0.212667654382139</v>
      </c>
      <c r="J19397" s="28">
        <v>0.83158619767804198</v>
      </c>
      <c r="K19397" s="29">
        <v>0.98975608757875</v>
      </c>
    </row>
    <row r="19398" spans="1:11" x14ac:dyDescent="0.35">
      <c r="A19398" s="9" t="str">
        <f>HYPERLINK("http://www.ensembl.org/id/WBGene00011384", "WBGene00011384")</f>
        <v>WBGene00011384</v>
      </c>
      <c r="B19398" s="9" t="str">
        <f>HYPERLINK("http://www.ncbi.nlm.nih.gov/gene/187996", "187996")</f>
        <v>187996</v>
      </c>
      <c r="C19398" s="9"/>
      <c r="D19398" t="str">
        <f>"T02G6.1"</f>
        <v>T02G6.1</v>
      </c>
      <c r="F19398" t="s">
        <v>11</v>
      </c>
      <c r="H19398" s="12">
        <v>1.1978897320500701</v>
      </c>
      <c r="I19398" s="20">
        <v>0.217325581774233</v>
      </c>
      <c r="J19398" s="28">
        <v>0.82795462210672599</v>
      </c>
      <c r="K19398" s="29">
        <v>0.98975608757875</v>
      </c>
    </row>
    <row r="19399" spans="1:11" x14ac:dyDescent="0.35">
      <c r="A19399" s="9" t="str">
        <f>HYPERLINK("http://www.ensembl.org/id/WBGene00195907", "WBGene00195907")</f>
        <v>WBGene00195907</v>
      </c>
      <c r="B19399" s="9"/>
      <c r="C19399" s="9"/>
      <c r="D19399" t="str">
        <f>"T14F9.7"</f>
        <v>T14F9.7</v>
      </c>
      <c r="F19399" t="s">
        <v>481</v>
      </c>
      <c r="H19399" s="12">
        <v>2.0386070404968901</v>
      </c>
      <c r="I19399" s="20">
        <v>0.212667654382139</v>
      </c>
      <c r="J19399" s="28">
        <v>0.83158619767804198</v>
      </c>
      <c r="K19399" s="29">
        <v>0.98975608757875</v>
      </c>
    </row>
    <row r="19400" spans="1:11" x14ac:dyDescent="0.35">
      <c r="A19400" s="9" t="str">
        <f>HYPERLINK("http://www.ensembl.org/id/WBGene00050934", "WBGene00050934")</f>
        <v>WBGene00050934</v>
      </c>
      <c r="B19400" s="9" t="str">
        <f>HYPERLINK("http://www.ncbi.nlm.nih.gov/gene/13217784", "13217784")</f>
        <v>13217784</v>
      </c>
      <c r="C19400" s="9"/>
      <c r="D19400" t="str">
        <f>"T19C9.10"</f>
        <v>T19C9.10</v>
      </c>
      <c r="E19400" t="s">
        <v>4233</v>
      </c>
      <c r="F19400" t="s">
        <v>11</v>
      </c>
      <c r="G19400" t="s">
        <v>4468</v>
      </c>
      <c r="H19400" s="12">
        <v>1.3090369825300201</v>
      </c>
      <c r="I19400" s="20">
        <v>0.218042045078326</v>
      </c>
      <c r="J19400" s="28">
        <v>0.82739635220732599</v>
      </c>
      <c r="K19400" s="29">
        <v>0.98975608757875</v>
      </c>
    </row>
    <row r="19401" spans="1:11" x14ac:dyDescent="0.35">
      <c r="A19401" s="9" t="str">
        <f>HYPERLINK("http://www.ensembl.org/id/WBGene00268202", "WBGene00268202")</f>
        <v>WBGene00268202</v>
      </c>
      <c r="B19401" s="9"/>
      <c r="C19401" s="9"/>
      <c r="D19401" t="str">
        <f>"T27B7.9"</f>
        <v>T27B7.9</v>
      </c>
      <c r="F19401" t="s">
        <v>481</v>
      </c>
      <c r="H19401" s="12">
        <v>1.30467186731492</v>
      </c>
      <c r="I19401" s="20">
        <v>0.215186355263597</v>
      </c>
      <c r="J19401" s="28">
        <v>0.82962202867080703</v>
      </c>
      <c r="K19401" s="29">
        <v>0.98975608757875</v>
      </c>
    </row>
    <row r="19402" spans="1:11" x14ac:dyDescent="0.35">
      <c r="A19402" s="9" t="str">
        <f>HYPERLINK("http://www.ensembl.org/id/WBGene00020873", "WBGene00020873")</f>
        <v>WBGene00020873</v>
      </c>
      <c r="B19402" s="9"/>
      <c r="C19402" s="9"/>
      <c r="D19402" t="str">
        <f>"T28A11.6"</f>
        <v>T28A11.6</v>
      </c>
      <c r="F19402" t="s">
        <v>80</v>
      </c>
      <c r="H19402" s="12">
        <v>2.0386070404968901</v>
      </c>
      <c r="I19402" s="20">
        <v>0.212667654382139</v>
      </c>
      <c r="J19402" s="28">
        <v>0.83158619767804198</v>
      </c>
      <c r="K19402" s="29">
        <v>0.98975608757875</v>
      </c>
    </row>
    <row r="19403" spans="1:11" x14ac:dyDescent="0.35">
      <c r="A19403" s="9" t="str">
        <f>HYPERLINK("http://www.ensembl.org/id/WBGene00022739", "WBGene00022739")</f>
        <v>WBGene00022739</v>
      </c>
      <c r="B19403" s="9" t="str">
        <f>HYPERLINK("http://www.ncbi.nlm.nih.gov/gene/173779", "173779")</f>
        <v>173779</v>
      </c>
      <c r="C19403" s="9" t="str">
        <f>HYPERLINK("http://www.ncbi.nlm.nih.gov/gene/55127", "55127")</f>
        <v>55127</v>
      </c>
      <c r="D19403" t="str">
        <f>"toe-1"</f>
        <v>toe-1</v>
      </c>
      <c r="E19403" t="s">
        <v>10349</v>
      </c>
      <c r="F19403" t="s">
        <v>11</v>
      </c>
      <c r="H19403" s="12">
        <v>-1.0444111356137</v>
      </c>
      <c r="I19403" s="20">
        <v>-0.21305056373272999</v>
      </c>
      <c r="J19403" s="28">
        <v>0.83128752375497095</v>
      </c>
      <c r="K19403" s="29">
        <v>0.98975608757875</v>
      </c>
    </row>
    <row r="19404" spans="1:11" x14ac:dyDescent="0.35">
      <c r="A19404" s="9" t="str">
        <f>HYPERLINK("http://www.ensembl.org/id/WBGene00012283", "WBGene00012283")</f>
        <v>WBGene00012283</v>
      </c>
      <c r="B19404" s="9" t="str">
        <f>HYPERLINK("http://www.ncbi.nlm.nih.gov/gene/189222", "189222")</f>
        <v>189222</v>
      </c>
      <c r="C19404" s="9"/>
      <c r="D19404" t="str">
        <f>"W05H5.1"</f>
        <v>W05H5.1</v>
      </c>
      <c r="F19404" t="s">
        <v>11</v>
      </c>
      <c r="G19404" t="s">
        <v>25</v>
      </c>
      <c r="H19404" s="12">
        <v>-1.4127910843211</v>
      </c>
      <c r="I19404" s="20">
        <v>-0.215706833423426</v>
      </c>
      <c r="J19404" s="28">
        <v>0.82921627431307698</v>
      </c>
      <c r="K19404" s="29">
        <v>0.98975608757875</v>
      </c>
    </row>
    <row r="19405" spans="1:11" x14ac:dyDescent="0.35">
      <c r="A19405" s="9" t="str">
        <f>HYPERLINK("http://www.ensembl.org/id/WBGene00077689", "WBGene00077689")</f>
        <v>WBGene00077689</v>
      </c>
      <c r="B19405" s="9"/>
      <c r="C19405" s="9"/>
      <c r="D19405" t="str">
        <f>"Y105E8A.34"</f>
        <v>Y105E8A.34</v>
      </c>
      <c r="F19405" t="s">
        <v>80</v>
      </c>
      <c r="H19405" s="12">
        <v>1.1992501025665601</v>
      </c>
      <c r="I19405" s="20">
        <v>0.213088121181537</v>
      </c>
      <c r="J19405" s="28">
        <v>0.83125822980222397</v>
      </c>
      <c r="K19405" s="29">
        <v>0.98975608757875</v>
      </c>
    </row>
    <row r="19406" spans="1:11" x14ac:dyDescent="0.35">
      <c r="A19406" s="9" t="str">
        <f>HYPERLINK("http://www.ensembl.org/id/WBGene00013704", "WBGene00013704")</f>
        <v>WBGene00013704</v>
      </c>
      <c r="B19406" s="9" t="str">
        <f>HYPERLINK("http://www.ncbi.nlm.nih.gov/gene/3565292", "3565292")</f>
        <v>3565292</v>
      </c>
      <c r="C19406" s="9"/>
      <c r="D19406" t="str">
        <f>"Y106G6D.8"</f>
        <v>Y106G6D.8</v>
      </c>
      <c r="F19406" t="s">
        <v>11</v>
      </c>
      <c r="G19406" t="s">
        <v>4263</v>
      </c>
      <c r="H19406" s="12">
        <v>1.04371714088907</v>
      </c>
      <c r="I19406" s="20">
        <v>0.214593696281657</v>
      </c>
      <c r="J19406" s="28">
        <v>0.83008410908506702</v>
      </c>
      <c r="K19406" s="29">
        <v>0.98975608757875</v>
      </c>
    </row>
    <row r="19407" spans="1:11" x14ac:dyDescent="0.35">
      <c r="A19407" s="9" t="str">
        <f>HYPERLINK("http://www.ensembl.org/id/WBGene00021517", "WBGene00021517")</f>
        <v>WBGene00021517</v>
      </c>
      <c r="B19407" s="9" t="str">
        <f>HYPERLINK("http://www.ncbi.nlm.nih.gov/gene/189822", "189822")</f>
        <v>189822</v>
      </c>
      <c r="C19407" s="9"/>
      <c r="D19407" t="str">
        <f>"Y41D4B.15"</f>
        <v>Y41D4B.15</v>
      </c>
      <c r="F19407" t="s">
        <v>11</v>
      </c>
      <c r="H19407" s="12">
        <v>1.1930429715855999</v>
      </c>
      <c r="I19407" s="20">
        <v>0.216347061036118</v>
      </c>
      <c r="J19407" s="28">
        <v>0.82871722816725701</v>
      </c>
      <c r="K19407" s="29">
        <v>0.98975608757875</v>
      </c>
    </row>
    <row r="19408" spans="1:11" x14ac:dyDescent="0.35">
      <c r="A19408" s="9" t="str">
        <f>HYPERLINK("http://www.ensembl.org/id/WBGene00045120", "WBGene00045120")</f>
        <v>WBGene00045120</v>
      </c>
      <c r="B19408" s="9"/>
      <c r="C19408" s="9"/>
      <c r="D19408" t="str">
        <f>"Y43F8C.22"</f>
        <v>Y43F8C.22</v>
      </c>
      <c r="F19408" t="s">
        <v>2977</v>
      </c>
      <c r="H19408" s="12">
        <v>1.3090369825300201</v>
      </c>
      <c r="I19408" s="20">
        <v>0.218042045078326</v>
      </c>
      <c r="J19408" s="28">
        <v>0.82739635220732599</v>
      </c>
      <c r="K19408" s="29">
        <v>0.98975608757875</v>
      </c>
    </row>
    <row r="19409" spans="1:11" x14ac:dyDescent="0.35">
      <c r="A19409" s="9" t="str">
        <f>HYPERLINK("http://www.ensembl.org/id/WBGene00271795", "WBGene00271795")</f>
        <v>WBGene00271795</v>
      </c>
      <c r="B19409" s="9" t="str">
        <f>HYPERLINK("http://www.ncbi.nlm.nih.gov/gene/34700653", "34700653")</f>
        <v>34700653</v>
      </c>
      <c r="C19409" s="9"/>
      <c r="D19409" t="str">
        <f>"Y46C8AM.1"</f>
        <v>Y46C8AM.1</v>
      </c>
      <c r="F19409" t="s">
        <v>11</v>
      </c>
      <c r="G19409" t="s">
        <v>47</v>
      </c>
      <c r="H19409" s="12">
        <v>1.08174450233255</v>
      </c>
      <c r="I19409" s="20">
        <v>0.216956234849595</v>
      </c>
      <c r="J19409" s="28">
        <v>0.828242452079197</v>
      </c>
      <c r="K19409" s="29">
        <v>0.98975608757875</v>
      </c>
    </row>
    <row r="19410" spans="1:11" x14ac:dyDescent="0.35">
      <c r="A19410" s="9" t="str">
        <f>HYPERLINK("http://www.ensembl.org/id/WBGene00012917", "WBGene00012917")</f>
        <v>WBGene00012917</v>
      </c>
      <c r="B19410" s="9" t="str">
        <f>HYPERLINK("http://www.ncbi.nlm.nih.gov/gene/174922", "174922")</f>
        <v>174922</v>
      </c>
      <c r="C19410" s="9"/>
      <c r="D19410" t="str">
        <f>"Y46G5A.29"</f>
        <v>Y46G5A.29</v>
      </c>
      <c r="F19410" t="s">
        <v>11</v>
      </c>
      <c r="G19410" t="s">
        <v>325</v>
      </c>
      <c r="H19410" s="12">
        <v>1.1613567133087599</v>
      </c>
      <c r="I19410" s="20">
        <v>0.21636632006568399</v>
      </c>
      <c r="J19410" s="28">
        <v>0.82870221716287396</v>
      </c>
      <c r="K19410" s="29">
        <v>0.98975608757875</v>
      </c>
    </row>
    <row r="19411" spans="1:11" x14ac:dyDescent="0.35">
      <c r="A19411" s="9" t="str">
        <f>HYPERLINK("http://www.ensembl.org/id/WBGene00200033", "WBGene00200033")</f>
        <v>WBGene00200033</v>
      </c>
      <c r="B19411" s="9"/>
      <c r="C19411" s="9"/>
      <c r="D19411" t="str">
        <f>"Y47D3B.20"</f>
        <v>Y47D3B.20</v>
      </c>
      <c r="F19411" t="s">
        <v>481</v>
      </c>
      <c r="H19411" s="12">
        <v>1.7881661025490201</v>
      </c>
      <c r="I19411" s="20">
        <v>0.212907141321037</v>
      </c>
      <c r="J19411" s="28">
        <v>0.83139939211852398</v>
      </c>
      <c r="K19411" s="29">
        <v>0.98975608757875</v>
      </c>
    </row>
    <row r="19412" spans="1:11" x14ac:dyDescent="0.35">
      <c r="A19412" s="9" t="str">
        <f>HYPERLINK("http://www.ensembl.org/id/WBGene00021815", "WBGene00021815")</f>
        <v>WBGene00021815</v>
      </c>
      <c r="B19412" s="9" t="str">
        <f>HYPERLINK("http://www.ncbi.nlm.nih.gov/gene/175431", "175431")</f>
        <v>175431</v>
      </c>
      <c r="C19412" s="9"/>
      <c r="D19412" t="str">
        <f>"Y53G8AR.8"</f>
        <v>Y53G8AR.8</v>
      </c>
      <c r="F19412" t="s">
        <v>11</v>
      </c>
      <c r="G19412" t="s">
        <v>10357</v>
      </c>
      <c r="H19412" s="12">
        <v>-1.0522181314102601</v>
      </c>
      <c r="I19412" s="20">
        <v>-0.213534333119275</v>
      </c>
      <c r="J19412" s="28">
        <v>0.83091021262600995</v>
      </c>
      <c r="K19412" s="29">
        <v>0.98975608757875</v>
      </c>
    </row>
    <row r="19413" spans="1:11" x14ac:dyDescent="0.35">
      <c r="A19413" s="9" t="str">
        <f>HYPERLINK("http://www.ensembl.org/id/WBGene00013189", "WBGene00013189")</f>
        <v>WBGene00013189</v>
      </c>
      <c r="B19413" s="9" t="str">
        <f>HYPERLINK("http://www.ncbi.nlm.nih.gov/gene/190256", "190256")</f>
        <v>190256</v>
      </c>
      <c r="C19413" s="9" t="str">
        <f>HYPERLINK("http://www.ncbi.nlm.nih.gov/gene/10973", "10973")</f>
        <v>10973</v>
      </c>
      <c r="D19413" t="str">
        <f>"Y54E2A.4"</f>
        <v>Y54E2A.4</v>
      </c>
      <c r="F19413" t="s">
        <v>11</v>
      </c>
      <c r="G19413" t="s">
        <v>10347</v>
      </c>
      <c r="H19413" s="12">
        <v>-1.04306718726738</v>
      </c>
      <c r="I19413" s="20">
        <v>-0.21536591983575601</v>
      </c>
      <c r="J19413" s="28">
        <v>0.829482038583508</v>
      </c>
      <c r="K19413" s="29">
        <v>0.98975608757875</v>
      </c>
    </row>
    <row r="19414" spans="1:11" x14ac:dyDescent="0.35">
      <c r="A19414" s="9" t="str">
        <f>HYPERLINK("http://www.ensembl.org/id/WBGene00022517", "WBGene00022517")</f>
        <v>WBGene00022517</v>
      </c>
      <c r="B19414" s="9" t="str">
        <f>HYPERLINK("http://www.ncbi.nlm.nih.gov/gene/171671", "171671")</f>
        <v>171671</v>
      </c>
      <c r="C19414" s="9"/>
      <c r="D19414" t="str">
        <f>"ZC123.1"</f>
        <v>ZC123.1</v>
      </c>
      <c r="F19414" t="s">
        <v>11</v>
      </c>
      <c r="H19414" s="12">
        <v>-1.09587290554451</v>
      </c>
      <c r="I19414" s="20">
        <v>-0.21425432002672201</v>
      </c>
      <c r="J19414" s="28">
        <v>0.83034873817994503</v>
      </c>
      <c r="K19414" s="29">
        <v>0.98975608757875</v>
      </c>
    </row>
    <row r="19415" spans="1:11" x14ac:dyDescent="0.35">
      <c r="A19415" s="9" t="str">
        <f>HYPERLINK("http://www.ensembl.org/id/WBGene00014180", "WBGene00014180")</f>
        <v>WBGene00014180</v>
      </c>
      <c r="B19415" s="9"/>
      <c r="C19415" s="9"/>
      <c r="D19415" t="str">
        <f>"ZK1010.6"</f>
        <v>ZK1010.6</v>
      </c>
      <c r="F19415" t="s">
        <v>80</v>
      </c>
      <c r="H19415" s="12">
        <v>2.0386070404968901</v>
      </c>
      <c r="I19415" s="20">
        <v>0.212667654382139</v>
      </c>
      <c r="J19415" s="28">
        <v>0.83158619767804198</v>
      </c>
      <c r="K19415" s="29">
        <v>0.98975608757875</v>
      </c>
    </row>
    <row r="19416" spans="1:11" x14ac:dyDescent="0.35">
      <c r="A19416" s="9" t="str">
        <f>HYPERLINK("http://www.ensembl.org/id/WBGene00271806", "WBGene00271806")</f>
        <v>WBGene00271806</v>
      </c>
      <c r="B19416" s="9" t="str">
        <f>HYPERLINK("http://www.ncbi.nlm.nih.gov/gene/34700656", "34700656")</f>
        <v>34700656</v>
      </c>
      <c r="C19416" s="9"/>
      <c r="D19416" t="str">
        <f>"ZK938.12"</f>
        <v>ZK938.12</v>
      </c>
      <c r="F19416" t="s">
        <v>11</v>
      </c>
      <c r="H19416" s="12">
        <v>2.0386070404968901</v>
      </c>
      <c r="I19416" s="20">
        <v>0.212667654382139</v>
      </c>
      <c r="J19416" s="28">
        <v>0.83158619767804198</v>
      </c>
      <c r="K19416" s="29">
        <v>0.98975608757875</v>
      </c>
    </row>
    <row r="19417" spans="1:11" x14ac:dyDescent="0.35">
      <c r="A19417" s="9" t="str">
        <f>HYPERLINK("http://www.ensembl.org/id/WBGene00050956", "WBGene00050956")</f>
        <v>WBGene00050956</v>
      </c>
      <c r="B19417" s="9" t="str">
        <f>HYPERLINK("http://www.ncbi.nlm.nih.gov/gene/6418693", "6418693")</f>
        <v>6418693</v>
      </c>
      <c r="C19417" s="9"/>
      <c r="D19417" t="str">
        <f>"C14A6.13"</f>
        <v>C14A6.13</v>
      </c>
      <c r="F19417" t="s">
        <v>11</v>
      </c>
      <c r="G19417" t="s">
        <v>25</v>
      </c>
      <c r="H19417" s="12">
        <v>-1.27512068821965</v>
      </c>
      <c r="I19417" s="20">
        <v>-0.21246269260235101</v>
      </c>
      <c r="J19417" s="28">
        <v>0.83174608034119202</v>
      </c>
      <c r="K19417" s="29">
        <v>0.98981896025770499</v>
      </c>
    </row>
    <row r="19418" spans="1:11" x14ac:dyDescent="0.35">
      <c r="A19418" s="9" t="str">
        <f>HYPERLINK("http://www.ensembl.org/id/WBGene00303011", "WBGene00303011")</f>
        <v>WBGene00303011</v>
      </c>
      <c r="B19418" s="9" t="str">
        <f>HYPERLINK("http://www.ncbi.nlm.nih.gov/gene/179516", "179516")</f>
        <v>179516</v>
      </c>
      <c r="C19418" s="9"/>
      <c r="D19418" t="str">
        <f>"F17C11.26"</f>
        <v>F17C11.26</v>
      </c>
      <c r="F19418" t="s">
        <v>11</v>
      </c>
      <c r="H19418" s="12">
        <v>1.0427162417017</v>
      </c>
      <c r="I19418" s="20">
        <v>0.21250687978646901</v>
      </c>
      <c r="J19418" s="28">
        <v>0.83171161105921099</v>
      </c>
      <c r="K19418" s="29">
        <v>0.98981896025770499</v>
      </c>
    </row>
    <row r="19419" spans="1:11" x14ac:dyDescent="0.35">
      <c r="A19419" s="9" t="str">
        <f>HYPERLINK("http://www.ensembl.org/id/WBGene00023318", "WBGene00023318")</f>
        <v>WBGene00023318</v>
      </c>
      <c r="B19419" s="9"/>
      <c r="C19419" s="9"/>
      <c r="D19419" t="str">
        <f>"K07D4.1"</f>
        <v>K07D4.1</v>
      </c>
      <c r="F19419" t="s">
        <v>80</v>
      </c>
      <c r="H19419" s="12">
        <v>-1.1204314151221899</v>
      </c>
      <c r="I19419" s="20">
        <v>-0.212299659918183</v>
      </c>
      <c r="J19419" s="28">
        <v>0.83187326072979295</v>
      </c>
      <c r="K19419" s="29">
        <v>0.98984518147959499</v>
      </c>
    </row>
    <row r="19420" spans="1:11" x14ac:dyDescent="0.35">
      <c r="A19420" s="9" t="str">
        <f>HYPERLINK("http://www.ensembl.org/id/WBGene00015333", "WBGene00015333")</f>
        <v>WBGene00015333</v>
      </c>
      <c r="B19420" s="9" t="str">
        <f>HYPERLINK("http://www.ncbi.nlm.nih.gov/gene/182107", "182107")</f>
        <v>182107</v>
      </c>
      <c r="C19420" s="9"/>
      <c r="D19420" t="str">
        <f>"slc-17.3"</f>
        <v>slc-17.3</v>
      </c>
      <c r="E19420" t="s">
        <v>10366</v>
      </c>
      <c r="F19420" t="s">
        <v>11</v>
      </c>
      <c r="G19420" t="s">
        <v>10367</v>
      </c>
      <c r="H19420" s="12">
        <v>1.12478723675581</v>
      </c>
      <c r="I19420" s="20">
        <v>0.21235226578035599</v>
      </c>
      <c r="J19420" s="28">
        <v>0.83183222286993996</v>
      </c>
      <c r="K19420" s="29">
        <v>0.98984518147959499</v>
      </c>
    </row>
    <row r="19421" spans="1:11" x14ac:dyDescent="0.35">
      <c r="A19421" s="9" t="str">
        <f>HYPERLINK("http://www.ensembl.org/id/WBGene00013898", "WBGene00013898")</f>
        <v>WBGene00013898</v>
      </c>
      <c r="B19421" s="9" t="str">
        <f>HYPERLINK("http://www.ncbi.nlm.nih.gov/gene/179758", "179758")</f>
        <v>179758</v>
      </c>
      <c r="C19421" s="9"/>
      <c r="D19421" t="str">
        <f>"ZC443.3"</f>
        <v>ZC443.3</v>
      </c>
      <c r="F19421" t="s">
        <v>11</v>
      </c>
      <c r="G19421" t="s">
        <v>803</v>
      </c>
      <c r="H19421" s="12">
        <v>-1.0415459532898199</v>
      </c>
      <c r="I19421" s="20">
        <v>-0.21226970086542499</v>
      </c>
      <c r="J19421" s="28">
        <v>0.83189663200693498</v>
      </c>
      <c r="K19421" s="29">
        <v>0.98984518147959499</v>
      </c>
    </row>
    <row r="19422" spans="1:11" x14ac:dyDescent="0.35">
      <c r="A19422" s="9" t="str">
        <f>HYPERLINK("http://www.ensembl.org/id/WBGene00020809", "WBGene00020809")</f>
        <v>WBGene00020809</v>
      </c>
      <c r="B19422" s="9"/>
      <c r="C19422" s="9"/>
      <c r="D19422" t="str">
        <f>"T25G12.1"</f>
        <v>T25G12.1</v>
      </c>
      <c r="F19422" t="s">
        <v>80</v>
      </c>
      <c r="H19422" s="12">
        <v>1.19574989112742</v>
      </c>
      <c r="I19422" s="20">
        <v>0.21216024696726499</v>
      </c>
      <c r="J19422" s="28">
        <v>0.83198201906022895</v>
      </c>
      <c r="K19422" s="29">
        <v>0.98989580496424601</v>
      </c>
    </row>
    <row r="19423" spans="1:11" x14ac:dyDescent="0.35">
      <c r="A19423" s="9" t="str">
        <f>HYPERLINK("http://www.ensembl.org/id/WBGene00165814", "WBGene00165814")</f>
        <v>WBGene00165814</v>
      </c>
      <c r="B19423" s="9"/>
      <c r="C19423" s="9"/>
      <c r="D19423" t="str">
        <f>"21ur-8602"</f>
        <v>21ur-8602</v>
      </c>
      <c r="F19423" t="s">
        <v>3161</v>
      </c>
      <c r="H19423" s="12">
        <v>1.2371465316588901</v>
      </c>
      <c r="I19423" s="20">
        <v>0.21156953305471199</v>
      </c>
      <c r="J19423" s="28">
        <v>0.832442880343777</v>
      </c>
      <c r="K19423" s="29">
        <v>0.99009719006479402</v>
      </c>
    </row>
    <row r="19424" spans="1:11" x14ac:dyDescent="0.35">
      <c r="A19424" s="9" t="str">
        <f>HYPERLINK("http://www.ensembl.org/id/WBGene00007288", "WBGene00007288")</f>
        <v>WBGene00007288</v>
      </c>
      <c r="B19424" s="9" t="str">
        <f>HYPERLINK("http://www.ncbi.nlm.nih.gov/gene/3565535", "3565535")</f>
        <v>3565535</v>
      </c>
      <c r="C19424" s="9"/>
      <c r="D19424" t="str">
        <f>"C04A11.5"</f>
        <v>C04A11.5</v>
      </c>
      <c r="F19424" t="s">
        <v>11</v>
      </c>
      <c r="H19424" s="12">
        <v>-1.07203970299998</v>
      </c>
      <c r="I19424" s="20">
        <v>-0.21157545086808599</v>
      </c>
      <c r="J19424" s="28">
        <v>0.832438263117251</v>
      </c>
      <c r="K19424" s="29">
        <v>0.99009719006479402</v>
      </c>
    </row>
    <row r="19425" spans="1:11" x14ac:dyDescent="0.35">
      <c r="A19425" s="9" t="str">
        <f>HYPERLINK("http://www.ensembl.org/id/WBGene00013917", "WBGene00013917")</f>
        <v>WBGene00013917</v>
      </c>
      <c r="B19425" s="9" t="str">
        <f>HYPERLINK("http://www.ncbi.nlm.nih.gov/gene/181247", "181247")</f>
        <v>181247</v>
      </c>
      <c r="C19425" s="9"/>
      <c r="D19425" t="str">
        <f>"cdk-11.2"</f>
        <v>cdk-11.2</v>
      </c>
      <c r="E19425" t="s">
        <v>10368</v>
      </c>
      <c r="F19425" t="s">
        <v>11</v>
      </c>
      <c r="G19425" t="s">
        <v>10369</v>
      </c>
      <c r="H19425" s="12">
        <v>1.04992589921531</v>
      </c>
      <c r="I19425" s="20">
        <v>0.211331669495987</v>
      </c>
      <c r="J19425" s="28">
        <v>0.83262847224677805</v>
      </c>
      <c r="K19425" s="29">
        <v>0.99009719006479402</v>
      </c>
    </row>
    <row r="19426" spans="1:11" x14ac:dyDescent="0.35">
      <c r="A19426" s="9" t="str">
        <f>HYPERLINK("http://www.ensembl.org/id/WBGene00008720", "WBGene00008720")</f>
        <v>WBGene00008720</v>
      </c>
      <c r="B19426" s="9" t="str">
        <f>HYPERLINK("http://www.ncbi.nlm.nih.gov/gene/178081", "178081")</f>
        <v>178081</v>
      </c>
      <c r="C19426" s="9"/>
      <c r="D19426" t="str">
        <f>"F12F6.1"</f>
        <v>F12F6.1</v>
      </c>
      <c r="F19426" t="s">
        <v>11</v>
      </c>
      <c r="H19426" s="12">
        <v>-1.0396522097888901</v>
      </c>
      <c r="I19426" s="20">
        <v>-0.21144059208390201</v>
      </c>
      <c r="J19426" s="28">
        <v>0.83254348476044504</v>
      </c>
      <c r="K19426" s="29">
        <v>0.99009719006479402</v>
      </c>
    </row>
    <row r="19427" spans="1:11" x14ac:dyDescent="0.35">
      <c r="A19427" s="9" t="str">
        <f>HYPERLINK("http://www.ensembl.org/id/WBGene00197183", "WBGene00197183")</f>
        <v>WBGene00197183</v>
      </c>
      <c r="B19427" s="9"/>
      <c r="C19427" s="9"/>
      <c r="D19427" t="str">
        <f>"F55C10.9"</f>
        <v>F55C10.9</v>
      </c>
      <c r="F19427" t="s">
        <v>481</v>
      </c>
      <c r="H19427" s="12">
        <v>1.2676076309127999</v>
      </c>
      <c r="I19427" s="20">
        <v>0.21128603762527901</v>
      </c>
      <c r="J19427" s="28">
        <v>0.83266407736233305</v>
      </c>
      <c r="K19427" s="29">
        <v>0.99009719006479402</v>
      </c>
    </row>
    <row r="19428" spans="1:11" x14ac:dyDescent="0.35">
      <c r="A19428" s="9" t="str">
        <f>HYPERLINK("http://www.ensembl.org/id/WBGene00044695", "WBGene00044695")</f>
        <v>WBGene00044695</v>
      </c>
      <c r="B19428" s="9"/>
      <c r="C19428" s="9"/>
      <c r="D19428" t="str">
        <f>"fbxb-27"</f>
        <v>fbxb-27</v>
      </c>
      <c r="F19428" t="s">
        <v>80</v>
      </c>
      <c r="H19428" s="12">
        <v>1.26379098575614</v>
      </c>
      <c r="I19428" s="20">
        <v>0.211636602541766</v>
      </c>
      <c r="J19428" s="28">
        <v>0.83239055138514495</v>
      </c>
      <c r="K19428" s="29">
        <v>0.99009719006479402</v>
      </c>
    </row>
    <row r="19429" spans="1:11" x14ac:dyDescent="0.35">
      <c r="A19429" s="9" t="str">
        <f>HYPERLINK("http://www.ensembl.org/id/WBGene00219763", "WBGene00219763")</f>
        <v>WBGene00219763</v>
      </c>
      <c r="B19429" s="9"/>
      <c r="C19429" s="9"/>
      <c r="D19429" t="str">
        <f>"linc-94"</f>
        <v>linc-94</v>
      </c>
      <c r="F19429" t="s">
        <v>1510</v>
      </c>
      <c r="H19429" s="12">
        <v>-1.4051281201210599</v>
      </c>
      <c r="I19429" s="20">
        <v>-0.21127354817600899</v>
      </c>
      <c r="J19429" s="28">
        <v>0.83267382254718203</v>
      </c>
      <c r="K19429" s="29">
        <v>0.99009719006479402</v>
      </c>
    </row>
    <row r="19430" spans="1:11" x14ac:dyDescent="0.35">
      <c r="A19430" s="9" t="str">
        <f>HYPERLINK("http://www.ensembl.org/id/WBGene00003065", "WBGene00003065")</f>
        <v>WBGene00003065</v>
      </c>
      <c r="B19430" s="9" t="str">
        <f>HYPERLINK("http://www.ncbi.nlm.nih.gov/gene/179477", "179477")</f>
        <v>179477</v>
      </c>
      <c r="C19430" s="9"/>
      <c r="D19430" t="str">
        <f>"lpd-9"</f>
        <v>lpd-9</v>
      </c>
      <c r="E19430" t="s">
        <v>6589</v>
      </c>
      <c r="F19430" t="s">
        <v>11</v>
      </c>
      <c r="G19430" t="s">
        <v>10372</v>
      </c>
      <c r="H19430" s="12">
        <v>-1.0417784905154299</v>
      </c>
      <c r="I19430" s="20">
        <v>-0.21142068062112401</v>
      </c>
      <c r="J19430" s="28">
        <v>0.83255902064957599</v>
      </c>
      <c r="K19430" s="29">
        <v>0.99009719006479402</v>
      </c>
    </row>
    <row r="19431" spans="1:11" x14ac:dyDescent="0.35">
      <c r="A19431" s="9" t="str">
        <f>HYPERLINK("http://www.ensembl.org/id/WBGene00003253", "WBGene00003253")</f>
        <v>WBGene00003253</v>
      </c>
      <c r="B19431" s="9" t="str">
        <f>HYPERLINK("http://www.ncbi.nlm.nih.gov/gene/176231", "176231")</f>
        <v>176231</v>
      </c>
      <c r="C19431" s="9" t="str">
        <f>HYPERLINK("http://www.ncbi.nlm.nih.gov/gene/79586", "79586")</f>
        <v>79586</v>
      </c>
      <c r="D19431" t="str">
        <f>"mig-22"</f>
        <v>mig-22</v>
      </c>
      <c r="E19431" t="s">
        <v>10370</v>
      </c>
      <c r="F19431" t="s">
        <v>11</v>
      </c>
      <c r="G19431" t="s">
        <v>10371</v>
      </c>
      <c r="H19431" s="12">
        <v>-1.0398168885924699</v>
      </c>
      <c r="I19431" s="20">
        <v>-0.211855750631782</v>
      </c>
      <c r="J19431" s="28">
        <v>0.83221957283084202</v>
      </c>
      <c r="K19431" s="29">
        <v>0.99009719006479402</v>
      </c>
    </row>
    <row r="19432" spans="1:11" x14ac:dyDescent="0.35">
      <c r="A19432" s="9" t="str">
        <f>HYPERLINK("http://www.ensembl.org/id/WBGene00003705", "WBGene00003705")</f>
        <v>WBGene00003705</v>
      </c>
      <c r="B19432" s="9" t="str">
        <f>HYPERLINK("http://www.ncbi.nlm.nih.gov/gene/178708", "178708")</f>
        <v>178708</v>
      </c>
      <c r="C19432" s="9"/>
      <c r="D19432" t="str">
        <f>"nhr-115"</f>
        <v>nhr-115</v>
      </c>
      <c r="E19432" t="s">
        <v>10373</v>
      </c>
      <c r="F19432" t="s">
        <v>11</v>
      </c>
      <c r="G19432" t="s">
        <v>4906</v>
      </c>
      <c r="H19432" s="12">
        <v>-1.0918609948076099</v>
      </c>
      <c r="I19432" s="20">
        <v>-0.21157100636555401</v>
      </c>
      <c r="J19432" s="28">
        <v>0.83244173082913897</v>
      </c>
      <c r="K19432" s="29">
        <v>0.99009719006479402</v>
      </c>
    </row>
    <row r="19433" spans="1:11" x14ac:dyDescent="0.35">
      <c r="A19433" s="9" t="str">
        <f>HYPERLINK("http://www.ensembl.org/id/WBGene00019826", "WBGene00019826")</f>
        <v>WBGene00019826</v>
      </c>
      <c r="B19433" s="9" t="str">
        <f>HYPERLINK("http://www.ncbi.nlm.nih.gov/gene/187524", "187524")</f>
        <v>187524</v>
      </c>
      <c r="C19433" s="9"/>
      <c r="D19433" t="str">
        <f>"R02E4.1"</f>
        <v>R02E4.1</v>
      </c>
      <c r="F19433" t="s">
        <v>11</v>
      </c>
      <c r="H19433" s="12">
        <v>-1.0742528812388501</v>
      </c>
      <c r="I19433" s="20">
        <v>-0.211546598047407</v>
      </c>
      <c r="J19433" s="28">
        <v>0.83246077486674097</v>
      </c>
      <c r="K19433" s="29">
        <v>0.99009719006479402</v>
      </c>
    </row>
    <row r="19434" spans="1:11" x14ac:dyDescent="0.35">
      <c r="A19434" s="9" t="str">
        <f>HYPERLINK("http://www.ensembl.org/id/WBGene00013007", "WBGene00013007")</f>
        <v>WBGene00013007</v>
      </c>
      <c r="B19434" s="9" t="str">
        <f>HYPERLINK("http://www.ncbi.nlm.nih.gov/gene/175002", "175002")</f>
        <v>175002</v>
      </c>
      <c r="C19434" s="9"/>
      <c r="D19434" t="str">
        <f>"Y48E1B.8"</f>
        <v>Y48E1B.8</v>
      </c>
      <c r="F19434" t="s">
        <v>11</v>
      </c>
      <c r="G19434" t="s">
        <v>25</v>
      </c>
      <c r="H19434" s="12">
        <v>-1.2447054271150599</v>
      </c>
      <c r="I19434" s="20">
        <v>-0.21176493428601501</v>
      </c>
      <c r="J19434" s="28">
        <v>0.83229042645556195</v>
      </c>
      <c r="K19434" s="29">
        <v>0.99009719006479402</v>
      </c>
    </row>
    <row r="19435" spans="1:11" x14ac:dyDescent="0.35">
      <c r="A19435" s="9" t="str">
        <f>HYPERLINK("http://www.ensembl.org/id/WBGene00220248", "WBGene00220248")</f>
        <v>WBGene00220248</v>
      </c>
      <c r="B19435" s="9"/>
      <c r="C19435" s="9"/>
      <c r="D19435" t="str">
        <f>"ZK930.15"</f>
        <v>ZK930.15</v>
      </c>
      <c r="F19435" t="s">
        <v>2977</v>
      </c>
      <c r="H19435" s="12">
        <v>-1.15496090331264</v>
      </c>
      <c r="I19435" s="20">
        <v>-0.21122932242206299</v>
      </c>
      <c r="J19435" s="28">
        <v>0.83270833093262098</v>
      </c>
      <c r="K19435" s="29">
        <v>0.99009719006479402</v>
      </c>
    </row>
    <row r="19436" spans="1:11" x14ac:dyDescent="0.35">
      <c r="A19436" s="9" t="str">
        <f>HYPERLINK("http://www.ensembl.org/id/WBGene00017990", "WBGene00017990")</f>
        <v>WBGene00017990</v>
      </c>
      <c r="B19436" s="9" t="str">
        <f>HYPERLINK("http://www.ncbi.nlm.nih.gov/gene/177536", "177536")</f>
        <v>177536</v>
      </c>
      <c r="C19436" s="9"/>
      <c r="D19436" t="str">
        <f>"cec-4"</f>
        <v>cec-4</v>
      </c>
      <c r="E19436" t="s">
        <v>10374</v>
      </c>
      <c r="F19436" t="s">
        <v>11</v>
      </c>
      <c r="G19436" t="s">
        <v>10375</v>
      </c>
      <c r="H19436" s="12">
        <v>1.05020021890684</v>
      </c>
      <c r="I19436" s="20">
        <v>0.21112199284642499</v>
      </c>
      <c r="J19436" s="28">
        <v>0.83279207918592202</v>
      </c>
      <c r="K19436" s="29">
        <v>0.99014581566686799</v>
      </c>
    </row>
    <row r="19437" spans="1:11" x14ac:dyDescent="0.35">
      <c r="A19437" s="9" t="str">
        <f>HYPERLINK("http://www.ensembl.org/id/WBGene00219544", "WBGene00219544")</f>
        <v>WBGene00219544</v>
      </c>
      <c r="B19437" s="9" t="str">
        <f>HYPERLINK("http://www.ncbi.nlm.nih.gov/gene/24104219", "24104219")</f>
        <v>24104219</v>
      </c>
      <c r="C19437" s="9"/>
      <c r="D19437" t="str">
        <f>"C17G1.14"</f>
        <v>C17G1.14</v>
      </c>
      <c r="F19437" t="s">
        <v>11</v>
      </c>
      <c r="H19437" s="12">
        <v>1.1670289836688399</v>
      </c>
      <c r="I19437" s="20">
        <v>0.21093710904115501</v>
      </c>
      <c r="J19437" s="28">
        <v>0.83293634672101502</v>
      </c>
      <c r="K19437" s="29">
        <v>0.99021601845964802</v>
      </c>
    </row>
    <row r="19438" spans="1:11" x14ac:dyDescent="0.35">
      <c r="A19438" s="9" t="str">
        <f>HYPERLINK("http://www.ensembl.org/id/WBGene00016440", "WBGene00016440")</f>
        <v>WBGene00016440</v>
      </c>
      <c r="B19438" s="9" t="str">
        <f>HYPERLINK("http://www.ncbi.nlm.nih.gov/gene/175649", "175649")</f>
        <v>175649</v>
      </c>
      <c r="C19438" s="9" t="str">
        <f>HYPERLINK("http://www.ncbi.nlm.nih.gov/gene/10755", "10755")</f>
        <v>10755</v>
      </c>
      <c r="D19438" t="str">
        <f>"gipc-1"</f>
        <v>gipc-1</v>
      </c>
      <c r="E19438" t="s">
        <v>9759</v>
      </c>
      <c r="F19438" t="s">
        <v>11</v>
      </c>
      <c r="G19438" t="s">
        <v>54</v>
      </c>
      <c r="H19438" s="12">
        <v>-1.0781391628613199</v>
      </c>
      <c r="I19438" s="20">
        <v>-0.21093648190547401</v>
      </c>
      <c r="J19438" s="28">
        <v>0.83293683609373004</v>
      </c>
      <c r="K19438" s="29">
        <v>0.99021601845964802</v>
      </c>
    </row>
    <row r="19439" spans="1:11" x14ac:dyDescent="0.35">
      <c r="A19439" s="9" t="str">
        <f>HYPERLINK("http://www.ensembl.org/id/WBGene00011348", "WBGene00011348")</f>
        <v>WBGene00011348</v>
      </c>
      <c r="B19439" s="9" t="str">
        <f>HYPERLINK("http://www.ncbi.nlm.nih.gov/gene/174271", "174271")</f>
        <v>174271</v>
      </c>
      <c r="C19439" s="9"/>
      <c r="D19439" t="str">
        <f>"T01H3.2"</f>
        <v>T01H3.2</v>
      </c>
      <c r="F19439" t="s">
        <v>11</v>
      </c>
      <c r="G19439" t="s">
        <v>10376</v>
      </c>
      <c r="H19439" s="12">
        <v>-1.0457411991518599</v>
      </c>
      <c r="I19439" s="20">
        <v>-0.21086413872863599</v>
      </c>
      <c r="J19439" s="28">
        <v>0.832993288071041</v>
      </c>
      <c r="K19439" s="29">
        <v>0.99023199314321797</v>
      </c>
    </row>
    <row r="19440" spans="1:11" x14ac:dyDescent="0.35">
      <c r="A19440" s="9" t="str">
        <f>HYPERLINK("http://www.ensembl.org/id/WBGene00020705", "WBGene00020705")</f>
        <v>WBGene00020705</v>
      </c>
      <c r="B19440" s="9" t="str">
        <f>HYPERLINK("http://www.ncbi.nlm.nih.gov/gene/24104925", "24104925")</f>
        <v>24104925</v>
      </c>
      <c r="C19440" s="9"/>
      <c r="D19440" t="str">
        <f>"T22H9.1"</f>
        <v>T22H9.1</v>
      </c>
      <c r="F19440" t="s">
        <v>11</v>
      </c>
      <c r="G19440" t="s">
        <v>10377</v>
      </c>
      <c r="H19440" s="12">
        <v>-1.04753285661691</v>
      </c>
      <c r="I19440" s="20">
        <v>-0.21080942263337299</v>
      </c>
      <c r="J19440" s="28">
        <v>0.83303598557594905</v>
      </c>
      <c r="K19440" s="29">
        <v>0.99023199314321797</v>
      </c>
    </row>
    <row r="19441" spans="1:11" x14ac:dyDescent="0.35">
      <c r="A19441" s="9" t="str">
        <f>HYPERLINK("http://www.ensembl.org/id/WBGene00016384", "WBGene00016384")</f>
        <v>WBGene00016384</v>
      </c>
      <c r="B19441" s="9" t="str">
        <f>HYPERLINK("http://www.ncbi.nlm.nih.gov/gene/3565046", "3565046")</f>
        <v>3565046</v>
      </c>
      <c r="C19441" s="9" t="str">
        <f>HYPERLINK("http://www.ncbi.nlm.nih.gov/gene/1040", "1040")</f>
        <v>1040</v>
      </c>
      <c r="D19441" t="str">
        <f>"cdgs-1"</f>
        <v>cdgs-1</v>
      </c>
      <c r="E19441" t="s">
        <v>10382</v>
      </c>
      <c r="F19441" t="s">
        <v>11</v>
      </c>
      <c r="G19441" t="s">
        <v>10383</v>
      </c>
      <c r="H19441" s="12">
        <v>-1.0396769517565201</v>
      </c>
      <c r="I19441" s="20">
        <v>-0.21027229591019</v>
      </c>
      <c r="J19441" s="28">
        <v>0.83345515657937796</v>
      </c>
      <c r="K19441" s="29">
        <v>0.99026176285140299</v>
      </c>
    </row>
    <row r="19442" spans="1:11" x14ac:dyDescent="0.35">
      <c r="A19442" s="9" t="str">
        <f>HYPERLINK("http://www.ensembl.org/id/WBGene00044032", "WBGene00044032")</f>
        <v>WBGene00044032</v>
      </c>
      <c r="B19442" s="9" t="str">
        <f>HYPERLINK("http://www.ncbi.nlm.nih.gov/gene/188680", "188680")</f>
        <v>188680</v>
      </c>
      <c r="C19442" s="9"/>
      <c r="D19442" t="str">
        <f>"ceh-99"</f>
        <v>ceh-99</v>
      </c>
      <c r="E19442" t="s">
        <v>349</v>
      </c>
      <c r="F19442" t="s">
        <v>11</v>
      </c>
      <c r="G19442" t="s">
        <v>6309</v>
      </c>
      <c r="H19442" s="12">
        <v>1.0752563880114501</v>
      </c>
      <c r="I19442" s="20">
        <v>0.21061227884414399</v>
      </c>
      <c r="J19442" s="28">
        <v>0.833189830094338</v>
      </c>
      <c r="K19442" s="29">
        <v>0.99026176285140299</v>
      </c>
    </row>
    <row r="19443" spans="1:11" x14ac:dyDescent="0.35">
      <c r="A19443" s="9" t="str">
        <f>HYPERLINK("http://www.ensembl.org/id/WBGene00000552", "WBGene00000552")</f>
        <v>WBGene00000552</v>
      </c>
      <c r="B19443" s="9" t="str">
        <f>HYPERLINK("http://www.ncbi.nlm.nih.gov/gene/178614", "178614")</f>
        <v>178614</v>
      </c>
      <c r="C19443" s="9"/>
      <c r="D19443" t="str">
        <f>"cmd-1"</f>
        <v>cmd-1</v>
      </c>
      <c r="E19443" t="s">
        <v>10380</v>
      </c>
      <c r="F19443" t="s">
        <v>11</v>
      </c>
      <c r="G19443" t="s">
        <v>10381</v>
      </c>
      <c r="H19443" s="12">
        <v>-1.03801743923426</v>
      </c>
      <c r="I19443" s="20">
        <v>-0.21031176134399801</v>
      </c>
      <c r="J19443" s="28">
        <v>0.83342435633962997</v>
      </c>
      <c r="K19443" s="29">
        <v>0.99026176285140299</v>
      </c>
    </row>
    <row r="19444" spans="1:11" x14ac:dyDescent="0.35">
      <c r="A19444" s="9" t="str">
        <f>HYPERLINK("http://www.ensembl.org/id/WBGene00018620", "WBGene00018620")</f>
        <v>WBGene00018620</v>
      </c>
      <c r="B19444" s="9" t="str">
        <f>HYPERLINK("http://www.ncbi.nlm.nih.gov/gene/185997", "185997")</f>
        <v>185997</v>
      </c>
      <c r="C19444" s="9"/>
      <c r="D19444" t="str">
        <f>"F48G7.9"</f>
        <v>F48G7.9</v>
      </c>
      <c r="F19444" t="s">
        <v>11</v>
      </c>
      <c r="G19444" t="s">
        <v>236</v>
      </c>
      <c r="H19444" s="12">
        <v>-1.44356419740222</v>
      </c>
      <c r="I19444" s="20">
        <v>-0.210546096813817</v>
      </c>
      <c r="J19444" s="28">
        <v>0.83324147780295399</v>
      </c>
      <c r="K19444" s="29">
        <v>0.99026176285140299</v>
      </c>
    </row>
    <row r="19445" spans="1:11" x14ac:dyDescent="0.35">
      <c r="A19445" s="9" t="str">
        <f>HYPERLINK("http://www.ensembl.org/id/WBGene00044736", "WBGene00044736")</f>
        <v>WBGene00044736</v>
      </c>
      <c r="B19445" s="9" t="str">
        <f>HYPERLINK("http://www.ncbi.nlm.nih.gov/gene/4363077", "4363077")</f>
        <v>4363077</v>
      </c>
      <c r="C19445" s="9" t="str">
        <f>HYPERLINK("http://www.ncbi.nlm.nih.gov/gene/2644", "2644")</f>
        <v>2644</v>
      </c>
      <c r="D19445" t="str">
        <f>"gfrp-1"</f>
        <v>gfrp-1</v>
      </c>
      <c r="E19445" t="s">
        <v>10378</v>
      </c>
      <c r="F19445" t="s">
        <v>11</v>
      </c>
      <c r="G19445" t="s">
        <v>10379</v>
      </c>
      <c r="H19445" s="12">
        <v>1.07909487217134</v>
      </c>
      <c r="I19445" s="20">
        <v>0.21014290326570401</v>
      </c>
      <c r="J19445" s="28">
        <v>0.83355614103158504</v>
      </c>
      <c r="K19445" s="29">
        <v>0.99026176285140299</v>
      </c>
    </row>
    <row r="19446" spans="1:11" x14ac:dyDescent="0.35">
      <c r="A19446" s="9" t="str">
        <f>HYPERLINK("http://www.ensembl.org/id/WBGene00002997", "WBGene00002997")</f>
        <v>WBGene00002997</v>
      </c>
      <c r="B19446" s="9" t="str">
        <f>HYPERLINK("http://www.ncbi.nlm.nih.gov/gene/173652", "173652")</f>
        <v>173652</v>
      </c>
      <c r="C19446" s="9"/>
      <c r="D19446" t="str">
        <f>"lin-8"</f>
        <v>lin-8</v>
      </c>
      <c r="F19446" t="s">
        <v>11</v>
      </c>
      <c r="H19446" s="12">
        <v>1.04627597030889</v>
      </c>
      <c r="I19446" s="20">
        <v>0.210433101028528</v>
      </c>
      <c r="J19446" s="28">
        <v>0.83332966010015896</v>
      </c>
      <c r="K19446" s="29">
        <v>0.99026176285140299</v>
      </c>
    </row>
    <row r="19447" spans="1:11" x14ac:dyDescent="0.35">
      <c r="A19447" s="9" t="str">
        <f>HYPERLINK("http://www.ensembl.org/id/WBGene00044768", "WBGene00044768")</f>
        <v>WBGene00044768</v>
      </c>
      <c r="B19447" s="9"/>
      <c r="C19447" s="9"/>
      <c r="D19447" t="str">
        <f>"M117.7"</f>
        <v>M117.7</v>
      </c>
      <c r="F19447" t="s">
        <v>80</v>
      </c>
      <c r="H19447" s="12">
        <v>1.1878339218745999</v>
      </c>
      <c r="I19447" s="20">
        <v>0.21014749253235401</v>
      </c>
      <c r="J19447" s="28">
        <v>0.83355255929276895</v>
      </c>
      <c r="K19447" s="29">
        <v>0.99026176285140299</v>
      </c>
    </row>
    <row r="19448" spans="1:11" x14ac:dyDescent="0.35">
      <c r="A19448" s="9" t="str">
        <f>HYPERLINK("http://www.ensembl.org/id/WBGene00016684", "WBGene00016684")</f>
        <v>WBGene00016684</v>
      </c>
      <c r="B19448" s="9" t="str">
        <f>HYPERLINK("http://www.ncbi.nlm.nih.gov/gene/259506", "259506")</f>
        <v>259506</v>
      </c>
      <c r="C19448" s="9"/>
      <c r="D19448" t="str">
        <f>"nlp-43"</f>
        <v>nlp-43</v>
      </c>
      <c r="E19448" t="s">
        <v>76</v>
      </c>
      <c r="F19448" t="s">
        <v>11</v>
      </c>
      <c r="G19448" t="s">
        <v>77</v>
      </c>
      <c r="H19448" s="12">
        <v>-1.04161643275912</v>
      </c>
      <c r="I19448" s="20">
        <v>-0.21071387266477801</v>
      </c>
      <c r="J19448" s="28">
        <v>0.83311054882553504</v>
      </c>
      <c r="K19448" s="29">
        <v>0.99026176285140299</v>
      </c>
    </row>
    <row r="19449" spans="1:11" x14ac:dyDescent="0.35">
      <c r="A19449" s="9" t="str">
        <f>HYPERLINK("http://www.ensembl.org/id/WBGene00020356", "WBGene00020356")</f>
        <v>WBGene00020356</v>
      </c>
      <c r="B19449" s="9" t="str">
        <f>HYPERLINK("http://www.ncbi.nlm.nih.gov/gene/3564899", "3564899")</f>
        <v>3564899</v>
      </c>
      <c r="C19449" s="9"/>
      <c r="D19449" t="str">
        <f>"T08B6.9"</f>
        <v>T08B6.9</v>
      </c>
      <c r="F19449" t="s">
        <v>11</v>
      </c>
      <c r="H19449" s="12">
        <v>1.26428811806514</v>
      </c>
      <c r="I19449" s="20">
        <v>0.210259042546389</v>
      </c>
      <c r="J19449" s="28">
        <v>0.83346550003707698</v>
      </c>
      <c r="K19449" s="29">
        <v>0.99026176285140299</v>
      </c>
    </row>
    <row r="19450" spans="1:11" x14ac:dyDescent="0.35">
      <c r="A19450" s="9" t="str">
        <f>HYPERLINK("http://www.ensembl.org/id/WBGene00044788", "WBGene00044788")</f>
        <v>WBGene00044788</v>
      </c>
      <c r="B19450" s="9" t="str">
        <f>HYPERLINK("http://www.ncbi.nlm.nih.gov/gene/4363115", "4363115")</f>
        <v>4363115</v>
      </c>
      <c r="C19450" s="9"/>
      <c r="D19450" t="str">
        <f>"ttr-38"</f>
        <v>ttr-38</v>
      </c>
      <c r="E19450" t="s">
        <v>16</v>
      </c>
      <c r="F19450" t="s">
        <v>11</v>
      </c>
      <c r="G19450" t="s">
        <v>17</v>
      </c>
      <c r="H19450" s="12">
        <v>-1.05111703953867</v>
      </c>
      <c r="I19450" s="20">
        <v>-0.21040971158236199</v>
      </c>
      <c r="J19450" s="28">
        <v>0.83334791356589399</v>
      </c>
      <c r="K19450" s="29">
        <v>0.99026176285140299</v>
      </c>
    </row>
    <row r="19451" spans="1:11" x14ac:dyDescent="0.35">
      <c r="A19451" s="9" t="str">
        <f>HYPERLINK("http://www.ensembl.org/id/WBGene00044517", "WBGene00044517")</f>
        <v>WBGene00044517</v>
      </c>
      <c r="B19451" s="9"/>
      <c r="C19451" s="9"/>
      <c r="D19451" t="str">
        <f>"Y32G9A.13"</f>
        <v>Y32G9A.13</v>
      </c>
      <c r="F19451" t="s">
        <v>80</v>
      </c>
      <c r="H19451" s="12">
        <v>1.20227061272141</v>
      </c>
      <c r="I19451" s="20">
        <v>0.210118332541538</v>
      </c>
      <c r="J19451" s="28">
        <v>0.83357531755646996</v>
      </c>
      <c r="K19451" s="29">
        <v>0.99026176285140299</v>
      </c>
    </row>
    <row r="19452" spans="1:11" x14ac:dyDescent="0.35">
      <c r="A19452" s="9" t="str">
        <f>HYPERLINK("http://www.ensembl.org/id/WBGene00014235", "WBGene00014235")</f>
        <v>WBGene00014235</v>
      </c>
      <c r="B19452" s="9" t="str">
        <f>HYPERLINK("http://www.ncbi.nlm.nih.gov/gene/191533", "191533")</f>
        <v>191533</v>
      </c>
      <c r="C19452" s="9"/>
      <c r="D19452" t="str">
        <f>"ZK1225.1"</f>
        <v>ZK1225.1</v>
      </c>
      <c r="F19452" t="s">
        <v>11</v>
      </c>
      <c r="H19452" s="12">
        <v>1.47529622528541</v>
      </c>
      <c r="I19452" s="20">
        <v>0.21057849271989701</v>
      </c>
      <c r="J19452" s="28">
        <v>0.83321619631398602</v>
      </c>
      <c r="K19452" s="29">
        <v>0.99026176285140299</v>
      </c>
    </row>
    <row r="19453" spans="1:11" x14ac:dyDescent="0.35">
      <c r="A19453" s="9" t="str">
        <f>HYPERLINK("http://www.ensembl.org/id/WBGene00011345", "WBGene00011345")</f>
        <v>WBGene00011345</v>
      </c>
      <c r="B19453" s="9" t="str">
        <f>HYPERLINK("http://www.ncbi.nlm.nih.gov/gene/187968", "187968")</f>
        <v>187968</v>
      </c>
      <c r="C19453" s="9"/>
      <c r="D19453" t="str">
        <f>"dma-1"</f>
        <v>dma-1</v>
      </c>
      <c r="F19453" t="s">
        <v>11</v>
      </c>
      <c r="G19453" t="s">
        <v>10384</v>
      </c>
      <c r="H19453" s="12">
        <v>1.0518572772260599</v>
      </c>
      <c r="I19453" s="20">
        <v>0.209998142489557</v>
      </c>
      <c r="J19453" s="28">
        <v>0.83366912279212402</v>
      </c>
      <c r="K19453" s="29">
        <v>0.99032228426480995</v>
      </c>
    </row>
    <row r="19454" spans="1:11" x14ac:dyDescent="0.35">
      <c r="A19454" s="9" t="str">
        <f>HYPERLINK("http://www.ensembl.org/id/WBGene00007894", "WBGene00007894")</f>
        <v>WBGene00007894</v>
      </c>
      <c r="B19454" s="9" t="str">
        <f>HYPERLINK("http://www.ncbi.nlm.nih.gov/gene/183156", "183156")</f>
        <v>183156</v>
      </c>
      <c r="C19454" s="9"/>
      <c r="D19454" t="str">
        <f>"C33D3.3"</f>
        <v>C33D3.3</v>
      </c>
      <c r="F19454" t="s">
        <v>11</v>
      </c>
      <c r="H19454" s="12">
        <v>1.35753008062348</v>
      </c>
      <c r="I19454" s="20">
        <v>0.20954760661873101</v>
      </c>
      <c r="J19454" s="28">
        <v>0.83402077548064601</v>
      </c>
      <c r="K19454" s="29">
        <v>0.99053631653846397</v>
      </c>
    </row>
    <row r="19455" spans="1:11" x14ac:dyDescent="0.35">
      <c r="A19455" s="9" t="str">
        <f>HYPERLINK("http://www.ensembl.org/id/WBGene00010682", "WBGene00010682")</f>
        <v>WBGene00010682</v>
      </c>
      <c r="B19455" s="9" t="str">
        <f>HYPERLINK("http://www.ncbi.nlm.nih.gov/gene/187165", "187165")</f>
        <v>187165</v>
      </c>
      <c r="C19455" s="9"/>
      <c r="D19455" t="str">
        <f>"K08F8.5"</f>
        <v>K08F8.5</v>
      </c>
      <c r="F19455" t="s">
        <v>11</v>
      </c>
      <c r="H19455" s="12">
        <v>1.1238550876215601</v>
      </c>
      <c r="I19455" s="20">
        <v>0.209575914879363</v>
      </c>
      <c r="J19455" s="28">
        <v>0.83399867931178695</v>
      </c>
      <c r="K19455" s="29">
        <v>0.99053631653846397</v>
      </c>
    </row>
    <row r="19456" spans="1:11" x14ac:dyDescent="0.35">
      <c r="A19456" s="9" t="str">
        <f>HYPERLINK("http://www.ensembl.org/id/WBGene00021096", "WBGene00021096")</f>
        <v>WBGene00021096</v>
      </c>
      <c r="B19456" s="9" t="str">
        <f>HYPERLINK("http://www.ncbi.nlm.nih.gov/gene/189300", "189300")</f>
        <v>189300</v>
      </c>
      <c r="C19456" s="9"/>
      <c r="D19456" t="str">
        <f>"W08F4.7"</f>
        <v>W08F4.7</v>
      </c>
      <c r="F19456" t="s">
        <v>11</v>
      </c>
      <c r="H19456" s="12">
        <v>1.2110101303755401</v>
      </c>
      <c r="I19456" s="20">
        <v>0.20965265345442399</v>
      </c>
      <c r="J19456" s="28">
        <v>0.83393878125346299</v>
      </c>
      <c r="K19456" s="29">
        <v>0.99053631653846397</v>
      </c>
    </row>
    <row r="19457" spans="1:11" x14ac:dyDescent="0.35">
      <c r="A19457" s="9" t="str">
        <f>HYPERLINK("http://www.ensembl.org/id/WBGene00014060", "WBGene00014060")</f>
        <v>WBGene00014060</v>
      </c>
      <c r="B19457" s="9" t="str">
        <f>HYPERLINK("http://www.ncbi.nlm.nih.gov/gene/191389", "191389")</f>
        <v>191389</v>
      </c>
      <c r="C19457" s="9"/>
      <c r="D19457" t="str">
        <f>"ZK673.4"</f>
        <v>ZK673.4</v>
      </c>
      <c r="F19457" t="s">
        <v>11</v>
      </c>
      <c r="G19457" t="s">
        <v>2818</v>
      </c>
      <c r="H19457" s="12">
        <v>1.0804923220684099</v>
      </c>
      <c r="I19457" s="20">
        <v>0.20958423751685001</v>
      </c>
      <c r="J19457" s="28">
        <v>0.83399218305616096</v>
      </c>
      <c r="K19457" s="29">
        <v>0.99053631653846397</v>
      </c>
    </row>
    <row r="19458" spans="1:11" x14ac:dyDescent="0.35">
      <c r="A19458" s="9" t="str">
        <f>HYPERLINK("http://www.ensembl.org/id/WBGene00002044", "WBGene00002044")</f>
        <v>WBGene00002044</v>
      </c>
      <c r="B19458" s="9" t="str">
        <f>HYPERLINK("http://www.ncbi.nlm.nih.gov/gene/180743", "180743")</f>
        <v>180743</v>
      </c>
      <c r="C19458" s="9" t="str">
        <f>HYPERLINK("http://www.ncbi.nlm.nih.gov/gene/91012", "91012")</f>
        <v>91012</v>
      </c>
      <c r="D19458" t="str">
        <f>"hyl-2"</f>
        <v>hyl-2</v>
      </c>
      <c r="E19458" t="s">
        <v>10385</v>
      </c>
      <c r="F19458" t="s">
        <v>11</v>
      </c>
      <c r="G19458" t="s">
        <v>1268</v>
      </c>
      <c r="H19458" s="12">
        <v>-1.04203157045173</v>
      </c>
      <c r="I19458" s="20">
        <v>-0.20944867470519299</v>
      </c>
      <c r="J19458" s="28">
        <v>0.83409799836039999</v>
      </c>
      <c r="K19458" s="29">
        <v>0.99057711503471402</v>
      </c>
    </row>
    <row r="19459" spans="1:11" x14ac:dyDescent="0.35">
      <c r="A19459" s="9" t="str">
        <f>HYPERLINK("http://www.ensembl.org/id/WBGene00001104", "WBGene00001104")</f>
        <v>WBGene00001104</v>
      </c>
      <c r="B19459" s="9" t="str">
        <f>HYPERLINK("http://www.ncbi.nlm.nih.gov/gene/176938", "176938")</f>
        <v>176938</v>
      </c>
      <c r="C19459" s="9"/>
      <c r="D19459" t="str">
        <f>"dsl-2"</f>
        <v>dsl-2</v>
      </c>
      <c r="E19459" t="s">
        <v>3247</v>
      </c>
      <c r="F19459" t="s">
        <v>11</v>
      </c>
      <c r="G19459" t="s">
        <v>3248</v>
      </c>
      <c r="H19459" s="12">
        <v>-1.2108410230034601</v>
      </c>
      <c r="I19459" s="20">
        <v>-0.20929059893212701</v>
      </c>
      <c r="J19459" s="28">
        <v>0.83422139024179998</v>
      </c>
      <c r="K19459" s="29">
        <v>0.99062182356496198</v>
      </c>
    </row>
    <row r="19460" spans="1:11" x14ac:dyDescent="0.35">
      <c r="A19460" s="9" t="str">
        <f>HYPERLINK("http://www.ensembl.org/id/WBGene00197023", "WBGene00197023")</f>
        <v>WBGene00197023</v>
      </c>
      <c r="B19460" s="9"/>
      <c r="C19460" s="9"/>
      <c r="D19460" t="str">
        <f>"Y67D8A.7"</f>
        <v>Y67D8A.7</v>
      </c>
      <c r="F19460" t="s">
        <v>481</v>
      </c>
      <c r="H19460" s="12">
        <v>1.2649693154024499</v>
      </c>
      <c r="I19460" s="20">
        <v>0.20933745319121</v>
      </c>
      <c r="J19460" s="28">
        <v>0.83418481599402705</v>
      </c>
      <c r="K19460" s="29">
        <v>0.99062182356496198</v>
      </c>
    </row>
    <row r="19461" spans="1:11" x14ac:dyDescent="0.35">
      <c r="A19461" s="9" t="str">
        <f>HYPERLINK("http://www.ensembl.org/id/WBGene00019832", "WBGene00019832")</f>
        <v>WBGene00019832</v>
      </c>
      <c r="B19461" s="9" t="str">
        <f>HYPERLINK("http://www.ncbi.nlm.nih.gov/gene/175756", "175756")</f>
        <v>175756</v>
      </c>
      <c r="C19461" s="9"/>
      <c r="D19461" t="str">
        <f>"osg-1"</f>
        <v>osg-1</v>
      </c>
      <c r="E19461" t="s">
        <v>10386</v>
      </c>
      <c r="F19461" t="s">
        <v>11</v>
      </c>
      <c r="G19461" t="s">
        <v>10387</v>
      </c>
      <c r="H19461" s="12">
        <v>-1.05222338976245</v>
      </c>
      <c r="I19461" s="20">
        <v>-0.20921003713807501</v>
      </c>
      <c r="J19461" s="28">
        <v>0.83428427729538901</v>
      </c>
      <c r="K19461" s="29">
        <v>0.99064558873463404</v>
      </c>
    </row>
    <row r="19462" spans="1:11" x14ac:dyDescent="0.35">
      <c r="A19462" s="9" t="str">
        <f>HYPERLINK("http://www.ensembl.org/id/WBGene00000113", "WBGene00000113")</f>
        <v>WBGene00000113</v>
      </c>
      <c r="B19462" s="9" t="str">
        <f>HYPERLINK("http://www.ncbi.nlm.nih.gov/gene/174991", "174991")</f>
        <v>174991</v>
      </c>
      <c r="C19462" s="9" t="str">
        <f>HYPERLINK("http://www.ncbi.nlm.nih.gov/gene/7915", "7915")</f>
        <v>7915</v>
      </c>
      <c r="D19462" t="str">
        <f>"alh-7"</f>
        <v>alh-7</v>
      </c>
      <c r="E19462" t="s">
        <v>428</v>
      </c>
      <c r="F19462" t="s">
        <v>11</v>
      </c>
      <c r="G19462" t="s">
        <v>10388</v>
      </c>
      <c r="H19462" s="12">
        <v>-1.0431807220342899</v>
      </c>
      <c r="I19462" s="20">
        <v>-0.209067256356889</v>
      </c>
      <c r="J19462" s="28">
        <v>0.83439573549342205</v>
      </c>
      <c r="K19462" s="29">
        <v>0.99067611450136195</v>
      </c>
    </row>
    <row r="19463" spans="1:11" x14ac:dyDescent="0.35">
      <c r="A19463" s="9" t="str">
        <f>HYPERLINK("http://www.ensembl.org/id/WBGene00022845", "WBGene00022845")</f>
        <v>WBGene00022845</v>
      </c>
      <c r="B19463" s="9" t="str">
        <f>HYPERLINK("http://www.ncbi.nlm.nih.gov/gene/191513", "191513")</f>
        <v>191513</v>
      </c>
      <c r="C19463" s="9"/>
      <c r="D19463" t="str">
        <f>"ZK1055.4"</f>
        <v>ZK1055.4</v>
      </c>
      <c r="F19463" t="s">
        <v>11</v>
      </c>
      <c r="G19463" t="s">
        <v>25</v>
      </c>
      <c r="H19463" s="12">
        <v>1.18572167513743</v>
      </c>
      <c r="I19463" s="20">
        <v>0.20911881058159301</v>
      </c>
      <c r="J19463" s="28">
        <v>0.83435549061065495</v>
      </c>
      <c r="K19463" s="29">
        <v>0.99067611450136195</v>
      </c>
    </row>
    <row r="19464" spans="1:11" x14ac:dyDescent="0.35">
      <c r="A19464" s="9" t="str">
        <f>HYPERLINK("http://www.ensembl.org/id/WBGene00011179", "WBGene00011179")</f>
        <v>WBGene00011179</v>
      </c>
      <c r="B19464" s="9" t="str">
        <f>HYPERLINK("http://www.ncbi.nlm.nih.gov/gene/187755", "187755")</f>
        <v>187755</v>
      </c>
      <c r="C19464" s="9"/>
      <c r="D19464" t="str">
        <f>"R09H10.1"</f>
        <v>R09H10.1</v>
      </c>
      <c r="F19464" t="s">
        <v>11</v>
      </c>
      <c r="H19464" s="12">
        <v>1.17724041894981</v>
      </c>
      <c r="I19464" s="20">
        <v>0.20893848858715799</v>
      </c>
      <c r="J19464" s="28">
        <v>0.834496257642665</v>
      </c>
      <c r="K19464" s="29">
        <v>0.99074455498363001</v>
      </c>
    </row>
    <row r="19465" spans="1:11" x14ac:dyDescent="0.35">
      <c r="A19465" s="9" t="str">
        <f>HYPERLINK("http://www.ensembl.org/id/WBGene00016861", "WBGene00016861")</f>
        <v>WBGene00016861</v>
      </c>
      <c r="B19465" s="9"/>
      <c r="C19465" s="9"/>
      <c r="D19465" t="str">
        <f>"C50H11.17"</f>
        <v>C50H11.17</v>
      </c>
      <c r="F19465" t="s">
        <v>80</v>
      </c>
      <c r="H19465" s="12">
        <v>1.33454195757326</v>
      </c>
      <c r="I19465" s="20">
        <v>0.208486233340649</v>
      </c>
      <c r="J19465" s="28">
        <v>0.83484933067976796</v>
      </c>
      <c r="K19465" s="29">
        <v>0.99084438836026401</v>
      </c>
    </row>
    <row r="19466" spans="1:11" x14ac:dyDescent="0.35">
      <c r="A19466" s="9" t="str">
        <f>HYPERLINK("http://www.ensembl.org/id/WBGene00016962", "WBGene00016962")</f>
        <v>WBGene00016962</v>
      </c>
      <c r="B19466" s="9" t="str">
        <f>HYPERLINK("http://www.ncbi.nlm.nih.gov/gene/174088", "174088")</f>
        <v>174088</v>
      </c>
      <c r="C19466" s="9"/>
      <c r="D19466" t="str">
        <f>"C56C10.4"</f>
        <v>C56C10.4</v>
      </c>
      <c r="F19466" t="s">
        <v>11</v>
      </c>
      <c r="H19466" s="12">
        <v>-1.1665353331878101</v>
      </c>
      <c r="I19466" s="20">
        <v>-0.208529955595188</v>
      </c>
      <c r="J19466" s="28">
        <v>0.83481519551546401</v>
      </c>
      <c r="K19466" s="29">
        <v>0.99084438836026401</v>
      </c>
    </row>
    <row r="19467" spans="1:11" x14ac:dyDescent="0.35">
      <c r="A19467" s="9" t="str">
        <f>HYPERLINK("http://www.ensembl.org/id/WBGene00022170", "WBGene00022170")</f>
        <v>WBGene00022170</v>
      </c>
      <c r="B19467" s="9" t="str">
        <f>HYPERLINK("http://www.ncbi.nlm.nih.gov/gene/3565081", "3565081")</f>
        <v>3565081</v>
      </c>
      <c r="C19467" s="9"/>
      <c r="D19467" t="str">
        <f>"cox-6B"</f>
        <v>cox-6B</v>
      </c>
      <c r="E19467" t="s">
        <v>2659</v>
      </c>
      <c r="F19467" t="s">
        <v>11</v>
      </c>
      <c r="G19467" t="s">
        <v>10390</v>
      </c>
      <c r="H19467" s="12">
        <v>1.0398538462857101</v>
      </c>
      <c r="I19467" s="20">
        <v>0.208378045858718</v>
      </c>
      <c r="J19467" s="28">
        <v>0.83493379695410297</v>
      </c>
      <c r="K19467" s="29">
        <v>0.99084438836026401</v>
      </c>
    </row>
    <row r="19468" spans="1:11" x14ac:dyDescent="0.35">
      <c r="A19468" s="9" t="str">
        <f>HYPERLINK("http://www.ensembl.org/id/WBGene00000889", "WBGene00000889")</f>
        <v>WBGene00000889</v>
      </c>
      <c r="B19468" s="9" t="str">
        <f>HYPERLINK("http://www.ncbi.nlm.nih.gov/gene/178487", "178487")</f>
        <v>178487</v>
      </c>
      <c r="C19468" s="9" t="str">
        <f>HYPERLINK("http://www.ncbi.nlm.nih.gov/gene/10450", "10450")</f>
        <v>10450</v>
      </c>
      <c r="D19468" t="str">
        <f>"cyn-13"</f>
        <v>cyn-13</v>
      </c>
      <c r="E19468" t="s">
        <v>8860</v>
      </c>
      <c r="F19468" t="s">
        <v>11</v>
      </c>
      <c r="G19468" t="s">
        <v>10391</v>
      </c>
      <c r="H19468" s="12">
        <v>-1.0407849101690201</v>
      </c>
      <c r="I19468" s="20">
        <v>-0.20837983402392399</v>
      </c>
      <c r="J19468" s="28">
        <v>0.83493240084685705</v>
      </c>
      <c r="K19468" s="29">
        <v>0.99084438836026401</v>
      </c>
    </row>
    <row r="19469" spans="1:11" x14ac:dyDescent="0.35">
      <c r="A19469" s="9" t="str">
        <f>HYPERLINK("http://www.ensembl.org/id/WBGene00018087", "WBGene00018087")</f>
        <v>WBGene00018087</v>
      </c>
      <c r="B19469" s="9" t="str">
        <f>HYPERLINK("http://www.ncbi.nlm.nih.gov/gene/179323", "179323")</f>
        <v>179323</v>
      </c>
      <c r="C19469" s="9"/>
      <c r="D19469" t="str">
        <f>"F36D4.1"</f>
        <v>F36D4.1</v>
      </c>
      <c r="F19469" t="s">
        <v>11</v>
      </c>
      <c r="H19469" s="12">
        <v>1.33454195757326</v>
      </c>
      <c r="I19469" s="20">
        <v>0.208486233340649</v>
      </c>
      <c r="J19469" s="28">
        <v>0.83484933067976796</v>
      </c>
      <c r="K19469" s="29">
        <v>0.99084438836026401</v>
      </c>
    </row>
    <row r="19470" spans="1:11" x14ac:dyDescent="0.35">
      <c r="A19470" s="9" t="str">
        <f>HYPERLINK("http://www.ensembl.org/id/WBGene00014761", "WBGene00014761")</f>
        <v>WBGene00014761</v>
      </c>
      <c r="B19470" s="9" t="str">
        <f>HYPERLINK("http://www.ncbi.nlm.nih.gov/gene/13182072", "13182072")</f>
        <v>13182072</v>
      </c>
      <c r="C19470" s="9"/>
      <c r="D19470" t="str">
        <f>"F46A8.11"</f>
        <v>F46A8.11</v>
      </c>
      <c r="F19470" t="s">
        <v>11</v>
      </c>
      <c r="H19470" s="12">
        <v>-1.06308154076033</v>
      </c>
      <c r="I19470" s="20">
        <v>-0.208521712998752</v>
      </c>
      <c r="J19470" s="28">
        <v>0.83482163071295901</v>
      </c>
      <c r="K19470" s="29">
        <v>0.99084438836026401</v>
      </c>
    </row>
    <row r="19471" spans="1:11" x14ac:dyDescent="0.35">
      <c r="A19471" s="9" t="str">
        <f>HYPERLINK("http://www.ensembl.org/id/WBGene00219673", "WBGene00219673")</f>
        <v>WBGene00219673</v>
      </c>
      <c r="B19471" s="9"/>
      <c r="C19471" s="9"/>
      <c r="D19471" t="str">
        <f>"linc-96"</f>
        <v>linc-96</v>
      </c>
      <c r="F19471" t="s">
        <v>1510</v>
      </c>
      <c r="H19471" s="12">
        <v>1.3713568881279701</v>
      </c>
      <c r="I19471" s="20">
        <v>0.208336428839696</v>
      </c>
      <c r="J19471" s="28">
        <v>0.83496628952491503</v>
      </c>
      <c r="K19471" s="29">
        <v>0.99084438836026401</v>
      </c>
    </row>
    <row r="19472" spans="1:11" x14ac:dyDescent="0.35">
      <c r="A19472" s="9" t="str">
        <f>HYPERLINK("http://www.ensembl.org/id/WBGene00010876", "WBGene00010876")</f>
        <v>WBGene00010876</v>
      </c>
      <c r="B19472" s="9" t="str">
        <f>HYPERLINK("http://www.ncbi.nlm.nih.gov/gene/174355", "174355")</f>
        <v>174355</v>
      </c>
      <c r="C19472" s="9"/>
      <c r="D19472" t="str">
        <f>"M05D6.3"</f>
        <v>M05D6.3</v>
      </c>
      <c r="F19472" t="s">
        <v>11</v>
      </c>
      <c r="G19472" t="s">
        <v>4312</v>
      </c>
      <c r="H19472" s="12">
        <v>1.33454195757326</v>
      </c>
      <c r="I19472" s="20">
        <v>0.208486233340649</v>
      </c>
      <c r="J19472" s="28">
        <v>0.83484933067976796</v>
      </c>
      <c r="K19472" s="29">
        <v>0.99084438836026401</v>
      </c>
    </row>
    <row r="19473" spans="1:11" x14ac:dyDescent="0.35">
      <c r="A19473" s="9" t="str">
        <f>HYPERLINK("http://www.ensembl.org/id/WBGene00004077", "WBGene00004077")</f>
        <v>WBGene00004077</v>
      </c>
      <c r="B19473" s="9" t="str">
        <f>HYPERLINK("http://www.ncbi.nlm.nih.gov/gene/171849", "171849")</f>
        <v>171849</v>
      </c>
      <c r="C19473" s="9"/>
      <c r="D19473" t="str">
        <f>"pop-1"</f>
        <v>pop-1</v>
      </c>
      <c r="F19473" t="s">
        <v>11</v>
      </c>
      <c r="G19473" t="s">
        <v>10389</v>
      </c>
      <c r="H19473" s="12">
        <v>1.04484876246119</v>
      </c>
      <c r="I19473" s="20">
        <v>0.20839134571903301</v>
      </c>
      <c r="J19473" s="28">
        <v>0.83492341312098095</v>
      </c>
      <c r="K19473" s="29">
        <v>0.99084438836026401</v>
      </c>
    </row>
    <row r="19474" spans="1:11" x14ac:dyDescent="0.35">
      <c r="A19474" s="9" t="str">
        <f>HYPERLINK("http://www.ensembl.org/id/WBGene00219776", "WBGene00219776")</f>
        <v>WBGene00219776</v>
      </c>
      <c r="B19474" s="9"/>
      <c r="C19474" s="9"/>
      <c r="D19474" t="str">
        <f>"AH9.9"</f>
        <v>AH9.9</v>
      </c>
      <c r="F19474" t="s">
        <v>481</v>
      </c>
      <c r="H19474" s="12">
        <v>-1.275126116527</v>
      </c>
      <c r="I19474" s="20">
        <v>-0.20820965676745201</v>
      </c>
      <c r="J19474" s="28">
        <v>0.83506526880971998</v>
      </c>
      <c r="K19474" s="29">
        <v>0.99087523534250499</v>
      </c>
    </row>
    <row r="19475" spans="1:11" x14ac:dyDescent="0.35">
      <c r="A19475" s="9" t="str">
        <f>HYPERLINK("http://www.ensembl.org/id/WBGene00206412", "WBGene00206412")</f>
        <v>WBGene00206412</v>
      </c>
      <c r="B19475" s="9" t="str">
        <f>HYPERLINK("http://www.ncbi.nlm.nih.gov/gene/13185313", "13185313")</f>
        <v>13185313</v>
      </c>
      <c r="C19475" s="9"/>
      <c r="D19475" t="str">
        <f>"T24H7.8"</f>
        <v>T24H7.8</v>
      </c>
      <c r="F19475" t="s">
        <v>11</v>
      </c>
      <c r="H19475" s="12">
        <v>-1.1726873027995599</v>
      </c>
      <c r="I19475" s="20">
        <v>-0.20819328502614301</v>
      </c>
      <c r="J19475" s="28">
        <v>0.83507805149418302</v>
      </c>
      <c r="K19475" s="29">
        <v>0.99087523534250499</v>
      </c>
    </row>
    <row r="19476" spans="1:11" x14ac:dyDescent="0.35">
      <c r="A19476" s="9" t="str">
        <f>HYPERLINK("http://www.ensembl.org/id/WBGene00018041", "WBGene00018041")</f>
        <v>WBGene00018041</v>
      </c>
      <c r="B19476" s="9" t="str">
        <f>HYPERLINK("http://www.ncbi.nlm.nih.gov/gene/174229", "174229")</f>
        <v>174229</v>
      </c>
      <c r="C19476" s="9"/>
      <c r="D19476" t="str">
        <f>"F35D2.3"</f>
        <v>F35D2.3</v>
      </c>
      <c r="F19476" t="s">
        <v>11</v>
      </c>
      <c r="G19476" t="s">
        <v>25</v>
      </c>
      <c r="H19476" s="12">
        <v>1.05514441568758</v>
      </c>
      <c r="I19476" s="20">
        <v>0.20803711202651701</v>
      </c>
      <c r="J19476" s="28">
        <v>0.83519999002149004</v>
      </c>
      <c r="K19476" s="29">
        <v>0.99096903406781101</v>
      </c>
    </row>
    <row r="19477" spans="1:11" x14ac:dyDescent="0.35">
      <c r="A19477" s="9" t="str">
        <f>HYPERLINK("http://www.ensembl.org/id/WBGene00016343", "WBGene00016343")</f>
        <v>WBGene00016343</v>
      </c>
      <c r="B19477" s="9" t="str">
        <f>HYPERLINK("http://www.ncbi.nlm.nih.gov/gene/180591", "180591")</f>
        <v>180591</v>
      </c>
      <c r="C19477" s="9"/>
      <c r="D19477" t="str">
        <f>"cnnm-3"</f>
        <v>cnnm-3</v>
      </c>
      <c r="E19477" t="s">
        <v>10392</v>
      </c>
      <c r="F19477" t="s">
        <v>11</v>
      </c>
      <c r="H19477" s="12">
        <v>1.04820950509834</v>
      </c>
      <c r="I19477" s="20">
        <v>0.20775133554852299</v>
      </c>
      <c r="J19477" s="28">
        <v>0.83542313207942298</v>
      </c>
      <c r="K19477" s="29">
        <v>0.99105736362179397</v>
      </c>
    </row>
    <row r="19478" spans="1:11" x14ac:dyDescent="0.35">
      <c r="A19478" s="9" t="str">
        <f>HYPERLINK("http://www.ensembl.org/id/WBGene00018508", "WBGene00018508")</f>
        <v>WBGene00018508</v>
      </c>
      <c r="B19478" s="9" t="str">
        <f>HYPERLINK("http://www.ncbi.nlm.nih.gov/gene/172221", "172221")</f>
        <v>172221</v>
      </c>
      <c r="C19478" s="9" t="str">
        <f>HYPERLINK("http://www.ncbi.nlm.nih.gov/gene/23262", "23262")</f>
        <v>23262</v>
      </c>
      <c r="D19478" t="str">
        <f>"F46F11.1"</f>
        <v>F46F11.1</v>
      </c>
      <c r="E19478" t="s">
        <v>10393</v>
      </c>
      <c r="F19478" t="s">
        <v>11</v>
      </c>
      <c r="G19478" t="s">
        <v>10394</v>
      </c>
      <c r="H19478" s="12">
        <v>1.0394847436583701</v>
      </c>
      <c r="I19478" s="20">
        <v>0.20776794902807999</v>
      </c>
      <c r="J19478" s="28">
        <v>0.83541015945919495</v>
      </c>
      <c r="K19478" s="29">
        <v>0.99105736362179397</v>
      </c>
    </row>
    <row r="19479" spans="1:11" x14ac:dyDescent="0.35">
      <c r="A19479" s="9" t="str">
        <f>HYPERLINK("http://www.ensembl.org/id/WBGene00016139", "WBGene00016139")</f>
        <v>WBGene00016139</v>
      </c>
      <c r="B19479" s="9" t="str">
        <f>HYPERLINK("http://www.ncbi.nlm.nih.gov/gene/175669", "175669")</f>
        <v>175669</v>
      </c>
      <c r="C19479" s="9" t="str">
        <f>HYPERLINK("http://www.ncbi.nlm.nih.gov/gene/9125", "9125")</f>
        <v>9125</v>
      </c>
      <c r="D19479" t="str">
        <f>"ntl-9"</f>
        <v>ntl-9</v>
      </c>
      <c r="E19479" t="s">
        <v>6145</v>
      </c>
      <c r="F19479" t="s">
        <v>11</v>
      </c>
      <c r="G19479" t="s">
        <v>10395</v>
      </c>
      <c r="H19479" s="12">
        <v>-1.04363947920902</v>
      </c>
      <c r="I19479" s="20">
        <v>-0.207749565814797</v>
      </c>
      <c r="J19479" s="28">
        <v>0.835424513977014</v>
      </c>
      <c r="K19479" s="29">
        <v>0.99105736362179397</v>
      </c>
    </row>
    <row r="19480" spans="1:11" x14ac:dyDescent="0.35">
      <c r="A19480" s="9" t="str">
        <f>HYPERLINK("http://www.ensembl.org/id/WBGene00004781", "WBGene00004781")</f>
        <v>WBGene00004781</v>
      </c>
      <c r="B19480" s="9" t="str">
        <f>HYPERLINK("http://www.ncbi.nlm.nih.gov/gene/175918", "175918")</f>
        <v>175918</v>
      </c>
      <c r="C19480" s="9" t="str">
        <f>HYPERLINK("http://www.ncbi.nlm.nih.gov/gene/387893", "387893")</f>
        <v>387893</v>
      </c>
      <c r="D19480" t="str">
        <f>"set-1"</f>
        <v>set-1</v>
      </c>
      <c r="E19480" t="s">
        <v>10396</v>
      </c>
      <c r="F19480" t="s">
        <v>11</v>
      </c>
      <c r="G19480" t="s">
        <v>10397</v>
      </c>
      <c r="H19480" s="12">
        <v>-1.04950701247787</v>
      </c>
      <c r="I19480" s="20">
        <v>-0.20772204680416201</v>
      </c>
      <c r="J19480" s="28">
        <v>0.83544600227756005</v>
      </c>
      <c r="K19480" s="29">
        <v>0.99105736362179397</v>
      </c>
    </row>
    <row r="19481" spans="1:11" x14ac:dyDescent="0.35">
      <c r="A19481" s="9" t="str">
        <f>HYPERLINK("http://www.ensembl.org/id/WBGene00006829", "WBGene00006829")</f>
        <v>WBGene00006829</v>
      </c>
      <c r="B19481" s="9" t="str">
        <f>HYPERLINK("http://www.ncbi.nlm.nih.gov/gene/173121", "173121")</f>
        <v>173121</v>
      </c>
      <c r="C19481" s="9" t="str">
        <f>HYPERLINK("http://www.ncbi.nlm.nih.gov/gene/8907", "8907")</f>
        <v>8907</v>
      </c>
      <c r="D19481" t="str">
        <f>"unc-101"</f>
        <v>unc-101</v>
      </c>
      <c r="E19481" t="s">
        <v>10398</v>
      </c>
      <c r="F19481" t="s">
        <v>11</v>
      </c>
      <c r="G19481" t="s">
        <v>10399</v>
      </c>
      <c r="H19481" s="12">
        <v>-1.04679299093395</v>
      </c>
      <c r="I19481" s="20">
        <v>-0.207638871109569</v>
      </c>
      <c r="J19481" s="28">
        <v>0.83551095101041795</v>
      </c>
      <c r="K19481" s="29">
        <v>0.99108352759621698</v>
      </c>
    </row>
    <row r="19482" spans="1:11" x14ac:dyDescent="0.35">
      <c r="A19482" s="9" t="str">
        <f>HYPERLINK("http://www.ensembl.org/id/WBGene00045383", "WBGene00045383")</f>
        <v>WBGene00045383</v>
      </c>
      <c r="B19482" s="9" t="str">
        <f>HYPERLINK("http://www.ncbi.nlm.nih.gov/gene/172881", "172881")</f>
        <v>172881</v>
      </c>
      <c r="C19482" s="9"/>
      <c r="D19482" t="str">
        <f>"sup-46"</f>
        <v>sup-46</v>
      </c>
      <c r="E19482" t="s">
        <v>5317</v>
      </c>
      <c r="F19482" t="s">
        <v>11</v>
      </c>
      <c r="G19482" t="s">
        <v>10400</v>
      </c>
      <c r="H19482" s="12">
        <v>-1.0445010608687499</v>
      </c>
      <c r="I19482" s="20">
        <v>-0.207466282677706</v>
      </c>
      <c r="J19482" s="28">
        <v>0.835645722323339</v>
      </c>
      <c r="K19482" s="29">
        <v>0.99119250821370997</v>
      </c>
    </row>
    <row r="19483" spans="1:11" x14ac:dyDescent="0.35">
      <c r="A19483" s="9" t="str">
        <f>HYPERLINK("http://www.ensembl.org/id/WBGene00004030", "WBGene00004030")</f>
        <v>WBGene00004030</v>
      </c>
      <c r="B19483" s="9" t="str">
        <f>HYPERLINK("http://www.ncbi.nlm.nih.gov/gene/178234", "178234")</f>
        <v>178234</v>
      </c>
      <c r="C19483" s="9"/>
      <c r="D19483" t="str">
        <f>"pin-2"</f>
        <v>pin-2</v>
      </c>
      <c r="E19483" t="s">
        <v>10401</v>
      </c>
      <c r="F19483" t="s">
        <v>11</v>
      </c>
      <c r="H19483" s="12">
        <v>-1.0501069574884001</v>
      </c>
      <c r="I19483" s="20">
        <v>-0.207362544398279</v>
      </c>
      <c r="J19483" s="28">
        <v>0.83572673206872194</v>
      </c>
      <c r="K19483" s="29">
        <v>0.99123771219033396</v>
      </c>
    </row>
    <row r="19484" spans="1:11" x14ac:dyDescent="0.35">
      <c r="A19484" s="9" t="str">
        <f>HYPERLINK("http://www.ensembl.org/id/WBGene00016751", "WBGene00016751")</f>
        <v>WBGene00016751</v>
      </c>
      <c r="B19484" s="9" t="str">
        <f>HYPERLINK("http://www.ncbi.nlm.nih.gov/gene/172317", "172317")</f>
        <v>172317</v>
      </c>
      <c r="C19484" s="9"/>
      <c r="D19484" t="str">
        <f>"C48E7.6"</f>
        <v>C48E7.6</v>
      </c>
      <c r="F19484" t="s">
        <v>11</v>
      </c>
      <c r="G19484" t="s">
        <v>25</v>
      </c>
      <c r="H19484" s="12">
        <v>1.0479989099576801</v>
      </c>
      <c r="I19484" s="20">
        <v>0.20720756724706399</v>
      </c>
      <c r="J19484" s="28">
        <v>0.83584775775347397</v>
      </c>
      <c r="K19484" s="29">
        <v>0.99125085375578403</v>
      </c>
    </row>
    <row r="19485" spans="1:11" x14ac:dyDescent="0.35">
      <c r="A19485" s="9" t="str">
        <f>HYPERLINK("http://www.ensembl.org/id/WBGene00018407", "WBGene00018407")</f>
        <v>WBGene00018407</v>
      </c>
      <c r="B19485" s="9" t="str">
        <f>HYPERLINK("http://www.ncbi.nlm.nih.gov/gene/176129", "176129")</f>
        <v>176129</v>
      </c>
      <c r="C19485" s="9"/>
      <c r="D19485" t="str">
        <f>"F44B9.2"</f>
        <v>F44B9.2</v>
      </c>
      <c r="F19485" t="s">
        <v>11</v>
      </c>
      <c r="H19485" s="12">
        <v>1.0502418841879599</v>
      </c>
      <c r="I19485" s="20">
        <v>0.20712861832988799</v>
      </c>
      <c r="J19485" s="28">
        <v>0.83590941250893502</v>
      </c>
      <c r="K19485" s="29">
        <v>0.99125085375578403</v>
      </c>
    </row>
    <row r="19486" spans="1:11" x14ac:dyDescent="0.35">
      <c r="A19486" s="9" t="str">
        <f>HYPERLINK("http://www.ensembl.org/id/WBGene00138717", "WBGene00138717")</f>
        <v>WBGene00138717</v>
      </c>
      <c r="B19486" s="9" t="str">
        <f>HYPERLINK("http://www.ncbi.nlm.nih.gov/gene/13192290", "13192290")</f>
        <v>13192290</v>
      </c>
      <c r="C19486" s="9" t="str">
        <f>HYPERLINK("http://www.ncbi.nlm.nih.gov/gene/112858", "112858")</f>
        <v>112858</v>
      </c>
      <c r="D19486" t="str">
        <f>"F52C12.6"</f>
        <v>F52C12.6</v>
      </c>
      <c r="F19486" t="s">
        <v>11</v>
      </c>
      <c r="G19486" t="s">
        <v>10402</v>
      </c>
      <c r="H19486" s="12">
        <v>-1.0484264592956101</v>
      </c>
      <c r="I19486" s="20">
        <v>-0.20715000528577401</v>
      </c>
      <c r="J19486" s="28">
        <v>0.83589271037489299</v>
      </c>
      <c r="K19486" s="29">
        <v>0.99125085375578403</v>
      </c>
    </row>
    <row r="19487" spans="1:11" x14ac:dyDescent="0.35">
      <c r="A19487" s="9" t="str">
        <f>HYPERLINK("http://www.ensembl.org/id/WBGene00010766", "WBGene00010766")</f>
        <v>WBGene00010766</v>
      </c>
      <c r="B19487" s="9" t="str">
        <f>HYPERLINK("http://www.ncbi.nlm.nih.gov/gene/173349", "173349")</f>
        <v>173349</v>
      </c>
      <c r="C19487" s="9"/>
      <c r="D19487" t="str">
        <f>"mrps-27"</f>
        <v>mrps-27</v>
      </c>
      <c r="E19487" t="s">
        <v>3053</v>
      </c>
      <c r="F19487" t="s">
        <v>11</v>
      </c>
      <c r="G19487" t="s">
        <v>1865</v>
      </c>
      <c r="H19487" s="12">
        <v>-1.0424934428500801</v>
      </c>
      <c r="I19487" s="20">
        <v>-0.20720343266524799</v>
      </c>
      <c r="J19487" s="28">
        <v>0.83585098660909796</v>
      </c>
      <c r="K19487" s="29">
        <v>0.99125085375578403</v>
      </c>
    </row>
    <row r="19488" spans="1:11" x14ac:dyDescent="0.35">
      <c r="A19488" s="9" t="str">
        <f>HYPERLINK("http://www.ensembl.org/id/WBGene00007976", "WBGene00007976")</f>
        <v>WBGene00007976</v>
      </c>
      <c r="B19488" s="9" t="str">
        <f>HYPERLINK("http://www.ncbi.nlm.nih.gov/gene/183252", "183252")</f>
        <v>183252</v>
      </c>
      <c r="C19488" s="9"/>
      <c r="D19488" t="str">
        <f>"C36B1.9"</f>
        <v>C36B1.9</v>
      </c>
      <c r="F19488" t="s">
        <v>11</v>
      </c>
      <c r="G19488" t="s">
        <v>51</v>
      </c>
      <c r="H19488" s="12">
        <v>1.0435296315542399</v>
      </c>
      <c r="I19488" s="20">
        <v>0.20695186508306701</v>
      </c>
      <c r="J19488" s="28">
        <v>0.83604745071321396</v>
      </c>
      <c r="K19488" s="29">
        <v>0.991323886781035</v>
      </c>
    </row>
    <row r="19489" spans="1:11" x14ac:dyDescent="0.35">
      <c r="A19489" s="9" t="str">
        <f>HYPERLINK("http://www.ensembl.org/id/WBGene00021281", "WBGene00021281")</f>
        <v>WBGene00021281</v>
      </c>
      <c r="B19489" s="9" t="str">
        <f>HYPERLINK("http://www.ncbi.nlm.nih.gov/gene/177206", "177206")</f>
        <v>177206</v>
      </c>
      <c r="C19489" s="9"/>
      <c r="D19489" t="str">
        <f>"ell-1"</f>
        <v>ell-1</v>
      </c>
      <c r="E19489" t="s">
        <v>10403</v>
      </c>
      <c r="F19489" t="s">
        <v>11</v>
      </c>
      <c r="G19489" t="s">
        <v>10404</v>
      </c>
      <c r="H19489" s="12">
        <v>-1.0386909153649599</v>
      </c>
      <c r="I19489" s="20">
        <v>-0.20693988495520299</v>
      </c>
      <c r="J19489" s="28">
        <v>0.83605680696364704</v>
      </c>
      <c r="K19489" s="29">
        <v>0.991323886781035</v>
      </c>
    </row>
    <row r="19490" spans="1:11" x14ac:dyDescent="0.35">
      <c r="A19490" s="9" t="str">
        <f>HYPERLINK("http://www.ensembl.org/id/WBGene00017313", "WBGene00017313")</f>
        <v>WBGene00017313</v>
      </c>
      <c r="B19490" s="9" t="str">
        <f>HYPERLINK("http://www.ncbi.nlm.nih.gov/gene/179103", "179103")</f>
        <v>179103</v>
      </c>
      <c r="C19490" s="9" t="str">
        <f>HYPERLINK("http://www.ncbi.nlm.nih.gov/gene/53981", "53981")</f>
        <v>53981</v>
      </c>
      <c r="D19490" t="str">
        <f>"cpsf-2"</f>
        <v>cpsf-2</v>
      </c>
      <c r="E19490" t="s">
        <v>10406</v>
      </c>
      <c r="F19490" t="s">
        <v>11</v>
      </c>
      <c r="G19490" t="s">
        <v>10407</v>
      </c>
      <c r="H19490" s="12">
        <v>-1.0447588331412401</v>
      </c>
      <c r="I19490" s="20">
        <v>-0.206729894624121</v>
      </c>
      <c r="J19490" s="28">
        <v>0.83622080915620201</v>
      </c>
      <c r="K19490" s="29">
        <v>0.99138814606585701</v>
      </c>
    </row>
    <row r="19491" spans="1:11" x14ac:dyDescent="0.35">
      <c r="A19491" s="9" t="str">
        <f>HYPERLINK("http://www.ensembl.org/id/WBGene00002227", "WBGene00002227")</f>
        <v>WBGene00002227</v>
      </c>
      <c r="B19491" s="9" t="str">
        <f>HYPERLINK("http://www.ncbi.nlm.nih.gov/gene/174750", "174750")</f>
        <v>174750</v>
      </c>
      <c r="C19491" s="9"/>
      <c r="D19491" t="str">
        <f>"klp-17"</f>
        <v>klp-17</v>
      </c>
      <c r="E19491" t="s">
        <v>469</v>
      </c>
      <c r="F19491" t="s">
        <v>11</v>
      </c>
      <c r="G19491" t="s">
        <v>10405</v>
      </c>
      <c r="H19491" s="12">
        <v>1.3893072552849399</v>
      </c>
      <c r="I19491" s="20">
        <v>0.20659581099579899</v>
      </c>
      <c r="J19491" s="28">
        <v>0.83632553203131998</v>
      </c>
      <c r="K19491" s="29">
        <v>0.99138814606585701</v>
      </c>
    </row>
    <row r="19492" spans="1:11" x14ac:dyDescent="0.35">
      <c r="A19492" s="9" t="str">
        <f>HYPERLINK("http://www.ensembl.org/id/WBGene00010984", "WBGene00010984")</f>
        <v>WBGene00010984</v>
      </c>
      <c r="B19492" s="9" t="str">
        <f>HYPERLINK("http://www.ncbi.nlm.nih.gov/gene/181633", "181633")</f>
        <v>181633</v>
      </c>
      <c r="C19492" s="9" t="str">
        <f>HYPERLINK("http://www.ncbi.nlm.nih.gov/gene/56267", "56267")</f>
        <v>56267</v>
      </c>
      <c r="D19492" t="str">
        <f>"nkat-3"</f>
        <v>nkat-3</v>
      </c>
      <c r="E19492" t="s">
        <v>4596</v>
      </c>
      <c r="F19492" t="s">
        <v>11</v>
      </c>
      <c r="G19492" t="s">
        <v>4597</v>
      </c>
      <c r="H19492" s="12">
        <v>1.0432532875163301</v>
      </c>
      <c r="I19492" s="20">
        <v>0.20680273625513701</v>
      </c>
      <c r="J19492" s="28">
        <v>0.83616391912433496</v>
      </c>
      <c r="K19492" s="29">
        <v>0.99138814606585701</v>
      </c>
    </row>
    <row r="19493" spans="1:11" x14ac:dyDescent="0.35">
      <c r="A19493" s="9" t="str">
        <f>HYPERLINK("http://www.ensembl.org/id/WBGene00022024", "WBGene00022024")</f>
        <v>WBGene00022024</v>
      </c>
      <c r="B19493" s="9" t="str">
        <f>HYPERLINK("http://www.ncbi.nlm.nih.gov/gene/180777", "180777")</f>
        <v>180777</v>
      </c>
      <c r="C19493" s="9"/>
      <c r="D19493" t="str">
        <f>"Y64H9A.2"</f>
        <v>Y64H9A.2</v>
      </c>
      <c r="F19493" t="s">
        <v>11</v>
      </c>
      <c r="H19493" s="12">
        <v>1.3893072552849399</v>
      </c>
      <c r="I19493" s="20">
        <v>0.20659581099579899</v>
      </c>
      <c r="J19493" s="28">
        <v>0.83632553203131998</v>
      </c>
      <c r="K19493" s="29">
        <v>0.99138814606585701</v>
      </c>
    </row>
    <row r="19494" spans="1:11" x14ac:dyDescent="0.35">
      <c r="A19494" s="9" t="str">
        <f>HYPERLINK("http://www.ensembl.org/id/WBGene00022866", "WBGene00022866")</f>
        <v>WBGene00022866</v>
      </c>
      <c r="B19494" s="9" t="str">
        <f>HYPERLINK("http://www.ncbi.nlm.nih.gov/gene/173589", "173589")</f>
        <v>173589</v>
      </c>
      <c r="C19494" s="9"/>
      <c r="D19494" t="str">
        <f>"ZK1240.1"</f>
        <v>ZK1240.1</v>
      </c>
      <c r="F19494" t="s">
        <v>11</v>
      </c>
      <c r="G19494" t="s">
        <v>5266</v>
      </c>
      <c r="H19494" s="12">
        <v>1.3893072552849399</v>
      </c>
      <c r="I19494" s="20">
        <v>0.20659581099579899</v>
      </c>
      <c r="J19494" s="28">
        <v>0.83632553203131998</v>
      </c>
      <c r="K19494" s="29">
        <v>0.99138814606585701</v>
      </c>
    </row>
    <row r="19495" spans="1:11" x14ac:dyDescent="0.35">
      <c r="A19495" s="9" t="str">
        <f>HYPERLINK("http://www.ensembl.org/id/WBGene00018163", "WBGene00018163")</f>
        <v>WBGene00018163</v>
      </c>
      <c r="B19495" s="9" t="str">
        <f>HYPERLINK("http://www.ncbi.nlm.nih.gov/gene/177421", "177421")</f>
        <v>177421</v>
      </c>
      <c r="C19495" s="9"/>
      <c r="D19495" t="str">
        <f>"F38A5.6"</f>
        <v>F38A5.6</v>
      </c>
      <c r="F19495" t="s">
        <v>11</v>
      </c>
      <c r="G19495" t="s">
        <v>3526</v>
      </c>
      <c r="H19495" s="12">
        <v>1.33092355327796</v>
      </c>
      <c r="I19495" s="20">
        <v>0.20648419039971699</v>
      </c>
      <c r="J19495" s="28">
        <v>0.83641271289438301</v>
      </c>
      <c r="K19495" s="29">
        <v>0.99139603371830298</v>
      </c>
    </row>
    <row r="19496" spans="1:11" x14ac:dyDescent="0.35">
      <c r="A19496" s="9" t="str">
        <f>HYPERLINK("http://www.ensembl.org/id/WBGene00018214", "WBGene00018214")</f>
        <v>WBGene00018214</v>
      </c>
      <c r="B19496" s="9" t="str">
        <f>HYPERLINK("http://www.ncbi.nlm.nih.gov/gene/185505", "185505")</f>
        <v>185505</v>
      </c>
      <c r="C19496" s="9"/>
      <c r="D19496" t="str">
        <f>"F39H12.3"</f>
        <v>F39H12.3</v>
      </c>
      <c r="F19496" t="s">
        <v>11</v>
      </c>
      <c r="G19496" t="s">
        <v>10408</v>
      </c>
      <c r="H19496" s="12">
        <v>1.0410728339112301</v>
      </c>
      <c r="I19496" s="20">
        <v>0.20644867397134001</v>
      </c>
      <c r="J19496" s="28">
        <v>0.83644045329382</v>
      </c>
      <c r="K19496" s="29">
        <v>0.99139603371830298</v>
      </c>
    </row>
    <row r="19497" spans="1:11" x14ac:dyDescent="0.35">
      <c r="A19497" s="9" t="str">
        <f>HYPERLINK("http://www.ensembl.org/id/WBGene00006097", "WBGene00006097")</f>
        <v>WBGene00006097</v>
      </c>
      <c r="B19497" s="9" t="str">
        <f>HYPERLINK("http://www.ncbi.nlm.nih.gov/gene/179136", "179136")</f>
        <v>179136</v>
      </c>
      <c r="C19497" s="9"/>
      <c r="D19497" t="str">
        <f>"str-31"</f>
        <v>str-31</v>
      </c>
      <c r="E19497" t="s">
        <v>590</v>
      </c>
      <c r="F19497" t="s">
        <v>11</v>
      </c>
      <c r="G19497" t="s">
        <v>25</v>
      </c>
      <c r="H19497" s="12">
        <v>1.2791384991686201</v>
      </c>
      <c r="I19497" s="20">
        <v>0.20642248917240799</v>
      </c>
      <c r="J19497" s="28">
        <v>0.83646090527734396</v>
      </c>
      <c r="K19497" s="29">
        <v>0.99139603371830298</v>
      </c>
    </row>
    <row r="19498" spans="1:11" x14ac:dyDescent="0.35">
      <c r="A19498" s="9" t="str">
        <f>HYPERLINK("http://www.ensembl.org/id/WBGene00000525", "WBGene00000525")</f>
        <v>WBGene00000525</v>
      </c>
      <c r="B19498" s="9" t="str">
        <f>HYPERLINK("http://www.ncbi.nlm.nih.gov/gene/188095", "188095")</f>
        <v>188095</v>
      </c>
      <c r="C19498" s="9"/>
      <c r="D19498" t="str">
        <f>"clc-4"</f>
        <v>clc-4</v>
      </c>
      <c r="E19498" t="s">
        <v>2187</v>
      </c>
      <c r="F19498" t="s">
        <v>11</v>
      </c>
      <c r="G19498" t="s">
        <v>10409</v>
      </c>
      <c r="H19498" s="12">
        <v>1.07530012723917</v>
      </c>
      <c r="I19498" s="20">
        <v>0.20629318682547301</v>
      </c>
      <c r="J19498" s="28">
        <v>0.83656190020604804</v>
      </c>
      <c r="K19498" s="29">
        <v>0.99140495691213104</v>
      </c>
    </row>
    <row r="19499" spans="1:11" x14ac:dyDescent="0.35">
      <c r="A19499" s="9" t="str">
        <f>HYPERLINK("http://www.ensembl.org/id/WBGene00044520", "WBGene00044520")</f>
        <v>WBGene00044520</v>
      </c>
      <c r="B19499" s="9" t="str">
        <f>HYPERLINK("http://www.ncbi.nlm.nih.gov/gene/3896837", "3896837")</f>
        <v>3896837</v>
      </c>
      <c r="C19499" s="9"/>
      <c r="D19499" t="str">
        <f>"F59A7.12"</f>
        <v>F59A7.12</v>
      </c>
      <c r="F19499" t="s">
        <v>11</v>
      </c>
      <c r="H19499" s="12">
        <v>-1.43705908025447</v>
      </c>
      <c r="I19499" s="20">
        <v>-0.20604840181703901</v>
      </c>
      <c r="J19499" s="28">
        <v>0.83675310321839702</v>
      </c>
      <c r="K19499" s="29">
        <v>0.99140495691213104</v>
      </c>
    </row>
    <row r="19500" spans="1:11" x14ac:dyDescent="0.35">
      <c r="A19500" s="9" t="str">
        <f>HYPERLINK("http://www.ensembl.org/id/WBGene00001436", "WBGene00001436")</f>
        <v>WBGene00001436</v>
      </c>
      <c r="B19500" s="9" t="str">
        <f>HYPERLINK("http://www.ncbi.nlm.nih.gov/gene/181466", "181466")</f>
        <v>181466</v>
      </c>
      <c r="C19500" s="9"/>
      <c r="D19500" t="str">
        <f>"fkh-4"</f>
        <v>fkh-4</v>
      </c>
      <c r="E19500" t="s">
        <v>2856</v>
      </c>
      <c r="F19500" t="s">
        <v>11</v>
      </c>
      <c r="G19500" t="s">
        <v>4692</v>
      </c>
      <c r="H19500" s="12">
        <v>1.09494295841409</v>
      </c>
      <c r="I19500" s="20">
        <v>0.20622130435452801</v>
      </c>
      <c r="J19500" s="28">
        <v>0.83661804702678899</v>
      </c>
      <c r="K19500" s="29">
        <v>0.99140495691213104</v>
      </c>
    </row>
    <row r="19501" spans="1:11" x14ac:dyDescent="0.35">
      <c r="A19501" s="9" t="str">
        <f>HYPERLINK("http://www.ensembl.org/id/WBGene00008439", "WBGene00008439")</f>
        <v>WBGene00008439</v>
      </c>
      <c r="B19501" s="9" t="str">
        <f>HYPERLINK("http://www.ncbi.nlm.nih.gov/gene/183975", "183975")</f>
        <v>183975</v>
      </c>
      <c r="C19501" s="9" t="str">
        <f>HYPERLINK("http://www.ncbi.nlm.nih.gov/gene/26260", "26260")</f>
        <v>26260</v>
      </c>
      <c r="D19501" t="str">
        <f>"mfb-1"</f>
        <v>mfb-1</v>
      </c>
      <c r="E19501" t="s">
        <v>10413</v>
      </c>
      <c r="F19501" t="s">
        <v>11</v>
      </c>
      <c r="G19501" t="s">
        <v>10414</v>
      </c>
      <c r="H19501" s="12">
        <v>-1.0420627696417899</v>
      </c>
      <c r="I19501" s="20">
        <v>-0.20602833022039699</v>
      </c>
      <c r="J19501" s="28">
        <v>0.83676878168875601</v>
      </c>
      <c r="K19501" s="29">
        <v>0.99140495691213104</v>
      </c>
    </row>
    <row r="19502" spans="1:11" x14ac:dyDescent="0.35">
      <c r="A19502" s="9" t="str">
        <f>HYPERLINK("http://www.ensembl.org/id/WBGene00014818", "WBGene00014818")</f>
        <v>WBGene00014818</v>
      </c>
      <c r="B19502" s="9"/>
      <c r="C19502" s="9"/>
      <c r="D19502" t="str">
        <f>"R07B5.2"</f>
        <v>R07B5.2</v>
      </c>
      <c r="F19502" t="s">
        <v>80</v>
      </c>
      <c r="H19502" s="12">
        <v>1.4823666571151499</v>
      </c>
      <c r="I19502" s="20">
        <v>0.206314897210889</v>
      </c>
      <c r="J19502" s="28">
        <v>0.83654494256205603</v>
      </c>
      <c r="K19502" s="29">
        <v>0.99140495691213104</v>
      </c>
    </row>
    <row r="19503" spans="1:11" x14ac:dyDescent="0.35">
      <c r="A19503" s="9" t="str">
        <f>HYPERLINK("http://www.ensembl.org/id/WBGene00194986", "WBGene00194986")</f>
        <v>WBGene00194986</v>
      </c>
      <c r="B19503" s="9" t="str">
        <f>HYPERLINK("http://www.ncbi.nlm.nih.gov/gene/13184808", "13184808")</f>
        <v>13184808</v>
      </c>
      <c r="C19503" s="9"/>
      <c r="D19503" t="str">
        <f>"T27F7.4"</f>
        <v>T27F7.4</v>
      </c>
      <c r="E19503" t="s">
        <v>10410</v>
      </c>
      <c r="F19503" t="s">
        <v>11</v>
      </c>
      <c r="G19503" t="s">
        <v>10411</v>
      </c>
      <c r="H19503" s="12">
        <v>1.04683360437574</v>
      </c>
      <c r="I19503" s="20">
        <v>0.206040445836144</v>
      </c>
      <c r="J19503" s="28">
        <v>0.83675931784382795</v>
      </c>
      <c r="K19503" s="29">
        <v>0.99140495691213104</v>
      </c>
    </row>
    <row r="19504" spans="1:11" x14ac:dyDescent="0.35">
      <c r="A19504" s="9" t="str">
        <f>HYPERLINK("http://www.ensembl.org/id/WBGene00077761", "WBGene00077761")</f>
        <v>WBGene00077761</v>
      </c>
      <c r="B19504" s="9" t="str">
        <f>HYPERLINK("http://www.ncbi.nlm.nih.gov/gene/36805003", "36805003")</f>
        <v>36805003</v>
      </c>
      <c r="C19504" s="9"/>
      <c r="D19504" t="str">
        <f>"zip-9"</f>
        <v>zip-9</v>
      </c>
      <c r="E19504" t="s">
        <v>777</v>
      </c>
      <c r="F19504" t="s">
        <v>11</v>
      </c>
      <c r="G19504" t="s">
        <v>10412</v>
      </c>
      <c r="H19504" s="12">
        <v>1.0407414388926499</v>
      </c>
      <c r="I19504" s="20">
        <v>0.20604887795769999</v>
      </c>
      <c r="J19504" s="28">
        <v>0.83675273129275596</v>
      </c>
      <c r="K19504" s="29">
        <v>0.99140495691213104</v>
      </c>
    </row>
    <row r="19505" spans="1:11" x14ac:dyDescent="0.35">
      <c r="A19505" s="9" t="str">
        <f>HYPERLINK("http://www.ensembl.org/id/WBGene00007683", "WBGene00007683")</f>
        <v>WBGene00007683</v>
      </c>
      <c r="B19505" s="9" t="str">
        <f>HYPERLINK("http://www.ncbi.nlm.nih.gov/gene/174429", "174429")</f>
        <v>174429</v>
      </c>
      <c r="C19505" s="9"/>
      <c r="D19505" t="str">
        <f>"C18E9.2"</f>
        <v>C18E9.2</v>
      </c>
      <c r="F19505" t="s">
        <v>11</v>
      </c>
      <c r="G19505" t="s">
        <v>10415</v>
      </c>
      <c r="H19505" s="12">
        <v>1.0394857333897101</v>
      </c>
      <c r="I19505" s="20">
        <v>0.20590441112487501</v>
      </c>
      <c r="J19505" s="28">
        <v>0.83686557970212405</v>
      </c>
      <c r="K19505" s="29">
        <v>0.99141952629664898</v>
      </c>
    </row>
    <row r="19506" spans="1:11" x14ac:dyDescent="0.35">
      <c r="A19506" s="9" t="str">
        <f>HYPERLINK("http://www.ensembl.org/id/WBGene00001325", "WBGene00001325")</f>
        <v>WBGene00001325</v>
      </c>
      <c r="B19506" s="9" t="str">
        <f>HYPERLINK("http://www.ncbi.nlm.nih.gov/gene/181557", "181557")</f>
        <v>181557</v>
      </c>
      <c r="C19506" s="9"/>
      <c r="D19506" t="str">
        <f>"eor-2"</f>
        <v>eor-2</v>
      </c>
      <c r="E19506" t="s">
        <v>10416</v>
      </c>
      <c r="F19506" t="s">
        <v>11</v>
      </c>
      <c r="G19506" t="s">
        <v>10417</v>
      </c>
      <c r="H19506" s="12">
        <v>-1.0397889302135499</v>
      </c>
      <c r="I19506" s="20">
        <v>-0.20590272926374101</v>
      </c>
      <c r="J19506" s="28">
        <v>0.83686689348610099</v>
      </c>
      <c r="K19506" s="29">
        <v>0.99141952629664898</v>
      </c>
    </row>
    <row r="19507" spans="1:11" x14ac:dyDescent="0.35">
      <c r="A19507" s="9" t="str">
        <f>HYPERLINK("http://www.ensembl.org/id/WBGene00018256", "WBGene00018256")</f>
        <v>WBGene00018256</v>
      </c>
      <c r="B19507" s="9" t="str">
        <f>HYPERLINK("http://www.ncbi.nlm.nih.gov/gene/176895", "176895")</f>
        <v>176895</v>
      </c>
      <c r="C19507" s="9"/>
      <c r="D19507" t="str">
        <f>"cutl-28"</f>
        <v>cutl-28</v>
      </c>
      <c r="E19507" t="s">
        <v>166</v>
      </c>
      <c r="F19507" t="s">
        <v>11</v>
      </c>
      <c r="G19507" t="s">
        <v>10419</v>
      </c>
      <c r="H19507" s="12">
        <v>1.0685895777435099</v>
      </c>
      <c r="I19507" s="20">
        <v>0.20555640043749801</v>
      </c>
      <c r="J19507" s="28">
        <v>0.83713743755575398</v>
      </c>
      <c r="K19507" s="29">
        <v>0.99143504009037697</v>
      </c>
    </row>
    <row r="19508" spans="1:11" x14ac:dyDescent="0.35">
      <c r="A19508" s="9" t="str">
        <f>HYPERLINK("http://www.ensembl.org/id/WBGene00219617", "WBGene00219617")</f>
        <v>WBGene00219617</v>
      </c>
      <c r="B19508" s="9"/>
      <c r="C19508" s="9"/>
      <c r="D19508" t="str">
        <f>"linc-25"</f>
        <v>linc-25</v>
      </c>
      <c r="F19508" t="s">
        <v>1510</v>
      </c>
      <c r="H19508" s="12">
        <v>1.1326226884188</v>
      </c>
      <c r="I19508" s="20">
        <v>0.20559409864070899</v>
      </c>
      <c r="J19508" s="28">
        <v>0.83710798765650996</v>
      </c>
      <c r="K19508" s="29">
        <v>0.99143504009037697</v>
      </c>
    </row>
    <row r="19509" spans="1:11" x14ac:dyDescent="0.35">
      <c r="A19509" s="9" t="str">
        <f>HYPERLINK("http://www.ensembl.org/id/WBGene00003234", "WBGene00003234")</f>
        <v>WBGene00003234</v>
      </c>
      <c r="B19509" s="9" t="str">
        <f>HYPERLINK("http://www.ncbi.nlm.nih.gov/gene/176615", "176615")</f>
        <v>176615</v>
      </c>
      <c r="C19509" s="9"/>
      <c r="D19509" t="str">
        <f>"mif-1"</f>
        <v>mif-1</v>
      </c>
      <c r="E19509" t="s">
        <v>3397</v>
      </c>
      <c r="F19509" t="s">
        <v>11</v>
      </c>
      <c r="H19509" s="12">
        <v>1.0431492528167501</v>
      </c>
      <c r="I19509" s="20">
        <v>0.20575604811890899</v>
      </c>
      <c r="J19509" s="28">
        <v>0.83698147505093301</v>
      </c>
      <c r="K19509" s="29">
        <v>0.99143504009037697</v>
      </c>
    </row>
    <row r="19510" spans="1:11" x14ac:dyDescent="0.35">
      <c r="A19510" s="9" t="str">
        <f>HYPERLINK("http://www.ensembl.org/id/WBGene00011000", "WBGene00011000")</f>
        <v>WBGene00011000</v>
      </c>
      <c r="B19510" s="9" t="str">
        <f>HYPERLINK("http://www.ncbi.nlm.nih.gov/gene/181438", "181438")</f>
        <v>181438</v>
      </c>
      <c r="C19510" s="9"/>
      <c r="D19510" t="str">
        <f>"R03G8.6"</f>
        <v>R03G8.6</v>
      </c>
      <c r="E19510" t="s">
        <v>594</v>
      </c>
      <c r="F19510" t="s">
        <v>11</v>
      </c>
      <c r="G19510" t="s">
        <v>10420</v>
      </c>
      <c r="H19510" s="12">
        <v>-1.0404288043696901</v>
      </c>
      <c r="I19510" s="20">
        <v>-0.20568449183594401</v>
      </c>
      <c r="J19510" s="28">
        <v>0.83703737327147598</v>
      </c>
      <c r="K19510" s="29">
        <v>0.99143504009037697</v>
      </c>
    </row>
    <row r="19511" spans="1:11" x14ac:dyDescent="0.35">
      <c r="A19511" s="9" t="str">
        <f>HYPERLINK("http://www.ensembl.org/id/WBGene00005065", "WBGene00005065")</f>
        <v>WBGene00005065</v>
      </c>
      <c r="B19511" s="9" t="str">
        <f>HYPERLINK("http://www.ncbi.nlm.nih.gov/gene/188708", "188708")</f>
        <v>188708</v>
      </c>
      <c r="C19511" s="9"/>
      <c r="D19511" t="str">
        <f>"sra-39"</f>
        <v>sra-39</v>
      </c>
      <c r="E19511" t="s">
        <v>10418</v>
      </c>
      <c r="F19511" t="s">
        <v>11</v>
      </c>
      <c r="G19511" t="s">
        <v>2456</v>
      </c>
      <c r="H19511" s="12">
        <v>1.15458214555615</v>
      </c>
      <c r="I19511" s="20">
        <v>0.20559255965762399</v>
      </c>
      <c r="J19511" s="28">
        <v>0.83710918990819505</v>
      </c>
      <c r="K19511" s="29">
        <v>0.99143504009037697</v>
      </c>
    </row>
    <row r="19512" spans="1:11" x14ac:dyDescent="0.35">
      <c r="A19512" s="9" t="str">
        <f>HYPERLINK("http://www.ensembl.org/id/WBGene00220215", "WBGene00220215")</f>
        <v>WBGene00220215</v>
      </c>
      <c r="B19512" s="9"/>
      <c r="C19512" s="9"/>
      <c r="D19512" t="str">
        <f>"Y92C3B.4"</f>
        <v>Y92C3B.4</v>
      </c>
      <c r="F19512" t="s">
        <v>2977</v>
      </c>
      <c r="H19512" s="12">
        <v>1.2424428526518001</v>
      </c>
      <c r="I19512" s="20">
        <v>0.20573200279450801</v>
      </c>
      <c r="J19512" s="28">
        <v>0.83700025864647598</v>
      </c>
      <c r="K19512" s="29">
        <v>0.99143504009037697</v>
      </c>
    </row>
    <row r="19513" spans="1:11" x14ac:dyDescent="0.35">
      <c r="A19513" s="9" t="str">
        <f>HYPERLINK("http://www.ensembl.org/id/WBGene00008793", "WBGene00008793")</f>
        <v>WBGene00008793</v>
      </c>
      <c r="B19513" s="9" t="str">
        <f>HYPERLINK("http://www.ncbi.nlm.nih.gov/gene/184466", "184466")</f>
        <v>184466</v>
      </c>
      <c r="C19513" s="9" t="str">
        <f>HYPERLINK("http://www.ncbi.nlm.nih.gov/gene/256471", "256471")</f>
        <v>256471</v>
      </c>
      <c r="D19513" t="str">
        <f>"F14D7.6"</f>
        <v>F14D7.6</v>
      </c>
      <c r="F19513" t="s">
        <v>11</v>
      </c>
      <c r="G19513" t="s">
        <v>230</v>
      </c>
      <c r="H19513" s="12">
        <v>-1.1160626156714899</v>
      </c>
      <c r="I19513" s="20">
        <v>-0.20534298070832999</v>
      </c>
      <c r="J19513" s="28">
        <v>0.83730416570613897</v>
      </c>
      <c r="K19513" s="29">
        <v>0.99158167458387803</v>
      </c>
    </row>
    <row r="19514" spans="1:11" x14ac:dyDescent="0.35">
      <c r="A19514" s="9" t="str">
        <f>HYPERLINK("http://www.ensembl.org/id/WBGene00007056", "WBGene00007056")</f>
        <v>WBGene00007056</v>
      </c>
      <c r="B19514" s="9" t="str">
        <f>HYPERLINK("http://www.ncbi.nlm.nih.gov/gene/176166", "176166")</f>
        <v>176166</v>
      </c>
      <c r="C19514" s="9" t="str">
        <f>HYPERLINK("http://www.ncbi.nlm.nih.gov/gene/1777", "1777")</f>
        <v>1777</v>
      </c>
      <c r="D19514" t="str">
        <f>"crn-7"</f>
        <v>crn-7</v>
      </c>
      <c r="E19514" t="s">
        <v>10423</v>
      </c>
      <c r="F19514" t="s">
        <v>11</v>
      </c>
      <c r="G19514" t="s">
        <v>10424</v>
      </c>
      <c r="H19514" s="12">
        <v>1.0454836891133801</v>
      </c>
      <c r="I19514" s="20">
        <v>0.205189907273397</v>
      </c>
      <c r="J19514" s="28">
        <v>0.83742375451467599</v>
      </c>
      <c r="K19514" s="29">
        <v>0.99158631557490495</v>
      </c>
    </row>
    <row r="19515" spans="1:11" x14ac:dyDescent="0.35">
      <c r="A19515" s="9" t="str">
        <f>HYPERLINK("http://www.ensembl.org/id/WBGene00004790", "WBGene00004790")</f>
        <v>WBGene00004790</v>
      </c>
      <c r="B19515" s="9" t="str">
        <f>HYPERLINK("http://www.ncbi.nlm.nih.gov/gene/184162", "184162")</f>
        <v>184162</v>
      </c>
      <c r="C19515" s="9" t="str">
        <f>HYPERLINK("http://www.ncbi.nlm.nih.gov/gene/6444", "6444")</f>
        <v>6444</v>
      </c>
      <c r="D19515" t="str">
        <f>"sgn-1"</f>
        <v>sgn-1</v>
      </c>
      <c r="E19515" t="s">
        <v>10421</v>
      </c>
      <c r="F19515" t="s">
        <v>11</v>
      </c>
      <c r="G19515" t="s">
        <v>10422</v>
      </c>
      <c r="H19515" s="12">
        <v>1.0551975435899199</v>
      </c>
      <c r="I19515" s="20">
        <v>0.205136745087523</v>
      </c>
      <c r="J19515" s="28">
        <v>0.83746528841644297</v>
      </c>
      <c r="K19515" s="29">
        <v>0.99158631557490495</v>
      </c>
    </row>
    <row r="19516" spans="1:11" x14ac:dyDescent="0.35">
      <c r="A19516" s="9" t="str">
        <f>HYPERLINK("http://www.ensembl.org/id/WBGene00044563", "WBGene00044563")</f>
        <v>WBGene00044563</v>
      </c>
      <c r="B19516" s="9" t="str">
        <f>HYPERLINK("http://www.ncbi.nlm.nih.gov/gene/3896875", "3896875")</f>
        <v>3896875</v>
      </c>
      <c r="C19516" s="9"/>
      <c r="D19516" t="str">
        <f>"T26C11.8"</f>
        <v>T26C11.8</v>
      </c>
      <c r="F19516" t="s">
        <v>11</v>
      </c>
      <c r="G19516" t="s">
        <v>25</v>
      </c>
      <c r="H19516" s="12">
        <v>1.3536346224504301</v>
      </c>
      <c r="I19516" s="20">
        <v>0.20511824340672699</v>
      </c>
      <c r="J19516" s="28">
        <v>0.83747974328937402</v>
      </c>
      <c r="K19516" s="29">
        <v>0.99158631557490495</v>
      </c>
    </row>
    <row r="19517" spans="1:11" x14ac:dyDescent="0.35">
      <c r="A19517" s="9" t="str">
        <f>HYPERLINK("http://www.ensembl.org/id/WBGene00022489", "WBGene00022489")</f>
        <v>WBGene00022489</v>
      </c>
      <c r="B19517" s="9" t="str">
        <f>HYPERLINK("http://www.ncbi.nlm.nih.gov/gene/175285", "175285")</f>
        <v>175285</v>
      </c>
      <c r="C19517" s="9"/>
      <c r="D19517" t="str">
        <f>"Y119D3B.12"</f>
        <v>Y119D3B.12</v>
      </c>
      <c r="F19517" t="s">
        <v>11</v>
      </c>
      <c r="G19517" t="s">
        <v>2644</v>
      </c>
      <c r="H19517" s="12">
        <v>1.0424979374174199</v>
      </c>
      <c r="I19517" s="20">
        <v>0.20515873489049899</v>
      </c>
      <c r="J19517" s="28">
        <v>0.837448108437438</v>
      </c>
      <c r="K19517" s="29">
        <v>0.99158631557490495</v>
      </c>
    </row>
    <row r="19518" spans="1:11" x14ac:dyDescent="0.35">
      <c r="A19518" s="9" t="str">
        <f>HYPERLINK("http://www.ensembl.org/id/WBGene00000161", "WBGene00000161")</f>
        <v>WBGene00000161</v>
      </c>
      <c r="B19518" s="9" t="str">
        <f>HYPERLINK("http://www.ncbi.nlm.nih.gov/gene/181163", "181163")</f>
        <v>181163</v>
      </c>
      <c r="C19518" s="9" t="str">
        <f>HYPERLINK("http://www.ncbi.nlm.nih.gov/gene/161", "161")</f>
        <v>161</v>
      </c>
      <c r="D19518" t="str">
        <f>"apa-2"</f>
        <v>apa-2</v>
      </c>
      <c r="E19518" t="s">
        <v>10431</v>
      </c>
      <c r="F19518" t="s">
        <v>11</v>
      </c>
      <c r="G19518" t="s">
        <v>10432</v>
      </c>
      <c r="H19518" s="12">
        <v>-1.03847235321531</v>
      </c>
      <c r="I19518" s="20">
        <v>-0.204562077187559</v>
      </c>
      <c r="J19518" s="28">
        <v>0.83791428680654401</v>
      </c>
      <c r="K19518" s="29">
        <v>0.99165244658499496</v>
      </c>
    </row>
    <row r="19519" spans="1:11" x14ac:dyDescent="0.35">
      <c r="A19519" s="9" t="str">
        <f>HYPERLINK("http://www.ensembl.org/id/WBGene00015627", "WBGene00015627")</f>
        <v>WBGene00015627</v>
      </c>
      <c r="B19519" s="9" t="str">
        <f>HYPERLINK("http://www.ncbi.nlm.nih.gov/gene/182442", "182442")</f>
        <v>182442</v>
      </c>
      <c r="C19519" s="9"/>
      <c r="D19519" t="str">
        <f>"C09B9.2"</f>
        <v>C09B9.2</v>
      </c>
      <c r="F19519" t="s">
        <v>11</v>
      </c>
      <c r="G19519" t="s">
        <v>25</v>
      </c>
      <c r="H19519" s="12">
        <v>1.1909318488327301</v>
      </c>
      <c r="I19519" s="20">
        <v>0.204137661894363</v>
      </c>
      <c r="J19519" s="28">
        <v>0.83824592402186704</v>
      </c>
      <c r="K19519" s="29">
        <v>0.99165244658499496</v>
      </c>
    </row>
    <row r="19520" spans="1:11" x14ac:dyDescent="0.35">
      <c r="A19520" s="9" t="str">
        <f>HYPERLINK("http://www.ensembl.org/id/WBGene00007489", "WBGene00007489")</f>
        <v>WBGene00007489</v>
      </c>
      <c r="B19520" s="9" t="str">
        <f>HYPERLINK("http://www.ncbi.nlm.nih.gov/gene/182461", "182461")</f>
        <v>182461</v>
      </c>
      <c r="C19520" s="9"/>
      <c r="D19520" t="str">
        <f>"C09G5.7"</f>
        <v>C09G5.7</v>
      </c>
      <c r="F19520" t="s">
        <v>11</v>
      </c>
      <c r="H19520" s="12">
        <v>-1.18441129943976</v>
      </c>
      <c r="I19520" s="20">
        <v>-0.20417925594549199</v>
      </c>
      <c r="J19520" s="28">
        <v>0.838213421247057</v>
      </c>
      <c r="K19520" s="29">
        <v>0.99165244658499496</v>
      </c>
    </row>
    <row r="19521" spans="1:11" x14ac:dyDescent="0.35">
      <c r="A19521" s="9" t="str">
        <f>HYPERLINK("http://www.ensembl.org/id/WBGene00015917", "WBGene00015917")</f>
        <v>WBGene00015917</v>
      </c>
      <c r="B19521" s="9" t="str">
        <f>HYPERLINK("http://www.ncbi.nlm.nih.gov/gene/182742", "182742")</f>
        <v>182742</v>
      </c>
      <c r="C19521" s="9"/>
      <c r="D19521" t="str">
        <f>"C17G10.3"</f>
        <v>C17G10.3</v>
      </c>
      <c r="F19521" t="s">
        <v>11</v>
      </c>
      <c r="H19521" s="12">
        <v>1.2520443428828101</v>
      </c>
      <c r="I19521" s="20">
        <v>0.20447093686974099</v>
      </c>
      <c r="J19521" s="28">
        <v>0.83798550123317905</v>
      </c>
      <c r="K19521" s="29">
        <v>0.99165244658499496</v>
      </c>
    </row>
    <row r="19522" spans="1:11" x14ac:dyDescent="0.35">
      <c r="A19522" s="9" t="str">
        <f>HYPERLINK("http://www.ensembl.org/id/WBGene00016102", "WBGene00016102")</f>
        <v>WBGene00016102</v>
      </c>
      <c r="B19522" s="9" t="str">
        <f>HYPERLINK("http://www.ncbi.nlm.nih.gov/gene/180820", "180820")</f>
        <v>180820</v>
      </c>
      <c r="C19522" s="9"/>
      <c r="D19522" t="str">
        <f>"C25F6.1"</f>
        <v>C25F6.1</v>
      </c>
      <c r="F19522" t="s">
        <v>11</v>
      </c>
      <c r="H19522" s="12">
        <v>-1.0452928274961999</v>
      </c>
      <c r="I19522" s="20">
        <v>-0.20479455056763199</v>
      </c>
      <c r="J19522" s="28">
        <v>0.83773264479813103</v>
      </c>
      <c r="K19522" s="29">
        <v>0.99165244658499496</v>
      </c>
    </row>
    <row r="19523" spans="1:11" x14ac:dyDescent="0.35">
      <c r="A19523" s="9" t="str">
        <f>HYPERLINK("http://www.ensembl.org/id/WBGene00021586", "WBGene00021586")</f>
        <v>WBGene00021586</v>
      </c>
      <c r="B19523" s="9" t="str">
        <f>HYPERLINK("http://www.ncbi.nlm.nih.gov/gene/189949", "189949")</f>
        <v>189949</v>
      </c>
      <c r="C19523" s="9"/>
      <c r="D19523" t="str">
        <f>"clec-75"</f>
        <v>clec-75</v>
      </c>
      <c r="E19523" t="s">
        <v>46</v>
      </c>
      <c r="F19523" t="s">
        <v>11</v>
      </c>
      <c r="G19523" t="s">
        <v>47</v>
      </c>
      <c r="H19523" s="12">
        <v>-1.2411057149810401</v>
      </c>
      <c r="I19523" s="20">
        <v>-0.20490205709681</v>
      </c>
      <c r="J19523" s="28">
        <v>0.83764864798868299</v>
      </c>
      <c r="K19523" s="29">
        <v>0.99165244658499496</v>
      </c>
    </row>
    <row r="19524" spans="1:11" x14ac:dyDescent="0.35">
      <c r="A19524" s="9" t="str">
        <f>HYPERLINK("http://www.ensembl.org/id/WBGene00019209", "WBGene00019209")</f>
        <v>WBGene00019209</v>
      </c>
      <c r="B19524" s="9" t="str">
        <f>HYPERLINK("http://www.ncbi.nlm.nih.gov/gene/173524", "173524")</f>
        <v>173524</v>
      </c>
      <c r="C19524" s="9" t="str">
        <f>HYPERLINK("http://www.ncbi.nlm.nih.gov/gene/23065", "23065")</f>
        <v>23065</v>
      </c>
      <c r="D19524" t="str">
        <f>"emc-1"</f>
        <v>emc-1</v>
      </c>
      <c r="E19524" t="s">
        <v>6419</v>
      </c>
      <c r="F19524" t="s">
        <v>11</v>
      </c>
      <c r="G19524" t="s">
        <v>10428</v>
      </c>
      <c r="H19524" s="12">
        <v>1.03823731542158</v>
      </c>
      <c r="I19524" s="20">
        <v>0.20394823995737499</v>
      </c>
      <c r="J19524" s="28">
        <v>0.83839394720149996</v>
      </c>
      <c r="K19524" s="29">
        <v>0.99165244658499496</v>
      </c>
    </row>
    <row r="19525" spans="1:11" x14ac:dyDescent="0.35">
      <c r="A19525" s="9" t="str">
        <f>HYPERLINK("http://www.ensembl.org/id/WBGene00009357", "WBGene00009357")</f>
        <v>WBGene00009357</v>
      </c>
      <c r="B19525" s="9" t="str">
        <f>HYPERLINK("http://www.ncbi.nlm.nih.gov/gene/185222", "185222")</f>
        <v>185222</v>
      </c>
      <c r="C19525" s="9"/>
      <c r="D19525" t="str">
        <f>"F33C8.2"</f>
        <v>F33C8.2</v>
      </c>
      <c r="F19525" t="s">
        <v>11</v>
      </c>
      <c r="H19525" s="12">
        <v>1.4137858767932601</v>
      </c>
      <c r="I19525" s="20">
        <v>0.20445790300245401</v>
      </c>
      <c r="J19525" s="28">
        <v>0.83799568563120097</v>
      </c>
      <c r="K19525" s="29">
        <v>0.99165244658499496</v>
      </c>
    </row>
    <row r="19526" spans="1:11" x14ac:dyDescent="0.35">
      <c r="A19526" s="9" t="str">
        <f>HYPERLINK("http://www.ensembl.org/id/WBGene00018946", "WBGene00018946")</f>
        <v>WBGene00018946</v>
      </c>
      <c r="B19526" s="9" t="str">
        <f>HYPERLINK("http://www.ncbi.nlm.nih.gov/gene/186367", "186367")</f>
        <v>186367</v>
      </c>
      <c r="C19526" s="9"/>
      <c r="D19526" t="str">
        <f>"F56C3.9"</f>
        <v>F56C3.9</v>
      </c>
      <c r="F19526" t="s">
        <v>11</v>
      </c>
      <c r="G19526" t="s">
        <v>54</v>
      </c>
      <c r="H19526" s="12">
        <v>-1.1343898464686699</v>
      </c>
      <c r="I19526" s="20">
        <v>-0.204156857080422</v>
      </c>
      <c r="J19526" s="28">
        <v>0.83823092432312396</v>
      </c>
      <c r="K19526" s="29">
        <v>0.99165244658499496</v>
      </c>
    </row>
    <row r="19527" spans="1:11" x14ac:dyDescent="0.35">
      <c r="A19527" s="9" t="str">
        <f>HYPERLINK("http://www.ensembl.org/id/WBGene00019003", "WBGene00019003")</f>
        <v>WBGene00019003</v>
      </c>
      <c r="B19527" s="9" t="str">
        <f>HYPERLINK("http://www.ncbi.nlm.nih.gov/gene/172372", "172372")</f>
        <v>172372</v>
      </c>
      <c r="C19527" s="9" t="str">
        <f>HYPERLINK("http://www.ncbi.nlm.nih.gov/gene/51014", "51014")</f>
        <v>51014</v>
      </c>
      <c r="D19527" t="str">
        <f>"F57B10.5"</f>
        <v>F57B10.5</v>
      </c>
      <c r="F19527" t="s">
        <v>11</v>
      </c>
      <c r="G19527" t="s">
        <v>5288</v>
      </c>
      <c r="H19527" s="12">
        <v>-1.0418087273423</v>
      </c>
      <c r="I19527" s="20">
        <v>-0.204690793747137</v>
      </c>
      <c r="J19527" s="28">
        <v>0.83781371364562296</v>
      </c>
      <c r="K19527" s="29">
        <v>0.99165244658499496</v>
      </c>
    </row>
    <row r="19528" spans="1:11" x14ac:dyDescent="0.35">
      <c r="A19528" s="9" t="str">
        <f>HYPERLINK("http://www.ensembl.org/id/WBGene00008117", "WBGene00008117")</f>
        <v>WBGene00008117</v>
      </c>
      <c r="B19528" s="9" t="str">
        <f>HYPERLINK("http://www.ncbi.nlm.nih.gov/gene/175467", "175467")</f>
        <v>175467</v>
      </c>
      <c r="C19528" s="9" t="str">
        <f>HYPERLINK("http://www.ncbi.nlm.nih.gov/gene/2936", "2936")</f>
        <v>2936</v>
      </c>
      <c r="D19528" t="str">
        <f>"gsr-1"</f>
        <v>gsr-1</v>
      </c>
      <c r="E19528" t="s">
        <v>10429</v>
      </c>
      <c r="F19528" t="s">
        <v>11</v>
      </c>
      <c r="G19528" t="s">
        <v>10430</v>
      </c>
      <c r="H19528" s="12">
        <v>-1.0375808738819201</v>
      </c>
      <c r="I19528" s="20">
        <v>-0.20397648463429099</v>
      </c>
      <c r="J19528" s="28">
        <v>0.83837187512425104</v>
      </c>
      <c r="K19528" s="29">
        <v>0.99165244658499496</v>
      </c>
    </row>
    <row r="19529" spans="1:11" x14ac:dyDescent="0.35">
      <c r="A19529" s="9" t="str">
        <f>HYPERLINK("http://www.ensembl.org/id/WBGene00003442", "WBGene00003442")</f>
        <v>WBGene00003442</v>
      </c>
      <c r="B19529" s="9" t="str">
        <f>HYPERLINK("http://www.ncbi.nlm.nih.gov/gene/173888", "173888")</f>
        <v>173888</v>
      </c>
      <c r="C19529" s="9"/>
      <c r="D19529" t="str">
        <f>"msp-49"</f>
        <v>msp-49</v>
      </c>
      <c r="E19529" t="s">
        <v>10427</v>
      </c>
      <c r="F19529" t="s">
        <v>11</v>
      </c>
      <c r="H19529" s="12">
        <v>1.1029586691723201</v>
      </c>
      <c r="I19529" s="20">
        <v>0.20417981055838499</v>
      </c>
      <c r="J19529" s="28">
        <v>0.83821298785862997</v>
      </c>
      <c r="K19529" s="29">
        <v>0.99165244658499496</v>
      </c>
    </row>
    <row r="19530" spans="1:11" x14ac:dyDescent="0.35">
      <c r="A19530" s="9" t="str">
        <f>HYPERLINK("http://www.ensembl.org/id/WBGene00019865", "WBGene00019865")</f>
        <v>WBGene00019865</v>
      </c>
      <c r="B19530" s="9" t="str">
        <f>HYPERLINK("http://www.ncbi.nlm.nih.gov/gene/180395", "180395")</f>
        <v>180395</v>
      </c>
      <c r="C19530" s="9"/>
      <c r="D19530" t="str">
        <f>"R04A9.6"</f>
        <v>R04A9.6</v>
      </c>
      <c r="F19530" t="s">
        <v>11</v>
      </c>
      <c r="H19530" s="12">
        <v>-1.0950354083615299</v>
      </c>
      <c r="I19530" s="20">
        <v>-0.204111013869058</v>
      </c>
      <c r="J19530" s="28">
        <v>0.83826674769196496</v>
      </c>
      <c r="K19530" s="29">
        <v>0.99165244658499496</v>
      </c>
    </row>
    <row r="19531" spans="1:11" x14ac:dyDescent="0.35">
      <c r="A19531" s="9" t="str">
        <f>HYPERLINK("http://www.ensembl.org/id/WBGene00009950", "WBGene00009950")</f>
        <v>WBGene00009950</v>
      </c>
      <c r="B19531" s="9" t="str">
        <f>HYPERLINK("http://www.ncbi.nlm.nih.gov/gene/186138", "186138")</f>
        <v>186138</v>
      </c>
      <c r="C19531" s="9"/>
      <c r="D19531" t="str">
        <f>"sdz-20"</f>
        <v>sdz-20</v>
      </c>
      <c r="E19531" t="s">
        <v>90</v>
      </c>
      <c r="F19531" t="s">
        <v>11</v>
      </c>
      <c r="G19531" t="s">
        <v>25</v>
      </c>
      <c r="H19531" s="12">
        <v>1.2888826912987701</v>
      </c>
      <c r="I19531" s="20">
        <v>0.204544598975477</v>
      </c>
      <c r="J19531" s="28">
        <v>0.83792794367658396</v>
      </c>
      <c r="K19531" s="29">
        <v>0.99165244658499496</v>
      </c>
    </row>
    <row r="19532" spans="1:11" x14ac:dyDescent="0.35">
      <c r="A19532" s="9" t="str">
        <f>HYPERLINK("http://www.ensembl.org/id/WBGene00011235", "WBGene00011235")</f>
        <v>WBGene00011235</v>
      </c>
      <c r="B19532" s="9" t="str">
        <f>HYPERLINK("http://www.ncbi.nlm.nih.gov/gene/172557", "172557")</f>
        <v>172557</v>
      </c>
      <c r="C19532" s="9" t="str">
        <f>HYPERLINK("http://www.ncbi.nlm.nih.gov/gene/1358", "1358")</f>
        <v>1358</v>
      </c>
      <c r="D19532" t="str">
        <f>"suro-1"</f>
        <v>suro-1</v>
      </c>
      <c r="E19532" t="s">
        <v>10425</v>
      </c>
      <c r="F19532" t="s">
        <v>11</v>
      </c>
      <c r="G19532" t="s">
        <v>10426</v>
      </c>
      <c r="H19532" s="12">
        <v>1.1279489379055201</v>
      </c>
      <c r="I19532" s="20">
        <v>0.20443525897260201</v>
      </c>
      <c r="J19532" s="28">
        <v>0.83801337927874997</v>
      </c>
      <c r="K19532" s="29">
        <v>0.99165244658499496</v>
      </c>
    </row>
    <row r="19533" spans="1:11" x14ac:dyDescent="0.35">
      <c r="A19533" s="9" t="str">
        <f>HYPERLINK("http://www.ensembl.org/id/WBGene00020744", "WBGene00020744")</f>
        <v>WBGene00020744</v>
      </c>
      <c r="B19533" s="9" t="str">
        <f>HYPERLINK("http://www.ncbi.nlm.nih.gov/gene/188821", "188821")</f>
        <v>188821</v>
      </c>
      <c r="C19533" s="9"/>
      <c r="D19533" t="str">
        <f>"T24A6.1"</f>
        <v>T24A6.1</v>
      </c>
      <c r="F19533" t="s">
        <v>11</v>
      </c>
      <c r="G19533" t="s">
        <v>4346</v>
      </c>
      <c r="H19533" s="12">
        <v>-1.19627248873584</v>
      </c>
      <c r="I19533" s="20">
        <v>-0.20398065764996201</v>
      </c>
      <c r="J19533" s="28">
        <v>0.83836861409138397</v>
      </c>
      <c r="K19533" s="29">
        <v>0.99165244658499496</v>
      </c>
    </row>
    <row r="19534" spans="1:11" x14ac:dyDescent="0.35">
      <c r="A19534" s="9" t="str">
        <f>HYPERLINK("http://www.ensembl.org/id/WBGene00206515", "WBGene00206515")</f>
        <v>WBGene00206515</v>
      </c>
      <c r="B19534" s="9" t="str">
        <f>HYPERLINK("http://www.ncbi.nlm.nih.gov/gene/13197163", "13197163")</f>
        <v>13197163</v>
      </c>
      <c r="C19534" s="9"/>
      <c r="D19534" t="str">
        <f>"T28C6.11"</f>
        <v>T28C6.11</v>
      </c>
      <c r="F19534" t="s">
        <v>11</v>
      </c>
      <c r="H19534" s="12">
        <v>1.2888826912987701</v>
      </c>
      <c r="I19534" s="20">
        <v>0.204544598975477</v>
      </c>
      <c r="J19534" s="28">
        <v>0.83792794367658396</v>
      </c>
      <c r="K19534" s="29">
        <v>0.99165244658499496</v>
      </c>
    </row>
    <row r="19535" spans="1:11" x14ac:dyDescent="0.35">
      <c r="A19535" s="9" t="str">
        <f>HYPERLINK("http://www.ensembl.org/id/WBGene00011448", "WBGene00011448")</f>
        <v>WBGene00011448</v>
      </c>
      <c r="B19535" s="9"/>
      <c r="C19535" s="9"/>
      <c r="D19535" t="str">
        <f>"tag-348"</f>
        <v>tag-348</v>
      </c>
      <c r="F19535" t="s">
        <v>80</v>
      </c>
      <c r="H19535" s="12">
        <v>-1.2730054065151799</v>
      </c>
      <c r="I19535" s="20">
        <v>-0.20473883215297001</v>
      </c>
      <c r="J19535" s="28">
        <v>0.83777617933808401</v>
      </c>
      <c r="K19535" s="29">
        <v>0.99165244658499496</v>
      </c>
    </row>
    <row r="19536" spans="1:11" x14ac:dyDescent="0.35">
      <c r="A19536" s="9" t="str">
        <f>HYPERLINK("http://www.ensembl.org/id/WBGene00012654", "WBGene00012654")</f>
        <v>WBGene00012654</v>
      </c>
      <c r="B19536" s="9" t="str">
        <f>HYPERLINK("http://www.ncbi.nlm.nih.gov/gene/189710", "189710")</f>
        <v>189710</v>
      </c>
      <c r="C19536" s="9"/>
      <c r="D19536" t="str">
        <f>"Y39A1A.16"</f>
        <v>Y39A1A.16</v>
      </c>
      <c r="F19536" t="s">
        <v>11</v>
      </c>
      <c r="G19536" t="s">
        <v>54</v>
      </c>
      <c r="H19536" s="12">
        <v>-1.12614383116174</v>
      </c>
      <c r="I19536" s="20">
        <v>-0.203982646451629</v>
      </c>
      <c r="J19536" s="28">
        <v>0.83836705992910998</v>
      </c>
      <c r="K19536" s="29">
        <v>0.99165244658499496</v>
      </c>
    </row>
    <row r="19537" spans="1:11" x14ac:dyDescent="0.35">
      <c r="A19537" s="9" t="str">
        <f>HYPERLINK("http://www.ensembl.org/id/WBGene00021891", "WBGene00021891")</f>
        <v>WBGene00021891</v>
      </c>
      <c r="B19537" s="9" t="str">
        <f>HYPERLINK("http://www.ncbi.nlm.nih.gov/gene/190284", "190284")</f>
        <v>190284</v>
      </c>
      <c r="C19537" s="9"/>
      <c r="D19537" t="str">
        <f>"Y54G2A.27"</f>
        <v>Y54G2A.27</v>
      </c>
      <c r="F19537" t="s">
        <v>11</v>
      </c>
      <c r="H19537" s="12">
        <v>-1.29694497095668</v>
      </c>
      <c r="I19537" s="20">
        <v>-0.20468354954729201</v>
      </c>
      <c r="J19537" s="28">
        <v>0.83781937385766903</v>
      </c>
      <c r="K19537" s="29">
        <v>0.99165244658499496</v>
      </c>
    </row>
    <row r="19538" spans="1:11" x14ac:dyDescent="0.35">
      <c r="A19538" s="9" t="str">
        <f>HYPERLINK("http://www.ensembl.org/id/WBGene00012357", "WBGene00012357")</f>
        <v>WBGene00012357</v>
      </c>
      <c r="B19538" s="9" t="str">
        <f>HYPERLINK("http://www.ncbi.nlm.nih.gov/gene/176538", "176538")</f>
        <v>176538</v>
      </c>
      <c r="C19538" s="9"/>
      <c r="D19538" t="str">
        <f>"W09D6.4"</f>
        <v>W09D6.4</v>
      </c>
      <c r="F19538" t="s">
        <v>11</v>
      </c>
      <c r="H19538" s="12">
        <v>1.2189060503248399</v>
      </c>
      <c r="I19538" s="20">
        <v>0.20389081181715599</v>
      </c>
      <c r="J19538" s="28">
        <v>0.83843882537179804</v>
      </c>
      <c r="K19538" s="29">
        <v>0.991654765511915</v>
      </c>
    </row>
    <row r="19539" spans="1:11" x14ac:dyDescent="0.35">
      <c r="A19539" s="9" t="str">
        <f>HYPERLINK("http://www.ensembl.org/id/WBGene00269433", "WBGene00269433")</f>
        <v>WBGene00269433</v>
      </c>
      <c r="B19539" s="9" t="str">
        <f>HYPERLINK("http://www.ncbi.nlm.nih.gov/gene/28661655", "28661655")</f>
        <v>28661655</v>
      </c>
      <c r="C19539" s="9"/>
      <c r="D19539" t="str">
        <f>"T16G12.12"</f>
        <v>T16G12.12</v>
      </c>
      <c r="F19539" t="s">
        <v>11</v>
      </c>
      <c r="G19539" t="s">
        <v>25</v>
      </c>
      <c r="H19539" s="12">
        <v>-1.23712937940921</v>
      </c>
      <c r="I19539" s="20">
        <v>-0.203835076575723</v>
      </c>
      <c r="J19539" s="28">
        <v>0.83848238110080997</v>
      </c>
      <c r="K19539" s="29">
        <v>0.99165552017788405</v>
      </c>
    </row>
    <row r="19540" spans="1:11" x14ac:dyDescent="0.35">
      <c r="A19540" s="9" t="str">
        <f>HYPERLINK("http://www.ensembl.org/id/WBGene00013376", "WBGene00013376")</f>
        <v>WBGene00013376</v>
      </c>
      <c r="B19540" s="9" t="str">
        <f>HYPERLINK("http://www.ncbi.nlm.nih.gov/gene/178299", "178299")</f>
        <v>178299</v>
      </c>
      <c r="C19540" s="9"/>
      <c r="D19540" t="str">
        <f>"Y62E10A.6"</f>
        <v>Y62E10A.6</v>
      </c>
      <c r="E19540" t="s">
        <v>10433</v>
      </c>
      <c r="F19540" t="s">
        <v>11</v>
      </c>
      <c r="G19540" t="s">
        <v>10434</v>
      </c>
      <c r="H19540" s="12">
        <v>1.0481146429205599</v>
      </c>
      <c r="I19540" s="20">
        <v>0.20355322722976699</v>
      </c>
      <c r="J19540" s="28">
        <v>0.83870264705180297</v>
      </c>
      <c r="K19540" s="29">
        <v>0.99186525554196703</v>
      </c>
    </row>
    <row r="19541" spans="1:11" x14ac:dyDescent="0.35">
      <c r="A19541" s="9" t="str">
        <f>HYPERLINK("http://www.ensembl.org/id/WBGene00202134", "WBGene00202134")</f>
        <v>WBGene00202134</v>
      </c>
      <c r="B19541" s="9"/>
      <c r="C19541" s="9"/>
      <c r="D19541" t="str">
        <f>"C11E4.16"</f>
        <v>C11E4.16</v>
      </c>
      <c r="F19541" t="s">
        <v>481</v>
      </c>
      <c r="H19541" s="12">
        <v>1.5338846194304101</v>
      </c>
      <c r="I19541" s="20">
        <v>0.20348227722617501</v>
      </c>
      <c r="J19541" s="28">
        <v>0.83875809664423795</v>
      </c>
      <c r="K19541" s="29">
        <v>0.99188006454075295</v>
      </c>
    </row>
    <row r="19542" spans="1:11" x14ac:dyDescent="0.35">
      <c r="A19542" s="9" t="str">
        <f>HYPERLINK("http://www.ensembl.org/id/WBGene00019010", "WBGene00019010")</f>
        <v>WBGene00019010</v>
      </c>
      <c r="B19542" s="9" t="str">
        <f>HYPERLINK("http://www.ncbi.nlm.nih.gov/gene/186447", "186447")</f>
        <v>186447</v>
      </c>
      <c r="C19542" s="9"/>
      <c r="D19542" t="str">
        <f>"glo-2"</f>
        <v>glo-2</v>
      </c>
      <c r="E19542" t="s">
        <v>10435</v>
      </c>
      <c r="F19542" t="s">
        <v>11</v>
      </c>
      <c r="H19542" s="12">
        <v>1.0902985143833599</v>
      </c>
      <c r="I19542" s="20">
        <v>0.20325249977057799</v>
      </c>
      <c r="J19542" s="28">
        <v>0.83893768022922099</v>
      </c>
      <c r="K19542" s="29">
        <v>0.99194013096798594</v>
      </c>
    </row>
    <row r="19543" spans="1:11" x14ac:dyDescent="0.35">
      <c r="A19543" s="9" t="str">
        <f>HYPERLINK("http://www.ensembl.org/id/WBGene00011249", "WBGene00011249")</f>
        <v>WBGene00011249</v>
      </c>
      <c r="B19543" s="9" t="str">
        <f>HYPERLINK("http://www.ncbi.nlm.nih.gov/gene/187819", "187819")</f>
        <v>187819</v>
      </c>
      <c r="C19543" s="9"/>
      <c r="D19543" t="str">
        <f>"R11G10.2"</f>
        <v>R11G10.2</v>
      </c>
      <c r="E19543" t="s">
        <v>10436</v>
      </c>
      <c r="F19543" t="s">
        <v>11</v>
      </c>
      <c r="G19543" t="s">
        <v>10437</v>
      </c>
      <c r="H19543" s="12">
        <v>-1.0833053044549701</v>
      </c>
      <c r="I19543" s="20">
        <v>-0.20335836808178301</v>
      </c>
      <c r="J19543" s="28">
        <v>0.83885493734065297</v>
      </c>
      <c r="K19543" s="29">
        <v>0.99194013096798594</v>
      </c>
    </row>
    <row r="19544" spans="1:11" x14ac:dyDescent="0.35">
      <c r="A19544" s="9" t="str">
        <f>HYPERLINK("http://www.ensembl.org/id/WBGene00022156", "WBGene00022156")</f>
        <v>WBGene00022156</v>
      </c>
      <c r="B19544" s="9" t="str">
        <f>HYPERLINK("http://www.ncbi.nlm.nih.gov/gene/171729", "171729")</f>
        <v>171729</v>
      </c>
      <c r="C19544" s="9"/>
      <c r="D19544" t="str">
        <f>"Y71G12B.18"</f>
        <v>Y71G12B.18</v>
      </c>
      <c r="F19544" t="s">
        <v>11</v>
      </c>
      <c r="H19544" s="12">
        <v>1.37935555965668</v>
      </c>
      <c r="I19544" s="20">
        <v>0.203284517732567</v>
      </c>
      <c r="J19544" s="28">
        <v>0.83891265594652098</v>
      </c>
      <c r="K19544" s="29">
        <v>0.99194013096798594</v>
      </c>
    </row>
    <row r="19545" spans="1:11" x14ac:dyDescent="0.35">
      <c r="A19545" s="9" t="str">
        <f>HYPERLINK("http://www.ensembl.org/id/WBGene00045249", "WBGene00045249")</f>
        <v>WBGene00045249</v>
      </c>
      <c r="B19545" s="9" t="str">
        <f>HYPERLINK("http://www.ncbi.nlm.nih.gov/gene/6418677", "6418677")</f>
        <v>6418677</v>
      </c>
      <c r="C19545" s="9"/>
      <c r="D19545" t="str">
        <f>"T07A9.15"</f>
        <v>T07A9.15</v>
      </c>
      <c r="F19545" t="s">
        <v>11</v>
      </c>
      <c r="H19545" s="12">
        <v>1.0604717925089</v>
      </c>
      <c r="I19545" s="20">
        <v>0.20317534222309599</v>
      </c>
      <c r="J19545" s="28">
        <v>0.838997984932638</v>
      </c>
      <c r="K19545" s="29">
        <v>0.99196067337939597</v>
      </c>
    </row>
    <row r="19546" spans="1:11" x14ac:dyDescent="0.35">
      <c r="A19546" s="9" t="str">
        <f>HYPERLINK("http://www.ensembl.org/id/WBGene00006868", "WBGene00006868")</f>
        <v>WBGene00006868</v>
      </c>
      <c r="B19546" s="9" t="str">
        <f>HYPERLINK("http://www.ncbi.nlm.nih.gov/gene/173794", "173794")</f>
        <v>173794</v>
      </c>
      <c r="C19546" s="9" t="str">
        <f>HYPERLINK("http://www.ncbi.nlm.nih.gov/gene/2043", "2043")</f>
        <v>2043</v>
      </c>
      <c r="D19546" t="str">
        <f>"vab-1"</f>
        <v>vab-1</v>
      </c>
      <c r="E19546" t="s">
        <v>10438</v>
      </c>
      <c r="F19546" t="s">
        <v>11</v>
      </c>
      <c r="G19546" t="s">
        <v>10439</v>
      </c>
      <c r="H19546" s="12">
        <v>1.0407349116264</v>
      </c>
      <c r="I19546" s="20">
        <v>0.20309014573140899</v>
      </c>
      <c r="J19546" s="28">
        <v>0.83906457380266297</v>
      </c>
      <c r="K19546" s="29">
        <v>0.99198864317868995</v>
      </c>
    </row>
    <row r="19547" spans="1:11" x14ac:dyDescent="0.35">
      <c r="A19547" s="9" t="str">
        <f>HYPERLINK("http://www.ensembl.org/id/WBGene00000183", "WBGene00000183")</f>
        <v>WBGene00000183</v>
      </c>
      <c r="B19547" s="9" t="str">
        <f>HYPERLINK("http://www.ncbi.nlm.nih.gov/gene/177595", "177595")</f>
        <v>177595</v>
      </c>
      <c r="C19547" s="9" t="str">
        <f>HYPERLINK("http://www.ncbi.nlm.nih.gov/gene/381", "381")</f>
        <v>381</v>
      </c>
      <c r="D19547" t="str">
        <f>"arf-3"</f>
        <v>arf-3</v>
      </c>
      <c r="E19547" t="s">
        <v>10444</v>
      </c>
      <c r="F19547" t="s">
        <v>11</v>
      </c>
      <c r="G19547" t="s">
        <v>10445</v>
      </c>
      <c r="H19547" s="12">
        <v>-1.0379975892181399</v>
      </c>
      <c r="I19547" s="20">
        <v>-0.20296199863369799</v>
      </c>
      <c r="J19547" s="28">
        <v>0.83916473467919805</v>
      </c>
      <c r="K19547" s="29">
        <v>0.99201342480561705</v>
      </c>
    </row>
    <row r="19548" spans="1:11" x14ac:dyDescent="0.35">
      <c r="A19548" s="9" t="str">
        <f>HYPERLINK("http://www.ensembl.org/id/WBGene00044359", "WBGene00044359")</f>
        <v>WBGene00044359</v>
      </c>
      <c r="B19548" s="9" t="str">
        <f>HYPERLINK("http://www.ncbi.nlm.nih.gov/gene/3565080", "3565080")</f>
        <v>3565080</v>
      </c>
      <c r="C19548" s="9"/>
      <c r="D19548" t="str">
        <f>"C16C4.17"</f>
        <v>C16C4.17</v>
      </c>
      <c r="F19548" t="s">
        <v>11</v>
      </c>
      <c r="H19548" s="12">
        <v>1.25828980357739</v>
      </c>
      <c r="I19548" s="20">
        <v>0.202933211360703</v>
      </c>
      <c r="J19548" s="28">
        <v>0.83918723541839102</v>
      </c>
      <c r="K19548" s="29">
        <v>0.99201342480561705</v>
      </c>
    </row>
    <row r="19549" spans="1:11" x14ac:dyDescent="0.35">
      <c r="A19549" s="9" t="str">
        <f>HYPERLINK("http://www.ensembl.org/id/WBGene00019328", "WBGene00019328")</f>
        <v>WBGene00019328</v>
      </c>
      <c r="B19549" s="9" t="str">
        <f>HYPERLINK("http://www.ncbi.nlm.nih.gov/gene/186903", "186903")</f>
        <v>186903</v>
      </c>
      <c r="C19549" s="9"/>
      <c r="D19549" t="str">
        <f>"clec-149"</f>
        <v>clec-149</v>
      </c>
      <c r="E19549" t="s">
        <v>46</v>
      </c>
      <c r="F19549" t="s">
        <v>11</v>
      </c>
      <c r="G19549" t="s">
        <v>47</v>
      </c>
      <c r="H19549" s="12">
        <v>-1.05420016964948</v>
      </c>
      <c r="I19549" s="20">
        <v>-0.20184159986251601</v>
      </c>
      <c r="J19549" s="28">
        <v>0.840040558803683</v>
      </c>
      <c r="K19549" s="29">
        <v>0.99201342480561705</v>
      </c>
    </row>
    <row r="19550" spans="1:11" x14ac:dyDescent="0.35">
      <c r="A19550" s="9" t="str">
        <f>HYPERLINK("http://www.ensembl.org/id/WBGene00008665", "WBGene00008665")</f>
        <v>WBGene00008665</v>
      </c>
      <c r="B19550" s="9" t="str">
        <f>HYPERLINK("http://www.ncbi.nlm.nih.gov/gene/172867", "172867")</f>
        <v>172867</v>
      </c>
      <c r="C19550" s="9"/>
      <c r="D19550" t="str">
        <f>"ercc-1"</f>
        <v>ercc-1</v>
      </c>
      <c r="E19550" t="s">
        <v>10449</v>
      </c>
      <c r="F19550" t="s">
        <v>11</v>
      </c>
      <c r="G19550" t="s">
        <v>10450</v>
      </c>
      <c r="H19550" s="12">
        <v>-1.04543477935316</v>
      </c>
      <c r="I19550" s="20">
        <v>-0.201950794172715</v>
      </c>
      <c r="J19550" s="28">
        <v>0.83995519206336999</v>
      </c>
      <c r="K19550" s="29">
        <v>0.99201342480561705</v>
      </c>
    </row>
    <row r="19551" spans="1:11" x14ac:dyDescent="0.35">
      <c r="A19551" s="9" t="str">
        <f>HYPERLINK("http://www.ensembl.org/id/WBGene00270320", "WBGene00270320")</f>
        <v>WBGene00270320</v>
      </c>
      <c r="B19551" s="9" t="str">
        <f>HYPERLINK("http://www.ncbi.nlm.nih.gov/gene/29991190", "29991190")</f>
        <v>29991190</v>
      </c>
      <c r="C19551" s="9"/>
      <c r="D19551" t="str">
        <f>"F27D9.13"</f>
        <v>F27D9.13</v>
      </c>
      <c r="F19551" t="s">
        <v>11</v>
      </c>
      <c r="H19551" s="12">
        <v>-1.0749517627823</v>
      </c>
      <c r="I19551" s="20">
        <v>-0.202197032159254</v>
      </c>
      <c r="J19551" s="28">
        <v>0.83976269320850105</v>
      </c>
      <c r="K19551" s="29">
        <v>0.99201342480561705</v>
      </c>
    </row>
    <row r="19552" spans="1:11" x14ac:dyDescent="0.35">
      <c r="A19552" s="9" t="str">
        <f>HYPERLINK("http://www.ensembl.org/id/WBGene00009851", "WBGene00009851")</f>
        <v>WBGene00009851</v>
      </c>
      <c r="B19552" s="9" t="str">
        <f>HYPERLINK("http://www.ncbi.nlm.nih.gov/gene/181507", "181507")</f>
        <v>181507</v>
      </c>
      <c r="C19552" s="9"/>
      <c r="D19552" t="str">
        <f>"F48F7.6"</f>
        <v>F48F7.6</v>
      </c>
      <c r="F19552" t="s">
        <v>11</v>
      </c>
      <c r="H19552" s="12">
        <v>1.0411486096976299</v>
      </c>
      <c r="I19552" s="20">
        <v>0.20209548718862</v>
      </c>
      <c r="J19552" s="28">
        <v>0.83984207578087</v>
      </c>
      <c r="K19552" s="29">
        <v>0.99201342480561705</v>
      </c>
    </row>
    <row r="19553" spans="1:11" x14ac:dyDescent="0.35">
      <c r="A19553" s="9" t="str">
        <f>HYPERLINK("http://www.ensembl.org/id/WBGene00017744", "WBGene00017744")</f>
        <v>WBGene00017744</v>
      </c>
      <c r="B19553" s="9" t="str">
        <f>HYPERLINK("http://www.ncbi.nlm.nih.gov/gene/184901", "184901")</f>
        <v>184901</v>
      </c>
      <c r="C19553" s="9"/>
      <c r="D19553" t="str">
        <f>"fbxc-54"</f>
        <v>fbxc-54</v>
      </c>
      <c r="E19553" t="s">
        <v>311</v>
      </c>
      <c r="F19553" t="s">
        <v>11</v>
      </c>
      <c r="H19553" s="12">
        <v>-1.0482752779256099</v>
      </c>
      <c r="I19553" s="20">
        <v>-0.202497358404997</v>
      </c>
      <c r="J19553" s="28">
        <v>0.83952792332397597</v>
      </c>
      <c r="K19553" s="29">
        <v>0.99201342480561705</v>
      </c>
    </row>
    <row r="19554" spans="1:11" x14ac:dyDescent="0.35">
      <c r="A19554" s="9" t="str">
        <f>HYPERLINK("http://www.ensembl.org/id/WBGene00019157", "WBGene00019157")</f>
        <v>WBGene00019157</v>
      </c>
      <c r="B19554" s="9" t="str">
        <f>HYPERLINK("http://www.ncbi.nlm.nih.gov/gene/259329", "259329")</f>
        <v>259329</v>
      </c>
      <c r="C19554" s="9"/>
      <c r="D19554" t="str">
        <f>"H05C05.1"</f>
        <v>H05C05.1</v>
      </c>
      <c r="F19554" t="s">
        <v>11</v>
      </c>
      <c r="G19554" t="s">
        <v>10440</v>
      </c>
      <c r="H19554" s="12">
        <v>1.0394457930157099</v>
      </c>
      <c r="I19554" s="20">
        <v>0.20250614513746901</v>
      </c>
      <c r="J19554" s="28">
        <v>0.83952105480793104</v>
      </c>
      <c r="K19554" s="29">
        <v>0.99201342480561705</v>
      </c>
    </row>
    <row r="19555" spans="1:11" x14ac:dyDescent="0.35">
      <c r="A19555" s="9" t="str">
        <f>HYPERLINK("http://www.ensembl.org/id/WBGene00007387", "WBGene00007387")</f>
        <v>WBGene00007387</v>
      </c>
      <c r="B19555" s="9" t="str">
        <f>HYPERLINK("http://www.ncbi.nlm.nih.gov/gene/179543", "179543")</f>
        <v>179543</v>
      </c>
      <c r="C19555" s="9" t="str">
        <f>HYPERLINK("http://www.ncbi.nlm.nih.gov/gene/79831", "79831")</f>
        <v>79831</v>
      </c>
      <c r="D19555" t="str">
        <f>"jmjd-5"</f>
        <v>jmjd-5</v>
      </c>
      <c r="E19555" t="s">
        <v>1355</v>
      </c>
      <c r="F19555" t="s">
        <v>11</v>
      </c>
      <c r="G19555" t="s">
        <v>10446</v>
      </c>
      <c r="H19555" s="12">
        <v>-1.0444627537459801</v>
      </c>
      <c r="I19555" s="20">
        <v>-0.20163536330635701</v>
      </c>
      <c r="J19555" s="28">
        <v>0.84020179708499598</v>
      </c>
      <c r="K19555" s="29">
        <v>0.99201342480561705</v>
      </c>
    </row>
    <row r="19556" spans="1:11" x14ac:dyDescent="0.35">
      <c r="A19556" s="9" t="str">
        <f>HYPERLINK("http://www.ensembl.org/id/WBGene00019625", "WBGene00019625")</f>
        <v>WBGene00019625</v>
      </c>
      <c r="B19556" s="9" t="str">
        <f>HYPERLINK("http://www.ncbi.nlm.nih.gov/gene/187260", "187260")</f>
        <v>187260</v>
      </c>
      <c r="C19556" s="9"/>
      <c r="D19556" t="str">
        <f>"K10C9.4"</f>
        <v>K10C9.4</v>
      </c>
      <c r="F19556" t="s">
        <v>11</v>
      </c>
      <c r="G19556" t="s">
        <v>591</v>
      </c>
      <c r="H19556" s="12">
        <v>1.75409295706798</v>
      </c>
      <c r="I19556" s="20">
        <v>0.202179974378112</v>
      </c>
      <c r="J19556" s="28">
        <v>0.83977602798002005</v>
      </c>
      <c r="K19556" s="29">
        <v>0.99201342480561705</v>
      </c>
    </row>
    <row r="19557" spans="1:11" x14ac:dyDescent="0.35">
      <c r="A19557" s="9" t="str">
        <f>HYPERLINK("http://www.ensembl.org/id/WBGene00002215", "WBGene00002215")</f>
        <v>WBGene00002215</v>
      </c>
      <c r="B19557" s="9" t="str">
        <f>HYPERLINK("http://www.ncbi.nlm.nih.gov/gene/178942", "178942")</f>
        <v>178942</v>
      </c>
      <c r="C19557" s="9" t="str">
        <f>HYPERLINK("http://www.ncbi.nlm.nih.gov/gene/3831", "3831")</f>
        <v>3831</v>
      </c>
      <c r="D19557" t="str">
        <f>"klc-2"</f>
        <v>klc-2</v>
      </c>
      <c r="E19557" t="s">
        <v>10442</v>
      </c>
      <c r="F19557" t="s">
        <v>11</v>
      </c>
      <c r="G19557" t="s">
        <v>10443</v>
      </c>
      <c r="H19557" s="12">
        <v>-1.0376254703997601</v>
      </c>
      <c r="I19557" s="20">
        <v>-0.20230159082369401</v>
      </c>
      <c r="J19557" s="28">
        <v>0.83968095639034301</v>
      </c>
      <c r="K19557" s="29">
        <v>0.99201342480561705</v>
      </c>
    </row>
    <row r="19558" spans="1:11" x14ac:dyDescent="0.35">
      <c r="A19558" s="9" t="str">
        <f>HYPERLINK("http://www.ensembl.org/id/WBGene00002981", "WBGene00002981")</f>
        <v>WBGene00002981</v>
      </c>
      <c r="B19558" s="9" t="str">
        <f>HYPERLINK("http://www.ncbi.nlm.nih.gov/gene/177989", "177989")</f>
        <v>177989</v>
      </c>
      <c r="C19558" s="9" t="str">
        <f>HYPERLINK("http://www.ncbi.nlm.nih.gov/gene/84557", "84557")</f>
        <v>84557</v>
      </c>
      <c r="D19558" t="str">
        <f>"lgg-2"</f>
        <v>lgg-2</v>
      </c>
      <c r="F19558" t="s">
        <v>11</v>
      </c>
      <c r="G19558" t="s">
        <v>10441</v>
      </c>
      <c r="H19558" s="12">
        <v>1.0381193700639</v>
      </c>
      <c r="I19558" s="20">
        <v>0.20267676857823699</v>
      </c>
      <c r="J19558" s="28">
        <v>0.83938768230003102</v>
      </c>
      <c r="K19558" s="29">
        <v>0.99201342480561705</v>
      </c>
    </row>
    <row r="19559" spans="1:11" x14ac:dyDescent="0.35">
      <c r="A19559" s="9" t="str">
        <f>HYPERLINK("http://www.ensembl.org/id/WBGene00219223", "WBGene00219223")</f>
        <v>WBGene00219223</v>
      </c>
      <c r="B19559" s="9"/>
      <c r="C19559" s="9"/>
      <c r="D19559" t="str">
        <f>"mir-4814"</f>
        <v>mir-4814</v>
      </c>
      <c r="F19559" t="s">
        <v>1486</v>
      </c>
      <c r="H19559" s="12">
        <v>1.19895464230875</v>
      </c>
      <c r="I19559" s="20">
        <v>0.20251147502351599</v>
      </c>
      <c r="J19559" s="28">
        <v>0.83951688848607897</v>
      </c>
      <c r="K19559" s="29">
        <v>0.99201342480561705</v>
      </c>
    </row>
    <row r="19560" spans="1:11" x14ac:dyDescent="0.35">
      <c r="A19560" s="9" t="str">
        <f>HYPERLINK("http://www.ensembl.org/id/WBGene00008158", "WBGene00008158")</f>
        <v>WBGene00008158</v>
      </c>
      <c r="B19560" s="9" t="str">
        <f>HYPERLINK("http://www.ncbi.nlm.nih.gov/gene/183558", "183558")</f>
        <v>183558</v>
      </c>
      <c r="C19560" s="9"/>
      <c r="D19560" t="str">
        <f>"nhr-165"</f>
        <v>nhr-165</v>
      </c>
      <c r="E19560" t="s">
        <v>637</v>
      </c>
      <c r="F19560" t="s">
        <v>11</v>
      </c>
      <c r="G19560" t="s">
        <v>1073</v>
      </c>
      <c r="H19560" s="12">
        <v>-1.2966490016654</v>
      </c>
      <c r="I19560" s="20">
        <v>-0.20172792972808001</v>
      </c>
      <c r="J19560" s="28">
        <v>0.84012942668592006</v>
      </c>
      <c r="K19560" s="29">
        <v>0.99201342480561705</v>
      </c>
    </row>
    <row r="19561" spans="1:11" x14ac:dyDescent="0.35">
      <c r="A19561" s="9" t="str">
        <f>HYPERLINK("http://www.ensembl.org/id/WBGene00008358", "WBGene00008358")</f>
        <v>WBGene00008358</v>
      </c>
      <c r="B19561" s="9" t="str">
        <f>HYPERLINK("http://www.ncbi.nlm.nih.gov/gene/259734", "259734")</f>
        <v>259734</v>
      </c>
      <c r="C19561" s="9"/>
      <c r="D19561" t="str">
        <f>"nspc-18"</f>
        <v>nspc-18</v>
      </c>
      <c r="E19561" t="s">
        <v>4037</v>
      </c>
      <c r="F19561" t="s">
        <v>11</v>
      </c>
      <c r="H19561" s="12">
        <v>1.0414859594933601</v>
      </c>
      <c r="I19561" s="20">
        <v>0.202669077909478</v>
      </c>
      <c r="J19561" s="28">
        <v>0.83939369382367801</v>
      </c>
      <c r="K19561" s="29">
        <v>0.99201342480561705</v>
      </c>
    </row>
    <row r="19562" spans="1:11" x14ac:dyDescent="0.35">
      <c r="A19562" s="9" t="str">
        <f>HYPERLINK("http://www.ensembl.org/id/WBGene00006009", "WBGene00006009")</f>
        <v>WBGene00006009</v>
      </c>
      <c r="B19562" s="9" t="str">
        <f>HYPERLINK("http://www.ncbi.nlm.nih.gov/gene/188681", "188681")</f>
        <v>188681</v>
      </c>
      <c r="C19562" s="9"/>
      <c r="D19562" t="str">
        <f>"srx-118"</f>
        <v>srx-118</v>
      </c>
      <c r="E19562" t="s">
        <v>1477</v>
      </c>
      <c r="F19562" t="s">
        <v>11</v>
      </c>
      <c r="G19562" t="s">
        <v>25</v>
      </c>
      <c r="H19562" s="12">
        <v>1.37869139756822</v>
      </c>
      <c r="I19562" s="20">
        <v>0.202050453744475</v>
      </c>
      <c r="J19562" s="28">
        <v>0.83987728110488302</v>
      </c>
      <c r="K19562" s="29">
        <v>0.99201342480561705</v>
      </c>
    </row>
    <row r="19563" spans="1:11" x14ac:dyDescent="0.35">
      <c r="A19563" s="9" t="str">
        <f>HYPERLINK("http://www.ensembl.org/id/WBGene00044991", "WBGene00044991")</f>
        <v>WBGene00044991</v>
      </c>
      <c r="B19563" s="9" t="str">
        <f>HYPERLINK("http://www.ncbi.nlm.nih.gov/gene/4926902", "4926902")</f>
        <v>4926902</v>
      </c>
      <c r="C19563" s="9"/>
      <c r="D19563" t="str">
        <f>"T25B9.12"</f>
        <v>T25B9.12</v>
      </c>
      <c r="F19563" t="s">
        <v>11</v>
      </c>
      <c r="H19563" s="12">
        <v>1.1817943970432001</v>
      </c>
      <c r="I19563" s="20">
        <v>0.20209178739070899</v>
      </c>
      <c r="J19563" s="28">
        <v>0.83984496812105702</v>
      </c>
      <c r="K19563" s="29">
        <v>0.99201342480561705</v>
      </c>
    </row>
    <row r="19564" spans="1:11" x14ac:dyDescent="0.35">
      <c r="A19564" s="9" t="str">
        <f>HYPERLINK("http://www.ensembl.org/id/WBGene00020825", "WBGene00020825")</f>
        <v>WBGene00020825</v>
      </c>
      <c r="B19564" s="9" t="str">
        <f>HYPERLINK("http://www.ncbi.nlm.nih.gov/gene/188913", "188913")</f>
        <v>188913</v>
      </c>
      <c r="C19564" s="9"/>
      <c r="D19564" t="str">
        <f>"tmem-231"</f>
        <v>tmem-231</v>
      </c>
      <c r="E19564" t="s">
        <v>4361</v>
      </c>
      <c r="F19564" t="s">
        <v>11</v>
      </c>
      <c r="G19564" t="s">
        <v>10451</v>
      </c>
      <c r="H19564" s="12">
        <v>-1.16176008647854</v>
      </c>
      <c r="I19564" s="20">
        <v>-0.20165767471766899</v>
      </c>
      <c r="J19564" s="28">
        <v>0.84018435342508702</v>
      </c>
      <c r="K19564" s="29">
        <v>0.99201342480561705</v>
      </c>
    </row>
    <row r="19565" spans="1:11" x14ac:dyDescent="0.35">
      <c r="A19565" s="9" t="str">
        <f>HYPERLINK("http://www.ensembl.org/id/WBGene00006827", "WBGene00006827")</f>
        <v>WBGene00006827</v>
      </c>
      <c r="B19565" s="9" t="str">
        <f>HYPERLINK("http://www.ncbi.nlm.nih.gov/gene/181020", "181020")</f>
        <v>181020</v>
      </c>
      <c r="C19565" s="9"/>
      <c r="D19565" t="str">
        <f>"unc-98"</f>
        <v>unc-98</v>
      </c>
      <c r="E19565" t="s">
        <v>10447</v>
      </c>
      <c r="F19565" t="s">
        <v>11</v>
      </c>
      <c r="G19565" t="s">
        <v>10448</v>
      </c>
      <c r="H19565" s="12">
        <v>-1.0450069501413299</v>
      </c>
      <c r="I19565" s="20">
        <v>-0.20173618337501001</v>
      </c>
      <c r="J19565" s="28">
        <v>0.84012297387465495</v>
      </c>
      <c r="K19565" s="29">
        <v>0.99201342480561705</v>
      </c>
    </row>
    <row r="19566" spans="1:11" x14ac:dyDescent="0.35">
      <c r="A19566" s="9" t="str">
        <f>HYPERLINK("http://www.ensembl.org/id/WBGene00220147", "WBGene00220147")</f>
        <v>WBGene00220147</v>
      </c>
      <c r="B19566" s="9"/>
      <c r="C19566" s="9"/>
      <c r="D19566" t="str">
        <f>"Y40B1A.6"</f>
        <v>Y40B1A.6</v>
      </c>
      <c r="F19566" t="s">
        <v>2977</v>
      </c>
      <c r="H19566" s="12">
        <v>-1.4752748032646801</v>
      </c>
      <c r="I19566" s="20">
        <v>-0.20240505076860801</v>
      </c>
      <c r="J19566" s="28">
        <v>0.83960008017777299</v>
      </c>
      <c r="K19566" s="29">
        <v>0.99201342480561705</v>
      </c>
    </row>
    <row r="19567" spans="1:11" x14ac:dyDescent="0.35">
      <c r="A19567" s="9" t="str">
        <f>HYPERLINK("http://www.ensembl.org/id/WBGene00021814", "WBGene00021814")</f>
        <v>WBGene00021814</v>
      </c>
      <c r="B19567" s="9" t="str">
        <f>HYPERLINK("http://www.ncbi.nlm.nih.gov/gene/190242", "190242")</f>
        <v>190242</v>
      </c>
      <c r="C19567" s="9" t="str">
        <f>HYPERLINK("http://www.ncbi.nlm.nih.gov/gene/256471", "256471")</f>
        <v>256471</v>
      </c>
      <c r="D19567" t="str">
        <f>"Y53G8AR.7"</f>
        <v>Y53G8AR.7</v>
      </c>
      <c r="F19567" t="s">
        <v>11</v>
      </c>
      <c r="G19567" t="s">
        <v>230</v>
      </c>
      <c r="H19567" s="12">
        <v>1.1443766875157899</v>
      </c>
      <c r="I19567" s="20">
        <v>0.20190496275085501</v>
      </c>
      <c r="J19567" s="28">
        <v>0.83999102226418298</v>
      </c>
      <c r="K19567" s="29">
        <v>0.99201342480561705</v>
      </c>
    </row>
    <row r="19568" spans="1:11" x14ac:dyDescent="0.35">
      <c r="A19568" s="9" t="str">
        <f>HYPERLINK("http://www.ensembl.org/id/WBGene00014931", "WBGene00014931")</f>
        <v>WBGene00014931</v>
      </c>
      <c r="B19568" s="9"/>
      <c r="C19568" s="9"/>
      <c r="D19568" t="str">
        <f>"Y59A8B.t5"</f>
        <v>Y59A8B.t5</v>
      </c>
      <c r="F19568" t="s">
        <v>80</v>
      </c>
      <c r="H19568" s="12">
        <v>-1.4752748032646801</v>
      </c>
      <c r="I19568" s="20">
        <v>-0.20240505076860801</v>
      </c>
      <c r="J19568" s="28">
        <v>0.83960008017777299</v>
      </c>
      <c r="K19568" s="29">
        <v>0.99201342480561705</v>
      </c>
    </row>
    <row r="19569" spans="1:11" x14ac:dyDescent="0.35">
      <c r="A19569" s="9" t="str">
        <f>HYPERLINK("http://www.ensembl.org/id/WBGene00012399", "WBGene00012399")</f>
        <v>WBGene00012399</v>
      </c>
      <c r="B19569" s="9" t="str">
        <f>HYPERLINK("http://www.ncbi.nlm.nih.gov/gene/189376", "189376")</f>
        <v>189376</v>
      </c>
      <c r="C19569" s="9"/>
      <c r="D19569" t="str">
        <f>"Y6E2A.5"</f>
        <v>Y6E2A.5</v>
      </c>
      <c r="F19569" t="s">
        <v>11</v>
      </c>
      <c r="H19569" s="12">
        <v>-1.07249884178064</v>
      </c>
      <c r="I19569" s="20">
        <v>-0.201965368694526</v>
      </c>
      <c r="J19569" s="28">
        <v>0.83994379802764096</v>
      </c>
      <c r="K19569" s="29">
        <v>0.99201342480561705</v>
      </c>
    </row>
    <row r="19570" spans="1:11" x14ac:dyDescent="0.35">
      <c r="A19570" s="9" t="str">
        <f>HYPERLINK("http://www.ensembl.org/id/WBGene00022178", "WBGene00022178")</f>
        <v>WBGene00022178</v>
      </c>
      <c r="B19570" s="9" t="str">
        <f>HYPERLINK("http://www.ncbi.nlm.nih.gov/gene/175390", "175390")</f>
        <v>175390</v>
      </c>
      <c r="C19570" s="9"/>
      <c r="D19570" t="str">
        <f>"Y71H2AM.13"</f>
        <v>Y71H2AM.13</v>
      </c>
      <c r="F19570" t="s">
        <v>11</v>
      </c>
      <c r="H19570" s="12">
        <v>1.0395416897466101</v>
      </c>
      <c r="I19570" s="20">
        <v>0.202020356881009</v>
      </c>
      <c r="J19570" s="28">
        <v>0.83990080979323101</v>
      </c>
      <c r="K19570" s="29">
        <v>0.99201342480561705</v>
      </c>
    </row>
    <row r="19571" spans="1:11" x14ac:dyDescent="0.35">
      <c r="A19571" s="9" t="str">
        <f>HYPERLINK("http://www.ensembl.org/id/WBGene00022864", "WBGene00022864")</f>
        <v>WBGene00022864</v>
      </c>
      <c r="B19571" s="9" t="str">
        <f>HYPERLINK("http://www.ncbi.nlm.nih.gov/gene/191537", "191537")</f>
        <v>191537</v>
      </c>
      <c r="C19571" s="9"/>
      <c r="D19571" t="str">
        <f>"ZK1236.5"</f>
        <v>ZK1236.5</v>
      </c>
      <c r="F19571" t="s">
        <v>11</v>
      </c>
      <c r="H19571" s="12">
        <v>-1.0492185815611199</v>
      </c>
      <c r="I19571" s="20">
        <v>-0.201794068453578</v>
      </c>
      <c r="J19571" s="28">
        <v>0.84007771885004201</v>
      </c>
      <c r="K19571" s="29">
        <v>0.99201342480561705</v>
      </c>
    </row>
    <row r="19572" spans="1:11" x14ac:dyDescent="0.35">
      <c r="A19572" s="9" t="str">
        <f>HYPERLINK("http://www.ensembl.org/id/WBGene00014048", "WBGene00014048")</f>
        <v>WBGene00014048</v>
      </c>
      <c r="B19572" s="9" t="str">
        <f>HYPERLINK("http://www.ncbi.nlm.nih.gov/gene/191385", "191385")</f>
        <v>191385</v>
      </c>
      <c r="C19572" s="9"/>
      <c r="D19572" t="str">
        <f>"ZK666.8"</f>
        <v>ZK666.8</v>
      </c>
      <c r="F19572" t="s">
        <v>11</v>
      </c>
      <c r="G19572" t="s">
        <v>4089</v>
      </c>
      <c r="H19572" s="12">
        <v>1.75409295706798</v>
      </c>
      <c r="I19572" s="20">
        <v>0.202179974378112</v>
      </c>
      <c r="J19572" s="28">
        <v>0.83977602798002005</v>
      </c>
      <c r="K19572" s="29">
        <v>0.99201342480561705</v>
      </c>
    </row>
    <row r="19573" spans="1:11" x14ac:dyDescent="0.35">
      <c r="A19573" s="9" t="str">
        <f>HYPERLINK("http://www.ensembl.org/id/WBGene00011679", "WBGene00011679")</f>
        <v>WBGene00011679</v>
      </c>
      <c r="B19573" s="9" t="str">
        <f>HYPERLINK("http://www.ncbi.nlm.nih.gov/gene/181611", "181611")</f>
        <v>181611</v>
      </c>
      <c r="C19573" s="9"/>
      <c r="D19573" t="str">
        <f>"ucr-2.2"</f>
        <v>ucr-2.2</v>
      </c>
      <c r="E19573" t="s">
        <v>3150</v>
      </c>
      <c r="F19573" t="s">
        <v>11</v>
      </c>
      <c r="G19573" t="s">
        <v>3151</v>
      </c>
      <c r="H19573" s="12">
        <v>1.0410621519505201</v>
      </c>
      <c r="I19573" s="20">
        <v>0.20140379632880101</v>
      </c>
      <c r="J19573" s="28">
        <v>0.84038284699267096</v>
      </c>
      <c r="K19573" s="29">
        <v>0.99217648881572995</v>
      </c>
    </row>
    <row r="19574" spans="1:11" x14ac:dyDescent="0.35">
      <c r="A19574" s="9" t="str">
        <f>HYPERLINK("http://www.ensembl.org/id/WBGene00044712", "WBGene00044712")</f>
        <v>WBGene00044712</v>
      </c>
      <c r="B19574" s="9"/>
      <c r="C19574" s="9"/>
      <c r="D19574" t="str">
        <f>"F22G12.8"</f>
        <v>F22G12.8</v>
      </c>
      <c r="F19574" t="s">
        <v>80</v>
      </c>
      <c r="H19574" s="12">
        <v>-1.1552543325994</v>
      </c>
      <c r="I19574" s="20">
        <v>-0.20131146931399799</v>
      </c>
      <c r="J19574" s="28">
        <v>0.84045503493168605</v>
      </c>
      <c r="K19574" s="29">
        <v>0.99219633167739796</v>
      </c>
    </row>
    <row r="19575" spans="1:11" x14ac:dyDescent="0.35">
      <c r="A19575" s="9" t="str">
        <f>HYPERLINK("http://www.ensembl.org/id/WBGene00019067", "WBGene00019067")</f>
        <v>WBGene00019067</v>
      </c>
      <c r="B19575" s="9" t="str">
        <f>HYPERLINK("http://www.ncbi.nlm.nih.gov/gene/186550", "186550")</f>
        <v>186550</v>
      </c>
      <c r="C19575" s="9"/>
      <c r="D19575" t="str">
        <f>"F58H7.1"</f>
        <v>F58H7.1</v>
      </c>
      <c r="F19575" t="s">
        <v>11</v>
      </c>
      <c r="H19575" s="12">
        <v>1.1079897321634</v>
      </c>
      <c r="I19575" s="20">
        <v>0.20127245925505799</v>
      </c>
      <c r="J19575" s="28">
        <v>0.840485536220969</v>
      </c>
      <c r="K19575" s="29">
        <v>0.99219633167739796</v>
      </c>
    </row>
    <row r="19576" spans="1:11" x14ac:dyDescent="0.35">
      <c r="A19576" s="9" t="str">
        <f>HYPERLINK("http://www.ensembl.org/id/WBGene00020200", "WBGene00020200")</f>
        <v>WBGene00020200</v>
      </c>
      <c r="B19576" s="9" t="str">
        <f>HYPERLINK("http://www.ncbi.nlm.nih.gov/gene/188035", "188035")</f>
        <v>188035</v>
      </c>
      <c r="C19576" s="9"/>
      <c r="D19576" t="str">
        <f>"T04A6.1"</f>
        <v>T04A6.1</v>
      </c>
      <c r="F19576" t="s">
        <v>11</v>
      </c>
      <c r="G19576" t="s">
        <v>25</v>
      </c>
      <c r="H19576" s="12">
        <v>1.04272500377332</v>
      </c>
      <c r="I19576" s="20">
        <v>0.20117295210712499</v>
      </c>
      <c r="J19576" s="28">
        <v>0.84056334022055501</v>
      </c>
      <c r="K19576" s="29">
        <v>0.99223748539573597</v>
      </c>
    </row>
    <row r="19577" spans="1:11" x14ac:dyDescent="0.35">
      <c r="A19577" s="9" t="str">
        <f>HYPERLINK("http://www.ensembl.org/id/WBGene00008652", "WBGene00008652")</f>
        <v>WBGene00008652</v>
      </c>
      <c r="B19577" s="9" t="str">
        <f>HYPERLINK("http://www.ncbi.nlm.nih.gov/gene/172635", "172635")</f>
        <v>172635</v>
      </c>
      <c r="C19577" s="9"/>
      <c r="D19577" t="str">
        <f>"F10D11.6"</f>
        <v>F10D11.6</v>
      </c>
      <c r="F19577" t="s">
        <v>11</v>
      </c>
      <c r="G19577" t="s">
        <v>554</v>
      </c>
      <c r="H19577" s="12">
        <v>1.05981368135874</v>
      </c>
      <c r="I19577" s="20">
        <v>0.20111267160107699</v>
      </c>
      <c r="J19577" s="28">
        <v>0.84061047391849897</v>
      </c>
      <c r="K19577" s="29">
        <v>0.99224243220234198</v>
      </c>
    </row>
    <row r="19578" spans="1:11" x14ac:dyDescent="0.35">
      <c r="A19578" s="9" t="str">
        <f>HYPERLINK("http://www.ensembl.org/id/WBGene00219886", "WBGene00219886")</f>
        <v>WBGene00219886</v>
      </c>
      <c r="B19578" s="9"/>
      <c r="C19578" s="9"/>
      <c r="D19578" t="str">
        <f>"F09E10.15"</f>
        <v>F09E10.15</v>
      </c>
      <c r="F19578" t="s">
        <v>481</v>
      </c>
      <c r="H19578" s="12">
        <v>-1.14179593045116</v>
      </c>
      <c r="I19578" s="20">
        <v>-0.20097939092164499</v>
      </c>
      <c r="J19578" s="28">
        <v>0.84071468892856605</v>
      </c>
      <c r="K19578" s="29">
        <v>0.99231475288023296</v>
      </c>
    </row>
    <row r="19579" spans="1:11" x14ac:dyDescent="0.35">
      <c r="A19579" s="9" t="str">
        <f>HYPERLINK("http://www.ensembl.org/id/WBGene00018140", "WBGene00018140")</f>
        <v>WBGene00018140</v>
      </c>
      <c r="B19579" s="9" t="str">
        <f>HYPERLINK("http://www.ncbi.nlm.nih.gov/gene/178746", "178746")</f>
        <v>178746</v>
      </c>
      <c r="C19579" s="9"/>
      <c r="D19579" t="str">
        <f>"F37B4.10"</f>
        <v>F37B4.10</v>
      </c>
      <c r="F19579" t="s">
        <v>11</v>
      </c>
      <c r="H19579" s="12">
        <v>-1.0518322188091001</v>
      </c>
      <c r="I19579" s="20">
        <v>-0.20086138624074701</v>
      </c>
      <c r="J19579" s="28">
        <v>0.84080696163915203</v>
      </c>
      <c r="K19579" s="29">
        <v>0.99232906689222899</v>
      </c>
    </row>
    <row r="19580" spans="1:11" x14ac:dyDescent="0.35">
      <c r="A19580" s="9" t="str">
        <f>HYPERLINK("http://www.ensembl.org/id/WBGene00010098", "WBGene00010098")</f>
        <v>WBGene00010098</v>
      </c>
      <c r="B19580" s="9" t="str">
        <f>HYPERLINK("http://www.ncbi.nlm.nih.gov/gene/3565465", "3565465")</f>
        <v>3565465</v>
      </c>
      <c r="C19580" s="9"/>
      <c r="D19580" t="str">
        <f>"F55C5.10"</f>
        <v>F55C5.10</v>
      </c>
      <c r="F19580" t="s">
        <v>11</v>
      </c>
      <c r="H19580" s="12">
        <v>1.1219011138775099</v>
      </c>
      <c r="I19580" s="20">
        <v>0.200854035246958</v>
      </c>
      <c r="J19580" s="28">
        <v>0.84081270975573696</v>
      </c>
      <c r="K19580" s="29">
        <v>0.99232906689222899</v>
      </c>
    </row>
    <row r="19581" spans="1:11" x14ac:dyDescent="0.35">
      <c r="A19581" s="9" t="str">
        <f>HYPERLINK("http://www.ensembl.org/id/WBGene00020764", "WBGene00020764")</f>
        <v>WBGene00020764</v>
      </c>
      <c r="B19581" s="9" t="str">
        <f>HYPERLINK("http://www.ncbi.nlm.nih.gov/gene/188847", "188847")</f>
        <v>188847</v>
      </c>
      <c r="C19581" s="9"/>
      <c r="D19581" t="str">
        <f>"T24C12.1"</f>
        <v>T24C12.1</v>
      </c>
      <c r="F19581" t="s">
        <v>11</v>
      </c>
      <c r="G19581" t="s">
        <v>25</v>
      </c>
      <c r="H19581" s="12">
        <v>1.07620901149277</v>
      </c>
      <c r="I19581" s="20">
        <v>0.20078326912145</v>
      </c>
      <c r="J19581" s="28">
        <v>0.84086804582896102</v>
      </c>
      <c r="K19581" s="29">
        <v>0.99234368797813799</v>
      </c>
    </row>
    <row r="19582" spans="1:11" x14ac:dyDescent="0.35">
      <c r="A19582" s="9" t="str">
        <f>HYPERLINK("http://www.ensembl.org/id/WBGene00019445", "WBGene00019445")</f>
        <v>WBGene00019445</v>
      </c>
      <c r="B19582" s="9" t="str">
        <f>HYPERLINK("http://www.ncbi.nlm.nih.gov/gene/259953", "259953")</f>
        <v>259953</v>
      </c>
      <c r="C19582" s="9"/>
      <c r="D19582" t="str">
        <f>"frpr-12"</f>
        <v>frpr-12</v>
      </c>
      <c r="E19582" t="s">
        <v>2289</v>
      </c>
      <c r="F19582" t="s">
        <v>11</v>
      </c>
      <c r="G19582" t="s">
        <v>271</v>
      </c>
      <c r="H19582" s="12">
        <v>-1.1150280821182601</v>
      </c>
      <c r="I19582" s="20">
        <v>-0.20048481173247201</v>
      </c>
      <c r="J19582" s="28">
        <v>0.84110143534650195</v>
      </c>
      <c r="K19582" s="29">
        <v>0.99251773479987104</v>
      </c>
    </row>
    <row r="19583" spans="1:11" x14ac:dyDescent="0.35">
      <c r="A19583" s="9" t="str">
        <f>HYPERLINK("http://www.ensembl.org/id/WBGene00021024", "WBGene00021024")</f>
        <v>WBGene00021024</v>
      </c>
      <c r="B19583" s="9" t="str">
        <f>HYPERLINK("http://www.ncbi.nlm.nih.gov/gene/171638", "171638")</f>
        <v>171638</v>
      </c>
      <c r="C19583" s="9"/>
      <c r="D19583" t="str">
        <f>"W04C9.2"</f>
        <v>W04C9.2</v>
      </c>
      <c r="E19583" t="s">
        <v>10452</v>
      </c>
      <c r="F19583" t="s">
        <v>11</v>
      </c>
      <c r="G19583" t="s">
        <v>10453</v>
      </c>
      <c r="H19583" s="12">
        <v>-1.03900697765432</v>
      </c>
      <c r="I19583" s="20">
        <v>-0.20053055094584199</v>
      </c>
      <c r="J19583" s="28">
        <v>0.84106566701264995</v>
      </c>
      <c r="K19583" s="29">
        <v>0.99251773479987104</v>
      </c>
    </row>
    <row r="19584" spans="1:11" x14ac:dyDescent="0.35">
      <c r="A19584" s="9" t="str">
        <f>HYPERLINK("http://www.ensembl.org/id/WBGene00019228", "WBGene00019228")</f>
        <v>WBGene00019228</v>
      </c>
      <c r="B19584" s="9" t="str">
        <f>HYPERLINK("http://www.ncbi.nlm.nih.gov/gene/186762", "186762")</f>
        <v>186762</v>
      </c>
      <c r="C19584" s="9"/>
      <c r="D19584" t="str">
        <f>"H23L24.1"</f>
        <v>H23L24.1</v>
      </c>
      <c r="F19584" t="s">
        <v>11</v>
      </c>
      <c r="G19584" t="s">
        <v>25</v>
      </c>
      <c r="H19584" s="12">
        <v>1.2616949878892501</v>
      </c>
      <c r="I19584" s="20">
        <v>0.20033932947806599</v>
      </c>
      <c r="J19584" s="28">
        <v>0.84121520550546902</v>
      </c>
      <c r="K19584" s="29">
        <v>0.992530113301477</v>
      </c>
    </row>
    <row r="19585" spans="1:11" x14ac:dyDescent="0.35">
      <c r="A19585" s="9" t="str">
        <f>HYPERLINK("http://www.ensembl.org/id/WBGene00010466", "WBGene00010466")</f>
        <v>WBGene00010466</v>
      </c>
      <c r="B19585" s="9" t="str">
        <f>HYPERLINK("http://www.ncbi.nlm.nih.gov/gene/179701", "179701")</f>
        <v>179701</v>
      </c>
      <c r="C19585" s="9"/>
      <c r="D19585" t="str">
        <f>"K01D12.7"</f>
        <v>K01D12.7</v>
      </c>
      <c r="F19585" t="s">
        <v>11</v>
      </c>
      <c r="H19585" s="12">
        <v>-1.2202396693879001</v>
      </c>
      <c r="I19585" s="20">
        <v>-0.20030661169129901</v>
      </c>
      <c r="J19585" s="28">
        <v>0.84124079195430301</v>
      </c>
      <c r="K19585" s="29">
        <v>0.992530113301477</v>
      </c>
    </row>
    <row r="19586" spans="1:11" x14ac:dyDescent="0.35">
      <c r="A19586" s="9" t="str">
        <f>HYPERLINK("http://www.ensembl.org/id/WBGene00022382", "WBGene00022382")</f>
        <v>WBGene00022382</v>
      </c>
      <c r="B19586" s="9" t="str">
        <f>HYPERLINK("http://www.ncbi.nlm.nih.gov/gene/259559", "259559")</f>
        <v>259559</v>
      </c>
      <c r="C19586" s="9"/>
      <c r="D19586" t="str">
        <f>"Y94H6A.10"</f>
        <v>Y94H6A.10</v>
      </c>
      <c r="F19586" t="s">
        <v>11</v>
      </c>
      <c r="H19586" s="12">
        <v>1.0374900279639301</v>
      </c>
      <c r="I19586" s="20">
        <v>0.20037301354356801</v>
      </c>
      <c r="J19586" s="28">
        <v>0.84118886356822198</v>
      </c>
      <c r="K19586" s="29">
        <v>0.992530113301477</v>
      </c>
    </row>
    <row r="19587" spans="1:11" x14ac:dyDescent="0.35">
      <c r="A19587" s="9" t="str">
        <f>HYPERLINK("http://www.ensembl.org/id/WBGene00015527", "WBGene00015527")</f>
        <v>WBGene00015527</v>
      </c>
      <c r="B19587" s="9" t="str">
        <f>HYPERLINK("http://www.ncbi.nlm.nih.gov/gene/182319", "182319")</f>
        <v>182319</v>
      </c>
      <c r="C19587" s="9"/>
      <c r="D19587" t="str">
        <f>"C06E2.1"</f>
        <v>C06E2.1</v>
      </c>
      <c r="F19587" t="s">
        <v>11</v>
      </c>
      <c r="H19587" s="12">
        <v>-1.12025048651419</v>
      </c>
      <c r="I19587" s="20">
        <v>-0.199852431357426</v>
      </c>
      <c r="J19587" s="28">
        <v>0.84159599410357699</v>
      </c>
      <c r="K19587" s="29">
        <v>0.99274642841317395</v>
      </c>
    </row>
    <row r="19588" spans="1:11" x14ac:dyDescent="0.35">
      <c r="A19588" s="9" t="str">
        <f>HYPERLINK("http://www.ensembl.org/id/WBGene00017851", "WBGene00017851")</f>
        <v>WBGene00017851</v>
      </c>
      <c r="B19588" s="9" t="str">
        <f>HYPERLINK("http://www.ncbi.nlm.nih.gov/gene/172198", "172198")</f>
        <v>172198</v>
      </c>
      <c r="C19588" s="9"/>
      <c r="D19588" t="str">
        <f>"F27C1.1"</f>
        <v>F27C1.1</v>
      </c>
      <c r="F19588" t="s">
        <v>11</v>
      </c>
      <c r="H19588" s="12">
        <v>1.0945574541718199</v>
      </c>
      <c r="I19588" s="20">
        <v>0.200008165445626</v>
      </c>
      <c r="J19588" s="28">
        <v>0.84147419505129795</v>
      </c>
      <c r="K19588" s="29">
        <v>0.99274642841317395</v>
      </c>
    </row>
    <row r="19589" spans="1:11" x14ac:dyDescent="0.35">
      <c r="A19589" s="9" t="str">
        <f>HYPERLINK("http://www.ensembl.org/id/WBGene00011771", "WBGene00011771")</f>
        <v>WBGene00011771</v>
      </c>
      <c r="B19589" s="9" t="str">
        <f>HYPERLINK("http://www.ncbi.nlm.nih.gov/gene/181422", "181422")</f>
        <v>181422</v>
      </c>
      <c r="C19589" s="9" t="str">
        <f>HYPERLINK("http://www.ncbi.nlm.nih.gov/gene/10525", "10525")</f>
        <v>10525</v>
      </c>
      <c r="D19589" t="str">
        <f>"T14G8.3"</f>
        <v>T14G8.3</v>
      </c>
      <c r="F19589" t="s">
        <v>11</v>
      </c>
      <c r="G19589" t="s">
        <v>10454</v>
      </c>
      <c r="H19589" s="12">
        <v>1.04012864344648</v>
      </c>
      <c r="I19589" s="20">
        <v>0.19992311948286601</v>
      </c>
      <c r="J19589" s="28">
        <v>0.84154070871306597</v>
      </c>
      <c r="K19589" s="29">
        <v>0.99274642841317395</v>
      </c>
    </row>
    <row r="19590" spans="1:11" x14ac:dyDescent="0.35">
      <c r="A19590" s="9" t="str">
        <f>HYPERLINK("http://www.ensembl.org/id/WBGene00022229", "WBGene00022229")</f>
        <v>WBGene00022229</v>
      </c>
      <c r="B19590" s="9"/>
      <c r="C19590" s="9"/>
      <c r="D19590" t="str">
        <f>"Y73B6A.2"</f>
        <v>Y73B6A.2</v>
      </c>
      <c r="F19590" t="s">
        <v>80</v>
      </c>
      <c r="H19590" s="12">
        <v>-1.39441578042293</v>
      </c>
      <c r="I19590" s="20">
        <v>-0.199891326717129</v>
      </c>
      <c r="J19590" s="28">
        <v>0.84156557383186104</v>
      </c>
      <c r="K19590" s="29">
        <v>0.99274642841317395</v>
      </c>
    </row>
    <row r="19591" spans="1:11" x14ac:dyDescent="0.35">
      <c r="A19591" s="9" t="str">
        <f>HYPERLINK("http://www.ensembl.org/id/WBGene00044278", "WBGene00044278")</f>
        <v>WBGene00044278</v>
      </c>
      <c r="B19591" s="9" t="str">
        <f>HYPERLINK("http://www.ncbi.nlm.nih.gov/gene/3564892", "3564892")</f>
        <v>3564892</v>
      </c>
      <c r="C19591" s="9"/>
      <c r="D19591" t="str">
        <f>"F09C6.14"</f>
        <v>F09C6.14</v>
      </c>
      <c r="F19591" t="s">
        <v>11</v>
      </c>
      <c r="H19591" s="12">
        <v>1.2025390413366599</v>
      </c>
      <c r="I19591" s="20">
        <v>0.19970559216788</v>
      </c>
      <c r="J19591" s="28">
        <v>0.84171083996100104</v>
      </c>
      <c r="K19591" s="29">
        <v>0.99283121487257597</v>
      </c>
    </row>
    <row r="19592" spans="1:11" x14ac:dyDescent="0.35">
      <c r="A19592" s="9" t="str">
        <f>HYPERLINK("http://www.ensembl.org/id/WBGene00219972", "WBGene00219972")</f>
        <v>WBGene00219972</v>
      </c>
      <c r="B19592" s="9"/>
      <c r="C19592" s="9"/>
      <c r="D19592" t="str">
        <f>"F55A3.8"</f>
        <v>F55A3.8</v>
      </c>
      <c r="F19592" t="s">
        <v>2977</v>
      </c>
      <c r="H19592" s="12">
        <v>-1.4513683045822301</v>
      </c>
      <c r="I19592" s="20">
        <v>-0.199608619111797</v>
      </c>
      <c r="J19592" s="28">
        <v>0.84178668636798404</v>
      </c>
      <c r="K19592" s="29">
        <v>0.992869993630354</v>
      </c>
    </row>
    <row r="19593" spans="1:11" x14ac:dyDescent="0.35">
      <c r="A19593" s="9" t="str">
        <f>HYPERLINK("http://www.ensembl.org/id/WBGene00199663", "WBGene00199663")</f>
        <v>WBGene00199663</v>
      </c>
      <c r="B19593" s="9"/>
      <c r="C19593" s="9"/>
      <c r="D19593" t="str">
        <f>"B0507.14"</f>
        <v>B0507.14</v>
      </c>
      <c r="F19593" t="s">
        <v>481</v>
      </c>
      <c r="H19593" s="12">
        <v>-1.1294927382081099</v>
      </c>
      <c r="I19593" s="20">
        <v>-0.199519502564873</v>
      </c>
      <c r="J19593" s="28">
        <v>0.84185638918748595</v>
      </c>
      <c r="K19593" s="29">
        <v>0.99290152256475195</v>
      </c>
    </row>
    <row r="19594" spans="1:11" x14ac:dyDescent="0.35">
      <c r="A19594" s="9" t="str">
        <f>HYPERLINK("http://www.ensembl.org/id/WBGene00019977", "WBGene00019977")</f>
        <v>WBGene00019977</v>
      </c>
      <c r="B19594" s="9" t="str">
        <f>HYPERLINK("http://www.ncbi.nlm.nih.gov/gene/187727", "187727")</f>
        <v>187727</v>
      </c>
      <c r="C19594" s="9"/>
      <c r="D19594" t="str">
        <f>"fpn-1.2"</f>
        <v>fpn-1.2</v>
      </c>
      <c r="E19594" t="s">
        <v>2987</v>
      </c>
      <c r="F19594" t="s">
        <v>11</v>
      </c>
      <c r="G19594" t="s">
        <v>2988</v>
      </c>
      <c r="H19594" s="12">
        <v>1.12968142462254</v>
      </c>
      <c r="I19594" s="20">
        <v>0.19931436474665501</v>
      </c>
      <c r="J19594" s="28">
        <v>0.84201684316005998</v>
      </c>
      <c r="K19594" s="29">
        <v>0.99298939305141398</v>
      </c>
    </row>
    <row r="19595" spans="1:11" x14ac:dyDescent="0.35">
      <c r="A19595" s="9" t="str">
        <f>HYPERLINK("http://www.ensembl.org/id/WBGene00019658", "WBGene00019658")</f>
        <v>WBGene00019658</v>
      </c>
      <c r="B19595" s="9" t="str">
        <f>HYPERLINK("http://www.ncbi.nlm.nih.gov/gene/176890", "176890")</f>
        <v>176890</v>
      </c>
      <c r="C19595" s="9" t="str">
        <f>HYPERLINK("http://www.ncbi.nlm.nih.gov/gene/51027", "51027")</f>
        <v>51027</v>
      </c>
      <c r="D19595" t="str">
        <f>"K11H12.1"</f>
        <v>K11H12.1</v>
      </c>
      <c r="E19595" t="s">
        <v>10455</v>
      </c>
      <c r="F19595" t="s">
        <v>11</v>
      </c>
      <c r="G19595" t="s">
        <v>1865</v>
      </c>
      <c r="H19595" s="12">
        <v>-1.0597808006112801</v>
      </c>
      <c r="I19595" s="20">
        <v>-0.19932228145380701</v>
      </c>
      <c r="J19595" s="28">
        <v>0.84201065077633097</v>
      </c>
      <c r="K19595" s="29">
        <v>0.99298939305141398</v>
      </c>
    </row>
    <row r="19596" spans="1:11" x14ac:dyDescent="0.35">
      <c r="A19596" s="9" t="str">
        <f>HYPERLINK("http://www.ensembl.org/id/WBGene00016891", "WBGene00016891")</f>
        <v>WBGene00016891</v>
      </c>
      <c r="B19596" s="9" t="str">
        <f>HYPERLINK("http://www.ncbi.nlm.nih.gov/gene/183735", "183735")</f>
        <v>183735</v>
      </c>
      <c r="C19596" s="9"/>
      <c r="D19596" t="str">
        <f>"C53A3.1"</f>
        <v>C53A3.1</v>
      </c>
      <c r="F19596" t="s">
        <v>11</v>
      </c>
      <c r="G19596" t="s">
        <v>54</v>
      </c>
      <c r="H19596" s="12">
        <v>-1.2655917149660101</v>
      </c>
      <c r="I19596" s="20">
        <v>-0.19911681867591399</v>
      </c>
      <c r="J19596" s="28">
        <v>0.84217136524744196</v>
      </c>
      <c r="K19596" s="29">
        <v>0.99302281786885904</v>
      </c>
    </row>
    <row r="19597" spans="1:11" x14ac:dyDescent="0.35">
      <c r="A19597" s="9" t="str">
        <f>HYPERLINK("http://www.ensembl.org/id/WBGene00219689", "WBGene00219689")</f>
        <v>WBGene00219689</v>
      </c>
      <c r="B19597" s="9"/>
      <c r="C19597" s="9"/>
      <c r="D19597" t="str">
        <f>"linc-41"</f>
        <v>linc-41</v>
      </c>
      <c r="F19597" t="s">
        <v>1510</v>
      </c>
      <c r="H19597" s="12">
        <v>-1.0632951871818499</v>
      </c>
      <c r="I19597" s="20">
        <v>-0.19905835971350999</v>
      </c>
      <c r="J19597" s="28">
        <v>0.84221709347251905</v>
      </c>
      <c r="K19597" s="29">
        <v>0.99302281786885904</v>
      </c>
    </row>
    <row r="19598" spans="1:11" x14ac:dyDescent="0.35">
      <c r="A19598" s="9" t="str">
        <f>HYPERLINK("http://www.ensembl.org/id/WBGene00021751", "WBGene00021751")</f>
        <v>WBGene00021751</v>
      </c>
      <c r="B19598" s="9" t="str">
        <f>HYPERLINK("http://www.ncbi.nlm.nih.gov/gene/175193", "175193")</f>
        <v>175193</v>
      </c>
      <c r="C19598" s="9"/>
      <c r="D19598" t="str">
        <f>"Y50D7A.1"</f>
        <v>Y50D7A.1</v>
      </c>
      <c r="F19598" t="s">
        <v>11</v>
      </c>
      <c r="G19598" t="s">
        <v>54</v>
      </c>
      <c r="H19598" s="12">
        <v>1.04809915723247</v>
      </c>
      <c r="I19598" s="20">
        <v>0.199059019015738</v>
      </c>
      <c r="J19598" s="28">
        <v>0.84221657774502601</v>
      </c>
      <c r="K19598" s="29">
        <v>0.99302281786885904</v>
      </c>
    </row>
    <row r="19599" spans="1:11" x14ac:dyDescent="0.35">
      <c r="A19599" s="9" t="str">
        <f>HYPERLINK("http://www.ensembl.org/id/WBGene00022802", "WBGene00022802")</f>
        <v>WBGene00022802</v>
      </c>
      <c r="B19599" s="9" t="str">
        <f>HYPERLINK("http://www.ncbi.nlm.nih.gov/gene/191407", "191407")</f>
        <v>191407</v>
      </c>
      <c r="C19599" s="9"/>
      <c r="D19599" t="str">
        <f>"ZK688.7"</f>
        <v>ZK688.7</v>
      </c>
      <c r="F19599" t="s">
        <v>11</v>
      </c>
      <c r="H19599" s="12">
        <v>1.04501511921877</v>
      </c>
      <c r="I19599" s="20">
        <v>0.199113993842018</v>
      </c>
      <c r="J19599" s="28">
        <v>0.84217357489878497</v>
      </c>
      <c r="K19599" s="29">
        <v>0.99302281786885904</v>
      </c>
    </row>
    <row r="19600" spans="1:11" x14ac:dyDescent="0.35">
      <c r="A19600" s="9" t="str">
        <f>HYPERLINK("http://www.ensembl.org/id/WBGene00005689", "WBGene00005689")</f>
        <v>WBGene00005689</v>
      </c>
      <c r="B19600" s="9" t="str">
        <f>HYPERLINK("http://www.ncbi.nlm.nih.gov/gene/266905", "266905")</f>
        <v>266905</v>
      </c>
      <c r="C19600" s="9"/>
      <c r="D19600" t="str">
        <f>"sru-26"</f>
        <v>sru-26</v>
      </c>
      <c r="E19600" t="s">
        <v>10456</v>
      </c>
      <c r="F19600" t="s">
        <v>11</v>
      </c>
      <c r="G19600" t="s">
        <v>25</v>
      </c>
      <c r="H19600" s="12">
        <v>1.55143006372284</v>
      </c>
      <c r="I19600" s="20">
        <v>0.19894925528195201</v>
      </c>
      <c r="J19600" s="28">
        <v>0.84230243941432503</v>
      </c>
      <c r="K19600" s="29">
        <v>0.99307277095149404</v>
      </c>
    </row>
    <row r="19601" spans="1:11" x14ac:dyDescent="0.35">
      <c r="A19601" s="9" t="str">
        <f>HYPERLINK("http://www.ensembl.org/id/WBGene00010163", "WBGene00010163")</f>
        <v>WBGene00010163</v>
      </c>
      <c r="B19601" s="9" t="str">
        <f>HYPERLINK("http://www.ncbi.nlm.nih.gov/gene/186413", "186413")</f>
        <v>186413</v>
      </c>
      <c r="C19601" s="9"/>
      <c r="D19601" t="str">
        <f>"F56H6.2"</f>
        <v>F56H6.2</v>
      </c>
      <c r="F19601" t="s">
        <v>11</v>
      </c>
      <c r="G19601" t="s">
        <v>25</v>
      </c>
      <c r="H19601" s="12">
        <v>1.1736559825412201</v>
      </c>
      <c r="I19601" s="20">
        <v>0.19887073399727301</v>
      </c>
      <c r="J19601" s="28">
        <v>0.84236386311619205</v>
      </c>
      <c r="K19601" s="29">
        <v>0.99309451610606303</v>
      </c>
    </row>
    <row r="19602" spans="1:11" x14ac:dyDescent="0.35">
      <c r="A19602" s="9" t="str">
        <f>HYPERLINK("http://www.ensembl.org/id/WBGene00220073", "WBGene00220073")</f>
        <v>WBGene00220073</v>
      </c>
      <c r="B19602" s="9"/>
      <c r="C19602" s="9"/>
      <c r="D19602" t="str">
        <f>"T19E7.29"</f>
        <v>T19E7.29</v>
      </c>
      <c r="F19602" t="s">
        <v>2977</v>
      </c>
      <c r="H19602" s="12">
        <v>1.29159313062931</v>
      </c>
      <c r="I19602" s="20">
        <v>0.19877086869378599</v>
      </c>
      <c r="J19602" s="28">
        <v>0.84244198467847597</v>
      </c>
      <c r="K19602" s="29">
        <v>0.99313594377453396</v>
      </c>
    </row>
    <row r="19603" spans="1:11" x14ac:dyDescent="0.35">
      <c r="A19603" s="9" t="str">
        <f>HYPERLINK("http://www.ensembl.org/id/WBGene00008551", "WBGene00008551")</f>
        <v>WBGene00008551</v>
      </c>
      <c r="B19603" s="9" t="str">
        <f>HYPERLINK("http://www.ncbi.nlm.nih.gov/gene/3565335", "3565335")</f>
        <v>3565335</v>
      </c>
      <c r="C19603" s="9"/>
      <c r="D19603" t="str">
        <f>"lgc-36"</f>
        <v>lgc-36</v>
      </c>
      <c r="E19603" t="s">
        <v>505</v>
      </c>
      <c r="F19603" t="s">
        <v>11</v>
      </c>
      <c r="G19603" t="s">
        <v>506</v>
      </c>
      <c r="H19603" s="12">
        <v>1.1522458637759101</v>
      </c>
      <c r="I19603" s="20">
        <v>0.198645220628719</v>
      </c>
      <c r="J19603" s="28">
        <v>0.84254027750682303</v>
      </c>
      <c r="K19603" s="29">
        <v>0.99315047709787996</v>
      </c>
    </row>
    <row r="19604" spans="1:11" x14ac:dyDescent="0.35">
      <c r="A19604" s="9" t="str">
        <f>HYPERLINK("http://www.ensembl.org/id/WBGene00219769", "WBGene00219769")</f>
        <v>WBGene00219769</v>
      </c>
      <c r="B19604" s="9"/>
      <c r="C19604" s="9"/>
      <c r="D19604" t="str">
        <f>"linc-64"</f>
        <v>linc-64</v>
      </c>
      <c r="F19604" t="s">
        <v>1510</v>
      </c>
      <c r="H19604" s="12">
        <v>1.10513994943732</v>
      </c>
      <c r="I19604" s="20">
        <v>0.198650731149666</v>
      </c>
      <c r="J19604" s="28">
        <v>0.84253596664732999</v>
      </c>
      <c r="K19604" s="29">
        <v>0.99315047709787996</v>
      </c>
    </row>
    <row r="19605" spans="1:11" x14ac:dyDescent="0.35">
      <c r="A19605" s="9" t="str">
        <f>HYPERLINK("http://www.ensembl.org/id/WBGene00008113", "WBGene00008113")</f>
        <v>WBGene00008113</v>
      </c>
      <c r="B19605" s="9" t="str">
        <f>HYPERLINK("http://www.ncbi.nlm.nih.gov/gene/177742", "177742")</f>
        <v>177742</v>
      </c>
      <c r="C19605" s="9"/>
      <c r="D19605" t="str">
        <f>"C46C2.5"</f>
        <v>C46C2.5</v>
      </c>
      <c r="F19605" t="s">
        <v>11</v>
      </c>
      <c r="H19605" s="12">
        <v>-1.0396786542341701</v>
      </c>
      <c r="I19605" s="20">
        <v>-0.19833031599812301</v>
      </c>
      <c r="J19605" s="28">
        <v>0.84278663403278997</v>
      </c>
      <c r="K19605" s="29">
        <v>0.99322113433998405</v>
      </c>
    </row>
    <row r="19606" spans="1:11" x14ac:dyDescent="0.35">
      <c r="A19606" s="9" t="str">
        <f>HYPERLINK("http://www.ensembl.org/id/WBGene00044743", "WBGene00044743")</f>
        <v>WBGene00044743</v>
      </c>
      <c r="B19606" s="9" t="str">
        <f>HYPERLINK("http://www.ncbi.nlm.nih.gov/gene/4363125", "4363125")</f>
        <v>4363125</v>
      </c>
      <c r="C19606" s="9"/>
      <c r="D19606" t="str">
        <f>"crb-3"</f>
        <v>crb-3</v>
      </c>
      <c r="E19606" t="s">
        <v>2499</v>
      </c>
      <c r="F19606" t="s">
        <v>11</v>
      </c>
      <c r="G19606" t="s">
        <v>25</v>
      </c>
      <c r="H19606" s="12">
        <v>-1.0434955880349299</v>
      </c>
      <c r="I19606" s="20">
        <v>-0.198500995447637</v>
      </c>
      <c r="J19606" s="28">
        <v>0.84265310599281795</v>
      </c>
      <c r="K19606" s="29">
        <v>0.99322113433998405</v>
      </c>
    </row>
    <row r="19607" spans="1:11" x14ac:dyDescent="0.35">
      <c r="A19607" s="9" t="str">
        <f>HYPERLINK("http://www.ensembl.org/id/WBGene00022332", "WBGene00022332")</f>
        <v>WBGene00022332</v>
      </c>
      <c r="B19607" s="9" t="str">
        <f>HYPERLINK("http://www.ncbi.nlm.nih.gov/gene/190763", "190763")</f>
        <v>190763</v>
      </c>
      <c r="C19607" s="9"/>
      <c r="D19607" t="str">
        <f>"fbxa-20"</f>
        <v>fbxa-20</v>
      </c>
      <c r="E19607" t="s">
        <v>467</v>
      </c>
      <c r="F19607" t="s">
        <v>11</v>
      </c>
      <c r="G19607" t="s">
        <v>54</v>
      </c>
      <c r="H19607" s="12">
        <v>1.2558176305501501</v>
      </c>
      <c r="I19607" s="20">
        <v>0.19829387094607601</v>
      </c>
      <c r="J19607" s="28">
        <v>0.84281514675859404</v>
      </c>
      <c r="K19607" s="29">
        <v>0.99322113433998405</v>
      </c>
    </row>
    <row r="19608" spans="1:11" x14ac:dyDescent="0.35">
      <c r="A19608" s="9" t="str">
        <f>HYPERLINK("http://www.ensembl.org/id/WBGene00020516", "WBGene00020516")</f>
        <v>WBGene00020516</v>
      </c>
      <c r="B19608" s="9" t="str">
        <f>HYPERLINK("http://www.ncbi.nlm.nih.gov/gene/188512", "188512")</f>
        <v>188512</v>
      </c>
      <c r="C19608" s="9" t="str">
        <f>HYPERLINK("http://www.ncbi.nlm.nih.gov/gene/8547", "8547")</f>
        <v>8547</v>
      </c>
      <c r="D19608" t="str">
        <f>"T15B7.1"</f>
        <v>T15B7.1</v>
      </c>
      <c r="F19608" t="s">
        <v>11</v>
      </c>
      <c r="G19608" t="s">
        <v>10459</v>
      </c>
      <c r="H19608" s="12">
        <v>1.038983970286</v>
      </c>
      <c r="I19608" s="20">
        <v>0.198383603203825</v>
      </c>
      <c r="J19608" s="28">
        <v>0.84274494524708299</v>
      </c>
      <c r="K19608" s="29">
        <v>0.99322113433998405</v>
      </c>
    </row>
    <row r="19609" spans="1:11" x14ac:dyDescent="0.35">
      <c r="A19609" s="9" t="str">
        <f>HYPERLINK("http://www.ensembl.org/id/WBGene00020838", "WBGene00020838")</f>
        <v>WBGene00020838</v>
      </c>
      <c r="B19609" s="9" t="str">
        <f>HYPERLINK("http://www.ncbi.nlm.nih.gov/gene/172297", "172297")</f>
        <v>172297</v>
      </c>
      <c r="C19609" s="9"/>
      <c r="D19609" t="str">
        <f>"trak-1"</f>
        <v>trak-1</v>
      </c>
      <c r="E19609" t="s">
        <v>10457</v>
      </c>
      <c r="F19609" t="s">
        <v>11</v>
      </c>
      <c r="G19609" t="s">
        <v>10458</v>
      </c>
      <c r="H19609" s="12">
        <v>1.0401973107263001</v>
      </c>
      <c r="I19609" s="20">
        <v>0.19832880309290901</v>
      </c>
      <c r="J19609" s="28">
        <v>0.84278781764756605</v>
      </c>
      <c r="K19609" s="29">
        <v>0.99322113433998405</v>
      </c>
    </row>
    <row r="19610" spans="1:11" x14ac:dyDescent="0.35">
      <c r="A19610" s="9" t="str">
        <f>HYPERLINK("http://www.ensembl.org/id/WBGene00008095", "WBGene00008095")</f>
        <v>WBGene00008095</v>
      </c>
      <c r="B19610" s="9" t="str">
        <f>HYPERLINK("http://www.ncbi.nlm.nih.gov/gene/183461", "183461")</f>
        <v>183461</v>
      </c>
      <c r="C19610" s="9"/>
      <c r="D19610" t="str">
        <f>"C44H4.6"</f>
        <v>C44H4.6</v>
      </c>
      <c r="F19610" t="s">
        <v>11</v>
      </c>
      <c r="G19610" t="s">
        <v>10460</v>
      </c>
      <c r="H19610" s="12">
        <v>1.09192285423629</v>
      </c>
      <c r="I19610" s="20">
        <v>0.19821714955711001</v>
      </c>
      <c r="J19610" s="28">
        <v>0.84287517028296299</v>
      </c>
      <c r="K19610" s="29">
        <v>0.99324121198277004</v>
      </c>
    </row>
    <row r="19611" spans="1:11" x14ac:dyDescent="0.35">
      <c r="A19611" s="9" t="str">
        <f>HYPERLINK("http://www.ensembl.org/id/WBGene00022322", "WBGene00022322")</f>
        <v>WBGene00022322</v>
      </c>
      <c r="B19611" s="9" t="str">
        <f>HYPERLINK("http://www.ncbi.nlm.nih.gov/gene/190754", "190754")</f>
        <v>190754</v>
      </c>
      <c r="C19611" s="9"/>
      <c r="D19611" t="str">
        <f>"Y82E9BL.5"</f>
        <v>Y82E9BL.5</v>
      </c>
      <c r="F19611" t="s">
        <v>11</v>
      </c>
      <c r="G19611" t="s">
        <v>25</v>
      </c>
      <c r="H19611" s="12">
        <v>1.1833219895381599</v>
      </c>
      <c r="I19611" s="20">
        <v>0.19814427976431601</v>
      </c>
      <c r="J19611" s="28">
        <v>0.84293218132890402</v>
      </c>
      <c r="K19611" s="29">
        <v>0.99325773786453397</v>
      </c>
    </row>
    <row r="19612" spans="1:11" x14ac:dyDescent="0.35">
      <c r="A19612" s="9" t="str">
        <f>HYPERLINK("http://www.ensembl.org/id/WBGene00000210", "WBGene00000210")</f>
        <v>WBGene00000210</v>
      </c>
      <c r="B19612" s="9" t="str">
        <f>HYPERLINK("http://www.ncbi.nlm.nih.gov/gene/180956", "180956")</f>
        <v>180956</v>
      </c>
      <c r="C19612" s="9"/>
      <c r="D19612" t="str">
        <f>"asg-2"</f>
        <v>asg-2</v>
      </c>
      <c r="E19612" t="s">
        <v>10461</v>
      </c>
      <c r="F19612" t="s">
        <v>11</v>
      </c>
      <c r="G19612" t="s">
        <v>7317</v>
      </c>
      <c r="H19612" s="12">
        <v>-1.03961084564245</v>
      </c>
      <c r="I19612" s="20">
        <v>-0.19805651220235099</v>
      </c>
      <c r="J19612" s="28">
        <v>0.84300084901611305</v>
      </c>
      <c r="K19612" s="29">
        <v>0.99328279990776103</v>
      </c>
    </row>
    <row r="19613" spans="1:11" x14ac:dyDescent="0.35">
      <c r="A19613" s="9" t="str">
        <f>HYPERLINK("http://www.ensembl.org/id/WBGene00014852", "WBGene00014852")</f>
        <v>WBGene00014852</v>
      </c>
      <c r="B19613" s="9"/>
      <c r="C19613" s="9"/>
      <c r="D19613" t="str">
        <f>"W02A11.6"</f>
        <v>W02A11.6</v>
      </c>
      <c r="F19613" t="s">
        <v>80</v>
      </c>
      <c r="H19613" s="12">
        <v>-1.42911666717636</v>
      </c>
      <c r="I19613" s="20">
        <v>-0.198007205068915</v>
      </c>
      <c r="J19613" s="28">
        <v>0.84303942651220898</v>
      </c>
      <c r="K19613" s="29">
        <v>0.99328279990776103</v>
      </c>
    </row>
    <row r="19614" spans="1:11" x14ac:dyDescent="0.35">
      <c r="A19614" s="9" t="str">
        <f>HYPERLINK("http://www.ensembl.org/id/WBGene00045193", "WBGene00045193")</f>
        <v>WBGene00045193</v>
      </c>
      <c r="B19614" s="9"/>
      <c r="C19614" s="9"/>
      <c r="D19614" t="str">
        <f>"F53B2.10"</f>
        <v>F53B2.10</v>
      </c>
      <c r="F19614" t="s">
        <v>80</v>
      </c>
      <c r="H19614" s="12">
        <v>1.37246083569292</v>
      </c>
      <c r="I19614" s="20">
        <v>0.19776356249574001</v>
      </c>
      <c r="J19614" s="28">
        <v>0.84323005598667899</v>
      </c>
      <c r="K19614" s="29">
        <v>0.99335544374570195</v>
      </c>
    </row>
    <row r="19615" spans="1:11" x14ac:dyDescent="0.35">
      <c r="A19615" s="9" t="str">
        <f>HYPERLINK("http://www.ensembl.org/id/WBGene00019242", "WBGene00019242")</f>
        <v>WBGene00019242</v>
      </c>
      <c r="B19615" s="9" t="str">
        <f>HYPERLINK("http://www.ncbi.nlm.nih.gov/gene/186776", "186776")</f>
        <v>186776</v>
      </c>
      <c r="C19615" s="9"/>
      <c r="D19615" t="str">
        <f>"srbc-40"</f>
        <v>srbc-40</v>
      </c>
      <c r="E19615" t="s">
        <v>3034</v>
      </c>
      <c r="F19615" t="s">
        <v>11</v>
      </c>
      <c r="G19615" t="s">
        <v>25</v>
      </c>
      <c r="H19615" s="12">
        <v>1.3635441074227601</v>
      </c>
      <c r="I19615" s="20">
        <v>0.19781914773870701</v>
      </c>
      <c r="J19615" s="28">
        <v>0.84318656447918905</v>
      </c>
      <c r="K19615" s="29">
        <v>0.99335544374570195</v>
      </c>
    </row>
    <row r="19616" spans="1:11" x14ac:dyDescent="0.35">
      <c r="A19616" s="9" t="str">
        <f>HYPERLINK("http://www.ensembl.org/id/WBGene00011661", "WBGene00011661")</f>
        <v>WBGene00011661</v>
      </c>
      <c r="B19616" s="9" t="str">
        <f>HYPERLINK("http://www.ncbi.nlm.nih.gov/gene/188340", "188340")</f>
        <v>188340</v>
      </c>
      <c r="C19616" s="9"/>
      <c r="D19616" t="str">
        <f>"ztf-27"</f>
        <v>ztf-27</v>
      </c>
      <c r="E19616" t="s">
        <v>461</v>
      </c>
      <c r="F19616" t="s">
        <v>11</v>
      </c>
      <c r="H19616" s="12">
        <v>-1.0412216300041199</v>
      </c>
      <c r="I19616" s="20">
        <v>-0.19778269795887399</v>
      </c>
      <c r="J19616" s="28">
        <v>0.84321508379093602</v>
      </c>
      <c r="K19616" s="29">
        <v>0.99335544374570195</v>
      </c>
    </row>
    <row r="19617" spans="1:11" x14ac:dyDescent="0.35">
      <c r="A19617" s="9" t="str">
        <f>HYPERLINK("http://www.ensembl.org/id/WBGene00022301", "WBGene00022301")</f>
        <v>WBGene00022301</v>
      </c>
      <c r="B19617" s="9" t="str">
        <f>HYPERLINK("http://www.ncbi.nlm.nih.gov/gene/177003", "177003")</f>
        <v>177003</v>
      </c>
      <c r="C19617" s="9" t="str">
        <f>HYPERLINK("http://www.ncbi.nlm.nih.gov/gene/29894", "29894")</f>
        <v>29894</v>
      </c>
      <c r="D19617" t="str">
        <f>"cpsf-1"</f>
        <v>cpsf-1</v>
      </c>
      <c r="E19617" t="s">
        <v>10462</v>
      </c>
      <c r="F19617" t="s">
        <v>11</v>
      </c>
      <c r="G19617" t="s">
        <v>10463</v>
      </c>
      <c r="H19617" s="12">
        <v>-1.0414733800868201</v>
      </c>
      <c r="I19617" s="20">
        <v>-0.19763896985364601</v>
      </c>
      <c r="J19617" s="28">
        <v>0.84332754262286003</v>
      </c>
      <c r="K19617" s="29">
        <v>0.99336899469024298</v>
      </c>
    </row>
    <row r="19618" spans="1:11" x14ac:dyDescent="0.35">
      <c r="A19618" s="9" t="str">
        <f>HYPERLINK("http://www.ensembl.org/id/WBGene00045494", "WBGene00045494")</f>
        <v>WBGene00045494</v>
      </c>
      <c r="B19618" s="9" t="str">
        <f>HYPERLINK("http://www.ncbi.nlm.nih.gov/gene/6418875", "6418875")</f>
        <v>6418875</v>
      </c>
      <c r="C19618" s="9"/>
      <c r="D19618" t="str">
        <f>"ZK662.6"</f>
        <v>ZK662.6</v>
      </c>
      <c r="F19618" t="s">
        <v>11</v>
      </c>
      <c r="H19618" s="12">
        <v>-1.31563907235968</v>
      </c>
      <c r="I19618" s="20">
        <v>-0.19768752685869301</v>
      </c>
      <c r="J19618" s="28">
        <v>0.84328954925034905</v>
      </c>
      <c r="K19618" s="29">
        <v>0.99336899469024298</v>
      </c>
    </row>
    <row r="19619" spans="1:11" x14ac:dyDescent="0.35">
      <c r="A19619" s="9" t="str">
        <f>HYPERLINK("http://www.ensembl.org/id/WBGene00206384", "WBGene00206384")</f>
        <v>WBGene00206384</v>
      </c>
      <c r="B19619" s="9" t="str">
        <f>HYPERLINK("http://www.ncbi.nlm.nih.gov/gene/13219301", "13219301")</f>
        <v>13219301</v>
      </c>
      <c r="C19619" s="9"/>
      <c r="D19619" t="str">
        <f>"D1005.10"</f>
        <v>D1005.10</v>
      </c>
      <c r="F19619" t="s">
        <v>11</v>
      </c>
      <c r="H19619" s="12">
        <v>-1.38282031969967</v>
      </c>
      <c r="I19619" s="20">
        <v>-0.19745883888516799</v>
      </c>
      <c r="J19619" s="28">
        <v>0.84346848907556804</v>
      </c>
      <c r="K19619" s="29">
        <v>0.993398729519544</v>
      </c>
    </row>
    <row r="19620" spans="1:11" x14ac:dyDescent="0.35">
      <c r="A19620" s="9" t="str">
        <f>HYPERLINK("http://www.ensembl.org/id/WBGene00010831", "WBGene00010831")</f>
        <v>WBGene00010831</v>
      </c>
      <c r="B19620" s="9" t="str">
        <f>HYPERLINK("http://www.ncbi.nlm.nih.gov/gene/187405", "187405")</f>
        <v>187405</v>
      </c>
      <c r="C19620" s="9"/>
      <c r="D19620" t="str">
        <f>"M02G9.2"</f>
        <v>M02G9.2</v>
      </c>
      <c r="F19620" t="s">
        <v>11</v>
      </c>
      <c r="H19620" s="12">
        <v>1.15755833751205</v>
      </c>
      <c r="I19620" s="20">
        <v>0.197386927609847</v>
      </c>
      <c r="J19620" s="28">
        <v>0.84352475864162701</v>
      </c>
      <c r="K19620" s="29">
        <v>0.993398729519544</v>
      </c>
    </row>
    <row r="19621" spans="1:11" x14ac:dyDescent="0.35">
      <c r="A19621" s="9" t="str">
        <f>HYPERLINK("http://www.ensembl.org/id/WBGene00003651", "WBGene00003651")</f>
        <v>WBGene00003651</v>
      </c>
      <c r="B19621" s="9" t="str">
        <f>HYPERLINK("http://www.ncbi.nlm.nih.gov/gene/175142", "175142")</f>
        <v>175142</v>
      </c>
      <c r="C19621" s="9"/>
      <c r="D19621" t="str">
        <f>"nhr-61"</f>
        <v>nhr-61</v>
      </c>
      <c r="E19621" t="s">
        <v>10464</v>
      </c>
      <c r="F19621" t="s">
        <v>11</v>
      </c>
      <c r="G19621" t="s">
        <v>4906</v>
      </c>
      <c r="H19621" s="12">
        <v>1.0403674660386399</v>
      </c>
      <c r="I19621" s="20">
        <v>0.197415217377539</v>
      </c>
      <c r="J19621" s="28">
        <v>0.84350262219919603</v>
      </c>
      <c r="K19621" s="29">
        <v>0.993398729519544</v>
      </c>
    </row>
    <row r="19622" spans="1:11" x14ac:dyDescent="0.35">
      <c r="A19622" s="9" t="str">
        <f>HYPERLINK("http://www.ensembl.org/id/WBGene00008748", "WBGene00008748")</f>
        <v>WBGene00008748</v>
      </c>
      <c r="B19622" s="9" t="str">
        <f>HYPERLINK("http://www.ncbi.nlm.nih.gov/gene/181267", "181267")</f>
        <v>181267</v>
      </c>
      <c r="C19622" s="9"/>
      <c r="D19622" t="str">
        <f>"yap-1"</f>
        <v>yap-1</v>
      </c>
      <c r="E19622" t="s">
        <v>10465</v>
      </c>
      <c r="F19622" t="s">
        <v>11</v>
      </c>
      <c r="G19622" t="s">
        <v>10466</v>
      </c>
      <c r="H19622" s="12">
        <v>-1.03832192132324</v>
      </c>
      <c r="I19622" s="20">
        <v>-0.19739701336048199</v>
      </c>
      <c r="J19622" s="28">
        <v>0.84351686663481096</v>
      </c>
      <c r="K19622" s="29">
        <v>0.993398729519544</v>
      </c>
    </row>
    <row r="19623" spans="1:11" x14ac:dyDescent="0.35">
      <c r="A19623" s="9" t="str">
        <f>HYPERLINK("http://www.ensembl.org/id/WBGene00170335", "WBGene00170335")</f>
        <v>WBGene00170335</v>
      </c>
      <c r="B19623" s="9"/>
      <c r="C19623" s="9"/>
      <c r="D19623" t="str">
        <f>"21ur-13885"</f>
        <v>21ur-13885</v>
      </c>
      <c r="F19623" t="s">
        <v>3161</v>
      </c>
      <c r="H19623" s="12">
        <v>-1.3013130460337801</v>
      </c>
      <c r="I19623" s="20">
        <v>-0.19711089765061901</v>
      </c>
      <c r="J19623" s="28">
        <v>0.84374075563441098</v>
      </c>
      <c r="K19623" s="29">
        <v>0.99355317166153101</v>
      </c>
    </row>
    <row r="19624" spans="1:11" x14ac:dyDescent="0.35">
      <c r="A19624" s="9" t="str">
        <f>HYPERLINK("http://www.ensembl.org/id/WBGene00219489", "WBGene00219489")</f>
        <v>WBGene00219489</v>
      </c>
      <c r="B19624" s="9" t="str">
        <f>HYPERLINK("http://www.ncbi.nlm.nih.gov/gene/24104198", "24104198")</f>
        <v>24104198</v>
      </c>
      <c r="C19624" s="9"/>
      <c r="D19624" t="str">
        <f>"C10C6.13"</f>
        <v>C10C6.13</v>
      </c>
      <c r="F19624" t="s">
        <v>11</v>
      </c>
      <c r="H19624" s="12">
        <v>-1.49666626281055</v>
      </c>
      <c r="I19624" s="20">
        <v>-0.19682988342433</v>
      </c>
      <c r="J19624" s="28">
        <v>0.84396066495279898</v>
      </c>
      <c r="K19624" s="29">
        <v>0.99355317166153101</v>
      </c>
    </row>
    <row r="19625" spans="1:11" x14ac:dyDescent="0.35">
      <c r="A19625" s="9" t="str">
        <f>HYPERLINK("http://www.ensembl.org/id/WBGene00020931", "WBGene00020931")</f>
        <v>WBGene00020931</v>
      </c>
      <c r="B19625" s="9" t="str">
        <f>HYPERLINK("http://www.ncbi.nlm.nih.gov/gene/172393", "172393")</f>
        <v>172393</v>
      </c>
      <c r="C19625" s="9" t="str">
        <f>HYPERLINK("http://www.ncbi.nlm.nih.gov/gene/80777", "80777")</f>
        <v>80777</v>
      </c>
      <c r="D19625" t="str">
        <f>"cytb-5.2"</f>
        <v>cytb-5.2</v>
      </c>
      <c r="E19625" t="s">
        <v>6563</v>
      </c>
      <c r="F19625" t="s">
        <v>11</v>
      </c>
      <c r="G19625" t="s">
        <v>10467</v>
      </c>
      <c r="H19625" s="12">
        <v>1.0371475904921601</v>
      </c>
      <c r="I19625" s="20">
        <v>0.19687792459676401</v>
      </c>
      <c r="J19625" s="28">
        <v>0.84392306919123095</v>
      </c>
      <c r="K19625" s="29">
        <v>0.99355317166153101</v>
      </c>
    </row>
    <row r="19626" spans="1:11" x14ac:dyDescent="0.35">
      <c r="A19626" s="9" t="str">
        <f>HYPERLINK("http://www.ensembl.org/id/WBGene00007875", "WBGene00007875")</f>
        <v>WBGene00007875</v>
      </c>
      <c r="B19626" s="9" t="str">
        <f>HYPERLINK("http://www.ncbi.nlm.nih.gov/gene/178245", "178245")</f>
        <v>178245</v>
      </c>
      <c r="C19626" s="9"/>
      <c r="D19626" t="str">
        <f>"dod-24"</f>
        <v>dod-24</v>
      </c>
      <c r="E19626" t="s">
        <v>24</v>
      </c>
      <c r="F19626" t="s">
        <v>11</v>
      </c>
      <c r="G19626" t="s">
        <v>1876</v>
      </c>
      <c r="H19626" s="12">
        <v>-1.04074174096441</v>
      </c>
      <c r="I19626" s="20">
        <v>-0.19709415630231</v>
      </c>
      <c r="J19626" s="28">
        <v>0.84375385633292299</v>
      </c>
      <c r="K19626" s="29">
        <v>0.99355317166153101</v>
      </c>
    </row>
    <row r="19627" spans="1:11" x14ac:dyDescent="0.35">
      <c r="A19627" s="9" t="str">
        <f>HYPERLINK("http://www.ensembl.org/id/WBGene00020936", "WBGene00020936")</f>
        <v>WBGene00020936</v>
      </c>
      <c r="B19627" s="9" t="str">
        <f>HYPERLINK("http://www.ncbi.nlm.nih.gov/gene/172395", "172395")</f>
        <v>172395</v>
      </c>
      <c r="C19627" s="9" t="str">
        <f>HYPERLINK("http://www.ncbi.nlm.nih.gov/gene/3185", "3185")</f>
        <v>3185</v>
      </c>
      <c r="D19627" t="str">
        <f>"hrpf-1"</f>
        <v>hrpf-1</v>
      </c>
      <c r="E19627" t="s">
        <v>7403</v>
      </c>
      <c r="F19627" t="s">
        <v>11</v>
      </c>
      <c r="G19627" t="s">
        <v>7254</v>
      </c>
      <c r="H19627" s="12">
        <v>-1.04525443216854</v>
      </c>
      <c r="I19627" s="20">
        <v>-0.19681369435848201</v>
      </c>
      <c r="J19627" s="28">
        <v>0.84397333417122999</v>
      </c>
      <c r="K19627" s="29">
        <v>0.99355317166153101</v>
      </c>
    </row>
    <row r="19628" spans="1:11" x14ac:dyDescent="0.35">
      <c r="A19628" s="9" t="str">
        <f>HYPERLINK("http://www.ensembl.org/id/WBGene00021227", "WBGene00021227")</f>
        <v>WBGene00021227</v>
      </c>
      <c r="B19628" s="9" t="str">
        <f>HYPERLINK("http://www.ncbi.nlm.nih.gov/gene/189489", "189489")</f>
        <v>189489</v>
      </c>
      <c r="C19628" s="9" t="str">
        <f>HYPERLINK("http://www.ncbi.nlm.nih.gov/gene/117247", "117247")</f>
        <v>117247</v>
      </c>
      <c r="D19628" t="str">
        <f>"mct-1"</f>
        <v>mct-1</v>
      </c>
      <c r="E19628" t="s">
        <v>730</v>
      </c>
      <c r="F19628" t="s">
        <v>11</v>
      </c>
      <c r="G19628" t="s">
        <v>731</v>
      </c>
      <c r="H19628" s="12">
        <v>-1.3686748784899601</v>
      </c>
      <c r="I19628" s="20">
        <v>-0.19683828729181699</v>
      </c>
      <c r="J19628" s="28">
        <v>0.84395408828085505</v>
      </c>
      <c r="K19628" s="29">
        <v>0.99355317166153101</v>
      </c>
    </row>
    <row r="19629" spans="1:11" x14ac:dyDescent="0.35">
      <c r="A19629" s="9" t="str">
        <f>HYPERLINK("http://www.ensembl.org/id/WBGene00021947", "WBGene00021947")</f>
        <v>WBGene00021947</v>
      </c>
      <c r="B19629" s="9" t="str">
        <f>HYPERLINK("http://www.ncbi.nlm.nih.gov/gene/190321", "190321")</f>
        <v>190321</v>
      </c>
      <c r="C19629" s="9"/>
      <c r="D19629" t="str">
        <f>"srt-23"</f>
        <v>srt-23</v>
      </c>
      <c r="E19629" t="s">
        <v>2845</v>
      </c>
      <c r="F19629" t="s">
        <v>11</v>
      </c>
      <c r="G19629" t="s">
        <v>25</v>
      </c>
      <c r="H19629" s="12">
        <v>-1.49666626281055</v>
      </c>
      <c r="I19629" s="20">
        <v>-0.19682988342433</v>
      </c>
      <c r="J19629" s="28">
        <v>0.84396066495279898</v>
      </c>
      <c r="K19629" s="29">
        <v>0.99355317166153101</v>
      </c>
    </row>
    <row r="19630" spans="1:11" x14ac:dyDescent="0.35">
      <c r="A19630" s="9" t="str">
        <f>HYPERLINK("http://www.ensembl.org/id/WBGene00220207", "WBGene00220207")</f>
        <v>WBGene00220207</v>
      </c>
      <c r="B19630" s="9"/>
      <c r="C19630" s="9"/>
      <c r="D19630" t="str">
        <f>"Y75B8A.62"</f>
        <v>Y75B8A.62</v>
      </c>
      <c r="F19630" t="s">
        <v>481</v>
      </c>
      <c r="H19630" s="12">
        <v>1.1384383606211901</v>
      </c>
      <c r="I19630" s="20">
        <v>0.19677974999248399</v>
      </c>
      <c r="J19630" s="28">
        <v>0.84399989844077405</v>
      </c>
      <c r="K19630" s="29">
        <v>0.99355317166153101</v>
      </c>
    </row>
    <row r="19631" spans="1:11" x14ac:dyDescent="0.35">
      <c r="A19631" s="9" t="str">
        <f>HYPERLINK("http://www.ensembl.org/id/WBGene00048349", "WBGene00048349")</f>
        <v>WBGene00048349</v>
      </c>
      <c r="B19631" s="9"/>
      <c r="C19631" s="9"/>
      <c r="D19631" t="str">
        <f>"21ur-296"</f>
        <v>21ur-296</v>
      </c>
      <c r="F19631" t="s">
        <v>3161</v>
      </c>
      <c r="H19631" s="12">
        <v>-1.5616437523616999</v>
      </c>
      <c r="I19631" s="20">
        <v>-0.19606740345479801</v>
      </c>
      <c r="J19631" s="28">
        <v>0.84455740932115497</v>
      </c>
      <c r="K19631" s="29">
        <v>0.993592790727994</v>
      </c>
    </row>
    <row r="19632" spans="1:11" x14ac:dyDescent="0.35">
      <c r="A19632" s="9" t="str">
        <f>HYPERLINK("http://www.ensembl.org/id/WBGene00016507", "WBGene00016507")</f>
        <v>WBGene00016507</v>
      </c>
      <c r="B19632" s="9" t="str">
        <f>HYPERLINK("http://www.ncbi.nlm.nih.gov/gene/178877", "178877")</f>
        <v>178877</v>
      </c>
      <c r="C19632" s="9" t="str">
        <f>HYPERLINK("http://www.ncbi.nlm.nih.gov/gene/63874", "63874")</f>
        <v>63874</v>
      </c>
      <c r="D19632" t="str">
        <f>"abhd-5.2"</f>
        <v>abhd-5.2</v>
      </c>
      <c r="E19632" t="s">
        <v>10472</v>
      </c>
      <c r="F19632" t="s">
        <v>11</v>
      </c>
      <c r="H19632" s="12">
        <v>-1.04168401800082</v>
      </c>
      <c r="I19632" s="20">
        <v>-0.19622654849926399</v>
      </c>
      <c r="J19632" s="28">
        <v>0.84443284928173701</v>
      </c>
      <c r="K19632" s="29">
        <v>0.993592790727994</v>
      </c>
    </row>
    <row r="19633" spans="1:11" x14ac:dyDescent="0.35">
      <c r="A19633" s="9" t="str">
        <f>HYPERLINK("http://www.ensembl.org/id/WBGene00016370", "WBGene00016370")</f>
        <v>WBGene00016370</v>
      </c>
      <c r="B19633" s="9" t="str">
        <f>HYPERLINK("http://www.ncbi.nlm.nih.gov/gene/183183", "183183")</f>
        <v>183183</v>
      </c>
      <c r="C19633" s="9"/>
      <c r="D19633" t="str">
        <f>"C33H5.1"</f>
        <v>C33H5.1</v>
      </c>
      <c r="F19633" t="s">
        <v>11</v>
      </c>
      <c r="G19633" t="s">
        <v>25</v>
      </c>
      <c r="H19633" s="12">
        <v>1.34056089062937</v>
      </c>
      <c r="I19633" s="20">
        <v>0.19608277195079901</v>
      </c>
      <c r="J19633" s="28">
        <v>0.84454538049886696</v>
      </c>
      <c r="K19633" s="29">
        <v>0.993592790727994</v>
      </c>
    </row>
    <row r="19634" spans="1:11" x14ac:dyDescent="0.35">
      <c r="A19634" s="9" t="str">
        <f>HYPERLINK("http://www.ensembl.org/id/WBGene00007910", "WBGene00007910")</f>
        <v>WBGene00007910</v>
      </c>
      <c r="B19634" s="9" t="str">
        <f>HYPERLINK("http://www.ncbi.nlm.nih.gov/gene/3564856", "3564856")</f>
        <v>3564856</v>
      </c>
      <c r="C19634" s="9"/>
      <c r="D19634" t="str">
        <f>"C34B4.5"</f>
        <v>C34B4.5</v>
      </c>
      <c r="F19634" t="s">
        <v>11</v>
      </c>
      <c r="G19634" t="s">
        <v>25</v>
      </c>
      <c r="H19634" s="12">
        <v>1.25410823409285</v>
      </c>
      <c r="I19634" s="20">
        <v>0.19604390734487601</v>
      </c>
      <c r="J19634" s="28">
        <v>0.84457579964428697</v>
      </c>
      <c r="K19634" s="29">
        <v>0.993592790727994</v>
      </c>
    </row>
    <row r="19635" spans="1:11" x14ac:dyDescent="0.35">
      <c r="A19635" s="9" t="str">
        <f>HYPERLINK("http://www.ensembl.org/id/WBGene00001000", "WBGene00001000")</f>
        <v>WBGene00001000</v>
      </c>
      <c r="B19635" s="9" t="str">
        <f>HYPERLINK("http://www.ncbi.nlm.nih.gov/gene/181062", "181062")</f>
        <v>181062</v>
      </c>
      <c r="C19635" s="9"/>
      <c r="D19635" t="str">
        <f>"dim-1"</f>
        <v>dim-1</v>
      </c>
      <c r="E19635" t="s">
        <v>10469</v>
      </c>
      <c r="F19635" t="s">
        <v>11</v>
      </c>
      <c r="G19635" t="s">
        <v>10470</v>
      </c>
      <c r="H19635" s="12">
        <v>1.04382840817617</v>
      </c>
      <c r="I19635" s="20">
        <v>0.19602247661706601</v>
      </c>
      <c r="J19635" s="28">
        <v>0.84459257347392602</v>
      </c>
      <c r="K19635" s="29">
        <v>0.993592790727994</v>
      </c>
    </row>
    <row r="19636" spans="1:11" x14ac:dyDescent="0.35">
      <c r="A19636" s="9" t="str">
        <f>HYPERLINK("http://www.ensembl.org/id/WBGene00017821", "WBGene00017821")</f>
        <v>WBGene00017821</v>
      </c>
      <c r="B19636" s="9"/>
      <c r="C19636" s="9"/>
      <c r="D19636" t="str">
        <f>"F26D11.4"</f>
        <v>F26D11.4</v>
      </c>
      <c r="F19636" t="s">
        <v>80</v>
      </c>
      <c r="H19636" s="12">
        <v>-1.3562542302218501</v>
      </c>
      <c r="I19636" s="20">
        <v>-0.19660455540833</v>
      </c>
      <c r="J19636" s="28">
        <v>0.844137005491152</v>
      </c>
      <c r="K19636" s="29">
        <v>0.993592790727994</v>
      </c>
    </row>
    <row r="19637" spans="1:11" x14ac:dyDescent="0.35">
      <c r="A19637" s="9" t="str">
        <f>HYPERLINK("http://www.ensembl.org/id/WBGene00013574", "WBGene00013574")</f>
        <v>WBGene00013574</v>
      </c>
      <c r="B19637" s="9" t="str">
        <f>HYPERLINK("http://www.ncbi.nlm.nih.gov/gene/190728", "190728")</f>
        <v>190728</v>
      </c>
      <c r="C19637" s="9"/>
      <c r="D19637" t="str">
        <f>"lron-13"</f>
        <v>lron-13</v>
      </c>
      <c r="E19637" t="s">
        <v>814</v>
      </c>
      <c r="F19637" t="s">
        <v>11</v>
      </c>
      <c r="H19637" s="12">
        <v>-1.05507733626011</v>
      </c>
      <c r="I19637" s="20">
        <v>-0.19634089722188899</v>
      </c>
      <c r="J19637" s="28">
        <v>0.84434335294030705</v>
      </c>
      <c r="K19637" s="29">
        <v>0.993592790727994</v>
      </c>
    </row>
    <row r="19638" spans="1:11" x14ac:dyDescent="0.35">
      <c r="A19638" s="9" t="str">
        <f>HYPERLINK("http://www.ensembl.org/id/WBGene00004001", "WBGene00004001")</f>
        <v>WBGene00004001</v>
      </c>
      <c r="B19638" s="9" t="str">
        <f>HYPERLINK("http://www.ncbi.nlm.nih.gov/gene/188697", "188697")</f>
        <v>188697</v>
      </c>
      <c r="C19638" s="9"/>
      <c r="D19638" t="str">
        <f>"pgp-7"</f>
        <v>pgp-7</v>
      </c>
      <c r="E19638" t="s">
        <v>1379</v>
      </c>
      <c r="F19638" t="s">
        <v>11</v>
      </c>
      <c r="G19638" t="s">
        <v>10468</v>
      </c>
      <c r="H19638" s="12">
        <v>1.3127263911102001</v>
      </c>
      <c r="I19638" s="20">
        <v>0.19626049094519599</v>
      </c>
      <c r="J19638" s="28">
        <v>0.84440628362686299</v>
      </c>
      <c r="K19638" s="29">
        <v>0.993592790727994</v>
      </c>
    </row>
    <row r="19639" spans="1:11" x14ac:dyDescent="0.35">
      <c r="A19639" s="9" t="str">
        <f>HYPERLINK("http://www.ensembl.org/id/WBGene00011015", "WBGene00011015")</f>
        <v>WBGene00011015</v>
      </c>
      <c r="B19639" s="9" t="str">
        <f>HYPERLINK("http://www.ncbi.nlm.nih.gov/gene/179690", "179690")</f>
        <v>179690</v>
      </c>
      <c r="C19639" s="9"/>
      <c r="D19639" t="str">
        <f>"R04F11.2"</f>
        <v>R04F11.2</v>
      </c>
      <c r="F19639" t="s">
        <v>11</v>
      </c>
      <c r="G19639" t="s">
        <v>10471</v>
      </c>
      <c r="H19639" s="12">
        <v>-1.03751451534979</v>
      </c>
      <c r="I19639" s="20">
        <v>-0.196676416318883</v>
      </c>
      <c r="J19639" s="28">
        <v>0.84408076666587395</v>
      </c>
      <c r="K19639" s="29">
        <v>0.993592790727994</v>
      </c>
    </row>
    <row r="19640" spans="1:11" x14ac:dyDescent="0.35">
      <c r="A19640" s="9" t="str">
        <f>HYPERLINK("http://www.ensembl.org/id/WBGene00005093", "WBGene00005093")</f>
        <v>WBGene00005093</v>
      </c>
      <c r="B19640" s="9" t="str">
        <f>HYPERLINK("http://www.ncbi.nlm.nih.gov/gene/191804", "191804")</f>
        <v>191804</v>
      </c>
      <c r="C19640" s="9"/>
      <c r="D19640" t="str">
        <f>"srd-15"</f>
        <v>srd-15</v>
      </c>
      <c r="E19640" t="s">
        <v>1513</v>
      </c>
      <c r="F19640" t="s">
        <v>11</v>
      </c>
      <c r="G19640" t="s">
        <v>25</v>
      </c>
      <c r="H19640" s="12">
        <v>1.3127263911102001</v>
      </c>
      <c r="I19640" s="20">
        <v>0.19626049094519599</v>
      </c>
      <c r="J19640" s="28">
        <v>0.84440628362686299</v>
      </c>
      <c r="K19640" s="29">
        <v>0.993592790727994</v>
      </c>
    </row>
    <row r="19641" spans="1:11" x14ac:dyDescent="0.35">
      <c r="A19641" s="9" t="str">
        <f>HYPERLINK("http://www.ensembl.org/id/WBGene00020594", "WBGene00020594")</f>
        <v>WBGene00020594</v>
      </c>
      <c r="B19641" s="9" t="str">
        <f>HYPERLINK("http://www.ncbi.nlm.nih.gov/gene/188619", "188619")</f>
        <v>188619</v>
      </c>
      <c r="C19641" s="9"/>
      <c r="D19641" t="str">
        <f>"ugt-10"</f>
        <v>ugt-10</v>
      </c>
      <c r="E19641" t="s">
        <v>103</v>
      </c>
      <c r="F19641" t="s">
        <v>11</v>
      </c>
      <c r="G19641" t="s">
        <v>104</v>
      </c>
      <c r="H19641" s="12">
        <v>-1.5616437523616999</v>
      </c>
      <c r="I19641" s="20">
        <v>-0.19606740345479801</v>
      </c>
      <c r="J19641" s="28">
        <v>0.84455740932115497</v>
      </c>
      <c r="K19641" s="29">
        <v>0.993592790727994</v>
      </c>
    </row>
    <row r="19642" spans="1:11" x14ac:dyDescent="0.35">
      <c r="A19642" s="9" t="str">
        <f>HYPERLINK("http://www.ensembl.org/id/WBGene00020986", "WBGene00020986")</f>
        <v>WBGene00020986</v>
      </c>
      <c r="B19642" s="9" t="str">
        <f>HYPERLINK("http://www.ncbi.nlm.nih.gov/gene/171848", "171848")</f>
        <v>171848</v>
      </c>
      <c r="C19642" s="9"/>
      <c r="D19642" t="str">
        <f>"W03D8.3"</f>
        <v>W03D8.3</v>
      </c>
      <c r="F19642" t="s">
        <v>11</v>
      </c>
      <c r="G19642" t="s">
        <v>25</v>
      </c>
      <c r="H19642" s="12">
        <v>1.1092832007937901</v>
      </c>
      <c r="I19642" s="20">
        <v>0.19606579955581499</v>
      </c>
      <c r="J19642" s="28">
        <v>0.84455866468458995</v>
      </c>
      <c r="K19642" s="29">
        <v>0.993592790727994</v>
      </c>
    </row>
    <row r="19643" spans="1:11" x14ac:dyDescent="0.35">
      <c r="A19643" s="9" t="str">
        <f>HYPERLINK("http://www.ensembl.org/id/WBGene00235263", "WBGene00235263")</f>
        <v>WBGene00235263</v>
      </c>
      <c r="B19643" s="9" t="str">
        <f>HYPERLINK("http://www.ncbi.nlm.nih.gov/gene/24105187", "24105187")</f>
        <v>24105187</v>
      </c>
      <c r="C19643" s="9"/>
      <c r="D19643" t="str">
        <f>"Y66H1A.8"</f>
        <v>Y66H1A.8</v>
      </c>
      <c r="F19643" t="s">
        <v>11</v>
      </c>
      <c r="H19643" s="12">
        <v>1.1960489224947199</v>
      </c>
      <c r="I19643" s="20">
        <v>0.196438695190816</v>
      </c>
      <c r="J19643" s="28">
        <v>0.84426681183045704</v>
      </c>
      <c r="K19643" s="29">
        <v>0.993592790727994</v>
      </c>
    </row>
    <row r="19644" spans="1:11" x14ac:dyDescent="0.35">
      <c r="A19644" s="9" t="str">
        <f>HYPERLINK("http://www.ensembl.org/id/WBGene00021386", "WBGene00021386")</f>
        <v>WBGene00021386</v>
      </c>
      <c r="B19644" s="9" t="str">
        <f>HYPERLINK("http://www.ncbi.nlm.nih.gov/gene/246002", "246002")</f>
        <v>246002</v>
      </c>
      <c r="C19644" s="9"/>
      <c r="D19644" t="str">
        <f>"Y37F4.5"</f>
        <v>Y37F4.5</v>
      </c>
      <c r="F19644" t="s">
        <v>11</v>
      </c>
      <c r="G19644" t="s">
        <v>25</v>
      </c>
      <c r="H19644" s="12">
        <v>-1.3014586720082599</v>
      </c>
      <c r="I19644" s="20">
        <v>-0.19595576326220901</v>
      </c>
      <c r="J19644" s="28">
        <v>0.844644790464677</v>
      </c>
      <c r="K19644" s="29">
        <v>0.99360363142637298</v>
      </c>
    </row>
    <row r="19645" spans="1:11" x14ac:dyDescent="0.35">
      <c r="A19645" s="9" t="str">
        <f>HYPERLINK("http://www.ensembl.org/id/WBGene00013284", "WBGene00013284")</f>
        <v>WBGene00013284</v>
      </c>
      <c r="B19645" s="9" t="str">
        <f>HYPERLINK("http://www.ncbi.nlm.nih.gov/gene/174881", "174881")</f>
        <v>174881</v>
      </c>
      <c r="C19645" s="9" t="str">
        <f>HYPERLINK("http://www.ncbi.nlm.nih.gov/gene/6342", "6342")</f>
        <v>6342</v>
      </c>
      <c r="D19645" t="str">
        <f>"daf-22"</f>
        <v>daf-22</v>
      </c>
      <c r="E19645" t="s">
        <v>10473</v>
      </c>
      <c r="F19645" t="s">
        <v>11</v>
      </c>
      <c r="G19645" t="s">
        <v>10474</v>
      </c>
      <c r="H19645" s="12">
        <v>1.0359045841524499</v>
      </c>
      <c r="I19645" s="20">
        <v>0.195766957006662</v>
      </c>
      <c r="J19645" s="28">
        <v>0.84479257408750696</v>
      </c>
      <c r="K19645" s="29">
        <v>0.99364698608607804</v>
      </c>
    </row>
    <row r="19646" spans="1:11" x14ac:dyDescent="0.35">
      <c r="A19646" s="9" t="str">
        <f>HYPERLINK("http://www.ensembl.org/id/WBGene00022794", "WBGene00022794")</f>
        <v>WBGene00022794</v>
      </c>
      <c r="B19646" s="9" t="str">
        <f>HYPERLINK("http://www.ncbi.nlm.nih.gov/gene/176090", "176090")</f>
        <v>176090</v>
      </c>
      <c r="C19646" s="9" t="str">
        <f>HYPERLINK("http://www.ncbi.nlm.nih.gov/gene/153527", "153527")</f>
        <v>153527</v>
      </c>
      <c r="D19646" t="str">
        <f>"snu-23"</f>
        <v>snu-23</v>
      </c>
      <c r="E19646" t="s">
        <v>10475</v>
      </c>
      <c r="F19646" t="s">
        <v>11</v>
      </c>
      <c r="G19646" t="s">
        <v>10476</v>
      </c>
      <c r="H19646" s="12">
        <v>-1.03957011754701</v>
      </c>
      <c r="I19646" s="20">
        <v>-0.19574385495772401</v>
      </c>
      <c r="J19646" s="28">
        <v>0.84481065704410097</v>
      </c>
      <c r="K19646" s="29">
        <v>0.99364698608607804</v>
      </c>
    </row>
    <row r="19647" spans="1:11" x14ac:dyDescent="0.35">
      <c r="A19647" s="9" t="str">
        <f>HYPERLINK("http://www.ensembl.org/id/WBGene00012666", "WBGene00012666")</f>
        <v>WBGene00012666</v>
      </c>
      <c r="B19647" s="9" t="str">
        <f>HYPERLINK("http://www.ncbi.nlm.nih.gov/gene/180262", "180262")</f>
        <v>180262</v>
      </c>
      <c r="C19647" s="9" t="str">
        <f>HYPERLINK("http://www.ncbi.nlm.nih.gov/gene/81689", "81689")</f>
        <v>81689</v>
      </c>
      <c r="D19647" t="str">
        <f>"Y39B6A.3"</f>
        <v>Y39B6A.3</v>
      </c>
      <c r="F19647" t="s">
        <v>11</v>
      </c>
      <c r="G19647" t="s">
        <v>10477</v>
      </c>
      <c r="H19647" s="12">
        <v>-1.04275645732234</v>
      </c>
      <c r="I19647" s="20">
        <v>-0.195790817948227</v>
      </c>
      <c r="J19647" s="28">
        <v>0.84477389719922202</v>
      </c>
      <c r="K19647" s="29">
        <v>0.99364698608607804</v>
      </c>
    </row>
    <row r="19648" spans="1:11" x14ac:dyDescent="0.35">
      <c r="A19648" s="9" t="str">
        <f>HYPERLINK("http://www.ensembl.org/id/WBGene00001508", "WBGene00001508")</f>
        <v>WBGene00001508</v>
      </c>
      <c r="B19648" s="9" t="str">
        <f>HYPERLINK("http://www.ncbi.nlm.nih.gov/gene/178985", "178985")</f>
        <v>178985</v>
      </c>
      <c r="C19648" s="9" t="str">
        <f>HYPERLINK("http://www.ncbi.nlm.nih.gov/gene/2530", "2530")</f>
        <v>2530</v>
      </c>
      <c r="D19648" t="str">
        <f>"fut-8"</f>
        <v>fut-8</v>
      </c>
      <c r="E19648" t="s">
        <v>10478</v>
      </c>
      <c r="F19648" t="s">
        <v>11</v>
      </c>
      <c r="G19648" t="s">
        <v>10479</v>
      </c>
      <c r="H19648" s="12">
        <v>-1.04071284001789</v>
      </c>
      <c r="I19648" s="20">
        <v>-0.195363781721134</v>
      </c>
      <c r="J19648" s="28">
        <v>0.845108168269187</v>
      </c>
      <c r="K19648" s="29">
        <v>0.99382566051839405</v>
      </c>
    </row>
    <row r="19649" spans="1:11" x14ac:dyDescent="0.35">
      <c r="A19649" s="9" t="str">
        <f>HYPERLINK("http://www.ensembl.org/id/WBGene00220000", "WBGene00220000")</f>
        <v>WBGene00220000</v>
      </c>
      <c r="B19649" s="9"/>
      <c r="C19649" s="9"/>
      <c r="D19649" t="str">
        <f>"K02F2.11"</f>
        <v>K02F2.11</v>
      </c>
      <c r="F19649" t="s">
        <v>481</v>
      </c>
      <c r="H19649" s="12">
        <v>1.1133504572511701</v>
      </c>
      <c r="I19649" s="20">
        <v>0.195396966861549</v>
      </c>
      <c r="J19649" s="28">
        <v>0.84508219094268699</v>
      </c>
      <c r="K19649" s="29">
        <v>0.99382566051839405</v>
      </c>
    </row>
    <row r="19650" spans="1:11" x14ac:dyDescent="0.35">
      <c r="A19650" s="9" t="str">
        <f>HYPERLINK("http://www.ensembl.org/id/WBGene00011971", "WBGene00011971")</f>
        <v>WBGene00011971</v>
      </c>
      <c r="B19650" s="9" t="str">
        <f>HYPERLINK("http://www.ncbi.nlm.nih.gov/gene/172529", "172529")</f>
        <v>172529</v>
      </c>
      <c r="C19650" s="9"/>
      <c r="D19650" t="str">
        <f>"lron-9"</f>
        <v>lron-9</v>
      </c>
      <c r="E19650" t="s">
        <v>814</v>
      </c>
      <c r="F19650" t="s">
        <v>11</v>
      </c>
      <c r="G19650" t="s">
        <v>417</v>
      </c>
      <c r="H19650" s="12">
        <v>1.0378582648176899</v>
      </c>
      <c r="I19650" s="20">
        <v>0.19534494136143599</v>
      </c>
      <c r="J19650" s="28">
        <v>0.84512291657690597</v>
      </c>
      <c r="K19650" s="29">
        <v>0.99382566051839405</v>
      </c>
    </row>
    <row r="19651" spans="1:11" x14ac:dyDescent="0.35">
      <c r="A19651" s="9" t="str">
        <f>HYPERLINK("http://www.ensembl.org/id/WBGene00020841", "WBGene00020841")</f>
        <v>WBGene00020841</v>
      </c>
      <c r="B19651" s="9" t="str">
        <f>HYPERLINK("http://www.ncbi.nlm.nih.gov/gene/188965", "188965")</f>
        <v>188965</v>
      </c>
      <c r="C19651" s="9"/>
      <c r="D19651" t="str">
        <f>"T27A3.5"</f>
        <v>T27A3.5</v>
      </c>
      <c r="E19651" t="s">
        <v>1019</v>
      </c>
      <c r="F19651" t="s">
        <v>11</v>
      </c>
      <c r="G19651" t="s">
        <v>1020</v>
      </c>
      <c r="H19651" s="12">
        <v>1.2245454819342501</v>
      </c>
      <c r="I19651" s="20">
        <v>0.195329997743456</v>
      </c>
      <c r="J19651" s="28">
        <v>0.84513461453847205</v>
      </c>
      <c r="K19651" s="29">
        <v>0.99382566051839405</v>
      </c>
    </row>
    <row r="19652" spans="1:11" x14ac:dyDescent="0.35">
      <c r="A19652" s="9" t="str">
        <f>HYPERLINK("http://www.ensembl.org/id/WBGene00007742", "WBGene00007742")</f>
        <v>WBGene00007742</v>
      </c>
      <c r="B19652" s="9" t="str">
        <f>HYPERLINK("http://www.ncbi.nlm.nih.gov/gene/182936", "182936")</f>
        <v>182936</v>
      </c>
      <c r="C19652" s="9"/>
      <c r="D19652" t="str">
        <f>"C26C6.8"</f>
        <v>C26C6.8</v>
      </c>
      <c r="F19652" t="s">
        <v>11</v>
      </c>
      <c r="G19652" t="s">
        <v>54</v>
      </c>
      <c r="H19652" s="12">
        <v>-1.2063512993505801</v>
      </c>
      <c r="I19652" s="20">
        <v>-0.194351731789147</v>
      </c>
      <c r="J19652" s="28">
        <v>0.84590048167040699</v>
      </c>
      <c r="K19652" s="29">
        <v>0.99387165059667804</v>
      </c>
    </row>
    <row r="19653" spans="1:11" x14ac:dyDescent="0.35">
      <c r="A19653" s="9" t="str">
        <f>HYPERLINK("http://www.ensembl.org/id/WBGene00016483", "WBGene00016483")</f>
        <v>WBGene00016483</v>
      </c>
      <c r="B19653" s="9" t="str">
        <f>HYPERLINK("http://www.ncbi.nlm.nih.gov/gene/183270", "183270")</f>
        <v>183270</v>
      </c>
      <c r="C19653" s="9"/>
      <c r="D19653" t="str">
        <f>"C36C5.14"</f>
        <v>C36C5.14</v>
      </c>
      <c r="F19653" t="s">
        <v>11</v>
      </c>
      <c r="H19653" s="12">
        <v>-1.24162355110443</v>
      </c>
      <c r="I19653" s="20">
        <v>-0.19434601894350501</v>
      </c>
      <c r="J19653" s="28">
        <v>0.84590495458470905</v>
      </c>
      <c r="K19653" s="29">
        <v>0.99387165059667804</v>
      </c>
    </row>
    <row r="19654" spans="1:11" x14ac:dyDescent="0.35">
      <c r="A19654" s="9" t="str">
        <f>HYPERLINK("http://www.ensembl.org/id/WBGene00271809", "WBGene00271809")</f>
        <v>WBGene00271809</v>
      </c>
      <c r="B19654" s="9"/>
      <c r="C19654" s="9"/>
      <c r="D19654" t="str">
        <f>"D1022.17"</f>
        <v>D1022.17</v>
      </c>
      <c r="F19654" t="s">
        <v>481</v>
      </c>
      <c r="H19654" s="12">
        <v>1.67508376199737</v>
      </c>
      <c r="I19654" s="20">
        <v>0.19484319739662201</v>
      </c>
      <c r="J19654" s="28">
        <v>0.84551570368234297</v>
      </c>
      <c r="K19654" s="29">
        <v>0.99387165059667804</v>
      </c>
    </row>
    <row r="19655" spans="1:11" x14ac:dyDescent="0.35">
      <c r="A19655" s="9" t="str">
        <f>HYPERLINK("http://www.ensembl.org/id/WBGene00000931", "WBGene00000931")</f>
        <v>WBGene00000931</v>
      </c>
      <c r="B19655" s="9" t="str">
        <f>HYPERLINK("http://www.ncbi.nlm.nih.gov/gene/266845", "266845")</f>
        <v>266845</v>
      </c>
      <c r="C19655" s="9"/>
      <c r="D19655" t="str">
        <f>"dao-5"</f>
        <v>dao-5</v>
      </c>
      <c r="E19655" t="s">
        <v>10484</v>
      </c>
      <c r="F19655" t="s">
        <v>11</v>
      </c>
      <c r="H19655" s="12">
        <v>-1.0417508378898801</v>
      </c>
      <c r="I19655" s="20">
        <v>-0.194378863420994</v>
      </c>
      <c r="J19655" s="28">
        <v>0.84587923882850602</v>
      </c>
      <c r="K19655" s="29">
        <v>0.99387165059667804</v>
      </c>
    </row>
    <row r="19656" spans="1:11" x14ac:dyDescent="0.35">
      <c r="A19656" s="9" t="str">
        <f>HYPERLINK("http://www.ensembl.org/id/WBGene00019257", "WBGene00019257")</f>
        <v>WBGene00019257</v>
      </c>
      <c r="B19656" s="9" t="str">
        <f>HYPERLINK("http://www.ncbi.nlm.nih.gov/gene/186797", "186797")</f>
        <v>186797</v>
      </c>
      <c r="C19656" s="9"/>
      <c r="D19656" t="str">
        <f>"dhhc-13"</f>
        <v>dhhc-13</v>
      </c>
      <c r="E19656" t="s">
        <v>2394</v>
      </c>
      <c r="F19656" t="s">
        <v>11</v>
      </c>
      <c r="G19656" t="s">
        <v>7939</v>
      </c>
      <c r="H19656" s="12">
        <v>-1.4515689257605</v>
      </c>
      <c r="I19656" s="20">
        <v>-0.194392113423693</v>
      </c>
      <c r="J19656" s="28">
        <v>0.84586886471575595</v>
      </c>
      <c r="K19656" s="29">
        <v>0.99387165059667804</v>
      </c>
    </row>
    <row r="19657" spans="1:11" x14ac:dyDescent="0.35">
      <c r="A19657" s="9" t="str">
        <f>HYPERLINK("http://www.ensembl.org/id/WBGene00219271", "WBGene00219271")</f>
        <v>WBGene00219271</v>
      </c>
      <c r="B19657" s="9" t="str">
        <f>HYPERLINK("http://www.ncbi.nlm.nih.gov/gene/13183744", "13183744")</f>
        <v>13183744</v>
      </c>
      <c r="C19657" s="9"/>
      <c r="D19657" t="str">
        <f>"F36H5.14"</f>
        <v>F36H5.14</v>
      </c>
      <c r="F19657" t="s">
        <v>11</v>
      </c>
      <c r="G19657" t="s">
        <v>54</v>
      </c>
      <c r="H19657" s="12">
        <v>1.14862769631882</v>
      </c>
      <c r="I19657" s="20">
        <v>0.19477220628344299</v>
      </c>
      <c r="J19657" s="28">
        <v>0.84557128173180796</v>
      </c>
      <c r="K19657" s="29">
        <v>0.99387165059667804</v>
      </c>
    </row>
    <row r="19658" spans="1:11" x14ac:dyDescent="0.35">
      <c r="A19658" s="9" t="str">
        <f>HYPERLINK("http://www.ensembl.org/id/WBGene00018576", "WBGene00018576")</f>
        <v>WBGene00018576</v>
      </c>
      <c r="B19658" s="9" t="str">
        <f>HYPERLINK("http://www.ncbi.nlm.nih.gov/gene/180543", "180543")</f>
        <v>180543</v>
      </c>
      <c r="C19658" s="9"/>
      <c r="D19658" t="str">
        <f>"F47G3.1"</f>
        <v>F47G3.1</v>
      </c>
      <c r="F19658" t="s">
        <v>11</v>
      </c>
      <c r="G19658" t="s">
        <v>10480</v>
      </c>
      <c r="H19658" s="12">
        <v>1.06646404526725</v>
      </c>
      <c r="I19658" s="20">
        <v>0.19494836252467301</v>
      </c>
      <c r="J19658" s="28">
        <v>0.84543337263954199</v>
      </c>
      <c r="K19658" s="29">
        <v>0.99387165059667804</v>
      </c>
    </row>
    <row r="19659" spans="1:11" x14ac:dyDescent="0.35">
      <c r="A19659" s="9" t="str">
        <f>HYPERLINK("http://www.ensembl.org/id/WBGene00015829", "WBGene00015829")</f>
        <v>WBGene00015829</v>
      </c>
      <c r="B19659" s="9" t="str">
        <f>HYPERLINK("http://www.ncbi.nlm.nih.gov/gene/182659", "182659")</f>
        <v>182659</v>
      </c>
      <c r="C19659" s="9"/>
      <c r="D19659" t="str">
        <f>"math-15"</f>
        <v>math-15</v>
      </c>
      <c r="E19659" t="s">
        <v>596</v>
      </c>
      <c r="F19659" t="s">
        <v>11</v>
      </c>
      <c r="G19659" t="s">
        <v>54</v>
      </c>
      <c r="H19659" s="12">
        <v>1.67508376199737</v>
      </c>
      <c r="I19659" s="20">
        <v>0.19484319739662201</v>
      </c>
      <c r="J19659" s="28">
        <v>0.84551570368234297</v>
      </c>
      <c r="K19659" s="29">
        <v>0.99387165059667804</v>
      </c>
    </row>
    <row r="19660" spans="1:11" x14ac:dyDescent="0.35">
      <c r="A19660" s="9" t="str">
        <f>HYPERLINK("http://www.ensembl.org/id/WBGene00007027", "WBGene00007027")</f>
        <v>WBGene00007027</v>
      </c>
      <c r="B19660" s="9" t="str">
        <f>HYPERLINK("http://www.ncbi.nlm.nih.gov/gene/190954", "190954")</f>
        <v>190954</v>
      </c>
      <c r="C19660" s="9"/>
      <c r="D19660" t="str">
        <f>"ssl-1"</f>
        <v>ssl-1</v>
      </c>
      <c r="E19660" t="s">
        <v>10481</v>
      </c>
      <c r="F19660" t="s">
        <v>11</v>
      </c>
      <c r="G19660" t="s">
        <v>10482</v>
      </c>
      <c r="H19660" s="12">
        <v>1.03617998370123</v>
      </c>
      <c r="I19660" s="20">
        <v>0.19492911880840799</v>
      </c>
      <c r="J19660" s="28">
        <v>0.845448437918219</v>
      </c>
      <c r="K19660" s="29">
        <v>0.99387165059667804</v>
      </c>
    </row>
    <row r="19661" spans="1:11" x14ac:dyDescent="0.35">
      <c r="A19661" s="9" t="str">
        <f>HYPERLINK("http://www.ensembl.org/id/WBGene00011447", "WBGene00011447")</f>
        <v>WBGene00011447</v>
      </c>
      <c r="B19661" s="9" t="str">
        <f>HYPERLINK("http://www.ncbi.nlm.nih.gov/gene/3565383", "3565383")</f>
        <v>3565383</v>
      </c>
      <c r="C19661" s="9"/>
      <c r="D19661" t="str">
        <f>"T04F8.9"</f>
        <v>T04F8.9</v>
      </c>
      <c r="F19661" t="s">
        <v>11</v>
      </c>
      <c r="G19661" t="s">
        <v>25</v>
      </c>
      <c r="H19661" s="12">
        <v>1.09120678589784</v>
      </c>
      <c r="I19661" s="20">
        <v>0.194405660377788</v>
      </c>
      <c r="J19661" s="28">
        <v>0.84585825813201598</v>
      </c>
      <c r="K19661" s="29">
        <v>0.99387165059667804</v>
      </c>
    </row>
    <row r="19662" spans="1:11" x14ac:dyDescent="0.35">
      <c r="A19662" s="9" t="str">
        <f>HYPERLINK("http://www.ensembl.org/id/WBGene00020435", "WBGene00020435")</f>
        <v>WBGene00020435</v>
      </c>
      <c r="B19662" s="9" t="str">
        <f>HYPERLINK("http://www.ncbi.nlm.nih.gov/gene/188418", "188418")</f>
        <v>188418</v>
      </c>
      <c r="C19662" s="9"/>
      <c r="D19662" t="str">
        <f>"T11F8.4"</f>
        <v>T11F8.4</v>
      </c>
      <c r="F19662" t="s">
        <v>11</v>
      </c>
      <c r="G19662" t="s">
        <v>1763</v>
      </c>
      <c r="H19662" s="12">
        <v>-1.4515689257605</v>
      </c>
      <c r="I19662" s="20">
        <v>-0.194392113423693</v>
      </c>
      <c r="J19662" s="28">
        <v>0.84586886471575595</v>
      </c>
      <c r="K19662" s="29">
        <v>0.99387165059667804</v>
      </c>
    </row>
    <row r="19663" spans="1:11" x14ac:dyDescent="0.35">
      <c r="A19663" s="9" t="str">
        <f>HYPERLINK("http://www.ensembl.org/id/WBGene00011738", "WBGene00011738")</f>
        <v>WBGene00011738</v>
      </c>
      <c r="B19663" s="9" t="str">
        <f>HYPERLINK("http://www.ncbi.nlm.nih.gov/gene/178140", "178140")</f>
        <v>178140</v>
      </c>
      <c r="C19663" s="9"/>
      <c r="D19663" t="str">
        <f>"T12G3.2"</f>
        <v>T12G3.2</v>
      </c>
      <c r="F19663" t="s">
        <v>11</v>
      </c>
      <c r="H19663" s="12">
        <v>-1.0388912779870101</v>
      </c>
      <c r="I19663" s="20">
        <v>-0.19500860034606601</v>
      </c>
      <c r="J19663" s="28">
        <v>0.84538621477655795</v>
      </c>
      <c r="K19663" s="29">
        <v>0.99387165059667804</v>
      </c>
    </row>
    <row r="19664" spans="1:11" x14ac:dyDescent="0.35">
      <c r="A19664" s="9" t="str">
        <f>HYPERLINK("http://www.ensembl.org/id/WBGene00022027", "WBGene00022027")</f>
        <v>WBGene00022027</v>
      </c>
      <c r="B19664" s="9" t="str">
        <f>HYPERLINK("http://www.ncbi.nlm.nih.gov/gene/171654", "171654")</f>
        <v>171654</v>
      </c>
      <c r="C19664" s="9" t="str">
        <f>HYPERLINK("http://www.ncbi.nlm.nih.gov/gene/79643", "79643")</f>
        <v>79643</v>
      </c>
      <c r="D19664" t="str">
        <f>"vps-20"</f>
        <v>vps-20</v>
      </c>
      <c r="E19664" t="s">
        <v>2992</v>
      </c>
      <c r="F19664" t="s">
        <v>11</v>
      </c>
      <c r="G19664" t="s">
        <v>10483</v>
      </c>
      <c r="H19664" s="12">
        <v>-1.0370907974356001</v>
      </c>
      <c r="I19664" s="20">
        <v>-0.194644775642378</v>
      </c>
      <c r="J19664" s="28">
        <v>0.84567104750528999</v>
      </c>
      <c r="K19664" s="29">
        <v>0.99387165059667804</v>
      </c>
    </row>
    <row r="19665" spans="1:11" x14ac:dyDescent="0.35">
      <c r="A19665" s="9" t="str">
        <f>HYPERLINK("http://www.ensembl.org/id/WBGene00020990", "WBGene00020990")</f>
        <v>WBGene00020990</v>
      </c>
      <c r="B19665" s="9" t="str">
        <f>HYPERLINK("http://www.ncbi.nlm.nih.gov/gene/171842", "171842")</f>
        <v>171842</v>
      </c>
      <c r="C19665" s="9"/>
      <c r="D19665" t="str">
        <f>"W03D8.9"</f>
        <v>W03D8.9</v>
      </c>
      <c r="F19665" t="s">
        <v>11</v>
      </c>
      <c r="G19665" t="s">
        <v>25</v>
      </c>
      <c r="H19665" s="12">
        <v>-1.10561035723499</v>
      </c>
      <c r="I19665" s="20">
        <v>-0.194480175553152</v>
      </c>
      <c r="J19665" s="28">
        <v>0.84579991699674795</v>
      </c>
      <c r="K19665" s="29">
        <v>0.99387165059667804</v>
      </c>
    </row>
    <row r="19666" spans="1:11" x14ac:dyDescent="0.35">
      <c r="A19666" s="9" t="str">
        <f>HYPERLINK("http://www.ensembl.org/id/WBGene00044382", "WBGene00044382")</f>
        <v>WBGene00044382</v>
      </c>
      <c r="B19666" s="9" t="str">
        <f>HYPERLINK("http://www.ncbi.nlm.nih.gov/gene/3565340", "3565340")</f>
        <v>3565340</v>
      </c>
      <c r="C19666" s="9"/>
      <c r="D19666" t="str">
        <f>"Y14H12A.2"</f>
        <v>Y14H12A.2</v>
      </c>
      <c r="F19666" t="s">
        <v>11</v>
      </c>
      <c r="H19666" s="12">
        <v>1.4122804772844699</v>
      </c>
      <c r="I19666" s="20">
        <v>0.194364113871134</v>
      </c>
      <c r="J19666" s="28">
        <v>0.84589078704575005</v>
      </c>
      <c r="K19666" s="29">
        <v>0.99387165059667804</v>
      </c>
    </row>
    <row r="19667" spans="1:11" x14ac:dyDescent="0.35">
      <c r="A19667" s="9" t="str">
        <f>HYPERLINK("http://www.ensembl.org/id/WBGene00012690", "WBGene00012690")</f>
        <v>WBGene00012690</v>
      </c>
      <c r="B19667" s="9"/>
      <c r="C19667" s="9"/>
      <c r="D19667" t="str">
        <f>"Y39B6A.31"</f>
        <v>Y39B6A.31</v>
      </c>
      <c r="F19667" t="s">
        <v>80</v>
      </c>
      <c r="H19667" s="12">
        <v>1.67508376199737</v>
      </c>
      <c r="I19667" s="20">
        <v>0.19484319739662201</v>
      </c>
      <c r="J19667" s="28">
        <v>0.84551570368234297</v>
      </c>
      <c r="K19667" s="29">
        <v>0.99387165059667804</v>
      </c>
    </row>
    <row r="19668" spans="1:11" x14ac:dyDescent="0.35">
      <c r="A19668" s="9" t="str">
        <f>HYPERLINK("http://www.ensembl.org/id/WBGene00022548", "WBGene00022548")</f>
        <v>WBGene00022548</v>
      </c>
      <c r="B19668" s="9" t="str">
        <f>HYPERLINK("http://www.ncbi.nlm.nih.gov/gene/191103", "191103")</f>
        <v>191103</v>
      </c>
      <c r="C19668" s="9"/>
      <c r="D19668" t="str">
        <f>"ZC196.4"</f>
        <v>ZC196.4</v>
      </c>
      <c r="F19668" t="s">
        <v>11</v>
      </c>
      <c r="H19668" s="12">
        <v>1.1533793689971299</v>
      </c>
      <c r="I19668" s="20">
        <v>0.194423573592021</v>
      </c>
      <c r="J19668" s="28">
        <v>0.84584423302907097</v>
      </c>
      <c r="K19668" s="29">
        <v>0.99387165059667804</v>
      </c>
    </row>
    <row r="19669" spans="1:11" x14ac:dyDescent="0.35">
      <c r="A19669" s="9" t="str">
        <f>HYPERLINK("http://www.ensembl.org/id/WBGene00219235", "WBGene00219235")</f>
        <v>WBGene00219235</v>
      </c>
      <c r="B19669" s="9" t="str">
        <f>HYPERLINK("http://www.ncbi.nlm.nih.gov/gene/13212644", "13212644")</f>
        <v>13212644</v>
      </c>
      <c r="C19669" s="9"/>
      <c r="D19669" t="str">
        <f>"K03B4.8"</f>
        <v>K03B4.8</v>
      </c>
      <c r="F19669" t="s">
        <v>11</v>
      </c>
      <c r="H19669" s="12">
        <v>1.4130656058795401</v>
      </c>
      <c r="I19669" s="20">
        <v>0.19420762320759699</v>
      </c>
      <c r="J19669" s="28">
        <v>0.84601331405597402</v>
      </c>
      <c r="K19669" s="29">
        <v>0.99389788664721102</v>
      </c>
    </row>
    <row r="19670" spans="1:11" x14ac:dyDescent="0.35">
      <c r="A19670" s="9" t="str">
        <f>HYPERLINK("http://www.ensembl.org/id/WBGene00006052", "WBGene00006052")</f>
        <v>WBGene00006052</v>
      </c>
      <c r="B19670" s="9" t="str">
        <f>HYPERLINK("http://www.ncbi.nlm.nih.gov/gene/191964", "191964")</f>
        <v>191964</v>
      </c>
      <c r="C19670" s="9"/>
      <c r="D19670" t="str">
        <f>"ssq-3"</f>
        <v>ssq-3</v>
      </c>
      <c r="E19670" t="s">
        <v>8926</v>
      </c>
      <c r="F19670" t="s">
        <v>11</v>
      </c>
      <c r="H19670" s="12">
        <v>1.1112399992425499</v>
      </c>
      <c r="I19670" s="20">
        <v>0.19426155559811201</v>
      </c>
      <c r="J19670" s="28">
        <v>0.84597108635849905</v>
      </c>
      <c r="K19670" s="29">
        <v>0.99389788664721102</v>
      </c>
    </row>
    <row r="19671" spans="1:11" x14ac:dyDescent="0.35">
      <c r="A19671" s="9" t="str">
        <f>HYPERLINK("http://www.ensembl.org/id/WBGene00009012", "WBGene00009012")</f>
        <v>WBGene00009012</v>
      </c>
      <c r="B19671" s="9" t="str">
        <f>HYPERLINK("http://www.ncbi.nlm.nih.gov/gene/259584", "259584")</f>
        <v>259584</v>
      </c>
      <c r="C19671" s="9" t="str">
        <f>HYPERLINK("http://www.ncbi.nlm.nih.gov/gene/6729", "6729")</f>
        <v>6729</v>
      </c>
      <c r="D19671" t="str">
        <f>"F21D5.7"</f>
        <v>F21D5.7</v>
      </c>
      <c r="E19671" t="s">
        <v>10485</v>
      </c>
      <c r="F19671" t="s">
        <v>11</v>
      </c>
      <c r="G19671" t="s">
        <v>10486</v>
      </c>
      <c r="H19671" s="12">
        <v>-1.0366884200870801</v>
      </c>
      <c r="I19671" s="20">
        <v>-0.19414318326636301</v>
      </c>
      <c r="J19671" s="28">
        <v>0.846063769479799</v>
      </c>
      <c r="K19671" s="29">
        <v>0.99390662756623205</v>
      </c>
    </row>
    <row r="19672" spans="1:11" x14ac:dyDescent="0.35">
      <c r="A19672" s="9" t="str">
        <f>HYPERLINK("http://www.ensembl.org/id/WBGene00201757", "WBGene00201757")</f>
        <v>WBGene00201757</v>
      </c>
      <c r="B19672" s="9"/>
      <c r="C19672" s="9"/>
      <c r="D19672" t="str">
        <f>"C25H3.20"</f>
        <v>C25H3.20</v>
      </c>
      <c r="F19672" t="s">
        <v>481</v>
      </c>
      <c r="H19672" s="12">
        <v>-1.83608037170811</v>
      </c>
      <c r="I19672" s="20">
        <v>-0.19347552422912001</v>
      </c>
      <c r="J19672" s="28">
        <v>0.84658657273939797</v>
      </c>
      <c r="K19672" s="29">
        <v>0.99391440220093097</v>
      </c>
    </row>
    <row r="19673" spans="1:11" x14ac:dyDescent="0.35">
      <c r="A19673" s="9" t="str">
        <f>HYPERLINK("http://www.ensembl.org/id/WBGene00219436", "WBGene00219436")</f>
        <v>WBGene00219436</v>
      </c>
      <c r="B19673" s="9" t="str">
        <f>HYPERLINK("http://www.ncbi.nlm.nih.gov/gene/13196868", "13196868")</f>
        <v>13196868</v>
      </c>
      <c r="C19673" s="9"/>
      <c r="D19673" t="str">
        <f>"C49H3.16"</f>
        <v>C49H3.16</v>
      </c>
      <c r="F19673" t="s">
        <v>11</v>
      </c>
      <c r="G19673" t="s">
        <v>4197</v>
      </c>
      <c r="H19673" s="12">
        <v>1.0967554659581999</v>
      </c>
      <c r="I19673" s="20">
        <v>0.19391177988033201</v>
      </c>
      <c r="J19673" s="28">
        <v>0.84624495976180603</v>
      </c>
      <c r="K19673" s="29">
        <v>0.99391440220093097</v>
      </c>
    </row>
    <row r="19674" spans="1:11" x14ac:dyDescent="0.35">
      <c r="A19674" s="9" t="str">
        <f>HYPERLINK("http://www.ensembl.org/id/WBGene00008504", "WBGene00008504")</f>
        <v>WBGene00008504</v>
      </c>
      <c r="B19674" s="9" t="str">
        <f>HYPERLINK("http://www.ncbi.nlm.nih.gov/gene/178019", "178019")</f>
        <v>178019</v>
      </c>
      <c r="C19674" s="9" t="str">
        <f>HYPERLINK("http://www.ncbi.nlm.nih.gov/gene/9091", "9091")</f>
        <v>9091</v>
      </c>
      <c r="D19674" t="str">
        <f>"F01G4.5"</f>
        <v>F01G4.5</v>
      </c>
      <c r="F19674" t="s">
        <v>11</v>
      </c>
      <c r="G19674" t="s">
        <v>10489</v>
      </c>
      <c r="H19674" s="12">
        <v>-1.0441826603937501</v>
      </c>
      <c r="I19674" s="20">
        <v>-0.193725765765868</v>
      </c>
      <c r="J19674" s="28">
        <v>0.84639061585873498</v>
      </c>
      <c r="K19674" s="29">
        <v>0.99391440220093097</v>
      </c>
    </row>
    <row r="19675" spans="1:11" x14ac:dyDescent="0.35">
      <c r="A19675" s="9" t="str">
        <f>HYPERLINK("http://www.ensembl.org/id/WBGene00198149", "WBGene00198149")</f>
        <v>WBGene00198149</v>
      </c>
      <c r="B19675" s="9"/>
      <c r="C19675" s="9"/>
      <c r="D19675" t="str">
        <f>"F58B6.7"</f>
        <v>F58B6.7</v>
      </c>
      <c r="F19675" t="s">
        <v>481</v>
      </c>
      <c r="H19675" s="12">
        <v>-1.4486779304052499</v>
      </c>
      <c r="I19675" s="20">
        <v>-0.19388575130493099</v>
      </c>
      <c r="J19675" s="28">
        <v>0.84626534080615001</v>
      </c>
      <c r="K19675" s="29">
        <v>0.99391440220093097</v>
      </c>
    </row>
    <row r="19676" spans="1:11" x14ac:dyDescent="0.35">
      <c r="A19676" s="9" t="str">
        <f>HYPERLINK("http://www.ensembl.org/id/WBGene00017158", "WBGene00017158")</f>
        <v>WBGene00017158</v>
      </c>
      <c r="B19676" s="9" t="str">
        <f>HYPERLINK("http://www.ncbi.nlm.nih.gov/gene/175829", "175829")</f>
        <v>175829</v>
      </c>
      <c r="C19676" s="9"/>
      <c r="D19676" t="str">
        <f>"hpo-10"</f>
        <v>hpo-10</v>
      </c>
      <c r="F19676" t="s">
        <v>11</v>
      </c>
      <c r="G19676" t="s">
        <v>228</v>
      </c>
      <c r="H19676" s="12">
        <v>1.03791754867231</v>
      </c>
      <c r="I19676" s="20">
        <v>0.193848806964242</v>
      </c>
      <c r="J19676" s="28">
        <v>0.84629426935221397</v>
      </c>
      <c r="K19676" s="29">
        <v>0.99391440220093097</v>
      </c>
    </row>
    <row r="19677" spans="1:11" x14ac:dyDescent="0.35">
      <c r="A19677" s="9" t="str">
        <f>HYPERLINK("http://www.ensembl.org/id/WBGene00045486", "WBGene00045486")</f>
        <v>WBGene00045486</v>
      </c>
      <c r="B19677" s="9" t="str">
        <f>HYPERLINK("http://www.ncbi.nlm.nih.gov/gene/6418628", "6418628")</f>
        <v>6418628</v>
      </c>
      <c r="C19677" s="9"/>
      <c r="D19677" t="str">
        <f>"K05F6.12"</f>
        <v>K05F6.12</v>
      </c>
      <c r="F19677" t="s">
        <v>11</v>
      </c>
      <c r="G19677" t="s">
        <v>417</v>
      </c>
      <c r="H19677" s="12">
        <v>-1.20157582542773</v>
      </c>
      <c r="I19677" s="20">
        <v>-0.19377687953335301</v>
      </c>
      <c r="J19677" s="28">
        <v>0.84635059131965296</v>
      </c>
      <c r="K19677" s="29">
        <v>0.99391440220093097</v>
      </c>
    </row>
    <row r="19678" spans="1:11" x14ac:dyDescent="0.35">
      <c r="A19678" s="9" t="str">
        <f>HYPERLINK("http://www.ensembl.org/id/WBGene00019778", "WBGene00019778")</f>
        <v>WBGene00019778</v>
      </c>
      <c r="B19678" s="9" t="str">
        <f>HYPERLINK("http://www.ncbi.nlm.nih.gov/gene/177113", "177113")</f>
        <v>177113</v>
      </c>
      <c r="C19678" s="9" t="str">
        <f>HYPERLINK("http://www.ncbi.nlm.nih.gov/gene/5875", "5875")</f>
        <v>5875</v>
      </c>
      <c r="D19678" t="str">
        <f>"M57.2"</f>
        <v>M57.2</v>
      </c>
      <c r="F19678" t="s">
        <v>11</v>
      </c>
      <c r="G19678" t="s">
        <v>10487</v>
      </c>
      <c r="H19678" s="12">
        <v>1.0369403081014801</v>
      </c>
      <c r="I19678" s="20">
        <v>0.19359351704691999</v>
      </c>
      <c r="J19678" s="28">
        <v>0.84649417480734901</v>
      </c>
      <c r="K19678" s="29">
        <v>0.99391440220093097</v>
      </c>
    </row>
    <row r="19679" spans="1:11" x14ac:dyDescent="0.35">
      <c r="A19679" s="9" t="str">
        <f>HYPERLINK("http://www.ensembl.org/id/WBGene00003851", "WBGene00003851")</f>
        <v>WBGene00003851</v>
      </c>
      <c r="B19679" s="9" t="str">
        <f>HYPERLINK("http://www.ncbi.nlm.nih.gov/gene/175950", "175950")</f>
        <v>175950</v>
      </c>
      <c r="C19679" s="9"/>
      <c r="D19679" t="str">
        <f>"odr-4"</f>
        <v>odr-4</v>
      </c>
      <c r="E19679" t="s">
        <v>10488</v>
      </c>
      <c r="F19679" t="s">
        <v>11</v>
      </c>
      <c r="H19679" s="12">
        <v>-1.0382197924288701</v>
      </c>
      <c r="I19679" s="20">
        <v>-0.194020352186316</v>
      </c>
      <c r="J19679" s="28">
        <v>0.84615994596190203</v>
      </c>
      <c r="K19679" s="29">
        <v>0.99391440220093097</v>
      </c>
    </row>
    <row r="19680" spans="1:11" x14ac:dyDescent="0.35">
      <c r="A19680" s="9" t="str">
        <f>HYPERLINK("http://www.ensembl.org/id/WBGene00006654", "WBGene00006654")</f>
        <v>WBGene00006654</v>
      </c>
      <c r="B19680" s="9" t="str">
        <f>HYPERLINK("http://www.ncbi.nlm.nih.gov/gene/181357", "181357")</f>
        <v>181357</v>
      </c>
      <c r="C19680" s="9"/>
      <c r="D19680" t="str">
        <f>"ttx-3"</f>
        <v>ttx-3</v>
      </c>
      <c r="E19680" t="s">
        <v>10490</v>
      </c>
      <c r="F19680" t="s">
        <v>11</v>
      </c>
      <c r="G19680" t="s">
        <v>10491</v>
      </c>
      <c r="H19680" s="12">
        <v>-1.12618445476823</v>
      </c>
      <c r="I19680" s="20">
        <v>-0.193555528795093</v>
      </c>
      <c r="J19680" s="28">
        <v>0.84652392245471697</v>
      </c>
      <c r="K19680" s="29">
        <v>0.99391440220093097</v>
      </c>
    </row>
    <row r="19681" spans="1:11" x14ac:dyDescent="0.35">
      <c r="A19681" s="9" t="str">
        <f>HYPERLINK("http://www.ensembl.org/id/WBGene00044151", "WBGene00044151")</f>
        <v>WBGene00044151</v>
      </c>
      <c r="B19681" s="9" t="str">
        <f>HYPERLINK("http://www.ncbi.nlm.nih.gov/gene/3896893", "3896893")</f>
        <v>3896893</v>
      </c>
      <c r="C19681" s="9"/>
      <c r="D19681" t="str">
        <f>"W04G3.12"</f>
        <v>W04G3.12</v>
      </c>
      <c r="F19681" t="s">
        <v>11</v>
      </c>
      <c r="H19681" s="12">
        <v>-1.83608037170811</v>
      </c>
      <c r="I19681" s="20">
        <v>-0.19347552422912001</v>
      </c>
      <c r="J19681" s="28">
        <v>0.84658657273939797</v>
      </c>
      <c r="K19681" s="29">
        <v>0.99391440220093097</v>
      </c>
    </row>
    <row r="19682" spans="1:11" x14ac:dyDescent="0.35">
      <c r="A19682" s="9" t="str">
        <f>HYPERLINK("http://www.ensembl.org/id/WBGene00012313", "WBGene00012313")</f>
        <v>WBGene00012313</v>
      </c>
      <c r="B19682" s="9" t="str">
        <f>HYPERLINK("http://www.ncbi.nlm.nih.gov/gene/189261", "189261")</f>
        <v>189261</v>
      </c>
      <c r="C19682" s="9"/>
      <c r="D19682" t="str">
        <f>"W06G6.11"</f>
        <v>W06G6.11</v>
      </c>
      <c r="F19682" t="s">
        <v>11</v>
      </c>
      <c r="H19682" s="12">
        <v>-1.83608037170811</v>
      </c>
      <c r="I19682" s="20">
        <v>-0.19347552422912001</v>
      </c>
      <c r="J19682" s="28">
        <v>0.84658657273939797</v>
      </c>
      <c r="K19682" s="29">
        <v>0.99391440220093097</v>
      </c>
    </row>
    <row r="19683" spans="1:11" x14ac:dyDescent="0.35">
      <c r="A19683" s="9" t="str">
        <f>HYPERLINK("http://www.ensembl.org/id/WBGene00013033", "WBGene00013033")</f>
        <v>WBGene00013033</v>
      </c>
      <c r="B19683" s="9" t="str">
        <f>HYPERLINK("http://www.ncbi.nlm.nih.gov/gene/176665", "176665")</f>
        <v>176665</v>
      </c>
      <c r="C19683" s="9"/>
      <c r="D19683" t="str">
        <f>"Y49E10.10"</f>
        <v>Y49E10.10</v>
      </c>
      <c r="F19683" t="s">
        <v>11</v>
      </c>
      <c r="G19683" t="s">
        <v>25</v>
      </c>
      <c r="H19683" s="12">
        <v>-1.19152357772718</v>
      </c>
      <c r="I19683" s="20">
        <v>-0.19360172202230999</v>
      </c>
      <c r="J19683" s="28">
        <v>0.84648774972560603</v>
      </c>
      <c r="K19683" s="29">
        <v>0.99391440220093097</v>
      </c>
    </row>
    <row r="19684" spans="1:11" x14ac:dyDescent="0.35">
      <c r="A19684" s="9" t="str">
        <f>HYPERLINK("http://www.ensembl.org/id/WBGene00007955", "WBGene00007955")</f>
        <v>WBGene00007955</v>
      </c>
      <c r="B19684" s="9" t="str">
        <f>HYPERLINK("http://www.ncbi.nlm.nih.gov/gene/181343", "181343")</f>
        <v>181343</v>
      </c>
      <c r="C19684" s="9"/>
      <c r="D19684" t="str">
        <f>"selt-1.1"</f>
        <v>selt-1.1</v>
      </c>
      <c r="E19684" t="s">
        <v>10492</v>
      </c>
      <c r="F19684" t="s">
        <v>11</v>
      </c>
      <c r="G19684" t="s">
        <v>10493</v>
      </c>
      <c r="H19684" s="12">
        <v>-1.0361867870878501</v>
      </c>
      <c r="I19684" s="20">
        <v>-0.19337859468482299</v>
      </c>
      <c r="J19684" s="28">
        <v>0.84666247800066696</v>
      </c>
      <c r="K19684" s="29">
        <v>0.99395301375284095</v>
      </c>
    </row>
    <row r="19685" spans="1:11" x14ac:dyDescent="0.35">
      <c r="A19685" s="9" t="str">
        <f>HYPERLINK("http://www.ensembl.org/id/WBGene00170317", "WBGene00170317")</f>
        <v>WBGene00170317</v>
      </c>
      <c r="B19685" s="9"/>
      <c r="C19685" s="9"/>
      <c r="D19685" t="str">
        <f>"21ur-10102"</f>
        <v>21ur-10102</v>
      </c>
      <c r="F19685" t="s">
        <v>3161</v>
      </c>
      <c r="H19685" s="12">
        <v>1.8135090907084399</v>
      </c>
      <c r="I19685" s="20">
        <v>0.17820138943026001</v>
      </c>
      <c r="J19685" s="28">
        <v>0.85856481858144096</v>
      </c>
      <c r="K19685" s="29">
        <v>0.994271565763579</v>
      </c>
    </row>
    <row r="19686" spans="1:11" x14ac:dyDescent="0.35">
      <c r="A19686" s="9" t="str">
        <f>HYPERLINK("http://www.ensembl.org/id/WBGene00174467", "WBGene00174467")</f>
        <v>WBGene00174467</v>
      </c>
      <c r="B19686" s="9"/>
      <c r="C19686" s="9"/>
      <c r="D19686" t="str">
        <f>"21ur-10359"</f>
        <v>21ur-10359</v>
      </c>
      <c r="F19686" t="s">
        <v>3161</v>
      </c>
      <c r="H19686" s="12">
        <v>-1.8242660066282399</v>
      </c>
      <c r="I19686" s="20">
        <v>-0.178503478299601</v>
      </c>
      <c r="J19686" s="28">
        <v>0.85832758977776702</v>
      </c>
      <c r="K19686" s="29">
        <v>0.994271565763579</v>
      </c>
    </row>
    <row r="19687" spans="1:11" x14ac:dyDescent="0.35">
      <c r="A19687" s="9" t="str">
        <f>HYPERLINK("http://www.ensembl.org/id/WBGene00168485", "WBGene00168485")</f>
        <v>WBGene00168485</v>
      </c>
      <c r="B19687" s="9"/>
      <c r="C19687" s="9"/>
      <c r="D19687" t="str">
        <f>"21ur-11263"</f>
        <v>21ur-11263</v>
      </c>
      <c r="F19687" t="s">
        <v>3161</v>
      </c>
      <c r="H19687" s="12">
        <v>-1.6907691807024701</v>
      </c>
      <c r="I19687" s="20">
        <v>-0.18831966034723999</v>
      </c>
      <c r="J19687" s="28">
        <v>0.85062607434538895</v>
      </c>
      <c r="K19687" s="29">
        <v>0.994271565763579</v>
      </c>
    </row>
    <row r="19688" spans="1:11" x14ac:dyDescent="0.35">
      <c r="A19688" s="9" t="str">
        <f>HYPERLINK("http://www.ensembl.org/id/WBGene00173208", "WBGene00173208")</f>
        <v>WBGene00173208</v>
      </c>
      <c r="B19688" s="9"/>
      <c r="C19688" s="9"/>
      <c r="D19688" t="str">
        <f>"21ur-11955"</f>
        <v>21ur-11955</v>
      </c>
      <c r="F19688" t="s">
        <v>3161</v>
      </c>
      <c r="H19688" s="12">
        <v>1.79408715352943</v>
      </c>
      <c r="I19688" s="20">
        <v>0.173550585897745</v>
      </c>
      <c r="J19688" s="28">
        <v>0.86221866928889102</v>
      </c>
      <c r="K19688" s="29">
        <v>0.994271565763579</v>
      </c>
    </row>
    <row r="19689" spans="1:11" x14ac:dyDescent="0.35">
      <c r="A19689" s="9" t="str">
        <f>HYPERLINK("http://www.ensembl.org/id/WBGene00165095", "WBGene00165095")</f>
        <v>WBGene00165095</v>
      </c>
      <c r="B19689" s="9"/>
      <c r="C19689" s="9"/>
      <c r="D19689" t="str">
        <f>"21ur-12977"</f>
        <v>21ur-12977</v>
      </c>
      <c r="F19689" t="s">
        <v>3161</v>
      </c>
      <c r="H19689" s="12">
        <v>1.70028638258434</v>
      </c>
      <c r="I19689" s="20">
        <v>0.164008432000641</v>
      </c>
      <c r="J19689" s="28">
        <v>0.86972450592177797</v>
      </c>
      <c r="K19689" s="29">
        <v>0.994271565763579</v>
      </c>
    </row>
    <row r="19690" spans="1:11" x14ac:dyDescent="0.35">
      <c r="A19690" s="9" t="str">
        <f>HYPERLINK("http://www.ensembl.org/id/WBGene00170117", "WBGene00170117")</f>
        <v>WBGene00170117</v>
      </c>
      <c r="B19690" s="9"/>
      <c r="C19690" s="9"/>
      <c r="D19690" t="str">
        <f>"21ur-14084"</f>
        <v>21ur-14084</v>
      </c>
      <c r="F19690" t="s">
        <v>3161</v>
      </c>
      <c r="H19690" s="12">
        <v>1.8135090907084399</v>
      </c>
      <c r="I19690" s="20">
        <v>0.17820138943026001</v>
      </c>
      <c r="J19690" s="28">
        <v>0.85856481858144096</v>
      </c>
      <c r="K19690" s="29">
        <v>0.994271565763579</v>
      </c>
    </row>
    <row r="19691" spans="1:11" x14ac:dyDescent="0.35">
      <c r="A19691" s="9" t="str">
        <f>HYPERLINK("http://www.ensembl.org/id/WBGene00171917", "WBGene00171917")</f>
        <v>WBGene00171917</v>
      </c>
      <c r="B19691" s="9"/>
      <c r="C19691" s="9"/>
      <c r="D19691" t="str">
        <f>"21ur-14115"</f>
        <v>21ur-14115</v>
      </c>
      <c r="F19691" t="s">
        <v>3161</v>
      </c>
      <c r="H19691" s="12">
        <v>1.70028638258434</v>
      </c>
      <c r="I19691" s="20">
        <v>0.164008432000641</v>
      </c>
      <c r="J19691" s="28">
        <v>0.86972450592177797</v>
      </c>
      <c r="K19691" s="29">
        <v>0.994271565763579</v>
      </c>
    </row>
    <row r="19692" spans="1:11" x14ac:dyDescent="0.35">
      <c r="A19692" s="9" t="str">
        <f>HYPERLINK("http://www.ensembl.org/id/WBGene00167867", "WBGene00167867")</f>
        <v>WBGene00167867</v>
      </c>
      <c r="B19692" s="9"/>
      <c r="C19692" s="9"/>
      <c r="D19692" t="str">
        <f>"21ur-14218"</f>
        <v>21ur-14218</v>
      </c>
      <c r="F19692" t="s">
        <v>3161</v>
      </c>
      <c r="H19692" s="12">
        <v>-1.44245535988702</v>
      </c>
      <c r="I19692" s="20">
        <v>-0.167599219756561</v>
      </c>
      <c r="J19692" s="28">
        <v>0.86689858506186301</v>
      </c>
      <c r="K19692" s="29">
        <v>0.994271565763579</v>
      </c>
    </row>
    <row r="19693" spans="1:11" x14ac:dyDescent="0.35">
      <c r="A19693" s="9" t="str">
        <f>HYPERLINK("http://www.ensembl.org/id/WBGene00174322", "WBGene00174322")</f>
        <v>WBGene00174322</v>
      </c>
      <c r="B19693" s="9"/>
      <c r="C19693" s="9"/>
      <c r="D19693" t="str">
        <f>"21ur-14519"</f>
        <v>21ur-14519</v>
      </c>
      <c r="F19693" t="s">
        <v>3161</v>
      </c>
      <c r="H19693" s="12">
        <v>-1.8016822568770801</v>
      </c>
      <c r="I19693" s="20">
        <v>-0.175677875261118</v>
      </c>
      <c r="J19693" s="28">
        <v>0.86054701793969501</v>
      </c>
      <c r="K19693" s="29">
        <v>0.994271565763579</v>
      </c>
    </row>
    <row r="19694" spans="1:11" x14ac:dyDescent="0.35">
      <c r="A19694" s="9" t="str">
        <f>HYPERLINK("http://www.ensembl.org/id/WBGene00170570", "WBGene00170570")</f>
        <v>WBGene00170570</v>
      </c>
      <c r="B19694" s="9"/>
      <c r="C19694" s="9"/>
      <c r="D19694" t="str">
        <f>"21ur-14670"</f>
        <v>21ur-14670</v>
      </c>
      <c r="F19694" t="s">
        <v>3161</v>
      </c>
      <c r="H19694" s="12">
        <v>-1.8016822568770801</v>
      </c>
      <c r="I19694" s="20">
        <v>-0.175677875261118</v>
      </c>
      <c r="J19694" s="28">
        <v>0.86054701793969501</v>
      </c>
      <c r="K19694" s="29">
        <v>0.994271565763579</v>
      </c>
    </row>
    <row r="19695" spans="1:11" x14ac:dyDescent="0.35">
      <c r="A19695" s="9" t="str">
        <f>HYPERLINK("http://www.ensembl.org/id/WBGene00172268", "WBGene00172268")</f>
        <v>WBGene00172268</v>
      </c>
      <c r="B19695" s="9"/>
      <c r="C19695" s="9"/>
      <c r="D19695" t="str">
        <f>"21ur-14750"</f>
        <v>21ur-14750</v>
      </c>
      <c r="F19695" t="s">
        <v>3161</v>
      </c>
      <c r="H19695" s="12">
        <v>1.75352385646303</v>
      </c>
      <c r="I19695" s="20">
        <v>0.16737746853691299</v>
      </c>
      <c r="J19695" s="28">
        <v>0.86707305258210998</v>
      </c>
      <c r="K19695" s="29">
        <v>0.994271565763579</v>
      </c>
    </row>
    <row r="19696" spans="1:11" x14ac:dyDescent="0.35">
      <c r="A19696" s="9" t="str">
        <f>HYPERLINK("http://www.ensembl.org/id/WBGene00172029", "WBGene00172029")</f>
        <v>WBGene00172029</v>
      </c>
      <c r="B19696" s="9"/>
      <c r="C19696" s="9"/>
      <c r="D19696" t="str">
        <f>"21ur-15591"</f>
        <v>21ur-15591</v>
      </c>
      <c r="F19696" t="s">
        <v>3161</v>
      </c>
      <c r="H19696" s="12">
        <v>-1.8016822568770801</v>
      </c>
      <c r="I19696" s="20">
        <v>-0.175677875261118</v>
      </c>
      <c r="J19696" s="28">
        <v>0.86054701793969501</v>
      </c>
      <c r="K19696" s="29">
        <v>0.994271565763579</v>
      </c>
    </row>
    <row r="19697" spans="1:11" x14ac:dyDescent="0.35">
      <c r="A19697" s="9" t="str">
        <f>HYPERLINK("http://www.ensembl.org/id/WBGene00048375", "WBGene00048375")</f>
        <v>WBGene00048375</v>
      </c>
      <c r="B19697" s="9"/>
      <c r="C19697" s="9"/>
      <c r="D19697" t="str">
        <f>"21ur-27"</f>
        <v>21ur-27</v>
      </c>
      <c r="F19697" t="s">
        <v>3161</v>
      </c>
      <c r="H19697" s="12">
        <v>-1.26158554381011</v>
      </c>
      <c r="I19697" s="20">
        <v>-0.192802756093679</v>
      </c>
      <c r="J19697" s="28">
        <v>0.84711344493808105</v>
      </c>
      <c r="K19697" s="29">
        <v>0.994271565763579</v>
      </c>
    </row>
    <row r="19698" spans="1:11" x14ac:dyDescent="0.35">
      <c r="A19698" s="9" t="str">
        <f>HYPERLINK("http://www.ensembl.org/id/WBGene00167084", "WBGene00167084")</f>
        <v>WBGene00167084</v>
      </c>
      <c r="B19698" s="9"/>
      <c r="C19698" s="9"/>
      <c r="D19698" t="str">
        <f>"21ur-9789"</f>
        <v>21ur-9789</v>
      </c>
      <c r="F19698" t="s">
        <v>3161</v>
      </c>
      <c r="H19698" s="12">
        <v>-1.8016822568770801</v>
      </c>
      <c r="I19698" s="20">
        <v>-0.175677875261118</v>
      </c>
      <c r="J19698" s="28">
        <v>0.86054701793969501</v>
      </c>
      <c r="K19698" s="29">
        <v>0.994271565763579</v>
      </c>
    </row>
    <row r="19699" spans="1:11" x14ac:dyDescent="0.35">
      <c r="A19699" s="9" t="str">
        <f>HYPERLINK("http://www.ensembl.org/id/WBGene00009583", "WBGene00009583")</f>
        <v>WBGene00009583</v>
      </c>
      <c r="B19699" s="9" t="str">
        <f>HYPERLINK("http://www.ncbi.nlm.nih.gov/gene/179364", "179364")</f>
        <v>179364</v>
      </c>
      <c r="C19699" s="9" t="str">
        <f>HYPERLINK("http://www.ncbi.nlm.nih.gov/gene/23193", "23193")</f>
        <v>23193</v>
      </c>
      <c r="D19699" t="str">
        <f>"aagr-3"</f>
        <v>aagr-3</v>
      </c>
      <c r="E19699" t="s">
        <v>555</v>
      </c>
      <c r="F19699" t="s">
        <v>11</v>
      </c>
      <c r="G19699" t="s">
        <v>10595</v>
      </c>
      <c r="H19699" s="12">
        <v>-1.0332587777324</v>
      </c>
      <c r="I19699" s="20">
        <v>-0.18013922839103699</v>
      </c>
      <c r="J19699" s="28">
        <v>0.85704326651451601</v>
      </c>
      <c r="K19699" s="29">
        <v>0.994271565763579</v>
      </c>
    </row>
    <row r="19700" spans="1:11" x14ac:dyDescent="0.35">
      <c r="A19700" s="9" t="str">
        <f>HYPERLINK("http://www.ensembl.org/id/WBGene00019599", "WBGene00019599")</f>
        <v>WBGene00019599</v>
      </c>
      <c r="B19700" s="9" t="str">
        <f>HYPERLINK("http://www.ncbi.nlm.nih.gov/gene/178962", "178962")</f>
        <v>178962</v>
      </c>
      <c r="C19700" s="9" t="str">
        <f>HYPERLINK("http://www.ncbi.nlm.nih.gov/gene/80724", "80724")</f>
        <v>80724</v>
      </c>
      <c r="D19700" t="str">
        <f>"acds-10"</f>
        <v>acds-10</v>
      </c>
      <c r="E19700" t="s">
        <v>10549</v>
      </c>
      <c r="F19700" t="s">
        <v>11</v>
      </c>
      <c r="G19700" t="s">
        <v>10550</v>
      </c>
      <c r="H19700" s="12">
        <v>1.03716502278531</v>
      </c>
      <c r="I19700" s="20">
        <v>0.188354983372437</v>
      </c>
      <c r="J19700" s="28">
        <v>0.85059838609368399</v>
      </c>
      <c r="K19700" s="29">
        <v>0.994271565763579</v>
      </c>
    </row>
    <row r="19701" spans="1:11" x14ac:dyDescent="0.35">
      <c r="A19701" s="9" t="str">
        <f>HYPERLINK("http://www.ensembl.org/id/WBGene00000053", "WBGene00000053")</f>
        <v>WBGene00000053</v>
      </c>
      <c r="B19701" s="9" t="str">
        <f>HYPERLINK("http://www.ncbi.nlm.nih.gov/gene/191601", "191601")</f>
        <v>191601</v>
      </c>
      <c r="C19701" s="9" t="str">
        <f>HYPERLINK("http://www.ncbi.nlm.nih.gov/gene/1139", "1139")</f>
        <v>1139</v>
      </c>
      <c r="D19701" t="str">
        <f>"acr-14"</f>
        <v>acr-14</v>
      </c>
      <c r="E19701" t="s">
        <v>1742</v>
      </c>
      <c r="F19701" t="s">
        <v>11</v>
      </c>
      <c r="G19701" t="s">
        <v>1743</v>
      </c>
      <c r="H19701" s="12">
        <v>-1.1228207139880699</v>
      </c>
      <c r="I19701" s="20">
        <v>-0.169900331506039</v>
      </c>
      <c r="J19701" s="28">
        <v>0.86508852040781503</v>
      </c>
      <c r="K19701" s="29">
        <v>0.994271565763579</v>
      </c>
    </row>
    <row r="19702" spans="1:11" x14ac:dyDescent="0.35">
      <c r="A19702" s="9" t="str">
        <f>HYPERLINK("http://www.ensembl.org/id/WBGene00014999", "WBGene00014999")</f>
        <v>WBGene00014999</v>
      </c>
      <c r="B19702" s="9" t="str">
        <f>HYPERLINK("http://www.ncbi.nlm.nih.gov/gene/180537", "180537")</f>
        <v>180537</v>
      </c>
      <c r="C19702" s="9"/>
      <c r="D19702" t="str">
        <f>"AH9.3"</f>
        <v>AH9.3</v>
      </c>
      <c r="F19702" t="s">
        <v>11</v>
      </c>
      <c r="H19702" s="12">
        <v>1.0387163795088099</v>
      </c>
      <c r="I19702" s="20">
        <v>0.18457517838373799</v>
      </c>
      <c r="J19702" s="28">
        <v>0.85356225618484505</v>
      </c>
      <c r="K19702" s="29">
        <v>0.994271565763579</v>
      </c>
    </row>
    <row r="19703" spans="1:11" x14ac:dyDescent="0.35">
      <c r="A19703" s="9" t="str">
        <f>HYPERLINK("http://www.ensembl.org/id/WBGene00016977", "WBGene00016977")</f>
        <v>WBGene00016977</v>
      </c>
      <c r="B19703" s="9" t="str">
        <f>HYPERLINK("http://www.ncbi.nlm.nih.gov/gene/175898", "175898")</f>
        <v>175898</v>
      </c>
      <c r="C19703" s="9"/>
      <c r="D19703" t="str">
        <f>"akap-1"</f>
        <v>akap-1</v>
      </c>
      <c r="E19703" t="s">
        <v>10603</v>
      </c>
      <c r="F19703" t="s">
        <v>11</v>
      </c>
      <c r="G19703" t="s">
        <v>10604</v>
      </c>
      <c r="H19703" s="12">
        <v>-1.03407634448757</v>
      </c>
      <c r="I19703" s="20">
        <v>-0.18791700180547899</v>
      </c>
      <c r="J19703" s="28">
        <v>0.85094171465339696</v>
      </c>
      <c r="K19703" s="29">
        <v>0.994271565763579</v>
      </c>
    </row>
    <row r="19704" spans="1:11" x14ac:dyDescent="0.35">
      <c r="A19704" s="9" t="str">
        <f>HYPERLINK("http://www.ensembl.org/id/WBGene00000108", "WBGene00000108")</f>
        <v>WBGene00000108</v>
      </c>
      <c r="B19704" s="9" t="str">
        <f>HYPERLINK("http://www.ncbi.nlm.nih.gov/gene/187001", "187001")</f>
        <v>187001</v>
      </c>
      <c r="C19704" s="9" t="str">
        <f>HYPERLINK("http://www.ncbi.nlm.nih.gov/gene/217", "217")</f>
        <v>217</v>
      </c>
      <c r="D19704" t="str">
        <f>"alh-2"</f>
        <v>alh-2</v>
      </c>
      <c r="E19704" t="s">
        <v>428</v>
      </c>
      <c r="F19704" t="s">
        <v>11</v>
      </c>
      <c r="G19704" t="s">
        <v>429</v>
      </c>
      <c r="H19704" s="12">
        <v>-1.4440809521705</v>
      </c>
      <c r="I19704" s="20">
        <v>-0.18806090572719</v>
      </c>
      <c r="J19704" s="28">
        <v>0.85082890695446201</v>
      </c>
      <c r="K19704" s="29">
        <v>0.994271565763579</v>
      </c>
    </row>
    <row r="19705" spans="1:11" x14ac:dyDescent="0.35">
      <c r="A19705" s="9" t="str">
        <f>HYPERLINK("http://www.ensembl.org/id/WBGene00000115", "WBGene00000115")</f>
        <v>WBGene00000115</v>
      </c>
      <c r="B19705" s="9" t="str">
        <f>HYPERLINK("http://www.ncbi.nlm.nih.gov/gene/175820", "175820")</f>
        <v>175820</v>
      </c>
      <c r="C19705" s="9" t="str">
        <f>HYPERLINK("http://www.ncbi.nlm.nih.gov/gene/501", "501")</f>
        <v>501</v>
      </c>
      <c r="D19705" t="str">
        <f>"alh-9"</f>
        <v>alh-9</v>
      </c>
      <c r="E19705" t="s">
        <v>10606</v>
      </c>
      <c r="F19705" t="s">
        <v>11</v>
      </c>
      <c r="G19705" t="s">
        <v>10607</v>
      </c>
      <c r="H19705" s="12">
        <v>-1.0342982954698201</v>
      </c>
      <c r="I19705" s="20">
        <v>-0.17098158049110501</v>
      </c>
      <c r="J19705" s="28">
        <v>0.86423824895062795</v>
      </c>
      <c r="K19705" s="29">
        <v>0.994271565763579</v>
      </c>
    </row>
    <row r="19706" spans="1:11" x14ac:dyDescent="0.35">
      <c r="A19706" s="9" t="str">
        <f>HYPERLINK("http://www.ensembl.org/id/WBGene00219670", "WBGene00219670")</f>
        <v>WBGene00219670</v>
      </c>
      <c r="B19706" s="9"/>
      <c r="C19706" s="9"/>
      <c r="D19706" t="str">
        <f>"anr-26"</f>
        <v>anr-26</v>
      </c>
      <c r="F19706" t="s">
        <v>2735</v>
      </c>
      <c r="H19706" s="12">
        <v>-1.08464526298706</v>
      </c>
      <c r="I19706" s="20">
        <v>-0.181073868563113</v>
      </c>
      <c r="J19706" s="28">
        <v>0.85630959539511897</v>
      </c>
      <c r="K19706" s="29">
        <v>0.994271565763579</v>
      </c>
    </row>
    <row r="19707" spans="1:11" x14ac:dyDescent="0.35">
      <c r="A19707" s="9" t="str">
        <f>HYPERLINK("http://www.ensembl.org/id/WBGene00000159", "WBGene00000159")</f>
        <v>WBGene00000159</v>
      </c>
      <c r="B19707" s="9" t="str">
        <f>HYPERLINK("http://www.ncbi.nlm.nih.gov/gene/178989", "178989")</f>
        <v>178989</v>
      </c>
      <c r="C19707" s="9" t="str">
        <f>HYPERLINK("http://www.ncbi.nlm.nih.gov/gene/8905", "8905")</f>
        <v>8905</v>
      </c>
      <c r="D19707" t="str">
        <f>"aps-1"</f>
        <v>aps-1</v>
      </c>
      <c r="E19707" t="s">
        <v>10574</v>
      </c>
      <c r="F19707" t="s">
        <v>11</v>
      </c>
      <c r="G19707" t="s">
        <v>10575</v>
      </c>
      <c r="H19707" s="12">
        <v>1.03298892340506</v>
      </c>
      <c r="I19707" s="20">
        <v>0.165231727867969</v>
      </c>
      <c r="J19707" s="28">
        <v>0.86876159324719904</v>
      </c>
      <c r="K19707" s="29">
        <v>0.994271565763579</v>
      </c>
    </row>
    <row r="19708" spans="1:11" x14ac:dyDescent="0.35">
      <c r="A19708" s="9" t="str">
        <f>HYPERLINK("http://www.ensembl.org/id/WBGene00013799", "WBGene00013799")</f>
        <v>WBGene00013799</v>
      </c>
      <c r="B19708" s="9" t="str">
        <f>HYPERLINK("http://www.ncbi.nlm.nih.gov/gene/178479", "178479")</f>
        <v>178479</v>
      </c>
      <c r="C19708" s="9"/>
      <c r="D19708" t="str">
        <f>"athp-3"</f>
        <v>athp-3</v>
      </c>
      <c r="E19708" t="s">
        <v>3281</v>
      </c>
      <c r="F19708" t="s">
        <v>11</v>
      </c>
      <c r="G19708" t="s">
        <v>2818</v>
      </c>
      <c r="H19708" s="12">
        <v>-1.09743985569392</v>
      </c>
      <c r="I19708" s="20">
        <v>-0.187714363454485</v>
      </c>
      <c r="J19708" s="28">
        <v>0.85110057002066597</v>
      </c>
      <c r="K19708" s="29">
        <v>0.994271565763579</v>
      </c>
    </row>
    <row r="19709" spans="1:11" x14ac:dyDescent="0.35">
      <c r="A19709" s="9" t="str">
        <f>HYPERLINK("http://www.ensembl.org/id/WBGene00015075", "WBGene00015075")</f>
        <v>WBGene00015075</v>
      </c>
      <c r="B19709" s="9" t="str">
        <f>HYPERLINK("http://www.ncbi.nlm.nih.gov/gene/178915", "178915")</f>
        <v>178915</v>
      </c>
      <c r="C19709" s="9"/>
      <c r="D19709" t="str">
        <f>"B0238.11"</f>
        <v>B0238.11</v>
      </c>
      <c r="F19709" t="s">
        <v>11</v>
      </c>
      <c r="H19709" s="12">
        <v>-1.0460329249126199</v>
      </c>
      <c r="I19709" s="20">
        <v>-0.189822825719445</v>
      </c>
      <c r="J19709" s="28">
        <v>0.84944796874865602</v>
      </c>
      <c r="K19709" s="29">
        <v>0.994271565763579</v>
      </c>
    </row>
    <row r="19710" spans="1:11" x14ac:dyDescent="0.35">
      <c r="A19710" s="9" t="str">
        <f>HYPERLINK("http://www.ensembl.org/id/WBGene00015142", "WBGene00015142")</f>
        <v>WBGene00015142</v>
      </c>
      <c r="B19710" s="9" t="str">
        <f>HYPERLINK("http://www.ncbi.nlm.nih.gov/gene/24104124", "24104124")</f>
        <v>24104124</v>
      </c>
      <c r="C19710" s="9"/>
      <c r="D19710" t="str">
        <f>"B0310.6"</f>
        <v>B0310.6</v>
      </c>
      <c r="F19710" t="s">
        <v>11</v>
      </c>
      <c r="H19710" s="12">
        <v>-1.1041566648526999</v>
      </c>
      <c r="I19710" s="20">
        <v>-0.170577055792278</v>
      </c>
      <c r="J19710" s="28">
        <v>0.86455634031401396</v>
      </c>
      <c r="K19710" s="29">
        <v>0.994271565763579</v>
      </c>
    </row>
    <row r="19711" spans="1:11" x14ac:dyDescent="0.35">
      <c r="A19711" s="9" t="str">
        <f>HYPERLINK("http://www.ensembl.org/id/WBGene00015169", "WBGene00015169")</f>
        <v>WBGene00015169</v>
      </c>
      <c r="B19711" s="9" t="str">
        <f>HYPERLINK("http://www.ncbi.nlm.nih.gov/gene/3565615", "3565615")</f>
        <v>3565615</v>
      </c>
      <c r="C19711" s="9"/>
      <c r="D19711" t="str">
        <f>"B0403.5"</f>
        <v>B0403.5</v>
      </c>
      <c r="F19711" t="s">
        <v>11</v>
      </c>
      <c r="H19711" s="12">
        <v>-1.0403271083652601</v>
      </c>
      <c r="I19711" s="20">
        <v>-0.18190364889378199</v>
      </c>
      <c r="J19711" s="28">
        <v>0.85565834087172299</v>
      </c>
      <c r="K19711" s="29">
        <v>0.994271565763579</v>
      </c>
    </row>
    <row r="19712" spans="1:11" x14ac:dyDescent="0.35">
      <c r="A19712" s="9" t="str">
        <f>HYPERLINK("http://www.ensembl.org/id/WBGene00044939", "WBGene00044939")</f>
        <v>WBGene00044939</v>
      </c>
      <c r="B19712" s="9"/>
      <c r="C19712" s="9"/>
      <c r="D19712" t="str">
        <f>"B0412.7"</f>
        <v>B0412.7</v>
      </c>
      <c r="F19712" t="s">
        <v>2977</v>
      </c>
      <c r="H19712" s="12">
        <v>1.81452741737493</v>
      </c>
      <c r="I19712" s="20">
        <v>0.18505421452922499</v>
      </c>
      <c r="J19712" s="28">
        <v>0.85318651278733704</v>
      </c>
      <c r="K19712" s="29">
        <v>0.994271565763579</v>
      </c>
    </row>
    <row r="19713" spans="1:11" x14ac:dyDescent="0.35">
      <c r="A19713" s="9" t="str">
        <f>HYPERLINK("http://www.ensembl.org/id/WBGene00007194", "WBGene00007194")</f>
        <v>WBGene00007194</v>
      </c>
      <c r="B19713" s="9" t="str">
        <f>HYPERLINK("http://www.ncbi.nlm.nih.gov/gene/174737", "174737")</f>
        <v>174737</v>
      </c>
      <c r="C19713" s="9" t="str">
        <f>HYPERLINK("http://www.ncbi.nlm.nih.gov/gene/51611", "51611")</f>
        <v>51611</v>
      </c>
      <c r="D19713" t="str">
        <f>"B0491.7"</f>
        <v>B0491.7</v>
      </c>
      <c r="E19713" t="s">
        <v>10527</v>
      </c>
      <c r="F19713" t="s">
        <v>11</v>
      </c>
      <c r="G19713" t="s">
        <v>10528</v>
      </c>
      <c r="H19713" s="12">
        <v>1.0505343728777501</v>
      </c>
      <c r="I19713" s="20">
        <v>0.17217226673657601</v>
      </c>
      <c r="J19713" s="28">
        <v>0.86330210021782505</v>
      </c>
      <c r="K19713" s="29">
        <v>0.994271565763579</v>
      </c>
    </row>
    <row r="19714" spans="1:11" x14ac:dyDescent="0.35">
      <c r="A19714" s="9" t="str">
        <f>HYPERLINK("http://www.ensembl.org/id/WBGene00015222", "WBGene00015222")</f>
        <v>WBGene00015222</v>
      </c>
      <c r="B19714" s="9" t="str">
        <f>HYPERLINK("http://www.ncbi.nlm.nih.gov/gene/182012", "182012")</f>
        <v>182012</v>
      </c>
      <c r="C19714" s="9"/>
      <c r="D19714" t="str">
        <f>"B0507.5"</f>
        <v>B0507.5</v>
      </c>
      <c r="F19714" t="s">
        <v>11</v>
      </c>
      <c r="H19714" s="12">
        <v>1.34339197439173</v>
      </c>
      <c r="I19714" s="20">
        <v>0.167857485848938</v>
      </c>
      <c r="J19714" s="28">
        <v>0.86669539685768404</v>
      </c>
      <c r="K19714" s="29">
        <v>0.994271565763579</v>
      </c>
    </row>
    <row r="19715" spans="1:11" x14ac:dyDescent="0.35">
      <c r="A19715" s="9" t="str">
        <f>HYPERLINK("http://www.ensembl.org/id/WBGene00015258", "WBGene00015258")</f>
        <v>WBGene00015258</v>
      </c>
      <c r="B19715" s="9" t="str">
        <f>HYPERLINK("http://www.ncbi.nlm.nih.gov/gene/182036", "182036")</f>
        <v>182036</v>
      </c>
      <c r="C19715" s="9"/>
      <c r="D19715" t="str">
        <f>"B0554.5"</f>
        <v>B0554.5</v>
      </c>
      <c r="F19715" t="s">
        <v>11</v>
      </c>
      <c r="G19715" t="s">
        <v>25</v>
      </c>
      <c r="H19715" s="12">
        <v>-1.2705506506113</v>
      </c>
      <c r="I19715" s="20">
        <v>-0.19106734039520901</v>
      </c>
      <c r="J19715" s="28">
        <v>0.84847283480997604</v>
      </c>
      <c r="K19715" s="29">
        <v>0.994271565763579</v>
      </c>
    </row>
    <row r="19716" spans="1:11" x14ac:dyDescent="0.35">
      <c r="A19716" s="9" t="str">
        <f>HYPERLINK("http://www.ensembl.org/id/WBGene00019140", "WBGene00019140")</f>
        <v>WBGene00019140</v>
      </c>
      <c r="B19716" s="9" t="str">
        <f>HYPERLINK("http://www.ncbi.nlm.nih.gov/gene/186649", "186649")</f>
        <v>186649</v>
      </c>
      <c r="C19716" s="9"/>
      <c r="D19716" t="str">
        <f>"bath-3"</f>
        <v>bath-3</v>
      </c>
      <c r="E19716" t="s">
        <v>179</v>
      </c>
      <c r="F19716" t="s">
        <v>11</v>
      </c>
      <c r="G19716" t="s">
        <v>54</v>
      </c>
      <c r="H19716" s="12">
        <v>-1.12814285958121</v>
      </c>
      <c r="I19716" s="20">
        <v>-0.176089056363855</v>
      </c>
      <c r="J19716" s="28">
        <v>0.86022397834482001</v>
      </c>
      <c r="K19716" s="29">
        <v>0.994271565763579</v>
      </c>
    </row>
    <row r="19717" spans="1:11" x14ac:dyDescent="0.35">
      <c r="A19717" s="9" t="str">
        <f>HYPERLINK("http://www.ensembl.org/id/WBGene00012914", "WBGene00012914")</f>
        <v>WBGene00012914</v>
      </c>
      <c r="B19717" s="9" t="str">
        <f>HYPERLINK("http://www.ncbi.nlm.nih.gov/gene/189959", "189959")</f>
        <v>189959</v>
      </c>
      <c r="C19717" s="9" t="str">
        <f>HYPERLINK("http://www.ncbi.nlm.nih.gov/gene/53630", "53630")</f>
        <v>53630</v>
      </c>
      <c r="D19717" t="str">
        <f>"bcmo-1"</f>
        <v>bcmo-1</v>
      </c>
      <c r="E19717" t="s">
        <v>3778</v>
      </c>
      <c r="F19717" t="s">
        <v>11</v>
      </c>
      <c r="G19717" t="s">
        <v>3779</v>
      </c>
      <c r="H19717" s="12">
        <v>-1.12459199153495</v>
      </c>
      <c r="I19717" s="20">
        <v>-0.18411323065698401</v>
      </c>
      <c r="J19717" s="28">
        <v>0.85392462734288599</v>
      </c>
      <c r="K19717" s="29">
        <v>0.994271565763579</v>
      </c>
    </row>
    <row r="19718" spans="1:11" x14ac:dyDescent="0.35">
      <c r="A19718" s="9" t="str">
        <f>HYPERLINK("http://www.ensembl.org/id/WBGene00015268", "WBGene00015268")</f>
        <v>WBGene00015268</v>
      </c>
      <c r="B19718" s="9" t="str">
        <f>HYPERLINK("http://www.ncbi.nlm.nih.gov/gene/182047", "182047")</f>
        <v>182047</v>
      </c>
      <c r="C19718" s="9"/>
      <c r="D19718" t="str">
        <f>"BE0003N10.3"</f>
        <v>BE0003N10.3</v>
      </c>
      <c r="F19718" t="s">
        <v>11</v>
      </c>
      <c r="G19718" t="s">
        <v>10519</v>
      </c>
      <c r="H19718" s="12">
        <v>1.06620103292555</v>
      </c>
      <c r="I19718" s="20">
        <v>0.18693215841265101</v>
      </c>
      <c r="J19718" s="28">
        <v>0.85171382483198999</v>
      </c>
      <c r="K19718" s="29">
        <v>0.994271565763579</v>
      </c>
    </row>
    <row r="19719" spans="1:11" x14ac:dyDescent="0.35">
      <c r="A19719" s="9" t="str">
        <f>HYPERLINK("http://www.ensembl.org/id/WBGene00007211", "WBGene00007211")</f>
        <v>WBGene00007211</v>
      </c>
      <c r="B19719" s="9" t="str">
        <f>HYPERLINK("http://www.ncbi.nlm.nih.gov/gene/182048", "182048")</f>
        <v>182048</v>
      </c>
      <c r="C19719" s="9"/>
      <c r="D19719" t="str">
        <f>"BE10.3"</f>
        <v>BE10.3</v>
      </c>
      <c r="F19719" t="s">
        <v>11</v>
      </c>
      <c r="G19719" t="s">
        <v>178</v>
      </c>
      <c r="H19719" s="12">
        <v>-1.0992999895984099</v>
      </c>
      <c r="I19719" s="20">
        <v>-0.188891975640639</v>
      </c>
      <c r="J19719" s="28">
        <v>0.85017748287473205</v>
      </c>
      <c r="K19719" s="29">
        <v>0.994271565763579</v>
      </c>
    </row>
    <row r="19720" spans="1:11" x14ac:dyDescent="0.35">
      <c r="A19720" s="9" t="str">
        <f>HYPERLINK("http://www.ensembl.org/id/WBGene00020046", "WBGene00020046")</f>
        <v>WBGene00020046</v>
      </c>
      <c r="B19720" s="9" t="str">
        <f>HYPERLINK("http://www.ncbi.nlm.nih.gov/gene/3565658", "3565658")</f>
        <v>3565658</v>
      </c>
      <c r="C19720" s="9"/>
      <c r="D19720" t="str">
        <f>"best-16"</f>
        <v>best-16</v>
      </c>
      <c r="E19720" t="s">
        <v>1526</v>
      </c>
      <c r="F19720" t="s">
        <v>11</v>
      </c>
      <c r="G19720" t="s">
        <v>1527</v>
      </c>
      <c r="H19720" s="12">
        <v>-1.10515873778203</v>
      </c>
      <c r="I19720" s="20">
        <v>-0.164885919366418</v>
      </c>
      <c r="J19720" s="28">
        <v>0.86903377541943905</v>
      </c>
      <c r="K19720" s="29">
        <v>0.994271565763579</v>
      </c>
    </row>
    <row r="19721" spans="1:11" x14ac:dyDescent="0.35">
      <c r="A19721" s="9" t="str">
        <f>HYPERLINK("http://www.ensembl.org/id/WBGene00008491", "WBGene00008491")</f>
        <v>WBGene00008491</v>
      </c>
      <c r="B19721" s="9" t="str">
        <f>HYPERLINK("http://www.ncbi.nlm.nih.gov/gene/3564773", "3564773")</f>
        <v>3564773</v>
      </c>
      <c r="C19721" s="9"/>
      <c r="D19721" t="str">
        <f>"bgnt-1.1"</f>
        <v>bgnt-1.1</v>
      </c>
      <c r="E19721" t="s">
        <v>4228</v>
      </c>
      <c r="F19721" t="s">
        <v>11</v>
      </c>
      <c r="G19721" t="s">
        <v>10654</v>
      </c>
      <c r="H19721" s="12">
        <v>-1.05183342656755</v>
      </c>
      <c r="I19721" s="20">
        <v>-0.17148031793857901</v>
      </c>
      <c r="J19721" s="28">
        <v>0.86384610522553995</v>
      </c>
      <c r="K19721" s="29">
        <v>0.994271565763579</v>
      </c>
    </row>
    <row r="19722" spans="1:11" x14ac:dyDescent="0.35">
      <c r="A19722" s="9" t="str">
        <f>HYPERLINK("http://www.ensembl.org/id/WBGene00014569", "WBGene00014569")</f>
        <v>WBGene00014569</v>
      </c>
      <c r="B19722" s="9" t="str">
        <f>HYPERLINK("http://www.ncbi.nlm.nih.gov/gene/175062", "175062")</f>
        <v>175062</v>
      </c>
      <c r="C19722" s="9"/>
      <c r="D19722" t="str">
        <f>"bkip-1"</f>
        <v>bkip-1</v>
      </c>
      <c r="E19722" t="s">
        <v>10511</v>
      </c>
      <c r="F19722" t="s">
        <v>11</v>
      </c>
      <c r="G19722" t="s">
        <v>10512</v>
      </c>
      <c r="H19722" s="12">
        <v>1.08018149325423</v>
      </c>
      <c r="I19722" s="20">
        <v>0.17041700596928899</v>
      </c>
      <c r="J19722" s="28">
        <v>0.864682198930806</v>
      </c>
      <c r="K19722" s="29">
        <v>0.994271565763579</v>
      </c>
    </row>
    <row r="19723" spans="1:11" x14ac:dyDescent="0.35">
      <c r="A19723" s="9" t="str">
        <f>HYPERLINK("http://www.ensembl.org/id/WBGene00010981", "WBGene00010981")</f>
        <v>WBGene00010981</v>
      </c>
      <c r="B19723" s="9" t="str">
        <f>HYPERLINK("http://www.ncbi.nlm.nih.gov/gene/187532", "187532")</f>
        <v>187532</v>
      </c>
      <c r="C19723" s="9"/>
      <c r="D19723" t="str">
        <f>"blos-8"</f>
        <v>blos-8</v>
      </c>
      <c r="E19723" t="s">
        <v>9915</v>
      </c>
      <c r="F19723" t="s">
        <v>11</v>
      </c>
      <c r="G19723" t="s">
        <v>10524</v>
      </c>
      <c r="H19723" s="12">
        <v>1.0588940088572401</v>
      </c>
      <c r="I19723" s="20">
        <v>0.168345544157152</v>
      </c>
      <c r="J19723" s="28">
        <v>0.86631144604178201</v>
      </c>
      <c r="K19723" s="29">
        <v>0.994271565763579</v>
      </c>
    </row>
    <row r="19724" spans="1:11" x14ac:dyDescent="0.35">
      <c r="A19724" s="9" t="str">
        <f>HYPERLINK("http://www.ensembl.org/id/WBGene00000257", "WBGene00000257")</f>
        <v>WBGene00000257</v>
      </c>
      <c r="B19724" s="9" t="str">
        <f>HYPERLINK("http://www.ncbi.nlm.nih.gov/gene/179948", "179948")</f>
        <v>179948</v>
      </c>
      <c r="C19724" s="9"/>
      <c r="D19724" t="str">
        <f>"bmk-1"</f>
        <v>bmk-1</v>
      </c>
      <c r="E19724" t="s">
        <v>469</v>
      </c>
      <c r="F19724" t="s">
        <v>11</v>
      </c>
      <c r="G19724" t="s">
        <v>10533</v>
      </c>
      <c r="H19724" s="12">
        <v>1.0460616286268201</v>
      </c>
      <c r="I19724" s="20">
        <v>0.189699255183195</v>
      </c>
      <c r="J19724" s="28">
        <v>0.84954480449022896</v>
      </c>
      <c r="K19724" s="29">
        <v>0.994271565763579</v>
      </c>
    </row>
    <row r="19725" spans="1:11" x14ac:dyDescent="0.35">
      <c r="A19725" s="9" t="str">
        <f>HYPERLINK("http://www.ensembl.org/id/WBGene00044791", "WBGene00044791")</f>
        <v>WBGene00044791</v>
      </c>
      <c r="B19725" s="9" t="str">
        <f>HYPERLINK("http://www.ncbi.nlm.nih.gov/gene/4363106", "4363106")</f>
        <v>4363106</v>
      </c>
      <c r="C19725" s="9"/>
      <c r="D19725" t="str">
        <f>"bnc-1"</f>
        <v>bnc-1</v>
      </c>
      <c r="E19725" t="s">
        <v>10662</v>
      </c>
      <c r="F19725" t="s">
        <v>11</v>
      </c>
      <c r="H19725" s="12">
        <v>-1.1101019726896399</v>
      </c>
      <c r="I19725" s="20">
        <v>-0.163815261254428</v>
      </c>
      <c r="J19725" s="28">
        <v>0.869876577237365</v>
      </c>
      <c r="K19725" s="29">
        <v>0.994271565763579</v>
      </c>
    </row>
    <row r="19726" spans="1:11" x14ac:dyDescent="0.35">
      <c r="A19726" s="9" t="str">
        <f>HYPERLINK("http://www.ensembl.org/id/WBGene00194839", "WBGene00194839")</f>
        <v>WBGene00194839</v>
      </c>
      <c r="B19726" s="9" t="str">
        <f>HYPERLINK("http://www.ncbi.nlm.nih.gov/gene/13196212", "13196212")</f>
        <v>13196212</v>
      </c>
      <c r="C19726" s="9"/>
      <c r="D19726" t="str">
        <f>"C01B10.44"</f>
        <v>C01B10.44</v>
      </c>
      <c r="F19726" t="s">
        <v>11</v>
      </c>
      <c r="H19726" s="12">
        <v>1.6118040239415801</v>
      </c>
      <c r="I19726" s="20">
        <v>0.16564692774905199</v>
      </c>
      <c r="J19726" s="28">
        <v>0.86843481441098702</v>
      </c>
      <c r="K19726" s="29">
        <v>0.994271565763579</v>
      </c>
    </row>
    <row r="19727" spans="1:11" x14ac:dyDescent="0.35">
      <c r="A19727" s="9" t="str">
        <f>HYPERLINK("http://www.ensembl.org/id/WBGene00199478", "WBGene00199478")</f>
        <v>WBGene00199478</v>
      </c>
      <c r="B19727" s="9"/>
      <c r="C19727" s="9"/>
      <c r="D19727" t="str">
        <f>"C01F6.13"</f>
        <v>C01F6.13</v>
      </c>
      <c r="F19727" t="s">
        <v>481</v>
      </c>
      <c r="H19727" s="12">
        <v>1.2019094598970099</v>
      </c>
      <c r="I19727" s="20">
        <v>0.182109265241931</v>
      </c>
      <c r="J19727" s="28">
        <v>0.85549697770555699</v>
      </c>
      <c r="K19727" s="29">
        <v>0.994271565763579</v>
      </c>
    </row>
    <row r="19728" spans="1:11" x14ac:dyDescent="0.35">
      <c r="A19728" s="9" t="str">
        <f>HYPERLINK("http://www.ensembl.org/id/WBGene00007244", "WBGene00007244")</f>
        <v>WBGene00007244</v>
      </c>
      <c r="B19728" s="9" t="str">
        <f>HYPERLINK("http://www.ncbi.nlm.nih.gov/gene/175119", "175119")</f>
        <v>175119</v>
      </c>
      <c r="C19728" s="9"/>
      <c r="D19728" t="str">
        <f>"C01G12.3"</f>
        <v>C01G12.3</v>
      </c>
      <c r="F19728" t="s">
        <v>11</v>
      </c>
      <c r="H19728" s="12">
        <v>1.09301145194617</v>
      </c>
      <c r="I19728" s="20">
        <v>0.166462269487098</v>
      </c>
      <c r="J19728" s="28">
        <v>0.86779317345324103</v>
      </c>
      <c r="K19728" s="29">
        <v>0.994271565763579</v>
      </c>
    </row>
    <row r="19729" spans="1:11" x14ac:dyDescent="0.35">
      <c r="A19729" s="9" t="str">
        <f>HYPERLINK("http://www.ensembl.org/id/WBGene00015358", "WBGene00015358")</f>
        <v>WBGene00015358</v>
      </c>
      <c r="B19729" s="9" t="str">
        <f>HYPERLINK("http://www.ncbi.nlm.nih.gov/gene/3565728", "3565728")</f>
        <v>3565728</v>
      </c>
      <c r="C19729" s="9"/>
      <c r="D19729" t="str">
        <f>"C02F12.9"</f>
        <v>C02F12.9</v>
      </c>
      <c r="F19729" t="s">
        <v>11</v>
      </c>
      <c r="H19729" s="12">
        <v>1.1302068192449299</v>
      </c>
      <c r="I19729" s="20">
        <v>0.18732081761479299</v>
      </c>
      <c r="J19729" s="28">
        <v>0.851409101775497</v>
      </c>
      <c r="K19729" s="29">
        <v>0.994271565763579</v>
      </c>
    </row>
    <row r="19730" spans="1:11" x14ac:dyDescent="0.35">
      <c r="A19730" s="9" t="str">
        <f>HYPERLINK("http://www.ensembl.org/id/WBGene00015456", "WBGene00015456")</f>
        <v>WBGene00015456</v>
      </c>
      <c r="B19730" s="9" t="str">
        <f>HYPERLINK("http://www.ncbi.nlm.nih.gov/gene/182238", "182238")</f>
        <v>182238</v>
      </c>
      <c r="C19730" s="9"/>
      <c r="D19730" t="str">
        <f>"C04G6.6"</f>
        <v>C04G6.6</v>
      </c>
      <c r="F19730" t="s">
        <v>11</v>
      </c>
      <c r="H19730" s="12">
        <v>-1.22723134480425</v>
      </c>
      <c r="I19730" s="20">
        <v>-0.17769586852759101</v>
      </c>
      <c r="J19730" s="28">
        <v>0.85896183004981197</v>
      </c>
      <c r="K19730" s="29">
        <v>0.994271565763579</v>
      </c>
    </row>
    <row r="19731" spans="1:11" x14ac:dyDescent="0.35">
      <c r="A19731" s="9" t="str">
        <f>HYPERLINK("http://www.ensembl.org/id/WBGene00199353", "WBGene00199353")</f>
        <v>WBGene00199353</v>
      </c>
      <c r="B19731" s="9"/>
      <c r="C19731" s="9"/>
      <c r="D19731" t="str">
        <f>"C05B10.16"</f>
        <v>C05B10.16</v>
      </c>
      <c r="F19731" t="s">
        <v>481</v>
      </c>
      <c r="H19731" s="12">
        <v>1.70028638258434</v>
      </c>
      <c r="I19731" s="20">
        <v>0.164008432000641</v>
      </c>
      <c r="J19731" s="28">
        <v>0.86972450592177797</v>
      </c>
      <c r="K19731" s="29">
        <v>0.994271565763579</v>
      </c>
    </row>
    <row r="19732" spans="1:11" x14ac:dyDescent="0.35">
      <c r="A19732" s="9" t="str">
        <f>HYPERLINK("http://www.ensembl.org/id/WBGene00015489", "WBGene00015489")</f>
        <v>WBGene00015489</v>
      </c>
      <c r="B19732" s="9" t="str">
        <f>HYPERLINK("http://www.ncbi.nlm.nih.gov/gene/182263", "182263")</f>
        <v>182263</v>
      </c>
      <c r="C19732" s="9"/>
      <c r="D19732" t="str">
        <f>"C05E4.7"</f>
        <v>C05E4.7</v>
      </c>
      <c r="F19732" t="s">
        <v>11</v>
      </c>
      <c r="H19732" s="12">
        <v>-1.73457001584991</v>
      </c>
      <c r="I19732" s="20">
        <v>-0.165559698280943</v>
      </c>
      <c r="J19732" s="28">
        <v>0.86850346561216996</v>
      </c>
      <c r="K19732" s="29">
        <v>0.994271565763579</v>
      </c>
    </row>
    <row r="19733" spans="1:11" x14ac:dyDescent="0.35">
      <c r="A19733" s="9" t="str">
        <f>HYPERLINK("http://www.ensembl.org/id/WBGene00015533", "WBGene00015533")</f>
        <v>WBGene00015533</v>
      </c>
      <c r="B19733" s="9"/>
      <c r="C19733" s="9"/>
      <c r="D19733" t="str">
        <f>"C06E4.4"</f>
        <v>C06E4.4</v>
      </c>
      <c r="F19733" t="s">
        <v>80</v>
      </c>
      <c r="H19733" s="12">
        <v>-1.8016822568770801</v>
      </c>
      <c r="I19733" s="20">
        <v>-0.175677875261118</v>
      </c>
      <c r="J19733" s="28">
        <v>0.86054701793969501</v>
      </c>
      <c r="K19733" s="29">
        <v>0.994271565763579</v>
      </c>
    </row>
    <row r="19734" spans="1:11" x14ac:dyDescent="0.35">
      <c r="A19734" s="9" t="str">
        <f>HYPERLINK("http://www.ensembl.org/id/WBGene00201203", "WBGene00201203")</f>
        <v>WBGene00201203</v>
      </c>
      <c r="B19734" s="9"/>
      <c r="C19734" s="9"/>
      <c r="D19734" t="str">
        <f>"C06G1.16"</f>
        <v>C06G1.16</v>
      </c>
      <c r="F19734" t="s">
        <v>481</v>
      </c>
      <c r="H19734" s="12">
        <v>1.8135090907084399</v>
      </c>
      <c r="I19734" s="20">
        <v>0.17820138943026001</v>
      </c>
      <c r="J19734" s="28">
        <v>0.85856481858144096</v>
      </c>
      <c r="K19734" s="29">
        <v>0.994271565763579</v>
      </c>
    </row>
    <row r="19735" spans="1:11" x14ac:dyDescent="0.35">
      <c r="A19735" s="9" t="str">
        <f>HYPERLINK("http://www.ensembl.org/id/WBGene00199374", "WBGene00199374")</f>
        <v>WBGene00199374</v>
      </c>
      <c r="B19735" s="9"/>
      <c r="C19735" s="9"/>
      <c r="D19735" t="str">
        <f>"C07A12.13"</f>
        <v>C07A12.13</v>
      </c>
      <c r="F19735" t="s">
        <v>481</v>
      </c>
      <c r="H19735" s="12">
        <v>-1.8016822568770801</v>
      </c>
      <c r="I19735" s="20">
        <v>-0.175677875261118</v>
      </c>
      <c r="J19735" s="28">
        <v>0.86054701793969501</v>
      </c>
      <c r="K19735" s="29">
        <v>0.994271565763579</v>
      </c>
    </row>
    <row r="19736" spans="1:11" x14ac:dyDescent="0.35">
      <c r="A19736" s="9" t="str">
        <f>HYPERLINK("http://www.ensembl.org/id/WBGene00007407", "WBGene00007407")</f>
        <v>WBGene00007407</v>
      </c>
      <c r="B19736" s="9" t="str">
        <f>HYPERLINK("http://www.ncbi.nlm.nih.gov/gene/182359", "182359")</f>
        <v>182359</v>
      </c>
      <c r="C19736" s="9"/>
      <c r="D19736" t="str">
        <f>"C07B5.2"</f>
        <v>C07B5.2</v>
      </c>
      <c r="F19736" t="s">
        <v>11</v>
      </c>
      <c r="H19736" s="12">
        <v>1.2620111800295399</v>
      </c>
      <c r="I19736" s="20">
        <v>0.17438912720555599</v>
      </c>
      <c r="J19736" s="28">
        <v>0.86155965863084205</v>
      </c>
      <c r="K19736" s="29">
        <v>0.994271565763579</v>
      </c>
    </row>
    <row r="19737" spans="1:11" x14ac:dyDescent="0.35">
      <c r="A19737" s="9" t="str">
        <f>HYPERLINK("http://www.ensembl.org/id/WBGene00007418", "WBGene00007418")</f>
        <v>WBGene00007418</v>
      </c>
      <c r="B19737" s="9" t="str">
        <f>HYPERLINK("http://www.ncbi.nlm.nih.gov/gene/182373", "182373")</f>
        <v>182373</v>
      </c>
      <c r="C19737" s="9"/>
      <c r="D19737" t="str">
        <f>"C07E3.8"</f>
        <v>C07E3.8</v>
      </c>
      <c r="F19737" t="s">
        <v>11</v>
      </c>
      <c r="G19737" t="s">
        <v>178</v>
      </c>
      <c r="H19737" s="12">
        <v>1.11617547197408</v>
      </c>
      <c r="I19737" s="20">
        <v>0.18388840432569101</v>
      </c>
      <c r="J19737" s="28">
        <v>0.85410100169523395</v>
      </c>
      <c r="K19737" s="29">
        <v>0.994271565763579</v>
      </c>
    </row>
    <row r="19738" spans="1:11" x14ac:dyDescent="0.35">
      <c r="A19738" s="9" t="str">
        <f>HYPERLINK("http://www.ensembl.org/id/WBGene00235296", "WBGene00235296")</f>
        <v>WBGene00235296</v>
      </c>
      <c r="B19738" s="9" t="str">
        <f>HYPERLINK("http://www.ncbi.nlm.nih.gov/gene/24104185", "24104185")</f>
        <v>24104185</v>
      </c>
      <c r="C19738" s="9"/>
      <c r="D19738" t="str">
        <f>"C07G1.15"</f>
        <v>C07G1.15</v>
      </c>
      <c r="F19738" t="s">
        <v>11</v>
      </c>
      <c r="G19738" t="s">
        <v>25</v>
      </c>
      <c r="H19738" s="12">
        <v>1.23695942527731</v>
      </c>
      <c r="I19738" s="20">
        <v>0.174903010307073</v>
      </c>
      <c r="J19738" s="28">
        <v>0.86115584485425301</v>
      </c>
      <c r="K19738" s="29">
        <v>0.994271565763579</v>
      </c>
    </row>
    <row r="19739" spans="1:11" x14ac:dyDescent="0.35">
      <c r="A19739" s="9" t="str">
        <f>HYPERLINK("http://www.ensembl.org/id/WBGene00015572", "WBGene00015572")</f>
        <v>WBGene00015572</v>
      </c>
      <c r="B19739" s="9" t="str">
        <f>HYPERLINK("http://www.ncbi.nlm.nih.gov/gene/182377", "182377")</f>
        <v>182377</v>
      </c>
      <c r="C19739" s="9"/>
      <c r="D19739" t="str">
        <f>"C07G1.6"</f>
        <v>C07G1.6</v>
      </c>
      <c r="F19739" t="s">
        <v>11</v>
      </c>
      <c r="H19739" s="12">
        <v>1.31403303895873</v>
      </c>
      <c r="I19739" s="20">
        <v>0.17207115510846699</v>
      </c>
      <c r="J19739" s="28">
        <v>0.86338158939216703</v>
      </c>
      <c r="K19739" s="29">
        <v>0.994271565763579</v>
      </c>
    </row>
    <row r="19740" spans="1:11" x14ac:dyDescent="0.35">
      <c r="A19740" s="9" t="str">
        <f>HYPERLINK("http://www.ensembl.org/id/WBGene00007438", "WBGene00007438")</f>
        <v>WBGene00007438</v>
      </c>
      <c r="B19740" s="9" t="str">
        <f>HYPERLINK("http://www.ncbi.nlm.nih.gov/gene/182407", "182407")</f>
        <v>182407</v>
      </c>
      <c r="C19740" s="9" t="str">
        <f>HYPERLINK("http://www.ncbi.nlm.nih.gov/gene/57136", "57136")</f>
        <v>57136</v>
      </c>
      <c r="D19740" t="str">
        <f>"C08E8.2"</f>
        <v>C08E8.2</v>
      </c>
      <c r="F19740" t="s">
        <v>11</v>
      </c>
      <c r="G19740" t="s">
        <v>10671</v>
      </c>
      <c r="H19740" s="12">
        <v>-1.7829973537722901</v>
      </c>
      <c r="I19740" s="20">
        <v>-0.17234495628438801</v>
      </c>
      <c r="J19740" s="28">
        <v>0.86316634307259699</v>
      </c>
      <c r="K19740" s="29">
        <v>0.994271565763579</v>
      </c>
    </row>
    <row r="19741" spans="1:11" x14ac:dyDescent="0.35">
      <c r="A19741" s="9" t="str">
        <f>HYPERLINK("http://www.ensembl.org/id/WBGene00007441", "WBGene00007441")</f>
        <v>WBGene00007441</v>
      </c>
      <c r="B19741" s="9" t="str">
        <f>HYPERLINK("http://www.ncbi.nlm.nih.gov/gene/3565749", "3565749")</f>
        <v>3565749</v>
      </c>
      <c r="C19741" s="9"/>
      <c r="D19741" t="str">
        <f>"C08E8.5"</f>
        <v>C08E8.5</v>
      </c>
      <c r="F19741" t="s">
        <v>11</v>
      </c>
      <c r="H19741" s="12">
        <v>1.75352385646303</v>
      </c>
      <c r="I19741" s="20">
        <v>0.16737746853691299</v>
      </c>
      <c r="J19741" s="28">
        <v>0.86707305258210998</v>
      </c>
      <c r="K19741" s="29">
        <v>0.994271565763579</v>
      </c>
    </row>
    <row r="19742" spans="1:11" x14ac:dyDescent="0.35">
      <c r="A19742" s="9" t="str">
        <f>HYPERLINK("http://www.ensembl.org/id/WBGene00201640", "WBGene00201640")</f>
        <v>WBGene00201640</v>
      </c>
      <c r="B19742" s="9"/>
      <c r="C19742" s="9"/>
      <c r="D19742" t="str">
        <f>"C09G12.19"</f>
        <v>C09G12.19</v>
      </c>
      <c r="F19742" t="s">
        <v>481</v>
      </c>
      <c r="H19742" s="12">
        <v>-1.16502187701231</v>
      </c>
      <c r="I19742" s="20">
        <v>-0.16681730816500401</v>
      </c>
      <c r="J19742" s="28">
        <v>0.86751379956999597</v>
      </c>
      <c r="K19742" s="29">
        <v>0.994271565763579</v>
      </c>
    </row>
    <row r="19743" spans="1:11" x14ac:dyDescent="0.35">
      <c r="A19743" s="9" t="str">
        <f>HYPERLINK("http://www.ensembl.org/id/WBGene00007583", "WBGene00007583")</f>
        <v>WBGene00007583</v>
      </c>
      <c r="B19743" s="9" t="str">
        <f>HYPERLINK("http://www.ncbi.nlm.nih.gov/gene/182595", "182595")</f>
        <v>182595</v>
      </c>
      <c r="C19743" s="9"/>
      <c r="D19743" t="str">
        <f>"C14B4.2"</f>
        <v>C14B4.2</v>
      </c>
      <c r="F19743" t="s">
        <v>11</v>
      </c>
      <c r="H19743" s="12">
        <v>1.04604637918209</v>
      </c>
      <c r="I19743" s="20">
        <v>0.185563060598399</v>
      </c>
      <c r="J19743" s="28">
        <v>0.85278742374966798</v>
      </c>
      <c r="K19743" s="29">
        <v>0.994271565763579</v>
      </c>
    </row>
    <row r="19744" spans="1:11" x14ac:dyDescent="0.35">
      <c r="A19744" s="9" t="str">
        <f>HYPERLINK("http://www.ensembl.org/id/WBGene00219816", "WBGene00219816")</f>
        <v>WBGene00219816</v>
      </c>
      <c r="B19744" s="9"/>
      <c r="C19744" s="9"/>
      <c r="D19744" t="str">
        <f>"C14E2.12"</f>
        <v>C14E2.12</v>
      </c>
      <c r="F19744" t="s">
        <v>2977</v>
      </c>
      <c r="H19744" s="12">
        <v>1.07259630884738</v>
      </c>
      <c r="I19744" s="20">
        <v>0.16581696071539401</v>
      </c>
      <c r="J19744" s="28">
        <v>0.86830099818036599</v>
      </c>
      <c r="K19744" s="29">
        <v>0.994271565763579</v>
      </c>
    </row>
    <row r="19745" spans="1:11" x14ac:dyDescent="0.35">
      <c r="A19745" s="9" t="str">
        <f>HYPERLINK("http://www.ensembl.org/id/WBGene00202243", "WBGene00202243")</f>
        <v>WBGene00202243</v>
      </c>
      <c r="B19745" s="9"/>
      <c r="C19745" s="9"/>
      <c r="D19745" t="str">
        <f>"C14H10.6"</f>
        <v>C14H10.6</v>
      </c>
      <c r="F19745" t="s">
        <v>481</v>
      </c>
      <c r="H19745" s="12">
        <v>-1.35204421211782</v>
      </c>
      <c r="I19745" s="20">
        <v>-0.16867158053853401</v>
      </c>
      <c r="J19745" s="28">
        <v>0.86605497389998498</v>
      </c>
      <c r="K19745" s="29">
        <v>0.994271565763579</v>
      </c>
    </row>
    <row r="19746" spans="1:11" x14ac:dyDescent="0.35">
      <c r="A19746" s="9" t="str">
        <f>HYPERLINK("http://www.ensembl.org/id/WBGene00219817", "WBGene00219817")</f>
        <v>WBGene00219817</v>
      </c>
      <c r="B19746" s="9"/>
      <c r="C19746" s="9"/>
      <c r="D19746" t="str">
        <f>"C15A11.10"</f>
        <v>C15A11.10</v>
      </c>
      <c r="F19746" t="s">
        <v>481</v>
      </c>
      <c r="H19746" s="12">
        <v>1.6118040239415801</v>
      </c>
      <c r="I19746" s="20">
        <v>0.16564692774905199</v>
      </c>
      <c r="J19746" s="28">
        <v>0.86843481441098702</v>
      </c>
      <c r="K19746" s="29">
        <v>0.994271565763579</v>
      </c>
    </row>
    <row r="19747" spans="1:11" x14ac:dyDescent="0.35">
      <c r="A19747" s="9" t="str">
        <f>HYPERLINK("http://www.ensembl.org/id/WBGene00206494", "WBGene00206494")</f>
        <v>WBGene00206494</v>
      </c>
      <c r="B19747" s="9"/>
      <c r="C19747" s="9"/>
      <c r="D19747" t="str">
        <f>"C15H11.16"</f>
        <v>C15H11.16</v>
      </c>
      <c r="F19747" t="s">
        <v>2735</v>
      </c>
      <c r="H19747" s="12">
        <v>-1.2910024343603299</v>
      </c>
      <c r="I19747" s="20">
        <v>-0.18652292896966099</v>
      </c>
      <c r="J19747" s="28">
        <v>0.85203469963872602</v>
      </c>
      <c r="K19747" s="29">
        <v>0.994271565763579</v>
      </c>
    </row>
    <row r="19748" spans="1:11" x14ac:dyDescent="0.35">
      <c r="A19748" s="9" t="str">
        <f>HYPERLINK("http://www.ensembl.org/id/WBGene00023469", "WBGene00023469")</f>
        <v>WBGene00023469</v>
      </c>
      <c r="B19748" s="9"/>
      <c r="C19748" s="9"/>
      <c r="D19748" t="str">
        <f>"C16A3.11"</f>
        <v>C16A3.11</v>
      </c>
      <c r="F19748" t="s">
        <v>2977</v>
      </c>
      <c r="H19748" s="12">
        <v>-1.6907691807024701</v>
      </c>
      <c r="I19748" s="20">
        <v>-0.18831966034723999</v>
      </c>
      <c r="J19748" s="28">
        <v>0.85062607434538895</v>
      </c>
      <c r="K19748" s="29">
        <v>0.994271565763579</v>
      </c>
    </row>
    <row r="19749" spans="1:11" x14ac:dyDescent="0.35">
      <c r="A19749" s="9" t="str">
        <f>HYPERLINK("http://www.ensembl.org/id/WBGene00044373", "WBGene00044373")</f>
        <v>WBGene00044373</v>
      </c>
      <c r="B19749" s="9" t="str">
        <f>HYPERLINK("http://www.ncbi.nlm.nih.gov/gene/3565488", "3565488")</f>
        <v>3565488</v>
      </c>
      <c r="C19749" s="9"/>
      <c r="D19749" t="str">
        <f>"C17F4.11"</f>
        <v>C17F4.11</v>
      </c>
      <c r="F19749" t="s">
        <v>11</v>
      </c>
      <c r="H19749" s="12">
        <v>-1.8016822568770801</v>
      </c>
      <c r="I19749" s="20">
        <v>-0.175677875261118</v>
      </c>
      <c r="J19749" s="28">
        <v>0.86054701793969501</v>
      </c>
      <c r="K19749" s="29">
        <v>0.994271565763579</v>
      </c>
    </row>
    <row r="19750" spans="1:11" x14ac:dyDescent="0.35">
      <c r="A19750" s="9" t="str">
        <f>HYPERLINK("http://www.ensembl.org/id/WBGene00195182", "WBGene00195182")</f>
        <v>WBGene00195182</v>
      </c>
      <c r="B19750" s="9" t="str">
        <f>HYPERLINK("http://www.ncbi.nlm.nih.gov/gene/13185051", "13185051")</f>
        <v>13185051</v>
      </c>
      <c r="C19750" s="9"/>
      <c r="D19750" t="str">
        <f>"C17G10.10"</f>
        <v>C17G10.10</v>
      </c>
      <c r="F19750" t="s">
        <v>11</v>
      </c>
      <c r="H19750" s="12">
        <v>-1.7829973537722901</v>
      </c>
      <c r="I19750" s="20">
        <v>-0.17234495628438801</v>
      </c>
      <c r="J19750" s="28">
        <v>0.86316634307259699</v>
      </c>
      <c r="K19750" s="29">
        <v>0.994271565763579</v>
      </c>
    </row>
    <row r="19751" spans="1:11" x14ac:dyDescent="0.35">
      <c r="A19751" s="9" t="str">
        <f>HYPERLINK("http://www.ensembl.org/id/WBGene00023239", "WBGene00023239")</f>
        <v>WBGene00023239</v>
      </c>
      <c r="B19751" s="9"/>
      <c r="C19751" s="9"/>
      <c r="D19751" t="str">
        <f>"C18C4.4"</f>
        <v>C18C4.4</v>
      </c>
      <c r="F19751" t="s">
        <v>80</v>
      </c>
      <c r="H19751" s="12">
        <v>1.1450181681210201</v>
      </c>
      <c r="I19751" s="20">
        <v>0.17953004715124099</v>
      </c>
      <c r="J19751" s="28">
        <v>0.85752152636720202</v>
      </c>
      <c r="K19751" s="29">
        <v>0.994271565763579</v>
      </c>
    </row>
    <row r="19752" spans="1:11" x14ac:dyDescent="0.35">
      <c r="A19752" s="9" t="str">
        <f>HYPERLINK("http://www.ensembl.org/id/WBGene00016096", "WBGene00016096")</f>
        <v>WBGene00016096</v>
      </c>
      <c r="B19752" s="9" t="str">
        <f>HYPERLINK("http://www.ncbi.nlm.nih.gov/gene/182891", "182891")</f>
        <v>182891</v>
      </c>
      <c r="C19752" s="9"/>
      <c r="D19752" t="str">
        <f>"C25E10.7"</f>
        <v>C25E10.7</v>
      </c>
      <c r="F19752" t="s">
        <v>11</v>
      </c>
      <c r="G19752" t="s">
        <v>101</v>
      </c>
      <c r="H19752" s="12">
        <v>-1.0925225938638701</v>
      </c>
      <c r="I19752" s="20">
        <v>-0.17007961783035999</v>
      </c>
      <c r="J19752" s="28">
        <v>0.86494752258412899</v>
      </c>
      <c r="K19752" s="29">
        <v>0.994271565763579</v>
      </c>
    </row>
    <row r="19753" spans="1:11" x14ac:dyDescent="0.35">
      <c r="A19753" s="9" t="str">
        <f>HYPERLINK("http://www.ensembl.org/id/WBGene00007745", "WBGene00007745")</f>
        <v>WBGene00007745</v>
      </c>
      <c r="B19753" s="9" t="str">
        <f>HYPERLINK("http://www.ncbi.nlm.nih.gov/gene/182938", "182938")</f>
        <v>182938</v>
      </c>
      <c r="C19753" s="9" t="str">
        <f>HYPERLINK("http://www.ncbi.nlm.nih.gov/gene/197258", "197258")</f>
        <v>197258</v>
      </c>
      <c r="D19753" t="str">
        <f>"C26D10.4"</f>
        <v>C26D10.4</v>
      </c>
      <c r="F19753" t="s">
        <v>11</v>
      </c>
      <c r="G19753" t="s">
        <v>10635</v>
      </c>
      <c r="H19753" s="12">
        <v>-1.03853893945807</v>
      </c>
      <c r="I19753" s="20">
        <v>-0.178204877597025</v>
      </c>
      <c r="J19753" s="28">
        <v>0.85856207926946604</v>
      </c>
      <c r="K19753" s="29">
        <v>0.994271565763579</v>
      </c>
    </row>
    <row r="19754" spans="1:11" x14ac:dyDescent="0.35">
      <c r="A19754" s="9" t="str">
        <f>HYPERLINK("http://www.ensembl.org/id/WBGene00007774", "WBGene00007774")</f>
        <v>WBGene00007774</v>
      </c>
      <c r="B19754" s="9" t="str">
        <f>HYPERLINK("http://www.ncbi.nlm.nih.gov/gene/182962", "182962")</f>
        <v>182962</v>
      </c>
      <c r="C19754" s="9" t="str">
        <f>HYPERLINK("http://www.ncbi.nlm.nih.gov/gene/79157", "79157")</f>
        <v>79157</v>
      </c>
      <c r="D19754" t="str">
        <f>"C27C12.4"</f>
        <v>C27C12.4</v>
      </c>
      <c r="F19754" t="s">
        <v>11</v>
      </c>
      <c r="G19754" t="s">
        <v>25</v>
      </c>
      <c r="H19754" s="12">
        <v>-1.03601402900044</v>
      </c>
      <c r="I19754" s="20">
        <v>-0.17333305757768799</v>
      </c>
      <c r="J19754" s="28">
        <v>0.86238964075229496</v>
      </c>
      <c r="K19754" s="29">
        <v>0.994271565763579</v>
      </c>
    </row>
    <row r="19755" spans="1:11" x14ac:dyDescent="0.35">
      <c r="A19755" s="9" t="str">
        <f>HYPERLINK("http://www.ensembl.org/id/WBGene00016160", "WBGene00016160")</f>
        <v>WBGene00016160</v>
      </c>
      <c r="B19755" s="9" t="str">
        <f>HYPERLINK("http://www.ncbi.nlm.nih.gov/gene/182964", "182964")</f>
        <v>182964</v>
      </c>
      <c r="C19755" s="9"/>
      <c r="D19755" t="str">
        <f>"C27D6.1"</f>
        <v>C27D6.1</v>
      </c>
      <c r="F19755" t="s">
        <v>11</v>
      </c>
      <c r="H19755" s="12">
        <v>1.31624737336361</v>
      </c>
      <c r="I19755" s="20">
        <v>0.173853879795934</v>
      </c>
      <c r="J19755" s="28">
        <v>0.86198029914137297</v>
      </c>
      <c r="K19755" s="29">
        <v>0.994271565763579</v>
      </c>
    </row>
    <row r="19756" spans="1:11" x14ac:dyDescent="0.35">
      <c r="A19756" s="9" t="str">
        <f>HYPERLINK("http://www.ensembl.org/id/WBGene00198651", "WBGene00198651")</f>
        <v>WBGene00198651</v>
      </c>
      <c r="B19756" s="9"/>
      <c r="C19756" s="9"/>
      <c r="D19756" t="str">
        <f>"C30F12.9"</f>
        <v>C30F12.9</v>
      </c>
      <c r="F19756" t="s">
        <v>481</v>
      </c>
      <c r="H19756" s="12">
        <v>-1.73457001584991</v>
      </c>
      <c r="I19756" s="20">
        <v>-0.165559698280943</v>
      </c>
      <c r="J19756" s="28">
        <v>0.86850346561216996</v>
      </c>
      <c r="K19756" s="29">
        <v>0.994271565763579</v>
      </c>
    </row>
    <row r="19757" spans="1:11" x14ac:dyDescent="0.35">
      <c r="A19757" s="9" t="str">
        <f>HYPERLINK("http://www.ensembl.org/id/WBGene00007856", "WBGene00007856")</f>
        <v>WBGene00007856</v>
      </c>
      <c r="B19757" s="9" t="str">
        <f>HYPERLINK("http://www.ncbi.nlm.nih.gov/gene/183103", "183103")</f>
        <v>183103</v>
      </c>
      <c r="C19757" s="9"/>
      <c r="D19757" t="str">
        <f>"C31H5.5"</f>
        <v>C31H5.5</v>
      </c>
      <c r="F19757" t="s">
        <v>11</v>
      </c>
      <c r="H19757" s="12">
        <v>1.0592171895554501</v>
      </c>
      <c r="I19757" s="20">
        <v>0.17988098464951699</v>
      </c>
      <c r="J19757" s="28">
        <v>0.85724600374287696</v>
      </c>
      <c r="K19757" s="29">
        <v>0.994271565763579</v>
      </c>
    </row>
    <row r="19758" spans="1:11" x14ac:dyDescent="0.35">
      <c r="A19758" s="9" t="str">
        <f>HYPERLINK("http://www.ensembl.org/id/WBGene00016358", "WBGene00016358")</f>
        <v>WBGene00016358</v>
      </c>
      <c r="B19758" s="9" t="str">
        <f>HYPERLINK("http://www.ncbi.nlm.nih.gov/gene/183168", "183168")</f>
        <v>183168</v>
      </c>
      <c r="C19758" s="9" t="str">
        <f>HYPERLINK("http://www.ncbi.nlm.nih.gov/gene/5250", "5250")</f>
        <v>5250</v>
      </c>
      <c r="D19758" t="str">
        <f>"C33F10.12"</f>
        <v>C33F10.12</v>
      </c>
      <c r="F19758" t="s">
        <v>11</v>
      </c>
      <c r="G19758" t="s">
        <v>3420</v>
      </c>
      <c r="H19758" s="12">
        <v>1.1995681879945601</v>
      </c>
      <c r="I19758" s="20">
        <v>0.186996620891305</v>
      </c>
      <c r="J19758" s="28">
        <v>0.85166328235385302</v>
      </c>
      <c r="K19758" s="29">
        <v>0.994271565763579</v>
      </c>
    </row>
    <row r="19759" spans="1:11" x14ac:dyDescent="0.35">
      <c r="A19759" s="9" t="str">
        <f>HYPERLINK("http://www.ensembl.org/id/WBGene00007917", "WBGene00007917")</f>
        <v>WBGene00007917</v>
      </c>
      <c r="B19759" s="9" t="str">
        <f>HYPERLINK("http://www.ncbi.nlm.nih.gov/gene/174390", "174390")</f>
        <v>174390</v>
      </c>
      <c r="C19759" s="9" t="str">
        <f>HYPERLINK("http://www.ncbi.nlm.nih.gov/gene/55349", "55349")</f>
        <v>55349</v>
      </c>
      <c r="D19759" t="str">
        <f>"C34C6.4"</f>
        <v>C34C6.4</v>
      </c>
      <c r="F19759" t="s">
        <v>11</v>
      </c>
      <c r="G19759" t="s">
        <v>10546</v>
      </c>
      <c r="H19759" s="12">
        <v>1.0378697959512799</v>
      </c>
      <c r="I19759" s="20">
        <v>0.16940540782651101</v>
      </c>
      <c r="J19759" s="28">
        <v>0.86547777015345795</v>
      </c>
      <c r="K19759" s="29">
        <v>0.994271565763579</v>
      </c>
    </row>
    <row r="19760" spans="1:11" x14ac:dyDescent="0.35">
      <c r="A19760" s="9" t="str">
        <f>HYPERLINK("http://www.ensembl.org/id/WBGene00194940", "WBGene00194940")</f>
        <v>WBGene00194940</v>
      </c>
      <c r="B19760" s="9" t="str">
        <f>HYPERLINK("http://www.ncbi.nlm.nih.gov/gene/13186203", "13186203")</f>
        <v>13186203</v>
      </c>
      <c r="C19760" s="9"/>
      <c r="D19760" t="str">
        <f>"C34C6.9"</f>
        <v>C34C6.9</v>
      </c>
      <c r="F19760" t="s">
        <v>11</v>
      </c>
      <c r="H19760" s="12">
        <v>1.25556594000374</v>
      </c>
      <c r="I19760" s="20">
        <v>0.17702117780006699</v>
      </c>
      <c r="J19760" s="28">
        <v>0.85949175479727402</v>
      </c>
      <c r="K19760" s="29">
        <v>0.994271565763579</v>
      </c>
    </row>
    <row r="19761" spans="1:11" x14ac:dyDescent="0.35">
      <c r="A19761" s="9" t="str">
        <f>HYPERLINK("http://www.ensembl.org/id/WBGene00197943", "WBGene00197943")</f>
        <v>WBGene00197943</v>
      </c>
      <c r="B19761" s="9"/>
      <c r="C19761" s="9"/>
      <c r="D19761" t="str">
        <f>"C34D1.9"</f>
        <v>C34D1.9</v>
      </c>
      <c r="F19761" t="s">
        <v>481</v>
      </c>
      <c r="H19761" s="12">
        <v>1.70028638258434</v>
      </c>
      <c r="I19761" s="20">
        <v>0.164008432000641</v>
      </c>
      <c r="J19761" s="28">
        <v>0.86972450592177797</v>
      </c>
      <c r="K19761" s="29">
        <v>0.994271565763579</v>
      </c>
    </row>
    <row r="19762" spans="1:11" x14ac:dyDescent="0.35">
      <c r="A19762" s="9" t="str">
        <f>HYPERLINK("http://www.ensembl.org/id/WBGene00007941", "WBGene00007941")</f>
        <v>WBGene00007941</v>
      </c>
      <c r="B19762" s="9" t="str">
        <f>HYPERLINK("http://www.ncbi.nlm.nih.gov/gene/181310", "181310")</f>
        <v>181310</v>
      </c>
      <c r="C19762" s="9" t="str">
        <f>HYPERLINK("http://www.ncbi.nlm.nih.gov/gene/92305", "92305")</f>
        <v>92305</v>
      </c>
      <c r="D19762" t="str">
        <f>"C34F6.7"</f>
        <v>C34F6.7</v>
      </c>
      <c r="F19762" t="s">
        <v>11</v>
      </c>
      <c r="G19762" t="s">
        <v>10646</v>
      </c>
      <c r="H19762" s="12">
        <v>-1.0401617509671099</v>
      </c>
      <c r="I19762" s="20">
        <v>-0.178357019374182</v>
      </c>
      <c r="J19762" s="28">
        <v>0.85844260160702801</v>
      </c>
      <c r="K19762" s="29">
        <v>0.994271565763579</v>
      </c>
    </row>
    <row r="19763" spans="1:11" x14ac:dyDescent="0.35">
      <c r="A19763" s="9" t="str">
        <f>HYPERLINK("http://www.ensembl.org/id/WBGene00016494", "WBGene00016494")</f>
        <v>WBGene00016494</v>
      </c>
      <c r="B19763" s="9" t="str">
        <f>HYPERLINK("http://www.ncbi.nlm.nih.gov/gene/172404", "172404")</f>
        <v>172404</v>
      </c>
      <c r="C19763" s="9"/>
      <c r="D19763" t="str">
        <f>"C37A2.8"</f>
        <v>C37A2.8</v>
      </c>
      <c r="F19763" t="s">
        <v>11</v>
      </c>
      <c r="G19763" t="s">
        <v>228</v>
      </c>
      <c r="H19763" s="12">
        <v>1.0392465969871101</v>
      </c>
      <c r="I19763" s="20">
        <v>0.18568035988276099</v>
      </c>
      <c r="J19763" s="28">
        <v>0.85269543101601797</v>
      </c>
      <c r="K19763" s="29">
        <v>0.994271565763579</v>
      </c>
    </row>
    <row r="19764" spans="1:11" x14ac:dyDescent="0.35">
      <c r="A19764" s="9" t="str">
        <f>HYPERLINK("http://www.ensembl.org/id/WBGene00016511", "WBGene00016511")</f>
        <v>WBGene00016511</v>
      </c>
      <c r="B19764" s="9" t="str">
        <f>HYPERLINK("http://www.ncbi.nlm.nih.gov/gene/178878", "178878")</f>
        <v>178878</v>
      </c>
      <c r="C19764" s="9" t="str">
        <f>HYPERLINK("http://www.ncbi.nlm.nih.gov/gene/10005", "10005")</f>
        <v>10005</v>
      </c>
      <c r="D19764" t="str">
        <f>"C37H5.13"</f>
        <v>C37H5.13</v>
      </c>
      <c r="F19764" t="s">
        <v>11</v>
      </c>
      <c r="G19764" t="s">
        <v>4467</v>
      </c>
      <c r="H19764" s="12">
        <v>1.03835094307659</v>
      </c>
      <c r="I19764" s="20">
        <v>0.186243523367605</v>
      </c>
      <c r="J19764" s="28">
        <v>0.85225379427983505</v>
      </c>
      <c r="K19764" s="29">
        <v>0.994271565763579</v>
      </c>
    </row>
    <row r="19765" spans="1:11" x14ac:dyDescent="0.35">
      <c r="A19765" s="9" t="str">
        <f>HYPERLINK("http://www.ensembl.org/id/WBGene00016571", "WBGene00016571")</f>
        <v>WBGene00016571</v>
      </c>
      <c r="B19765" s="9" t="str">
        <f>HYPERLINK("http://www.ncbi.nlm.nih.gov/gene/183394", "183394")</f>
        <v>183394</v>
      </c>
      <c r="C19765" s="9"/>
      <c r="D19765" t="str">
        <f>"C41H7.1"</f>
        <v>C41H7.1</v>
      </c>
      <c r="F19765" t="s">
        <v>11</v>
      </c>
      <c r="H19765" s="12">
        <v>1.0878748975420001</v>
      </c>
      <c r="I19765" s="20">
        <v>0.17771088393895401</v>
      </c>
      <c r="J19765" s="28">
        <v>0.85895003716343599</v>
      </c>
      <c r="K19765" s="29">
        <v>0.994271565763579</v>
      </c>
    </row>
    <row r="19766" spans="1:11" x14ac:dyDescent="0.35">
      <c r="A19766" s="9" t="str">
        <f>HYPERLINK("http://www.ensembl.org/id/WBGene00016587", "WBGene00016587")</f>
        <v>WBGene00016587</v>
      </c>
      <c r="B19766" s="9" t="str">
        <f>HYPERLINK("http://www.ncbi.nlm.nih.gov/gene/183401", "183401")</f>
        <v>183401</v>
      </c>
      <c r="C19766" s="9"/>
      <c r="D19766" t="str">
        <f>"C42C1.9"</f>
        <v>C42C1.9</v>
      </c>
      <c r="F19766" t="s">
        <v>11</v>
      </c>
      <c r="H19766" s="12">
        <v>-1.1661084208149799</v>
      </c>
      <c r="I19766" s="20">
        <v>-0.172942996226431</v>
      </c>
      <c r="J19766" s="28">
        <v>0.86269623471977097</v>
      </c>
      <c r="K19766" s="29">
        <v>0.994271565763579</v>
      </c>
    </row>
    <row r="19767" spans="1:11" x14ac:dyDescent="0.35">
      <c r="A19767" s="9" t="str">
        <f>HYPERLINK("http://www.ensembl.org/id/WBGene00201279", "WBGene00201279")</f>
        <v>WBGene00201279</v>
      </c>
      <c r="B19767" s="9"/>
      <c r="C19767" s="9"/>
      <c r="D19767" t="str">
        <f>"C44C10.14"</f>
        <v>C44C10.14</v>
      </c>
      <c r="F19767" t="s">
        <v>481</v>
      </c>
      <c r="H19767" s="12">
        <v>1.38545745318288</v>
      </c>
      <c r="I19767" s="20">
        <v>0.17332615442941501</v>
      </c>
      <c r="J19767" s="28">
        <v>0.86239506654847597</v>
      </c>
      <c r="K19767" s="29">
        <v>0.994271565763579</v>
      </c>
    </row>
    <row r="19768" spans="1:11" x14ac:dyDescent="0.35">
      <c r="A19768" s="9" t="str">
        <f>HYPERLINK("http://www.ensembl.org/id/WBGene00199179", "WBGene00199179")</f>
        <v>WBGene00199179</v>
      </c>
      <c r="B19768" s="9"/>
      <c r="C19768" s="9"/>
      <c r="D19768" t="str">
        <f>"C44H4.11"</f>
        <v>C44H4.11</v>
      </c>
      <c r="F19768" t="s">
        <v>481</v>
      </c>
      <c r="H19768" s="12">
        <v>1.79408715352943</v>
      </c>
      <c r="I19768" s="20">
        <v>0.173550585897745</v>
      </c>
      <c r="J19768" s="28">
        <v>0.86221866928889102</v>
      </c>
      <c r="K19768" s="29">
        <v>0.994271565763579</v>
      </c>
    </row>
    <row r="19769" spans="1:11" x14ac:dyDescent="0.35">
      <c r="A19769" s="9" t="str">
        <f>HYPERLINK("http://www.ensembl.org/id/WBGene00050919", "WBGene00050919")</f>
        <v>WBGene00050919</v>
      </c>
      <c r="B19769" s="9" t="str">
        <f>HYPERLINK("http://www.ncbi.nlm.nih.gov/gene/6418649", "6418649")</f>
        <v>6418649</v>
      </c>
      <c r="C19769" s="9"/>
      <c r="D19769" t="str">
        <f>"C45G9.15"</f>
        <v>C45G9.15</v>
      </c>
      <c r="F19769" t="s">
        <v>11</v>
      </c>
      <c r="H19769" s="12">
        <v>1.81452741737493</v>
      </c>
      <c r="I19769" s="20">
        <v>0.18505421452922499</v>
      </c>
      <c r="J19769" s="28">
        <v>0.85318651278733704</v>
      </c>
      <c r="K19769" s="29">
        <v>0.994271565763579</v>
      </c>
    </row>
    <row r="19770" spans="1:11" x14ac:dyDescent="0.35">
      <c r="A19770" s="9" t="str">
        <f>HYPERLINK("http://www.ensembl.org/id/WBGene00008143", "WBGene00008143")</f>
        <v>WBGene00008143</v>
      </c>
      <c r="B19770" s="9" t="str">
        <f>HYPERLINK("http://www.ncbi.nlm.nih.gov/gene/179970", "179970")</f>
        <v>179970</v>
      </c>
      <c r="C19770" s="9"/>
      <c r="D19770" t="str">
        <f>"C47E8.4"</f>
        <v>C47E8.4</v>
      </c>
      <c r="F19770" t="s">
        <v>11</v>
      </c>
      <c r="G19770" t="s">
        <v>10615</v>
      </c>
      <c r="H19770" s="12">
        <v>-1.0354163318384499</v>
      </c>
      <c r="I19770" s="20">
        <v>-0.16885873407705701</v>
      </c>
      <c r="J19770" s="28">
        <v>0.86590775845170198</v>
      </c>
      <c r="K19770" s="29">
        <v>0.994271565763579</v>
      </c>
    </row>
    <row r="19771" spans="1:11" x14ac:dyDescent="0.35">
      <c r="A19771" s="9" t="str">
        <f>HYPERLINK("http://www.ensembl.org/id/WBGene00200934", "WBGene00200934")</f>
        <v>WBGene00200934</v>
      </c>
      <c r="B19771" s="9"/>
      <c r="C19771" s="9"/>
      <c r="D19771" t="str">
        <f>"C48A7.14"</f>
        <v>C48A7.14</v>
      </c>
      <c r="F19771" t="s">
        <v>481</v>
      </c>
      <c r="H19771" s="12">
        <v>-1.73457001584991</v>
      </c>
      <c r="I19771" s="20">
        <v>-0.165559698280943</v>
      </c>
      <c r="J19771" s="28">
        <v>0.86850346561216996</v>
      </c>
      <c r="K19771" s="29">
        <v>0.994271565763579</v>
      </c>
    </row>
    <row r="19772" spans="1:11" x14ac:dyDescent="0.35">
      <c r="A19772" s="9" t="str">
        <f>HYPERLINK("http://www.ensembl.org/id/WBGene00016746", "WBGene00016746")</f>
        <v>WBGene00016746</v>
      </c>
      <c r="B19772" s="9" t="str">
        <f>HYPERLINK("http://www.ncbi.nlm.nih.gov/gene/172421", "172421")</f>
        <v>172421</v>
      </c>
      <c r="C19772" s="9"/>
      <c r="D19772" t="str">
        <f>"C48B6.10"</f>
        <v>C48B6.10</v>
      </c>
      <c r="F19772" t="s">
        <v>11</v>
      </c>
      <c r="G19772" t="s">
        <v>25</v>
      </c>
      <c r="H19772" s="12">
        <v>-1.0349796683663599</v>
      </c>
      <c r="I19772" s="20">
        <v>-0.17589278174283099</v>
      </c>
      <c r="J19772" s="28">
        <v>0.86037817627687496</v>
      </c>
      <c r="K19772" s="29">
        <v>0.994271565763579</v>
      </c>
    </row>
    <row r="19773" spans="1:11" x14ac:dyDescent="0.35">
      <c r="A19773" s="9" t="str">
        <f>HYPERLINK("http://www.ensembl.org/id/WBGene00008180", "WBGene00008180")</f>
        <v>WBGene00008180</v>
      </c>
      <c r="B19773" s="9" t="str">
        <f>HYPERLINK("http://www.ncbi.nlm.nih.gov/gene/3564935", "3564935")</f>
        <v>3564935</v>
      </c>
      <c r="C19773" s="9"/>
      <c r="D19773" t="str">
        <f>"C48D5.3"</f>
        <v>C48D5.3</v>
      </c>
      <c r="F19773" t="s">
        <v>11</v>
      </c>
      <c r="H19773" s="12">
        <v>1.19718951381101</v>
      </c>
      <c r="I19773" s="20">
        <v>0.18190317089451899</v>
      </c>
      <c r="J19773" s="28">
        <v>0.85565871600201604</v>
      </c>
      <c r="K19773" s="29">
        <v>0.994271565763579</v>
      </c>
    </row>
    <row r="19774" spans="1:11" x14ac:dyDescent="0.35">
      <c r="A19774" s="9" t="str">
        <f>HYPERLINK("http://www.ensembl.org/id/WBGene00008187", "WBGene00008187")</f>
        <v>WBGene00008187</v>
      </c>
      <c r="B19774" s="9" t="str">
        <f>HYPERLINK("http://www.ncbi.nlm.nih.gov/gene/183587", "183587")</f>
        <v>183587</v>
      </c>
      <c r="C19774" s="9"/>
      <c r="D19774" t="str">
        <f>"C49A1.5"</f>
        <v>C49A1.5</v>
      </c>
      <c r="F19774" t="s">
        <v>11</v>
      </c>
      <c r="G19774" t="s">
        <v>1686</v>
      </c>
      <c r="H19774" s="12">
        <v>-1.48330548819067</v>
      </c>
      <c r="I19774" s="20">
        <v>-0.18899473533973099</v>
      </c>
      <c r="J19774" s="28">
        <v>0.85009694302456096</v>
      </c>
      <c r="K19774" s="29">
        <v>0.994271565763579</v>
      </c>
    </row>
    <row r="19775" spans="1:11" x14ac:dyDescent="0.35">
      <c r="A19775" s="9" t="str">
        <f>HYPERLINK("http://www.ensembl.org/id/WBGene00008204", "WBGene00008204")</f>
        <v>WBGene00008204</v>
      </c>
      <c r="B19775" s="9" t="str">
        <f>HYPERLINK("http://www.ncbi.nlm.nih.gov/gene/183600", "183600")</f>
        <v>183600</v>
      </c>
      <c r="C19775" s="9"/>
      <c r="D19775" t="str">
        <f>"C49C3.15"</f>
        <v>C49C3.15</v>
      </c>
      <c r="F19775" t="s">
        <v>11</v>
      </c>
      <c r="H19775" s="12">
        <v>-1.0414548346136701</v>
      </c>
      <c r="I19775" s="20">
        <v>-0.163741998051078</v>
      </c>
      <c r="J19775" s="28">
        <v>0.86993425406024005</v>
      </c>
      <c r="K19775" s="29">
        <v>0.994271565763579</v>
      </c>
    </row>
    <row r="19776" spans="1:11" x14ac:dyDescent="0.35">
      <c r="A19776" s="9" t="str">
        <f>HYPERLINK("http://www.ensembl.org/id/WBGene00016766", "WBGene00016766")</f>
        <v>WBGene00016766</v>
      </c>
      <c r="B19776" s="9" t="str">
        <f>HYPERLINK("http://www.ncbi.nlm.nih.gov/gene/177669", "177669")</f>
        <v>177669</v>
      </c>
      <c r="C19776" s="9"/>
      <c r="D19776" t="str">
        <f>"C49C8.2"</f>
        <v>C49C8.2</v>
      </c>
      <c r="F19776" t="s">
        <v>11</v>
      </c>
      <c r="G19776" t="s">
        <v>25</v>
      </c>
      <c r="H19776" s="12">
        <v>1.05809184865386</v>
      </c>
      <c r="I19776" s="20">
        <v>0.17278279300591001</v>
      </c>
      <c r="J19776" s="28">
        <v>0.86282216280523205</v>
      </c>
      <c r="K19776" s="29">
        <v>0.994271565763579</v>
      </c>
    </row>
    <row r="19777" spans="1:11" x14ac:dyDescent="0.35">
      <c r="A19777" s="9" t="str">
        <f>HYPERLINK("http://www.ensembl.org/id/WBGene00016809", "WBGene00016809")</f>
        <v>WBGene00016809</v>
      </c>
      <c r="B19777" s="9" t="str">
        <f>HYPERLINK("http://www.ncbi.nlm.nih.gov/gene/3565416", "3565416")</f>
        <v>3565416</v>
      </c>
      <c r="C19777" s="9"/>
      <c r="D19777" t="str">
        <f>"C50D2.6"</f>
        <v>C50D2.6</v>
      </c>
      <c r="F19777" t="s">
        <v>11</v>
      </c>
      <c r="H19777" s="12">
        <v>1.0611699106738299</v>
      </c>
      <c r="I19777" s="20">
        <v>0.175002618521611</v>
      </c>
      <c r="J19777" s="28">
        <v>0.86107757605553303</v>
      </c>
      <c r="K19777" s="29">
        <v>0.994271565763579</v>
      </c>
    </row>
    <row r="19778" spans="1:11" x14ac:dyDescent="0.35">
      <c r="A19778" s="9" t="str">
        <f>HYPERLINK("http://www.ensembl.org/id/WBGene00219860", "WBGene00219860")</f>
        <v>WBGene00219860</v>
      </c>
      <c r="B19778" s="9"/>
      <c r="C19778" s="9"/>
      <c r="D19778" t="str">
        <f>"C51F7.4"</f>
        <v>C51F7.4</v>
      </c>
      <c r="F19778" t="s">
        <v>2977</v>
      </c>
      <c r="H19778" s="12">
        <v>1.75352385646303</v>
      </c>
      <c r="I19778" s="20">
        <v>0.16737746853691299</v>
      </c>
      <c r="J19778" s="28">
        <v>0.86707305258210998</v>
      </c>
      <c r="K19778" s="29">
        <v>0.994271565763579</v>
      </c>
    </row>
    <row r="19779" spans="1:11" x14ac:dyDescent="0.35">
      <c r="A19779" s="9" t="str">
        <f>HYPERLINK("http://www.ensembl.org/id/WBGene00201685", "WBGene00201685")</f>
        <v>WBGene00201685</v>
      </c>
      <c r="B19779" s="9"/>
      <c r="C19779" s="9"/>
      <c r="D19779" t="str">
        <f>"C53C9.6"</f>
        <v>C53C9.6</v>
      </c>
      <c r="F19779" t="s">
        <v>481</v>
      </c>
      <c r="H19779" s="12">
        <v>-1.8016822568770801</v>
      </c>
      <c r="I19779" s="20">
        <v>-0.175677875261118</v>
      </c>
      <c r="J19779" s="28">
        <v>0.86054701793969501</v>
      </c>
      <c r="K19779" s="29">
        <v>0.994271565763579</v>
      </c>
    </row>
    <row r="19780" spans="1:11" x14ac:dyDescent="0.35">
      <c r="A19780" s="9" t="str">
        <f>HYPERLINK("http://www.ensembl.org/id/WBGene00044241", "WBGene00044241")</f>
        <v>WBGene00044241</v>
      </c>
      <c r="B19780" s="9" t="str">
        <f>HYPERLINK("http://www.ncbi.nlm.nih.gov/gene/3565397", "3565397")</f>
        <v>3565397</v>
      </c>
      <c r="C19780" s="9"/>
      <c r="D19780" t="str">
        <f>"C53D6.11"</f>
        <v>C53D6.11</v>
      </c>
      <c r="F19780" t="s">
        <v>11</v>
      </c>
      <c r="G19780" t="s">
        <v>25</v>
      </c>
      <c r="H19780" s="12">
        <v>-1.0920762368668</v>
      </c>
      <c r="I19780" s="20">
        <v>-0.18503702744459399</v>
      </c>
      <c r="J19780" s="28">
        <v>0.85319999331049401</v>
      </c>
      <c r="K19780" s="29">
        <v>0.994271565763579</v>
      </c>
    </row>
    <row r="19781" spans="1:11" x14ac:dyDescent="0.35">
      <c r="A19781" s="9" t="str">
        <f>HYPERLINK("http://www.ensembl.org/id/WBGene00000286", "WBGene00000286")</f>
        <v>WBGene00000286</v>
      </c>
      <c r="B19781" s="9" t="str">
        <f>HYPERLINK("http://www.ncbi.nlm.nih.gov/gene/182789", "182789")</f>
        <v>182789</v>
      </c>
      <c r="C19781" s="9"/>
      <c r="D19781" t="str">
        <f>"cal-2"</f>
        <v>cal-2</v>
      </c>
      <c r="E19781" t="s">
        <v>10536</v>
      </c>
      <c r="F19781" t="s">
        <v>11</v>
      </c>
      <c r="G19781" t="s">
        <v>313</v>
      </c>
      <c r="H19781" s="12">
        <v>1.04159537959709</v>
      </c>
      <c r="I19781" s="20">
        <v>0.18838340795855599</v>
      </c>
      <c r="J19781" s="28">
        <v>0.85057610537549</v>
      </c>
      <c r="K19781" s="29">
        <v>0.994271565763579</v>
      </c>
    </row>
    <row r="19782" spans="1:11" x14ac:dyDescent="0.35">
      <c r="A19782" s="9" t="str">
        <f>HYPERLINK("http://www.ensembl.org/id/WBGene00009254", "WBGene00009254")</f>
        <v>WBGene00009254</v>
      </c>
      <c r="B19782" s="9" t="str">
        <f>HYPERLINK("http://www.ncbi.nlm.nih.gov/gene/172521", "172521")</f>
        <v>172521</v>
      </c>
      <c r="C19782" s="9"/>
      <c r="D19782" t="str">
        <f>"capg-1"</f>
        <v>capg-1</v>
      </c>
      <c r="E19782" t="s">
        <v>10643</v>
      </c>
      <c r="F19782" t="s">
        <v>11</v>
      </c>
      <c r="G19782" t="s">
        <v>10644</v>
      </c>
      <c r="H19782" s="12">
        <v>-1.03983872123779</v>
      </c>
      <c r="I19782" s="20">
        <v>-0.182769128452757</v>
      </c>
      <c r="J19782" s="28">
        <v>0.85497917248121702</v>
      </c>
      <c r="K19782" s="29">
        <v>0.994271565763579</v>
      </c>
    </row>
    <row r="19783" spans="1:11" x14ac:dyDescent="0.35">
      <c r="A19783" s="9" t="str">
        <f>HYPERLINK("http://www.ensembl.org/id/WBGene00000302", "WBGene00000302")</f>
        <v>WBGene00000302</v>
      </c>
      <c r="B19783" s="9" t="str">
        <f>HYPERLINK("http://www.ncbi.nlm.nih.gov/gene/179838", "179838")</f>
        <v>179838</v>
      </c>
      <c r="C19783" s="9"/>
      <c r="D19783" t="str">
        <f>"cav-2"</f>
        <v>cav-2</v>
      </c>
      <c r="E19783" t="s">
        <v>10521</v>
      </c>
      <c r="F19783" t="s">
        <v>11</v>
      </c>
      <c r="G19783" t="s">
        <v>10522</v>
      </c>
      <c r="H19783" s="12">
        <v>1.06126106258342</v>
      </c>
      <c r="I19783" s="20">
        <v>0.16887719221998401</v>
      </c>
      <c r="J19783" s="28">
        <v>0.86589323948160302</v>
      </c>
      <c r="K19783" s="29">
        <v>0.994271565763579</v>
      </c>
    </row>
    <row r="19784" spans="1:11" x14ac:dyDescent="0.35">
      <c r="A19784" s="9" t="str">
        <f>HYPERLINK("http://www.ensembl.org/id/WBGene00000380", "WBGene00000380")</f>
        <v>WBGene00000380</v>
      </c>
      <c r="B19784" s="9" t="str">
        <f>HYPERLINK("http://www.ncbi.nlm.nih.gov/gene/175588", "175588")</f>
        <v>175588</v>
      </c>
      <c r="C19784" s="9" t="str">
        <f>HYPERLINK("http://www.ncbi.nlm.nih.gov/gene/22948", "22948")</f>
        <v>22948</v>
      </c>
      <c r="D19784" t="str">
        <f>"cct-5"</f>
        <v>cct-5</v>
      </c>
      <c r="E19784" t="s">
        <v>10610</v>
      </c>
      <c r="F19784" t="s">
        <v>11</v>
      </c>
      <c r="G19784" t="s">
        <v>1544</v>
      </c>
      <c r="H19784" s="12">
        <v>-1.0344538555542599</v>
      </c>
      <c r="I19784" s="20">
        <v>-0.188585985880137</v>
      </c>
      <c r="J19784" s="28">
        <v>0.85041731736969794</v>
      </c>
      <c r="K19784" s="29">
        <v>0.994271565763579</v>
      </c>
    </row>
    <row r="19785" spans="1:11" x14ac:dyDescent="0.35">
      <c r="A19785" s="9" t="str">
        <f>HYPERLINK("http://www.ensembl.org/id/WBGene00000410", "WBGene00000410")</f>
        <v>WBGene00000410</v>
      </c>
      <c r="B19785" s="9" t="str">
        <f>HYPERLINK("http://www.ncbi.nlm.nih.gov/gene/173023", "173023")</f>
        <v>173023</v>
      </c>
      <c r="C19785" s="9" t="str">
        <f>HYPERLINK("http://www.ncbi.nlm.nih.gov/gene/1025", "1025")</f>
        <v>1025</v>
      </c>
      <c r="D19785" t="str">
        <f>"cdk-9"</f>
        <v>cdk-9</v>
      </c>
      <c r="E19785" t="s">
        <v>10611</v>
      </c>
      <c r="F19785" t="s">
        <v>11</v>
      </c>
      <c r="G19785" t="s">
        <v>444</v>
      </c>
      <c r="H19785" s="12">
        <v>-1.03478623576267</v>
      </c>
      <c r="I19785" s="20">
        <v>-0.17230572561431801</v>
      </c>
      <c r="J19785" s="28">
        <v>0.86319718328624595</v>
      </c>
      <c r="K19785" s="29">
        <v>0.994271565763579</v>
      </c>
    </row>
    <row r="19786" spans="1:11" x14ac:dyDescent="0.35">
      <c r="A19786" s="9" t="str">
        <f>HYPERLINK("http://www.ensembl.org/id/WBGene00017690", "WBGene00017690")</f>
        <v>WBGene00017690</v>
      </c>
      <c r="B19786" s="9" t="str">
        <f>HYPERLINK("http://www.ncbi.nlm.nih.gov/gene/184803", "184803")</f>
        <v>184803</v>
      </c>
      <c r="C19786" s="9"/>
      <c r="D19786" t="str">
        <f>"ceh-60"</f>
        <v>ceh-60</v>
      </c>
      <c r="E19786" t="s">
        <v>349</v>
      </c>
      <c r="F19786" t="s">
        <v>11</v>
      </c>
      <c r="G19786" t="s">
        <v>10649</v>
      </c>
      <c r="H19786" s="12">
        <v>-1.0441209325507099</v>
      </c>
      <c r="I19786" s="20">
        <v>-0.19275353411975599</v>
      </c>
      <c r="J19786" s="28">
        <v>0.84715199536170405</v>
      </c>
      <c r="K19786" s="29">
        <v>0.994271565763579</v>
      </c>
    </row>
    <row r="19787" spans="1:11" x14ac:dyDescent="0.35">
      <c r="A19787" s="9" t="str">
        <f>HYPERLINK("http://www.ensembl.org/id/WBGene00000469", "WBGene00000469")</f>
        <v>WBGene00000469</v>
      </c>
      <c r="B19787" s="9" t="str">
        <f>HYPERLINK("http://www.ncbi.nlm.nih.gov/gene/173365", "173365")</f>
        <v>173365</v>
      </c>
      <c r="C19787" s="9"/>
      <c r="D19787" t="str">
        <f>"ces-2"</f>
        <v>ces-2</v>
      </c>
      <c r="E19787" t="s">
        <v>10531</v>
      </c>
      <c r="F19787" t="s">
        <v>11</v>
      </c>
      <c r="G19787" t="s">
        <v>10532</v>
      </c>
      <c r="H19787" s="12">
        <v>1.04644062359983</v>
      </c>
      <c r="I19787" s="20">
        <v>0.18664239416516901</v>
      </c>
      <c r="J19787" s="28">
        <v>0.85194102502885605</v>
      </c>
      <c r="K19787" s="29">
        <v>0.994271565763579</v>
      </c>
    </row>
    <row r="19788" spans="1:11" x14ac:dyDescent="0.35">
      <c r="A19788" s="9" t="str">
        <f>HYPERLINK("http://www.ensembl.org/id/WBGene00011162", "WBGene00011162")</f>
        <v>WBGene00011162</v>
      </c>
      <c r="B19788" s="9" t="str">
        <f>HYPERLINK("http://www.ncbi.nlm.nih.gov/gene/187736", "187736")</f>
        <v>187736</v>
      </c>
      <c r="C19788" s="9"/>
      <c r="D19788" t="str">
        <f>"chil-19"</f>
        <v>chil-19</v>
      </c>
      <c r="E19788" t="s">
        <v>1756</v>
      </c>
      <c r="F19788" t="s">
        <v>11</v>
      </c>
      <c r="G19788" t="s">
        <v>1509</v>
      </c>
      <c r="H19788" s="12">
        <v>1.4247199875571099</v>
      </c>
      <c r="I19788" s="20">
        <v>0.16477734144790601</v>
      </c>
      <c r="J19788" s="28">
        <v>0.86911923914059297</v>
      </c>
      <c r="K19788" s="29">
        <v>0.994271565763579</v>
      </c>
    </row>
    <row r="19789" spans="1:11" x14ac:dyDescent="0.35">
      <c r="A19789" s="9" t="str">
        <f>HYPERLINK("http://www.ensembl.org/id/WBGene00000512", "WBGene00000512")</f>
        <v>WBGene00000512</v>
      </c>
      <c r="B19789" s="9" t="str">
        <f>HYPERLINK("http://www.ncbi.nlm.nih.gov/gene/175565", "175565")</f>
        <v>175565</v>
      </c>
      <c r="C19789" s="9"/>
      <c r="D19789" t="str">
        <f>"ckb-2"</f>
        <v>ckb-2</v>
      </c>
      <c r="E19789" t="s">
        <v>10534</v>
      </c>
      <c r="F19789" t="s">
        <v>11</v>
      </c>
      <c r="H19789" s="12">
        <v>1.04588101068751</v>
      </c>
      <c r="I19789" s="20">
        <v>0.18948652976083499</v>
      </c>
      <c r="J19789" s="28">
        <v>0.84971151155188196</v>
      </c>
      <c r="K19789" s="29">
        <v>0.994271565763579</v>
      </c>
    </row>
    <row r="19790" spans="1:11" x14ac:dyDescent="0.35">
      <c r="A19790" s="9" t="str">
        <f>HYPERLINK("http://www.ensembl.org/id/WBGene00012480", "WBGene00012480")</f>
        <v>WBGene00012480</v>
      </c>
      <c r="B19790" s="9" t="str">
        <f>HYPERLINK("http://www.ncbi.nlm.nih.gov/gene/189475", "189475")</f>
        <v>189475</v>
      </c>
      <c r="C19790" s="9"/>
      <c r="D19790" t="str">
        <f>"clec-104"</f>
        <v>clec-104</v>
      </c>
      <c r="E19790" t="s">
        <v>46</v>
      </c>
      <c r="F19790" t="s">
        <v>11</v>
      </c>
      <c r="G19790" t="s">
        <v>47</v>
      </c>
      <c r="H19790" s="12">
        <v>-1.17813586119211</v>
      </c>
      <c r="I19790" s="20">
        <v>-0.18141834378268501</v>
      </c>
      <c r="J19790" s="28">
        <v>0.85603922152012202</v>
      </c>
      <c r="K19790" s="29">
        <v>0.994271565763579</v>
      </c>
    </row>
    <row r="19791" spans="1:11" x14ac:dyDescent="0.35">
      <c r="A19791" s="9" t="str">
        <f>HYPERLINK("http://www.ensembl.org/id/WBGene00017824", "WBGene00017824")</f>
        <v>WBGene00017824</v>
      </c>
      <c r="B19791" s="9" t="str">
        <f>HYPERLINK("http://www.ncbi.nlm.nih.gov/gene/184978", "184978")</f>
        <v>184978</v>
      </c>
      <c r="C19791" s="9"/>
      <c r="D19791" t="str">
        <f>"clec-217"</f>
        <v>clec-217</v>
      </c>
      <c r="E19791" t="s">
        <v>46</v>
      </c>
      <c r="F19791" t="s">
        <v>11</v>
      </c>
      <c r="G19791" t="s">
        <v>47</v>
      </c>
      <c r="H19791" s="12">
        <v>-1.73457001584991</v>
      </c>
      <c r="I19791" s="20">
        <v>-0.165559698280943</v>
      </c>
      <c r="J19791" s="28">
        <v>0.86850346561216996</v>
      </c>
      <c r="K19791" s="29">
        <v>0.994271565763579</v>
      </c>
    </row>
    <row r="19792" spans="1:11" x14ac:dyDescent="0.35">
      <c r="A19792" s="9" t="str">
        <f>HYPERLINK("http://www.ensembl.org/id/WBGene00007152", "WBGene00007152")</f>
        <v>WBGene00007152</v>
      </c>
      <c r="B19792" s="9" t="str">
        <f>HYPERLINK("http://www.ncbi.nlm.nih.gov/gene/181942", "181942")</f>
        <v>181942</v>
      </c>
      <c r="C19792" s="9"/>
      <c r="D19792" t="str">
        <f>"clec-225"</f>
        <v>clec-225</v>
      </c>
      <c r="E19792" t="s">
        <v>46</v>
      </c>
      <c r="F19792" t="s">
        <v>11</v>
      </c>
      <c r="G19792" t="s">
        <v>47</v>
      </c>
      <c r="H19792" s="12">
        <v>1.1450333806358099</v>
      </c>
      <c r="I19792" s="20">
        <v>0.16701296989707001</v>
      </c>
      <c r="J19792" s="28">
        <v>0.86735984375811503</v>
      </c>
      <c r="K19792" s="29">
        <v>0.994271565763579</v>
      </c>
    </row>
    <row r="19793" spans="1:11" x14ac:dyDescent="0.35">
      <c r="A19793" s="9" t="str">
        <f>HYPERLINK("http://www.ensembl.org/id/WBGene00009906", "WBGene00009906")</f>
        <v>WBGene00009906</v>
      </c>
      <c r="B19793" s="9" t="str">
        <f>HYPERLINK("http://www.ncbi.nlm.nih.gov/gene/186070", "186070")</f>
        <v>186070</v>
      </c>
      <c r="C19793" s="9"/>
      <c r="D19793" t="str">
        <f>"clec-241"</f>
        <v>clec-241</v>
      </c>
      <c r="E19793" t="s">
        <v>46</v>
      </c>
      <c r="F19793" t="s">
        <v>11</v>
      </c>
      <c r="G19793" t="s">
        <v>47</v>
      </c>
      <c r="H19793" s="12">
        <v>1.81452741737493</v>
      </c>
      <c r="I19793" s="20">
        <v>0.18505421452922499</v>
      </c>
      <c r="J19793" s="28">
        <v>0.85318651278733704</v>
      </c>
      <c r="K19793" s="29">
        <v>0.994271565763579</v>
      </c>
    </row>
    <row r="19794" spans="1:11" x14ac:dyDescent="0.35">
      <c r="A19794" s="9" t="str">
        <f>HYPERLINK("http://www.ensembl.org/id/WBGene00014043", "WBGene00014043")</f>
        <v>WBGene00014043</v>
      </c>
      <c r="B19794" s="9" t="str">
        <f>HYPERLINK("http://www.ncbi.nlm.nih.gov/gene/191381", "191381")</f>
        <v>191381</v>
      </c>
      <c r="C19794" s="9"/>
      <c r="D19794" t="str">
        <f>"clec-58"</f>
        <v>clec-58</v>
      </c>
      <c r="E19794" t="s">
        <v>46</v>
      </c>
      <c r="F19794" t="s">
        <v>11</v>
      </c>
      <c r="G19794" t="s">
        <v>47</v>
      </c>
      <c r="H19794" s="12">
        <v>-1.8016822568770801</v>
      </c>
      <c r="I19794" s="20">
        <v>-0.175677875261118</v>
      </c>
      <c r="J19794" s="28">
        <v>0.86054701793969501</v>
      </c>
      <c r="K19794" s="29">
        <v>0.994271565763579</v>
      </c>
    </row>
    <row r="19795" spans="1:11" x14ac:dyDescent="0.35">
      <c r="A19795" s="9" t="str">
        <f>HYPERLINK("http://www.ensembl.org/id/WBGene00013493", "WBGene00013493")</f>
        <v>WBGene00013493</v>
      </c>
      <c r="B19795" s="9" t="str">
        <f>HYPERLINK("http://www.ncbi.nlm.nih.gov/gene/190567", "190567")</f>
        <v>190567</v>
      </c>
      <c r="C19795" s="9"/>
      <c r="D19795" t="str">
        <f>"clec-9"</f>
        <v>clec-9</v>
      </c>
      <c r="E19795" t="s">
        <v>46</v>
      </c>
      <c r="F19795" t="s">
        <v>11</v>
      </c>
      <c r="G19795" t="s">
        <v>47</v>
      </c>
      <c r="H19795" s="12">
        <v>1.35571768346806</v>
      </c>
      <c r="I19795" s="20">
        <v>0.16876831992096</v>
      </c>
      <c r="J19795" s="28">
        <v>0.86597887787573902</v>
      </c>
      <c r="K19795" s="29">
        <v>0.994271565763579</v>
      </c>
    </row>
    <row r="19796" spans="1:11" x14ac:dyDescent="0.35">
      <c r="A19796" s="9" t="str">
        <f>HYPERLINK("http://www.ensembl.org/id/WBGene00020808", "WBGene00020808")</f>
        <v>WBGene00020808</v>
      </c>
      <c r="B19796" s="9" t="str">
        <f>HYPERLINK("http://www.ncbi.nlm.nih.gov/gene/179069", "179069")</f>
        <v>179069</v>
      </c>
      <c r="C19796" s="9"/>
      <c r="D19796" t="str">
        <f>"clik-1"</f>
        <v>clik-1</v>
      </c>
      <c r="E19796" t="s">
        <v>172</v>
      </c>
      <c r="F19796" t="s">
        <v>11</v>
      </c>
      <c r="H19796" s="12">
        <v>-1.0376930503044901</v>
      </c>
      <c r="I19796" s="20">
        <v>-0.16795387711502099</v>
      </c>
      <c r="J19796" s="28">
        <v>0.86661956427244102</v>
      </c>
      <c r="K19796" s="29">
        <v>0.994271565763579</v>
      </c>
    </row>
    <row r="19797" spans="1:11" x14ac:dyDescent="0.35">
      <c r="A19797" s="9" t="str">
        <f>HYPERLINK("http://www.ensembl.org/id/WBGene00000542", "WBGene00000542")</f>
        <v>WBGene00000542</v>
      </c>
      <c r="B19797" s="9" t="str">
        <f>HYPERLINK("http://www.ncbi.nlm.nih.gov/gene/176122", "176122")</f>
        <v>176122</v>
      </c>
      <c r="C19797" s="9" t="str">
        <f>HYPERLINK("http://www.ncbi.nlm.nih.gov/gene/388743", "388743")</f>
        <v>388743</v>
      </c>
      <c r="D19797" t="str">
        <f>"clp-1"</f>
        <v>clp-1</v>
      </c>
      <c r="E19797" t="s">
        <v>10598</v>
      </c>
      <c r="F19797" t="s">
        <v>11</v>
      </c>
      <c r="G19797" t="s">
        <v>10140</v>
      </c>
      <c r="H19797" s="12">
        <v>-1.0338134624713</v>
      </c>
      <c r="I19797" s="20">
        <v>-0.184666301171899</v>
      </c>
      <c r="J19797" s="28">
        <v>0.85349077929662998</v>
      </c>
      <c r="K19797" s="29">
        <v>0.994271565763579</v>
      </c>
    </row>
    <row r="19798" spans="1:11" x14ac:dyDescent="0.35">
      <c r="A19798" s="9" t="str">
        <f>HYPERLINK("http://www.ensembl.org/id/WBGene00013893", "WBGene00013893")</f>
        <v>WBGene00013893</v>
      </c>
      <c r="B19798" s="9" t="str">
        <f>HYPERLINK("http://www.ncbi.nlm.nih.gov/gene/172906", "172906")</f>
        <v>172906</v>
      </c>
      <c r="C19798" s="9"/>
      <c r="D19798" t="str">
        <f>"coa-6"</f>
        <v>coa-6</v>
      </c>
      <c r="E19798" t="s">
        <v>3936</v>
      </c>
      <c r="F19798" t="s">
        <v>11</v>
      </c>
      <c r="G19798" t="s">
        <v>10541</v>
      </c>
      <c r="H19798" s="12">
        <v>1.03846494195234</v>
      </c>
      <c r="I19798" s="20">
        <v>0.180914393249509</v>
      </c>
      <c r="J19798" s="28">
        <v>0.85643477109447397</v>
      </c>
      <c r="K19798" s="29">
        <v>0.994271565763579</v>
      </c>
    </row>
    <row r="19799" spans="1:11" x14ac:dyDescent="0.35">
      <c r="A19799" s="9" t="str">
        <f>HYPERLINK("http://www.ensembl.org/id/WBGene00000724", "WBGene00000724")</f>
        <v>WBGene00000724</v>
      </c>
      <c r="B19799" s="9" t="str">
        <f>HYPERLINK("http://www.ncbi.nlm.nih.gov/gene/179448", "179448")</f>
        <v>179448</v>
      </c>
      <c r="C19799" s="9"/>
      <c r="D19799" t="str">
        <f>"col-151"</f>
        <v>col-151</v>
      </c>
      <c r="E19799" t="s">
        <v>40</v>
      </c>
      <c r="F19799" t="s">
        <v>11</v>
      </c>
      <c r="G19799" t="s">
        <v>152</v>
      </c>
      <c r="H19799" s="12">
        <v>1.2084113853026299</v>
      </c>
      <c r="I19799" s="20">
        <v>0.17261233664588699</v>
      </c>
      <c r="J19799" s="28">
        <v>0.86295615422050298</v>
      </c>
      <c r="K19799" s="29">
        <v>0.994271565763579</v>
      </c>
    </row>
    <row r="19800" spans="1:11" x14ac:dyDescent="0.35">
      <c r="A19800" s="9" t="str">
        <f>HYPERLINK("http://www.ensembl.org/id/WBGene00000608", "WBGene00000608")</f>
        <v>WBGene00000608</v>
      </c>
      <c r="B19800" s="9" t="str">
        <f>HYPERLINK("http://www.ncbi.nlm.nih.gov/gene/180397", "180397")</f>
        <v>180397</v>
      </c>
      <c r="C19800" s="9"/>
      <c r="D19800" t="str">
        <f>"col-19"</f>
        <v>col-19</v>
      </c>
      <c r="E19800" t="s">
        <v>10553</v>
      </c>
      <c r="F19800" t="s">
        <v>11</v>
      </c>
      <c r="G19800" t="s">
        <v>152</v>
      </c>
      <c r="H19800" s="12">
        <v>1.03685484802221</v>
      </c>
      <c r="I19800" s="20">
        <v>0.176012532724585</v>
      </c>
      <c r="J19800" s="28">
        <v>0.86028409647176596</v>
      </c>
      <c r="K19800" s="29">
        <v>0.994271565763579</v>
      </c>
    </row>
    <row r="19801" spans="1:11" x14ac:dyDescent="0.35">
      <c r="A19801" s="9" t="str">
        <f>HYPERLINK("http://www.ensembl.org/id/WBGene00000648", "WBGene00000648")</f>
        <v>WBGene00000648</v>
      </c>
      <c r="B19801" s="9" t="str">
        <f>HYPERLINK("http://www.ncbi.nlm.nih.gov/gene/173698", "173698")</f>
        <v>173698</v>
      </c>
      <c r="C19801" s="9"/>
      <c r="D19801" t="str">
        <f>"col-72"</f>
        <v>col-72</v>
      </c>
      <c r="E19801" t="s">
        <v>40</v>
      </c>
      <c r="F19801" t="s">
        <v>11</v>
      </c>
      <c r="G19801" t="s">
        <v>10499</v>
      </c>
      <c r="H19801" s="12">
        <v>1.5238738581061899</v>
      </c>
      <c r="I19801" s="20">
        <v>0.179255410814088</v>
      </c>
      <c r="J19801" s="28">
        <v>0.85773715671327699</v>
      </c>
      <c r="K19801" s="29">
        <v>0.994271565763579</v>
      </c>
    </row>
    <row r="19802" spans="1:11" x14ac:dyDescent="0.35">
      <c r="A19802" s="9" t="str">
        <f>HYPERLINK("http://www.ensembl.org/id/WBGene00000654", "WBGene00000654")</f>
        <v>WBGene00000654</v>
      </c>
      <c r="B19802" s="9" t="str">
        <f>HYPERLINK("http://www.ncbi.nlm.nih.gov/gene/189274", "189274")</f>
        <v>189274</v>
      </c>
      <c r="C19802" s="9"/>
      <c r="D19802" t="str">
        <f>"col-78"</f>
        <v>col-78</v>
      </c>
      <c r="E19802" t="s">
        <v>40</v>
      </c>
      <c r="F19802" t="s">
        <v>11</v>
      </c>
      <c r="G19802" t="s">
        <v>4335</v>
      </c>
      <c r="H19802" s="12">
        <v>1.7719103290423801</v>
      </c>
      <c r="I19802" s="20">
        <v>0.170705673614783</v>
      </c>
      <c r="J19802" s="28">
        <v>0.86445520141600396</v>
      </c>
      <c r="K19802" s="29">
        <v>0.994271565763579</v>
      </c>
    </row>
    <row r="19803" spans="1:11" x14ac:dyDescent="0.35">
      <c r="A19803" s="9" t="str">
        <f>HYPERLINK("http://www.ensembl.org/id/WBGene00021487", "WBGene00021487")</f>
        <v>WBGene00021487</v>
      </c>
      <c r="B19803" s="9" t="str">
        <f>HYPERLINK("http://www.ncbi.nlm.nih.gov/gene/189785", "189785")</f>
        <v>189785</v>
      </c>
      <c r="C19803" s="9" t="str">
        <f>HYPERLINK("http://www.ncbi.nlm.nih.gov/gene/118881", "118881")</f>
        <v>118881</v>
      </c>
      <c r="D19803" t="str">
        <f>"comt-3"</f>
        <v>comt-3</v>
      </c>
      <c r="E19803" t="s">
        <v>168</v>
      </c>
      <c r="F19803" t="s">
        <v>11</v>
      </c>
      <c r="G19803" t="s">
        <v>169</v>
      </c>
      <c r="H19803" s="12">
        <v>-1.0369189103724199</v>
      </c>
      <c r="I19803" s="20">
        <v>-0.182238877804348</v>
      </c>
      <c r="J19803" s="28">
        <v>0.85539526373519703</v>
      </c>
      <c r="K19803" s="29">
        <v>0.994271565763579</v>
      </c>
    </row>
    <row r="19804" spans="1:11" x14ac:dyDescent="0.35">
      <c r="A19804" s="9" t="str">
        <f>HYPERLINK("http://www.ensembl.org/id/WBGene00000768", "WBGene00000768")</f>
        <v>WBGene00000768</v>
      </c>
      <c r="B19804" s="9" t="str">
        <f>HYPERLINK("http://www.ncbi.nlm.nih.gov/gene/176440", "176440")</f>
        <v>176440</v>
      </c>
      <c r="C19804" s="9" t="str">
        <f>HYPERLINK("http://www.ncbi.nlm.nih.gov/gene/23603", "23603")</f>
        <v>23603</v>
      </c>
      <c r="D19804" t="str">
        <f>"cor-1"</f>
        <v>cor-1</v>
      </c>
      <c r="E19804" t="s">
        <v>10535</v>
      </c>
      <c r="F19804" t="s">
        <v>11</v>
      </c>
      <c r="G19804" t="s">
        <v>54</v>
      </c>
      <c r="H19804" s="12">
        <v>1.0425894155870701</v>
      </c>
      <c r="I19804" s="20">
        <v>0.181598856787862</v>
      </c>
      <c r="J19804" s="28">
        <v>0.85589754608319402</v>
      </c>
      <c r="K19804" s="29">
        <v>0.994271565763579</v>
      </c>
    </row>
    <row r="19805" spans="1:11" x14ac:dyDescent="0.35">
      <c r="A19805" s="9" t="str">
        <f>HYPERLINK("http://www.ensembl.org/id/WBGene00011915", "WBGene00011915")</f>
        <v>WBGene00011915</v>
      </c>
      <c r="B19805" s="9" t="str">
        <f>HYPERLINK("http://www.ncbi.nlm.nih.gov/gene/188728", "188728")</f>
        <v>188728</v>
      </c>
      <c r="C19805" s="9"/>
      <c r="D19805" t="str">
        <f>"ctf-8"</f>
        <v>ctf-8</v>
      </c>
      <c r="E19805" t="s">
        <v>2303</v>
      </c>
      <c r="F19805" t="s">
        <v>11</v>
      </c>
      <c r="G19805" t="s">
        <v>10655</v>
      </c>
      <c r="H19805" s="12">
        <v>-1.0535734599670901</v>
      </c>
      <c r="I19805" s="20">
        <v>-0.18692813657901999</v>
      </c>
      <c r="J19805" s="28">
        <v>0.85171697821274495</v>
      </c>
      <c r="K19805" s="29">
        <v>0.994271565763579</v>
      </c>
    </row>
    <row r="19806" spans="1:11" x14ac:dyDescent="0.35">
      <c r="A19806" s="9" t="str">
        <f>HYPERLINK("http://www.ensembl.org/id/WBGene00000835", "WBGene00000835")</f>
        <v>WBGene00000835</v>
      </c>
      <c r="B19806" s="9" t="str">
        <f>HYPERLINK("http://www.ncbi.nlm.nih.gov/gene/176102", "176102")</f>
        <v>176102</v>
      </c>
      <c r="C19806" s="9"/>
      <c r="D19806" t="str">
        <f>"cuc-1"</f>
        <v>cuc-1</v>
      </c>
      <c r="E19806" t="s">
        <v>10636</v>
      </c>
      <c r="F19806" t="s">
        <v>11</v>
      </c>
      <c r="G19806" t="s">
        <v>10637</v>
      </c>
      <c r="H19806" s="12">
        <v>-1.03905197098708</v>
      </c>
      <c r="I19806" s="20">
        <v>-0.18885788672822501</v>
      </c>
      <c r="J19806" s="28">
        <v>0.85020420104744299</v>
      </c>
      <c r="K19806" s="29">
        <v>0.994271565763579</v>
      </c>
    </row>
    <row r="19807" spans="1:11" x14ac:dyDescent="0.35">
      <c r="A19807" s="9" t="str">
        <f>HYPERLINK("http://www.ensembl.org/id/WBGene00011673", "WBGene00011673")</f>
        <v>WBGene00011673</v>
      </c>
      <c r="B19807" s="9" t="str">
        <f>HYPERLINK("http://www.ncbi.nlm.nih.gov/gene/188357", "188357")</f>
        <v>188357</v>
      </c>
      <c r="C19807" s="9" t="str">
        <f>HYPERLINK("http://www.ncbi.nlm.nih.gov/gene/100861540", "100861540")</f>
        <v>100861540</v>
      </c>
      <c r="D19807" t="str">
        <f>"cyp-13A6"</f>
        <v>cyp-13A6</v>
      </c>
      <c r="E19807" t="s">
        <v>10663</v>
      </c>
      <c r="F19807" t="s">
        <v>11</v>
      </c>
      <c r="G19807" t="s">
        <v>185</v>
      </c>
      <c r="H19807" s="12">
        <v>-1.1375229378195699</v>
      </c>
      <c r="I19807" s="20">
        <v>-0.18118077996025</v>
      </c>
      <c r="J19807" s="28">
        <v>0.85622568029957102</v>
      </c>
      <c r="K19807" s="29">
        <v>0.994271565763579</v>
      </c>
    </row>
    <row r="19808" spans="1:11" x14ac:dyDescent="0.35">
      <c r="A19808" s="9" t="str">
        <f>HYPERLINK("http://www.ensembl.org/id/WBGene00010606", "WBGene00010606")</f>
        <v>WBGene00010606</v>
      </c>
      <c r="B19808" s="9" t="str">
        <f>HYPERLINK("http://www.ncbi.nlm.nih.gov/gene/187068", "187068")</f>
        <v>187068</v>
      </c>
      <c r="C19808" s="9" t="str">
        <f>HYPERLINK("http://www.ncbi.nlm.nih.gov/gene/100861540", "100861540")</f>
        <v>100861540</v>
      </c>
      <c r="D19808" t="str">
        <f>"cyp-13B2"</f>
        <v>cyp-13B2</v>
      </c>
      <c r="E19808" t="s">
        <v>176</v>
      </c>
      <c r="F19808" t="s">
        <v>11</v>
      </c>
      <c r="G19808" t="s">
        <v>1626</v>
      </c>
      <c r="H19808" s="12">
        <v>-1.0748105463411901</v>
      </c>
      <c r="I19808" s="20">
        <v>-0.18082690879989199</v>
      </c>
      <c r="J19808" s="28">
        <v>0.85650344110732402</v>
      </c>
      <c r="K19808" s="29">
        <v>0.994271565763579</v>
      </c>
    </row>
    <row r="19809" spans="1:11" x14ac:dyDescent="0.35">
      <c r="A19809" s="9" t="str">
        <f>HYPERLINK("http://www.ensembl.org/id/WBGene00045406", "WBGene00045406")</f>
        <v>WBGene00045406</v>
      </c>
      <c r="B19809" s="9" t="str">
        <f>HYPERLINK("http://www.ncbi.nlm.nih.gov/gene/6418713", "6418713")</f>
        <v>6418713</v>
      </c>
      <c r="C19809" s="9"/>
      <c r="D19809" t="str">
        <f>"D1086.19"</f>
        <v>D1086.19</v>
      </c>
      <c r="F19809" t="s">
        <v>11</v>
      </c>
      <c r="H19809" s="12">
        <v>1.1218925693189301</v>
      </c>
      <c r="I19809" s="20">
        <v>0.17130788695520699</v>
      </c>
      <c r="J19809" s="28">
        <v>0.86398167924184699</v>
      </c>
      <c r="K19809" s="29">
        <v>0.994271565763579</v>
      </c>
    </row>
    <row r="19810" spans="1:11" x14ac:dyDescent="0.35">
      <c r="A19810" s="9" t="str">
        <f>HYPERLINK("http://www.ensembl.org/id/WBGene00000938", "WBGene00000938")</f>
        <v>WBGene00000938</v>
      </c>
      <c r="B19810" s="9" t="str">
        <f>HYPERLINK("http://www.ncbi.nlm.nih.gov/gene/172507", "172507")</f>
        <v>172507</v>
      </c>
      <c r="C19810" s="9"/>
      <c r="D19810" t="str">
        <f>"dcp-66"</f>
        <v>dcp-66</v>
      </c>
      <c r="E19810" t="s">
        <v>10560</v>
      </c>
      <c r="F19810" t="s">
        <v>11</v>
      </c>
      <c r="G19810" t="s">
        <v>10561</v>
      </c>
      <c r="H19810" s="12">
        <v>1.0352556574888301</v>
      </c>
      <c r="I19810" s="20">
        <v>0.18827187152191699</v>
      </c>
      <c r="J19810" s="28">
        <v>0.85066353431298003</v>
      </c>
      <c r="K19810" s="29">
        <v>0.994271565763579</v>
      </c>
    </row>
    <row r="19811" spans="1:11" x14ac:dyDescent="0.35">
      <c r="A19811" s="9" t="str">
        <f>HYPERLINK("http://www.ensembl.org/id/WBGene00013794", "WBGene00013794")</f>
        <v>WBGene00013794</v>
      </c>
      <c r="B19811" s="9" t="str">
        <f>HYPERLINK("http://www.ncbi.nlm.nih.gov/gene/178476", "178476")</f>
        <v>178476</v>
      </c>
      <c r="C19811" s="9"/>
      <c r="D19811" t="str">
        <f>"dct-13"</f>
        <v>dct-13</v>
      </c>
      <c r="E19811" t="s">
        <v>1725</v>
      </c>
      <c r="F19811" t="s">
        <v>11</v>
      </c>
      <c r="G19811" t="s">
        <v>4675</v>
      </c>
      <c r="H19811" s="12">
        <v>1.1000912859954699</v>
      </c>
      <c r="I19811" s="20">
        <v>0.17537214219184699</v>
      </c>
      <c r="J19811" s="28">
        <v>0.86078722865722601</v>
      </c>
      <c r="K19811" s="29">
        <v>0.994271565763579</v>
      </c>
    </row>
    <row r="19812" spans="1:11" x14ac:dyDescent="0.35">
      <c r="A19812" s="9" t="str">
        <f>HYPERLINK("http://www.ensembl.org/id/WBGene00021006", "WBGene00021006")</f>
        <v>WBGene00021006</v>
      </c>
      <c r="B19812" s="9" t="str">
        <f>HYPERLINK("http://www.ncbi.nlm.nih.gov/gene/171779", "171779")</f>
        <v>171779</v>
      </c>
      <c r="C19812" s="9"/>
      <c r="D19812" t="str">
        <f>"dct-9"</f>
        <v>dct-9</v>
      </c>
      <c r="E19812" t="s">
        <v>899</v>
      </c>
      <c r="F19812" t="s">
        <v>11</v>
      </c>
      <c r="G19812" t="s">
        <v>3403</v>
      </c>
      <c r="H19812" s="12">
        <v>-1.2526980315410701</v>
      </c>
      <c r="I19812" s="20">
        <v>-0.18439305537512099</v>
      </c>
      <c r="J19812" s="28">
        <v>0.85370511742086197</v>
      </c>
      <c r="K19812" s="29">
        <v>0.994271565763579</v>
      </c>
    </row>
    <row r="19813" spans="1:11" x14ac:dyDescent="0.35">
      <c r="A19813" s="9" t="str">
        <f>HYPERLINK("http://www.ensembl.org/id/WBGene00012177", "WBGene00012177")</f>
        <v>WBGene00012177</v>
      </c>
      <c r="B19813" s="9" t="str">
        <f>HYPERLINK("http://www.ncbi.nlm.nih.gov/gene/189090", "189090")</f>
        <v>189090</v>
      </c>
      <c r="C19813" s="9"/>
      <c r="D19813" t="str">
        <f>"decr-1.2"</f>
        <v>decr-1.2</v>
      </c>
      <c r="E19813" t="s">
        <v>10667</v>
      </c>
      <c r="F19813" t="s">
        <v>11</v>
      </c>
      <c r="G19813" t="s">
        <v>336</v>
      </c>
      <c r="H19813" s="12">
        <v>-1.2200645911713399</v>
      </c>
      <c r="I19813" s="20">
        <v>-0.19233121450201501</v>
      </c>
      <c r="J19813" s="28">
        <v>0.84748276916651399</v>
      </c>
      <c r="K19813" s="29">
        <v>0.994271565763579</v>
      </c>
    </row>
    <row r="19814" spans="1:11" x14ac:dyDescent="0.35">
      <c r="A19814" s="9" t="str">
        <f>HYPERLINK("http://www.ensembl.org/id/WBGene00000952", "WBGene00000952")</f>
        <v>WBGene00000952</v>
      </c>
      <c r="B19814" s="9" t="str">
        <f>HYPERLINK("http://www.ncbi.nlm.nih.gov/gene/181534", "181534")</f>
        <v>181534</v>
      </c>
      <c r="C19814" s="9" t="str">
        <f>HYPERLINK("http://www.ncbi.nlm.nih.gov/gene/6340", "6340")</f>
        <v>6340</v>
      </c>
      <c r="D19814" t="str">
        <f>"del-1"</f>
        <v>del-1</v>
      </c>
      <c r="E19814" t="s">
        <v>10517</v>
      </c>
      <c r="F19814" t="s">
        <v>11</v>
      </c>
      <c r="G19814" t="s">
        <v>10518</v>
      </c>
      <c r="H19814" s="12">
        <v>1.0664052640438899</v>
      </c>
      <c r="I19814" s="20">
        <v>0.18023904801960899</v>
      </c>
      <c r="J19814" s="28">
        <v>0.85696490449012397</v>
      </c>
      <c r="K19814" s="29">
        <v>0.994271565763579</v>
      </c>
    </row>
    <row r="19815" spans="1:11" x14ac:dyDescent="0.35">
      <c r="A19815" s="9" t="str">
        <f>HYPERLINK("http://www.ensembl.org/id/WBGene00000959", "WBGene00000959")</f>
        <v>WBGene00000959</v>
      </c>
      <c r="B19815" s="9" t="str">
        <f>HYPERLINK("http://www.ncbi.nlm.nih.gov/gene/180720", "180720")</f>
        <v>180720</v>
      </c>
      <c r="C19815" s="9" t="str">
        <f>HYPERLINK("http://www.ncbi.nlm.nih.gov/gene/8526", "8526")</f>
        <v>8526</v>
      </c>
      <c r="D19815" t="str">
        <f>"dgk-2"</f>
        <v>dgk-2</v>
      </c>
      <c r="E19815" t="s">
        <v>1880</v>
      </c>
      <c r="F19815" t="s">
        <v>11</v>
      </c>
      <c r="G19815" t="s">
        <v>10572</v>
      </c>
      <c r="H19815" s="12">
        <v>1.0337482729505101</v>
      </c>
      <c r="I19815" s="20">
        <v>0.179403115240509</v>
      </c>
      <c r="J19815" s="28">
        <v>0.85762118546365795</v>
      </c>
      <c r="K19815" s="29">
        <v>0.994271565763579</v>
      </c>
    </row>
    <row r="19816" spans="1:11" x14ac:dyDescent="0.35">
      <c r="A19816" s="9" t="str">
        <f>HYPERLINK("http://www.ensembl.org/id/WBGene00000981", "WBGene00000981")</f>
        <v>WBGene00000981</v>
      </c>
      <c r="B19816" s="9" t="str">
        <f>HYPERLINK("http://www.ncbi.nlm.nih.gov/gene/179529", "179529")</f>
        <v>179529</v>
      </c>
      <c r="C19816" s="9" t="str">
        <f>HYPERLINK("http://www.ncbi.nlm.nih.gov/gene/84263", "84263")</f>
        <v>84263</v>
      </c>
      <c r="D19816" t="str">
        <f>"dhs-18"</f>
        <v>dhs-18</v>
      </c>
      <c r="E19816" t="s">
        <v>488</v>
      </c>
      <c r="F19816" t="s">
        <v>11</v>
      </c>
      <c r="G19816" t="s">
        <v>10573</v>
      </c>
      <c r="H19816" s="12">
        <v>1.0336818105019601</v>
      </c>
      <c r="I19816" s="20">
        <v>0.16940054370642099</v>
      </c>
      <c r="J19816" s="28">
        <v>0.86548159587006201</v>
      </c>
      <c r="K19816" s="29">
        <v>0.994271565763579</v>
      </c>
    </row>
    <row r="19817" spans="1:11" x14ac:dyDescent="0.35">
      <c r="A19817" s="9" t="str">
        <f>HYPERLINK("http://www.ensembl.org/id/WBGene00000968", "WBGene00000968")</f>
        <v>WBGene00000968</v>
      </c>
      <c r="B19817" s="9" t="str">
        <f>HYPERLINK("http://www.ncbi.nlm.nih.gov/gene/172810", "172810")</f>
        <v>172810</v>
      </c>
      <c r="C19817" s="9"/>
      <c r="D19817" t="str">
        <f>"dhs-4"</f>
        <v>dhs-4</v>
      </c>
      <c r="E19817" t="s">
        <v>488</v>
      </c>
      <c r="F19817" t="s">
        <v>11</v>
      </c>
      <c r="G19817" t="s">
        <v>10520</v>
      </c>
      <c r="H19817" s="12">
        <v>1.0621872738512499</v>
      </c>
      <c r="I19817" s="20">
        <v>0.17741364089551001</v>
      </c>
      <c r="J19817" s="28">
        <v>0.85918349339105504</v>
      </c>
      <c r="K19817" s="29">
        <v>0.994271565763579</v>
      </c>
    </row>
    <row r="19818" spans="1:11" x14ac:dyDescent="0.35">
      <c r="A19818" s="9" t="str">
        <f>HYPERLINK("http://www.ensembl.org/id/WBGene00001057", "WBGene00001057")</f>
        <v>WBGene00001057</v>
      </c>
      <c r="B19818" s="9" t="str">
        <f>HYPERLINK("http://www.ncbi.nlm.nih.gov/gene/175821", "175821")</f>
        <v>175821</v>
      </c>
      <c r="C19818" s="9"/>
      <c r="D19818" t="str">
        <f>"dpf-4"</f>
        <v>dpf-4</v>
      </c>
      <c r="E19818" t="s">
        <v>2168</v>
      </c>
      <c r="F19818" t="s">
        <v>11</v>
      </c>
      <c r="G19818" t="s">
        <v>10596</v>
      </c>
      <c r="H19818" s="12">
        <v>-1.03352187174873</v>
      </c>
      <c r="I19818" s="20">
        <v>-0.16597510887838099</v>
      </c>
      <c r="J19818" s="28">
        <v>0.86817653869636702</v>
      </c>
      <c r="K19818" s="29">
        <v>0.994271565763579</v>
      </c>
    </row>
    <row r="19819" spans="1:11" x14ac:dyDescent="0.35">
      <c r="A19819" s="9" t="str">
        <f>HYPERLINK("http://www.ensembl.org/id/WBGene00001107", "WBGene00001107")</f>
        <v>WBGene00001107</v>
      </c>
      <c r="B19819" s="9" t="str">
        <f>HYPERLINK("http://www.ncbi.nlm.nih.gov/gene/186492", "186492")</f>
        <v>186492</v>
      </c>
      <c r="C19819" s="9"/>
      <c r="D19819" t="str">
        <f>"dsl-5"</f>
        <v>dsl-5</v>
      </c>
      <c r="E19819" t="s">
        <v>3247</v>
      </c>
      <c r="F19819" t="s">
        <v>11</v>
      </c>
      <c r="G19819" t="s">
        <v>3248</v>
      </c>
      <c r="H19819" s="12">
        <v>-1.6382152448093801</v>
      </c>
      <c r="I19819" s="20">
        <v>-0.18792403729490401</v>
      </c>
      <c r="J19819" s="28">
        <v>0.85093619939312704</v>
      </c>
      <c r="K19819" s="29">
        <v>0.994271565763579</v>
      </c>
    </row>
    <row r="19820" spans="1:11" x14ac:dyDescent="0.35">
      <c r="A19820" s="9" t="str">
        <f>HYPERLINK("http://www.ensembl.org/id/WBGene00200441", "WBGene00200441")</f>
        <v>WBGene00200441</v>
      </c>
      <c r="B19820" s="9"/>
      <c r="C19820" s="9"/>
      <c r="D19820" t="str">
        <f>"DY3.10"</f>
        <v>DY3.10</v>
      </c>
      <c r="F19820" t="s">
        <v>481</v>
      </c>
      <c r="H19820" s="12">
        <v>-1.8016822568770801</v>
      </c>
      <c r="I19820" s="20">
        <v>-0.175677875261118</v>
      </c>
      <c r="J19820" s="28">
        <v>0.86054701793969501</v>
      </c>
      <c r="K19820" s="29">
        <v>0.994271565763579</v>
      </c>
    </row>
    <row r="19821" spans="1:11" x14ac:dyDescent="0.35">
      <c r="A19821" s="9" t="str">
        <f>HYPERLINK("http://www.ensembl.org/id/WBGene00017098", "WBGene00017098")</f>
        <v>WBGene00017098</v>
      </c>
      <c r="B19821" s="9" t="str">
        <f>HYPERLINK("http://www.ncbi.nlm.nih.gov/gene/172405", "172405")</f>
        <v>172405</v>
      </c>
      <c r="C19821" s="9"/>
      <c r="D19821" t="str">
        <f>"E02D9.1"</f>
        <v>E02D9.1</v>
      </c>
      <c r="F19821" t="s">
        <v>11</v>
      </c>
      <c r="G19821" t="s">
        <v>10648</v>
      </c>
      <c r="H19821" s="12">
        <v>-1.04341508419153</v>
      </c>
      <c r="I19821" s="20">
        <v>-0.18670163403794199</v>
      </c>
      <c r="J19821" s="28">
        <v>0.851894574852194</v>
      </c>
      <c r="K19821" s="29">
        <v>0.994271565763579</v>
      </c>
    </row>
    <row r="19822" spans="1:11" x14ac:dyDescent="0.35">
      <c r="A19822" s="9" t="str">
        <f>HYPERLINK("http://www.ensembl.org/id/WBGene00017149", "WBGene00017149")</f>
        <v>WBGene00017149</v>
      </c>
      <c r="B19822" s="9" t="str">
        <f>HYPERLINK("http://www.ncbi.nlm.nih.gov/gene/184049", "184049")</f>
        <v>184049</v>
      </c>
      <c r="C19822" s="9"/>
      <c r="D19822" t="str">
        <f>"EGAP4.1"</f>
        <v>EGAP4.1</v>
      </c>
      <c r="F19822" t="s">
        <v>11</v>
      </c>
      <c r="G19822" t="s">
        <v>27</v>
      </c>
      <c r="H19822" s="12">
        <v>1.1055939878564001</v>
      </c>
      <c r="I19822" s="20">
        <v>0.17401699941857299</v>
      </c>
      <c r="J19822" s="28">
        <v>0.86185210245580202</v>
      </c>
      <c r="K19822" s="29">
        <v>0.994271565763579</v>
      </c>
    </row>
    <row r="19823" spans="1:11" x14ac:dyDescent="0.35">
      <c r="A19823" s="9" t="str">
        <f>HYPERLINK("http://www.ensembl.org/id/WBGene00001177", "WBGene00001177")</f>
        <v>WBGene00001177</v>
      </c>
      <c r="B19823" s="9" t="str">
        <f>HYPERLINK("http://www.ncbi.nlm.nih.gov/gene/178537", "178537")</f>
        <v>178537</v>
      </c>
      <c r="C19823" s="9" t="str">
        <f>HYPERLINK("http://www.ncbi.nlm.nih.gov/gene/5332", "5332")</f>
        <v>5332</v>
      </c>
      <c r="D19823" t="str">
        <f>"egl-8"</f>
        <v>egl-8</v>
      </c>
      <c r="E19823" t="s">
        <v>10578</v>
      </c>
      <c r="F19823" t="s">
        <v>11</v>
      </c>
      <c r="G19823" t="s">
        <v>10579</v>
      </c>
      <c r="H19823" s="12">
        <v>1.0313743923187899</v>
      </c>
      <c r="I19823" s="20">
        <v>0.169169297137648</v>
      </c>
      <c r="J19823" s="28">
        <v>0.865663479028005</v>
      </c>
      <c r="K19823" s="29">
        <v>0.994271565763579</v>
      </c>
    </row>
    <row r="19824" spans="1:11" x14ac:dyDescent="0.35">
      <c r="A19824" s="9" t="str">
        <f>HYPERLINK("http://www.ensembl.org/id/WBGene00010510", "WBGene00010510")</f>
        <v>WBGene00010510</v>
      </c>
      <c r="B19824" s="9" t="str">
        <f>HYPERLINK("http://www.ncbi.nlm.nih.gov/gene/179926", "179926")</f>
        <v>179926</v>
      </c>
      <c r="C19824" s="9"/>
      <c r="D19824" t="str">
        <f>"ent-3"</f>
        <v>ent-3</v>
      </c>
      <c r="E19824" t="s">
        <v>381</v>
      </c>
      <c r="F19824" t="s">
        <v>11</v>
      </c>
      <c r="G19824" t="s">
        <v>382</v>
      </c>
      <c r="H19824" s="12">
        <v>-1.2465198596159699</v>
      </c>
      <c r="I19824" s="20">
        <v>-0.16614741485679299</v>
      </c>
      <c r="J19824" s="28">
        <v>0.86804094100969498</v>
      </c>
      <c r="K19824" s="29">
        <v>0.994271565763579</v>
      </c>
    </row>
    <row r="19825" spans="1:11" x14ac:dyDescent="0.35">
      <c r="A19825" s="9" t="str">
        <f>HYPERLINK("http://www.ensembl.org/id/WBGene00001331", "WBGene00001331")</f>
        <v>WBGene00001331</v>
      </c>
      <c r="B19825" s="9" t="str">
        <f>HYPERLINK("http://www.ncbi.nlm.nih.gov/gene/181228", "181228")</f>
        <v>181228</v>
      </c>
      <c r="C19825" s="9" t="str">
        <f>HYPERLINK("http://www.ncbi.nlm.nih.gov/gene/11014", "11014")</f>
        <v>11014</v>
      </c>
      <c r="D19825" t="str">
        <f>"erd-2.1"</f>
        <v>erd-2.1</v>
      </c>
      <c r="E19825" t="s">
        <v>10569</v>
      </c>
      <c r="F19825" t="s">
        <v>11</v>
      </c>
      <c r="G19825" t="s">
        <v>10570</v>
      </c>
      <c r="H19825" s="12">
        <v>1.03463107113358</v>
      </c>
      <c r="I19825" s="20">
        <v>0.18153236333714701</v>
      </c>
      <c r="J19825" s="28">
        <v>0.85594973285604503</v>
      </c>
      <c r="K19825" s="29">
        <v>0.994271565763579</v>
      </c>
    </row>
    <row r="19826" spans="1:11" x14ac:dyDescent="0.35">
      <c r="A19826" s="9" t="str">
        <f>HYPERLINK("http://www.ensembl.org/id/WBGene00008429", "WBGene00008429")</f>
        <v>WBGene00008429</v>
      </c>
      <c r="B19826" s="9" t="str">
        <f>HYPERLINK("http://www.ncbi.nlm.nih.gov/gene/174388", "174388")</f>
        <v>174388</v>
      </c>
      <c r="C19826" s="9"/>
      <c r="D19826" t="str">
        <f>"etc-1"</f>
        <v>etc-1</v>
      </c>
      <c r="E19826" t="s">
        <v>10592</v>
      </c>
      <c r="F19826" t="s">
        <v>11</v>
      </c>
      <c r="G19826" t="s">
        <v>6353</v>
      </c>
      <c r="H19826" s="12">
        <v>-1.0329636653290399</v>
      </c>
      <c r="I19826" s="20">
        <v>-0.16873533512592001</v>
      </c>
      <c r="J19826" s="28">
        <v>0.86600482385761401</v>
      </c>
      <c r="K19826" s="29">
        <v>0.994271565763579</v>
      </c>
    </row>
    <row r="19827" spans="1:11" x14ac:dyDescent="0.35">
      <c r="A19827" s="9" t="str">
        <f>HYPERLINK("http://www.ensembl.org/id/WBGene00008521", "WBGene00008521")</f>
        <v>WBGene00008521</v>
      </c>
      <c r="B19827" s="9" t="str">
        <f>HYPERLINK("http://www.ncbi.nlm.nih.gov/gene/179994", "179994")</f>
        <v>179994</v>
      </c>
      <c r="C19827" s="9" t="str">
        <f>HYPERLINK("http://www.ncbi.nlm.nih.gov/gene/1361", "1361")</f>
        <v>1361</v>
      </c>
      <c r="D19827" t="str">
        <f>"F02D8.4"</f>
        <v>F02D8.4</v>
      </c>
      <c r="F19827" t="s">
        <v>11</v>
      </c>
      <c r="G19827" t="s">
        <v>751</v>
      </c>
      <c r="H19827" s="12">
        <v>1.03140402697998</v>
      </c>
      <c r="I19827" s="20">
        <v>0.16829768694981201</v>
      </c>
      <c r="J19827" s="28">
        <v>0.86634909345682298</v>
      </c>
      <c r="K19827" s="29">
        <v>0.994271565763579</v>
      </c>
    </row>
    <row r="19828" spans="1:11" x14ac:dyDescent="0.35">
      <c r="A19828" s="9" t="str">
        <f>HYPERLINK("http://www.ensembl.org/id/WBGene00201431", "WBGene00201431")</f>
        <v>WBGene00201431</v>
      </c>
      <c r="B19828" s="9"/>
      <c r="C19828" s="9"/>
      <c r="D19828" t="str">
        <f>"F02E8.10"</f>
        <v>F02E8.10</v>
      </c>
      <c r="F19828" t="s">
        <v>481</v>
      </c>
      <c r="H19828" s="12">
        <v>1.8135090907084399</v>
      </c>
      <c r="I19828" s="20">
        <v>0.17820138943026001</v>
      </c>
      <c r="J19828" s="28">
        <v>0.85856481858144096</v>
      </c>
      <c r="K19828" s="29">
        <v>0.994271565763579</v>
      </c>
    </row>
    <row r="19829" spans="1:11" x14ac:dyDescent="0.35">
      <c r="A19829" s="9" t="str">
        <f>HYPERLINK("http://www.ensembl.org/id/WBGene00008547", "WBGene00008547")</f>
        <v>WBGene00008547</v>
      </c>
      <c r="B19829" s="9" t="str">
        <f>HYPERLINK("http://www.ncbi.nlm.nih.gov/gene/174780", "174780")</f>
        <v>174780</v>
      </c>
      <c r="C19829" s="9" t="str">
        <f>HYPERLINK("http://www.ncbi.nlm.nih.gov/gene/10869", "10869")</f>
        <v>10869</v>
      </c>
      <c r="D19829" t="str">
        <f>"F07A11.4"</f>
        <v>F07A11.4</v>
      </c>
      <c r="E19829" t="s">
        <v>2664</v>
      </c>
      <c r="F19829" t="s">
        <v>11</v>
      </c>
      <c r="G19829" t="s">
        <v>10555</v>
      </c>
      <c r="H19829" s="12">
        <v>1.0361115462347199</v>
      </c>
      <c r="I19829" s="20">
        <v>0.179686696713688</v>
      </c>
      <c r="J19829" s="28">
        <v>0.85739853793707599</v>
      </c>
      <c r="K19829" s="29">
        <v>0.994271565763579</v>
      </c>
    </row>
    <row r="19830" spans="1:11" x14ac:dyDescent="0.35">
      <c r="A19830" s="9" t="str">
        <f>HYPERLINK("http://www.ensembl.org/id/WBGene00017219", "WBGene00017219")</f>
        <v>WBGene00017219</v>
      </c>
      <c r="B19830" s="9" t="str">
        <f>HYPERLINK("http://www.ncbi.nlm.nih.gov/gene/260090", "260090")</f>
        <v>260090</v>
      </c>
      <c r="C19830" s="9"/>
      <c r="D19830" t="str">
        <f>"F07F6.7"</f>
        <v>F07F6.7</v>
      </c>
      <c r="F19830" t="s">
        <v>11</v>
      </c>
      <c r="G19830" t="s">
        <v>6361</v>
      </c>
      <c r="H19830" s="12">
        <v>-1.0768727915491101</v>
      </c>
      <c r="I19830" s="20">
        <v>-0.19003920923068901</v>
      </c>
      <c r="J19830" s="28">
        <v>0.84927840582344405</v>
      </c>
      <c r="K19830" s="29">
        <v>0.994271565763579</v>
      </c>
    </row>
    <row r="19831" spans="1:11" x14ac:dyDescent="0.35">
      <c r="A19831" s="9" t="str">
        <f>HYPERLINK("http://www.ensembl.org/id/WBGene00008563", "WBGene00008563")</f>
        <v>WBGene00008563</v>
      </c>
      <c r="B19831" s="9" t="str">
        <f>HYPERLINK("http://www.ncbi.nlm.nih.gov/gene/174406", "174406")</f>
        <v>174406</v>
      </c>
      <c r="C19831" s="9"/>
      <c r="D19831" t="str">
        <f>"F07H5.13"</f>
        <v>F07H5.13</v>
      </c>
      <c r="F19831" t="s">
        <v>11</v>
      </c>
      <c r="H19831" s="12">
        <v>-1.04149780657247</v>
      </c>
      <c r="I19831" s="20">
        <v>-0.17486659474331601</v>
      </c>
      <c r="J19831" s="28">
        <v>0.861184459324977</v>
      </c>
      <c r="K19831" s="29">
        <v>0.994271565763579</v>
      </c>
    </row>
    <row r="19832" spans="1:11" x14ac:dyDescent="0.35">
      <c r="A19832" s="9" t="str">
        <f>HYPERLINK("http://www.ensembl.org/id/WBGene00008582", "WBGene00008582")</f>
        <v>WBGene00008582</v>
      </c>
      <c r="B19832" s="9" t="str">
        <f>HYPERLINK("http://www.ncbi.nlm.nih.gov/gene/184204", "184204")</f>
        <v>184204</v>
      </c>
      <c r="C19832" s="9"/>
      <c r="D19832" t="str">
        <f>"F08G5.3"</f>
        <v>F08G5.3</v>
      </c>
      <c r="F19832" t="s">
        <v>11</v>
      </c>
      <c r="H19832" s="12">
        <v>1.03541646431845</v>
      </c>
      <c r="I19832" s="20">
        <v>0.16860600432839501</v>
      </c>
      <c r="J19832" s="28">
        <v>0.86610655741298304</v>
      </c>
      <c r="K19832" s="29">
        <v>0.994271565763579</v>
      </c>
    </row>
    <row r="19833" spans="1:11" x14ac:dyDescent="0.35">
      <c r="A19833" s="9" t="str">
        <f>HYPERLINK("http://www.ensembl.org/id/WBGene00044296", "WBGene00044296")</f>
        <v>WBGene00044296</v>
      </c>
      <c r="B19833" s="9" t="str">
        <f>HYPERLINK("http://www.ncbi.nlm.nih.gov/gene/3565708", "3565708")</f>
        <v>3565708</v>
      </c>
      <c r="C19833" s="9"/>
      <c r="D19833" t="str">
        <f>"F10C1.9"</f>
        <v>F10C1.9</v>
      </c>
      <c r="F19833" t="s">
        <v>11</v>
      </c>
      <c r="H19833" s="12">
        <v>-1.0378119265382999</v>
      </c>
      <c r="I19833" s="20">
        <v>-0.17385892418343499</v>
      </c>
      <c r="J19833" s="28">
        <v>0.86197633467261903</v>
      </c>
      <c r="K19833" s="29">
        <v>0.994271565763579</v>
      </c>
    </row>
    <row r="19834" spans="1:11" x14ac:dyDescent="0.35">
      <c r="A19834" s="9" t="str">
        <f>HYPERLINK("http://www.ensembl.org/id/WBGene00008649", "WBGene00008649")</f>
        <v>WBGene00008649</v>
      </c>
      <c r="B19834" s="9" t="str">
        <f>HYPERLINK("http://www.ncbi.nlm.nih.gov/gene/184298", "184298")</f>
        <v>184298</v>
      </c>
      <c r="C19834" s="9"/>
      <c r="D19834" t="str">
        <f>"F10D11.3"</f>
        <v>F10D11.3</v>
      </c>
      <c r="F19834" t="s">
        <v>11</v>
      </c>
      <c r="H19834" s="12">
        <v>1.5968674029618</v>
      </c>
      <c r="I19834" s="20">
        <v>0.18499299348839199</v>
      </c>
      <c r="J19834" s="28">
        <v>0.85323453111263303</v>
      </c>
      <c r="K19834" s="29">
        <v>0.994271565763579</v>
      </c>
    </row>
    <row r="19835" spans="1:11" x14ac:dyDescent="0.35">
      <c r="A19835" s="9" t="str">
        <f>HYPERLINK("http://www.ensembl.org/id/WBGene00045145", "WBGene00045145")</f>
        <v>WBGene00045145</v>
      </c>
      <c r="B19835" s="9"/>
      <c r="C19835" s="9"/>
      <c r="D19835" t="str">
        <f>"F10D2.13"</f>
        <v>F10D2.13</v>
      </c>
      <c r="F19835" t="s">
        <v>4205</v>
      </c>
      <c r="H19835" s="12">
        <v>1.75352385646303</v>
      </c>
      <c r="I19835" s="20">
        <v>0.16737746853691299</v>
      </c>
      <c r="J19835" s="28">
        <v>0.86707305258210998</v>
      </c>
      <c r="K19835" s="29">
        <v>0.994271565763579</v>
      </c>
    </row>
    <row r="19836" spans="1:11" x14ac:dyDescent="0.35">
      <c r="A19836" s="9" t="str">
        <f>HYPERLINK("http://www.ensembl.org/id/WBGene00197964", "WBGene00197964")</f>
        <v>WBGene00197964</v>
      </c>
      <c r="B19836" s="9"/>
      <c r="C19836" s="9"/>
      <c r="D19836" t="str">
        <f>"F10E9.15"</f>
        <v>F10E9.15</v>
      </c>
      <c r="F19836" t="s">
        <v>481</v>
      </c>
      <c r="H19836" s="12">
        <v>1.75352385646303</v>
      </c>
      <c r="I19836" s="20">
        <v>0.16737746853691299</v>
      </c>
      <c r="J19836" s="28">
        <v>0.86707305258210998</v>
      </c>
      <c r="K19836" s="29">
        <v>0.994271565763579</v>
      </c>
    </row>
    <row r="19837" spans="1:11" x14ac:dyDescent="0.35">
      <c r="A19837" s="9" t="str">
        <f>HYPERLINK("http://www.ensembl.org/id/WBGene00008679", "WBGene00008679")</f>
        <v>WBGene00008679</v>
      </c>
      <c r="B19837" s="9" t="str">
        <f>HYPERLINK("http://www.ncbi.nlm.nih.gov/gene/260097", "260097")</f>
        <v>260097</v>
      </c>
      <c r="C19837" s="9"/>
      <c r="D19837" t="str">
        <f>"F11A5.13"</f>
        <v>F11A5.13</v>
      </c>
      <c r="F19837" t="s">
        <v>11</v>
      </c>
      <c r="G19837" t="s">
        <v>25</v>
      </c>
      <c r="H19837" s="12">
        <v>1.75352385646303</v>
      </c>
      <c r="I19837" s="20">
        <v>0.16737746853691299</v>
      </c>
      <c r="J19837" s="28">
        <v>0.86707305258210998</v>
      </c>
      <c r="K19837" s="29">
        <v>0.994271565763579</v>
      </c>
    </row>
    <row r="19838" spans="1:11" x14ac:dyDescent="0.35">
      <c r="A19838" s="9" t="str">
        <f>HYPERLINK("http://www.ensembl.org/id/WBGene00044184", "WBGene00044184")</f>
        <v>WBGene00044184</v>
      </c>
      <c r="B19838" s="9" t="str">
        <f>HYPERLINK("http://www.ncbi.nlm.nih.gov/gene/3565308", "3565308")</f>
        <v>3565308</v>
      </c>
      <c r="C19838" s="9"/>
      <c r="D19838" t="str">
        <f>"F11A5.16"</f>
        <v>F11A5.16</v>
      </c>
      <c r="F19838" t="s">
        <v>11</v>
      </c>
      <c r="H19838" s="12">
        <v>-1.8395086315795599</v>
      </c>
      <c r="I19838" s="20">
        <v>-0.18246327208405799</v>
      </c>
      <c r="J19838" s="28">
        <v>0.85521917511891998</v>
      </c>
      <c r="K19838" s="29">
        <v>0.994271565763579</v>
      </c>
    </row>
    <row r="19839" spans="1:11" x14ac:dyDescent="0.35">
      <c r="A19839" s="9" t="str">
        <f>HYPERLINK("http://www.ensembl.org/id/WBGene00008695", "WBGene00008695")</f>
        <v>WBGene00008695</v>
      </c>
      <c r="B19839" s="9" t="str">
        <f>HYPERLINK("http://www.ncbi.nlm.nih.gov/gene/184343", "184343")</f>
        <v>184343</v>
      </c>
      <c r="C19839" s="9"/>
      <c r="D19839" t="str">
        <f>"F11C3.1"</f>
        <v>F11C3.1</v>
      </c>
      <c r="E19839" t="s">
        <v>4233</v>
      </c>
      <c r="F19839" t="s">
        <v>11</v>
      </c>
      <c r="G19839" t="s">
        <v>8865</v>
      </c>
      <c r="H19839" s="12">
        <v>1.07973529157585</v>
      </c>
      <c r="I19839" s="20">
        <v>0.17045777111791899</v>
      </c>
      <c r="J19839" s="28">
        <v>0.86465014205443502</v>
      </c>
      <c r="K19839" s="29">
        <v>0.994271565763579</v>
      </c>
    </row>
    <row r="19840" spans="1:11" x14ac:dyDescent="0.35">
      <c r="A19840" s="9" t="str">
        <f>HYPERLINK("http://www.ensembl.org/id/WBGene00202345", "WBGene00202345")</f>
        <v>WBGene00202345</v>
      </c>
      <c r="B19840" s="9"/>
      <c r="C19840" s="9"/>
      <c r="D19840" t="str">
        <f>"F11D5.33"</f>
        <v>F11D5.33</v>
      </c>
      <c r="F19840" t="s">
        <v>481</v>
      </c>
      <c r="H19840" s="12">
        <v>1.75352385646303</v>
      </c>
      <c r="I19840" s="20">
        <v>0.16737746853691299</v>
      </c>
      <c r="J19840" s="28">
        <v>0.86707305258210998</v>
      </c>
      <c r="K19840" s="29">
        <v>0.994271565763579</v>
      </c>
    </row>
    <row r="19841" spans="1:11" x14ac:dyDescent="0.35">
      <c r="A19841" s="9" t="str">
        <f>HYPERLINK("http://www.ensembl.org/id/WBGene00219891", "WBGene00219891")</f>
        <v>WBGene00219891</v>
      </c>
      <c r="B19841" s="9"/>
      <c r="C19841" s="9"/>
      <c r="D19841" t="str">
        <f>"F12F6.20"</f>
        <v>F12F6.20</v>
      </c>
      <c r="F19841" t="s">
        <v>481</v>
      </c>
      <c r="H19841" s="12">
        <v>1.8135090907084399</v>
      </c>
      <c r="I19841" s="20">
        <v>0.17820138943026001</v>
      </c>
      <c r="J19841" s="28">
        <v>0.85856481858144096</v>
      </c>
      <c r="K19841" s="29">
        <v>0.994271565763579</v>
      </c>
    </row>
    <row r="19842" spans="1:11" x14ac:dyDescent="0.35">
      <c r="A19842" s="9" t="str">
        <f>HYPERLINK("http://www.ensembl.org/id/WBGene00017414", "WBGene00017414")</f>
        <v>WBGene00017414</v>
      </c>
      <c r="B19842" s="9" t="str">
        <f>HYPERLINK("http://www.ncbi.nlm.nih.gov/gene/184396", "184396")</f>
        <v>184396</v>
      </c>
      <c r="C19842" s="9"/>
      <c r="D19842" t="str">
        <f>"F13A2.5"</f>
        <v>F13A2.5</v>
      </c>
      <c r="F19842" t="s">
        <v>11</v>
      </c>
      <c r="H19842" s="12">
        <v>-1.8016822568770801</v>
      </c>
      <c r="I19842" s="20">
        <v>-0.175677875261118</v>
      </c>
      <c r="J19842" s="28">
        <v>0.86054701793969501</v>
      </c>
      <c r="K19842" s="29">
        <v>0.994271565763579</v>
      </c>
    </row>
    <row r="19843" spans="1:11" x14ac:dyDescent="0.35">
      <c r="A19843" s="9" t="str">
        <f>HYPERLINK("http://www.ensembl.org/id/WBGene00008725", "WBGene00008725")</f>
        <v>WBGene00008725</v>
      </c>
      <c r="B19843" s="9" t="str">
        <f>HYPERLINK("http://www.ncbi.nlm.nih.gov/gene/184403", "184403")</f>
        <v>184403</v>
      </c>
      <c r="C19843" s="9"/>
      <c r="D19843" t="str">
        <f>"F13A7.7"</f>
        <v>F13A7.7</v>
      </c>
      <c r="F19843" t="s">
        <v>11</v>
      </c>
      <c r="H19843" s="12">
        <v>1.8135090907084399</v>
      </c>
      <c r="I19843" s="20">
        <v>0.17820138943026001</v>
      </c>
      <c r="J19843" s="28">
        <v>0.85856481858144096</v>
      </c>
      <c r="K19843" s="29">
        <v>0.994271565763579</v>
      </c>
    </row>
    <row r="19844" spans="1:11" x14ac:dyDescent="0.35">
      <c r="A19844" s="9" t="str">
        <f>HYPERLINK("http://www.ensembl.org/id/WBGene00008731", "WBGene00008731")</f>
        <v>WBGene00008731</v>
      </c>
      <c r="B19844" s="9" t="str">
        <f>HYPERLINK("http://www.ncbi.nlm.nih.gov/gene/184410", "184410")</f>
        <v>184410</v>
      </c>
      <c r="C19844" s="9"/>
      <c r="D19844" t="str">
        <f>"F13B12.3"</f>
        <v>F13B12.3</v>
      </c>
      <c r="F19844" t="s">
        <v>11</v>
      </c>
      <c r="G19844" t="s">
        <v>4506</v>
      </c>
      <c r="H19844" s="12">
        <v>1.08777592286264</v>
      </c>
      <c r="I19844" s="20">
        <v>0.189352620422962</v>
      </c>
      <c r="J19844" s="28">
        <v>0.849816456063201</v>
      </c>
      <c r="K19844" s="29">
        <v>0.994271565763579</v>
      </c>
    </row>
    <row r="19845" spans="1:11" x14ac:dyDescent="0.35">
      <c r="A19845" s="9" t="str">
        <f>HYPERLINK("http://www.ensembl.org/id/WBGene00017424", "WBGene00017424")</f>
        <v>WBGene00017424</v>
      </c>
      <c r="B19845" s="9" t="str">
        <f>HYPERLINK("http://www.ncbi.nlm.nih.gov/gene/184411", "184411")</f>
        <v>184411</v>
      </c>
      <c r="C19845" s="9"/>
      <c r="D19845" t="str">
        <f>"F13C5.3"</f>
        <v>F13C5.3</v>
      </c>
      <c r="F19845" t="s">
        <v>11</v>
      </c>
      <c r="H19845" s="12">
        <v>1.6118040239415801</v>
      </c>
      <c r="I19845" s="20">
        <v>0.16564692774905199</v>
      </c>
      <c r="J19845" s="28">
        <v>0.86843481441098702</v>
      </c>
      <c r="K19845" s="29">
        <v>0.994271565763579</v>
      </c>
    </row>
    <row r="19846" spans="1:11" x14ac:dyDescent="0.35">
      <c r="A19846" s="9" t="str">
        <f>HYPERLINK("http://www.ensembl.org/id/WBGene00200075", "WBGene00200075")</f>
        <v>WBGene00200075</v>
      </c>
      <c r="B19846" s="9"/>
      <c r="C19846" s="9"/>
      <c r="D19846" t="str">
        <f>"F13G11.145"</f>
        <v>F13G11.145</v>
      </c>
      <c r="F19846" t="s">
        <v>481</v>
      </c>
      <c r="H19846" s="12">
        <v>1.4010189343493</v>
      </c>
      <c r="I19846" s="20">
        <v>0.18693373695999899</v>
      </c>
      <c r="J19846" s="28">
        <v>0.85171258714821596</v>
      </c>
      <c r="K19846" s="29">
        <v>0.994271565763579</v>
      </c>
    </row>
    <row r="19847" spans="1:11" x14ac:dyDescent="0.35">
      <c r="A19847" s="9" t="str">
        <f>HYPERLINK("http://www.ensembl.org/id/WBGene00017463", "WBGene00017463")</f>
        <v>WBGene00017463</v>
      </c>
      <c r="B19847" s="9" t="str">
        <f>HYPERLINK("http://www.ncbi.nlm.nih.gov/gene/180829", "180829")</f>
        <v>180829</v>
      </c>
      <c r="C19847" s="9"/>
      <c r="D19847" t="str">
        <f>"F14D12.1"</f>
        <v>F14D12.1</v>
      </c>
      <c r="F19847" t="s">
        <v>11</v>
      </c>
      <c r="G19847" t="s">
        <v>10516</v>
      </c>
      <c r="H19847" s="12">
        <v>1.0687320339514801</v>
      </c>
      <c r="I19847" s="20">
        <v>0.181548371697245</v>
      </c>
      <c r="J19847" s="28">
        <v>0.85593716878436599</v>
      </c>
      <c r="K19847" s="29">
        <v>0.994271565763579</v>
      </c>
    </row>
    <row r="19848" spans="1:11" x14ac:dyDescent="0.35">
      <c r="A19848" s="9" t="str">
        <f>HYPERLINK("http://www.ensembl.org/id/WBGene00198002", "WBGene00198002")</f>
        <v>WBGene00198002</v>
      </c>
      <c r="B19848" s="9"/>
      <c r="C19848" s="9"/>
      <c r="D19848" t="str">
        <f>"F14F11.3"</f>
        <v>F14F11.3</v>
      </c>
      <c r="F19848" t="s">
        <v>481</v>
      </c>
      <c r="H19848" s="12">
        <v>-1.73457001584991</v>
      </c>
      <c r="I19848" s="20">
        <v>-0.165559698280943</v>
      </c>
      <c r="J19848" s="28">
        <v>0.86850346561216996</v>
      </c>
      <c r="K19848" s="29">
        <v>0.994271565763579</v>
      </c>
    </row>
    <row r="19849" spans="1:11" x14ac:dyDescent="0.35">
      <c r="A19849" s="9" t="str">
        <f>HYPERLINK("http://www.ensembl.org/id/WBGene00077535", "WBGene00077535")</f>
        <v>WBGene00077535</v>
      </c>
      <c r="B19849" s="9"/>
      <c r="C19849" s="9"/>
      <c r="D19849" t="str">
        <f>"F15H9.7"</f>
        <v>F15H9.7</v>
      </c>
      <c r="F19849" t="s">
        <v>80</v>
      </c>
      <c r="H19849" s="12">
        <v>1.5238738581061899</v>
      </c>
      <c r="I19849" s="20">
        <v>0.179255410814088</v>
      </c>
      <c r="J19849" s="28">
        <v>0.85773715671327699</v>
      </c>
      <c r="K19849" s="29">
        <v>0.994271565763579</v>
      </c>
    </row>
    <row r="19850" spans="1:11" x14ac:dyDescent="0.35">
      <c r="A19850" s="9" t="str">
        <f>HYPERLINK("http://www.ensembl.org/id/WBGene00017522", "WBGene00017522")</f>
        <v>WBGene00017522</v>
      </c>
      <c r="B19850" s="9" t="str">
        <f>HYPERLINK("http://www.ncbi.nlm.nih.gov/gene/184582", "184582")</f>
        <v>184582</v>
      </c>
      <c r="C19850" s="9"/>
      <c r="D19850" t="str">
        <f>"F16G10.7"</f>
        <v>F16G10.7</v>
      </c>
      <c r="F19850" t="s">
        <v>11</v>
      </c>
      <c r="H19850" s="12">
        <v>1.79408715352943</v>
      </c>
      <c r="I19850" s="20">
        <v>0.173550585897745</v>
      </c>
      <c r="J19850" s="28">
        <v>0.86221866928889102</v>
      </c>
      <c r="K19850" s="29">
        <v>0.994271565763579</v>
      </c>
    </row>
    <row r="19851" spans="1:11" x14ac:dyDescent="0.35">
      <c r="A19851" s="9" t="str">
        <f>HYPERLINK("http://www.ensembl.org/id/WBGene00185119", "WBGene00185119")</f>
        <v>WBGene00185119</v>
      </c>
      <c r="B19851" s="9"/>
      <c r="C19851" s="9"/>
      <c r="D19851" t="str">
        <f>"F16H6.11"</f>
        <v>F16H6.11</v>
      </c>
      <c r="F19851" t="s">
        <v>80</v>
      </c>
      <c r="H19851" s="12">
        <v>-1.2741196306578899</v>
      </c>
      <c r="I19851" s="20">
        <v>-0.19167874158123399</v>
      </c>
      <c r="J19851" s="28">
        <v>0.84799385896828905</v>
      </c>
      <c r="K19851" s="29">
        <v>0.994271565763579</v>
      </c>
    </row>
    <row r="19852" spans="1:11" x14ac:dyDescent="0.35">
      <c r="A19852" s="9" t="str">
        <f>HYPERLINK("http://www.ensembl.org/id/WBGene00219897", "WBGene00219897")</f>
        <v>WBGene00219897</v>
      </c>
      <c r="B19852" s="9"/>
      <c r="C19852" s="9"/>
      <c r="D19852" t="str">
        <f>"F16H9.6"</f>
        <v>F16H9.6</v>
      </c>
      <c r="F19852" t="s">
        <v>481</v>
      </c>
      <c r="H19852" s="12">
        <v>1.1433126384932499</v>
      </c>
      <c r="I19852" s="20">
        <v>0.176886124657162</v>
      </c>
      <c r="J19852" s="28">
        <v>0.85959783768003395</v>
      </c>
      <c r="K19852" s="29">
        <v>0.994271565763579</v>
      </c>
    </row>
    <row r="19853" spans="1:11" x14ac:dyDescent="0.35">
      <c r="A19853" s="9" t="str">
        <f>HYPERLINK("http://www.ensembl.org/id/WBGene00045151", "WBGene00045151")</f>
        <v>WBGene00045151</v>
      </c>
      <c r="B19853" s="9"/>
      <c r="C19853" s="9"/>
      <c r="D19853" t="str">
        <f>"F17C11.14"</f>
        <v>F17C11.14</v>
      </c>
      <c r="F19853" t="s">
        <v>2977</v>
      </c>
      <c r="H19853" s="12">
        <v>-1.8016822568770801</v>
      </c>
      <c r="I19853" s="20">
        <v>-0.175677875261118</v>
      </c>
      <c r="J19853" s="28">
        <v>0.86054701793969501</v>
      </c>
      <c r="K19853" s="29">
        <v>0.994271565763579</v>
      </c>
    </row>
    <row r="19854" spans="1:11" x14ac:dyDescent="0.35">
      <c r="A19854" s="9" t="str">
        <f>HYPERLINK("http://www.ensembl.org/id/WBGene00008972", "WBGene00008972")</f>
        <v>WBGene00008972</v>
      </c>
      <c r="B19854" s="9" t="str">
        <f>HYPERLINK("http://www.ncbi.nlm.nih.gov/gene/3565768", "3565768")</f>
        <v>3565768</v>
      </c>
      <c r="C19854" s="9"/>
      <c r="D19854" t="str">
        <f>"F20C5.7"</f>
        <v>F20C5.7</v>
      </c>
      <c r="F19854" t="s">
        <v>11</v>
      </c>
      <c r="G19854" t="s">
        <v>10498</v>
      </c>
      <c r="H19854" s="12">
        <v>1.70028638258434</v>
      </c>
      <c r="I19854" s="20">
        <v>0.164008432000641</v>
      </c>
      <c r="J19854" s="28">
        <v>0.86972450592177797</v>
      </c>
      <c r="K19854" s="29">
        <v>0.994271565763579</v>
      </c>
    </row>
    <row r="19855" spans="1:11" x14ac:dyDescent="0.35">
      <c r="A19855" s="9" t="str">
        <f>HYPERLINK("http://www.ensembl.org/id/WBGene00249815", "WBGene00249815")</f>
        <v>WBGene00249815</v>
      </c>
      <c r="B19855" s="9" t="str">
        <f>HYPERLINK("http://www.ncbi.nlm.nih.gov/gene/24104459", "24104459")</f>
        <v>24104459</v>
      </c>
      <c r="C19855" s="9"/>
      <c r="D19855" t="str">
        <f>"F20D12.12"</f>
        <v>F20D12.12</v>
      </c>
      <c r="F19855" t="s">
        <v>11</v>
      </c>
      <c r="H19855" s="12">
        <v>-1.05797281304854</v>
      </c>
      <c r="I19855" s="20">
        <v>-0.177508980937752</v>
      </c>
      <c r="J19855" s="28">
        <v>0.85910861148539297</v>
      </c>
      <c r="K19855" s="29">
        <v>0.994271565763579</v>
      </c>
    </row>
    <row r="19856" spans="1:11" x14ac:dyDescent="0.35">
      <c r="A19856" s="9" t="str">
        <f>HYPERLINK("http://www.ensembl.org/id/WBGene00017639", "WBGene00017639")</f>
        <v>WBGene00017639</v>
      </c>
      <c r="B19856" s="9" t="str">
        <f>HYPERLINK("http://www.ncbi.nlm.nih.gov/gene/184728", "184728")</f>
        <v>184728</v>
      </c>
      <c r="C19856" s="9"/>
      <c r="D19856" t="str">
        <f>"F20D6.10"</f>
        <v>F20D6.10</v>
      </c>
      <c r="F19856" t="s">
        <v>11</v>
      </c>
      <c r="G19856" t="s">
        <v>25</v>
      </c>
      <c r="H19856" s="12">
        <v>-1.05605452127704</v>
      </c>
      <c r="I19856" s="20">
        <v>-0.19062058266010101</v>
      </c>
      <c r="J19856" s="28">
        <v>0.84882286324656497</v>
      </c>
      <c r="K19856" s="29">
        <v>0.994271565763579</v>
      </c>
    </row>
    <row r="19857" spans="1:11" x14ac:dyDescent="0.35">
      <c r="A19857" s="9" t="str">
        <f>HYPERLINK("http://www.ensembl.org/id/WBGene00017646", "WBGene00017646")</f>
        <v>WBGene00017646</v>
      </c>
      <c r="B19857" s="9" t="str">
        <f>HYPERLINK("http://www.ncbi.nlm.nih.gov/gene/175933", "175933")</f>
        <v>175933</v>
      </c>
      <c r="C19857" s="9"/>
      <c r="D19857" t="str">
        <f>"F20H11.1"</f>
        <v>F20H11.1</v>
      </c>
      <c r="E19857" t="s">
        <v>10640</v>
      </c>
      <c r="F19857" t="s">
        <v>11</v>
      </c>
      <c r="G19857" t="s">
        <v>10641</v>
      </c>
      <c r="H19857" s="12">
        <v>-1.0394863872149001</v>
      </c>
      <c r="I19857" s="20">
        <v>-0.19196504659115499</v>
      </c>
      <c r="J19857" s="28">
        <v>0.84776958496453902</v>
      </c>
      <c r="K19857" s="29">
        <v>0.994271565763579</v>
      </c>
    </row>
    <row r="19858" spans="1:11" x14ac:dyDescent="0.35">
      <c r="A19858" s="9" t="str">
        <f>HYPERLINK("http://www.ensembl.org/id/WBGene00077548", "WBGene00077548")</f>
        <v>WBGene00077548</v>
      </c>
      <c r="B19858" s="9" t="str">
        <f>HYPERLINK("http://www.ncbi.nlm.nih.gov/gene/6418585", "6418585")</f>
        <v>6418585</v>
      </c>
      <c r="C19858" s="9"/>
      <c r="D19858" t="str">
        <f>"F21C3.7"</f>
        <v>F21C3.7</v>
      </c>
      <c r="F19858" t="s">
        <v>11</v>
      </c>
      <c r="G19858" t="s">
        <v>25</v>
      </c>
      <c r="H19858" s="12">
        <v>-1.14759256123164</v>
      </c>
      <c r="I19858" s="20">
        <v>-0.17798421832703801</v>
      </c>
      <c r="J19858" s="28">
        <v>0.85873536980090204</v>
      </c>
      <c r="K19858" s="29">
        <v>0.994271565763579</v>
      </c>
    </row>
    <row r="19859" spans="1:11" x14ac:dyDescent="0.35">
      <c r="A19859" s="9" t="str">
        <f>HYPERLINK("http://www.ensembl.org/id/WBGene00009019", "WBGene00009019")</f>
        <v>WBGene00009019</v>
      </c>
      <c r="B19859" s="9"/>
      <c r="C19859" s="9"/>
      <c r="D19859" t="str">
        <f>"F21D9.5"</f>
        <v>F21D9.5</v>
      </c>
      <c r="F19859" t="s">
        <v>80</v>
      </c>
      <c r="H19859" s="12">
        <v>1.1791677598227499</v>
      </c>
      <c r="I19859" s="20">
        <v>0.18827550271082399</v>
      </c>
      <c r="J19859" s="28">
        <v>0.85066068794077199</v>
      </c>
      <c r="K19859" s="29">
        <v>0.994271565763579</v>
      </c>
    </row>
    <row r="19860" spans="1:11" x14ac:dyDescent="0.35">
      <c r="A19860" s="9" t="str">
        <f>HYPERLINK("http://www.ensembl.org/id/WBGene00017721", "WBGene00017721")</f>
        <v>WBGene00017721</v>
      </c>
      <c r="B19860" s="9" t="str">
        <f>HYPERLINK("http://www.ncbi.nlm.nih.gov/gene/184862", "184862")</f>
        <v>184862</v>
      </c>
      <c r="C19860" s="9"/>
      <c r="D19860" t="str">
        <f>"F22F7.3"</f>
        <v>F22F7.3</v>
      </c>
      <c r="F19860" t="s">
        <v>11</v>
      </c>
      <c r="G19860" t="s">
        <v>1686</v>
      </c>
      <c r="H19860" s="12">
        <v>1.11217191323982</v>
      </c>
      <c r="I19860" s="20">
        <v>0.16407273979300999</v>
      </c>
      <c r="J19860" s="28">
        <v>0.86967388146465496</v>
      </c>
      <c r="K19860" s="29">
        <v>0.994271565763579</v>
      </c>
    </row>
    <row r="19861" spans="1:11" x14ac:dyDescent="0.35">
      <c r="A19861" s="9" t="str">
        <f>HYPERLINK("http://www.ensembl.org/id/WBGene00000263", "WBGene00000263")</f>
        <v>WBGene00000263</v>
      </c>
      <c r="B19861" s="9" t="str">
        <f>HYPERLINK("http://www.ncbi.nlm.nih.gov/gene/175254", "175254")</f>
        <v>175254</v>
      </c>
      <c r="C19861" s="9"/>
      <c r="D19861" t="str">
        <f>"F23H11.5"</f>
        <v>F23H11.5</v>
      </c>
      <c r="F19861" t="s">
        <v>11</v>
      </c>
      <c r="G19861" t="s">
        <v>25</v>
      </c>
      <c r="H19861" s="12">
        <v>-1.0349386919204799</v>
      </c>
      <c r="I19861" s="20">
        <v>-0.183565621168327</v>
      </c>
      <c r="J19861" s="28">
        <v>0.85435423509543496</v>
      </c>
      <c r="K19861" s="29">
        <v>0.994271565763579</v>
      </c>
    </row>
    <row r="19862" spans="1:11" x14ac:dyDescent="0.35">
      <c r="A19862" s="9" t="str">
        <f>HYPERLINK("http://www.ensembl.org/id/WBGene00044218", "WBGene00044218")</f>
        <v>WBGene00044218</v>
      </c>
      <c r="B19862" s="9" t="str">
        <f>HYPERLINK("http://www.ncbi.nlm.nih.gov/gene/13215750", "13215750")</f>
        <v>13215750</v>
      </c>
      <c r="C19862" s="9"/>
      <c r="D19862" t="str">
        <f>"F23H12.10"</f>
        <v>F23H12.10</v>
      </c>
      <c r="F19862" t="s">
        <v>11</v>
      </c>
      <c r="H19862" s="12">
        <v>1.16913013867375</v>
      </c>
      <c r="I19862" s="20">
        <v>0.18080366468225001</v>
      </c>
      <c r="J19862" s="28">
        <v>0.85652168651946203</v>
      </c>
      <c r="K19862" s="29">
        <v>0.994271565763579</v>
      </c>
    </row>
    <row r="19863" spans="1:11" x14ac:dyDescent="0.35">
      <c r="A19863" s="9" t="str">
        <f>HYPERLINK("http://www.ensembl.org/id/WBGene00017783", "WBGene00017783")</f>
        <v>WBGene00017783</v>
      </c>
      <c r="B19863" s="9" t="str">
        <f>HYPERLINK("http://www.ncbi.nlm.nih.gov/gene/184924", "184924")</f>
        <v>184924</v>
      </c>
      <c r="C19863" s="9"/>
      <c r="D19863" t="str">
        <f>"F25E5.2"</f>
        <v>F25E5.2</v>
      </c>
      <c r="F19863" t="s">
        <v>11</v>
      </c>
      <c r="G19863" t="s">
        <v>3419</v>
      </c>
      <c r="H19863" s="12">
        <v>-1.08813582829502</v>
      </c>
      <c r="I19863" s="20">
        <v>-0.178434185861401</v>
      </c>
      <c r="J19863" s="28">
        <v>0.85838200363600803</v>
      </c>
      <c r="K19863" s="29">
        <v>0.994271565763579</v>
      </c>
    </row>
    <row r="19864" spans="1:11" x14ac:dyDescent="0.35">
      <c r="A19864" s="9" t="str">
        <f>HYPERLINK("http://www.ensembl.org/id/WBGene00200973", "WBGene00200973")</f>
        <v>WBGene00200973</v>
      </c>
      <c r="B19864" s="9"/>
      <c r="C19864" s="9"/>
      <c r="D19864" t="str">
        <f>"F25F2.5"</f>
        <v>F25F2.5</v>
      </c>
      <c r="F19864" t="s">
        <v>481</v>
      </c>
      <c r="H19864" s="12">
        <v>1.75352385646303</v>
      </c>
      <c r="I19864" s="20">
        <v>0.16737746853691299</v>
      </c>
      <c r="J19864" s="28">
        <v>0.86707305258210998</v>
      </c>
      <c r="K19864" s="29">
        <v>0.994271565763579</v>
      </c>
    </row>
    <row r="19865" spans="1:11" x14ac:dyDescent="0.35">
      <c r="A19865" s="9" t="str">
        <f>HYPERLINK("http://www.ensembl.org/id/WBGene00196063", "WBGene00196063")</f>
        <v>WBGene00196063</v>
      </c>
      <c r="B19865" s="9"/>
      <c r="C19865" s="9"/>
      <c r="D19865" t="str">
        <f>"F25G6.12"</f>
        <v>F25G6.12</v>
      </c>
      <c r="F19865" t="s">
        <v>481</v>
      </c>
      <c r="H19865" s="12">
        <v>-1.4418067374469601</v>
      </c>
      <c r="I19865" s="20">
        <v>-0.163964510899125</v>
      </c>
      <c r="J19865" s="28">
        <v>0.86975908185065698</v>
      </c>
      <c r="K19865" s="29">
        <v>0.994271565763579</v>
      </c>
    </row>
    <row r="19866" spans="1:11" x14ac:dyDescent="0.35">
      <c r="A19866" s="9" t="str">
        <f>HYPERLINK("http://www.ensembl.org/id/WBGene00009117", "WBGene00009117")</f>
        <v>WBGene00009117</v>
      </c>
      <c r="B19866" s="9" t="str">
        <f>HYPERLINK("http://www.ncbi.nlm.nih.gov/gene/184936", "184936")</f>
        <v>184936</v>
      </c>
      <c r="C19866" s="9"/>
      <c r="D19866" t="str">
        <f>"F25H2.3"</f>
        <v>F25H2.3</v>
      </c>
      <c r="F19866" t="s">
        <v>11</v>
      </c>
      <c r="H19866" s="12">
        <v>1.2865311147321099</v>
      </c>
      <c r="I19866" s="20">
        <v>0.189442487238593</v>
      </c>
      <c r="J19866" s="28">
        <v>0.84974602730490301</v>
      </c>
      <c r="K19866" s="29">
        <v>0.994271565763579</v>
      </c>
    </row>
    <row r="19867" spans="1:11" x14ac:dyDescent="0.35">
      <c r="A19867" s="9" t="str">
        <f>HYPERLINK("http://www.ensembl.org/id/WBGene00017815", "WBGene00017815")</f>
        <v>WBGene00017815</v>
      </c>
      <c r="B19867" s="9" t="str">
        <f>HYPERLINK("http://www.ncbi.nlm.nih.gov/gene/172332", "172332")</f>
        <v>172332</v>
      </c>
      <c r="C19867" s="9"/>
      <c r="D19867" t="str">
        <f>"F26B1.1"</f>
        <v>F26B1.1</v>
      </c>
      <c r="F19867" t="s">
        <v>11</v>
      </c>
      <c r="H19867" s="12">
        <v>-1.06831962724469</v>
      </c>
      <c r="I19867" s="20">
        <v>-0.18794266025596301</v>
      </c>
      <c r="J19867" s="28">
        <v>0.85092160051827903</v>
      </c>
      <c r="K19867" s="29">
        <v>0.994271565763579</v>
      </c>
    </row>
    <row r="19868" spans="1:11" x14ac:dyDescent="0.35">
      <c r="A19868" s="9" t="str">
        <f>HYPERLINK("http://www.ensembl.org/id/WBGene00009170", "WBGene00009170")</f>
        <v>WBGene00009170</v>
      </c>
      <c r="B19868" s="9" t="str">
        <f>HYPERLINK("http://www.ncbi.nlm.nih.gov/gene/184986", "184986")</f>
        <v>184986</v>
      </c>
      <c r="C19868" s="9"/>
      <c r="D19868" t="str">
        <f>"F26F2.5"</f>
        <v>F26F2.5</v>
      </c>
      <c r="F19868" t="s">
        <v>11</v>
      </c>
      <c r="H19868" s="12">
        <v>-1.1634452361160601</v>
      </c>
      <c r="I19868" s="20">
        <v>-0.16817637054867901</v>
      </c>
      <c r="J19868" s="28">
        <v>0.86644452973837904</v>
      </c>
      <c r="K19868" s="29">
        <v>0.994271565763579</v>
      </c>
    </row>
    <row r="19869" spans="1:11" x14ac:dyDescent="0.35">
      <c r="A19869" s="9" t="str">
        <f>HYPERLINK("http://www.ensembl.org/id/WBGene00195149", "WBGene00195149")</f>
        <v>WBGene00195149</v>
      </c>
      <c r="B19869" s="9" t="str">
        <f>HYPERLINK("http://www.ncbi.nlm.nih.gov/gene/13187945", "13187945")</f>
        <v>13187945</v>
      </c>
      <c r="C19869" s="9"/>
      <c r="D19869" t="str">
        <f>"F26H11.8"</f>
        <v>F26H11.8</v>
      </c>
      <c r="F19869" t="s">
        <v>11</v>
      </c>
      <c r="H19869" s="12">
        <v>-1.73457001584991</v>
      </c>
      <c r="I19869" s="20">
        <v>-0.165559698280943</v>
      </c>
      <c r="J19869" s="28">
        <v>0.86850346561216996</v>
      </c>
      <c r="K19869" s="29">
        <v>0.994271565763579</v>
      </c>
    </row>
    <row r="19870" spans="1:11" x14ac:dyDescent="0.35">
      <c r="A19870" s="9" t="str">
        <f>HYPERLINK("http://www.ensembl.org/id/WBGene00200149", "WBGene00200149")</f>
        <v>WBGene00200149</v>
      </c>
      <c r="B19870" s="9"/>
      <c r="C19870" s="9"/>
      <c r="D19870" t="str">
        <f>"F28F5.14"</f>
        <v>F28F5.14</v>
      </c>
      <c r="F19870" t="s">
        <v>481</v>
      </c>
      <c r="H19870" s="12">
        <v>-1.8016822568770801</v>
      </c>
      <c r="I19870" s="20">
        <v>-0.175677875261118</v>
      </c>
      <c r="J19870" s="28">
        <v>0.86054701793969501</v>
      </c>
      <c r="K19870" s="29">
        <v>0.994271565763579</v>
      </c>
    </row>
    <row r="19871" spans="1:11" x14ac:dyDescent="0.35">
      <c r="A19871" s="9" t="str">
        <f>HYPERLINK("http://www.ensembl.org/id/WBGene00017944", "WBGene00017944")</f>
        <v>WBGene00017944</v>
      </c>
      <c r="B19871" s="9" t="str">
        <f>HYPERLINK("http://www.ncbi.nlm.nih.gov/gene/24104515", "24104515")</f>
        <v>24104515</v>
      </c>
      <c r="C19871" s="9"/>
      <c r="D19871" t="str">
        <f>"F31D5.1"</f>
        <v>F31D5.1</v>
      </c>
      <c r="F19871" t="s">
        <v>11</v>
      </c>
      <c r="G19871" t="s">
        <v>25</v>
      </c>
      <c r="H19871" s="12">
        <v>-1.08117268607793</v>
      </c>
      <c r="I19871" s="20">
        <v>-0.169469427070255</v>
      </c>
      <c r="J19871" s="28">
        <v>0.86542741817816404</v>
      </c>
      <c r="K19871" s="29">
        <v>0.994271565763579</v>
      </c>
    </row>
    <row r="19872" spans="1:11" x14ac:dyDescent="0.35">
      <c r="A19872" s="9" t="str">
        <f>HYPERLINK("http://www.ensembl.org/id/WBGene00009312", "WBGene00009312")</f>
        <v>WBGene00009312</v>
      </c>
      <c r="B19872" s="9" t="str">
        <f>HYPERLINK("http://www.ncbi.nlm.nih.gov/gene/185190", "185190")</f>
        <v>185190</v>
      </c>
      <c r="C19872" s="9"/>
      <c r="D19872" t="str">
        <f>"F32B4.1"</f>
        <v>F32B4.1</v>
      </c>
      <c r="F19872" t="s">
        <v>11</v>
      </c>
      <c r="G19872" t="s">
        <v>25</v>
      </c>
      <c r="H19872" s="12">
        <v>1.2897328388370199</v>
      </c>
      <c r="I19872" s="20">
        <v>0.189533868642975</v>
      </c>
      <c r="J19872" s="28">
        <v>0.84967441279062195</v>
      </c>
      <c r="K19872" s="29">
        <v>0.994271565763579</v>
      </c>
    </row>
    <row r="19873" spans="1:11" x14ac:dyDescent="0.35">
      <c r="A19873" s="9" t="str">
        <f>HYPERLINK("http://www.ensembl.org/id/WBGene00219929", "WBGene00219929")</f>
        <v>WBGene00219929</v>
      </c>
      <c r="B19873" s="9"/>
      <c r="C19873" s="9"/>
      <c r="D19873" t="str">
        <f>"F32B4.12"</f>
        <v>F32B4.12</v>
      </c>
      <c r="F19873" t="s">
        <v>2977</v>
      </c>
      <c r="H19873" s="12">
        <v>1.81452741737493</v>
      </c>
      <c r="I19873" s="20">
        <v>0.18505421452922499</v>
      </c>
      <c r="J19873" s="28">
        <v>0.85318651278733704</v>
      </c>
      <c r="K19873" s="29">
        <v>0.994271565763579</v>
      </c>
    </row>
    <row r="19874" spans="1:11" x14ac:dyDescent="0.35">
      <c r="A19874" s="9" t="str">
        <f>HYPERLINK("http://www.ensembl.org/id/WBGene00009327", "WBGene00009327")</f>
        <v>WBGene00009327</v>
      </c>
      <c r="B19874" s="9" t="str">
        <f>HYPERLINK("http://www.ncbi.nlm.nih.gov/gene/185204", "185204")</f>
        <v>185204</v>
      </c>
      <c r="C19874" s="9"/>
      <c r="D19874" t="str">
        <f>"F32D8.2"</f>
        <v>F32D8.2</v>
      </c>
      <c r="F19874" t="s">
        <v>11</v>
      </c>
      <c r="G19874" t="s">
        <v>1180</v>
      </c>
      <c r="H19874" s="12">
        <v>-1.14626871919623</v>
      </c>
      <c r="I19874" s="20">
        <v>-0.19202115318671301</v>
      </c>
      <c r="J19874" s="28">
        <v>0.84772563589972505</v>
      </c>
      <c r="K19874" s="29">
        <v>0.994271565763579</v>
      </c>
    </row>
    <row r="19875" spans="1:11" x14ac:dyDescent="0.35">
      <c r="A19875" s="9" t="str">
        <f>HYPERLINK("http://www.ensembl.org/id/WBGene00050880", "WBGene00050880")</f>
        <v>WBGene00050880</v>
      </c>
      <c r="B19875" s="9" t="str">
        <f>HYPERLINK("http://www.ncbi.nlm.nih.gov/gene/6418589", "6418589")</f>
        <v>6418589</v>
      </c>
      <c r="C19875" s="9"/>
      <c r="D19875" t="str">
        <f>"F32H2.12"</f>
        <v>F32H2.12</v>
      </c>
      <c r="F19875" t="s">
        <v>11</v>
      </c>
      <c r="H19875" s="12">
        <v>-1.7829973537722901</v>
      </c>
      <c r="I19875" s="20">
        <v>-0.17234495628438801</v>
      </c>
      <c r="J19875" s="28">
        <v>0.86316634307259699</v>
      </c>
      <c r="K19875" s="29">
        <v>0.994271565763579</v>
      </c>
    </row>
    <row r="19876" spans="1:11" x14ac:dyDescent="0.35">
      <c r="A19876" s="9" t="str">
        <f>HYPERLINK("http://www.ensembl.org/id/WBGene00009350", "WBGene00009350")</f>
        <v>WBGene00009350</v>
      </c>
      <c r="B19876" s="9" t="str">
        <f>HYPERLINK("http://www.ncbi.nlm.nih.gov/gene/185216", "185216")</f>
        <v>185216</v>
      </c>
      <c r="C19876" s="9"/>
      <c r="D19876" t="str">
        <f>"F32H5.4"</f>
        <v>F32H5.4</v>
      </c>
      <c r="F19876" t="s">
        <v>11</v>
      </c>
      <c r="G19876" t="s">
        <v>230</v>
      </c>
      <c r="H19876" s="12">
        <v>-1.0870931564508299</v>
      </c>
      <c r="I19876" s="20">
        <v>-0.17139648097947399</v>
      </c>
      <c r="J19876" s="28">
        <v>0.86391202160984504</v>
      </c>
      <c r="K19876" s="29">
        <v>0.994271565763579</v>
      </c>
    </row>
    <row r="19877" spans="1:11" x14ac:dyDescent="0.35">
      <c r="A19877" s="9" t="str">
        <f>HYPERLINK("http://www.ensembl.org/id/WBGene00045254", "WBGene00045254")</f>
        <v>WBGene00045254</v>
      </c>
      <c r="B19877" s="9"/>
      <c r="C19877" s="9"/>
      <c r="D19877" t="str">
        <f>"F33E2.8"</f>
        <v>F33E2.8</v>
      </c>
      <c r="F19877" t="s">
        <v>80</v>
      </c>
      <c r="H19877" s="12">
        <v>1.3483538583625501</v>
      </c>
      <c r="I19877" s="20">
        <v>0.17886168564010499</v>
      </c>
      <c r="J19877" s="28">
        <v>0.85804630801208104</v>
      </c>
      <c r="K19877" s="29">
        <v>0.994271565763579</v>
      </c>
    </row>
    <row r="19878" spans="1:11" x14ac:dyDescent="0.35">
      <c r="A19878" s="9" t="str">
        <f>HYPERLINK("http://www.ensembl.org/id/WBGene00018030", "WBGene00018030")</f>
        <v>WBGene00018030</v>
      </c>
      <c r="B19878" s="9" t="str">
        <f>HYPERLINK("http://www.ncbi.nlm.nih.gov/gene/185254", "185254")</f>
        <v>185254</v>
      </c>
      <c r="C19878" s="9"/>
      <c r="D19878" t="str">
        <f>"F35B3.3"</f>
        <v>F35B3.3</v>
      </c>
      <c r="F19878" t="s">
        <v>11</v>
      </c>
      <c r="H19878" s="12">
        <v>-1.73457001584991</v>
      </c>
      <c r="I19878" s="20">
        <v>-0.165559698280943</v>
      </c>
      <c r="J19878" s="28">
        <v>0.86850346561216996</v>
      </c>
      <c r="K19878" s="29">
        <v>0.994271565763579</v>
      </c>
    </row>
    <row r="19879" spans="1:11" x14ac:dyDescent="0.35">
      <c r="A19879" s="9" t="str">
        <f>HYPERLINK("http://www.ensembl.org/id/WBGene00009468", "WBGene00009468")</f>
        <v>WBGene00009468</v>
      </c>
      <c r="B19879" s="9" t="str">
        <f>HYPERLINK("http://www.ncbi.nlm.nih.gov/gene/3564898", "3564898")</f>
        <v>3564898</v>
      </c>
      <c r="C19879" s="9"/>
      <c r="D19879" t="str">
        <f>"F36D1.9"</f>
        <v>F36D1.9</v>
      </c>
      <c r="F19879" t="s">
        <v>11</v>
      </c>
      <c r="H19879" s="12">
        <v>1.0604948861588399</v>
      </c>
      <c r="I19879" s="20">
        <v>0.16562556288560201</v>
      </c>
      <c r="J19879" s="28">
        <v>0.86845162886109495</v>
      </c>
      <c r="K19879" s="29">
        <v>0.994271565763579</v>
      </c>
    </row>
    <row r="19880" spans="1:11" x14ac:dyDescent="0.35">
      <c r="A19880" s="9" t="str">
        <f>HYPERLINK("http://www.ensembl.org/id/WBGene00194653", "WBGene00194653")</f>
        <v>WBGene00194653</v>
      </c>
      <c r="B19880" s="9" t="str">
        <f>HYPERLINK("http://www.ncbi.nlm.nih.gov/gene/13181407", "13181407")</f>
        <v>13181407</v>
      </c>
      <c r="C19880" s="9"/>
      <c r="D19880" t="str">
        <f>"F36H2.6"</f>
        <v>F36H2.6</v>
      </c>
      <c r="F19880" t="s">
        <v>11</v>
      </c>
      <c r="G19880" t="s">
        <v>25</v>
      </c>
      <c r="H19880" s="12">
        <v>-1.37093990133869</v>
      </c>
      <c r="I19880" s="20">
        <v>-0.18877588127525199</v>
      </c>
      <c r="J19880" s="28">
        <v>0.85026847590159105</v>
      </c>
      <c r="K19880" s="29">
        <v>0.994271565763579</v>
      </c>
    </row>
    <row r="19881" spans="1:11" x14ac:dyDescent="0.35">
      <c r="A19881" s="9" t="str">
        <f>HYPERLINK("http://www.ensembl.org/id/WBGene00018107", "WBGene00018107")</f>
        <v>WBGene00018107</v>
      </c>
      <c r="B19881" s="9" t="str">
        <f>HYPERLINK("http://www.ncbi.nlm.nih.gov/gene/185387", "185387")</f>
        <v>185387</v>
      </c>
      <c r="C19881" s="9"/>
      <c r="D19881" t="str">
        <f>"F36H5.9"</f>
        <v>F36H5.9</v>
      </c>
      <c r="F19881" t="s">
        <v>11</v>
      </c>
      <c r="G19881" t="s">
        <v>54</v>
      </c>
      <c r="H19881" s="12">
        <v>-1.73457001584991</v>
      </c>
      <c r="I19881" s="20">
        <v>-0.165559698280943</v>
      </c>
      <c r="J19881" s="28">
        <v>0.86850346561216996</v>
      </c>
      <c r="K19881" s="29">
        <v>0.994271565763579</v>
      </c>
    </row>
    <row r="19882" spans="1:11" x14ac:dyDescent="0.35">
      <c r="A19882" s="9" t="str">
        <f>HYPERLINK("http://www.ensembl.org/id/WBGene00009504", "WBGene00009504")</f>
        <v>WBGene00009504</v>
      </c>
      <c r="B19882" s="9" t="str">
        <f>HYPERLINK("http://www.ncbi.nlm.nih.gov/gene/185416", "185416")</f>
        <v>185416</v>
      </c>
      <c r="C19882" s="9"/>
      <c r="D19882" t="str">
        <f>"F37B12.1"</f>
        <v>F37B12.1</v>
      </c>
      <c r="F19882" t="s">
        <v>11</v>
      </c>
      <c r="G19882" t="s">
        <v>25</v>
      </c>
      <c r="H19882" s="12">
        <v>1.0689301245826699</v>
      </c>
      <c r="I19882" s="20">
        <v>0.188446663170103</v>
      </c>
      <c r="J19882" s="28">
        <v>0.850526522969413</v>
      </c>
      <c r="K19882" s="29">
        <v>0.994271565763579</v>
      </c>
    </row>
    <row r="19883" spans="1:11" x14ac:dyDescent="0.35">
      <c r="A19883" s="9" t="str">
        <f>HYPERLINK("http://www.ensembl.org/id/WBGene00009519", "WBGene00009519")</f>
        <v>WBGene00009519</v>
      </c>
      <c r="B19883" s="9" t="str">
        <f>HYPERLINK("http://www.ncbi.nlm.nih.gov/gene/185436", "185436")</f>
        <v>185436</v>
      </c>
      <c r="C19883" s="9"/>
      <c r="D19883" t="str">
        <f>"F38A1.6"</f>
        <v>F38A1.6</v>
      </c>
      <c r="F19883" t="s">
        <v>11</v>
      </c>
      <c r="H19883" s="12">
        <v>1.79408715352943</v>
      </c>
      <c r="I19883" s="20">
        <v>0.173550585897745</v>
      </c>
      <c r="J19883" s="28">
        <v>0.86221866928889102</v>
      </c>
      <c r="K19883" s="29">
        <v>0.994271565763579</v>
      </c>
    </row>
    <row r="19884" spans="1:11" x14ac:dyDescent="0.35">
      <c r="A19884" s="9" t="str">
        <f>HYPERLINK("http://www.ensembl.org/id/WBGene00018190", "WBGene00018190")</f>
        <v>WBGene00018190</v>
      </c>
      <c r="B19884" s="9" t="str">
        <f>HYPERLINK("http://www.ncbi.nlm.nih.gov/gene/185484", "185484")</f>
        <v>185484</v>
      </c>
      <c r="C19884" s="9"/>
      <c r="D19884" t="str">
        <f>"F38H12.5"</f>
        <v>F38H12.5</v>
      </c>
      <c r="F19884" t="s">
        <v>11</v>
      </c>
      <c r="G19884" t="s">
        <v>25</v>
      </c>
      <c r="H19884" s="12">
        <v>1.75352385646303</v>
      </c>
      <c r="I19884" s="20">
        <v>0.16737746853691299</v>
      </c>
      <c r="J19884" s="28">
        <v>0.86707305258210998</v>
      </c>
      <c r="K19884" s="29">
        <v>0.994271565763579</v>
      </c>
    </row>
    <row r="19885" spans="1:11" x14ac:dyDescent="0.35">
      <c r="A19885" s="9" t="str">
        <f>HYPERLINK("http://www.ensembl.org/id/WBGene00023281", "WBGene00023281")</f>
        <v>WBGene00023281</v>
      </c>
      <c r="B19885" s="9"/>
      <c r="C19885" s="9"/>
      <c r="D19885" t="str">
        <f>"F39E9.8"</f>
        <v>F39E9.8</v>
      </c>
      <c r="F19885" t="s">
        <v>80</v>
      </c>
      <c r="H19885" s="12">
        <v>1.75352385646303</v>
      </c>
      <c r="I19885" s="20">
        <v>0.16737746853691299</v>
      </c>
      <c r="J19885" s="28">
        <v>0.86707305258210998</v>
      </c>
      <c r="K19885" s="29">
        <v>0.994271565763579</v>
      </c>
    </row>
    <row r="19886" spans="1:11" x14ac:dyDescent="0.35">
      <c r="A19886" s="9" t="str">
        <f>HYPERLINK("http://www.ensembl.org/id/WBGene00018248", "WBGene00018248")</f>
        <v>WBGene00018248</v>
      </c>
      <c r="B19886" s="9" t="str">
        <f>HYPERLINK("http://www.ncbi.nlm.nih.gov/gene/185560", "185560")</f>
        <v>185560</v>
      </c>
      <c r="C19886" s="9"/>
      <c r="D19886" t="str">
        <f>"F40G9.14"</f>
        <v>F40G9.14</v>
      </c>
      <c r="F19886" t="s">
        <v>11</v>
      </c>
      <c r="G19886" t="s">
        <v>51</v>
      </c>
      <c r="H19886" s="12">
        <v>1.18330463364498</v>
      </c>
      <c r="I19886" s="20">
        <v>0.17492155398390299</v>
      </c>
      <c r="J19886" s="28">
        <v>0.86114127375077898</v>
      </c>
      <c r="K19886" s="29">
        <v>0.994271565763579</v>
      </c>
    </row>
    <row r="19887" spans="1:11" x14ac:dyDescent="0.35">
      <c r="A19887" s="9" t="str">
        <f>HYPERLINK("http://www.ensembl.org/id/WBGene00189954", "WBGene00189954")</f>
        <v>WBGene00189954</v>
      </c>
      <c r="B19887" s="9" t="str">
        <f>HYPERLINK("http://www.ncbi.nlm.nih.gov/gene/13188264", "13188264")</f>
        <v>13188264</v>
      </c>
      <c r="C19887" s="9"/>
      <c r="D19887" t="str">
        <f>"F40G9.18"</f>
        <v>F40G9.18</v>
      </c>
      <c r="F19887" t="s">
        <v>11</v>
      </c>
      <c r="G19887" t="s">
        <v>417</v>
      </c>
      <c r="H19887" s="12">
        <v>1.1073873238066401</v>
      </c>
      <c r="I19887" s="20">
        <v>0.16625221070211099</v>
      </c>
      <c r="J19887" s="28">
        <v>0.86795847290694705</v>
      </c>
      <c r="K19887" s="29">
        <v>0.994271565763579</v>
      </c>
    </row>
    <row r="19888" spans="1:11" x14ac:dyDescent="0.35">
      <c r="A19888" s="9" t="str">
        <f>HYPERLINK("http://www.ensembl.org/id/WBGene00201748", "WBGene00201748")</f>
        <v>WBGene00201748</v>
      </c>
      <c r="B19888" s="9"/>
      <c r="C19888" s="9"/>
      <c r="D19888" t="str">
        <f>"F40H3.16"</f>
        <v>F40H3.16</v>
      </c>
      <c r="F19888" t="s">
        <v>481</v>
      </c>
      <c r="H19888" s="12">
        <v>1.79408715352943</v>
      </c>
      <c r="I19888" s="20">
        <v>0.173550585897745</v>
      </c>
      <c r="J19888" s="28">
        <v>0.86221866928889102</v>
      </c>
      <c r="K19888" s="29">
        <v>0.994271565763579</v>
      </c>
    </row>
    <row r="19889" spans="1:11" x14ac:dyDescent="0.35">
      <c r="A19889" s="9" t="str">
        <f>HYPERLINK("http://www.ensembl.org/id/WBGene00018278", "WBGene00018278")</f>
        <v>WBGene00018278</v>
      </c>
      <c r="B19889" s="9" t="str">
        <f>HYPERLINK("http://www.ncbi.nlm.nih.gov/gene/185599", "185599")</f>
        <v>185599</v>
      </c>
      <c r="C19889" s="9"/>
      <c r="D19889" t="str">
        <f>"F41C6.4"</f>
        <v>F41C6.4</v>
      </c>
      <c r="F19889" t="s">
        <v>11</v>
      </c>
      <c r="G19889" t="s">
        <v>10530</v>
      </c>
      <c r="H19889" s="12">
        <v>1.04754300353222</v>
      </c>
      <c r="I19889" s="20">
        <v>0.175351943706165</v>
      </c>
      <c r="J19889" s="28">
        <v>0.86080309881315098</v>
      </c>
      <c r="K19889" s="29">
        <v>0.994271565763579</v>
      </c>
    </row>
    <row r="19890" spans="1:11" x14ac:dyDescent="0.35">
      <c r="A19890" s="9" t="str">
        <f>HYPERLINK("http://www.ensembl.org/id/WBGene00018332", "WBGene00018332")</f>
        <v>WBGene00018332</v>
      </c>
      <c r="B19890" s="9" t="str">
        <f>HYPERLINK("http://www.ncbi.nlm.nih.gov/gene/177665", "177665")</f>
        <v>177665</v>
      </c>
      <c r="C19890" s="9"/>
      <c r="D19890" t="str">
        <f>"F42A9.3"</f>
        <v>F42A9.3</v>
      </c>
      <c r="F19890" t="s">
        <v>11</v>
      </c>
      <c r="G19890" t="s">
        <v>25</v>
      </c>
      <c r="H19890" s="12">
        <v>1.75352385646303</v>
      </c>
      <c r="I19890" s="20">
        <v>0.16737746853691299</v>
      </c>
      <c r="J19890" s="28">
        <v>0.86707305258210998</v>
      </c>
      <c r="K19890" s="29">
        <v>0.994271565763579</v>
      </c>
    </row>
    <row r="19891" spans="1:11" x14ac:dyDescent="0.35">
      <c r="A19891" s="9" t="str">
        <f>HYPERLINK("http://www.ensembl.org/id/WBGene00199676", "WBGene00199676")</f>
        <v>WBGene00199676</v>
      </c>
      <c r="B19891" s="9"/>
      <c r="C19891" s="9"/>
      <c r="D19891" t="str">
        <f>"F42H10.14"</f>
        <v>F42H10.14</v>
      </c>
      <c r="F19891" t="s">
        <v>481</v>
      </c>
      <c r="H19891" s="12">
        <v>-1.8395086315795599</v>
      </c>
      <c r="I19891" s="20">
        <v>-0.18246327208405799</v>
      </c>
      <c r="J19891" s="28">
        <v>0.85521917511891998</v>
      </c>
      <c r="K19891" s="29">
        <v>0.994271565763579</v>
      </c>
    </row>
    <row r="19892" spans="1:11" x14ac:dyDescent="0.35">
      <c r="A19892" s="9" t="str">
        <f>HYPERLINK("http://www.ensembl.org/id/WBGene00219418", "WBGene00219418")</f>
        <v>WBGene00219418</v>
      </c>
      <c r="B19892" s="9" t="str">
        <f>HYPERLINK("http://www.ncbi.nlm.nih.gov/gene/24104583", "24104583")</f>
        <v>24104583</v>
      </c>
      <c r="C19892" s="9"/>
      <c r="D19892" t="str">
        <f>"F44D12.19"</f>
        <v>F44D12.19</v>
      </c>
      <c r="F19892" t="s">
        <v>11</v>
      </c>
      <c r="H19892" s="12">
        <v>1.2867606762055701</v>
      </c>
      <c r="I19892" s="20">
        <v>0.170707706668002</v>
      </c>
      <c r="J19892" s="28">
        <v>0.86445360273810901</v>
      </c>
      <c r="K19892" s="29">
        <v>0.994271565763579</v>
      </c>
    </row>
    <row r="19893" spans="1:11" x14ac:dyDescent="0.35">
      <c r="A19893" s="9" t="str">
        <f>HYPERLINK("http://www.ensembl.org/id/WBGene00009679", "WBGene00009679")</f>
        <v>WBGene00009679</v>
      </c>
      <c r="B19893" s="9" t="str">
        <f>HYPERLINK("http://www.ncbi.nlm.nih.gov/gene/177861", "177861")</f>
        <v>177861</v>
      </c>
      <c r="C19893" s="9"/>
      <c r="D19893" t="str">
        <f>"F44D12.2"</f>
        <v>F44D12.2</v>
      </c>
      <c r="F19893" t="s">
        <v>11</v>
      </c>
      <c r="G19893" t="s">
        <v>25</v>
      </c>
      <c r="H19893" s="12">
        <v>-1.0527661941536199</v>
      </c>
      <c r="I19893" s="20">
        <v>-0.17201935475394201</v>
      </c>
      <c r="J19893" s="28">
        <v>0.86342231291392602</v>
      </c>
      <c r="K19893" s="29">
        <v>0.994271565763579</v>
      </c>
    </row>
    <row r="19894" spans="1:11" x14ac:dyDescent="0.35">
      <c r="A19894" s="9" t="str">
        <f>HYPERLINK("http://www.ensembl.org/id/WBGene00219951", "WBGene00219951")</f>
        <v>WBGene00219951</v>
      </c>
      <c r="B19894" s="9"/>
      <c r="C19894" s="9"/>
      <c r="D19894" t="str">
        <f>"F46A9.12"</f>
        <v>F46A9.12</v>
      </c>
      <c r="F19894" t="s">
        <v>481</v>
      </c>
      <c r="H19894" s="12">
        <v>1.2287953673616301</v>
      </c>
      <c r="I19894" s="20">
        <v>0.16517850029202699</v>
      </c>
      <c r="J19894" s="28">
        <v>0.868803487090961</v>
      </c>
      <c r="K19894" s="29">
        <v>0.994271565763579</v>
      </c>
    </row>
    <row r="19895" spans="1:11" x14ac:dyDescent="0.35">
      <c r="A19895" s="9" t="str">
        <f>HYPERLINK("http://www.ensembl.org/id/WBGene00018563", "WBGene00018563")</f>
        <v>WBGene00018563</v>
      </c>
      <c r="B19895" s="9" t="str">
        <f>HYPERLINK("http://www.ncbi.nlm.nih.gov/gene/175891", "175891")</f>
        <v>175891</v>
      </c>
      <c r="C19895" s="9"/>
      <c r="D19895" t="str">
        <f>"F47D12.7"</f>
        <v>F47D12.7</v>
      </c>
      <c r="E19895" t="s">
        <v>10504</v>
      </c>
      <c r="F19895" t="s">
        <v>11</v>
      </c>
      <c r="G19895" t="s">
        <v>54</v>
      </c>
      <c r="H19895" s="12">
        <v>1.16207663371912</v>
      </c>
      <c r="I19895" s="20">
        <v>0.17822602819175401</v>
      </c>
      <c r="J19895" s="28">
        <v>0.85854546941273402</v>
      </c>
      <c r="K19895" s="29">
        <v>0.994271565763579</v>
      </c>
    </row>
    <row r="19896" spans="1:11" x14ac:dyDescent="0.35">
      <c r="A19896" s="9" t="str">
        <f>HYPERLINK("http://www.ensembl.org/id/WBGene00009881", "WBGene00009881")</f>
        <v>WBGene00009881</v>
      </c>
      <c r="B19896" s="9" t="str">
        <f>HYPERLINK("http://www.ncbi.nlm.nih.gov/gene/177755", "177755")</f>
        <v>177755</v>
      </c>
      <c r="C19896" s="9"/>
      <c r="D19896" t="str">
        <f>"F49C12.12"</f>
        <v>F49C12.12</v>
      </c>
      <c r="F19896" t="s">
        <v>11</v>
      </c>
      <c r="G19896" t="s">
        <v>8257</v>
      </c>
      <c r="H19896" s="12">
        <v>1.03638035318531</v>
      </c>
      <c r="I19896" s="20">
        <v>0.19276156362701199</v>
      </c>
      <c r="J19896" s="28">
        <v>0.84714570666357802</v>
      </c>
      <c r="K19896" s="29">
        <v>0.994271565763579</v>
      </c>
    </row>
    <row r="19897" spans="1:11" x14ac:dyDescent="0.35">
      <c r="A19897" s="9" t="str">
        <f>HYPERLINK("http://www.ensembl.org/id/WBGene00009915", "WBGene00009915")</f>
        <v>WBGene00009915</v>
      </c>
      <c r="B19897" s="9" t="str">
        <f>HYPERLINK("http://www.ncbi.nlm.nih.gov/gene/172482", "172482")</f>
        <v>172482</v>
      </c>
      <c r="C19897" s="9"/>
      <c r="D19897" t="str">
        <f>"F52A8.1"</f>
        <v>F52A8.1</v>
      </c>
      <c r="F19897" t="s">
        <v>11</v>
      </c>
      <c r="G19897" t="s">
        <v>25</v>
      </c>
      <c r="H19897" s="12">
        <v>-1.0330000524773499</v>
      </c>
      <c r="I19897" s="20">
        <v>-0.178592030925393</v>
      </c>
      <c r="J19897" s="28">
        <v>0.85825805228900998</v>
      </c>
      <c r="K19897" s="29">
        <v>0.994271565763579</v>
      </c>
    </row>
    <row r="19898" spans="1:11" x14ac:dyDescent="0.35">
      <c r="A19898" s="9" t="str">
        <f>HYPERLINK("http://www.ensembl.org/id/WBGene00199224", "WBGene00199224")</f>
        <v>WBGene00199224</v>
      </c>
      <c r="B19898" s="9"/>
      <c r="C19898" s="9"/>
      <c r="D19898" t="str">
        <f>"F52B10.17"</f>
        <v>F52B10.17</v>
      </c>
      <c r="F19898" t="s">
        <v>481</v>
      </c>
      <c r="H19898" s="12">
        <v>1.79408715352943</v>
      </c>
      <c r="I19898" s="20">
        <v>0.173550585897745</v>
      </c>
      <c r="J19898" s="28">
        <v>0.86221866928889102</v>
      </c>
      <c r="K19898" s="29">
        <v>0.994271565763579</v>
      </c>
    </row>
    <row r="19899" spans="1:11" x14ac:dyDescent="0.35">
      <c r="A19899" s="9" t="str">
        <f>HYPERLINK("http://www.ensembl.org/id/WBGene00018683", "WBGene00018683")</f>
        <v>WBGene00018683</v>
      </c>
      <c r="B19899" s="9" t="str">
        <f>HYPERLINK("http://www.ncbi.nlm.nih.gov/gene/186101", "186101")</f>
        <v>186101</v>
      </c>
      <c r="C19899" s="9"/>
      <c r="D19899" t="str">
        <f>"F52D1.2"</f>
        <v>F52D1.2</v>
      </c>
      <c r="F19899" t="s">
        <v>11</v>
      </c>
      <c r="H19899" s="12">
        <v>-1.0580732103245301</v>
      </c>
      <c r="I19899" s="20">
        <v>-0.17743885700353301</v>
      </c>
      <c r="J19899" s="28">
        <v>0.85916368805086296</v>
      </c>
      <c r="K19899" s="29">
        <v>0.994271565763579</v>
      </c>
    </row>
    <row r="19900" spans="1:11" x14ac:dyDescent="0.35">
      <c r="A19900" s="9" t="str">
        <f>HYPERLINK("http://www.ensembl.org/id/WBGene00018717", "WBGene00018717")</f>
        <v>WBGene00018717</v>
      </c>
      <c r="B19900" s="9" t="str">
        <f>HYPERLINK("http://www.ncbi.nlm.nih.gov/gene/186133", "186133")</f>
        <v>186133</v>
      </c>
      <c r="C19900" s="9"/>
      <c r="D19900" t="str">
        <f>"F52H2.5"</f>
        <v>F52H2.5</v>
      </c>
      <c r="F19900" t="s">
        <v>11</v>
      </c>
      <c r="H19900" s="12">
        <v>-1.0458938278839101</v>
      </c>
      <c r="I19900" s="20">
        <v>-0.179132250328112</v>
      </c>
      <c r="J19900" s="28">
        <v>0.85783385944980695</v>
      </c>
      <c r="K19900" s="29">
        <v>0.994271565763579</v>
      </c>
    </row>
    <row r="19901" spans="1:11" x14ac:dyDescent="0.35">
      <c r="A19901" s="9" t="str">
        <f>HYPERLINK("http://www.ensembl.org/id/WBGene00010003", "WBGene00010003")</f>
        <v>WBGene00010003</v>
      </c>
      <c r="B19901" s="9" t="str">
        <f>HYPERLINK("http://www.ncbi.nlm.nih.gov/gene/3565258", "3565258")</f>
        <v>3565258</v>
      </c>
      <c r="C19901" s="9"/>
      <c r="D19901" t="str">
        <f>"F53F8.6"</f>
        <v>F53F8.6</v>
      </c>
      <c r="F19901" t="s">
        <v>11</v>
      </c>
      <c r="G19901" t="s">
        <v>25</v>
      </c>
      <c r="H19901" s="12">
        <v>1.0815154728081999</v>
      </c>
      <c r="I19901" s="20">
        <v>0.17315599313160199</v>
      </c>
      <c r="J19901" s="28">
        <v>0.86252881344864996</v>
      </c>
      <c r="K19901" s="29">
        <v>0.994271565763579</v>
      </c>
    </row>
    <row r="19902" spans="1:11" x14ac:dyDescent="0.35">
      <c r="A19902" s="9" t="str">
        <f>HYPERLINK("http://www.ensembl.org/id/WBGene00010035", "WBGene00010035")</f>
        <v>WBGene00010035</v>
      </c>
      <c r="B19902" s="9" t="str">
        <f>HYPERLINK("http://www.ncbi.nlm.nih.gov/gene/186222", "186222")</f>
        <v>186222</v>
      </c>
      <c r="C19902" s="9" t="str">
        <f>HYPERLINK("http://www.ncbi.nlm.nih.gov/gene/3033", "3033")</f>
        <v>3033</v>
      </c>
      <c r="D19902" t="str">
        <f>"F54C8.1"</f>
        <v>F54C8.1</v>
      </c>
      <c r="E19902" t="s">
        <v>10664</v>
      </c>
      <c r="F19902" t="s">
        <v>11</v>
      </c>
      <c r="G19902" t="s">
        <v>8440</v>
      </c>
      <c r="H19902" s="12">
        <v>-1.1649938201330601</v>
      </c>
      <c r="I19902" s="20">
        <v>-0.18037294838912399</v>
      </c>
      <c r="J19902" s="28">
        <v>0.85685979006367696</v>
      </c>
      <c r="K19902" s="29">
        <v>0.994271565763579</v>
      </c>
    </row>
    <row r="19903" spans="1:11" x14ac:dyDescent="0.35">
      <c r="A19903" s="9" t="str">
        <f>HYPERLINK("http://www.ensembl.org/id/WBGene00010045", "WBGene00010045")</f>
        <v>WBGene00010045</v>
      </c>
      <c r="B19903" s="9" t="str">
        <f>HYPERLINK("http://www.ncbi.nlm.nih.gov/gene/186226", "186226")</f>
        <v>186226</v>
      </c>
      <c r="C19903" s="9" t="str">
        <f>HYPERLINK("http://www.ncbi.nlm.nih.gov/gene/5866", "5866")</f>
        <v>5866</v>
      </c>
      <c r="D19903" t="str">
        <f>"F54C9.11"</f>
        <v>F54C9.11</v>
      </c>
      <c r="F19903" t="s">
        <v>11</v>
      </c>
      <c r="G19903" t="s">
        <v>10614</v>
      </c>
      <c r="H19903" s="12">
        <v>-1.0354039510028601</v>
      </c>
      <c r="I19903" s="20">
        <v>-0.179117091743631</v>
      </c>
      <c r="J19903" s="28">
        <v>0.85784576176371596</v>
      </c>
      <c r="K19903" s="29">
        <v>0.994271565763579</v>
      </c>
    </row>
    <row r="19904" spans="1:11" x14ac:dyDescent="0.35">
      <c r="A19904" s="9" t="str">
        <f>HYPERLINK("http://www.ensembl.org/id/WBGene00018842", "WBGene00018842")</f>
        <v>WBGene00018842</v>
      </c>
      <c r="B19904" s="9" t="str">
        <f>HYPERLINK("http://www.ncbi.nlm.nih.gov/gene/186266", "186266")</f>
        <v>186266</v>
      </c>
      <c r="C19904" s="9"/>
      <c r="D19904" t="str">
        <f>"F54H12.2"</f>
        <v>F54H12.2</v>
      </c>
      <c r="F19904" t="s">
        <v>11</v>
      </c>
      <c r="G19904" t="s">
        <v>10668</v>
      </c>
      <c r="H19904" s="12">
        <v>-1.36963788470046</v>
      </c>
      <c r="I19904" s="20">
        <v>-0.18014862212510599</v>
      </c>
      <c r="J19904" s="28">
        <v>0.85703589203290997</v>
      </c>
      <c r="K19904" s="29">
        <v>0.994271565763579</v>
      </c>
    </row>
    <row r="19905" spans="1:11" x14ac:dyDescent="0.35">
      <c r="A19905" s="9" t="str">
        <f>HYPERLINK("http://www.ensembl.org/id/WBGene00018873", "WBGene00018873")</f>
        <v>WBGene00018873</v>
      </c>
      <c r="B19905" s="9" t="str">
        <f>HYPERLINK("http://www.ncbi.nlm.nih.gov/gene/186303", "186303")</f>
        <v>186303</v>
      </c>
      <c r="C19905" s="9"/>
      <c r="D19905" t="str">
        <f>"F55C12.6"</f>
        <v>F55C12.6</v>
      </c>
      <c r="F19905" t="s">
        <v>11</v>
      </c>
      <c r="H19905" s="12">
        <v>1.13306633527321</v>
      </c>
      <c r="I19905" s="20">
        <v>0.17565904027503801</v>
      </c>
      <c r="J19905" s="28">
        <v>0.86056181598422798</v>
      </c>
      <c r="K19905" s="29">
        <v>0.994271565763579</v>
      </c>
    </row>
    <row r="19906" spans="1:11" x14ac:dyDescent="0.35">
      <c r="A19906" s="9" t="str">
        <f>HYPERLINK("http://www.ensembl.org/id/WBGene00018875", "WBGene00018875")</f>
        <v>WBGene00018875</v>
      </c>
      <c r="B19906" s="9" t="str">
        <f>HYPERLINK("http://www.ncbi.nlm.nih.gov/gene/186304", "186304")</f>
        <v>186304</v>
      </c>
      <c r="C19906" s="9"/>
      <c r="D19906" t="str">
        <f>"F55D1.1"</f>
        <v>F55D1.1</v>
      </c>
      <c r="F19906" t="s">
        <v>11</v>
      </c>
      <c r="H19906" s="12">
        <v>1.79408715352943</v>
      </c>
      <c r="I19906" s="20">
        <v>0.173550585897745</v>
      </c>
      <c r="J19906" s="28">
        <v>0.86221866928889102</v>
      </c>
      <c r="K19906" s="29">
        <v>0.994271565763579</v>
      </c>
    </row>
    <row r="19907" spans="1:11" x14ac:dyDescent="0.35">
      <c r="A19907" s="9" t="str">
        <f>HYPERLINK("http://www.ensembl.org/id/WBGene00010131", "WBGene00010131")</f>
        <v>WBGene00010131</v>
      </c>
      <c r="B19907" s="9" t="str">
        <f>HYPERLINK("http://www.ncbi.nlm.nih.gov/gene/186343", "186343")</f>
        <v>186343</v>
      </c>
      <c r="C19907" s="9" t="str">
        <f>HYPERLINK("http://www.ncbi.nlm.nih.gov/gene/1534", "1534")</f>
        <v>1534</v>
      </c>
      <c r="D19907" t="str">
        <f>"F55H2.5"</f>
        <v>F55H2.5</v>
      </c>
      <c r="E19907" t="s">
        <v>10599</v>
      </c>
      <c r="F19907" t="s">
        <v>11</v>
      </c>
      <c r="G19907" t="s">
        <v>10600</v>
      </c>
      <c r="H19907" s="12">
        <v>-1.0339742671247101</v>
      </c>
      <c r="I19907" s="20">
        <v>-0.174500016841761</v>
      </c>
      <c r="J19907" s="28">
        <v>0.86147251753199205</v>
      </c>
      <c r="K19907" s="29">
        <v>0.994271565763579</v>
      </c>
    </row>
    <row r="19908" spans="1:11" x14ac:dyDescent="0.35">
      <c r="A19908" s="9" t="str">
        <f>HYPERLINK("http://www.ensembl.org/id/WBGene00018937", "WBGene00018937")</f>
        <v>WBGene00018937</v>
      </c>
      <c r="B19908" s="9" t="str">
        <f>HYPERLINK("http://www.ncbi.nlm.nih.gov/gene/186359", "186359")</f>
        <v>186359</v>
      </c>
      <c r="C19908" s="9"/>
      <c r="D19908" t="str">
        <f>"F56B6.6"</f>
        <v>F56B6.6</v>
      </c>
      <c r="F19908" t="s">
        <v>11</v>
      </c>
      <c r="H19908" s="12">
        <v>1.06403170009633</v>
      </c>
      <c r="I19908" s="20">
        <v>0.18083743852443801</v>
      </c>
      <c r="J19908" s="28">
        <v>0.85649517585155599</v>
      </c>
      <c r="K19908" s="29">
        <v>0.994271565763579</v>
      </c>
    </row>
    <row r="19909" spans="1:11" x14ac:dyDescent="0.35">
      <c r="A19909" s="9" t="str">
        <f>HYPERLINK("http://www.ensembl.org/id/WBGene00018984", "WBGene00018984")</f>
        <v>WBGene00018984</v>
      </c>
      <c r="B19909" s="9" t="str">
        <f>HYPERLINK("http://www.ncbi.nlm.nih.gov/gene/24104657", "24104657")</f>
        <v>24104657</v>
      </c>
      <c r="C19909" s="9"/>
      <c r="D19909" t="str">
        <f>"F56F10.1"</f>
        <v>F56F10.1</v>
      </c>
      <c r="E19909" t="s">
        <v>10650</v>
      </c>
      <c r="F19909" t="s">
        <v>11</v>
      </c>
      <c r="G19909" t="s">
        <v>10651</v>
      </c>
      <c r="H19909" s="12">
        <v>-1.0444225136991001</v>
      </c>
      <c r="I19909" s="20">
        <v>-0.18520212071230799</v>
      </c>
      <c r="J19909" s="28">
        <v>0.85307050577946997</v>
      </c>
      <c r="K19909" s="29">
        <v>0.994271565763579</v>
      </c>
    </row>
    <row r="19910" spans="1:11" x14ac:dyDescent="0.35">
      <c r="A19910" s="9" t="str">
        <f>HYPERLINK("http://www.ensembl.org/id/WBGene00010216", "WBGene00010216")</f>
        <v>WBGene00010216</v>
      </c>
      <c r="B19910" s="9" t="str">
        <f>HYPERLINK("http://www.ncbi.nlm.nih.gov/gene/186468", "186468")</f>
        <v>186468</v>
      </c>
      <c r="C19910" s="9"/>
      <c r="D19910" t="str">
        <f>"F57G8.7"</f>
        <v>F57G8.7</v>
      </c>
      <c r="F19910" t="s">
        <v>11</v>
      </c>
      <c r="H19910" s="12">
        <v>1.75352385646303</v>
      </c>
      <c r="I19910" s="20">
        <v>0.16737746853691299</v>
      </c>
      <c r="J19910" s="28">
        <v>0.86707305258210998</v>
      </c>
      <c r="K19910" s="29">
        <v>0.994271565763579</v>
      </c>
    </row>
    <row r="19911" spans="1:11" x14ac:dyDescent="0.35">
      <c r="A19911" s="9" t="str">
        <f>HYPERLINK("http://www.ensembl.org/id/WBGene00044041", "WBGene00044041")</f>
        <v>WBGene00044041</v>
      </c>
      <c r="B19911" s="9"/>
      <c r="C19911" s="9"/>
      <c r="D19911" t="str">
        <f>"F57G9.6"</f>
        <v>F57G9.6</v>
      </c>
      <c r="F19911" t="s">
        <v>80</v>
      </c>
      <c r="H19911" s="12">
        <v>-1.11915809536474</v>
      </c>
      <c r="I19911" s="20">
        <v>-0.18960844401750401</v>
      </c>
      <c r="J19911" s="28">
        <v>0.84961596988016996</v>
      </c>
      <c r="K19911" s="29">
        <v>0.994271565763579</v>
      </c>
    </row>
    <row r="19912" spans="1:11" x14ac:dyDescent="0.35">
      <c r="A19912" s="9" t="str">
        <f>HYPERLINK("http://www.ensembl.org/id/WBGene00010257", "WBGene00010257")</f>
        <v>WBGene00010257</v>
      </c>
      <c r="B19912" s="9" t="str">
        <f>HYPERLINK("http://www.ncbi.nlm.nih.gov/gene/186527", "186527")</f>
        <v>186527</v>
      </c>
      <c r="C19912" s="9"/>
      <c r="D19912" t="str">
        <f>"F58E6.8"</f>
        <v>F58E6.8</v>
      </c>
      <c r="F19912" t="s">
        <v>11</v>
      </c>
      <c r="G19912" t="s">
        <v>25</v>
      </c>
      <c r="H19912" s="12">
        <v>-1.8016822568770801</v>
      </c>
      <c r="I19912" s="20">
        <v>-0.175677875261118</v>
      </c>
      <c r="J19912" s="28">
        <v>0.86054701793969501</v>
      </c>
      <c r="K19912" s="29">
        <v>0.994271565763579</v>
      </c>
    </row>
    <row r="19913" spans="1:11" x14ac:dyDescent="0.35">
      <c r="A19913" s="9" t="str">
        <f>HYPERLINK("http://www.ensembl.org/id/WBGene00198271", "WBGene00198271")</f>
        <v>WBGene00198271</v>
      </c>
      <c r="B19913" s="9"/>
      <c r="C19913" s="9"/>
      <c r="D19913" t="str">
        <f>"F58G1.12"</f>
        <v>F58G1.12</v>
      </c>
      <c r="F19913" t="s">
        <v>481</v>
      </c>
      <c r="H19913" s="12">
        <v>-1.8016822568770801</v>
      </c>
      <c r="I19913" s="20">
        <v>-0.175677875261118</v>
      </c>
      <c r="J19913" s="28">
        <v>0.86054701793969501</v>
      </c>
      <c r="K19913" s="29">
        <v>0.994271565763579</v>
      </c>
    </row>
    <row r="19914" spans="1:11" x14ac:dyDescent="0.35">
      <c r="A19914" s="9" t="str">
        <f>HYPERLINK("http://www.ensembl.org/id/WBGene00019084", "WBGene00019084")</f>
        <v>WBGene00019084</v>
      </c>
      <c r="B19914" s="9" t="str">
        <f>HYPERLINK("http://www.ncbi.nlm.nih.gov/gene/191710", "191710")</f>
        <v>191710</v>
      </c>
      <c r="C19914" s="9"/>
      <c r="D19914" t="str">
        <f>"F59A6.2"</f>
        <v>F59A6.2</v>
      </c>
      <c r="F19914" t="s">
        <v>11</v>
      </c>
      <c r="H19914" s="12">
        <v>1.27876347068908</v>
      </c>
      <c r="I19914" s="20">
        <v>0.19058645173057701</v>
      </c>
      <c r="J19914" s="28">
        <v>0.84884960557899902</v>
      </c>
      <c r="K19914" s="29">
        <v>0.994271565763579</v>
      </c>
    </row>
    <row r="19915" spans="1:11" x14ac:dyDescent="0.35">
      <c r="A19915" s="9" t="str">
        <f>HYPERLINK("http://www.ensembl.org/id/WBGene00045164", "WBGene00045164")</f>
        <v>WBGene00045164</v>
      </c>
      <c r="B19915" s="9"/>
      <c r="C19915" s="9"/>
      <c r="D19915" t="str">
        <f>"F59C6.15"</f>
        <v>F59C6.15</v>
      </c>
      <c r="F19915" t="s">
        <v>2977</v>
      </c>
      <c r="H19915" s="12">
        <v>1.79408715352943</v>
      </c>
      <c r="I19915" s="20">
        <v>0.173550585897745</v>
      </c>
      <c r="J19915" s="28">
        <v>0.86221866928889102</v>
      </c>
      <c r="K19915" s="29">
        <v>0.994271565763579</v>
      </c>
    </row>
    <row r="19916" spans="1:11" x14ac:dyDescent="0.35">
      <c r="A19916" s="9" t="str">
        <f>HYPERLINK("http://www.ensembl.org/id/WBGene00001400", "WBGene00001400")</f>
        <v>WBGene00001400</v>
      </c>
      <c r="B19916" s="9" t="str">
        <f>HYPERLINK("http://www.ncbi.nlm.nih.gov/gene/180609", "180609")</f>
        <v>180609</v>
      </c>
      <c r="C19916" s="9"/>
      <c r="D19916" t="str">
        <f>"fax-1"</f>
        <v>fax-1</v>
      </c>
      <c r="E19916" t="s">
        <v>10514</v>
      </c>
      <c r="F19916" t="s">
        <v>11</v>
      </c>
      <c r="G19916" t="s">
        <v>10515</v>
      </c>
      <c r="H19916" s="12">
        <v>1.0697168235138499</v>
      </c>
      <c r="I19916" s="20">
        <v>0.172067775600173</v>
      </c>
      <c r="J19916" s="28">
        <v>0.86338424622545495</v>
      </c>
      <c r="K19916" s="29">
        <v>0.994271565763579</v>
      </c>
    </row>
    <row r="19917" spans="1:11" x14ac:dyDescent="0.35">
      <c r="A19917" s="9" t="str">
        <f>HYPERLINK("http://www.ensembl.org/id/WBGene00007392", "WBGene00007392")</f>
        <v>WBGene00007392</v>
      </c>
      <c r="B19917" s="9" t="str">
        <f>HYPERLINK("http://www.ncbi.nlm.nih.gov/gene/180171", "180171")</f>
        <v>180171</v>
      </c>
      <c r="C19917" s="9"/>
      <c r="D19917" t="str">
        <f>"fbxa-156"</f>
        <v>fbxa-156</v>
      </c>
      <c r="E19917" t="s">
        <v>467</v>
      </c>
      <c r="F19917" t="s">
        <v>11</v>
      </c>
      <c r="G19917" t="s">
        <v>54</v>
      </c>
      <c r="H19917" s="12">
        <v>1.04191218569641</v>
      </c>
      <c r="I19917" s="20">
        <v>0.17813375760224101</v>
      </c>
      <c r="J19917" s="28">
        <v>0.85861793125142905</v>
      </c>
      <c r="K19917" s="29">
        <v>0.994271565763579</v>
      </c>
    </row>
    <row r="19918" spans="1:11" x14ac:dyDescent="0.35">
      <c r="A19918" s="9" t="str">
        <f>HYPERLINK("http://www.ensembl.org/id/WBGene00044403", "WBGene00044403")</f>
        <v>WBGene00044403</v>
      </c>
      <c r="B19918" s="9" t="str">
        <f>HYPERLINK("http://www.ncbi.nlm.nih.gov/gene/3565143", "3565143")</f>
        <v>3565143</v>
      </c>
      <c r="C19918" s="9"/>
      <c r="D19918" t="str">
        <f>"fbxa-219"</f>
        <v>fbxa-219</v>
      </c>
      <c r="E19918" t="s">
        <v>467</v>
      </c>
      <c r="F19918" t="s">
        <v>11</v>
      </c>
      <c r="G19918" t="s">
        <v>54</v>
      </c>
      <c r="H19918" s="12">
        <v>-1.0729242710202</v>
      </c>
      <c r="I19918" s="20">
        <v>-0.176040799477408</v>
      </c>
      <c r="J19918" s="28">
        <v>0.86026188958943295</v>
      </c>
      <c r="K19918" s="29">
        <v>0.994271565763579</v>
      </c>
    </row>
    <row r="19919" spans="1:11" x14ac:dyDescent="0.35">
      <c r="A19919" s="9" t="str">
        <f>HYPERLINK("http://www.ensembl.org/id/WBGene00022630", "WBGene00022630")</f>
        <v>WBGene00022630</v>
      </c>
      <c r="B19919" s="9"/>
      <c r="C19919" s="9"/>
      <c r="D19919" t="str">
        <f>"fbxa-223"</f>
        <v>fbxa-223</v>
      </c>
      <c r="F19919" t="s">
        <v>80</v>
      </c>
      <c r="H19919" s="12">
        <v>1.6118040239415801</v>
      </c>
      <c r="I19919" s="20">
        <v>0.16564692774905199</v>
      </c>
      <c r="J19919" s="28">
        <v>0.86843481441098702</v>
      </c>
      <c r="K19919" s="29">
        <v>0.994271565763579</v>
      </c>
    </row>
    <row r="19920" spans="1:11" x14ac:dyDescent="0.35">
      <c r="A19920" s="9" t="str">
        <f>HYPERLINK("http://www.ensembl.org/id/WBGene00012063", "WBGene00012063")</f>
        <v>WBGene00012063</v>
      </c>
      <c r="B19920" s="9" t="str">
        <f>HYPERLINK("http://www.ncbi.nlm.nih.gov/gene/188946", "188946")</f>
        <v>188946</v>
      </c>
      <c r="C19920" s="9"/>
      <c r="D19920" t="str">
        <f>"fbxb-1"</f>
        <v>fbxb-1</v>
      </c>
      <c r="E19920" t="s">
        <v>1436</v>
      </c>
      <c r="F19920" t="s">
        <v>11</v>
      </c>
      <c r="G19920" t="s">
        <v>54</v>
      </c>
      <c r="H19920" s="12">
        <v>1.1222856591072501</v>
      </c>
      <c r="I19920" s="20">
        <v>0.18257499155398499</v>
      </c>
      <c r="J19920" s="28">
        <v>0.85513150833977603</v>
      </c>
      <c r="K19920" s="29">
        <v>0.994271565763579</v>
      </c>
    </row>
    <row r="19921" spans="1:11" x14ac:dyDescent="0.35">
      <c r="A19921" s="9" t="str">
        <f>HYPERLINK("http://www.ensembl.org/id/WBGene00019702", "WBGene00019702")</f>
        <v>WBGene00019702</v>
      </c>
      <c r="B19921" s="9" t="str">
        <f>HYPERLINK("http://www.ncbi.nlm.nih.gov/gene/187366", "187366")</f>
        <v>187366</v>
      </c>
      <c r="C19921" s="9"/>
      <c r="D19921" t="str">
        <f>"fbxb-39"</f>
        <v>fbxb-39</v>
      </c>
      <c r="E19921" t="s">
        <v>1436</v>
      </c>
      <c r="F19921" t="s">
        <v>11</v>
      </c>
      <c r="G19921" t="s">
        <v>54</v>
      </c>
      <c r="H19921" s="12">
        <v>1.6118040239415801</v>
      </c>
      <c r="I19921" s="20">
        <v>0.16564692774905199</v>
      </c>
      <c r="J19921" s="28">
        <v>0.86843481441098702</v>
      </c>
      <c r="K19921" s="29">
        <v>0.994271565763579</v>
      </c>
    </row>
    <row r="19922" spans="1:11" x14ac:dyDescent="0.35">
      <c r="A19922" s="9" t="str">
        <f>HYPERLINK("http://www.ensembl.org/id/WBGene00018445", "WBGene00018445")</f>
        <v>WBGene00018445</v>
      </c>
      <c r="B19922" s="9" t="str">
        <f>HYPERLINK("http://www.ncbi.nlm.nih.gov/gene/185776", "185776")</f>
        <v>185776</v>
      </c>
      <c r="C19922" s="9"/>
      <c r="D19922" t="str">
        <f>"fbxb-5"</f>
        <v>fbxb-5</v>
      </c>
      <c r="E19922" t="s">
        <v>1436</v>
      </c>
      <c r="F19922" t="s">
        <v>11</v>
      </c>
      <c r="G19922" t="s">
        <v>54</v>
      </c>
      <c r="H19922" s="12">
        <v>1.2117899330222599</v>
      </c>
      <c r="I19922" s="20">
        <v>0.164508190393406</v>
      </c>
      <c r="J19922" s="28">
        <v>0.86933109958718402</v>
      </c>
      <c r="K19922" s="29">
        <v>0.994271565763579</v>
      </c>
    </row>
    <row r="19923" spans="1:11" x14ac:dyDescent="0.35">
      <c r="A19923" s="9" t="str">
        <f>HYPERLINK("http://www.ensembl.org/id/WBGene00010106", "WBGene00010106")</f>
        <v>WBGene00010106</v>
      </c>
      <c r="B19923" s="9" t="str">
        <f>HYPERLINK("http://www.ncbi.nlm.nih.gov/gene/186298", "186298")</f>
        <v>186298</v>
      </c>
      <c r="C19923" s="9"/>
      <c r="D19923" t="str">
        <f>"fbxb-61"</f>
        <v>fbxb-61</v>
      </c>
      <c r="E19923" t="s">
        <v>1436</v>
      </c>
      <c r="F19923" t="s">
        <v>11</v>
      </c>
      <c r="G19923" t="s">
        <v>54</v>
      </c>
      <c r="H19923" s="12">
        <v>-1.10734417968293</v>
      </c>
      <c r="I19923" s="20">
        <v>-0.164805277934231</v>
      </c>
      <c r="J19923" s="28">
        <v>0.86909724966080504</v>
      </c>
      <c r="K19923" s="29">
        <v>0.994271565763579</v>
      </c>
    </row>
    <row r="19924" spans="1:11" x14ac:dyDescent="0.35">
      <c r="A19924" s="9" t="str">
        <f>HYPERLINK("http://www.ensembl.org/id/WBGene00018236", "WBGene00018236")</f>
        <v>WBGene00018236</v>
      </c>
      <c r="B19924" s="9" t="str">
        <f>HYPERLINK("http://www.ncbi.nlm.nih.gov/gene/180618", "180618")</f>
        <v>180618</v>
      </c>
      <c r="C19924" s="9"/>
      <c r="D19924" t="str">
        <f>"fbxb-71"</f>
        <v>fbxb-71</v>
      </c>
      <c r="E19924" t="s">
        <v>1436</v>
      </c>
      <c r="F19924" t="s">
        <v>11</v>
      </c>
      <c r="G19924" t="s">
        <v>54</v>
      </c>
      <c r="H19924" s="12">
        <v>-1.1063188559735999</v>
      </c>
      <c r="I19924" s="20">
        <v>-0.17251635052094499</v>
      </c>
      <c r="J19924" s="28">
        <v>0.86303160821075098</v>
      </c>
      <c r="K19924" s="29">
        <v>0.994271565763579</v>
      </c>
    </row>
    <row r="19925" spans="1:11" x14ac:dyDescent="0.35">
      <c r="A19925" s="9" t="str">
        <f>HYPERLINK("http://www.ensembl.org/id/WBGene00011127", "WBGene00011127")</f>
        <v>WBGene00011127</v>
      </c>
      <c r="B19925" s="9" t="str">
        <f>HYPERLINK("http://www.ncbi.nlm.nih.gov/gene/187689", "187689")</f>
        <v>187689</v>
      </c>
      <c r="C19925" s="9"/>
      <c r="D19925" t="str">
        <f>"fbxb-79"</f>
        <v>fbxb-79</v>
      </c>
      <c r="E19925" t="s">
        <v>1436</v>
      </c>
      <c r="F19925" t="s">
        <v>11</v>
      </c>
      <c r="H19925" s="12">
        <v>-1.3844416391442</v>
      </c>
      <c r="I19925" s="20">
        <v>-0.19231152572463101</v>
      </c>
      <c r="J19925" s="28">
        <v>0.84749819068271404</v>
      </c>
      <c r="K19925" s="29">
        <v>0.994271565763579</v>
      </c>
    </row>
    <row r="19926" spans="1:11" x14ac:dyDescent="0.35">
      <c r="A19926" s="9" t="str">
        <f>HYPERLINK("http://www.ensembl.org/id/WBGene00007887", "WBGene00007887")</f>
        <v>WBGene00007887</v>
      </c>
      <c r="B19926" s="9" t="str">
        <f>HYPERLINK("http://www.ncbi.nlm.nih.gov/gene/177782", "177782")</f>
        <v>177782</v>
      </c>
      <c r="C19926" s="9"/>
      <c r="D19926" t="str">
        <f>"gadr-2"</f>
        <v>gadr-2</v>
      </c>
      <c r="F19926" t="s">
        <v>11</v>
      </c>
      <c r="G19926" t="s">
        <v>4486</v>
      </c>
      <c r="H19926" s="12">
        <v>1.08694018285672</v>
      </c>
      <c r="I19926" s="20">
        <v>0.165935415977019</v>
      </c>
      <c r="J19926" s="28">
        <v>0.86820777591964404</v>
      </c>
      <c r="K19926" s="29">
        <v>0.994271565763579</v>
      </c>
    </row>
    <row r="19927" spans="1:11" x14ac:dyDescent="0.35">
      <c r="A19927" s="9" t="str">
        <f>HYPERLINK("http://www.ensembl.org/id/WBGene00001520", "WBGene00001520")</f>
        <v>WBGene00001520</v>
      </c>
      <c r="B19927" s="9" t="str">
        <f>HYPERLINK("http://www.ncbi.nlm.nih.gov/gene/181646", "181646")</f>
        <v>181646</v>
      </c>
      <c r="C19927" s="9" t="str">
        <f>HYPERLINK("http://www.ncbi.nlm.nih.gov/gene/4720", "4720")</f>
        <v>4720</v>
      </c>
      <c r="D19927" t="str">
        <f>"gas-1"</f>
        <v>gas-1</v>
      </c>
      <c r="E19927" t="s">
        <v>10593</v>
      </c>
      <c r="F19927" t="s">
        <v>11</v>
      </c>
      <c r="G19927" t="s">
        <v>10594</v>
      </c>
      <c r="H19927" s="12">
        <v>-1.0331299053912999</v>
      </c>
      <c r="I19927" s="20">
        <v>-0.17044980409855001</v>
      </c>
      <c r="J19927" s="28">
        <v>0.86465640713747105</v>
      </c>
      <c r="K19927" s="29">
        <v>0.994271565763579</v>
      </c>
    </row>
    <row r="19928" spans="1:11" x14ac:dyDescent="0.35">
      <c r="A19928" s="9" t="str">
        <f>HYPERLINK("http://www.ensembl.org/id/WBGene00016335", "WBGene00016335")</f>
        <v>WBGene00016335</v>
      </c>
      <c r="B19928" s="9" t="str">
        <f>HYPERLINK("http://www.ncbi.nlm.nih.gov/gene/173574", "173574")</f>
        <v>173574</v>
      </c>
      <c r="C19928" s="9" t="str">
        <f>HYPERLINK("http://www.ncbi.nlm.nih.gov/gene/2629", "2629")</f>
        <v>2629</v>
      </c>
      <c r="D19928" t="str">
        <f>"gba-1"</f>
        <v>gba-1</v>
      </c>
      <c r="E19928" t="s">
        <v>10653</v>
      </c>
      <c r="F19928" t="s">
        <v>11</v>
      </c>
      <c r="G19928" t="s">
        <v>356</v>
      </c>
      <c r="H19928" s="12">
        <v>-1.046927939113</v>
      </c>
      <c r="I19928" s="20">
        <v>-0.164176907600245</v>
      </c>
      <c r="J19928" s="28">
        <v>0.86959187949247596</v>
      </c>
      <c r="K19928" s="29">
        <v>0.994271565763579</v>
      </c>
    </row>
    <row r="19929" spans="1:11" x14ac:dyDescent="0.35">
      <c r="A19929" s="9" t="str">
        <f>HYPERLINK("http://www.ensembl.org/id/WBGene00001589", "WBGene00001589")</f>
        <v>WBGene00001589</v>
      </c>
      <c r="B19929" s="9" t="str">
        <f>HYPERLINK("http://www.ncbi.nlm.nih.gov/gene/175355", "175355")</f>
        <v>175355</v>
      </c>
      <c r="C19929" s="9"/>
      <c r="D19929" t="str">
        <f>"gip-1"</f>
        <v>gip-1</v>
      </c>
      <c r="E19929" t="s">
        <v>10617</v>
      </c>
      <c r="F19929" t="s">
        <v>11</v>
      </c>
      <c r="G19929" t="s">
        <v>10618</v>
      </c>
      <c r="H19929" s="12">
        <v>-1.0357600219727701</v>
      </c>
      <c r="I19929" s="20">
        <v>-0.17910806394516901</v>
      </c>
      <c r="J19929" s="28">
        <v>0.857852850283365</v>
      </c>
      <c r="K19929" s="29">
        <v>0.994271565763579</v>
      </c>
    </row>
    <row r="19930" spans="1:11" x14ac:dyDescent="0.35">
      <c r="A19930" s="9" t="str">
        <f>HYPERLINK("http://www.ensembl.org/id/WBGene00001605", "WBGene00001605")</f>
        <v>WBGene00001605</v>
      </c>
      <c r="B19930" s="9"/>
      <c r="C19930" s="9"/>
      <c r="D19930" t="str">
        <f>"gln-4"</f>
        <v>gln-4</v>
      </c>
      <c r="F19930" t="s">
        <v>80</v>
      </c>
      <c r="H19930" s="12">
        <v>1.24368497796378</v>
      </c>
      <c r="I19930" s="20">
        <v>0.175685811569019</v>
      </c>
      <c r="J19930" s="28">
        <v>0.86054078265175304</v>
      </c>
      <c r="K19930" s="29">
        <v>0.994271565763579</v>
      </c>
    </row>
    <row r="19931" spans="1:11" x14ac:dyDescent="0.35">
      <c r="A19931" s="9" t="str">
        <f>HYPERLINK("http://www.ensembl.org/id/WBGene00001619", "WBGene00001619")</f>
        <v>WBGene00001619</v>
      </c>
      <c r="B19931" s="9" t="str">
        <f>HYPERLINK("http://www.ncbi.nlm.nih.gov/gene/180924", "180924")</f>
        <v>180924</v>
      </c>
      <c r="C19931" s="9"/>
      <c r="D19931" t="str">
        <f>"glr-8"</f>
        <v>glr-8</v>
      </c>
      <c r="E19931" t="s">
        <v>492</v>
      </c>
      <c r="F19931" t="s">
        <v>11</v>
      </c>
      <c r="G19931" t="s">
        <v>10508</v>
      </c>
      <c r="H19931" s="12">
        <v>1.08907314895175</v>
      </c>
      <c r="I19931" s="20">
        <v>0.18412123029945299</v>
      </c>
      <c r="J19931" s="28">
        <v>0.85391835182558895</v>
      </c>
      <c r="K19931" s="29">
        <v>0.994271565763579</v>
      </c>
    </row>
    <row r="19932" spans="1:11" x14ac:dyDescent="0.35">
      <c r="A19932" s="9" t="str">
        <f>HYPERLINK("http://www.ensembl.org/id/WBGene00001696", "WBGene00001696")</f>
        <v>WBGene00001696</v>
      </c>
      <c r="B19932" s="9" t="str">
        <f>HYPERLINK("http://www.ncbi.nlm.nih.gov/gene/191661", "191661")</f>
        <v>191661</v>
      </c>
      <c r="C19932" s="9"/>
      <c r="D19932" t="str">
        <f>"grd-7"</f>
        <v>grd-7</v>
      </c>
      <c r="E19932" t="s">
        <v>749</v>
      </c>
      <c r="F19932" t="s">
        <v>11</v>
      </c>
      <c r="G19932" t="s">
        <v>10494</v>
      </c>
      <c r="H19932" s="12">
        <v>1.81452741737493</v>
      </c>
      <c r="I19932" s="20">
        <v>0.18505421452922499</v>
      </c>
      <c r="J19932" s="28">
        <v>0.85318651278733704</v>
      </c>
      <c r="K19932" s="29">
        <v>0.994271565763579</v>
      </c>
    </row>
    <row r="19933" spans="1:11" x14ac:dyDescent="0.35">
      <c r="A19933" s="9" t="str">
        <f>HYPERLINK("http://www.ensembl.org/id/WBGene00001739", "WBGene00001739")</f>
        <v>WBGene00001739</v>
      </c>
      <c r="B19933" s="9" t="str">
        <f>HYPERLINK("http://www.ncbi.nlm.nih.gov/gene/13212329", "13212329")</f>
        <v>13212329</v>
      </c>
      <c r="C19933" s="9"/>
      <c r="D19933" t="str">
        <f>"grl-30"</f>
        <v>grl-30</v>
      </c>
      <c r="E19933" t="s">
        <v>353</v>
      </c>
      <c r="F19933" t="s">
        <v>11</v>
      </c>
      <c r="H19933" s="12">
        <v>1.75352385646303</v>
      </c>
      <c r="I19933" s="20">
        <v>0.16737746853691299</v>
      </c>
      <c r="J19933" s="28">
        <v>0.86707305258210998</v>
      </c>
      <c r="K19933" s="29">
        <v>0.994271565763579</v>
      </c>
    </row>
    <row r="19934" spans="1:11" x14ac:dyDescent="0.35">
      <c r="A19934" s="9" t="str">
        <f>HYPERLINK("http://www.ensembl.org/id/WBGene00001781", "WBGene00001781")</f>
        <v>WBGene00001781</v>
      </c>
      <c r="B19934" s="9" t="str">
        <f>HYPERLINK("http://www.ncbi.nlm.nih.gov/gene/178771", "178771")</f>
        <v>178771</v>
      </c>
      <c r="C19934" s="9" t="str">
        <f>HYPERLINK("http://www.ncbi.nlm.nih.gov/gene/27306", "27306")</f>
        <v>27306</v>
      </c>
      <c r="D19934" t="str">
        <f>"gst-33"</f>
        <v>gst-33</v>
      </c>
      <c r="E19934" t="s">
        <v>272</v>
      </c>
      <c r="F19934" t="s">
        <v>11</v>
      </c>
      <c r="G19934" t="s">
        <v>876</v>
      </c>
      <c r="H19934" s="12">
        <v>1.0515258378283301</v>
      </c>
      <c r="I19934" s="20">
        <v>0.16506725832466501</v>
      </c>
      <c r="J19934" s="28">
        <v>0.86889104352791202</v>
      </c>
      <c r="K19934" s="29">
        <v>0.994271565763579</v>
      </c>
    </row>
    <row r="19935" spans="1:11" x14ac:dyDescent="0.35">
      <c r="A19935" s="9" t="str">
        <f>HYPERLINK("http://www.ensembl.org/id/WBGene00001796", "WBGene00001796")</f>
        <v>WBGene00001796</v>
      </c>
      <c r="B19935" s="9" t="str">
        <f>HYPERLINK("http://www.ncbi.nlm.nih.gov/gene/178036", "178036")</f>
        <v>178036</v>
      </c>
      <c r="C19935" s="9"/>
      <c r="D19935" t="str">
        <f>"gtl-2"</f>
        <v>gtl-2</v>
      </c>
      <c r="E19935" t="s">
        <v>10660</v>
      </c>
      <c r="F19935" t="s">
        <v>11</v>
      </c>
      <c r="G19935" t="s">
        <v>10661</v>
      </c>
      <c r="H19935" s="12">
        <v>-1.1083295032537299</v>
      </c>
      <c r="I19935" s="20">
        <v>-0.17444626711504299</v>
      </c>
      <c r="J19935" s="28">
        <v>0.86151475580660297</v>
      </c>
      <c r="K19935" s="29">
        <v>0.994271565763579</v>
      </c>
    </row>
    <row r="19936" spans="1:11" x14ac:dyDescent="0.35">
      <c r="A19936" s="9" t="str">
        <f>HYPERLINK("http://www.ensembl.org/id/WBGene00006863", "WBGene00006863")</f>
        <v>WBGene00006863</v>
      </c>
      <c r="B19936" s="9" t="str">
        <f>HYPERLINK("http://www.ncbi.nlm.nih.gov/gene/180644", "180644")</f>
        <v>180644</v>
      </c>
      <c r="C19936" s="9" t="str">
        <f>HYPERLINK("http://www.ncbi.nlm.nih.gov/gene/8908", "8908")</f>
        <v>8908</v>
      </c>
      <c r="D19936" t="str">
        <f>"gyg-1"</f>
        <v>gyg-1</v>
      </c>
      <c r="E19936" t="s">
        <v>10632</v>
      </c>
      <c r="F19936" t="s">
        <v>11</v>
      </c>
      <c r="G19936" t="s">
        <v>10633</v>
      </c>
      <c r="H19936" s="12">
        <v>-1.0371918521519401</v>
      </c>
      <c r="I19936" s="20">
        <v>-0.181979237826738</v>
      </c>
      <c r="J19936" s="28">
        <v>0.85559901964565899</v>
      </c>
      <c r="K19936" s="29">
        <v>0.994271565763579</v>
      </c>
    </row>
    <row r="19937" spans="1:11" x14ac:dyDescent="0.35">
      <c r="A19937" s="9" t="str">
        <f>HYPERLINK("http://www.ensembl.org/id/WBGene00019144", "WBGene00019144")</f>
        <v>WBGene00019144</v>
      </c>
      <c r="B19937" s="9" t="str">
        <f>HYPERLINK("http://www.ncbi.nlm.nih.gov/gene/186664", "186664")</f>
        <v>186664</v>
      </c>
      <c r="C19937" s="9"/>
      <c r="D19937" t="str">
        <f>"H01M10.2"</f>
        <v>H01M10.2</v>
      </c>
      <c r="F19937" t="s">
        <v>11</v>
      </c>
      <c r="H19937" s="12">
        <v>-1.1148625186877199</v>
      </c>
      <c r="I19937" s="20">
        <v>-0.164147633730091</v>
      </c>
      <c r="J19937" s="28">
        <v>0.86961492404333596</v>
      </c>
      <c r="K19937" s="29">
        <v>0.994271565763579</v>
      </c>
    </row>
    <row r="19938" spans="1:11" x14ac:dyDescent="0.35">
      <c r="A19938" s="9" t="str">
        <f>HYPERLINK("http://www.ensembl.org/id/WBGene00019149", "WBGene00019149")</f>
        <v>WBGene00019149</v>
      </c>
      <c r="B19938" s="9" t="str">
        <f>HYPERLINK("http://www.ncbi.nlm.nih.gov/gene/186673", "186673")</f>
        <v>186673</v>
      </c>
      <c r="C19938" s="9"/>
      <c r="D19938" t="str">
        <f>"H03E18.2"</f>
        <v>H03E18.2</v>
      </c>
      <c r="F19938" t="s">
        <v>11</v>
      </c>
      <c r="G19938" t="s">
        <v>25</v>
      </c>
      <c r="H19938" s="12">
        <v>-1.07433606610321</v>
      </c>
      <c r="I19938" s="20">
        <v>-0.18640419554194301</v>
      </c>
      <c r="J19938" s="28">
        <v>0.85212780252576503</v>
      </c>
      <c r="K19938" s="29">
        <v>0.994271565763579</v>
      </c>
    </row>
    <row r="19939" spans="1:11" x14ac:dyDescent="0.35">
      <c r="A19939" s="9" t="str">
        <f>HYPERLINK("http://www.ensembl.org/id/WBGene00010364", "WBGene00010364")</f>
        <v>WBGene00010364</v>
      </c>
      <c r="B19939" s="9" t="str">
        <f>HYPERLINK("http://www.ncbi.nlm.nih.gov/gene/186680", "186680")</f>
        <v>186680</v>
      </c>
      <c r="C19939" s="9"/>
      <c r="D19939" t="str">
        <f>"H04D03.3"</f>
        <v>H04D03.3</v>
      </c>
      <c r="F19939" t="s">
        <v>11</v>
      </c>
      <c r="G19939" t="s">
        <v>7741</v>
      </c>
      <c r="H19939" s="12">
        <v>-1.18257177851481</v>
      </c>
      <c r="I19939" s="20">
        <v>-0.16677910377118299</v>
      </c>
      <c r="J19939" s="28">
        <v>0.86754386116239801</v>
      </c>
      <c r="K19939" s="29">
        <v>0.994271565763579</v>
      </c>
    </row>
    <row r="19940" spans="1:11" x14ac:dyDescent="0.35">
      <c r="A19940" s="9" t="str">
        <f>HYPERLINK("http://www.ensembl.org/id/WBGene00010401", "WBGene00010401")</f>
        <v>WBGene00010401</v>
      </c>
      <c r="B19940" s="9" t="str">
        <f>HYPERLINK("http://www.ncbi.nlm.nih.gov/gene/186747", "186747")</f>
        <v>186747</v>
      </c>
      <c r="C19940" s="9"/>
      <c r="D19940" t="str">
        <f>"H16D19.3"</f>
        <v>H16D19.3</v>
      </c>
      <c r="F19940" t="s">
        <v>11</v>
      </c>
      <c r="H19940" s="12">
        <v>1.21940267119016</v>
      </c>
      <c r="I19940" s="20">
        <v>0.17732121765720699</v>
      </c>
      <c r="J19940" s="28">
        <v>0.859256085591802</v>
      </c>
      <c r="K19940" s="29">
        <v>0.994271565763579</v>
      </c>
    </row>
    <row r="19941" spans="1:11" x14ac:dyDescent="0.35">
      <c r="A19941" s="9" t="str">
        <f>HYPERLINK("http://www.ensembl.org/id/WBGene00200796", "WBGene00200796")</f>
        <v>WBGene00200796</v>
      </c>
      <c r="B19941" s="9"/>
      <c r="C19941" s="9"/>
      <c r="D19941" t="str">
        <f>"H22K11.12"</f>
        <v>H22K11.12</v>
      </c>
      <c r="F19941" t="s">
        <v>481</v>
      </c>
      <c r="H19941" s="12">
        <v>1.79408715352943</v>
      </c>
      <c r="I19941" s="20">
        <v>0.173550585897745</v>
      </c>
      <c r="J19941" s="28">
        <v>0.86221866928889102</v>
      </c>
      <c r="K19941" s="29">
        <v>0.994271565763579</v>
      </c>
    </row>
    <row r="19942" spans="1:11" x14ac:dyDescent="0.35">
      <c r="A19942" s="9" t="str">
        <f>HYPERLINK("http://www.ensembl.org/id/WBGene00001905", "WBGene00001905")</f>
        <v>WBGene00001905</v>
      </c>
      <c r="B19942" s="9" t="str">
        <f>HYPERLINK("http://www.ncbi.nlm.nih.gov/gene/191677", "191677")</f>
        <v>191677</v>
      </c>
      <c r="C19942" s="9" t="str">
        <f>HYPERLINK("http://www.ncbi.nlm.nih.gov/gene/8329", "8329")</f>
        <v>8329</v>
      </c>
      <c r="D19942" t="str">
        <f>"his-31"</f>
        <v>his-31</v>
      </c>
      <c r="E19942" t="s">
        <v>2675</v>
      </c>
      <c r="F19942" t="s">
        <v>11</v>
      </c>
      <c r="G19942" t="s">
        <v>232</v>
      </c>
      <c r="H19942" s="12">
        <v>1.13784475611082</v>
      </c>
      <c r="I19942" s="20">
        <v>0.175850689725494</v>
      </c>
      <c r="J19942" s="28">
        <v>0.86041124544343395</v>
      </c>
      <c r="K19942" s="29">
        <v>0.994271565763579</v>
      </c>
    </row>
    <row r="19943" spans="1:11" x14ac:dyDescent="0.35">
      <c r="A19943" s="9" t="str">
        <f>HYPERLINK("http://www.ensembl.org/id/WBGene00013976", "WBGene00013976")</f>
        <v>WBGene00013976</v>
      </c>
      <c r="B19943" s="9" t="str">
        <f>HYPERLINK("http://www.ncbi.nlm.nih.gov/gene/191322", "191322")</f>
        <v>191322</v>
      </c>
      <c r="C19943" s="9"/>
      <c r="D19943" t="str">
        <f>"hizr-1"</f>
        <v>hizr-1</v>
      </c>
      <c r="E19943" t="s">
        <v>10525</v>
      </c>
      <c r="F19943" t="s">
        <v>11</v>
      </c>
      <c r="G19943" t="s">
        <v>852</v>
      </c>
      <c r="H19943" s="12">
        <v>1.0564044733874001</v>
      </c>
      <c r="I19943" s="20">
        <v>0.17133045163875499</v>
      </c>
      <c r="J19943" s="28">
        <v>0.86396393751121303</v>
      </c>
      <c r="K19943" s="29">
        <v>0.994271565763579</v>
      </c>
    </row>
    <row r="19944" spans="1:11" x14ac:dyDescent="0.35">
      <c r="A19944" s="9" t="str">
        <f>HYPERLINK("http://www.ensembl.org/id/WBGene00001994", "WBGene00001994")</f>
        <v>WBGene00001994</v>
      </c>
      <c r="B19944" s="9" t="str">
        <f>HYPERLINK("http://www.ncbi.nlm.nih.gov/gene/180695", "180695")</f>
        <v>180695</v>
      </c>
      <c r="C19944" s="9"/>
      <c r="D19944" t="str">
        <f>"hpk-1"</f>
        <v>hpk-1</v>
      </c>
      <c r="E19944" t="s">
        <v>10608</v>
      </c>
      <c r="F19944" t="s">
        <v>11</v>
      </c>
      <c r="G19944" t="s">
        <v>444</v>
      </c>
      <c r="H19944" s="12">
        <v>-1.03431327295056</v>
      </c>
      <c r="I19944" s="20">
        <v>-0.185423699199109</v>
      </c>
      <c r="J19944" s="28">
        <v>0.85289672144436801</v>
      </c>
      <c r="K19944" s="29">
        <v>0.994271565763579</v>
      </c>
    </row>
    <row r="19945" spans="1:11" x14ac:dyDescent="0.35">
      <c r="A19945" s="9" t="str">
        <f>HYPERLINK("http://www.ensembl.org/id/WBGene00022020", "WBGene00022020")</f>
        <v>WBGene00022020</v>
      </c>
      <c r="B19945" s="9" t="str">
        <f>HYPERLINK("http://www.ncbi.nlm.nih.gov/gene/190447", "190447")</f>
        <v>190447</v>
      </c>
      <c r="C19945" s="9"/>
      <c r="D19945" t="str">
        <f>"hpo-39"</f>
        <v>hpo-39</v>
      </c>
      <c r="F19945" t="s">
        <v>11</v>
      </c>
      <c r="H19945" s="12">
        <v>-1.8242660066282399</v>
      </c>
      <c r="I19945" s="20">
        <v>-0.178503478299601</v>
      </c>
      <c r="J19945" s="28">
        <v>0.85832758977776702</v>
      </c>
      <c r="K19945" s="29">
        <v>0.994271565763579</v>
      </c>
    </row>
    <row r="19946" spans="1:11" x14ac:dyDescent="0.35">
      <c r="A19946" s="9" t="str">
        <f>HYPERLINK("http://www.ensembl.org/id/WBGene00009494", "WBGene00009494")</f>
        <v>WBGene00009494</v>
      </c>
      <c r="B19946" s="9" t="str">
        <f>HYPERLINK("http://www.ncbi.nlm.nih.gov/gene/3565185", "3565185")</f>
        <v>3565185</v>
      </c>
      <c r="C19946" s="9"/>
      <c r="D19946" t="str">
        <f>"hrg-5"</f>
        <v>hrg-5</v>
      </c>
      <c r="E19946" t="s">
        <v>10506</v>
      </c>
      <c r="F19946" t="s">
        <v>11</v>
      </c>
      <c r="G19946" t="s">
        <v>4882</v>
      </c>
      <c r="H19946" s="12">
        <v>1.10269444048902</v>
      </c>
      <c r="I19946" s="20">
        <v>0.17868920923554099</v>
      </c>
      <c r="J19946" s="28">
        <v>0.85818174259729896</v>
      </c>
      <c r="K19946" s="29">
        <v>0.994271565763579</v>
      </c>
    </row>
    <row r="19947" spans="1:11" x14ac:dyDescent="0.35">
      <c r="A19947" s="9" t="str">
        <f>HYPERLINK("http://www.ensembl.org/id/WBGene00002016", "WBGene00002016")</f>
        <v>WBGene00002016</v>
      </c>
      <c r="B19947" s="9" t="str">
        <f>HYPERLINK("http://www.ncbi.nlm.nih.gov/gene/178659", "178659")</f>
        <v>178659</v>
      </c>
      <c r="C19947" s="9"/>
      <c r="D19947" t="str">
        <f>"hsp-16.2"</f>
        <v>hsp-16.2</v>
      </c>
      <c r="E19947" t="s">
        <v>10582</v>
      </c>
      <c r="F19947" t="s">
        <v>11</v>
      </c>
      <c r="G19947" t="s">
        <v>51</v>
      </c>
      <c r="H19947" s="12">
        <v>1.0304007305442</v>
      </c>
      <c r="I19947" s="20">
        <v>0.16401747040859199</v>
      </c>
      <c r="J19947" s="28">
        <v>0.86971739066322196</v>
      </c>
      <c r="K19947" s="29">
        <v>0.994271565763579</v>
      </c>
    </row>
    <row r="19948" spans="1:11" x14ac:dyDescent="0.35">
      <c r="A19948" s="9" t="str">
        <f>HYPERLINK("http://www.ensembl.org/id/WBGene00002007", "WBGene00002007")</f>
        <v>WBGene00002007</v>
      </c>
      <c r="B19948" s="9" t="str">
        <f>HYPERLINK("http://www.ncbi.nlm.nih.gov/gene/180880", "180880")</f>
        <v>180880</v>
      </c>
      <c r="C19948" s="9" t="str">
        <f>HYPERLINK("http://www.ncbi.nlm.nih.gov/gene/3309", "3309")</f>
        <v>3309</v>
      </c>
      <c r="D19948" t="str">
        <f>"hsp-3"</f>
        <v>hsp-3</v>
      </c>
      <c r="E19948" t="s">
        <v>10612</v>
      </c>
      <c r="F19948" t="s">
        <v>11</v>
      </c>
      <c r="G19948" t="s">
        <v>1970</v>
      </c>
      <c r="H19948" s="12">
        <v>-1.0348035448411601</v>
      </c>
      <c r="I19948" s="20">
        <v>-0.18977286473112201</v>
      </c>
      <c r="J19948" s="28">
        <v>0.84948712027871198</v>
      </c>
      <c r="K19948" s="29">
        <v>0.994271565763579</v>
      </c>
    </row>
    <row r="19949" spans="1:11" x14ac:dyDescent="0.35">
      <c r="A19949" s="9" t="str">
        <f>HYPERLINK("http://www.ensembl.org/id/WBGene00014240", "WBGene00014240")</f>
        <v>WBGene00014240</v>
      </c>
      <c r="B19949" s="9" t="str">
        <f>HYPERLINK("http://www.ncbi.nlm.nih.gov/gene/191549", "191549")</f>
        <v>191549</v>
      </c>
      <c r="C19949" s="9"/>
      <c r="D19949" t="str">
        <f>"htas-1"</f>
        <v>htas-1</v>
      </c>
      <c r="E19949" t="s">
        <v>1912</v>
      </c>
      <c r="F19949" t="s">
        <v>11</v>
      </c>
      <c r="G19949" t="s">
        <v>10666</v>
      </c>
      <c r="H19949" s="12">
        <v>-1.2132079255868</v>
      </c>
      <c r="I19949" s="20">
        <v>-0.181274750754993</v>
      </c>
      <c r="J19949" s="28">
        <v>0.85615192366619197</v>
      </c>
      <c r="K19949" s="29">
        <v>0.994271565763579</v>
      </c>
    </row>
    <row r="19950" spans="1:11" x14ac:dyDescent="0.35">
      <c r="A19950" s="9" t="str">
        <f>HYPERLINK("http://www.ensembl.org/id/WBGene00002060", "WBGene00002060")</f>
        <v>WBGene00002060</v>
      </c>
      <c r="B19950" s="9" t="str">
        <f>HYPERLINK("http://www.ncbi.nlm.nih.gov/gene/180393", "180393")</f>
        <v>180393</v>
      </c>
      <c r="C19950" s="9"/>
      <c r="D19950" t="str">
        <f>"ife-2"</f>
        <v>ife-2</v>
      </c>
      <c r="E19950" t="s">
        <v>10589</v>
      </c>
      <c r="F19950" t="s">
        <v>11</v>
      </c>
      <c r="G19950" t="s">
        <v>979</v>
      </c>
      <c r="H19950" s="12">
        <v>-1.03229093469921</v>
      </c>
      <c r="I19950" s="20">
        <v>-0.168097174406624</v>
      </c>
      <c r="J19950" s="28">
        <v>0.86650683221923896</v>
      </c>
      <c r="K19950" s="29">
        <v>0.994271565763579</v>
      </c>
    </row>
    <row r="19951" spans="1:11" x14ac:dyDescent="0.35">
      <c r="A19951" s="9" t="str">
        <f>HYPERLINK("http://www.ensembl.org/id/WBGene00016783", "WBGene00016783")</f>
        <v>WBGene00016783</v>
      </c>
      <c r="B19951" s="9" t="str">
        <f>HYPERLINK("http://www.ncbi.nlm.nih.gov/gene/183619", "183619")</f>
        <v>183619</v>
      </c>
      <c r="C19951" s="9"/>
      <c r="D19951" t="str">
        <f>"irg-2"</f>
        <v>irg-2</v>
      </c>
      <c r="E19951" t="s">
        <v>1875</v>
      </c>
      <c r="F19951" t="s">
        <v>11</v>
      </c>
      <c r="G19951" t="s">
        <v>264</v>
      </c>
      <c r="H19951" s="12">
        <v>-1.0575200023098601</v>
      </c>
      <c r="I19951" s="20">
        <v>-0.18836131106823001</v>
      </c>
      <c r="J19951" s="28">
        <v>0.85059342609533495</v>
      </c>
      <c r="K19951" s="29">
        <v>0.994271565763579</v>
      </c>
    </row>
    <row r="19952" spans="1:11" x14ac:dyDescent="0.35">
      <c r="A19952" s="9" t="str">
        <f>HYPERLINK("http://www.ensembl.org/id/WBGene00020431", "WBGene00020431")</f>
        <v>WBGene00020431</v>
      </c>
      <c r="B19952" s="9" t="str">
        <f>HYPERLINK("http://www.ncbi.nlm.nih.gov/gene/188414", "188414")</f>
        <v>188414</v>
      </c>
      <c r="C19952" s="9"/>
      <c r="D19952" t="str">
        <f>"irld-50"</f>
        <v>irld-50</v>
      </c>
      <c r="E19952" t="s">
        <v>1627</v>
      </c>
      <c r="F19952" t="s">
        <v>11</v>
      </c>
      <c r="H19952" s="12">
        <v>1.79408715352943</v>
      </c>
      <c r="I19952" s="20">
        <v>0.173550585897745</v>
      </c>
      <c r="J19952" s="28">
        <v>0.86221866928889102</v>
      </c>
      <c r="K19952" s="29">
        <v>0.994271565763579</v>
      </c>
    </row>
    <row r="19953" spans="1:11" x14ac:dyDescent="0.35">
      <c r="A19953" s="9" t="str">
        <f>HYPERLINK("http://www.ensembl.org/id/WBGene00022715", "WBGene00022715")</f>
        <v>WBGene00022715</v>
      </c>
      <c r="B19953" s="9" t="str">
        <f>HYPERLINK("http://www.ncbi.nlm.nih.gov/gene/191300", "191300")</f>
        <v>191300</v>
      </c>
      <c r="C19953" s="9"/>
      <c r="D19953" t="str">
        <f>"irld-65"</f>
        <v>irld-65</v>
      </c>
      <c r="E19953" t="s">
        <v>1627</v>
      </c>
      <c r="F19953" t="s">
        <v>11</v>
      </c>
      <c r="H19953" s="12">
        <v>1.28211813698674</v>
      </c>
      <c r="I19953" s="20">
        <v>0.16719029818550299</v>
      </c>
      <c r="J19953" s="28">
        <v>0.86722031790380905</v>
      </c>
      <c r="K19953" s="29">
        <v>0.994271565763579</v>
      </c>
    </row>
    <row r="19954" spans="1:11" x14ac:dyDescent="0.35">
      <c r="A19954" s="9" t="str">
        <f>HYPERLINK("http://www.ensembl.org/id/WBGene00007262", "WBGene00007262")</f>
        <v>WBGene00007262</v>
      </c>
      <c r="B19954" s="9" t="str">
        <f>HYPERLINK("http://www.ncbi.nlm.nih.gov/gene/182109", "182109")</f>
        <v>182109</v>
      </c>
      <c r="C19954" s="9"/>
      <c r="D19954" t="str">
        <f>"jud-4"</f>
        <v>jud-4</v>
      </c>
      <c r="F19954" t="s">
        <v>11</v>
      </c>
      <c r="H19954" s="12">
        <v>-1.28547279524915</v>
      </c>
      <c r="I19954" s="20">
        <v>-0.17860083891213399</v>
      </c>
      <c r="J19954" s="28">
        <v>0.85825113572443201</v>
      </c>
      <c r="K19954" s="29">
        <v>0.994271565763579</v>
      </c>
    </row>
    <row r="19955" spans="1:11" x14ac:dyDescent="0.35">
      <c r="A19955" s="9" t="str">
        <f>HYPERLINK("http://www.ensembl.org/id/WBGene00201521", "WBGene00201521")</f>
        <v>WBGene00201521</v>
      </c>
      <c r="B19955" s="9"/>
      <c r="C19955" s="9"/>
      <c r="D19955" t="str">
        <f>"K02A4.12"</f>
        <v>K02A4.12</v>
      </c>
      <c r="F19955" t="s">
        <v>481</v>
      </c>
      <c r="H19955" s="12">
        <v>-1.73457001584991</v>
      </c>
      <c r="I19955" s="20">
        <v>-0.165559698280943</v>
      </c>
      <c r="J19955" s="28">
        <v>0.86850346561216996</v>
      </c>
      <c r="K19955" s="29">
        <v>0.994271565763579</v>
      </c>
    </row>
    <row r="19956" spans="1:11" x14ac:dyDescent="0.35">
      <c r="A19956" s="9" t="str">
        <f>HYPERLINK("http://www.ensembl.org/id/WBGene00010495", "WBGene00010495")</f>
        <v>WBGene00010495</v>
      </c>
      <c r="B19956" s="9" t="str">
        <f>HYPERLINK("http://www.ncbi.nlm.nih.gov/gene/186868", "186868")</f>
        <v>186868</v>
      </c>
      <c r="C19956" s="9"/>
      <c r="D19956" t="str">
        <f>"K02B12.2"</f>
        <v>K02B12.2</v>
      </c>
      <c r="F19956" t="s">
        <v>11</v>
      </c>
      <c r="H19956" s="12">
        <v>1.0578812610698101</v>
      </c>
      <c r="I19956" s="20">
        <v>0.17003697216226499</v>
      </c>
      <c r="J19956" s="28">
        <v>0.86498106042687695</v>
      </c>
      <c r="K19956" s="29">
        <v>0.994271565763579</v>
      </c>
    </row>
    <row r="19957" spans="1:11" x14ac:dyDescent="0.35">
      <c r="A19957" s="9" t="str">
        <f>HYPERLINK("http://www.ensembl.org/id/WBGene00019303", "WBGene00019303")</f>
        <v>WBGene00019303</v>
      </c>
      <c r="B19957" s="9" t="str">
        <f>HYPERLINK("http://www.ncbi.nlm.nih.gov/gene/186878", "186878")</f>
        <v>186878</v>
      </c>
      <c r="C19957" s="9"/>
      <c r="D19957" t="str">
        <f>"K02D10.3"</f>
        <v>K02D10.3</v>
      </c>
      <c r="F19957" t="s">
        <v>11</v>
      </c>
      <c r="H19957" s="12">
        <v>-1.18971674376085</v>
      </c>
      <c r="I19957" s="20">
        <v>-0.190918185181672</v>
      </c>
      <c r="J19957" s="28">
        <v>0.84858969251451299</v>
      </c>
      <c r="K19957" s="29">
        <v>0.994271565763579</v>
      </c>
    </row>
    <row r="19958" spans="1:11" x14ac:dyDescent="0.35">
      <c r="A19958" s="9" t="str">
        <f>HYPERLINK("http://www.ensembl.org/id/WBGene00019309", "WBGene00019309")</f>
        <v>WBGene00019309</v>
      </c>
      <c r="B19958" s="9" t="str">
        <f>HYPERLINK("http://www.ncbi.nlm.nih.gov/gene/353388", "353388")</f>
        <v>353388</v>
      </c>
      <c r="C19958" s="9"/>
      <c r="D19958" t="str">
        <f>"K02E7.4"</f>
        <v>K02E7.4</v>
      </c>
      <c r="F19958" t="s">
        <v>11</v>
      </c>
      <c r="H19958" s="12">
        <v>1.8135090907084399</v>
      </c>
      <c r="I19958" s="20">
        <v>0.17820138943026001</v>
      </c>
      <c r="J19958" s="28">
        <v>0.85856481858144096</v>
      </c>
      <c r="K19958" s="29">
        <v>0.994271565763579</v>
      </c>
    </row>
    <row r="19959" spans="1:11" x14ac:dyDescent="0.35">
      <c r="A19959" s="9" t="str">
        <f>HYPERLINK("http://www.ensembl.org/id/WBGene00023315", "WBGene00023315")</f>
        <v>WBGene00023315</v>
      </c>
      <c r="B19959" s="9"/>
      <c r="C19959" s="9"/>
      <c r="D19959" t="str">
        <f>"K02E7.8"</f>
        <v>K02E7.8</v>
      </c>
      <c r="F19959" t="s">
        <v>80</v>
      </c>
      <c r="H19959" s="12">
        <v>-1.8016822568770801</v>
      </c>
      <c r="I19959" s="20">
        <v>-0.175677875261118</v>
      </c>
      <c r="J19959" s="28">
        <v>0.86054701793969501</v>
      </c>
      <c r="K19959" s="29">
        <v>0.994271565763579</v>
      </c>
    </row>
    <row r="19960" spans="1:11" x14ac:dyDescent="0.35">
      <c r="A19960" s="9" t="str">
        <f>HYPERLINK("http://www.ensembl.org/id/WBGene00010547", "WBGene00010547")</f>
        <v>WBGene00010547</v>
      </c>
      <c r="B19960" s="9" t="str">
        <f>HYPERLINK("http://www.ncbi.nlm.nih.gov/gene/176406", "176406")</f>
        <v>176406</v>
      </c>
      <c r="C19960" s="9"/>
      <c r="D19960" t="str">
        <f>"K03H1.12"</f>
        <v>K03H1.12</v>
      </c>
      <c r="F19960" t="s">
        <v>11</v>
      </c>
      <c r="G19960" t="s">
        <v>25</v>
      </c>
      <c r="H19960" s="12">
        <v>1.51057048523098</v>
      </c>
      <c r="I19960" s="20">
        <v>0.17305047390013001</v>
      </c>
      <c r="J19960" s="28">
        <v>0.86261175361888498</v>
      </c>
      <c r="K19960" s="29">
        <v>0.994271565763579</v>
      </c>
    </row>
    <row r="19961" spans="1:11" x14ac:dyDescent="0.35">
      <c r="A19961" s="9" t="str">
        <f>HYPERLINK("http://www.ensembl.org/id/WBGene00010571", "WBGene00010571")</f>
        <v>WBGene00010571</v>
      </c>
      <c r="B19961" s="9" t="str">
        <f>HYPERLINK("http://www.ncbi.nlm.nih.gov/gene/187011", "187011")</f>
        <v>187011</v>
      </c>
      <c r="C19961" s="9"/>
      <c r="D19961" t="str">
        <f>"K04G11.3"</f>
        <v>K04G11.3</v>
      </c>
      <c r="F19961" t="s">
        <v>11</v>
      </c>
      <c r="H19961" s="12">
        <v>1.0521255431757099</v>
      </c>
      <c r="I19961" s="20">
        <v>0.16931833348363001</v>
      </c>
      <c r="J19961" s="28">
        <v>0.86554625614320202</v>
      </c>
      <c r="K19961" s="29">
        <v>0.994271565763579</v>
      </c>
    </row>
    <row r="19962" spans="1:11" x14ac:dyDescent="0.35">
      <c r="A19962" s="9" t="str">
        <f>HYPERLINK("http://www.ensembl.org/id/WBGene00019421", "WBGene00019421")</f>
        <v>WBGene00019421</v>
      </c>
      <c r="B19962" s="9" t="str">
        <f>HYPERLINK("http://www.ncbi.nlm.nih.gov/gene/187039", "187039")</f>
        <v>187039</v>
      </c>
      <c r="C19962" s="9"/>
      <c r="D19962" t="str">
        <f>"K05F6.10"</f>
        <v>K05F6.10</v>
      </c>
      <c r="F19962" t="s">
        <v>11</v>
      </c>
      <c r="G19962" t="s">
        <v>54</v>
      </c>
      <c r="H19962" s="12">
        <v>1.0577016798368799</v>
      </c>
      <c r="I19962" s="20">
        <v>0.16366054681665301</v>
      </c>
      <c r="J19962" s="28">
        <v>0.86999837776370004</v>
      </c>
      <c r="K19962" s="29">
        <v>0.994271565763579</v>
      </c>
    </row>
    <row r="19963" spans="1:11" x14ac:dyDescent="0.35">
      <c r="A19963" s="9" t="str">
        <f>HYPERLINK("http://www.ensembl.org/id/WBGene00019452", "WBGene00019452")</f>
        <v>WBGene00019452</v>
      </c>
      <c r="B19963" s="9" t="str">
        <f>HYPERLINK("http://www.ncbi.nlm.nih.gov/gene/187073", "187073")</f>
        <v>187073</v>
      </c>
      <c r="C19963" s="9"/>
      <c r="D19963" t="str">
        <f>"K06H6.4"</f>
        <v>K06H6.4</v>
      </c>
      <c r="F19963" t="s">
        <v>11</v>
      </c>
      <c r="G19963" t="s">
        <v>1686</v>
      </c>
      <c r="H19963" s="12">
        <v>1.75352385646303</v>
      </c>
      <c r="I19963" s="20">
        <v>0.16737746853691299</v>
      </c>
      <c r="J19963" s="28">
        <v>0.86707305258210998</v>
      </c>
      <c r="K19963" s="29">
        <v>0.994271565763579</v>
      </c>
    </row>
    <row r="19964" spans="1:11" x14ac:dyDescent="0.35">
      <c r="A19964" s="9" t="str">
        <f>HYPERLINK("http://www.ensembl.org/id/WBGene00019456", "WBGene00019456")</f>
        <v>WBGene00019456</v>
      </c>
      <c r="B19964" s="9" t="str">
        <f>HYPERLINK("http://www.ncbi.nlm.nih.gov/gene/187077", "187077")</f>
        <v>187077</v>
      </c>
      <c r="C19964" s="9"/>
      <c r="D19964" t="str">
        <f>"K06H7.2"</f>
        <v>K06H7.2</v>
      </c>
      <c r="F19964" t="s">
        <v>11</v>
      </c>
      <c r="G19964" t="s">
        <v>54</v>
      </c>
      <c r="H19964" s="12">
        <v>1.0413299955600901</v>
      </c>
      <c r="I19964" s="20">
        <v>0.185634514581591</v>
      </c>
      <c r="J19964" s="28">
        <v>0.85273138525591896</v>
      </c>
      <c r="K19964" s="29">
        <v>0.994271565763579</v>
      </c>
    </row>
    <row r="19965" spans="1:11" x14ac:dyDescent="0.35">
      <c r="A19965" s="9" t="str">
        <f>HYPERLINK("http://www.ensembl.org/id/WBGene00219551", "WBGene00219551")</f>
        <v>WBGene00219551</v>
      </c>
      <c r="B19965" s="9"/>
      <c r="C19965" s="9"/>
      <c r="D19965" t="str">
        <f>"K07F5.21"</f>
        <v>K07F5.21</v>
      </c>
      <c r="F19965" t="s">
        <v>481</v>
      </c>
      <c r="H19965" s="12">
        <v>-1.3149488405069001</v>
      </c>
      <c r="I19965" s="20">
        <v>-0.17964189846986101</v>
      </c>
      <c r="J19965" s="28">
        <v>0.85743370950250097</v>
      </c>
      <c r="K19965" s="29">
        <v>0.994271565763579</v>
      </c>
    </row>
    <row r="19966" spans="1:11" x14ac:dyDescent="0.35">
      <c r="A19966" s="9" t="str">
        <f>HYPERLINK("http://www.ensembl.org/id/WBGene00303023", "WBGene00303023")</f>
        <v>WBGene00303023</v>
      </c>
      <c r="B19966" s="9" t="str">
        <f>HYPERLINK("http://www.ncbi.nlm.nih.gov/gene/177838", "177838")</f>
        <v>177838</v>
      </c>
      <c r="C19966" s="9" t="str">
        <f>HYPERLINK("http://www.ncbi.nlm.nih.gov/gene/56900", "56900")</f>
        <v>56900</v>
      </c>
      <c r="D19966" t="str">
        <f>"K07F5.22"</f>
        <v>K07F5.22</v>
      </c>
      <c r="F19966" t="s">
        <v>11</v>
      </c>
      <c r="G19966" t="s">
        <v>10556</v>
      </c>
      <c r="H19966" s="12">
        <v>1.0359496160639501</v>
      </c>
      <c r="I19966" s="20">
        <v>0.17151692592562401</v>
      </c>
      <c r="J19966" s="28">
        <v>0.86381732267842504</v>
      </c>
      <c r="K19966" s="29">
        <v>0.994271565763579</v>
      </c>
    </row>
    <row r="19967" spans="1:11" x14ac:dyDescent="0.35">
      <c r="A19967" s="9" t="str">
        <f>HYPERLINK("http://www.ensembl.org/id/WBGene00194926", "WBGene00194926")</f>
        <v>WBGene00194926</v>
      </c>
      <c r="B19967" s="9" t="str">
        <f>HYPERLINK("http://www.ncbi.nlm.nih.gov/gene/13198723", "13198723")</f>
        <v>13198723</v>
      </c>
      <c r="C19967" s="9"/>
      <c r="D19967" t="str">
        <f>"K08D8.12"</f>
        <v>K08D8.12</v>
      </c>
      <c r="F19967" t="s">
        <v>11</v>
      </c>
      <c r="G19967" t="s">
        <v>25</v>
      </c>
      <c r="H19967" s="12">
        <v>-1.0603816183531301</v>
      </c>
      <c r="I19967" s="20">
        <v>-0.17877869270563701</v>
      </c>
      <c r="J19967" s="28">
        <v>0.858111476484123</v>
      </c>
      <c r="K19967" s="29">
        <v>0.994271565763579</v>
      </c>
    </row>
    <row r="19968" spans="1:11" x14ac:dyDescent="0.35">
      <c r="A19968" s="9" t="str">
        <f>HYPERLINK("http://www.ensembl.org/id/WBGene00010662", "WBGene00010662")</f>
        <v>WBGene00010662</v>
      </c>
      <c r="B19968" s="9" t="str">
        <f>HYPERLINK("http://www.ncbi.nlm.nih.gov/gene/187158", "187158")</f>
        <v>187158</v>
      </c>
      <c r="C19968" s="9"/>
      <c r="D19968" t="str">
        <f>"K08E3.2"</f>
        <v>K08E3.2</v>
      </c>
      <c r="E19968" t="s">
        <v>899</v>
      </c>
      <c r="F19968" t="s">
        <v>11</v>
      </c>
      <c r="G19968" t="s">
        <v>3403</v>
      </c>
      <c r="H19968" s="12">
        <v>1.22082079162831</v>
      </c>
      <c r="I19968" s="20">
        <v>0.17988240183990101</v>
      </c>
      <c r="J19968" s="28">
        <v>0.85724489113550395</v>
      </c>
      <c r="K19968" s="29">
        <v>0.994271565763579</v>
      </c>
    </row>
    <row r="19969" spans="1:11" x14ac:dyDescent="0.35">
      <c r="A19969" s="9" t="str">
        <f>HYPERLINK("http://www.ensembl.org/id/WBGene00045036", "WBGene00045036")</f>
        <v>WBGene00045036</v>
      </c>
      <c r="B19969" s="9" t="str">
        <f>HYPERLINK("http://www.ncbi.nlm.nih.gov/gene/4927039", "4927039")</f>
        <v>4927039</v>
      </c>
      <c r="C19969" s="9"/>
      <c r="D19969" t="str">
        <f>"K08E4.7"</f>
        <v>K08E4.7</v>
      </c>
      <c r="F19969" t="s">
        <v>11</v>
      </c>
      <c r="G19969" t="s">
        <v>54</v>
      </c>
      <c r="H19969" s="12">
        <v>-1.28375881752367</v>
      </c>
      <c r="I19969" s="20">
        <v>-0.18402982692101699</v>
      </c>
      <c r="J19969" s="28">
        <v>0.85399005601587896</v>
      </c>
      <c r="K19969" s="29">
        <v>0.994271565763579</v>
      </c>
    </row>
    <row r="19970" spans="1:11" x14ac:dyDescent="0.35">
      <c r="A19970" s="9" t="str">
        <f>HYPERLINK("http://www.ensembl.org/id/WBGene00045283", "WBGene00045283")</f>
        <v>WBGene00045283</v>
      </c>
      <c r="B19970" s="9" t="str">
        <f>HYPERLINK("http://www.ncbi.nlm.nih.gov/gene/6418675", "6418675")</f>
        <v>6418675</v>
      </c>
      <c r="C19970" s="9"/>
      <c r="D19970" t="str">
        <f>"K08E4.8"</f>
        <v>K08E4.8</v>
      </c>
      <c r="F19970" t="s">
        <v>11</v>
      </c>
      <c r="H19970" s="12">
        <v>1.75352385646303</v>
      </c>
      <c r="I19970" s="20">
        <v>0.16737746853691299</v>
      </c>
      <c r="J19970" s="28">
        <v>0.86707305258210998</v>
      </c>
      <c r="K19970" s="29">
        <v>0.994271565763579</v>
      </c>
    </row>
    <row r="19971" spans="1:11" x14ac:dyDescent="0.35">
      <c r="A19971" s="9" t="str">
        <f>HYPERLINK("http://www.ensembl.org/id/WBGene00198316", "WBGene00198316")</f>
        <v>WBGene00198316</v>
      </c>
      <c r="B19971" s="9"/>
      <c r="C19971" s="9"/>
      <c r="D19971" t="str">
        <f>"K08E5.12"</f>
        <v>K08E5.12</v>
      </c>
      <c r="F19971" t="s">
        <v>481</v>
      </c>
      <c r="H19971" s="12">
        <v>-1.6382152448093801</v>
      </c>
      <c r="I19971" s="20">
        <v>-0.18792403729490401</v>
      </c>
      <c r="J19971" s="28">
        <v>0.85093619939312704</v>
      </c>
      <c r="K19971" s="29">
        <v>0.994271565763579</v>
      </c>
    </row>
    <row r="19972" spans="1:11" x14ac:dyDescent="0.35">
      <c r="A19972" s="9" t="str">
        <f>HYPERLINK("http://www.ensembl.org/id/WBGene00019594", "WBGene00019594")</f>
        <v>WBGene00019594</v>
      </c>
      <c r="B19972" s="9" t="str">
        <f>HYPERLINK("http://www.ncbi.nlm.nih.gov/gene/187238", "187238")</f>
        <v>187238</v>
      </c>
      <c r="C19972" s="9"/>
      <c r="D19972" t="str">
        <f>"K09H9.1"</f>
        <v>K09H9.1</v>
      </c>
      <c r="F19972" t="s">
        <v>11</v>
      </c>
      <c r="H19972" s="12">
        <v>1.79408715352943</v>
      </c>
      <c r="I19972" s="20">
        <v>0.173550585897745</v>
      </c>
      <c r="J19972" s="28">
        <v>0.86221866928889102</v>
      </c>
      <c r="K19972" s="29">
        <v>0.994271565763579</v>
      </c>
    </row>
    <row r="19973" spans="1:11" x14ac:dyDescent="0.35">
      <c r="A19973" s="9" t="str">
        <f>HYPERLINK("http://www.ensembl.org/id/WBGene00019654", "WBGene00019654")</f>
        <v>WBGene00019654</v>
      </c>
      <c r="B19973" s="9" t="str">
        <f>HYPERLINK("http://www.ncbi.nlm.nih.gov/gene/187305", "187305")</f>
        <v>187305</v>
      </c>
      <c r="C19973" s="9"/>
      <c r="D19973" t="str">
        <f>"K11G9.3"</f>
        <v>K11G9.3</v>
      </c>
      <c r="E19973" t="s">
        <v>383</v>
      </c>
      <c r="F19973" t="s">
        <v>11</v>
      </c>
      <c r="G19973" t="s">
        <v>2185</v>
      </c>
      <c r="H19973" s="12">
        <v>1.16394683046588</v>
      </c>
      <c r="I19973" s="20">
        <v>0.18663805538667699</v>
      </c>
      <c r="J19973" s="28">
        <v>0.85194442709935203</v>
      </c>
      <c r="K19973" s="29">
        <v>0.994271565763579</v>
      </c>
    </row>
    <row r="19974" spans="1:11" x14ac:dyDescent="0.35">
      <c r="A19974" s="9" t="str">
        <f>HYPERLINK("http://www.ensembl.org/id/WBGene00044896", "WBGene00044896")</f>
        <v>WBGene00044896</v>
      </c>
      <c r="B19974" s="9" t="str">
        <f>HYPERLINK("http://www.ncbi.nlm.nih.gov/gene/4926970", "4926970")</f>
        <v>4926970</v>
      </c>
      <c r="C19974" s="9"/>
      <c r="D19974" t="str">
        <f>"K12C11.5"</f>
        <v>K12C11.5</v>
      </c>
      <c r="F19974" t="s">
        <v>11</v>
      </c>
      <c r="H19974" s="12">
        <v>1.3310846900089299</v>
      </c>
      <c r="I19974" s="20">
        <v>0.17120680745417199</v>
      </c>
      <c r="J19974" s="28">
        <v>0.86406115495290003</v>
      </c>
      <c r="K19974" s="29">
        <v>0.994271565763579</v>
      </c>
    </row>
    <row r="19975" spans="1:11" x14ac:dyDescent="0.35">
      <c r="A19975" s="9" t="str">
        <f>HYPERLINK("http://www.ensembl.org/id/WBGene00011088", "WBGene00011088")</f>
        <v>WBGene00011088</v>
      </c>
      <c r="B19975" s="9" t="str">
        <f>HYPERLINK("http://www.ncbi.nlm.nih.gov/gene/187655", "187655")</f>
        <v>187655</v>
      </c>
      <c r="C19975" s="9"/>
      <c r="D19975" t="str">
        <f>"kmo-2"</f>
        <v>kmo-2</v>
      </c>
      <c r="E19975" t="s">
        <v>10509</v>
      </c>
      <c r="F19975" t="s">
        <v>11</v>
      </c>
      <c r="G19975" t="s">
        <v>10510</v>
      </c>
      <c r="H19975" s="12">
        <v>1.08120660731274</v>
      </c>
      <c r="I19975" s="20">
        <v>0.185372689728281</v>
      </c>
      <c r="J19975" s="28">
        <v>0.85293672761547801</v>
      </c>
      <c r="K19975" s="29">
        <v>0.994271565763579</v>
      </c>
    </row>
    <row r="19976" spans="1:11" x14ac:dyDescent="0.35">
      <c r="A19976" s="9" t="str">
        <f>HYPERLINK("http://www.ensembl.org/id/WBGene00002273", "WBGene00002273")</f>
        <v>WBGene00002273</v>
      </c>
      <c r="B19976" s="9" t="str">
        <f>HYPERLINK("http://www.ncbi.nlm.nih.gov/gene/179034", "179034")</f>
        <v>179034</v>
      </c>
      <c r="C19976" s="9"/>
      <c r="D19976" t="str">
        <f>"lec-10"</f>
        <v>lec-10</v>
      </c>
      <c r="E19976" t="s">
        <v>2043</v>
      </c>
      <c r="F19976" t="s">
        <v>11</v>
      </c>
      <c r="G19976" t="s">
        <v>10624</v>
      </c>
      <c r="H19976" s="12">
        <v>-1.036431048926</v>
      </c>
      <c r="I19976" s="20">
        <v>-0.16860174740056399</v>
      </c>
      <c r="J19976" s="28">
        <v>0.86610990601432103</v>
      </c>
      <c r="K19976" s="29">
        <v>0.994271565763579</v>
      </c>
    </row>
    <row r="19977" spans="1:11" x14ac:dyDescent="0.35">
      <c r="A19977" s="9" t="str">
        <f>HYPERLINK("http://www.ensembl.org/id/WBGene00002696", "WBGene00002696")</f>
        <v>WBGene00002696</v>
      </c>
      <c r="B19977" s="9" t="str">
        <f>HYPERLINK("http://www.ncbi.nlm.nih.gov/gene/171995", "171995")</f>
        <v>171995</v>
      </c>
      <c r="C19977" s="9"/>
      <c r="D19977" t="str">
        <f>"let-504"</f>
        <v>let-504</v>
      </c>
      <c r="F19977" t="s">
        <v>11</v>
      </c>
      <c r="G19977" t="s">
        <v>10605</v>
      </c>
      <c r="H19977" s="12">
        <v>-1.0342442260470499</v>
      </c>
      <c r="I19977" s="20">
        <v>-0.17261987197885301</v>
      </c>
      <c r="J19977" s="28">
        <v>0.862950230803327</v>
      </c>
      <c r="K19977" s="29">
        <v>0.994271565763579</v>
      </c>
    </row>
    <row r="19978" spans="1:11" x14ac:dyDescent="0.35">
      <c r="A19978" s="9" t="str">
        <f>HYPERLINK("http://www.ensembl.org/id/WBGene00002717", "WBGene00002717")</f>
        <v>WBGene00002717</v>
      </c>
      <c r="B19978" s="9" t="str">
        <f>HYPERLINK("http://www.ncbi.nlm.nih.gov/gene/3565337", "3565337")</f>
        <v>3565337</v>
      </c>
      <c r="C19978" s="9"/>
      <c r="D19978" t="str">
        <f>"let-526"</f>
        <v>let-526</v>
      </c>
      <c r="F19978" t="s">
        <v>11</v>
      </c>
      <c r="G19978" t="s">
        <v>10597</v>
      </c>
      <c r="H19978" s="12">
        <v>-1.0337093080613999</v>
      </c>
      <c r="I19978" s="20">
        <v>-0.18268102491135599</v>
      </c>
      <c r="J19978" s="28">
        <v>0.85504830513308905</v>
      </c>
      <c r="K19978" s="29">
        <v>0.994271565763579</v>
      </c>
    </row>
    <row r="19979" spans="1:11" x14ac:dyDescent="0.35">
      <c r="A19979" s="9" t="str">
        <f>HYPERLINK("http://www.ensembl.org/id/WBGene00002980", "WBGene00002980")</f>
        <v>WBGene00002980</v>
      </c>
      <c r="B19979" s="9" t="str">
        <f>HYPERLINK("http://www.ncbi.nlm.nih.gov/gene/174050", "174050")</f>
        <v>174050</v>
      </c>
      <c r="C19979" s="9" t="str">
        <f>HYPERLINK("http://www.ncbi.nlm.nih.gov/gene/23710", "23710")</f>
        <v>23710</v>
      </c>
      <c r="D19979" t="str">
        <f>"lgg-1"</f>
        <v>lgg-1</v>
      </c>
      <c r="F19979" t="s">
        <v>11</v>
      </c>
      <c r="H19979" s="12">
        <v>-1.0331841602507701</v>
      </c>
      <c r="I19979" s="20">
        <v>-0.18459965088535199</v>
      </c>
      <c r="J19979" s="28">
        <v>0.85354305978996803</v>
      </c>
      <c r="K19979" s="29">
        <v>0.994271565763579</v>
      </c>
    </row>
    <row r="19980" spans="1:11" x14ac:dyDescent="0.35">
      <c r="A19980" s="9" t="str">
        <f>HYPERLINK("http://www.ensembl.org/id/WBGene00019513", "WBGene00019513")</f>
        <v>WBGene00019513</v>
      </c>
      <c r="B19980" s="9" t="str">
        <f>HYPERLINK("http://www.ncbi.nlm.nih.gov/gene/173643", "173643")</f>
        <v>173643</v>
      </c>
      <c r="C19980" s="9"/>
      <c r="D19980" t="str">
        <f>"lido-7"</f>
        <v>lido-7</v>
      </c>
      <c r="F19980" t="s">
        <v>11</v>
      </c>
      <c r="G19980" t="s">
        <v>228</v>
      </c>
      <c r="H19980" s="12">
        <v>-1.0372389619915501</v>
      </c>
      <c r="I19980" s="20">
        <v>-0.16626643870131499</v>
      </c>
      <c r="J19980" s="28">
        <v>0.86794727642783398</v>
      </c>
      <c r="K19980" s="29">
        <v>0.994271565763579</v>
      </c>
    </row>
    <row r="19981" spans="1:11" x14ac:dyDescent="0.35">
      <c r="A19981" s="9" t="str">
        <f>HYPERLINK("http://www.ensembl.org/id/WBGene00001562", "WBGene00001562")</f>
        <v>WBGene00001562</v>
      </c>
      <c r="B19981" s="9" t="str">
        <f>HYPERLINK("http://www.ncbi.nlm.nih.gov/gene/178354", "178354")</f>
        <v>178354</v>
      </c>
      <c r="C19981" s="9"/>
      <c r="D19981" t="str">
        <f>"lin-66"</f>
        <v>lin-66</v>
      </c>
      <c r="F19981" t="s">
        <v>11</v>
      </c>
      <c r="G19981" t="s">
        <v>10586</v>
      </c>
      <c r="H19981" s="12">
        <v>-1.0307878680159599</v>
      </c>
      <c r="I19981" s="20">
        <v>-0.16478225753589401</v>
      </c>
      <c r="J19981" s="28">
        <v>0.869115369562249</v>
      </c>
      <c r="K19981" s="29">
        <v>0.994271565763579</v>
      </c>
    </row>
    <row r="19982" spans="1:11" x14ac:dyDescent="0.35">
      <c r="A19982" s="9" t="str">
        <f>HYPERLINK("http://www.ensembl.org/id/WBGene00219686", "WBGene00219686")</f>
        <v>WBGene00219686</v>
      </c>
      <c r="B19982" s="9"/>
      <c r="C19982" s="9"/>
      <c r="D19982" t="str">
        <f>"linc-125"</f>
        <v>linc-125</v>
      </c>
      <c r="F19982" t="s">
        <v>1510</v>
      </c>
      <c r="H19982" s="12">
        <v>-1.25550473353449</v>
      </c>
      <c r="I19982" s="20">
        <v>-0.17808895524855001</v>
      </c>
      <c r="J19982" s="28">
        <v>0.85865311581654502</v>
      </c>
      <c r="K19982" s="29">
        <v>0.994271565763579</v>
      </c>
    </row>
    <row r="19983" spans="1:11" x14ac:dyDescent="0.35">
      <c r="A19983" s="9" t="str">
        <f>HYPERLINK("http://www.ensembl.org/id/WBGene00219567", "WBGene00219567")</f>
        <v>WBGene00219567</v>
      </c>
      <c r="B19983" s="9"/>
      <c r="C19983" s="9"/>
      <c r="D19983" t="str">
        <f>"linc-164"</f>
        <v>linc-164</v>
      </c>
      <c r="F19983" t="s">
        <v>1510</v>
      </c>
      <c r="H19983" s="12">
        <v>-1.73457001584991</v>
      </c>
      <c r="I19983" s="20">
        <v>-0.165559698280943</v>
      </c>
      <c r="J19983" s="28">
        <v>0.86850346561216996</v>
      </c>
      <c r="K19983" s="29">
        <v>0.994271565763579</v>
      </c>
    </row>
    <row r="19984" spans="1:11" x14ac:dyDescent="0.35">
      <c r="A19984" s="9" t="str">
        <f>HYPERLINK("http://www.ensembl.org/id/WBGene00219579", "WBGene00219579")</f>
        <v>WBGene00219579</v>
      </c>
      <c r="B19984" s="9"/>
      <c r="C19984" s="9"/>
      <c r="D19984" t="str">
        <f>"linc-43"</f>
        <v>linc-43</v>
      </c>
      <c r="F19984" t="s">
        <v>1510</v>
      </c>
      <c r="H19984" s="12">
        <v>-1.2039424653431601</v>
      </c>
      <c r="I19984" s="20">
        <v>-0.164564976960797</v>
      </c>
      <c r="J19984" s="28">
        <v>0.86928639964037302</v>
      </c>
      <c r="K19984" s="29">
        <v>0.994271565763579</v>
      </c>
    </row>
    <row r="19985" spans="1:11" x14ac:dyDescent="0.35">
      <c r="A19985" s="9" t="str">
        <f>HYPERLINK("http://www.ensembl.org/id/WBGene00010804", "WBGene00010804")</f>
        <v>WBGene00010804</v>
      </c>
      <c r="B19985" s="9"/>
      <c r="C19985" s="9"/>
      <c r="D19985" t="str">
        <f>"M01E5.1"</f>
        <v>M01E5.1</v>
      </c>
      <c r="F19985" t="s">
        <v>80</v>
      </c>
      <c r="H19985" s="12">
        <v>1.75352385646303</v>
      </c>
      <c r="I19985" s="20">
        <v>0.16737746853691299</v>
      </c>
      <c r="J19985" s="28">
        <v>0.86707305258210998</v>
      </c>
      <c r="K19985" s="29">
        <v>0.994271565763579</v>
      </c>
    </row>
    <row r="19986" spans="1:11" x14ac:dyDescent="0.35">
      <c r="A19986" s="9" t="str">
        <f>HYPERLINK("http://www.ensembl.org/id/WBGene00019755", "WBGene00019755")</f>
        <v>WBGene00019755</v>
      </c>
      <c r="B19986" s="9" t="str">
        <f>HYPERLINK("http://www.ncbi.nlm.nih.gov/gene/187423", "187423")</f>
        <v>187423</v>
      </c>
      <c r="C19986" s="9"/>
      <c r="D19986" t="str">
        <f>"M03E7.3"</f>
        <v>M03E7.3</v>
      </c>
      <c r="F19986" t="s">
        <v>11</v>
      </c>
      <c r="G19986" t="s">
        <v>25</v>
      </c>
      <c r="H19986" s="12">
        <v>1.7719103290423801</v>
      </c>
      <c r="I19986" s="20">
        <v>0.170705673614783</v>
      </c>
      <c r="J19986" s="28">
        <v>0.86445520141600396</v>
      </c>
      <c r="K19986" s="29">
        <v>0.994271565763579</v>
      </c>
    </row>
    <row r="19987" spans="1:11" x14ac:dyDescent="0.35">
      <c r="A19987" s="9" t="str">
        <f>HYPERLINK("http://www.ensembl.org/id/WBGene00019761", "WBGene00019761")</f>
        <v>WBGene00019761</v>
      </c>
      <c r="B19987" s="9" t="str">
        <f>HYPERLINK("http://www.ncbi.nlm.nih.gov/gene/187429", "187429")</f>
        <v>187429</v>
      </c>
      <c r="C19987" s="9"/>
      <c r="D19987" t="str">
        <f>"M03F8.1"</f>
        <v>M03F8.1</v>
      </c>
      <c r="F19987" t="s">
        <v>11</v>
      </c>
      <c r="G19987" t="s">
        <v>25</v>
      </c>
      <c r="H19987" s="12">
        <v>-1.29277291348487</v>
      </c>
      <c r="I19987" s="20">
        <v>-0.18532132037128199</v>
      </c>
      <c r="J19987" s="28">
        <v>0.85297701642368795</v>
      </c>
      <c r="K19987" s="29">
        <v>0.994271565763579</v>
      </c>
    </row>
    <row r="19988" spans="1:11" x14ac:dyDescent="0.35">
      <c r="A19988" s="9" t="str">
        <f>HYPERLINK("http://www.ensembl.org/id/WBGene00010874", "WBGene00010874")</f>
        <v>WBGene00010874</v>
      </c>
      <c r="B19988" s="9" t="str">
        <f>HYPERLINK("http://www.ncbi.nlm.nih.gov/gene/174354", "174354")</f>
        <v>174354</v>
      </c>
      <c r="C19988" s="9"/>
      <c r="D19988" t="str">
        <f>"M05D6.1"</f>
        <v>M05D6.1</v>
      </c>
      <c r="F19988" t="s">
        <v>11</v>
      </c>
      <c r="G19988" t="s">
        <v>1763</v>
      </c>
      <c r="H19988" s="12">
        <v>1.1616985296073199</v>
      </c>
      <c r="I19988" s="20">
        <v>0.176951941143457</v>
      </c>
      <c r="J19988" s="28">
        <v>0.85954613917661804</v>
      </c>
      <c r="K19988" s="29">
        <v>0.994271565763579</v>
      </c>
    </row>
    <row r="19989" spans="1:11" x14ac:dyDescent="0.35">
      <c r="A19989" s="9" t="str">
        <f>HYPERLINK("http://www.ensembl.org/id/WBGene00010916", "WBGene00010916")</f>
        <v>WBGene00010916</v>
      </c>
      <c r="B19989" s="9" t="str">
        <f>HYPERLINK("http://www.ncbi.nlm.nih.gov/gene/3565949", "3565949")</f>
        <v>3565949</v>
      </c>
      <c r="C19989" s="9"/>
      <c r="D19989" t="str">
        <f>"M110.8"</f>
        <v>M110.8</v>
      </c>
      <c r="F19989" t="s">
        <v>11</v>
      </c>
      <c r="G19989" t="s">
        <v>25</v>
      </c>
      <c r="H19989" s="12">
        <v>1.2111139447761099</v>
      </c>
      <c r="I19989" s="20">
        <v>0.17758676743885199</v>
      </c>
      <c r="J19989" s="28">
        <v>0.85904751740780205</v>
      </c>
      <c r="K19989" s="29">
        <v>0.994271565763579</v>
      </c>
    </row>
    <row r="19990" spans="1:11" x14ac:dyDescent="0.35">
      <c r="A19990" s="9" t="str">
        <f>HYPERLINK("http://www.ensembl.org/id/WBGene00196354", "WBGene00196354")</f>
        <v>WBGene00196354</v>
      </c>
      <c r="B19990" s="9"/>
      <c r="C19990" s="9"/>
      <c r="D19990" t="str">
        <f>"M79.8"</f>
        <v>M79.8</v>
      </c>
      <c r="F19990" t="s">
        <v>481</v>
      </c>
      <c r="H19990" s="12">
        <v>1.75352385646303</v>
      </c>
      <c r="I19990" s="20">
        <v>0.16737746853691299</v>
      </c>
      <c r="J19990" s="28">
        <v>0.86707305258210998</v>
      </c>
      <c r="K19990" s="29">
        <v>0.994271565763579</v>
      </c>
    </row>
    <row r="19991" spans="1:11" x14ac:dyDescent="0.35">
      <c r="A19991" s="9" t="str">
        <f>HYPERLINK("http://www.ensembl.org/id/WBGene00021834", "WBGene00021834")</f>
        <v>WBGene00021834</v>
      </c>
      <c r="B19991" s="9" t="str">
        <f>HYPERLINK("http://www.ncbi.nlm.nih.gov/gene/171898", "171898")</f>
        <v>171898</v>
      </c>
      <c r="C19991" s="9"/>
      <c r="D19991" t="str">
        <f>"mab-31"</f>
        <v>mab-31</v>
      </c>
      <c r="F19991" t="s">
        <v>11</v>
      </c>
      <c r="G19991" t="s">
        <v>10588</v>
      </c>
      <c r="H19991" s="12">
        <v>-1.03221851718138</v>
      </c>
      <c r="I19991" s="20">
        <v>-0.171827210473632</v>
      </c>
      <c r="J19991" s="28">
        <v>0.86357337280504198</v>
      </c>
      <c r="K19991" s="29">
        <v>0.994271565763579</v>
      </c>
    </row>
    <row r="19992" spans="1:11" x14ac:dyDescent="0.35">
      <c r="A19992" s="9" t="str">
        <f>HYPERLINK("http://www.ensembl.org/id/WBGene00017123", "WBGene00017123")</f>
        <v>WBGene00017123</v>
      </c>
      <c r="B19992" s="9" t="str">
        <f>HYPERLINK("http://www.ncbi.nlm.nih.gov/gene/174181", "174181")</f>
        <v>174181</v>
      </c>
      <c r="C19992" s="9"/>
      <c r="D19992" t="str">
        <f>"maoc-1"</f>
        <v>maoc-1</v>
      </c>
      <c r="E19992" t="s">
        <v>10567</v>
      </c>
      <c r="F19992" t="s">
        <v>11</v>
      </c>
      <c r="G19992" t="s">
        <v>10568</v>
      </c>
      <c r="H19992" s="12">
        <v>1.0346526398587099</v>
      </c>
      <c r="I19992" s="20">
        <v>0.188407156369156</v>
      </c>
      <c r="J19992" s="28">
        <v>0.85055749018645399</v>
      </c>
      <c r="K19992" s="29">
        <v>0.994271565763579</v>
      </c>
    </row>
    <row r="19993" spans="1:11" x14ac:dyDescent="0.35">
      <c r="A19993" s="9" t="str">
        <f>HYPERLINK("http://www.ensembl.org/id/WBGene00003142", "WBGene00003142")</f>
        <v>WBGene00003142</v>
      </c>
      <c r="B19993" s="9" t="str">
        <f>HYPERLINK("http://www.ncbi.nlm.nih.gov/gene/190455", "190455")</f>
        <v>190455</v>
      </c>
      <c r="C19993" s="9"/>
      <c r="D19993" t="str">
        <f>"mau-8"</f>
        <v>mau-8</v>
      </c>
      <c r="E19993" t="s">
        <v>10622</v>
      </c>
      <c r="F19993" t="s">
        <v>11</v>
      </c>
      <c r="G19993" t="s">
        <v>10623</v>
      </c>
      <c r="H19993" s="12">
        <v>-1.03639568260452</v>
      </c>
      <c r="I19993" s="20">
        <v>-0.17345903379298899</v>
      </c>
      <c r="J19993" s="28">
        <v>0.86229062601762896</v>
      </c>
      <c r="K19993" s="29">
        <v>0.994271565763579</v>
      </c>
    </row>
    <row r="19994" spans="1:11" x14ac:dyDescent="0.35">
      <c r="A19994" s="9" t="str">
        <f>HYPERLINK("http://www.ensembl.org/id/WBGene00003176", "WBGene00003176")</f>
        <v>WBGene00003176</v>
      </c>
      <c r="B19994" s="9" t="str">
        <f>HYPERLINK("http://www.ncbi.nlm.nih.gov/gene/185423", "185423")</f>
        <v>185423</v>
      </c>
      <c r="C19994" s="9"/>
      <c r="D19994" t="str">
        <f>"mec-14"</f>
        <v>mec-14</v>
      </c>
      <c r="F19994" t="s">
        <v>11</v>
      </c>
      <c r="G19994" t="s">
        <v>10507</v>
      </c>
      <c r="H19994" s="12">
        <v>1.10241526965975</v>
      </c>
      <c r="I19994" s="20">
        <v>0.19072252751535301</v>
      </c>
      <c r="J19994" s="28">
        <v>0.84874298825091099</v>
      </c>
      <c r="K19994" s="29">
        <v>0.994271565763579</v>
      </c>
    </row>
    <row r="19995" spans="1:11" x14ac:dyDescent="0.35">
      <c r="A19995" s="9" t="str">
        <f>HYPERLINK("http://www.ensembl.org/id/WBGene00020284", "WBGene00020284")</f>
        <v>WBGene00020284</v>
      </c>
      <c r="B19995" s="9" t="str">
        <f>HYPERLINK("http://www.ncbi.nlm.nih.gov/gene/178469", "178469")</f>
        <v>178469</v>
      </c>
      <c r="C19995" s="9"/>
      <c r="D19995" t="str">
        <f>"mel-46"</f>
        <v>mel-46</v>
      </c>
      <c r="E19995" t="s">
        <v>10547</v>
      </c>
      <c r="F19995" t="s">
        <v>11</v>
      </c>
      <c r="G19995" t="s">
        <v>10548</v>
      </c>
      <c r="H19995" s="12">
        <v>1.03781140214196</v>
      </c>
      <c r="I19995" s="20">
        <v>0.18557107365728001</v>
      </c>
      <c r="J19995" s="28">
        <v>0.85278113939191102</v>
      </c>
      <c r="K19995" s="29">
        <v>0.994271565763579</v>
      </c>
    </row>
    <row r="19996" spans="1:11" x14ac:dyDescent="0.35">
      <c r="A19996" s="9" t="str">
        <f>HYPERLINK("http://www.ensembl.org/id/WBGene00003221", "WBGene00003221")</f>
        <v>WBGene00003221</v>
      </c>
      <c r="B19996" s="9" t="str">
        <f>HYPERLINK("http://www.ncbi.nlm.nih.gov/gene/172123", "172123")</f>
        <v>172123</v>
      </c>
      <c r="C19996" s="9"/>
      <c r="D19996" t="str">
        <f>"mes-3"</f>
        <v>mes-3</v>
      </c>
      <c r="E19996" t="s">
        <v>10564</v>
      </c>
      <c r="F19996" t="s">
        <v>11</v>
      </c>
      <c r="G19996" t="s">
        <v>10565</v>
      </c>
      <c r="H19996" s="12">
        <v>1.0349072219316</v>
      </c>
      <c r="I19996" s="20">
        <v>0.17898039588922601</v>
      </c>
      <c r="J19996" s="28">
        <v>0.85795309494468197</v>
      </c>
      <c r="K19996" s="29">
        <v>0.994271565763579</v>
      </c>
    </row>
    <row r="19997" spans="1:11" x14ac:dyDescent="0.35">
      <c r="A19997" s="9" t="str">
        <f>HYPERLINK("http://www.ensembl.org/id/WBGene00219226", "WBGene00219226")</f>
        <v>WBGene00219226</v>
      </c>
      <c r="B19997" s="9"/>
      <c r="C19997" s="9"/>
      <c r="D19997" t="str">
        <f>"mir-4929"</f>
        <v>mir-4929</v>
      </c>
      <c r="F19997" t="s">
        <v>1486</v>
      </c>
      <c r="H19997" s="12">
        <v>-1.30141560082746</v>
      </c>
      <c r="I19997" s="20">
        <v>-0.16680359406909601</v>
      </c>
      <c r="J19997" s="28">
        <v>0.86752459065128396</v>
      </c>
      <c r="K19997" s="29">
        <v>0.994271565763579</v>
      </c>
    </row>
    <row r="19998" spans="1:11" x14ac:dyDescent="0.35">
      <c r="A19998" s="9" t="str">
        <f>HYPERLINK("http://www.ensembl.org/id/WBGene00219231", "WBGene00219231")</f>
        <v>WBGene00219231</v>
      </c>
      <c r="B19998" s="9"/>
      <c r="C19998" s="9"/>
      <c r="D19998" t="str">
        <f>"mir-5545"</f>
        <v>mir-5545</v>
      </c>
      <c r="F19998" t="s">
        <v>1486</v>
      </c>
      <c r="H19998" s="12">
        <v>-1.6382152448093801</v>
      </c>
      <c r="I19998" s="20">
        <v>-0.18792403729490401</v>
      </c>
      <c r="J19998" s="28">
        <v>0.85093619939312704</v>
      </c>
      <c r="K19998" s="29">
        <v>0.994271565763579</v>
      </c>
    </row>
    <row r="19999" spans="1:11" x14ac:dyDescent="0.35">
      <c r="A19999" s="9" t="str">
        <f>HYPERLINK("http://www.ensembl.org/id/WBGene00219233", "WBGene00219233")</f>
        <v>WBGene00219233</v>
      </c>
      <c r="B19999" s="9"/>
      <c r="C19999" s="9"/>
      <c r="D19999" t="str">
        <f>"mir-5552"</f>
        <v>mir-5552</v>
      </c>
      <c r="F19999" t="s">
        <v>1486</v>
      </c>
      <c r="H19999" s="12">
        <v>1.79408715352943</v>
      </c>
      <c r="I19999" s="20">
        <v>0.173550585897745</v>
      </c>
      <c r="J19999" s="28">
        <v>0.86221866928889102</v>
      </c>
      <c r="K19999" s="29">
        <v>0.994271565763579</v>
      </c>
    </row>
    <row r="20000" spans="1:11" x14ac:dyDescent="0.35">
      <c r="A20000" s="9" t="str">
        <f>HYPERLINK("http://www.ensembl.org/id/WBGene00003286", "WBGene00003286")</f>
        <v>WBGene00003286</v>
      </c>
      <c r="B20000" s="9"/>
      <c r="C20000" s="9"/>
      <c r="D20000" t="str">
        <f>"mir-58.1"</f>
        <v>mir-58.1</v>
      </c>
      <c r="F20000" t="s">
        <v>1486</v>
      </c>
      <c r="H20000" s="12">
        <v>1.79408715352943</v>
      </c>
      <c r="I20000" s="20">
        <v>0.173550585897745</v>
      </c>
      <c r="J20000" s="28">
        <v>0.86221866928889102</v>
      </c>
      <c r="K20000" s="29">
        <v>0.994271565763579</v>
      </c>
    </row>
    <row r="20001" spans="1:11" x14ac:dyDescent="0.35">
      <c r="A20001" s="9" t="str">
        <f>HYPERLINK("http://www.ensembl.org/id/WBGene00021651", "WBGene00021651")</f>
        <v>WBGene00021651</v>
      </c>
      <c r="B20001" s="9"/>
      <c r="C20001" s="9"/>
      <c r="D20001" t="str">
        <f>"miro-3"</f>
        <v>miro-3</v>
      </c>
      <c r="F20001" t="s">
        <v>80</v>
      </c>
      <c r="H20001" s="12">
        <v>-1.2929878491614899</v>
      </c>
      <c r="I20001" s="20">
        <v>-0.17988288476197001</v>
      </c>
      <c r="J20001" s="28">
        <v>0.85724451200326601</v>
      </c>
      <c r="K20001" s="29">
        <v>0.994271565763579</v>
      </c>
    </row>
    <row r="20002" spans="1:11" x14ac:dyDescent="0.35">
      <c r="A20002" s="9" t="str">
        <f>HYPERLINK("http://www.ensembl.org/id/WBGene00194710", "WBGene00194710")</f>
        <v>WBGene00194710</v>
      </c>
      <c r="B20002" s="9" t="str">
        <f>HYPERLINK("http://www.ncbi.nlm.nih.gov/gene/13185304", "13185304")</f>
        <v>13185304</v>
      </c>
      <c r="C20002" s="9"/>
      <c r="D20002" t="str">
        <f>"mks-2"</f>
        <v>mks-2</v>
      </c>
      <c r="E20002" t="s">
        <v>2590</v>
      </c>
      <c r="F20002" t="s">
        <v>11</v>
      </c>
      <c r="G20002" t="s">
        <v>10502</v>
      </c>
      <c r="H20002" s="12">
        <v>1.1793770614419099</v>
      </c>
      <c r="I20002" s="20">
        <v>0.185939139829425</v>
      </c>
      <c r="J20002" s="28">
        <v>0.85249248823206303</v>
      </c>
      <c r="K20002" s="29">
        <v>0.994271565763579</v>
      </c>
    </row>
    <row r="20003" spans="1:11" x14ac:dyDescent="0.35">
      <c r="A20003" s="9" t="str">
        <f>HYPERLINK("http://www.ensembl.org/id/WBGene00003374", "WBGene00003374")</f>
        <v>WBGene00003374</v>
      </c>
      <c r="B20003" s="9" t="str">
        <f>HYPERLINK("http://www.ncbi.nlm.nih.gov/gene/178895", "178895")</f>
        <v>178895</v>
      </c>
      <c r="C20003" s="9"/>
      <c r="D20003" t="str">
        <f>"mlk-1"</f>
        <v>mlk-1</v>
      </c>
      <c r="E20003" t="s">
        <v>10554</v>
      </c>
      <c r="F20003" t="s">
        <v>11</v>
      </c>
      <c r="G20003" t="s">
        <v>86</v>
      </c>
      <c r="H20003" s="12">
        <v>1.0367144022310499</v>
      </c>
      <c r="I20003" s="20">
        <v>0.191078631926795</v>
      </c>
      <c r="J20003" s="28">
        <v>0.84846398843974102</v>
      </c>
      <c r="K20003" s="29">
        <v>0.994271565763579</v>
      </c>
    </row>
    <row r="20004" spans="1:11" x14ac:dyDescent="0.35">
      <c r="A20004" s="9" t="str">
        <f>HYPERLINK("http://www.ensembl.org/id/WBGene00012200", "WBGene00012200")</f>
        <v>WBGene00012200</v>
      </c>
      <c r="B20004" s="9" t="str">
        <f>HYPERLINK("http://www.ncbi.nlm.nih.gov/gene/189109", "189109")</f>
        <v>189109</v>
      </c>
      <c r="C20004" s="9"/>
      <c r="D20004" t="str">
        <f>"mltn-4"</f>
        <v>mltn-4</v>
      </c>
      <c r="E20004" t="s">
        <v>4191</v>
      </c>
      <c r="F20004" t="s">
        <v>11</v>
      </c>
      <c r="H20004" s="12">
        <v>1.79408715352943</v>
      </c>
      <c r="I20004" s="20">
        <v>0.173550585897745</v>
      </c>
      <c r="J20004" s="28">
        <v>0.86221866928889102</v>
      </c>
      <c r="K20004" s="29">
        <v>0.994271565763579</v>
      </c>
    </row>
    <row r="20005" spans="1:11" x14ac:dyDescent="0.35">
      <c r="A20005" s="9" t="str">
        <f>HYPERLINK("http://www.ensembl.org/id/WBGene00003384", "WBGene00003384")</f>
        <v>WBGene00003384</v>
      </c>
      <c r="B20005" s="9" t="str">
        <f>HYPERLINK("http://www.ncbi.nlm.nih.gov/gene/181225", "181225")</f>
        <v>181225</v>
      </c>
      <c r="C20005" s="9"/>
      <c r="D20005" t="str">
        <f>"moc-1"</f>
        <v>moc-1</v>
      </c>
      <c r="E20005" t="s">
        <v>7566</v>
      </c>
      <c r="F20005" t="s">
        <v>11</v>
      </c>
      <c r="G20005" t="s">
        <v>10634</v>
      </c>
      <c r="H20005" s="12">
        <v>-1.03770789567074</v>
      </c>
      <c r="I20005" s="20">
        <v>-0.181410827064964</v>
      </c>
      <c r="J20005" s="28">
        <v>0.85604512110855302</v>
      </c>
      <c r="K20005" s="29">
        <v>0.994271565763579</v>
      </c>
    </row>
    <row r="20006" spans="1:11" x14ac:dyDescent="0.35">
      <c r="A20006" s="9" t="str">
        <f>HYPERLINK("http://www.ensembl.org/id/WBGene00019333", "WBGene00019333")</f>
        <v>WBGene00019333</v>
      </c>
      <c r="B20006" s="9" t="str">
        <f>HYPERLINK("http://www.ncbi.nlm.nih.gov/gene/175243", "175243")</f>
        <v>175243</v>
      </c>
      <c r="C20006" s="9"/>
      <c r="D20006" t="str">
        <f>"moma-1"</f>
        <v>moma-1</v>
      </c>
      <c r="E20006" t="s">
        <v>10590</v>
      </c>
      <c r="F20006" t="s">
        <v>11</v>
      </c>
      <c r="G20006" t="s">
        <v>10591</v>
      </c>
      <c r="H20006" s="12">
        <v>-1.03282048625348</v>
      </c>
      <c r="I20006" s="20">
        <v>-0.169787364019932</v>
      </c>
      <c r="J20006" s="28">
        <v>0.86517736469224804</v>
      </c>
      <c r="K20006" s="29">
        <v>0.994271565763579</v>
      </c>
    </row>
    <row r="20007" spans="1:11" x14ac:dyDescent="0.35">
      <c r="A20007" s="9" t="str">
        <f>HYPERLINK("http://www.ensembl.org/id/WBGene00303009", "WBGene00303009")</f>
        <v>WBGene00303009</v>
      </c>
      <c r="B20007" s="9" t="str">
        <f>HYPERLINK("http://www.ncbi.nlm.nih.gov/gene/36805074", "36805074")</f>
        <v>36805074</v>
      </c>
      <c r="C20007" s="9"/>
      <c r="D20007" t="str">
        <f>"mrpl-42"</f>
        <v>mrpl-42</v>
      </c>
      <c r="E20007" t="s">
        <v>10652</v>
      </c>
      <c r="F20007" t="s">
        <v>11</v>
      </c>
      <c r="G20007" t="s">
        <v>2759</v>
      </c>
      <c r="H20007" s="12">
        <v>-1.0462543575197001</v>
      </c>
      <c r="I20007" s="20">
        <v>-0.17578626603008801</v>
      </c>
      <c r="J20007" s="28">
        <v>0.86046185974040001</v>
      </c>
      <c r="K20007" s="29">
        <v>0.994271565763579</v>
      </c>
    </row>
    <row r="20008" spans="1:11" x14ac:dyDescent="0.35">
      <c r="A20008" s="9" t="str">
        <f>HYPERLINK("http://www.ensembl.org/id/WBGene00003452", "WBGene00003452")</f>
        <v>WBGene00003452</v>
      </c>
      <c r="B20008" s="9" t="str">
        <f>HYPERLINK("http://www.ncbi.nlm.nih.gov/gene/177309", "177309")</f>
        <v>177309</v>
      </c>
      <c r="C20008" s="9"/>
      <c r="D20008" t="str">
        <f>"msp-59"</f>
        <v>msp-59</v>
      </c>
      <c r="E20008" t="s">
        <v>3447</v>
      </c>
      <c r="F20008" t="s">
        <v>11</v>
      </c>
      <c r="H20008" s="12">
        <v>-1.0725256936432599</v>
      </c>
      <c r="I20008" s="20">
        <v>-0.165528151788946</v>
      </c>
      <c r="J20008" s="28">
        <v>0.86852829352768801</v>
      </c>
      <c r="K20008" s="29">
        <v>0.994271565763579</v>
      </c>
    </row>
    <row r="20009" spans="1:11" x14ac:dyDescent="0.35">
      <c r="A20009" s="9" t="str">
        <f>HYPERLINK("http://www.ensembl.org/id/WBGene00021534", "WBGene00021534")</f>
        <v>WBGene00021534</v>
      </c>
      <c r="B20009" s="9" t="str">
        <f>HYPERLINK("http://www.ncbi.nlm.nih.gov/gene/175863", "175863")</f>
        <v>175863</v>
      </c>
      <c r="C20009" s="9" t="str">
        <f>HYPERLINK("http://www.ncbi.nlm.nih.gov/gene/4598", "4598")</f>
        <v>4598</v>
      </c>
      <c r="D20009" t="str">
        <f>"mvk-1"</f>
        <v>mvk-1</v>
      </c>
      <c r="E20009" t="s">
        <v>10576</v>
      </c>
      <c r="F20009" t="s">
        <v>11</v>
      </c>
      <c r="G20009" t="s">
        <v>10577</v>
      </c>
      <c r="H20009" s="12">
        <v>1.03232328744931</v>
      </c>
      <c r="I20009" s="20">
        <v>0.17157293231388199</v>
      </c>
      <c r="J20009" s="28">
        <v>0.86377328874388803</v>
      </c>
      <c r="K20009" s="29">
        <v>0.994271565763579</v>
      </c>
    </row>
    <row r="20010" spans="1:11" x14ac:dyDescent="0.35">
      <c r="A20010" s="9" t="str">
        <f>HYPERLINK("http://www.ensembl.org/id/WBGene00010070", "WBGene00010070")</f>
        <v>WBGene00010070</v>
      </c>
      <c r="B20010" s="9" t="str">
        <f>HYPERLINK("http://www.ncbi.nlm.nih.gov/gene/174996", "174996")</f>
        <v>174996</v>
      </c>
      <c r="C20010" s="9"/>
      <c r="D20010" t="str">
        <f>"nep-17"</f>
        <v>nep-17</v>
      </c>
      <c r="E20010" t="s">
        <v>683</v>
      </c>
      <c r="F20010" t="s">
        <v>11</v>
      </c>
      <c r="G20010" t="s">
        <v>684</v>
      </c>
      <c r="H20010" s="12">
        <v>1.0351922334091299</v>
      </c>
      <c r="I20010" s="20">
        <v>0.19064814341956601</v>
      </c>
      <c r="J20010" s="28">
        <v>0.84880126891355401</v>
      </c>
      <c r="K20010" s="29">
        <v>0.994271565763579</v>
      </c>
    </row>
    <row r="20011" spans="1:11" x14ac:dyDescent="0.35">
      <c r="A20011" s="9" t="str">
        <f>HYPERLINK("http://www.ensembl.org/id/WBGene00003588", "WBGene00003588")</f>
        <v>WBGene00003588</v>
      </c>
      <c r="B20011" s="9" t="str">
        <f>HYPERLINK("http://www.ncbi.nlm.nih.gov/gene/175714", "175714")</f>
        <v>175714</v>
      </c>
      <c r="C20011" s="9" t="str">
        <f>HYPERLINK("http://www.ncbi.nlm.nih.gov/gene/312", "312")</f>
        <v>312</v>
      </c>
      <c r="D20011" t="str">
        <f>"nex-1"</f>
        <v>nex-1</v>
      </c>
      <c r="E20011" t="s">
        <v>1798</v>
      </c>
      <c r="F20011" t="s">
        <v>11</v>
      </c>
      <c r="G20011" t="s">
        <v>10583</v>
      </c>
      <c r="H20011" s="12">
        <v>-1.03007611275439</v>
      </c>
      <c r="I20011" s="20">
        <v>-0.167196727403219</v>
      </c>
      <c r="J20011" s="28">
        <v>0.86721525932952703</v>
      </c>
      <c r="K20011" s="29">
        <v>0.994271565763579</v>
      </c>
    </row>
    <row r="20012" spans="1:11" x14ac:dyDescent="0.35">
      <c r="A20012" s="9" t="str">
        <f>HYPERLINK("http://www.ensembl.org/id/WBGene00003728", "WBGene00003728")</f>
        <v>WBGene00003728</v>
      </c>
      <c r="B20012" s="9" t="str">
        <f>HYPERLINK("http://www.ncbi.nlm.nih.gov/gene/3565904", "3565904")</f>
        <v>3565904</v>
      </c>
      <c r="C20012" s="9"/>
      <c r="D20012" t="str">
        <f>"nhr-138"</f>
        <v>nhr-138</v>
      </c>
      <c r="E20012" t="s">
        <v>637</v>
      </c>
      <c r="F20012" t="s">
        <v>11</v>
      </c>
      <c r="G20012" t="s">
        <v>1073</v>
      </c>
      <c r="H20012" s="12">
        <v>-1.03491979560925</v>
      </c>
      <c r="I20012" s="20">
        <v>-0.16773574410428799</v>
      </c>
      <c r="J20012" s="28">
        <v>0.86679117483231805</v>
      </c>
      <c r="K20012" s="29">
        <v>0.994271565763579</v>
      </c>
    </row>
    <row r="20013" spans="1:11" x14ac:dyDescent="0.35">
      <c r="A20013" s="9" t="str">
        <f>HYPERLINK("http://www.ensembl.org/id/WBGene00017503", "WBGene00017503")</f>
        <v>WBGene00017503</v>
      </c>
      <c r="B20013" s="9" t="str">
        <f>HYPERLINK("http://www.ncbi.nlm.nih.gov/gene/184557", "184557")</f>
        <v>184557</v>
      </c>
      <c r="C20013" s="9"/>
      <c r="D20013" t="str">
        <f>"nhr-177"</f>
        <v>nhr-177</v>
      </c>
      <c r="E20013" t="s">
        <v>637</v>
      </c>
      <c r="F20013" t="s">
        <v>11</v>
      </c>
      <c r="G20013" t="s">
        <v>1073</v>
      </c>
      <c r="H20013" s="12">
        <v>1.0555265745657001</v>
      </c>
      <c r="I20013" s="20">
        <v>0.17680896355239101</v>
      </c>
      <c r="J20013" s="28">
        <v>0.859658448087946</v>
      </c>
      <c r="K20013" s="29">
        <v>0.994271565763579</v>
      </c>
    </row>
    <row r="20014" spans="1:11" x14ac:dyDescent="0.35">
      <c r="A20014" s="9" t="str">
        <f>HYPERLINK("http://www.ensembl.org/id/WBGene00014192", "WBGene00014192")</f>
        <v>WBGene00014192</v>
      </c>
      <c r="B20014" s="9" t="str">
        <f>HYPERLINK("http://www.ncbi.nlm.nih.gov/gene/191499", "191499")</f>
        <v>191499</v>
      </c>
      <c r="C20014" s="9"/>
      <c r="D20014" t="str">
        <f>"nhr-246"</f>
        <v>nhr-246</v>
      </c>
      <c r="E20014" t="s">
        <v>637</v>
      </c>
      <c r="F20014" t="s">
        <v>11</v>
      </c>
      <c r="H20014" s="12">
        <v>1.1578211048637601</v>
      </c>
      <c r="I20014" s="20">
        <v>0.17282336122324299</v>
      </c>
      <c r="J20014" s="28">
        <v>0.862790273741182</v>
      </c>
      <c r="K20014" s="29">
        <v>0.994271565763579</v>
      </c>
    </row>
    <row r="20015" spans="1:11" x14ac:dyDescent="0.35">
      <c r="A20015" s="9" t="str">
        <f>HYPERLINK("http://www.ensembl.org/id/WBGene00011565", "WBGene00011565")</f>
        <v>WBGene00011565</v>
      </c>
      <c r="B20015" s="9" t="str">
        <f>HYPERLINK("http://www.ncbi.nlm.nih.gov/gene/188209", "188209")</f>
        <v>188209</v>
      </c>
      <c r="C20015" s="9"/>
      <c r="D20015" t="str">
        <f>"nhr-272"</f>
        <v>nhr-272</v>
      </c>
      <c r="E20015" t="s">
        <v>637</v>
      </c>
      <c r="F20015" t="s">
        <v>11</v>
      </c>
      <c r="G20015" t="s">
        <v>1073</v>
      </c>
      <c r="H20015" s="12">
        <v>-1.8395086315795599</v>
      </c>
      <c r="I20015" s="20">
        <v>-0.18246327208405799</v>
      </c>
      <c r="J20015" s="28">
        <v>0.85521917511891998</v>
      </c>
      <c r="K20015" s="29">
        <v>0.994271565763579</v>
      </c>
    </row>
    <row r="20016" spans="1:11" x14ac:dyDescent="0.35">
      <c r="A20016" s="9" t="str">
        <f>HYPERLINK("http://www.ensembl.org/id/WBGene00003629", "WBGene00003629")</f>
        <v>WBGene00003629</v>
      </c>
      <c r="B20016" s="9" t="str">
        <f>HYPERLINK("http://www.ncbi.nlm.nih.gov/gene/191720", "191720")</f>
        <v>191720</v>
      </c>
      <c r="C20016" s="9"/>
      <c r="D20016" t="str">
        <f>"nhr-38"</f>
        <v>nhr-38</v>
      </c>
      <c r="E20016" t="s">
        <v>637</v>
      </c>
      <c r="F20016" t="s">
        <v>11</v>
      </c>
      <c r="G20016" t="s">
        <v>3197</v>
      </c>
      <c r="H20016" s="12">
        <v>1.60216704126467</v>
      </c>
      <c r="I20016" s="20">
        <v>0.17581844155861501</v>
      </c>
      <c r="J20016" s="28">
        <v>0.86043658105431398</v>
      </c>
      <c r="K20016" s="29">
        <v>0.994271565763579</v>
      </c>
    </row>
    <row r="20017" spans="1:11" x14ac:dyDescent="0.35">
      <c r="A20017" s="9" t="str">
        <f>HYPERLINK("http://www.ensembl.org/id/WBGene00003667", "WBGene00003667")</f>
        <v>WBGene00003667</v>
      </c>
      <c r="B20017" s="9" t="str">
        <f>HYPERLINK("http://www.ncbi.nlm.nih.gov/gene/191726", "191726")</f>
        <v>191726</v>
      </c>
      <c r="C20017" s="9"/>
      <c r="D20017" t="str">
        <f>"nhr-77"</f>
        <v>nhr-77</v>
      </c>
      <c r="E20017" t="s">
        <v>10497</v>
      </c>
      <c r="F20017" t="s">
        <v>11</v>
      </c>
      <c r="G20017" t="s">
        <v>852</v>
      </c>
      <c r="H20017" s="12">
        <v>1.75352385646303</v>
      </c>
      <c r="I20017" s="20">
        <v>0.16737746853691299</v>
      </c>
      <c r="J20017" s="28">
        <v>0.86707305258210998</v>
      </c>
      <c r="K20017" s="29">
        <v>0.994271565763579</v>
      </c>
    </row>
    <row r="20018" spans="1:11" x14ac:dyDescent="0.35">
      <c r="A20018" s="9" t="str">
        <f>HYPERLINK("http://www.ensembl.org/id/WBGene00018886", "WBGene00018886")</f>
        <v>WBGene00018886</v>
      </c>
      <c r="B20018" s="9" t="str">
        <f>HYPERLINK("http://www.ncbi.nlm.nih.gov/gene/181089", "181089")</f>
        <v>181089</v>
      </c>
      <c r="C20018" s="9"/>
      <c r="D20018" t="str">
        <f>"npr-28"</f>
        <v>npr-28</v>
      </c>
      <c r="E20018" t="s">
        <v>1021</v>
      </c>
      <c r="F20018" t="s">
        <v>11</v>
      </c>
      <c r="G20018" t="s">
        <v>1511</v>
      </c>
      <c r="H20018" s="12">
        <v>1.0405113656635401</v>
      </c>
      <c r="I20018" s="20">
        <v>0.172522469643142</v>
      </c>
      <c r="J20018" s="28">
        <v>0.86302679797628601</v>
      </c>
      <c r="K20018" s="29">
        <v>0.994271565763579</v>
      </c>
    </row>
    <row r="20019" spans="1:11" x14ac:dyDescent="0.35">
      <c r="A20019" s="9" t="str">
        <f>HYPERLINK("http://www.ensembl.org/id/WBGene00018169", "WBGene00018169")</f>
        <v>WBGene00018169</v>
      </c>
      <c r="B20019" s="9" t="str">
        <f>HYPERLINK("http://www.ncbi.nlm.nih.gov/gene/185448", "185448")</f>
        <v>185448</v>
      </c>
      <c r="C20019" s="9"/>
      <c r="D20019" t="str">
        <f>"nspb-2"</f>
        <v>nspb-2</v>
      </c>
      <c r="E20019" t="s">
        <v>1851</v>
      </c>
      <c r="F20019" t="s">
        <v>11</v>
      </c>
      <c r="H20019" s="12">
        <v>1.60216704126467</v>
      </c>
      <c r="I20019" s="20">
        <v>0.17581844155861501</v>
      </c>
      <c r="J20019" s="28">
        <v>0.86043658105431398</v>
      </c>
      <c r="K20019" s="29">
        <v>0.994271565763579</v>
      </c>
    </row>
    <row r="20020" spans="1:11" x14ac:dyDescent="0.35">
      <c r="A20020" s="9" t="str">
        <f>HYPERLINK("http://www.ensembl.org/id/WBGene00043147", "WBGene00043147")</f>
        <v>WBGene00043147</v>
      </c>
      <c r="B20020" s="9" t="str">
        <f>HYPERLINK("http://www.ncbi.nlm.nih.gov/gene/4926899", "4926899")</f>
        <v>4926899</v>
      </c>
      <c r="C20020" s="9"/>
      <c r="D20020" t="str">
        <f>"nspd-6"</f>
        <v>nspd-6</v>
      </c>
      <c r="E20020" t="s">
        <v>5563</v>
      </c>
      <c r="F20020" t="s">
        <v>11</v>
      </c>
      <c r="H20020" s="12">
        <v>1.17967890447808</v>
      </c>
      <c r="I20020" s="20">
        <v>0.192046927026127</v>
      </c>
      <c r="J20020" s="28">
        <v>0.84770544705698203</v>
      </c>
      <c r="K20020" s="29">
        <v>0.994271565763579</v>
      </c>
    </row>
    <row r="20021" spans="1:11" x14ac:dyDescent="0.35">
      <c r="A20021" s="9" t="str">
        <f>HYPERLINK("http://www.ensembl.org/id/WBGene00175028", "WBGene00175028")</f>
        <v>WBGene00175028</v>
      </c>
      <c r="B20021" s="9" t="str">
        <f>HYPERLINK("http://www.ncbi.nlm.nih.gov/gene/13187525", "13187525")</f>
        <v>13187525</v>
      </c>
      <c r="C20021" s="9"/>
      <c r="D20021" t="str">
        <f>"nspe-8"</f>
        <v>nspe-8</v>
      </c>
      <c r="E20021" t="s">
        <v>2921</v>
      </c>
      <c r="F20021" t="s">
        <v>11</v>
      </c>
      <c r="H20021" s="12">
        <v>1.75352385646303</v>
      </c>
      <c r="I20021" s="20">
        <v>0.16737746853691299</v>
      </c>
      <c r="J20021" s="28">
        <v>0.86707305258210998</v>
      </c>
      <c r="K20021" s="29">
        <v>0.994271565763579</v>
      </c>
    </row>
    <row r="20022" spans="1:11" x14ac:dyDescent="0.35">
      <c r="A20022" s="9" t="str">
        <f>HYPERLINK("http://www.ensembl.org/id/WBGene00011882", "WBGene00011882")</f>
        <v>WBGene00011882</v>
      </c>
      <c r="B20022" s="9" t="str">
        <f>HYPERLINK("http://www.ncbi.nlm.nih.gov/gene/188685", "188685")</f>
        <v>188685</v>
      </c>
      <c r="C20022" s="9"/>
      <c r="D20022" t="str">
        <f>"nstp-9"</f>
        <v>nstp-9</v>
      </c>
      <c r="E20022" t="s">
        <v>1978</v>
      </c>
      <c r="F20022" t="s">
        <v>11</v>
      </c>
      <c r="G20022" t="s">
        <v>10670</v>
      </c>
      <c r="H20022" s="12">
        <v>-1.6382152448093801</v>
      </c>
      <c r="I20022" s="20">
        <v>-0.18792403729490401</v>
      </c>
      <c r="J20022" s="28">
        <v>0.85093619939312704</v>
      </c>
      <c r="K20022" s="29">
        <v>0.994271565763579</v>
      </c>
    </row>
    <row r="20023" spans="1:11" x14ac:dyDescent="0.35">
      <c r="A20023" s="9" t="str">
        <f>HYPERLINK("http://www.ensembl.org/id/WBGene00016776", "WBGene00016776")</f>
        <v>WBGene00016776</v>
      </c>
      <c r="B20023" s="9" t="str">
        <f>HYPERLINK("http://www.ncbi.nlm.nih.gov/gene/183610", "183610")</f>
        <v>183610</v>
      </c>
      <c r="C20023" s="9"/>
      <c r="D20023" t="str">
        <f>"oac-11"</f>
        <v>oac-11</v>
      </c>
      <c r="E20023" t="s">
        <v>883</v>
      </c>
      <c r="F20023" t="s">
        <v>11</v>
      </c>
      <c r="G20023" t="s">
        <v>1992</v>
      </c>
      <c r="H20023" s="12">
        <v>1.79408715352943</v>
      </c>
      <c r="I20023" s="20">
        <v>0.173550585897745</v>
      </c>
      <c r="J20023" s="28">
        <v>0.86221866928889102</v>
      </c>
      <c r="K20023" s="29">
        <v>0.994271565763579</v>
      </c>
    </row>
    <row r="20024" spans="1:11" x14ac:dyDescent="0.35">
      <c r="A20024" s="9" t="str">
        <f>HYPERLINK("http://www.ensembl.org/id/WBGene00012323", "WBGene00012323")</f>
        <v>WBGene00012323</v>
      </c>
      <c r="B20024" s="9" t="str">
        <f>HYPERLINK("http://www.ncbi.nlm.nih.gov/gene/189275", "189275")</f>
        <v>189275</v>
      </c>
      <c r="C20024" s="9"/>
      <c r="D20024" t="str">
        <f>"oac-54"</f>
        <v>oac-54</v>
      </c>
      <c r="E20024" t="s">
        <v>883</v>
      </c>
      <c r="F20024" t="s">
        <v>11</v>
      </c>
      <c r="G20024" t="s">
        <v>884</v>
      </c>
      <c r="H20024" s="12">
        <v>-1.2203323176116401</v>
      </c>
      <c r="I20024" s="20">
        <v>-0.188866081070203</v>
      </c>
      <c r="J20024" s="28">
        <v>0.85019777847880995</v>
      </c>
      <c r="K20024" s="29">
        <v>0.994271565763579</v>
      </c>
    </row>
    <row r="20025" spans="1:11" x14ac:dyDescent="0.35">
      <c r="A20025" s="9" t="str">
        <f>HYPERLINK("http://www.ensembl.org/id/WBGene00023520", "WBGene00023520")</f>
        <v>WBGene00023520</v>
      </c>
      <c r="B20025" s="9" t="str">
        <f>HYPERLINK("http://www.ncbi.nlm.nih.gov/gene/259604", "259604")</f>
        <v>259604</v>
      </c>
      <c r="C20025" s="9"/>
      <c r="D20025" t="str">
        <f>"oig-5"</f>
        <v>oig-5</v>
      </c>
      <c r="E20025" t="s">
        <v>862</v>
      </c>
      <c r="F20025" t="s">
        <v>11</v>
      </c>
      <c r="H20025" s="12">
        <v>1.0554112232356001</v>
      </c>
      <c r="I20025" s="20">
        <v>0.16814124771999001</v>
      </c>
      <c r="J20025" s="28">
        <v>0.86647216026680496</v>
      </c>
      <c r="K20025" s="29">
        <v>0.994271565763579</v>
      </c>
    </row>
    <row r="20026" spans="1:11" x14ac:dyDescent="0.35">
      <c r="A20026" s="9" t="str">
        <f>HYPERLINK("http://www.ensembl.org/id/WBGene00005744", "WBGene00005744")</f>
        <v>WBGene00005744</v>
      </c>
      <c r="B20026" s="9" t="str">
        <f>HYPERLINK("http://www.ncbi.nlm.nih.gov/gene/188465", "188465")</f>
        <v>188465</v>
      </c>
      <c r="C20026" s="9"/>
      <c r="D20026" t="str">
        <f>"ops-1"</f>
        <v>ops-1</v>
      </c>
      <c r="E20026" t="s">
        <v>10500</v>
      </c>
      <c r="F20026" t="s">
        <v>11</v>
      </c>
      <c r="G20026" t="s">
        <v>25</v>
      </c>
      <c r="H20026" s="12">
        <v>1.42610761936606</v>
      </c>
      <c r="I20026" s="20">
        <v>0.179532145636429</v>
      </c>
      <c r="J20026" s="28">
        <v>0.85751987878532299</v>
      </c>
      <c r="K20026" s="29">
        <v>0.994271565763579</v>
      </c>
    </row>
    <row r="20027" spans="1:11" x14ac:dyDescent="0.35">
      <c r="A20027" s="9" t="str">
        <f>HYPERLINK("http://www.ensembl.org/id/WBGene00016329", "WBGene00016329")</f>
        <v>WBGene00016329</v>
      </c>
      <c r="B20027" s="9" t="str">
        <f>HYPERLINK("http://www.ncbi.nlm.nih.gov/gene/172161", "172161")</f>
        <v>172161</v>
      </c>
      <c r="C20027" s="9"/>
      <c r="D20027" t="str">
        <f>"osr-1"</f>
        <v>osr-1</v>
      </c>
      <c r="E20027" t="s">
        <v>10513</v>
      </c>
      <c r="F20027" t="s">
        <v>11</v>
      </c>
      <c r="H20027" s="12">
        <v>1.0753256389117301</v>
      </c>
      <c r="I20027" s="20">
        <v>0.16459474750617401</v>
      </c>
      <c r="J20027" s="28">
        <v>0.86926296571261796</v>
      </c>
      <c r="K20027" s="29">
        <v>0.994271565763579</v>
      </c>
    </row>
    <row r="20028" spans="1:11" x14ac:dyDescent="0.35">
      <c r="A20028" s="9" t="str">
        <f>HYPERLINK("http://www.ensembl.org/id/WBGene00018477", "WBGene00018477")</f>
        <v>WBGene00018477</v>
      </c>
      <c r="B20028" s="9" t="str">
        <f>HYPERLINK("http://www.ncbi.nlm.nih.gov/gene/185805", "185805")</f>
        <v>185805</v>
      </c>
      <c r="C20028" s="9"/>
      <c r="D20028" t="str">
        <f>"otpl-4"</f>
        <v>otpl-4</v>
      </c>
      <c r="E20028" t="s">
        <v>233</v>
      </c>
      <c r="F20028" t="s">
        <v>11</v>
      </c>
      <c r="G20028" t="s">
        <v>234</v>
      </c>
      <c r="H20028" s="12">
        <v>-1.8016822568770801</v>
      </c>
      <c r="I20028" s="20">
        <v>-0.175677875261118</v>
      </c>
      <c r="J20028" s="28">
        <v>0.86054701793969501</v>
      </c>
      <c r="K20028" s="29">
        <v>0.994271565763579</v>
      </c>
    </row>
    <row r="20029" spans="1:11" x14ac:dyDescent="0.35">
      <c r="A20029" s="9" t="str">
        <f>HYPERLINK("http://www.ensembl.org/id/WBGene00003904", "WBGene00003904")</f>
        <v>WBGene00003904</v>
      </c>
      <c r="B20029" s="9" t="str">
        <f>HYPERLINK("http://www.ncbi.nlm.nih.gov/gene/172768", "172768")</f>
        <v>172768</v>
      </c>
      <c r="C20029" s="9" t="str">
        <f>HYPERLINK("http://www.ncbi.nlm.nih.gov/gene/8106", "8106")</f>
        <v>8106</v>
      </c>
      <c r="D20029" t="str">
        <f>"pabp-2"</f>
        <v>pabp-2</v>
      </c>
      <c r="E20029" t="s">
        <v>10642</v>
      </c>
      <c r="F20029" t="s">
        <v>11</v>
      </c>
      <c r="G20029" t="s">
        <v>2343</v>
      </c>
      <c r="H20029" s="12">
        <v>-1.03952011125257</v>
      </c>
      <c r="I20029" s="20">
        <v>-0.18946775597125801</v>
      </c>
      <c r="J20029" s="28">
        <v>0.84972622437712797</v>
      </c>
      <c r="K20029" s="29">
        <v>0.994271565763579</v>
      </c>
    </row>
    <row r="20030" spans="1:11" x14ac:dyDescent="0.35">
      <c r="A20030" s="9" t="str">
        <f>HYPERLINK("http://www.ensembl.org/id/WBGene00013294", "WBGene00013294")</f>
        <v>WBGene00013294</v>
      </c>
      <c r="B20030" s="9" t="str">
        <f>HYPERLINK("http://www.ncbi.nlm.nih.gov/gene/190365", "190365")</f>
        <v>190365</v>
      </c>
      <c r="C20030" s="9"/>
      <c r="D20030" t="str">
        <f>"pals-30"</f>
        <v>pals-30</v>
      </c>
      <c r="E20030" t="s">
        <v>1147</v>
      </c>
      <c r="F20030" t="s">
        <v>11</v>
      </c>
      <c r="H20030" s="12">
        <v>1.31624737336361</v>
      </c>
      <c r="I20030" s="20">
        <v>0.173853879795934</v>
      </c>
      <c r="J20030" s="28">
        <v>0.86198029914137297</v>
      </c>
      <c r="K20030" s="29">
        <v>0.994271565763579</v>
      </c>
    </row>
    <row r="20031" spans="1:11" x14ac:dyDescent="0.35">
      <c r="A20031" s="9" t="str">
        <f>HYPERLINK("http://www.ensembl.org/id/WBGene00012857", "WBGene00012857")</f>
        <v>WBGene00012857</v>
      </c>
      <c r="B20031" s="9" t="str">
        <f>HYPERLINK("http://www.ncbi.nlm.nih.gov/gene/189903", "189903")</f>
        <v>189903</v>
      </c>
      <c r="C20031" s="9"/>
      <c r="D20031" t="str">
        <f>"pbo-5"</f>
        <v>pbo-5</v>
      </c>
      <c r="E20031" t="s">
        <v>10523</v>
      </c>
      <c r="F20031" t="s">
        <v>11</v>
      </c>
      <c r="G20031" t="s">
        <v>774</v>
      </c>
      <c r="H20031" s="12">
        <v>1.05938867195645</v>
      </c>
      <c r="I20031" s="20">
        <v>0.17857739180061899</v>
      </c>
      <c r="J20031" s="28">
        <v>0.85826954784036003</v>
      </c>
      <c r="K20031" s="29">
        <v>0.994271565763579</v>
      </c>
    </row>
    <row r="20032" spans="1:11" x14ac:dyDescent="0.35">
      <c r="A20032" s="9" t="str">
        <f>HYPERLINK("http://www.ensembl.org/id/WBGene00003987", "WBGene00003987")</f>
        <v>WBGene00003987</v>
      </c>
      <c r="B20032" s="9" t="str">
        <f>HYPERLINK("http://www.ncbi.nlm.nih.gov/gene/180963", "180963")</f>
        <v>180963</v>
      </c>
      <c r="C20032" s="9"/>
      <c r="D20032" t="str">
        <f>"pes-23"</f>
        <v>pes-23</v>
      </c>
      <c r="E20032" t="s">
        <v>1587</v>
      </c>
      <c r="F20032" t="s">
        <v>11</v>
      </c>
      <c r="G20032" t="s">
        <v>230</v>
      </c>
      <c r="H20032" s="12">
        <v>-1.03765325181603</v>
      </c>
      <c r="I20032" s="20">
        <v>-0.175389454484631</v>
      </c>
      <c r="J20032" s="28">
        <v>0.860773626257198</v>
      </c>
      <c r="K20032" s="29">
        <v>0.994271565763579</v>
      </c>
    </row>
    <row r="20033" spans="1:11" x14ac:dyDescent="0.35">
      <c r="A20033" s="9" t="str">
        <f>HYPERLINK("http://www.ensembl.org/id/WBGene00015161", "WBGene00015161")</f>
        <v>WBGene00015161</v>
      </c>
      <c r="B20033" s="9" t="str">
        <f>HYPERLINK("http://www.ncbi.nlm.nih.gov/gene/176030", "176030")</f>
        <v>176030</v>
      </c>
      <c r="C20033" s="9" t="str">
        <f>HYPERLINK("http://www.ncbi.nlm.nih.gov/gene/53", "53")</f>
        <v>53</v>
      </c>
      <c r="D20033" t="str">
        <f>"pho-5"</f>
        <v>pho-5</v>
      </c>
      <c r="E20033" t="s">
        <v>10647</v>
      </c>
      <c r="F20033" t="s">
        <v>11</v>
      </c>
      <c r="H20033" s="12">
        <v>-1.04193974545204</v>
      </c>
      <c r="I20033" s="20">
        <v>-0.188951997200938</v>
      </c>
      <c r="J20033" s="28">
        <v>0.85013043965609203</v>
      </c>
      <c r="K20033" s="29">
        <v>0.994271565763579</v>
      </c>
    </row>
    <row r="20034" spans="1:11" x14ac:dyDescent="0.35">
      <c r="A20034" s="9" t="str">
        <f>HYPERLINK("http://www.ensembl.org/id/WBGene00004150", "WBGene00004150")</f>
        <v>WBGene00004150</v>
      </c>
      <c r="B20034" s="9" t="str">
        <f>HYPERLINK("http://www.ncbi.nlm.nih.gov/gene/179773", "179773")</f>
        <v>179773</v>
      </c>
      <c r="C20034" s="9"/>
      <c r="D20034" t="str">
        <f>"pqn-67"</f>
        <v>pqn-67</v>
      </c>
      <c r="E20034" t="s">
        <v>432</v>
      </c>
      <c r="F20034" t="s">
        <v>11</v>
      </c>
      <c r="H20034" s="12">
        <v>-1.10396588519983</v>
      </c>
      <c r="I20034" s="20">
        <v>-0.188084546441037</v>
      </c>
      <c r="J20034" s="28">
        <v>0.85081037505836499</v>
      </c>
      <c r="K20034" s="29">
        <v>0.994271565763579</v>
      </c>
    </row>
    <row r="20035" spans="1:11" x14ac:dyDescent="0.35">
      <c r="A20035" s="9" t="str">
        <f>HYPERLINK("http://www.ensembl.org/id/WBGene00021236", "WBGene00021236")</f>
        <v>WBGene00021236</v>
      </c>
      <c r="B20035" s="9" t="str">
        <f>HYPERLINK("http://www.ncbi.nlm.nih.gov/gene/178709", "178709")</f>
        <v>178709</v>
      </c>
      <c r="C20035" s="9"/>
      <c r="D20035" t="str">
        <f>"pud-1.2"</f>
        <v>pud-1.2</v>
      </c>
      <c r="E20035" t="s">
        <v>4437</v>
      </c>
      <c r="F20035" t="s">
        <v>11</v>
      </c>
      <c r="H20035" s="12">
        <v>-1.3399659458198001</v>
      </c>
      <c r="I20035" s="20">
        <v>-0.18909414914346301</v>
      </c>
      <c r="J20035" s="28">
        <v>0.85001902707149501</v>
      </c>
      <c r="K20035" s="29">
        <v>0.994271565763579</v>
      </c>
    </row>
    <row r="20036" spans="1:11" x14ac:dyDescent="0.35">
      <c r="A20036" s="9" t="str">
        <f>HYPERLINK("http://www.ensembl.org/id/WBGene00019907", "WBGene00019907")</f>
        <v>WBGene00019907</v>
      </c>
      <c r="B20036" s="9" t="str">
        <f>HYPERLINK("http://www.ncbi.nlm.nih.gov/gene/187631", "187631")</f>
        <v>187631</v>
      </c>
      <c r="C20036" s="9"/>
      <c r="D20036" t="str">
        <f>"R05H11.1"</f>
        <v>R05H11.1</v>
      </c>
      <c r="F20036" t="s">
        <v>11</v>
      </c>
      <c r="G20036" t="s">
        <v>54</v>
      </c>
      <c r="H20036" s="12">
        <v>1.04376373301892</v>
      </c>
      <c r="I20036" s="20">
        <v>0.174912677341476</v>
      </c>
      <c r="J20036" s="28">
        <v>0.86114824876264595</v>
      </c>
      <c r="K20036" s="29">
        <v>0.994271565763579</v>
      </c>
    </row>
    <row r="20037" spans="1:11" x14ac:dyDescent="0.35">
      <c r="A20037" s="9" t="str">
        <f>HYPERLINK("http://www.ensembl.org/id/WBGene00020120", "WBGene00020120")</f>
        <v>WBGene00020120</v>
      </c>
      <c r="B20037" s="9" t="str">
        <f>HYPERLINK("http://www.ncbi.nlm.nih.gov/gene/187912", "187912")</f>
        <v>187912</v>
      </c>
      <c r="C20037" s="9"/>
      <c r="D20037" t="str">
        <f>"R160.3"</f>
        <v>R160.3</v>
      </c>
      <c r="F20037" t="s">
        <v>11</v>
      </c>
      <c r="G20037" t="s">
        <v>25</v>
      </c>
      <c r="H20037" s="12">
        <v>1.08556560647953</v>
      </c>
      <c r="I20037" s="20">
        <v>0.17117011512799599</v>
      </c>
      <c r="J20037" s="28">
        <v>0.86409000534373004</v>
      </c>
      <c r="K20037" s="29">
        <v>0.994271565763579</v>
      </c>
    </row>
    <row r="20038" spans="1:11" x14ac:dyDescent="0.35">
      <c r="A20038" s="9" t="str">
        <f>HYPERLINK("http://www.ensembl.org/id/WBGene00023421", "WBGene00023421")</f>
        <v>WBGene00023421</v>
      </c>
      <c r="B20038" s="9" t="str">
        <f>HYPERLINK("http://www.ncbi.nlm.nih.gov/gene/3565977", "3565977")</f>
        <v>3565977</v>
      </c>
      <c r="C20038" s="9"/>
      <c r="D20038" t="str">
        <f>"rde-11"</f>
        <v>rde-11</v>
      </c>
      <c r="E20038" t="s">
        <v>10537</v>
      </c>
      <c r="F20038" t="s">
        <v>11</v>
      </c>
      <c r="G20038" t="s">
        <v>10538</v>
      </c>
      <c r="H20038" s="12">
        <v>1.04033426647684</v>
      </c>
      <c r="I20038" s="20">
        <v>0.17763734027122399</v>
      </c>
      <c r="J20038" s="28">
        <v>0.85900779759409895</v>
      </c>
      <c r="K20038" s="29">
        <v>0.994271565763579</v>
      </c>
    </row>
    <row r="20039" spans="1:11" x14ac:dyDescent="0.35">
      <c r="A20039" s="9" t="str">
        <f>HYPERLINK("http://www.ensembl.org/id/WBGene00004699", "WBGene00004699")</f>
        <v>WBGene00004699</v>
      </c>
      <c r="B20039" s="9" t="str">
        <f>HYPERLINK("http://www.ncbi.nlm.nih.gov/gene/174747", "174747")</f>
        <v>174747</v>
      </c>
      <c r="C20039" s="9"/>
      <c r="D20039" t="str">
        <f>"rsp-2"</f>
        <v>rsp-2</v>
      </c>
      <c r="E20039" t="s">
        <v>10542</v>
      </c>
      <c r="F20039" t="s">
        <v>11</v>
      </c>
      <c r="G20039" t="s">
        <v>10543</v>
      </c>
      <c r="H20039" s="12">
        <v>1.0384551045499499</v>
      </c>
      <c r="I20039" s="20">
        <v>0.184070615111629</v>
      </c>
      <c r="J20039" s="28">
        <v>0.85395805831671501</v>
      </c>
      <c r="K20039" s="29">
        <v>0.994271565763579</v>
      </c>
    </row>
    <row r="20040" spans="1:11" x14ac:dyDescent="0.35">
      <c r="A20040" s="9" t="str">
        <f>HYPERLINK("http://www.ensembl.org/id/WBGene00004705", "WBGene00004705")</f>
        <v>WBGene00004705</v>
      </c>
      <c r="B20040" s="9" t="str">
        <f>HYPERLINK("http://www.ncbi.nlm.nih.gov/gene/176613", "176613")</f>
        <v>176613</v>
      </c>
      <c r="C20040" s="9"/>
      <c r="D20040" t="str">
        <f>"rsp-8"</f>
        <v>rsp-8</v>
      </c>
      <c r="E20040" t="s">
        <v>10601</v>
      </c>
      <c r="F20040" t="s">
        <v>11</v>
      </c>
      <c r="G20040" t="s">
        <v>10602</v>
      </c>
      <c r="H20040" s="12">
        <v>-1.0339959584490199</v>
      </c>
      <c r="I20040" s="20">
        <v>-0.16491195953805099</v>
      </c>
      <c r="J20040" s="28">
        <v>0.86901327893817704</v>
      </c>
      <c r="K20040" s="29">
        <v>0.994271565763579</v>
      </c>
    </row>
    <row r="20041" spans="1:11" x14ac:dyDescent="0.35">
      <c r="A20041" s="9" t="str">
        <f>HYPERLINK("http://www.ensembl.org/id/WBGene00023016", "WBGene00023016")</f>
        <v>WBGene00023016</v>
      </c>
      <c r="B20041" s="9"/>
      <c r="C20041" s="9"/>
      <c r="D20041" t="str">
        <f>"rte-3"</f>
        <v>rte-3</v>
      </c>
      <c r="F20041" t="s">
        <v>4208</v>
      </c>
      <c r="H20041" s="12">
        <v>1.7719103290423801</v>
      </c>
      <c r="I20041" s="20">
        <v>0.170705673614783</v>
      </c>
      <c r="J20041" s="28">
        <v>0.86445520141600396</v>
      </c>
      <c r="K20041" s="29">
        <v>0.994271565763579</v>
      </c>
    </row>
    <row r="20042" spans="1:11" x14ac:dyDescent="0.35">
      <c r="A20042" s="9" t="str">
        <f>HYPERLINK("http://www.ensembl.org/id/WBGene00010012", "WBGene00010012")</f>
        <v>WBGene00010012</v>
      </c>
      <c r="B20042" s="9" t="str">
        <f>HYPERLINK("http://www.ncbi.nlm.nih.gov/gene/179505", "179505")</f>
        <v>179505</v>
      </c>
      <c r="C20042" s="9"/>
      <c r="D20042" t="str">
        <f>"saeg-1"</f>
        <v>saeg-1</v>
      </c>
      <c r="E20042" t="s">
        <v>10551</v>
      </c>
      <c r="F20042" t="s">
        <v>11</v>
      </c>
      <c r="G20042" t="s">
        <v>10552</v>
      </c>
      <c r="H20042" s="12">
        <v>1.03695279265882</v>
      </c>
      <c r="I20042" s="20">
        <v>0.18827932959337601</v>
      </c>
      <c r="J20042" s="28">
        <v>0.85065768817271503</v>
      </c>
      <c r="K20042" s="29">
        <v>0.994271565763579</v>
      </c>
    </row>
    <row r="20043" spans="1:11" x14ac:dyDescent="0.35">
      <c r="A20043" s="9" t="str">
        <f>HYPERLINK("http://www.ensembl.org/id/WBGene00012990", "WBGene00012990")</f>
        <v>WBGene00012990</v>
      </c>
      <c r="B20043" s="9" t="str">
        <f>HYPERLINK("http://www.ncbi.nlm.nih.gov/gene/174975", "174975")</f>
        <v>174975</v>
      </c>
      <c r="C20043" s="9"/>
      <c r="D20043" t="str">
        <f>"sam-10"</f>
        <v>sam-10</v>
      </c>
      <c r="E20043" t="s">
        <v>10625</v>
      </c>
      <c r="F20043" t="s">
        <v>11</v>
      </c>
      <c r="G20043" t="s">
        <v>10626</v>
      </c>
      <c r="H20043" s="12">
        <v>-1.03655080235868</v>
      </c>
      <c r="I20043" s="20">
        <v>-0.17676397660387899</v>
      </c>
      <c r="J20043" s="28">
        <v>0.85969378592757195</v>
      </c>
      <c r="K20043" s="29">
        <v>0.994271565763579</v>
      </c>
    </row>
    <row r="20044" spans="1:11" x14ac:dyDescent="0.35">
      <c r="A20044" s="9" t="str">
        <f>HYPERLINK("http://www.ensembl.org/id/WBGene00010569", "WBGene00010569")</f>
        <v>WBGene00010569</v>
      </c>
      <c r="B20044" s="9" t="str">
        <f>HYPERLINK("http://www.ncbi.nlm.nih.gov/gene/172588", "172588")</f>
        <v>172588</v>
      </c>
      <c r="C20044" s="9"/>
      <c r="D20044" t="str">
        <f>"scbp-2"</f>
        <v>scbp-2</v>
      </c>
      <c r="E20044" t="s">
        <v>10656</v>
      </c>
      <c r="F20044" t="s">
        <v>11</v>
      </c>
      <c r="G20044" t="s">
        <v>10657</v>
      </c>
      <c r="H20044" s="12">
        <v>-1.0717431976418199</v>
      </c>
      <c r="I20044" s="20">
        <v>-0.18278957921810299</v>
      </c>
      <c r="J20044" s="28">
        <v>0.85496312543480901</v>
      </c>
      <c r="K20044" s="29">
        <v>0.994271565763579</v>
      </c>
    </row>
    <row r="20045" spans="1:11" x14ac:dyDescent="0.35">
      <c r="A20045" s="9" t="str">
        <f>HYPERLINK("http://www.ensembl.org/id/WBGene00022638", "WBGene00022638")</f>
        <v>WBGene00022638</v>
      </c>
      <c r="B20045" s="9" t="str">
        <f>HYPERLINK("http://www.ncbi.nlm.nih.gov/gene/191204", "191204")</f>
        <v>191204</v>
      </c>
      <c r="C20045" s="9"/>
      <c r="D20045" t="str">
        <f>"scl-27"</f>
        <v>scl-27</v>
      </c>
      <c r="E20045" t="s">
        <v>162</v>
      </c>
      <c r="F20045" t="s">
        <v>11</v>
      </c>
      <c r="G20045" t="s">
        <v>63</v>
      </c>
      <c r="H20045" s="12">
        <v>-1.1799265034895401</v>
      </c>
      <c r="I20045" s="20">
        <v>-0.17409711666657299</v>
      </c>
      <c r="J20045" s="28">
        <v>0.86178913916448296</v>
      </c>
      <c r="K20045" s="29">
        <v>0.994271565763579</v>
      </c>
    </row>
    <row r="20046" spans="1:11" x14ac:dyDescent="0.35">
      <c r="A20046" s="9" t="str">
        <f>HYPERLINK("http://www.ensembl.org/id/WBGene00013052", "WBGene00013052")</f>
        <v>WBGene00013052</v>
      </c>
      <c r="B20046" s="9" t="str">
        <f>HYPERLINK("http://www.ncbi.nlm.nih.gov/gene/190110", "190110")</f>
        <v>190110</v>
      </c>
      <c r="C20046" s="9"/>
      <c r="D20046" t="str">
        <f>"scrm-7"</f>
        <v>scrm-7</v>
      </c>
      <c r="E20046" t="s">
        <v>1622</v>
      </c>
      <c r="F20046" t="s">
        <v>11</v>
      </c>
      <c r="G20046" t="s">
        <v>1623</v>
      </c>
      <c r="H20046" s="12">
        <v>1.42928155285419</v>
      </c>
      <c r="I20046" s="20">
        <v>0.18891696206360301</v>
      </c>
      <c r="J20046" s="28">
        <v>0.85015789915110496</v>
      </c>
      <c r="K20046" s="29">
        <v>0.994271565763579</v>
      </c>
    </row>
    <row r="20047" spans="1:11" x14ac:dyDescent="0.35">
      <c r="A20047" s="9" t="str">
        <f>HYPERLINK("http://www.ensembl.org/id/WBGene00019690", "WBGene00019690")</f>
        <v>WBGene00019690</v>
      </c>
      <c r="B20047" s="9" t="str">
        <f>HYPERLINK("http://www.ncbi.nlm.nih.gov/gene/173626", "173626")</f>
        <v>173626</v>
      </c>
      <c r="C20047" s="9"/>
      <c r="D20047" t="str">
        <f>"set-13"</f>
        <v>set-13</v>
      </c>
      <c r="E20047" t="s">
        <v>2055</v>
      </c>
      <c r="F20047" t="s">
        <v>11</v>
      </c>
      <c r="G20047" t="s">
        <v>54</v>
      </c>
      <c r="H20047" s="12">
        <v>-1.1045134825934899</v>
      </c>
      <c r="I20047" s="20">
        <v>-0.190952821613249</v>
      </c>
      <c r="J20047" s="28">
        <v>0.84856255582882301</v>
      </c>
      <c r="K20047" s="29">
        <v>0.994271565763579</v>
      </c>
    </row>
    <row r="20048" spans="1:11" x14ac:dyDescent="0.35">
      <c r="A20048" s="9" t="str">
        <f>HYPERLINK("http://www.ensembl.org/id/WBGene00004807", "WBGene00004807")</f>
        <v>WBGene00004807</v>
      </c>
      <c r="B20048" s="9" t="str">
        <f>HYPERLINK("http://www.ncbi.nlm.nih.gov/gene/172775", "172775")</f>
        <v>172775</v>
      </c>
      <c r="C20048" s="9" t="str">
        <f>HYPERLINK("http://www.ncbi.nlm.nih.gov/gene/6500", "6500")</f>
        <v>6500</v>
      </c>
      <c r="D20048" t="str">
        <f>"skr-1"</f>
        <v>skr-1</v>
      </c>
      <c r="E20048" t="s">
        <v>10562</v>
      </c>
      <c r="F20048" t="s">
        <v>11</v>
      </c>
      <c r="G20048" t="s">
        <v>10563</v>
      </c>
      <c r="H20048" s="12">
        <v>1.03500244587477</v>
      </c>
      <c r="I20048" s="20">
        <v>0.19209194641153801</v>
      </c>
      <c r="J20048" s="28">
        <v>0.84767018327267596</v>
      </c>
      <c r="K20048" s="29">
        <v>0.994271565763579</v>
      </c>
    </row>
    <row r="20049" spans="1:11" x14ac:dyDescent="0.35">
      <c r="A20049" s="9" t="str">
        <f>HYPERLINK("http://www.ensembl.org/id/WBGene00008979", "WBGene00008979")</f>
        <v>WBGene00008979</v>
      </c>
      <c r="B20049" s="9" t="str">
        <f>HYPERLINK("http://www.ncbi.nlm.nih.gov/gene/181596", "181596")</f>
        <v>181596</v>
      </c>
      <c r="C20049" s="9" t="str">
        <f>HYPERLINK("http://www.ncbi.nlm.nih.gov/gene/79751", "79751")</f>
        <v>79751</v>
      </c>
      <c r="D20049" t="str">
        <f>"slc-25A18.1"</f>
        <v>slc-25A18.1</v>
      </c>
      <c r="E20049" t="s">
        <v>584</v>
      </c>
      <c r="F20049" t="s">
        <v>11</v>
      </c>
      <c r="G20049" t="s">
        <v>9891</v>
      </c>
      <c r="H20049" s="12">
        <v>1.03932100294522</v>
      </c>
      <c r="I20049" s="20">
        <v>0.19085641863783501</v>
      </c>
      <c r="J20049" s="28">
        <v>0.84863808533773499</v>
      </c>
      <c r="K20049" s="29">
        <v>0.994271565763579</v>
      </c>
    </row>
    <row r="20050" spans="1:11" x14ac:dyDescent="0.35">
      <c r="A20050" s="9" t="str">
        <f>HYPERLINK("http://www.ensembl.org/id/WBGene00004879", "WBGene00004879")</f>
        <v>WBGene00004879</v>
      </c>
      <c r="B20050" s="9" t="str">
        <f>HYPERLINK("http://www.ncbi.nlm.nih.gov/gene/172418", "172418")</f>
        <v>172418</v>
      </c>
      <c r="C20050" s="9"/>
      <c r="D20050" t="str">
        <f>"smg-1"</f>
        <v>smg-1</v>
      </c>
      <c r="E20050" t="s">
        <v>10580</v>
      </c>
      <c r="F20050" t="s">
        <v>11</v>
      </c>
      <c r="G20050" t="s">
        <v>10581</v>
      </c>
      <c r="H20050" s="12">
        <v>1.0308433993977499</v>
      </c>
      <c r="I20050" s="20">
        <v>0.16475556690372301</v>
      </c>
      <c r="J20050" s="28">
        <v>0.86913637847782599</v>
      </c>
      <c r="K20050" s="29">
        <v>0.994271565763579</v>
      </c>
    </row>
    <row r="20051" spans="1:11" x14ac:dyDescent="0.35">
      <c r="A20051" s="9" t="str">
        <f>HYPERLINK("http://www.ensembl.org/id/WBGene00044965", "WBGene00044965")</f>
        <v>WBGene00044965</v>
      </c>
      <c r="B20051" s="9"/>
      <c r="C20051" s="9"/>
      <c r="D20051" t="str">
        <f>"smy-6"</f>
        <v>smy-6</v>
      </c>
      <c r="F20051" t="s">
        <v>4205</v>
      </c>
      <c r="H20051" s="12">
        <v>-1.8016822568770801</v>
      </c>
      <c r="I20051" s="20">
        <v>-0.175677875261118</v>
      </c>
      <c r="J20051" s="28">
        <v>0.86054701793969501</v>
      </c>
      <c r="K20051" s="29">
        <v>0.994271565763579</v>
      </c>
    </row>
    <row r="20052" spans="1:11" x14ac:dyDescent="0.35">
      <c r="A20052" s="9" t="str">
        <f>HYPERLINK("http://www.ensembl.org/id/WBGene00019299", "WBGene00019299")</f>
        <v>WBGene00019299</v>
      </c>
      <c r="B20052" s="9" t="str">
        <f>HYPERLINK("http://www.ncbi.nlm.nih.gov/gene/186874", "186874")</f>
        <v>186874</v>
      </c>
      <c r="C20052" s="9" t="str">
        <f>HYPERLINK("http://www.ncbi.nlm.nih.gov/gene/6591", "6591")</f>
        <v>6591</v>
      </c>
      <c r="D20052" t="str">
        <f>"snai-1"</f>
        <v>snai-1</v>
      </c>
      <c r="E20052" t="s">
        <v>10665</v>
      </c>
      <c r="F20052" t="s">
        <v>11</v>
      </c>
      <c r="G20052" t="s">
        <v>462</v>
      </c>
      <c r="H20052" s="12">
        <v>-1.2081244217967499</v>
      </c>
      <c r="I20052" s="20">
        <v>-0.18772664174928599</v>
      </c>
      <c r="J20052" s="28">
        <v>0.85109094445925304</v>
      </c>
      <c r="K20052" s="29">
        <v>0.994271565763579</v>
      </c>
    </row>
    <row r="20053" spans="1:11" x14ac:dyDescent="0.35">
      <c r="A20053" s="9" t="str">
        <f>HYPERLINK("http://www.ensembl.org/id/WBGene00004920", "WBGene00004920")</f>
        <v>WBGene00004920</v>
      </c>
      <c r="B20053" s="9" t="str">
        <f>HYPERLINK("http://www.ncbi.nlm.nih.gov/gene/171834", "171834")</f>
        <v>171834</v>
      </c>
      <c r="C20053" s="9" t="str">
        <f>HYPERLINK("http://www.ncbi.nlm.nih.gov/gene/6637", "6637")</f>
        <v>6637</v>
      </c>
      <c r="D20053" t="str">
        <f>"snr-7"</f>
        <v>snr-7</v>
      </c>
      <c r="E20053" t="s">
        <v>10630</v>
      </c>
      <c r="F20053" t="s">
        <v>11</v>
      </c>
      <c r="G20053" t="s">
        <v>10631</v>
      </c>
      <c r="H20053" s="12">
        <v>-1.03682055521196</v>
      </c>
      <c r="I20053" s="20">
        <v>-0.173585481905805</v>
      </c>
      <c r="J20053" s="28">
        <v>0.86219124255693802</v>
      </c>
      <c r="K20053" s="29">
        <v>0.994271565763579</v>
      </c>
    </row>
    <row r="20054" spans="1:11" x14ac:dyDescent="0.35">
      <c r="A20054" s="9" t="str">
        <f>HYPERLINK("http://www.ensembl.org/id/WBGene00012896", "WBGene00012896")</f>
        <v>WBGene00012896</v>
      </c>
      <c r="B20054" s="9" t="str">
        <f>HYPERLINK("http://www.ncbi.nlm.nih.gov/gene/174901", "174901")</f>
        <v>174901</v>
      </c>
      <c r="C20054" s="9" t="str">
        <f>HYPERLINK("http://www.ncbi.nlm.nih.gov/gene/23020", "23020")</f>
        <v>23020</v>
      </c>
      <c r="D20054" t="str">
        <f>"snrp-200"</f>
        <v>snrp-200</v>
      </c>
      <c r="E20054" t="s">
        <v>10620</v>
      </c>
      <c r="F20054" t="s">
        <v>11</v>
      </c>
      <c r="G20054" t="s">
        <v>10621</v>
      </c>
      <c r="H20054" s="12">
        <v>-1.03635336959914</v>
      </c>
      <c r="I20054" s="20">
        <v>-0.184179749342926</v>
      </c>
      <c r="J20054" s="28">
        <v>0.85387244539641205</v>
      </c>
      <c r="K20054" s="29">
        <v>0.994271565763579</v>
      </c>
    </row>
    <row r="20055" spans="1:11" x14ac:dyDescent="0.35">
      <c r="A20055" s="9" t="str">
        <f>HYPERLINK("http://www.ensembl.org/id/WBGene00021271", "WBGene00021271")</f>
        <v>WBGene00021271</v>
      </c>
      <c r="B20055" s="9" t="str">
        <f>HYPERLINK("http://www.ncbi.nlm.nih.gov/gene/189522", "189522")</f>
        <v>189522</v>
      </c>
      <c r="C20055" s="9"/>
      <c r="D20055" t="str">
        <f>"spe-47"</f>
        <v>spe-47</v>
      </c>
      <c r="E20055" t="s">
        <v>899</v>
      </c>
      <c r="F20055" t="s">
        <v>11</v>
      </c>
      <c r="G20055" t="s">
        <v>7879</v>
      </c>
      <c r="H20055" s="12">
        <v>-1.0750716615562701</v>
      </c>
      <c r="I20055" s="20">
        <v>-0.165246552014335</v>
      </c>
      <c r="J20055" s="28">
        <v>0.86874992566757603</v>
      </c>
      <c r="K20055" s="29">
        <v>0.994271565763579</v>
      </c>
    </row>
    <row r="20056" spans="1:11" x14ac:dyDescent="0.35">
      <c r="A20056" s="9" t="str">
        <f>HYPERLINK("http://www.ensembl.org/id/WBGene00005027", "WBGene00005027")</f>
        <v>WBGene00005027</v>
      </c>
      <c r="B20056" s="9" t="str">
        <f>HYPERLINK("http://www.ncbi.nlm.nih.gov/gene/191772", "191772")</f>
        <v>191772</v>
      </c>
      <c r="C20056" s="9"/>
      <c r="D20056" t="str">
        <f>"sra-1"</f>
        <v>sra-1</v>
      </c>
      <c r="E20056" t="s">
        <v>10496</v>
      </c>
      <c r="F20056" t="s">
        <v>11</v>
      </c>
      <c r="G20056" t="s">
        <v>1468</v>
      </c>
      <c r="H20056" s="12">
        <v>1.79408715352943</v>
      </c>
      <c r="I20056" s="20">
        <v>0.173550585897745</v>
      </c>
      <c r="J20056" s="28">
        <v>0.86221866928889102</v>
      </c>
      <c r="K20056" s="29">
        <v>0.994271565763579</v>
      </c>
    </row>
    <row r="20057" spans="1:11" x14ac:dyDescent="0.35">
      <c r="A20057" s="9" t="str">
        <f>HYPERLINK("http://www.ensembl.org/id/WBGene00016477", "WBGene00016477")</f>
        <v>WBGene00016477</v>
      </c>
      <c r="B20057" s="9" t="str">
        <f>HYPERLINK("http://www.ncbi.nlm.nih.gov/gene/183264", "183264")</f>
        <v>183264</v>
      </c>
      <c r="C20057" s="9"/>
      <c r="D20057" t="str">
        <f>"srab-11"</f>
        <v>srab-11</v>
      </c>
      <c r="E20057" t="s">
        <v>4203</v>
      </c>
      <c r="F20057" t="s">
        <v>11</v>
      </c>
      <c r="G20057" t="s">
        <v>25</v>
      </c>
      <c r="H20057" s="12">
        <v>1.41469410709044</v>
      </c>
      <c r="I20057" s="20">
        <v>0.17939970259309501</v>
      </c>
      <c r="J20057" s="28">
        <v>0.85762386489496301</v>
      </c>
      <c r="K20057" s="29">
        <v>0.994271565763579</v>
      </c>
    </row>
    <row r="20058" spans="1:11" x14ac:dyDescent="0.35">
      <c r="A20058" s="9" t="str">
        <f>HYPERLINK("http://www.ensembl.org/id/WBGene00016925", "WBGene00016925")</f>
        <v>WBGene00016925</v>
      </c>
      <c r="B20058" s="9" t="str">
        <f>HYPERLINK("http://www.ncbi.nlm.nih.gov/gene/183806", "183806")</f>
        <v>183806</v>
      </c>
      <c r="C20058" s="9"/>
      <c r="D20058" t="str">
        <f>"srb-18"</f>
        <v>srb-18</v>
      </c>
      <c r="E20058" t="s">
        <v>10495</v>
      </c>
      <c r="F20058" t="s">
        <v>11</v>
      </c>
      <c r="G20058" t="s">
        <v>1468</v>
      </c>
      <c r="H20058" s="12">
        <v>1.79408715352943</v>
      </c>
      <c r="I20058" s="20">
        <v>0.173550585897745</v>
      </c>
      <c r="J20058" s="28">
        <v>0.86221866928889102</v>
      </c>
      <c r="K20058" s="29">
        <v>0.994271565763579</v>
      </c>
    </row>
    <row r="20059" spans="1:11" x14ac:dyDescent="0.35">
      <c r="A20059" s="9" t="str">
        <f>HYPERLINK("http://www.ensembl.org/id/WBGene00016692", "WBGene00016692")</f>
        <v>WBGene00016692</v>
      </c>
      <c r="B20059" s="9" t="str">
        <f>HYPERLINK("http://www.ncbi.nlm.nih.gov/gene/183491", "183491")</f>
        <v>183491</v>
      </c>
      <c r="C20059" s="9"/>
      <c r="D20059" t="str">
        <f>"srbc-24"</f>
        <v>srbc-24</v>
      </c>
      <c r="E20059" t="s">
        <v>3034</v>
      </c>
      <c r="F20059" t="s">
        <v>11</v>
      </c>
      <c r="G20059" t="s">
        <v>25</v>
      </c>
      <c r="H20059" s="12">
        <v>-1.6382152448093801</v>
      </c>
      <c r="I20059" s="20">
        <v>-0.18792403729490401</v>
      </c>
      <c r="J20059" s="28">
        <v>0.85093619939312704</v>
      </c>
      <c r="K20059" s="29">
        <v>0.994271565763579</v>
      </c>
    </row>
    <row r="20060" spans="1:11" x14ac:dyDescent="0.35">
      <c r="A20060" s="9" t="str">
        <f>HYPERLINK("http://www.ensembl.org/id/WBGene00044100", "WBGene00044100")</f>
        <v>WBGene00044100</v>
      </c>
      <c r="B20060" s="9" t="str">
        <f>HYPERLINK("http://www.ncbi.nlm.nih.gov/gene/3565175", "3565175")</f>
        <v>3565175</v>
      </c>
      <c r="C20060" s="9"/>
      <c r="D20060" t="str">
        <f>"srbc-27"</f>
        <v>srbc-27</v>
      </c>
      <c r="E20060" t="s">
        <v>3034</v>
      </c>
      <c r="F20060" t="s">
        <v>11</v>
      </c>
      <c r="G20060" t="s">
        <v>25</v>
      </c>
      <c r="H20060" s="12">
        <v>1.2074090491076901</v>
      </c>
      <c r="I20060" s="20">
        <v>0.185974557383603</v>
      </c>
      <c r="J20060" s="28">
        <v>0.85246471351217301</v>
      </c>
      <c r="K20060" s="29">
        <v>0.994271565763579</v>
      </c>
    </row>
    <row r="20061" spans="1:11" x14ac:dyDescent="0.35">
      <c r="A20061" s="9" t="str">
        <f>HYPERLINK("http://www.ensembl.org/id/WBGene00020746", "WBGene00020746")</f>
        <v>WBGene00020746</v>
      </c>
      <c r="B20061" s="9" t="str">
        <f>HYPERLINK("http://www.ncbi.nlm.nih.gov/gene/188824", "188824")</f>
        <v>188824</v>
      </c>
      <c r="C20061" s="9"/>
      <c r="D20061" t="str">
        <f>"srbc-66"</f>
        <v>srbc-66</v>
      </c>
      <c r="E20061" t="s">
        <v>3034</v>
      </c>
      <c r="F20061" t="s">
        <v>11</v>
      </c>
      <c r="G20061" t="s">
        <v>10669</v>
      </c>
      <c r="H20061" s="12">
        <v>-1.40530354401238</v>
      </c>
      <c r="I20061" s="20">
        <v>-0.18907250161942701</v>
      </c>
      <c r="J20061" s="28">
        <v>0.85003599327743995</v>
      </c>
      <c r="K20061" s="29">
        <v>0.994271565763579</v>
      </c>
    </row>
    <row r="20062" spans="1:11" x14ac:dyDescent="0.35">
      <c r="A20062" s="9" t="str">
        <f>HYPERLINK("http://www.ensembl.org/id/WBGene00005416", "WBGene00005416")</f>
        <v>WBGene00005416</v>
      </c>
      <c r="B20062" s="9" t="str">
        <f>HYPERLINK("http://www.ncbi.nlm.nih.gov/gene/190839", "190839")</f>
        <v>190839</v>
      </c>
      <c r="C20062" s="9"/>
      <c r="D20062" t="str">
        <f>"srh-206"</f>
        <v>srh-206</v>
      </c>
      <c r="E20062" t="s">
        <v>153</v>
      </c>
      <c r="F20062" t="s">
        <v>11</v>
      </c>
      <c r="G20062" t="s">
        <v>25</v>
      </c>
      <c r="H20062" s="12">
        <v>1.75352385646303</v>
      </c>
      <c r="I20062" s="20">
        <v>0.16737746853691299</v>
      </c>
      <c r="J20062" s="28">
        <v>0.86707305258210998</v>
      </c>
      <c r="K20062" s="29">
        <v>0.994271565763579</v>
      </c>
    </row>
    <row r="20063" spans="1:11" x14ac:dyDescent="0.35">
      <c r="A20063" s="9" t="str">
        <f>HYPERLINK("http://www.ensembl.org/id/WBGene00005420", "WBGene00005420")</f>
        <v>WBGene00005420</v>
      </c>
      <c r="B20063" s="9"/>
      <c r="C20063" s="9"/>
      <c r="D20063" t="str">
        <f>"srh-210"</f>
        <v>srh-210</v>
      </c>
      <c r="F20063" t="s">
        <v>80</v>
      </c>
      <c r="H20063" s="12">
        <v>1.09400428083844</v>
      </c>
      <c r="I20063" s="20">
        <v>0.185967728515294</v>
      </c>
      <c r="J20063" s="28">
        <v>0.852470068749278</v>
      </c>
      <c r="K20063" s="29">
        <v>0.994271565763579</v>
      </c>
    </row>
    <row r="20064" spans="1:11" x14ac:dyDescent="0.35">
      <c r="A20064" s="9" t="str">
        <f>HYPERLINK("http://www.ensembl.org/id/WBGene00005248", "WBGene00005248")</f>
        <v>WBGene00005248</v>
      </c>
      <c r="B20064" s="9" t="str">
        <f>HYPERLINK("http://www.ncbi.nlm.nih.gov/gene/191849", "191849")</f>
        <v>191849</v>
      </c>
      <c r="C20064" s="9"/>
      <c r="D20064" t="str">
        <f>"srh-23"</f>
        <v>srh-23</v>
      </c>
      <c r="E20064" t="s">
        <v>153</v>
      </c>
      <c r="F20064" t="s">
        <v>11</v>
      </c>
      <c r="G20064" t="s">
        <v>25</v>
      </c>
      <c r="H20064" s="12">
        <v>-1.73457001584991</v>
      </c>
      <c r="I20064" s="20">
        <v>-0.165559698280943</v>
      </c>
      <c r="J20064" s="28">
        <v>0.86850346561216996</v>
      </c>
      <c r="K20064" s="29">
        <v>0.994271565763579</v>
      </c>
    </row>
    <row r="20065" spans="1:11" x14ac:dyDescent="0.35">
      <c r="A20065" s="9" t="str">
        <f>HYPERLINK("http://www.ensembl.org/id/WBGene00005482", "WBGene00005482")</f>
        <v>WBGene00005482</v>
      </c>
      <c r="B20065" s="9" t="str">
        <f>HYPERLINK("http://www.ncbi.nlm.nih.gov/gene/187026", "187026")</f>
        <v>187026</v>
      </c>
      <c r="C20065" s="9"/>
      <c r="D20065" t="str">
        <f>"srh-277"</f>
        <v>srh-277</v>
      </c>
      <c r="E20065" t="s">
        <v>153</v>
      </c>
      <c r="F20065" t="s">
        <v>11</v>
      </c>
      <c r="G20065" t="s">
        <v>25</v>
      </c>
      <c r="H20065" s="12">
        <v>-1.2380391713012899</v>
      </c>
      <c r="I20065" s="20">
        <v>-0.17808558677949499</v>
      </c>
      <c r="J20065" s="28">
        <v>0.85865576118263598</v>
      </c>
      <c r="K20065" s="29">
        <v>0.994271565763579</v>
      </c>
    </row>
    <row r="20066" spans="1:11" x14ac:dyDescent="0.35">
      <c r="A20066" s="9" t="str">
        <f>HYPERLINK("http://www.ensembl.org/id/WBGene00005486", "WBGene00005486")</f>
        <v>WBGene00005486</v>
      </c>
      <c r="B20066" s="9" t="str">
        <f>HYPERLINK("http://www.ncbi.nlm.nih.gov/gene/184328", "184328")</f>
        <v>184328</v>
      </c>
      <c r="C20066" s="9"/>
      <c r="D20066" t="str">
        <f>"srh-281"</f>
        <v>srh-281</v>
      </c>
      <c r="E20066" t="s">
        <v>153</v>
      </c>
      <c r="F20066" t="s">
        <v>11</v>
      </c>
      <c r="G20066" t="s">
        <v>25</v>
      </c>
      <c r="H20066" s="12">
        <v>1.75352385646303</v>
      </c>
      <c r="I20066" s="20">
        <v>0.16737746853691299</v>
      </c>
      <c r="J20066" s="28">
        <v>0.86707305258210998</v>
      </c>
      <c r="K20066" s="29">
        <v>0.994271565763579</v>
      </c>
    </row>
    <row r="20067" spans="1:11" x14ac:dyDescent="0.35">
      <c r="A20067" s="9" t="str">
        <f>HYPERLINK("http://www.ensembl.org/id/WBGene00005502", "WBGene00005502")</f>
        <v>WBGene00005502</v>
      </c>
      <c r="B20067" s="9" t="str">
        <f>HYPERLINK("http://www.ncbi.nlm.nih.gov/gene/190794", "190794")</f>
        <v>190794</v>
      </c>
      <c r="C20067" s="9"/>
      <c r="D20067" t="str">
        <f>"srh-298"</f>
        <v>srh-298</v>
      </c>
      <c r="E20067" t="s">
        <v>153</v>
      </c>
      <c r="F20067" t="s">
        <v>11</v>
      </c>
      <c r="G20067" t="s">
        <v>25</v>
      </c>
      <c r="H20067" s="12">
        <v>1.75352385646303</v>
      </c>
      <c r="I20067" s="20">
        <v>0.16737746853691299</v>
      </c>
      <c r="J20067" s="28">
        <v>0.86707305258210998</v>
      </c>
      <c r="K20067" s="29">
        <v>0.994271565763579</v>
      </c>
    </row>
    <row r="20068" spans="1:11" x14ac:dyDescent="0.35">
      <c r="A20068" s="9" t="str">
        <f>HYPERLINK("http://www.ensembl.org/id/WBGene00005255", "WBGene00005255")</f>
        <v>WBGene00005255</v>
      </c>
      <c r="B20068" s="9" t="str">
        <f>HYPERLINK("http://www.ncbi.nlm.nih.gov/gene/189554", "189554")</f>
        <v>189554</v>
      </c>
      <c r="C20068" s="9"/>
      <c r="D20068" t="str">
        <f>"srh-32"</f>
        <v>srh-32</v>
      </c>
      <c r="E20068" t="s">
        <v>153</v>
      </c>
      <c r="F20068" t="s">
        <v>11</v>
      </c>
      <c r="G20068" t="s">
        <v>25</v>
      </c>
      <c r="H20068" s="12">
        <v>1.75352385646303</v>
      </c>
      <c r="I20068" s="20">
        <v>0.16737746853691299</v>
      </c>
      <c r="J20068" s="28">
        <v>0.86707305258210998</v>
      </c>
      <c r="K20068" s="29">
        <v>0.994271565763579</v>
      </c>
    </row>
    <row r="20069" spans="1:11" x14ac:dyDescent="0.35">
      <c r="A20069" s="9" t="str">
        <f>HYPERLINK("http://www.ensembl.org/id/WBGene00005302", "WBGene00005302")</f>
        <v>WBGene00005302</v>
      </c>
      <c r="B20069" s="9"/>
      <c r="C20069" s="9"/>
      <c r="D20069" t="str">
        <f>"srh-81"</f>
        <v>srh-81</v>
      </c>
      <c r="F20069" t="s">
        <v>80</v>
      </c>
      <c r="H20069" s="12">
        <v>1.81452741737493</v>
      </c>
      <c r="I20069" s="20">
        <v>0.18505421452922499</v>
      </c>
      <c r="J20069" s="28">
        <v>0.85318651278733704</v>
      </c>
      <c r="K20069" s="29">
        <v>0.994271565763579</v>
      </c>
    </row>
    <row r="20070" spans="1:11" x14ac:dyDescent="0.35">
      <c r="A20070" s="9" t="str">
        <f>HYPERLINK("http://www.ensembl.org/id/WBGene00005313", "WBGene00005313")</f>
        <v>WBGene00005313</v>
      </c>
      <c r="B20070" s="9" t="str">
        <f>HYPERLINK("http://www.ncbi.nlm.nih.gov/gene/191879", "191879")</f>
        <v>191879</v>
      </c>
      <c r="C20070" s="9"/>
      <c r="D20070" t="str">
        <f>"srh-92"</f>
        <v>srh-92</v>
      </c>
      <c r="E20070" t="s">
        <v>153</v>
      </c>
      <c r="F20070" t="s">
        <v>11</v>
      </c>
      <c r="G20070" t="s">
        <v>25</v>
      </c>
      <c r="H20070" s="12">
        <v>1.2123724919574199</v>
      </c>
      <c r="I20070" s="20">
        <v>0.18560303629792599</v>
      </c>
      <c r="J20070" s="28">
        <v>0.85275607231995199</v>
      </c>
      <c r="K20070" s="29">
        <v>0.994271565763579</v>
      </c>
    </row>
    <row r="20071" spans="1:11" x14ac:dyDescent="0.35">
      <c r="A20071" s="9" t="str">
        <f>HYPERLINK("http://www.ensembl.org/id/WBGene00005522", "WBGene00005522")</f>
        <v>WBGene00005522</v>
      </c>
      <c r="B20071" s="9" t="str">
        <f>HYPERLINK("http://www.ncbi.nlm.nih.gov/gene/183794", "183794")</f>
        <v>183794</v>
      </c>
      <c r="C20071" s="9"/>
      <c r="D20071" t="str">
        <f>"sri-10"</f>
        <v>sri-10</v>
      </c>
      <c r="E20071" t="s">
        <v>1503</v>
      </c>
      <c r="F20071" t="s">
        <v>11</v>
      </c>
      <c r="G20071" t="s">
        <v>25</v>
      </c>
      <c r="H20071" s="12">
        <v>1.81452741737493</v>
      </c>
      <c r="I20071" s="20">
        <v>0.18505421452922499</v>
      </c>
      <c r="J20071" s="28">
        <v>0.85318651278733704</v>
      </c>
      <c r="K20071" s="29">
        <v>0.994271565763579</v>
      </c>
    </row>
    <row r="20072" spans="1:11" x14ac:dyDescent="0.35">
      <c r="A20072" s="9" t="str">
        <f>HYPERLINK("http://www.ensembl.org/id/WBGene00005549", "WBGene00005549")</f>
        <v>WBGene00005549</v>
      </c>
      <c r="B20072" s="9" t="str">
        <f>HYPERLINK("http://www.ncbi.nlm.nih.gov/gene/191911", "191911")</f>
        <v>191911</v>
      </c>
      <c r="C20072" s="9"/>
      <c r="D20072" t="str">
        <f>"sri-37"</f>
        <v>sri-37</v>
      </c>
      <c r="E20072" t="s">
        <v>1503</v>
      </c>
      <c r="F20072" t="s">
        <v>11</v>
      </c>
      <c r="G20072" t="s">
        <v>25</v>
      </c>
      <c r="H20072" s="12">
        <v>-1.8016822568770801</v>
      </c>
      <c r="I20072" s="20">
        <v>-0.175677875261118</v>
      </c>
      <c r="J20072" s="28">
        <v>0.86054701793969501</v>
      </c>
      <c r="K20072" s="29">
        <v>0.994271565763579</v>
      </c>
    </row>
    <row r="20073" spans="1:11" x14ac:dyDescent="0.35">
      <c r="A20073" s="9" t="str">
        <f>HYPERLINK("http://www.ensembl.org/id/WBGene00005550", "WBGene00005550")</f>
        <v>WBGene00005550</v>
      </c>
      <c r="B20073" s="9" t="str">
        <f>HYPERLINK("http://www.ncbi.nlm.nih.gov/gene/191912", "191912")</f>
        <v>191912</v>
      </c>
      <c r="C20073" s="9"/>
      <c r="D20073" t="str">
        <f>"sri-38"</f>
        <v>sri-38</v>
      </c>
      <c r="E20073" t="s">
        <v>1503</v>
      </c>
      <c r="F20073" t="s">
        <v>11</v>
      </c>
      <c r="G20073" t="s">
        <v>25</v>
      </c>
      <c r="H20073" s="12">
        <v>-1.4733710687077299</v>
      </c>
      <c r="I20073" s="20">
        <v>-0.17568622656152399</v>
      </c>
      <c r="J20073" s="28">
        <v>0.86054045660645695</v>
      </c>
      <c r="K20073" s="29">
        <v>0.994271565763579</v>
      </c>
    </row>
    <row r="20074" spans="1:11" x14ac:dyDescent="0.35">
      <c r="A20074" s="9" t="str">
        <f>HYPERLINK("http://www.ensembl.org/id/WBGene00005568", "WBGene00005568")</f>
        <v>WBGene00005568</v>
      </c>
      <c r="B20074" s="9"/>
      <c r="C20074" s="9"/>
      <c r="D20074" t="str">
        <f>"sri-56"</f>
        <v>sri-56</v>
      </c>
      <c r="F20074" t="s">
        <v>80</v>
      </c>
      <c r="H20074" s="12">
        <v>-1.2694659273072699</v>
      </c>
      <c r="I20074" s="20">
        <v>-0.16366190285573601</v>
      </c>
      <c r="J20074" s="28">
        <v>0.869997310194636</v>
      </c>
      <c r="K20074" s="29">
        <v>0.994271565763579</v>
      </c>
    </row>
    <row r="20075" spans="1:11" x14ac:dyDescent="0.35">
      <c r="A20075" s="9" t="str">
        <f>HYPERLINK("http://www.ensembl.org/id/WBGene00005579", "WBGene00005579")</f>
        <v>WBGene00005579</v>
      </c>
      <c r="B20075" s="9" t="str">
        <f>HYPERLINK("http://www.ncbi.nlm.nih.gov/gene/3565625", "3565625")</f>
        <v>3565625</v>
      </c>
      <c r="C20075" s="9"/>
      <c r="D20075" t="str">
        <f>"sri-67"</f>
        <v>sri-67</v>
      </c>
      <c r="E20075" t="s">
        <v>1503</v>
      </c>
      <c r="F20075" t="s">
        <v>11</v>
      </c>
      <c r="G20075" t="s">
        <v>25</v>
      </c>
      <c r="H20075" s="12">
        <v>-1.8242660066282399</v>
      </c>
      <c r="I20075" s="20">
        <v>-0.178503478299601</v>
      </c>
      <c r="J20075" s="28">
        <v>0.85832758977776702</v>
      </c>
      <c r="K20075" s="29">
        <v>0.994271565763579</v>
      </c>
    </row>
    <row r="20076" spans="1:11" x14ac:dyDescent="0.35">
      <c r="A20076" s="9" t="str">
        <f>HYPERLINK("http://www.ensembl.org/id/WBGene00005600", "WBGene00005600")</f>
        <v>WBGene00005600</v>
      </c>
      <c r="B20076" s="9"/>
      <c r="C20076" s="9"/>
      <c r="D20076" t="str">
        <f>"srj-12"</f>
        <v>srj-12</v>
      </c>
      <c r="F20076" t="s">
        <v>80</v>
      </c>
      <c r="H20076" s="12">
        <v>1.79408715352943</v>
      </c>
      <c r="I20076" s="20">
        <v>0.173550585897745</v>
      </c>
      <c r="J20076" s="28">
        <v>0.86221866928889102</v>
      </c>
      <c r="K20076" s="29">
        <v>0.994271565763579</v>
      </c>
    </row>
    <row r="20077" spans="1:11" x14ac:dyDescent="0.35">
      <c r="A20077" s="9" t="str">
        <f>HYPERLINK("http://www.ensembl.org/id/WBGene00005617", "WBGene00005617")</f>
        <v>WBGene00005617</v>
      </c>
      <c r="B20077" s="9" t="str">
        <f>HYPERLINK("http://www.ncbi.nlm.nih.gov/gene/191944", "191944")</f>
        <v>191944</v>
      </c>
      <c r="C20077" s="9"/>
      <c r="D20077" t="str">
        <f>"srj-32"</f>
        <v>srj-32</v>
      </c>
      <c r="E20077" t="s">
        <v>3123</v>
      </c>
      <c r="F20077" t="s">
        <v>11</v>
      </c>
      <c r="G20077" t="s">
        <v>25</v>
      </c>
      <c r="H20077" s="12">
        <v>-1.8242660066282399</v>
      </c>
      <c r="I20077" s="20">
        <v>-0.178503478299601</v>
      </c>
      <c r="J20077" s="28">
        <v>0.85832758977776702</v>
      </c>
      <c r="K20077" s="29">
        <v>0.994271565763579</v>
      </c>
    </row>
    <row r="20078" spans="1:11" x14ac:dyDescent="0.35">
      <c r="A20078" s="9" t="str">
        <f>HYPERLINK("http://www.ensembl.org/id/WBGene00005594", "WBGene00005594")</f>
        <v>WBGene00005594</v>
      </c>
      <c r="B20078" s="9" t="str">
        <f>HYPERLINK("http://www.ncbi.nlm.nih.gov/gene/191933", "191933")</f>
        <v>191933</v>
      </c>
      <c r="C20078" s="9"/>
      <c r="D20078" t="str">
        <f>"srj-6"</f>
        <v>srj-6</v>
      </c>
      <c r="E20078" t="s">
        <v>3123</v>
      </c>
      <c r="F20078" t="s">
        <v>11</v>
      </c>
      <c r="G20078" t="s">
        <v>25</v>
      </c>
      <c r="H20078" s="12">
        <v>-1.3445018999004199</v>
      </c>
      <c r="I20078" s="20">
        <v>-0.17717612588626599</v>
      </c>
      <c r="J20078" s="28">
        <v>0.85937004776120196</v>
      </c>
      <c r="K20078" s="29">
        <v>0.994271565763579</v>
      </c>
    </row>
    <row r="20079" spans="1:11" x14ac:dyDescent="0.35">
      <c r="A20079" s="9" t="str">
        <f>HYPERLINK("http://www.ensembl.org/id/WBGene00018180", "WBGene00018180")</f>
        <v>WBGene00018180</v>
      </c>
      <c r="B20079" s="9" t="str">
        <f>HYPERLINK("http://www.ncbi.nlm.nih.gov/gene/185465", "185465")</f>
        <v>185465</v>
      </c>
      <c r="C20079" s="9"/>
      <c r="D20079" t="str">
        <f>"srsx-22"</f>
        <v>srsx-22</v>
      </c>
      <c r="E20079" t="s">
        <v>1639</v>
      </c>
      <c r="F20079" t="s">
        <v>11</v>
      </c>
      <c r="G20079" t="s">
        <v>1089</v>
      </c>
      <c r="H20079" s="12">
        <v>1.81452741737493</v>
      </c>
      <c r="I20079" s="20">
        <v>0.18505421452922499</v>
      </c>
      <c r="J20079" s="28">
        <v>0.85318651278733704</v>
      </c>
      <c r="K20079" s="29">
        <v>0.994271565763579</v>
      </c>
    </row>
    <row r="20080" spans="1:11" x14ac:dyDescent="0.35">
      <c r="A20080" s="9" t="str">
        <f>HYPERLINK("http://www.ensembl.org/id/WBGene00010800", "WBGene00010800")</f>
        <v>WBGene00010800</v>
      </c>
      <c r="B20080" s="9" t="str">
        <f>HYPERLINK("http://www.ncbi.nlm.nih.gov/gene/187358", "187358")</f>
        <v>187358</v>
      </c>
      <c r="C20080" s="9"/>
      <c r="D20080" t="str">
        <f>"srsx-37"</f>
        <v>srsx-37</v>
      </c>
      <c r="E20080" t="s">
        <v>1639</v>
      </c>
      <c r="F20080" t="s">
        <v>11</v>
      </c>
      <c r="G20080" t="s">
        <v>1089</v>
      </c>
      <c r="H20080" s="12">
        <v>-1.31992966478509</v>
      </c>
      <c r="I20080" s="20">
        <v>-0.18023279900813399</v>
      </c>
      <c r="J20080" s="28">
        <v>0.85696981014914297</v>
      </c>
      <c r="K20080" s="29">
        <v>0.994271565763579</v>
      </c>
    </row>
    <row r="20081" spans="1:11" x14ac:dyDescent="0.35">
      <c r="A20081" s="9" t="str">
        <f>HYPERLINK("http://www.ensembl.org/id/WBGene00022528", "WBGene00022528")</f>
        <v>WBGene00022528</v>
      </c>
      <c r="B20081" s="9" t="str">
        <f>HYPERLINK("http://www.ncbi.nlm.nih.gov/gene/191087", "191087")</f>
        <v>191087</v>
      </c>
      <c r="C20081" s="9"/>
      <c r="D20081" t="str">
        <f>"srt-13"</f>
        <v>srt-13</v>
      </c>
      <c r="E20081" t="s">
        <v>2845</v>
      </c>
      <c r="F20081" t="s">
        <v>11</v>
      </c>
      <c r="G20081" t="s">
        <v>25</v>
      </c>
      <c r="H20081" s="12">
        <v>1.3421577714502999</v>
      </c>
      <c r="I20081" s="20">
        <v>0.18912522832519199</v>
      </c>
      <c r="J20081" s="28">
        <v>0.84999466894313502</v>
      </c>
      <c r="K20081" s="29">
        <v>0.994271565763579</v>
      </c>
    </row>
    <row r="20082" spans="1:11" x14ac:dyDescent="0.35">
      <c r="A20082" s="9" t="str">
        <f>HYPERLINK("http://www.ensembl.org/id/WBGene00019740", "WBGene00019740")</f>
        <v>WBGene00019740</v>
      </c>
      <c r="B20082" s="9" t="str">
        <f>HYPERLINK("http://www.ncbi.nlm.nih.gov/gene/187407", "187407")</f>
        <v>187407</v>
      </c>
      <c r="C20082" s="9"/>
      <c r="D20082" t="str">
        <f>"srt-31"</f>
        <v>srt-31</v>
      </c>
      <c r="E20082" t="s">
        <v>2845</v>
      </c>
      <c r="F20082" t="s">
        <v>11</v>
      </c>
      <c r="G20082" t="s">
        <v>25</v>
      </c>
      <c r="H20082" s="12">
        <v>1.6118040239415801</v>
      </c>
      <c r="I20082" s="20">
        <v>0.16564692774905199</v>
      </c>
      <c r="J20082" s="28">
        <v>0.86843481441098702</v>
      </c>
      <c r="K20082" s="29">
        <v>0.994271565763579</v>
      </c>
    </row>
    <row r="20083" spans="1:11" x14ac:dyDescent="0.35">
      <c r="A20083" s="9" t="str">
        <f>HYPERLINK("http://www.ensembl.org/id/WBGene00018114", "WBGene00018114")</f>
        <v>WBGene00018114</v>
      </c>
      <c r="B20083" s="9" t="str">
        <f>HYPERLINK("http://www.ncbi.nlm.nih.gov/gene/185392", "185392")</f>
        <v>185392</v>
      </c>
      <c r="C20083" s="9"/>
      <c r="D20083" t="str">
        <f>"srt-41"</f>
        <v>srt-41</v>
      </c>
      <c r="E20083" t="s">
        <v>2845</v>
      </c>
      <c r="F20083" t="s">
        <v>11</v>
      </c>
      <c r="G20083" t="s">
        <v>25</v>
      </c>
      <c r="H20083" s="12">
        <v>1.2436751060645601</v>
      </c>
      <c r="I20083" s="20">
        <v>0.18032653530384599</v>
      </c>
      <c r="J20083" s="28">
        <v>0.85689622496206896</v>
      </c>
      <c r="K20083" s="29">
        <v>0.994271565763579</v>
      </c>
    </row>
    <row r="20084" spans="1:11" x14ac:dyDescent="0.35">
      <c r="A20084" s="9" t="str">
        <f>HYPERLINK("http://www.ensembl.org/id/WBGene00016233", "WBGene00016233")</f>
        <v>WBGene00016233</v>
      </c>
      <c r="B20084" s="9" t="str">
        <f>HYPERLINK("http://www.ncbi.nlm.nih.gov/gene/183034", "183034")</f>
        <v>183034</v>
      </c>
      <c r="C20084" s="9"/>
      <c r="D20084" t="str">
        <f>"srt-58"</f>
        <v>srt-58</v>
      </c>
      <c r="E20084" t="s">
        <v>2845</v>
      </c>
      <c r="F20084" t="s">
        <v>11</v>
      </c>
      <c r="G20084" t="s">
        <v>1073</v>
      </c>
      <c r="H20084" s="12">
        <v>1.75352385646303</v>
      </c>
      <c r="I20084" s="20">
        <v>0.16737746853691299</v>
      </c>
      <c r="J20084" s="28">
        <v>0.86707305258210998</v>
      </c>
      <c r="K20084" s="29">
        <v>0.994271565763579</v>
      </c>
    </row>
    <row r="20085" spans="1:11" x14ac:dyDescent="0.35">
      <c r="A20085" s="9" t="str">
        <f>HYPERLINK("http://www.ensembl.org/id/WBGene00005664", "WBGene00005664")</f>
        <v>WBGene00005664</v>
      </c>
      <c r="B20085" s="9" t="str">
        <f>HYPERLINK("http://www.ncbi.nlm.nih.gov/gene/183146", "183146")</f>
        <v>183146</v>
      </c>
      <c r="C20085" s="9"/>
      <c r="D20085" t="str">
        <f>"sru-1"</f>
        <v>sru-1</v>
      </c>
      <c r="E20085" t="s">
        <v>2653</v>
      </c>
      <c r="F20085" t="s">
        <v>11</v>
      </c>
      <c r="G20085" t="s">
        <v>25</v>
      </c>
      <c r="H20085" s="12">
        <v>-1.2141190778347499</v>
      </c>
      <c r="I20085" s="20">
        <v>-0.17141890169219201</v>
      </c>
      <c r="J20085" s="28">
        <v>0.86389439334527296</v>
      </c>
      <c r="K20085" s="29">
        <v>0.994271565763579</v>
      </c>
    </row>
    <row r="20086" spans="1:11" x14ac:dyDescent="0.35">
      <c r="A20086" s="9" t="str">
        <f>HYPERLINK("http://www.ensembl.org/id/WBGene00005859", "WBGene00005859")</f>
        <v>WBGene00005859</v>
      </c>
      <c r="B20086" s="9" t="str">
        <f>HYPERLINK("http://www.ncbi.nlm.nih.gov/gene/187330", "187330")</f>
        <v>187330</v>
      </c>
      <c r="C20086" s="9"/>
      <c r="D20086" t="str">
        <f>"srw-112"</f>
        <v>srw-112</v>
      </c>
      <c r="E20086" t="s">
        <v>1014</v>
      </c>
      <c r="F20086" t="s">
        <v>11</v>
      </c>
      <c r="G20086" t="s">
        <v>1015</v>
      </c>
      <c r="H20086" s="12">
        <v>-1.8016822568770801</v>
      </c>
      <c r="I20086" s="20">
        <v>-0.175677875261118</v>
      </c>
      <c r="J20086" s="28">
        <v>0.86054701793969501</v>
      </c>
      <c r="K20086" s="29">
        <v>0.994271565763579</v>
      </c>
    </row>
    <row r="20087" spans="1:11" x14ac:dyDescent="0.35">
      <c r="A20087" s="9" t="str">
        <f>HYPERLINK("http://www.ensembl.org/id/WBGene00005883", "WBGene00005883")</f>
        <v>WBGene00005883</v>
      </c>
      <c r="B20087" s="9" t="str">
        <f>HYPERLINK("http://www.ncbi.nlm.nih.gov/gene/187331", "187331")</f>
        <v>187331</v>
      </c>
      <c r="C20087" s="9"/>
      <c r="D20087" t="str">
        <f>"srw-136"</f>
        <v>srw-136</v>
      </c>
      <c r="E20087" t="s">
        <v>1014</v>
      </c>
      <c r="F20087" t="s">
        <v>11</v>
      </c>
      <c r="G20087" t="s">
        <v>1015</v>
      </c>
      <c r="H20087" s="12">
        <v>-1.8016822568770801</v>
      </c>
      <c r="I20087" s="20">
        <v>-0.175677875261118</v>
      </c>
      <c r="J20087" s="28">
        <v>0.86054701793969501</v>
      </c>
      <c r="K20087" s="29">
        <v>0.994271565763579</v>
      </c>
    </row>
    <row r="20088" spans="1:11" x14ac:dyDescent="0.35">
      <c r="A20088" s="9" t="str">
        <f>HYPERLINK("http://www.ensembl.org/id/WBGene00005807", "WBGene00005807")</f>
        <v>WBGene00005807</v>
      </c>
      <c r="B20088" s="9" t="str">
        <f>HYPERLINK("http://www.ncbi.nlm.nih.gov/gene/188409", "188409")</f>
        <v>188409</v>
      </c>
      <c r="C20088" s="9"/>
      <c r="D20088" t="str">
        <f>"srw-60"</f>
        <v>srw-60</v>
      </c>
      <c r="E20088" t="s">
        <v>1014</v>
      </c>
      <c r="F20088" t="s">
        <v>11</v>
      </c>
      <c r="G20088" t="s">
        <v>1015</v>
      </c>
      <c r="H20088" s="12">
        <v>-1.8242660066282399</v>
      </c>
      <c r="I20088" s="20">
        <v>-0.178503478299601</v>
      </c>
      <c r="J20088" s="28">
        <v>0.85832758977776702</v>
      </c>
      <c r="K20088" s="29">
        <v>0.994271565763579</v>
      </c>
    </row>
    <row r="20089" spans="1:11" x14ac:dyDescent="0.35">
      <c r="A20089" s="9" t="str">
        <f>HYPERLINK("http://www.ensembl.org/id/WBGene00005820", "WBGene00005820")</f>
        <v>WBGene00005820</v>
      </c>
      <c r="B20089" s="9" t="str">
        <f>HYPERLINK("http://www.ncbi.nlm.nih.gov/gene/188019", "188019")</f>
        <v>188019</v>
      </c>
      <c r="C20089" s="9"/>
      <c r="D20089" t="str">
        <f>"srw-73"</f>
        <v>srw-73</v>
      </c>
      <c r="E20089" t="s">
        <v>1014</v>
      </c>
      <c r="F20089" t="s">
        <v>11</v>
      </c>
      <c r="G20089" t="s">
        <v>1015</v>
      </c>
      <c r="H20089" s="12">
        <v>1.6118040239415801</v>
      </c>
      <c r="I20089" s="20">
        <v>0.16564692774905199</v>
      </c>
      <c r="J20089" s="28">
        <v>0.86843481441098702</v>
      </c>
      <c r="K20089" s="29">
        <v>0.994271565763579</v>
      </c>
    </row>
    <row r="20090" spans="1:11" x14ac:dyDescent="0.35">
      <c r="A20090" s="9" t="str">
        <f>HYPERLINK("http://www.ensembl.org/id/WBGene00005994", "WBGene00005994")</f>
        <v>WBGene00005994</v>
      </c>
      <c r="B20090" s="9"/>
      <c r="C20090" s="9"/>
      <c r="D20090" t="str">
        <f>"srx-103"</f>
        <v>srx-103</v>
      </c>
      <c r="F20090" t="s">
        <v>80</v>
      </c>
      <c r="H20090" s="12">
        <v>1.8135090907084399</v>
      </c>
      <c r="I20090" s="20">
        <v>0.17820138943026001</v>
      </c>
      <c r="J20090" s="28">
        <v>0.85856481858144096</v>
      </c>
      <c r="K20090" s="29">
        <v>0.994271565763579</v>
      </c>
    </row>
    <row r="20091" spans="1:11" x14ac:dyDescent="0.35">
      <c r="A20091" s="9" t="str">
        <f>HYPERLINK("http://www.ensembl.org/id/WBGene00005996", "WBGene00005996")</f>
        <v>WBGene00005996</v>
      </c>
      <c r="B20091" s="9" t="str">
        <f>HYPERLINK("http://www.ncbi.nlm.nih.gov/gene/185584", "185584")</f>
        <v>185584</v>
      </c>
      <c r="C20091" s="9"/>
      <c r="D20091" t="str">
        <f>"srx-105"</f>
        <v>srx-105</v>
      </c>
      <c r="E20091" t="s">
        <v>1477</v>
      </c>
      <c r="F20091" t="s">
        <v>11</v>
      </c>
      <c r="G20091" t="s">
        <v>25</v>
      </c>
      <c r="H20091" s="12">
        <v>1.4202432550467601</v>
      </c>
      <c r="I20091" s="20">
        <v>0.177065905220117</v>
      </c>
      <c r="J20091" s="28">
        <v>0.85945662241851695</v>
      </c>
      <c r="K20091" s="29">
        <v>0.994271565763579</v>
      </c>
    </row>
    <row r="20092" spans="1:11" x14ac:dyDescent="0.35">
      <c r="A20092" s="9" t="str">
        <f>HYPERLINK("http://www.ensembl.org/id/WBGene00005900", "WBGene00005900")</f>
        <v>WBGene00005900</v>
      </c>
      <c r="B20092" s="9" t="str">
        <f>HYPERLINK("http://www.ncbi.nlm.nih.gov/gene/187859", "187859")</f>
        <v>187859</v>
      </c>
      <c r="C20092" s="9"/>
      <c r="D20092" t="str">
        <f>"srx-9"</f>
        <v>srx-9</v>
      </c>
      <c r="E20092" t="s">
        <v>1477</v>
      </c>
      <c r="F20092" t="s">
        <v>11</v>
      </c>
      <c r="G20092" t="s">
        <v>1089</v>
      </c>
      <c r="H20092" s="12">
        <v>1.81452741737493</v>
      </c>
      <c r="I20092" s="20">
        <v>0.18505421452922499</v>
      </c>
      <c r="J20092" s="28">
        <v>0.85318651278733704</v>
      </c>
      <c r="K20092" s="29">
        <v>0.994271565763579</v>
      </c>
    </row>
    <row r="20093" spans="1:11" x14ac:dyDescent="0.35">
      <c r="A20093" s="9" t="str">
        <f>HYPERLINK("http://www.ensembl.org/id/WBGene00005981", "WBGene00005981")</f>
        <v>WBGene00005981</v>
      </c>
      <c r="B20093" s="9" t="str">
        <f>HYPERLINK("http://www.ncbi.nlm.nih.gov/gene/186725", "186725")</f>
        <v>186725</v>
      </c>
      <c r="C20093" s="9"/>
      <c r="D20093" t="str">
        <f>"srx-90"</f>
        <v>srx-90</v>
      </c>
      <c r="E20093" t="s">
        <v>1477</v>
      </c>
      <c r="F20093" t="s">
        <v>11</v>
      </c>
      <c r="G20093" t="s">
        <v>25</v>
      </c>
      <c r="H20093" s="12">
        <v>1.70028638258434</v>
      </c>
      <c r="I20093" s="20">
        <v>0.164008432000641</v>
      </c>
      <c r="J20093" s="28">
        <v>0.86972450592177797</v>
      </c>
      <c r="K20093" s="29">
        <v>0.994271565763579</v>
      </c>
    </row>
    <row r="20094" spans="1:11" x14ac:dyDescent="0.35">
      <c r="A20094" s="9" t="str">
        <f>HYPERLINK("http://www.ensembl.org/id/WBGene00008942", "WBGene00008942")</f>
        <v>WBGene00008942</v>
      </c>
      <c r="B20094" s="9"/>
      <c r="C20094" s="9"/>
      <c r="D20094" t="str">
        <f>"srz-34"</f>
        <v>srz-34</v>
      </c>
      <c r="F20094" t="s">
        <v>80</v>
      </c>
      <c r="H20094" s="12">
        <v>1.75352385646303</v>
      </c>
      <c r="I20094" s="20">
        <v>0.16737746853691299</v>
      </c>
      <c r="J20094" s="28">
        <v>0.86707305258210998</v>
      </c>
      <c r="K20094" s="29">
        <v>0.994271565763579</v>
      </c>
    </row>
    <row r="20095" spans="1:11" x14ac:dyDescent="0.35">
      <c r="A20095" s="9" t="str">
        <f>HYPERLINK("http://www.ensembl.org/id/WBGene00006056", "WBGene00006056")</f>
        <v>WBGene00006056</v>
      </c>
      <c r="B20095" s="9" t="str">
        <f>HYPERLINK("http://www.ncbi.nlm.nih.gov/gene/177843", "177843")</f>
        <v>177843</v>
      </c>
      <c r="C20095" s="9"/>
      <c r="D20095" t="str">
        <f>"sss-1"</f>
        <v>sss-1</v>
      </c>
      <c r="E20095" t="s">
        <v>10658</v>
      </c>
      <c r="F20095" t="s">
        <v>11</v>
      </c>
      <c r="H20095" s="12">
        <v>-1.07644441681054</v>
      </c>
      <c r="I20095" s="20">
        <v>-0.16874758711238699</v>
      </c>
      <c r="J20095" s="28">
        <v>0.86599518637541895</v>
      </c>
      <c r="K20095" s="29">
        <v>0.994271565763579</v>
      </c>
    </row>
    <row r="20096" spans="1:11" x14ac:dyDescent="0.35">
      <c r="A20096" s="9" t="str">
        <f>HYPERLINK("http://www.ensembl.org/id/WBGene00006166", "WBGene00006166")</f>
        <v>WBGene00006166</v>
      </c>
      <c r="B20096" s="9" t="str">
        <f>HYPERLINK("http://www.ncbi.nlm.nih.gov/gene/184122", "184122")</f>
        <v>184122</v>
      </c>
      <c r="C20096" s="9"/>
      <c r="D20096" t="str">
        <f>"str-115"</f>
        <v>str-115</v>
      </c>
      <c r="E20096" t="s">
        <v>590</v>
      </c>
      <c r="F20096" t="s">
        <v>11</v>
      </c>
      <c r="G20096" t="s">
        <v>591</v>
      </c>
      <c r="H20096" s="12">
        <v>1.70028638258434</v>
      </c>
      <c r="I20096" s="20">
        <v>0.164008432000641</v>
      </c>
      <c r="J20096" s="28">
        <v>0.86972450592177797</v>
      </c>
      <c r="K20096" s="29">
        <v>0.994271565763579</v>
      </c>
    </row>
    <row r="20097" spans="1:11" x14ac:dyDescent="0.35">
      <c r="A20097" s="9" t="str">
        <f>HYPERLINK("http://www.ensembl.org/id/WBGene00006242", "WBGene00006242")</f>
        <v>WBGene00006242</v>
      </c>
      <c r="B20097" s="9" t="str">
        <f>HYPERLINK("http://www.ncbi.nlm.nih.gov/gene/184998", "184998")</f>
        <v>184998</v>
      </c>
      <c r="C20097" s="9"/>
      <c r="D20097" t="str">
        <f>"str-209"</f>
        <v>str-209</v>
      </c>
      <c r="E20097" t="s">
        <v>590</v>
      </c>
      <c r="F20097" t="s">
        <v>11</v>
      </c>
      <c r="G20097" t="s">
        <v>591</v>
      </c>
      <c r="H20097" s="12">
        <v>1.75352385646303</v>
      </c>
      <c r="I20097" s="20">
        <v>0.16737746853691299</v>
      </c>
      <c r="J20097" s="28">
        <v>0.86707305258210998</v>
      </c>
      <c r="K20097" s="29">
        <v>0.994271565763579</v>
      </c>
    </row>
    <row r="20098" spans="1:11" x14ac:dyDescent="0.35">
      <c r="A20098" s="9" t="str">
        <f>HYPERLINK("http://www.ensembl.org/id/WBGene00006139", "WBGene00006139")</f>
        <v>WBGene00006139</v>
      </c>
      <c r="B20098" s="9" t="str">
        <f>HYPERLINK("http://www.ncbi.nlm.nih.gov/gene/191988", "191988")</f>
        <v>191988</v>
      </c>
      <c r="C20098" s="9"/>
      <c r="D20098" t="str">
        <f>"str-79"</f>
        <v>str-79</v>
      </c>
      <c r="E20098" t="s">
        <v>590</v>
      </c>
      <c r="F20098" t="s">
        <v>11</v>
      </c>
      <c r="G20098" t="s">
        <v>591</v>
      </c>
      <c r="H20098" s="12">
        <v>1.6118040239415801</v>
      </c>
      <c r="I20098" s="20">
        <v>0.16564692774905199</v>
      </c>
      <c r="J20098" s="28">
        <v>0.86843481441098702</v>
      </c>
      <c r="K20098" s="29">
        <v>0.994271565763579</v>
      </c>
    </row>
    <row r="20099" spans="1:11" x14ac:dyDescent="0.35">
      <c r="A20099" s="9" t="str">
        <f>HYPERLINK("http://www.ensembl.org/id/WBGene00006152", "WBGene00006152")</f>
        <v>WBGene00006152</v>
      </c>
      <c r="B20099" s="9" t="str">
        <f>HYPERLINK("http://www.ncbi.nlm.nih.gov/gene/191996", "191996")</f>
        <v>191996</v>
      </c>
      <c r="C20099" s="9"/>
      <c r="D20099" t="str">
        <f>"str-94"</f>
        <v>str-94</v>
      </c>
      <c r="E20099" t="s">
        <v>590</v>
      </c>
      <c r="F20099" t="s">
        <v>11</v>
      </c>
      <c r="G20099" t="s">
        <v>591</v>
      </c>
      <c r="H20099" s="12">
        <v>-1.19938690726066</v>
      </c>
      <c r="I20099" s="20">
        <v>-0.17618097340244199</v>
      </c>
      <c r="J20099" s="28">
        <v>0.86015176800178195</v>
      </c>
      <c r="K20099" s="29">
        <v>0.994271565763579</v>
      </c>
    </row>
    <row r="20100" spans="1:11" x14ac:dyDescent="0.35">
      <c r="A20100" s="9" t="str">
        <f>HYPERLINK("http://www.ensembl.org/id/WBGene00020031", "WBGene00020031")</f>
        <v>WBGene00020031</v>
      </c>
      <c r="B20100" s="9" t="str">
        <f>HYPERLINK("http://www.ncbi.nlm.nih.gov/gene/172011", "172011")</f>
        <v>172011</v>
      </c>
      <c r="C20100" s="9"/>
      <c r="D20100" t="str">
        <f>"suco-1"</f>
        <v>suco-1</v>
      </c>
      <c r="E20100" t="s">
        <v>10584</v>
      </c>
      <c r="F20100" t="s">
        <v>11</v>
      </c>
      <c r="G20100" t="s">
        <v>10585</v>
      </c>
      <c r="H20100" s="12">
        <v>-1.03018420161387</v>
      </c>
      <c r="I20100" s="20">
        <v>-0.16403411629195</v>
      </c>
      <c r="J20100" s="28">
        <v>0.86970428663924304</v>
      </c>
      <c r="K20100" s="29">
        <v>0.994271565763579</v>
      </c>
    </row>
    <row r="20101" spans="1:11" x14ac:dyDescent="0.35">
      <c r="A20101" s="9" t="str">
        <f>HYPERLINK("http://www.ensembl.org/id/WBGene00012150", "WBGene00012150")</f>
        <v>WBGene00012150</v>
      </c>
      <c r="B20101" s="9" t="str">
        <f>HYPERLINK("http://www.ncbi.nlm.nih.gov/gene/172663", "172663")</f>
        <v>172663</v>
      </c>
      <c r="C20101" s="9"/>
      <c r="D20101" t="str">
        <f>"syx-17"</f>
        <v>syx-17</v>
      </c>
      <c r="E20101" t="s">
        <v>3132</v>
      </c>
      <c r="F20101" t="s">
        <v>11</v>
      </c>
      <c r="G20101" t="s">
        <v>10545</v>
      </c>
      <c r="H20101" s="12">
        <v>1.0378758009962701</v>
      </c>
      <c r="I20101" s="20">
        <v>0.181179013115052</v>
      </c>
      <c r="J20101" s="28">
        <v>0.85622706708877805</v>
      </c>
      <c r="K20101" s="29">
        <v>0.994271565763579</v>
      </c>
    </row>
    <row r="20102" spans="1:11" x14ac:dyDescent="0.35">
      <c r="A20102" s="9" t="str">
        <f>HYPERLINK("http://www.ensembl.org/id/WBGene00011385", "WBGene00011385")</f>
        <v>WBGene00011385</v>
      </c>
      <c r="B20102" s="9" t="str">
        <f>HYPERLINK("http://www.ncbi.nlm.nih.gov/gene/187997", "187997")</f>
        <v>187997</v>
      </c>
      <c r="C20102" s="9"/>
      <c r="D20102" t="str">
        <f>"T02G6.2"</f>
        <v>T02G6.2</v>
      </c>
      <c r="F20102" t="s">
        <v>11</v>
      </c>
      <c r="H20102" s="12">
        <v>-1.1352404121784301</v>
      </c>
      <c r="I20102" s="20">
        <v>-0.16911415573800501</v>
      </c>
      <c r="J20102" s="28">
        <v>0.865706850633432</v>
      </c>
      <c r="K20102" s="29">
        <v>0.994271565763579</v>
      </c>
    </row>
    <row r="20103" spans="1:11" x14ac:dyDescent="0.35">
      <c r="A20103" s="9" t="str">
        <f>HYPERLINK("http://www.ensembl.org/id/WBGene00044018", "WBGene00044018")</f>
        <v>WBGene00044018</v>
      </c>
      <c r="B20103" s="9" t="str">
        <f>HYPERLINK("http://www.ncbi.nlm.nih.gov/gene/3565520", "3565520")</f>
        <v>3565520</v>
      </c>
      <c r="C20103" s="9"/>
      <c r="D20103" t="str">
        <f>"T04B2.8"</f>
        <v>T04B2.8</v>
      </c>
      <c r="F20103" t="s">
        <v>11</v>
      </c>
      <c r="G20103" t="s">
        <v>25</v>
      </c>
      <c r="H20103" s="12">
        <v>1.5238738581061899</v>
      </c>
      <c r="I20103" s="20">
        <v>0.179255410814088</v>
      </c>
      <c r="J20103" s="28">
        <v>0.85773715671327699</v>
      </c>
      <c r="K20103" s="29">
        <v>0.994271565763579</v>
      </c>
    </row>
    <row r="20104" spans="1:11" x14ac:dyDescent="0.35">
      <c r="A20104" s="9" t="str">
        <f>HYPERLINK("http://www.ensembl.org/id/WBGene00020207", "WBGene00020207")</f>
        <v>WBGene00020207</v>
      </c>
      <c r="B20104" s="9" t="str">
        <f>HYPERLINK("http://www.ncbi.nlm.nih.gov/gene/173453", "173453")</f>
        <v>173453</v>
      </c>
      <c r="C20104" s="9" t="str">
        <f>HYPERLINK("http://www.ncbi.nlm.nih.gov/gene/56996", "56996")</f>
        <v>56996</v>
      </c>
      <c r="D20104" t="str">
        <f>"T04B8.5"</f>
        <v>T04B8.5</v>
      </c>
      <c r="F20104" t="s">
        <v>11</v>
      </c>
      <c r="G20104" t="s">
        <v>10619</v>
      </c>
      <c r="H20104" s="12">
        <v>-1.03626556703751</v>
      </c>
      <c r="I20104" s="20">
        <v>-0.188082455445236</v>
      </c>
      <c r="J20104" s="28">
        <v>0.85081201418138996</v>
      </c>
      <c r="K20104" s="29">
        <v>0.994271565763579</v>
      </c>
    </row>
    <row r="20105" spans="1:11" x14ac:dyDescent="0.35">
      <c r="A20105" s="9" t="str">
        <f>HYPERLINK("http://www.ensembl.org/id/WBGene00200590", "WBGene00200590")</f>
        <v>WBGene00200590</v>
      </c>
      <c r="B20105" s="9"/>
      <c r="C20105" s="9"/>
      <c r="D20105" t="str">
        <f>"T05B11.11"</f>
        <v>T05B11.11</v>
      </c>
      <c r="F20105" t="s">
        <v>481</v>
      </c>
      <c r="H20105" s="12">
        <v>-1.73457001584991</v>
      </c>
      <c r="I20105" s="20">
        <v>-0.165559698280943</v>
      </c>
      <c r="J20105" s="28">
        <v>0.86850346561216996</v>
      </c>
      <c r="K20105" s="29">
        <v>0.994271565763579</v>
      </c>
    </row>
    <row r="20106" spans="1:11" x14ac:dyDescent="0.35">
      <c r="A20106" s="9" t="str">
        <f>HYPERLINK("http://www.ensembl.org/id/WBGene00011465", "WBGene00011465")</f>
        <v>WBGene00011465</v>
      </c>
      <c r="B20106" s="9" t="str">
        <f>HYPERLINK("http://www.ncbi.nlm.nih.gov/gene/188109", "188109")</f>
        <v>188109</v>
      </c>
      <c r="C20106" s="9"/>
      <c r="D20106" t="str">
        <f>"T05B9.2"</f>
        <v>T05B9.2</v>
      </c>
      <c r="F20106" t="s">
        <v>11</v>
      </c>
      <c r="H20106" s="12">
        <v>-1.1573958973822001</v>
      </c>
      <c r="I20106" s="20">
        <v>-0.18207148205215101</v>
      </c>
      <c r="J20106" s="28">
        <v>0.85552662866500695</v>
      </c>
      <c r="K20106" s="29">
        <v>0.994271565763579</v>
      </c>
    </row>
    <row r="20107" spans="1:11" x14ac:dyDescent="0.35">
      <c r="A20107" s="9" t="str">
        <f>HYPERLINK("http://www.ensembl.org/id/WBGene00198348", "WBGene00198348")</f>
        <v>WBGene00198348</v>
      </c>
      <c r="B20107" s="9"/>
      <c r="C20107" s="9"/>
      <c r="D20107" t="str">
        <f>"T06E8.4"</f>
        <v>T06E8.4</v>
      </c>
      <c r="F20107" t="s">
        <v>481</v>
      </c>
      <c r="H20107" s="12">
        <v>-1.8242660066282399</v>
      </c>
      <c r="I20107" s="20">
        <v>-0.178503478299601</v>
      </c>
      <c r="J20107" s="28">
        <v>0.85832758977776702</v>
      </c>
      <c r="K20107" s="29">
        <v>0.994271565763579</v>
      </c>
    </row>
    <row r="20108" spans="1:11" x14ac:dyDescent="0.35">
      <c r="A20108" s="9" t="str">
        <f>HYPERLINK("http://www.ensembl.org/id/WBGene00200542", "WBGene00200542")</f>
        <v>WBGene00200542</v>
      </c>
      <c r="B20108" s="9"/>
      <c r="C20108" s="9"/>
      <c r="D20108" t="str">
        <f>"T06E8.7"</f>
        <v>T06E8.7</v>
      </c>
      <c r="F20108" t="s">
        <v>481</v>
      </c>
      <c r="H20108" s="12">
        <v>1.5968674029618</v>
      </c>
      <c r="I20108" s="20">
        <v>0.18499299348839199</v>
      </c>
      <c r="J20108" s="28">
        <v>0.85323453111263303</v>
      </c>
      <c r="K20108" s="29">
        <v>0.994271565763579</v>
      </c>
    </row>
    <row r="20109" spans="1:11" x14ac:dyDescent="0.35">
      <c r="A20109" s="9" t="str">
        <f>HYPERLINK("http://www.ensembl.org/id/WBGene00011594", "WBGene00011594")</f>
        <v>WBGene00011594</v>
      </c>
      <c r="B20109" s="9" t="str">
        <f>HYPERLINK("http://www.ncbi.nlm.nih.gov/gene/188242", "188242")</f>
        <v>188242</v>
      </c>
      <c r="C20109" s="9"/>
      <c r="D20109" t="str">
        <f>"T07G12.3"</f>
        <v>T07G12.3</v>
      </c>
      <c r="F20109" t="s">
        <v>11</v>
      </c>
      <c r="G20109" t="s">
        <v>790</v>
      </c>
      <c r="H20109" s="12">
        <v>1.2667479421846699</v>
      </c>
      <c r="I20109" s="20">
        <v>0.174918210015688</v>
      </c>
      <c r="J20109" s="28">
        <v>0.86114390134413898</v>
      </c>
      <c r="K20109" s="29">
        <v>0.994271565763579</v>
      </c>
    </row>
    <row r="20110" spans="1:11" x14ac:dyDescent="0.35">
      <c r="A20110" s="9" t="str">
        <f>HYPERLINK("http://www.ensembl.org/id/WBGene00011599", "WBGene00011599")</f>
        <v>WBGene00011599</v>
      </c>
      <c r="B20110" s="9"/>
      <c r="C20110" s="9"/>
      <c r="D20110" t="str">
        <f>"T07G12.8"</f>
        <v>T07G12.8</v>
      </c>
      <c r="F20110" t="s">
        <v>80</v>
      </c>
      <c r="H20110" s="12">
        <v>1.0755514778024</v>
      </c>
      <c r="I20110" s="20">
        <v>0.170135631247809</v>
      </c>
      <c r="J20110" s="28">
        <v>0.864903472308719</v>
      </c>
      <c r="K20110" s="29">
        <v>0.994271565763579</v>
      </c>
    </row>
    <row r="20111" spans="1:11" x14ac:dyDescent="0.35">
      <c r="A20111" s="9" t="str">
        <f>HYPERLINK("http://www.ensembl.org/id/WBGene00196629", "WBGene00196629")</f>
        <v>WBGene00196629</v>
      </c>
      <c r="B20111" s="9"/>
      <c r="C20111" s="9"/>
      <c r="D20111" t="str">
        <f>"T12B3.7"</f>
        <v>T12B3.7</v>
      </c>
      <c r="F20111" t="s">
        <v>481</v>
      </c>
      <c r="H20111" s="12">
        <v>-1.2331998983975101</v>
      </c>
      <c r="I20111" s="20">
        <v>-0.17178119245450699</v>
      </c>
      <c r="J20111" s="28">
        <v>0.86360955196804101</v>
      </c>
      <c r="K20111" s="29">
        <v>0.994271565763579</v>
      </c>
    </row>
    <row r="20112" spans="1:11" x14ac:dyDescent="0.35">
      <c r="A20112" s="9" t="str">
        <f>HYPERLINK("http://www.ensembl.org/id/WBGene00020491", "WBGene00020491")</f>
        <v>WBGene00020491</v>
      </c>
      <c r="B20112" s="9" t="str">
        <f>HYPERLINK("http://www.ncbi.nlm.nih.gov/gene/188484", "188484")</f>
        <v>188484</v>
      </c>
      <c r="C20112" s="9"/>
      <c r="D20112" t="str">
        <f>"T13G4.4"</f>
        <v>T13G4.4</v>
      </c>
      <c r="F20112" t="s">
        <v>11</v>
      </c>
      <c r="G20112" t="s">
        <v>10526</v>
      </c>
      <c r="H20112" s="12">
        <v>1.05183182772254</v>
      </c>
      <c r="I20112" s="20">
        <v>0.18180351488301599</v>
      </c>
      <c r="J20112" s="28">
        <v>0.85573692601626605</v>
      </c>
      <c r="K20112" s="29">
        <v>0.994271565763579</v>
      </c>
    </row>
    <row r="20113" spans="1:11" x14ac:dyDescent="0.35">
      <c r="A20113" s="9" t="str">
        <f>HYPERLINK("http://www.ensembl.org/id/WBGene00011789", "WBGene00011789")</f>
        <v>WBGene00011789</v>
      </c>
      <c r="B20113" s="9" t="str">
        <f>HYPERLINK("http://www.ncbi.nlm.nih.gov/gene/188540", "188540")</f>
        <v>188540</v>
      </c>
      <c r="C20113" s="9"/>
      <c r="D20113" t="str">
        <f>"T15H9.4"</f>
        <v>T15H9.4</v>
      </c>
      <c r="F20113" t="s">
        <v>11</v>
      </c>
      <c r="H20113" s="12">
        <v>1.18801949875046</v>
      </c>
      <c r="I20113" s="20">
        <v>0.17502392208590301</v>
      </c>
      <c r="J20113" s="28">
        <v>0.86106083660532895</v>
      </c>
      <c r="K20113" s="29">
        <v>0.994271565763579</v>
      </c>
    </row>
    <row r="20114" spans="1:11" x14ac:dyDescent="0.35">
      <c r="A20114" s="9" t="str">
        <f>HYPERLINK("http://www.ensembl.org/id/WBGene00011795", "WBGene00011795")</f>
        <v>WBGene00011795</v>
      </c>
      <c r="B20114" s="9" t="str">
        <f>HYPERLINK("http://www.ncbi.nlm.nih.gov/gene/179924", "179924")</f>
        <v>179924</v>
      </c>
      <c r="C20114" s="9"/>
      <c r="D20114" t="str">
        <f>"T16A9.5"</f>
        <v>T16A9.5</v>
      </c>
      <c r="F20114" t="s">
        <v>11</v>
      </c>
      <c r="G20114" t="s">
        <v>25</v>
      </c>
      <c r="H20114" s="12">
        <v>1.0721592073455799</v>
      </c>
      <c r="I20114" s="20">
        <v>0.16393880905560501</v>
      </c>
      <c r="J20114" s="28">
        <v>0.86977931518168705</v>
      </c>
      <c r="K20114" s="29">
        <v>0.994271565763579</v>
      </c>
    </row>
    <row r="20115" spans="1:11" x14ac:dyDescent="0.35">
      <c r="A20115" s="9" t="str">
        <f>HYPERLINK("http://www.ensembl.org/id/WBGene00011804", "WBGene00011804")</f>
        <v>WBGene00011804</v>
      </c>
      <c r="B20115" s="9" t="str">
        <f>HYPERLINK("http://www.ncbi.nlm.nih.gov/gene/176417", "176417")</f>
        <v>176417</v>
      </c>
      <c r="C20115" s="9"/>
      <c r="D20115" t="str">
        <f>"T16G12.3"</f>
        <v>T16G12.3</v>
      </c>
      <c r="F20115" t="s">
        <v>11</v>
      </c>
      <c r="H20115" s="12">
        <v>-1.0790170271172199</v>
      </c>
      <c r="I20115" s="20">
        <v>-0.173596399227711</v>
      </c>
      <c r="J20115" s="28">
        <v>0.86218266205482097</v>
      </c>
      <c r="K20115" s="29">
        <v>0.994271565763579</v>
      </c>
    </row>
    <row r="20116" spans="1:11" x14ac:dyDescent="0.35">
      <c r="A20116" s="9" t="str">
        <f>HYPERLINK("http://www.ensembl.org/id/WBGene00020548", "WBGene00020548")</f>
        <v>WBGene00020548</v>
      </c>
      <c r="B20116" s="9" t="str">
        <f>HYPERLINK("http://www.ncbi.nlm.nih.gov/gene/175181", "175181")</f>
        <v>175181</v>
      </c>
      <c r="C20116" s="9"/>
      <c r="D20116" t="str">
        <f>"T17A3.12"</f>
        <v>T17A3.12</v>
      </c>
      <c r="F20116" t="s">
        <v>11</v>
      </c>
      <c r="H20116" s="12">
        <v>-1.2068383303349599</v>
      </c>
      <c r="I20116" s="20">
        <v>-0.176880196183787</v>
      </c>
      <c r="J20116" s="28">
        <v>0.85960249449420501</v>
      </c>
      <c r="K20116" s="29">
        <v>0.994271565763579</v>
      </c>
    </row>
    <row r="20117" spans="1:11" x14ac:dyDescent="0.35">
      <c r="A20117" s="9" t="str">
        <f>HYPERLINK("http://www.ensembl.org/id/WBGene00011820", "WBGene00011820")</f>
        <v>WBGene00011820</v>
      </c>
      <c r="B20117" s="9" t="str">
        <f>HYPERLINK("http://www.ncbi.nlm.nih.gov/gene/181402", "181402")</f>
        <v>181402</v>
      </c>
      <c r="C20117" s="9"/>
      <c r="D20117" t="str">
        <f>"T18D3.1"</f>
        <v>T18D3.1</v>
      </c>
      <c r="F20117" t="s">
        <v>11</v>
      </c>
      <c r="G20117" t="s">
        <v>54</v>
      </c>
      <c r="H20117" s="12">
        <v>-1.03825007324692</v>
      </c>
      <c r="I20117" s="20">
        <v>-0.16626008277898699</v>
      </c>
      <c r="J20117" s="28">
        <v>0.86795227810825304</v>
      </c>
      <c r="K20117" s="29">
        <v>0.994271565763579</v>
      </c>
    </row>
    <row r="20118" spans="1:11" x14ac:dyDescent="0.35">
      <c r="A20118" s="9" t="str">
        <f>HYPERLINK("http://www.ensembl.org/id/WBGene00020584", "WBGene00020584")</f>
        <v>WBGene00020584</v>
      </c>
      <c r="B20118" s="9" t="str">
        <f>HYPERLINK("http://www.ncbi.nlm.nih.gov/gene/188611", "188611")</f>
        <v>188611</v>
      </c>
      <c r="C20118" s="9"/>
      <c r="D20118" t="str">
        <f>"T19D12.10"</f>
        <v>T19D12.10</v>
      </c>
      <c r="F20118" t="s">
        <v>11</v>
      </c>
      <c r="G20118" t="s">
        <v>230</v>
      </c>
      <c r="H20118" s="12">
        <v>1.7719103290423801</v>
      </c>
      <c r="I20118" s="20">
        <v>0.170705673614783</v>
      </c>
      <c r="J20118" s="28">
        <v>0.86445520141600396</v>
      </c>
      <c r="K20118" s="29">
        <v>0.994271565763579</v>
      </c>
    </row>
    <row r="20119" spans="1:11" x14ac:dyDescent="0.35">
      <c r="A20119" s="9" t="str">
        <f>HYPERLINK("http://www.ensembl.org/id/WBGene00011895", "WBGene00011895")</f>
        <v>WBGene00011895</v>
      </c>
      <c r="B20119" s="9" t="str">
        <f>HYPERLINK("http://www.ncbi.nlm.nih.gov/gene/179479", "179479")</f>
        <v>179479</v>
      </c>
      <c r="C20119" s="9"/>
      <c r="D20119" t="str">
        <f>"T21C9.9"</f>
        <v>T21C9.9</v>
      </c>
      <c r="F20119" t="s">
        <v>11</v>
      </c>
      <c r="H20119" s="12">
        <v>-1.1943372436995101</v>
      </c>
      <c r="I20119" s="20">
        <v>-0.185834857995854</v>
      </c>
      <c r="J20119" s="28">
        <v>0.85257426791441904</v>
      </c>
      <c r="K20119" s="29">
        <v>0.994271565763579</v>
      </c>
    </row>
    <row r="20120" spans="1:11" x14ac:dyDescent="0.35">
      <c r="A20120" s="9" t="str">
        <f>HYPERLINK("http://www.ensembl.org/id/WBGene00011956", "WBGene00011956")</f>
        <v>WBGene00011956</v>
      </c>
      <c r="B20120" s="9" t="str">
        <f>HYPERLINK("http://www.ncbi.nlm.nih.gov/gene/175612", "175612")</f>
        <v>175612</v>
      </c>
      <c r="C20120" s="9"/>
      <c r="D20120" t="str">
        <f>"T23F11.4"</f>
        <v>T23F11.4</v>
      </c>
      <c r="F20120" t="s">
        <v>11</v>
      </c>
      <c r="H20120" s="12">
        <v>-1.0443194156603799</v>
      </c>
      <c r="I20120" s="20">
        <v>-0.16740373721392399</v>
      </c>
      <c r="J20120" s="28">
        <v>0.86705238479971902</v>
      </c>
      <c r="K20120" s="29">
        <v>0.994271565763579</v>
      </c>
    </row>
    <row r="20121" spans="1:11" x14ac:dyDescent="0.35">
      <c r="A20121" s="9" t="str">
        <f>HYPERLINK("http://www.ensembl.org/id/WBGene00199906", "WBGene00199906")</f>
        <v>WBGene00199906</v>
      </c>
      <c r="B20121" s="9"/>
      <c r="C20121" s="9"/>
      <c r="D20121" t="str">
        <f>"T24D3.4"</f>
        <v>T24D3.4</v>
      </c>
      <c r="F20121" t="s">
        <v>481</v>
      </c>
      <c r="H20121" s="12">
        <v>1.75352385646303</v>
      </c>
      <c r="I20121" s="20">
        <v>0.16737746853691299</v>
      </c>
      <c r="J20121" s="28">
        <v>0.86707305258210998</v>
      </c>
      <c r="K20121" s="29">
        <v>0.994271565763579</v>
      </c>
    </row>
    <row r="20122" spans="1:11" x14ac:dyDescent="0.35">
      <c r="A20122" s="9" t="str">
        <f>HYPERLINK("http://www.ensembl.org/id/WBGene00194983", "WBGene00194983")</f>
        <v>WBGene00194983</v>
      </c>
      <c r="B20122" s="9" t="str">
        <f>HYPERLINK("http://www.ncbi.nlm.nih.gov/gene/13220951", "13220951")</f>
        <v>13220951</v>
      </c>
      <c r="C20122" s="9"/>
      <c r="D20122" t="str">
        <f>"T25B2.4"</f>
        <v>T25B2.4</v>
      </c>
      <c r="F20122" t="s">
        <v>11</v>
      </c>
      <c r="H20122" s="12">
        <v>-1.3844416391442</v>
      </c>
      <c r="I20122" s="20">
        <v>-0.19231152572463101</v>
      </c>
      <c r="J20122" s="28">
        <v>0.84749819068271404</v>
      </c>
      <c r="K20122" s="29">
        <v>0.994271565763579</v>
      </c>
    </row>
    <row r="20123" spans="1:11" x14ac:dyDescent="0.35">
      <c r="A20123" s="9" t="str">
        <f>HYPERLINK("http://www.ensembl.org/id/WBGene00012017", "WBGene00012017")</f>
        <v>WBGene00012017</v>
      </c>
      <c r="B20123" s="9" t="str">
        <f>HYPERLINK("http://www.ncbi.nlm.nih.gov/gene/188886", "188886")</f>
        <v>188886</v>
      </c>
      <c r="C20123" s="9" t="str">
        <f>HYPERLINK("http://www.ncbi.nlm.nih.gov/gene/23729", "23729")</f>
        <v>23729</v>
      </c>
      <c r="D20123" t="str">
        <f>"T25C8.1"</f>
        <v>T25C8.1</v>
      </c>
      <c r="F20123" t="s">
        <v>11</v>
      </c>
      <c r="G20123" t="s">
        <v>10505</v>
      </c>
      <c r="H20123" s="12">
        <v>1.14598473449922</v>
      </c>
      <c r="I20123" s="20">
        <v>0.187438537261297</v>
      </c>
      <c r="J20123" s="28">
        <v>0.85131680963413503</v>
      </c>
      <c r="K20123" s="29">
        <v>0.994271565763579</v>
      </c>
    </row>
    <row r="20124" spans="1:11" x14ac:dyDescent="0.35">
      <c r="A20124" s="9" t="str">
        <f>HYPERLINK("http://www.ensembl.org/id/WBGene00044783", "WBGene00044783")</f>
        <v>WBGene00044783</v>
      </c>
      <c r="B20124" s="9" t="str">
        <f>HYPERLINK("http://www.ncbi.nlm.nih.gov/gene/4363097", "4363097")</f>
        <v>4363097</v>
      </c>
      <c r="C20124" s="9"/>
      <c r="D20124" t="str">
        <f>"T26H5.10"</f>
        <v>T26H5.10</v>
      </c>
      <c r="F20124" t="s">
        <v>11</v>
      </c>
      <c r="H20124" s="12">
        <v>-1.07053053831399</v>
      </c>
      <c r="I20124" s="20">
        <v>-0.16374834532837801</v>
      </c>
      <c r="J20124" s="28">
        <v>0.86992925710709301</v>
      </c>
      <c r="K20124" s="29">
        <v>0.994271565763579</v>
      </c>
    </row>
    <row r="20125" spans="1:11" x14ac:dyDescent="0.35">
      <c r="A20125" s="9" t="str">
        <f>HYPERLINK("http://www.ensembl.org/id/WBGene00206527", "WBGene00206527")</f>
        <v>WBGene00206527</v>
      </c>
      <c r="B20125" s="9" t="str">
        <f>HYPERLINK("http://www.ncbi.nlm.nih.gov/gene/13224410", "13224410")</f>
        <v>13224410</v>
      </c>
      <c r="C20125" s="9"/>
      <c r="D20125" t="str">
        <f>"T27A8.7"</f>
        <v>T27A8.7</v>
      </c>
      <c r="F20125" t="s">
        <v>11</v>
      </c>
      <c r="H20125" s="12">
        <v>1.75352385646303</v>
      </c>
      <c r="I20125" s="20">
        <v>0.16737746853691299</v>
      </c>
      <c r="J20125" s="28">
        <v>0.86707305258210998</v>
      </c>
      <c r="K20125" s="29">
        <v>0.994271565763579</v>
      </c>
    </row>
    <row r="20126" spans="1:11" x14ac:dyDescent="0.35">
      <c r="A20126" s="9" t="str">
        <f>HYPERLINK("http://www.ensembl.org/id/WBGene00020861", "WBGene00020861")</f>
        <v>WBGene00020861</v>
      </c>
      <c r="B20126" s="9" t="str">
        <f>HYPERLINK("http://www.ncbi.nlm.nih.gov/gene/188995", "188995")</f>
        <v>188995</v>
      </c>
      <c r="C20126" s="9"/>
      <c r="D20126" t="str">
        <f>"T27E4.1"</f>
        <v>T27E4.1</v>
      </c>
      <c r="F20126" t="s">
        <v>11</v>
      </c>
      <c r="G20126" t="s">
        <v>10559</v>
      </c>
      <c r="H20126" s="12">
        <v>1.0353754266555</v>
      </c>
      <c r="I20126" s="20">
        <v>0.168255670542483</v>
      </c>
      <c r="J20126" s="28">
        <v>0.86638214639025302</v>
      </c>
      <c r="K20126" s="29">
        <v>0.994271565763579</v>
      </c>
    </row>
    <row r="20127" spans="1:11" x14ac:dyDescent="0.35">
      <c r="A20127" s="9" t="str">
        <f>HYPERLINK("http://www.ensembl.org/id/WBGene00044526", "WBGene00044526")</f>
        <v>WBGene00044526</v>
      </c>
      <c r="B20127" s="9" t="str">
        <f>HYPERLINK("http://www.ncbi.nlm.nih.gov/gene/3896852", "3896852")</f>
        <v>3896852</v>
      </c>
      <c r="C20127" s="9"/>
      <c r="D20127" t="str">
        <f>"T28A11.22"</f>
        <v>T28A11.22</v>
      </c>
      <c r="F20127" t="s">
        <v>11</v>
      </c>
      <c r="G20127" t="s">
        <v>54</v>
      </c>
      <c r="H20127" s="12">
        <v>-1.07886282878163</v>
      </c>
      <c r="I20127" s="20">
        <v>-0.16965303737710399</v>
      </c>
      <c r="J20127" s="28">
        <v>0.86528300929325797</v>
      </c>
      <c r="K20127" s="29">
        <v>0.994271565763579</v>
      </c>
    </row>
    <row r="20128" spans="1:11" x14ac:dyDescent="0.35">
      <c r="A20128" s="9" t="str">
        <f>HYPERLINK("http://www.ensembl.org/id/WBGene00020871", "WBGene00020871")</f>
        <v>WBGene00020871</v>
      </c>
      <c r="B20128" s="9" t="str">
        <f>HYPERLINK("http://www.ncbi.nlm.nih.gov/gene/189011", "189011")</f>
        <v>189011</v>
      </c>
      <c r="C20128" s="9"/>
      <c r="D20128" t="str">
        <f>"T28A11.4"</f>
        <v>T28A11.4</v>
      </c>
      <c r="F20128" t="s">
        <v>11</v>
      </c>
      <c r="H20128" s="12">
        <v>-1.8016822568770801</v>
      </c>
      <c r="I20128" s="20">
        <v>-0.175677875261118</v>
      </c>
      <c r="J20128" s="28">
        <v>0.86054701793969501</v>
      </c>
      <c r="K20128" s="29">
        <v>0.994271565763579</v>
      </c>
    </row>
    <row r="20129" spans="1:11" x14ac:dyDescent="0.35">
      <c r="A20129" s="9" t="str">
        <f>HYPERLINK("http://www.ensembl.org/id/WBGene00196176", "WBGene00196176")</f>
        <v>WBGene00196176</v>
      </c>
      <c r="B20129" s="9"/>
      <c r="C20129" s="9"/>
      <c r="D20129" t="str">
        <f>"T28B11.7"</f>
        <v>T28B11.7</v>
      </c>
      <c r="F20129" t="s">
        <v>481</v>
      </c>
      <c r="H20129" s="12">
        <v>1.75352385646303</v>
      </c>
      <c r="I20129" s="20">
        <v>0.16737746853691299</v>
      </c>
      <c r="J20129" s="28">
        <v>0.86707305258210998</v>
      </c>
      <c r="K20129" s="29">
        <v>0.994271565763579</v>
      </c>
    </row>
    <row r="20130" spans="1:11" x14ac:dyDescent="0.35">
      <c r="A20130" s="9" t="str">
        <f>HYPERLINK("http://www.ensembl.org/id/WBGene00270303", "WBGene00270303")</f>
        <v>WBGene00270303</v>
      </c>
      <c r="B20130" s="9" t="str">
        <f>HYPERLINK("http://www.ncbi.nlm.nih.gov/gene/174070", "174070")</f>
        <v>174070</v>
      </c>
      <c r="C20130" s="9"/>
      <c r="D20130" t="str">
        <f>"T28D9.16"</f>
        <v>T28D9.16</v>
      </c>
      <c r="F20130" t="s">
        <v>11</v>
      </c>
      <c r="G20130" t="s">
        <v>25</v>
      </c>
      <c r="H20130" s="12">
        <v>1.1493067674814299</v>
      </c>
      <c r="I20130" s="20">
        <v>0.18471445630456601</v>
      </c>
      <c r="J20130" s="28">
        <v>0.85345300680476499</v>
      </c>
      <c r="K20130" s="29">
        <v>0.994271565763579</v>
      </c>
    </row>
    <row r="20131" spans="1:11" x14ac:dyDescent="0.35">
      <c r="A20131" s="9" t="str">
        <f>HYPERLINK("http://www.ensembl.org/id/WBGene00006382", "WBGene00006382")</f>
        <v>WBGene00006382</v>
      </c>
      <c r="B20131" s="9" t="str">
        <f>HYPERLINK("http://www.ncbi.nlm.nih.gov/gene/173257", "173257")</f>
        <v>173257</v>
      </c>
      <c r="C20131" s="9" t="str">
        <f>HYPERLINK("http://www.ncbi.nlm.nih.gov/gene/6872", "6872")</f>
        <v>6872</v>
      </c>
      <c r="D20131" t="str">
        <f>"taf-1"</f>
        <v>taf-1</v>
      </c>
      <c r="E20131" t="s">
        <v>10557</v>
      </c>
      <c r="F20131" t="s">
        <v>11</v>
      </c>
      <c r="G20131" t="s">
        <v>10558</v>
      </c>
      <c r="H20131" s="12">
        <v>1.0355984038807999</v>
      </c>
      <c r="I20131" s="20">
        <v>0.17630764411130301</v>
      </c>
      <c r="J20131" s="28">
        <v>0.86005225697159904</v>
      </c>
      <c r="K20131" s="29">
        <v>0.994271565763579</v>
      </c>
    </row>
    <row r="20132" spans="1:11" x14ac:dyDescent="0.35">
      <c r="A20132" s="9" t="str">
        <f>HYPERLINK("http://www.ensembl.org/id/WBGene00044073", "WBGene00044073")</f>
        <v>WBGene00044073</v>
      </c>
      <c r="B20132" s="9" t="str">
        <f>HYPERLINK("http://www.ncbi.nlm.nih.gov/gene/176962", "176962")</f>
        <v>176962</v>
      </c>
      <c r="C20132" s="9"/>
      <c r="D20132" t="str">
        <f>"tag-244"</f>
        <v>tag-244</v>
      </c>
      <c r="F20132" t="s">
        <v>11</v>
      </c>
      <c r="G20132" t="s">
        <v>264</v>
      </c>
      <c r="H20132" s="12">
        <v>1.0563814740724899</v>
      </c>
      <c r="I20132" s="20">
        <v>0.17560045496156901</v>
      </c>
      <c r="J20132" s="28">
        <v>0.86060784489917797</v>
      </c>
      <c r="K20132" s="29">
        <v>0.994271565763579</v>
      </c>
    </row>
    <row r="20133" spans="1:11" x14ac:dyDescent="0.35">
      <c r="A20133" s="9" t="str">
        <f>HYPERLINK("http://www.ensembl.org/id/WBGene00006415", "WBGene00006415")</f>
        <v>WBGene00006415</v>
      </c>
      <c r="B20133" s="9" t="str">
        <f>HYPERLINK("http://www.ncbi.nlm.nih.gov/gene/178116", "178116")</f>
        <v>178116</v>
      </c>
      <c r="C20133" s="9" t="str">
        <f>HYPERLINK("http://www.ncbi.nlm.nih.gov/gene/55643", "55643")</f>
        <v>55643</v>
      </c>
      <c r="D20133" t="str">
        <f>"tag-30"</f>
        <v>tag-30</v>
      </c>
      <c r="F20133" t="s">
        <v>11</v>
      </c>
      <c r="G20133" t="s">
        <v>10587</v>
      </c>
      <c r="H20133" s="12">
        <v>-1.0320047356814599</v>
      </c>
      <c r="I20133" s="20">
        <v>-0.163857762029083</v>
      </c>
      <c r="J20133" s="28">
        <v>0.86984311860741104</v>
      </c>
      <c r="K20133" s="29">
        <v>0.994271565763579</v>
      </c>
    </row>
    <row r="20134" spans="1:11" x14ac:dyDescent="0.35">
      <c r="A20134" s="9" t="str">
        <f>HYPERLINK("http://www.ensembl.org/id/WBGene00018757", "WBGene00018757")</f>
        <v>WBGene00018757</v>
      </c>
      <c r="B20134" s="9" t="str">
        <f>HYPERLINK("http://www.ncbi.nlm.nih.gov/gene/178639", "178639")</f>
        <v>178639</v>
      </c>
      <c r="C20134" s="9"/>
      <c r="D20134" t="str">
        <f>"tag-304"</f>
        <v>tag-304</v>
      </c>
      <c r="F20134" t="s">
        <v>11</v>
      </c>
      <c r="G20134" t="s">
        <v>10613</v>
      </c>
      <c r="H20134" s="12">
        <v>-1.0350392863955</v>
      </c>
      <c r="I20134" s="20">
        <v>-0.18177446758808</v>
      </c>
      <c r="J20134" s="28">
        <v>0.85575972259319599</v>
      </c>
      <c r="K20134" s="29">
        <v>0.994271565763579</v>
      </c>
    </row>
    <row r="20135" spans="1:11" x14ac:dyDescent="0.35">
      <c r="A20135" s="9" t="str">
        <f>HYPERLINK("http://www.ensembl.org/id/WBGene00006430", "WBGene00006430")</f>
        <v>WBGene00006430</v>
      </c>
      <c r="B20135" s="9" t="str">
        <f>HYPERLINK("http://www.ncbi.nlm.nih.gov/gene/175245", "175245")</f>
        <v>175245</v>
      </c>
      <c r="C20135" s="9"/>
      <c r="D20135" t="str">
        <f>"tag-51"</f>
        <v>tag-51</v>
      </c>
      <c r="F20135" t="s">
        <v>11</v>
      </c>
      <c r="H20135" s="12">
        <v>-1.05209072015478</v>
      </c>
      <c r="I20135" s="20">
        <v>-0.166221903115256</v>
      </c>
      <c r="J20135" s="28">
        <v>0.86798232302912803</v>
      </c>
      <c r="K20135" s="29">
        <v>0.994271565763579</v>
      </c>
    </row>
    <row r="20136" spans="1:11" x14ac:dyDescent="0.35">
      <c r="A20136" s="9" t="str">
        <f>HYPERLINK("http://www.ensembl.org/id/WBGene00006553", "WBGene00006553")</f>
        <v>WBGene00006553</v>
      </c>
      <c r="B20136" s="9" t="str">
        <f>HYPERLINK("http://www.ncbi.nlm.nih.gov/gene/176549", "176549")</f>
        <v>176549</v>
      </c>
      <c r="C20136" s="9"/>
      <c r="D20136" t="str">
        <f>"tbx-34"</f>
        <v>tbx-34</v>
      </c>
      <c r="E20136" t="s">
        <v>10501</v>
      </c>
      <c r="F20136" t="s">
        <v>11</v>
      </c>
      <c r="G20136" t="s">
        <v>643</v>
      </c>
      <c r="H20136" s="12">
        <v>1.27950538422348</v>
      </c>
      <c r="I20136" s="20">
        <v>0.167557960396441</v>
      </c>
      <c r="J20136" s="28">
        <v>0.86693104625616402</v>
      </c>
      <c r="K20136" s="29">
        <v>0.994271565763579</v>
      </c>
    </row>
    <row r="20137" spans="1:11" x14ac:dyDescent="0.35">
      <c r="A20137" s="9" t="str">
        <f>HYPERLINK("http://www.ensembl.org/id/WBGene00006479", "WBGene00006479")</f>
        <v>WBGene00006479</v>
      </c>
      <c r="B20137" s="9" t="str">
        <f>HYPERLINK("http://www.ncbi.nlm.nih.gov/gene/181150", "181150")</f>
        <v>181150</v>
      </c>
      <c r="C20137" s="9" t="str">
        <f>HYPERLINK("http://www.ncbi.nlm.nih.gov/gene/51643", "51643")</f>
        <v>51643</v>
      </c>
      <c r="D20137" t="str">
        <f>"tmbi-4"</f>
        <v>tmbi-4</v>
      </c>
      <c r="E20137" t="s">
        <v>10609</v>
      </c>
      <c r="F20137" t="s">
        <v>11</v>
      </c>
      <c r="G20137" t="s">
        <v>25</v>
      </c>
      <c r="H20137" s="12">
        <v>-1.03443551040533</v>
      </c>
      <c r="I20137" s="20">
        <v>-0.18370946082272099</v>
      </c>
      <c r="J20137" s="28">
        <v>0.85424138656946802</v>
      </c>
      <c r="K20137" s="29">
        <v>0.994271565763579</v>
      </c>
    </row>
    <row r="20138" spans="1:11" x14ac:dyDescent="0.35">
      <c r="A20138" s="9" t="str">
        <f>HYPERLINK("http://www.ensembl.org/id/WBGene00006622", "WBGene00006622")</f>
        <v>WBGene00006622</v>
      </c>
      <c r="B20138" s="9" t="str">
        <f>HYPERLINK("http://www.ncbi.nlm.nih.gov/gene/185148", "185148")</f>
        <v>185148</v>
      </c>
      <c r="C20138" s="9"/>
      <c r="D20138" t="str">
        <f>"try-4"</f>
        <v>try-4</v>
      </c>
      <c r="E20138" t="s">
        <v>357</v>
      </c>
      <c r="F20138" t="s">
        <v>11</v>
      </c>
      <c r="G20138" t="s">
        <v>1646</v>
      </c>
      <c r="H20138" s="12">
        <v>-1.05790561141621</v>
      </c>
      <c r="I20138" s="20">
        <v>-0.172253790749895</v>
      </c>
      <c r="J20138" s="28">
        <v>0.86323801090635699</v>
      </c>
      <c r="K20138" s="29">
        <v>0.994271565763579</v>
      </c>
    </row>
    <row r="20139" spans="1:11" x14ac:dyDescent="0.35">
      <c r="A20139" s="9" t="str">
        <f>HYPERLINK("http://www.ensembl.org/id/WBGene00010538", "WBGene00010538")</f>
        <v>WBGene00010538</v>
      </c>
      <c r="B20139" s="9" t="str">
        <f>HYPERLINK("http://www.ncbi.nlm.nih.gov/gene/186957", "186957")</f>
        <v>186957</v>
      </c>
      <c r="C20139" s="9"/>
      <c r="D20139" t="str">
        <f>"ttr-3"</f>
        <v>ttr-3</v>
      </c>
      <c r="E20139" t="s">
        <v>10659</v>
      </c>
      <c r="F20139" t="s">
        <v>11</v>
      </c>
      <c r="G20139" t="s">
        <v>17</v>
      </c>
      <c r="H20139" s="12">
        <v>-1.0954236445933001</v>
      </c>
      <c r="I20139" s="20">
        <v>-0.18069632275243599</v>
      </c>
      <c r="J20139" s="28">
        <v>0.85660594529393697</v>
      </c>
      <c r="K20139" s="29">
        <v>0.994271565763579</v>
      </c>
    </row>
    <row r="20140" spans="1:11" x14ac:dyDescent="0.35">
      <c r="A20140" s="9" t="str">
        <f>HYPERLINK("http://www.ensembl.org/id/WBGene00020566", "WBGene00020566")</f>
        <v>WBGene00020566</v>
      </c>
      <c r="B20140" s="9" t="str">
        <f>HYPERLINK("http://www.ncbi.nlm.nih.gov/gene/175213", "175213")</f>
        <v>175213</v>
      </c>
      <c r="C20140" s="9"/>
      <c r="D20140" t="str">
        <f>"ttr-7"</f>
        <v>ttr-7</v>
      </c>
      <c r="E20140" t="s">
        <v>16</v>
      </c>
      <c r="F20140" t="s">
        <v>11</v>
      </c>
      <c r="G20140" t="s">
        <v>17</v>
      </c>
      <c r="H20140" s="12">
        <v>-1.10004142969647</v>
      </c>
      <c r="I20140" s="20">
        <v>-0.17395012748820601</v>
      </c>
      <c r="J20140" s="28">
        <v>0.86190465706531105</v>
      </c>
      <c r="K20140" s="29">
        <v>0.994271565763579</v>
      </c>
    </row>
    <row r="20141" spans="1:11" x14ac:dyDescent="0.35">
      <c r="A20141" s="9" t="str">
        <f>HYPERLINK("http://www.ensembl.org/id/WBGene00006719", "WBGene00006719")</f>
        <v>WBGene00006719</v>
      </c>
      <c r="B20141" s="9" t="str">
        <f>HYPERLINK("http://www.ncbi.nlm.nih.gov/gene/186057", "186057")</f>
        <v>186057</v>
      </c>
      <c r="C20141" s="9"/>
      <c r="D20141" t="str">
        <f>"ubc-24"</f>
        <v>ubc-24</v>
      </c>
      <c r="E20141" t="s">
        <v>3370</v>
      </c>
      <c r="F20141" t="s">
        <v>11</v>
      </c>
      <c r="G20141" t="s">
        <v>2883</v>
      </c>
      <c r="H20141" s="12">
        <v>-1.3936683486608401</v>
      </c>
      <c r="I20141" s="20">
        <v>-0.17351554153108201</v>
      </c>
      <c r="J20141" s="28">
        <v>0.86224621279136504</v>
      </c>
      <c r="K20141" s="29">
        <v>0.994271565763579</v>
      </c>
    </row>
    <row r="20142" spans="1:11" x14ac:dyDescent="0.35">
      <c r="A20142" s="9" t="str">
        <f>HYPERLINK("http://www.ensembl.org/id/WBGene00016650", "WBGene00016650")</f>
        <v>WBGene00016650</v>
      </c>
      <c r="B20142" s="9" t="str">
        <f>HYPERLINK("http://www.ncbi.nlm.nih.gov/gene/172068", "172068")</f>
        <v>172068</v>
      </c>
      <c r="C20142" s="9" t="str">
        <f>HYPERLINK("http://www.ncbi.nlm.nih.gov/gene/23352", "23352")</f>
        <v>23352</v>
      </c>
      <c r="D20142" t="str">
        <f>"ubr-4"</f>
        <v>ubr-4</v>
      </c>
      <c r="E20142" t="s">
        <v>6223</v>
      </c>
      <c r="F20142" t="s">
        <v>11</v>
      </c>
      <c r="G20142" t="s">
        <v>10571</v>
      </c>
      <c r="H20142" s="12">
        <v>1.0345957523967999</v>
      </c>
      <c r="I20142" s="20">
        <v>0.18372825471742299</v>
      </c>
      <c r="J20142" s="28">
        <v>0.85422664215390498</v>
      </c>
      <c r="K20142" s="29">
        <v>0.994271565763579</v>
      </c>
    </row>
    <row r="20143" spans="1:11" x14ac:dyDescent="0.35">
      <c r="A20143" s="9" t="str">
        <f>HYPERLINK("http://www.ensembl.org/id/WBGene00007650", "WBGene00007650")</f>
        <v>WBGene00007650</v>
      </c>
      <c r="B20143" s="9" t="str">
        <f>HYPERLINK("http://www.ncbi.nlm.nih.gov/gene/181205", "181205")</f>
        <v>181205</v>
      </c>
      <c r="C20143" s="9"/>
      <c r="D20143" t="str">
        <f>"ugt-23"</f>
        <v>ugt-23</v>
      </c>
      <c r="E20143" t="s">
        <v>948</v>
      </c>
      <c r="F20143" t="s">
        <v>11</v>
      </c>
      <c r="G20143" t="s">
        <v>10645</v>
      </c>
      <c r="H20143" s="12">
        <v>-1.0400130744975999</v>
      </c>
      <c r="I20143" s="20">
        <v>-0.173840449474224</v>
      </c>
      <c r="J20143" s="28">
        <v>0.86199085427344402</v>
      </c>
      <c r="K20143" s="29">
        <v>0.994271565763579</v>
      </c>
    </row>
    <row r="20144" spans="1:11" x14ac:dyDescent="0.35">
      <c r="A20144" s="9" t="str">
        <f>HYPERLINK("http://www.ensembl.org/id/WBGene00011340", "WBGene00011340")</f>
        <v>WBGene00011340</v>
      </c>
      <c r="B20144" s="9" t="str">
        <f>HYPERLINK("http://www.ncbi.nlm.nih.gov/gene/187955", "187955")</f>
        <v>187955</v>
      </c>
      <c r="C20144" s="9"/>
      <c r="D20144" t="str">
        <f>"ugt-30"</f>
        <v>ugt-30</v>
      </c>
      <c r="E20144" t="s">
        <v>948</v>
      </c>
      <c r="F20144" t="s">
        <v>11</v>
      </c>
      <c r="G20144" t="s">
        <v>104</v>
      </c>
      <c r="H20144" s="12">
        <v>1.43139181843265</v>
      </c>
      <c r="I20144" s="20">
        <v>0.16549782266094001</v>
      </c>
      <c r="J20144" s="28">
        <v>0.86855216346809805</v>
      </c>
      <c r="K20144" s="29">
        <v>0.994271565763579</v>
      </c>
    </row>
    <row r="20145" spans="1:11" x14ac:dyDescent="0.35">
      <c r="A20145" s="9" t="str">
        <f>HYPERLINK("http://www.ensembl.org/id/WBGene00044286", "WBGene00044286")</f>
        <v>WBGene00044286</v>
      </c>
      <c r="B20145" s="9" t="str">
        <f>HYPERLINK("http://www.ncbi.nlm.nih.gov/gene/3565443", "3565443")</f>
        <v>3565443</v>
      </c>
      <c r="C20145" s="9"/>
      <c r="D20145" t="str">
        <f>"ugt-35"</f>
        <v>ugt-35</v>
      </c>
      <c r="E20145" t="s">
        <v>103</v>
      </c>
      <c r="F20145" t="s">
        <v>11</v>
      </c>
      <c r="G20145" t="s">
        <v>104</v>
      </c>
      <c r="H20145" s="12">
        <v>1.6118040239415801</v>
      </c>
      <c r="I20145" s="20">
        <v>0.16564692774905199</v>
      </c>
      <c r="J20145" s="28">
        <v>0.86843481441098702</v>
      </c>
      <c r="K20145" s="29">
        <v>0.994271565763579</v>
      </c>
    </row>
    <row r="20146" spans="1:11" x14ac:dyDescent="0.35">
      <c r="A20146" s="9" t="str">
        <f>HYPERLINK("http://www.ensembl.org/id/WBGene00006773", "WBGene00006773")</f>
        <v>WBGene00006773</v>
      </c>
      <c r="B20146" s="9" t="str">
        <f>HYPERLINK("http://www.ncbi.nlm.nih.gov/gene/172394", "172394")</f>
        <v>172394</v>
      </c>
      <c r="C20146" s="9"/>
      <c r="D20146" t="str">
        <f>"unc-37"</f>
        <v>unc-37</v>
      </c>
      <c r="E20146" t="s">
        <v>10539</v>
      </c>
      <c r="F20146" t="s">
        <v>11</v>
      </c>
      <c r="G20146" t="s">
        <v>10540</v>
      </c>
      <c r="H20146" s="12">
        <v>1.04017080888433</v>
      </c>
      <c r="I20146" s="20">
        <v>0.18002827670418001</v>
      </c>
      <c r="J20146" s="28">
        <v>0.85713036926143704</v>
      </c>
      <c r="K20146" s="29">
        <v>0.994271565763579</v>
      </c>
    </row>
    <row r="20147" spans="1:11" x14ac:dyDescent="0.35">
      <c r="A20147" s="9" t="str">
        <f>HYPERLINK("http://www.ensembl.org/id/WBGene00006925", "WBGene00006925")</f>
        <v>WBGene00006925</v>
      </c>
      <c r="B20147" s="9" t="str">
        <f>HYPERLINK("http://www.ncbi.nlm.nih.gov/gene/181034", "181034")</f>
        <v>181034</v>
      </c>
      <c r="C20147" s="9"/>
      <c r="D20147" t="str">
        <f>"vit-1"</f>
        <v>vit-1</v>
      </c>
      <c r="E20147" t="s">
        <v>10529</v>
      </c>
      <c r="F20147" t="s">
        <v>11</v>
      </c>
      <c r="G20147" t="s">
        <v>5237</v>
      </c>
      <c r="H20147" s="12">
        <v>1.04857974767068</v>
      </c>
      <c r="I20147" s="20">
        <v>0.165219093374741</v>
      </c>
      <c r="J20147" s="28">
        <v>0.86877153744813396</v>
      </c>
      <c r="K20147" s="29">
        <v>0.994271565763579</v>
      </c>
    </row>
    <row r="20148" spans="1:11" x14ac:dyDescent="0.35">
      <c r="A20148" s="9" t="str">
        <f>HYPERLINK("http://www.ensembl.org/id/WBGene00020954", "WBGene00020954")</f>
        <v>WBGene00020954</v>
      </c>
      <c r="B20148" s="9" t="str">
        <f>HYPERLINK("http://www.ncbi.nlm.nih.gov/gene/178731", "178731")</f>
        <v>178731</v>
      </c>
      <c r="C20148" s="9"/>
      <c r="D20148" t="str">
        <f>"W02G9.4"</f>
        <v>W02G9.4</v>
      </c>
      <c r="F20148" t="s">
        <v>11</v>
      </c>
      <c r="H20148" s="12">
        <v>-1.0501511024751999</v>
      </c>
      <c r="I20148" s="20">
        <v>-0.183917699861288</v>
      </c>
      <c r="J20148" s="28">
        <v>0.85407801918236403</v>
      </c>
      <c r="K20148" s="29">
        <v>0.994271565763579</v>
      </c>
    </row>
    <row r="20149" spans="1:11" x14ac:dyDescent="0.35">
      <c r="A20149" s="9" t="str">
        <f>HYPERLINK("http://www.ensembl.org/id/WBGene00195208", "WBGene00195208")</f>
        <v>WBGene00195208</v>
      </c>
      <c r="B20149" s="9" t="str">
        <f>HYPERLINK("http://www.ncbi.nlm.nih.gov/gene/13222724", "13222724")</f>
        <v>13222724</v>
      </c>
      <c r="C20149" s="9"/>
      <c r="D20149" t="str">
        <f>"W02H3.3"</f>
        <v>W02H3.3</v>
      </c>
      <c r="F20149" t="s">
        <v>11</v>
      </c>
      <c r="H20149" s="12">
        <v>1.2092322666711599</v>
      </c>
      <c r="I20149" s="20">
        <v>0.18030700030153601</v>
      </c>
      <c r="J20149" s="28">
        <v>0.85691156029374005</v>
      </c>
      <c r="K20149" s="29">
        <v>0.994271565763579</v>
      </c>
    </row>
    <row r="20150" spans="1:11" x14ac:dyDescent="0.35">
      <c r="A20150" s="9" t="str">
        <f>HYPERLINK("http://www.ensembl.org/id/WBGene00020978", "WBGene00020978")</f>
        <v>WBGene00020978</v>
      </c>
      <c r="B20150" s="9" t="str">
        <f>HYPERLINK("http://www.ncbi.nlm.nih.gov/gene/189148", "189148")</f>
        <v>189148</v>
      </c>
      <c r="C20150" s="9"/>
      <c r="D20150" t="str">
        <f>"W03B1.9"</f>
        <v>W03B1.9</v>
      </c>
      <c r="F20150" t="s">
        <v>11</v>
      </c>
      <c r="H20150" s="12">
        <v>1.7719103290423801</v>
      </c>
      <c r="I20150" s="20">
        <v>0.170705673614783</v>
      </c>
      <c r="J20150" s="28">
        <v>0.86445520141600396</v>
      </c>
      <c r="K20150" s="29">
        <v>0.994271565763579</v>
      </c>
    </row>
    <row r="20151" spans="1:11" x14ac:dyDescent="0.35">
      <c r="A20151" s="9" t="str">
        <f>HYPERLINK("http://www.ensembl.org/id/WBGene00014541", "WBGene00014541")</f>
        <v>WBGene00014541</v>
      </c>
      <c r="B20151" s="9"/>
      <c r="C20151" s="9"/>
      <c r="D20151" t="str">
        <f>"W04D2.7"</f>
        <v>W04D2.7</v>
      </c>
      <c r="F20151" t="s">
        <v>2977</v>
      </c>
      <c r="H20151" s="12">
        <v>1.81452741737493</v>
      </c>
      <c r="I20151" s="20">
        <v>0.18505421452922499</v>
      </c>
      <c r="J20151" s="28">
        <v>0.85318651278733704</v>
      </c>
      <c r="K20151" s="29">
        <v>0.994271565763579</v>
      </c>
    </row>
    <row r="20152" spans="1:11" x14ac:dyDescent="0.35">
      <c r="A20152" s="9" t="str">
        <f>HYPERLINK("http://www.ensembl.org/id/WBGene00012249", "WBGene00012249")</f>
        <v>WBGene00012249</v>
      </c>
      <c r="B20152" s="9" t="str">
        <f>HYPERLINK("http://www.ncbi.nlm.nih.gov/gene/189191", "189191")</f>
        <v>189191</v>
      </c>
      <c r="C20152" s="9"/>
      <c r="D20152" t="str">
        <f>"W04E12.4"</f>
        <v>W04E12.4</v>
      </c>
      <c r="F20152" t="s">
        <v>11</v>
      </c>
      <c r="G20152" t="s">
        <v>25</v>
      </c>
      <c r="H20152" s="12">
        <v>1.7719103290423801</v>
      </c>
      <c r="I20152" s="20">
        <v>0.170705673614783</v>
      </c>
      <c r="J20152" s="28">
        <v>0.86445520141600396</v>
      </c>
      <c r="K20152" s="29">
        <v>0.994271565763579</v>
      </c>
    </row>
    <row r="20153" spans="1:11" x14ac:dyDescent="0.35">
      <c r="A20153" s="9" t="str">
        <f>HYPERLINK("http://www.ensembl.org/id/WBGene00014542", "WBGene00014542")</f>
        <v>WBGene00014542</v>
      </c>
      <c r="B20153" s="9"/>
      <c r="C20153" s="9"/>
      <c r="D20153" t="str">
        <f>"W04G5.11"</f>
        <v>W04G5.11</v>
      </c>
      <c r="F20153" t="s">
        <v>4205</v>
      </c>
      <c r="H20153" s="12">
        <v>-1.8016822568770801</v>
      </c>
      <c r="I20153" s="20">
        <v>-0.175677875261118</v>
      </c>
      <c r="J20153" s="28">
        <v>0.86054701793969501</v>
      </c>
      <c r="K20153" s="29">
        <v>0.994271565763579</v>
      </c>
    </row>
    <row r="20154" spans="1:11" x14ac:dyDescent="0.35">
      <c r="A20154" s="9" t="str">
        <f>HYPERLINK("http://www.ensembl.org/id/WBGene00021044", "WBGene00021044")</f>
        <v>WBGene00021044</v>
      </c>
      <c r="B20154" s="9" t="str">
        <f>HYPERLINK("http://www.ncbi.nlm.nih.gov/gene/180482", "180482")</f>
        <v>180482</v>
      </c>
      <c r="C20154" s="9"/>
      <c r="D20154" t="str">
        <f>"W05H7.1"</f>
        <v>W05H7.1</v>
      </c>
      <c r="F20154" t="s">
        <v>11</v>
      </c>
      <c r="H20154" s="12">
        <v>1.0415481954503401</v>
      </c>
      <c r="I20154" s="20">
        <v>0.178296406451181</v>
      </c>
      <c r="J20154" s="28">
        <v>0.85849020083586103</v>
      </c>
      <c r="K20154" s="29">
        <v>0.994271565763579</v>
      </c>
    </row>
    <row r="20155" spans="1:11" x14ac:dyDescent="0.35">
      <c r="A20155" s="9" t="str">
        <f>HYPERLINK("http://www.ensembl.org/id/WBGene00199258", "WBGene00199258")</f>
        <v>WBGene00199258</v>
      </c>
      <c r="B20155" s="9"/>
      <c r="C20155" s="9"/>
      <c r="D20155" t="str">
        <f>"W06B11.9"</f>
        <v>W06B11.9</v>
      </c>
      <c r="F20155" t="s">
        <v>481</v>
      </c>
      <c r="H20155" s="12">
        <v>-1.73457001584991</v>
      </c>
      <c r="I20155" s="20">
        <v>-0.165559698280943</v>
      </c>
      <c r="J20155" s="28">
        <v>0.86850346561216996</v>
      </c>
      <c r="K20155" s="29">
        <v>0.994271565763579</v>
      </c>
    </row>
    <row r="20156" spans="1:11" x14ac:dyDescent="0.35">
      <c r="A20156" s="9" t="str">
        <f>HYPERLINK("http://www.ensembl.org/id/WBGene00021090", "WBGene00021090")</f>
        <v>WBGene00021090</v>
      </c>
      <c r="B20156" s="9" t="str">
        <f>HYPERLINK("http://www.ncbi.nlm.nih.gov/gene/189296", "189296")</f>
        <v>189296</v>
      </c>
      <c r="C20156" s="9"/>
      <c r="D20156" t="str">
        <f>"W08E12.9"</f>
        <v>W08E12.9</v>
      </c>
      <c r="F20156" t="s">
        <v>11</v>
      </c>
      <c r="H20156" s="12">
        <v>1.79408715352943</v>
      </c>
      <c r="I20156" s="20">
        <v>0.173550585897745</v>
      </c>
      <c r="J20156" s="28">
        <v>0.86221866928889102</v>
      </c>
      <c r="K20156" s="29">
        <v>0.994271565763579</v>
      </c>
    </row>
    <row r="20157" spans="1:11" x14ac:dyDescent="0.35">
      <c r="A20157" s="9" t="str">
        <f>HYPERLINK("http://www.ensembl.org/id/WBGene00021099", "WBGene00021099")</f>
        <v>WBGene00021099</v>
      </c>
      <c r="B20157" s="9" t="str">
        <f>HYPERLINK("http://www.ncbi.nlm.nih.gov/gene/189302", "189302")</f>
        <v>189302</v>
      </c>
      <c r="C20157" s="9"/>
      <c r="D20157" t="str">
        <f>"W08F4.10"</f>
        <v>W08F4.10</v>
      </c>
      <c r="F20157" t="s">
        <v>11</v>
      </c>
      <c r="H20157" s="12">
        <v>1.79408715352943</v>
      </c>
      <c r="I20157" s="20">
        <v>0.173550585897745</v>
      </c>
      <c r="J20157" s="28">
        <v>0.86221866928889102</v>
      </c>
      <c r="K20157" s="29">
        <v>0.994271565763579</v>
      </c>
    </row>
    <row r="20158" spans="1:11" x14ac:dyDescent="0.35">
      <c r="A20158" s="9" t="str">
        <f>HYPERLINK("http://www.ensembl.org/id/WBGene00012349", "WBGene00012349")</f>
        <v>WBGene00012349</v>
      </c>
      <c r="B20158" s="9" t="str">
        <f>HYPERLINK("http://www.ncbi.nlm.nih.gov/gene/3565418", "3565418")</f>
        <v>3565418</v>
      </c>
      <c r="C20158" s="9"/>
      <c r="D20158" t="str">
        <f>"W08G11.5"</f>
        <v>W08G11.5</v>
      </c>
      <c r="F20158" t="s">
        <v>11</v>
      </c>
      <c r="G20158" t="s">
        <v>591</v>
      </c>
      <c r="H20158" s="12">
        <v>-1.6907691807024701</v>
      </c>
      <c r="I20158" s="20">
        <v>-0.18831966034723999</v>
      </c>
      <c r="J20158" s="28">
        <v>0.85062607434538895</v>
      </c>
      <c r="K20158" s="29">
        <v>0.994271565763579</v>
      </c>
    </row>
    <row r="20159" spans="1:11" x14ac:dyDescent="0.35">
      <c r="A20159" s="9" t="str">
        <f>HYPERLINK("http://www.ensembl.org/id/WBGene00219300", "WBGene00219300")</f>
        <v>WBGene00219300</v>
      </c>
      <c r="B20159" s="9" t="str">
        <f>HYPERLINK("http://www.ncbi.nlm.nih.gov/gene/13224450", "13224450")</f>
        <v>13224450</v>
      </c>
      <c r="C20159" s="9"/>
      <c r="D20159" t="str">
        <f>"W10G6.6"</f>
        <v>W10G6.6</v>
      </c>
      <c r="F20159" t="s">
        <v>11</v>
      </c>
      <c r="G20159" t="s">
        <v>25</v>
      </c>
      <c r="H20159" s="12">
        <v>1.06190026515921</v>
      </c>
      <c r="I20159" s="20">
        <v>0.167703863776168</v>
      </c>
      <c r="J20159" s="28">
        <v>0.86681625639012205</v>
      </c>
      <c r="K20159" s="29">
        <v>0.994271565763579</v>
      </c>
    </row>
    <row r="20160" spans="1:11" x14ac:dyDescent="0.35">
      <c r="A20160" s="9" t="str">
        <f>HYPERLINK("http://www.ensembl.org/id/WBGene00006951", "WBGene00006951")</f>
        <v>WBGene00006951</v>
      </c>
      <c r="B20160" s="9" t="str">
        <f>HYPERLINK("http://www.ncbi.nlm.nih.gov/gene/177162", "177162")</f>
        <v>177162</v>
      </c>
      <c r="C20160" s="9"/>
      <c r="D20160" t="str">
        <f>"wrt-5"</f>
        <v>wrt-5</v>
      </c>
      <c r="E20160" t="s">
        <v>10638</v>
      </c>
      <c r="F20160" t="s">
        <v>11</v>
      </c>
      <c r="G20160" t="s">
        <v>10639</v>
      </c>
      <c r="H20160" s="12">
        <v>-1.03921518791218</v>
      </c>
      <c r="I20160" s="20">
        <v>-0.18213941599281</v>
      </c>
      <c r="J20160" s="28">
        <v>0.85547331657035497</v>
      </c>
      <c r="K20160" s="29">
        <v>0.994271565763579</v>
      </c>
    </row>
    <row r="20161" spans="1:11" x14ac:dyDescent="0.35">
      <c r="A20161" s="9" t="str">
        <f>HYPERLINK("http://www.ensembl.org/id/WBGene00022411", "WBGene00022411")</f>
        <v>WBGene00022411</v>
      </c>
      <c r="B20161" s="9" t="str">
        <f>HYPERLINK("http://www.ncbi.nlm.nih.gov/gene/190857", "190857")</f>
        <v>190857</v>
      </c>
      <c r="C20161" s="9"/>
      <c r="D20161" t="str">
        <f>"Y102A11A.1"</f>
        <v>Y102A11A.1</v>
      </c>
      <c r="F20161" t="s">
        <v>11</v>
      </c>
      <c r="G20161" t="s">
        <v>25</v>
      </c>
      <c r="H20161" s="12">
        <v>1.1120477908150601</v>
      </c>
      <c r="I20161" s="20">
        <v>0.17034264429703799</v>
      </c>
      <c r="J20161" s="28">
        <v>0.86474067599755</v>
      </c>
      <c r="K20161" s="29">
        <v>0.994271565763579</v>
      </c>
    </row>
    <row r="20162" spans="1:11" x14ac:dyDescent="0.35">
      <c r="A20162" s="9" t="str">
        <f>HYPERLINK("http://www.ensembl.org/id/WBGene00220227", "WBGene00220227")</f>
        <v>WBGene00220227</v>
      </c>
      <c r="B20162" s="9"/>
      <c r="C20162" s="9"/>
      <c r="D20162" t="str">
        <f>"Y110A2AL.20"</f>
        <v>Y110A2AL.20</v>
      </c>
      <c r="F20162" t="s">
        <v>2977</v>
      </c>
      <c r="H20162" s="12">
        <v>-1.20295563039863</v>
      </c>
      <c r="I20162" s="20">
        <v>-0.17897883101774301</v>
      </c>
      <c r="J20162" s="28">
        <v>0.85795432369235403</v>
      </c>
      <c r="K20162" s="29">
        <v>0.994271565763579</v>
      </c>
    </row>
    <row r="20163" spans="1:11" x14ac:dyDescent="0.35">
      <c r="A20163" s="9" t="str">
        <f>HYPERLINK("http://www.ensembl.org/id/WBGene00255611", "WBGene00255611")</f>
        <v>WBGene00255611</v>
      </c>
      <c r="B20163" s="9" t="str">
        <f>HYPERLINK("http://www.ncbi.nlm.nih.gov/gene/25502995", "25502995")</f>
        <v>25502995</v>
      </c>
      <c r="C20163" s="9"/>
      <c r="D20163" t="str">
        <f>"Y116A8C.470"</f>
        <v>Y116A8C.470</v>
      </c>
      <c r="F20163" t="s">
        <v>11</v>
      </c>
      <c r="H20163" s="12">
        <v>-1.73457001584991</v>
      </c>
      <c r="I20163" s="20">
        <v>-0.165559698280943</v>
      </c>
      <c r="J20163" s="28">
        <v>0.86850346561216996</v>
      </c>
      <c r="K20163" s="29">
        <v>0.994271565763579</v>
      </c>
    </row>
    <row r="20164" spans="1:11" x14ac:dyDescent="0.35">
      <c r="A20164" s="9" t="str">
        <f>HYPERLINK("http://www.ensembl.org/id/WBGene00013819", "WBGene00013819")</f>
        <v>WBGene00013819</v>
      </c>
      <c r="B20164" s="9" t="str">
        <f>HYPERLINK("http://www.ncbi.nlm.nih.gov/gene/180296", "180296")</f>
        <v>180296</v>
      </c>
      <c r="C20164" s="9"/>
      <c r="D20164" t="str">
        <f>"Y116F11A.6"</f>
        <v>Y116F11A.6</v>
      </c>
      <c r="F20164" t="s">
        <v>11</v>
      </c>
      <c r="H20164" s="12">
        <v>1.0550827590012</v>
      </c>
      <c r="I20164" s="20">
        <v>0.18620833923466701</v>
      </c>
      <c r="J20164" s="28">
        <v>0.852281384567393</v>
      </c>
      <c r="K20164" s="29">
        <v>0.994271565763579</v>
      </c>
    </row>
    <row r="20165" spans="1:11" x14ac:dyDescent="0.35">
      <c r="A20165" s="9" t="str">
        <f>HYPERLINK("http://www.ensembl.org/id/WBGene00012432", "WBGene00012432")</f>
        <v>WBGene00012432</v>
      </c>
      <c r="B20165" s="9" t="str">
        <f>HYPERLINK("http://www.ncbi.nlm.nih.gov/gene/189433", "189433")</f>
        <v>189433</v>
      </c>
      <c r="C20165" s="9"/>
      <c r="D20165" t="str">
        <f>"Y11D7A.8"</f>
        <v>Y11D7A.8</v>
      </c>
      <c r="F20165" t="s">
        <v>11</v>
      </c>
      <c r="H20165" s="12">
        <v>1.18859529874846</v>
      </c>
      <c r="I20165" s="20">
        <v>0.18237181861304999</v>
      </c>
      <c r="J20165" s="28">
        <v>0.85529094040626297</v>
      </c>
      <c r="K20165" s="29">
        <v>0.994271565763579</v>
      </c>
    </row>
    <row r="20166" spans="1:11" x14ac:dyDescent="0.35">
      <c r="A20166" s="9" t="str">
        <f>HYPERLINK("http://www.ensembl.org/id/WBGene00012471", "WBGene00012471")</f>
        <v>WBGene00012471</v>
      </c>
      <c r="B20166" s="9" t="str">
        <f>HYPERLINK("http://www.ncbi.nlm.nih.gov/gene/174837", "174837")</f>
        <v>174837</v>
      </c>
      <c r="C20166" s="9"/>
      <c r="D20166" t="str">
        <f>"Y17G7B.20"</f>
        <v>Y17G7B.20</v>
      </c>
      <c r="F20166" t="s">
        <v>11</v>
      </c>
      <c r="H20166" s="12">
        <v>-1.0322080711330299</v>
      </c>
      <c r="I20166" s="20">
        <v>-0.17488192204066999</v>
      </c>
      <c r="J20166" s="28">
        <v>0.86117241548259404</v>
      </c>
      <c r="K20166" s="29">
        <v>0.994271565763579</v>
      </c>
    </row>
    <row r="20167" spans="1:11" x14ac:dyDescent="0.35">
      <c r="A20167" s="9" t="str">
        <f>HYPERLINK("http://www.ensembl.org/id/WBGene00021243", "WBGene00021243")</f>
        <v>WBGene00021243</v>
      </c>
      <c r="B20167" s="9" t="str">
        <f>HYPERLINK("http://www.ncbi.nlm.nih.gov/gene/189502", "189502")</f>
        <v>189502</v>
      </c>
      <c r="C20167" s="9"/>
      <c r="D20167" t="str">
        <f>"Y22D7AL.3"</f>
        <v>Y22D7AL.3</v>
      </c>
      <c r="F20167" t="s">
        <v>11</v>
      </c>
      <c r="G20167" t="s">
        <v>25</v>
      </c>
      <c r="H20167" s="12">
        <v>-1.8016822568770801</v>
      </c>
      <c r="I20167" s="20">
        <v>-0.175677875261118</v>
      </c>
      <c r="J20167" s="28">
        <v>0.86054701793969501</v>
      </c>
      <c r="K20167" s="29">
        <v>0.994271565763579</v>
      </c>
    </row>
    <row r="20168" spans="1:11" x14ac:dyDescent="0.35">
      <c r="A20168" s="9" t="str">
        <f>HYPERLINK("http://www.ensembl.org/id/WBGene00023170", "WBGene00023170")</f>
        <v>WBGene00023170</v>
      </c>
      <c r="B20168" s="9"/>
      <c r="C20168" s="9"/>
      <c r="D20168" t="str">
        <f>"Y22D7AL.t3"</f>
        <v>Y22D7AL.t3</v>
      </c>
      <c r="F20168" t="s">
        <v>4208</v>
      </c>
      <c r="H20168" s="12">
        <v>1.70028638258434</v>
      </c>
      <c r="I20168" s="20">
        <v>0.164008432000641</v>
      </c>
      <c r="J20168" s="28">
        <v>0.86972450592177797</v>
      </c>
      <c r="K20168" s="29">
        <v>0.994271565763579</v>
      </c>
    </row>
    <row r="20169" spans="1:11" x14ac:dyDescent="0.35">
      <c r="A20169" s="9" t="str">
        <f>HYPERLINK("http://www.ensembl.org/id/WBGene00198224", "WBGene00198224")</f>
        <v>WBGene00198224</v>
      </c>
      <c r="B20169" s="9"/>
      <c r="C20169" s="9"/>
      <c r="D20169" t="str">
        <f>"Y38C1AA.16"</f>
        <v>Y38C1AA.16</v>
      </c>
      <c r="F20169" t="s">
        <v>481</v>
      </c>
      <c r="H20169" s="12">
        <v>1.75352385646303</v>
      </c>
      <c r="I20169" s="20">
        <v>0.16737746853691299</v>
      </c>
      <c r="J20169" s="28">
        <v>0.86707305258210998</v>
      </c>
      <c r="K20169" s="29">
        <v>0.994271565763579</v>
      </c>
    </row>
    <row r="20170" spans="1:11" x14ac:dyDescent="0.35">
      <c r="A20170" s="9" t="str">
        <f>HYPERLINK("http://www.ensembl.org/id/WBGene00012602", "WBGene00012602")</f>
        <v>WBGene00012602</v>
      </c>
      <c r="B20170" s="9" t="str">
        <f>HYPERLINK("http://www.ncbi.nlm.nih.gov/gene/174898", "174898")</f>
        <v>174898</v>
      </c>
      <c r="C20170" s="9"/>
      <c r="D20170" t="str">
        <f>"Y38E10A.24"</f>
        <v>Y38E10A.24</v>
      </c>
      <c r="F20170" t="s">
        <v>11</v>
      </c>
      <c r="H20170" s="12">
        <v>1.0364385266016001</v>
      </c>
      <c r="I20170" s="20">
        <v>0.17359300887180301</v>
      </c>
      <c r="J20170" s="28">
        <v>0.86218532671354398</v>
      </c>
      <c r="K20170" s="29">
        <v>0.994271565763579</v>
      </c>
    </row>
    <row r="20171" spans="1:11" x14ac:dyDescent="0.35">
      <c r="A20171" s="9" t="str">
        <f>HYPERLINK("http://www.ensembl.org/id/WBGene00012710", "WBGene00012710")</f>
        <v>WBGene00012710</v>
      </c>
      <c r="B20171" s="9" t="str">
        <f>HYPERLINK("http://www.ncbi.nlm.nih.gov/gene/178172", "178172")</f>
        <v>178172</v>
      </c>
      <c r="C20171" s="9"/>
      <c r="D20171" t="str">
        <f>"Y39C12A.9"</f>
        <v>Y39C12A.9</v>
      </c>
      <c r="F20171" t="s">
        <v>11</v>
      </c>
      <c r="H20171" s="12">
        <v>1.0613259729195299</v>
      </c>
      <c r="I20171" s="20">
        <v>0.178700066820495</v>
      </c>
      <c r="J20171" s="28">
        <v>0.85817321671366098</v>
      </c>
      <c r="K20171" s="29">
        <v>0.994271565763579</v>
      </c>
    </row>
    <row r="20172" spans="1:11" x14ac:dyDescent="0.35">
      <c r="A20172" s="9" t="str">
        <f>HYPERLINK("http://www.ensembl.org/id/WBGene00194815", "WBGene00194815")</f>
        <v>WBGene00194815</v>
      </c>
      <c r="B20172" s="9" t="str">
        <f>HYPERLINK("http://www.ncbi.nlm.nih.gov/gene/13218539", "13218539")</f>
        <v>13218539</v>
      </c>
      <c r="C20172" s="9"/>
      <c r="D20172" t="str">
        <f>"Y43F8B.23"</f>
        <v>Y43F8B.23</v>
      </c>
      <c r="F20172" t="s">
        <v>11</v>
      </c>
      <c r="H20172" s="12">
        <v>1.13725976401522</v>
      </c>
      <c r="I20172" s="20">
        <v>0.170237440237856</v>
      </c>
      <c r="J20172" s="28">
        <v>0.86482340838760396</v>
      </c>
      <c r="K20172" s="29">
        <v>0.994271565763579</v>
      </c>
    </row>
    <row r="20173" spans="1:11" x14ac:dyDescent="0.35">
      <c r="A20173" s="9" t="str">
        <f>HYPERLINK("http://www.ensembl.org/id/WBGene00012869", "WBGene00012869")</f>
        <v>WBGene00012869</v>
      </c>
      <c r="B20173" s="9" t="str">
        <f>HYPERLINK("http://www.ncbi.nlm.nih.gov/gene/178318", "178318")</f>
        <v>178318</v>
      </c>
      <c r="C20173" s="9"/>
      <c r="D20173" t="str">
        <f>"Y45F10A.7"</f>
        <v>Y45F10A.7</v>
      </c>
      <c r="F20173" t="s">
        <v>11</v>
      </c>
      <c r="G20173" t="s">
        <v>10544</v>
      </c>
      <c r="H20173" s="12">
        <v>1.0380224583066</v>
      </c>
      <c r="I20173" s="20">
        <v>0.186599252187232</v>
      </c>
      <c r="J20173" s="28">
        <v>0.85197485311710397</v>
      </c>
      <c r="K20173" s="29">
        <v>0.994271565763579</v>
      </c>
    </row>
    <row r="20174" spans="1:11" x14ac:dyDescent="0.35">
      <c r="A20174" s="9" t="str">
        <f>HYPERLINK("http://www.ensembl.org/id/WBGene00021608", "WBGene00021608")</f>
        <v>WBGene00021608</v>
      </c>
      <c r="B20174" s="9" t="str">
        <f>HYPERLINK("http://www.ncbi.nlm.nih.gov/gene/178652", "178652")</f>
        <v>178652</v>
      </c>
      <c r="C20174" s="9"/>
      <c r="D20174" t="str">
        <f>"Y46H3D.1"</f>
        <v>Y46H3D.1</v>
      </c>
      <c r="F20174" t="s">
        <v>11</v>
      </c>
      <c r="H20174" s="12">
        <v>-1.4733710687077299</v>
      </c>
      <c r="I20174" s="20">
        <v>-0.17568622656152399</v>
      </c>
      <c r="J20174" s="28">
        <v>0.86054045660645695</v>
      </c>
      <c r="K20174" s="29">
        <v>0.994271565763579</v>
      </c>
    </row>
    <row r="20175" spans="1:11" x14ac:dyDescent="0.35">
      <c r="A20175" s="9" t="str">
        <f>HYPERLINK("http://www.ensembl.org/id/WBGene00012937", "WBGene00012937")</f>
        <v>WBGene00012937</v>
      </c>
      <c r="B20175" s="9" t="str">
        <f>HYPERLINK("http://www.ncbi.nlm.nih.gov/gene/176545", "176545")</f>
        <v>176545</v>
      </c>
      <c r="C20175" s="9"/>
      <c r="D20175" t="str">
        <f>"Y47D3A.31"</f>
        <v>Y47D3A.31</v>
      </c>
      <c r="F20175" t="s">
        <v>11</v>
      </c>
      <c r="H20175" s="12">
        <v>-1.21806503442129</v>
      </c>
      <c r="I20175" s="20">
        <v>-0.17141637134458401</v>
      </c>
      <c r="J20175" s="28">
        <v>0.86389638282534098</v>
      </c>
      <c r="K20175" s="29">
        <v>0.994271565763579</v>
      </c>
    </row>
    <row r="20176" spans="1:11" x14ac:dyDescent="0.35">
      <c r="A20176" s="9" t="str">
        <f>HYPERLINK("http://www.ensembl.org/id/WBGene00077537", "WBGene00077537")</f>
        <v>WBGene00077537</v>
      </c>
      <c r="B20176" s="9"/>
      <c r="C20176" s="9"/>
      <c r="D20176" t="str">
        <f>"Y47H10A.6"</f>
        <v>Y47H10A.6</v>
      </c>
      <c r="F20176" t="s">
        <v>80</v>
      </c>
      <c r="H20176" s="12">
        <v>-1.1956776065143</v>
      </c>
      <c r="I20176" s="20">
        <v>-0.19008042906108799</v>
      </c>
      <c r="J20176" s="28">
        <v>0.84924610583925297</v>
      </c>
      <c r="K20176" s="29">
        <v>0.994271565763579</v>
      </c>
    </row>
    <row r="20177" spans="1:11" x14ac:dyDescent="0.35">
      <c r="A20177" s="9" t="str">
        <f>HYPERLINK("http://www.ensembl.org/id/WBGene00012974", "WBGene00012974")</f>
        <v>WBGene00012974</v>
      </c>
      <c r="B20177" s="9"/>
      <c r="C20177" s="9"/>
      <c r="D20177" t="str">
        <f>"Y48A6C.1"</f>
        <v>Y48A6C.1</v>
      </c>
      <c r="F20177" t="s">
        <v>80</v>
      </c>
      <c r="H20177" s="12">
        <v>-1.0690605773194799</v>
      </c>
      <c r="I20177" s="20">
        <v>-0.16538609178834299</v>
      </c>
      <c r="J20177" s="28">
        <v>0.86864010007534098</v>
      </c>
      <c r="K20177" s="29">
        <v>0.994271565763579</v>
      </c>
    </row>
    <row r="20178" spans="1:11" x14ac:dyDescent="0.35">
      <c r="A20178" s="9" t="str">
        <f>HYPERLINK("http://www.ensembl.org/id/WBGene00021678", "WBGene00021678")</f>
        <v>WBGene00021678</v>
      </c>
      <c r="B20178" s="9" t="str">
        <f>HYPERLINK("http://www.ncbi.nlm.nih.gov/gene/171595", "171595")</f>
        <v>171595</v>
      </c>
      <c r="C20178" s="9"/>
      <c r="D20178" t="str">
        <f>"Y48G1C.5"</f>
        <v>Y48G1C.5</v>
      </c>
      <c r="F20178" t="s">
        <v>11</v>
      </c>
      <c r="G20178" t="s">
        <v>4317</v>
      </c>
      <c r="H20178" s="12">
        <v>1.2545242420766001</v>
      </c>
      <c r="I20178" s="20">
        <v>0.175908964283159</v>
      </c>
      <c r="J20178" s="28">
        <v>0.86036546269333103</v>
      </c>
      <c r="K20178" s="29">
        <v>0.994271565763579</v>
      </c>
    </row>
    <row r="20179" spans="1:11" x14ac:dyDescent="0.35">
      <c r="A20179" s="9" t="str">
        <f>HYPERLINK("http://www.ensembl.org/id/WBGene00303366", "WBGene00303366")</f>
        <v>WBGene00303366</v>
      </c>
      <c r="B20179" s="9"/>
      <c r="C20179" s="9"/>
      <c r="D20179" t="str">
        <f>"Y49F6A.11"</f>
        <v>Y49F6A.11</v>
      </c>
      <c r="F20179" t="s">
        <v>11</v>
      </c>
      <c r="H20179" s="12">
        <v>1.1639857749042</v>
      </c>
      <c r="I20179" s="20">
        <v>0.18933579846092499</v>
      </c>
      <c r="J20179" s="28">
        <v>0.84982963959328195</v>
      </c>
      <c r="K20179" s="29">
        <v>0.994271565763579</v>
      </c>
    </row>
    <row r="20180" spans="1:11" x14ac:dyDescent="0.35">
      <c r="A20180" s="9" t="str">
        <f>HYPERLINK("http://www.ensembl.org/id/WBGene00013069", "WBGene00013069")</f>
        <v>WBGene00013069</v>
      </c>
      <c r="B20180" s="9" t="str">
        <f>HYPERLINK("http://www.ncbi.nlm.nih.gov/gene/190130", "190130")</f>
        <v>190130</v>
      </c>
      <c r="C20180" s="9"/>
      <c r="D20180" t="str">
        <f>"Y51A2B.5"</f>
        <v>Y51A2B.5</v>
      </c>
      <c r="F20180" t="s">
        <v>11</v>
      </c>
      <c r="H20180" s="12">
        <v>-1.48802129398266</v>
      </c>
      <c r="I20180" s="20">
        <v>-0.16919101942118001</v>
      </c>
      <c r="J20180" s="28">
        <v>0.86564639342278804</v>
      </c>
      <c r="K20180" s="29">
        <v>0.994271565763579</v>
      </c>
    </row>
    <row r="20181" spans="1:11" x14ac:dyDescent="0.35">
      <c r="A20181" s="9" t="str">
        <f>HYPERLINK("http://www.ensembl.org/id/WBGene00013090", "WBGene00013090")</f>
        <v>WBGene00013090</v>
      </c>
      <c r="B20181" s="9" t="str">
        <f>HYPERLINK("http://www.ncbi.nlm.nih.gov/gene/190141", "190141")</f>
        <v>190141</v>
      </c>
      <c r="C20181" s="9"/>
      <c r="D20181" t="str">
        <f>"Y51B9A.8"</f>
        <v>Y51B9A.8</v>
      </c>
      <c r="F20181" t="s">
        <v>11</v>
      </c>
      <c r="H20181" s="12">
        <v>1.3984170854781099</v>
      </c>
      <c r="I20181" s="20">
        <v>0.18751496062258199</v>
      </c>
      <c r="J20181" s="28">
        <v>0.851256894848887</v>
      </c>
      <c r="K20181" s="29">
        <v>0.994271565763579</v>
      </c>
    </row>
    <row r="20182" spans="1:11" x14ac:dyDescent="0.35">
      <c r="A20182" s="9" t="str">
        <f>HYPERLINK("http://www.ensembl.org/id/WBGene00013119", "WBGene00013119")</f>
        <v>WBGene00013119</v>
      </c>
      <c r="B20182" s="9" t="str">
        <f>HYPERLINK("http://www.ncbi.nlm.nih.gov/gene/190159", "190159")</f>
        <v>190159</v>
      </c>
      <c r="C20182" s="9"/>
      <c r="D20182" t="str">
        <f>"Y51H4A.25"</f>
        <v>Y51H4A.25</v>
      </c>
      <c r="F20182" t="s">
        <v>11</v>
      </c>
      <c r="G20182" t="s">
        <v>602</v>
      </c>
      <c r="H20182" s="12">
        <v>1.04972272782763</v>
      </c>
      <c r="I20182" s="20">
        <v>0.17744633988022801</v>
      </c>
      <c r="J20182" s="28">
        <v>0.85915781083585097</v>
      </c>
      <c r="K20182" s="29">
        <v>0.994271565763579</v>
      </c>
    </row>
    <row r="20183" spans="1:11" x14ac:dyDescent="0.35">
      <c r="A20183" s="9" t="str">
        <f>HYPERLINK("http://www.ensembl.org/id/WBGene00302984", "WBGene00302984")</f>
        <v>WBGene00302984</v>
      </c>
      <c r="B20183" s="9" t="str">
        <f>HYPERLINK("http://www.ncbi.nlm.nih.gov/gene/36805059", "36805059")</f>
        <v>36805059</v>
      </c>
      <c r="C20183" s="9"/>
      <c r="D20183" t="str">
        <f>"Y51H7C.41"</f>
        <v>Y51H7C.41</v>
      </c>
      <c r="F20183" t="s">
        <v>11</v>
      </c>
      <c r="G20183" t="s">
        <v>25</v>
      </c>
      <c r="H20183" s="12">
        <v>-1.0512422546042199</v>
      </c>
      <c r="I20183" s="20">
        <v>-0.184837502252058</v>
      </c>
      <c r="J20183" s="28">
        <v>0.85335649209708297</v>
      </c>
      <c r="K20183" s="29">
        <v>0.994271565763579</v>
      </c>
    </row>
    <row r="20184" spans="1:11" x14ac:dyDescent="0.35">
      <c r="A20184" s="9" t="str">
        <f>HYPERLINK("http://www.ensembl.org/id/WBGene00013158", "WBGene00013158")</f>
        <v>WBGene00013158</v>
      </c>
      <c r="B20184" s="9" t="str">
        <f>HYPERLINK("http://www.ncbi.nlm.nih.gov/gene/190213", "190213")</f>
        <v>190213</v>
      </c>
      <c r="C20184" s="9"/>
      <c r="D20184" t="str">
        <f>"Y53F4B.11"</f>
        <v>Y53F4B.11</v>
      </c>
      <c r="F20184" t="s">
        <v>11</v>
      </c>
      <c r="G20184" t="s">
        <v>54</v>
      </c>
      <c r="H20184" s="12">
        <v>-1.2035280042207499</v>
      </c>
      <c r="I20184" s="20">
        <v>-0.18013686643802501</v>
      </c>
      <c r="J20184" s="28">
        <v>0.85704512075025996</v>
      </c>
      <c r="K20184" s="29">
        <v>0.994271565763579</v>
      </c>
    </row>
    <row r="20185" spans="1:11" x14ac:dyDescent="0.35">
      <c r="A20185" s="9" t="str">
        <f>HYPERLINK("http://www.ensembl.org/id/WBGene00014920", "WBGene00014920")</f>
        <v>WBGene00014920</v>
      </c>
      <c r="B20185" s="9"/>
      <c r="C20185" s="9"/>
      <c r="D20185" t="str">
        <f>"Y53F4B.38"</f>
        <v>Y53F4B.38</v>
      </c>
      <c r="F20185" t="s">
        <v>80</v>
      </c>
      <c r="H20185" s="12">
        <v>1.2245896549098101</v>
      </c>
      <c r="I20185" s="20">
        <v>0.18515893644544601</v>
      </c>
      <c r="J20185" s="28">
        <v>0.85310437609453904</v>
      </c>
      <c r="K20185" s="29">
        <v>0.994271565763579</v>
      </c>
    </row>
    <row r="20186" spans="1:11" x14ac:dyDescent="0.35">
      <c r="A20186" s="9" t="str">
        <f>HYPERLINK("http://www.ensembl.org/id/WBGene00021816", "WBGene00021816")</f>
        <v>WBGene00021816</v>
      </c>
      <c r="B20186" s="9" t="str">
        <f>HYPERLINK("http://www.ncbi.nlm.nih.gov/gene/175434", "175434")</f>
        <v>175434</v>
      </c>
      <c r="C20186" s="9"/>
      <c r="D20186" t="str">
        <f>"Y53G8AR.9"</f>
        <v>Y53G8AR.9</v>
      </c>
      <c r="F20186" t="s">
        <v>11</v>
      </c>
      <c r="G20186" t="s">
        <v>10566</v>
      </c>
      <c r="H20186" s="12">
        <v>1.0348561822821301</v>
      </c>
      <c r="I20186" s="20">
        <v>0.17665727573760701</v>
      </c>
      <c r="J20186" s="28">
        <v>0.85977760198466602</v>
      </c>
      <c r="K20186" s="29">
        <v>0.994271565763579</v>
      </c>
    </row>
    <row r="20187" spans="1:11" x14ac:dyDescent="0.35">
      <c r="A20187" s="9" t="str">
        <f>HYPERLINK("http://www.ensembl.org/id/WBGene00013202", "WBGene00013202")</f>
        <v>WBGene00013202</v>
      </c>
      <c r="B20187" s="9" t="str">
        <f>HYPERLINK("http://www.ncbi.nlm.nih.gov/gene/173332", "173332")</f>
        <v>173332</v>
      </c>
      <c r="C20187" s="9"/>
      <c r="D20187" t="str">
        <f>"Y54E5A.7"</f>
        <v>Y54E5A.7</v>
      </c>
      <c r="F20187" t="s">
        <v>11</v>
      </c>
      <c r="G20187" t="s">
        <v>10627</v>
      </c>
      <c r="H20187" s="12">
        <v>-1.03664726989748</v>
      </c>
      <c r="I20187" s="20">
        <v>-0.19032926232257599</v>
      </c>
      <c r="J20187" s="28">
        <v>0.84905112471741495</v>
      </c>
      <c r="K20187" s="29">
        <v>0.994271565763579</v>
      </c>
    </row>
    <row r="20188" spans="1:11" x14ac:dyDescent="0.35">
      <c r="A20188" s="9" t="str">
        <f>HYPERLINK("http://www.ensembl.org/id/WBGene00044492", "WBGene00044492")</f>
        <v>WBGene00044492</v>
      </c>
      <c r="B20188" s="9" t="str">
        <f>HYPERLINK("http://www.ncbi.nlm.nih.gov/gene/3896806", "3896806")</f>
        <v>3896806</v>
      </c>
      <c r="C20188" s="9"/>
      <c r="D20188" t="str">
        <f>"Y54G2A.49"</f>
        <v>Y54G2A.49</v>
      </c>
      <c r="F20188" t="s">
        <v>11</v>
      </c>
      <c r="G20188" t="s">
        <v>25</v>
      </c>
      <c r="H20188" s="12">
        <v>-1.15746352632942</v>
      </c>
      <c r="I20188" s="20">
        <v>-0.16447243805369899</v>
      </c>
      <c r="J20188" s="28">
        <v>0.86935924250762597</v>
      </c>
      <c r="K20188" s="29">
        <v>0.994271565763579</v>
      </c>
    </row>
    <row r="20189" spans="1:11" x14ac:dyDescent="0.35">
      <c r="A20189" s="9" t="str">
        <f>HYPERLINK("http://www.ensembl.org/id/WBGene00023180", "WBGene00023180")</f>
        <v>WBGene00023180</v>
      </c>
      <c r="B20189" s="9"/>
      <c r="C20189" s="9"/>
      <c r="D20189" t="str">
        <f>"Y54G2A.t3"</f>
        <v>Y54G2A.t3</v>
      </c>
      <c r="F20189" t="s">
        <v>4208</v>
      </c>
      <c r="H20189" s="12">
        <v>-1.73457001584991</v>
      </c>
      <c r="I20189" s="20">
        <v>-0.165559698280943</v>
      </c>
      <c r="J20189" s="28">
        <v>0.86850346561216996</v>
      </c>
      <c r="K20189" s="29">
        <v>0.994271565763579</v>
      </c>
    </row>
    <row r="20190" spans="1:11" x14ac:dyDescent="0.35">
      <c r="A20190" s="9" t="str">
        <f>HYPERLINK("http://www.ensembl.org/id/WBGene00199601", "WBGene00199601")</f>
        <v>WBGene00199601</v>
      </c>
      <c r="B20190" s="9"/>
      <c r="C20190" s="9"/>
      <c r="D20190" t="str">
        <f>"Y55F3BR.15"</f>
        <v>Y55F3BR.15</v>
      </c>
      <c r="F20190" t="s">
        <v>481</v>
      </c>
      <c r="H20190" s="12">
        <v>1.79408715352943</v>
      </c>
      <c r="I20190" s="20">
        <v>0.173550585897745</v>
      </c>
      <c r="J20190" s="28">
        <v>0.86221866928889102</v>
      </c>
      <c r="K20190" s="29">
        <v>0.994271565763579</v>
      </c>
    </row>
    <row r="20191" spans="1:11" x14ac:dyDescent="0.35">
      <c r="A20191" s="9" t="str">
        <f>HYPERLINK("http://www.ensembl.org/id/WBGene00021953", "WBGene00021953")</f>
        <v>WBGene00021953</v>
      </c>
      <c r="B20191" s="9" t="str">
        <f>HYPERLINK("http://www.ncbi.nlm.nih.gov/gene/190324", "190324")</f>
        <v>190324</v>
      </c>
      <c r="C20191" s="9"/>
      <c r="D20191" t="str">
        <f>"Y55H10A.2"</f>
        <v>Y55H10A.2</v>
      </c>
      <c r="F20191" t="s">
        <v>11</v>
      </c>
      <c r="G20191" t="s">
        <v>25</v>
      </c>
      <c r="H20191" s="12">
        <v>-1.2234653368770201</v>
      </c>
      <c r="I20191" s="20">
        <v>-0.16486615113672501</v>
      </c>
      <c r="J20191" s="28">
        <v>0.86904933525081896</v>
      </c>
      <c r="K20191" s="29">
        <v>0.994271565763579</v>
      </c>
    </row>
    <row r="20192" spans="1:11" x14ac:dyDescent="0.35">
      <c r="A20192" s="9" t="str">
        <f>HYPERLINK("http://www.ensembl.org/id/WBGene00013242", "WBGene00013242")</f>
        <v>WBGene00013242</v>
      </c>
      <c r="B20192" s="9" t="str">
        <f>HYPERLINK("http://www.ncbi.nlm.nih.gov/gene/176634", "176634")</f>
        <v>176634</v>
      </c>
      <c r="C20192" s="9"/>
      <c r="D20192" t="str">
        <f>"Y56A3A.30"</f>
        <v>Y56A3A.30</v>
      </c>
      <c r="F20192" t="s">
        <v>11</v>
      </c>
      <c r="H20192" s="12">
        <v>1.0333367799201401</v>
      </c>
      <c r="I20192" s="20">
        <v>0.16828598998656899</v>
      </c>
      <c r="J20192" s="28">
        <v>0.86635829505176398</v>
      </c>
      <c r="K20192" s="29">
        <v>0.994271565763579</v>
      </c>
    </row>
    <row r="20193" spans="1:11" x14ac:dyDescent="0.35">
      <c r="A20193" s="9" t="str">
        <f>HYPERLINK("http://www.ensembl.org/id/WBGene00014926", "WBGene00014926")</f>
        <v>WBGene00014926</v>
      </c>
      <c r="B20193" s="9" t="str">
        <f>HYPERLINK("http://www.ncbi.nlm.nih.gov/gene/13203539", "13203539")</f>
        <v>13203539</v>
      </c>
      <c r="C20193" s="9"/>
      <c r="D20193" t="str">
        <f>"Y57G11C.30"</f>
        <v>Y57G11C.30</v>
      </c>
      <c r="F20193" t="s">
        <v>11</v>
      </c>
      <c r="G20193" t="s">
        <v>25</v>
      </c>
      <c r="H20193" s="12">
        <v>1.79408715352943</v>
      </c>
      <c r="I20193" s="20">
        <v>0.173550585897745</v>
      </c>
      <c r="J20193" s="28">
        <v>0.86221866928889102</v>
      </c>
      <c r="K20193" s="29">
        <v>0.994271565763579</v>
      </c>
    </row>
    <row r="20194" spans="1:11" x14ac:dyDescent="0.35">
      <c r="A20194" s="9" t="str">
        <f>HYPERLINK("http://www.ensembl.org/id/WBGene00023519", "WBGene00023519")</f>
        <v>WBGene00023519</v>
      </c>
      <c r="B20194" s="9" t="str">
        <f>HYPERLINK("http://www.ncbi.nlm.nih.gov/gene/259682", "259682")</f>
        <v>259682</v>
      </c>
      <c r="C20194" s="9"/>
      <c r="D20194" t="str">
        <f>"Y60A3A.24"</f>
        <v>Y60A3A.24</v>
      </c>
      <c r="F20194" t="s">
        <v>11</v>
      </c>
      <c r="H20194" s="12">
        <v>1.0740926011633201</v>
      </c>
      <c r="I20194" s="20">
        <v>0.18812860693545</v>
      </c>
      <c r="J20194" s="28">
        <v>0.85077583636757403</v>
      </c>
      <c r="K20194" s="29">
        <v>0.994271565763579</v>
      </c>
    </row>
    <row r="20195" spans="1:11" x14ac:dyDescent="0.35">
      <c r="A20195" s="9" t="str">
        <f>HYPERLINK("http://www.ensembl.org/id/WBGene00013359", "WBGene00013359")</f>
        <v>WBGene00013359</v>
      </c>
      <c r="B20195" s="9" t="str">
        <f>HYPERLINK("http://www.ncbi.nlm.nih.gov/gene/180308", "180308")</f>
        <v>180308</v>
      </c>
      <c r="C20195" s="9"/>
      <c r="D20195" t="str">
        <f>"Y60A3A.8"</f>
        <v>Y60A3A.8</v>
      </c>
      <c r="F20195" t="s">
        <v>11</v>
      </c>
      <c r="H20195" s="12">
        <v>-1.03799819434542</v>
      </c>
      <c r="I20195" s="20">
        <v>-0.178722442884129</v>
      </c>
      <c r="J20195" s="28">
        <v>0.85815564603388905</v>
      </c>
      <c r="K20195" s="29">
        <v>0.994271565763579</v>
      </c>
    </row>
    <row r="20196" spans="1:11" x14ac:dyDescent="0.35">
      <c r="A20196" s="9" t="str">
        <f>HYPERLINK("http://www.ensembl.org/id/WBGene00013389", "WBGene00013389")</f>
        <v>WBGene00013389</v>
      </c>
      <c r="B20196" s="9" t="str">
        <f>HYPERLINK("http://www.ncbi.nlm.nih.gov/gene/190459", "190459")</f>
        <v>190459</v>
      </c>
      <c r="C20196" s="9"/>
      <c r="D20196" t="str">
        <f>"Y62H9A.1"</f>
        <v>Y62H9A.1</v>
      </c>
      <c r="F20196" t="s">
        <v>11</v>
      </c>
      <c r="G20196" t="s">
        <v>25</v>
      </c>
      <c r="H20196" s="12">
        <v>-1.73457001584991</v>
      </c>
      <c r="I20196" s="20">
        <v>-0.165559698280943</v>
      </c>
      <c r="J20196" s="28">
        <v>0.86850346561216996</v>
      </c>
      <c r="K20196" s="29">
        <v>0.994271565763579</v>
      </c>
    </row>
    <row r="20197" spans="1:11" x14ac:dyDescent="0.35">
      <c r="A20197" s="9" t="str">
        <f>HYPERLINK("http://www.ensembl.org/id/WBGene00022062", "WBGene00022062")</f>
        <v>WBGene00022062</v>
      </c>
      <c r="B20197" s="9" t="str">
        <f>HYPERLINK("http://www.ncbi.nlm.nih.gov/gene/190514", "190514")</f>
        <v>190514</v>
      </c>
      <c r="C20197" s="9"/>
      <c r="D20197" t="str">
        <f>"Y67D8B.2"</f>
        <v>Y67D8B.2</v>
      </c>
      <c r="F20197" t="s">
        <v>11</v>
      </c>
      <c r="G20197" t="s">
        <v>228</v>
      </c>
      <c r="H20197" s="12">
        <v>-1.1398182864000701</v>
      </c>
      <c r="I20197" s="20">
        <v>-0.179314909640582</v>
      </c>
      <c r="J20197" s="28">
        <v>0.85769044038934605</v>
      </c>
      <c r="K20197" s="29">
        <v>0.994271565763579</v>
      </c>
    </row>
    <row r="20198" spans="1:11" x14ac:dyDescent="0.35">
      <c r="A20198" s="9" t="str">
        <f>HYPERLINK("http://www.ensembl.org/id/WBGene00220194", "WBGene00220194")</f>
        <v>WBGene00220194</v>
      </c>
      <c r="B20198" s="9"/>
      <c r="C20198" s="9"/>
      <c r="D20198" t="str">
        <f>"Y69E1A.15"</f>
        <v>Y69E1A.15</v>
      </c>
      <c r="F20198" t="s">
        <v>481</v>
      </c>
      <c r="H20198" s="12">
        <v>1.8135090907084399</v>
      </c>
      <c r="I20198" s="20">
        <v>0.17820138943026001</v>
      </c>
      <c r="J20198" s="28">
        <v>0.85856481858144096</v>
      </c>
      <c r="K20198" s="29">
        <v>0.994271565763579</v>
      </c>
    </row>
    <row r="20199" spans="1:11" x14ac:dyDescent="0.35">
      <c r="A20199" s="9" t="str">
        <f>HYPERLINK("http://www.ensembl.org/id/WBGene00022262", "WBGene00022262")</f>
        <v>WBGene00022262</v>
      </c>
      <c r="B20199" s="9" t="str">
        <f>HYPERLINK("http://www.ncbi.nlm.nih.gov/gene/190660", "190660")</f>
        <v>190660</v>
      </c>
      <c r="C20199" s="9"/>
      <c r="D20199" t="str">
        <f>"Y73C8C.3"</f>
        <v>Y73C8C.3</v>
      </c>
      <c r="F20199" t="s">
        <v>11</v>
      </c>
      <c r="G20199" t="s">
        <v>264</v>
      </c>
      <c r="H20199" s="12">
        <v>1.0801679001755</v>
      </c>
      <c r="I20199" s="20">
        <v>0.17805639681109101</v>
      </c>
      <c r="J20199" s="28">
        <v>0.85867868506145995</v>
      </c>
      <c r="K20199" s="29">
        <v>0.994271565763579</v>
      </c>
    </row>
    <row r="20200" spans="1:11" x14ac:dyDescent="0.35">
      <c r="A20200" s="9" t="str">
        <f>HYPERLINK("http://www.ensembl.org/id/WBGene00013524", "WBGene00013524")</f>
        <v>WBGene00013524</v>
      </c>
      <c r="B20200" s="9" t="str">
        <f>HYPERLINK("http://www.ncbi.nlm.nih.gov/gene/190677", "190677")</f>
        <v>190677</v>
      </c>
      <c r="C20200" s="9"/>
      <c r="D20200" t="str">
        <f>"Y73F8A.15"</f>
        <v>Y73F8A.15</v>
      </c>
      <c r="F20200" t="s">
        <v>11</v>
      </c>
      <c r="H20200" s="12">
        <v>-1.6234086614782399</v>
      </c>
      <c r="I20200" s="20">
        <v>-0.169305444449044</v>
      </c>
      <c r="J20200" s="28">
        <v>0.86555639375357796</v>
      </c>
      <c r="K20200" s="29">
        <v>0.994271565763579</v>
      </c>
    </row>
    <row r="20201" spans="1:11" x14ac:dyDescent="0.35">
      <c r="A20201" s="9" t="str">
        <f>HYPERLINK("http://www.ensembl.org/id/WBGene00013536", "WBGene00013536")</f>
        <v>WBGene00013536</v>
      </c>
      <c r="B20201" s="9" t="str">
        <f>HYPERLINK("http://www.ncbi.nlm.nih.gov/gene/190688", "190688")</f>
        <v>190688</v>
      </c>
      <c r="C20201" s="9"/>
      <c r="D20201" t="str">
        <f>"Y73F8A.32"</f>
        <v>Y73F8A.32</v>
      </c>
      <c r="F20201" t="s">
        <v>11</v>
      </c>
      <c r="H20201" s="12">
        <v>1.0912014320889101</v>
      </c>
      <c r="I20201" s="20">
        <v>0.175675285089547</v>
      </c>
      <c r="J20201" s="28">
        <v>0.86054905295152795</v>
      </c>
      <c r="K20201" s="29">
        <v>0.994271565763579</v>
      </c>
    </row>
    <row r="20202" spans="1:11" x14ac:dyDescent="0.35">
      <c r="A20202" s="9" t="str">
        <f>HYPERLINK("http://www.ensembl.org/id/WBGene00013557", "WBGene00013557")</f>
        <v>WBGene00013557</v>
      </c>
      <c r="B20202" s="9" t="str">
        <f>HYPERLINK("http://www.ncbi.nlm.nih.gov/gene/176653", "176653")</f>
        <v>176653</v>
      </c>
      <c r="C20202" s="9" t="str">
        <f>HYPERLINK("http://www.ncbi.nlm.nih.gov/gene/5297", "5297")</f>
        <v>5297</v>
      </c>
      <c r="D20202" t="str">
        <f>"Y75B8A.24"</f>
        <v>Y75B8A.24</v>
      </c>
      <c r="F20202" t="s">
        <v>11</v>
      </c>
      <c r="G20202" t="s">
        <v>10616</v>
      </c>
      <c r="H20202" s="12">
        <v>-1.0356566189241301</v>
      </c>
      <c r="I20202" s="20">
        <v>-0.181296510715589</v>
      </c>
      <c r="J20202" s="28">
        <v>0.85613484469386103</v>
      </c>
      <c r="K20202" s="29">
        <v>0.994271565763579</v>
      </c>
    </row>
    <row r="20203" spans="1:11" x14ac:dyDescent="0.35">
      <c r="A20203" s="9" t="str">
        <f>HYPERLINK("http://www.ensembl.org/id/WBGene00195210", "WBGene00195210")</f>
        <v>WBGene00195210</v>
      </c>
      <c r="B20203" s="9" t="str">
        <f>HYPERLINK("http://www.ncbi.nlm.nih.gov/gene/13224346", "13224346")</f>
        <v>13224346</v>
      </c>
      <c r="C20203" s="9"/>
      <c r="D20203" t="str">
        <f>"Y7A5A.13"</f>
        <v>Y7A5A.13</v>
      </c>
      <c r="F20203" t="s">
        <v>11</v>
      </c>
      <c r="G20203" t="s">
        <v>25</v>
      </c>
      <c r="H20203" s="12">
        <v>1.5152226254076899</v>
      </c>
      <c r="I20203" s="20">
        <v>0.19039106999613001</v>
      </c>
      <c r="J20203" s="28">
        <v>0.84900269480368595</v>
      </c>
      <c r="K20203" s="29">
        <v>0.994271565763579</v>
      </c>
    </row>
    <row r="20204" spans="1:11" x14ac:dyDescent="0.35">
      <c r="A20204" s="9" t="str">
        <f>HYPERLINK("http://www.ensembl.org/id/WBGene00022380", "WBGene00022380")</f>
        <v>WBGene00022380</v>
      </c>
      <c r="B20204" s="9" t="str">
        <f>HYPERLINK("http://www.ncbi.nlm.nih.gov/gene/177056", "177056")</f>
        <v>177056</v>
      </c>
      <c r="C20204" s="9" t="str">
        <f>HYPERLINK("http://www.ncbi.nlm.nih.gov/gene/55967", "55967")</f>
        <v>55967</v>
      </c>
      <c r="D20204" t="str">
        <f>"Y94H6A.8"</f>
        <v>Y94H6A.8</v>
      </c>
      <c r="E20204" t="s">
        <v>10628</v>
      </c>
      <c r="F20204" t="s">
        <v>11</v>
      </c>
      <c r="G20204" t="s">
        <v>10629</v>
      </c>
      <c r="H20204" s="12">
        <v>-1.0367008598771199</v>
      </c>
      <c r="I20204" s="20">
        <v>-0.19286606717865301</v>
      </c>
      <c r="J20204" s="28">
        <v>0.84706386052539695</v>
      </c>
      <c r="K20204" s="29">
        <v>0.994271565763579</v>
      </c>
    </row>
    <row r="20205" spans="1:11" x14ac:dyDescent="0.35">
      <c r="A20205" s="9" t="str">
        <f>HYPERLINK("http://www.ensembl.org/id/WBGene00022401", "WBGene00022401")</f>
        <v>WBGene00022401</v>
      </c>
      <c r="B20205" s="9" t="str">
        <f>HYPERLINK("http://www.ncbi.nlm.nih.gov/gene/179179", "179179")</f>
        <v>179179</v>
      </c>
      <c r="C20205" s="9"/>
      <c r="D20205" t="str">
        <f>"Y97E10AR.6"</f>
        <v>Y97E10AR.6</v>
      </c>
      <c r="F20205" t="s">
        <v>11</v>
      </c>
      <c r="H20205" s="12">
        <v>-1.0317475464885699</v>
      </c>
      <c r="I20205" s="20">
        <v>-0.171025048426027</v>
      </c>
      <c r="J20205" s="28">
        <v>0.86420406996094501</v>
      </c>
      <c r="K20205" s="29">
        <v>0.994271565763579</v>
      </c>
    </row>
    <row r="20206" spans="1:11" x14ac:dyDescent="0.35">
      <c r="A20206" s="9" t="str">
        <f>HYPERLINK("http://www.ensembl.org/id/WBGene00200408", "WBGene00200408")</f>
        <v>WBGene00200408</v>
      </c>
      <c r="B20206" s="9"/>
      <c r="C20206" s="9"/>
      <c r="D20206" t="str">
        <f>"ZC123.8"</f>
        <v>ZC123.8</v>
      </c>
      <c r="F20206" t="s">
        <v>481</v>
      </c>
      <c r="H20206" s="12">
        <v>1.7719103290423801</v>
      </c>
      <c r="I20206" s="20">
        <v>0.170705673614783</v>
      </c>
      <c r="J20206" s="28">
        <v>0.86445520141600396</v>
      </c>
      <c r="K20206" s="29">
        <v>0.994271565763579</v>
      </c>
    </row>
    <row r="20207" spans="1:11" x14ac:dyDescent="0.35">
      <c r="A20207" s="9" t="str">
        <f>HYPERLINK("http://www.ensembl.org/id/WBGene00022584", "WBGene00022584")</f>
        <v>WBGene00022584</v>
      </c>
      <c r="B20207" s="9" t="str">
        <f>HYPERLINK("http://www.ncbi.nlm.nih.gov/gene/191134", "191134")</f>
        <v>191134</v>
      </c>
      <c r="C20207" s="9"/>
      <c r="D20207" t="str">
        <f>"ZC266.1"</f>
        <v>ZC266.1</v>
      </c>
      <c r="F20207" t="s">
        <v>11</v>
      </c>
      <c r="G20207" t="s">
        <v>1022</v>
      </c>
      <c r="H20207" s="12">
        <v>-1.0608951934058699</v>
      </c>
      <c r="I20207" s="20">
        <v>-0.172133387971556</v>
      </c>
      <c r="J20207" s="28">
        <v>0.86333266469825598</v>
      </c>
      <c r="K20207" s="29">
        <v>0.994271565763579</v>
      </c>
    </row>
    <row r="20208" spans="1:11" x14ac:dyDescent="0.35">
      <c r="A20208" s="9" t="str">
        <f>HYPERLINK("http://www.ensembl.org/id/WBGene00044588", "WBGene00044588")</f>
        <v>WBGene00044588</v>
      </c>
      <c r="B20208" s="9" t="str">
        <f>HYPERLINK("http://www.ncbi.nlm.nih.gov/gene/3896744", "3896744")</f>
        <v>3896744</v>
      </c>
      <c r="C20208" s="9"/>
      <c r="D20208" t="str">
        <f>"ZK1236.9"</f>
        <v>ZK1236.9</v>
      </c>
      <c r="F20208" t="s">
        <v>11</v>
      </c>
      <c r="H20208" s="12">
        <v>1.0729977765629</v>
      </c>
      <c r="I20208" s="20">
        <v>0.18893345787587201</v>
      </c>
      <c r="J20208" s="28">
        <v>0.85014497020312596</v>
      </c>
      <c r="K20208" s="29">
        <v>0.994271565763579</v>
      </c>
    </row>
    <row r="20209" spans="1:11" x14ac:dyDescent="0.35">
      <c r="A20209" s="9" t="str">
        <f>HYPERLINK("http://www.ensembl.org/id/WBGene00022868", "WBGene00022868")</f>
        <v>WBGene00022868</v>
      </c>
      <c r="B20209" s="9" t="str">
        <f>HYPERLINK("http://www.ncbi.nlm.nih.gov/gene/173588", "173588")</f>
        <v>173588</v>
      </c>
      <c r="C20209" s="9"/>
      <c r="D20209" t="str">
        <f>"ZK1240.3"</f>
        <v>ZK1240.3</v>
      </c>
      <c r="F20209" t="s">
        <v>11</v>
      </c>
      <c r="G20209" t="s">
        <v>3465</v>
      </c>
      <c r="H20209" s="12">
        <v>1.04202687450147</v>
      </c>
      <c r="I20209" s="20">
        <v>0.17406535521334099</v>
      </c>
      <c r="J20209" s="28">
        <v>0.86181410004702097</v>
      </c>
      <c r="K20209" s="29">
        <v>0.994271565763579</v>
      </c>
    </row>
    <row r="20210" spans="1:11" x14ac:dyDescent="0.35">
      <c r="A20210" s="9" t="str">
        <f>HYPERLINK("http://www.ensembl.org/id/WBGene00022668", "WBGene00022668")</f>
        <v>WBGene00022668</v>
      </c>
      <c r="B20210" s="9" t="str">
        <f>HYPERLINK("http://www.ncbi.nlm.nih.gov/gene/181040", "181040")</f>
        <v>181040</v>
      </c>
      <c r="C20210" s="9"/>
      <c r="D20210" t="str">
        <f>"ZK154.6"</f>
        <v>ZK154.6</v>
      </c>
      <c r="F20210" t="s">
        <v>11</v>
      </c>
      <c r="G20210" t="s">
        <v>25</v>
      </c>
      <c r="H20210" s="12">
        <v>1.0351178181013001</v>
      </c>
      <c r="I20210" s="20">
        <v>0.16528405822478401</v>
      </c>
      <c r="J20210" s="28">
        <v>0.86872040593714395</v>
      </c>
      <c r="K20210" s="29">
        <v>0.994271565763579</v>
      </c>
    </row>
    <row r="20211" spans="1:11" x14ac:dyDescent="0.35">
      <c r="A20211" s="9" t="str">
        <f>HYPERLINK("http://www.ensembl.org/id/WBGene00013942", "WBGene00013942")</f>
        <v>WBGene00013942</v>
      </c>
      <c r="B20211" s="9"/>
      <c r="C20211" s="9"/>
      <c r="D20211" t="str">
        <f>"ZK218.8"</f>
        <v>ZK218.8</v>
      </c>
      <c r="F20211" t="s">
        <v>80</v>
      </c>
      <c r="H20211" s="12">
        <v>-1.28016181847513</v>
      </c>
      <c r="I20211" s="20">
        <v>-0.18904278357606699</v>
      </c>
      <c r="J20211" s="28">
        <v>0.85005928485071502</v>
      </c>
      <c r="K20211" s="29">
        <v>0.994271565763579</v>
      </c>
    </row>
    <row r="20212" spans="1:11" x14ac:dyDescent="0.35">
      <c r="A20212" s="9" t="str">
        <f>HYPERLINK("http://www.ensembl.org/id/WBGene00022705", "WBGene00022705")</f>
        <v>WBGene00022705</v>
      </c>
      <c r="B20212" s="9" t="str">
        <f>HYPERLINK("http://www.ncbi.nlm.nih.gov/gene/177310", "177310")</f>
        <v>177310</v>
      </c>
      <c r="C20212" s="9"/>
      <c r="D20212" t="str">
        <f>"ZK354.2"</f>
        <v>ZK354.2</v>
      </c>
      <c r="F20212" t="s">
        <v>11</v>
      </c>
      <c r="G20212" t="s">
        <v>1763</v>
      </c>
      <c r="H20212" s="12">
        <v>1.1383424839346501</v>
      </c>
      <c r="I20212" s="20">
        <v>0.18919864713378501</v>
      </c>
      <c r="J20212" s="28">
        <v>0.84993712794651499</v>
      </c>
      <c r="K20212" s="29">
        <v>0.994271565763579</v>
      </c>
    </row>
    <row r="20213" spans="1:11" x14ac:dyDescent="0.35">
      <c r="A20213" s="9" t="str">
        <f>HYPERLINK("http://www.ensembl.org/id/WBGene00014005", "WBGene00014005")</f>
        <v>WBGene00014005</v>
      </c>
      <c r="B20213" s="9"/>
      <c r="C20213" s="9"/>
      <c r="D20213" t="str">
        <f>"ZK593.9"</f>
        <v>ZK593.9</v>
      </c>
      <c r="F20213" t="s">
        <v>80</v>
      </c>
      <c r="H20213" s="12">
        <v>1.2887513933169199</v>
      </c>
      <c r="I20213" s="20">
        <v>0.19184114303879901</v>
      </c>
      <c r="J20213" s="28">
        <v>0.84786664199098105</v>
      </c>
      <c r="K20213" s="29">
        <v>0.994271565763579</v>
      </c>
    </row>
    <row r="20214" spans="1:11" x14ac:dyDescent="0.35">
      <c r="A20214" s="9" t="str">
        <f>HYPERLINK("http://www.ensembl.org/id/WBGene00022786", "WBGene00022786")</f>
        <v>WBGene00022786</v>
      </c>
      <c r="B20214" s="9" t="str">
        <f>HYPERLINK("http://www.ncbi.nlm.nih.gov/gene/191377", "191377")</f>
        <v>191377</v>
      </c>
      <c r="C20214" s="9"/>
      <c r="D20214" t="str">
        <f>"ZK652.8"</f>
        <v>ZK652.8</v>
      </c>
      <c r="F20214" t="s">
        <v>11</v>
      </c>
      <c r="H20214" s="12">
        <v>1.0400969574454999</v>
      </c>
      <c r="I20214" s="20">
        <v>0.16588393636976301</v>
      </c>
      <c r="J20214" s="28">
        <v>0.86824828926320796</v>
      </c>
      <c r="K20214" s="29">
        <v>0.994271565763579</v>
      </c>
    </row>
    <row r="20215" spans="1:11" x14ac:dyDescent="0.35">
      <c r="A20215" s="9" t="str">
        <f>HYPERLINK("http://www.ensembl.org/id/WBGene00014062", "WBGene00014062")</f>
        <v>WBGene00014062</v>
      </c>
      <c r="B20215" s="9" t="str">
        <f>HYPERLINK("http://www.ncbi.nlm.nih.gov/gene/174611", "174611")</f>
        <v>174611</v>
      </c>
      <c r="C20215" s="9"/>
      <c r="D20215" t="str">
        <f>"ZK673.6"</f>
        <v>ZK673.6</v>
      </c>
      <c r="F20215" t="s">
        <v>11</v>
      </c>
      <c r="H20215" s="12">
        <v>-1.35649995468174</v>
      </c>
      <c r="I20215" s="20">
        <v>-0.19039655485387499</v>
      </c>
      <c r="J20215" s="28">
        <v>0.84899839712557101</v>
      </c>
      <c r="K20215" s="29">
        <v>0.994271565763579</v>
      </c>
    </row>
    <row r="20216" spans="1:11" x14ac:dyDescent="0.35">
      <c r="A20216" s="9" t="str">
        <f>HYPERLINK("http://www.ensembl.org/id/WBGene00014069", "WBGene00014069")</f>
        <v>WBGene00014069</v>
      </c>
      <c r="B20216" s="9" t="str">
        <f>HYPERLINK("http://www.ncbi.nlm.nih.gov/gene/191393", "191393")</f>
        <v>191393</v>
      </c>
      <c r="C20216" s="9"/>
      <c r="D20216" t="str">
        <f>"ZK678.3"</f>
        <v>ZK678.3</v>
      </c>
      <c r="F20216" t="s">
        <v>11</v>
      </c>
      <c r="H20216" s="12">
        <v>1.75352385646303</v>
      </c>
      <c r="I20216" s="20">
        <v>0.16737746853691299</v>
      </c>
      <c r="J20216" s="28">
        <v>0.86707305258210998</v>
      </c>
      <c r="K20216" s="29">
        <v>0.994271565763579</v>
      </c>
    </row>
    <row r="20217" spans="1:11" x14ac:dyDescent="0.35">
      <c r="A20217" s="9" t="str">
        <f>HYPERLINK("http://www.ensembl.org/id/WBGene00202281", "WBGene00202281")</f>
        <v>WBGene00202281</v>
      </c>
      <c r="B20217" s="9"/>
      <c r="C20217" s="9"/>
      <c r="D20217" t="str">
        <f>"ZK792.11"</f>
        <v>ZK792.11</v>
      </c>
      <c r="F20217" t="s">
        <v>481</v>
      </c>
      <c r="H20217" s="12">
        <v>-1.7829973537722901</v>
      </c>
      <c r="I20217" s="20">
        <v>-0.17234495628438801</v>
      </c>
      <c r="J20217" s="28">
        <v>0.86316634307259699</v>
      </c>
      <c r="K20217" s="29">
        <v>0.994271565763579</v>
      </c>
    </row>
    <row r="20218" spans="1:11" x14ac:dyDescent="0.35">
      <c r="A20218" s="9" t="str">
        <f>HYPERLINK("http://www.ensembl.org/id/WBGene00014099", "WBGene00014099")</f>
        <v>WBGene00014099</v>
      </c>
      <c r="B20218" s="9" t="str">
        <f>HYPERLINK("http://www.ncbi.nlm.nih.gov/gene/3565676", "3565676")</f>
        <v>3565676</v>
      </c>
      <c r="C20218" s="9"/>
      <c r="D20218" t="str">
        <f>"ZK836.3"</f>
        <v>ZK836.3</v>
      </c>
      <c r="F20218" t="s">
        <v>11</v>
      </c>
      <c r="G20218" t="s">
        <v>25</v>
      </c>
      <c r="H20218" s="12">
        <v>1.05667812873885</v>
      </c>
      <c r="I20218" s="20">
        <v>0.19073595057578499</v>
      </c>
      <c r="J20218" s="28">
        <v>0.84873247124054096</v>
      </c>
      <c r="K20218" s="29">
        <v>0.994271565763579</v>
      </c>
    </row>
    <row r="20219" spans="1:11" x14ac:dyDescent="0.35">
      <c r="A20219" s="9" t="str">
        <f>HYPERLINK("http://www.ensembl.org/id/WBGene00014100", "WBGene00014100")</f>
        <v>WBGene00014100</v>
      </c>
      <c r="B20219" s="9" t="str">
        <f>HYPERLINK("http://www.ncbi.nlm.nih.gov/gene/173288", "173288")</f>
        <v>173288</v>
      </c>
      <c r="C20219" s="9"/>
      <c r="D20219" t="str">
        <f>"ZK849.1"</f>
        <v>ZK849.1</v>
      </c>
      <c r="F20219" t="s">
        <v>11</v>
      </c>
      <c r="G20219" t="s">
        <v>10503</v>
      </c>
      <c r="H20219" s="12">
        <v>1.17553903159588</v>
      </c>
      <c r="I20219" s="20">
        <v>0.191333209469739</v>
      </c>
      <c r="J20219" s="28">
        <v>0.84826454428526898</v>
      </c>
      <c r="K20219" s="29">
        <v>0.994271565763579</v>
      </c>
    </row>
    <row r="20220" spans="1:11" x14ac:dyDescent="0.35">
      <c r="A20220" s="9" t="str">
        <f>HYPERLINK("http://www.ensembl.org/id/WBGene00014129", "WBGene00014129")</f>
        <v>WBGene00014129</v>
      </c>
      <c r="B20220" s="9" t="str">
        <f>HYPERLINK("http://www.ncbi.nlm.nih.gov/gene/191446", "191446")</f>
        <v>191446</v>
      </c>
      <c r="C20220" s="9"/>
      <c r="D20220" t="str">
        <f>"ZK892.5"</f>
        <v>ZK892.5</v>
      </c>
      <c r="F20220" t="s">
        <v>11</v>
      </c>
      <c r="G20220" t="s">
        <v>25</v>
      </c>
      <c r="H20220" s="12">
        <v>1.26863922432555</v>
      </c>
      <c r="I20220" s="20">
        <v>0.1760144080786</v>
      </c>
      <c r="J20220" s="28">
        <v>0.86028262315564397</v>
      </c>
      <c r="K20220" s="29">
        <v>0.994271565763579</v>
      </c>
    </row>
    <row r="20221" spans="1:11" x14ac:dyDescent="0.35">
      <c r="A20221" s="9" t="str">
        <f>HYPERLINK("http://www.ensembl.org/id/WBGene00019017", "WBGene00019017")</f>
        <v>WBGene00019017</v>
      </c>
      <c r="B20221" s="9" t="str">
        <f>HYPERLINK("http://www.ncbi.nlm.nih.gov/gene/3564957", "3564957")</f>
        <v>3564957</v>
      </c>
      <c r="C20221" s="9"/>
      <c r="D20221" t="str">
        <f>"F57F4.4"</f>
        <v>F57F4.4</v>
      </c>
      <c r="F20221" t="s">
        <v>11</v>
      </c>
      <c r="G20221" t="s">
        <v>548</v>
      </c>
      <c r="H20221" s="12">
        <v>1.03924418238334</v>
      </c>
      <c r="I20221" s="20">
        <v>0.16354431334753</v>
      </c>
      <c r="J20221" s="28">
        <v>0.87008988578221702</v>
      </c>
      <c r="K20221" s="29">
        <v>0.99432696477985605</v>
      </c>
    </row>
    <row r="20222" spans="1:11" x14ac:dyDescent="0.35">
      <c r="A20222" s="9" t="str">
        <f>HYPERLINK("http://www.ensembl.org/id/WBGene00008583", "WBGene00008583")</f>
        <v>WBGene00008583</v>
      </c>
      <c r="B20222" s="9" t="str">
        <f>HYPERLINK("http://www.ncbi.nlm.nih.gov/gene/184205", "184205")</f>
        <v>184205</v>
      </c>
      <c r="C20222" s="9"/>
      <c r="D20222" t="str">
        <f>"ugt-65"</f>
        <v>ugt-65</v>
      </c>
      <c r="E20222" t="s">
        <v>948</v>
      </c>
      <c r="F20222" t="s">
        <v>11</v>
      </c>
      <c r="G20222" t="s">
        <v>104</v>
      </c>
      <c r="H20222" s="12">
        <v>1.0829908555322301</v>
      </c>
      <c r="I20222" s="20">
        <v>0.16335051006196999</v>
      </c>
      <c r="J20222" s="28">
        <v>0.87024246665522798</v>
      </c>
      <c r="K20222" s="29">
        <v>0.99445214809770999</v>
      </c>
    </row>
    <row r="20223" spans="1:11" x14ac:dyDescent="0.35">
      <c r="A20223" s="9" t="str">
        <f>HYPERLINK("http://www.ensembl.org/id/WBGene00020972", "WBGene00020972")</f>
        <v>WBGene00020972</v>
      </c>
      <c r="B20223" s="9" t="str">
        <f>HYPERLINK("http://www.ncbi.nlm.nih.gov/gene/177198", "177198")</f>
        <v>177198</v>
      </c>
      <c r="C20223" s="9"/>
      <c r="D20223" t="str">
        <f>"trpl-2"</f>
        <v>trpl-2</v>
      </c>
      <c r="E20223" t="s">
        <v>4505</v>
      </c>
      <c r="F20223" t="s">
        <v>11</v>
      </c>
      <c r="G20223" t="s">
        <v>4506</v>
      </c>
      <c r="H20223" s="12">
        <v>-1.06393670564634</v>
      </c>
      <c r="I20223" s="20">
        <v>-0.16322692787130999</v>
      </c>
      <c r="J20223" s="28">
        <v>0.87033976514716704</v>
      </c>
      <c r="K20223" s="29">
        <v>0.99451414932448601</v>
      </c>
    </row>
    <row r="20224" spans="1:11" x14ac:dyDescent="0.35">
      <c r="A20224" s="9" t="str">
        <f>HYPERLINK("http://www.ensembl.org/id/WBGene00014233", "WBGene00014233")</f>
        <v>WBGene00014233</v>
      </c>
      <c r="B20224" s="9" t="str">
        <f>HYPERLINK("http://www.ncbi.nlm.nih.gov/gene/191528", "191528")</f>
        <v>191528</v>
      </c>
      <c r="C20224" s="9"/>
      <c r="D20224" t="str">
        <f>"ZK1128.7"</f>
        <v>ZK1128.7</v>
      </c>
      <c r="F20224" t="s">
        <v>11</v>
      </c>
      <c r="G20224" t="s">
        <v>54</v>
      </c>
      <c r="H20224" s="12">
        <v>-1.03109905988148</v>
      </c>
      <c r="I20224" s="20">
        <v>-0.163102349910035</v>
      </c>
      <c r="J20224" s="28">
        <v>0.87043784961380799</v>
      </c>
      <c r="K20224" s="29">
        <v>0.99457704248722401</v>
      </c>
    </row>
    <row r="20225" spans="1:11" x14ac:dyDescent="0.35">
      <c r="A20225" s="9" t="str">
        <f>HYPERLINK("http://www.ensembl.org/id/WBGene00004207", "WBGene00004207")</f>
        <v>WBGene00004207</v>
      </c>
      <c r="B20225" s="9" t="str">
        <f>HYPERLINK("http://www.ncbi.nlm.nih.gov/gene/174647", "174647")</f>
        <v>174647</v>
      </c>
      <c r="C20225" s="9" t="str">
        <f>HYPERLINK("http://www.ncbi.nlm.nih.gov/gene/5725", "5725")</f>
        <v>5725</v>
      </c>
      <c r="D20225" t="str">
        <f>"ptb-1"</f>
        <v>ptb-1</v>
      </c>
      <c r="E20225" t="s">
        <v>10672</v>
      </c>
      <c r="F20225" t="s">
        <v>11</v>
      </c>
      <c r="G20225" t="s">
        <v>10673</v>
      </c>
      <c r="H20225" s="12">
        <v>-1.03080510716327</v>
      </c>
      <c r="I20225" s="20">
        <v>-0.163005991191435</v>
      </c>
      <c r="J20225" s="28">
        <v>0.87051371747779105</v>
      </c>
      <c r="K20225" s="29">
        <v>0.99461454561844698</v>
      </c>
    </row>
    <row r="20226" spans="1:11" x14ac:dyDescent="0.35">
      <c r="A20226" s="9" t="str">
        <f>HYPERLINK("http://www.ensembl.org/id/WBGene00014032", "WBGene00014032")</f>
        <v>WBGene00014032</v>
      </c>
      <c r="B20226" s="9" t="str">
        <f>HYPERLINK("http://www.ncbi.nlm.nih.gov/gene/191371", "191371")</f>
        <v>191371</v>
      </c>
      <c r="C20226" s="9"/>
      <c r="D20226" t="str">
        <f>"ZK637.15"</f>
        <v>ZK637.15</v>
      </c>
      <c r="F20226" t="s">
        <v>11</v>
      </c>
      <c r="H20226" s="12">
        <v>-1.4305768400504999</v>
      </c>
      <c r="I20226" s="20">
        <v>-0.162884347854546</v>
      </c>
      <c r="J20226" s="28">
        <v>0.87060949484221395</v>
      </c>
      <c r="K20226" s="29">
        <v>0.99467479172390205</v>
      </c>
    </row>
    <row r="20227" spans="1:11" x14ac:dyDescent="0.35">
      <c r="A20227" s="9" t="str">
        <f>HYPERLINK("http://www.ensembl.org/id/WBGene00018779", "WBGene00018779")</f>
        <v>WBGene00018779</v>
      </c>
      <c r="B20227" s="9" t="str">
        <f>HYPERLINK("http://www.ncbi.nlm.nih.gov/gene/186195", "186195")</f>
        <v>186195</v>
      </c>
      <c r="C20227" s="9"/>
      <c r="D20227" t="str">
        <f>"F53H8.3"</f>
        <v>F53H8.3</v>
      </c>
      <c r="F20227" t="s">
        <v>11</v>
      </c>
      <c r="G20227" t="s">
        <v>230</v>
      </c>
      <c r="H20227" s="12">
        <v>-1.05792838507458</v>
      </c>
      <c r="I20227" s="20">
        <v>-0.16261606406472201</v>
      </c>
      <c r="J20227" s="28">
        <v>0.87082073806139604</v>
      </c>
      <c r="K20227" s="29">
        <v>0.99471166834598801</v>
      </c>
    </row>
    <row r="20228" spans="1:11" x14ac:dyDescent="0.35">
      <c r="A20228" s="9" t="str">
        <f>HYPERLINK("http://www.ensembl.org/id/WBGene00018952", "WBGene00018952")</f>
        <v>WBGene00018952</v>
      </c>
      <c r="B20228" s="9" t="str">
        <f>HYPERLINK("http://www.ncbi.nlm.nih.gov/gene/186373", "186373")</f>
        <v>186373</v>
      </c>
      <c r="C20228" s="9"/>
      <c r="D20228" t="str">
        <f>"F56C9.8"</f>
        <v>F56C9.8</v>
      </c>
      <c r="F20228" t="s">
        <v>11</v>
      </c>
      <c r="G20228" t="s">
        <v>25</v>
      </c>
      <c r="H20228" s="12">
        <v>-1.0319492186997901</v>
      </c>
      <c r="I20228" s="20">
        <v>-0.16276727324682999</v>
      </c>
      <c r="J20228" s="28">
        <v>0.87070167675419197</v>
      </c>
      <c r="K20228" s="29">
        <v>0.99471166834598801</v>
      </c>
    </row>
    <row r="20229" spans="1:11" x14ac:dyDescent="0.35">
      <c r="A20229" s="9" t="str">
        <f>HYPERLINK("http://www.ensembl.org/id/WBGene00013410", "WBGene00013410")</f>
        <v>WBGene00013410</v>
      </c>
      <c r="B20229" s="9"/>
      <c r="C20229" s="9"/>
      <c r="D20229" t="str">
        <f>"fbxb-94"</f>
        <v>fbxb-94</v>
      </c>
      <c r="F20229" t="s">
        <v>80</v>
      </c>
      <c r="H20229" s="12">
        <v>1.1091628744559501</v>
      </c>
      <c r="I20229" s="20">
        <v>0.162540810270625</v>
      </c>
      <c r="J20229" s="28">
        <v>0.87087999359058199</v>
      </c>
      <c r="K20229" s="29">
        <v>0.99471166834598801</v>
      </c>
    </row>
    <row r="20230" spans="1:11" x14ac:dyDescent="0.35">
      <c r="A20230" s="9" t="str">
        <f>HYPERLINK("http://www.ensembl.org/id/WBGene00019821", "WBGene00019821")</f>
        <v>WBGene00019821</v>
      </c>
      <c r="B20230" s="9" t="str">
        <f>HYPERLINK("http://www.ncbi.nlm.nih.gov/gene/176838", "176838")</f>
        <v>176838</v>
      </c>
      <c r="C20230" s="9" t="str">
        <f>HYPERLINK("http://www.ncbi.nlm.nih.gov/gene/2965", "2965")</f>
        <v>2965</v>
      </c>
      <c r="D20230" t="str">
        <f>"gtf-2H1"</f>
        <v>gtf-2H1</v>
      </c>
      <c r="E20230" t="s">
        <v>1007</v>
      </c>
      <c r="F20230" t="s">
        <v>11</v>
      </c>
      <c r="G20230" t="s">
        <v>10674</v>
      </c>
      <c r="H20230" s="12">
        <v>1.0346923716704</v>
      </c>
      <c r="I20230" s="20">
        <v>0.16248036111431299</v>
      </c>
      <c r="J20230" s="28">
        <v>0.87092759233685801</v>
      </c>
      <c r="K20230" s="29">
        <v>0.99471166834598801</v>
      </c>
    </row>
    <row r="20231" spans="1:11" x14ac:dyDescent="0.35">
      <c r="A20231" s="9" t="str">
        <f>HYPERLINK("http://www.ensembl.org/id/WBGene00019769", "WBGene00019769")</f>
        <v>WBGene00019769</v>
      </c>
      <c r="B20231" s="9" t="str">
        <f>HYPERLINK("http://www.ncbi.nlm.nih.gov/gene/172091", "172091")</f>
        <v>172091</v>
      </c>
      <c r="C20231" s="9"/>
      <c r="D20231" t="str">
        <f>"M04F3.3"</f>
        <v>M04F3.3</v>
      </c>
      <c r="F20231" t="s">
        <v>11</v>
      </c>
      <c r="G20231" t="s">
        <v>961</v>
      </c>
      <c r="H20231" s="12">
        <v>1.0547174115226401</v>
      </c>
      <c r="I20231" s="20">
        <v>0.16246063978267899</v>
      </c>
      <c r="J20231" s="28">
        <v>0.87094312136707697</v>
      </c>
      <c r="K20231" s="29">
        <v>0.99471166834598801</v>
      </c>
    </row>
    <row r="20232" spans="1:11" x14ac:dyDescent="0.35">
      <c r="A20232" s="9" t="str">
        <f>HYPERLINK("http://www.ensembl.org/id/WBGene00004966", "WBGene00004966")</f>
        <v>WBGene00004966</v>
      </c>
      <c r="B20232" s="9" t="str">
        <f>HYPERLINK("http://www.ncbi.nlm.nih.gov/gene/172606", "172606")</f>
        <v>172606</v>
      </c>
      <c r="C20232" s="9"/>
      <c r="D20232" t="str">
        <f>"spe-12"</f>
        <v>spe-12</v>
      </c>
      <c r="E20232" t="s">
        <v>10675</v>
      </c>
      <c r="F20232" t="s">
        <v>11</v>
      </c>
      <c r="G20232" t="s">
        <v>10676</v>
      </c>
      <c r="H20232" s="12">
        <v>-1.3891181727841799</v>
      </c>
      <c r="I20232" s="20">
        <v>-0.162596139614957</v>
      </c>
      <c r="J20232" s="28">
        <v>0.87083642668571604</v>
      </c>
      <c r="K20232" s="29">
        <v>0.99471166834598801</v>
      </c>
    </row>
    <row r="20233" spans="1:11" x14ac:dyDescent="0.35">
      <c r="A20233" s="9" t="str">
        <f>HYPERLINK("http://www.ensembl.org/id/WBGene00012758", "WBGene00012758")</f>
        <v>WBGene00012758</v>
      </c>
      <c r="B20233" s="9" t="str">
        <f>HYPERLINK("http://www.ncbi.nlm.nih.gov/gene/176606", "176606")</f>
        <v>176606</v>
      </c>
      <c r="C20233" s="9"/>
      <c r="D20233" t="str">
        <f>"Y41C4A.12"</f>
        <v>Y41C4A.12</v>
      </c>
      <c r="F20233" t="s">
        <v>11</v>
      </c>
      <c r="H20233" s="12">
        <v>-1.0468123462226699</v>
      </c>
      <c r="I20233" s="20">
        <v>-0.16252804646399799</v>
      </c>
      <c r="J20233" s="28">
        <v>0.870890044001144</v>
      </c>
      <c r="K20233" s="29">
        <v>0.99471166834598801</v>
      </c>
    </row>
    <row r="20234" spans="1:11" x14ac:dyDescent="0.35">
      <c r="A20234" s="9" t="str">
        <f>HYPERLINK("http://www.ensembl.org/id/WBGene00019430", "WBGene00019430")</f>
        <v>WBGene00019430</v>
      </c>
      <c r="B20234" s="9" t="str">
        <f>HYPERLINK("http://www.ncbi.nlm.nih.gov/gene/259316", "259316")</f>
        <v>259316</v>
      </c>
      <c r="C20234" s="9"/>
      <c r="D20234" t="str">
        <f>"K06A5.2"</f>
        <v>K06A5.2</v>
      </c>
      <c r="F20234" t="s">
        <v>11</v>
      </c>
      <c r="G20234" t="s">
        <v>25</v>
      </c>
      <c r="H20234" s="12">
        <v>1.09362561322633</v>
      </c>
      <c r="I20234" s="20">
        <v>0.16238402015503201</v>
      </c>
      <c r="J20234" s="28">
        <v>0.87100345389662004</v>
      </c>
      <c r="K20234" s="29">
        <v>0.99473140597742704</v>
      </c>
    </row>
    <row r="20235" spans="1:11" x14ac:dyDescent="0.35">
      <c r="A20235" s="9" t="str">
        <f>HYPERLINK("http://www.ensembl.org/id/WBGene00015155", "WBGene00015155")</f>
        <v>WBGene00015155</v>
      </c>
      <c r="B20235" s="9" t="str">
        <f>HYPERLINK("http://www.ncbi.nlm.nih.gov/gene/175209", "175209")</f>
        <v>175209</v>
      </c>
      <c r="C20235" s="9"/>
      <c r="D20235" t="str">
        <f>"B0353.1"</f>
        <v>B0353.1</v>
      </c>
      <c r="F20235" t="s">
        <v>11</v>
      </c>
      <c r="H20235" s="12">
        <v>-1.0298579628764</v>
      </c>
      <c r="I20235" s="20">
        <v>-0.160533842066232</v>
      </c>
      <c r="J20235" s="28">
        <v>0.87246056519627002</v>
      </c>
      <c r="K20235" s="29">
        <v>0.99482204004268704</v>
      </c>
    </row>
    <row r="20236" spans="1:11" x14ac:dyDescent="0.35">
      <c r="A20236" s="9" t="str">
        <f>HYPERLINK("http://www.ensembl.org/id/WBGene00015663", "WBGene00015663")</f>
        <v>WBGene00015663</v>
      </c>
      <c r="B20236" s="9" t="str">
        <f>HYPERLINK("http://www.ncbi.nlm.nih.gov/gene/182483", "182483")</f>
        <v>182483</v>
      </c>
      <c r="C20236" s="9"/>
      <c r="D20236" t="str">
        <f>"C10A4.2"</f>
        <v>C10A4.2</v>
      </c>
      <c r="F20236" t="s">
        <v>11</v>
      </c>
      <c r="G20236" t="s">
        <v>25</v>
      </c>
      <c r="H20236" s="12">
        <v>-1.2025149521495899</v>
      </c>
      <c r="I20236" s="20">
        <v>-0.160649033735077</v>
      </c>
      <c r="J20236" s="28">
        <v>0.87236983309083205</v>
      </c>
      <c r="K20236" s="29">
        <v>0.99482204004268704</v>
      </c>
    </row>
    <row r="20237" spans="1:11" x14ac:dyDescent="0.35">
      <c r="A20237" s="9" t="str">
        <f>HYPERLINK("http://www.ensembl.org/id/WBGene00194803", "WBGene00194803")</f>
        <v>WBGene00194803</v>
      </c>
      <c r="B20237" s="9" t="str">
        <f>HYPERLINK("http://www.ncbi.nlm.nih.gov/gene/13218529", "13218529")</f>
        <v>13218529</v>
      </c>
      <c r="C20237" s="9"/>
      <c r="D20237" t="str">
        <f>"C25F9.16"</f>
        <v>C25F9.16</v>
      </c>
      <c r="F20237" t="s">
        <v>11</v>
      </c>
      <c r="H20237" s="12">
        <v>-1.2002835920591099</v>
      </c>
      <c r="I20237" s="20">
        <v>-0.16203209449234501</v>
      </c>
      <c r="J20237" s="28">
        <v>0.87128058006476194</v>
      </c>
      <c r="K20237" s="29">
        <v>0.99482204004268704</v>
      </c>
    </row>
    <row r="20238" spans="1:11" x14ac:dyDescent="0.35">
      <c r="A20238" s="9" t="str">
        <f>HYPERLINK("http://www.ensembl.org/id/WBGene00008119", "WBGene00008119")</f>
        <v>WBGene00008119</v>
      </c>
      <c r="B20238" s="9" t="str">
        <f>HYPERLINK("http://www.ncbi.nlm.nih.gov/gene/175469", "175469")</f>
        <v>175469</v>
      </c>
      <c r="C20238" s="9" t="str">
        <f>HYPERLINK("http://www.ncbi.nlm.nih.gov/gene/11325", "11325")</f>
        <v>11325</v>
      </c>
      <c r="D20238" t="str">
        <f>"C46F11.4"</f>
        <v>C46F11.4</v>
      </c>
      <c r="F20238" t="s">
        <v>11</v>
      </c>
      <c r="G20238" t="s">
        <v>10685</v>
      </c>
      <c r="H20238" s="12">
        <v>-1.03180752876576</v>
      </c>
      <c r="I20238" s="20">
        <v>-0.16100266051345299</v>
      </c>
      <c r="J20238" s="28">
        <v>0.87209130519349398</v>
      </c>
      <c r="K20238" s="29">
        <v>0.99482204004268704</v>
      </c>
    </row>
    <row r="20239" spans="1:11" x14ac:dyDescent="0.35">
      <c r="A20239" s="9" t="str">
        <f>HYPERLINK("http://www.ensembl.org/id/WBGene00000669", "WBGene00000669")</f>
        <v>WBGene00000669</v>
      </c>
      <c r="B20239" s="9" t="str">
        <f>HYPERLINK("http://www.ncbi.nlm.nih.gov/gene/259336", "259336")</f>
        <v>259336</v>
      </c>
      <c r="C20239" s="9"/>
      <c r="D20239" t="str">
        <f>"col-94"</f>
        <v>col-94</v>
      </c>
      <c r="E20239" t="s">
        <v>40</v>
      </c>
      <c r="F20239" t="s">
        <v>11</v>
      </c>
      <c r="G20239" t="s">
        <v>41</v>
      </c>
      <c r="H20239" s="12">
        <v>1.39050421796694</v>
      </c>
      <c r="I20239" s="20">
        <v>0.16063563110470599</v>
      </c>
      <c r="J20239" s="28">
        <v>0.87238038974778598</v>
      </c>
      <c r="K20239" s="29">
        <v>0.99482204004268704</v>
      </c>
    </row>
    <row r="20240" spans="1:11" x14ac:dyDescent="0.35">
      <c r="A20240" s="9" t="str">
        <f>HYPERLINK("http://www.ensembl.org/id/WBGene00185014", "WBGene00185014")</f>
        <v>WBGene00185014</v>
      </c>
      <c r="B20240" s="9" t="str">
        <f>HYPERLINK("http://www.ncbi.nlm.nih.gov/gene/13189316", "13189316")</f>
        <v>13189316</v>
      </c>
      <c r="C20240" s="9" t="str">
        <f>HYPERLINK("http://www.ncbi.nlm.nih.gov/gene/554235", "554235")</f>
        <v>554235</v>
      </c>
      <c r="D20240" t="str">
        <f>"F17C8.9"</f>
        <v>F17C8.9</v>
      </c>
      <c r="F20240" t="s">
        <v>11</v>
      </c>
      <c r="G20240" t="s">
        <v>10680</v>
      </c>
      <c r="H20240" s="12">
        <v>1.049030741258</v>
      </c>
      <c r="I20240" s="20">
        <v>0.16099740088596901</v>
      </c>
      <c r="J20240" s="28">
        <v>0.87209544773026204</v>
      </c>
      <c r="K20240" s="29">
        <v>0.99482204004268704</v>
      </c>
    </row>
    <row r="20241" spans="1:11" x14ac:dyDescent="0.35">
      <c r="A20241" s="9" t="str">
        <f>HYPERLINK("http://www.ensembl.org/id/WBGene00219915", "WBGene00219915")</f>
        <v>WBGene00219915</v>
      </c>
      <c r="B20241" s="9"/>
      <c r="C20241" s="9"/>
      <c r="D20241" t="str">
        <f>"F26A10.28"</f>
        <v>F26A10.28</v>
      </c>
      <c r="F20241" t="s">
        <v>2977</v>
      </c>
      <c r="H20241" s="12">
        <v>1.0966689832468099</v>
      </c>
      <c r="I20241" s="20">
        <v>0.16138295637942399</v>
      </c>
      <c r="J20241" s="28">
        <v>0.87179178955690495</v>
      </c>
      <c r="K20241" s="29">
        <v>0.99482204004268704</v>
      </c>
    </row>
    <row r="20242" spans="1:11" x14ac:dyDescent="0.35">
      <c r="A20242" s="9" t="str">
        <f>HYPERLINK("http://www.ensembl.org/id/WBGene00009210", "WBGene00009210")</f>
        <v>WBGene00009210</v>
      </c>
      <c r="B20242" s="9"/>
      <c r="C20242" s="9"/>
      <c r="D20242" t="str">
        <f>"F28C12.6"</f>
        <v>F28C12.6</v>
      </c>
      <c r="F20242" t="s">
        <v>80</v>
      </c>
      <c r="H20242" s="12">
        <v>1.4447210848274901</v>
      </c>
      <c r="I20242" s="20">
        <v>0.161528318566597</v>
      </c>
      <c r="J20242" s="28">
        <v>0.87167730921113096</v>
      </c>
      <c r="K20242" s="29">
        <v>0.99482204004268704</v>
      </c>
    </row>
    <row r="20243" spans="1:11" x14ac:dyDescent="0.35">
      <c r="A20243" s="9" t="str">
        <f>HYPERLINK("http://www.ensembl.org/id/WBGene00195046", "WBGene00195046")</f>
        <v>WBGene00195046</v>
      </c>
      <c r="B20243" s="9" t="str">
        <f>HYPERLINK("http://www.ncbi.nlm.nih.gov/gene/13197099", "13197099")</f>
        <v>13197099</v>
      </c>
      <c r="C20243" s="9"/>
      <c r="D20243" t="str">
        <f>"F42A9.11"</f>
        <v>F42A9.11</v>
      </c>
      <c r="F20243" t="s">
        <v>11</v>
      </c>
      <c r="H20243" s="12">
        <v>1.3554663276913299</v>
      </c>
      <c r="I20243" s="20">
        <v>0.16170554892110101</v>
      </c>
      <c r="J20243" s="28">
        <v>0.87153773464903805</v>
      </c>
      <c r="K20243" s="29">
        <v>0.99482204004268704</v>
      </c>
    </row>
    <row r="20244" spans="1:11" x14ac:dyDescent="0.35">
      <c r="A20244" s="9" t="str">
        <f>HYPERLINK("http://www.ensembl.org/id/WBGene00019171", "WBGene00019171")</f>
        <v>WBGene00019171</v>
      </c>
      <c r="B20244" s="9" t="str">
        <f>HYPERLINK("http://www.ncbi.nlm.nih.gov/gene/3565386", "3565386")</f>
        <v>3565386</v>
      </c>
      <c r="C20244" s="9"/>
      <c r="D20244" t="str">
        <f>"fipr-29"</f>
        <v>fipr-29</v>
      </c>
      <c r="E20244" t="s">
        <v>28</v>
      </c>
      <c r="F20244" t="s">
        <v>11</v>
      </c>
      <c r="G20244" t="s">
        <v>315</v>
      </c>
      <c r="H20244" s="12">
        <v>-1.0598738590265899</v>
      </c>
      <c r="I20244" s="20">
        <v>-0.16211334568786001</v>
      </c>
      <c r="J20244" s="28">
        <v>0.87121659687435904</v>
      </c>
      <c r="K20244" s="29">
        <v>0.99482204004268704</v>
      </c>
    </row>
    <row r="20245" spans="1:11" x14ac:dyDescent="0.35">
      <c r="A20245" s="9" t="str">
        <f>HYPERLINK("http://www.ensembl.org/id/WBGene00001758", "WBGene00001758")</f>
        <v>WBGene00001758</v>
      </c>
      <c r="B20245" s="9" t="str">
        <f>HYPERLINK("http://www.ncbi.nlm.nih.gov/gene/178725", "178725")</f>
        <v>178725</v>
      </c>
      <c r="C20245" s="9"/>
      <c r="D20245" t="str">
        <f>"gst-10"</f>
        <v>gst-10</v>
      </c>
      <c r="E20245" t="s">
        <v>10683</v>
      </c>
      <c r="F20245" t="s">
        <v>11</v>
      </c>
      <c r="G20245" t="s">
        <v>2266</v>
      </c>
      <c r="H20245" s="12">
        <v>1.0389422403500299</v>
      </c>
      <c r="I20245" s="20">
        <v>0.161616666638281</v>
      </c>
      <c r="J20245" s="28">
        <v>0.87160773178451401</v>
      </c>
      <c r="K20245" s="29">
        <v>0.99482204004268704</v>
      </c>
    </row>
    <row r="20246" spans="1:11" x14ac:dyDescent="0.35">
      <c r="A20246" s="9" t="str">
        <f>HYPERLINK("http://www.ensembl.org/id/WBGene00019590", "WBGene00019590")</f>
        <v>WBGene00019590</v>
      </c>
      <c r="B20246" s="9" t="str">
        <f>HYPERLINK("http://www.ncbi.nlm.nih.gov/gene/187234", "187234")</f>
        <v>187234</v>
      </c>
      <c r="C20246" s="9"/>
      <c r="D20246" t="str">
        <f>"K09F6.7"</f>
        <v>K09F6.7</v>
      </c>
      <c r="F20246" t="s">
        <v>11</v>
      </c>
      <c r="G20246" t="s">
        <v>51</v>
      </c>
      <c r="H20246" s="12">
        <v>-1.0690244701999201</v>
      </c>
      <c r="I20246" s="20">
        <v>-0.16105316649708601</v>
      </c>
      <c r="J20246" s="28">
        <v>0.87205152633928495</v>
      </c>
      <c r="K20246" s="29">
        <v>0.99482204004268704</v>
      </c>
    </row>
    <row r="20247" spans="1:11" x14ac:dyDescent="0.35">
      <c r="A20247" s="9" t="str">
        <f>HYPERLINK("http://www.ensembl.org/id/WBGene00044368", "WBGene00044368")</f>
        <v>WBGene00044368</v>
      </c>
      <c r="B20247" s="9" t="str">
        <f>HYPERLINK("http://www.ncbi.nlm.nih.gov/gene/187347", "187347")</f>
        <v>187347</v>
      </c>
      <c r="C20247" s="9"/>
      <c r="D20247" t="str">
        <f>"K12H6.10"</f>
        <v>K12H6.10</v>
      </c>
      <c r="F20247" t="s">
        <v>11</v>
      </c>
      <c r="H20247" s="12">
        <v>-1.2734910652187199</v>
      </c>
      <c r="I20247" s="20">
        <v>-0.16056787087909999</v>
      </c>
      <c r="J20247" s="28">
        <v>0.87243376181727195</v>
      </c>
      <c r="K20247" s="29">
        <v>0.99482204004268704</v>
      </c>
    </row>
    <row r="20248" spans="1:11" x14ac:dyDescent="0.35">
      <c r="A20248" s="9" t="str">
        <f>HYPERLINK("http://www.ensembl.org/id/WBGene00219606", "WBGene00219606")</f>
        <v>WBGene00219606</v>
      </c>
      <c r="B20248" s="9"/>
      <c r="C20248" s="9"/>
      <c r="D20248" t="str">
        <f>"linc-133"</f>
        <v>linc-133</v>
      </c>
      <c r="F20248" t="s">
        <v>1510</v>
      </c>
      <c r="H20248" s="12">
        <v>1.25620266999195</v>
      </c>
      <c r="I20248" s="20">
        <v>0.16197070950873599</v>
      </c>
      <c r="J20248" s="28">
        <v>0.87132891969174397</v>
      </c>
      <c r="K20248" s="29">
        <v>0.99482204004268704</v>
      </c>
    </row>
    <row r="20249" spans="1:11" x14ac:dyDescent="0.35">
      <c r="A20249" s="9" t="str">
        <f>HYPERLINK("http://www.ensembl.org/id/WBGene00003449", "WBGene00003449")</f>
        <v>WBGene00003449</v>
      </c>
      <c r="B20249" s="9" t="str">
        <f>HYPERLINK("http://www.ncbi.nlm.nih.gov/gene/177830", "177830")</f>
        <v>177830</v>
      </c>
      <c r="C20249" s="9"/>
      <c r="D20249" t="str">
        <f>"msp-56"</f>
        <v>msp-56</v>
      </c>
      <c r="E20249" t="s">
        <v>9901</v>
      </c>
      <c r="F20249" t="s">
        <v>11</v>
      </c>
      <c r="H20249" s="12">
        <v>-1.1200937444743</v>
      </c>
      <c r="I20249" s="20">
        <v>-0.16188169796261201</v>
      </c>
      <c r="J20249" s="28">
        <v>0.87139901561893396</v>
      </c>
      <c r="K20249" s="29">
        <v>0.99482204004268704</v>
      </c>
    </row>
    <row r="20250" spans="1:11" x14ac:dyDescent="0.35">
      <c r="A20250" s="9" t="str">
        <f>HYPERLINK("http://www.ensembl.org/id/WBGene00004151", "WBGene00004151")</f>
        <v>WBGene00004151</v>
      </c>
      <c r="B20250" s="9" t="str">
        <f>HYPERLINK("http://www.ncbi.nlm.nih.gov/gene/188555", "188555")</f>
        <v>188555</v>
      </c>
      <c r="C20250" s="9" t="str">
        <f>HYPERLINK("http://www.ncbi.nlm.nih.gov/gene/92675", "92675")</f>
        <v>92675</v>
      </c>
      <c r="D20250" t="str">
        <f>"pqn-68"</f>
        <v>pqn-68</v>
      </c>
      <c r="E20250" t="s">
        <v>10678</v>
      </c>
      <c r="F20250" t="s">
        <v>11</v>
      </c>
      <c r="G20250" t="s">
        <v>10679</v>
      </c>
      <c r="H20250" s="12">
        <v>1.0512953324608101</v>
      </c>
      <c r="I20250" s="20">
        <v>0.16084783597757299</v>
      </c>
      <c r="J20250" s="28">
        <v>0.872213248060002</v>
      </c>
      <c r="K20250" s="29">
        <v>0.99482204004268704</v>
      </c>
    </row>
    <row r="20251" spans="1:11" x14ac:dyDescent="0.35">
      <c r="A20251" s="9" t="str">
        <f>HYPERLINK("http://www.ensembl.org/id/WBGene00009560", "WBGene00009560")</f>
        <v>WBGene00009560</v>
      </c>
      <c r="B20251" s="9" t="str">
        <f>HYPERLINK("http://www.ncbi.nlm.nih.gov/gene/181631", "181631")</f>
        <v>181631</v>
      </c>
      <c r="C20251" s="9"/>
      <c r="D20251" t="str">
        <f>"psa-3"</f>
        <v>psa-3</v>
      </c>
      <c r="E20251" t="s">
        <v>10689</v>
      </c>
      <c r="F20251" t="s">
        <v>11</v>
      </c>
      <c r="G20251" t="s">
        <v>10690</v>
      </c>
      <c r="H20251" s="12">
        <v>-1.05517990054504</v>
      </c>
      <c r="I20251" s="20">
        <v>-0.161115197960222</v>
      </c>
      <c r="J20251" s="28">
        <v>0.87200267038224599</v>
      </c>
      <c r="K20251" s="29">
        <v>0.99482204004268704</v>
      </c>
    </row>
    <row r="20252" spans="1:11" x14ac:dyDescent="0.35">
      <c r="A20252" s="9" t="str">
        <f>HYPERLINK("http://www.ensembl.org/id/WBGene00004390", "WBGene00004390")</f>
        <v>WBGene00004390</v>
      </c>
      <c r="B20252" s="9" t="str">
        <f>HYPERLINK("http://www.ncbi.nlm.nih.gov/gene/176002", "176002")</f>
        <v>176002</v>
      </c>
      <c r="C20252" s="9"/>
      <c r="D20252" t="str">
        <f>"rnp-7"</f>
        <v>rnp-7</v>
      </c>
      <c r="E20252" t="s">
        <v>174</v>
      </c>
      <c r="F20252" t="s">
        <v>11</v>
      </c>
      <c r="G20252" t="s">
        <v>10684</v>
      </c>
      <c r="H20252" s="12">
        <v>1.03266810659319</v>
      </c>
      <c r="I20252" s="20">
        <v>0.16189740330232499</v>
      </c>
      <c r="J20252" s="28">
        <v>0.87138664770791097</v>
      </c>
      <c r="K20252" s="29">
        <v>0.99482204004268704</v>
      </c>
    </row>
    <row r="20253" spans="1:11" x14ac:dyDescent="0.35">
      <c r="A20253" s="9" t="str">
        <f>HYPERLINK("http://www.ensembl.org/id/WBGene00005070", "WBGene00005070")</f>
        <v>WBGene00005070</v>
      </c>
      <c r="B20253" s="9" t="str">
        <f>HYPERLINK("http://www.ncbi.nlm.nih.gov/gene/191787", "191787")</f>
        <v>191787</v>
      </c>
      <c r="C20253" s="9"/>
      <c r="D20253" t="str">
        <f>"srb-5"</f>
        <v>srb-5</v>
      </c>
      <c r="E20253" t="s">
        <v>10677</v>
      </c>
      <c r="F20253" t="s">
        <v>11</v>
      </c>
      <c r="G20253" t="s">
        <v>4281</v>
      </c>
      <c r="H20253" s="12">
        <v>1.25620266999195</v>
      </c>
      <c r="I20253" s="20">
        <v>0.16197070950873599</v>
      </c>
      <c r="J20253" s="28">
        <v>0.87132891969174397</v>
      </c>
      <c r="K20253" s="29">
        <v>0.99482204004268704</v>
      </c>
    </row>
    <row r="20254" spans="1:11" x14ac:dyDescent="0.35">
      <c r="A20254" s="9" t="str">
        <f>HYPERLINK("http://www.ensembl.org/id/WBGene00006192", "WBGene00006192")</f>
        <v>WBGene00006192</v>
      </c>
      <c r="B20254" s="9" t="str">
        <f>HYPERLINK("http://www.ncbi.nlm.nih.gov/gene/192015", "192015")</f>
        <v>192015</v>
      </c>
      <c r="C20254" s="9"/>
      <c r="D20254" t="str">
        <f>"str-145"</f>
        <v>str-145</v>
      </c>
      <c r="E20254" t="s">
        <v>590</v>
      </c>
      <c r="F20254" t="s">
        <v>11</v>
      </c>
      <c r="G20254" t="s">
        <v>591</v>
      </c>
      <c r="H20254" s="12">
        <v>1.4447210848274901</v>
      </c>
      <c r="I20254" s="20">
        <v>0.161528318566597</v>
      </c>
      <c r="J20254" s="28">
        <v>0.87167730921113096</v>
      </c>
      <c r="K20254" s="29">
        <v>0.99482204004268704</v>
      </c>
    </row>
    <row r="20255" spans="1:11" x14ac:dyDescent="0.35">
      <c r="A20255" s="9" t="str">
        <f>HYPERLINK("http://www.ensembl.org/id/WBGene00044367", "WBGene00044367")</f>
        <v>WBGene00044367</v>
      </c>
      <c r="B20255" s="9" t="str">
        <f>HYPERLINK("http://www.ncbi.nlm.nih.gov/gene/3565763", "3565763")</f>
        <v>3565763</v>
      </c>
      <c r="C20255" s="9"/>
      <c r="D20255" t="str">
        <f>"T05A8.8"</f>
        <v>T05A8.8</v>
      </c>
      <c r="F20255" t="s">
        <v>11</v>
      </c>
      <c r="H20255" s="12">
        <v>1.1771238115364799</v>
      </c>
      <c r="I20255" s="20">
        <v>0.16117855191706801</v>
      </c>
      <c r="J20255" s="28">
        <v>0.87195277333365895</v>
      </c>
      <c r="K20255" s="29">
        <v>0.99482204004268704</v>
      </c>
    </row>
    <row r="20256" spans="1:11" x14ac:dyDescent="0.35">
      <c r="A20256" s="9" t="str">
        <f>HYPERLINK("http://www.ensembl.org/id/WBGene00006508", "WBGene00006508")</f>
        <v>WBGene00006508</v>
      </c>
      <c r="B20256" s="9" t="str">
        <f>HYPERLINK("http://www.ncbi.nlm.nih.gov/gene/172215", "172215")</f>
        <v>172215</v>
      </c>
      <c r="C20256" s="9"/>
      <c r="D20256" t="str">
        <f>"tns-1"</f>
        <v>tns-1</v>
      </c>
      <c r="E20256" t="s">
        <v>10686</v>
      </c>
      <c r="F20256" t="s">
        <v>11</v>
      </c>
      <c r="G20256" t="s">
        <v>10687</v>
      </c>
      <c r="H20256" s="12">
        <v>-1.03182460746319</v>
      </c>
      <c r="I20256" s="20">
        <v>-0.16145271010114201</v>
      </c>
      <c r="J20256" s="28">
        <v>0.87173685450758298</v>
      </c>
      <c r="K20256" s="29">
        <v>0.99482204004268704</v>
      </c>
    </row>
    <row r="20257" spans="1:11" x14ac:dyDescent="0.35">
      <c r="A20257" s="9" t="str">
        <f>HYPERLINK("http://www.ensembl.org/id/WBGene00013506", "WBGene00013506")</f>
        <v>WBGene00013506</v>
      </c>
      <c r="B20257" s="9" t="str">
        <f>HYPERLINK("http://www.ncbi.nlm.nih.gov/gene/190579", "190579")</f>
        <v>190579</v>
      </c>
      <c r="C20257" s="9" t="str">
        <f>HYPERLINK("http://www.ncbi.nlm.nih.gov/gene/9960", "9960")</f>
        <v>9960</v>
      </c>
      <c r="D20257" t="str">
        <f>"usp-3"</f>
        <v>usp-3</v>
      </c>
      <c r="E20257" t="s">
        <v>10681</v>
      </c>
      <c r="F20257" t="s">
        <v>11</v>
      </c>
      <c r="G20257" t="s">
        <v>10682</v>
      </c>
      <c r="H20257" s="12">
        <v>1.0437309715160099</v>
      </c>
      <c r="I20257" s="20">
        <v>0.16072581057529001</v>
      </c>
      <c r="J20257" s="28">
        <v>0.87230935982028601</v>
      </c>
      <c r="K20257" s="29">
        <v>0.99482204004268704</v>
      </c>
    </row>
    <row r="20258" spans="1:11" x14ac:dyDescent="0.35">
      <c r="A20258" s="9" t="str">
        <f>HYPERLINK("http://www.ensembl.org/id/WBGene00020992", "WBGene00020992")</f>
        <v>WBGene00020992</v>
      </c>
      <c r="B20258" s="9"/>
      <c r="C20258" s="9"/>
      <c r="D20258" t="str">
        <f>"W03F8.2"</f>
        <v>W03F8.2</v>
      </c>
      <c r="F20258" t="s">
        <v>80</v>
      </c>
      <c r="H20258" s="12">
        <v>1.39050421796694</v>
      </c>
      <c r="I20258" s="20">
        <v>0.16063563110470599</v>
      </c>
      <c r="J20258" s="28">
        <v>0.87238038974778598</v>
      </c>
      <c r="K20258" s="29">
        <v>0.99482204004268704</v>
      </c>
    </row>
    <row r="20259" spans="1:11" x14ac:dyDescent="0.35">
      <c r="A20259" s="9" t="str">
        <f>HYPERLINK("http://www.ensembl.org/id/WBGene00010572", "WBGene00010572")</f>
        <v>WBGene00010572</v>
      </c>
      <c r="B20259" s="9" t="str">
        <f>HYPERLINK("http://www.ncbi.nlm.nih.gov/gene/181540", "181540")</f>
        <v>181540</v>
      </c>
      <c r="C20259" s="9"/>
      <c r="D20259" t="str">
        <f>"wdr-5.2"</f>
        <v>wdr-5.2</v>
      </c>
      <c r="E20259" t="s">
        <v>10688</v>
      </c>
      <c r="F20259" t="s">
        <v>11</v>
      </c>
      <c r="G20259" t="s">
        <v>54</v>
      </c>
      <c r="H20259" s="12">
        <v>-1.03893771747843</v>
      </c>
      <c r="I20259" s="20">
        <v>-0.161282260234693</v>
      </c>
      <c r="J20259" s="28">
        <v>0.87187109462650503</v>
      </c>
      <c r="K20259" s="29">
        <v>0.99482204004268704</v>
      </c>
    </row>
    <row r="20260" spans="1:11" x14ac:dyDescent="0.35">
      <c r="A20260" s="9" t="str">
        <f>HYPERLINK("http://www.ensembl.org/id/WBGene00077556", "WBGene00077556")</f>
        <v>WBGene00077556</v>
      </c>
      <c r="B20260" s="9"/>
      <c r="C20260" s="9"/>
      <c r="D20260" t="str">
        <f>"Y18D10A.27"</f>
        <v>Y18D10A.27</v>
      </c>
      <c r="F20260" t="s">
        <v>80</v>
      </c>
      <c r="H20260" s="12">
        <v>-1.27151574292245</v>
      </c>
      <c r="I20260" s="20">
        <v>-0.161209768624199</v>
      </c>
      <c r="J20260" s="28">
        <v>0.87192818750256695</v>
      </c>
      <c r="K20260" s="29">
        <v>0.99482204004268704</v>
      </c>
    </row>
    <row r="20261" spans="1:11" x14ac:dyDescent="0.35">
      <c r="A20261" s="9" t="str">
        <f>HYPERLINK("http://www.ensembl.org/id/WBGene00012642", "WBGene00012642")</f>
        <v>WBGene00012642</v>
      </c>
      <c r="B20261" s="9" t="str">
        <f>HYPERLINK("http://www.ncbi.nlm.nih.gov/gene/189706", "189706")</f>
        <v>189706</v>
      </c>
      <c r="C20261" s="9"/>
      <c r="D20261" t="str">
        <f>"Y39A1A.2"</f>
        <v>Y39A1A.2</v>
      </c>
      <c r="F20261" t="s">
        <v>11</v>
      </c>
      <c r="H20261" s="12">
        <v>-1.24782029731841</v>
      </c>
      <c r="I20261" s="20">
        <v>-0.16159484364103199</v>
      </c>
      <c r="J20261" s="28">
        <v>0.87162491812259801</v>
      </c>
      <c r="K20261" s="29">
        <v>0.99482204004268704</v>
      </c>
    </row>
    <row r="20262" spans="1:11" x14ac:dyDescent="0.35">
      <c r="A20262" s="9" t="str">
        <f>HYPERLINK("http://www.ensembl.org/id/WBGene00194981", "WBGene00194981")</f>
        <v>WBGene00194981</v>
      </c>
      <c r="B20262" s="9" t="str">
        <f>HYPERLINK("http://www.ncbi.nlm.nih.gov/gene/13191578", "13191578")</f>
        <v>13191578</v>
      </c>
      <c r="C20262" s="9"/>
      <c r="D20262" t="str">
        <f>"Y49E10.30"</f>
        <v>Y49E10.30</v>
      </c>
      <c r="F20262" t="s">
        <v>11</v>
      </c>
      <c r="H20262" s="12">
        <v>1.19546633852797</v>
      </c>
      <c r="I20262" s="20">
        <v>0.160792033064249</v>
      </c>
      <c r="J20262" s="28">
        <v>0.87225720028285403</v>
      </c>
      <c r="K20262" s="29">
        <v>0.99482204004268704</v>
      </c>
    </row>
    <row r="20263" spans="1:11" x14ac:dyDescent="0.35">
      <c r="A20263" s="9" t="str">
        <f>HYPERLINK("http://www.ensembl.org/id/WBGene00219491", "WBGene00219491")</f>
        <v>WBGene00219491</v>
      </c>
      <c r="B20263" s="9" t="str">
        <f>HYPERLINK("http://www.ncbi.nlm.nih.gov/gene/24105148", "24105148")</f>
        <v>24105148</v>
      </c>
      <c r="C20263" s="9"/>
      <c r="D20263" t="str">
        <f>"Y53F4B.62"</f>
        <v>Y53F4B.62</v>
      </c>
      <c r="F20263" t="s">
        <v>11</v>
      </c>
      <c r="G20263" t="s">
        <v>54</v>
      </c>
      <c r="H20263" s="12">
        <v>-1.1146651413348101</v>
      </c>
      <c r="I20263" s="20">
        <v>-0.16070195192619799</v>
      </c>
      <c r="J20263" s="28">
        <v>0.87232815200296598</v>
      </c>
      <c r="K20263" s="29">
        <v>0.99482204004268704</v>
      </c>
    </row>
    <row r="20264" spans="1:11" x14ac:dyDescent="0.35">
      <c r="A20264" s="9" t="str">
        <f>HYPERLINK("http://www.ensembl.org/id/WBGene00022335", "WBGene00022335")</f>
        <v>WBGene00022335</v>
      </c>
      <c r="B20264" s="9" t="str">
        <f>HYPERLINK("http://www.ncbi.nlm.nih.gov/gene/190766", "190766")</f>
        <v>190766</v>
      </c>
      <c r="C20264" s="9"/>
      <c r="D20264" t="str">
        <f>"Y82E9BR.2"</f>
        <v>Y82E9BR.2</v>
      </c>
      <c r="F20264" t="s">
        <v>11</v>
      </c>
      <c r="G20264" t="s">
        <v>91</v>
      </c>
      <c r="H20264" s="12">
        <v>-1.0628843192398001</v>
      </c>
      <c r="I20264" s="20">
        <v>-0.16061593985976699</v>
      </c>
      <c r="J20264" s="28">
        <v>0.87239589970848797</v>
      </c>
      <c r="K20264" s="29">
        <v>0.99482204004268704</v>
      </c>
    </row>
    <row r="20265" spans="1:11" x14ac:dyDescent="0.35">
      <c r="A20265" s="9" t="str">
        <f>HYPERLINK("http://www.ensembl.org/id/WBGene00022537", "WBGene00022537")</f>
        <v>WBGene00022537</v>
      </c>
      <c r="B20265" s="9" t="str">
        <f>HYPERLINK("http://www.ncbi.nlm.nih.gov/gene/191094", "191094")</f>
        <v>191094</v>
      </c>
      <c r="C20265" s="9"/>
      <c r="D20265" t="str">
        <f>"ZC190.2"</f>
        <v>ZC190.2</v>
      </c>
      <c r="F20265" t="s">
        <v>11</v>
      </c>
      <c r="G20265" t="s">
        <v>25</v>
      </c>
      <c r="H20265" s="12">
        <v>1.14540913349313</v>
      </c>
      <c r="I20265" s="20">
        <v>0.16090135260940899</v>
      </c>
      <c r="J20265" s="28">
        <v>0.87217109695876505</v>
      </c>
      <c r="K20265" s="29">
        <v>0.99482204004268704</v>
      </c>
    </row>
    <row r="20266" spans="1:11" x14ac:dyDescent="0.35">
      <c r="A20266" s="9" t="str">
        <f>HYPERLINK("http://www.ensembl.org/id/WBGene00014994", "WBGene00014994")</f>
        <v>WBGene00014994</v>
      </c>
      <c r="B20266" s="9"/>
      <c r="C20266" s="9"/>
      <c r="D20266" t="str">
        <f>"ZK1225.7"</f>
        <v>ZK1225.7</v>
      </c>
      <c r="F20266" t="s">
        <v>80</v>
      </c>
      <c r="H20266" s="12">
        <v>-1.24015969212945</v>
      </c>
      <c r="I20266" s="20">
        <v>-0.16136539756863399</v>
      </c>
      <c r="J20266" s="28">
        <v>0.87180561822309899</v>
      </c>
      <c r="K20266" s="29">
        <v>0.99482204004268704</v>
      </c>
    </row>
    <row r="20267" spans="1:11" x14ac:dyDescent="0.35">
      <c r="A20267" s="9" t="str">
        <f>HYPERLINK("http://www.ensembl.org/id/WBGene00011917", "WBGene00011917")</f>
        <v>WBGene00011917</v>
      </c>
      <c r="B20267" s="9" t="str">
        <f>HYPERLINK("http://www.ncbi.nlm.nih.gov/gene/172568", "172568")</f>
        <v>172568</v>
      </c>
      <c r="C20267" s="9" t="str">
        <f>HYPERLINK("http://www.ncbi.nlm.nih.gov/gene/200081", "200081")</f>
        <v>200081</v>
      </c>
      <c r="D20267" t="str">
        <f>"T22C1.6"</f>
        <v>T22C1.6</v>
      </c>
      <c r="F20267" t="s">
        <v>11</v>
      </c>
      <c r="G20267" t="s">
        <v>10691</v>
      </c>
      <c r="H20267" s="12">
        <v>-1.03151414223676</v>
      </c>
      <c r="I20267" s="20">
        <v>-0.16039995267582299</v>
      </c>
      <c r="J20267" s="28">
        <v>0.87256602689569995</v>
      </c>
      <c r="K20267" s="29">
        <v>0.99489319602526705</v>
      </c>
    </row>
    <row r="20268" spans="1:11" x14ac:dyDescent="0.35">
      <c r="A20268" s="9" t="str">
        <f>HYPERLINK("http://www.ensembl.org/id/WBGene00003715", "WBGene00003715")</f>
        <v>WBGene00003715</v>
      </c>
      <c r="B20268" s="9" t="str">
        <f>HYPERLINK("http://www.ncbi.nlm.nih.gov/gene/187520", "187520")</f>
        <v>187520</v>
      </c>
      <c r="C20268" s="9"/>
      <c r="D20268" t="str">
        <f>"nhr-125"</f>
        <v>nhr-125</v>
      </c>
      <c r="E20268" t="s">
        <v>10692</v>
      </c>
      <c r="F20268" t="s">
        <v>11</v>
      </c>
      <c r="G20268" t="s">
        <v>2789</v>
      </c>
      <c r="H20268" s="12">
        <v>1.0587477227962501</v>
      </c>
      <c r="I20268" s="20">
        <v>0.160292586950049</v>
      </c>
      <c r="J20268" s="28">
        <v>0.87265059812994406</v>
      </c>
      <c r="K20268" s="29">
        <v>0.99494052701028801</v>
      </c>
    </row>
    <row r="20269" spans="1:11" x14ac:dyDescent="0.35">
      <c r="A20269" s="9" t="str">
        <f>HYPERLINK("http://www.ensembl.org/id/WBGene00017163", "WBGene00017163")</f>
        <v>WBGene00017163</v>
      </c>
      <c r="B20269" s="9" t="str">
        <f>HYPERLINK("http://www.ncbi.nlm.nih.gov/gene/175822", "175822")</f>
        <v>175822</v>
      </c>
      <c r="C20269" s="9" t="str">
        <f>HYPERLINK("http://www.ncbi.nlm.nih.gov/gene/23549", "23549")</f>
        <v>23549</v>
      </c>
      <c r="D20269" t="str">
        <f>"dnpp-1"</f>
        <v>dnpp-1</v>
      </c>
      <c r="E20269" t="s">
        <v>10693</v>
      </c>
      <c r="F20269" t="s">
        <v>11</v>
      </c>
      <c r="G20269" t="s">
        <v>10694</v>
      </c>
      <c r="H20269" s="12">
        <v>1.0306194774061399</v>
      </c>
      <c r="I20269" s="20">
        <v>0.160202914010104</v>
      </c>
      <c r="J20269" s="28">
        <v>0.87272123399555301</v>
      </c>
      <c r="K20269" s="29">
        <v>0.99497196589042503</v>
      </c>
    </row>
    <row r="20270" spans="1:11" x14ac:dyDescent="0.35">
      <c r="A20270" s="9" t="str">
        <f>HYPERLINK("http://www.ensembl.org/id/WBGene00015488", "WBGene00015488")</f>
        <v>WBGene00015488</v>
      </c>
      <c r="B20270" s="9" t="str">
        <f>HYPERLINK("http://www.ncbi.nlm.nih.gov/gene/182261", "182261")</f>
        <v>182261</v>
      </c>
      <c r="C20270" s="9"/>
      <c r="D20270" t="str">
        <f>"C05D11.13"</f>
        <v>C05D11.13</v>
      </c>
      <c r="F20270" t="s">
        <v>11</v>
      </c>
      <c r="H20270" s="12">
        <v>-1.03763489576288</v>
      </c>
      <c r="I20270" s="20">
        <v>-0.15918124066504699</v>
      </c>
      <c r="J20270" s="28">
        <v>0.87352608318827196</v>
      </c>
      <c r="K20270" s="29">
        <v>0.99497522502785996</v>
      </c>
    </row>
    <row r="20271" spans="1:11" x14ac:dyDescent="0.35">
      <c r="A20271" s="9" t="str">
        <f>HYPERLINK("http://www.ensembl.org/id/WBGene00016097", "WBGene00016097")</f>
        <v>WBGene00016097</v>
      </c>
      <c r="B20271" s="9" t="str">
        <f>HYPERLINK("http://www.ncbi.nlm.nih.gov/gene/182892", "182892")</f>
        <v>182892</v>
      </c>
      <c r="C20271" s="9"/>
      <c r="D20271" t="str">
        <f>"C25E10.8"</f>
        <v>C25E10.8</v>
      </c>
      <c r="F20271" t="s">
        <v>11</v>
      </c>
      <c r="G20271" t="s">
        <v>101</v>
      </c>
      <c r="H20271" s="12">
        <v>-1.03514553005565</v>
      </c>
      <c r="I20271" s="20">
        <v>-0.15919351926175401</v>
      </c>
      <c r="J20271" s="28">
        <v>0.87351640963226496</v>
      </c>
      <c r="K20271" s="29">
        <v>0.99497522502785996</v>
      </c>
    </row>
    <row r="20272" spans="1:11" x14ac:dyDescent="0.35">
      <c r="A20272" s="9" t="str">
        <f>HYPERLINK("http://www.ensembl.org/id/WBGene00016134", "WBGene00016134")</f>
        <v>WBGene00016134</v>
      </c>
      <c r="B20272" s="9" t="str">
        <f>HYPERLINK("http://www.ncbi.nlm.nih.gov/gene/180803", "180803")</f>
        <v>180803</v>
      </c>
      <c r="C20272" s="9"/>
      <c r="D20272" t="str">
        <f>"C26B9.5"</f>
        <v>C26B9.5</v>
      </c>
      <c r="F20272" t="s">
        <v>11</v>
      </c>
      <c r="G20272" t="s">
        <v>1284</v>
      </c>
      <c r="H20272" s="12">
        <v>1.0359346800251401</v>
      </c>
      <c r="I20272" s="20">
        <v>0.159708720810677</v>
      </c>
      <c r="J20272" s="28">
        <v>0.87311053087484003</v>
      </c>
      <c r="K20272" s="29">
        <v>0.99497522502785996</v>
      </c>
    </row>
    <row r="20273" spans="1:11" x14ac:dyDescent="0.35">
      <c r="A20273" s="9" t="str">
        <f>HYPERLINK("http://www.ensembl.org/id/WBGene00013125", "WBGene00013125")</f>
        <v>WBGene00013125</v>
      </c>
      <c r="B20273" s="9" t="str">
        <f>HYPERLINK("http://www.ncbi.nlm.nih.gov/gene/190182", "190182")</f>
        <v>190182</v>
      </c>
      <c r="C20273" s="9"/>
      <c r="D20273" t="str">
        <f>"clec-92"</f>
        <v>clec-92</v>
      </c>
      <c r="E20273" t="s">
        <v>46</v>
      </c>
      <c r="F20273" t="s">
        <v>11</v>
      </c>
      <c r="G20273" t="s">
        <v>47</v>
      </c>
      <c r="H20273" s="12">
        <v>-1.2959389084508499</v>
      </c>
      <c r="I20273" s="20">
        <v>-0.15914714688762399</v>
      </c>
      <c r="J20273" s="28">
        <v>0.87355294369118497</v>
      </c>
      <c r="K20273" s="29">
        <v>0.99497522502785996</v>
      </c>
    </row>
    <row r="20274" spans="1:11" x14ac:dyDescent="0.35">
      <c r="A20274" s="9" t="str">
        <f>HYPERLINK("http://www.ensembl.org/id/WBGene00023020", "WBGene00023020")</f>
        <v>WBGene00023020</v>
      </c>
      <c r="B20274" s="9"/>
      <c r="C20274" s="9"/>
      <c r="D20274" t="str">
        <f>"F30H5.4"</f>
        <v>F30H5.4</v>
      </c>
      <c r="F20274" t="s">
        <v>2977</v>
      </c>
      <c r="H20274" s="12">
        <v>-1.1731482691649699</v>
      </c>
      <c r="I20274" s="20">
        <v>-0.16004328181662</v>
      </c>
      <c r="J20274" s="28">
        <v>0.87284697965880298</v>
      </c>
      <c r="K20274" s="29">
        <v>0.99497522502785996</v>
      </c>
    </row>
    <row r="20275" spans="1:11" x14ac:dyDescent="0.35">
      <c r="A20275" s="9" t="str">
        <f>HYPERLINK("http://www.ensembl.org/id/WBGene00015285", "WBGene00015285")</f>
        <v>WBGene00015285</v>
      </c>
      <c r="B20275" s="9" t="str">
        <f>HYPERLINK("http://www.ncbi.nlm.nih.gov/gene/182061", "182061")</f>
        <v>182061</v>
      </c>
      <c r="C20275" s="9"/>
      <c r="D20275" t="str">
        <f>"gmeb-1"</f>
        <v>gmeb-1</v>
      </c>
      <c r="E20275" t="s">
        <v>10091</v>
      </c>
      <c r="F20275" t="s">
        <v>11</v>
      </c>
      <c r="G20275" t="s">
        <v>10180</v>
      </c>
      <c r="H20275" s="12">
        <v>1.03171821857944</v>
      </c>
      <c r="I20275" s="20">
        <v>0.15997144066295399</v>
      </c>
      <c r="J20275" s="28">
        <v>0.87290357150711095</v>
      </c>
      <c r="K20275" s="29">
        <v>0.99497522502785996</v>
      </c>
    </row>
    <row r="20276" spans="1:11" x14ac:dyDescent="0.35">
      <c r="A20276" s="9" t="str">
        <f>HYPERLINK("http://www.ensembl.org/id/WBGene00017769", "WBGene00017769")</f>
        <v>WBGene00017769</v>
      </c>
      <c r="B20276" s="9" t="str">
        <f>HYPERLINK("http://www.ncbi.nlm.nih.gov/gene/178956", "178956")</f>
        <v>178956</v>
      </c>
      <c r="C20276" s="9"/>
      <c r="D20276" t="str">
        <f>"hmgs-1"</f>
        <v>hmgs-1</v>
      </c>
      <c r="E20276" t="s">
        <v>10699</v>
      </c>
      <c r="F20276" t="s">
        <v>11</v>
      </c>
      <c r="G20276" t="s">
        <v>10700</v>
      </c>
      <c r="H20276" s="12">
        <v>-1.0357880959938099</v>
      </c>
      <c r="I20276" s="20">
        <v>-0.15956214717800199</v>
      </c>
      <c r="J20276" s="28">
        <v>0.87322599903529396</v>
      </c>
      <c r="K20276" s="29">
        <v>0.99497522502785996</v>
      </c>
    </row>
    <row r="20277" spans="1:11" x14ac:dyDescent="0.35">
      <c r="A20277" s="9" t="str">
        <f>HYPERLINK("http://www.ensembl.org/id/WBGene00003469", "WBGene00003469")</f>
        <v>WBGene00003469</v>
      </c>
      <c r="B20277" s="9" t="str">
        <f>HYPERLINK("http://www.ncbi.nlm.nih.gov/gene/173981", "173981")</f>
        <v>173981</v>
      </c>
      <c r="C20277" s="9"/>
      <c r="D20277" t="str">
        <f>"msp-142"</f>
        <v>msp-142</v>
      </c>
      <c r="E20277" t="s">
        <v>3447</v>
      </c>
      <c r="F20277" t="s">
        <v>11</v>
      </c>
      <c r="H20277" s="12">
        <v>1.11573343902029</v>
      </c>
      <c r="I20277" s="20">
        <v>0.15919374646138101</v>
      </c>
      <c r="J20277" s="28">
        <v>0.87351623063574102</v>
      </c>
      <c r="K20277" s="29">
        <v>0.99497522502785996</v>
      </c>
    </row>
    <row r="20278" spans="1:11" x14ac:dyDescent="0.35">
      <c r="A20278" s="9" t="str">
        <f>HYPERLINK("http://www.ensembl.org/id/WBGene00007546", "WBGene00007546")</f>
        <v>WBGene00007546</v>
      </c>
      <c r="B20278" s="9" t="str">
        <f>HYPERLINK("http://www.ncbi.nlm.nih.gov/gene/182564", "182564")</f>
        <v>182564</v>
      </c>
      <c r="C20278" s="9"/>
      <c r="D20278" t="str">
        <f>"nhr-153"</f>
        <v>nhr-153</v>
      </c>
      <c r="E20278" t="s">
        <v>10703</v>
      </c>
      <c r="F20278" t="s">
        <v>11</v>
      </c>
      <c r="G20278" t="s">
        <v>852</v>
      </c>
      <c r="H20278" s="12">
        <v>-1.04876367351406</v>
      </c>
      <c r="I20278" s="20">
        <v>-0.159577993455391</v>
      </c>
      <c r="J20278" s="28">
        <v>0.87321351548312498</v>
      </c>
      <c r="K20278" s="29">
        <v>0.99497522502785996</v>
      </c>
    </row>
    <row r="20279" spans="1:11" x14ac:dyDescent="0.35">
      <c r="A20279" s="9" t="str">
        <f>HYPERLINK("http://www.ensembl.org/id/WBGene00004307", "WBGene00004307")</f>
        <v>WBGene00004307</v>
      </c>
      <c r="B20279" s="9" t="str">
        <f>HYPERLINK("http://www.ncbi.nlm.nih.gov/gene/177709", "177709")</f>
        <v>177709</v>
      </c>
      <c r="C20279" s="9" t="str">
        <f>HYPERLINK("http://www.ncbi.nlm.nih.gov/gene/5908", "5908")</f>
        <v>5908</v>
      </c>
      <c r="D20279" t="str">
        <f>"rap-1"</f>
        <v>rap-1</v>
      </c>
      <c r="E20279" t="s">
        <v>10697</v>
      </c>
      <c r="F20279" t="s">
        <v>11</v>
      </c>
      <c r="G20279" t="s">
        <v>10698</v>
      </c>
      <c r="H20279" s="12">
        <v>-1.03094328733973</v>
      </c>
      <c r="I20279" s="20">
        <v>-0.159753909312781</v>
      </c>
      <c r="J20279" s="28">
        <v>0.87307493270323799</v>
      </c>
      <c r="K20279" s="29">
        <v>0.99497522502785996</v>
      </c>
    </row>
    <row r="20280" spans="1:11" x14ac:dyDescent="0.35">
      <c r="A20280" s="9" t="str">
        <f>HYPERLINK("http://www.ensembl.org/id/WBGene00019558", "WBGene00019558")</f>
        <v>WBGene00019558</v>
      </c>
      <c r="B20280" s="9" t="str">
        <f>HYPERLINK("http://www.ncbi.nlm.nih.gov/gene/187201", "187201")</f>
        <v>187201</v>
      </c>
      <c r="C20280" s="9"/>
      <c r="D20280" t="str">
        <f>"srbc-12"</f>
        <v>srbc-12</v>
      </c>
      <c r="E20280" t="s">
        <v>3034</v>
      </c>
      <c r="F20280" t="s">
        <v>11</v>
      </c>
      <c r="G20280" t="s">
        <v>25</v>
      </c>
      <c r="H20280" s="12">
        <v>1.5941028100116399</v>
      </c>
      <c r="I20280" s="20">
        <v>0.159051396358659</v>
      </c>
      <c r="J20280" s="28">
        <v>0.87362838073942795</v>
      </c>
      <c r="K20280" s="29">
        <v>0.99497522502785996</v>
      </c>
    </row>
    <row r="20281" spans="1:11" x14ac:dyDescent="0.35">
      <c r="A20281" s="9" t="str">
        <f>HYPERLINK("http://www.ensembl.org/id/WBGene00005558", "WBGene00005558")</f>
        <v>WBGene00005558</v>
      </c>
      <c r="B20281" s="9" t="str">
        <f>HYPERLINK("http://www.ncbi.nlm.nih.gov/gene/187116", "187116")</f>
        <v>187116</v>
      </c>
      <c r="C20281" s="9"/>
      <c r="D20281" t="str">
        <f>"sri-46"</f>
        <v>sri-46</v>
      </c>
      <c r="E20281" t="s">
        <v>1503</v>
      </c>
      <c r="F20281" t="s">
        <v>11</v>
      </c>
      <c r="G20281" t="s">
        <v>25</v>
      </c>
      <c r="H20281" s="12">
        <v>1.5941028100116399</v>
      </c>
      <c r="I20281" s="20">
        <v>0.159051396358659</v>
      </c>
      <c r="J20281" s="28">
        <v>0.87362838073942795</v>
      </c>
      <c r="K20281" s="29">
        <v>0.99497522502785996</v>
      </c>
    </row>
    <row r="20282" spans="1:11" x14ac:dyDescent="0.35">
      <c r="A20282" s="9" t="str">
        <f>HYPERLINK("http://www.ensembl.org/id/WBGene00011826", "WBGene00011826")</f>
        <v>WBGene00011826</v>
      </c>
      <c r="B20282" s="9" t="str">
        <f>HYPERLINK("http://www.ncbi.nlm.nih.gov/gene/3564939", "3564939")</f>
        <v>3564939</v>
      </c>
      <c r="C20282" s="9" t="str">
        <f>HYPERLINK("http://www.ncbi.nlm.nih.gov/gene/4358", "4358")</f>
        <v>4358</v>
      </c>
      <c r="D20282" t="str">
        <f>"T18D3.9"</f>
        <v>T18D3.9</v>
      </c>
      <c r="E20282" t="s">
        <v>10701</v>
      </c>
      <c r="F20282" t="s">
        <v>11</v>
      </c>
      <c r="G20282" t="s">
        <v>10702</v>
      </c>
      <c r="H20282" s="12">
        <v>-1.0475683659134001</v>
      </c>
      <c r="I20282" s="20">
        <v>-0.15925593532195501</v>
      </c>
      <c r="J20282" s="28">
        <v>0.87346723612503196</v>
      </c>
      <c r="K20282" s="29">
        <v>0.99497522502785996</v>
      </c>
    </row>
    <row r="20283" spans="1:11" x14ac:dyDescent="0.35">
      <c r="A20283" s="9" t="str">
        <f>HYPERLINK("http://www.ensembl.org/id/WBGene00021128", "WBGene00021128")</f>
        <v>WBGene00021128</v>
      </c>
      <c r="B20283" s="9" t="str">
        <f>HYPERLINK("http://www.ncbi.nlm.nih.gov/gene/171850", "171850")</f>
        <v>171850</v>
      </c>
      <c r="C20283" s="9"/>
      <c r="D20283" t="str">
        <f>"W10C8.5"</f>
        <v>W10C8.5</v>
      </c>
      <c r="F20283" t="s">
        <v>11</v>
      </c>
      <c r="G20283" t="s">
        <v>280</v>
      </c>
      <c r="H20283" s="12">
        <v>1.0318406063505301</v>
      </c>
      <c r="I20283" s="20">
        <v>0.159521476611443</v>
      </c>
      <c r="J20283" s="28">
        <v>0.87325803907953103</v>
      </c>
      <c r="K20283" s="29">
        <v>0.99497522502785996</v>
      </c>
    </row>
    <row r="20284" spans="1:11" x14ac:dyDescent="0.35">
      <c r="A20284" s="9" t="str">
        <f>HYPERLINK("http://www.ensembl.org/id/WBGene00194929", "WBGene00194929")</f>
        <v>WBGene00194929</v>
      </c>
      <c r="B20284" s="9" t="str">
        <f>HYPERLINK("http://www.ncbi.nlm.nih.gov/gene/13208352", "13208352")</f>
        <v>13208352</v>
      </c>
      <c r="C20284" s="9"/>
      <c r="D20284" t="str">
        <f>"Y105C5B.1413"</f>
        <v>Y105C5B.1413</v>
      </c>
      <c r="F20284" t="s">
        <v>11</v>
      </c>
      <c r="H20284" s="12">
        <v>-1.2739620664631599</v>
      </c>
      <c r="I20284" s="20">
        <v>-0.15987144596234101</v>
      </c>
      <c r="J20284" s="28">
        <v>0.87298234199469404</v>
      </c>
      <c r="K20284" s="29">
        <v>0.99497522502785996</v>
      </c>
    </row>
    <row r="20285" spans="1:11" x14ac:dyDescent="0.35">
      <c r="A20285" s="9" t="str">
        <f>HYPERLINK("http://www.ensembl.org/id/WBGene00013722", "WBGene00013722")</f>
        <v>WBGene00013722</v>
      </c>
      <c r="B20285" s="9"/>
      <c r="C20285" s="9"/>
      <c r="D20285" t="str">
        <f>"Y106G6H.10"</f>
        <v>Y106G6H.10</v>
      </c>
      <c r="F20285" t="s">
        <v>80</v>
      </c>
      <c r="H20285" s="12">
        <v>1.5941028100116399</v>
      </c>
      <c r="I20285" s="20">
        <v>0.159051396358659</v>
      </c>
      <c r="J20285" s="28">
        <v>0.87362838073942795</v>
      </c>
      <c r="K20285" s="29">
        <v>0.99497522502785996</v>
      </c>
    </row>
    <row r="20286" spans="1:11" x14ac:dyDescent="0.35">
      <c r="A20286" s="9" t="str">
        <f>HYPERLINK("http://www.ensembl.org/id/WBGene00021208", "WBGene00021208")</f>
        <v>WBGene00021208</v>
      </c>
      <c r="B20286" s="9"/>
      <c r="C20286" s="9"/>
      <c r="D20286" t="str">
        <f>"Y18H1A.2"</f>
        <v>Y18H1A.2</v>
      </c>
      <c r="F20286" t="s">
        <v>11</v>
      </c>
      <c r="H20286" s="12">
        <v>1.0322049458485101</v>
      </c>
      <c r="I20286" s="20">
        <v>0.15934525183210199</v>
      </c>
      <c r="J20286" s="28">
        <v>0.87339687037339697</v>
      </c>
      <c r="K20286" s="29">
        <v>0.99497522502785996</v>
      </c>
    </row>
    <row r="20287" spans="1:11" x14ac:dyDescent="0.35">
      <c r="A20287" s="9" t="str">
        <f>HYPERLINK("http://www.ensembl.org/id/WBGene00012581", "WBGene00012581")</f>
        <v>WBGene00012581</v>
      </c>
      <c r="B20287" s="9" t="str">
        <f>HYPERLINK("http://www.ncbi.nlm.nih.gov/gene/174892", "174892")</f>
        <v>174892</v>
      </c>
      <c r="C20287" s="9"/>
      <c r="D20287" t="str">
        <f>"Y38E10A.3"</f>
        <v>Y38E10A.3</v>
      </c>
      <c r="F20287" t="s">
        <v>11</v>
      </c>
      <c r="H20287" s="12">
        <v>1.0845961501696699</v>
      </c>
      <c r="I20287" s="20">
        <v>0.15969088258793501</v>
      </c>
      <c r="J20287" s="28">
        <v>0.87312458337228505</v>
      </c>
      <c r="K20287" s="29">
        <v>0.99497522502785996</v>
      </c>
    </row>
    <row r="20288" spans="1:11" x14ac:dyDescent="0.35">
      <c r="A20288" s="9" t="str">
        <f>HYPERLINK("http://www.ensembl.org/id/WBGene00021639", "WBGene00021639")</f>
        <v>WBGene00021639</v>
      </c>
      <c r="B20288" s="9" t="str">
        <f>HYPERLINK("http://www.ncbi.nlm.nih.gov/gene/189993", "189993")</f>
        <v>189993</v>
      </c>
      <c r="C20288" s="9"/>
      <c r="D20288" t="str">
        <f>"Y47G6A.13"</f>
        <v>Y47G6A.13</v>
      </c>
      <c r="F20288" t="s">
        <v>11</v>
      </c>
      <c r="G20288" t="s">
        <v>1763</v>
      </c>
      <c r="H20288" s="12">
        <v>-1.0462072687878801</v>
      </c>
      <c r="I20288" s="20">
        <v>-0.15953344316968099</v>
      </c>
      <c r="J20288" s="28">
        <v>0.87324861187047897</v>
      </c>
      <c r="K20288" s="29">
        <v>0.99497522502785996</v>
      </c>
    </row>
    <row r="20289" spans="1:11" x14ac:dyDescent="0.35">
      <c r="A20289" s="9" t="str">
        <f>HYPERLINK("http://www.ensembl.org/id/WBGene00235152", "WBGene00235152")</f>
        <v>WBGene00235152</v>
      </c>
      <c r="B20289" s="9"/>
      <c r="C20289" s="9"/>
      <c r="D20289" t="str">
        <f>"Y7A5A.22"</f>
        <v>Y7A5A.22</v>
      </c>
      <c r="F20289" t="s">
        <v>481</v>
      </c>
      <c r="H20289" s="12">
        <v>1.24794808780335</v>
      </c>
      <c r="I20289" s="20">
        <v>0.160082820482358</v>
      </c>
      <c r="J20289" s="28">
        <v>0.87281583391408701</v>
      </c>
      <c r="K20289" s="29">
        <v>0.99497522502785996</v>
      </c>
    </row>
    <row r="20290" spans="1:11" x14ac:dyDescent="0.35">
      <c r="A20290" s="9" t="str">
        <f>HYPERLINK("http://www.ensembl.org/id/WBGene00006494", "WBGene00006494")</f>
        <v>WBGene00006494</v>
      </c>
      <c r="B20290" s="9" t="str">
        <f>HYPERLINK("http://www.ncbi.nlm.nih.gov/gene/181640", "181640")</f>
        <v>181640</v>
      </c>
      <c r="C20290" s="9" t="str">
        <f>HYPERLINK("http://www.ncbi.nlm.nih.gov/gene/7922", "7922")</f>
        <v>7922</v>
      </c>
      <c r="D20290" t="str">
        <f>"zipt-7.2"</f>
        <v>zipt-7.2</v>
      </c>
      <c r="E20290" t="s">
        <v>10695</v>
      </c>
      <c r="F20290" t="s">
        <v>11</v>
      </c>
      <c r="G20290" t="s">
        <v>10696</v>
      </c>
      <c r="H20290" s="12">
        <v>1.02951735169477</v>
      </c>
      <c r="I20290" s="20">
        <v>0.159394880241673</v>
      </c>
      <c r="J20290" s="28">
        <v>0.87335777231995604</v>
      </c>
      <c r="K20290" s="29">
        <v>0.99497522502785996</v>
      </c>
    </row>
  </sheetData>
  <sortState xmlns:xlrd2="http://schemas.microsoft.com/office/spreadsheetml/2017/richdata2" ref="A3:K20290">
    <sortCondition ref="K2:K20290"/>
  </sortState>
  <mergeCells count="1">
    <mergeCell ref="H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833CD-CA6B-4293-BAD3-34028A7A9075}">
  <dimension ref="A1:L4605"/>
  <sheetViews>
    <sheetView topLeftCell="D57" workbookViewId="0">
      <selection activeCell="N74" sqref="N74"/>
    </sheetView>
  </sheetViews>
  <sheetFormatPr defaultRowHeight="14.5" x14ac:dyDescent="0.35"/>
  <cols>
    <col min="11" max="11" width="8.7265625" style="31"/>
  </cols>
  <sheetData>
    <row r="1" spans="1:11" ht="46" customHeight="1" x14ac:dyDescent="0.35">
      <c r="A1" s="1"/>
      <c r="B1" s="1"/>
      <c r="C1" s="1"/>
      <c r="D1" s="2"/>
      <c r="E1" s="2"/>
      <c r="F1" s="2"/>
      <c r="G1" s="3"/>
      <c r="H1" s="36" t="s">
        <v>10704</v>
      </c>
      <c r="I1" s="36"/>
      <c r="J1" s="36"/>
      <c r="K1" s="36"/>
    </row>
    <row r="2" spans="1:11" ht="58" x14ac:dyDescent="0.35">
      <c r="A2" s="4" t="s">
        <v>0</v>
      </c>
      <c r="B2" s="4" t="s">
        <v>1</v>
      </c>
      <c r="C2" s="4" t="s">
        <v>2</v>
      </c>
      <c r="D2" s="5" t="s">
        <v>3</v>
      </c>
      <c r="E2" s="3" t="s">
        <v>4</v>
      </c>
      <c r="F2" s="3" t="s">
        <v>5</v>
      </c>
      <c r="G2" s="3" t="s">
        <v>6</v>
      </c>
      <c r="H2" s="8" t="s">
        <v>9</v>
      </c>
      <c r="I2" s="6" t="s">
        <v>10</v>
      </c>
      <c r="J2" s="7" t="s">
        <v>7</v>
      </c>
      <c r="K2" s="27" t="s">
        <v>8</v>
      </c>
    </row>
    <row r="3" spans="1:11" x14ac:dyDescent="0.35">
      <c r="A3" s="9" t="str">
        <f>HYPERLINK("http://www.ensembl.org/id/WBGene00013939", "WBGene00013939")</f>
        <v>WBGene00013939</v>
      </c>
      <c r="B3" s="9" t="str">
        <f>HYPERLINK("http://www.ncbi.nlm.nih.gov/gene/191245", "191245")</f>
        <v>191245</v>
      </c>
      <c r="C3" s="9"/>
      <c r="D3" t="str">
        <f>"ZK218.5"</f>
        <v>ZK218.5</v>
      </c>
      <c r="F3" t="s">
        <v>11</v>
      </c>
      <c r="H3" s="12">
        <v>255.93339182422099</v>
      </c>
      <c r="I3" s="11">
        <v>6.8312288664201102</v>
      </c>
      <c r="J3" s="10">
        <v>8.4190291092911804E-12</v>
      </c>
      <c r="K3" s="29">
        <v>1.76845533272074E-8</v>
      </c>
    </row>
    <row r="4" spans="1:11" x14ac:dyDescent="0.35">
      <c r="A4" s="9" t="str">
        <f>HYPERLINK("http://www.ensembl.org/id/WBGene00016063", "WBGene00016063")</f>
        <v>WBGene00016063</v>
      </c>
      <c r="B4" s="9" t="str">
        <f>HYPERLINK("http://www.ncbi.nlm.nih.gov/gene/182851", "182851")</f>
        <v>182851</v>
      </c>
      <c r="C4" s="9"/>
      <c r="D4" t="str">
        <f>"delm-2"</f>
        <v>delm-2</v>
      </c>
      <c r="E4" t="s">
        <v>1011</v>
      </c>
      <c r="F4" t="s">
        <v>11</v>
      </c>
      <c r="G4" t="s">
        <v>211</v>
      </c>
      <c r="H4" s="12">
        <v>72.792162723643003</v>
      </c>
      <c r="I4" s="11">
        <v>2.56534124882057</v>
      </c>
      <c r="J4" s="10">
        <v>1.0307437637673601E-2</v>
      </c>
      <c r="K4" s="29">
        <v>0.199634244808119</v>
      </c>
    </row>
    <row r="5" spans="1:11" x14ac:dyDescent="0.35">
      <c r="A5" s="9" t="str">
        <f>HYPERLINK("http://www.ensembl.org/id/WBGene00013941", "WBGene00013941")</f>
        <v>WBGene00013941</v>
      </c>
      <c r="B5" s="9" t="str">
        <f>HYPERLINK("http://www.ncbi.nlm.nih.gov/gene/191247", "191247")</f>
        <v>191247</v>
      </c>
      <c r="C5" s="9"/>
      <c r="D5" t="str">
        <f>"ZK218.7"</f>
        <v>ZK218.7</v>
      </c>
      <c r="F5" t="s">
        <v>11</v>
      </c>
      <c r="H5" s="12">
        <v>67.499921533486798</v>
      </c>
      <c r="I5" s="11">
        <v>2.4678810194748202</v>
      </c>
      <c r="J5" s="10">
        <v>1.3591548761318999E-2</v>
      </c>
      <c r="K5" s="29">
        <v>0.23665887391035201</v>
      </c>
    </row>
    <row r="6" spans="1:11" x14ac:dyDescent="0.35">
      <c r="A6" s="9" t="str">
        <f>HYPERLINK("http://www.ensembl.org/id/WBGene00015398", "WBGene00015398")</f>
        <v>WBGene00015398</v>
      </c>
      <c r="B6" s="9" t="str">
        <f>HYPERLINK("http://www.ncbi.nlm.nih.gov/gene/182175", "182175")</f>
        <v>182175</v>
      </c>
      <c r="C6" s="9"/>
      <c r="D6" t="str">
        <f>"tag-293"</f>
        <v>tag-293</v>
      </c>
      <c r="F6" t="s">
        <v>11</v>
      </c>
      <c r="H6" s="12">
        <v>65.088279929151895</v>
      </c>
      <c r="I6" s="11">
        <v>2.6634118578172901</v>
      </c>
      <c r="J6" s="10">
        <v>7.7352673866376799E-3</v>
      </c>
      <c r="K6" s="29">
        <v>0.163075810433987</v>
      </c>
    </row>
    <row r="7" spans="1:11" x14ac:dyDescent="0.35">
      <c r="A7" s="9" t="str">
        <f>HYPERLINK("http://www.ensembl.org/id/WBGene00012052", "WBGene00012052")</f>
        <v>WBGene00012052</v>
      </c>
      <c r="B7" s="9" t="str">
        <f>HYPERLINK("http://www.ncbi.nlm.nih.gov/gene/188936", "188936")</f>
        <v>188936</v>
      </c>
      <c r="C7" s="9"/>
      <c r="D7" t="str">
        <f>"T26E4.10"</f>
        <v>T26E4.10</v>
      </c>
      <c r="F7" t="s">
        <v>11</v>
      </c>
      <c r="H7" s="12">
        <v>62.017059816491198</v>
      </c>
      <c r="I7" s="11">
        <v>2.4158929010919898</v>
      </c>
      <c r="J7" s="10">
        <v>1.56966775051222E-2</v>
      </c>
      <c r="K7" s="29">
        <v>0.26055131496648898</v>
      </c>
    </row>
    <row r="8" spans="1:11" x14ac:dyDescent="0.35">
      <c r="A8" s="9" t="str">
        <f>HYPERLINK("http://www.ensembl.org/id/WBGene00005516", "WBGene00005516")</f>
        <v>WBGene00005516</v>
      </c>
      <c r="B8" s="9" t="str">
        <f>HYPERLINK("http://www.ncbi.nlm.nih.gov/gene/191900", "191900")</f>
        <v>191900</v>
      </c>
      <c r="C8" s="9"/>
      <c r="D8" t="str">
        <f>"sri-4"</f>
        <v>sri-4</v>
      </c>
      <c r="E8" t="s">
        <v>1503</v>
      </c>
      <c r="F8" t="s">
        <v>11</v>
      </c>
      <c r="G8" t="s">
        <v>25</v>
      </c>
      <c r="H8" s="12">
        <v>53.653033421256303</v>
      </c>
      <c r="I8" s="11">
        <v>2.14992679529061</v>
      </c>
      <c r="J8" s="10">
        <v>3.1561005736485202E-2</v>
      </c>
      <c r="K8" s="29">
        <v>0.40024621215544898</v>
      </c>
    </row>
    <row r="9" spans="1:11" x14ac:dyDescent="0.35">
      <c r="A9" s="9" t="str">
        <f>HYPERLINK("http://www.ensembl.org/id/WBGene00045207", "WBGene00045207")</f>
        <v>WBGene00045207</v>
      </c>
      <c r="B9" s="9" t="str">
        <f>HYPERLINK("http://www.ncbi.nlm.nih.gov/gene/4927050", "4927050")</f>
        <v>4927050</v>
      </c>
      <c r="C9" s="9"/>
      <c r="D9" t="str">
        <f>"F13E9.14"</f>
        <v>F13E9.14</v>
      </c>
      <c r="F9" t="s">
        <v>11</v>
      </c>
      <c r="H9" s="12">
        <v>45.779256608078597</v>
      </c>
      <c r="I9" s="11">
        <v>1.9528362381017501</v>
      </c>
      <c r="J9" s="10">
        <v>5.0839003040880799E-2</v>
      </c>
      <c r="K9" s="29">
        <v>0.52771159221140695</v>
      </c>
    </row>
    <row r="10" spans="1:11" x14ac:dyDescent="0.35">
      <c r="A10" s="9" t="str">
        <f>HYPERLINK("http://www.ensembl.org/id/WBGene00005281", "WBGene00005281")</f>
        <v>WBGene00005281</v>
      </c>
      <c r="B10" s="9" t="str">
        <f>HYPERLINK("http://www.ncbi.nlm.nih.gov/gene/191865", "191865")</f>
        <v>191865</v>
      </c>
      <c r="C10" s="9"/>
      <c r="D10" t="str">
        <f>"srh-59"</f>
        <v>srh-59</v>
      </c>
      <c r="E10" t="s">
        <v>153</v>
      </c>
      <c r="F10" t="s">
        <v>11</v>
      </c>
      <c r="G10" t="s">
        <v>25</v>
      </c>
      <c r="H10" s="12">
        <v>43.982337652614703</v>
      </c>
      <c r="I10" s="11">
        <v>2.0652258629267002</v>
      </c>
      <c r="J10" s="10">
        <v>3.8901634500130101E-2</v>
      </c>
      <c r="K10" s="29">
        <v>0.45511957810633202</v>
      </c>
    </row>
    <row r="11" spans="1:11" x14ac:dyDescent="0.35">
      <c r="A11" s="9" t="str">
        <f>HYPERLINK("http://www.ensembl.org/id/WBGene00008249", "WBGene00008249")</f>
        <v>WBGene00008249</v>
      </c>
      <c r="B11" s="9" t="str">
        <f>HYPERLINK("http://www.ncbi.nlm.nih.gov/gene/183705", "183705")</f>
        <v>183705</v>
      </c>
      <c r="C11" s="9"/>
      <c r="D11" t="str">
        <f>"srsx-28"</f>
        <v>srsx-28</v>
      </c>
      <c r="E11" t="s">
        <v>1639</v>
      </c>
      <c r="F11" t="s">
        <v>11</v>
      </c>
      <c r="G11" t="s">
        <v>1089</v>
      </c>
      <c r="H11" s="12">
        <v>43.954636704267301</v>
      </c>
      <c r="I11" s="11">
        <v>2.0558985917019701</v>
      </c>
      <c r="J11" s="10">
        <v>3.9792291902992501E-2</v>
      </c>
      <c r="K11" s="29">
        <v>0.460180528884156</v>
      </c>
    </row>
    <row r="12" spans="1:11" x14ac:dyDescent="0.35">
      <c r="A12" s="9" t="str">
        <f>HYPERLINK("http://www.ensembl.org/id/WBGene00014183", "WBGene00014183")</f>
        <v>WBGene00014183</v>
      </c>
      <c r="B12" s="9" t="str">
        <f>HYPERLINK("http://www.ncbi.nlm.nih.gov/gene/191492", "191492")</f>
        <v>191492</v>
      </c>
      <c r="C12" s="9"/>
      <c r="D12" t="str">
        <f>"ZK1025.3"</f>
        <v>ZK1025.3</v>
      </c>
      <c r="F12" t="s">
        <v>11</v>
      </c>
      <c r="G12" t="s">
        <v>25</v>
      </c>
      <c r="H12" s="12">
        <v>39.321722352809999</v>
      </c>
      <c r="I12" s="11">
        <v>4.0802931092663304</v>
      </c>
      <c r="J12" s="10">
        <v>4.4978947608355799E-5</v>
      </c>
      <c r="K12" s="29">
        <v>3.5349781069342499E-3</v>
      </c>
    </row>
    <row r="13" spans="1:11" x14ac:dyDescent="0.35">
      <c r="A13" s="9" t="str">
        <f>HYPERLINK("http://www.ensembl.org/id/WBGene00271414", "WBGene00271414")</f>
        <v>WBGene00271414</v>
      </c>
      <c r="B13" s="9" t="str">
        <f>HYPERLINK("http://www.ncbi.nlm.nih.gov/gene/30314034", "30314034")</f>
        <v>30314034</v>
      </c>
      <c r="C13" s="9"/>
      <c r="D13" t="str">
        <f>"T05A7.12"</f>
        <v>T05A7.12</v>
      </c>
      <c r="F13" t="s">
        <v>11</v>
      </c>
      <c r="H13" s="12">
        <v>37.8174619965191</v>
      </c>
      <c r="I13" s="11">
        <v>1.73231335455503</v>
      </c>
      <c r="J13" s="10">
        <v>8.3217785496392999E-2</v>
      </c>
      <c r="K13" s="29">
        <v>0.679205281412807</v>
      </c>
    </row>
    <row r="14" spans="1:11" x14ac:dyDescent="0.35">
      <c r="A14" s="9" t="str">
        <f>HYPERLINK("http://www.ensembl.org/id/WBGene00022094", "WBGene00022094")</f>
        <v>WBGene00022094</v>
      </c>
      <c r="B14" s="9" t="str">
        <f>HYPERLINK("http://www.ncbi.nlm.nih.gov/gene/190544", "190544")</f>
        <v>190544</v>
      </c>
      <c r="C14" s="9"/>
      <c r="D14" t="str">
        <f>"Y69A2AR.23"</f>
        <v>Y69A2AR.23</v>
      </c>
      <c r="F14" t="s">
        <v>11</v>
      </c>
      <c r="G14" t="s">
        <v>25</v>
      </c>
      <c r="H14" s="12">
        <v>36.1572993590474</v>
      </c>
      <c r="I14" s="11">
        <v>1.7070301153994001</v>
      </c>
      <c r="J14" s="10">
        <v>8.7816455035334903E-2</v>
      </c>
      <c r="K14" s="29">
        <v>0.69064774952796104</v>
      </c>
    </row>
    <row r="15" spans="1:11" x14ac:dyDescent="0.35">
      <c r="A15" s="9" t="str">
        <f>HYPERLINK("http://www.ensembl.org/id/WBGene00043065", "WBGene00043065")</f>
        <v>WBGene00043065</v>
      </c>
      <c r="B15" s="9" t="str">
        <f>HYPERLINK("http://www.ncbi.nlm.nih.gov/gene/3565606", "3565606")</f>
        <v>3565606</v>
      </c>
      <c r="C15" s="9"/>
      <c r="D15" t="str">
        <f>"C55C3.7"</f>
        <v>C55C3.7</v>
      </c>
      <c r="F15" t="s">
        <v>11</v>
      </c>
      <c r="H15" s="12">
        <v>35.108462035372497</v>
      </c>
      <c r="I15" s="11">
        <v>1.6567667474988499</v>
      </c>
      <c r="J15" s="10">
        <v>9.75666423038139E-2</v>
      </c>
      <c r="K15" s="29">
        <v>0.721861939504298</v>
      </c>
    </row>
    <row r="16" spans="1:11" x14ac:dyDescent="0.35">
      <c r="A16" s="9" t="str">
        <f>HYPERLINK("http://www.ensembl.org/id/WBGene00018432", "WBGene00018432")</f>
        <v>WBGene00018432</v>
      </c>
      <c r="B16" s="9" t="str">
        <f>HYPERLINK("http://www.ncbi.nlm.nih.gov/gene/24104588", "24104588")</f>
        <v>24104588</v>
      </c>
      <c r="C16" s="9"/>
      <c r="D16" t="str">
        <f>"irld-33"</f>
        <v>irld-33</v>
      </c>
      <c r="E16" t="s">
        <v>1627</v>
      </c>
      <c r="F16" t="s">
        <v>11</v>
      </c>
      <c r="H16" s="12">
        <v>34.116285032181104</v>
      </c>
      <c r="I16" s="11">
        <v>1.6144491177051199</v>
      </c>
      <c r="J16" s="10">
        <v>0.10643004508427099</v>
      </c>
      <c r="K16" s="29">
        <v>0.752624202744829</v>
      </c>
    </row>
    <row r="17" spans="1:11" x14ac:dyDescent="0.35">
      <c r="A17" s="9" t="str">
        <f>HYPERLINK("http://www.ensembl.org/id/WBGene00015862", "WBGene00015862")</f>
        <v>WBGene00015862</v>
      </c>
      <c r="B17" s="9"/>
      <c r="C17" s="9"/>
      <c r="D17" t="str">
        <f>"srt-25"</f>
        <v>srt-25</v>
      </c>
      <c r="F17" t="s">
        <v>80</v>
      </c>
      <c r="H17" s="12">
        <v>31.691429505503201</v>
      </c>
      <c r="I17" s="11">
        <v>1.5894574816278899</v>
      </c>
      <c r="J17" s="10">
        <v>0.111957145996628</v>
      </c>
      <c r="K17" s="29">
        <v>0.76648350085869099</v>
      </c>
    </row>
    <row r="18" spans="1:11" x14ac:dyDescent="0.35">
      <c r="A18" s="9" t="str">
        <f>HYPERLINK("http://www.ensembl.org/id/WBGene00001245", "WBGene00001245")</f>
        <v>WBGene00001245</v>
      </c>
      <c r="B18" s="9" t="str">
        <f>HYPERLINK("http://www.ncbi.nlm.nih.gov/gene/186426", "186426")</f>
        <v>186426</v>
      </c>
      <c r="C18" s="9"/>
      <c r="D18" t="str">
        <f>"elo-7"</f>
        <v>elo-7</v>
      </c>
      <c r="E18" t="s">
        <v>1769</v>
      </c>
      <c r="F18" t="s">
        <v>11</v>
      </c>
      <c r="G18" t="s">
        <v>2566</v>
      </c>
      <c r="H18" s="12">
        <v>31.129280622292601</v>
      </c>
      <c r="I18" s="11">
        <v>1.6349868936644001</v>
      </c>
      <c r="J18" s="10">
        <v>0.10205179515325299</v>
      </c>
      <c r="K18" s="29">
        <v>0.73756921451706503</v>
      </c>
    </row>
    <row r="19" spans="1:11" x14ac:dyDescent="0.35">
      <c r="A19" s="9" t="str">
        <f>HYPERLINK("http://www.ensembl.org/id/WBGene00008328", "WBGene00008328")</f>
        <v>WBGene00008328</v>
      </c>
      <c r="B19" s="9"/>
      <c r="C19" s="9"/>
      <c r="D19" t="str">
        <f>"srz-43"</f>
        <v>srz-43</v>
      </c>
      <c r="F19" t="s">
        <v>80</v>
      </c>
      <c r="H19" s="12">
        <v>30.416192987629699</v>
      </c>
      <c r="I19" s="11">
        <v>1.62657976328176</v>
      </c>
      <c r="J19" s="10">
        <v>0.103826380171485</v>
      </c>
      <c r="K19" s="29">
        <v>0.74376802197659997</v>
      </c>
    </row>
    <row r="20" spans="1:11" x14ac:dyDescent="0.35">
      <c r="A20" s="9" t="str">
        <f>HYPERLINK("http://www.ensembl.org/id/WBGene00017656", "WBGene00017656")</f>
        <v>WBGene00017656</v>
      </c>
      <c r="B20" s="9" t="str">
        <f>HYPERLINK("http://www.ncbi.nlm.nih.gov/gene/184766", "184766")</f>
        <v>184766</v>
      </c>
      <c r="C20" s="9"/>
      <c r="D20" t="str">
        <f>"F21C10.6"</f>
        <v>F21C10.6</v>
      </c>
      <c r="F20" t="s">
        <v>11</v>
      </c>
      <c r="G20" t="s">
        <v>25</v>
      </c>
      <c r="H20" s="12">
        <v>29.700570098877701</v>
      </c>
      <c r="I20" s="11">
        <v>1.4809804272463001</v>
      </c>
      <c r="J20" s="10">
        <v>0.13861178923081099</v>
      </c>
      <c r="K20" s="29">
        <v>0.83037697743508698</v>
      </c>
    </row>
    <row r="21" spans="1:11" x14ac:dyDescent="0.35">
      <c r="A21" s="9" t="str">
        <f>HYPERLINK("http://www.ensembl.org/id/WBGene00166235", "WBGene00166235")</f>
        <v>WBGene00166235</v>
      </c>
      <c r="B21" s="9"/>
      <c r="C21" s="9"/>
      <c r="D21" t="str">
        <f>"21ur-10387"</f>
        <v>21ur-10387</v>
      </c>
      <c r="F21" t="s">
        <v>3161</v>
      </c>
      <c r="H21" s="12">
        <v>29.540053237492199</v>
      </c>
      <c r="I21" s="11">
        <v>1.4631833538486301</v>
      </c>
      <c r="J21" s="10">
        <v>0.143417214433637</v>
      </c>
      <c r="K21" s="29">
        <v>0.84026886237458398</v>
      </c>
    </row>
    <row r="22" spans="1:11" x14ac:dyDescent="0.35">
      <c r="A22" s="9" t="str">
        <f>HYPERLINK("http://www.ensembl.org/id/WBGene00196848", "WBGene00196848")</f>
        <v>WBGene00196848</v>
      </c>
      <c r="B22" s="9"/>
      <c r="C22" s="9"/>
      <c r="D22" t="str">
        <f>"ZK353.11"</f>
        <v>ZK353.11</v>
      </c>
      <c r="F22" t="s">
        <v>481</v>
      </c>
      <c r="H22" s="12">
        <v>29.540053237492199</v>
      </c>
      <c r="I22" s="11">
        <v>1.4631833538486301</v>
      </c>
      <c r="J22" s="10">
        <v>0.143417214433637</v>
      </c>
      <c r="K22" s="29">
        <v>0.84026886237458398</v>
      </c>
    </row>
    <row r="23" spans="1:11" x14ac:dyDescent="0.35">
      <c r="A23" s="9" t="str">
        <f>HYPERLINK("http://www.ensembl.org/id/WBGene00021067", "WBGene00021067")</f>
        <v>WBGene00021067</v>
      </c>
      <c r="B23" s="9"/>
      <c r="C23" s="9"/>
      <c r="D23" t="str">
        <f>"W06H8.4"</f>
        <v>W06H8.4</v>
      </c>
      <c r="F23" t="s">
        <v>80</v>
      </c>
      <c r="H23" s="12">
        <v>29.0492883170336</v>
      </c>
      <c r="I23" s="11">
        <v>1.4856308088064001</v>
      </c>
      <c r="J23" s="10">
        <v>0.13737680126868601</v>
      </c>
      <c r="K23" s="29">
        <v>0.82906592033916404</v>
      </c>
    </row>
    <row r="24" spans="1:11" x14ac:dyDescent="0.35">
      <c r="A24" s="9" t="str">
        <f>HYPERLINK("http://www.ensembl.org/id/WBGene00010382", "WBGene00010382")</f>
        <v>WBGene00010382</v>
      </c>
      <c r="B24" s="9" t="str">
        <f>HYPERLINK("http://www.ncbi.nlm.nih.gov/gene/179988", "179988")</f>
        <v>179988</v>
      </c>
      <c r="C24" s="9"/>
      <c r="D24" t="str">
        <f>"H12D21.6"</f>
        <v>H12D21.6</v>
      </c>
      <c r="F24" t="s">
        <v>11</v>
      </c>
      <c r="H24" s="12">
        <v>28.569923961540301</v>
      </c>
      <c r="I24" s="11">
        <v>1.43249317964363</v>
      </c>
      <c r="J24" s="10">
        <v>0.15200272863328201</v>
      </c>
      <c r="K24" s="29">
        <v>0.85767400434691698</v>
      </c>
    </row>
    <row r="25" spans="1:11" x14ac:dyDescent="0.35">
      <c r="A25" s="9" t="str">
        <f>HYPERLINK("http://www.ensembl.org/id/WBGene00200101", "WBGene00200101")</f>
        <v>WBGene00200101</v>
      </c>
      <c r="B25" s="9"/>
      <c r="C25" s="9"/>
      <c r="D25" t="str">
        <f>"R06C1.11"</f>
        <v>R06C1.11</v>
      </c>
      <c r="F25" t="s">
        <v>481</v>
      </c>
      <c r="H25" s="12">
        <v>28.569923961540301</v>
      </c>
      <c r="I25" s="11">
        <v>1.43249317964363</v>
      </c>
      <c r="J25" s="10">
        <v>0.15200272863328201</v>
      </c>
      <c r="K25" s="29">
        <v>0.85767400434691698</v>
      </c>
    </row>
    <row r="26" spans="1:11" x14ac:dyDescent="0.35">
      <c r="A26" s="9" t="str">
        <f>HYPERLINK("http://www.ensembl.org/id/WBGene00015421", "WBGene00015421")</f>
        <v>WBGene00015421</v>
      </c>
      <c r="B26" s="9" t="str">
        <f>HYPERLINK("http://www.ncbi.nlm.nih.gov/gene/182202", "182202")</f>
        <v>182202</v>
      </c>
      <c r="C26" s="9"/>
      <c r="D26" t="str">
        <f>"C04E6.4"</f>
        <v>C04E6.4</v>
      </c>
      <c r="F26" t="s">
        <v>11</v>
      </c>
      <c r="G26" t="s">
        <v>25</v>
      </c>
      <c r="H26" s="12">
        <v>27.5007748592555</v>
      </c>
      <c r="I26" s="11">
        <v>1.47372790018597</v>
      </c>
      <c r="J26" s="10">
        <v>0.14055486767980099</v>
      </c>
      <c r="K26" s="29">
        <v>0.83300336047129897</v>
      </c>
    </row>
    <row r="27" spans="1:11" x14ac:dyDescent="0.35">
      <c r="A27" s="9" t="str">
        <f>HYPERLINK("http://www.ensembl.org/id/WBGene00009423", "WBGene00009423")</f>
        <v>WBGene00009423</v>
      </c>
      <c r="B27" s="9" t="str">
        <f>HYPERLINK("http://www.ncbi.nlm.nih.gov/gene/185301", "185301")</f>
        <v>185301</v>
      </c>
      <c r="C27" s="9"/>
      <c r="D27" t="str">
        <f>"F35E8.10"</f>
        <v>F35E8.10</v>
      </c>
      <c r="F27" t="s">
        <v>11</v>
      </c>
      <c r="H27" s="12">
        <v>27.5007748592555</v>
      </c>
      <c r="I27" s="11">
        <v>1.47372790018597</v>
      </c>
      <c r="J27" s="10">
        <v>0.14055486767980099</v>
      </c>
      <c r="K27" s="29">
        <v>0.83300336047129897</v>
      </c>
    </row>
    <row r="28" spans="1:11" x14ac:dyDescent="0.35">
      <c r="A28" s="9" t="str">
        <f>HYPERLINK("http://www.ensembl.org/id/WBGene00000665", "WBGene00000665")</f>
        <v>WBGene00000665</v>
      </c>
      <c r="B28" s="9" t="str">
        <f>HYPERLINK("http://www.ncbi.nlm.nih.gov/gene/176117", "176117")</f>
        <v>176117</v>
      </c>
      <c r="C28" s="9"/>
      <c r="D28" t="str">
        <f>"col-90"</f>
        <v>col-90</v>
      </c>
      <c r="E28" t="s">
        <v>460</v>
      </c>
      <c r="F28" t="s">
        <v>11</v>
      </c>
      <c r="G28" t="s">
        <v>152</v>
      </c>
      <c r="H28" s="12">
        <v>27.202880853656399</v>
      </c>
      <c r="I28" s="11">
        <v>3.5088053926743599</v>
      </c>
      <c r="J28" s="10">
        <v>4.5012413218529498E-4</v>
      </c>
      <c r="K28" s="29">
        <v>2.1033651869302401E-2</v>
      </c>
    </row>
    <row r="29" spans="1:11" x14ac:dyDescent="0.35">
      <c r="A29" s="9" t="str">
        <f>HYPERLINK("http://www.ensembl.org/id/WBGene00013943", "WBGene00013943")</f>
        <v>WBGene00013943</v>
      </c>
      <c r="B29" s="9" t="str">
        <f>HYPERLINK("http://www.ncbi.nlm.nih.gov/gene/191249", "191249")</f>
        <v>191249</v>
      </c>
      <c r="C29" s="9"/>
      <c r="D29" t="str">
        <f>"ZK218.11"</f>
        <v>ZK218.11</v>
      </c>
      <c r="F29" t="s">
        <v>11</v>
      </c>
      <c r="H29" s="12">
        <v>27.1269424808285</v>
      </c>
      <c r="I29" s="11">
        <v>1.63835563930337</v>
      </c>
      <c r="J29" s="10">
        <v>0.101347527295212</v>
      </c>
      <c r="K29" s="29">
        <v>0.73462160068528903</v>
      </c>
    </row>
    <row r="30" spans="1:11" x14ac:dyDescent="0.35">
      <c r="A30" s="9" t="str">
        <f>HYPERLINK("http://www.ensembl.org/id/WBGene00008853", "WBGene00008853")</f>
        <v>WBGene00008853</v>
      </c>
      <c r="B30" s="9" t="str">
        <f>HYPERLINK("http://www.ncbi.nlm.nih.gov/gene/184525", "184525")</f>
        <v>184525</v>
      </c>
      <c r="C30" s="9"/>
      <c r="D30" t="str">
        <f>"clec-101"</f>
        <v>clec-101</v>
      </c>
      <c r="E30" t="s">
        <v>46</v>
      </c>
      <c r="F30" t="s">
        <v>11</v>
      </c>
      <c r="G30" t="s">
        <v>47</v>
      </c>
      <c r="H30" s="12">
        <v>26.7081684250455</v>
      </c>
      <c r="I30" s="11">
        <v>1.38654931783484</v>
      </c>
      <c r="J30" s="10">
        <v>0.165579231915647</v>
      </c>
      <c r="K30" s="29">
        <v>0.88498397685845498</v>
      </c>
    </row>
    <row r="31" spans="1:11" x14ac:dyDescent="0.35">
      <c r="A31" s="9" t="str">
        <f>HYPERLINK("http://www.ensembl.org/id/WBGene00008798", "WBGene00008798")</f>
        <v>WBGene00008798</v>
      </c>
      <c r="B31" s="9" t="str">
        <f>HYPERLINK("http://www.ncbi.nlm.nih.gov/gene/3565202", "3565202")</f>
        <v>3565202</v>
      </c>
      <c r="C31" s="9"/>
      <c r="D31" t="str">
        <f>"F14D7.11"</f>
        <v>F14D7.11</v>
      </c>
      <c r="F31" t="s">
        <v>11</v>
      </c>
      <c r="G31" t="s">
        <v>2947</v>
      </c>
      <c r="H31" s="12">
        <v>26.7081684250455</v>
      </c>
      <c r="I31" s="11">
        <v>1.38654931783484</v>
      </c>
      <c r="J31" s="10">
        <v>0.165579231915647</v>
      </c>
      <c r="K31" s="29">
        <v>0.88498397685845498</v>
      </c>
    </row>
    <row r="32" spans="1:11" x14ac:dyDescent="0.35">
      <c r="A32" s="9" t="str">
        <f>HYPERLINK("http://www.ensembl.org/id/WBGene00007494", "WBGene00007494")</f>
        <v>WBGene00007494</v>
      </c>
      <c r="B32" s="9" t="str">
        <f>HYPERLINK("http://www.ncbi.nlm.nih.gov/gene/182463", "182463")</f>
        <v>182463</v>
      </c>
      <c r="C32" s="9"/>
      <c r="D32" t="str">
        <f>"C09G9.3"</f>
        <v>C09G9.3</v>
      </c>
      <c r="F32" t="s">
        <v>11</v>
      </c>
      <c r="H32" s="12">
        <v>26.4166062493623</v>
      </c>
      <c r="I32" s="11">
        <v>1.3530131651866399</v>
      </c>
      <c r="J32" s="10">
        <v>0.17605142455110601</v>
      </c>
      <c r="K32" s="29">
        <v>0.90585029805180195</v>
      </c>
    </row>
    <row r="33" spans="1:11" x14ac:dyDescent="0.35">
      <c r="A33" s="9" t="str">
        <f>HYPERLINK("http://www.ensembl.org/id/WBGene00005163", "WBGene00005163")</f>
        <v>WBGene00005163</v>
      </c>
      <c r="B33" s="9" t="str">
        <f>HYPERLINK("http://www.ncbi.nlm.nih.gov/gene/24104887", "24104887")</f>
        <v>24104887</v>
      </c>
      <c r="C33" s="9"/>
      <c r="D33" t="str">
        <f>"srg-5"</f>
        <v>srg-5</v>
      </c>
      <c r="E33" t="s">
        <v>3568</v>
      </c>
      <c r="F33" t="s">
        <v>11</v>
      </c>
      <c r="G33" t="s">
        <v>1829</v>
      </c>
      <c r="H33" s="12">
        <v>26.4166062493623</v>
      </c>
      <c r="I33" s="11">
        <v>1.3530131651866399</v>
      </c>
      <c r="J33" s="10">
        <v>0.17605142455110601</v>
      </c>
      <c r="K33" s="29">
        <v>0.90585029805180195</v>
      </c>
    </row>
    <row r="34" spans="1:11" x14ac:dyDescent="0.35">
      <c r="A34" s="9" t="str">
        <f>HYPERLINK("http://www.ensembl.org/id/WBGene00017233", "WBGene00017233")</f>
        <v>WBGene00017233</v>
      </c>
      <c r="B34" s="9" t="str">
        <f>HYPERLINK("http://www.ncbi.nlm.nih.gov/gene/179121", "179121")</f>
        <v>179121</v>
      </c>
      <c r="C34" s="9"/>
      <c r="D34" t="str">
        <f>"lmd-4"</f>
        <v>lmd-4</v>
      </c>
      <c r="E34" t="s">
        <v>2968</v>
      </c>
      <c r="F34" t="s">
        <v>11</v>
      </c>
      <c r="G34" t="s">
        <v>2969</v>
      </c>
      <c r="H34" s="12">
        <v>26.3827830207162</v>
      </c>
      <c r="I34" s="11">
        <v>1.51508045109636</v>
      </c>
      <c r="J34" s="10">
        <v>0.12975203164173499</v>
      </c>
      <c r="K34" s="29">
        <v>0.81247979488182098</v>
      </c>
    </row>
    <row r="35" spans="1:11" x14ac:dyDescent="0.35">
      <c r="A35" s="9" t="str">
        <f>HYPERLINK("http://www.ensembl.org/id/WBGene00015439", "WBGene00015439")</f>
        <v>WBGene00015439</v>
      </c>
      <c r="B35" s="9"/>
      <c r="C35" s="9"/>
      <c r="D35" t="str">
        <f>"C04E12.10"</f>
        <v>C04E12.10</v>
      </c>
      <c r="F35" t="s">
        <v>80</v>
      </c>
      <c r="H35" s="12">
        <v>24.886463792794899</v>
      </c>
      <c r="I35" s="11">
        <v>1.3108178369413299</v>
      </c>
      <c r="J35" s="10">
        <v>0.189919314836138</v>
      </c>
      <c r="K35" s="29">
        <v>0.92834517192120303</v>
      </c>
    </row>
    <row r="36" spans="1:11" x14ac:dyDescent="0.35">
      <c r="A36" s="9" t="str">
        <f>HYPERLINK("http://www.ensembl.org/id/WBGene00235313", "WBGene00235313")</f>
        <v>WBGene00235313</v>
      </c>
      <c r="B36" s="9" t="str">
        <f>HYPERLINK("http://www.ncbi.nlm.nih.gov/gene/24104247", "24104247")</f>
        <v>24104247</v>
      </c>
      <c r="C36" s="9"/>
      <c r="D36" t="str">
        <f>"C25E10.17"</f>
        <v>C25E10.17</v>
      </c>
      <c r="F36" t="s">
        <v>11</v>
      </c>
      <c r="H36" s="12">
        <v>24.321429654426002</v>
      </c>
      <c r="I36" s="11">
        <v>1.4928453834341699</v>
      </c>
      <c r="J36" s="10">
        <v>0.135477664465388</v>
      </c>
      <c r="K36" s="29">
        <v>0.82616704015234699</v>
      </c>
    </row>
    <row r="37" spans="1:11" x14ac:dyDescent="0.35">
      <c r="A37" s="9" t="str">
        <f>HYPERLINK("http://www.ensembl.org/id/WBGene00015882", "WBGene00015882")</f>
        <v>WBGene00015882</v>
      </c>
      <c r="B37" s="9" t="str">
        <f>HYPERLINK("http://www.ncbi.nlm.nih.gov/gene/182708", "182708")</f>
        <v>182708</v>
      </c>
      <c r="C37" s="9"/>
      <c r="D37" t="str">
        <f>"C17B7.8"</f>
        <v>C17B7.8</v>
      </c>
      <c r="F37" t="s">
        <v>11</v>
      </c>
      <c r="H37" s="12">
        <v>24.1648152546917</v>
      </c>
      <c r="I37" s="11">
        <v>1.9088399971610499</v>
      </c>
      <c r="J37" s="10">
        <v>5.6282735412620001E-2</v>
      </c>
      <c r="K37" s="29">
        <v>0.55862065482989598</v>
      </c>
    </row>
    <row r="38" spans="1:11" x14ac:dyDescent="0.35">
      <c r="A38" s="9" t="str">
        <f>HYPERLINK("http://www.ensembl.org/id/WBGene00007655", "WBGene00007655")</f>
        <v>WBGene00007655</v>
      </c>
      <c r="B38" s="9" t="str">
        <f>HYPERLINK("http://www.ncbi.nlm.nih.gov/gene/182745", "182745")</f>
        <v>182745</v>
      </c>
      <c r="C38" s="9"/>
      <c r="D38" t="str">
        <f>"C17H1.2"</f>
        <v>C17H1.2</v>
      </c>
      <c r="F38" t="s">
        <v>11</v>
      </c>
      <c r="H38" s="12">
        <v>24.114437732252501</v>
      </c>
      <c r="I38" s="11">
        <v>1.2674740215161699</v>
      </c>
      <c r="J38" s="10">
        <v>0.20498584689827801</v>
      </c>
      <c r="K38" s="29">
        <v>0.95344884972558597</v>
      </c>
    </row>
    <row r="39" spans="1:11" x14ac:dyDescent="0.35">
      <c r="A39" s="9" t="str">
        <f>HYPERLINK("http://www.ensembl.org/id/WBGene00005480", "WBGene00005480")</f>
        <v>WBGene00005480</v>
      </c>
      <c r="B39" s="9" t="str">
        <f>HYPERLINK("http://www.ncbi.nlm.nih.gov/gene/191898", "191898")</f>
        <v>191898</v>
      </c>
      <c r="C39" s="9"/>
      <c r="D39" t="str">
        <f>"srh-275"</f>
        <v>srh-275</v>
      </c>
      <c r="E39" t="s">
        <v>153</v>
      </c>
      <c r="F39" t="s">
        <v>11</v>
      </c>
      <c r="G39" t="s">
        <v>25</v>
      </c>
      <c r="H39" s="12">
        <v>24.114437732252501</v>
      </c>
      <c r="I39" s="11">
        <v>1.2674740215161699</v>
      </c>
      <c r="J39" s="10">
        <v>0.20498584689827801</v>
      </c>
      <c r="K39" s="29">
        <v>0.95344884972558597</v>
      </c>
    </row>
    <row r="40" spans="1:11" x14ac:dyDescent="0.35">
      <c r="A40" s="9" t="str">
        <f>HYPERLINK("http://www.ensembl.org/id/WBGene00012147", "WBGene00012147")</f>
        <v>WBGene00012147</v>
      </c>
      <c r="B40" s="9"/>
      <c r="C40" s="9"/>
      <c r="D40" t="str">
        <f>"VC27A7L.1"</f>
        <v>VC27A7L.1</v>
      </c>
      <c r="F40" t="s">
        <v>80</v>
      </c>
      <c r="H40" s="12">
        <v>23.734861234811401</v>
      </c>
      <c r="I40" s="11">
        <v>1.3180928775576399</v>
      </c>
      <c r="J40" s="10">
        <v>0.18747255849431599</v>
      </c>
      <c r="K40" s="29">
        <v>0.92558703629806605</v>
      </c>
    </row>
    <row r="41" spans="1:11" x14ac:dyDescent="0.35">
      <c r="A41" s="9" t="str">
        <f>HYPERLINK("http://www.ensembl.org/id/WBGene00194801", "WBGene00194801")</f>
        <v>WBGene00194801</v>
      </c>
      <c r="B41" s="9" t="str">
        <f>HYPERLINK("http://www.ncbi.nlm.nih.gov/gene/13217918", "13217918")</f>
        <v>13217918</v>
      </c>
      <c r="C41" s="9"/>
      <c r="D41" t="str">
        <f>"Y6G8.16"</f>
        <v>Y6G8.16</v>
      </c>
      <c r="F41" t="s">
        <v>11</v>
      </c>
      <c r="H41" s="12">
        <v>23.471380051462798</v>
      </c>
      <c r="I41" s="11">
        <v>1.2887260285398201</v>
      </c>
      <c r="J41" s="10">
        <v>0.19749335026168199</v>
      </c>
      <c r="K41" s="29">
        <v>0.942627068880589</v>
      </c>
    </row>
    <row r="42" spans="1:11" x14ac:dyDescent="0.35">
      <c r="A42" s="9" t="str">
        <f>HYPERLINK("http://www.ensembl.org/id/WBGene00077434", "WBGene00077434")</f>
        <v>WBGene00077434</v>
      </c>
      <c r="B42" s="9"/>
      <c r="C42" s="9"/>
      <c r="D42" t="str">
        <f>"F46B3.20"</f>
        <v>F46B3.20</v>
      </c>
      <c r="F42" t="s">
        <v>80</v>
      </c>
      <c r="H42" s="12">
        <v>22.959137912475299</v>
      </c>
      <c r="I42" s="11">
        <v>1.22999411184638</v>
      </c>
      <c r="J42" s="10">
        <v>0.21869930980117799</v>
      </c>
      <c r="K42" s="29">
        <v>0.97042364854653596</v>
      </c>
    </row>
    <row r="43" spans="1:11" x14ac:dyDescent="0.35">
      <c r="A43" s="9" t="str">
        <f>HYPERLINK("http://www.ensembl.org/id/WBGene00006201", "WBGene00006201")</f>
        <v>WBGene00006201</v>
      </c>
      <c r="B43" s="9" t="str">
        <f>HYPERLINK("http://www.ncbi.nlm.nih.gov/gene/189415", "189415")</f>
        <v>189415</v>
      </c>
      <c r="C43" s="9"/>
      <c r="D43" t="str">
        <f>"str-155"</f>
        <v>str-155</v>
      </c>
      <c r="E43" t="s">
        <v>590</v>
      </c>
      <c r="F43" t="s">
        <v>11</v>
      </c>
      <c r="G43" t="s">
        <v>591</v>
      </c>
      <c r="H43" s="12">
        <v>22.320045093763699</v>
      </c>
      <c r="I43" s="11">
        <v>1.3850432190753299</v>
      </c>
      <c r="J43" s="10">
        <v>0.16603925242272599</v>
      </c>
      <c r="K43" s="29">
        <v>0.88498397685845498</v>
      </c>
    </row>
    <row r="44" spans="1:11" x14ac:dyDescent="0.35">
      <c r="A44" s="9" t="str">
        <f>HYPERLINK("http://www.ensembl.org/id/WBGene00001785", "WBGene00001785")</f>
        <v>WBGene00001785</v>
      </c>
      <c r="B44" s="9" t="str">
        <f>HYPERLINK("http://www.ncbi.nlm.nih.gov/gene/189575", "189575")</f>
        <v>189575</v>
      </c>
      <c r="C44" s="9" t="str">
        <f>HYPERLINK("http://www.ncbi.nlm.nih.gov/gene/27306", "27306")</f>
        <v>27306</v>
      </c>
      <c r="D44" t="str">
        <f>"gst-37"</f>
        <v>gst-37</v>
      </c>
      <c r="E44" t="s">
        <v>272</v>
      </c>
      <c r="F44" t="s">
        <v>11</v>
      </c>
      <c r="G44" t="s">
        <v>876</v>
      </c>
      <c r="H44" s="12">
        <v>22.2340927671959</v>
      </c>
      <c r="I44" s="11">
        <v>1.2459444674228299</v>
      </c>
      <c r="J44" s="10">
        <v>0.21278478335815301</v>
      </c>
      <c r="K44" s="29">
        <v>0.96461530797172901</v>
      </c>
    </row>
    <row r="45" spans="1:11" x14ac:dyDescent="0.35">
      <c r="A45" s="9" t="str">
        <f>HYPERLINK("http://www.ensembl.org/id/WBGene00000252", "WBGene00000252")</f>
        <v>WBGene00000252</v>
      </c>
      <c r="B45" s="9" t="str">
        <f>HYPERLINK("http://www.ncbi.nlm.nih.gov/gene/191611", "191611")</f>
        <v>191611</v>
      </c>
      <c r="C45" s="9"/>
      <c r="D45" t="str">
        <f>"bli-2"</f>
        <v>bli-2</v>
      </c>
      <c r="E45" t="s">
        <v>2152</v>
      </c>
      <c r="F45" t="s">
        <v>11</v>
      </c>
      <c r="G45" t="s">
        <v>2153</v>
      </c>
      <c r="H45" s="12">
        <v>22.085568297872101</v>
      </c>
      <c r="I45" s="11">
        <v>1.7992647760043901</v>
      </c>
      <c r="J45" s="10">
        <v>7.19768071692896E-2</v>
      </c>
      <c r="K45" s="29">
        <v>0.63050203132042004</v>
      </c>
    </row>
    <row r="46" spans="1:11" x14ac:dyDescent="0.35">
      <c r="A46" s="9" t="str">
        <f>HYPERLINK("http://www.ensembl.org/id/WBGene00005388", "WBGene00005388")</f>
        <v>WBGene00005388</v>
      </c>
      <c r="B46" s="9" t="str">
        <f>HYPERLINK("http://www.ncbi.nlm.nih.gov/gene/190434", "190434")</f>
        <v>190434</v>
      </c>
      <c r="C46" s="9"/>
      <c r="D46" t="str">
        <f>"srh-172"</f>
        <v>srh-172</v>
      </c>
      <c r="E46" t="s">
        <v>153</v>
      </c>
      <c r="F46" t="s">
        <v>11</v>
      </c>
      <c r="G46" t="s">
        <v>25</v>
      </c>
      <c r="H46" s="12">
        <v>21.6196162908216</v>
      </c>
      <c r="I46" s="11">
        <v>1.17423555928443</v>
      </c>
      <c r="J46" s="10">
        <v>0.240300686596679</v>
      </c>
      <c r="K46" s="29">
        <v>0.98289565623980701</v>
      </c>
    </row>
    <row r="47" spans="1:11" x14ac:dyDescent="0.35">
      <c r="A47" s="9" t="str">
        <f>HYPERLINK("http://www.ensembl.org/id/WBGene00020642", "WBGene00020642")</f>
        <v>WBGene00020642</v>
      </c>
      <c r="B47" s="9" t="str">
        <f>HYPERLINK("http://www.ncbi.nlm.nih.gov/gene/188669", "188669")</f>
        <v>188669</v>
      </c>
      <c r="C47" s="9"/>
      <c r="D47" t="str">
        <f>"T20H9.6"</f>
        <v>T20H9.6</v>
      </c>
      <c r="F47" t="s">
        <v>11</v>
      </c>
      <c r="H47" s="12">
        <v>21.6196162908216</v>
      </c>
      <c r="I47" s="11">
        <v>1.17423555928443</v>
      </c>
      <c r="J47" s="10">
        <v>0.240300686596679</v>
      </c>
      <c r="K47" s="29">
        <v>0.98289565623980701</v>
      </c>
    </row>
    <row r="48" spans="1:11" x14ac:dyDescent="0.35">
      <c r="A48" s="9" t="str">
        <f>HYPERLINK("http://www.ensembl.org/id/WBGene00005756", "WBGene00005756")</f>
        <v>WBGene00005756</v>
      </c>
      <c r="B48" s="9" t="str">
        <f>HYPERLINK("http://www.ncbi.nlm.nih.gov/gene/3565297", "3565297")</f>
        <v>3565297</v>
      </c>
      <c r="C48" s="9"/>
      <c r="D48" t="str">
        <f>"srw-9"</f>
        <v>srw-9</v>
      </c>
      <c r="E48" t="s">
        <v>1014</v>
      </c>
      <c r="F48" t="s">
        <v>11</v>
      </c>
      <c r="G48" t="s">
        <v>1780</v>
      </c>
      <c r="H48" s="12">
        <v>21.273246397285501</v>
      </c>
      <c r="I48" s="11">
        <v>1.3273171828203201</v>
      </c>
      <c r="J48" s="10">
        <v>0.184403782193368</v>
      </c>
      <c r="K48" s="29">
        <v>0.92205881656783595</v>
      </c>
    </row>
    <row r="49" spans="1:11" x14ac:dyDescent="0.35">
      <c r="A49" s="9" t="str">
        <f>HYPERLINK("http://www.ensembl.org/id/WBGene00006181", "WBGene00006181")</f>
        <v>WBGene00006181</v>
      </c>
      <c r="B49" s="9"/>
      <c r="C49" s="9"/>
      <c r="D49" t="str">
        <f>"str-133"</f>
        <v>str-133</v>
      </c>
      <c r="F49" t="s">
        <v>80</v>
      </c>
      <c r="H49" s="12">
        <v>21.273246397285501</v>
      </c>
      <c r="I49" s="11">
        <v>1.3273171828203201</v>
      </c>
      <c r="J49" s="10">
        <v>0.184403782193368</v>
      </c>
      <c r="K49" s="29">
        <v>0.92205881656783595</v>
      </c>
    </row>
    <row r="50" spans="1:11" x14ac:dyDescent="0.35">
      <c r="A50" s="9" t="str">
        <f>HYPERLINK("http://www.ensembl.org/id/WBGene00011183", "WBGene00011183")</f>
        <v>WBGene00011183</v>
      </c>
      <c r="B50" s="9" t="str">
        <f>HYPERLINK("http://www.ncbi.nlm.nih.gov/gene/3565342", "3565342")</f>
        <v>3565342</v>
      </c>
      <c r="C50" s="9"/>
      <c r="D50" t="str">
        <f>"R09H10.6"</f>
        <v>R09H10.6</v>
      </c>
      <c r="F50" t="s">
        <v>11</v>
      </c>
      <c r="G50" t="s">
        <v>325</v>
      </c>
      <c r="H50" s="12">
        <v>21.2556444912755</v>
      </c>
      <c r="I50" s="11">
        <v>1.18457169096875</v>
      </c>
      <c r="J50" s="10">
        <v>0.236186835403803</v>
      </c>
      <c r="K50" s="29">
        <v>0.98289565623980701</v>
      </c>
    </row>
    <row r="51" spans="1:11" x14ac:dyDescent="0.35">
      <c r="A51" s="9" t="str">
        <f>HYPERLINK("http://www.ensembl.org/id/WBGene00006227", "WBGene00006227")</f>
        <v>WBGene00006227</v>
      </c>
      <c r="B51" s="9"/>
      <c r="C51" s="9"/>
      <c r="D51" t="str">
        <f>"str-183"</f>
        <v>str-183</v>
      </c>
      <c r="F51" t="s">
        <v>80</v>
      </c>
      <c r="H51" s="12">
        <v>21.2556444912755</v>
      </c>
      <c r="I51" s="11">
        <v>1.18457169096875</v>
      </c>
      <c r="J51" s="10">
        <v>0.236186835403803</v>
      </c>
      <c r="K51" s="29">
        <v>0.98289565623980701</v>
      </c>
    </row>
    <row r="52" spans="1:11" x14ac:dyDescent="0.35">
      <c r="A52" s="9" t="str">
        <f>HYPERLINK("http://www.ensembl.org/id/WBGene00009630", "WBGene00009630")</f>
        <v>WBGene00009630</v>
      </c>
      <c r="B52" s="9" t="str">
        <f>HYPERLINK("http://www.ncbi.nlm.nih.gov/gene/185667", "185667")</f>
        <v>185667</v>
      </c>
      <c r="C52" s="9"/>
      <c r="D52" t="str">
        <f>"F42E8.1"</f>
        <v>F42E8.1</v>
      </c>
      <c r="F52" t="s">
        <v>11</v>
      </c>
      <c r="H52" s="12">
        <v>21.132193054183301</v>
      </c>
      <c r="I52" s="11">
        <v>1.77932694788469</v>
      </c>
      <c r="J52" s="10">
        <v>7.5186175411396994E-2</v>
      </c>
      <c r="K52" s="29">
        <v>0.644802884246089</v>
      </c>
    </row>
    <row r="53" spans="1:11" x14ac:dyDescent="0.35">
      <c r="A53" s="9" t="str">
        <f>HYPERLINK("http://www.ensembl.org/id/WBGene00007729", "WBGene00007729")</f>
        <v>WBGene00007729</v>
      </c>
      <c r="B53" s="9" t="str">
        <f>HYPERLINK("http://www.ncbi.nlm.nih.gov/gene/182914", "182914")</f>
        <v>182914</v>
      </c>
      <c r="C53" s="9"/>
      <c r="D53" t="str">
        <f>"clec-185"</f>
        <v>clec-185</v>
      </c>
      <c r="E53" t="s">
        <v>46</v>
      </c>
      <c r="F53" t="s">
        <v>11</v>
      </c>
      <c r="G53" t="s">
        <v>47</v>
      </c>
      <c r="H53" s="12">
        <v>21.118614808062699</v>
      </c>
      <c r="I53" s="11">
        <v>1.8085961193793301</v>
      </c>
      <c r="J53" s="10">
        <v>7.0513771819201806E-2</v>
      </c>
      <c r="K53" s="29">
        <v>0.62837364807353702</v>
      </c>
    </row>
    <row r="54" spans="1:11" x14ac:dyDescent="0.35">
      <c r="A54" s="9" t="str">
        <f>HYPERLINK("http://www.ensembl.org/id/WBGene00013913", "WBGene00013913")</f>
        <v>WBGene00013913</v>
      </c>
      <c r="B54" s="9" t="str">
        <f>HYPERLINK("http://www.ncbi.nlm.nih.gov/gene/191186", "191186")</f>
        <v>191186</v>
      </c>
      <c r="C54" s="9"/>
      <c r="D54" t="str">
        <f>"irld-61"</f>
        <v>irld-61</v>
      </c>
      <c r="E54" t="s">
        <v>1627</v>
      </c>
      <c r="F54" t="s">
        <v>11</v>
      </c>
      <c r="H54" s="12">
        <v>20.901393112954899</v>
      </c>
      <c r="I54" s="11">
        <v>1.143037777283</v>
      </c>
      <c r="J54" s="10">
        <v>0.25302290659746701</v>
      </c>
      <c r="K54" s="29">
        <v>0.98289565623980701</v>
      </c>
    </row>
    <row r="55" spans="1:11" x14ac:dyDescent="0.35">
      <c r="A55" s="9" t="str">
        <f>HYPERLINK("http://www.ensembl.org/id/WBGene00015873", "WBGene00015873")</f>
        <v>WBGene00015873</v>
      </c>
      <c r="B55" s="9" t="str">
        <f>HYPERLINK("http://www.ncbi.nlm.nih.gov/gene/182701", "182701")</f>
        <v>182701</v>
      </c>
      <c r="C55" s="9"/>
      <c r="D55" t="str">
        <f>"oac-4"</f>
        <v>oac-4</v>
      </c>
      <c r="E55" t="s">
        <v>883</v>
      </c>
      <c r="F55" t="s">
        <v>11</v>
      </c>
      <c r="G55" t="s">
        <v>1992</v>
      </c>
      <c r="H55" s="12">
        <v>20.901393112954899</v>
      </c>
      <c r="I55" s="11">
        <v>1.143037777283</v>
      </c>
      <c r="J55" s="10">
        <v>0.25302290659746701</v>
      </c>
      <c r="K55" s="29">
        <v>0.98289565623980701</v>
      </c>
    </row>
    <row r="56" spans="1:11" x14ac:dyDescent="0.35">
      <c r="A56" s="9" t="str">
        <f>HYPERLINK("http://www.ensembl.org/id/WBGene00005257", "WBGene00005257")</f>
        <v>WBGene00005257</v>
      </c>
      <c r="B56" s="9" t="str">
        <f>HYPERLINK("http://www.ncbi.nlm.nih.gov/gene/191853", "191853")</f>
        <v>191853</v>
      </c>
      <c r="C56" s="9"/>
      <c r="D56" t="str">
        <f>"srh-34"</f>
        <v>srh-34</v>
      </c>
      <c r="E56" t="s">
        <v>153</v>
      </c>
      <c r="F56" t="s">
        <v>11</v>
      </c>
      <c r="G56" t="s">
        <v>25</v>
      </c>
      <c r="H56" s="12">
        <v>20.901393112954899</v>
      </c>
      <c r="I56" s="11">
        <v>1.143037777283</v>
      </c>
      <c r="J56" s="10">
        <v>0.25302290659746701</v>
      </c>
      <c r="K56" s="29">
        <v>0.98289565623980701</v>
      </c>
    </row>
    <row r="57" spans="1:11" x14ac:dyDescent="0.35">
      <c r="A57" s="9" t="str">
        <f>HYPERLINK("http://www.ensembl.org/id/WBGene00015069", "WBGene00015069")</f>
        <v>WBGene00015069</v>
      </c>
      <c r="B57" s="9" t="str">
        <f>HYPERLINK("http://www.ncbi.nlm.nih.gov/gene/181869", "181869")</f>
        <v>181869</v>
      </c>
      <c r="C57" s="9"/>
      <c r="D57" t="str">
        <f>"srt-67"</f>
        <v>srt-67</v>
      </c>
      <c r="E57" t="s">
        <v>2845</v>
      </c>
      <c r="F57" t="s">
        <v>11</v>
      </c>
      <c r="G57" t="s">
        <v>25</v>
      </c>
      <c r="H57" s="12">
        <v>20.901393112954899</v>
      </c>
      <c r="I57" s="11">
        <v>1.143037777283</v>
      </c>
      <c r="J57" s="10">
        <v>0.25302290659746701</v>
      </c>
      <c r="K57" s="29">
        <v>0.98289565623980701</v>
      </c>
    </row>
    <row r="58" spans="1:11" x14ac:dyDescent="0.35">
      <c r="A58" s="9" t="str">
        <f>HYPERLINK("http://www.ensembl.org/id/WBGene00015869", "WBGene00015869")</f>
        <v>WBGene00015869</v>
      </c>
      <c r="B58" s="9" t="str">
        <f>HYPERLINK("http://www.ncbi.nlm.nih.gov/gene/182697", "182697")</f>
        <v>182697</v>
      </c>
      <c r="C58" s="9"/>
      <c r="D58" t="str">
        <f>"nhr-257"</f>
        <v>nhr-257</v>
      </c>
      <c r="E58" t="s">
        <v>637</v>
      </c>
      <c r="F58" t="s">
        <v>11</v>
      </c>
      <c r="G58" t="s">
        <v>1073</v>
      </c>
      <c r="H58" s="12">
        <v>20.7629382176242</v>
      </c>
      <c r="I58" s="11">
        <v>2.08253019743902</v>
      </c>
      <c r="J58" s="10">
        <v>3.7294067574962703E-2</v>
      </c>
      <c r="K58" s="29">
        <v>0.44326992046661001</v>
      </c>
    </row>
    <row r="59" spans="1:11" x14ac:dyDescent="0.35">
      <c r="A59" s="9" t="str">
        <f>HYPERLINK("http://www.ensembl.org/id/WBGene00235090", "WBGene00235090")</f>
        <v>WBGene00235090</v>
      </c>
      <c r="B59" s="9"/>
      <c r="C59" s="9"/>
      <c r="D59" t="str">
        <f>"C38D9.13"</f>
        <v>C38D9.13</v>
      </c>
      <c r="F59" t="s">
        <v>481</v>
      </c>
      <c r="H59" s="12">
        <v>20.658980212134001</v>
      </c>
      <c r="I59" s="11">
        <v>1.1693177896185201</v>
      </c>
      <c r="J59" s="10">
        <v>0.24227561835236699</v>
      </c>
      <c r="K59" s="29">
        <v>0.98289565623980701</v>
      </c>
    </row>
    <row r="60" spans="1:11" x14ac:dyDescent="0.35">
      <c r="A60" s="9" t="str">
        <f>HYPERLINK("http://www.ensembl.org/id/WBGene00194888", "WBGene00194888")</f>
        <v>WBGene00194888</v>
      </c>
      <c r="B60" s="9" t="str">
        <f>HYPERLINK("http://www.ncbi.nlm.nih.gov/gene/13187981", "13187981")</f>
        <v>13187981</v>
      </c>
      <c r="C60" s="9"/>
      <c r="D60" t="str">
        <f>"K10H10.13"</f>
        <v>K10H10.13</v>
      </c>
      <c r="F60" t="s">
        <v>11</v>
      </c>
      <c r="H60" s="12">
        <v>20.658980212134001</v>
      </c>
      <c r="I60" s="11">
        <v>1.1693177896185201</v>
      </c>
      <c r="J60" s="10">
        <v>0.24227561835236699</v>
      </c>
      <c r="K60" s="29">
        <v>0.98289565623980701</v>
      </c>
    </row>
    <row r="61" spans="1:11" x14ac:dyDescent="0.35">
      <c r="A61" s="9" t="str">
        <f>HYPERLINK("http://www.ensembl.org/id/WBGene00199331", "WBGene00199331")</f>
        <v>WBGene00199331</v>
      </c>
      <c r="B61" s="9"/>
      <c r="C61" s="9"/>
      <c r="D61" t="str">
        <f>"K12D12.9"</f>
        <v>K12D12.9</v>
      </c>
      <c r="F61" t="s">
        <v>481</v>
      </c>
      <c r="H61" s="12">
        <v>20.658980212134001</v>
      </c>
      <c r="I61" s="11">
        <v>1.1693177896185201</v>
      </c>
      <c r="J61" s="10">
        <v>0.24227561835236699</v>
      </c>
      <c r="K61" s="29">
        <v>0.98289565623980701</v>
      </c>
    </row>
    <row r="62" spans="1:11" x14ac:dyDescent="0.35">
      <c r="A62" s="9" t="str">
        <f>HYPERLINK("http://www.ensembl.org/id/WBGene00018670", "WBGene00018670")</f>
        <v>WBGene00018670</v>
      </c>
      <c r="B62" s="9" t="str">
        <f>HYPERLINK("http://www.ncbi.nlm.nih.gov/gene/186095", "186095")</f>
        <v>186095</v>
      </c>
      <c r="C62" s="9"/>
      <c r="D62" t="str">
        <f>"F52C6.13"</f>
        <v>F52C6.13</v>
      </c>
      <c r="F62" t="s">
        <v>11</v>
      </c>
      <c r="H62" s="12">
        <v>20.578158262103699</v>
      </c>
      <c r="I62" s="11">
        <v>1.7183860783262199</v>
      </c>
      <c r="J62" s="10">
        <v>8.5726217950718803E-2</v>
      </c>
      <c r="K62" s="29">
        <v>0.68662865923821603</v>
      </c>
    </row>
    <row r="63" spans="1:11" x14ac:dyDescent="0.35">
      <c r="A63" s="9" t="str">
        <f>HYPERLINK("http://www.ensembl.org/id/WBGene00000606", "WBGene00000606")</f>
        <v>WBGene00000606</v>
      </c>
      <c r="B63" s="9" t="str">
        <f>HYPERLINK("http://www.ncbi.nlm.nih.gov/gene/173839", "173839")</f>
        <v>173839</v>
      </c>
      <c r="C63" s="9"/>
      <c r="D63" t="str">
        <f>"col-17"</f>
        <v>col-17</v>
      </c>
      <c r="E63" t="s">
        <v>40</v>
      </c>
      <c r="F63" t="s">
        <v>11</v>
      </c>
      <c r="G63" t="s">
        <v>593</v>
      </c>
      <c r="H63" s="12">
        <v>20.2337107272065</v>
      </c>
      <c r="I63" s="11">
        <v>3.13379099521647</v>
      </c>
      <c r="J63" s="10">
        <v>1.72563720905808E-3</v>
      </c>
      <c r="K63" s="29">
        <v>5.8926624649158002E-2</v>
      </c>
    </row>
    <row r="64" spans="1:11" x14ac:dyDescent="0.35">
      <c r="A64" s="9" t="str">
        <f>HYPERLINK("http://www.ensembl.org/id/WBGene00015417", "WBGene00015417")</f>
        <v>WBGene00015417</v>
      </c>
      <c r="B64" s="9" t="str">
        <f>HYPERLINK("http://www.ncbi.nlm.nih.gov/gene/182198", "182198")</f>
        <v>182198</v>
      </c>
      <c r="C64" s="9"/>
      <c r="D64" t="str">
        <f>"C04C3.7"</f>
        <v>C04C3.7</v>
      </c>
      <c r="F64" t="s">
        <v>11</v>
      </c>
      <c r="G64" t="s">
        <v>25</v>
      </c>
      <c r="H64" s="12">
        <v>19.701629065252199</v>
      </c>
      <c r="I64" s="11">
        <v>1.16939711584642</v>
      </c>
      <c r="J64" s="10">
        <v>0.24224367132814401</v>
      </c>
      <c r="K64" s="29">
        <v>0.98289565623980701</v>
      </c>
    </row>
    <row r="65" spans="1:11" x14ac:dyDescent="0.35">
      <c r="A65" s="9" t="str">
        <f>HYPERLINK("http://www.ensembl.org/id/WBGene00000705", "WBGene00000705")</f>
        <v>WBGene00000705</v>
      </c>
      <c r="B65" s="9" t="str">
        <f>HYPERLINK("http://www.ncbi.nlm.nih.gov/gene/178254", "178254")</f>
        <v>178254</v>
      </c>
      <c r="C65" s="9"/>
      <c r="D65" t="str">
        <f>"col-131"</f>
        <v>col-131</v>
      </c>
      <c r="E65" t="s">
        <v>40</v>
      </c>
      <c r="F65" t="s">
        <v>11</v>
      </c>
      <c r="G65" t="s">
        <v>52</v>
      </c>
      <c r="H65" s="12">
        <v>19.522818350445501</v>
      </c>
      <c r="I65" s="11">
        <v>6.3317736605592501</v>
      </c>
      <c r="J65" s="10">
        <v>2.42358841349113E-10</v>
      </c>
      <c r="K65" s="29">
        <v>1.9432999573835899E-7</v>
      </c>
    </row>
    <row r="66" spans="1:11" x14ac:dyDescent="0.35">
      <c r="A66" s="9" t="str">
        <f>HYPERLINK("http://www.ensembl.org/id/WBGene00008816", "WBGene00008816")</f>
        <v>WBGene00008816</v>
      </c>
      <c r="B66" s="9" t="str">
        <f>HYPERLINK("http://www.ncbi.nlm.nih.gov/gene/184482", "184482")</f>
        <v>184482</v>
      </c>
      <c r="C66" s="9"/>
      <c r="D66" t="str">
        <f>"F14F8.8"</f>
        <v>F14F8.8</v>
      </c>
      <c r="F66" t="s">
        <v>11</v>
      </c>
      <c r="H66" s="12">
        <v>19.343573021201799</v>
      </c>
      <c r="I66" s="11">
        <v>1.70682432935364</v>
      </c>
      <c r="J66" s="10">
        <v>8.7854708930739406E-2</v>
      </c>
      <c r="K66" s="29">
        <v>0.69064774952796104</v>
      </c>
    </row>
    <row r="67" spans="1:11" x14ac:dyDescent="0.35">
      <c r="A67" s="9" t="str">
        <f>HYPERLINK("http://www.ensembl.org/id/WBGene00011933", "WBGene00011933")</f>
        <v>WBGene00011933</v>
      </c>
      <c r="B67" s="9"/>
      <c r="C67" s="9"/>
      <c r="D67" t="str">
        <f>"oac-47"</f>
        <v>oac-47</v>
      </c>
      <c r="F67" t="s">
        <v>80</v>
      </c>
      <c r="H67" s="12">
        <v>19.071979282918999</v>
      </c>
      <c r="I67" s="11">
        <v>1.2028966879384799</v>
      </c>
      <c r="J67" s="10">
        <v>0.22901630219432401</v>
      </c>
      <c r="K67" s="29">
        <v>0.98289565623980701</v>
      </c>
    </row>
    <row r="68" spans="1:11" x14ac:dyDescent="0.35">
      <c r="A68" s="9" t="str">
        <f>HYPERLINK("http://www.ensembl.org/id/WBGene00006172", "WBGene00006172")</f>
        <v>WBGene00006172</v>
      </c>
      <c r="B68" s="9" t="str">
        <f>HYPERLINK("http://www.ncbi.nlm.nih.gov/gene/192002", "192002")</f>
        <v>192002</v>
      </c>
      <c r="C68" s="9"/>
      <c r="D68" t="str">
        <f>"str-121"</f>
        <v>str-121</v>
      </c>
      <c r="E68" t="s">
        <v>590</v>
      </c>
      <c r="F68" t="s">
        <v>11</v>
      </c>
      <c r="G68" t="s">
        <v>591</v>
      </c>
      <c r="H68" s="12">
        <v>19.0035283934387</v>
      </c>
      <c r="I68" s="11">
        <v>1.6435857198086199</v>
      </c>
      <c r="J68" s="10">
        <v>0.10026180566592199</v>
      </c>
      <c r="K68" s="29">
        <v>0.73219003846927899</v>
      </c>
    </row>
    <row r="69" spans="1:11" x14ac:dyDescent="0.35">
      <c r="A69" s="9" t="str">
        <f>HYPERLINK("http://www.ensembl.org/id/WBGene00002205", "WBGene00002205")</f>
        <v>WBGene00002205</v>
      </c>
      <c r="B69" s="9" t="str">
        <f>HYPERLINK("http://www.ncbi.nlm.nih.gov/gene/173050", "173050")</f>
        <v>173050</v>
      </c>
      <c r="C69" s="9"/>
      <c r="D69" t="str">
        <f>"kin-23"</f>
        <v>kin-23</v>
      </c>
      <c r="F69" t="s">
        <v>11</v>
      </c>
      <c r="G69" t="s">
        <v>4200</v>
      </c>
      <c r="H69" s="12">
        <v>18.9953913565923</v>
      </c>
      <c r="I69" s="11">
        <v>1.08747390098948</v>
      </c>
      <c r="J69" s="10">
        <v>0.27682742672302701</v>
      </c>
      <c r="K69" s="29">
        <v>0.98289565623980701</v>
      </c>
    </row>
    <row r="70" spans="1:11" x14ac:dyDescent="0.35">
      <c r="A70" s="9" t="str">
        <f>HYPERLINK("http://www.ensembl.org/id/WBGene00005039", "WBGene00005039")</f>
        <v>WBGene00005039</v>
      </c>
      <c r="B70" s="9" t="str">
        <f>HYPERLINK("http://www.ncbi.nlm.nih.gov/gene/186058", "186058")</f>
        <v>186058</v>
      </c>
      <c r="C70" s="9"/>
      <c r="D70" t="str">
        <f>"sra-13"</f>
        <v>sra-13</v>
      </c>
      <c r="E70" t="s">
        <v>4198</v>
      </c>
      <c r="F70" t="s">
        <v>11</v>
      </c>
      <c r="G70" t="s">
        <v>4199</v>
      </c>
      <c r="H70" s="12">
        <v>18.9953913565923</v>
      </c>
      <c r="I70" s="11">
        <v>1.08747390098948</v>
      </c>
      <c r="J70" s="10">
        <v>0.27682742672302701</v>
      </c>
      <c r="K70" s="29">
        <v>0.98289565623980701</v>
      </c>
    </row>
    <row r="71" spans="1:11" x14ac:dyDescent="0.35">
      <c r="A71" s="9" t="str">
        <f>HYPERLINK("http://www.ensembl.org/id/WBGene00005359", "WBGene00005359")</f>
        <v>WBGene00005359</v>
      </c>
      <c r="B71" s="9" t="str">
        <f>HYPERLINK("http://www.ncbi.nlm.nih.gov/gene/188294", "188294")</f>
        <v>188294</v>
      </c>
      <c r="C71" s="9"/>
      <c r="D71" t="str">
        <f>"srh-142"</f>
        <v>srh-142</v>
      </c>
      <c r="E71" t="s">
        <v>153</v>
      </c>
      <c r="F71" t="s">
        <v>11</v>
      </c>
      <c r="G71" t="s">
        <v>25</v>
      </c>
      <c r="H71" s="12">
        <v>18.9953913565923</v>
      </c>
      <c r="I71" s="11">
        <v>1.08747390098948</v>
      </c>
      <c r="J71" s="10">
        <v>0.27682742672302701</v>
      </c>
      <c r="K71" s="29">
        <v>0.98289565623980701</v>
      </c>
    </row>
    <row r="72" spans="1:11" x14ac:dyDescent="0.35">
      <c r="A72" s="9" t="str">
        <f>HYPERLINK("http://www.ensembl.org/id/WBGene00016516", "WBGene00016516")</f>
        <v>WBGene00016516</v>
      </c>
      <c r="B72" s="9"/>
      <c r="C72" s="9"/>
      <c r="D72" t="str">
        <f>"C38C3.8"</f>
        <v>C38C3.8</v>
      </c>
      <c r="F72" t="s">
        <v>80</v>
      </c>
      <c r="H72" s="12">
        <v>18.858991404291999</v>
      </c>
      <c r="I72" s="11">
        <v>1.0704631741114501</v>
      </c>
      <c r="J72" s="10">
        <v>0.284410876501618</v>
      </c>
      <c r="K72" s="29">
        <v>0.98289565623980701</v>
      </c>
    </row>
    <row r="73" spans="1:11" x14ac:dyDescent="0.35">
      <c r="A73" s="9" t="str">
        <f>HYPERLINK("http://www.ensembl.org/id/WBGene00006028", "WBGene00006028")</f>
        <v>WBGene00006028</v>
      </c>
      <c r="B73" s="9" t="str">
        <f>HYPERLINK("http://www.ncbi.nlm.nih.gov/gene/184258", "184258")</f>
        <v>184258</v>
      </c>
      <c r="C73" s="9"/>
      <c r="D73" t="str">
        <f>"srx-137"</f>
        <v>srx-137</v>
      </c>
      <c r="E73" t="s">
        <v>1477</v>
      </c>
      <c r="F73" t="s">
        <v>11</v>
      </c>
      <c r="G73" t="s">
        <v>25</v>
      </c>
      <c r="H73" s="12">
        <v>18.858991404291999</v>
      </c>
      <c r="I73" s="11">
        <v>1.0704631741114501</v>
      </c>
      <c r="J73" s="10">
        <v>0.284410876501618</v>
      </c>
      <c r="K73" s="29">
        <v>0.98289565623980701</v>
      </c>
    </row>
    <row r="74" spans="1:11" x14ac:dyDescent="0.35">
      <c r="A74" s="9" t="str">
        <f>HYPERLINK("http://www.ensembl.org/id/WBGene00235157", "WBGene00235157")</f>
        <v>WBGene00235157</v>
      </c>
      <c r="B74" s="9"/>
      <c r="C74" s="9"/>
      <c r="D74" t="str">
        <f>"T03D8.8"</f>
        <v>T03D8.8</v>
      </c>
      <c r="F74" t="s">
        <v>2735</v>
      </c>
      <c r="H74" s="12">
        <v>18.858991404291999</v>
      </c>
      <c r="I74" s="11">
        <v>1.0704631741114501</v>
      </c>
      <c r="J74" s="10">
        <v>0.284410876501618</v>
      </c>
      <c r="K74" s="29">
        <v>0.98289565623980701</v>
      </c>
    </row>
    <row r="75" spans="1:11" x14ac:dyDescent="0.35">
      <c r="A75" s="9" t="str">
        <f>HYPERLINK("http://www.ensembl.org/id/WBGene00017035", "WBGene00017035")</f>
        <v>WBGene00017035</v>
      </c>
      <c r="B75" s="9"/>
      <c r="C75" s="9"/>
      <c r="D75" t="str">
        <f>"D1065.3"</f>
        <v>D1065.3</v>
      </c>
      <c r="F75" t="s">
        <v>80</v>
      </c>
      <c r="H75" s="12">
        <v>18.815674404197999</v>
      </c>
      <c r="I75" s="11">
        <v>1.6228827844593201</v>
      </c>
      <c r="J75" s="10">
        <v>0.10461446438621499</v>
      </c>
      <c r="K75" s="29">
        <v>0.74536596179706704</v>
      </c>
    </row>
    <row r="76" spans="1:11" x14ac:dyDescent="0.35">
      <c r="A76" s="9" t="str">
        <f>HYPERLINK("http://www.ensembl.org/id/WBGene00195157", "WBGene00195157")</f>
        <v>WBGene00195157</v>
      </c>
      <c r="B76" s="9" t="str">
        <f>HYPERLINK("http://www.ncbi.nlm.nih.gov/gene/13214696", "13214696")</f>
        <v>13214696</v>
      </c>
      <c r="C76" s="9"/>
      <c r="D76" t="str">
        <f>"C12D8.21"</f>
        <v>C12D8.21</v>
      </c>
      <c r="F76" t="s">
        <v>11</v>
      </c>
      <c r="H76" s="12">
        <v>18.675346917252099</v>
      </c>
      <c r="I76" s="11">
        <v>1.0483735932338201</v>
      </c>
      <c r="J76" s="10">
        <v>0.294466515011581</v>
      </c>
      <c r="K76" s="29">
        <v>0.98289565623980701</v>
      </c>
    </row>
    <row r="77" spans="1:11" x14ac:dyDescent="0.35">
      <c r="A77" s="9" t="str">
        <f>HYPERLINK("http://www.ensembl.org/id/WBGene00000860", "WBGene00000860")</f>
        <v>WBGene00000860</v>
      </c>
      <c r="B77" s="9" t="str">
        <f>HYPERLINK("http://www.ncbi.nlm.nih.gov/gene/183297", "183297")</f>
        <v>183297</v>
      </c>
      <c r="C77" s="9"/>
      <c r="D77" t="str">
        <f>"cwp-2"</f>
        <v>cwp-2</v>
      </c>
      <c r="E77" t="s">
        <v>1227</v>
      </c>
      <c r="F77" t="s">
        <v>11</v>
      </c>
      <c r="H77" s="12">
        <v>18.675346917252099</v>
      </c>
      <c r="I77" s="11">
        <v>1.0483735932338201</v>
      </c>
      <c r="J77" s="10">
        <v>0.294466515011581</v>
      </c>
      <c r="K77" s="29">
        <v>0.98289565623980701</v>
      </c>
    </row>
    <row r="78" spans="1:11" x14ac:dyDescent="0.35">
      <c r="A78" s="9" t="str">
        <f>HYPERLINK("http://www.ensembl.org/id/WBGene00017228", "WBGene00017228")</f>
        <v>WBGene00017228</v>
      </c>
      <c r="B78" s="9" t="str">
        <f>HYPERLINK("http://www.ncbi.nlm.nih.gov/gene/184156", "184156")</f>
        <v>184156</v>
      </c>
      <c r="C78" s="9"/>
      <c r="D78" t="str">
        <f>"F07G11.1"</f>
        <v>F07G11.1</v>
      </c>
      <c r="F78" t="s">
        <v>11</v>
      </c>
      <c r="G78" t="s">
        <v>25</v>
      </c>
      <c r="H78" s="12">
        <v>18.675346917252099</v>
      </c>
      <c r="I78" s="11">
        <v>1.0483735932338201</v>
      </c>
      <c r="J78" s="10">
        <v>0.294466515011581</v>
      </c>
      <c r="K78" s="29">
        <v>0.98289565623980701</v>
      </c>
    </row>
    <row r="79" spans="1:11" x14ac:dyDescent="0.35">
      <c r="A79" s="9" t="str">
        <f>HYPERLINK("http://www.ensembl.org/id/WBGene00219578", "WBGene00219578")</f>
        <v>WBGene00219578</v>
      </c>
      <c r="B79" s="9"/>
      <c r="C79" s="9"/>
      <c r="D79" t="str">
        <f>"linc-141"</f>
        <v>linc-141</v>
      </c>
      <c r="F79" t="s">
        <v>1510</v>
      </c>
      <c r="H79" s="12">
        <v>18.675346917252099</v>
      </c>
      <c r="I79" s="11">
        <v>1.0483735932338201</v>
      </c>
      <c r="J79" s="10">
        <v>0.294466515011581</v>
      </c>
      <c r="K79" s="29">
        <v>0.98289565623980701</v>
      </c>
    </row>
    <row r="80" spans="1:11" x14ac:dyDescent="0.35">
      <c r="A80" s="9" t="str">
        <f>HYPERLINK("http://www.ensembl.org/id/WBGene00199371", "WBGene00199371")</f>
        <v>WBGene00199371</v>
      </c>
      <c r="B80" s="9"/>
      <c r="C80" s="9"/>
      <c r="D80" t="str">
        <f>"T03F7.14"</f>
        <v>T03F7.14</v>
      </c>
      <c r="F80" t="s">
        <v>481</v>
      </c>
      <c r="H80" s="12">
        <v>18.675346917252099</v>
      </c>
      <c r="I80" s="11">
        <v>1.0483735932338201</v>
      </c>
      <c r="J80" s="10">
        <v>0.294466515011581</v>
      </c>
      <c r="K80" s="29">
        <v>0.98289565623980701</v>
      </c>
    </row>
    <row r="81" spans="1:11" x14ac:dyDescent="0.35">
      <c r="A81" s="9" t="str">
        <f>HYPERLINK("http://www.ensembl.org/id/WBGene00220135", "WBGene00220135")</f>
        <v>WBGene00220135</v>
      </c>
      <c r="B81" s="9"/>
      <c r="C81" s="9"/>
      <c r="D81" t="str">
        <f>"Y18D10A.29"</f>
        <v>Y18D10A.29</v>
      </c>
      <c r="F81" t="s">
        <v>481</v>
      </c>
      <c r="H81" s="12">
        <v>18.675346917252099</v>
      </c>
      <c r="I81" s="11">
        <v>1.0483735932338201</v>
      </c>
      <c r="J81" s="10">
        <v>0.294466515011581</v>
      </c>
      <c r="K81" s="29">
        <v>0.98289565623980701</v>
      </c>
    </row>
    <row r="82" spans="1:11" x14ac:dyDescent="0.35">
      <c r="A82" s="9" t="str">
        <f>HYPERLINK("http://www.ensembl.org/id/WBGene00018478", "WBGene00018478")</f>
        <v>WBGene00018478</v>
      </c>
      <c r="B82" s="9" t="str">
        <f>HYPERLINK("http://www.ncbi.nlm.nih.gov/gene/185806", "185806")</f>
        <v>185806</v>
      </c>
      <c r="C82" s="9"/>
      <c r="D82" t="str">
        <f>"otpl-5"</f>
        <v>otpl-5</v>
      </c>
      <c r="E82" t="s">
        <v>233</v>
      </c>
      <c r="F82" t="s">
        <v>11</v>
      </c>
      <c r="G82" t="s">
        <v>234</v>
      </c>
      <c r="H82" s="12">
        <v>18.264679796780801</v>
      </c>
      <c r="I82" s="11">
        <v>2.1987397216272</v>
      </c>
      <c r="J82" s="10">
        <v>2.7896434799789298E-2</v>
      </c>
      <c r="K82" s="29">
        <v>0.37258671819880401</v>
      </c>
    </row>
    <row r="83" spans="1:11" x14ac:dyDescent="0.35">
      <c r="A83" s="9" t="str">
        <f>HYPERLINK("http://www.ensembl.org/id/WBGene00005487", "WBGene00005487")</f>
        <v>WBGene00005487</v>
      </c>
      <c r="B83" s="9" t="str">
        <f>HYPERLINK("http://www.ncbi.nlm.nih.gov/gene/188692", "188692")</f>
        <v>188692</v>
      </c>
      <c r="C83" s="9"/>
      <c r="D83" t="str">
        <f>"srh-282"</f>
        <v>srh-282</v>
      </c>
      <c r="E83" t="s">
        <v>153</v>
      </c>
      <c r="F83" t="s">
        <v>11</v>
      </c>
      <c r="G83" t="s">
        <v>25</v>
      </c>
      <c r="H83" s="12">
        <v>18.114215864468001</v>
      </c>
      <c r="I83" s="11">
        <v>1.57539897462346</v>
      </c>
      <c r="J83" s="10">
        <v>0.11516438094156101</v>
      </c>
      <c r="K83" s="29">
        <v>0.77625092941531704</v>
      </c>
    </row>
    <row r="84" spans="1:11" x14ac:dyDescent="0.35">
      <c r="A84" s="9" t="str">
        <f>HYPERLINK("http://www.ensembl.org/id/WBGene00005273", "WBGene00005273")</f>
        <v>WBGene00005273</v>
      </c>
      <c r="B84" s="9" t="str">
        <f>HYPERLINK("http://www.ncbi.nlm.nih.gov/gene/191861", "191861")</f>
        <v>191861</v>
      </c>
      <c r="C84" s="9"/>
      <c r="D84" t="str">
        <f>"srh-50"</f>
        <v>srh-50</v>
      </c>
      <c r="E84" t="s">
        <v>153</v>
      </c>
      <c r="F84" t="s">
        <v>11</v>
      </c>
      <c r="G84" t="s">
        <v>25</v>
      </c>
      <c r="H84" s="12">
        <v>17.909354757174501</v>
      </c>
      <c r="I84" s="11">
        <v>1.1353120762986799</v>
      </c>
      <c r="J84" s="10">
        <v>0.25624458411416401</v>
      </c>
      <c r="K84" s="29">
        <v>0.98289565623980701</v>
      </c>
    </row>
    <row r="85" spans="1:11" x14ac:dyDescent="0.35">
      <c r="A85" s="9" t="str">
        <f>HYPERLINK("http://www.ensembl.org/id/WBGene00016232", "WBGene00016232")</f>
        <v>WBGene00016232</v>
      </c>
      <c r="B85" s="9" t="str">
        <f>HYPERLINK("http://www.ncbi.nlm.nih.gov/gene/183033", "183033")</f>
        <v>183033</v>
      </c>
      <c r="C85" s="9"/>
      <c r="D85" t="str">
        <f>"srt-4"</f>
        <v>srt-4</v>
      </c>
      <c r="E85" t="s">
        <v>2845</v>
      </c>
      <c r="F85" t="s">
        <v>11</v>
      </c>
      <c r="G85" t="s">
        <v>25</v>
      </c>
      <c r="H85" s="12">
        <v>17.909354757174501</v>
      </c>
      <c r="I85" s="11">
        <v>1.1353120762986799</v>
      </c>
      <c r="J85" s="10">
        <v>0.25624458411416401</v>
      </c>
      <c r="K85" s="29">
        <v>0.98289565623980701</v>
      </c>
    </row>
    <row r="86" spans="1:11" x14ac:dyDescent="0.35">
      <c r="A86" s="9" t="str">
        <f>HYPERLINK("http://www.ensembl.org/id/WBGene00007141", "WBGene00007141")</f>
        <v>WBGene00007141</v>
      </c>
      <c r="B86" s="9" t="str">
        <f>HYPERLINK("http://www.ncbi.nlm.nih.gov/gene/179355", "179355")</f>
        <v>179355</v>
      </c>
      <c r="C86" s="9"/>
      <c r="D86" t="str">
        <f>"pitr-4"</f>
        <v>pitr-4</v>
      </c>
      <c r="E86" t="s">
        <v>2064</v>
      </c>
      <c r="F86" t="s">
        <v>11</v>
      </c>
      <c r="G86" t="s">
        <v>2065</v>
      </c>
      <c r="H86" s="12">
        <v>17.857201699036501</v>
      </c>
      <c r="I86" s="11">
        <v>1.64262505767793</v>
      </c>
      <c r="J86" s="10">
        <v>0.10046053302285</v>
      </c>
      <c r="K86" s="29">
        <v>0.73284725105775905</v>
      </c>
    </row>
    <row r="87" spans="1:11" x14ac:dyDescent="0.35">
      <c r="A87" s="9" t="str">
        <f>HYPERLINK("http://www.ensembl.org/id/WBGene00196421", "WBGene00196421")</f>
        <v>WBGene00196421</v>
      </c>
      <c r="B87" s="9"/>
      <c r="C87" s="9"/>
      <c r="D87" t="str">
        <f>"F09C3.7"</f>
        <v>F09C3.7</v>
      </c>
      <c r="F87" t="s">
        <v>481</v>
      </c>
      <c r="H87" s="12">
        <v>17.773353809564401</v>
      </c>
      <c r="I87" s="11">
        <v>1.0649016812688099</v>
      </c>
      <c r="J87" s="10">
        <v>0.28692042414116298</v>
      </c>
      <c r="K87" s="29">
        <v>0.98289565623980701</v>
      </c>
    </row>
    <row r="88" spans="1:11" x14ac:dyDescent="0.35">
      <c r="A88" s="9" t="str">
        <f>HYPERLINK("http://www.ensembl.org/id/WBGene00006435", "WBGene00006435")</f>
        <v>WBGene00006435</v>
      </c>
      <c r="B88" s="9" t="str">
        <f>HYPERLINK("http://www.ncbi.nlm.nih.gov/gene/184934", "184934")</f>
        <v>184934</v>
      </c>
      <c r="C88" s="9" t="str">
        <f>HYPERLINK("http://www.ncbi.nlm.nih.gov/gene/51144", "51144")</f>
        <v>51144</v>
      </c>
      <c r="D88" t="str">
        <f>"stdh-4"</f>
        <v>stdh-4</v>
      </c>
      <c r="E88" t="s">
        <v>2039</v>
      </c>
      <c r="F88" t="s">
        <v>11</v>
      </c>
      <c r="G88" t="s">
        <v>2040</v>
      </c>
      <c r="H88" s="12">
        <v>17.388304111154302</v>
      </c>
      <c r="I88" s="11">
        <v>1.8506957942467801</v>
      </c>
      <c r="J88" s="10">
        <v>6.4213329465881805E-2</v>
      </c>
      <c r="K88" s="29">
        <v>0.59835783081195204</v>
      </c>
    </row>
    <row r="89" spans="1:11" x14ac:dyDescent="0.35">
      <c r="A89" s="9" t="str">
        <f>HYPERLINK("http://www.ensembl.org/id/WBGene00010932", "WBGene00010932")</f>
        <v>WBGene00010932</v>
      </c>
      <c r="B89" s="9"/>
      <c r="C89" s="9"/>
      <c r="D89" t="str">
        <f>"M162.6"</f>
        <v>M162.6</v>
      </c>
      <c r="F89" t="s">
        <v>80</v>
      </c>
      <c r="H89" s="12">
        <v>17.223130728813899</v>
      </c>
      <c r="I89" s="11">
        <v>0.99938245926255598</v>
      </c>
      <c r="J89" s="10">
        <v>0.31760945369935101</v>
      </c>
      <c r="K89" s="29">
        <v>0.98289565623980701</v>
      </c>
    </row>
    <row r="90" spans="1:11" x14ac:dyDescent="0.35">
      <c r="A90" s="9" t="str">
        <f>HYPERLINK("http://www.ensembl.org/id/WBGene00005184", "WBGene00005184")</f>
        <v>WBGene00005184</v>
      </c>
      <c r="B90" s="9" t="str">
        <f>HYPERLINK("http://www.ncbi.nlm.nih.gov/gene/188323", "188323")</f>
        <v>188323</v>
      </c>
      <c r="C90" s="9"/>
      <c r="D90" t="str">
        <f>"srg-27"</f>
        <v>srg-27</v>
      </c>
      <c r="E90" t="s">
        <v>1828</v>
      </c>
      <c r="F90" t="s">
        <v>11</v>
      </c>
      <c r="G90" t="s">
        <v>1829</v>
      </c>
      <c r="H90" s="12">
        <v>17.223130728813899</v>
      </c>
      <c r="I90" s="11">
        <v>0.99938245926255598</v>
      </c>
      <c r="J90" s="10">
        <v>0.31760945369935101</v>
      </c>
      <c r="K90" s="29">
        <v>0.98289565623980701</v>
      </c>
    </row>
    <row r="91" spans="1:11" x14ac:dyDescent="0.35">
      <c r="A91" s="9" t="str">
        <f>HYPERLINK("http://www.ensembl.org/id/WBGene00005234", "WBGene00005234")</f>
        <v>WBGene00005234</v>
      </c>
      <c r="B91" s="9" t="str">
        <f>HYPERLINK("http://www.ncbi.nlm.nih.gov/gene/178808", "178808")</f>
        <v>178808</v>
      </c>
      <c r="C91" s="9"/>
      <c r="D91" t="str">
        <f>"srh-8"</f>
        <v>srh-8</v>
      </c>
      <c r="E91" t="s">
        <v>153</v>
      </c>
      <c r="F91" t="s">
        <v>11</v>
      </c>
      <c r="G91" t="s">
        <v>25</v>
      </c>
      <c r="H91" s="12">
        <v>17.223130728813899</v>
      </c>
      <c r="I91" s="11">
        <v>0.99938245926255598</v>
      </c>
      <c r="J91" s="10">
        <v>0.31760945369935101</v>
      </c>
      <c r="K91" s="29">
        <v>0.98289565623980701</v>
      </c>
    </row>
    <row r="92" spans="1:11" x14ac:dyDescent="0.35">
      <c r="A92" s="9" t="str">
        <f>HYPERLINK("http://www.ensembl.org/id/WBGene00201730", "WBGene00201730")</f>
        <v>WBGene00201730</v>
      </c>
      <c r="B92" s="9"/>
      <c r="C92" s="9"/>
      <c r="D92" t="str">
        <f>"F38A6.8"</f>
        <v>F38A6.8</v>
      </c>
      <c r="F92" t="s">
        <v>481</v>
      </c>
      <c r="H92" s="12">
        <v>16.698151317844101</v>
      </c>
      <c r="I92" s="11">
        <v>1.0639376854392499</v>
      </c>
      <c r="J92" s="10">
        <v>0.28735692964741999</v>
      </c>
      <c r="K92" s="29">
        <v>0.98289565623980701</v>
      </c>
    </row>
    <row r="93" spans="1:11" x14ac:dyDescent="0.35">
      <c r="A93" s="9" t="str">
        <f>HYPERLINK("http://www.ensembl.org/id/WBGene00005953", "WBGene00005953")</f>
        <v>WBGene00005953</v>
      </c>
      <c r="B93" s="9" t="str">
        <f>HYPERLINK("http://www.ncbi.nlm.nih.gov/gene/187212", "187212")</f>
        <v>187212</v>
      </c>
      <c r="C93" s="9"/>
      <c r="D93" t="str">
        <f>"srx-62"</f>
        <v>srx-62</v>
      </c>
      <c r="E93" t="s">
        <v>1477</v>
      </c>
      <c r="F93" t="s">
        <v>11</v>
      </c>
      <c r="G93" t="s">
        <v>25</v>
      </c>
      <c r="H93" s="12">
        <v>16.698151317844101</v>
      </c>
      <c r="I93" s="11">
        <v>1.0639376854392499</v>
      </c>
      <c r="J93" s="10">
        <v>0.28735692964741999</v>
      </c>
      <c r="K93" s="29">
        <v>0.98289565623980701</v>
      </c>
    </row>
    <row r="94" spans="1:11" x14ac:dyDescent="0.35">
      <c r="A94" s="9" t="str">
        <f>HYPERLINK("http://www.ensembl.org/id/WBGene00008069", "WBGene00008069")</f>
        <v>WBGene00008069</v>
      </c>
      <c r="B94" s="9" t="str">
        <f>HYPERLINK("http://www.ncbi.nlm.nih.gov/gene/183412", "183412")</f>
        <v>183412</v>
      </c>
      <c r="C94" s="9"/>
      <c r="D94" t="str">
        <f>"C43D7.7"</f>
        <v>C43D7.7</v>
      </c>
      <c r="F94" t="s">
        <v>11</v>
      </c>
      <c r="H94" s="12">
        <v>16.502878680936099</v>
      </c>
      <c r="I94" s="11">
        <v>1.1066673867249099</v>
      </c>
      <c r="J94" s="10">
        <v>0.26843776072780801</v>
      </c>
      <c r="K94" s="29">
        <v>0.98289565623980701</v>
      </c>
    </row>
    <row r="95" spans="1:11" x14ac:dyDescent="0.35">
      <c r="A95" s="9" t="str">
        <f>HYPERLINK("http://www.ensembl.org/id/WBGene00049967", "WBGene00049967")</f>
        <v>WBGene00049967</v>
      </c>
      <c r="B95" s="9"/>
      <c r="C95" s="9"/>
      <c r="D95" t="str">
        <f>"21ur-5041"</f>
        <v>21ur-5041</v>
      </c>
      <c r="F95" t="s">
        <v>3161</v>
      </c>
      <c r="H95" s="12">
        <v>16.217611553187702</v>
      </c>
      <c r="I95" s="11">
        <v>0.94333696891586505</v>
      </c>
      <c r="J95" s="10">
        <v>0.34550857211368002</v>
      </c>
      <c r="K95" s="29">
        <v>0.98289565623980701</v>
      </c>
    </row>
    <row r="96" spans="1:11" x14ac:dyDescent="0.35">
      <c r="A96" s="9" t="str">
        <f>HYPERLINK("http://www.ensembl.org/id/WBGene00015990", "WBGene00015990")</f>
        <v>WBGene00015990</v>
      </c>
      <c r="B96" s="9"/>
      <c r="C96" s="9"/>
      <c r="D96" t="str">
        <f>"C18H2.3"</f>
        <v>C18H2.3</v>
      </c>
      <c r="F96" t="s">
        <v>80</v>
      </c>
      <c r="H96" s="12">
        <v>16.217611553187702</v>
      </c>
      <c r="I96" s="11">
        <v>0.94333696891586505</v>
      </c>
      <c r="J96" s="10">
        <v>0.34550857211368002</v>
      </c>
      <c r="K96" s="29">
        <v>0.98289565623980701</v>
      </c>
    </row>
    <row r="97" spans="1:11" x14ac:dyDescent="0.35">
      <c r="A97" s="9" t="str">
        <f>HYPERLINK("http://www.ensembl.org/id/WBGene00007399", "WBGene00007399")</f>
        <v>WBGene00007399</v>
      </c>
      <c r="B97" s="9" t="str">
        <f>HYPERLINK("http://www.ncbi.nlm.nih.gov/gene/182353", "182353")</f>
        <v>182353</v>
      </c>
      <c r="C97" s="9"/>
      <c r="D97" t="str">
        <f>"clec-162"</f>
        <v>clec-162</v>
      </c>
      <c r="E97" t="s">
        <v>4201</v>
      </c>
      <c r="F97" t="s">
        <v>11</v>
      </c>
      <c r="H97" s="12">
        <v>16.217611553187702</v>
      </c>
      <c r="I97" s="11">
        <v>0.94333696891586505</v>
      </c>
      <c r="J97" s="10">
        <v>0.34550857211368002</v>
      </c>
      <c r="K97" s="29">
        <v>0.98289565623980701</v>
      </c>
    </row>
    <row r="98" spans="1:11" x14ac:dyDescent="0.35">
      <c r="A98" s="9" t="str">
        <f>HYPERLINK("http://www.ensembl.org/id/WBGene00044610", "WBGene00044610")</f>
        <v>WBGene00044610</v>
      </c>
      <c r="B98" s="9" t="str">
        <f>HYPERLINK("http://www.ncbi.nlm.nih.gov/gene/3896720", "3896720")</f>
        <v>3896720</v>
      </c>
      <c r="C98" s="9"/>
      <c r="D98" t="str">
        <f>"D2092.10"</f>
        <v>D2092.10</v>
      </c>
      <c r="F98" t="s">
        <v>11</v>
      </c>
      <c r="H98" s="12">
        <v>16.217611553187702</v>
      </c>
      <c r="I98" s="11">
        <v>0.94333696891586505</v>
      </c>
      <c r="J98" s="10">
        <v>0.34550857211368002</v>
      </c>
      <c r="K98" s="29">
        <v>0.98289565623980701</v>
      </c>
    </row>
    <row r="99" spans="1:11" x14ac:dyDescent="0.35">
      <c r="A99" s="9" t="str">
        <f>HYPERLINK("http://www.ensembl.org/id/WBGene00010429", "WBGene00010429")</f>
        <v>WBGene00010429</v>
      </c>
      <c r="B99" s="9" t="str">
        <f>HYPERLINK("http://www.ncbi.nlm.nih.gov/gene/186808", "186808")</f>
        <v>186808</v>
      </c>
      <c r="C99" s="9"/>
      <c r="D99" t="str">
        <f>"H38K22.4"</f>
        <v>H38K22.4</v>
      </c>
      <c r="F99" t="s">
        <v>11</v>
      </c>
      <c r="H99" s="12">
        <v>16.217611553187702</v>
      </c>
      <c r="I99" s="11">
        <v>0.94333696891586505</v>
      </c>
      <c r="J99" s="10">
        <v>0.34550857211368002</v>
      </c>
      <c r="K99" s="29">
        <v>0.98289565623980701</v>
      </c>
    </row>
    <row r="100" spans="1:11" x14ac:dyDescent="0.35">
      <c r="A100" s="9" t="str">
        <f>HYPERLINK("http://www.ensembl.org/id/WBGene00013044", "WBGene00013044")</f>
        <v>WBGene00013044</v>
      </c>
      <c r="B100" s="9" t="str">
        <f>HYPERLINK("http://www.ncbi.nlm.nih.gov/gene/190072", "190072")</f>
        <v>190072</v>
      </c>
      <c r="C100" s="9"/>
      <c r="D100" t="str">
        <f>"Y49E10.25"</f>
        <v>Y49E10.25</v>
      </c>
      <c r="F100" t="s">
        <v>11</v>
      </c>
      <c r="G100" t="s">
        <v>29</v>
      </c>
      <c r="H100" s="12">
        <v>16.217611553187702</v>
      </c>
      <c r="I100" s="11">
        <v>0.94333696891586505</v>
      </c>
      <c r="J100" s="10">
        <v>0.34550857211368002</v>
      </c>
      <c r="K100" s="29">
        <v>0.98289565623980701</v>
      </c>
    </row>
    <row r="101" spans="1:11" x14ac:dyDescent="0.35">
      <c r="A101" s="9" t="str">
        <f>HYPERLINK("http://www.ensembl.org/id/WBGene00012411", "WBGene00012411")</f>
        <v>WBGene00012411</v>
      </c>
      <c r="B101" s="9" t="str">
        <f>HYPERLINK("http://www.ncbi.nlm.nih.gov/gene/189384", "189384")</f>
        <v>189384</v>
      </c>
      <c r="C101" s="9"/>
      <c r="D101" t="str">
        <f>"Y7A5A.5"</f>
        <v>Y7A5A.5</v>
      </c>
      <c r="F101" t="s">
        <v>11</v>
      </c>
      <c r="H101" s="12">
        <v>16.217611553187702</v>
      </c>
      <c r="I101" s="11">
        <v>0.94333696891586505</v>
      </c>
      <c r="J101" s="10">
        <v>0.34550857211368002</v>
      </c>
      <c r="K101" s="29">
        <v>0.98289565623980701</v>
      </c>
    </row>
    <row r="102" spans="1:11" x14ac:dyDescent="0.35">
      <c r="A102" s="9" t="str">
        <f>HYPERLINK("http://www.ensembl.org/id/WBGene00022671", "WBGene00022671")</f>
        <v>WBGene00022671</v>
      </c>
      <c r="B102" s="9" t="str">
        <f>HYPERLINK("http://www.ncbi.nlm.nih.gov/gene/191237", "191237")</f>
        <v>191237</v>
      </c>
      <c r="C102" s="9"/>
      <c r="D102" t="str">
        <f>"ZK177.3"</f>
        <v>ZK177.3</v>
      </c>
      <c r="F102" t="s">
        <v>11</v>
      </c>
      <c r="H102" s="12">
        <v>16.217611553187702</v>
      </c>
      <c r="I102" s="11">
        <v>0.94333696891586505</v>
      </c>
      <c r="J102" s="10">
        <v>0.34550857211368002</v>
      </c>
      <c r="K102" s="29">
        <v>0.98289565623980701</v>
      </c>
    </row>
    <row r="103" spans="1:11" x14ac:dyDescent="0.35">
      <c r="A103" s="9" t="str">
        <f>HYPERLINK("http://www.ensembl.org/id/WBGene00019964", "WBGene00019964")</f>
        <v>WBGene00019964</v>
      </c>
      <c r="B103" s="9" t="str">
        <f>HYPERLINK("http://www.ncbi.nlm.nih.gov/gene/187702", "187702")</f>
        <v>187702</v>
      </c>
      <c r="C103" s="9"/>
      <c r="D103" t="str">
        <f>"R08E5.4"</f>
        <v>R08E5.4</v>
      </c>
      <c r="F103" t="s">
        <v>11</v>
      </c>
      <c r="H103" s="12">
        <v>15.9592029246087</v>
      </c>
      <c r="I103" s="11">
        <v>1.4433688741148001</v>
      </c>
      <c r="J103" s="10">
        <v>0.148916587382496</v>
      </c>
      <c r="K103" s="29">
        <v>0.85133025472297696</v>
      </c>
    </row>
    <row r="104" spans="1:11" x14ac:dyDescent="0.35">
      <c r="A104" s="9" t="str">
        <f>HYPERLINK("http://www.ensembl.org/id/WBGene00044011", "WBGene00044011")</f>
        <v>WBGene00044011</v>
      </c>
      <c r="B104" s="9" t="str">
        <f>HYPERLINK("http://www.ncbi.nlm.nih.gov/gene/179350", "179350")</f>
        <v>179350</v>
      </c>
      <c r="C104" s="9"/>
      <c r="D104" t="str">
        <f>"T06E4.12"</f>
        <v>T06E4.12</v>
      </c>
      <c r="F104" t="s">
        <v>11</v>
      </c>
      <c r="H104" s="12">
        <v>15.8206173445739</v>
      </c>
      <c r="I104" s="11">
        <v>2.00778267256679</v>
      </c>
      <c r="J104" s="10">
        <v>4.4666390915328098E-2</v>
      </c>
      <c r="K104" s="29">
        <v>0.48936065836394999</v>
      </c>
    </row>
    <row r="105" spans="1:11" x14ac:dyDescent="0.35">
      <c r="A105" s="9" t="str">
        <f>HYPERLINK("http://www.ensembl.org/id/WBGene00005289", "WBGene00005289")</f>
        <v>WBGene00005289</v>
      </c>
      <c r="B105" s="9" t="str">
        <f>HYPERLINK("http://www.ncbi.nlm.nih.gov/gene/188674", "188674")</f>
        <v>188674</v>
      </c>
      <c r="C105" s="9"/>
      <c r="D105" t="str">
        <f>"srh-68"</f>
        <v>srh-68</v>
      </c>
      <c r="E105" t="s">
        <v>153</v>
      </c>
      <c r="F105" t="s">
        <v>11</v>
      </c>
      <c r="G105" t="s">
        <v>25</v>
      </c>
      <c r="H105" s="12">
        <v>15.720705297143899</v>
      </c>
      <c r="I105" s="11">
        <v>1.67363440913663</v>
      </c>
      <c r="J105" s="10">
        <v>9.4202471692461806E-2</v>
      </c>
      <c r="K105" s="29">
        <v>0.70905362839480801</v>
      </c>
    </row>
    <row r="106" spans="1:11" x14ac:dyDescent="0.35">
      <c r="A106" s="9" t="str">
        <f>HYPERLINK("http://www.ensembl.org/id/WBGene00013937", "WBGene00013937")</f>
        <v>WBGene00013937</v>
      </c>
      <c r="B106" s="9" t="str">
        <f>HYPERLINK("http://www.ncbi.nlm.nih.gov/gene/180138", "180138")</f>
        <v>180138</v>
      </c>
      <c r="C106" s="9"/>
      <c r="D106" t="str">
        <f>"ZK218.3"</f>
        <v>ZK218.3</v>
      </c>
      <c r="F106" t="s">
        <v>11</v>
      </c>
      <c r="H106" s="12">
        <v>15.7098048060035</v>
      </c>
      <c r="I106" s="11">
        <v>1.4339791347534101</v>
      </c>
      <c r="J106" s="10">
        <v>0.15157821725080101</v>
      </c>
      <c r="K106" s="29">
        <v>0.85767400434691698</v>
      </c>
    </row>
    <row r="107" spans="1:11" x14ac:dyDescent="0.35">
      <c r="A107" s="9" t="str">
        <f>HYPERLINK("http://www.ensembl.org/id/WBGene00007300", "WBGene00007300")</f>
        <v>WBGene00007300</v>
      </c>
      <c r="B107" s="9"/>
      <c r="C107" s="9"/>
      <c r="D107" t="str">
        <f>"C04F12.6"</f>
        <v>C04F12.6</v>
      </c>
      <c r="F107" t="s">
        <v>80</v>
      </c>
      <c r="H107" s="12">
        <v>15.6921441712649</v>
      </c>
      <c r="I107" s="11">
        <v>0.95028393834463598</v>
      </c>
      <c r="J107" s="10">
        <v>0.34196799785965198</v>
      </c>
      <c r="K107" s="29">
        <v>0.98289565623980701</v>
      </c>
    </row>
    <row r="108" spans="1:11" x14ac:dyDescent="0.35">
      <c r="A108" s="9" t="str">
        <f>HYPERLINK("http://www.ensembl.org/id/WBGene00018098", "WBGene00018098")</f>
        <v>WBGene00018098</v>
      </c>
      <c r="B108" s="9" t="str">
        <f>HYPERLINK("http://www.ncbi.nlm.nih.gov/gene/178690", "178690")</f>
        <v>178690</v>
      </c>
      <c r="C108" s="9"/>
      <c r="D108" t="str">
        <f>"F36F12.7"</f>
        <v>F36F12.7</v>
      </c>
      <c r="F108" t="s">
        <v>11</v>
      </c>
      <c r="H108" s="12">
        <v>15.6921441712649</v>
      </c>
      <c r="I108" s="11">
        <v>0.95028393834463598</v>
      </c>
      <c r="J108" s="10">
        <v>0.34196799785965198</v>
      </c>
      <c r="K108" s="29">
        <v>0.98289565623980701</v>
      </c>
    </row>
    <row r="109" spans="1:11" x14ac:dyDescent="0.35">
      <c r="A109" s="9" t="str">
        <f>HYPERLINK("http://www.ensembl.org/id/WBGene00005423", "WBGene00005423")</f>
        <v>WBGene00005423</v>
      </c>
      <c r="B109" s="9" t="str">
        <f>HYPERLINK("http://www.ncbi.nlm.nih.gov/gene/188749", "188749")</f>
        <v>188749</v>
      </c>
      <c r="C109" s="9"/>
      <c r="D109" t="str">
        <f>"srh-213"</f>
        <v>srh-213</v>
      </c>
      <c r="E109" t="s">
        <v>153</v>
      </c>
      <c r="F109" t="s">
        <v>11</v>
      </c>
      <c r="G109" t="s">
        <v>25</v>
      </c>
      <c r="H109" s="12">
        <v>15.6921441712649</v>
      </c>
      <c r="I109" s="11">
        <v>0.95028393834463598</v>
      </c>
      <c r="J109" s="10">
        <v>0.34196799785965198</v>
      </c>
      <c r="K109" s="29">
        <v>0.98289565623980701</v>
      </c>
    </row>
    <row r="110" spans="1:11" x14ac:dyDescent="0.35">
      <c r="A110" s="9" t="str">
        <f>HYPERLINK("http://www.ensembl.org/id/WBGene00005500", "WBGene00005500")</f>
        <v>WBGene00005500</v>
      </c>
      <c r="B110" s="9" t="str">
        <f>HYPERLINK("http://www.ncbi.nlm.nih.gov/gene/190793", "190793")</f>
        <v>190793</v>
      </c>
      <c r="C110" s="9"/>
      <c r="D110" t="str">
        <f>"srh-296"</f>
        <v>srh-296</v>
      </c>
      <c r="E110" t="s">
        <v>153</v>
      </c>
      <c r="F110" t="s">
        <v>11</v>
      </c>
      <c r="G110" t="s">
        <v>25</v>
      </c>
      <c r="H110" s="12">
        <v>15.6921441712649</v>
      </c>
      <c r="I110" s="11">
        <v>0.95028393834463598</v>
      </c>
      <c r="J110" s="10">
        <v>0.34196799785965198</v>
      </c>
      <c r="K110" s="29">
        <v>0.98289565623980701</v>
      </c>
    </row>
    <row r="111" spans="1:11" x14ac:dyDescent="0.35">
      <c r="A111" s="9" t="str">
        <f>HYPERLINK("http://www.ensembl.org/id/WBGene00199026", "WBGene00199026")</f>
        <v>WBGene00199026</v>
      </c>
      <c r="B111" s="9"/>
      <c r="C111" s="9"/>
      <c r="D111" t="str">
        <f>"T28C12.10"</f>
        <v>T28C12.10</v>
      </c>
      <c r="F111" t="s">
        <v>481</v>
      </c>
      <c r="H111" s="12">
        <v>15.6921441712649</v>
      </c>
      <c r="I111" s="11">
        <v>0.95028393834463598</v>
      </c>
      <c r="J111" s="10">
        <v>0.34196799785965198</v>
      </c>
      <c r="K111" s="29">
        <v>0.98289565623980701</v>
      </c>
    </row>
    <row r="112" spans="1:11" x14ac:dyDescent="0.35">
      <c r="A112" s="9" t="str">
        <f>HYPERLINK("http://www.ensembl.org/id/WBGene00268197", "WBGene00268197")</f>
        <v>WBGene00268197</v>
      </c>
      <c r="B112" s="9" t="str">
        <f>HYPERLINK("http://www.ncbi.nlm.nih.gov/gene/25502998", "25502998")</f>
        <v>25502998</v>
      </c>
      <c r="C112" s="9"/>
      <c r="D112" t="str">
        <f>"Y40B10A.11"</f>
        <v>Y40B10A.11</v>
      </c>
      <c r="F112" t="s">
        <v>11</v>
      </c>
      <c r="H112" s="12">
        <v>15.6921441712649</v>
      </c>
      <c r="I112" s="11">
        <v>0.95028393834463598</v>
      </c>
      <c r="J112" s="10">
        <v>0.34196799785965198</v>
      </c>
      <c r="K112" s="29">
        <v>0.98289565623980701</v>
      </c>
    </row>
    <row r="113" spans="1:11" x14ac:dyDescent="0.35">
      <c r="A113" s="9" t="str">
        <f>HYPERLINK("http://www.ensembl.org/id/WBGene00171576", "WBGene00171576")</f>
        <v>WBGene00171576</v>
      </c>
      <c r="B113" s="9"/>
      <c r="C113" s="9"/>
      <c r="D113" t="str">
        <f>"21ur-10392"</f>
        <v>21ur-10392</v>
      </c>
      <c r="F113" t="s">
        <v>3161</v>
      </c>
      <c r="H113" s="12">
        <v>15.4310788203624</v>
      </c>
      <c r="I113" s="11">
        <v>0.98793301332604</v>
      </c>
      <c r="J113" s="10">
        <v>0.32318545590394598</v>
      </c>
      <c r="K113" s="29">
        <v>0.98289565623980701</v>
      </c>
    </row>
    <row r="114" spans="1:11" x14ac:dyDescent="0.35">
      <c r="A114" s="9" t="str">
        <f>HYPERLINK("http://www.ensembl.org/id/WBGene00010600", "WBGene00010600")</f>
        <v>WBGene00010600</v>
      </c>
      <c r="B114" s="9" t="str">
        <f>HYPERLINK("http://www.ncbi.nlm.nih.gov/gene/187053", "187053")</f>
        <v>187053</v>
      </c>
      <c r="C114" s="9"/>
      <c r="D114" t="str">
        <f>"nhr-196"</f>
        <v>nhr-196</v>
      </c>
      <c r="E114" t="s">
        <v>637</v>
      </c>
      <c r="F114" t="s">
        <v>11</v>
      </c>
      <c r="G114" t="s">
        <v>1073</v>
      </c>
      <c r="H114" s="12">
        <v>15.4310788203624</v>
      </c>
      <c r="I114" s="11">
        <v>0.98793301332604</v>
      </c>
      <c r="J114" s="10">
        <v>0.32318545590394598</v>
      </c>
      <c r="K114" s="29">
        <v>0.98289565623980701</v>
      </c>
    </row>
    <row r="115" spans="1:11" x14ac:dyDescent="0.35">
      <c r="A115" s="9" t="str">
        <f>HYPERLINK("http://www.ensembl.org/id/WBGene00008839", "WBGene00008839")</f>
        <v>WBGene00008839</v>
      </c>
      <c r="B115" s="9" t="str">
        <f>HYPERLINK("http://www.ncbi.nlm.nih.gov/gene/184512", "184512")</f>
        <v>184512</v>
      </c>
      <c r="C115" s="9"/>
      <c r="D115" t="str">
        <f>"sre-37"</f>
        <v>sre-37</v>
      </c>
      <c r="E115" t="s">
        <v>4202</v>
      </c>
      <c r="F115" t="s">
        <v>11</v>
      </c>
      <c r="G115" t="s">
        <v>2639</v>
      </c>
      <c r="H115" s="12">
        <v>15.4310788203624</v>
      </c>
      <c r="I115" s="11">
        <v>0.98793301332604</v>
      </c>
      <c r="J115" s="10">
        <v>0.32318545590394598</v>
      </c>
      <c r="K115" s="29">
        <v>0.98289565623980701</v>
      </c>
    </row>
    <row r="116" spans="1:11" x14ac:dyDescent="0.35">
      <c r="A116" s="9" t="str">
        <f>HYPERLINK("http://www.ensembl.org/id/WBGene00012403", "WBGene00012403")</f>
        <v>WBGene00012403</v>
      </c>
      <c r="B116" s="9"/>
      <c r="C116" s="9"/>
      <c r="D116" t="str">
        <f>"srz-45"</f>
        <v>srz-45</v>
      </c>
      <c r="F116" t="s">
        <v>80</v>
      </c>
      <c r="H116" s="12">
        <v>15.4310788203624</v>
      </c>
      <c r="I116" s="11">
        <v>0.98793301332604</v>
      </c>
      <c r="J116" s="10">
        <v>0.32318545590394598</v>
      </c>
      <c r="K116" s="29">
        <v>0.98289565623980701</v>
      </c>
    </row>
    <row r="117" spans="1:11" x14ac:dyDescent="0.35">
      <c r="A117" s="9" t="str">
        <f>HYPERLINK("http://www.ensembl.org/id/WBGene00021494", "WBGene00021494")</f>
        <v>WBGene00021494</v>
      </c>
      <c r="B117" s="9" t="str">
        <f>HYPERLINK("http://www.ncbi.nlm.nih.gov/gene/189790", "189790")</f>
        <v>189790</v>
      </c>
      <c r="C117" s="9"/>
      <c r="D117" t="str">
        <f>"Y40B10B.1"</f>
        <v>Y40B10B.1</v>
      </c>
      <c r="F117" t="s">
        <v>11</v>
      </c>
      <c r="G117" t="s">
        <v>63</v>
      </c>
      <c r="H117" s="12">
        <v>15.4310788203624</v>
      </c>
      <c r="I117" s="11">
        <v>0.98793301332604</v>
      </c>
      <c r="J117" s="10">
        <v>0.32318545590394598</v>
      </c>
      <c r="K117" s="29">
        <v>0.98289565623980701</v>
      </c>
    </row>
    <row r="118" spans="1:11" x14ac:dyDescent="0.35">
      <c r="A118" s="9" t="str">
        <f>HYPERLINK("http://www.ensembl.org/id/WBGene00014694", "WBGene00014694")</f>
        <v>WBGene00014694</v>
      </c>
      <c r="B118" s="9"/>
      <c r="C118" s="9"/>
      <c r="D118" t="str">
        <f>"C33D3.2"</f>
        <v>C33D3.2</v>
      </c>
      <c r="F118" t="s">
        <v>80</v>
      </c>
      <c r="H118" s="12">
        <v>15.311360389193499</v>
      </c>
      <c r="I118" s="11">
        <v>0.90351699119264905</v>
      </c>
      <c r="J118" s="10">
        <v>0.36625157460114899</v>
      </c>
      <c r="K118" s="29">
        <v>0.98289565623980701</v>
      </c>
    </row>
    <row r="119" spans="1:11" x14ac:dyDescent="0.35">
      <c r="A119" s="9" t="str">
        <f>HYPERLINK("http://www.ensembl.org/id/WBGene00044708", "WBGene00044708")</f>
        <v>WBGene00044708</v>
      </c>
      <c r="B119" s="9" t="str">
        <f>HYPERLINK("http://www.ncbi.nlm.nih.gov/gene/4363012", "4363012")</f>
        <v>4363012</v>
      </c>
      <c r="C119" s="9"/>
      <c r="D119" t="str">
        <f>"pals-11"</f>
        <v>pals-11</v>
      </c>
      <c r="E119" t="s">
        <v>1147</v>
      </c>
      <c r="F119" t="s">
        <v>11</v>
      </c>
      <c r="H119" s="12">
        <v>15.311360389193499</v>
      </c>
      <c r="I119" s="11">
        <v>0.90351699119264905</v>
      </c>
      <c r="J119" s="10">
        <v>0.36625157460114899</v>
      </c>
      <c r="K119" s="29">
        <v>0.98289565623980701</v>
      </c>
    </row>
    <row r="120" spans="1:11" x14ac:dyDescent="0.35">
      <c r="A120" s="9" t="str">
        <f>HYPERLINK("http://www.ensembl.org/id/WBGene00016480", "WBGene00016480")</f>
        <v>WBGene00016480</v>
      </c>
      <c r="B120" s="9" t="str">
        <f>HYPERLINK("http://www.ncbi.nlm.nih.gov/gene/183267", "183267")</f>
        <v>183267</v>
      </c>
      <c r="C120" s="9"/>
      <c r="D120" t="str">
        <f>"srab-7"</f>
        <v>srab-7</v>
      </c>
      <c r="E120" t="s">
        <v>4203</v>
      </c>
      <c r="F120" t="s">
        <v>11</v>
      </c>
      <c r="G120" t="s">
        <v>25</v>
      </c>
      <c r="H120" s="12">
        <v>15.311360389193499</v>
      </c>
      <c r="I120" s="11">
        <v>0.90351699119264905</v>
      </c>
      <c r="J120" s="10">
        <v>0.36625157460114899</v>
      </c>
      <c r="K120" s="29">
        <v>0.98289565623980701</v>
      </c>
    </row>
    <row r="121" spans="1:11" x14ac:dyDescent="0.35">
      <c r="A121" s="9" t="str">
        <f>HYPERLINK("http://www.ensembl.org/id/WBGene00007204", "WBGene00007204")</f>
        <v>WBGene00007204</v>
      </c>
      <c r="B121" s="9" t="str">
        <f>HYPERLINK("http://www.ncbi.nlm.nih.gov/gene/182044", "182044")</f>
        <v>182044</v>
      </c>
      <c r="C121" s="9"/>
      <c r="D121" t="str">
        <f>"best-2"</f>
        <v>best-2</v>
      </c>
      <c r="E121" t="s">
        <v>1616</v>
      </c>
      <c r="F121" t="s">
        <v>11</v>
      </c>
      <c r="H121" s="12">
        <v>15.1083085317997</v>
      </c>
      <c r="I121" s="11">
        <v>2.0672723961723198</v>
      </c>
      <c r="J121" s="10">
        <v>3.8708493783271E-2</v>
      </c>
      <c r="K121" s="29">
        <v>0.45308939075798299</v>
      </c>
    </row>
    <row r="122" spans="1:11" x14ac:dyDescent="0.35">
      <c r="A122" s="9" t="str">
        <f>HYPERLINK("http://www.ensembl.org/id/WBGene00219478", "WBGene00219478")</f>
        <v>WBGene00219478</v>
      </c>
      <c r="B122" s="9" t="str">
        <f>HYPERLINK("http://www.ncbi.nlm.nih.gov/gene/24105018", "24105018")</f>
        <v>24105018</v>
      </c>
      <c r="C122" s="9"/>
      <c r="D122" t="str">
        <f>"Y105C5B.1418"</f>
        <v>Y105C5B.1418</v>
      </c>
      <c r="F122" t="s">
        <v>11</v>
      </c>
      <c r="G122" t="s">
        <v>25</v>
      </c>
      <c r="H122" s="12">
        <v>15.026306458787399</v>
      </c>
      <c r="I122" s="11">
        <v>1.0124645636185601</v>
      </c>
      <c r="J122" s="10">
        <v>0.31131598177808001</v>
      </c>
      <c r="K122" s="29">
        <v>0.98289565623980701</v>
      </c>
    </row>
    <row r="123" spans="1:11" x14ac:dyDescent="0.35">
      <c r="A123" s="9" t="str">
        <f>HYPERLINK("http://www.ensembl.org/id/WBGene00009497", "WBGene00009497")</f>
        <v>WBGene00009497</v>
      </c>
      <c r="B123" s="9" t="str">
        <f>HYPERLINK("http://www.ncbi.nlm.nih.gov/gene/3564789", "3564789")</f>
        <v>3564789</v>
      </c>
      <c r="C123" s="9"/>
      <c r="D123" t="str">
        <f>"F36H1.12"</f>
        <v>F36H1.12</v>
      </c>
      <c r="F123" t="s">
        <v>11</v>
      </c>
      <c r="H123" s="12">
        <v>14.710948868267399</v>
      </c>
      <c r="I123" s="11">
        <v>5.2304081247021204</v>
      </c>
      <c r="J123" s="10">
        <v>1.6913621952924499E-7</v>
      </c>
      <c r="K123" s="29">
        <v>3.7577514311949301E-5</v>
      </c>
    </row>
    <row r="124" spans="1:11" x14ac:dyDescent="0.35">
      <c r="A124" s="9" t="str">
        <f>HYPERLINK("http://www.ensembl.org/id/WBGene00001714", "WBGene00001714")</f>
        <v>WBGene00001714</v>
      </c>
      <c r="B124" s="9" t="str">
        <f>HYPERLINK("http://www.ncbi.nlm.nih.gov/gene/178837", "178837")</f>
        <v>178837</v>
      </c>
      <c r="C124" s="9"/>
      <c r="D124" t="str">
        <f>"grl-5"</f>
        <v>grl-5</v>
      </c>
      <c r="E124" t="s">
        <v>353</v>
      </c>
      <c r="F124" t="s">
        <v>11</v>
      </c>
      <c r="H124" s="12">
        <v>14.669050472237799</v>
      </c>
      <c r="I124" s="11">
        <v>2.2664942980597802</v>
      </c>
      <c r="J124" s="10">
        <v>2.3421135874589299E-2</v>
      </c>
      <c r="K124" s="29">
        <v>0.33249894718313899</v>
      </c>
    </row>
    <row r="125" spans="1:11" x14ac:dyDescent="0.35">
      <c r="A125" s="9" t="str">
        <f>HYPERLINK("http://www.ensembl.org/id/WBGene00005716", "WBGene00005716")</f>
        <v>WBGene00005716</v>
      </c>
      <c r="B125" s="9" t="str">
        <f>HYPERLINK("http://www.ncbi.nlm.nih.gov/gene/185979", "185979")</f>
        <v>185979</v>
      </c>
      <c r="C125" s="9"/>
      <c r="D125" t="str">
        <f>"srv-5"</f>
        <v>srv-5</v>
      </c>
      <c r="E125" t="s">
        <v>1828</v>
      </c>
      <c r="F125" t="s">
        <v>11</v>
      </c>
      <c r="G125" t="s">
        <v>1829</v>
      </c>
      <c r="H125" s="12">
        <v>14.5723247182911</v>
      </c>
      <c r="I125" s="11">
        <v>1.9382318241605301</v>
      </c>
      <c r="J125" s="10">
        <v>5.2594945756952199E-2</v>
      </c>
      <c r="K125" s="29">
        <v>0.53915652913049605</v>
      </c>
    </row>
    <row r="126" spans="1:11" x14ac:dyDescent="0.35">
      <c r="A126" s="9" t="str">
        <f>HYPERLINK("http://www.ensembl.org/id/WBGene00022541", "WBGene00022541")</f>
        <v>WBGene00022541</v>
      </c>
      <c r="B126" s="9" t="str">
        <f>HYPERLINK("http://www.ncbi.nlm.nih.gov/gene/179250", "179250")</f>
        <v>179250</v>
      </c>
      <c r="C126" s="9"/>
      <c r="D126" t="str">
        <f>"ZC190.7"</f>
        <v>ZC190.7</v>
      </c>
      <c r="F126" t="s">
        <v>11</v>
      </c>
      <c r="G126" t="s">
        <v>25</v>
      </c>
      <c r="H126" s="12">
        <v>14.3853423485994</v>
      </c>
      <c r="I126" s="11">
        <v>1.4432057151125199</v>
      </c>
      <c r="J126" s="10">
        <v>0.14896253007205901</v>
      </c>
      <c r="K126" s="29">
        <v>0.85133025472297696</v>
      </c>
    </row>
    <row r="127" spans="1:11" x14ac:dyDescent="0.35">
      <c r="A127" s="9" t="str">
        <f>HYPERLINK("http://www.ensembl.org/id/WBGene00014375", "WBGene00014375")</f>
        <v>WBGene00014375</v>
      </c>
      <c r="B127" s="9"/>
      <c r="C127" s="9"/>
      <c r="D127" t="str">
        <f>"F44D12.11"</f>
        <v>F44D12.11</v>
      </c>
      <c r="F127" t="s">
        <v>80</v>
      </c>
      <c r="H127" s="12">
        <v>14.120289392902601</v>
      </c>
      <c r="I127" s="11">
        <v>1.41718790692295</v>
      </c>
      <c r="J127" s="10">
        <v>0.15642799647804401</v>
      </c>
      <c r="K127" s="29">
        <v>0.86653323880244504</v>
      </c>
    </row>
    <row r="128" spans="1:11" x14ac:dyDescent="0.35">
      <c r="A128" s="9" t="str">
        <f>HYPERLINK("http://www.ensembl.org/id/WBGene00219272", "WBGene00219272")</f>
        <v>WBGene00219272</v>
      </c>
      <c r="B128" s="9" t="str">
        <f>HYPERLINK("http://www.ncbi.nlm.nih.gov/gene/13185022", "13185022")</f>
        <v>13185022</v>
      </c>
      <c r="C128" s="9"/>
      <c r="D128" t="str">
        <f>"C17C3.24"</f>
        <v>C17C3.24</v>
      </c>
      <c r="F128" t="s">
        <v>11</v>
      </c>
      <c r="H128" s="12">
        <v>14.098189607313399</v>
      </c>
      <c r="I128" s="11">
        <v>0.90638981510253003</v>
      </c>
      <c r="J128" s="10">
        <v>0.36472956169230802</v>
      </c>
      <c r="K128" s="29">
        <v>0.98289565623980701</v>
      </c>
    </row>
    <row r="129" spans="1:11" x14ac:dyDescent="0.35">
      <c r="A129" s="9" t="str">
        <f>HYPERLINK("http://www.ensembl.org/id/WBGene00198932", "WBGene00198932")</f>
        <v>WBGene00198932</v>
      </c>
      <c r="B129" s="9"/>
      <c r="C129" s="9"/>
      <c r="D129" t="str">
        <f>"F29C4.11"</f>
        <v>F29C4.11</v>
      </c>
      <c r="F129" t="s">
        <v>481</v>
      </c>
      <c r="H129" s="12">
        <v>14.098189607313399</v>
      </c>
      <c r="I129" s="11">
        <v>0.90638981510253003</v>
      </c>
      <c r="J129" s="10">
        <v>0.36472956169230802</v>
      </c>
      <c r="K129" s="29">
        <v>0.98289565623980701</v>
      </c>
    </row>
    <row r="130" spans="1:11" x14ac:dyDescent="0.35">
      <c r="A130" s="9" t="str">
        <f>HYPERLINK("http://www.ensembl.org/id/WBGene00005094", "WBGene00005094")</f>
        <v>WBGene00005094</v>
      </c>
      <c r="B130" s="9" t="str">
        <f>HYPERLINK("http://www.ncbi.nlm.nih.gov/gene/191805", "191805")</f>
        <v>191805</v>
      </c>
      <c r="C130" s="9"/>
      <c r="D130" t="str">
        <f>"srd-16"</f>
        <v>srd-16</v>
      </c>
      <c r="E130" t="s">
        <v>1513</v>
      </c>
      <c r="F130" t="s">
        <v>11</v>
      </c>
      <c r="G130" t="s">
        <v>25</v>
      </c>
      <c r="H130" s="12">
        <v>14.098189607313399</v>
      </c>
      <c r="I130" s="11">
        <v>0.90638981510253003</v>
      </c>
      <c r="J130" s="10">
        <v>0.36472956169230802</v>
      </c>
      <c r="K130" s="29">
        <v>0.98289565623980701</v>
      </c>
    </row>
    <row r="131" spans="1:11" x14ac:dyDescent="0.35">
      <c r="A131" s="9" t="str">
        <f>HYPERLINK("http://www.ensembl.org/id/WBGene00005389", "WBGene00005389")</f>
        <v>WBGene00005389</v>
      </c>
      <c r="B131" s="9" t="str">
        <f>HYPERLINK("http://www.ncbi.nlm.nih.gov/gene/190432", "190432")</f>
        <v>190432</v>
      </c>
      <c r="C131" s="9"/>
      <c r="D131" t="str">
        <f>"srh-173"</f>
        <v>srh-173</v>
      </c>
      <c r="E131" t="s">
        <v>153</v>
      </c>
      <c r="F131" t="s">
        <v>11</v>
      </c>
      <c r="G131" t="s">
        <v>25</v>
      </c>
      <c r="H131" s="12">
        <v>14.098189607313399</v>
      </c>
      <c r="I131" s="11">
        <v>0.90638981510253003</v>
      </c>
      <c r="J131" s="10">
        <v>0.36472956169230802</v>
      </c>
      <c r="K131" s="29">
        <v>0.98289565623980701</v>
      </c>
    </row>
    <row r="132" spans="1:11" x14ac:dyDescent="0.35">
      <c r="A132" s="9" t="str">
        <f>HYPERLINK("http://www.ensembl.org/id/WBGene00077588", "WBGene00077588")</f>
        <v>WBGene00077588</v>
      </c>
      <c r="B132" s="9" t="str">
        <f>HYPERLINK("http://www.ncbi.nlm.nih.gov/gene/6418776", "6418776")</f>
        <v>6418776</v>
      </c>
      <c r="C132" s="9"/>
      <c r="D132" t="str">
        <f>"T26H8.5"</f>
        <v>T26H8.5</v>
      </c>
      <c r="F132" t="s">
        <v>11</v>
      </c>
      <c r="G132" t="s">
        <v>1015</v>
      </c>
      <c r="H132" s="12">
        <v>14.098189607313399</v>
      </c>
      <c r="I132" s="11">
        <v>0.90638981510253003</v>
      </c>
      <c r="J132" s="10">
        <v>0.36472956169230802</v>
      </c>
      <c r="K132" s="29">
        <v>0.98289565623980701</v>
      </c>
    </row>
    <row r="133" spans="1:11" x14ac:dyDescent="0.35">
      <c r="A133" s="9" t="str">
        <f>HYPERLINK("http://www.ensembl.org/id/WBGene00005090", "WBGene00005090")</f>
        <v>WBGene00005090</v>
      </c>
      <c r="B133" s="9" t="str">
        <f>HYPERLINK("http://www.ncbi.nlm.nih.gov/gene/191802", "191802")</f>
        <v>191802</v>
      </c>
      <c r="C133" s="9"/>
      <c r="D133" t="str">
        <f>"srd-12"</f>
        <v>srd-12</v>
      </c>
      <c r="E133" t="s">
        <v>1513</v>
      </c>
      <c r="F133" t="s">
        <v>11</v>
      </c>
      <c r="G133" t="s">
        <v>25</v>
      </c>
      <c r="H133" s="12">
        <v>14.006699122375</v>
      </c>
      <c r="I133" s="11">
        <v>2.1172894198287699</v>
      </c>
      <c r="J133" s="10">
        <v>3.4235292286855498E-2</v>
      </c>
      <c r="K133" s="29">
        <v>0.42130202013274898</v>
      </c>
    </row>
    <row r="134" spans="1:11" x14ac:dyDescent="0.35">
      <c r="A134" s="9" t="str">
        <f>HYPERLINK("http://www.ensembl.org/id/WBGene00005013", "WBGene00005013")</f>
        <v>WBGene00005013</v>
      </c>
      <c r="B134" s="9" t="str">
        <f>HYPERLINK("http://www.ncbi.nlm.nih.gov/gene/174812", "174812")</f>
        <v>174812</v>
      </c>
      <c r="C134" s="9"/>
      <c r="D134" t="str">
        <f>"jmjd-1.1"</f>
        <v>jmjd-1.1</v>
      </c>
      <c r="E134" t="s">
        <v>1355</v>
      </c>
      <c r="F134" t="s">
        <v>11</v>
      </c>
      <c r="G134" t="s">
        <v>3735</v>
      </c>
      <c r="H134" s="12">
        <v>14.001357483092701</v>
      </c>
      <c r="I134" s="11">
        <v>1.3128459637434</v>
      </c>
      <c r="J134" s="10">
        <v>0.18923485826818101</v>
      </c>
      <c r="K134" s="29">
        <v>0.92715450278723199</v>
      </c>
    </row>
    <row r="135" spans="1:11" x14ac:dyDescent="0.35">
      <c r="A135" s="9" t="str">
        <f>HYPERLINK("http://www.ensembl.org/id/WBGene00008609", "WBGene00008609")</f>
        <v>WBGene00008609</v>
      </c>
      <c r="B135" s="9" t="str">
        <f>HYPERLINK("http://www.ncbi.nlm.nih.gov/gene/184225", "184225")</f>
        <v>184225</v>
      </c>
      <c r="C135" s="9"/>
      <c r="D135" t="str">
        <f>"F09B12.5"</f>
        <v>F09B12.5</v>
      </c>
      <c r="F135" t="s">
        <v>11</v>
      </c>
      <c r="G135" t="s">
        <v>54</v>
      </c>
      <c r="H135" s="12">
        <v>13.924346224986801</v>
      </c>
      <c r="I135" s="11">
        <v>2.1988654290810401</v>
      </c>
      <c r="J135" s="10">
        <v>2.7887492438508899E-2</v>
      </c>
      <c r="K135" s="29">
        <v>0.37258671819880401</v>
      </c>
    </row>
    <row r="136" spans="1:11" x14ac:dyDescent="0.35">
      <c r="A136" s="9" t="str">
        <f>HYPERLINK("http://www.ensembl.org/id/WBGene00000618", "WBGene00000618")</f>
        <v>WBGene00000618</v>
      </c>
      <c r="B136" s="9" t="str">
        <f>HYPERLINK("http://www.ncbi.nlm.nih.gov/gene/181610", "181610")</f>
        <v>181610</v>
      </c>
      <c r="C136" s="9"/>
      <c r="D136" t="str">
        <f>"col-41"</f>
        <v>col-41</v>
      </c>
      <c r="E136" t="s">
        <v>40</v>
      </c>
      <c r="F136" t="s">
        <v>11</v>
      </c>
      <c r="G136" t="s">
        <v>152</v>
      </c>
      <c r="H136" s="12">
        <v>13.739041502870601</v>
      </c>
      <c r="I136" s="11">
        <v>2.55607965123549</v>
      </c>
      <c r="J136" s="10">
        <v>1.0585888426439099E-2</v>
      </c>
      <c r="K136" s="29">
        <v>0.20248140561366099</v>
      </c>
    </row>
    <row r="137" spans="1:11" x14ac:dyDescent="0.35">
      <c r="A137" s="9" t="str">
        <f>HYPERLINK("http://www.ensembl.org/id/WBGene00015998", "WBGene00015998")</f>
        <v>WBGene00015998</v>
      </c>
      <c r="B137" s="9" t="str">
        <f>HYPERLINK("http://www.ncbi.nlm.nih.gov/gene/182805", "182805")</f>
        <v>182805</v>
      </c>
      <c r="C137" s="9"/>
      <c r="D137" t="str">
        <f>"srt-59"</f>
        <v>srt-59</v>
      </c>
      <c r="E137" t="s">
        <v>2845</v>
      </c>
      <c r="F137" t="s">
        <v>11</v>
      </c>
      <c r="G137" t="s">
        <v>25</v>
      </c>
      <c r="H137" s="12">
        <v>13.510057604228701</v>
      </c>
      <c r="I137" s="11">
        <v>1.3110716056934699</v>
      </c>
      <c r="J137" s="10">
        <v>0.18983357272822701</v>
      </c>
      <c r="K137" s="29">
        <v>0.92834517192120303</v>
      </c>
    </row>
    <row r="138" spans="1:11" x14ac:dyDescent="0.35">
      <c r="A138" s="9" t="str">
        <f>HYPERLINK("http://www.ensembl.org/id/WBGene00046401", "WBGene00046401")</f>
        <v>WBGene00046401</v>
      </c>
      <c r="B138" s="9"/>
      <c r="C138" s="9"/>
      <c r="D138" t="str">
        <f>"21ur-2251"</f>
        <v>21ur-2251</v>
      </c>
      <c r="F138" t="s">
        <v>3161</v>
      </c>
      <c r="H138" s="12">
        <v>13.456503093714</v>
      </c>
      <c r="I138" s="11">
        <v>0.90977004478847401</v>
      </c>
      <c r="J138" s="10">
        <v>0.36294379535114901</v>
      </c>
      <c r="K138" s="29">
        <v>0.98289565623980701</v>
      </c>
    </row>
    <row r="139" spans="1:11" x14ac:dyDescent="0.35">
      <c r="A139" s="9" t="str">
        <f>HYPERLINK("http://www.ensembl.org/id/WBGene00018179", "WBGene00018179")</f>
        <v>WBGene00018179</v>
      </c>
      <c r="B139" s="9" t="str">
        <f>HYPERLINK("http://www.ncbi.nlm.nih.gov/gene/185464", "185464")</f>
        <v>185464</v>
      </c>
      <c r="C139" s="9"/>
      <c r="D139" t="str">
        <f>"F38E1.6"</f>
        <v>F38E1.6</v>
      </c>
      <c r="F139" t="s">
        <v>11</v>
      </c>
      <c r="G139" t="s">
        <v>1015</v>
      </c>
      <c r="H139" s="12">
        <v>13.456503093714</v>
      </c>
      <c r="I139" s="11">
        <v>0.90977004478847401</v>
      </c>
      <c r="J139" s="10">
        <v>0.36294379535114901</v>
      </c>
      <c r="K139" s="29">
        <v>0.98289565623980701</v>
      </c>
    </row>
    <row r="140" spans="1:11" x14ac:dyDescent="0.35">
      <c r="A140" s="9" t="str">
        <f>HYPERLINK("http://www.ensembl.org/id/WBGene00050208", "WBGene00050208")</f>
        <v>WBGene00050208</v>
      </c>
      <c r="B140" s="9"/>
      <c r="C140" s="9"/>
      <c r="D140" t="str">
        <f>"21ur-5319"</f>
        <v>21ur-5319</v>
      </c>
      <c r="F140" t="s">
        <v>3161</v>
      </c>
      <c r="H140" s="12">
        <v>13.4058627948307</v>
      </c>
      <c r="I140" s="11">
        <v>0.82251412515369104</v>
      </c>
      <c r="J140" s="10">
        <v>0.41078435087257997</v>
      </c>
      <c r="K140" s="29">
        <v>0.98289565623980701</v>
      </c>
    </row>
    <row r="141" spans="1:11" x14ac:dyDescent="0.35">
      <c r="A141" s="9" t="str">
        <f>HYPERLINK("http://www.ensembl.org/id/WBGene00016660", "WBGene00016660")</f>
        <v>WBGene00016660</v>
      </c>
      <c r="B141" s="9" t="str">
        <f>HYPERLINK("http://www.ncbi.nlm.nih.gov/gene/183467", "183467")</f>
        <v>183467</v>
      </c>
      <c r="C141" s="9"/>
      <c r="D141" t="str">
        <f>"C45B2.3"</f>
        <v>C45B2.3</v>
      </c>
      <c r="F141" t="s">
        <v>11</v>
      </c>
      <c r="H141" s="12">
        <v>13.4058627948307</v>
      </c>
      <c r="I141" s="11">
        <v>0.82251412515369104</v>
      </c>
      <c r="J141" s="10">
        <v>0.41078435087257997</v>
      </c>
      <c r="K141" s="29">
        <v>0.98289565623980701</v>
      </c>
    </row>
    <row r="142" spans="1:11" x14ac:dyDescent="0.35">
      <c r="A142" s="9" t="str">
        <f>HYPERLINK("http://www.ensembl.org/id/WBGene00008202", "WBGene00008202")</f>
        <v>WBGene00008202</v>
      </c>
      <c r="B142" s="9" t="str">
        <f>HYPERLINK("http://www.ncbi.nlm.nih.gov/gene/178521", "178521")</f>
        <v>178521</v>
      </c>
      <c r="C142" s="9"/>
      <c r="D142" t="str">
        <f>"clec-197"</f>
        <v>clec-197</v>
      </c>
      <c r="E142" t="s">
        <v>46</v>
      </c>
      <c r="F142" t="s">
        <v>11</v>
      </c>
      <c r="G142" t="s">
        <v>47</v>
      </c>
      <c r="H142" s="12">
        <v>13.4058627948307</v>
      </c>
      <c r="I142" s="11">
        <v>0.82251412515369104</v>
      </c>
      <c r="J142" s="10">
        <v>0.41078435087257997</v>
      </c>
      <c r="K142" s="29">
        <v>0.98289565623980701</v>
      </c>
    </row>
    <row r="143" spans="1:11" x14ac:dyDescent="0.35">
      <c r="A143" s="9" t="str">
        <f>HYPERLINK("http://www.ensembl.org/id/WBGene00013622", "WBGene00013622")</f>
        <v>WBGene00013622</v>
      </c>
      <c r="B143" s="9"/>
      <c r="C143" s="9"/>
      <c r="D143" t="str">
        <f>"clec-238"</f>
        <v>clec-238</v>
      </c>
      <c r="F143" t="s">
        <v>11</v>
      </c>
      <c r="H143" s="12">
        <v>13.4058627948307</v>
      </c>
      <c r="I143" s="11">
        <v>0.82251412515369104</v>
      </c>
      <c r="J143" s="10">
        <v>0.41078435087257997</v>
      </c>
      <c r="K143" s="29">
        <v>0.98289565623980701</v>
      </c>
    </row>
    <row r="144" spans="1:11" x14ac:dyDescent="0.35">
      <c r="A144" s="9" t="str">
        <f>HYPERLINK("http://www.ensembl.org/id/WBGene00009414", "WBGene00009414")</f>
        <v>WBGene00009414</v>
      </c>
      <c r="B144" s="9"/>
      <c r="C144" s="9"/>
      <c r="D144" t="str">
        <f>"F35E2.7"</f>
        <v>F35E2.7</v>
      </c>
      <c r="F144" t="s">
        <v>80</v>
      </c>
      <c r="H144" s="12">
        <v>13.4058627948307</v>
      </c>
      <c r="I144" s="11">
        <v>0.82251412515369104</v>
      </c>
      <c r="J144" s="10">
        <v>0.41078435087257997</v>
      </c>
      <c r="K144" s="29">
        <v>0.98289565623980701</v>
      </c>
    </row>
    <row r="145" spans="1:11" x14ac:dyDescent="0.35">
      <c r="A145" s="9" t="str">
        <f>HYPERLINK("http://www.ensembl.org/id/WBGene00044189", "WBGene00044189")</f>
        <v>WBGene00044189</v>
      </c>
      <c r="B145" s="9" t="str">
        <f>HYPERLINK("http://www.ncbi.nlm.nih.gov/gene/3565406", "3565406")</f>
        <v>3565406</v>
      </c>
      <c r="C145" s="9"/>
      <c r="D145" t="str">
        <f>"F36D3.14"</f>
        <v>F36D3.14</v>
      </c>
      <c r="F145" t="s">
        <v>11</v>
      </c>
      <c r="H145" s="12">
        <v>13.4058627948307</v>
      </c>
      <c r="I145" s="11">
        <v>0.82251412515369104</v>
      </c>
      <c r="J145" s="10">
        <v>0.41078435087257997</v>
      </c>
      <c r="K145" s="29">
        <v>0.98289565623980701</v>
      </c>
    </row>
    <row r="146" spans="1:11" x14ac:dyDescent="0.35">
      <c r="A146" s="9" t="str">
        <f>HYPERLINK("http://www.ensembl.org/id/WBGene00005508", "WBGene00005508")</f>
        <v>WBGene00005508</v>
      </c>
      <c r="B146" s="9" t="str">
        <f>HYPERLINK("http://www.ncbi.nlm.nih.gov/gene/190798", "190798")</f>
        <v>190798</v>
      </c>
      <c r="C146" s="9"/>
      <c r="D146" t="str">
        <f>"srh-304"</f>
        <v>srh-304</v>
      </c>
      <c r="E146" t="s">
        <v>153</v>
      </c>
      <c r="F146" t="s">
        <v>11</v>
      </c>
      <c r="G146" t="s">
        <v>25</v>
      </c>
      <c r="H146" s="12">
        <v>13.4058627948307</v>
      </c>
      <c r="I146" s="11">
        <v>0.82251412515369104</v>
      </c>
      <c r="J146" s="10">
        <v>0.41078435087257997</v>
      </c>
      <c r="K146" s="29">
        <v>0.98289565623980701</v>
      </c>
    </row>
    <row r="147" spans="1:11" x14ac:dyDescent="0.35">
      <c r="A147" s="9" t="str">
        <f>HYPERLINK("http://www.ensembl.org/id/WBGene00005232", "WBGene00005232")</f>
        <v>WBGene00005232</v>
      </c>
      <c r="B147" s="9"/>
      <c r="C147" s="9"/>
      <c r="D147" t="str">
        <f>"srh-6"</f>
        <v>srh-6</v>
      </c>
      <c r="F147" t="s">
        <v>80</v>
      </c>
      <c r="H147" s="12">
        <v>13.4058627948307</v>
      </c>
      <c r="I147" s="11">
        <v>0.82251412515369104</v>
      </c>
      <c r="J147" s="10">
        <v>0.41078435087257997</v>
      </c>
      <c r="K147" s="29">
        <v>0.98289565623980701</v>
      </c>
    </row>
    <row r="148" spans="1:11" x14ac:dyDescent="0.35">
      <c r="A148" s="9" t="str">
        <f>HYPERLINK("http://www.ensembl.org/id/WBGene00044432", "WBGene00044432")</f>
        <v>WBGene00044432</v>
      </c>
      <c r="B148" s="9" t="str">
        <f>HYPERLINK("http://www.ncbi.nlm.nih.gov/gene/3565557", "3565557")</f>
        <v>3565557</v>
      </c>
      <c r="C148" s="9"/>
      <c r="D148" t="str">
        <f>"W03G9.9"</f>
        <v>W03G9.9</v>
      </c>
      <c r="F148" t="s">
        <v>11</v>
      </c>
      <c r="H148" s="12">
        <v>13.4058627948307</v>
      </c>
      <c r="I148" s="11">
        <v>0.82251412515369104</v>
      </c>
      <c r="J148" s="10">
        <v>0.41078435087257997</v>
      </c>
      <c r="K148" s="29">
        <v>0.98289565623980701</v>
      </c>
    </row>
    <row r="149" spans="1:11" x14ac:dyDescent="0.35">
      <c r="A149" s="9" t="str">
        <f>HYPERLINK("http://www.ensembl.org/id/WBGene00006077", "WBGene00006077")</f>
        <v>WBGene00006077</v>
      </c>
      <c r="B149" s="9" t="str">
        <f>HYPERLINK("http://www.ncbi.nlm.nih.gov/gene/186433", "186433")</f>
        <v>186433</v>
      </c>
      <c r="C149" s="9"/>
      <c r="D149" t="str">
        <f>"str-9"</f>
        <v>str-9</v>
      </c>
      <c r="E149" t="s">
        <v>590</v>
      </c>
      <c r="F149" t="s">
        <v>11</v>
      </c>
      <c r="G149" t="s">
        <v>25</v>
      </c>
      <c r="H149" s="12">
        <v>13.3909543974809</v>
      </c>
      <c r="I149" s="11">
        <v>1.32987356230114</v>
      </c>
      <c r="J149" s="10">
        <v>0.183559933424394</v>
      </c>
      <c r="K149" s="29">
        <v>0.92065675348092202</v>
      </c>
    </row>
    <row r="150" spans="1:11" x14ac:dyDescent="0.35">
      <c r="A150" s="9" t="str">
        <f>HYPERLINK("http://www.ensembl.org/id/WBGene00020775", "WBGene00020775")</f>
        <v>WBGene00020775</v>
      </c>
      <c r="B150" s="9" t="str">
        <f>HYPERLINK("http://www.ncbi.nlm.nih.gov/gene/188864", "188864")</f>
        <v>188864</v>
      </c>
      <c r="C150" s="9"/>
      <c r="D150" t="str">
        <f>"T24E12.6"</f>
        <v>T24E12.6</v>
      </c>
      <c r="F150" t="s">
        <v>11</v>
      </c>
      <c r="H150" s="12">
        <v>13.3909543974809</v>
      </c>
      <c r="I150" s="11">
        <v>1.32987356230114</v>
      </c>
      <c r="J150" s="10">
        <v>0.183559933424394</v>
      </c>
      <c r="K150" s="29">
        <v>0.92065675348092202</v>
      </c>
    </row>
    <row r="151" spans="1:11" x14ac:dyDescent="0.35">
      <c r="A151" s="9" t="str">
        <f>HYPERLINK("http://www.ensembl.org/id/WBGene00166664", "WBGene00166664")</f>
        <v>WBGene00166664</v>
      </c>
      <c r="B151" s="9"/>
      <c r="C151" s="9"/>
      <c r="D151" t="str">
        <f>"21ur-14949"</f>
        <v>21ur-14949</v>
      </c>
      <c r="F151" t="s">
        <v>3161</v>
      </c>
      <c r="H151" s="12">
        <v>13.2083681824683</v>
      </c>
      <c r="I151" s="11">
        <v>0.79736709025154395</v>
      </c>
      <c r="J151" s="10">
        <v>0.42523786651974499</v>
      </c>
      <c r="K151" s="29">
        <v>0.98289565623980701</v>
      </c>
    </row>
    <row r="152" spans="1:11" x14ac:dyDescent="0.35">
      <c r="A152" s="9" t="str">
        <f>HYPERLINK("http://www.ensembl.org/id/WBGene00195761", "WBGene00195761")</f>
        <v>WBGene00195761</v>
      </c>
      <c r="B152" s="9"/>
      <c r="C152" s="9"/>
      <c r="D152" t="str">
        <f>"C18B12.9"</f>
        <v>C18B12.9</v>
      </c>
      <c r="F152" t="s">
        <v>481</v>
      </c>
      <c r="H152" s="12">
        <v>13.2083681824683</v>
      </c>
      <c r="I152" s="11">
        <v>0.79736709025154395</v>
      </c>
      <c r="J152" s="10">
        <v>0.42523786651974499</v>
      </c>
      <c r="K152" s="29">
        <v>0.98289565623980701</v>
      </c>
    </row>
    <row r="153" spans="1:11" x14ac:dyDescent="0.35">
      <c r="A153" s="9" t="str">
        <f>HYPERLINK("http://www.ensembl.org/id/WBGene00016389", "WBGene00016389")</f>
        <v>WBGene00016389</v>
      </c>
      <c r="B153" s="9" t="str">
        <f>HYPERLINK("http://www.ncbi.nlm.nih.gov/gene/183192", "183192")</f>
        <v>183192</v>
      </c>
      <c r="C153" s="9"/>
      <c r="D153" t="str">
        <f>"C34B2.4"</f>
        <v>C34B2.4</v>
      </c>
      <c r="F153" t="s">
        <v>11</v>
      </c>
      <c r="G153" t="s">
        <v>4204</v>
      </c>
      <c r="H153" s="12">
        <v>13.2083681824683</v>
      </c>
      <c r="I153" s="11">
        <v>0.79736709025154395</v>
      </c>
      <c r="J153" s="10">
        <v>0.42523786651974499</v>
      </c>
      <c r="K153" s="29">
        <v>0.98289565623980701</v>
      </c>
    </row>
    <row r="154" spans="1:11" x14ac:dyDescent="0.35">
      <c r="A154" s="9" t="str">
        <f>HYPERLINK("http://www.ensembl.org/id/WBGene00201106", "WBGene00201106")</f>
        <v>WBGene00201106</v>
      </c>
      <c r="B154" s="9"/>
      <c r="C154" s="9"/>
      <c r="D154" t="str">
        <f>"F48C1.14"</f>
        <v>F48C1.14</v>
      </c>
      <c r="F154" t="s">
        <v>481</v>
      </c>
      <c r="H154" s="12">
        <v>13.2083681824683</v>
      </c>
      <c r="I154" s="11">
        <v>0.79736709025154395</v>
      </c>
      <c r="J154" s="10">
        <v>0.42523786651974499</v>
      </c>
      <c r="K154" s="29">
        <v>0.98289565623980701</v>
      </c>
    </row>
    <row r="155" spans="1:11" x14ac:dyDescent="0.35">
      <c r="A155" s="9" t="str">
        <f>HYPERLINK("http://www.ensembl.org/id/WBGene00196681", "WBGene00196681")</f>
        <v>WBGene00196681</v>
      </c>
      <c r="B155" s="9"/>
      <c r="C155" s="9"/>
      <c r="D155" t="str">
        <f>"M03F4.10"</f>
        <v>M03F4.10</v>
      </c>
      <c r="F155" t="s">
        <v>481</v>
      </c>
      <c r="H155" s="12">
        <v>13.2083681824683</v>
      </c>
      <c r="I155" s="11">
        <v>0.79736709025154395</v>
      </c>
      <c r="J155" s="10">
        <v>0.42523786651974499</v>
      </c>
      <c r="K155" s="29">
        <v>0.98289565623980701</v>
      </c>
    </row>
    <row r="156" spans="1:11" x14ac:dyDescent="0.35">
      <c r="A156" s="9" t="str">
        <f>HYPERLINK("http://www.ensembl.org/id/WBGene00198335", "WBGene00198335")</f>
        <v>WBGene00198335</v>
      </c>
      <c r="B156" s="9"/>
      <c r="C156" s="9"/>
      <c r="D156" t="str">
        <f>"M04C9.9"</f>
        <v>M04C9.9</v>
      </c>
      <c r="F156" t="s">
        <v>481</v>
      </c>
      <c r="H156" s="12">
        <v>13.2083681824683</v>
      </c>
      <c r="I156" s="11">
        <v>0.79736709025154395</v>
      </c>
      <c r="J156" s="10">
        <v>0.42523786651974499</v>
      </c>
      <c r="K156" s="29">
        <v>0.98289565623980701</v>
      </c>
    </row>
    <row r="157" spans="1:11" x14ac:dyDescent="0.35">
      <c r="A157" s="9" t="str">
        <f>HYPERLINK("http://www.ensembl.org/id/WBGene00004835", "WBGene00004835")</f>
        <v>WBGene00004835</v>
      </c>
      <c r="B157" s="9"/>
      <c r="C157" s="9"/>
      <c r="D157" t="str">
        <f>"sls-2.3"</f>
        <v>sls-2.3</v>
      </c>
      <c r="F157" t="s">
        <v>4205</v>
      </c>
      <c r="H157" s="12">
        <v>13.2083681824683</v>
      </c>
      <c r="I157" s="11">
        <v>0.79736709025154395</v>
      </c>
      <c r="J157" s="10">
        <v>0.42523786651974499</v>
      </c>
      <c r="K157" s="29">
        <v>0.98289565623980701</v>
      </c>
    </row>
    <row r="158" spans="1:11" x14ac:dyDescent="0.35">
      <c r="A158" s="9" t="str">
        <f>HYPERLINK("http://www.ensembl.org/id/WBGene00005045", "WBGene00005045")</f>
        <v>WBGene00005045</v>
      </c>
      <c r="B158" s="9"/>
      <c r="C158" s="9"/>
      <c r="D158" t="str">
        <f>"sra-19"</f>
        <v>sra-19</v>
      </c>
      <c r="F158" t="s">
        <v>80</v>
      </c>
      <c r="H158" s="12">
        <v>13.2083681824683</v>
      </c>
      <c r="I158" s="11">
        <v>0.79736709025154395</v>
      </c>
      <c r="J158" s="10">
        <v>0.42523786651974499</v>
      </c>
      <c r="K158" s="29">
        <v>0.98289565623980701</v>
      </c>
    </row>
    <row r="159" spans="1:11" x14ac:dyDescent="0.35">
      <c r="A159" s="9" t="str">
        <f>HYPERLINK("http://www.ensembl.org/id/WBGene00005606", "WBGene00005606")</f>
        <v>WBGene00005606</v>
      </c>
      <c r="B159" s="9" t="str">
        <f>HYPERLINK("http://www.ncbi.nlm.nih.gov/gene/191938", "191938")</f>
        <v>191938</v>
      </c>
      <c r="C159" s="9"/>
      <c r="D159" t="str">
        <f>"srj-18"</f>
        <v>srj-18</v>
      </c>
      <c r="E159" t="s">
        <v>3123</v>
      </c>
      <c r="F159" t="s">
        <v>11</v>
      </c>
      <c r="G159" t="s">
        <v>25</v>
      </c>
      <c r="H159" s="12">
        <v>13.2083681824683</v>
      </c>
      <c r="I159" s="11">
        <v>0.79736709025154395</v>
      </c>
      <c r="J159" s="10">
        <v>0.42523786651974499</v>
      </c>
      <c r="K159" s="29">
        <v>0.98289565623980701</v>
      </c>
    </row>
    <row r="160" spans="1:11" x14ac:dyDescent="0.35">
      <c r="A160" s="9" t="str">
        <f>HYPERLINK("http://www.ensembl.org/id/WBGene00006966", "WBGene00006966")</f>
        <v>WBGene00006966</v>
      </c>
      <c r="B160" s="9" t="str">
        <f>HYPERLINK("http://www.ncbi.nlm.nih.gov/gene/192058", "192058")</f>
        <v>192058</v>
      </c>
      <c r="C160" s="9"/>
      <c r="D160" t="str">
        <f>"xtr-2"</f>
        <v>xtr-2</v>
      </c>
      <c r="E160" t="s">
        <v>4206</v>
      </c>
      <c r="F160" t="s">
        <v>11</v>
      </c>
      <c r="G160" t="s">
        <v>4207</v>
      </c>
      <c r="H160" s="12">
        <v>13.2083681824683</v>
      </c>
      <c r="I160" s="11">
        <v>0.79736709025154395</v>
      </c>
      <c r="J160" s="10">
        <v>0.42523786651974499</v>
      </c>
      <c r="K160" s="29">
        <v>0.98289565623980701</v>
      </c>
    </row>
    <row r="161" spans="1:11" x14ac:dyDescent="0.35">
      <c r="A161" s="9" t="str">
        <f>HYPERLINK("http://www.ensembl.org/id/WBGene00022763", "WBGene00022763")</f>
        <v>WBGene00022763</v>
      </c>
      <c r="B161" s="9"/>
      <c r="C161" s="9"/>
      <c r="D161" t="str">
        <f>"ZK546.7"</f>
        <v>ZK546.7</v>
      </c>
      <c r="F161" t="s">
        <v>80</v>
      </c>
      <c r="H161" s="12">
        <v>13.2083681824683</v>
      </c>
      <c r="I161" s="11">
        <v>0.79736709025154395</v>
      </c>
      <c r="J161" s="10">
        <v>0.42523786651974499</v>
      </c>
      <c r="K161" s="29">
        <v>0.98289565623980701</v>
      </c>
    </row>
    <row r="162" spans="1:11" x14ac:dyDescent="0.35">
      <c r="A162" s="9" t="str">
        <f>HYPERLINK("http://www.ensembl.org/id/WBGene00271650", "WBGene00271650")</f>
        <v>WBGene00271650</v>
      </c>
      <c r="B162" s="9"/>
      <c r="C162" s="9"/>
      <c r="D162" t="str">
        <f>"C17G10.14"</f>
        <v>C17G10.14</v>
      </c>
      <c r="F162" t="s">
        <v>481</v>
      </c>
      <c r="H162" s="12">
        <v>12.963298559608701</v>
      </c>
      <c r="I162" s="11">
        <v>1.3133288190880901</v>
      </c>
      <c r="J162" s="10">
        <v>0.18907217152658001</v>
      </c>
      <c r="K162" s="29">
        <v>0.92698805350409297</v>
      </c>
    </row>
    <row r="163" spans="1:11" x14ac:dyDescent="0.35">
      <c r="A163" s="9" t="str">
        <f>HYPERLINK("http://www.ensembl.org/id/WBGene00005083", "WBGene00005083")</f>
        <v>WBGene00005083</v>
      </c>
      <c r="B163" s="9" t="str">
        <f>HYPERLINK("http://www.ncbi.nlm.nih.gov/gene/188612", "188612")</f>
        <v>188612</v>
      </c>
      <c r="C163" s="9"/>
      <c r="D163" t="str">
        <f>"srd-5"</f>
        <v>srd-5</v>
      </c>
      <c r="E163" t="s">
        <v>1513</v>
      </c>
      <c r="F163" t="s">
        <v>11</v>
      </c>
      <c r="G163" t="s">
        <v>25</v>
      </c>
      <c r="H163" s="12">
        <v>12.892500223717001</v>
      </c>
      <c r="I163" s="11">
        <v>1.52456240781936</v>
      </c>
      <c r="J163" s="10">
        <v>0.12736827976349899</v>
      </c>
      <c r="K163" s="29">
        <v>0.80666534188472205</v>
      </c>
    </row>
    <row r="164" spans="1:11" x14ac:dyDescent="0.35">
      <c r="A164" s="9" t="str">
        <f>HYPERLINK("http://www.ensembl.org/id/WBGene00009359", "WBGene00009359")</f>
        <v>WBGene00009359</v>
      </c>
      <c r="B164" s="9" t="str">
        <f>HYPERLINK("http://www.ncbi.nlm.nih.gov/gene/185233", "185233")</f>
        <v>185233</v>
      </c>
      <c r="C164" s="9"/>
      <c r="D164" t="str">
        <f>"clec-102"</f>
        <v>clec-102</v>
      </c>
      <c r="E164" t="s">
        <v>46</v>
      </c>
      <c r="F164" t="s">
        <v>11</v>
      </c>
      <c r="G164" t="s">
        <v>47</v>
      </c>
      <c r="H164" s="12">
        <v>12.779101521613001</v>
      </c>
      <c r="I164" s="11">
        <v>1.25100930675213</v>
      </c>
      <c r="J164" s="10">
        <v>0.21093108196897101</v>
      </c>
      <c r="K164" s="29">
        <v>0.96246021687838901</v>
      </c>
    </row>
    <row r="165" spans="1:11" x14ac:dyDescent="0.35">
      <c r="A165" s="9" t="str">
        <f>HYPERLINK("http://www.ensembl.org/id/WBGene00020856", "WBGene00020856")</f>
        <v>WBGene00020856</v>
      </c>
      <c r="B165" s="9" t="str">
        <f>HYPERLINK("http://www.ncbi.nlm.nih.gov/gene/188990", "188990")</f>
        <v>188990</v>
      </c>
      <c r="C165" s="9"/>
      <c r="D165" t="str">
        <f>"srt-61"</f>
        <v>srt-61</v>
      </c>
      <c r="E165" t="s">
        <v>2845</v>
      </c>
      <c r="F165" t="s">
        <v>11</v>
      </c>
      <c r="G165" t="s">
        <v>25</v>
      </c>
      <c r="H165" s="12">
        <v>12.779101521613001</v>
      </c>
      <c r="I165" s="11">
        <v>1.25100930675213</v>
      </c>
      <c r="J165" s="10">
        <v>0.21093108196897101</v>
      </c>
      <c r="K165" s="29">
        <v>0.96246021687838901</v>
      </c>
    </row>
    <row r="166" spans="1:11" x14ac:dyDescent="0.35">
      <c r="A166" s="9" t="str">
        <f>HYPERLINK("http://www.ensembl.org/id/WBGene00016459", "WBGene00016459")</f>
        <v>WBGene00016459</v>
      </c>
      <c r="B166" s="9" t="str">
        <f>HYPERLINK("http://www.ncbi.nlm.nih.gov/gene/183244", "183244")</f>
        <v>183244</v>
      </c>
      <c r="C166" s="9"/>
      <c r="D166" t="str">
        <f>"C35E7.7"</f>
        <v>C35E7.7</v>
      </c>
      <c r="F166" t="s">
        <v>11</v>
      </c>
      <c r="H166" s="12">
        <v>12.685338163804801</v>
      </c>
      <c r="I166" s="11">
        <v>0.81852262355899996</v>
      </c>
      <c r="J166" s="10">
        <v>0.41305882922107201</v>
      </c>
      <c r="K166" s="29">
        <v>0.98289565623980701</v>
      </c>
    </row>
    <row r="167" spans="1:11" x14ac:dyDescent="0.35">
      <c r="A167" s="9" t="str">
        <f>HYPERLINK("http://www.ensembl.org/id/WBGene00044196", "WBGene00044196")</f>
        <v>WBGene00044196</v>
      </c>
      <c r="B167" s="9"/>
      <c r="C167" s="9"/>
      <c r="D167" t="str">
        <f>"F55C9.12"</f>
        <v>F55C9.12</v>
      </c>
      <c r="F167" t="s">
        <v>80</v>
      </c>
      <c r="H167" s="12">
        <v>12.685338163804801</v>
      </c>
      <c r="I167" s="11">
        <v>0.81852262355899996</v>
      </c>
      <c r="J167" s="10">
        <v>0.41305882922107201</v>
      </c>
      <c r="K167" s="29">
        <v>0.98289565623980701</v>
      </c>
    </row>
    <row r="168" spans="1:11" x14ac:dyDescent="0.35">
      <c r="A168" s="9" t="str">
        <f>HYPERLINK("http://www.ensembl.org/id/WBGene00014402", "WBGene00014402")</f>
        <v>WBGene00014402</v>
      </c>
      <c r="B168" s="9"/>
      <c r="C168" s="9"/>
      <c r="D168" t="str">
        <f>"F56F3.t1"</f>
        <v>F56F3.t1</v>
      </c>
      <c r="F168" t="s">
        <v>4208</v>
      </c>
      <c r="H168" s="12">
        <v>12.685338163804801</v>
      </c>
      <c r="I168" s="11">
        <v>0.81852262355899996</v>
      </c>
      <c r="J168" s="10">
        <v>0.41305882922107201</v>
      </c>
      <c r="K168" s="29">
        <v>0.98289565623980701</v>
      </c>
    </row>
    <row r="169" spans="1:11" x14ac:dyDescent="0.35">
      <c r="A169" s="9" t="str">
        <f>HYPERLINK("http://www.ensembl.org/id/WBGene00013912", "WBGene00013912")</f>
        <v>WBGene00013912</v>
      </c>
      <c r="B169" s="9" t="str">
        <f>HYPERLINK("http://www.ncbi.nlm.nih.gov/gene/191185", "191185")</f>
        <v>191185</v>
      </c>
      <c r="C169" s="9"/>
      <c r="D169" t="str">
        <f>"irld-19"</f>
        <v>irld-19</v>
      </c>
      <c r="E169" t="s">
        <v>1627</v>
      </c>
      <c r="F169" t="s">
        <v>11</v>
      </c>
      <c r="G169" t="s">
        <v>25</v>
      </c>
      <c r="H169" s="12">
        <v>12.685338163804801</v>
      </c>
      <c r="I169" s="11">
        <v>0.81852262355899996</v>
      </c>
      <c r="J169" s="10">
        <v>0.41305882922107201</v>
      </c>
      <c r="K169" s="29">
        <v>0.98289565623980701</v>
      </c>
    </row>
    <row r="170" spans="1:11" x14ac:dyDescent="0.35">
      <c r="A170" s="9" t="str">
        <f>HYPERLINK("http://www.ensembl.org/id/WBGene00202087", "WBGene00202087")</f>
        <v>WBGene00202087</v>
      </c>
      <c r="B170" s="9"/>
      <c r="C170" s="9"/>
      <c r="D170" t="str">
        <f>"K04G2.15"</f>
        <v>K04G2.15</v>
      </c>
      <c r="F170" t="s">
        <v>481</v>
      </c>
      <c r="H170" s="12">
        <v>12.685338163804801</v>
      </c>
      <c r="I170" s="11">
        <v>0.81852262355899996</v>
      </c>
      <c r="J170" s="10">
        <v>0.41305882922107201</v>
      </c>
      <c r="K170" s="29">
        <v>0.98289565623980701</v>
      </c>
    </row>
    <row r="171" spans="1:11" x14ac:dyDescent="0.35">
      <c r="A171" s="9" t="str">
        <f>HYPERLINK("http://www.ensembl.org/id/WBGene00017107", "WBGene00017107")</f>
        <v>WBGene00017107</v>
      </c>
      <c r="B171" s="9" t="str">
        <f>HYPERLINK("http://www.ncbi.nlm.nih.gov/gene/184010", "184010")</f>
        <v>184010</v>
      </c>
      <c r="C171" s="9"/>
      <c r="D171" t="str">
        <f>"srt-12"</f>
        <v>srt-12</v>
      </c>
      <c r="E171" t="s">
        <v>2845</v>
      </c>
      <c r="F171" t="s">
        <v>11</v>
      </c>
      <c r="G171" t="s">
        <v>25</v>
      </c>
      <c r="H171" s="12">
        <v>12.685338163804801</v>
      </c>
      <c r="I171" s="11">
        <v>0.81852262355899996</v>
      </c>
      <c r="J171" s="10">
        <v>0.41305882922107201</v>
      </c>
      <c r="K171" s="29">
        <v>0.98289565623980701</v>
      </c>
    </row>
    <row r="172" spans="1:11" x14ac:dyDescent="0.35">
      <c r="A172" s="9" t="str">
        <f>HYPERLINK("http://www.ensembl.org/id/WBGene00015367", "WBGene00015367")</f>
        <v>WBGene00015367</v>
      </c>
      <c r="B172" s="9" t="str">
        <f>HYPERLINK("http://www.ncbi.nlm.nih.gov/gene/182140", "182140")</f>
        <v>182140</v>
      </c>
      <c r="C172" s="9"/>
      <c r="D172" t="str">
        <f>"srt-64"</f>
        <v>srt-64</v>
      </c>
      <c r="E172" t="s">
        <v>2845</v>
      </c>
      <c r="F172" t="s">
        <v>11</v>
      </c>
      <c r="G172" t="s">
        <v>25</v>
      </c>
      <c r="H172" s="12">
        <v>12.685338163804801</v>
      </c>
      <c r="I172" s="11">
        <v>0.81852262355899996</v>
      </c>
      <c r="J172" s="10">
        <v>0.41305882922107201</v>
      </c>
      <c r="K172" s="29">
        <v>0.98289565623980701</v>
      </c>
    </row>
    <row r="173" spans="1:11" x14ac:dyDescent="0.35">
      <c r="A173" s="9" t="str">
        <f>HYPERLINK("http://www.ensembl.org/id/WBGene00006261", "WBGene00006261")</f>
        <v>WBGene00006261</v>
      </c>
      <c r="B173" s="9" t="str">
        <f>HYPERLINK("http://www.ncbi.nlm.nih.gov/gene/188548", "188548")</f>
        <v>188548</v>
      </c>
      <c r="C173" s="9"/>
      <c r="D173" t="str">
        <f>"str-230"</f>
        <v>str-230</v>
      </c>
      <c r="E173" t="s">
        <v>590</v>
      </c>
      <c r="F173" t="s">
        <v>11</v>
      </c>
      <c r="G173" t="s">
        <v>591</v>
      </c>
      <c r="H173" s="12">
        <v>12.685338163804801</v>
      </c>
      <c r="I173" s="11">
        <v>0.81852262355899996</v>
      </c>
      <c r="J173" s="10">
        <v>0.41305882922107201</v>
      </c>
      <c r="K173" s="29">
        <v>0.98289565623980701</v>
      </c>
    </row>
    <row r="174" spans="1:11" x14ac:dyDescent="0.35">
      <c r="A174" s="9" t="str">
        <f>HYPERLINK("http://www.ensembl.org/id/WBGene00011690", "WBGene00011690")</f>
        <v>WBGene00011690</v>
      </c>
      <c r="B174" s="9"/>
      <c r="C174" s="9"/>
      <c r="D174" t="str">
        <f>"T10C6.9"</f>
        <v>T10C6.9</v>
      </c>
      <c r="F174" t="s">
        <v>80</v>
      </c>
      <c r="H174" s="12">
        <v>12.685338163804801</v>
      </c>
      <c r="I174" s="11">
        <v>0.81852262355899996</v>
      </c>
      <c r="J174" s="10">
        <v>0.41305882922107201</v>
      </c>
      <c r="K174" s="29">
        <v>0.98289565623980701</v>
      </c>
    </row>
    <row r="175" spans="1:11" x14ac:dyDescent="0.35">
      <c r="A175" s="9" t="str">
        <f>HYPERLINK("http://www.ensembl.org/id/WBGene00012877", "WBGene00012877")</f>
        <v>WBGene00012877</v>
      </c>
      <c r="B175" s="9" t="str">
        <f>HYPERLINK("http://www.ncbi.nlm.nih.gov/gene/189922", "189922")</f>
        <v>189922</v>
      </c>
      <c r="C175" s="9"/>
      <c r="D175" t="str">
        <f>"Y45F10C.1"</f>
        <v>Y45F10C.1</v>
      </c>
      <c r="F175" t="s">
        <v>11</v>
      </c>
      <c r="H175" s="12">
        <v>12.685338163804801</v>
      </c>
      <c r="I175" s="11">
        <v>0.81852262355899996</v>
      </c>
      <c r="J175" s="10">
        <v>0.41305882922107201</v>
      </c>
      <c r="K175" s="29">
        <v>0.98289565623980701</v>
      </c>
    </row>
    <row r="176" spans="1:11" x14ac:dyDescent="0.35">
      <c r="A176" s="9" t="str">
        <f>HYPERLINK("http://www.ensembl.org/id/WBGene00012051", "WBGene00012051")</f>
        <v>WBGene00012051</v>
      </c>
      <c r="B176" s="9" t="str">
        <f>HYPERLINK("http://www.ncbi.nlm.nih.gov/gene/188935", "188935")</f>
        <v>188935</v>
      </c>
      <c r="C176" s="9"/>
      <c r="D176" t="str">
        <f>"T26E4.9"</f>
        <v>T26E4.9</v>
      </c>
      <c r="F176" t="s">
        <v>11</v>
      </c>
      <c r="H176" s="12">
        <v>12.6234626764629</v>
      </c>
      <c r="I176" s="11">
        <v>2.1155820913955798</v>
      </c>
      <c r="J176" s="10">
        <v>3.4380366296588603E-2</v>
      </c>
      <c r="K176" s="29">
        <v>0.42232469093512898</v>
      </c>
    </row>
    <row r="177" spans="1:11" x14ac:dyDescent="0.35">
      <c r="A177" s="9" t="str">
        <f>HYPERLINK("http://www.ensembl.org/id/WBGene00019891", "WBGene00019891")</f>
        <v>WBGene00019891</v>
      </c>
      <c r="B177" s="9" t="str">
        <f>HYPERLINK("http://www.ncbi.nlm.nih.gov/gene/187617", "187617")</f>
        <v>187617</v>
      </c>
      <c r="C177" s="9"/>
      <c r="D177" t="str">
        <f>"R05F9.7"</f>
        <v>R05F9.7</v>
      </c>
      <c r="F177" t="s">
        <v>11</v>
      </c>
      <c r="G177" t="s">
        <v>2639</v>
      </c>
      <c r="H177" s="12">
        <v>12.357271690617001</v>
      </c>
      <c r="I177" s="11">
        <v>1.2582288782828099</v>
      </c>
      <c r="J177" s="10">
        <v>0.20830899391691701</v>
      </c>
      <c r="K177" s="29">
        <v>0.95765770263515204</v>
      </c>
    </row>
    <row r="178" spans="1:11" x14ac:dyDescent="0.35">
      <c r="A178" s="9" t="str">
        <f>HYPERLINK("http://www.ensembl.org/id/WBGene00005596", "WBGene00005596")</f>
        <v>WBGene00005596</v>
      </c>
      <c r="B178" s="9" t="str">
        <f>HYPERLINK("http://www.ncbi.nlm.nih.gov/gene/189015", "189015")</f>
        <v>189015</v>
      </c>
      <c r="C178" s="9"/>
      <c r="D178" t="str">
        <f>"srj-8"</f>
        <v>srj-8</v>
      </c>
      <c r="E178" t="s">
        <v>3123</v>
      </c>
      <c r="F178" t="s">
        <v>11</v>
      </c>
      <c r="G178" t="s">
        <v>25</v>
      </c>
      <c r="H178" s="12">
        <v>12.357271690617001</v>
      </c>
      <c r="I178" s="11">
        <v>1.2582288782828099</v>
      </c>
      <c r="J178" s="10">
        <v>0.20830899391691701</v>
      </c>
      <c r="K178" s="29">
        <v>0.95765770263515204</v>
      </c>
    </row>
    <row r="179" spans="1:11" x14ac:dyDescent="0.35">
      <c r="A179" s="9" t="str">
        <f>HYPERLINK("http://www.ensembl.org/id/WBGene00005838", "WBGene00005838")</f>
        <v>WBGene00005838</v>
      </c>
      <c r="B179" s="9" t="str">
        <f>HYPERLINK("http://www.ncbi.nlm.nih.gov/gene/186991", "186991")</f>
        <v>186991</v>
      </c>
      <c r="C179" s="9"/>
      <c r="D179" t="str">
        <f>"srw-91"</f>
        <v>srw-91</v>
      </c>
      <c r="E179" t="s">
        <v>1014</v>
      </c>
      <c r="F179" t="s">
        <v>11</v>
      </c>
      <c r="G179" t="s">
        <v>1015</v>
      </c>
      <c r="H179" s="12">
        <v>12.357271690617001</v>
      </c>
      <c r="I179" s="11">
        <v>1.2582288782828099</v>
      </c>
      <c r="J179" s="10">
        <v>0.20830899391691701</v>
      </c>
      <c r="K179" s="29">
        <v>0.95765770263515204</v>
      </c>
    </row>
    <row r="180" spans="1:11" x14ac:dyDescent="0.35">
      <c r="A180" s="9" t="str">
        <f>HYPERLINK("http://www.ensembl.org/id/WBGene00005958", "WBGene00005958")</f>
        <v>WBGene00005958</v>
      </c>
      <c r="B180" s="9" t="str">
        <f>HYPERLINK("http://www.ncbi.nlm.nih.gov/gene/187098", "187098")</f>
        <v>187098</v>
      </c>
      <c r="C180" s="9"/>
      <c r="D180" t="str">
        <f>"srx-67"</f>
        <v>srx-67</v>
      </c>
      <c r="E180" t="s">
        <v>1477</v>
      </c>
      <c r="F180" t="s">
        <v>11</v>
      </c>
      <c r="G180" t="s">
        <v>25</v>
      </c>
      <c r="H180" s="12">
        <v>11.984857989703</v>
      </c>
      <c r="I180" s="11">
        <v>1.06451656884697</v>
      </c>
      <c r="J180" s="10">
        <v>0.28709475259475098</v>
      </c>
      <c r="K180" s="29">
        <v>0.98289565623980701</v>
      </c>
    </row>
    <row r="181" spans="1:11" x14ac:dyDescent="0.35">
      <c r="A181" s="9" t="str">
        <f>HYPERLINK("http://www.ensembl.org/id/WBGene00006194", "WBGene00006194")</f>
        <v>WBGene00006194</v>
      </c>
      <c r="B181" s="9"/>
      <c r="C181" s="9"/>
      <c r="D181" t="str">
        <f>"str-147"</f>
        <v>str-147</v>
      </c>
      <c r="F181" t="s">
        <v>80</v>
      </c>
      <c r="H181" s="12">
        <v>11.8528736857872</v>
      </c>
      <c r="I181" s="11">
        <v>1.5548341765262601</v>
      </c>
      <c r="J181" s="10">
        <v>0.11998556728160201</v>
      </c>
      <c r="K181" s="29">
        <v>0.78962228318223304</v>
      </c>
    </row>
    <row r="182" spans="1:11" x14ac:dyDescent="0.35">
      <c r="A182" s="9" t="str">
        <f>HYPERLINK("http://www.ensembl.org/id/WBGene00006688", "WBGene00006688")</f>
        <v>WBGene00006688</v>
      </c>
      <c r="B182" s="9" t="str">
        <f>HYPERLINK("http://www.ncbi.nlm.nih.gov/gene/180164", "180164")</f>
        <v>180164</v>
      </c>
      <c r="C182" s="9"/>
      <c r="D182" t="str">
        <f>"twk-36"</f>
        <v>twk-36</v>
      </c>
      <c r="E182" t="s">
        <v>894</v>
      </c>
      <c r="F182" t="s">
        <v>11</v>
      </c>
      <c r="G182" t="s">
        <v>895</v>
      </c>
      <c r="H182" s="12">
        <v>11.8421008078467</v>
      </c>
      <c r="I182" s="11">
        <v>1.6675966035038701</v>
      </c>
      <c r="J182" s="10">
        <v>9.5395832963392602E-2</v>
      </c>
      <c r="K182" s="29">
        <v>0.71413799433873204</v>
      </c>
    </row>
    <row r="183" spans="1:11" x14ac:dyDescent="0.35">
      <c r="A183" s="9" t="str">
        <f>HYPERLINK("http://www.ensembl.org/id/WBGene00197633", "WBGene00197633")</f>
        <v>WBGene00197633</v>
      </c>
      <c r="B183" s="9"/>
      <c r="C183" s="9"/>
      <c r="D183" t="str">
        <f>"C56G2.18"</f>
        <v>C56G2.18</v>
      </c>
      <c r="F183" t="s">
        <v>481</v>
      </c>
      <c r="H183" s="12">
        <v>11.7711088571319</v>
      </c>
      <c r="I183" s="11">
        <v>0.79663765182635704</v>
      </c>
      <c r="J183" s="10">
        <v>0.42566150362591298</v>
      </c>
      <c r="K183" s="29">
        <v>0.98289565623980701</v>
      </c>
    </row>
    <row r="184" spans="1:11" x14ac:dyDescent="0.35">
      <c r="A184" s="9" t="str">
        <f>HYPERLINK("http://www.ensembl.org/id/WBGene00199730", "WBGene00199730")</f>
        <v>WBGene00199730</v>
      </c>
      <c r="B184" s="9"/>
      <c r="C184" s="9"/>
      <c r="D184" t="str">
        <f>"W08D2.11"</f>
        <v>W08D2.11</v>
      </c>
      <c r="F184" t="s">
        <v>481</v>
      </c>
      <c r="H184" s="12">
        <v>11.7711088571319</v>
      </c>
      <c r="I184" s="11">
        <v>0.79663765182635704</v>
      </c>
      <c r="J184" s="10">
        <v>0.42566150362591298</v>
      </c>
      <c r="K184" s="29">
        <v>0.98289565623980701</v>
      </c>
    </row>
    <row r="185" spans="1:11" x14ac:dyDescent="0.35">
      <c r="A185" s="9" t="str">
        <f>HYPERLINK("http://www.ensembl.org/id/WBGene00195240", "WBGene00195240")</f>
        <v>WBGene00195240</v>
      </c>
      <c r="B185" s="9" t="str">
        <f>HYPERLINK("http://www.ncbi.nlm.nih.gov/gene/13218429", "13218429")</f>
        <v>13218429</v>
      </c>
      <c r="C185" s="9"/>
      <c r="D185" t="str">
        <f>"Y39B6A.69"</f>
        <v>Y39B6A.69</v>
      </c>
      <c r="F185" t="s">
        <v>11</v>
      </c>
      <c r="H185" s="12">
        <v>11.7711088571319</v>
      </c>
      <c r="I185" s="11">
        <v>0.79663765182635704</v>
      </c>
      <c r="J185" s="10">
        <v>0.42566150362591298</v>
      </c>
      <c r="K185" s="29">
        <v>0.98289565623980701</v>
      </c>
    </row>
    <row r="186" spans="1:11" x14ac:dyDescent="0.35">
      <c r="A186" s="9" t="str">
        <f>HYPERLINK("http://www.ensembl.org/id/WBGene00197676", "WBGene00197676")</f>
        <v>WBGene00197676</v>
      </c>
      <c r="B186" s="9"/>
      <c r="C186" s="9"/>
      <c r="D186" t="str">
        <f>"Y59A8B.29"</f>
        <v>Y59A8B.29</v>
      </c>
      <c r="F186" t="s">
        <v>481</v>
      </c>
      <c r="H186" s="12">
        <v>11.7711088571319</v>
      </c>
      <c r="I186" s="11">
        <v>0.79663765182635704</v>
      </c>
      <c r="J186" s="10">
        <v>0.42566150362591298</v>
      </c>
      <c r="K186" s="29">
        <v>0.98289565623980701</v>
      </c>
    </row>
    <row r="187" spans="1:11" x14ac:dyDescent="0.35">
      <c r="A187" s="9" t="str">
        <f>HYPERLINK("http://www.ensembl.org/id/WBGene00018507", "WBGene00018507")</f>
        <v>WBGene00018507</v>
      </c>
      <c r="B187" s="9" t="str">
        <f>HYPERLINK("http://www.ncbi.nlm.nih.gov/gene/185869", "185869")</f>
        <v>185869</v>
      </c>
      <c r="C187" s="9"/>
      <c r="D187" t="str">
        <f>"F46F5.16"</f>
        <v>F46F5.16</v>
      </c>
      <c r="F187" t="s">
        <v>11</v>
      </c>
      <c r="G187" t="s">
        <v>25</v>
      </c>
      <c r="H187" s="12">
        <v>11.7194480060642</v>
      </c>
      <c r="I187" s="11">
        <v>1.15058610573557</v>
      </c>
      <c r="J187" s="10">
        <v>0.24990255176801601</v>
      </c>
      <c r="K187" s="29">
        <v>0.98289565623980701</v>
      </c>
    </row>
    <row r="188" spans="1:11" x14ac:dyDescent="0.35">
      <c r="A188" s="9" t="str">
        <f>HYPERLINK("http://www.ensembl.org/id/WBGene00005680", "WBGene00005680")</f>
        <v>WBGene00005680</v>
      </c>
      <c r="B188" s="9" t="str">
        <f>HYPERLINK("http://www.ncbi.nlm.nih.gov/gene/188048", "188048")</f>
        <v>188048</v>
      </c>
      <c r="C188" s="9"/>
      <c r="D188" t="str">
        <f>"sru-17"</f>
        <v>sru-17</v>
      </c>
      <c r="E188" t="s">
        <v>2653</v>
      </c>
      <c r="F188" t="s">
        <v>11</v>
      </c>
      <c r="G188" t="s">
        <v>25</v>
      </c>
      <c r="H188" s="12">
        <v>11.7194480060642</v>
      </c>
      <c r="I188" s="11">
        <v>1.15058610573557</v>
      </c>
      <c r="J188" s="10">
        <v>0.24990255176801601</v>
      </c>
      <c r="K188" s="29">
        <v>0.98289565623980701</v>
      </c>
    </row>
    <row r="189" spans="1:11" x14ac:dyDescent="0.35">
      <c r="A189" s="9" t="str">
        <f>HYPERLINK("http://www.ensembl.org/id/WBGene00019194", "WBGene00019194")</f>
        <v>WBGene00019194</v>
      </c>
      <c r="B189" s="9" t="str">
        <f>HYPERLINK("http://www.ncbi.nlm.nih.gov/gene/174015", "174015")</f>
        <v>174015</v>
      </c>
      <c r="C189" s="9"/>
      <c r="D189" t="str">
        <f>"H12I13.6"</f>
        <v>H12I13.6</v>
      </c>
      <c r="F189" t="s">
        <v>11</v>
      </c>
      <c r="H189" s="12">
        <v>11.707358109240801</v>
      </c>
      <c r="I189" s="11">
        <v>1.15082907841235</v>
      </c>
      <c r="J189" s="10">
        <v>0.249802559420051</v>
      </c>
      <c r="K189" s="29">
        <v>0.98289565623980701</v>
      </c>
    </row>
    <row r="190" spans="1:11" x14ac:dyDescent="0.35">
      <c r="A190" s="9" t="str">
        <f>HYPERLINK("http://www.ensembl.org/id/WBGene00235301", "WBGene00235301")</f>
        <v>WBGene00235301</v>
      </c>
      <c r="B190" s="9" t="str">
        <f>HYPERLINK("http://www.ncbi.nlm.nih.gov/gene/24104139", "24104139")</f>
        <v>24104139</v>
      </c>
      <c r="C190" s="9"/>
      <c r="D190" t="str">
        <f>"B0513.90"</f>
        <v>B0513.90</v>
      </c>
      <c r="F190" t="s">
        <v>11</v>
      </c>
      <c r="H190" s="12">
        <v>11.629353711042601</v>
      </c>
      <c r="I190" s="11">
        <v>1.1442050093705001</v>
      </c>
      <c r="J190" s="10">
        <v>0.25253862613488498</v>
      </c>
      <c r="K190" s="29">
        <v>0.98289565623980701</v>
      </c>
    </row>
    <row r="191" spans="1:11" x14ac:dyDescent="0.35">
      <c r="A191" s="9" t="str">
        <f>HYPERLINK("http://www.ensembl.org/id/WBGene00044744", "WBGene00044744")</f>
        <v>WBGene00044744</v>
      </c>
      <c r="B191" s="9" t="str">
        <f>HYPERLINK("http://www.ncbi.nlm.nih.gov/gene/4363040", "4363040")</f>
        <v>4363040</v>
      </c>
      <c r="C191" s="9"/>
      <c r="D191" t="str">
        <f>"F10G7.12"</f>
        <v>F10G7.12</v>
      </c>
      <c r="F191" t="s">
        <v>11</v>
      </c>
      <c r="H191" s="12">
        <v>11.514156213135999</v>
      </c>
      <c r="I191" s="11">
        <v>1.3638172308827099</v>
      </c>
      <c r="J191" s="10">
        <v>0.172625095810199</v>
      </c>
      <c r="K191" s="29">
        <v>0.89944195385638404</v>
      </c>
    </row>
    <row r="192" spans="1:11" x14ac:dyDescent="0.35">
      <c r="A192" s="9" t="str">
        <f>HYPERLINK("http://www.ensembl.org/id/WBGene00020609", "WBGene00020609")</f>
        <v>WBGene00020609</v>
      </c>
      <c r="B192" s="9" t="str">
        <f>HYPERLINK("http://www.ncbi.nlm.nih.gov/gene/188639", "188639")</f>
        <v>188639</v>
      </c>
      <c r="C192" s="9"/>
      <c r="D192" t="str">
        <f>"T20D4.3"</f>
        <v>T20D4.3</v>
      </c>
      <c r="F192" t="s">
        <v>11</v>
      </c>
      <c r="G192" t="s">
        <v>1614</v>
      </c>
      <c r="H192" s="12">
        <v>11.514156213135999</v>
      </c>
      <c r="I192" s="11">
        <v>1.3638172308827099</v>
      </c>
      <c r="J192" s="10">
        <v>0.172625095810199</v>
      </c>
      <c r="K192" s="29">
        <v>0.89944195385638404</v>
      </c>
    </row>
    <row r="193" spans="1:11" x14ac:dyDescent="0.35">
      <c r="A193" s="9" t="str">
        <f>HYPERLINK("http://www.ensembl.org/id/WBGene00198698", "WBGene00198698")</f>
        <v>WBGene00198698</v>
      </c>
      <c r="B193" s="9"/>
      <c r="C193" s="9"/>
      <c r="D193" t="str">
        <f>"H01G02.11"</f>
        <v>H01G02.11</v>
      </c>
      <c r="F193" t="s">
        <v>481</v>
      </c>
      <c r="H193" s="12">
        <v>11.467105963345899</v>
      </c>
      <c r="I193" s="11">
        <v>1.34507353997224</v>
      </c>
      <c r="J193" s="10">
        <v>0.17860148710363599</v>
      </c>
      <c r="K193" s="29">
        <v>0.91302105524363297</v>
      </c>
    </row>
    <row r="194" spans="1:11" x14ac:dyDescent="0.35">
      <c r="A194" s="9" t="str">
        <f>HYPERLINK("http://www.ensembl.org/id/WBGene00017050", "WBGene00017050")</f>
        <v>WBGene00017050</v>
      </c>
      <c r="B194" s="9" t="str">
        <f>HYPERLINK("http://www.ncbi.nlm.nih.gov/gene/183947", "183947")</f>
        <v>183947</v>
      </c>
      <c r="C194" s="9"/>
      <c r="D194" t="str">
        <f>"D2024.1"</f>
        <v>D2024.1</v>
      </c>
      <c r="F194" t="s">
        <v>11</v>
      </c>
      <c r="G194" t="s">
        <v>961</v>
      </c>
      <c r="H194" s="12">
        <v>11.336410087402101</v>
      </c>
      <c r="I194" s="11">
        <v>1.1240592911516201</v>
      </c>
      <c r="J194" s="10">
        <v>0.26098787369384602</v>
      </c>
      <c r="K194" s="29">
        <v>0.98289565623980701</v>
      </c>
    </row>
    <row r="195" spans="1:11" x14ac:dyDescent="0.35">
      <c r="A195" s="9" t="str">
        <f>HYPERLINK("http://www.ensembl.org/id/WBGene00044228", "WBGene00044228")</f>
        <v>WBGene00044228</v>
      </c>
      <c r="B195" s="9" t="str">
        <f>HYPERLINK("http://www.ncbi.nlm.nih.gov/gene/3565639", "3565639")</f>
        <v>3565639</v>
      </c>
      <c r="C195" s="9"/>
      <c r="D195" t="str">
        <f>"T03F6.7"</f>
        <v>T03F6.7</v>
      </c>
      <c r="F195" t="s">
        <v>11</v>
      </c>
      <c r="H195" s="12">
        <v>11.208999043932801</v>
      </c>
      <c r="I195" s="11">
        <v>1.22935240292334</v>
      </c>
      <c r="J195" s="10">
        <v>0.21893970766246801</v>
      </c>
      <c r="K195" s="29">
        <v>0.97068157321978699</v>
      </c>
    </row>
    <row r="196" spans="1:11" x14ac:dyDescent="0.35">
      <c r="A196" s="9" t="str">
        <f>HYPERLINK("http://www.ensembl.org/id/WBGene00044288", "WBGene00044288")</f>
        <v>WBGene00044288</v>
      </c>
      <c r="B196" s="9" t="str">
        <f>HYPERLINK("http://www.ncbi.nlm.nih.gov/gene/3565189", "3565189")</f>
        <v>3565189</v>
      </c>
      <c r="C196" s="9"/>
      <c r="D196" t="str">
        <f>"F30H5.5"</f>
        <v>F30H5.5</v>
      </c>
      <c r="F196" t="s">
        <v>11</v>
      </c>
      <c r="H196" s="12">
        <v>11.203884520596599</v>
      </c>
      <c r="I196" s="11">
        <v>1.12037370079017</v>
      </c>
      <c r="J196" s="10">
        <v>0.26255454719375898</v>
      </c>
      <c r="K196" s="29">
        <v>0.98289565623980701</v>
      </c>
    </row>
    <row r="197" spans="1:11" x14ac:dyDescent="0.35">
      <c r="A197" s="9" t="str">
        <f>HYPERLINK("http://www.ensembl.org/id/WBGene00014155", "WBGene00014155")</f>
        <v>WBGene00014155</v>
      </c>
      <c r="B197" s="9" t="str">
        <f>HYPERLINK("http://www.ncbi.nlm.nih.gov/gene/191465", "191465")</f>
        <v>191465</v>
      </c>
      <c r="C197" s="9"/>
      <c r="D197" t="str">
        <f>"ZK930.5"</f>
        <v>ZK930.5</v>
      </c>
      <c r="F197" t="s">
        <v>11</v>
      </c>
      <c r="H197" s="12">
        <v>11.186874698463701</v>
      </c>
      <c r="I197" s="11">
        <v>1.2042824821923299</v>
      </c>
      <c r="J197" s="10">
        <v>0.22848041511747699</v>
      </c>
      <c r="K197" s="29">
        <v>0.98289565623980701</v>
      </c>
    </row>
    <row r="198" spans="1:11" x14ac:dyDescent="0.35">
      <c r="A198" s="9" t="str">
        <f>HYPERLINK("http://www.ensembl.org/id/WBGene00016873", "WBGene00016873")</f>
        <v>WBGene00016873</v>
      </c>
      <c r="B198" s="9" t="str">
        <f>HYPERLINK("http://www.ncbi.nlm.nih.gov/gene/183716", "183716")</f>
        <v>183716</v>
      </c>
      <c r="C198" s="9"/>
      <c r="D198" t="str">
        <f>"C52B11.4"</f>
        <v>C52B11.4</v>
      </c>
      <c r="F198" t="s">
        <v>11</v>
      </c>
      <c r="H198" s="12">
        <v>11.183035237866401</v>
      </c>
      <c r="I198" s="11">
        <v>1.3788030201431001</v>
      </c>
      <c r="J198" s="10">
        <v>0.167955495294173</v>
      </c>
      <c r="K198" s="29">
        <v>0.888050268711019</v>
      </c>
    </row>
    <row r="199" spans="1:11" x14ac:dyDescent="0.35">
      <c r="A199" s="9" t="str">
        <f>HYPERLINK("http://www.ensembl.org/id/WBGene00169903", "WBGene00169903")</f>
        <v>WBGene00169903</v>
      </c>
      <c r="B199" s="9"/>
      <c r="C199" s="9"/>
      <c r="D199" t="str">
        <f>"21ur-11625"</f>
        <v>21ur-11625</v>
      </c>
      <c r="F199" t="s">
        <v>3161</v>
      </c>
      <c r="H199" s="12">
        <v>11.170998397396099</v>
      </c>
      <c r="I199" s="11">
        <v>0.72284615686154896</v>
      </c>
      <c r="J199" s="10">
        <v>0.46977440626377698</v>
      </c>
      <c r="K199" s="29">
        <v>0.98289565623980701</v>
      </c>
    </row>
    <row r="200" spans="1:11" x14ac:dyDescent="0.35">
      <c r="A200" s="9" t="str">
        <f>HYPERLINK("http://www.ensembl.org/id/WBGene00198678", "WBGene00198678")</f>
        <v>WBGene00198678</v>
      </c>
      <c r="B200" s="9"/>
      <c r="C200" s="9"/>
      <c r="D200" t="str">
        <f>"F22E10.10"</f>
        <v>F22E10.10</v>
      </c>
      <c r="F200" t="s">
        <v>481</v>
      </c>
      <c r="H200" s="12">
        <v>11.170998397396099</v>
      </c>
      <c r="I200" s="11">
        <v>0.72284615686154896</v>
      </c>
      <c r="J200" s="10">
        <v>0.46977440626377698</v>
      </c>
      <c r="K200" s="29">
        <v>0.98289565623980701</v>
      </c>
    </row>
    <row r="201" spans="1:11" x14ac:dyDescent="0.35">
      <c r="A201" s="9" t="str">
        <f>HYPERLINK("http://www.ensembl.org/id/WBGene00086556", "WBGene00086556")</f>
        <v>WBGene00086556</v>
      </c>
      <c r="B201" s="9" t="str">
        <f>HYPERLINK("http://www.ncbi.nlm.nih.gov/gene/7040124", "7040124")</f>
        <v>7040124</v>
      </c>
      <c r="C201" s="9"/>
      <c r="D201" t="str">
        <f>"F36D1.12"</f>
        <v>F36D1.12</v>
      </c>
      <c r="F201" t="s">
        <v>11</v>
      </c>
      <c r="H201" s="12">
        <v>11.170998397396099</v>
      </c>
      <c r="I201" s="11">
        <v>0.72284615686154896</v>
      </c>
      <c r="J201" s="10">
        <v>0.46977440626377698</v>
      </c>
      <c r="K201" s="29">
        <v>0.98289565623980701</v>
      </c>
    </row>
    <row r="202" spans="1:11" x14ac:dyDescent="0.35">
      <c r="A202" s="9" t="str">
        <f>HYPERLINK("http://www.ensembl.org/id/WBGene00014367", "WBGene00014367")</f>
        <v>WBGene00014367</v>
      </c>
      <c r="B202" s="9"/>
      <c r="C202" s="9"/>
      <c r="D202" t="str">
        <f>"F38E11.11"</f>
        <v>F38E11.11</v>
      </c>
      <c r="F202" t="s">
        <v>4205</v>
      </c>
      <c r="H202" s="12">
        <v>11.170998397396099</v>
      </c>
      <c r="I202" s="11">
        <v>0.72284615686154896</v>
      </c>
      <c r="J202" s="10">
        <v>0.46977440626377698</v>
      </c>
      <c r="K202" s="29">
        <v>0.98289565623980701</v>
      </c>
    </row>
    <row r="203" spans="1:11" x14ac:dyDescent="0.35">
      <c r="A203" s="9" t="str">
        <f>HYPERLINK("http://www.ensembl.org/id/WBGene00201429", "WBGene00201429")</f>
        <v>WBGene00201429</v>
      </c>
      <c r="B203" s="9"/>
      <c r="C203" s="9"/>
      <c r="D203" t="str">
        <f>"F45H7.14"</f>
        <v>F45H7.14</v>
      </c>
      <c r="F203" t="s">
        <v>481</v>
      </c>
      <c r="H203" s="12">
        <v>11.170998397396099</v>
      </c>
      <c r="I203" s="11">
        <v>0.72284615686154896</v>
      </c>
      <c r="J203" s="10">
        <v>0.46977440626377698</v>
      </c>
      <c r="K203" s="29">
        <v>0.98289565623980701</v>
      </c>
    </row>
    <row r="204" spans="1:11" x14ac:dyDescent="0.35">
      <c r="A204" s="9" t="str">
        <f>HYPERLINK("http://www.ensembl.org/id/WBGene00009747", "WBGene00009747")</f>
        <v>WBGene00009747</v>
      </c>
      <c r="B204" s="9" t="str">
        <f>HYPERLINK("http://www.ncbi.nlm.nih.gov/gene/185820", "185820")</f>
        <v>185820</v>
      </c>
      <c r="C204" s="9"/>
      <c r="D204" t="str">
        <f>"F46A8.4"</f>
        <v>F46A8.4</v>
      </c>
      <c r="E204" t="s">
        <v>2043</v>
      </c>
      <c r="F204" t="s">
        <v>11</v>
      </c>
      <c r="G204" t="s">
        <v>47</v>
      </c>
      <c r="H204" s="12">
        <v>11.170998397396099</v>
      </c>
      <c r="I204" s="11">
        <v>0.72284615686154896</v>
      </c>
      <c r="J204" s="10">
        <v>0.46977440626377698</v>
      </c>
      <c r="K204" s="29">
        <v>0.98289565623980701</v>
      </c>
    </row>
    <row r="205" spans="1:11" x14ac:dyDescent="0.35">
      <c r="A205" s="9" t="str">
        <f>HYPERLINK("http://www.ensembl.org/id/WBGene00010145", "WBGene00010145")</f>
        <v>WBGene00010145</v>
      </c>
      <c r="B205" s="9" t="str">
        <f>HYPERLINK("http://www.ncbi.nlm.nih.gov/gene/186370", "186370")</f>
        <v>186370</v>
      </c>
      <c r="C205" s="9"/>
      <c r="D205" t="str">
        <f>"F56C4.2"</f>
        <v>F56C4.2</v>
      </c>
      <c r="F205" t="s">
        <v>11</v>
      </c>
      <c r="G205" t="s">
        <v>25</v>
      </c>
      <c r="H205" s="12">
        <v>11.170998397396099</v>
      </c>
      <c r="I205" s="11">
        <v>0.72284615686154896</v>
      </c>
      <c r="J205" s="10">
        <v>0.46977440626377698</v>
      </c>
      <c r="K205" s="29">
        <v>0.98289565623980701</v>
      </c>
    </row>
    <row r="206" spans="1:11" x14ac:dyDescent="0.35">
      <c r="A206" s="9" t="str">
        <f>HYPERLINK("http://www.ensembl.org/id/WBGene00023301", "WBGene00023301")</f>
        <v>WBGene00023301</v>
      </c>
      <c r="B206" s="9"/>
      <c r="C206" s="9"/>
      <c r="D206" t="str">
        <f>"F58E2.1"</f>
        <v>F58E2.1</v>
      </c>
      <c r="F206" t="s">
        <v>80</v>
      </c>
      <c r="H206" s="12">
        <v>11.170998397396099</v>
      </c>
      <c r="I206" s="11">
        <v>0.72284615686154896</v>
      </c>
      <c r="J206" s="10">
        <v>0.46977440626377698</v>
      </c>
      <c r="K206" s="29">
        <v>0.98289565623980701</v>
      </c>
    </row>
    <row r="207" spans="1:11" x14ac:dyDescent="0.35">
      <c r="A207" s="9" t="str">
        <f>HYPERLINK("http://www.ensembl.org/id/WBGene00219644", "WBGene00219644")</f>
        <v>WBGene00219644</v>
      </c>
      <c r="B207" s="9"/>
      <c r="C207" s="9"/>
      <c r="D207" t="str">
        <f>"linc-69"</f>
        <v>linc-69</v>
      </c>
      <c r="F207" t="s">
        <v>1510</v>
      </c>
      <c r="H207" s="12">
        <v>11.170998397396099</v>
      </c>
      <c r="I207" s="11">
        <v>0.72284615686154896</v>
      </c>
      <c r="J207" s="10">
        <v>0.46977440626377698</v>
      </c>
      <c r="K207" s="29">
        <v>0.98289565623980701</v>
      </c>
    </row>
    <row r="208" spans="1:11" x14ac:dyDescent="0.35">
      <c r="A208" s="9" t="str">
        <f>HYPERLINK("http://www.ensembl.org/id/WBGene00023327", "WBGene00023327")</f>
        <v>WBGene00023327</v>
      </c>
      <c r="B208" s="9"/>
      <c r="C208" s="9"/>
      <c r="D208" t="str">
        <f>"R03H4.8"</f>
        <v>R03H4.8</v>
      </c>
      <c r="F208" t="s">
        <v>80</v>
      </c>
      <c r="H208" s="12">
        <v>11.170998397396099</v>
      </c>
      <c r="I208" s="11">
        <v>0.72284615686154896</v>
      </c>
      <c r="J208" s="10">
        <v>0.46977440626377698</v>
      </c>
      <c r="K208" s="29">
        <v>0.98289565623980701</v>
      </c>
    </row>
    <row r="209" spans="1:11" x14ac:dyDescent="0.35">
      <c r="A209" s="9" t="str">
        <f>HYPERLINK("http://www.ensembl.org/id/WBGene00005057", "WBGene00005057")</f>
        <v>WBGene00005057</v>
      </c>
      <c r="B209" s="9" t="str">
        <f>HYPERLINK("http://www.ncbi.nlm.nih.gov/gene/183858", "183858")</f>
        <v>183858</v>
      </c>
      <c r="C209" s="9"/>
      <c r="D209" t="str">
        <f>"sra-31"</f>
        <v>sra-31</v>
      </c>
      <c r="E209" t="s">
        <v>4209</v>
      </c>
      <c r="F209" t="s">
        <v>11</v>
      </c>
      <c r="G209" t="s">
        <v>4210</v>
      </c>
      <c r="H209" s="12">
        <v>11.170998397396099</v>
      </c>
      <c r="I209" s="11">
        <v>0.72284615686154896</v>
      </c>
      <c r="J209" s="10">
        <v>0.46977440626377698</v>
      </c>
      <c r="K209" s="29">
        <v>0.98289565623980701</v>
      </c>
    </row>
    <row r="210" spans="1:11" x14ac:dyDescent="0.35">
      <c r="A210" s="9" t="str">
        <f>HYPERLINK("http://www.ensembl.org/id/WBGene00005505", "WBGene00005505")</f>
        <v>WBGene00005505</v>
      </c>
      <c r="B210" s="9" t="str">
        <f>HYPERLINK("http://www.ncbi.nlm.nih.gov/gene/190797", "190797")</f>
        <v>190797</v>
      </c>
      <c r="C210" s="9"/>
      <c r="D210" t="str">
        <f>"srh-301"</f>
        <v>srh-301</v>
      </c>
      <c r="E210" t="s">
        <v>153</v>
      </c>
      <c r="F210" t="s">
        <v>11</v>
      </c>
      <c r="G210" t="s">
        <v>25</v>
      </c>
      <c r="H210" s="12">
        <v>11.170998397396099</v>
      </c>
      <c r="I210" s="11">
        <v>0.72284615686154896</v>
      </c>
      <c r="J210" s="10">
        <v>0.46977440626377698</v>
      </c>
      <c r="K210" s="29">
        <v>0.98289565623980701</v>
      </c>
    </row>
    <row r="211" spans="1:11" x14ac:dyDescent="0.35">
      <c r="A211" s="9" t="str">
        <f>HYPERLINK("http://www.ensembl.org/id/WBGene00005909", "WBGene00005909")</f>
        <v>WBGene00005909</v>
      </c>
      <c r="B211" s="9" t="str">
        <f>HYPERLINK("http://www.ncbi.nlm.nih.gov/gene/183532", "183532")</f>
        <v>183532</v>
      </c>
      <c r="C211" s="9"/>
      <c r="D211" t="str">
        <f>"srx-18"</f>
        <v>srx-18</v>
      </c>
      <c r="E211" t="s">
        <v>1477</v>
      </c>
      <c r="F211" t="s">
        <v>11</v>
      </c>
      <c r="G211" t="s">
        <v>25</v>
      </c>
      <c r="H211" s="12">
        <v>11.170998397396099</v>
      </c>
      <c r="I211" s="11">
        <v>0.72284615686154896</v>
      </c>
      <c r="J211" s="10">
        <v>0.46977440626377698</v>
      </c>
      <c r="K211" s="29">
        <v>0.98289565623980701</v>
      </c>
    </row>
    <row r="212" spans="1:11" x14ac:dyDescent="0.35">
      <c r="A212" s="9" t="str">
        <f>HYPERLINK("http://www.ensembl.org/id/WBGene00009569", "WBGene00009569")</f>
        <v>WBGene00009569</v>
      </c>
      <c r="B212" s="9" t="str">
        <f>HYPERLINK("http://www.ncbi.nlm.nih.gov/gene/185527", "185527")</f>
        <v>185527</v>
      </c>
      <c r="C212" s="9"/>
      <c r="D212" t="str">
        <f>"srz-66"</f>
        <v>srz-66</v>
      </c>
      <c r="E212" t="s">
        <v>4211</v>
      </c>
      <c r="F212" t="s">
        <v>11</v>
      </c>
      <c r="G212" t="s">
        <v>25</v>
      </c>
      <c r="H212" s="12">
        <v>11.170998397396099</v>
      </c>
      <c r="I212" s="11">
        <v>0.72284615686154896</v>
      </c>
      <c r="J212" s="10">
        <v>0.46977440626377698</v>
      </c>
      <c r="K212" s="29">
        <v>0.98289565623980701</v>
      </c>
    </row>
    <row r="213" spans="1:11" x14ac:dyDescent="0.35">
      <c r="A213" s="9" t="str">
        <f>HYPERLINK("http://www.ensembl.org/id/WBGene00006178", "WBGene00006178")</f>
        <v>WBGene00006178</v>
      </c>
      <c r="B213" s="9" t="str">
        <f>HYPERLINK("http://www.ncbi.nlm.nih.gov/gene/192004", "192004")</f>
        <v>192004</v>
      </c>
      <c r="C213" s="9"/>
      <c r="D213" t="str">
        <f>"str-129"</f>
        <v>str-129</v>
      </c>
      <c r="E213" t="s">
        <v>590</v>
      </c>
      <c r="F213" t="s">
        <v>11</v>
      </c>
      <c r="G213" t="s">
        <v>591</v>
      </c>
      <c r="H213" s="12">
        <v>11.170998397396099</v>
      </c>
      <c r="I213" s="11">
        <v>0.72284615686154896</v>
      </c>
      <c r="J213" s="10">
        <v>0.46977440626377698</v>
      </c>
      <c r="K213" s="29">
        <v>0.98289565623980701</v>
      </c>
    </row>
    <row r="214" spans="1:11" x14ac:dyDescent="0.35">
      <c r="A214" s="9" t="str">
        <f>HYPERLINK("http://www.ensembl.org/id/WBGene00006213", "WBGene00006213")</f>
        <v>WBGene00006213</v>
      </c>
      <c r="B214" s="9" t="str">
        <f>HYPERLINK("http://www.ncbi.nlm.nih.gov/gene/189410", "189410")</f>
        <v>189410</v>
      </c>
      <c r="C214" s="9"/>
      <c r="D214" t="str">
        <f>"str-169"</f>
        <v>str-169</v>
      </c>
      <c r="E214" t="s">
        <v>590</v>
      </c>
      <c r="F214" t="s">
        <v>11</v>
      </c>
      <c r="G214" t="s">
        <v>591</v>
      </c>
      <c r="H214" s="12">
        <v>11.170998397396099</v>
      </c>
      <c r="I214" s="11">
        <v>0.72284615686154896</v>
      </c>
      <c r="J214" s="10">
        <v>0.46977440626377698</v>
      </c>
      <c r="K214" s="29">
        <v>0.98289565623980701</v>
      </c>
    </row>
    <row r="215" spans="1:11" x14ac:dyDescent="0.35">
      <c r="A215" s="9" t="str">
        <f>HYPERLINK("http://www.ensembl.org/id/WBGene00006108", "WBGene00006108")</f>
        <v>WBGene00006108</v>
      </c>
      <c r="B215" s="9" t="str">
        <f>HYPERLINK("http://www.ncbi.nlm.nih.gov/gene/188788", "188788")</f>
        <v>188788</v>
      </c>
      <c r="C215" s="9"/>
      <c r="D215" t="str">
        <f>"str-43"</f>
        <v>str-43</v>
      </c>
      <c r="E215" t="s">
        <v>590</v>
      </c>
      <c r="F215" t="s">
        <v>11</v>
      </c>
      <c r="G215" t="s">
        <v>25</v>
      </c>
      <c r="H215" s="12">
        <v>11.170998397396099</v>
      </c>
      <c r="I215" s="11">
        <v>0.72284615686154896</v>
      </c>
      <c r="J215" s="10">
        <v>0.46977440626377698</v>
      </c>
      <c r="K215" s="29">
        <v>0.98289565623980701</v>
      </c>
    </row>
    <row r="216" spans="1:11" x14ac:dyDescent="0.35">
      <c r="A216" s="9" t="str">
        <f>HYPERLINK("http://www.ensembl.org/id/WBGene00011389", "WBGene00011389")</f>
        <v>WBGene00011389</v>
      </c>
      <c r="B216" s="9" t="str">
        <f>HYPERLINK("http://www.ncbi.nlm.nih.gov/gene/188000", "188000")</f>
        <v>188000</v>
      </c>
      <c r="C216" s="9"/>
      <c r="D216" t="str">
        <f>"T02G6.6"</f>
        <v>T02G6.6</v>
      </c>
      <c r="F216" t="s">
        <v>11</v>
      </c>
      <c r="H216" s="12">
        <v>11.170998397396099</v>
      </c>
      <c r="I216" s="11">
        <v>0.72284615686154896</v>
      </c>
      <c r="J216" s="10">
        <v>0.46977440626377698</v>
      </c>
      <c r="K216" s="29">
        <v>0.98289565623980701</v>
      </c>
    </row>
    <row r="217" spans="1:11" x14ac:dyDescent="0.35">
      <c r="A217" s="9" t="str">
        <f>HYPERLINK("http://www.ensembl.org/id/WBGene00220105", "WBGene00220105")</f>
        <v>WBGene00220105</v>
      </c>
      <c r="B217" s="9"/>
      <c r="C217" s="9"/>
      <c r="D217" t="str">
        <f>"T27E9.11"</f>
        <v>T27E9.11</v>
      </c>
      <c r="F217" t="s">
        <v>481</v>
      </c>
      <c r="H217" s="12">
        <v>11.170998397396099</v>
      </c>
      <c r="I217" s="11">
        <v>0.72284615686154896</v>
      </c>
      <c r="J217" s="10">
        <v>0.46977440626377698</v>
      </c>
      <c r="K217" s="29">
        <v>0.98289565623980701</v>
      </c>
    </row>
    <row r="218" spans="1:11" x14ac:dyDescent="0.35">
      <c r="A218" s="9" t="str">
        <f>HYPERLINK("http://www.ensembl.org/id/WBGene00012952", "WBGene00012952")</f>
        <v>WBGene00012952</v>
      </c>
      <c r="B218" s="9" t="str">
        <f>HYPERLINK("http://www.ncbi.nlm.nih.gov/gene/190000", "190000")</f>
        <v>190000</v>
      </c>
      <c r="C218" s="9"/>
      <c r="D218" t="str">
        <f>"Y47H9C.9"</f>
        <v>Y47H9C.9</v>
      </c>
      <c r="F218" t="s">
        <v>11</v>
      </c>
      <c r="H218" s="12">
        <v>11.170998397396099</v>
      </c>
      <c r="I218" s="11">
        <v>0.72284615686154896</v>
      </c>
      <c r="J218" s="10">
        <v>0.46977440626377698</v>
      </c>
      <c r="K218" s="29">
        <v>0.98289565623980701</v>
      </c>
    </row>
    <row r="219" spans="1:11" x14ac:dyDescent="0.35">
      <c r="A219" s="9" t="str">
        <f>HYPERLINK("http://www.ensembl.org/id/WBGene00020305", "WBGene00020305")</f>
        <v>WBGene00020305</v>
      </c>
      <c r="B219" s="9" t="str">
        <f>HYPERLINK("http://www.ncbi.nlm.nih.gov/gene/188222", "188222")</f>
        <v>188222</v>
      </c>
      <c r="C219" s="9"/>
      <c r="D219" t="str">
        <f>"T07D3.2"</f>
        <v>T07D3.2</v>
      </c>
      <c r="F219" t="s">
        <v>11</v>
      </c>
      <c r="H219" s="12">
        <v>11.1220794872164</v>
      </c>
      <c r="I219" s="11">
        <v>1.14523746823497</v>
      </c>
      <c r="J219" s="10">
        <v>0.25211080132581298</v>
      </c>
      <c r="K219" s="29">
        <v>0.98289565623980701</v>
      </c>
    </row>
    <row r="220" spans="1:11" x14ac:dyDescent="0.35">
      <c r="A220" s="9" t="str">
        <f>HYPERLINK("http://www.ensembl.org/id/WBGene00044012", "WBGene00044012")</f>
        <v>WBGene00044012</v>
      </c>
      <c r="B220" s="9" t="str">
        <f>HYPERLINK("http://www.ncbi.nlm.nih.gov/gene/3564992", "3564992")</f>
        <v>3564992</v>
      </c>
      <c r="C220" s="9"/>
      <c r="D220" t="str">
        <f>"srxa-19"</f>
        <v>srxa-19</v>
      </c>
      <c r="E220" t="s">
        <v>3765</v>
      </c>
      <c r="F220" t="s">
        <v>11</v>
      </c>
      <c r="G220" t="s">
        <v>25</v>
      </c>
      <c r="H220" s="12">
        <v>11.065385957264199</v>
      </c>
      <c r="I220" s="11">
        <v>1.3029870494407301</v>
      </c>
      <c r="J220" s="10">
        <v>0.19257918294394399</v>
      </c>
      <c r="K220" s="29">
        <v>0.93364133468375099</v>
      </c>
    </row>
    <row r="221" spans="1:11" x14ac:dyDescent="0.35">
      <c r="A221" s="9" t="str">
        <f>HYPERLINK("http://www.ensembl.org/id/WBGene00019146", "WBGene00019146")</f>
        <v>WBGene00019146</v>
      </c>
      <c r="B221" s="9" t="str">
        <f>HYPERLINK("http://www.ncbi.nlm.nih.gov/gene/186667", "186667")</f>
        <v>186667</v>
      </c>
      <c r="C221" s="9"/>
      <c r="D221" t="str">
        <f>"H02F09.3"</f>
        <v>H02F09.3</v>
      </c>
      <c r="F221" t="s">
        <v>11</v>
      </c>
      <c r="G221" t="s">
        <v>25</v>
      </c>
      <c r="H221" s="12">
        <v>10.931251681831901</v>
      </c>
      <c r="I221" s="11">
        <v>5.7717567480421197</v>
      </c>
      <c r="J221" s="10">
        <v>7.8449311278293796E-9</v>
      </c>
      <c r="K221" s="29">
        <v>3.0722877735529802E-6</v>
      </c>
    </row>
    <row r="222" spans="1:11" x14ac:dyDescent="0.35">
      <c r="A222" s="9" t="str">
        <f>HYPERLINK("http://www.ensembl.org/id/WBGene00015360", "WBGene00015360")</f>
        <v>WBGene00015360</v>
      </c>
      <c r="B222" s="9" t="str">
        <f>HYPERLINK("http://www.ncbi.nlm.nih.gov/gene/182128", "182128")</f>
        <v>182128</v>
      </c>
      <c r="C222" s="9" t="str">
        <f>HYPERLINK("http://www.ncbi.nlm.nih.gov/gene/3416", "3416")</f>
        <v>3416</v>
      </c>
      <c r="D222" t="str">
        <f>"C02G6.2"</f>
        <v>C02G6.2</v>
      </c>
      <c r="F222" t="s">
        <v>11</v>
      </c>
      <c r="G222" t="s">
        <v>1258</v>
      </c>
      <c r="H222" s="12">
        <v>10.880256400548401</v>
      </c>
      <c r="I222" s="11">
        <v>1.6370405818770399</v>
      </c>
      <c r="J222" s="10">
        <v>0.10162199039686801</v>
      </c>
      <c r="K222" s="29">
        <v>0.73538293457877402</v>
      </c>
    </row>
    <row r="223" spans="1:11" x14ac:dyDescent="0.35">
      <c r="A223" s="9" t="str">
        <f>HYPERLINK("http://www.ensembl.org/id/WBGene00007250", "WBGene00007250")</f>
        <v>WBGene00007250</v>
      </c>
      <c r="B223" s="9" t="str">
        <f>HYPERLINK("http://www.ncbi.nlm.nih.gov/gene/3564896", "3564896")</f>
        <v>3564896</v>
      </c>
      <c r="C223" s="9"/>
      <c r="D223" t="str">
        <f>"nspb-8"</f>
        <v>nspb-8</v>
      </c>
      <c r="E223" t="s">
        <v>1851</v>
      </c>
      <c r="F223" t="s">
        <v>11</v>
      </c>
      <c r="H223" s="12">
        <v>10.8146173493751</v>
      </c>
      <c r="I223" s="11">
        <v>1.94285948214973</v>
      </c>
      <c r="J223" s="10">
        <v>5.20331386390245E-2</v>
      </c>
      <c r="K223" s="29">
        <v>0.535535724451359</v>
      </c>
    </row>
    <row r="224" spans="1:11" x14ac:dyDescent="0.35">
      <c r="A224" s="9" t="str">
        <f>HYPERLINK("http://www.ensembl.org/id/WBGene00167783", "WBGene00167783")</f>
        <v>WBGene00167783</v>
      </c>
      <c r="B224" s="9"/>
      <c r="C224" s="9"/>
      <c r="D224" t="str">
        <f>"21ur-14377"</f>
        <v>21ur-14377</v>
      </c>
      <c r="F224" t="s">
        <v>3161</v>
      </c>
      <c r="H224" s="12">
        <v>10.8131830636529</v>
      </c>
      <c r="I224" s="11">
        <v>0.70982715185838596</v>
      </c>
      <c r="J224" s="10">
        <v>0.477811329444844</v>
      </c>
      <c r="K224" s="29">
        <v>0.98289565623980701</v>
      </c>
    </row>
    <row r="225" spans="1:11" x14ac:dyDescent="0.35">
      <c r="A225" s="9" t="str">
        <f>HYPERLINK("http://www.ensembl.org/id/WBGene00171984", "WBGene00171984")</f>
        <v>WBGene00171984</v>
      </c>
      <c r="B225" s="9"/>
      <c r="C225" s="9"/>
      <c r="D225" t="str">
        <f>"21ur-15583"</f>
        <v>21ur-15583</v>
      </c>
      <c r="F225" t="s">
        <v>3161</v>
      </c>
      <c r="H225" s="12">
        <v>10.8131830636529</v>
      </c>
      <c r="I225" s="11">
        <v>0.70982715185838596</v>
      </c>
      <c r="J225" s="10">
        <v>0.477811329444844</v>
      </c>
      <c r="K225" s="29">
        <v>0.98289565623980701</v>
      </c>
    </row>
    <row r="226" spans="1:11" x14ac:dyDescent="0.35">
      <c r="A226" s="9" t="str">
        <f>HYPERLINK("http://www.ensembl.org/id/WBGene00046066", "WBGene00046066")</f>
        <v>WBGene00046066</v>
      </c>
      <c r="B226" s="9"/>
      <c r="C226" s="9"/>
      <c r="D226" t="str">
        <f>"21ur-391"</f>
        <v>21ur-391</v>
      </c>
      <c r="F226" t="s">
        <v>3161</v>
      </c>
      <c r="H226" s="12">
        <v>10.8131830636529</v>
      </c>
      <c r="I226" s="11">
        <v>0.70982715185838596</v>
      </c>
      <c r="J226" s="10">
        <v>0.477811329444844</v>
      </c>
      <c r="K226" s="29">
        <v>0.98289565623980701</v>
      </c>
    </row>
    <row r="227" spans="1:11" x14ac:dyDescent="0.35">
      <c r="A227" s="9" t="str">
        <f>HYPERLINK("http://www.ensembl.org/id/WBGene00007069", "WBGene00007069")</f>
        <v>WBGene00007069</v>
      </c>
      <c r="B227" s="9" t="str">
        <f>HYPERLINK("http://www.ncbi.nlm.nih.gov/gene/181798", "181798")</f>
        <v>181798</v>
      </c>
      <c r="C227" s="9"/>
      <c r="D227" t="str">
        <f>"6R55.2"</f>
        <v>6R55.2</v>
      </c>
      <c r="F227" t="s">
        <v>11</v>
      </c>
      <c r="H227" s="12">
        <v>10.8131830636529</v>
      </c>
      <c r="I227" s="11">
        <v>0.70982715185838596</v>
      </c>
      <c r="J227" s="10">
        <v>0.477811329444844</v>
      </c>
      <c r="K227" s="29">
        <v>0.98289565623980701</v>
      </c>
    </row>
    <row r="228" spans="1:11" x14ac:dyDescent="0.35">
      <c r="A228" s="9" t="str">
        <f>HYPERLINK("http://www.ensembl.org/id/WBGene00019104", "WBGene00019104")</f>
        <v>WBGene00019104</v>
      </c>
      <c r="B228" s="9" t="str">
        <f>HYPERLINK("http://www.ncbi.nlm.nih.gov/gene/186613", "186613")</f>
        <v>186613</v>
      </c>
      <c r="C228" s="9"/>
      <c r="D228" t="str">
        <f>"asp-7"</f>
        <v>asp-7</v>
      </c>
      <c r="E228" t="s">
        <v>1521</v>
      </c>
      <c r="F228" t="s">
        <v>11</v>
      </c>
      <c r="G228" t="s">
        <v>4212</v>
      </c>
      <c r="H228" s="12">
        <v>10.8131830636529</v>
      </c>
      <c r="I228" s="11">
        <v>0.70982715185838596</v>
      </c>
      <c r="J228" s="10">
        <v>0.477811329444844</v>
      </c>
      <c r="K228" s="29">
        <v>0.98289565623980701</v>
      </c>
    </row>
    <row r="229" spans="1:11" x14ac:dyDescent="0.35">
      <c r="A229" s="9" t="str">
        <f>HYPERLINK("http://www.ensembl.org/id/WBGene00015681", "WBGene00015681")</f>
        <v>WBGene00015681</v>
      </c>
      <c r="B229" s="9" t="str">
        <f>HYPERLINK("http://www.ncbi.nlm.nih.gov/gene/182501", "182501")</f>
        <v>182501</v>
      </c>
      <c r="C229" s="9"/>
      <c r="D229" t="str">
        <f>"C10G8.2"</f>
        <v>C10G8.2</v>
      </c>
      <c r="F229" t="s">
        <v>11</v>
      </c>
      <c r="G229" t="s">
        <v>50</v>
      </c>
      <c r="H229" s="12">
        <v>10.8131830636529</v>
      </c>
      <c r="I229" s="11">
        <v>0.70982715185838596</v>
      </c>
      <c r="J229" s="10">
        <v>0.477811329444844</v>
      </c>
      <c r="K229" s="29">
        <v>0.98289565623980701</v>
      </c>
    </row>
    <row r="230" spans="1:11" x14ac:dyDescent="0.35">
      <c r="A230" s="9" t="str">
        <f>HYPERLINK("http://www.ensembl.org/id/WBGene00199739", "WBGene00199739")</f>
        <v>WBGene00199739</v>
      </c>
      <c r="B230" s="9"/>
      <c r="C230" s="9"/>
      <c r="D230" t="str">
        <f>"C32A9.3"</f>
        <v>C32A9.3</v>
      </c>
      <c r="F230" t="s">
        <v>481</v>
      </c>
      <c r="H230" s="12">
        <v>10.8131830636529</v>
      </c>
      <c r="I230" s="11">
        <v>0.70982715185838596</v>
      </c>
      <c r="J230" s="10">
        <v>0.477811329444844</v>
      </c>
      <c r="K230" s="29">
        <v>0.98289565623980701</v>
      </c>
    </row>
    <row r="231" spans="1:11" x14ac:dyDescent="0.35">
      <c r="A231" s="9" t="str">
        <f>HYPERLINK("http://www.ensembl.org/id/WBGene00219322", "WBGene00219322")</f>
        <v>WBGene00219322</v>
      </c>
      <c r="B231" s="9" t="str">
        <f>HYPERLINK("http://www.ncbi.nlm.nih.gov/gene/13183881", "13183881")</f>
        <v>13183881</v>
      </c>
      <c r="C231" s="9"/>
      <c r="D231" t="str">
        <f>"C33C12.12"</f>
        <v>C33C12.12</v>
      </c>
      <c r="F231" t="s">
        <v>11</v>
      </c>
      <c r="H231" s="12">
        <v>10.8131830636529</v>
      </c>
      <c r="I231" s="11">
        <v>0.70982715185838596</v>
      </c>
      <c r="J231" s="10">
        <v>0.477811329444844</v>
      </c>
      <c r="K231" s="29">
        <v>0.98289565623980701</v>
      </c>
    </row>
    <row r="232" spans="1:11" x14ac:dyDescent="0.35">
      <c r="A232" s="9" t="str">
        <f>HYPERLINK("http://www.ensembl.org/id/WBGene00008523", "WBGene00008523")</f>
        <v>WBGene00008523</v>
      </c>
      <c r="B232" s="9" t="str">
        <f>HYPERLINK("http://www.ncbi.nlm.nih.gov/gene/184082", "184082")</f>
        <v>184082</v>
      </c>
      <c r="C232" s="9"/>
      <c r="D232" t="str">
        <f>"F02D10.2"</f>
        <v>F02D10.2</v>
      </c>
      <c r="F232" t="s">
        <v>11</v>
      </c>
      <c r="H232" s="12">
        <v>10.8131830636529</v>
      </c>
      <c r="I232" s="11">
        <v>0.70982715185838596</v>
      </c>
      <c r="J232" s="10">
        <v>0.477811329444844</v>
      </c>
      <c r="K232" s="29">
        <v>0.98289565623980701</v>
      </c>
    </row>
    <row r="233" spans="1:11" x14ac:dyDescent="0.35">
      <c r="A233" s="9" t="str">
        <f>HYPERLINK("http://www.ensembl.org/id/WBGene00197385", "WBGene00197385")</f>
        <v>WBGene00197385</v>
      </c>
      <c r="B233" s="9"/>
      <c r="C233" s="9"/>
      <c r="D233" t="str">
        <f>"F18C5.13"</f>
        <v>F18C5.13</v>
      </c>
      <c r="F233" t="s">
        <v>481</v>
      </c>
      <c r="H233" s="12">
        <v>10.8131830636529</v>
      </c>
      <c r="I233" s="11">
        <v>0.70982715185838596</v>
      </c>
      <c r="J233" s="10">
        <v>0.477811329444844</v>
      </c>
      <c r="K233" s="29">
        <v>0.98289565623980701</v>
      </c>
    </row>
    <row r="234" spans="1:11" x14ac:dyDescent="0.35">
      <c r="A234" s="9" t="str">
        <f>HYPERLINK("http://www.ensembl.org/id/WBGene00184956", "WBGene00184956")</f>
        <v>WBGene00184956</v>
      </c>
      <c r="B234" s="9" t="str">
        <f>HYPERLINK("http://www.ncbi.nlm.nih.gov/gene/13187507", "13187507")</f>
        <v>13187507</v>
      </c>
      <c r="C234" s="9"/>
      <c r="D234" t="str">
        <f>"F49C5.12"</f>
        <v>F49C5.12</v>
      </c>
      <c r="F234" t="s">
        <v>11</v>
      </c>
      <c r="H234" s="12">
        <v>10.8131830636529</v>
      </c>
      <c r="I234" s="11">
        <v>0.70982715185838596</v>
      </c>
      <c r="J234" s="10">
        <v>0.477811329444844</v>
      </c>
      <c r="K234" s="29">
        <v>0.98289565623980701</v>
      </c>
    </row>
    <row r="235" spans="1:11" x14ac:dyDescent="0.35">
      <c r="A235" s="9" t="str">
        <f>HYPERLINK("http://www.ensembl.org/id/WBGene00219995", "WBGene00219995")</f>
        <v>WBGene00219995</v>
      </c>
      <c r="B235" s="9"/>
      <c r="C235" s="9"/>
      <c r="D235" t="str">
        <f>"H36L18.5"</f>
        <v>H36L18.5</v>
      </c>
      <c r="F235" t="s">
        <v>481</v>
      </c>
      <c r="H235" s="12">
        <v>10.8131830636529</v>
      </c>
      <c r="I235" s="11">
        <v>0.70982715185838596</v>
      </c>
      <c r="J235" s="10">
        <v>0.477811329444844</v>
      </c>
      <c r="K235" s="29">
        <v>0.98289565623980701</v>
      </c>
    </row>
    <row r="236" spans="1:11" x14ac:dyDescent="0.35">
      <c r="A236" s="9" t="str">
        <f>HYPERLINK("http://www.ensembl.org/id/WBGene00044109", "WBGene00044109")</f>
        <v>WBGene00044109</v>
      </c>
      <c r="B236" s="9" t="str">
        <f>HYPERLINK("http://www.ncbi.nlm.nih.gov/gene/259661", "259661")</f>
        <v>259661</v>
      </c>
      <c r="C236" s="9"/>
      <c r="D236" t="str">
        <f>"K02E11.10"</f>
        <v>K02E11.10</v>
      </c>
      <c r="F236" t="s">
        <v>11</v>
      </c>
      <c r="H236" s="12">
        <v>10.8131830636529</v>
      </c>
      <c r="I236" s="11">
        <v>0.70982715185838596</v>
      </c>
      <c r="J236" s="10">
        <v>0.477811329444844</v>
      </c>
      <c r="K236" s="29">
        <v>0.98289565623980701</v>
      </c>
    </row>
    <row r="237" spans="1:11" x14ac:dyDescent="0.35">
      <c r="A237" s="9" t="str">
        <f>HYPERLINK("http://www.ensembl.org/id/WBGene00197691", "WBGene00197691")</f>
        <v>WBGene00197691</v>
      </c>
      <c r="B237" s="9"/>
      <c r="C237" s="9"/>
      <c r="D237" t="str">
        <f>"K08F8.9"</f>
        <v>K08F8.9</v>
      </c>
      <c r="F237" t="s">
        <v>481</v>
      </c>
      <c r="H237" s="12">
        <v>10.8131830636529</v>
      </c>
      <c r="I237" s="11">
        <v>0.70982715185838596</v>
      </c>
      <c r="J237" s="10">
        <v>0.477811329444844</v>
      </c>
      <c r="K237" s="29">
        <v>0.98289565623980701</v>
      </c>
    </row>
    <row r="238" spans="1:11" x14ac:dyDescent="0.35">
      <c r="A238" s="9" t="str">
        <f>HYPERLINK("http://www.ensembl.org/id/WBGene00219768", "WBGene00219768")</f>
        <v>WBGene00219768</v>
      </c>
      <c r="B238" s="9"/>
      <c r="C238" s="9"/>
      <c r="D238" t="str">
        <f>"linc-160"</f>
        <v>linc-160</v>
      </c>
      <c r="F238" t="s">
        <v>1510</v>
      </c>
      <c r="H238" s="12">
        <v>10.8131830636529</v>
      </c>
      <c r="I238" s="11">
        <v>0.70982715185838596</v>
      </c>
      <c r="J238" s="10">
        <v>0.477811329444844</v>
      </c>
      <c r="K238" s="29">
        <v>0.98289565623980701</v>
      </c>
    </row>
    <row r="239" spans="1:11" x14ac:dyDescent="0.35">
      <c r="A239" s="9" t="str">
        <f>HYPERLINK("http://www.ensembl.org/id/WBGene00018170", "WBGene00018170")</f>
        <v>WBGene00018170</v>
      </c>
      <c r="B239" s="9" t="str">
        <f>HYPERLINK("http://www.ncbi.nlm.nih.gov/gene/3564940", "3564940")</f>
        <v>3564940</v>
      </c>
      <c r="C239" s="9"/>
      <c r="D239" t="str">
        <f>"nspb-1"</f>
        <v>nspb-1</v>
      </c>
      <c r="E239" t="s">
        <v>1851</v>
      </c>
      <c r="F239" t="s">
        <v>11</v>
      </c>
      <c r="H239" s="12">
        <v>10.8131830636529</v>
      </c>
      <c r="I239" s="11">
        <v>0.70982715185838596</v>
      </c>
      <c r="J239" s="10">
        <v>0.477811329444844</v>
      </c>
      <c r="K239" s="29">
        <v>0.98289565623980701</v>
      </c>
    </row>
    <row r="240" spans="1:11" x14ac:dyDescent="0.35">
      <c r="A240" s="9" t="str">
        <f>HYPERLINK("http://www.ensembl.org/id/WBGene00044670", "WBGene00044670")</f>
        <v>WBGene00044670</v>
      </c>
      <c r="B240" s="9"/>
      <c r="C240" s="9"/>
      <c r="D240" t="str">
        <f>"rac-3"</f>
        <v>rac-3</v>
      </c>
      <c r="F240" t="s">
        <v>80</v>
      </c>
      <c r="H240" s="12">
        <v>10.8131830636529</v>
      </c>
      <c r="I240" s="11">
        <v>0.70982715185838596</v>
      </c>
      <c r="J240" s="10">
        <v>0.477811329444844</v>
      </c>
      <c r="K240" s="29">
        <v>0.98289565623980701</v>
      </c>
    </row>
    <row r="241" spans="1:11" x14ac:dyDescent="0.35">
      <c r="A241" s="9" t="str">
        <f>HYPERLINK("http://www.ensembl.org/id/WBGene00005052", "WBGene00005052")</f>
        <v>WBGene00005052</v>
      </c>
      <c r="B241" s="9" t="str">
        <f>HYPERLINK("http://www.ncbi.nlm.nih.gov/gene/188610", "188610")</f>
        <v>188610</v>
      </c>
      <c r="C241" s="9"/>
      <c r="D241" t="str">
        <f>"sra-26"</f>
        <v>sra-26</v>
      </c>
      <c r="E241" t="s">
        <v>4214</v>
      </c>
      <c r="F241" t="s">
        <v>11</v>
      </c>
      <c r="G241" t="s">
        <v>4210</v>
      </c>
      <c r="H241" s="12">
        <v>10.8131830636529</v>
      </c>
      <c r="I241" s="11">
        <v>0.70982715185838596</v>
      </c>
      <c r="J241" s="10">
        <v>0.477811329444844</v>
      </c>
      <c r="K241" s="29">
        <v>0.98289565623980701</v>
      </c>
    </row>
    <row r="242" spans="1:11" x14ac:dyDescent="0.35">
      <c r="A242" s="9" t="str">
        <f>HYPERLINK("http://www.ensembl.org/id/WBGene00010218", "WBGene00010218")</f>
        <v>WBGene00010218</v>
      </c>
      <c r="B242" s="9" t="str">
        <f>HYPERLINK("http://www.ncbi.nlm.nih.gov/gene/186476", "186476")</f>
        <v>186476</v>
      </c>
      <c r="C242" s="9"/>
      <c r="D242" t="str">
        <f>"sre-30"</f>
        <v>sre-30</v>
      </c>
      <c r="E242" t="s">
        <v>4213</v>
      </c>
      <c r="F242" t="s">
        <v>11</v>
      </c>
      <c r="G242" t="s">
        <v>2639</v>
      </c>
      <c r="H242" s="12">
        <v>10.8131830636529</v>
      </c>
      <c r="I242" s="11">
        <v>0.70982715185838596</v>
      </c>
      <c r="J242" s="10">
        <v>0.477811329444844</v>
      </c>
      <c r="K242" s="29">
        <v>0.98289565623980701</v>
      </c>
    </row>
    <row r="243" spans="1:11" x14ac:dyDescent="0.35">
      <c r="A243" s="9" t="str">
        <f>HYPERLINK("http://www.ensembl.org/id/WBGene00005381", "WBGene00005381")</f>
        <v>WBGene00005381</v>
      </c>
      <c r="B243" s="9"/>
      <c r="C243" s="9"/>
      <c r="D243" t="str">
        <f>"srh-165"</f>
        <v>srh-165</v>
      </c>
      <c r="F243" t="s">
        <v>80</v>
      </c>
      <c r="H243" s="12">
        <v>10.8131830636529</v>
      </c>
      <c r="I243" s="11">
        <v>0.70982715185838596</v>
      </c>
      <c r="J243" s="10">
        <v>0.477811329444844</v>
      </c>
      <c r="K243" s="29">
        <v>0.98289565623980701</v>
      </c>
    </row>
    <row r="244" spans="1:11" x14ac:dyDescent="0.35">
      <c r="A244" s="9" t="str">
        <f>HYPERLINK("http://www.ensembl.org/id/WBGene00005270", "WBGene00005270")</f>
        <v>WBGene00005270</v>
      </c>
      <c r="B244" s="9" t="str">
        <f>HYPERLINK("http://www.ncbi.nlm.nih.gov/gene/188026", "188026")</f>
        <v>188026</v>
      </c>
      <c r="C244" s="9"/>
      <c r="D244" t="str">
        <f>"srh-47"</f>
        <v>srh-47</v>
      </c>
      <c r="E244" t="s">
        <v>153</v>
      </c>
      <c r="F244" t="s">
        <v>11</v>
      </c>
      <c r="G244" t="s">
        <v>25</v>
      </c>
      <c r="H244" s="12">
        <v>10.8131830636529</v>
      </c>
      <c r="I244" s="11">
        <v>0.70982715185838596</v>
      </c>
      <c r="J244" s="10">
        <v>0.477811329444844</v>
      </c>
      <c r="K244" s="29">
        <v>0.98289565623980701</v>
      </c>
    </row>
    <row r="245" spans="1:11" x14ac:dyDescent="0.35">
      <c r="A245" s="9" t="str">
        <f>HYPERLINK("http://www.ensembl.org/id/WBGene00044116", "WBGene00044116")</f>
        <v>WBGene00044116</v>
      </c>
      <c r="B245" s="9" t="str">
        <f>HYPERLINK("http://www.ncbi.nlm.nih.gov/gene/3565800", "3565800")</f>
        <v>3565800</v>
      </c>
      <c r="C245" s="9"/>
      <c r="D245" t="str">
        <f>"srxa-13"</f>
        <v>srxa-13</v>
      </c>
      <c r="E245" t="s">
        <v>3765</v>
      </c>
      <c r="F245" t="s">
        <v>11</v>
      </c>
      <c r="G245" t="s">
        <v>25</v>
      </c>
      <c r="H245" s="12">
        <v>10.8131830636529</v>
      </c>
      <c r="I245" s="11">
        <v>0.70982715185838596</v>
      </c>
      <c r="J245" s="10">
        <v>0.477811329444844</v>
      </c>
      <c r="K245" s="29">
        <v>0.98289565623980701</v>
      </c>
    </row>
    <row r="246" spans="1:11" x14ac:dyDescent="0.35">
      <c r="A246" s="9" t="str">
        <f>HYPERLINK("http://www.ensembl.org/id/WBGene00006221", "WBGene00006221")</f>
        <v>WBGene00006221</v>
      </c>
      <c r="B246" s="9" t="str">
        <f>HYPERLINK("http://www.ncbi.nlm.nih.gov/gene/192023", "192023")</f>
        <v>192023</v>
      </c>
      <c r="C246" s="9"/>
      <c r="D246" t="str">
        <f>"str-177"</f>
        <v>str-177</v>
      </c>
      <c r="E246" t="s">
        <v>590</v>
      </c>
      <c r="F246" t="s">
        <v>11</v>
      </c>
      <c r="G246" t="s">
        <v>591</v>
      </c>
      <c r="H246" s="12">
        <v>10.8131830636529</v>
      </c>
      <c r="I246" s="11">
        <v>0.70982715185838596</v>
      </c>
      <c r="J246" s="10">
        <v>0.477811329444844</v>
      </c>
      <c r="K246" s="29">
        <v>0.98289565623980701</v>
      </c>
    </row>
    <row r="247" spans="1:11" x14ac:dyDescent="0.35">
      <c r="A247" s="9" t="str">
        <f>HYPERLINK("http://www.ensembl.org/id/WBGene00198031", "WBGene00198031")</f>
        <v>WBGene00198031</v>
      </c>
      <c r="B247" s="9"/>
      <c r="C247" s="9"/>
      <c r="D247" t="str">
        <f>"Y47D3B.16"</f>
        <v>Y47D3B.16</v>
      </c>
      <c r="F247" t="s">
        <v>481</v>
      </c>
      <c r="H247" s="12">
        <v>10.8131830636529</v>
      </c>
      <c r="I247" s="11">
        <v>0.70982715185838596</v>
      </c>
      <c r="J247" s="10">
        <v>0.477811329444844</v>
      </c>
      <c r="K247" s="29">
        <v>0.98289565623980701</v>
      </c>
    </row>
    <row r="248" spans="1:11" x14ac:dyDescent="0.35">
      <c r="A248" s="9" t="str">
        <f>HYPERLINK("http://www.ensembl.org/id/WBGene00200236", "WBGene00200236")</f>
        <v>WBGene00200236</v>
      </c>
      <c r="B248" s="9"/>
      <c r="C248" s="9"/>
      <c r="D248" t="str">
        <f>"ZK795.8"</f>
        <v>ZK795.8</v>
      </c>
      <c r="F248" t="s">
        <v>481</v>
      </c>
      <c r="H248" s="12">
        <v>10.8131830636529</v>
      </c>
      <c r="I248" s="11">
        <v>0.70982715185838596</v>
      </c>
      <c r="J248" s="10">
        <v>0.477811329444844</v>
      </c>
      <c r="K248" s="29">
        <v>0.98289565623980701</v>
      </c>
    </row>
    <row r="249" spans="1:11" x14ac:dyDescent="0.35">
      <c r="A249" s="9" t="str">
        <f>HYPERLINK("http://www.ensembl.org/id/WBGene00005665", "WBGene00005665")</f>
        <v>WBGene00005665</v>
      </c>
      <c r="B249" s="9" t="str">
        <f>HYPERLINK("http://www.ncbi.nlm.nih.gov/gene/183145", "183145")</f>
        <v>183145</v>
      </c>
      <c r="C249" s="9"/>
      <c r="D249" t="str">
        <f>"sru-2"</f>
        <v>sru-2</v>
      </c>
      <c r="E249" t="s">
        <v>2653</v>
      </c>
      <c r="F249" t="s">
        <v>11</v>
      </c>
      <c r="G249" t="s">
        <v>25</v>
      </c>
      <c r="H249" s="12">
        <v>10.808089266330899</v>
      </c>
      <c r="I249" s="11">
        <v>1.61074718795073</v>
      </c>
      <c r="J249" s="10">
        <v>0.107234836133782</v>
      </c>
      <c r="K249" s="29">
        <v>0.75465216386260903</v>
      </c>
    </row>
    <row r="250" spans="1:11" x14ac:dyDescent="0.35">
      <c r="A250" s="9" t="str">
        <f>HYPERLINK("http://www.ensembl.org/id/WBGene00219727", "WBGene00219727")</f>
        <v>WBGene00219727</v>
      </c>
      <c r="B250" s="9"/>
      <c r="C250" s="9"/>
      <c r="D250" t="str">
        <f>"linc-39"</f>
        <v>linc-39</v>
      </c>
      <c r="F250" t="s">
        <v>1510</v>
      </c>
      <c r="H250" s="12">
        <v>10.777896136191</v>
      </c>
      <c r="I250" s="11">
        <v>1.28738174980055</v>
      </c>
      <c r="J250" s="10">
        <v>0.197961262232249</v>
      </c>
      <c r="K250" s="29">
        <v>0.94311194332749304</v>
      </c>
    </row>
    <row r="251" spans="1:11" x14ac:dyDescent="0.35">
      <c r="A251" s="9" t="str">
        <f>HYPERLINK("http://www.ensembl.org/id/WBGene00010237", "WBGene00010237")</f>
        <v>WBGene00010237</v>
      </c>
      <c r="B251" s="9" t="str">
        <f>HYPERLINK("http://www.ncbi.nlm.nih.gov/gene/186496", "186496")</f>
        <v>186496</v>
      </c>
      <c r="C251" s="9"/>
      <c r="D251" t="str">
        <f>"scvp-1"</f>
        <v>scvp-1</v>
      </c>
      <c r="E251" t="s">
        <v>4215</v>
      </c>
      <c r="F251" t="s">
        <v>11</v>
      </c>
      <c r="H251" s="12">
        <v>10.757537997597099</v>
      </c>
      <c r="I251" s="11">
        <v>1.0893451637925999</v>
      </c>
      <c r="J251" s="10">
        <v>0.27600170336736202</v>
      </c>
      <c r="K251" s="29">
        <v>0.98289565623980701</v>
      </c>
    </row>
    <row r="252" spans="1:11" x14ac:dyDescent="0.35">
      <c r="A252" s="9" t="str">
        <f>HYPERLINK("http://www.ensembl.org/id/WBGene00005766", "WBGene00005766")</f>
        <v>WBGene00005766</v>
      </c>
      <c r="B252" s="9" t="str">
        <f>HYPERLINK("http://www.ncbi.nlm.nih.gov/gene/188397", "188397")</f>
        <v>188397</v>
      </c>
      <c r="C252" s="9"/>
      <c r="D252" t="str">
        <f>"srw-19"</f>
        <v>srw-19</v>
      </c>
      <c r="E252" t="s">
        <v>1014</v>
      </c>
      <c r="F252" t="s">
        <v>11</v>
      </c>
      <c r="G252" t="s">
        <v>1015</v>
      </c>
      <c r="H252" s="12">
        <v>10.757537997597099</v>
      </c>
      <c r="I252" s="11">
        <v>1.0893451637925999</v>
      </c>
      <c r="J252" s="10">
        <v>0.27600170336736202</v>
      </c>
      <c r="K252" s="29">
        <v>0.98289565623980701</v>
      </c>
    </row>
    <row r="253" spans="1:11" x14ac:dyDescent="0.35">
      <c r="A253" s="9" t="str">
        <f>HYPERLINK("http://www.ensembl.org/id/WBGene00015458", "WBGene00015458")</f>
        <v>WBGene00015458</v>
      </c>
      <c r="B253" s="9" t="str">
        <f>HYPERLINK("http://www.ncbi.nlm.nih.gov/gene/173879", "173879")</f>
        <v>173879</v>
      </c>
      <c r="C253" s="9"/>
      <c r="D253" t="str">
        <f>"C04G6.10"</f>
        <v>C04G6.10</v>
      </c>
      <c r="F253" t="s">
        <v>11</v>
      </c>
      <c r="H253" s="12">
        <v>10.7425156698291</v>
      </c>
      <c r="I253" s="11">
        <v>1.7043633172734101</v>
      </c>
      <c r="J253" s="10">
        <v>8.8313232613519504E-2</v>
      </c>
      <c r="K253" s="29">
        <v>0.69127487683231303</v>
      </c>
    </row>
    <row r="254" spans="1:11" x14ac:dyDescent="0.35">
      <c r="A254" s="9" t="str">
        <f>HYPERLINK("http://www.ensembl.org/id/WBGene00010797", "WBGene00010797")</f>
        <v>WBGene00010797</v>
      </c>
      <c r="B254" s="9" t="str">
        <f>HYPERLINK("http://www.ncbi.nlm.nih.gov/gene/187354", "187354")</f>
        <v>187354</v>
      </c>
      <c r="C254" s="9"/>
      <c r="D254" t="str">
        <f>"srbc-75"</f>
        <v>srbc-75</v>
      </c>
      <c r="E254" t="s">
        <v>3034</v>
      </c>
      <c r="F254" t="s">
        <v>11</v>
      </c>
      <c r="G254" t="s">
        <v>25</v>
      </c>
      <c r="H254" s="12">
        <v>10.646382750699001</v>
      </c>
      <c r="I254" s="11">
        <v>1.49463177529643</v>
      </c>
      <c r="J254" s="10">
        <v>0.135010568614641</v>
      </c>
      <c r="K254" s="29">
        <v>0.82440650063686605</v>
      </c>
    </row>
    <row r="255" spans="1:11" x14ac:dyDescent="0.35">
      <c r="A255" s="9" t="str">
        <f>HYPERLINK("http://www.ensembl.org/id/WBGene00014886", "WBGene00014886")</f>
        <v>WBGene00014886</v>
      </c>
      <c r="B255" s="9"/>
      <c r="C255" s="9"/>
      <c r="D255" t="str">
        <f>"Y41E3.5"</f>
        <v>Y41E3.5</v>
      </c>
      <c r="F255" t="s">
        <v>80</v>
      </c>
      <c r="H255" s="12">
        <v>10.582189908598201</v>
      </c>
      <c r="I255" s="11">
        <v>1.7300902611800999</v>
      </c>
      <c r="J255" s="10">
        <v>8.3614149950206093E-2</v>
      </c>
      <c r="K255" s="29">
        <v>0.68075706439375006</v>
      </c>
    </row>
    <row r="256" spans="1:11" x14ac:dyDescent="0.35">
      <c r="A256" s="9" t="str">
        <f>HYPERLINK("http://www.ensembl.org/id/WBGene00044546", "WBGene00044546")</f>
        <v>WBGene00044546</v>
      </c>
      <c r="B256" s="9" t="str">
        <f>HYPERLINK("http://www.ncbi.nlm.nih.gov/gene/3896840", "3896840")</f>
        <v>3896840</v>
      </c>
      <c r="C256" s="9"/>
      <c r="D256" t="str">
        <f>"T01C4.8"</f>
        <v>T01C4.8</v>
      </c>
      <c r="F256" t="s">
        <v>11</v>
      </c>
      <c r="H256" s="12">
        <v>10.5536426898862</v>
      </c>
      <c r="I256" s="11">
        <v>0.92714095200527402</v>
      </c>
      <c r="J256" s="10">
        <v>0.35385335603194701</v>
      </c>
      <c r="K256" s="29">
        <v>0.98289565623980701</v>
      </c>
    </row>
    <row r="257" spans="1:11" x14ac:dyDescent="0.35">
      <c r="A257" s="9" t="str">
        <f>HYPERLINK("http://www.ensembl.org/id/WBGene00001773", "WBGene00001773")</f>
        <v>WBGene00001773</v>
      </c>
      <c r="B257" s="9" t="str">
        <f>HYPERLINK("http://www.ncbi.nlm.nih.gov/gene/24104550", "24104550")</f>
        <v>24104550</v>
      </c>
      <c r="C257" s="9"/>
      <c r="D257" t="str">
        <f>"gst-25"</f>
        <v>gst-25</v>
      </c>
      <c r="E257" t="s">
        <v>272</v>
      </c>
      <c r="F257" t="s">
        <v>11</v>
      </c>
      <c r="G257" t="s">
        <v>291</v>
      </c>
      <c r="H257" s="12">
        <v>10.5349988730575</v>
      </c>
      <c r="I257" s="11">
        <v>1.5750808013300699</v>
      </c>
      <c r="J257" s="10">
        <v>0.115237794929099</v>
      </c>
      <c r="K257" s="29">
        <v>0.77629285412005</v>
      </c>
    </row>
    <row r="258" spans="1:11" x14ac:dyDescent="0.35">
      <c r="A258" s="9" t="str">
        <f>HYPERLINK("http://www.ensembl.org/id/WBGene00016963", "WBGene00016963")</f>
        <v>WBGene00016963</v>
      </c>
      <c r="B258" s="9" t="str">
        <f>HYPERLINK("http://www.ncbi.nlm.nih.gov/gene/174087", "174087")</f>
        <v>174087</v>
      </c>
      <c r="C258" s="9"/>
      <c r="D258" t="str">
        <f>"C56C10.6"</f>
        <v>C56C10.6</v>
      </c>
      <c r="F258" t="s">
        <v>11</v>
      </c>
      <c r="G258" t="s">
        <v>1763</v>
      </c>
      <c r="H258" s="12">
        <v>10.505186814297099</v>
      </c>
      <c r="I258" s="11">
        <v>1.06405376973518</v>
      </c>
      <c r="J258" s="10">
        <v>0.28730434197069299</v>
      </c>
      <c r="K258" s="29">
        <v>0.98289565623980701</v>
      </c>
    </row>
    <row r="259" spans="1:11" x14ac:dyDescent="0.35">
      <c r="A259" s="9" t="str">
        <f>HYPERLINK("http://www.ensembl.org/id/WBGene00003437", "WBGene00003437")</f>
        <v>WBGene00003437</v>
      </c>
      <c r="B259" s="9"/>
      <c r="C259" s="9"/>
      <c r="D259" t="str">
        <f>"msp-42"</f>
        <v>msp-42</v>
      </c>
      <c r="F259" t="s">
        <v>80</v>
      </c>
      <c r="H259" s="12">
        <v>10.5012433709758</v>
      </c>
      <c r="I259" s="11">
        <v>1.01669485237427</v>
      </c>
      <c r="J259" s="10">
        <v>0.30929861531068698</v>
      </c>
      <c r="K259" s="29">
        <v>0.98289565623980701</v>
      </c>
    </row>
    <row r="260" spans="1:11" x14ac:dyDescent="0.35">
      <c r="A260" s="9" t="str">
        <f>HYPERLINK("http://www.ensembl.org/id/WBGene00000649", "WBGene00000649")</f>
        <v>WBGene00000649</v>
      </c>
      <c r="B260" s="9" t="str">
        <f>HYPERLINK("http://www.ncbi.nlm.nih.gov/gene/184366", "184366")</f>
        <v>184366</v>
      </c>
      <c r="C260" s="9"/>
      <c r="D260" t="str">
        <f>"col-73"</f>
        <v>col-73</v>
      </c>
      <c r="E260" t="s">
        <v>40</v>
      </c>
      <c r="F260" t="s">
        <v>11</v>
      </c>
      <c r="G260" t="s">
        <v>41</v>
      </c>
      <c r="H260" s="12">
        <v>10.4971559573058</v>
      </c>
      <c r="I260" s="11">
        <v>2.4209420003612099</v>
      </c>
      <c r="J260" s="10">
        <v>1.54803469774833E-2</v>
      </c>
      <c r="K260" s="29">
        <v>0.258632608287584</v>
      </c>
    </row>
    <row r="261" spans="1:11" x14ac:dyDescent="0.35">
      <c r="A261" s="9" t="str">
        <f>HYPERLINK("http://www.ensembl.org/id/WBGene00001074", "WBGene00001074")</f>
        <v>WBGene00001074</v>
      </c>
      <c r="B261" s="9" t="str">
        <f>HYPERLINK("http://www.ncbi.nlm.nih.gov/gene/177187", "177187")</f>
        <v>177187</v>
      </c>
      <c r="C261" s="9"/>
      <c r="D261" t="str">
        <f>"dpy-13"</f>
        <v>dpy-13</v>
      </c>
      <c r="E261" t="s">
        <v>212</v>
      </c>
      <c r="F261" t="s">
        <v>11</v>
      </c>
      <c r="G261" t="s">
        <v>152</v>
      </c>
      <c r="H261" s="12">
        <v>10.4679862929435</v>
      </c>
      <c r="I261" s="11">
        <v>4.4849088432854698</v>
      </c>
      <c r="J261" s="10">
        <v>7.29451128844081E-6</v>
      </c>
      <c r="K261" s="29">
        <v>8.1050607904673097E-4</v>
      </c>
    </row>
    <row r="262" spans="1:11" x14ac:dyDescent="0.35">
      <c r="A262" s="9" t="str">
        <f>HYPERLINK("http://www.ensembl.org/id/WBGene00011979", "WBGene00011979")</f>
        <v>WBGene00011979</v>
      </c>
      <c r="B262" s="9" t="str">
        <f>HYPERLINK("http://www.ncbi.nlm.nih.gov/gene/188838", "188838")</f>
        <v>188838</v>
      </c>
      <c r="C262" s="9"/>
      <c r="D262" t="str">
        <f>"T24B8.5"</f>
        <v>T24B8.5</v>
      </c>
      <c r="F262" t="s">
        <v>11</v>
      </c>
      <c r="G262" t="s">
        <v>264</v>
      </c>
      <c r="H262" s="12">
        <v>10.449927711171799</v>
      </c>
      <c r="I262" s="11">
        <v>2.4133029100971202</v>
      </c>
      <c r="J262" s="10">
        <v>1.5808675184628002E-2</v>
      </c>
      <c r="K262" s="29">
        <v>0.26147118741303799</v>
      </c>
    </row>
    <row r="263" spans="1:11" x14ac:dyDescent="0.35">
      <c r="A263" s="9" t="str">
        <f>HYPERLINK("http://www.ensembl.org/id/WBGene00009279", "WBGene00009279")</f>
        <v>WBGene00009279</v>
      </c>
      <c r="B263" s="9" t="str">
        <f>HYPERLINK("http://www.ncbi.nlm.nih.gov/gene/185142", "185142")</f>
        <v>185142</v>
      </c>
      <c r="C263" s="9"/>
      <c r="D263" t="str">
        <f>"F31B9.2"</f>
        <v>F31B9.2</v>
      </c>
      <c r="F263" t="s">
        <v>11</v>
      </c>
      <c r="H263" s="12">
        <v>10.389700899309201</v>
      </c>
      <c r="I263" s="11">
        <v>1.07656766792953</v>
      </c>
      <c r="J263" s="10">
        <v>0.28167345506466701</v>
      </c>
      <c r="K263" s="29">
        <v>0.98289565623980701</v>
      </c>
    </row>
    <row r="264" spans="1:11" x14ac:dyDescent="0.35">
      <c r="A264" s="9" t="str">
        <f>HYPERLINK("http://www.ensembl.org/id/WBGene00197663", "WBGene00197663")</f>
        <v>WBGene00197663</v>
      </c>
      <c r="B264" s="9"/>
      <c r="C264" s="9"/>
      <c r="D264" t="str">
        <f>"F13H6.13"</f>
        <v>F13H6.13</v>
      </c>
      <c r="F264" t="s">
        <v>481</v>
      </c>
      <c r="H264" s="12">
        <v>10.3680432693273</v>
      </c>
      <c r="I264" s="11">
        <v>1.4755994069419001</v>
      </c>
      <c r="J264" s="10">
        <v>0.14005146444406399</v>
      </c>
      <c r="K264" s="29">
        <v>0.83147871376092397</v>
      </c>
    </row>
    <row r="265" spans="1:11" x14ac:dyDescent="0.35">
      <c r="A265" s="9" t="str">
        <f>HYPERLINK("http://www.ensembl.org/id/WBGene00006193", "WBGene00006193")</f>
        <v>WBGene00006193</v>
      </c>
      <c r="B265" s="9" t="str">
        <f>HYPERLINK("http://www.ncbi.nlm.nih.gov/gene/192016", "192016")</f>
        <v>192016</v>
      </c>
      <c r="C265" s="9"/>
      <c r="D265" t="str">
        <f>"str-146"</f>
        <v>str-146</v>
      </c>
      <c r="E265" t="s">
        <v>590</v>
      </c>
      <c r="F265" t="s">
        <v>11</v>
      </c>
      <c r="G265" t="s">
        <v>591</v>
      </c>
      <c r="H265" s="12">
        <v>10.2810290851718</v>
      </c>
      <c r="I265" s="11">
        <v>1.5333957564532501</v>
      </c>
      <c r="J265" s="10">
        <v>0.125178373685122</v>
      </c>
      <c r="K265" s="29">
        <v>0.80010276690689697</v>
      </c>
    </row>
    <row r="266" spans="1:11" x14ac:dyDescent="0.35">
      <c r="A266" s="9" t="str">
        <f>HYPERLINK("http://www.ensembl.org/id/WBGene00007454", "WBGene00007454")</f>
        <v>WBGene00007454</v>
      </c>
      <c r="B266" s="9" t="str">
        <f>HYPERLINK("http://www.ncbi.nlm.nih.gov/gene/182422", "182422")</f>
        <v>182422</v>
      </c>
      <c r="C266" s="9"/>
      <c r="D266" t="str">
        <f>"C08F11.7"</f>
        <v>C08F11.7</v>
      </c>
      <c r="F266" t="s">
        <v>11</v>
      </c>
      <c r="H266" s="12">
        <v>10.2015275187819</v>
      </c>
      <c r="I266" s="11">
        <v>3.2023006431407102</v>
      </c>
      <c r="J266" s="10">
        <v>1.36334629462673E-3</v>
      </c>
      <c r="K266" s="29">
        <v>4.9452872030840297E-2</v>
      </c>
    </row>
    <row r="267" spans="1:11" x14ac:dyDescent="0.35">
      <c r="A267" s="9" t="str">
        <f>HYPERLINK("http://www.ensembl.org/id/WBGene00016667", "WBGene00016667")</f>
        <v>WBGene00016667</v>
      </c>
      <c r="B267" s="9" t="str">
        <f>HYPERLINK("http://www.ncbi.nlm.nih.gov/gene/183472", "183472")</f>
        <v>183472</v>
      </c>
      <c r="C267" s="9"/>
      <c r="D267" t="str">
        <f>"C45E5.4"</f>
        <v>C45E5.4</v>
      </c>
      <c r="F267" t="s">
        <v>11</v>
      </c>
      <c r="H267" s="12">
        <v>10.108187064762999</v>
      </c>
      <c r="I267" s="11">
        <v>5.5373133709682101</v>
      </c>
      <c r="J267" s="10">
        <v>3.0714670459535697E-8</v>
      </c>
      <c r="K267" s="29">
        <v>9.0986304568978506E-6</v>
      </c>
    </row>
    <row r="268" spans="1:11" x14ac:dyDescent="0.35">
      <c r="A268" s="9" t="str">
        <f>HYPERLINK("http://www.ensembl.org/id/WBGene00012847", "WBGene00012847")</f>
        <v>WBGene00012847</v>
      </c>
      <c r="B268" s="9" t="str">
        <f>HYPERLINK("http://www.ncbi.nlm.nih.gov/gene/189895", "189895")</f>
        <v>189895</v>
      </c>
      <c r="C268" s="9"/>
      <c r="D268" t="str">
        <f>"srxa-15"</f>
        <v>srxa-15</v>
      </c>
      <c r="E268" t="s">
        <v>3765</v>
      </c>
      <c r="F268" t="s">
        <v>11</v>
      </c>
      <c r="G268" t="s">
        <v>25</v>
      </c>
      <c r="H268" s="12">
        <v>10.0724490993573</v>
      </c>
      <c r="I268" s="11">
        <v>1.03040475061369</v>
      </c>
      <c r="J268" s="10">
        <v>0.302820044101488</v>
      </c>
      <c r="K268" s="29">
        <v>0.98289565623980701</v>
      </c>
    </row>
    <row r="269" spans="1:11" x14ac:dyDescent="0.35">
      <c r="A269" s="9" t="str">
        <f>HYPERLINK("http://www.ensembl.org/id/WBGene00010987", "WBGene00010987")</f>
        <v>WBGene00010987</v>
      </c>
      <c r="B269" s="9" t="str">
        <f>HYPERLINK("http://www.ncbi.nlm.nih.gov/gene/175150", "175150")</f>
        <v>175150</v>
      </c>
      <c r="C269" s="9"/>
      <c r="D269" t="str">
        <f>"R03C1.1"</f>
        <v>R03C1.1</v>
      </c>
      <c r="F269" t="s">
        <v>11</v>
      </c>
      <c r="H269" s="12">
        <v>10.0632593831078</v>
      </c>
      <c r="I269" s="11">
        <v>0.94588130211428201</v>
      </c>
      <c r="J269" s="10">
        <v>0.344209131311217</v>
      </c>
      <c r="K269" s="29">
        <v>0.98289565623980701</v>
      </c>
    </row>
    <row r="270" spans="1:11" x14ac:dyDescent="0.35">
      <c r="A270" s="9" t="str">
        <f>HYPERLINK("http://www.ensembl.org/id/WBGene00005811", "WBGene00005811")</f>
        <v>WBGene00005811</v>
      </c>
      <c r="B270" s="9"/>
      <c r="C270" s="9"/>
      <c r="D270" t="str">
        <f>"srw-64"</f>
        <v>srw-64</v>
      </c>
      <c r="F270" t="s">
        <v>80</v>
      </c>
      <c r="H270" s="12">
        <v>10.059024691210601</v>
      </c>
      <c r="I270" s="11">
        <v>0.87832405149659898</v>
      </c>
      <c r="J270" s="10">
        <v>0.37976788710071602</v>
      </c>
      <c r="K270" s="29">
        <v>0.98289565623980701</v>
      </c>
    </row>
    <row r="271" spans="1:11" x14ac:dyDescent="0.35">
      <c r="A271" s="9" t="str">
        <f>HYPERLINK("http://www.ensembl.org/id/WBGene00007456", "WBGene00007456")</f>
        <v>WBGene00007456</v>
      </c>
      <c r="B271" s="9" t="str">
        <f>HYPERLINK("http://www.ncbi.nlm.nih.gov/gene/182423", "182423")</f>
        <v>182423</v>
      </c>
      <c r="C271" s="9"/>
      <c r="D271" t="str">
        <f>"srz-29"</f>
        <v>srz-29</v>
      </c>
      <c r="E271" t="s">
        <v>4211</v>
      </c>
      <c r="F271" t="s">
        <v>11</v>
      </c>
      <c r="G271" t="s">
        <v>25</v>
      </c>
      <c r="H271" s="12">
        <v>10.059024691210601</v>
      </c>
      <c r="I271" s="11">
        <v>0.87832405149659898</v>
      </c>
      <c r="J271" s="10">
        <v>0.37976788710071602</v>
      </c>
      <c r="K271" s="29">
        <v>0.98289565623980701</v>
      </c>
    </row>
    <row r="272" spans="1:11" x14ac:dyDescent="0.35">
      <c r="A272" s="9" t="str">
        <f>HYPERLINK("http://www.ensembl.org/id/WBGene00010278", "WBGene00010278")</f>
        <v>WBGene00010278</v>
      </c>
      <c r="B272" s="9" t="str">
        <f>HYPERLINK("http://www.ncbi.nlm.nih.gov/gene/3565898", "3565898")</f>
        <v>3565898</v>
      </c>
      <c r="C272" s="9"/>
      <c r="D272" t="str">
        <f>"F58G6.8"</f>
        <v>F58G6.8</v>
      </c>
      <c r="F272" t="s">
        <v>11</v>
      </c>
      <c r="G272" t="s">
        <v>2755</v>
      </c>
      <c r="H272" s="12">
        <v>10.0031378589578</v>
      </c>
      <c r="I272" s="11">
        <v>1.5777929104553301</v>
      </c>
      <c r="J272" s="10">
        <v>0.114613193078063</v>
      </c>
      <c r="K272" s="29">
        <v>0.773890251099279</v>
      </c>
    </row>
    <row r="273" spans="1:11" x14ac:dyDescent="0.35">
      <c r="A273" s="9" t="str">
        <f>HYPERLINK("http://www.ensembl.org/id/WBGene00008312", "WBGene00008312")</f>
        <v>WBGene00008312</v>
      </c>
      <c r="B273" s="9" t="str">
        <f>HYPERLINK("http://www.ncbi.nlm.nih.gov/gene/172580", "172580")</f>
        <v>172580</v>
      </c>
      <c r="C273" s="9"/>
      <c r="D273" t="str">
        <f>"C54G4.2"</f>
        <v>C54G4.2</v>
      </c>
      <c r="F273" t="s">
        <v>11</v>
      </c>
      <c r="H273" s="12">
        <v>9.94821327792123</v>
      </c>
      <c r="I273" s="11">
        <v>1.48313211529102</v>
      </c>
      <c r="J273" s="10">
        <v>0.138039312876132</v>
      </c>
      <c r="K273" s="29">
        <v>0.82965535068574103</v>
      </c>
    </row>
    <row r="274" spans="1:11" x14ac:dyDescent="0.35">
      <c r="A274" s="9" t="str">
        <f>HYPERLINK("http://www.ensembl.org/id/WBGene00046749", "WBGene00046749")</f>
        <v>WBGene00046749</v>
      </c>
      <c r="B274" s="9"/>
      <c r="C274" s="9"/>
      <c r="D274" t="str">
        <f>"21ur-3224"</f>
        <v>21ur-3224</v>
      </c>
      <c r="F274" t="s">
        <v>3161</v>
      </c>
      <c r="H274" s="12">
        <v>9.9320123134608593</v>
      </c>
      <c r="I274" s="11">
        <v>0.68366985730865304</v>
      </c>
      <c r="J274" s="10">
        <v>0.49418366151259002</v>
      </c>
      <c r="K274" s="29">
        <v>0.98289565623980701</v>
      </c>
    </row>
    <row r="275" spans="1:11" x14ac:dyDescent="0.35">
      <c r="A275" s="9" t="str">
        <f>HYPERLINK("http://www.ensembl.org/id/WBGene00201466", "WBGene00201466")</f>
        <v>WBGene00201466</v>
      </c>
      <c r="B275" s="9"/>
      <c r="C275" s="9"/>
      <c r="D275" t="str">
        <f>"C32A3.6"</f>
        <v>C32A3.6</v>
      </c>
      <c r="F275" t="s">
        <v>481</v>
      </c>
      <c r="H275" s="12">
        <v>9.9320123134608593</v>
      </c>
      <c r="I275" s="11">
        <v>0.68366985730865304</v>
      </c>
      <c r="J275" s="10">
        <v>0.49418366151259002</v>
      </c>
      <c r="K275" s="29">
        <v>0.98289565623980701</v>
      </c>
    </row>
    <row r="276" spans="1:11" x14ac:dyDescent="0.35">
      <c r="A276" s="9" t="str">
        <f>HYPERLINK("http://www.ensembl.org/id/WBGene00013357", "WBGene00013357")</f>
        <v>WBGene00013357</v>
      </c>
      <c r="B276" s="9" t="str">
        <f>HYPERLINK("http://www.ncbi.nlm.nih.gov/gene/190430", "190430")</f>
        <v>190430</v>
      </c>
      <c r="C276" s="9"/>
      <c r="D276" t="str">
        <f>"clec-260"</f>
        <v>clec-260</v>
      </c>
      <c r="E276" t="s">
        <v>46</v>
      </c>
      <c r="F276" t="s">
        <v>11</v>
      </c>
      <c r="G276" t="s">
        <v>47</v>
      </c>
      <c r="H276" s="12">
        <v>9.9320123134608593</v>
      </c>
      <c r="I276" s="11">
        <v>0.68366985730865304</v>
      </c>
      <c r="J276" s="10">
        <v>0.49418366151259002</v>
      </c>
      <c r="K276" s="29">
        <v>0.98289565623980701</v>
      </c>
    </row>
    <row r="277" spans="1:11" x14ac:dyDescent="0.35">
      <c r="A277" s="9" t="str">
        <f>HYPERLINK("http://www.ensembl.org/id/WBGene00198307", "WBGene00198307")</f>
        <v>WBGene00198307</v>
      </c>
      <c r="B277" s="9"/>
      <c r="C277" s="9"/>
      <c r="D277" t="str">
        <f>"F12F6.15"</f>
        <v>F12F6.15</v>
      </c>
      <c r="F277" t="s">
        <v>481</v>
      </c>
      <c r="H277" s="12">
        <v>9.9320123134608593</v>
      </c>
      <c r="I277" s="11">
        <v>0.68366985730865304</v>
      </c>
      <c r="J277" s="10">
        <v>0.49418366151259002</v>
      </c>
      <c r="K277" s="29">
        <v>0.98289565623980701</v>
      </c>
    </row>
    <row r="278" spans="1:11" x14ac:dyDescent="0.35">
      <c r="A278" s="9" t="str">
        <f>HYPERLINK("http://www.ensembl.org/id/WBGene00019588", "WBGene00019588")</f>
        <v>WBGene00019588</v>
      </c>
      <c r="B278" s="9" t="str">
        <f>HYPERLINK("http://www.ncbi.nlm.nih.gov/gene/187233", "187233")</f>
        <v>187233</v>
      </c>
      <c r="C278" s="9"/>
      <c r="D278" t="str">
        <f>"K09F6.5"</f>
        <v>K09F6.5</v>
      </c>
      <c r="F278" t="s">
        <v>11</v>
      </c>
      <c r="G278" t="s">
        <v>4216</v>
      </c>
      <c r="H278" s="12">
        <v>9.9320123134608593</v>
      </c>
      <c r="I278" s="11">
        <v>0.68366985730865304</v>
      </c>
      <c r="J278" s="10">
        <v>0.49418366151259002</v>
      </c>
      <c r="K278" s="29">
        <v>0.98289565623980701</v>
      </c>
    </row>
    <row r="279" spans="1:11" x14ac:dyDescent="0.35">
      <c r="A279" s="9" t="str">
        <f>HYPERLINK("http://www.ensembl.org/id/WBGene00008029", "WBGene00008029")</f>
        <v>WBGene00008029</v>
      </c>
      <c r="B279" s="9" t="str">
        <f>HYPERLINK("http://www.ncbi.nlm.nih.gov/gene/183344", "183344")</f>
        <v>183344</v>
      </c>
      <c r="C279" s="9"/>
      <c r="D279" t="str">
        <f>"scl-7"</f>
        <v>scl-7</v>
      </c>
      <c r="E279" t="s">
        <v>162</v>
      </c>
      <c r="F279" t="s">
        <v>11</v>
      </c>
      <c r="G279" t="s">
        <v>63</v>
      </c>
      <c r="H279" s="12">
        <v>9.9320123134608593</v>
      </c>
      <c r="I279" s="11">
        <v>0.68366985730865304</v>
      </c>
      <c r="J279" s="10">
        <v>0.49418366151259002</v>
      </c>
      <c r="K279" s="29">
        <v>0.98289565623980701</v>
      </c>
    </row>
    <row r="280" spans="1:11" x14ac:dyDescent="0.35">
      <c r="A280" s="9" t="str">
        <f>HYPERLINK("http://www.ensembl.org/id/WBGene00005593", "WBGene00005593")</f>
        <v>WBGene00005593</v>
      </c>
      <c r="B280" s="9" t="str">
        <f>HYPERLINK("http://www.ncbi.nlm.nih.gov/gene/191932", "191932")</f>
        <v>191932</v>
      </c>
      <c r="C280" s="9"/>
      <c r="D280" t="str">
        <f>"srj-5"</f>
        <v>srj-5</v>
      </c>
      <c r="E280" t="s">
        <v>3123</v>
      </c>
      <c r="F280" t="s">
        <v>11</v>
      </c>
      <c r="G280" t="s">
        <v>25</v>
      </c>
      <c r="H280" s="12">
        <v>9.9320123134608593</v>
      </c>
      <c r="I280" s="11">
        <v>0.68366985730865304</v>
      </c>
      <c r="J280" s="10">
        <v>0.49418366151259002</v>
      </c>
      <c r="K280" s="29">
        <v>0.98289565623980701</v>
      </c>
    </row>
    <row r="281" spans="1:11" x14ac:dyDescent="0.35">
      <c r="A281" s="9" t="str">
        <f>HYPERLINK("http://www.ensembl.org/id/WBGene00202172", "WBGene00202172")</f>
        <v>WBGene00202172</v>
      </c>
      <c r="B281" s="9"/>
      <c r="C281" s="9"/>
      <c r="D281" t="str">
        <f>"T06F4.20"</f>
        <v>T06F4.20</v>
      </c>
      <c r="F281" t="s">
        <v>481</v>
      </c>
      <c r="H281" s="12">
        <v>9.9320123134608593</v>
      </c>
      <c r="I281" s="11">
        <v>0.68366985730865304</v>
      </c>
      <c r="J281" s="10">
        <v>0.49418366151259002</v>
      </c>
      <c r="K281" s="29">
        <v>0.98289565623980701</v>
      </c>
    </row>
    <row r="282" spans="1:11" x14ac:dyDescent="0.35">
      <c r="A282" s="9" t="str">
        <f>HYPERLINK("http://www.ensembl.org/id/WBGene00195748", "WBGene00195748")</f>
        <v>WBGene00195748</v>
      </c>
      <c r="B282" s="9"/>
      <c r="C282" s="9"/>
      <c r="D282" t="str">
        <f>"T28B11.4"</f>
        <v>T28B11.4</v>
      </c>
      <c r="F282" t="s">
        <v>481</v>
      </c>
      <c r="H282" s="12">
        <v>9.9320123134608593</v>
      </c>
      <c r="I282" s="11">
        <v>0.68366985730865304</v>
      </c>
      <c r="J282" s="10">
        <v>0.49418366151259002</v>
      </c>
      <c r="K282" s="29">
        <v>0.98289565623980701</v>
      </c>
    </row>
    <row r="283" spans="1:11" x14ac:dyDescent="0.35">
      <c r="A283" s="9" t="str">
        <f>HYPERLINK("http://www.ensembl.org/id/WBGene00200430", "WBGene00200430")</f>
        <v>WBGene00200430</v>
      </c>
      <c r="B283" s="9"/>
      <c r="C283" s="9"/>
      <c r="D283" t="str">
        <f>"W08D2.12"</f>
        <v>W08D2.12</v>
      </c>
      <c r="F283" t="s">
        <v>481</v>
      </c>
      <c r="H283" s="12">
        <v>9.9320123134608593</v>
      </c>
      <c r="I283" s="11">
        <v>0.68366985730865304</v>
      </c>
      <c r="J283" s="10">
        <v>0.49418366151259002</v>
      </c>
      <c r="K283" s="29">
        <v>0.98289565623980701</v>
      </c>
    </row>
    <row r="284" spans="1:11" x14ac:dyDescent="0.35">
      <c r="A284" s="9" t="str">
        <f>HYPERLINK("http://www.ensembl.org/id/WBGene00220210", "WBGene00220210")</f>
        <v>WBGene00220210</v>
      </c>
      <c r="B284" s="9"/>
      <c r="C284" s="9"/>
      <c r="D284" t="str">
        <f>"Y76A2B.10"</f>
        <v>Y76A2B.10</v>
      </c>
      <c r="F284" t="s">
        <v>481</v>
      </c>
      <c r="H284" s="12">
        <v>9.9320123134608593</v>
      </c>
      <c r="I284" s="11">
        <v>0.68366985730865304</v>
      </c>
      <c r="J284" s="10">
        <v>0.49418366151259002</v>
      </c>
      <c r="K284" s="29">
        <v>0.98289565623980701</v>
      </c>
    </row>
    <row r="285" spans="1:11" x14ac:dyDescent="0.35">
      <c r="A285" s="9" t="str">
        <f>HYPERLINK("http://www.ensembl.org/id/WBGene00201817", "WBGene00201817")</f>
        <v>WBGene00201817</v>
      </c>
      <c r="B285" s="9"/>
      <c r="C285" s="9"/>
      <c r="D285" t="str">
        <f>"ZK669.9"</f>
        <v>ZK669.9</v>
      </c>
      <c r="F285" t="s">
        <v>481</v>
      </c>
      <c r="H285" s="12">
        <v>9.9320123134608593</v>
      </c>
      <c r="I285" s="11">
        <v>0.68366985730865304</v>
      </c>
      <c r="J285" s="10">
        <v>0.49418366151259002</v>
      </c>
      <c r="K285" s="29">
        <v>0.98289565623980701</v>
      </c>
    </row>
    <row r="286" spans="1:11" x14ac:dyDescent="0.35">
      <c r="A286" s="9" t="str">
        <f>HYPERLINK("http://www.ensembl.org/id/WBGene00022818", "WBGene00022818")</f>
        <v>WBGene00022818</v>
      </c>
      <c r="B286" s="9"/>
      <c r="C286" s="9"/>
      <c r="D286" t="str">
        <f>"ZK783.3"</f>
        <v>ZK783.3</v>
      </c>
      <c r="F286" t="s">
        <v>80</v>
      </c>
      <c r="H286" s="12">
        <v>9.9320123134608593</v>
      </c>
      <c r="I286" s="11">
        <v>0.68366985730865304</v>
      </c>
      <c r="J286" s="10">
        <v>0.49418366151259002</v>
      </c>
      <c r="K286" s="29">
        <v>0.98289565623980701</v>
      </c>
    </row>
    <row r="287" spans="1:11" x14ac:dyDescent="0.35">
      <c r="A287" s="9" t="str">
        <f>HYPERLINK("http://www.ensembl.org/id/WBGene00018284", "WBGene00018284")</f>
        <v>WBGene00018284</v>
      </c>
      <c r="B287" s="9" t="str">
        <f>HYPERLINK("http://www.ncbi.nlm.nih.gov/gene/185617", "185617")</f>
        <v>185617</v>
      </c>
      <c r="C287" s="9"/>
      <c r="D287" t="str">
        <f>"F41E6.1"</f>
        <v>F41E6.1</v>
      </c>
      <c r="F287" t="s">
        <v>11</v>
      </c>
      <c r="G287" t="s">
        <v>25</v>
      </c>
      <c r="H287" s="12">
        <v>9.8332411564541005</v>
      </c>
      <c r="I287" s="11">
        <v>1.9920220785112199</v>
      </c>
      <c r="J287" s="10">
        <v>4.6368635482755903E-2</v>
      </c>
      <c r="K287" s="29">
        <v>0.50076496843711304</v>
      </c>
    </row>
    <row r="288" spans="1:11" x14ac:dyDescent="0.35">
      <c r="A288" s="9" t="str">
        <f>HYPERLINK("http://www.ensembl.org/id/WBGene00195159", "WBGene00195159")</f>
        <v>WBGene00195159</v>
      </c>
      <c r="B288" s="9"/>
      <c r="C288" s="9"/>
      <c r="D288" t="str">
        <f>"T04C12.14"</f>
        <v>T04C12.14</v>
      </c>
      <c r="F288" t="s">
        <v>481</v>
      </c>
      <c r="H288" s="12">
        <v>9.7594903283461303</v>
      </c>
      <c r="I288" s="11">
        <v>1.8076472659800999</v>
      </c>
      <c r="J288" s="10">
        <v>7.0661416858834203E-2</v>
      </c>
      <c r="K288" s="29">
        <v>0.62854175683060398</v>
      </c>
    </row>
    <row r="289" spans="1:11" x14ac:dyDescent="0.35">
      <c r="A289" s="9" t="str">
        <f>HYPERLINK("http://www.ensembl.org/id/WBGene00012770", "WBGene00012770")</f>
        <v>WBGene00012770</v>
      </c>
      <c r="B289" s="9" t="str">
        <f>HYPERLINK("http://www.ncbi.nlm.nih.gov/gene/189832", "189832")</f>
        <v>189832</v>
      </c>
      <c r="C289" s="9"/>
      <c r="D289" t="str">
        <f>"srt-47"</f>
        <v>srt-47</v>
      </c>
      <c r="E289" t="s">
        <v>2845</v>
      </c>
      <c r="F289" t="s">
        <v>11</v>
      </c>
      <c r="G289" t="s">
        <v>25</v>
      </c>
      <c r="H289" s="12">
        <v>9.7480629468302293</v>
      </c>
      <c r="I289" s="11">
        <v>1.2195471720333499</v>
      </c>
      <c r="J289" s="10">
        <v>0.22263658320131499</v>
      </c>
      <c r="K289" s="29">
        <v>0.97600840195451199</v>
      </c>
    </row>
    <row r="290" spans="1:11" x14ac:dyDescent="0.35">
      <c r="A290" s="9" t="str">
        <f>HYPERLINK("http://www.ensembl.org/id/WBGene00005757", "WBGene00005757")</f>
        <v>WBGene00005757</v>
      </c>
      <c r="B290" s="9" t="str">
        <f>HYPERLINK("http://www.ncbi.nlm.nih.gov/gene/191187", "191187")</f>
        <v>191187</v>
      </c>
      <c r="C290" s="9"/>
      <c r="D290" t="str">
        <f>"srw-10"</f>
        <v>srw-10</v>
      </c>
      <c r="E290" t="s">
        <v>1014</v>
      </c>
      <c r="F290" t="s">
        <v>11</v>
      </c>
      <c r="G290" t="s">
        <v>1015</v>
      </c>
      <c r="H290" s="12">
        <v>9.7480629468302293</v>
      </c>
      <c r="I290" s="11">
        <v>1.2195471720333499</v>
      </c>
      <c r="J290" s="10">
        <v>0.22263658320131499</v>
      </c>
      <c r="K290" s="29">
        <v>0.97600840195451199</v>
      </c>
    </row>
    <row r="291" spans="1:11" x14ac:dyDescent="0.35">
      <c r="A291" s="9" t="str">
        <f>HYPERLINK("http://www.ensembl.org/id/WBGene00005060", "WBGene00005060")</f>
        <v>WBGene00005060</v>
      </c>
      <c r="B291" s="9" t="str">
        <f>HYPERLINK("http://www.ncbi.nlm.nih.gov/gene/353393", "353393")</f>
        <v>353393</v>
      </c>
      <c r="C291" s="9"/>
      <c r="D291" t="str">
        <f>"sra-34"</f>
        <v>sra-34</v>
      </c>
      <c r="E291" t="s">
        <v>3259</v>
      </c>
      <c r="F291" t="s">
        <v>11</v>
      </c>
      <c r="G291" t="s">
        <v>1468</v>
      </c>
      <c r="H291" s="12">
        <v>9.7362274915546294</v>
      </c>
      <c r="I291" s="11">
        <v>1.4329892621756599</v>
      </c>
      <c r="J291" s="10">
        <v>0.15186090599323099</v>
      </c>
      <c r="K291" s="29">
        <v>0.85767400434691698</v>
      </c>
    </row>
    <row r="292" spans="1:11" x14ac:dyDescent="0.35">
      <c r="A292" s="9" t="str">
        <f>HYPERLINK("http://www.ensembl.org/id/WBGene00014728", "WBGene00014728")</f>
        <v>WBGene00014728</v>
      </c>
      <c r="B292" s="9"/>
      <c r="C292" s="9"/>
      <c r="D292" t="str">
        <f>"E03A3.1"</f>
        <v>E03A3.1</v>
      </c>
      <c r="F292" t="s">
        <v>80</v>
      </c>
      <c r="H292" s="12">
        <v>9.7182409824606903</v>
      </c>
      <c r="I292" s="11">
        <v>1.5012564083181601</v>
      </c>
      <c r="J292" s="10">
        <v>0.13328925513887399</v>
      </c>
      <c r="K292" s="29">
        <v>0.81996367013069704</v>
      </c>
    </row>
    <row r="293" spans="1:11" x14ac:dyDescent="0.35">
      <c r="A293" s="9" t="str">
        <f>HYPERLINK("http://www.ensembl.org/id/WBGene00235287", "WBGene00235287")</f>
        <v>WBGene00235287</v>
      </c>
      <c r="B293" s="9" t="str">
        <f>HYPERLINK("http://www.ncbi.nlm.nih.gov/gene/24105165", "24105165")</f>
        <v>24105165</v>
      </c>
      <c r="C293" s="9"/>
      <c r="D293" t="str">
        <f>"Y55F3C.17"</f>
        <v>Y55F3C.17</v>
      </c>
      <c r="E293" t="s">
        <v>4217</v>
      </c>
      <c r="F293" t="s">
        <v>11</v>
      </c>
      <c r="G293" t="s">
        <v>962</v>
      </c>
      <c r="H293" s="12">
        <v>9.6667605240403507</v>
      </c>
      <c r="I293" s="11">
        <v>1.0089661203057501</v>
      </c>
      <c r="J293" s="10">
        <v>0.31299088269406899</v>
      </c>
      <c r="K293" s="29">
        <v>0.98289565623980701</v>
      </c>
    </row>
    <row r="294" spans="1:11" x14ac:dyDescent="0.35">
      <c r="A294" s="9" t="str">
        <f>HYPERLINK("http://www.ensembl.org/id/WBGene00044427", "WBGene00044427")</f>
        <v>WBGene00044427</v>
      </c>
      <c r="B294" s="9" t="str">
        <f>HYPERLINK("http://www.ncbi.nlm.nih.gov/gene/3565307", "3565307")</f>
        <v>3565307</v>
      </c>
      <c r="C294" s="9"/>
      <c r="D294" t="str">
        <f>"F56A6.5"</f>
        <v>F56A6.5</v>
      </c>
      <c r="F294" t="s">
        <v>11</v>
      </c>
      <c r="G294" t="s">
        <v>51</v>
      </c>
      <c r="H294" s="12">
        <v>9.6414174224933102</v>
      </c>
      <c r="I294" s="11">
        <v>1.0642907950323699</v>
      </c>
      <c r="J294" s="10">
        <v>0.28719698663798299</v>
      </c>
      <c r="K294" s="29">
        <v>0.98289565623980701</v>
      </c>
    </row>
    <row r="295" spans="1:11" x14ac:dyDescent="0.35">
      <c r="A295" s="9" t="str">
        <f>HYPERLINK("http://www.ensembl.org/id/WBGene00014799", "WBGene00014799")</f>
        <v>WBGene00014799</v>
      </c>
      <c r="B295" s="9"/>
      <c r="C295" s="9"/>
      <c r="D295" t="str">
        <f>"K05D4.5"</f>
        <v>K05D4.5</v>
      </c>
      <c r="F295" t="s">
        <v>80</v>
      </c>
      <c r="H295" s="12">
        <v>9.6414174224933102</v>
      </c>
      <c r="I295" s="11">
        <v>1.0642907950323699</v>
      </c>
      <c r="J295" s="10">
        <v>0.28719698663798299</v>
      </c>
      <c r="K295" s="29">
        <v>0.98289565623980701</v>
      </c>
    </row>
    <row r="296" spans="1:11" x14ac:dyDescent="0.35">
      <c r="A296" s="9" t="str">
        <f>HYPERLINK("http://www.ensembl.org/id/WBGene00018155", "WBGene00018155")</f>
        <v>WBGene00018155</v>
      </c>
      <c r="B296" s="9" t="str">
        <f>HYPERLINK("http://www.ncbi.nlm.nih.gov/gene/185424", "185424")</f>
        <v>185424</v>
      </c>
      <c r="C296" s="9"/>
      <c r="D296" t="str">
        <f>"F37C12.14"</f>
        <v>F37C12.14</v>
      </c>
      <c r="F296" t="s">
        <v>11</v>
      </c>
      <c r="H296" s="12">
        <v>9.5533178982728604</v>
      </c>
      <c r="I296" s="11">
        <v>0.82773319044918403</v>
      </c>
      <c r="J296" s="10">
        <v>0.40782161807902501</v>
      </c>
      <c r="K296" s="29">
        <v>0.98289565623980701</v>
      </c>
    </row>
    <row r="297" spans="1:11" x14ac:dyDescent="0.35">
      <c r="A297" s="9" t="str">
        <f>HYPERLINK("http://www.ensembl.org/id/WBGene00166596", "WBGene00166596")</f>
        <v>WBGene00166596</v>
      </c>
      <c r="B297" s="9"/>
      <c r="C297" s="9"/>
      <c r="D297" t="str">
        <f>"21ur-6539"</f>
        <v>21ur-6539</v>
      </c>
      <c r="F297" t="s">
        <v>3161</v>
      </c>
      <c r="H297" s="12">
        <v>9.5215001458148301</v>
      </c>
      <c r="I297" s="11">
        <v>0.67036031720767997</v>
      </c>
      <c r="J297" s="10">
        <v>0.50262812496729803</v>
      </c>
      <c r="K297" s="29">
        <v>0.98289565623980701</v>
      </c>
    </row>
    <row r="298" spans="1:11" x14ac:dyDescent="0.35">
      <c r="A298" s="9" t="str">
        <f>HYPERLINK("http://www.ensembl.org/id/WBGene00199612", "WBGene00199612")</f>
        <v>WBGene00199612</v>
      </c>
      <c r="B298" s="9"/>
      <c r="C298" s="9"/>
      <c r="D298" t="str">
        <f>"C06G1.15"</f>
        <v>C06G1.15</v>
      </c>
      <c r="F298" t="s">
        <v>481</v>
      </c>
      <c r="H298" s="12">
        <v>9.5215001458148301</v>
      </c>
      <c r="I298" s="11">
        <v>0.67036031720767997</v>
      </c>
      <c r="J298" s="10">
        <v>0.50262812496729803</v>
      </c>
      <c r="K298" s="29">
        <v>0.98289565623980701</v>
      </c>
    </row>
    <row r="299" spans="1:11" x14ac:dyDescent="0.35">
      <c r="A299" s="9" t="str">
        <f>HYPERLINK("http://www.ensembl.org/id/WBGene00008188", "WBGene00008188")</f>
        <v>WBGene00008188</v>
      </c>
      <c r="B299" s="9" t="str">
        <f>HYPERLINK("http://www.ncbi.nlm.nih.gov/gene/183588", "183588")</f>
        <v>183588</v>
      </c>
      <c r="C299" s="9"/>
      <c r="D299" t="str">
        <f>"clec-115"</f>
        <v>clec-115</v>
      </c>
      <c r="E299" t="s">
        <v>46</v>
      </c>
      <c r="F299" t="s">
        <v>11</v>
      </c>
      <c r="H299" s="12">
        <v>9.5215001458148301</v>
      </c>
      <c r="I299" s="11">
        <v>0.67036031720767997</v>
      </c>
      <c r="J299" s="10">
        <v>0.50262812496729803</v>
      </c>
      <c r="K299" s="29">
        <v>0.98289565623980701</v>
      </c>
    </row>
    <row r="300" spans="1:11" x14ac:dyDescent="0.35">
      <c r="A300" s="9" t="str">
        <f>HYPERLINK("http://www.ensembl.org/id/WBGene00000655", "WBGene00000655")</f>
        <v>WBGene00000655</v>
      </c>
      <c r="B300" s="9" t="str">
        <f>HYPERLINK("http://www.ncbi.nlm.nih.gov/gene/174650", "174650")</f>
        <v>174650</v>
      </c>
      <c r="C300" s="9"/>
      <c r="D300" t="str">
        <f>"col-79"</f>
        <v>col-79</v>
      </c>
      <c r="E300" t="s">
        <v>4218</v>
      </c>
      <c r="F300" t="s">
        <v>11</v>
      </c>
      <c r="G300" t="s">
        <v>152</v>
      </c>
      <c r="H300" s="12">
        <v>9.5215001458148301</v>
      </c>
      <c r="I300" s="11">
        <v>0.67036031720767997</v>
      </c>
      <c r="J300" s="10">
        <v>0.50262812496729803</v>
      </c>
      <c r="K300" s="29">
        <v>0.98289565623980701</v>
      </c>
    </row>
    <row r="301" spans="1:11" x14ac:dyDescent="0.35">
      <c r="A301" s="9" t="str">
        <f>HYPERLINK("http://www.ensembl.org/id/WBGene00196842", "WBGene00196842")</f>
        <v>WBGene00196842</v>
      </c>
      <c r="B301" s="9"/>
      <c r="C301" s="9"/>
      <c r="D301" t="str">
        <f>"DH11.7"</f>
        <v>DH11.7</v>
      </c>
      <c r="F301" t="s">
        <v>481</v>
      </c>
      <c r="H301" s="12">
        <v>9.5215001458148301</v>
      </c>
      <c r="I301" s="11">
        <v>0.67036031720767997</v>
      </c>
      <c r="J301" s="10">
        <v>0.50262812496729803</v>
      </c>
      <c r="K301" s="29">
        <v>0.98289565623980701</v>
      </c>
    </row>
    <row r="302" spans="1:11" x14ac:dyDescent="0.35">
      <c r="A302" s="9" t="str">
        <f>HYPERLINK("http://www.ensembl.org/id/WBGene00044424", "WBGene00044424")</f>
        <v>WBGene00044424</v>
      </c>
      <c r="B302" s="9" t="str">
        <f>HYPERLINK("http://www.ncbi.nlm.nih.gov/gene/3565331", "3565331")</f>
        <v>3565331</v>
      </c>
      <c r="C302" s="9"/>
      <c r="D302" t="str">
        <f>"F54D12.10"</f>
        <v>F54D12.10</v>
      </c>
      <c r="F302" t="s">
        <v>11</v>
      </c>
      <c r="H302" s="12">
        <v>9.5215001458148301</v>
      </c>
      <c r="I302" s="11">
        <v>0.67036031720767997</v>
      </c>
      <c r="J302" s="10">
        <v>0.50262812496729803</v>
      </c>
      <c r="K302" s="29">
        <v>0.98289565623980701</v>
      </c>
    </row>
    <row r="303" spans="1:11" x14ac:dyDescent="0.35">
      <c r="A303" s="9" t="str">
        <f>HYPERLINK("http://www.ensembl.org/id/WBGene00196946", "WBGene00196946")</f>
        <v>WBGene00196946</v>
      </c>
      <c r="B303" s="9"/>
      <c r="C303" s="9"/>
      <c r="D303" t="str">
        <f>"F57C7.8"</f>
        <v>F57C7.8</v>
      </c>
      <c r="F303" t="s">
        <v>481</v>
      </c>
      <c r="H303" s="12">
        <v>9.5215001458148301</v>
      </c>
      <c r="I303" s="11">
        <v>0.67036031720767997</v>
      </c>
      <c r="J303" s="10">
        <v>0.50262812496729803</v>
      </c>
      <c r="K303" s="29">
        <v>0.98289565623980701</v>
      </c>
    </row>
    <row r="304" spans="1:11" x14ac:dyDescent="0.35">
      <c r="A304" s="9" t="str">
        <f>HYPERLINK("http://www.ensembl.org/id/WBGene00002115", "WBGene00002115")</f>
        <v>WBGene00002115</v>
      </c>
      <c r="B304" s="9" t="str">
        <f>HYPERLINK("http://www.ncbi.nlm.nih.gov/gene/189403", "189403")</f>
        <v>189403</v>
      </c>
      <c r="C304" s="9"/>
      <c r="D304" t="str">
        <f>"ins-32"</f>
        <v>ins-32</v>
      </c>
      <c r="E304" t="s">
        <v>12</v>
      </c>
      <c r="F304" t="s">
        <v>11</v>
      </c>
      <c r="G304" t="s">
        <v>13</v>
      </c>
      <c r="H304" s="12">
        <v>9.5215001458148301</v>
      </c>
      <c r="I304" s="11">
        <v>0.67036031720767997</v>
      </c>
      <c r="J304" s="10">
        <v>0.50262812496729803</v>
      </c>
      <c r="K304" s="29">
        <v>0.98289565623980701</v>
      </c>
    </row>
    <row r="305" spans="1:11" x14ac:dyDescent="0.35">
      <c r="A305" s="9" t="str">
        <f>HYPERLINK("http://www.ensembl.org/id/WBGene00219227", "WBGene00219227")</f>
        <v>WBGene00219227</v>
      </c>
      <c r="B305" s="9"/>
      <c r="C305" s="9"/>
      <c r="D305" t="str">
        <f>"mir-4932"</f>
        <v>mir-4932</v>
      </c>
      <c r="F305" t="s">
        <v>1486</v>
      </c>
      <c r="H305" s="12">
        <v>9.5215001458148301</v>
      </c>
      <c r="I305" s="11">
        <v>0.67036031720767997</v>
      </c>
      <c r="J305" s="10">
        <v>0.50262812496729803</v>
      </c>
      <c r="K305" s="29">
        <v>0.98289565623980701</v>
      </c>
    </row>
    <row r="306" spans="1:11" x14ac:dyDescent="0.35">
      <c r="A306" s="9" t="str">
        <f>HYPERLINK("http://www.ensembl.org/id/WBGene00200514", "WBGene00200514")</f>
        <v>WBGene00200514</v>
      </c>
      <c r="B306" s="9"/>
      <c r="C306" s="9"/>
      <c r="D306" t="str">
        <f>"R07G3.14"</f>
        <v>R07G3.14</v>
      </c>
      <c r="F306" t="s">
        <v>481</v>
      </c>
      <c r="H306" s="12">
        <v>9.5215001458148301</v>
      </c>
      <c r="I306" s="11">
        <v>0.67036031720767997</v>
      </c>
      <c r="J306" s="10">
        <v>0.50262812496729803</v>
      </c>
      <c r="K306" s="29">
        <v>0.98289565623980701</v>
      </c>
    </row>
    <row r="307" spans="1:11" x14ac:dyDescent="0.35">
      <c r="A307" s="9" t="str">
        <f>HYPERLINK("http://www.ensembl.org/id/WBGene00005173", "WBGene00005173")</f>
        <v>WBGene00005173</v>
      </c>
      <c r="B307" s="9" t="str">
        <f>HYPERLINK("http://www.ncbi.nlm.nih.gov/gene/184513", "184513")</f>
        <v>184513</v>
      </c>
      <c r="C307" s="9"/>
      <c r="D307" t="str">
        <f>"srg-16"</f>
        <v>srg-16</v>
      </c>
      <c r="E307" t="s">
        <v>4219</v>
      </c>
      <c r="F307" t="s">
        <v>11</v>
      </c>
      <c r="G307" t="s">
        <v>1829</v>
      </c>
      <c r="H307" s="12">
        <v>9.5215001458148301</v>
      </c>
      <c r="I307" s="11">
        <v>0.67036031720767997</v>
      </c>
      <c r="J307" s="10">
        <v>0.50262812496729803</v>
      </c>
      <c r="K307" s="29">
        <v>0.98289565623980701</v>
      </c>
    </row>
    <row r="308" spans="1:11" x14ac:dyDescent="0.35">
      <c r="A308" s="9" t="str">
        <f>HYPERLINK("http://www.ensembl.org/id/WBGene00005393", "WBGene00005393")</f>
        <v>WBGene00005393</v>
      </c>
      <c r="B308" s="9" t="str">
        <f>HYPERLINK("http://www.ncbi.nlm.nih.gov/gene/191255", "191255")</f>
        <v>191255</v>
      </c>
      <c r="C308" s="9"/>
      <c r="D308" t="str">
        <f>"srh-178"</f>
        <v>srh-178</v>
      </c>
      <c r="E308" t="s">
        <v>153</v>
      </c>
      <c r="F308" t="s">
        <v>11</v>
      </c>
      <c r="G308" t="s">
        <v>25</v>
      </c>
      <c r="H308" s="12">
        <v>9.5215001458148301</v>
      </c>
      <c r="I308" s="11">
        <v>0.67036031720767997</v>
      </c>
      <c r="J308" s="10">
        <v>0.50262812496729803</v>
      </c>
      <c r="K308" s="29">
        <v>0.98289565623980701</v>
      </c>
    </row>
    <row r="309" spans="1:11" x14ac:dyDescent="0.35">
      <c r="A309" s="9" t="str">
        <f>HYPERLINK("http://www.ensembl.org/id/WBGene00005282", "WBGene00005282")</f>
        <v>WBGene00005282</v>
      </c>
      <c r="B309" s="9" t="str">
        <f>HYPERLINK("http://www.ncbi.nlm.nih.gov/gene/191866", "191866")</f>
        <v>191866</v>
      </c>
      <c r="C309" s="9"/>
      <c r="D309" t="str">
        <f>"srh-60"</f>
        <v>srh-60</v>
      </c>
      <c r="E309" t="s">
        <v>153</v>
      </c>
      <c r="F309" t="s">
        <v>11</v>
      </c>
      <c r="G309" t="s">
        <v>25</v>
      </c>
      <c r="H309" s="12">
        <v>9.5215001458148301</v>
      </c>
      <c r="I309" s="11">
        <v>0.67036031720767997</v>
      </c>
      <c r="J309" s="10">
        <v>0.50262812496729803</v>
      </c>
      <c r="K309" s="29">
        <v>0.98289565623980701</v>
      </c>
    </row>
    <row r="310" spans="1:11" x14ac:dyDescent="0.35">
      <c r="A310" s="9" t="str">
        <f>HYPERLINK("http://www.ensembl.org/id/WBGene00044936", "WBGene00044936")</f>
        <v>WBGene00044936</v>
      </c>
      <c r="B310" s="9"/>
      <c r="C310" s="9"/>
      <c r="D310" t="str">
        <f>"T24H7.6"</f>
        <v>T24H7.6</v>
      </c>
      <c r="F310" t="s">
        <v>2977</v>
      </c>
      <c r="H310" s="12">
        <v>9.5215001458148301</v>
      </c>
      <c r="I310" s="11">
        <v>0.67036031720767997</v>
      </c>
      <c r="J310" s="10">
        <v>0.50262812496729803</v>
      </c>
      <c r="K310" s="29">
        <v>0.98289565623980701</v>
      </c>
    </row>
    <row r="311" spans="1:11" x14ac:dyDescent="0.35">
      <c r="A311" s="9" t="str">
        <f>HYPERLINK("http://www.ensembl.org/id/WBGene00200160", "WBGene00200160")</f>
        <v>WBGene00200160</v>
      </c>
      <c r="B311" s="9"/>
      <c r="C311" s="9"/>
      <c r="D311" t="str">
        <f>"T28B11.17"</f>
        <v>T28B11.17</v>
      </c>
      <c r="F311" t="s">
        <v>481</v>
      </c>
      <c r="H311" s="12">
        <v>9.5215001458148301</v>
      </c>
      <c r="I311" s="11">
        <v>0.67036031720767997</v>
      </c>
      <c r="J311" s="10">
        <v>0.50262812496729803</v>
      </c>
      <c r="K311" s="29">
        <v>0.98289565623980701</v>
      </c>
    </row>
    <row r="312" spans="1:11" x14ac:dyDescent="0.35">
      <c r="A312" s="9" t="str">
        <f>HYPERLINK("http://www.ensembl.org/id/WBGene00199669", "WBGene00199669")</f>
        <v>WBGene00199669</v>
      </c>
      <c r="B312" s="9"/>
      <c r="C312" s="9"/>
      <c r="D312" t="str">
        <f>"Y54E10A.25"</f>
        <v>Y54E10A.25</v>
      </c>
      <c r="F312" t="s">
        <v>481</v>
      </c>
      <c r="H312" s="12">
        <v>9.5215001458148301</v>
      </c>
      <c r="I312" s="11">
        <v>0.67036031720767997</v>
      </c>
      <c r="J312" s="10">
        <v>0.50262812496729803</v>
      </c>
      <c r="K312" s="29">
        <v>0.98289565623980701</v>
      </c>
    </row>
    <row r="313" spans="1:11" x14ac:dyDescent="0.35">
      <c r="A313" s="9" t="str">
        <f>HYPERLINK("http://www.ensembl.org/id/WBGene00173298", "WBGene00173298")</f>
        <v>WBGene00173298</v>
      </c>
      <c r="B313" s="9"/>
      <c r="C313" s="9"/>
      <c r="D313" t="str">
        <f>"21ur-13032"</f>
        <v>21ur-13032</v>
      </c>
      <c r="F313" t="s">
        <v>3161</v>
      </c>
      <c r="H313" s="12">
        <v>9.4110591470243694</v>
      </c>
      <c r="I313" s="11">
        <v>0.96947588215194203</v>
      </c>
      <c r="J313" s="10">
        <v>0.332307807856976</v>
      </c>
      <c r="K313" s="29">
        <v>0.98289565623980701</v>
      </c>
    </row>
    <row r="314" spans="1:11" x14ac:dyDescent="0.35">
      <c r="A314" s="9" t="str">
        <f>HYPERLINK("http://www.ensembl.org/id/WBGene00003703", "WBGene00003703")</f>
        <v>WBGene00003703</v>
      </c>
      <c r="B314" s="9" t="str">
        <f>HYPERLINK("http://www.ncbi.nlm.nih.gov/gene/173033", "173033")</f>
        <v>173033</v>
      </c>
      <c r="C314" s="9"/>
      <c r="D314" t="str">
        <f>"nhr-113"</f>
        <v>nhr-113</v>
      </c>
      <c r="E314" t="s">
        <v>637</v>
      </c>
      <c r="F314" t="s">
        <v>11</v>
      </c>
      <c r="G314" t="s">
        <v>1073</v>
      </c>
      <c r="H314" s="12">
        <v>9.4080918137734706</v>
      </c>
      <c r="I314" s="11">
        <v>1.5019168710600099</v>
      </c>
      <c r="J314" s="10">
        <v>0.13311857894380899</v>
      </c>
      <c r="K314" s="29">
        <v>0.81996367013069704</v>
      </c>
    </row>
    <row r="315" spans="1:11" x14ac:dyDescent="0.35">
      <c r="A315" s="9" t="str">
        <f>HYPERLINK("http://www.ensembl.org/id/WBGene00015049", "WBGene00015049")</f>
        <v>WBGene00015049</v>
      </c>
      <c r="B315" s="9" t="str">
        <f>HYPERLINK("http://www.ncbi.nlm.nih.gov/gene/181853", "181853")</f>
        <v>181853</v>
      </c>
      <c r="C315" s="9"/>
      <c r="D315" t="str">
        <f>"B0218.5"</f>
        <v>B0218.5</v>
      </c>
      <c r="F315" t="s">
        <v>11</v>
      </c>
      <c r="G315" t="s">
        <v>961</v>
      </c>
      <c r="H315" s="12">
        <v>9.3915029964188701</v>
      </c>
      <c r="I315" s="11">
        <v>2.5646470235987602</v>
      </c>
      <c r="J315" s="10">
        <v>1.03280812870314E-2</v>
      </c>
      <c r="K315" s="29">
        <v>0.19979465977307201</v>
      </c>
    </row>
    <row r="316" spans="1:11" x14ac:dyDescent="0.35">
      <c r="A316" s="9" t="str">
        <f>HYPERLINK("http://www.ensembl.org/id/WBGene00219955", "WBGene00219955")</f>
        <v>WBGene00219955</v>
      </c>
      <c r="B316" s="9"/>
      <c r="C316" s="9"/>
      <c r="D316" t="str">
        <f>"F48A9.6"</f>
        <v>F48A9.6</v>
      </c>
      <c r="F316" t="s">
        <v>2977</v>
      </c>
      <c r="H316" s="12">
        <v>9.3823544436649193</v>
      </c>
      <c r="I316" s="11">
        <v>1.30747167177125</v>
      </c>
      <c r="J316" s="10">
        <v>0.19105256975492699</v>
      </c>
      <c r="K316" s="29">
        <v>0.93082693391986804</v>
      </c>
    </row>
    <row r="317" spans="1:11" x14ac:dyDescent="0.35">
      <c r="A317" s="9" t="str">
        <f>HYPERLINK("http://www.ensembl.org/id/WBGene00015500", "WBGene00015500")</f>
        <v>WBGene00015500</v>
      </c>
      <c r="B317" s="9" t="str">
        <f>HYPERLINK("http://www.ncbi.nlm.nih.gov/gene/182281", "182281")</f>
        <v>182281</v>
      </c>
      <c r="C317" s="9"/>
      <c r="D317" t="str">
        <f>"C06A5.2"</f>
        <v>C06A5.2</v>
      </c>
      <c r="F317" t="s">
        <v>11</v>
      </c>
      <c r="H317" s="12">
        <v>9.3811398833853499</v>
      </c>
      <c r="I317" s="11">
        <v>1.16827250735105</v>
      </c>
      <c r="J317" s="10">
        <v>0.242696861348358</v>
      </c>
      <c r="K317" s="29">
        <v>0.98289565623980701</v>
      </c>
    </row>
    <row r="318" spans="1:11" x14ac:dyDescent="0.35">
      <c r="A318" s="9" t="str">
        <f>HYPERLINK("http://www.ensembl.org/id/WBGene00196797", "WBGene00196797")</f>
        <v>WBGene00196797</v>
      </c>
      <c r="B318" s="9"/>
      <c r="C318" s="9"/>
      <c r="D318" t="str">
        <f>"C02D4.5"</f>
        <v>C02D4.5</v>
      </c>
      <c r="F318" t="s">
        <v>481</v>
      </c>
      <c r="H318" s="12">
        <v>9.3459174239033302</v>
      </c>
      <c r="I318" s="11">
        <v>0.96691633283494904</v>
      </c>
      <c r="J318" s="10">
        <v>0.33358586104585303</v>
      </c>
      <c r="K318" s="29">
        <v>0.98289565623980701</v>
      </c>
    </row>
    <row r="319" spans="1:11" x14ac:dyDescent="0.35">
      <c r="A319" s="9" t="str">
        <f>HYPERLINK("http://www.ensembl.org/id/WBGene00050891", "WBGene00050891")</f>
        <v>WBGene00050891</v>
      </c>
      <c r="B319" s="9" t="str">
        <f>HYPERLINK("http://www.ncbi.nlm.nih.gov/gene/6418692", "6418692")</f>
        <v>6418692</v>
      </c>
      <c r="C319" s="9"/>
      <c r="D319" t="str">
        <f>"C08E8.9"</f>
        <v>C08E8.9</v>
      </c>
      <c r="F319" t="s">
        <v>11</v>
      </c>
      <c r="H319" s="12">
        <v>9.3459174239033302</v>
      </c>
      <c r="I319" s="11">
        <v>0.96691633283494904</v>
      </c>
      <c r="J319" s="10">
        <v>0.33358586104585303</v>
      </c>
      <c r="K319" s="29">
        <v>0.98289565623980701</v>
      </c>
    </row>
    <row r="320" spans="1:11" x14ac:dyDescent="0.35">
      <c r="A320" s="9" t="str">
        <f>HYPERLINK("http://www.ensembl.org/id/WBGene00219814", "WBGene00219814")</f>
        <v>WBGene00219814</v>
      </c>
      <c r="B320" s="9"/>
      <c r="C320" s="9"/>
      <c r="D320" t="str">
        <f>"C14A11.14"</f>
        <v>C14A11.14</v>
      </c>
      <c r="F320" t="s">
        <v>481</v>
      </c>
      <c r="H320" s="12">
        <v>9.3459174239033302</v>
      </c>
      <c r="I320" s="11">
        <v>0.96691633283494904</v>
      </c>
      <c r="J320" s="10">
        <v>0.33358586104585303</v>
      </c>
      <c r="K320" s="29">
        <v>0.98289565623980701</v>
      </c>
    </row>
    <row r="321" spans="1:11" x14ac:dyDescent="0.35">
      <c r="A321" s="9" t="str">
        <f>HYPERLINK("http://www.ensembl.org/id/WBGene00013175", "WBGene00013175")</f>
        <v>WBGene00013175</v>
      </c>
      <c r="B321" s="9" t="str">
        <f>HYPERLINK("http://www.ncbi.nlm.nih.gov/gene/190229", "190229")</f>
        <v>190229</v>
      </c>
      <c r="C321" s="9"/>
      <c r="D321" t="str">
        <f>"Y53F4B.36"</f>
        <v>Y53F4B.36</v>
      </c>
      <c r="F321" t="s">
        <v>11</v>
      </c>
      <c r="H321" s="12">
        <v>9.3362896129311999</v>
      </c>
      <c r="I321" s="11">
        <v>1.1506829034377499</v>
      </c>
      <c r="J321" s="10">
        <v>0.24986271254133</v>
      </c>
      <c r="K321" s="29">
        <v>0.98289565623980701</v>
      </c>
    </row>
    <row r="322" spans="1:11" x14ac:dyDescent="0.35">
      <c r="A322" s="9" t="str">
        <f>HYPERLINK("http://www.ensembl.org/id/WBGene00200511", "WBGene00200511")</f>
        <v>WBGene00200511</v>
      </c>
      <c r="B322" s="9"/>
      <c r="C322" s="9"/>
      <c r="D322" t="str">
        <f>"R04B3.7"</f>
        <v>R04B3.7</v>
      </c>
      <c r="F322" t="s">
        <v>481</v>
      </c>
      <c r="H322" s="12">
        <v>9.3071793259723705</v>
      </c>
      <c r="I322" s="11">
        <v>1.3143135077068</v>
      </c>
      <c r="J322" s="10">
        <v>0.18874072346510601</v>
      </c>
      <c r="K322" s="29">
        <v>0.92698805350409297</v>
      </c>
    </row>
    <row r="323" spans="1:11" x14ac:dyDescent="0.35">
      <c r="A323" s="9" t="str">
        <f>HYPERLINK("http://www.ensembl.org/id/WBGene00009611", "WBGene00009611")</f>
        <v>WBGene00009611</v>
      </c>
      <c r="B323" s="9" t="str">
        <f>HYPERLINK("http://www.ncbi.nlm.nih.gov/gene/185606", "185606")</f>
        <v>185606</v>
      </c>
      <c r="C323" s="9"/>
      <c r="D323" t="str">
        <f>"F41D3.6"</f>
        <v>F41D3.6</v>
      </c>
      <c r="F323" t="s">
        <v>11</v>
      </c>
      <c r="G323" t="s">
        <v>4220</v>
      </c>
      <c r="H323" s="12">
        <v>9.2967262476284596</v>
      </c>
      <c r="I323" s="11">
        <v>1.1300136551705899</v>
      </c>
      <c r="J323" s="10">
        <v>0.25847047063013001</v>
      </c>
      <c r="K323" s="29">
        <v>0.98289565623980701</v>
      </c>
    </row>
    <row r="324" spans="1:11" x14ac:dyDescent="0.35">
      <c r="A324" s="9" t="str">
        <f>HYPERLINK("http://www.ensembl.org/id/WBGene00014511", "WBGene00014511")</f>
        <v>WBGene00014511</v>
      </c>
      <c r="B324" s="9"/>
      <c r="C324" s="9"/>
      <c r="D324" t="str">
        <f>"T08G5.11"</f>
        <v>T08G5.11</v>
      </c>
      <c r="F324" t="s">
        <v>4205</v>
      </c>
      <c r="H324" s="12">
        <v>9.2967262476284596</v>
      </c>
      <c r="I324" s="11">
        <v>1.1300136551705899</v>
      </c>
      <c r="J324" s="10">
        <v>0.25847047063013001</v>
      </c>
      <c r="K324" s="29">
        <v>0.98289565623980701</v>
      </c>
    </row>
    <row r="325" spans="1:11" x14ac:dyDescent="0.35">
      <c r="A325" s="9" t="str">
        <f>HYPERLINK("http://www.ensembl.org/id/WBGene00019386", "WBGene00019386")</f>
        <v>WBGene00019386</v>
      </c>
      <c r="B325" s="9" t="str">
        <f>HYPERLINK("http://www.ncbi.nlm.nih.gov/gene/186993", "186993")</f>
        <v>186993</v>
      </c>
      <c r="C325" s="9"/>
      <c r="D325" t="str">
        <f>"irld-42"</f>
        <v>irld-42</v>
      </c>
      <c r="E325" t="s">
        <v>1627</v>
      </c>
      <c r="F325" t="s">
        <v>11</v>
      </c>
      <c r="H325" s="12">
        <v>9.2455261317335005</v>
      </c>
      <c r="I325" s="11">
        <v>1.17211150130759</v>
      </c>
      <c r="J325" s="10">
        <v>0.241152292896024</v>
      </c>
      <c r="K325" s="29">
        <v>0.98289565623980701</v>
      </c>
    </row>
    <row r="326" spans="1:11" x14ac:dyDescent="0.35">
      <c r="A326" s="9" t="str">
        <f>HYPERLINK("http://www.ensembl.org/id/WBGene00003641", "WBGene00003641")</f>
        <v>WBGene00003641</v>
      </c>
      <c r="B326" s="9" t="str">
        <f>HYPERLINK("http://www.ncbi.nlm.nih.gov/gene/180052", "180052")</f>
        <v>180052</v>
      </c>
      <c r="C326" s="9"/>
      <c r="D326" t="str">
        <f>"nhr-51"</f>
        <v>nhr-51</v>
      </c>
      <c r="E326" t="s">
        <v>4221</v>
      </c>
      <c r="F326" t="s">
        <v>11</v>
      </c>
      <c r="G326" t="s">
        <v>852</v>
      </c>
      <c r="H326" s="12">
        <v>9.2455261317335005</v>
      </c>
      <c r="I326" s="11">
        <v>1.17211150130759</v>
      </c>
      <c r="J326" s="10">
        <v>0.241152292896024</v>
      </c>
      <c r="K326" s="29">
        <v>0.98289565623980701</v>
      </c>
    </row>
    <row r="327" spans="1:11" x14ac:dyDescent="0.35">
      <c r="A327" s="9" t="str">
        <f>HYPERLINK("http://www.ensembl.org/id/WBGene00014674", "WBGene00014674")</f>
        <v>WBGene00014674</v>
      </c>
      <c r="B327" s="9"/>
      <c r="C327" s="9"/>
      <c r="D327" t="str">
        <f>"C12D8.2"</f>
        <v>C12D8.2</v>
      </c>
      <c r="F327" t="s">
        <v>80</v>
      </c>
      <c r="H327" s="12">
        <v>9.2280242723947694</v>
      </c>
      <c r="I327" s="11">
        <v>1.4960154721381</v>
      </c>
      <c r="J327" s="10">
        <v>0.13464962330743099</v>
      </c>
      <c r="K327" s="29">
        <v>0.82412987827234196</v>
      </c>
    </row>
    <row r="328" spans="1:11" x14ac:dyDescent="0.35">
      <c r="A328" s="9" t="str">
        <f>HYPERLINK("http://www.ensembl.org/id/WBGene00008028", "WBGene00008028")</f>
        <v>WBGene00008028</v>
      </c>
      <c r="B328" s="9" t="str">
        <f>HYPERLINK("http://www.ncbi.nlm.nih.gov/gene/183343", "183343")</f>
        <v>183343</v>
      </c>
      <c r="C328" s="9"/>
      <c r="D328" t="str">
        <f>"scl-6"</f>
        <v>scl-6</v>
      </c>
      <c r="E328" t="s">
        <v>162</v>
      </c>
      <c r="F328" t="s">
        <v>11</v>
      </c>
      <c r="G328" t="s">
        <v>63</v>
      </c>
      <c r="H328" s="12">
        <v>9.1890774438490901</v>
      </c>
      <c r="I328" s="11">
        <v>0.780439195687054</v>
      </c>
      <c r="J328" s="10">
        <v>0.43513240445527901</v>
      </c>
      <c r="K328" s="29">
        <v>0.98289565623980701</v>
      </c>
    </row>
    <row r="329" spans="1:11" x14ac:dyDescent="0.35">
      <c r="A329" s="9" t="str">
        <f>HYPERLINK("http://www.ensembl.org/id/WBGene00005290", "WBGene00005290")</f>
        <v>WBGene00005290</v>
      </c>
      <c r="B329" s="9" t="str">
        <f>HYPERLINK("http://www.ncbi.nlm.nih.gov/gene/188676", "188676")</f>
        <v>188676</v>
      </c>
      <c r="C329" s="9"/>
      <c r="D329" t="str">
        <f>"srh-69"</f>
        <v>srh-69</v>
      </c>
      <c r="E329" t="s">
        <v>153</v>
      </c>
      <c r="F329" t="s">
        <v>11</v>
      </c>
      <c r="G329" t="s">
        <v>25</v>
      </c>
      <c r="H329" s="12">
        <v>9.1835585310595604</v>
      </c>
      <c r="I329" s="11">
        <v>1.2660208875146499</v>
      </c>
      <c r="J329" s="10">
        <v>0.205505604227017</v>
      </c>
      <c r="K329" s="29">
        <v>0.954184706708602</v>
      </c>
    </row>
    <row r="330" spans="1:11" x14ac:dyDescent="0.35">
      <c r="A330" s="9" t="str">
        <f>HYPERLINK("http://www.ensembl.org/id/WBGene00005937", "WBGene00005937")</f>
        <v>WBGene00005937</v>
      </c>
      <c r="B330" s="9" t="str">
        <f>HYPERLINK("http://www.ncbi.nlm.nih.gov/gene/183984", "183984")</f>
        <v>183984</v>
      </c>
      <c r="C330" s="9"/>
      <c r="D330" t="str">
        <f>"srx-46"</f>
        <v>srx-46</v>
      </c>
      <c r="E330" t="s">
        <v>1477</v>
      </c>
      <c r="F330" t="s">
        <v>11</v>
      </c>
      <c r="G330" t="s">
        <v>25</v>
      </c>
      <c r="H330" s="12">
        <v>9.0991021730119499</v>
      </c>
      <c r="I330" s="11">
        <v>1.6630520602553001</v>
      </c>
      <c r="J330" s="10">
        <v>9.6302014914002795E-2</v>
      </c>
      <c r="K330" s="29">
        <v>0.71805500033996905</v>
      </c>
    </row>
    <row r="331" spans="1:11" x14ac:dyDescent="0.35">
      <c r="A331" s="9" t="str">
        <f>HYPERLINK("http://www.ensembl.org/id/WBGene00000821", "WBGene00000821")</f>
        <v>WBGene00000821</v>
      </c>
      <c r="B331" s="9" t="str">
        <f>HYPERLINK("http://www.ncbi.nlm.nih.gov/gene/190006", "190006")</f>
        <v>190006</v>
      </c>
      <c r="C331" s="9"/>
      <c r="D331" t="str">
        <f>"csp-3"</f>
        <v>csp-3</v>
      </c>
      <c r="E331" t="s">
        <v>4222</v>
      </c>
      <c r="F331" t="s">
        <v>11</v>
      </c>
      <c r="G331" t="s">
        <v>4223</v>
      </c>
      <c r="H331" s="12">
        <v>9.0772675303053596</v>
      </c>
      <c r="I331" s="11">
        <v>1.10816595108518</v>
      </c>
      <c r="J331" s="10">
        <v>0.26779015266961897</v>
      </c>
      <c r="K331" s="29">
        <v>0.98289565623980701</v>
      </c>
    </row>
    <row r="332" spans="1:11" x14ac:dyDescent="0.35">
      <c r="A332" s="9" t="str">
        <f>HYPERLINK("http://www.ensembl.org/id/WBGene00011548", "WBGene00011548")</f>
        <v>WBGene00011548</v>
      </c>
      <c r="B332" s="9" t="str">
        <f>HYPERLINK("http://www.ncbi.nlm.nih.gov/gene/188198", "188198")</f>
        <v>188198</v>
      </c>
      <c r="C332" s="9"/>
      <c r="D332" t="str">
        <f>"T06G6.6"</f>
        <v>T06G6.6</v>
      </c>
      <c r="F332" t="s">
        <v>11</v>
      </c>
      <c r="H332" s="12">
        <v>9.0518599451313708</v>
      </c>
      <c r="I332" s="11">
        <v>1.7365877646785</v>
      </c>
      <c r="J332" s="10">
        <v>8.2459960719862294E-2</v>
      </c>
      <c r="K332" s="29">
        <v>0.67612485890459195</v>
      </c>
    </row>
    <row r="333" spans="1:11" x14ac:dyDescent="0.35">
      <c r="A333" s="9" t="str">
        <f>HYPERLINK("http://www.ensembl.org/id/WBGene00235333", "WBGene00235333")</f>
        <v>WBGene00235333</v>
      </c>
      <c r="B333" s="9" t="str">
        <f>HYPERLINK("http://www.ncbi.nlm.nih.gov/gene/24104244", "24104244")</f>
        <v>24104244</v>
      </c>
      <c r="C333" s="9"/>
      <c r="D333" t="str">
        <f>"C24H12.18"</f>
        <v>C24H12.18</v>
      </c>
      <c r="F333" t="s">
        <v>11</v>
      </c>
      <c r="G333" t="s">
        <v>25</v>
      </c>
      <c r="H333" s="12">
        <v>9.0346102393887193</v>
      </c>
      <c r="I333" s="11">
        <v>0.77516044528280603</v>
      </c>
      <c r="J333" s="10">
        <v>0.43824485792496798</v>
      </c>
      <c r="K333" s="29">
        <v>0.98289565623980701</v>
      </c>
    </row>
    <row r="334" spans="1:11" x14ac:dyDescent="0.35">
      <c r="A334" s="9" t="str">
        <f>HYPERLINK("http://www.ensembl.org/id/WBGene00006255", "WBGene00006255")</f>
        <v>WBGene00006255</v>
      </c>
      <c r="B334" s="9"/>
      <c r="C334" s="9"/>
      <c r="D334" t="str">
        <f>"str-224"</f>
        <v>str-224</v>
      </c>
      <c r="F334" t="s">
        <v>80</v>
      </c>
      <c r="H334" s="12">
        <v>8.9179852905274206</v>
      </c>
      <c r="I334" s="11">
        <v>0.98367766382324096</v>
      </c>
      <c r="J334" s="10">
        <v>0.32527402552801399</v>
      </c>
      <c r="K334" s="29">
        <v>0.98289565623980701</v>
      </c>
    </row>
    <row r="335" spans="1:11" x14ac:dyDescent="0.35">
      <c r="A335" s="9" t="str">
        <f>HYPERLINK("http://www.ensembl.org/id/WBGene00022070", "WBGene00022070")</f>
        <v>WBGene00022070</v>
      </c>
      <c r="B335" s="9" t="str">
        <f>HYPERLINK("http://www.ncbi.nlm.nih.gov/gene/190520", "190520")</f>
        <v>190520</v>
      </c>
      <c r="C335" s="9"/>
      <c r="D335" t="str">
        <f>"Y67D8C.6"</f>
        <v>Y67D8C.6</v>
      </c>
      <c r="F335" t="s">
        <v>11</v>
      </c>
      <c r="G335" t="s">
        <v>25</v>
      </c>
      <c r="H335" s="12">
        <v>8.9141069551506007</v>
      </c>
      <c r="I335" s="11">
        <v>1.09293663776424</v>
      </c>
      <c r="J335" s="10">
        <v>0.27442162062791903</v>
      </c>
      <c r="K335" s="29">
        <v>0.98289565623980701</v>
      </c>
    </row>
    <row r="336" spans="1:11" x14ac:dyDescent="0.35">
      <c r="A336" s="9" t="str">
        <f>HYPERLINK("http://www.ensembl.org/id/WBGene00165192", "WBGene00165192")</f>
        <v>WBGene00165192</v>
      </c>
      <c r="B336" s="9"/>
      <c r="C336" s="9"/>
      <c r="D336" t="str">
        <f>"21ur-12224"</f>
        <v>21ur-12224</v>
      </c>
      <c r="F336" t="s">
        <v>3161</v>
      </c>
      <c r="H336" s="12">
        <v>8.8964975156847093</v>
      </c>
      <c r="I336" s="11">
        <v>0.93656606115315499</v>
      </c>
      <c r="J336" s="10">
        <v>0.34898181658594901</v>
      </c>
      <c r="K336" s="29">
        <v>0.98289565623980701</v>
      </c>
    </row>
    <row r="337" spans="1:11" x14ac:dyDescent="0.35">
      <c r="A337" s="9" t="str">
        <f>HYPERLINK("http://www.ensembl.org/id/WBGene00011550", "WBGene00011550")</f>
        <v>WBGene00011550</v>
      </c>
      <c r="B337" s="9"/>
      <c r="C337" s="9"/>
      <c r="D337" t="str">
        <f>"T06G6.11"</f>
        <v>T06G6.11</v>
      </c>
      <c r="F337" t="s">
        <v>80</v>
      </c>
      <c r="H337" s="12">
        <v>8.8964975156847093</v>
      </c>
      <c r="I337" s="11">
        <v>0.93656606115315499</v>
      </c>
      <c r="J337" s="10">
        <v>0.34898181658594901</v>
      </c>
      <c r="K337" s="29">
        <v>0.98289565623980701</v>
      </c>
    </row>
    <row r="338" spans="1:11" x14ac:dyDescent="0.35">
      <c r="A338" s="9" t="str">
        <f>HYPERLINK("http://www.ensembl.org/id/WBGene00020583", "WBGene00020583")</f>
        <v>WBGene00020583</v>
      </c>
      <c r="B338" s="9" t="str">
        <f>HYPERLINK("http://www.ncbi.nlm.nih.gov/gene/174098", "174098")</f>
        <v>174098</v>
      </c>
      <c r="C338" s="9"/>
      <c r="D338" t="str">
        <f>"T19D12.9"</f>
        <v>T19D12.9</v>
      </c>
      <c r="F338" t="s">
        <v>11</v>
      </c>
      <c r="G338" t="s">
        <v>230</v>
      </c>
      <c r="H338" s="12">
        <v>8.8964975156847093</v>
      </c>
      <c r="I338" s="11">
        <v>0.93656606115315499</v>
      </c>
      <c r="J338" s="10">
        <v>0.34898181658594901</v>
      </c>
      <c r="K338" s="29">
        <v>0.98289565623980701</v>
      </c>
    </row>
    <row r="339" spans="1:11" x14ac:dyDescent="0.35">
      <c r="A339" s="9" t="str">
        <f>HYPERLINK("http://www.ensembl.org/id/WBGene00021417", "WBGene00021417")</f>
        <v>WBGene00021417</v>
      </c>
      <c r="B339" s="9" t="str">
        <f>HYPERLINK("http://www.ncbi.nlm.nih.gov/gene/189677", "189677")</f>
        <v>189677</v>
      </c>
      <c r="C339" s="9"/>
      <c r="D339" t="str">
        <f>"nhr-236"</f>
        <v>nhr-236</v>
      </c>
      <c r="E339" t="s">
        <v>637</v>
      </c>
      <c r="F339" t="s">
        <v>11</v>
      </c>
      <c r="G339" t="s">
        <v>638</v>
      </c>
      <c r="H339" s="12">
        <v>8.8384141446968307</v>
      </c>
      <c r="I339" s="11">
        <v>3.0631480716750601</v>
      </c>
      <c r="J339" s="10">
        <v>2.1902165598242898E-3</v>
      </c>
      <c r="K339" s="29">
        <v>6.9392175784287705E-2</v>
      </c>
    </row>
    <row r="340" spans="1:11" x14ac:dyDescent="0.35">
      <c r="A340" s="9" t="str">
        <f>HYPERLINK("http://www.ensembl.org/id/WBGene00018539", "WBGene00018539")</f>
        <v>WBGene00018539</v>
      </c>
      <c r="B340" s="9" t="str">
        <f>HYPERLINK("http://www.ncbi.nlm.nih.gov/gene/185907", "185907")</f>
        <v>185907</v>
      </c>
      <c r="C340" s="9"/>
      <c r="D340" t="str">
        <f>"nhr-185"</f>
        <v>nhr-185</v>
      </c>
      <c r="E340" t="s">
        <v>637</v>
      </c>
      <c r="F340" t="s">
        <v>11</v>
      </c>
      <c r="G340" t="s">
        <v>1073</v>
      </c>
      <c r="H340" s="12">
        <v>8.8262852994867007</v>
      </c>
      <c r="I340" s="11">
        <v>0.96024843751704403</v>
      </c>
      <c r="J340" s="10">
        <v>0.33693019405373398</v>
      </c>
      <c r="K340" s="29">
        <v>0.98289565623980701</v>
      </c>
    </row>
    <row r="341" spans="1:11" x14ac:dyDescent="0.35">
      <c r="A341" s="9" t="str">
        <f>HYPERLINK("http://www.ensembl.org/id/WBGene00016471", "WBGene00016471")</f>
        <v>WBGene00016471</v>
      </c>
      <c r="B341" s="9" t="str">
        <f>HYPERLINK("http://www.ncbi.nlm.nih.gov/gene/183258", "183258")</f>
        <v>183258</v>
      </c>
      <c r="C341" s="9"/>
      <c r="D341" t="str">
        <f>"srab-8"</f>
        <v>srab-8</v>
      </c>
      <c r="E341" t="s">
        <v>4203</v>
      </c>
      <c r="F341" t="s">
        <v>11</v>
      </c>
      <c r="G341" t="s">
        <v>25</v>
      </c>
      <c r="H341" s="12">
        <v>8.8043714811192206</v>
      </c>
      <c r="I341" s="11">
        <v>1.09069163996194</v>
      </c>
      <c r="J341" s="10">
        <v>0.275408590438604</v>
      </c>
      <c r="K341" s="29">
        <v>0.98289565623980701</v>
      </c>
    </row>
    <row r="342" spans="1:11" x14ac:dyDescent="0.35">
      <c r="A342" s="9" t="str">
        <f>HYPERLINK("http://www.ensembl.org/id/WBGene00018541", "WBGene00018541")</f>
        <v>WBGene00018541</v>
      </c>
      <c r="B342" s="9" t="str">
        <f>HYPERLINK("http://www.ncbi.nlm.nih.gov/gene/185909", "185909")</f>
        <v>185909</v>
      </c>
      <c r="C342" s="9"/>
      <c r="D342" t="str">
        <f>"nhr-186"</f>
        <v>nhr-186</v>
      </c>
      <c r="E342" t="s">
        <v>637</v>
      </c>
      <c r="F342" t="s">
        <v>11</v>
      </c>
      <c r="G342" t="s">
        <v>1073</v>
      </c>
      <c r="H342" s="12">
        <v>8.7410806472399205</v>
      </c>
      <c r="I342" s="11">
        <v>1.8357866268929799</v>
      </c>
      <c r="J342" s="10">
        <v>6.6389220071799301E-2</v>
      </c>
      <c r="K342" s="29">
        <v>0.61013851404898101</v>
      </c>
    </row>
    <row r="343" spans="1:11" x14ac:dyDescent="0.35">
      <c r="A343" s="9" t="str">
        <f>HYPERLINK("http://www.ensembl.org/id/WBGene00015991", "WBGene00015991")</f>
        <v>WBGene00015991</v>
      </c>
      <c r="B343" s="9"/>
      <c r="C343" s="9"/>
      <c r="D343" t="str">
        <f>"C18H2.4"</f>
        <v>C18H2.4</v>
      </c>
      <c r="F343" t="s">
        <v>80</v>
      </c>
      <c r="H343" s="12">
        <v>8.6985177127293891</v>
      </c>
      <c r="I343" s="11">
        <v>1.6602119500463499</v>
      </c>
      <c r="J343" s="10">
        <v>9.6871821462898702E-2</v>
      </c>
      <c r="K343" s="29">
        <v>0.72041207168385502</v>
      </c>
    </row>
    <row r="344" spans="1:11" x14ac:dyDescent="0.35">
      <c r="A344" s="9" t="str">
        <f>HYPERLINK("http://www.ensembl.org/id/WBGene00219739", "WBGene00219739")</f>
        <v>WBGene00219739</v>
      </c>
      <c r="B344" s="9"/>
      <c r="C344" s="9"/>
      <c r="D344" t="str">
        <f>"linc-136"</f>
        <v>linc-136</v>
      </c>
      <c r="F344" t="s">
        <v>1510</v>
      </c>
      <c r="H344" s="12">
        <v>8.6612513373528799</v>
      </c>
      <c r="I344" s="11">
        <v>1.20545768926796</v>
      </c>
      <c r="J344" s="10">
        <v>0.22802666240783101</v>
      </c>
      <c r="K344" s="29">
        <v>0.98289565623980701</v>
      </c>
    </row>
    <row r="345" spans="1:11" x14ac:dyDescent="0.35">
      <c r="A345" s="9" t="str">
        <f>HYPERLINK("http://www.ensembl.org/id/WBGene00006191", "WBGene00006191")</f>
        <v>WBGene00006191</v>
      </c>
      <c r="B345" s="9" t="str">
        <f>HYPERLINK("http://www.ncbi.nlm.nih.gov/gene/192014", "192014")</f>
        <v>192014</v>
      </c>
      <c r="C345" s="9"/>
      <c r="D345" t="str">
        <f>"str-144"</f>
        <v>str-144</v>
      </c>
      <c r="E345" t="s">
        <v>590</v>
      </c>
      <c r="F345" t="s">
        <v>11</v>
      </c>
      <c r="G345" t="s">
        <v>591</v>
      </c>
      <c r="H345" s="12">
        <v>8.6598259651002607</v>
      </c>
      <c r="I345" s="11">
        <v>1.3988060801301001</v>
      </c>
      <c r="J345" s="10">
        <v>0.161871142541132</v>
      </c>
      <c r="K345" s="29">
        <v>0.877773907429099</v>
      </c>
    </row>
    <row r="346" spans="1:11" x14ac:dyDescent="0.35">
      <c r="A346" s="9" t="str">
        <f>HYPERLINK("http://www.ensembl.org/id/WBGene00001067", "WBGene00001067")</f>
        <v>WBGene00001067</v>
      </c>
      <c r="B346" s="9" t="str">
        <f>HYPERLINK("http://www.ncbi.nlm.nih.gov/gene/172197", "172197")</f>
        <v>172197</v>
      </c>
      <c r="C346" s="9"/>
      <c r="D346" t="str">
        <f>"dpy-5"</f>
        <v>dpy-5</v>
      </c>
      <c r="E346" t="s">
        <v>558</v>
      </c>
      <c r="F346" t="s">
        <v>11</v>
      </c>
      <c r="G346" t="s">
        <v>152</v>
      </c>
      <c r="H346" s="12">
        <v>8.6509176876059009</v>
      </c>
      <c r="I346" s="11">
        <v>3.1959810206619799</v>
      </c>
      <c r="J346" s="10">
        <v>1.3935627825741399E-3</v>
      </c>
      <c r="K346" s="29">
        <v>5.01894757269606E-2</v>
      </c>
    </row>
    <row r="347" spans="1:11" x14ac:dyDescent="0.35">
      <c r="A347" s="9" t="str">
        <f>HYPERLINK("http://www.ensembl.org/id/WBGene00000651", "WBGene00000651")</f>
        <v>WBGene00000651</v>
      </c>
      <c r="B347" s="9" t="str">
        <f>HYPERLINK("http://www.ncbi.nlm.nih.gov/gene/186968", "186968")</f>
        <v>186968</v>
      </c>
      <c r="C347" s="9"/>
      <c r="D347" t="str">
        <f>"col-75"</f>
        <v>col-75</v>
      </c>
      <c r="E347" t="s">
        <v>2618</v>
      </c>
      <c r="F347" t="s">
        <v>11</v>
      </c>
      <c r="G347" t="s">
        <v>152</v>
      </c>
      <c r="H347" s="12">
        <v>8.6385002129432706</v>
      </c>
      <c r="I347" s="11">
        <v>1.6215192907426901</v>
      </c>
      <c r="J347" s="10">
        <v>0.104906316222806</v>
      </c>
      <c r="K347" s="29">
        <v>0.74675898296153298</v>
      </c>
    </row>
    <row r="348" spans="1:11" x14ac:dyDescent="0.35">
      <c r="A348" s="9" t="str">
        <f>HYPERLINK("http://www.ensembl.org/id/WBGene00019312", "WBGene00019312")</f>
        <v>WBGene00019312</v>
      </c>
      <c r="B348" s="9" t="str">
        <f>HYPERLINK("http://www.ncbi.nlm.nih.gov/gene/186888", "186888")</f>
        <v>186888</v>
      </c>
      <c r="C348" s="9"/>
      <c r="D348" t="str">
        <f>"K02E7.7"</f>
        <v>K02E7.7</v>
      </c>
      <c r="F348" t="s">
        <v>11</v>
      </c>
      <c r="H348" s="12">
        <v>8.6171990479822504</v>
      </c>
      <c r="I348" s="11">
        <v>0.93736304265161197</v>
      </c>
      <c r="J348" s="10">
        <v>0.348571844603079</v>
      </c>
      <c r="K348" s="29">
        <v>0.98289565623980701</v>
      </c>
    </row>
    <row r="349" spans="1:11" x14ac:dyDescent="0.35">
      <c r="A349" s="9" t="str">
        <f>HYPERLINK("http://www.ensembl.org/id/WBGene00044112", "WBGene00044112")</f>
        <v>WBGene00044112</v>
      </c>
      <c r="B349" s="9" t="str">
        <f>HYPERLINK("http://www.ncbi.nlm.nih.gov/gene/3565108", "3565108")</f>
        <v>3565108</v>
      </c>
      <c r="C349" s="9"/>
      <c r="D349" t="str">
        <f>"srm-5"</f>
        <v>srm-5</v>
      </c>
      <c r="E349" t="s">
        <v>3699</v>
      </c>
      <c r="F349" t="s">
        <v>11</v>
      </c>
      <c r="G349" t="s">
        <v>25</v>
      </c>
      <c r="H349" s="12">
        <v>8.5731670508107491</v>
      </c>
      <c r="I349" s="11">
        <v>1.31907585081802</v>
      </c>
      <c r="J349" s="10">
        <v>0.18714375567685201</v>
      </c>
      <c r="K349" s="29">
        <v>0.92558703629806605</v>
      </c>
    </row>
    <row r="350" spans="1:11" x14ac:dyDescent="0.35">
      <c r="A350" s="9" t="str">
        <f>HYPERLINK("http://www.ensembl.org/id/WBGene00014909", "WBGene00014909")</f>
        <v>WBGene00014909</v>
      </c>
      <c r="B350" s="9"/>
      <c r="C350" s="9"/>
      <c r="D350" t="str">
        <f>"Y51B9A.2"</f>
        <v>Y51B9A.2</v>
      </c>
      <c r="F350" t="s">
        <v>80</v>
      </c>
      <c r="H350" s="12">
        <v>8.5695067701336107</v>
      </c>
      <c r="I350" s="11">
        <v>0.89819093461970001</v>
      </c>
      <c r="J350" s="10">
        <v>0.369083765560558</v>
      </c>
      <c r="K350" s="29">
        <v>0.98289565623980701</v>
      </c>
    </row>
    <row r="351" spans="1:11" x14ac:dyDescent="0.35">
      <c r="A351" s="9" t="str">
        <f>HYPERLINK("http://www.ensembl.org/id/WBGene00020381", "WBGene00020381")</f>
        <v>WBGene00020381</v>
      </c>
      <c r="B351" s="9" t="str">
        <f>HYPERLINK("http://www.ncbi.nlm.nih.gov/gene/188318", "188318")</f>
        <v>188318</v>
      </c>
      <c r="C351" s="9"/>
      <c r="D351" t="str">
        <f>"T09B4.7"</f>
        <v>T09B4.7</v>
      </c>
      <c r="F351" t="s">
        <v>11</v>
      </c>
      <c r="G351" t="s">
        <v>444</v>
      </c>
      <c r="H351" s="12">
        <v>8.5378144641287292</v>
      </c>
      <c r="I351" s="11">
        <v>2.0190543816994002</v>
      </c>
      <c r="J351" s="10">
        <v>4.34815675545396E-2</v>
      </c>
      <c r="K351" s="29">
        <v>0.48418559032057501</v>
      </c>
    </row>
    <row r="352" spans="1:11" x14ac:dyDescent="0.35">
      <c r="A352" s="9" t="str">
        <f>HYPERLINK("http://www.ensembl.org/id/WBGene00044453", "WBGene00044453")</f>
        <v>WBGene00044453</v>
      </c>
      <c r="B352" s="9" t="str">
        <f>HYPERLINK("http://www.ncbi.nlm.nih.gov/gene/3896750", "3896750")</f>
        <v>3896750</v>
      </c>
      <c r="C352" s="9"/>
      <c r="D352" t="str">
        <f>"Y102E9.6"</f>
        <v>Y102E9.6</v>
      </c>
      <c r="F352" t="s">
        <v>11</v>
      </c>
      <c r="H352" s="12">
        <v>8.5266061349182607</v>
      </c>
      <c r="I352" s="11">
        <v>1.43106373691129</v>
      </c>
      <c r="J352" s="10">
        <v>0.15241194904285199</v>
      </c>
      <c r="K352" s="29">
        <v>0.85769427438436496</v>
      </c>
    </row>
    <row r="353" spans="1:11" x14ac:dyDescent="0.35">
      <c r="A353" s="9" t="str">
        <f>HYPERLINK("http://www.ensembl.org/id/WBGene00000745", "WBGene00000745")</f>
        <v>WBGene00000745</v>
      </c>
      <c r="B353" s="9" t="str">
        <f>HYPERLINK("http://www.ncbi.nlm.nih.gov/gene/180934", "180934")</f>
        <v>180934</v>
      </c>
      <c r="C353" s="9"/>
      <c r="D353" t="str">
        <f>"col-172"</f>
        <v>col-172</v>
      </c>
      <c r="E353" t="s">
        <v>40</v>
      </c>
      <c r="F353" t="s">
        <v>11</v>
      </c>
      <c r="G353" t="s">
        <v>41</v>
      </c>
      <c r="H353" s="12">
        <v>8.5166998119371993</v>
      </c>
      <c r="I353" s="11">
        <v>6.2701163108565501</v>
      </c>
      <c r="J353" s="10">
        <v>3.6077850899568802E-10</v>
      </c>
      <c r="K353" s="29">
        <v>2.60504632151699E-7</v>
      </c>
    </row>
    <row r="354" spans="1:11" x14ac:dyDescent="0.35">
      <c r="A354" s="9" t="str">
        <f>HYPERLINK("http://www.ensembl.org/id/WBGene00199015", "WBGene00199015")</f>
        <v>WBGene00199015</v>
      </c>
      <c r="B354" s="9"/>
      <c r="C354" s="9"/>
      <c r="D354" t="str">
        <f>"R02D5.14"</f>
        <v>R02D5.14</v>
      </c>
      <c r="F354" t="s">
        <v>481</v>
      </c>
      <c r="H354" s="12">
        <v>8.4931602587397403</v>
      </c>
      <c r="I354" s="11">
        <v>0.94069062912628099</v>
      </c>
      <c r="J354" s="10">
        <v>0.34686342257757302</v>
      </c>
      <c r="K354" s="29">
        <v>0.98289565623980701</v>
      </c>
    </row>
    <row r="355" spans="1:11" x14ac:dyDescent="0.35">
      <c r="A355" s="9" t="str">
        <f>HYPERLINK("http://www.ensembl.org/id/WBGene00000662", "WBGene00000662")</f>
        <v>WBGene00000662</v>
      </c>
      <c r="B355" s="9" t="str">
        <f>HYPERLINK("http://www.ncbi.nlm.nih.gov/gene/3565880", "3565880")</f>
        <v>3565880</v>
      </c>
      <c r="C355" s="9"/>
      <c r="D355" t="str">
        <f>"col-87"</f>
        <v>col-87</v>
      </c>
      <c r="E355" t="s">
        <v>40</v>
      </c>
      <c r="F355" t="s">
        <v>11</v>
      </c>
      <c r="G355" t="s">
        <v>4224</v>
      </c>
      <c r="H355" s="12">
        <v>8.4812861841413305</v>
      </c>
      <c r="I355" s="11">
        <v>0.72035110111219103</v>
      </c>
      <c r="J355" s="10">
        <v>0.47130884904435499</v>
      </c>
      <c r="K355" s="29">
        <v>0.98289565623980701</v>
      </c>
    </row>
    <row r="356" spans="1:11" x14ac:dyDescent="0.35">
      <c r="A356" s="9" t="str">
        <f>HYPERLINK("http://www.ensembl.org/id/WBGene00011359", "WBGene00011359")</f>
        <v>WBGene00011359</v>
      </c>
      <c r="B356" s="9" t="str">
        <f>HYPERLINK("http://www.ncbi.nlm.nih.gov/gene/187976", "187976")</f>
        <v>187976</v>
      </c>
      <c r="C356" s="9"/>
      <c r="D356" t="str">
        <f>"lgc-17"</f>
        <v>lgc-17</v>
      </c>
      <c r="E356" t="s">
        <v>505</v>
      </c>
      <c r="F356" t="s">
        <v>11</v>
      </c>
      <c r="G356" t="s">
        <v>906</v>
      </c>
      <c r="H356" s="12">
        <v>8.4812861841413305</v>
      </c>
      <c r="I356" s="11">
        <v>0.72035110111219103</v>
      </c>
      <c r="J356" s="10">
        <v>0.47130884904435499</v>
      </c>
      <c r="K356" s="29">
        <v>0.98289565623980701</v>
      </c>
    </row>
    <row r="357" spans="1:11" x14ac:dyDescent="0.35">
      <c r="A357" s="9" t="str">
        <f>HYPERLINK("http://www.ensembl.org/id/WBGene00005245", "WBGene00005245")</f>
        <v>WBGene00005245</v>
      </c>
      <c r="B357" s="9" t="str">
        <f>HYPERLINK("http://www.ncbi.nlm.nih.gov/gene/191847", "191847")</f>
        <v>191847</v>
      </c>
      <c r="C357" s="9"/>
      <c r="D357" t="str">
        <f>"srh-20"</f>
        <v>srh-20</v>
      </c>
      <c r="E357" t="s">
        <v>153</v>
      </c>
      <c r="F357" t="s">
        <v>11</v>
      </c>
      <c r="G357" t="s">
        <v>25</v>
      </c>
      <c r="H357" s="12">
        <v>8.4812861841413305</v>
      </c>
      <c r="I357" s="11">
        <v>0.72035110111219103</v>
      </c>
      <c r="J357" s="10">
        <v>0.47130884904435499</v>
      </c>
      <c r="K357" s="29">
        <v>0.98289565623980701</v>
      </c>
    </row>
    <row r="358" spans="1:11" x14ac:dyDescent="0.35">
      <c r="A358" s="9" t="str">
        <f>HYPERLINK("http://www.ensembl.org/id/WBGene00219608", "WBGene00219608")</f>
        <v>WBGene00219608</v>
      </c>
      <c r="B358" s="9"/>
      <c r="C358" s="9"/>
      <c r="D358" t="str">
        <f>"linc-58"</f>
        <v>linc-58</v>
      </c>
      <c r="F358" t="s">
        <v>1510</v>
      </c>
      <c r="H358" s="12">
        <v>8.38675423776297</v>
      </c>
      <c r="I358" s="11">
        <v>0.88182376132569296</v>
      </c>
      <c r="J358" s="10">
        <v>0.37787212001537401</v>
      </c>
      <c r="K358" s="29">
        <v>0.98289565623980701</v>
      </c>
    </row>
    <row r="359" spans="1:11" x14ac:dyDescent="0.35">
      <c r="A359" s="9" t="str">
        <f>HYPERLINK("http://www.ensembl.org/id/WBGene00005844", "WBGene00005844")</f>
        <v>WBGene00005844</v>
      </c>
      <c r="B359" s="9" t="str">
        <f>HYPERLINK("http://www.ncbi.nlm.nih.gov/gene/191118", "191118")</f>
        <v>191118</v>
      </c>
      <c r="C359" s="9"/>
      <c r="D359" t="str">
        <f>"srw-97"</f>
        <v>srw-97</v>
      </c>
      <c r="E359" t="s">
        <v>1014</v>
      </c>
      <c r="F359" t="s">
        <v>11</v>
      </c>
      <c r="G359" t="s">
        <v>1015</v>
      </c>
      <c r="H359" s="12">
        <v>8.38675423776297</v>
      </c>
      <c r="I359" s="11">
        <v>0.88182376132569296</v>
      </c>
      <c r="J359" s="10">
        <v>0.37787212001537401</v>
      </c>
      <c r="K359" s="29">
        <v>0.98289565623980701</v>
      </c>
    </row>
    <row r="360" spans="1:11" x14ac:dyDescent="0.35">
      <c r="A360" s="9" t="str">
        <f>HYPERLINK("http://www.ensembl.org/id/WBGene00220226", "WBGene00220226")</f>
        <v>WBGene00220226</v>
      </c>
      <c r="B360" s="9"/>
      <c r="C360" s="9"/>
      <c r="D360" t="str">
        <f>"Y105E8B.15"</f>
        <v>Y105E8B.15</v>
      </c>
      <c r="F360" t="s">
        <v>481</v>
      </c>
      <c r="H360" s="12">
        <v>8.38675423776297</v>
      </c>
      <c r="I360" s="11">
        <v>0.88182376132569296</v>
      </c>
      <c r="J360" s="10">
        <v>0.37787212001537401</v>
      </c>
      <c r="K360" s="29">
        <v>0.98289565623980701</v>
      </c>
    </row>
    <row r="361" spans="1:11" x14ac:dyDescent="0.35">
      <c r="A361" s="9" t="str">
        <f>HYPERLINK("http://www.ensembl.org/id/WBGene00017805", "WBGene00017805")</f>
        <v>WBGene00017805</v>
      </c>
      <c r="B361" s="9" t="str">
        <f>HYPERLINK("http://www.ncbi.nlm.nih.gov/gene/184947", "184947")</f>
        <v>184947</v>
      </c>
      <c r="C361" s="9"/>
      <c r="D361" t="str">
        <f>"F26A1.7"</f>
        <v>F26A1.7</v>
      </c>
      <c r="F361" t="s">
        <v>11</v>
      </c>
      <c r="H361" s="12">
        <v>8.3541879106636099</v>
      </c>
      <c r="I361" s="11">
        <v>1.3560876611228101</v>
      </c>
      <c r="J361" s="10">
        <v>0.175071278287733</v>
      </c>
      <c r="K361" s="29">
        <v>0.90395462706510799</v>
      </c>
    </row>
    <row r="362" spans="1:11" x14ac:dyDescent="0.35">
      <c r="A362" s="9" t="str">
        <f>HYPERLINK("http://www.ensembl.org/id/WBGene00017590", "WBGene00017590")</f>
        <v>WBGene00017590</v>
      </c>
      <c r="B362" s="9" t="str">
        <f>HYPERLINK("http://www.ncbi.nlm.nih.gov/gene/184674", "184674")</f>
        <v>184674</v>
      </c>
      <c r="C362" s="9"/>
      <c r="D362" t="str">
        <f>"F19B10.11"</f>
        <v>F19B10.11</v>
      </c>
      <c r="F362" t="s">
        <v>11</v>
      </c>
      <c r="H362" s="12">
        <v>8.3514992828017593</v>
      </c>
      <c r="I362" s="11">
        <v>1.2190606244176401</v>
      </c>
      <c r="J362" s="10">
        <v>0.22282118340489601</v>
      </c>
      <c r="K362" s="29">
        <v>0.97600840195451199</v>
      </c>
    </row>
    <row r="363" spans="1:11" x14ac:dyDescent="0.35">
      <c r="A363" s="9" t="str">
        <f>HYPERLINK("http://www.ensembl.org/id/WBGene00011022", "WBGene00011022")</f>
        <v>WBGene00011022</v>
      </c>
      <c r="B363" s="9"/>
      <c r="C363" s="9"/>
      <c r="D363" t="str">
        <f>"R05A10.5"</f>
        <v>R05A10.5</v>
      </c>
      <c r="F363" t="s">
        <v>80</v>
      </c>
      <c r="H363" s="12">
        <v>8.3290473518086507</v>
      </c>
      <c r="I363" s="11">
        <v>1.2890093946008001</v>
      </c>
      <c r="J363" s="10">
        <v>0.19739482054212301</v>
      </c>
      <c r="K363" s="29">
        <v>0.942627068880589</v>
      </c>
    </row>
    <row r="364" spans="1:11" x14ac:dyDescent="0.35">
      <c r="A364" s="9" t="str">
        <f>HYPERLINK("http://www.ensembl.org/id/WBGene00022216", "WBGene00022216")</f>
        <v>WBGene00022216</v>
      </c>
      <c r="B364" s="9" t="str">
        <f>HYPERLINK("http://www.ncbi.nlm.nih.gov/gene/190632", "190632")</f>
        <v>190632</v>
      </c>
      <c r="C364" s="9"/>
      <c r="D364" t="str">
        <f>"fbxa-16"</f>
        <v>fbxa-16</v>
      </c>
      <c r="E364" t="s">
        <v>467</v>
      </c>
      <c r="F364" t="s">
        <v>11</v>
      </c>
      <c r="H364" s="12">
        <v>8.3081147783411904</v>
      </c>
      <c r="I364" s="11">
        <v>1.28962113506417</v>
      </c>
      <c r="J364" s="10">
        <v>0.19718223385497</v>
      </c>
      <c r="K364" s="29">
        <v>0.94254621866561905</v>
      </c>
    </row>
    <row r="365" spans="1:11" x14ac:dyDescent="0.35">
      <c r="A365" s="9" t="str">
        <f>HYPERLINK("http://www.ensembl.org/id/WBGene00012036", "WBGene00012036")</f>
        <v>WBGene00012036</v>
      </c>
      <c r="B365" s="9" t="str">
        <f>HYPERLINK("http://www.ncbi.nlm.nih.gov/gene/188922", "188922")</f>
        <v>188922</v>
      </c>
      <c r="C365" s="9"/>
      <c r="D365" t="str">
        <f>"clec-103"</f>
        <v>clec-103</v>
      </c>
      <c r="E365" t="s">
        <v>46</v>
      </c>
      <c r="F365" t="s">
        <v>11</v>
      </c>
      <c r="G365" t="s">
        <v>47</v>
      </c>
      <c r="H365" s="12">
        <v>8.2910336507394096</v>
      </c>
      <c r="I365" s="11">
        <v>1.6053485252602699</v>
      </c>
      <c r="J365" s="10">
        <v>0.108417125726864</v>
      </c>
      <c r="K365" s="29">
        <v>0.75773395927522402</v>
      </c>
    </row>
    <row r="366" spans="1:11" x14ac:dyDescent="0.35">
      <c r="A366" s="9" t="str">
        <f>HYPERLINK("http://www.ensembl.org/id/WBGene00001916", "WBGene00001916")</f>
        <v>WBGene00001916</v>
      </c>
      <c r="B366" s="9" t="str">
        <f>HYPERLINK("http://www.ncbi.nlm.nih.gov/gene/184200", "184200")</f>
        <v>184200</v>
      </c>
      <c r="C366" s="9" t="str">
        <f>HYPERLINK("http://www.ncbi.nlm.nih.gov/gene/8356", "8356")</f>
        <v>8356</v>
      </c>
      <c r="D366" t="str">
        <f>"his-42"</f>
        <v>his-42</v>
      </c>
      <c r="E366" t="s">
        <v>3683</v>
      </c>
      <c r="F366" t="s">
        <v>11</v>
      </c>
      <c r="G366" t="s">
        <v>232</v>
      </c>
      <c r="H366" s="12">
        <v>8.2649575747348294</v>
      </c>
      <c r="I366" s="11">
        <v>1.1502040260477699</v>
      </c>
      <c r="J366" s="10">
        <v>0.25005984840640899</v>
      </c>
      <c r="K366" s="29">
        <v>0.98289565623980701</v>
      </c>
    </row>
    <row r="367" spans="1:11" x14ac:dyDescent="0.35">
      <c r="A367" s="9" t="str">
        <f>HYPERLINK("http://www.ensembl.org/id/WBGene00009488", "WBGene00009488")</f>
        <v>WBGene00009488</v>
      </c>
      <c r="B367" s="9" t="str">
        <f>HYPERLINK("http://www.ncbi.nlm.nih.gov/gene/185375", "185375")</f>
        <v>185375</v>
      </c>
      <c r="C367" s="9"/>
      <c r="D367" t="str">
        <f>"oac-20"</f>
        <v>oac-20</v>
      </c>
      <c r="E367" t="s">
        <v>883</v>
      </c>
      <c r="F367" t="s">
        <v>11</v>
      </c>
      <c r="G367" t="s">
        <v>884</v>
      </c>
      <c r="H367" s="12">
        <v>8.2570027547998599</v>
      </c>
      <c r="I367" s="11">
        <v>1.60319241177369</v>
      </c>
      <c r="J367" s="10">
        <v>0.10889218028292599</v>
      </c>
      <c r="K367" s="29">
        <v>0.75944200424795905</v>
      </c>
    </row>
    <row r="368" spans="1:11" x14ac:dyDescent="0.35">
      <c r="A368" s="9" t="str">
        <f>HYPERLINK("http://www.ensembl.org/id/WBGene00008834", "WBGene00008834")</f>
        <v>WBGene00008834</v>
      </c>
      <c r="B368" s="9" t="str">
        <f>HYPERLINK("http://www.ncbi.nlm.nih.gov/gene/184499", "184499")</f>
        <v>184499</v>
      </c>
      <c r="C368" s="9"/>
      <c r="D368" t="str">
        <f>"F14H8.4"</f>
        <v>F14H8.4</v>
      </c>
      <c r="F368" t="s">
        <v>11</v>
      </c>
      <c r="H368" s="12">
        <v>8.2389439272484495</v>
      </c>
      <c r="I368" s="11">
        <v>1.0270300167184001</v>
      </c>
      <c r="J368" s="10">
        <v>0.30440633008217299</v>
      </c>
      <c r="K368" s="29">
        <v>0.98289565623980701</v>
      </c>
    </row>
    <row r="369" spans="1:11" x14ac:dyDescent="0.35">
      <c r="A369" s="9" t="str">
        <f>HYPERLINK("http://www.ensembl.org/id/WBGene00000626", "WBGene00000626")</f>
        <v>WBGene00000626</v>
      </c>
      <c r="B369" s="9" t="str">
        <f>HYPERLINK("http://www.ncbi.nlm.nih.gov/gene/187239", "187239")</f>
        <v>187239</v>
      </c>
      <c r="C369" s="9"/>
      <c r="D369" t="str">
        <f>"col-49"</f>
        <v>col-49</v>
      </c>
      <c r="E369" t="s">
        <v>40</v>
      </c>
      <c r="F369" t="s">
        <v>11</v>
      </c>
      <c r="G369" t="s">
        <v>152</v>
      </c>
      <c r="H369" s="12">
        <v>8.2293021837602005</v>
      </c>
      <c r="I369" s="11">
        <v>0.87810977803884005</v>
      </c>
      <c r="J369" s="10">
        <v>0.37988414711806501</v>
      </c>
      <c r="K369" s="29">
        <v>0.98289565623980701</v>
      </c>
    </row>
    <row r="370" spans="1:11" x14ac:dyDescent="0.35">
      <c r="A370" s="9" t="str">
        <f>HYPERLINK("http://www.ensembl.org/id/WBGene00012549", "WBGene00012549")</f>
        <v>WBGene00012549</v>
      </c>
      <c r="B370" s="9" t="str">
        <f>HYPERLINK("http://www.ncbi.nlm.nih.gov/gene/189616", "189616")</f>
        <v>189616</v>
      </c>
      <c r="C370" s="9"/>
      <c r="D370" t="str">
        <f>"Y37D8A.8"</f>
        <v>Y37D8A.8</v>
      </c>
      <c r="F370" t="s">
        <v>11</v>
      </c>
      <c r="G370" t="s">
        <v>208</v>
      </c>
      <c r="H370" s="12">
        <v>8.2193880767886291</v>
      </c>
      <c r="I370" s="11">
        <v>1.15058201480483</v>
      </c>
      <c r="J370" s="10">
        <v>0.24990423557841199</v>
      </c>
      <c r="K370" s="29">
        <v>0.98289565623980701</v>
      </c>
    </row>
    <row r="371" spans="1:11" x14ac:dyDescent="0.35">
      <c r="A371" s="9" t="str">
        <f>HYPERLINK("http://www.ensembl.org/id/WBGene00044216", "WBGene00044216")</f>
        <v>WBGene00044216</v>
      </c>
      <c r="B371" s="9"/>
      <c r="C371" s="9"/>
      <c r="D371" t="str">
        <f>"C47E8.10"</f>
        <v>C47E8.10</v>
      </c>
      <c r="F371" t="s">
        <v>80</v>
      </c>
      <c r="H371" s="12">
        <v>8.1964621563264597</v>
      </c>
      <c r="I371" s="11">
        <v>0.76830348642536495</v>
      </c>
      <c r="J371" s="10">
        <v>0.442306903852348</v>
      </c>
      <c r="K371" s="29">
        <v>0.98289565623980701</v>
      </c>
    </row>
    <row r="372" spans="1:11" x14ac:dyDescent="0.35">
      <c r="A372" s="9" t="str">
        <f>HYPERLINK("http://www.ensembl.org/id/WBGene00008524", "WBGene00008524")</f>
        <v>WBGene00008524</v>
      </c>
      <c r="B372" s="9" t="str">
        <f>HYPERLINK("http://www.ncbi.nlm.nih.gov/gene/184083", "184083")</f>
        <v>184083</v>
      </c>
      <c r="C372" s="9"/>
      <c r="D372" t="str">
        <f>"F02D10.3"</f>
        <v>F02D10.3</v>
      </c>
      <c r="F372" t="s">
        <v>11</v>
      </c>
      <c r="H372" s="12">
        <v>8.1003108643623296</v>
      </c>
      <c r="I372" s="11">
        <v>1.52964932255736</v>
      </c>
      <c r="J372" s="10">
        <v>0.12610355385351299</v>
      </c>
      <c r="K372" s="29">
        <v>0.80257041127767004</v>
      </c>
    </row>
    <row r="373" spans="1:11" x14ac:dyDescent="0.35">
      <c r="A373" s="9" t="str">
        <f>HYPERLINK("http://www.ensembl.org/id/WBGene00019739", "WBGene00019739")</f>
        <v>WBGene00019739</v>
      </c>
      <c r="B373" s="9"/>
      <c r="C373" s="9"/>
      <c r="D373" t="str">
        <f>"M02F4.9"</f>
        <v>M02F4.9</v>
      </c>
      <c r="F373" t="s">
        <v>80</v>
      </c>
      <c r="H373" s="12">
        <v>8.0921279299725004</v>
      </c>
      <c r="I373" s="11">
        <v>0.88082747474951395</v>
      </c>
      <c r="J373" s="10">
        <v>0.37841120657925298</v>
      </c>
      <c r="K373" s="29">
        <v>0.98289565623980701</v>
      </c>
    </row>
    <row r="374" spans="1:11" x14ac:dyDescent="0.35">
      <c r="A374" s="9" t="str">
        <f>HYPERLINK("http://www.ensembl.org/id/WBGene00007239", "WBGene00007239")</f>
        <v>WBGene00007239</v>
      </c>
      <c r="B374" s="9" t="str">
        <f>HYPERLINK("http://www.ncbi.nlm.nih.gov/gene/180020", "180020")</f>
        <v>180020</v>
      </c>
      <c r="C374" s="9"/>
      <c r="D374" t="str">
        <f>"C01G10.14"</f>
        <v>C01G10.14</v>
      </c>
      <c r="E374" t="s">
        <v>899</v>
      </c>
      <c r="F374" t="s">
        <v>11</v>
      </c>
      <c r="G374" t="s">
        <v>3403</v>
      </c>
      <c r="H374" s="12">
        <v>8.0820207067629397</v>
      </c>
      <c r="I374" s="11">
        <v>0.85865707396196</v>
      </c>
      <c r="J374" s="10">
        <v>0.39052973976173999</v>
      </c>
      <c r="K374" s="29">
        <v>0.98289565623980701</v>
      </c>
    </row>
    <row r="375" spans="1:11" x14ac:dyDescent="0.35">
      <c r="A375" s="9" t="str">
        <f>HYPERLINK("http://www.ensembl.org/id/WBGene00012373", "WBGene00012373")</f>
        <v>WBGene00012373</v>
      </c>
      <c r="B375" s="9" t="str">
        <f>HYPERLINK("http://www.ncbi.nlm.nih.gov/gene/174962", "174962")</f>
        <v>174962</v>
      </c>
      <c r="C375" s="9"/>
      <c r="D375" t="str">
        <f>"W09H1.3"</f>
        <v>W09H1.3</v>
      </c>
      <c r="F375" t="s">
        <v>11</v>
      </c>
      <c r="G375" t="s">
        <v>63</v>
      </c>
      <c r="H375" s="12">
        <v>8.0820207067629397</v>
      </c>
      <c r="I375" s="11">
        <v>0.85865707396196</v>
      </c>
      <c r="J375" s="10">
        <v>0.39052973976173999</v>
      </c>
      <c r="K375" s="29">
        <v>0.98289565623980701</v>
      </c>
    </row>
    <row r="376" spans="1:11" x14ac:dyDescent="0.35">
      <c r="A376" s="9" t="str">
        <f>HYPERLINK("http://www.ensembl.org/id/WBGene00022507", "WBGene00022507")</f>
        <v>WBGene00022507</v>
      </c>
      <c r="B376" s="9" t="str">
        <f>HYPERLINK("http://www.ncbi.nlm.nih.gov/gene/191055", "191055")</f>
        <v>191055</v>
      </c>
      <c r="C376" s="9"/>
      <c r="D376" t="str">
        <f>"ZC21.8"</f>
        <v>ZC21.8</v>
      </c>
      <c r="F376" t="s">
        <v>11</v>
      </c>
      <c r="H376" s="12">
        <v>8.0820207067629397</v>
      </c>
      <c r="I376" s="11">
        <v>0.85865707396196</v>
      </c>
      <c r="J376" s="10">
        <v>0.39052973976173999</v>
      </c>
      <c r="K376" s="29">
        <v>0.98289565623980701</v>
      </c>
    </row>
    <row r="377" spans="1:11" x14ac:dyDescent="0.35">
      <c r="A377" s="9" t="str">
        <f>HYPERLINK("http://www.ensembl.org/id/WBGene00219570", "WBGene00219570")</f>
        <v>WBGene00219570</v>
      </c>
      <c r="B377" s="9"/>
      <c r="C377" s="9"/>
      <c r="D377" t="str">
        <f>"linc-82"</f>
        <v>linc-82</v>
      </c>
      <c r="F377" t="s">
        <v>1510</v>
      </c>
      <c r="H377" s="12">
        <v>8.0645875767637207</v>
      </c>
      <c r="I377" s="11">
        <v>0.85801550300948304</v>
      </c>
      <c r="J377" s="10">
        <v>0.39088390296488701</v>
      </c>
      <c r="K377" s="29">
        <v>0.98289565623980701</v>
      </c>
    </row>
    <row r="378" spans="1:11" x14ac:dyDescent="0.35">
      <c r="A378" s="9" t="str">
        <f>HYPERLINK("http://www.ensembl.org/id/WBGene00201711", "WBGene00201711")</f>
        <v>WBGene00201711</v>
      </c>
      <c r="B378" s="9"/>
      <c r="C378" s="9"/>
      <c r="D378" t="str">
        <f>"M04B2.13"</f>
        <v>M04B2.13</v>
      </c>
      <c r="F378" t="s">
        <v>481</v>
      </c>
      <c r="H378" s="12">
        <v>7.9483032226155101</v>
      </c>
      <c r="I378" s="11">
        <v>0.92563256876654798</v>
      </c>
      <c r="J378" s="10">
        <v>0.35463696181987198</v>
      </c>
      <c r="K378" s="29">
        <v>0.98289565623980701</v>
      </c>
    </row>
    <row r="379" spans="1:11" x14ac:dyDescent="0.35">
      <c r="A379" s="9" t="str">
        <f>HYPERLINK("http://www.ensembl.org/id/WBGene00005256", "WBGene00005256")</f>
        <v>WBGene00005256</v>
      </c>
      <c r="B379" s="9" t="str">
        <f>HYPERLINK("http://www.ncbi.nlm.nih.gov/gene/191852", "191852")</f>
        <v>191852</v>
      </c>
      <c r="C379" s="9"/>
      <c r="D379" t="str">
        <f>"srh-33"</f>
        <v>srh-33</v>
      </c>
      <c r="E379" t="s">
        <v>153</v>
      </c>
      <c r="F379" t="s">
        <v>11</v>
      </c>
      <c r="G379" t="s">
        <v>25</v>
      </c>
      <c r="H379" s="12">
        <v>7.9390427648019797</v>
      </c>
      <c r="I379" s="11">
        <v>1.14214963128483</v>
      </c>
      <c r="J379" s="10">
        <v>0.253391828366195</v>
      </c>
      <c r="K379" s="29">
        <v>0.98289565623980701</v>
      </c>
    </row>
    <row r="380" spans="1:11" x14ac:dyDescent="0.35">
      <c r="A380" s="9" t="str">
        <f>HYPERLINK("http://www.ensembl.org/id/WBGene00015994", "WBGene00015994")</f>
        <v>WBGene00015994</v>
      </c>
      <c r="B380" s="9" t="str">
        <f>HYPERLINK("http://www.ncbi.nlm.nih.gov/gene/182803", "182803")</f>
        <v>182803</v>
      </c>
      <c r="C380" s="9"/>
      <c r="D380" t="str">
        <f>"C18H7.4"</f>
        <v>C18H7.4</v>
      </c>
      <c r="E380" t="s">
        <v>2588</v>
      </c>
      <c r="F380" t="s">
        <v>11</v>
      </c>
      <c r="G380" t="s">
        <v>2589</v>
      </c>
      <c r="H380" s="12">
        <v>7.9382038036116196</v>
      </c>
      <c r="I380" s="11">
        <v>1.6253808956423099</v>
      </c>
      <c r="J380" s="10">
        <v>0.104081424020266</v>
      </c>
      <c r="K380" s="29">
        <v>0.74376802197659997</v>
      </c>
    </row>
    <row r="381" spans="1:11" x14ac:dyDescent="0.35">
      <c r="A381" s="9" t="str">
        <f>HYPERLINK("http://www.ensembl.org/id/WBGene00023233", "WBGene00023233")</f>
        <v>WBGene00023233</v>
      </c>
      <c r="B381" s="9"/>
      <c r="C381" s="9"/>
      <c r="D381" t="str">
        <f>"C08A9.2"</f>
        <v>C08A9.2</v>
      </c>
      <c r="F381" t="s">
        <v>80</v>
      </c>
      <c r="H381" s="12">
        <v>7.92898286605097</v>
      </c>
      <c r="I381" s="11">
        <v>0.86581616308302201</v>
      </c>
      <c r="J381" s="10">
        <v>0.38659098406082598</v>
      </c>
      <c r="K381" s="29">
        <v>0.98289565623980701</v>
      </c>
    </row>
    <row r="382" spans="1:11" x14ac:dyDescent="0.35">
      <c r="A382" s="9" t="str">
        <f>HYPERLINK("http://www.ensembl.org/id/WBGene00219916", "WBGene00219916")</f>
        <v>WBGene00219916</v>
      </c>
      <c r="B382" s="9"/>
      <c r="C382" s="9"/>
      <c r="D382" t="str">
        <f>"F26D10.23"</f>
        <v>F26D10.23</v>
      </c>
      <c r="F382" t="s">
        <v>481</v>
      </c>
      <c r="H382" s="12">
        <v>7.92898286605097</v>
      </c>
      <c r="I382" s="11">
        <v>0.86581616308302201</v>
      </c>
      <c r="J382" s="10">
        <v>0.38659098406082598</v>
      </c>
      <c r="K382" s="29">
        <v>0.98289565623980701</v>
      </c>
    </row>
    <row r="383" spans="1:11" x14ac:dyDescent="0.35">
      <c r="A383" s="9" t="str">
        <f>HYPERLINK("http://www.ensembl.org/id/WBGene00007356", "WBGene00007356")</f>
        <v>WBGene00007356</v>
      </c>
      <c r="B383" s="9" t="str">
        <f>HYPERLINK("http://www.ncbi.nlm.nih.gov/gene/174625", "174625")</f>
        <v>174625</v>
      </c>
      <c r="C383" s="9"/>
      <c r="D383" t="str">
        <f>"C06A1.6"</f>
        <v>C06A1.6</v>
      </c>
      <c r="F383" t="s">
        <v>11</v>
      </c>
      <c r="H383" s="12">
        <v>7.8750041662741399</v>
      </c>
      <c r="I383" s="11">
        <v>0.66270036837280499</v>
      </c>
      <c r="J383" s="10">
        <v>0.507522473818947</v>
      </c>
      <c r="K383" s="29">
        <v>0.98289565623980701</v>
      </c>
    </row>
    <row r="384" spans="1:11" x14ac:dyDescent="0.35">
      <c r="A384" s="9" t="str">
        <f>HYPERLINK("http://www.ensembl.org/id/WBGene00016881", "WBGene00016881")</f>
        <v>WBGene00016881</v>
      </c>
      <c r="B384" s="9" t="str">
        <f>HYPERLINK("http://www.ncbi.nlm.nih.gov/gene/183724", "183724")</f>
        <v>183724</v>
      </c>
      <c r="C384" s="9"/>
      <c r="D384" t="str">
        <f>"C52E2.2"</f>
        <v>C52E2.2</v>
      </c>
      <c r="F384" t="s">
        <v>11</v>
      </c>
      <c r="H384" s="12">
        <v>7.8750041662741399</v>
      </c>
      <c r="I384" s="11">
        <v>0.66270036837280499</v>
      </c>
      <c r="J384" s="10">
        <v>0.507522473818947</v>
      </c>
      <c r="K384" s="29">
        <v>0.98289565623980701</v>
      </c>
    </row>
    <row r="385" spans="1:11" x14ac:dyDescent="0.35">
      <c r="A385" s="9" t="str">
        <f>HYPERLINK("http://www.ensembl.org/id/WBGene00008619", "WBGene00008619")</f>
        <v>WBGene00008619</v>
      </c>
      <c r="B385" s="9" t="str">
        <f>HYPERLINK("http://www.ncbi.nlm.nih.gov/gene/184235", "184235")</f>
        <v>184235</v>
      </c>
      <c r="C385" s="9"/>
      <c r="D385" t="str">
        <f>"nhr-262"</f>
        <v>nhr-262</v>
      </c>
      <c r="E385" t="s">
        <v>637</v>
      </c>
      <c r="F385" t="s">
        <v>11</v>
      </c>
      <c r="G385" t="s">
        <v>1073</v>
      </c>
      <c r="H385" s="12">
        <v>7.8750041662741399</v>
      </c>
      <c r="I385" s="11">
        <v>0.66270036837280499</v>
      </c>
      <c r="J385" s="10">
        <v>0.507522473818947</v>
      </c>
      <c r="K385" s="29">
        <v>0.98289565623980701</v>
      </c>
    </row>
    <row r="386" spans="1:11" x14ac:dyDescent="0.35">
      <c r="A386" s="9" t="str">
        <f>HYPERLINK("http://www.ensembl.org/id/WBGene00005144", "WBGene00005144")</f>
        <v>WBGene00005144</v>
      </c>
      <c r="B386" s="9" t="str">
        <f>HYPERLINK("http://www.ncbi.nlm.nih.gov/gene/191825", "191825")</f>
        <v>191825</v>
      </c>
      <c r="C386" s="9"/>
      <c r="D386" t="str">
        <f>"srd-67"</f>
        <v>srd-67</v>
      </c>
      <c r="E386" t="s">
        <v>1513</v>
      </c>
      <c r="F386" t="s">
        <v>11</v>
      </c>
      <c r="G386" t="s">
        <v>25</v>
      </c>
      <c r="H386" s="12">
        <v>7.8750041662741399</v>
      </c>
      <c r="I386" s="11">
        <v>0.66270036837280499</v>
      </c>
      <c r="J386" s="10">
        <v>0.507522473818947</v>
      </c>
      <c r="K386" s="29">
        <v>0.98289565623980701</v>
      </c>
    </row>
    <row r="387" spans="1:11" x14ac:dyDescent="0.35">
      <c r="A387" s="9" t="str">
        <f>HYPERLINK("http://www.ensembl.org/id/WBGene00005380", "WBGene00005380")</f>
        <v>WBGene00005380</v>
      </c>
      <c r="B387" s="9"/>
      <c r="C387" s="9"/>
      <c r="D387" t="str">
        <f>"srh-164"</f>
        <v>srh-164</v>
      </c>
      <c r="F387" t="s">
        <v>80</v>
      </c>
      <c r="H387" s="12">
        <v>7.8750041662741399</v>
      </c>
      <c r="I387" s="11">
        <v>0.66270036837280499</v>
      </c>
      <c r="J387" s="10">
        <v>0.507522473818947</v>
      </c>
      <c r="K387" s="29">
        <v>0.98289565623980701</v>
      </c>
    </row>
    <row r="388" spans="1:11" x14ac:dyDescent="0.35">
      <c r="A388" s="9" t="str">
        <f>HYPERLINK("http://www.ensembl.org/id/WBGene00022658", "WBGene00022658")</f>
        <v>WBGene00022658</v>
      </c>
      <c r="B388" s="9"/>
      <c r="C388" s="9"/>
      <c r="D388" t="str">
        <f>"srh-188"</f>
        <v>srh-188</v>
      </c>
      <c r="F388" t="s">
        <v>80</v>
      </c>
      <c r="H388" s="12">
        <v>7.8750041662741399</v>
      </c>
      <c r="I388" s="11">
        <v>0.66270036837280499</v>
      </c>
      <c r="J388" s="10">
        <v>0.507522473818947</v>
      </c>
      <c r="K388" s="29">
        <v>0.98289565623980701</v>
      </c>
    </row>
    <row r="389" spans="1:11" x14ac:dyDescent="0.35">
      <c r="A389" s="9" t="str">
        <f>HYPERLINK("http://www.ensembl.org/id/WBGene00044117", "WBGene00044117")</f>
        <v>WBGene00044117</v>
      </c>
      <c r="B389" s="9" t="str">
        <f>HYPERLINK("http://www.ncbi.nlm.nih.gov/gene/3565803", "3565803")</f>
        <v>3565803</v>
      </c>
      <c r="C389" s="9"/>
      <c r="D389" t="str">
        <f>"srsx-10"</f>
        <v>srsx-10</v>
      </c>
      <c r="E389" t="s">
        <v>1639</v>
      </c>
      <c r="F389" t="s">
        <v>11</v>
      </c>
      <c r="G389" t="s">
        <v>1089</v>
      </c>
      <c r="H389" s="12">
        <v>7.8750041662741399</v>
      </c>
      <c r="I389" s="11">
        <v>0.66270036837280499</v>
      </c>
      <c r="J389" s="10">
        <v>0.507522473818947</v>
      </c>
      <c r="K389" s="29">
        <v>0.98289565623980701</v>
      </c>
    </row>
    <row r="390" spans="1:11" x14ac:dyDescent="0.35">
      <c r="A390" s="9" t="str">
        <f>HYPERLINK("http://www.ensembl.org/id/WBGene00012159", "WBGene00012159")</f>
        <v>WBGene00012159</v>
      </c>
      <c r="B390" s="9" t="str">
        <f>HYPERLINK("http://www.ncbi.nlm.nih.gov/gene/260258", "260258")</f>
        <v>260258</v>
      </c>
      <c r="C390" s="9"/>
      <c r="D390" t="str">
        <f>"VY10G11R.1"</f>
        <v>VY10G11R.1</v>
      </c>
      <c r="F390" t="s">
        <v>11</v>
      </c>
      <c r="G390" t="s">
        <v>4225</v>
      </c>
      <c r="H390" s="12">
        <v>7.8750041662741399</v>
      </c>
      <c r="I390" s="11">
        <v>0.66270036837280499</v>
      </c>
      <c r="J390" s="10">
        <v>0.507522473818947</v>
      </c>
      <c r="K390" s="29">
        <v>0.98289565623980701</v>
      </c>
    </row>
    <row r="391" spans="1:11" x14ac:dyDescent="0.35">
      <c r="A391" s="9" t="str">
        <f>HYPERLINK("http://www.ensembl.org/id/WBGene00020225", "WBGene00020225")</f>
        <v>WBGene00020225</v>
      </c>
      <c r="B391" s="9" t="str">
        <f>HYPERLINK("http://www.ncbi.nlm.nih.gov/gene/188086", "188086")</f>
        <v>188086</v>
      </c>
      <c r="C391" s="9"/>
      <c r="D391" t="str">
        <f>"sre-40"</f>
        <v>sre-40</v>
      </c>
      <c r="E391" t="s">
        <v>2638</v>
      </c>
      <c r="F391" t="s">
        <v>11</v>
      </c>
      <c r="G391" t="s">
        <v>2639</v>
      </c>
      <c r="H391" s="12">
        <v>7.8747101654443803</v>
      </c>
      <c r="I391" s="11">
        <v>0.87339611340161305</v>
      </c>
      <c r="J391" s="10">
        <v>0.382447208716306</v>
      </c>
      <c r="K391" s="29">
        <v>0.98289565623980701</v>
      </c>
    </row>
    <row r="392" spans="1:11" x14ac:dyDescent="0.35">
      <c r="A392" s="9" t="str">
        <f>HYPERLINK("http://www.ensembl.org/id/WBGene00022808", "WBGene00022808")</f>
        <v>WBGene00022808</v>
      </c>
      <c r="B392" s="9" t="str">
        <f>HYPERLINK("http://www.ncbi.nlm.nih.gov/gene/191414", "191414")</f>
        <v>191414</v>
      </c>
      <c r="C392" s="9"/>
      <c r="D392" t="str">
        <f>"ZK697.8"</f>
        <v>ZK697.8</v>
      </c>
      <c r="E392" t="s">
        <v>3638</v>
      </c>
      <c r="F392" t="s">
        <v>11</v>
      </c>
      <c r="G392" t="s">
        <v>3639</v>
      </c>
      <c r="H392" s="12">
        <v>7.8701455892333696</v>
      </c>
      <c r="I392" s="11">
        <v>1.33280518524027</v>
      </c>
      <c r="J392" s="10">
        <v>0.18259574367308101</v>
      </c>
      <c r="K392" s="29">
        <v>0.92018696909710196</v>
      </c>
    </row>
    <row r="393" spans="1:11" x14ac:dyDescent="0.35">
      <c r="A393" s="9" t="str">
        <f>HYPERLINK("http://www.ensembl.org/id/WBGene00045707", "WBGene00045707")</f>
        <v>WBGene00045707</v>
      </c>
      <c r="B393" s="9"/>
      <c r="C393" s="9"/>
      <c r="D393" t="str">
        <f>"21ur-1530"</f>
        <v>21ur-1530</v>
      </c>
      <c r="F393" t="s">
        <v>3161</v>
      </c>
      <c r="H393" s="12">
        <v>7.8691597089380902</v>
      </c>
      <c r="I393" s="11">
        <v>0.61251365190975104</v>
      </c>
      <c r="J393" s="10">
        <v>0.54019796842331003</v>
      </c>
      <c r="K393" s="29">
        <v>0.98289565623980701</v>
      </c>
    </row>
    <row r="394" spans="1:11" x14ac:dyDescent="0.35">
      <c r="A394" s="9" t="str">
        <f>HYPERLINK("http://www.ensembl.org/id/WBGene00045958", "WBGene00045958")</f>
        <v>WBGene00045958</v>
      </c>
      <c r="B394" s="9"/>
      <c r="C394" s="9"/>
      <c r="D394" t="str">
        <f>"21ur-4106"</f>
        <v>21ur-4106</v>
      </c>
      <c r="F394" t="s">
        <v>3161</v>
      </c>
      <c r="H394" s="12">
        <v>7.8691597089380902</v>
      </c>
      <c r="I394" s="11">
        <v>0.61251365190975104</v>
      </c>
      <c r="J394" s="10">
        <v>0.54019796842331003</v>
      </c>
      <c r="K394" s="29">
        <v>0.98289565623980701</v>
      </c>
    </row>
    <row r="395" spans="1:11" x14ac:dyDescent="0.35">
      <c r="A395" s="9" t="str">
        <f>HYPERLINK("http://www.ensembl.org/id/WBGene00049036", "WBGene00049036")</f>
        <v>WBGene00049036</v>
      </c>
      <c r="B395" s="9"/>
      <c r="C395" s="9"/>
      <c r="D395" t="str">
        <f>"21ur-4490"</f>
        <v>21ur-4490</v>
      </c>
      <c r="F395" t="s">
        <v>3161</v>
      </c>
      <c r="H395" s="12">
        <v>7.8691597089380902</v>
      </c>
      <c r="I395" s="11">
        <v>0.61251365190975104</v>
      </c>
      <c r="J395" s="10">
        <v>0.54019796842331003</v>
      </c>
      <c r="K395" s="29">
        <v>0.98289565623980701</v>
      </c>
    </row>
    <row r="396" spans="1:11" x14ac:dyDescent="0.35">
      <c r="A396" s="9" t="str">
        <f>HYPERLINK("http://www.ensembl.org/id/WBGene00047124", "WBGene00047124")</f>
        <v>WBGene00047124</v>
      </c>
      <c r="B396" s="9"/>
      <c r="C396" s="9"/>
      <c r="D396" t="str">
        <f>"21ur-5008"</f>
        <v>21ur-5008</v>
      </c>
      <c r="F396" t="s">
        <v>3161</v>
      </c>
      <c r="H396" s="12">
        <v>7.8691597089380902</v>
      </c>
      <c r="I396" s="11">
        <v>0.61251365190975104</v>
      </c>
      <c r="J396" s="10">
        <v>0.54019796842331003</v>
      </c>
      <c r="K396" s="29">
        <v>0.98289565623980701</v>
      </c>
    </row>
    <row r="397" spans="1:11" x14ac:dyDescent="0.35">
      <c r="A397" s="9" t="str">
        <f>HYPERLINK("http://www.ensembl.org/id/WBGene00047405", "WBGene00047405")</f>
        <v>WBGene00047405</v>
      </c>
      <c r="B397" s="9"/>
      <c r="C397" s="9"/>
      <c r="D397" t="str">
        <f>"21ur-639"</f>
        <v>21ur-639</v>
      </c>
      <c r="F397" t="s">
        <v>3161</v>
      </c>
      <c r="H397" s="12">
        <v>7.8691597089380902</v>
      </c>
      <c r="I397" s="11">
        <v>0.61251365190975104</v>
      </c>
      <c r="J397" s="10">
        <v>0.54019796842331003</v>
      </c>
      <c r="K397" s="29">
        <v>0.98289565623980701</v>
      </c>
    </row>
    <row r="398" spans="1:11" x14ac:dyDescent="0.35">
      <c r="A398" s="9" t="str">
        <f>HYPERLINK("http://www.ensembl.org/id/WBGene00009316", "WBGene00009316")</f>
        <v>WBGene00009316</v>
      </c>
      <c r="B398" s="9" t="str">
        <f>HYPERLINK("http://www.ncbi.nlm.nih.gov/gene/185192", "185192")</f>
        <v>185192</v>
      </c>
      <c r="C398" s="9" t="str">
        <f>HYPERLINK("http://www.ncbi.nlm.nih.gov/gene/83451", "83451")</f>
        <v>83451</v>
      </c>
      <c r="D398" t="str">
        <f>"abhd-11.1"</f>
        <v>abhd-11.1</v>
      </c>
      <c r="E398" t="s">
        <v>3329</v>
      </c>
      <c r="F398" t="s">
        <v>11</v>
      </c>
      <c r="G398" t="s">
        <v>4227</v>
      </c>
      <c r="H398" s="12">
        <v>7.8691597089380902</v>
      </c>
      <c r="I398" s="11">
        <v>0.61251365190975104</v>
      </c>
      <c r="J398" s="10">
        <v>0.54019796842331003</v>
      </c>
      <c r="K398" s="29">
        <v>0.98289565623980701</v>
      </c>
    </row>
    <row r="399" spans="1:11" x14ac:dyDescent="0.35">
      <c r="A399" s="9" t="str">
        <f>HYPERLINK("http://www.ensembl.org/id/WBGene00199390", "WBGene00199390")</f>
        <v>WBGene00199390</v>
      </c>
      <c r="B399" s="9"/>
      <c r="C399" s="9"/>
      <c r="D399" t="str">
        <f>"B0273.111"</f>
        <v>B0273.111</v>
      </c>
      <c r="F399" t="s">
        <v>481</v>
      </c>
      <c r="H399" s="12">
        <v>7.8691597089380902</v>
      </c>
      <c r="I399" s="11">
        <v>0.61251365190975104</v>
      </c>
      <c r="J399" s="10">
        <v>0.54019796842331003</v>
      </c>
      <c r="K399" s="29">
        <v>0.98289565623980701</v>
      </c>
    </row>
    <row r="400" spans="1:11" x14ac:dyDescent="0.35">
      <c r="A400" s="9" t="str">
        <f>HYPERLINK("http://www.ensembl.org/id/WBGene00195915", "WBGene00195915")</f>
        <v>WBGene00195915</v>
      </c>
      <c r="B400" s="9"/>
      <c r="C400" s="9"/>
      <c r="D400" t="str">
        <f>"C07H6.11"</f>
        <v>C07H6.11</v>
      </c>
      <c r="F400" t="s">
        <v>481</v>
      </c>
      <c r="H400" s="12">
        <v>7.8691597089380902</v>
      </c>
      <c r="I400" s="11">
        <v>0.61251365190975104</v>
      </c>
      <c r="J400" s="10">
        <v>0.54019796842331003</v>
      </c>
      <c r="K400" s="29">
        <v>0.98289565623980701</v>
      </c>
    </row>
    <row r="401" spans="1:11" x14ac:dyDescent="0.35">
      <c r="A401" s="9" t="str">
        <f>HYPERLINK("http://www.ensembl.org/id/WBGene00196942", "WBGene00196942")</f>
        <v>WBGene00196942</v>
      </c>
      <c r="B401" s="9"/>
      <c r="C401" s="9"/>
      <c r="D401" t="str">
        <f>"C15C8.10"</f>
        <v>C15C8.10</v>
      </c>
      <c r="F401" t="s">
        <v>481</v>
      </c>
      <c r="H401" s="12">
        <v>7.8691597089380902</v>
      </c>
      <c r="I401" s="11">
        <v>0.61251365190975104</v>
      </c>
      <c r="J401" s="10">
        <v>0.54019796842331003</v>
      </c>
      <c r="K401" s="29">
        <v>0.98289565623980701</v>
      </c>
    </row>
    <row r="402" spans="1:11" x14ac:dyDescent="0.35">
      <c r="A402" s="9" t="str">
        <f>HYPERLINK("http://www.ensembl.org/id/WBGene00007869", "WBGene00007869")</f>
        <v>WBGene00007869</v>
      </c>
      <c r="B402" s="9" t="str">
        <f>HYPERLINK("http://www.ncbi.nlm.nih.gov/gene/183130", "183130")</f>
        <v>183130</v>
      </c>
      <c r="C402" s="9"/>
      <c r="D402" t="str">
        <f>"C32H11.6"</f>
        <v>C32H11.6</v>
      </c>
      <c r="F402" t="s">
        <v>11</v>
      </c>
      <c r="H402" s="12">
        <v>7.8691597089380902</v>
      </c>
      <c r="I402" s="11">
        <v>0.61251365190975104</v>
      </c>
      <c r="J402" s="10">
        <v>0.54019796842331003</v>
      </c>
      <c r="K402" s="29">
        <v>0.98289565623980701</v>
      </c>
    </row>
    <row r="403" spans="1:11" x14ac:dyDescent="0.35">
      <c r="A403" s="9" t="str">
        <f>HYPERLINK("http://www.ensembl.org/id/WBGene00008072", "WBGene00008072")</f>
        <v>WBGene00008072</v>
      </c>
      <c r="B403" s="9" t="str">
        <f>HYPERLINK("http://www.ncbi.nlm.nih.gov/gene/183414", "183414")</f>
        <v>183414</v>
      </c>
      <c r="C403" s="9"/>
      <c r="D403" t="str">
        <f>"C43F9.4"</f>
        <v>C43F9.4</v>
      </c>
      <c r="F403" t="s">
        <v>11</v>
      </c>
      <c r="G403" t="s">
        <v>25</v>
      </c>
      <c r="H403" s="12">
        <v>7.8691597089380902</v>
      </c>
      <c r="I403" s="11">
        <v>0.61251365190975104</v>
      </c>
      <c r="J403" s="10">
        <v>0.54019796842331003</v>
      </c>
      <c r="K403" s="29">
        <v>0.98289565623980701</v>
      </c>
    </row>
    <row r="404" spans="1:11" x14ac:dyDescent="0.35">
      <c r="A404" s="9" t="str">
        <f>HYPERLINK("http://www.ensembl.org/id/WBGene00201477", "WBGene00201477")</f>
        <v>WBGene00201477</v>
      </c>
      <c r="B404" s="9"/>
      <c r="C404" s="9"/>
      <c r="D404" t="str">
        <f>"F08G5.20"</f>
        <v>F08G5.20</v>
      </c>
      <c r="F404" t="s">
        <v>481</v>
      </c>
      <c r="H404" s="12">
        <v>7.8691597089380902</v>
      </c>
      <c r="I404" s="11">
        <v>0.61251365190975104</v>
      </c>
      <c r="J404" s="10">
        <v>0.54019796842331003</v>
      </c>
      <c r="K404" s="29">
        <v>0.98289565623980701</v>
      </c>
    </row>
    <row r="405" spans="1:11" x14ac:dyDescent="0.35">
      <c r="A405" s="9" t="str">
        <f>HYPERLINK("http://www.ensembl.org/id/WBGene00008668", "WBGene00008668")</f>
        <v>WBGene00008668</v>
      </c>
      <c r="B405" s="9" t="str">
        <f>HYPERLINK("http://www.ncbi.nlm.nih.gov/gene/184325", "184325")</f>
        <v>184325</v>
      </c>
      <c r="C405" s="9"/>
      <c r="D405" t="str">
        <f>"F11A1.2"</f>
        <v>F11A1.2</v>
      </c>
      <c r="F405" t="s">
        <v>11</v>
      </c>
      <c r="H405" s="12">
        <v>7.8691597089380902</v>
      </c>
      <c r="I405" s="11">
        <v>0.61251365190975104</v>
      </c>
      <c r="J405" s="10">
        <v>0.54019796842331003</v>
      </c>
      <c r="K405" s="29">
        <v>0.98289565623980701</v>
      </c>
    </row>
    <row r="406" spans="1:11" x14ac:dyDescent="0.35">
      <c r="A406" s="9" t="str">
        <f>HYPERLINK("http://www.ensembl.org/id/WBGene00196814", "WBGene00196814")</f>
        <v>WBGene00196814</v>
      </c>
      <c r="B406" s="9"/>
      <c r="C406" s="9"/>
      <c r="D406" t="str">
        <f>"F14F3.8"</f>
        <v>F14F3.8</v>
      </c>
      <c r="F406" t="s">
        <v>481</v>
      </c>
      <c r="H406" s="12">
        <v>7.8691597089380902</v>
      </c>
      <c r="I406" s="11">
        <v>0.61251365190975104</v>
      </c>
      <c r="J406" s="10">
        <v>0.54019796842331003</v>
      </c>
      <c r="K406" s="29">
        <v>0.98289565623980701</v>
      </c>
    </row>
    <row r="407" spans="1:11" x14ac:dyDescent="0.35">
      <c r="A407" s="9" t="str">
        <f>HYPERLINK("http://www.ensembl.org/id/WBGene00219894", "WBGene00219894")</f>
        <v>WBGene00219894</v>
      </c>
      <c r="B407" s="9"/>
      <c r="C407" s="9"/>
      <c r="D407" t="str">
        <f>"F16A11.12"</f>
        <v>F16A11.12</v>
      </c>
      <c r="F407" t="s">
        <v>2977</v>
      </c>
      <c r="H407" s="12">
        <v>7.8691597089380902</v>
      </c>
      <c r="I407" s="11">
        <v>0.61251365190975104</v>
      </c>
      <c r="J407" s="10">
        <v>0.54019796842331003</v>
      </c>
      <c r="K407" s="29">
        <v>0.98289565623980701</v>
      </c>
    </row>
    <row r="408" spans="1:11" x14ac:dyDescent="0.35">
      <c r="A408" s="9" t="str">
        <f>HYPERLINK("http://www.ensembl.org/id/WBGene00198351", "WBGene00198351")</f>
        <v>WBGene00198351</v>
      </c>
      <c r="B408" s="9"/>
      <c r="C408" s="9"/>
      <c r="D408" t="str">
        <f>"F28A12.5"</f>
        <v>F28A12.5</v>
      </c>
      <c r="F408" t="s">
        <v>481</v>
      </c>
      <c r="H408" s="12">
        <v>7.8691597089380902</v>
      </c>
      <c r="I408" s="11">
        <v>0.61251365190975104</v>
      </c>
      <c r="J408" s="10">
        <v>0.54019796842331003</v>
      </c>
      <c r="K408" s="29">
        <v>0.98289565623980701</v>
      </c>
    </row>
    <row r="409" spans="1:11" x14ac:dyDescent="0.35">
      <c r="A409" s="9" t="str">
        <f>HYPERLINK("http://www.ensembl.org/id/WBGene00200981", "WBGene00200981")</f>
        <v>WBGene00200981</v>
      </c>
      <c r="B409" s="9"/>
      <c r="C409" s="9"/>
      <c r="D409" t="str">
        <f>"F35E12.12"</f>
        <v>F35E12.12</v>
      </c>
      <c r="F409" t="s">
        <v>481</v>
      </c>
      <c r="H409" s="12">
        <v>7.8691597089380902</v>
      </c>
      <c r="I409" s="11">
        <v>0.61251365190975104</v>
      </c>
      <c r="J409" s="10">
        <v>0.54019796842331003</v>
      </c>
      <c r="K409" s="29">
        <v>0.98289565623980701</v>
      </c>
    </row>
    <row r="410" spans="1:11" x14ac:dyDescent="0.35">
      <c r="A410" s="9" t="str">
        <f>HYPERLINK("http://www.ensembl.org/id/WBGene00195492", "WBGene00195492")</f>
        <v>WBGene00195492</v>
      </c>
      <c r="B410" s="9"/>
      <c r="C410" s="9"/>
      <c r="D410" t="str">
        <f>"F36G3.6"</f>
        <v>F36G3.6</v>
      </c>
      <c r="F410" t="s">
        <v>481</v>
      </c>
      <c r="H410" s="12">
        <v>7.8691597089380902</v>
      </c>
      <c r="I410" s="11">
        <v>0.61251365190975104</v>
      </c>
      <c r="J410" s="10">
        <v>0.54019796842331003</v>
      </c>
      <c r="K410" s="29">
        <v>0.98289565623980701</v>
      </c>
    </row>
    <row r="411" spans="1:11" x14ac:dyDescent="0.35">
      <c r="A411" s="9" t="str">
        <f>HYPERLINK("http://www.ensembl.org/id/WBGene00197724", "WBGene00197724")</f>
        <v>WBGene00197724</v>
      </c>
      <c r="B411" s="9"/>
      <c r="C411" s="9"/>
      <c r="D411" t="str">
        <f>"F36H1.15"</f>
        <v>F36H1.15</v>
      </c>
      <c r="F411" t="s">
        <v>481</v>
      </c>
      <c r="H411" s="12">
        <v>7.8691597089380902</v>
      </c>
      <c r="I411" s="11">
        <v>0.61251365190975104</v>
      </c>
      <c r="J411" s="10">
        <v>0.54019796842331003</v>
      </c>
      <c r="K411" s="29">
        <v>0.98289565623980701</v>
      </c>
    </row>
    <row r="412" spans="1:11" x14ac:dyDescent="0.35">
      <c r="A412" s="9" t="str">
        <f>HYPERLINK("http://www.ensembl.org/id/WBGene00195708", "WBGene00195708")</f>
        <v>WBGene00195708</v>
      </c>
      <c r="B412" s="9"/>
      <c r="C412" s="9"/>
      <c r="D412" t="str">
        <f>"F37B12.6"</f>
        <v>F37B12.6</v>
      </c>
      <c r="F412" t="s">
        <v>481</v>
      </c>
      <c r="H412" s="12">
        <v>7.8691597089380902</v>
      </c>
      <c r="I412" s="11">
        <v>0.61251365190975104</v>
      </c>
      <c r="J412" s="10">
        <v>0.54019796842331003</v>
      </c>
      <c r="K412" s="29">
        <v>0.98289565623980701</v>
      </c>
    </row>
    <row r="413" spans="1:11" x14ac:dyDescent="0.35">
      <c r="A413" s="9" t="str">
        <f>HYPERLINK("http://www.ensembl.org/id/WBGene00197613", "WBGene00197613")</f>
        <v>WBGene00197613</v>
      </c>
      <c r="B413" s="9"/>
      <c r="C413" s="9"/>
      <c r="D413" t="str">
        <f>"F49D11.13"</f>
        <v>F49D11.13</v>
      </c>
      <c r="F413" t="s">
        <v>481</v>
      </c>
      <c r="H413" s="12">
        <v>7.8691597089380902</v>
      </c>
      <c r="I413" s="11">
        <v>0.61251365190975104</v>
      </c>
      <c r="J413" s="10">
        <v>0.54019796842331003</v>
      </c>
      <c r="K413" s="29">
        <v>0.98289565623980701</v>
      </c>
    </row>
    <row r="414" spans="1:11" x14ac:dyDescent="0.35">
      <c r="A414" s="9" t="str">
        <f>HYPERLINK("http://www.ensembl.org/id/WBGene00018693", "WBGene00018693")</f>
        <v>WBGene00018693</v>
      </c>
      <c r="B414" s="9" t="str">
        <f>HYPERLINK("http://www.ncbi.nlm.nih.gov/gene/186112", "186112")</f>
        <v>186112</v>
      </c>
      <c r="C414" s="9"/>
      <c r="D414" t="str">
        <f>"F52E1.3"</f>
        <v>F52E1.3</v>
      </c>
      <c r="F414" t="s">
        <v>11</v>
      </c>
      <c r="H414" s="12">
        <v>7.8691597089380902</v>
      </c>
      <c r="I414" s="11">
        <v>0.61251365190975104</v>
      </c>
      <c r="J414" s="10">
        <v>0.54019796842331003</v>
      </c>
      <c r="K414" s="29">
        <v>0.98289565623980701</v>
      </c>
    </row>
    <row r="415" spans="1:11" x14ac:dyDescent="0.35">
      <c r="A415" s="9" t="str">
        <f>HYPERLINK("http://www.ensembl.org/id/WBGene00023064", "WBGene00023064")</f>
        <v>WBGene00023064</v>
      </c>
      <c r="B415" s="9"/>
      <c r="C415" s="9"/>
      <c r="D415" t="str">
        <f>"F52H2.t2"</f>
        <v>F52H2.t2</v>
      </c>
      <c r="F415" t="s">
        <v>4208</v>
      </c>
      <c r="H415" s="12">
        <v>7.8691597089380902</v>
      </c>
      <c r="I415" s="11">
        <v>0.61251365190975104</v>
      </c>
      <c r="J415" s="10">
        <v>0.54019796842331003</v>
      </c>
      <c r="K415" s="29">
        <v>0.98289565623980701</v>
      </c>
    </row>
    <row r="416" spans="1:11" x14ac:dyDescent="0.35">
      <c r="A416" s="9" t="str">
        <f>HYPERLINK("http://www.ensembl.org/id/WBGene00268204", "WBGene00268204")</f>
        <v>WBGene00268204</v>
      </c>
      <c r="B416" s="9"/>
      <c r="C416" s="9"/>
      <c r="D416" t="str">
        <f>"F53E10.8"</f>
        <v>F53E10.8</v>
      </c>
      <c r="F416" t="s">
        <v>80</v>
      </c>
      <c r="H416" s="12">
        <v>7.8691597089380902</v>
      </c>
      <c r="I416" s="11">
        <v>0.61251365190975104</v>
      </c>
      <c r="J416" s="10">
        <v>0.54019796842331003</v>
      </c>
      <c r="K416" s="29">
        <v>0.98289565623980701</v>
      </c>
    </row>
    <row r="417" spans="1:11" x14ac:dyDescent="0.35">
      <c r="A417" s="9" t="str">
        <f>HYPERLINK("http://www.ensembl.org/id/WBGene00020262", "WBGene00020262")</f>
        <v>WBGene00020262</v>
      </c>
      <c r="B417" s="9" t="str">
        <f>HYPERLINK("http://www.ncbi.nlm.nih.gov/gene/188128", "188128")</f>
        <v>188128</v>
      </c>
      <c r="C417" s="9" t="str">
        <f>HYPERLINK("http://www.ncbi.nlm.nih.gov/gene/8291", "8291")</f>
        <v>8291</v>
      </c>
      <c r="D417" t="str">
        <f>"ferl-1"</f>
        <v>ferl-1</v>
      </c>
      <c r="E417" t="s">
        <v>4226</v>
      </c>
      <c r="F417" t="s">
        <v>11</v>
      </c>
      <c r="G417" t="s">
        <v>1268</v>
      </c>
      <c r="H417" s="12">
        <v>7.8691597089380902</v>
      </c>
      <c r="I417" s="11">
        <v>0.61251365190975104</v>
      </c>
      <c r="J417" s="10">
        <v>0.54019796842331003</v>
      </c>
      <c r="K417" s="29">
        <v>0.98289565623980701</v>
      </c>
    </row>
    <row r="418" spans="1:11" x14ac:dyDescent="0.35">
      <c r="A418" s="9" t="str">
        <f>HYPERLINK("http://www.ensembl.org/id/WBGene00019292", "WBGene00019292")</f>
        <v>WBGene00019292</v>
      </c>
      <c r="B418" s="9" t="str">
        <f>HYPERLINK("http://www.ncbi.nlm.nih.gov/gene/186861", "186861")</f>
        <v>186861</v>
      </c>
      <c r="C418" s="9"/>
      <c r="D418" t="str">
        <f>"K02A6.1"</f>
        <v>K02A6.1</v>
      </c>
      <c r="F418" t="s">
        <v>11</v>
      </c>
      <c r="H418" s="12">
        <v>7.8691597089380902</v>
      </c>
      <c r="I418" s="11">
        <v>0.61251365190975104</v>
      </c>
      <c r="J418" s="10">
        <v>0.54019796842331003</v>
      </c>
      <c r="K418" s="29">
        <v>0.98289565623980701</v>
      </c>
    </row>
    <row r="419" spans="1:11" x14ac:dyDescent="0.35">
      <c r="A419" s="9" t="str">
        <f>HYPERLINK("http://www.ensembl.org/id/WBGene00011515", "WBGene00011515")</f>
        <v>WBGene00011515</v>
      </c>
      <c r="B419" s="9" t="str">
        <f>HYPERLINK("http://www.ncbi.nlm.nih.gov/gene/188167", "188167")</f>
        <v>188167</v>
      </c>
      <c r="C419" s="9"/>
      <c r="D419" t="str">
        <f>"oac-42"</f>
        <v>oac-42</v>
      </c>
      <c r="E419" t="s">
        <v>883</v>
      </c>
      <c r="F419" t="s">
        <v>11</v>
      </c>
      <c r="G419" t="s">
        <v>1992</v>
      </c>
      <c r="H419" s="12">
        <v>7.8691597089380902</v>
      </c>
      <c r="I419" s="11">
        <v>0.61251365190975104</v>
      </c>
      <c r="J419" s="10">
        <v>0.54019796842331003</v>
      </c>
      <c r="K419" s="29">
        <v>0.98289565623980701</v>
      </c>
    </row>
    <row r="420" spans="1:11" x14ac:dyDescent="0.35">
      <c r="A420" s="9" t="str">
        <f>HYPERLINK("http://www.ensembl.org/id/WBGene00016827", "WBGene00016827")</f>
        <v>WBGene00016827</v>
      </c>
      <c r="B420" s="9" t="str">
        <f>HYPERLINK("http://www.ncbi.nlm.nih.gov/gene/183665", "183665")</f>
        <v>183665</v>
      </c>
      <c r="C420" s="9"/>
      <c r="D420" t="str">
        <f>"sre-53"</f>
        <v>sre-53</v>
      </c>
      <c r="E420" t="s">
        <v>2638</v>
      </c>
      <c r="F420" t="s">
        <v>11</v>
      </c>
      <c r="G420" t="s">
        <v>2639</v>
      </c>
      <c r="H420" s="12">
        <v>7.8691597089380902</v>
      </c>
      <c r="I420" s="11">
        <v>0.61251365190975104</v>
      </c>
      <c r="J420" s="10">
        <v>0.54019796842331003</v>
      </c>
      <c r="K420" s="29">
        <v>0.98289565623980701</v>
      </c>
    </row>
    <row r="421" spans="1:11" x14ac:dyDescent="0.35">
      <c r="A421" s="9" t="str">
        <f>HYPERLINK("http://www.ensembl.org/id/WBGene00006173", "WBGene00006173")</f>
        <v>WBGene00006173</v>
      </c>
      <c r="B421" s="9" t="str">
        <f>HYPERLINK("http://www.ncbi.nlm.nih.gov/gene/192003", "192003")</f>
        <v>192003</v>
      </c>
      <c r="C421" s="9"/>
      <c r="D421" t="str">
        <f>"str-122"</f>
        <v>str-122</v>
      </c>
      <c r="E421" t="s">
        <v>590</v>
      </c>
      <c r="F421" t="s">
        <v>11</v>
      </c>
      <c r="H421" s="12">
        <v>7.8691597089380902</v>
      </c>
      <c r="I421" s="11">
        <v>0.61251365190975104</v>
      </c>
      <c r="J421" s="10">
        <v>0.54019796842331003</v>
      </c>
      <c r="K421" s="29">
        <v>0.98289565623980701</v>
      </c>
    </row>
    <row r="422" spans="1:11" x14ac:dyDescent="0.35">
      <c r="A422" s="9" t="str">
        <f>HYPERLINK("http://www.ensembl.org/id/WBGene00020178", "WBGene00020178")</f>
        <v>WBGene00020178</v>
      </c>
      <c r="B422" s="9" t="str">
        <f>HYPERLINK("http://www.ncbi.nlm.nih.gov/gene/188007", "188007")</f>
        <v>188007</v>
      </c>
      <c r="C422" s="9"/>
      <c r="D422" t="str">
        <f>"T02H6.8"</f>
        <v>T02H6.8</v>
      </c>
      <c r="F422" t="s">
        <v>11</v>
      </c>
      <c r="H422" s="12">
        <v>7.8691597089380902</v>
      </c>
      <c r="I422" s="11">
        <v>0.61251365190975104</v>
      </c>
      <c r="J422" s="10">
        <v>0.54019796842331003</v>
      </c>
      <c r="K422" s="29">
        <v>0.98289565623980701</v>
      </c>
    </row>
    <row r="423" spans="1:11" x14ac:dyDescent="0.35">
      <c r="A423" s="9" t="str">
        <f>HYPERLINK("http://www.ensembl.org/id/WBGene00199366", "WBGene00199366")</f>
        <v>WBGene00199366</v>
      </c>
      <c r="B423" s="9"/>
      <c r="C423" s="9"/>
      <c r="D423" t="str">
        <f>"T06F4.12"</f>
        <v>T06F4.12</v>
      </c>
      <c r="F423" t="s">
        <v>481</v>
      </c>
      <c r="H423" s="12">
        <v>7.8691597089380902</v>
      </c>
      <c r="I423" s="11">
        <v>0.61251365190975104</v>
      </c>
      <c r="J423" s="10">
        <v>0.54019796842331003</v>
      </c>
      <c r="K423" s="29">
        <v>0.98289565623980701</v>
      </c>
    </row>
    <row r="424" spans="1:11" x14ac:dyDescent="0.35">
      <c r="A424" s="9" t="str">
        <f>HYPERLINK("http://www.ensembl.org/id/WBGene00011547", "WBGene00011547")</f>
        <v>WBGene00011547</v>
      </c>
      <c r="B424" s="9" t="str">
        <f>HYPERLINK("http://www.ncbi.nlm.nih.gov/gene/188197", "188197")</f>
        <v>188197</v>
      </c>
      <c r="C424" s="9"/>
      <c r="D424" t="str">
        <f>"T06G6.5"</f>
        <v>T06G6.5</v>
      </c>
      <c r="F424" t="s">
        <v>11</v>
      </c>
      <c r="H424" s="12">
        <v>7.8691597089380902</v>
      </c>
      <c r="I424" s="11">
        <v>0.61251365190975104</v>
      </c>
      <c r="J424" s="10">
        <v>0.54019796842331003</v>
      </c>
      <c r="K424" s="29">
        <v>0.98289565623980701</v>
      </c>
    </row>
    <row r="425" spans="1:11" x14ac:dyDescent="0.35">
      <c r="A425" s="9" t="str">
        <f>HYPERLINK("http://www.ensembl.org/id/WBGene00009758", "WBGene00009758")</f>
        <v>WBGene00009758</v>
      </c>
      <c r="B425" s="9" t="str">
        <f>HYPERLINK("http://www.ncbi.nlm.nih.gov/gene/185831", "185831")</f>
        <v>185831</v>
      </c>
      <c r="C425" s="9"/>
      <c r="D425" t="str">
        <f>"ttr-11"</f>
        <v>ttr-11</v>
      </c>
      <c r="E425" t="s">
        <v>16</v>
      </c>
      <c r="F425" t="s">
        <v>11</v>
      </c>
      <c r="G425" t="s">
        <v>17</v>
      </c>
      <c r="H425" s="12">
        <v>7.8691597089380902</v>
      </c>
      <c r="I425" s="11">
        <v>0.61251365190975104</v>
      </c>
      <c r="J425" s="10">
        <v>0.54019796842331003</v>
      </c>
      <c r="K425" s="29">
        <v>0.98289565623980701</v>
      </c>
    </row>
    <row r="426" spans="1:11" x14ac:dyDescent="0.35">
      <c r="A426" s="9" t="str">
        <f>HYPERLINK("http://www.ensembl.org/id/WBGene00199755", "WBGene00199755")</f>
        <v>WBGene00199755</v>
      </c>
      <c r="B426" s="9"/>
      <c r="C426" s="9"/>
      <c r="D426" t="str">
        <f>"Y48C3A.22"</f>
        <v>Y48C3A.22</v>
      </c>
      <c r="F426" t="s">
        <v>481</v>
      </c>
      <c r="H426" s="12">
        <v>7.8691597089380902</v>
      </c>
      <c r="I426" s="11">
        <v>0.61251365190975104</v>
      </c>
      <c r="J426" s="10">
        <v>0.54019796842331003</v>
      </c>
      <c r="K426" s="29">
        <v>0.98289565623980701</v>
      </c>
    </row>
    <row r="427" spans="1:11" x14ac:dyDescent="0.35">
      <c r="A427" s="9" t="str">
        <f>HYPERLINK("http://www.ensembl.org/id/WBGene00021995", "WBGene00021995")</f>
        <v>WBGene00021995</v>
      </c>
      <c r="B427" s="9"/>
      <c r="C427" s="9"/>
      <c r="D427" t="str">
        <f>"Y59E9AL.5"</f>
        <v>Y59E9AL.5</v>
      </c>
      <c r="F427" t="s">
        <v>80</v>
      </c>
      <c r="H427" s="12">
        <v>7.8691597089380902</v>
      </c>
      <c r="I427" s="11">
        <v>0.61251365190975104</v>
      </c>
      <c r="J427" s="10">
        <v>0.54019796842331003</v>
      </c>
      <c r="K427" s="29">
        <v>0.98289565623980701</v>
      </c>
    </row>
    <row r="428" spans="1:11" x14ac:dyDescent="0.35">
      <c r="A428" s="9" t="str">
        <f>HYPERLINK("http://www.ensembl.org/id/WBGene00194735", "WBGene00194735")</f>
        <v>WBGene00194735</v>
      </c>
      <c r="B428" s="9" t="str">
        <f>HYPERLINK("http://www.ncbi.nlm.nih.gov/gene/13188477", "13188477")</f>
        <v>13188477</v>
      </c>
      <c r="C428" s="9"/>
      <c r="D428" t="str">
        <f>"Y82E9BL.19"</f>
        <v>Y82E9BL.19</v>
      </c>
      <c r="F428" t="s">
        <v>11</v>
      </c>
      <c r="H428" s="12">
        <v>7.8691597089380902</v>
      </c>
      <c r="I428" s="11">
        <v>0.61251365190975104</v>
      </c>
      <c r="J428" s="10">
        <v>0.54019796842331003</v>
      </c>
      <c r="K428" s="29">
        <v>0.98289565623980701</v>
      </c>
    </row>
    <row r="429" spans="1:11" x14ac:dyDescent="0.35">
      <c r="A429" s="9" t="str">
        <f>HYPERLINK("http://www.ensembl.org/id/WBGene00014184", "WBGene00014184")</f>
        <v>WBGene00014184</v>
      </c>
      <c r="B429" s="9" t="str">
        <f>HYPERLINK("http://www.ncbi.nlm.nih.gov/gene/191493", "191493")</f>
        <v>191493</v>
      </c>
      <c r="C429" s="9"/>
      <c r="D429" t="str">
        <f>"ZK1025.4"</f>
        <v>ZK1025.4</v>
      </c>
      <c r="F429" t="s">
        <v>11</v>
      </c>
      <c r="G429" t="s">
        <v>1212</v>
      </c>
      <c r="H429" s="12">
        <v>7.8691597089380902</v>
      </c>
      <c r="I429" s="11">
        <v>0.61251365190975104</v>
      </c>
      <c r="J429" s="10">
        <v>0.54019796842331003</v>
      </c>
      <c r="K429" s="29">
        <v>0.98289565623980701</v>
      </c>
    </row>
    <row r="430" spans="1:11" x14ac:dyDescent="0.35">
      <c r="A430" s="9" t="str">
        <f>HYPERLINK("http://www.ensembl.org/id/WBGene00007306", "WBGene00007306")</f>
        <v>WBGene00007306</v>
      </c>
      <c r="B430" s="9" t="str">
        <f>HYPERLINK("http://www.ncbi.nlm.nih.gov/gene/182233", "182233")</f>
        <v>182233</v>
      </c>
      <c r="C430" s="9"/>
      <c r="D430" t="str">
        <f>"C04G2.5"</f>
        <v>C04G2.5</v>
      </c>
      <c r="F430" t="s">
        <v>11</v>
      </c>
      <c r="H430" s="12">
        <v>7.8638427606994901</v>
      </c>
      <c r="I430" s="11">
        <v>1.3011598956415</v>
      </c>
      <c r="J430" s="10">
        <v>0.19320372946137199</v>
      </c>
      <c r="K430" s="29">
        <v>0.93364612723352502</v>
      </c>
    </row>
    <row r="431" spans="1:11" x14ac:dyDescent="0.35">
      <c r="A431" s="9" t="str">
        <f>HYPERLINK("http://www.ensembl.org/id/WBGene00005591", "WBGene00005591")</f>
        <v>WBGene00005591</v>
      </c>
      <c r="B431" s="9" t="str">
        <f>HYPERLINK("http://www.ncbi.nlm.nih.gov/gene/191436", "191436")</f>
        <v>191436</v>
      </c>
      <c r="C431" s="9"/>
      <c r="D431" t="str">
        <f>"srj-1"</f>
        <v>srj-1</v>
      </c>
      <c r="E431" t="s">
        <v>3123</v>
      </c>
      <c r="F431" t="s">
        <v>11</v>
      </c>
      <c r="G431" t="s">
        <v>25</v>
      </c>
      <c r="H431" s="12">
        <v>7.8340710827619899</v>
      </c>
      <c r="I431" s="11">
        <v>0.99940523141660398</v>
      </c>
      <c r="J431" s="10">
        <v>0.31759842663006399</v>
      </c>
      <c r="K431" s="29">
        <v>0.98289565623980701</v>
      </c>
    </row>
    <row r="432" spans="1:11" x14ac:dyDescent="0.35">
      <c r="A432" s="9" t="str">
        <f>HYPERLINK("http://www.ensembl.org/id/WBGene00020565", "WBGene00020565")</f>
        <v>WBGene00020565</v>
      </c>
      <c r="B432" s="9" t="str">
        <f>HYPERLINK("http://www.ncbi.nlm.nih.gov/gene/24104903", "24104903")</f>
        <v>24104903</v>
      </c>
      <c r="C432" s="9"/>
      <c r="D432" t="str">
        <f>"T19C3.7"</f>
        <v>T19C3.7</v>
      </c>
      <c r="F432" t="s">
        <v>11</v>
      </c>
      <c r="H432" s="12">
        <v>7.8165822876177797</v>
      </c>
      <c r="I432" s="11">
        <v>1.0475179707613</v>
      </c>
      <c r="J432" s="10">
        <v>0.29486074825063202</v>
      </c>
      <c r="K432" s="29">
        <v>0.98289565623980701</v>
      </c>
    </row>
    <row r="433" spans="1:11" x14ac:dyDescent="0.35">
      <c r="A433" s="9" t="str">
        <f>HYPERLINK("http://www.ensembl.org/id/WBGene00206520", "WBGene00206520")</f>
        <v>WBGene00206520</v>
      </c>
      <c r="B433" s="9" t="str">
        <f>HYPERLINK("http://www.ncbi.nlm.nih.gov/gene/13198689", "13198689")</f>
        <v>13198689</v>
      </c>
      <c r="C433" s="9"/>
      <c r="D433" t="str">
        <f>"ZK897.10"</f>
        <v>ZK897.10</v>
      </c>
      <c r="F433" t="s">
        <v>11</v>
      </c>
      <c r="H433" s="12">
        <v>7.8165822876177797</v>
      </c>
      <c r="I433" s="11">
        <v>1.0475179707613</v>
      </c>
      <c r="J433" s="10">
        <v>0.29486074825063202</v>
      </c>
      <c r="K433" s="29">
        <v>0.98289565623980701</v>
      </c>
    </row>
    <row r="434" spans="1:11" x14ac:dyDescent="0.35">
      <c r="A434" s="9" t="str">
        <f>HYPERLINK("http://www.ensembl.org/id/WBGene00001542", "WBGene00001542")</f>
        <v>WBGene00001542</v>
      </c>
      <c r="B434" s="9" t="str">
        <f>HYPERLINK("http://www.ncbi.nlm.nih.gov/gene/191649", "191649")</f>
        <v>191649</v>
      </c>
      <c r="C434" s="9"/>
      <c r="D434" t="str">
        <f>"gcy-17"</f>
        <v>gcy-17</v>
      </c>
      <c r="E434" t="s">
        <v>1563</v>
      </c>
      <c r="F434" t="s">
        <v>11</v>
      </c>
      <c r="G434" t="s">
        <v>1564</v>
      </c>
      <c r="H434" s="12">
        <v>7.8120685699732499</v>
      </c>
      <c r="I434" s="11">
        <v>2.10433504148636</v>
      </c>
      <c r="J434" s="10">
        <v>3.5349231417433E-2</v>
      </c>
      <c r="K434" s="29">
        <v>0.429158143312241</v>
      </c>
    </row>
    <row r="435" spans="1:11" x14ac:dyDescent="0.35">
      <c r="A435" s="9" t="str">
        <f>HYPERLINK("http://www.ensembl.org/id/WBGene00005269", "WBGene00005269")</f>
        <v>WBGene00005269</v>
      </c>
      <c r="B435" s="9" t="str">
        <f>HYPERLINK("http://www.ncbi.nlm.nih.gov/gene/188025", "188025")</f>
        <v>188025</v>
      </c>
      <c r="C435" s="9"/>
      <c r="D435" t="str">
        <f>"srh-46"</f>
        <v>srh-46</v>
      </c>
      <c r="E435" t="s">
        <v>153</v>
      </c>
      <c r="F435" t="s">
        <v>11</v>
      </c>
      <c r="G435" t="s">
        <v>25</v>
      </c>
      <c r="H435" s="12">
        <v>7.7704970824990198</v>
      </c>
      <c r="I435" s="11">
        <v>1.35204868844894</v>
      </c>
      <c r="J435" s="10">
        <v>0.17635974030691801</v>
      </c>
      <c r="K435" s="29">
        <v>0.90619516079822804</v>
      </c>
    </row>
    <row r="436" spans="1:11" x14ac:dyDescent="0.35">
      <c r="A436" s="9" t="str">
        <f>HYPERLINK("http://www.ensembl.org/id/WBGene00044642", "WBGene00044642")</f>
        <v>WBGene00044642</v>
      </c>
      <c r="B436" s="9"/>
      <c r="C436" s="9"/>
      <c r="D436" t="str">
        <f>"clec-69"</f>
        <v>clec-69</v>
      </c>
      <c r="F436" t="s">
        <v>80</v>
      </c>
      <c r="H436" s="12">
        <v>7.7351581449325204</v>
      </c>
      <c r="I436" s="11">
        <v>1.5090267182138899</v>
      </c>
      <c r="J436" s="10">
        <v>0.13129195504527499</v>
      </c>
      <c r="K436" s="29">
        <v>0.81593112245188704</v>
      </c>
    </row>
    <row r="437" spans="1:11" x14ac:dyDescent="0.35">
      <c r="A437" s="9" t="str">
        <f>HYPERLINK("http://www.ensembl.org/id/WBGene00015982", "WBGene00015982")</f>
        <v>WBGene00015982</v>
      </c>
      <c r="B437" s="9" t="str">
        <f>HYPERLINK("http://www.ncbi.nlm.nih.gov/gene/182795", "182795")</f>
        <v>182795</v>
      </c>
      <c r="C437" s="9"/>
      <c r="D437" t="str">
        <f>"bgnt-1.4"</f>
        <v>bgnt-1.4</v>
      </c>
      <c r="E437" t="s">
        <v>4228</v>
      </c>
      <c r="F437" t="s">
        <v>11</v>
      </c>
      <c r="G437" t="s">
        <v>4229</v>
      </c>
      <c r="H437" s="12">
        <v>7.7332001203887399</v>
      </c>
      <c r="I437" s="11">
        <v>0.82261633065247097</v>
      </c>
      <c r="J437" s="10">
        <v>0.41072620892744899</v>
      </c>
      <c r="K437" s="29">
        <v>0.98289565623980701</v>
      </c>
    </row>
    <row r="438" spans="1:11" x14ac:dyDescent="0.35">
      <c r="A438" s="9" t="str">
        <f>HYPERLINK("http://www.ensembl.org/id/WBGene00196397", "WBGene00196397")</f>
        <v>WBGene00196397</v>
      </c>
      <c r="B438" s="9"/>
      <c r="C438" s="9"/>
      <c r="D438" t="str">
        <f>"F48C1.12"</f>
        <v>F48C1.12</v>
      </c>
      <c r="F438" t="s">
        <v>481</v>
      </c>
      <c r="H438" s="12">
        <v>7.7332001203887399</v>
      </c>
      <c r="I438" s="11">
        <v>0.82261633065247097</v>
      </c>
      <c r="J438" s="10">
        <v>0.41072620892744899</v>
      </c>
      <c r="K438" s="29">
        <v>0.98289565623980701</v>
      </c>
    </row>
    <row r="439" spans="1:11" x14ac:dyDescent="0.35">
      <c r="A439" s="9" t="str">
        <f>HYPERLINK("http://www.ensembl.org/id/WBGene00019080", "WBGene00019080")</f>
        <v>WBGene00019080</v>
      </c>
      <c r="B439" s="9" t="str">
        <f>HYPERLINK("http://www.ncbi.nlm.nih.gov/gene/186578", "186578")</f>
        <v>186578</v>
      </c>
      <c r="C439" s="9"/>
      <c r="D439" t="str">
        <f>"F59A3.7"</f>
        <v>F59A3.7</v>
      </c>
      <c r="F439" t="s">
        <v>11</v>
      </c>
      <c r="G439" t="s">
        <v>25</v>
      </c>
      <c r="H439" s="12">
        <v>7.7332001203887399</v>
      </c>
      <c r="I439" s="11">
        <v>0.82261633065247097</v>
      </c>
      <c r="J439" s="10">
        <v>0.41072620892744899</v>
      </c>
      <c r="K439" s="29">
        <v>0.98289565623980701</v>
      </c>
    </row>
    <row r="440" spans="1:11" x14ac:dyDescent="0.35">
      <c r="A440" s="9" t="str">
        <f>HYPERLINK("http://www.ensembl.org/id/WBGene00219572", "WBGene00219572")</f>
        <v>WBGene00219572</v>
      </c>
      <c r="B440" s="9"/>
      <c r="C440" s="9"/>
      <c r="D440" t="str">
        <f>"linc-146"</f>
        <v>linc-146</v>
      </c>
      <c r="F440" t="s">
        <v>1510</v>
      </c>
      <c r="H440" s="12">
        <v>7.7332001203887399</v>
      </c>
      <c r="I440" s="11">
        <v>0.82261633065247097</v>
      </c>
      <c r="J440" s="10">
        <v>0.41072620892744899</v>
      </c>
      <c r="K440" s="29">
        <v>0.98289565623980701</v>
      </c>
    </row>
    <row r="441" spans="1:11" x14ac:dyDescent="0.35">
      <c r="A441" s="9" t="str">
        <f>HYPERLINK("http://www.ensembl.org/id/WBGene00206490", "WBGene00206490")</f>
        <v>WBGene00206490</v>
      </c>
      <c r="B441" s="9" t="str">
        <f>HYPERLINK("http://www.ncbi.nlm.nih.gov/gene/13203014", "13203014")</f>
        <v>13203014</v>
      </c>
      <c r="C441" s="9"/>
      <c r="D441" t="str">
        <f>"Y57G11C.1142"</f>
        <v>Y57G11C.1142</v>
      </c>
      <c r="F441" t="s">
        <v>11</v>
      </c>
      <c r="H441" s="12">
        <v>7.7332001203887399</v>
      </c>
      <c r="I441" s="11">
        <v>0.82261633065247097</v>
      </c>
      <c r="J441" s="10">
        <v>0.41072620892744899</v>
      </c>
      <c r="K441" s="29">
        <v>0.98289565623980701</v>
      </c>
    </row>
    <row r="442" spans="1:11" x14ac:dyDescent="0.35">
      <c r="A442" s="9" t="str">
        <f>HYPERLINK("http://www.ensembl.org/id/WBGene00001237", "WBGene00001237")</f>
        <v>WBGene00001237</v>
      </c>
      <c r="B442" s="9" t="str">
        <f>HYPERLINK("http://www.ncbi.nlm.nih.gov/gene/24104987", "24104987")</f>
        <v>24104987</v>
      </c>
      <c r="C442" s="9"/>
      <c r="D442" t="str">
        <f>"elc-2"</f>
        <v>elc-2</v>
      </c>
      <c r="E442" t="s">
        <v>2255</v>
      </c>
      <c r="F442" t="s">
        <v>11</v>
      </c>
      <c r="G442" t="s">
        <v>2256</v>
      </c>
      <c r="H442" s="12">
        <v>7.7126189292473004</v>
      </c>
      <c r="I442" s="11">
        <v>1.7444720710889801</v>
      </c>
      <c r="J442" s="10">
        <v>8.1076807327026906E-2</v>
      </c>
      <c r="K442" s="29">
        <v>0.67025427910493196</v>
      </c>
    </row>
    <row r="443" spans="1:11" x14ac:dyDescent="0.35">
      <c r="A443" s="9" t="str">
        <f>HYPERLINK("http://www.ensembl.org/id/WBGene00174624", "WBGene00174624")</f>
        <v>WBGene00174624</v>
      </c>
      <c r="B443" s="9"/>
      <c r="C443" s="9"/>
      <c r="D443" t="str">
        <f>"21ur-12305"</f>
        <v>21ur-12305</v>
      </c>
      <c r="F443" t="s">
        <v>3161</v>
      </c>
      <c r="H443" s="12">
        <v>7.6616465944663696</v>
      </c>
      <c r="I443" s="11">
        <v>0.60406875593600395</v>
      </c>
      <c r="J443" s="10">
        <v>0.54579793098927099</v>
      </c>
      <c r="K443" s="29">
        <v>0.98289565623980701</v>
      </c>
    </row>
    <row r="444" spans="1:11" x14ac:dyDescent="0.35">
      <c r="A444" s="9" t="str">
        <f>HYPERLINK("http://www.ensembl.org/id/WBGene00048647", "WBGene00048647")</f>
        <v>WBGene00048647</v>
      </c>
      <c r="B444" s="9"/>
      <c r="C444" s="9"/>
      <c r="D444" t="str">
        <f>"21ur-2151"</f>
        <v>21ur-2151</v>
      </c>
      <c r="F444" t="s">
        <v>3161</v>
      </c>
      <c r="H444" s="12">
        <v>7.6616465944663696</v>
      </c>
      <c r="I444" s="11">
        <v>0.60406875593600395</v>
      </c>
      <c r="J444" s="10">
        <v>0.54579793098927099</v>
      </c>
      <c r="K444" s="29">
        <v>0.98289565623980701</v>
      </c>
    </row>
    <row r="445" spans="1:11" x14ac:dyDescent="0.35">
      <c r="A445" s="9" t="str">
        <f>HYPERLINK("http://www.ensembl.org/id/WBGene00199339", "WBGene00199339")</f>
        <v>WBGene00199339</v>
      </c>
      <c r="B445" s="9"/>
      <c r="C445" s="9"/>
      <c r="D445" t="str">
        <f>"C41G7.13"</f>
        <v>C41G7.13</v>
      </c>
      <c r="F445" t="s">
        <v>481</v>
      </c>
      <c r="H445" s="12">
        <v>7.6616465944663696</v>
      </c>
      <c r="I445" s="11">
        <v>0.60406875593600395</v>
      </c>
      <c r="J445" s="10">
        <v>0.54579793098927099</v>
      </c>
      <c r="K445" s="29">
        <v>0.98289565623980701</v>
      </c>
    </row>
    <row r="446" spans="1:11" x14ac:dyDescent="0.35">
      <c r="A446" s="9" t="str">
        <f>HYPERLINK("http://www.ensembl.org/id/WBGene00196329", "WBGene00196329")</f>
        <v>WBGene00196329</v>
      </c>
      <c r="B446" s="9"/>
      <c r="C446" s="9"/>
      <c r="D446" t="str">
        <f>"C48D5.4"</f>
        <v>C48D5.4</v>
      </c>
      <c r="F446" t="s">
        <v>481</v>
      </c>
      <c r="H446" s="12">
        <v>7.6616465944663696</v>
      </c>
      <c r="I446" s="11">
        <v>0.60406875593600395</v>
      </c>
      <c r="J446" s="10">
        <v>0.54579793098927099</v>
      </c>
      <c r="K446" s="29">
        <v>0.98289565623980701</v>
      </c>
    </row>
    <row r="447" spans="1:11" x14ac:dyDescent="0.35">
      <c r="A447" s="9" t="str">
        <f>HYPERLINK("http://www.ensembl.org/id/WBGene00012086", "WBGene00012086")</f>
        <v>WBGene00012086</v>
      </c>
      <c r="B447" s="9" t="str">
        <f>HYPERLINK("http://www.ncbi.nlm.nih.gov/gene/188994", "188994")</f>
        <v>188994</v>
      </c>
      <c r="C447" s="9"/>
      <c r="D447" t="str">
        <f>"clec-144"</f>
        <v>clec-144</v>
      </c>
      <c r="E447" t="s">
        <v>46</v>
      </c>
      <c r="F447" t="s">
        <v>11</v>
      </c>
      <c r="G447" t="s">
        <v>47</v>
      </c>
      <c r="H447" s="12">
        <v>7.6616465944663696</v>
      </c>
      <c r="I447" s="11">
        <v>0.60406875593600395</v>
      </c>
      <c r="J447" s="10">
        <v>0.54579793098927099</v>
      </c>
      <c r="K447" s="29">
        <v>0.98289565623980701</v>
      </c>
    </row>
    <row r="448" spans="1:11" x14ac:dyDescent="0.35">
      <c r="A448" s="9" t="str">
        <f>HYPERLINK("http://www.ensembl.org/id/WBGene00009424", "WBGene00009424")</f>
        <v>WBGene00009424</v>
      </c>
      <c r="B448" s="9" t="str">
        <f>HYPERLINK("http://www.ncbi.nlm.nih.gov/gene/185302", "185302")</f>
        <v>185302</v>
      </c>
      <c r="C448" s="9"/>
      <c r="D448" t="str">
        <f>"F35E8.13"</f>
        <v>F35E8.13</v>
      </c>
      <c r="F448" t="s">
        <v>11</v>
      </c>
      <c r="H448" s="12">
        <v>7.6616465944663696</v>
      </c>
      <c r="I448" s="11">
        <v>0.60406875593600395</v>
      </c>
      <c r="J448" s="10">
        <v>0.54579793098927099</v>
      </c>
      <c r="K448" s="29">
        <v>0.98289565623980701</v>
      </c>
    </row>
    <row r="449" spans="1:11" x14ac:dyDescent="0.35">
      <c r="A449" s="9" t="str">
        <f>HYPERLINK("http://www.ensembl.org/id/WBGene00197338", "WBGene00197338")</f>
        <v>WBGene00197338</v>
      </c>
      <c r="B449" s="9"/>
      <c r="C449" s="9"/>
      <c r="D449" t="str">
        <f>"F39H12.5"</f>
        <v>F39H12.5</v>
      </c>
      <c r="F449" t="s">
        <v>481</v>
      </c>
      <c r="H449" s="12">
        <v>7.6616465944663696</v>
      </c>
      <c r="I449" s="11">
        <v>0.60406875593600395</v>
      </c>
      <c r="J449" s="10">
        <v>0.54579793098927099</v>
      </c>
      <c r="K449" s="29">
        <v>0.98289565623980701</v>
      </c>
    </row>
    <row r="450" spans="1:11" x14ac:dyDescent="0.35">
      <c r="A450" s="9" t="str">
        <f>HYPERLINK("http://www.ensembl.org/id/WBGene00018883", "WBGene00018883")</f>
        <v>WBGene00018883</v>
      </c>
      <c r="B450" s="9" t="str">
        <f>HYPERLINK("http://www.ncbi.nlm.nih.gov/gene/186313", "186313")</f>
        <v>186313</v>
      </c>
      <c r="C450" s="9"/>
      <c r="D450" t="str">
        <f>"F55E10.4"</f>
        <v>F55E10.4</v>
      </c>
      <c r="F450" t="s">
        <v>11</v>
      </c>
      <c r="G450" t="s">
        <v>25</v>
      </c>
      <c r="H450" s="12">
        <v>7.6616465944663696</v>
      </c>
      <c r="I450" s="11">
        <v>0.60406875593600395</v>
      </c>
      <c r="J450" s="10">
        <v>0.54579793098927099</v>
      </c>
      <c r="K450" s="29">
        <v>0.98289565623980701</v>
      </c>
    </row>
    <row r="451" spans="1:11" x14ac:dyDescent="0.35">
      <c r="A451" s="9" t="str">
        <f>HYPERLINK("http://www.ensembl.org/id/WBGene00200937", "WBGene00200937")</f>
        <v>WBGene00200937</v>
      </c>
      <c r="B451" s="9"/>
      <c r="C451" s="9"/>
      <c r="D451" t="str">
        <f>"F57C7.13"</f>
        <v>F57C7.13</v>
      </c>
      <c r="F451" t="s">
        <v>481</v>
      </c>
      <c r="H451" s="12">
        <v>7.6616465944663696</v>
      </c>
      <c r="I451" s="11">
        <v>0.60406875593600395</v>
      </c>
      <c r="J451" s="10">
        <v>0.54579793098927099</v>
      </c>
      <c r="K451" s="29">
        <v>0.98289565623980701</v>
      </c>
    </row>
    <row r="452" spans="1:11" x14ac:dyDescent="0.35">
      <c r="A452" s="9" t="str">
        <f>HYPERLINK("http://www.ensembl.org/id/WBGene00023308", "WBGene00023308")</f>
        <v>WBGene00023308</v>
      </c>
      <c r="B452" s="9"/>
      <c r="C452" s="9"/>
      <c r="D452" t="str">
        <f>"H11E01.t1"</f>
        <v>H11E01.t1</v>
      </c>
      <c r="F452" t="s">
        <v>80</v>
      </c>
      <c r="H452" s="12">
        <v>7.6616465944663696</v>
      </c>
      <c r="I452" s="11">
        <v>0.60406875593600395</v>
      </c>
      <c r="J452" s="10">
        <v>0.54579793098927099</v>
      </c>
      <c r="K452" s="29">
        <v>0.98289565623980701</v>
      </c>
    </row>
    <row r="453" spans="1:11" x14ac:dyDescent="0.35">
      <c r="A453" s="9" t="str">
        <f>HYPERLINK("http://www.ensembl.org/id/WBGene00200172", "WBGene00200172")</f>
        <v>WBGene00200172</v>
      </c>
      <c r="B453" s="9"/>
      <c r="C453" s="9"/>
      <c r="D453" t="str">
        <f>"K01A6.18"</f>
        <v>K01A6.18</v>
      </c>
      <c r="F453" t="s">
        <v>481</v>
      </c>
      <c r="H453" s="12">
        <v>7.6616465944663696</v>
      </c>
      <c r="I453" s="11">
        <v>0.60406875593600395</v>
      </c>
      <c r="J453" s="10">
        <v>0.54579793098927099</v>
      </c>
      <c r="K453" s="29">
        <v>0.98289565623980701</v>
      </c>
    </row>
    <row r="454" spans="1:11" x14ac:dyDescent="0.35">
      <c r="A454" s="9" t="str">
        <f>HYPERLINK("http://www.ensembl.org/id/WBGene00011025", "WBGene00011025")</f>
        <v>WBGene00011025</v>
      </c>
      <c r="B454" s="9" t="str">
        <f>HYPERLINK("http://www.ncbi.nlm.nih.gov/gene/187598", "187598")</f>
        <v>187598</v>
      </c>
      <c r="C454" s="9"/>
      <c r="D454" t="str">
        <f>"R05A10.8"</f>
        <v>R05A10.8</v>
      </c>
      <c r="F454" t="s">
        <v>11</v>
      </c>
      <c r="G454" t="s">
        <v>25</v>
      </c>
      <c r="H454" s="12">
        <v>7.6616465944663696</v>
      </c>
      <c r="I454" s="11">
        <v>0.60406875593600395</v>
      </c>
      <c r="J454" s="10">
        <v>0.54579793098927099</v>
      </c>
      <c r="K454" s="29">
        <v>0.98289565623980701</v>
      </c>
    </row>
    <row r="455" spans="1:11" x14ac:dyDescent="0.35">
      <c r="A455" s="9" t="str">
        <f>HYPERLINK("http://www.ensembl.org/id/WBGene00019991", "WBGene00019991")</f>
        <v>WBGene00019991</v>
      </c>
      <c r="B455" s="9" t="str">
        <f>HYPERLINK("http://www.ncbi.nlm.nih.gov/gene/24104798", "24104798")</f>
        <v>24104798</v>
      </c>
      <c r="C455" s="9"/>
      <c r="D455" t="str">
        <f>"R09H3.3"</f>
        <v>R09H3.3</v>
      </c>
      <c r="F455" t="s">
        <v>11</v>
      </c>
      <c r="H455" s="12">
        <v>7.6616465944663696</v>
      </c>
      <c r="I455" s="11">
        <v>0.60406875593600395</v>
      </c>
      <c r="J455" s="10">
        <v>0.54579793098927099</v>
      </c>
      <c r="K455" s="29">
        <v>0.98289565623980701</v>
      </c>
    </row>
    <row r="456" spans="1:11" x14ac:dyDescent="0.35">
      <c r="A456" s="9" t="str">
        <f>HYPERLINK("http://www.ensembl.org/id/WBGene00020013", "WBGene00020013")</f>
        <v>WBGene00020013</v>
      </c>
      <c r="B456" s="9"/>
      <c r="C456" s="9"/>
      <c r="D456" t="str">
        <f>"R11G11.3"</f>
        <v>R11G11.3</v>
      </c>
      <c r="F456" t="s">
        <v>80</v>
      </c>
      <c r="H456" s="12">
        <v>7.6616465944663696</v>
      </c>
      <c r="I456" s="11">
        <v>0.60406875593600395</v>
      </c>
      <c r="J456" s="10">
        <v>0.54579793098927099</v>
      </c>
      <c r="K456" s="29">
        <v>0.98289565623980701</v>
      </c>
    </row>
    <row r="457" spans="1:11" x14ac:dyDescent="0.35">
      <c r="A457" s="9" t="str">
        <f>HYPERLINK("http://www.ensembl.org/id/WBGene00005047", "WBGene00005047")</f>
        <v>WBGene00005047</v>
      </c>
      <c r="B457" s="9" t="str">
        <f>HYPERLINK("http://www.ncbi.nlm.nih.gov/gene/185057", "185057")</f>
        <v>185057</v>
      </c>
      <c r="C457" s="9"/>
      <c r="D457" t="str">
        <f>"sra-21"</f>
        <v>sra-21</v>
      </c>
      <c r="E457" t="s">
        <v>4230</v>
      </c>
      <c r="F457" t="s">
        <v>11</v>
      </c>
      <c r="G457" t="s">
        <v>4210</v>
      </c>
      <c r="H457" s="12">
        <v>7.6616465944663696</v>
      </c>
      <c r="I457" s="11">
        <v>0.60406875593600395</v>
      </c>
      <c r="J457" s="10">
        <v>0.54579793098927099</v>
      </c>
      <c r="K457" s="29">
        <v>0.98289565623980701</v>
      </c>
    </row>
    <row r="458" spans="1:11" x14ac:dyDescent="0.35">
      <c r="A458" s="9" t="str">
        <f>HYPERLINK("http://www.ensembl.org/id/WBGene00005097", "WBGene00005097")</f>
        <v>WBGene00005097</v>
      </c>
      <c r="B458" s="9" t="str">
        <f>HYPERLINK("http://www.ncbi.nlm.nih.gov/gene/191808", "191808")</f>
        <v>191808</v>
      </c>
      <c r="C458" s="9"/>
      <c r="D458" t="str">
        <f>"srd-19"</f>
        <v>srd-19</v>
      </c>
      <c r="E458" t="s">
        <v>4231</v>
      </c>
      <c r="F458" t="s">
        <v>11</v>
      </c>
      <c r="G458" t="s">
        <v>25</v>
      </c>
      <c r="H458" s="12">
        <v>7.6616465944663696</v>
      </c>
      <c r="I458" s="11">
        <v>0.60406875593600395</v>
      </c>
      <c r="J458" s="10">
        <v>0.54579793098927099</v>
      </c>
      <c r="K458" s="29">
        <v>0.98289565623980701</v>
      </c>
    </row>
    <row r="459" spans="1:11" x14ac:dyDescent="0.35">
      <c r="A459" s="9" t="str">
        <f>HYPERLINK("http://www.ensembl.org/id/WBGene00008837", "WBGene00008837")</f>
        <v>WBGene00008837</v>
      </c>
      <c r="B459" s="9" t="str">
        <f>HYPERLINK("http://www.ncbi.nlm.nih.gov/gene/184510", "184510")</f>
        <v>184510</v>
      </c>
      <c r="C459" s="9"/>
      <c r="D459" t="str">
        <f>"sre-38"</f>
        <v>sre-38</v>
      </c>
      <c r="E459" t="s">
        <v>4232</v>
      </c>
      <c r="F459" t="s">
        <v>11</v>
      </c>
      <c r="G459" t="s">
        <v>2639</v>
      </c>
      <c r="H459" s="12">
        <v>7.6616465944663696</v>
      </c>
      <c r="I459" s="11">
        <v>0.60406875593600395</v>
      </c>
      <c r="J459" s="10">
        <v>0.54579793098927099</v>
      </c>
      <c r="K459" s="29">
        <v>0.98289565623980701</v>
      </c>
    </row>
    <row r="460" spans="1:11" x14ac:dyDescent="0.35">
      <c r="A460" s="9" t="str">
        <f>HYPERLINK("http://www.ensembl.org/id/WBGene00005211", "WBGene00005211")</f>
        <v>WBGene00005211</v>
      </c>
      <c r="B460" s="9" t="str">
        <f>HYPERLINK("http://www.ncbi.nlm.nih.gov/gene/353473", "353473")</f>
        <v>353473</v>
      </c>
      <c r="C460" s="9"/>
      <c r="D460" t="str">
        <f>"srg-54"</f>
        <v>srg-54</v>
      </c>
      <c r="E460" t="s">
        <v>1828</v>
      </c>
      <c r="F460" t="s">
        <v>11</v>
      </c>
      <c r="G460" t="s">
        <v>1829</v>
      </c>
      <c r="H460" s="12">
        <v>7.6616465944663696</v>
      </c>
      <c r="I460" s="11">
        <v>0.60406875593600395</v>
      </c>
      <c r="J460" s="10">
        <v>0.54579793098927099</v>
      </c>
      <c r="K460" s="29">
        <v>0.98289565623980701</v>
      </c>
    </row>
    <row r="461" spans="1:11" x14ac:dyDescent="0.35">
      <c r="A461" s="9" t="str">
        <f>HYPERLINK("http://www.ensembl.org/id/WBGene00005363", "WBGene00005363")</f>
        <v>WBGene00005363</v>
      </c>
      <c r="B461" s="9" t="str">
        <f>HYPERLINK("http://www.ncbi.nlm.nih.gov/gene/3565994", "3565994")</f>
        <v>3565994</v>
      </c>
      <c r="C461" s="9"/>
      <c r="D461" t="str">
        <f>"srh-147"</f>
        <v>srh-147</v>
      </c>
      <c r="E461" t="s">
        <v>153</v>
      </c>
      <c r="F461" t="s">
        <v>11</v>
      </c>
      <c r="G461" t="s">
        <v>25</v>
      </c>
      <c r="H461" s="12">
        <v>7.6616465944663696</v>
      </c>
      <c r="I461" s="11">
        <v>0.60406875593600395</v>
      </c>
      <c r="J461" s="10">
        <v>0.54579793098927099</v>
      </c>
      <c r="K461" s="29">
        <v>0.98289565623980701</v>
      </c>
    </row>
    <row r="462" spans="1:11" x14ac:dyDescent="0.35">
      <c r="A462" s="9" t="str">
        <f>HYPERLINK("http://www.ensembl.org/id/WBGene00005722", "WBGene00005722")</f>
        <v>WBGene00005722</v>
      </c>
      <c r="B462" s="9" t="str">
        <f>HYPERLINK("http://www.ncbi.nlm.nih.gov/gene/186779", "186779")</f>
        <v>186779</v>
      </c>
      <c r="C462" s="9"/>
      <c r="D462" t="str">
        <f>"srv-11"</f>
        <v>srv-11</v>
      </c>
      <c r="E462" t="s">
        <v>2916</v>
      </c>
      <c r="F462" t="s">
        <v>11</v>
      </c>
      <c r="G462" t="s">
        <v>25</v>
      </c>
      <c r="H462" s="12">
        <v>7.6616465944663696</v>
      </c>
      <c r="I462" s="11">
        <v>0.60406875593600395</v>
      </c>
      <c r="J462" s="10">
        <v>0.54579793098927099</v>
      </c>
      <c r="K462" s="29">
        <v>0.98289565623980701</v>
      </c>
    </row>
    <row r="463" spans="1:11" x14ac:dyDescent="0.35">
      <c r="A463" s="9" t="str">
        <f>HYPERLINK("http://www.ensembl.org/id/WBGene00021182", "WBGene00021182")</f>
        <v>WBGene00021182</v>
      </c>
      <c r="B463" s="9"/>
      <c r="C463" s="9"/>
      <c r="D463" t="str">
        <f>"srz-28"</f>
        <v>srz-28</v>
      </c>
      <c r="F463" t="s">
        <v>80</v>
      </c>
      <c r="H463" s="12">
        <v>7.6616465944663696</v>
      </c>
      <c r="I463" s="11">
        <v>0.60406875593600395</v>
      </c>
      <c r="J463" s="10">
        <v>0.54579793098927099</v>
      </c>
      <c r="K463" s="29">
        <v>0.98289565623980701</v>
      </c>
    </row>
    <row r="464" spans="1:11" x14ac:dyDescent="0.35">
      <c r="A464" s="9" t="str">
        <f>HYPERLINK("http://www.ensembl.org/id/WBGene00021722", "WBGene00021722")</f>
        <v>WBGene00021722</v>
      </c>
      <c r="B464" s="9" t="str">
        <f>HYPERLINK("http://www.ncbi.nlm.nih.gov/gene/190083", "190083")</f>
        <v>190083</v>
      </c>
      <c r="C464" s="9"/>
      <c r="D464" t="str">
        <f>"srz-5"</f>
        <v>srz-5</v>
      </c>
      <c r="E464" t="s">
        <v>4211</v>
      </c>
      <c r="F464" t="s">
        <v>11</v>
      </c>
      <c r="G464" t="s">
        <v>25</v>
      </c>
      <c r="H464" s="12">
        <v>7.6616465944663696</v>
      </c>
      <c r="I464" s="11">
        <v>0.60406875593600395</v>
      </c>
      <c r="J464" s="10">
        <v>0.54579793098927099</v>
      </c>
      <c r="K464" s="29">
        <v>0.98289565623980701</v>
      </c>
    </row>
    <row r="465" spans="1:11" x14ac:dyDescent="0.35">
      <c r="A465" s="9" t="str">
        <f>HYPERLINK("http://www.ensembl.org/id/WBGene00006154", "WBGene00006154")</f>
        <v>WBGene00006154</v>
      </c>
      <c r="B465" s="9" t="str">
        <f>HYPERLINK("http://www.ncbi.nlm.nih.gov/gene/184278", "184278")</f>
        <v>184278</v>
      </c>
      <c r="C465" s="9"/>
      <c r="D465" t="str">
        <f>"str-97"</f>
        <v>str-97</v>
      </c>
      <c r="E465" t="s">
        <v>590</v>
      </c>
      <c r="F465" t="s">
        <v>11</v>
      </c>
      <c r="G465" t="s">
        <v>591</v>
      </c>
      <c r="H465" s="12">
        <v>7.6616465944663696</v>
      </c>
      <c r="I465" s="11">
        <v>0.60406875593600395</v>
      </c>
      <c r="J465" s="10">
        <v>0.54579793098927099</v>
      </c>
      <c r="K465" s="29">
        <v>0.98289565623980701</v>
      </c>
    </row>
    <row r="466" spans="1:11" x14ac:dyDescent="0.35">
      <c r="A466" s="9" t="str">
        <f>HYPERLINK("http://www.ensembl.org/id/WBGene00206360", "WBGene00206360")</f>
        <v>WBGene00206360</v>
      </c>
      <c r="B466" s="9" t="str">
        <f>HYPERLINK("http://www.ncbi.nlm.nih.gov/gene/13220955", "13220955")</f>
        <v>13220955</v>
      </c>
      <c r="C466" s="9"/>
      <c r="D466" t="str">
        <f>"T13C5.10"</f>
        <v>T13C5.10</v>
      </c>
      <c r="F466" t="s">
        <v>11</v>
      </c>
      <c r="H466" s="12">
        <v>7.6616465944663696</v>
      </c>
      <c r="I466" s="11">
        <v>0.60406875593600395</v>
      </c>
      <c r="J466" s="10">
        <v>0.54579793098927099</v>
      </c>
      <c r="K466" s="29">
        <v>0.98289565623980701</v>
      </c>
    </row>
    <row r="467" spans="1:11" x14ac:dyDescent="0.35">
      <c r="A467" s="9" t="str">
        <f>HYPERLINK("http://www.ensembl.org/id/WBGene00020492", "WBGene00020492")</f>
        <v>WBGene00020492</v>
      </c>
      <c r="B467" s="9" t="str">
        <f>HYPERLINK("http://www.ncbi.nlm.nih.gov/gene/188485", "188485")</f>
        <v>188485</v>
      </c>
      <c r="C467" s="9"/>
      <c r="D467" t="str">
        <f>"T13G4.5"</f>
        <v>T13G4.5</v>
      </c>
      <c r="F467" t="s">
        <v>11</v>
      </c>
      <c r="H467" s="12">
        <v>7.6616465944663696</v>
      </c>
      <c r="I467" s="11">
        <v>0.60406875593600395</v>
      </c>
      <c r="J467" s="10">
        <v>0.54579793098927099</v>
      </c>
      <c r="K467" s="29">
        <v>0.98289565623980701</v>
      </c>
    </row>
    <row r="468" spans="1:11" x14ac:dyDescent="0.35">
      <c r="A468" s="9" t="str">
        <f>HYPERLINK("http://www.ensembl.org/id/WBGene00202069", "WBGene00202069")</f>
        <v>WBGene00202069</v>
      </c>
      <c r="B468" s="9"/>
      <c r="C468" s="9"/>
      <c r="D468" t="str">
        <f>"T20G5.17"</f>
        <v>T20G5.17</v>
      </c>
      <c r="F468" t="s">
        <v>481</v>
      </c>
      <c r="H468" s="12">
        <v>7.6616465944663696</v>
      </c>
      <c r="I468" s="11">
        <v>0.60406875593600395</v>
      </c>
      <c r="J468" s="10">
        <v>0.54579793098927099</v>
      </c>
      <c r="K468" s="29">
        <v>0.98289565623980701</v>
      </c>
    </row>
    <row r="469" spans="1:11" x14ac:dyDescent="0.35">
      <c r="A469" s="9" t="str">
        <f>HYPERLINK("http://www.ensembl.org/id/WBGene00014550", "WBGene00014550")</f>
        <v>WBGene00014550</v>
      </c>
      <c r="B469" s="9"/>
      <c r="C469" s="9"/>
      <c r="D469" t="str">
        <f>"W07G1.9"</f>
        <v>W07G1.9</v>
      </c>
      <c r="F469" t="s">
        <v>4205</v>
      </c>
      <c r="H469" s="12">
        <v>7.6616465944663696</v>
      </c>
      <c r="I469" s="11">
        <v>0.60406875593600395</v>
      </c>
      <c r="J469" s="10">
        <v>0.54579793098927099</v>
      </c>
      <c r="K469" s="29">
        <v>0.98289565623980701</v>
      </c>
    </row>
    <row r="470" spans="1:11" x14ac:dyDescent="0.35">
      <c r="A470" s="9" t="str">
        <f>HYPERLINK("http://www.ensembl.org/id/WBGene00012477", "WBGene00012477")</f>
        <v>WBGene00012477</v>
      </c>
      <c r="B470" s="9" t="str">
        <f>HYPERLINK("http://www.ncbi.nlm.nih.gov/gene/189473", "189473")</f>
        <v>189473</v>
      </c>
      <c r="C470" s="9"/>
      <c r="D470" t="str">
        <f>"Y18D10A.4"</f>
        <v>Y18D10A.4</v>
      </c>
      <c r="F470" t="s">
        <v>11</v>
      </c>
      <c r="G470" t="s">
        <v>25</v>
      </c>
      <c r="H470" s="12">
        <v>7.6616465944663696</v>
      </c>
      <c r="I470" s="11">
        <v>0.60406875593600395</v>
      </c>
      <c r="J470" s="10">
        <v>0.54579793098927099</v>
      </c>
      <c r="K470" s="29">
        <v>0.98289565623980701</v>
      </c>
    </row>
    <row r="471" spans="1:11" x14ac:dyDescent="0.35">
      <c r="A471" s="9" t="str">
        <f>HYPERLINK("http://www.ensembl.org/id/WBGene00255553", "WBGene00255553")</f>
        <v>WBGene00255553</v>
      </c>
      <c r="B471" s="9" t="str">
        <f>HYPERLINK("http://www.ncbi.nlm.nih.gov/gene/24105142", "24105142")</f>
        <v>24105142</v>
      </c>
      <c r="C471" s="9"/>
      <c r="D471" t="str">
        <f>"Y51H4A.941"</f>
        <v>Y51H4A.941</v>
      </c>
      <c r="F471" t="s">
        <v>11</v>
      </c>
      <c r="H471" s="12">
        <v>7.6616465944663696</v>
      </c>
      <c r="I471" s="11">
        <v>0.60406875593600395</v>
      </c>
      <c r="J471" s="10">
        <v>0.54579793098927099</v>
      </c>
      <c r="K471" s="29">
        <v>0.98289565623980701</v>
      </c>
    </row>
    <row r="472" spans="1:11" x14ac:dyDescent="0.35">
      <c r="A472" s="9" t="str">
        <f>HYPERLINK("http://www.ensembl.org/id/WBGene00195809", "WBGene00195809")</f>
        <v>WBGene00195809</v>
      </c>
      <c r="B472" s="9"/>
      <c r="C472" s="9"/>
      <c r="D472" t="str">
        <f>"ZC455.14"</f>
        <v>ZC455.14</v>
      </c>
      <c r="F472" t="s">
        <v>481</v>
      </c>
      <c r="H472" s="12">
        <v>7.6616465944663696</v>
      </c>
      <c r="I472" s="11">
        <v>0.60406875593600395</v>
      </c>
      <c r="J472" s="10">
        <v>0.54579793098927099</v>
      </c>
      <c r="K472" s="29">
        <v>0.98289565623980701</v>
      </c>
    </row>
    <row r="473" spans="1:11" x14ac:dyDescent="0.35">
      <c r="A473" s="9" t="str">
        <f>HYPERLINK("http://www.ensembl.org/id/WBGene00196391", "WBGene00196391")</f>
        <v>WBGene00196391</v>
      </c>
      <c r="B473" s="9"/>
      <c r="C473" s="9"/>
      <c r="D473" t="str">
        <f>"ZK757.5"</f>
        <v>ZK757.5</v>
      </c>
      <c r="F473" t="s">
        <v>481</v>
      </c>
      <c r="H473" s="12">
        <v>7.6616465944663696</v>
      </c>
      <c r="I473" s="11">
        <v>0.60406875593600395</v>
      </c>
      <c r="J473" s="10">
        <v>0.54579793098927099</v>
      </c>
      <c r="K473" s="29">
        <v>0.98289565623980701</v>
      </c>
    </row>
    <row r="474" spans="1:11" x14ac:dyDescent="0.35">
      <c r="A474" s="9" t="str">
        <f>HYPERLINK("http://www.ensembl.org/id/WBGene00022833", "WBGene00022833")</f>
        <v>WBGene00022833</v>
      </c>
      <c r="B474" s="9" t="str">
        <f>HYPERLINK("http://www.ncbi.nlm.nih.gov/gene/191478", "191478")</f>
        <v>191478</v>
      </c>
      <c r="C474" s="9"/>
      <c r="D474" t="str">
        <f>"ZK973.4"</f>
        <v>ZK973.4</v>
      </c>
      <c r="F474" t="s">
        <v>11</v>
      </c>
      <c r="H474" s="12">
        <v>7.6616465944663696</v>
      </c>
      <c r="I474" s="11">
        <v>0.60406875593600395</v>
      </c>
      <c r="J474" s="10">
        <v>0.54579793098927099</v>
      </c>
      <c r="K474" s="29">
        <v>0.98289565623980701</v>
      </c>
    </row>
    <row r="475" spans="1:11" x14ac:dyDescent="0.35">
      <c r="A475" s="9" t="str">
        <f>HYPERLINK("http://www.ensembl.org/id/WBGene00005530", "WBGene00005530")</f>
        <v>WBGene00005530</v>
      </c>
      <c r="B475" s="9" t="str">
        <f>HYPERLINK("http://www.ncbi.nlm.nih.gov/gene/189519", "189519")</f>
        <v>189519</v>
      </c>
      <c r="C475" s="9"/>
      <c r="D475" t="str">
        <f>"sri-18"</f>
        <v>sri-18</v>
      </c>
      <c r="E475" t="s">
        <v>1503</v>
      </c>
      <c r="F475" t="s">
        <v>11</v>
      </c>
      <c r="G475" t="s">
        <v>25</v>
      </c>
      <c r="H475" s="12">
        <v>7.6295305787048404</v>
      </c>
      <c r="I475" s="11">
        <v>1.00899061152037</v>
      </c>
      <c r="J475" s="10">
        <v>0.312979136791734</v>
      </c>
      <c r="K475" s="29">
        <v>0.98289565623980701</v>
      </c>
    </row>
    <row r="476" spans="1:11" x14ac:dyDescent="0.35">
      <c r="A476" s="9" t="str">
        <f>HYPERLINK("http://www.ensembl.org/id/WBGene00045043", "WBGene00045043")</f>
        <v>WBGene00045043</v>
      </c>
      <c r="B476" s="9"/>
      <c r="C476" s="9"/>
      <c r="D476" t="str">
        <f>"Y116A8C.48"</f>
        <v>Y116A8C.48</v>
      </c>
      <c r="F476" t="s">
        <v>481</v>
      </c>
      <c r="H476" s="12">
        <v>7.6129010534192698</v>
      </c>
      <c r="I476" s="11">
        <v>1.0758538942173701</v>
      </c>
      <c r="J476" s="10">
        <v>0.28199260461745002</v>
      </c>
      <c r="K476" s="29">
        <v>0.98289565623980701</v>
      </c>
    </row>
    <row r="477" spans="1:11" x14ac:dyDescent="0.35">
      <c r="A477" s="9" t="str">
        <f>HYPERLINK("http://www.ensembl.org/id/WBGene00017371", "WBGene00017371")</f>
        <v>WBGene00017371</v>
      </c>
      <c r="B477" s="9" t="str">
        <f>HYPERLINK("http://www.ncbi.nlm.nih.gov/gene/184320", "184320")</f>
        <v>184320</v>
      </c>
      <c r="C477" s="9"/>
      <c r="D477" t="str">
        <f>"sre-39"</f>
        <v>sre-39</v>
      </c>
      <c r="E477" t="s">
        <v>2638</v>
      </c>
      <c r="F477" t="s">
        <v>11</v>
      </c>
      <c r="G477" t="s">
        <v>2639</v>
      </c>
      <c r="H477" s="12">
        <v>7.5836750966184097</v>
      </c>
      <c r="I477" s="11">
        <v>1.31742914894537</v>
      </c>
      <c r="J477" s="10">
        <v>0.187694815626859</v>
      </c>
      <c r="K477" s="29">
        <v>0.92558703629806605</v>
      </c>
    </row>
    <row r="478" spans="1:11" x14ac:dyDescent="0.35">
      <c r="A478" s="9" t="str">
        <f>HYPERLINK("http://www.ensembl.org/id/WBGene00011874", "WBGene00011874")</f>
        <v>WBGene00011874</v>
      </c>
      <c r="B478" s="9" t="str">
        <f>HYPERLINK("http://www.ncbi.nlm.nih.gov/gene/260150", "260150")</f>
        <v>260150</v>
      </c>
      <c r="C478" s="9"/>
      <c r="D478" t="str">
        <f>"T20G5.13"</f>
        <v>T20G5.13</v>
      </c>
      <c r="F478" t="s">
        <v>11</v>
      </c>
      <c r="H478" s="12">
        <v>7.5833230179679196</v>
      </c>
      <c r="I478" s="11">
        <v>1.1821242927179501</v>
      </c>
      <c r="J478" s="10">
        <v>0.23715638663209701</v>
      </c>
      <c r="K478" s="29">
        <v>0.98289565623980701</v>
      </c>
    </row>
    <row r="479" spans="1:11" x14ac:dyDescent="0.35">
      <c r="A479" s="9" t="str">
        <f>HYPERLINK("http://www.ensembl.org/id/WBGene00021577", "WBGene00021577")</f>
        <v>WBGene00021577</v>
      </c>
      <c r="B479" s="9" t="str">
        <f>HYPERLINK("http://www.ncbi.nlm.nih.gov/gene/189941", "189941")</f>
        <v>189941</v>
      </c>
      <c r="C479" s="9"/>
      <c r="D479" t="str">
        <f>"Y46B2A.2"</f>
        <v>Y46B2A.2</v>
      </c>
      <c r="E479" t="s">
        <v>4233</v>
      </c>
      <c r="F479" t="s">
        <v>11</v>
      </c>
      <c r="G479" t="s">
        <v>4234</v>
      </c>
      <c r="H479" s="12">
        <v>7.5773890663729899</v>
      </c>
      <c r="I479" s="11">
        <v>0.69857711677247902</v>
      </c>
      <c r="J479" s="10">
        <v>0.48481634859386202</v>
      </c>
      <c r="K479" s="29">
        <v>0.98289565623980701</v>
      </c>
    </row>
    <row r="480" spans="1:11" x14ac:dyDescent="0.35">
      <c r="A480" s="9" t="str">
        <f>HYPERLINK("http://www.ensembl.org/id/WBGene00219285", "WBGene00219285")</f>
        <v>WBGene00219285</v>
      </c>
      <c r="B480" s="9" t="str">
        <f>HYPERLINK("http://www.ncbi.nlm.nih.gov/gene/13181551", "13181551")</f>
        <v>13181551</v>
      </c>
      <c r="C480" s="9"/>
      <c r="D480" t="str">
        <f>"K07A1.20"</f>
        <v>K07A1.20</v>
      </c>
      <c r="F480" t="s">
        <v>11</v>
      </c>
      <c r="H480" s="12">
        <v>7.5452970469065299</v>
      </c>
      <c r="I480" s="11">
        <v>1.4608655375458699</v>
      </c>
      <c r="J480" s="10">
        <v>0.14405234585145199</v>
      </c>
      <c r="K480" s="29">
        <v>0.84103890742224097</v>
      </c>
    </row>
    <row r="481" spans="1:11" x14ac:dyDescent="0.35">
      <c r="A481" s="9" t="str">
        <f>HYPERLINK("http://www.ensembl.org/id/WBGene00018246", "WBGene00018246")</f>
        <v>WBGene00018246</v>
      </c>
      <c r="B481" s="9" t="str">
        <f>HYPERLINK("http://www.ncbi.nlm.nih.gov/gene/185558", "185558")</f>
        <v>185558</v>
      </c>
      <c r="C481" s="9"/>
      <c r="D481" t="str">
        <f>"clec-148"</f>
        <v>clec-148</v>
      </c>
      <c r="E481" t="s">
        <v>46</v>
      </c>
      <c r="F481" t="s">
        <v>11</v>
      </c>
      <c r="G481" t="s">
        <v>274</v>
      </c>
      <c r="H481" s="12">
        <v>7.5393525206170704</v>
      </c>
      <c r="I481" s="11">
        <v>1.4857968860959501</v>
      </c>
      <c r="J481" s="10">
        <v>0.13733285406003501</v>
      </c>
      <c r="K481" s="29">
        <v>0.82906592033916404</v>
      </c>
    </row>
    <row r="482" spans="1:11" x14ac:dyDescent="0.35">
      <c r="A482" s="9" t="str">
        <f>HYPERLINK("http://www.ensembl.org/id/WBGene00012268", "WBGene00012268")</f>
        <v>WBGene00012268</v>
      </c>
      <c r="B482" s="9" t="str">
        <f>HYPERLINK("http://www.ncbi.nlm.nih.gov/gene/189203", "189203")</f>
        <v>189203</v>
      </c>
      <c r="C482" s="9"/>
      <c r="D482" t="str">
        <f>"W04G5.8"</f>
        <v>W04G5.8</v>
      </c>
      <c r="F482" t="s">
        <v>11</v>
      </c>
      <c r="H482" s="12">
        <v>7.5125011213480501</v>
      </c>
      <c r="I482" s="11">
        <v>1.7087597014912299</v>
      </c>
      <c r="J482" s="10">
        <v>8.7495470231242795E-2</v>
      </c>
      <c r="K482" s="29">
        <v>0.69064774952796104</v>
      </c>
    </row>
    <row r="483" spans="1:11" x14ac:dyDescent="0.35">
      <c r="A483" s="9" t="str">
        <f>HYPERLINK("http://www.ensembl.org/id/WBGene00018619", "WBGene00018619")</f>
        <v>WBGene00018619</v>
      </c>
      <c r="B483" s="9" t="str">
        <f>HYPERLINK("http://www.ncbi.nlm.nih.gov/gene/185996", "185996")</f>
        <v>185996</v>
      </c>
      <c r="C483" s="9"/>
      <c r="D483" t="str">
        <f>"F48G7.8"</f>
        <v>F48G7.8</v>
      </c>
      <c r="F483" t="s">
        <v>11</v>
      </c>
      <c r="H483" s="12">
        <v>7.4660855570883502</v>
      </c>
      <c r="I483" s="11">
        <v>0.81744859080034304</v>
      </c>
      <c r="J483" s="10">
        <v>0.41367211693568501</v>
      </c>
      <c r="K483" s="29">
        <v>0.98289565623980701</v>
      </c>
    </row>
    <row r="484" spans="1:11" x14ac:dyDescent="0.35">
      <c r="A484" s="9" t="str">
        <f>HYPERLINK("http://www.ensembl.org/id/WBGene00201401", "WBGene00201401")</f>
        <v>WBGene00201401</v>
      </c>
      <c r="B484" s="9"/>
      <c r="C484" s="9"/>
      <c r="D484" t="str">
        <f>"T28B11.22"</f>
        <v>T28B11.22</v>
      </c>
      <c r="F484" t="s">
        <v>481</v>
      </c>
      <c r="H484" s="12">
        <v>7.4660855570883502</v>
      </c>
      <c r="I484" s="11">
        <v>0.81744859080034304</v>
      </c>
      <c r="J484" s="10">
        <v>0.41367211693568501</v>
      </c>
      <c r="K484" s="29">
        <v>0.98289565623980701</v>
      </c>
    </row>
    <row r="485" spans="1:11" x14ac:dyDescent="0.35">
      <c r="A485" s="9" t="str">
        <f>HYPERLINK("http://www.ensembl.org/id/WBGene00019556", "WBGene00019556")</f>
        <v>WBGene00019556</v>
      </c>
      <c r="B485" s="9" t="str">
        <f>HYPERLINK("http://www.ncbi.nlm.nih.gov/gene/187199", "187199")</f>
        <v>187199</v>
      </c>
      <c r="C485" s="9"/>
      <c r="D485" t="str">
        <f>"K09C6.2"</f>
        <v>K09C6.2</v>
      </c>
      <c r="F485" t="s">
        <v>11</v>
      </c>
      <c r="G485" t="s">
        <v>112</v>
      </c>
      <c r="H485" s="12">
        <v>7.4442702543475603</v>
      </c>
      <c r="I485" s="11">
        <v>1.4392052730179801</v>
      </c>
      <c r="J485" s="10">
        <v>0.15009237185310301</v>
      </c>
      <c r="K485" s="29">
        <v>0.85419565124083696</v>
      </c>
    </row>
    <row r="486" spans="1:11" x14ac:dyDescent="0.35">
      <c r="A486" s="9" t="str">
        <f>HYPERLINK("http://www.ensembl.org/id/WBGene00011450", "WBGene00011450")</f>
        <v>WBGene00011450</v>
      </c>
      <c r="B486" s="9" t="str">
        <f>HYPERLINK("http://www.ncbi.nlm.nih.gov/gene/188071", "188071")</f>
        <v>188071</v>
      </c>
      <c r="C486" s="9"/>
      <c r="D486" t="str">
        <f>"ttr-22"</f>
        <v>ttr-22</v>
      </c>
      <c r="E486" t="s">
        <v>16</v>
      </c>
      <c r="F486" t="s">
        <v>11</v>
      </c>
      <c r="G486" t="s">
        <v>17</v>
      </c>
      <c r="H486" s="12">
        <v>7.4340191482596003</v>
      </c>
      <c r="I486" s="11">
        <v>7.8538681270230102</v>
      </c>
      <c r="J486" s="10">
        <v>4.03398439309452E-15</v>
      </c>
      <c r="K486" s="29">
        <v>2.3302310846710501E-11</v>
      </c>
    </row>
    <row r="487" spans="1:11" x14ac:dyDescent="0.35">
      <c r="A487" s="9" t="str">
        <f>HYPERLINK("http://www.ensembl.org/id/WBGene00194712", "WBGene00194712")</f>
        <v>WBGene00194712</v>
      </c>
      <c r="B487" s="9" t="str">
        <f>HYPERLINK("http://www.ncbi.nlm.nih.gov/gene/13215336", "13215336")</f>
        <v>13215336</v>
      </c>
      <c r="C487" s="9"/>
      <c r="D487" t="str">
        <f>"T11F9.21"</f>
        <v>T11F9.21</v>
      </c>
      <c r="F487" t="s">
        <v>11</v>
      </c>
      <c r="G487" t="s">
        <v>25</v>
      </c>
      <c r="H487" s="12">
        <v>7.4311830712189098</v>
      </c>
      <c r="I487" s="11">
        <v>1.2229556958783601</v>
      </c>
      <c r="J487" s="10">
        <v>0.221346430402134</v>
      </c>
      <c r="K487" s="29">
        <v>0.97454851769659201</v>
      </c>
    </row>
    <row r="488" spans="1:11" x14ac:dyDescent="0.35">
      <c r="A488" s="9" t="str">
        <f>HYPERLINK("http://www.ensembl.org/id/WBGene00018176", "WBGene00018176")</f>
        <v>WBGene00018176</v>
      </c>
      <c r="B488" s="9" t="str">
        <f>HYPERLINK("http://www.ncbi.nlm.nih.gov/gene/185455", "185455")</f>
        <v>185455</v>
      </c>
      <c r="C488" s="9"/>
      <c r="D488" t="str">
        <f>"F38B6.7"</f>
        <v>F38B6.7</v>
      </c>
      <c r="F488" t="s">
        <v>11</v>
      </c>
      <c r="H488" s="12">
        <v>7.4089800701284299</v>
      </c>
      <c r="I488" s="11">
        <v>1.5701804917047699</v>
      </c>
      <c r="J488" s="10">
        <v>0.11637312672351401</v>
      </c>
      <c r="K488" s="29">
        <v>0.77995570986004104</v>
      </c>
    </row>
    <row r="489" spans="1:11" x14ac:dyDescent="0.35">
      <c r="A489" s="9" t="str">
        <f>HYPERLINK("http://www.ensembl.org/id/WBGene00011841", "WBGene00011841")</f>
        <v>WBGene00011841</v>
      </c>
      <c r="B489" s="9" t="str">
        <f>HYPERLINK("http://www.ncbi.nlm.nih.gov/gene/188600", "188600")</f>
        <v>188600</v>
      </c>
      <c r="C489" s="9"/>
      <c r="D489" t="str">
        <f>"scl-25"</f>
        <v>scl-25</v>
      </c>
      <c r="E489" t="s">
        <v>162</v>
      </c>
      <c r="F489" t="s">
        <v>11</v>
      </c>
      <c r="G489" t="s">
        <v>63</v>
      </c>
      <c r="H489" s="12">
        <v>7.3973354176256896</v>
      </c>
      <c r="I489" s="11">
        <v>1.0835881872855599</v>
      </c>
      <c r="J489" s="10">
        <v>0.27854743071235799</v>
      </c>
      <c r="K489" s="29">
        <v>0.98289565623980701</v>
      </c>
    </row>
    <row r="490" spans="1:11" x14ac:dyDescent="0.35">
      <c r="A490" s="9" t="str">
        <f>HYPERLINK("http://www.ensembl.org/id/WBGene00005595", "WBGene00005595")</f>
        <v>WBGene00005595</v>
      </c>
      <c r="B490" s="9" t="str">
        <f>HYPERLINK("http://www.ncbi.nlm.nih.gov/gene/189016", "189016")</f>
        <v>189016</v>
      </c>
      <c r="C490" s="9"/>
      <c r="D490" t="str">
        <f>"srj-7"</f>
        <v>srj-7</v>
      </c>
      <c r="E490" t="s">
        <v>3123</v>
      </c>
      <c r="F490" t="s">
        <v>11</v>
      </c>
      <c r="G490" t="s">
        <v>25</v>
      </c>
      <c r="H490" s="12">
        <v>7.3724650221961996</v>
      </c>
      <c r="I490" s="11">
        <v>1.47487717127627</v>
      </c>
      <c r="J490" s="10">
        <v>0.140245568844407</v>
      </c>
      <c r="K490" s="29">
        <v>0.83218133377474901</v>
      </c>
    </row>
    <row r="491" spans="1:11" x14ac:dyDescent="0.35">
      <c r="A491" s="9" t="str">
        <f>HYPERLINK("http://www.ensembl.org/id/WBGene00019391", "WBGene00019391")</f>
        <v>WBGene00019391</v>
      </c>
      <c r="B491" s="9" t="str">
        <f>HYPERLINK("http://www.ncbi.nlm.nih.gov/gene/186998", "186998")</f>
        <v>186998</v>
      </c>
      <c r="C491" s="9"/>
      <c r="D491" t="str">
        <f>"irld-11"</f>
        <v>irld-11</v>
      </c>
      <c r="E491" t="s">
        <v>1627</v>
      </c>
      <c r="F491" t="s">
        <v>11</v>
      </c>
      <c r="H491" s="12">
        <v>7.3211645761856401</v>
      </c>
      <c r="I491" s="11">
        <v>1.4903459634513501</v>
      </c>
      <c r="J491" s="10">
        <v>0.136133292833722</v>
      </c>
      <c r="K491" s="29">
        <v>0.82750777325070202</v>
      </c>
    </row>
    <row r="492" spans="1:11" x14ac:dyDescent="0.35">
      <c r="A492" s="9" t="str">
        <f>HYPERLINK("http://www.ensembl.org/id/WBGene00017264", "WBGene00017264")</f>
        <v>WBGene00017264</v>
      </c>
      <c r="B492" s="9" t="str">
        <f>HYPERLINK("http://www.ncbi.nlm.nih.gov/gene/184197", "184197")</f>
        <v>184197</v>
      </c>
      <c r="C492" s="9"/>
      <c r="D492" t="str">
        <f>"F08F3.8"</f>
        <v>F08F3.8</v>
      </c>
      <c r="F492" t="s">
        <v>11</v>
      </c>
      <c r="G492" t="s">
        <v>25</v>
      </c>
      <c r="H492" s="12">
        <v>7.3088293689036803</v>
      </c>
      <c r="I492" s="11">
        <v>0.93528831145381397</v>
      </c>
      <c r="J492" s="10">
        <v>0.34963973738127302</v>
      </c>
      <c r="K492" s="29">
        <v>0.98289565623980701</v>
      </c>
    </row>
    <row r="493" spans="1:11" x14ac:dyDescent="0.35">
      <c r="A493" s="9" t="str">
        <f>HYPERLINK("http://www.ensembl.org/id/WBGene00018809", "WBGene00018809")</f>
        <v>WBGene00018809</v>
      </c>
      <c r="B493" s="9" t="str">
        <f>HYPERLINK("http://www.ncbi.nlm.nih.gov/gene/186235", "186235")</f>
        <v>186235</v>
      </c>
      <c r="C493" s="9"/>
      <c r="D493" t="str">
        <f>"F54D10.8"</f>
        <v>F54D10.8</v>
      </c>
      <c r="F493" t="s">
        <v>11</v>
      </c>
      <c r="G493" t="s">
        <v>1686</v>
      </c>
      <c r="H493" s="12">
        <v>7.3088293689036803</v>
      </c>
      <c r="I493" s="11">
        <v>0.93528831145381397</v>
      </c>
      <c r="J493" s="10">
        <v>0.34963973738127302</v>
      </c>
      <c r="K493" s="29">
        <v>0.98289565623980701</v>
      </c>
    </row>
    <row r="494" spans="1:11" x14ac:dyDescent="0.35">
      <c r="A494" s="9" t="str">
        <f>HYPERLINK("http://www.ensembl.org/id/WBGene00022624", "WBGene00022624")</f>
        <v>WBGene00022624</v>
      </c>
      <c r="B494" s="9" t="str">
        <f>HYPERLINK("http://www.ncbi.nlm.nih.gov/gene/191189", "191189")</f>
        <v>191189</v>
      </c>
      <c r="C494" s="9"/>
      <c r="D494" t="str">
        <f>"ZC487.2"</f>
        <v>ZC487.2</v>
      </c>
      <c r="F494" t="s">
        <v>11</v>
      </c>
      <c r="G494" t="s">
        <v>25</v>
      </c>
      <c r="H494" s="12">
        <v>7.3088293689036803</v>
      </c>
      <c r="I494" s="11">
        <v>0.93528831145381397</v>
      </c>
      <c r="J494" s="10">
        <v>0.34963973738127302</v>
      </c>
      <c r="K494" s="29">
        <v>0.98289565623980701</v>
      </c>
    </row>
    <row r="495" spans="1:11" x14ac:dyDescent="0.35">
      <c r="A495" s="9" t="str">
        <f>HYPERLINK("http://www.ensembl.org/id/WBGene00015372", "WBGene00015372")</f>
        <v>WBGene00015372</v>
      </c>
      <c r="B495" s="9" t="str">
        <f>HYPERLINK("http://www.ncbi.nlm.nih.gov/gene/182144", "182144")</f>
        <v>182144</v>
      </c>
      <c r="C495" s="9"/>
      <c r="D495" t="str">
        <f>"C03B1.1"</f>
        <v>C03B1.1</v>
      </c>
      <c r="F495" t="s">
        <v>11</v>
      </c>
      <c r="H495" s="12">
        <v>7.2860099242480398</v>
      </c>
      <c r="I495" s="11">
        <v>1.16734813315494</v>
      </c>
      <c r="J495" s="10">
        <v>0.24306980791337901</v>
      </c>
      <c r="K495" s="29">
        <v>0.98289565623980701</v>
      </c>
    </row>
    <row r="496" spans="1:11" x14ac:dyDescent="0.35">
      <c r="A496" s="9" t="str">
        <f>HYPERLINK("http://www.ensembl.org/id/WBGene00046714", "WBGene00046714")</f>
        <v>WBGene00046714</v>
      </c>
      <c r="B496" s="9"/>
      <c r="C496" s="9"/>
      <c r="D496" t="str">
        <f>"21ur-3254"</f>
        <v>21ur-3254</v>
      </c>
      <c r="F496" t="s">
        <v>3161</v>
      </c>
      <c r="H496" s="12">
        <v>7.2474883361933102</v>
      </c>
      <c r="I496" s="11">
        <v>0.60161888411598596</v>
      </c>
      <c r="J496" s="10">
        <v>0.54742785575427899</v>
      </c>
      <c r="K496" s="29">
        <v>0.98289565623980701</v>
      </c>
    </row>
    <row r="497" spans="1:11" x14ac:dyDescent="0.35">
      <c r="A497" s="9" t="str">
        <f>HYPERLINK("http://www.ensembl.org/id/WBGene00219835", "WBGene00219835")</f>
        <v>WBGene00219835</v>
      </c>
      <c r="B497" s="9"/>
      <c r="C497" s="9"/>
      <c r="D497" t="str">
        <f>"C26C6.14"</f>
        <v>C26C6.14</v>
      </c>
      <c r="F497" t="s">
        <v>481</v>
      </c>
      <c r="H497" s="12">
        <v>7.2474883361933102</v>
      </c>
      <c r="I497" s="11">
        <v>0.60161888411598596</v>
      </c>
      <c r="J497" s="10">
        <v>0.54742785575427899</v>
      </c>
      <c r="K497" s="29">
        <v>0.98289565623980701</v>
      </c>
    </row>
    <row r="498" spans="1:11" x14ac:dyDescent="0.35">
      <c r="A498" s="9" t="str">
        <f>HYPERLINK("http://www.ensembl.org/id/WBGene00044909", "WBGene00044909")</f>
        <v>WBGene00044909</v>
      </c>
      <c r="B498" s="9"/>
      <c r="C498" s="9"/>
      <c r="D498" t="str">
        <f>"C48D1.7"</f>
        <v>C48D1.7</v>
      </c>
      <c r="F498" t="s">
        <v>80</v>
      </c>
      <c r="H498" s="12">
        <v>7.2474883361933102</v>
      </c>
      <c r="I498" s="11">
        <v>0.60161888411598596</v>
      </c>
      <c r="J498" s="10">
        <v>0.54742785575427899</v>
      </c>
      <c r="K498" s="29">
        <v>0.98289565623980701</v>
      </c>
    </row>
    <row r="499" spans="1:11" x14ac:dyDescent="0.35">
      <c r="A499" s="9" t="str">
        <f>HYPERLINK("http://www.ensembl.org/id/WBGene00220258", "WBGene00220258")</f>
        <v>WBGene00220258</v>
      </c>
      <c r="B499" s="9" t="str">
        <f>HYPERLINK("http://www.ncbi.nlm.nih.gov/gene/24104339", "24104339")</f>
        <v>24104339</v>
      </c>
      <c r="C499" s="9"/>
      <c r="D499" t="str">
        <f>"C50C3.19"</f>
        <v>C50C3.19</v>
      </c>
      <c r="F499" t="s">
        <v>11</v>
      </c>
      <c r="H499" s="12">
        <v>7.2474883361933102</v>
      </c>
      <c r="I499" s="11">
        <v>0.60161888411598596</v>
      </c>
      <c r="J499" s="10">
        <v>0.54742785575427899</v>
      </c>
      <c r="K499" s="29">
        <v>0.98289565623980701</v>
      </c>
    </row>
    <row r="500" spans="1:11" x14ac:dyDescent="0.35">
      <c r="A500" s="9" t="str">
        <f>HYPERLINK("http://www.ensembl.org/id/WBGene00014734", "WBGene00014734")</f>
        <v>WBGene00014734</v>
      </c>
      <c r="B500" s="9"/>
      <c r="C500" s="9"/>
      <c r="D500" t="str">
        <f>"F11A3.3"</f>
        <v>F11A3.3</v>
      </c>
      <c r="F500" t="s">
        <v>80</v>
      </c>
      <c r="H500" s="12">
        <v>7.2474883361933102</v>
      </c>
      <c r="I500" s="11">
        <v>0.60161888411598596</v>
      </c>
      <c r="J500" s="10">
        <v>0.54742785575427899</v>
      </c>
      <c r="K500" s="29">
        <v>0.98289565623980701</v>
      </c>
    </row>
    <row r="501" spans="1:11" x14ac:dyDescent="0.35">
      <c r="A501" s="9" t="str">
        <f>HYPERLINK("http://www.ensembl.org/id/WBGene00189955", "WBGene00189955")</f>
        <v>WBGene00189955</v>
      </c>
      <c r="B501" s="9" t="str">
        <f>HYPERLINK("http://www.ncbi.nlm.nih.gov/gene/13188159", "13188159")</f>
        <v>13188159</v>
      </c>
      <c r="C501" s="9"/>
      <c r="D501" t="str">
        <f>"F40G9.19"</f>
        <v>F40G9.19</v>
      </c>
      <c r="F501" t="s">
        <v>11</v>
      </c>
      <c r="G501" t="s">
        <v>583</v>
      </c>
      <c r="H501" s="12">
        <v>7.2474883361933102</v>
      </c>
      <c r="I501" s="11">
        <v>0.60161888411598596</v>
      </c>
      <c r="J501" s="10">
        <v>0.54742785575427899</v>
      </c>
      <c r="K501" s="29">
        <v>0.98289565623980701</v>
      </c>
    </row>
    <row r="502" spans="1:11" x14ac:dyDescent="0.35">
      <c r="A502" s="9" t="str">
        <f>HYPERLINK("http://www.ensembl.org/id/WBGene00005810", "WBGene00005810")</f>
        <v>WBGene00005810</v>
      </c>
      <c r="B502" s="9" t="str">
        <f>HYPERLINK("http://www.ncbi.nlm.nih.gov/gene/189604", "189604")</f>
        <v>189604</v>
      </c>
      <c r="C502" s="9"/>
      <c r="D502" t="str">
        <f>"srw-63"</f>
        <v>srw-63</v>
      </c>
      <c r="E502" t="s">
        <v>1014</v>
      </c>
      <c r="F502" t="s">
        <v>11</v>
      </c>
      <c r="G502" t="s">
        <v>1015</v>
      </c>
      <c r="H502" s="12">
        <v>7.2474883361933102</v>
      </c>
      <c r="I502" s="11">
        <v>0.60161888411598596</v>
      </c>
      <c r="J502" s="10">
        <v>0.54742785575427899</v>
      </c>
      <c r="K502" s="29">
        <v>0.98289565623980701</v>
      </c>
    </row>
    <row r="503" spans="1:11" x14ac:dyDescent="0.35">
      <c r="A503" s="9" t="str">
        <f>HYPERLINK("http://www.ensembl.org/id/WBGene00014498", "WBGene00014498")</f>
        <v>WBGene00014498</v>
      </c>
      <c r="B503" s="9"/>
      <c r="C503" s="9"/>
      <c r="D503" t="str">
        <f>"T02G6.t1"</f>
        <v>T02G6.t1</v>
      </c>
      <c r="F503" t="s">
        <v>4208</v>
      </c>
      <c r="H503" s="12">
        <v>7.2474883361933102</v>
      </c>
      <c r="I503" s="11">
        <v>0.60161888411598596</v>
      </c>
      <c r="J503" s="10">
        <v>0.54742785575427899</v>
      </c>
      <c r="K503" s="29">
        <v>0.98289565623980701</v>
      </c>
    </row>
    <row r="504" spans="1:11" x14ac:dyDescent="0.35">
      <c r="A504" s="9" t="str">
        <f>HYPERLINK("http://www.ensembl.org/id/WBGene00000563", "WBGene00000563")</f>
        <v>WBGene00000563</v>
      </c>
      <c r="B504" s="9" t="str">
        <f>HYPERLINK("http://www.ncbi.nlm.nih.gov/gene/3565463", "3565463")</f>
        <v>3565463</v>
      </c>
      <c r="C504" s="9"/>
      <c r="D504" t="str">
        <f>"cng-3"</f>
        <v>cng-3</v>
      </c>
      <c r="E504" t="s">
        <v>2925</v>
      </c>
      <c r="F504" t="s">
        <v>11</v>
      </c>
      <c r="G504" t="s">
        <v>4235</v>
      </c>
      <c r="H504" s="12">
        <v>7.2236714458131299</v>
      </c>
      <c r="I504" s="11">
        <v>0.781254597473658</v>
      </c>
      <c r="J504" s="10">
        <v>0.43465276788107499</v>
      </c>
      <c r="K504" s="29">
        <v>0.98289565623980701</v>
      </c>
    </row>
    <row r="505" spans="1:11" x14ac:dyDescent="0.35">
      <c r="A505" s="9" t="str">
        <f>HYPERLINK("http://www.ensembl.org/id/WBGene00012965", "WBGene00012965")</f>
        <v>WBGene00012965</v>
      </c>
      <c r="B505" s="9" t="str">
        <f>HYPERLINK("http://www.ncbi.nlm.nih.gov/gene/176530", "176530")</f>
        <v>176530</v>
      </c>
      <c r="C505" s="9"/>
      <c r="D505" t="str">
        <f>"fipr-17"</f>
        <v>fipr-17</v>
      </c>
      <c r="E505" t="s">
        <v>28</v>
      </c>
      <c r="F505" t="s">
        <v>11</v>
      </c>
      <c r="H505" s="12">
        <v>7.2236714458131299</v>
      </c>
      <c r="I505" s="11">
        <v>0.781254597473658</v>
      </c>
      <c r="J505" s="10">
        <v>0.43465276788107499</v>
      </c>
      <c r="K505" s="29">
        <v>0.98289565623980701</v>
      </c>
    </row>
    <row r="506" spans="1:11" x14ac:dyDescent="0.35">
      <c r="A506" s="9" t="str">
        <f>HYPERLINK("http://www.ensembl.org/id/WBGene00020430", "WBGene00020430")</f>
        <v>WBGene00020430</v>
      </c>
      <c r="B506" s="9" t="str">
        <f>HYPERLINK("http://www.ncbi.nlm.nih.gov/gene/188413", "188413")</f>
        <v>188413</v>
      </c>
      <c r="C506" s="9"/>
      <c r="D506" t="str">
        <f>"irld-49"</f>
        <v>irld-49</v>
      </c>
      <c r="E506" t="s">
        <v>1627</v>
      </c>
      <c r="F506" t="s">
        <v>11</v>
      </c>
      <c r="H506" s="12">
        <v>7.2236714458131299</v>
      </c>
      <c r="I506" s="11">
        <v>0.781254597473658</v>
      </c>
      <c r="J506" s="10">
        <v>0.43465276788107499</v>
      </c>
      <c r="K506" s="29">
        <v>0.98289565623980701</v>
      </c>
    </row>
    <row r="507" spans="1:11" x14ac:dyDescent="0.35">
      <c r="A507" s="9" t="str">
        <f>HYPERLINK("http://www.ensembl.org/id/WBGene00201031", "WBGene00201031")</f>
        <v>WBGene00201031</v>
      </c>
      <c r="B507" s="9"/>
      <c r="C507" s="9"/>
      <c r="D507" t="str">
        <f>"ZK792.10"</f>
        <v>ZK792.10</v>
      </c>
      <c r="F507" t="s">
        <v>481</v>
      </c>
      <c r="H507" s="12">
        <v>7.2164368412952902</v>
      </c>
      <c r="I507" s="11">
        <v>0.80153596297458896</v>
      </c>
      <c r="J507" s="10">
        <v>0.42282143304245901</v>
      </c>
      <c r="K507" s="29">
        <v>0.98289565623980701</v>
      </c>
    </row>
    <row r="508" spans="1:11" x14ac:dyDescent="0.35">
      <c r="A508" s="9" t="str">
        <f>HYPERLINK("http://www.ensembl.org/id/WBGene00008245", "WBGene00008245")</f>
        <v>WBGene00008245</v>
      </c>
      <c r="B508" s="9" t="str">
        <f>HYPERLINK("http://www.ncbi.nlm.nih.gov/gene/3565989", "3565989")</f>
        <v>3565989</v>
      </c>
      <c r="C508" s="9"/>
      <c r="D508" t="str">
        <f>"fipr-10"</f>
        <v>fipr-10</v>
      </c>
      <c r="E508" t="s">
        <v>28</v>
      </c>
      <c r="F508" t="s">
        <v>11</v>
      </c>
      <c r="H508" s="12">
        <v>7.2137828549787599</v>
      </c>
      <c r="I508" s="11">
        <v>6.8984468364886</v>
      </c>
      <c r="J508" s="10">
        <v>5.2574157622951496E-12</v>
      </c>
      <c r="K508" s="29">
        <v>1.21477848603592E-8</v>
      </c>
    </row>
    <row r="509" spans="1:11" x14ac:dyDescent="0.35">
      <c r="A509" s="9" t="str">
        <f>HYPERLINK("http://www.ensembl.org/id/WBGene00018412", "WBGene00018412")</f>
        <v>WBGene00018412</v>
      </c>
      <c r="B509" s="9" t="str">
        <f>HYPERLINK("http://www.ncbi.nlm.nih.gov/gene/185727", "185727")</f>
        <v>185727</v>
      </c>
      <c r="C509" s="9"/>
      <c r="D509" t="str">
        <f>"nhr-37"</f>
        <v>nhr-37</v>
      </c>
      <c r="E509" t="s">
        <v>637</v>
      </c>
      <c r="F509" t="s">
        <v>11</v>
      </c>
      <c r="G509" t="s">
        <v>1073</v>
      </c>
      <c r="H509" s="12">
        <v>7.1970547870379002</v>
      </c>
      <c r="I509" s="11">
        <v>1.1311700862118299</v>
      </c>
      <c r="J509" s="10">
        <v>0.25798350987903301</v>
      </c>
      <c r="K509" s="29">
        <v>0.98289565623980701</v>
      </c>
    </row>
    <row r="510" spans="1:11" x14ac:dyDescent="0.35">
      <c r="A510" s="9" t="str">
        <f>HYPERLINK("http://www.ensembl.org/id/WBGene00008494", "WBGene00008494")</f>
        <v>WBGene00008494</v>
      </c>
      <c r="B510" s="9" t="str">
        <f>HYPERLINK("http://www.ncbi.nlm.nih.gov/gene/184057", "184057")</f>
        <v>184057</v>
      </c>
      <c r="C510" s="9"/>
      <c r="D510" t="str">
        <f>"F01D5.3"</f>
        <v>F01D5.3</v>
      </c>
      <c r="F510" t="s">
        <v>11</v>
      </c>
      <c r="G510" t="s">
        <v>264</v>
      </c>
      <c r="H510" s="12">
        <v>7.1548281671064702</v>
      </c>
      <c r="I510" s="11">
        <v>0.82341670396658395</v>
      </c>
      <c r="J510" s="10">
        <v>0.41027106722413098</v>
      </c>
      <c r="K510" s="29">
        <v>0.98289565623980701</v>
      </c>
    </row>
    <row r="511" spans="1:11" x14ac:dyDescent="0.35">
      <c r="A511" s="9" t="str">
        <f>HYPERLINK("http://www.ensembl.org/id/WBGene00019931", "WBGene00019931")</f>
        <v>WBGene00019931</v>
      </c>
      <c r="B511" s="9" t="str">
        <f>HYPERLINK("http://www.ncbi.nlm.nih.gov/gene/177179", "177179")</f>
        <v>177179</v>
      </c>
      <c r="C511" s="9"/>
      <c r="D511" t="str">
        <f>"R07C12.1"</f>
        <v>R07C12.1</v>
      </c>
      <c r="F511" t="s">
        <v>11</v>
      </c>
      <c r="H511" s="12">
        <v>7.1508580806528403</v>
      </c>
      <c r="I511" s="11">
        <v>1.18848984177864</v>
      </c>
      <c r="J511" s="10">
        <v>0.23464047956853001</v>
      </c>
      <c r="K511" s="29">
        <v>0.98289565623980701</v>
      </c>
    </row>
    <row r="512" spans="1:11" x14ac:dyDescent="0.35">
      <c r="A512" s="9" t="str">
        <f>HYPERLINK("http://www.ensembl.org/id/WBGene00219988", "WBGene00219988")</f>
        <v>WBGene00219988</v>
      </c>
      <c r="B512" s="9"/>
      <c r="C512" s="9"/>
      <c r="D512" t="str">
        <f>"F59G1.14"</f>
        <v>F59G1.14</v>
      </c>
      <c r="F512" t="s">
        <v>2977</v>
      </c>
      <c r="H512" s="12">
        <v>7.1476624429583904</v>
      </c>
      <c r="I512" s="11">
        <v>0.99300015028795996</v>
      </c>
      <c r="J512" s="10">
        <v>0.32070988123504701</v>
      </c>
      <c r="K512" s="29">
        <v>0.98289565623980701</v>
      </c>
    </row>
    <row r="513" spans="1:11" x14ac:dyDescent="0.35">
      <c r="A513" s="9" t="str">
        <f>HYPERLINK("http://www.ensembl.org/id/WBGene00005188", "WBGene00005188")</f>
        <v>WBGene00005188</v>
      </c>
      <c r="B513" s="9" t="str">
        <f>HYPERLINK("http://www.ncbi.nlm.nih.gov/gene/188260", "188260")</f>
        <v>188260</v>
      </c>
      <c r="C513" s="9"/>
      <c r="D513" t="str">
        <f>"srg-31"</f>
        <v>srg-31</v>
      </c>
      <c r="E513" t="s">
        <v>3738</v>
      </c>
      <c r="F513" t="s">
        <v>11</v>
      </c>
      <c r="G513" t="s">
        <v>1829</v>
      </c>
      <c r="H513" s="12">
        <v>7.1288137045153803</v>
      </c>
      <c r="I513" s="11">
        <v>1.3098296348463201</v>
      </c>
      <c r="J513" s="10">
        <v>0.190253475449776</v>
      </c>
      <c r="K513" s="29">
        <v>0.92834517192120303</v>
      </c>
    </row>
    <row r="514" spans="1:11" x14ac:dyDescent="0.35">
      <c r="A514" s="9" t="str">
        <f>HYPERLINK("http://www.ensembl.org/id/WBGene00015214", "WBGene00015214")</f>
        <v>WBGene00015214</v>
      </c>
      <c r="B514" s="9" t="str">
        <f>HYPERLINK("http://www.ncbi.nlm.nih.gov/gene/182008", "182008")</f>
        <v>182008</v>
      </c>
      <c r="C514" s="9"/>
      <c r="D514" t="str">
        <f>"srtx-1"</f>
        <v>srtx-1</v>
      </c>
      <c r="E514" t="s">
        <v>4180</v>
      </c>
      <c r="F514" t="s">
        <v>11</v>
      </c>
      <c r="G514" t="s">
        <v>4181</v>
      </c>
      <c r="H514" s="12">
        <v>7.0940661946362704</v>
      </c>
      <c r="I514" s="11">
        <v>1.2131032346683901</v>
      </c>
      <c r="J514" s="10">
        <v>0.225090353458297</v>
      </c>
      <c r="K514" s="29">
        <v>0.98002814908420599</v>
      </c>
    </row>
    <row r="515" spans="1:11" x14ac:dyDescent="0.35">
      <c r="A515" s="9" t="str">
        <f>HYPERLINK("http://www.ensembl.org/id/WBGene00012947", "WBGene00012947")</f>
        <v>WBGene00012947</v>
      </c>
      <c r="B515" s="9" t="str">
        <f>HYPERLINK("http://www.ncbi.nlm.nih.gov/gene/173061", "173061")</f>
        <v>173061</v>
      </c>
      <c r="C515" s="9"/>
      <c r="D515" t="str">
        <f>"Y47H9C.1"</f>
        <v>Y47H9C.1</v>
      </c>
      <c r="F515" t="s">
        <v>11</v>
      </c>
      <c r="H515" s="12">
        <v>7.0861996502677203</v>
      </c>
      <c r="I515" s="11">
        <v>1.5166294894096899</v>
      </c>
      <c r="J515" s="10">
        <v>0.129360255658131</v>
      </c>
      <c r="K515" s="29">
        <v>0.81177604943599402</v>
      </c>
    </row>
    <row r="516" spans="1:11" x14ac:dyDescent="0.35">
      <c r="A516" s="9" t="str">
        <f>HYPERLINK("http://www.ensembl.org/id/WBGene00050875", "WBGene00050875")</f>
        <v>WBGene00050875</v>
      </c>
      <c r="B516" s="9" t="str">
        <f>HYPERLINK("http://www.ncbi.nlm.nih.gov/gene/173031", "173031")</f>
        <v>173031</v>
      </c>
      <c r="C516" s="9"/>
      <c r="D516" t="str">
        <f>"bah-1"</f>
        <v>bah-1</v>
      </c>
      <c r="E516" t="s">
        <v>2117</v>
      </c>
      <c r="F516" t="s">
        <v>11</v>
      </c>
      <c r="G516" t="s">
        <v>1686</v>
      </c>
      <c r="H516" s="12">
        <v>7.0672743738825101</v>
      </c>
      <c r="I516" s="11">
        <v>1.81197714223296</v>
      </c>
      <c r="J516" s="10">
        <v>6.9989728447539007E-2</v>
      </c>
      <c r="K516" s="29">
        <v>0.62657212921690697</v>
      </c>
    </row>
    <row r="517" spans="1:11" x14ac:dyDescent="0.35">
      <c r="A517" s="9" t="str">
        <f>HYPERLINK("http://www.ensembl.org/id/WBGene00021001", "WBGene00021001")</f>
        <v>WBGene00021001</v>
      </c>
      <c r="B517" s="9"/>
      <c r="C517" s="9"/>
      <c r="D517" t="str">
        <f>"W03F9.3"</f>
        <v>W03F9.3</v>
      </c>
      <c r="F517" t="s">
        <v>80</v>
      </c>
      <c r="H517" s="12">
        <v>7.0609483358402896</v>
      </c>
      <c r="I517" s="11">
        <v>1.6063497380829199</v>
      </c>
      <c r="J517" s="10">
        <v>0.108197087703871</v>
      </c>
      <c r="K517" s="29">
        <v>0.75757755892285705</v>
      </c>
    </row>
    <row r="518" spans="1:11" x14ac:dyDescent="0.35">
      <c r="A518" s="9" t="str">
        <f>HYPERLINK("http://www.ensembl.org/id/WBGene00002211", "WBGene00002211")</f>
        <v>WBGene00002211</v>
      </c>
      <c r="B518" s="9" t="str">
        <f>HYPERLINK("http://www.ncbi.nlm.nih.gov/gene/180032", "180032")</f>
        <v>180032</v>
      </c>
      <c r="C518" s="9"/>
      <c r="D518" t="str">
        <f>"kin-30"</f>
        <v>kin-30</v>
      </c>
      <c r="F518" t="s">
        <v>11</v>
      </c>
      <c r="G518" t="s">
        <v>1778</v>
      </c>
      <c r="H518" s="12">
        <v>7.0495207252079704</v>
      </c>
      <c r="I518" s="11">
        <v>1.9783662162150299</v>
      </c>
      <c r="J518" s="10">
        <v>4.7887408068358499E-2</v>
      </c>
      <c r="K518" s="29">
        <v>0.509197630385407</v>
      </c>
    </row>
    <row r="519" spans="1:11" x14ac:dyDescent="0.35">
      <c r="A519" s="9" t="str">
        <f>HYPERLINK("http://www.ensembl.org/id/WBGene00005481", "WBGene00005481")</f>
        <v>WBGene00005481</v>
      </c>
      <c r="B519" s="9" t="str">
        <f>HYPERLINK("http://www.ncbi.nlm.nih.gov/gene/184747", "184747")</f>
        <v>184747</v>
      </c>
      <c r="C519" s="9"/>
      <c r="D519" t="str">
        <f>"srh-276"</f>
        <v>srh-276</v>
      </c>
      <c r="E519" t="s">
        <v>153</v>
      </c>
      <c r="F519" t="s">
        <v>11</v>
      </c>
      <c r="G519" t="s">
        <v>25</v>
      </c>
      <c r="H519" s="12">
        <v>7.0069158539749798</v>
      </c>
      <c r="I519" s="11">
        <v>1.07709385279118</v>
      </c>
      <c r="J519" s="10">
        <v>0.28143833906570298</v>
      </c>
      <c r="K519" s="29">
        <v>0.98289565623980701</v>
      </c>
    </row>
    <row r="520" spans="1:11" x14ac:dyDescent="0.35">
      <c r="A520" s="9" t="str">
        <f>HYPERLINK("http://www.ensembl.org/id/WBGene00012409", "WBGene00012409")</f>
        <v>WBGene00012409</v>
      </c>
      <c r="B520" s="9" t="str">
        <f>HYPERLINK("http://www.ncbi.nlm.nih.gov/gene/189382", "189382")</f>
        <v>189382</v>
      </c>
      <c r="C520" s="9"/>
      <c r="D520" t="str">
        <f>"Y7A5A.3"</f>
        <v>Y7A5A.3</v>
      </c>
      <c r="F520" t="s">
        <v>11</v>
      </c>
      <c r="H520" s="12">
        <v>6.9888830251054603</v>
      </c>
      <c r="I520" s="11">
        <v>1.4535302595664801</v>
      </c>
      <c r="J520" s="10">
        <v>0.14607658442493299</v>
      </c>
      <c r="K520" s="29">
        <v>0.84505926547132704</v>
      </c>
    </row>
    <row r="521" spans="1:11" x14ac:dyDescent="0.35">
      <c r="A521" s="9" t="str">
        <f>HYPERLINK("http://www.ensembl.org/id/WBGene00019145", "WBGene00019145")</f>
        <v>WBGene00019145</v>
      </c>
      <c r="B521" s="9" t="str">
        <f>HYPERLINK("http://www.ncbi.nlm.nih.gov/gene/186666", "186666")</f>
        <v>186666</v>
      </c>
      <c r="C521" s="9"/>
      <c r="D521" t="str">
        <f>"H02F09.2"</f>
        <v>H02F09.2</v>
      </c>
      <c r="F521" t="s">
        <v>11</v>
      </c>
      <c r="H521" s="12">
        <v>6.9803476391906703</v>
      </c>
      <c r="I521" s="11">
        <v>1.0697927296296299</v>
      </c>
      <c r="J521" s="10">
        <v>0.28471261556987598</v>
      </c>
      <c r="K521" s="29">
        <v>0.98289565623980701</v>
      </c>
    </row>
    <row r="522" spans="1:11" x14ac:dyDescent="0.35">
      <c r="A522" s="9" t="str">
        <f>HYPERLINK("http://www.ensembl.org/id/WBGene00194832", "WBGene00194832")</f>
        <v>WBGene00194832</v>
      </c>
      <c r="B522" s="9" t="str">
        <f>HYPERLINK("http://www.ncbi.nlm.nih.gov/gene/13195852", "13195852")</f>
        <v>13195852</v>
      </c>
      <c r="C522" s="9"/>
      <c r="D522" t="str">
        <f>"Y73B6BL.270"</f>
        <v>Y73B6BL.270</v>
      </c>
      <c r="F522" t="s">
        <v>11</v>
      </c>
      <c r="H522" s="12">
        <v>6.9664880042595501</v>
      </c>
      <c r="I522" s="11">
        <v>1.2321417785989699</v>
      </c>
      <c r="J522" s="10">
        <v>0.21789612734681399</v>
      </c>
      <c r="K522" s="29">
        <v>0.97042364854653596</v>
      </c>
    </row>
    <row r="523" spans="1:11" x14ac:dyDescent="0.35">
      <c r="A523" s="9" t="str">
        <f>HYPERLINK("http://www.ensembl.org/id/WBGene00014701", "WBGene00014701")</f>
        <v>WBGene00014701</v>
      </c>
      <c r="B523" s="9"/>
      <c r="C523" s="9"/>
      <c r="D523" t="str">
        <f>"C43D7.1"</f>
        <v>C43D7.1</v>
      </c>
      <c r="F523" t="s">
        <v>80</v>
      </c>
      <c r="H523" s="12">
        <v>6.9646876529727404</v>
      </c>
      <c r="I523" s="11">
        <v>0.88450475716039301</v>
      </c>
      <c r="J523" s="10">
        <v>0.37642379557097599</v>
      </c>
      <c r="K523" s="29">
        <v>0.98289565623980701</v>
      </c>
    </row>
    <row r="524" spans="1:11" x14ac:dyDescent="0.35">
      <c r="A524" s="9" t="str">
        <f>HYPERLINK("http://www.ensembl.org/id/WBGene00199653", "WBGene00199653")</f>
        <v>WBGene00199653</v>
      </c>
      <c r="B524" s="9"/>
      <c r="C524" s="9"/>
      <c r="D524" t="str">
        <f>"B0350.74"</f>
        <v>B0350.74</v>
      </c>
      <c r="F524" t="s">
        <v>481</v>
      </c>
      <c r="H524" s="12">
        <v>6.9414640836418</v>
      </c>
      <c r="I524" s="11">
        <v>0.76143035325409303</v>
      </c>
      <c r="J524" s="10">
        <v>0.44640006347612299</v>
      </c>
      <c r="K524" s="29">
        <v>0.98289565623980701</v>
      </c>
    </row>
    <row r="525" spans="1:11" x14ac:dyDescent="0.35">
      <c r="A525" s="9" t="str">
        <f>HYPERLINK("http://www.ensembl.org/id/WBGene00015892", "WBGene00015892")</f>
        <v>WBGene00015892</v>
      </c>
      <c r="B525" s="9" t="str">
        <f>HYPERLINK("http://www.ncbi.nlm.nih.gov/gene/182718", "182718")</f>
        <v>182718</v>
      </c>
      <c r="C525" s="9"/>
      <c r="D525" t="str">
        <f>"C17C3.9"</f>
        <v>C17C3.9</v>
      </c>
      <c r="F525" t="s">
        <v>11</v>
      </c>
      <c r="H525" s="12">
        <v>6.9414640836418</v>
      </c>
      <c r="I525" s="11">
        <v>0.76143035325409303</v>
      </c>
      <c r="J525" s="10">
        <v>0.44640006347612299</v>
      </c>
      <c r="K525" s="29">
        <v>0.98289565623980701</v>
      </c>
    </row>
    <row r="526" spans="1:11" x14ac:dyDescent="0.35">
      <c r="A526" s="9" t="str">
        <f>HYPERLINK("http://www.ensembl.org/id/WBGene00001919", "WBGene00001919")</f>
        <v>WBGene00001919</v>
      </c>
      <c r="B526" s="9" t="str">
        <f>HYPERLINK("http://www.ncbi.nlm.nih.gov/gene/181821", "181821")</f>
        <v>181821</v>
      </c>
      <c r="C526" s="9" t="str">
        <f>HYPERLINK("http://www.ncbi.nlm.nih.gov/gene/8356", "8356")</f>
        <v>8356</v>
      </c>
      <c r="D526" t="str">
        <f>"his-45"</f>
        <v>his-45</v>
      </c>
      <c r="E526" t="s">
        <v>3683</v>
      </c>
      <c r="F526" t="s">
        <v>11</v>
      </c>
      <c r="G526" t="s">
        <v>232</v>
      </c>
      <c r="H526" s="12">
        <v>6.9414640836418</v>
      </c>
      <c r="I526" s="11">
        <v>0.76143035325409303</v>
      </c>
      <c r="J526" s="10">
        <v>0.44640006347612299</v>
      </c>
      <c r="K526" s="29">
        <v>0.98289565623980701</v>
      </c>
    </row>
    <row r="527" spans="1:11" x14ac:dyDescent="0.35">
      <c r="A527" s="9" t="str">
        <f>HYPERLINK("http://www.ensembl.org/id/WBGene00008493", "WBGene00008493")</f>
        <v>WBGene00008493</v>
      </c>
      <c r="B527" s="9" t="str">
        <f>HYPERLINK("http://www.ncbi.nlm.nih.gov/gene/184056", "184056")</f>
        <v>184056</v>
      </c>
      <c r="C527" s="9"/>
      <c r="D527" t="str">
        <f>"F01D5.2"</f>
        <v>F01D5.2</v>
      </c>
      <c r="F527" t="s">
        <v>11</v>
      </c>
      <c r="H527" s="12">
        <v>6.9318611662251302</v>
      </c>
      <c r="I527" s="11">
        <v>0.62474731658329397</v>
      </c>
      <c r="J527" s="10">
        <v>0.53213691286130105</v>
      </c>
      <c r="K527" s="29">
        <v>0.98289565623980701</v>
      </c>
    </row>
    <row r="528" spans="1:11" x14ac:dyDescent="0.35">
      <c r="A528" s="9" t="str">
        <f>HYPERLINK("http://www.ensembl.org/id/WBGene00014068", "WBGene00014068")</f>
        <v>WBGene00014068</v>
      </c>
      <c r="B528" s="9" t="str">
        <f>HYPERLINK("http://www.ncbi.nlm.nih.gov/gene/191392", "191392")</f>
        <v>191392</v>
      </c>
      <c r="C528" s="9"/>
      <c r="D528" t="str">
        <f>"nhr-255"</f>
        <v>nhr-255</v>
      </c>
      <c r="E528" t="s">
        <v>637</v>
      </c>
      <c r="F528" t="s">
        <v>11</v>
      </c>
      <c r="G528" t="s">
        <v>1073</v>
      </c>
      <c r="H528" s="12">
        <v>6.9318611662251302</v>
      </c>
      <c r="I528" s="11">
        <v>0.62474731658329397</v>
      </c>
      <c r="J528" s="10">
        <v>0.53213691286130105</v>
      </c>
      <c r="K528" s="29">
        <v>0.98289565623980701</v>
      </c>
    </row>
    <row r="529" spans="1:11" x14ac:dyDescent="0.35">
      <c r="A529" s="9" t="str">
        <f>HYPERLINK("http://www.ensembl.org/id/WBGene00022540", "WBGene00022540")</f>
        <v>WBGene00022540</v>
      </c>
      <c r="B529" s="9" t="str">
        <f>HYPERLINK("http://www.ncbi.nlm.nih.gov/gene/191096", "191096")</f>
        <v>191096</v>
      </c>
      <c r="C529" s="9"/>
      <c r="D529" t="str">
        <f>"ZC190.6"</f>
        <v>ZC190.6</v>
      </c>
      <c r="F529" t="s">
        <v>11</v>
      </c>
      <c r="G529" t="s">
        <v>25</v>
      </c>
      <c r="H529" s="12">
        <v>6.9297452939886899</v>
      </c>
      <c r="I529" s="11">
        <v>1.73914436811727</v>
      </c>
      <c r="J529" s="10">
        <v>8.2009372069450595E-2</v>
      </c>
      <c r="K529" s="29">
        <v>0.67458474583009098</v>
      </c>
    </row>
    <row r="530" spans="1:11" x14ac:dyDescent="0.35">
      <c r="A530" s="9" t="str">
        <f>HYPERLINK("http://www.ensembl.org/id/WBGene00005272", "WBGene00005272")</f>
        <v>WBGene00005272</v>
      </c>
      <c r="B530" s="9" t="str">
        <f>HYPERLINK("http://www.ncbi.nlm.nih.gov/gene/191860", "191860")</f>
        <v>191860</v>
      </c>
      <c r="C530" s="9"/>
      <c r="D530" t="str">
        <f>"srh-49"</f>
        <v>srh-49</v>
      </c>
      <c r="E530" t="s">
        <v>153</v>
      </c>
      <c r="F530" t="s">
        <v>11</v>
      </c>
      <c r="G530" t="s">
        <v>25</v>
      </c>
      <c r="H530" s="12">
        <v>6.9267834764449496</v>
      </c>
      <c r="I530" s="11">
        <v>0.98205998863737598</v>
      </c>
      <c r="J530" s="10">
        <v>0.32607029559301098</v>
      </c>
      <c r="K530" s="29">
        <v>0.98289565623980701</v>
      </c>
    </row>
    <row r="531" spans="1:11" x14ac:dyDescent="0.35">
      <c r="A531" s="9" t="str">
        <f>HYPERLINK("http://www.ensembl.org/id/WBGene00019459", "WBGene00019459")</f>
        <v>WBGene00019459</v>
      </c>
      <c r="B531" s="9" t="str">
        <f>HYPERLINK("http://www.ncbi.nlm.nih.gov/gene/187079", "187079")</f>
        <v>187079</v>
      </c>
      <c r="C531" s="9"/>
      <c r="D531" t="str">
        <f>"K06H7.8"</f>
        <v>K06H7.8</v>
      </c>
      <c r="E531" t="s">
        <v>4236</v>
      </c>
      <c r="F531" t="s">
        <v>11</v>
      </c>
      <c r="G531" t="s">
        <v>4237</v>
      </c>
      <c r="H531" s="12">
        <v>6.9253623271807401</v>
      </c>
      <c r="I531" s="11">
        <v>1.0176409129950801</v>
      </c>
      <c r="J531" s="10">
        <v>0.30884863670169799</v>
      </c>
      <c r="K531" s="29">
        <v>0.98289565623980701</v>
      </c>
    </row>
    <row r="532" spans="1:11" x14ac:dyDescent="0.35">
      <c r="A532" s="9" t="str">
        <f>HYPERLINK("http://www.ensembl.org/id/WBGene00268216", "WBGene00268216")</f>
        <v>WBGene00268216</v>
      </c>
      <c r="B532" s="9" t="str">
        <f>HYPERLINK("http://www.ncbi.nlm.nih.gov/gene/26591690", "26591690")</f>
        <v>26591690</v>
      </c>
      <c r="C532" s="9"/>
      <c r="D532" t="str">
        <f>"F49B2.9"</f>
        <v>F49B2.9</v>
      </c>
      <c r="F532" t="s">
        <v>11</v>
      </c>
      <c r="H532" s="12">
        <v>6.9083294444322796</v>
      </c>
      <c r="I532" s="11">
        <v>0.87530276280874997</v>
      </c>
      <c r="J532" s="10">
        <v>0.38140919125548101</v>
      </c>
      <c r="K532" s="29">
        <v>0.98289565623980701</v>
      </c>
    </row>
    <row r="533" spans="1:11" x14ac:dyDescent="0.35">
      <c r="A533" s="9" t="str">
        <f>HYPERLINK("http://www.ensembl.org/id/WBGene00003854", "WBGene00003854")</f>
        <v>WBGene00003854</v>
      </c>
      <c r="B533" s="9" t="str">
        <f>HYPERLINK("http://www.ncbi.nlm.nih.gov/gene/181403", "181403")</f>
        <v>181403</v>
      </c>
      <c r="C533" s="9"/>
      <c r="D533" t="str">
        <f>"odr-7"</f>
        <v>odr-7</v>
      </c>
      <c r="E533" t="s">
        <v>3855</v>
      </c>
      <c r="F533" t="s">
        <v>11</v>
      </c>
      <c r="G533" t="s">
        <v>852</v>
      </c>
      <c r="H533" s="12">
        <v>6.8965075210233504</v>
      </c>
      <c r="I533" s="11">
        <v>1.28096871821279</v>
      </c>
      <c r="J533" s="10">
        <v>0.200204653880906</v>
      </c>
      <c r="K533" s="29">
        <v>0.94709298121152596</v>
      </c>
    </row>
    <row r="534" spans="1:11" x14ac:dyDescent="0.35">
      <c r="A534" s="9" t="str">
        <f>HYPERLINK("http://www.ensembl.org/id/WBGene00005362", "WBGene00005362")</f>
        <v>WBGene00005362</v>
      </c>
      <c r="B534" s="9" t="str">
        <f>HYPERLINK("http://www.ncbi.nlm.nih.gov/gene/13212086", "13212086")</f>
        <v>13212086</v>
      </c>
      <c r="C534" s="9"/>
      <c r="D534" t="str">
        <f>"srh-146"</f>
        <v>srh-146</v>
      </c>
      <c r="E534" t="s">
        <v>153</v>
      </c>
      <c r="F534" t="s">
        <v>11</v>
      </c>
      <c r="G534" t="s">
        <v>25</v>
      </c>
      <c r="H534" s="12">
        <v>6.88644718336844</v>
      </c>
      <c r="I534" s="11">
        <v>1.11629394038149</v>
      </c>
      <c r="J534" s="10">
        <v>0.26429633457641399</v>
      </c>
      <c r="K534" s="29">
        <v>0.98289565623980701</v>
      </c>
    </row>
    <row r="535" spans="1:11" x14ac:dyDescent="0.35">
      <c r="A535" s="9" t="str">
        <f>HYPERLINK("http://www.ensembl.org/id/WBGene00007543", "WBGene00007543")</f>
        <v>WBGene00007543</v>
      </c>
      <c r="B535" s="9" t="str">
        <f>HYPERLINK("http://www.ncbi.nlm.nih.gov/gene/259643", "259643")</f>
        <v>259643</v>
      </c>
      <c r="C535" s="9"/>
      <c r="D535" t="str">
        <f>"fipr-7"</f>
        <v>fipr-7</v>
      </c>
      <c r="E535" t="s">
        <v>28</v>
      </c>
      <c r="F535" t="s">
        <v>11</v>
      </c>
      <c r="H535" s="12">
        <v>6.8793301777986198</v>
      </c>
      <c r="I535" s="11">
        <v>2.1991668001303601</v>
      </c>
      <c r="J535" s="10">
        <v>2.7866064085473499E-2</v>
      </c>
      <c r="K535" s="29">
        <v>0.37258671819880401</v>
      </c>
    </row>
    <row r="536" spans="1:11" x14ac:dyDescent="0.35">
      <c r="A536" s="9" t="str">
        <f>HYPERLINK("http://www.ensembl.org/id/WBGene00005088", "WBGene00005088")</f>
        <v>WBGene00005088</v>
      </c>
      <c r="B536" s="9" t="str">
        <f>HYPERLINK("http://www.ncbi.nlm.nih.gov/gene/191800", "191800")</f>
        <v>191800</v>
      </c>
      <c r="C536" s="9"/>
      <c r="D536" t="str">
        <f>"srd-10"</f>
        <v>srd-10</v>
      </c>
      <c r="E536" t="s">
        <v>1513</v>
      </c>
      <c r="F536" t="s">
        <v>11</v>
      </c>
      <c r="G536" t="s">
        <v>25</v>
      </c>
      <c r="H536" s="12">
        <v>6.8700698083234704</v>
      </c>
      <c r="I536" s="11">
        <v>1.1390843876522601</v>
      </c>
      <c r="J536" s="10">
        <v>0.25466795859369301</v>
      </c>
      <c r="K536" s="29">
        <v>0.98289565623980701</v>
      </c>
    </row>
    <row r="537" spans="1:11" x14ac:dyDescent="0.35">
      <c r="A537" s="9" t="str">
        <f>HYPERLINK("http://www.ensembl.org/id/WBGene00009398", "WBGene00009398")</f>
        <v>WBGene00009398</v>
      </c>
      <c r="B537" s="9" t="str">
        <f>HYPERLINK("http://www.ncbi.nlm.nih.gov/gene/185265", "185265")</f>
        <v>185265</v>
      </c>
      <c r="C537" s="9"/>
      <c r="D537" t="str">
        <f>"nspb-11"</f>
        <v>nspb-11</v>
      </c>
      <c r="E537" t="s">
        <v>1851</v>
      </c>
      <c r="F537" t="s">
        <v>11</v>
      </c>
      <c r="H537" s="12">
        <v>6.8215513439976103</v>
      </c>
      <c r="I537" s="11">
        <v>1.7739027523014801</v>
      </c>
      <c r="J537" s="10">
        <v>7.6079237419020798E-2</v>
      </c>
      <c r="K537" s="29">
        <v>0.64902423793132102</v>
      </c>
    </row>
    <row r="538" spans="1:11" x14ac:dyDescent="0.35">
      <c r="A538" s="9" t="str">
        <f>HYPERLINK("http://www.ensembl.org/id/WBGene00045331", "WBGene00045331")</f>
        <v>WBGene00045331</v>
      </c>
      <c r="B538" s="9" t="str">
        <f>HYPERLINK("http://www.ncbi.nlm.nih.gov/gene/6418724", "6418724")</f>
        <v>6418724</v>
      </c>
      <c r="C538" s="9"/>
      <c r="D538" t="str">
        <f>"F14D7.12"</f>
        <v>F14D7.12</v>
      </c>
      <c r="F538" t="s">
        <v>11</v>
      </c>
      <c r="H538" s="12">
        <v>6.8031086732778796</v>
      </c>
      <c r="I538" s="11">
        <v>3.4537626826521102</v>
      </c>
      <c r="J538" s="10">
        <v>5.5282362128630596E-4</v>
      </c>
      <c r="K538" s="29">
        <v>2.47549275066694E-2</v>
      </c>
    </row>
    <row r="539" spans="1:11" x14ac:dyDescent="0.35">
      <c r="A539" s="9" t="str">
        <f>HYPERLINK("http://www.ensembl.org/id/WBGene00005198", "WBGene00005198")</f>
        <v>WBGene00005198</v>
      </c>
      <c r="B539" s="9" t="str">
        <f>HYPERLINK("http://www.ncbi.nlm.nih.gov/gene/188592", "188592")</f>
        <v>188592</v>
      </c>
      <c r="C539" s="9"/>
      <c r="D539" t="str">
        <f>"srg-41"</f>
        <v>srg-41</v>
      </c>
      <c r="E539" t="s">
        <v>1828</v>
      </c>
      <c r="F539" t="s">
        <v>11</v>
      </c>
      <c r="G539" t="s">
        <v>1829</v>
      </c>
      <c r="H539" s="12">
        <v>6.7905586320827496</v>
      </c>
      <c r="I539" s="11">
        <v>0.74814431364464495</v>
      </c>
      <c r="J539" s="10">
        <v>0.45437311546172199</v>
      </c>
      <c r="K539" s="29">
        <v>0.98289565623980701</v>
      </c>
    </row>
    <row r="540" spans="1:11" x14ac:dyDescent="0.35">
      <c r="A540" s="9" t="str">
        <f>HYPERLINK("http://www.ensembl.org/id/WBGene00206469", "WBGene00206469")</f>
        <v>WBGene00206469</v>
      </c>
      <c r="B540" s="9" t="str">
        <f>HYPERLINK("http://www.ncbi.nlm.nih.gov/gene/13198828", "13198828")</f>
        <v>13198828</v>
      </c>
      <c r="C540" s="9"/>
      <c r="D540" t="str">
        <f>"F58D2.5"</f>
        <v>F58D2.5</v>
      </c>
      <c r="F540" t="s">
        <v>11</v>
      </c>
      <c r="H540" s="12">
        <v>6.7698431498674303</v>
      </c>
      <c r="I540" s="11">
        <v>0.98617531059185803</v>
      </c>
      <c r="J540" s="10">
        <v>0.32404709254826702</v>
      </c>
      <c r="K540" s="29">
        <v>0.98289565623980701</v>
      </c>
    </row>
    <row r="541" spans="1:11" x14ac:dyDescent="0.35">
      <c r="A541" s="9" t="str">
        <f>HYPERLINK("http://www.ensembl.org/id/WBGene00202496", "WBGene00202496")</f>
        <v>WBGene00202496</v>
      </c>
      <c r="B541" s="9" t="str">
        <f>HYPERLINK("http://www.ncbi.nlm.nih.gov/gene/13212672", "13212672")</f>
        <v>13212672</v>
      </c>
      <c r="C541" s="9"/>
      <c r="D541" t="str">
        <f>"R02F11.9"</f>
        <v>R02F11.9</v>
      </c>
      <c r="F541" t="s">
        <v>11</v>
      </c>
      <c r="G541" t="s">
        <v>25</v>
      </c>
      <c r="H541" s="12">
        <v>6.7698431498674303</v>
      </c>
      <c r="I541" s="11">
        <v>0.98617531059185803</v>
      </c>
      <c r="J541" s="10">
        <v>0.32404709254826702</v>
      </c>
      <c r="K541" s="29">
        <v>0.98289565623980701</v>
      </c>
    </row>
    <row r="542" spans="1:11" x14ac:dyDescent="0.35">
      <c r="A542" s="9" t="str">
        <f>HYPERLINK("http://www.ensembl.org/id/WBGene00206392", "WBGene00206392")</f>
        <v>WBGene00206392</v>
      </c>
      <c r="B542" s="9" t="str">
        <f>HYPERLINK("http://www.ncbi.nlm.nih.gov/gene/13212557", "13212557")</f>
        <v>13212557</v>
      </c>
      <c r="C542" s="9"/>
      <c r="D542" t="str">
        <f>"F47D2.11"</f>
        <v>F47D2.11</v>
      </c>
      <c r="F542" t="s">
        <v>11</v>
      </c>
      <c r="G542" t="s">
        <v>25</v>
      </c>
      <c r="H542" s="12">
        <v>6.7507524645689001</v>
      </c>
      <c r="I542" s="11">
        <v>1.09957079081736</v>
      </c>
      <c r="J542" s="10">
        <v>0.27151917434977602</v>
      </c>
      <c r="K542" s="29">
        <v>0.98289565623980701</v>
      </c>
    </row>
    <row r="543" spans="1:11" x14ac:dyDescent="0.35">
      <c r="A543" s="9" t="str">
        <f>HYPERLINK("http://www.ensembl.org/id/WBGene00003574", "WBGene00003574")</f>
        <v>WBGene00003574</v>
      </c>
      <c r="B543" s="9" t="str">
        <f>HYPERLINK("http://www.ncbi.nlm.nih.gov/gene/182576", "182576")</f>
        <v>182576</v>
      </c>
      <c r="C543" s="9" t="str">
        <f>HYPERLINK("http://www.ncbi.nlm.nih.gov/gene/80024", "80024")</f>
        <v>80024</v>
      </c>
      <c r="D543" t="str">
        <f>"ncx-9"</f>
        <v>ncx-9</v>
      </c>
      <c r="E543" t="s">
        <v>1216</v>
      </c>
      <c r="F543" t="s">
        <v>11</v>
      </c>
      <c r="G543" t="s">
        <v>1217</v>
      </c>
      <c r="H543" s="12">
        <v>6.7462477057673702</v>
      </c>
      <c r="I543" s="11">
        <v>2.38767612470506</v>
      </c>
      <c r="J543" s="10">
        <v>1.6955276401407201E-2</v>
      </c>
      <c r="K543" s="29">
        <v>0.27262951741886898</v>
      </c>
    </row>
    <row r="544" spans="1:11" x14ac:dyDescent="0.35">
      <c r="A544" s="9" t="str">
        <f>HYPERLINK("http://www.ensembl.org/id/WBGene00014525", "WBGene00014525")</f>
        <v>WBGene00014525</v>
      </c>
      <c r="B544" s="9"/>
      <c r="C544" s="9"/>
      <c r="D544" t="str">
        <f>"T22A3.t1"</f>
        <v>T22A3.t1</v>
      </c>
      <c r="F544" t="s">
        <v>4208</v>
      </c>
      <c r="H544" s="12">
        <v>6.7363700973645102</v>
      </c>
      <c r="I544" s="11">
        <v>0.89297239124027195</v>
      </c>
      <c r="J544" s="10">
        <v>0.37187195790918698</v>
      </c>
      <c r="K544" s="29">
        <v>0.98289565623980701</v>
      </c>
    </row>
    <row r="545" spans="1:11" x14ac:dyDescent="0.35">
      <c r="A545" s="9" t="str">
        <f>HYPERLINK("http://www.ensembl.org/id/WBGene00018127", "WBGene00018127")</f>
        <v>WBGene00018127</v>
      </c>
      <c r="B545" s="9"/>
      <c r="C545" s="9"/>
      <c r="D545" t="str">
        <f>"F36H12.14"</f>
        <v>F36H12.14</v>
      </c>
      <c r="F545" t="s">
        <v>80</v>
      </c>
      <c r="H545" s="12">
        <v>6.7360559061507299</v>
      </c>
      <c r="I545" s="11">
        <v>1.1572837924294299</v>
      </c>
      <c r="J545" s="10">
        <v>0.24715643307346899</v>
      </c>
      <c r="K545" s="29">
        <v>0.98289565623980701</v>
      </c>
    </row>
    <row r="546" spans="1:11" x14ac:dyDescent="0.35">
      <c r="A546" s="9" t="str">
        <f>HYPERLINK("http://www.ensembl.org/id/WBGene00005816", "WBGene00005816")</f>
        <v>WBGene00005816</v>
      </c>
      <c r="B546" s="9" t="str">
        <f>HYPERLINK("http://www.ncbi.nlm.nih.gov/gene/184641", "184641")</f>
        <v>184641</v>
      </c>
      <c r="C546" s="9"/>
      <c r="D546" t="str">
        <f>"srw-69"</f>
        <v>srw-69</v>
      </c>
      <c r="E546" t="s">
        <v>1014</v>
      </c>
      <c r="F546" t="s">
        <v>11</v>
      </c>
      <c r="G546" t="s">
        <v>1015</v>
      </c>
      <c r="H546" s="12">
        <v>6.6800067202325097</v>
      </c>
      <c r="I546" s="11">
        <v>1.3958874321230299</v>
      </c>
      <c r="J546" s="10">
        <v>0.162748395847785</v>
      </c>
      <c r="K546" s="29">
        <v>0.87986401604460995</v>
      </c>
    </row>
    <row r="547" spans="1:11" x14ac:dyDescent="0.35">
      <c r="A547" s="9" t="str">
        <f>HYPERLINK("http://www.ensembl.org/id/WBGene00007809", "WBGene00007809")</f>
        <v>WBGene00007809</v>
      </c>
      <c r="B547" s="9" t="str">
        <f>HYPERLINK("http://www.ncbi.nlm.nih.gov/gene/183008", "183008")</f>
        <v>183008</v>
      </c>
      <c r="C547" s="9"/>
      <c r="D547" t="str">
        <f>"C29F4.3"</f>
        <v>C29F4.3</v>
      </c>
      <c r="F547" t="s">
        <v>11</v>
      </c>
      <c r="G547" t="s">
        <v>25</v>
      </c>
      <c r="H547" s="12">
        <v>6.66445902137965</v>
      </c>
      <c r="I547" s="11">
        <v>2.2888065598018601</v>
      </c>
      <c r="J547" s="10">
        <v>2.2090594174464701E-2</v>
      </c>
      <c r="K547" s="29">
        <v>0.320838192558837</v>
      </c>
    </row>
    <row r="548" spans="1:11" x14ac:dyDescent="0.35">
      <c r="A548" s="9" t="str">
        <f>HYPERLINK("http://www.ensembl.org/id/WBGene00004455", "WBGene00004455")</f>
        <v>WBGene00004455</v>
      </c>
      <c r="B548" s="9" t="str">
        <f>HYPERLINK("http://www.ncbi.nlm.nih.gov/gene/191758", "191758")</f>
        <v>191758</v>
      </c>
      <c r="C548" s="9"/>
      <c r="D548" t="str">
        <f>"rpl-42"</f>
        <v>rpl-42</v>
      </c>
      <c r="E548" t="s">
        <v>4238</v>
      </c>
      <c r="F548" t="s">
        <v>11</v>
      </c>
      <c r="G548" t="s">
        <v>4239</v>
      </c>
      <c r="H548" s="12">
        <v>6.6601674719235602</v>
      </c>
      <c r="I548" s="11">
        <v>1.1123343765634801</v>
      </c>
      <c r="J548" s="10">
        <v>0.265994408555982</v>
      </c>
      <c r="K548" s="29">
        <v>0.98289565623980701</v>
      </c>
    </row>
    <row r="549" spans="1:11" x14ac:dyDescent="0.35">
      <c r="A549" s="9" t="str">
        <f>HYPERLINK("http://www.ensembl.org/id/WBGene00008025", "WBGene00008025")</f>
        <v>WBGene00008025</v>
      </c>
      <c r="B549" s="9" t="str">
        <f>HYPERLINK("http://www.ncbi.nlm.nih.gov/gene/183334", "183334")</f>
        <v>183334</v>
      </c>
      <c r="C549" s="9"/>
      <c r="D549" t="str">
        <f>"C39B10.5"</f>
        <v>C39B10.5</v>
      </c>
      <c r="F549" t="s">
        <v>11</v>
      </c>
      <c r="H549" s="12">
        <v>6.6561331688615804</v>
      </c>
      <c r="I549" s="11">
        <v>1.6175763688979501</v>
      </c>
      <c r="J549" s="10">
        <v>0.105753925205832</v>
      </c>
      <c r="K549" s="29">
        <v>0.75001540693859603</v>
      </c>
    </row>
    <row r="550" spans="1:11" x14ac:dyDescent="0.35">
      <c r="A550" s="9" t="str">
        <f>HYPERLINK("http://www.ensembl.org/id/WBGene00014425", "WBGene00014425")</f>
        <v>WBGene00014425</v>
      </c>
      <c r="B550" s="9"/>
      <c r="C550" s="9"/>
      <c r="D550" t="str">
        <f>"K07C10.2"</f>
        <v>K07C10.2</v>
      </c>
      <c r="F550" t="s">
        <v>2977</v>
      </c>
      <c r="H550" s="12">
        <v>6.6455025956121299</v>
      </c>
      <c r="I550" s="11">
        <v>0.92043798768465701</v>
      </c>
      <c r="J550" s="10">
        <v>0.35734392497915102</v>
      </c>
      <c r="K550" s="29">
        <v>0.98289565623980701</v>
      </c>
    </row>
    <row r="551" spans="1:11" x14ac:dyDescent="0.35">
      <c r="A551" s="9" t="str">
        <f>HYPERLINK("http://www.ensembl.org/id/WBGene00219749", "WBGene00219749")</f>
        <v>WBGene00219749</v>
      </c>
      <c r="B551" s="9"/>
      <c r="C551" s="9"/>
      <c r="D551" t="str">
        <f>"linc-30"</f>
        <v>linc-30</v>
      </c>
      <c r="F551" t="s">
        <v>1510</v>
      </c>
      <c r="H551" s="12">
        <v>6.6455025956121299</v>
      </c>
      <c r="I551" s="11">
        <v>0.92043798768465701</v>
      </c>
      <c r="J551" s="10">
        <v>0.35734392497915102</v>
      </c>
      <c r="K551" s="29">
        <v>0.98289565623980701</v>
      </c>
    </row>
    <row r="552" spans="1:11" x14ac:dyDescent="0.35">
      <c r="A552" s="9" t="str">
        <f>HYPERLINK("http://www.ensembl.org/id/WBGene00020468", "WBGene00020468")</f>
        <v>WBGene00020468</v>
      </c>
      <c r="B552" s="9" t="str">
        <f>HYPERLINK("http://www.ncbi.nlm.nih.gov/gene/188458", "188458")</f>
        <v>188458</v>
      </c>
      <c r="C552" s="9"/>
      <c r="D552" t="str">
        <f>"T13A10.1"</f>
        <v>T13A10.1</v>
      </c>
      <c r="F552" t="s">
        <v>11</v>
      </c>
      <c r="G552" t="s">
        <v>25</v>
      </c>
      <c r="H552" s="12">
        <v>6.6344089709962599</v>
      </c>
      <c r="I552" s="11">
        <v>1.4372041367760899</v>
      </c>
      <c r="J552" s="10">
        <v>0.15065999791387399</v>
      </c>
      <c r="K552" s="29">
        <v>0.85531755119272501</v>
      </c>
    </row>
    <row r="553" spans="1:11" x14ac:dyDescent="0.35">
      <c r="A553" s="9" t="str">
        <f>HYPERLINK("http://www.ensembl.org/id/WBGene00198436", "WBGene00198436")</f>
        <v>WBGene00198436</v>
      </c>
      <c r="B553" s="9"/>
      <c r="C553" s="9"/>
      <c r="D553" t="str">
        <f>"C04H4.6"</f>
        <v>C04H4.6</v>
      </c>
      <c r="F553" t="s">
        <v>481</v>
      </c>
      <c r="H553" s="12">
        <v>6.61045742799383</v>
      </c>
      <c r="I553" s="11">
        <v>0.55558174612790701</v>
      </c>
      <c r="J553" s="10">
        <v>0.57849681292850097</v>
      </c>
      <c r="K553" s="29">
        <v>0.98289565623980701</v>
      </c>
    </row>
    <row r="554" spans="1:11" x14ac:dyDescent="0.35">
      <c r="A554" s="9" t="str">
        <f>HYPERLINK("http://www.ensembl.org/id/WBGene00219827", "WBGene00219827")</f>
        <v>WBGene00219827</v>
      </c>
      <c r="B554" s="9"/>
      <c r="C554" s="9"/>
      <c r="D554" t="str">
        <f>"C23G10.12"</f>
        <v>C23G10.12</v>
      </c>
      <c r="F554" t="s">
        <v>2977</v>
      </c>
      <c r="H554" s="12">
        <v>6.61045742799383</v>
      </c>
      <c r="I554" s="11">
        <v>0.55558174612790701</v>
      </c>
      <c r="J554" s="10">
        <v>0.57849681292850097</v>
      </c>
      <c r="K554" s="29">
        <v>0.98289565623980701</v>
      </c>
    </row>
    <row r="555" spans="1:11" x14ac:dyDescent="0.35">
      <c r="A555" s="9" t="str">
        <f>HYPERLINK("http://www.ensembl.org/id/WBGene00219940", "WBGene00219940")</f>
        <v>WBGene00219940</v>
      </c>
      <c r="B555" s="9"/>
      <c r="C555" s="9"/>
      <c r="D555" t="str">
        <f>"F39B2.14"</f>
        <v>F39B2.14</v>
      </c>
      <c r="F555" t="s">
        <v>2977</v>
      </c>
      <c r="H555" s="12">
        <v>6.61045742799383</v>
      </c>
      <c r="I555" s="11">
        <v>0.55558174612790701</v>
      </c>
      <c r="J555" s="10">
        <v>0.57849681292850097</v>
      </c>
      <c r="K555" s="29">
        <v>0.98289565623980701</v>
      </c>
    </row>
    <row r="556" spans="1:11" x14ac:dyDescent="0.35">
      <c r="A556" s="9" t="str">
        <f>HYPERLINK("http://www.ensembl.org/id/WBGene00194870", "WBGene00194870")</f>
        <v>WBGene00194870</v>
      </c>
      <c r="B556" s="9" t="str">
        <f>HYPERLINK("http://www.ncbi.nlm.nih.gov/gene/13191741", "13191741")</f>
        <v>13191741</v>
      </c>
      <c r="C556" s="9"/>
      <c r="D556" t="str">
        <f>"F53A2.11"</f>
        <v>F53A2.11</v>
      </c>
      <c r="F556" t="s">
        <v>11</v>
      </c>
      <c r="G556" t="s">
        <v>178</v>
      </c>
      <c r="H556" s="12">
        <v>6.61045742799383</v>
      </c>
      <c r="I556" s="11">
        <v>0.55558174612790701</v>
      </c>
      <c r="J556" s="10">
        <v>0.57849681292850097</v>
      </c>
      <c r="K556" s="29">
        <v>0.98289565623980701</v>
      </c>
    </row>
    <row r="557" spans="1:11" x14ac:dyDescent="0.35">
      <c r="A557" s="9" t="str">
        <f>HYPERLINK("http://www.ensembl.org/id/WBGene00014190", "WBGene00014190")</f>
        <v>WBGene00014190</v>
      </c>
      <c r="B557" s="9" t="str">
        <f>HYPERLINK("http://www.ncbi.nlm.nih.gov/gene/191497", "191497")</f>
        <v>191497</v>
      </c>
      <c r="C557" s="9"/>
      <c r="D557" t="str">
        <f>"irld-62"</f>
        <v>irld-62</v>
      </c>
      <c r="E557" t="s">
        <v>1627</v>
      </c>
      <c r="F557" t="s">
        <v>11</v>
      </c>
      <c r="H557" s="12">
        <v>6.61045742799383</v>
      </c>
      <c r="I557" s="11">
        <v>0.55558174612790701</v>
      </c>
      <c r="J557" s="10">
        <v>0.57849681292850097</v>
      </c>
      <c r="K557" s="29">
        <v>0.98289565623980701</v>
      </c>
    </row>
    <row r="558" spans="1:11" x14ac:dyDescent="0.35">
      <c r="A558" s="9" t="str">
        <f>HYPERLINK("http://www.ensembl.org/id/WBGene00219612", "WBGene00219612")</f>
        <v>WBGene00219612</v>
      </c>
      <c r="B558" s="9"/>
      <c r="C558" s="9"/>
      <c r="D558" t="str">
        <f>"linc-153"</f>
        <v>linc-153</v>
      </c>
      <c r="F558" t="s">
        <v>1510</v>
      </c>
      <c r="H558" s="12">
        <v>6.61045742799383</v>
      </c>
      <c r="I558" s="11">
        <v>0.55558174612790701</v>
      </c>
      <c r="J558" s="10">
        <v>0.57849681292850097</v>
      </c>
      <c r="K558" s="29">
        <v>0.98289565623980701</v>
      </c>
    </row>
    <row r="559" spans="1:11" x14ac:dyDescent="0.35">
      <c r="A559" s="9" t="str">
        <f>HYPERLINK("http://www.ensembl.org/id/WBGene00003608", "WBGene00003608")</f>
        <v>WBGene00003608</v>
      </c>
      <c r="B559" s="9" t="str">
        <f>HYPERLINK("http://www.ncbi.nlm.nih.gov/gene/191718", "191718")</f>
        <v>191718</v>
      </c>
      <c r="C559" s="9"/>
      <c r="D559" t="str">
        <f>"nhr-9"</f>
        <v>nhr-9</v>
      </c>
      <c r="E559" t="s">
        <v>4240</v>
      </c>
      <c r="F559" t="s">
        <v>11</v>
      </c>
      <c r="G559" t="s">
        <v>852</v>
      </c>
      <c r="H559" s="12">
        <v>6.61045742799383</v>
      </c>
      <c r="I559" s="11">
        <v>0.55558174612790701</v>
      </c>
      <c r="J559" s="10">
        <v>0.57849681292850097</v>
      </c>
      <c r="K559" s="29">
        <v>0.98289565623980701</v>
      </c>
    </row>
    <row r="560" spans="1:11" x14ac:dyDescent="0.35">
      <c r="A560" s="9" t="str">
        <f>HYPERLINK("http://www.ensembl.org/id/WBGene00019919", "WBGene00019919")</f>
        <v>WBGene00019919</v>
      </c>
      <c r="B560" s="9" t="str">
        <f>HYPERLINK("http://www.ncbi.nlm.nih.gov/gene/187665", "187665")</f>
        <v>187665</v>
      </c>
      <c r="C560" s="9"/>
      <c r="D560" t="str">
        <f>"R07C3.3"</f>
        <v>R07C3.3</v>
      </c>
      <c r="F560" t="s">
        <v>11</v>
      </c>
      <c r="G560" t="s">
        <v>4242</v>
      </c>
      <c r="H560" s="12">
        <v>6.61045742799383</v>
      </c>
      <c r="I560" s="11">
        <v>0.55558174612790701</v>
      </c>
      <c r="J560" s="10">
        <v>0.57849681292850097</v>
      </c>
      <c r="K560" s="29">
        <v>0.98289565623980701</v>
      </c>
    </row>
    <row r="561" spans="1:11" x14ac:dyDescent="0.35">
      <c r="A561" s="9" t="str">
        <f>HYPERLINK("http://www.ensembl.org/id/WBGene00044090", "WBGene00044090")</f>
        <v>WBGene00044090</v>
      </c>
      <c r="B561" s="9" t="str">
        <f>HYPERLINK("http://www.ncbi.nlm.nih.gov/gene/3565603", "3565603")</f>
        <v>3565603</v>
      </c>
      <c r="C561" s="9"/>
      <c r="D561" t="str">
        <f>"srbc-33"</f>
        <v>srbc-33</v>
      </c>
      <c r="E561" t="s">
        <v>3034</v>
      </c>
      <c r="F561" t="s">
        <v>11</v>
      </c>
      <c r="G561" t="s">
        <v>25</v>
      </c>
      <c r="H561" s="12">
        <v>6.61045742799383</v>
      </c>
      <c r="I561" s="11">
        <v>0.55558174612790701</v>
      </c>
      <c r="J561" s="10">
        <v>0.57849681292850097</v>
      </c>
      <c r="K561" s="29">
        <v>0.98289565623980701</v>
      </c>
    </row>
    <row r="562" spans="1:11" x14ac:dyDescent="0.35">
      <c r="A562" s="9" t="str">
        <f>HYPERLINK("http://www.ensembl.org/id/WBGene00044084", "WBGene00044084")</f>
        <v>WBGene00044084</v>
      </c>
      <c r="B562" s="9" t="str">
        <f>HYPERLINK("http://www.ncbi.nlm.nih.gov/gene/3565496", "3565496")</f>
        <v>3565496</v>
      </c>
      <c r="C562" s="9"/>
      <c r="D562" t="str">
        <f>"sre-46"</f>
        <v>sre-46</v>
      </c>
      <c r="E562" t="s">
        <v>2638</v>
      </c>
      <c r="F562" t="s">
        <v>11</v>
      </c>
      <c r="G562" t="s">
        <v>2639</v>
      </c>
      <c r="H562" s="12">
        <v>6.61045742799383</v>
      </c>
      <c r="I562" s="11">
        <v>0.55558174612790701</v>
      </c>
      <c r="J562" s="10">
        <v>0.57849681292850097</v>
      </c>
      <c r="K562" s="29">
        <v>0.98289565623980701</v>
      </c>
    </row>
    <row r="563" spans="1:11" x14ac:dyDescent="0.35">
      <c r="A563" s="9" t="str">
        <f>HYPERLINK("http://www.ensembl.org/id/WBGene00005169", "WBGene00005169")</f>
        <v>WBGene00005169</v>
      </c>
      <c r="B563" s="9" t="str">
        <f>HYPERLINK("http://www.ncbi.nlm.nih.gov/gene/191837", "191837")</f>
        <v>191837</v>
      </c>
      <c r="C563" s="9"/>
      <c r="D563" t="str">
        <f>"srg-11"</f>
        <v>srg-11</v>
      </c>
      <c r="E563" t="s">
        <v>4241</v>
      </c>
      <c r="F563" t="s">
        <v>11</v>
      </c>
      <c r="G563" t="s">
        <v>1829</v>
      </c>
      <c r="H563" s="12">
        <v>6.61045742799383</v>
      </c>
      <c r="I563" s="11">
        <v>0.55558174612790701</v>
      </c>
      <c r="J563" s="10">
        <v>0.57849681292850097</v>
      </c>
      <c r="K563" s="29">
        <v>0.98289565623980701</v>
      </c>
    </row>
    <row r="564" spans="1:11" x14ac:dyDescent="0.35">
      <c r="A564" s="9" t="str">
        <f>HYPERLINK("http://www.ensembl.org/id/WBGene00005400", "WBGene00005400")</f>
        <v>WBGene00005400</v>
      </c>
      <c r="B564" s="9" t="str">
        <f>HYPERLINK("http://www.ncbi.nlm.nih.gov/gene/191886", "191886")</f>
        <v>191886</v>
      </c>
      <c r="C564" s="9"/>
      <c r="D564" t="str">
        <f>"srh-185"</f>
        <v>srh-185</v>
      </c>
      <c r="E564" t="s">
        <v>153</v>
      </c>
      <c r="F564" t="s">
        <v>11</v>
      </c>
      <c r="G564" t="s">
        <v>25</v>
      </c>
      <c r="H564" s="12">
        <v>6.61045742799383</v>
      </c>
      <c r="I564" s="11">
        <v>0.55558174612790701</v>
      </c>
      <c r="J564" s="10">
        <v>0.57849681292850097</v>
      </c>
      <c r="K564" s="29">
        <v>0.98289565623980701</v>
      </c>
    </row>
    <row r="565" spans="1:11" x14ac:dyDescent="0.35">
      <c r="A565" s="9" t="str">
        <f>HYPERLINK("http://www.ensembl.org/id/WBGene00021951", "WBGene00021951")</f>
        <v>WBGene00021951</v>
      </c>
      <c r="B565" s="9" t="str">
        <f>HYPERLINK("http://www.ncbi.nlm.nih.gov/gene/176898", "176898")</f>
        <v>176898</v>
      </c>
      <c r="C565" s="9"/>
      <c r="D565" t="str">
        <f>"srt-24"</f>
        <v>srt-24</v>
      </c>
      <c r="E565" t="s">
        <v>2845</v>
      </c>
      <c r="F565" t="s">
        <v>11</v>
      </c>
      <c r="G565" t="s">
        <v>25</v>
      </c>
      <c r="H565" s="12">
        <v>6.61045742799383</v>
      </c>
      <c r="I565" s="11">
        <v>0.55558174612790701</v>
      </c>
      <c r="J565" s="10">
        <v>0.57849681292850097</v>
      </c>
      <c r="K565" s="29">
        <v>0.98289565623980701</v>
      </c>
    </row>
    <row r="566" spans="1:11" x14ac:dyDescent="0.35">
      <c r="A566" s="9" t="str">
        <f>HYPERLINK("http://www.ensembl.org/id/WBGene00021303", "WBGene00021303")</f>
        <v>WBGene00021303</v>
      </c>
      <c r="B566" s="9" t="str">
        <f>HYPERLINK("http://www.ncbi.nlm.nih.gov/gene/189578", "189578")</f>
        <v>189578</v>
      </c>
      <c r="C566" s="9"/>
      <c r="D566" t="str">
        <f>"Y32G9A.5"</f>
        <v>Y32G9A.5</v>
      </c>
      <c r="F566" t="s">
        <v>11</v>
      </c>
      <c r="H566" s="12">
        <v>6.61045742799383</v>
      </c>
      <c r="I566" s="11">
        <v>0.55558174612790701</v>
      </c>
      <c r="J566" s="10">
        <v>0.57849681292850097</v>
      </c>
      <c r="K566" s="29">
        <v>0.98289565623980701</v>
      </c>
    </row>
    <row r="567" spans="1:11" x14ac:dyDescent="0.35">
      <c r="A567" s="9" t="str">
        <f>HYPERLINK("http://www.ensembl.org/id/WBGene00022189", "WBGene00022189")</f>
        <v>WBGene00022189</v>
      </c>
      <c r="B567" s="9" t="str">
        <f>HYPERLINK("http://www.ncbi.nlm.nih.gov/gene/190615", "190615")</f>
        <v>190615</v>
      </c>
      <c r="C567" s="9"/>
      <c r="D567" t="str">
        <f>"Y71H2AR.2"</f>
        <v>Y71H2AR.2</v>
      </c>
      <c r="F567" t="s">
        <v>11</v>
      </c>
      <c r="G567" t="s">
        <v>632</v>
      </c>
      <c r="H567" s="12">
        <v>6.56699417505002</v>
      </c>
      <c r="I567" s="11">
        <v>1.0491881499087801</v>
      </c>
      <c r="J567" s="10">
        <v>0.29409153152097101</v>
      </c>
      <c r="K567" s="29">
        <v>0.98289565623980701</v>
      </c>
    </row>
    <row r="568" spans="1:11" x14ac:dyDescent="0.35">
      <c r="A568" s="9" t="str">
        <f>HYPERLINK("http://www.ensembl.org/id/WBGene00008184", "WBGene00008184")</f>
        <v>WBGene00008184</v>
      </c>
      <c r="B568" s="9" t="str">
        <f>HYPERLINK("http://www.ncbi.nlm.nih.gov/gene/183585", "183585")</f>
        <v>183585</v>
      </c>
      <c r="C568" s="9"/>
      <c r="D568" t="str">
        <f>"C49A1.1"</f>
        <v>C49A1.1</v>
      </c>
      <c r="F568" t="s">
        <v>11</v>
      </c>
      <c r="G568" t="s">
        <v>25</v>
      </c>
      <c r="H568" s="12">
        <v>6.5627734647662201</v>
      </c>
      <c r="I568" s="11">
        <v>1.39184574168616</v>
      </c>
      <c r="J568" s="10">
        <v>0.16396911516281601</v>
      </c>
      <c r="K568" s="29">
        <v>0.88287645754319</v>
      </c>
    </row>
    <row r="569" spans="1:11" x14ac:dyDescent="0.35">
      <c r="A569" s="9" t="str">
        <f>HYPERLINK("http://www.ensembl.org/id/WBGene00008261", "WBGene00008261")</f>
        <v>WBGene00008261</v>
      </c>
      <c r="B569" s="9" t="str">
        <f>HYPERLINK("http://www.ncbi.nlm.nih.gov/gene/3565528", "3565528")</f>
        <v>3565528</v>
      </c>
      <c r="C569" s="9"/>
      <c r="D569" t="str">
        <f>"C52G5.3"</f>
        <v>C52G5.3</v>
      </c>
      <c r="F569" t="s">
        <v>11</v>
      </c>
      <c r="H569" s="12">
        <v>6.5528410538133803</v>
      </c>
      <c r="I569" s="11">
        <v>0.81231691941903905</v>
      </c>
      <c r="J569" s="10">
        <v>0.41660980452572299</v>
      </c>
      <c r="K569" s="29">
        <v>0.98289565623980701</v>
      </c>
    </row>
    <row r="570" spans="1:11" x14ac:dyDescent="0.35">
      <c r="A570" s="9" t="str">
        <f>HYPERLINK("http://www.ensembl.org/id/WBGene00002104", "WBGene00002104")</f>
        <v>WBGene00002104</v>
      </c>
      <c r="B570" s="9" t="str">
        <f>HYPERLINK("http://www.ncbi.nlm.nih.gov/gene/191689", "191689")</f>
        <v>191689</v>
      </c>
      <c r="C570" s="9"/>
      <c r="D570" t="str">
        <f>"ins-21"</f>
        <v>ins-21</v>
      </c>
      <c r="E570" t="s">
        <v>4243</v>
      </c>
      <c r="F570" t="s">
        <v>11</v>
      </c>
      <c r="H570" s="12">
        <v>6.5528410538133803</v>
      </c>
      <c r="I570" s="11">
        <v>0.81231691941903905</v>
      </c>
      <c r="J570" s="10">
        <v>0.41660980452572299</v>
      </c>
      <c r="K570" s="29">
        <v>0.98289565623980701</v>
      </c>
    </row>
    <row r="571" spans="1:11" x14ac:dyDescent="0.35">
      <c r="A571" s="9" t="str">
        <f>HYPERLINK("http://www.ensembl.org/id/WBGene00015281", "WBGene00015281")</f>
        <v>WBGene00015281</v>
      </c>
      <c r="B571" s="9" t="str">
        <f>HYPERLINK("http://www.ncbi.nlm.nih.gov/gene/182060", "182060")</f>
        <v>182060</v>
      </c>
      <c r="C571" s="9"/>
      <c r="D571" t="str">
        <f>"C01B10.7"</f>
        <v>C01B10.7</v>
      </c>
      <c r="F571" t="s">
        <v>11</v>
      </c>
      <c r="H571" s="12">
        <v>6.5151064711307596</v>
      </c>
      <c r="I571" s="11">
        <v>1.2681878256313099</v>
      </c>
      <c r="J571" s="10">
        <v>0.20473088359884201</v>
      </c>
      <c r="K571" s="29">
        <v>0.95344884972558597</v>
      </c>
    </row>
    <row r="572" spans="1:11" x14ac:dyDescent="0.35">
      <c r="A572" s="9" t="str">
        <f>HYPERLINK("http://www.ensembl.org/id/WBGene00012593", "WBGene00012593")</f>
        <v>WBGene00012593</v>
      </c>
      <c r="B572" s="9" t="str">
        <f>HYPERLINK("http://www.ncbi.nlm.nih.gov/gene/189661", "189661")</f>
        <v>189661</v>
      </c>
      <c r="C572" s="9"/>
      <c r="D572" t="str">
        <f>"nspe-7"</f>
        <v>nspe-7</v>
      </c>
      <c r="E572" t="s">
        <v>2921</v>
      </c>
      <c r="F572" t="s">
        <v>11</v>
      </c>
      <c r="H572" s="12">
        <v>6.5120524329861498</v>
      </c>
      <c r="I572" s="11">
        <v>1.5324250270570701</v>
      </c>
      <c r="J572" s="10">
        <v>0.125417585474972</v>
      </c>
      <c r="K572" s="29">
        <v>0.80030343274916005</v>
      </c>
    </row>
    <row r="573" spans="1:11" x14ac:dyDescent="0.35">
      <c r="A573" s="9" t="str">
        <f>HYPERLINK("http://www.ensembl.org/id/WBGene00015305", "WBGene00015305")</f>
        <v>WBGene00015305</v>
      </c>
      <c r="B573" s="9" t="str">
        <f>HYPERLINK("http://www.ncbi.nlm.nih.gov/gene/182073", "182073")</f>
        <v>182073</v>
      </c>
      <c r="C573" s="9"/>
      <c r="D573" t="str">
        <f>"C01G5.3"</f>
        <v>C01G5.3</v>
      </c>
      <c r="F573" t="s">
        <v>11</v>
      </c>
      <c r="H573" s="12">
        <v>6.5062916596689204</v>
      </c>
      <c r="I573" s="11">
        <v>0.72345887658229602</v>
      </c>
      <c r="J573" s="10">
        <v>0.46939801038277401</v>
      </c>
      <c r="K573" s="29">
        <v>0.98289565623980701</v>
      </c>
    </row>
    <row r="574" spans="1:11" x14ac:dyDescent="0.35">
      <c r="A574" s="9" t="str">
        <f>HYPERLINK("http://www.ensembl.org/id/WBGene00013907", "WBGene00013907")</f>
        <v>WBGene00013907</v>
      </c>
      <c r="B574" s="9" t="str">
        <f>HYPERLINK("http://www.ncbi.nlm.nih.gov/gene/191175", "191175")</f>
        <v>191175</v>
      </c>
      <c r="C574" s="9"/>
      <c r="D574" t="str">
        <f>"sre-20"</f>
        <v>sre-20</v>
      </c>
      <c r="E574" t="s">
        <v>2638</v>
      </c>
      <c r="F574" t="s">
        <v>11</v>
      </c>
      <c r="G574" t="s">
        <v>2639</v>
      </c>
      <c r="H574" s="12">
        <v>6.5052383992059104</v>
      </c>
      <c r="I574" s="11">
        <v>1.3250553983311999</v>
      </c>
      <c r="J574" s="10">
        <v>0.185152777822646</v>
      </c>
      <c r="K574" s="29">
        <v>0.92356196549402902</v>
      </c>
    </row>
    <row r="575" spans="1:11" x14ac:dyDescent="0.35">
      <c r="A575" s="9" t="str">
        <f>HYPERLINK("http://www.ensembl.org/id/WBGene00044235", "WBGene00044235")</f>
        <v>WBGene00044235</v>
      </c>
      <c r="B575" s="9" t="str">
        <f>HYPERLINK("http://www.ncbi.nlm.nih.gov/gene/3565016", "3565016")</f>
        <v>3565016</v>
      </c>
      <c r="C575" s="9"/>
      <c r="D575" t="str">
        <f>"C06A1.7"</f>
        <v>C06A1.7</v>
      </c>
      <c r="F575" t="s">
        <v>11</v>
      </c>
      <c r="H575" s="12">
        <v>6.4774371428223603</v>
      </c>
      <c r="I575" s="11">
        <v>1.0706957976474001</v>
      </c>
      <c r="J575" s="10">
        <v>0.28430623294761298</v>
      </c>
      <c r="K575" s="29">
        <v>0.98289565623980701</v>
      </c>
    </row>
    <row r="576" spans="1:11" x14ac:dyDescent="0.35">
      <c r="A576" s="9" t="str">
        <f>HYPERLINK("http://www.ensembl.org/id/WBGene00044634", "WBGene00044634")</f>
        <v>WBGene00044634</v>
      </c>
      <c r="B576" s="9" t="str">
        <f>HYPERLINK("http://www.ncbi.nlm.nih.gov/gene/3896749", "3896749")</f>
        <v>3896749</v>
      </c>
      <c r="C576" s="9"/>
      <c r="D576" t="str">
        <f>"C29E4.14"</f>
        <v>C29E4.14</v>
      </c>
      <c r="F576" t="s">
        <v>11</v>
      </c>
      <c r="G576" t="s">
        <v>325</v>
      </c>
      <c r="H576" s="12">
        <v>6.4677662992335101</v>
      </c>
      <c r="I576" s="11">
        <v>0.74692370508457595</v>
      </c>
      <c r="J576" s="10">
        <v>0.45510961595486299</v>
      </c>
      <c r="K576" s="29">
        <v>0.98289565623980701</v>
      </c>
    </row>
    <row r="577" spans="1:11" x14ac:dyDescent="0.35">
      <c r="A577" s="9" t="str">
        <f>HYPERLINK("http://www.ensembl.org/id/WBGene00044027", "WBGene00044027")</f>
        <v>WBGene00044027</v>
      </c>
      <c r="B577" s="9" t="str">
        <f>HYPERLINK("http://www.ncbi.nlm.nih.gov/gene/3565659", "3565659")</f>
        <v>3565659</v>
      </c>
      <c r="C577" s="9"/>
      <c r="D577" t="str">
        <f>"F27E5.8"</f>
        <v>F27E5.8</v>
      </c>
      <c r="E577" t="s">
        <v>4244</v>
      </c>
      <c r="F577" t="s">
        <v>11</v>
      </c>
      <c r="G577" t="s">
        <v>1793</v>
      </c>
      <c r="H577" s="12">
        <v>6.4677662992335101</v>
      </c>
      <c r="I577" s="11">
        <v>0.74692370508457595</v>
      </c>
      <c r="J577" s="10">
        <v>0.45510961595486299</v>
      </c>
      <c r="K577" s="29">
        <v>0.98289565623980701</v>
      </c>
    </row>
    <row r="578" spans="1:11" x14ac:dyDescent="0.35">
      <c r="A578" s="9" t="str">
        <f>HYPERLINK("http://www.ensembl.org/id/WBGene00198104", "WBGene00198104")</f>
        <v>WBGene00198104</v>
      </c>
      <c r="B578" s="9"/>
      <c r="C578" s="9"/>
      <c r="D578" t="str">
        <f>"Y58A7A.10"</f>
        <v>Y58A7A.10</v>
      </c>
      <c r="F578" t="s">
        <v>481</v>
      </c>
      <c r="H578" s="12">
        <v>6.4677662992335101</v>
      </c>
      <c r="I578" s="11">
        <v>0.74692370508457595</v>
      </c>
      <c r="J578" s="10">
        <v>0.45510961595486299</v>
      </c>
      <c r="K578" s="29">
        <v>0.98289565623980701</v>
      </c>
    </row>
    <row r="579" spans="1:11" x14ac:dyDescent="0.35">
      <c r="A579" s="9" t="str">
        <f>HYPERLINK("http://www.ensembl.org/id/WBGene00017331", "WBGene00017331")</f>
        <v>WBGene00017331</v>
      </c>
      <c r="B579" s="9" t="str">
        <f>HYPERLINK("http://www.ncbi.nlm.nih.gov/gene/184292", "184292")</f>
        <v>184292</v>
      </c>
      <c r="C579" s="9"/>
      <c r="D579" t="str">
        <f>"ugt-40"</f>
        <v>ugt-40</v>
      </c>
      <c r="E579" t="s">
        <v>103</v>
      </c>
      <c r="F579" t="s">
        <v>11</v>
      </c>
      <c r="G579" t="s">
        <v>104</v>
      </c>
      <c r="H579" s="12">
        <v>6.4373368590806104</v>
      </c>
      <c r="I579" s="11">
        <v>3.3179566369192401</v>
      </c>
      <c r="J579" s="10">
        <v>9.0678560825337303E-4</v>
      </c>
      <c r="K579" s="29">
        <v>3.6249460664883097E-2</v>
      </c>
    </row>
    <row r="580" spans="1:11" x14ac:dyDescent="0.35">
      <c r="A580" s="9" t="str">
        <f>HYPERLINK("http://www.ensembl.org/id/WBGene00173119", "WBGene00173119")</f>
        <v>WBGene00173119</v>
      </c>
      <c r="B580" s="9"/>
      <c r="C580" s="9"/>
      <c r="D580" t="str">
        <f>"21ur-8158"</f>
        <v>21ur-8158</v>
      </c>
      <c r="F580" t="s">
        <v>3161</v>
      </c>
      <c r="H580" s="12">
        <v>6.4346238113963601</v>
      </c>
      <c r="I580" s="11">
        <v>0.98259605386116999</v>
      </c>
      <c r="J580" s="10">
        <v>0.32580628735265699</v>
      </c>
      <c r="K580" s="29">
        <v>0.98289565623980701</v>
      </c>
    </row>
    <row r="581" spans="1:11" x14ac:dyDescent="0.35">
      <c r="A581" s="9" t="str">
        <f>HYPERLINK("http://www.ensembl.org/id/WBGene00011960", "WBGene00011960")</f>
        <v>WBGene00011960</v>
      </c>
      <c r="B581" s="9" t="str">
        <f>HYPERLINK("http://www.ncbi.nlm.nih.gov/gene/188814", "188814")</f>
        <v>188814</v>
      </c>
      <c r="C581" s="9"/>
      <c r="D581" t="str">
        <f>"oac-48"</f>
        <v>oac-48</v>
      </c>
      <c r="E581" t="s">
        <v>883</v>
      </c>
      <c r="F581" t="s">
        <v>11</v>
      </c>
      <c r="G581" t="s">
        <v>1992</v>
      </c>
      <c r="H581" s="12">
        <v>6.4330138312067797</v>
      </c>
      <c r="I581" s="11">
        <v>1.5158822566846499</v>
      </c>
      <c r="J581" s="10">
        <v>0.12954912763682899</v>
      </c>
      <c r="K581" s="29">
        <v>0.81186930924235801</v>
      </c>
    </row>
    <row r="582" spans="1:11" x14ac:dyDescent="0.35">
      <c r="A582" s="9" t="str">
        <f>HYPERLINK("http://www.ensembl.org/id/WBGene00022479", "WBGene00022479")</f>
        <v>WBGene00022479</v>
      </c>
      <c r="B582" s="9" t="str">
        <f>HYPERLINK("http://www.ncbi.nlm.nih.gov/gene/191035", "191035")</f>
        <v>191035</v>
      </c>
      <c r="C582" s="9"/>
      <c r="D582" t="str">
        <f>"fbxa-36"</f>
        <v>fbxa-36</v>
      </c>
      <c r="E582" t="s">
        <v>467</v>
      </c>
      <c r="F582" t="s">
        <v>11</v>
      </c>
      <c r="G582" t="s">
        <v>54</v>
      </c>
      <c r="H582" s="12">
        <v>6.4171376914697396</v>
      </c>
      <c r="I582" s="11">
        <v>1.55385782078109</v>
      </c>
      <c r="J582" s="10">
        <v>0.12021833475216499</v>
      </c>
      <c r="K582" s="29">
        <v>0.78962228318223304</v>
      </c>
    </row>
    <row r="583" spans="1:11" x14ac:dyDescent="0.35">
      <c r="A583" s="9" t="str">
        <f>HYPERLINK("http://www.ensembl.org/id/WBGene00022983", "WBGene00022983")</f>
        <v>WBGene00022983</v>
      </c>
      <c r="B583" s="9"/>
      <c r="C583" s="9"/>
      <c r="D583" t="str">
        <f>"F10C1.t1"</f>
        <v>F10C1.t1</v>
      </c>
      <c r="F583" t="s">
        <v>4208</v>
      </c>
      <c r="H583" s="12">
        <v>6.4116684774139099</v>
      </c>
      <c r="I583" s="11">
        <v>0.95039085173336002</v>
      </c>
      <c r="J583" s="10">
        <v>0.341913690643046</v>
      </c>
      <c r="K583" s="29">
        <v>0.98289565623980701</v>
      </c>
    </row>
    <row r="584" spans="1:11" x14ac:dyDescent="0.35">
      <c r="A584" s="9" t="str">
        <f>HYPERLINK("http://www.ensembl.org/id/WBGene00001944", "WBGene00001944")</f>
        <v>WBGene00001944</v>
      </c>
      <c r="B584" s="9" t="str">
        <f>HYPERLINK("http://www.ncbi.nlm.nih.gov/gene/184006", "184006")</f>
        <v>184006</v>
      </c>
      <c r="C584" s="9"/>
      <c r="D584" t="str">
        <f>"his-70"</f>
        <v>his-70</v>
      </c>
      <c r="E584" t="s">
        <v>4245</v>
      </c>
      <c r="F584" t="s">
        <v>11</v>
      </c>
      <c r="G584" t="s">
        <v>232</v>
      </c>
      <c r="H584" s="12">
        <v>6.4074059556604599</v>
      </c>
      <c r="I584" s="11">
        <v>0.93182618901911596</v>
      </c>
      <c r="J584" s="10">
        <v>0.35142635786048898</v>
      </c>
      <c r="K584" s="29">
        <v>0.98289565623980701</v>
      </c>
    </row>
    <row r="585" spans="1:11" x14ac:dyDescent="0.35">
      <c r="A585" s="9" t="str">
        <f>HYPERLINK("http://www.ensembl.org/id/WBGene00003314", "WBGene00003314")</f>
        <v>WBGene00003314</v>
      </c>
      <c r="B585" s="9"/>
      <c r="C585" s="9"/>
      <c r="D585" t="str">
        <f>"mir-86"</f>
        <v>mir-86</v>
      </c>
      <c r="F585" t="s">
        <v>1486</v>
      </c>
      <c r="H585" s="12">
        <v>6.4074059556604599</v>
      </c>
      <c r="I585" s="11">
        <v>0.93182618901911596</v>
      </c>
      <c r="J585" s="10">
        <v>0.35142635786048898</v>
      </c>
      <c r="K585" s="29">
        <v>0.98289565623980701</v>
      </c>
    </row>
    <row r="586" spans="1:11" x14ac:dyDescent="0.35">
      <c r="A586" s="9" t="str">
        <f>HYPERLINK("http://www.ensembl.org/id/WBGene00000560", "WBGene00000560")</f>
        <v>WBGene00000560</v>
      </c>
      <c r="B586" s="9" t="str">
        <f>HYPERLINK("http://www.ncbi.nlm.nih.gov/gene/175324", "175324")</f>
        <v>175324</v>
      </c>
      <c r="C586" s="9"/>
      <c r="D586" t="str">
        <f>"cnc-6"</f>
        <v>cnc-6</v>
      </c>
      <c r="E586" t="s">
        <v>251</v>
      </c>
      <c r="F586" t="s">
        <v>11</v>
      </c>
      <c r="G586" t="s">
        <v>264</v>
      </c>
      <c r="H586" s="12">
        <v>6.4017502572409999</v>
      </c>
      <c r="I586" s="11">
        <v>1.1027448077775099</v>
      </c>
      <c r="J586" s="10">
        <v>0.27013800229653201</v>
      </c>
      <c r="K586" s="29">
        <v>0.98289565623980701</v>
      </c>
    </row>
    <row r="587" spans="1:11" x14ac:dyDescent="0.35">
      <c r="A587" s="9" t="str">
        <f>HYPERLINK("http://www.ensembl.org/id/WBGene00007243", "WBGene00007243")</f>
        <v>WBGene00007243</v>
      </c>
      <c r="B587" s="9" t="str">
        <f>HYPERLINK("http://www.ncbi.nlm.nih.gov/gene/182086", "182086")</f>
        <v>182086</v>
      </c>
      <c r="C587" s="9"/>
      <c r="D587" t="str">
        <f>"nspb-7"</f>
        <v>nspb-7</v>
      </c>
      <c r="E587" t="s">
        <v>1851</v>
      </c>
      <c r="F587" t="s">
        <v>11</v>
      </c>
      <c r="H587" s="12">
        <v>6.4017502572409999</v>
      </c>
      <c r="I587" s="11">
        <v>1.1027448077775099</v>
      </c>
      <c r="J587" s="10">
        <v>0.27013800229653201</v>
      </c>
      <c r="K587" s="29">
        <v>0.98289565623980701</v>
      </c>
    </row>
    <row r="588" spans="1:11" x14ac:dyDescent="0.35">
      <c r="A588" s="9" t="str">
        <f>HYPERLINK("http://www.ensembl.org/id/WBGene00010071", "WBGene00010071")</f>
        <v>WBGene00010071</v>
      </c>
      <c r="B588" s="9" t="str">
        <f>HYPERLINK("http://www.ncbi.nlm.nih.gov/gene/186258", "186258")</f>
        <v>186258</v>
      </c>
      <c r="C588" s="9"/>
      <c r="D588" t="str">
        <f>"sre-45"</f>
        <v>sre-45</v>
      </c>
      <c r="E588" t="s">
        <v>4246</v>
      </c>
      <c r="F588" t="s">
        <v>11</v>
      </c>
      <c r="G588" t="s">
        <v>2639</v>
      </c>
      <c r="H588" s="12">
        <v>6.4017502572409999</v>
      </c>
      <c r="I588" s="11">
        <v>1.1027448077775099</v>
      </c>
      <c r="J588" s="10">
        <v>0.27013800229653201</v>
      </c>
      <c r="K588" s="29">
        <v>0.98289565623980701</v>
      </c>
    </row>
    <row r="589" spans="1:11" x14ac:dyDescent="0.35">
      <c r="A589" s="9" t="str">
        <f>HYPERLINK("http://www.ensembl.org/id/WBGene00219676", "WBGene00219676")</f>
        <v>WBGene00219676</v>
      </c>
      <c r="B589" s="9"/>
      <c r="C589" s="9"/>
      <c r="D589" t="str">
        <f>"linc-48"</f>
        <v>linc-48</v>
      </c>
      <c r="F589" t="s">
        <v>1510</v>
      </c>
      <c r="H589" s="12">
        <v>6.3922182715604503</v>
      </c>
      <c r="I589" s="11">
        <v>1.0294398567071401</v>
      </c>
      <c r="J589" s="10">
        <v>0.30327302811192602</v>
      </c>
      <c r="K589" s="29">
        <v>0.98289565623980701</v>
      </c>
    </row>
    <row r="590" spans="1:11" x14ac:dyDescent="0.35">
      <c r="A590" s="9" t="str">
        <f>HYPERLINK("http://www.ensembl.org/id/WBGene00020613", "WBGene00020613")</f>
        <v>WBGene00020613</v>
      </c>
      <c r="B590" s="9" t="str">
        <f>HYPERLINK("http://www.ncbi.nlm.nih.gov/gene/188643", "188643")</f>
        <v>188643</v>
      </c>
      <c r="C590" s="9" t="str">
        <f>HYPERLINK("http://www.ncbi.nlm.nih.gov/gene/158046", "158046")</f>
        <v>158046</v>
      </c>
      <c r="D590" t="str">
        <f>"T20D4.7"</f>
        <v>T20D4.7</v>
      </c>
      <c r="F590" t="s">
        <v>11</v>
      </c>
      <c r="H590" s="12">
        <v>6.3727805426357396</v>
      </c>
      <c r="I590" s="11">
        <v>2.8124578983548498</v>
      </c>
      <c r="J590" s="10">
        <v>4.9164459210516501E-3</v>
      </c>
      <c r="K590" s="29">
        <v>0.11983059013904999</v>
      </c>
    </row>
    <row r="591" spans="1:11" x14ac:dyDescent="0.35">
      <c r="A591" s="9" t="str">
        <f>HYPERLINK("http://www.ensembl.org/id/WBGene00005240", "WBGene00005240")</f>
        <v>WBGene00005240</v>
      </c>
      <c r="B591" s="9" t="str">
        <f>HYPERLINK("http://www.ncbi.nlm.nih.gov/gene/183634", "183634")</f>
        <v>183634</v>
      </c>
      <c r="C591" s="9"/>
      <c r="D591" t="str">
        <f>"srh-15"</f>
        <v>srh-15</v>
      </c>
      <c r="E591" t="s">
        <v>153</v>
      </c>
      <c r="F591" t="s">
        <v>11</v>
      </c>
      <c r="G591" t="s">
        <v>25</v>
      </c>
      <c r="H591" s="12">
        <v>6.3523247692862101</v>
      </c>
      <c r="I591" s="11">
        <v>0.98916422610936605</v>
      </c>
      <c r="J591" s="10">
        <v>0.32258279817346502</v>
      </c>
      <c r="K591" s="29">
        <v>0.98289565623980701</v>
      </c>
    </row>
    <row r="592" spans="1:11" x14ac:dyDescent="0.35">
      <c r="A592" s="9" t="str">
        <f>HYPERLINK("http://www.ensembl.org/id/WBGene00018480", "WBGene00018480")</f>
        <v>WBGene00018480</v>
      </c>
      <c r="B592" s="9" t="str">
        <f>HYPERLINK("http://www.ncbi.nlm.nih.gov/gene/185808", "185808")</f>
        <v>185808</v>
      </c>
      <c r="C592" s="9"/>
      <c r="D592" t="str">
        <f>"otpl-7"</f>
        <v>otpl-7</v>
      </c>
      <c r="E592" t="s">
        <v>233</v>
      </c>
      <c r="F592" t="s">
        <v>11</v>
      </c>
      <c r="G592" t="s">
        <v>234</v>
      </c>
      <c r="H592" s="12">
        <v>6.33556096031056</v>
      </c>
      <c r="I592" s="11">
        <v>4.3916272150283202</v>
      </c>
      <c r="J592" s="10">
        <v>1.12505476943147E-5</v>
      </c>
      <c r="K592" s="29">
        <v>1.1302398044558E-3</v>
      </c>
    </row>
    <row r="593" spans="1:11" x14ac:dyDescent="0.35">
      <c r="A593" s="9" t="str">
        <f>HYPERLINK("http://www.ensembl.org/id/WBGene00007662", "WBGene00007662")</f>
        <v>WBGene00007662</v>
      </c>
      <c r="B593" s="9" t="str">
        <f>HYPERLINK("http://www.ncbi.nlm.nih.gov/gene/3565285", "3565285")</f>
        <v>3565285</v>
      </c>
      <c r="C593" s="9"/>
      <c r="D593" t="str">
        <f>"pals-8"</f>
        <v>pals-8</v>
      </c>
      <c r="E593" t="s">
        <v>1147</v>
      </c>
      <c r="F593" t="s">
        <v>11</v>
      </c>
      <c r="H593" s="12">
        <v>6.3178024075772896</v>
      </c>
      <c r="I593" s="11">
        <v>1.0252743024854301</v>
      </c>
      <c r="J593" s="10">
        <v>0.30523377749046399</v>
      </c>
      <c r="K593" s="29">
        <v>0.98289565623980701</v>
      </c>
    </row>
    <row r="594" spans="1:11" x14ac:dyDescent="0.35">
      <c r="A594" s="9" t="str">
        <f>HYPERLINK("http://www.ensembl.org/id/WBGene00002204", "WBGene00002204")</f>
        <v>WBGene00002204</v>
      </c>
      <c r="B594" s="9" t="str">
        <f>HYPERLINK("http://www.ncbi.nlm.nih.gov/gene/177826", "177826")</f>
        <v>177826</v>
      </c>
      <c r="C594" s="9"/>
      <c r="D594" t="str">
        <f>"kin-21"</f>
        <v>kin-21</v>
      </c>
      <c r="E594" t="s">
        <v>2588</v>
      </c>
      <c r="F594" t="s">
        <v>11</v>
      </c>
      <c r="G594" t="s">
        <v>2589</v>
      </c>
      <c r="H594" s="12">
        <v>6.3044386968115296</v>
      </c>
      <c r="I594" s="11">
        <v>0.82755323009584703</v>
      </c>
      <c r="J594" s="10">
        <v>0.40792356462048501</v>
      </c>
      <c r="K594" s="29">
        <v>0.98289565623980701</v>
      </c>
    </row>
    <row r="595" spans="1:11" x14ac:dyDescent="0.35">
      <c r="A595" s="9" t="str">
        <f>HYPERLINK("http://www.ensembl.org/id/WBGene00012190", "WBGene00012190")</f>
        <v>WBGene00012190</v>
      </c>
      <c r="B595" s="9" t="str">
        <f>HYPERLINK("http://www.ncbi.nlm.nih.gov/gene/189098", "189098")</f>
        <v>189098</v>
      </c>
      <c r="C595" s="9"/>
      <c r="D595" t="str">
        <f>"W02A2.5"</f>
        <v>W02A2.5</v>
      </c>
      <c r="F595" t="s">
        <v>11</v>
      </c>
      <c r="G595" t="s">
        <v>25</v>
      </c>
      <c r="H595" s="12">
        <v>6.3020382939520596</v>
      </c>
      <c r="I595" s="11">
        <v>1.0704079553622401</v>
      </c>
      <c r="J595" s="10">
        <v>0.28443571997440098</v>
      </c>
      <c r="K595" s="29">
        <v>0.98289565623980701</v>
      </c>
    </row>
    <row r="596" spans="1:11" x14ac:dyDescent="0.35">
      <c r="A596" s="9" t="str">
        <f>HYPERLINK("http://www.ensembl.org/id/WBGene00006163", "WBGene00006163")</f>
        <v>WBGene00006163</v>
      </c>
      <c r="B596" s="9" t="str">
        <f>HYPERLINK("http://www.ncbi.nlm.nih.gov/gene/191997", "191997")</f>
        <v>191997</v>
      </c>
      <c r="C596" s="9"/>
      <c r="D596" t="str">
        <f>"str-112"</f>
        <v>str-112</v>
      </c>
      <c r="E596" t="s">
        <v>590</v>
      </c>
      <c r="F596" t="s">
        <v>11</v>
      </c>
      <c r="G596" t="s">
        <v>591</v>
      </c>
      <c r="H596" s="12">
        <v>6.2598087072003104</v>
      </c>
      <c r="I596" s="11">
        <v>3.1362200762420498</v>
      </c>
      <c r="J596" s="10">
        <v>1.71140725406467E-3</v>
      </c>
      <c r="K596" s="29">
        <v>5.8670290819611698E-2</v>
      </c>
    </row>
    <row r="597" spans="1:11" x14ac:dyDescent="0.35">
      <c r="A597" s="9" t="str">
        <f>HYPERLINK("http://www.ensembl.org/id/WBGene00016818", "WBGene00016818")</f>
        <v>WBGene00016818</v>
      </c>
      <c r="B597" s="9" t="str">
        <f>HYPERLINK("http://www.ncbi.nlm.nih.gov/gene/183659", "183659")</f>
        <v>183659</v>
      </c>
      <c r="C597" s="9"/>
      <c r="D597" t="str">
        <f>"C50E3.7"</f>
        <v>C50E3.7</v>
      </c>
      <c r="F597" t="s">
        <v>11</v>
      </c>
      <c r="G597" t="s">
        <v>25</v>
      </c>
      <c r="H597" s="12">
        <v>6.2591358680996398</v>
      </c>
      <c r="I597" s="11">
        <v>0.82854044611465305</v>
      </c>
      <c r="J597" s="10">
        <v>0.40736449906946898</v>
      </c>
      <c r="K597" s="29">
        <v>0.98289565623980701</v>
      </c>
    </row>
    <row r="598" spans="1:11" x14ac:dyDescent="0.35">
      <c r="A598" s="9" t="str">
        <f>HYPERLINK("http://www.ensembl.org/id/WBGene00005739", "WBGene00005739")</f>
        <v>WBGene00005739</v>
      </c>
      <c r="B598" s="9" t="str">
        <f>HYPERLINK("http://www.ncbi.nlm.nih.gov/gene/3565289", "3565289")</f>
        <v>3565289</v>
      </c>
      <c r="C598" s="9"/>
      <c r="D598" t="str">
        <f>"srv-28"</f>
        <v>srv-28</v>
      </c>
      <c r="E598" t="s">
        <v>2916</v>
      </c>
      <c r="F598" t="s">
        <v>11</v>
      </c>
      <c r="G598" t="s">
        <v>25</v>
      </c>
      <c r="H598" s="12">
        <v>6.2591358680996398</v>
      </c>
      <c r="I598" s="11">
        <v>0.82854044611465305</v>
      </c>
      <c r="J598" s="10">
        <v>0.40736449906946898</v>
      </c>
      <c r="K598" s="29">
        <v>0.98289565623980701</v>
      </c>
    </row>
    <row r="599" spans="1:11" x14ac:dyDescent="0.35">
      <c r="A599" s="9" t="str">
        <f>HYPERLINK("http://www.ensembl.org/id/WBGene00004398", "WBGene00004398")</f>
        <v>WBGene00004398</v>
      </c>
      <c r="B599" s="9" t="str">
        <f>HYPERLINK("http://www.ncbi.nlm.nih.gov/gene/174226", "174226")</f>
        <v>174226</v>
      </c>
      <c r="C599" s="9"/>
      <c r="D599" t="str">
        <f>"rol-8"</f>
        <v>rol-8</v>
      </c>
      <c r="E599" t="s">
        <v>707</v>
      </c>
      <c r="F599" t="s">
        <v>11</v>
      </c>
      <c r="G599" t="s">
        <v>152</v>
      </c>
      <c r="H599" s="12">
        <v>6.2568331366517302</v>
      </c>
      <c r="I599" s="11">
        <v>2.9732015701264101</v>
      </c>
      <c r="J599" s="10">
        <v>2.9471084015702002E-3</v>
      </c>
      <c r="K599" s="29">
        <v>8.38619294663559E-2</v>
      </c>
    </row>
    <row r="600" spans="1:11" x14ac:dyDescent="0.35">
      <c r="A600" s="9" t="str">
        <f>HYPERLINK("http://www.ensembl.org/id/WBGene00016382", "WBGene00016382")</f>
        <v>WBGene00016382</v>
      </c>
      <c r="B600" s="9" t="str">
        <f>HYPERLINK("http://www.ncbi.nlm.nih.gov/gene/183190", "183190")</f>
        <v>183190</v>
      </c>
      <c r="C600" s="9"/>
      <c r="D600" t="str">
        <f>"C33H5.16"</f>
        <v>C33H5.16</v>
      </c>
      <c r="E600" t="s">
        <v>1019</v>
      </c>
      <c r="F600" t="s">
        <v>11</v>
      </c>
      <c r="G600" t="s">
        <v>1020</v>
      </c>
      <c r="H600" s="12">
        <v>6.2561501659823202</v>
      </c>
      <c r="I600" s="11">
        <v>1.0623806544698899</v>
      </c>
      <c r="J600" s="10">
        <v>0.28806291254459299</v>
      </c>
      <c r="K600" s="29">
        <v>0.98289565623980701</v>
      </c>
    </row>
    <row r="601" spans="1:11" x14ac:dyDescent="0.35">
      <c r="A601" s="9" t="str">
        <f>HYPERLINK("http://www.ensembl.org/id/WBGene00198313", "WBGene00198313")</f>
        <v>WBGene00198313</v>
      </c>
      <c r="B601" s="9"/>
      <c r="C601" s="9"/>
      <c r="D601" t="str">
        <f>"C29E6.13"</f>
        <v>C29E6.13</v>
      </c>
      <c r="F601" t="s">
        <v>481</v>
      </c>
      <c r="H601" s="12">
        <v>6.2514608453248997</v>
      </c>
      <c r="I601" s="11">
        <v>0.54591286118210802</v>
      </c>
      <c r="J601" s="10">
        <v>0.58512583723197797</v>
      </c>
      <c r="K601" s="29">
        <v>0.98289565623980701</v>
      </c>
    </row>
    <row r="602" spans="1:11" x14ac:dyDescent="0.35">
      <c r="A602" s="9" t="str">
        <f>HYPERLINK("http://www.ensembl.org/id/WBGene00017230", "WBGene00017230")</f>
        <v>WBGene00017230</v>
      </c>
      <c r="B602" s="9" t="str">
        <f>HYPERLINK("http://www.ncbi.nlm.nih.gov/gene/184158", "184158")</f>
        <v>184158</v>
      </c>
      <c r="C602" s="9"/>
      <c r="D602" t="str">
        <f>"F07G11.3"</f>
        <v>F07G11.3</v>
      </c>
      <c r="F602" t="s">
        <v>11</v>
      </c>
      <c r="G602" t="s">
        <v>1686</v>
      </c>
      <c r="H602" s="12">
        <v>6.2514608453248997</v>
      </c>
      <c r="I602" s="11">
        <v>0.54591286118210802</v>
      </c>
      <c r="J602" s="10">
        <v>0.58512583723197797</v>
      </c>
      <c r="K602" s="29">
        <v>0.98289565623980701</v>
      </c>
    </row>
    <row r="603" spans="1:11" x14ac:dyDescent="0.35">
      <c r="A603" s="9" t="str">
        <f>HYPERLINK("http://www.ensembl.org/id/WBGene00196174", "WBGene00196174")</f>
        <v>WBGene00196174</v>
      </c>
      <c r="B603" s="9"/>
      <c r="C603" s="9"/>
      <c r="D603" t="str">
        <f>"F28F5.10"</f>
        <v>F28F5.10</v>
      </c>
      <c r="F603" t="s">
        <v>481</v>
      </c>
      <c r="H603" s="12">
        <v>6.2514608453248997</v>
      </c>
      <c r="I603" s="11">
        <v>0.54591286118210802</v>
      </c>
      <c r="J603" s="10">
        <v>0.58512583723197797</v>
      </c>
      <c r="K603" s="29">
        <v>0.98289565623980701</v>
      </c>
    </row>
    <row r="604" spans="1:11" x14ac:dyDescent="0.35">
      <c r="A604" s="9" t="str">
        <f>HYPERLINK("http://www.ensembl.org/id/WBGene00255728", "WBGene00255728")</f>
        <v>WBGene00255728</v>
      </c>
      <c r="B604" s="9"/>
      <c r="C604" s="9"/>
      <c r="D604" t="str">
        <f>"R02C2.8"</f>
        <v>R02C2.8</v>
      </c>
      <c r="F604" t="s">
        <v>80</v>
      </c>
      <c r="H604" s="12">
        <v>6.2514608453248997</v>
      </c>
      <c r="I604" s="11">
        <v>0.54591286118210802</v>
      </c>
      <c r="J604" s="10">
        <v>0.58512583723197797</v>
      </c>
      <c r="K604" s="29">
        <v>0.98289565623980701</v>
      </c>
    </row>
    <row r="605" spans="1:11" x14ac:dyDescent="0.35">
      <c r="A605" s="9" t="str">
        <f>HYPERLINK("http://www.ensembl.org/id/WBGene00005447", "WBGene00005447")</f>
        <v>WBGene00005447</v>
      </c>
      <c r="B605" s="9" t="str">
        <f>HYPERLINK("http://www.ncbi.nlm.nih.gov/gene/191889", "191889")</f>
        <v>191889</v>
      </c>
      <c r="C605" s="9"/>
      <c r="D605" t="str">
        <f>"srh-240"</f>
        <v>srh-240</v>
      </c>
      <c r="E605" t="s">
        <v>153</v>
      </c>
      <c r="F605" t="s">
        <v>11</v>
      </c>
      <c r="G605" t="s">
        <v>25</v>
      </c>
      <c r="H605" s="12">
        <v>6.2514608453248997</v>
      </c>
      <c r="I605" s="11">
        <v>0.54591286118210802</v>
      </c>
      <c r="J605" s="10">
        <v>0.58512583723197797</v>
      </c>
      <c r="K605" s="29">
        <v>0.98289565623980701</v>
      </c>
    </row>
    <row r="606" spans="1:11" x14ac:dyDescent="0.35">
      <c r="A606" s="9" t="str">
        <f>HYPERLINK("http://www.ensembl.org/id/WBGene00018980", "WBGene00018980")</f>
        <v>WBGene00018980</v>
      </c>
      <c r="B606" s="9" t="str">
        <f>HYPERLINK("http://www.ncbi.nlm.nih.gov/gene/186398", "186398")</f>
        <v>186398</v>
      </c>
      <c r="C606" s="9"/>
      <c r="D606" t="str">
        <f>"F56F4.3"</f>
        <v>F56F4.3</v>
      </c>
      <c r="E606" t="s">
        <v>537</v>
      </c>
      <c r="F606" t="s">
        <v>11</v>
      </c>
      <c r="G606" t="s">
        <v>1268</v>
      </c>
      <c r="H606" s="12">
        <v>6.25126670022079</v>
      </c>
      <c r="I606" s="11">
        <v>1.2419374021680201</v>
      </c>
      <c r="J606" s="10">
        <v>0.214259658896818</v>
      </c>
      <c r="K606" s="29">
        <v>0.96694712106754799</v>
      </c>
    </row>
    <row r="607" spans="1:11" x14ac:dyDescent="0.35">
      <c r="A607" s="9" t="str">
        <f>HYPERLINK("http://www.ensembl.org/id/WBGene00006103", "WBGene00006103")</f>
        <v>WBGene00006103</v>
      </c>
      <c r="B607" s="9" t="str">
        <f>HYPERLINK("http://www.ncbi.nlm.nih.gov/gene/188783", "188783")</f>
        <v>188783</v>
      </c>
      <c r="C607" s="9"/>
      <c r="D607" t="str">
        <f>"str-38"</f>
        <v>str-38</v>
      </c>
      <c r="E607" t="s">
        <v>590</v>
      </c>
      <c r="F607" t="s">
        <v>11</v>
      </c>
      <c r="G607" t="s">
        <v>25</v>
      </c>
      <c r="H607" s="12">
        <v>6.2449157270786699</v>
      </c>
      <c r="I607" s="11">
        <v>1.44437864260315</v>
      </c>
      <c r="J607" s="10">
        <v>0.148632495037852</v>
      </c>
      <c r="K607" s="29">
        <v>0.85070657179702702</v>
      </c>
    </row>
    <row r="608" spans="1:11" x14ac:dyDescent="0.35">
      <c r="A608" s="9" t="str">
        <f>HYPERLINK("http://www.ensembl.org/id/WBGene00044569", "WBGene00044569")</f>
        <v>WBGene00044569</v>
      </c>
      <c r="B608" s="9" t="str">
        <f>HYPERLINK("http://www.ncbi.nlm.nih.gov/gene/3896879", "3896879")</f>
        <v>3896879</v>
      </c>
      <c r="C608" s="9"/>
      <c r="D608" t="str">
        <f>"C25F6.8"</f>
        <v>C25F6.8</v>
      </c>
      <c r="F608" t="s">
        <v>11</v>
      </c>
      <c r="H608" s="12">
        <v>6.2226984691015401</v>
      </c>
      <c r="I608" s="11">
        <v>0.87702329375663202</v>
      </c>
      <c r="J608" s="10">
        <v>0.380473986022763</v>
      </c>
      <c r="K608" s="29">
        <v>0.98289565623980701</v>
      </c>
    </row>
    <row r="609" spans="1:11" x14ac:dyDescent="0.35">
      <c r="A609" s="9" t="str">
        <f>HYPERLINK("http://www.ensembl.org/id/WBGene00019982", "WBGene00019982")</f>
        <v>WBGene00019982</v>
      </c>
      <c r="B609" s="9" t="str">
        <f>HYPERLINK("http://www.ncbi.nlm.nih.gov/gene/187746", "187746")</f>
        <v>187746</v>
      </c>
      <c r="C609" s="9"/>
      <c r="D609" t="str">
        <f>"srbc-58"</f>
        <v>srbc-58</v>
      </c>
      <c r="E609" t="s">
        <v>3034</v>
      </c>
      <c r="F609" t="s">
        <v>11</v>
      </c>
      <c r="G609" t="s">
        <v>25</v>
      </c>
      <c r="H609" s="12">
        <v>6.2226984691015401</v>
      </c>
      <c r="I609" s="11">
        <v>0.87702329375663202</v>
      </c>
      <c r="J609" s="10">
        <v>0.380473986022763</v>
      </c>
      <c r="K609" s="29">
        <v>0.98289565623980701</v>
      </c>
    </row>
    <row r="610" spans="1:11" x14ac:dyDescent="0.35">
      <c r="A610" s="9" t="str">
        <f>HYPERLINK("http://www.ensembl.org/id/WBGene00015211", "WBGene00015211")</f>
        <v>WBGene00015211</v>
      </c>
      <c r="B610" s="9" t="str">
        <f>HYPERLINK("http://www.ncbi.nlm.nih.gov/gene/182006", "182006")</f>
        <v>182006</v>
      </c>
      <c r="C610" s="9"/>
      <c r="D610" t="str">
        <f>"B0496.2"</f>
        <v>B0496.2</v>
      </c>
      <c r="F610" t="s">
        <v>11</v>
      </c>
      <c r="G610" t="s">
        <v>54</v>
      </c>
      <c r="H610" s="12">
        <v>6.1799726883537804</v>
      </c>
      <c r="I610" s="11">
        <v>0.93775842961825095</v>
      </c>
      <c r="J610" s="10">
        <v>0.34836856883363498</v>
      </c>
      <c r="K610" s="29">
        <v>0.98289565623980701</v>
      </c>
    </row>
    <row r="611" spans="1:11" x14ac:dyDescent="0.35">
      <c r="A611" s="9" t="str">
        <f>HYPERLINK("http://www.ensembl.org/id/WBGene00001881", "WBGene00001881")</f>
        <v>WBGene00001881</v>
      </c>
      <c r="B611" s="9" t="str">
        <f>HYPERLINK("http://www.ncbi.nlm.nih.gov/gene/191669", "191669")</f>
        <v>191669</v>
      </c>
      <c r="C611" s="9" t="str">
        <f>HYPERLINK("http://www.ncbi.nlm.nih.gov/gene/8338", "8338")</f>
        <v>8338</v>
      </c>
      <c r="D611" t="str">
        <f>"his-7"</f>
        <v>his-7</v>
      </c>
      <c r="E611" t="s">
        <v>1912</v>
      </c>
      <c r="F611" t="s">
        <v>11</v>
      </c>
      <c r="G611" t="s">
        <v>232</v>
      </c>
      <c r="H611" s="12">
        <v>6.1783769505696897</v>
      </c>
      <c r="I611" s="11">
        <v>1.84941053891408</v>
      </c>
      <c r="J611" s="10">
        <v>6.4398554805269403E-2</v>
      </c>
      <c r="K611" s="29">
        <v>0.59952031852963295</v>
      </c>
    </row>
    <row r="612" spans="1:11" x14ac:dyDescent="0.35">
      <c r="A612" s="9" t="str">
        <f>HYPERLINK("http://www.ensembl.org/id/WBGene00005177", "WBGene00005177")</f>
        <v>WBGene00005177</v>
      </c>
      <c r="B612" s="9" t="str">
        <f>HYPERLINK("http://www.ncbi.nlm.nih.gov/gene/191110", "191110")</f>
        <v>191110</v>
      </c>
      <c r="C612" s="9"/>
      <c r="D612" t="str">
        <f>"srg-20"</f>
        <v>srg-20</v>
      </c>
      <c r="E612" t="s">
        <v>3890</v>
      </c>
      <c r="F612" t="s">
        <v>11</v>
      </c>
      <c r="G612" t="s">
        <v>1829</v>
      </c>
      <c r="H612" s="12">
        <v>6.1758272494723103</v>
      </c>
      <c r="I612" s="11">
        <v>1.2729921711004999</v>
      </c>
      <c r="J612" s="10">
        <v>0.20302081996819901</v>
      </c>
      <c r="K612" s="29">
        <v>0.95143457248974095</v>
      </c>
    </row>
    <row r="613" spans="1:11" x14ac:dyDescent="0.35">
      <c r="A613" s="9" t="str">
        <f>HYPERLINK("http://www.ensembl.org/id/WBGene00017533", "WBGene00017533")</f>
        <v>WBGene00017533</v>
      </c>
      <c r="B613" s="9"/>
      <c r="C613" s="9"/>
      <c r="D613" t="str">
        <f>"fbxa-178"</f>
        <v>fbxa-178</v>
      </c>
      <c r="F613" t="s">
        <v>80</v>
      </c>
      <c r="H613" s="12">
        <v>6.1701385390685202</v>
      </c>
      <c r="I613" s="11">
        <v>1.07112906528817</v>
      </c>
      <c r="J613" s="10">
        <v>0.28411140096186099</v>
      </c>
      <c r="K613" s="29">
        <v>0.98289565623980701</v>
      </c>
    </row>
    <row r="614" spans="1:11" x14ac:dyDescent="0.35">
      <c r="A614" s="9" t="str">
        <f>HYPERLINK("http://www.ensembl.org/id/WBGene00008901", "WBGene00008901")</f>
        <v>WBGene00008901</v>
      </c>
      <c r="B614" s="9" t="str">
        <f>HYPERLINK("http://www.ncbi.nlm.nih.gov/gene/184597", "184597")</f>
        <v>184597</v>
      </c>
      <c r="C614" s="9"/>
      <c r="D614" t="str">
        <f>"nhr-27"</f>
        <v>nhr-27</v>
      </c>
      <c r="E614" t="s">
        <v>637</v>
      </c>
      <c r="F614" t="s">
        <v>11</v>
      </c>
      <c r="G614" t="s">
        <v>1073</v>
      </c>
      <c r="H614" s="12">
        <v>6.1504663358285701</v>
      </c>
      <c r="I614" s="11">
        <v>0.98530717639646803</v>
      </c>
      <c r="J614" s="10">
        <v>0.32447320873700503</v>
      </c>
      <c r="K614" s="29">
        <v>0.98289565623980701</v>
      </c>
    </row>
    <row r="615" spans="1:11" x14ac:dyDescent="0.35">
      <c r="A615" s="9" t="str">
        <f>HYPERLINK("http://www.ensembl.org/id/WBGene00010596", "WBGene00010596")</f>
        <v>WBGene00010596</v>
      </c>
      <c r="B615" s="9" t="str">
        <f>HYPERLINK("http://www.ncbi.nlm.nih.gov/gene/187048", "187048")</f>
        <v>187048</v>
      </c>
      <c r="C615" s="9"/>
      <c r="D615" t="str">
        <f>"K06A4.6"</f>
        <v>K06A4.6</v>
      </c>
      <c r="F615" t="s">
        <v>11</v>
      </c>
      <c r="H615" s="12">
        <v>6.1469445763878197</v>
      </c>
      <c r="I615" s="11">
        <v>0.83869321508444294</v>
      </c>
      <c r="J615" s="10">
        <v>0.40164148672684602</v>
      </c>
      <c r="K615" s="29">
        <v>0.98289565623980701</v>
      </c>
    </row>
    <row r="616" spans="1:11" x14ac:dyDescent="0.35">
      <c r="A616" s="9" t="str">
        <f>HYPERLINK("http://www.ensembl.org/id/WBGene00047756", "WBGene00047756")</f>
        <v>WBGene00047756</v>
      </c>
      <c r="B616" s="9"/>
      <c r="C616" s="9"/>
      <c r="D616" t="str">
        <f>"21ur-3500"</f>
        <v>21ur-3500</v>
      </c>
      <c r="F616" t="s">
        <v>3161</v>
      </c>
      <c r="H616" s="12">
        <v>6.1305203499129197</v>
      </c>
      <c r="I616" s="11">
        <v>0.98369944163781897</v>
      </c>
      <c r="J616" s="10">
        <v>0.32526331444678303</v>
      </c>
      <c r="K616" s="29">
        <v>0.98289565623980701</v>
      </c>
    </row>
    <row r="617" spans="1:11" x14ac:dyDescent="0.35">
      <c r="A617" s="9" t="str">
        <f>HYPERLINK("http://www.ensembl.org/id/WBGene00195226", "WBGene00195226")</f>
        <v>WBGene00195226</v>
      </c>
      <c r="B617" s="9" t="str">
        <f>HYPERLINK("http://www.ncbi.nlm.nih.gov/gene/13213387", "13213387")</f>
        <v>13213387</v>
      </c>
      <c r="C617" s="9"/>
      <c r="D617" t="str">
        <f>"ZC404.16"</f>
        <v>ZC404.16</v>
      </c>
      <c r="F617" t="s">
        <v>11</v>
      </c>
      <c r="H617" s="12">
        <v>6.1200903364641901</v>
      </c>
      <c r="I617" s="11">
        <v>0.79119065338258499</v>
      </c>
      <c r="J617" s="10">
        <v>0.428832744842291</v>
      </c>
      <c r="K617" s="29">
        <v>0.98289565623980701</v>
      </c>
    </row>
    <row r="618" spans="1:11" x14ac:dyDescent="0.35">
      <c r="A618" s="9" t="str">
        <f>HYPERLINK("http://www.ensembl.org/id/WBGene00202153", "WBGene00202153")</f>
        <v>WBGene00202153</v>
      </c>
      <c r="B618" s="9"/>
      <c r="C618" s="9"/>
      <c r="D618" t="str">
        <f>"F39B1.5"</f>
        <v>F39B1.5</v>
      </c>
      <c r="F618" t="s">
        <v>481</v>
      </c>
      <c r="H618" s="12">
        <v>6.1074702863521297</v>
      </c>
      <c r="I618" s="11">
        <v>0.67046389748342405</v>
      </c>
      <c r="J618" s="10">
        <v>0.50256211344062096</v>
      </c>
      <c r="K618" s="29">
        <v>0.98289565623980701</v>
      </c>
    </row>
    <row r="619" spans="1:11" x14ac:dyDescent="0.35">
      <c r="A619" s="9" t="str">
        <f>HYPERLINK("http://www.ensembl.org/id/WBGene00198950", "WBGene00198950")</f>
        <v>WBGene00198950</v>
      </c>
      <c r="B619" s="9"/>
      <c r="C619" s="9"/>
      <c r="D619" t="str">
        <f>"T12D8.11"</f>
        <v>T12D8.11</v>
      </c>
      <c r="F619" t="s">
        <v>481</v>
      </c>
      <c r="H619" s="12">
        <v>6.1074702863521297</v>
      </c>
      <c r="I619" s="11">
        <v>0.67046389748342405</v>
      </c>
      <c r="J619" s="10">
        <v>0.50256211344062096</v>
      </c>
      <c r="K619" s="29">
        <v>0.98289565623980701</v>
      </c>
    </row>
    <row r="620" spans="1:11" x14ac:dyDescent="0.35">
      <c r="A620" s="9" t="str">
        <f>HYPERLINK("http://www.ensembl.org/id/WBGene00003862", "WBGene00003862")</f>
        <v>WBGene00003862</v>
      </c>
      <c r="B620" s="9" t="str">
        <f>HYPERLINK("http://www.ncbi.nlm.nih.gov/gene/191737", "191737")</f>
        <v>191737</v>
      </c>
      <c r="C620" s="9"/>
      <c r="D620" t="str">
        <f>"old-1"</f>
        <v>old-1</v>
      </c>
      <c r="E620" t="s">
        <v>4247</v>
      </c>
      <c r="F620" t="s">
        <v>11</v>
      </c>
      <c r="G620" t="s">
        <v>4200</v>
      </c>
      <c r="H620" s="12">
        <v>6.1039599971990803</v>
      </c>
      <c r="I620" s="11">
        <v>1.0102743349523</v>
      </c>
      <c r="J620" s="10">
        <v>0.312363873773359</v>
      </c>
      <c r="K620" s="29">
        <v>0.98289565623980701</v>
      </c>
    </row>
    <row r="621" spans="1:11" x14ac:dyDescent="0.35">
      <c r="A621" s="9" t="str">
        <f>HYPERLINK("http://www.ensembl.org/id/WBGene00005417", "WBGene00005417")</f>
        <v>WBGene00005417</v>
      </c>
      <c r="B621" s="9" t="str">
        <f>HYPERLINK("http://www.ncbi.nlm.nih.gov/gene/191266", "191266")</f>
        <v>191266</v>
      </c>
      <c r="C621" s="9"/>
      <c r="D621" t="str">
        <f>"srh-207"</f>
        <v>srh-207</v>
      </c>
      <c r="E621" t="s">
        <v>153</v>
      </c>
      <c r="F621" t="s">
        <v>11</v>
      </c>
      <c r="G621" t="s">
        <v>25</v>
      </c>
      <c r="H621" s="12">
        <v>6.0964540778031999</v>
      </c>
      <c r="I621" s="11">
        <v>0.75114307638817401</v>
      </c>
      <c r="J621" s="10">
        <v>0.45256655374763</v>
      </c>
      <c r="K621" s="29">
        <v>0.98289565623980701</v>
      </c>
    </row>
    <row r="622" spans="1:11" x14ac:dyDescent="0.35">
      <c r="A622" s="9" t="str">
        <f>HYPERLINK("http://www.ensembl.org/id/WBGene00012625", "WBGene00012625")</f>
        <v>WBGene00012625</v>
      </c>
      <c r="B622" s="9" t="str">
        <f>HYPERLINK("http://www.ncbi.nlm.nih.gov/gene/189694", "189694")</f>
        <v>189694</v>
      </c>
      <c r="C622" s="9"/>
      <c r="D622" t="str">
        <f>"Y38H6C.13"</f>
        <v>Y38H6C.13</v>
      </c>
      <c r="F622" t="s">
        <v>11</v>
      </c>
      <c r="G622" t="s">
        <v>54</v>
      </c>
      <c r="H622" s="12">
        <v>6.0964540778031999</v>
      </c>
      <c r="I622" s="11">
        <v>0.75114307638817401</v>
      </c>
      <c r="J622" s="10">
        <v>0.45256655374763</v>
      </c>
      <c r="K622" s="29">
        <v>0.98289565623980701</v>
      </c>
    </row>
    <row r="623" spans="1:11" x14ac:dyDescent="0.35">
      <c r="A623" s="9" t="str">
        <f>HYPERLINK("http://www.ensembl.org/id/WBGene00005399", "WBGene00005399")</f>
        <v>WBGene00005399</v>
      </c>
      <c r="B623" s="9" t="str">
        <f>HYPERLINK("http://www.ncbi.nlm.nih.gov/gene/183918", "183918")</f>
        <v>183918</v>
      </c>
      <c r="C623" s="9"/>
      <c r="D623" t="str">
        <f>"srh-184"</f>
        <v>srh-184</v>
      </c>
      <c r="E623" t="s">
        <v>153</v>
      </c>
      <c r="F623" t="s">
        <v>11</v>
      </c>
      <c r="G623" t="s">
        <v>25</v>
      </c>
      <c r="H623" s="12">
        <v>6.0901700758109403</v>
      </c>
      <c r="I623" s="11">
        <v>0.88733704075956898</v>
      </c>
      <c r="J623" s="10">
        <v>0.374897468918999</v>
      </c>
      <c r="K623" s="29">
        <v>0.98289565623980701</v>
      </c>
    </row>
    <row r="624" spans="1:11" x14ac:dyDescent="0.35">
      <c r="A624" s="9" t="str">
        <f>HYPERLINK("http://www.ensembl.org/id/WBGene00018312", "WBGene00018312")</f>
        <v>WBGene00018312</v>
      </c>
      <c r="B624" s="9" t="str">
        <f>HYPERLINK("http://www.ncbi.nlm.nih.gov/gene/185638", "185638")</f>
        <v>185638</v>
      </c>
      <c r="C624" s="9"/>
      <c r="D624" t="str">
        <f>"F41H8.1"</f>
        <v>F41H8.1</v>
      </c>
      <c r="F624" t="s">
        <v>11</v>
      </c>
      <c r="G624" t="s">
        <v>25</v>
      </c>
      <c r="H624" s="12">
        <v>6.0796881497577404</v>
      </c>
      <c r="I624" s="11">
        <v>1.5805229827757501</v>
      </c>
      <c r="J624" s="10">
        <v>0.113987147873731</v>
      </c>
      <c r="K624" s="29">
        <v>0.77237978641673499</v>
      </c>
    </row>
    <row r="625" spans="1:11" x14ac:dyDescent="0.35">
      <c r="A625" s="9" t="str">
        <f>HYPERLINK("http://www.ensembl.org/id/WBGene00007538", "WBGene00007538")</f>
        <v>WBGene00007538</v>
      </c>
      <c r="B625" s="9" t="str">
        <f>HYPERLINK("http://www.ncbi.nlm.nih.gov/gene/182543", "182543")</f>
        <v>182543</v>
      </c>
      <c r="C625" s="9"/>
      <c r="D625" t="str">
        <f>"C12D8.9"</f>
        <v>C12D8.9</v>
      </c>
      <c r="F625" t="s">
        <v>11</v>
      </c>
      <c r="H625" s="12">
        <v>6.0734792969398299</v>
      </c>
      <c r="I625" s="11">
        <v>0.67255372242173705</v>
      </c>
      <c r="J625" s="10">
        <v>0.50123125150075398</v>
      </c>
      <c r="K625" s="29">
        <v>0.98289565623980701</v>
      </c>
    </row>
    <row r="626" spans="1:11" x14ac:dyDescent="0.35">
      <c r="A626" s="9" t="str">
        <f>HYPERLINK("http://www.ensembl.org/id/WBGene00023515", "WBGene00023515")</f>
        <v>WBGene00023515</v>
      </c>
      <c r="B626" s="9" t="str">
        <f>HYPERLINK("http://www.ncbi.nlm.nih.gov/gene/3564826", "3564826")</f>
        <v>3564826</v>
      </c>
      <c r="C626" s="9"/>
      <c r="D626" t="str">
        <f>"srz-97"</f>
        <v>srz-97</v>
      </c>
      <c r="E626" t="s">
        <v>4211</v>
      </c>
      <c r="F626" t="s">
        <v>11</v>
      </c>
      <c r="G626" t="s">
        <v>25</v>
      </c>
      <c r="H626" s="12">
        <v>6.0722134029377397</v>
      </c>
      <c r="I626" s="11">
        <v>0.96554299614261097</v>
      </c>
      <c r="J626" s="10">
        <v>0.33427291124484998</v>
      </c>
      <c r="K626" s="29">
        <v>0.98289565623980701</v>
      </c>
    </row>
    <row r="627" spans="1:11" x14ac:dyDescent="0.35">
      <c r="A627" s="9" t="str">
        <f>HYPERLINK("http://www.ensembl.org/id/WBGene00006199", "WBGene00006199")</f>
        <v>WBGene00006199</v>
      </c>
      <c r="B627" s="9" t="str">
        <f>HYPERLINK("http://www.ncbi.nlm.nih.gov/gene/189413", "189413")</f>
        <v>189413</v>
      </c>
      <c r="C627" s="9"/>
      <c r="D627" t="str">
        <f>"str-153"</f>
        <v>str-153</v>
      </c>
      <c r="E627" t="s">
        <v>590</v>
      </c>
      <c r="F627" t="s">
        <v>11</v>
      </c>
      <c r="G627" t="s">
        <v>591</v>
      </c>
      <c r="H627" s="12">
        <v>6.0722134029377397</v>
      </c>
      <c r="I627" s="11">
        <v>0.96554299614261097</v>
      </c>
      <c r="J627" s="10">
        <v>0.33427291124484998</v>
      </c>
      <c r="K627" s="29">
        <v>0.98289565623980701</v>
      </c>
    </row>
    <row r="628" spans="1:11" x14ac:dyDescent="0.35">
      <c r="A628" s="9" t="str">
        <f>HYPERLINK("http://www.ensembl.org/id/WBGene00011262", "WBGene00011262")</f>
        <v>WBGene00011262</v>
      </c>
      <c r="B628" s="9" t="str">
        <f>HYPERLINK("http://www.ncbi.nlm.nih.gov/gene/179621", "179621")</f>
        <v>179621</v>
      </c>
      <c r="C628" s="9" t="str">
        <f>HYPERLINK("http://www.ncbi.nlm.nih.gov/gene/55", "55")</f>
        <v>55</v>
      </c>
      <c r="D628" t="str">
        <f>"pho-8"</f>
        <v>pho-8</v>
      </c>
      <c r="E628" t="s">
        <v>501</v>
      </c>
      <c r="F628" t="s">
        <v>11</v>
      </c>
      <c r="G628" t="s">
        <v>37</v>
      </c>
      <c r="H628" s="12">
        <v>6.0542783404064204</v>
      </c>
      <c r="I628" s="11">
        <v>3.05600494350647</v>
      </c>
      <c r="J628" s="10">
        <v>2.24307557605631E-3</v>
      </c>
      <c r="K628" s="29">
        <v>6.9896161228290496E-2</v>
      </c>
    </row>
    <row r="629" spans="1:11" x14ac:dyDescent="0.35">
      <c r="A629" s="9" t="str">
        <f>HYPERLINK("http://www.ensembl.org/id/WBGene00196704", "WBGene00196704")</f>
        <v>WBGene00196704</v>
      </c>
      <c r="B629" s="9"/>
      <c r="C629" s="9"/>
      <c r="D629" t="str">
        <f>"C52B9.15"</f>
        <v>C52B9.15</v>
      </c>
      <c r="F629" t="s">
        <v>481</v>
      </c>
      <c r="H629" s="12">
        <v>6.0220976301463596</v>
      </c>
      <c r="I629" s="11">
        <v>0.87436986952148898</v>
      </c>
      <c r="J629" s="10">
        <v>0.38191686051275597</v>
      </c>
      <c r="K629" s="29">
        <v>0.98289565623980701</v>
      </c>
    </row>
    <row r="630" spans="1:11" x14ac:dyDescent="0.35">
      <c r="A630" s="9" t="str">
        <f>HYPERLINK("http://www.ensembl.org/id/WBGene00016413", "WBGene00016413")</f>
        <v>WBGene00016413</v>
      </c>
      <c r="B630" s="9" t="str">
        <f>HYPERLINK("http://www.ncbi.nlm.nih.gov/gene/173893", "173893")</f>
        <v>173893</v>
      </c>
      <c r="C630" s="9"/>
      <c r="D630" t="str">
        <f>"C34F11.1"</f>
        <v>C34F11.1</v>
      </c>
      <c r="F630" t="s">
        <v>11</v>
      </c>
      <c r="G630" t="s">
        <v>51</v>
      </c>
      <c r="H630" s="12">
        <v>6.0190510472095697</v>
      </c>
      <c r="I630" s="11">
        <v>1.0552353077185399</v>
      </c>
      <c r="J630" s="10">
        <v>0.29131771985324201</v>
      </c>
      <c r="K630" s="29">
        <v>0.98289565623980701</v>
      </c>
    </row>
    <row r="631" spans="1:11" x14ac:dyDescent="0.35">
      <c r="A631" s="9" t="str">
        <f>HYPERLINK("http://www.ensembl.org/id/WBGene00017248", "WBGene00017248")</f>
        <v>WBGene00017248</v>
      </c>
      <c r="B631" s="9" t="str">
        <f>HYPERLINK("http://www.ncbi.nlm.nih.gov/gene/173624", "173624")</f>
        <v>173624</v>
      </c>
      <c r="C631" s="9"/>
      <c r="D631" t="str">
        <f>"F08D12.4"</f>
        <v>F08D12.4</v>
      </c>
      <c r="F631" t="s">
        <v>11</v>
      </c>
      <c r="H631" s="12">
        <v>6.0036142350513604</v>
      </c>
      <c r="I631" s="11">
        <v>1.10864398620996</v>
      </c>
      <c r="J631" s="10">
        <v>0.26758379476240801</v>
      </c>
      <c r="K631" s="29">
        <v>0.98289565623980701</v>
      </c>
    </row>
    <row r="632" spans="1:11" x14ac:dyDescent="0.35">
      <c r="A632" s="9" t="str">
        <f>HYPERLINK("http://www.ensembl.org/id/WBGene00012346", "WBGene00012346")</f>
        <v>WBGene00012346</v>
      </c>
      <c r="B632" s="9" t="str">
        <f>HYPERLINK("http://www.ncbi.nlm.nih.gov/gene/180099", "180099")</f>
        <v>180099</v>
      </c>
      <c r="C632" s="9"/>
      <c r="D632" t="str">
        <f>"W08G11.1"</f>
        <v>W08G11.1</v>
      </c>
      <c r="F632" t="s">
        <v>11</v>
      </c>
      <c r="G632" t="s">
        <v>25</v>
      </c>
      <c r="H632" s="12">
        <v>5.9855784515252397</v>
      </c>
      <c r="I632" s="11">
        <v>1.9976077188772501</v>
      </c>
      <c r="J632" s="10">
        <v>4.5759205757393701E-2</v>
      </c>
      <c r="K632" s="29">
        <v>0.49724536156421101</v>
      </c>
    </row>
    <row r="633" spans="1:11" x14ac:dyDescent="0.35">
      <c r="A633" s="9" t="str">
        <f>HYPERLINK("http://www.ensembl.org/id/WBGene00007503", "WBGene00007503")</f>
        <v>WBGene00007503</v>
      </c>
      <c r="B633" s="9" t="str">
        <f>HYPERLINK("http://www.ncbi.nlm.nih.gov/gene/182481", "182481")</f>
        <v>182481</v>
      </c>
      <c r="C633" s="9"/>
      <c r="D633" t="str">
        <f>"C09H10.9"</f>
        <v>C09H10.9</v>
      </c>
      <c r="F633" t="s">
        <v>11</v>
      </c>
      <c r="H633" s="12">
        <v>5.9703600199775204</v>
      </c>
      <c r="I633" s="11">
        <v>1.2042816033444299</v>
      </c>
      <c r="J633" s="10">
        <v>0.22848075468502099</v>
      </c>
      <c r="K633" s="29">
        <v>0.98289565623980701</v>
      </c>
    </row>
    <row r="634" spans="1:11" x14ac:dyDescent="0.35">
      <c r="A634" s="9" t="str">
        <f>HYPERLINK("http://www.ensembl.org/id/WBGene00020728", "WBGene00020728")</f>
        <v>WBGene00020728</v>
      </c>
      <c r="B634" s="9" t="str">
        <f>HYPERLINK("http://www.ncbi.nlm.nih.gov/gene/188794", "188794")</f>
        <v>188794</v>
      </c>
      <c r="C634" s="9"/>
      <c r="D634" t="str">
        <f>"T23E1.1"</f>
        <v>T23E1.1</v>
      </c>
      <c r="F634" t="s">
        <v>11</v>
      </c>
      <c r="G634" t="s">
        <v>790</v>
      </c>
      <c r="H634" s="12">
        <v>5.9658037470535996</v>
      </c>
      <c r="I634" s="11">
        <v>1.24140054982392</v>
      </c>
      <c r="J634" s="10">
        <v>0.21445781613012299</v>
      </c>
      <c r="K634" s="29">
        <v>0.967253512536278</v>
      </c>
    </row>
    <row r="635" spans="1:11" x14ac:dyDescent="0.35">
      <c r="A635" s="9" t="str">
        <f>HYPERLINK("http://www.ensembl.org/id/WBGene00044995", "WBGene00044995")</f>
        <v>WBGene00044995</v>
      </c>
      <c r="B635" s="9"/>
      <c r="C635" s="9"/>
      <c r="D635" t="str">
        <f>"Y105C5A.28"</f>
        <v>Y105C5A.28</v>
      </c>
      <c r="F635" t="s">
        <v>80</v>
      </c>
      <c r="H635" s="12">
        <v>5.9605288951143898</v>
      </c>
      <c r="I635" s="11">
        <v>0.86997519851277705</v>
      </c>
      <c r="J635" s="10">
        <v>0.38431395809014102</v>
      </c>
      <c r="K635" s="29">
        <v>0.98289565623980701</v>
      </c>
    </row>
    <row r="636" spans="1:11" x14ac:dyDescent="0.35">
      <c r="A636" s="9" t="str">
        <f>HYPERLINK("http://www.ensembl.org/id/WBGene00304215", "WBGene00304215")</f>
        <v>WBGene00304215</v>
      </c>
      <c r="B636" s="9"/>
      <c r="C636" s="9"/>
      <c r="D636" t="str">
        <f>"F17A2.16"</f>
        <v>F17A2.16</v>
      </c>
      <c r="F636" t="s">
        <v>11</v>
      </c>
      <c r="H636" s="12">
        <v>5.9552056329236898</v>
      </c>
      <c r="I636" s="11">
        <v>1.00517179645191</v>
      </c>
      <c r="J636" s="10">
        <v>0.31481413327178298</v>
      </c>
      <c r="K636" s="29">
        <v>0.98289565623980701</v>
      </c>
    </row>
    <row r="637" spans="1:11" x14ac:dyDescent="0.35">
      <c r="A637" s="9" t="str">
        <f>HYPERLINK("http://www.ensembl.org/id/WBGene00020890", "WBGene00020890")</f>
        <v>WBGene00020890</v>
      </c>
      <c r="B637" s="9" t="str">
        <f>HYPERLINK("http://www.ncbi.nlm.nih.gov/gene/189038", "189038")</f>
        <v>189038</v>
      </c>
      <c r="C637" s="9"/>
      <c r="D637" t="str">
        <f>"fbxa-202"</f>
        <v>fbxa-202</v>
      </c>
      <c r="E637" t="s">
        <v>467</v>
      </c>
      <c r="F637" t="s">
        <v>11</v>
      </c>
      <c r="G637" t="s">
        <v>54</v>
      </c>
      <c r="H637" s="12">
        <v>5.9522811885114004</v>
      </c>
      <c r="I637" s="11">
        <v>1.0101475597859499</v>
      </c>
      <c r="J637" s="10">
        <v>0.31242459909321202</v>
      </c>
      <c r="K637" s="29">
        <v>0.98289565623980701</v>
      </c>
    </row>
    <row r="638" spans="1:11" x14ac:dyDescent="0.35">
      <c r="A638" s="9" t="str">
        <f>HYPERLINK("http://www.ensembl.org/id/WBGene00049888", "WBGene00049888")</f>
        <v>WBGene00049888</v>
      </c>
      <c r="B638" s="9"/>
      <c r="C638" s="9"/>
      <c r="D638" t="str">
        <f>"21ur-1334"</f>
        <v>21ur-1334</v>
      </c>
      <c r="F638" t="s">
        <v>3161</v>
      </c>
      <c r="H638" s="12">
        <v>5.9495765472548197</v>
      </c>
      <c r="I638" s="11">
        <v>0.52429389276509997</v>
      </c>
      <c r="J638" s="10">
        <v>0.60007414400596704</v>
      </c>
      <c r="K638" s="29">
        <v>0.98289565623980701</v>
      </c>
    </row>
    <row r="639" spans="1:11" x14ac:dyDescent="0.35">
      <c r="A639" s="9" t="str">
        <f>HYPERLINK("http://www.ensembl.org/id/WBGene00165541", "WBGene00165541")</f>
        <v>WBGene00165541</v>
      </c>
      <c r="B639" s="9"/>
      <c r="C639" s="9"/>
      <c r="D639" t="str">
        <f>"21ur-15354"</f>
        <v>21ur-15354</v>
      </c>
      <c r="F639" t="s">
        <v>3161</v>
      </c>
      <c r="H639" s="12">
        <v>5.9495765472548197</v>
      </c>
      <c r="I639" s="11">
        <v>0.52429389276509997</v>
      </c>
      <c r="J639" s="10">
        <v>0.60007414400596704</v>
      </c>
      <c r="K639" s="29">
        <v>0.98289565623980701</v>
      </c>
    </row>
    <row r="640" spans="1:11" x14ac:dyDescent="0.35">
      <c r="A640" s="9" t="str">
        <f>HYPERLINK("http://www.ensembl.org/id/WBGene00046226", "WBGene00046226")</f>
        <v>WBGene00046226</v>
      </c>
      <c r="B640" s="9"/>
      <c r="C640" s="9"/>
      <c r="D640" t="str">
        <f>"21ur-3271"</f>
        <v>21ur-3271</v>
      </c>
      <c r="F640" t="s">
        <v>3161</v>
      </c>
      <c r="H640" s="12">
        <v>5.9495765472548197</v>
      </c>
      <c r="I640" s="11">
        <v>0.52429389276509997</v>
      </c>
      <c r="J640" s="10">
        <v>0.60007414400596704</v>
      </c>
      <c r="K640" s="29">
        <v>0.98289565623980701</v>
      </c>
    </row>
    <row r="641" spans="1:11" x14ac:dyDescent="0.35">
      <c r="A641" s="9" t="str">
        <f>HYPERLINK("http://www.ensembl.org/id/WBGene00174607", "WBGene00174607")</f>
        <v>WBGene00174607</v>
      </c>
      <c r="B641" s="9"/>
      <c r="C641" s="9"/>
      <c r="D641" t="str">
        <f>"21ur-6936"</f>
        <v>21ur-6936</v>
      </c>
      <c r="F641" t="s">
        <v>3161</v>
      </c>
      <c r="H641" s="12">
        <v>5.9495765472548197</v>
      </c>
      <c r="I641" s="11">
        <v>0.52429389276509997</v>
      </c>
      <c r="J641" s="10">
        <v>0.60007414400596704</v>
      </c>
      <c r="K641" s="29">
        <v>0.98289565623980701</v>
      </c>
    </row>
    <row r="642" spans="1:11" x14ac:dyDescent="0.35">
      <c r="A642" s="9" t="str">
        <f>HYPERLINK("http://www.ensembl.org/id/WBGene00206473", "WBGene00206473")</f>
        <v>WBGene00206473</v>
      </c>
      <c r="B642" s="9" t="str">
        <f>HYPERLINK("http://www.ncbi.nlm.nih.gov/gene/13194168", "13194168")</f>
        <v>13194168</v>
      </c>
      <c r="C642" s="9"/>
      <c r="D642" t="str">
        <f>"B0273.115"</f>
        <v>B0273.115</v>
      </c>
      <c r="F642" t="s">
        <v>11</v>
      </c>
      <c r="G642" t="s">
        <v>3419</v>
      </c>
      <c r="H642" s="12">
        <v>5.9495765472548197</v>
      </c>
      <c r="I642" s="11">
        <v>0.52429389276509997</v>
      </c>
      <c r="J642" s="10">
        <v>0.60007414400596704</v>
      </c>
      <c r="K642" s="29">
        <v>0.98289565623980701</v>
      </c>
    </row>
    <row r="643" spans="1:11" x14ac:dyDescent="0.35">
      <c r="A643" s="9" t="str">
        <f>HYPERLINK("http://www.ensembl.org/id/WBGene00197520", "WBGene00197520")</f>
        <v>WBGene00197520</v>
      </c>
      <c r="B643" s="9"/>
      <c r="C643" s="9"/>
      <c r="D643" t="str">
        <f>"C05C8.10"</f>
        <v>C05C8.10</v>
      </c>
      <c r="F643" t="s">
        <v>481</v>
      </c>
      <c r="H643" s="12">
        <v>5.9495765472548197</v>
      </c>
      <c r="I643" s="11">
        <v>0.52429389276509997</v>
      </c>
      <c r="J643" s="10">
        <v>0.60007414400596704</v>
      </c>
      <c r="K643" s="29">
        <v>0.98289565623980701</v>
      </c>
    </row>
    <row r="644" spans="1:11" x14ac:dyDescent="0.35">
      <c r="A644" s="9" t="str">
        <f>HYPERLINK("http://www.ensembl.org/id/WBGene00008291", "WBGene00008291")</f>
        <v>WBGene00008291</v>
      </c>
      <c r="B644" s="9" t="str">
        <f>HYPERLINK("http://www.ncbi.nlm.nih.gov/gene/183770", "183770")</f>
        <v>183770</v>
      </c>
      <c r="C644" s="9"/>
      <c r="D644" t="str">
        <f>"C54C8.3"</f>
        <v>C54C8.3</v>
      </c>
      <c r="E644" t="s">
        <v>3368</v>
      </c>
      <c r="F644" t="s">
        <v>11</v>
      </c>
      <c r="G644" t="s">
        <v>4251</v>
      </c>
      <c r="H644" s="12">
        <v>5.9495765472548197</v>
      </c>
      <c r="I644" s="11">
        <v>0.52429389276509997</v>
      </c>
      <c r="J644" s="10">
        <v>0.60007414400596704</v>
      </c>
      <c r="K644" s="29">
        <v>0.98289565623980701</v>
      </c>
    </row>
    <row r="645" spans="1:11" x14ac:dyDescent="0.35">
      <c r="A645" s="9" t="str">
        <f>HYPERLINK("http://www.ensembl.org/id/WBGene00017345", "WBGene00017345")</f>
        <v>WBGene00017345</v>
      </c>
      <c r="B645" s="9"/>
      <c r="C645" s="9"/>
      <c r="D645" t="str">
        <f>"F10E7.3"</f>
        <v>F10E7.3</v>
      </c>
      <c r="F645" t="s">
        <v>80</v>
      </c>
      <c r="H645" s="12">
        <v>5.9495765472548197</v>
      </c>
      <c r="I645" s="11">
        <v>0.52429389276509997</v>
      </c>
      <c r="J645" s="10">
        <v>0.60007414400596704</v>
      </c>
      <c r="K645" s="29">
        <v>0.98289565623980701</v>
      </c>
    </row>
    <row r="646" spans="1:11" x14ac:dyDescent="0.35">
      <c r="A646" s="9" t="str">
        <f>HYPERLINK("http://www.ensembl.org/id/WBGene00194833", "WBGene00194833")</f>
        <v>WBGene00194833</v>
      </c>
      <c r="B646" s="9" t="str">
        <f>HYPERLINK("http://www.ncbi.nlm.nih.gov/gene/13197018", "13197018")</f>
        <v>13197018</v>
      </c>
      <c r="C646" s="9"/>
      <c r="D646" t="str">
        <f>"F17E9.15"</f>
        <v>F17E9.15</v>
      </c>
      <c r="F646" t="s">
        <v>11</v>
      </c>
      <c r="H646" s="12">
        <v>5.9495765472548197</v>
      </c>
      <c r="I646" s="11">
        <v>0.52429389276509997</v>
      </c>
      <c r="J646" s="10">
        <v>0.60007414400596704</v>
      </c>
      <c r="K646" s="29">
        <v>0.98289565623980701</v>
      </c>
    </row>
    <row r="647" spans="1:11" x14ac:dyDescent="0.35">
      <c r="A647" s="9" t="str">
        <f>HYPERLINK("http://www.ensembl.org/id/WBGene00195469", "WBGene00195469")</f>
        <v>WBGene00195469</v>
      </c>
      <c r="B647" s="9"/>
      <c r="C647" s="9"/>
      <c r="D647" t="str">
        <f>"F46G11.8"</f>
        <v>F46G11.8</v>
      </c>
      <c r="F647" t="s">
        <v>481</v>
      </c>
      <c r="H647" s="12">
        <v>5.9495765472548197</v>
      </c>
      <c r="I647" s="11">
        <v>0.52429389276509997</v>
      </c>
      <c r="J647" s="10">
        <v>0.60007414400596704</v>
      </c>
      <c r="K647" s="29">
        <v>0.98289565623980701</v>
      </c>
    </row>
    <row r="648" spans="1:11" x14ac:dyDescent="0.35">
      <c r="A648" s="9" t="str">
        <f>HYPERLINK("http://www.ensembl.org/id/WBGene00195879", "WBGene00195879")</f>
        <v>WBGene00195879</v>
      </c>
      <c r="B648" s="9"/>
      <c r="C648" s="9"/>
      <c r="D648" t="str">
        <f>"F49E10.10"</f>
        <v>F49E10.10</v>
      </c>
      <c r="F648" t="s">
        <v>481</v>
      </c>
      <c r="H648" s="12">
        <v>5.9495765472548197</v>
      </c>
      <c r="I648" s="11">
        <v>0.52429389276509997</v>
      </c>
      <c r="J648" s="10">
        <v>0.60007414400596704</v>
      </c>
      <c r="K648" s="29">
        <v>0.98289565623980701</v>
      </c>
    </row>
    <row r="649" spans="1:11" x14ac:dyDescent="0.35">
      <c r="A649" s="9" t="str">
        <f>HYPERLINK("http://www.ensembl.org/id/WBGene00197024", "WBGene00197024")</f>
        <v>WBGene00197024</v>
      </c>
      <c r="B649" s="9"/>
      <c r="C649" s="9"/>
      <c r="D649" t="str">
        <f>"F56E3.9"</f>
        <v>F56E3.9</v>
      </c>
      <c r="F649" t="s">
        <v>481</v>
      </c>
      <c r="H649" s="12">
        <v>5.9495765472548197</v>
      </c>
      <c r="I649" s="11">
        <v>0.52429389276509997</v>
      </c>
      <c r="J649" s="10">
        <v>0.60007414400596704</v>
      </c>
      <c r="K649" s="29">
        <v>0.98289565623980701</v>
      </c>
    </row>
    <row r="650" spans="1:11" x14ac:dyDescent="0.35">
      <c r="A650" s="9" t="str">
        <f>HYPERLINK("http://www.ensembl.org/id/WBGene00019059", "WBGene00019059")</f>
        <v>WBGene00019059</v>
      </c>
      <c r="B650" s="9" t="str">
        <f>HYPERLINK("http://www.ncbi.nlm.nih.gov/gene/186537", "186537")</f>
        <v>186537</v>
      </c>
      <c r="C650" s="9"/>
      <c r="D650" t="str">
        <f>"F58F9.6"</f>
        <v>F58F9.6</v>
      </c>
      <c r="F650" t="s">
        <v>11</v>
      </c>
      <c r="H650" s="12">
        <v>5.9495765472548197</v>
      </c>
      <c r="I650" s="11">
        <v>0.52429389276509997</v>
      </c>
      <c r="J650" s="10">
        <v>0.60007414400596704</v>
      </c>
      <c r="K650" s="29">
        <v>0.98289565623980701</v>
      </c>
    </row>
    <row r="651" spans="1:11" x14ac:dyDescent="0.35">
      <c r="A651" s="9" t="str">
        <f>HYPERLINK("http://www.ensembl.org/id/WBGene00196088", "WBGene00196088")</f>
        <v>WBGene00196088</v>
      </c>
      <c r="B651" s="9"/>
      <c r="C651" s="9"/>
      <c r="D651" t="str">
        <f>"F58H1.11"</f>
        <v>F58H1.11</v>
      </c>
      <c r="F651" t="s">
        <v>481</v>
      </c>
      <c r="H651" s="12">
        <v>5.9495765472548197</v>
      </c>
      <c r="I651" s="11">
        <v>0.52429389276509997</v>
      </c>
      <c r="J651" s="10">
        <v>0.60007414400596704</v>
      </c>
      <c r="K651" s="29">
        <v>0.98289565623980701</v>
      </c>
    </row>
    <row r="652" spans="1:11" x14ac:dyDescent="0.35">
      <c r="A652" s="9" t="str">
        <f>HYPERLINK("http://www.ensembl.org/id/WBGene00012541", "WBGene00012541")</f>
        <v>WBGene00012541</v>
      </c>
      <c r="B652" s="9" t="str">
        <f>HYPERLINK("http://www.ncbi.nlm.nih.gov/gene/189602", "189602")</f>
        <v>189602</v>
      </c>
      <c r="C652" s="9"/>
      <c r="D652" t="str">
        <f>"irld-55"</f>
        <v>irld-55</v>
      </c>
      <c r="E652" t="s">
        <v>1627</v>
      </c>
      <c r="F652" t="s">
        <v>11</v>
      </c>
      <c r="H652" s="12">
        <v>5.9495765472548197</v>
      </c>
      <c r="I652" s="11">
        <v>0.52429389276509997</v>
      </c>
      <c r="J652" s="10">
        <v>0.60007414400596704</v>
      </c>
      <c r="K652" s="29">
        <v>0.98289565623980701</v>
      </c>
    </row>
    <row r="653" spans="1:11" x14ac:dyDescent="0.35">
      <c r="A653" s="9" t="str">
        <f>HYPERLINK("http://www.ensembl.org/id/WBGene00199833", "WBGene00199833")</f>
        <v>WBGene00199833</v>
      </c>
      <c r="B653" s="9"/>
      <c r="C653" s="9"/>
      <c r="D653" t="str">
        <f>"K02H8.4"</f>
        <v>K02H8.4</v>
      </c>
      <c r="F653" t="s">
        <v>481</v>
      </c>
      <c r="H653" s="12">
        <v>5.9495765472548197</v>
      </c>
      <c r="I653" s="11">
        <v>0.52429389276509997</v>
      </c>
      <c r="J653" s="10">
        <v>0.60007414400596704</v>
      </c>
      <c r="K653" s="29">
        <v>0.98289565623980701</v>
      </c>
    </row>
    <row r="654" spans="1:11" x14ac:dyDescent="0.35">
      <c r="A654" s="9" t="str">
        <f>HYPERLINK("http://www.ensembl.org/id/WBGene00201256", "WBGene00201256")</f>
        <v>WBGene00201256</v>
      </c>
      <c r="B654" s="9"/>
      <c r="C654" s="9"/>
      <c r="D654" t="str">
        <f>"K03H9.14"</f>
        <v>K03H9.14</v>
      </c>
      <c r="F654" t="s">
        <v>481</v>
      </c>
      <c r="H654" s="12">
        <v>5.9495765472548197</v>
      </c>
      <c r="I654" s="11">
        <v>0.52429389276509997</v>
      </c>
      <c r="J654" s="10">
        <v>0.60007414400596704</v>
      </c>
      <c r="K654" s="29">
        <v>0.98289565623980701</v>
      </c>
    </row>
    <row r="655" spans="1:11" x14ac:dyDescent="0.35">
      <c r="A655" s="9" t="str">
        <f>HYPERLINK("http://www.ensembl.org/id/WBGene00235318", "WBGene00235318")</f>
        <v>WBGene00235318</v>
      </c>
      <c r="B655" s="9"/>
      <c r="C655" s="9"/>
      <c r="D655" t="str">
        <f>"K11D5.2"</f>
        <v>K11D5.2</v>
      </c>
      <c r="F655" t="s">
        <v>481</v>
      </c>
      <c r="H655" s="12">
        <v>5.9495765472548197</v>
      </c>
      <c r="I655" s="11">
        <v>0.52429389276509997</v>
      </c>
      <c r="J655" s="10">
        <v>0.60007414400596704</v>
      </c>
      <c r="K655" s="29">
        <v>0.98289565623980701</v>
      </c>
    </row>
    <row r="656" spans="1:11" x14ac:dyDescent="0.35">
      <c r="A656" s="9" t="str">
        <f>HYPERLINK("http://www.ensembl.org/id/WBGene00220026", "WBGene00220026")</f>
        <v>WBGene00220026</v>
      </c>
      <c r="B656" s="9"/>
      <c r="C656" s="9"/>
      <c r="D656" t="str">
        <f>"M01D1.11"</f>
        <v>M01D1.11</v>
      </c>
      <c r="F656" t="s">
        <v>2977</v>
      </c>
      <c r="H656" s="12">
        <v>5.9495765472548197</v>
      </c>
      <c r="I656" s="11">
        <v>0.52429389276509997</v>
      </c>
      <c r="J656" s="10">
        <v>0.60007414400596704</v>
      </c>
      <c r="K656" s="29">
        <v>0.98289565623980701</v>
      </c>
    </row>
    <row r="657" spans="1:11" x14ac:dyDescent="0.35">
      <c r="A657" s="9" t="str">
        <f>HYPERLINK("http://www.ensembl.org/id/WBGene00255582", "WBGene00255582")</f>
        <v>WBGene00255582</v>
      </c>
      <c r="B657" s="9"/>
      <c r="C657" s="9"/>
      <c r="D657" t="str">
        <f>"mir-8201"</f>
        <v>mir-8201</v>
      </c>
      <c r="F657" t="s">
        <v>1486</v>
      </c>
      <c r="H657" s="12">
        <v>5.9495765472548197</v>
      </c>
      <c r="I657" s="11">
        <v>0.52429389276509997</v>
      </c>
      <c r="J657" s="10">
        <v>0.60007414400596704</v>
      </c>
      <c r="K657" s="29">
        <v>0.98289565623980701</v>
      </c>
    </row>
    <row r="658" spans="1:11" x14ac:dyDescent="0.35">
      <c r="A658" s="9" t="str">
        <f>HYPERLINK("http://www.ensembl.org/id/WBGene00005164", "WBGene00005164")</f>
        <v>WBGene00005164</v>
      </c>
      <c r="B658" s="9" t="str">
        <f>HYPERLINK("http://www.ncbi.nlm.nih.gov/gene/24104889", "24104889")</f>
        <v>24104889</v>
      </c>
      <c r="C658" s="9"/>
      <c r="D658" t="str">
        <f>"srg-6"</f>
        <v>srg-6</v>
      </c>
      <c r="E658" t="s">
        <v>4248</v>
      </c>
      <c r="F658" t="s">
        <v>11</v>
      </c>
      <c r="G658" t="s">
        <v>1829</v>
      </c>
      <c r="H658" s="12">
        <v>5.9495765472548197</v>
      </c>
      <c r="I658" s="11">
        <v>0.52429389276509997</v>
      </c>
      <c r="J658" s="10">
        <v>0.60007414400596704</v>
      </c>
      <c r="K658" s="29">
        <v>0.98289565623980701</v>
      </c>
    </row>
    <row r="659" spans="1:11" x14ac:dyDescent="0.35">
      <c r="A659" s="9" t="str">
        <f>HYPERLINK("http://www.ensembl.org/id/WBGene00005301", "WBGene00005301")</f>
        <v>WBGene00005301</v>
      </c>
      <c r="B659" s="9" t="str">
        <f>HYPERLINK("http://www.ncbi.nlm.nih.gov/gene/191874", "191874")</f>
        <v>191874</v>
      </c>
      <c r="C659" s="9"/>
      <c r="D659" t="str">
        <f>"srh-80"</f>
        <v>srh-80</v>
      </c>
      <c r="E659" t="s">
        <v>153</v>
      </c>
      <c r="F659" t="s">
        <v>11</v>
      </c>
      <c r="G659" t="s">
        <v>25</v>
      </c>
      <c r="H659" s="12">
        <v>5.9495765472548197</v>
      </c>
      <c r="I659" s="11">
        <v>0.52429389276509997</v>
      </c>
      <c r="J659" s="10">
        <v>0.60007414400596704</v>
      </c>
      <c r="K659" s="29">
        <v>0.98289565623980701</v>
      </c>
    </row>
    <row r="660" spans="1:11" x14ac:dyDescent="0.35">
      <c r="A660" s="9" t="str">
        <f>HYPERLINK("http://www.ensembl.org/id/WBGene00005519", "WBGene00005519")</f>
        <v>WBGene00005519</v>
      </c>
      <c r="B660" s="9" t="str">
        <f>HYPERLINK("http://www.ncbi.nlm.nih.gov/gene/188183", "188183")</f>
        <v>188183</v>
      </c>
      <c r="C660" s="9"/>
      <c r="D660" t="str">
        <f>"sri-7"</f>
        <v>sri-7</v>
      </c>
      <c r="E660" t="s">
        <v>1503</v>
      </c>
      <c r="F660" t="s">
        <v>11</v>
      </c>
      <c r="G660" t="s">
        <v>25</v>
      </c>
      <c r="H660" s="12">
        <v>5.9495765472548197</v>
      </c>
      <c r="I660" s="11">
        <v>0.52429389276509997</v>
      </c>
      <c r="J660" s="10">
        <v>0.60007414400596704</v>
      </c>
      <c r="K660" s="29">
        <v>0.98289565623980701</v>
      </c>
    </row>
    <row r="661" spans="1:11" x14ac:dyDescent="0.35">
      <c r="A661" s="9" t="str">
        <f>HYPERLINK("http://www.ensembl.org/id/WBGene00016856", "WBGene00016856")</f>
        <v>WBGene00016856</v>
      </c>
      <c r="B661" s="9" t="str">
        <f>HYPERLINK("http://www.ncbi.nlm.nih.gov/gene/183698", "183698")</f>
        <v>183698</v>
      </c>
      <c r="C661" s="9"/>
      <c r="D661" t="str">
        <f>"srt-15"</f>
        <v>srt-15</v>
      </c>
      <c r="E661" t="s">
        <v>2845</v>
      </c>
      <c r="F661" t="s">
        <v>11</v>
      </c>
      <c r="G661" t="s">
        <v>25</v>
      </c>
      <c r="H661" s="12">
        <v>5.9495765472548197</v>
      </c>
      <c r="I661" s="11">
        <v>0.52429389276509997</v>
      </c>
      <c r="J661" s="10">
        <v>0.60007414400596704</v>
      </c>
      <c r="K661" s="29">
        <v>0.98289565623980701</v>
      </c>
    </row>
    <row r="662" spans="1:11" x14ac:dyDescent="0.35">
      <c r="A662" s="9" t="str">
        <f>HYPERLINK("http://www.ensembl.org/id/WBGene00005904", "WBGene00005904")</f>
        <v>WBGene00005904</v>
      </c>
      <c r="B662" s="9" t="str">
        <f>HYPERLINK("http://www.ncbi.nlm.nih.gov/gene/183437", "183437")</f>
        <v>183437</v>
      </c>
      <c r="C662" s="9"/>
      <c r="D662" t="str">
        <f>"srx-13"</f>
        <v>srx-13</v>
      </c>
      <c r="E662" t="s">
        <v>1477</v>
      </c>
      <c r="F662" t="s">
        <v>11</v>
      </c>
      <c r="G662" t="s">
        <v>25</v>
      </c>
      <c r="H662" s="12">
        <v>5.9495765472548197</v>
      </c>
      <c r="I662" s="11">
        <v>0.52429389276509997</v>
      </c>
      <c r="J662" s="10">
        <v>0.60007414400596704</v>
      </c>
      <c r="K662" s="29">
        <v>0.98289565623980701</v>
      </c>
    </row>
    <row r="663" spans="1:11" x14ac:dyDescent="0.35">
      <c r="A663" s="9" t="str">
        <f>HYPERLINK("http://www.ensembl.org/id/WBGene00012846", "WBGene00012846")</f>
        <v>WBGene00012846</v>
      </c>
      <c r="B663" s="9" t="str">
        <f>HYPERLINK("http://www.ncbi.nlm.nih.gov/gene/189894", "189894")</f>
        <v>189894</v>
      </c>
      <c r="C663" s="9"/>
      <c r="D663" t="str">
        <f>"srxa-14"</f>
        <v>srxa-14</v>
      </c>
      <c r="E663" t="s">
        <v>3765</v>
      </c>
      <c r="F663" t="s">
        <v>11</v>
      </c>
      <c r="G663" t="s">
        <v>25</v>
      </c>
      <c r="H663" s="12">
        <v>5.9495765472548197</v>
      </c>
      <c r="I663" s="11">
        <v>0.52429389276509997</v>
      </c>
      <c r="J663" s="10">
        <v>0.60007414400596704</v>
      </c>
      <c r="K663" s="29">
        <v>0.98289565623980701</v>
      </c>
    </row>
    <row r="664" spans="1:11" x14ac:dyDescent="0.35">
      <c r="A664" s="9" t="str">
        <f>HYPERLINK("http://www.ensembl.org/id/WBGene00023462", "WBGene00023462")</f>
        <v>WBGene00023462</v>
      </c>
      <c r="B664" s="9" t="str">
        <f>HYPERLINK("http://www.ncbi.nlm.nih.gov/gene/3565161", "3565161")</f>
        <v>3565161</v>
      </c>
      <c r="C664" s="9"/>
      <c r="D664" t="str">
        <f>"srz-83"</f>
        <v>srz-83</v>
      </c>
      <c r="E664" t="s">
        <v>4211</v>
      </c>
      <c r="F664" t="s">
        <v>11</v>
      </c>
      <c r="G664" t="s">
        <v>25</v>
      </c>
      <c r="H664" s="12">
        <v>5.9495765472548197</v>
      </c>
      <c r="I664" s="11">
        <v>0.52429389276509997</v>
      </c>
      <c r="J664" s="10">
        <v>0.60007414400596704</v>
      </c>
      <c r="K664" s="29">
        <v>0.98289565623980701</v>
      </c>
    </row>
    <row r="665" spans="1:11" x14ac:dyDescent="0.35">
      <c r="A665" s="9" t="str">
        <f>HYPERLINK("http://www.ensembl.org/id/WBGene00006225", "WBGene00006225")</f>
        <v>WBGene00006225</v>
      </c>
      <c r="B665" s="9" t="str">
        <f>HYPERLINK("http://www.ncbi.nlm.nih.gov/gene/187807", "187807")</f>
        <v>187807</v>
      </c>
      <c r="C665" s="9"/>
      <c r="D665" t="str">
        <f>"str-181"</f>
        <v>str-181</v>
      </c>
      <c r="E665" t="s">
        <v>590</v>
      </c>
      <c r="F665" t="s">
        <v>11</v>
      </c>
      <c r="G665" t="s">
        <v>591</v>
      </c>
      <c r="H665" s="12">
        <v>5.9495765472548197</v>
      </c>
      <c r="I665" s="11">
        <v>0.52429389276509997</v>
      </c>
      <c r="J665" s="10">
        <v>0.60007414400596704</v>
      </c>
      <c r="K665" s="29">
        <v>0.98289565623980701</v>
      </c>
    </row>
    <row r="666" spans="1:11" x14ac:dyDescent="0.35">
      <c r="A666" s="9" t="str">
        <f>HYPERLINK("http://www.ensembl.org/id/WBGene00006244", "WBGene00006244")</f>
        <v>WBGene00006244</v>
      </c>
      <c r="B666" s="9" t="str">
        <f>HYPERLINK("http://www.ncbi.nlm.nih.gov/gene/192030", "192030")</f>
        <v>192030</v>
      </c>
      <c r="C666" s="9"/>
      <c r="D666" t="str">
        <f>"str-211"</f>
        <v>str-211</v>
      </c>
      <c r="E666" t="s">
        <v>590</v>
      </c>
      <c r="F666" t="s">
        <v>11</v>
      </c>
      <c r="G666" t="s">
        <v>591</v>
      </c>
      <c r="H666" s="12">
        <v>5.9495765472548197</v>
      </c>
      <c r="I666" s="11">
        <v>0.52429389276509997</v>
      </c>
      <c r="J666" s="10">
        <v>0.60007414400596704</v>
      </c>
      <c r="K666" s="29">
        <v>0.98289565623980701</v>
      </c>
    </row>
    <row r="667" spans="1:11" x14ac:dyDescent="0.35">
      <c r="A667" s="9" t="str">
        <f>HYPERLINK("http://www.ensembl.org/id/WBGene00006122", "WBGene00006122")</f>
        <v>WBGene00006122</v>
      </c>
      <c r="B667" s="9" t="str">
        <f>HYPERLINK("http://www.ncbi.nlm.nih.gov/gene/188163", "188163")</f>
        <v>188163</v>
      </c>
      <c r="C667" s="9"/>
      <c r="D667" t="str">
        <f>"str-57"</f>
        <v>str-57</v>
      </c>
      <c r="E667" t="s">
        <v>590</v>
      </c>
      <c r="F667" t="s">
        <v>11</v>
      </c>
      <c r="G667" t="s">
        <v>25</v>
      </c>
      <c r="H667" s="12">
        <v>5.9495765472548197</v>
      </c>
      <c r="I667" s="11">
        <v>0.52429389276509997</v>
      </c>
      <c r="J667" s="10">
        <v>0.60007414400596704</v>
      </c>
      <c r="K667" s="29">
        <v>0.98289565623980701</v>
      </c>
    </row>
    <row r="668" spans="1:11" x14ac:dyDescent="0.35">
      <c r="A668" s="9" t="str">
        <f>HYPERLINK("http://www.ensembl.org/id/WBGene00016673", "WBGene00016673")</f>
        <v>WBGene00016673</v>
      </c>
      <c r="B668" s="9" t="str">
        <f>HYPERLINK("http://www.ncbi.nlm.nih.gov/gene/183478", "183478")</f>
        <v>183478</v>
      </c>
      <c r="C668" s="9"/>
      <c r="D668" t="str">
        <f>"ttbk-6"</f>
        <v>ttbk-6</v>
      </c>
      <c r="E668" t="s">
        <v>4249</v>
      </c>
      <c r="F668" t="s">
        <v>11</v>
      </c>
      <c r="G668" t="s">
        <v>4250</v>
      </c>
      <c r="H668" s="12">
        <v>5.9495765472548197</v>
      </c>
      <c r="I668" s="11">
        <v>0.52429389276509997</v>
      </c>
      <c r="J668" s="10">
        <v>0.60007414400596704</v>
      </c>
      <c r="K668" s="29">
        <v>0.98289565623980701</v>
      </c>
    </row>
    <row r="669" spans="1:11" x14ac:dyDescent="0.35">
      <c r="A669" s="9" t="str">
        <f>HYPERLINK("http://www.ensembl.org/id/WBGene00021907", "WBGene00021907")</f>
        <v>WBGene00021907</v>
      </c>
      <c r="B669" s="9" t="str">
        <f>HYPERLINK("http://www.ncbi.nlm.nih.gov/gene/190299", "190299")</f>
        <v>190299</v>
      </c>
      <c r="C669" s="9"/>
      <c r="D669" t="str">
        <f>"Y55B1AR.3"</f>
        <v>Y55B1AR.3</v>
      </c>
      <c r="F669" t="s">
        <v>11</v>
      </c>
      <c r="H669" s="12">
        <v>5.9495765472548197</v>
      </c>
      <c r="I669" s="11">
        <v>0.52429389276509997</v>
      </c>
      <c r="J669" s="10">
        <v>0.60007414400596704</v>
      </c>
      <c r="K669" s="29">
        <v>0.98289565623980701</v>
      </c>
    </row>
    <row r="670" spans="1:11" x14ac:dyDescent="0.35">
      <c r="A670" s="9" t="str">
        <f>HYPERLINK("http://www.ensembl.org/id/WBGene00220183", "WBGene00220183")</f>
        <v>WBGene00220183</v>
      </c>
      <c r="B670" s="9"/>
      <c r="C670" s="9"/>
      <c r="D670" t="str">
        <f>"Y55F3BR.19"</f>
        <v>Y55F3BR.19</v>
      </c>
      <c r="F670" t="s">
        <v>481</v>
      </c>
      <c r="H670" s="12">
        <v>5.9495765472548197</v>
      </c>
      <c r="I670" s="11">
        <v>0.52429389276509997</v>
      </c>
      <c r="J670" s="10">
        <v>0.60007414400596704</v>
      </c>
      <c r="K670" s="29">
        <v>0.98289565623980701</v>
      </c>
    </row>
    <row r="671" spans="1:11" x14ac:dyDescent="0.35">
      <c r="A671" s="9" t="str">
        <f>HYPERLINK("http://www.ensembl.org/id/WBGene00220240", "WBGene00220240")</f>
        <v>WBGene00220240</v>
      </c>
      <c r="B671" s="9"/>
      <c r="C671" s="9"/>
      <c r="D671" t="str">
        <f>"ZK270.4"</f>
        <v>ZK270.4</v>
      </c>
      <c r="F671" t="s">
        <v>481</v>
      </c>
      <c r="H671" s="12">
        <v>5.9495765472548197</v>
      </c>
      <c r="I671" s="11">
        <v>0.52429389276509997</v>
      </c>
      <c r="J671" s="10">
        <v>0.60007414400596704</v>
      </c>
      <c r="K671" s="29">
        <v>0.98289565623980701</v>
      </c>
    </row>
    <row r="672" spans="1:11" x14ac:dyDescent="0.35">
      <c r="A672" s="9" t="str">
        <f>HYPERLINK("http://www.ensembl.org/id/WBGene00005764", "WBGene00005764")</f>
        <v>WBGene00005764</v>
      </c>
      <c r="B672" s="9" t="str">
        <f>HYPERLINK("http://www.ncbi.nlm.nih.gov/gene/188395", "188395")</f>
        <v>188395</v>
      </c>
      <c r="C672" s="9"/>
      <c r="D672" t="str">
        <f>"srw-17"</f>
        <v>srw-17</v>
      </c>
      <c r="E672" t="s">
        <v>1014</v>
      </c>
      <c r="F672" t="s">
        <v>11</v>
      </c>
      <c r="G672" t="s">
        <v>1015</v>
      </c>
      <c r="H672" s="12">
        <v>5.9423046370038604</v>
      </c>
      <c r="I672" s="11">
        <v>1.6401482683689099</v>
      </c>
      <c r="J672" s="10">
        <v>0.100974342412052</v>
      </c>
      <c r="K672" s="29">
        <v>0.73410998109962999</v>
      </c>
    </row>
    <row r="673" spans="1:11" x14ac:dyDescent="0.35">
      <c r="A673" s="9" t="str">
        <f>HYPERLINK("http://www.ensembl.org/id/WBGene00001158", "WBGene00001158")</f>
        <v>WBGene00001158</v>
      </c>
      <c r="B673" s="9" t="str">
        <f>HYPERLINK("http://www.ncbi.nlm.nih.gov/gene/184065", "184065")</f>
        <v>184065</v>
      </c>
      <c r="C673" s="9"/>
      <c r="D673" t="str">
        <f>"ech-9"</f>
        <v>ech-9</v>
      </c>
      <c r="E673" t="s">
        <v>667</v>
      </c>
      <c r="F673" t="s">
        <v>11</v>
      </c>
      <c r="G673" t="s">
        <v>668</v>
      </c>
      <c r="H673" s="12">
        <v>5.9208465733346598</v>
      </c>
      <c r="I673" s="11">
        <v>3.0326355958112501</v>
      </c>
      <c r="J673" s="10">
        <v>2.4242815452687502E-3</v>
      </c>
      <c r="K673" s="29">
        <v>7.3318651027460296E-2</v>
      </c>
    </row>
    <row r="674" spans="1:11" x14ac:dyDescent="0.35">
      <c r="A674" s="9" t="str">
        <f>HYPERLINK("http://www.ensembl.org/id/WBGene00013058", "WBGene00013058")</f>
        <v>WBGene00013058</v>
      </c>
      <c r="B674" s="9" t="str">
        <f>HYPERLINK("http://www.ncbi.nlm.nih.gov/gene/190117", "190117")</f>
        <v>190117</v>
      </c>
      <c r="C674" s="9"/>
      <c r="D674" t="str">
        <f>"clec-247"</f>
        <v>clec-247</v>
      </c>
      <c r="E674" t="s">
        <v>46</v>
      </c>
      <c r="F674" t="s">
        <v>11</v>
      </c>
      <c r="G674" t="s">
        <v>47</v>
      </c>
      <c r="H674" s="12">
        <v>5.8948039669313497</v>
      </c>
      <c r="I674" s="11">
        <v>0.86942481743520295</v>
      </c>
      <c r="J674" s="10">
        <v>0.384614813715276</v>
      </c>
      <c r="K674" s="29">
        <v>0.98289565623980701</v>
      </c>
    </row>
    <row r="675" spans="1:11" x14ac:dyDescent="0.35">
      <c r="A675" s="9" t="str">
        <f>HYPERLINK("http://www.ensembl.org/id/WBGene00220160", "WBGene00220160")</f>
        <v>WBGene00220160</v>
      </c>
      <c r="B675" s="9"/>
      <c r="C675" s="9"/>
      <c r="D675" t="str">
        <f>"Y44A6C.4"</f>
        <v>Y44A6C.4</v>
      </c>
      <c r="F675" t="s">
        <v>481</v>
      </c>
      <c r="H675" s="12">
        <v>5.8907339861828296</v>
      </c>
      <c r="I675" s="11">
        <v>1.0261032450599501</v>
      </c>
      <c r="J675" s="10">
        <v>0.30484292086713499</v>
      </c>
      <c r="K675" s="29">
        <v>0.98289565623980701</v>
      </c>
    </row>
    <row r="676" spans="1:11" x14ac:dyDescent="0.35">
      <c r="A676" s="9" t="str">
        <f>HYPERLINK("http://www.ensembl.org/id/WBGene00219907", "WBGene00219907")</f>
        <v>WBGene00219907</v>
      </c>
      <c r="B676" s="9"/>
      <c r="C676" s="9"/>
      <c r="D676" t="str">
        <f>"F19H8.7"</f>
        <v>F19H8.7</v>
      </c>
      <c r="F676" t="s">
        <v>2977</v>
      </c>
      <c r="H676" s="12">
        <v>5.8900450117562801</v>
      </c>
      <c r="I676" s="11">
        <v>1.0351608110561401</v>
      </c>
      <c r="J676" s="10">
        <v>0.30059381701889898</v>
      </c>
      <c r="K676" s="29">
        <v>0.98289565623980701</v>
      </c>
    </row>
    <row r="677" spans="1:11" x14ac:dyDescent="0.35">
      <c r="A677" s="9" t="str">
        <f>HYPERLINK("http://www.ensembl.org/id/WBGene00020488", "WBGene00020488")</f>
        <v>WBGene00020488</v>
      </c>
      <c r="B677" s="9" t="str">
        <f>HYPERLINK("http://www.ncbi.nlm.nih.gov/gene/188482", "188482")</f>
        <v>188482</v>
      </c>
      <c r="C677" s="9"/>
      <c r="D677" t="str">
        <f>"T13G4.1"</f>
        <v>T13G4.1</v>
      </c>
      <c r="F677" t="s">
        <v>11</v>
      </c>
      <c r="G677" t="s">
        <v>54</v>
      </c>
      <c r="H677" s="12">
        <v>5.8835396776815996</v>
      </c>
      <c r="I677" s="11">
        <v>1.21340749869682</v>
      </c>
      <c r="J677" s="10">
        <v>0.224974060769117</v>
      </c>
      <c r="K677" s="29">
        <v>0.98002814908420599</v>
      </c>
    </row>
    <row r="678" spans="1:11" x14ac:dyDescent="0.35">
      <c r="A678" s="9" t="str">
        <f>HYPERLINK("http://www.ensembl.org/id/WBGene00013507", "WBGene00013507")</f>
        <v>WBGene00013507</v>
      </c>
      <c r="B678" s="9" t="str">
        <f>HYPERLINK("http://www.ncbi.nlm.nih.gov/gene/190580", "190580")</f>
        <v>190580</v>
      </c>
      <c r="C678" s="9"/>
      <c r="D678" t="str">
        <f>"Y71A12B.10"</f>
        <v>Y71A12B.10</v>
      </c>
      <c r="F678" t="s">
        <v>11</v>
      </c>
      <c r="G678" t="s">
        <v>4252</v>
      </c>
      <c r="H678" s="12">
        <v>5.86688511605362</v>
      </c>
      <c r="I678" s="11">
        <v>0.99429141331573601</v>
      </c>
      <c r="J678" s="10">
        <v>0.32008101486474</v>
      </c>
      <c r="K678" s="29">
        <v>0.98289565623980701</v>
      </c>
    </row>
    <row r="679" spans="1:11" x14ac:dyDescent="0.35">
      <c r="A679" s="9" t="str">
        <f>HYPERLINK("http://www.ensembl.org/id/WBGene00271605", "WBGene00271605")</f>
        <v>WBGene00271605</v>
      </c>
      <c r="B679" s="9" t="str">
        <f>HYPERLINK("http://www.ncbi.nlm.nih.gov/gene/32091599", "32091599")</f>
        <v>32091599</v>
      </c>
      <c r="C679" s="9"/>
      <c r="D679" t="str">
        <f>"H05L14.3"</f>
        <v>H05L14.3</v>
      </c>
      <c r="F679" t="s">
        <v>11</v>
      </c>
      <c r="H679" s="12">
        <v>5.8630545852879496</v>
      </c>
      <c r="I679" s="11">
        <v>1.0932138989094</v>
      </c>
      <c r="J679" s="10">
        <v>0.27429989595667698</v>
      </c>
      <c r="K679" s="29">
        <v>0.98289565623980701</v>
      </c>
    </row>
    <row r="680" spans="1:11" x14ac:dyDescent="0.35">
      <c r="A680" s="9" t="str">
        <f>HYPERLINK("http://www.ensembl.org/id/WBGene00001540", "WBGene00001540")</f>
        <v>WBGene00001540</v>
      </c>
      <c r="B680" s="9" t="str">
        <f>HYPERLINK("http://www.ncbi.nlm.nih.gov/gene/191647", "191647")</f>
        <v>191647</v>
      </c>
      <c r="C680" s="9"/>
      <c r="D680" t="str">
        <f>"gcy-14"</f>
        <v>gcy-14</v>
      </c>
      <c r="E680" t="s">
        <v>2128</v>
      </c>
      <c r="F680" t="s">
        <v>11</v>
      </c>
      <c r="G680" t="s">
        <v>1564</v>
      </c>
      <c r="H680" s="12">
        <v>5.8572451250431099</v>
      </c>
      <c r="I680" s="11">
        <v>1.8061887076507599</v>
      </c>
      <c r="J680" s="10">
        <v>7.0888868198465099E-2</v>
      </c>
      <c r="K680" s="29">
        <v>0.62854175683060398</v>
      </c>
    </row>
    <row r="681" spans="1:11" x14ac:dyDescent="0.35">
      <c r="A681" s="9" t="str">
        <f>HYPERLINK("http://www.ensembl.org/id/WBGene00013811", "WBGene00013811")</f>
        <v>WBGene00013811</v>
      </c>
      <c r="B681" s="9" t="str">
        <f>HYPERLINK("http://www.ncbi.nlm.nih.gov/gene/178492", "178492")</f>
        <v>178492</v>
      </c>
      <c r="C681" s="9"/>
      <c r="D681" t="str">
        <f>"Y116A8C.38"</f>
        <v>Y116A8C.38</v>
      </c>
      <c r="E681" t="s">
        <v>2588</v>
      </c>
      <c r="F681" t="s">
        <v>11</v>
      </c>
      <c r="G681" t="s">
        <v>2589</v>
      </c>
      <c r="H681" s="12">
        <v>5.8559308670214598</v>
      </c>
      <c r="I681" s="11">
        <v>0.778869933312622</v>
      </c>
      <c r="J681" s="10">
        <v>0.43605633689324402</v>
      </c>
      <c r="K681" s="29">
        <v>0.98289565623980701</v>
      </c>
    </row>
    <row r="682" spans="1:11" x14ac:dyDescent="0.35">
      <c r="A682" s="9" t="str">
        <f>HYPERLINK("http://www.ensembl.org/id/WBGene00219631", "WBGene00219631")</f>
        <v>WBGene00219631</v>
      </c>
      <c r="B682" s="9"/>
      <c r="C682" s="9"/>
      <c r="D682" t="str">
        <f>"anr-37"</f>
        <v>anr-37</v>
      </c>
      <c r="F682" t="s">
        <v>2735</v>
      </c>
      <c r="H682" s="12">
        <v>5.8167546518197897</v>
      </c>
      <c r="I682" s="11">
        <v>0.64169808733842404</v>
      </c>
      <c r="J682" s="10">
        <v>0.52106923135193595</v>
      </c>
      <c r="K682" s="29">
        <v>0.98289565623980701</v>
      </c>
    </row>
    <row r="683" spans="1:11" x14ac:dyDescent="0.35">
      <c r="A683" s="9" t="str">
        <f>HYPERLINK("http://www.ensembl.org/id/WBGene00016527", "WBGene00016527")</f>
        <v>WBGene00016527</v>
      </c>
      <c r="B683" s="9" t="str">
        <f>HYPERLINK("http://www.ncbi.nlm.nih.gov/gene/183328", "183328")</f>
        <v>183328</v>
      </c>
      <c r="C683" s="9"/>
      <c r="D683" t="str">
        <f>"fbxa-47"</f>
        <v>fbxa-47</v>
      </c>
      <c r="E683" t="s">
        <v>467</v>
      </c>
      <c r="F683" t="s">
        <v>11</v>
      </c>
      <c r="G683" t="s">
        <v>54</v>
      </c>
      <c r="H683" s="12">
        <v>5.8167546518197897</v>
      </c>
      <c r="I683" s="11">
        <v>0.64169808733842404</v>
      </c>
      <c r="J683" s="10">
        <v>0.52106923135193595</v>
      </c>
      <c r="K683" s="29">
        <v>0.98289565623980701</v>
      </c>
    </row>
    <row r="684" spans="1:11" x14ac:dyDescent="0.35">
      <c r="A684" s="9" t="str">
        <f>HYPERLINK("http://www.ensembl.org/id/WBGene00005529", "WBGene00005529")</f>
        <v>WBGene00005529</v>
      </c>
      <c r="B684" s="9" t="str">
        <f>HYPERLINK("http://www.ncbi.nlm.nih.gov/gene/184550", "184550")</f>
        <v>184550</v>
      </c>
      <c r="C684" s="9"/>
      <c r="D684" t="str">
        <f>"sri-17"</f>
        <v>sri-17</v>
      </c>
      <c r="E684" t="s">
        <v>1503</v>
      </c>
      <c r="F684" t="s">
        <v>11</v>
      </c>
      <c r="G684" t="s">
        <v>25</v>
      </c>
      <c r="H684" s="12">
        <v>5.8167546518197897</v>
      </c>
      <c r="I684" s="11">
        <v>0.64169808733842404</v>
      </c>
      <c r="J684" s="10">
        <v>0.52106923135193595</v>
      </c>
      <c r="K684" s="29">
        <v>0.98289565623980701</v>
      </c>
    </row>
    <row r="685" spans="1:11" x14ac:dyDescent="0.35">
      <c r="A685" s="9" t="str">
        <f>HYPERLINK("http://www.ensembl.org/id/WBGene00005898", "WBGene00005898")</f>
        <v>WBGene00005898</v>
      </c>
      <c r="B685" s="9" t="str">
        <f>HYPERLINK("http://www.ncbi.nlm.nih.gov/gene/182600", "182600")</f>
        <v>182600</v>
      </c>
      <c r="C685" s="9"/>
      <c r="D685" t="str">
        <f>"srx-7"</f>
        <v>srx-7</v>
      </c>
      <c r="E685" t="s">
        <v>1477</v>
      </c>
      <c r="F685" t="s">
        <v>11</v>
      </c>
      <c r="G685" t="s">
        <v>1089</v>
      </c>
      <c r="H685" s="12">
        <v>5.8167546518197897</v>
      </c>
      <c r="I685" s="11">
        <v>0.64169808733842404</v>
      </c>
      <c r="J685" s="10">
        <v>0.52106923135193595</v>
      </c>
      <c r="K685" s="29">
        <v>0.98289565623980701</v>
      </c>
    </row>
    <row r="686" spans="1:11" x14ac:dyDescent="0.35">
      <c r="A686" s="9" t="str">
        <f>HYPERLINK("http://www.ensembl.org/id/WBGene00235284", "WBGene00235284")</f>
        <v>WBGene00235284</v>
      </c>
      <c r="B686" s="9" t="str">
        <f>HYPERLINK("http://www.ncbi.nlm.nih.gov/gene/24104893", "24104893")</f>
        <v>24104893</v>
      </c>
      <c r="C686" s="9"/>
      <c r="D686" t="str">
        <f>"T12G3.11"</f>
        <v>T12G3.11</v>
      </c>
      <c r="F686" t="s">
        <v>11</v>
      </c>
      <c r="H686" s="12">
        <v>5.8167546518197897</v>
      </c>
      <c r="I686" s="11">
        <v>0.64169808733842404</v>
      </c>
      <c r="J686" s="10">
        <v>0.52106923135193595</v>
      </c>
      <c r="K686" s="29">
        <v>0.98289565623980701</v>
      </c>
    </row>
    <row r="687" spans="1:11" x14ac:dyDescent="0.35">
      <c r="A687" s="9" t="str">
        <f>HYPERLINK("http://www.ensembl.org/id/WBGene00016847", "WBGene00016847")</f>
        <v>WBGene00016847</v>
      </c>
      <c r="B687" s="9" t="str">
        <f>HYPERLINK("http://www.ncbi.nlm.nih.gov/gene/183685", "183685")</f>
        <v>183685</v>
      </c>
      <c r="C687" s="9"/>
      <c r="D687" t="str">
        <f>"C50F7.9"</f>
        <v>C50F7.9</v>
      </c>
      <c r="F687" t="s">
        <v>11</v>
      </c>
      <c r="G687" t="s">
        <v>25</v>
      </c>
      <c r="H687" s="12">
        <v>5.8131679998567103</v>
      </c>
      <c r="I687" s="11">
        <v>0.65600307487084597</v>
      </c>
      <c r="J687" s="10">
        <v>0.511822145791759</v>
      </c>
      <c r="K687" s="29">
        <v>0.98289565623980701</v>
      </c>
    </row>
    <row r="688" spans="1:11" x14ac:dyDescent="0.35">
      <c r="A688" s="9" t="str">
        <f>HYPERLINK("http://www.ensembl.org/id/WBGene00014672", "WBGene00014672")</f>
        <v>WBGene00014672</v>
      </c>
      <c r="B688" s="9"/>
      <c r="C688" s="9"/>
      <c r="D688" t="str">
        <f>"C08F11.6"</f>
        <v>C08F11.6</v>
      </c>
      <c r="F688" t="s">
        <v>80</v>
      </c>
      <c r="H688" s="12">
        <v>5.81300984381107</v>
      </c>
      <c r="I688" s="11">
        <v>1.51088908072109</v>
      </c>
      <c r="J688" s="10">
        <v>0.130816713339372</v>
      </c>
      <c r="K688" s="29">
        <v>0.81451117715428001</v>
      </c>
    </row>
    <row r="689" spans="1:11" x14ac:dyDescent="0.35">
      <c r="A689" s="9" t="str">
        <f>HYPERLINK("http://www.ensembl.org/id/WBGene00019951", "WBGene00019951")</f>
        <v>WBGene00019951</v>
      </c>
      <c r="B689" s="9" t="str">
        <f>HYPERLINK("http://www.ncbi.nlm.nih.gov/gene/177208", "177208")</f>
        <v>177208</v>
      </c>
      <c r="C689" s="9"/>
      <c r="D689" t="str">
        <f>"R08C7.8"</f>
        <v>R08C7.8</v>
      </c>
      <c r="E689" t="s">
        <v>2496</v>
      </c>
      <c r="F689" t="s">
        <v>11</v>
      </c>
      <c r="G689" t="s">
        <v>2497</v>
      </c>
      <c r="H689" s="12">
        <v>5.7989814072259502</v>
      </c>
      <c r="I689" s="11">
        <v>1.1719505529704299</v>
      </c>
      <c r="J689" s="10">
        <v>0.24121690900274501</v>
      </c>
      <c r="K689" s="29">
        <v>0.98289565623980701</v>
      </c>
    </row>
    <row r="690" spans="1:11" x14ac:dyDescent="0.35">
      <c r="A690" s="9" t="str">
        <f>HYPERLINK("http://www.ensembl.org/id/WBGene00007177", "WBGene00007177")</f>
        <v>WBGene00007177</v>
      </c>
      <c r="B690" s="9" t="str">
        <f>HYPERLINK("http://www.ncbi.nlm.nih.gov/gene/181961", "181961")</f>
        <v>181961</v>
      </c>
      <c r="C690" s="9"/>
      <c r="D690" t="str">
        <f>"oac-1"</f>
        <v>oac-1</v>
      </c>
      <c r="E690" t="s">
        <v>883</v>
      </c>
      <c r="F690" t="s">
        <v>11</v>
      </c>
      <c r="G690" t="s">
        <v>1992</v>
      </c>
      <c r="H690" s="12">
        <v>5.7490122204546701</v>
      </c>
      <c r="I690" s="11">
        <v>1.1727443468393599</v>
      </c>
      <c r="J690" s="10">
        <v>0.24089834187907699</v>
      </c>
      <c r="K690" s="29">
        <v>0.98289565623980701</v>
      </c>
    </row>
    <row r="691" spans="1:11" x14ac:dyDescent="0.35">
      <c r="A691" s="9" t="str">
        <f>HYPERLINK("http://www.ensembl.org/id/WBGene00001066", "WBGene00001066")</f>
        <v>WBGene00001066</v>
      </c>
      <c r="B691" s="9" t="str">
        <f>HYPERLINK("http://www.ncbi.nlm.nih.gov/gene/178414", "178414")</f>
        <v>178414</v>
      </c>
      <c r="C691" s="9"/>
      <c r="D691" t="str">
        <f>"dpy-4"</f>
        <v>dpy-4</v>
      </c>
      <c r="E691" t="s">
        <v>578</v>
      </c>
      <c r="F691" t="s">
        <v>11</v>
      </c>
      <c r="G691" t="s">
        <v>582</v>
      </c>
      <c r="H691" s="12">
        <v>5.7451517572595696</v>
      </c>
      <c r="I691" s="11">
        <v>3.1499184840334502</v>
      </c>
      <c r="J691" s="10">
        <v>1.6331602375000301E-3</v>
      </c>
      <c r="K691" s="29">
        <v>5.67455645829711E-2</v>
      </c>
    </row>
    <row r="692" spans="1:11" x14ac:dyDescent="0.35">
      <c r="A692" s="9" t="str">
        <f>HYPERLINK("http://www.ensembl.org/id/WBGene00044198", "WBGene00044198")</f>
        <v>WBGene00044198</v>
      </c>
      <c r="B692" s="9" t="str">
        <f>HYPERLINK("http://www.ncbi.nlm.nih.gov/gene/3565248", "3565248")</f>
        <v>3565248</v>
      </c>
      <c r="C692" s="9"/>
      <c r="D692" t="str">
        <f>"F56H9.6"</f>
        <v>F56H9.6</v>
      </c>
      <c r="F692" t="s">
        <v>11</v>
      </c>
      <c r="H692" s="12">
        <v>5.7311849923518103</v>
      </c>
      <c r="I692" s="11">
        <v>2.5861294450162702</v>
      </c>
      <c r="J692" s="10">
        <v>9.7060471685140905E-3</v>
      </c>
      <c r="K692" s="29">
        <v>0.191681987927937</v>
      </c>
    </row>
    <row r="693" spans="1:11" x14ac:dyDescent="0.35">
      <c r="A693" s="9" t="str">
        <f>HYPERLINK("http://www.ensembl.org/id/WBGene00202448", "WBGene00202448")</f>
        <v>WBGene00202448</v>
      </c>
      <c r="B693" s="9"/>
      <c r="C693" s="9"/>
      <c r="D693" t="str">
        <f>"C02D4.16"</f>
        <v>C02D4.16</v>
      </c>
      <c r="F693" t="s">
        <v>481</v>
      </c>
      <c r="H693" s="12">
        <v>5.7240911494525104</v>
      </c>
      <c r="I693" s="11">
        <v>0.63713704464777798</v>
      </c>
      <c r="J693" s="10">
        <v>0.52403558058044697</v>
      </c>
      <c r="K693" s="29">
        <v>0.98289565623980701</v>
      </c>
    </row>
    <row r="694" spans="1:11" x14ac:dyDescent="0.35">
      <c r="A694" s="9" t="str">
        <f>HYPERLINK("http://www.ensembl.org/id/WBGene00206379", "WBGene00206379")</f>
        <v>WBGene00206379</v>
      </c>
      <c r="B694" s="9" t="str">
        <f>HYPERLINK("http://www.ncbi.nlm.nih.gov/gene/13221340", "13221340")</f>
        <v>13221340</v>
      </c>
      <c r="C694" s="9"/>
      <c r="D694" t="str">
        <f>"C55B6.7"</f>
        <v>C55B6.7</v>
      </c>
      <c r="F694" t="s">
        <v>11</v>
      </c>
      <c r="H694" s="12">
        <v>5.7240911494525104</v>
      </c>
      <c r="I694" s="11">
        <v>0.63713704464777798</v>
      </c>
      <c r="J694" s="10">
        <v>0.52403558058044697</v>
      </c>
      <c r="K694" s="29">
        <v>0.98289565623980701</v>
      </c>
    </row>
    <row r="695" spans="1:11" x14ac:dyDescent="0.35">
      <c r="A695" s="9" t="str">
        <f>HYPERLINK("http://www.ensembl.org/id/WBGene00017552", "WBGene00017552")</f>
        <v>WBGene00017552</v>
      </c>
      <c r="B695" s="9" t="str">
        <f>HYPERLINK("http://www.ncbi.nlm.nih.gov/gene/184630", "184630")</f>
        <v>184630</v>
      </c>
      <c r="C695" s="9"/>
      <c r="D695" t="str">
        <f>"nep-7"</f>
        <v>nep-7</v>
      </c>
      <c r="E695" t="s">
        <v>683</v>
      </c>
      <c r="F695" t="s">
        <v>11</v>
      </c>
      <c r="G695" t="s">
        <v>1479</v>
      </c>
      <c r="H695" s="12">
        <v>5.7240911494525104</v>
      </c>
      <c r="I695" s="11">
        <v>0.63713704464777798</v>
      </c>
      <c r="J695" s="10">
        <v>0.52403558058044697</v>
      </c>
      <c r="K695" s="29">
        <v>0.98289565623980701</v>
      </c>
    </row>
    <row r="696" spans="1:11" x14ac:dyDescent="0.35">
      <c r="A696" s="9" t="str">
        <f>HYPERLINK("http://www.ensembl.org/id/WBGene00014825", "WBGene00014825")</f>
        <v>WBGene00014825</v>
      </c>
      <c r="B696" s="9"/>
      <c r="C696" s="9"/>
      <c r="D696" t="str">
        <f>"R13.5"</f>
        <v>R13.5</v>
      </c>
      <c r="F696" t="s">
        <v>80</v>
      </c>
      <c r="H696" s="12">
        <v>5.7240911494525104</v>
      </c>
      <c r="I696" s="11">
        <v>0.63713704464777798</v>
      </c>
      <c r="J696" s="10">
        <v>0.52403558058044697</v>
      </c>
      <c r="K696" s="29">
        <v>0.98289565623980701</v>
      </c>
    </row>
    <row r="697" spans="1:11" x14ac:dyDescent="0.35">
      <c r="A697" s="9" t="str">
        <f>HYPERLINK("http://www.ensembl.org/id/WBGene00006086", "WBGene00006086")</f>
        <v>WBGene00006086</v>
      </c>
      <c r="B697" s="9" t="str">
        <f>HYPERLINK("http://www.ncbi.nlm.nih.gov/gene/188786", "188786")</f>
        <v>188786</v>
      </c>
      <c r="C697" s="9"/>
      <c r="D697" t="str">
        <f>"str-19"</f>
        <v>str-19</v>
      </c>
      <c r="E697" t="s">
        <v>590</v>
      </c>
      <c r="F697" t="s">
        <v>11</v>
      </c>
      <c r="G697" t="s">
        <v>25</v>
      </c>
      <c r="H697" s="12">
        <v>5.7240911494525104</v>
      </c>
      <c r="I697" s="11">
        <v>0.63713704464777798</v>
      </c>
      <c r="J697" s="10">
        <v>0.52403558058044697</v>
      </c>
      <c r="K697" s="29">
        <v>0.98289565623980701</v>
      </c>
    </row>
    <row r="698" spans="1:11" x14ac:dyDescent="0.35">
      <c r="A698" s="9" t="str">
        <f>HYPERLINK("http://www.ensembl.org/id/WBGene00195664", "WBGene00195664")</f>
        <v>WBGene00195664</v>
      </c>
      <c r="B698" s="9"/>
      <c r="C698" s="9"/>
      <c r="D698" t="str">
        <f>"C09B8.11"</f>
        <v>C09B8.11</v>
      </c>
      <c r="F698" t="s">
        <v>481</v>
      </c>
      <c r="H698" s="12">
        <v>5.6776293866140497</v>
      </c>
      <c r="I698" s="11">
        <v>0.73672727913151903</v>
      </c>
      <c r="J698" s="10">
        <v>0.46128821424005101</v>
      </c>
      <c r="K698" s="29">
        <v>0.98289565623980701</v>
      </c>
    </row>
    <row r="699" spans="1:11" x14ac:dyDescent="0.35">
      <c r="A699" s="9" t="str">
        <f>HYPERLINK("http://www.ensembl.org/id/WBGene00016279", "WBGene00016279")</f>
        <v>WBGene00016279</v>
      </c>
      <c r="B699" s="9" t="str">
        <f>HYPERLINK("http://www.ncbi.nlm.nih.gov/gene/183076", "183076")</f>
        <v>183076</v>
      </c>
      <c r="C699" s="9"/>
      <c r="D699" t="str">
        <f>"C31B8.1"</f>
        <v>C31B8.1</v>
      </c>
      <c r="F699" t="s">
        <v>11</v>
      </c>
      <c r="G699" t="s">
        <v>25</v>
      </c>
      <c r="H699" s="12">
        <v>5.6776293866140497</v>
      </c>
      <c r="I699" s="11">
        <v>0.73672727913151903</v>
      </c>
      <c r="J699" s="10">
        <v>0.46128821424005101</v>
      </c>
      <c r="K699" s="29">
        <v>0.98289565623980701</v>
      </c>
    </row>
    <row r="700" spans="1:11" x14ac:dyDescent="0.35">
      <c r="A700" s="9" t="str">
        <f>HYPERLINK("http://www.ensembl.org/id/WBGene00017379", "WBGene00017379")</f>
        <v>WBGene00017379</v>
      </c>
      <c r="B700" s="9" t="str">
        <f>HYPERLINK("http://www.ncbi.nlm.nih.gov/gene/259353", "259353")</f>
        <v>259353</v>
      </c>
      <c r="C700" s="9"/>
      <c r="D700" t="str">
        <f>"F11C7.7"</f>
        <v>F11C7.7</v>
      </c>
      <c r="F700" t="s">
        <v>11</v>
      </c>
      <c r="H700" s="12">
        <v>5.6624554443630704</v>
      </c>
      <c r="I700" s="11">
        <v>2.2140769337832098</v>
      </c>
      <c r="J700" s="10">
        <v>2.68234870699945E-2</v>
      </c>
      <c r="K700" s="29">
        <v>0.36350937961248903</v>
      </c>
    </row>
    <row r="701" spans="1:11" x14ac:dyDescent="0.35">
      <c r="A701" s="9" t="str">
        <f>HYPERLINK("http://www.ensembl.org/id/WBGene00001550", "WBGene00001550")</f>
        <v>WBGene00001550</v>
      </c>
      <c r="B701" s="9" t="str">
        <f>HYPERLINK("http://www.ncbi.nlm.nih.gov/gene/191654", "191654")</f>
        <v>191654</v>
      </c>
      <c r="C701" s="9"/>
      <c r="D701" t="str">
        <f>"gcy-27"</f>
        <v>gcy-27</v>
      </c>
      <c r="E701" t="s">
        <v>3382</v>
      </c>
      <c r="F701" t="s">
        <v>11</v>
      </c>
      <c r="G701" t="s">
        <v>3383</v>
      </c>
      <c r="H701" s="12">
        <v>5.6622409975264496</v>
      </c>
      <c r="I701" s="11">
        <v>1.4008654824776801</v>
      </c>
      <c r="J701" s="10">
        <v>0.16125430245738001</v>
      </c>
      <c r="K701" s="29">
        <v>0.87586786849558496</v>
      </c>
    </row>
    <row r="702" spans="1:11" x14ac:dyDescent="0.35">
      <c r="A702" s="9" t="str">
        <f>HYPERLINK("http://www.ensembl.org/id/WBGene00018411", "WBGene00018411")</f>
        <v>WBGene00018411</v>
      </c>
      <c r="B702" s="9" t="str">
        <f>HYPERLINK("http://www.ncbi.nlm.nih.gov/gene/259518", "259518")</f>
        <v>259518</v>
      </c>
      <c r="C702" s="9"/>
      <c r="D702" t="str">
        <f>"F44B9.10"</f>
        <v>F44B9.10</v>
      </c>
      <c r="F702" t="s">
        <v>11</v>
      </c>
      <c r="G702" t="s">
        <v>3239</v>
      </c>
      <c r="H702" s="12">
        <v>5.6438601891329796</v>
      </c>
      <c r="I702" s="11">
        <v>1.43884822301157</v>
      </c>
      <c r="J702" s="10">
        <v>0.15019353004098501</v>
      </c>
      <c r="K702" s="29">
        <v>0.85432397195294996</v>
      </c>
    </row>
    <row r="703" spans="1:11" x14ac:dyDescent="0.35">
      <c r="A703" s="9" t="str">
        <f>HYPERLINK("http://www.ensembl.org/id/WBGene00201294", "WBGene00201294")</f>
        <v>WBGene00201294</v>
      </c>
      <c r="B703" s="9"/>
      <c r="C703" s="9"/>
      <c r="D703" t="str">
        <f>"F55C12.15"</f>
        <v>F55C12.15</v>
      </c>
      <c r="F703" t="s">
        <v>481</v>
      </c>
      <c r="H703" s="12">
        <v>5.6412768060459904</v>
      </c>
      <c r="I703" s="11">
        <v>0.94551799223605903</v>
      </c>
      <c r="J703" s="10">
        <v>0.3443944896401</v>
      </c>
      <c r="K703" s="29">
        <v>0.98289565623980701</v>
      </c>
    </row>
    <row r="704" spans="1:11" x14ac:dyDescent="0.35">
      <c r="A704" s="9" t="str">
        <f>HYPERLINK("http://www.ensembl.org/id/WBGene00000714", "WBGene00000714")</f>
        <v>WBGene00000714</v>
      </c>
      <c r="B704" s="9" t="str">
        <f>HYPERLINK("http://www.ncbi.nlm.nih.gov/gene/188515", "188515")</f>
        <v>188515</v>
      </c>
      <c r="C704" s="9"/>
      <c r="D704" t="str">
        <f>"col-141"</f>
        <v>col-141</v>
      </c>
      <c r="E704" t="s">
        <v>40</v>
      </c>
      <c r="F704" t="s">
        <v>11</v>
      </c>
      <c r="G704" t="s">
        <v>41</v>
      </c>
      <c r="H704" s="12">
        <v>5.6369831476837096</v>
      </c>
      <c r="I704" s="11">
        <v>6.1838161771095503</v>
      </c>
      <c r="J704" s="10">
        <v>6.2570224626837703E-10</v>
      </c>
      <c r="K704" s="29">
        <v>3.7070451544300302E-7</v>
      </c>
    </row>
    <row r="705" spans="1:11" x14ac:dyDescent="0.35">
      <c r="A705" s="9" t="str">
        <f>HYPERLINK("http://www.ensembl.org/id/WBGene00165558", "WBGene00165558")</f>
        <v>WBGene00165558</v>
      </c>
      <c r="B705" s="9"/>
      <c r="C705" s="9"/>
      <c r="D705" t="str">
        <f>"21ur-12468"</f>
        <v>21ur-12468</v>
      </c>
      <c r="F705" t="s">
        <v>3161</v>
      </c>
      <c r="H705" s="12">
        <v>5.6249299872216199</v>
      </c>
      <c r="I705" s="11">
        <v>0.64392120861024604</v>
      </c>
      <c r="J705" s="10">
        <v>0.51962652812965604</v>
      </c>
      <c r="K705" s="29">
        <v>0.98289565623980701</v>
      </c>
    </row>
    <row r="706" spans="1:11" x14ac:dyDescent="0.35">
      <c r="A706" s="9" t="str">
        <f>HYPERLINK("http://www.ensembl.org/id/WBGene00268214", "WBGene00268214")</f>
        <v>WBGene00268214</v>
      </c>
      <c r="B706" s="9"/>
      <c r="C706" s="9"/>
      <c r="D706" t="str">
        <f>"C49F5.12"</f>
        <v>C49F5.12</v>
      </c>
      <c r="F706" t="s">
        <v>80</v>
      </c>
      <c r="H706" s="12">
        <v>5.6249299872216199</v>
      </c>
      <c r="I706" s="11">
        <v>0.64392120861024604</v>
      </c>
      <c r="J706" s="10">
        <v>0.51962652812965604</v>
      </c>
      <c r="K706" s="29">
        <v>0.98289565623980701</v>
      </c>
    </row>
    <row r="707" spans="1:11" x14ac:dyDescent="0.35">
      <c r="A707" s="9" t="str">
        <f>HYPERLINK("http://www.ensembl.org/id/WBGene00201121", "WBGene00201121")</f>
        <v>WBGene00201121</v>
      </c>
      <c r="B707" s="9"/>
      <c r="C707" s="9"/>
      <c r="D707" t="str">
        <f>"T01H3.9"</f>
        <v>T01H3.9</v>
      </c>
      <c r="F707" t="s">
        <v>481</v>
      </c>
      <c r="H707" s="12">
        <v>5.6249299872216199</v>
      </c>
      <c r="I707" s="11">
        <v>0.64392120861024604</v>
      </c>
      <c r="J707" s="10">
        <v>0.51962652812965604</v>
      </c>
      <c r="K707" s="29">
        <v>0.98289565623980701</v>
      </c>
    </row>
    <row r="708" spans="1:11" x14ac:dyDescent="0.35">
      <c r="A708" s="9" t="str">
        <f>HYPERLINK("http://www.ensembl.org/id/WBGene00012302", "WBGene00012302")</f>
        <v>WBGene00012302</v>
      </c>
      <c r="B708" s="9" t="str">
        <f>HYPERLINK("http://www.ncbi.nlm.nih.gov/gene/189244", "189244")</f>
        <v>189244</v>
      </c>
      <c r="C708" s="9"/>
      <c r="D708" t="str">
        <f>"dot-1.3"</f>
        <v>dot-1.3</v>
      </c>
      <c r="E708" t="s">
        <v>2966</v>
      </c>
      <c r="F708" t="s">
        <v>11</v>
      </c>
      <c r="G708" t="s">
        <v>2967</v>
      </c>
      <c r="H708" s="12">
        <v>5.6219459676202197</v>
      </c>
      <c r="I708" s="11">
        <v>0.96539744761342505</v>
      </c>
      <c r="J708" s="10">
        <v>0.33434577940897697</v>
      </c>
      <c r="K708" s="29">
        <v>0.98289565623980701</v>
      </c>
    </row>
    <row r="709" spans="1:11" x14ac:dyDescent="0.35">
      <c r="A709" s="9" t="str">
        <f>HYPERLINK("http://www.ensembl.org/id/WBGene00007437", "WBGene00007437")</f>
        <v>WBGene00007437</v>
      </c>
      <c r="B709" s="9" t="str">
        <f>HYPERLINK("http://www.ncbi.nlm.nih.gov/gene/182406", "182406")</f>
        <v>182406</v>
      </c>
      <c r="C709" s="9"/>
      <c r="D709" t="str">
        <f>"C08E8.1"</f>
        <v>C08E8.1</v>
      </c>
      <c r="F709" t="s">
        <v>11</v>
      </c>
      <c r="G709" t="s">
        <v>208</v>
      </c>
      <c r="H709" s="12">
        <v>5.6207395892252503</v>
      </c>
      <c r="I709" s="11">
        <v>1.59246223210244</v>
      </c>
      <c r="J709" s="10">
        <v>0.111280882764393</v>
      </c>
      <c r="K709" s="29">
        <v>0.76438422295125796</v>
      </c>
    </row>
    <row r="710" spans="1:11" x14ac:dyDescent="0.35">
      <c r="A710" s="9" t="str">
        <f>HYPERLINK("http://www.ensembl.org/id/WBGene00044009", "WBGene00044009")</f>
        <v>WBGene00044009</v>
      </c>
      <c r="B710" s="9" t="str">
        <f>HYPERLINK("http://www.ncbi.nlm.nih.gov/gene/3565316", "3565316")</f>
        <v>3565316</v>
      </c>
      <c r="C710" s="9"/>
      <c r="D710" t="str">
        <f>"ZK822.6"</f>
        <v>ZK822.6</v>
      </c>
      <c r="F710" t="s">
        <v>11</v>
      </c>
      <c r="H710" s="12">
        <v>5.6202635066384401</v>
      </c>
      <c r="I710" s="11">
        <v>2.8031099523091099</v>
      </c>
      <c r="J710" s="10">
        <v>5.0612411237307697E-3</v>
      </c>
      <c r="K710" s="29">
        <v>0.122455536549658</v>
      </c>
    </row>
    <row r="711" spans="1:11" x14ac:dyDescent="0.35">
      <c r="A711" s="9" t="str">
        <f>HYPERLINK("http://www.ensembl.org/id/WBGene00015199", "WBGene00015199")</f>
        <v>WBGene00015199</v>
      </c>
      <c r="B711" s="9" t="str">
        <f>HYPERLINK("http://www.ncbi.nlm.nih.gov/gene/181994", "181994")</f>
        <v>181994</v>
      </c>
      <c r="C711" s="9"/>
      <c r="D711" t="str">
        <f>"B0454.8"</f>
        <v>B0454.8</v>
      </c>
      <c r="F711" t="s">
        <v>11</v>
      </c>
      <c r="H711" s="12">
        <v>5.6177655330460103</v>
      </c>
      <c r="I711" s="11">
        <v>0.68615581608274001</v>
      </c>
      <c r="J711" s="10">
        <v>0.49261485660610599</v>
      </c>
      <c r="K711" s="29">
        <v>0.98289565623980701</v>
      </c>
    </row>
    <row r="712" spans="1:11" x14ac:dyDescent="0.35">
      <c r="A712" s="9" t="str">
        <f>HYPERLINK("http://www.ensembl.org/id/WBGene00010027", "WBGene00010027")</f>
        <v>WBGene00010027</v>
      </c>
      <c r="B712" s="9" t="str">
        <f>HYPERLINK("http://www.ncbi.nlm.nih.gov/gene/186212", "186212")</f>
        <v>186212</v>
      </c>
      <c r="C712" s="9"/>
      <c r="D712" t="str">
        <f>"F54B11.4"</f>
        <v>F54B11.4</v>
      </c>
      <c r="F712" t="s">
        <v>11</v>
      </c>
      <c r="H712" s="12">
        <v>5.6177655330460103</v>
      </c>
      <c r="I712" s="11">
        <v>0.68615581608274001</v>
      </c>
      <c r="J712" s="10">
        <v>0.49261485660610599</v>
      </c>
      <c r="K712" s="29">
        <v>0.98289565623980701</v>
      </c>
    </row>
    <row r="713" spans="1:11" x14ac:dyDescent="0.35">
      <c r="A713" s="9" t="str">
        <f>HYPERLINK("http://www.ensembl.org/id/WBGene00005421", "WBGene00005421")</f>
        <v>WBGene00005421</v>
      </c>
      <c r="B713" s="9" t="str">
        <f>HYPERLINK("http://www.ncbi.nlm.nih.gov/gene/183922", "183922")</f>
        <v>183922</v>
      </c>
      <c r="C713" s="9"/>
      <c r="D713" t="str">
        <f>"srh-211"</f>
        <v>srh-211</v>
      </c>
      <c r="E713" t="s">
        <v>153</v>
      </c>
      <c r="F713" t="s">
        <v>11</v>
      </c>
      <c r="G713" t="s">
        <v>25</v>
      </c>
      <c r="H713" s="12">
        <v>5.6177655330460103</v>
      </c>
      <c r="I713" s="11">
        <v>0.68615581608274001</v>
      </c>
      <c r="J713" s="10">
        <v>0.49261485660610599</v>
      </c>
      <c r="K713" s="29">
        <v>0.98289565623980701</v>
      </c>
    </row>
    <row r="714" spans="1:11" x14ac:dyDescent="0.35">
      <c r="A714" s="9" t="str">
        <f>HYPERLINK("http://www.ensembl.org/id/WBGene00005835", "WBGene00005835")</f>
        <v>WBGene00005835</v>
      </c>
      <c r="B714" s="9" t="str">
        <f>HYPERLINK("http://www.ncbi.nlm.nih.gov/gene/188199", "188199")</f>
        <v>188199</v>
      </c>
      <c r="C714" s="9"/>
      <c r="D714" t="str">
        <f>"srw-88"</f>
        <v>srw-88</v>
      </c>
      <c r="E714" t="s">
        <v>1014</v>
      </c>
      <c r="F714" t="s">
        <v>11</v>
      </c>
      <c r="G714" t="s">
        <v>1015</v>
      </c>
      <c r="H714" s="12">
        <v>5.6177655330460103</v>
      </c>
      <c r="I714" s="11">
        <v>0.68615581608274001</v>
      </c>
      <c r="J714" s="10">
        <v>0.49261485660610599</v>
      </c>
      <c r="K714" s="29">
        <v>0.98289565623980701</v>
      </c>
    </row>
    <row r="715" spans="1:11" x14ac:dyDescent="0.35">
      <c r="A715" s="9" t="str">
        <f>HYPERLINK("http://www.ensembl.org/id/WBGene00017959", "WBGene00017959")</f>
        <v>WBGene00017959</v>
      </c>
      <c r="B715" s="9" t="str">
        <f>HYPERLINK("http://www.ncbi.nlm.nih.gov/gene/185168", "185168")</f>
        <v>185168</v>
      </c>
      <c r="C715" s="9"/>
      <c r="D715" t="str">
        <f>"ugt-42"</f>
        <v>ugt-42</v>
      </c>
      <c r="E715" t="s">
        <v>103</v>
      </c>
      <c r="F715" t="s">
        <v>11</v>
      </c>
      <c r="G715" t="s">
        <v>104</v>
      </c>
      <c r="H715" s="12">
        <v>5.6015104001488103</v>
      </c>
      <c r="I715" s="11">
        <v>1.57932975345632</v>
      </c>
      <c r="J715" s="10">
        <v>0.114260440659604</v>
      </c>
      <c r="K715" s="29">
        <v>0.77317684280219101</v>
      </c>
    </row>
    <row r="716" spans="1:11" x14ac:dyDescent="0.35">
      <c r="A716" s="9" t="str">
        <f>HYPERLINK("http://www.ensembl.org/id/WBGene00219243", "WBGene00219243")</f>
        <v>WBGene00219243</v>
      </c>
      <c r="B716" s="9" t="str">
        <f>HYPERLINK("http://www.ncbi.nlm.nih.gov/gene/13199210", "13199210")</f>
        <v>13199210</v>
      </c>
      <c r="C716" s="9"/>
      <c r="D716" t="str">
        <f>"T23G4.127"</f>
        <v>T23G4.127</v>
      </c>
      <c r="F716" t="s">
        <v>11</v>
      </c>
      <c r="H716" s="12">
        <v>5.5954811813640504</v>
      </c>
      <c r="I716" s="11">
        <v>0.89734836553402098</v>
      </c>
      <c r="J716" s="10">
        <v>0.36953305581665502</v>
      </c>
      <c r="K716" s="29">
        <v>0.98289565623980701</v>
      </c>
    </row>
    <row r="717" spans="1:11" x14ac:dyDescent="0.35">
      <c r="A717" s="9" t="str">
        <f>HYPERLINK("http://www.ensembl.org/id/WBGene00013173", "WBGene00013173")</f>
        <v>WBGene00013173</v>
      </c>
      <c r="B717" s="9" t="str">
        <f>HYPERLINK("http://www.ncbi.nlm.nih.gov/gene/175164", "175164")</f>
        <v>175164</v>
      </c>
      <c r="C717" s="9"/>
      <c r="D717" t="str">
        <f>"Y53F4B.27"</f>
        <v>Y53F4B.27</v>
      </c>
      <c r="F717" t="s">
        <v>11</v>
      </c>
      <c r="H717" s="12">
        <v>5.5491215677612296</v>
      </c>
      <c r="I717" s="11">
        <v>2.4789005803215698</v>
      </c>
      <c r="J717" s="10">
        <v>1.31788034400303E-2</v>
      </c>
      <c r="K717" s="29">
        <v>0.23278120876366801</v>
      </c>
    </row>
    <row r="718" spans="1:11" x14ac:dyDescent="0.35">
      <c r="A718" s="9" t="str">
        <f>HYPERLINK("http://www.ensembl.org/id/WBGene00007465", "WBGene00007465")</f>
        <v>WBGene00007465</v>
      </c>
      <c r="B718" s="9" t="str">
        <f>HYPERLINK("http://www.ncbi.nlm.nih.gov/gene/182430", "182430")</f>
        <v>182430</v>
      </c>
      <c r="C718" s="9"/>
      <c r="D718" t="str">
        <f>"chil-1"</f>
        <v>chil-1</v>
      </c>
      <c r="E718" t="s">
        <v>1756</v>
      </c>
      <c r="F718" t="s">
        <v>11</v>
      </c>
      <c r="G718" t="s">
        <v>1509</v>
      </c>
      <c r="H718" s="12">
        <v>5.5441271052942396</v>
      </c>
      <c r="I718" s="11">
        <v>0.758514566132516</v>
      </c>
      <c r="J718" s="10">
        <v>0.44814299631846199</v>
      </c>
      <c r="K718" s="29">
        <v>0.98289565623980701</v>
      </c>
    </row>
    <row r="719" spans="1:11" x14ac:dyDescent="0.35">
      <c r="A719" s="9" t="str">
        <f>HYPERLINK("http://www.ensembl.org/id/WBGene00005849", "WBGene00005849")</f>
        <v>WBGene00005849</v>
      </c>
      <c r="B719" s="9" t="str">
        <f>HYPERLINK("http://www.ncbi.nlm.nih.gov/gene/3565707", "3565707")</f>
        <v>3565707</v>
      </c>
      <c r="C719" s="9"/>
      <c r="D719" t="str">
        <f>"srw-102"</f>
        <v>srw-102</v>
      </c>
      <c r="E719" t="s">
        <v>1014</v>
      </c>
      <c r="F719" t="s">
        <v>11</v>
      </c>
      <c r="G719" t="s">
        <v>1780</v>
      </c>
      <c r="H719" s="12">
        <v>5.5081325217650496</v>
      </c>
      <c r="I719" s="11">
        <v>0.89642208993124595</v>
      </c>
      <c r="J719" s="10">
        <v>0.370027373751043</v>
      </c>
      <c r="K719" s="29">
        <v>0.98289565623980701</v>
      </c>
    </row>
    <row r="720" spans="1:11" x14ac:dyDescent="0.35">
      <c r="A720" s="9" t="str">
        <f>HYPERLINK("http://www.ensembl.org/id/WBGene00013653", "WBGene00013653")</f>
        <v>WBGene00013653</v>
      </c>
      <c r="B720" s="9" t="str">
        <f>HYPERLINK("http://www.ncbi.nlm.nih.gov/gene/190894", "190894")</f>
        <v>190894</v>
      </c>
      <c r="C720" s="9"/>
      <c r="D720" t="str">
        <f>"Y105C5B.14"</f>
        <v>Y105C5B.14</v>
      </c>
      <c r="F720" t="s">
        <v>11</v>
      </c>
      <c r="H720" s="12">
        <v>5.5071223146309798</v>
      </c>
      <c r="I720" s="11">
        <v>1.1698845190395399</v>
      </c>
      <c r="J720" s="10">
        <v>0.242047444647945</v>
      </c>
      <c r="K720" s="29">
        <v>0.98289565623980701</v>
      </c>
    </row>
    <row r="721" spans="1:11" x14ac:dyDescent="0.35">
      <c r="A721" s="9" t="str">
        <f>HYPERLINK("http://www.ensembl.org/id/WBGene00005303", "WBGene00005303")</f>
        <v>WBGene00005303</v>
      </c>
      <c r="B721" s="9" t="str">
        <f>HYPERLINK("http://www.ncbi.nlm.nih.gov/gene/259811", "259811")</f>
        <v>259811</v>
      </c>
      <c r="C721" s="9"/>
      <c r="D721" t="str">
        <f>"srh-82"</f>
        <v>srh-82</v>
      </c>
      <c r="E721" t="s">
        <v>153</v>
      </c>
      <c r="F721" t="s">
        <v>11</v>
      </c>
      <c r="G721" t="s">
        <v>25</v>
      </c>
      <c r="H721" s="12">
        <v>5.5066077065513603</v>
      </c>
      <c r="I721" s="11">
        <v>0.924004321485419</v>
      </c>
      <c r="J721" s="10">
        <v>0.35548406582609099</v>
      </c>
      <c r="K721" s="29">
        <v>0.98289565623980701</v>
      </c>
    </row>
    <row r="722" spans="1:11" x14ac:dyDescent="0.35">
      <c r="A722" s="9" t="str">
        <f>HYPERLINK("http://www.ensembl.org/id/WBGene00284867", "WBGene00284867")</f>
        <v>WBGene00284867</v>
      </c>
      <c r="B722" s="9" t="str">
        <f>HYPERLINK("http://www.ncbi.nlm.nih.gov/gene/36312793", "36312793")</f>
        <v>36312793</v>
      </c>
      <c r="C722" s="9"/>
      <c r="D722" t="str">
        <f>"T22B7.22"</f>
        <v>T22B7.22</v>
      </c>
      <c r="F722" t="s">
        <v>11</v>
      </c>
      <c r="H722" s="12">
        <v>5.5066077065513603</v>
      </c>
      <c r="I722" s="11">
        <v>0.924004321485419</v>
      </c>
      <c r="J722" s="10">
        <v>0.35548406582609099</v>
      </c>
      <c r="K722" s="29">
        <v>0.98289565623980701</v>
      </c>
    </row>
    <row r="723" spans="1:11" x14ac:dyDescent="0.35">
      <c r="A723" s="9" t="str">
        <f>HYPERLINK("http://www.ensembl.org/id/WBGene00007432", "WBGene00007432")</f>
        <v>WBGene00007432</v>
      </c>
      <c r="B723" s="9" t="str">
        <f>HYPERLINK("http://www.ncbi.nlm.nih.gov/gene/3565246", "3565246")</f>
        <v>3565246</v>
      </c>
      <c r="C723" s="9"/>
      <c r="D723" t="str">
        <f>"srxa-18"</f>
        <v>srxa-18</v>
      </c>
      <c r="E723" t="s">
        <v>3765</v>
      </c>
      <c r="F723" t="s">
        <v>11</v>
      </c>
      <c r="G723" t="s">
        <v>25</v>
      </c>
      <c r="H723" s="12">
        <v>5.5002110918840703</v>
      </c>
      <c r="I723" s="11">
        <v>0.78799595107423304</v>
      </c>
      <c r="J723" s="10">
        <v>0.43069907422522102</v>
      </c>
      <c r="K723" s="29">
        <v>0.98289565623980701</v>
      </c>
    </row>
    <row r="724" spans="1:11" x14ac:dyDescent="0.35">
      <c r="A724" s="9" t="str">
        <f>HYPERLINK("http://www.ensembl.org/id/WBGene00166120", "WBGene00166120")</f>
        <v>WBGene00166120</v>
      </c>
      <c r="B724" s="9"/>
      <c r="C724" s="9"/>
      <c r="D724" t="str">
        <f>"21ur-10967"</f>
        <v>21ur-10967</v>
      </c>
      <c r="F724" t="s">
        <v>3161</v>
      </c>
      <c r="H724" s="12">
        <v>5.4871973923358901</v>
      </c>
      <c r="I724" s="11">
        <v>0.499843548621418</v>
      </c>
      <c r="J724" s="10">
        <v>0.61718524397184105</v>
      </c>
      <c r="K724" s="29">
        <v>0.98289565623980701</v>
      </c>
    </row>
    <row r="725" spans="1:11" x14ac:dyDescent="0.35">
      <c r="A725" s="9" t="str">
        <f>HYPERLINK("http://www.ensembl.org/id/WBGene00166924", "WBGene00166924")</f>
        <v>WBGene00166924</v>
      </c>
      <c r="B725" s="9"/>
      <c r="C725" s="9"/>
      <c r="D725" t="str">
        <f>"21ur-12180"</f>
        <v>21ur-12180</v>
      </c>
      <c r="F725" t="s">
        <v>3161</v>
      </c>
      <c r="H725" s="12">
        <v>5.4871973923358901</v>
      </c>
      <c r="I725" s="11">
        <v>0.499843548621418</v>
      </c>
      <c r="J725" s="10">
        <v>0.61718524397184105</v>
      </c>
      <c r="K725" s="29">
        <v>0.98289565623980701</v>
      </c>
    </row>
    <row r="726" spans="1:11" x14ac:dyDescent="0.35">
      <c r="A726" s="9" t="str">
        <f>HYPERLINK("http://www.ensembl.org/id/WBGene00170634", "WBGene00170634")</f>
        <v>WBGene00170634</v>
      </c>
      <c r="B726" s="9"/>
      <c r="C726" s="9"/>
      <c r="D726" t="str">
        <f>"21ur-5926"</f>
        <v>21ur-5926</v>
      </c>
      <c r="F726" t="s">
        <v>3161</v>
      </c>
      <c r="H726" s="12">
        <v>5.4871973923358901</v>
      </c>
      <c r="I726" s="11">
        <v>0.499843548621418</v>
      </c>
      <c r="J726" s="10">
        <v>0.61718524397184105</v>
      </c>
      <c r="K726" s="29">
        <v>0.98289565623980701</v>
      </c>
    </row>
    <row r="727" spans="1:11" x14ac:dyDescent="0.35">
      <c r="A727" s="9" t="str">
        <f>HYPERLINK("http://www.ensembl.org/id/WBGene00169592", "WBGene00169592")</f>
        <v>WBGene00169592</v>
      </c>
      <c r="B727" s="9"/>
      <c r="C727" s="9"/>
      <c r="D727" t="str">
        <f>"21ur-9006"</f>
        <v>21ur-9006</v>
      </c>
      <c r="F727" t="s">
        <v>3161</v>
      </c>
      <c r="H727" s="12">
        <v>5.4871973923358901</v>
      </c>
      <c r="I727" s="11">
        <v>0.499843548621418</v>
      </c>
      <c r="J727" s="10">
        <v>0.61718524397184105</v>
      </c>
      <c r="K727" s="29">
        <v>0.98289565623980701</v>
      </c>
    </row>
    <row r="728" spans="1:11" x14ac:dyDescent="0.35">
      <c r="A728" s="9" t="str">
        <f>HYPERLINK("http://www.ensembl.org/id/WBGene00197838", "WBGene00197838")</f>
        <v>WBGene00197838</v>
      </c>
      <c r="B728" s="9"/>
      <c r="C728" s="9"/>
      <c r="D728" t="str">
        <f>"C02D4.6"</f>
        <v>C02D4.6</v>
      </c>
      <c r="F728" t="s">
        <v>481</v>
      </c>
      <c r="H728" s="12">
        <v>5.4871973923358901</v>
      </c>
      <c r="I728" s="11">
        <v>0.499843548621418</v>
      </c>
      <c r="J728" s="10">
        <v>0.61718524397184105</v>
      </c>
      <c r="K728" s="29">
        <v>0.98289565623980701</v>
      </c>
    </row>
    <row r="729" spans="1:11" x14ac:dyDescent="0.35">
      <c r="A729" s="9" t="str">
        <f>HYPERLINK("http://www.ensembl.org/id/WBGene00015886", "WBGene00015886")</f>
        <v>WBGene00015886</v>
      </c>
      <c r="B729" s="9" t="str">
        <f>HYPERLINK("http://www.ncbi.nlm.nih.gov/gene/182712", "182712")</f>
        <v>182712</v>
      </c>
      <c r="C729" s="9"/>
      <c r="D729" t="str">
        <f>"C17B7.12"</f>
        <v>C17B7.12</v>
      </c>
      <c r="F729" t="s">
        <v>11</v>
      </c>
      <c r="H729" s="12">
        <v>5.4871973923358901</v>
      </c>
      <c r="I729" s="11">
        <v>0.499843548621418</v>
      </c>
      <c r="J729" s="10">
        <v>0.61718524397184105</v>
      </c>
      <c r="K729" s="29">
        <v>0.98289565623980701</v>
      </c>
    </row>
    <row r="730" spans="1:11" x14ac:dyDescent="0.35">
      <c r="A730" s="9" t="str">
        <f>HYPERLINK("http://www.ensembl.org/id/WBGene00202084", "WBGene00202084")</f>
        <v>WBGene00202084</v>
      </c>
      <c r="B730" s="9"/>
      <c r="C730" s="9"/>
      <c r="D730" t="str">
        <f>"C51E3.11"</f>
        <v>C51E3.11</v>
      </c>
      <c r="F730" t="s">
        <v>481</v>
      </c>
      <c r="H730" s="12">
        <v>5.4871973923358901</v>
      </c>
      <c r="I730" s="11">
        <v>0.499843548621418</v>
      </c>
      <c r="J730" s="10">
        <v>0.61718524397184105</v>
      </c>
      <c r="K730" s="29">
        <v>0.98289565623980701</v>
      </c>
    </row>
    <row r="731" spans="1:11" x14ac:dyDescent="0.35">
      <c r="A731" s="9" t="str">
        <f>HYPERLINK("http://www.ensembl.org/id/WBGene00200325", "WBGene00200325")</f>
        <v>WBGene00200325</v>
      </c>
      <c r="B731" s="9"/>
      <c r="C731" s="9"/>
      <c r="D731" t="str">
        <f>"C54A12.8"</f>
        <v>C54A12.8</v>
      </c>
      <c r="F731" t="s">
        <v>481</v>
      </c>
      <c r="H731" s="12">
        <v>5.4871973923358901</v>
      </c>
      <c r="I731" s="11">
        <v>0.499843548621418</v>
      </c>
      <c r="J731" s="10">
        <v>0.61718524397184105</v>
      </c>
      <c r="K731" s="29">
        <v>0.98289565623980701</v>
      </c>
    </row>
    <row r="732" spans="1:11" x14ac:dyDescent="0.35">
      <c r="A732" s="9" t="str">
        <f>HYPERLINK("http://www.ensembl.org/id/WBGene00201282", "WBGene00201282")</f>
        <v>WBGene00201282</v>
      </c>
      <c r="B732" s="9"/>
      <c r="C732" s="9"/>
      <c r="D732" t="str">
        <f>"F38E11.24"</f>
        <v>F38E11.24</v>
      </c>
      <c r="F732" t="s">
        <v>481</v>
      </c>
      <c r="H732" s="12">
        <v>5.4871973923358901</v>
      </c>
      <c r="I732" s="11">
        <v>0.499843548621418</v>
      </c>
      <c r="J732" s="10">
        <v>0.61718524397184105</v>
      </c>
      <c r="K732" s="29">
        <v>0.98289565623980701</v>
      </c>
    </row>
    <row r="733" spans="1:11" x14ac:dyDescent="0.35">
      <c r="A733" s="9" t="str">
        <f>HYPERLINK("http://www.ensembl.org/id/WBGene00018323", "WBGene00018323")</f>
        <v>WBGene00018323</v>
      </c>
      <c r="B733" s="9" t="str">
        <f>HYPERLINK("http://www.ncbi.nlm.nih.gov/gene/24104569", "24104569")</f>
        <v>24104569</v>
      </c>
      <c r="C733" s="9"/>
      <c r="D733" t="str">
        <f>"F42A6.1"</f>
        <v>F42A6.1</v>
      </c>
      <c r="F733" t="s">
        <v>11</v>
      </c>
      <c r="G733" t="s">
        <v>25</v>
      </c>
      <c r="H733" s="12">
        <v>5.4871973923358901</v>
      </c>
      <c r="I733" s="11">
        <v>0.499843548621418</v>
      </c>
      <c r="J733" s="10">
        <v>0.61718524397184105</v>
      </c>
      <c r="K733" s="29">
        <v>0.98289565623980701</v>
      </c>
    </row>
    <row r="734" spans="1:11" x14ac:dyDescent="0.35">
      <c r="A734" s="9" t="str">
        <f>HYPERLINK("http://www.ensembl.org/id/WBGene00014416", "WBGene00014416")</f>
        <v>WBGene00014416</v>
      </c>
      <c r="B734" s="9"/>
      <c r="C734" s="9"/>
      <c r="D734" t="str">
        <f>"K02A4.t1"</f>
        <v>K02A4.t1</v>
      </c>
      <c r="F734" t="s">
        <v>4208</v>
      </c>
      <c r="H734" s="12">
        <v>5.4871973923358901</v>
      </c>
      <c r="I734" s="11">
        <v>0.499843548621418</v>
      </c>
      <c r="J734" s="10">
        <v>0.61718524397184105</v>
      </c>
      <c r="K734" s="29">
        <v>0.98289565623980701</v>
      </c>
    </row>
    <row r="735" spans="1:11" x14ac:dyDescent="0.35">
      <c r="A735" s="9" t="str">
        <f>HYPERLINK("http://www.ensembl.org/id/WBGene00017791", "WBGene00017791")</f>
        <v>WBGene00017791</v>
      </c>
      <c r="B735" s="9" t="str">
        <f>HYPERLINK("http://www.ncbi.nlm.nih.gov/gene/179134", "179134")</f>
        <v>179134</v>
      </c>
      <c r="C735" s="9"/>
      <c r="D735" t="str">
        <f>"try-8"</f>
        <v>try-8</v>
      </c>
      <c r="E735" t="s">
        <v>357</v>
      </c>
      <c r="F735" t="s">
        <v>11</v>
      </c>
      <c r="G735" t="s">
        <v>4253</v>
      </c>
      <c r="H735" s="12">
        <v>5.4871973923358901</v>
      </c>
      <c r="I735" s="11">
        <v>0.499843548621418</v>
      </c>
      <c r="J735" s="10">
        <v>0.61718524397184105</v>
      </c>
      <c r="K735" s="29">
        <v>0.98289565623980701</v>
      </c>
    </row>
    <row r="736" spans="1:11" x14ac:dyDescent="0.35">
      <c r="A736" s="9" t="str">
        <f>HYPERLINK("http://www.ensembl.org/id/WBGene00022877", "WBGene00022877")</f>
        <v>WBGene00022877</v>
      </c>
      <c r="B736" s="9" t="str">
        <f>HYPERLINK("http://www.ncbi.nlm.nih.gov/gene/191545", "191545")</f>
        <v>191545</v>
      </c>
      <c r="C736" s="9"/>
      <c r="D736" t="str">
        <f>"wago-5"</f>
        <v>wago-5</v>
      </c>
      <c r="E736" t="s">
        <v>309</v>
      </c>
      <c r="F736" t="s">
        <v>11</v>
      </c>
      <c r="G736" t="s">
        <v>445</v>
      </c>
      <c r="H736" s="12">
        <v>5.4871973923358901</v>
      </c>
      <c r="I736" s="11">
        <v>0.499843548621418</v>
      </c>
      <c r="J736" s="10">
        <v>0.61718524397184105</v>
      </c>
      <c r="K736" s="29">
        <v>0.98289565623980701</v>
      </c>
    </row>
    <row r="737" spans="1:11" x14ac:dyDescent="0.35">
      <c r="A737" s="9" t="str">
        <f>HYPERLINK("http://www.ensembl.org/id/WBGene00199548", "WBGene00199548")</f>
        <v>WBGene00199548</v>
      </c>
      <c r="B737" s="9"/>
      <c r="C737" s="9"/>
      <c r="D737" t="str">
        <f>"Y38E10A.30"</f>
        <v>Y38E10A.30</v>
      </c>
      <c r="F737" t="s">
        <v>481</v>
      </c>
      <c r="H737" s="12">
        <v>5.4871973923358901</v>
      </c>
      <c r="I737" s="11">
        <v>0.499843548621418</v>
      </c>
      <c r="J737" s="10">
        <v>0.61718524397184105</v>
      </c>
      <c r="K737" s="29">
        <v>0.98289565623980701</v>
      </c>
    </row>
    <row r="738" spans="1:11" x14ac:dyDescent="0.35">
      <c r="A738" s="9" t="str">
        <f>HYPERLINK("http://www.ensembl.org/id/WBGene00012956", "WBGene00012956")</f>
        <v>WBGene00012956</v>
      </c>
      <c r="B738" s="9"/>
      <c r="C738" s="9"/>
      <c r="D738" t="str">
        <f>"Y47H9C.14"</f>
        <v>Y47H9C.14</v>
      </c>
      <c r="F738" t="s">
        <v>80</v>
      </c>
      <c r="H738" s="12">
        <v>5.4871973923358901</v>
      </c>
      <c r="I738" s="11">
        <v>0.499843548621418</v>
      </c>
      <c r="J738" s="10">
        <v>0.61718524397184105</v>
      </c>
      <c r="K738" s="29">
        <v>0.98289565623980701</v>
      </c>
    </row>
    <row r="739" spans="1:11" x14ac:dyDescent="0.35">
      <c r="A739" s="9" t="str">
        <f>HYPERLINK("http://www.ensembl.org/id/WBGene00235288", "WBGene00235288")</f>
        <v>WBGene00235288</v>
      </c>
      <c r="B739" s="9" t="str">
        <f>HYPERLINK("http://www.ncbi.nlm.nih.gov/gene/24105194", "24105194")</f>
        <v>24105194</v>
      </c>
      <c r="C739" s="9"/>
      <c r="D739" t="str">
        <f>"Y69A2AR.46"</f>
        <v>Y69A2AR.46</v>
      </c>
      <c r="F739" t="s">
        <v>11</v>
      </c>
      <c r="H739" s="12">
        <v>5.4871973923358901</v>
      </c>
      <c r="I739" s="11">
        <v>0.499843548621418</v>
      </c>
      <c r="J739" s="10">
        <v>0.61718524397184105</v>
      </c>
      <c r="K739" s="29">
        <v>0.98289565623980701</v>
      </c>
    </row>
    <row r="740" spans="1:11" x14ac:dyDescent="0.35">
      <c r="A740" s="9" t="str">
        <f>HYPERLINK("http://www.ensembl.org/id/WBGene00201436", "WBGene00201436")</f>
        <v>WBGene00201436</v>
      </c>
      <c r="B740" s="9"/>
      <c r="C740" s="9"/>
      <c r="D740" t="str">
        <f>"ZC123.10"</f>
        <v>ZC123.10</v>
      </c>
      <c r="F740" t="s">
        <v>481</v>
      </c>
      <c r="H740" s="12">
        <v>5.4871973923358901</v>
      </c>
      <c r="I740" s="11">
        <v>0.499843548621418</v>
      </c>
      <c r="J740" s="10">
        <v>0.61718524397184105</v>
      </c>
      <c r="K740" s="29">
        <v>0.98289565623980701</v>
      </c>
    </row>
    <row r="741" spans="1:11" x14ac:dyDescent="0.35">
      <c r="A741" s="9" t="str">
        <f>HYPERLINK("http://www.ensembl.org/id/WBGene00009465", "WBGene00009465")</f>
        <v>WBGene00009465</v>
      </c>
      <c r="B741" s="9" t="str">
        <f>HYPERLINK("http://www.ncbi.nlm.nih.gov/gene/185348", "185348")</f>
        <v>185348</v>
      </c>
      <c r="C741" s="9"/>
      <c r="D741" t="str">
        <f>"F36D1.6"</f>
        <v>F36D1.6</v>
      </c>
      <c r="F741" t="s">
        <v>11</v>
      </c>
      <c r="H741" s="12">
        <v>5.4829777729673896</v>
      </c>
      <c r="I741" s="11">
        <v>0.82580960796589098</v>
      </c>
      <c r="J741" s="10">
        <v>0.40891210296785602</v>
      </c>
      <c r="K741" s="29">
        <v>0.98289565623980701</v>
      </c>
    </row>
    <row r="742" spans="1:11" x14ac:dyDescent="0.35">
      <c r="A742" s="9" t="str">
        <f>HYPERLINK("http://www.ensembl.org/id/WBGene00011712", "WBGene00011712")</f>
        <v>WBGene00011712</v>
      </c>
      <c r="B742" s="9" t="str">
        <f>HYPERLINK("http://www.ncbi.nlm.nih.gov/gene/188427", "188427")</f>
        <v>188427</v>
      </c>
      <c r="C742" s="9"/>
      <c r="D742" t="str">
        <f>"T11F9.10"</f>
        <v>T11F9.10</v>
      </c>
      <c r="F742" t="s">
        <v>11</v>
      </c>
      <c r="H742" s="12">
        <v>5.4829777729673896</v>
      </c>
      <c r="I742" s="11">
        <v>0.82580960796589098</v>
      </c>
      <c r="J742" s="10">
        <v>0.40891210296785602</v>
      </c>
      <c r="K742" s="29">
        <v>0.98289565623980701</v>
      </c>
    </row>
    <row r="743" spans="1:11" x14ac:dyDescent="0.35">
      <c r="A743" s="9" t="str">
        <f>HYPERLINK("http://www.ensembl.org/id/WBGene00005910", "WBGene00005910")</f>
        <v>WBGene00005910</v>
      </c>
      <c r="B743" s="9" t="str">
        <f>HYPERLINK("http://www.ncbi.nlm.nih.gov/gene/188098", "188098")</f>
        <v>188098</v>
      </c>
      <c r="C743" s="9"/>
      <c r="D743" t="str">
        <f>"srx-19"</f>
        <v>srx-19</v>
      </c>
      <c r="E743" t="s">
        <v>1477</v>
      </c>
      <c r="F743" t="s">
        <v>11</v>
      </c>
      <c r="G743" t="s">
        <v>25</v>
      </c>
      <c r="H743" s="12">
        <v>5.4793984540127996</v>
      </c>
      <c r="I743" s="11">
        <v>1.1231956634595901</v>
      </c>
      <c r="J743" s="10">
        <v>0.26135440394755999</v>
      </c>
      <c r="K743" s="29">
        <v>0.98289565623980701</v>
      </c>
    </row>
    <row r="744" spans="1:11" x14ac:dyDescent="0.35">
      <c r="A744" s="9" t="str">
        <f>HYPERLINK("http://www.ensembl.org/id/WBGene00050911", "WBGene00050911")</f>
        <v>WBGene00050911</v>
      </c>
      <c r="B744" s="9" t="str">
        <f>HYPERLINK("http://www.ncbi.nlm.nih.gov/gene/6418802", "6418802")</f>
        <v>6418802</v>
      </c>
      <c r="C744" s="9"/>
      <c r="D744" t="str">
        <f>"Y43F8B.18"</f>
        <v>Y43F8B.18</v>
      </c>
      <c r="F744" t="s">
        <v>11</v>
      </c>
      <c r="H744" s="12">
        <v>5.4732737801773901</v>
      </c>
      <c r="I744" s="11">
        <v>1.1466983926558101</v>
      </c>
      <c r="J744" s="10">
        <v>0.25150629501742999</v>
      </c>
      <c r="K744" s="29">
        <v>0.98289565623980701</v>
      </c>
    </row>
    <row r="745" spans="1:11" x14ac:dyDescent="0.35">
      <c r="A745" s="9" t="str">
        <f>HYPERLINK("http://www.ensembl.org/id/WBGene00001070", "WBGene00001070")</f>
        <v>WBGene00001070</v>
      </c>
      <c r="B745" s="9" t="str">
        <f>HYPERLINK("http://www.ncbi.nlm.nih.gov/gene/180785", "180785")</f>
        <v>180785</v>
      </c>
      <c r="C745" s="9"/>
      <c r="D745" t="str">
        <f>"dpy-8"</f>
        <v>dpy-8</v>
      </c>
      <c r="E745" t="s">
        <v>578</v>
      </c>
      <c r="F745" t="s">
        <v>11</v>
      </c>
      <c r="G745" t="s">
        <v>1591</v>
      </c>
      <c r="H745" s="12">
        <v>5.4723036098463202</v>
      </c>
      <c r="I745" s="11">
        <v>2.0937005212506001</v>
      </c>
      <c r="J745" s="10">
        <v>3.6286666479147398E-2</v>
      </c>
      <c r="K745" s="29">
        <v>0.43489703966773002</v>
      </c>
    </row>
    <row r="746" spans="1:11" x14ac:dyDescent="0.35">
      <c r="A746" s="9" t="str">
        <f>HYPERLINK("http://www.ensembl.org/id/WBGene00017136", "WBGene00017136")</f>
        <v>WBGene00017136</v>
      </c>
      <c r="B746" s="9" t="str">
        <f>HYPERLINK("http://www.ncbi.nlm.nih.gov/gene/184043", "184043")</f>
        <v>184043</v>
      </c>
      <c r="C746" s="9" t="str">
        <f>HYPERLINK("http://www.ncbi.nlm.nih.gov/gene/84871", "84871")</f>
        <v>84871</v>
      </c>
      <c r="D746" t="str">
        <f>"ccpp-6"</f>
        <v>ccpp-6</v>
      </c>
      <c r="E746" t="s">
        <v>2682</v>
      </c>
      <c r="F746" t="s">
        <v>11</v>
      </c>
      <c r="G746" t="s">
        <v>2683</v>
      </c>
      <c r="H746" s="12">
        <v>5.4670608460583896</v>
      </c>
      <c r="I746" s="11">
        <v>1.6002241160359501</v>
      </c>
      <c r="J746" s="10">
        <v>0.10954887403705101</v>
      </c>
      <c r="K746" s="29">
        <v>0.760816436278963</v>
      </c>
    </row>
    <row r="747" spans="1:11" x14ac:dyDescent="0.35">
      <c r="A747" s="9" t="str">
        <f>HYPERLINK("http://www.ensembl.org/id/WBGene00195155", "WBGene00195155")</f>
        <v>WBGene00195155</v>
      </c>
      <c r="B747" s="9" t="str">
        <f>HYPERLINK("http://www.ncbi.nlm.nih.gov/gene/13182878", "13182878")</f>
        <v>13182878</v>
      </c>
      <c r="C747" s="9"/>
      <c r="D747" t="str">
        <f>"W04A8.9"</f>
        <v>W04A8.9</v>
      </c>
      <c r="F747" t="s">
        <v>11</v>
      </c>
      <c r="H747" s="12">
        <v>5.4619554113264197</v>
      </c>
      <c r="I747" s="11">
        <v>1.4232013955171601</v>
      </c>
      <c r="J747" s="10">
        <v>0.154677781191873</v>
      </c>
      <c r="K747" s="29">
        <v>0.86300594443829204</v>
      </c>
    </row>
    <row r="748" spans="1:11" x14ac:dyDescent="0.35">
      <c r="A748" s="9" t="str">
        <f>HYPERLINK("http://www.ensembl.org/id/WBGene00043120", "WBGene00043120")</f>
        <v>WBGene00043120</v>
      </c>
      <c r="B748" s="9" t="str">
        <f>HYPERLINK("http://www.ncbi.nlm.nih.gov/gene/13187006", "13187006")</f>
        <v>13187006</v>
      </c>
      <c r="C748" s="9"/>
      <c r="D748" t="str">
        <f>"C09H10.4"</f>
        <v>C09H10.4</v>
      </c>
      <c r="F748" t="s">
        <v>11</v>
      </c>
      <c r="G748" t="s">
        <v>25</v>
      </c>
      <c r="H748" s="12">
        <v>5.4552761280866902</v>
      </c>
      <c r="I748" s="11">
        <v>0.76142467042008599</v>
      </c>
      <c r="J748" s="10">
        <v>0.44640345667389703</v>
      </c>
      <c r="K748" s="29">
        <v>0.98289565623980701</v>
      </c>
    </row>
    <row r="749" spans="1:11" x14ac:dyDescent="0.35">
      <c r="A749" s="9" t="str">
        <f>HYPERLINK("http://www.ensembl.org/id/WBGene00017551", "WBGene00017551")</f>
        <v>WBGene00017551</v>
      </c>
      <c r="B749" s="9" t="str">
        <f>HYPERLINK("http://www.ncbi.nlm.nih.gov/gene/184629", "184629")</f>
        <v>184629</v>
      </c>
      <c r="C749" s="9"/>
      <c r="D749" t="str">
        <f>"F18A12.2"</f>
        <v>F18A12.2</v>
      </c>
      <c r="F749" t="s">
        <v>11</v>
      </c>
      <c r="G749" t="s">
        <v>25</v>
      </c>
      <c r="H749" s="12">
        <v>5.4552761280866902</v>
      </c>
      <c r="I749" s="11">
        <v>0.76142467042008599</v>
      </c>
      <c r="J749" s="10">
        <v>0.44640345667389703</v>
      </c>
      <c r="K749" s="29">
        <v>0.98289565623980701</v>
      </c>
    </row>
    <row r="750" spans="1:11" x14ac:dyDescent="0.35">
      <c r="A750" s="9" t="str">
        <f>HYPERLINK("http://www.ensembl.org/id/WBGene00200960", "WBGene00200960")</f>
        <v>WBGene00200960</v>
      </c>
      <c r="B750" s="9"/>
      <c r="C750" s="9"/>
      <c r="D750" t="str">
        <f>"R10E11.12"</f>
        <v>R10E11.12</v>
      </c>
      <c r="F750" t="s">
        <v>481</v>
      </c>
      <c r="H750" s="12">
        <v>5.4552761280866902</v>
      </c>
      <c r="I750" s="11">
        <v>0.76142467042008599</v>
      </c>
      <c r="J750" s="10">
        <v>0.44640345667389703</v>
      </c>
      <c r="K750" s="29">
        <v>0.98289565623980701</v>
      </c>
    </row>
    <row r="751" spans="1:11" x14ac:dyDescent="0.35">
      <c r="A751" s="9" t="str">
        <f>HYPERLINK("http://www.ensembl.org/id/WBGene00005366", "WBGene00005366")</f>
        <v>WBGene00005366</v>
      </c>
      <c r="B751" s="9"/>
      <c r="C751" s="9"/>
      <c r="D751" t="str">
        <f>"srh-150"</f>
        <v>srh-150</v>
      </c>
      <c r="F751" t="s">
        <v>80</v>
      </c>
      <c r="H751" s="12">
        <v>5.4552761280866902</v>
      </c>
      <c r="I751" s="11">
        <v>0.76142467042008599</v>
      </c>
      <c r="J751" s="10">
        <v>0.44640345667389703</v>
      </c>
      <c r="K751" s="29">
        <v>0.98289565623980701</v>
      </c>
    </row>
    <row r="752" spans="1:11" x14ac:dyDescent="0.35">
      <c r="A752" s="9" t="str">
        <f>HYPERLINK("http://www.ensembl.org/id/WBGene00019046", "WBGene00019046")</f>
        <v>WBGene00019046</v>
      </c>
      <c r="B752" s="9" t="str">
        <f>HYPERLINK("http://www.ncbi.nlm.nih.gov/gene/186519", "186519")</f>
        <v>186519</v>
      </c>
      <c r="C752" s="9"/>
      <c r="D752" t="str">
        <f>"F58E2.2"</f>
        <v>F58E2.2</v>
      </c>
      <c r="F752" t="s">
        <v>11</v>
      </c>
      <c r="H752" s="12">
        <v>5.4395424115407396</v>
      </c>
      <c r="I752" s="11">
        <v>0.93626142123647604</v>
      </c>
      <c r="J752" s="10">
        <v>0.349138606028915</v>
      </c>
      <c r="K752" s="29">
        <v>0.98289565623980701</v>
      </c>
    </row>
    <row r="753" spans="1:11" x14ac:dyDescent="0.35">
      <c r="A753" s="9" t="str">
        <f>HYPERLINK("http://www.ensembl.org/id/WBGene00201113", "WBGene00201113")</f>
        <v>WBGene00201113</v>
      </c>
      <c r="B753" s="9"/>
      <c r="C753" s="9"/>
      <c r="D753" t="str">
        <f>"T06F4.17"</f>
        <v>T06F4.17</v>
      </c>
      <c r="F753" t="s">
        <v>481</v>
      </c>
      <c r="H753" s="12">
        <v>5.4395424115407396</v>
      </c>
      <c r="I753" s="11">
        <v>0.93626142123647604</v>
      </c>
      <c r="J753" s="10">
        <v>0.349138606028915</v>
      </c>
      <c r="K753" s="29">
        <v>0.98289565623980701</v>
      </c>
    </row>
    <row r="754" spans="1:11" x14ac:dyDescent="0.35">
      <c r="A754" s="9" t="str">
        <f>HYPERLINK("http://www.ensembl.org/id/WBGene00003663", "WBGene00003663")</f>
        <v>WBGene00003663</v>
      </c>
      <c r="B754" s="9" t="str">
        <f>HYPERLINK("http://www.ncbi.nlm.nih.gov/gene/191722", "191722")</f>
        <v>191722</v>
      </c>
      <c r="C754" s="9"/>
      <c r="D754" t="str">
        <f>"nhr-73"</f>
        <v>nhr-73</v>
      </c>
      <c r="E754" t="s">
        <v>637</v>
      </c>
      <c r="F754" t="s">
        <v>11</v>
      </c>
      <c r="G754" t="s">
        <v>1073</v>
      </c>
      <c r="H754" s="12">
        <v>5.4310141578380504</v>
      </c>
      <c r="I754" s="11">
        <v>0.92824130883961298</v>
      </c>
      <c r="J754" s="10">
        <v>0.35328241095095703</v>
      </c>
      <c r="K754" s="29">
        <v>0.98289565623980701</v>
      </c>
    </row>
    <row r="755" spans="1:11" x14ac:dyDescent="0.35">
      <c r="A755" s="9" t="str">
        <f>HYPERLINK("http://www.ensembl.org/id/WBGene00005507", "WBGene00005507")</f>
        <v>WBGene00005507</v>
      </c>
      <c r="B755" s="9" t="str">
        <f>HYPERLINK("http://www.ncbi.nlm.nih.gov/gene/190796", "190796")</f>
        <v>190796</v>
      </c>
      <c r="C755" s="9"/>
      <c r="D755" t="str">
        <f>"srh-303"</f>
        <v>srh-303</v>
      </c>
      <c r="E755" t="s">
        <v>153</v>
      </c>
      <c r="F755" t="s">
        <v>11</v>
      </c>
      <c r="G755" t="s">
        <v>25</v>
      </c>
      <c r="H755" s="12">
        <v>5.4310141578380504</v>
      </c>
      <c r="I755" s="11">
        <v>0.92824130883961298</v>
      </c>
      <c r="J755" s="10">
        <v>0.35328241095095703</v>
      </c>
      <c r="K755" s="29">
        <v>0.98289565623980701</v>
      </c>
    </row>
    <row r="756" spans="1:11" x14ac:dyDescent="0.35">
      <c r="A756" s="9" t="str">
        <f>HYPERLINK("http://www.ensembl.org/id/WBGene00011254", "WBGene00011254")</f>
        <v>WBGene00011254</v>
      </c>
      <c r="B756" s="9" t="str">
        <f>HYPERLINK("http://www.ncbi.nlm.nih.gov/gene/187844", "187844")</f>
        <v>187844</v>
      </c>
      <c r="C756" s="9"/>
      <c r="D756" t="str">
        <f>"R12G8.1"</f>
        <v>R12G8.1</v>
      </c>
      <c r="F756" t="s">
        <v>11</v>
      </c>
      <c r="G756" t="s">
        <v>236</v>
      </c>
      <c r="H756" s="12">
        <v>5.4099819124506299</v>
      </c>
      <c r="I756" s="11">
        <v>4.3751348258782397</v>
      </c>
      <c r="J756" s="10">
        <v>1.2135744539637E-5</v>
      </c>
      <c r="K756" s="29">
        <v>1.2034700143040899E-3</v>
      </c>
    </row>
    <row r="757" spans="1:11" x14ac:dyDescent="0.35">
      <c r="A757" s="9" t="str">
        <f>HYPERLINK("http://www.ensembl.org/id/WBGene00047114", "WBGene00047114")</f>
        <v>WBGene00047114</v>
      </c>
      <c r="B757" s="9"/>
      <c r="C757" s="9"/>
      <c r="D757" t="str">
        <f>"21ur-1204"</f>
        <v>21ur-1204</v>
      </c>
      <c r="F757" t="s">
        <v>3161</v>
      </c>
      <c r="H757" s="12">
        <v>5.4058944669092801</v>
      </c>
      <c r="I757" s="11">
        <v>0.49762513753689303</v>
      </c>
      <c r="J757" s="10">
        <v>0.61874828254921799</v>
      </c>
      <c r="K757" s="29">
        <v>0.98289565623980701</v>
      </c>
    </row>
    <row r="758" spans="1:11" x14ac:dyDescent="0.35">
      <c r="A758" s="9" t="str">
        <f>HYPERLINK("http://www.ensembl.org/id/WBGene00174571", "WBGene00174571")</f>
        <v>WBGene00174571</v>
      </c>
      <c r="B758" s="9"/>
      <c r="C758" s="9"/>
      <c r="D758" t="str">
        <f>"21ur-12257"</f>
        <v>21ur-12257</v>
      </c>
      <c r="F758" t="s">
        <v>3161</v>
      </c>
      <c r="H758" s="12">
        <v>5.4058944669092801</v>
      </c>
      <c r="I758" s="11">
        <v>0.49762513753689303</v>
      </c>
      <c r="J758" s="10">
        <v>0.61874828254921799</v>
      </c>
      <c r="K758" s="29">
        <v>0.98289565623980701</v>
      </c>
    </row>
    <row r="759" spans="1:11" x14ac:dyDescent="0.35">
      <c r="A759" s="9" t="str">
        <f>HYPERLINK("http://www.ensembl.org/id/WBGene00172544", "WBGene00172544")</f>
        <v>WBGene00172544</v>
      </c>
      <c r="B759" s="9"/>
      <c r="C759" s="9"/>
      <c r="D759" t="str">
        <f>"21ur-13383"</f>
        <v>21ur-13383</v>
      </c>
      <c r="F759" t="s">
        <v>3161</v>
      </c>
      <c r="H759" s="12">
        <v>5.4058944669092801</v>
      </c>
      <c r="I759" s="11">
        <v>0.49762513753689303</v>
      </c>
      <c r="J759" s="10">
        <v>0.61874828254921799</v>
      </c>
      <c r="K759" s="29">
        <v>0.98289565623980701</v>
      </c>
    </row>
    <row r="760" spans="1:11" x14ac:dyDescent="0.35">
      <c r="A760" s="9" t="str">
        <f>HYPERLINK("http://www.ensembl.org/id/WBGene00171064", "WBGene00171064")</f>
        <v>WBGene00171064</v>
      </c>
      <c r="B760" s="9"/>
      <c r="C760" s="9"/>
      <c r="D760" t="str">
        <f>"21ur-14576"</f>
        <v>21ur-14576</v>
      </c>
      <c r="F760" t="s">
        <v>3161</v>
      </c>
      <c r="H760" s="12">
        <v>5.4058944669092801</v>
      </c>
      <c r="I760" s="11">
        <v>0.49762513753689303</v>
      </c>
      <c r="J760" s="10">
        <v>0.61874828254921799</v>
      </c>
      <c r="K760" s="29">
        <v>0.98289565623980701</v>
      </c>
    </row>
    <row r="761" spans="1:11" x14ac:dyDescent="0.35">
      <c r="A761" s="9" t="str">
        <f>HYPERLINK("http://www.ensembl.org/id/WBGene00171823", "WBGene00171823")</f>
        <v>WBGene00171823</v>
      </c>
      <c r="B761" s="9"/>
      <c r="C761" s="9"/>
      <c r="D761" t="str">
        <f>"21ur-9380"</f>
        <v>21ur-9380</v>
      </c>
      <c r="F761" t="s">
        <v>3161</v>
      </c>
      <c r="H761" s="12">
        <v>5.4058944669092801</v>
      </c>
      <c r="I761" s="11">
        <v>0.49762513753689303</v>
      </c>
      <c r="J761" s="10">
        <v>0.61874828254921799</v>
      </c>
      <c r="K761" s="29">
        <v>0.98289565623980701</v>
      </c>
    </row>
    <row r="762" spans="1:11" x14ac:dyDescent="0.35">
      <c r="A762" s="9" t="str">
        <f>HYPERLINK("http://www.ensembl.org/id/WBGene00219610", "WBGene00219610")</f>
        <v>WBGene00219610</v>
      </c>
      <c r="B762" s="9"/>
      <c r="C762" s="9"/>
      <c r="D762" t="str">
        <f>"anr-51"</f>
        <v>anr-51</v>
      </c>
      <c r="F762" t="s">
        <v>2735</v>
      </c>
      <c r="H762" s="12">
        <v>5.4058944669092801</v>
      </c>
      <c r="I762" s="11">
        <v>0.49762513753689303</v>
      </c>
      <c r="J762" s="10">
        <v>0.61874828254921799</v>
      </c>
      <c r="K762" s="29">
        <v>0.98289565623980701</v>
      </c>
    </row>
    <row r="763" spans="1:11" x14ac:dyDescent="0.35">
      <c r="A763" s="9" t="str">
        <f>HYPERLINK("http://www.ensembl.org/id/WBGene00015255", "WBGene00015255")</f>
        <v>WBGene00015255</v>
      </c>
      <c r="B763" s="9" t="str">
        <f>HYPERLINK("http://www.ncbi.nlm.nih.gov/gene/182033", "182033")</f>
        <v>182033</v>
      </c>
      <c r="C763" s="9"/>
      <c r="D763" t="str">
        <f>"B0554.2"</f>
        <v>B0554.2</v>
      </c>
      <c r="F763" t="s">
        <v>11</v>
      </c>
      <c r="H763" s="12">
        <v>5.4058944669092801</v>
      </c>
      <c r="I763" s="11">
        <v>0.49762513753689303</v>
      </c>
      <c r="J763" s="10">
        <v>0.61874828254921799</v>
      </c>
      <c r="K763" s="29">
        <v>0.98289565623980701</v>
      </c>
    </row>
    <row r="764" spans="1:11" x14ac:dyDescent="0.35">
      <c r="A764" s="9" t="str">
        <f>HYPERLINK("http://www.ensembl.org/id/WBGene00206391", "WBGene00206391")</f>
        <v>WBGene00206391</v>
      </c>
      <c r="B764" s="9"/>
      <c r="C764" s="9"/>
      <c r="D764" t="str">
        <f>"C01B9.7"</f>
        <v>C01B9.7</v>
      </c>
      <c r="F764" t="s">
        <v>481</v>
      </c>
      <c r="H764" s="12">
        <v>5.4058944669092801</v>
      </c>
      <c r="I764" s="11">
        <v>0.49762513753689303</v>
      </c>
      <c r="J764" s="10">
        <v>0.61874828254921799</v>
      </c>
      <c r="K764" s="29">
        <v>0.98289565623980701</v>
      </c>
    </row>
    <row r="765" spans="1:11" x14ac:dyDescent="0.35">
      <c r="A765" s="9" t="str">
        <f>HYPERLINK("http://www.ensembl.org/id/WBGene00195947", "WBGene00195947")</f>
        <v>WBGene00195947</v>
      </c>
      <c r="B765" s="9"/>
      <c r="C765" s="9"/>
      <c r="D765" t="str">
        <f>"C02F4.9"</f>
        <v>C02F4.9</v>
      </c>
      <c r="F765" t="s">
        <v>481</v>
      </c>
      <c r="H765" s="12">
        <v>5.4058944669092801</v>
      </c>
      <c r="I765" s="11">
        <v>0.49762513753689303</v>
      </c>
      <c r="J765" s="10">
        <v>0.61874828254921799</v>
      </c>
      <c r="K765" s="29">
        <v>0.98289565623980701</v>
      </c>
    </row>
    <row r="766" spans="1:11" x14ac:dyDescent="0.35">
      <c r="A766" s="9" t="str">
        <f>HYPERLINK("http://www.ensembl.org/id/WBGene00199496", "WBGene00199496")</f>
        <v>WBGene00199496</v>
      </c>
      <c r="B766" s="9"/>
      <c r="C766" s="9"/>
      <c r="D766" t="str">
        <f>"C06A6.11"</f>
        <v>C06A6.11</v>
      </c>
      <c r="F766" t="s">
        <v>481</v>
      </c>
      <c r="H766" s="12">
        <v>5.4058944669092801</v>
      </c>
      <c r="I766" s="11">
        <v>0.49762513753689303</v>
      </c>
      <c r="J766" s="10">
        <v>0.61874828254921799</v>
      </c>
      <c r="K766" s="29">
        <v>0.98289565623980701</v>
      </c>
    </row>
    <row r="767" spans="1:11" x14ac:dyDescent="0.35">
      <c r="A767" s="9" t="str">
        <f>HYPERLINK("http://www.ensembl.org/id/WBGene00189947", "WBGene00189947")</f>
        <v>WBGene00189947</v>
      </c>
      <c r="B767" s="9" t="str">
        <f>HYPERLINK("http://www.ncbi.nlm.nih.gov/gene/13216349", "13216349")</f>
        <v>13216349</v>
      </c>
      <c r="C767" s="9"/>
      <c r="D767" t="str">
        <f>"C06B3.16"</f>
        <v>C06B3.16</v>
      </c>
      <c r="F767" t="s">
        <v>11</v>
      </c>
      <c r="H767" s="12">
        <v>5.4058944669092801</v>
      </c>
      <c r="I767" s="11">
        <v>0.49762513753689303</v>
      </c>
      <c r="J767" s="10">
        <v>0.61874828254921799</v>
      </c>
      <c r="K767" s="29">
        <v>0.98289565623980701</v>
      </c>
    </row>
    <row r="768" spans="1:11" x14ac:dyDescent="0.35">
      <c r="A768" s="9" t="str">
        <f>HYPERLINK("http://www.ensembl.org/id/WBGene00014673", "WBGene00014673")</f>
        <v>WBGene00014673</v>
      </c>
      <c r="B768" s="9"/>
      <c r="C768" s="9"/>
      <c r="D768" t="str">
        <f>"C08H9.9"</f>
        <v>C08H9.9</v>
      </c>
      <c r="F768" t="s">
        <v>80</v>
      </c>
      <c r="H768" s="12">
        <v>5.4058944669092801</v>
      </c>
      <c r="I768" s="11">
        <v>0.49762513753689303</v>
      </c>
      <c r="J768" s="10">
        <v>0.61874828254921799</v>
      </c>
      <c r="K768" s="29">
        <v>0.98289565623980701</v>
      </c>
    </row>
    <row r="769" spans="1:11" x14ac:dyDescent="0.35">
      <c r="A769" s="9" t="str">
        <f>HYPERLINK("http://www.ensembl.org/id/WBGene00194780", "WBGene00194780")</f>
        <v>WBGene00194780</v>
      </c>
      <c r="B769" s="9" t="str">
        <f>HYPERLINK("http://www.ncbi.nlm.nih.gov/gene/13214681", "13214681")</f>
        <v>13214681</v>
      </c>
      <c r="C769" s="9"/>
      <c r="D769" t="str">
        <f>"C12D8.20"</f>
        <v>C12D8.20</v>
      </c>
      <c r="F769" t="s">
        <v>11</v>
      </c>
      <c r="G769" t="s">
        <v>25</v>
      </c>
      <c r="H769" s="12">
        <v>5.4058944669092801</v>
      </c>
      <c r="I769" s="11">
        <v>0.49762513753689303</v>
      </c>
      <c r="J769" s="10">
        <v>0.61874828254921799</v>
      </c>
      <c r="K769" s="29">
        <v>0.98289565623980701</v>
      </c>
    </row>
    <row r="770" spans="1:11" x14ac:dyDescent="0.35">
      <c r="A770" s="9" t="str">
        <f>HYPERLINK("http://www.ensembl.org/id/WBGene00195144", "WBGene00195144")</f>
        <v>WBGene00195144</v>
      </c>
      <c r="B770" s="9" t="str">
        <f>HYPERLINK("http://www.ncbi.nlm.nih.gov/gene/13186374", "13186374")</f>
        <v>13186374</v>
      </c>
      <c r="C770" s="9"/>
      <c r="D770" t="str">
        <f>"C16D2.3"</f>
        <v>C16D2.3</v>
      </c>
      <c r="F770" t="s">
        <v>11</v>
      </c>
      <c r="H770" s="12">
        <v>5.4058944669092801</v>
      </c>
      <c r="I770" s="11">
        <v>0.49762513753689303</v>
      </c>
      <c r="J770" s="10">
        <v>0.61874828254921799</v>
      </c>
      <c r="K770" s="29">
        <v>0.98289565623980701</v>
      </c>
    </row>
    <row r="771" spans="1:11" x14ac:dyDescent="0.35">
      <c r="A771" s="9" t="str">
        <f>HYPERLINK("http://www.ensembl.org/id/WBGene00202030", "WBGene00202030")</f>
        <v>WBGene00202030</v>
      </c>
      <c r="B771" s="9"/>
      <c r="C771" s="9"/>
      <c r="D771" t="str">
        <f>"C24F3.7"</f>
        <v>C24F3.7</v>
      </c>
      <c r="F771" t="s">
        <v>481</v>
      </c>
      <c r="H771" s="12">
        <v>5.4058944669092801</v>
      </c>
      <c r="I771" s="11">
        <v>0.49762513753689303</v>
      </c>
      <c r="J771" s="10">
        <v>0.61874828254921799</v>
      </c>
      <c r="K771" s="29">
        <v>0.98289565623980701</v>
      </c>
    </row>
    <row r="772" spans="1:11" x14ac:dyDescent="0.35">
      <c r="A772" s="9" t="str">
        <f>HYPERLINK("http://www.ensembl.org/id/WBGene00007700", "WBGene00007700")</f>
        <v>WBGene00007700</v>
      </c>
      <c r="B772" s="9" t="str">
        <f>HYPERLINK("http://www.ncbi.nlm.nih.gov/gene/182860", "182860")</f>
        <v>182860</v>
      </c>
      <c r="C772" s="9"/>
      <c r="D772" t="str">
        <f>"C24H11.2"</f>
        <v>C24H11.2</v>
      </c>
      <c r="E772" t="s">
        <v>2496</v>
      </c>
      <c r="F772" t="s">
        <v>11</v>
      </c>
      <c r="G772" t="s">
        <v>2497</v>
      </c>
      <c r="H772" s="12">
        <v>5.4058944669092801</v>
      </c>
      <c r="I772" s="11">
        <v>0.49762513753689303</v>
      </c>
      <c r="J772" s="10">
        <v>0.61874828254921799</v>
      </c>
      <c r="K772" s="29">
        <v>0.98289565623980701</v>
      </c>
    </row>
    <row r="773" spans="1:11" x14ac:dyDescent="0.35">
      <c r="A773" s="9" t="str">
        <f>HYPERLINK("http://www.ensembl.org/id/WBGene00007920", "WBGene00007920")</f>
        <v>WBGene00007920</v>
      </c>
      <c r="B773" s="9" t="str">
        <f>HYPERLINK("http://www.ncbi.nlm.nih.gov/gene/183198", "183198")</f>
        <v>183198</v>
      </c>
      <c r="C773" s="9"/>
      <c r="D773" t="str">
        <f>"C34C12.1"</f>
        <v>C34C12.1</v>
      </c>
      <c r="F773" t="s">
        <v>11</v>
      </c>
      <c r="H773" s="12">
        <v>5.4058944669092801</v>
      </c>
      <c r="I773" s="11">
        <v>0.49762513753689303</v>
      </c>
      <c r="J773" s="10">
        <v>0.61874828254921799</v>
      </c>
      <c r="K773" s="29">
        <v>0.98289565623980701</v>
      </c>
    </row>
    <row r="774" spans="1:11" x14ac:dyDescent="0.35">
      <c r="A774" s="9" t="str">
        <f>HYPERLINK("http://www.ensembl.org/id/WBGene00000701", "WBGene00000701")</f>
        <v>WBGene00000701</v>
      </c>
      <c r="B774" s="9" t="str">
        <f>HYPERLINK("http://www.ncbi.nlm.nih.gov/gene/186228", "186228")</f>
        <v>186228</v>
      </c>
      <c r="C774" s="9"/>
      <c r="D774" t="str">
        <f>"col-127"</f>
        <v>col-127</v>
      </c>
      <c r="E774" t="s">
        <v>40</v>
      </c>
      <c r="F774" t="s">
        <v>11</v>
      </c>
      <c r="G774" t="s">
        <v>152</v>
      </c>
      <c r="H774" s="12">
        <v>5.4058944669092801</v>
      </c>
      <c r="I774" s="11">
        <v>0.49762513753689303</v>
      </c>
      <c r="J774" s="10">
        <v>0.61874828254921799</v>
      </c>
      <c r="K774" s="29">
        <v>0.98289565623980701</v>
      </c>
    </row>
    <row r="775" spans="1:11" x14ac:dyDescent="0.35">
      <c r="A775" s="9" t="str">
        <f>HYPERLINK("http://www.ensembl.org/id/WBGene00007062", "WBGene00007062")</f>
        <v>WBGene00007062</v>
      </c>
      <c r="B775" s="9" t="str">
        <f>HYPERLINK("http://www.ncbi.nlm.nih.gov/gene/180181", "180181")</f>
        <v>180181</v>
      </c>
      <c r="C775" s="9"/>
      <c r="D775" t="str">
        <f>"ebp-3"</f>
        <v>ebp-3</v>
      </c>
      <c r="E775" t="s">
        <v>3919</v>
      </c>
      <c r="F775" t="s">
        <v>11</v>
      </c>
      <c r="G775" t="s">
        <v>4257</v>
      </c>
      <c r="H775" s="12">
        <v>5.4058944669092801</v>
      </c>
      <c r="I775" s="11">
        <v>0.49762513753689303</v>
      </c>
      <c r="J775" s="10">
        <v>0.61874828254921799</v>
      </c>
      <c r="K775" s="29">
        <v>0.98289565623980701</v>
      </c>
    </row>
    <row r="776" spans="1:11" x14ac:dyDescent="0.35">
      <c r="A776" s="9" t="str">
        <f>HYPERLINK("http://www.ensembl.org/id/WBGene00017229", "WBGene00017229")</f>
        <v>WBGene00017229</v>
      </c>
      <c r="B776" s="9" t="str">
        <f>HYPERLINK("http://www.ncbi.nlm.nih.gov/gene/184157", "184157")</f>
        <v>184157</v>
      </c>
      <c r="C776" s="9"/>
      <c r="D776" t="str">
        <f>"F07G11.2"</f>
        <v>F07G11.2</v>
      </c>
      <c r="F776" t="s">
        <v>11</v>
      </c>
      <c r="H776" s="12">
        <v>5.4058944669092801</v>
      </c>
      <c r="I776" s="11">
        <v>0.49762513753689303</v>
      </c>
      <c r="J776" s="10">
        <v>0.61874828254921799</v>
      </c>
      <c r="K776" s="29">
        <v>0.98289565623980701</v>
      </c>
    </row>
    <row r="777" spans="1:11" x14ac:dyDescent="0.35">
      <c r="A777" s="9" t="str">
        <f>HYPERLINK("http://www.ensembl.org/id/WBGene00017224", "WBGene00017224")</f>
        <v>WBGene00017224</v>
      </c>
      <c r="B777" s="9" t="str">
        <f>HYPERLINK("http://www.ncbi.nlm.nih.gov/gene/184152", "184152")</f>
        <v>184152</v>
      </c>
      <c r="C777" s="9"/>
      <c r="D777" t="str">
        <f>"F07G6.5"</f>
        <v>F07G6.5</v>
      </c>
      <c r="F777" t="s">
        <v>11</v>
      </c>
      <c r="H777" s="12">
        <v>5.4058944669092801</v>
      </c>
      <c r="I777" s="11">
        <v>0.49762513753689303</v>
      </c>
      <c r="J777" s="10">
        <v>0.61874828254921799</v>
      </c>
      <c r="K777" s="29">
        <v>0.98289565623980701</v>
      </c>
    </row>
    <row r="778" spans="1:11" x14ac:dyDescent="0.35">
      <c r="A778" s="9" t="str">
        <f>HYPERLINK("http://www.ensembl.org/id/WBGene00202012", "WBGene00202012")</f>
        <v>WBGene00202012</v>
      </c>
      <c r="B778" s="9"/>
      <c r="C778" s="9"/>
      <c r="D778" t="str">
        <f>"F09B9.7"</f>
        <v>F09B9.7</v>
      </c>
      <c r="F778" t="s">
        <v>481</v>
      </c>
      <c r="H778" s="12">
        <v>5.4058944669092801</v>
      </c>
      <c r="I778" s="11">
        <v>0.49762513753689303</v>
      </c>
      <c r="J778" s="10">
        <v>0.61874828254921799</v>
      </c>
      <c r="K778" s="29">
        <v>0.98289565623980701</v>
      </c>
    </row>
    <row r="779" spans="1:11" x14ac:dyDescent="0.35">
      <c r="A779" s="9" t="str">
        <f>HYPERLINK("http://www.ensembl.org/id/WBGene00008796", "WBGene00008796")</f>
        <v>WBGene00008796</v>
      </c>
      <c r="B779" s="9" t="str">
        <f>HYPERLINK("http://www.ncbi.nlm.nih.gov/gene/3565526", "3565526")</f>
        <v>3565526</v>
      </c>
      <c r="C779" s="9"/>
      <c r="D779" t="str">
        <f>"F14D7.9"</f>
        <v>F14D7.9</v>
      </c>
      <c r="F779" t="s">
        <v>11</v>
      </c>
      <c r="G779" t="s">
        <v>25</v>
      </c>
      <c r="H779" s="12">
        <v>5.4058944669092801</v>
      </c>
      <c r="I779" s="11">
        <v>0.49762513753689303</v>
      </c>
      <c r="J779" s="10">
        <v>0.61874828254921799</v>
      </c>
      <c r="K779" s="29">
        <v>0.98289565623980701</v>
      </c>
    </row>
    <row r="780" spans="1:11" x14ac:dyDescent="0.35">
      <c r="A780" s="9" t="str">
        <f>HYPERLINK("http://www.ensembl.org/id/WBGene00200261", "WBGene00200261")</f>
        <v>WBGene00200261</v>
      </c>
      <c r="B780" s="9"/>
      <c r="C780" s="9"/>
      <c r="D780" t="str">
        <f>"F26F12.19"</f>
        <v>F26F12.19</v>
      </c>
      <c r="F780" t="s">
        <v>481</v>
      </c>
      <c r="H780" s="12">
        <v>5.4058944669092801</v>
      </c>
      <c r="I780" s="11">
        <v>0.49762513753689303</v>
      </c>
      <c r="J780" s="10">
        <v>0.61874828254921799</v>
      </c>
      <c r="K780" s="29">
        <v>0.98289565623980701</v>
      </c>
    </row>
    <row r="781" spans="1:11" x14ac:dyDescent="0.35">
      <c r="A781" s="9" t="str">
        <f>HYPERLINK("http://www.ensembl.org/id/WBGene00044454", "WBGene00044454")</f>
        <v>WBGene00044454</v>
      </c>
      <c r="B781" s="9" t="str">
        <f>HYPERLINK("http://www.ncbi.nlm.nih.gov/gene/3896757", "3896757")</f>
        <v>3896757</v>
      </c>
      <c r="C781" s="9"/>
      <c r="D781" t="str">
        <f>"F27B3.8"</f>
        <v>F27B3.8</v>
      </c>
      <c r="F781" t="s">
        <v>11</v>
      </c>
      <c r="H781" s="12">
        <v>5.4058944669092801</v>
      </c>
      <c r="I781" s="11">
        <v>0.49762513753689303</v>
      </c>
      <c r="J781" s="10">
        <v>0.61874828254921799</v>
      </c>
      <c r="K781" s="29">
        <v>0.98289565623980701</v>
      </c>
    </row>
    <row r="782" spans="1:11" x14ac:dyDescent="0.35">
      <c r="A782" s="9" t="str">
        <f>HYPERLINK("http://www.ensembl.org/id/WBGene00017960", "WBGene00017960")</f>
        <v>WBGene00017960</v>
      </c>
      <c r="B782" s="9" t="str">
        <f>HYPERLINK("http://www.ncbi.nlm.nih.gov/gene/185169", "185169")</f>
        <v>185169</v>
      </c>
      <c r="C782" s="9"/>
      <c r="D782" t="str">
        <f>"F31F4.11"</f>
        <v>F31F4.11</v>
      </c>
      <c r="F782" t="s">
        <v>11</v>
      </c>
      <c r="G782" t="s">
        <v>4254</v>
      </c>
      <c r="H782" s="12">
        <v>5.4058944669092801</v>
      </c>
      <c r="I782" s="11">
        <v>0.49762513753689303</v>
      </c>
      <c r="J782" s="10">
        <v>0.61874828254921799</v>
      </c>
      <c r="K782" s="29">
        <v>0.98289565623980701</v>
      </c>
    </row>
    <row r="783" spans="1:11" x14ac:dyDescent="0.35">
      <c r="A783" s="9" t="str">
        <f>HYPERLINK("http://www.ensembl.org/id/WBGene00197068", "WBGene00197068")</f>
        <v>WBGene00197068</v>
      </c>
      <c r="B783" s="9"/>
      <c r="C783" s="9"/>
      <c r="D783" t="str">
        <f>"F40H3.9"</f>
        <v>F40H3.9</v>
      </c>
      <c r="F783" t="s">
        <v>481</v>
      </c>
      <c r="H783" s="12">
        <v>5.4058944669092801</v>
      </c>
      <c r="I783" s="11">
        <v>0.49762513753689303</v>
      </c>
      <c r="J783" s="10">
        <v>0.61874828254921799</v>
      </c>
      <c r="K783" s="29">
        <v>0.98289565623980701</v>
      </c>
    </row>
    <row r="784" spans="1:11" x14ac:dyDescent="0.35">
      <c r="A784" s="9" t="str">
        <f>HYPERLINK("http://www.ensembl.org/id/WBGene00195433", "WBGene00195433")</f>
        <v>WBGene00195433</v>
      </c>
      <c r="B784" s="9"/>
      <c r="C784" s="9"/>
      <c r="D784" t="str">
        <f>"F41D9.6"</f>
        <v>F41D9.6</v>
      </c>
      <c r="F784" t="s">
        <v>481</v>
      </c>
      <c r="H784" s="12">
        <v>5.4058944669092801</v>
      </c>
      <c r="I784" s="11">
        <v>0.49762513753689303</v>
      </c>
      <c r="J784" s="10">
        <v>0.61874828254921799</v>
      </c>
      <c r="K784" s="29">
        <v>0.98289565623980701</v>
      </c>
    </row>
    <row r="785" spans="1:11" x14ac:dyDescent="0.35">
      <c r="A785" s="9" t="str">
        <f>HYPERLINK("http://www.ensembl.org/id/WBGene00202105", "WBGene00202105")</f>
        <v>WBGene00202105</v>
      </c>
      <c r="B785" s="9"/>
      <c r="C785" s="9"/>
      <c r="D785" t="str">
        <f>"F55C12.17"</f>
        <v>F55C12.17</v>
      </c>
      <c r="F785" t="s">
        <v>481</v>
      </c>
      <c r="H785" s="12">
        <v>5.4058944669092801</v>
      </c>
      <c r="I785" s="11">
        <v>0.49762513753689303</v>
      </c>
      <c r="J785" s="10">
        <v>0.61874828254921799</v>
      </c>
      <c r="K785" s="29">
        <v>0.98289565623980701</v>
      </c>
    </row>
    <row r="786" spans="1:11" x14ac:dyDescent="0.35">
      <c r="A786" s="9" t="str">
        <f>HYPERLINK("http://www.ensembl.org/id/WBGene00219986", "WBGene00219986")</f>
        <v>WBGene00219986</v>
      </c>
      <c r="B786" s="9"/>
      <c r="C786" s="9"/>
      <c r="D786" t="str">
        <f>"F59A2.7"</f>
        <v>F59A2.7</v>
      </c>
      <c r="F786" t="s">
        <v>2977</v>
      </c>
      <c r="H786" s="12">
        <v>5.4058944669092801</v>
      </c>
      <c r="I786" s="11">
        <v>0.49762513753689303</v>
      </c>
      <c r="J786" s="10">
        <v>0.61874828254921799</v>
      </c>
      <c r="K786" s="29">
        <v>0.98289565623980701</v>
      </c>
    </row>
    <row r="787" spans="1:11" x14ac:dyDescent="0.35">
      <c r="A787" s="9" t="str">
        <f>HYPERLINK("http://www.ensembl.org/id/WBGene00195440", "WBGene00195440")</f>
        <v>WBGene00195440</v>
      </c>
      <c r="B787" s="9"/>
      <c r="C787" s="9"/>
      <c r="D787" t="str">
        <f>"F59B2.16"</f>
        <v>F59B2.16</v>
      </c>
      <c r="F787" t="s">
        <v>481</v>
      </c>
      <c r="H787" s="12">
        <v>5.4058944669092801</v>
      </c>
      <c r="I787" s="11">
        <v>0.49762513753689303</v>
      </c>
      <c r="J787" s="10">
        <v>0.61874828254921799</v>
      </c>
      <c r="K787" s="29">
        <v>0.98289565623980701</v>
      </c>
    </row>
    <row r="788" spans="1:11" x14ac:dyDescent="0.35">
      <c r="A788" s="9" t="str">
        <f>HYPERLINK("http://www.ensembl.org/id/WBGene00018457", "WBGene00018457")</f>
        <v>WBGene00018457</v>
      </c>
      <c r="B788" s="9" t="str">
        <f>HYPERLINK("http://www.ncbi.nlm.nih.gov/gene/185786", "185786")</f>
        <v>185786</v>
      </c>
      <c r="C788" s="9"/>
      <c r="D788" t="str">
        <f>"fbxb-29"</f>
        <v>fbxb-29</v>
      </c>
      <c r="E788" t="s">
        <v>1436</v>
      </c>
      <c r="F788" t="s">
        <v>11</v>
      </c>
      <c r="G788" t="s">
        <v>54</v>
      </c>
      <c r="H788" s="12">
        <v>5.4058944669092801</v>
      </c>
      <c r="I788" s="11">
        <v>0.49762513753689303</v>
      </c>
      <c r="J788" s="10">
        <v>0.61874828254921799</v>
      </c>
      <c r="K788" s="29">
        <v>0.98289565623980701</v>
      </c>
    </row>
    <row r="789" spans="1:11" x14ac:dyDescent="0.35">
      <c r="A789" s="9" t="str">
        <f>HYPERLINK("http://www.ensembl.org/id/WBGene00044201", "WBGene00044201")</f>
        <v>WBGene00044201</v>
      </c>
      <c r="B789" s="9" t="str">
        <f>HYPERLINK("http://www.ncbi.nlm.nih.gov/gene/3565355", "3565355")</f>
        <v>3565355</v>
      </c>
      <c r="C789" s="9"/>
      <c r="D789" t="str">
        <f>"H39E23.3"</f>
        <v>H39E23.3</v>
      </c>
      <c r="F789" t="s">
        <v>11</v>
      </c>
      <c r="G789" t="s">
        <v>138</v>
      </c>
      <c r="H789" s="12">
        <v>5.4058944669092801</v>
      </c>
      <c r="I789" s="11">
        <v>0.49762513753689303</v>
      </c>
      <c r="J789" s="10">
        <v>0.61874828254921799</v>
      </c>
      <c r="K789" s="29">
        <v>0.98289565623980701</v>
      </c>
    </row>
    <row r="790" spans="1:11" x14ac:dyDescent="0.35">
      <c r="A790" s="9" t="str">
        <f>HYPERLINK("http://www.ensembl.org/id/WBGene00001891", "WBGene00001891")</f>
        <v>WBGene00001891</v>
      </c>
      <c r="B790" s="9" t="str">
        <f>HYPERLINK("http://www.ncbi.nlm.nih.gov/gene/191673", "191673")</f>
        <v>191673</v>
      </c>
      <c r="C790" s="9" t="str">
        <f>HYPERLINK("http://www.ncbi.nlm.nih.gov/gene/8356", "8356")</f>
        <v>8356</v>
      </c>
      <c r="D790" t="str">
        <f>"his-17"</f>
        <v>his-17</v>
      </c>
      <c r="E790" t="s">
        <v>3683</v>
      </c>
      <c r="F790" t="s">
        <v>11</v>
      </c>
      <c r="G790" t="s">
        <v>232</v>
      </c>
      <c r="H790" s="12">
        <v>5.4058944669092801</v>
      </c>
      <c r="I790" s="11">
        <v>0.49762513753689303</v>
      </c>
      <c r="J790" s="10">
        <v>0.61874828254921799</v>
      </c>
      <c r="K790" s="29">
        <v>0.98289565623980701</v>
      </c>
    </row>
    <row r="791" spans="1:11" x14ac:dyDescent="0.35">
      <c r="A791" s="9" t="str">
        <f>HYPERLINK("http://www.ensembl.org/id/WBGene00199270", "WBGene00199270")</f>
        <v>WBGene00199270</v>
      </c>
      <c r="B791" s="9"/>
      <c r="C791" s="9"/>
      <c r="D791" t="str">
        <f>"K03H9.10"</f>
        <v>K03H9.10</v>
      </c>
      <c r="F791" t="s">
        <v>481</v>
      </c>
      <c r="H791" s="12">
        <v>5.4058944669092801</v>
      </c>
      <c r="I791" s="11">
        <v>0.49762513753689303</v>
      </c>
      <c r="J791" s="10">
        <v>0.61874828254921799</v>
      </c>
      <c r="K791" s="29">
        <v>0.98289565623980701</v>
      </c>
    </row>
    <row r="792" spans="1:11" x14ac:dyDescent="0.35">
      <c r="A792" s="9" t="str">
        <f>HYPERLINK("http://www.ensembl.org/id/WBGene00198796", "WBGene00198796")</f>
        <v>WBGene00198796</v>
      </c>
      <c r="B792" s="9"/>
      <c r="C792" s="9"/>
      <c r="D792" t="str">
        <f>"K08A8.17"</f>
        <v>K08A8.17</v>
      </c>
      <c r="F792" t="s">
        <v>481</v>
      </c>
      <c r="H792" s="12">
        <v>5.4058944669092801</v>
      </c>
      <c r="I792" s="11">
        <v>0.49762513753689303</v>
      </c>
      <c r="J792" s="10">
        <v>0.61874828254921799</v>
      </c>
      <c r="K792" s="29">
        <v>0.98289565623980701</v>
      </c>
    </row>
    <row r="793" spans="1:11" x14ac:dyDescent="0.35">
      <c r="A793" s="9" t="str">
        <f>HYPERLINK("http://www.ensembl.org/id/WBGene00199229", "WBGene00199229")</f>
        <v>WBGene00199229</v>
      </c>
      <c r="B793" s="9"/>
      <c r="C793" s="9"/>
      <c r="D793" t="str">
        <f>"K08B12.10"</f>
        <v>K08B12.10</v>
      </c>
      <c r="F793" t="s">
        <v>481</v>
      </c>
      <c r="H793" s="12">
        <v>5.4058944669092801</v>
      </c>
      <c r="I793" s="11">
        <v>0.49762513753689303</v>
      </c>
      <c r="J793" s="10">
        <v>0.61874828254921799</v>
      </c>
      <c r="K793" s="29">
        <v>0.98289565623980701</v>
      </c>
    </row>
    <row r="794" spans="1:11" x14ac:dyDescent="0.35">
      <c r="A794" s="9" t="str">
        <f>HYPERLINK("http://www.ensembl.org/id/WBGene00219646", "WBGene00219646")</f>
        <v>WBGene00219646</v>
      </c>
      <c r="B794" s="9"/>
      <c r="C794" s="9"/>
      <c r="D794" t="str">
        <f>"linc-89"</f>
        <v>linc-89</v>
      </c>
      <c r="F794" t="s">
        <v>1510</v>
      </c>
      <c r="H794" s="12">
        <v>5.4058944669092801</v>
      </c>
      <c r="I794" s="11">
        <v>0.49762513753689303</v>
      </c>
      <c r="J794" s="10">
        <v>0.61874828254921799</v>
      </c>
      <c r="K794" s="29">
        <v>0.98289565623980701</v>
      </c>
    </row>
    <row r="795" spans="1:11" x14ac:dyDescent="0.35">
      <c r="A795" s="9" t="str">
        <f>HYPERLINK("http://www.ensembl.org/id/WBGene00010801", "WBGene00010801")</f>
        <v>WBGene00010801</v>
      </c>
      <c r="B795" s="9" t="str">
        <f>HYPERLINK("http://www.ncbi.nlm.nih.gov/gene/187359", "187359")</f>
        <v>187359</v>
      </c>
      <c r="C795" s="9"/>
      <c r="D795" t="str">
        <f>"M01B2.8"</f>
        <v>M01B2.8</v>
      </c>
      <c r="F795" t="s">
        <v>11</v>
      </c>
      <c r="H795" s="12">
        <v>5.4058944669092801</v>
      </c>
      <c r="I795" s="11">
        <v>0.49762513753689303</v>
      </c>
      <c r="J795" s="10">
        <v>0.61874828254921799</v>
      </c>
      <c r="K795" s="29">
        <v>0.98289565623980701</v>
      </c>
    </row>
    <row r="796" spans="1:11" x14ac:dyDescent="0.35">
      <c r="A796" s="9" t="str">
        <f>HYPERLINK("http://www.ensembl.org/id/WBGene00196280", "WBGene00196280")</f>
        <v>WBGene00196280</v>
      </c>
      <c r="B796" s="9"/>
      <c r="C796" s="9"/>
      <c r="D796" t="str">
        <f>"M01H9.7"</f>
        <v>M01H9.7</v>
      </c>
      <c r="F796" t="s">
        <v>481</v>
      </c>
      <c r="H796" s="12">
        <v>5.4058944669092801</v>
      </c>
      <c r="I796" s="11">
        <v>0.49762513753689303</v>
      </c>
      <c r="J796" s="10">
        <v>0.61874828254921799</v>
      </c>
      <c r="K796" s="29">
        <v>0.98289565623980701</v>
      </c>
    </row>
    <row r="797" spans="1:11" x14ac:dyDescent="0.35">
      <c r="A797" s="9" t="str">
        <f>HYPERLINK("http://www.ensembl.org/id/WBGene00219266", "WBGene00219266")</f>
        <v>WBGene00219266</v>
      </c>
      <c r="B797" s="9"/>
      <c r="C797" s="9"/>
      <c r="D797" t="str">
        <f>"mir-4938"</f>
        <v>mir-4938</v>
      </c>
      <c r="F797" t="s">
        <v>1486</v>
      </c>
      <c r="H797" s="12">
        <v>5.4058944669092801</v>
      </c>
      <c r="I797" s="11">
        <v>0.49762513753689303</v>
      </c>
      <c r="J797" s="10">
        <v>0.61874828254921799</v>
      </c>
      <c r="K797" s="29">
        <v>0.98289565623980701</v>
      </c>
    </row>
    <row r="798" spans="1:11" x14ac:dyDescent="0.35">
      <c r="A798" s="9" t="str">
        <f>HYPERLINK("http://www.ensembl.org/id/WBGene00003313", "WBGene00003313")</f>
        <v>WBGene00003313</v>
      </c>
      <c r="B798" s="9"/>
      <c r="C798" s="9"/>
      <c r="D798" t="str">
        <f>"mir-85"</f>
        <v>mir-85</v>
      </c>
      <c r="F798" t="s">
        <v>1486</v>
      </c>
      <c r="H798" s="12">
        <v>5.4058944669092801</v>
      </c>
      <c r="I798" s="11">
        <v>0.49762513753689303</v>
      </c>
      <c r="J798" s="10">
        <v>0.61874828254921799</v>
      </c>
      <c r="K798" s="29">
        <v>0.98289565623980701</v>
      </c>
    </row>
    <row r="799" spans="1:11" x14ac:dyDescent="0.35">
      <c r="A799" s="9" t="str">
        <f>HYPERLINK("http://www.ensembl.org/id/WBGene00013940", "WBGene00013940")</f>
        <v>WBGene00013940</v>
      </c>
      <c r="B799" s="9" t="str">
        <f>HYPERLINK("http://www.ncbi.nlm.nih.gov/gene/191246", "191246")</f>
        <v>191246</v>
      </c>
      <c r="C799" s="9"/>
      <c r="D799" t="str">
        <f>"nhr-248"</f>
        <v>nhr-248</v>
      </c>
      <c r="E799" t="s">
        <v>637</v>
      </c>
      <c r="F799" t="s">
        <v>11</v>
      </c>
      <c r="G799" t="s">
        <v>1073</v>
      </c>
      <c r="H799" s="12">
        <v>5.4058944669092801</v>
      </c>
      <c r="I799" s="11">
        <v>0.49762513753689303</v>
      </c>
      <c r="J799" s="10">
        <v>0.61874828254921799</v>
      </c>
      <c r="K799" s="29">
        <v>0.98289565623980701</v>
      </c>
    </row>
    <row r="800" spans="1:11" x14ac:dyDescent="0.35">
      <c r="A800" s="9" t="str">
        <f>HYPERLINK("http://www.ensembl.org/id/WBGene00044272", "WBGene00044272")</f>
        <v>WBGene00044272</v>
      </c>
      <c r="B800" s="9" t="str">
        <f>HYPERLINK("http://www.ncbi.nlm.nih.gov/gene/3564808", "3564808")</f>
        <v>3564808</v>
      </c>
      <c r="C800" s="9"/>
      <c r="D800" t="str">
        <f>"nspa-4"</f>
        <v>nspa-4</v>
      </c>
      <c r="E800" t="s">
        <v>4255</v>
      </c>
      <c r="F800" t="s">
        <v>11</v>
      </c>
      <c r="H800" s="12">
        <v>5.4058944669092801</v>
      </c>
      <c r="I800" s="11">
        <v>0.49762513753689303</v>
      </c>
      <c r="J800" s="10">
        <v>0.61874828254921799</v>
      </c>
      <c r="K800" s="29">
        <v>0.98289565623980701</v>
      </c>
    </row>
    <row r="801" spans="1:11" x14ac:dyDescent="0.35">
      <c r="A801" s="9" t="str">
        <f>HYPERLINK("http://www.ensembl.org/id/WBGene00202056", "WBGene00202056")</f>
        <v>WBGene00202056</v>
      </c>
      <c r="B801" s="9"/>
      <c r="C801" s="9"/>
      <c r="D801" t="str">
        <f>"R03A10.14"</f>
        <v>R03A10.14</v>
      </c>
      <c r="F801" t="s">
        <v>481</v>
      </c>
      <c r="H801" s="12">
        <v>5.4058944669092801</v>
      </c>
      <c r="I801" s="11">
        <v>0.49762513753689303</v>
      </c>
      <c r="J801" s="10">
        <v>0.61874828254921799</v>
      </c>
      <c r="K801" s="29">
        <v>0.98289565623980701</v>
      </c>
    </row>
    <row r="802" spans="1:11" x14ac:dyDescent="0.35">
      <c r="A802" s="9" t="str">
        <f>HYPERLINK("http://www.ensembl.org/id/WBGene00011703", "WBGene00011703")</f>
        <v>WBGene00011703</v>
      </c>
      <c r="B802" s="9"/>
      <c r="C802" s="9"/>
      <c r="D802" t="str">
        <f>"srab-19"</f>
        <v>srab-19</v>
      </c>
      <c r="F802" t="s">
        <v>80</v>
      </c>
      <c r="H802" s="12">
        <v>5.4058944669092801</v>
      </c>
      <c r="I802" s="11">
        <v>0.49762513753689303</v>
      </c>
      <c r="J802" s="10">
        <v>0.61874828254921799</v>
      </c>
      <c r="K802" s="29">
        <v>0.98289565623980701</v>
      </c>
    </row>
    <row r="803" spans="1:11" x14ac:dyDescent="0.35">
      <c r="A803" s="9" t="str">
        <f>HYPERLINK("http://www.ensembl.org/id/WBGene00005412", "WBGene00005412")</f>
        <v>WBGene00005412</v>
      </c>
      <c r="B803" s="9" t="str">
        <f>HYPERLINK("http://www.ncbi.nlm.nih.gov/gene/187554", "187554")</f>
        <v>187554</v>
      </c>
      <c r="C803" s="9"/>
      <c r="D803" t="str">
        <f>"srh-201"</f>
        <v>srh-201</v>
      </c>
      <c r="E803" t="s">
        <v>153</v>
      </c>
      <c r="F803" t="s">
        <v>11</v>
      </c>
      <c r="G803" t="s">
        <v>25</v>
      </c>
      <c r="H803" s="12">
        <v>5.4058944669092801</v>
      </c>
      <c r="I803" s="11">
        <v>0.49762513753689303</v>
      </c>
      <c r="J803" s="10">
        <v>0.61874828254921799</v>
      </c>
      <c r="K803" s="29">
        <v>0.98289565623980701</v>
      </c>
    </row>
    <row r="804" spans="1:11" x14ac:dyDescent="0.35">
      <c r="A804" s="9" t="str">
        <f>HYPERLINK("http://www.ensembl.org/id/WBGene00012054", "WBGene00012054")</f>
        <v>WBGene00012054</v>
      </c>
      <c r="B804" s="9" t="str">
        <f>HYPERLINK("http://www.ncbi.nlm.nih.gov/gene/188940", "188940")</f>
        <v>188940</v>
      </c>
      <c r="C804" s="9"/>
      <c r="D804" t="str">
        <f>"srsx-38"</f>
        <v>srsx-38</v>
      </c>
      <c r="E804" t="s">
        <v>1639</v>
      </c>
      <c r="F804" t="s">
        <v>11</v>
      </c>
      <c r="G804" t="s">
        <v>1089</v>
      </c>
      <c r="H804" s="12">
        <v>5.4058944669092801</v>
      </c>
      <c r="I804" s="11">
        <v>0.49762513753689303</v>
      </c>
      <c r="J804" s="10">
        <v>0.61874828254921799</v>
      </c>
      <c r="K804" s="29">
        <v>0.98289565623980701</v>
      </c>
    </row>
    <row r="805" spans="1:11" x14ac:dyDescent="0.35">
      <c r="A805" s="9" t="str">
        <f>HYPERLINK("http://www.ensembl.org/id/WBGene00005790", "WBGene00005790")</f>
        <v>WBGene00005790</v>
      </c>
      <c r="B805" s="9" t="str">
        <f>HYPERLINK("http://www.ncbi.nlm.nih.gov/gene/184479", "184479")</f>
        <v>184479</v>
      </c>
      <c r="C805" s="9"/>
      <c r="D805" t="str">
        <f>"srw-43"</f>
        <v>srw-43</v>
      </c>
      <c r="E805" t="s">
        <v>1014</v>
      </c>
      <c r="F805" t="s">
        <v>11</v>
      </c>
      <c r="G805" t="s">
        <v>1015</v>
      </c>
      <c r="H805" s="12">
        <v>5.4058944669092801</v>
      </c>
      <c r="I805" s="11">
        <v>0.49762513753689303</v>
      </c>
      <c r="J805" s="10">
        <v>0.61874828254921799</v>
      </c>
      <c r="K805" s="29">
        <v>0.98289565623980701</v>
      </c>
    </row>
    <row r="806" spans="1:11" x14ac:dyDescent="0.35">
      <c r="A806" s="9" t="str">
        <f>HYPERLINK("http://www.ensembl.org/id/WBGene00005997", "WBGene00005997")</f>
        <v>WBGene00005997</v>
      </c>
      <c r="B806" s="9"/>
      <c r="C806" s="9"/>
      <c r="D806" t="str">
        <f>"srx-106"</f>
        <v>srx-106</v>
      </c>
      <c r="F806" t="s">
        <v>80</v>
      </c>
      <c r="H806" s="12">
        <v>5.4058944669092801</v>
      </c>
      <c r="I806" s="11">
        <v>0.49762513753689303</v>
      </c>
      <c r="J806" s="10">
        <v>0.61874828254921799</v>
      </c>
      <c r="K806" s="29">
        <v>0.98289565623980701</v>
      </c>
    </row>
    <row r="807" spans="1:11" x14ac:dyDescent="0.35">
      <c r="A807" s="9" t="str">
        <f>HYPERLINK("http://www.ensembl.org/id/WBGene00005913", "WBGene00005913")</f>
        <v>WBGene00005913</v>
      </c>
      <c r="B807" s="9" t="str">
        <f>HYPERLINK("http://www.ncbi.nlm.nih.gov/gene/185165", "185165")</f>
        <v>185165</v>
      </c>
      <c r="C807" s="9"/>
      <c r="D807" t="str">
        <f>"srx-22"</f>
        <v>srx-22</v>
      </c>
      <c r="E807" t="s">
        <v>1477</v>
      </c>
      <c r="F807" t="s">
        <v>11</v>
      </c>
      <c r="G807" t="s">
        <v>25</v>
      </c>
      <c r="H807" s="12">
        <v>5.4058944669092801</v>
      </c>
      <c r="I807" s="11">
        <v>0.49762513753689303</v>
      </c>
      <c r="J807" s="10">
        <v>0.61874828254921799</v>
      </c>
      <c r="K807" s="29">
        <v>0.98289565623980701</v>
      </c>
    </row>
    <row r="808" spans="1:11" x14ac:dyDescent="0.35">
      <c r="A808" s="9" t="str">
        <f>HYPERLINK("http://www.ensembl.org/id/WBGene00023505", "WBGene00023505")</f>
        <v>WBGene00023505</v>
      </c>
      <c r="B808" s="9" t="str">
        <f>HYPERLINK("http://www.ncbi.nlm.nih.gov/gene/3565021", "3565021")</f>
        <v>3565021</v>
      </c>
      <c r="C808" s="9"/>
      <c r="D808" t="str">
        <f>"srz-102"</f>
        <v>srz-102</v>
      </c>
      <c r="E808" t="s">
        <v>4211</v>
      </c>
      <c r="F808" t="s">
        <v>11</v>
      </c>
      <c r="G808" t="s">
        <v>25</v>
      </c>
      <c r="H808" s="12">
        <v>5.4058944669092801</v>
      </c>
      <c r="I808" s="11">
        <v>0.49762513753689303</v>
      </c>
      <c r="J808" s="10">
        <v>0.61874828254921799</v>
      </c>
      <c r="K808" s="29">
        <v>0.98289565623980701</v>
      </c>
    </row>
    <row r="809" spans="1:11" x14ac:dyDescent="0.35">
      <c r="A809" s="9" t="str">
        <f>HYPERLINK("http://www.ensembl.org/id/WBGene00023513", "WBGene00023513")</f>
        <v>WBGene00023513</v>
      </c>
      <c r="B809" s="9" t="str">
        <f>HYPERLINK("http://www.ncbi.nlm.nih.gov/gene/3564811", "3564811")</f>
        <v>3564811</v>
      </c>
      <c r="C809" s="9"/>
      <c r="D809" t="str">
        <f>"srz-71"</f>
        <v>srz-71</v>
      </c>
      <c r="E809" t="s">
        <v>4211</v>
      </c>
      <c r="F809" t="s">
        <v>11</v>
      </c>
      <c r="G809" t="s">
        <v>25</v>
      </c>
      <c r="H809" s="12">
        <v>5.4058944669092801</v>
      </c>
      <c r="I809" s="11">
        <v>0.49762513753689303</v>
      </c>
      <c r="J809" s="10">
        <v>0.61874828254921799</v>
      </c>
      <c r="K809" s="29">
        <v>0.98289565623980701</v>
      </c>
    </row>
    <row r="810" spans="1:11" x14ac:dyDescent="0.35">
      <c r="A810" s="9" t="str">
        <f>HYPERLINK("http://www.ensembl.org/id/WBGene00006188", "WBGene00006188")</f>
        <v>WBGene00006188</v>
      </c>
      <c r="B810" s="9" t="str">
        <f>HYPERLINK("http://www.ncbi.nlm.nih.gov/gene/192012", "192012")</f>
        <v>192012</v>
      </c>
      <c r="C810" s="9"/>
      <c r="D810" t="str">
        <f>"str-140"</f>
        <v>str-140</v>
      </c>
      <c r="E810" t="s">
        <v>590</v>
      </c>
      <c r="F810" t="s">
        <v>11</v>
      </c>
      <c r="G810" t="s">
        <v>591</v>
      </c>
      <c r="H810" s="12">
        <v>5.4058944669092801</v>
      </c>
      <c r="I810" s="11">
        <v>0.49762513753689303</v>
      </c>
      <c r="J810" s="10">
        <v>0.61874828254921799</v>
      </c>
      <c r="K810" s="29">
        <v>0.98289565623980701</v>
      </c>
    </row>
    <row r="811" spans="1:11" x14ac:dyDescent="0.35">
      <c r="A811" s="9" t="str">
        <f>HYPERLINK("http://www.ensembl.org/id/WBGene00006113", "WBGene00006113")</f>
        <v>WBGene00006113</v>
      </c>
      <c r="B811" s="9" t="str">
        <f>HYPERLINK("http://www.ncbi.nlm.nih.gov/gene/191980", "191980")</f>
        <v>191980</v>
      </c>
      <c r="C811" s="9"/>
      <c r="D811" t="str">
        <f>"str-48"</f>
        <v>str-48</v>
      </c>
      <c r="E811" t="s">
        <v>590</v>
      </c>
      <c r="F811" t="s">
        <v>11</v>
      </c>
      <c r="G811" t="s">
        <v>25</v>
      </c>
      <c r="H811" s="12">
        <v>5.4058944669092801</v>
      </c>
      <c r="I811" s="11">
        <v>0.49762513753689303</v>
      </c>
      <c r="J811" s="10">
        <v>0.61874828254921799</v>
      </c>
      <c r="K811" s="29">
        <v>0.98289565623980701</v>
      </c>
    </row>
    <row r="812" spans="1:11" x14ac:dyDescent="0.35">
      <c r="A812" s="9" t="str">
        <f>HYPERLINK("http://www.ensembl.org/id/WBGene00198548", "WBGene00198548")</f>
        <v>WBGene00198548</v>
      </c>
      <c r="B812" s="9"/>
      <c r="C812" s="9"/>
      <c r="D812" t="str">
        <f>"T01G1.6"</f>
        <v>T01G1.6</v>
      </c>
      <c r="F812" t="s">
        <v>481</v>
      </c>
      <c r="H812" s="12">
        <v>5.4058944669092801</v>
      </c>
      <c r="I812" s="11">
        <v>0.49762513753689303</v>
      </c>
      <c r="J812" s="10">
        <v>0.61874828254921799</v>
      </c>
      <c r="K812" s="29">
        <v>0.98289565623980701</v>
      </c>
    </row>
    <row r="813" spans="1:11" x14ac:dyDescent="0.35">
      <c r="A813" s="9" t="str">
        <f>HYPERLINK("http://www.ensembl.org/id/WBGene00196860", "WBGene00196860")</f>
        <v>WBGene00196860</v>
      </c>
      <c r="B813" s="9"/>
      <c r="C813" s="9"/>
      <c r="D813" t="str">
        <f>"T02E9.14"</f>
        <v>T02E9.14</v>
      </c>
      <c r="F813" t="s">
        <v>481</v>
      </c>
      <c r="H813" s="12">
        <v>5.4058944669092801</v>
      </c>
      <c r="I813" s="11">
        <v>0.49762513753689303</v>
      </c>
      <c r="J813" s="10">
        <v>0.61874828254921799</v>
      </c>
      <c r="K813" s="29">
        <v>0.98289565623980701</v>
      </c>
    </row>
    <row r="814" spans="1:11" x14ac:dyDescent="0.35">
      <c r="A814" s="9" t="str">
        <f>HYPERLINK("http://www.ensembl.org/id/WBGene00011553", "WBGene00011553")</f>
        <v>WBGene00011553</v>
      </c>
      <c r="B814" s="9" t="str">
        <f>HYPERLINK("http://www.ncbi.nlm.nih.gov/gene/3565130", "3565130")</f>
        <v>3565130</v>
      </c>
      <c r="C814" s="9"/>
      <c r="D814" t="str">
        <f>"T06H11.5"</f>
        <v>T06H11.5</v>
      </c>
      <c r="F814" t="s">
        <v>11</v>
      </c>
      <c r="H814" s="12">
        <v>5.4058944669092801</v>
      </c>
      <c r="I814" s="11">
        <v>0.49762513753689303</v>
      </c>
      <c r="J814" s="10">
        <v>0.61874828254921799</v>
      </c>
      <c r="K814" s="29">
        <v>0.98289565623980701</v>
      </c>
    </row>
    <row r="815" spans="1:11" x14ac:dyDescent="0.35">
      <c r="A815" s="9" t="str">
        <f>HYPERLINK("http://www.ensembl.org/id/WBGene00020440", "WBGene00020440")</f>
        <v>WBGene00020440</v>
      </c>
      <c r="B815" s="9" t="str">
        <f>HYPERLINK("http://www.ncbi.nlm.nih.gov/gene/188434", "188434")</f>
        <v>188434</v>
      </c>
      <c r="C815" s="9"/>
      <c r="D815" t="str">
        <f>"T12A2.6"</f>
        <v>T12A2.6</v>
      </c>
      <c r="F815" t="s">
        <v>11</v>
      </c>
      <c r="G815" t="s">
        <v>4256</v>
      </c>
      <c r="H815" s="12">
        <v>5.4058944669092801</v>
      </c>
      <c r="I815" s="11">
        <v>0.49762513753689303</v>
      </c>
      <c r="J815" s="10">
        <v>0.61874828254921799</v>
      </c>
      <c r="K815" s="29">
        <v>0.98289565623980701</v>
      </c>
    </row>
    <row r="816" spans="1:11" x14ac:dyDescent="0.35">
      <c r="A816" s="9" t="str">
        <f>HYPERLINK("http://www.ensembl.org/id/WBGene00185100", "WBGene00185100")</f>
        <v>WBGene00185100</v>
      </c>
      <c r="B816" s="9" t="str">
        <f>HYPERLINK("http://www.ncbi.nlm.nih.gov/gene/13198310", "13198310")</f>
        <v>13198310</v>
      </c>
      <c r="C816" s="9"/>
      <c r="D816" t="str">
        <f>"T12A7.9"</f>
        <v>T12A7.9</v>
      </c>
      <c r="F816" t="s">
        <v>11</v>
      </c>
      <c r="H816" s="12">
        <v>5.4058944669092801</v>
      </c>
      <c r="I816" s="11">
        <v>0.49762513753689303</v>
      </c>
      <c r="J816" s="10">
        <v>0.61874828254921799</v>
      </c>
      <c r="K816" s="29">
        <v>0.98289565623980701</v>
      </c>
    </row>
    <row r="817" spans="1:11" x14ac:dyDescent="0.35">
      <c r="A817" s="9" t="str">
        <f>HYPERLINK("http://www.ensembl.org/id/WBGene00195297", "WBGene00195297")</f>
        <v>WBGene00195297</v>
      </c>
      <c r="B817" s="9"/>
      <c r="C817" s="9"/>
      <c r="D817" t="str">
        <f>"T19D2.5"</f>
        <v>T19D2.5</v>
      </c>
      <c r="F817" t="s">
        <v>481</v>
      </c>
      <c r="H817" s="12">
        <v>5.4058944669092801</v>
      </c>
      <c r="I817" s="11">
        <v>0.49762513753689303</v>
      </c>
      <c r="J817" s="10">
        <v>0.61874828254921799</v>
      </c>
      <c r="K817" s="29">
        <v>0.98289565623980701</v>
      </c>
    </row>
    <row r="818" spans="1:11" x14ac:dyDescent="0.35">
      <c r="A818" s="9" t="str">
        <f>HYPERLINK("http://www.ensembl.org/id/WBGene00011961", "WBGene00011961")</f>
        <v>WBGene00011961</v>
      </c>
      <c r="B818" s="9" t="str">
        <f>HYPERLINK("http://www.ncbi.nlm.nih.gov/gene/188815", "188815")</f>
        <v>188815</v>
      </c>
      <c r="C818" s="9"/>
      <c r="D818" t="str">
        <f>"T23G4.5"</f>
        <v>T23G4.5</v>
      </c>
      <c r="F818" t="s">
        <v>11</v>
      </c>
      <c r="H818" s="12">
        <v>5.4058944669092801</v>
      </c>
      <c r="I818" s="11">
        <v>0.49762513753689303</v>
      </c>
      <c r="J818" s="10">
        <v>0.61874828254921799</v>
      </c>
      <c r="K818" s="29">
        <v>0.98289565623980701</v>
      </c>
    </row>
    <row r="819" spans="1:11" x14ac:dyDescent="0.35">
      <c r="A819" s="9" t="str">
        <f>HYPERLINK("http://www.ensembl.org/id/WBGene00014854", "WBGene00014854")</f>
        <v>WBGene00014854</v>
      </c>
      <c r="B819" s="9"/>
      <c r="C819" s="9"/>
      <c r="D819" t="str">
        <f>"W05B2.3"</f>
        <v>W05B2.3</v>
      </c>
      <c r="F819" t="s">
        <v>80</v>
      </c>
      <c r="H819" s="12">
        <v>5.4058944669092801</v>
      </c>
      <c r="I819" s="11">
        <v>0.49762513753689303</v>
      </c>
      <c r="J819" s="10">
        <v>0.61874828254921799</v>
      </c>
      <c r="K819" s="29">
        <v>0.98289565623980701</v>
      </c>
    </row>
    <row r="820" spans="1:11" x14ac:dyDescent="0.35">
      <c r="A820" s="9" t="str">
        <f>HYPERLINK("http://www.ensembl.org/id/WBGene00195855", "WBGene00195855")</f>
        <v>WBGene00195855</v>
      </c>
      <c r="B820" s="9"/>
      <c r="C820" s="9"/>
      <c r="D820" t="str">
        <f>"W06A7.6"</f>
        <v>W06A7.6</v>
      </c>
      <c r="F820" t="s">
        <v>481</v>
      </c>
      <c r="H820" s="12">
        <v>5.4058944669092801</v>
      </c>
      <c r="I820" s="11">
        <v>0.49762513753689303</v>
      </c>
      <c r="J820" s="10">
        <v>0.61874828254921799</v>
      </c>
      <c r="K820" s="29">
        <v>0.98289565623980701</v>
      </c>
    </row>
    <row r="821" spans="1:11" x14ac:dyDescent="0.35">
      <c r="A821" s="9" t="str">
        <f>HYPERLINK("http://www.ensembl.org/id/WBGene00012743", "WBGene00012743")</f>
        <v>WBGene00012743</v>
      </c>
      <c r="B821" s="9" t="str">
        <f>HYPERLINK("http://www.ncbi.nlm.nih.gov/gene/189802", "189802")</f>
        <v>189802</v>
      </c>
      <c r="C821" s="9"/>
      <c r="D821" t="str">
        <f>"Y40H7A.3"</f>
        <v>Y40H7A.3</v>
      </c>
      <c r="F821" t="s">
        <v>11</v>
      </c>
      <c r="G821" t="s">
        <v>25</v>
      </c>
      <c r="H821" s="12">
        <v>5.4058944669092801</v>
      </c>
      <c r="I821" s="11">
        <v>0.49762513753689303</v>
      </c>
      <c r="J821" s="10">
        <v>0.61874828254921799</v>
      </c>
      <c r="K821" s="29">
        <v>0.98289565623980701</v>
      </c>
    </row>
    <row r="822" spans="1:11" x14ac:dyDescent="0.35">
      <c r="A822" s="9" t="str">
        <f>HYPERLINK("http://www.ensembl.org/id/WBGene00023219", "WBGene00023219")</f>
        <v>WBGene00023219</v>
      </c>
      <c r="B822" s="9"/>
      <c r="C822" s="9"/>
      <c r="D822" t="str">
        <f>"ZK783.t1"</f>
        <v>ZK783.t1</v>
      </c>
      <c r="F822" t="s">
        <v>4208</v>
      </c>
      <c r="H822" s="12">
        <v>5.4058944669092801</v>
      </c>
      <c r="I822" s="11">
        <v>0.49762513753689303</v>
      </c>
      <c r="J822" s="10">
        <v>0.61874828254921799</v>
      </c>
      <c r="K822" s="29">
        <v>0.98289565623980701</v>
      </c>
    </row>
    <row r="823" spans="1:11" x14ac:dyDescent="0.35">
      <c r="A823" s="9" t="str">
        <f>HYPERLINK("http://www.ensembl.org/id/WBGene00016388", "WBGene00016388")</f>
        <v>WBGene00016388</v>
      </c>
      <c r="B823" s="9" t="str">
        <f>HYPERLINK("http://www.ncbi.nlm.nih.gov/gene/172964", "172964")</f>
        <v>172964</v>
      </c>
      <c r="C823" s="9"/>
      <c r="D823" t="str">
        <f>"C34B2.3"</f>
        <v>C34B2.3</v>
      </c>
      <c r="F823" t="s">
        <v>11</v>
      </c>
      <c r="G823" t="s">
        <v>1763</v>
      </c>
      <c r="H823" s="12">
        <v>5.3987920544653196</v>
      </c>
      <c r="I823" s="11">
        <v>0.99785218187626401</v>
      </c>
      <c r="J823" s="10">
        <v>0.31835104231776701</v>
      </c>
      <c r="K823" s="29">
        <v>0.98289565623980701</v>
      </c>
    </row>
    <row r="824" spans="1:11" x14ac:dyDescent="0.35">
      <c r="A824" s="9" t="str">
        <f>HYPERLINK("http://www.ensembl.org/id/WBGene00008306", "WBGene00008306")</f>
        <v>WBGene00008306</v>
      </c>
      <c r="B824" s="9"/>
      <c r="C824" s="9"/>
      <c r="D824" t="str">
        <f>"C54E10.1"</f>
        <v>C54E10.1</v>
      </c>
      <c r="F824" t="s">
        <v>80</v>
      </c>
      <c r="H824" s="12">
        <v>5.38728793203307</v>
      </c>
      <c r="I824" s="11">
        <v>0.93688444066362497</v>
      </c>
      <c r="J824" s="10">
        <v>0.34881800356694598</v>
      </c>
      <c r="K824" s="29">
        <v>0.98289565623980701</v>
      </c>
    </row>
    <row r="825" spans="1:11" x14ac:dyDescent="0.35">
      <c r="A825" s="9" t="str">
        <f>HYPERLINK("http://www.ensembl.org/id/WBGene00005105", "WBGene00005105")</f>
        <v>WBGene00005105</v>
      </c>
      <c r="B825" s="9" t="str">
        <f>HYPERLINK("http://www.ncbi.nlm.nih.gov/gene/188938", "188938")</f>
        <v>188938</v>
      </c>
      <c r="C825" s="9"/>
      <c r="D825" t="str">
        <f>"srd-27"</f>
        <v>srd-27</v>
      </c>
      <c r="E825" t="s">
        <v>1513</v>
      </c>
      <c r="F825" t="s">
        <v>11</v>
      </c>
      <c r="G825" t="s">
        <v>25</v>
      </c>
      <c r="H825" s="12">
        <v>5.3495495504307904</v>
      </c>
      <c r="I825" s="11">
        <v>2.1398837030240898</v>
      </c>
      <c r="J825" s="10">
        <v>3.23641664665935E-2</v>
      </c>
      <c r="K825" s="29">
        <v>0.40730197732958101</v>
      </c>
    </row>
    <row r="826" spans="1:11" x14ac:dyDescent="0.35">
      <c r="A826" s="9" t="str">
        <f>HYPERLINK("http://www.ensembl.org/id/WBGene00007472", "WBGene00007472")</f>
        <v>WBGene00007472</v>
      </c>
      <c r="B826" s="9" t="str">
        <f>HYPERLINK("http://www.ncbi.nlm.nih.gov/gene/182437", "182437")</f>
        <v>182437</v>
      </c>
      <c r="C826" s="9"/>
      <c r="D826" t="str">
        <f>"chil-7"</f>
        <v>chil-7</v>
      </c>
      <c r="E826" t="s">
        <v>1756</v>
      </c>
      <c r="F826" t="s">
        <v>11</v>
      </c>
      <c r="G826" t="s">
        <v>1509</v>
      </c>
      <c r="H826" s="12">
        <v>5.3484184281713896</v>
      </c>
      <c r="I826" s="11">
        <v>1.1843548892015601</v>
      </c>
      <c r="J826" s="10">
        <v>0.23627260936056099</v>
      </c>
      <c r="K826" s="29">
        <v>0.98289565623980701</v>
      </c>
    </row>
    <row r="827" spans="1:11" x14ac:dyDescent="0.35">
      <c r="A827" s="9" t="str">
        <f>HYPERLINK("http://www.ensembl.org/id/WBGene00001608", "WBGene00001608")</f>
        <v>WBGene00001608</v>
      </c>
      <c r="B827" s="9" t="str">
        <f>HYPERLINK("http://www.ncbi.nlm.nih.gov/gene/187649", "187649")</f>
        <v>187649</v>
      </c>
      <c r="C827" s="9"/>
      <c r="D827" t="str">
        <f>"R07B1.8"</f>
        <v>R07B1.8</v>
      </c>
      <c r="F827" t="s">
        <v>11</v>
      </c>
      <c r="H827" s="12">
        <v>5.3455313966838904</v>
      </c>
      <c r="I827" s="11">
        <v>3.9902472273016198</v>
      </c>
      <c r="J827" s="10">
        <v>6.60044591185668E-5</v>
      </c>
      <c r="K827" s="29">
        <v>4.7659344762300097E-3</v>
      </c>
    </row>
    <row r="828" spans="1:11" x14ac:dyDescent="0.35">
      <c r="A828" s="9" t="str">
        <f>HYPERLINK("http://www.ensembl.org/id/WBGene00005868", "WBGene00005868")</f>
        <v>WBGene00005868</v>
      </c>
      <c r="B828" s="9" t="str">
        <f>HYPERLINK("http://www.ncbi.nlm.nih.gov/gene/187324", "187324")</f>
        <v>187324</v>
      </c>
      <c r="C828" s="9"/>
      <c r="D828" t="str">
        <f>"srw-121"</f>
        <v>srw-121</v>
      </c>
      <c r="E828" t="s">
        <v>1014</v>
      </c>
      <c r="F828" t="s">
        <v>11</v>
      </c>
      <c r="G828" t="s">
        <v>1015</v>
      </c>
      <c r="H828" s="12">
        <v>5.3030857934499096</v>
      </c>
      <c r="I828" s="11">
        <v>0.86072026089053</v>
      </c>
      <c r="J828" s="10">
        <v>0.38939213139055601</v>
      </c>
      <c r="K828" s="29">
        <v>0.98289565623980701</v>
      </c>
    </row>
    <row r="829" spans="1:11" x14ac:dyDescent="0.35">
      <c r="A829" s="9" t="str">
        <f>HYPERLINK("http://www.ensembl.org/id/WBGene00174366", "WBGene00174366")</f>
        <v>WBGene00174366</v>
      </c>
      <c r="B829" s="9"/>
      <c r="C829" s="9"/>
      <c r="D829" t="str">
        <f>"21ur-12218"</f>
        <v>21ur-12218</v>
      </c>
      <c r="F829" t="s">
        <v>3161</v>
      </c>
      <c r="H829" s="12">
        <v>5.2954185682811996</v>
      </c>
      <c r="I829" s="11">
        <v>0.58847157202951395</v>
      </c>
      <c r="J829" s="10">
        <v>0.55621580972939799</v>
      </c>
      <c r="K829" s="29">
        <v>0.98289565623980701</v>
      </c>
    </row>
    <row r="830" spans="1:11" x14ac:dyDescent="0.35">
      <c r="A830" s="9" t="str">
        <f>HYPERLINK("http://www.ensembl.org/id/WBGene00168589", "WBGene00168589")</f>
        <v>WBGene00168589</v>
      </c>
      <c r="B830" s="9"/>
      <c r="C830" s="9"/>
      <c r="D830" t="str">
        <f>"21ur-13782"</f>
        <v>21ur-13782</v>
      </c>
      <c r="F830" t="s">
        <v>3161</v>
      </c>
      <c r="H830" s="12">
        <v>5.2954185682811996</v>
      </c>
      <c r="I830" s="11">
        <v>0.58847157202951395</v>
      </c>
      <c r="J830" s="10">
        <v>0.55621580972939799</v>
      </c>
      <c r="K830" s="29">
        <v>0.98289565623980701</v>
      </c>
    </row>
    <row r="831" spans="1:11" x14ac:dyDescent="0.35">
      <c r="A831" s="9" t="str">
        <f>HYPERLINK("http://www.ensembl.org/id/WBGene00008013", "WBGene00008013")</f>
        <v>WBGene00008013</v>
      </c>
      <c r="B831" s="9"/>
      <c r="C831" s="9"/>
      <c r="D831" t="str">
        <f>"C38D9.5"</f>
        <v>C38D9.5</v>
      </c>
      <c r="F831" t="s">
        <v>80</v>
      </c>
      <c r="H831" s="12">
        <v>5.2954185682811996</v>
      </c>
      <c r="I831" s="11">
        <v>0.58847157202951395</v>
      </c>
      <c r="J831" s="10">
        <v>0.55621580972939799</v>
      </c>
      <c r="K831" s="29">
        <v>0.98289565623980701</v>
      </c>
    </row>
    <row r="832" spans="1:11" x14ac:dyDescent="0.35">
      <c r="A832" s="9" t="str">
        <f>HYPERLINK("http://www.ensembl.org/id/WBGene00009540", "WBGene00009540")</f>
        <v>WBGene00009540</v>
      </c>
      <c r="B832" s="9" t="str">
        <f>HYPERLINK("http://www.ncbi.nlm.nih.gov/gene/3565632", "3565632")</f>
        <v>3565632</v>
      </c>
      <c r="C832" s="9"/>
      <c r="D832" t="str">
        <f>"hlh-31"</f>
        <v>hlh-31</v>
      </c>
      <c r="E832" t="s">
        <v>1658</v>
      </c>
      <c r="F832" t="s">
        <v>11</v>
      </c>
      <c r="G832" t="s">
        <v>2971</v>
      </c>
      <c r="H832" s="12">
        <v>5.2954185682811996</v>
      </c>
      <c r="I832" s="11">
        <v>0.58847157202951395</v>
      </c>
      <c r="J832" s="10">
        <v>0.55621580972939799</v>
      </c>
      <c r="K832" s="29">
        <v>0.98289565623980701</v>
      </c>
    </row>
    <row r="833" spans="1:11" x14ac:dyDescent="0.35">
      <c r="A833" s="9" t="str">
        <f>HYPERLINK("http://www.ensembl.org/id/WBGene00010863", "WBGene00010863")</f>
        <v>WBGene00010863</v>
      </c>
      <c r="B833" s="9" t="str">
        <f>HYPERLINK("http://www.ncbi.nlm.nih.gov/gene/187444", "187444")</f>
        <v>187444</v>
      </c>
      <c r="C833" s="9"/>
      <c r="D833" t="str">
        <f>"M04D8.5"</f>
        <v>M04D8.5</v>
      </c>
      <c r="F833" t="s">
        <v>11</v>
      </c>
      <c r="G833" t="s">
        <v>25</v>
      </c>
      <c r="H833" s="12">
        <v>5.2954185682811996</v>
      </c>
      <c r="I833" s="11">
        <v>0.58847157202951395</v>
      </c>
      <c r="J833" s="10">
        <v>0.55621580972939799</v>
      </c>
      <c r="K833" s="29">
        <v>0.98289565623980701</v>
      </c>
    </row>
    <row r="834" spans="1:11" x14ac:dyDescent="0.35">
      <c r="A834" s="9" t="str">
        <f>HYPERLINK("http://www.ensembl.org/id/WBGene00198008", "WBGene00198008")</f>
        <v>WBGene00198008</v>
      </c>
      <c r="B834" s="9"/>
      <c r="C834" s="9"/>
      <c r="D834" t="str">
        <f>"M60.9"</f>
        <v>M60.9</v>
      </c>
      <c r="F834" t="s">
        <v>481</v>
      </c>
      <c r="H834" s="12">
        <v>5.2954185682811996</v>
      </c>
      <c r="I834" s="11">
        <v>0.58847157202951395</v>
      </c>
      <c r="J834" s="10">
        <v>0.55621580972939799</v>
      </c>
      <c r="K834" s="29">
        <v>0.98289565623980701</v>
      </c>
    </row>
    <row r="835" spans="1:11" x14ac:dyDescent="0.35">
      <c r="A835" s="9" t="str">
        <f>HYPERLINK("http://www.ensembl.org/id/WBGene00198598", "WBGene00198598")</f>
        <v>WBGene00198598</v>
      </c>
      <c r="B835" s="9"/>
      <c r="C835" s="9"/>
      <c r="D835" t="str">
        <f>"W01C8.12"</f>
        <v>W01C8.12</v>
      </c>
      <c r="F835" t="s">
        <v>481</v>
      </c>
      <c r="H835" s="12">
        <v>5.2954185682811996</v>
      </c>
      <c r="I835" s="11">
        <v>0.58847157202951395</v>
      </c>
      <c r="J835" s="10">
        <v>0.55621580972939799</v>
      </c>
      <c r="K835" s="29">
        <v>0.98289565623980701</v>
      </c>
    </row>
    <row r="836" spans="1:11" x14ac:dyDescent="0.35">
      <c r="A836" s="9" t="str">
        <f>HYPERLINK("http://www.ensembl.org/id/WBGene00220261", "WBGene00220261")</f>
        <v>WBGene00220261</v>
      </c>
      <c r="B836" s="9" t="str">
        <f>HYPERLINK("http://www.ncbi.nlm.nih.gov/gene/24105269", "24105269")</f>
        <v>24105269</v>
      </c>
      <c r="C836" s="9"/>
      <c r="D836" t="str">
        <f>"ZC434.10"</f>
        <v>ZC434.10</v>
      </c>
      <c r="F836" t="s">
        <v>11</v>
      </c>
      <c r="H836" s="12">
        <v>5.2954185682811996</v>
      </c>
      <c r="I836" s="11">
        <v>0.58847157202951395</v>
      </c>
      <c r="J836" s="10">
        <v>0.55621580972939799</v>
      </c>
      <c r="K836" s="29">
        <v>0.98289565623980701</v>
      </c>
    </row>
    <row r="837" spans="1:11" x14ac:dyDescent="0.35">
      <c r="A837" s="9" t="str">
        <f>HYPERLINK("http://www.ensembl.org/id/WBGene00197482", "WBGene00197482")</f>
        <v>WBGene00197482</v>
      </c>
      <c r="B837" s="9"/>
      <c r="C837" s="9"/>
      <c r="D837" t="str">
        <f>"C07A12.11"</f>
        <v>C07A12.11</v>
      </c>
      <c r="F837" t="s">
        <v>481</v>
      </c>
      <c r="H837" s="12">
        <v>5.2813932092168701</v>
      </c>
      <c r="I837" s="11">
        <v>0.88070284651011999</v>
      </c>
      <c r="J837" s="10">
        <v>0.37847867571426302</v>
      </c>
      <c r="K837" s="29">
        <v>0.98289565623980701</v>
      </c>
    </row>
    <row r="838" spans="1:11" x14ac:dyDescent="0.35">
      <c r="A838" s="9" t="str">
        <f>HYPERLINK("http://www.ensembl.org/id/WBGene00011327", "WBGene00011327")</f>
        <v>WBGene00011327</v>
      </c>
      <c r="B838" s="9" t="str">
        <f>HYPERLINK("http://www.ncbi.nlm.nih.gov/gene/179860", "179860")</f>
        <v>179860</v>
      </c>
      <c r="C838" s="9"/>
      <c r="D838" t="str">
        <f>"hlh-34"</f>
        <v>hlh-34</v>
      </c>
      <c r="E838" t="s">
        <v>4258</v>
      </c>
      <c r="F838" t="s">
        <v>11</v>
      </c>
      <c r="G838" t="s">
        <v>4259</v>
      </c>
      <c r="H838" s="12">
        <v>5.2765496263370704</v>
      </c>
      <c r="I838" s="11">
        <v>1.1841835283537401</v>
      </c>
      <c r="J838" s="10">
        <v>0.23634042097079699</v>
      </c>
      <c r="K838" s="29">
        <v>0.98289565623980701</v>
      </c>
    </row>
    <row r="839" spans="1:11" x14ac:dyDescent="0.35">
      <c r="A839" s="9" t="str">
        <f>HYPERLINK("http://www.ensembl.org/id/WBGene00014102", "WBGene00014102")</f>
        <v>WBGene00014102</v>
      </c>
      <c r="B839" s="9" t="str">
        <f>HYPERLINK("http://www.ncbi.nlm.nih.gov/gene/191437", "191437")</f>
        <v>191437</v>
      </c>
      <c r="C839" s="9"/>
      <c r="D839" t="str">
        <f>"best-25"</f>
        <v>best-25</v>
      </c>
      <c r="E839" t="s">
        <v>4260</v>
      </c>
      <c r="F839" t="s">
        <v>11</v>
      </c>
      <c r="H839" s="12">
        <v>5.2633407700080097</v>
      </c>
      <c r="I839" s="11">
        <v>0.95524053061655401</v>
      </c>
      <c r="J839" s="10">
        <v>0.33945607364740898</v>
      </c>
      <c r="K839" s="29">
        <v>0.98289565623980701</v>
      </c>
    </row>
    <row r="840" spans="1:11" x14ac:dyDescent="0.35">
      <c r="A840" s="9" t="str">
        <f>HYPERLINK("http://www.ensembl.org/id/WBGene00020233", "WBGene00020233")</f>
        <v>WBGene00020233</v>
      </c>
      <c r="B840" s="9" t="str">
        <f>HYPERLINK("http://www.ncbi.nlm.nih.gov/gene/24104850", "24104850")</f>
        <v>24104850</v>
      </c>
      <c r="C840" s="9"/>
      <c r="D840" t="str">
        <f>"T05A8.7"</f>
        <v>T05A8.7</v>
      </c>
      <c r="F840" t="s">
        <v>11</v>
      </c>
      <c r="G840" t="s">
        <v>25</v>
      </c>
      <c r="H840" s="12">
        <v>5.2527047510296203</v>
      </c>
      <c r="I840" s="11">
        <v>0.90152749392811005</v>
      </c>
      <c r="J840" s="10">
        <v>0.36730792230230502</v>
      </c>
      <c r="K840" s="29">
        <v>0.98289565623980701</v>
      </c>
    </row>
    <row r="841" spans="1:11" x14ac:dyDescent="0.35">
      <c r="A841" s="9" t="str">
        <f>HYPERLINK("http://www.ensembl.org/id/WBGene00018551", "WBGene00018551")</f>
        <v>WBGene00018551</v>
      </c>
      <c r="B841" s="9" t="str">
        <f>HYPERLINK("http://www.ncbi.nlm.nih.gov/gene/185920", "185920")</f>
        <v>185920</v>
      </c>
      <c r="C841" s="9"/>
      <c r="D841" t="str">
        <f>"F47C12.8"</f>
        <v>F47C12.8</v>
      </c>
      <c r="F841" t="s">
        <v>11</v>
      </c>
      <c r="H841" s="12">
        <v>5.2510965558712499</v>
      </c>
      <c r="I841" s="11">
        <v>0.84968764021784604</v>
      </c>
      <c r="J841" s="10">
        <v>0.39549877189576299</v>
      </c>
      <c r="K841" s="29">
        <v>0.98289565623980701</v>
      </c>
    </row>
    <row r="842" spans="1:11" x14ac:dyDescent="0.35">
      <c r="A842" s="9" t="str">
        <f>HYPERLINK("http://www.ensembl.org/id/WBGene00170943", "WBGene00170943")</f>
        <v>WBGene00170943</v>
      </c>
      <c r="B842" s="9"/>
      <c r="C842" s="9"/>
      <c r="D842" t="str">
        <f>"21ur-10720"</f>
        <v>21ur-10720</v>
      </c>
      <c r="F842" t="s">
        <v>3161</v>
      </c>
      <c r="H842" s="12">
        <v>5.2322000618327396</v>
      </c>
      <c r="I842" s="11">
        <v>0.486112489888328</v>
      </c>
      <c r="J842" s="10">
        <v>0.62688741196182496</v>
      </c>
      <c r="K842" s="29">
        <v>0.98289565623980701</v>
      </c>
    </row>
    <row r="843" spans="1:11" x14ac:dyDescent="0.35">
      <c r="A843" s="9" t="str">
        <f>HYPERLINK("http://www.ensembl.org/id/WBGene00167133", "WBGene00167133")</f>
        <v>WBGene00167133</v>
      </c>
      <c r="B843" s="9"/>
      <c r="C843" s="9"/>
      <c r="D843" t="str">
        <f>"21ur-11173"</f>
        <v>21ur-11173</v>
      </c>
      <c r="F843" t="s">
        <v>3161</v>
      </c>
      <c r="H843" s="12">
        <v>5.2322000618327396</v>
      </c>
      <c r="I843" s="11">
        <v>0.486112489888328</v>
      </c>
      <c r="J843" s="10">
        <v>0.62688741196182496</v>
      </c>
      <c r="K843" s="29">
        <v>0.98289565623980701</v>
      </c>
    </row>
    <row r="844" spans="1:11" x14ac:dyDescent="0.35">
      <c r="A844" s="9" t="str">
        <f>HYPERLINK("http://www.ensembl.org/id/WBGene00167776", "WBGene00167776")</f>
        <v>WBGene00167776</v>
      </c>
      <c r="B844" s="9"/>
      <c r="C844" s="9"/>
      <c r="D844" t="str">
        <f>"21ur-11377"</f>
        <v>21ur-11377</v>
      </c>
      <c r="F844" t="s">
        <v>3161</v>
      </c>
      <c r="H844" s="12">
        <v>5.2322000618327396</v>
      </c>
      <c r="I844" s="11">
        <v>0.486112489888328</v>
      </c>
      <c r="J844" s="10">
        <v>0.62688741196182496</v>
      </c>
      <c r="K844" s="29">
        <v>0.98289565623980701</v>
      </c>
    </row>
    <row r="845" spans="1:11" x14ac:dyDescent="0.35">
      <c r="A845" s="9" t="str">
        <f>HYPERLINK("http://www.ensembl.org/id/WBGene00174433", "WBGene00174433")</f>
        <v>WBGene00174433</v>
      </c>
      <c r="B845" s="9"/>
      <c r="C845" s="9"/>
      <c r="D845" t="str">
        <f>"21ur-15423"</f>
        <v>21ur-15423</v>
      </c>
      <c r="F845" t="s">
        <v>3161</v>
      </c>
      <c r="H845" s="12">
        <v>5.2322000618327396</v>
      </c>
      <c r="I845" s="11">
        <v>0.486112489888328</v>
      </c>
      <c r="J845" s="10">
        <v>0.62688741196182496</v>
      </c>
      <c r="K845" s="29">
        <v>0.98289565623980701</v>
      </c>
    </row>
    <row r="846" spans="1:11" x14ac:dyDescent="0.35">
      <c r="A846" s="9" t="str">
        <f>HYPERLINK("http://www.ensembl.org/id/WBGene00047233", "WBGene00047233")</f>
        <v>WBGene00047233</v>
      </c>
      <c r="B846" s="9"/>
      <c r="C846" s="9"/>
      <c r="D846" t="str">
        <f>"21ur-4118"</f>
        <v>21ur-4118</v>
      </c>
      <c r="F846" t="s">
        <v>3161</v>
      </c>
      <c r="H846" s="12">
        <v>5.2322000618327396</v>
      </c>
      <c r="I846" s="11">
        <v>0.486112489888328</v>
      </c>
      <c r="J846" s="10">
        <v>0.62688741196182496</v>
      </c>
      <c r="K846" s="29">
        <v>0.98289565623980701</v>
      </c>
    </row>
    <row r="847" spans="1:11" x14ac:dyDescent="0.35">
      <c r="A847" s="9" t="str">
        <f>HYPERLINK("http://www.ensembl.org/id/WBGene00046530", "WBGene00046530")</f>
        <v>WBGene00046530</v>
      </c>
      <c r="B847" s="9"/>
      <c r="C847" s="9"/>
      <c r="D847" t="str">
        <f>"21ur-5175"</f>
        <v>21ur-5175</v>
      </c>
      <c r="F847" t="s">
        <v>3161</v>
      </c>
      <c r="H847" s="12">
        <v>5.2322000618327396</v>
      </c>
      <c r="I847" s="11">
        <v>0.486112489888328</v>
      </c>
      <c r="J847" s="10">
        <v>0.62688741196182496</v>
      </c>
      <c r="K847" s="29">
        <v>0.98289565623980701</v>
      </c>
    </row>
    <row r="848" spans="1:11" x14ac:dyDescent="0.35">
      <c r="A848" s="9" t="str">
        <f>HYPERLINK("http://www.ensembl.org/id/WBGene00172872", "WBGene00172872")</f>
        <v>WBGene00172872</v>
      </c>
      <c r="B848" s="9"/>
      <c r="C848" s="9"/>
      <c r="D848" t="str">
        <f>"21ur-8706"</f>
        <v>21ur-8706</v>
      </c>
      <c r="F848" t="s">
        <v>3161</v>
      </c>
      <c r="H848" s="12">
        <v>5.2322000618327396</v>
      </c>
      <c r="I848" s="11">
        <v>0.486112489888328</v>
      </c>
      <c r="J848" s="10">
        <v>0.62688741196182496</v>
      </c>
      <c r="K848" s="29">
        <v>0.98289565623980701</v>
      </c>
    </row>
    <row r="849" spans="1:11" x14ac:dyDescent="0.35">
      <c r="A849" s="9" t="str">
        <f>HYPERLINK("http://www.ensembl.org/id/WBGene00045211", "WBGene00045211")</f>
        <v>WBGene00045211</v>
      </c>
      <c r="B849" s="9" t="str">
        <f>HYPERLINK("http://www.ncbi.nlm.nih.gov/gene/4926890", "4926890")</f>
        <v>4926890</v>
      </c>
      <c r="C849" s="9"/>
      <c r="D849" t="str">
        <f>"C18D11.9"</f>
        <v>C18D11.9</v>
      </c>
      <c r="F849" t="s">
        <v>11</v>
      </c>
      <c r="G849" t="s">
        <v>264</v>
      </c>
      <c r="H849" s="12">
        <v>5.2322000618327396</v>
      </c>
      <c r="I849" s="11">
        <v>0.486112489888328</v>
      </c>
      <c r="J849" s="10">
        <v>0.62688741196182496</v>
      </c>
      <c r="K849" s="29">
        <v>0.98289565623980701</v>
      </c>
    </row>
    <row r="850" spans="1:11" x14ac:dyDescent="0.35">
      <c r="A850" s="9" t="str">
        <f>HYPERLINK("http://www.ensembl.org/id/WBGene00197302", "WBGene00197302")</f>
        <v>WBGene00197302</v>
      </c>
      <c r="B850" s="9"/>
      <c r="C850" s="9"/>
      <c r="D850" t="str">
        <f>"C33F10.18"</f>
        <v>C33F10.18</v>
      </c>
      <c r="F850" t="s">
        <v>481</v>
      </c>
      <c r="H850" s="12">
        <v>5.2322000618327396</v>
      </c>
      <c r="I850" s="11">
        <v>0.486112489888328</v>
      </c>
      <c r="J850" s="10">
        <v>0.62688741196182496</v>
      </c>
      <c r="K850" s="29">
        <v>0.98289565623980701</v>
      </c>
    </row>
    <row r="851" spans="1:11" x14ac:dyDescent="0.35">
      <c r="A851" s="9" t="str">
        <f>HYPERLINK("http://www.ensembl.org/id/WBGene00199231", "WBGene00199231")</f>
        <v>WBGene00199231</v>
      </c>
      <c r="B851" s="9"/>
      <c r="C851" s="9"/>
      <c r="D851" t="str">
        <f>"C34H3.16"</f>
        <v>C34H3.16</v>
      </c>
      <c r="F851" t="s">
        <v>481</v>
      </c>
      <c r="H851" s="12">
        <v>5.2322000618327396</v>
      </c>
      <c r="I851" s="11">
        <v>0.486112489888328</v>
      </c>
      <c r="J851" s="10">
        <v>0.62688741196182496</v>
      </c>
      <c r="K851" s="29">
        <v>0.98289565623980701</v>
      </c>
    </row>
    <row r="852" spans="1:11" x14ac:dyDescent="0.35">
      <c r="A852" s="9" t="str">
        <f>HYPERLINK("http://www.ensembl.org/id/WBGene00219476", "WBGene00219476")</f>
        <v>WBGene00219476</v>
      </c>
      <c r="B852" s="9" t="str">
        <f>HYPERLINK("http://www.ncbi.nlm.nih.gov/gene/24104364", "24104364")</f>
        <v>24104364</v>
      </c>
      <c r="C852" s="9"/>
      <c r="D852" t="str">
        <f>"D1046.16"</f>
        <v>D1046.16</v>
      </c>
      <c r="F852" t="s">
        <v>11</v>
      </c>
      <c r="G852" t="s">
        <v>25</v>
      </c>
      <c r="H852" s="12">
        <v>5.2322000618327396</v>
      </c>
      <c r="I852" s="11">
        <v>0.486112489888328</v>
      </c>
      <c r="J852" s="10">
        <v>0.62688741196182496</v>
      </c>
      <c r="K852" s="29">
        <v>0.98289565623980701</v>
      </c>
    </row>
    <row r="853" spans="1:11" x14ac:dyDescent="0.35">
      <c r="A853" s="9" t="str">
        <f>HYPERLINK("http://www.ensembl.org/id/WBGene00202457", "WBGene00202457")</f>
        <v>WBGene00202457</v>
      </c>
      <c r="B853" s="9"/>
      <c r="C853" s="9"/>
      <c r="D853" t="str">
        <f>"F02E8.12"</f>
        <v>F02E8.12</v>
      </c>
      <c r="F853" t="s">
        <v>481</v>
      </c>
      <c r="H853" s="12">
        <v>5.2322000618327396</v>
      </c>
      <c r="I853" s="11">
        <v>0.486112489888328</v>
      </c>
      <c r="J853" s="10">
        <v>0.62688741196182496</v>
      </c>
      <c r="K853" s="29">
        <v>0.98289565623980701</v>
      </c>
    </row>
    <row r="854" spans="1:11" x14ac:dyDescent="0.35">
      <c r="A854" s="9" t="str">
        <f>HYPERLINK("http://www.ensembl.org/id/WBGene00014310", "WBGene00014310")</f>
        <v>WBGene00014310</v>
      </c>
      <c r="B854" s="9"/>
      <c r="C854" s="9"/>
      <c r="D854" t="str">
        <f>"F08G2.9"</f>
        <v>F08G2.9</v>
      </c>
      <c r="F854" t="s">
        <v>4205</v>
      </c>
      <c r="H854" s="12">
        <v>5.2322000618327396</v>
      </c>
      <c r="I854" s="11">
        <v>0.486112489888328</v>
      </c>
      <c r="J854" s="10">
        <v>0.62688741196182496</v>
      </c>
      <c r="K854" s="29">
        <v>0.98289565623980701</v>
      </c>
    </row>
    <row r="855" spans="1:11" x14ac:dyDescent="0.35">
      <c r="A855" s="9" t="str">
        <f>HYPERLINK("http://www.ensembl.org/id/WBGene00008790", "WBGene00008790")</f>
        <v>WBGene00008790</v>
      </c>
      <c r="B855" s="9" t="str">
        <f>HYPERLINK("http://www.ncbi.nlm.nih.gov/gene/184463", "184463")</f>
        <v>184463</v>
      </c>
      <c r="C855" s="9"/>
      <c r="D855" t="str">
        <f>"F14D7.3"</f>
        <v>F14D7.3</v>
      </c>
      <c r="F855" t="s">
        <v>11</v>
      </c>
      <c r="H855" s="12">
        <v>5.2322000618327396</v>
      </c>
      <c r="I855" s="11">
        <v>0.486112489888328</v>
      </c>
      <c r="J855" s="10">
        <v>0.62688741196182496</v>
      </c>
      <c r="K855" s="29">
        <v>0.98289565623980701</v>
      </c>
    </row>
    <row r="856" spans="1:11" x14ac:dyDescent="0.35">
      <c r="A856" s="9" t="str">
        <f>HYPERLINK("http://www.ensembl.org/id/WBGene00017465", "WBGene00017465")</f>
        <v>WBGene00017465</v>
      </c>
      <c r="B856" s="9" t="str">
        <f>HYPERLINK("http://www.ncbi.nlm.nih.gov/gene/184484", "184484")</f>
        <v>184484</v>
      </c>
      <c r="C856" s="9"/>
      <c r="D856" t="str">
        <f>"F14F9.2"</f>
        <v>F14F9.2</v>
      </c>
      <c r="F856" t="s">
        <v>11</v>
      </c>
      <c r="H856" s="12">
        <v>5.2322000618327396</v>
      </c>
      <c r="I856" s="11">
        <v>0.486112489888328</v>
      </c>
      <c r="J856" s="10">
        <v>0.62688741196182496</v>
      </c>
      <c r="K856" s="29">
        <v>0.98289565623980701</v>
      </c>
    </row>
    <row r="857" spans="1:11" x14ac:dyDescent="0.35">
      <c r="A857" s="9" t="str">
        <f>HYPERLINK("http://www.ensembl.org/id/WBGene00199143", "WBGene00199143")</f>
        <v>WBGene00199143</v>
      </c>
      <c r="B857" s="9"/>
      <c r="C857" s="9"/>
      <c r="D857" t="str">
        <f>"F25G6.19"</f>
        <v>F25G6.19</v>
      </c>
      <c r="F857" t="s">
        <v>481</v>
      </c>
      <c r="H857" s="12">
        <v>5.2322000618327396</v>
      </c>
      <c r="I857" s="11">
        <v>0.486112489888328</v>
      </c>
      <c r="J857" s="10">
        <v>0.62688741196182496</v>
      </c>
      <c r="K857" s="29">
        <v>0.98289565623980701</v>
      </c>
    </row>
    <row r="858" spans="1:11" x14ac:dyDescent="0.35">
      <c r="A858" s="9" t="str">
        <f>HYPERLINK("http://www.ensembl.org/id/WBGene00014745", "WBGene00014745")</f>
        <v>WBGene00014745</v>
      </c>
      <c r="B858" s="9"/>
      <c r="C858" s="9"/>
      <c r="D858" t="str">
        <f>"F26D2.8"</f>
        <v>F26D2.8</v>
      </c>
      <c r="F858" t="s">
        <v>80</v>
      </c>
      <c r="H858" s="12">
        <v>5.2322000618327396</v>
      </c>
      <c r="I858" s="11">
        <v>0.486112489888328</v>
      </c>
      <c r="J858" s="10">
        <v>0.62688741196182496</v>
      </c>
      <c r="K858" s="29">
        <v>0.98289565623980701</v>
      </c>
    </row>
    <row r="859" spans="1:11" x14ac:dyDescent="0.35">
      <c r="A859" s="9" t="str">
        <f>HYPERLINK("http://www.ensembl.org/id/WBGene00017871", "WBGene00017871")</f>
        <v>WBGene00017871</v>
      </c>
      <c r="B859" s="9" t="str">
        <f>HYPERLINK("http://www.ncbi.nlm.nih.gov/gene/185029", "185029")</f>
        <v>185029</v>
      </c>
      <c r="C859" s="9"/>
      <c r="D859" t="str">
        <f>"F28A10.3"</f>
        <v>F28A10.3</v>
      </c>
      <c r="F859" t="s">
        <v>11</v>
      </c>
      <c r="G859" t="s">
        <v>25</v>
      </c>
      <c r="H859" s="12">
        <v>5.2322000618327396</v>
      </c>
      <c r="I859" s="11">
        <v>0.486112489888328</v>
      </c>
      <c r="J859" s="10">
        <v>0.62688741196182496</v>
      </c>
      <c r="K859" s="29">
        <v>0.98289565623980701</v>
      </c>
    </row>
    <row r="860" spans="1:11" x14ac:dyDescent="0.35">
      <c r="A860" s="9" t="str">
        <f>HYPERLINK("http://www.ensembl.org/id/WBGene00017872", "WBGene00017872")</f>
        <v>WBGene00017872</v>
      </c>
      <c r="B860" s="9" t="str">
        <f>HYPERLINK("http://www.ncbi.nlm.nih.gov/gene/185030", "185030")</f>
        <v>185030</v>
      </c>
      <c r="C860" s="9"/>
      <c r="D860" t="str">
        <f>"F28A10.4"</f>
        <v>F28A10.4</v>
      </c>
      <c r="F860" t="s">
        <v>11</v>
      </c>
      <c r="H860" s="12">
        <v>5.2322000618327396</v>
      </c>
      <c r="I860" s="11">
        <v>0.486112489888328</v>
      </c>
      <c r="J860" s="10">
        <v>0.62688741196182496</v>
      </c>
      <c r="K860" s="29">
        <v>0.98289565623980701</v>
      </c>
    </row>
    <row r="861" spans="1:11" x14ac:dyDescent="0.35">
      <c r="A861" s="9" t="str">
        <f>HYPERLINK("http://www.ensembl.org/id/WBGene00009524", "WBGene00009524")</f>
        <v>WBGene00009524</v>
      </c>
      <c r="B861" s="9" t="str">
        <f>HYPERLINK("http://www.ncbi.nlm.nih.gov/gene/185441", "185441")</f>
        <v>185441</v>
      </c>
      <c r="C861" s="9"/>
      <c r="D861" t="str">
        <f>"F38A1.11"</f>
        <v>F38A1.11</v>
      </c>
      <c r="F861" t="s">
        <v>11</v>
      </c>
      <c r="H861" s="12">
        <v>5.2322000618327396</v>
      </c>
      <c r="I861" s="11">
        <v>0.486112489888328</v>
      </c>
      <c r="J861" s="10">
        <v>0.62688741196182496</v>
      </c>
      <c r="K861" s="29">
        <v>0.98289565623980701</v>
      </c>
    </row>
    <row r="862" spans="1:11" x14ac:dyDescent="0.35">
      <c r="A862" s="9" t="str">
        <f>HYPERLINK("http://www.ensembl.org/id/WBGene00018315", "WBGene00018315")</f>
        <v>WBGene00018315</v>
      </c>
      <c r="B862" s="9" t="str">
        <f>HYPERLINK("http://www.ncbi.nlm.nih.gov/gene/185642", "185642")</f>
        <v>185642</v>
      </c>
      <c r="C862" s="9"/>
      <c r="D862" t="str">
        <f>"F41H10.2"</f>
        <v>F41H10.2</v>
      </c>
      <c r="F862" t="s">
        <v>11</v>
      </c>
      <c r="H862" s="12">
        <v>5.2322000618327396</v>
      </c>
      <c r="I862" s="11">
        <v>0.486112489888328</v>
      </c>
      <c r="J862" s="10">
        <v>0.62688741196182496</v>
      </c>
      <c r="K862" s="29">
        <v>0.98289565623980701</v>
      </c>
    </row>
    <row r="863" spans="1:11" x14ac:dyDescent="0.35">
      <c r="A863" s="9" t="str">
        <f>HYPERLINK("http://www.ensembl.org/id/WBGene00196686", "WBGene00196686")</f>
        <v>WBGene00196686</v>
      </c>
      <c r="B863" s="9"/>
      <c r="C863" s="9"/>
      <c r="D863" t="str">
        <f>"F42E11.5"</f>
        <v>F42E11.5</v>
      </c>
      <c r="F863" t="s">
        <v>481</v>
      </c>
      <c r="H863" s="12">
        <v>5.2322000618327396</v>
      </c>
      <c r="I863" s="11">
        <v>0.486112489888328</v>
      </c>
      <c r="J863" s="10">
        <v>0.62688741196182496</v>
      </c>
      <c r="K863" s="29">
        <v>0.98289565623980701</v>
      </c>
    </row>
    <row r="864" spans="1:11" x14ac:dyDescent="0.35">
      <c r="A864" s="9" t="str">
        <f>HYPERLINK("http://www.ensembl.org/id/WBGene00018834", "WBGene00018834")</f>
        <v>WBGene00018834</v>
      </c>
      <c r="B864" s="9" t="str">
        <f>HYPERLINK("http://www.ncbi.nlm.nih.gov/gene/186252", "186252")</f>
        <v>186252</v>
      </c>
      <c r="C864" s="9"/>
      <c r="D864" t="str">
        <f>"F54F2.6"</f>
        <v>F54F2.6</v>
      </c>
      <c r="F864" t="s">
        <v>11</v>
      </c>
      <c r="H864" s="12">
        <v>5.2322000618327396</v>
      </c>
      <c r="I864" s="11">
        <v>0.486112489888328</v>
      </c>
      <c r="J864" s="10">
        <v>0.62688741196182496</v>
      </c>
      <c r="K864" s="29">
        <v>0.98289565623980701</v>
      </c>
    </row>
    <row r="865" spans="1:11" x14ac:dyDescent="0.35">
      <c r="A865" s="9" t="str">
        <f>HYPERLINK("http://www.ensembl.org/id/WBGene00195971", "WBGene00195971")</f>
        <v>WBGene00195971</v>
      </c>
      <c r="B865" s="9"/>
      <c r="C865" s="9"/>
      <c r="D865" t="str">
        <f>"F55C5.12"</f>
        <v>F55C5.12</v>
      </c>
      <c r="F865" t="s">
        <v>481</v>
      </c>
      <c r="H865" s="12">
        <v>5.2322000618327396</v>
      </c>
      <c r="I865" s="11">
        <v>0.486112489888328</v>
      </c>
      <c r="J865" s="10">
        <v>0.62688741196182496</v>
      </c>
      <c r="K865" s="29">
        <v>0.98289565623980701</v>
      </c>
    </row>
    <row r="866" spans="1:11" x14ac:dyDescent="0.35">
      <c r="A866" s="9" t="str">
        <f>HYPERLINK("http://www.ensembl.org/id/WBGene00013454", "WBGene00013454")</f>
        <v>WBGene00013454</v>
      </c>
      <c r="B866" s="9" t="str">
        <f>HYPERLINK("http://www.ncbi.nlm.nih.gov/gene/190508", "190508")</f>
        <v>190508</v>
      </c>
      <c r="C866" s="9"/>
      <c r="D866" t="str">
        <f>"fbxa-126"</f>
        <v>fbxa-126</v>
      </c>
      <c r="E866" t="s">
        <v>467</v>
      </c>
      <c r="F866" t="s">
        <v>11</v>
      </c>
      <c r="H866" s="12">
        <v>5.2322000618327396</v>
      </c>
      <c r="I866" s="11">
        <v>0.486112489888328</v>
      </c>
      <c r="J866" s="10">
        <v>0.62688741196182496</v>
      </c>
      <c r="K866" s="29">
        <v>0.98289565623980701</v>
      </c>
    </row>
    <row r="867" spans="1:11" x14ac:dyDescent="0.35">
      <c r="A867" s="9" t="str">
        <f>HYPERLINK("http://www.ensembl.org/id/WBGene00011135", "WBGene00011135")</f>
        <v>WBGene00011135</v>
      </c>
      <c r="B867" s="9" t="str">
        <f>HYPERLINK("http://www.ncbi.nlm.nih.gov/gene/187693", "187693")</f>
        <v>187693</v>
      </c>
      <c r="C867" s="9"/>
      <c r="D867" t="str">
        <f>"fbxa-147"</f>
        <v>fbxa-147</v>
      </c>
      <c r="E867" t="s">
        <v>467</v>
      </c>
      <c r="F867" t="s">
        <v>11</v>
      </c>
      <c r="G867" t="s">
        <v>54</v>
      </c>
      <c r="H867" s="12">
        <v>5.2322000618327396</v>
      </c>
      <c r="I867" s="11">
        <v>0.486112489888328</v>
      </c>
      <c r="J867" s="10">
        <v>0.62688741196182496</v>
      </c>
      <c r="K867" s="29">
        <v>0.98289565623980701</v>
      </c>
    </row>
    <row r="868" spans="1:11" x14ac:dyDescent="0.35">
      <c r="A868" s="9" t="str">
        <f>HYPERLINK("http://www.ensembl.org/id/WBGene00019159", "WBGene00019159")</f>
        <v>WBGene00019159</v>
      </c>
      <c r="B868" s="9" t="str">
        <f>HYPERLINK("http://www.ncbi.nlm.nih.gov/gene/186695", "186695")</f>
        <v>186695</v>
      </c>
      <c r="C868" s="9"/>
      <c r="D868" t="str">
        <f>"H05C05.3"</f>
        <v>H05C05.3</v>
      </c>
      <c r="F868" t="s">
        <v>11</v>
      </c>
      <c r="H868" s="12">
        <v>5.2322000618327396</v>
      </c>
      <c r="I868" s="11">
        <v>0.486112489888328</v>
      </c>
      <c r="J868" s="10">
        <v>0.62688741196182496</v>
      </c>
      <c r="K868" s="29">
        <v>0.98289565623980701</v>
      </c>
    </row>
    <row r="869" spans="1:11" x14ac:dyDescent="0.35">
      <c r="A869" s="9" t="str">
        <f>HYPERLINK("http://www.ensembl.org/id/WBGene00001967", "WBGene00001967")</f>
        <v>WBGene00001967</v>
      </c>
      <c r="B869" s="9" t="str">
        <f>HYPERLINK("http://www.ncbi.nlm.nih.gov/gene/185134", "185134")</f>
        <v>185134</v>
      </c>
      <c r="C869" s="9"/>
      <c r="D869" t="str">
        <f>"hlh-28"</f>
        <v>hlh-28</v>
      </c>
      <c r="E869" t="s">
        <v>1658</v>
      </c>
      <c r="F869" t="s">
        <v>11</v>
      </c>
      <c r="G869" t="s">
        <v>4261</v>
      </c>
      <c r="H869" s="12">
        <v>5.2322000618327396</v>
      </c>
      <c r="I869" s="11">
        <v>0.486112489888328</v>
      </c>
      <c r="J869" s="10">
        <v>0.62688741196182496</v>
      </c>
      <c r="K869" s="29">
        <v>0.98289565623980701</v>
      </c>
    </row>
    <row r="870" spans="1:11" x14ac:dyDescent="0.35">
      <c r="A870" s="9" t="str">
        <f>HYPERLINK("http://www.ensembl.org/id/WBGene00019107", "WBGene00019107")</f>
        <v>WBGene00019107</v>
      </c>
      <c r="B870" s="9"/>
      <c r="C870" s="9"/>
      <c r="D870" t="str">
        <f>"irld-10"</f>
        <v>irld-10</v>
      </c>
      <c r="F870" t="s">
        <v>80</v>
      </c>
      <c r="H870" s="12">
        <v>5.2322000618327396</v>
      </c>
      <c r="I870" s="11">
        <v>0.486112489888328</v>
      </c>
      <c r="J870" s="10">
        <v>0.62688741196182496</v>
      </c>
      <c r="K870" s="29">
        <v>0.98289565623980701</v>
      </c>
    </row>
    <row r="871" spans="1:11" x14ac:dyDescent="0.35">
      <c r="A871" s="9" t="str">
        <f>HYPERLINK("http://www.ensembl.org/id/WBGene00012542", "WBGene00012542")</f>
        <v>WBGene00012542</v>
      </c>
      <c r="B871" s="9" t="str">
        <f>HYPERLINK("http://www.ncbi.nlm.nih.gov/gene/189603", "189603")</f>
        <v>189603</v>
      </c>
      <c r="C871" s="9"/>
      <c r="D871" t="str">
        <f>"irld-56"</f>
        <v>irld-56</v>
      </c>
      <c r="E871" t="s">
        <v>1627</v>
      </c>
      <c r="F871" t="s">
        <v>11</v>
      </c>
      <c r="H871" s="12">
        <v>5.2322000618327396</v>
      </c>
      <c r="I871" s="11">
        <v>0.486112489888328</v>
      </c>
      <c r="J871" s="10">
        <v>0.62688741196182496</v>
      </c>
      <c r="K871" s="29">
        <v>0.98289565623980701</v>
      </c>
    </row>
    <row r="872" spans="1:11" x14ac:dyDescent="0.35">
      <c r="A872" s="9" t="str">
        <f>HYPERLINK("http://www.ensembl.org/id/WBGene00195687", "WBGene00195687")</f>
        <v>WBGene00195687</v>
      </c>
      <c r="B872" s="9"/>
      <c r="C872" s="9"/>
      <c r="D872" t="str">
        <f>"K03A1.8"</f>
        <v>K03A1.8</v>
      </c>
      <c r="F872" t="s">
        <v>481</v>
      </c>
      <c r="H872" s="12">
        <v>5.2322000618327396</v>
      </c>
      <c r="I872" s="11">
        <v>0.486112489888328</v>
      </c>
      <c r="J872" s="10">
        <v>0.62688741196182496</v>
      </c>
      <c r="K872" s="29">
        <v>0.98289565623980701</v>
      </c>
    </row>
    <row r="873" spans="1:11" x14ac:dyDescent="0.35">
      <c r="A873" s="9" t="str">
        <f>HYPERLINK("http://www.ensembl.org/id/WBGene00010753", "WBGene00010753")</f>
        <v>WBGene00010753</v>
      </c>
      <c r="B873" s="9"/>
      <c r="C873" s="9"/>
      <c r="D873" t="str">
        <f>"K10G4.4"</f>
        <v>K10G4.4</v>
      </c>
      <c r="F873" t="s">
        <v>80</v>
      </c>
      <c r="H873" s="12">
        <v>5.2322000618327396</v>
      </c>
      <c r="I873" s="11">
        <v>0.486112489888328</v>
      </c>
      <c r="J873" s="10">
        <v>0.62688741196182496</v>
      </c>
      <c r="K873" s="29">
        <v>0.98289565623980701</v>
      </c>
    </row>
    <row r="874" spans="1:11" x14ac:dyDescent="0.35">
      <c r="A874" s="9" t="str">
        <f>HYPERLINK("http://www.ensembl.org/id/WBGene00219604", "WBGene00219604")</f>
        <v>WBGene00219604</v>
      </c>
      <c r="B874" s="9"/>
      <c r="C874" s="9"/>
      <c r="D874" t="str">
        <f>"linc-93"</f>
        <v>linc-93</v>
      </c>
      <c r="F874" t="s">
        <v>1510</v>
      </c>
      <c r="H874" s="12">
        <v>5.2322000618327396</v>
      </c>
      <c r="I874" s="11">
        <v>0.486112489888328</v>
      </c>
      <c r="J874" s="10">
        <v>0.62688741196182496</v>
      </c>
      <c r="K874" s="29">
        <v>0.98289565623980701</v>
      </c>
    </row>
    <row r="875" spans="1:11" x14ac:dyDescent="0.35">
      <c r="A875" s="9" t="str">
        <f>HYPERLINK("http://www.ensembl.org/id/WBGene00003261", "WBGene00003261")</f>
        <v>WBGene00003261</v>
      </c>
      <c r="B875" s="9"/>
      <c r="C875" s="9"/>
      <c r="D875" t="str">
        <f>"mir-2"</f>
        <v>mir-2</v>
      </c>
      <c r="F875" t="s">
        <v>1486</v>
      </c>
      <c r="H875" s="12">
        <v>5.2322000618327396</v>
      </c>
      <c r="I875" s="11">
        <v>0.486112489888328</v>
      </c>
      <c r="J875" s="10">
        <v>0.62688741196182496</v>
      </c>
      <c r="K875" s="29">
        <v>0.98289565623980701</v>
      </c>
    </row>
    <row r="876" spans="1:11" x14ac:dyDescent="0.35">
      <c r="A876" s="9" t="str">
        <f>HYPERLINK("http://www.ensembl.org/id/WBGene00201783", "WBGene00201783")</f>
        <v>WBGene00201783</v>
      </c>
      <c r="B876" s="9"/>
      <c r="C876" s="9"/>
      <c r="D876" t="str">
        <f>"R10D12.19"</f>
        <v>R10D12.19</v>
      </c>
      <c r="F876" t="s">
        <v>481</v>
      </c>
      <c r="H876" s="12">
        <v>5.2322000618327396</v>
      </c>
      <c r="I876" s="11">
        <v>0.486112489888328</v>
      </c>
      <c r="J876" s="10">
        <v>0.62688741196182496</v>
      </c>
      <c r="K876" s="29">
        <v>0.98289565623980701</v>
      </c>
    </row>
    <row r="877" spans="1:11" x14ac:dyDescent="0.35">
      <c r="A877" s="9" t="str">
        <f>HYPERLINK("http://www.ensembl.org/id/WBGene00013283", "WBGene00013283")</f>
        <v>WBGene00013283</v>
      </c>
      <c r="B877" s="9"/>
      <c r="C877" s="9"/>
      <c r="D877" t="str">
        <f>"sre-25"</f>
        <v>sre-25</v>
      </c>
      <c r="F877" t="s">
        <v>80</v>
      </c>
      <c r="H877" s="12">
        <v>5.2322000618327396</v>
      </c>
      <c r="I877" s="11">
        <v>0.486112489888328</v>
      </c>
      <c r="J877" s="10">
        <v>0.62688741196182496</v>
      </c>
      <c r="K877" s="29">
        <v>0.98289565623980701</v>
      </c>
    </row>
    <row r="878" spans="1:11" x14ac:dyDescent="0.35">
      <c r="A878" s="9" t="str">
        <f>HYPERLINK("http://www.ensembl.org/id/WBGene00005190", "WBGene00005190")</f>
        <v>WBGene00005190</v>
      </c>
      <c r="B878" s="9" t="str">
        <f>HYPERLINK("http://www.ncbi.nlm.nih.gov/gene/184786", "184786")</f>
        <v>184786</v>
      </c>
      <c r="C878" s="9"/>
      <c r="D878" t="str">
        <f>"srg-33"</f>
        <v>srg-33</v>
      </c>
      <c r="E878" t="s">
        <v>4262</v>
      </c>
      <c r="F878" t="s">
        <v>11</v>
      </c>
      <c r="G878" t="s">
        <v>1829</v>
      </c>
      <c r="H878" s="12">
        <v>5.2322000618327396</v>
      </c>
      <c r="I878" s="11">
        <v>0.486112489888328</v>
      </c>
      <c r="J878" s="10">
        <v>0.62688741196182496</v>
      </c>
      <c r="K878" s="29">
        <v>0.98289565623980701</v>
      </c>
    </row>
    <row r="879" spans="1:11" x14ac:dyDescent="0.35">
      <c r="A879" s="9" t="str">
        <f>HYPERLINK("http://www.ensembl.org/id/WBGene00005325", "WBGene00005325")</f>
        <v>WBGene00005325</v>
      </c>
      <c r="B879" s="9"/>
      <c r="C879" s="9"/>
      <c r="D879" t="str">
        <f>"srh-106"</f>
        <v>srh-106</v>
      </c>
      <c r="F879" t="s">
        <v>80</v>
      </c>
      <c r="H879" s="12">
        <v>5.2322000618327396</v>
      </c>
      <c r="I879" s="11">
        <v>0.486112489888328</v>
      </c>
      <c r="J879" s="10">
        <v>0.62688741196182496</v>
      </c>
      <c r="K879" s="29">
        <v>0.98289565623980701</v>
      </c>
    </row>
    <row r="880" spans="1:11" x14ac:dyDescent="0.35">
      <c r="A880" s="9" t="str">
        <f>HYPERLINK("http://www.ensembl.org/id/WBGene00005386", "WBGene00005386")</f>
        <v>WBGene00005386</v>
      </c>
      <c r="B880" s="9" t="str">
        <f>HYPERLINK("http://www.ncbi.nlm.nih.gov/gene/187710", "187710")</f>
        <v>187710</v>
      </c>
      <c r="C880" s="9"/>
      <c r="D880" t="str">
        <f>"srh-170"</f>
        <v>srh-170</v>
      </c>
      <c r="E880" t="s">
        <v>153</v>
      </c>
      <c r="F880" t="s">
        <v>11</v>
      </c>
      <c r="G880" t="s">
        <v>25</v>
      </c>
      <c r="H880" s="12">
        <v>5.2322000618327396</v>
      </c>
      <c r="I880" s="11">
        <v>0.486112489888328</v>
      </c>
      <c r="J880" s="10">
        <v>0.62688741196182496</v>
      </c>
      <c r="K880" s="29">
        <v>0.98289565623980701</v>
      </c>
    </row>
    <row r="881" spans="1:11" x14ac:dyDescent="0.35">
      <c r="A881" s="9" t="str">
        <f>HYPERLINK("http://www.ensembl.org/id/WBGene00005390", "WBGene00005390")</f>
        <v>WBGene00005390</v>
      </c>
      <c r="B881" s="9" t="str">
        <f>HYPERLINK("http://www.ncbi.nlm.nih.gov/gene/185519", "185519")</f>
        <v>185519</v>
      </c>
      <c r="C881" s="9"/>
      <c r="D881" t="str">
        <f>"srh-174"</f>
        <v>srh-174</v>
      </c>
      <c r="E881" t="s">
        <v>153</v>
      </c>
      <c r="F881" t="s">
        <v>11</v>
      </c>
      <c r="G881" t="s">
        <v>25</v>
      </c>
      <c r="H881" s="12">
        <v>5.2322000618327396</v>
      </c>
      <c r="I881" s="11">
        <v>0.486112489888328</v>
      </c>
      <c r="J881" s="10">
        <v>0.62688741196182496</v>
      </c>
      <c r="K881" s="29">
        <v>0.98289565623980701</v>
      </c>
    </row>
    <row r="882" spans="1:11" x14ac:dyDescent="0.35">
      <c r="A882" s="9" t="str">
        <f>HYPERLINK("http://www.ensembl.org/id/WBGene00005266", "WBGene00005266")</f>
        <v>WBGene00005266</v>
      </c>
      <c r="B882" s="9"/>
      <c r="C882" s="9"/>
      <c r="D882" t="str">
        <f>"srh-43"</f>
        <v>srh-43</v>
      </c>
      <c r="F882" t="s">
        <v>80</v>
      </c>
      <c r="H882" s="12">
        <v>5.2322000618327396</v>
      </c>
      <c r="I882" s="11">
        <v>0.486112489888328</v>
      </c>
      <c r="J882" s="10">
        <v>0.62688741196182496</v>
      </c>
      <c r="K882" s="29">
        <v>0.98289565623980701</v>
      </c>
    </row>
    <row r="883" spans="1:11" x14ac:dyDescent="0.35">
      <c r="A883" s="9" t="str">
        <f>HYPERLINK("http://www.ensembl.org/id/WBGene00005307", "WBGene00005307")</f>
        <v>WBGene00005307</v>
      </c>
      <c r="B883" s="9"/>
      <c r="C883" s="9"/>
      <c r="D883" t="str">
        <f>"srh-86"</f>
        <v>srh-86</v>
      </c>
      <c r="F883" t="s">
        <v>80</v>
      </c>
      <c r="H883" s="12">
        <v>5.2322000618327396</v>
      </c>
      <c r="I883" s="11">
        <v>0.486112489888328</v>
      </c>
      <c r="J883" s="10">
        <v>0.62688741196182496</v>
      </c>
      <c r="K883" s="29">
        <v>0.98289565623980701</v>
      </c>
    </row>
    <row r="884" spans="1:11" x14ac:dyDescent="0.35">
      <c r="A884" s="9" t="str">
        <f>HYPERLINK("http://www.ensembl.org/id/WBGene00005525", "WBGene00005525")</f>
        <v>WBGene00005525</v>
      </c>
      <c r="B884" s="9" t="str">
        <f>HYPERLINK("http://www.ncbi.nlm.nih.gov/gene/187388", "187388")</f>
        <v>187388</v>
      </c>
      <c r="C884" s="9"/>
      <c r="D884" t="str">
        <f>"sri-13"</f>
        <v>sri-13</v>
      </c>
      <c r="E884" t="s">
        <v>1503</v>
      </c>
      <c r="F884" t="s">
        <v>11</v>
      </c>
      <c r="G884" t="s">
        <v>25</v>
      </c>
      <c r="H884" s="12">
        <v>5.2322000618327396</v>
      </c>
      <c r="I884" s="11">
        <v>0.486112489888328</v>
      </c>
      <c r="J884" s="10">
        <v>0.62688741196182496</v>
      </c>
      <c r="K884" s="29">
        <v>0.98289565623980701</v>
      </c>
    </row>
    <row r="885" spans="1:11" x14ac:dyDescent="0.35">
      <c r="A885" s="9" t="str">
        <f>HYPERLINK("http://www.ensembl.org/id/WBGene00005565", "WBGene00005565")</f>
        <v>WBGene00005565</v>
      </c>
      <c r="B885" s="9" t="str">
        <f>HYPERLINK("http://www.ncbi.nlm.nih.gov/gene/191922", "191922")</f>
        <v>191922</v>
      </c>
      <c r="C885" s="9"/>
      <c r="D885" t="str">
        <f>"sri-53"</f>
        <v>sri-53</v>
      </c>
      <c r="E885" t="s">
        <v>1503</v>
      </c>
      <c r="F885" t="s">
        <v>11</v>
      </c>
      <c r="G885" t="s">
        <v>25</v>
      </c>
      <c r="H885" s="12">
        <v>5.2322000618327396</v>
      </c>
      <c r="I885" s="11">
        <v>0.486112489888328</v>
      </c>
      <c r="J885" s="10">
        <v>0.62688741196182496</v>
      </c>
      <c r="K885" s="29">
        <v>0.98289565623980701</v>
      </c>
    </row>
    <row r="886" spans="1:11" x14ac:dyDescent="0.35">
      <c r="A886" s="9" t="str">
        <f>HYPERLINK("http://www.ensembl.org/id/WBGene00017615", "WBGene00017615")</f>
        <v>WBGene00017615</v>
      </c>
      <c r="B886" s="9" t="str">
        <f>HYPERLINK("http://www.ncbi.nlm.nih.gov/gene/184705", "184705")</f>
        <v>184705</v>
      </c>
      <c r="C886" s="9"/>
      <c r="D886" t="str">
        <f>"srsx-32"</f>
        <v>srsx-32</v>
      </c>
      <c r="E886" t="s">
        <v>1639</v>
      </c>
      <c r="F886" t="s">
        <v>11</v>
      </c>
      <c r="G886" t="s">
        <v>1089</v>
      </c>
      <c r="H886" s="12">
        <v>5.2322000618327396</v>
      </c>
      <c r="I886" s="11">
        <v>0.486112489888328</v>
      </c>
      <c r="J886" s="10">
        <v>0.62688741196182496</v>
      </c>
      <c r="K886" s="29">
        <v>0.98289565623980701</v>
      </c>
    </row>
    <row r="887" spans="1:11" x14ac:dyDescent="0.35">
      <c r="A887" s="9" t="str">
        <f>HYPERLINK("http://www.ensembl.org/id/WBGene00005971", "WBGene00005971")</f>
        <v>WBGene00005971</v>
      </c>
      <c r="B887" s="9" t="str">
        <f>HYPERLINK("http://www.ncbi.nlm.nih.gov/gene/3564918", "3564918")</f>
        <v>3564918</v>
      </c>
      <c r="C887" s="9"/>
      <c r="D887" t="str">
        <f>"srx-80"</f>
        <v>srx-80</v>
      </c>
      <c r="E887" t="s">
        <v>1477</v>
      </c>
      <c r="F887" t="s">
        <v>11</v>
      </c>
      <c r="G887" t="s">
        <v>25</v>
      </c>
      <c r="H887" s="12">
        <v>5.2322000618327396</v>
      </c>
      <c r="I887" s="11">
        <v>0.486112489888328</v>
      </c>
      <c r="J887" s="10">
        <v>0.62688741196182496</v>
      </c>
      <c r="K887" s="29">
        <v>0.98289565623980701</v>
      </c>
    </row>
    <row r="888" spans="1:11" x14ac:dyDescent="0.35">
      <c r="A888" s="9" t="str">
        <f>HYPERLINK("http://www.ensembl.org/id/WBGene00009763", "WBGene00009763")</f>
        <v>WBGene00009763</v>
      </c>
      <c r="B888" s="9" t="str">
        <f>HYPERLINK("http://www.ncbi.nlm.nih.gov/gene/185834", "185834")</f>
        <v>185834</v>
      </c>
      <c r="C888" s="9"/>
      <c r="D888" t="str">
        <f>"srz-18"</f>
        <v>srz-18</v>
      </c>
      <c r="E888" t="s">
        <v>4211</v>
      </c>
      <c r="F888" t="s">
        <v>11</v>
      </c>
      <c r="G888" t="s">
        <v>25</v>
      </c>
      <c r="H888" s="12">
        <v>5.2322000618327396</v>
      </c>
      <c r="I888" s="11">
        <v>0.486112489888328</v>
      </c>
      <c r="J888" s="10">
        <v>0.62688741196182496</v>
      </c>
      <c r="K888" s="29">
        <v>0.98289565623980701</v>
      </c>
    </row>
    <row r="889" spans="1:11" x14ac:dyDescent="0.35">
      <c r="A889" s="9" t="str">
        <f>HYPERLINK("http://www.ensembl.org/id/WBGene00006087", "WBGene00006087")</f>
        <v>WBGene00006087</v>
      </c>
      <c r="B889" s="9" t="str">
        <f>HYPERLINK("http://www.ncbi.nlm.nih.gov/gene/191970", "191970")</f>
        <v>191970</v>
      </c>
      <c r="C889" s="9"/>
      <c r="D889" t="str">
        <f>"str-20"</f>
        <v>str-20</v>
      </c>
      <c r="E889" t="s">
        <v>590</v>
      </c>
      <c r="F889" t="s">
        <v>11</v>
      </c>
      <c r="G889" t="s">
        <v>25</v>
      </c>
      <c r="H889" s="12">
        <v>5.2322000618327396</v>
      </c>
      <c r="I889" s="11">
        <v>0.486112489888328</v>
      </c>
      <c r="J889" s="10">
        <v>0.62688741196182496</v>
      </c>
      <c r="K889" s="29">
        <v>0.98289565623980701</v>
      </c>
    </row>
    <row r="890" spans="1:11" x14ac:dyDescent="0.35">
      <c r="A890" s="9" t="str">
        <f>HYPERLINK("http://www.ensembl.org/id/WBGene00006282", "WBGene00006282")</f>
        <v>WBGene00006282</v>
      </c>
      <c r="B890" s="9" t="str">
        <f>HYPERLINK("http://www.ncbi.nlm.nih.gov/gene/192045", "192045")</f>
        <v>192045</v>
      </c>
      <c r="C890" s="9"/>
      <c r="D890" t="str">
        <f>"str-256"</f>
        <v>str-256</v>
      </c>
      <c r="E890" t="s">
        <v>590</v>
      </c>
      <c r="F890" t="s">
        <v>11</v>
      </c>
      <c r="G890" t="s">
        <v>591</v>
      </c>
      <c r="H890" s="12">
        <v>5.2322000618327396</v>
      </c>
      <c r="I890" s="11">
        <v>0.486112489888328</v>
      </c>
      <c r="J890" s="10">
        <v>0.62688741196182496</v>
      </c>
      <c r="K890" s="29">
        <v>0.98289565623980701</v>
      </c>
    </row>
    <row r="891" spans="1:11" x14ac:dyDescent="0.35">
      <c r="A891" s="9" t="str">
        <f>HYPERLINK("http://www.ensembl.org/id/WBGene00202089", "WBGene00202089")</f>
        <v>WBGene00202089</v>
      </c>
      <c r="B891" s="9"/>
      <c r="C891" s="9"/>
      <c r="D891" t="str">
        <f>"T01G1.7"</f>
        <v>T01G1.7</v>
      </c>
      <c r="F891" t="s">
        <v>481</v>
      </c>
      <c r="H891" s="12">
        <v>5.2322000618327396</v>
      </c>
      <c r="I891" s="11">
        <v>0.486112489888328</v>
      </c>
      <c r="J891" s="10">
        <v>0.62688741196182496</v>
      </c>
      <c r="K891" s="29">
        <v>0.98289565623980701</v>
      </c>
    </row>
    <row r="892" spans="1:11" x14ac:dyDescent="0.35">
      <c r="A892" s="9" t="str">
        <f>HYPERLINK("http://www.ensembl.org/id/WBGene00220057", "WBGene00220057")</f>
        <v>WBGene00220057</v>
      </c>
      <c r="B892" s="9"/>
      <c r="C892" s="9"/>
      <c r="D892" t="str">
        <f>"T04C9.13"</f>
        <v>T04C9.13</v>
      </c>
      <c r="F892" t="s">
        <v>481</v>
      </c>
      <c r="H892" s="12">
        <v>5.2322000618327396</v>
      </c>
      <c r="I892" s="11">
        <v>0.486112489888328</v>
      </c>
      <c r="J892" s="10">
        <v>0.62688741196182496</v>
      </c>
      <c r="K892" s="29">
        <v>0.98289565623980701</v>
      </c>
    </row>
    <row r="893" spans="1:11" x14ac:dyDescent="0.35">
      <c r="A893" s="9" t="str">
        <f>HYPERLINK("http://www.ensembl.org/id/WBGene00271649", "WBGene00271649")</f>
        <v>WBGene00271649</v>
      </c>
      <c r="B893" s="9"/>
      <c r="C893" s="9"/>
      <c r="D893" t="str">
        <f>"T22A3.13"</f>
        <v>T22A3.13</v>
      </c>
      <c r="F893" t="s">
        <v>481</v>
      </c>
      <c r="H893" s="12">
        <v>5.2322000618327396</v>
      </c>
      <c r="I893" s="11">
        <v>0.486112489888328</v>
      </c>
      <c r="J893" s="10">
        <v>0.62688741196182496</v>
      </c>
      <c r="K893" s="29">
        <v>0.98289565623980701</v>
      </c>
    </row>
    <row r="894" spans="1:11" x14ac:dyDescent="0.35">
      <c r="A894" s="9" t="str">
        <f>HYPERLINK("http://www.ensembl.org/id/WBGene00044085", "WBGene00044085")</f>
        <v>WBGene00044085</v>
      </c>
      <c r="B894" s="9"/>
      <c r="C894" s="9"/>
      <c r="D894" t="str">
        <f>"Y105C5B.30"</f>
        <v>Y105C5B.30</v>
      </c>
      <c r="F894" t="s">
        <v>80</v>
      </c>
      <c r="H894" s="12">
        <v>5.2322000618327396</v>
      </c>
      <c r="I894" s="11">
        <v>0.486112489888328</v>
      </c>
      <c r="J894" s="10">
        <v>0.62688741196182496</v>
      </c>
      <c r="K894" s="29">
        <v>0.98289565623980701</v>
      </c>
    </row>
    <row r="895" spans="1:11" x14ac:dyDescent="0.35">
      <c r="A895" s="9" t="str">
        <f>HYPERLINK("http://www.ensembl.org/id/WBGene00200267", "WBGene00200267")</f>
        <v>WBGene00200267</v>
      </c>
      <c r="B895" s="9"/>
      <c r="C895" s="9"/>
      <c r="D895" t="str">
        <f>"Y69A2AR.42"</f>
        <v>Y69A2AR.42</v>
      </c>
      <c r="F895" t="s">
        <v>481</v>
      </c>
      <c r="H895" s="12">
        <v>5.2322000618327396</v>
      </c>
      <c r="I895" s="11">
        <v>0.486112489888328</v>
      </c>
      <c r="J895" s="10">
        <v>0.62688741196182496</v>
      </c>
      <c r="K895" s="29">
        <v>0.98289565623980701</v>
      </c>
    </row>
    <row r="896" spans="1:11" x14ac:dyDescent="0.35">
      <c r="A896" s="9" t="str">
        <f>HYPERLINK("http://www.ensembl.org/id/WBGene00235237", "WBGene00235237")</f>
        <v>WBGene00235237</v>
      </c>
      <c r="B896" s="9"/>
      <c r="C896" s="9"/>
      <c r="D896" t="str">
        <f>"Y71A12B.33"</f>
        <v>Y71A12B.33</v>
      </c>
      <c r="F896" t="s">
        <v>481</v>
      </c>
      <c r="H896" s="12">
        <v>5.2322000618327396</v>
      </c>
      <c r="I896" s="11">
        <v>0.486112489888328</v>
      </c>
      <c r="J896" s="10">
        <v>0.62688741196182496</v>
      </c>
      <c r="K896" s="29">
        <v>0.98289565623980701</v>
      </c>
    </row>
    <row r="897" spans="1:11" x14ac:dyDescent="0.35">
      <c r="A897" s="9" t="str">
        <f>HYPERLINK("http://www.ensembl.org/id/WBGene00219691", "WBGene00219691")</f>
        <v>WBGene00219691</v>
      </c>
      <c r="B897" s="9"/>
      <c r="C897" s="9"/>
      <c r="D897" t="str">
        <f>"linc-106"</f>
        <v>linc-106</v>
      </c>
      <c r="F897" t="s">
        <v>1510</v>
      </c>
      <c r="H897" s="12">
        <v>5.23100187001008</v>
      </c>
      <c r="I897" s="11">
        <v>1.11258089193302</v>
      </c>
      <c r="J897" s="10">
        <v>0.26588847077005601</v>
      </c>
      <c r="K897" s="29">
        <v>0.98289565623980701</v>
      </c>
    </row>
    <row r="898" spans="1:11" x14ac:dyDescent="0.35">
      <c r="A898" s="9" t="str">
        <f>HYPERLINK("http://www.ensembl.org/id/WBGene00045314", "WBGene00045314")</f>
        <v>WBGene00045314</v>
      </c>
      <c r="B898" s="9"/>
      <c r="C898" s="9"/>
      <c r="D898" t="str">
        <f>"Y39C12A.10"</f>
        <v>Y39C12A.10</v>
      </c>
      <c r="F898" t="s">
        <v>80</v>
      </c>
      <c r="H898" s="12">
        <v>5.2256940684203599</v>
      </c>
      <c r="I898" s="11">
        <v>0.95678045783097498</v>
      </c>
      <c r="J898" s="10">
        <v>0.338678077916229</v>
      </c>
      <c r="K898" s="29">
        <v>0.98289565623980701</v>
      </c>
    </row>
    <row r="899" spans="1:11" x14ac:dyDescent="0.35">
      <c r="A899" s="9" t="str">
        <f>HYPERLINK("http://www.ensembl.org/id/WBGene00019669", "WBGene00019669")</f>
        <v>WBGene00019669</v>
      </c>
      <c r="B899" s="9" t="str">
        <f>HYPERLINK("http://www.ncbi.nlm.nih.gov/gene/187317", "187317")</f>
        <v>187317</v>
      </c>
      <c r="C899" s="9"/>
      <c r="D899" t="str">
        <f>"K12B6.4"</f>
        <v>K12B6.4</v>
      </c>
      <c r="F899" t="s">
        <v>11</v>
      </c>
      <c r="G899" t="s">
        <v>25</v>
      </c>
      <c r="H899" s="12">
        <v>5.2038376576844199</v>
      </c>
      <c r="I899" s="11">
        <v>1.78842878389825</v>
      </c>
      <c r="J899" s="10">
        <v>7.3706855870170396E-2</v>
      </c>
      <c r="K899" s="29">
        <v>0.64073386446055602</v>
      </c>
    </row>
    <row r="900" spans="1:11" x14ac:dyDescent="0.35">
      <c r="A900" s="9" t="str">
        <f>HYPERLINK("http://www.ensembl.org/id/WBGene00271598", "WBGene00271598")</f>
        <v>WBGene00271598</v>
      </c>
      <c r="B900" s="9"/>
      <c r="C900" s="9"/>
      <c r="D900" t="str">
        <f>"Y18D10A.30"</f>
        <v>Y18D10A.30</v>
      </c>
      <c r="F900" t="s">
        <v>80</v>
      </c>
      <c r="H900" s="12">
        <v>5.1811368191421501</v>
      </c>
      <c r="I900" s="11">
        <v>0.68391079834567003</v>
      </c>
      <c r="J900" s="10">
        <v>0.49403149486534498</v>
      </c>
      <c r="K900" s="29">
        <v>0.98289565623980701</v>
      </c>
    </row>
    <row r="901" spans="1:11" x14ac:dyDescent="0.35">
      <c r="A901" s="9" t="str">
        <f>HYPERLINK("http://www.ensembl.org/id/WBGene00022526", "WBGene00022526")</f>
        <v>WBGene00022526</v>
      </c>
      <c r="B901" s="9"/>
      <c r="C901" s="9"/>
      <c r="D901" t="str">
        <f>"ZC132.8"</f>
        <v>ZC132.8</v>
      </c>
      <c r="F901" t="s">
        <v>80</v>
      </c>
      <c r="H901" s="12">
        <v>5.1811368191421501</v>
      </c>
      <c r="I901" s="11">
        <v>0.68391079834567003</v>
      </c>
      <c r="J901" s="10">
        <v>0.49403149486534498</v>
      </c>
      <c r="K901" s="29">
        <v>0.98289565623980701</v>
      </c>
    </row>
    <row r="902" spans="1:11" x14ac:dyDescent="0.35">
      <c r="A902" s="9" t="str">
        <f>HYPERLINK("http://www.ensembl.org/id/WBGene00018326", "WBGene00018326")</f>
        <v>WBGene00018326</v>
      </c>
      <c r="B902" s="9"/>
      <c r="C902" s="9"/>
      <c r="D902" t="str">
        <f>"cyp-25A5"</f>
        <v>cyp-25A5</v>
      </c>
      <c r="F902" t="s">
        <v>80</v>
      </c>
      <c r="H902" s="12">
        <v>5.1744023487790596</v>
      </c>
      <c r="I902" s="11">
        <v>1.67156196396462</v>
      </c>
      <c r="J902" s="10">
        <v>9.4610730397273801E-2</v>
      </c>
      <c r="K902" s="29">
        <v>0.71068775570852005</v>
      </c>
    </row>
    <row r="903" spans="1:11" x14ac:dyDescent="0.35">
      <c r="A903" s="9" t="str">
        <f>HYPERLINK("http://www.ensembl.org/id/WBGene00016696", "WBGene00016696")</f>
        <v>WBGene00016696</v>
      </c>
      <c r="B903" s="9" t="str">
        <f>HYPERLINK("http://www.ncbi.nlm.nih.gov/gene/183496", "183496")</f>
        <v>183496</v>
      </c>
      <c r="C903" s="9"/>
      <c r="D903" t="str">
        <f>"srbc-19"</f>
        <v>srbc-19</v>
      </c>
      <c r="E903" t="s">
        <v>3034</v>
      </c>
      <c r="F903" t="s">
        <v>11</v>
      </c>
      <c r="G903" t="s">
        <v>25</v>
      </c>
      <c r="H903" s="12">
        <v>5.1610374191691797</v>
      </c>
      <c r="I903" s="11">
        <v>1.0563709251743501</v>
      </c>
      <c r="J903" s="10">
        <v>0.29079878396865599</v>
      </c>
      <c r="K903" s="29">
        <v>0.98289565623980701</v>
      </c>
    </row>
    <row r="904" spans="1:11" x14ac:dyDescent="0.35">
      <c r="A904" s="9" t="str">
        <f>HYPERLINK("http://www.ensembl.org/id/WBGene00164972", "WBGene00164972")</f>
        <v>WBGene00164972</v>
      </c>
      <c r="B904" s="9" t="str">
        <f>HYPERLINK("http://www.ncbi.nlm.nih.gov/gene/13222642", "13222642")</f>
        <v>13222642</v>
      </c>
      <c r="C904" s="9"/>
      <c r="D904" t="str">
        <f>"T21E8.7"</f>
        <v>T21E8.7</v>
      </c>
      <c r="F904" t="s">
        <v>11</v>
      </c>
      <c r="H904" s="12">
        <v>5.1291082553793101</v>
      </c>
      <c r="I904" s="11">
        <v>0.76793124873224705</v>
      </c>
      <c r="J904" s="10">
        <v>0.44252803127534801</v>
      </c>
      <c r="K904" s="29">
        <v>0.98289565623980701</v>
      </c>
    </row>
    <row r="905" spans="1:11" x14ac:dyDescent="0.35">
      <c r="A905" s="9" t="str">
        <f>HYPERLINK("http://www.ensembl.org/id/WBGene00077606", "WBGene00077606")</f>
        <v>WBGene00077606</v>
      </c>
      <c r="B905" s="9"/>
      <c r="C905" s="9"/>
      <c r="D905" t="str">
        <f>"C06C6.10"</f>
        <v>C06C6.10</v>
      </c>
      <c r="F905" t="s">
        <v>80</v>
      </c>
      <c r="H905" s="12">
        <v>5.1105984548363699</v>
      </c>
      <c r="I905" s="11">
        <v>0.61670563370264897</v>
      </c>
      <c r="J905" s="10">
        <v>0.53742890461166004</v>
      </c>
      <c r="K905" s="29">
        <v>0.98289565623980701</v>
      </c>
    </row>
    <row r="906" spans="1:11" x14ac:dyDescent="0.35">
      <c r="A906" s="9" t="str">
        <f>HYPERLINK("http://www.ensembl.org/id/WBGene00018110", "WBGene00018110")</f>
        <v>WBGene00018110</v>
      </c>
      <c r="B906" s="9" t="str">
        <f>HYPERLINK("http://www.ncbi.nlm.nih.gov/gene/185388", "185388")</f>
        <v>185388</v>
      </c>
      <c r="C906" s="9"/>
      <c r="D906" t="str">
        <f>"F36H9.1"</f>
        <v>F36H9.1</v>
      </c>
      <c r="F906" t="s">
        <v>11</v>
      </c>
      <c r="G906" t="s">
        <v>4263</v>
      </c>
      <c r="H906" s="12">
        <v>5.1105984548363699</v>
      </c>
      <c r="I906" s="11">
        <v>0.61670563370264897</v>
      </c>
      <c r="J906" s="10">
        <v>0.53742890461166004</v>
      </c>
      <c r="K906" s="29">
        <v>0.98289565623980701</v>
      </c>
    </row>
    <row r="907" spans="1:11" x14ac:dyDescent="0.35">
      <c r="A907" s="9" t="str">
        <f>HYPERLINK("http://www.ensembl.org/id/WBGene00020308", "WBGene00020308")</f>
        <v>WBGene00020308</v>
      </c>
      <c r="B907" s="9"/>
      <c r="C907" s="9"/>
      <c r="D907" t="str">
        <f>"T07D3.5"</f>
        <v>T07D3.5</v>
      </c>
      <c r="F907" t="s">
        <v>80</v>
      </c>
      <c r="H907" s="12">
        <v>5.09837976939356</v>
      </c>
      <c r="I907" s="11">
        <v>0.82441941044504197</v>
      </c>
      <c r="J907" s="10">
        <v>0.40970128954226798</v>
      </c>
      <c r="K907" s="29">
        <v>0.98289565623980701</v>
      </c>
    </row>
    <row r="908" spans="1:11" x14ac:dyDescent="0.35">
      <c r="A908" s="9" t="str">
        <f>HYPERLINK("http://www.ensembl.org/id/WBGene00006211", "WBGene00006211")</f>
        <v>WBGene00006211</v>
      </c>
      <c r="B908" s="9" t="str">
        <f>HYPERLINK("http://www.ncbi.nlm.nih.gov/gene/192021", "192021")</f>
        <v>192021</v>
      </c>
      <c r="C908" s="9"/>
      <c r="D908" t="str">
        <f>"str-166"</f>
        <v>str-166</v>
      </c>
      <c r="E908" t="s">
        <v>590</v>
      </c>
      <c r="F908" t="s">
        <v>11</v>
      </c>
      <c r="G908" t="s">
        <v>591</v>
      </c>
      <c r="H908" s="12">
        <v>5.0978122061745097</v>
      </c>
      <c r="I908" s="11">
        <v>1.5126294084735701</v>
      </c>
      <c r="J908" s="10">
        <v>0.13037381974818099</v>
      </c>
      <c r="K908" s="29">
        <v>0.81332176970400405</v>
      </c>
    </row>
    <row r="909" spans="1:11" x14ac:dyDescent="0.35">
      <c r="A909" s="9" t="str">
        <f>HYPERLINK("http://www.ensembl.org/id/WBGene00195214", "WBGene00195214")</f>
        <v>WBGene00195214</v>
      </c>
      <c r="B909" s="9" t="str">
        <f>HYPERLINK("http://www.ncbi.nlm.nih.gov/gene/13223340", "13223340")</f>
        <v>13223340</v>
      </c>
      <c r="C909" s="9"/>
      <c r="D909" t="str">
        <f>"F11C1.10"</f>
        <v>F11C1.10</v>
      </c>
      <c r="F909" t="s">
        <v>11</v>
      </c>
      <c r="G909" t="s">
        <v>3418</v>
      </c>
      <c r="H909" s="12">
        <v>5.0904983902205601</v>
      </c>
      <c r="I909" s="11">
        <v>1.38443093821941</v>
      </c>
      <c r="J909" s="10">
        <v>0.16622654113934501</v>
      </c>
      <c r="K909" s="29">
        <v>0.88498397685845498</v>
      </c>
    </row>
    <row r="910" spans="1:11" x14ac:dyDescent="0.35">
      <c r="A910" s="9" t="str">
        <f>HYPERLINK("http://www.ensembl.org/id/WBGene00011246", "WBGene00011246")</f>
        <v>WBGene00011246</v>
      </c>
      <c r="B910" s="9" t="str">
        <f>HYPERLINK("http://www.ncbi.nlm.nih.gov/gene/187808", "187808")</f>
        <v>187808</v>
      </c>
      <c r="C910" s="9"/>
      <c r="D910" t="str">
        <f>"R11D1.7"</f>
        <v>R11D1.7</v>
      </c>
      <c r="F910" t="s">
        <v>11</v>
      </c>
      <c r="G910" t="s">
        <v>25</v>
      </c>
      <c r="H910" s="12">
        <v>5.0824379438143099</v>
      </c>
      <c r="I910" s="11">
        <v>0.88614343203194801</v>
      </c>
      <c r="J910" s="10">
        <v>0.37554024154840099</v>
      </c>
      <c r="K910" s="29">
        <v>0.98289565623980701</v>
      </c>
    </row>
    <row r="911" spans="1:11" x14ac:dyDescent="0.35">
      <c r="A911" s="9" t="str">
        <f>HYPERLINK("http://www.ensembl.org/id/WBGene00015496", "WBGene00015496")</f>
        <v>WBGene00015496</v>
      </c>
      <c r="B911" s="9" t="str">
        <f>HYPERLINK("http://www.ncbi.nlm.nih.gov/gene/182274", "182274")</f>
        <v>182274</v>
      </c>
      <c r="C911" s="9"/>
      <c r="D911" t="str">
        <f>"C05E11.7"</f>
        <v>C05E11.7</v>
      </c>
      <c r="F911" t="s">
        <v>11</v>
      </c>
      <c r="H911" s="12">
        <v>5.0680897532040499</v>
      </c>
      <c r="I911" s="11">
        <v>2.7623114535352999</v>
      </c>
      <c r="J911" s="10">
        <v>5.7393700265151101E-3</v>
      </c>
      <c r="K911" s="29">
        <v>0.133548724907007</v>
      </c>
    </row>
    <row r="912" spans="1:11" x14ac:dyDescent="0.35">
      <c r="A912" s="9" t="str">
        <f>HYPERLINK("http://www.ensembl.org/id/WBGene00016211", "WBGene00016211")</f>
        <v>WBGene00016211</v>
      </c>
      <c r="B912" s="9"/>
      <c r="C912" s="9"/>
      <c r="D912" t="str">
        <f>"sdz-3"</f>
        <v>sdz-3</v>
      </c>
      <c r="F912" t="s">
        <v>80</v>
      </c>
      <c r="H912" s="12">
        <v>5.0621823887371802</v>
      </c>
      <c r="I912" s="11">
        <v>0.88437851299889902</v>
      </c>
      <c r="J912" s="10">
        <v>0.37649191809895499</v>
      </c>
      <c r="K912" s="29">
        <v>0.98289565623980701</v>
      </c>
    </row>
    <row r="913" spans="1:11" x14ac:dyDescent="0.35">
      <c r="A913" s="9" t="str">
        <f>HYPERLINK("http://www.ensembl.org/id/WBGene00013486", "WBGene00013486")</f>
        <v>WBGene00013486</v>
      </c>
      <c r="B913" s="9" t="str">
        <f>HYPERLINK("http://www.ncbi.nlm.nih.gov/gene/180219", "180219")</f>
        <v>180219</v>
      </c>
      <c r="C913" s="9"/>
      <c r="D913" t="str">
        <f>"egas-1"</f>
        <v>egas-1</v>
      </c>
      <c r="E913" t="s">
        <v>1210</v>
      </c>
      <c r="F913" t="s">
        <v>11</v>
      </c>
      <c r="G913" t="s">
        <v>1211</v>
      </c>
      <c r="H913" s="12">
        <v>5.0590988969241604</v>
      </c>
      <c r="I913" s="11">
        <v>2.3909929810033099</v>
      </c>
      <c r="J913" s="10">
        <v>1.6802874103940602E-2</v>
      </c>
      <c r="K913" s="29">
        <v>0.27167535891182498</v>
      </c>
    </row>
    <row r="914" spans="1:11" x14ac:dyDescent="0.35">
      <c r="A914" s="9" t="str">
        <f>HYPERLINK("http://www.ensembl.org/id/WBGene00021724", "WBGene00021724")</f>
        <v>WBGene00021724</v>
      </c>
      <c r="B914" s="9" t="str">
        <f>HYPERLINK("http://www.ncbi.nlm.nih.gov/gene/190085", "190085")</f>
        <v>190085</v>
      </c>
      <c r="C914" s="9"/>
      <c r="D914" t="str">
        <f>"Y49F6C.2"</f>
        <v>Y49F6C.2</v>
      </c>
      <c r="F914" t="s">
        <v>11</v>
      </c>
      <c r="H914" s="12">
        <v>5.0577248470803502</v>
      </c>
      <c r="I914" s="11">
        <v>0.99131033237519794</v>
      </c>
      <c r="J914" s="10">
        <v>0.32153406926224798</v>
      </c>
      <c r="K914" s="29">
        <v>0.98289565623980701</v>
      </c>
    </row>
    <row r="915" spans="1:11" x14ac:dyDescent="0.35">
      <c r="A915" s="9" t="str">
        <f>HYPERLINK("http://www.ensembl.org/id/WBGene00017068", "WBGene00017068")</f>
        <v>WBGene00017068</v>
      </c>
      <c r="B915" s="9" t="str">
        <f>HYPERLINK("http://www.ncbi.nlm.nih.gov/gene/172380", "172380")</f>
        <v>172380</v>
      </c>
      <c r="C915" s="9"/>
      <c r="D915" t="str">
        <f>"D2092.8"</f>
        <v>D2092.8</v>
      </c>
      <c r="F915" t="s">
        <v>11</v>
      </c>
      <c r="H915" s="12">
        <v>5.0432132939342198</v>
      </c>
      <c r="I915" s="11">
        <v>3.4035332795783702</v>
      </c>
      <c r="J915" s="10">
        <v>6.6520309340130704E-4</v>
      </c>
      <c r="K915" s="29">
        <v>2.83582706201672E-2</v>
      </c>
    </row>
    <row r="916" spans="1:11" x14ac:dyDescent="0.35">
      <c r="A916" s="9" t="str">
        <f>HYPERLINK("http://www.ensembl.org/id/WBGene00005941", "WBGene00005941")</f>
        <v>WBGene00005941</v>
      </c>
      <c r="B916" s="9" t="str">
        <f>HYPERLINK("http://www.ncbi.nlm.nih.gov/gene/177478", "177478")</f>
        <v>177478</v>
      </c>
      <c r="C916" s="9"/>
      <c r="D916" t="str">
        <f>"srx-50"</f>
        <v>srx-50</v>
      </c>
      <c r="E916" t="s">
        <v>1477</v>
      </c>
      <c r="F916" t="s">
        <v>11</v>
      </c>
      <c r="G916" t="s">
        <v>25</v>
      </c>
      <c r="H916" s="12">
        <v>5.0398380525179398</v>
      </c>
      <c r="I916" s="11">
        <v>1.24807158092361</v>
      </c>
      <c r="J916" s="10">
        <v>0.212004844584332</v>
      </c>
      <c r="K916" s="29">
        <v>0.96390868535332097</v>
      </c>
    </row>
    <row r="917" spans="1:11" x14ac:dyDescent="0.35">
      <c r="A917" s="9" t="str">
        <f>HYPERLINK("http://www.ensembl.org/id/WBGene00021490", "WBGene00021490")</f>
        <v>WBGene00021490</v>
      </c>
      <c r="B917" s="9" t="str">
        <f>HYPERLINK("http://www.ncbi.nlm.nih.gov/gene/189788", "189788")</f>
        <v>189788</v>
      </c>
      <c r="C917" s="9"/>
      <c r="D917" t="str">
        <f>"Y40B10A.5"</f>
        <v>Y40B10A.5</v>
      </c>
      <c r="F917" t="s">
        <v>11</v>
      </c>
      <c r="G917" t="s">
        <v>1089</v>
      </c>
      <c r="H917" s="12">
        <v>5.0392617901557202</v>
      </c>
      <c r="I917" s="11">
        <v>1.2336292608222501</v>
      </c>
      <c r="J917" s="10">
        <v>0.21734108437937899</v>
      </c>
      <c r="K917" s="29">
        <v>0.97042364854653596</v>
      </c>
    </row>
    <row r="918" spans="1:11" x14ac:dyDescent="0.35">
      <c r="A918" s="9" t="str">
        <f>HYPERLINK("http://www.ensembl.org/id/WBGene00019861", "WBGene00019861")</f>
        <v>WBGene00019861</v>
      </c>
      <c r="B918" s="9" t="str">
        <f>HYPERLINK("http://www.ncbi.nlm.nih.gov/gene/187562", "187562")</f>
        <v>187562</v>
      </c>
      <c r="C918" s="9"/>
      <c r="D918" t="str">
        <f>"R04A9.1"</f>
        <v>R04A9.1</v>
      </c>
      <c r="F918" t="s">
        <v>11</v>
      </c>
      <c r="G918" t="s">
        <v>25</v>
      </c>
      <c r="H918" s="12">
        <v>5.0341727795074496</v>
      </c>
      <c r="I918" s="11">
        <v>1.83545934935053</v>
      </c>
      <c r="J918" s="10">
        <v>6.6437656943964196E-2</v>
      </c>
      <c r="K918" s="29">
        <v>0.61013851404898101</v>
      </c>
    </row>
    <row r="919" spans="1:11" x14ac:dyDescent="0.35">
      <c r="A919" s="9" t="str">
        <f>HYPERLINK("http://www.ensembl.org/id/WBGene00005760", "WBGene00005760")</f>
        <v>WBGene00005760</v>
      </c>
      <c r="B919" s="9" t="str">
        <f>HYPERLINK("http://www.ncbi.nlm.nih.gov/gene/183390", "183390")</f>
        <v>183390</v>
      </c>
      <c r="C919" s="9"/>
      <c r="D919" t="str">
        <f>"srw-13"</f>
        <v>srw-13</v>
      </c>
      <c r="E919" t="s">
        <v>1014</v>
      </c>
      <c r="F919" t="s">
        <v>11</v>
      </c>
      <c r="G919" t="s">
        <v>1015</v>
      </c>
      <c r="H919" s="12">
        <v>5.0177302559477299</v>
      </c>
      <c r="I919" s="11">
        <v>0.84901814086942196</v>
      </c>
      <c r="J919" s="10">
        <v>0.39587119801022902</v>
      </c>
      <c r="K919" s="29">
        <v>0.98289565623980701</v>
      </c>
    </row>
    <row r="920" spans="1:11" x14ac:dyDescent="0.35">
      <c r="A920" s="9" t="str">
        <f>HYPERLINK("http://www.ensembl.org/id/WBGene00014741", "WBGene00014741")</f>
        <v>WBGene00014741</v>
      </c>
      <c r="B920" s="9"/>
      <c r="C920" s="9"/>
      <c r="D920" t="str">
        <f>"F22B8.2"</f>
        <v>F22B8.2</v>
      </c>
      <c r="F920" t="s">
        <v>80</v>
      </c>
      <c r="H920" s="12">
        <v>5.0080500434873896</v>
      </c>
      <c r="I920" s="11">
        <v>1.72258817052625</v>
      </c>
      <c r="J920" s="10">
        <v>8.4963025720241198E-2</v>
      </c>
      <c r="K920" s="29">
        <v>0.68511559135315303</v>
      </c>
    </row>
    <row r="921" spans="1:11" x14ac:dyDescent="0.35">
      <c r="A921" s="9" t="str">
        <f>HYPERLINK("http://www.ensembl.org/id/WBGene00017611", "WBGene00017611")</f>
        <v>WBGene00017611</v>
      </c>
      <c r="B921" s="9" t="str">
        <f>HYPERLINK("http://www.ncbi.nlm.nih.gov/gene/184693", "184693")</f>
        <v>184693</v>
      </c>
      <c r="C921" s="9"/>
      <c r="D921" t="str">
        <f>"F19G12.3"</f>
        <v>F19G12.3</v>
      </c>
      <c r="F921" t="s">
        <v>11</v>
      </c>
      <c r="G921" t="s">
        <v>54</v>
      </c>
      <c r="H921" s="12">
        <v>5.0071523697463203</v>
      </c>
      <c r="I921" s="11">
        <v>1.04991134414672</v>
      </c>
      <c r="J921" s="10">
        <v>0.29375887544365198</v>
      </c>
      <c r="K921" s="29">
        <v>0.98289565623980701</v>
      </c>
    </row>
    <row r="922" spans="1:11" x14ac:dyDescent="0.35">
      <c r="A922" s="9" t="str">
        <f>HYPERLINK("http://www.ensembl.org/id/WBGene00018648", "WBGene00018648")</f>
        <v>WBGene00018648</v>
      </c>
      <c r="B922" s="9"/>
      <c r="C922" s="9"/>
      <c r="D922" t="str">
        <f>"F49F1.8"</f>
        <v>F49F1.8</v>
      </c>
      <c r="F922" t="s">
        <v>80</v>
      </c>
      <c r="H922" s="12">
        <v>4.9955106778990803</v>
      </c>
      <c r="I922" s="11">
        <v>1.05894389894962</v>
      </c>
      <c r="J922" s="10">
        <v>0.289625330104961</v>
      </c>
      <c r="K922" s="29">
        <v>0.98289565623980701</v>
      </c>
    </row>
    <row r="923" spans="1:11" x14ac:dyDescent="0.35">
      <c r="A923" s="9" t="str">
        <f>HYPERLINK("http://www.ensembl.org/id/WBGene00196324", "WBGene00196324")</f>
        <v>WBGene00196324</v>
      </c>
      <c r="B923" s="9"/>
      <c r="C923" s="9"/>
      <c r="D923" t="str">
        <f>"Y5H2A.5"</f>
        <v>Y5H2A.5</v>
      </c>
      <c r="F923" t="s">
        <v>481</v>
      </c>
      <c r="H923" s="12">
        <v>4.9932897755351497</v>
      </c>
      <c r="I923" s="11">
        <v>0.72186475086862301</v>
      </c>
      <c r="J923" s="10">
        <v>0.47037763482039302</v>
      </c>
      <c r="K923" s="29">
        <v>0.98289565623980701</v>
      </c>
    </row>
    <row r="924" spans="1:11" x14ac:dyDescent="0.35">
      <c r="A924" s="9" t="str">
        <f>HYPERLINK("http://www.ensembl.org/id/WBGene00018492", "WBGene00018492")</f>
        <v>WBGene00018492</v>
      </c>
      <c r="B924" s="9" t="str">
        <f>HYPERLINK("http://www.ncbi.nlm.nih.gov/gene/179044", "179044")</f>
        <v>179044</v>
      </c>
      <c r="C924" s="9"/>
      <c r="D924" t="str">
        <f>"hpo-26"</f>
        <v>hpo-26</v>
      </c>
      <c r="F924" t="s">
        <v>11</v>
      </c>
      <c r="H924" s="12">
        <v>4.9914542759423099</v>
      </c>
      <c r="I924" s="11">
        <v>6.4807860209686199</v>
      </c>
      <c r="J924" s="10">
        <v>9.1246001834437694E-11</v>
      </c>
      <c r="K924" s="29">
        <v>1.17129451021473E-7</v>
      </c>
    </row>
    <row r="925" spans="1:11" x14ac:dyDescent="0.35">
      <c r="A925" s="9" t="str">
        <f>HYPERLINK("http://www.ensembl.org/id/WBGene00006019", "WBGene00006019")</f>
        <v>WBGene00006019</v>
      </c>
      <c r="B925" s="9" t="str">
        <f>HYPERLINK("http://www.ncbi.nlm.nih.gov/gene/186283", "186283")</f>
        <v>186283</v>
      </c>
      <c r="C925" s="9"/>
      <c r="D925" t="str">
        <f>"srx-128"</f>
        <v>srx-128</v>
      </c>
      <c r="E925" t="s">
        <v>1477</v>
      </c>
      <c r="F925" t="s">
        <v>11</v>
      </c>
      <c r="G925" t="s">
        <v>25</v>
      </c>
      <c r="H925" s="12">
        <v>4.9909714503807496</v>
      </c>
      <c r="I925" s="11">
        <v>0.821287999421357</v>
      </c>
      <c r="J925" s="10">
        <v>0.411482241652734</v>
      </c>
      <c r="K925" s="29">
        <v>0.98289565623980701</v>
      </c>
    </row>
    <row r="926" spans="1:11" x14ac:dyDescent="0.35">
      <c r="A926" s="9" t="str">
        <f>HYPERLINK("http://www.ensembl.org/id/WBGene00013088", "WBGene00013088")</f>
        <v>WBGene00013088</v>
      </c>
      <c r="B926" s="9" t="str">
        <f>HYPERLINK("http://www.ncbi.nlm.nih.gov/gene/190139", "190139")</f>
        <v>190139</v>
      </c>
      <c r="C926" s="9"/>
      <c r="D926" t="str">
        <f>"Y51B9A.6"</f>
        <v>Y51B9A.6</v>
      </c>
      <c r="F926" t="s">
        <v>11</v>
      </c>
      <c r="G926" t="s">
        <v>230</v>
      </c>
      <c r="H926" s="12">
        <v>4.9909714503807496</v>
      </c>
      <c r="I926" s="11">
        <v>0.821287999421357</v>
      </c>
      <c r="J926" s="10">
        <v>0.411482241652734</v>
      </c>
      <c r="K926" s="29">
        <v>0.98289565623980701</v>
      </c>
    </row>
    <row r="927" spans="1:11" x14ac:dyDescent="0.35">
      <c r="A927" s="9" t="str">
        <f>HYPERLINK("http://www.ensembl.org/id/WBGene00014196", "WBGene00014196")</f>
        <v>WBGene00014196</v>
      </c>
      <c r="B927" s="9" t="str">
        <f>HYPERLINK("http://www.ncbi.nlm.nih.gov/gene/191506", "191506")</f>
        <v>191506</v>
      </c>
      <c r="C927" s="9"/>
      <c r="D927" t="str">
        <f>"ZK1053.1"</f>
        <v>ZK1053.1</v>
      </c>
      <c r="F927" t="s">
        <v>11</v>
      </c>
      <c r="G927" t="s">
        <v>25</v>
      </c>
      <c r="H927" s="12">
        <v>4.9880715269570199</v>
      </c>
      <c r="I927" s="11">
        <v>1.8767949289400101</v>
      </c>
      <c r="J927" s="10">
        <v>6.0546205768122398E-2</v>
      </c>
      <c r="K927" s="29">
        <v>0.58073085532512903</v>
      </c>
    </row>
    <row r="928" spans="1:11" x14ac:dyDescent="0.35">
      <c r="A928" s="9" t="str">
        <f>HYPERLINK("http://www.ensembl.org/id/WBGene00020385", "WBGene00020385")</f>
        <v>WBGene00020385</v>
      </c>
      <c r="B928" s="9" t="str">
        <f>HYPERLINK("http://www.ncbi.nlm.nih.gov/gene/188325", "188325")</f>
        <v>188325</v>
      </c>
      <c r="C928" s="9"/>
      <c r="D928" t="str">
        <f>"nhr-216"</f>
        <v>nhr-216</v>
      </c>
      <c r="E928" t="s">
        <v>637</v>
      </c>
      <c r="F928" t="s">
        <v>11</v>
      </c>
      <c r="G928" t="s">
        <v>1073</v>
      </c>
      <c r="H928" s="12">
        <v>4.9833917004883501</v>
      </c>
      <c r="I928" s="11">
        <v>2.41374398414017</v>
      </c>
      <c r="J928" s="10">
        <v>1.5789552530140801E-2</v>
      </c>
      <c r="K928" s="29">
        <v>0.26145280990081599</v>
      </c>
    </row>
    <row r="929" spans="1:11" x14ac:dyDescent="0.35">
      <c r="A929" s="9" t="str">
        <f>HYPERLINK("http://www.ensembl.org/id/WBGene00019054", "WBGene00019054")</f>
        <v>WBGene00019054</v>
      </c>
      <c r="B929" s="9" t="str">
        <f>HYPERLINK("http://www.ncbi.nlm.nih.gov/gene/186532", "186532")</f>
        <v>186532</v>
      </c>
      <c r="C929" s="9"/>
      <c r="D929" t="str">
        <f>"F58F6.6"</f>
        <v>F58F6.6</v>
      </c>
      <c r="F929" t="s">
        <v>11</v>
      </c>
      <c r="G929" t="s">
        <v>25</v>
      </c>
      <c r="H929" s="12">
        <v>4.9823546421056797</v>
      </c>
      <c r="I929" s="11">
        <v>0.65517431865264497</v>
      </c>
      <c r="J929" s="10">
        <v>0.51235552701332099</v>
      </c>
      <c r="K929" s="29">
        <v>0.98289565623980701</v>
      </c>
    </row>
    <row r="930" spans="1:11" x14ac:dyDescent="0.35">
      <c r="A930" s="9" t="str">
        <f>HYPERLINK("http://www.ensembl.org/id/WBGene00044203", "WBGene00044203")</f>
        <v>WBGene00044203</v>
      </c>
      <c r="B930" s="9" t="str">
        <f>HYPERLINK("http://www.ncbi.nlm.nih.gov/gene/3565878", "3565878")</f>
        <v>3565878</v>
      </c>
      <c r="C930" s="9"/>
      <c r="D930" t="str">
        <f>"T02E9.6"</f>
        <v>T02E9.6</v>
      </c>
      <c r="F930" t="s">
        <v>11</v>
      </c>
      <c r="H930" s="12">
        <v>4.9823546421056797</v>
      </c>
      <c r="I930" s="11">
        <v>0.65517431865264497</v>
      </c>
      <c r="J930" s="10">
        <v>0.51235552701332099</v>
      </c>
      <c r="K930" s="29">
        <v>0.98289565623980701</v>
      </c>
    </row>
    <row r="931" spans="1:11" x14ac:dyDescent="0.35">
      <c r="A931" s="9" t="str">
        <f>HYPERLINK("http://www.ensembl.org/id/WBGene00005903", "WBGene00005903")</f>
        <v>WBGene00005903</v>
      </c>
      <c r="B931" s="9" t="str">
        <f>HYPERLINK("http://www.ncbi.nlm.nih.gov/gene/190306", "190306")</f>
        <v>190306</v>
      </c>
      <c r="C931" s="9"/>
      <c r="D931" t="str">
        <f>"srx-12"</f>
        <v>srx-12</v>
      </c>
      <c r="E931" t="s">
        <v>1477</v>
      </c>
      <c r="F931" t="s">
        <v>11</v>
      </c>
      <c r="G931" t="s">
        <v>25</v>
      </c>
      <c r="H931" s="12">
        <v>4.9607412157271398</v>
      </c>
      <c r="I931" s="11">
        <v>0.92328667935807696</v>
      </c>
      <c r="J931" s="10">
        <v>0.355857827797188</v>
      </c>
      <c r="K931" s="29">
        <v>0.98289565623980701</v>
      </c>
    </row>
    <row r="932" spans="1:11" x14ac:dyDescent="0.35">
      <c r="A932" s="9" t="str">
        <f>HYPERLINK("http://www.ensembl.org/id/WBGene00198457", "WBGene00198457")</f>
        <v>WBGene00198457</v>
      </c>
      <c r="B932" s="9"/>
      <c r="C932" s="9"/>
      <c r="D932" t="str">
        <f>"F58A6.12"</f>
        <v>F58A6.12</v>
      </c>
      <c r="F932" t="s">
        <v>481</v>
      </c>
      <c r="H932" s="12">
        <v>4.95983496344458</v>
      </c>
      <c r="I932" s="11">
        <v>0.85564686572055404</v>
      </c>
      <c r="J932" s="10">
        <v>0.39219313869150702</v>
      </c>
      <c r="K932" s="29">
        <v>0.98289565623980701</v>
      </c>
    </row>
    <row r="933" spans="1:11" x14ac:dyDescent="0.35">
      <c r="A933" s="9" t="str">
        <f>HYPERLINK("http://www.ensembl.org/id/WBGene00007656", "WBGene00007656")</f>
        <v>WBGene00007656</v>
      </c>
      <c r="B933" s="9" t="str">
        <f>HYPERLINK("http://www.ncbi.nlm.nih.gov/gene/182746", "182746")</f>
        <v>182746</v>
      </c>
      <c r="C933" s="9"/>
      <c r="D933" t="str">
        <f>"pals-2"</f>
        <v>pals-2</v>
      </c>
      <c r="E933" t="s">
        <v>1147</v>
      </c>
      <c r="F933" t="s">
        <v>11</v>
      </c>
      <c r="H933" s="12">
        <v>4.9526753665276404</v>
      </c>
      <c r="I933" s="11">
        <v>1.11120380803718</v>
      </c>
      <c r="J933" s="10">
        <v>0.26648063250024201</v>
      </c>
      <c r="K933" s="29">
        <v>0.98289565623980701</v>
      </c>
    </row>
    <row r="934" spans="1:11" x14ac:dyDescent="0.35">
      <c r="A934" s="9" t="str">
        <f>HYPERLINK("http://www.ensembl.org/id/WBGene00018141", "WBGene00018141")</f>
        <v>WBGene00018141</v>
      </c>
      <c r="B934" s="9" t="str">
        <f>HYPERLINK("http://www.ncbi.nlm.nih.gov/gene/185417", "185417")</f>
        <v>185417</v>
      </c>
      <c r="C934" s="9"/>
      <c r="D934" t="str">
        <f>"oac-21"</f>
        <v>oac-21</v>
      </c>
      <c r="E934" t="s">
        <v>883</v>
      </c>
      <c r="F934" t="s">
        <v>11</v>
      </c>
      <c r="G934" t="s">
        <v>1992</v>
      </c>
      <c r="H934" s="12">
        <v>4.9426611675734602</v>
      </c>
      <c r="I934" s="11">
        <v>0.77154926188425899</v>
      </c>
      <c r="J934" s="10">
        <v>0.44038143509234501</v>
      </c>
      <c r="K934" s="29">
        <v>0.98289565623980701</v>
      </c>
    </row>
    <row r="935" spans="1:11" x14ac:dyDescent="0.35">
      <c r="A935" s="9" t="str">
        <f>HYPERLINK("http://www.ensembl.org/id/WBGene00018122", "WBGene00018122")</f>
        <v>WBGene00018122</v>
      </c>
      <c r="B935" s="9" t="str">
        <f>HYPERLINK("http://www.ncbi.nlm.nih.gov/gene/177304", "177304")</f>
        <v>177304</v>
      </c>
      <c r="C935" s="9"/>
      <c r="D935" t="str">
        <f>"ttbk-2"</f>
        <v>ttbk-2</v>
      </c>
      <c r="E935" t="s">
        <v>4264</v>
      </c>
      <c r="F935" t="s">
        <v>11</v>
      </c>
      <c r="G935" t="s">
        <v>1763</v>
      </c>
      <c r="H935" s="12">
        <v>4.9426611675734602</v>
      </c>
      <c r="I935" s="11">
        <v>0.77154926188425899</v>
      </c>
      <c r="J935" s="10">
        <v>0.44038143509234501</v>
      </c>
      <c r="K935" s="29">
        <v>0.98289565623980701</v>
      </c>
    </row>
    <row r="936" spans="1:11" x14ac:dyDescent="0.35">
      <c r="A936" s="9" t="str">
        <f>HYPERLINK("http://www.ensembl.org/id/WBGene00014996", "WBGene00014996")</f>
        <v>WBGene00014996</v>
      </c>
      <c r="B936" s="9"/>
      <c r="C936" s="9"/>
      <c r="D936" t="str">
        <f>"ZK1251.5"</f>
        <v>ZK1251.5</v>
      </c>
      <c r="F936" t="s">
        <v>80</v>
      </c>
      <c r="H936" s="12">
        <v>4.9335718579655197</v>
      </c>
      <c r="I936" s="11">
        <v>0.89079003523220901</v>
      </c>
      <c r="J936" s="10">
        <v>0.37304182200936598</v>
      </c>
      <c r="K936" s="29">
        <v>0.98289565623980701</v>
      </c>
    </row>
    <row r="937" spans="1:11" x14ac:dyDescent="0.35">
      <c r="A937" s="9" t="str">
        <f>HYPERLINK("http://www.ensembl.org/id/WBGene00008728", "WBGene00008728")</f>
        <v>WBGene00008728</v>
      </c>
      <c r="B937" s="9" t="str">
        <f>HYPERLINK("http://www.ncbi.nlm.nih.gov/gene/3564932", "3564932")</f>
        <v>3564932</v>
      </c>
      <c r="C937" s="9"/>
      <c r="D937" t="str">
        <f>"sre-36"</f>
        <v>sre-36</v>
      </c>
      <c r="E937" t="s">
        <v>2638</v>
      </c>
      <c r="F937" t="s">
        <v>11</v>
      </c>
      <c r="G937" t="s">
        <v>2639</v>
      </c>
      <c r="H937" s="12">
        <v>4.9278013199422501</v>
      </c>
      <c r="I937" s="11">
        <v>1.4219186949754701</v>
      </c>
      <c r="J937" s="10">
        <v>0.15504985532200699</v>
      </c>
      <c r="K937" s="29">
        <v>0.86348082840932505</v>
      </c>
    </row>
    <row r="938" spans="1:11" x14ac:dyDescent="0.35">
      <c r="A938" s="9" t="str">
        <f>HYPERLINK("http://www.ensembl.org/id/WBGene00010118", "WBGene00010118")</f>
        <v>WBGene00010118</v>
      </c>
      <c r="B938" s="9"/>
      <c r="C938" s="9"/>
      <c r="D938" t="str">
        <f>"F55F3.4"</f>
        <v>F55F3.4</v>
      </c>
      <c r="F938" t="s">
        <v>11</v>
      </c>
      <c r="H938" s="12">
        <v>4.9272395410334902</v>
      </c>
      <c r="I938" s="11">
        <v>1.94209702836537</v>
      </c>
      <c r="J938" s="10">
        <v>5.2125355199066303E-2</v>
      </c>
      <c r="K938" s="29">
        <v>0.53576951027992203</v>
      </c>
    </row>
    <row r="939" spans="1:11" x14ac:dyDescent="0.35">
      <c r="A939" s="9" t="str">
        <f>HYPERLINK("http://www.ensembl.org/id/WBGene00018573", "WBGene00018573")</f>
        <v>WBGene00018573</v>
      </c>
      <c r="B939" s="9" t="str">
        <f>HYPERLINK("http://www.ncbi.nlm.nih.gov/gene/185942", "185942")</f>
        <v>185942</v>
      </c>
      <c r="C939" s="9"/>
      <c r="D939" t="str">
        <f>"oac-30"</f>
        <v>oac-30</v>
      </c>
      <c r="E939" t="s">
        <v>883</v>
      </c>
      <c r="F939" t="s">
        <v>11</v>
      </c>
      <c r="G939" t="s">
        <v>2293</v>
      </c>
      <c r="H939" s="12">
        <v>4.9270510431969496</v>
      </c>
      <c r="I939" s="11">
        <v>1.46425782555122</v>
      </c>
      <c r="J939" s="10">
        <v>0.143123515825165</v>
      </c>
      <c r="K939" s="29">
        <v>0.839769415098088</v>
      </c>
    </row>
    <row r="940" spans="1:11" x14ac:dyDescent="0.35">
      <c r="A940" s="9" t="str">
        <f>HYPERLINK("http://www.ensembl.org/id/WBGene00015997", "WBGene00015997")</f>
        <v>WBGene00015997</v>
      </c>
      <c r="B940" s="9" t="str">
        <f>HYPERLINK("http://www.ncbi.nlm.nih.gov/gene/176887", "176887")</f>
        <v>176887</v>
      </c>
      <c r="C940" s="9"/>
      <c r="D940" t="str">
        <f>"C18H7.7"</f>
        <v>C18H7.7</v>
      </c>
      <c r="F940" t="s">
        <v>11</v>
      </c>
      <c r="H940" s="12">
        <v>4.9201184411617902</v>
      </c>
      <c r="I940" s="11">
        <v>0.66583620639406405</v>
      </c>
      <c r="J940" s="10">
        <v>0.50551579969002203</v>
      </c>
      <c r="K940" s="29">
        <v>0.98289565623980701</v>
      </c>
    </row>
    <row r="941" spans="1:11" x14ac:dyDescent="0.35">
      <c r="A941" s="9" t="str">
        <f>HYPERLINK("http://www.ensembl.org/id/WBGene00269337", "WBGene00269337")</f>
        <v>WBGene00269337</v>
      </c>
      <c r="B941" s="9"/>
      <c r="C941" s="9"/>
      <c r="D941" t="str">
        <f>"F28A10.12"</f>
        <v>F28A10.12</v>
      </c>
      <c r="F941" t="s">
        <v>481</v>
      </c>
      <c r="H941" s="12">
        <v>4.9201184411617902</v>
      </c>
      <c r="I941" s="11">
        <v>0.66583620639406405</v>
      </c>
      <c r="J941" s="10">
        <v>0.50551579969002203</v>
      </c>
      <c r="K941" s="29">
        <v>0.98289565623980701</v>
      </c>
    </row>
    <row r="942" spans="1:11" x14ac:dyDescent="0.35">
      <c r="A942" s="9" t="str">
        <f>HYPERLINK("http://www.ensembl.org/id/WBGene00022778", "WBGene00022778")</f>
        <v>WBGene00022778</v>
      </c>
      <c r="B942" s="9" t="str">
        <f>HYPERLINK("http://www.ncbi.nlm.nih.gov/gene/191362", "191362")</f>
        <v>191362</v>
      </c>
      <c r="C942" s="9"/>
      <c r="D942" t="str">
        <f>"ZK616.8"</f>
        <v>ZK616.8</v>
      </c>
      <c r="F942" t="s">
        <v>11</v>
      </c>
      <c r="G942" t="s">
        <v>54</v>
      </c>
      <c r="H942" s="12">
        <v>4.9201184411617902</v>
      </c>
      <c r="I942" s="11">
        <v>0.66583620639406405</v>
      </c>
      <c r="J942" s="10">
        <v>0.50551579969002203</v>
      </c>
      <c r="K942" s="29">
        <v>0.98289565623980701</v>
      </c>
    </row>
    <row r="943" spans="1:11" x14ac:dyDescent="0.35">
      <c r="A943" s="9" t="str">
        <f>HYPERLINK("http://www.ensembl.org/id/WBGene00196563", "WBGene00196563")</f>
        <v>WBGene00196563</v>
      </c>
      <c r="B943" s="9"/>
      <c r="C943" s="9"/>
      <c r="D943" t="str">
        <f>"ZK675.6"</f>
        <v>ZK675.6</v>
      </c>
      <c r="F943" t="s">
        <v>481</v>
      </c>
      <c r="H943" s="12">
        <v>4.9201184411617902</v>
      </c>
      <c r="I943" s="11">
        <v>0.66583620639406405</v>
      </c>
      <c r="J943" s="10">
        <v>0.50551579969002203</v>
      </c>
      <c r="K943" s="29">
        <v>0.98289565623980701</v>
      </c>
    </row>
    <row r="944" spans="1:11" x14ac:dyDescent="0.35">
      <c r="A944" s="9" t="str">
        <f>HYPERLINK("http://www.ensembl.org/id/WBGene00020795", "WBGene00020795")</f>
        <v>WBGene00020795</v>
      </c>
      <c r="B944" s="9" t="str">
        <f>HYPERLINK("http://www.ncbi.nlm.nih.gov/gene/188891", "188891")</f>
        <v>188891</v>
      </c>
      <c r="C944" s="9"/>
      <c r="D944" t="str">
        <f>"T25D1.3"</f>
        <v>T25D1.3</v>
      </c>
      <c r="F944" t="s">
        <v>11</v>
      </c>
      <c r="G944" t="s">
        <v>54</v>
      </c>
      <c r="H944" s="12">
        <v>4.9147312884650098</v>
      </c>
      <c r="I944" s="11">
        <v>0.65981031178395599</v>
      </c>
      <c r="J944" s="10">
        <v>0.50937556512715199</v>
      </c>
      <c r="K944" s="29">
        <v>0.98289565623980701</v>
      </c>
    </row>
    <row r="945" spans="1:11" x14ac:dyDescent="0.35">
      <c r="A945" s="9" t="str">
        <f>HYPERLINK("http://www.ensembl.org/id/WBGene00004127", "WBGene00004127")</f>
        <v>WBGene00004127</v>
      </c>
      <c r="B945" s="9" t="str">
        <f>HYPERLINK("http://www.ncbi.nlm.nih.gov/gene/180399", "180399")</f>
        <v>180399</v>
      </c>
      <c r="C945" s="9"/>
      <c r="D945" t="str">
        <f>"abu-12"</f>
        <v>abu-12</v>
      </c>
      <c r="E945" t="s">
        <v>913</v>
      </c>
      <c r="F945" t="s">
        <v>11</v>
      </c>
      <c r="G945" t="s">
        <v>914</v>
      </c>
      <c r="H945" s="12">
        <v>4.9095827813070496</v>
      </c>
      <c r="I945" s="11">
        <v>2.7192553043507801</v>
      </c>
      <c r="J945" s="10">
        <v>6.5429085410396003E-3</v>
      </c>
      <c r="K945" s="29">
        <v>0.14258611538504101</v>
      </c>
    </row>
    <row r="946" spans="1:11" x14ac:dyDescent="0.35">
      <c r="A946" s="9" t="str">
        <f>HYPERLINK("http://www.ensembl.org/id/WBGene00021118", "WBGene00021118")</f>
        <v>WBGene00021118</v>
      </c>
      <c r="B946" s="9" t="str">
        <f>HYPERLINK("http://www.ncbi.nlm.nih.gov/gene/173697", "173697")</f>
        <v>173697</v>
      </c>
      <c r="C946" s="9"/>
      <c r="D946" t="str">
        <f>"clec-125"</f>
        <v>clec-125</v>
      </c>
      <c r="E946" t="s">
        <v>46</v>
      </c>
      <c r="F946" t="s">
        <v>11</v>
      </c>
      <c r="G946" t="s">
        <v>47</v>
      </c>
      <c r="H946" s="12">
        <v>4.8901488357174001</v>
      </c>
      <c r="I946" s="11">
        <v>1.3817361829085499</v>
      </c>
      <c r="J946" s="10">
        <v>0.16705272020893999</v>
      </c>
      <c r="K946" s="29">
        <v>0.88636808642765796</v>
      </c>
    </row>
    <row r="947" spans="1:11" x14ac:dyDescent="0.35">
      <c r="A947" s="9" t="str">
        <f>HYPERLINK("http://www.ensembl.org/id/WBGene00020650", "WBGene00020650")</f>
        <v>WBGene00020650</v>
      </c>
      <c r="B947" s="9" t="str">
        <f>HYPERLINK("http://www.ncbi.nlm.nih.gov/gene/188694", "188694")</f>
        <v>188694</v>
      </c>
      <c r="C947" s="9"/>
      <c r="D947" t="str">
        <f>"T21D12.11"</f>
        <v>T21D12.11</v>
      </c>
      <c r="F947" t="s">
        <v>11</v>
      </c>
      <c r="G947" t="s">
        <v>54</v>
      </c>
      <c r="H947" s="12">
        <v>4.8575947986326202</v>
      </c>
      <c r="I947" s="11">
        <v>1.31929334660759</v>
      </c>
      <c r="J947" s="10">
        <v>0.18707106129245099</v>
      </c>
      <c r="K947" s="29">
        <v>0.92558703629806605</v>
      </c>
    </row>
    <row r="948" spans="1:11" x14ac:dyDescent="0.35">
      <c r="A948" s="9" t="str">
        <f>HYPERLINK("http://www.ensembl.org/id/WBGene00012500", "WBGene00012500")</f>
        <v>WBGene00012500</v>
      </c>
      <c r="B948" s="9" t="str">
        <f>HYPERLINK("http://www.ncbi.nlm.nih.gov/gene/173178", "173178")</f>
        <v>173178</v>
      </c>
      <c r="C948" s="9"/>
      <c r="D948" t="str">
        <f>"hpo-2"</f>
        <v>hpo-2</v>
      </c>
      <c r="F948" t="s">
        <v>11</v>
      </c>
      <c r="H948" s="12">
        <v>4.8530479678414196</v>
      </c>
      <c r="I948" s="11">
        <v>1.5708561521886999</v>
      </c>
      <c r="J948" s="10">
        <v>0.11621606553225799</v>
      </c>
      <c r="K948" s="29">
        <v>0.77971231427134502</v>
      </c>
    </row>
    <row r="949" spans="1:11" x14ac:dyDescent="0.35">
      <c r="A949" s="9" t="str">
        <f>HYPERLINK("http://www.ensembl.org/id/WBGene00005437", "WBGene00005437")</f>
        <v>WBGene00005437</v>
      </c>
      <c r="B949" s="9" t="str">
        <f>HYPERLINK("http://www.ncbi.nlm.nih.gov/gene/191888", "191888")</f>
        <v>191888</v>
      </c>
      <c r="C949" s="9"/>
      <c r="D949" t="str">
        <f>"srh-229"</f>
        <v>srh-229</v>
      </c>
      <c r="E949" t="s">
        <v>153</v>
      </c>
      <c r="F949" t="s">
        <v>11</v>
      </c>
      <c r="G949" t="s">
        <v>25</v>
      </c>
      <c r="H949" s="12">
        <v>4.84705885516534</v>
      </c>
      <c r="I949" s="11">
        <v>0.54594601778963803</v>
      </c>
      <c r="J949" s="10">
        <v>0.58510304473983399</v>
      </c>
      <c r="K949" s="29">
        <v>0.98289565623980701</v>
      </c>
    </row>
    <row r="950" spans="1:11" x14ac:dyDescent="0.35">
      <c r="A950" s="9" t="str">
        <f>HYPERLINK("http://www.ensembl.org/id/WBGene00197441", "WBGene00197441")</f>
        <v>WBGene00197441</v>
      </c>
      <c r="B950" s="9"/>
      <c r="C950" s="9"/>
      <c r="D950" t="str">
        <f>"T08B2.14"</f>
        <v>T08B2.14</v>
      </c>
      <c r="F950" t="s">
        <v>481</v>
      </c>
      <c r="H950" s="12">
        <v>4.84705885516534</v>
      </c>
      <c r="I950" s="11">
        <v>0.54594601778963803</v>
      </c>
      <c r="J950" s="10">
        <v>0.58510304473983399</v>
      </c>
      <c r="K950" s="29">
        <v>0.98289565623980701</v>
      </c>
    </row>
    <row r="951" spans="1:11" x14ac:dyDescent="0.35">
      <c r="A951" s="9" t="str">
        <f>HYPERLINK("http://www.ensembl.org/id/WBGene00195010", "WBGene00195010")</f>
        <v>WBGene00195010</v>
      </c>
      <c r="B951" s="9" t="str">
        <f>HYPERLINK("http://www.ncbi.nlm.nih.gov/gene/13192703", "13192703")</f>
        <v>13192703</v>
      </c>
      <c r="C951" s="9"/>
      <c r="D951" t="str">
        <f>"Y37E11AL.12"</f>
        <v>Y37E11AL.12</v>
      </c>
      <c r="F951" t="s">
        <v>11</v>
      </c>
      <c r="G951" t="s">
        <v>25</v>
      </c>
      <c r="H951" s="12">
        <v>4.84705885516534</v>
      </c>
      <c r="I951" s="11">
        <v>0.54594601778963803</v>
      </c>
      <c r="J951" s="10">
        <v>0.58510304473983399</v>
      </c>
      <c r="K951" s="29">
        <v>0.98289565623980701</v>
      </c>
    </row>
    <row r="952" spans="1:11" x14ac:dyDescent="0.35">
      <c r="A952" s="9" t="str">
        <f>HYPERLINK("http://www.ensembl.org/id/WBGene00044229", "WBGene00044229")</f>
        <v>WBGene00044229</v>
      </c>
      <c r="B952" s="9"/>
      <c r="C952" s="9"/>
      <c r="D952" t="str">
        <f>"T03F6.8"</f>
        <v>T03F6.8</v>
      </c>
      <c r="F952" t="s">
        <v>80</v>
      </c>
      <c r="H952" s="12">
        <v>4.8379236023195702</v>
      </c>
      <c r="I952" s="11">
        <v>1.6424861587566999</v>
      </c>
      <c r="J952" s="10">
        <v>0.100489292307772</v>
      </c>
      <c r="K952" s="29">
        <v>0.73284725105775905</v>
      </c>
    </row>
    <row r="953" spans="1:11" x14ac:dyDescent="0.35">
      <c r="A953" s="9" t="str">
        <f>HYPERLINK("http://www.ensembl.org/id/WBGene00009614", "WBGene00009614")</f>
        <v>WBGene00009614</v>
      </c>
      <c r="B953" s="9" t="str">
        <f>HYPERLINK("http://www.ncbi.nlm.nih.gov/gene/185609", "185609")</f>
        <v>185609</v>
      </c>
      <c r="C953" s="9"/>
      <c r="D953" t="str">
        <f>"F41D3.9"</f>
        <v>F41D3.9</v>
      </c>
      <c r="F953" t="s">
        <v>11</v>
      </c>
      <c r="H953" s="12">
        <v>4.8343928589518601</v>
      </c>
      <c r="I953" s="11">
        <v>1.25053924392427</v>
      </c>
      <c r="J953" s="10">
        <v>0.21110262889848999</v>
      </c>
      <c r="K953" s="29">
        <v>0.96246021687838901</v>
      </c>
    </row>
    <row r="954" spans="1:11" x14ac:dyDescent="0.35">
      <c r="A954" s="9" t="str">
        <f>HYPERLINK("http://www.ensembl.org/id/WBGene00219371", "WBGene00219371")</f>
        <v>WBGene00219371</v>
      </c>
      <c r="B954" s="9" t="str">
        <f>HYPERLINK("http://www.ncbi.nlm.nih.gov/gene/13221877", "13221877")</f>
        <v>13221877</v>
      </c>
      <c r="C954" s="9"/>
      <c r="D954" t="str">
        <f>"C03G5.14"</f>
        <v>C03G5.14</v>
      </c>
      <c r="F954" t="s">
        <v>11</v>
      </c>
      <c r="G954" t="s">
        <v>25</v>
      </c>
      <c r="H954" s="12">
        <v>4.8330720971898202</v>
      </c>
      <c r="I954" s="11">
        <v>0.53826283632608196</v>
      </c>
      <c r="J954" s="10">
        <v>0.59039560452453599</v>
      </c>
      <c r="K954" s="29">
        <v>0.98289565623980701</v>
      </c>
    </row>
    <row r="955" spans="1:11" x14ac:dyDescent="0.35">
      <c r="A955" s="9" t="str">
        <f>HYPERLINK("http://www.ensembl.org/id/WBGene00007512", "WBGene00007512")</f>
        <v>WBGene00007512</v>
      </c>
      <c r="B955" s="9" t="str">
        <f>HYPERLINK("http://www.ncbi.nlm.nih.gov/gene/182495", "182495")</f>
        <v>182495</v>
      </c>
      <c r="C955" s="9"/>
      <c r="D955" t="str">
        <f>"C10C6.3"</f>
        <v>C10C6.3</v>
      </c>
      <c r="F955" t="s">
        <v>11</v>
      </c>
      <c r="H955" s="12">
        <v>4.8330720971898202</v>
      </c>
      <c r="I955" s="11">
        <v>0.53826283632608196</v>
      </c>
      <c r="J955" s="10">
        <v>0.59039560452453599</v>
      </c>
      <c r="K955" s="29">
        <v>0.98289565623980701</v>
      </c>
    </row>
    <row r="956" spans="1:11" x14ac:dyDescent="0.35">
      <c r="A956" s="9" t="str">
        <f>HYPERLINK("http://www.ensembl.org/id/WBGene00199110", "WBGene00199110")</f>
        <v>WBGene00199110</v>
      </c>
      <c r="B956" s="9"/>
      <c r="C956" s="9"/>
      <c r="D956" t="str">
        <f>"C32D5.17"</f>
        <v>C32D5.17</v>
      </c>
      <c r="F956" t="s">
        <v>481</v>
      </c>
      <c r="H956" s="12">
        <v>4.8330720971898202</v>
      </c>
      <c r="I956" s="11">
        <v>0.53826283632608196</v>
      </c>
      <c r="J956" s="10">
        <v>0.59039560452453599</v>
      </c>
      <c r="K956" s="29">
        <v>0.98289565623980701</v>
      </c>
    </row>
    <row r="957" spans="1:11" x14ac:dyDescent="0.35">
      <c r="A957" s="9" t="str">
        <f>HYPERLINK("http://www.ensembl.org/id/WBGene00007466", "WBGene00007466")</f>
        <v>WBGene00007466</v>
      </c>
      <c r="B957" s="9" t="str">
        <f>HYPERLINK("http://www.ncbi.nlm.nih.gov/gene/182431", "182431")</f>
        <v>182431</v>
      </c>
      <c r="C957" s="9"/>
      <c r="D957" t="str">
        <f>"chil-2"</f>
        <v>chil-2</v>
      </c>
      <c r="E957" t="s">
        <v>1756</v>
      </c>
      <c r="F957" t="s">
        <v>11</v>
      </c>
      <c r="G957" t="s">
        <v>3396</v>
      </c>
      <c r="H957" s="12">
        <v>4.8330720971898202</v>
      </c>
      <c r="I957" s="11">
        <v>0.53826283632608196</v>
      </c>
      <c r="J957" s="10">
        <v>0.59039560452453599</v>
      </c>
      <c r="K957" s="29">
        <v>0.98289565623980701</v>
      </c>
    </row>
    <row r="958" spans="1:11" x14ac:dyDescent="0.35">
      <c r="A958" s="9" t="str">
        <f>HYPERLINK("http://www.ensembl.org/id/WBGene00199732", "WBGene00199732")</f>
        <v>WBGene00199732</v>
      </c>
      <c r="B958" s="9"/>
      <c r="C958" s="9"/>
      <c r="D958" t="str">
        <f>"F34H10.6"</f>
        <v>F34H10.6</v>
      </c>
      <c r="F958" t="s">
        <v>481</v>
      </c>
      <c r="H958" s="12">
        <v>4.8330720971898202</v>
      </c>
      <c r="I958" s="11">
        <v>0.53826283632608196</v>
      </c>
      <c r="J958" s="10">
        <v>0.59039560452453599</v>
      </c>
      <c r="K958" s="29">
        <v>0.98289565623980701</v>
      </c>
    </row>
    <row r="959" spans="1:11" x14ac:dyDescent="0.35">
      <c r="A959" s="9" t="str">
        <f>HYPERLINK("http://www.ensembl.org/id/WBGene00197481", "WBGene00197481")</f>
        <v>WBGene00197481</v>
      </c>
      <c r="B959" s="9"/>
      <c r="C959" s="9"/>
      <c r="D959" t="str">
        <f>"F38A6.6"</f>
        <v>F38A6.6</v>
      </c>
      <c r="F959" t="s">
        <v>481</v>
      </c>
      <c r="H959" s="12">
        <v>4.8330720971898202</v>
      </c>
      <c r="I959" s="11">
        <v>0.53826283632608196</v>
      </c>
      <c r="J959" s="10">
        <v>0.59039560452453599</v>
      </c>
      <c r="K959" s="29">
        <v>0.98289565623980701</v>
      </c>
    </row>
    <row r="960" spans="1:11" x14ac:dyDescent="0.35">
      <c r="A960" s="9" t="str">
        <f>HYPERLINK("http://www.ensembl.org/id/WBGene00023076", "WBGene00023076")</f>
        <v>WBGene00023076</v>
      </c>
      <c r="B960" s="9"/>
      <c r="C960" s="9"/>
      <c r="D960" t="str">
        <f>"F59C12.t2"</f>
        <v>F59C12.t2</v>
      </c>
      <c r="F960" t="s">
        <v>4208</v>
      </c>
      <c r="H960" s="12">
        <v>4.8330720971898202</v>
      </c>
      <c r="I960" s="11">
        <v>0.53826283632608196</v>
      </c>
      <c r="J960" s="10">
        <v>0.59039560452453599</v>
      </c>
      <c r="K960" s="29">
        <v>0.98289565623980701</v>
      </c>
    </row>
    <row r="961" spans="1:11" x14ac:dyDescent="0.35">
      <c r="A961" s="9" t="str">
        <f>HYPERLINK("http://www.ensembl.org/id/WBGene00195340", "WBGene00195340")</f>
        <v>WBGene00195340</v>
      </c>
      <c r="B961" s="9"/>
      <c r="C961" s="9"/>
      <c r="D961" t="str">
        <f>"M88.9"</f>
        <v>M88.9</v>
      </c>
      <c r="F961" t="s">
        <v>481</v>
      </c>
      <c r="H961" s="12">
        <v>4.8330720971898202</v>
      </c>
      <c r="I961" s="11">
        <v>0.53826283632608196</v>
      </c>
      <c r="J961" s="10">
        <v>0.59039560452453599</v>
      </c>
      <c r="K961" s="29">
        <v>0.98289565623980701</v>
      </c>
    </row>
    <row r="962" spans="1:11" x14ac:dyDescent="0.35">
      <c r="A962" s="9" t="str">
        <f>HYPERLINK("http://www.ensembl.org/id/WBGene00009707", "WBGene00009707")</f>
        <v>WBGene00009707</v>
      </c>
      <c r="B962" s="9" t="str">
        <f>HYPERLINK("http://www.ncbi.nlm.nih.gov/gene/185755", "185755")</f>
        <v>185755</v>
      </c>
      <c r="C962" s="9"/>
      <c r="D962" t="str">
        <f>"srxa-16"</f>
        <v>srxa-16</v>
      </c>
      <c r="E962" t="s">
        <v>3765</v>
      </c>
      <c r="F962" t="s">
        <v>11</v>
      </c>
      <c r="G962" t="s">
        <v>25</v>
      </c>
      <c r="H962" s="12">
        <v>4.8330720971898202</v>
      </c>
      <c r="I962" s="11">
        <v>0.53826283632608196</v>
      </c>
      <c r="J962" s="10">
        <v>0.59039560452453599</v>
      </c>
      <c r="K962" s="29">
        <v>0.98289565623980701</v>
      </c>
    </row>
    <row r="963" spans="1:11" x14ac:dyDescent="0.35">
      <c r="A963" s="9" t="str">
        <f>HYPERLINK("http://www.ensembl.org/id/WBGene00011657", "WBGene00011657")</f>
        <v>WBGene00011657</v>
      </c>
      <c r="B963" s="9" t="str">
        <f>HYPERLINK("http://www.ncbi.nlm.nih.gov/gene/188336", "188336")</f>
        <v>188336</v>
      </c>
      <c r="C963" s="9"/>
      <c r="D963" t="str">
        <f>"T09E11.8"</f>
        <v>T09E11.8</v>
      </c>
      <c r="F963" t="s">
        <v>11</v>
      </c>
      <c r="G963" t="s">
        <v>1686</v>
      </c>
      <c r="H963" s="12">
        <v>4.8330720971898202</v>
      </c>
      <c r="I963" s="11">
        <v>0.53826283632608196</v>
      </c>
      <c r="J963" s="10">
        <v>0.59039560452453599</v>
      </c>
      <c r="K963" s="29">
        <v>0.98289565623980701</v>
      </c>
    </row>
    <row r="964" spans="1:11" x14ac:dyDescent="0.35">
      <c r="A964" s="9" t="str">
        <f>HYPERLINK("http://www.ensembl.org/id/WBGene00012270", "WBGene00012270")</f>
        <v>WBGene00012270</v>
      </c>
      <c r="B964" s="9" t="str">
        <f>HYPERLINK("http://www.ncbi.nlm.nih.gov/gene/173049", "173049")</f>
        <v>173049</v>
      </c>
      <c r="C964" s="9"/>
      <c r="D964" t="str">
        <f>"W04G5.10"</f>
        <v>W04G5.10</v>
      </c>
      <c r="F964" t="s">
        <v>11</v>
      </c>
      <c r="G964" t="s">
        <v>4265</v>
      </c>
      <c r="H964" s="12">
        <v>4.8330720971898202</v>
      </c>
      <c r="I964" s="11">
        <v>0.53826283632608196</v>
      </c>
      <c r="J964" s="10">
        <v>0.59039560452453599</v>
      </c>
      <c r="K964" s="29">
        <v>0.98289565623980701</v>
      </c>
    </row>
    <row r="965" spans="1:11" x14ac:dyDescent="0.35">
      <c r="A965" s="9" t="str">
        <f>HYPERLINK("http://www.ensembl.org/id/WBGene00198647", "WBGene00198647")</f>
        <v>WBGene00198647</v>
      </c>
      <c r="B965" s="9"/>
      <c r="C965" s="9"/>
      <c r="D965" t="str">
        <f>"Y34B4A.15"</f>
        <v>Y34B4A.15</v>
      </c>
      <c r="F965" t="s">
        <v>481</v>
      </c>
      <c r="H965" s="12">
        <v>4.8330720971898202</v>
      </c>
      <c r="I965" s="11">
        <v>0.53826283632608196</v>
      </c>
      <c r="J965" s="10">
        <v>0.59039560452453599</v>
      </c>
      <c r="K965" s="29">
        <v>0.98289565623980701</v>
      </c>
    </row>
    <row r="966" spans="1:11" x14ac:dyDescent="0.35">
      <c r="A966" s="9" t="str">
        <f>HYPERLINK("http://www.ensembl.org/id/WBGene00023322", "WBGene00023322")</f>
        <v>WBGene00023322</v>
      </c>
      <c r="B966" s="9"/>
      <c r="C966" s="9"/>
      <c r="D966" t="str">
        <f>"K08B12.4"</f>
        <v>K08B12.4</v>
      </c>
      <c r="F966" t="s">
        <v>80</v>
      </c>
      <c r="H966" s="12">
        <v>4.8037000699349202</v>
      </c>
      <c r="I966" s="11">
        <v>1.5470980256360201</v>
      </c>
      <c r="J966" s="10">
        <v>0.12183960996967599</v>
      </c>
      <c r="K966" s="29">
        <v>0.79324486558448604</v>
      </c>
    </row>
    <row r="967" spans="1:11" x14ac:dyDescent="0.35">
      <c r="A967" s="9" t="str">
        <f>HYPERLINK("http://www.ensembl.org/id/WBGene00018623", "WBGene00018623")</f>
        <v>WBGene00018623</v>
      </c>
      <c r="B967" s="9" t="str">
        <f>HYPERLINK("http://www.ncbi.nlm.nih.gov/gene/186000", "186000")</f>
        <v>186000</v>
      </c>
      <c r="C967" s="9"/>
      <c r="D967" t="str">
        <f>"F48G7.12"</f>
        <v>F48G7.12</v>
      </c>
      <c r="F967" t="s">
        <v>11</v>
      </c>
      <c r="H967" s="12">
        <v>4.7898247534834502</v>
      </c>
      <c r="I967" s="11">
        <v>1.9826274254345899</v>
      </c>
      <c r="J967" s="10">
        <v>4.7409061607693301E-2</v>
      </c>
      <c r="K967" s="29">
        <v>0.50671890274937703</v>
      </c>
    </row>
    <row r="968" spans="1:11" x14ac:dyDescent="0.35">
      <c r="A968" s="9" t="str">
        <f>HYPERLINK("http://www.ensembl.org/id/WBGene00002019", "WBGene00002019")</f>
        <v>WBGene00002019</v>
      </c>
      <c r="B968" s="9" t="str">
        <f>HYPERLINK("http://www.ncbi.nlm.nih.gov/gene/179287", "179287")</f>
        <v>179287</v>
      </c>
      <c r="C968" s="9"/>
      <c r="D968" t="str">
        <f>"hsp-16.48"</f>
        <v>hsp-16.48</v>
      </c>
      <c r="E968" t="s">
        <v>4266</v>
      </c>
      <c r="F968" t="s">
        <v>11</v>
      </c>
      <c r="H968" s="12">
        <v>4.7896577121075401</v>
      </c>
      <c r="I968" s="11">
        <v>0.69368782708955901</v>
      </c>
      <c r="J968" s="10">
        <v>0.48787800157054401</v>
      </c>
      <c r="K968" s="29">
        <v>0.98289565623980701</v>
      </c>
    </row>
    <row r="969" spans="1:11" x14ac:dyDescent="0.35">
      <c r="A969" s="9" t="str">
        <f>HYPERLINK("http://www.ensembl.org/id/WBGene00008327", "WBGene00008327")</f>
        <v>WBGene00008327</v>
      </c>
      <c r="B969" s="9" t="str">
        <f>HYPERLINK("http://www.ncbi.nlm.nih.gov/gene/3565821", "3565821")</f>
        <v>3565821</v>
      </c>
      <c r="C969" s="9"/>
      <c r="D969" t="str">
        <f>"srz-44"</f>
        <v>srz-44</v>
      </c>
      <c r="E969" t="s">
        <v>4211</v>
      </c>
      <c r="F969" t="s">
        <v>11</v>
      </c>
      <c r="G969" t="s">
        <v>25</v>
      </c>
      <c r="H969" s="12">
        <v>4.7726609867478498</v>
      </c>
      <c r="I969" s="11">
        <v>0.97134688071907704</v>
      </c>
      <c r="J969" s="10">
        <v>0.33137557085652602</v>
      </c>
      <c r="K969" s="29">
        <v>0.98289565623980701</v>
      </c>
    </row>
    <row r="970" spans="1:11" x14ac:dyDescent="0.35">
      <c r="A970" s="9" t="str">
        <f>HYPERLINK("http://www.ensembl.org/id/WBGene00012616", "WBGene00012616")</f>
        <v>WBGene00012616</v>
      </c>
      <c r="B970" s="9" t="str">
        <f>HYPERLINK("http://www.ncbi.nlm.nih.gov/gene/189684", "189684")</f>
        <v>189684</v>
      </c>
      <c r="C970" s="9"/>
      <c r="D970" t="str">
        <f>"dct-14"</f>
        <v>dct-14</v>
      </c>
      <c r="E970" t="s">
        <v>1725</v>
      </c>
      <c r="F970" t="s">
        <v>11</v>
      </c>
      <c r="G970" t="s">
        <v>4267</v>
      </c>
      <c r="H970" s="12">
        <v>4.77173817001158</v>
      </c>
      <c r="I970" s="11">
        <v>0.86222809863481598</v>
      </c>
      <c r="J970" s="10">
        <v>0.38856201021242598</v>
      </c>
      <c r="K970" s="29">
        <v>0.98289565623980701</v>
      </c>
    </row>
    <row r="971" spans="1:11" x14ac:dyDescent="0.35">
      <c r="A971" s="9" t="str">
        <f>HYPERLINK("http://www.ensembl.org/id/WBGene00017956", "WBGene00017956")</f>
        <v>WBGene00017956</v>
      </c>
      <c r="B971" s="9"/>
      <c r="C971" s="9"/>
      <c r="D971" t="str">
        <f>"F31E8.6"</f>
        <v>F31E8.6</v>
      </c>
      <c r="F971" t="s">
        <v>80</v>
      </c>
      <c r="H971" s="12">
        <v>4.7652567231308103</v>
      </c>
      <c r="I971" s="11">
        <v>0.70605049593038005</v>
      </c>
      <c r="J971" s="10">
        <v>0.48015673564050299</v>
      </c>
      <c r="K971" s="29">
        <v>0.98289565623980701</v>
      </c>
    </row>
    <row r="972" spans="1:11" x14ac:dyDescent="0.35">
      <c r="A972" s="9" t="str">
        <f>HYPERLINK("http://www.ensembl.org/id/WBGene00007818", "WBGene00007818")</f>
        <v>WBGene00007818</v>
      </c>
      <c r="B972" s="9" t="str">
        <f>HYPERLINK("http://www.ncbi.nlm.nih.gov/gene/3565278", "3565278")</f>
        <v>3565278</v>
      </c>
      <c r="C972" s="9"/>
      <c r="D972" t="str">
        <f>"C30F2.4"</f>
        <v>C30F2.4</v>
      </c>
      <c r="F972" t="s">
        <v>11</v>
      </c>
      <c r="H972" s="12">
        <v>4.7488637899627602</v>
      </c>
      <c r="I972" s="11">
        <v>3.2821020230046298</v>
      </c>
      <c r="J972" s="10">
        <v>1.03036317996799E-3</v>
      </c>
      <c r="K972" s="29">
        <v>4.0012725439227501E-2</v>
      </c>
    </row>
    <row r="973" spans="1:11" x14ac:dyDescent="0.35">
      <c r="A973" s="9" t="str">
        <f>HYPERLINK("http://www.ensembl.org/id/WBGene00009631", "WBGene00009631")</f>
        <v>WBGene00009631</v>
      </c>
      <c r="B973" s="9"/>
      <c r="C973" s="9"/>
      <c r="D973" t="str">
        <f>"F42E8.2"</f>
        <v>F42E8.2</v>
      </c>
      <c r="F973" t="s">
        <v>80</v>
      </c>
      <c r="H973" s="12">
        <v>4.7417303292414097</v>
      </c>
      <c r="I973" s="11">
        <v>0.97816826967167003</v>
      </c>
      <c r="J973" s="10">
        <v>0.327991107035287</v>
      </c>
      <c r="K973" s="29">
        <v>0.98289565623980701</v>
      </c>
    </row>
    <row r="974" spans="1:11" x14ac:dyDescent="0.35">
      <c r="A974" s="9" t="str">
        <f>HYPERLINK("http://www.ensembl.org/id/WBGene00021496", "WBGene00021496")</f>
        <v>WBGene00021496</v>
      </c>
      <c r="B974" s="9" t="str">
        <f>HYPERLINK("http://www.ncbi.nlm.nih.gov/gene/177507", "177507")</f>
        <v>177507</v>
      </c>
      <c r="C974" s="9"/>
      <c r="D974" t="str">
        <f>"Y40C5A.3"</f>
        <v>Y40C5A.3</v>
      </c>
      <c r="F974" t="s">
        <v>11</v>
      </c>
      <c r="H974" s="12">
        <v>4.7413001544353603</v>
      </c>
      <c r="I974" s="11">
        <v>1.52958214295007</v>
      </c>
      <c r="J974" s="10">
        <v>0.126120192302831</v>
      </c>
      <c r="K974" s="29">
        <v>0.80257041127767004</v>
      </c>
    </row>
    <row r="975" spans="1:11" x14ac:dyDescent="0.35">
      <c r="A975" s="9" t="str">
        <f>HYPERLINK("http://www.ensembl.org/id/WBGene00005162", "WBGene00005162")</f>
        <v>WBGene00005162</v>
      </c>
      <c r="B975" s="9" t="str">
        <f>HYPERLINK("http://www.ncbi.nlm.nih.gov/gene/24104888", "24104888")</f>
        <v>24104888</v>
      </c>
      <c r="C975" s="9"/>
      <c r="D975" t="str">
        <f>"srg-4"</f>
        <v>srg-4</v>
      </c>
      <c r="E975" t="s">
        <v>4268</v>
      </c>
      <c r="F975" t="s">
        <v>11</v>
      </c>
      <c r="G975" t="s">
        <v>1829</v>
      </c>
      <c r="H975" s="12">
        <v>4.7243958156832502</v>
      </c>
      <c r="I975" s="11">
        <v>1.04069973274889</v>
      </c>
      <c r="J975" s="10">
        <v>0.298014927304593</v>
      </c>
      <c r="K975" s="29">
        <v>0.98289565623980701</v>
      </c>
    </row>
    <row r="976" spans="1:11" x14ac:dyDescent="0.35">
      <c r="A976" s="9" t="str">
        <f>HYPERLINK("http://www.ensembl.org/id/WBGene00007938", "WBGene00007938")</f>
        <v>WBGene00007938</v>
      </c>
      <c r="B976" s="9" t="str">
        <f>HYPERLINK("http://www.ncbi.nlm.nih.gov/gene/181306", "181306")</f>
        <v>181306</v>
      </c>
      <c r="C976" s="9"/>
      <c r="D976" t="str">
        <f>"C34F6.1"</f>
        <v>C34F6.1</v>
      </c>
      <c r="F976" t="s">
        <v>11</v>
      </c>
      <c r="G976" t="s">
        <v>50</v>
      </c>
      <c r="H976" s="12">
        <v>4.7216848353373901</v>
      </c>
      <c r="I976" s="11">
        <v>2.8665136638108102</v>
      </c>
      <c r="J976" s="10">
        <v>4.1502024322557802E-3</v>
      </c>
      <c r="K976" s="29">
        <v>0.107972246087417</v>
      </c>
    </row>
    <row r="977" spans="1:11" x14ac:dyDescent="0.35">
      <c r="A977" s="9" t="str">
        <f>HYPERLINK("http://www.ensembl.org/id/WBGene00019839", "WBGene00019839")</f>
        <v>WBGene00019839</v>
      </c>
      <c r="B977" s="9" t="str">
        <f>HYPERLINK("http://www.ncbi.nlm.nih.gov/gene/178870", "178870")</f>
        <v>178870</v>
      </c>
      <c r="C977" s="9"/>
      <c r="D977" t="str">
        <f>"R02F11.1"</f>
        <v>R02F11.1</v>
      </c>
      <c r="F977" t="s">
        <v>11</v>
      </c>
      <c r="H977" s="12">
        <v>4.7183261640149299</v>
      </c>
      <c r="I977" s="11">
        <v>1.4054748371300301</v>
      </c>
      <c r="J977" s="10">
        <v>0.159880126682479</v>
      </c>
      <c r="K977" s="29">
        <v>0.87357885607232599</v>
      </c>
    </row>
    <row r="978" spans="1:11" x14ac:dyDescent="0.35">
      <c r="A978" s="9" t="str">
        <f>HYPERLINK("http://www.ensembl.org/id/WBGene00199051", "WBGene00199051")</f>
        <v>WBGene00199051</v>
      </c>
      <c r="B978" s="9"/>
      <c r="C978" s="9"/>
      <c r="D978" t="str">
        <f>"R03E9.7"</f>
        <v>R03E9.7</v>
      </c>
      <c r="F978" t="s">
        <v>481</v>
      </c>
      <c r="H978" s="12">
        <v>4.7126261895714903</v>
      </c>
      <c r="I978" s="11">
        <v>0.74885982485759695</v>
      </c>
      <c r="J978" s="10">
        <v>0.45394169712659599</v>
      </c>
      <c r="K978" s="29">
        <v>0.98289565623980701</v>
      </c>
    </row>
    <row r="979" spans="1:11" x14ac:dyDescent="0.35">
      <c r="A979" s="9" t="str">
        <f>HYPERLINK("http://www.ensembl.org/id/WBGene00012726", "WBGene00012726")</f>
        <v>WBGene00012726</v>
      </c>
      <c r="B979" s="9" t="str">
        <f>HYPERLINK("http://www.ncbi.nlm.nih.gov/gene/189764", "189764")</f>
        <v>189764</v>
      </c>
      <c r="C979" s="9"/>
      <c r="D979" t="str">
        <f>"Y39G8B.5"</f>
        <v>Y39G8B.5</v>
      </c>
      <c r="F979" t="s">
        <v>11</v>
      </c>
      <c r="G979" t="s">
        <v>2191</v>
      </c>
      <c r="H979" s="12">
        <v>4.7060596127852801</v>
      </c>
      <c r="I979" s="11">
        <v>1.78023596732369</v>
      </c>
      <c r="J979" s="10">
        <v>7.5037351443715705E-2</v>
      </c>
      <c r="K979" s="29">
        <v>0.64477985959780404</v>
      </c>
    </row>
    <row r="980" spans="1:11" x14ac:dyDescent="0.35">
      <c r="A980" s="9" t="str">
        <f>HYPERLINK("http://www.ensembl.org/id/WBGene00023313", "WBGene00023313")</f>
        <v>WBGene00023313</v>
      </c>
      <c r="B980" s="9"/>
      <c r="C980" s="9"/>
      <c r="D980" t="str">
        <f>"H28G03.5"</f>
        <v>H28G03.5</v>
      </c>
      <c r="F980" t="s">
        <v>80</v>
      </c>
      <c r="H980" s="12">
        <v>4.7037823633850904</v>
      </c>
      <c r="I980" s="11">
        <v>1.1164339505466301</v>
      </c>
      <c r="J980" s="10">
        <v>0.26423642781085299</v>
      </c>
      <c r="K980" s="29">
        <v>0.98289565623980701</v>
      </c>
    </row>
    <row r="981" spans="1:11" x14ac:dyDescent="0.35">
      <c r="A981" s="9" t="str">
        <f>HYPERLINK("http://www.ensembl.org/id/WBGene00017863", "WBGene00017863")</f>
        <v>WBGene00017863</v>
      </c>
      <c r="B981" s="9" t="str">
        <f>HYPERLINK("http://www.ncbi.nlm.nih.gov/gene/185018", "185018")</f>
        <v>185018</v>
      </c>
      <c r="C981" s="9"/>
      <c r="D981" t="str">
        <f>"F27D9.4"</f>
        <v>F27D9.4</v>
      </c>
      <c r="F981" t="s">
        <v>11</v>
      </c>
      <c r="H981" s="12">
        <v>4.7031417454497699</v>
      </c>
      <c r="I981" s="11">
        <v>0.74790872763948502</v>
      </c>
      <c r="J981" s="10">
        <v>0.45451521287873797</v>
      </c>
      <c r="K981" s="29">
        <v>0.98289565623980701</v>
      </c>
    </row>
    <row r="982" spans="1:11" x14ac:dyDescent="0.35">
      <c r="A982" s="9" t="str">
        <f>HYPERLINK("http://www.ensembl.org/id/WBGene00010176", "WBGene00010176")</f>
        <v>WBGene00010176</v>
      </c>
      <c r="B982" s="9"/>
      <c r="C982" s="9"/>
      <c r="D982" t="str">
        <f>"F56H11.6"</f>
        <v>F56H11.6</v>
      </c>
      <c r="F982" t="s">
        <v>80</v>
      </c>
      <c r="H982" s="12">
        <v>4.7031417454497699</v>
      </c>
      <c r="I982" s="11">
        <v>0.74790872763948502</v>
      </c>
      <c r="J982" s="10">
        <v>0.45451521287873797</v>
      </c>
      <c r="K982" s="29">
        <v>0.98289565623980701</v>
      </c>
    </row>
    <row r="983" spans="1:11" x14ac:dyDescent="0.35">
      <c r="A983" s="9" t="str">
        <f>HYPERLINK("http://www.ensembl.org/id/WBGene00021500", "WBGene00021500")</f>
        <v>WBGene00021500</v>
      </c>
      <c r="B983" s="9" t="str">
        <f>HYPERLINK("http://www.ncbi.nlm.nih.gov/gene/189796", "189796")</f>
        <v>189796</v>
      </c>
      <c r="C983" s="9"/>
      <c r="D983" t="str">
        <f>"Y40C7B.4"</f>
        <v>Y40C7B.4</v>
      </c>
      <c r="F983" t="s">
        <v>11</v>
      </c>
      <c r="H983" s="12">
        <v>4.6989579612288797</v>
      </c>
      <c r="I983" s="11">
        <v>0.78686392151958295</v>
      </c>
      <c r="J983" s="10">
        <v>0.43136152949717399</v>
      </c>
      <c r="K983" s="29">
        <v>0.98289565623980701</v>
      </c>
    </row>
    <row r="984" spans="1:11" x14ac:dyDescent="0.35">
      <c r="A984" s="9" t="str">
        <f>HYPERLINK("http://www.ensembl.org/id/WBGene00197371", "WBGene00197371")</f>
        <v>WBGene00197371</v>
      </c>
      <c r="B984" s="9"/>
      <c r="C984" s="9"/>
      <c r="D984" t="str">
        <f>"Y76A2B.8"</f>
        <v>Y76A2B.8</v>
      </c>
      <c r="F984" t="s">
        <v>481</v>
      </c>
      <c r="H984" s="12">
        <v>4.6989579612288797</v>
      </c>
      <c r="I984" s="11">
        <v>0.78686392151958295</v>
      </c>
      <c r="J984" s="10">
        <v>0.43136152949717399</v>
      </c>
      <c r="K984" s="29">
        <v>0.98289565623980701</v>
      </c>
    </row>
    <row r="985" spans="1:11" x14ac:dyDescent="0.35">
      <c r="A985" s="9" t="str">
        <f>HYPERLINK("http://www.ensembl.org/id/WBGene00044187", "WBGene00044187")</f>
        <v>WBGene00044187</v>
      </c>
      <c r="B985" s="9" t="str">
        <f>HYPERLINK("http://www.ncbi.nlm.nih.gov/gene/3564837", "3564837")</f>
        <v>3564837</v>
      </c>
      <c r="C985" s="9" t="str">
        <f>HYPERLINK("http://www.ncbi.nlm.nih.gov/gene/164395", "164395")</f>
        <v>164395</v>
      </c>
      <c r="D985" t="str">
        <f>"ttll-9"</f>
        <v>ttll-9</v>
      </c>
      <c r="E985" t="s">
        <v>3106</v>
      </c>
      <c r="F985" t="s">
        <v>11</v>
      </c>
      <c r="G985" t="s">
        <v>3859</v>
      </c>
      <c r="H985" s="12">
        <v>4.6916043157610199</v>
      </c>
      <c r="I985" s="11">
        <v>1.28039915773147</v>
      </c>
      <c r="J985" s="10">
        <v>0.20040479004582601</v>
      </c>
      <c r="K985" s="29">
        <v>0.94713705845752905</v>
      </c>
    </row>
    <row r="986" spans="1:11" x14ac:dyDescent="0.35">
      <c r="A986" s="9" t="str">
        <f>HYPERLINK("http://www.ensembl.org/id/WBGene00003057", "WBGene00003057")</f>
        <v>WBGene00003057</v>
      </c>
      <c r="B986" s="9" t="str">
        <f>HYPERLINK("http://www.ncbi.nlm.nih.gov/gene/179673", "179673")</f>
        <v>179673</v>
      </c>
      <c r="C986" s="9"/>
      <c r="D986" t="str">
        <f>"lon-3"</f>
        <v>lon-3</v>
      </c>
      <c r="E986" t="s">
        <v>1487</v>
      </c>
      <c r="F986" t="s">
        <v>11</v>
      </c>
      <c r="G986" t="s">
        <v>152</v>
      </c>
      <c r="H986" s="12">
        <v>4.6829612078584804</v>
      </c>
      <c r="I986" s="11">
        <v>2.1711735622772399</v>
      </c>
      <c r="J986" s="10">
        <v>2.99180550217698E-2</v>
      </c>
      <c r="K986" s="29">
        <v>0.386409490963115</v>
      </c>
    </row>
    <row r="987" spans="1:11" x14ac:dyDescent="0.35">
      <c r="A987" s="9" t="str">
        <f>HYPERLINK("http://www.ensembl.org/id/WBGene00005887", "WBGene00005887")</f>
        <v>WBGene00005887</v>
      </c>
      <c r="B987" s="9" t="str">
        <f>HYPERLINK("http://www.ncbi.nlm.nih.gov/gene/182135", "182135")</f>
        <v>182135</v>
      </c>
      <c r="C987" s="9"/>
      <c r="D987" t="str">
        <f>"srw-140"</f>
        <v>srw-140</v>
      </c>
      <c r="E987" t="s">
        <v>1014</v>
      </c>
      <c r="F987" t="s">
        <v>11</v>
      </c>
      <c r="G987" t="s">
        <v>1015</v>
      </c>
      <c r="H987" s="12">
        <v>4.6806561070019201</v>
      </c>
      <c r="I987" s="11">
        <v>0.83378409140915399</v>
      </c>
      <c r="J987" s="10">
        <v>0.404402661553939</v>
      </c>
      <c r="K987" s="29">
        <v>0.98289565623980701</v>
      </c>
    </row>
    <row r="988" spans="1:11" x14ac:dyDescent="0.35">
      <c r="A988" s="9" t="str">
        <f>HYPERLINK("http://www.ensembl.org/id/WBGene00206474", "WBGene00206474")</f>
        <v>WBGene00206474</v>
      </c>
      <c r="B988" s="9" t="str">
        <f>HYPERLINK("http://www.ncbi.nlm.nih.gov/gene/13181893", "13181893")</f>
        <v>13181893</v>
      </c>
      <c r="C988" s="9"/>
      <c r="D988" t="str">
        <f>"T22A3.12"</f>
        <v>T22A3.12</v>
      </c>
      <c r="F988" t="s">
        <v>11</v>
      </c>
      <c r="H988" s="12">
        <v>4.6806561070019201</v>
      </c>
      <c r="I988" s="11">
        <v>0.83378409140915399</v>
      </c>
      <c r="J988" s="10">
        <v>0.404402661553939</v>
      </c>
      <c r="K988" s="29">
        <v>0.98289565623980701</v>
      </c>
    </row>
    <row r="989" spans="1:11" x14ac:dyDescent="0.35">
      <c r="A989" s="9" t="str">
        <f>HYPERLINK("http://www.ensembl.org/id/WBGene00199254", "WBGene00199254")</f>
        <v>WBGene00199254</v>
      </c>
      <c r="B989" s="9"/>
      <c r="C989" s="9"/>
      <c r="D989" t="str">
        <f>"R07D5.6"</f>
        <v>R07D5.6</v>
      </c>
      <c r="F989" t="s">
        <v>481</v>
      </c>
      <c r="H989" s="12">
        <v>4.6735026405940001</v>
      </c>
      <c r="I989" s="11">
        <v>0.83549561031447805</v>
      </c>
      <c r="J989" s="10">
        <v>0.403438717484215</v>
      </c>
      <c r="K989" s="29">
        <v>0.98289565623980701</v>
      </c>
    </row>
    <row r="990" spans="1:11" x14ac:dyDescent="0.35">
      <c r="A990" s="9" t="str">
        <f>HYPERLINK("http://www.ensembl.org/id/WBGene00004002", "WBGene00004002")</f>
        <v>WBGene00004002</v>
      </c>
      <c r="B990" s="9" t="str">
        <f>HYPERLINK("http://www.ncbi.nlm.nih.gov/gene/181277", "181277")</f>
        <v>181277</v>
      </c>
      <c r="C990" s="9"/>
      <c r="D990" t="str">
        <f>"pgp-8"</f>
        <v>pgp-8</v>
      </c>
      <c r="E990" t="s">
        <v>1379</v>
      </c>
      <c r="F990" t="s">
        <v>11</v>
      </c>
      <c r="G990" t="s">
        <v>1380</v>
      </c>
      <c r="H990" s="12">
        <v>4.6726355519926202</v>
      </c>
      <c r="I990" s="11">
        <v>2.2433030593585901</v>
      </c>
      <c r="J990" s="10">
        <v>2.4877278229936801E-2</v>
      </c>
      <c r="K990" s="29">
        <v>0.34552957120674999</v>
      </c>
    </row>
    <row r="991" spans="1:11" x14ac:dyDescent="0.35">
      <c r="A991" s="9" t="str">
        <f>HYPERLINK("http://www.ensembl.org/id/WBGene00077514", "WBGene00077514")</f>
        <v>WBGene00077514</v>
      </c>
      <c r="B991" s="9" t="str">
        <f>HYPERLINK("http://www.ncbi.nlm.nih.gov/gene/6418715", "6418715")</f>
        <v>6418715</v>
      </c>
      <c r="C991" s="9"/>
      <c r="D991" t="str">
        <f>"F07B10.7"</f>
        <v>F07B10.7</v>
      </c>
      <c r="F991" t="s">
        <v>11</v>
      </c>
      <c r="G991" t="s">
        <v>25</v>
      </c>
      <c r="H991" s="12">
        <v>4.6658751466477</v>
      </c>
      <c r="I991" s="11">
        <v>0.61006514994220495</v>
      </c>
      <c r="J991" s="10">
        <v>0.54181865118905304</v>
      </c>
      <c r="K991" s="29">
        <v>0.98289565623980701</v>
      </c>
    </row>
    <row r="992" spans="1:11" x14ac:dyDescent="0.35">
      <c r="A992" s="9" t="str">
        <f>HYPERLINK("http://www.ensembl.org/id/WBGene00005418", "WBGene00005418")</f>
        <v>WBGene00005418</v>
      </c>
      <c r="B992" s="9" t="str">
        <f>HYPERLINK("http://www.ncbi.nlm.nih.gov/gene/183411", "183411")</f>
        <v>183411</v>
      </c>
      <c r="C992" s="9"/>
      <c r="D992" t="str">
        <f>"srh-208"</f>
        <v>srh-208</v>
      </c>
      <c r="E992" t="s">
        <v>153</v>
      </c>
      <c r="F992" t="s">
        <v>11</v>
      </c>
      <c r="G992" t="s">
        <v>25</v>
      </c>
      <c r="H992" s="12">
        <v>4.6658751466477</v>
      </c>
      <c r="I992" s="11">
        <v>0.61006514994220495</v>
      </c>
      <c r="J992" s="10">
        <v>0.54181865118905304</v>
      </c>
      <c r="K992" s="29">
        <v>0.98289565623980701</v>
      </c>
    </row>
    <row r="993" spans="1:11" x14ac:dyDescent="0.35">
      <c r="A993" s="9" t="str">
        <f>HYPERLINK("http://www.ensembl.org/id/WBGene00010167", "WBGene00010167")</f>
        <v>WBGene00010167</v>
      </c>
      <c r="B993" s="9" t="str">
        <f>HYPERLINK("http://www.ncbi.nlm.nih.gov/gene/186417", "186417")</f>
        <v>186417</v>
      </c>
      <c r="C993" s="9"/>
      <c r="D993" t="str">
        <f>"bgnt-1.6"</f>
        <v>bgnt-1.6</v>
      </c>
      <c r="E993" t="s">
        <v>4228</v>
      </c>
      <c r="F993" t="s">
        <v>11</v>
      </c>
      <c r="G993" t="s">
        <v>4270</v>
      </c>
      <c r="H993" s="12">
        <v>4.6654079932490999</v>
      </c>
      <c r="I993" s="11">
        <v>0.52614446217109401</v>
      </c>
      <c r="J993" s="10">
        <v>0.59878783828128901</v>
      </c>
      <c r="K993" s="29">
        <v>0.98289565623980701</v>
      </c>
    </row>
    <row r="994" spans="1:11" x14ac:dyDescent="0.35">
      <c r="A994" s="9" t="str">
        <f>HYPERLINK("http://www.ensembl.org/id/WBGene00022756", "WBGene00022756")</f>
        <v>WBGene00022756</v>
      </c>
      <c r="B994" s="9" t="str">
        <f>HYPERLINK("http://www.ncbi.nlm.nih.gov/gene/191329", "191329")</f>
        <v>191329</v>
      </c>
      <c r="C994" s="9"/>
      <c r="D994" t="str">
        <f>"nhr-251"</f>
        <v>nhr-251</v>
      </c>
      <c r="E994" t="s">
        <v>637</v>
      </c>
      <c r="F994" t="s">
        <v>11</v>
      </c>
      <c r="G994" t="s">
        <v>1073</v>
      </c>
      <c r="H994" s="12">
        <v>4.6654079932490999</v>
      </c>
      <c r="I994" s="11">
        <v>0.52614446217109401</v>
      </c>
      <c r="J994" s="10">
        <v>0.59878783828128901</v>
      </c>
      <c r="K994" s="29">
        <v>0.98289565623980701</v>
      </c>
    </row>
    <row r="995" spans="1:11" x14ac:dyDescent="0.35">
      <c r="A995" s="9" t="str">
        <f>HYPERLINK("http://www.ensembl.org/id/WBGene00005112", "WBGene00005112")</f>
        <v>WBGene00005112</v>
      </c>
      <c r="B995" s="9" t="str">
        <f>HYPERLINK("http://www.ncbi.nlm.nih.gov/gene/185210", "185210")</f>
        <v>185210</v>
      </c>
      <c r="C995" s="9"/>
      <c r="D995" t="str">
        <f>"srd-34"</f>
        <v>srd-34</v>
      </c>
      <c r="E995" t="s">
        <v>4269</v>
      </c>
      <c r="F995" t="s">
        <v>11</v>
      </c>
      <c r="G995" t="s">
        <v>25</v>
      </c>
      <c r="H995" s="12">
        <v>4.6654079932490999</v>
      </c>
      <c r="I995" s="11">
        <v>0.52614446217109401</v>
      </c>
      <c r="J995" s="10">
        <v>0.59878783828128901</v>
      </c>
      <c r="K995" s="29">
        <v>0.98289565623980701</v>
      </c>
    </row>
    <row r="996" spans="1:11" x14ac:dyDescent="0.35">
      <c r="A996" s="9" t="str">
        <f>HYPERLINK("http://www.ensembl.org/id/WBGene00014127", "WBGene00014127")</f>
        <v>WBGene00014127</v>
      </c>
      <c r="B996" s="9" t="str">
        <f>HYPERLINK("http://www.ncbi.nlm.nih.gov/gene/174558", "174558")</f>
        <v>174558</v>
      </c>
      <c r="C996" s="9"/>
      <c r="D996" t="str">
        <f>"ZK892.3"</f>
        <v>ZK892.3</v>
      </c>
      <c r="F996" t="s">
        <v>11</v>
      </c>
      <c r="G996" t="s">
        <v>230</v>
      </c>
      <c r="H996" s="12">
        <v>4.6654079932490999</v>
      </c>
      <c r="I996" s="11">
        <v>0.52614446217109401</v>
      </c>
      <c r="J996" s="10">
        <v>0.59878783828128901</v>
      </c>
      <c r="K996" s="29">
        <v>0.98289565623980701</v>
      </c>
    </row>
    <row r="997" spans="1:11" x14ac:dyDescent="0.35">
      <c r="A997" s="9" t="str">
        <f>HYPERLINK("http://www.ensembl.org/id/WBGene00201596", "WBGene00201596")</f>
        <v>WBGene00201596</v>
      </c>
      <c r="B997" s="9"/>
      <c r="C997" s="9"/>
      <c r="D997" t="str">
        <f>"C29H12.13"</f>
        <v>C29H12.13</v>
      </c>
      <c r="F997" t="s">
        <v>481</v>
      </c>
      <c r="H997" s="12">
        <v>4.6517299344438898</v>
      </c>
      <c r="I997" s="11">
        <v>0.75389534651193602</v>
      </c>
      <c r="J997" s="10">
        <v>0.45091206507930298</v>
      </c>
      <c r="K997" s="29">
        <v>0.98289565623980701</v>
      </c>
    </row>
    <row r="998" spans="1:11" x14ac:dyDescent="0.35">
      <c r="A998" s="9" t="str">
        <f>HYPERLINK("http://www.ensembl.org/id/WBGene00199918", "WBGene00199918")</f>
        <v>WBGene00199918</v>
      </c>
      <c r="B998" s="9"/>
      <c r="C998" s="9"/>
      <c r="D998" t="str">
        <f>"mir-8192"</f>
        <v>mir-8192</v>
      </c>
      <c r="F998" t="s">
        <v>1486</v>
      </c>
      <c r="H998" s="12">
        <v>4.6483836116587396</v>
      </c>
      <c r="I998" s="11">
        <v>0.94791011646354395</v>
      </c>
      <c r="J998" s="10">
        <v>0.343175214369699</v>
      </c>
      <c r="K998" s="29">
        <v>0.98289565623980701</v>
      </c>
    </row>
    <row r="999" spans="1:11" x14ac:dyDescent="0.35">
      <c r="A999" s="9" t="str">
        <f>HYPERLINK("http://www.ensembl.org/id/WBGene00013318", "WBGene00013318")</f>
        <v>WBGene00013318</v>
      </c>
      <c r="B999" s="9" t="str">
        <f>HYPERLINK("http://www.ncbi.nlm.nih.gov/gene/190377", "190377")</f>
        <v>190377</v>
      </c>
      <c r="C999" s="9"/>
      <c r="D999" t="str">
        <f>"Y57G11C.23"</f>
        <v>Y57G11C.23</v>
      </c>
      <c r="F999" t="s">
        <v>11</v>
      </c>
      <c r="G999" t="s">
        <v>230</v>
      </c>
      <c r="H999" s="12">
        <v>4.6392811558976197</v>
      </c>
      <c r="I999" s="11">
        <v>1.28950787274725</v>
      </c>
      <c r="J999" s="10">
        <v>0.19722158113539201</v>
      </c>
      <c r="K999" s="29">
        <v>0.94254621866561905</v>
      </c>
    </row>
    <row r="1000" spans="1:11" x14ac:dyDescent="0.35">
      <c r="A1000" s="9" t="str">
        <f>HYPERLINK("http://www.ensembl.org/id/WBGene00170633", "WBGene00170633")</f>
        <v>WBGene00170633</v>
      </c>
      <c r="B1000" s="9"/>
      <c r="C1000" s="9"/>
      <c r="D1000" t="str">
        <f>"21ur-10208"</f>
        <v>21ur-10208</v>
      </c>
      <c r="F1000" t="s">
        <v>3161</v>
      </c>
      <c r="H1000" s="12">
        <v>4.6387698961716399</v>
      </c>
      <c r="I1000" s="11">
        <v>0.44985450087338802</v>
      </c>
      <c r="J1000" s="10">
        <v>0.65281535672642099</v>
      </c>
      <c r="K1000" s="29">
        <v>0.98289565623980701</v>
      </c>
    </row>
    <row r="1001" spans="1:11" x14ac:dyDescent="0.35">
      <c r="A1001" s="9" t="str">
        <f>HYPERLINK("http://www.ensembl.org/id/WBGene00171041", "WBGene00171041")</f>
        <v>WBGene00171041</v>
      </c>
      <c r="B1001" s="9"/>
      <c r="C1001" s="9"/>
      <c r="D1001" t="str">
        <f>"21ur-12950"</f>
        <v>21ur-12950</v>
      </c>
      <c r="F1001" t="s">
        <v>3161</v>
      </c>
      <c r="H1001" s="12">
        <v>4.6387698961716399</v>
      </c>
      <c r="I1001" s="11">
        <v>0.44985450087338802</v>
      </c>
      <c r="J1001" s="10">
        <v>0.65281535672642099</v>
      </c>
      <c r="K1001" s="29">
        <v>0.98289565623980701</v>
      </c>
    </row>
    <row r="1002" spans="1:11" x14ac:dyDescent="0.35">
      <c r="A1002" s="9" t="str">
        <f>HYPERLINK("http://www.ensembl.org/id/WBGene00049353", "WBGene00049353")</f>
        <v>WBGene00049353</v>
      </c>
      <c r="B1002" s="9"/>
      <c r="C1002" s="9"/>
      <c r="D1002" t="str">
        <f>"21ur-3065"</f>
        <v>21ur-3065</v>
      </c>
      <c r="F1002" t="s">
        <v>3161</v>
      </c>
      <c r="H1002" s="12">
        <v>4.6387698961716399</v>
      </c>
      <c r="I1002" s="11">
        <v>0.44985450087338802</v>
      </c>
      <c r="J1002" s="10">
        <v>0.65281535672642099</v>
      </c>
      <c r="K1002" s="29">
        <v>0.98289565623980701</v>
      </c>
    </row>
    <row r="1003" spans="1:11" x14ac:dyDescent="0.35">
      <c r="A1003" s="9" t="str">
        <f>HYPERLINK("http://www.ensembl.org/id/WBGene00168905", "WBGene00168905")</f>
        <v>WBGene00168905</v>
      </c>
      <c r="B1003" s="9"/>
      <c r="C1003" s="9"/>
      <c r="D1003" t="str">
        <f>"21ur-5573"</f>
        <v>21ur-5573</v>
      </c>
      <c r="F1003" t="s">
        <v>3161</v>
      </c>
      <c r="H1003" s="12">
        <v>4.6387698961716399</v>
      </c>
      <c r="I1003" s="11">
        <v>0.44985450087338802</v>
      </c>
      <c r="J1003" s="10">
        <v>0.65281535672642099</v>
      </c>
      <c r="K1003" s="29">
        <v>0.98289565623980701</v>
      </c>
    </row>
    <row r="1004" spans="1:11" x14ac:dyDescent="0.35">
      <c r="A1004" s="9" t="str">
        <f>HYPERLINK("http://www.ensembl.org/id/WBGene00017392", "WBGene00017392")</f>
        <v>WBGene00017392</v>
      </c>
      <c r="B1004" s="9"/>
      <c r="C1004" s="9"/>
      <c r="D1004" t="str">
        <f>"basl-2"</f>
        <v>basl-2</v>
      </c>
      <c r="F1004" t="s">
        <v>80</v>
      </c>
      <c r="H1004" s="12">
        <v>4.6387698961716399</v>
      </c>
      <c r="I1004" s="11">
        <v>0.44985450087338802</v>
      </c>
      <c r="J1004" s="10">
        <v>0.65281535672642099</v>
      </c>
      <c r="K1004" s="29">
        <v>0.98289565623980701</v>
      </c>
    </row>
    <row r="1005" spans="1:11" x14ac:dyDescent="0.35">
      <c r="A1005" s="9" t="str">
        <f>HYPERLINK("http://www.ensembl.org/id/WBGene00199170", "WBGene00199170")</f>
        <v>WBGene00199170</v>
      </c>
      <c r="B1005" s="9"/>
      <c r="C1005" s="9"/>
      <c r="D1005" t="str">
        <f>"C02D4.10"</f>
        <v>C02D4.10</v>
      </c>
      <c r="F1005" t="s">
        <v>481</v>
      </c>
      <c r="H1005" s="12">
        <v>4.6387698961716399</v>
      </c>
      <c r="I1005" s="11">
        <v>0.44985450087338802</v>
      </c>
      <c r="J1005" s="10">
        <v>0.65281535672642099</v>
      </c>
      <c r="K1005" s="29">
        <v>0.98289565623980701</v>
      </c>
    </row>
    <row r="1006" spans="1:11" x14ac:dyDescent="0.35">
      <c r="A1006" s="9" t="str">
        <f>HYPERLINK("http://www.ensembl.org/id/WBGene00197186", "WBGene00197186")</f>
        <v>WBGene00197186</v>
      </c>
      <c r="B1006" s="9"/>
      <c r="C1006" s="9"/>
      <c r="D1006" t="str">
        <f>"C05G5.9"</f>
        <v>C05G5.9</v>
      </c>
      <c r="F1006" t="s">
        <v>481</v>
      </c>
      <c r="H1006" s="12">
        <v>4.6387698961716399</v>
      </c>
      <c r="I1006" s="11">
        <v>0.44985450087338802</v>
      </c>
      <c r="J1006" s="10">
        <v>0.65281535672642099</v>
      </c>
      <c r="K1006" s="29">
        <v>0.98289565623980701</v>
      </c>
    </row>
    <row r="1007" spans="1:11" x14ac:dyDescent="0.35">
      <c r="A1007" s="9" t="str">
        <f>HYPERLINK("http://www.ensembl.org/id/WBGene00197539", "WBGene00197539")</f>
        <v>WBGene00197539</v>
      </c>
      <c r="B1007" s="9"/>
      <c r="C1007" s="9"/>
      <c r="D1007" t="str">
        <f>"C07H6.13"</f>
        <v>C07H6.13</v>
      </c>
      <c r="F1007" t="s">
        <v>481</v>
      </c>
      <c r="H1007" s="12">
        <v>4.6387698961716399</v>
      </c>
      <c r="I1007" s="11">
        <v>0.44985450087338802</v>
      </c>
      <c r="J1007" s="10">
        <v>0.65281535672642099</v>
      </c>
      <c r="K1007" s="29">
        <v>0.98289565623980701</v>
      </c>
    </row>
    <row r="1008" spans="1:11" x14ac:dyDescent="0.35">
      <c r="A1008" s="9" t="str">
        <f>HYPERLINK("http://www.ensembl.org/id/WBGene00198494", "WBGene00198494")</f>
        <v>WBGene00198494</v>
      </c>
      <c r="B1008" s="9"/>
      <c r="C1008" s="9"/>
      <c r="D1008" t="str">
        <f>"C14F11.18"</f>
        <v>C14F11.18</v>
      </c>
      <c r="F1008" t="s">
        <v>481</v>
      </c>
      <c r="H1008" s="12">
        <v>4.6387698961716399</v>
      </c>
      <c r="I1008" s="11">
        <v>0.44985450087338802</v>
      </c>
      <c r="J1008" s="10">
        <v>0.65281535672642099</v>
      </c>
      <c r="K1008" s="29">
        <v>0.98289565623980701</v>
      </c>
    </row>
    <row r="1009" spans="1:11" x14ac:dyDescent="0.35">
      <c r="A1009" s="9" t="str">
        <f>HYPERLINK("http://www.ensembl.org/id/WBGene00195957", "WBGene00195957")</f>
        <v>WBGene00195957</v>
      </c>
      <c r="B1009" s="9"/>
      <c r="C1009" s="9"/>
      <c r="D1009" t="str">
        <f>"C14F11.9"</f>
        <v>C14F11.9</v>
      </c>
      <c r="F1009" t="s">
        <v>481</v>
      </c>
      <c r="H1009" s="12">
        <v>4.6387698961716399</v>
      </c>
      <c r="I1009" s="11">
        <v>0.44985450087338802</v>
      </c>
      <c r="J1009" s="10">
        <v>0.65281535672642099</v>
      </c>
      <c r="K1009" s="29">
        <v>0.98289565623980701</v>
      </c>
    </row>
    <row r="1010" spans="1:11" x14ac:dyDescent="0.35">
      <c r="A1010" s="9" t="str">
        <f>HYPERLINK("http://www.ensembl.org/id/WBGene00201756", "WBGene00201756")</f>
        <v>WBGene00201756</v>
      </c>
      <c r="B1010" s="9"/>
      <c r="C1010" s="9"/>
      <c r="D1010" t="str">
        <f>"C34H3.22"</f>
        <v>C34H3.22</v>
      </c>
      <c r="F1010" t="s">
        <v>481</v>
      </c>
      <c r="H1010" s="12">
        <v>4.6387698961716399</v>
      </c>
      <c r="I1010" s="11">
        <v>0.44985450087338802</v>
      </c>
      <c r="J1010" s="10">
        <v>0.65281535672642099</v>
      </c>
      <c r="K1010" s="29">
        <v>0.98289565623980701</v>
      </c>
    </row>
    <row r="1011" spans="1:11" x14ac:dyDescent="0.35">
      <c r="A1011" s="9" t="str">
        <f>HYPERLINK("http://www.ensembl.org/id/WBGene00197611", "WBGene00197611")</f>
        <v>WBGene00197611</v>
      </c>
      <c r="B1011" s="9"/>
      <c r="C1011" s="9"/>
      <c r="D1011" t="str">
        <f>"C39E9.17"</f>
        <v>C39E9.17</v>
      </c>
      <c r="F1011" t="s">
        <v>481</v>
      </c>
      <c r="H1011" s="12">
        <v>4.6387698961716399</v>
      </c>
      <c r="I1011" s="11">
        <v>0.44985450087338802</v>
      </c>
      <c r="J1011" s="10">
        <v>0.65281535672642099</v>
      </c>
      <c r="K1011" s="29">
        <v>0.98289565623980701</v>
      </c>
    </row>
    <row r="1012" spans="1:11" x14ac:dyDescent="0.35">
      <c r="A1012" s="9" t="str">
        <f>HYPERLINK("http://www.ensembl.org/id/WBGene00009395", "WBGene00009395")</f>
        <v>WBGene00009395</v>
      </c>
      <c r="B1012" s="9" t="str">
        <f>HYPERLINK("http://www.ncbi.nlm.nih.gov/gene/185264", "185264")</f>
        <v>185264</v>
      </c>
      <c r="C1012" s="9"/>
      <c r="D1012" t="str">
        <f>"clec-64"</f>
        <v>clec-64</v>
      </c>
      <c r="E1012" t="s">
        <v>46</v>
      </c>
      <c r="F1012" t="s">
        <v>11</v>
      </c>
      <c r="G1012" t="s">
        <v>47</v>
      </c>
      <c r="H1012" s="12">
        <v>4.6387698961716399</v>
      </c>
      <c r="I1012" s="11">
        <v>0.44985450087338802</v>
      </c>
      <c r="J1012" s="10">
        <v>0.65281535672642099</v>
      </c>
      <c r="K1012" s="29">
        <v>0.98289565623980701</v>
      </c>
    </row>
    <row r="1013" spans="1:11" x14ac:dyDescent="0.35">
      <c r="A1013" s="9" t="str">
        <f>HYPERLINK("http://www.ensembl.org/id/WBGene00001062", "WBGene00001062")</f>
        <v>WBGene00001062</v>
      </c>
      <c r="B1013" s="9" t="str">
        <f>HYPERLINK("http://www.ncbi.nlm.nih.gov/gene/187759", "187759")</f>
        <v>187759</v>
      </c>
      <c r="C1013" s="9"/>
      <c r="D1013" t="str">
        <f>"dpr-1"</f>
        <v>dpr-1</v>
      </c>
      <c r="E1013" t="s">
        <v>4272</v>
      </c>
      <c r="F1013" t="s">
        <v>11</v>
      </c>
      <c r="G1013" t="s">
        <v>1073</v>
      </c>
      <c r="H1013" s="12">
        <v>4.6387698961716399</v>
      </c>
      <c r="I1013" s="11">
        <v>0.44985450087338802</v>
      </c>
      <c r="J1013" s="10">
        <v>0.65281535672642099</v>
      </c>
      <c r="K1013" s="29">
        <v>0.98289565623980701</v>
      </c>
    </row>
    <row r="1014" spans="1:11" x14ac:dyDescent="0.35">
      <c r="A1014" s="9" t="str">
        <f>HYPERLINK("http://www.ensembl.org/id/WBGene00017516", "WBGene00017516")</f>
        <v>WBGene00017516</v>
      </c>
      <c r="B1014" s="9" t="str">
        <f>HYPERLINK("http://www.ncbi.nlm.nih.gov/gene/184576", "184576")</f>
        <v>184576</v>
      </c>
      <c r="C1014" s="9"/>
      <c r="D1014" t="str">
        <f>"F16G10.1"</f>
        <v>F16G10.1</v>
      </c>
      <c r="F1014" t="s">
        <v>11</v>
      </c>
      <c r="H1014" s="12">
        <v>4.6387698961716399</v>
      </c>
      <c r="I1014" s="11">
        <v>0.44985450087338802</v>
      </c>
      <c r="J1014" s="10">
        <v>0.65281535672642099</v>
      </c>
      <c r="K1014" s="29">
        <v>0.98289565623980701</v>
      </c>
    </row>
    <row r="1015" spans="1:11" x14ac:dyDescent="0.35">
      <c r="A1015" s="9" t="str">
        <f>HYPERLINK("http://www.ensembl.org/id/WBGene00018124", "WBGene00018124")</f>
        <v>WBGene00018124</v>
      </c>
      <c r="B1015" s="9" t="str">
        <f>HYPERLINK("http://www.ncbi.nlm.nih.gov/gene/185396", "185396")</f>
        <v>185396</v>
      </c>
      <c r="C1015" s="9"/>
      <c r="D1015" t="str">
        <f>"F36H12.10"</f>
        <v>F36H12.10</v>
      </c>
      <c r="E1015" t="s">
        <v>1019</v>
      </c>
      <c r="F1015" t="s">
        <v>11</v>
      </c>
      <c r="G1015" t="s">
        <v>1020</v>
      </c>
      <c r="H1015" s="12">
        <v>4.6387698961716399</v>
      </c>
      <c r="I1015" s="11">
        <v>0.44985450087338802</v>
      </c>
      <c r="J1015" s="10">
        <v>0.65281535672642099</v>
      </c>
      <c r="K1015" s="29">
        <v>0.98289565623980701</v>
      </c>
    </row>
    <row r="1016" spans="1:11" x14ac:dyDescent="0.35">
      <c r="A1016" s="9" t="str">
        <f>HYPERLINK("http://www.ensembl.org/id/WBGene00201158", "WBGene00201158")</f>
        <v>WBGene00201158</v>
      </c>
      <c r="B1016" s="9"/>
      <c r="C1016" s="9"/>
      <c r="D1016" t="str">
        <f>"F38B6.19"</f>
        <v>F38B6.19</v>
      </c>
      <c r="F1016" t="s">
        <v>481</v>
      </c>
      <c r="H1016" s="12">
        <v>4.6387698961716399</v>
      </c>
      <c r="I1016" s="11">
        <v>0.44985450087338802</v>
      </c>
      <c r="J1016" s="10">
        <v>0.65281535672642099</v>
      </c>
      <c r="K1016" s="29">
        <v>0.98289565623980701</v>
      </c>
    </row>
    <row r="1017" spans="1:11" x14ac:dyDescent="0.35">
      <c r="A1017" s="9" t="str">
        <f>HYPERLINK("http://www.ensembl.org/id/WBGene00201602", "WBGene00201602")</f>
        <v>WBGene00201602</v>
      </c>
      <c r="B1017" s="9"/>
      <c r="C1017" s="9"/>
      <c r="D1017" t="str">
        <f>"F42C5.16"</f>
        <v>F42C5.16</v>
      </c>
      <c r="F1017" t="s">
        <v>481</v>
      </c>
      <c r="H1017" s="12">
        <v>4.6387698961716399</v>
      </c>
      <c r="I1017" s="11">
        <v>0.44985450087338802</v>
      </c>
      <c r="J1017" s="10">
        <v>0.65281535672642099</v>
      </c>
      <c r="K1017" s="29">
        <v>0.98289565623980701</v>
      </c>
    </row>
    <row r="1018" spans="1:11" x14ac:dyDescent="0.35">
      <c r="A1018" s="9" t="str">
        <f>HYPERLINK("http://www.ensembl.org/id/WBGene00219957", "WBGene00219957")</f>
        <v>WBGene00219957</v>
      </c>
      <c r="B1018" s="9"/>
      <c r="C1018" s="9"/>
      <c r="D1018" t="str">
        <f>"F48F5.7"</f>
        <v>F48F5.7</v>
      </c>
      <c r="F1018" t="s">
        <v>2977</v>
      </c>
      <c r="H1018" s="12">
        <v>4.6387698961716399</v>
      </c>
      <c r="I1018" s="11">
        <v>0.44985450087338802</v>
      </c>
      <c r="J1018" s="10">
        <v>0.65281535672642099</v>
      </c>
      <c r="K1018" s="29">
        <v>0.98289565623980701</v>
      </c>
    </row>
    <row r="1019" spans="1:11" x14ac:dyDescent="0.35">
      <c r="A1019" s="9" t="str">
        <f>HYPERLINK("http://www.ensembl.org/id/WBGene00200032", "WBGene00200032")</f>
        <v>WBGene00200032</v>
      </c>
      <c r="B1019" s="9"/>
      <c r="C1019" s="9"/>
      <c r="D1019" t="str">
        <f>"F55C10.10"</f>
        <v>F55C10.10</v>
      </c>
      <c r="F1019" t="s">
        <v>481</v>
      </c>
      <c r="H1019" s="12">
        <v>4.6387698961716399</v>
      </c>
      <c r="I1019" s="11">
        <v>0.44985450087338802</v>
      </c>
      <c r="J1019" s="10">
        <v>0.65281535672642099</v>
      </c>
      <c r="K1019" s="29">
        <v>0.98289565623980701</v>
      </c>
    </row>
    <row r="1020" spans="1:11" x14ac:dyDescent="0.35">
      <c r="A1020" s="9" t="str">
        <f>HYPERLINK("http://www.ensembl.org/id/WBGene00044309", "WBGene00044309")</f>
        <v>WBGene00044309</v>
      </c>
      <c r="B1020" s="9"/>
      <c r="C1020" s="9"/>
      <c r="D1020" t="str">
        <f>"F58F9.11"</f>
        <v>F58F9.11</v>
      </c>
      <c r="F1020" t="s">
        <v>80</v>
      </c>
      <c r="H1020" s="12">
        <v>4.6387698961716399</v>
      </c>
      <c r="I1020" s="11">
        <v>0.44985450087338802</v>
      </c>
      <c r="J1020" s="10">
        <v>0.65281535672642099</v>
      </c>
      <c r="K1020" s="29">
        <v>0.98289565623980701</v>
      </c>
    </row>
    <row r="1021" spans="1:11" x14ac:dyDescent="0.35">
      <c r="A1021" s="9" t="str">
        <f>HYPERLINK("http://www.ensembl.org/id/WBGene00019136", "WBGene00019136")</f>
        <v>WBGene00019136</v>
      </c>
      <c r="B1021" s="9" t="str">
        <f>HYPERLINK("http://www.ncbi.nlm.nih.gov/gene/186644", "186644")</f>
        <v>186644</v>
      </c>
      <c r="C1021" s="9"/>
      <c r="D1021" t="str">
        <f>"F59H6.5"</f>
        <v>F59H6.5</v>
      </c>
      <c r="E1021" t="s">
        <v>4233</v>
      </c>
      <c r="F1021" t="s">
        <v>11</v>
      </c>
      <c r="G1021" t="s">
        <v>4234</v>
      </c>
      <c r="H1021" s="12">
        <v>4.6387698961716399</v>
      </c>
      <c r="I1021" s="11">
        <v>0.44985450087338802</v>
      </c>
      <c r="J1021" s="10">
        <v>0.65281535672642099</v>
      </c>
      <c r="K1021" s="29">
        <v>0.98289565623980701</v>
      </c>
    </row>
    <row r="1022" spans="1:11" x14ac:dyDescent="0.35">
      <c r="A1022" s="9" t="str">
        <f>HYPERLINK("http://www.ensembl.org/id/WBGene00200534", "WBGene00200534")</f>
        <v>WBGene00200534</v>
      </c>
      <c r="B1022" s="9"/>
      <c r="C1022" s="9"/>
      <c r="D1022" t="str">
        <f>"H13N06.10"</f>
        <v>H13N06.10</v>
      </c>
      <c r="F1022" t="s">
        <v>481</v>
      </c>
      <c r="H1022" s="12">
        <v>4.6387698961716399</v>
      </c>
      <c r="I1022" s="11">
        <v>0.44985450087338802</v>
      </c>
      <c r="J1022" s="10">
        <v>0.65281535672642099</v>
      </c>
      <c r="K1022" s="29">
        <v>0.98289565623980701</v>
      </c>
    </row>
    <row r="1023" spans="1:11" x14ac:dyDescent="0.35">
      <c r="A1023" s="9" t="str">
        <f>HYPERLINK("http://www.ensembl.org/id/WBGene00202091", "WBGene00202091")</f>
        <v>WBGene00202091</v>
      </c>
      <c r="B1023" s="9"/>
      <c r="C1023" s="9"/>
      <c r="D1023" t="str">
        <f>"K08A8.29"</f>
        <v>K08A8.29</v>
      </c>
      <c r="F1023" t="s">
        <v>481</v>
      </c>
      <c r="H1023" s="12">
        <v>4.6387698961716399</v>
      </c>
      <c r="I1023" s="11">
        <v>0.44985450087338802</v>
      </c>
      <c r="J1023" s="10">
        <v>0.65281535672642099</v>
      </c>
      <c r="K1023" s="29">
        <v>0.98289565623980701</v>
      </c>
    </row>
    <row r="1024" spans="1:11" x14ac:dyDescent="0.35">
      <c r="A1024" s="9" t="str">
        <f>HYPERLINK("http://www.ensembl.org/id/WBGene00002993", "WBGene00002993")</f>
        <v>WBGene00002993</v>
      </c>
      <c r="B1024" s="9"/>
      <c r="C1024" s="9"/>
      <c r="D1024" t="str">
        <f>"lin-4"</f>
        <v>lin-4</v>
      </c>
      <c r="F1024" t="s">
        <v>1486</v>
      </c>
      <c r="H1024" s="12">
        <v>4.6387698961716399</v>
      </c>
      <c r="I1024" s="11">
        <v>0.44985450087338802</v>
      </c>
      <c r="J1024" s="10">
        <v>0.65281535672642099</v>
      </c>
      <c r="K1024" s="29">
        <v>0.98289565623980701</v>
      </c>
    </row>
    <row r="1025" spans="1:11" x14ac:dyDescent="0.35">
      <c r="A1025" s="9" t="str">
        <f>HYPERLINK("http://www.ensembl.org/id/WBGene00003462", "WBGene00003462")</f>
        <v>WBGene00003462</v>
      </c>
      <c r="B1025" s="9" t="str">
        <f>HYPERLINK("http://www.ncbi.nlm.nih.gov/gene/173882", "173882")</f>
        <v>173882</v>
      </c>
      <c r="C1025" s="9"/>
      <c r="D1025" t="str">
        <f>"msp-74"</f>
        <v>msp-74</v>
      </c>
      <c r="E1025" t="s">
        <v>4271</v>
      </c>
      <c r="F1025" t="s">
        <v>11</v>
      </c>
      <c r="H1025" s="12">
        <v>4.6387698961716399</v>
      </c>
      <c r="I1025" s="11">
        <v>0.44985450087338802</v>
      </c>
      <c r="J1025" s="10">
        <v>0.65281535672642099</v>
      </c>
      <c r="K1025" s="29">
        <v>0.98289565623980701</v>
      </c>
    </row>
    <row r="1026" spans="1:11" x14ac:dyDescent="0.35">
      <c r="A1026" s="9" t="str">
        <f>HYPERLINK("http://www.ensembl.org/id/WBGene00008906", "WBGene00008906")</f>
        <v>WBGene00008906</v>
      </c>
      <c r="B1026" s="9" t="str">
        <f>HYPERLINK("http://www.ncbi.nlm.nih.gov/gene/184612", "184612")</f>
        <v>184612</v>
      </c>
      <c r="C1026" s="9"/>
      <c r="D1026" t="str">
        <f>"oac-17"</f>
        <v>oac-17</v>
      </c>
      <c r="E1026" t="s">
        <v>883</v>
      </c>
      <c r="F1026" t="s">
        <v>11</v>
      </c>
      <c r="G1026" t="s">
        <v>1992</v>
      </c>
      <c r="H1026" s="12">
        <v>4.6387698961716399</v>
      </c>
      <c r="I1026" s="11">
        <v>0.44985450087338802</v>
      </c>
      <c r="J1026" s="10">
        <v>0.65281535672642099</v>
      </c>
      <c r="K1026" s="29">
        <v>0.98289565623980701</v>
      </c>
    </row>
    <row r="1027" spans="1:11" x14ac:dyDescent="0.35">
      <c r="A1027" s="9" t="str">
        <f>HYPERLINK("http://www.ensembl.org/id/WBGene00005328", "WBGene00005328")</f>
        <v>WBGene00005328</v>
      </c>
      <c r="B1027" s="9" t="str">
        <f>HYPERLINK("http://www.ncbi.nlm.nih.gov/gene/188599", "188599")</f>
        <v>188599</v>
      </c>
      <c r="C1027" s="9"/>
      <c r="D1027" t="str">
        <f>"srh-109"</f>
        <v>srh-109</v>
      </c>
      <c r="E1027" t="s">
        <v>153</v>
      </c>
      <c r="F1027" t="s">
        <v>11</v>
      </c>
      <c r="G1027" t="s">
        <v>25</v>
      </c>
      <c r="H1027" s="12">
        <v>4.6387698961716399</v>
      </c>
      <c r="I1027" s="11">
        <v>0.44985450087338802</v>
      </c>
      <c r="J1027" s="10">
        <v>0.65281535672642099</v>
      </c>
      <c r="K1027" s="29">
        <v>0.98289565623980701</v>
      </c>
    </row>
    <row r="1028" spans="1:11" x14ac:dyDescent="0.35">
      <c r="A1028" s="9" t="str">
        <f>HYPERLINK("http://www.ensembl.org/id/WBGene00005730", "WBGene00005730")</f>
        <v>WBGene00005730</v>
      </c>
      <c r="B1028" s="9" t="str">
        <f>HYPERLINK("http://www.ncbi.nlm.nih.gov/gene/186684", "186684")</f>
        <v>186684</v>
      </c>
      <c r="C1028" s="9"/>
      <c r="D1028" t="str">
        <f>"srv-19"</f>
        <v>srv-19</v>
      </c>
      <c r="E1028" t="s">
        <v>2916</v>
      </c>
      <c r="F1028" t="s">
        <v>11</v>
      </c>
      <c r="G1028" t="s">
        <v>25</v>
      </c>
      <c r="H1028" s="12">
        <v>4.6387698961716399</v>
      </c>
      <c r="I1028" s="11">
        <v>0.44985450087338802</v>
      </c>
      <c r="J1028" s="10">
        <v>0.65281535672642099</v>
      </c>
      <c r="K1028" s="29">
        <v>0.98289565623980701</v>
      </c>
    </row>
    <row r="1029" spans="1:11" x14ac:dyDescent="0.35">
      <c r="A1029" s="9" t="str">
        <f>HYPERLINK("http://www.ensembl.org/id/WBGene00006159", "WBGene00006159")</f>
        <v>WBGene00006159</v>
      </c>
      <c r="B1029" s="9" t="str">
        <f>HYPERLINK("http://www.ncbi.nlm.nih.gov/gene/187023", "187023")</f>
        <v>187023</v>
      </c>
      <c r="C1029" s="9"/>
      <c r="D1029" t="str">
        <f>"str-106"</f>
        <v>str-106</v>
      </c>
      <c r="E1029" t="s">
        <v>590</v>
      </c>
      <c r="F1029" t="s">
        <v>11</v>
      </c>
      <c r="G1029" t="s">
        <v>591</v>
      </c>
      <c r="H1029" s="12">
        <v>4.6387698961716399</v>
      </c>
      <c r="I1029" s="11">
        <v>0.44985450087338802</v>
      </c>
      <c r="J1029" s="10">
        <v>0.65281535672642099</v>
      </c>
      <c r="K1029" s="29">
        <v>0.98289565623980701</v>
      </c>
    </row>
    <row r="1030" spans="1:11" x14ac:dyDescent="0.35">
      <c r="A1030" s="9" t="str">
        <f>HYPERLINK("http://www.ensembl.org/id/WBGene00197461", "WBGene00197461")</f>
        <v>WBGene00197461</v>
      </c>
      <c r="B1030" s="9"/>
      <c r="C1030" s="9"/>
      <c r="D1030" t="str">
        <f>"T04C10.8"</f>
        <v>T04C10.8</v>
      </c>
      <c r="F1030" t="s">
        <v>481</v>
      </c>
      <c r="H1030" s="12">
        <v>4.6387698961716399</v>
      </c>
      <c r="I1030" s="11">
        <v>0.44985450087338802</v>
      </c>
      <c r="J1030" s="10">
        <v>0.65281535672642099</v>
      </c>
      <c r="K1030" s="29">
        <v>0.98289565623980701</v>
      </c>
    </row>
    <row r="1031" spans="1:11" x14ac:dyDescent="0.35">
      <c r="A1031" s="9" t="str">
        <f>HYPERLINK("http://www.ensembl.org/id/WBGene00021383", "WBGene00021383")</f>
        <v>WBGene00021383</v>
      </c>
      <c r="B1031" s="9" t="str">
        <f>HYPERLINK("http://www.ncbi.nlm.nih.gov/gene/260018", "260018")</f>
        <v>260018</v>
      </c>
      <c r="C1031" s="9"/>
      <c r="D1031" t="str">
        <f>"Y37F4.2"</f>
        <v>Y37F4.2</v>
      </c>
      <c r="F1031" t="s">
        <v>11</v>
      </c>
      <c r="H1031" s="12">
        <v>4.6387698961716399</v>
      </c>
      <c r="I1031" s="11">
        <v>0.44985450087338802</v>
      </c>
      <c r="J1031" s="10">
        <v>0.65281535672642099</v>
      </c>
      <c r="K1031" s="29">
        <v>0.98289565623980701</v>
      </c>
    </row>
    <row r="1032" spans="1:11" x14ac:dyDescent="0.35">
      <c r="A1032" s="9" t="str">
        <f>HYPERLINK("http://www.ensembl.org/id/WBGene00200294", "WBGene00200294")</f>
        <v>WBGene00200294</v>
      </c>
      <c r="B1032" s="9"/>
      <c r="C1032" s="9"/>
      <c r="D1032" t="str">
        <f>"Y71F9AL.21"</f>
        <v>Y71F9AL.21</v>
      </c>
      <c r="F1032" t="s">
        <v>481</v>
      </c>
      <c r="H1032" s="12">
        <v>4.6387698961716399</v>
      </c>
      <c r="I1032" s="11">
        <v>0.44985450087338802</v>
      </c>
      <c r="J1032" s="10">
        <v>0.65281535672642099</v>
      </c>
      <c r="K1032" s="29">
        <v>0.98289565623980701</v>
      </c>
    </row>
    <row r="1033" spans="1:11" x14ac:dyDescent="0.35">
      <c r="A1033" s="9" t="str">
        <f>HYPERLINK("http://www.ensembl.org/id/WBGene00219642", "WBGene00219642")</f>
        <v>WBGene00219642</v>
      </c>
      <c r="B1033" s="9"/>
      <c r="C1033" s="9"/>
      <c r="D1033" t="str">
        <f>"anr-52"</f>
        <v>anr-52</v>
      </c>
      <c r="F1033" t="s">
        <v>2735</v>
      </c>
      <c r="H1033" s="12">
        <v>4.6295746904522899</v>
      </c>
      <c r="I1033" s="11">
        <v>0.58033316855468098</v>
      </c>
      <c r="J1033" s="10">
        <v>0.56168996399868099</v>
      </c>
      <c r="K1033" s="29">
        <v>0.98289565623980701</v>
      </c>
    </row>
    <row r="1034" spans="1:11" x14ac:dyDescent="0.35">
      <c r="A1034" s="9" t="str">
        <f>HYPERLINK("http://www.ensembl.org/id/WBGene00206356", "WBGene00206356")</f>
        <v>WBGene00206356</v>
      </c>
      <c r="B1034" s="9" t="str">
        <f>HYPERLINK("http://www.ncbi.nlm.nih.gov/gene/13180513", "13180513")</f>
        <v>13180513</v>
      </c>
      <c r="C1034" s="9"/>
      <c r="D1034" t="str">
        <f>"T08B2.15"</f>
        <v>T08B2.15</v>
      </c>
      <c r="F1034" t="s">
        <v>11</v>
      </c>
      <c r="H1034" s="12">
        <v>4.6295746904522899</v>
      </c>
      <c r="I1034" s="11">
        <v>0.58033316855468098</v>
      </c>
      <c r="J1034" s="10">
        <v>0.56168996399868099</v>
      </c>
      <c r="K1034" s="29">
        <v>0.98289565623980701</v>
      </c>
    </row>
    <row r="1035" spans="1:11" x14ac:dyDescent="0.35">
      <c r="A1035" s="9" t="str">
        <f>HYPERLINK("http://www.ensembl.org/id/WBGene00198315", "WBGene00198315")</f>
        <v>WBGene00198315</v>
      </c>
      <c r="B1035" s="9"/>
      <c r="C1035" s="9"/>
      <c r="D1035" t="str">
        <f>"K02A11.9"</f>
        <v>K02A11.9</v>
      </c>
      <c r="F1035" t="s">
        <v>481</v>
      </c>
      <c r="H1035" s="12">
        <v>4.6195966349725497</v>
      </c>
      <c r="I1035" s="11">
        <v>1.12601148326347</v>
      </c>
      <c r="J1035" s="10">
        <v>0.26016065875891198</v>
      </c>
      <c r="K1035" s="29">
        <v>0.98289565623980701</v>
      </c>
    </row>
    <row r="1036" spans="1:11" x14ac:dyDescent="0.35">
      <c r="A1036" s="9" t="str">
        <f>HYPERLINK("http://www.ensembl.org/id/WBGene00010652", "WBGene00010652")</f>
        <v>WBGene00010652</v>
      </c>
      <c r="B1036" s="9" t="str">
        <f>HYPERLINK("http://www.ncbi.nlm.nih.gov/gene/187139", "187139")</f>
        <v>187139</v>
      </c>
      <c r="C1036" s="9"/>
      <c r="D1036" t="str">
        <f>"K08C9.5"</f>
        <v>K08C9.5</v>
      </c>
      <c r="F1036" t="s">
        <v>11</v>
      </c>
      <c r="H1036" s="12">
        <v>4.6025636901107498</v>
      </c>
      <c r="I1036" s="11">
        <v>1.68875832773891</v>
      </c>
      <c r="J1036" s="10">
        <v>9.1265752776437295E-2</v>
      </c>
      <c r="K1036" s="29">
        <v>0.69916970918546395</v>
      </c>
    </row>
    <row r="1037" spans="1:11" x14ac:dyDescent="0.35">
      <c r="A1037" s="9" t="str">
        <f>HYPERLINK("http://www.ensembl.org/id/WBGene00010446", "WBGene00010446")</f>
        <v>WBGene00010446</v>
      </c>
      <c r="B1037" s="9" t="str">
        <f>HYPERLINK("http://www.ncbi.nlm.nih.gov/gene/186823", "186823")</f>
        <v>186823</v>
      </c>
      <c r="C1037" s="9"/>
      <c r="D1037" t="str">
        <f>"K01A6.4"</f>
        <v>K01A6.4</v>
      </c>
      <c r="F1037" t="s">
        <v>11</v>
      </c>
      <c r="G1037" t="s">
        <v>54</v>
      </c>
      <c r="H1037" s="12">
        <v>4.5860631513518699</v>
      </c>
      <c r="I1037" s="11">
        <v>2.0413752811902399</v>
      </c>
      <c r="J1037" s="10">
        <v>4.1213539499068398E-2</v>
      </c>
      <c r="K1037" s="29">
        <v>0.46933466913034699</v>
      </c>
    </row>
    <row r="1038" spans="1:11" x14ac:dyDescent="0.35">
      <c r="A1038" s="9" t="str">
        <f>HYPERLINK("http://www.ensembl.org/id/WBGene00043952", "WBGene00043952")</f>
        <v>WBGene00043952</v>
      </c>
      <c r="B1038" s="9" t="str">
        <f>HYPERLINK("http://www.ncbi.nlm.nih.gov/gene/13213394", "13213394")</f>
        <v>13213394</v>
      </c>
      <c r="C1038" s="9"/>
      <c r="D1038" t="str">
        <f>"ZC404.2"</f>
        <v>ZC404.2</v>
      </c>
      <c r="F1038" t="s">
        <v>11</v>
      </c>
      <c r="G1038" t="s">
        <v>25</v>
      </c>
      <c r="H1038" s="12">
        <v>4.5844340588449803</v>
      </c>
      <c r="I1038" s="11">
        <v>1.0192832191094601</v>
      </c>
      <c r="J1038" s="10">
        <v>0.308068528319204</v>
      </c>
      <c r="K1038" s="29">
        <v>0.98289565623980701</v>
      </c>
    </row>
    <row r="1039" spans="1:11" x14ac:dyDescent="0.35">
      <c r="A1039" s="9" t="str">
        <f>HYPERLINK("http://www.ensembl.org/id/WBGene00008874", "WBGene00008874")</f>
        <v>WBGene00008874</v>
      </c>
      <c r="B1039" s="9" t="str">
        <f>HYPERLINK("http://www.ncbi.nlm.nih.gov/gene/184555", "184555")</f>
        <v>184555</v>
      </c>
      <c r="C1039" s="9"/>
      <c r="D1039" t="str">
        <f>"F15H10.7"</f>
        <v>F15H10.7</v>
      </c>
      <c r="F1039" t="s">
        <v>11</v>
      </c>
      <c r="G1039" t="s">
        <v>790</v>
      </c>
      <c r="H1039" s="12">
        <v>4.5837814700429096</v>
      </c>
      <c r="I1039" s="11">
        <v>2.8575729629372701</v>
      </c>
      <c r="J1039" s="10">
        <v>4.26894476776391E-3</v>
      </c>
      <c r="K1039" s="29">
        <v>0.10959804200439199</v>
      </c>
    </row>
    <row r="1040" spans="1:11" x14ac:dyDescent="0.35">
      <c r="A1040" s="9" t="str">
        <f>HYPERLINK("http://www.ensembl.org/id/WBGene00006148", "WBGene00006148")</f>
        <v>WBGene00006148</v>
      </c>
      <c r="B1040" s="9" t="str">
        <f>HYPERLINK("http://www.ncbi.nlm.nih.gov/gene/186558", "186558")</f>
        <v>186558</v>
      </c>
      <c r="C1040" s="9"/>
      <c r="D1040" t="str">
        <f>"str-89"</f>
        <v>str-89</v>
      </c>
      <c r="E1040" t="s">
        <v>590</v>
      </c>
      <c r="F1040" t="s">
        <v>11</v>
      </c>
      <c r="G1040" t="s">
        <v>591</v>
      </c>
      <c r="H1040" s="12">
        <v>4.5785991424494696</v>
      </c>
      <c r="I1040" s="11">
        <v>0.82199202601351395</v>
      </c>
      <c r="J1040" s="10">
        <v>0.41108143521422302</v>
      </c>
      <c r="K1040" s="29">
        <v>0.98289565623980701</v>
      </c>
    </row>
    <row r="1041" spans="1:11" x14ac:dyDescent="0.35">
      <c r="A1041" s="9" t="str">
        <f>HYPERLINK("http://www.ensembl.org/id/WBGene00018172", "WBGene00018172")</f>
        <v>WBGene00018172</v>
      </c>
      <c r="B1041" s="9" t="str">
        <f>HYPERLINK("http://www.ncbi.nlm.nih.gov/gene/185452", "185452")</f>
        <v>185452</v>
      </c>
      <c r="C1041" s="9"/>
      <c r="D1041" t="str">
        <f>"F38B6.2"</f>
        <v>F38B6.2</v>
      </c>
      <c r="F1041" t="s">
        <v>11</v>
      </c>
      <c r="H1041" s="12">
        <v>4.5781540549320603</v>
      </c>
      <c r="I1041" s="11">
        <v>1.20441346597896</v>
      </c>
      <c r="J1041" s="10">
        <v>0.228429809875076</v>
      </c>
      <c r="K1041" s="29">
        <v>0.98289565623980701</v>
      </c>
    </row>
    <row r="1042" spans="1:11" x14ac:dyDescent="0.35">
      <c r="A1042" s="9" t="str">
        <f>HYPERLINK("http://www.ensembl.org/id/WBGene00020136", "WBGene00020136")</f>
        <v>WBGene00020136</v>
      </c>
      <c r="B1042" s="9" t="str">
        <f>HYPERLINK("http://www.ncbi.nlm.nih.gov/gene/187929", "187929")</f>
        <v>187929</v>
      </c>
      <c r="C1042" s="9"/>
      <c r="D1042" t="str">
        <f>"nlp-45"</f>
        <v>nlp-45</v>
      </c>
      <c r="E1042" t="s">
        <v>76</v>
      </c>
      <c r="F1042" t="s">
        <v>11</v>
      </c>
      <c r="G1042" t="s">
        <v>77</v>
      </c>
      <c r="H1042" s="12">
        <v>4.5762416335842699</v>
      </c>
      <c r="I1042" s="11">
        <v>3.5354050238460699</v>
      </c>
      <c r="J1042" s="10">
        <v>4.0715057712205002E-4</v>
      </c>
      <c r="K1042" s="29">
        <v>1.9763910157525402E-2</v>
      </c>
    </row>
    <row r="1043" spans="1:11" x14ac:dyDescent="0.35">
      <c r="A1043" s="9" t="str">
        <f>HYPERLINK("http://www.ensembl.org/id/WBGene00003664", "WBGene00003664")</f>
        <v>WBGene00003664</v>
      </c>
      <c r="B1043" s="9" t="str">
        <f>HYPERLINK("http://www.ncbi.nlm.nih.gov/gene/191723", "191723")</f>
        <v>191723</v>
      </c>
      <c r="C1043" s="9"/>
      <c r="D1043" t="str">
        <f>"nhr-74"</f>
        <v>nhr-74</v>
      </c>
      <c r="E1043" t="s">
        <v>637</v>
      </c>
      <c r="F1043" t="s">
        <v>11</v>
      </c>
      <c r="G1043" t="s">
        <v>1073</v>
      </c>
      <c r="H1043" s="12">
        <v>4.5721134841306004</v>
      </c>
      <c r="I1043" s="11">
        <v>2.51367591552791</v>
      </c>
      <c r="J1043" s="10">
        <v>1.19480173167517E-2</v>
      </c>
      <c r="K1043" s="29">
        <v>0.21823785622202699</v>
      </c>
    </row>
    <row r="1044" spans="1:11" x14ac:dyDescent="0.35">
      <c r="A1044" s="9" t="str">
        <f>HYPERLINK("http://www.ensembl.org/id/WBGene00007469", "WBGene00007469")</f>
        <v>WBGene00007469</v>
      </c>
      <c r="B1044" s="9" t="str">
        <f>HYPERLINK("http://www.ncbi.nlm.nih.gov/gene/182434", "182434")</f>
        <v>182434</v>
      </c>
      <c r="C1044" s="9"/>
      <c r="D1044" t="str">
        <f>"chil-4"</f>
        <v>chil-4</v>
      </c>
      <c r="E1044" t="s">
        <v>1756</v>
      </c>
      <c r="F1044" t="s">
        <v>11</v>
      </c>
      <c r="G1044" t="s">
        <v>1509</v>
      </c>
      <c r="H1044" s="12">
        <v>4.5694365620207202</v>
      </c>
      <c r="I1044" s="11">
        <v>0.91504328911122701</v>
      </c>
      <c r="J1044" s="10">
        <v>0.36016890485805098</v>
      </c>
      <c r="K1044" s="29">
        <v>0.98289565623980701</v>
      </c>
    </row>
    <row r="1045" spans="1:11" x14ac:dyDescent="0.35">
      <c r="A1045" s="9" t="str">
        <f>HYPERLINK("http://www.ensembl.org/id/WBGene00013526", "WBGene00013526")</f>
        <v>WBGene00013526</v>
      </c>
      <c r="B1045" s="9" t="str">
        <f>HYPERLINK("http://www.ncbi.nlm.nih.gov/gene/178430", "178430")</f>
        <v>178430</v>
      </c>
      <c r="C1045" s="9"/>
      <c r="D1045" t="str">
        <f>"Y73F8A.20"</f>
        <v>Y73F8A.20</v>
      </c>
      <c r="F1045" t="s">
        <v>11</v>
      </c>
      <c r="H1045" s="12">
        <v>4.5687066199561501</v>
      </c>
      <c r="I1045" s="11">
        <v>1.12406599223979</v>
      </c>
      <c r="J1045" s="10">
        <v>0.26098503109089999</v>
      </c>
      <c r="K1045" s="29">
        <v>0.98289565623980701</v>
      </c>
    </row>
    <row r="1046" spans="1:11" x14ac:dyDescent="0.35">
      <c r="A1046" s="9" t="str">
        <f>HYPERLINK("http://www.ensembl.org/id/WBGene00044141", "WBGene00044141")</f>
        <v>WBGene00044141</v>
      </c>
      <c r="B1046" s="9" t="str">
        <f>HYPERLINK("http://www.ncbi.nlm.nih.gov/gene/3564905", "3564905")</f>
        <v>3564905</v>
      </c>
      <c r="C1046" s="9"/>
      <c r="D1046" t="str">
        <f>"H03G16.6"</f>
        <v>H03G16.6</v>
      </c>
      <c r="F1046" t="s">
        <v>11</v>
      </c>
      <c r="G1046" t="s">
        <v>25</v>
      </c>
      <c r="H1046" s="12">
        <v>4.5655686139945102</v>
      </c>
      <c r="I1046" s="11">
        <v>0.54155341165969295</v>
      </c>
      <c r="J1046" s="10">
        <v>0.588126193449649</v>
      </c>
      <c r="K1046" s="29">
        <v>0.98289565623980701</v>
      </c>
    </row>
    <row r="1047" spans="1:11" x14ac:dyDescent="0.35">
      <c r="A1047" s="9" t="str">
        <f>HYPERLINK("http://www.ensembl.org/id/WBGene00016475", "WBGene00016475")</f>
        <v>WBGene00016475</v>
      </c>
      <c r="B1047" s="9" t="str">
        <f>HYPERLINK("http://www.ncbi.nlm.nih.gov/gene/183262", "183262")</f>
        <v>183262</v>
      </c>
      <c r="C1047" s="9"/>
      <c r="D1047" t="str">
        <f>"srab-9"</f>
        <v>srab-9</v>
      </c>
      <c r="E1047" t="s">
        <v>4203</v>
      </c>
      <c r="F1047" t="s">
        <v>11</v>
      </c>
      <c r="G1047" t="s">
        <v>25</v>
      </c>
      <c r="H1047" s="12">
        <v>4.5655686139945102</v>
      </c>
      <c r="I1047" s="11">
        <v>0.54155341165969295</v>
      </c>
      <c r="J1047" s="10">
        <v>0.588126193449649</v>
      </c>
      <c r="K1047" s="29">
        <v>0.98289565623980701</v>
      </c>
    </row>
    <row r="1048" spans="1:11" x14ac:dyDescent="0.35">
      <c r="A1048" s="9" t="str">
        <f>HYPERLINK("http://www.ensembl.org/id/WBGene00005609", "WBGene00005609")</f>
        <v>WBGene00005609</v>
      </c>
      <c r="B1048" s="9" t="str">
        <f>HYPERLINK("http://www.ncbi.nlm.nih.gov/gene/185102", "185102")</f>
        <v>185102</v>
      </c>
      <c r="C1048" s="9"/>
      <c r="D1048" t="str">
        <f>"srj-21"</f>
        <v>srj-21</v>
      </c>
      <c r="E1048" t="s">
        <v>3123</v>
      </c>
      <c r="F1048" t="s">
        <v>11</v>
      </c>
      <c r="G1048" t="s">
        <v>25</v>
      </c>
      <c r="H1048" s="12">
        <v>4.5655686139945102</v>
      </c>
      <c r="I1048" s="11">
        <v>0.54155341165969295</v>
      </c>
      <c r="J1048" s="10">
        <v>0.588126193449649</v>
      </c>
      <c r="K1048" s="29">
        <v>0.98289565623980701</v>
      </c>
    </row>
    <row r="1049" spans="1:11" x14ac:dyDescent="0.35">
      <c r="A1049" s="9" t="str">
        <f>HYPERLINK("http://www.ensembl.org/id/WBGene00195029", "WBGene00195029")</f>
        <v>WBGene00195029</v>
      </c>
      <c r="B1049" s="9"/>
      <c r="C1049" s="9"/>
      <c r="D1049" t="str">
        <f>"Y37E11B.11"</f>
        <v>Y37E11B.11</v>
      </c>
      <c r="F1049" t="s">
        <v>481</v>
      </c>
      <c r="H1049" s="12">
        <v>4.5655686139945102</v>
      </c>
      <c r="I1049" s="11">
        <v>0.54155341165969295</v>
      </c>
      <c r="J1049" s="10">
        <v>0.588126193449649</v>
      </c>
      <c r="K1049" s="29">
        <v>0.98289565623980701</v>
      </c>
    </row>
    <row r="1050" spans="1:11" x14ac:dyDescent="0.35">
      <c r="A1050" s="9" t="str">
        <f>HYPERLINK("http://www.ensembl.org/id/WBGene00044575", "WBGene00044575")</f>
        <v>WBGene00044575</v>
      </c>
      <c r="B1050" s="9" t="str">
        <f>HYPERLINK("http://www.ncbi.nlm.nih.gov/gene/3896894", "3896894")</f>
        <v>3896894</v>
      </c>
      <c r="C1050" s="9"/>
      <c r="D1050" t="str">
        <f>"F38B6.8"</f>
        <v>F38B6.8</v>
      </c>
      <c r="F1050" t="s">
        <v>11</v>
      </c>
      <c r="H1050" s="12">
        <v>4.5615672134496297</v>
      </c>
      <c r="I1050" s="11">
        <v>0.60001680761973897</v>
      </c>
      <c r="J1050" s="10">
        <v>0.54849503413180201</v>
      </c>
      <c r="K1050" s="29">
        <v>0.98289565623980701</v>
      </c>
    </row>
    <row r="1051" spans="1:11" x14ac:dyDescent="0.35">
      <c r="A1051" s="9" t="str">
        <f>HYPERLINK("http://www.ensembl.org/id/WBGene00185101", "WBGene00185101")</f>
        <v>WBGene00185101</v>
      </c>
      <c r="B1051" s="9" t="str">
        <f>HYPERLINK("http://www.ncbi.nlm.nih.gov/gene/13208921", "13208921")</f>
        <v>13208921</v>
      </c>
      <c r="C1051" s="9"/>
      <c r="D1051" t="str">
        <f>"Y65A5A.24"</f>
        <v>Y65A5A.24</v>
      </c>
      <c r="F1051" t="s">
        <v>11</v>
      </c>
      <c r="H1051" s="12">
        <v>4.5615672134496297</v>
      </c>
      <c r="I1051" s="11">
        <v>0.60001680761973897</v>
      </c>
      <c r="J1051" s="10">
        <v>0.54849503413180201</v>
      </c>
      <c r="K1051" s="29">
        <v>0.98289565623980701</v>
      </c>
    </row>
    <row r="1052" spans="1:11" x14ac:dyDescent="0.35">
      <c r="A1052" s="9" t="str">
        <f>HYPERLINK("http://www.ensembl.org/id/WBGene00015076", "WBGene00015076")</f>
        <v>WBGene00015076</v>
      </c>
      <c r="B1052" s="9" t="str">
        <f>HYPERLINK("http://www.ncbi.nlm.nih.gov/gene/178914", "178914")</f>
        <v>178914</v>
      </c>
      <c r="C1052" s="9"/>
      <c r="D1052" t="str">
        <f>"B0238.12"</f>
        <v>B0238.12</v>
      </c>
      <c r="F1052" t="s">
        <v>11</v>
      </c>
      <c r="G1052" t="s">
        <v>101</v>
      </c>
      <c r="H1052" s="12">
        <v>4.5383695179297003</v>
      </c>
      <c r="I1052" s="11">
        <v>5.5597433600430701</v>
      </c>
      <c r="J1052" s="10">
        <v>2.7017163272180699E-8</v>
      </c>
      <c r="K1052" s="29">
        <v>8.3094864313110104E-6</v>
      </c>
    </row>
    <row r="1053" spans="1:11" x14ac:dyDescent="0.35">
      <c r="A1053" s="9" t="str">
        <f>HYPERLINK("http://www.ensembl.org/id/WBGene00011491", "WBGene00011491")</f>
        <v>WBGene00011491</v>
      </c>
      <c r="B1053" s="9" t="str">
        <f>HYPERLINK("http://www.ncbi.nlm.nih.gov/gene/172808", "172808")</f>
        <v>172808</v>
      </c>
      <c r="C1053" s="9"/>
      <c r="D1053" t="str">
        <f>"T05F1.5"</f>
        <v>T05F1.5</v>
      </c>
      <c r="F1053" t="s">
        <v>11</v>
      </c>
      <c r="H1053" s="12">
        <v>4.5278599046988104</v>
      </c>
      <c r="I1053" s="11">
        <v>0.78210512628370799</v>
      </c>
      <c r="J1053" s="10">
        <v>0.43415279432063197</v>
      </c>
      <c r="K1053" s="29">
        <v>0.98289565623980701</v>
      </c>
    </row>
    <row r="1054" spans="1:11" x14ac:dyDescent="0.35">
      <c r="A1054" s="9" t="str">
        <f>HYPERLINK("http://www.ensembl.org/id/WBGene00011244", "WBGene00011244")</f>
        <v>WBGene00011244</v>
      </c>
      <c r="B1054" s="9" t="str">
        <f>HYPERLINK("http://www.ncbi.nlm.nih.gov/gene/187804", "187804")</f>
        <v>187804</v>
      </c>
      <c r="C1054" s="9"/>
      <c r="D1054" t="str">
        <f>"R11D1.3"</f>
        <v>R11D1.3</v>
      </c>
      <c r="F1054" t="s">
        <v>11</v>
      </c>
      <c r="H1054" s="12">
        <v>4.5239154102786898</v>
      </c>
      <c r="I1054" s="11">
        <v>5.4508661712602704</v>
      </c>
      <c r="J1054" s="10">
        <v>5.0125081107743898E-8</v>
      </c>
      <c r="K1054" s="29">
        <v>1.33125301617877E-5</v>
      </c>
    </row>
    <row r="1055" spans="1:11" x14ac:dyDescent="0.35">
      <c r="A1055" s="9" t="str">
        <f>HYPERLINK("http://www.ensembl.org/id/WBGene00219896", "WBGene00219896")</f>
        <v>WBGene00219896</v>
      </c>
      <c r="B1055" s="9"/>
      <c r="C1055" s="9"/>
      <c r="D1055" t="str">
        <f>"F16H9.5"</f>
        <v>F16H9.5</v>
      </c>
      <c r="F1055" t="s">
        <v>481</v>
      </c>
      <c r="H1055" s="12">
        <v>4.52143183124769</v>
      </c>
      <c r="I1055" s="11">
        <v>0.95431059957372499</v>
      </c>
      <c r="J1055" s="10">
        <v>0.33992644424533403</v>
      </c>
      <c r="K1055" s="29">
        <v>0.98289565623980701</v>
      </c>
    </row>
    <row r="1056" spans="1:11" x14ac:dyDescent="0.35">
      <c r="A1056" s="9" t="str">
        <f>HYPERLINK("http://www.ensembl.org/id/WBGene00018479", "WBGene00018479")</f>
        <v>WBGene00018479</v>
      </c>
      <c r="B1056" s="9" t="str">
        <f>HYPERLINK("http://www.ncbi.nlm.nih.gov/gene/185807", "185807")</f>
        <v>185807</v>
      </c>
      <c r="C1056" s="9"/>
      <c r="D1056" t="str">
        <f>"otpl-6"</f>
        <v>otpl-6</v>
      </c>
      <c r="E1056" t="s">
        <v>233</v>
      </c>
      <c r="F1056" t="s">
        <v>11</v>
      </c>
      <c r="G1056" t="s">
        <v>234</v>
      </c>
      <c r="H1056" s="12">
        <v>4.5171829616652799</v>
      </c>
      <c r="I1056" s="11">
        <v>2.4757699215943898</v>
      </c>
      <c r="J1056" s="10">
        <v>1.32949223195522E-2</v>
      </c>
      <c r="K1056" s="29">
        <v>0.23360644495480801</v>
      </c>
    </row>
    <row r="1057" spans="1:11" x14ac:dyDescent="0.35">
      <c r="A1057" s="9" t="str">
        <f>HYPERLINK("http://www.ensembl.org/id/WBGene00010391", "WBGene00010391")</f>
        <v>WBGene00010391</v>
      </c>
      <c r="B1057" s="9" t="str">
        <f>HYPERLINK("http://www.ncbi.nlm.nih.gov/gene/186738", "186738")</f>
        <v>186738</v>
      </c>
      <c r="C1057" s="9"/>
      <c r="D1057" t="str">
        <f>"oac-37"</f>
        <v>oac-37</v>
      </c>
      <c r="E1057" t="s">
        <v>883</v>
      </c>
      <c r="F1057" t="s">
        <v>11</v>
      </c>
      <c r="G1057" t="s">
        <v>1992</v>
      </c>
      <c r="H1057" s="12">
        <v>4.5154546296119902</v>
      </c>
      <c r="I1057" s="11">
        <v>1.3993224162809601</v>
      </c>
      <c r="J1057" s="10">
        <v>0.161716320508419</v>
      </c>
      <c r="K1057" s="29">
        <v>0.87754636045026402</v>
      </c>
    </row>
    <row r="1058" spans="1:11" x14ac:dyDescent="0.35">
      <c r="A1058" s="9" t="str">
        <f>HYPERLINK("http://www.ensembl.org/id/WBGene00008875", "WBGene00008875")</f>
        <v>WBGene00008875</v>
      </c>
      <c r="B1058" s="9" t="str">
        <f>HYPERLINK("http://www.ncbi.nlm.nih.gov/gene/179451", "179451")</f>
        <v>179451</v>
      </c>
      <c r="C1058" s="9"/>
      <c r="D1058" t="str">
        <f>"F15H10.8"</f>
        <v>F15H10.8</v>
      </c>
      <c r="F1058" t="s">
        <v>11</v>
      </c>
      <c r="G1058" t="s">
        <v>25</v>
      </c>
      <c r="H1058" s="12">
        <v>4.5120406252539702</v>
      </c>
      <c r="I1058" s="11">
        <v>1.6969282153329099</v>
      </c>
      <c r="J1058" s="10">
        <v>8.97102328998612E-2</v>
      </c>
      <c r="K1058" s="29">
        <v>0.69596701327903199</v>
      </c>
    </row>
    <row r="1059" spans="1:11" x14ac:dyDescent="0.35">
      <c r="A1059" s="9" t="str">
        <f>HYPERLINK("http://www.ensembl.org/id/WBGene00001961", "WBGene00001961")</f>
        <v>WBGene00001961</v>
      </c>
      <c r="B1059" s="9" t="str">
        <f>HYPERLINK("http://www.ncbi.nlm.nih.gov/gene/185460", "185460")</f>
        <v>185460</v>
      </c>
      <c r="C1059" s="9"/>
      <c r="D1059" t="str">
        <f>"hlh-17"</f>
        <v>hlh-17</v>
      </c>
      <c r="E1059" t="s">
        <v>1658</v>
      </c>
      <c r="F1059" t="s">
        <v>11</v>
      </c>
      <c r="G1059" t="s">
        <v>3137</v>
      </c>
      <c r="H1059" s="12">
        <v>4.5021239632309697</v>
      </c>
      <c r="I1059" s="11">
        <v>1.47062512489194</v>
      </c>
      <c r="J1059" s="10">
        <v>0.141392525359022</v>
      </c>
      <c r="K1059" s="29">
        <v>0.83534024314639799</v>
      </c>
    </row>
    <row r="1060" spans="1:11" x14ac:dyDescent="0.35">
      <c r="A1060" s="9" t="str">
        <f>HYPERLINK("http://www.ensembl.org/id/WBGene00009410", "WBGene00009410")</f>
        <v>WBGene00009410</v>
      </c>
      <c r="B1060" s="9" t="str">
        <f>HYPERLINK("http://www.ncbi.nlm.nih.gov/gene/185285", "185285")</f>
        <v>185285</v>
      </c>
      <c r="C1060" s="9"/>
      <c r="D1060" t="str">
        <f>"F35E2.2"</f>
        <v>F35E2.2</v>
      </c>
      <c r="F1060" t="s">
        <v>11</v>
      </c>
      <c r="G1060" t="s">
        <v>54</v>
      </c>
      <c r="H1060" s="12">
        <v>4.5013475162765797</v>
      </c>
      <c r="I1060" s="11">
        <v>1.96954388880784</v>
      </c>
      <c r="J1060" s="10">
        <v>4.88906678496503E-2</v>
      </c>
      <c r="K1060" s="29">
        <v>0.51597844469345799</v>
      </c>
    </row>
    <row r="1061" spans="1:11" x14ac:dyDescent="0.35">
      <c r="A1061" s="9" t="str">
        <f>HYPERLINK("http://www.ensembl.org/id/WBGene00020505", "WBGene00020505")</f>
        <v>WBGene00020505</v>
      </c>
      <c r="B1061" s="9" t="str">
        <f>HYPERLINK("http://www.ncbi.nlm.nih.gov/gene/188498", "188498")</f>
        <v>188498</v>
      </c>
      <c r="C1061" s="9"/>
      <c r="D1061" t="str">
        <f>"T14E8.2"</f>
        <v>T14E8.2</v>
      </c>
      <c r="F1061" t="s">
        <v>11</v>
      </c>
      <c r="G1061" t="s">
        <v>4273</v>
      </c>
      <c r="H1061" s="12">
        <v>4.4974297400010599</v>
      </c>
      <c r="I1061" s="11">
        <v>0.91517607079929097</v>
      </c>
      <c r="J1061" s="10">
        <v>0.36009920473239898</v>
      </c>
      <c r="K1061" s="29">
        <v>0.98289565623980701</v>
      </c>
    </row>
    <row r="1062" spans="1:11" x14ac:dyDescent="0.35">
      <c r="A1062" s="9" t="str">
        <f>HYPERLINK("http://www.ensembl.org/id/WBGene00005136", "WBGene00005136")</f>
        <v>WBGene00005136</v>
      </c>
      <c r="B1062" s="9" t="str">
        <f>HYPERLINK("http://www.ncbi.nlm.nih.gov/gene/191820", "191820")</f>
        <v>191820</v>
      </c>
      <c r="C1062" s="9"/>
      <c r="D1062" t="str">
        <f>"srd-59"</f>
        <v>srd-59</v>
      </c>
      <c r="E1062" t="s">
        <v>4274</v>
      </c>
      <c r="F1062" t="s">
        <v>11</v>
      </c>
      <c r="G1062" t="s">
        <v>25</v>
      </c>
      <c r="H1062" s="12">
        <v>4.4969098397955696</v>
      </c>
      <c r="I1062" s="11">
        <v>0.63982070393666701</v>
      </c>
      <c r="J1062" s="10">
        <v>0.52228917084180404</v>
      </c>
      <c r="K1062" s="29">
        <v>0.98289565623980701</v>
      </c>
    </row>
    <row r="1063" spans="1:11" x14ac:dyDescent="0.35">
      <c r="A1063" s="9" t="str">
        <f>HYPERLINK("http://www.ensembl.org/id/WBGene00014660", "WBGene00014660")</f>
        <v>WBGene00014660</v>
      </c>
      <c r="B1063" s="9"/>
      <c r="C1063" s="9"/>
      <c r="D1063" t="str">
        <f>"B0457.3"</f>
        <v>B0457.3</v>
      </c>
      <c r="F1063" t="s">
        <v>80</v>
      </c>
      <c r="H1063" s="12">
        <v>4.4957135900354297</v>
      </c>
      <c r="I1063" s="11">
        <v>1.1057810770316701</v>
      </c>
      <c r="J1063" s="10">
        <v>0.26882128735847599</v>
      </c>
      <c r="K1063" s="29">
        <v>0.98289565623980701</v>
      </c>
    </row>
    <row r="1064" spans="1:11" x14ac:dyDescent="0.35">
      <c r="A1064" s="9" t="str">
        <f>HYPERLINK("http://www.ensembl.org/id/WBGene00009251", "WBGene00009251")</f>
        <v>WBGene00009251</v>
      </c>
      <c r="B1064" s="9" t="str">
        <f>HYPERLINK("http://www.ncbi.nlm.nih.gov/gene/185118", "185118")</f>
        <v>185118</v>
      </c>
      <c r="C1064" s="9"/>
      <c r="D1064" t="str">
        <f>"F29D10.2"</f>
        <v>F29D10.2</v>
      </c>
      <c r="F1064" t="s">
        <v>11</v>
      </c>
      <c r="H1064" s="12">
        <v>4.4938634236872304</v>
      </c>
      <c r="I1064" s="11">
        <v>1.2027296365682201</v>
      </c>
      <c r="J1064" s="10">
        <v>0.22908096138577999</v>
      </c>
      <c r="K1064" s="29">
        <v>0.98289565623980701</v>
      </c>
    </row>
    <row r="1065" spans="1:11" x14ac:dyDescent="0.35">
      <c r="A1065" s="9" t="str">
        <f>HYPERLINK("http://www.ensembl.org/id/WBGene00022547", "WBGene00022547")</f>
        <v>WBGene00022547</v>
      </c>
      <c r="B1065" s="9" t="str">
        <f>HYPERLINK("http://www.ncbi.nlm.nih.gov/gene/191102", "191102")</f>
        <v>191102</v>
      </c>
      <c r="C1065" s="9"/>
      <c r="D1065" t="str">
        <f>"ZC196.3"</f>
        <v>ZC196.3</v>
      </c>
      <c r="F1065" t="s">
        <v>11</v>
      </c>
      <c r="H1065" s="12">
        <v>4.4923346433506604</v>
      </c>
      <c r="I1065" s="11">
        <v>1.0991671001315499</v>
      </c>
      <c r="J1065" s="10">
        <v>0.27169518624251998</v>
      </c>
      <c r="K1065" s="29">
        <v>0.98289565623980701</v>
      </c>
    </row>
    <row r="1066" spans="1:11" x14ac:dyDescent="0.35">
      <c r="A1066" s="9" t="str">
        <f>HYPERLINK("http://www.ensembl.org/id/WBGene00009986", "WBGene00009986")</f>
        <v>WBGene00009986</v>
      </c>
      <c r="B1066" s="9" t="str">
        <f>HYPERLINK("http://www.ncbi.nlm.nih.gov/gene/186175", "186175")</f>
        <v>186175</v>
      </c>
      <c r="C1066" s="9"/>
      <c r="D1066" t="str">
        <f>"F53F4.2"</f>
        <v>F53F4.2</v>
      </c>
      <c r="F1066" t="s">
        <v>11</v>
      </c>
      <c r="H1066" s="12">
        <v>4.49218944537557</v>
      </c>
      <c r="I1066" s="11">
        <v>1.6597758839554799</v>
      </c>
      <c r="J1066" s="10">
        <v>9.6959546958895595E-2</v>
      </c>
      <c r="K1066" s="29">
        <v>0.72045078126830497</v>
      </c>
    </row>
    <row r="1067" spans="1:11" x14ac:dyDescent="0.35">
      <c r="A1067" s="9" t="str">
        <f>HYPERLINK("http://www.ensembl.org/id/WBGene00022527", "WBGene00022527")</f>
        <v>WBGene00022527</v>
      </c>
      <c r="B1067" s="9" t="str">
        <f>HYPERLINK("http://www.ncbi.nlm.nih.gov/gene/191085", "191085")</f>
        <v>191085</v>
      </c>
      <c r="C1067" s="9"/>
      <c r="D1067" t="str">
        <f>"ZC132.9"</f>
        <v>ZC132.9</v>
      </c>
      <c r="F1067" t="s">
        <v>11</v>
      </c>
      <c r="G1067" t="s">
        <v>25</v>
      </c>
      <c r="H1067" s="12">
        <v>4.4839963752828904</v>
      </c>
      <c r="I1067" s="11">
        <v>1.7067001611006001</v>
      </c>
      <c r="J1067" s="10">
        <v>8.7877797265308005E-2</v>
      </c>
      <c r="K1067" s="29">
        <v>0.69064774952796104</v>
      </c>
    </row>
    <row r="1068" spans="1:11" x14ac:dyDescent="0.35">
      <c r="A1068" s="9" t="str">
        <f>HYPERLINK("http://www.ensembl.org/id/WBGene00014421", "WBGene00014421")</f>
        <v>WBGene00014421</v>
      </c>
      <c r="B1068" s="9"/>
      <c r="C1068" s="9"/>
      <c r="D1068" t="str">
        <f>"K03B8.10"</f>
        <v>K03B8.10</v>
      </c>
      <c r="F1068" t="s">
        <v>4205</v>
      </c>
      <c r="H1068" s="12">
        <v>4.4714691453569504</v>
      </c>
      <c r="I1068" s="11">
        <v>0.78938764823850904</v>
      </c>
      <c r="J1068" s="10">
        <v>0.42988547287665901</v>
      </c>
      <c r="K1068" s="29">
        <v>0.98289565623980701</v>
      </c>
    </row>
    <row r="1069" spans="1:11" x14ac:dyDescent="0.35">
      <c r="A1069" s="9" t="str">
        <f>HYPERLINK("http://www.ensembl.org/id/WBGene00077685", "WBGene00077685")</f>
        <v>WBGene00077685</v>
      </c>
      <c r="B1069" s="9" t="str">
        <f>HYPERLINK("http://www.ncbi.nlm.nih.gov/gene/6418571", "6418571")</f>
        <v>6418571</v>
      </c>
      <c r="C1069" s="9"/>
      <c r="D1069" t="str">
        <f>"C04F12.12"</f>
        <v>C04F12.12</v>
      </c>
      <c r="F1069" t="s">
        <v>11</v>
      </c>
      <c r="H1069" s="12">
        <v>4.4688460213603003</v>
      </c>
      <c r="I1069" s="11">
        <v>0.69333989203114799</v>
      </c>
      <c r="J1069" s="10">
        <v>0.48809627395583</v>
      </c>
      <c r="K1069" s="29">
        <v>0.98289565623980701</v>
      </c>
    </row>
    <row r="1070" spans="1:11" x14ac:dyDescent="0.35">
      <c r="A1070" s="9" t="str">
        <f>HYPERLINK("http://www.ensembl.org/id/WBGene00016834", "WBGene00016834")</f>
        <v>WBGene00016834</v>
      </c>
      <c r="B1070" s="9" t="str">
        <f>HYPERLINK("http://www.ncbi.nlm.nih.gov/gene/183672", "183672")</f>
        <v>183672</v>
      </c>
      <c r="C1070" s="9"/>
      <c r="D1070" t="str">
        <f>"sre-50"</f>
        <v>sre-50</v>
      </c>
      <c r="E1070" t="s">
        <v>2638</v>
      </c>
      <c r="F1070" t="s">
        <v>11</v>
      </c>
      <c r="G1070" t="s">
        <v>2639</v>
      </c>
      <c r="H1070" s="12">
        <v>4.4688460213603003</v>
      </c>
      <c r="I1070" s="11">
        <v>0.69333989203114799</v>
      </c>
      <c r="J1070" s="10">
        <v>0.48809627395583</v>
      </c>
      <c r="K1070" s="29">
        <v>0.98289565623980701</v>
      </c>
    </row>
    <row r="1071" spans="1:11" x14ac:dyDescent="0.35">
      <c r="A1071" s="9" t="str">
        <f>HYPERLINK("http://www.ensembl.org/id/WBGene00004098", "WBGene00004098")</f>
        <v>WBGene00004098</v>
      </c>
      <c r="B1071" s="9" t="str">
        <f>HYPERLINK("http://www.ncbi.nlm.nih.gov/gene/181801", "181801")</f>
        <v>181801</v>
      </c>
      <c r="C1071" s="9"/>
      <c r="D1071" t="str">
        <f>"pqn-2"</f>
        <v>pqn-2</v>
      </c>
      <c r="E1071" t="s">
        <v>432</v>
      </c>
      <c r="F1071" t="s">
        <v>11</v>
      </c>
      <c r="H1071" s="12">
        <v>4.46861620574923</v>
      </c>
      <c r="I1071" s="11">
        <v>1.1374533853930799</v>
      </c>
      <c r="J1071" s="10">
        <v>0.25534880084655698</v>
      </c>
      <c r="K1071" s="29">
        <v>0.98289565623980701</v>
      </c>
    </row>
    <row r="1072" spans="1:11" x14ac:dyDescent="0.35">
      <c r="A1072" s="9" t="str">
        <f>HYPERLINK("http://www.ensembl.org/id/WBGene00013949", "WBGene00013949")</f>
        <v>WBGene00013949</v>
      </c>
      <c r="B1072" s="9" t="str">
        <f>HYPERLINK("http://www.ncbi.nlm.nih.gov/gene/180197", "180197")</f>
        <v>180197</v>
      </c>
      <c r="C1072" s="9"/>
      <c r="D1072" t="str">
        <f>"ZK262.2"</f>
        <v>ZK262.2</v>
      </c>
      <c r="F1072" t="s">
        <v>11</v>
      </c>
      <c r="G1072" t="s">
        <v>29</v>
      </c>
      <c r="H1072" s="12">
        <v>4.4658134428772298</v>
      </c>
      <c r="I1072" s="11">
        <v>6.8011607141057304</v>
      </c>
      <c r="J1072" s="10">
        <v>1.03779567140679E-11</v>
      </c>
      <c r="K1072" s="29">
        <v>1.9982755652937801E-8</v>
      </c>
    </row>
    <row r="1073" spans="1:11" x14ac:dyDescent="0.35">
      <c r="A1073" s="9" t="str">
        <f>HYPERLINK("http://www.ensembl.org/id/WBGene00011387", "WBGene00011387")</f>
        <v>WBGene00011387</v>
      </c>
      <c r="B1073" s="9" t="str">
        <f>HYPERLINK("http://www.ncbi.nlm.nih.gov/gene/187999", "187999")</f>
        <v>187999</v>
      </c>
      <c r="C1073" s="9"/>
      <c r="D1073" t="str">
        <f>"T02G6.4"</f>
        <v>T02G6.4</v>
      </c>
      <c r="F1073" t="s">
        <v>11</v>
      </c>
      <c r="G1073" t="s">
        <v>25</v>
      </c>
      <c r="H1073" s="12">
        <v>4.4651611374034701</v>
      </c>
      <c r="I1073" s="11">
        <v>0.79185200832296199</v>
      </c>
      <c r="J1073" s="10">
        <v>0.42844697292671302</v>
      </c>
      <c r="K1073" s="29">
        <v>0.98289565623980701</v>
      </c>
    </row>
    <row r="1074" spans="1:11" x14ac:dyDescent="0.35">
      <c r="A1074" s="9" t="str">
        <f>HYPERLINK("http://www.ensembl.org/id/WBGene00003114", "WBGene00003114")</f>
        <v>WBGene00003114</v>
      </c>
      <c r="B1074" s="9" t="str">
        <f>HYPERLINK("http://www.ncbi.nlm.nih.gov/gene/266926", "266926")</f>
        <v>266926</v>
      </c>
      <c r="C1074" s="9"/>
      <c r="D1074" t="str">
        <f>"mab-23"</f>
        <v>mab-23</v>
      </c>
      <c r="E1074" t="s">
        <v>3001</v>
      </c>
      <c r="F1074" t="s">
        <v>11</v>
      </c>
      <c r="G1074" t="s">
        <v>3002</v>
      </c>
      <c r="H1074" s="12">
        <v>4.4634132021470698</v>
      </c>
      <c r="I1074" s="11">
        <v>1.50561815639714</v>
      </c>
      <c r="J1074" s="10">
        <v>0.13216522481687501</v>
      </c>
      <c r="K1074" s="29">
        <v>0.81761972814423201</v>
      </c>
    </row>
    <row r="1075" spans="1:11" x14ac:dyDescent="0.35">
      <c r="A1075" s="9" t="str">
        <f>HYPERLINK("http://www.ensembl.org/id/WBGene00015020", "WBGene00015020")</f>
        <v>WBGene00015020</v>
      </c>
      <c r="B1075" s="9" t="str">
        <f>HYPERLINK("http://www.ncbi.nlm.nih.gov/gene/181832", "181832")</f>
        <v>181832</v>
      </c>
      <c r="C1075" s="9"/>
      <c r="D1075" t="str">
        <f>"B0205.5"</f>
        <v>B0205.5</v>
      </c>
      <c r="F1075" t="s">
        <v>11</v>
      </c>
      <c r="H1075" s="12">
        <v>4.45898032730413</v>
      </c>
      <c r="I1075" s="11">
        <v>0.72639243901305395</v>
      </c>
      <c r="J1075" s="10">
        <v>0.467598225040115</v>
      </c>
      <c r="K1075" s="29">
        <v>0.98289565623980701</v>
      </c>
    </row>
    <row r="1076" spans="1:11" x14ac:dyDescent="0.35">
      <c r="A1076" s="9" t="str">
        <f>HYPERLINK("http://www.ensembl.org/id/WBGene00165887", "WBGene00165887")</f>
        <v>WBGene00165887</v>
      </c>
      <c r="B1076" s="9"/>
      <c r="C1076" s="9"/>
      <c r="D1076" t="str">
        <f>"21ur-11045"</f>
        <v>21ur-11045</v>
      </c>
      <c r="F1076" t="s">
        <v>3161</v>
      </c>
      <c r="H1076" s="12">
        <v>4.4454298908329104</v>
      </c>
      <c r="I1076" s="11">
        <v>0.49336101450555597</v>
      </c>
      <c r="J1076" s="10">
        <v>0.62175752365155801</v>
      </c>
      <c r="K1076" s="29">
        <v>0.98289565623980701</v>
      </c>
    </row>
    <row r="1077" spans="1:11" x14ac:dyDescent="0.35">
      <c r="A1077" s="9" t="str">
        <f>HYPERLINK("http://www.ensembl.org/id/WBGene00219901", "WBGene00219901")</f>
        <v>WBGene00219901</v>
      </c>
      <c r="B1077" s="9"/>
      <c r="C1077" s="9"/>
      <c r="D1077" t="str">
        <f>"F18A1.11"</f>
        <v>F18A1.11</v>
      </c>
      <c r="F1077" t="s">
        <v>2977</v>
      </c>
      <c r="H1077" s="12">
        <v>4.4454298908329104</v>
      </c>
      <c r="I1077" s="11">
        <v>0.49336101450555597</v>
      </c>
      <c r="J1077" s="10">
        <v>0.62175752365155801</v>
      </c>
      <c r="K1077" s="29">
        <v>0.98289565623980701</v>
      </c>
    </row>
    <row r="1078" spans="1:11" x14ac:dyDescent="0.35">
      <c r="A1078" s="9" t="str">
        <f>HYPERLINK("http://www.ensembl.org/id/WBGene00018536", "WBGene00018536")</f>
        <v>WBGene00018536</v>
      </c>
      <c r="B1078" s="9" t="str">
        <f>HYPERLINK("http://www.ncbi.nlm.nih.gov/gene/185892", "185892")</f>
        <v>185892</v>
      </c>
      <c r="C1078" s="9"/>
      <c r="D1078" t="str">
        <f>"F47B7.5"</f>
        <v>F47B7.5</v>
      </c>
      <c r="F1078" t="s">
        <v>11</v>
      </c>
      <c r="H1078" s="12">
        <v>4.4454298908329104</v>
      </c>
      <c r="I1078" s="11">
        <v>0.49336101450555597</v>
      </c>
      <c r="J1078" s="10">
        <v>0.62175752365155801</v>
      </c>
      <c r="K1078" s="29">
        <v>0.98289565623980701</v>
      </c>
    </row>
    <row r="1079" spans="1:11" x14ac:dyDescent="0.35">
      <c r="A1079" s="9" t="str">
        <f>HYPERLINK("http://www.ensembl.org/id/WBGene00022890", "WBGene00022890")</f>
        <v>WBGene00022890</v>
      </c>
      <c r="B1079" s="9" t="str">
        <f>HYPERLINK("http://www.ncbi.nlm.nih.gov/gene/191557", "191557")</f>
        <v>191557</v>
      </c>
      <c r="C1079" s="9"/>
      <c r="D1079" t="str">
        <f>"fbxa-224"</f>
        <v>fbxa-224</v>
      </c>
      <c r="E1079" t="s">
        <v>4276</v>
      </c>
      <c r="F1079" t="s">
        <v>11</v>
      </c>
      <c r="G1079" t="s">
        <v>54</v>
      </c>
      <c r="H1079" s="12">
        <v>4.4454298908329104</v>
      </c>
      <c r="I1079" s="11">
        <v>0.49336101450555597</v>
      </c>
      <c r="J1079" s="10">
        <v>0.62175752365155801</v>
      </c>
      <c r="K1079" s="29">
        <v>0.98289565623980701</v>
      </c>
    </row>
    <row r="1080" spans="1:11" x14ac:dyDescent="0.35">
      <c r="A1080" s="9" t="str">
        <f>HYPERLINK("http://www.ensembl.org/id/WBGene00005104", "WBGene00005104")</f>
        <v>WBGene00005104</v>
      </c>
      <c r="B1080" s="9" t="str">
        <f>HYPERLINK("http://www.ncbi.nlm.nih.gov/gene/187979", "187979")</f>
        <v>187979</v>
      </c>
      <c r="C1080" s="9"/>
      <c r="D1080" t="str">
        <f>"srd-26"</f>
        <v>srd-26</v>
      </c>
      <c r="E1080" t="s">
        <v>4275</v>
      </c>
      <c r="F1080" t="s">
        <v>11</v>
      </c>
      <c r="G1080" t="s">
        <v>25</v>
      </c>
      <c r="H1080" s="12">
        <v>4.4454298908329104</v>
      </c>
      <c r="I1080" s="11">
        <v>0.49336101450555597</v>
      </c>
      <c r="J1080" s="10">
        <v>0.62175752365155801</v>
      </c>
      <c r="K1080" s="29">
        <v>0.98289565623980701</v>
      </c>
    </row>
    <row r="1081" spans="1:11" x14ac:dyDescent="0.35">
      <c r="A1081" s="9" t="str">
        <f>HYPERLINK("http://www.ensembl.org/id/WBGene00005574", "WBGene00005574")</f>
        <v>WBGene00005574</v>
      </c>
      <c r="B1081" s="9" t="str">
        <f>HYPERLINK("http://www.ncbi.nlm.nih.gov/gene/24104530", "24104530")</f>
        <v>24104530</v>
      </c>
      <c r="C1081" s="9"/>
      <c r="D1081" t="str">
        <f>"sri-62"</f>
        <v>sri-62</v>
      </c>
      <c r="E1081" t="s">
        <v>1503</v>
      </c>
      <c r="F1081" t="s">
        <v>11</v>
      </c>
      <c r="G1081" t="s">
        <v>25</v>
      </c>
      <c r="H1081" s="12">
        <v>4.4454298908329104</v>
      </c>
      <c r="I1081" s="11">
        <v>0.49336101450555597</v>
      </c>
      <c r="J1081" s="10">
        <v>0.62175752365155801</v>
      </c>
      <c r="K1081" s="29">
        <v>0.98289565623980701</v>
      </c>
    </row>
    <row r="1082" spans="1:11" x14ac:dyDescent="0.35">
      <c r="A1082" s="9" t="str">
        <f>HYPERLINK("http://www.ensembl.org/id/WBGene00255731", "WBGene00255731")</f>
        <v>WBGene00255731</v>
      </c>
      <c r="B1082" s="9" t="str">
        <f>HYPERLINK("http://www.ncbi.nlm.nih.gov/gene/25502986", "25502986")</f>
        <v>25502986</v>
      </c>
      <c r="C1082" s="9"/>
      <c r="D1082" t="str">
        <f>"T02B11.11"</f>
        <v>T02B11.11</v>
      </c>
      <c r="F1082" t="s">
        <v>11</v>
      </c>
      <c r="H1082" s="12">
        <v>4.4454298908329104</v>
      </c>
      <c r="I1082" s="11">
        <v>0.49336101450555597</v>
      </c>
      <c r="J1082" s="10">
        <v>0.62175752365155801</v>
      </c>
      <c r="K1082" s="29">
        <v>0.98289565623980701</v>
      </c>
    </row>
    <row r="1083" spans="1:11" x14ac:dyDescent="0.35">
      <c r="A1083" s="9" t="str">
        <f>HYPERLINK("http://www.ensembl.org/id/WBGene00019314", "WBGene00019314")</f>
        <v>WBGene00019314</v>
      </c>
      <c r="B1083" s="9" t="str">
        <f>HYPERLINK("http://www.ncbi.nlm.nih.gov/gene/186889", "186889")</f>
        <v>186889</v>
      </c>
      <c r="C1083" s="9"/>
      <c r="D1083" t="str">
        <f>"K02E7.10"</f>
        <v>K02E7.10</v>
      </c>
      <c r="F1083" t="s">
        <v>11</v>
      </c>
      <c r="G1083" t="s">
        <v>632</v>
      </c>
      <c r="H1083" s="12">
        <v>4.4442934839813502</v>
      </c>
      <c r="I1083" s="11">
        <v>0.88957022889815596</v>
      </c>
      <c r="J1083" s="10">
        <v>0.37369669786433302</v>
      </c>
      <c r="K1083" s="29">
        <v>0.98289565623980701</v>
      </c>
    </row>
    <row r="1084" spans="1:11" x14ac:dyDescent="0.35">
      <c r="A1084" s="9" t="str">
        <f>HYPERLINK("http://www.ensembl.org/id/WBGene00012328", "WBGene00012328")</f>
        <v>WBGene00012328</v>
      </c>
      <c r="B1084" s="9" t="str">
        <f>HYPERLINK("http://www.ncbi.nlm.nih.gov/gene/189278", "189278")</f>
        <v>189278</v>
      </c>
      <c r="C1084" s="9"/>
      <c r="D1084" t="str">
        <f>"W07G1.1"</f>
        <v>W07G1.1</v>
      </c>
      <c r="F1084" t="s">
        <v>11</v>
      </c>
      <c r="G1084" t="s">
        <v>4277</v>
      </c>
      <c r="H1084" s="12">
        <v>4.4414047613034597</v>
      </c>
      <c r="I1084" s="11">
        <v>1.1022683399355999</v>
      </c>
      <c r="J1084" s="10">
        <v>0.27034502914951303</v>
      </c>
      <c r="K1084" s="29">
        <v>0.98289565623980701</v>
      </c>
    </row>
    <row r="1085" spans="1:11" x14ac:dyDescent="0.35">
      <c r="A1085" s="9" t="str">
        <f>HYPERLINK("http://www.ensembl.org/id/WBGene00046545", "WBGene00046545")</f>
        <v>WBGene00046545</v>
      </c>
      <c r="B1085" s="9"/>
      <c r="C1085" s="9"/>
      <c r="D1085" t="str">
        <f>"21ur-10"</f>
        <v>21ur-10</v>
      </c>
      <c r="F1085" t="s">
        <v>3161</v>
      </c>
      <c r="H1085" s="12">
        <v>4.4368407117627902</v>
      </c>
      <c r="I1085" s="11">
        <v>0.43709475933309699</v>
      </c>
      <c r="J1085" s="10">
        <v>0.66204262779770495</v>
      </c>
      <c r="K1085" s="29">
        <v>0.98289565623980701</v>
      </c>
    </row>
    <row r="1086" spans="1:11" x14ac:dyDescent="0.35">
      <c r="A1086" s="9" t="str">
        <f>HYPERLINK("http://www.ensembl.org/id/WBGene00174884", "WBGene00174884")</f>
        <v>WBGene00174884</v>
      </c>
      <c r="B1086" s="9"/>
      <c r="C1086" s="9"/>
      <c r="D1086" t="str">
        <f>"21ur-10311"</f>
        <v>21ur-10311</v>
      </c>
      <c r="F1086" t="s">
        <v>3161</v>
      </c>
      <c r="H1086" s="12">
        <v>4.4368407117627902</v>
      </c>
      <c r="I1086" s="11">
        <v>0.43709475933309699</v>
      </c>
      <c r="J1086" s="10">
        <v>0.66204262779770495</v>
      </c>
      <c r="K1086" s="29">
        <v>0.98289565623980701</v>
      </c>
    </row>
    <row r="1087" spans="1:11" x14ac:dyDescent="0.35">
      <c r="A1087" s="9" t="str">
        <f>HYPERLINK("http://www.ensembl.org/id/WBGene00170171", "WBGene00170171")</f>
        <v>WBGene00170171</v>
      </c>
      <c r="B1087" s="9"/>
      <c r="C1087" s="9"/>
      <c r="D1087" t="str">
        <f>"21ur-13859"</f>
        <v>21ur-13859</v>
      </c>
      <c r="F1087" t="s">
        <v>3161</v>
      </c>
      <c r="H1087" s="12">
        <v>4.4368407117627902</v>
      </c>
      <c r="I1087" s="11">
        <v>0.43709475933309699</v>
      </c>
      <c r="J1087" s="10">
        <v>0.66204262779770495</v>
      </c>
      <c r="K1087" s="29">
        <v>0.98289565623980701</v>
      </c>
    </row>
    <row r="1088" spans="1:11" x14ac:dyDescent="0.35">
      <c r="A1088" s="9" t="str">
        <f>HYPERLINK("http://www.ensembl.org/id/WBGene00047244", "WBGene00047244")</f>
        <v>WBGene00047244</v>
      </c>
      <c r="B1088" s="9"/>
      <c r="C1088" s="9"/>
      <c r="D1088" t="str">
        <f>"21ur-2622"</f>
        <v>21ur-2622</v>
      </c>
      <c r="F1088" t="s">
        <v>3161</v>
      </c>
      <c r="H1088" s="12">
        <v>4.4368407117627902</v>
      </c>
      <c r="I1088" s="11">
        <v>0.43709475933309699</v>
      </c>
      <c r="J1088" s="10">
        <v>0.66204262779770495</v>
      </c>
      <c r="K1088" s="29">
        <v>0.98289565623980701</v>
      </c>
    </row>
    <row r="1089" spans="1:11" x14ac:dyDescent="0.35">
      <c r="A1089" s="9" t="str">
        <f>HYPERLINK("http://www.ensembl.org/id/WBGene00047656", "WBGene00047656")</f>
        <v>WBGene00047656</v>
      </c>
      <c r="B1089" s="9"/>
      <c r="C1089" s="9"/>
      <c r="D1089" t="str">
        <f>"21ur-477"</f>
        <v>21ur-477</v>
      </c>
      <c r="F1089" t="s">
        <v>3161</v>
      </c>
      <c r="H1089" s="12">
        <v>4.4368407117627902</v>
      </c>
      <c r="I1089" s="11">
        <v>0.43709475933309699</v>
      </c>
      <c r="J1089" s="10">
        <v>0.66204262779770495</v>
      </c>
      <c r="K1089" s="29">
        <v>0.98289565623980701</v>
      </c>
    </row>
    <row r="1090" spans="1:11" x14ac:dyDescent="0.35">
      <c r="A1090" s="9" t="str">
        <f>HYPERLINK("http://www.ensembl.org/id/WBGene00172453", "WBGene00172453")</f>
        <v>WBGene00172453</v>
      </c>
      <c r="B1090" s="9"/>
      <c r="C1090" s="9"/>
      <c r="D1090" t="str">
        <f>"21ur-6565"</f>
        <v>21ur-6565</v>
      </c>
      <c r="F1090" t="s">
        <v>3161</v>
      </c>
      <c r="H1090" s="12">
        <v>4.4368407117627902</v>
      </c>
      <c r="I1090" s="11">
        <v>0.43709475933309699</v>
      </c>
      <c r="J1090" s="10">
        <v>0.66204262779770495</v>
      </c>
      <c r="K1090" s="29">
        <v>0.98289565623980701</v>
      </c>
    </row>
    <row r="1091" spans="1:11" x14ac:dyDescent="0.35">
      <c r="A1091" s="9" t="str">
        <f>HYPERLINK("http://www.ensembl.org/id/WBGene00173776", "WBGene00173776")</f>
        <v>WBGene00173776</v>
      </c>
      <c r="B1091" s="9"/>
      <c r="C1091" s="9"/>
      <c r="D1091" t="str">
        <f>"21ur-6808"</f>
        <v>21ur-6808</v>
      </c>
      <c r="F1091" t="s">
        <v>3161</v>
      </c>
      <c r="H1091" s="12">
        <v>4.4368407117627902</v>
      </c>
      <c r="I1091" s="11">
        <v>0.43709475933309699</v>
      </c>
      <c r="J1091" s="10">
        <v>0.66204262779770495</v>
      </c>
      <c r="K1091" s="29">
        <v>0.98289565623980701</v>
      </c>
    </row>
    <row r="1092" spans="1:11" x14ac:dyDescent="0.35">
      <c r="A1092" s="9" t="str">
        <f>HYPERLINK("http://www.ensembl.org/id/WBGene00168525", "WBGene00168525")</f>
        <v>WBGene00168525</v>
      </c>
      <c r="B1092" s="9"/>
      <c r="C1092" s="9"/>
      <c r="D1092" t="str">
        <f>"21ur-7826"</f>
        <v>21ur-7826</v>
      </c>
      <c r="F1092" t="s">
        <v>3161</v>
      </c>
      <c r="H1092" s="12">
        <v>4.4368407117627902</v>
      </c>
      <c r="I1092" s="11">
        <v>0.43709475933309699</v>
      </c>
      <c r="J1092" s="10">
        <v>0.66204262779770495</v>
      </c>
      <c r="K1092" s="29">
        <v>0.98289565623980701</v>
      </c>
    </row>
    <row r="1093" spans="1:11" x14ac:dyDescent="0.35">
      <c r="A1093" s="9" t="str">
        <f>HYPERLINK("http://www.ensembl.org/id/WBGene00168306", "WBGene00168306")</f>
        <v>WBGene00168306</v>
      </c>
      <c r="B1093" s="9"/>
      <c r="C1093" s="9"/>
      <c r="D1093" t="str">
        <f>"21ur-8384"</f>
        <v>21ur-8384</v>
      </c>
      <c r="F1093" t="s">
        <v>3161</v>
      </c>
      <c r="H1093" s="12">
        <v>4.4368407117627902</v>
      </c>
      <c r="I1093" s="11">
        <v>0.43709475933309699</v>
      </c>
      <c r="J1093" s="10">
        <v>0.66204262779770495</v>
      </c>
      <c r="K1093" s="29">
        <v>0.98289565623980701</v>
      </c>
    </row>
    <row r="1094" spans="1:11" x14ac:dyDescent="0.35">
      <c r="A1094" s="9" t="str">
        <f>HYPERLINK("http://www.ensembl.org/id/WBGene00050772", "WBGene00050772")</f>
        <v>WBGene00050772</v>
      </c>
      <c r="B1094" s="9"/>
      <c r="C1094" s="9"/>
      <c r="D1094" t="str">
        <f>"21ur-883"</f>
        <v>21ur-883</v>
      </c>
      <c r="F1094" t="s">
        <v>3161</v>
      </c>
      <c r="H1094" s="12">
        <v>4.4368407117627902</v>
      </c>
      <c r="I1094" s="11">
        <v>0.43709475933309699</v>
      </c>
      <c r="J1094" s="10">
        <v>0.66204262779770495</v>
      </c>
      <c r="K1094" s="29">
        <v>0.98289565623980701</v>
      </c>
    </row>
    <row r="1095" spans="1:11" x14ac:dyDescent="0.35">
      <c r="A1095" s="9" t="str">
        <f>HYPERLINK("http://www.ensembl.org/id/WBGene00015071", "WBGene00015071")</f>
        <v>WBGene00015071</v>
      </c>
      <c r="B1095" s="9" t="str">
        <f>HYPERLINK("http://www.ncbi.nlm.nih.gov/gene/181871", "181871")</f>
        <v>181871</v>
      </c>
      <c r="C1095" s="9"/>
      <c r="D1095" t="str">
        <f>"B0238.7"</f>
        <v>B0238.7</v>
      </c>
      <c r="E1095" t="s">
        <v>383</v>
      </c>
      <c r="F1095" t="s">
        <v>11</v>
      </c>
      <c r="G1095" t="s">
        <v>2185</v>
      </c>
      <c r="H1095" s="12">
        <v>4.4368407117627902</v>
      </c>
      <c r="I1095" s="11">
        <v>0.43709475933309699</v>
      </c>
      <c r="J1095" s="10">
        <v>0.66204262779770495</v>
      </c>
      <c r="K1095" s="29">
        <v>0.98289565623980701</v>
      </c>
    </row>
    <row r="1096" spans="1:11" x14ac:dyDescent="0.35">
      <c r="A1096" s="9" t="str">
        <f>HYPERLINK("http://www.ensembl.org/id/WBGene00050926", "WBGene00050926")</f>
        <v>WBGene00050926</v>
      </c>
      <c r="B1096" s="9"/>
      <c r="C1096" s="9"/>
      <c r="D1096" t="str">
        <f>"B0250.11"</f>
        <v>B0250.11</v>
      </c>
      <c r="F1096" t="s">
        <v>80</v>
      </c>
      <c r="H1096" s="12">
        <v>4.4368407117627902</v>
      </c>
      <c r="I1096" s="11">
        <v>0.43709475933309699</v>
      </c>
      <c r="J1096" s="10">
        <v>0.66204262779770495</v>
      </c>
      <c r="K1096" s="29">
        <v>0.98289565623980701</v>
      </c>
    </row>
    <row r="1097" spans="1:11" x14ac:dyDescent="0.35">
      <c r="A1097" s="9" t="str">
        <f>HYPERLINK("http://www.ensembl.org/id/WBGene00219787", "WBGene00219787")</f>
        <v>WBGene00219787</v>
      </c>
      <c r="B1097" s="9"/>
      <c r="C1097" s="9"/>
      <c r="D1097" t="str">
        <f>"B0379.12"</f>
        <v>B0379.12</v>
      </c>
      <c r="F1097" t="s">
        <v>2977</v>
      </c>
      <c r="H1097" s="12">
        <v>4.4368407117627902</v>
      </c>
      <c r="I1097" s="11">
        <v>0.43709475933309699</v>
      </c>
      <c r="J1097" s="10">
        <v>0.66204262779770495</v>
      </c>
      <c r="K1097" s="29">
        <v>0.98289565623980701</v>
      </c>
    </row>
    <row r="1098" spans="1:11" x14ac:dyDescent="0.35">
      <c r="A1098" s="9" t="str">
        <f>HYPERLINK("http://www.ensembl.org/id/WBGene00197966", "WBGene00197966")</f>
        <v>WBGene00197966</v>
      </c>
      <c r="B1098" s="9"/>
      <c r="C1098" s="9"/>
      <c r="D1098" t="str">
        <f>"B0393.14"</f>
        <v>B0393.14</v>
      </c>
      <c r="F1098" t="s">
        <v>481</v>
      </c>
      <c r="H1098" s="12">
        <v>4.4368407117627902</v>
      </c>
      <c r="I1098" s="11">
        <v>0.43709475933309699</v>
      </c>
      <c r="J1098" s="10">
        <v>0.66204262779770495</v>
      </c>
      <c r="K1098" s="29">
        <v>0.98289565623980701</v>
      </c>
    </row>
    <row r="1099" spans="1:11" x14ac:dyDescent="0.35">
      <c r="A1099" s="9" t="str">
        <f>HYPERLINK("http://www.ensembl.org/id/WBGene00197442", "WBGene00197442")</f>
        <v>WBGene00197442</v>
      </c>
      <c r="B1099" s="9"/>
      <c r="C1099" s="9"/>
      <c r="D1099" t="str">
        <f>"B0491.9"</f>
        <v>B0491.9</v>
      </c>
      <c r="F1099" t="s">
        <v>481</v>
      </c>
      <c r="H1099" s="12">
        <v>4.4368407117627902</v>
      </c>
      <c r="I1099" s="11">
        <v>0.43709475933309699</v>
      </c>
      <c r="J1099" s="10">
        <v>0.66204262779770495</v>
      </c>
      <c r="K1099" s="29">
        <v>0.98289565623980701</v>
      </c>
    </row>
    <row r="1100" spans="1:11" x14ac:dyDescent="0.35">
      <c r="A1100" s="9" t="str">
        <f>HYPERLINK("http://www.ensembl.org/id/WBGene00195936", "WBGene00195936")</f>
        <v>WBGene00195936</v>
      </c>
      <c r="B1100" s="9"/>
      <c r="C1100" s="9"/>
      <c r="D1100" t="str">
        <f>"C02D5.5"</f>
        <v>C02D5.5</v>
      </c>
      <c r="F1100" t="s">
        <v>481</v>
      </c>
      <c r="H1100" s="12">
        <v>4.4368407117627902</v>
      </c>
      <c r="I1100" s="11">
        <v>0.43709475933309699</v>
      </c>
      <c r="J1100" s="10">
        <v>0.66204262779770495</v>
      </c>
      <c r="K1100" s="29">
        <v>0.98289565623980701</v>
      </c>
    </row>
    <row r="1101" spans="1:11" x14ac:dyDescent="0.35">
      <c r="A1101" s="9" t="str">
        <f>HYPERLINK("http://www.ensembl.org/id/WBGene00045089", "WBGene00045089")</f>
        <v>WBGene00045089</v>
      </c>
      <c r="B1101" s="9"/>
      <c r="C1101" s="9"/>
      <c r="D1101" t="str">
        <f>"C05H8.3"</f>
        <v>C05H8.3</v>
      </c>
      <c r="F1101" t="s">
        <v>2977</v>
      </c>
      <c r="H1101" s="12">
        <v>4.4368407117627902</v>
      </c>
      <c r="I1101" s="11">
        <v>0.43709475933309699</v>
      </c>
      <c r="J1101" s="10">
        <v>0.66204262779770495</v>
      </c>
      <c r="K1101" s="29">
        <v>0.98289565623980701</v>
      </c>
    </row>
    <row r="1102" spans="1:11" x14ac:dyDescent="0.35">
      <c r="A1102" s="9" t="str">
        <f>HYPERLINK("http://www.ensembl.org/id/WBGene00195352", "WBGene00195352")</f>
        <v>WBGene00195352</v>
      </c>
      <c r="B1102" s="9"/>
      <c r="C1102" s="9"/>
      <c r="D1102" t="str">
        <f>"C10G11.12"</f>
        <v>C10G11.12</v>
      </c>
      <c r="F1102" t="s">
        <v>481</v>
      </c>
      <c r="H1102" s="12">
        <v>4.4368407117627902</v>
      </c>
      <c r="I1102" s="11">
        <v>0.43709475933309699</v>
      </c>
      <c r="J1102" s="10">
        <v>0.66204262779770495</v>
      </c>
      <c r="K1102" s="29">
        <v>0.98289565623980701</v>
      </c>
    </row>
    <row r="1103" spans="1:11" x14ac:dyDescent="0.35">
      <c r="A1103" s="9" t="str">
        <f>HYPERLINK("http://www.ensembl.org/id/WBGene00202267", "WBGene00202267")</f>
        <v>WBGene00202267</v>
      </c>
      <c r="B1103" s="9"/>
      <c r="C1103" s="9"/>
      <c r="D1103" t="str">
        <f>"C16E9.28"</f>
        <v>C16E9.28</v>
      </c>
      <c r="F1103" t="s">
        <v>481</v>
      </c>
      <c r="H1103" s="12">
        <v>4.4368407117627902</v>
      </c>
      <c r="I1103" s="11">
        <v>0.43709475933309699</v>
      </c>
      <c r="J1103" s="10">
        <v>0.66204262779770495</v>
      </c>
      <c r="K1103" s="29">
        <v>0.98289565623980701</v>
      </c>
    </row>
    <row r="1104" spans="1:11" x14ac:dyDescent="0.35">
      <c r="A1104" s="9" t="str">
        <f>HYPERLINK("http://www.ensembl.org/id/WBGene00219823", "WBGene00219823")</f>
        <v>WBGene00219823</v>
      </c>
      <c r="B1104" s="9"/>
      <c r="C1104" s="9"/>
      <c r="D1104" t="str">
        <f>"C18A3.24"</f>
        <v>C18A3.24</v>
      </c>
      <c r="F1104" t="s">
        <v>2977</v>
      </c>
      <c r="H1104" s="12">
        <v>4.4368407117627902</v>
      </c>
      <c r="I1104" s="11">
        <v>0.43709475933309699</v>
      </c>
      <c r="J1104" s="10">
        <v>0.66204262779770495</v>
      </c>
      <c r="K1104" s="29">
        <v>0.98289565623980701</v>
      </c>
    </row>
    <row r="1105" spans="1:11" x14ac:dyDescent="0.35">
      <c r="A1105" s="9" t="str">
        <f>HYPERLINK("http://www.ensembl.org/id/WBGene00197451", "WBGene00197451")</f>
        <v>WBGene00197451</v>
      </c>
      <c r="B1105" s="9"/>
      <c r="C1105" s="9"/>
      <c r="D1105" t="str">
        <f>"C26G2.4"</f>
        <v>C26G2.4</v>
      </c>
      <c r="F1105" t="s">
        <v>481</v>
      </c>
      <c r="H1105" s="12">
        <v>4.4368407117627902</v>
      </c>
      <c r="I1105" s="11">
        <v>0.43709475933309699</v>
      </c>
      <c r="J1105" s="10">
        <v>0.66204262779770495</v>
      </c>
      <c r="K1105" s="29">
        <v>0.98289565623980701</v>
      </c>
    </row>
    <row r="1106" spans="1:11" x14ac:dyDescent="0.35">
      <c r="A1106" s="9" t="str">
        <f>HYPERLINK("http://www.ensembl.org/id/WBGene00196164", "WBGene00196164")</f>
        <v>WBGene00196164</v>
      </c>
      <c r="B1106" s="9"/>
      <c r="C1106" s="9"/>
      <c r="D1106" t="str">
        <f>"C29E6.10"</f>
        <v>C29E6.10</v>
      </c>
      <c r="F1106" t="s">
        <v>481</v>
      </c>
      <c r="H1106" s="12">
        <v>4.4368407117627902</v>
      </c>
      <c r="I1106" s="11">
        <v>0.43709475933309699</v>
      </c>
      <c r="J1106" s="10">
        <v>0.66204262779770495</v>
      </c>
      <c r="K1106" s="29">
        <v>0.98289565623980701</v>
      </c>
    </row>
    <row r="1107" spans="1:11" x14ac:dyDescent="0.35">
      <c r="A1107" s="9" t="str">
        <f>HYPERLINK("http://www.ensembl.org/id/WBGene00044550", "WBGene00044550")</f>
        <v>WBGene00044550</v>
      </c>
      <c r="B1107" s="9" t="str">
        <f>HYPERLINK("http://www.ncbi.nlm.nih.gov/gene/3896829", "3896829")</f>
        <v>3896829</v>
      </c>
      <c r="C1107" s="9"/>
      <c r="D1107" t="str">
        <f>"C50E3.15"</f>
        <v>C50E3.15</v>
      </c>
      <c r="F1107" t="s">
        <v>11</v>
      </c>
      <c r="H1107" s="12">
        <v>4.4368407117627902</v>
      </c>
      <c r="I1107" s="11">
        <v>0.43709475933309699</v>
      </c>
      <c r="J1107" s="10">
        <v>0.66204262779770495</v>
      </c>
      <c r="K1107" s="29">
        <v>0.98289565623980701</v>
      </c>
    </row>
    <row r="1108" spans="1:11" x14ac:dyDescent="0.35">
      <c r="A1108" s="9" t="str">
        <f>HYPERLINK("http://www.ensembl.org/id/WBGene00201695", "WBGene00201695")</f>
        <v>WBGene00201695</v>
      </c>
      <c r="B1108" s="9"/>
      <c r="C1108" s="9"/>
      <c r="D1108" t="str">
        <f>"CD4.16"</f>
        <v>CD4.16</v>
      </c>
      <c r="F1108" t="s">
        <v>481</v>
      </c>
      <c r="H1108" s="12">
        <v>4.4368407117627902</v>
      </c>
      <c r="I1108" s="11">
        <v>0.43709475933309699</v>
      </c>
      <c r="J1108" s="10">
        <v>0.66204262779770495</v>
      </c>
      <c r="K1108" s="29">
        <v>0.98289565623980701</v>
      </c>
    </row>
    <row r="1109" spans="1:11" x14ac:dyDescent="0.35">
      <c r="A1109" s="9" t="str">
        <f>HYPERLINK("http://www.ensembl.org/id/WBGene00044954", "WBGene00044954")</f>
        <v>WBGene00044954</v>
      </c>
      <c r="B1109" s="9"/>
      <c r="C1109" s="9"/>
      <c r="D1109" t="str">
        <f>"D2096.14"</f>
        <v>D2096.14</v>
      </c>
      <c r="F1109" t="s">
        <v>2977</v>
      </c>
      <c r="H1109" s="12">
        <v>4.4368407117627902</v>
      </c>
      <c r="I1109" s="11">
        <v>0.43709475933309699</v>
      </c>
      <c r="J1109" s="10">
        <v>0.66204262779770495</v>
      </c>
      <c r="K1109" s="29">
        <v>0.98289565623980701</v>
      </c>
    </row>
    <row r="1110" spans="1:11" x14ac:dyDescent="0.35">
      <c r="A1110" s="9" t="str">
        <f>HYPERLINK("http://www.ensembl.org/id/WBGene00197036", "WBGene00197036")</f>
        <v>WBGene00197036</v>
      </c>
      <c r="B1110" s="9"/>
      <c r="C1110" s="9"/>
      <c r="D1110" t="str">
        <f>"E02A10.7"</f>
        <v>E02A10.7</v>
      </c>
      <c r="F1110" t="s">
        <v>481</v>
      </c>
      <c r="H1110" s="12">
        <v>4.4368407117627902</v>
      </c>
      <c r="I1110" s="11">
        <v>0.43709475933309699</v>
      </c>
      <c r="J1110" s="10">
        <v>0.66204262779770495</v>
      </c>
      <c r="K1110" s="29">
        <v>0.98289565623980701</v>
      </c>
    </row>
    <row r="1111" spans="1:11" x14ac:dyDescent="0.35">
      <c r="A1111" s="9" t="str">
        <f>HYPERLINK("http://www.ensembl.org/id/WBGene00017118", "WBGene00017118")</f>
        <v>WBGene00017118</v>
      </c>
      <c r="B1111" s="9"/>
      <c r="C1111" s="9"/>
      <c r="D1111" t="str">
        <f>"E04A4.3"</f>
        <v>E04A4.3</v>
      </c>
      <c r="F1111" t="s">
        <v>80</v>
      </c>
      <c r="H1111" s="12">
        <v>4.4368407117627902</v>
      </c>
      <c r="I1111" s="11">
        <v>0.43709475933309699</v>
      </c>
      <c r="J1111" s="10">
        <v>0.66204262779770495</v>
      </c>
      <c r="K1111" s="29">
        <v>0.98289565623980701</v>
      </c>
    </row>
    <row r="1112" spans="1:11" x14ac:dyDescent="0.35">
      <c r="A1112" s="9" t="str">
        <f>HYPERLINK("http://www.ensembl.org/id/WBGene00022980", "WBGene00022980")</f>
        <v>WBGene00022980</v>
      </c>
      <c r="B1112" s="9"/>
      <c r="C1112" s="9"/>
      <c r="D1112" t="str">
        <f>"F08F1.t2"</f>
        <v>F08F1.t2</v>
      </c>
      <c r="F1112" t="s">
        <v>4208</v>
      </c>
      <c r="H1112" s="12">
        <v>4.4368407117627902</v>
      </c>
      <c r="I1112" s="11">
        <v>0.43709475933309699</v>
      </c>
      <c r="J1112" s="10">
        <v>0.66204262779770495</v>
      </c>
      <c r="K1112" s="29">
        <v>0.98289565623980701</v>
      </c>
    </row>
    <row r="1113" spans="1:11" x14ac:dyDescent="0.35">
      <c r="A1113" s="9" t="str">
        <f>HYPERLINK("http://www.ensembl.org/id/WBGene00008672", "WBGene00008672")</f>
        <v>WBGene00008672</v>
      </c>
      <c r="B1113" s="9" t="str">
        <f>HYPERLINK("http://www.ncbi.nlm.nih.gov/gene/184331", "184331")</f>
        <v>184331</v>
      </c>
      <c r="C1113" s="9"/>
      <c r="D1113" t="str">
        <f>"F11A5.4"</f>
        <v>F11A5.4</v>
      </c>
      <c r="F1113" t="s">
        <v>11</v>
      </c>
      <c r="G1113" t="s">
        <v>4278</v>
      </c>
      <c r="H1113" s="12">
        <v>4.4368407117627902</v>
      </c>
      <c r="I1113" s="11">
        <v>0.43709475933309699</v>
      </c>
      <c r="J1113" s="10">
        <v>0.66204262779770495</v>
      </c>
      <c r="K1113" s="29">
        <v>0.98289565623980701</v>
      </c>
    </row>
    <row r="1114" spans="1:11" x14ac:dyDescent="0.35">
      <c r="A1114" s="9" t="str">
        <f>HYPERLINK("http://www.ensembl.org/id/WBGene00008699", "WBGene00008699")</f>
        <v>WBGene00008699</v>
      </c>
      <c r="B1114" s="9" t="str">
        <f>HYPERLINK("http://www.ncbi.nlm.nih.gov/gene/34700625", "34700625")</f>
        <v>34700625</v>
      </c>
      <c r="C1114" s="9"/>
      <c r="D1114" t="str">
        <f>"F11D11.4"</f>
        <v>F11D11.4</v>
      </c>
      <c r="F1114" t="s">
        <v>11</v>
      </c>
      <c r="H1114" s="12">
        <v>4.4368407117627902</v>
      </c>
      <c r="I1114" s="11">
        <v>0.43709475933309699</v>
      </c>
      <c r="J1114" s="10">
        <v>0.66204262779770495</v>
      </c>
      <c r="K1114" s="29">
        <v>0.98289565623980701</v>
      </c>
    </row>
    <row r="1115" spans="1:11" x14ac:dyDescent="0.35">
      <c r="A1115" s="9" t="str">
        <f>HYPERLINK("http://www.ensembl.org/id/WBGene00017401", "WBGene00017401")</f>
        <v>WBGene00017401</v>
      </c>
      <c r="B1115" s="9" t="str">
        <f>HYPERLINK("http://www.ncbi.nlm.nih.gov/gene/184379", "184379")</f>
        <v>184379</v>
      </c>
      <c r="C1115" s="9"/>
      <c r="D1115" t="str">
        <f>"F12D9.2"</f>
        <v>F12D9.2</v>
      </c>
      <c r="F1115" t="s">
        <v>11</v>
      </c>
      <c r="H1115" s="12">
        <v>4.4368407117627902</v>
      </c>
      <c r="I1115" s="11">
        <v>0.43709475933309699</v>
      </c>
      <c r="J1115" s="10">
        <v>0.66204262779770495</v>
      </c>
      <c r="K1115" s="29">
        <v>0.98289565623980701</v>
      </c>
    </row>
    <row r="1116" spans="1:11" x14ac:dyDescent="0.35">
      <c r="A1116" s="9" t="str">
        <f>HYPERLINK("http://www.ensembl.org/id/WBGene00017520", "WBGene00017520")</f>
        <v>WBGene00017520</v>
      </c>
      <c r="B1116" s="9" t="str">
        <f>HYPERLINK("http://www.ncbi.nlm.nih.gov/gene/184580", "184580")</f>
        <v>184580</v>
      </c>
      <c r="C1116" s="9"/>
      <c r="D1116" t="str">
        <f>"F16G10.5"</f>
        <v>F16G10.5</v>
      </c>
      <c r="F1116" t="s">
        <v>11</v>
      </c>
      <c r="G1116" t="s">
        <v>54</v>
      </c>
      <c r="H1116" s="12">
        <v>4.4368407117627902</v>
      </c>
      <c r="I1116" s="11">
        <v>0.43709475933309699</v>
      </c>
      <c r="J1116" s="10">
        <v>0.66204262779770495</v>
      </c>
      <c r="K1116" s="29">
        <v>0.98289565623980701</v>
      </c>
    </row>
    <row r="1117" spans="1:11" x14ac:dyDescent="0.35">
      <c r="A1117" s="9" t="str">
        <f>HYPERLINK("http://www.ensembl.org/id/WBGene00008928", "WBGene00008928")</f>
        <v>WBGene00008928</v>
      </c>
      <c r="B1117" s="9" t="str">
        <f>HYPERLINK("http://www.ncbi.nlm.nih.gov/gene/184625", "184625")</f>
        <v>184625</v>
      </c>
      <c r="C1117" s="9"/>
      <c r="D1117" t="str">
        <f>"F17H10.4"</f>
        <v>F17H10.4</v>
      </c>
      <c r="F1117" t="s">
        <v>11</v>
      </c>
      <c r="G1117" t="s">
        <v>25</v>
      </c>
      <c r="H1117" s="12">
        <v>4.4368407117627902</v>
      </c>
      <c r="I1117" s="11">
        <v>0.43709475933309699</v>
      </c>
      <c r="J1117" s="10">
        <v>0.66204262779770495</v>
      </c>
      <c r="K1117" s="29">
        <v>0.98289565623980701</v>
      </c>
    </row>
    <row r="1118" spans="1:11" x14ac:dyDescent="0.35">
      <c r="A1118" s="9" t="str">
        <f>HYPERLINK("http://www.ensembl.org/id/WBGene00017655", "WBGene00017655")</f>
        <v>WBGene00017655</v>
      </c>
      <c r="B1118" s="9" t="str">
        <f>HYPERLINK("http://www.ncbi.nlm.nih.gov/gene/184765", "184765")</f>
        <v>184765</v>
      </c>
      <c r="C1118" s="9"/>
      <c r="D1118" t="str">
        <f>"F21C10.5"</f>
        <v>F21C10.5</v>
      </c>
      <c r="F1118" t="s">
        <v>11</v>
      </c>
      <c r="H1118" s="12">
        <v>4.4368407117627902</v>
      </c>
      <c r="I1118" s="11">
        <v>0.43709475933309699</v>
      </c>
      <c r="J1118" s="10">
        <v>0.66204262779770495</v>
      </c>
      <c r="K1118" s="29">
        <v>0.98289565623980701</v>
      </c>
    </row>
    <row r="1119" spans="1:11" x14ac:dyDescent="0.35">
      <c r="A1119" s="9" t="str">
        <f>HYPERLINK("http://www.ensembl.org/id/WBGene00044244", "WBGene00044244")</f>
        <v>WBGene00044244</v>
      </c>
      <c r="B1119" s="9" t="str">
        <f>HYPERLINK("http://www.ncbi.nlm.nih.gov/gene/3565015", "3565015")</f>
        <v>3565015</v>
      </c>
      <c r="C1119" s="9"/>
      <c r="D1119" t="str">
        <f>"F26D10.13"</f>
        <v>F26D10.13</v>
      </c>
      <c r="F1119" t="s">
        <v>11</v>
      </c>
      <c r="H1119" s="12">
        <v>4.4368407117627902</v>
      </c>
      <c r="I1119" s="11">
        <v>0.43709475933309699</v>
      </c>
      <c r="J1119" s="10">
        <v>0.66204262779770495</v>
      </c>
      <c r="K1119" s="29">
        <v>0.98289565623980701</v>
      </c>
    </row>
    <row r="1120" spans="1:11" x14ac:dyDescent="0.35">
      <c r="A1120" s="9" t="str">
        <f>HYPERLINK("http://www.ensembl.org/id/WBGene00198767", "WBGene00198767")</f>
        <v>WBGene00198767</v>
      </c>
      <c r="B1120" s="9"/>
      <c r="C1120" s="9"/>
      <c r="D1120" t="str">
        <f>"F26F12.15"</f>
        <v>F26F12.15</v>
      </c>
      <c r="F1120" t="s">
        <v>481</v>
      </c>
      <c r="H1120" s="12">
        <v>4.4368407117627902</v>
      </c>
      <c r="I1120" s="11">
        <v>0.43709475933309699</v>
      </c>
      <c r="J1120" s="10">
        <v>0.66204262779770495</v>
      </c>
      <c r="K1120" s="29">
        <v>0.98289565623980701</v>
      </c>
    </row>
    <row r="1121" spans="1:11" x14ac:dyDescent="0.35">
      <c r="A1121" s="9" t="str">
        <f>HYPERLINK("http://www.ensembl.org/id/WBGene00197398", "WBGene00197398")</f>
        <v>WBGene00197398</v>
      </c>
      <c r="B1121" s="9"/>
      <c r="C1121" s="9"/>
      <c r="D1121" t="str">
        <f>"F29F11.9"</f>
        <v>F29F11.9</v>
      </c>
      <c r="F1121" t="s">
        <v>481</v>
      </c>
      <c r="H1121" s="12">
        <v>4.4368407117627902</v>
      </c>
      <c r="I1121" s="11">
        <v>0.43709475933309699</v>
      </c>
      <c r="J1121" s="10">
        <v>0.66204262779770495</v>
      </c>
      <c r="K1121" s="29">
        <v>0.98289565623980701</v>
      </c>
    </row>
    <row r="1122" spans="1:11" x14ac:dyDescent="0.35">
      <c r="A1122" s="9" t="str">
        <f>HYPERLINK("http://www.ensembl.org/id/WBGene00200818", "WBGene00200818")</f>
        <v>WBGene00200818</v>
      </c>
      <c r="B1122" s="9"/>
      <c r="C1122" s="9"/>
      <c r="D1122" t="str">
        <f>"F31E8.18"</f>
        <v>F31E8.18</v>
      </c>
      <c r="F1122" t="s">
        <v>481</v>
      </c>
      <c r="H1122" s="12">
        <v>4.4368407117627902</v>
      </c>
      <c r="I1122" s="11">
        <v>0.43709475933309699</v>
      </c>
      <c r="J1122" s="10">
        <v>0.66204262779770495</v>
      </c>
      <c r="K1122" s="29">
        <v>0.98289565623980701</v>
      </c>
    </row>
    <row r="1123" spans="1:11" x14ac:dyDescent="0.35">
      <c r="A1123" s="9" t="str">
        <f>HYPERLINK("http://www.ensembl.org/id/WBGene00199052", "WBGene00199052")</f>
        <v>WBGene00199052</v>
      </c>
      <c r="B1123" s="9"/>
      <c r="C1123" s="9"/>
      <c r="D1123" t="str">
        <f>"F32A6.10"</f>
        <v>F32A6.10</v>
      </c>
      <c r="F1123" t="s">
        <v>481</v>
      </c>
      <c r="H1123" s="12">
        <v>4.4368407117627902</v>
      </c>
      <c r="I1123" s="11">
        <v>0.43709475933309699</v>
      </c>
      <c r="J1123" s="10">
        <v>0.66204262779770495</v>
      </c>
      <c r="K1123" s="29">
        <v>0.98289565623980701</v>
      </c>
    </row>
    <row r="1124" spans="1:11" x14ac:dyDescent="0.35">
      <c r="A1124" s="9" t="str">
        <f>HYPERLINK("http://www.ensembl.org/id/WBGene00201303", "WBGene00201303")</f>
        <v>WBGene00201303</v>
      </c>
      <c r="B1124" s="9"/>
      <c r="C1124" s="9"/>
      <c r="D1124" t="str">
        <f>"F33A8.11"</f>
        <v>F33A8.11</v>
      </c>
      <c r="F1124" t="s">
        <v>481</v>
      </c>
      <c r="H1124" s="12">
        <v>4.4368407117627902</v>
      </c>
      <c r="I1124" s="11">
        <v>0.43709475933309699</v>
      </c>
      <c r="J1124" s="10">
        <v>0.66204262779770495</v>
      </c>
      <c r="K1124" s="29">
        <v>0.98289565623980701</v>
      </c>
    </row>
    <row r="1125" spans="1:11" x14ac:dyDescent="0.35">
      <c r="A1125" s="9" t="str">
        <f>HYPERLINK("http://www.ensembl.org/id/WBGene00009402", "WBGene00009402")</f>
        <v>WBGene00009402</v>
      </c>
      <c r="B1125" s="9" t="str">
        <f>HYPERLINK("http://www.ncbi.nlm.nih.gov/gene/174324", "174324")</f>
        <v>174324</v>
      </c>
      <c r="C1125" s="9"/>
      <c r="D1125" t="str">
        <f>"F35C11.3"</f>
        <v>F35C11.3</v>
      </c>
      <c r="F1125" t="s">
        <v>11</v>
      </c>
      <c r="G1125" t="s">
        <v>1763</v>
      </c>
      <c r="H1125" s="12">
        <v>4.4368407117627902</v>
      </c>
      <c r="I1125" s="11">
        <v>0.43709475933309699</v>
      </c>
      <c r="J1125" s="10">
        <v>0.66204262779770495</v>
      </c>
      <c r="K1125" s="29">
        <v>0.98289565623980701</v>
      </c>
    </row>
    <row r="1126" spans="1:11" x14ac:dyDescent="0.35">
      <c r="A1126" s="9" t="str">
        <f>HYPERLINK("http://www.ensembl.org/id/WBGene00009391", "WBGene00009391")</f>
        <v>WBGene00009391</v>
      </c>
      <c r="B1126" s="9" t="str">
        <f>HYPERLINK("http://www.ncbi.nlm.nih.gov/gene/174925", "174925")</f>
        <v>174925</v>
      </c>
      <c r="C1126" s="9"/>
      <c r="D1126" t="str">
        <f>"F35C5.3"</f>
        <v>F35C5.3</v>
      </c>
      <c r="F1126" t="s">
        <v>11</v>
      </c>
      <c r="H1126" s="12">
        <v>4.4368407117627902</v>
      </c>
      <c r="I1126" s="11">
        <v>0.43709475933309699</v>
      </c>
      <c r="J1126" s="10">
        <v>0.66204262779770495</v>
      </c>
      <c r="K1126" s="29">
        <v>0.98289565623980701</v>
      </c>
    </row>
    <row r="1127" spans="1:11" x14ac:dyDescent="0.35">
      <c r="A1127" s="9" t="str">
        <f>HYPERLINK("http://www.ensembl.org/id/WBGene00009418", "WBGene00009418")</f>
        <v>WBGene00009418</v>
      </c>
      <c r="B1127" s="9" t="str">
        <f>HYPERLINK("http://www.ncbi.nlm.nih.gov/gene/185293", "185293")</f>
        <v>185293</v>
      </c>
      <c r="C1127" s="9"/>
      <c r="D1127" t="str">
        <f>"F35E8.2"</f>
        <v>F35E8.2</v>
      </c>
      <c r="F1127" t="s">
        <v>11</v>
      </c>
      <c r="H1127" s="12">
        <v>4.4368407117627902</v>
      </c>
      <c r="I1127" s="11">
        <v>0.43709475933309699</v>
      </c>
      <c r="J1127" s="10">
        <v>0.66204262779770495</v>
      </c>
      <c r="K1127" s="29">
        <v>0.98289565623980701</v>
      </c>
    </row>
    <row r="1128" spans="1:11" x14ac:dyDescent="0.35">
      <c r="A1128" s="9" t="str">
        <f>HYPERLINK("http://www.ensembl.org/id/WBGene00077524", "WBGene00077524")</f>
        <v>WBGene00077524</v>
      </c>
      <c r="B1128" s="9"/>
      <c r="C1128" s="9"/>
      <c r="D1128" t="str">
        <f>"F36D1.11"</f>
        <v>F36D1.11</v>
      </c>
      <c r="F1128" t="s">
        <v>80</v>
      </c>
      <c r="H1128" s="12">
        <v>4.4368407117627902</v>
      </c>
      <c r="I1128" s="11">
        <v>0.43709475933309699</v>
      </c>
      <c r="J1128" s="10">
        <v>0.66204262779770495</v>
      </c>
      <c r="K1128" s="29">
        <v>0.98289565623980701</v>
      </c>
    </row>
    <row r="1129" spans="1:11" x14ac:dyDescent="0.35">
      <c r="A1129" s="9" t="str">
        <f>HYPERLINK("http://www.ensembl.org/id/WBGene00195621", "WBGene00195621")</f>
        <v>WBGene00195621</v>
      </c>
      <c r="B1129" s="9"/>
      <c r="C1129" s="9"/>
      <c r="D1129" t="str">
        <f>"F43H9.5"</f>
        <v>F43H9.5</v>
      </c>
      <c r="F1129" t="s">
        <v>481</v>
      </c>
      <c r="H1129" s="12">
        <v>4.4368407117627902</v>
      </c>
      <c r="I1129" s="11">
        <v>0.43709475933309699</v>
      </c>
      <c r="J1129" s="10">
        <v>0.66204262779770495</v>
      </c>
      <c r="K1129" s="29">
        <v>0.98289565623980701</v>
      </c>
    </row>
    <row r="1130" spans="1:11" x14ac:dyDescent="0.35">
      <c r="A1130" s="9" t="str">
        <f>HYPERLINK("http://www.ensembl.org/id/WBGene00009756", "WBGene00009756")</f>
        <v>WBGene00009756</v>
      </c>
      <c r="B1130" s="9" t="str">
        <f>HYPERLINK("http://www.ncbi.nlm.nih.gov/gene/185829", "185829")</f>
        <v>185829</v>
      </c>
      <c r="C1130" s="9"/>
      <c r="D1130" t="str">
        <f>"F46B3.1"</f>
        <v>F46B3.1</v>
      </c>
      <c r="F1130" t="s">
        <v>11</v>
      </c>
      <c r="H1130" s="12">
        <v>4.4368407117627902</v>
      </c>
      <c r="I1130" s="11">
        <v>0.43709475933309699</v>
      </c>
      <c r="J1130" s="10">
        <v>0.66204262779770495</v>
      </c>
      <c r="K1130" s="29">
        <v>0.98289565623980701</v>
      </c>
    </row>
    <row r="1131" spans="1:11" x14ac:dyDescent="0.35">
      <c r="A1131" s="9" t="str">
        <f>HYPERLINK("http://www.ensembl.org/id/WBGene00201082", "WBGene00201082")</f>
        <v>WBGene00201082</v>
      </c>
      <c r="B1131" s="9"/>
      <c r="C1131" s="9"/>
      <c r="D1131" t="str">
        <f>"F47C8.7"</f>
        <v>F47C8.7</v>
      </c>
      <c r="F1131" t="s">
        <v>481</v>
      </c>
      <c r="H1131" s="12">
        <v>4.4368407117627902</v>
      </c>
      <c r="I1131" s="11">
        <v>0.43709475933309699</v>
      </c>
      <c r="J1131" s="10">
        <v>0.66204262779770495</v>
      </c>
      <c r="K1131" s="29">
        <v>0.98289565623980701</v>
      </c>
    </row>
    <row r="1132" spans="1:11" x14ac:dyDescent="0.35">
      <c r="A1132" s="9" t="str">
        <f>HYPERLINK("http://www.ensembl.org/id/WBGene00009866", "WBGene00009866")</f>
        <v>WBGene00009866</v>
      </c>
      <c r="B1132" s="9" t="str">
        <f>HYPERLINK("http://www.ncbi.nlm.nih.gov/gene/186014", "186014")</f>
        <v>186014</v>
      </c>
      <c r="C1132" s="9"/>
      <c r="D1132" t="str">
        <f>"F49C5.3"</f>
        <v>F49C5.3</v>
      </c>
      <c r="F1132" t="s">
        <v>11</v>
      </c>
      <c r="H1132" s="12">
        <v>4.4368407117627902</v>
      </c>
      <c r="I1132" s="11">
        <v>0.43709475933309699</v>
      </c>
      <c r="J1132" s="10">
        <v>0.66204262779770495</v>
      </c>
      <c r="K1132" s="29">
        <v>0.98289565623980701</v>
      </c>
    </row>
    <row r="1133" spans="1:11" x14ac:dyDescent="0.35">
      <c r="A1133" s="9" t="str">
        <f>HYPERLINK("http://www.ensembl.org/id/WBGene00010129", "WBGene00010129")</f>
        <v>WBGene00010129</v>
      </c>
      <c r="B1133" s="9" t="str">
        <f>HYPERLINK("http://www.ncbi.nlm.nih.gov/gene/186342", "186342")</f>
        <v>186342</v>
      </c>
      <c r="C1133" s="9"/>
      <c r="D1133" t="str">
        <f>"F55G11.10"</f>
        <v>F55G11.10</v>
      </c>
      <c r="F1133" t="s">
        <v>11</v>
      </c>
      <c r="H1133" s="12">
        <v>4.4368407117627902</v>
      </c>
      <c r="I1133" s="11">
        <v>0.43709475933309699</v>
      </c>
      <c r="J1133" s="10">
        <v>0.66204262779770495</v>
      </c>
      <c r="K1133" s="29">
        <v>0.98289565623980701</v>
      </c>
    </row>
    <row r="1134" spans="1:11" x14ac:dyDescent="0.35">
      <c r="A1134" s="9" t="str">
        <f>HYPERLINK("http://www.ensembl.org/id/WBGene00201840", "WBGene00201840")</f>
        <v>WBGene00201840</v>
      </c>
      <c r="B1134" s="9"/>
      <c r="C1134" s="9"/>
      <c r="D1134" t="str">
        <f>"F57C7.14"</f>
        <v>F57C7.14</v>
      </c>
      <c r="F1134" t="s">
        <v>481</v>
      </c>
      <c r="H1134" s="12">
        <v>4.4368407117627902</v>
      </c>
      <c r="I1134" s="11">
        <v>0.43709475933309699</v>
      </c>
      <c r="J1134" s="10">
        <v>0.66204262779770495</v>
      </c>
      <c r="K1134" s="29">
        <v>0.98289565623980701</v>
      </c>
    </row>
    <row r="1135" spans="1:11" x14ac:dyDescent="0.35">
      <c r="A1135" s="9" t="str">
        <f>HYPERLINK("http://www.ensembl.org/id/WBGene00077581", "WBGene00077581")</f>
        <v>WBGene00077581</v>
      </c>
      <c r="B1135" s="9"/>
      <c r="C1135" s="9"/>
      <c r="D1135" t="str">
        <f>"H12D21.16"</f>
        <v>H12D21.16</v>
      </c>
      <c r="F1135" t="s">
        <v>80</v>
      </c>
      <c r="H1135" s="12">
        <v>4.4368407117627902</v>
      </c>
      <c r="I1135" s="11">
        <v>0.43709475933309699</v>
      </c>
      <c r="J1135" s="10">
        <v>0.66204262779770495</v>
      </c>
      <c r="K1135" s="29">
        <v>0.98289565623980701</v>
      </c>
    </row>
    <row r="1136" spans="1:11" x14ac:dyDescent="0.35">
      <c r="A1136" s="9" t="str">
        <f>HYPERLINK("http://www.ensembl.org/id/WBGene00200712", "WBGene00200712")</f>
        <v>WBGene00200712</v>
      </c>
      <c r="B1136" s="9"/>
      <c r="C1136" s="9"/>
      <c r="D1136" t="str">
        <f>"H24G06.3"</f>
        <v>H24G06.3</v>
      </c>
      <c r="F1136" t="s">
        <v>481</v>
      </c>
      <c r="H1136" s="12">
        <v>4.4368407117627902</v>
      </c>
      <c r="I1136" s="11">
        <v>0.43709475933309699</v>
      </c>
      <c r="J1136" s="10">
        <v>0.66204262779770495</v>
      </c>
      <c r="K1136" s="29">
        <v>0.98289565623980701</v>
      </c>
    </row>
    <row r="1137" spans="1:11" x14ac:dyDescent="0.35">
      <c r="A1137" s="9" t="str">
        <f>HYPERLINK("http://www.ensembl.org/id/WBGene00200637", "WBGene00200637")</f>
        <v>WBGene00200637</v>
      </c>
      <c r="B1137" s="9"/>
      <c r="C1137" s="9"/>
      <c r="D1137" t="str">
        <f>"K01A2.15"</f>
        <v>K01A2.15</v>
      </c>
      <c r="F1137" t="s">
        <v>481</v>
      </c>
      <c r="H1137" s="12">
        <v>4.4368407117627902</v>
      </c>
      <c r="I1137" s="11">
        <v>0.43709475933309699</v>
      </c>
      <c r="J1137" s="10">
        <v>0.66204262779770495</v>
      </c>
      <c r="K1137" s="29">
        <v>0.98289565623980701</v>
      </c>
    </row>
    <row r="1138" spans="1:11" x14ac:dyDescent="0.35">
      <c r="A1138" s="9" t="str">
        <f>HYPERLINK("http://www.ensembl.org/id/WBGene00019502", "WBGene00019502")</f>
        <v>WBGene00019502</v>
      </c>
      <c r="B1138" s="9" t="str">
        <f>HYPERLINK("http://www.ncbi.nlm.nih.gov/gene/187124", "187124")</f>
        <v>187124</v>
      </c>
      <c r="C1138" s="9"/>
      <c r="D1138" t="str">
        <f>"K07G6.1"</f>
        <v>K07G6.1</v>
      </c>
      <c r="F1138" t="s">
        <v>11</v>
      </c>
      <c r="H1138" s="12">
        <v>4.4368407117627902</v>
      </c>
      <c r="I1138" s="11">
        <v>0.43709475933309699</v>
      </c>
      <c r="J1138" s="10">
        <v>0.66204262779770495</v>
      </c>
      <c r="K1138" s="29">
        <v>0.98289565623980701</v>
      </c>
    </row>
    <row r="1139" spans="1:11" x14ac:dyDescent="0.35">
      <c r="A1139" s="9" t="str">
        <f>HYPERLINK("http://www.ensembl.org/id/WBGene00269424", "WBGene00269424")</f>
        <v>WBGene00269424</v>
      </c>
      <c r="B1139" s="9" t="str">
        <f>HYPERLINK("http://www.ncbi.nlm.nih.gov/gene/28661652", "28661652")</f>
        <v>28661652</v>
      </c>
      <c r="C1139" s="9"/>
      <c r="D1139" t="str">
        <f>"K09D9.14"</f>
        <v>K09D9.14</v>
      </c>
      <c r="F1139" t="s">
        <v>11</v>
      </c>
      <c r="G1139" t="s">
        <v>25</v>
      </c>
      <c r="H1139" s="12">
        <v>4.4368407117627902</v>
      </c>
      <c r="I1139" s="11">
        <v>0.43709475933309699</v>
      </c>
      <c r="J1139" s="10">
        <v>0.66204262779770495</v>
      </c>
      <c r="K1139" s="29">
        <v>0.98289565623980701</v>
      </c>
    </row>
    <row r="1140" spans="1:11" x14ac:dyDescent="0.35">
      <c r="A1140" s="9" t="str">
        <f>HYPERLINK("http://www.ensembl.org/id/WBGene00201309", "WBGene00201309")</f>
        <v>WBGene00201309</v>
      </c>
      <c r="B1140" s="9"/>
      <c r="C1140" s="9"/>
      <c r="D1140" t="str">
        <f>"K10D6.22"</f>
        <v>K10D6.22</v>
      </c>
      <c r="F1140" t="s">
        <v>481</v>
      </c>
      <c r="H1140" s="12">
        <v>4.4368407117627902</v>
      </c>
      <c r="I1140" s="11">
        <v>0.43709475933309699</v>
      </c>
      <c r="J1140" s="10">
        <v>0.66204262779770495</v>
      </c>
      <c r="K1140" s="29">
        <v>0.98289565623980701</v>
      </c>
    </row>
    <row r="1141" spans="1:11" x14ac:dyDescent="0.35">
      <c r="A1141" s="9" t="str">
        <f>HYPERLINK("http://www.ensembl.org/id/WBGene00010761", "WBGene00010761")</f>
        <v>WBGene00010761</v>
      </c>
      <c r="B1141" s="9" t="str">
        <f>HYPERLINK("http://www.ncbi.nlm.nih.gov/gene/187284", "187284")</f>
        <v>187284</v>
      </c>
      <c r="C1141" s="9"/>
      <c r="D1141" t="str">
        <f>"K10H10.5"</f>
        <v>K10H10.5</v>
      </c>
      <c r="F1141" t="s">
        <v>11</v>
      </c>
      <c r="G1141" t="s">
        <v>25</v>
      </c>
      <c r="H1141" s="12">
        <v>4.4368407117627902</v>
      </c>
      <c r="I1141" s="11">
        <v>0.43709475933309699</v>
      </c>
      <c r="J1141" s="10">
        <v>0.66204262779770495</v>
      </c>
      <c r="K1141" s="29">
        <v>0.98289565623980701</v>
      </c>
    </row>
    <row r="1142" spans="1:11" x14ac:dyDescent="0.35">
      <c r="A1142" s="9" t="str">
        <f>HYPERLINK("http://www.ensembl.org/id/WBGene00201654", "WBGene00201654")</f>
        <v>WBGene00201654</v>
      </c>
      <c r="B1142" s="9"/>
      <c r="C1142" s="9"/>
      <c r="D1142" t="str">
        <f>"K11C4.12"</f>
        <v>K11C4.12</v>
      </c>
      <c r="F1142" t="s">
        <v>481</v>
      </c>
      <c r="H1142" s="12">
        <v>4.4368407117627902</v>
      </c>
      <c r="I1142" s="11">
        <v>0.43709475933309699</v>
      </c>
      <c r="J1142" s="10">
        <v>0.66204262779770495</v>
      </c>
      <c r="K1142" s="29">
        <v>0.98289565623980701</v>
      </c>
    </row>
    <row r="1143" spans="1:11" x14ac:dyDescent="0.35">
      <c r="A1143" s="9" t="str">
        <f>HYPERLINK("http://www.ensembl.org/id/WBGene00219654", "WBGene00219654")</f>
        <v>WBGene00219654</v>
      </c>
      <c r="B1143" s="9"/>
      <c r="C1143" s="9"/>
      <c r="D1143" t="str">
        <f>"linc-156"</f>
        <v>linc-156</v>
      </c>
      <c r="F1143" t="s">
        <v>1510</v>
      </c>
      <c r="H1143" s="12">
        <v>4.4368407117627902</v>
      </c>
      <c r="I1143" s="11">
        <v>0.43709475933309699</v>
      </c>
      <c r="J1143" s="10">
        <v>0.66204262779770495</v>
      </c>
      <c r="K1143" s="29">
        <v>0.98289565623980701</v>
      </c>
    </row>
    <row r="1144" spans="1:11" x14ac:dyDescent="0.35">
      <c r="A1144" s="9" t="str">
        <f>HYPERLINK("http://www.ensembl.org/id/WBGene00010819", "WBGene00010819")</f>
        <v>WBGene00010819</v>
      </c>
      <c r="B1144" s="9" t="str">
        <f>HYPERLINK("http://www.ncbi.nlm.nih.gov/gene/187382", "187382")</f>
        <v>187382</v>
      </c>
      <c r="C1144" s="9"/>
      <c r="D1144" t="str">
        <f>"M01G12.5"</f>
        <v>M01G12.5</v>
      </c>
      <c r="F1144" t="s">
        <v>11</v>
      </c>
      <c r="H1144" s="12">
        <v>4.4368407117627902</v>
      </c>
      <c r="I1144" s="11">
        <v>0.43709475933309699</v>
      </c>
      <c r="J1144" s="10">
        <v>0.66204262779770495</v>
      </c>
      <c r="K1144" s="29">
        <v>0.98289565623980701</v>
      </c>
    </row>
    <row r="1145" spans="1:11" x14ac:dyDescent="0.35">
      <c r="A1145" s="9" t="str">
        <f>HYPERLINK("http://www.ensembl.org/id/WBGene00219230", "WBGene00219230")</f>
        <v>WBGene00219230</v>
      </c>
      <c r="B1145" s="9"/>
      <c r="C1145" s="9"/>
      <c r="D1145" t="str">
        <f>"mir-4935"</f>
        <v>mir-4935</v>
      </c>
      <c r="F1145" t="s">
        <v>1486</v>
      </c>
      <c r="H1145" s="12">
        <v>4.4368407117627902</v>
      </c>
      <c r="I1145" s="11">
        <v>0.43709475933309699</v>
      </c>
      <c r="J1145" s="10">
        <v>0.66204262779770495</v>
      </c>
      <c r="K1145" s="29">
        <v>0.98289565623980701</v>
      </c>
    </row>
    <row r="1146" spans="1:11" x14ac:dyDescent="0.35">
      <c r="A1146" s="9" t="str">
        <f>HYPERLINK("http://www.ensembl.org/id/WBGene00008474", "WBGene00008474")</f>
        <v>WBGene00008474</v>
      </c>
      <c r="B1146" s="9" t="str">
        <f>HYPERLINK("http://www.ncbi.nlm.nih.gov/gene/184021", "184021")</f>
        <v>184021</v>
      </c>
      <c r="C1146" s="9"/>
      <c r="D1146" t="str">
        <f>"nhr-174"</f>
        <v>nhr-174</v>
      </c>
      <c r="E1146" t="s">
        <v>4279</v>
      </c>
      <c r="F1146" t="s">
        <v>11</v>
      </c>
      <c r="G1146" t="s">
        <v>852</v>
      </c>
      <c r="H1146" s="12">
        <v>4.4368407117627902</v>
      </c>
      <c r="I1146" s="11">
        <v>0.43709475933309699</v>
      </c>
      <c r="J1146" s="10">
        <v>0.66204262779770495</v>
      </c>
      <c r="K1146" s="29">
        <v>0.98289565623980701</v>
      </c>
    </row>
    <row r="1147" spans="1:11" x14ac:dyDescent="0.35">
      <c r="A1147" s="9" t="str">
        <f>HYPERLINK("http://www.ensembl.org/id/WBGene00014483", "WBGene00014483")</f>
        <v>WBGene00014483</v>
      </c>
      <c r="B1147" s="9"/>
      <c r="C1147" s="9"/>
      <c r="D1147" t="str">
        <f>"R05D7.6"</f>
        <v>R05D7.6</v>
      </c>
      <c r="F1147" t="s">
        <v>4205</v>
      </c>
      <c r="H1147" s="12">
        <v>4.4368407117627902</v>
      </c>
      <c r="I1147" s="11">
        <v>0.43709475933309699</v>
      </c>
      <c r="J1147" s="10">
        <v>0.66204262779770495</v>
      </c>
      <c r="K1147" s="29">
        <v>0.98289565623980701</v>
      </c>
    </row>
    <row r="1148" spans="1:11" x14ac:dyDescent="0.35">
      <c r="A1148" s="9" t="str">
        <f>HYPERLINK("http://www.ensembl.org/id/WBGene00197300", "WBGene00197300")</f>
        <v>WBGene00197300</v>
      </c>
      <c r="B1148" s="9"/>
      <c r="C1148" s="9"/>
      <c r="D1148" t="str">
        <f>"R08B4.8"</f>
        <v>R08B4.8</v>
      </c>
      <c r="F1148" t="s">
        <v>481</v>
      </c>
      <c r="H1148" s="12">
        <v>4.4368407117627902</v>
      </c>
      <c r="I1148" s="11">
        <v>0.43709475933309699</v>
      </c>
      <c r="J1148" s="10">
        <v>0.66204262779770495</v>
      </c>
      <c r="K1148" s="29">
        <v>0.98289565623980701</v>
      </c>
    </row>
    <row r="1149" spans="1:11" x14ac:dyDescent="0.35">
      <c r="A1149" s="9" t="str">
        <f>HYPERLINK("http://www.ensembl.org/id/WBGene00202393", "WBGene00202393")</f>
        <v>WBGene00202393</v>
      </c>
      <c r="B1149" s="9"/>
      <c r="C1149" s="9"/>
      <c r="D1149" t="str">
        <f>"R11B5.12"</f>
        <v>R11B5.12</v>
      </c>
      <c r="F1149" t="s">
        <v>481</v>
      </c>
      <c r="H1149" s="12">
        <v>4.4368407117627902</v>
      </c>
      <c r="I1149" s="11">
        <v>0.43709475933309699</v>
      </c>
      <c r="J1149" s="10">
        <v>0.66204262779770495</v>
      </c>
      <c r="K1149" s="29">
        <v>0.98289565623980701</v>
      </c>
    </row>
    <row r="1150" spans="1:11" x14ac:dyDescent="0.35">
      <c r="A1150" s="9" t="str">
        <f>HYPERLINK("http://www.ensembl.org/id/WBGene00200473", "WBGene00200473")</f>
        <v>WBGene00200473</v>
      </c>
      <c r="B1150" s="9"/>
      <c r="C1150" s="9"/>
      <c r="D1150" t="str">
        <f>"R12G8.4"</f>
        <v>R12G8.4</v>
      </c>
      <c r="F1150" t="s">
        <v>481</v>
      </c>
      <c r="H1150" s="12">
        <v>4.4368407117627902</v>
      </c>
      <c r="I1150" s="11">
        <v>0.43709475933309699</v>
      </c>
      <c r="J1150" s="10">
        <v>0.66204262779770495</v>
      </c>
      <c r="K1150" s="29">
        <v>0.98289565623980701</v>
      </c>
    </row>
    <row r="1151" spans="1:11" x14ac:dyDescent="0.35">
      <c r="A1151" s="9" t="str">
        <f>HYPERLINK("http://www.ensembl.org/id/WBGene00009217", "WBGene00009217")</f>
        <v>WBGene00009217</v>
      </c>
      <c r="B1151" s="9" t="str">
        <f>HYPERLINK("http://www.ncbi.nlm.nih.gov/gene/185063", "185063")</f>
        <v>185063</v>
      </c>
      <c r="C1151" s="9"/>
      <c r="D1151" t="str">
        <f>"spe-45"</f>
        <v>spe-45</v>
      </c>
      <c r="F1151" t="s">
        <v>11</v>
      </c>
      <c r="G1151" t="s">
        <v>25</v>
      </c>
      <c r="H1151" s="12">
        <v>4.4368407117627902</v>
      </c>
      <c r="I1151" s="11">
        <v>0.43709475933309699</v>
      </c>
      <c r="J1151" s="10">
        <v>0.66204262779770495</v>
      </c>
      <c r="K1151" s="29">
        <v>0.98289565623980701</v>
      </c>
    </row>
    <row r="1152" spans="1:11" x14ac:dyDescent="0.35">
      <c r="A1152" s="9" t="str">
        <f>HYPERLINK("http://www.ensembl.org/id/WBGene00016338", "WBGene00016338")</f>
        <v>WBGene00016338</v>
      </c>
      <c r="B1152" s="9"/>
      <c r="C1152" s="9"/>
      <c r="D1152" t="str">
        <f>"srb-14"</f>
        <v>srb-14</v>
      </c>
      <c r="F1152" t="s">
        <v>80</v>
      </c>
      <c r="H1152" s="12">
        <v>4.4368407117627902</v>
      </c>
      <c r="I1152" s="11">
        <v>0.43709475933309699</v>
      </c>
      <c r="J1152" s="10">
        <v>0.66204262779770495</v>
      </c>
      <c r="K1152" s="29">
        <v>0.98289565623980701</v>
      </c>
    </row>
    <row r="1153" spans="1:11" x14ac:dyDescent="0.35">
      <c r="A1153" s="9" t="str">
        <f>HYPERLINK("http://www.ensembl.org/id/WBGene00018053", "WBGene00018053")</f>
        <v>WBGene00018053</v>
      </c>
      <c r="B1153" s="9" t="str">
        <f>HYPERLINK("http://www.ncbi.nlm.nih.gov/gene/185309", "185309")</f>
        <v>185309</v>
      </c>
      <c r="C1153" s="9"/>
      <c r="D1153" t="str">
        <f>"srbc-3"</f>
        <v>srbc-3</v>
      </c>
      <c r="E1153" t="s">
        <v>3034</v>
      </c>
      <c r="F1153" t="s">
        <v>11</v>
      </c>
      <c r="G1153" t="s">
        <v>25</v>
      </c>
      <c r="H1153" s="12">
        <v>4.4368407117627902</v>
      </c>
      <c r="I1153" s="11">
        <v>0.43709475933309699</v>
      </c>
      <c r="J1153" s="10">
        <v>0.66204262779770495</v>
      </c>
      <c r="K1153" s="29">
        <v>0.98289565623980701</v>
      </c>
    </row>
    <row r="1154" spans="1:11" x14ac:dyDescent="0.35">
      <c r="A1154" s="9" t="str">
        <f>HYPERLINK("http://www.ensembl.org/id/WBGene00017935", "WBGene00017935")</f>
        <v>WBGene00017935</v>
      </c>
      <c r="B1154" s="9" t="str">
        <f>HYPERLINK("http://www.ncbi.nlm.nih.gov/gene/185128", "185128")</f>
        <v>185128</v>
      </c>
      <c r="C1154" s="9"/>
      <c r="D1154" t="str">
        <f>"srbc-70"</f>
        <v>srbc-70</v>
      </c>
      <c r="E1154" t="s">
        <v>3034</v>
      </c>
      <c r="F1154" t="s">
        <v>11</v>
      </c>
      <c r="G1154" t="s">
        <v>25</v>
      </c>
      <c r="H1154" s="12">
        <v>4.4368407117627902</v>
      </c>
      <c r="I1154" s="11">
        <v>0.43709475933309699</v>
      </c>
      <c r="J1154" s="10">
        <v>0.66204262779770495</v>
      </c>
      <c r="K1154" s="29">
        <v>0.98289565623980701</v>
      </c>
    </row>
    <row r="1155" spans="1:11" x14ac:dyDescent="0.35">
      <c r="A1155" s="9" t="str">
        <f>HYPERLINK("http://www.ensembl.org/id/WBGene00005132", "WBGene00005132")</f>
        <v>WBGene00005132</v>
      </c>
      <c r="B1155" s="9" t="str">
        <f>HYPERLINK("http://www.ncbi.nlm.nih.gov/gene/13185759", "13185759")</f>
        <v>13185759</v>
      </c>
      <c r="C1155" s="9"/>
      <c r="D1155" t="str">
        <f>"srd-54"</f>
        <v>srd-54</v>
      </c>
      <c r="E1155" t="s">
        <v>1513</v>
      </c>
      <c r="F1155" t="s">
        <v>11</v>
      </c>
      <c r="G1155" t="s">
        <v>25</v>
      </c>
      <c r="H1155" s="12">
        <v>4.4368407117627902</v>
      </c>
      <c r="I1155" s="11">
        <v>0.43709475933309699</v>
      </c>
      <c r="J1155" s="10">
        <v>0.66204262779770495</v>
      </c>
      <c r="K1155" s="29">
        <v>0.98289565623980701</v>
      </c>
    </row>
    <row r="1156" spans="1:11" x14ac:dyDescent="0.35">
      <c r="A1156" s="9" t="str">
        <f>HYPERLINK("http://www.ensembl.org/id/WBGene00005323", "WBGene00005323")</f>
        <v>WBGene00005323</v>
      </c>
      <c r="B1156" s="9" t="str">
        <f>HYPERLINK("http://www.ncbi.nlm.nih.gov/gene/353478", "353478")</f>
        <v>353478</v>
      </c>
      <c r="C1156" s="9"/>
      <c r="D1156" t="str">
        <f>"srh-104"</f>
        <v>srh-104</v>
      </c>
      <c r="E1156" t="s">
        <v>153</v>
      </c>
      <c r="F1156" t="s">
        <v>11</v>
      </c>
      <c r="G1156" t="s">
        <v>25</v>
      </c>
      <c r="H1156" s="12">
        <v>4.4368407117627902</v>
      </c>
      <c r="I1156" s="11">
        <v>0.43709475933309699</v>
      </c>
      <c r="J1156" s="10">
        <v>0.66204262779770495</v>
      </c>
      <c r="K1156" s="29">
        <v>0.98289565623980701</v>
      </c>
    </row>
    <row r="1157" spans="1:11" x14ac:dyDescent="0.35">
      <c r="A1157" s="9" t="str">
        <f>HYPERLINK("http://www.ensembl.org/id/WBGene00005351", "WBGene00005351")</f>
        <v>WBGene00005351</v>
      </c>
      <c r="B1157" s="9" t="str">
        <f>HYPERLINK("http://www.ncbi.nlm.nih.gov/gene/190392", "190392")</f>
        <v>190392</v>
      </c>
      <c r="C1157" s="9"/>
      <c r="D1157" t="str">
        <f>"srh-134"</f>
        <v>srh-134</v>
      </c>
      <c r="E1157" t="s">
        <v>153</v>
      </c>
      <c r="F1157" t="s">
        <v>11</v>
      </c>
      <c r="G1157" t="s">
        <v>25</v>
      </c>
      <c r="H1157" s="12">
        <v>4.4368407117627902</v>
      </c>
      <c r="I1157" s="11">
        <v>0.43709475933309699</v>
      </c>
      <c r="J1157" s="10">
        <v>0.66204262779770495</v>
      </c>
      <c r="K1157" s="29">
        <v>0.98289565623980701</v>
      </c>
    </row>
    <row r="1158" spans="1:11" x14ac:dyDescent="0.35">
      <c r="A1158" s="9" t="str">
        <f>HYPERLINK("http://www.ensembl.org/id/WBGene00005360", "WBGene00005360")</f>
        <v>WBGene00005360</v>
      </c>
      <c r="B1158" s="9"/>
      <c r="C1158" s="9"/>
      <c r="D1158" t="str">
        <f>"srh-144"</f>
        <v>srh-144</v>
      </c>
      <c r="F1158" t="s">
        <v>80</v>
      </c>
      <c r="H1158" s="12">
        <v>4.4368407117627902</v>
      </c>
      <c r="I1158" s="11">
        <v>0.43709475933309699</v>
      </c>
      <c r="J1158" s="10">
        <v>0.66204262779770495</v>
      </c>
      <c r="K1158" s="29">
        <v>0.98289565623980701</v>
      </c>
    </row>
    <row r="1159" spans="1:11" x14ac:dyDescent="0.35">
      <c r="A1159" s="9" t="str">
        <f>HYPERLINK("http://www.ensembl.org/id/WBGene00005375", "WBGene00005375")</f>
        <v>WBGene00005375</v>
      </c>
      <c r="B1159" s="9" t="str">
        <f>HYPERLINK("http://www.ncbi.nlm.nih.gov/gene/185521", "185521")</f>
        <v>185521</v>
      </c>
      <c r="C1159" s="9"/>
      <c r="D1159" t="str">
        <f>"srh-159"</f>
        <v>srh-159</v>
      </c>
      <c r="E1159" t="s">
        <v>153</v>
      </c>
      <c r="F1159" t="s">
        <v>11</v>
      </c>
      <c r="G1159" t="s">
        <v>25</v>
      </c>
      <c r="H1159" s="12">
        <v>4.4368407117627902</v>
      </c>
      <c r="I1159" s="11">
        <v>0.43709475933309699</v>
      </c>
      <c r="J1159" s="10">
        <v>0.66204262779770495</v>
      </c>
      <c r="K1159" s="29">
        <v>0.98289565623980701</v>
      </c>
    </row>
    <row r="1160" spans="1:11" x14ac:dyDescent="0.35">
      <c r="A1160" s="9" t="str">
        <f>HYPERLINK("http://www.ensembl.org/id/WBGene00005401", "WBGene00005401")</f>
        <v>WBGene00005401</v>
      </c>
      <c r="B1160" s="9" t="str">
        <f>HYPERLINK("http://www.ncbi.nlm.nih.gov/gene/185366", "185366")</f>
        <v>185366</v>
      </c>
      <c r="C1160" s="9"/>
      <c r="D1160" t="str">
        <f>"srh-186"</f>
        <v>srh-186</v>
      </c>
      <c r="E1160" t="s">
        <v>153</v>
      </c>
      <c r="F1160" t="s">
        <v>11</v>
      </c>
      <c r="G1160" t="s">
        <v>25</v>
      </c>
      <c r="H1160" s="12">
        <v>4.4368407117627902</v>
      </c>
      <c r="I1160" s="11">
        <v>0.43709475933309699</v>
      </c>
      <c r="J1160" s="10">
        <v>0.66204262779770495</v>
      </c>
      <c r="K1160" s="29">
        <v>0.98289565623980701</v>
      </c>
    </row>
    <row r="1161" spans="1:11" x14ac:dyDescent="0.35">
      <c r="A1161" s="9" t="str">
        <f>HYPERLINK("http://www.ensembl.org/id/WBGene00005424", "WBGene00005424")</f>
        <v>WBGene00005424</v>
      </c>
      <c r="B1161" s="9" t="str">
        <f>HYPERLINK("http://www.ncbi.nlm.nih.gov/gene/188621", "188621")</f>
        <v>188621</v>
      </c>
      <c r="C1161" s="9"/>
      <c r="D1161" t="str">
        <f>"srh-214"</f>
        <v>srh-214</v>
      </c>
      <c r="E1161" t="s">
        <v>153</v>
      </c>
      <c r="F1161" t="s">
        <v>11</v>
      </c>
      <c r="G1161" t="s">
        <v>25</v>
      </c>
      <c r="H1161" s="12">
        <v>4.4368407117627902</v>
      </c>
      <c r="I1161" s="11">
        <v>0.43709475933309699</v>
      </c>
      <c r="J1161" s="10">
        <v>0.66204262779770495</v>
      </c>
      <c r="K1161" s="29">
        <v>0.98289565623980701</v>
      </c>
    </row>
    <row r="1162" spans="1:11" x14ac:dyDescent="0.35">
      <c r="A1162" s="9" t="str">
        <f>HYPERLINK("http://www.ensembl.org/id/WBGene00005247", "WBGene00005247")</f>
        <v>WBGene00005247</v>
      </c>
      <c r="B1162" s="9" t="str">
        <f>HYPERLINK("http://www.ncbi.nlm.nih.gov/gene/191848", "191848")</f>
        <v>191848</v>
      </c>
      <c r="C1162" s="9"/>
      <c r="D1162" t="str">
        <f>"srh-22"</f>
        <v>srh-22</v>
      </c>
      <c r="E1162" t="s">
        <v>153</v>
      </c>
      <c r="F1162" t="s">
        <v>11</v>
      </c>
      <c r="G1162" t="s">
        <v>25</v>
      </c>
      <c r="H1162" s="12">
        <v>4.4368407117627902</v>
      </c>
      <c r="I1162" s="11">
        <v>0.43709475933309699</v>
      </c>
      <c r="J1162" s="10">
        <v>0.66204262779770495</v>
      </c>
      <c r="K1162" s="29">
        <v>0.98289565623980701</v>
      </c>
    </row>
    <row r="1163" spans="1:11" x14ac:dyDescent="0.35">
      <c r="A1163" s="9" t="str">
        <f>HYPERLINK("http://www.ensembl.org/id/WBGene00005305", "WBGene00005305")</f>
        <v>WBGene00005305</v>
      </c>
      <c r="B1163" s="9"/>
      <c r="C1163" s="9"/>
      <c r="D1163" t="str">
        <f>"srh-84"</f>
        <v>srh-84</v>
      </c>
      <c r="F1163" t="s">
        <v>80</v>
      </c>
      <c r="H1163" s="12">
        <v>4.4368407117627902</v>
      </c>
      <c r="I1163" s="11">
        <v>0.43709475933309699</v>
      </c>
      <c r="J1163" s="10">
        <v>0.66204262779770495</v>
      </c>
      <c r="K1163" s="29">
        <v>0.98289565623980701</v>
      </c>
    </row>
    <row r="1164" spans="1:11" x14ac:dyDescent="0.35">
      <c r="A1164" s="9" t="str">
        <f>HYPERLINK("http://www.ensembl.org/id/WBGene00005537", "WBGene00005537")</f>
        <v>WBGene00005537</v>
      </c>
      <c r="B1164" s="9" t="str">
        <f>HYPERLINK("http://www.ncbi.nlm.nih.gov/gene/183386", "183386")</f>
        <v>183386</v>
      </c>
      <c r="C1164" s="9"/>
      <c r="D1164" t="str">
        <f>"sri-25"</f>
        <v>sri-25</v>
      </c>
      <c r="E1164" t="s">
        <v>1503</v>
      </c>
      <c r="F1164" t="s">
        <v>11</v>
      </c>
      <c r="G1164" t="s">
        <v>25</v>
      </c>
      <c r="H1164" s="12">
        <v>4.4368407117627902</v>
      </c>
      <c r="I1164" s="11">
        <v>0.43709475933309699</v>
      </c>
      <c r="J1164" s="10">
        <v>0.66204262779770495</v>
      </c>
      <c r="K1164" s="29">
        <v>0.98289565623980701</v>
      </c>
    </row>
    <row r="1165" spans="1:11" x14ac:dyDescent="0.35">
      <c r="A1165" s="9" t="str">
        <f>HYPERLINK("http://www.ensembl.org/id/WBGene00005521", "WBGene00005521")</f>
        <v>WBGene00005521</v>
      </c>
      <c r="B1165" s="9" t="str">
        <f>HYPERLINK("http://www.ncbi.nlm.nih.gov/gene/190852", "190852")</f>
        <v>190852</v>
      </c>
      <c r="C1165" s="9"/>
      <c r="D1165" t="str">
        <f>"sri-9"</f>
        <v>sri-9</v>
      </c>
      <c r="E1165" t="s">
        <v>1503</v>
      </c>
      <c r="F1165" t="s">
        <v>11</v>
      </c>
      <c r="G1165" t="s">
        <v>25</v>
      </c>
      <c r="H1165" s="12">
        <v>4.4368407117627902</v>
      </c>
      <c r="I1165" s="11">
        <v>0.43709475933309699</v>
      </c>
      <c r="J1165" s="10">
        <v>0.66204262779770495</v>
      </c>
      <c r="K1165" s="29">
        <v>0.98289565623980701</v>
      </c>
    </row>
    <row r="1166" spans="1:11" x14ac:dyDescent="0.35">
      <c r="A1166" s="9" t="str">
        <f>HYPERLINK("http://www.ensembl.org/id/WBGene00017845", "WBGene00017845")</f>
        <v>WBGene00017845</v>
      </c>
      <c r="B1166" s="9" t="str">
        <f>HYPERLINK("http://www.ncbi.nlm.nih.gov/gene/185000", "185000")</f>
        <v>185000</v>
      </c>
      <c r="C1166" s="9"/>
      <c r="D1166" t="str">
        <f>"srsx-9"</f>
        <v>srsx-9</v>
      </c>
      <c r="E1166" t="s">
        <v>1639</v>
      </c>
      <c r="F1166" t="s">
        <v>11</v>
      </c>
      <c r="G1166" t="s">
        <v>1089</v>
      </c>
      <c r="H1166" s="12">
        <v>4.4368407117627902</v>
      </c>
      <c r="I1166" s="11">
        <v>0.43709475933309699</v>
      </c>
      <c r="J1166" s="10">
        <v>0.66204262779770495</v>
      </c>
      <c r="K1166" s="29">
        <v>0.98289565623980701</v>
      </c>
    </row>
    <row r="1167" spans="1:11" x14ac:dyDescent="0.35">
      <c r="A1167" s="9" t="str">
        <f>HYPERLINK("http://www.ensembl.org/id/WBGene00019850", "WBGene00019850")</f>
        <v>WBGene00019850</v>
      </c>
      <c r="B1167" s="9" t="str">
        <f>HYPERLINK("http://www.ncbi.nlm.nih.gov/gene/187550", "187550")</f>
        <v>187550</v>
      </c>
      <c r="C1167" s="9"/>
      <c r="D1167" t="str">
        <f>"srt-18"</f>
        <v>srt-18</v>
      </c>
      <c r="E1167" t="s">
        <v>2845</v>
      </c>
      <c r="F1167" t="s">
        <v>11</v>
      </c>
      <c r="G1167" t="s">
        <v>25</v>
      </c>
      <c r="H1167" s="12">
        <v>4.4368407117627902</v>
      </c>
      <c r="I1167" s="11">
        <v>0.43709475933309699</v>
      </c>
      <c r="J1167" s="10">
        <v>0.66204262779770495</v>
      </c>
      <c r="K1167" s="29">
        <v>0.98289565623980701</v>
      </c>
    </row>
    <row r="1168" spans="1:11" x14ac:dyDescent="0.35">
      <c r="A1168" s="9" t="str">
        <f>HYPERLINK("http://www.ensembl.org/id/WBGene00015068", "WBGene00015068")</f>
        <v>WBGene00015068</v>
      </c>
      <c r="B1168" s="9" t="str">
        <f>HYPERLINK("http://www.ncbi.nlm.nih.gov/gene/181867", "181867")</f>
        <v>181867</v>
      </c>
      <c r="C1168" s="9"/>
      <c r="D1168" t="str">
        <f>"srt-68"</f>
        <v>srt-68</v>
      </c>
      <c r="E1168" t="s">
        <v>2845</v>
      </c>
      <c r="F1168" t="s">
        <v>11</v>
      </c>
      <c r="G1168" t="s">
        <v>25</v>
      </c>
      <c r="H1168" s="12">
        <v>4.4368407117627902</v>
      </c>
      <c r="I1168" s="11">
        <v>0.43709475933309699</v>
      </c>
      <c r="J1168" s="10">
        <v>0.66204262779770495</v>
      </c>
      <c r="K1168" s="29">
        <v>0.98289565623980701</v>
      </c>
    </row>
    <row r="1169" spans="1:11" x14ac:dyDescent="0.35">
      <c r="A1169" s="9" t="str">
        <f>HYPERLINK("http://www.ensembl.org/id/WBGene00005705", "WBGene00005705")</f>
        <v>WBGene00005705</v>
      </c>
      <c r="B1169" s="9" t="str">
        <f>HYPERLINK("http://www.ncbi.nlm.nih.gov/gene/183829", "183829")</f>
        <v>183829</v>
      </c>
      <c r="C1169" s="9"/>
      <c r="D1169" t="str">
        <f>"sru-42"</f>
        <v>sru-42</v>
      </c>
      <c r="E1169" t="s">
        <v>2653</v>
      </c>
      <c r="F1169" t="s">
        <v>11</v>
      </c>
      <c r="G1169" t="s">
        <v>25</v>
      </c>
      <c r="H1169" s="12">
        <v>4.4368407117627902</v>
      </c>
      <c r="I1169" s="11">
        <v>0.43709475933309699</v>
      </c>
      <c r="J1169" s="10">
        <v>0.66204262779770495</v>
      </c>
      <c r="K1169" s="29">
        <v>0.98289565623980701</v>
      </c>
    </row>
    <row r="1170" spans="1:11" x14ac:dyDescent="0.35">
      <c r="A1170" s="9" t="str">
        <f>HYPERLINK("http://www.ensembl.org/id/WBGene00005747", "WBGene00005747")</f>
        <v>WBGene00005747</v>
      </c>
      <c r="B1170" s="9"/>
      <c r="C1170" s="9"/>
      <c r="D1170" t="str">
        <f>"srv-36"</f>
        <v>srv-36</v>
      </c>
      <c r="F1170" t="s">
        <v>80</v>
      </c>
      <c r="H1170" s="12">
        <v>4.4368407117627902</v>
      </c>
      <c r="I1170" s="11">
        <v>0.43709475933309699</v>
      </c>
      <c r="J1170" s="10">
        <v>0.66204262779770495</v>
      </c>
      <c r="K1170" s="29">
        <v>0.98289565623980701</v>
      </c>
    </row>
    <row r="1171" spans="1:11" x14ac:dyDescent="0.35">
      <c r="A1171" s="9" t="str">
        <f>HYPERLINK("http://www.ensembl.org/id/WBGene00005809", "WBGene00005809")</f>
        <v>WBGene00005809</v>
      </c>
      <c r="B1171" s="9" t="str">
        <f>HYPERLINK("http://www.ncbi.nlm.nih.gov/gene/13185919", "13185919")</f>
        <v>13185919</v>
      </c>
      <c r="C1171" s="9"/>
      <c r="D1171" t="str">
        <f>"srw-62"</f>
        <v>srw-62</v>
      </c>
      <c r="E1171" t="s">
        <v>1014</v>
      </c>
      <c r="F1171" t="s">
        <v>11</v>
      </c>
      <c r="G1171" t="s">
        <v>1015</v>
      </c>
      <c r="H1171" s="12">
        <v>4.4368407117627902</v>
      </c>
      <c r="I1171" s="11">
        <v>0.43709475933309699</v>
      </c>
      <c r="J1171" s="10">
        <v>0.66204262779770495</v>
      </c>
      <c r="K1171" s="29">
        <v>0.98289565623980701</v>
      </c>
    </row>
    <row r="1172" spans="1:11" x14ac:dyDescent="0.35">
      <c r="A1172" s="9" t="str">
        <f>HYPERLINK("http://www.ensembl.org/id/WBGene00006021", "WBGene00006021")</f>
        <v>WBGene00006021</v>
      </c>
      <c r="B1172" s="9" t="str">
        <f>HYPERLINK("http://www.ncbi.nlm.nih.gov/gene/184249", "184249")</f>
        <v>184249</v>
      </c>
      <c r="C1172" s="9"/>
      <c r="D1172" t="str">
        <f>"srx-130"</f>
        <v>srx-130</v>
      </c>
      <c r="E1172" t="s">
        <v>1477</v>
      </c>
      <c r="F1172" t="s">
        <v>11</v>
      </c>
      <c r="G1172" t="s">
        <v>25</v>
      </c>
      <c r="H1172" s="12">
        <v>4.4368407117627902</v>
      </c>
      <c r="I1172" s="11">
        <v>0.43709475933309699</v>
      </c>
      <c r="J1172" s="10">
        <v>0.66204262779770495</v>
      </c>
      <c r="K1172" s="29">
        <v>0.98289565623980701</v>
      </c>
    </row>
    <row r="1173" spans="1:11" x14ac:dyDescent="0.35">
      <c r="A1173" s="9" t="str">
        <f>HYPERLINK("http://www.ensembl.org/id/WBGene00005908", "WBGene00005908")</f>
        <v>WBGene00005908</v>
      </c>
      <c r="B1173" s="9" t="str">
        <f>HYPERLINK("http://www.ncbi.nlm.nih.gov/gene/186284", "186284")</f>
        <v>186284</v>
      </c>
      <c r="C1173" s="9"/>
      <c r="D1173" t="str">
        <f>"srx-17"</f>
        <v>srx-17</v>
      </c>
      <c r="E1173" t="s">
        <v>1477</v>
      </c>
      <c r="F1173" t="s">
        <v>11</v>
      </c>
      <c r="G1173" t="s">
        <v>25</v>
      </c>
      <c r="H1173" s="12">
        <v>4.4368407117627902</v>
      </c>
      <c r="I1173" s="11">
        <v>0.43709475933309699</v>
      </c>
      <c r="J1173" s="10">
        <v>0.66204262779770495</v>
      </c>
      <c r="K1173" s="29">
        <v>0.98289565623980701</v>
      </c>
    </row>
    <row r="1174" spans="1:11" x14ac:dyDescent="0.35">
      <c r="A1174" s="9" t="str">
        <f>HYPERLINK("http://www.ensembl.org/id/WBGene00005924", "WBGene00005924")</f>
        <v>WBGene00005924</v>
      </c>
      <c r="B1174" s="9" t="str">
        <f>HYPERLINK("http://www.ncbi.nlm.nih.gov/gene/187943", "187943")</f>
        <v>187943</v>
      </c>
      <c r="C1174" s="9"/>
      <c r="D1174" t="str">
        <f>"srx-33"</f>
        <v>srx-33</v>
      </c>
      <c r="E1174" t="s">
        <v>1477</v>
      </c>
      <c r="F1174" t="s">
        <v>11</v>
      </c>
      <c r="G1174" t="s">
        <v>25</v>
      </c>
      <c r="H1174" s="12">
        <v>4.4368407117627902</v>
      </c>
      <c r="I1174" s="11">
        <v>0.43709475933309699</v>
      </c>
      <c r="J1174" s="10">
        <v>0.66204262779770495</v>
      </c>
      <c r="K1174" s="29">
        <v>0.98289565623980701</v>
      </c>
    </row>
    <row r="1175" spans="1:11" x14ac:dyDescent="0.35">
      <c r="A1175" s="9" t="str">
        <f>HYPERLINK("http://www.ensembl.org/id/WBGene00005987", "WBGene00005987")</f>
        <v>WBGene00005987</v>
      </c>
      <c r="B1175" s="9" t="str">
        <f>HYPERLINK("http://www.ncbi.nlm.nih.gov/gene/187951", "187951")</f>
        <v>187951</v>
      </c>
      <c r="C1175" s="9"/>
      <c r="D1175" t="str">
        <f>"srx-96"</f>
        <v>srx-96</v>
      </c>
      <c r="E1175" t="s">
        <v>1477</v>
      </c>
      <c r="F1175" t="s">
        <v>11</v>
      </c>
      <c r="G1175" t="s">
        <v>25</v>
      </c>
      <c r="H1175" s="12">
        <v>4.4368407117627902</v>
      </c>
      <c r="I1175" s="11">
        <v>0.43709475933309699</v>
      </c>
      <c r="J1175" s="10">
        <v>0.66204262779770495</v>
      </c>
      <c r="K1175" s="29">
        <v>0.98289565623980701</v>
      </c>
    </row>
    <row r="1176" spans="1:11" x14ac:dyDescent="0.35">
      <c r="A1176" s="9" t="str">
        <f>HYPERLINK("http://www.ensembl.org/id/WBGene00009764", "WBGene00009764")</f>
        <v>WBGene00009764</v>
      </c>
      <c r="B1176" s="9"/>
      <c r="C1176" s="9"/>
      <c r="D1176" t="str">
        <f>"srz-17"</f>
        <v>srz-17</v>
      </c>
      <c r="F1176" t="s">
        <v>80</v>
      </c>
      <c r="H1176" s="12">
        <v>4.4368407117627902</v>
      </c>
      <c r="I1176" s="11">
        <v>0.43709475933309699</v>
      </c>
      <c r="J1176" s="10">
        <v>0.66204262779770495</v>
      </c>
      <c r="K1176" s="29">
        <v>0.98289565623980701</v>
      </c>
    </row>
    <row r="1177" spans="1:11" x14ac:dyDescent="0.35">
      <c r="A1177" s="9" t="str">
        <f>HYPERLINK("http://www.ensembl.org/id/WBGene00023481", "WBGene00023481")</f>
        <v>WBGene00023481</v>
      </c>
      <c r="B1177" s="9"/>
      <c r="C1177" s="9"/>
      <c r="D1177" t="str">
        <f>"srz-22"</f>
        <v>srz-22</v>
      </c>
      <c r="F1177" t="s">
        <v>80</v>
      </c>
      <c r="H1177" s="12">
        <v>4.4368407117627902</v>
      </c>
      <c r="I1177" s="11">
        <v>0.43709475933309699</v>
      </c>
      <c r="J1177" s="10">
        <v>0.66204262779770495</v>
      </c>
      <c r="K1177" s="29">
        <v>0.98289565623980701</v>
      </c>
    </row>
    <row r="1178" spans="1:11" x14ac:dyDescent="0.35">
      <c r="A1178" s="9" t="str">
        <f>HYPERLINK("http://www.ensembl.org/id/WBGene00014764", "WBGene00014764")</f>
        <v>WBGene00014764</v>
      </c>
      <c r="B1178" s="9"/>
      <c r="C1178" s="9"/>
      <c r="D1178" t="str">
        <f>"srz-46"</f>
        <v>srz-46</v>
      </c>
      <c r="F1178" t="s">
        <v>80</v>
      </c>
      <c r="H1178" s="12">
        <v>4.4368407117627902</v>
      </c>
      <c r="I1178" s="11">
        <v>0.43709475933309699</v>
      </c>
      <c r="J1178" s="10">
        <v>0.66204262779770495</v>
      </c>
      <c r="K1178" s="29">
        <v>0.98289565623980701</v>
      </c>
    </row>
    <row r="1179" spans="1:11" x14ac:dyDescent="0.35">
      <c r="A1179" s="9" t="str">
        <f>HYPERLINK("http://www.ensembl.org/id/WBGene00016519", "WBGene00016519")</f>
        <v>WBGene00016519</v>
      </c>
      <c r="B1179" s="9" t="str">
        <f>HYPERLINK("http://www.ncbi.nlm.nih.gov/gene/183321", "183321")</f>
        <v>183321</v>
      </c>
      <c r="C1179" s="9"/>
      <c r="D1179" t="str">
        <f>"srz-56"</f>
        <v>srz-56</v>
      </c>
      <c r="E1179" t="s">
        <v>4211</v>
      </c>
      <c r="F1179" t="s">
        <v>11</v>
      </c>
      <c r="G1179" t="s">
        <v>25</v>
      </c>
      <c r="H1179" s="12">
        <v>4.4368407117627902</v>
      </c>
      <c r="I1179" s="11">
        <v>0.43709475933309699</v>
      </c>
      <c r="J1179" s="10">
        <v>0.66204262779770495</v>
      </c>
      <c r="K1179" s="29">
        <v>0.98289565623980701</v>
      </c>
    </row>
    <row r="1180" spans="1:11" x14ac:dyDescent="0.35">
      <c r="A1180" s="9" t="str">
        <f>HYPERLINK("http://www.ensembl.org/id/WBGene00006161", "WBGene00006161")</f>
        <v>WBGene00006161</v>
      </c>
      <c r="B1180" s="9" t="str">
        <f>HYPERLINK("http://www.ncbi.nlm.nih.gov/gene/184275", "184275")</f>
        <v>184275</v>
      </c>
      <c r="C1180" s="9"/>
      <c r="D1180" t="str">
        <f>"str-109"</f>
        <v>str-109</v>
      </c>
      <c r="E1180" t="s">
        <v>590</v>
      </c>
      <c r="F1180" t="s">
        <v>11</v>
      </c>
      <c r="G1180" t="s">
        <v>591</v>
      </c>
      <c r="H1180" s="12">
        <v>4.4368407117627902</v>
      </c>
      <c r="I1180" s="11">
        <v>0.43709475933309699</v>
      </c>
      <c r="J1180" s="10">
        <v>0.66204262779770495</v>
      </c>
      <c r="K1180" s="29">
        <v>0.98289565623980701</v>
      </c>
    </row>
    <row r="1181" spans="1:11" x14ac:dyDescent="0.35">
      <c r="A1181" s="9" t="str">
        <f>HYPERLINK("http://www.ensembl.org/id/WBGene00006190", "WBGene00006190")</f>
        <v>WBGene00006190</v>
      </c>
      <c r="B1181" s="9" t="str">
        <f>HYPERLINK("http://www.ncbi.nlm.nih.gov/gene/192013", "192013")</f>
        <v>192013</v>
      </c>
      <c r="C1181" s="9"/>
      <c r="D1181" t="str">
        <f>"str-143"</f>
        <v>str-143</v>
      </c>
      <c r="E1181" t="s">
        <v>590</v>
      </c>
      <c r="F1181" t="s">
        <v>11</v>
      </c>
      <c r="G1181" t="s">
        <v>591</v>
      </c>
      <c r="H1181" s="12">
        <v>4.4368407117627902</v>
      </c>
      <c r="I1181" s="11">
        <v>0.43709475933309699</v>
      </c>
      <c r="J1181" s="10">
        <v>0.66204262779770495</v>
      </c>
      <c r="K1181" s="29">
        <v>0.98289565623980701</v>
      </c>
    </row>
    <row r="1182" spans="1:11" x14ac:dyDescent="0.35">
      <c r="A1182" s="9" t="str">
        <f>HYPERLINK("http://www.ensembl.org/id/WBGene00006273", "WBGene00006273")</f>
        <v>WBGene00006273</v>
      </c>
      <c r="B1182" s="9" t="str">
        <f>HYPERLINK("http://www.ncbi.nlm.nih.gov/gene/189316", "189316")</f>
        <v>189316</v>
      </c>
      <c r="C1182" s="9"/>
      <c r="D1182" t="str">
        <f>"str-246"</f>
        <v>str-246</v>
      </c>
      <c r="E1182" t="s">
        <v>590</v>
      </c>
      <c r="F1182" t="s">
        <v>11</v>
      </c>
      <c r="G1182" t="s">
        <v>591</v>
      </c>
      <c r="H1182" s="12">
        <v>4.4368407117627902</v>
      </c>
      <c r="I1182" s="11">
        <v>0.43709475933309699</v>
      </c>
      <c r="J1182" s="10">
        <v>0.66204262779770495</v>
      </c>
      <c r="K1182" s="29">
        <v>0.98289565623980701</v>
      </c>
    </row>
    <row r="1183" spans="1:11" x14ac:dyDescent="0.35">
      <c r="A1183" s="9" t="str">
        <f>HYPERLINK("http://www.ensembl.org/id/WBGene00006276", "WBGene00006276")</f>
        <v>WBGene00006276</v>
      </c>
      <c r="B1183" s="9" t="str">
        <f>HYPERLINK("http://www.ncbi.nlm.nih.gov/gene/13196560", "13196560")</f>
        <v>13196560</v>
      </c>
      <c r="C1183" s="9"/>
      <c r="D1183" t="str">
        <f>"str-249"</f>
        <v>str-249</v>
      </c>
      <c r="E1183" t="s">
        <v>590</v>
      </c>
      <c r="F1183" t="s">
        <v>11</v>
      </c>
      <c r="G1183" t="s">
        <v>591</v>
      </c>
      <c r="H1183" s="12">
        <v>4.4368407117627902</v>
      </c>
      <c r="I1183" s="11">
        <v>0.43709475933309699</v>
      </c>
      <c r="J1183" s="10">
        <v>0.66204262779770495</v>
      </c>
      <c r="K1183" s="29">
        <v>0.98289565623980701</v>
      </c>
    </row>
    <row r="1184" spans="1:11" x14ac:dyDescent="0.35">
      <c r="A1184" s="9" t="str">
        <f>HYPERLINK("http://www.ensembl.org/id/WBGene00006099", "WBGene00006099")</f>
        <v>WBGene00006099</v>
      </c>
      <c r="B1184" s="9" t="str">
        <f>HYPERLINK("http://www.ncbi.nlm.nih.gov/gene/191974", "191974")</f>
        <v>191974</v>
      </c>
      <c r="C1184" s="9"/>
      <c r="D1184" t="str">
        <f>"str-33"</f>
        <v>str-33</v>
      </c>
      <c r="E1184" t="s">
        <v>590</v>
      </c>
      <c r="F1184" t="s">
        <v>11</v>
      </c>
      <c r="G1184" t="s">
        <v>25</v>
      </c>
      <c r="H1184" s="12">
        <v>4.4368407117627902</v>
      </c>
      <c r="I1184" s="11">
        <v>0.43709475933309699</v>
      </c>
      <c r="J1184" s="10">
        <v>0.66204262779770495</v>
      </c>
      <c r="K1184" s="29">
        <v>0.98289565623980701</v>
      </c>
    </row>
    <row r="1185" spans="1:11" x14ac:dyDescent="0.35">
      <c r="A1185" s="9" t="str">
        <f>HYPERLINK("http://www.ensembl.org/id/WBGene00006111", "WBGene00006111")</f>
        <v>WBGene00006111</v>
      </c>
      <c r="B1185" s="9" t="str">
        <f>HYPERLINK("http://www.ncbi.nlm.nih.gov/gene/191979", "191979")</f>
        <v>191979</v>
      </c>
      <c r="C1185" s="9"/>
      <c r="D1185" t="str">
        <f>"str-46"</f>
        <v>str-46</v>
      </c>
      <c r="E1185" t="s">
        <v>590</v>
      </c>
      <c r="F1185" t="s">
        <v>11</v>
      </c>
      <c r="G1185" t="s">
        <v>25</v>
      </c>
      <c r="H1185" s="12">
        <v>4.4368407117627902</v>
      </c>
      <c r="I1185" s="11">
        <v>0.43709475933309699</v>
      </c>
      <c r="J1185" s="10">
        <v>0.66204262779770495</v>
      </c>
      <c r="K1185" s="29">
        <v>0.98289565623980701</v>
      </c>
    </row>
    <row r="1186" spans="1:11" x14ac:dyDescent="0.35">
      <c r="A1186" s="9" t="str">
        <f>HYPERLINK("http://www.ensembl.org/id/WBGene00006315", "WBGene00006315")</f>
        <v>WBGene00006315</v>
      </c>
      <c r="B1186" s="9"/>
      <c r="C1186" s="9"/>
      <c r="D1186" t="str">
        <f>"sup-6"</f>
        <v>sup-6</v>
      </c>
      <c r="F1186" t="s">
        <v>4205</v>
      </c>
      <c r="H1186" s="12">
        <v>4.4368407117627902</v>
      </c>
      <c r="I1186" s="11">
        <v>0.43709475933309699</v>
      </c>
      <c r="J1186" s="10">
        <v>0.66204262779770495</v>
      </c>
      <c r="K1186" s="29">
        <v>0.98289565623980701</v>
      </c>
    </row>
    <row r="1187" spans="1:11" x14ac:dyDescent="0.35">
      <c r="A1187" s="9" t="str">
        <f>HYPERLINK("http://www.ensembl.org/id/WBGene00197354", "WBGene00197354")</f>
        <v>WBGene00197354</v>
      </c>
      <c r="B1187" s="9"/>
      <c r="C1187" s="9"/>
      <c r="D1187" t="str">
        <f>"T07C12.17"</f>
        <v>T07C12.17</v>
      </c>
      <c r="F1187" t="s">
        <v>481</v>
      </c>
      <c r="H1187" s="12">
        <v>4.4368407117627902</v>
      </c>
      <c r="I1187" s="11">
        <v>0.43709475933309699</v>
      </c>
      <c r="J1187" s="10">
        <v>0.66204262779770495</v>
      </c>
      <c r="K1187" s="29">
        <v>0.98289565623980701</v>
      </c>
    </row>
    <row r="1188" spans="1:11" x14ac:dyDescent="0.35">
      <c r="A1188" s="9" t="str">
        <f>HYPERLINK("http://www.ensembl.org/id/WBGene00011595", "WBGene00011595")</f>
        <v>WBGene00011595</v>
      </c>
      <c r="B1188" s="9" t="str">
        <f>HYPERLINK("http://www.ncbi.nlm.nih.gov/gene/188243", "188243")</f>
        <v>188243</v>
      </c>
      <c r="C1188" s="9"/>
      <c r="D1188" t="str">
        <f>"T07G12.4"</f>
        <v>T07G12.4</v>
      </c>
      <c r="F1188" t="s">
        <v>11</v>
      </c>
      <c r="G1188" t="s">
        <v>230</v>
      </c>
      <c r="H1188" s="12">
        <v>4.4368407117627902</v>
      </c>
      <c r="I1188" s="11">
        <v>0.43709475933309699</v>
      </c>
      <c r="J1188" s="10">
        <v>0.66204262779770495</v>
      </c>
      <c r="K1188" s="29">
        <v>0.98289565623980701</v>
      </c>
    </row>
    <row r="1189" spans="1:11" x14ac:dyDescent="0.35">
      <c r="A1189" s="9" t="str">
        <f>HYPERLINK("http://www.ensembl.org/id/WBGene00197654", "WBGene00197654")</f>
        <v>WBGene00197654</v>
      </c>
      <c r="B1189" s="9"/>
      <c r="C1189" s="9"/>
      <c r="D1189" t="str">
        <f>"T16G1.14"</f>
        <v>T16G1.14</v>
      </c>
      <c r="F1189" t="s">
        <v>481</v>
      </c>
      <c r="H1189" s="12">
        <v>4.4368407117627902</v>
      </c>
      <c r="I1189" s="11">
        <v>0.43709475933309699</v>
      </c>
      <c r="J1189" s="10">
        <v>0.66204262779770495</v>
      </c>
      <c r="K1189" s="29">
        <v>0.98289565623980701</v>
      </c>
    </row>
    <row r="1190" spans="1:11" x14ac:dyDescent="0.35">
      <c r="A1190" s="9" t="str">
        <f>HYPERLINK("http://www.ensembl.org/id/WBGene00202352", "WBGene00202352")</f>
        <v>WBGene00202352</v>
      </c>
      <c r="B1190" s="9"/>
      <c r="C1190" s="9"/>
      <c r="D1190" t="str">
        <f>"T19D7.11"</f>
        <v>T19D7.11</v>
      </c>
      <c r="F1190" t="s">
        <v>481</v>
      </c>
      <c r="H1190" s="12">
        <v>4.4368407117627902</v>
      </c>
      <c r="I1190" s="11">
        <v>0.43709475933309699</v>
      </c>
      <c r="J1190" s="10">
        <v>0.66204262779770495</v>
      </c>
      <c r="K1190" s="29">
        <v>0.98289565623980701</v>
      </c>
    </row>
    <row r="1191" spans="1:11" x14ac:dyDescent="0.35">
      <c r="A1191" s="9" t="str">
        <f>HYPERLINK("http://www.ensembl.org/id/WBGene00050972", "WBGene00050972")</f>
        <v>WBGene00050972</v>
      </c>
      <c r="B1191" s="9"/>
      <c r="C1191" s="9"/>
      <c r="D1191" t="str">
        <f>"T23D5.13"</f>
        <v>T23D5.13</v>
      </c>
      <c r="F1191" t="s">
        <v>80</v>
      </c>
      <c r="H1191" s="12">
        <v>4.4368407117627902</v>
      </c>
      <c r="I1191" s="11">
        <v>0.43709475933309699</v>
      </c>
      <c r="J1191" s="10">
        <v>0.66204262779770495</v>
      </c>
      <c r="K1191" s="29">
        <v>0.98289565623980701</v>
      </c>
    </row>
    <row r="1192" spans="1:11" x14ac:dyDescent="0.35">
      <c r="A1192" s="9" t="str">
        <f>HYPERLINK("http://www.ensembl.org/id/WBGene00201202", "WBGene00201202")</f>
        <v>WBGene00201202</v>
      </c>
      <c r="B1192" s="9"/>
      <c r="C1192" s="9"/>
      <c r="D1192" t="str">
        <f>"T24D1.6"</f>
        <v>T24D1.6</v>
      </c>
      <c r="F1192" t="s">
        <v>481</v>
      </c>
      <c r="H1192" s="12">
        <v>4.4368407117627902</v>
      </c>
      <c r="I1192" s="11">
        <v>0.43709475933309699</v>
      </c>
      <c r="J1192" s="10">
        <v>0.66204262779770495</v>
      </c>
      <c r="K1192" s="29">
        <v>0.98289565623980701</v>
      </c>
    </row>
    <row r="1193" spans="1:11" x14ac:dyDescent="0.35">
      <c r="A1193" s="9" t="str">
        <f>HYPERLINK("http://www.ensembl.org/id/WBGene00197493", "WBGene00197493")</f>
        <v>WBGene00197493</v>
      </c>
      <c r="B1193" s="9"/>
      <c r="C1193" s="9"/>
      <c r="D1193" t="str">
        <f>"T28B11.11"</f>
        <v>T28B11.11</v>
      </c>
      <c r="F1193" t="s">
        <v>481</v>
      </c>
      <c r="H1193" s="12">
        <v>4.4368407117627902</v>
      </c>
      <c r="I1193" s="11">
        <v>0.43709475933309699</v>
      </c>
      <c r="J1193" s="10">
        <v>0.66204262779770495</v>
      </c>
      <c r="K1193" s="29">
        <v>0.98289565623980701</v>
      </c>
    </row>
    <row r="1194" spans="1:11" x14ac:dyDescent="0.35">
      <c r="A1194" s="9" t="str">
        <f>HYPERLINK("http://www.ensembl.org/id/WBGene00199795", "WBGene00199795")</f>
        <v>WBGene00199795</v>
      </c>
      <c r="B1194" s="9"/>
      <c r="C1194" s="9"/>
      <c r="D1194" t="str">
        <f>"T28B11.16"</f>
        <v>T28B11.16</v>
      </c>
      <c r="F1194" t="s">
        <v>481</v>
      </c>
      <c r="H1194" s="12">
        <v>4.4368407117627902</v>
      </c>
      <c r="I1194" s="11">
        <v>0.43709475933309699</v>
      </c>
      <c r="J1194" s="10">
        <v>0.66204262779770495</v>
      </c>
      <c r="K1194" s="29">
        <v>0.98289565623980701</v>
      </c>
    </row>
    <row r="1195" spans="1:11" x14ac:dyDescent="0.35">
      <c r="A1195" s="9" t="str">
        <f>HYPERLINK("http://www.ensembl.org/id/WBGene00201919", "WBGene00201919")</f>
        <v>WBGene00201919</v>
      </c>
      <c r="B1195" s="9"/>
      <c r="C1195" s="9"/>
      <c r="D1195" t="str">
        <f>"T28B11.24"</f>
        <v>T28B11.24</v>
      </c>
      <c r="F1195" t="s">
        <v>481</v>
      </c>
      <c r="H1195" s="12">
        <v>4.4368407117627902</v>
      </c>
      <c r="I1195" s="11">
        <v>0.43709475933309699</v>
      </c>
      <c r="J1195" s="10">
        <v>0.66204262779770495</v>
      </c>
      <c r="K1195" s="29">
        <v>0.98289565623980701</v>
      </c>
    </row>
    <row r="1196" spans="1:11" x14ac:dyDescent="0.35">
      <c r="A1196" s="9" t="str">
        <f>HYPERLINK("http://www.ensembl.org/id/WBGene00198042", "WBGene00198042")</f>
        <v>WBGene00198042</v>
      </c>
      <c r="B1196" s="9"/>
      <c r="C1196" s="9"/>
      <c r="D1196" t="str">
        <f>"T28F4.7"</f>
        <v>T28F4.7</v>
      </c>
      <c r="F1196" t="s">
        <v>481</v>
      </c>
      <c r="H1196" s="12">
        <v>4.4368407117627902</v>
      </c>
      <c r="I1196" s="11">
        <v>0.43709475933309699</v>
      </c>
      <c r="J1196" s="10">
        <v>0.66204262779770495</v>
      </c>
      <c r="K1196" s="29">
        <v>0.98289565623980701</v>
      </c>
    </row>
    <row r="1197" spans="1:11" x14ac:dyDescent="0.35">
      <c r="A1197" s="9" t="str">
        <f>HYPERLINK("http://www.ensembl.org/id/WBGene00220125", "WBGene00220125")</f>
        <v>WBGene00220125</v>
      </c>
      <c r="B1197" s="9"/>
      <c r="C1197" s="9"/>
      <c r="D1197" t="str">
        <f>"W07G1.23"</f>
        <v>W07G1.23</v>
      </c>
      <c r="F1197" t="s">
        <v>2977</v>
      </c>
      <c r="H1197" s="12">
        <v>4.4368407117627902</v>
      </c>
      <c r="I1197" s="11">
        <v>0.43709475933309699</v>
      </c>
      <c r="J1197" s="10">
        <v>0.66204262779770495</v>
      </c>
      <c r="K1197" s="29">
        <v>0.98289565623980701</v>
      </c>
    </row>
    <row r="1198" spans="1:11" x14ac:dyDescent="0.35">
      <c r="A1198" s="9" t="str">
        <f>HYPERLINK("http://www.ensembl.org/id/WBGene00014956", "WBGene00014956")</f>
        <v>WBGene00014956</v>
      </c>
      <c r="B1198" s="9"/>
      <c r="C1198" s="9"/>
      <c r="D1198" t="str">
        <f>"Y102A5C.11"</f>
        <v>Y102A5C.11</v>
      </c>
      <c r="F1198" t="s">
        <v>80</v>
      </c>
      <c r="H1198" s="12">
        <v>4.4368407117627902</v>
      </c>
      <c r="I1198" s="11">
        <v>0.43709475933309699</v>
      </c>
      <c r="J1198" s="10">
        <v>0.66204262779770495</v>
      </c>
      <c r="K1198" s="29">
        <v>0.98289565623980701</v>
      </c>
    </row>
    <row r="1199" spans="1:11" x14ac:dyDescent="0.35">
      <c r="A1199" s="9" t="str">
        <f>HYPERLINK("http://www.ensembl.org/id/WBGene00021414", "WBGene00021414")</f>
        <v>WBGene00021414</v>
      </c>
      <c r="B1199" s="9" t="str">
        <f>HYPERLINK("http://www.ncbi.nlm.nih.gov/gene/189651", "189651")</f>
        <v>189651</v>
      </c>
      <c r="C1199" s="9"/>
      <c r="D1199" t="str">
        <f>"Y38C9B.3"</f>
        <v>Y38C9B.3</v>
      </c>
      <c r="F1199" t="s">
        <v>11</v>
      </c>
      <c r="H1199" s="12">
        <v>4.4368407117627902</v>
      </c>
      <c r="I1199" s="11">
        <v>0.43709475933309699</v>
      </c>
      <c r="J1199" s="10">
        <v>0.66204262779770495</v>
      </c>
      <c r="K1199" s="29">
        <v>0.98289565623980701</v>
      </c>
    </row>
    <row r="1200" spans="1:11" x14ac:dyDescent="0.35">
      <c r="A1200" s="9" t="str">
        <f>HYPERLINK("http://www.ensembl.org/id/WBGene00219302", "WBGene00219302")</f>
        <v>WBGene00219302</v>
      </c>
      <c r="B1200" s="9" t="str">
        <f>HYPERLINK("http://www.ncbi.nlm.nih.gov/gene/13218547", "13218547")</f>
        <v>13218547</v>
      </c>
      <c r="C1200" s="9"/>
      <c r="D1200" t="str">
        <f>"Y43F8B.28"</f>
        <v>Y43F8B.28</v>
      </c>
      <c r="F1200" t="s">
        <v>11</v>
      </c>
      <c r="H1200" s="12">
        <v>4.4368407117627902</v>
      </c>
      <c r="I1200" s="11">
        <v>0.43709475933309699</v>
      </c>
      <c r="J1200" s="10">
        <v>0.66204262779770495</v>
      </c>
      <c r="K1200" s="29">
        <v>0.98289565623980701</v>
      </c>
    </row>
    <row r="1201" spans="1:11" x14ac:dyDescent="0.35">
      <c r="A1201" s="9" t="str">
        <f>HYPERLINK("http://www.ensembl.org/id/WBGene00194738", "WBGene00194738")</f>
        <v>WBGene00194738</v>
      </c>
      <c r="B1201" s="9" t="str">
        <f>HYPERLINK("http://www.ncbi.nlm.nih.gov/gene/13188586", "13188586")</f>
        <v>13188586</v>
      </c>
      <c r="C1201" s="9"/>
      <c r="D1201" t="str">
        <f>"Y46E12A.5"</f>
        <v>Y46E12A.5</v>
      </c>
      <c r="F1201" t="s">
        <v>11</v>
      </c>
      <c r="H1201" s="12">
        <v>4.4368407117627902</v>
      </c>
      <c r="I1201" s="11">
        <v>0.43709475933309699</v>
      </c>
      <c r="J1201" s="10">
        <v>0.66204262779770495</v>
      </c>
      <c r="K1201" s="29">
        <v>0.98289565623980701</v>
      </c>
    </row>
    <row r="1202" spans="1:11" x14ac:dyDescent="0.35">
      <c r="A1202" s="9" t="str">
        <f>HYPERLINK("http://www.ensembl.org/id/WBGene00202202", "WBGene00202202")</f>
        <v>WBGene00202202</v>
      </c>
      <c r="B1202" s="9"/>
      <c r="C1202" s="9"/>
      <c r="D1202" t="str">
        <f>"Y48C3A.24"</f>
        <v>Y48C3A.24</v>
      </c>
      <c r="F1202" t="s">
        <v>481</v>
      </c>
      <c r="H1202" s="12">
        <v>4.4368407117627902</v>
      </c>
      <c r="I1202" s="11">
        <v>0.43709475933309699</v>
      </c>
      <c r="J1202" s="10">
        <v>0.66204262779770495</v>
      </c>
      <c r="K1202" s="29">
        <v>0.98289565623980701</v>
      </c>
    </row>
    <row r="1203" spans="1:11" x14ac:dyDescent="0.35">
      <c r="A1203" s="9" t="str">
        <f>HYPERLINK("http://www.ensembl.org/id/WBGene00021821", "WBGene00021821")</f>
        <v>WBGene00021821</v>
      </c>
      <c r="B1203" s="9" t="str">
        <f>HYPERLINK("http://www.ncbi.nlm.nih.gov/gene/190253", "190253")</f>
        <v>190253</v>
      </c>
      <c r="C1203" s="9"/>
      <c r="D1203" t="str">
        <f>"Y54B9A.1"</f>
        <v>Y54B9A.1</v>
      </c>
      <c r="F1203" t="s">
        <v>11</v>
      </c>
      <c r="H1203" s="12">
        <v>4.4368407117627902</v>
      </c>
      <c r="I1203" s="11">
        <v>0.43709475933309699</v>
      </c>
      <c r="J1203" s="10">
        <v>0.66204262779770495</v>
      </c>
      <c r="K1203" s="29">
        <v>0.98289565623980701</v>
      </c>
    </row>
    <row r="1204" spans="1:11" x14ac:dyDescent="0.35">
      <c r="A1204" s="9" t="str">
        <f>HYPERLINK("http://www.ensembl.org/id/WBGene00023183", "WBGene00023183")</f>
        <v>WBGene00023183</v>
      </c>
      <c r="B1204" s="9"/>
      <c r="C1204" s="9"/>
      <c r="D1204" t="str">
        <f>"Y55F3BR.9"</f>
        <v>Y55F3BR.9</v>
      </c>
      <c r="F1204" t="s">
        <v>2977</v>
      </c>
      <c r="H1204" s="12">
        <v>4.4368407117627902</v>
      </c>
      <c r="I1204" s="11">
        <v>0.43709475933309699</v>
      </c>
      <c r="J1204" s="10">
        <v>0.66204262779770495</v>
      </c>
      <c r="K1204" s="29">
        <v>0.98289565623980701</v>
      </c>
    </row>
    <row r="1205" spans="1:11" x14ac:dyDescent="0.35">
      <c r="A1205" s="9" t="str">
        <f>HYPERLINK("http://www.ensembl.org/id/WBGene00023382", "WBGene00023382")</f>
        <v>WBGene00023382</v>
      </c>
      <c r="B1205" s="9"/>
      <c r="C1205" s="9"/>
      <c r="D1205" t="str">
        <f>"Y57E12AL.3"</f>
        <v>Y57E12AL.3</v>
      </c>
      <c r="F1205" t="s">
        <v>80</v>
      </c>
      <c r="H1205" s="12">
        <v>4.4368407117627902</v>
      </c>
      <c r="I1205" s="11">
        <v>0.43709475933309699</v>
      </c>
      <c r="J1205" s="10">
        <v>0.66204262779770495</v>
      </c>
      <c r="K1205" s="29">
        <v>0.98289565623980701</v>
      </c>
    </row>
    <row r="1206" spans="1:11" x14ac:dyDescent="0.35">
      <c r="A1206" s="9" t="str">
        <f>HYPERLINK("http://www.ensembl.org/id/WBGene00219421", "WBGene00219421")</f>
        <v>WBGene00219421</v>
      </c>
      <c r="B1206" s="9" t="str">
        <f>HYPERLINK("http://www.ncbi.nlm.nih.gov/gene/13191415", "13191415")</f>
        <v>13191415</v>
      </c>
      <c r="C1206" s="9"/>
      <c r="D1206" t="str">
        <f>"Y66D12A.30"</f>
        <v>Y66D12A.30</v>
      </c>
      <c r="F1206" t="s">
        <v>11</v>
      </c>
      <c r="H1206" s="12">
        <v>4.4368407117627902</v>
      </c>
      <c r="I1206" s="11">
        <v>0.43709475933309699</v>
      </c>
      <c r="J1206" s="10">
        <v>0.66204262779770495</v>
      </c>
      <c r="K1206" s="29">
        <v>0.98289565623980701</v>
      </c>
    </row>
    <row r="1207" spans="1:11" x14ac:dyDescent="0.35">
      <c r="A1207" s="9" t="str">
        <f>HYPERLINK("http://www.ensembl.org/id/WBGene00196230", "WBGene00196230")</f>
        <v>WBGene00196230</v>
      </c>
      <c r="B1207" s="9"/>
      <c r="C1207" s="9"/>
      <c r="D1207" t="str">
        <f>"Y73B6BL.273"</f>
        <v>Y73B6BL.273</v>
      </c>
      <c r="F1207" t="s">
        <v>481</v>
      </c>
      <c r="H1207" s="12">
        <v>4.4368407117627902</v>
      </c>
      <c r="I1207" s="11">
        <v>0.43709475933309699</v>
      </c>
      <c r="J1207" s="10">
        <v>0.66204262779770495</v>
      </c>
      <c r="K1207" s="29">
        <v>0.98289565623980701</v>
      </c>
    </row>
    <row r="1208" spans="1:11" x14ac:dyDescent="0.35">
      <c r="A1208" s="9" t="str">
        <f>HYPERLINK("http://www.ensembl.org/id/WBGene00199049", "WBGene00199049")</f>
        <v>WBGene00199049</v>
      </c>
      <c r="B1208" s="9"/>
      <c r="C1208" s="9"/>
      <c r="D1208" t="str">
        <f>"Y75B7AL.7"</f>
        <v>Y75B7AL.7</v>
      </c>
      <c r="F1208" t="s">
        <v>481</v>
      </c>
      <c r="H1208" s="12">
        <v>4.4368407117627902</v>
      </c>
      <c r="I1208" s="11">
        <v>0.43709475933309699</v>
      </c>
      <c r="J1208" s="10">
        <v>0.66204262779770495</v>
      </c>
      <c r="K1208" s="29">
        <v>0.98289565623980701</v>
      </c>
    </row>
    <row r="1209" spans="1:11" x14ac:dyDescent="0.35">
      <c r="A1209" s="9" t="str">
        <f>HYPERLINK("http://www.ensembl.org/id/WBGene00006967", "WBGene00006967")</f>
        <v>WBGene00006967</v>
      </c>
      <c r="B1209" s="9"/>
      <c r="C1209" s="9"/>
      <c r="D1209" t="str">
        <f>"yrn-1"</f>
        <v>yrn-1</v>
      </c>
      <c r="F1209" t="s">
        <v>481</v>
      </c>
      <c r="H1209" s="12">
        <v>4.4368407117627902</v>
      </c>
      <c r="I1209" s="11">
        <v>0.43709475933309699</v>
      </c>
      <c r="J1209" s="10">
        <v>0.66204262779770495</v>
      </c>
      <c r="K1209" s="29">
        <v>0.98289565623980701</v>
      </c>
    </row>
    <row r="1210" spans="1:11" x14ac:dyDescent="0.35">
      <c r="A1210" s="9" t="str">
        <f>HYPERLINK("http://www.ensembl.org/id/WBGene00022521", "WBGene00022521")</f>
        <v>WBGene00022521</v>
      </c>
      <c r="B1210" s="9"/>
      <c r="C1210" s="9"/>
      <c r="D1210" t="str">
        <f>"ZC132.2"</f>
        <v>ZC132.2</v>
      </c>
      <c r="F1210" t="s">
        <v>80</v>
      </c>
      <c r="H1210" s="12">
        <v>4.4368407117627902</v>
      </c>
      <c r="I1210" s="11">
        <v>0.43709475933309699</v>
      </c>
      <c r="J1210" s="10">
        <v>0.66204262779770495</v>
      </c>
      <c r="K1210" s="29">
        <v>0.98289565623980701</v>
      </c>
    </row>
    <row r="1211" spans="1:11" x14ac:dyDescent="0.35">
      <c r="A1211" s="9" t="str">
        <f>HYPERLINK("http://www.ensembl.org/id/WBGene00201410", "WBGene00201410")</f>
        <v>WBGene00201410</v>
      </c>
      <c r="B1211" s="9"/>
      <c r="C1211" s="9"/>
      <c r="D1211" t="str">
        <f>"ZC190.15"</f>
        <v>ZC190.15</v>
      </c>
      <c r="F1211" t="s">
        <v>481</v>
      </c>
      <c r="H1211" s="12">
        <v>4.4368407117627902</v>
      </c>
      <c r="I1211" s="11">
        <v>0.43709475933309699</v>
      </c>
      <c r="J1211" s="10">
        <v>0.66204262779770495</v>
      </c>
      <c r="K1211" s="29">
        <v>0.98289565623980701</v>
      </c>
    </row>
    <row r="1212" spans="1:11" x14ac:dyDescent="0.35">
      <c r="A1212" s="9" t="str">
        <f>HYPERLINK("http://www.ensembl.org/id/WBGene00201298", "WBGene00201298")</f>
        <v>WBGene00201298</v>
      </c>
      <c r="B1212" s="9"/>
      <c r="C1212" s="9"/>
      <c r="D1212" t="str">
        <f>"ZK1193.10"</f>
        <v>ZK1193.10</v>
      </c>
      <c r="F1212" t="s">
        <v>481</v>
      </c>
      <c r="H1212" s="12">
        <v>4.4368407117627902</v>
      </c>
      <c r="I1212" s="11">
        <v>0.43709475933309699</v>
      </c>
      <c r="J1212" s="10">
        <v>0.66204262779770495</v>
      </c>
      <c r="K1212" s="29">
        <v>0.98289565623980701</v>
      </c>
    </row>
    <row r="1213" spans="1:11" x14ac:dyDescent="0.35">
      <c r="A1213" s="9" t="str">
        <f>HYPERLINK("http://www.ensembl.org/id/WBGene00197968", "WBGene00197968")</f>
        <v>WBGene00197968</v>
      </c>
      <c r="B1213" s="9"/>
      <c r="C1213" s="9"/>
      <c r="D1213" t="str">
        <f>"ZK1290.19"</f>
        <v>ZK1290.19</v>
      </c>
      <c r="F1213" t="s">
        <v>481</v>
      </c>
      <c r="H1213" s="12">
        <v>4.4368407117627902</v>
      </c>
      <c r="I1213" s="11">
        <v>0.43709475933309699</v>
      </c>
      <c r="J1213" s="10">
        <v>0.66204262779770495</v>
      </c>
      <c r="K1213" s="29">
        <v>0.98289565623980701</v>
      </c>
    </row>
    <row r="1214" spans="1:11" x14ac:dyDescent="0.35">
      <c r="A1214" s="9" t="str">
        <f>HYPERLINK("http://www.ensembl.org/id/WBGene00044266", "WBGene00044266")</f>
        <v>WBGene00044266</v>
      </c>
      <c r="B1214" s="9" t="str">
        <f>HYPERLINK("http://www.ncbi.nlm.nih.gov/gene/3564836", "3564836")</f>
        <v>3564836</v>
      </c>
      <c r="C1214" s="9"/>
      <c r="D1214" t="str">
        <f>"ZK39.9"</f>
        <v>ZK39.9</v>
      </c>
      <c r="F1214" t="s">
        <v>11</v>
      </c>
      <c r="H1214" s="12">
        <v>4.4368407117627902</v>
      </c>
      <c r="I1214" s="11">
        <v>0.43709475933309699</v>
      </c>
      <c r="J1214" s="10">
        <v>0.66204262779770495</v>
      </c>
      <c r="K1214" s="29">
        <v>0.98289565623980701</v>
      </c>
    </row>
    <row r="1215" spans="1:11" x14ac:dyDescent="0.35">
      <c r="A1215" s="9" t="str">
        <f>HYPERLINK("http://www.ensembl.org/id/WBGene00022804", "WBGene00022804")</f>
        <v>WBGene00022804</v>
      </c>
      <c r="B1215" s="9" t="str">
        <f>HYPERLINK("http://www.ncbi.nlm.nih.gov/gene/191408", "191408")</f>
        <v>191408</v>
      </c>
      <c r="C1215" s="9"/>
      <c r="D1215" t="str">
        <f>"ZK697.1"</f>
        <v>ZK697.1</v>
      </c>
      <c r="F1215" t="s">
        <v>11</v>
      </c>
      <c r="G1215" t="s">
        <v>25</v>
      </c>
      <c r="H1215" s="12">
        <v>4.4368407117627902</v>
      </c>
      <c r="I1215" s="11">
        <v>0.43709475933309699</v>
      </c>
      <c r="J1215" s="10">
        <v>0.66204262779770495</v>
      </c>
      <c r="K1215" s="29">
        <v>0.98289565623980701</v>
      </c>
    </row>
    <row r="1216" spans="1:11" x14ac:dyDescent="0.35">
      <c r="A1216" s="9" t="str">
        <f>HYPERLINK("http://www.ensembl.org/id/WBGene00012518", "WBGene00012518")</f>
        <v>WBGene00012518</v>
      </c>
      <c r="B1216" s="9" t="str">
        <f>HYPERLINK("http://www.ncbi.nlm.nih.gov/gene/189563", "189563")</f>
        <v>189563</v>
      </c>
      <c r="C1216" s="9" t="str">
        <f>HYPERLINK("http://www.ncbi.nlm.nih.gov/gene/118881", "118881")</f>
        <v>118881</v>
      </c>
      <c r="D1216" t="str">
        <f>"comt-2"</f>
        <v>comt-2</v>
      </c>
      <c r="E1216" t="s">
        <v>168</v>
      </c>
      <c r="F1216" t="s">
        <v>11</v>
      </c>
      <c r="G1216" t="s">
        <v>3207</v>
      </c>
      <c r="H1216" s="12">
        <v>4.4343323415868596</v>
      </c>
      <c r="I1216" s="11">
        <v>1.4495356948189599</v>
      </c>
      <c r="J1216" s="10">
        <v>0.147188039477816</v>
      </c>
      <c r="K1216" s="29">
        <v>0.84783771696264199</v>
      </c>
    </row>
    <row r="1217" spans="1:11" x14ac:dyDescent="0.35">
      <c r="A1217" s="9" t="str">
        <f>HYPERLINK("http://www.ensembl.org/id/WBGene00077616", "WBGene00077616")</f>
        <v>WBGene00077616</v>
      </c>
      <c r="B1217" s="9" t="str">
        <f>HYPERLINK("http://www.ncbi.nlm.nih.gov/gene/6418769", "6418769")</f>
        <v>6418769</v>
      </c>
      <c r="C1217" s="9"/>
      <c r="D1217" t="str">
        <f>"F57E7.4"</f>
        <v>F57E7.4</v>
      </c>
      <c r="F1217" t="s">
        <v>11</v>
      </c>
      <c r="H1217" s="12">
        <v>4.4182522312344297</v>
      </c>
      <c r="I1217" s="11">
        <v>1.15073037413798</v>
      </c>
      <c r="J1217" s="10">
        <v>0.24984317655052601</v>
      </c>
      <c r="K1217" s="29">
        <v>0.98289565623980701</v>
      </c>
    </row>
    <row r="1218" spans="1:11" x14ac:dyDescent="0.35">
      <c r="A1218" s="9" t="str">
        <f>HYPERLINK("http://www.ensembl.org/id/WBGene00003523", "WBGene00003523")</f>
        <v>WBGene00003523</v>
      </c>
      <c r="B1218" s="9" t="str">
        <f>HYPERLINK("http://www.ncbi.nlm.nih.gov/gene/182259", "182259")</f>
        <v>182259</v>
      </c>
      <c r="C1218" s="9"/>
      <c r="D1218" t="str">
        <f>"nas-4"</f>
        <v>nas-4</v>
      </c>
      <c r="E1218" t="s">
        <v>433</v>
      </c>
      <c r="F1218" t="s">
        <v>11</v>
      </c>
      <c r="G1218" t="s">
        <v>434</v>
      </c>
      <c r="H1218" s="12">
        <v>4.3947537405634396</v>
      </c>
      <c r="I1218" s="11">
        <v>3.5685740066842602</v>
      </c>
      <c r="J1218" s="10">
        <v>3.5892947228782698E-4</v>
      </c>
      <c r="K1218" s="29">
        <v>1.8029183449309899E-2</v>
      </c>
    </row>
    <row r="1219" spans="1:11" x14ac:dyDescent="0.35">
      <c r="A1219" s="9" t="str">
        <f>HYPERLINK("http://www.ensembl.org/id/WBGene00020645", "WBGene00020645")</f>
        <v>WBGene00020645</v>
      </c>
      <c r="B1219" s="9" t="str">
        <f>HYPERLINK("http://www.ncbi.nlm.nih.gov/gene/188691", "188691")</f>
        <v>188691</v>
      </c>
      <c r="C1219" s="9"/>
      <c r="D1219" t="str">
        <f>"T21D9.2"</f>
        <v>T21D9.2</v>
      </c>
      <c r="F1219" t="s">
        <v>11</v>
      </c>
      <c r="G1219" t="s">
        <v>25</v>
      </c>
      <c r="H1219" s="12">
        <v>4.3940195833442202</v>
      </c>
      <c r="I1219" s="11">
        <v>0.73599872379920295</v>
      </c>
      <c r="J1219" s="10">
        <v>0.46173147444991303</v>
      </c>
      <c r="K1219" s="29">
        <v>0.98289565623980701</v>
      </c>
    </row>
    <row r="1220" spans="1:11" x14ac:dyDescent="0.35">
      <c r="A1220" s="9" t="str">
        <f>HYPERLINK("http://www.ensembl.org/id/WBGene00235266", "WBGene00235266")</f>
        <v>WBGene00235266</v>
      </c>
      <c r="B1220" s="9"/>
      <c r="C1220" s="9"/>
      <c r="D1220" t="str">
        <f>"Y77E11A.22"</f>
        <v>Y77E11A.22</v>
      </c>
      <c r="F1220" t="s">
        <v>80</v>
      </c>
      <c r="H1220" s="12">
        <v>4.3847677812909902</v>
      </c>
      <c r="I1220" s="11">
        <v>1.0300775581785999</v>
      </c>
      <c r="J1220" s="10">
        <v>0.302973599086867</v>
      </c>
      <c r="K1220" s="29">
        <v>0.98289565623980701</v>
      </c>
    </row>
    <row r="1221" spans="1:11" x14ac:dyDescent="0.35">
      <c r="A1221" s="9" t="str">
        <f>HYPERLINK("http://www.ensembl.org/id/WBGene00008758", "WBGene00008758")</f>
        <v>WBGene00008758</v>
      </c>
      <c r="B1221" s="9" t="str">
        <f>HYPERLINK("http://www.ncbi.nlm.nih.gov/gene/184427", "184427")</f>
        <v>184427</v>
      </c>
      <c r="C1221" s="9"/>
      <c r="D1221" t="str">
        <f>"F13E9.9"</f>
        <v>F13E9.9</v>
      </c>
      <c r="F1221" t="s">
        <v>11</v>
      </c>
      <c r="H1221" s="12">
        <v>4.3766251216555503</v>
      </c>
      <c r="I1221" s="11">
        <v>1.0643533043341</v>
      </c>
      <c r="J1221" s="10">
        <v>0.28716867895339798</v>
      </c>
      <c r="K1221" s="29">
        <v>0.98289565623980701</v>
      </c>
    </row>
    <row r="1222" spans="1:11" x14ac:dyDescent="0.35">
      <c r="A1222" s="9" t="str">
        <f>HYPERLINK("http://www.ensembl.org/id/WBGene00020750", "WBGene00020750")</f>
        <v>WBGene00020750</v>
      </c>
      <c r="B1222" s="9" t="str">
        <f>HYPERLINK("http://www.ncbi.nlm.nih.gov/gene/188828", "188828")</f>
        <v>188828</v>
      </c>
      <c r="C1222" s="9"/>
      <c r="D1222" t="str">
        <f>"nhr-222"</f>
        <v>nhr-222</v>
      </c>
      <c r="E1222" t="s">
        <v>637</v>
      </c>
      <c r="F1222" t="s">
        <v>11</v>
      </c>
      <c r="G1222" t="s">
        <v>1073</v>
      </c>
      <c r="H1222" s="12">
        <v>4.3736944023619504</v>
      </c>
      <c r="I1222" s="11">
        <v>0.891956239023316</v>
      </c>
      <c r="J1222" s="10">
        <v>0.372416388683729</v>
      </c>
      <c r="K1222" s="29">
        <v>0.98289565623980701</v>
      </c>
    </row>
    <row r="1223" spans="1:11" x14ac:dyDescent="0.35">
      <c r="A1223" s="9" t="str">
        <f>HYPERLINK("http://www.ensembl.org/id/WBGene00008623", "WBGene00008623")</f>
        <v>WBGene00008623</v>
      </c>
      <c r="B1223" s="9" t="str">
        <f>HYPERLINK("http://www.ncbi.nlm.nih.gov/gene/184245", "184245")</f>
        <v>184245</v>
      </c>
      <c r="C1223" s="9"/>
      <c r="D1223" t="str">
        <f>"spe-43"</f>
        <v>spe-43</v>
      </c>
      <c r="F1223" t="s">
        <v>11</v>
      </c>
      <c r="G1223" t="s">
        <v>25</v>
      </c>
      <c r="H1223" s="12">
        <v>4.3728970185425799</v>
      </c>
      <c r="I1223" s="11">
        <v>0.89119257522231599</v>
      </c>
      <c r="J1223" s="10">
        <v>0.37282586694748399</v>
      </c>
      <c r="K1223" s="29">
        <v>0.98289565623980701</v>
      </c>
    </row>
    <row r="1224" spans="1:11" x14ac:dyDescent="0.35">
      <c r="A1224" s="9" t="str">
        <f>HYPERLINK("http://www.ensembl.org/id/WBGene00044287", "WBGene00044287")</f>
        <v>WBGene00044287</v>
      </c>
      <c r="B1224" s="9" t="str">
        <f>HYPERLINK("http://www.ncbi.nlm.nih.gov/gene/3564929", "3564929")</f>
        <v>3564929</v>
      </c>
      <c r="C1224" s="9"/>
      <c r="D1224" t="str">
        <f>"F21H12.7"</f>
        <v>F21H12.7</v>
      </c>
      <c r="F1224" t="s">
        <v>11</v>
      </c>
      <c r="H1224" s="12">
        <v>4.3666991300963902</v>
      </c>
      <c r="I1224" s="11">
        <v>1.1107859837676199</v>
      </c>
      <c r="J1224" s="10">
        <v>0.26666048098697998</v>
      </c>
      <c r="K1224" s="29">
        <v>0.98289565623980701</v>
      </c>
    </row>
    <row r="1225" spans="1:11" x14ac:dyDescent="0.35">
      <c r="A1225" s="9" t="str">
        <f>HYPERLINK("http://www.ensembl.org/id/WBGene00198289", "WBGene00198289")</f>
        <v>WBGene00198289</v>
      </c>
      <c r="B1225" s="9"/>
      <c r="C1225" s="9"/>
      <c r="D1225" t="str">
        <f>"C24A3.12"</f>
        <v>C24A3.12</v>
      </c>
      <c r="F1225" t="s">
        <v>481</v>
      </c>
      <c r="H1225" s="12">
        <v>4.3653967363455903</v>
      </c>
      <c r="I1225" s="11">
        <v>0.72138825739898504</v>
      </c>
      <c r="J1225" s="10">
        <v>0.47067066929276302</v>
      </c>
      <c r="K1225" s="29">
        <v>0.98289565623980701</v>
      </c>
    </row>
    <row r="1226" spans="1:11" x14ac:dyDescent="0.35">
      <c r="A1226" s="9" t="str">
        <f>HYPERLINK("http://www.ensembl.org/id/WBGene00013170", "WBGene00013170")</f>
        <v>WBGene00013170</v>
      </c>
      <c r="B1226" s="9" t="str">
        <f>HYPERLINK("http://www.ncbi.nlm.nih.gov/gene/190221", "190221")</f>
        <v>190221</v>
      </c>
      <c r="C1226" s="9"/>
      <c r="D1226" t="str">
        <f>"Y53F4B.24"</f>
        <v>Y53F4B.24</v>
      </c>
      <c r="F1226" t="s">
        <v>11</v>
      </c>
      <c r="H1226" s="12">
        <v>4.3653967363455903</v>
      </c>
      <c r="I1226" s="11">
        <v>0.72138825739898504</v>
      </c>
      <c r="J1226" s="10">
        <v>0.47067066929276302</v>
      </c>
      <c r="K1226" s="29">
        <v>0.98289565623980701</v>
      </c>
    </row>
    <row r="1227" spans="1:11" x14ac:dyDescent="0.35">
      <c r="A1227" s="9" t="str">
        <f>HYPERLINK("http://www.ensembl.org/id/WBGene00044092", "WBGene00044092")</f>
        <v>WBGene00044092</v>
      </c>
      <c r="B1227" s="9" t="str">
        <f>HYPERLINK("http://www.ncbi.nlm.nih.gov/gene/3564793", "3564793")</f>
        <v>3564793</v>
      </c>
      <c r="C1227" s="9"/>
      <c r="D1227" t="str">
        <f>"srbc-71"</f>
        <v>srbc-71</v>
      </c>
      <c r="E1227" t="s">
        <v>3034</v>
      </c>
      <c r="F1227" t="s">
        <v>11</v>
      </c>
      <c r="G1227" t="s">
        <v>25</v>
      </c>
      <c r="H1227" s="12">
        <v>4.3633946837992301</v>
      </c>
      <c r="I1227" s="11">
        <v>0.89983265845026905</v>
      </c>
      <c r="J1227" s="10">
        <v>0.36820931163571002</v>
      </c>
      <c r="K1227" s="29">
        <v>0.98289565623980701</v>
      </c>
    </row>
    <row r="1228" spans="1:11" x14ac:dyDescent="0.35">
      <c r="A1228" s="9" t="str">
        <f>HYPERLINK("http://www.ensembl.org/id/WBGene00011582", "WBGene00011582")</f>
        <v>WBGene00011582</v>
      </c>
      <c r="B1228" s="9" t="str">
        <f>HYPERLINK("http://www.ncbi.nlm.nih.gov/gene/188227", "188227")</f>
        <v>188227</v>
      </c>
      <c r="C1228" s="9" t="str">
        <f>HYPERLINK("http://www.ncbi.nlm.nih.gov/gene/552", "552")</f>
        <v>552</v>
      </c>
      <c r="D1228" t="str">
        <f>"ntr-1"</f>
        <v>ntr-1</v>
      </c>
      <c r="E1228" t="s">
        <v>2684</v>
      </c>
      <c r="F1228" t="s">
        <v>11</v>
      </c>
      <c r="G1228" t="s">
        <v>1429</v>
      </c>
      <c r="H1228" s="12">
        <v>4.3615079618543602</v>
      </c>
      <c r="I1228" s="11">
        <v>1.6004941008856199</v>
      </c>
      <c r="J1228" s="10">
        <v>0.10948901455443601</v>
      </c>
      <c r="K1228" s="29">
        <v>0.760816436278963</v>
      </c>
    </row>
    <row r="1229" spans="1:11" x14ac:dyDescent="0.35">
      <c r="A1229" s="9" t="str">
        <f>HYPERLINK("http://www.ensembl.org/id/WBGene00016921", "WBGene00016921")</f>
        <v>WBGene00016921</v>
      </c>
      <c r="B1229" s="9" t="str">
        <f>HYPERLINK("http://www.ncbi.nlm.nih.gov/gene/183803", "183803")</f>
        <v>183803</v>
      </c>
      <c r="C1229" s="9"/>
      <c r="D1229" t="str">
        <f>"C54F6.3"</f>
        <v>C54F6.3</v>
      </c>
      <c r="F1229" t="s">
        <v>11</v>
      </c>
      <c r="G1229" t="s">
        <v>3419</v>
      </c>
      <c r="H1229" s="12">
        <v>4.3595216294978503</v>
      </c>
      <c r="I1229" s="11">
        <v>0.87894364470826203</v>
      </c>
      <c r="J1229" s="10">
        <v>0.37943183269229602</v>
      </c>
      <c r="K1229" s="29">
        <v>0.98289565623980701</v>
      </c>
    </row>
    <row r="1230" spans="1:11" x14ac:dyDescent="0.35">
      <c r="A1230" s="9" t="str">
        <f>HYPERLINK("http://www.ensembl.org/id/WBGene00017581", "WBGene00017581")</f>
        <v>WBGene00017581</v>
      </c>
      <c r="B1230" s="9" t="str">
        <f>HYPERLINK("http://www.ncbi.nlm.nih.gov/gene/184655", "184655")</f>
        <v>184655</v>
      </c>
      <c r="C1230" s="9"/>
      <c r="D1230" t="str">
        <f>"F18G5.5"</f>
        <v>F18G5.5</v>
      </c>
      <c r="F1230" t="s">
        <v>11</v>
      </c>
      <c r="H1230" s="12">
        <v>4.3593112263157199</v>
      </c>
      <c r="I1230" s="11">
        <v>0.72723062935163796</v>
      </c>
      <c r="J1230" s="10">
        <v>0.46708468585338098</v>
      </c>
      <c r="K1230" s="29">
        <v>0.98289565623980701</v>
      </c>
    </row>
    <row r="1231" spans="1:11" x14ac:dyDescent="0.35">
      <c r="A1231" s="9" t="str">
        <f>HYPERLINK("http://www.ensembl.org/id/WBGene00008647", "WBGene00008647")</f>
        <v>WBGene00008647</v>
      </c>
      <c r="B1231" s="9" t="str">
        <f>HYPERLINK("http://www.ncbi.nlm.nih.gov/gene/184290", "184290")</f>
        <v>184290</v>
      </c>
      <c r="C1231" s="9"/>
      <c r="D1231" t="str">
        <f>"F10C2.7"</f>
        <v>F10C2.7</v>
      </c>
      <c r="F1231" t="s">
        <v>11</v>
      </c>
      <c r="G1231" t="s">
        <v>230</v>
      </c>
      <c r="H1231" s="12">
        <v>4.35853294839883</v>
      </c>
      <c r="I1231" s="11">
        <v>1.1831342917363501</v>
      </c>
      <c r="J1231" s="10">
        <v>0.23675592927733699</v>
      </c>
      <c r="K1231" s="29">
        <v>0.98289565623980701</v>
      </c>
    </row>
    <row r="1232" spans="1:11" x14ac:dyDescent="0.35">
      <c r="A1232" s="9" t="str">
        <f>HYPERLINK("http://www.ensembl.org/id/WBGene00194855", "WBGene00194855")</f>
        <v>WBGene00194855</v>
      </c>
      <c r="B1232" s="9" t="str">
        <f>HYPERLINK("http://www.ncbi.nlm.nih.gov/gene/13191537", "13191537")</f>
        <v>13191537</v>
      </c>
      <c r="C1232" s="9"/>
      <c r="D1232" t="str">
        <f>"Y75B8A.44"</f>
        <v>Y75B8A.44</v>
      </c>
      <c r="F1232" t="s">
        <v>11</v>
      </c>
      <c r="G1232" t="s">
        <v>25</v>
      </c>
      <c r="H1232" s="12">
        <v>4.3487460983878803</v>
      </c>
      <c r="I1232" s="11">
        <v>4.4848604123359097</v>
      </c>
      <c r="J1232" s="10">
        <v>7.2961682870994497E-6</v>
      </c>
      <c r="K1232" s="29">
        <v>8.1050607904673097E-4</v>
      </c>
    </row>
    <row r="1233" spans="1:11" x14ac:dyDescent="0.35">
      <c r="A1233" s="9" t="str">
        <f>HYPERLINK("http://www.ensembl.org/id/WBGene00020151", "WBGene00020151")</f>
        <v>WBGene00020151</v>
      </c>
      <c r="B1233" s="9" t="str">
        <f>HYPERLINK("http://www.ncbi.nlm.nih.gov/gene/187961", "187961")</f>
        <v>187961</v>
      </c>
      <c r="C1233" s="9"/>
      <c r="D1233" t="str">
        <f>"T01G6.1"</f>
        <v>T01G6.1</v>
      </c>
      <c r="F1233" t="s">
        <v>11</v>
      </c>
      <c r="G1233" t="s">
        <v>489</v>
      </c>
      <c r="H1233" s="12">
        <v>4.3414588037554704</v>
      </c>
      <c r="I1233" s="11">
        <v>1.5584606596983801</v>
      </c>
      <c r="J1233" s="10">
        <v>0.119124086739548</v>
      </c>
      <c r="K1233" s="29">
        <v>0.78754825413562402</v>
      </c>
    </row>
    <row r="1234" spans="1:11" x14ac:dyDescent="0.35">
      <c r="A1234" s="9" t="str">
        <f>HYPERLINK("http://www.ensembl.org/id/WBGene00005438", "WBGene00005438")</f>
        <v>WBGene00005438</v>
      </c>
      <c r="B1234" s="9"/>
      <c r="C1234" s="9"/>
      <c r="D1234" t="str">
        <f>"srh-230"</f>
        <v>srh-230</v>
      </c>
      <c r="F1234" t="s">
        <v>80</v>
      </c>
      <c r="H1234" s="12">
        <v>4.3287477983577904</v>
      </c>
      <c r="I1234" s="11">
        <v>0.94943777739760404</v>
      </c>
      <c r="J1234" s="10">
        <v>0.34239800439454998</v>
      </c>
      <c r="K1234" s="29">
        <v>0.98289565623980701</v>
      </c>
    </row>
    <row r="1235" spans="1:11" x14ac:dyDescent="0.35">
      <c r="A1235" s="9" t="str">
        <f>HYPERLINK("http://www.ensembl.org/id/WBGene00005068", "WBGene00005068")</f>
        <v>WBGene00005068</v>
      </c>
      <c r="B1235" s="9" t="str">
        <f>HYPERLINK("http://www.ncbi.nlm.nih.gov/gene/191785", "191785")</f>
        <v>191785</v>
      </c>
      <c r="C1235" s="9"/>
      <c r="D1235" t="str">
        <f>"srb-3"</f>
        <v>srb-3</v>
      </c>
      <c r="E1235" t="s">
        <v>4280</v>
      </c>
      <c r="F1235" t="s">
        <v>11</v>
      </c>
      <c r="G1235" t="s">
        <v>4281</v>
      </c>
      <c r="H1235" s="12">
        <v>4.3194743173125101</v>
      </c>
      <c r="I1235" s="11">
        <v>0.61892720786406097</v>
      </c>
      <c r="J1235" s="10">
        <v>0.53596431367166497</v>
      </c>
      <c r="K1235" s="29">
        <v>0.98289565623980701</v>
      </c>
    </row>
    <row r="1236" spans="1:11" x14ac:dyDescent="0.35">
      <c r="A1236" s="9" t="str">
        <f>HYPERLINK("http://www.ensembl.org/id/WBGene00006020", "WBGene00006020")</f>
        <v>WBGene00006020</v>
      </c>
      <c r="B1236" s="9" t="str">
        <f>HYPERLINK("http://www.ncbi.nlm.nih.gov/gene/3565982", "3565982")</f>
        <v>3565982</v>
      </c>
      <c r="C1236" s="9"/>
      <c r="D1236" t="str">
        <f>"srx-129"</f>
        <v>srx-129</v>
      </c>
      <c r="E1236" t="s">
        <v>1477</v>
      </c>
      <c r="F1236" t="s">
        <v>11</v>
      </c>
      <c r="G1236" t="s">
        <v>25</v>
      </c>
      <c r="H1236" s="12">
        <v>4.3138113893638401</v>
      </c>
      <c r="I1236" s="11">
        <v>1.30031029289376</v>
      </c>
      <c r="J1236" s="10">
        <v>0.193494641706944</v>
      </c>
      <c r="K1236" s="29">
        <v>0.93396431821195902</v>
      </c>
    </row>
    <row r="1237" spans="1:11" x14ac:dyDescent="0.35">
      <c r="A1237" s="9" t="str">
        <f>HYPERLINK("http://www.ensembl.org/id/WBGene00009000", "WBGene00009000")</f>
        <v>WBGene00009000</v>
      </c>
      <c r="B1237" s="9" t="str">
        <f>HYPERLINK("http://www.ncbi.nlm.nih.gov/gene/184759", "184759")</f>
        <v>184759</v>
      </c>
      <c r="C1237" s="9"/>
      <c r="D1237" t="str">
        <f>"arrd-28"</f>
        <v>arrd-28</v>
      </c>
      <c r="E1237" t="s">
        <v>377</v>
      </c>
      <c r="F1237" t="s">
        <v>11</v>
      </c>
      <c r="G1237" t="s">
        <v>378</v>
      </c>
      <c r="H1237" s="12">
        <v>4.3047423058239103</v>
      </c>
      <c r="I1237" s="11">
        <v>1.88759285394865</v>
      </c>
      <c r="J1237" s="10">
        <v>5.9080630171337301E-2</v>
      </c>
      <c r="K1237" s="29">
        <v>0.572856500519899</v>
      </c>
    </row>
    <row r="1238" spans="1:11" x14ac:dyDescent="0.35">
      <c r="A1238" s="9" t="str">
        <f>HYPERLINK("http://www.ensembl.org/id/WBGene00020607", "WBGene00020607")</f>
        <v>WBGene00020607</v>
      </c>
      <c r="B1238" s="9" t="str">
        <f>HYPERLINK("http://www.ncbi.nlm.nih.gov/gene/188637", "188637")</f>
        <v>188637</v>
      </c>
      <c r="C1238" s="9"/>
      <c r="D1238" t="str">
        <f>"srab-20"</f>
        <v>srab-20</v>
      </c>
      <c r="E1238" t="s">
        <v>4203</v>
      </c>
      <c r="F1238" t="s">
        <v>11</v>
      </c>
      <c r="G1238" t="s">
        <v>25</v>
      </c>
      <c r="H1238" s="12">
        <v>4.2851982940731697</v>
      </c>
      <c r="I1238" s="11">
        <v>0.770612306271799</v>
      </c>
      <c r="J1238" s="10">
        <v>0.44093676466043102</v>
      </c>
      <c r="K1238" s="29">
        <v>0.98289565623980701</v>
      </c>
    </row>
    <row r="1239" spans="1:11" x14ac:dyDescent="0.35">
      <c r="A1239" s="9" t="str">
        <f>HYPERLINK("http://www.ensembl.org/id/WBGene00003879", "WBGene00003879")</f>
        <v>WBGene00003879</v>
      </c>
      <c r="B1239" s="9" t="str">
        <f>HYPERLINK("http://www.ncbi.nlm.nih.gov/gene/191739", "191739")</f>
        <v>191739</v>
      </c>
      <c r="C1239" s="9"/>
      <c r="D1239" t="str">
        <f>"ora-1"</f>
        <v>ora-1</v>
      </c>
      <c r="E1239" t="s">
        <v>1115</v>
      </c>
      <c r="F1239" t="s">
        <v>11</v>
      </c>
      <c r="H1239" s="12">
        <v>4.2805782460703403</v>
      </c>
      <c r="I1239" s="11">
        <v>2.4713766179282901</v>
      </c>
      <c r="J1239" s="10">
        <v>1.34593987318944E-2</v>
      </c>
      <c r="K1239" s="29">
        <v>0.23585423625429</v>
      </c>
    </row>
    <row r="1240" spans="1:11" x14ac:dyDescent="0.35">
      <c r="A1240" s="9" t="str">
        <f>HYPERLINK("http://www.ensembl.org/id/WBGene00219444", "WBGene00219444")</f>
        <v>WBGene00219444</v>
      </c>
      <c r="B1240" s="9"/>
      <c r="C1240" s="9"/>
      <c r="D1240" t="str">
        <f>"Y41E3.461"</f>
        <v>Y41E3.461</v>
      </c>
      <c r="F1240" t="s">
        <v>481</v>
      </c>
      <c r="H1240" s="12">
        <v>4.2795170926571204</v>
      </c>
      <c r="I1240" s="11">
        <v>0.96551102089928598</v>
      </c>
      <c r="J1240" s="10">
        <v>0.33428891861743298</v>
      </c>
      <c r="K1240" s="29">
        <v>0.98289565623980701</v>
      </c>
    </row>
    <row r="1241" spans="1:11" x14ac:dyDescent="0.35">
      <c r="A1241" s="9" t="str">
        <f>HYPERLINK("http://www.ensembl.org/id/WBGene00194896", "WBGene00194896")</f>
        <v>WBGene00194896</v>
      </c>
      <c r="B1241" s="9" t="str">
        <f>HYPERLINK("http://www.ncbi.nlm.nih.gov/gene/13211997", "13211997")</f>
        <v>13211997</v>
      </c>
      <c r="C1241" s="9"/>
      <c r="D1241" t="str">
        <f>"W02H5.11"</f>
        <v>W02H5.11</v>
      </c>
      <c r="F1241" t="s">
        <v>11</v>
      </c>
      <c r="G1241" t="s">
        <v>25</v>
      </c>
      <c r="H1241" s="12">
        <v>4.2794957102261098</v>
      </c>
      <c r="I1241" s="11">
        <v>0.67243333028224705</v>
      </c>
      <c r="J1241" s="10">
        <v>0.50130787004348398</v>
      </c>
      <c r="K1241" s="29">
        <v>0.98289565623980701</v>
      </c>
    </row>
    <row r="1242" spans="1:11" x14ac:dyDescent="0.35">
      <c r="A1242" s="9" t="str">
        <f>HYPERLINK("http://www.ensembl.org/id/WBGene00008475", "WBGene00008475")</f>
        <v>WBGene00008475</v>
      </c>
      <c r="B1242" s="9" t="str">
        <f>HYPERLINK("http://www.ncbi.nlm.nih.gov/gene/184022", "184022")</f>
        <v>184022</v>
      </c>
      <c r="C1242" s="9"/>
      <c r="D1242" t="str">
        <f>"oac-13"</f>
        <v>oac-13</v>
      </c>
      <c r="E1242" t="s">
        <v>883</v>
      </c>
      <c r="F1242" t="s">
        <v>11</v>
      </c>
      <c r="G1242" t="s">
        <v>1992</v>
      </c>
      <c r="H1242" s="12">
        <v>4.2779691524712202</v>
      </c>
      <c r="I1242" s="11">
        <v>0.76718871504814701</v>
      </c>
      <c r="J1242" s="10">
        <v>0.44296932147602802</v>
      </c>
      <c r="K1242" s="29">
        <v>0.98289565623980701</v>
      </c>
    </row>
    <row r="1243" spans="1:11" x14ac:dyDescent="0.35">
      <c r="A1243" s="9" t="str">
        <f>HYPERLINK("http://www.ensembl.org/id/WBGene00016682", "WBGene00016682")</f>
        <v>WBGene00016682</v>
      </c>
      <c r="B1243" s="9" t="str">
        <f>HYPERLINK("http://www.ncbi.nlm.nih.gov/gene/175690", "175690")</f>
        <v>175690</v>
      </c>
      <c r="C1243" s="9"/>
      <c r="D1243" t="str">
        <f>"C45G9.11"</f>
        <v>C45G9.11</v>
      </c>
      <c r="F1243" t="s">
        <v>11</v>
      </c>
      <c r="H1243" s="12">
        <v>4.2771805981657502</v>
      </c>
      <c r="I1243" s="11">
        <v>1.87648956984236</v>
      </c>
      <c r="J1243" s="10">
        <v>6.05880855862986E-2</v>
      </c>
      <c r="K1243" s="29">
        <v>0.58089141309419701</v>
      </c>
    </row>
    <row r="1244" spans="1:11" x14ac:dyDescent="0.35">
      <c r="A1244" s="9" t="str">
        <f>HYPERLINK("http://www.ensembl.org/id/WBGene00019269", "WBGene00019269")</f>
        <v>WBGene00019269</v>
      </c>
      <c r="B1244" s="9" t="str">
        <f>HYPERLINK("http://www.ncbi.nlm.nih.gov/gene/186812", "186812")</f>
        <v>186812</v>
      </c>
      <c r="C1244" s="9"/>
      <c r="D1244" t="str">
        <f>"H41C03.2"</f>
        <v>H41C03.2</v>
      </c>
      <c r="F1244" t="s">
        <v>11</v>
      </c>
      <c r="G1244" t="s">
        <v>29</v>
      </c>
      <c r="H1244" s="12">
        <v>4.2771424103087998</v>
      </c>
      <c r="I1244" s="11">
        <v>1.5522748789405501</v>
      </c>
      <c r="J1244" s="10">
        <v>0.120596466082648</v>
      </c>
      <c r="K1244" s="29">
        <v>0.79107189237980402</v>
      </c>
    </row>
    <row r="1245" spans="1:11" x14ac:dyDescent="0.35">
      <c r="A1245" s="9" t="str">
        <f>HYPERLINK("http://www.ensembl.org/id/WBGene00018751", "WBGene00018751")</f>
        <v>WBGene00018751</v>
      </c>
      <c r="B1245" s="9" t="str">
        <f>HYPERLINK("http://www.ncbi.nlm.nih.gov/gene/186161", "186161")</f>
        <v>186161</v>
      </c>
      <c r="C1245" s="9"/>
      <c r="D1245" t="str">
        <f>"F53C3.7"</f>
        <v>F53C3.7</v>
      </c>
      <c r="F1245" t="s">
        <v>11</v>
      </c>
      <c r="H1245" s="12">
        <v>4.2765842174303801</v>
      </c>
      <c r="I1245" s="11">
        <v>0.88800640479805704</v>
      </c>
      <c r="J1245" s="10">
        <v>0.37453730611411501</v>
      </c>
      <c r="K1245" s="29">
        <v>0.98289565623980701</v>
      </c>
    </row>
    <row r="1246" spans="1:11" x14ac:dyDescent="0.35">
      <c r="A1246" s="9" t="str">
        <f>HYPERLINK("http://www.ensembl.org/id/WBGene00007821", "WBGene00007821")</f>
        <v>WBGene00007821</v>
      </c>
      <c r="B1246" s="9"/>
      <c r="C1246" s="9"/>
      <c r="D1246" t="str">
        <f>"clec-201"</f>
        <v>clec-201</v>
      </c>
      <c r="F1246" t="s">
        <v>80</v>
      </c>
      <c r="H1246" s="12">
        <v>4.2749086641464196</v>
      </c>
      <c r="I1246" s="11">
        <v>1.49508987083559</v>
      </c>
      <c r="J1246" s="10">
        <v>0.13489098904779701</v>
      </c>
      <c r="K1246" s="29">
        <v>0.82412987827234196</v>
      </c>
    </row>
    <row r="1247" spans="1:11" x14ac:dyDescent="0.35">
      <c r="A1247" s="9" t="str">
        <f>HYPERLINK("http://www.ensembl.org/id/WBGene00008892", "WBGene00008892")</f>
        <v>WBGene00008892</v>
      </c>
      <c r="B1247" s="9" t="str">
        <f>HYPERLINK("http://www.ncbi.nlm.nih.gov/gene/184589", "184589")</f>
        <v>184589</v>
      </c>
      <c r="C1247" s="9"/>
      <c r="D1247" t="str">
        <f>"clec-246"</f>
        <v>clec-246</v>
      </c>
      <c r="E1247" t="s">
        <v>46</v>
      </c>
      <c r="F1247" t="s">
        <v>11</v>
      </c>
      <c r="G1247" t="s">
        <v>47</v>
      </c>
      <c r="H1247" s="12">
        <v>4.2725442514304204</v>
      </c>
      <c r="I1247" s="11">
        <v>1.0138307852041</v>
      </c>
      <c r="J1247" s="10">
        <v>0.31066350288807498</v>
      </c>
      <c r="K1247" s="29">
        <v>0.98289565623980701</v>
      </c>
    </row>
    <row r="1248" spans="1:11" x14ac:dyDescent="0.35">
      <c r="A1248" s="9" t="str">
        <f>HYPERLINK("http://www.ensembl.org/id/WBGene00011999", "WBGene00011999")</f>
        <v>WBGene00011999</v>
      </c>
      <c r="B1248" s="9" t="str">
        <f>HYPERLINK("http://www.ncbi.nlm.nih.gov/gene/3565098", "3565098")</f>
        <v>3565098</v>
      </c>
      <c r="C1248" s="9"/>
      <c r="D1248" t="str">
        <f>"T24F1.7"</f>
        <v>T24F1.7</v>
      </c>
      <c r="F1248" t="s">
        <v>11</v>
      </c>
      <c r="G1248" t="s">
        <v>25</v>
      </c>
      <c r="H1248" s="12">
        <v>4.2642942414312603</v>
      </c>
      <c r="I1248" s="11">
        <v>1.41281034438713</v>
      </c>
      <c r="J1248" s="10">
        <v>0.15771149588028099</v>
      </c>
      <c r="K1248" s="29">
        <v>0.86887978631611396</v>
      </c>
    </row>
    <row r="1249" spans="1:11" x14ac:dyDescent="0.35">
      <c r="A1249" s="9" t="str">
        <f>HYPERLINK("http://www.ensembl.org/id/WBGene00017937", "WBGene00017937")</f>
        <v>WBGene00017937</v>
      </c>
      <c r="B1249" s="9" t="str">
        <f>HYPERLINK("http://www.ncbi.nlm.nih.gov/gene/175207", "175207")</f>
        <v>175207</v>
      </c>
      <c r="C1249" s="9"/>
      <c r="D1249" t="str">
        <f>"F30H5.3"</f>
        <v>F30H5.3</v>
      </c>
      <c r="F1249" t="s">
        <v>11</v>
      </c>
      <c r="G1249" t="s">
        <v>50</v>
      </c>
      <c r="H1249" s="12">
        <v>4.2568876422669497</v>
      </c>
      <c r="I1249" s="11">
        <v>1.53751638547225</v>
      </c>
      <c r="J1249" s="10">
        <v>0.12416690566468799</v>
      </c>
      <c r="K1249" s="29">
        <v>0.79849722301371495</v>
      </c>
    </row>
    <row r="1250" spans="1:11" x14ac:dyDescent="0.35">
      <c r="A1250" s="9" t="str">
        <f>HYPERLINK("http://www.ensembl.org/id/WBGene00219834", "WBGene00219834")</f>
        <v>WBGene00219834</v>
      </c>
      <c r="B1250" s="9"/>
      <c r="C1250" s="9"/>
      <c r="D1250" t="str">
        <f>"C26C6.13"</f>
        <v>C26C6.13</v>
      </c>
      <c r="F1250" t="s">
        <v>2977</v>
      </c>
      <c r="H1250" s="12">
        <v>4.2542934820863598</v>
      </c>
      <c r="I1250" s="11">
        <v>0.743282817155419</v>
      </c>
      <c r="J1250" s="10">
        <v>0.45731047235032202</v>
      </c>
      <c r="K1250" s="29">
        <v>0.98289565623980701</v>
      </c>
    </row>
    <row r="1251" spans="1:11" x14ac:dyDescent="0.35">
      <c r="A1251" s="9" t="str">
        <f>HYPERLINK("http://www.ensembl.org/id/WBGene00012818", "WBGene00012818")</f>
        <v>WBGene00012818</v>
      </c>
      <c r="B1251" s="9" t="str">
        <f>HYPERLINK("http://www.ncbi.nlm.nih.gov/gene/189872", "189872")</f>
        <v>189872</v>
      </c>
      <c r="C1251" s="9"/>
      <c r="D1251" t="str">
        <f>"Y43F8B.7"</f>
        <v>Y43F8B.7</v>
      </c>
      <c r="F1251" t="s">
        <v>11</v>
      </c>
      <c r="H1251" s="12">
        <v>4.2410968410785603</v>
      </c>
      <c r="I1251" s="11">
        <v>0.94134356194201496</v>
      </c>
      <c r="J1251" s="10">
        <v>0.34652882575353</v>
      </c>
      <c r="K1251" s="29">
        <v>0.98289565623980701</v>
      </c>
    </row>
    <row r="1252" spans="1:11" x14ac:dyDescent="0.35">
      <c r="A1252" s="9" t="str">
        <f>HYPERLINK("http://www.ensembl.org/id/WBGene00201960", "WBGene00201960")</f>
        <v>WBGene00201960</v>
      </c>
      <c r="B1252" s="9"/>
      <c r="C1252" s="9"/>
      <c r="D1252" t="str">
        <f>"C05E11.17"</f>
        <v>C05E11.17</v>
      </c>
      <c r="F1252" t="s">
        <v>481</v>
      </c>
      <c r="H1252" s="12">
        <v>4.2409962784174802</v>
      </c>
      <c r="I1252" s="11">
        <v>0.75508774018714298</v>
      </c>
      <c r="J1252" s="10">
        <v>0.450196338705175</v>
      </c>
      <c r="K1252" s="29">
        <v>0.98289565623980701</v>
      </c>
    </row>
    <row r="1253" spans="1:11" x14ac:dyDescent="0.35">
      <c r="A1253" s="9" t="str">
        <f>HYPERLINK("http://www.ensembl.org/id/WBGene00009720", "WBGene00009720")</f>
        <v>WBGene00009720</v>
      </c>
      <c r="B1253" s="9" t="str">
        <f>HYPERLINK("http://www.ncbi.nlm.nih.gov/gene/181589", "181589")</f>
        <v>181589</v>
      </c>
      <c r="C1253" s="9"/>
      <c r="D1253" t="str">
        <f>"F45B8.3"</f>
        <v>F45B8.3</v>
      </c>
      <c r="F1253" t="s">
        <v>11</v>
      </c>
      <c r="G1253" t="s">
        <v>54</v>
      </c>
      <c r="H1253" s="12">
        <v>4.2360860508411298</v>
      </c>
      <c r="I1253" s="11">
        <v>0.74365181493025001</v>
      </c>
      <c r="J1253" s="10">
        <v>0.45708714750129498</v>
      </c>
      <c r="K1253" s="29">
        <v>0.98289565623980701</v>
      </c>
    </row>
    <row r="1254" spans="1:11" x14ac:dyDescent="0.35">
      <c r="A1254" s="9" t="str">
        <f>HYPERLINK("http://www.ensembl.org/id/WBGene00010088", "WBGene00010088")</f>
        <v>WBGene00010088</v>
      </c>
      <c r="B1254" s="9" t="str">
        <f>HYPERLINK("http://www.ncbi.nlm.nih.gov/gene/186281", "186281")</f>
        <v>186281</v>
      </c>
      <c r="C1254" s="9"/>
      <c r="D1254" t="str">
        <f>"F55B12.2"</f>
        <v>F55B12.2</v>
      </c>
      <c r="F1254" t="s">
        <v>11</v>
      </c>
      <c r="G1254" t="s">
        <v>3419</v>
      </c>
      <c r="H1254" s="12">
        <v>4.2359172472029503</v>
      </c>
      <c r="I1254" s="11">
        <v>0.80022127717256297</v>
      </c>
      <c r="J1254" s="10">
        <v>0.42358260425921901</v>
      </c>
      <c r="K1254" s="29">
        <v>0.98289565623980701</v>
      </c>
    </row>
    <row r="1255" spans="1:11" x14ac:dyDescent="0.35">
      <c r="A1255" s="9" t="str">
        <f>HYPERLINK("http://www.ensembl.org/id/WBGene00016328", "WBGene00016328")</f>
        <v>WBGene00016328</v>
      </c>
      <c r="B1255" s="9" t="str">
        <f>HYPERLINK("http://www.ncbi.nlm.nih.gov/gene/183125", "183125")</f>
        <v>183125</v>
      </c>
      <c r="C1255" s="9" t="str">
        <f>HYPERLINK("http://www.ncbi.nlm.nih.gov/gene/10846", "10846")</f>
        <v>10846</v>
      </c>
      <c r="D1255" t="str">
        <f>"pde-5"</f>
        <v>pde-5</v>
      </c>
      <c r="E1255" t="s">
        <v>2506</v>
      </c>
      <c r="F1255" t="s">
        <v>11</v>
      </c>
      <c r="G1255" t="s">
        <v>2507</v>
      </c>
      <c r="H1255" s="12">
        <v>4.2318519863345596</v>
      </c>
      <c r="I1255" s="11">
        <v>1.6609559124426601</v>
      </c>
      <c r="J1255" s="10">
        <v>9.6722301534765603E-2</v>
      </c>
      <c r="K1255" s="29">
        <v>0.71986317387019505</v>
      </c>
    </row>
    <row r="1256" spans="1:11" x14ac:dyDescent="0.35">
      <c r="A1256" s="9" t="str">
        <f>HYPERLINK("http://www.ensembl.org/id/WBGene00021837", "WBGene00021837")</f>
        <v>WBGene00021837</v>
      </c>
      <c r="B1256" s="9" t="str">
        <f>HYPERLINK("http://www.ncbi.nlm.nih.gov/gene/190262", "190262")</f>
        <v>190262</v>
      </c>
      <c r="C1256" s="9"/>
      <c r="D1256" t="str">
        <f>"Y54E10BL.1"</f>
        <v>Y54E10BL.1</v>
      </c>
      <c r="F1256" t="s">
        <v>11</v>
      </c>
      <c r="H1256" s="12">
        <v>4.2317185258930703</v>
      </c>
      <c r="I1256" s="11">
        <v>1.3112010220419399</v>
      </c>
      <c r="J1256" s="10">
        <v>0.18978985716635199</v>
      </c>
      <c r="K1256" s="29">
        <v>0.92834517192120303</v>
      </c>
    </row>
    <row r="1257" spans="1:11" x14ac:dyDescent="0.35">
      <c r="A1257" s="9" t="str">
        <f>HYPERLINK("http://www.ensembl.org/id/WBGene00015006", "WBGene00015006")</f>
        <v>WBGene00015006</v>
      </c>
      <c r="B1257" s="9" t="str">
        <f>HYPERLINK("http://www.ncbi.nlm.nih.gov/gene/181822", "181822")</f>
        <v>181822</v>
      </c>
      <c r="C1257" s="9"/>
      <c r="D1257" t="str">
        <f>"B0041.1"</f>
        <v>B0041.1</v>
      </c>
      <c r="F1257" t="s">
        <v>11</v>
      </c>
      <c r="H1257" s="12">
        <v>4.2308484953464003</v>
      </c>
      <c r="I1257" s="11">
        <v>0.790460301805195</v>
      </c>
      <c r="J1257" s="10">
        <v>0.42925899747375101</v>
      </c>
      <c r="K1257" s="29">
        <v>0.98289565623980701</v>
      </c>
    </row>
    <row r="1258" spans="1:11" x14ac:dyDescent="0.35">
      <c r="A1258" s="9" t="str">
        <f>HYPERLINK("http://www.ensembl.org/id/WBGene00009597", "WBGene00009597")</f>
        <v>WBGene00009597</v>
      </c>
      <c r="B1258" s="9" t="str">
        <f>HYPERLINK("http://www.ncbi.nlm.nih.gov/gene/185562", "185562")</f>
        <v>185562</v>
      </c>
      <c r="C1258" s="9"/>
      <c r="D1258" t="str">
        <f>"F40G12.2"</f>
        <v>F40G12.2</v>
      </c>
      <c r="F1258" t="s">
        <v>11</v>
      </c>
      <c r="H1258" s="12">
        <v>4.2215357877668298</v>
      </c>
      <c r="I1258" s="11">
        <v>1.6886040468769199</v>
      </c>
      <c r="J1258" s="10">
        <v>9.1295334635191794E-2</v>
      </c>
      <c r="K1258" s="29">
        <v>0.69916970918546395</v>
      </c>
    </row>
    <row r="1259" spans="1:11" x14ac:dyDescent="0.35">
      <c r="A1259" s="9" t="str">
        <f>HYPERLINK("http://www.ensembl.org/id/WBGene00219638", "WBGene00219638")</f>
        <v>WBGene00219638</v>
      </c>
      <c r="B1259" s="9"/>
      <c r="C1259" s="9"/>
      <c r="D1259" t="str">
        <f>"anr-29"</f>
        <v>anr-29</v>
      </c>
      <c r="F1259" t="s">
        <v>2735</v>
      </c>
      <c r="H1259" s="12">
        <v>4.2190244457218604</v>
      </c>
      <c r="I1259" s="11">
        <v>1.3155405496216199</v>
      </c>
      <c r="J1259" s="10">
        <v>0.18832829872031001</v>
      </c>
      <c r="K1259" s="29">
        <v>0.926925636501717</v>
      </c>
    </row>
    <row r="1260" spans="1:11" x14ac:dyDescent="0.35">
      <c r="A1260" s="9" t="str">
        <f>HYPERLINK("http://www.ensembl.org/id/WBGene00019423", "WBGene00019423")</f>
        <v>WBGene00019423</v>
      </c>
      <c r="B1260" s="9" t="str">
        <f>HYPERLINK("http://www.ncbi.nlm.nih.gov/gene/187041", "187041")</f>
        <v>187041</v>
      </c>
      <c r="C1260" s="9"/>
      <c r="D1260" t="str">
        <f>"K05G3.2"</f>
        <v>K05G3.2</v>
      </c>
      <c r="F1260" t="s">
        <v>11</v>
      </c>
      <c r="H1260" s="12">
        <v>4.20759613761276</v>
      </c>
      <c r="I1260" s="11">
        <v>0.97151061054589005</v>
      </c>
      <c r="J1260" s="10">
        <v>0.33129407196532401</v>
      </c>
      <c r="K1260" s="29">
        <v>0.98289565623980701</v>
      </c>
    </row>
    <row r="1261" spans="1:11" x14ac:dyDescent="0.35">
      <c r="A1261" s="9" t="str">
        <f>HYPERLINK("http://www.ensembl.org/id/WBGene00044030", "WBGene00044030")</f>
        <v>WBGene00044030</v>
      </c>
      <c r="B1261" s="9" t="str">
        <f>HYPERLINK("http://www.ncbi.nlm.nih.gov/gene/3565812", "3565812")</f>
        <v>3565812</v>
      </c>
      <c r="C1261" s="9"/>
      <c r="D1261" t="str">
        <f>"Y17G7B.23"</f>
        <v>Y17G7B.23</v>
      </c>
      <c r="F1261" t="s">
        <v>11</v>
      </c>
      <c r="H1261" s="12">
        <v>4.19949746545685</v>
      </c>
      <c r="I1261" s="11">
        <v>2.06121418384972</v>
      </c>
      <c r="J1261" s="10">
        <v>3.9282610946987803E-2</v>
      </c>
      <c r="K1261" s="29">
        <v>0.45726146526</v>
      </c>
    </row>
    <row r="1262" spans="1:11" x14ac:dyDescent="0.35">
      <c r="A1262" s="9" t="str">
        <f>HYPERLINK("http://www.ensembl.org/id/WBGene00005095", "WBGene00005095")</f>
        <v>WBGene00005095</v>
      </c>
      <c r="B1262" s="9" t="str">
        <f>HYPERLINK("http://www.ncbi.nlm.nih.gov/gene/191806", "191806")</f>
        <v>191806</v>
      </c>
      <c r="C1262" s="9"/>
      <c r="D1262" t="str">
        <f>"srd-17"</f>
        <v>srd-17</v>
      </c>
      <c r="E1262" t="s">
        <v>1513</v>
      </c>
      <c r="F1262" t="s">
        <v>11</v>
      </c>
      <c r="G1262" t="s">
        <v>25</v>
      </c>
      <c r="H1262" s="12">
        <v>4.1920718223315099</v>
      </c>
      <c r="I1262" s="11">
        <v>0.63656057120054599</v>
      </c>
      <c r="J1262" s="10">
        <v>0.52441111484485303</v>
      </c>
      <c r="K1262" s="29">
        <v>0.98289565623980701</v>
      </c>
    </row>
    <row r="1263" spans="1:11" x14ac:dyDescent="0.35">
      <c r="A1263" s="9" t="str">
        <f>HYPERLINK("http://www.ensembl.org/id/WBGene00020599", "WBGene00020599")</f>
        <v>WBGene00020599</v>
      </c>
      <c r="B1263" s="9" t="str">
        <f>HYPERLINK("http://www.ncbi.nlm.nih.gov/gene/188630", "188630")</f>
        <v>188630</v>
      </c>
      <c r="C1263" s="9"/>
      <c r="D1263" t="str">
        <f>"T20B6.3"</f>
        <v>T20B6.3</v>
      </c>
      <c r="F1263" t="s">
        <v>11</v>
      </c>
      <c r="H1263" s="12">
        <v>4.1881835484810797</v>
      </c>
      <c r="I1263" s="11">
        <v>5.4918426898521302</v>
      </c>
      <c r="J1263" s="10">
        <v>3.9776161465839699E-8</v>
      </c>
      <c r="K1263" s="29">
        <v>1.09412855574963E-5</v>
      </c>
    </row>
    <row r="1264" spans="1:11" x14ac:dyDescent="0.35">
      <c r="A1264" s="9" t="str">
        <f>HYPERLINK("http://www.ensembl.org/id/WBGene00020590", "WBGene00020590")</f>
        <v>WBGene00020590</v>
      </c>
      <c r="B1264" s="9" t="str">
        <f>HYPERLINK("http://www.ncbi.nlm.nih.gov/gene/188617", "188617")</f>
        <v>188617</v>
      </c>
      <c r="C1264" s="9"/>
      <c r="D1264" t="str">
        <f>"T19H12.6"</f>
        <v>T19H12.6</v>
      </c>
      <c r="F1264" t="s">
        <v>11</v>
      </c>
      <c r="G1264" t="s">
        <v>1617</v>
      </c>
      <c r="H1264" s="12">
        <v>4.1873030469517101</v>
      </c>
      <c r="I1264" s="11">
        <v>2.0675043158105701</v>
      </c>
      <c r="J1264" s="10">
        <v>3.8686657951662498E-2</v>
      </c>
      <c r="K1264" s="29">
        <v>0.45308939075798299</v>
      </c>
    </row>
    <row r="1265" spans="1:11" x14ac:dyDescent="0.35">
      <c r="A1265" s="9" t="str">
        <f>HYPERLINK("http://www.ensembl.org/id/WBGene00000730", "WBGene00000730")</f>
        <v>WBGene00000730</v>
      </c>
      <c r="B1265" s="9" t="str">
        <f>HYPERLINK("http://www.ncbi.nlm.nih.gov/gene/188426", "188426")</f>
        <v>188426</v>
      </c>
      <c r="C1265" s="9"/>
      <c r="D1265" t="str">
        <f>"col-157"</f>
        <v>col-157</v>
      </c>
      <c r="E1265" t="s">
        <v>40</v>
      </c>
      <c r="F1265" t="s">
        <v>11</v>
      </c>
      <c r="G1265" t="s">
        <v>41</v>
      </c>
      <c r="H1265" s="12">
        <v>4.1695429720450798</v>
      </c>
      <c r="I1265" s="11">
        <v>1.5217595881202299</v>
      </c>
      <c r="J1265" s="10">
        <v>0.12806933073112001</v>
      </c>
      <c r="K1265" s="29">
        <v>0.80741335767347</v>
      </c>
    </row>
    <row r="1266" spans="1:11" x14ac:dyDescent="0.35">
      <c r="A1266" s="9" t="str">
        <f>HYPERLINK("http://www.ensembl.org/id/WBGene00219490", "WBGene00219490")</f>
        <v>WBGene00219490</v>
      </c>
      <c r="B1266" s="9"/>
      <c r="C1266" s="9"/>
      <c r="D1266" t="str">
        <f>"Y116A8B.98"</f>
        <v>Y116A8B.98</v>
      </c>
      <c r="F1266" t="s">
        <v>481</v>
      </c>
      <c r="H1266" s="12">
        <v>4.1604021068056998</v>
      </c>
      <c r="I1266" s="11">
        <v>0.82248506523690801</v>
      </c>
      <c r="J1266" s="10">
        <v>0.41080088316607799</v>
      </c>
      <c r="K1266" s="29">
        <v>0.98289565623980701</v>
      </c>
    </row>
    <row r="1267" spans="1:11" x14ac:dyDescent="0.35">
      <c r="A1267" s="9" t="str">
        <f>HYPERLINK("http://www.ensembl.org/id/WBGene00021731", "WBGene00021731")</f>
        <v>WBGene00021731</v>
      </c>
      <c r="B1267" s="9" t="str">
        <f>HYPERLINK("http://www.ncbi.nlm.nih.gov/gene/190090", "190090")</f>
        <v>190090</v>
      </c>
      <c r="C1267" s="9"/>
      <c r="D1267" t="str">
        <f>"Y49G5A.1"</f>
        <v>Y49G5A.1</v>
      </c>
      <c r="F1267" t="s">
        <v>11</v>
      </c>
      <c r="G1267" t="s">
        <v>50</v>
      </c>
      <c r="H1267" s="12">
        <v>4.1536505573392999</v>
      </c>
      <c r="I1267" s="11">
        <v>0.66956949505144103</v>
      </c>
      <c r="J1267" s="10">
        <v>0.50313226559565805</v>
      </c>
      <c r="K1267" s="29">
        <v>0.98289565623980701</v>
      </c>
    </row>
    <row r="1268" spans="1:11" x14ac:dyDescent="0.35">
      <c r="A1268" s="9" t="str">
        <f>HYPERLINK("http://www.ensembl.org/id/WBGene00013753", "WBGene00013753")</f>
        <v>WBGene00013753</v>
      </c>
      <c r="B1268" s="9" t="str">
        <f>HYPERLINK("http://www.ncbi.nlm.nih.gov/gene/259683", "259683")</f>
        <v>259683</v>
      </c>
      <c r="C1268" s="9"/>
      <c r="D1268" t="str">
        <f>"Y113G7A.16"</f>
        <v>Y113G7A.16</v>
      </c>
      <c r="F1268" t="s">
        <v>11</v>
      </c>
      <c r="H1268" s="12">
        <v>4.1483947449502203</v>
      </c>
      <c r="I1268" s="11">
        <v>1.8597774494777499</v>
      </c>
      <c r="J1268" s="10">
        <v>6.2917019102009294E-2</v>
      </c>
      <c r="K1268" s="29">
        <v>0.59311941467527396</v>
      </c>
    </row>
    <row r="1269" spans="1:11" x14ac:dyDescent="0.35">
      <c r="A1269" s="9" t="str">
        <f>HYPERLINK("http://www.ensembl.org/id/WBGene00009313", "WBGene00009313")</f>
        <v>WBGene00009313</v>
      </c>
      <c r="B1269" s="9" t="str">
        <f>HYPERLINK("http://www.ncbi.nlm.nih.gov/gene/173036", "173036")</f>
        <v>173036</v>
      </c>
      <c r="C1269" s="9"/>
      <c r="D1269" t="str">
        <f>"F32B4.2"</f>
        <v>F32B4.2</v>
      </c>
      <c r="F1269" t="s">
        <v>11</v>
      </c>
      <c r="G1269" t="s">
        <v>3716</v>
      </c>
      <c r="H1269" s="12">
        <v>4.1451127132934404</v>
      </c>
      <c r="I1269" s="11">
        <v>1.3166049447807799</v>
      </c>
      <c r="J1269" s="10">
        <v>0.18797108047189301</v>
      </c>
      <c r="K1269" s="29">
        <v>0.92587077070636803</v>
      </c>
    </row>
    <row r="1270" spans="1:11" x14ac:dyDescent="0.35">
      <c r="A1270" s="9" t="str">
        <f>HYPERLINK("http://www.ensembl.org/id/WBGene00195179", "WBGene00195179")</f>
        <v>WBGene00195179</v>
      </c>
      <c r="B1270" s="9" t="str">
        <f>HYPERLINK("http://www.ncbi.nlm.nih.gov/gene/13180223", "13180223")</f>
        <v>13180223</v>
      </c>
      <c r="C1270" s="9"/>
      <c r="D1270" t="str">
        <f>"F48C1.11"</f>
        <v>F48C1.11</v>
      </c>
      <c r="F1270" t="s">
        <v>11</v>
      </c>
      <c r="H1270" s="12">
        <v>4.1364862084811902</v>
      </c>
      <c r="I1270" s="11">
        <v>2.1136639247598201</v>
      </c>
      <c r="J1270" s="10">
        <v>3.4543981782698102E-2</v>
      </c>
      <c r="K1270" s="29">
        <v>0.423481329644674</v>
      </c>
    </row>
    <row r="1271" spans="1:11" x14ac:dyDescent="0.35">
      <c r="A1271" s="9" t="str">
        <f>HYPERLINK("http://www.ensembl.org/id/WBGene00044428", "WBGene00044428")</f>
        <v>WBGene00044428</v>
      </c>
      <c r="B1271" s="9" t="str">
        <f>HYPERLINK("http://www.ncbi.nlm.nih.gov/gene/3565618", "3565618")</f>
        <v>3565618</v>
      </c>
      <c r="C1271" s="9"/>
      <c r="D1271" t="str">
        <f>"T01D1.7"</f>
        <v>T01D1.7</v>
      </c>
      <c r="F1271" t="s">
        <v>11</v>
      </c>
      <c r="G1271" t="s">
        <v>25</v>
      </c>
      <c r="H1271" s="12">
        <v>4.1188998438779398</v>
      </c>
      <c r="I1271" s="11">
        <v>0.78344615504228199</v>
      </c>
      <c r="J1271" s="10">
        <v>0.43336516143887899</v>
      </c>
      <c r="K1271" s="29">
        <v>0.98289565623980701</v>
      </c>
    </row>
    <row r="1272" spans="1:11" x14ac:dyDescent="0.35">
      <c r="A1272" s="9" t="str">
        <f>HYPERLINK("http://www.ensembl.org/id/WBGene00022246", "WBGene00022246")</f>
        <v>WBGene00022246</v>
      </c>
      <c r="B1272" s="9" t="str">
        <f>HYPERLINK("http://www.ncbi.nlm.nih.gov/gene/190656", "190656")</f>
        <v>190656</v>
      </c>
      <c r="C1272" s="9"/>
      <c r="D1272" t="str">
        <f>"acp-7"</f>
        <v>acp-7</v>
      </c>
      <c r="E1272" t="s">
        <v>36</v>
      </c>
      <c r="F1272" t="s">
        <v>11</v>
      </c>
      <c r="G1272" t="s">
        <v>37</v>
      </c>
      <c r="H1272" s="12">
        <v>4.11841391545736</v>
      </c>
      <c r="I1272" s="11">
        <v>6.5802532998793497</v>
      </c>
      <c r="J1272" s="10">
        <v>4.6964747754668899E-11</v>
      </c>
      <c r="K1272" s="29">
        <v>6.3833380095257698E-8</v>
      </c>
    </row>
    <row r="1273" spans="1:11" x14ac:dyDescent="0.35">
      <c r="A1273" s="9" t="str">
        <f>HYPERLINK("http://www.ensembl.org/id/WBGene00012670", "WBGene00012670")</f>
        <v>WBGene00012670</v>
      </c>
      <c r="B1273" s="9" t="str">
        <f>HYPERLINK("http://www.ncbi.nlm.nih.gov/gene/180259", "180259")</f>
        <v>180259</v>
      </c>
      <c r="C1273" s="9"/>
      <c r="D1273" t="str">
        <f>"Y39B6A.8"</f>
        <v>Y39B6A.8</v>
      </c>
      <c r="F1273" t="s">
        <v>11</v>
      </c>
      <c r="G1273" t="s">
        <v>50</v>
      </c>
      <c r="H1273" s="12">
        <v>4.1138875803190604</v>
      </c>
      <c r="I1273" s="11">
        <v>1.38013335911446</v>
      </c>
      <c r="J1273" s="10">
        <v>0.16754558779385401</v>
      </c>
      <c r="K1273" s="29">
        <v>0.88686190575388602</v>
      </c>
    </row>
    <row r="1274" spans="1:11" x14ac:dyDescent="0.35">
      <c r="A1274" s="9" t="str">
        <f>HYPERLINK("http://www.ensembl.org/id/WBGene00007138", "WBGene00007138")</f>
        <v>WBGene00007138</v>
      </c>
      <c r="B1274" s="9" t="str">
        <f>HYPERLINK("http://www.ncbi.nlm.nih.gov/gene/175563", "175563")</f>
        <v>175563</v>
      </c>
      <c r="C1274" s="9" t="str">
        <f>HYPERLINK("http://www.ncbi.nlm.nih.gov/gene/64849", "64849")</f>
        <v>64849</v>
      </c>
      <c r="D1274" t="str">
        <f>"B0285.6"</f>
        <v>B0285.6</v>
      </c>
      <c r="E1274" t="s">
        <v>1064</v>
      </c>
      <c r="F1274" t="s">
        <v>11</v>
      </c>
      <c r="G1274" t="s">
        <v>1065</v>
      </c>
      <c r="H1274" s="12">
        <v>4.1134266180384103</v>
      </c>
      <c r="I1274" s="11">
        <v>2.52311134233006</v>
      </c>
      <c r="J1274" s="10">
        <v>1.1632156418261199E-2</v>
      </c>
      <c r="K1274" s="29">
        <v>0.2139972170127</v>
      </c>
    </row>
    <row r="1275" spans="1:11" x14ac:dyDescent="0.35">
      <c r="A1275" s="9" t="str">
        <f>HYPERLINK("http://www.ensembl.org/id/WBGene00011137", "WBGene00011137")</f>
        <v>WBGene00011137</v>
      </c>
      <c r="B1275" s="9" t="str">
        <f>HYPERLINK("http://www.ncbi.nlm.nih.gov/gene/3565485", "3565485")</f>
        <v>3565485</v>
      </c>
      <c r="C1275" s="9"/>
      <c r="D1275" t="str">
        <f>"R08A2.7"</f>
        <v>R08A2.7</v>
      </c>
      <c r="F1275" t="s">
        <v>11</v>
      </c>
      <c r="H1275" s="12">
        <v>4.1133230934683596</v>
      </c>
      <c r="I1275" s="11">
        <v>2.04950470361416</v>
      </c>
      <c r="J1275" s="10">
        <v>4.0412788376307802E-2</v>
      </c>
      <c r="K1275" s="29">
        <v>0.46387376464131502</v>
      </c>
    </row>
    <row r="1276" spans="1:11" x14ac:dyDescent="0.35">
      <c r="A1276" s="9" t="str">
        <f>HYPERLINK("http://www.ensembl.org/id/WBGene00021727", "WBGene00021727")</f>
        <v>WBGene00021727</v>
      </c>
      <c r="B1276" s="9" t="str">
        <f>HYPERLINK("http://www.ncbi.nlm.nih.gov/gene/190086", "190086")</f>
        <v>190086</v>
      </c>
      <c r="C1276" s="9"/>
      <c r="D1276" t="str">
        <f>"bath-23"</f>
        <v>bath-23</v>
      </c>
      <c r="E1276" t="s">
        <v>179</v>
      </c>
      <c r="F1276" t="s">
        <v>11</v>
      </c>
      <c r="G1276" t="s">
        <v>54</v>
      </c>
      <c r="H1276" s="12">
        <v>4.0998653705833101</v>
      </c>
      <c r="I1276" s="11">
        <v>0.55306364318332502</v>
      </c>
      <c r="J1276" s="10">
        <v>0.58021983102034203</v>
      </c>
      <c r="K1276" s="29">
        <v>0.98289565623980701</v>
      </c>
    </row>
    <row r="1277" spans="1:11" x14ac:dyDescent="0.35">
      <c r="A1277" s="9" t="str">
        <f>HYPERLINK("http://www.ensembl.org/id/WBGene00044362", "WBGene00044362")</f>
        <v>WBGene00044362</v>
      </c>
      <c r="B1277" s="9" t="str">
        <f>HYPERLINK("http://www.ncbi.nlm.nih.gov/gene/3565922", "3565922")</f>
        <v>3565922</v>
      </c>
      <c r="C1277" s="9"/>
      <c r="D1277" t="str">
        <f>"F42G2.7"</f>
        <v>F42G2.7</v>
      </c>
      <c r="F1277" t="s">
        <v>11</v>
      </c>
      <c r="G1277" t="s">
        <v>4282</v>
      </c>
      <c r="H1277" s="12">
        <v>4.0998653705833101</v>
      </c>
      <c r="I1277" s="11">
        <v>0.55306364318332502</v>
      </c>
      <c r="J1277" s="10">
        <v>0.58021983102034203</v>
      </c>
      <c r="K1277" s="29">
        <v>0.98289565623980701</v>
      </c>
    </row>
    <row r="1278" spans="1:11" x14ac:dyDescent="0.35">
      <c r="A1278" s="9" t="str">
        <f>HYPERLINK("http://www.ensembl.org/id/WBGene00005912", "WBGene00005912")</f>
        <v>WBGene00005912</v>
      </c>
      <c r="B1278" s="9" t="str">
        <f>HYPERLINK("http://www.ncbi.nlm.nih.gov/gene/185166", "185166")</f>
        <v>185166</v>
      </c>
      <c r="C1278" s="9"/>
      <c r="D1278" t="str">
        <f>"srx-21"</f>
        <v>srx-21</v>
      </c>
      <c r="E1278" t="s">
        <v>1477</v>
      </c>
      <c r="F1278" t="s">
        <v>11</v>
      </c>
      <c r="G1278" t="s">
        <v>25</v>
      </c>
      <c r="H1278" s="12">
        <v>4.0998653705833101</v>
      </c>
      <c r="I1278" s="11">
        <v>0.55306364318332502</v>
      </c>
      <c r="J1278" s="10">
        <v>0.58021983102034203</v>
      </c>
      <c r="K1278" s="29">
        <v>0.98289565623980701</v>
      </c>
    </row>
    <row r="1279" spans="1:11" x14ac:dyDescent="0.35">
      <c r="A1279" s="9" t="str">
        <f>HYPERLINK("http://www.ensembl.org/id/WBGene00220233", "WBGene00220233")</f>
        <v>WBGene00220233</v>
      </c>
      <c r="B1279" s="9"/>
      <c r="C1279" s="9"/>
      <c r="D1279" t="str">
        <f>"ZC395.12"</f>
        <v>ZC395.12</v>
      </c>
      <c r="F1279" t="s">
        <v>2977</v>
      </c>
      <c r="H1279" s="12">
        <v>4.0998653705833101</v>
      </c>
      <c r="I1279" s="11">
        <v>0.55306364318332502</v>
      </c>
      <c r="J1279" s="10">
        <v>0.58021983102034203</v>
      </c>
      <c r="K1279" s="29">
        <v>0.98289565623980701</v>
      </c>
    </row>
    <row r="1280" spans="1:11" x14ac:dyDescent="0.35">
      <c r="A1280" s="9" t="str">
        <f>HYPERLINK("http://www.ensembl.org/id/WBGene00009208", "WBGene00009208")</f>
        <v>WBGene00009208</v>
      </c>
      <c r="B1280" s="9" t="str">
        <f>HYPERLINK("http://www.ncbi.nlm.nih.gov/gene/185049", "185049")</f>
        <v>185049</v>
      </c>
      <c r="C1280" s="9"/>
      <c r="D1280" t="str">
        <f>"F28C6.9"</f>
        <v>F28C6.9</v>
      </c>
      <c r="F1280" t="s">
        <v>11</v>
      </c>
      <c r="G1280" t="s">
        <v>4283</v>
      </c>
      <c r="H1280" s="12">
        <v>4.0995465121456798</v>
      </c>
      <c r="I1280" s="11">
        <v>1.12871675545801</v>
      </c>
      <c r="J1280" s="10">
        <v>0.25901733873122401</v>
      </c>
      <c r="K1280" s="29">
        <v>0.98289565623980701</v>
      </c>
    </row>
    <row r="1281" spans="1:11" x14ac:dyDescent="0.35">
      <c r="A1281" s="9" t="str">
        <f>HYPERLINK("http://www.ensembl.org/id/WBGene00000030", "WBGene00000030")</f>
        <v>WBGene00000030</v>
      </c>
      <c r="B1281" s="9" t="str">
        <f>HYPERLINK("http://www.ncbi.nlm.nih.gov/gene/182139", "182139")</f>
        <v>182139</v>
      </c>
      <c r="C1281" s="9"/>
      <c r="D1281" t="str">
        <f>"abu-7"</f>
        <v>abu-7</v>
      </c>
      <c r="E1281" t="s">
        <v>913</v>
      </c>
      <c r="F1281" t="s">
        <v>11</v>
      </c>
      <c r="G1281" t="s">
        <v>4284</v>
      </c>
      <c r="H1281" s="12">
        <v>4.0989034521480301</v>
      </c>
      <c r="I1281" s="11">
        <v>0.92542215434726205</v>
      </c>
      <c r="J1281" s="10">
        <v>0.35474635922929398</v>
      </c>
      <c r="K1281" s="29">
        <v>0.98289565623980701</v>
      </c>
    </row>
    <row r="1282" spans="1:11" x14ac:dyDescent="0.35">
      <c r="A1282" s="9" t="str">
        <f>HYPERLINK("http://www.ensembl.org/id/WBGene00003542", "WBGene00003542")</f>
        <v>WBGene00003542</v>
      </c>
      <c r="B1282" s="9" t="str">
        <f>HYPERLINK("http://www.ncbi.nlm.nih.gov/gene/3565992", "3565992")</f>
        <v>3565992</v>
      </c>
      <c r="C1282" s="9"/>
      <c r="D1282" t="str">
        <f>"nas-23"</f>
        <v>nas-23</v>
      </c>
      <c r="E1282" t="s">
        <v>2276</v>
      </c>
      <c r="F1282" t="s">
        <v>11</v>
      </c>
      <c r="G1282" t="s">
        <v>1542</v>
      </c>
      <c r="H1282" s="12">
        <v>4.0971618835821797</v>
      </c>
      <c r="I1282" s="11">
        <v>1.7366266875292899</v>
      </c>
      <c r="J1282" s="10">
        <v>8.2453085746145002E-2</v>
      </c>
      <c r="K1282" s="29">
        <v>0.67612485890459195</v>
      </c>
    </row>
    <row r="1283" spans="1:11" x14ac:dyDescent="0.35">
      <c r="A1283" s="9" t="str">
        <f>HYPERLINK("http://www.ensembl.org/id/WBGene00171255", "WBGene00171255")</f>
        <v>WBGene00171255</v>
      </c>
      <c r="B1283" s="9"/>
      <c r="C1283" s="9"/>
      <c r="D1283" t="str">
        <f>"21ur-6778"</f>
        <v>21ur-6778</v>
      </c>
      <c r="F1283" t="s">
        <v>3161</v>
      </c>
      <c r="H1283" s="12">
        <v>4.0963990052708601</v>
      </c>
      <c r="I1283" s="11">
        <v>0.63537495515817699</v>
      </c>
      <c r="J1283" s="10">
        <v>0.52518389832035295</v>
      </c>
      <c r="K1283" s="29">
        <v>0.98289565623980701</v>
      </c>
    </row>
    <row r="1284" spans="1:11" x14ac:dyDescent="0.35">
      <c r="A1284" s="9" t="str">
        <f>HYPERLINK("http://www.ensembl.org/id/WBGene00220046", "WBGene00220046")</f>
        <v>WBGene00220046</v>
      </c>
      <c r="B1284" s="9"/>
      <c r="C1284" s="9"/>
      <c r="D1284" t="str">
        <f>"R31.7"</f>
        <v>R31.7</v>
      </c>
      <c r="F1284" t="s">
        <v>481</v>
      </c>
      <c r="H1284" s="12">
        <v>4.0963990052708601</v>
      </c>
      <c r="I1284" s="11">
        <v>0.63537495515817699</v>
      </c>
      <c r="J1284" s="10">
        <v>0.52518389832035295</v>
      </c>
      <c r="K1284" s="29">
        <v>0.98289565623980701</v>
      </c>
    </row>
    <row r="1285" spans="1:11" x14ac:dyDescent="0.35">
      <c r="A1285" s="9" t="str">
        <f>HYPERLINK("http://www.ensembl.org/id/WBGene00019622", "WBGene00019622")</f>
        <v>WBGene00019622</v>
      </c>
      <c r="B1285" s="9" t="str">
        <f>HYPERLINK("http://www.ncbi.nlm.nih.gov/gene/180916", "180916")</f>
        <v>180916</v>
      </c>
      <c r="C1285" s="9"/>
      <c r="D1285" t="str">
        <f>"K10C2.7"</f>
        <v>K10C2.7</v>
      </c>
      <c r="F1285" t="s">
        <v>11</v>
      </c>
      <c r="H1285" s="12">
        <v>4.0961476452235699</v>
      </c>
      <c r="I1285" s="11">
        <v>4.8544776824819103</v>
      </c>
      <c r="J1285" s="10">
        <v>1.20704461893621E-6</v>
      </c>
      <c r="K1285" s="29">
        <v>1.7993530945251601E-4</v>
      </c>
    </row>
    <row r="1286" spans="1:11" x14ac:dyDescent="0.35">
      <c r="A1286" s="9" t="str">
        <f>HYPERLINK("http://www.ensembl.org/id/WBGene00194643", "WBGene00194643")</f>
        <v>WBGene00194643</v>
      </c>
      <c r="B1286" s="9" t="str">
        <f>HYPERLINK("http://www.ncbi.nlm.nih.gov/gene/13198834", "13198834")</f>
        <v>13198834</v>
      </c>
      <c r="C1286" s="9"/>
      <c r="D1286" t="str">
        <f>"C48D1.9"</f>
        <v>C48D1.9</v>
      </c>
      <c r="F1286" t="s">
        <v>11</v>
      </c>
      <c r="G1286" t="s">
        <v>25</v>
      </c>
      <c r="H1286" s="12">
        <v>4.0949094418915903</v>
      </c>
      <c r="I1286" s="11">
        <v>1.17380703220538</v>
      </c>
      <c r="J1286" s="10">
        <v>0.24047232665155699</v>
      </c>
      <c r="K1286" s="29">
        <v>0.98289565623980701</v>
      </c>
    </row>
    <row r="1287" spans="1:11" x14ac:dyDescent="0.35">
      <c r="A1287" s="9" t="str">
        <f>HYPERLINK("http://www.ensembl.org/id/WBGene00010636", "WBGene00010636")</f>
        <v>WBGene00010636</v>
      </c>
      <c r="B1287" s="9" t="str">
        <f>HYPERLINK("http://www.ncbi.nlm.nih.gov/gene/177833", "177833")</f>
        <v>177833</v>
      </c>
      <c r="C1287" s="9"/>
      <c r="D1287" t="str">
        <f>"K07F5.8"</f>
        <v>K07F5.8</v>
      </c>
      <c r="E1287" t="s">
        <v>1019</v>
      </c>
      <c r="F1287" t="s">
        <v>11</v>
      </c>
      <c r="G1287" t="s">
        <v>1020</v>
      </c>
      <c r="H1287" s="12">
        <v>4.0908130993089404</v>
      </c>
      <c r="I1287" s="11">
        <v>1.16266661937603</v>
      </c>
      <c r="J1287" s="10">
        <v>0.24496479001771701</v>
      </c>
      <c r="K1287" s="29">
        <v>0.98289565623980701</v>
      </c>
    </row>
    <row r="1288" spans="1:11" x14ac:dyDescent="0.35">
      <c r="A1288" s="9" t="str">
        <f>HYPERLINK("http://www.ensembl.org/id/WBGene00011023", "WBGene00011023")</f>
        <v>WBGene00011023</v>
      </c>
      <c r="B1288" s="9" t="str">
        <f>HYPERLINK("http://www.ncbi.nlm.nih.gov/gene/178370", "178370")</f>
        <v>178370</v>
      </c>
      <c r="C1288" s="9"/>
      <c r="D1288" t="str">
        <f>"R05A10.6"</f>
        <v>R05A10.6</v>
      </c>
      <c r="F1288" t="s">
        <v>11</v>
      </c>
      <c r="G1288" t="s">
        <v>1212</v>
      </c>
      <c r="H1288" s="12">
        <v>4.0833229996042597</v>
      </c>
      <c r="I1288" s="11">
        <v>2.3907580004527298</v>
      </c>
      <c r="J1288" s="10">
        <v>1.68136312318839E-2</v>
      </c>
      <c r="K1288" s="29">
        <v>0.27167535891182498</v>
      </c>
    </row>
    <row r="1289" spans="1:11" x14ac:dyDescent="0.35">
      <c r="A1289" s="9" t="str">
        <f>HYPERLINK("http://www.ensembl.org/id/WBGene00005772", "WBGene00005772")</f>
        <v>WBGene00005772</v>
      </c>
      <c r="B1289" s="9"/>
      <c r="C1289" s="9"/>
      <c r="D1289" t="str">
        <f>"srw-25"</f>
        <v>srw-25</v>
      </c>
      <c r="F1289" t="s">
        <v>80</v>
      </c>
      <c r="H1289" s="12">
        <v>4.0734809318040197</v>
      </c>
      <c r="I1289" s="11">
        <v>0.63247651229171198</v>
      </c>
      <c r="J1289" s="10">
        <v>0.52707555154778396</v>
      </c>
      <c r="K1289" s="29">
        <v>0.98289565623980701</v>
      </c>
    </row>
    <row r="1290" spans="1:11" x14ac:dyDescent="0.35">
      <c r="A1290" s="9" t="str">
        <f>HYPERLINK("http://www.ensembl.org/id/WBGene00020826", "WBGene00020826")</f>
        <v>WBGene00020826</v>
      </c>
      <c r="B1290" s="9" t="str">
        <f>HYPERLINK("http://www.ncbi.nlm.nih.gov/gene/188914", "188914")</f>
        <v>188914</v>
      </c>
      <c r="C1290" s="9"/>
      <c r="D1290" t="str">
        <f>"T26A8.3"</f>
        <v>T26A8.3</v>
      </c>
      <c r="F1290" t="s">
        <v>11</v>
      </c>
      <c r="H1290" s="12">
        <v>4.0734809318040197</v>
      </c>
      <c r="I1290" s="11">
        <v>0.63247651229171198</v>
      </c>
      <c r="J1290" s="10">
        <v>0.52707555154778396</v>
      </c>
      <c r="K1290" s="29">
        <v>0.98289565623980701</v>
      </c>
    </row>
    <row r="1291" spans="1:11" x14ac:dyDescent="0.35">
      <c r="A1291" s="9" t="str">
        <f>HYPERLINK("http://www.ensembl.org/id/WBGene00206529", "WBGene00206529")</f>
        <v>WBGene00206529</v>
      </c>
      <c r="B1291" s="9" t="str">
        <f>HYPERLINK("http://www.ncbi.nlm.nih.gov/gene/13185579", "13185579")</f>
        <v>13185579</v>
      </c>
      <c r="C1291" s="9"/>
      <c r="D1291" t="str">
        <f>"C04A2.15"</f>
        <v>C04A2.15</v>
      </c>
      <c r="F1291" t="s">
        <v>11</v>
      </c>
      <c r="H1291" s="12">
        <v>4.0714564632205503</v>
      </c>
      <c r="I1291" s="11">
        <v>2.1115494846444798</v>
      </c>
      <c r="J1291" s="10">
        <v>3.4725109261052503E-2</v>
      </c>
      <c r="K1291" s="29">
        <v>0.42407947916801197</v>
      </c>
    </row>
    <row r="1292" spans="1:11" x14ac:dyDescent="0.35">
      <c r="A1292" s="9" t="str">
        <f>HYPERLINK("http://www.ensembl.org/id/WBGene00013815", "WBGene00013815")</f>
        <v>WBGene00013815</v>
      </c>
      <c r="B1292" s="9" t="str">
        <f>HYPERLINK("http://www.ncbi.nlm.nih.gov/gene/3566001", "3566001")</f>
        <v>3566001</v>
      </c>
      <c r="C1292" s="9"/>
      <c r="D1292" t="str">
        <f>"Y116A8C.44"</f>
        <v>Y116A8C.44</v>
      </c>
      <c r="F1292" t="s">
        <v>11</v>
      </c>
      <c r="H1292" s="12">
        <v>4.0681008470642697</v>
      </c>
      <c r="I1292" s="11">
        <v>1.04805424109162</v>
      </c>
      <c r="J1292" s="10">
        <v>0.29461361710042999</v>
      </c>
      <c r="K1292" s="29">
        <v>0.98289565623980701</v>
      </c>
    </row>
    <row r="1293" spans="1:11" x14ac:dyDescent="0.35">
      <c r="A1293" s="9" t="str">
        <f>HYPERLINK("http://www.ensembl.org/id/WBGene00017218", "WBGene00017218")</f>
        <v>WBGene00017218</v>
      </c>
      <c r="B1293" s="9" t="str">
        <f>HYPERLINK("http://www.ncbi.nlm.nih.gov/gene/184148", "184148")</f>
        <v>184148</v>
      </c>
      <c r="C1293" s="9"/>
      <c r="D1293" t="str">
        <f>"dct-5"</f>
        <v>dct-5</v>
      </c>
      <c r="F1293" t="s">
        <v>11</v>
      </c>
      <c r="H1293" s="12">
        <v>4.0676548361944</v>
      </c>
      <c r="I1293" s="11">
        <v>0.88095932599757898</v>
      </c>
      <c r="J1293" s="10">
        <v>0.37833983523596099</v>
      </c>
      <c r="K1293" s="29">
        <v>0.98289565623980701</v>
      </c>
    </row>
    <row r="1294" spans="1:11" x14ac:dyDescent="0.35">
      <c r="A1294" s="9" t="str">
        <f>HYPERLINK("http://www.ensembl.org/id/WBGene00005251", "WBGene00005251")</f>
        <v>WBGene00005251</v>
      </c>
      <c r="B1294" s="9" t="str">
        <f>HYPERLINK("http://www.ncbi.nlm.nih.gov/gene/191850", "191850")</f>
        <v>191850</v>
      </c>
      <c r="C1294" s="9"/>
      <c r="D1294" t="str">
        <f>"srh-28"</f>
        <v>srh-28</v>
      </c>
      <c r="E1294" t="s">
        <v>153</v>
      </c>
      <c r="F1294" t="s">
        <v>11</v>
      </c>
      <c r="G1294" t="s">
        <v>25</v>
      </c>
      <c r="H1294" s="12">
        <v>4.0638970471537004</v>
      </c>
      <c r="I1294" s="11">
        <v>1.38640003086851</v>
      </c>
      <c r="J1294" s="10">
        <v>0.165624787036458</v>
      </c>
      <c r="K1294" s="29">
        <v>0.88498397685845498</v>
      </c>
    </row>
    <row r="1295" spans="1:11" x14ac:dyDescent="0.35">
      <c r="A1295" s="9" t="str">
        <f>HYPERLINK("http://www.ensembl.org/id/WBGene00044220", "WBGene00044220")</f>
        <v>WBGene00044220</v>
      </c>
      <c r="B1295" s="9"/>
      <c r="C1295" s="9"/>
      <c r="D1295" t="str">
        <f>"Y102A5C.35"</f>
        <v>Y102A5C.35</v>
      </c>
      <c r="F1295" t="s">
        <v>80</v>
      </c>
      <c r="H1295" s="12">
        <v>4.0574428292140396</v>
      </c>
      <c r="I1295" s="11">
        <v>0.83914113592132</v>
      </c>
      <c r="J1295" s="10">
        <v>0.40139011466879299</v>
      </c>
      <c r="K1295" s="29">
        <v>0.98289565623980701</v>
      </c>
    </row>
    <row r="1296" spans="1:11" x14ac:dyDescent="0.35">
      <c r="A1296" s="9" t="str">
        <f>HYPERLINK("http://www.ensembl.org/id/WBGene00013950", "WBGene00013950")</f>
        <v>WBGene00013950</v>
      </c>
      <c r="B1296" s="9" t="str">
        <f>HYPERLINK("http://www.ncbi.nlm.nih.gov/gene/191267", "191267")</f>
        <v>191267</v>
      </c>
      <c r="C1296" s="9"/>
      <c r="D1296" t="str">
        <f>"ZK262.3"</f>
        <v>ZK262.3</v>
      </c>
      <c r="E1296" t="s">
        <v>73</v>
      </c>
      <c r="F1296" t="s">
        <v>11</v>
      </c>
      <c r="G1296" t="s">
        <v>74</v>
      </c>
      <c r="H1296" s="12">
        <v>4.0556646529591101</v>
      </c>
      <c r="I1296" s="11">
        <v>6.0164732841826201</v>
      </c>
      <c r="J1296" s="10">
        <v>1.78257901138578E-9</v>
      </c>
      <c r="K1296" s="29">
        <v>8.5808897160582899E-7</v>
      </c>
    </row>
    <row r="1297" spans="1:11" x14ac:dyDescent="0.35">
      <c r="A1297" s="9" t="str">
        <f>HYPERLINK("http://www.ensembl.org/id/WBGene00195174", "WBGene00195174")</f>
        <v>WBGene00195174</v>
      </c>
      <c r="B1297" s="9" t="str">
        <f>HYPERLINK("http://www.ncbi.nlm.nih.gov/gene/13191058", "13191058")</f>
        <v>13191058</v>
      </c>
      <c r="C1297" s="9"/>
      <c r="D1297" t="str">
        <f>"K08E5.6"</f>
        <v>K08E5.6</v>
      </c>
      <c r="F1297" t="s">
        <v>11</v>
      </c>
      <c r="H1297" s="12">
        <v>4.0502222916178701</v>
      </c>
      <c r="I1297" s="11">
        <v>0.52893641585930695</v>
      </c>
      <c r="J1297" s="10">
        <v>0.59684955911256998</v>
      </c>
      <c r="K1297" s="29">
        <v>0.98289565623980701</v>
      </c>
    </row>
    <row r="1298" spans="1:11" x14ac:dyDescent="0.35">
      <c r="A1298" s="9" t="str">
        <f>HYPERLINK("http://www.ensembl.org/id/WBGene00196695", "WBGene00196695")</f>
        <v>WBGene00196695</v>
      </c>
      <c r="B1298" s="9"/>
      <c r="C1298" s="9"/>
      <c r="D1298" t="str">
        <f>"T14G10.9"</f>
        <v>T14G10.9</v>
      </c>
      <c r="F1298" t="s">
        <v>481</v>
      </c>
      <c r="H1298" s="12">
        <v>4.0502222916178701</v>
      </c>
      <c r="I1298" s="11">
        <v>0.52893641585930695</v>
      </c>
      <c r="J1298" s="10">
        <v>0.59684955911256998</v>
      </c>
      <c r="K1298" s="29">
        <v>0.98289565623980701</v>
      </c>
    </row>
    <row r="1299" spans="1:11" x14ac:dyDescent="0.35">
      <c r="A1299" s="9" t="str">
        <f>HYPERLINK("http://www.ensembl.org/id/WBGene00045493", "WBGene00045493")</f>
        <v>WBGene00045493</v>
      </c>
      <c r="B1299" s="9" t="str">
        <f>HYPERLINK("http://www.ncbi.nlm.nih.gov/gene/6418856", "6418856")</f>
        <v>6418856</v>
      </c>
      <c r="C1299" s="9"/>
      <c r="D1299" t="str">
        <f>"F55G7.4"</f>
        <v>F55G7.4</v>
      </c>
      <c r="F1299" t="s">
        <v>11</v>
      </c>
      <c r="H1299" s="12">
        <v>4.0472298072813198</v>
      </c>
      <c r="I1299" s="11">
        <v>0.79204896934109403</v>
      </c>
      <c r="J1299" s="10">
        <v>0.42833212352842298</v>
      </c>
      <c r="K1299" s="29">
        <v>0.98289565623980701</v>
      </c>
    </row>
    <row r="1300" spans="1:11" x14ac:dyDescent="0.35">
      <c r="A1300" s="9" t="str">
        <f>HYPERLINK("http://www.ensembl.org/id/WBGene00008141", "WBGene00008141")</f>
        <v>WBGene00008141</v>
      </c>
      <c r="B1300" s="9" t="str">
        <f>HYPERLINK("http://www.ncbi.nlm.nih.gov/gene/183550", "183550")</f>
        <v>183550</v>
      </c>
      <c r="C1300" s="9"/>
      <c r="D1300" t="str">
        <f>"C47E8.1"</f>
        <v>C47E8.1</v>
      </c>
      <c r="F1300" t="s">
        <v>11</v>
      </c>
      <c r="H1300" s="12">
        <v>4.0458077609626297</v>
      </c>
      <c r="I1300" s="11">
        <v>0.61140932056362796</v>
      </c>
      <c r="J1300" s="10">
        <v>0.54092863373095001</v>
      </c>
      <c r="K1300" s="29">
        <v>0.98289565623980701</v>
      </c>
    </row>
    <row r="1301" spans="1:11" x14ac:dyDescent="0.35">
      <c r="A1301" s="9" t="str">
        <f>HYPERLINK("http://www.ensembl.org/id/WBGene00020372", "WBGene00020372")</f>
        <v>WBGene00020372</v>
      </c>
      <c r="B1301" s="9" t="str">
        <f>HYPERLINK("http://www.ncbi.nlm.nih.gov/gene/188312", "188312")</f>
        <v>188312</v>
      </c>
      <c r="C1301" s="9"/>
      <c r="D1301" t="str">
        <f>"T09A12.1"</f>
        <v>T09A12.1</v>
      </c>
      <c r="F1301" t="s">
        <v>11</v>
      </c>
      <c r="H1301" s="12">
        <v>4.0458077609626297</v>
      </c>
      <c r="I1301" s="11">
        <v>0.61140932056362796</v>
      </c>
      <c r="J1301" s="10">
        <v>0.54092863373095001</v>
      </c>
      <c r="K1301" s="29">
        <v>0.98289565623980701</v>
      </c>
    </row>
    <row r="1302" spans="1:11" x14ac:dyDescent="0.35">
      <c r="A1302" s="9" t="str">
        <f>HYPERLINK("http://www.ensembl.org/id/WBGene00009446", "WBGene00009446")</f>
        <v>WBGene00009446</v>
      </c>
      <c r="B1302" s="9" t="str">
        <f>HYPERLINK("http://www.ncbi.nlm.nih.gov/gene/185324", "185324")</f>
        <v>185324</v>
      </c>
      <c r="C1302" s="9"/>
      <c r="D1302" t="str">
        <f>"F35H8.1"</f>
        <v>F35H8.1</v>
      </c>
      <c r="F1302" t="s">
        <v>11</v>
      </c>
      <c r="H1302" s="12">
        <v>4.0316842891668196</v>
      </c>
      <c r="I1302" s="11">
        <v>1.4099369255210401</v>
      </c>
      <c r="J1302" s="10">
        <v>0.15855830817841499</v>
      </c>
      <c r="K1302" s="29">
        <v>0.87078716331398498</v>
      </c>
    </row>
    <row r="1303" spans="1:11" x14ac:dyDescent="0.35">
      <c r="A1303" s="9" t="str">
        <f>HYPERLINK("http://www.ensembl.org/id/WBGene00000746", "WBGene00000746")</f>
        <v>WBGene00000746</v>
      </c>
      <c r="B1303" s="9" t="str">
        <f>HYPERLINK("http://www.ncbi.nlm.nih.gov/gene/180960", "180960")</f>
        <v>180960</v>
      </c>
      <c r="C1303" s="9"/>
      <c r="D1303" t="str">
        <f>"col-173"</f>
        <v>col-173</v>
      </c>
      <c r="E1303" t="s">
        <v>40</v>
      </c>
      <c r="F1303" t="s">
        <v>11</v>
      </c>
      <c r="G1303" t="s">
        <v>41</v>
      </c>
      <c r="H1303" s="12">
        <v>4.0288976690582903</v>
      </c>
      <c r="I1303" s="11">
        <v>2.3713471447656298</v>
      </c>
      <c r="J1303" s="10">
        <v>1.7723375953227899E-2</v>
      </c>
      <c r="K1303" s="29">
        <v>0.27920821023961501</v>
      </c>
    </row>
    <row r="1304" spans="1:11" x14ac:dyDescent="0.35">
      <c r="A1304" s="9" t="str">
        <f>HYPERLINK("http://www.ensembl.org/id/WBGene00199056", "WBGene00199056")</f>
        <v>WBGene00199056</v>
      </c>
      <c r="B1304" s="9"/>
      <c r="C1304" s="9"/>
      <c r="D1304" t="str">
        <f>"C05A9.6"</f>
        <v>C05A9.6</v>
      </c>
      <c r="F1304" t="s">
        <v>481</v>
      </c>
      <c r="H1304" s="12">
        <v>4.0253818717521801</v>
      </c>
      <c r="I1304" s="11">
        <v>0.71794895607040699</v>
      </c>
      <c r="J1304" s="10">
        <v>0.47278876049457003</v>
      </c>
      <c r="K1304" s="29">
        <v>0.98289565623980701</v>
      </c>
    </row>
    <row r="1305" spans="1:11" x14ac:dyDescent="0.35">
      <c r="A1305" s="9" t="str">
        <f>HYPERLINK("http://www.ensembl.org/id/WBGene00020560", "WBGene00020560")</f>
        <v>WBGene00020560</v>
      </c>
      <c r="B1305" s="9" t="str">
        <f>HYPERLINK("http://www.ncbi.nlm.nih.gov/gene/175215", "175215")</f>
        <v>175215</v>
      </c>
      <c r="C1305" s="9"/>
      <c r="D1305" t="str">
        <f>"T19C3.2"</f>
        <v>T19C3.2</v>
      </c>
      <c r="F1305" t="s">
        <v>11</v>
      </c>
      <c r="H1305" s="12">
        <v>4.0202242699533999</v>
      </c>
      <c r="I1305" s="11">
        <v>2.5753539813212099</v>
      </c>
      <c r="J1305" s="10">
        <v>1.00137544924479E-2</v>
      </c>
      <c r="K1305" s="29">
        <v>0.19604542774653799</v>
      </c>
    </row>
    <row r="1306" spans="1:11" x14ac:dyDescent="0.35">
      <c r="A1306" s="9" t="str">
        <f>HYPERLINK("http://www.ensembl.org/id/WBGene00009216", "WBGene00009216")</f>
        <v>WBGene00009216</v>
      </c>
      <c r="B1306" s="9" t="str">
        <f>HYPERLINK("http://www.ncbi.nlm.nih.gov/gene/185062", "185062")</f>
        <v>185062</v>
      </c>
      <c r="C1306" s="9"/>
      <c r="D1306" t="str">
        <f>"F28D1.6"</f>
        <v>F28D1.6</v>
      </c>
      <c r="F1306" t="s">
        <v>11</v>
      </c>
      <c r="G1306" t="s">
        <v>25</v>
      </c>
      <c r="H1306" s="12">
        <v>4.01926286582197</v>
      </c>
      <c r="I1306" s="11">
        <v>4.2278608656458596</v>
      </c>
      <c r="J1306" s="10">
        <v>2.35923600132894E-5</v>
      </c>
      <c r="K1306" s="29">
        <v>2.0570757376115602E-3</v>
      </c>
    </row>
    <row r="1307" spans="1:11" x14ac:dyDescent="0.35">
      <c r="A1307" s="9" t="str">
        <f>HYPERLINK("http://www.ensembl.org/id/WBGene00004120", "WBGene00004120")</f>
        <v>WBGene00004120</v>
      </c>
      <c r="B1307" s="9" t="str">
        <f>HYPERLINK("http://www.ncbi.nlm.nih.gov/gene/174955", "174955")</f>
        <v>174955</v>
      </c>
      <c r="C1307" s="9"/>
      <c r="D1307" t="str">
        <f>"pqn-32"</f>
        <v>pqn-32</v>
      </c>
      <c r="E1307" t="s">
        <v>432</v>
      </c>
      <c r="F1307" t="s">
        <v>11</v>
      </c>
      <c r="H1307" s="12">
        <v>4.0133388196153197</v>
      </c>
      <c r="I1307" s="11">
        <v>2.59523799775604</v>
      </c>
      <c r="J1307" s="10">
        <v>9.4525439720461006E-3</v>
      </c>
      <c r="K1307" s="29">
        <v>0.18916807871574301</v>
      </c>
    </row>
    <row r="1308" spans="1:11" x14ac:dyDescent="0.35">
      <c r="A1308" s="9" t="str">
        <f>HYPERLINK("http://www.ensembl.org/id/WBGene00044620", "WBGene00044620")</f>
        <v>WBGene00044620</v>
      </c>
      <c r="B1308" s="9" t="str">
        <f>HYPERLINK("http://www.ncbi.nlm.nih.gov/gene/188726", "188726")</f>
        <v>188726</v>
      </c>
      <c r="C1308" s="9"/>
      <c r="D1308" t="str">
        <f>"bus-4"</f>
        <v>bus-4</v>
      </c>
      <c r="E1308" t="s">
        <v>3820</v>
      </c>
      <c r="F1308" t="s">
        <v>11</v>
      </c>
      <c r="G1308" t="s">
        <v>3821</v>
      </c>
      <c r="H1308" s="12">
        <v>4.0113888160336604</v>
      </c>
      <c r="I1308" s="11">
        <v>1.28895295229898</v>
      </c>
      <c r="J1308" s="10">
        <v>0.19741444332581401</v>
      </c>
      <c r="K1308" s="29">
        <v>0.942627068880589</v>
      </c>
    </row>
    <row r="1309" spans="1:11" x14ac:dyDescent="0.35">
      <c r="A1309" s="9" t="str">
        <f>HYPERLINK("http://www.ensembl.org/id/WBGene00004402", "WBGene00004402")</f>
        <v>WBGene00004402</v>
      </c>
      <c r="B1309" s="9" t="str">
        <f>HYPERLINK("http://www.ncbi.nlm.nih.gov/gene/191000", "191000")</f>
        <v>191000</v>
      </c>
      <c r="C1309" s="9" t="str">
        <f>HYPERLINK("http://www.ncbi.nlm.nih.gov/gene/79651", "79651")</f>
        <v>79651</v>
      </c>
      <c r="D1309" t="str">
        <f>"rom-3"</f>
        <v>rom-3</v>
      </c>
      <c r="E1309" t="s">
        <v>4285</v>
      </c>
      <c r="F1309" t="s">
        <v>11</v>
      </c>
      <c r="G1309" t="s">
        <v>4286</v>
      </c>
      <c r="H1309" s="12">
        <v>3.9990967312522598</v>
      </c>
      <c r="I1309" s="11">
        <v>0.73685490170808798</v>
      </c>
      <c r="J1309" s="10">
        <v>0.461210591891757</v>
      </c>
      <c r="K1309" s="29">
        <v>0.98289565623980701</v>
      </c>
    </row>
    <row r="1310" spans="1:11" x14ac:dyDescent="0.35">
      <c r="A1310" s="9" t="str">
        <f>HYPERLINK("http://www.ensembl.org/id/WBGene00018143", "WBGene00018143")</f>
        <v>WBGene00018143</v>
      </c>
      <c r="B1310" s="9" t="str">
        <f>HYPERLINK("http://www.ncbi.nlm.nih.gov/gene/185419", "185419")</f>
        <v>185419</v>
      </c>
      <c r="C1310" s="9"/>
      <c r="D1310" t="str">
        <f>"oac-23"</f>
        <v>oac-23</v>
      </c>
      <c r="E1310" t="s">
        <v>883</v>
      </c>
      <c r="F1310" t="s">
        <v>11</v>
      </c>
      <c r="G1310" t="s">
        <v>1992</v>
      </c>
      <c r="H1310" s="12">
        <v>3.98336598429553</v>
      </c>
      <c r="I1310" s="11">
        <v>1.39519497154335</v>
      </c>
      <c r="J1310" s="10">
        <v>0.16295705297289501</v>
      </c>
      <c r="K1310" s="29">
        <v>0.880329392462323</v>
      </c>
    </row>
    <row r="1311" spans="1:11" x14ac:dyDescent="0.35">
      <c r="A1311" s="9" t="str">
        <f>HYPERLINK("http://www.ensembl.org/id/WBGene00219851", "WBGene00219851")</f>
        <v>WBGene00219851</v>
      </c>
      <c r="B1311" s="9"/>
      <c r="C1311" s="9"/>
      <c r="D1311" t="str">
        <f>"C37C3.16"</f>
        <v>C37C3.16</v>
      </c>
      <c r="F1311" t="s">
        <v>481</v>
      </c>
      <c r="H1311" s="12">
        <v>3.9822742124214701</v>
      </c>
      <c r="I1311" s="11">
        <v>0.482462550643251</v>
      </c>
      <c r="J1311" s="10">
        <v>0.62947739556167004</v>
      </c>
      <c r="K1311" s="29">
        <v>0.98289565623980701</v>
      </c>
    </row>
    <row r="1312" spans="1:11" x14ac:dyDescent="0.35">
      <c r="A1312" s="9" t="str">
        <f>HYPERLINK("http://www.ensembl.org/id/WBGene00017111", "WBGene00017111")</f>
        <v>WBGene00017111</v>
      </c>
      <c r="B1312" s="9" t="str">
        <f>HYPERLINK("http://www.ncbi.nlm.nih.gov/gene/184029", "184029")</f>
        <v>184029</v>
      </c>
      <c r="C1312" s="9"/>
      <c r="D1312" t="str">
        <f>"E03H12.4"</f>
        <v>E03H12.4</v>
      </c>
      <c r="F1312" t="s">
        <v>11</v>
      </c>
      <c r="H1312" s="12">
        <v>3.9822742124214701</v>
      </c>
      <c r="I1312" s="11">
        <v>0.482462550643251</v>
      </c>
      <c r="J1312" s="10">
        <v>0.62947739556167004</v>
      </c>
      <c r="K1312" s="29">
        <v>0.98289565623980701</v>
      </c>
    </row>
    <row r="1313" spans="1:11" x14ac:dyDescent="0.35">
      <c r="A1313" s="9" t="str">
        <f>HYPERLINK("http://www.ensembl.org/id/WBGene00009670", "WBGene00009670")</f>
        <v>WBGene00009670</v>
      </c>
      <c r="B1313" s="9" t="str">
        <f>HYPERLINK("http://www.ncbi.nlm.nih.gov/gene/185717", "185717")</f>
        <v>185717</v>
      </c>
      <c r="C1313" s="9"/>
      <c r="D1313" t="str">
        <f>"F43G9.8"</f>
        <v>F43G9.8</v>
      </c>
      <c r="F1313" t="s">
        <v>11</v>
      </c>
      <c r="G1313" t="s">
        <v>25</v>
      </c>
      <c r="H1313" s="12">
        <v>3.9822742124214701</v>
      </c>
      <c r="I1313" s="11">
        <v>0.482462550643251</v>
      </c>
      <c r="J1313" s="10">
        <v>0.62947739556167004</v>
      </c>
      <c r="K1313" s="29">
        <v>0.98289565623980701</v>
      </c>
    </row>
    <row r="1314" spans="1:11" x14ac:dyDescent="0.35">
      <c r="A1314" s="9" t="str">
        <f>HYPERLINK("http://www.ensembl.org/id/WBGene00019359", "WBGene00019359")</f>
        <v>WBGene00019359</v>
      </c>
      <c r="B1314" s="9" t="str">
        <f>HYPERLINK("http://www.ncbi.nlm.nih.gov/gene/186931", "186931")</f>
        <v>186931</v>
      </c>
      <c r="C1314" s="9"/>
      <c r="D1314" t="str">
        <f>"K03C7.3"</f>
        <v>K03C7.3</v>
      </c>
      <c r="F1314" t="s">
        <v>11</v>
      </c>
      <c r="H1314" s="12">
        <v>3.9822742124214701</v>
      </c>
      <c r="I1314" s="11">
        <v>0.482462550643251</v>
      </c>
      <c r="J1314" s="10">
        <v>0.62947739556167004</v>
      </c>
      <c r="K1314" s="29">
        <v>0.98289565623980701</v>
      </c>
    </row>
    <row r="1315" spans="1:11" x14ac:dyDescent="0.35">
      <c r="A1315" s="9" t="str">
        <f>HYPERLINK("http://www.ensembl.org/id/WBGene00195983", "WBGene00195983")</f>
        <v>WBGene00195983</v>
      </c>
      <c r="B1315" s="9"/>
      <c r="C1315" s="9"/>
      <c r="D1315" t="str">
        <f>"K08B12.6"</f>
        <v>K08B12.6</v>
      </c>
      <c r="F1315" t="s">
        <v>481</v>
      </c>
      <c r="H1315" s="12">
        <v>3.9822742124214701</v>
      </c>
      <c r="I1315" s="11">
        <v>0.482462550643251</v>
      </c>
      <c r="J1315" s="10">
        <v>0.62947739556167004</v>
      </c>
      <c r="K1315" s="29">
        <v>0.98289565623980701</v>
      </c>
    </row>
    <row r="1316" spans="1:11" x14ac:dyDescent="0.35">
      <c r="A1316" s="9" t="str">
        <f>HYPERLINK("http://www.ensembl.org/id/WBGene00199002", "WBGene00199002")</f>
        <v>WBGene00199002</v>
      </c>
      <c r="B1316" s="9"/>
      <c r="C1316" s="9"/>
      <c r="D1316" t="str">
        <f>"Y51A2D.33"</f>
        <v>Y51A2D.33</v>
      </c>
      <c r="F1316" t="s">
        <v>481</v>
      </c>
      <c r="H1316" s="12">
        <v>3.9822742124214701</v>
      </c>
      <c r="I1316" s="11">
        <v>0.482462550643251</v>
      </c>
      <c r="J1316" s="10">
        <v>0.62947739556167004</v>
      </c>
      <c r="K1316" s="29">
        <v>0.98289565623980701</v>
      </c>
    </row>
    <row r="1317" spans="1:11" x14ac:dyDescent="0.35">
      <c r="A1317" s="9" t="str">
        <f>HYPERLINK("http://www.ensembl.org/id/WBGene00007358", "WBGene00007358")</f>
        <v>WBGene00007358</v>
      </c>
      <c r="B1317" s="9" t="str">
        <f>HYPERLINK("http://www.ncbi.nlm.nih.gov/gene/182288", "182288")</f>
        <v>182288</v>
      </c>
      <c r="C1317" s="9"/>
      <c r="D1317" t="str">
        <f>"lact-6"</f>
        <v>lact-6</v>
      </c>
      <c r="E1317" t="s">
        <v>1085</v>
      </c>
      <c r="F1317" t="s">
        <v>11</v>
      </c>
      <c r="H1317" s="12">
        <v>3.9821101327608299</v>
      </c>
      <c r="I1317" s="11">
        <v>2.5041429165321598</v>
      </c>
      <c r="J1317" s="10">
        <v>1.22748440307941E-2</v>
      </c>
      <c r="K1317" s="29">
        <v>0.22123443539432799</v>
      </c>
    </row>
    <row r="1318" spans="1:11" x14ac:dyDescent="0.35">
      <c r="A1318" s="9" t="str">
        <f>HYPERLINK("http://www.ensembl.org/id/WBGene00016130", "WBGene00016130")</f>
        <v>WBGene00016130</v>
      </c>
      <c r="B1318" s="9" t="str">
        <f>HYPERLINK("http://www.ncbi.nlm.nih.gov/gene/182930", "182930")</f>
        <v>182930</v>
      </c>
      <c r="C1318" s="9"/>
      <c r="D1318" t="str">
        <f>"C26B2.8"</f>
        <v>C26B2.8</v>
      </c>
      <c r="F1318" t="s">
        <v>11</v>
      </c>
      <c r="H1318" s="12">
        <v>3.98126357376661</v>
      </c>
      <c r="I1318" s="11">
        <v>2.0162872295954499</v>
      </c>
      <c r="J1318" s="10">
        <v>4.3769949510129497E-2</v>
      </c>
      <c r="K1318" s="29">
        <v>0.48539170141374399</v>
      </c>
    </row>
    <row r="1319" spans="1:11" x14ac:dyDescent="0.35">
      <c r="A1319" s="9" t="str">
        <f>HYPERLINK("http://www.ensembl.org/id/WBGene00017616", "WBGene00017616")</f>
        <v>WBGene00017616</v>
      </c>
      <c r="B1319" s="9" t="str">
        <f>HYPERLINK("http://www.ncbi.nlm.nih.gov/gene/179086", "179086")</f>
        <v>179086</v>
      </c>
      <c r="C1319" s="9"/>
      <c r="D1319" t="str">
        <f>"F20A1.4"</f>
        <v>F20A1.4</v>
      </c>
      <c r="F1319" t="s">
        <v>11</v>
      </c>
      <c r="G1319" t="s">
        <v>25</v>
      </c>
      <c r="H1319" s="12">
        <v>3.9770446243261199</v>
      </c>
      <c r="I1319" s="11">
        <v>2.50671645236373</v>
      </c>
      <c r="J1319" s="10">
        <v>1.21858421774083E-2</v>
      </c>
      <c r="K1319" s="29">
        <v>0.22049026574095301</v>
      </c>
    </row>
    <row r="1320" spans="1:11" x14ac:dyDescent="0.35">
      <c r="A1320" s="9" t="str">
        <f>HYPERLINK("http://www.ensembl.org/id/WBGene00008795", "WBGene00008795")</f>
        <v>WBGene00008795</v>
      </c>
      <c r="B1320" s="9" t="str">
        <f>HYPERLINK("http://www.ncbi.nlm.nih.gov/gene/184468", "184468")</f>
        <v>184468</v>
      </c>
      <c r="C1320" s="9"/>
      <c r="D1320" t="str">
        <f>"F14D7.8"</f>
        <v>F14D7.8</v>
      </c>
      <c r="F1320" t="s">
        <v>11</v>
      </c>
      <c r="G1320" t="s">
        <v>25</v>
      </c>
      <c r="H1320" s="12">
        <v>3.97625922145656</v>
      </c>
      <c r="I1320" s="11">
        <v>1.3686804312779499</v>
      </c>
      <c r="J1320" s="10">
        <v>0.171099189850065</v>
      </c>
      <c r="K1320" s="29">
        <v>0.89585721293351495</v>
      </c>
    </row>
    <row r="1321" spans="1:11" x14ac:dyDescent="0.35">
      <c r="A1321" s="9" t="str">
        <f>HYPERLINK("http://www.ensembl.org/id/WBGene00007559", "WBGene00007559")</f>
        <v>WBGene00007559</v>
      </c>
      <c r="B1321" s="9" t="str">
        <f>HYPERLINK("http://www.ncbi.nlm.nih.gov/gene/174636", "174636")</f>
        <v>174636</v>
      </c>
      <c r="C1321" s="9"/>
      <c r="D1321" t="str">
        <f>"C14A4.8"</f>
        <v>C14A4.8</v>
      </c>
      <c r="E1321" t="s">
        <v>899</v>
      </c>
      <c r="F1321" t="s">
        <v>11</v>
      </c>
      <c r="G1321" t="s">
        <v>3403</v>
      </c>
      <c r="H1321" s="12">
        <v>3.9762227095681602</v>
      </c>
      <c r="I1321" s="11">
        <v>0.73677622220440098</v>
      </c>
      <c r="J1321" s="10">
        <v>0.46125844531931298</v>
      </c>
      <c r="K1321" s="29">
        <v>0.98289565623980701</v>
      </c>
    </row>
    <row r="1322" spans="1:11" x14ac:dyDescent="0.35">
      <c r="A1322" s="9" t="str">
        <f>HYPERLINK("http://www.ensembl.org/id/WBGene00284861", "WBGene00284861")</f>
        <v>WBGene00284861</v>
      </c>
      <c r="B1322" s="9"/>
      <c r="C1322" s="9"/>
      <c r="D1322" t="str">
        <f>"C30G12.11"</f>
        <v>C30G12.11</v>
      </c>
      <c r="F1322" t="s">
        <v>481</v>
      </c>
      <c r="H1322" s="12">
        <v>3.9762227095681602</v>
      </c>
      <c r="I1322" s="11">
        <v>0.73677622220440098</v>
      </c>
      <c r="J1322" s="10">
        <v>0.46125844531931298</v>
      </c>
      <c r="K1322" s="29">
        <v>0.98289565623980701</v>
      </c>
    </row>
    <row r="1323" spans="1:11" x14ac:dyDescent="0.35">
      <c r="A1323" s="9" t="str">
        <f>HYPERLINK("http://www.ensembl.org/id/WBGene00008659", "WBGene00008659")</f>
        <v>WBGene00008659</v>
      </c>
      <c r="B1323" s="9" t="str">
        <f>HYPERLINK("http://www.ncbi.nlm.nih.gov/gene/184310", "184310")</f>
        <v>184310</v>
      </c>
      <c r="C1323" s="9"/>
      <c r="D1323" t="str">
        <f>"clec-151"</f>
        <v>clec-151</v>
      </c>
      <c r="E1323" t="s">
        <v>46</v>
      </c>
      <c r="F1323" t="s">
        <v>11</v>
      </c>
      <c r="G1323" t="s">
        <v>47</v>
      </c>
      <c r="H1323" s="12">
        <v>3.9760683645422898</v>
      </c>
      <c r="I1323" s="11">
        <v>1.3630095236305499</v>
      </c>
      <c r="J1323" s="10">
        <v>0.17287950916700001</v>
      </c>
      <c r="K1323" s="29">
        <v>0.89951889359116699</v>
      </c>
    </row>
    <row r="1324" spans="1:11" x14ac:dyDescent="0.35">
      <c r="A1324" s="9" t="str">
        <f>HYPERLINK("http://www.ensembl.org/id/WBGene00017367", "WBGene00017367")</f>
        <v>WBGene00017367</v>
      </c>
      <c r="B1324" s="9" t="str">
        <f>HYPERLINK("http://www.ncbi.nlm.nih.gov/gene/184318", "184318")</f>
        <v>184318</v>
      </c>
      <c r="C1324" s="9"/>
      <c r="D1324" t="str">
        <f>"nhr-263"</f>
        <v>nhr-263</v>
      </c>
      <c r="E1324" t="s">
        <v>637</v>
      </c>
      <c r="F1324" t="s">
        <v>11</v>
      </c>
      <c r="G1324" t="s">
        <v>4088</v>
      </c>
      <c r="H1324" s="12">
        <v>3.97323823698457</v>
      </c>
      <c r="I1324" s="11">
        <v>1.2307206807502</v>
      </c>
      <c r="J1324" s="10">
        <v>0.21842735052929199</v>
      </c>
      <c r="K1324" s="29">
        <v>0.97042364854653596</v>
      </c>
    </row>
    <row r="1325" spans="1:11" x14ac:dyDescent="0.35">
      <c r="A1325" s="9" t="str">
        <f>HYPERLINK("http://www.ensembl.org/id/WBGene00206464", "WBGene00206464")</f>
        <v>WBGene00206464</v>
      </c>
      <c r="B1325" s="9" t="str">
        <f>HYPERLINK("http://www.ncbi.nlm.nih.gov/gene/13181858", "13181858")</f>
        <v>13181858</v>
      </c>
      <c r="C1325" s="9"/>
      <c r="D1325" t="str">
        <f>"F59C6.18"</f>
        <v>F59C6.18</v>
      </c>
      <c r="F1325" t="s">
        <v>11</v>
      </c>
      <c r="H1325" s="12">
        <v>3.96847975834861</v>
      </c>
      <c r="I1325" s="11">
        <v>0.70157267049516603</v>
      </c>
      <c r="J1325" s="10">
        <v>0.482945700163046</v>
      </c>
      <c r="K1325" s="29">
        <v>0.98289565623980701</v>
      </c>
    </row>
    <row r="1326" spans="1:11" x14ac:dyDescent="0.35">
      <c r="A1326" s="9" t="str">
        <f>HYPERLINK("http://www.ensembl.org/id/WBGene00197335", "WBGene00197335")</f>
        <v>WBGene00197335</v>
      </c>
      <c r="B1326" s="9"/>
      <c r="C1326" s="9"/>
      <c r="D1326" t="str">
        <f>"C05D2.14"</f>
        <v>C05D2.14</v>
      </c>
      <c r="F1326" t="s">
        <v>481</v>
      </c>
      <c r="H1326" s="12">
        <v>3.96717629464532</v>
      </c>
      <c r="I1326" s="11">
        <v>0.45862218578449998</v>
      </c>
      <c r="J1326" s="10">
        <v>0.64650550194479495</v>
      </c>
      <c r="K1326" s="29">
        <v>0.98289565623980701</v>
      </c>
    </row>
    <row r="1327" spans="1:11" x14ac:dyDescent="0.35">
      <c r="A1327" s="9" t="str">
        <f>HYPERLINK("http://www.ensembl.org/id/WBGene00014290", "WBGene00014290")</f>
        <v>WBGene00014290</v>
      </c>
      <c r="B1327" s="9"/>
      <c r="C1327" s="9"/>
      <c r="D1327" t="str">
        <f>"C51F7.3"</f>
        <v>C51F7.3</v>
      </c>
      <c r="F1327" t="s">
        <v>2977</v>
      </c>
      <c r="H1327" s="12">
        <v>3.96717629464532</v>
      </c>
      <c r="I1327" s="11">
        <v>0.45862218578449998</v>
      </c>
      <c r="J1327" s="10">
        <v>0.64650550194479495</v>
      </c>
      <c r="K1327" s="29">
        <v>0.98289565623980701</v>
      </c>
    </row>
    <row r="1328" spans="1:11" x14ac:dyDescent="0.35">
      <c r="A1328" s="9" t="str">
        <f>HYPERLINK("http://www.ensembl.org/id/WBGene00197027", "WBGene00197027")</f>
        <v>WBGene00197027</v>
      </c>
      <c r="B1328" s="9"/>
      <c r="C1328" s="9"/>
      <c r="D1328" t="str">
        <f>"C52B9.16"</f>
        <v>C52B9.16</v>
      </c>
      <c r="F1328" t="s">
        <v>481</v>
      </c>
      <c r="H1328" s="12">
        <v>3.96717629464532</v>
      </c>
      <c r="I1328" s="11">
        <v>0.45862218578449998</v>
      </c>
      <c r="J1328" s="10">
        <v>0.64650550194479495</v>
      </c>
      <c r="K1328" s="29">
        <v>0.98289565623980701</v>
      </c>
    </row>
    <row r="1329" spans="1:11" x14ac:dyDescent="0.35">
      <c r="A1329" s="9" t="str">
        <f>HYPERLINK("http://www.ensembl.org/id/WBGene00009960", "WBGene00009960")</f>
        <v>WBGene00009960</v>
      </c>
      <c r="B1329" s="9" t="str">
        <f>HYPERLINK("http://www.ncbi.nlm.nih.gov/gene/353384", "353384")</f>
        <v>353384</v>
      </c>
      <c r="C1329" s="9"/>
      <c r="D1329" t="str">
        <f>"F53B6.5"</f>
        <v>F53B6.5</v>
      </c>
      <c r="F1329" t="s">
        <v>11</v>
      </c>
      <c r="H1329" s="12">
        <v>3.96717629464532</v>
      </c>
      <c r="I1329" s="11">
        <v>0.45862218578449998</v>
      </c>
      <c r="J1329" s="10">
        <v>0.64650550194479495</v>
      </c>
      <c r="K1329" s="29">
        <v>0.98289565623980701</v>
      </c>
    </row>
    <row r="1330" spans="1:11" x14ac:dyDescent="0.35">
      <c r="A1330" s="9" t="str">
        <f>HYPERLINK("http://www.ensembl.org/id/WBGene00016526", "WBGene00016526")</f>
        <v>WBGene00016526</v>
      </c>
      <c r="B1330" s="9"/>
      <c r="C1330" s="9"/>
      <c r="D1330" t="str">
        <f>"fbxa-8"</f>
        <v>fbxa-8</v>
      </c>
      <c r="F1330" t="s">
        <v>80</v>
      </c>
      <c r="H1330" s="12">
        <v>3.96717629464532</v>
      </c>
      <c r="I1330" s="11">
        <v>0.45862218578449998</v>
      </c>
      <c r="J1330" s="10">
        <v>0.64650550194479495</v>
      </c>
      <c r="K1330" s="29">
        <v>0.98289565623980701</v>
      </c>
    </row>
    <row r="1331" spans="1:11" x14ac:dyDescent="0.35">
      <c r="A1331" s="9" t="str">
        <f>HYPERLINK("http://www.ensembl.org/id/WBGene00019251", "WBGene00019251")</f>
        <v>WBGene00019251</v>
      </c>
      <c r="B1331" s="9" t="str">
        <f>HYPERLINK("http://www.ncbi.nlm.nih.gov/gene/186792", "186792")</f>
        <v>186792</v>
      </c>
      <c r="C1331" s="9"/>
      <c r="D1331" t="str">
        <f>"H28G03.3"</f>
        <v>H28G03.3</v>
      </c>
      <c r="F1331" t="s">
        <v>11</v>
      </c>
      <c r="H1331" s="12">
        <v>3.96717629464532</v>
      </c>
      <c r="I1331" s="11">
        <v>0.45862218578449998</v>
      </c>
      <c r="J1331" s="10">
        <v>0.64650550194479495</v>
      </c>
      <c r="K1331" s="29">
        <v>0.98289565623980701</v>
      </c>
    </row>
    <row r="1332" spans="1:11" x14ac:dyDescent="0.35">
      <c r="A1332" s="9" t="str">
        <f>HYPERLINK("http://www.ensembl.org/id/WBGene00005098", "WBGene00005098")</f>
        <v>WBGene00005098</v>
      </c>
      <c r="B1332" s="9" t="str">
        <f>HYPERLINK("http://www.ncbi.nlm.nih.gov/gene/191809", "191809")</f>
        <v>191809</v>
      </c>
      <c r="C1332" s="9"/>
      <c r="D1332" t="str">
        <f>"srd-20"</f>
        <v>srd-20</v>
      </c>
      <c r="E1332" t="s">
        <v>1513</v>
      </c>
      <c r="F1332" t="s">
        <v>11</v>
      </c>
      <c r="G1332" t="s">
        <v>25</v>
      </c>
      <c r="H1332" s="12">
        <v>3.96717629464532</v>
      </c>
      <c r="I1332" s="11">
        <v>0.45862218578449998</v>
      </c>
      <c r="J1332" s="10">
        <v>0.64650550194479495</v>
      </c>
      <c r="K1332" s="29">
        <v>0.98289565623980701</v>
      </c>
    </row>
    <row r="1333" spans="1:11" x14ac:dyDescent="0.35">
      <c r="A1333" s="9" t="str">
        <f>HYPERLINK("http://www.ensembl.org/id/WBGene00005763", "WBGene00005763")</f>
        <v>WBGene00005763</v>
      </c>
      <c r="B1333" s="9" t="str">
        <f>HYPERLINK("http://www.ncbi.nlm.nih.gov/gene/188394", "188394")</f>
        <v>188394</v>
      </c>
      <c r="C1333" s="9"/>
      <c r="D1333" t="str">
        <f>"srw-16"</f>
        <v>srw-16</v>
      </c>
      <c r="E1333" t="s">
        <v>1014</v>
      </c>
      <c r="F1333" t="s">
        <v>11</v>
      </c>
      <c r="G1333" t="s">
        <v>1015</v>
      </c>
      <c r="H1333" s="12">
        <v>3.96717629464532</v>
      </c>
      <c r="I1333" s="11">
        <v>0.45862218578449998</v>
      </c>
      <c r="J1333" s="10">
        <v>0.64650550194479495</v>
      </c>
      <c r="K1333" s="29">
        <v>0.98289565623980701</v>
      </c>
    </row>
    <row r="1334" spans="1:11" x14ac:dyDescent="0.35">
      <c r="A1334" s="9" t="str">
        <f>HYPERLINK("http://www.ensembl.org/id/WBGene00015672", "WBGene00015672")</f>
        <v>WBGene00015672</v>
      </c>
      <c r="B1334" s="9" t="str">
        <f>HYPERLINK("http://www.ncbi.nlm.nih.gov/gene/182496", "182496")</f>
        <v>182496</v>
      </c>
      <c r="C1334" s="9"/>
      <c r="D1334" t="str">
        <f>"C10E2.1"</f>
        <v>C10E2.1</v>
      </c>
      <c r="F1334" t="s">
        <v>11</v>
      </c>
      <c r="H1334" s="12">
        <v>3.96328883831751</v>
      </c>
      <c r="I1334" s="11">
        <v>1.8250395541342599</v>
      </c>
      <c r="J1334" s="10">
        <v>6.7995060632917201E-2</v>
      </c>
      <c r="K1334" s="29">
        <v>0.61854089408826096</v>
      </c>
    </row>
    <row r="1335" spans="1:11" x14ac:dyDescent="0.35">
      <c r="A1335" s="9" t="str">
        <f>HYPERLINK("http://www.ensembl.org/id/WBGene00017629", "WBGene00017629")</f>
        <v>WBGene00017629</v>
      </c>
      <c r="B1335" s="9" t="str">
        <f>HYPERLINK("http://www.ncbi.nlm.nih.gov/gene/180693", "180693")</f>
        <v>180693</v>
      </c>
      <c r="C1335" s="9"/>
      <c r="D1335" t="str">
        <f>"F20B6.5"</f>
        <v>F20B6.5</v>
      </c>
      <c r="F1335" t="s">
        <v>11</v>
      </c>
      <c r="H1335" s="12">
        <v>3.9536106107363702</v>
      </c>
      <c r="I1335" s="11">
        <v>0.54979560316716403</v>
      </c>
      <c r="J1335" s="10">
        <v>0.58245957473176702</v>
      </c>
      <c r="K1335" s="29">
        <v>0.98289565623980701</v>
      </c>
    </row>
    <row r="1336" spans="1:11" x14ac:dyDescent="0.35">
      <c r="A1336" s="9" t="str">
        <f>HYPERLINK("http://www.ensembl.org/id/WBGene00198190", "WBGene00198190")</f>
        <v>WBGene00198190</v>
      </c>
      <c r="B1336" s="9"/>
      <c r="C1336" s="9"/>
      <c r="D1336" t="str">
        <f>"F25H2.16"</f>
        <v>F25H2.16</v>
      </c>
      <c r="F1336" t="s">
        <v>481</v>
      </c>
      <c r="H1336" s="12">
        <v>3.9536106107363702</v>
      </c>
      <c r="I1336" s="11">
        <v>0.54979560316716403</v>
      </c>
      <c r="J1336" s="10">
        <v>0.58245957473176702</v>
      </c>
      <c r="K1336" s="29">
        <v>0.98289565623980701</v>
      </c>
    </row>
    <row r="1337" spans="1:11" x14ac:dyDescent="0.35">
      <c r="A1337" s="9" t="str">
        <f>HYPERLINK("http://www.ensembl.org/id/WBGene00005688", "WBGene00005688")</f>
        <v>WBGene00005688</v>
      </c>
      <c r="B1337" s="9" t="str">
        <f>HYPERLINK("http://www.ncbi.nlm.nih.gov/gene/185172", "185172")</f>
        <v>185172</v>
      </c>
      <c r="C1337" s="9"/>
      <c r="D1337" t="str">
        <f>"sru-25"</f>
        <v>sru-25</v>
      </c>
      <c r="E1337" t="s">
        <v>2653</v>
      </c>
      <c r="F1337" t="s">
        <v>11</v>
      </c>
      <c r="G1337" t="s">
        <v>25</v>
      </c>
      <c r="H1337" s="12">
        <v>3.9536106107363702</v>
      </c>
      <c r="I1337" s="11">
        <v>0.54979560316716403</v>
      </c>
      <c r="J1337" s="10">
        <v>0.58245957473176702</v>
      </c>
      <c r="K1337" s="29">
        <v>0.98289565623980701</v>
      </c>
    </row>
    <row r="1338" spans="1:11" x14ac:dyDescent="0.35">
      <c r="A1338" s="9" t="str">
        <f>HYPERLINK("http://www.ensembl.org/id/WBGene00194647", "WBGene00194647")</f>
        <v>WBGene00194647</v>
      </c>
      <c r="B1338" s="9" t="str">
        <f>HYPERLINK("http://www.ncbi.nlm.nih.gov/gene/13209146", "13209146")</f>
        <v>13209146</v>
      </c>
      <c r="C1338" s="9"/>
      <c r="D1338" t="str">
        <f>"Y51H4A.935"</f>
        <v>Y51H4A.935</v>
      </c>
      <c r="F1338" t="s">
        <v>11</v>
      </c>
      <c r="H1338" s="12">
        <v>3.9536106107363702</v>
      </c>
      <c r="I1338" s="11">
        <v>0.54979560316716403</v>
      </c>
      <c r="J1338" s="10">
        <v>0.58245957473176702</v>
      </c>
      <c r="K1338" s="29">
        <v>0.98289565623980701</v>
      </c>
    </row>
    <row r="1339" spans="1:11" x14ac:dyDescent="0.35">
      <c r="A1339" s="9" t="str">
        <f>HYPERLINK("http://www.ensembl.org/id/WBGene00011141", "WBGene00011141")</f>
        <v>WBGene00011141</v>
      </c>
      <c r="B1339" s="9" t="str">
        <f>HYPERLINK("http://www.ncbi.nlm.nih.gov/gene/3565685", "3565685")</f>
        <v>3565685</v>
      </c>
      <c r="C1339" s="9"/>
      <c r="D1339" t="str">
        <f>"nlp-66"</f>
        <v>nlp-66</v>
      </c>
      <c r="E1339" t="s">
        <v>76</v>
      </c>
      <c r="F1339" t="s">
        <v>11</v>
      </c>
      <c r="G1339" t="s">
        <v>77</v>
      </c>
      <c r="H1339" s="12">
        <v>3.95136232504762</v>
      </c>
      <c r="I1339" s="11">
        <v>3.1957841110431802</v>
      </c>
      <c r="J1339" s="10">
        <v>1.39451412692412E-3</v>
      </c>
      <c r="K1339" s="29">
        <v>5.01894757269606E-2</v>
      </c>
    </row>
    <row r="1340" spans="1:11" x14ac:dyDescent="0.35">
      <c r="A1340" s="9" t="str">
        <f>HYPERLINK("http://www.ensembl.org/id/WBGene00219252", "WBGene00219252")</f>
        <v>WBGene00219252</v>
      </c>
      <c r="B1340" s="9"/>
      <c r="C1340" s="9"/>
      <c r="D1340" t="str">
        <f>"mir-4815"</f>
        <v>mir-4815</v>
      </c>
      <c r="F1340" t="s">
        <v>1486</v>
      </c>
      <c r="H1340" s="12">
        <v>3.9504197719073901</v>
      </c>
      <c r="I1340" s="11">
        <v>1.03026980556241</v>
      </c>
      <c r="J1340" s="10">
        <v>0.30288336901702401</v>
      </c>
      <c r="K1340" s="29">
        <v>0.98289565623980701</v>
      </c>
    </row>
    <row r="1341" spans="1:11" x14ac:dyDescent="0.35">
      <c r="A1341" s="9" t="str">
        <f>HYPERLINK("http://www.ensembl.org/id/WBGene00019216", "WBGene00019216")</f>
        <v>WBGene00019216</v>
      </c>
      <c r="B1341" s="9" t="str">
        <f>HYPERLINK("http://www.ncbi.nlm.nih.gov/gene/173770", "173770")</f>
        <v>173770</v>
      </c>
      <c r="C1341" s="9"/>
      <c r="D1341" t="str">
        <f>"H20J04.1"</f>
        <v>H20J04.1</v>
      </c>
      <c r="F1341" t="s">
        <v>11</v>
      </c>
      <c r="G1341" t="s">
        <v>25</v>
      </c>
      <c r="H1341" s="12">
        <v>3.94844108320842</v>
      </c>
      <c r="I1341" s="11">
        <v>0.78633663179975499</v>
      </c>
      <c r="J1341" s="10">
        <v>0.431670297067974</v>
      </c>
      <c r="K1341" s="29">
        <v>0.98289565623980701</v>
      </c>
    </row>
    <row r="1342" spans="1:11" x14ac:dyDescent="0.35">
      <c r="A1342" s="9" t="str">
        <f>HYPERLINK("http://www.ensembl.org/id/WBGene00005513", "WBGene00005513")</f>
        <v>WBGene00005513</v>
      </c>
      <c r="B1342" s="9" t="str">
        <f>HYPERLINK("http://www.ncbi.nlm.nih.gov/gene/185371", "185371")</f>
        <v>185371</v>
      </c>
      <c r="C1342" s="9"/>
      <c r="D1342" t="str">
        <f>"sri-1"</f>
        <v>sri-1</v>
      </c>
      <c r="E1342" t="s">
        <v>1503</v>
      </c>
      <c r="F1342" t="s">
        <v>11</v>
      </c>
      <c r="G1342" t="s">
        <v>25</v>
      </c>
      <c r="H1342" s="12">
        <v>3.94792814724594</v>
      </c>
      <c r="I1342" s="11">
        <v>1.6585930384816201</v>
      </c>
      <c r="J1342" s="10">
        <v>9.71978255272644E-2</v>
      </c>
      <c r="K1342" s="29">
        <v>0.72074870238542099</v>
      </c>
    </row>
    <row r="1343" spans="1:11" x14ac:dyDescent="0.35">
      <c r="A1343" s="9" t="str">
        <f>HYPERLINK("http://www.ensembl.org/id/WBGene00011288", "WBGene00011288")</f>
        <v>WBGene00011288</v>
      </c>
      <c r="B1343" s="9" t="str">
        <f>HYPERLINK("http://www.ncbi.nlm.nih.gov/gene/187891", "187891")</f>
        <v>187891</v>
      </c>
      <c r="C1343" s="9"/>
      <c r="D1343" t="str">
        <f>"R102.1"</f>
        <v>R102.1</v>
      </c>
      <c r="F1343" t="s">
        <v>11</v>
      </c>
      <c r="H1343" s="12">
        <v>3.9477060469751502</v>
      </c>
      <c r="I1343" s="11">
        <v>2.7468624988214501</v>
      </c>
      <c r="J1343" s="10">
        <v>6.0168353812094103E-3</v>
      </c>
      <c r="K1343" s="29">
        <v>0.13650921273695099</v>
      </c>
    </row>
    <row r="1344" spans="1:11" x14ac:dyDescent="0.35">
      <c r="A1344" s="9" t="str">
        <f>HYPERLINK("http://www.ensembl.org/id/WBGene00011426", "WBGene00011426")</f>
        <v>WBGene00011426</v>
      </c>
      <c r="B1344" s="9" t="str">
        <f>HYPERLINK("http://www.ncbi.nlm.nih.gov/gene/188056", "188056")</f>
        <v>188056</v>
      </c>
      <c r="C1344" s="9"/>
      <c r="D1344" t="str">
        <f>"T04C10.3"</f>
        <v>T04C10.3</v>
      </c>
      <c r="F1344" t="s">
        <v>11</v>
      </c>
      <c r="H1344" s="12">
        <v>3.9468329533180002</v>
      </c>
      <c r="I1344" s="11">
        <v>0.84209589467568202</v>
      </c>
      <c r="J1344" s="10">
        <v>0.39973427902151998</v>
      </c>
      <c r="K1344" s="29">
        <v>0.98289565623980701</v>
      </c>
    </row>
    <row r="1345" spans="1:11" x14ac:dyDescent="0.35">
      <c r="A1345" s="9" t="str">
        <f>HYPERLINK("http://www.ensembl.org/id/WBGene00020877", "WBGene00020877")</f>
        <v>WBGene00020877</v>
      </c>
      <c r="B1345" s="9" t="str">
        <f>HYPERLINK("http://www.ncbi.nlm.nih.gov/gene/178761", "178761")</f>
        <v>178761</v>
      </c>
      <c r="C1345" s="9"/>
      <c r="D1345" t="str">
        <f>"srt-63"</f>
        <v>srt-63</v>
      </c>
      <c r="E1345" t="s">
        <v>2845</v>
      </c>
      <c r="F1345" t="s">
        <v>11</v>
      </c>
      <c r="G1345" t="s">
        <v>25</v>
      </c>
      <c r="H1345" s="12">
        <v>3.9452379150177199</v>
      </c>
      <c r="I1345" s="11">
        <v>1.5502251000834599</v>
      </c>
      <c r="J1345" s="10">
        <v>0.121087497356669</v>
      </c>
      <c r="K1345" s="29">
        <v>0.79202551775891294</v>
      </c>
    </row>
    <row r="1346" spans="1:11" x14ac:dyDescent="0.35">
      <c r="A1346" s="9" t="str">
        <f>HYPERLINK("http://www.ensembl.org/id/WBGene00077681", "WBGene00077681")</f>
        <v>WBGene00077681</v>
      </c>
      <c r="B1346" s="9" t="str">
        <f>HYPERLINK("http://www.ncbi.nlm.nih.gov/gene/6418804", "6418804")</f>
        <v>6418804</v>
      </c>
      <c r="C1346" s="9"/>
      <c r="D1346" t="str">
        <f>"Y44A6D.7"</f>
        <v>Y44A6D.7</v>
      </c>
      <c r="F1346" t="s">
        <v>11</v>
      </c>
      <c r="G1346" t="s">
        <v>25</v>
      </c>
      <c r="H1346" s="12">
        <v>3.9375461531918199</v>
      </c>
      <c r="I1346" s="11">
        <v>1.5784650989072</v>
      </c>
      <c r="J1346" s="10">
        <v>0.114458799995699</v>
      </c>
      <c r="K1346" s="29">
        <v>0.77375220383283305</v>
      </c>
    </row>
    <row r="1347" spans="1:11" x14ac:dyDescent="0.35">
      <c r="A1347" s="9" t="str">
        <f>HYPERLINK("http://www.ensembl.org/id/WBGene00011492", "WBGene00011492")</f>
        <v>WBGene00011492</v>
      </c>
      <c r="B1347" s="9" t="str">
        <f>HYPERLINK("http://www.ncbi.nlm.nih.gov/gene/188138", "188138")</f>
        <v>188138</v>
      </c>
      <c r="C1347" s="9"/>
      <c r="D1347" t="str">
        <f>"T05F1.7"</f>
        <v>T05F1.7</v>
      </c>
      <c r="F1347" t="s">
        <v>11</v>
      </c>
      <c r="H1347" s="12">
        <v>3.9365933504755302</v>
      </c>
      <c r="I1347" s="11">
        <v>0.89001831956516297</v>
      </c>
      <c r="J1347" s="10">
        <v>0.373456049376023</v>
      </c>
      <c r="K1347" s="29">
        <v>0.98289565623980701</v>
      </c>
    </row>
    <row r="1348" spans="1:11" x14ac:dyDescent="0.35">
      <c r="A1348" s="9" t="str">
        <f>HYPERLINK("http://www.ensembl.org/id/WBGene00016153", "WBGene00016153")</f>
        <v>WBGene00016153</v>
      </c>
      <c r="B1348" s="9" t="str">
        <f>HYPERLINK("http://www.ncbi.nlm.nih.gov/gene/182949", "182949")</f>
        <v>182949</v>
      </c>
      <c r="C1348" s="9"/>
      <c r="D1348" t="str">
        <f>"C27A2.5"</f>
        <v>C27A2.5</v>
      </c>
      <c r="F1348" t="s">
        <v>11</v>
      </c>
      <c r="H1348" s="12">
        <v>3.9354022281346901</v>
      </c>
      <c r="I1348" s="11">
        <v>1.0683608334803101</v>
      </c>
      <c r="J1348" s="10">
        <v>0.28535777721668498</v>
      </c>
      <c r="K1348" s="29">
        <v>0.98289565623980701</v>
      </c>
    </row>
    <row r="1349" spans="1:11" x14ac:dyDescent="0.35">
      <c r="A1349" s="9" t="str">
        <f>HYPERLINK("http://www.ensembl.org/id/WBGene00000399", "WBGene00000399")</f>
        <v>WBGene00000399</v>
      </c>
      <c r="B1349" s="9" t="str">
        <f>HYPERLINK("http://www.ncbi.nlm.nih.gov/gene/175143", "175143")</f>
        <v>175143</v>
      </c>
      <c r="C1349" s="9"/>
      <c r="D1349" t="str">
        <f>"cdh-7"</f>
        <v>cdh-7</v>
      </c>
      <c r="E1349" t="s">
        <v>527</v>
      </c>
      <c r="F1349" t="s">
        <v>11</v>
      </c>
      <c r="G1349" t="s">
        <v>528</v>
      </c>
      <c r="H1349" s="12">
        <v>3.9274179452631399</v>
      </c>
      <c r="I1349" s="11">
        <v>1.2782304437721399</v>
      </c>
      <c r="J1349" s="10">
        <v>0.201168184761193</v>
      </c>
      <c r="K1349" s="29">
        <v>0.94884939637341104</v>
      </c>
    </row>
    <row r="1350" spans="1:11" x14ac:dyDescent="0.35">
      <c r="A1350" s="9" t="str">
        <f>HYPERLINK("http://www.ensembl.org/id/WBGene00271821", "WBGene00271821")</f>
        <v>WBGene00271821</v>
      </c>
      <c r="B1350" s="9" t="str">
        <f>HYPERLINK("http://www.ncbi.nlm.nih.gov/gene/34700647", "34700647")</f>
        <v>34700647</v>
      </c>
      <c r="C1350" s="9"/>
      <c r="D1350" t="str">
        <f>"T28C12.15"</f>
        <v>T28C12.15</v>
      </c>
      <c r="F1350" t="s">
        <v>11</v>
      </c>
      <c r="H1350" s="12">
        <v>3.9239986838375902</v>
      </c>
      <c r="I1350" s="11">
        <v>1.46190795748609</v>
      </c>
      <c r="J1350" s="10">
        <v>0.14376643408891099</v>
      </c>
      <c r="K1350" s="29">
        <v>0.84057228983786503</v>
      </c>
    </row>
    <row r="1351" spans="1:11" x14ac:dyDescent="0.35">
      <c r="A1351" s="9" t="str">
        <f>HYPERLINK("http://www.ensembl.org/id/WBGene00018640", "WBGene00018640")</f>
        <v>WBGene00018640</v>
      </c>
      <c r="B1351" s="9" t="str">
        <f>HYPERLINK("http://www.ncbi.nlm.nih.gov/gene/180855", "180855")</f>
        <v>180855</v>
      </c>
      <c r="C1351" s="9"/>
      <c r="D1351" t="str">
        <f>"F49E10.2"</f>
        <v>F49E10.2</v>
      </c>
      <c r="F1351" t="s">
        <v>11</v>
      </c>
      <c r="G1351" t="s">
        <v>698</v>
      </c>
      <c r="H1351" s="12">
        <v>3.9232564839080299</v>
      </c>
      <c r="I1351" s="11">
        <v>2.9840712933973998</v>
      </c>
      <c r="J1351" s="10">
        <v>2.8444048778571902E-3</v>
      </c>
      <c r="K1351" s="29">
        <v>8.2050960184479604E-2</v>
      </c>
    </row>
    <row r="1352" spans="1:11" x14ac:dyDescent="0.35">
      <c r="A1352" s="9" t="str">
        <f>HYPERLINK("http://www.ensembl.org/id/WBGene00011870", "WBGene00011870")</f>
        <v>WBGene00011870</v>
      </c>
      <c r="B1352" s="9" t="str">
        <f>HYPERLINK("http://www.ncbi.nlm.nih.gov/gene/188660", "188660")</f>
        <v>188660</v>
      </c>
      <c r="C1352" s="9"/>
      <c r="D1352" t="str">
        <f>"T20G5.8"</f>
        <v>T20G5.8</v>
      </c>
      <c r="F1352" t="s">
        <v>11</v>
      </c>
      <c r="H1352" s="12">
        <v>3.9230033962616799</v>
      </c>
      <c r="I1352" s="11">
        <v>3.2568116484512699</v>
      </c>
      <c r="J1352" s="10">
        <v>1.12671169641834E-3</v>
      </c>
      <c r="K1352" s="29">
        <v>4.3102318638149402E-2</v>
      </c>
    </row>
    <row r="1353" spans="1:11" x14ac:dyDescent="0.35">
      <c r="A1353" s="9" t="str">
        <f>HYPERLINK("http://www.ensembl.org/id/WBGene00044354", "WBGene00044354")</f>
        <v>WBGene00044354</v>
      </c>
      <c r="B1353" s="9" t="str">
        <f>HYPERLINK("http://www.ncbi.nlm.nih.gov/gene/3565390", "3565390")</f>
        <v>3565390</v>
      </c>
      <c r="C1353" s="9"/>
      <c r="D1353" t="str">
        <f>"ZK418.11"</f>
        <v>ZK418.11</v>
      </c>
      <c r="F1353" t="s">
        <v>11</v>
      </c>
      <c r="G1353" t="s">
        <v>228</v>
      </c>
      <c r="H1353" s="12">
        <v>3.9187742074082199</v>
      </c>
      <c r="I1353" s="11">
        <v>1.45341074501582</v>
      </c>
      <c r="J1353" s="10">
        <v>0.14610974489560899</v>
      </c>
      <c r="K1353" s="29">
        <v>0.84505926547132704</v>
      </c>
    </row>
    <row r="1354" spans="1:11" x14ac:dyDescent="0.35">
      <c r="A1354" s="9" t="str">
        <f>HYPERLINK("http://www.ensembl.org/id/WBGene00016521", "WBGene00016521")</f>
        <v>WBGene00016521</v>
      </c>
      <c r="B1354" s="9" t="str">
        <f>HYPERLINK("http://www.ncbi.nlm.nih.gov/gene/183322", "183322")</f>
        <v>183322</v>
      </c>
      <c r="C1354" s="9"/>
      <c r="D1354" t="str">
        <f>"fbxa-62"</f>
        <v>fbxa-62</v>
      </c>
      <c r="E1354" t="s">
        <v>467</v>
      </c>
      <c r="F1354" t="s">
        <v>11</v>
      </c>
      <c r="G1354" t="s">
        <v>54</v>
      </c>
      <c r="H1354" s="12">
        <v>3.9140217803182802</v>
      </c>
      <c r="I1354" s="11">
        <v>1.5390771235436</v>
      </c>
      <c r="J1354" s="10">
        <v>0.123785469143348</v>
      </c>
      <c r="K1354" s="29">
        <v>0.79826980253568103</v>
      </c>
    </row>
    <row r="1355" spans="1:11" x14ac:dyDescent="0.35">
      <c r="A1355" s="9" t="str">
        <f>HYPERLINK("http://www.ensembl.org/id/WBGene00018406", "WBGene00018406")</f>
        <v>WBGene00018406</v>
      </c>
      <c r="B1355" s="9" t="str">
        <f>HYPERLINK("http://www.ncbi.nlm.nih.gov/gene/185721", "185721")</f>
        <v>185721</v>
      </c>
      <c r="C1355" s="9"/>
      <c r="D1355" t="str">
        <f>"F44A2.7"</f>
        <v>F44A2.7</v>
      </c>
      <c r="F1355" t="s">
        <v>11</v>
      </c>
      <c r="H1355" s="12">
        <v>3.9136124620197301</v>
      </c>
      <c r="I1355" s="11">
        <v>1.0941384409183099</v>
      </c>
      <c r="J1355" s="10">
        <v>0.27389426516676102</v>
      </c>
      <c r="K1355" s="29">
        <v>0.98289565623980701</v>
      </c>
    </row>
    <row r="1356" spans="1:11" x14ac:dyDescent="0.35">
      <c r="A1356" s="9" t="str">
        <f>HYPERLINK("http://www.ensembl.org/id/WBGene00008068", "WBGene00008068")</f>
        <v>WBGene00008068</v>
      </c>
      <c r="B1356" s="9" t="str">
        <f>HYPERLINK("http://www.ncbi.nlm.nih.gov/gene/183410", "183410")</f>
        <v>183410</v>
      </c>
      <c r="C1356" s="9"/>
      <c r="D1356" t="str">
        <f>"sdz-6"</f>
        <v>sdz-6</v>
      </c>
      <c r="E1356" t="s">
        <v>90</v>
      </c>
      <c r="F1356" t="s">
        <v>11</v>
      </c>
      <c r="G1356" t="s">
        <v>4287</v>
      </c>
      <c r="H1356" s="12">
        <v>3.9121532821164302</v>
      </c>
      <c r="I1356" s="11">
        <v>0.88062951106614296</v>
      </c>
      <c r="J1356" s="10">
        <v>0.37851838028158002</v>
      </c>
      <c r="K1356" s="29">
        <v>0.98289565623980701</v>
      </c>
    </row>
    <row r="1357" spans="1:11" x14ac:dyDescent="0.35">
      <c r="A1357" s="9" t="str">
        <f>HYPERLINK("http://www.ensembl.org/id/WBGene00005056", "WBGene00005056")</f>
        <v>WBGene00005056</v>
      </c>
      <c r="B1357" s="9" t="str">
        <f>HYPERLINK("http://www.ncbi.nlm.nih.gov/gene/189805", "189805")</f>
        <v>189805</v>
      </c>
      <c r="C1357" s="9"/>
      <c r="D1357" t="str">
        <f>"sra-30"</f>
        <v>sra-30</v>
      </c>
      <c r="E1357" t="s">
        <v>4214</v>
      </c>
      <c r="F1357" t="s">
        <v>11</v>
      </c>
      <c r="G1357" t="s">
        <v>4210</v>
      </c>
      <c r="H1357" s="12">
        <v>3.9121532821164302</v>
      </c>
      <c r="I1357" s="11">
        <v>0.88062951106614296</v>
      </c>
      <c r="J1357" s="10">
        <v>0.37851838028158002</v>
      </c>
      <c r="K1357" s="29">
        <v>0.98289565623980701</v>
      </c>
    </row>
    <row r="1358" spans="1:11" x14ac:dyDescent="0.35">
      <c r="A1358" s="9" t="str">
        <f>HYPERLINK("http://www.ensembl.org/id/WBGene00015084", "WBGene00015084")</f>
        <v>WBGene00015084</v>
      </c>
      <c r="B1358" s="9" t="str">
        <f>HYPERLINK("http://www.ncbi.nlm.nih.gov/gene/175805", "175805")</f>
        <v>175805</v>
      </c>
      <c r="C1358" s="9"/>
      <c r="D1358" t="str">
        <f>"B0244.9"</f>
        <v>B0244.9</v>
      </c>
      <c r="F1358" t="s">
        <v>11</v>
      </c>
      <c r="G1358" t="s">
        <v>25</v>
      </c>
      <c r="H1358" s="12">
        <v>3.9050457706800401</v>
      </c>
      <c r="I1358" s="11">
        <v>0.65045698157646403</v>
      </c>
      <c r="J1358" s="10">
        <v>0.51539708062207001</v>
      </c>
      <c r="K1358" s="29">
        <v>0.98289565623980701</v>
      </c>
    </row>
    <row r="1359" spans="1:11" x14ac:dyDescent="0.35">
      <c r="A1359" s="9" t="str">
        <f>HYPERLINK("http://www.ensembl.org/id/WBGene00016212", "WBGene00016212")</f>
        <v>WBGene00016212</v>
      </c>
      <c r="B1359" s="9" t="str">
        <f>HYPERLINK("http://www.ncbi.nlm.nih.gov/gene/183011", "183011")</f>
        <v>183011</v>
      </c>
      <c r="C1359" s="9"/>
      <c r="D1359" t="str">
        <f>"C29F5.3"</f>
        <v>C29F5.3</v>
      </c>
      <c r="F1359" t="s">
        <v>11</v>
      </c>
      <c r="G1359" t="s">
        <v>2468</v>
      </c>
      <c r="H1359" s="12">
        <v>3.9021325486546599</v>
      </c>
      <c r="I1359" s="11">
        <v>1.6736794545253399</v>
      </c>
      <c r="J1359" s="10">
        <v>9.4193613741192894E-2</v>
      </c>
      <c r="K1359" s="29">
        <v>0.70905362839480801</v>
      </c>
    </row>
    <row r="1360" spans="1:11" x14ac:dyDescent="0.35">
      <c r="A1360" s="9" t="str">
        <f>HYPERLINK("http://www.ensembl.org/id/WBGene00119204", "WBGene00119204")</f>
        <v>WBGene00119204</v>
      </c>
      <c r="B1360" s="9" t="str">
        <f>HYPERLINK("http://www.ncbi.nlm.nih.gov/gene/13215857", "13215857")</f>
        <v>13215857</v>
      </c>
      <c r="C1360" s="9"/>
      <c r="D1360" t="str">
        <f>"ZC116.5"</f>
        <v>ZC116.5</v>
      </c>
      <c r="F1360" t="s">
        <v>11</v>
      </c>
      <c r="H1360" s="12">
        <v>3.8937446737797901</v>
      </c>
      <c r="I1360" s="11">
        <v>0.680702948803251</v>
      </c>
      <c r="J1360" s="10">
        <v>0.49605947009503798</v>
      </c>
      <c r="K1360" s="29">
        <v>0.98289565623980701</v>
      </c>
    </row>
    <row r="1361" spans="1:11" x14ac:dyDescent="0.35">
      <c r="A1361" s="9" t="str">
        <f>HYPERLINK("http://www.ensembl.org/id/WBGene00012114", "WBGene00012114")</f>
        <v>WBGene00012114</v>
      </c>
      <c r="B1361" s="9" t="str">
        <f>HYPERLINK("http://www.ncbi.nlm.nih.gov/gene/189032", "189032")</f>
        <v>189032</v>
      </c>
      <c r="C1361" s="9"/>
      <c r="D1361" t="str">
        <f>"T28B8.3"</f>
        <v>T28B8.3</v>
      </c>
      <c r="F1361" t="s">
        <v>11</v>
      </c>
      <c r="G1361" t="s">
        <v>1067</v>
      </c>
      <c r="H1361" s="12">
        <v>3.8927318027089401</v>
      </c>
      <c r="I1361" s="11">
        <v>2.5194910420539198</v>
      </c>
      <c r="J1361" s="10">
        <v>1.17524630769976E-2</v>
      </c>
      <c r="K1361" s="29">
        <v>0.21551778718817899</v>
      </c>
    </row>
    <row r="1362" spans="1:11" x14ac:dyDescent="0.35">
      <c r="A1362" s="9" t="str">
        <f>HYPERLINK("http://www.ensembl.org/id/WBGene00002092", "WBGene00002092")</f>
        <v>WBGene00002092</v>
      </c>
      <c r="B1362" s="9" t="str">
        <f>HYPERLINK("http://www.ncbi.nlm.nih.gov/gene/3564850", "3564850")</f>
        <v>3564850</v>
      </c>
      <c r="C1362" s="9"/>
      <c r="D1362" t="str">
        <f>"ins-9"</f>
        <v>ins-9</v>
      </c>
      <c r="E1362" t="s">
        <v>12</v>
      </c>
      <c r="F1362" t="s">
        <v>11</v>
      </c>
      <c r="G1362" t="s">
        <v>13</v>
      </c>
      <c r="H1362" s="12">
        <v>3.88965864840022</v>
      </c>
      <c r="I1362" s="11">
        <v>1.1289645621242299</v>
      </c>
      <c r="J1362" s="10">
        <v>0.25891278334925499</v>
      </c>
      <c r="K1362" s="29">
        <v>0.98289565623980701</v>
      </c>
    </row>
    <row r="1363" spans="1:11" x14ac:dyDescent="0.35">
      <c r="A1363" s="9" t="str">
        <f>HYPERLINK("http://www.ensembl.org/id/WBGene00009386", "WBGene00009386")</f>
        <v>WBGene00009386</v>
      </c>
      <c r="B1363" s="9" t="str">
        <f>HYPERLINK("http://www.ncbi.nlm.nih.gov/gene/179593", "179593")</f>
        <v>179593</v>
      </c>
      <c r="C1363" s="9"/>
      <c r="D1363" t="str">
        <f>"tag-290"</f>
        <v>tag-290</v>
      </c>
      <c r="F1363" t="s">
        <v>11</v>
      </c>
      <c r="G1363" t="s">
        <v>50</v>
      </c>
      <c r="H1363" s="12">
        <v>3.8890809019671102</v>
      </c>
      <c r="I1363" s="11">
        <v>6.3644975704545201</v>
      </c>
      <c r="J1363" s="10">
        <v>1.95930023070669E-10</v>
      </c>
      <c r="K1363" s="29">
        <v>1.8863162971128599E-7</v>
      </c>
    </row>
    <row r="1364" spans="1:11" x14ac:dyDescent="0.35">
      <c r="A1364" s="9" t="str">
        <f>HYPERLINK("http://www.ensembl.org/id/WBGene00011453", "WBGene00011453")</f>
        <v>WBGene00011453</v>
      </c>
      <c r="B1364" s="9" t="str">
        <f>HYPERLINK("http://www.ncbi.nlm.nih.gov/gene/188073", "188073")</f>
        <v>188073</v>
      </c>
      <c r="C1364" s="9"/>
      <c r="D1364" t="str">
        <f>"ugt-56"</f>
        <v>ugt-56</v>
      </c>
      <c r="E1364" t="s">
        <v>1330</v>
      </c>
      <c r="F1364" t="s">
        <v>11</v>
      </c>
      <c r="G1364" t="s">
        <v>104</v>
      </c>
      <c r="H1364" s="12">
        <v>3.8826497743599799</v>
      </c>
      <c r="I1364" s="11">
        <v>2.2843999490199201</v>
      </c>
      <c r="J1364" s="10">
        <v>2.2348036570380401E-2</v>
      </c>
      <c r="K1364" s="29">
        <v>0.32293541775810503</v>
      </c>
    </row>
    <row r="1365" spans="1:11" x14ac:dyDescent="0.35">
      <c r="A1365" s="9" t="str">
        <f>HYPERLINK("http://www.ensembl.org/id/WBGene00303081", "WBGene00303081")</f>
        <v>WBGene00303081</v>
      </c>
      <c r="B1365" s="9" t="str">
        <f>HYPERLINK("http://www.ncbi.nlm.nih.gov/gene/36805045", "36805045")</f>
        <v>36805045</v>
      </c>
      <c r="C1365" s="9"/>
      <c r="D1365" t="str">
        <f>"T23F2.13"</f>
        <v>T23F2.13</v>
      </c>
      <c r="F1365" t="s">
        <v>11</v>
      </c>
      <c r="G1365" t="s">
        <v>25</v>
      </c>
      <c r="H1365" s="12">
        <v>3.8724676597165302</v>
      </c>
      <c r="I1365" s="11">
        <v>1.7257491848756401</v>
      </c>
      <c r="J1365" s="10">
        <v>8.4392545267227601E-2</v>
      </c>
      <c r="K1365" s="29">
        <v>0.68318940529949201</v>
      </c>
    </row>
    <row r="1366" spans="1:11" x14ac:dyDescent="0.35">
      <c r="A1366" s="9" t="str">
        <f>HYPERLINK("http://www.ensembl.org/id/WBGene00010865", "WBGene00010865")</f>
        <v>WBGene00010865</v>
      </c>
      <c r="B1366" s="9" t="str">
        <f>HYPERLINK("http://www.ncbi.nlm.nih.gov/gene/187446", "187446")</f>
        <v>187446</v>
      </c>
      <c r="C1366" s="9"/>
      <c r="D1366" t="str">
        <f>"M04D8.7"</f>
        <v>M04D8.7</v>
      </c>
      <c r="F1366" t="s">
        <v>11</v>
      </c>
      <c r="G1366" t="s">
        <v>25</v>
      </c>
      <c r="H1366" s="12">
        <v>3.8698814831794599</v>
      </c>
      <c r="I1366" s="11">
        <v>4.01681456213805</v>
      </c>
      <c r="J1366" s="10">
        <v>5.8990106129454803E-5</v>
      </c>
      <c r="K1366" s="29">
        <v>4.34084519817574E-3</v>
      </c>
    </row>
    <row r="1367" spans="1:11" x14ac:dyDescent="0.35">
      <c r="A1367" s="9" t="str">
        <f>HYPERLINK("http://www.ensembl.org/id/WBGene00005892", "WBGene00005892")</f>
        <v>WBGene00005892</v>
      </c>
      <c r="B1367" s="9" t="str">
        <f>HYPERLINK("http://www.ncbi.nlm.nih.gov/gene/24104676", "24104676")</f>
        <v>24104676</v>
      </c>
      <c r="C1367" s="9"/>
      <c r="D1367" t="str">
        <f>"srx-1"</f>
        <v>srx-1</v>
      </c>
      <c r="E1367" t="s">
        <v>1477</v>
      </c>
      <c r="F1367" t="s">
        <v>11</v>
      </c>
      <c r="G1367" t="s">
        <v>1089</v>
      </c>
      <c r="H1367" s="12">
        <v>3.86620046266991</v>
      </c>
      <c r="I1367" s="11">
        <v>0.59159458753784999</v>
      </c>
      <c r="J1367" s="10">
        <v>0.55412209910749699</v>
      </c>
      <c r="K1367" s="29">
        <v>0.98289565623980701</v>
      </c>
    </row>
    <row r="1368" spans="1:11" x14ac:dyDescent="0.35">
      <c r="A1368" s="9" t="str">
        <f>HYPERLINK("http://www.ensembl.org/id/WBGene00013452", "WBGene00013452")</f>
        <v>WBGene00013452</v>
      </c>
      <c r="B1368" s="9" t="str">
        <f>HYPERLINK("http://www.ncbi.nlm.nih.gov/gene/190507", "190507")</f>
        <v>190507</v>
      </c>
      <c r="C1368" s="9"/>
      <c r="D1368" t="str">
        <f>"Y67A10A.3"</f>
        <v>Y67A10A.3</v>
      </c>
      <c r="F1368" t="s">
        <v>11</v>
      </c>
      <c r="G1368" t="s">
        <v>417</v>
      </c>
      <c r="H1368" s="12">
        <v>3.86423719052382</v>
      </c>
      <c r="I1368" s="11">
        <v>1.1490441960982301</v>
      </c>
      <c r="J1368" s="10">
        <v>0.25053775702759101</v>
      </c>
      <c r="K1368" s="29">
        <v>0.98289565623980701</v>
      </c>
    </row>
    <row r="1369" spans="1:11" x14ac:dyDescent="0.35">
      <c r="A1369" s="9" t="str">
        <f>HYPERLINK("http://www.ensembl.org/id/WBGene00009134", "WBGene00009134")</f>
        <v>WBGene00009134</v>
      </c>
      <c r="B1369" s="9" t="str">
        <f>HYPERLINK("http://www.ncbi.nlm.nih.gov/gene/184941", "184941")</f>
        <v>184941</v>
      </c>
      <c r="C1369" s="9"/>
      <c r="D1369" t="str">
        <f>"lurp-2"</f>
        <v>lurp-2</v>
      </c>
      <c r="E1369" t="s">
        <v>2631</v>
      </c>
      <c r="F1369" t="s">
        <v>11</v>
      </c>
      <c r="H1369" s="12">
        <v>3.86408975716183</v>
      </c>
      <c r="I1369" s="11">
        <v>0.90136160011011102</v>
      </c>
      <c r="J1369" s="10">
        <v>0.367396091303825</v>
      </c>
      <c r="K1369" s="29">
        <v>0.98289565623980701</v>
      </c>
    </row>
    <row r="1370" spans="1:11" x14ac:dyDescent="0.35">
      <c r="A1370" s="9" t="str">
        <f>HYPERLINK("http://www.ensembl.org/id/WBGene00008618", "WBGene00008618")</f>
        <v>WBGene00008618</v>
      </c>
      <c r="B1370" s="9" t="str">
        <f>HYPERLINK("http://www.ncbi.nlm.nih.gov/gene/184233", "184233")</f>
        <v>184233</v>
      </c>
      <c r="C1370" s="9"/>
      <c r="D1370" t="str">
        <f>"fbxa-45"</f>
        <v>fbxa-45</v>
      </c>
      <c r="E1370" t="s">
        <v>467</v>
      </c>
      <c r="F1370" t="s">
        <v>11</v>
      </c>
      <c r="G1370" t="s">
        <v>54</v>
      </c>
      <c r="H1370" s="12">
        <v>3.8593647544277601</v>
      </c>
      <c r="I1370" s="11">
        <v>0.67862628094851896</v>
      </c>
      <c r="J1370" s="10">
        <v>0.49737468643943</v>
      </c>
      <c r="K1370" s="29">
        <v>0.98289565623980701</v>
      </c>
    </row>
    <row r="1371" spans="1:11" x14ac:dyDescent="0.35">
      <c r="A1371" s="9" t="str">
        <f>HYPERLINK("http://www.ensembl.org/id/WBGene00014980", "WBGene00014980")</f>
        <v>WBGene00014980</v>
      </c>
      <c r="B1371" s="9"/>
      <c r="C1371" s="9"/>
      <c r="D1371" t="str">
        <f>"ZC84.5"</f>
        <v>ZC84.5</v>
      </c>
      <c r="F1371" t="s">
        <v>80</v>
      </c>
      <c r="H1371" s="12">
        <v>3.85361667200526</v>
      </c>
      <c r="I1371" s="11">
        <v>0.570215181864547</v>
      </c>
      <c r="J1371" s="10">
        <v>0.568531760239807</v>
      </c>
      <c r="K1371" s="29">
        <v>0.98289565623980701</v>
      </c>
    </row>
    <row r="1372" spans="1:11" x14ac:dyDescent="0.35">
      <c r="A1372" s="9" t="str">
        <f>HYPERLINK("http://www.ensembl.org/id/WBGene00197759", "WBGene00197759")</f>
        <v>WBGene00197759</v>
      </c>
      <c r="B1372" s="9"/>
      <c r="C1372" s="9"/>
      <c r="D1372" t="str">
        <f>"F56E3.11"</f>
        <v>F56E3.11</v>
      </c>
      <c r="F1372" t="s">
        <v>481</v>
      </c>
      <c r="H1372" s="12">
        <v>3.8470490436711602</v>
      </c>
      <c r="I1372" s="11">
        <v>0.747862897506399</v>
      </c>
      <c r="J1372" s="10">
        <v>0.45454285895624003</v>
      </c>
      <c r="K1372" s="29">
        <v>0.98289565623980701</v>
      </c>
    </row>
    <row r="1373" spans="1:11" x14ac:dyDescent="0.35">
      <c r="A1373" s="9" t="str">
        <f>HYPERLINK("http://www.ensembl.org/id/WBGene00044571", "WBGene00044571")</f>
        <v>WBGene00044571</v>
      </c>
      <c r="B1373" s="9" t="str">
        <f>HYPERLINK("http://www.ncbi.nlm.nih.gov/gene/3896871", "3896871")</f>
        <v>3896871</v>
      </c>
      <c r="C1373" s="9"/>
      <c r="D1373" t="str">
        <f>"C46F4.3"</f>
        <v>C46F4.3</v>
      </c>
      <c r="F1373" t="s">
        <v>11</v>
      </c>
      <c r="H1373" s="12">
        <v>3.83203758035192</v>
      </c>
      <c r="I1373" s="11">
        <v>1.6211926705416599</v>
      </c>
      <c r="J1373" s="10">
        <v>0.10497632419175799</v>
      </c>
      <c r="K1373" s="29">
        <v>0.74679277917942</v>
      </c>
    </row>
    <row r="1374" spans="1:11" x14ac:dyDescent="0.35">
      <c r="A1374" s="9" t="str">
        <f>HYPERLINK("http://www.ensembl.org/id/WBGene00271827", "WBGene00271827")</f>
        <v>WBGene00271827</v>
      </c>
      <c r="B1374" s="9" t="str">
        <f>HYPERLINK("http://www.ncbi.nlm.nih.gov/gene/34700646", "34700646")</f>
        <v>34700646</v>
      </c>
      <c r="C1374" s="9"/>
      <c r="D1374" t="str">
        <f>"T19H12.15"</f>
        <v>T19H12.15</v>
      </c>
      <c r="F1374" t="s">
        <v>11</v>
      </c>
      <c r="H1374" s="12">
        <v>3.82372350332066</v>
      </c>
      <c r="I1374" s="11">
        <v>2.6344286957774901</v>
      </c>
      <c r="J1374" s="10">
        <v>8.4279003515394992E-3</v>
      </c>
      <c r="K1374" s="29">
        <v>0.17433756985019799</v>
      </c>
    </row>
    <row r="1375" spans="1:11" x14ac:dyDescent="0.35">
      <c r="A1375" s="9" t="str">
        <f>HYPERLINK("http://www.ensembl.org/id/WBGene00007408", "WBGene00007408")</f>
        <v>WBGene00007408</v>
      </c>
      <c r="B1375" s="9" t="str">
        <f>HYPERLINK("http://www.ncbi.nlm.nih.gov/gene/182360", "182360")</f>
        <v>182360</v>
      </c>
      <c r="C1375" s="9"/>
      <c r="D1375" t="str">
        <f>"C07B5.3"</f>
        <v>C07B5.3</v>
      </c>
      <c r="F1375" t="s">
        <v>11</v>
      </c>
      <c r="H1375" s="12">
        <v>3.8202464068647699</v>
      </c>
      <c r="I1375" s="11">
        <v>4.3102409462763998</v>
      </c>
      <c r="J1375" s="10">
        <v>1.6307676481547799E-5</v>
      </c>
      <c r="K1375" s="29">
        <v>1.55063857112199E-3</v>
      </c>
    </row>
    <row r="1376" spans="1:11" x14ac:dyDescent="0.35">
      <c r="A1376" s="9" t="str">
        <f>HYPERLINK("http://www.ensembl.org/id/WBGene00044315", "WBGene00044315")</f>
        <v>WBGene00044315</v>
      </c>
      <c r="B1376" s="9" t="str">
        <f>HYPERLINK("http://www.ncbi.nlm.nih.gov/gene/3565874", "3565874")</f>
        <v>3565874</v>
      </c>
      <c r="C1376" s="9"/>
      <c r="D1376" t="str">
        <f>"F41G3.20"</f>
        <v>F41G3.20</v>
      </c>
      <c r="F1376" t="s">
        <v>11</v>
      </c>
      <c r="H1376" s="12">
        <v>3.8148437725482198</v>
      </c>
      <c r="I1376" s="11">
        <v>0.55825126677466597</v>
      </c>
      <c r="J1376" s="10">
        <v>0.57667281753129795</v>
      </c>
      <c r="K1376" s="29">
        <v>0.98289565623980701</v>
      </c>
    </row>
    <row r="1377" spans="1:11" x14ac:dyDescent="0.35">
      <c r="A1377" s="9" t="str">
        <f>HYPERLINK("http://www.ensembl.org/id/WBGene00001539", "WBGene00001539")</f>
        <v>WBGene00001539</v>
      </c>
      <c r="B1377" s="9" t="str">
        <f>HYPERLINK("http://www.ncbi.nlm.nih.gov/gene/191646", "191646")</f>
        <v>191646</v>
      </c>
      <c r="C1377" s="9"/>
      <c r="D1377" t="str">
        <f>"gcy-13"</f>
        <v>gcy-13</v>
      </c>
      <c r="E1377" t="s">
        <v>4135</v>
      </c>
      <c r="F1377" t="s">
        <v>11</v>
      </c>
      <c r="G1377" t="s">
        <v>2408</v>
      </c>
      <c r="H1377" s="12">
        <v>3.8102234259047201</v>
      </c>
      <c r="I1377" s="11">
        <v>1.22593811201823</v>
      </c>
      <c r="J1377" s="10">
        <v>0.22022196527584401</v>
      </c>
      <c r="K1377" s="29">
        <v>0.97237697872418405</v>
      </c>
    </row>
    <row r="1378" spans="1:11" x14ac:dyDescent="0.35">
      <c r="A1378" s="9" t="str">
        <f>HYPERLINK("http://www.ensembl.org/id/WBGene00004008", "WBGene00004008")</f>
        <v>WBGene00004008</v>
      </c>
      <c r="B1378" s="9" t="str">
        <f>HYPERLINK("http://www.ncbi.nlm.nih.gov/gene/181416", "181416")</f>
        <v>181416</v>
      </c>
      <c r="C1378" s="9"/>
      <c r="D1378" t="str">
        <f>"pgp-14"</f>
        <v>pgp-14</v>
      </c>
      <c r="E1378" t="s">
        <v>22</v>
      </c>
      <c r="F1378" t="s">
        <v>11</v>
      </c>
      <c r="G1378" t="s">
        <v>23</v>
      </c>
      <c r="H1378" s="12">
        <v>3.80928433916749</v>
      </c>
      <c r="I1378" s="11">
        <v>7.1885850000903204</v>
      </c>
      <c r="J1378" s="10">
        <v>6.5466226127362099E-13</v>
      </c>
      <c r="K1378" s="29">
        <v>2.1609466012840401E-9</v>
      </c>
    </row>
    <row r="1379" spans="1:11" x14ac:dyDescent="0.35">
      <c r="A1379" s="9" t="str">
        <f>HYPERLINK("http://www.ensembl.org/id/WBGene00000851", "WBGene00000851")</f>
        <v>WBGene00000851</v>
      </c>
      <c r="B1379" s="9" t="str">
        <f>HYPERLINK("http://www.ncbi.nlm.nih.gov/gene/174720", "174720")</f>
        <v>174720</v>
      </c>
      <c r="C1379" s="9"/>
      <c r="D1379" t="str">
        <f>"cut-1"</f>
        <v>cut-1</v>
      </c>
      <c r="E1379" t="s">
        <v>4288</v>
      </c>
      <c r="F1379" t="s">
        <v>11</v>
      </c>
      <c r="H1379" s="12">
        <v>3.808102476447</v>
      </c>
      <c r="I1379" s="11">
        <v>0.80157955568520201</v>
      </c>
      <c r="J1379" s="10">
        <v>0.422796207648721</v>
      </c>
      <c r="K1379" s="29">
        <v>0.98289565623980701</v>
      </c>
    </row>
    <row r="1380" spans="1:11" x14ac:dyDescent="0.35">
      <c r="A1380" s="9" t="str">
        <f>HYPERLINK("http://www.ensembl.org/id/WBGene00000862", "WBGene00000862")</f>
        <v>WBGene00000862</v>
      </c>
      <c r="B1380" s="9" t="str">
        <f>HYPERLINK("http://www.ncbi.nlm.nih.gov/gene/178894", "178894")</f>
        <v>178894</v>
      </c>
      <c r="C1380" s="9"/>
      <c r="D1380" t="str">
        <f>"cwp-4"</f>
        <v>cwp-4</v>
      </c>
      <c r="E1380" t="s">
        <v>1227</v>
      </c>
      <c r="F1380" t="s">
        <v>11</v>
      </c>
      <c r="H1380" s="12">
        <v>3.80581945499857</v>
      </c>
      <c r="I1380" s="11">
        <v>2.3820501304196</v>
      </c>
      <c r="J1380" s="10">
        <v>1.7216553554754301E-2</v>
      </c>
      <c r="K1380" s="29">
        <v>0.27394453366176602</v>
      </c>
    </row>
    <row r="1381" spans="1:11" x14ac:dyDescent="0.35">
      <c r="A1381" s="9" t="str">
        <f>HYPERLINK("http://www.ensembl.org/id/WBGene00006938", "WBGene00006938")</f>
        <v>WBGene00006938</v>
      </c>
      <c r="B1381" s="9" t="str">
        <f>HYPERLINK("http://www.ncbi.nlm.nih.gov/gene/192085", "192085")</f>
        <v>192085</v>
      </c>
      <c r="C1381" s="9"/>
      <c r="D1381" t="str">
        <f>"wee-1.1"</f>
        <v>wee-1.1</v>
      </c>
      <c r="E1381" t="s">
        <v>1188</v>
      </c>
      <c r="F1381" t="s">
        <v>11</v>
      </c>
      <c r="G1381" t="s">
        <v>444</v>
      </c>
      <c r="H1381" s="12">
        <v>3.8046535655899398</v>
      </c>
      <c r="I1381" s="11">
        <v>2.40592241455506</v>
      </c>
      <c r="J1381" s="10">
        <v>1.6131690270148099E-2</v>
      </c>
      <c r="K1381" s="29">
        <v>0.26491743808247498</v>
      </c>
    </row>
    <row r="1382" spans="1:11" x14ac:dyDescent="0.35">
      <c r="A1382" s="9" t="str">
        <f>HYPERLINK("http://www.ensembl.org/id/WBGene00012708", "WBGene00012708")</f>
        <v>WBGene00012708</v>
      </c>
      <c r="B1382" s="9" t="str">
        <f>HYPERLINK("http://www.ncbi.nlm.nih.gov/gene/189748", "189748")</f>
        <v>189748</v>
      </c>
      <c r="C1382" s="9"/>
      <c r="D1382" t="str">
        <f>"sre-19"</f>
        <v>sre-19</v>
      </c>
      <c r="E1382" t="s">
        <v>2638</v>
      </c>
      <c r="F1382" t="s">
        <v>11</v>
      </c>
      <c r="G1382" t="s">
        <v>2639</v>
      </c>
      <c r="H1382" s="12">
        <v>3.7994702107567302</v>
      </c>
      <c r="I1382" s="11">
        <v>0.89205922561920303</v>
      </c>
      <c r="J1382" s="10">
        <v>0.37236118837242899</v>
      </c>
      <c r="K1382" s="29">
        <v>0.98289565623980701</v>
      </c>
    </row>
    <row r="1383" spans="1:11" x14ac:dyDescent="0.35">
      <c r="A1383" s="9" t="str">
        <f>HYPERLINK("http://www.ensembl.org/id/WBGene00006146", "WBGene00006146")</f>
        <v>WBGene00006146</v>
      </c>
      <c r="B1383" s="9" t="str">
        <f>HYPERLINK("http://www.ncbi.nlm.nih.gov/gene/191994", "191994")</f>
        <v>191994</v>
      </c>
      <c r="C1383" s="9"/>
      <c r="D1383" t="str">
        <f>"str-87"</f>
        <v>str-87</v>
      </c>
      <c r="E1383" t="s">
        <v>590</v>
      </c>
      <c r="F1383" t="s">
        <v>11</v>
      </c>
      <c r="G1383" t="s">
        <v>591</v>
      </c>
      <c r="H1383" s="12">
        <v>3.7989451621684398</v>
      </c>
      <c r="I1383" s="11">
        <v>2.7987641045934599</v>
      </c>
      <c r="J1383" s="10">
        <v>5.1298598884499504E-3</v>
      </c>
      <c r="K1383" s="29">
        <v>0.12372707994000499</v>
      </c>
    </row>
    <row r="1384" spans="1:11" x14ac:dyDescent="0.35">
      <c r="A1384" s="9" t="str">
        <f>HYPERLINK("http://www.ensembl.org/id/WBGene00014053", "WBGene00014053")</f>
        <v>WBGene00014053</v>
      </c>
      <c r="B1384" s="9" t="str">
        <f>HYPERLINK("http://www.ncbi.nlm.nih.gov/gene/191388", "191388")</f>
        <v>191388</v>
      </c>
      <c r="C1384" s="9"/>
      <c r="D1384" t="str">
        <f>"ZK669.3"</f>
        <v>ZK669.3</v>
      </c>
      <c r="E1384" t="s">
        <v>38</v>
      </c>
      <c r="F1384" t="s">
        <v>11</v>
      </c>
      <c r="G1384" t="s">
        <v>39</v>
      </c>
      <c r="H1384" s="12">
        <v>3.7988037373790902</v>
      </c>
      <c r="I1384" s="11">
        <v>6.5847701645738796</v>
      </c>
      <c r="J1384" s="10">
        <v>4.5558959449491097E-11</v>
      </c>
      <c r="K1384" s="29">
        <v>6.3833380095257698E-8</v>
      </c>
    </row>
    <row r="1385" spans="1:11" x14ac:dyDescent="0.35">
      <c r="A1385" s="9" t="str">
        <f>HYPERLINK("http://www.ensembl.org/id/WBGene00005535", "WBGene00005535")</f>
        <v>WBGene00005535</v>
      </c>
      <c r="B1385" s="9"/>
      <c r="C1385" s="9"/>
      <c r="D1385" t="str">
        <f>"sri-23"</f>
        <v>sri-23</v>
      </c>
      <c r="F1385" t="s">
        <v>80</v>
      </c>
      <c r="H1385" s="12">
        <v>3.7962622523441798</v>
      </c>
      <c r="I1385" s="11">
        <v>1.43517219137331</v>
      </c>
      <c r="J1385" s="10">
        <v>0.15123803587804799</v>
      </c>
      <c r="K1385" s="29">
        <v>0.85670655969555498</v>
      </c>
    </row>
    <row r="1386" spans="1:11" x14ac:dyDescent="0.35">
      <c r="A1386" s="9" t="str">
        <f>HYPERLINK("http://www.ensembl.org/id/WBGene00011264", "WBGene00011264")</f>
        <v>WBGene00011264</v>
      </c>
      <c r="B1386" s="9" t="str">
        <f>HYPERLINK("http://www.ncbi.nlm.nih.gov/gene/187873", "187873")</f>
        <v>187873</v>
      </c>
      <c r="C1386" s="9"/>
      <c r="D1386" t="str">
        <f>"R13H4.6"</f>
        <v>R13H4.6</v>
      </c>
      <c r="F1386" t="s">
        <v>11</v>
      </c>
      <c r="G1386" t="s">
        <v>4289</v>
      </c>
      <c r="H1386" s="12">
        <v>3.7941109371613702</v>
      </c>
      <c r="I1386" s="11">
        <v>0.75837556595008404</v>
      </c>
      <c r="J1386" s="10">
        <v>0.44822618110138202</v>
      </c>
      <c r="K1386" s="29">
        <v>0.98289565623980701</v>
      </c>
    </row>
    <row r="1387" spans="1:11" x14ac:dyDescent="0.35">
      <c r="A1387" s="9" t="str">
        <f>HYPERLINK("http://www.ensembl.org/id/WBGene00023277", "WBGene00023277")</f>
        <v>WBGene00023277</v>
      </c>
      <c r="B1387" s="9"/>
      <c r="C1387" s="9"/>
      <c r="D1387" t="str">
        <f>"F29C4.3"</f>
        <v>F29C4.3</v>
      </c>
      <c r="F1387" t="s">
        <v>80</v>
      </c>
      <c r="H1387" s="12">
        <v>3.79175993275331</v>
      </c>
      <c r="I1387" s="11">
        <v>1.05693476995028</v>
      </c>
      <c r="J1387" s="10">
        <v>0.29054135855500801</v>
      </c>
      <c r="K1387" s="29">
        <v>0.98289565623980701</v>
      </c>
    </row>
    <row r="1388" spans="1:11" x14ac:dyDescent="0.35">
      <c r="A1388" s="9" t="str">
        <f>HYPERLINK("http://www.ensembl.org/id/WBGene00019874", "WBGene00019874")</f>
        <v>WBGene00019874</v>
      </c>
      <c r="B1388" s="9" t="str">
        <f>HYPERLINK("http://www.ncbi.nlm.nih.gov/gene/187600", "187600")</f>
        <v>187600</v>
      </c>
      <c r="C1388" s="9"/>
      <c r="D1388" t="str">
        <f>"R05C11.2"</f>
        <v>R05C11.2</v>
      </c>
      <c r="F1388" t="s">
        <v>11</v>
      </c>
      <c r="H1388" s="12">
        <v>3.7887761749513098</v>
      </c>
      <c r="I1388" s="11">
        <v>0.64465298642378699</v>
      </c>
      <c r="J1388" s="10">
        <v>0.51915208932733004</v>
      </c>
      <c r="K1388" s="29">
        <v>0.98289565623980701</v>
      </c>
    </row>
    <row r="1389" spans="1:11" x14ac:dyDescent="0.35">
      <c r="A1389" s="9" t="str">
        <f>HYPERLINK("http://www.ensembl.org/id/WBGene00022465", "WBGene00022465")</f>
        <v>WBGene00022465</v>
      </c>
      <c r="B1389" s="9" t="str">
        <f>HYPERLINK("http://www.ncbi.nlm.nih.gov/gene/260266", "260266")</f>
        <v>260266</v>
      </c>
      <c r="C1389" s="9"/>
      <c r="D1389" t="str">
        <f>"ift-20"</f>
        <v>ift-20</v>
      </c>
      <c r="E1389" t="s">
        <v>3285</v>
      </c>
      <c r="F1389" t="s">
        <v>11</v>
      </c>
      <c r="H1389" s="12">
        <v>3.7881406029590599</v>
      </c>
      <c r="I1389" s="11">
        <v>1.4287977506051499</v>
      </c>
      <c r="J1389" s="10">
        <v>0.15306237229184499</v>
      </c>
      <c r="K1389" s="29">
        <v>0.85924664095611403</v>
      </c>
    </row>
    <row r="1390" spans="1:11" x14ac:dyDescent="0.35">
      <c r="A1390" s="9" t="str">
        <f>HYPERLINK("http://www.ensembl.org/id/WBGene00012706", "WBGene00012706")</f>
        <v>WBGene00012706</v>
      </c>
      <c r="B1390" s="9"/>
      <c r="C1390" s="9"/>
      <c r="D1390" t="str">
        <f>"sre-17"</f>
        <v>sre-17</v>
      </c>
      <c r="F1390" t="s">
        <v>80</v>
      </c>
      <c r="H1390" s="12">
        <v>3.7816148028176002</v>
      </c>
      <c r="I1390" s="11">
        <v>1.0200781513503201</v>
      </c>
      <c r="J1390" s="10">
        <v>0.30769139785824201</v>
      </c>
      <c r="K1390" s="29">
        <v>0.98289565623980701</v>
      </c>
    </row>
    <row r="1391" spans="1:11" x14ac:dyDescent="0.35">
      <c r="A1391" s="9" t="str">
        <f>HYPERLINK("http://www.ensembl.org/id/WBGene00017315", "WBGene00017315")</f>
        <v>WBGene00017315</v>
      </c>
      <c r="B1391" s="9" t="str">
        <f>HYPERLINK("http://www.ncbi.nlm.nih.gov/gene/184266", "184266")</f>
        <v>184266</v>
      </c>
      <c r="C1391" s="9"/>
      <c r="D1391" t="str">
        <f>"ugt-36"</f>
        <v>ugt-36</v>
      </c>
      <c r="E1391" t="s">
        <v>103</v>
      </c>
      <c r="F1391" t="s">
        <v>11</v>
      </c>
      <c r="G1391" t="s">
        <v>104</v>
      </c>
      <c r="H1391" s="12">
        <v>3.7810295234418398</v>
      </c>
      <c r="I1391" s="11">
        <v>1.20390957649013</v>
      </c>
      <c r="J1391" s="10">
        <v>0.22862452997518401</v>
      </c>
      <c r="K1391" s="29">
        <v>0.98289565623980701</v>
      </c>
    </row>
    <row r="1392" spans="1:11" x14ac:dyDescent="0.35">
      <c r="A1392" s="9" t="str">
        <f>HYPERLINK("http://www.ensembl.org/id/WBGene00009168", "WBGene00009168")</f>
        <v>WBGene00009168</v>
      </c>
      <c r="B1392" s="9" t="str">
        <f>HYPERLINK("http://www.ncbi.nlm.nih.gov/gene/184984", "184984")</f>
        <v>184984</v>
      </c>
      <c r="C1392" s="9"/>
      <c r="D1392" t="str">
        <f>"F26F2.3"</f>
        <v>F26F2.3</v>
      </c>
      <c r="F1392" t="s">
        <v>11</v>
      </c>
      <c r="G1392" t="s">
        <v>54</v>
      </c>
      <c r="H1392" s="12">
        <v>3.7718800761209299</v>
      </c>
      <c r="I1392" s="11">
        <v>1.1943663568068501</v>
      </c>
      <c r="J1392" s="10">
        <v>0.23233469107631499</v>
      </c>
      <c r="K1392" s="29">
        <v>0.98289565623980701</v>
      </c>
    </row>
    <row r="1393" spans="1:11" x14ac:dyDescent="0.35">
      <c r="A1393" s="9" t="str">
        <f>HYPERLINK("http://www.ensembl.org/id/WBGene00004165", "WBGene00004165")</f>
        <v>WBGene00004165</v>
      </c>
      <c r="B1393" s="9" t="str">
        <f>HYPERLINK("http://www.ncbi.nlm.nih.gov/gene/176601", "176601")</f>
        <v>176601</v>
      </c>
      <c r="C1393" s="9"/>
      <c r="D1393" t="str">
        <f>"pqn-84"</f>
        <v>pqn-84</v>
      </c>
      <c r="E1393" t="s">
        <v>2043</v>
      </c>
      <c r="F1393" t="s">
        <v>11</v>
      </c>
      <c r="G1393" t="s">
        <v>4290</v>
      </c>
      <c r="H1393" s="12">
        <v>3.7677886093386199</v>
      </c>
      <c r="I1393" s="11">
        <v>1.2024079097853799</v>
      </c>
      <c r="J1393" s="10">
        <v>0.229205526116599</v>
      </c>
      <c r="K1393" s="29">
        <v>0.98289565623980701</v>
      </c>
    </row>
    <row r="1394" spans="1:11" x14ac:dyDescent="0.35">
      <c r="A1394" s="9" t="str">
        <f>HYPERLINK("http://www.ensembl.org/id/WBGene00009073", "WBGene00009073")</f>
        <v>WBGene00009073</v>
      </c>
      <c r="B1394" s="9" t="str">
        <f>HYPERLINK("http://www.ncbi.nlm.nih.gov/gene/184882", "184882")</f>
        <v>184882</v>
      </c>
      <c r="C1394" s="9"/>
      <c r="D1394" t="str">
        <f>"delm-1"</f>
        <v>delm-1</v>
      </c>
      <c r="E1394" t="s">
        <v>1011</v>
      </c>
      <c r="F1394" t="s">
        <v>11</v>
      </c>
      <c r="G1394" t="s">
        <v>211</v>
      </c>
      <c r="H1394" s="12">
        <v>3.7654619429735798</v>
      </c>
      <c r="I1394" s="11">
        <v>2.3133541471319301</v>
      </c>
      <c r="J1394" s="10">
        <v>2.0703175911677502E-2</v>
      </c>
      <c r="K1394" s="29">
        <v>0.308122475493459</v>
      </c>
    </row>
    <row r="1395" spans="1:11" x14ac:dyDescent="0.35">
      <c r="A1395" s="9" t="str">
        <f>HYPERLINK("http://www.ensembl.org/id/WBGene00014492", "WBGene00014492")</f>
        <v>WBGene00014492</v>
      </c>
      <c r="B1395" s="9"/>
      <c r="C1395" s="9"/>
      <c r="D1395" t="str">
        <f>"R166.6"</f>
        <v>R166.6</v>
      </c>
      <c r="F1395" t="s">
        <v>481</v>
      </c>
      <c r="H1395" s="12">
        <v>3.76010897660976</v>
      </c>
      <c r="I1395" s="11">
        <v>0.57326939422927703</v>
      </c>
      <c r="J1395" s="10">
        <v>0.56646230479044701</v>
      </c>
      <c r="K1395" s="29">
        <v>0.98289565623980701</v>
      </c>
    </row>
    <row r="1396" spans="1:11" x14ac:dyDescent="0.35">
      <c r="A1396" s="9" t="str">
        <f>HYPERLINK("http://www.ensembl.org/id/WBGene00014312", "WBGene00014312")</f>
        <v>WBGene00014312</v>
      </c>
      <c r="B1396" s="9"/>
      <c r="C1396" s="9"/>
      <c r="D1396" t="str">
        <f>"F08G2.11"</f>
        <v>F08G2.11</v>
      </c>
      <c r="F1396" t="s">
        <v>4205</v>
      </c>
      <c r="H1396" s="12">
        <v>3.75996079489062</v>
      </c>
      <c r="I1396" s="11">
        <v>0.57897145739173195</v>
      </c>
      <c r="J1396" s="10">
        <v>0.56260843248119896</v>
      </c>
      <c r="K1396" s="29">
        <v>0.98289565623980701</v>
      </c>
    </row>
    <row r="1397" spans="1:11" x14ac:dyDescent="0.35">
      <c r="A1397" s="9" t="str">
        <f>HYPERLINK("http://www.ensembl.org/id/WBGene00007442", "WBGene00007442")</f>
        <v>WBGene00007442</v>
      </c>
      <c r="B1397" s="9" t="str">
        <f>HYPERLINK("http://www.ncbi.nlm.nih.gov/gene/3565450", "3565450")</f>
        <v>3565450</v>
      </c>
      <c r="C1397" s="9"/>
      <c r="D1397" t="str">
        <f>"C08E8.6"</f>
        <v>C08E8.6</v>
      </c>
      <c r="F1397" t="s">
        <v>11</v>
      </c>
      <c r="H1397" s="12">
        <v>3.7529149850132302</v>
      </c>
      <c r="I1397" s="11">
        <v>0.66201079427380405</v>
      </c>
      <c r="J1397" s="10">
        <v>0.50796430388286196</v>
      </c>
      <c r="K1397" s="29">
        <v>0.98289565623980701</v>
      </c>
    </row>
    <row r="1398" spans="1:11" x14ac:dyDescent="0.35">
      <c r="A1398" s="9" t="str">
        <f>HYPERLINK("http://www.ensembl.org/id/WBGene00018970", "WBGene00018970")</f>
        <v>WBGene00018970</v>
      </c>
      <c r="B1398" s="9" t="str">
        <f>HYPERLINK("http://www.ncbi.nlm.nih.gov/gene/186388", "186388")</f>
        <v>186388</v>
      </c>
      <c r="C1398" s="9"/>
      <c r="D1398" t="str">
        <f>"clec-68"</f>
        <v>clec-68</v>
      </c>
      <c r="E1398" t="s">
        <v>46</v>
      </c>
      <c r="F1398" t="s">
        <v>11</v>
      </c>
      <c r="G1398" t="s">
        <v>734</v>
      </c>
      <c r="H1398" s="12">
        <v>3.7495657430089002</v>
      </c>
      <c r="I1398" s="11">
        <v>0.41509078773660102</v>
      </c>
      <c r="J1398" s="10">
        <v>0.67807544303981004</v>
      </c>
      <c r="K1398" s="29">
        <v>0.98289565623980701</v>
      </c>
    </row>
    <row r="1399" spans="1:11" x14ac:dyDescent="0.35">
      <c r="A1399" s="9" t="str">
        <f>HYPERLINK("http://www.ensembl.org/id/WBGene00197416", "WBGene00197416")</f>
        <v>WBGene00197416</v>
      </c>
      <c r="B1399" s="9"/>
      <c r="C1399" s="9"/>
      <c r="D1399" t="str">
        <f>"F16F9.9"</f>
        <v>F16F9.9</v>
      </c>
      <c r="F1399" t="s">
        <v>481</v>
      </c>
      <c r="H1399" s="12">
        <v>3.7495657430089002</v>
      </c>
      <c r="I1399" s="11">
        <v>0.41509078773660102</v>
      </c>
      <c r="J1399" s="10">
        <v>0.67807544303981004</v>
      </c>
      <c r="K1399" s="29">
        <v>0.98289565623980701</v>
      </c>
    </row>
    <row r="1400" spans="1:11" x14ac:dyDescent="0.35">
      <c r="A1400" s="9" t="str">
        <f>HYPERLINK("http://www.ensembl.org/id/WBGene00201949", "WBGene00201949")</f>
        <v>WBGene00201949</v>
      </c>
      <c r="B1400" s="9"/>
      <c r="C1400" s="9"/>
      <c r="D1400" t="str">
        <f>"F45D3.16"</f>
        <v>F45D3.16</v>
      </c>
      <c r="F1400" t="s">
        <v>481</v>
      </c>
      <c r="H1400" s="12">
        <v>3.7495657430089002</v>
      </c>
      <c r="I1400" s="11">
        <v>0.41509078773660102</v>
      </c>
      <c r="J1400" s="10">
        <v>0.67807544303981004</v>
      </c>
      <c r="K1400" s="29">
        <v>0.98289565623980701</v>
      </c>
    </row>
    <row r="1401" spans="1:11" x14ac:dyDescent="0.35">
      <c r="A1401" s="9" t="str">
        <f>HYPERLINK("http://www.ensembl.org/id/WBGene00019235", "WBGene00019235")</f>
        <v>WBGene00019235</v>
      </c>
      <c r="B1401" s="9" t="str">
        <f>HYPERLINK("http://www.ncbi.nlm.nih.gov/gene/186769", "186769")</f>
        <v>186769</v>
      </c>
      <c r="C1401" s="9"/>
      <c r="D1401" t="str">
        <f>"H23N18.4"</f>
        <v>H23N18.4</v>
      </c>
      <c r="F1401" t="s">
        <v>11</v>
      </c>
      <c r="G1401" t="s">
        <v>104</v>
      </c>
      <c r="H1401" s="12">
        <v>3.7495657430089002</v>
      </c>
      <c r="I1401" s="11">
        <v>0.41509078773660102</v>
      </c>
      <c r="J1401" s="10">
        <v>0.67807544303981004</v>
      </c>
      <c r="K1401" s="29">
        <v>0.98289565623980701</v>
      </c>
    </row>
    <row r="1402" spans="1:11" x14ac:dyDescent="0.35">
      <c r="A1402" s="9" t="str">
        <f>HYPERLINK("http://www.ensembl.org/id/WBGene00009891", "WBGene00009891")</f>
        <v>WBGene00009891</v>
      </c>
      <c r="B1402" s="9" t="str">
        <f>HYPERLINK("http://www.ncbi.nlm.nih.gov/gene/186049", "186049")</f>
        <v>186049</v>
      </c>
      <c r="C1402" s="9"/>
      <c r="D1402" t="str">
        <f>"scl-10"</f>
        <v>scl-10</v>
      </c>
      <c r="E1402" t="s">
        <v>162</v>
      </c>
      <c r="F1402" t="s">
        <v>11</v>
      </c>
      <c r="G1402" t="s">
        <v>63</v>
      </c>
      <c r="H1402" s="12">
        <v>3.7495657430089002</v>
      </c>
      <c r="I1402" s="11">
        <v>0.41509078773660102</v>
      </c>
      <c r="J1402" s="10">
        <v>0.67807544303981004</v>
      </c>
      <c r="K1402" s="29">
        <v>0.98289565623980701</v>
      </c>
    </row>
    <row r="1403" spans="1:11" x14ac:dyDescent="0.35">
      <c r="A1403" s="9" t="str">
        <f>HYPERLINK("http://www.ensembl.org/id/WBGene00016687", "WBGene00016687")</f>
        <v>WBGene00016687</v>
      </c>
      <c r="B1403" s="9" t="str">
        <f>HYPERLINK("http://www.ncbi.nlm.nih.gov/gene/183485", "183485")</f>
        <v>183485</v>
      </c>
      <c r="C1403" s="9"/>
      <c r="D1403" t="str">
        <f>"srbc-17"</f>
        <v>srbc-17</v>
      </c>
      <c r="E1403" t="s">
        <v>3034</v>
      </c>
      <c r="F1403" t="s">
        <v>11</v>
      </c>
      <c r="G1403" t="s">
        <v>25</v>
      </c>
      <c r="H1403" s="12">
        <v>3.7495657430089002</v>
      </c>
      <c r="I1403" s="11">
        <v>0.41509078773660102</v>
      </c>
      <c r="J1403" s="10">
        <v>0.67807544303981004</v>
      </c>
      <c r="K1403" s="29">
        <v>0.98289565623980701</v>
      </c>
    </row>
    <row r="1404" spans="1:11" x14ac:dyDescent="0.35">
      <c r="A1404" s="9" t="str">
        <f>HYPERLINK("http://www.ensembl.org/id/WBGene00005119", "WBGene00005119")</f>
        <v>WBGene00005119</v>
      </c>
      <c r="B1404" s="9" t="str">
        <f>HYPERLINK("http://www.ncbi.nlm.nih.gov/gene/184602", "184602")</f>
        <v>184602</v>
      </c>
      <c r="C1404" s="9"/>
      <c r="D1404" t="str">
        <f>"srd-41"</f>
        <v>srd-41</v>
      </c>
      <c r="E1404" t="s">
        <v>4291</v>
      </c>
      <c r="F1404" t="s">
        <v>11</v>
      </c>
      <c r="G1404" t="s">
        <v>25</v>
      </c>
      <c r="H1404" s="12">
        <v>3.7495657430089002</v>
      </c>
      <c r="I1404" s="11">
        <v>0.41509078773660102</v>
      </c>
      <c r="J1404" s="10">
        <v>0.67807544303981004</v>
      </c>
      <c r="K1404" s="29">
        <v>0.98289565623980701</v>
      </c>
    </row>
    <row r="1405" spans="1:11" x14ac:dyDescent="0.35">
      <c r="A1405" s="9" t="str">
        <f>HYPERLINK("http://www.ensembl.org/id/WBGene00006015", "WBGene00006015")</f>
        <v>WBGene00006015</v>
      </c>
      <c r="B1405" s="9"/>
      <c r="C1405" s="9"/>
      <c r="D1405" t="str">
        <f>"srx-124"</f>
        <v>srx-124</v>
      </c>
      <c r="F1405" t="s">
        <v>80</v>
      </c>
      <c r="H1405" s="12">
        <v>3.7495657430089002</v>
      </c>
      <c r="I1405" s="11">
        <v>0.41509078773660102</v>
      </c>
      <c r="J1405" s="10">
        <v>0.67807544303981004</v>
      </c>
      <c r="K1405" s="29">
        <v>0.98289565623980701</v>
      </c>
    </row>
    <row r="1406" spans="1:11" x14ac:dyDescent="0.35">
      <c r="A1406" s="9" t="str">
        <f>HYPERLINK("http://www.ensembl.org/id/WBGene00012577", "WBGene00012577")</f>
        <v>WBGene00012577</v>
      </c>
      <c r="B1406" s="9" t="str">
        <f>HYPERLINK("http://www.ncbi.nlm.nih.gov/gene/189638", "189638")</f>
        <v>189638</v>
      </c>
      <c r="C1406" s="9"/>
      <c r="D1406" t="str">
        <f>"Y37H9A.2"</f>
        <v>Y37H9A.2</v>
      </c>
      <c r="F1406" t="s">
        <v>11</v>
      </c>
      <c r="H1406" s="12">
        <v>3.7495657430089002</v>
      </c>
      <c r="I1406" s="11">
        <v>0.41509078773660102</v>
      </c>
      <c r="J1406" s="10">
        <v>0.67807544303981004</v>
      </c>
      <c r="K1406" s="29">
        <v>0.98289565623980701</v>
      </c>
    </row>
    <row r="1407" spans="1:11" x14ac:dyDescent="0.35">
      <c r="A1407" s="9" t="str">
        <f>HYPERLINK("http://www.ensembl.org/id/WBGene00013515", "WBGene00013515")</f>
        <v>WBGene00013515</v>
      </c>
      <c r="B1407" s="9" t="str">
        <f>HYPERLINK("http://www.ncbi.nlm.nih.gov/gene/177722", "177722")</f>
        <v>177722</v>
      </c>
      <c r="C1407" s="9"/>
      <c r="D1407" t="str">
        <f>"Y73F4A.2"</f>
        <v>Y73F4A.2</v>
      </c>
      <c r="E1407" t="s">
        <v>26</v>
      </c>
      <c r="F1407" t="s">
        <v>11</v>
      </c>
      <c r="G1407" t="s">
        <v>27</v>
      </c>
      <c r="H1407" s="12">
        <v>3.74945311218239</v>
      </c>
      <c r="I1407" s="11">
        <v>7.0962679683982097</v>
      </c>
      <c r="J1407" s="10">
        <v>1.2817084975550899E-12</v>
      </c>
      <c r="K1407" s="29">
        <v>3.2905729493897701E-9</v>
      </c>
    </row>
    <row r="1408" spans="1:11" x14ac:dyDescent="0.35">
      <c r="A1408" s="9" t="str">
        <f>HYPERLINK("http://www.ensembl.org/id/WBGene00015424", "WBGene00015424")</f>
        <v>WBGene00015424</v>
      </c>
      <c r="B1408" s="9" t="str">
        <f>HYPERLINK("http://www.ncbi.nlm.nih.gov/gene/182203", "182203")</f>
        <v>182203</v>
      </c>
      <c r="C1408" s="9"/>
      <c r="D1408" t="str">
        <f>"C04E6.8"</f>
        <v>C04E6.8</v>
      </c>
      <c r="F1408" t="s">
        <v>11</v>
      </c>
      <c r="H1408" s="12">
        <v>3.7469335684213601</v>
      </c>
      <c r="I1408" s="11">
        <v>2.0729278070039698</v>
      </c>
      <c r="J1408" s="10">
        <v>3.817899871799E-2</v>
      </c>
      <c r="K1408" s="29">
        <v>0.45012298090998798</v>
      </c>
    </row>
    <row r="1409" spans="1:11" x14ac:dyDescent="0.35">
      <c r="A1409" s="9" t="str">
        <f>HYPERLINK("http://www.ensembl.org/id/WBGene00022680", "WBGene00022680")</f>
        <v>WBGene00022680</v>
      </c>
      <c r="B1409" s="9" t="str">
        <f>HYPERLINK("http://www.ncbi.nlm.nih.gov/gene/177219", "177219")</f>
        <v>177219</v>
      </c>
      <c r="C1409" s="9"/>
      <c r="D1409" t="str">
        <f>"ZK180.6"</f>
        <v>ZK180.6</v>
      </c>
      <c r="F1409" t="s">
        <v>11</v>
      </c>
      <c r="H1409" s="12">
        <v>3.7389914268725102</v>
      </c>
      <c r="I1409" s="11">
        <v>3.31432744619765</v>
      </c>
      <c r="J1409" s="10">
        <v>9.1863859728003895E-4</v>
      </c>
      <c r="K1409" s="29">
        <v>3.6659867752595103E-2</v>
      </c>
    </row>
    <row r="1410" spans="1:11" x14ac:dyDescent="0.35">
      <c r="A1410" s="9" t="str">
        <f>HYPERLINK("http://www.ensembl.org/id/WBGene00020582", "WBGene00020582")</f>
        <v>WBGene00020582</v>
      </c>
      <c r="B1410" s="9" t="str">
        <f>HYPERLINK("http://www.ncbi.nlm.nih.gov/gene/188609", "188609")</f>
        <v>188609</v>
      </c>
      <c r="C1410" s="9"/>
      <c r="D1410" t="str">
        <f>"oig-8"</f>
        <v>oig-8</v>
      </c>
      <c r="E1410" t="s">
        <v>862</v>
      </c>
      <c r="F1410" t="s">
        <v>11</v>
      </c>
      <c r="G1410" t="s">
        <v>25</v>
      </c>
      <c r="H1410" s="12">
        <v>3.7362313936735498</v>
      </c>
      <c r="I1410" s="11">
        <v>2.7608381803161501</v>
      </c>
      <c r="J1410" s="10">
        <v>5.76532344659666E-3</v>
      </c>
      <c r="K1410" s="29">
        <v>0.13388297844930899</v>
      </c>
    </row>
    <row r="1411" spans="1:11" x14ac:dyDescent="0.35">
      <c r="A1411" s="9" t="str">
        <f>HYPERLINK("http://www.ensembl.org/id/WBGene00006205", "WBGene00006205")</f>
        <v>WBGene00006205</v>
      </c>
      <c r="B1411" s="9" t="str">
        <f>HYPERLINK("http://www.ncbi.nlm.nih.gov/gene/192018", "192018")</f>
        <v>192018</v>
      </c>
      <c r="C1411" s="9"/>
      <c r="D1411" t="str">
        <f>"str-160"</f>
        <v>str-160</v>
      </c>
      <c r="E1411" t="s">
        <v>590</v>
      </c>
      <c r="F1411" t="s">
        <v>11</v>
      </c>
      <c r="G1411" t="s">
        <v>591</v>
      </c>
      <c r="H1411" s="12">
        <v>3.7359222440701099</v>
      </c>
      <c r="I1411" s="11">
        <v>1.0348619094854601</v>
      </c>
      <c r="J1411" s="10">
        <v>0.30073340550565397</v>
      </c>
      <c r="K1411" s="29">
        <v>0.98289565623980701</v>
      </c>
    </row>
    <row r="1412" spans="1:11" x14ac:dyDescent="0.35">
      <c r="A1412" s="9" t="str">
        <f>HYPERLINK("http://www.ensembl.org/id/WBGene00007470", "WBGene00007470")</f>
        <v>WBGene00007470</v>
      </c>
      <c r="B1412" s="9" t="str">
        <f>HYPERLINK("http://www.ncbi.nlm.nih.gov/gene/182435", "182435")</f>
        <v>182435</v>
      </c>
      <c r="C1412" s="9"/>
      <c r="D1412" t="str">
        <f>"chil-5"</f>
        <v>chil-5</v>
      </c>
      <c r="E1412" t="s">
        <v>1756</v>
      </c>
      <c r="F1412" t="s">
        <v>11</v>
      </c>
      <c r="G1412" t="s">
        <v>1509</v>
      </c>
      <c r="H1412" s="12">
        <v>3.7315168653414799</v>
      </c>
      <c r="I1412" s="11">
        <v>0.84829134104808401</v>
      </c>
      <c r="J1412" s="10">
        <v>0.396275738689087</v>
      </c>
      <c r="K1412" s="29">
        <v>0.98289565623980701</v>
      </c>
    </row>
    <row r="1413" spans="1:11" x14ac:dyDescent="0.35">
      <c r="A1413" s="9" t="str">
        <f>HYPERLINK("http://www.ensembl.org/id/WBGene00019202", "WBGene00019202")</f>
        <v>WBGene00019202</v>
      </c>
      <c r="B1413" s="9" t="str">
        <f>HYPERLINK("http://www.ncbi.nlm.nih.gov/gene/186745", "186745")</f>
        <v>186745</v>
      </c>
      <c r="C1413" s="9"/>
      <c r="D1413" t="str">
        <f>"H14N18.2"</f>
        <v>H14N18.2</v>
      </c>
      <c r="F1413" t="s">
        <v>11</v>
      </c>
      <c r="G1413" t="s">
        <v>25</v>
      </c>
      <c r="H1413" s="12">
        <v>3.7293735573536</v>
      </c>
      <c r="I1413" s="11">
        <v>0.86790002941288302</v>
      </c>
      <c r="J1413" s="10">
        <v>0.38544906286487202</v>
      </c>
      <c r="K1413" s="29">
        <v>0.98289565623980701</v>
      </c>
    </row>
    <row r="1414" spans="1:11" x14ac:dyDescent="0.35">
      <c r="A1414" s="9" t="str">
        <f>HYPERLINK("http://www.ensembl.org/id/WBGene00021623", "WBGene00021623")</f>
        <v>WBGene00021623</v>
      </c>
      <c r="B1414" s="9" t="str">
        <f>HYPERLINK("http://www.ncbi.nlm.nih.gov/gene/189987", "189987")</f>
        <v>189987</v>
      </c>
      <c r="C1414" s="9"/>
      <c r="D1414" t="str">
        <f>"Y47D7A.11"</f>
        <v>Y47D7A.11</v>
      </c>
      <c r="F1414" t="s">
        <v>11</v>
      </c>
      <c r="H1414" s="12">
        <v>3.7292773227262499</v>
      </c>
      <c r="I1414" s="11">
        <v>1.37651253246418</v>
      </c>
      <c r="J1414" s="10">
        <v>0.168663009991877</v>
      </c>
      <c r="K1414" s="29">
        <v>0.88995832584432599</v>
      </c>
    </row>
    <row r="1415" spans="1:11" x14ac:dyDescent="0.35">
      <c r="A1415" s="9" t="str">
        <f>HYPERLINK("http://www.ensembl.org/id/WBGene00015711", "WBGene00015711")</f>
        <v>WBGene00015711</v>
      </c>
      <c r="B1415" s="9" t="str">
        <f>HYPERLINK("http://www.ncbi.nlm.nih.gov/gene/182539", "182539")</f>
        <v>182539</v>
      </c>
      <c r="C1415" s="9"/>
      <c r="D1415" t="str">
        <f>"C12D5.10"</f>
        <v>C12D5.10</v>
      </c>
      <c r="F1415" t="s">
        <v>11</v>
      </c>
      <c r="H1415" s="12">
        <v>3.7287515576388399</v>
      </c>
      <c r="I1415" s="11">
        <v>1.0717071867411301</v>
      </c>
      <c r="J1415" s="10">
        <v>0.28385157183206999</v>
      </c>
      <c r="K1415" s="29">
        <v>0.98289565623980701</v>
      </c>
    </row>
    <row r="1416" spans="1:11" x14ac:dyDescent="0.35">
      <c r="A1416" s="9" t="str">
        <f>HYPERLINK("http://www.ensembl.org/id/WBGene00017706", "WBGene00017706")</f>
        <v>WBGene00017706</v>
      </c>
      <c r="B1416" s="9" t="str">
        <f>HYPERLINK("http://www.ncbi.nlm.nih.gov/gene/184836", "184836")</f>
        <v>184836</v>
      </c>
      <c r="C1416" s="9"/>
      <c r="D1416" t="str">
        <f>"F22E5.7"</f>
        <v>F22E5.7</v>
      </c>
      <c r="F1416" t="s">
        <v>11</v>
      </c>
      <c r="H1416" s="12">
        <v>3.7287515576388399</v>
      </c>
      <c r="I1416" s="11">
        <v>1.0717071867411301</v>
      </c>
      <c r="J1416" s="10">
        <v>0.28385157183206999</v>
      </c>
      <c r="K1416" s="29">
        <v>0.98289565623980701</v>
      </c>
    </row>
    <row r="1417" spans="1:11" x14ac:dyDescent="0.35">
      <c r="A1417" s="9" t="str">
        <f>HYPERLINK("http://www.ensembl.org/id/WBGene00013490", "WBGene00013490")</f>
        <v>WBGene00013490</v>
      </c>
      <c r="B1417" s="9" t="str">
        <f>HYPERLINK("http://www.ncbi.nlm.nih.gov/gene/180114", "180114")</f>
        <v>180114</v>
      </c>
      <c r="C1417" s="9"/>
      <c r="D1417" t="str">
        <f>"Y70C5A.2"</f>
        <v>Y70C5A.2</v>
      </c>
      <c r="F1417" t="s">
        <v>11</v>
      </c>
      <c r="G1417" t="s">
        <v>25</v>
      </c>
      <c r="H1417" s="12">
        <v>3.7287515576388399</v>
      </c>
      <c r="I1417" s="11">
        <v>1.0717071867411301</v>
      </c>
      <c r="J1417" s="10">
        <v>0.28385157183206999</v>
      </c>
      <c r="K1417" s="29">
        <v>0.98289565623980701</v>
      </c>
    </row>
    <row r="1418" spans="1:11" x14ac:dyDescent="0.35">
      <c r="A1418" s="9" t="str">
        <f>HYPERLINK("http://www.ensembl.org/id/WBGene00006179", "WBGene00006179")</f>
        <v>WBGene00006179</v>
      </c>
      <c r="B1418" s="9" t="str">
        <f>HYPERLINK("http://www.ncbi.nlm.nih.gov/gene/192005", "192005")</f>
        <v>192005</v>
      </c>
      <c r="C1418" s="9"/>
      <c r="D1418" t="str">
        <f>"str-130"</f>
        <v>str-130</v>
      </c>
      <c r="E1418" t="s">
        <v>590</v>
      </c>
      <c r="F1418" t="s">
        <v>11</v>
      </c>
      <c r="G1418" t="s">
        <v>591</v>
      </c>
      <c r="H1418" s="12">
        <v>3.7270977845415301</v>
      </c>
      <c r="I1418" s="11">
        <v>1.28567348646957</v>
      </c>
      <c r="J1418" s="10">
        <v>0.19855703814343001</v>
      </c>
      <c r="K1418" s="29">
        <v>0.94403835446543205</v>
      </c>
    </row>
    <row r="1419" spans="1:11" x14ac:dyDescent="0.35">
      <c r="A1419" s="9" t="str">
        <f>HYPERLINK("http://www.ensembl.org/id/WBGene00015493", "WBGene00015493")</f>
        <v>WBGene00015493</v>
      </c>
      <c r="B1419" s="9" t="str">
        <f>HYPERLINK("http://www.ncbi.nlm.nih.gov/gene/182272", "182272")</f>
        <v>182272</v>
      </c>
      <c r="C1419" s="9"/>
      <c r="D1419" t="str">
        <f>"C05E11.2"</f>
        <v>C05E11.2</v>
      </c>
      <c r="F1419" t="s">
        <v>11</v>
      </c>
      <c r="G1419" t="s">
        <v>25</v>
      </c>
      <c r="H1419" s="12">
        <v>3.7257614240778798</v>
      </c>
      <c r="I1419" s="11">
        <v>0.48982632408382998</v>
      </c>
      <c r="J1419" s="10">
        <v>0.62425680143886597</v>
      </c>
      <c r="K1419" s="29">
        <v>0.98289565623980701</v>
      </c>
    </row>
    <row r="1420" spans="1:11" x14ac:dyDescent="0.35">
      <c r="A1420" s="9" t="str">
        <f>HYPERLINK("http://www.ensembl.org/id/WBGene00008242", "WBGene00008242")</f>
        <v>WBGene00008242</v>
      </c>
      <c r="B1420" s="9" t="str">
        <f>HYPERLINK("http://www.ncbi.nlm.nih.gov/gene/183690", "183690")</f>
        <v>183690</v>
      </c>
      <c r="C1420" s="9"/>
      <c r="D1420" t="str">
        <f>"ceh-75"</f>
        <v>ceh-75</v>
      </c>
      <c r="E1420" t="s">
        <v>349</v>
      </c>
      <c r="F1420" t="s">
        <v>11</v>
      </c>
      <c r="G1420" t="s">
        <v>4292</v>
      </c>
      <c r="H1420" s="12">
        <v>3.7257614240778798</v>
      </c>
      <c r="I1420" s="11">
        <v>0.48982632408382998</v>
      </c>
      <c r="J1420" s="10">
        <v>0.62425680143886597</v>
      </c>
      <c r="K1420" s="29">
        <v>0.98289565623980701</v>
      </c>
    </row>
    <row r="1421" spans="1:11" x14ac:dyDescent="0.35">
      <c r="A1421" s="9" t="str">
        <f>HYPERLINK("http://www.ensembl.org/id/WBGene00020807", "WBGene00020807")</f>
        <v>WBGene00020807</v>
      </c>
      <c r="B1421" s="9" t="str">
        <f>HYPERLINK("http://www.ncbi.nlm.nih.gov/gene/188903", "188903")</f>
        <v>188903</v>
      </c>
      <c r="C1421" s="9"/>
      <c r="D1421" t="str">
        <f>"T25F10.4"</f>
        <v>T25F10.4</v>
      </c>
      <c r="F1421" t="s">
        <v>11</v>
      </c>
      <c r="G1421" t="s">
        <v>25</v>
      </c>
      <c r="H1421" s="12">
        <v>3.7242241225519499</v>
      </c>
      <c r="I1421" s="11">
        <v>1.09294062219689</v>
      </c>
      <c r="J1421" s="10">
        <v>0.274419871099716</v>
      </c>
      <c r="K1421" s="29">
        <v>0.98289565623980701</v>
      </c>
    </row>
    <row r="1422" spans="1:11" x14ac:dyDescent="0.35">
      <c r="A1422" s="9" t="str">
        <f>HYPERLINK("http://www.ensembl.org/id/WBGene00013800", "WBGene00013800")</f>
        <v>WBGene00013800</v>
      </c>
      <c r="B1422" s="9" t="str">
        <f>HYPERLINK("http://www.ncbi.nlm.nih.gov/gene/178480", "178480")</f>
        <v>178480</v>
      </c>
      <c r="C1422" s="9"/>
      <c r="D1422" t="str">
        <f>"Y116A8C.23"</f>
        <v>Y116A8C.23</v>
      </c>
      <c r="F1422" t="s">
        <v>11</v>
      </c>
      <c r="G1422" t="s">
        <v>25</v>
      </c>
      <c r="H1422" s="12">
        <v>3.72128552264012</v>
      </c>
      <c r="I1422" s="11">
        <v>0.66487714031624701</v>
      </c>
      <c r="J1422" s="10">
        <v>0.50612907800247298</v>
      </c>
      <c r="K1422" s="29">
        <v>0.98289565623980701</v>
      </c>
    </row>
    <row r="1423" spans="1:11" x14ac:dyDescent="0.35">
      <c r="A1423" s="9" t="str">
        <f>HYPERLINK("http://www.ensembl.org/id/WBGene00194734", "WBGene00194734")</f>
        <v>WBGene00194734</v>
      </c>
      <c r="B1423" s="9" t="str">
        <f>HYPERLINK("http://www.ncbi.nlm.nih.gov/gene/13190196", "13190196")</f>
        <v>13190196</v>
      </c>
      <c r="C1423" s="9"/>
      <c r="D1423" t="str">
        <f>"T04A6.4"</f>
        <v>T04A6.4</v>
      </c>
      <c r="F1423" t="s">
        <v>11</v>
      </c>
      <c r="H1423" s="12">
        <v>3.7165373285515599</v>
      </c>
      <c r="I1423" s="11">
        <v>0.73760900704670296</v>
      </c>
      <c r="J1423" s="10">
        <v>0.460752080460201</v>
      </c>
      <c r="K1423" s="29">
        <v>0.98289565623980701</v>
      </c>
    </row>
    <row r="1424" spans="1:11" x14ac:dyDescent="0.35">
      <c r="A1424" s="9" t="str">
        <f>HYPERLINK("http://www.ensembl.org/id/WBGene00015444", "WBGene00015444")</f>
        <v>WBGene00015444</v>
      </c>
      <c r="B1424" s="9" t="str">
        <f>HYPERLINK("http://www.ncbi.nlm.nih.gov/gene/182219", "182219")</f>
        <v>182219</v>
      </c>
      <c r="C1424" s="9"/>
      <c r="D1424" t="str">
        <f>"C04F5.2"</f>
        <v>C04F5.2</v>
      </c>
      <c r="F1424" t="s">
        <v>11</v>
      </c>
      <c r="G1424" t="s">
        <v>25</v>
      </c>
      <c r="H1424" s="12">
        <v>3.70874790060684</v>
      </c>
      <c r="I1424" s="11">
        <v>0.79548724348786304</v>
      </c>
      <c r="J1424" s="10">
        <v>0.426330128483699</v>
      </c>
      <c r="K1424" s="29">
        <v>0.98289565623980701</v>
      </c>
    </row>
    <row r="1425" spans="1:11" x14ac:dyDescent="0.35">
      <c r="A1425" s="9" t="str">
        <f>HYPERLINK("http://www.ensembl.org/id/WBGene00006980", "WBGene00006980")</f>
        <v>WBGene00006980</v>
      </c>
      <c r="B1425" s="9" t="str">
        <f>HYPERLINK("http://www.ncbi.nlm.nih.gov/gene/192088", "192088")</f>
        <v>192088</v>
      </c>
      <c r="C1425" s="9"/>
      <c r="D1425" t="str">
        <f>"zig-3"</f>
        <v>zig-3</v>
      </c>
      <c r="E1425" t="s">
        <v>32</v>
      </c>
      <c r="F1425" t="s">
        <v>11</v>
      </c>
      <c r="G1425" t="s">
        <v>33</v>
      </c>
      <c r="H1425" s="12">
        <v>3.7080479840575702</v>
      </c>
      <c r="I1425" s="11">
        <v>6.6753516260952299</v>
      </c>
      <c r="J1425" s="10">
        <v>2.4664008503687199E-11</v>
      </c>
      <c r="K1425" s="29">
        <v>4.0706184320442702E-8</v>
      </c>
    </row>
    <row r="1426" spans="1:11" x14ac:dyDescent="0.35">
      <c r="A1426" s="9" t="str">
        <f>HYPERLINK("http://www.ensembl.org/id/WBGene00017553", "WBGene00017553")</f>
        <v>WBGene00017553</v>
      </c>
      <c r="B1426" s="9" t="str">
        <f>HYPERLINK("http://www.ncbi.nlm.nih.gov/gene/184631", "184631")</f>
        <v>184631</v>
      </c>
      <c r="C1426" s="9"/>
      <c r="D1426" t="str">
        <f>"nep-8"</f>
        <v>nep-8</v>
      </c>
      <c r="E1426" t="s">
        <v>683</v>
      </c>
      <c r="F1426" t="s">
        <v>11</v>
      </c>
      <c r="G1426" t="s">
        <v>4293</v>
      </c>
      <c r="H1426" s="12">
        <v>3.7052956586800398</v>
      </c>
      <c r="I1426" s="11">
        <v>1.0321411860480401</v>
      </c>
      <c r="J1426" s="10">
        <v>0.30200598222558001</v>
      </c>
      <c r="K1426" s="29">
        <v>0.98289565623980701</v>
      </c>
    </row>
    <row r="1427" spans="1:11" x14ac:dyDescent="0.35">
      <c r="A1427" s="9" t="str">
        <f>HYPERLINK("http://www.ensembl.org/id/WBGene00002109", "WBGene00002109")</f>
        <v>WBGene00002109</v>
      </c>
      <c r="B1427" s="9" t="str">
        <f>HYPERLINK("http://www.ncbi.nlm.nih.gov/gene/173268", "173268")</f>
        <v>173268</v>
      </c>
      <c r="C1427" s="9"/>
      <c r="D1427" t="str">
        <f>"ins-26"</f>
        <v>ins-26</v>
      </c>
      <c r="E1427" t="s">
        <v>12</v>
      </c>
      <c r="F1427" t="s">
        <v>11</v>
      </c>
      <c r="G1427" t="s">
        <v>13</v>
      </c>
      <c r="H1427" s="12">
        <v>3.7052792671713899</v>
      </c>
      <c r="I1427" s="11">
        <v>2.95769978284804</v>
      </c>
      <c r="J1427" s="10">
        <v>3.0994382812830098E-3</v>
      </c>
      <c r="K1427" s="29">
        <v>8.6912161319569498E-2</v>
      </c>
    </row>
    <row r="1428" spans="1:11" x14ac:dyDescent="0.35">
      <c r="A1428" s="9" t="str">
        <f>HYPERLINK("http://www.ensembl.org/id/WBGene00219315", "WBGene00219315")</f>
        <v>WBGene00219315</v>
      </c>
      <c r="B1428" s="9" t="str">
        <f>HYPERLINK("http://www.ncbi.nlm.nih.gov/gene/13183846", "13183846")</f>
        <v>13183846</v>
      </c>
      <c r="C1428" s="9"/>
      <c r="D1428" t="str">
        <f>"F07E5.12"</f>
        <v>F07E5.12</v>
      </c>
      <c r="F1428" t="s">
        <v>11</v>
      </c>
      <c r="H1428" s="12">
        <v>3.6975798015445598</v>
      </c>
      <c r="I1428" s="11">
        <v>1.0084059650973001</v>
      </c>
      <c r="J1428" s="10">
        <v>0.31325961044384498</v>
      </c>
      <c r="K1428" s="29">
        <v>0.98289565623980701</v>
      </c>
    </row>
    <row r="1429" spans="1:11" x14ac:dyDescent="0.35">
      <c r="A1429" s="9" t="str">
        <f>HYPERLINK("http://www.ensembl.org/id/WBGene00008500", "WBGene00008500")</f>
        <v>WBGene00008500</v>
      </c>
      <c r="B1429" s="9" t="str">
        <f>HYPERLINK("http://www.ncbi.nlm.nih.gov/gene/184059", "184059")</f>
        <v>184059</v>
      </c>
      <c r="C1429" s="9"/>
      <c r="D1429" t="str">
        <f>"F01D5.10"</f>
        <v>F01D5.10</v>
      </c>
      <c r="F1429" t="s">
        <v>11</v>
      </c>
      <c r="G1429" t="s">
        <v>3419</v>
      </c>
      <c r="H1429" s="12">
        <v>3.69452920255421</v>
      </c>
      <c r="I1429" s="11">
        <v>1.3859551059461099</v>
      </c>
      <c r="J1429" s="10">
        <v>0.165760612415569</v>
      </c>
      <c r="K1429" s="29">
        <v>0.88498397685845498</v>
      </c>
    </row>
    <row r="1430" spans="1:11" x14ac:dyDescent="0.35">
      <c r="A1430" s="9" t="str">
        <f>HYPERLINK("http://www.ensembl.org/id/WBGene00008084", "WBGene00008084")</f>
        <v>WBGene00008084</v>
      </c>
      <c r="B1430" s="9" t="str">
        <f>HYPERLINK("http://www.ncbi.nlm.nih.gov/gene/183452", "183452")</f>
        <v>183452</v>
      </c>
      <c r="C1430" s="9"/>
      <c r="D1430" t="str">
        <f>"C44C10.3"</f>
        <v>C44C10.3</v>
      </c>
      <c r="F1430" t="s">
        <v>11</v>
      </c>
      <c r="G1430" t="s">
        <v>230</v>
      </c>
      <c r="H1430" s="12">
        <v>3.6917749719748798</v>
      </c>
      <c r="I1430" s="11">
        <v>1.3866631244050101</v>
      </c>
      <c r="J1430" s="10">
        <v>0.165544510019668</v>
      </c>
      <c r="K1430" s="29">
        <v>0.88498397685845498</v>
      </c>
    </row>
    <row r="1431" spans="1:11" x14ac:dyDescent="0.35">
      <c r="A1431" s="9" t="str">
        <f>HYPERLINK("http://www.ensembl.org/id/WBGene00013812", "WBGene00013812")</f>
        <v>WBGene00013812</v>
      </c>
      <c r="B1431" s="9" t="str">
        <f>HYPERLINK("http://www.ncbi.nlm.nih.gov/gene/191007", "191007")</f>
        <v>191007</v>
      </c>
      <c r="C1431" s="9"/>
      <c r="D1431" t="str">
        <f>"Y116A8C.40"</f>
        <v>Y116A8C.40</v>
      </c>
      <c r="F1431" t="s">
        <v>11</v>
      </c>
      <c r="G1431" t="s">
        <v>591</v>
      </c>
      <c r="H1431" s="12">
        <v>3.6915102130171702</v>
      </c>
      <c r="I1431" s="11">
        <v>1.53201993825637</v>
      </c>
      <c r="J1431" s="10">
        <v>0.12551751469068101</v>
      </c>
      <c r="K1431" s="29">
        <v>0.80036981468248003</v>
      </c>
    </row>
    <row r="1432" spans="1:11" x14ac:dyDescent="0.35">
      <c r="A1432" s="9" t="str">
        <f>HYPERLINK("http://www.ensembl.org/id/WBGene00271778", "WBGene00271778")</f>
        <v>WBGene00271778</v>
      </c>
      <c r="B1432" s="9" t="str">
        <f>HYPERLINK("http://www.ncbi.nlm.nih.gov/gene/34700643", "34700643")</f>
        <v>34700643</v>
      </c>
      <c r="C1432" s="9"/>
      <c r="D1432" t="str">
        <f>"T01A4.9"</f>
        <v>T01A4.9</v>
      </c>
      <c r="F1432" t="s">
        <v>11</v>
      </c>
      <c r="G1432" t="s">
        <v>25</v>
      </c>
      <c r="H1432" s="12">
        <v>3.6897795469589001</v>
      </c>
      <c r="I1432" s="11">
        <v>1.3664325909000701</v>
      </c>
      <c r="J1432" s="10">
        <v>0.17180322524181199</v>
      </c>
      <c r="K1432" s="29">
        <v>0.89750968176290102</v>
      </c>
    </row>
    <row r="1433" spans="1:11" x14ac:dyDescent="0.35">
      <c r="A1433" s="9" t="str">
        <f>HYPERLINK("http://www.ensembl.org/id/WBGene00021797", "WBGene00021797")</f>
        <v>WBGene00021797</v>
      </c>
      <c r="B1433" s="9" t="str">
        <f>HYPERLINK("http://www.ncbi.nlm.nih.gov/gene/190188", "190188")</f>
        <v>190188</v>
      </c>
      <c r="C1433" s="9"/>
      <c r="D1433" t="str">
        <f>"plep-1"</f>
        <v>plep-1</v>
      </c>
      <c r="E1433" t="s">
        <v>314</v>
      </c>
      <c r="F1433" t="s">
        <v>11</v>
      </c>
      <c r="G1433" t="s">
        <v>25</v>
      </c>
      <c r="H1433" s="12">
        <v>3.6853940659164799</v>
      </c>
      <c r="I1433" s="11">
        <v>4.0033664202938901</v>
      </c>
      <c r="J1433" s="10">
        <v>6.2447467312951905E-5</v>
      </c>
      <c r="K1433" s="29">
        <v>4.5374565400410896E-3</v>
      </c>
    </row>
    <row r="1434" spans="1:11" x14ac:dyDescent="0.35">
      <c r="A1434" s="9" t="str">
        <f>HYPERLINK("http://www.ensembl.org/id/WBGene00016852", "WBGene00016852")</f>
        <v>WBGene00016852</v>
      </c>
      <c r="B1434" s="9" t="str">
        <f>HYPERLINK("http://www.ncbi.nlm.nih.gov/gene/183694", "183694")</f>
        <v>183694</v>
      </c>
      <c r="C1434" s="9"/>
      <c r="D1434" t="str">
        <f>"srt-7"</f>
        <v>srt-7</v>
      </c>
      <c r="E1434" t="s">
        <v>2845</v>
      </c>
      <c r="F1434" t="s">
        <v>11</v>
      </c>
      <c r="G1434" t="s">
        <v>25</v>
      </c>
      <c r="H1434" s="12">
        <v>3.6755848080737601</v>
      </c>
      <c r="I1434" s="11">
        <v>1.0661046630380699</v>
      </c>
      <c r="J1434" s="10">
        <v>0.28637633194428902</v>
      </c>
      <c r="K1434" s="29">
        <v>0.98289565623980701</v>
      </c>
    </row>
    <row r="1435" spans="1:11" x14ac:dyDescent="0.35">
      <c r="A1435" s="9" t="str">
        <f>HYPERLINK("http://www.ensembl.org/id/WBGene00194869", "WBGene00194869")</f>
        <v>WBGene00194869</v>
      </c>
      <c r="B1435" s="9" t="str">
        <f>HYPERLINK("http://www.ncbi.nlm.nih.gov/gene/13198300", "13198300")</f>
        <v>13198300</v>
      </c>
      <c r="C1435" s="9"/>
      <c r="D1435" t="str">
        <f>"K01A6.8"</f>
        <v>K01A6.8</v>
      </c>
      <c r="F1435" t="s">
        <v>11</v>
      </c>
      <c r="H1435" s="12">
        <v>3.6739302763842598</v>
      </c>
      <c r="I1435" s="11">
        <v>2.1568160350635299</v>
      </c>
      <c r="J1435" s="10">
        <v>3.10200012162864E-2</v>
      </c>
      <c r="K1435" s="29">
        <v>0.395338195313577</v>
      </c>
    </row>
    <row r="1436" spans="1:11" x14ac:dyDescent="0.35">
      <c r="A1436" s="9" t="str">
        <f>HYPERLINK("http://www.ensembl.org/id/WBGene00019563", "WBGene00019563")</f>
        <v>WBGene00019563</v>
      </c>
      <c r="B1436" s="9" t="str">
        <f>HYPERLINK("http://www.ncbi.nlm.nih.gov/gene/187204", "187204")</f>
        <v>187204</v>
      </c>
      <c r="C1436" s="9"/>
      <c r="D1436" t="str">
        <f>"K09C6.9"</f>
        <v>K09C6.9</v>
      </c>
      <c r="F1436" t="s">
        <v>11</v>
      </c>
      <c r="H1436" s="12">
        <v>3.6712598424824701</v>
      </c>
      <c r="I1436" s="11">
        <v>3.9132351085869499</v>
      </c>
      <c r="J1436" s="10">
        <v>9.1067789653788498E-5</v>
      </c>
      <c r="K1436" s="29">
        <v>6.1707106971860297E-3</v>
      </c>
    </row>
    <row r="1437" spans="1:11" x14ac:dyDescent="0.35">
      <c r="A1437" s="9" t="str">
        <f>HYPERLINK("http://www.ensembl.org/id/WBGene00014615", "WBGene00014615")</f>
        <v>WBGene00014615</v>
      </c>
      <c r="B1437" s="9"/>
      <c r="C1437" s="9"/>
      <c r="D1437" t="str">
        <f>"Y116F11A.4"</f>
        <v>Y116F11A.4</v>
      </c>
      <c r="F1437" t="s">
        <v>80</v>
      </c>
      <c r="H1437" s="12">
        <v>3.6652687366493302</v>
      </c>
      <c r="I1437" s="11">
        <v>1.63192701203145</v>
      </c>
      <c r="J1437" s="10">
        <v>0.102694862850352</v>
      </c>
      <c r="K1437" s="29">
        <v>0.74003277406530099</v>
      </c>
    </row>
    <row r="1438" spans="1:11" x14ac:dyDescent="0.35">
      <c r="A1438" s="9" t="str">
        <f>HYPERLINK("http://www.ensembl.org/id/WBGene00170460", "WBGene00170460")</f>
        <v>WBGene00170460</v>
      </c>
      <c r="B1438" s="9"/>
      <c r="C1438" s="9"/>
      <c r="D1438" t="str">
        <f>"21ur-10114"</f>
        <v>21ur-10114</v>
      </c>
      <c r="F1438" t="s">
        <v>3161</v>
      </c>
      <c r="H1438" s="12">
        <v>3.6645215954135</v>
      </c>
      <c r="I1438" s="11">
        <v>0.37967131826092498</v>
      </c>
      <c r="J1438" s="10">
        <v>0.70418941338960395</v>
      </c>
      <c r="K1438" s="29">
        <v>0.98289565623980701</v>
      </c>
    </row>
    <row r="1439" spans="1:11" x14ac:dyDescent="0.35">
      <c r="A1439" s="9" t="str">
        <f>HYPERLINK("http://www.ensembl.org/id/WBGene00171761", "WBGene00171761")</f>
        <v>WBGene00171761</v>
      </c>
      <c r="B1439" s="9"/>
      <c r="C1439" s="9"/>
      <c r="D1439" t="str">
        <f>"21ur-11303"</f>
        <v>21ur-11303</v>
      </c>
      <c r="F1439" t="s">
        <v>3161</v>
      </c>
      <c r="H1439" s="12">
        <v>3.6645215954135</v>
      </c>
      <c r="I1439" s="11">
        <v>0.37967131826092498</v>
      </c>
      <c r="J1439" s="10">
        <v>0.70418941338960395</v>
      </c>
      <c r="K1439" s="29">
        <v>0.98289565623980701</v>
      </c>
    </row>
    <row r="1440" spans="1:11" x14ac:dyDescent="0.35">
      <c r="A1440" s="9" t="str">
        <f>HYPERLINK("http://www.ensembl.org/id/WBGene00172516", "WBGene00172516")</f>
        <v>WBGene00172516</v>
      </c>
      <c r="B1440" s="9"/>
      <c r="C1440" s="9"/>
      <c r="D1440" t="str">
        <f>"21ur-11602"</f>
        <v>21ur-11602</v>
      </c>
      <c r="F1440" t="s">
        <v>3161</v>
      </c>
      <c r="H1440" s="12">
        <v>3.6645215954135</v>
      </c>
      <c r="I1440" s="11">
        <v>0.37967131826092498</v>
      </c>
      <c r="J1440" s="10">
        <v>0.70418941338960395</v>
      </c>
      <c r="K1440" s="29">
        <v>0.98289565623980701</v>
      </c>
    </row>
    <row r="1441" spans="1:11" x14ac:dyDescent="0.35">
      <c r="A1441" s="9" t="str">
        <f>HYPERLINK("http://www.ensembl.org/id/WBGene00166852", "WBGene00166852")</f>
        <v>WBGene00166852</v>
      </c>
      <c r="B1441" s="9"/>
      <c r="C1441" s="9"/>
      <c r="D1441" t="str">
        <f>"21ur-12491"</f>
        <v>21ur-12491</v>
      </c>
      <c r="F1441" t="s">
        <v>3161</v>
      </c>
      <c r="H1441" s="12">
        <v>3.6645215954135</v>
      </c>
      <c r="I1441" s="11">
        <v>0.37967131826092498</v>
      </c>
      <c r="J1441" s="10">
        <v>0.70418941338960395</v>
      </c>
      <c r="K1441" s="29">
        <v>0.98289565623980701</v>
      </c>
    </row>
    <row r="1442" spans="1:11" x14ac:dyDescent="0.35">
      <c r="A1442" s="9" t="str">
        <f>HYPERLINK("http://www.ensembl.org/id/WBGene00166289", "WBGene00166289")</f>
        <v>WBGene00166289</v>
      </c>
      <c r="B1442" s="9"/>
      <c r="C1442" s="9"/>
      <c r="D1442" t="str">
        <f>"21ur-13014"</f>
        <v>21ur-13014</v>
      </c>
      <c r="F1442" t="s">
        <v>3161</v>
      </c>
      <c r="H1442" s="12">
        <v>3.6645215954135</v>
      </c>
      <c r="I1442" s="11">
        <v>0.37967131826092498</v>
      </c>
      <c r="J1442" s="10">
        <v>0.70418941338960395</v>
      </c>
      <c r="K1442" s="29">
        <v>0.98289565623980701</v>
      </c>
    </row>
    <row r="1443" spans="1:11" x14ac:dyDescent="0.35">
      <c r="A1443" s="9" t="str">
        <f>HYPERLINK("http://www.ensembl.org/id/WBGene00171750", "WBGene00171750")</f>
        <v>WBGene00171750</v>
      </c>
      <c r="B1443" s="9"/>
      <c r="C1443" s="9"/>
      <c r="D1443" t="str">
        <f>"21ur-13656"</f>
        <v>21ur-13656</v>
      </c>
      <c r="F1443" t="s">
        <v>3161</v>
      </c>
      <c r="H1443" s="12">
        <v>3.6645215954135</v>
      </c>
      <c r="I1443" s="11">
        <v>0.37967131826092498</v>
      </c>
      <c r="J1443" s="10">
        <v>0.70418941338960395</v>
      </c>
      <c r="K1443" s="29">
        <v>0.98289565623980701</v>
      </c>
    </row>
    <row r="1444" spans="1:11" x14ac:dyDescent="0.35">
      <c r="A1444" s="9" t="str">
        <f>HYPERLINK("http://www.ensembl.org/id/WBGene00168732", "WBGene00168732")</f>
        <v>WBGene00168732</v>
      </c>
      <c r="B1444" s="9"/>
      <c r="C1444" s="9"/>
      <c r="D1444" t="str">
        <f>"21ur-14151"</f>
        <v>21ur-14151</v>
      </c>
      <c r="F1444" t="s">
        <v>3161</v>
      </c>
      <c r="H1444" s="12">
        <v>3.6645215954135</v>
      </c>
      <c r="I1444" s="11">
        <v>0.37967131826092498</v>
      </c>
      <c r="J1444" s="10">
        <v>0.70418941338960395</v>
      </c>
      <c r="K1444" s="29">
        <v>0.98289565623980701</v>
      </c>
    </row>
    <row r="1445" spans="1:11" x14ac:dyDescent="0.35">
      <c r="A1445" s="9" t="str">
        <f>HYPERLINK("http://www.ensembl.org/id/WBGene00169614", "WBGene00169614")</f>
        <v>WBGene00169614</v>
      </c>
      <c r="B1445" s="9"/>
      <c r="C1445" s="9"/>
      <c r="D1445" t="str">
        <f>"21ur-14575"</f>
        <v>21ur-14575</v>
      </c>
      <c r="F1445" t="s">
        <v>3161</v>
      </c>
      <c r="H1445" s="12">
        <v>3.6645215954135</v>
      </c>
      <c r="I1445" s="11">
        <v>0.37967131826092498</v>
      </c>
      <c r="J1445" s="10">
        <v>0.70418941338960395</v>
      </c>
      <c r="K1445" s="29">
        <v>0.98289565623980701</v>
      </c>
    </row>
    <row r="1446" spans="1:11" x14ac:dyDescent="0.35">
      <c r="A1446" s="9" t="str">
        <f>HYPERLINK("http://www.ensembl.org/id/WBGene00173303", "WBGene00173303")</f>
        <v>WBGene00173303</v>
      </c>
      <c r="B1446" s="9"/>
      <c r="C1446" s="9"/>
      <c r="D1446" t="str">
        <f>"21ur-14797"</f>
        <v>21ur-14797</v>
      </c>
      <c r="F1446" t="s">
        <v>3161</v>
      </c>
      <c r="H1446" s="12">
        <v>3.6645215954135</v>
      </c>
      <c r="I1446" s="11">
        <v>0.37967131826092498</v>
      </c>
      <c r="J1446" s="10">
        <v>0.70418941338960395</v>
      </c>
      <c r="K1446" s="29">
        <v>0.98289565623980701</v>
      </c>
    </row>
    <row r="1447" spans="1:11" x14ac:dyDescent="0.35">
      <c r="A1447" s="9" t="str">
        <f>HYPERLINK("http://www.ensembl.org/id/WBGene00048216", "WBGene00048216")</f>
        <v>WBGene00048216</v>
      </c>
      <c r="B1447" s="9"/>
      <c r="C1447" s="9"/>
      <c r="D1447" t="str">
        <f>"21ur-2257"</f>
        <v>21ur-2257</v>
      </c>
      <c r="F1447" t="s">
        <v>3161</v>
      </c>
      <c r="H1447" s="12">
        <v>3.6645215954135</v>
      </c>
      <c r="I1447" s="11">
        <v>0.37967131826092498</v>
      </c>
      <c r="J1447" s="10">
        <v>0.70418941338960395</v>
      </c>
      <c r="K1447" s="29">
        <v>0.98289565623980701</v>
      </c>
    </row>
    <row r="1448" spans="1:11" x14ac:dyDescent="0.35">
      <c r="A1448" s="9" t="str">
        <f>HYPERLINK("http://www.ensembl.org/id/WBGene00049897", "WBGene00049897")</f>
        <v>WBGene00049897</v>
      </c>
      <c r="B1448" s="9"/>
      <c r="C1448" s="9"/>
      <c r="D1448" t="str">
        <f>"21ur-2434"</f>
        <v>21ur-2434</v>
      </c>
      <c r="F1448" t="s">
        <v>3161</v>
      </c>
      <c r="H1448" s="12">
        <v>3.6645215954135</v>
      </c>
      <c r="I1448" s="11">
        <v>0.37967131826092498</v>
      </c>
      <c r="J1448" s="10">
        <v>0.70418941338960395</v>
      </c>
      <c r="K1448" s="29">
        <v>0.98289565623980701</v>
      </c>
    </row>
    <row r="1449" spans="1:11" x14ac:dyDescent="0.35">
      <c r="A1449" s="9" t="str">
        <f>HYPERLINK("http://www.ensembl.org/id/WBGene00046640", "WBGene00046640")</f>
        <v>WBGene00046640</v>
      </c>
      <c r="B1449" s="9"/>
      <c r="C1449" s="9"/>
      <c r="D1449" t="str">
        <f>"21ur-2811"</f>
        <v>21ur-2811</v>
      </c>
      <c r="F1449" t="s">
        <v>3161</v>
      </c>
      <c r="H1449" s="12">
        <v>3.6645215954135</v>
      </c>
      <c r="I1449" s="11">
        <v>0.37967131826092498</v>
      </c>
      <c r="J1449" s="10">
        <v>0.70418941338960395</v>
      </c>
      <c r="K1449" s="29">
        <v>0.98289565623980701</v>
      </c>
    </row>
    <row r="1450" spans="1:11" x14ac:dyDescent="0.35">
      <c r="A1450" s="9" t="str">
        <f>HYPERLINK("http://www.ensembl.org/id/WBGene00048141", "WBGene00048141")</f>
        <v>WBGene00048141</v>
      </c>
      <c r="B1450" s="9"/>
      <c r="C1450" s="9"/>
      <c r="D1450" t="str">
        <f>"21ur-5009"</f>
        <v>21ur-5009</v>
      </c>
      <c r="F1450" t="s">
        <v>3161</v>
      </c>
      <c r="H1450" s="12">
        <v>3.6645215954135</v>
      </c>
      <c r="I1450" s="11">
        <v>0.37967131826092498</v>
      </c>
      <c r="J1450" s="10">
        <v>0.70418941338960395</v>
      </c>
      <c r="K1450" s="29">
        <v>0.98289565623980701</v>
      </c>
    </row>
    <row r="1451" spans="1:11" x14ac:dyDescent="0.35">
      <c r="A1451" s="9" t="str">
        <f>HYPERLINK("http://www.ensembl.org/id/WBGene00050590", "WBGene00050590")</f>
        <v>WBGene00050590</v>
      </c>
      <c r="B1451" s="9"/>
      <c r="C1451" s="9"/>
      <c r="D1451" t="str">
        <f>"21ur-5285"</f>
        <v>21ur-5285</v>
      </c>
      <c r="F1451" t="s">
        <v>3161</v>
      </c>
      <c r="H1451" s="12">
        <v>3.6645215954135</v>
      </c>
      <c r="I1451" s="11">
        <v>0.37967131826092498</v>
      </c>
      <c r="J1451" s="10">
        <v>0.70418941338960395</v>
      </c>
      <c r="K1451" s="29">
        <v>0.98289565623980701</v>
      </c>
    </row>
    <row r="1452" spans="1:11" x14ac:dyDescent="0.35">
      <c r="A1452" s="9" t="str">
        <f>HYPERLINK("http://www.ensembl.org/id/WBGene00047808", "WBGene00047808")</f>
        <v>WBGene00047808</v>
      </c>
      <c r="B1452" s="9"/>
      <c r="C1452" s="9"/>
      <c r="D1452" t="str">
        <f>"21ur-5315"</f>
        <v>21ur-5315</v>
      </c>
      <c r="F1452" t="s">
        <v>3161</v>
      </c>
      <c r="H1452" s="12">
        <v>3.6645215954135</v>
      </c>
      <c r="I1452" s="11">
        <v>0.37967131826092498</v>
      </c>
      <c r="J1452" s="10">
        <v>0.70418941338960395</v>
      </c>
      <c r="K1452" s="29">
        <v>0.98289565623980701</v>
      </c>
    </row>
    <row r="1453" spans="1:11" x14ac:dyDescent="0.35">
      <c r="A1453" s="9" t="str">
        <f>HYPERLINK("http://www.ensembl.org/id/WBGene00045684", "WBGene00045684")</f>
        <v>WBGene00045684</v>
      </c>
      <c r="B1453" s="9"/>
      <c r="C1453" s="9"/>
      <c r="D1453" t="str">
        <f>"21ur-5385"</f>
        <v>21ur-5385</v>
      </c>
      <c r="F1453" t="s">
        <v>3161</v>
      </c>
      <c r="H1453" s="12">
        <v>3.6645215954135</v>
      </c>
      <c r="I1453" s="11">
        <v>0.37967131826092498</v>
      </c>
      <c r="J1453" s="10">
        <v>0.70418941338960395</v>
      </c>
      <c r="K1453" s="29">
        <v>0.98289565623980701</v>
      </c>
    </row>
    <row r="1454" spans="1:11" x14ac:dyDescent="0.35">
      <c r="A1454" s="9" t="str">
        <f>HYPERLINK("http://www.ensembl.org/id/WBGene00174635", "WBGene00174635")</f>
        <v>WBGene00174635</v>
      </c>
      <c r="B1454" s="9"/>
      <c r="C1454" s="9"/>
      <c r="D1454" t="str">
        <f>"21ur-7516"</f>
        <v>21ur-7516</v>
      </c>
      <c r="F1454" t="s">
        <v>3161</v>
      </c>
      <c r="H1454" s="12">
        <v>3.6645215954135</v>
      </c>
      <c r="I1454" s="11">
        <v>0.37967131826092498</v>
      </c>
      <c r="J1454" s="10">
        <v>0.70418941338960395</v>
      </c>
      <c r="K1454" s="29">
        <v>0.98289565623980701</v>
      </c>
    </row>
    <row r="1455" spans="1:11" x14ac:dyDescent="0.35">
      <c r="A1455" s="9" t="str">
        <f>HYPERLINK("http://www.ensembl.org/id/WBGene00168841", "WBGene00168841")</f>
        <v>WBGene00168841</v>
      </c>
      <c r="B1455" s="9"/>
      <c r="C1455" s="9"/>
      <c r="D1455" t="str">
        <f>"21ur-8392"</f>
        <v>21ur-8392</v>
      </c>
      <c r="F1455" t="s">
        <v>3161</v>
      </c>
      <c r="H1455" s="12">
        <v>3.6645215954135</v>
      </c>
      <c r="I1455" s="11">
        <v>0.37967131826092498</v>
      </c>
      <c r="J1455" s="10">
        <v>0.70418941338960395</v>
      </c>
      <c r="K1455" s="29">
        <v>0.98289565623980701</v>
      </c>
    </row>
    <row r="1456" spans="1:11" x14ac:dyDescent="0.35">
      <c r="A1456" s="9" t="str">
        <f>HYPERLINK("http://www.ensembl.org/id/WBGene00169312", "WBGene00169312")</f>
        <v>WBGene00169312</v>
      </c>
      <c r="B1456" s="9"/>
      <c r="C1456" s="9"/>
      <c r="D1456" t="str">
        <f>"21ur-8401"</f>
        <v>21ur-8401</v>
      </c>
      <c r="F1456" t="s">
        <v>3161</v>
      </c>
      <c r="H1456" s="12">
        <v>3.6645215954135</v>
      </c>
      <c r="I1456" s="11">
        <v>0.37967131826092498</v>
      </c>
      <c r="J1456" s="10">
        <v>0.70418941338960395</v>
      </c>
      <c r="K1456" s="29">
        <v>0.98289565623980701</v>
      </c>
    </row>
    <row r="1457" spans="1:11" x14ac:dyDescent="0.35">
      <c r="A1457" s="9" t="str">
        <f>HYPERLINK("http://www.ensembl.org/id/WBGene00165516", "WBGene00165516")</f>
        <v>WBGene00165516</v>
      </c>
      <c r="B1457" s="9"/>
      <c r="C1457" s="9"/>
      <c r="D1457" t="str">
        <f>"21ur-9888"</f>
        <v>21ur-9888</v>
      </c>
      <c r="F1457" t="s">
        <v>3161</v>
      </c>
      <c r="H1457" s="12">
        <v>3.6645215954135</v>
      </c>
      <c r="I1457" s="11">
        <v>0.37967131826092498</v>
      </c>
      <c r="J1457" s="10">
        <v>0.70418941338960395</v>
      </c>
      <c r="K1457" s="29">
        <v>0.98289565623980701</v>
      </c>
    </row>
    <row r="1458" spans="1:11" x14ac:dyDescent="0.35">
      <c r="A1458" s="9" t="str">
        <f>HYPERLINK("http://www.ensembl.org/id/WBGene00167035", "WBGene00167035")</f>
        <v>WBGene00167035</v>
      </c>
      <c r="B1458" s="9"/>
      <c r="C1458" s="9"/>
      <c r="D1458" t="str">
        <f>"21ur-9904"</f>
        <v>21ur-9904</v>
      </c>
      <c r="F1458" t="s">
        <v>3161</v>
      </c>
      <c r="H1458" s="12">
        <v>3.6645215954135</v>
      </c>
      <c r="I1458" s="11">
        <v>0.37967131826092498</v>
      </c>
      <c r="J1458" s="10">
        <v>0.70418941338960395</v>
      </c>
      <c r="K1458" s="29">
        <v>0.98289565623980701</v>
      </c>
    </row>
    <row r="1459" spans="1:11" x14ac:dyDescent="0.35">
      <c r="A1459" s="9" t="str">
        <f>HYPERLINK("http://www.ensembl.org/id/WBGene00015003", "WBGene00015003")</f>
        <v>WBGene00015003</v>
      </c>
      <c r="B1459" s="9" t="str">
        <f>HYPERLINK("http://www.ncbi.nlm.nih.gov/gene/181818", "181818")</f>
        <v>181818</v>
      </c>
      <c r="C1459" s="9"/>
      <c r="D1459" t="str">
        <f>"B0034.2"</f>
        <v>B0034.2</v>
      </c>
      <c r="F1459" t="s">
        <v>11</v>
      </c>
      <c r="H1459" s="12">
        <v>3.6645215954135</v>
      </c>
      <c r="I1459" s="11">
        <v>0.37967131826092498</v>
      </c>
      <c r="J1459" s="10">
        <v>0.70418941338960395</v>
      </c>
      <c r="K1459" s="29">
        <v>0.98289565623980701</v>
      </c>
    </row>
    <row r="1460" spans="1:11" x14ac:dyDescent="0.35">
      <c r="A1460" s="9" t="str">
        <f>HYPERLINK("http://www.ensembl.org/id/WBGene00015628", "WBGene00015628")</f>
        <v>WBGene00015628</v>
      </c>
      <c r="B1460" s="9" t="str">
        <f>HYPERLINK("http://www.ncbi.nlm.nih.gov/gene/177270", "177270")</f>
        <v>177270</v>
      </c>
      <c r="C1460" s="9"/>
      <c r="D1460" t="str">
        <f>"best-6"</f>
        <v>best-6</v>
      </c>
      <c r="E1460" t="s">
        <v>4295</v>
      </c>
      <c r="F1460" t="s">
        <v>11</v>
      </c>
      <c r="H1460" s="12">
        <v>3.6645215954135</v>
      </c>
      <c r="I1460" s="11">
        <v>0.37967131826092498</v>
      </c>
      <c r="J1460" s="10">
        <v>0.70418941338960395</v>
      </c>
      <c r="K1460" s="29">
        <v>0.98289565623980701</v>
      </c>
    </row>
    <row r="1461" spans="1:11" x14ac:dyDescent="0.35">
      <c r="A1461" s="9" t="str">
        <f>HYPERLINK("http://www.ensembl.org/id/WBGene00015374", "WBGene00015374")</f>
        <v>WBGene00015374</v>
      </c>
      <c r="B1461" s="9" t="str">
        <f>HYPERLINK("http://www.ncbi.nlm.nih.gov/gene/182146", "182146")</f>
        <v>182146</v>
      </c>
      <c r="C1461" s="9"/>
      <c r="D1461" t="str">
        <f>"C03B1.3"</f>
        <v>C03B1.3</v>
      </c>
      <c r="F1461" t="s">
        <v>11</v>
      </c>
      <c r="H1461" s="12">
        <v>3.6645215954135</v>
      </c>
      <c r="I1461" s="11">
        <v>0.37967131826092498</v>
      </c>
      <c r="J1461" s="10">
        <v>0.70418941338960395</v>
      </c>
      <c r="K1461" s="29">
        <v>0.98289565623980701</v>
      </c>
    </row>
    <row r="1462" spans="1:11" x14ac:dyDescent="0.35">
      <c r="A1462" s="9" t="str">
        <f>HYPERLINK("http://www.ensembl.org/id/WBGene00007380", "WBGene00007380")</f>
        <v>WBGene00007380</v>
      </c>
      <c r="B1462" s="9"/>
      <c r="C1462" s="9"/>
      <c r="D1462" t="str">
        <f>"C06C6.6"</f>
        <v>C06C6.6</v>
      </c>
      <c r="F1462" t="s">
        <v>80</v>
      </c>
      <c r="H1462" s="12">
        <v>3.6645215954135</v>
      </c>
      <c r="I1462" s="11">
        <v>0.37967131826092498</v>
      </c>
      <c r="J1462" s="10">
        <v>0.70418941338960395</v>
      </c>
      <c r="K1462" s="29">
        <v>0.98289565623980701</v>
      </c>
    </row>
    <row r="1463" spans="1:11" x14ac:dyDescent="0.35">
      <c r="A1463" s="9" t="str">
        <f>HYPERLINK("http://www.ensembl.org/id/WBGene00201200", "WBGene00201200")</f>
        <v>WBGene00201200</v>
      </c>
      <c r="B1463" s="9"/>
      <c r="C1463" s="9"/>
      <c r="D1463" t="str">
        <f>"C10C5.11"</f>
        <v>C10C5.11</v>
      </c>
      <c r="F1463" t="s">
        <v>481</v>
      </c>
      <c r="H1463" s="12">
        <v>3.6645215954135</v>
      </c>
      <c r="I1463" s="11">
        <v>0.37967131826092498</v>
      </c>
      <c r="J1463" s="10">
        <v>0.70418941338960395</v>
      </c>
      <c r="K1463" s="29">
        <v>0.98289565623980701</v>
      </c>
    </row>
    <row r="1464" spans="1:11" x14ac:dyDescent="0.35">
      <c r="A1464" s="9" t="str">
        <f>HYPERLINK("http://www.ensembl.org/id/WBGene00200265", "WBGene00200265")</f>
        <v>WBGene00200265</v>
      </c>
      <c r="B1464" s="9"/>
      <c r="C1464" s="9"/>
      <c r="D1464" t="str">
        <f>"C17E4.18"</f>
        <v>C17E4.18</v>
      </c>
      <c r="F1464" t="s">
        <v>481</v>
      </c>
      <c r="H1464" s="12">
        <v>3.6645215954135</v>
      </c>
      <c r="I1464" s="11">
        <v>0.37967131826092498</v>
      </c>
      <c r="J1464" s="10">
        <v>0.70418941338960395</v>
      </c>
      <c r="K1464" s="29">
        <v>0.98289565623980701</v>
      </c>
    </row>
    <row r="1465" spans="1:11" x14ac:dyDescent="0.35">
      <c r="A1465" s="9" t="str">
        <f>HYPERLINK("http://www.ensembl.org/id/WBGene00200214", "WBGene00200214")</f>
        <v>WBGene00200214</v>
      </c>
      <c r="B1465" s="9"/>
      <c r="C1465" s="9"/>
      <c r="D1465" t="str">
        <f>"C17H12.35"</f>
        <v>C17H12.35</v>
      </c>
      <c r="F1465" t="s">
        <v>481</v>
      </c>
      <c r="H1465" s="12">
        <v>3.6645215954135</v>
      </c>
      <c r="I1465" s="11">
        <v>0.37967131826092498</v>
      </c>
      <c r="J1465" s="10">
        <v>0.70418941338960395</v>
      </c>
      <c r="K1465" s="29">
        <v>0.98289565623980701</v>
      </c>
    </row>
    <row r="1466" spans="1:11" x14ac:dyDescent="0.35">
      <c r="A1466" s="9" t="str">
        <f>HYPERLINK("http://www.ensembl.org/id/WBGene00201930", "WBGene00201930")</f>
        <v>WBGene00201930</v>
      </c>
      <c r="B1466" s="9"/>
      <c r="C1466" s="9"/>
      <c r="D1466" t="str">
        <f>"C18D1.20"</f>
        <v>C18D1.20</v>
      </c>
      <c r="F1466" t="s">
        <v>481</v>
      </c>
      <c r="H1466" s="12">
        <v>3.6645215954135</v>
      </c>
      <c r="I1466" s="11">
        <v>0.37967131826092498</v>
      </c>
      <c r="J1466" s="10">
        <v>0.70418941338960395</v>
      </c>
      <c r="K1466" s="29">
        <v>0.98289565623980701</v>
      </c>
    </row>
    <row r="1467" spans="1:11" x14ac:dyDescent="0.35">
      <c r="A1467" s="9" t="str">
        <f>HYPERLINK("http://www.ensembl.org/id/WBGene00007998", "WBGene00007998")</f>
        <v>WBGene00007998</v>
      </c>
      <c r="B1467" s="9" t="str">
        <f>HYPERLINK("http://www.ncbi.nlm.nih.gov/gene/183307", "183307")</f>
        <v>183307</v>
      </c>
      <c r="C1467" s="9"/>
      <c r="D1467" t="str">
        <f>"C38C6.5"</f>
        <v>C38C6.5</v>
      </c>
      <c r="F1467" t="s">
        <v>11</v>
      </c>
      <c r="H1467" s="12">
        <v>3.6645215954135</v>
      </c>
      <c r="I1467" s="11">
        <v>0.37967131826092498</v>
      </c>
      <c r="J1467" s="10">
        <v>0.70418941338960395</v>
      </c>
      <c r="K1467" s="29">
        <v>0.98289565623980701</v>
      </c>
    </row>
    <row r="1468" spans="1:11" x14ac:dyDescent="0.35">
      <c r="A1468" s="9" t="str">
        <f>HYPERLINK("http://www.ensembl.org/id/WBGene00196435", "WBGene00196435")</f>
        <v>WBGene00196435</v>
      </c>
      <c r="B1468" s="9"/>
      <c r="C1468" s="9"/>
      <c r="D1468" t="str">
        <f>"C41G11.7"</f>
        <v>C41G11.7</v>
      </c>
      <c r="F1468" t="s">
        <v>481</v>
      </c>
      <c r="H1468" s="12">
        <v>3.6645215954135</v>
      </c>
      <c r="I1468" s="11">
        <v>0.37967131826092498</v>
      </c>
      <c r="J1468" s="10">
        <v>0.70418941338960395</v>
      </c>
      <c r="K1468" s="29">
        <v>0.98289565623980701</v>
      </c>
    </row>
    <row r="1469" spans="1:11" x14ac:dyDescent="0.35">
      <c r="A1469" s="9" t="str">
        <f>HYPERLINK("http://www.ensembl.org/id/WBGene00016675", "WBGene00016675")</f>
        <v>WBGene00016675</v>
      </c>
      <c r="B1469" s="9" t="str">
        <f>HYPERLINK("http://www.ncbi.nlm.nih.gov/gene/175689", "175689")</f>
        <v>175689</v>
      </c>
      <c r="C1469" s="9"/>
      <c r="D1469" t="str">
        <f>"C45G9.4"</f>
        <v>C45G9.4</v>
      </c>
      <c r="F1469" t="s">
        <v>11</v>
      </c>
      <c r="H1469" s="12">
        <v>3.6645215954135</v>
      </c>
      <c r="I1469" s="11">
        <v>0.37967131826092498</v>
      </c>
      <c r="J1469" s="10">
        <v>0.70418941338960395</v>
      </c>
      <c r="K1469" s="29">
        <v>0.98289565623980701</v>
      </c>
    </row>
    <row r="1470" spans="1:11" x14ac:dyDescent="0.35">
      <c r="A1470" s="9" t="str">
        <f>HYPERLINK("http://www.ensembl.org/id/WBGene00014703", "WBGene00014703")</f>
        <v>WBGene00014703</v>
      </c>
      <c r="B1470" s="9"/>
      <c r="C1470" s="9"/>
      <c r="D1470" t="str">
        <f>"C47A4.4"</f>
        <v>C47A4.4</v>
      </c>
      <c r="F1470" t="s">
        <v>80</v>
      </c>
      <c r="H1470" s="12">
        <v>3.6645215954135</v>
      </c>
      <c r="I1470" s="11">
        <v>0.37967131826092498</v>
      </c>
      <c r="J1470" s="10">
        <v>0.70418941338960395</v>
      </c>
      <c r="K1470" s="29">
        <v>0.98289565623980701</v>
      </c>
    </row>
    <row r="1471" spans="1:11" x14ac:dyDescent="0.35">
      <c r="A1471" s="9" t="str">
        <f>HYPERLINK("http://www.ensembl.org/id/WBGene00194785", "WBGene00194785")</f>
        <v>WBGene00194785</v>
      </c>
      <c r="B1471" s="9" t="str">
        <f>HYPERLINK("http://www.ncbi.nlm.nih.gov/gene/13215577", "13215577")</f>
        <v>13215577</v>
      </c>
      <c r="C1471" s="9"/>
      <c r="D1471" t="str">
        <f>"C52E4.12"</f>
        <v>C52E4.12</v>
      </c>
      <c r="F1471" t="s">
        <v>11</v>
      </c>
      <c r="H1471" s="12">
        <v>3.6645215954135</v>
      </c>
      <c r="I1471" s="11">
        <v>0.37967131826092498</v>
      </c>
      <c r="J1471" s="10">
        <v>0.70418941338960395</v>
      </c>
      <c r="K1471" s="29">
        <v>0.98289565623980701</v>
      </c>
    </row>
    <row r="1472" spans="1:11" x14ac:dyDescent="0.35">
      <c r="A1472" s="9" t="str">
        <f>HYPERLINK("http://www.ensembl.org/id/WBGene00020065", "WBGene00020065")</f>
        <v>WBGene00020065</v>
      </c>
      <c r="B1472" s="9"/>
      <c r="C1472" s="9"/>
      <c r="D1472" t="str">
        <f>"clec-159"</f>
        <v>clec-159</v>
      </c>
      <c r="F1472" t="s">
        <v>80</v>
      </c>
      <c r="H1472" s="12">
        <v>3.6645215954135</v>
      </c>
      <c r="I1472" s="11">
        <v>0.37967131826092498</v>
      </c>
      <c r="J1472" s="10">
        <v>0.70418941338960395</v>
      </c>
      <c r="K1472" s="29">
        <v>0.98289565623980701</v>
      </c>
    </row>
    <row r="1473" spans="1:11" x14ac:dyDescent="0.35">
      <c r="A1473" s="9" t="str">
        <f>HYPERLINK("http://www.ensembl.org/id/WBGene00010954", "WBGene00010954")</f>
        <v>WBGene00010954</v>
      </c>
      <c r="B1473" s="9" t="str">
        <f>HYPERLINK("http://www.ncbi.nlm.nih.gov/gene/3565781", "3565781")</f>
        <v>3565781</v>
      </c>
      <c r="C1473" s="9"/>
      <c r="D1473" t="str">
        <f>"clec-189"</f>
        <v>clec-189</v>
      </c>
      <c r="E1473" t="s">
        <v>46</v>
      </c>
      <c r="F1473" t="s">
        <v>11</v>
      </c>
      <c r="G1473" t="s">
        <v>47</v>
      </c>
      <c r="H1473" s="12">
        <v>3.6645215954135</v>
      </c>
      <c r="I1473" s="11">
        <v>0.37967131826092498</v>
      </c>
      <c r="J1473" s="10">
        <v>0.70418941338960395</v>
      </c>
      <c r="K1473" s="29">
        <v>0.98289565623980701</v>
      </c>
    </row>
    <row r="1474" spans="1:11" x14ac:dyDescent="0.35">
      <c r="A1474" s="9" t="str">
        <f>HYPERLINK("http://www.ensembl.org/id/WBGene00013495", "WBGene00013495")</f>
        <v>WBGene00013495</v>
      </c>
      <c r="B1474" s="9"/>
      <c r="C1474" s="9"/>
      <c r="D1474" t="str">
        <f>"clec-236"</f>
        <v>clec-236</v>
      </c>
      <c r="F1474" t="s">
        <v>80</v>
      </c>
      <c r="H1474" s="12">
        <v>3.6645215954135</v>
      </c>
      <c r="I1474" s="11">
        <v>0.37967131826092498</v>
      </c>
      <c r="J1474" s="10">
        <v>0.70418941338960395</v>
      </c>
      <c r="K1474" s="29">
        <v>0.98289565623980701</v>
      </c>
    </row>
    <row r="1475" spans="1:11" x14ac:dyDescent="0.35">
      <c r="A1475" s="9" t="str">
        <f>HYPERLINK("http://www.ensembl.org/id/WBGene00201135", "WBGene00201135")</f>
        <v>WBGene00201135</v>
      </c>
      <c r="B1475" s="9"/>
      <c r="C1475" s="9"/>
      <c r="D1475" t="str">
        <f>"E01G6.11"</f>
        <v>E01G6.11</v>
      </c>
      <c r="F1475" t="s">
        <v>481</v>
      </c>
      <c r="H1475" s="12">
        <v>3.6645215954135</v>
      </c>
      <c r="I1475" s="11">
        <v>0.37967131826092498</v>
      </c>
      <c r="J1475" s="10">
        <v>0.70418941338960395</v>
      </c>
      <c r="K1475" s="29">
        <v>0.98289565623980701</v>
      </c>
    </row>
    <row r="1476" spans="1:11" x14ac:dyDescent="0.35">
      <c r="A1476" s="9" t="str">
        <f>HYPERLINK("http://www.ensembl.org/id/WBGene00198358", "WBGene00198358")</f>
        <v>WBGene00198358</v>
      </c>
      <c r="B1476" s="9"/>
      <c r="C1476" s="9"/>
      <c r="D1476" t="str">
        <f>"F02E8.8"</f>
        <v>F02E8.8</v>
      </c>
      <c r="F1476" t="s">
        <v>481</v>
      </c>
      <c r="H1476" s="12">
        <v>3.6645215954135</v>
      </c>
      <c r="I1476" s="11">
        <v>0.37967131826092498</v>
      </c>
      <c r="J1476" s="10">
        <v>0.70418941338960395</v>
      </c>
      <c r="K1476" s="29">
        <v>0.98289565623980701</v>
      </c>
    </row>
    <row r="1477" spans="1:11" x14ac:dyDescent="0.35">
      <c r="A1477" s="9" t="str">
        <f>HYPERLINK("http://www.ensembl.org/id/WBGene00198430", "WBGene00198430")</f>
        <v>WBGene00198430</v>
      </c>
      <c r="B1477" s="9"/>
      <c r="C1477" s="9"/>
      <c r="D1477" t="str">
        <f>"F08G5.14"</f>
        <v>F08G5.14</v>
      </c>
      <c r="F1477" t="s">
        <v>481</v>
      </c>
      <c r="H1477" s="12">
        <v>3.6645215954135</v>
      </c>
      <c r="I1477" s="11">
        <v>0.37967131826092498</v>
      </c>
      <c r="J1477" s="10">
        <v>0.70418941338960395</v>
      </c>
      <c r="K1477" s="29">
        <v>0.98289565623980701</v>
      </c>
    </row>
    <row r="1478" spans="1:11" x14ac:dyDescent="0.35">
      <c r="A1478" s="9" t="str">
        <f>HYPERLINK("http://www.ensembl.org/id/WBGene00303113", "WBGene00303113")</f>
        <v>WBGene00303113</v>
      </c>
      <c r="B1478" s="9"/>
      <c r="C1478" s="9"/>
      <c r="D1478" t="str">
        <f>"F09A5.15"</f>
        <v>F09A5.15</v>
      </c>
      <c r="F1478" t="s">
        <v>1486</v>
      </c>
      <c r="H1478" s="12">
        <v>3.6645215954135</v>
      </c>
      <c r="I1478" s="11">
        <v>0.37967131826092498</v>
      </c>
      <c r="J1478" s="10">
        <v>0.70418941338960395</v>
      </c>
      <c r="K1478" s="29">
        <v>0.98289565623980701</v>
      </c>
    </row>
    <row r="1479" spans="1:11" x14ac:dyDescent="0.35">
      <c r="A1479" s="9" t="str">
        <f>HYPERLINK("http://www.ensembl.org/id/WBGene00200939", "WBGene00200939")</f>
        <v>WBGene00200939</v>
      </c>
      <c r="B1479" s="9"/>
      <c r="C1479" s="9"/>
      <c r="D1479" t="str">
        <f>"F10F2.15"</f>
        <v>F10F2.15</v>
      </c>
      <c r="F1479" t="s">
        <v>481</v>
      </c>
      <c r="H1479" s="12">
        <v>3.6645215954135</v>
      </c>
      <c r="I1479" s="11">
        <v>0.37967131826092498</v>
      </c>
      <c r="J1479" s="10">
        <v>0.70418941338960395</v>
      </c>
      <c r="K1479" s="29">
        <v>0.98289565623980701</v>
      </c>
    </row>
    <row r="1480" spans="1:11" x14ac:dyDescent="0.35">
      <c r="A1480" s="9" t="str">
        <f>HYPERLINK("http://www.ensembl.org/id/WBGene00201981", "WBGene00201981")</f>
        <v>WBGene00201981</v>
      </c>
      <c r="B1480" s="9"/>
      <c r="C1480" s="9"/>
      <c r="D1480" t="str">
        <f>"F10F2.16"</f>
        <v>F10F2.16</v>
      </c>
      <c r="F1480" t="s">
        <v>481</v>
      </c>
      <c r="H1480" s="12">
        <v>3.6645215954135</v>
      </c>
      <c r="I1480" s="11">
        <v>0.37967131826092498</v>
      </c>
      <c r="J1480" s="10">
        <v>0.70418941338960395</v>
      </c>
      <c r="K1480" s="29">
        <v>0.98289565623980701</v>
      </c>
    </row>
    <row r="1481" spans="1:11" x14ac:dyDescent="0.35">
      <c r="A1481" s="9" t="str">
        <f>HYPERLINK("http://www.ensembl.org/id/WBGene00017455", "WBGene00017455")</f>
        <v>WBGene00017455</v>
      </c>
      <c r="B1481" s="9" t="str">
        <f>HYPERLINK("http://www.ncbi.nlm.nih.gov/gene/184458", "184458")</f>
        <v>184458</v>
      </c>
      <c r="C1481" s="9"/>
      <c r="D1481" t="str">
        <f>"F14D2.7"</f>
        <v>F14D2.7</v>
      </c>
      <c r="F1481" t="s">
        <v>11</v>
      </c>
      <c r="H1481" s="12">
        <v>3.6645215954135</v>
      </c>
      <c r="I1481" s="11">
        <v>0.37967131826092498</v>
      </c>
      <c r="J1481" s="10">
        <v>0.70418941338960395</v>
      </c>
      <c r="K1481" s="29">
        <v>0.98289565623980701</v>
      </c>
    </row>
    <row r="1482" spans="1:11" x14ac:dyDescent="0.35">
      <c r="A1482" s="9" t="str">
        <f>HYPERLINK("http://www.ensembl.org/id/WBGene00200138", "WBGene00200138")</f>
        <v>WBGene00200138</v>
      </c>
      <c r="B1482" s="9"/>
      <c r="C1482" s="9"/>
      <c r="D1482" t="str">
        <f>"F15A8.11"</f>
        <v>F15A8.11</v>
      </c>
      <c r="F1482" t="s">
        <v>481</v>
      </c>
      <c r="H1482" s="12">
        <v>3.6645215954135</v>
      </c>
      <c r="I1482" s="11">
        <v>0.37967131826092498</v>
      </c>
      <c r="J1482" s="10">
        <v>0.70418941338960395</v>
      </c>
      <c r="K1482" s="29">
        <v>0.98289565623980701</v>
      </c>
    </row>
    <row r="1483" spans="1:11" x14ac:dyDescent="0.35">
      <c r="A1483" s="9" t="str">
        <f>HYPERLINK("http://www.ensembl.org/id/WBGene00200365", "WBGene00200365")</f>
        <v>WBGene00200365</v>
      </c>
      <c r="B1483" s="9"/>
      <c r="C1483" s="9"/>
      <c r="D1483" t="str">
        <f>"F16A11.8"</f>
        <v>F16A11.8</v>
      </c>
      <c r="F1483" t="s">
        <v>481</v>
      </c>
      <c r="H1483" s="12">
        <v>3.6645215954135</v>
      </c>
      <c r="I1483" s="11">
        <v>0.37967131826092498</v>
      </c>
      <c r="J1483" s="10">
        <v>0.70418941338960395</v>
      </c>
      <c r="K1483" s="29">
        <v>0.98289565623980701</v>
      </c>
    </row>
    <row r="1484" spans="1:11" x14ac:dyDescent="0.35">
      <c r="A1484" s="9" t="str">
        <f>HYPERLINK("http://www.ensembl.org/id/WBGene00197909", "WBGene00197909")</f>
        <v>WBGene00197909</v>
      </c>
      <c r="B1484" s="9"/>
      <c r="C1484" s="9"/>
      <c r="D1484" t="str">
        <f>"F18A11.9"</f>
        <v>F18A11.9</v>
      </c>
      <c r="F1484" t="s">
        <v>481</v>
      </c>
      <c r="H1484" s="12">
        <v>3.6645215954135</v>
      </c>
      <c r="I1484" s="11">
        <v>0.37967131826092498</v>
      </c>
      <c r="J1484" s="10">
        <v>0.70418941338960395</v>
      </c>
      <c r="K1484" s="29">
        <v>0.98289565623980701</v>
      </c>
    </row>
    <row r="1485" spans="1:11" x14ac:dyDescent="0.35">
      <c r="A1485" s="9" t="str">
        <f>HYPERLINK("http://www.ensembl.org/id/WBGene00195750", "WBGene00195750")</f>
        <v>WBGene00195750</v>
      </c>
      <c r="B1485" s="9"/>
      <c r="C1485" s="9"/>
      <c r="D1485" t="str">
        <f>"F18E2.7"</f>
        <v>F18E2.7</v>
      </c>
      <c r="F1485" t="s">
        <v>481</v>
      </c>
      <c r="H1485" s="12">
        <v>3.6645215954135</v>
      </c>
      <c r="I1485" s="11">
        <v>0.37967131826092498</v>
      </c>
      <c r="J1485" s="10">
        <v>0.70418941338960395</v>
      </c>
      <c r="K1485" s="29">
        <v>0.98289565623980701</v>
      </c>
    </row>
    <row r="1486" spans="1:11" x14ac:dyDescent="0.35">
      <c r="A1486" s="9" t="str">
        <f>HYPERLINK("http://www.ensembl.org/id/WBGene00199420", "WBGene00199420")</f>
        <v>WBGene00199420</v>
      </c>
      <c r="B1486" s="9"/>
      <c r="C1486" s="9"/>
      <c r="D1486" t="str">
        <f>"F21C10.16"</f>
        <v>F21C10.16</v>
      </c>
      <c r="F1486" t="s">
        <v>481</v>
      </c>
      <c r="H1486" s="12">
        <v>3.6645215954135</v>
      </c>
      <c r="I1486" s="11">
        <v>0.37967131826092498</v>
      </c>
      <c r="J1486" s="10">
        <v>0.70418941338960395</v>
      </c>
      <c r="K1486" s="29">
        <v>0.98289565623980701</v>
      </c>
    </row>
    <row r="1487" spans="1:11" x14ac:dyDescent="0.35">
      <c r="A1487" s="9" t="str">
        <f>HYPERLINK("http://www.ensembl.org/id/WBGene00195788", "WBGene00195788")</f>
        <v>WBGene00195788</v>
      </c>
      <c r="B1487" s="9"/>
      <c r="C1487" s="9"/>
      <c r="D1487" t="str">
        <f>"F25D1.9"</f>
        <v>F25D1.9</v>
      </c>
      <c r="F1487" t="s">
        <v>481</v>
      </c>
      <c r="H1487" s="12">
        <v>3.6645215954135</v>
      </c>
      <c r="I1487" s="11">
        <v>0.37967131826092498</v>
      </c>
      <c r="J1487" s="10">
        <v>0.70418941338960395</v>
      </c>
      <c r="K1487" s="29">
        <v>0.98289565623980701</v>
      </c>
    </row>
    <row r="1488" spans="1:11" x14ac:dyDescent="0.35">
      <c r="A1488" s="9" t="str">
        <f>HYPERLINK("http://www.ensembl.org/id/WBGene00198947", "WBGene00198947")</f>
        <v>WBGene00198947</v>
      </c>
      <c r="B1488" s="9"/>
      <c r="C1488" s="9"/>
      <c r="D1488" t="str">
        <f>"F26A10.18"</f>
        <v>F26A10.18</v>
      </c>
      <c r="F1488" t="s">
        <v>481</v>
      </c>
      <c r="H1488" s="12">
        <v>3.6645215954135</v>
      </c>
      <c r="I1488" s="11">
        <v>0.37967131826092498</v>
      </c>
      <c r="J1488" s="10">
        <v>0.70418941338960395</v>
      </c>
      <c r="K1488" s="29">
        <v>0.98289565623980701</v>
      </c>
    </row>
    <row r="1489" spans="1:11" x14ac:dyDescent="0.35">
      <c r="A1489" s="9" t="str">
        <f>HYPERLINK("http://www.ensembl.org/id/WBGene00219923", "WBGene00219923")</f>
        <v>WBGene00219923</v>
      </c>
      <c r="B1489" s="9"/>
      <c r="C1489" s="9"/>
      <c r="D1489" t="str">
        <f>"F28D9.6"</f>
        <v>F28D9.6</v>
      </c>
      <c r="F1489" t="s">
        <v>2977</v>
      </c>
      <c r="H1489" s="12">
        <v>3.6645215954135</v>
      </c>
      <c r="I1489" s="11">
        <v>0.37967131826092498</v>
      </c>
      <c r="J1489" s="10">
        <v>0.70418941338960395</v>
      </c>
      <c r="K1489" s="29">
        <v>0.98289565623980701</v>
      </c>
    </row>
    <row r="1490" spans="1:11" x14ac:dyDescent="0.35">
      <c r="A1490" s="9" t="str">
        <f>HYPERLINK("http://www.ensembl.org/id/WBGene00017913", "WBGene00017913")</f>
        <v>WBGene00017913</v>
      </c>
      <c r="B1490" s="9" t="str">
        <f>HYPERLINK("http://www.ncbi.nlm.nih.gov/gene/185103", "185103")</f>
        <v>185103</v>
      </c>
      <c r="C1490" s="9"/>
      <c r="D1490" t="str">
        <f>"F29A7.3"</f>
        <v>F29A7.3</v>
      </c>
      <c r="F1490" t="s">
        <v>11</v>
      </c>
      <c r="H1490" s="12">
        <v>3.6645215954135</v>
      </c>
      <c r="I1490" s="11">
        <v>0.37967131826092498</v>
      </c>
      <c r="J1490" s="10">
        <v>0.70418941338960395</v>
      </c>
      <c r="K1490" s="29">
        <v>0.98289565623980701</v>
      </c>
    </row>
    <row r="1491" spans="1:11" x14ac:dyDescent="0.35">
      <c r="A1491" s="9" t="str">
        <f>HYPERLINK("http://www.ensembl.org/id/WBGene00009248", "WBGene00009248")</f>
        <v>WBGene00009248</v>
      </c>
      <c r="B1491" s="9" t="str">
        <f>HYPERLINK("http://www.ncbi.nlm.nih.gov/gene/185116", "185116")</f>
        <v>185116</v>
      </c>
      <c r="C1491" s="9"/>
      <c r="D1491" t="str">
        <f>"F29C12.6"</f>
        <v>F29C12.6</v>
      </c>
      <c r="F1491" t="s">
        <v>11</v>
      </c>
      <c r="H1491" s="12">
        <v>3.6645215954135</v>
      </c>
      <c r="I1491" s="11">
        <v>0.37967131826092498</v>
      </c>
      <c r="J1491" s="10">
        <v>0.70418941338960395</v>
      </c>
      <c r="K1491" s="29">
        <v>0.98289565623980701</v>
      </c>
    </row>
    <row r="1492" spans="1:11" x14ac:dyDescent="0.35">
      <c r="A1492" s="9" t="str">
        <f>HYPERLINK("http://www.ensembl.org/id/WBGene00198268", "WBGene00198268")</f>
        <v>WBGene00198268</v>
      </c>
      <c r="B1492" s="9"/>
      <c r="C1492" s="9"/>
      <c r="D1492" t="str">
        <f>"F31E8.14"</f>
        <v>F31E8.14</v>
      </c>
      <c r="F1492" t="s">
        <v>481</v>
      </c>
      <c r="H1492" s="12">
        <v>3.6645215954135</v>
      </c>
      <c r="I1492" s="11">
        <v>0.37967131826092498</v>
      </c>
      <c r="J1492" s="10">
        <v>0.70418941338960395</v>
      </c>
      <c r="K1492" s="29">
        <v>0.98289565623980701</v>
      </c>
    </row>
    <row r="1493" spans="1:11" x14ac:dyDescent="0.35">
      <c r="A1493" s="9" t="str">
        <f>HYPERLINK("http://www.ensembl.org/id/WBGene00018000", "WBGene00018000")</f>
        <v>WBGene00018000</v>
      </c>
      <c r="B1493" s="9" t="str">
        <f>HYPERLINK("http://www.ncbi.nlm.nih.gov/gene/185224", "185224")</f>
        <v>185224</v>
      </c>
      <c r="C1493" s="9"/>
      <c r="D1493" t="str">
        <f>"F33D11.1"</f>
        <v>F33D11.1</v>
      </c>
      <c r="F1493" t="s">
        <v>11</v>
      </c>
      <c r="G1493" t="s">
        <v>4204</v>
      </c>
      <c r="H1493" s="12">
        <v>3.6645215954135</v>
      </c>
      <c r="I1493" s="11">
        <v>0.37967131826092498</v>
      </c>
      <c r="J1493" s="10">
        <v>0.70418941338960395</v>
      </c>
      <c r="K1493" s="29">
        <v>0.98289565623980701</v>
      </c>
    </row>
    <row r="1494" spans="1:11" x14ac:dyDescent="0.35">
      <c r="A1494" s="9" t="str">
        <f>HYPERLINK("http://www.ensembl.org/id/WBGene00201428", "WBGene00201428")</f>
        <v>WBGene00201428</v>
      </c>
      <c r="B1494" s="9"/>
      <c r="C1494" s="9"/>
      <c r="D1494" t="str">
        <f>"F33H1.9"</f>
        <v>F33H1.9</v>
      </c>
      <c r="F1494" t="s">
        <v>481</v>
      </c>
      <c r="H1494" s="12">
        <v>3.6645215954135</v>
      </c>
      <c r="I1494" s="11">
        <v>0.37967131826092498</v>
      </c>
      <c r="J1494" s="10">
        <v>0.70418941338960395</v>
      </c>
      <c r="K1494" s="29">
        <v>0.98289565623980701</v>
      </c>
    </row>
    <row r="1495" spans="1:11" x14ac:dyDescent="0.35">
      <c r="A1495" s="9" t="str">
        <f>HYPERLINK("http://www.ensembl.org/id/WBGene00018020", "WBGene00018020")</f>
        <v>WBGene00018020</v>
      </c>
      <c r="B1495" s="9" t="str">
        <f>HYPERLINK("http://www.ncbi.nlm.nih.gov/gene/185240", "185240")</f>
        <v>185240</v>
      </c>
      <c r="C1495" s="9"/>
      <c r="D1495" t="str">
        <f>"F33H12.6"</f>
        <v>F33H12.6</v>
      </c>
      <c r="E1495" t="s">
        <v>4233</v>
      </c>
      <c r="F1495" t="s">
        <v>11</v>
      </c>
      <c r="G1495" t="s">
        <v>4234</v>
      </c>
      <c r="H1495" s="12">
        <v>3.6645215954135</v>
      </c>
      <c r="I1495" s="11">
        <v>0.37967131826092498</v>
      </c>
      <c r="J1495" s="10">
        <v>0.70418941338960395</v>
      </c>
      <c r="K1495" s="29">
        <v>0.98289565623980701</v>
      </c>
    </row>
    <row r="1496" spans="1:11" x14ac:dyDescent="0.35">
      <c r="A1496" s="9" t="str">
        <f>HYPERLINK("http://www.ensembl.org/id/WBGene00199727", "WBGene00199727")</f>
        <v>WBGene00199727</v>
      </c>
      <c r="B1496" s="9"/>
      <c r="C1496" s="9"/>
      <c r="D1496" t="str">
        <f>"F35A5.13"</f>
        <v>F35A5.13</v>
      </c>
      <c r="F1496" t="s">
        <v>481</v>
      </c>
      <c r="H1496" s="12">
        <v>3.6645215954135</v>
      </c>
      <c r="I1496" s="11">
        <v>0.37967131826092498</v>
      </c>
      <c r="J1496" s="10">
        <v>0.70418941338960395</v>
      </c>
      <c r="K1496" s="29">
        <v>0.98289565623980701</v>
      </c>
    </row>
    <row r="1497" spans="1:11" x14ac:dyDescent="0.35">
      <c r="A1497" s="9" t="str">
        <f>HYPERLINK("http://www.ensembl.org/id/WBGene00202477", "WBGene00202477")</f>
        <v>WBGene00202477</v>
      </c>
      <c r="B1497" s="9"/>
      <c r="C1497" s="9"/>
      <c r="D1497" t="str">
        <f>"F35C11.13"</f>
        <v>F35C11.13</v>
      </c>
      <c r="F1497" t="s">
        <v>481</v>
      </c>
      <c r="H1497" s="12">
        <v>3.6645215954135</v>
      </c>
      <c r="I1497" s="11">
        <v>0.37967131826092498</v>
      </c>
      <c r="J1497" s="10">
        <v>0.70418941338960395</v>
      </c>
      <c r="K1497" s="29">
        <v>0.98289565623980701</v>
      </c>
    </row>
    <row r="1498" spans="1:11" x14ac:dyDescent="0.35">
      <c r="A1498" s="9" t="str">
        <f>HYPERLINK("http://www.ensembl.org/id/WBGene00197144", "WBGene00197144")</f>
        <v>WBGene00197144</v>
      </c>
      <c r="B1498" s="9"/>
      <c r="C1498" s="9"/>
      <c r="D1498" t="str">
        <f>"F38H4.12"</f>
        <v>F38H4.12</v>
      </c>
      <c r="F1498" t="s">
        <v>481</v>
      </c>
      <c r="H1498" s="12">
        <v>3.6645215954135</v>
      </c>
      <c r="I1498" s="11">
        <v>0.37967131826092498</v>
      </c>
      <c r="J1498" s="10">
        <v>0.70418941338960395</v>
      </c>
      <c r="K1498" s="29">
        <v>0.98289565623980701</v>
      </c>
    </row>
    <row r="1499" spans="1:11" x14ac:dyDescent="0.35">
      <c r="A1499" s="9" t="str">
        <f>HYPERLINK("http://www.ensembl.org/id/WBGene00199360", "WBGene00199360")</f>
        <v>WBGene00199360</v>
      </c>
      <c r="B1499" s="9"/>
      <c r="C1499" s="9"/>
      <c r="D1499" t="str">
        <f>"F44E5.10"</f>
        <v>F44E5.10</v>
      </c>
      <c r="F1499" t="s">
        <v>481</v>
      </c>
      <c r="H1499" s="12">
        <v>3.6645215954135</v>
      </c>
      <c r="I1499" s="11">
        <v>0.37967131826092498</v>
      </c>
      <c r="J1499" s="10">
        <v>0.70418941338960395</v>
      </c>
      <c r="K1499" s="29">
        <v>0.98289565623980701</v>
      </c>
    </row>
    <row r="1500" spans="1:11" x14ac:dyDescent="0.35">
      <c r="A1500" s="9" t="str">
        <f>HYPERLINK("http://www.ensembl.org/id/WBGene00195243", "WBGene00195243")</f>
        <v>WBGene00195243</v>
      </c>
      <c r="B1500" s="9" t="str">
        <f>HYPERLINK("http://www.ncbi.nlm.nih.gov/gene/13218874", "13218874")</f>
        <v>13218874</v>
      </c>
      <c r="C1500" s="9"/>
      <c r="D1500" t="str">
        <f>"F46B3.23"</f>
        <v>F46B3.23</v>
      </c>
      <c r="F1500" t="s">
        <v>11</v>
      </c>
      <c r="G1500" t="s">
        <v>25</v>
      </c>
      <c r="H1500" s="12">
        <v>3.6645215954135</v>
      </c>
      <c r="I1500" s="11">
        <v>0.37967131826092498</v>
      </c>
      <c r="J1500" s="10">
        <v>0.70418941338960395</v>
      </c>
      <c r="K1500" s="29">
        <v>0.98289565623980701</v>
      </c>
    </row>
    <row r="1501" spans="1:11" x14ac:dyDescent="0.35">
      <c r="A1501" s="9" t="str">
        <f>HYPERLINK("http://www.ensembl.org/id/WBGene00200722", "WBGene00200722")</f>
        <v>WBGene00200722</v>
      </c>
      <c r="B1501" s="9"/>
      <c r="C1501" s="9"/>
      <c r="D1501" t="str">
        <f>"F47B7.15"</f>
        <v>F47B7.15</v>
      </c>
      <c r="F1501" t="s">
        <v>481</v>
      </c>
      <c r="H1501" s="12">
        <v>3.6645215954135</v>
      </c>
      <c r="I1501" s="11">
        <v>0.37967131826092498</v>
      </c>
      <c r="J1501" s="10">
        <v>0.70418941338960395</v>
      </c>
      <c r="K1501" s="29">
        <v>0.98289565623980701</v>
      </c>
    </row>
    <row r="1502" spans="1:11" x14ac:dyDescent="0.35">
      <c r="A1502" s="9" t="str">
        <f>HYPERLINK("http://www.ensembl.org/id/WBGene00198777", "WBGene00198777")</f>
        <v>WBGene00198777</v>
      </c>
      <c r="B1502" s="9"/>
      <c r="C1502" s="9"/>
      <c r="D1502" t="str">
        <f>"F54C9.17"</f>
        <v>F54C9.17</v>
      </c>
      <c r="F1502" t="s">
        <v>481</v>
      </c>
      <c r="H1502" s="12">
        <v>3.6645215954135</v>
      </c>
      <c r="I1502" s="11">
        <v>0.37967131826092498</v>
      </c>
      <c r="J1502" s="10">
        <v>0.70418941338960395</v>
      </c>
      <c r="K1502" s="29">
        <v>0.98289565623980701</v>
      </c>
    </row>
    <row r="1503" spans="1:11" x14ac:dyDescent="0.35">
      <c r="A1503" s="9" t="str">
        <f>HYPERLINK("http://www.ensembl.org/id/WBGene00196618", "WBGene00196618")</f>
        <v>WBGene00196618</v>
      </c>
      <c r="B1503" s="9"/>
      <c r="C1503" s="9"/>
      <c r="D1503" t="str">
        <f>"F59D12.9"</f>
        <v>F59D12.9</v>
      </c>
      <c r="F1503" t="s">
        <v>481</v>
      </c>
      <c r="H1503" s="12">
        <v>3.6645215954135</v>
      </c>
      <c r="I1503" s="11">
        <v>0.37967131826092498</v>
      </c>
      <c r="J1503" s="10">
        <v>0.70418941338960395</v>
      </c>
      <c r="K1503" s="29">
        <v>0.98289565623980701</v>
      </c>
    </row>
    <row r="1504" spans="1:11" x14ac:dyDescent="0.35">
      <c r="A1504" s="9" t="str">
        <f>HYPERLINK("http://www.ensembl.org/id/WBGene00001642", "WBGene00001642")</f>
        <v>WBGene00001642</v>
      </c>
      <c r="B1504" s="9" t="str">
        <f>HYPERLINK("http://www.ncbi.nlm.nih.gov/gene/173108", "173108")</f>
        <v>173108</v>
      </c>
      <c r="C1504" s="9" t="str">
        <f>HYPERLINK("http://www.ncbi.nlm.nih.gov/gene/9245", "9245")</f>
        <v>9245</v>
      </c>
      <c r="D1504" t="str">
        <f>"gly-17"</f>
        <v>gly-17</v>
      </c>
      <c r="E1504" t="s">
        <v>2973</v>
      </c>
      <c r="F1504" t="s">
        <v>11</v>
      </c>
      <c r="G1504" t="s">
        <v>4298</v>
      </c>
      <c r="H1504" s="12">
        <v>3.6645215954135</v>
      </c>
      <c r="I1504" s="11">
        <v>0.37967131826092498</v>
      </c>
      <c r="J1504" s="10">
        <v>0.70418941338960395</v>
      </c>
      <c r="K1504" s="29">
        <v>0.98289565623980701</v>
      </c>
    </row>
    <row r="1505" spans="1:11" x14ac:dyDescent="0.35">
      <c r="A1505" s="9" t="str">
        <f>HYPERLINK("http://www.ensembl.org/id/WBGene00197469", "WBGene00197469")</f>
        <v>WBGene00197469</v>
      </c>
      <c r="B1505" s="9"/>
      <c r="C1505" s="9"/>
      <c r="D1505" t="str">
        <f>"H16O14.77"</f>
        <v>H16O14.77</v>
      </c>
      <c r="F1505" t="s">
        <v>481</v>
      </c>
      <c r="H1505" s="12">
        <v>3.6645215954135</v>
      </c>
      <c r="I1505" s="11">
        <v>0.37967131826092498</v>
      </c>
      <c r="J1505" s="10">
        <v>0.70418941338960395</v>
      </c>
      <c r="K1505" s="29">
        <v>0.98289565623980701</v>
      </c>
    </row>
    <row r="1506" spans="1:11" x14ac:dyDescent="0.35">
      <c r="A1506" s="9" t="str">
        <f>HYPERLINK("http://www.ensembl.org/id/WBGene00200786", "WBGene00200786")</f>
        <v>WBGene00200786</v>
      </c>
      <c r="B1506" s="9"/>
      <c r="C1506" s="9"/>
      <c r="D1506" t="str">
        <f>"H36N01.4"</f>
        <v>H36N01.4</v>
      </c>
      <c r="F1506" t="s">
        <v>481</v>
      </c>
      <c r="H1506" s="12">
        <v>3.6645215954135</v>
      </c>
      <c r="I1506" s="11">
        <v>0.37967131826092498</v>
      </c>
      <c r="J1506" s="10">
        <v>0.70418941338960395</v>
      </c>
      <c r="K1506" s="29">
        <v>0.98289565623980701</v>
      </c>
    </row>
    <row r="1507" spans="1:11" x14ac:dyDescent="0.35">
      <c r="A1507" s="9" t="str">
        <f>HYPERLINK("http://www.ensembl.org/id/WBGene00019038", "WBGene00019038")</f>
        <v>WBGene00019038</v>
      </c>
      <c r="B1507" s="9" t="str">
        <f>HYPERLINK("http://www.ncbi.nlm.nih.gov/gene/186512", "186512")</f>
        <v>186512</v>
      </c>
      <c r="C1507" s="9"/>
      <c r="D1507" t="str">
        <f>"irld-37"</f>
        <v>irld-37</v>
      </c>
      <c r="E1507" t="s">
        <v>1627</v>
      </c>
      <c r="F1507" t="s">
        <v>11</v>
      </c>
      <c r="H1507" s="12">
        <v>3.6645215954135</v>
      </c>
      <c r="I1507" s="11">
        <v>0.37967131826092498</v>
      </c>
      <c r="J1507" s="10">
        <v>0.70418941338960395</v>
      </c>
      <c r="K1507" s="29">
        <v>0.98289565623980701</v>
      </c>
    </row>
    <row r="1508" spans="1:11" x14ac:dyDescent="0.35">
      <c r="A1508" s="9" t="str">
        <f>HYPERLINK("http://www.ensembl.org/id/WBGene00196002", "WBGene00196002")</f>
        <v>WBGene00196002</v>
      </c>
      <c r="B1508" s="9"/>
      <c r="C1508" s="9"/>
      <c r="D1508" t="str">
        <f>"K03C7.5"</f>
        <v>K03C7.5</v>
      </c>
      <c r="F1508" t="s">
        <v>481</v>
      </c>
      <c r="H1508" s="12">
        <v>3.6645215954135</v>
      </c>
      <c r="I1508" s="11">
        <v>0.37967131826092498</v>
      </c>
      <c r="J1508" s="10">
        <v>0.70418941338960395</v>
      </c>
      <c r="K1508" s="29">
        <v>0.98289565623980701</v>
      </c>
    </row>
    <row r="1509" spans="1:11" x14ac:dyDescent="0.35">
      <c r="A1509" s="9" t="str">
        <f>HYPERLINK("http://www.ensembl.org/id/WBGene00198394", "WBGene00198394")</f>
        <v>WBGene00198394</v>
      </c>
      <c r="B1509" s="9"/>
      <c r="C1509" s="9"/>
      <c r="D1509" t="str">
        <f>"K04H4.12"</f>
        <v>K04H4.12</v>
      </c>
      <c r="F1509" t="s">
        <v>481</v>
      </c>
      <c r="H1509" s="12">
        <v>3.6645215954135</v>
      </c>
      <c r="I1509" s="11">
        <v>0.37967131826092498</v>
      </c>
      <c r="J1509" s="10">
        <v>0.70418941338960395</v>
      </c>
      <c r="K1509" s="29">
        <v>0.98289565623980701</v>
      </c>
    </row>
    <row r="1510" spans="1:11" x14ac:dyDescent="0.35">
      <c r="A1510" s="9" t="str">
        <f>HYPERLINK("http://www.ensembl.org/id/WBGene00269420", "WBGene00269420")</f>
        <v>WBGene00269420</v>
      </c>
      <c r="B1510" s="9"/>
      <c r="C1510" s="9"/>
      <c r="D1510" t="str">
        <f>"K05F6.16"</f>
        <v>K05F6.16</v>
      </c>
      <c r="F1510" t="s">
        <v>80</v>
      </c>
      <c r="H1510" s="12">
        <v>3.6645215954135</v>
      </c>
      <c r="I1510" s="11">
        <v>0.37967131826092498</v>
      </c>
      <c r="J1510" s="10">
        <v>0.70418941338960395</v>
      </c>
      <c r="K1510" s="29">
        <v>0.98289565623980701</v>
      </c>
    </row>
    <row r="1511" spans="1:11" x14ac:dyDescent="0.35">
      <c r="A1511" s="9" t="str">
        <f>HYPERLINK("http://www.ensembl.org/id/WBGene00019562", "WBGene00019562")</f>
        <v>WBGene00019562</v>
      </c>
      <c r="B1511" s="9" t="str">
        <f>HYPERLINK("http://www.ncbi.nlm.nih.gov/gene/178590", "178590")</f>
        <v>178590</v>
      </c>
      <c r="C1511" s="9"/>
      <c r="D1511" t="str">
        <f>"K09C6.8"</f>
        <v>K09C6.8</v>
      </c>
      <c r="F1511" t="s">
        <v>11</v>
      </c>
      <c r="G1511" t="s">
        <v>4294</v>
      </c>
      <c r="H1511" s="12">
        <v>3.6645215954135</v>
      </c>
      <c r="I1511" s="11">
        <v>0.37967131826092498</v>
      </c>
      <c r="J1511" s="10">
        <v>0.70418941338960395</v>
      </c>
      <c r="K1511" s="29">
        <v>0.98289565623980701</v>
      </c>
    </row>
    <row r="1512" spans="1:11" x14ac:dyDescent="0.35">
      <c r="A1512" s="9" t="str">
        <f>HYPERLINK("http://www.ensembl.org/id/WBGene00196743", "WBGene00196743")</f>
        <v>WBGene00196743</v>
      </c>
      <c r="B1512" s="9"/>
      <c r="C1512" s="9"/>
      <c r="D1512" t="str">
        <f>"K10C3.9"</f>
        <v>K10C3.9</v>
      </c>
      <c r="F1512" t="s">
        <v>481</v>
      </c>
      <c r="H1512" s="12">
        <v>3.6645215954135</v>
      </c>
      <c r="I1512" s="11">
        <v>0.37967131826092498</v>
      </c>
      <c r="J1512" s="10">
        <v>0.70418941338960395</v>
      </c>
      <c r="K1512" s="29">
        <v>0.98289565623980701</v>
      </c>
    </row>
    <row r="1513" spans="1:11" x14ac:dyDescent="0.35">
      <c r="A1513" s="9" t="str">
        <f>HYPERLINK("http://www.ensembl.org/id/WBGene00219628", "WBGene00219628")</f>
        <v>WBGene00219628</v>
      </c>
      <c r="B1513" s="9"/>
      <c r="C1513" s="9"/>
      <c r="D1513" t="str">
        <f>"linc-161"</f>
        <v>linc-161</v>
      </c>
      <c r="F1513" t="s">
        <v>1510</v>
      </c>
      <c r="H1513" s="12">
        <v>3.6645215954135</v>
      </c>
      <c r="I1513" s="11">
        <v>0.37967131826092498</v>
      </c>
      <c r="J1513" s="10">
        <v>0.70418941338960395</v>
      </c>
      <c r="K1513" s="29">
        <v>0.98289565623980701</v>
      </c>
    </row>
    <row r="1514" spans="1:11" x14ac:dyDescent="0.35">
      <c r="A1514" s="9" t="str">
        <f>HYPERLINK("http://www.ensembl.org/id/WBGene00003312", "WBGene00003312")</f>
        <v>WBGene00003312</v>
      </c>
      <c r="B1514" s="9"/>
      <c r="C1514" s="9"/>
      <c r="D1514" t="str">
        <f>"mir-84"</f>
        <v>mir-84</v>
      </c>
      <c r="F1514" t="s">
        <v>1486</v>
      </c>
      <c r="H1514" s="12">
        <v>3.6645215954135</v>
      </c>
      <c r="I1514" s="11">
        <v>0.37967131826092498</v>
      </c>
      <c r="J1514" s="10">
        <v>0.70418941338960395</v>
      </c>
      <c r="K1514" s="29">
        <v>0.98289565623980701</v>
      </c>
    </row>
    <row r="1515" spans="1:11" x14ac:dyDescent="0.35">
      <c r="A1515" s="9" t="str">
        <f>HYPERLINK("http://www.ensembl.org/id/WBGene00199291", "WBGene00199291")</f>
        <v>WBGene00199291</v>
      </c>
      <c r="B1515" s="9"/>
      <c r="C1515" s="9"/>
      <c r="D1515" t="str">
        <f>"R02D5.15"</f>
        <v>R02D5.15</v>
      </c>
      <c r="F1515" t="s">
        <v>481</v>
      </c>
      <c r="H1515" s="12">
        <v>3.6645215954135</v>
      </c>
      <c r="I1515" s="11">
        <v>0.37967131826092498</v>
      </c>
      <c r="J1515" s="10">
        <v>0.70418941338960395</v>
      </c>
      <c r="K1515" s="29">
        <v>0.98289565623980701</v>
      </c>
    </row>
    <row r="1516" spans="1:11" x14ac:dyDescent="0.35">
      <c r="A1516" s="9" t="str">
        <f>HYPERLINK("http://www.ensembl.org/id/WBGene00199879", "WBGene00199879")</f>
        <v>WBGene00199879</v>
      </c>
      <c r="B1516" s="9"/>
      <c r="C1516" s="9"/>
      <c r="D1516" t="str">
        <f>"R04F11.22"</f>
        <v>R04F11.22</v>
      </c>
      <c r="F1516" t="s">
        <v>481</v>
      </c>
      <c r="H1516" s="12">
        <v>3.6645215954135</v>
      </c>
      <c r="I1516" s="11">
        <v>0.37967131826092498</v>
      </c>
      <c r="J1516" s="10">
        <v>0.70418941338960395</v>
      </c>
      <c r="K1516" s="29">
        <v>0.98289565623980701</v>
      </c>
    </row>
    <row r="1517" spans="1:11" x14ac:dyDescent="0.35">
      <c r="A1517" s="9" t="str">
        <f>HYPERLINK("http://www.ensembl.org/id/WBGene00195795", "WBGene00195795")</f>
        <v>WBGene00195795</v>
      </c>
      <c r="B1517" s="9"/>
      <c r="C1517" s="9"/>
      <c r="D1517" t="str">
        <f>"R07E4.7"</f>
        <v>R07E4.7</v>
      </c>
      <c r="F1517" t="s">
        <v>481</v>
      </c>
      <c r="H1517" s="12">
        <v>3.6645215954135</v>
      </c>
      <c r="I1517" s="11">
        <v>0.37967131826092498</v>
      </c>
      <c r="J1517" s="10">
        <v>0.70418941338960395</v>
      </c>
      <c r="K1517" s="29">
        <v>0.98289565623980701</v>
      </c>
    </row>
    <row r="1518" spans="1:11" x14ac:dyDescent="0.35">
      <c r="A1518" s="9" t="str">
        <f>HYPERLINK("http://www.ensembl.org/id/WBGene00016685", "WBGene00016685")</f>
        <v>WBGene00016685</v>
      </c>
      <c r="B1518" s="9" t="str">
        <f>HYPERLINK("http://www.ncbi.nlm.nih.gov/gene/183483", "183483")</f>
        <v>183483</v>
      </c>
      <c r="C1518" s="9"/>
      <c r="D1518" t="str">
        <f>"srbc-16"</f>
        <v>srbc-16</v>
      </c>
      <c r="E1518" t="s">
        <v>3034</v>
      </c>
      <c r="F1518" t="s">
        <v>11</v>
      </c>
      <c r="G1518" t="s">
        <v>25</v>
      </c>
      <c r="H1518" s="12">
        <v>3.6645215954135</v>
      </c>
      <c r="I1518" s="11">
        <v>0.37967131826092498</v>
      </c>
      <c r="J1518" s="10">
        <v>0.70418941338960395</v>
      </c>
      <c r="K1518" s="29">
        <v>0.98289565623980701</v>
      </c>
    </row>
    <row r="1519" spans="1:11" x14ac:dyDescent="0.35">
      <c r="A1519" s="9" t="str">
        <f>HYPERLINK("http://www.ensembl.org/id/WBGene00010021", "WBGene00010021")</f>
        <v>WBGene00010021</v>
      </c>
      <c r="B1519" s="9" t="str">
        <f>HYPERLINK("http://www.ncbi.nlm.nih.gov/gene/186204", "186204")</f>
        <v>186204</v>
      </c>
      <c r="C1519" s="9"/>
      <c r="D1519" t="str">
        <f>"srbc-49"</f>
        <v>srbc-49</v>
      </c>
      <c r="E1519" t="s">
        <v>3034</v>
      </c>
      <c r="F1519" t="s">
        <v>11</v>
      </c>
      <c r="G1519" t="s">
        <v>25</v>
      </c>
      <c r="H1519" s="12">
        <v>3.6645215954135</v>
      </c>
      <c r="I1519" s="11">
        <v>0.37967131826092498</v>
      </c>
      <c r="J1519" s="10">
        <v>0.70418941338960395</v>
      </c>
      <c r="K1519" s="29">
        <v>0.98289565623980701</v>
      </c>
    </row>
    <row r="1520" spans="1:11" x14ac:dyDescent="0.35">
      <c r="A1520" s="9" t="str">
        <f>HYPERLINK("http://www.ensembl.org/id/WBGene00005080", "WBGene00005080")</f>
        <v>WBGene00005080</v>
      </c>
      <c r="B1520" s="9" t="str">
        <f>HYPERLINK("http://www.ncbi.nlm.nih.gov/gene/191795", "191795")</f>
        <v>191795</v>
      </c>
      <c r="C1520" s="9"/>
      <c r="D1520" t="str">
        <f>"srd-2"</f>
        <v>srd-2</v>
      </c>
      <c r="E1520" t="s">
        <v>4296</v>
      </c>
      <c r="F1520" t="s">
        <v>11</v>
      </c>
      <c r="G1520" t="s">
        <v>4297</v>
      </c>
      <c r="H1520" s="12">
        <v>3.6645215954135</v>
      </c>
      <c r="I1520" s="11">
        <v>0.37967131826092498</v>
      </c>
      <c r="J1520" s="10">
        <v>0.70418941338960395</v>
      </c>
      <c r="K1520" s="29">
        <v>0.98289565623980701</v>
      </c>
    </row>
    <row r="1521" spans="1:11" x14ac:dyDescent="0.35">
      <c r="A1521" s="9" t="str">
        <f>HYPERLINK("http://www.ensembl.org/id/WBGene00005300", "WBGene00005300")</f>
        <v>WBGene00005300</v>
      </c>
      <c r="B1521" s="9" t="str">
        <f>HYPERLINK("http://www.ncbi.nlm.nih.gov/gene/191873", "191873")</f>
        <v>191873</v>
      </c>
      <c r="C1521" s="9"/>
      <c r="D1521" t="str">
        <f>"srh-79"</f>
        <v>srh-79</v>
      </c>
      <c r="E1521" t="s">
        <v>153</v>
      </c>
      <c r="F1521" t="s">
        <v>11</v>
      </c>
      <c r="G1521" t="s">
        <v>25</v>
      </c>
      <c r="H1521" s="12">
        <v>3.6645215954135</v>
      </c>
      <c r="I1521" s="11">
        <v>0.37967131826092498</v>
      </c>
      <c r="J1521" s="10">
        <v>0.70418941338960395</v>
      </c>
      <c r="K1521" s="29">
        <v>0.98289565623980701</v>
      </c>
    </row>
    <row r="1522" spans="1:11" x14ac:dyDescent="0.35">
      <c r="A1522" s="9" t="str">
        <f>HYPERLINK("http://www.ensembl.org/id/WBGene00016859", "WBGene00016859")</f>
        <v>WBGene00016859</v>
      </c>
      <c r="B1522" s="9" t="str">
        <f>HYPERLINK("http://www.ncbi.nlm.nih.gov/gene/183701", "183701")</f>
        <v>183701</v>
      </c>
      <c r="C1522" s="9"/>
      <c r="D1522" t="str">
        <f>"srt-5"</f>
        <v>srt-5</v>
      </c>
      <c r="E1522" t="s">
        <v>2845</v>
      </c>
      <c r="F1522" t="s">
        <v>11</v>
      </c>
      <c r="G1522" t="s">
        <v>25</v>
      </c>
      <c r="H1522" s="12">
        <v>3.6645215954135</v>
      </c>
      <c r="I1522" s="11">
        <v>0.37967131826092498</v>
      </c>
      <c r="J1522" s="10">
        <v>0.70418941338960395</v>
      </c>
      <c r="K1522" s="29">
        <v>0.98289565623980701</v>
      </c>
    </row>
    <row r="1523" spans="1:11" x14ac:dyDescent="0.35">
      <c r="A1523" s="9" t="str">
        <f>HYPERLINK("http://www.ensembl.org/id/WBGene00005693", "WBGene00005693")</f>
        <v>WBGene00005693</v>
      </c>
      <c r="B1523" s="9" t="str">
        <f>HYPERLINK("http://www.ncbi.nlm.nih.gov/gene/183646", "183646")</f>
        <v>183646</v>
      </c>
      <c r="C1523" s="9"/>
      <c r="D1523" t="str">
        <f>"sru-30"</f>
        <v>sru-30</v>
      </c>
      <c r="E1523" t="s">
        <v>2653</v>
      </c>
      <c r="F1523" t="s">
        <v>11</v>
      </c>
      <c r="G1523" t="s">
        <v>25</v>
      </c>
      <c r="H1523" s="12">
        <v>3.6645215954135</v>
      </c>
      <c r="I1523" s="11">
        <v>0.37967131826092498</v>
      </c>
      <c r="J1523" s="10">
        <v>0.70418941338960395</v>
      </c>
      <c r="K1523" s="29">
        <v>0.98289565623980701</v>
      </c>
    </row>
    <row r="1524" spans="1:11" x14ac:dyDescent="0.35">
      <c r="A1524" s="9" t="str">
        <f>HYPERLINK("http://www.ensembl.org/id/WBGene00005871", "WBGene00005871")</f>
        <v>WBGene00005871</v>
      </c>
      <c r="B1524" s="9" t="str">
        <f>HYPERLINK("http://www.ncbi.nlm.nih.gov/gene/183440", "183440")</f>
        <v>183440</v>
      </c>
      <c r="C1524" s="9"/>
      <c r="D1524" t="str">
        <f>"srw-124"</f>
        <v>srw-124</v>
      </c>
      <c r="E1524" t="s">
        <v>1014</v>
      </c>
      <c r="F1524" t="s">
        <v>11</v>
      </c>
      <c r="G1524" t="s">
        <v>1015</v>
      </c>
      <c r="H1524" s="12">
        <v>3.6645215954135</v>
      </c>
      <c r="I1524" s="11">
        <v>0.37967131826092498</v>
      </c>
      <c r="J1524" s="10">
        <v>0.70418941338960395</v>
      </c>
      <c r="K1524" s="29">
        <v>0.98289565623980701</v>
      </c>
    </row>
    <row r="1525" spans="1:11" x14ac:dyDescent="0.35">
      <c r="A1525" s="9" t="str">
        <f>HYPERLINK("http://www.ensembl.org/id/WBGene00005787", "WBGene00005787")</f>
        <v>WBGene00005787</v>
      </c>
      <c r="B1525" s="9" t="str">
        <f>HYPERLINK("http://www.ncbi.nlm.nih.gov/gene/190189", "190189")</f>
        <v>190189</v>
      </c>
      <c r="C1525" s="9"/>
      <c r="D1525" t="str">
        <f>"srw-40"</f>
        <v>srw-40</v>
      </c>
      <c r="E1525" t="s">
        <v>1014</v>
      </c>
      <c r="F1525" t="s">
        <v>11</v>
      </c>
      <c r="G1525" t="s">
        <v>1015</v>
      </c>
      <c r="H1525" s="12">
        <v>3.6645215954135</v>
      </c>
      <c r="I1525" s="11">
        <v>0.37967131826092498</v>
      </c>
      <c r="J1525" s="10">
        <v>0.70418941338960395</v>
      </c>
      <c r="K1525" s="29">
        <v>0.98289565623980701</v>
      </c>
    </row>
    <row r="1526" spans="1:11" x14ac:dyDescent="0.35">
      <c r="A1526" s="9" t="str">
        <f>HYPERLINK("http://www.ensembl.org/id/WBGene00005975", "WBGene00005975")</f>
        <v>WBGene00005975</v>
      </c>
      <c r="B1526" s="9" t="str">
        <f>HYPERLINK("http://www.ncbi.nlm.nih.gov/gene/353451", "353451")</f>
        <v>353451</v>
      </c>
      <c r="C1526" s="9"/>
      <c r="D1526" t="str">
        <f>"srx-84"</f>
        <v>srx-84</v>
      </c>
      <c r="E1526" t="s">
        <v>1477</v>
      </c>
      <c r="F1526" t="s">
        <v>11</v>
      </c>
      <c r="G1526" t="s">
        <v>25</v>
      </c>
      <c r="H1526" s="12">
        <v>3.6645215954135</v>
      </c>
      <c r="I1526" s="11">
        <v>0.37967131826092498</v>
      </c>
      <c r="J1526" s="10">
        <v>0.70418941338960395</v>
      </c>
      <c r="K1526" s="29">
        <v>0.98289565623980701</v>
      </c>
    </row>
    <row r="1527" spans="1:11" x14ac:dyDescent="0.35">
      <c r="A1527" s="9" t="str">
        <f>HYPERLINK("http://www.ensembl.org/id/WBGene00200971", "WBGene00200971")</f>
        <v>WBGene00200971</v>
      </c>
      <c r="B1527" s="9"/>
      <c r="C1527" s="9"/>
      <c r="D1527" t="str">
        <f>"T01B10.13"</f>
        <v>T01B10.13</v>
      </c>
      <c r="F1527" t="s">
        <v>481</v>
      </c>
      <c r="H1527" s="12">
        <v>3.6645215954135</v>
      </c>
      <c r="I1527" s="11">
        <v>0.37967131826092498</v>
      </c>
      <c r="J1527" s="10">
        <v>0.70418941338960395</v>
      </c>
      <c r="K1527" s="29">
        <v>0.98289565623980701</v>
      </c>
    </row>
    <row r="1528" spans="1:11" x14ac:dyDescent="0.35">
      <c r="A1528" s="9" t="str">
        <f>HYPERLINK("http://www.ensembl.org/id/WBGene00020173", "WBGene00020173")</f>
        <v>WBGene00020173</v>
      </c>
      <c r="B1528" s="9" t="str">
        <f>HYPERLINK("http://www.ncbi.nlm.nih.gov/gene/188003", "188003")</f>
        <v>188003</v>
      </c>
      <c r="C1528" s="9"/>
      <c r="D1528" t="str">
        <f>"T02H6.3"</f>
        <v>T02H6.3</v>
      </c>
      <c r="F1528" t="s">
        <v>11</v>
      </c>
      <c r="H1528" s="12">
        <v>3.6645215954135</v>
      </c>
      <c r="I1528" s="11">
        <v>0.37967131826092498</v>
      </c>
      <c r="J1528" s="10">
        <v>0.70418941338960395</v>
      </c>
      <c r="K1528" s="29">
        <v>0.98289565623980701</v>
      </c>
    </row>
    <row r="1529" spans="1:11" x14ac:dyDescent="0.35">
      <c r="A1529" s="9" t="str">
        <f>HYPERLINK("http://www.ensembl.org/id/WBGene00011533", "WBGene00011533")</f>
        <v>WBGene00011533</v>
      </c>
      <c r="B1529" s="9" t="str">
        <f>HYPERLINK("http://www.ncbi.nlm.nih.gov/gene/188177", "188177")</f>
        <v>188177</v>
      </c>
      <c r="C1529" s="9"/>
      <c r="D1529" t="str">
        <f>"T06E4.5"</f>
        <v>T06E4.5</v>
      </c>
      <c r="F1529" t="s">
        <v>11</v>
      </c>
      <c r="G1529" t="s">
        <v>25</v>
      </c>
      <c r="H1529" s="12">
        <v>3.6645215954135</v>
      </c>
      <c r="I1529" s="11">
        <v>0.37967131826092498</v>
      </c>
      <c r="J1529" s="10">
        <v>0.70418941338960395</v>
      </c>
      <c r="K1529" s="29">
        <v>0.98289565623980701</v>
      </c>
    </row>
    <row r="1530" spans="1:11" x14ac:dyDescent="0.35">
      <c r="A1530" s="9" t="str">
        <f>HYPERLINK("http://www.ensembl.org/id/WBGene00044606", "WBGene00044606")</f>
        <v>WBGene00044606</v>
      </c>
      <c r="B1530" s="9"/>
      <c r="C1530" s="9"/>
      <c r="D1530" t="str">
        <f>"T07G12.14"</f>
        <v>T07G12.14</v>
      </c>
      <c r="F1530" t="s">
        <v>80</v>
      </c>
      <c r="H1530" s="12">
        <v>3.6645215954135</v>
      </c>
      <c r="I1530" s="11">
        <v>0.37967131826092498</v>
      </c>
      <c r="J1530" s="10">
        <v>0.70418941338960395</v>
      </c>
      <c r="K1530" s="29">
        <v>0.98289565623980701</v>
      </c>
    </row>
    <row r="1531" spans="1:11" x14ac:dyDescent="0.35">
      <c r="A1531" s="9" t="str">
        <f>HYPERLINK("http://www.ensembl.org/id/WBGene00011618", "WBGene00011618")</f>
        <v>WBGene00011618</v>
      </c>
      <c r="B1531" s="9" t="str">
        <f>HYPERLINK("http://www.ncbi.nlm.nih.gov/gene/188297", "188297")</f>
        <v>188297</v>
      </c>
      <c r="C1531" s="9"/>
      <c r="D1531" t="str">
        <f>"T08G3.6"</f>
        <v>T08G3.6</v>
      </c>
      <c r="F1531" t="s">
        <v>11</v>
      </c>
      <c r="H1531" s="12">
        <v>3.6645215954135</v>
      </c>
      <c r="I1531" s="11">
        <v>0.37967131826092498</v>
      </c>
      <c r="J1531" s="10">
        <v>0.70418941338960395</v>
      </c>
      <c r="K1531" s="29">
        <v>0.98289565623980701</v>
      </c>
    </row>
    <row r="1532" spans="1:11" x14ac:dyDescent="0.35">
      <c r="A1532" s="9" t="str">
        <f>HYPERLINK("http://www.ensembl.org/id/WBGene00197540", "WBGene00197540")</f>
        <v>WBGene00197540</v>
      </c>
      <c r="B1532" s="9"/>
      <c r="C1532" s="9"/>
      <c r="D1532" t="str">
        <f>"T08H4.7"</f>
        <v>T08H4.7</v>
      </c>
      <c r="F1532" t="s">
        <v>481</v>
      </c>
      <c r="H1532" s="12">
        <v>3.6645215954135</v>
      </c>
      <c r="I1532" s="11">
        <v>0.37967131826092498</v>
      </c>
      <c r="J1532" s="10">
        <v>0.70418941338960395</v>
      </c>
      <c r="K1532" s="29">
        <v>0.98289565623980701</v>
      </c>
    </row>
    <row r="1533" spans="1:11" x14ac:dyDescent="0.35">
      <c r="A1533" s="9" t="str">
        <f>HYPERLINK("http://www.ensembl.org/id/WBGene00020406", "WBGene00020406")</f>
        <v>WBGene00020406</v>
      </c>
      <c r="B1533" s="9" t="str">
        <f>HYPERLINK("http://www.ncbi.nlm.nih.gov/gene/188380", "188380")</f>
        <v>188380</v>
      </c>
      <c r="C1533" s="9"/>
      <c r="D1533" t="str">
        <f>"T10D4.1"</f>
        <v>T10D4.1</v>
      </c>
      <c r="F1533" t="s">
        <v>11</v>
      </c>
      <c r="H1533" s="12">
        <v>3.6645215954135</v>
      </c>
      <c r="I1533" s="11">
        <v>0.37967131826092498</v>
      </c>
      <c r="J1533" s="10">
        <v>0.70418941338960395</v>
      </c>
      <c r="K1533" s="29">
        <v>0.98289565623980701</v>
      </c>
    </row>
    <row r="1534" spans="1:11" x14ac:dyDescent="0.35">
      <c r="A1534" s="9" t="str">
        <f>HYPERLINK("http://www.ensembl.org/id/WBGene00195168", "WBGene00195168")</f>
        <v>WBGene00195168</v>
      </c>
      <c r="B1534" s="9" t="str">
        <f>HYPERLINK("http://www.ncbi.nlm.nih.gov/gene/13220956", "13220956")</f>
        <v>13220956</v>
      </c>
      <c r="C1534" s="9"/>
      <c r="D1534" t="str">
        <f>"T13C5.9"</f>
        <v>T13C5.9</v>
      </c>
      <c r="F1534" t="s">
        <v>11</v>
      </c>
      <c r="H1534" s="12">
        <v>3.6645215954135</v>
      </c>
      <c r="I1534" s="11">
        <v>0.37967131826092498</v>
      </c>
      <c r="J1534" s="10">
        <v>0.70418941338960395</v>
      </c>
      <c r="K1534" s="29">
        <v>0.98289565623980701</v>
      </c>
    </row>
    <row r="1535" spans="1:11" x14ac:dyDescent="0.35">
      <c r="A1535" s="9" t="str">
        <f>HYPERLINK("http://www.ensembl.org/id/WBGene00219411", "WBGene00219411")</f>
        <v>WBGene00219411</v>
      </c>
      <c r="B1535" s="9" t="str">
        <f>HYPERLINK("http://www.ncbi.nlm.nih.gov/gene/13220027", "13220027")</f>
        <v>13220027</v>
      </c>
      <c r="C1535" s="9"/>
      <c r="D1535" t="str">
        <f>"T14G12.11"</f>
        <v>T14G12.11</v>
      </c>
      <c r="F1535" t="s">
        <v>11</v>
      </c>
      <c r="H1535" s="12">
        <v>3.6645215954135</v>
      </c>
      <c r="I1535" s="11">
        <v>0.37967131826092498</v>
      </c>
      <c r="J1535" s="10">
        <v>0.70418941338960395</v>
      </c>
      <c r="K1535" s="29">
        <v>0.98289565623980701</v>
      </c>
    </row>
    <row r="1536" spans="1:11" x14ac:dyDescent="0.35">
      <c r="A1536" s="9" t="str">
        <f>HYPERLINK("http://www.ensembl.org/id/WBGene00196160", "WBGene00196160")</f>
        <v>WBGene00196160</v>
      </c>
      <c r="B1536" s="9"/>
      <c r="C1536" s="9"/>
      <c r="D1536" t="str">
        <f>"T14G8.5"</f>
        <v>T14G8.5</v>
      </c>
      <c r="F1536" t="s">
        <v>481</v>
      </c>
      <c r="H1536" s="12">
        <v>3.6645215954135</v>
      </c>
      <c r="I1536" s="11">
        <v>0.37967131826092498</v>
      </c>
      <c r="J1536" s="10">
        <v>0.70418941338960395</v>
      </c>
      <c r="K1536" s="29">
        <v>0.98289565623980701</v>
      </c>
    </row>
    <row r="1537" spans="1:11" x14ac:dyDescent="0.35">
      <c r="A1537" s="9" t="str">
        <f>HYPERLINK("http://www.ensembl.org/id/WBGene00050898", "WBGene00050898")</f>
        <v>WBGene00050898</v>
      </c>
      <c r="B1537" s="9" t="str">
        <f>HYPERLINK("http://www.ncbi.nlm.nih.gov/gene/6418774", "6418774")</f>
        <v>6418774</v>
      </c>
      <c r="C1537" s="9"/>
      <c r="D1537" t="str">
        <f>"T19B10.12"</f>
        <v>T19B10.12</v>
      </c>
      <c r="F1537" t="s">
        <v>11</v>
      </c>
      <c r="H1537" s="12">
        <v>3.6645215954135</v>
      </c>
      <c r="I1537" s="11">
        <v>0.37967131826092498</v>
      </c>
      <c r="J1537" s="10">
        <v>0.70418941338960395</v>
      </c>
      <c r="K1537" s="29">
        <v>0.98289565623980701</v>
      </c>
    </row>
    <row r="1538" spans="1:11" x14ac:dyDescent="0.35">
      <c r="A1538" s="9" t="str">
        <f>HYPERLINK("http://www.ensembl.org/id/WBGene00198300", "WBGene00198300")</f>
        <v>WBGene00198300</v>
      </c>
      <c r="B1538" s="9"/>
      <c r="C1538" s="9"/>
      <c r="D1538" t="str">
        <f>"T19E7.25"</f>
        <v>T19E7.25</v>
      </c>
      <c r="F1538" t="s">
        <v>481</v>
      </c>
      <c r="H1538" s="12">
        <v>3.6645215954135</v>
      </c>
      <c r="I1538" s="11">
        <v>0.37967131826092498</v>
      </c>
      <c r="J1538" s="10">
        <v>0.70418941338960395</v>
      </c>
      <c r="K1538" s="29">
        <v>0.98289565623980701</v>
      </c>
    </row>
    <row r="1539" spans="1:11" x14ac:dyDescent="0.35">
      <c r="A1539" s="9" t="str">
        <f>HYPERLINK("http://www.ensembl.org/id/WBGene00020603", "WBGene00020603")</f>
        <v>WBGene00020603</v>
      </c>
      <c r="B1539" s="9" t="str">
        <f>HYPERLINK("http://www.ncbi.nlm.nih.gov/gene/188632", "188632")</f>
        <v>188632</v>
      </c>
      <c r="C1539" s="9"/>
      <c r="D1539" t="str">
        <f>"T20B12.5"</f>
        <v>T20B12.5</v>
      </c>
      <c r="F1539" t="s">
        <v>11</v>
      </c>
      <c r="H1539" s="12">
        <v>3.6645215954135</v>
      </c>
      <c r="I1539" s="11">
        <v>0.37967131826092498</v>
      </c>
      <c r="J1539" s="10">
        <v>0.70418941338960395</v>
      </c>
      <c r="K1539" s="29">
        <v>0.98289565623980701</v>
      </c>
    </row>
    <row r="1540" spans="1:11" x14ac:dyDescent="0.35">
      <c r="A1540" s="9" t="str">
        <f>HYPERLINK("http://www.ensembl.org/id/WBGene00199095", "WBGene00199095")</f>
        <v>WBGene00199095</v>
      </c>
      <c r="B1540" s="9"/>
      <c r="C1540" s="9"/>
      <c r="D1540" t="str">
        <f>"T21B10.11"</f>
        <v>T21B10.11</v>
      </c>
      <c r="F1540" t="s">
        <v>481</v>
      </c>
      <c r="H1540" s="12">
        <v>3.6645215954135</v>
      </c>
      <c r="I1540" s="11">
        <v>0.37967131826092498</v>
      </c>
      <c r="J1540" s="10">
        <v>0.70418941338960395</v>
      </c>
      <c r="K1540" s="29">
        <v>0.98289565623980701</v>
      </c>
    </row>
    <row r="1541" spans="1:11" x14ac:dyDescent="0.35">
      <c r="A1541" s="9" t="str">
        <f>HYPERLINK("http://www.ensembl.org/id/WBGene00197806", "WBGene00197806")</f>
        <v>WBGene00197806</v>
      </c>
      <c r="B1541" s="9"/>
      <c r="C1541" s="9"/>
      <c r="D1541" t="str">
        <f>"T22E5.12"</f>
        <v>T22E5.12</v>
      </c>
      <c r="F1541" t="s">
        <v>481</v>
      </c>
      <c r="H1541" s="12">
        <v>3.6645215954135</v>
      </c>
      <c r="I1541" s="11">
        <v>0.37967131826092498</v>
      </c>
      <c r="J1541" s="10">
        <v>0.70418941338960395</v>
      </c>
      <c r="K1541" s="29">
        <v>0.98289565623980701</v>
      </c>
    </row>
    <row r="1542" spans="1:11" x14ac:dyDescent="0.35">
      <c r="A1542" s="9" t="str">
        <f>HYPERLINK("http://www.ensembl.org/id/WBGene00020753", "WBGene00020753")</f>
        <v>WBGene00020753</v>
      </c>
      <c r="B1542" s="9" t="str">
        <f>HYPERLINK("http://www.ncbi.nlm.nih.gov/gene/188833", "188833")</f>
        <v>188833</v>
      </c>
      <c r="C1542" s="9"/>
      <c r="D1542" t="str">
        <f>"T24A6.16"</f>
        <v>T24A6.16</v>
      </c>
      <c r="F1542" t="s">
        <v>11</v>
      </c>
      <c r="G1542" t="s">
        <v>3419</v>
      </c>
      <c r="H1542" s="12">
        <v>3.6645215954135</v>
      </c>
      <c r="I1542" s="11">
        <v>0.37967131826092498</v>
      </c>
      <c r="J1542" s="10">
        <v>0.70418941338960395</v>
      </c>
      <c r="K1542" s="29">
        <v>0.98289565623980701</v>
      </c>
    </row>
    <row r="1543" spans="1:11" x14ac:dyDescent="0.35">
      <c r="A1543" s="9" t="str">
        <f>HYPERLINK("http://www.ensembl.org/id/WBGene00200126", "WBGene00200126")</f>
        <v>WBGene00200126</v>
      </c>
      <c r="B1543" s="9"/>
      <c r="C1543" s="9"/>
      <c r="D1543" t="str">
        <f>"T24B8.19"</f>
        <v>T24B8.19</v>
      </c>
      <c r="F1543" t="s">
        <v>481</v>
      </c>
      <c r="H1543" s="12">
        <v>3.6645215954135</v>
      </c>
      <c r="I1543" s="11">
        <v>0.37967131826092498</v>
      </c>
      <c r="J1543" s="10">
        <v>0.70418941338960395</v>
      </c>
      <c r="K1543" s="29">
        <v>0.98289565623980701</v>
      </c>
    </row>
    <row r="1544" spans="1:11" x14ac:dyDescent="0.35">
      <c r="A1544" s="9" t="str">
        <f>HYPERLINK("http://www.ensembl.org/id/WBGene00012076", "WBGene00012076")</f>
        <v>WBGene00012076</v>
      </c>
      <c r="B1544" s="9" t="str">
        <f>HYPERLINK("http://www.ncbi.nlm.nih.gov/gene/188969", "188969")</f>
        <v>188969</v>
      </c>
      <c r="C1544" s="9"/>
      <c r="D1544" t="str">
        <f>"T27A8.4"</f>
        <v>T27A8.4</v>
      </c>
      <c r="F1544" t="s">
        <v>11</v>
      </c>
      <c r="H1544" s="12">
        <v>3.6645215954135</v>
      </c>
      <c r="I1544" s="11">
        <v>0.37967131826092498</v>
      </c>
      <c r="J1544" s="10">
        <v>0.70418941338960395</v>
      </c>
      <c r="K1544" s="29">
        <v>0.98289565623980701</v>
      </c>
    </row>
    <row r="1545" spans="1:11" x14ac:dyDescent="0.35">
      <c r="A1545" s="9" t="str">
        <f>HYPERLINK("http://www.ensembl.org/id/WBGene00197769", "WBGene00197769")</f>
        <v>WBGene00197769</v>
      </c>
      <c r="B1545" s="9"/>
      <c r="C1545" s="9"/>
      <c r="D1545" t="str">
        <f>"T28B11.12"</f>
        <v>T28B11.12</v>
      </c>
      <c r="F1545" t="s">
        <v>481</v>
      </c>
      <c r="H1545" s="12">
        <v>3.6645215954135</v>
      </c>
      <c r="I1545" s="11">
        <v>0.37967131826092498</v>
      </c>
      <c r="J1545" s="10">
        <v>0.70418941338960395</v>
      </c>
      <c r="K1545" s="29">
        <v>0.98289565623980701</v>
      </c>
    </row>
    <row r="1546" spans="1:11" x14ac:dyDescent="0.35">
      <c r="A1546" s="9" t="str">
        <f>HYPERLINK("http://www.ensembl.org/id/WBGene00020922", "WBGene00020922")</f>
        <v>WBGene00020922</v>
      </c>
      <c r="B1546" s="9" t="str">
        <f>HYPERLINK("http://www.ncbi.nlm.nih.gov/gene/189094", "189094")</f>
        <v>189094</v>
      </c>
      <c r="C1546" s="9"/>
      <c r="D1546" t="str">
        <f>"W01H2.2"</f>
        <v>W01H2.2</v>
      </c>
      <c r="F1546" t="s">
        <v>11</v>
      </c>
      <c r="H1546" s="12">
        <v>3.6645215954135</v>
      </c>
      <c r="I1546" s="11">
        <v>0.37967131826092498</v>
      </c>
      <c r="J1546" s="10">
        <v>0.70418941338960395</v>
      </c>
      <c r="K1546" s="29">
        <v>0.98289565623980701</v>
      </c>
    </row>
    <row r="1547" spans="1:11" x14ac:dyDescent="0.35">
      <c r="A1547" s="9" t="str">
        <f>HYPERLINK("http://www.ensembl.org/id/WBGene00020923", "WBGene00020923")</f>
        <v>WBGene00020923</v>
      </c>
      <c r="B1547" s="9" t="str">
        <f>HYPERLINK("http://www.ncbi.nlm.nih.gov/gene/189103", "189103")</f>
        <v>189103</v>
      </c>
      <c r="C1547" s="9"/>
      <c r="D1547" t="str">
        <f>"W02B3.3"</f>
        <v>W02B3.3</v>
      </c>
      <c r="F1547" t="s">
        <v>11</v>
      </c>
      <c r="H1547" s="12">
        <v>3.6645215954135</v>
      </c>
      <c r="I1547" s="11">
        <v>0.37967131826092498</v>
      </c>
      <c r="J1547" s="10">
        <v>0.70418941338960395</v>
      </c>
      <c r="K1547" s="29">
        <v>0.98289565623980701</v>
      </c>
    </row>
    <row r="1548" spans="1:11" x14ac:dyDescent="0.35">
      <c r="A1548" s="9" t="str">
        <f>HYPERLINK("http://www.ensembl.org/id/WBGene00199736", "WBGene00199736")</f>
        <v>WBGene00199736</v>
      </c>
      <c r="B1548" s="9"/>
      <c r="C1548" s="9"/>
      <c r="D1548" t="str">
        <f>"W03G11.17"</f>
        <v>W03G11.17</v>
      </c>
      <c r="F1548" t="s">
        <v>481</v>
      </c>
      <c r="H1548" s="12">
        <v>3.6645215954135</v>
      </c>
      <c r="I1548" s="11">
        <v>0.37967131826092498</v>
      </c>
      <c r="J1548" s="10">
        <v>0.70418941338960395</v>
      </c>
      <c r="K1548" s="29">
        <v>0.98289565623980701</v>
      </c>
    </row>
    <row r="1549" spans="1:11" x14ac:dyDescent="0.35">
      <c r="A1549" s="9" t="str">
        <f>HYPERLINK("http://www.ensembl.org/id/WBGene00200197", "WBGene00200197")</f>
        <v>WBGene00200197</v>
      </c>
      <c r="B1549" s="9"/>
      <c r="C1549" s="9"/>
      <c r="D1549" t="str">
        <f>"W07G1.17"</f>
        <v>W07G1.17</v>
      </c>
      <c r="F1549" t="s">
        <v>481</v>
      </c>
      <c r="H1549" s="12">
        <v>3.6645215954135</v>
      </c>
      <c r="I1549" s="11">
        <v>0.37967131826092498</v>
      </c>
      <c r="J1549" s="10">
        <v>0.70418941338960395</v>
      </c>
      <c r="K1549" s="29">
        <v>0.98289565623980701</v>
      </c>
    </row>
    <row r="1550" spans="1:11" x14ac:dyDescent="0.35">
      <c r="A1550" s="9" t="str">
        <f>HYPERLINK("http://www.ensembl.org/id/WBGene00045155", "WBGene00045155")</f>
        <v>WBGene00045155</v>
      </c>
      <c r="B1550" s="9"/>
      <c r="C1550" s="9"/>
      <c r="D1550" t="str">
        <f>"Y116A8C.50"</f>
        <v>Y116A8C.50</v>
      </c>
      <c r="F1550" t="s">
        <v>2977</v>
      </c>
      <c r="H1550" s="12">
        <v>3.6645215954135</v>
      </c>
      <c r="I1550" s="11">
        <v>0.37967131826092498</v>
      </c>
      <c r="J1550" s="10">
        <v>0.70418941338960395</v>
      </c>
      <c r="K1550" s="29">
        <v>0.98289565623980701</v>
      </c>
    </row>
    <row r="1551" spans="1:11" x14ac:dyDescent="0.35">
      <c r="A1551" s="9" t="str">
        <f>HYPERLINK("http://www.ensembl.org/id/WBGene00013817", "WBGene00013817")</f>
        <v>WBGene00013817</v>
      </c>
      <c r="B1551" s="9" t="str">
        <f>HYPERLINK("http://www.ncbi.nlm.nih.gov/gene/191010", "191010")</f>
        <v>191010</v>
      </c>
      <c r="C1551" s="9"/>
      <c r="D1551" t="str">
        <f>"Y116F11A.3"</f>
        <v>Y116F11A.3</v>
      </c>
      <c r="F1551" t="s">
        <v>11</v>
      </c>
      <c r="H1551" s="12">
        <v>3.6645215954135</v>
      </c>
      <c r="I1551" s="11">
        <v>0.37967131826092498</v>
      </c>
      <c r="J1551" s="10">
        <v>0.70418941338960395</v>
      </c>
      <c r="K1551" s="29">
        <v>0.98289565623980701</v>
      </c>
    </row>
    <row r="1552" spans="1:11" x14ac:dyDescent="0.35">
      <c r="A1552" s="9" t="str">
        <f>HYPERLINK("http://www.ensembl.org/id/WBGene00014863", "WBGene00014863")</f>
        <v>WBGene00014863</v>
      </c>
      <c r="B1552" s="9"/>
      <c r="C1552" s="9"/>
      <c r="D1552" t="str">
        <f>"Y11D7A.16"</f>
        <v>Y11D7A.16</v>
      </c>
      <c r="F1552" t="s">
        <v>80</v>
      </c>
      <c r="H1552" s="12">
        <v>3.6645215954135</v>
      </c>
      <c r="I1552" s="11">
        <v>0.37967131826092498</v>
      </c>
      <c r="J1552" s="10">
        <v>0.70418941338960395</v>
      </c>
      <c r="K1552" s="29">
        <v>0.98289565623980701</v>
      </c>
    </row>
    <row r="1553" spans="1:11" x14ac:dyDescent="0.35">
      <c r="A1553" s="9" t="str">
        <f>HYPERLINK("http://www.ensembl.org/id/WBGene00197162", "WBGene00197162")</f>
        <v>WBGene00197162</v>
      </c>
      <c r="B1553" s="9"/>
      <c r="C1553" s="9"/>
      <c r="D1553" t="str">
        <f>"Y18H1A.16"</f>
        <v>Y18H1A.16</v>
      </c>
      <c r="F1553" t="s">
        <v>481</v>
      </c>
      <c r="H1553" s="12">
        <v>3.6645215954135</v>
      </c>
      <c r="I1553" s="11">
        <v>0.37967131826092498</v>
      </c>
      <c r="J1553" s="10">
        <v>0.70418941338960395</v>
      </c>
      <c r="K1553" s="29">
        <v>0.98289565623980701</v>
      </c>
    </row>
    <row r="1554" spans="1:11" x14ac:dyDescent="0.35">
      <c r="A1554" s="9" t="str">
        <f>HYPERLINK("http://www.ensembl.org/id/WBGene00202455", "WBGene00202455")</f>
        <v>WBGene00202455</v>
      </c>
      <c r="B1554" s="9"/>
      <c r="C1554" s="9"/>
      <c r="D1554" t="str">
        <f>"Y25C1A.15"</f>
        <v>Y25C1A.15</v>
      </c>
      <c r="F1554" t="s">
        <v>481</v>
      </c>
      <c r="H1554" s="12">
        <v>3.6645215954135</v>
      </c>
      <c r="I1554" s="11">
        <v>0.37967131826092498</v>
      </c>
      <c r="J1554" s="10">
        <v>0.70418941338960395</v>
      </c>
      <c r="K1554" s="29">
        <v>0.98289565623980701</v>
      </c>
    </row>
    <row r="1555" spans="1:11" x14ac:dyDescent="0.35">
      <c r="A1555" s="9" t="str">
        <f>HYPERLINK("http://www.ensembl.org/id/WBGene00202219", "WBGene00202219")</f>
        <v>WBGene00202219</v>
      </c>
      <c r="B1555" s="9"/>
      <c r="C1555" s="9"/>
      <c r="D1555" t="str">
        <f>"Y39A1B.9"</f>
        <v>Y39A1B.9</v>
      </c>
      <c r="F1555" t="s">
        <v>481</v>
      </c>
      <c r="H1555" s="12">
        <v>3.6645215954135</v>
      </c>
      <c r="I1555" s="11">
        <v>0.37967131826092498</v>
      </c>
      <c r="J1555" s="10">
        <v>0.70418941338960395</v>
      </c>
      <c r="K1555" s="29">
        <v>0.98289565623980701</v>
      </c>
    </row>
    <row r="1556" spans="1:11" x14ac:dyDescent="0.35">
      <c r="A1556" s="9" t="str">
        <f>HYPERLINK("http://www.ensembl.org/id/WBGene00201021", "WBGene00201021")</f>
        <v>WBGene00201021</v>
      </c>
      <c r="B1556" s="9"/>
      <c r="C1556" s="9"/>
      <c r="D1556" t="str">
        <f>"Y47D3B.22"</f>
        <v>Y47D3B.22</v>
      </c>
      <c r="F1556" t="s">
        <v>481</v>
      </c>
      <c r="H1556" s="12">
        <v>3.6645215954135</v>
      </c>
      <c r="I1556" s="11">
        <v>0.37967131826092498</v>
      </c>
      <c r="J1556" s="10">
        <v>0.70418941338960395</v>
      </c>
      <c r="K1556" s="29">
        <v>0.98289565623980701</v>
      </c>
    </row>
    <row r="1557" spans="1:11" x14ac:dyDescent="0.35">
      <c r="A1557" s="9" t="str">
        <f>HYPERLINK("http://www.ensembl.org/id/WBGene00196326", "WBGene00196326")</f>
        <v>WBGene00196326</v>
      </c>
      <c r="B1557" s="9"/>
      <c r="C1557" s="9"/>
      <c r="D1557" t="str">
        <f>"Y51A2D.26"</f>
        <v>Y51A2D.26</v>
      </c>
      <c r="F1557" t="s">
        <v>481</v>
      </c>
      <c r="H1557" s="12">
        <v>3.6645215954135</v>
      </c>
      <c r="I1557" s="11">
        <v>0.37967131826092498</v>
      </c>
      <c r="J1557" s="10">
        <v>0.70418941338960395</v>
      </c>
      <c r="K1557" s="29">
        <v>0.98289565623980701</v>
      </c>
    </row>
    <row r="1558" spans="1:11" x14ac:dyDescent="0.35">
      <c r="A1558" s="9" t="str">
        <f>HYPERLINK("http://www.ensembl.org/id/WBGene00219244", "WBGene00219244")</f>
        <v>WBGene00219244</v>
      </c>
      <c r="B1558" s="9" t="str">
        <f>HYPERLINK("http://www.ncbi.nlm.nih.gov/gene/13209141", "13209141")</f>
        <v>13209141</v>
      </c>
      <c r="C1558" s="9"/>
      <c r="D1558" t="str">
        <f>"Y51H4A.938"</f>
        <v>Y51H4A.938</v>
      </c>
      <c r="F1558" t="s">
        <v>11</v>
      </c>
      <c r="H1558" s="12">
        <v>3.6645215954135</v>
      </c>
      <c r="I1558" s="11">
        <v>0.37967131826092498</v>
      </c>
      <c r="J1558" s="10">
        <v>0.70418941338960395</v>
      </c>
      <c r="K1558" s="29">
        <v>0.98289565623980701</v>
      </c>
    </row>
    <row r="1559" spans="1:11" x14ac:dyDescent="0.35">
      <c r="A1559" s="9" t="str">
        <f>HYPERLINK("http://www.ensembl.org/id/WBGene00021162", "WBGene00021162")</f>
        <v>WBGene00021162</v>
      </c>
      <c r="B1559" s="9" t="str">
        <f>HYPERLINK("http://www.ncbi.nlm.nih.gov/gene/189359", "189359")</f>
        <v>189359</v>
      </c>
      <c r="C1559" s="9"/>
      <c r="D1559" t="str">
        <f>"Y5H2A.1"</f>
        <v>Y5H2A.1</v>
      </c>
      <c r="F1559" t="s">
        <v>11</v>
      </c>
      <c r="H1559" s="12">
        <v>3.6645215954135</v>
      </c>
      <c r="I1559" s="11">
        <v>0.37967131826092498</v>
      </c>
      <c r="J1559" s="10">
        <v>0.70418941338960395</v>
      </c>
      <c r="K1559" s="29">
        <v>0.98289565623980701</v>
      </c>
    </row>
    <row r="1560" spans="1:11" x14ac:dyDescent="0.35">
      <c r="A1560" s="9" t="str">
        <f>HYPERLINK("http://www.ensembl.org/id/WBGene00014934", "WBGene00014934")</f>
        <v>WBGene00014934</v>
      </c>
      <c r="B1560" s="9"/>
      <c r="C1560" s="9"/>
      <c r="D1560" t="str">
        <f>"Y60A3A.17"</f>
        <v>Y60A3A.17</v>
      </c>
      <c r="F1560" t="s">
        <v>80</v>
      </c>
      <c r="H1560" s="12">
        <v>3.6645215954135</v>
      </c>
      <c r="I1560" s="11">
        <v>0.37967131826092498</v>
      </c>
      <c r="J1560" s="10">
        <v>0.70418941338960395</v>
      </c>
      <c r="K1560" s="29">
        <v>0.98289565623980701</v>
      </c>
    </row>
    <row r="1561" spans="1:11" x14ac:dyDescent="0.35">
      <c r="A1561" s="9" t="str">
        <f>HYPERLINK("http://www.ensembl.org/id/WBGene00194864", "WBGene00194864")</f>
        <v>WBGene00194864</v>
      </c>
      <c r="B1561" s="9" t="str">
        <f>HYPERLINK("http://www.ncbi.nlm.nih.gov/gene/13191416", "13191416")</f>
        <v>13191416</v>
      </c>
      <c r="C1561" s="9"/>
      <c r="D1561" t="str">
        <f>"Y66A7A.9"</f>
        <v>Y66A7A.9</v>
      </c>
      <c r="F1561" t="s">
        <v>11</v>
      </c>
      <c r="H1561" s="12">
        <v>3.6645215954135</v>
      </c>
      <c r="I1561" s="11">
        <v>0.37967131826092498</v>
      </c>
      <c r="J1561" s="10">
        <v>0.70418941338960395</v>
      </c>
      <c r="K1561" s="29">
        <v>0.98289565623980701</v>
      </c>
    </row>
    <row r="1562" spans="1:11" x14ac:dyDescent="0.35">
      <c r="A1562" s="9" t="str">
        <f>HYPERLINK("http://www.ensembl.org/id/WBGene00012388", "WBGene00012388")</f>
        <v>WBGene00012388</v>
      </c>
      <c r="B1562" s="9" t="str">
        <f>HYPERLINK("http://www.ncbi.nlm.nih.gov/gene/189367", "189367")</f>
        <v>189367</v>
      </c>
      <c r="C1562" s="9"/>
      <c r="D1562" t="str">
        <f>"Y6B3B.3"</f>
        <v>Y6B3B.3</v>
      </c>
      <c r="F1562" t="s">
        <v>11</v>
      </c>
      <c r="H1562" s="12">
        <v>3.6645215954135</v>
      </c>
      <c r="I1562" s="11">
        <v>0.37967131826092498</v>
      </c>
      <c r="J1562" s="10">
        <v>0.70418941338960395</v>
      </c>
      <c r="K1562" s="29">
        <v>0.98289565623980701</v>
      </c>
    </row>
    <row r="1563" spans="1:11" x14ac:dyDescent="0.35">
      <c r="A1563" s="9" t="str">
        <f>HYPERLINK("http://www.ensembl.org/id/WBGene00200195", "WBGene00200195")</f>
        <v>WBGene00200195</v>
      </c>
      <c r="B1563" s="9"/>
      <c r="C1563" s="9"/>
      <c r="D1563" t="str">
        <f>"Y71H9A.7"</f>
        <v>Y71H9A.7</v>
      </c>
      <c r="F1563" t="s">
        <v>481</v>
      </c>
      <c r="H1563" s="12">
        <v>3.6645215954135</v>
      </c>
      <c r="I1563" s="11">
        <v>0.37967131826092498</v>
      </c>
      <c r="J1563" s="10">
        <v>0.70418941338960395</v>
      </c>
      <c r="K1563" s="29">
        <v>0.98289565623980701</v>
      </c>
    </row>
    <row r="1564" spans="1:11" x14ac:dyDescent="0.35">
      <c r="A1564" s="9" t="str">
        <f>HYPERLINK("http://www.ensembl.org/id/WBGene00198345", "WBGene00198345")</f>
        <v>WBGene00198345</v>
      </c>
      <c r="B1564" s="9"/>
      <c r="C1564" s="9"/>
      <c r="D1564" t="str">
        <f>"Y73B3A.25"</f>
        <v>Y73B3A.25</v>
      </c>
      <c r="F1564" t="s">
        <v>481</v>
      </c>
      <c r="H1564" s="12">
        <v>3.6645215954135</v>
      </c>
      <c r="I1564" s="11">
        <v>0.37967131826092498</v>
      </c>
      <c r="J1564" s="10">
        <v>0.70418941338960395</v>
      </c>
      <c r="K1564" s="29">
        <v>0.98289565623980701</v>
      </c>
    </row>
    <row r="1565" spans="1:11" x14ac:dyDescent="0.35">
      <c r="A1565" s="9" t="str">
        <f>HYPERLINK("http://www.ensembl.org/id/WBGene00194714", "WBGene00194714")</f>
        <v>WBGene00194714</v>
      </c>
      <c r="B1565" s="9" t="str">
        <f>HYPERLINK("http://www.ncbi.nlm.nih.gov/gene/13183688", "13183688")</f>
        <v>13183688</v>
      </c>
      <c r="C1565" s="9"/>
      <c r="D1565" t="str">
        <f>"ZC204.17"</f>
        <v>ZC204.17</v>
      </c>
      <c r="F1565" t="s">
        <v>11</v>
      </c>
      <c r="H1565" s="12">
        <v>3.6645215954135</v>
      </c>
      <c r="I1565" s="11">
        <v>0.37967131826092498</v>
      </c>
      <c r="J1565" s="10">
        <v>0.70418941338960395</v>
      </c>
      <c r="K1565" s="29">
        <v>0.98289565623980701</v>
      </c>
    </row>
    <row r="1566" spans="1:11" x14ac:dyDescent="0.35">
      <c r="A1566" s="9" t="str">
        <f>HYPERLINK("http://www.ensembl.org/id/WBGene00201986", "WBGene00201986")</f>
        <v>WBGene00201986</v>
      </c>
      <c r="B1566" s="9"/>
      <c r="C1566" s="9"/>
      <c r="D1566" t="str">
        <f>"ZK370.11"</f>
        <v>ZK370.11</v>
      </c>
      <c r="F1566" t="s">
        <v>481</v>
      </c>
      <c r="H1566" s="12">
        <v>3.6645215954135</v>
      </c>
      <c r="I1566" s="11">
        <v>0.37967131826092498</v>
      </c>
      <c r="J1566" s="10">
        <v>0.70418941338960395</v>
      </c>
      <c r="K1566" s="29">
        <v>0.98289565623980701</v>
      </c>
    </row>
    <row r="1567" spans="1:11" x14ac:dyDescent="0.35">
      <c r="A1567" s="9" t="str">
        <f>HYPERLINK("http://www.ensembl.org/id/WBGene00202397", "WBGene00202397")</f>
        <v>WBGene00202397</v>
      </c>
      <c r="B1567" s="9"/>
      <c r="C1567" s="9"/>
      <c r="D1567" t="str">
        <f>"ZK377.14"</f>
        <v>ZK377.14</v>
      </c>
      <c r="F1567" t="s">
        <v>481</v>
      </c>
      <c r="H1567" s="12">
        <v>3.6645215954135</v>
      </c>
      <c r="I1567" s="11">
        <v>0.37967131826092498</v>
      </c>
      <c r="J1567" s="10">
        <v>0.70418941338960395</v>
      </c>
      <c r="K1567" s="29">
        <v>0.98289565623980701</v>
      </c>
    </row>
    <row r="1568" spans="1:11" x14ac:dyDescent="0.35">
      <c r="A1568" s="9" t="str">
        <f>HYPERLINK("http://www.ensembl.org/id/WBGene00197683", "WBGene00197683")</f>
        <v>WBGene00197683</v>
      </c>
      <c r="B1568" s="9"/>
      <c r="C1568" s="9"/>
      <c r="D1568" t="str">
        <f>"ZK816.6"</f>
        <v>ZK816.6</v>
      </c>
      <c r="F1568" t="s">
        <v>481</v>
      </c>
      <c r="H1568" s="12">
        <v>3.6645215954135</v>
      </c>
      <c r="I1568" s="11">
        <v>0.37967131826092498</v>
      </c>
      <c r="J1568" s="10">
        <v>0.70418941338960395</v>
      </c>
      <c r="K1568" s="29">
        <v>0.98289565623980701</v>
      </c>
    </row>
    <row r="1569" spans="1:11" x14ac:dyDescent="0.35">
      <c r="A1569" s="9" t="str">
        <f>HYPERLINK("http://www.ensembl.org/id/WBGene00005222", "WBGene00005222")</f>
        <v>WBGene00005222</v>
      </c>
      <c r="B1569" s="9" t="str">
        <f>HYPERLINK("http://www.ncbi.nlm.nih.gov/gene/353476", "353476")</f>
        <v>353476</v>
      </c>
      <c r="C1569" s="9"/>
      <c r="D1569" t="str">
        <f>"srg-65"</f>
        <v>srg-65</v>
      </c>
      <c r="E1569" t="s">
        <v>1828</v>
      </c>
      <c r="F1569" t="s">
        <v>11</v>
      </c>
      <c r="G1569" t="s">
        <v>1829</v>
      </c>
      <c r="H1569" s="12">
        <v>3.6623819644236302</v>
      </c>
      <c r="I1569" s="11">
        <v>1.3291479333720899</v>
      </c>
      <c r="J1569" s="10">
        <v>0.18379916882740699</v>
      </c>
      <c r="K1569" s="29">
        <v>0.92065675348092202</v>
      </c>
    </row>
    <row r="1570" spans="1:11" x14ac:dyDescent="0.35">
      <c r="A1570" s="9" t="str">
        <f>HYPERLINK("http://www.ensembl.org/id/WBGene00005512", "WBGene00005512")</f>
        <v>WBGene00005512</v>
      </c>
      <c r="B1570" s="9" t="str">
        <f>HYPERLINK("http://www.ncbi.nlm.nih.gov/gene/188964", "188964")</f>
        <v>188964</v>
      </c>
      <c r="C1570" s="9"/>
      <c r="D1570" t="str">
        <f>"srh-105"</f>
        <v>srh-105</v>
      </c>
      <c r="E1570" t="s">
        <v>153</v>
      </c>
      <c r="F1570" t="s">
        <v>11</v>
      </c>
      <c r="G1570" t="s">
        <v>25</v>
      </c>
      <c r="H1570" s="12">
        <v>3.6571033302088898</v>
      </c>
      <c r="I1570" s="11">
        <v>0.54969058284615901</v>
      </c>
      <c r="J1570" s="10">
        <v>0.58253161705562595</v>
      </c>
      <c r="K1570" s="29">
        <v>0.98289565623980701</v>
      </c>
    </row>
    <row r="1571" spans="1:11" x14ac:dyDescent="0.35">
      <c r="A1571" s="9" t="str">
        <f>HYPERLINK("http://www.ensembl.org/id/WBGene00005973", "WBGene00005973")</f>
        <v>WBGene00005973</v>
      </c>
      <c r="B1571" s="9" t="str">
        <f>HYPERLINK("http://www.ncbi.nlm.nih.gov/gene/3565043", "3565043")</f>
        <v>3565043</v>
      </c>
      <c r="C1571" s="9"/>
      <c r="D1571" t="str">
        <f>"srx-82"</f>
        <v>srx-82</v>
      </c>
      <c r="E1571" t="s">
        <v>1477</v>
      </c>
      <c r="F1571" t="s">
        <v>11</v>
      </c>
      <c r="G1571" t="s">
        <v>25</v>
      </c>
      <c r="H1571" s="12">
        <v>3.6571033302088898</v>
      </c>
      <c r="I1571" s="11">
        <v>0.54969058284615901</v>
      </c>
      <c r="J1571" s="10">
        <v>0.58253161705562595</v>
      </c>
      <c r="K1571" s="29">
        <v>0.98289565623980701</v>
      </c>
    </row>
    <row r="1572" spans="1:11" x14ac:dyDescent="0.35">
      <c r="A1572" s="9" t="str">
        <f>HYPERLINK("http://www.ensembl.org/id/WBGene00010187", "WBGene00010187")</f>
        <v>WBGene00010187</v>
      </c>
      <c r="B1572" s="9" t="str">
        <f>HYPERLINK("http://www.ncbi.nlm.nih.gov/gene/186434", "186434")</f>
        <v>186434</v>
      </c>
      <c r="C1572" s="9"/>
      <c r="D1572" t="str">
        <f>"F57B1.1"</f>
        <v>F57B1.1</v>
      </c>
      <c r="F1572" t="s">
        <v>11</v>
      </c>
      <c r="G1572" t="s">
        <v>25</v>
      </c>
      <c r="H1572" s="12">
        <v>3.65432698503475</v>
      </c>
      <c r="I1572" s="11">
        <v>1.3258685103768999</v>
      </c>
      <c r="J1572" s="10">
        <v>0.184883255049128</v>
      </c>
      <c r="K1572" s="29">
        <v>0.92307773802121096</v>
      </c>
    </row>
    <row r="1573" spans="1:11" x14ac:dyDescent="0.35">
      <c r="A1573" s="9" t="str">
        <f>HYPERLINK("http://www.ensembl.org/id/WBGene00271776", "WBGene00271776")</f>
        <v>WBGene00271776</v>
      </c>
      <c r="B1573" s="9" t="str">
        <f>HYPERLINK("http://www.ncbi.nlm.nih.gov/gene/34700629", "34700629")</f>
        <v>34700629</v>
      </c>
      <c r="C1573" s="9"/>
      <c r="D1573" t="str">
        <f>"F53G12.18"</f>
        <v>F53G12.18</v>
      </c>
      <c r="F1573" t="s">
        <v>11</v>
      </c>
      <c r="G1573" t="s">
        <v>25</v>
      </c>
      <c r="H1573" s="12">
        <v>3.6504553058396199</v>
      </c>
      <c r="I1573" s="11">
        <v>1.0323915666494801</v>
      </c>
      <c r="J1573" s="10">
        <v>0.30188872103115899</v>
      </c>
      <c r="K1573" s="29">
        <v>0.98289565623980701</v>
      </c>
    </row>
    <row r="1574" spans="1:11" x14ac:dyDescent="0.35">
      <c r="A1574" s="9" t="str">
        <f>HYPERLINK("http://www.ensembl.org/id/WBGene00009077", "WBGene00009077")</f>
        <v>WBGene00009077</v>
      </c>
      <c r="B1574" s="9" t="str">
        <f>HYPERLINK("http://www.ncbi.nlm.nih.gov/gene/184885", "184885")</f>
        <v>184885</v>
      </c>
      <c r="C1574" s="9"/>
      <c r="D1574" t="str">
        <f>"F23B2.10"</f>
        <v>F23B2.10</v>
      </c>
      <c r="F1574" t="s">
        <v>11</v>
      </c>
      <c r="G1574" t="s">
        <v>51</v>
      </c>
      <c r="H1574" s="12">
        <v>3.6444830069407601</v>
      </c>
      <c r="I1574" s="11">
        <v>0.85861597893727004</v>
      </c>
      <c r="J1574" s="10">
        <v>0.39055241939629198</v>
      </c>
      <c r="K1574" s="29">
        <v>0.98289565623980701</v>
      </c>
    </row>
    <row r="1575" spans="1:11" x14ac:dyDescent="0.35">
      <c r="A1575" s="9" t="str">
        <f>HYPERLINK("http://www.ensembl.org/id/WBGene00008678", "WBGene00008678")</f>
        <v>WBGene00008678</v>
      </c>
      <c r="B1575" s="9" t="str">
        <f>HYPERLINK("http://www.ncbi.nlm.nih.gov/gene/184337", "184337")</f>
        <v>184337</v>
      </c>
      <c r="C1575" s="9" t="str">
        <f>HYPERLINK("http://www.ncbi.nlm.nih.gov/gene/51144", "51144")</f>
        <v>51144</v>
      </c>
      <c r="D1575" t="str">
        <f>"stdh-2"</f>
        <v>stdh-2</v>
      </c>
      <c r="E1575" t="s">
        <v>4299</v>
      </c>
      <c r="F1575" t="s">
        <v>11</v>
      </c>
      <c r="G1575" t="s">
        <v>4300</v>
      </c>
      <c r="H1575" s="12">
        <v>3.6428376725873299</v>
      </c>
      <c r="I1575" s="11">
        <v>0.77619606408044295</v>
      </c>
      <c r="J1575" s="10">
        <v>0.43763322968230001</v>
      </c>
      <c r="K1575" s="29">
        <v>0.98289565623980701</v>
      </c>
    </row>
    <row r="1576" spans="1:11" x14ac:dyDescent="0.35">
      <c r="A1576" s="9" t="str">
        <f>HYPERLINK("http://www.ensembl.org/id/WBGene00007246", "WBGene00007246")</f>
        <v>WBGene00007246</v>
      </c>
      <c r="B1576" s="9" t="str">
        <f>HYPERLINK("http://www.ncbi.nlm.nih.gov/gene/182088", "182088")</f>
        <v>182088</v>
      </c>
      <c r="C1576" s="9"/>
      <c r="D1576" t="str">
        <f>"nspb-10"</f>
        <v>nspb-10</v>
      </c>
      <c r="E1576" t="s">
        <v>1851</v>
      </c>
      <c r="F1576" t="s">
        <v>11</v>
      </c>
      <c r="H1576" s="12">
        <v>3.6411813568658902</v>
      </c>
      <c r="I1576" s="11">
        <v>0.945298496479682</v>
      </c>
      <c r="J1576" s="10">
        <v>0.344506505802955</v>
      </c>
      <c r="K1576" s="29">
        <v>0.98289565623980701</v>
      </c>
    </row>
    <row r="1577" spans="1:11" x14ac:dyDescent="0.35">
      <c r="A1577" s="9" t="str">
        <f>HYPERLINK("http://www.ensembl.org/id/WBGene00017488", "WBGene00017488")</f>
        <v>WBGene00017488</v>
      </c>
      <c r="B1577" s="9" t="str">
        <f>HYPERLINK("http://www.ncbi.nlm.nih.gov/gene/184536", "184536")</f>
        <v>184536</v>
      </c>
      <c r="C1577" s="9"/>
      <c r="D1577" t="str">
        <f>"dct-7"</f>
        <v>dct-7</v>
      </c>
      <c r="E1577" t="s">
        <v>1725</v>
      </c>
      <c r="F1577" t="s">
        <v>11</v>
      </c>
      <c r="H1577" s="12">
        <v>3.64090225837512</v>
      </c>
      <c r="I1577" s="11">
        <v>1.51796030633524</v>
      </c>
      <c r="J1577" s="10">
        <v>0.12902440550009001</v>
      </c>
      <c r="K1577" s="29">
        <v>0.81059291220877405</v>
      </c>
    </row>
    <row r="1578" spans="1:11" x14ac:dyDescent="0.35">
      <c r="A1578" s="9" t="str">
        <f>HYPERLINK("http://www.ensembl.org/id/WBGene00169629", "WBGene00169629")</f>
        <v>WBGene00169629</v>
      </c>
      <c r="B1578" s="9"/>
      <c r="C1578" s="9"/>
      <c r="D1578" t="str">
        <f>"21ur-9619"</f>
        <v>21ur-9619</v>
      </c>
      <c r="F1578" t="s">
        <v>3161</v>
      </c>
      <c r="H1578" s="12">
        <v>3.63773329903271</v>
      </c>
      <c r="I1578" s="11">
        <v>0.57647651198805905</v>
      </c>
      <c r="J1578" s="10">
        <v>0.56429314143299902</v>
      </c>
      <c r="K1578" s="29">
        <v>0.98289565623980701</v>
      </c>
    </row>
    <row r="1579" spans="1:11" x14ac:dyDescent="0.35">
      <c r="A1579" s="9" t="str">
        <f>HYPERLINK("http://www.ensembl.org/id/WBGene00008088", "WBGene00008088")</f>
        <v>WBGene00008088</v>
      </c>
      <c r="B1579" s="9" t="str">
        <f>HYPERLINK("http://www.ncbi.nlm.nih.gov/gene/183456", "183456")</f>
        <v>183456</v>
      </c>
      <c r="C1579" s="9"/>
      <c r="D1579" t="str">
        <f>"C44C10.7"</f>
        <v>C44C10.7</v>
      </c>
      <c r="F1579" t="s">
        <v>11</v>
      </c>
      <c r="G1579" t="s">
        <v>4301</v>
      </c>
      <c r="H1579" s="12">
        <v>3.63645369143347</v>
      </c>
      <c r="I1579" s="11">
        <v>0.57608345993646903</v>
      </c>
      <c r="J1579" s="10">
        <v>0.56455877064110604</v>
      </c>
      <c r="K1579" s="29">
        <v>0.98289565623980701</v>
      </c>
    </row>
    <row r="1580" spans="1:11" x14ac:dyDescent="0.35">
      <c r="A1580" s="9" t="str">
        <f>HYPERLINK("http://www.ensembl.org/id/WBGene00017941", "WBGene00017941")</f>
        <v>WBGene00017941</v>
      </c>
      <c r="B1580" s="9"/>
      <c r="C1580" s="9"/>
      <c r="D1580" t="str">
        <f>"F31A9.2"</f>
        <v>F31A9.2</v>
      </c>
      <c r="F1580" t="s">
        <v>1510</v>
      </c>
      <c r="H1580" s="12">
        <v>3.62851008734197</v>
      </c>
      <c r="I1580" s="11">
        <v>1.1557862685979901</v>
      </c>
      <c r="J1580" s="10">
        <v>0.24776859099106099</v>
      </c>
      <c r="K1580" s="29">
        <v>0.98289565623980701</v>
      </c>
    </row>
    <row r="1581" spans="1:11" x14ac:dyDescent="0.35">
      <c r="A1581" s="9" t="str">
        <f>HYPERLINK("http://www.ensembl.org/id/WBGene00006075", "WBGene00006075")</f>
        <v>WBGene00006075</v>
      </c>
      <c r="B1581" s="9" t="str">
        <f>HYPERLINK("http://www.ncbi.nlm.nih.gov/gene/184824", "184824")</f>
        <v>184824</v>
      </c>
      <c r="C1581" s="9"/>
      <c r="D1581" t="str">
        <f>"str-7"</f>
        <v>str-7</v>
      </c>
      <c r="E1581" t="s">
        <v>590</v>
      </c>
      <c r="F1581" t="s">
        <v>11</v>
      </c>
      <c r="G1581" t="s">
        <v>25</v>
      </c>
      <c r="H1581" s="12">
        <v>3.6269373828065001</v>
      </c>
      <c r="I1581" s="11">
        <v>0.92947767008378301</v>
      </c>
      <c r="J1581" s="10">
        <v>0.35264159228332098</v>
      </c>
      <c r="K1581" s="29">
        <v>0.98289565623980701</v>
      </c>
    </row>
    <row r="1582" spans="1:11" x14ac:dyDescent="0.35">
      <c r="A1582" s="9" t="str">
        <f>HYPERLINK("http://www.ensembl.org/id/WBGene00013649", "WBGene00013649")</f>
        <v>WBGene00013649</v>
      </c>
      <c r="B1582" s="9" t="str">
        <f>HYPERLINK("http://www.ncbi.nlm.nih.gov/gene/190891", "190891")</f>
        <v>190891</v>
      </c>
      <c r="C1582" s="9"/>
      <c r="D1582" t="str">
        <f>"Y105C5B.8"</f>
        <v>Y105C5B.8</v>
      </c>
      <c r="F1582" t="s">
        <v>11</v>
      </c>
      <c r="G1582" t="s">
        <v>2456</v>
      </c>
      <c r="H1582" s="12">
        <v>3.6248685081941701</v>
      </c>
      <c r="I1582" s="11">
        <v>1.6789875505824901</v>
      </c>
      <c r="J1582" s="10">
        <v>9.3154470071468903E-2</v>
      </c>
      <c r="K1582" s="29">
        <v>0.70594528877381402</v>
      </c>
    </row>
    <row r="1583" spans="1:11" x14ac:dyDescent="0.35">
      <c r="A1583" s="9" t="str">
        <f>HYPERLINK("http://www.ensembl.org/id/WBGene00008269", "WBGene00008269")</f>
        <v>WBGene00008269</v>
      </c>
      <c r="B1583" s="9" t="str">
        <f>HYPERLINK("http://www.ncbi.nlm.nih.gov/gene/183741", "183741")</f>
        <v>183741</v>
      </c>
      <c r="C1583" s="9"/>
      <c r="D1583" t="str">
        <f>"C53A5.11"</f>
        <v>C53A5.11</v>
      </c>
      <c r="F1583" t="s">
        <v>11</v>
      </c>
      <c r="G1583" t="s">
        <v>54</v>
      </c>
      <c r="H1583" s="12">
        <v>3.6195245652599799</v>
      </c>
      <c r="I1583" s="11">
        <v>0.58604860460974495</v>
      </c>
      <c r="J1583" s="10">
        <v>0.55784285276201095</v>
      </c>
      <c r="K1583" s="29">
        <v>0.98289565623980701</v>
      </c>
    </row>
    <row r="1584" spans="1:11" x14ac:dyDescent="0.35">
      <c r="A1584" s="9" t="str">
        <f>HYPERLINK("http://www.ensembl.org/id/WBGene00007507", "WBGene00007507")</f>
        <v>WBGene00007507</v>
      </c>
      <c r="B1584" s="9" t="str">
        <f>HYPERLINK("http://www.ncbi.nlm.nih.gov/gene/177767", "177767")</f>
        <v>177767</v>
      </c>
      <c r="C1584" s="9" t="str">
        <f>HYPERLINK("http://www.ncbi.nlm.nih.gov/gene/95", "95")</f>
        <v>95</v>
      </c>
      <c r="D1584" t="str">
        <f>"C10C5.3"</f>
        <v>C10C5.3</v>
      </c>
      <c r="E1584" t="s">
        <v>254</v>
      </c>
      <c r="F1584" t="s">
        <v>11</v>
      </c>
      <c r="G1584" t="s">
        <v>255</v>
      </c>
      <c r="H1584" s="12">
        <v>3.6123625624389399</v>
      </c>
      <c r="I1584" s="11">
        <v>4.2913882131690899</v>
      </c>
      <c r="J1584" s="10">
        <v>1.7755958297831701E-5</v>
      </c>
      <c r="K1584" s="29">
        <v>1.64766735915542E-3</v>
      </c>
    </row>
    <row r="1585" spans="1:11" x14ac:dyDescent="0.35">
      <c r="A1585" s="9" t="str">
        <f>HYPERLINK("http://www.ensembl.org/id/WBGene00010092", "WBGene00010092")</f>
        <v>WBGene00010092</v>
      </c>
      <c r="B1585" s="9"/>
      <c r="C1585" s="9"/>
      <c r="D1585" t="str">
        <f>"F55C5.2"</f>
        <v>F55C5.2</v>
      </c>
      <c r="F1585" t="s">
        <v>80</v>
      </c>
      <c r="H1585" s="12">
        <v>3.60363369526491</v>
      </c>
      <c r="I1585" s="11">
        <v>0.91218374249952205</v>
      </c>
      <c r="J1585" s="10">
        <v>0.36167200065784399</v>
      </c>
      <c r="K1585" s="29">
        <v>0.98289565623980701</v>
      </c>
    </row>
    <row r="1586" spans="1:11" x14ac:dyDescent="0.35">
      <c r="A1586" s="9" t="str">
        <f>HYPERLINK("http://www.ensembl.org/id/WBGene00020270", "WBGene00020270")</f>
        <v>WBGene00020270</v>
      </c>
      <c r="B1586" s="9" t="str">
        <f>HYPERLINK("http://www.ncbi.nlm.nih.gov/gene/188151", "188151")</f>
        <v>188151</v>
      </c>
      <c r="C1586" s="9"/>
      <c r="D1586" t="str">
        <f>"T05H4.7"</f>
        <v>T05H4.7</v>
      </c>
      <c r="F1586" t="s">
        <v>11</v>
      </c>
      <c r="G1586" t="s">
        <v>3404</v>
      </c>
      <c r="H1586" s="12">
        <v>3.5905906856028098</v>
      </c>
      <c r="I1586" s="11">
        <v>1.3929422561104401</v>
      </c>
      <c r="J1586" s="10">
        <v>0.163637252939455</v>
      </c>
      <c r="K1586" s="29">
        <v>0.88217507382618698</v>
      </c>
    </row>
    <row r="1587" spans="1:11" x14ac:dyDescent="0.35">
      <c r="A1587" s="9" t="str">
        <f>HYPERLINK("http://www.ensembl.org/id/WBGene00003275", "WBGene00003275")</f>
        <v>WBGene00003275</v>
      </c>
      <c r="B1587" s="9"/>
      <c r="C1587" s="9"/>
      <c r="D1587" t="str">
        <f>"mir-47"</f>
        <v>mir-47</v>
      </c>
      <c r="F1587" t="s">
        <v>1486</v>
      </c>
      <c r="H1587" s="12">
        <v>3.5891807454774201</v>
      </c>
      <c r="I1587" s="11">
        <v>0.62369846953748798</v>
      </c>
      <c r="J1587" s="10">
        <v>0.53282562838129999</v>
      </c>
      <c r="K1587" s="29">
        <v>0.98289565623980701</v>
      </c>
    </row>
    <row r="1588" spans="1:11" x14ac:dyDescent="0.35">
      <c r="A1588" s="9" t="str">
        <f>HYPERLINK("http://www.ensembl.org/id/WBGene00021971", "WBGene00021971")</f>
        <v>WBGene00021971</v>
      </c>
      <c r="B1588" s="9"/>
      <c r="C1588" s="9"/>
      <c r="D1588" t="str">
        <f>"Y57G7A.8"</f>
        <v>Y57G7A.8</v>
      </c>
      <c r="F1588" t="s">
        <v>80</v>
      </c>
      <c r="H1588" s="12">
        <v>3.5849796913175398</v>
      </c>
      <c r="I1588" s="11">
        <v>1.0285213268951501</v>
      </c>
      <c r="J1588" s="10">
        <v>0.30370466404337398</v>
      </c>
      <c r="K1588" s="29">
        <v>0.98289565623980701</v>
      </c>
    </row>
    <row r="1589" spans="1:11" x14ac:dyDescent="0.35">
      <c r="A1589" s="9" t="str">
        <f>HYPERLINK("http://www.ensembl.org/id/WBGene00271640", "WBGene00271640")</f>
        <v>WBGene00271640</v>
      </c>
      <c r="B1589" s="9"/>
      <c r="C1589" s="9"/>
      <c r="D1589" t="str">
        <f>"Y66H1A.9"</f>
        <v>Y66H1A.9</v>
      </c>
      <c r="F1589" t="s">
        <v>481</v>
      </c>
      <c r="H1589" s="12">
        <v>3.5848161305969599</v>
      </c>
      <c r="I1589" s="11">
        <v>0.76978882380909697</v>
      </c>
      <c r="J1589" s="10">
        <v>0.44142517037072598</v>
      </c>
      <c r="K1589" s="29">
        <v>0.98289565623980701</v>
      </c>
    </row>
    <row r="1590" spans="1:11" x14ac:dyDescent="0.35">
      <c r="A1590" s="9" t="str">
        <f>HYPERLINK("http://www.ensembl.org/id/WBGene00017073", "WBGene00017073")</f>
        <v>WBGene00017073</v>
      </c>
      <c r="B1590" s="9" t="str">
        <f>HYPERLINK("http://www.ncbi.nlm.nih.gov/gene/177633", "177633")</f>
        <v>177633</v>
      </c>
      <c r="C1590" s="9"/>
      <c r="D1590" t="str">
        <f>"D2096.6"</f>
        <v>D2096.6</v>
      </c>
      <c r="F1590" t="s">
        <v>11</v>
      </c>
      <c r="G1590" t="s">
        <v>1683</v>
      </c>
      <c r="H1590" s="12">
        <v>3.5813570651843398</v>
      </c>
      <c r="I1590" s="11">
        <v>2.03015628449783</v>
      </c>
      <c r="J1590" s="10">
        <v>4.2340655829270199E-2</v>
      </c>
      <c r="K1590" s="29">
        <v>0.47793023624382802</v>
      </c>
    </row>
    <row r="1591" spans="1:11" x14ac:dyDescent="0.35">
      <c r="A1591" s="9" t="str">
        <f>HYPERLINK("http://www.ensembl.org/id/WBGene00013646", "WBGene00013646")</f>
        <v>WBGene00013646</v>
      </c>
      <c r="B1591" s="9" t="str">
        <f>HYPERLINK("http://www.ncbi.nlm.nih.gov/gene/190886", "190886")</f>
        <v>190886</v>
      </c>
      <c r="C1591" s="9"/>
      <c r="D1591" t="str">
        <f>"Y105C5B.3"</f>
        <v>Y105C5B.3</v>
      </c>
      <c r="E1591" t="s">
        <v>1200</v>
      </c>
      <c r="F1591" t="s">
        <v>11</v>
      </c>
      <c r="G1591" t="s">
        <v>1201</v>
      </c>
      <c r="H1591" s="12">
        <v>3.5773690862740501</v>
      </c>
      <c r="I1591" s="11">
        <v>2.3970008916632501</v>
      </c>
      <c r="J1591" s="10">
        <v>1.6529883488081099E-2</v>
      </c>
      <c r="K1591" s="29">
        <v>0.26897147033493102</v>
      </c>
    </row>
    <row r="1592" spans="1:11" x14ac:dyDescent="0.35">
      <c r="A1592" s="9" t="str">
        <f>HYPERLINK("http://www.ensembl.org/id/WBGene00016287", "WBGene00016287")</f>
        <v>WBGene00016287</v>
      </c>
      <c r="B1592" s="9" t="str">
        <f>HYPERLINK("http://www.ncbi.nlm.nih.gov/gene/183095", "183095")</f>
        <v>183095</v>
      </c>
      <c r="C1592" s="9"/>
      <c r="D1592" t="str">
        <f>"C31H1.2"</f>
        <v>C31H1.2</v>
      </c>
      <c r="F1592" t="s">
        <v>11</v>
      </c>
      <c r="G1592" t="s">
        <v>25</v>
      </c>
      <c r="H1592" s="12">
        <v>3.5701387746127899</v>
      </c>
      <c r="I1592" s="11">
        <v>0.80058296831654896</v>
      </c>
      <c r="J1592" s="10">
        <v>0.42337311394182803</v>
      </c>
      <c r="K1592" s="29">
        <v>0.98289565623980701</v>
      </c>
    </row>
    <row r="1593" spans="1:11" x14ac:dyDescent="0.35">
      <c r="A1593" s="9" t="str">
        <f>HYPERLINK("http://www.ensembl.org/id/WBGene00012379", "WBGene00012379")</f>
        <v>WBGene00012379</v>
      </c>
      <c r="B1593" s="9" t="str">
        <f>HYPERLINK("http://www.ncbi.nlm.nih.gov/gene/175515", "175515")</f>
        <v>175515</v>
      </c>
      <c r="C1593" s="9"/>
      <c r="D1593" t="str">
        <f>"Y1A5A.1"</f>
        <v>Y1A5A.1</v>
      </c>
      <c r="F1593" t="s">
        <v>11</v>
      </c>
      <c r="G1593" t="s">
        <v>4204</v>
      </c>
      <c r="H1593" s="12">
        <v>3.5690760151780498</v>
      </c>
      <c r="I1593" s="11">
        <v>0.91372516866876596</v>
      </c>
      <c r="J1593" s="10">
        <v>0.36086127553331698</v>
      </c>
      <c r="K1593" s="29">
        <v>0.98289565623980701</v>
      </c>
    </row>
    <row r="1594" spans="1:11" x14ac:dyDescent="0.35">
      <c r="A1594" s="9" t="str">
        <f>HYPERLINK("http://www.ensembl.org/id/WBGene00017754", "WBGene00017754")</f>
        <v>WBGene00017754</v>
      </c>
      <c r="B1594" s="9" t="str">
        <f>HYPERLINK("http://www.ncbi.nlm.nih.gov/gene/184907", "184907")</f>
        <v>184907</v>
      </c>
      <c r="C1594" s="9"/>
      <c r="D1594" t="str">
        <f>"F23F12.8"</f>
        <v>F23F12.8</v>
      </c>
      <c r="F1594" t="s">
        <v>11</v>
      </c>
      <c r="G1594" t="s">
        <v>770</v>
      </c>
      <c r="H1594" s="12">
        <v>3.56813105786207</v>
      </c>
      <c r="I1594" s="11">
        <v>2.87163868071455</v>
      </c>
      <c r="J1594" s="10">
        <v>4.0834956505286903E-3</v>
      </c>
      <c r="K1594" s="29">
        <v>0.106613842374142</v>
      </c>
    </row>
    <row r="1595" spans="1:11" x14ac:dyDescent="0.35">
      <c r="A1595" s="9" t="str">
        <f>HYPERLINK("http://www.ensembl.org/id/WBGene00022505", "WBGene00022505")</f>
        <v>WBGene00022505</v>
      </c>
      <c r="B1595" s="9" t="str">
        <f>HYPERLINK("http://www.ncbi.nlm.nih.gov/gene/191053", "191053")</f>
        <v>191053</v>
      </c>
      <c r="C1595" s="9"/>
      <c r="D1595" t="str">
        <f>"ZC21.3"</f>
        <v>ZC21.3</v>
      </c>
      <c r="F1595" t="s">
        <v>11</v>
      </c>
      <c r="H1595" s="12">
        <v>3.5619024186747299</v>
      </c>
      <c r="I1595" s="11">
        <v>6.2299657063683496</v>
      </c>
      <c r="J1595" s="10">
        <v>4.6653728889043404E-10</v>
      </c>
      <c r="K1595" s="29">
        <v>2.9943918325284298E-7</v>
      </c>
    </row>
    <row r="1596" spans="1:11" x14ac:dyDescent="0.35">
      <c r="A1596" s="9" t="str">
        <f>HYPERLINK("http://www.ensembl.org/id/WBGene00000725", "WBGene00000725")</f>
        <v>WBGene00000725</v>
      </c>
      <c r="B1596" s="9" t="str">
        <f>HYPERLINK("http://www.ncbi.nlm.nih.gov/gene/185212", "185212")</f>
        <v>185212</v>
      </c>
      <c r="C1596" s="9"/>
      <c r="D1596" t="str">
        <f>"col-152"</f>
        <v>col-152</v>
      </c>
      <c r="E1596" t="s">
        <v>40</v>
      </c>
      <c r="F1596" t="s">
        <v>11</v>
      </c>
      <c r="G1596" t="s">
        <v>41</v>
      </c>
      <c r="H1596" s="12">
        <v>3.5604265844901599</v>
      </c>
      <c r="I1596" s="11">
        <v>1.0817913089917199</v>
      </c>
      <c r="J1596" s="10">
        <v>0.27934526928115</v>
      </c>
      <c r="K1596" s="29">
        <v>0.98289565623980701</v>
      </c>
    </row>
    <row r="1597" spans="1:11" x14ac:dyDescent="0.35">
      <c r="A1597" s="9" t="str">
        <f>HYPERLINK("http://www.ensembl.org/id/WBGene00010854", "WBGene00010854")</f>
        <v>WBGene00010854</v>
      </c>
      <c r="B1597" s="9" t="str">
        <f>HYPERLINK("http://www.ncbi.nlm.nih.gov/gene/187437", "187437")</f>
        <v>187437</v>
      </c>
      <c r="C1597" s="9"/>
      <c r="D1597" t="str">
        <f>"M04C7.3"</f>
        <v>M04C7.3</v>
      </c>
      <c r="F1597" t="s">
        <v>11</v>
      </c>
      <c r="H1597" s="12">
        <v>3.5592998890273599</v>
      </c>
      <c r="I1597" s="11">
        <v>0.94988530414067096</v>
      </c>
      <c r="J1597" s="10">
        <v>0.34217053483562898</v>
      </c>
      <c r="K1597" s="29">
        <v>0.98289565623980701</v>
      </c>
    </row>
    <row r="1598" spans="1:11" x14ac:dyDescent="0.35">
      <c r="A1598" s="9" t="str">
        <f>HYPERLINK("http://www.ensembl.org/id/WBGene00018752", "WBGene00018752")</f>
        <v>WBGene00018752</v>
      </c>
      <c r="B1598" s="9" t="str">
        <f>HYPERLINK("http://www.ncbi.nlm.nih.gov/gene/186162", "186162")</f>
        <v>186162</v>
      </c>
      <c r="C1598" s="9"/>
      <c r="D1598" t="str">
        <f>"F53C3.8"</f>
        <v>F53C3.8</v>
      </c>
      <c r="F1598" t="s">
        <v>11</v>
      </c>
      <c r="H1598" s="12">
        <v>3.55418952341725</v>
      </c>
      <c r="I1598" s="11">
        <v>1.124986417666</v>
      </c>
      <c r="J1598" s="10">
        <v>0.260594789876329</v>
      </c>
      <c r="K1598" s="29">
        <v>0.98289565623980701</v>
      </c>
    </row>
    <row r="1599" spans="1:11" x14ac:dyDescent="0.35">
      <c r="A1599" s="9" t="str">
        <f>HYPERLINK("http://www.ensembl.org/id/WBGene00005016", "WBGene00005016")</f>
        <v>WBGene00005016</v>
      </c>
      <c r="B1599" s="9" t="str">
        <f>HYPERLINK("http://www.ncbi.nlm.nih.gov/gene/174731", "174731")</f>
        <v>174731</v>
      </c>
      <c r="C1599" s="9"/>
      <c r="D1599" t="str">
        <f>"sqt-1"</f>
        <v>sqt-1</v>
      </c>
      <c r="E1599" t="s">
        <v>4302</v>
      </c>
      <c r="F1599" t="s">
        <v>11</v>
      </c>
      <c r="G1599" t="s">
        <v>4303</v>
      </c>
      <c r="H1599" s="12">
        <v>3.55345724109845</v>
      </c>
      <c r="I1599" s="11">
        <v>0.42537805223630099</v>
      </c>
      <c r="J1599" s="10">
        <v>0.670561102952972</v>
      </c>
      <c r="K1599" s="29">
        <v>0.98289565623980701</v>
      </c>
    </row>
    <row r="1600" spans="1:11" x14ac:dyDescent="0.35">
      <c r="A1600" s="9" t="str">
        <f>HYPERLINK("http://www.ensembl.org/id/WBGene00003334", "WBGene00003334")</f>
        <v>WBGene00003334</v>
      </c>
      <c r="B1600" s="9"/>
      <c r="C1600" s="9"/>
      <c r="D1600" t="str">
        <f>"mir-240"</f>
        <v>mir-240</v>
      </c>
      <c r="F1600" t="s">
        <v>1486</v>
      </c>
      <c r="H1600" s="12">
        <v>3.5518690361809102</v>
      </c>
      <c r="I1600" s="11">
        <v>0.53231093426673404</v>
      </c>
      <c r="J1600" s="10">
        <v>0.59451066039691003</v>
      </c>
      <c r="K1600" s="29">
        <v>0.98289565623980701</v>
      </c>
    </row>
    <row r="1601" spans="1:11" x14ac:dyDescent="0.35">
      <c r="A1601" s="9" t="str">
        <f>HYPERLINK("http://www.ensembl.org/id/WBGene00015175", "WBGene00015175")</f>
        <v>WBGene00015175</v>
      </c>
      <c r="B1601" s="9" t="str">
        <f>HYPERLINK("http://www.ncbi.nlm.nih.gov/gene/181982", "181982")</f>
        <v>181982</v>
      </c>
      <c r="C1601" s="9"/>
      <c r="D1601" t="str">
        <f>"srz-4"</f>
        <v>srz-4</v>
      </c>
      <c r="E1601" t="s">
        <v>4211</v>
      </c>
      <c r="F1601" t="s">
        <v>11</v>
      </c>
      <c r="G1601" t="s">
        <v>25</v>
      </c>
      <c r="H1601" s="12">
        <v>3.5518690361809102</v>
      </c>
      <c r="I1601" s="11">
        <v>0.53231093426673404</v>
      </c>
      <c r="J1601" s="10">
        <v>0.59451066039691003</v>
      </c>
      <c r="K1601" s="29">
        <v>0.98289565623980701</v>
      </c>
    </row>
    <row r="1602" spans="1:11" x14ac:dyDescent="0.35">
      <c r="A1602" s="9" t="str">
        <f>HYPERLINK("http://www.ensembl.org/id/WBGene00219708", "WBGene00219708")</f>
        <v>WBGene00219708</v>
      </c>
      <c r="B1602" s="9"/>
      <c r="C1602" s="9"/>
      <c r="D1602" t="str">
        <f>"linc-13"</f>
        <v>linc-13</v>
      </c>
      <c r="F1602" t="s">
        <v>1510</v>
      </c>
      <c r="H1602" s="12">
        <v>3.5482868012386599</v>
      </c>
      <c r="I1602" s="11">
        <v>1.3793456936148401</v>
      </c>
      <c r="J1602" s="10">
        <v>0.16778819448989299</v>
      </c>
      <c r="K1602" s="29">
        <v>0.88757189145683701</v>
      </c>
    </row>
    <row r="1603" spans="1:11" x14ac:dyDescent="0.35">
      <c r="A1603" s="9" t="str">
        <f>HYPERLINK("http://www.ensembl.org/id/WBGene00022404", "WBGene00022404")</f>
        <v>WBGene00022404</v>
      </c>
      <c r="B1603" s="9" t="str">
        <f>HYPERLINK("http://www.ncbi.nlm.nih.gov/gene/190817", "190817")</f>
        <v>190817</v>
      </c>
      <c r="C1603" s="9"/>
      <c r="D1603" t="str">
        <f>"srsx-5"</f>
        <v>srsx-5</v>
      </c>
      <c r="E1603" t="s">
        <v>1639</v>
      </c>
      <c r="F1603" t="s">
        <v>11</v>
      </c>
      <c r="G1603" t="s">
        <v>1089</v>
      </c>
      <c r="H1603" s="12">
        <v>3.5450014145186599</v>
      </c>
      <c r="I1603" s="11">
        <v>0.80337134827088297</v>
      </c>
      <c r="J1603" s="10">
        <v>0.42176013036683502</v>
      </c>
      <c r="K1603" s="29">
        <v>0.98289565623980701</v>
      </c>
    </row>
    <row r="1604" spans="1:11" x14ac:dyDescent="0.35">
      <c r="A1604" s="9" t="str">
        <f>HYPERLINK("http://www.ensembl.org/id/WBGene00000598", "WBGene00000598")</f>
        <v>WBGene00000598</v>
      </c>
      <c r="B1604" s="9" t="str">
        <f>HYPERLINK("http://www.ncbi.nlm.nih.gov/gene/186210", "186210")</f>
        <v>186210</v>
      </c>
      <c r="C1604" s="9"/>
      <c r="D1604" t="str">
        <f>"col-9"</f>
        <v>col-9</v>
      </c>
      <c r="E1604" t="s">
        <v>40</v>
      </c>
      <c r="F1604" t="s">
        <v>11</v>
      </c>
      <c r="G1604" t="s">
        <v>41</v>
      </c>
      <c r="H1604" s="12">
        <v>3.5403753733024699</v>
      </c>
      <c r="I1604" s="11">
        <v>0.91420156220085702</v>
      </c>
      <c r="J1604" s="10">
        <v>0.36061094344494399</v>
      </c>
      <c r="K1604" s="29">
        <v>0.98289565623980701</v>
      </c>
    </row>
    <row r="1605" spans="1:11" x14ac:dyDescent="0.35">
      <c r="A1605" s="9" t="str">
        <f>HYPERLINK("http://www.ensembl.org/id/WBGene00009338", "WBGene00009338")</f>
        <v>WBGene00009338</v>
      </c>
      <c r="B1605" s="9" t="str">
        <f>HYPERLINK("http://www.ncbi.nlm.nih.gov/gene/185211", "185211")</f>
        <v>185211</v>
      </c>
      <c r="C1605" s="9"/>
      <c r="D1605" t="str">
        <f>"F32G8.2"</f>
        <v>F32G8.2</v>
      </c>
      <c r="F1605" t="s">
        <v>11</v>
      </c>
      <c r="G1605" t="s">
        <v>1180</v>
      </c>
      <c r="H1605" s="12">
        <v>3.5389200791028501</v>
      </c>
      <c r="I1605" s="11">
        <v>2.4123323666331098</v>
      </c>
      <c r="J1605" s="10">
        <v>1.5850824588670199E-2</v>
      </c>
      <c r="K1605" s="29">
        <v>0.26179353319929499</v>
      </c>
    </row>
    <row r="1606" spans="1:11" x14ac:dyDescent="0.35">
      <c r="A1606" s="9" t="str">
        <f>HYPERLINK("http://www.ensembl.org/id/WBGene00015306", "WBGene00015306")</f>
        <v>WBGene00015306</v>
      </c>
      <c r="B1606" s="9" t="str">
        <f>HYPERLINK("http://www.ncbi.nlm.nih.gov/gene/177414", "177414")</f>
        <v>177414</v>
      </c>
      <c r="C1606" s="9"/>
      <c r="D1606" t="str">
        <f>"C01G5.4"</f>
        <v>C01G5.4</v>
      </c>
      <c r="F1606" t="s">
        <v>11</v>
      </c>
      <c r="G1606" t="s">
        <v>25</v>
      </c>
      <c r="H1606" s="12">
        <v>3.5378795215576102</v>
      </c>
      <c r="I1606" s="11">
        <v>0.73319923604588599</v>
      </c>
      <c r="J1606" s="10">
        <v>0.46343692123691999</v>
      </c>
      <c r="K1606" s="29">
        <v>0.98289565623980701</v>
      </c>
    </row>
    <row r="1607" spans="1:11" x14ac:dyDescent="0.35">
      <c r="A1607" s="9" t="str">
        <f>HYPERLINK("http://www.ensembl.org/id/WBGene00004748", "WBGene00004748")</f>
        <v>WBGene00004748</v>
      </c>
      <c r="B1607" s="9" t="str">
        <f>HYPERLINK("http://www.ncbi.nlm.nih.gov/gene/189901", "189901")</f>
        <v>189901</v>
      </c>
      <c r="C1607" s="9"/>
      <c r="D1607" t="str">
        <f>"sdf-9"</f>
        <v>sdf-9</v>
      </c>
      <c r="F1607" t="s">
        <v>11</v>
      </c>
      <c r="G1607" t="s">
        <v>93</v>
      </c>
      <c r="H1607" s="12">
        <v>3.5352376722444698</v>
      </c>
      <c r="I1607" s="11">
        <v>0.59113799449030202</v>
      </c>
      <c r="J1607" s="10">
        <v>0.554427964191888</v>
      </c>
      <c r="K1607" s="29">
        <v>0.98289565623980701</v>
      </c>
    </row>
    <row r="1608" spans="1:11" x14ac:dyDescent="0.35">
      <c r="A1608" s="9" t="str">
        <f>HYPERLINK("http://www.ensembl.org/id/WBGene00011429", "WBGene00011429")</f>
        <v>WBGene00011429</v>
      </c>
      <c r="B1608" s="9" t="str">
        <f>HYPERLINK("http://www.ncbi.nlm.nih.gov/gene/179530", "179530")</f>
        <v>179530</v>
      </c>
      <c r="C1608" s="9"/>
      <c r="D1608" t="str">
        <f>"T04C12.7"</f>
        <v>T04C12.7</v>
      </c>
      <c r="F1608" t="s">
        <v>11</v>
      </c>
      <c r="G1608" t="s">
        <v>25</v>
      </c>
      <c r="H1608" s="12">
        <v>3.5282666270788301</v>
      </c>
      <c r="I1608" s="11">
        <v>4.5372003782570101</v>
      </c>
      <c r="J1608" s="10">
        <v>5.7005937156149301E-6</v>
      </c>
      <c r="K1608" s="29">
        <v>6.5612961200096898E-4</v>
      </c>
    </row>
    <row r="1609" spans="1:11" x14ac:dyDescent="0.35">
      <c r="A1609" s="9" t="str">
        <f>HYPERLINK("http://www.ensembl.org/id/WBGene00018264", "WBGene00018264")</f>
        <v>WBGene00018264</v>
      </c>
      <c r="B1609" s="9" t="str">
        <f>HYPERLINK("http://www.ncbi.nlm.nih.gov/gene/185591", "185591")</f>
        <v>185591</v>
      </c>
      <c r="C1609" s="9" t="str">
        <f>HYPERLINK("http://www.ncbi.nlm.nih.gov/gene/1573", "1573")</f>
        <v>1573</v>
      </c>
      <c r="D1609" t="str">
        <f>"cyp-33C6"</f>
        <v>cyp-33C6</v>
      </c>
      <c r="E1609" t="s">
        <v>176</v>
      </c>
      <c r="F1609" t="s">
        <v>11</v>
      </c>
      <c r="G1609" t="s">
        <v>438</v>
      </c>
      <c r="H1609" s="12">
        <v>3.5271364473096698</v>
      </c>
      <c r="I1609" s="11">
        <v>1.82050479679791</v>
      </c>
      <c r="J1609" s="10">
        <v>6.8682166435863598E-2</v>
      </c>
      <c r="K1609" s="29">
        <v>0.62209727074365495</v>
      </c>
    </row>
    <row r="1610" spans="1:11" x14ac:dyDescent="0.35">
      <c r="A1610" s="9" t="str">
        <f>HYPERLINK("http://www.ensembl.org/id/WBGene00000029", "WBGene00000029")</f>
        <v>WBGene00000029</v>
      </c>
      <c r="B1610" s="9" t="str">
        <f>HYPERLINK("http://www.ncbi.nlm.nih.gov/gene/178903", "178903")</f>
        <v>178903</v>
      </c>
      <c r="C1610" s="9"/>
      <c r="D1610" t="str">
        <f>"abu-6"</f>
        <v>abu-6</v>
      </c>
      <c r="E1610" t="s">
        <v>913</v>
      </c>
      <c r="F1610" t="s">
        <v>11</v>
      </c>
      <c r="G1610" t="s">
        <v>4304</v>
      </c>
      <c r="H1610" s="12">
        <v>3.5249750596594298</v>
      </c>
      <c r="I1610" s="11">
        <v>0.57333788221919002</v>
      </c>
      <c r="J1610" s="10">
        <v>0.56641594054840005</v>
      </c>
      <c r="K1610" s="29">
        <v>0.98289565623980701</v>
      </c>
    </row>
    <row r="1611" spans="1:11" x14ac:dyDescent="0.35">
      <c r="A1611" s="9" t="str">
        <f>HYPERLINK("http://www.ensembl.org/id/WBGene00219865", "WBGene00219865")</f>
        <v>WBGene00219865</v>
      </c>
      <c r="B1611" s="9"/>
      <c r="C1611" s="9"/>
      <c r="D1611" t="str">
        <f>"C56G2.21"</f>
        <v>C56G2.21</v>
      </c>
      <c r="F1611" t="s">
        <v>481</v>
      </c>
      <c r="H1611" s="12">
        <v>3.5239874560944902</v>
      </c>
      <c r="I1611" s="11">
        <v>0.509496243098849</v>
      </c>
      <c r="J1611" s="10">
        <v>0.61040443102240705</v>
      </c>
      <c r="K1611" s="29">
        <v>0.98289565623980701</v>
      </c>
    </row>
    <row r="1612" spans="1:11" x14ac:dyDescent="0.35">
      <c r="A1612" s="9" t="str">
        <f>HYPERLINK("http://www.ensembl.org/id/WBGene00005678", "WBGene00005678")</f>
        <v>WBGene00005678</v>
      </c>
      <c r="B1612" s="9" t="str">
        <f>HYPERLINK("http://www.ncbi.nlm.nih.gov/gene/187983", "187983")</f>
        <v>187983</v>
      </c>
      <c r="C1612" s="9"/>
      <c r="D1612" t="str">
        <f>"sru-15"</f>
        <v>sru-15</v>
      </c>
      <c r="E1612" t="s">
        <v>2653</v>
      </c>
      <c r="F1612" t="s">
        <v>11</v>
      </c>
      <c r="G1612" t="s">
        <v>25</v>
      </c>
      <c r="H1612" s="12">
        <v>3.5239874560944902</v>
      </c>
      <c r="I1612" s="11">
        <v>0.509496243098849</v>
      </c>
      <c r="J1612" s="10">
        <v>0.61040443102240705</v>
      </c>
      <c r="K1612" s="29">
        <v>0.98289565623980701</v>
      </c>
    </row>
    <row r="1613" spans="1:11" x14ac:dyDescent="0.35">
      <c r="A1613" s="9" t="str">
        <f>HYPERLINK("http://www.ensembl.org/id/WBGene00006895", "WBGene00006895")</f>
        <v>WBGene00006895</v>
      </c>
      <c r="B1613" s="9"/>
      <c r="C1613" s="9"/>
      <c r="D1613" t="str">
        <f>"ver-2"</f>
        <v>ver-2</v>
      </c>
      <c r="F1613" t="s">
        <v>80</v>
      </c>
      <c r="H1613" s="12">
        <v>3.5239874560944902</v>
      </c>
      <c r="I1613" s="11">
        <v>0.509496243098849</v>
      </c>
      <c r="J1613" s="10">
        <v>0.61040443102240705</v>
      </c>
      <c r="K1613" s="29">
        <v>0.98289565623980701</v>
      </c>
    </row>
    <row r="1614" spans="1:11" x14ac:dyDescent="0.35">
      <c r="A1614" s="9" t="str">
        <f>HYPERLINK("http://www.ensembl.org/id/WBGene00008863", "WBGene00008863")</f>
        <v>WBGene00008863</v>
      </c>
      <c r="B1614" s="9" t="str">
        <f>HYPERLINK("http://www.ncbi.nlm.nih.gov/gene/184531", "184531")</f>
        <v>184531</v>
      </c>
      <c r="C1614" s="9"/>
      <c r="D1614" t="str">
        <f>"F15D4.6"</f>
        <v>F15D4.6</v>
      </c>
      <c r="F1614" t="s">
        <v>11</v>
      </c>
      <c r="H1614" s="12">
        <v>3.5230844782502202</v>
      </c>
      <c r="I1614" s="11">
        <v>2.0958863450044398</v>
      </c>
      <c r="J1614" s="10">
        <v>3.6092274312022901E-2</v>
      </c>
      <c r="K1614" s="29">
        <v>0.434347963673751</v>
      </c>
    </row>
    <row r="1615" spans="1:11" x14ac:dyDescent="0.35">
      <c r="A1615" s="9" t="str">
        <f>HYPERLINK("http://www.ensembl.org/id/WBGene00165284", "WBGene00165284")</f>
        <v>WBGene00165284</v>
      </c>
      <c r="B1615" s="9"/>
      <c r="C1615" s="9"/>
      <c r="D1615" t="str">
        <f>"21ur-11829"</f>
        <v>21ur-11829</v>
      </c>
      <c r="F1615" t="s">
        <v>3161</v>
      </c>
      <c r="H1615" s="12">
        <v>3.5227018545059199</v>
      </c>
      <c r="I1615" s="11">
        <v>0.36849691206929103</v>
      </c>
      <c r="J1615" s="10">
        <v>0.71250274722433404</v>
      </c>
      <c r="K1615" s="29">
        <v>0.98289565623980701</v>
      </c>
    </row>
    <row r="1616" spans="1:11" x14ac:dyDescent="0.35">
      <c r="A1616" s="9" t="str">
        <f>HYPERLINK("http://www.ensembl.org/id/WBGene00046581", "WBGene00046581")</f>
        <v>WBGene00046581</v>
      </c>
      <c r="B1616" s="9"/>
      <c r="C1616" s="9"/>
      <c r="D1616" t="str">
        <f>"21ur-1201"</f>
        <v>21ur-1201</v>
      </c>
      <c r="F1616" t="s">
        <v>3161</v>
      </c>
      <c r="H1616" s="12">
        <v>3.5227018545059199</v>
      </c>
      <c r="I1616" s="11">
        <v>0.36849691206929103</v>
      </c>
      <c r="J1616" s="10">
        <v>0.71250274722433404</v>
      </c>
      <c r="K1616" s="29">
        <v>0.98289565623980701</v>
      </c>
    </row>
    <row r="1617" spans="1:11" x14ac:dyDescent="0.35">
      <c r="A1617" s="9" t="str">
        <f>HYPERLINK("http://www.ensembl.org/id/WBGene00165570", "WBGene00165570")</f>
        <v>WBGene00165570</v>
      </c>
      <c r="B1617" s="9"/>
      <c r="C1617" s="9"/>
      <c r="D1617" t="str">
        <f>"21ur-12080"</f>
        <v>21ur-12080</v>
      </c>
      <c r="F1617" t="s">
        <v>3161</v>
      </c>
      <c r="H1617" s="12">
        <v>3.5227018545059199</v>
      </c>
      <c r="I1617" s="11">
        <v>0.36849691206929103</v>
      </c>
      <c r="J1617" s="10">
        <v>0.71250274722433404</v>
      </c>
      <c r="K1617" s="29">
        <v>0.98289565623980701</v>
      </c>
    </row>
    <row r="1618" spans="1:11" x14ac:dyDescent="0.35">
      <c r="A1618" s="9" t="str">
        <f>HYPERLINK("http://www.ensembl.org/id/WBGene00171975", "WBGene00171975")</f>
        <v>WBGene00171975</v>
      </c>
      <c r="B1618" s="9"/>
      <c r="C1618" s="9"/>
      <c r="D1618" t="str">
        <f>"21ur-12271"</f>
        <v>21ur-12271</v>
      </c>
      <c r="F1618" t="s">
        <v>3161</v>
      </c>
      <c r="H1618" s="12">
        <v>3.5227018545059199</v>
      </c>
      <c r="I1618" s="11">
        <v>0.36849691206929103</v>
      </c>
      <c r="J1618" s="10">
        <v>0.71250274722433404</v>
      </c>
      <c r="K1618" s="29">
        <v>0.98289565623980701</v>
      </c>
    </row>
    <row r="1619" spans="1:11" x14ac:dyDescent="0.35">
      <c r="A1619" s="9" t="str">
        <f>HYPERLINK("http://www.ensembl.org/id/WBGene00049694", "WBGene00049694")</f>
        <v>WBGene00049694</v>
      </c>
      <c r="B1619" s="9"/>
      <c r="C1619" s="9"/>
      <c r="D1619" t="str">
        <f>"21ur-1247"</f>
        <v>21ur-1247</v>
      </c>
      <c r="F1619" t="s">
        <v>3161</v>
      </c>
      <c r="H1619" s="12">
        <v>3.5227018545059199</v>
      </c>
      <c r="I1619" s="11">
        <v>0.36849691206929103</v>
      </c>
      <c r="J1619" s="10">
        <v>0.71250274722433404</v>
      </c>
      <c r="K1619" s="29">
        <v>0.98289565623980701</v>
      </c>
    </row>
    <row r="1620" spans="1:11" x14ac:dyDescent="0.35">
      <c r="A1620" s="9" t="str">
        <f>HYPERLINK("http://www.ensembl.org/id/WBGene00165999", "WBGene00165999")</f>
        <v>WBGene00165999</v>
      </c>
      <c r="B1620" s="9"/>
      <c r="C1620" s="9"/>
      <c r="D1620" t="str">
        <f>"21ur-13107"</f>
        <v>21ur-13107</v>
      </c>
      <c r="F1620" t="s">
        <v>3161</v>
      </c>
      <c r="H1620" s="12">
        <v>3.5227018545059199</v>
      </c>
      <c r="I1620" s="11">
        <v>0.36849691206929103</v>
      </c>
      <c r="J1620" s="10">
        <v>0.71250274722433404</v>
      </c>
      <c r="K1620" s="29">
        <v>0.98289565623980701</v>
      </c>
    </row>
    <row r="1621" spans="1:11" x14ac:dyDescent="0.35">
      <c r="A1621" s="9" t="str">
        <f>HYPERLINK("http://www.ensembl.org/id/WBGene00046679", "WBGene00046679")</f>
        <v>WBGene00046679</v>
      </c>
      <c r="B1621" s="9"/>
      <c r="C1621" s="9"/>
      <c r="D1621" t="str">
        <f>"21ur-1316"</f>
        <v>21ur-1316</v>
      </c>
      <c r="F1621" t="s">
        <v>3161</v>
      </c>
      <c r="H1621" s="12">
        <v>3.5227018545059199</v>
      </c>
      <c r="I1621" s="11">
        <v>0.36849691206929103</v>
      </c>
      <c r="J1621" s="10">
        <v>0.71250274722433404</v>
      </c>
      <c r="K1621" s="29">
        <v>0.98289565623980701</v>
      </c>
    </row>
    <row r="1622" spans="1:11" x14ac:dyDescent="0.35">
      <c r="A1622" s="9" t="str">
        <f>HYPERLINK("http://www.ensembl.org/id/WBGene00172426", "WBGene00172426")</f>
        <v>WBGene00172426</v>
      </c>
      <c r="B1622" s="9"/>
      <c r="C1622" s="9"/>
      <c r="D1622" t="str">
        <f>"21ur-13190"</f>
        <v>21ur-13190</v>
      </c>
      <c r="F1622" t="s">
        <v>3161</v>
      </c>
      <c r="H1622" s="12">
        <v>3.5227018545059199</v>
      </c>
      <c r="I1622" s="11">
        <v>0.36849691206929103</v>
      </c>
      <c r="J1622" s="10">
        <v>0.71250274722433404</v>
      </c>
      <c r="K1622" s="29">
        <v>0.98289565623980701</v>
      </c>
    </row>
    <row r="1623" spans="1:11" x14ac:dyDescent="0.35">
      <c r="A1623" s="9" t="str">
        <f>HYPERLINK("http://www.ensembl.org/id/WBGene00045987", "WBGene00045987")</f>
        <v>WBGene00045987</v>
      </c>
      <c r="B1623" s="9"/>
      <c r="C1623" s="9"/>
      <c r="D1623" t="str">
        <f>"21ur-1441"</f>
        <v>21ur-1441</v>
      </c>
      <c r="F1623" t="s">
        <v>3161</v>
      </c>
      <c r="H1623" s="12">
        <v>3.5227018545059199</v>
      </c>
      <c r="I1623" s="11">
        <v>0.36849691206929103</v>
      </c>
      <c r="J1623" s="10">
        <v>0.71250274722433404</v>
      </c>
      <c r="K1623" s="29">
        <v>0.98289565623980701</v>
      </c>
    </row>
    <row r="1624" spans="1:11" x14ac:dyDescent="0.35">
      <c r="A1624" s="9" t="str">
        <f>HYPERLINK("http://www.ensembl.org/id/WBGene00168565", "WBGene00168565")</f>
        <v>WBGene00168565</v>
      </c>
      <c r="B1624" s="9"/>
      <c r="C1624" s="9"/>
      <c r="D1624" t="str">
        <f>"21ur-14629"</f>
        <v>21ur-14629</v>
      </c>
      <c r="F1624" t="s">
        <v>3161</v>
      </c>
      <c r="H1624" s="12">
        <v>3.5227018545059199</v>
      </c>
      <c r="I1624" s="11">
        <v>0.36849691206929103</v>
      </c>
      <c r="J1624" s="10">
        <v>0.71250274722433404</v>
      </c>
      <c r="K1624" s="29">
        <v>0.98289565623980701</v>
      </c>
    </row>
    <row r="1625" spans="1:11" x14ac:dyDescent="0.35">
      <c r="A1625" s="9" t="str">
        <f>HYPERLINK("http://www.ensembl.org/id/WBGene00165601", "WBGene00165601")</f>
        <v>WBGene00165601</v>
      </c>
      <c r="B1625" s="9"/>
      <c r="C1625" s="9"/>
      <c r="D1625" t="str">
        <f>"21ur-14793"</f>
        <v>21ur-14793</v>
      </c>
      <c r="F1625" t="s">
        <v>3161</v>
      </c>
      <c r="H1625" s="12">
        <v>3.5227018545059199</v>
      </c>
      <c r="I1625" s="11">
        <v>0.36849691206929103</v>
      </c>
      <c r="J1625" s="10">
        <v>0.71250274722433404</v>
      </c>
      <c r="K1625" s="29">
        <v>0.98289565623980701</v>
      </c>
    </row>
    <row r="1626" spans="1:11" x14ac:dyDescent="0.35">
      <c r="A1626" s="9" t="str">
        <f>HYPERLINK("http://www.ensembl.org/id/WBGene00166372", "WBGene00166372")</f>
        <v>WBGene00166372</v>
      </c>
      <c r="B1626" s="9"/>
      <c r="C1626" s="9"/>
      <c r="D1626" t="str">
        <f>"21ur-14887"</f>
        <v>21ur-14887</v>
      </c>
      <c r="F1626" t="s">
        <v>3161</v>
      </c>
      <c r="H1626" s="12">
        <v>3.5227018545059199</v>
      </c>
      <c r="I1626" s="11">
        <v>0.36849691206929103</v>
      </c>
      <c r="J1626" s="10">
        <v>0.71250274722433404</v>
      </c>
      <c r="K1626" s="29">
        <v>0.98289565623980701</v>
      </c>
    </row>
    <row r="1627" spans="1:11" x14ac:dyDescent="0.35">
      <c r="A1627" s="9" t="str">
        <f>HYPERLINK("http://www.ensembl.org/id/WBGene00169227", "WBGene00169227")</f>
        <v>WBGene00169227</v>
      </c>
      <c r="B1627" s="9"/>
      <c r="C1627" s="9"/>
      <c r="D1627" t="str">
        <f>"21ur-15121"</f>
        <v>21ur-15121</v>
      </c>
      <c r="F1627" t="s">
        <v>3161</v>
      </c>
      <c r="H1627" s="12">
        <v>3.5227018545059199</v>
      </c>
      <c r="I1627" s="11">
        <v>0.36849691206929103</v>
      </c>
      <c r="J1627" s="10">
        <v>0.71250274722433404</v>
      </c>
      <c r="K1627" s="29">
        <v>0.98289565623980701</v>
      </c>
    </row>
    <row r="1628" spans="1:11" x14ac:dyDescent="0.35">
      <c r="A1628" s="9" t="str">
        <f>HYPERLINK("http://www.ensembl.org/id/WBGene00172745", "WBGene00172745")</f>
        <v>WBGene00172745</v>
      </c>
      <c r="B1628" s="9"/>
      <c r="C1628" s="9"/>
      <c r="D1628" t="str">
        <f>"21ur-15288"</f>
        <v>21ur-15288</v>
      </c>
      <c r="F1628" t="s">
        <v>3161</v>
      </c>
      <c r="H1628" s="12">
        <v>3.5227018545059199</v>
      </c>
      <c r="I1628" s="11">
        <v>0.36849691206929103</v>
      </c>
      <c r="J1628" s="10">
        <v>0.71250274722433404</v>
      </c>
      <c r="K1628" s="29">
        <v>0.98289565623980701</v>
      </c>
    </row>
    <row r="1629" spans="1:11" x14ac:dyDescent="0.35">
      <c r="A1629" s="9" t="str">
        <f>HYPERLINK("http://www.ensembl.org/id/WBGene00045645", "WBGene00045645")</f>
        <v>WBGene00045645</v>
      </c>
      <c r="B1629" s="9"/>
      <c r="C1629" s="9"/>
      <c r="D1629" t="str">
        <f>"21ur-1572"</f>
        <v>21ur-1572</v>
      </c>
      <c r="F1629" t="s">
        <v>3161</v>
      </c>
      <c r="H1629" s="12">
        <v>3.5227018545059199</v>
      </c>
      <c r="I1629" s="11">
        <v>0.36849691206929103</v>
      </c>
      <c r="J1629" s="10">
        <v>0.71250274722433404</v>
      </c>
      <c r="K1629" s="29">
        <v>0.98289565623980701</v>
      </c>
    </row>
    <row r="1630" spans="1:11" x14ac:dyDescent="0.35">
      <c r="A1630" s="9" t="str">
        <f>HYPERLINK("http://www.ensembl.org/id/WBGene00050874", "WBGene00050874")</f>
        <v>WBGene00050874</v>
      </c>
      <c r="B1630" s="9"/>
      <c r="C1630" s="9"/>
      <c r="D1630" t="str">
        <f>"21ur-1635"</f>
        <v>21ur-1635</v>
      </c>
      <c r="F1630" t="s">
        <v>3161</v>
      </c>
      <c r="H1630" s="12">
        <v>3.5227018545059199</v>
      </c>
      <c r="I1630" s="11">
        <v>0.36849691206929103</v>
      </c>
      <c r="J1630" s="10">
        <v>0.71250274722433404</v>
      </c>
      <c r="K1630" s="29">
        <v>0.98289565623980701</v>
      </c>
    </row>
    <row r="1631" spans="1:11" x14ac:dyDescent="0.35">
      <c r="A1631" s="9" t="str">
        <f>HYPERLINK("http://www.ensembl.org/id/WBGene00046738", "WBGene00046738")</f>
        <v>WBGene00046738</v>
      </c>
      <c r="B1631" s="9"/>
      <c r="C1631" s="9"/>
      <c r="D1631" t="str">
        <f>"21ur-2667"</f>
        <v>21ur-2667</v>
      </c>
      <c r="F1631" t="s">
        <v>3161</v>
      </c>
      <c r="H1631" s="12">
        <v>3.5227018545059199</v>
      </c>
      <c r="I1631" s="11">
        <v>0.36849691206929103</v>
      </c>
      <c r="J1631" s="10">
        <v>0.71250274722433404</v>
      </c>
      <c r="K1631" s="29">
        <v>0.98289565623980701</v>
      </c>
    </row>
    <row r="1632" spans="1:11" x14ac:dyDescent="0.35">
      <c r="A1632" s="9" t="str">
        <f>HYPERLINK("http://www.ensembl.org/id/WBGene00045654", "WBGene00045654")</f>
        <v>WBGene00045654</v>
      </c>
      <c r="B1632" s="9"/>
      <c r="C1632" s="9"/>
      <c r="D1632" t="str">
        <f>"21ur-3621"</f>
        <v>21ur-3621</v>
      </c>
      <c r="F1632" t="s">
        <v>3161</v>
      </c>
      <c r="H1632" s="12">
        <v>3.5227018545059199</v>
      </c>
      <c r="I1632" s="11">
        <v>0.36849691206929103</v>
      </c>
      <c r="J1632" s="10">
        <v>0.71250274722433404</v>
      </c>
      <c r="K1632" s="29">
        <v>0.98289565623980701</v>
      </c>
    </row>
    <row r="1633" spans="1:11" x14ac:dyDescent="0.35">
      <c r="A1633" s="9" t="str">
        <f>HYPERLINK("http://www.ensembl.org/id/WBGene00047657", "WBGene00047657")</f>
        <v>WBGene00047657</v>
      </c>
      <c r="B1633" s="9"/>
      <c r="C1633" s="9"/>
      <c r="D1633" t="str">
        <f>"21ur-3666"</f>
        <v>21ur-3666</v>
      </c>
      <c r="F1633" t="s">
        <v>3161</v>
      </c>
      <c r="H1633" s="12">
        <v>3.5227018545059199</v>
      </c>
      <c r="I1633" s="11">
        <v>0.36849691206929103</v>
      </c>
      <c r="J1633" s="10">
        <v>0.71250274722433404</v>
      </c>
      <c r="K1633" s="29">
        <v>0.98289565623980701</v>
      </c>
    </row>
    <row r="1634" spans="1:11" x14ac:dyDescent="0.35">
      <c r="A1634" s="9" t="str">
        <f>HYPERLINK("http://www.ensembl.org/id/WBGene00047690", "WBGene00047690")</f>
        <v>WBGene00047690</v>
      </c>
      <c r="B1634" s="9"/>
      <c r="C1634" s="9"/>
      <c r="D1634" t="str">
        <f>"21ur-3817"</f>
        <v>21ur-3817</v>
      </c>
      <c r="F1634" t="s">
        <v>3161</v>
      </c>
      <c r="H1634" s="12">
        <v>3.5227018545059199</v>
      </c>
      <c r="I1634" s="11">
        <v>0.36849691206929103</v>
      </c>
      <c r="J1634" s="10">
        <v>0.71250274722433404</v>
      </c>
      <c r="K1634" s="29">
        <v>0.98289565623980701</v>
      </c>
    </row>
    <row r="1635" spans="1:11" x14ac:dyDescent="0.35">
      <c r="A1635" s="9" t="str">
        <f>HYPERLINK("http://www.ensembl.org/id/WBGene00048627", "WBGene00048627")</f>
        <v>WBGene00048627</v>
      </c>
      <c r="B1635" s="9"/>
      <c r="C1635" s="9"/>
      <c r="D1635" t="str">
        <f>"21ur-4232"</f>
        <v>21ur-4232</v>
      </c>
      <c r="F1635" t="s">
        <v>3161</v>
      </c>
      <c r="H1635" s="12">
        <v>3.5227018545059199</v>
      </c>
      <c r="I1635" s="11">
        <v>0.36849691206929103</v>
      </c>
      <c r="J1635" s="10">
        <v>0.71250274722433404</v>
      </c>
      <c r="K1635" s="29">
        <v>0.98289565623980701</v>
      </c>
    </row>
    <row r="1636" spans="1:11" x14ac:dyDescent="0.35">
      <c r="A1636" s="9" t="str">
        <f>HYPERLINK("http://www.ensembl.org/id/WBGene00048054", "WBGene00048054")</f>
        <v>WBGene00048054</v>
      </c>
      <c r="B1636" s="9"/>
      <c r="C1636" s="9"/>
      <c r="D1636" t="str">
        <f>"21ur-4276"</f>
        <v>21ur-4276</v>
      </c>
      <c r="F1636" t="s">
        <v>3161</v>
      </c>
      <c r="H1636" s="12">
        <v>3.5227018545059199</v>
      </c>
      <c r="I1636" s="11">
        <v>0.36849691206929103</v>
      </c>
      <c r="J1636" s="10">
        <v>0.71250274722433404</v>
      </c>
      <c r="K1636" s="29">
        <v>0.98289565623980701</v>
      </c>
    </row>
    <row r="1637" spans="1:11" x14ac:dyDescent="0.35">
      <c r="A1637" s="9" t="str">
        <f>HYPERLINK("http://www.ensembl.org/id/WBGene00045882", "WBGene00045882")</f>
        <v>WBGene00045882</v>
      </c>
      <c r="B1637" s="9"/>
      <c r="C1637" s="9"/>
      <c r="D1637" t="str">
        <f>"21ur-4299"</f>
        <v>21ur-4299</v>
      </c>
      <c r="F1637" t="s">
        <v>3161</v>
      </c>
      <c r="H1637" s="12">
        <v>3.5227018545059199</v>
      </c>
      <c r="I1637" s="11">
        <v>0.36849691206929103</v>
      </c>
      <c r="J1637" s="10">
        <v>0.71250274722433404</v>
      </c>
      <c r="K1637" s="29">
        <v>0.98289565623980701</v>
      </c>
    </row>
    <row r="1638" spans="1:11" x14ac:dyDescent="0.35">
      <c r="A1638" s="9" t="str">
        <f>HYPERLINK("http://www.ensembl.org/id/WBGene00049321", "WBGene00049321")</f>
        <v>WBGene00049321</v>
      </c>
      <c r="B1638" s="9"/>
      <c r="C1638" s="9"/>
      <c r="D1638" t="str">
        <f>"21ur-442"</f>
        <v>21ur-442</v>
      </c>
      <c r="F1638" t="s">
        <v>3161</v>
      </c>
      <c r="H1638" s="12">
        <v>3.5227018545059199</v>
      </c>
      <c r="I1638" s="11">
        <v>0.36849691206929103</v>
      </c>
      <c r="J1638" s="10">
        <v>0.71250274722433404</v>
      </c>
      <c r="K1638" s="29">
        <v>0.98289565623980701</v>
      </c>
    </row>
    <row r="1639" spans="1:11" x14ac:dyDescent="0.35">
      <c r="A1639" s="9" t="str">
        <f>HYPERLINK("http://www.ensembl.org/id/WBGene00049727", "WBGene00049727")</f>
        <v>WBGene00049727</v>
      </c>
      <c r="B1639" s="9"/>
      <c r="C1639" s="9"/>
      <c r="D1639" t="str">
        <f>"21ur-4713"</f>
        <v>21ur-4713</v>
      </c>
      <c r="F1639" t="s">
        <v>3161</v>
      </c>
      <c r="H1639" s="12">
        <v>3.5227018545059199</v>
      </c>
      <c r="I1639" s="11">
        <v>0.36849691206929103</v>
      </c>
      <c r="J1639" s="10">
        <v>0.71250274722433404</v>
      </c>
      <c r="K1639" s="29">
        <v>0.98289565623980701</v>
      </c>
    </row>
    <row r="1640" spans="1:11" x14ac:dyDescent="0.35">
      <c r="A1640" s="9" t="str">
        <f>HYPERLINK("http://www.ensembl.org/id/WBGene00048790", "WBGene00048790")</f>
        <v>WBGene00048790</v>
      </c>
      <c r="B1640" s="9"/>
      <c r="C1640" s="9"/>
      <c r="D1640" t="str">
        <f>"21ur-5142"</f>
        <v>21ur-5142</v>
      </c>
      <c r="F1640" t="s">
        <v>3161</v>
      </c>
      <c r="H1640" s="12">
        <v>3.5227018545059199</v>
      </c>
      <c r="I1640" s="11">
        <v>0.36849691206929103</v>
      </c>
      <c r="J1640" s="10">
        <v>0.71250274722433404</v>
      </c>
      <c r="K1640" s="29">
        <v>0.98289565623980701</v>
      </c>
    </row>
    <row r="1641" spans="1:11" x14ac:dyDescent="0.35">
      <c r="A1641" s="9" t="str">
        <f>HYPERLINK("http://www.ensembl.org/id/WBGene00045590", "WBGene00045590")</f>
        <v>WBGene00045590</v>
      </c>
      <c r="B1641" s="9"/>
      <c r="C1641" s="9"/>
      <c r="D1641" t="str">
        <f>"21ur-5440"</f>
        <v>21ur-5440</v>
      </c>
      <c r="F1641" t="s">
        <v>3161</v>
      </c>
      <c r="H1641" s="12">
        <v>3.5227018545059199</v>
      </c>
      <c r="I1641" s="11">
        <v>0.36849691206929103</v>
      </c>
      <c r="J1641" s="10">
        <v>0.71250274722433404</v>
      </c>
      <c r="K1641" s="29">
        <v>0.98289565623980701</v>
      </c>
    </row>
    <row r="1642" spans="1:11" x14ac:dyDescent="0.35">
      <c r="A1642" s="9" t="str">
        <f>HYPERLINK("http://www.ensembl.org/id/WBGene00174821", "WBGene00174821")</f>
        <v>WBGene00174821</v>
      </c>
      <c r="B1642" s="9"/>
      <c r="C1642" s="9"/>
      <c r="D1642" t="str">
        <f>"21ur-5956"</f>
        <v>21ur-5956</v>
      </c>
      <c r="F1642" t="s">
        <v>3161</v>
      </c>
      <c r="H1642" s="12">
        <v>3.5227018545059199</v>
      </c>
      <c r="I1642" s="11">
        <v>0.36849691206929103</v>
      </c>
      <c r="J1642" s="10">
        <v>0.71250274722433404</v>
      </c>
      <c r="K1642" s="29">
        <v>0.98289565623980701</v>
      </c>
    </row>
    <row r="1643" spans="1:11" x14ac:dyDescent="0.35">
      <c r="A1643" s="9" t="str">
        <f>HYPERLINK("http://www.ensembl.org/id/WBGene00169425", "WBGene00169425")</f>
        <v>WBGene00169425</v>
      </c>
      <c r="B1643" s="9"/>
      <c r="C1643" s="9"/>
      <c r="D1643" t="str">
        <f>"21ur-6215"</f>
        <v>21ur-6215</v>
      </c>
      <c r="F1643" t="s">
        <v>3161</v>
      </c>
      <c r="H1643" s="12">
        <v>3.5227018545059199</v>
      </c>
      <c r="I1643" s="11">
        <v>0.36849691206929103</v>
      </c>
      <c r="J1643" s="10">
        <v>0.71250274722433404</v>
      </c>
      <c r="K1643" s="29">
        <v>0.98289565623980701</v>
      </c>
    </row>
    <row r="1644" spans="1:11" x14ac:dyDescent="0.35">
      <c r="A1644" s="9" t="str">
        <f>HYPERLINK("http://www.ensembl.org/id/WBGene00170837", "WBGene00170837")</f>
        <v>WBGene00170837</v>
      </c>
      <c r="B1644" s="9"/>
      <c r="C1644" s="9"/>
      <c r="D1644" t="str">
        <f>"21ur-6379"</f>
        <v>21ur-6379</v>
      </c>
      <c r="F1644" t="s">
        <v>3161</v>
      </c>
      <c r="H1644" s="12">
        <v>3.5227018545059199</v>
      </c>
      <c r="I1644" s="11">
        <v>0.36849691206929103</v>
      </c>
      <c r="J1644" s="10">
        <v>0.71250274722433404</v>
      </c>
      <c r="K1644" s="29">
        <v>0.98289565623980701</v>
      </c>
    </row>
    <row r="1645" spans="1:11" x14ac:dyDescent="0.35">
      <c r="A1645" s="9" t="str">
        <f>HYPERLINK("http://www.ensembl.org/id/WBGene00169717", "WBGene00169717")</f>
        <v>WBGene00169717</v>
      </c>
      <c r="B1645" s="9"/>
      <c r="C1645" s="9"/>
      <c r="D1645" t="str">
        <f>"21ur-7190"</f>
        <v>21ur-7190</v>
      </c>
      <c r="F1645" t="s">
        <v>3161</v>
      </c>
      <c r="H1645" s="12">
        <v>3.5227018545059199</v>
      </c>
      <c r="I1645" s="11">
        <v>0.36849691206929103</v>
      </c>
      <c r="J1645" s="10">
        <v>0.71250274722433404</v>
      </c>
      <c r="K1645" s="29">
        <v>0.98289565623980701</v>
      </c>
    </row>
    <row r="1646" spans="1:11" x14ac:dyDescent="0.35">
      <c r="A1646" s="9" t="str">
        <f>HYPERLINK("http://www.ensembl.org/id/WBGene00046524", "WBGene00046524")</f>
        <v>WBGene00046524</v>
      </c>
      <c r="B1646" s="9"/>
      <c r="C1646" s="9"/>
      <c r="D1646" t="str">
        <f>"21ur-823"</f>
        <v>21ur-823</v>
      </c>
      <c r="F1646" t="s">
        <v>3161</v>
      </c>
      <c r="H1646" s="12">
        <v>3.5227018545059199</v>
      </c>
      <c r="I1646" s="11">
        <v>0.36849691206929103</v>
      </c>
      <c r="J1646" s="10">
        <v>0.71250274722433404</v>
      </c>
      <c r="K1646" s="29">
        <v>0.98289565623980701</v>
      </c>
    </row>
    <row r="1647" spans="1:11" x14ac:dyDescent="0.35">
      <c r="A1647" s="9" t="str">
        <f>HYPERLINK("http://www.ensembl.org/id/WBGene00170248", "WBGene00170248")</f>
        <v>WBGene00170248</v>
      </c>
      <c r="B1647" s="9"/>
      <c r="C1647" s="9"/>
      <c r="D1647" t="str">
        <f>"21ur-8409"</f>
        <v>21ur-8409</v>
      </c>
      <c r="F1647" t="s">
        <v>3161</v>
      </c>
      <c r="H1647" s="12">
        <v>3.5227018545059199</v>
      </c>
      <c r="I1647" s="11">
        <v>0.36849691206929103</v>
      </c>
      <c r="J1647" s="10">
        <v>0.71250274722433404</v>
      </c>
      <c r="K1647" s="29">
        <v>0.98289565623980701</v>
      </c>
    </row>
    <row r="1648" spans="1:11" x14ac:dyDescent="0.35">
      <c r="A1648" s="9" t="str">
        <f>HYPERLINK("http://www.ensembl.org/id/WBGene00166681", "WBGene00166681")</f>
        <v>WBGene00166681</v>
      </c>
      <c r="B1648" s="9"/>
      <c r="C1648" s="9"/>
      <c r="D1648" t="str">
        <f>"21ur-8637"</f>
        <v>21ur-8637</v>
      </c>
      <c r="F1648" t="s">
        <v>3161</v>
      </c>
      <c r="H1648" s="12">
        <v>3.5227018545059199</v>
      </c>
      <c r="I1648" s="11">
        <v>0.36849691206929103</v>
      </c>
      <c r="J1648" s="10">
        <v>0.71250274722433404</v>
      </c>
      <c r="K1648" s="29">
        <v>0.98289565623980701</v>
      </c>
    </row>
    <row r="1649" spans="1:11" x14ac:dyDescent="0.35">
      <c r="A1649" s="9" t="str">
        <f>HYPERLINK("http://www.ensembl.org/id/WBGene00174712", "WBGene00174712")</f>
        <v>WBGene00174712</v>
      </c>
      <c r="B1649" s="9"/>
      <c r="C1649" s="9"/>
      <c r="D1649" t="str">
        <f>"21ur-8653"</f>
        <v>21ur-8653</v>
      </c>
      <c r="F1649" t="s">
        <v>3161</v>
      </c>
      <c r="H1649" s="12">
        <v>3.5227018545059199</v>
      </c>
      <c r="I1649" s="11">
        <v>0.36849691206929103</v>
      </c>
      <c r="J1649" s="10">
        <v>0.71250274722433404</v>
      </c>
      <c r="K1649" s="29">
        <v>0.98289565623980701</v>
      </c>
    </row>
    <row r="1650" spans="1:11" x14ac:dyDescent="0.35">
      <c r="A1650" s="9" t="str">
        <f>HYPERLINK("http://www.ensembl.org/id/WBGene00169607", "WBGene00169607")</f>
        <v>WBGene00169607</v>
      </c>
      <c r="B1650" s="9"/>
      <c r="C1650" s="9"/>
      <c r="D1650" t="str">
        <f>"21ur-9141"</f>
        <v>21ur-9141</v>
      </c>
      <c r="F1650" t="s">
        <v>3161</v>
      </c>
      <c r="H1650" s="12">
        <v>3.5227018545059199</v>
      </c>
      <c r="I1650" s="11">
        <v>0.36849691206929103</v>
      </c>
      <c r="J1650" s="10">
        <v>0.71250274722433404</v>
      </c>
      <c r="K1650" s="29">
        <v>0.98289565623980701</v>
      </c>
    </row>
    <row r="1651" spans="1:11" x14ac:dyDescent="0.35">
      <c r="A1651" s="9" t="str">
        <f>HYPERLINK("http://www.ensembl.org/id/WBGene00165547", "WBGene00165547")</f>
        <v>WBGene00165547</v>
      </c>
      <c r="B1651" s="9"/>
      <c r="C1651" s="9"/>
      <c r="D1651" t="str">
        <f>"21ur-9177"</f>
        <v>21ur-9177</v>
      </c>
      <c r="F1651" t="s">
        <v>3161</v>
      </c>
      <c r="H1651" s="12">
        <v>3.5227018545059199</v>
      </c>
      <c r="I1651" s="11">
        <v>0.36849691206929103</v>
      </c>
      <c r="J1651" s="10">
        <v>0.71250274722433404</v>
      </c>
      <c r="K1651" s="29">
        <v>0.98289565623980701</v>
      </c>
    </row>
    <row r="1652" spans="1:11" x14ac:dyDescent="0.35">
      <c r="A1652" s="9" t="str">
        <f>HYPERLINK("http://www.ensembl.org/id/WBGene00165679", "WBGene00165679")</f>
        <v>WBGene00165679</v>
      </c>
      <c r="B1652" s="9"/>
      <c r="C1652" s="9"/>
      <c r="D1652" t="str">
        <f>"21ur-9408"</f>
        <v>21ur-9408</v>
      </c>
      <c r="F1652" t="s">
        <v>3161</v>
      </c>
      <c r="H1652" s="12">
        <v>3.5227018545059199</v>
      </c>
      <c r="I1652" s="11">
        <v>0.36849691206929103</v>
      </c>
      <c r="J1652" s="10">
        <v>0.71250274722433404</v>
      </c>
      <c r="K1652" s="29">
        <v>0.98289565623980701</v>
      </c>
    </row>
    <row r="1653" spans="1:11" x14ac:dyDescent="0.35">
      <c r="A1653" s="9" t="str">
        <f>HYPERLINK("http://www.ensembl.org/id/WBGene00166502", "WBGene00166502")</f>
        <v>WBGene00166502</v>
      </c>
      <c r="B1653" s="9"/>
      <c r="C1653" s="9"/>
      <c r="D1653" t="str">
        <f>"21ur-9844"</f>
        <v>21ur-9844</v>
      </c>
      <c r="F1653" t="s">
        <v>3161</v>
      </c>
      <c r="H1653" s="12">
        <v>3.5227018545059199</v>
      </c>
      <c r="I1653" s="11">
        <v>0.36849691206929103</v>
      </c>
      <c r="J1653" s="10">
        <v>0.71250274722433404</v>
      </c>
      <c r="K1653" s="29">
        <v>0.98289565623980701</v>
      </c>
    </row>
    <row r="1654" spans="1:11" x14ac:dyDescent="0.35">
      <c r="A1654" s="9" t="str">
        <f>HYPERLINK("http://www.ensembl.org/id/WBGene00219558", "WBGene00219558")</f>
        <v>WBGene00219558</v>
      </c>
      <c r="B1654" s="9"/>
      <c r="C1654" s="9"/>
      <c r="D1654" t="str">
        <f>"anr-12"</f>
        <v>anr-12</v>
      </c>
      <c r="F1654" t="s">
        <v>2735</v>
      </c>
      <c r="H1654" s="12">
        <v>3.5227018545059199</v>
      </c>
      <c r="I1654" s="11">
        <v>0.36849691206929103</v>
      </c>
      <c r="J1654" s="10">
        <v>0.71250274722433404</v>
      </c>
      <c r="K1654" s="29">
        <v>0.98289565623980701</v>
      </c>
    </row>
    <row r="1655" spans="1:11" x14ac:dyDescent="0.35">
      <c r="A1655" s="9" t="str">
        <f>HYPERLINK("http://www.ensembl.org/id/WBGene00219772", "WBGene00219772")</f>
        <v>WBGene00219772</v>
      </c>
      <c r="B1655" s="9"/>
      <c r="C1655" s="9"/>
      <c r="D1655" t="str">
        <f>"anr-53"</f>
        <v>anr-53</v>
      </c>
      <c r="F1655" t="s">
        <v>2735</v>
      </c>
      <c r="H1655" s="12">
        <v>3.5227018545059199</v>
      </c>
      <c r="I1655" s="11">
        <v>0.36849691206929103</v>
      </c>
      <c r="J1655" s="10">
        <v>0.71250274722433404</v>
      </c>
      <c r="K1655" s="29">
        <v>0.98289565623980701</v>
      </c>
    </row>
    <row r="1656" spans="1:11" x14ac:dyDescent="0.35">
      <c r="A1656" s="9" t="str">
        <f>HYPERLINK("http://www.ensembl.org/id/WBGene00197686", "WBGene00197686")</f>
        <v>WBGene00197686</v>
      </c>
      <c r="B1656" s="9"/>
      <c r="C1656" s="9"/>
      <c r="D1656" t="str">
        <f>"B0034.10"</f>
        <v>B0034.10</v>
      </c>
      <c r="F1656" t="s">
        <v>481</v>
      </c>
      <c r="H1656" s="12">
        <v>3.5227018545059199</v>
      </c>
      <c r="I1656" s="11">
        <v>0.36849691206929103</v>
      </c>
      <c r="J1656" s="10">
        <v>0.71250274722433404</v>
      </c>
      <c r="K1656" s="29">
        <v>0.98289565623980701</v>
      </c>
    </row>
    <row r="1657" spans="1:11" x14ac:dyDescent="0.35">
      <c r="A1657" s="9" t="str">
        <f>HYPERLINK("http://www.ensembl.org/id/WBGene00023227", "WBGene00023227")</f>
        <v>WBGene00023227</v>
      </c>
      <c r="B1657" s="9"/>
      <c r="C1657" s="9"/>
      <c r="D1657" t="str">
        <f>"BE0003N10.t1"</f>
        <v>BE0003N10.t1</v>
      </c>
      <c r="F1657" t="s">
        <v>80</v>
      </c>
      <c r="H1657" s="12">
        <v>3.5227018545059199</v>
      </c>
      <c r="I1657" s="11">
        <v>0.36849691206929103</v>
      </c>
      <c r="J1657" s="10">
        <v>0.71250274722433404</v>
      </c>
      <c r="K1657" s="29">
        <v>0.98289565623980701</v>
      </c>
    </row>
    <row r="1658" spans="1:11" x14ac:dyDescent="0.35">
      <c r="A1658" s="9" t="str">
        <f>HYPERLINK("http://www.ensembl.org/id/WBGene00197765", "WBGene00197765")</f>
        <v>WBGene00197765</v>
      </c>
      <c r="B1658" s="9"/>
      <c r="C1658" s="9"/>
      <c r="D1658" t="str">
        <f>"C01B7.11"</f>
        <v>C01B7.11</v>
      </c>
      <c r="F1658" t="s">
        <v>481</v>
      </c>
      <c r="H1658" s="12">
        <v>3.5227018545059199</v>
      </c>
      <c r="I1658" s="11">
        <v>0.36849691206929103</v>
      </c>
      <c r="J1658" s="10">
        <v>0.71250274722433404</v>
      </c>
      <c r="K1658" s="29">
        <v>0.98289565623980701</v>
      </c>
    </row>
    <row r="1659" spans="1:11" x14ac:dyDescent="0.35">
      <c r="A1659" s="9" t="str">
        <f>HYPERLINK("http://www.ensembl.org/id/WBGene00007232", "WBGene00007232")</f>
        <v>WBGene00007232</v>
      </c>
      <c r="B1659" s="9" t="str">
        <f>HYPERLINK("http://www.ncbi.nlm.nih.gov/gene/182082", "182082")</f>
        <v>182082</v>
      </c>
      <c r="C1659" s="9"/>
      <c r="D1659" t="str">
        <f>"C01G10.5"</f>
        <v>C01G10.5</v>
      </c>
      <c r="F1659" t="s">
        <v>11</v>
      </c>
      <c r="H1659" s="12">
        <v>3.5227018545059199</v>
      </c>
      <c r="I1659" s="11">
        <v>0.36849691206929103</v>
      </c>
      <c r="J1659" s="10">
        <v>0.71250274722433404</v>
      </c>
      <c r="K1659" s="29">
        <v>0.98289565623980701</v>
      </c>
    </row>
    <row r="1660" spans="1:11" x14ac:dyDescent="0.35">
      <c r="A1660" s="9" t="str">
        <f>HYPERLINK("http://www.ensembl.org/id/WBGene00007259", "WBGene00007259")</f>
        <v>WBGene00007259</v>
      </c>
      <c r="B1660" s="9" t="str">
        <f>HYPERLINK("http://www.ncbi.nlm.nih.gov/gene/182100", "182100")</f>
        <v>182100</v>
      </c>
      <c r="C1660" s="9"/>
      <c r="D1660" t="str">
        <f>"C02B4.3"</f>
        <v>C02B4.3</v>
      </c>
      <c r="F1660" t="s">
        <v>11</v>
      </c>
      <c r="H1660" s="12">
        <v>3.5227018545059199</v>
      </c>
      <c r="I1660" s="11">
        <v>0.36849691206929103</v>
      </c>
      <c r="J1660" s="10">
        <v>0.71250274722433404</v>
      </c>
      <c r="K1660" s="29">
        <v>0.98289565623980701</v>
      </c>
    </row>
    <row r="1661" spans="1:11" x14ac:dyDescent="0.35">
      <c r="A1661" s="9" t="str">
        <f>HYPERLINK("http://www.ensembl.org/id/WBGene00015375", "WBGene00015375")</f>
        <v>WBGene00015375</v>
      </c>
      <c r="B1661" s="9" t="str">
        <f>HYPERLINK("http://www.ncbi.nlm.nih.gov/gene/182147", "182147")</f>
        <v>182147</v>
      </c>
      <c r="C1661" s="9"/>
      <c r="D1661" t="str">
        <f>"C03B1.4"</f>
        <v>C03B1.4</v>
      </c>
      <c r="F1661" t="s">
        <v>11</v>
      </c>
      <c r="H1661" s="12">
        <v>3.5227018545059199</v>
      </c>
      <c r="I1661" s="11">
        <v>0.36849691206929103</v>
      </c>
      <c r="J1661" s="10">
        <v>0.71250274722433404</v>
      </c>
      <c r="K1661" s="29">
        <v>0.98289565623980701</v>
      </c>
    </row>
    <row r="1662" spans="1:11" x14ac:dyDescent="0.35">
      <c r="A1662" s="9" t="str">
        <f>HYPERLINK("http://www.ensembl.org/id/WBGene00196793", "WBGene00196793")</f>
        <v>WBGene00196793</v>
      </c>
      <c r="B1662" s="9"/>
      <c r="C1662" s="9"/>
      <c r="D1662" t="str">
        <f>"C04C11.9"</f>
        <v>C04C11.9</v>
      </c>
      <c r="F1662" t="s">
        <v>481</v>
      </c>
      <c r="H1662" s="12">
        <v>3.5227018545059199</v>
      </c>
      <c r="I1662" s="11">
        <v>0.36849691206929103</v>
      </c>
      <c r="J1662" s="10">
        <v>0.71250274722433404</v>
      </c>
      <c r="K1662" s="29">
        <v>0.98289565623980701</v>
      </c>
    </row>
    <row r="1663" spans="1:11" x14ac:dyDescent="0.35">
      <c r="A1663" s="9" t="str">
        <f>HYPERLINK("http://www.ensembl.org/id/WBGene00199514", "WBGene00199514")</f>
        <v>WBGene00199514</v>
      </c>
      <c r="B1663" s="9"/>
      <c r="C1663" s="9"/>
      <c r="D1663" t="str">
        <f>"C07H6.17"</f>
        <v>C07H6.17</v>
      </c>
      <c r="F1663" t="s">
        <v>481</v>
      </c>
      <c r="H1663" s="12">
        <v>3.5227018545059199</v>
      </c>
      <c r="I1663" s="11">
        <v>0.36849691206929103</v>
      </c>
      <c r="J1663" s="10">
        <v>0.71250274722433404</v>
      </c>
      <c r="K1663" s="29">
        <v>0.98289565623980701</v>
      </c>
    </row>
    <row r="1664" spans="1:11" x14ac:dyDescent="0.35">
      <c r="A1664" s="9" t="str">
        <f>HYPERLINK("http://www.ensembl.org/id/WBGene00219807", "WBGene00219807")</f>
        <v>WBGene00219807</v>
      </c>
      <c r="B1664" s="9"/>
      <c r="C1664" s="9"/>
      <c r="D1664" t="str">
        <f>"C07H6.19"</f>
        <v>C07H6.19</v>
      </c>
      <c r="F1664" t="s">
        <v>481</v>
      </c>
      <c r="H1664" s="12">
        <v>3.5227018545059199</v>
      </c>
      <c r="I1664" s="11">
        <v>0.36849691206929103</v>
      </c>
      <c r="J1664" s="10">
        <v>0.71250274722433404</v>
      </c>
      <c r="K1664" s="29">
        <v>0.98289565623980701</v>
      </c>
    </row>
    <row r="1665" spans="1:11" x14ac:dyDescent="0.35">
      <c r="A1665" s="9" t="str">
        <f>HYPERLINK("http://www.ensembl.org/id/WBGene00045487", "WBGene00045487")</f>
        <v>WBGene00045487</v>
      </c>
      <c r="B1665" s="9"/>
      <c r="C1665" s="9"/>
      <c r="D1665" t="str">
        <f>"C08E8.7"</f>
        <v>C08E8.7</v>
      </c>
      <c r="F1665" t="s">
        <v>80</v>
      </c>
      <c r="H1665" s="12">
        <v>3.5227018545059199</v>
      </c>
      <c r="I1665" s="11">
        <v>0.36849691206929103</v>
      </c>
      <c r="J1665" s="10">
        <v>0.71250274722433404</v>
      </c>
      <c r="K1665" s="29">
        <v>0.98289565623980701</v>
      </c>
    </row>
    <row r="1666" spans="1:11" x14ac:dyDescent="0.35">
      <c r="A1666" s="9" t="str">
        <f>HYPERLINK("http://www.ensembl.org/id/WBGene00198087", "WBGene00198087")</f>
        <v>WBGene00198087</v>
      </c>
      <c r="B1666" s="9"/>
      <c r="C1666" s="9"/>
      <c r="D1666" t="str">
        <f>"C08F8.12"</f>
        <v>C08F8.12</v>
      </c>
      <c r="F1666" t="s">
        <v>481</v>
      </c>
      <c r="H1666" s="12">
        <v>3.5227018545059199</v>
      </c>
      <c r="I1666" s="11">
        <v>0.36849691206929103</v>
      </c>
      <c r="J1666" s="10">
        <v>0.71250274722433404</v>
      </c>
      <c r="K1666" s="29">
        <v>0.98289565623980701</v>
      </c>
    </row>
    <row r="1667" spans="1:11" x14ac:dyDescent="0.35">
      <c r="A1667" s="9" t="str">
        <f>HYPERLINK("http://www.ensembl.org/id/WBGene00199670", "WBGene00199670")</f>
        <v>WBGene00199670</v>
      </c>
      <c r="B1667" s="9"/>
      <c r="C1667" s="9"/>
      <c r="D1667" t="str">
        <f>"C10G11.14"</f>
        <v>C10G11.14</v>
      </c>
      <c r="F1667" t="s">
        <v>481</v>
      </c>
      <c r="H1667" s="12">
        <v>3.5227018545059199</v>
      </c>
      <c r="I1667" s="11">
        <v>0.36849691206929103</v>
      </c>
      <c r="J1667" s="10">
        <v>0.71250274722433404</v>
      </c>
      <c r="K1667" s="29">
        <v>0.98289565623980701</v>
      </c>
    </row>
    <row r="1668" spans="1:11" x14ac:dyDescent="0.35">
      <c r="A1668" s="9" t="str">
        <f>HYPERLINK("http://www.ensembl.org/id/WBGene00195426", "WBGene00195426")</f>
        <v>WBGene00195426</v>
      </c>
      <c r="B1668" s="9"/>
      <c r="C1668" s="9"/>
      <c r="D1668" t="str">
        <f>"C10H11.11"</f>
        <v>C10H11.11</v>
      </c>
      <c r="F1668" t="s">
        <v>481</v>
      </c>
      <c r="H1668" s="12">
        <v>3.5227018545059199</v>
      </c>
      <c r="I1668" s="11">
        <v>0.36849691206929103</v>
      </c>
      <c r="J1668" s="10">
        <v>0.71250274722433404</v>
      </c>
      <c r="K1668" s="29">
        <v>0.98289565623980701</v>
      </c>
    </row>
    <row r="1669" spans="1:11" x14ac:dyDescent="0.35">
      <c r="A1669" s="9" t="str">
        <f>HYPERLINK("http://www.ensembl.org/id/WBGene00023235", "WBGene00023235")</f>
        <v>WBGene00023235</v>
      </c>
      <c r="B1669" s="9"/>
      <c r="C1669" s="9"/>
      <c r="D1669" t="str">
        <f>"C13A2.8"</f>
        <v>C13A2.8</v>
      </c>
      <c r="F1669" t="s">
        <v>80</v>
      </c>
      <c r="H1669" s="12">
        <v>3.5227018545059199</v>
      </c>
      <c r="I1669" s="11">
        <v>0.36849691206929103</v>
      </c>
      <c r="J1669" s="10">
        <v>0.71250274722433404</v>
      </c>
      <c r="K1669" s="29">
        <v>0.98289565623980701</v>
      </c>
    </row>
    <row r="1670" spans="1:11" x14ac:dyDescent="0.35">
      <c r="A1670" s="9" t="str">
        <f>HYPERLINK("http://www.ensembl.org/id/WBGene00202006", "WBGene00202006")</f>
        <v>WBGene00202006</v>
      </c>
      <c r="B1670" s="9"/>
      <c r="C1670" s="9"/>
      <c r="D1670" t="str">
        <f>"C13C4.12"</f>
        <v>C13C4.12</v>
      </c>
      <c r="F1670" t="s">
        <v>481</v>
      </c>
      <c r="H1670" s="12">
        <v>3.5227018545059199</v>
      </c>
      <c r="I1670" s="11">
        <v>0.36849691206929103</v>
      </c>
      <c r="J1670" s="10">
        <v>0.71250274722433404</v>
      </c>
      <c r="K1670" s="29">
        <v>0.98289565623980701</v>
      </c>
    </row>
    <row r="1671" spans="1:11" x14ac:dyDescent="0.35">
      <c r="A1671" s="9" t="str">
        <f>HYPERLINK("http://www.ensembl.org/id/WBGene00015825", "WBGene00015825")</f>
        <v>WBGene00015825</v>
      </c>
      <c r="B1671" s="9" t="str">
        <f>HYPERLINK("http://www.ncbi.nlm.nih.gov/gene/182655", "182655")</f>
        <v>182655</v>
      </c>
      <c r="C1671" s="9"/>
      <c r="D1671" t="str">
        <f>"C16C4.1"</f>
        <v>C16C4.1</v>
      </c>
      <c r="F1671" t="s">
        <v>11</v>
      </c>
      <c r="H1671" s="12">
        <v>3.5227018545059199</v>
      </c>
      <c r="I1671" s="11">
        <v>0.36849691206929103</v>
      </c>
      <c r="J1671" s="10">
        <v>0.71250274722433404</v>
      </c>
      <c r="K1671" s="29">
        <v>0.98289565623980701</v>
      </c>
    </row>
    <row r="1672" spans="1:11" x14ac:dyDescent="0.35">
      <c r="A1672" s="9" t="str">
        <f>HYPERLINK("http://www.ensembl.org/id/WBGene00015858", "WBGene00015858")</f>
        <v>WBGene00015858</v>
      </c>
      <c r="B1672" s="9" t="str">
        <f>HYPERLINK("http://www.ncbi.nlm.nih.gov/gene/179205", "179205")</f>
        <v>179205</v>
      </c>
      <c r="C1672" s="9"/>
      <c r="D1672" t="str">
        <f>"C16D9.3"</f>
        <v>C16D9.3</v>
      </c>
      <c r="F1672" t="s">
        <v>11</v>
      </c>
      <c r="H1672" s="12">
        <v>3.5227018545059199</v>
      </c>
      <c r="I1672" s="11">
        <v>0.36849691206929103</v>
      </c>
      <c r="J1672" s="10">
        <v>0.71250274722433404</v>
      </c>
      <c r="K1672" s="29">
        <v>0.98289565623980701</v>
      </c>
    </row>
    <row r="1673" spans="1:11" x14ac:dyDescent="0.35">
      <c r="A1673" s="9" t="str">
        <f>HYPERLINK("http://www.ensembl.org/id/WBGene00201116", "WBGene00201116")</f>
        <v>WBGene00201116</v>
      </c>
      <c r="B1673" s="9"/>
      <c r="C1673" s="9"/>
      <c r="D1673" t="str">
        <f>"C16E9.24"</f>
        <v>C16E9.24</v>
      </c>
      <c r="F1673" t="s">
        <v>481</v>
      </c>
      <c r="H1673" s="12">
        <v>3.5227018545059199</v>
      </c>
      <c r="I1673" s="11">
        <v>0.36849691206929103</v>
      </c>
      <c r="J1673" s="10">
        <v>0.71250274722433404</v>
      </c>
      <c r="K1673" s="29">
        <v>0.98289565623980701</v>
      </c>
    </row>
    <row r="1674" spans="1:11" x14ac:dyDescent="0.35">
      <c r="A1674" s="9" t="str">
        <f>HYPERLINK("http://www.ensembl.org/id/WBGene00200812", "WBGene00200812")</f>
        <v>WBGene00200812</v>
      </c>
      <c r="B1674" s="9"/>
      <c r="C1674" s="9"/>
      <c r="D1674" t="str">
        <f>"C17C3.23"</f>
        <v>C17C3.23</v>
      </c>
      <c r="F1674" t="s">
        <v>481</v>
      </c>
      <c r="H1674" s="12">
        <v>3.5227018545059199</v>
      </c>
      <c r="I1674" s="11">
        <v>0.36849691206929103</v>
      </c>
      <c r="J1674" s="10">
        <v>0.71250274722433404</v>
      </c>
      <c r="K1674" s="29">
        <v>0.98289565623980701</v>
      </c>
    </row>
    <row r="1675" spans="1:11" x14ac:dyDescent="0.35">
      <c r="A1675" s="9" t="str">
        <f>HYPERLINK("http://www.ensembl.org/id/WBGene00007638", "WBGene00007638")</f>
        <v>WBGene00007638</v>
      </c>
      <c r="B1675" s="9" t="str">
        <f>HYPERLINK("http://www.ncbi.nlm.nih.gov/gene/173046", "173046")</f>
        <v>173046</v>
      </c>
      <c r="C1675" s="9"/>
      <c r="D1675" t="str">
        <f>"C17D12.3"</f>
        <v>C17D12.3</v>
      </c>
      <c r="F1675" t="s">
        <v>11</v>
      </c>
      <c r="G1675" t="s">
        <v>2981</v>
      </c>
      <c r="H1675" s="12">
        <v>3.5227018545059199</v>
      </c>
      <c r="I1675" s="11">
        <v>0.36849691206929103</v>
      </c>
      <c r="J1675" s="10">
        <v>0.71250274722433404</v>
      </c>
      <c r="K1675" s="29">
        <v>0.98289565623980701</v>
      </c>
    </row>
    <row r="1676" spans="1:11" x14ac:dyDescent="0.35">
      <c r="A1676" s="9" t="str">
        <f>HYPERLINK("http://www.ensembl.org/id/WBGene00199130", "WBGene00199130")</f>
        <v>WBGene00199130</v>
      </c>
      <c r="B1676" s="9"/>
      <c r="C1676" s="9"/>
      <c r="D1676" t="str">
        <f>"C17H11.7"</f>
        <v>C17H11.7</v>
      </c>
      <c r="F1676" t="s">
        <v>481</v>
      </c>
      <c r="H1676" s="12">
        <v>3.5227018545059199</v>
      </c>
      <c r="I1676" s="11">
        <v>0.36849691206929103</v>
      </c>
      <c r="J1676" s="10">
        <v>0.71250274722433404</v>
      </c>
      <c r="K1676" s="29">
        <v>0.98289565623980701</v>
      </c>
    </row>
    <row r="1677" spans="1:11" x14ac:dyDescent="0.35">
      <c r="A1677" s="9" t="str">
        <f>HYPERLINK("http://www.ensembl.org/id/WBGene00022938", "WBGene00022938")</f>
        <v>WBGene00022938</v>
      </c>
      <c r="B1677" s="9"/>
      <c r="C1677" s="9"/>
      <c r="D1677" t="str">
        <f>"C18A11.t1"</f>
        <v>C18A11.t1</v>
      </c>
      <c r="F1677" t="s">
        <v>4208</v>
      </c>
      <c r="H1677" s="12">
        <v>3.5227018545059199</v>
      </c>
      <c r="I1677" s="11">
        <v>0.36849691206929103</v>
      </c>
      <c r="J1677" s="10">
        <v>0.71250274722433404</v>
      </c>
      <c r="K1677" s="29">
        <v>0.98289565623980701</v>
      </c>
    </row>
    <row r="1678" spans="1:11" x14ac:dyDescent="0.35">
      <c r="A1678" s="9" t="str">
        <f>HYPERLINK("http://www.ensembl.org/id/WBGene00077523", "WBGene00077523")</f>
        <v>WBGene00077523</v>
      </c>
      <c r="B1678" s="9" t="str">
        <f>HYPERLINK("http://www.ncbi.nlm.nih.gov/gene/6418668", "6418668")</f>
        <v>6418668</v>
      </c>
      <c r="C1678" s="9"/>
      <c r="D1678" t="str">
        <f>"C23H5.12"</f>
        <v>C23H5.12</v>
      </c>
      <c r="F1678" t="s">
        <v>11</v>
      </c>
      <c r="G1678" t="s">
        <v>25</v>
      </c>
      <c r="H1678" s="12">
        <v>3.5227018545059199</v>
      </c>
      <c r="I1678" s="11">
        <v>0.36849691206929103</v>
      </c>
      <c r="J1678" s="10">
        <v>0.71250274722433404</v>
      </c>
      <c r="K1678" s="29">
        <v>0.98289565623980701</v>
      </c>
    </row>
    <row r="1679" spans="1:11" x14ac:dyDescent="0.35">
      <c r="A1679" s="9" t="str">
        <f>HYPERLINK("http://www.ensembl.org/id/WBGene00255469", "WBGene00255469")</f>
        <v>WBGene00255469</v>
      </c>
      <c r="B1679" s="9" t="str">
        <f>HYPERLINK("http://www.ncbi.nlm.nih.gov/gene/24104251", "24104251")</f>
        <v>24104251</v>
      </c>
      <c r="C1679" s="9"/>
      <c r="D1679" t="str">
        <f>"C25G4.17"</f>
        <v>C25G4.17</v>
      </c>
      <c r="F1679" t="s">
        <v>11</v>
      </c>
      <c r="G1679" t="s">
        <v>47</v>
      </c>
      <c r="H1679" s="12">
        <v>3.5227018545059199</v>
      </c>
      <c r="I1679" s="11">
        <v>0.36849691206929103</v>
      </c>
      <c r="J1679" s="10">
        <v>0.71250274722433404</v>
      </c>
      <c r="K1679" s="29">
        <v>0.98289565623980701</v>
      </c>
    </row>
    <row r="1680" spans="1:11" x14ac:dyDescent="0.35">
      <c r="A1680" s="9" t="str">
        <f>HYPERLINK("http://www.ensembl.org/id/WBGene00198463", "WBGene00198463")</f>
        <v>WBGene00198463</v>
      </c>
      <c r="B1680" s="9"/>
      <c r="C1680" s="9"/>
      <c r="D1680" t="str">
        <f>"C27F2.13"</f>
        <v>C27F2.13</v>
      </c>
      <c r="F1680" t="s">
        <v>481</v>
      </c>
      <c r="H1680" s="12">
        <v>3.5227018545059199</v>
      </c>
      <c r="I1680" s="11">
        <v>0.36849691206929103</v>
      </c>
      <c r="J1680" s="10">
        <v>0.71250274722433404</v>
      </c>
      <c r="K1680" s="29">
        <v>0.98289565623980701</v>
      </c>
    </row>
    <row r="1681" spans="1:11" x14ac:dyDescent="0.35">
      <c r="A1681" s="9" t="str">
        <f>HYPERLINK("http://www.ensembl.org/id/WBGene00196375", "WBGene00196375")</f>
        <v>WBGene00196375</v>
      </c>
      <c r="B1681" s="9"/>
      <c r="C1681" s="9"/>
      <c r="D1681" t="str">
        <f>"C29E6.11"</f>
        <v>C29E6.11</v>
      </c>
      <c r="F1681" t="s">
        <v>481</v>
      </c>
      <c r="H1681" s="12">
        <v>3.5227018545059199</v>
      </c>
      <c r="I1681" s="11">
        <v>0.36849691206929103</v>
      </c>
      <c r="J1681" s="10">
        <v>0.71250274722433404</v>
      </c>
      <c r="K1681" s="29">
        <v>0.98289565623980701</v>
      </c>
    </row>
    <row r="1682" spans="1:11" x14ac:dyDescent="0.35">
      <c r="A1682" s="9" t="str">
        <f>HYPERLINK("http://www.ensembl.org/id/WBGene00014273", "WBGene00014273")</f>
        <v>WBGene00014273</v>
      </c>
      <c r="B1682" s="9"/>
      <c r="C1682" s="9"/>
      <c r="D1682" t="str">
        <f>"C29F7.t3"</f>
        <v>C29F7.t3</v>
      </c>
      <c r="F1682" t="s">
        <v>4208</v>
      </c>
      <c r="H1682" s="12">
        <v>3.5227018545059199</v>
      </c>
      <c r="I1682" s="11">
        <v>0.36849691206929103</v>
      </c>
      <c r="J1682" s="10">
        <v>0.71250274722433404</v>
      </c>
      <c r="K1682" s="29">
        <v>0.98289565623980701</v>
      </c>
    </row>
    <row r="1683" spans="1:11" x14ac:dyDescent="0.35">
      <c r="A1683" s="9" t="str">
        <f>HYPERLINK("http://www.ensembl.org/id/WBGene00219842", "WBGene00219842")</f>
        <v>WBGene00219842</v>
      </c>
      <c r="B1683" s="9"/>
      <c r="C1683" s="9"/>
      <c r="D1683" t="str">
        <f>"C30C11.15"</f>
        <v>C30C11.15</v>
      </c>
      <c r="F1683" t="s">
        <v>2977</v>
      </c>
      <c r="H1683" s="12">
        <v>3.5227018545059199</v>
      </c>
      <c r="I1683" s="11">
        <v>0.36849691206929103</v>
      </c>
      <c r="J1683" s="10">
        <v>0.71250274722433404</v>
      </c>
      <c r="K1683" s="29">
        <v>0.98289565623980701</v>
      </c>
    </row>
    <row r="1684" spans="1:11" x14ac:dyDescent="0.35">
      <c r="A1684" s="9" t="str">
        <f>HYPERLINK("http://www.ensembl.org/id/WBGene00007895", "WBGene00007895")</f>
        <v>WBGene00007895</v>
      </c>
      <c r="B1684" s="9" t="str">
        <f>HYPERLINK("http://www.ncbi.nlm.nih.gov/gene/183157", "183157")</f>
        <v>183157</v>
      </c>
      <c r="C1684" s="9"/>
      <c r="D1684" t="str">
        <f>"C33D3.4"</f>
        <v>C33D3.4</v>
      </c>
      <c r="F1684" t="s">
        <v>11</v>
      </c>
      <c r="H1684" s="12">
        <v>3.5227018545059199</v>
      </c>
      <c r="I1684" s="11">
        <v>0.36849691206929103</v>
      </c>
      <c r="J1684" s="10">
        <v>0.71250274722433404</v>
      </c>
      <c r="K1684" s="29">
        <v>0.98289565623980701</v>
      </c>
    </row>
    <row r="1685" spans="1:11" x14ac:dyDescent="0.35">
      <c r="A1685" s="9" t="str">
        <f>HYPERLINK("http://www.ensembl.org/id/WBGene00199820", "WBGene00199820")</f>
        <v>WBGene00199820</v>
      </c>
      <c r="B1685" s="9"/>
      <c r="C1685" s="9"/>
      <c r="D1685" t="str">
        <f>"C34E11.15"</f>
        <v>C34E11.15</v>
      </c>
      <c r="F1685" t="s">
        <v>481</v>
      </c>
      <c r="H1685" s="12">
        <v>3.5227018545059199</v>
      </c>
      <c r="I1685" s="11">
        <v>0.36849691206929103</v>
      </c>
      <c r="J1685" s="10">
        <v>0.71250274722433404</v>
      </c>
      <c r="K1685" s="29">
        <v>0.98289565623980701</v>
      </c>
    </row>
    <row r="1686" spans="1:11" x14ac:dyDescent="0.35">
      <c r="A1686" s="9" t="str">
        <f>HYPERLINK("http://www.ensembl.org/id/WBGene00219848", "WBGene00219848")</f>
        <v>WBGene00219848</v>
      </c>
      <c r="B1686" s="9"/>
      <c r="C1686" s="9"/>
      <c r="D1686" t="str">
        <f>"C34F6.18"</f>
        <v>C34F6.18</v>
      </c>
      <c r="F1686" t="s">
        <v>481</v>
      </c>
      <c r="H1686" s="12">
        <v>3.5227018545059199</v>
      </c>
      <c r="I1686" s="11">
        <v>0.36849691206929103</v>
      </c>
      <c r="J1686" s="10">
        <v>0.71250274722433404</v>
      </c>
      <c r="K1686" s="29">
        <v>0.98289565623980701</v>
      </c>
    </row>
    <row r="1687" spans="1:11" x14ac:dyDescent="0.35">
      <c r="A1687" s="9" t="str">
        <f>HYPERLINK("http://www.ensembl.org/id/WBGene00198717", "WBGene00198717")</f>
        <v>WBGene00198717</v>
      </c>
      <c r="B1687" s="9"/>
      <c r="C1687" s="9"/>
      <c r="D1687" t="str">
        <f>"C34H3.15"</f>
        <v>C34H3.15</v>
      </c>
      <c r="F1687" t="s">
        <v>481</v>
      </c>
      <c r="H1687" s="12">
        <v>3.5227018545059199</v>
      </c>
      <c r="I1687" s="11">
        <v>0.36849691206929103</v>
      </c>
      <c r="J1687" s="10">
        <v>0.71250274722433404</v>
      </c>
      <c r="K1687" s="29">
        <v>0.98289565623980701</v>
      </c>
    </row>
    <row r="1688" spans="1:11" x14ac:dyDescent="0.35">
      <c r="A1688" s="9" t="str">
        <f>HYPERLINK("http://www.ensembl.org/id/WBGene00044230", "WBGene00044230")</f>
        <v>WBGene00044230</v>
      </c>
      <c r="B1688" s="9" t="str">
        <f>HYPERLINK("http://www.ncbi.nlm.nih.gov/gene/3564839", "3564839")</f>
        <v>3564839</v>
      </c>
      <c r="C1688" s="9"/>
      <c r="D1688" t="str">
        <f>"C36E8.6"</f>
        <v>C36E8.6</v>
      </c>
      <c r="F1688" t="s">
        <v>11</v>
      </c>
      <c r="H1688" s="12">
        <v>3.5227018545059199</v>
      </c>
      <c r="I1688" s="11">
        <v>0.36849691206929103</v>
      </c>
      <c r="J1688" s="10">
        <v>0.71250274722433404</v>
      </c>
      <c r="K1688" s="29">
        <v>0.98289565623980701</v>
      </c>
    </row>
    <row r="1689" spans="1:11" x14ac:dyDescent="0.35">
      <c r="A1689" s="9" t="str">
        <f>HYPERLINK("http://www.ensembl.org/id/WBGene00014702", "WBGene00014702")</f>
        <v>WBGene00014702</v>
      </c>
      <c r="B1689" s="9"/>
      <c r="C1689" s="9"/>
      <c r="D1689" t="str">
        <f>"C43D7.3"</f>
        <v>C43D7.3</v>
      </c>
      <c r="F1689" t="s">
        <v>80</v>
      </c>
      <c r="H1689" s="12">
        <v>3.5227018545059199</v>
      </c>
      <c r="I1689" s="11">
        <v>0.36849691206929103</v>
      </c>
      <c r="J1689" s="10">
        <v>0.71250274722433404</v>
      </c>
      <c r="K1689" s="29">
        <v>0.98289565623980701</v>
      </c>
    </row>
    <row r="1690" spans="1:11" x14ac:dyDescent="0.35">
      <c r="A1690" s="9" t="str">
        <f>HYPERLINK("http://www.ensembl.org/id/WBGene00200789", "WBGene00200789")</f>
        <v>WBGene00200789</v>
      </c>
      <c r="B1690" s="9"/>
      <c r="C1690" s="9"/>
      <c r="D1690" t="str">
        <f>"C44E12.8"</f>
        <v>C44E12.8</v>
      </c>
      <c r="F1690" t="s">
        <v>481</v>
      </c>
      <c r="H1690" s="12">
        <v>3.5227018545059199</v>
      </c>
      <c r="I1690" s="11">
        <v>0.36849691206929103</v>
      </c>
      <c r="J1690" s="10">
        <v>0.71250274722433404</v>
      </c>
      <c r="K1690" s="29">
        <v>0.98289565623980701</v>
      </c>
    </row>
    <row r="1691" spans="1:11" x14ac:dyDescent="0.35">
      <c r="A1691" s="9" t="str">
        <f>HYPERLINK("http://www.ensembl.org/id/WBGene00016804", "WBGene00016804")</f>
        <v>WBGene00016804</v>
      </c>
      <c r="B1691" s="9" t="str">
        <f>HYPERLINK("http://www.ncbi.nlm.nih.gov/gene/259520", "259520")</f>
        <v>259520</v>
      </c>
      <c r="C1691" s="9"/>
      <c r="D1691" t="str">
        <f>"C50C3.12"</f>
        <v>C50C3.12</v>
      </c>
      <c r="F1691" t="s">
        <v>11</v>
      </c>
      <c r="H1691" s="12">
        <v>3.5227018545059199</v>
      </c>
      <c r="I1691" s="11">
        <v>0.36849691206929103</v>
      </c>
      <c r="J1691" s="10">
        <v>0.71250274722433404</v>
      </c>
      <c r="K1691" s="29">
        <v>0.98289565623980701</v>
      </c>
    </row>
    <row r="1692" spans="1:11" x14ac:dyDescent="0.35">
      <c r="A1692" s="9" t="str">
        <f>HYPERLINK("http://www.ensembl.org/id/WBGene00201803", "WBGene00201803")</f>
        <v>WBGene00201803</v>
      </c>
      <c r="B1692" s="9"/>
      <c r="C1692" s="9"/>
      <c r="D1692" t="str">
        <f>"C55A6.21"</f>
        <v>C55A6.21</v>
      </c>
      <c r="F1692" t="s">
        <v>481</v>
      </c>
      <c r="H1692" s="12">
        <v>3.5227018545059199</v>
      </c>
      <c r="I1692" s="11">
        <v>0.36849691206929103</v>
      </c>
      <c r="J1692" s="10">
        <v>0.71250274722433404</v>
      </c>
      <c r="K1692" s="29">
        <v>0.98289565623980701</v>
      </c>
    </row>
    <row r="1693" spans="1:11" x14ac:dyDescent="0.35">
      <c r="A1693" s="9" t="str">
        <f>HYPERLINK("http://www.ensembl.org/id/WBGene00017199", "WBGene00017199")</f>
        <v>WBGene00017199</v>
      </c>
      <c r="B1693" s="9" t="str">
        <f>HYPERLINK("http://www.ncbi.nlm.nih.gov/gene/184130", "184130")</f>
        <v>184130</v>
      </c>
      <c r="C1693" s="9"/>
      <c r="D1693" t="str">
        <f>"clec-45"</f>
        <v>clec-45</v>
      </c>
      <c r="E1693" t="s">
        <v>46</v>
      </c>
      <c r="F1693" t="s">
        <v>11</v>
      </c>
      <c r="G1693" t="s">
        <v>47</v>
      </c>
      <c r="H1693" s="12">
        <v>3.5227018545059199</v>
      </c>
      <c r="I1693" s="11">
        <v>0.36849691206929103</v>
      </c>
      <c r="J1693" s="10">
        <v>0.71250274722433404</v>
      </c>
      <c r="K1693" s="29">
        <v>0.98289565623980701</v>
      </c>
    </row>
    <row r="1694" spans="1:11" x14ac:dyDescent="0.35">
      <c r="A1694" s="9" t="str">
        <f>HYPERLINK("http://www.ensembl.org/id/WBGene00000744", "WBGene00000744")</f>
        <v>WBGene00000744</v>
      </c>
      <c r="B1694" s="9" t="str">
        <f>HYPERLINK("http://www.ncbi.nlm.nih.gov/gene/353463", "353463")</f>
        <v>353463</v>
      </c>
      <c r="C1694" s="9"/>
      <c r="D1694" t="str">
        <f>"col-171"</f>
        <v>col-171</v>
      </c>
      <c r="E1694" t="s">
        <v>40</v>
      </c>
      <c r="F1694" t="s">
        <v>11</v>
      </c>
      <c r="G1694" t="s">
        <v>41</v>
      </c>
      <c r="H1694" s="12">
        <v>3.5227018545059199</v>
      </c>
      <c r="I1694" s="11">
        <v>0.36849691206929103</v>
      </c>
      <c r="J1694" s="10">
        <v>0.71250274722433404</v>
      </c>
      <c r="K1694" s="29">
        <v>0.98289565623980701</v>
      </c>
    </row>
    <row r="1695" spans="1:11" x14ac:dyDescent="0.35">
      <c r="A1695" s="9" t="str">
        <f>HYPERLINK("http://www.ensembl.org/id/WBGene00000861", "WBGene00000861")</f>
        <v>WBGene00000861</v>
      </c>
      <c r="B1695" s="9" t="str">
        <f>HYPERLINK("http://www.ncbi.nlm.nih.gov/gene/183296", "183296")</f>
        <v>183296</v>
      </c>
      <c r="C1695" s="9"/>
      <c r="D1695" t="str">
        <f>"cwp-3"</f>
        <v>cwp-3</v>
      </c>
      <c r="E1695" t="s">
        <v>1227</v>
      </c>
      <c r="F1695" t="s">
        <v>11</v>
      </c>
      <c r="H1695" s="12">
        <v>3.5227018545059199</v>
      </c>
      <c r="I1695" s="11">
        <v>0.36849691206929103</v>
      </c>
      <c r="J1695" s="10">
        <v>0.71250274722433404</v>
      </c>
      <c r="K1695" s="29">
        <v>0.98289565623980701</v>
      </c>
    </row>
    <row r="1696" spans="1:11" x14ac:dyDescent="0.35">
      <c r="A1696" s="9" t="str">
        <f>HYPERLINK("http://www.ensembl.org/id/WBGene00199998", "WBGene00199998")</f>
        <v>WBGene00199998</v>
      </c>
      <c r="B1696" s="9"/>
      <c r="C1696" s="9"/>
      <c r="D1696" t="str">
        <f>"D1081.16"</f>
        <v>D1081.16</v>
      </c>
      <c r="F1696" t="s">
        <v>481</v>
      </c>
      <c r="H1696" s="12">
        <v>3.5227018545059199</v>
      </c>
      <c r="I1696" s="11">
        <v>0.36849691206929103</v>
      </c>
      <c r="J1696" s="10">
        <v>0.71250274722433404</v>
      </c>
      <c r="K1696" s="29">
        <v>0.98289565623980701</v>
      </c>
    </row>
    <row r="1697" spans="1:11" x14ac:dyDescent="0.35">
      <c r="A1697" s="9" t="str">
        <f>HYPERLINK("http://www.ensembl.org/id/WBGene00198262", "WBGene00198262")</f>
        <v>WBGene00198262</v>
      </c>
      <c r="B1697" s="9"/>
      <c r="C1697" s="9"/>
      <c r="D1697" t="str">
        <f>"D2024.15"</f>
        <v>D2024.15</v>
      </c>
      <c r="F1697" t="s">
        <v>481</v>
      </c>
      <c r="H1697" s="12">
        <v>3.5227018545059199</v>
      </c>
      <c r="I1697" s="11">
        <v>0.36849691206929103</v>
      </c>
      <c r="J1697" s="10">
        <v>0.71250274722433404</v>
      </c>
      <c r="K1697" s="29">
        <v>0.98289565623980701</v>
      </c>
    </row>
    <row r="1698" spans="1:11" x14ac:dyDescent="0.35">
      <c r="A1698" s="9" t="str">
        <f>HYPERLINK("http://www.ensembl.org/id/WBGene00199989", "WBGene00199989")</f>
        <v>WBGene00199989</v>
      </c>
      <c r="B1698" s="9"/>
      <c r="C1698" s="9"/>
      <c r="D1698" t="str">
        <f>"D2024.16"</f>
        <v>D2024.16</v>
      </c>
      <c r="F1698" t="s">
        <v>481</v>
      </c>
      <c r="H1698" s="12">
        <v>3.5227018545059199</v>
      </c>
      <c r="I1698" s="11">
        <v>0.36849691206929103</v>
      </c>
      <c r="J1698" s="10">
        <v>0.71250274722433404</v>
      </c>
      <c r="K1698" s="29">
        <v>0.98289565623980701</v>
      </c>
    </row>
    <row r="1699" spans="1:11" x14ac:dyDescent="0.35">
      <c r="A1699" s="9" t="str">
        <f>HYPERLINK("http://www.ensembl.org/id/WBGene00017057", "WBGene00017057")</f>
        <v>WBGene00017057</v>
      </c>
      <c r="B1699" s="9" t="str">
        <f>HYPERLINK("http://www.ncbi.nlm.nih.gov/gene/183955", "183955")</f>
        <v>183955</v>
      </c>
      <c r="C1699" s="9"/>
      <c r="D1699" t="str">
        <f>"D2062.5"</f>
        <v>D2062.5</v>
      </c>
      <c r="F1699" t="s">
        <v>11</v>
      </c>
      <c r="G1699" t="s">
        <v>25</v>
      </c>
      <c r="H1699" s="12">
        <v>3.5227018545059199</v>
      </c>
      <c r="I1699" s="11">
        <v>0.36849691206929103</v>
      </c>
      <c r="J1699" s="10">
        <v>0.71250274722433404</v>
      </c>
      <c r="K1699" s="29">
        <v>0.98289565623980701</v>
      </c>
    </row>
    <row r="1700" spans="1:11" x14ac:dyDescent="0.35">
      <c r="A1700" s="9" t="str">
        <f>HYPERLINK("http://www.ensembl.org/id/WBGene00199613", "WBGene00199613")</f>
        <v>WBGene00199613</v>
      </c>
      <c r="B1700" s="9"/>
      <c r="C1700" s="9"/>
      <c r="D1700" t="str">
        <f>"F10E9.16"</f>
        <v>F10E9.16</v>
      </c>
      <c r="F1700" t="s">
        <v>481</v>
      </c>
      <c r="H1700" s="12">
        <v>3.5227018545059199</v>
      </c>
      <c r="I1700" s="11">
        <v>0.36849691206929103</v>
      </c>
      <c r="J1700" s="10">
        <v>0.71250274722433404</v>
      </c>
      <c r="K1700" s="29">
        <v>0.98289565623980701</v>
      </c>
    </row>
    <row r="1701" spans="1:11" x14ac:dyDescent="0.35">
      <c r="A1701" s="9" t="str">
        <f>HYPERLINK("http://www.ensembl.org/id/WBGene00200183", "WBGene00200183")</f>
        <v>WBGene00200183</v>
      </c>
      <c r="B1701" s="9"/>
      <c r="C1701" s="9"/>
      <c r="D1701" t="str">
        <f>"F11D5.25"</f>
        <v>F11D5.25</v>
      </c>
      <c r="F1701" t="s">
        <v>481</v>
      </c>
      <c r="H1701" s="12">
        <v>3.5227018545059199</v>
      </c>
      <c r="I1701" s="11">
        <v>0.36849691206929103</v>
      </c>
      <c r="J1701" s="10">
        <v>0.71250274722433404</v>
      </c>
      <c r="K1701" s="29">
        <v>0.98289565623980701</v>
      </c>
    </row>
    <row r="1702" spans="1:11" x14ac:dyDescent="0.35">
      <c r="A1702" s="9" t="str">
        <f>HYPERLINK("http://www.ensembl.org/id/WBGene00201564", "WBGene00201564")</f>
        <v>WBGene00201564</v>
      </c>
      <c r="B1702" s="9"/>
      <c r="C1702" s="9"/>
      <c r="D1702" t="str">
        <f>"F13D11.19"</f>
        <v>F13D11.19</v>
      </c>
      <c r="F1702" t="s">
        <v>481</v>
      </c>
      <c r="H1702" s="12">
        <v>3.5227018545059199</v>
      </c>
      <c r="I1702" s="11">
        <v>0.36849691206929103</v>
      </c>
      <c r="J1702" s="10">
        <v>0.71250274722433404</v>
      </c>
      <c r="K1702" s="29">
        <v>0.98289565623980701</v>
      </c>
    </row>
    <row r="1703" spans="1:11" x14ac:dyDescent="0.35">
      <c r="A1703" s="9" t="str">
        <f>HYPERLINK("http://www.ensembl.org/id/WBGene00023268", "WBGene00023268")</f>
        <v>WBGene00023268</v>
      </c>
      <c r="B1703" s="9"/>
      <c r="C1703" s="9"/>
      <c r="D1703" t="str">
        <f>"F15A8.3"</f>
        <v>F15A8.3</v>
      </c>
      <c r="F1703" t="s">
        <v>80</v>
      </c>
      <c r="H1703" s="12">
        <v>3.5227018545059199</v>
      </c>
      <c r="I1703" s="11">
        <v>0.36849691206929103</v>
      </c>
      <c r="J1703" s="10">
        <v>0.71250274722433404</v>
      </c>
      <c r="K1703" s="29">
        <v>0.98289565623980701</v>
      </c>
    </row>
    <row r="1704" spans="1:11" x14ac:dyDescent="0.35">
      <c r="A1704" s="9" t="str">
        <f>HYPERLINK("http://www.ensembl.org/id/WBGene00008873", "WBGene00008873")</f>
        <v>WBGene00008873</v>
      </c>
      <c r="B1704" s="9"/>
      <c r="C1704" s="9"/>
      <c r="D1704" t="str">
        <f>"F15H10.6"</f>
        <v>F15H10.6</v>
      </c>
      <c r="F1704" t="s">
        <v>80</v>
      </c>
      <c r="H1704" s="12">
        <v>3.5227018545059199</v>
      </c>
      <c r="I1704" s="11">
        <v>0.36849691206929103</v>
      </c>
      <c r="J1704" s="10">
        <v>0.71250274722433404</v>
      </c>
      <c r="K1704" s="29">
        <v>0.98289565623980701</v>
      </c>
    </row>
    <row r="1705" spans="1:11" x14ac:dyDescent="0.35">
      <c r="A1705" s="9" t="str">
        <f>HYPERLINK("http://www.ensembl.org/id/WBGene00198870", "WBGene00198870")</f>
        <v>WBGene00198870</v>
      </c>
      <c r="B1705" s="9"/>
      <c r="C1705" s="9"/>
      <c r="D1705" t="str">
        <f>"F25H10.6"</f>
        <v>F25H10.6</v>
      </c>
      <c r="F1705" t="s">
        <v>481</v>
      </c>
      <c r="H1705" s="12">
        <v>3.5227018545059199</v>
      </c>
      <c r="I1705" s="11">
        <v>0.36849691206929103</v>
      </c>
      <c r="J1705" s="10">
        <v>0.71250274722433404</v>
      </c>
      <c r="K1705" s="29">
        <v>0.98289565623980701</v>
      </c>
    </row>
    <row r="1706" spans="1:11" x14ac:dyDescent="0.35">
      <c r="A1706" s="9" t="str">
        <f>HYPERLINK("http://www.ensembl.org/id/WBGene00199981", "WBGene00199981")</f>
        <v>WBGene00199981</v>
      </c>
      <c r="B1706" s="9"/>
      <c r="C1706" s="9"/>
      <c r="D1706" t="str">
        <f>"F26A1.18"</f>
        <v>F26A1.18</v>
      </c>
      <c r="F1706" t="s">
        <v>481</v>
      </c>
      <c r="H1706" s="12">
        <v>3.5227018545059199</v>
      </c>
      <c r="I1706" s="11">
        <v>0.36849691206929103</v>
      </c>
      <c r="J1706" s="10">
        <v>0.71250274722433404</v>
      </c>
      <c r="K1706" s="29">
        <v>0.98289565623980701</v>
      </c>
    </row>
    <row r="1707" spans="1:11" x14ac:dyDescent="0.35">
      <c r="A1707" s="9" t="str">
        <f>HYPERLINK("http://www.ensembl.org/id/WBGene00195822", "WBGene00195822")</f>
        <v>WBGene00195822</v>
      </c>
      <c r="B1707" s="9"/>
      <c r="C1707" s="9"/>
      <c r="D1707" t="str">
        <f>"F28F9.7"</f>
        <v>F28F9.7</v>
      </c>
      <c r="F1707" t="s">
        <v>481</v>
      </c>
      <c r="H1707" s="12">
        <v>3.5227018545059199</v>
      </c>
      <c r="I1707" s="11">
        <v>0.36849691206929103</v>
      </c>
      <c r="J1707" s="10">
        <v>0.71250274722433404</v>
      </c>
      <c r="K1707" s="29">
        <v>0.98289565623980701</v>
      </c>
    </row>
    <row r="1708" spans="1:11" x14ac:dyDescent="0.35">
      <c r="A1708" s="9" t="str">
        <f>HYPERLINK("http://www.ensembl.org/id/WBGene00201530", "WBGene00201530")</f>
        <v>WBGene00201530</v>
      </c>
      <c r="B1708" s="9"/>
      <c r="C1708" s="9"/>
      <c r="D1708" t="str">
        <f>"F29F11.17"</f>
        <v>F29F11.17</v>
      </c>
      <c r="F1708" t="s">
        <v>481</v>
      </c>
      <c r="H1708" s="12">
        <v>3.5227018545059199</v>
      </c>
      <c r="I1708" s="11">
        <v>0.36849691206929103</v>
      </c>
      <c r="J1708" s="10">
        <v>0.71250274722433404</v>
      </c>
      <c r="K1708" s="29">
        <v>0.98289565623980701</v>
      </c>
    </row>
    <row r="1709" spans="1:11" x14ac:dyDescent="0.35">
      <c r="A1709" s="9" t="str">
        <f>HYPERLINK("http://www.ensembl.org/id/WBGene00199584", "WBGene00199584")</f>
        <v>WBGene00199584</v>
      </c>
      <c r="B1709" s="9"/>
      <c r="C1709" s="9"/>
      <c r="D1709" t="str">
        <f>"F31E8.16"</f>
        <v>F31E8.16</v>
      </c>
      <c r="F1709" t="s">
        <v>481</v>
      </c>
      <c r="H1709" s="12">
        <v>3.5227018545059199</v>
      </c>
      <c r="I1709" s="11">
        <v>0.36849691206929103</v>
      </c>
      <c r="J1709" s="10">
        <v>0.71250274722433404</v>
      </c>
      <c r="K1709" s="29">
        <v>0.98289565623980701</v>
      </c>
    </row>
    <row r="1710" spans="1:11" x14ac:dyDescent="0.35">
      <c r="A1710" s="9" t="str">
        <f>HYPERLINK("http://www.ensembl.org/id/WBGene00199900", "WBGene00199900")</f>
        <v>WBGene00199900</v>
      </c>
      <c r="B1710" s="9"/>
      <c r="C1710" s="9"/>
      <c r="D1710" t="str">
        <f>"F32B5.13"</f>
        <v>F32B5.13</v>
      </c>
      <c r="F1710" t="s">
        <v>481</v>
      </c>
      <c r="H1710" s="12">
        <v>3.5227018545059199</v>
      </c>
      <c r="I1710" s="11">
        <v>0.36849691206929103</v>
      </c>
      <c r="J1710" s="10">
        <v>0.71250274722433404</v>
      </c>
      <c r="K1710" s="29">
        <v>0.98289565623980701</v>
      </c>
    </row>
    <row r="1711" spans="1:11" x14ac:dyDescent="0.35">
      <c r="A1711" s="9" t="str">
        <f>HYPERLINK("http://www.ensembl.org/id/WBGene00195805", "WBGene00195805")</f>
        <v>WBGene00195805</v>
      </c>
      <c r="B1711" s="9"/>
      <c r="C1711" s="9"/>
      <c r="D1711" t="str">
        <f>"F35G2.8"</f>
        <v>F35G2.8</v>
      </c>
      <c r="F1711" t="s">
        <v>481</v>
      </c>
      <c r="H1711" s="12">
        <v>3.5227018545059199</v>
      </c>
      <c r="I1711" s="11">
        <v>0.36849691206929103</v>
      </c>
      <c r="J1711" s="10">
        <v>0.71250274722433404</v>
      </c>
      <c r="K1711" s="29">
        <v>0.98289565623980701</v>
      </c>
    </row>
    <row r="1712" spans="1:11" x14ac:dyDescent="0.35">
      <c r="A1712" s="9" t="str">
        <f>HYPERLINK("http://www.ensembl.org/id/WBGene00014371", "WBGene00014371")</f>
        <v>WBGene00014371</v>
      </c>
      <c r="B1712" s="9"/>
      <c r="C1712" s="9"/>
      <c r="D1712" t="str">
        <f>"F40G12.14"</f>
        <v>F40G12.14</v>
      </c>
      <c r="F1712" t="s">
        <v>4205</v>
      </c>
      <c r="H1712" s="12">
        <v>3.5227018545059199</v>
      </c>
      <c r="I1712" s="11">
        <v>0.36849691206929103</v>
      </c>
      <c r="J1712" s="10">
        <v>0.71250274722433404</v>
      </c>
      <c r="K1712" s="29">
        <v>0.98289565623980701</v>
      </c>
    </row>
    <row r="1713" spans="1:11" x14ac:dyDescent="0.35">
      <c r="A1713" s="9" t="str">
        <f>HYPERLINK("http://www.ensembl.org/id/WBGene00200593", "WBGene00200593")</f>
        <v>WBGene00200593</v>
      </c>
      <c r="B1713" s="9"/>
      <c r="C1713" s="9"/>
      <c r="D1713" t="str">
        <f>"F41E7.16"</f>
        <v>F41E7.16</v>
      </c>
      <c r="F1713" t="s">
        <v>481</v>
      </c>
      <c r="H1713" s="12">
        <v>3.5227018545059199</v>
      </c>
      <c r="I1713" s="11">
        <v>0.36849691206929103</v>
      </c>
      <c r="J1713" s="10">
        <v>0.71250274722433404</v>
      </c>
      <c r="K1713" s="29">
        <v>0.98289565623980701</v>
      </c>
    </row>
    <row r="1714" spans="1:11" x14ac:dyDescent="0.35">
      <c r="A1714" s="9" t="str">
        <f>HYPERLINK("http://www.ensembl.org/id/WBGene00202415", "WBGene00202415")</f>
        <v>WBGene00202415</v>
      </c>
      <c r="B1714" s="9"/>
      <c r="C1714" s="9"/>
      <c r="D1714" t="str">
        <f>"F42A9.15"</f>
        <v>F42A9.15</v>
      </c>
      <c r="F1714" t="s">
        <v>481</v>
      </c>
      <c r="H1714" s="12">
        <v>3.5227018545059199</v>
      </c>
      <c r="I1714" s="11">
        <v>0.36849691206929103</v>
      </c>
      <c r="J1714" s="10">
        <v>0.71250274722433404</v>
      </c>
      <c r="K1714" s="29">
        <v>0.98289565623980701</v>
      </c>
    </row>
    <row r="1715" spans="1:11" x14ac:dyDescent="0.35">
      <c r="A1715" s="9" t="str">
        <f>HYPERLINK("http://www.ensembl.org/id/WBGene00018389", "WBGene00018389")</f>
        <v>WBGene00018389</v>
      </c>
      <c r="B1715" s="9" t="str">
        <f>HYPERLINK("http://www.ncbi.nlm.nih.gov/gene/185703", "185703")</f>
        <v>185703</v>
      </c>
      <c r="C1715" s="9"/>
      <c r="D1715" t="str">
        <f>"F43C11.12"</f>
        <v>F43C11.12</v>
      </c>
      <c r="F1715" t="s">
        <v>11</v>
      </c>
      <c r="H1715" s="12">
        <v>3.5227018545059199</v>
      </c>
      <c r="I1715" s="11">
        <v>0.36849691206929103</v>
      </c>
      <c r="J1715" s="10">
        <v>0.71250274722433404</v>
      </c>
      <c r="K1715" s="29">
        <v>0.98289565623980701</v>
      </c>
    </row>
    <row r="1716" spans="1:11" x14ac:dyDescent="0.35">
      <c r="A1716" s="9" t="str">
        <f>HYPERLINK("http://www.ensembl.org/id/WBGene00018385", "WBGene00018385")</f>
        <v>WBGene00018385</v>
      </c>
      <c r="B1716" s="9" t="str">
        <f>HYPERLINK("http://www.ncbi.nlm.nih.gov/gene/173590", "173590")</f>
        <v>173590</v>
      </c>
      <c r="C1716" s="9"/>
      <c r="D1716" t="str">
        <f>"F43C11.8"</f>
        <v>F43C11.8</v>
      </c>
      <c r="F1716" t="s">
        <v>11</v>
      </c>
      <c r="G1716" t="s">
        <v>3465</v>
      </c>
      <c r="H1716" s="12">
        <v>3.5227018545059199</v>
      </c>
      <c r="I1716" s="11">
        <v>0.36849691206929103</v>
      </c>
      <c r="J1716" s="10">
        <v>0.71250274722433404</v>
      </c>
      <c r="K1716" s="29">
        <v>0.98289565623980701</v>
      </c>
    </row>
    <row r="1717" spans="1:11" x14ac:dyDescent="0.35">
      <c r="A1717" s="9" t="str">
        <f>HYPERLINK("http://www.ensembl.org/id/WBGene00202168", "WBGene00202168")</f>
        <v>WBGene00202168</v>
      </c>
      <c r="B1717" s="9"/>
      <c r="C1717" s="9"/>
      <c r="D1717" t="str">
        <f>"F43C9.9"</f>
        <v>F43C9.9</v>
      </c>
      <c r="F1717" t="s">
        <v>481</v>
      </c>
      <c r="H1717" s="12">
        <v>3.5227018545059199</v>
      </c>
      <c r="I1717" s="11">
        <v>0.36849691206929103</v>
      </c>
      <c r="J1717" s="10">
        <v>0.71250274722433404</v>
      </c>
      <c r="K1717" s="29">
        <v>0.98289565623980701</v>
      </c>
    </row>
    <row r="1718" spans="1:11" x14ac:dyDescent="0.35">
      <c r="A1718" s="9" t="str">
        <f>HYPERLINK("http://www.ensembl.org/id/WBGene00018496", "WBGene00018496")</f>
        <v>WBGene00018496</v>
      </c>
      <c r="B1718" s="9" t="str">
        <f>HYPERLINK("http://www.ncbi.nlm.nih.gov/gene/185858", "185858")</f>
        <v>185858</v>
      </c>
      <c r="C1718" s="9"/>
      <c r="D1718" t="str">
        <f>"F46F5.5"</f>
        <v>F46F5.5</v>
      </c>
      <c r="F1718" t="s">
        <v>11</v>
      </c>
      <c r="G1718" t="s">
        <v>4289</v>
      </c>
      <c r="H1718" s="12">
        <v>3.5227018545059199</v>
      </c>
      <c r="I1718" s="11">
        <v>0.36849691206929103</v>
      </c>
      <c r="J1718" s="10">
        <v>0.71250274722433404</v>
      </c>
      <c r="K1718" s="29">
        <v>0.98289565623980701</v>
      </c>
    </row>
    <row r="1719" spans="1:11" x14ac:dyDescent="0.35">
      <c r="A1719" s="9" t="str">
        <f>HYPERLINK("http://www.ensembl.org/id/WBGene00198251", "WBGene00198251")</f>
        <v>WBGene00198251</v>
      </c>
      <c r="B1719" s="9"/>
      <c r="C1719" s="9"/>
      <c r="D1719" t="str">
        <f>"F46H5.10"</f>
        <v>F46H5.10</v>
      </c>
      <c r="F1719" t="s">
        <v>481</v>
      </c>
      <c r="H1719" s="12">
        <v>3.5227018545059199</v>
      </c>
      <c r="I1719" s="11">
        <v>0.36849691206929103</v>
      </c>
      <c r="J1719" s="10">
        <v>0.71250274722433404</v>
      </c>
      <c r="K1719" s="29">
        <v>0.98289565623980701</v>
      </c>
    </row>
    <row r="1720" spans="1:11" x14ac:dyDescent="0.35">
      <c r="A1720" s="9" t="str">
        <f>HYPERLINK("http://www.ensembl.org/id/WBGene00195858", "WBGene00195858")</f>
        <v>WBGene00195858</v>
      </c>
      <c r="B1720" s="9"/>
      <c r="C1720" s="9"/>
      <c r="D1720" t="str">
        <f>"F48C11.6"</f>
        <v>F48C11.6</v>
      </c>
      <c r="F1720" t="s">
        <v>481</v>
      </c>
      <c r="H1720" s="12">
        <v>3.5227018545059199</v>
      </c>
      <c r="I1720" s="11">
        <v>0.36849691206929103</v>
      </c>
      <c r="J1720" s="10">
        <v>0.71250274722433404</v>
      </c>
      <c r="K1720" s="29">
        <v>0.98289565623980701</v>
      </c>
    </row>
    <row r="1721" spans="1:11" x14ac:dyDescent="0.35">
      <c r="A1721" s="9" t="str">
        <f>HYPERLINK("http://www.ensembl.org/id/WBGene00235368", "WBGene00235368")</f>
        <v>WBGene00235368</v>
      </c>
      <c r="B1721" s="9" t="str">
        <f>HYPERLINK("http://www.ncbi.nlm.nih.gov/gene/24104609", "24104609")</f>
        <v>24104609</v>
      </c>
      <c r="C1721" s="9"/>
      <c r="D1721" t="str">
        <f>"F49F1.18"</f>
        <v>F49F1.18</v>
      </c>
      <c r="E1721" t="s">
        <v>2043</v>
      </c>
      <c r="F1721" t="s">
        <v>11</v>
      </c>
      <c r="G1721" t="s">
        <v>47</v>
      </c>
      <c r="H1721" s="12">
        <v>3.5227018545059199</v>
      </c>
      <c r="I1721" s="11">
        <v>0.36849691206929103</v>
      </c>
      <c r="J1721" s="10">
        <v>0.71250274722433404</v>
      </c>
      <c r="K1721" s="29">
        <v>0.98289565623980701</v>
      </c>
    </row>
    <row r="1722" spans="1:11" x14ac:dyDescent="0.35">
      <c r="A1722" s="9" t="str">
        <f>HYPERLINK("http://www.ensembl.org/id/WBGene00195334", "WBGene00195334")</f>
        <v>WBGene00195334</v>
      </c>
      <c r="B1722" s="9"/>
      <c r="C1722" s="9"/>
      <c r="D1722" t="str">
        <f>"F52E4.9"</f>
        <v>F52E4.9</v>
      </c>
      <c r="F1722" t="s">
        <v>481</v>
      </c>
      <c r="H1722" s="12">
        <v>3.5227018545059199</v>
      </c>
      <c r="I1722" s="11">
        <v>0.36849691206929103</v>
      </c>
      <c r="J1722" s="10">
        <v>0.71250274722433404</v>
      </c>
      <c r="K1722" s="29">
        <v>0.98289565623980701</v>
      </c>
    </row>
    <row r="1723" spans="1:11" x14ac:dyDescent="0.35">
      <c r="A1723" s="9" t="str">
        <f>HYPERLINK("http://www.ensembl.org/id/WBGene00018768", "WBGene00018768")</f>
        <v>WBGene00018768</v>
      </c>
      <c r="B1723" s="9" t="str">
        <f>HYPERLINK("http://www.ncbi.nlm.nih.gov/gene/186186", "186186")</f>
        <v>186186</v>
      </c>
      <c r="C1723" s="9"/>
      <c r="D1723" t="str">
        <f>"F53G2.3"</f>
        <v>F53G2.3</v>
      </c>
      <c r="F1723" t="s">
        <v>11</v>
      </c>
      <c r="H1723" s="12">
        <v>3.5227018545059199</v>
      </c>
      <c r="I1723" s="11">
        <v>0.36849691206929103</v>
      </c>
      <c r="J1723" s="10">
        <v>0.71250274722433404</v>
      </c>
      <c r="K1723" s="29">
        <v>0.98289565623980701</v>
      </c>
    </row>
    <row r="1724" spans="1:11" x14ac:dyDescent="0.35">
      <c r="A1724" s="9" t="str">
        <f>HYPERLINK("http://www.ensembl.org/id/WBGene00018815", "WBGene00018815")</f>
        <v>WBGene00018815</v>
      </c>
      <c r="B1724" s="9" t="str">
        <f>HYPERLINK("http://www.ncbi.nlm.nih.gov/gene/186238", "186238")</f>
        <v>186238</v>
      </c>
      <c r="C1724" s="9"/>
      <c r="D1724" t="str">
        <f>"F54D12.1"</f>
        <v>F54D12.1</v>
      </c>
      <c r="F1724" t="s">
        <v>11</v>
      </c>
      <c r="H1724" s="12">
        <v>3.5227018545059199</v>
      </c>
      <c r="I1724" s="11">
        <v>0.36849691206929103</v>
      </c>
      <c r="J1724" s="10">
        <v>0.71250274722433404</v>
      </c>
      <c r="K1724" s="29">
        <v>0.98289565623980701</v>
      </c>
    </row>
    <row r="1725" spans="1:11" x14ac:dyDescent="0.35">
      <c r="A1725" s="9" t="str">
        <f>HYPERLINK("http://www.ensembl.org/id/WBGene00236799", "WBGene00236799")</f>
        <v>WBGene00236799</v>
      </c>
      <c r="B1725" s="9"/>
      <c r="C1725" s="9"/>
      <c r="D1725" t="str">
        <f>"F54E2.8"</f>
        <v>F54E2.8</v>
      </c>
      <c r="F1725" t="s">
        <v>2735</v>
      </c>
      <c r="H1725" s="12">
        <v>3.5227018545059199</v>
      </c>
      <c r="I1725" s="11">
        <v>0.36849691206929103</v>
      </c>
      <c r="J1725" s="10">
        <v>0.71250274722433404</v>
      </c>
      <c r="K1725" s="29">
        <v>0.98289565623980701</v>
      </c>
    </row>
    <row r="1726" spans="1:11" x14ac:dyDescent="0.35">
      <c r="A1726" s="9" t="str">
        <f>HYPERLINK("http://www.ensembl.org/id/WBGene00197388", "WBGene00197388")</f>
        <v>WBGene00197388</v>
      </c>
      <c r="B1726" s="9"/>
      <c r="C1726" s="9"/>
      <c r="D1726" t="str">
        <f>"F54E4.10"</f>
        <v>F54E4.10</v>
      </c>
      <c r="F1726" t="s">
        <v>481</v>
      </c>
      <c r="H1726" s="12">
        <v>3.5227018545059199</v>
      </c>
      <c r="I1726" s="11">
        <v>0.36849691206929103</v>
      </c>
      <c r="J1726" s="10">
        <v>0.71250274722433404</v>
      </c>
      <c r="K1726" s="29">
        <v>0.98289565623980701</v>
      </c>
    </row>
    <row r="1727" spans="1:11" x14ac:dyDescent="0.35">
      <c r="A1727" s="9" t="str">
        <f>HYPERLINK("http://www.ensembl.org/id/WBGene00014397", "WBGene00014397")</f>
        <v>WBGene00014397</v>
      </c>
      <c r="B1727" s="9"/>
      <c r="C1727" s="9"/>
      <c r="D1727" t="str">
        <f>"F55A11.10"</f>
        <v>F55A11.10</v>
      </c>
      <c r="F1727" t="s">
        <v>2977</v>
      </c>
      <c r="H1727" s="12">
        <v>3.5227018545059199</v>
      </c>
      <c r="I1727" s="11">
        <v>0.36849691206929103</v>
      </c>
      <c r="J1727" s="10">
        <v>0.71250274722433404</v>
      </c>
      <c r="K1727" s="29">
        <v>0.98289565623980701</v>
      </c>
    </row>
    <row r="1728" spans="1:11" x14ac:dyDescent="0.35">
      <c r="A1728" s="9" t="str">
        <f>HYPERLINK("http://www.ensembl.org/id/WBGene00199710", "WBGene00199710")</f>
        <v>WBGene00199710</v>
      </c>
      <c r="B1728" s="9"/>
      <c r="C1728" s="9"/>
      <c r="D1728" t="str">
        <f>"F55A12.15"</f>
        <v>F55A12.15</v>
      </c>
      <c r="F1728" t="s">
        <v>481</v>
      </c>
      <c r="H1728" s="12">
        <v>3.5227018545059199</v>
      </c>
      <c r="I1728" s="11">
        <v>0.36849691206929103</v>
      </c>
      <c r="J1728" s="10">
        <v>0.71250274722433404</v>
      </c>
      <c r="K1728" s="29">
        <v>0.98289565623980701</v>
      </c>
    </row>
    <row r="1729" spans="1:11" x14ac:dyDescent="0.35">
      <c r="A1729" s="9" t="str">
        <f>HYPERLINK("http://www.ensembl.org/id/WBGene00200300", "WBGene00200300")</f>
        <v>WBGene00200300</v>
      </c>
      <c r="B1729" s="9"/>
      <c r="C1729" s="9"/>
      <c r="D1729" t="str">
        <f>"F55A12.16"</f>
        <v>F55A12.16</v>
      </c>
      <c r="F1729" t="s">
        <v>481</v>
      </c>
      <c r="H1729" s="12">
        <v>3.5227018545059199</v>
      </c>
      <c r="I1729" s="11">
        <v>0.36849691206929103</v>
      </c>
      <c r="J1729" s="10">
        <v>0.71250274722433404</v>
      </c>
      <c r="K1729" s="29">
        <v>0.98289565623980701</v>
      </c>
    </row>
    <row r="1730" spans="1:11" x14ac:dyDescent="0.35">
      <c r="A1730" s="9" t="str">
        <f>HYPERLINK("http://www.ensembl.org/id/WBGene00197308", "WBGene00197308")</f>
        <v>WBGene00197308</v>
      </c>
      <c r="B1730" s="9"/>
      <c r="C1730" s="9"/>
      <c r="D1730" t="str">
        <f>"F55G1.18"</f>
        <v>F55G1.18</v>
      </c>
      <c r="F1730" t="s">
        <v>481</v>
      </c>
      <c r="H1730" s="12">
        <v>3.5227018545059199</v>
      </c>
      <c r="I1730" s="11">
        <v>0.36849691206929103</v>
      </c>
      <c r="J1730" s="10">
        <v>0.71250274722433404</v>
      </c>
      <c r="K1730" s="29">
        <v>0.98289565623980701</v>
      </c>
    </row>
    <row r="1731" spans="1:11" x14ac:dyDescent="0.35">
      <c r="A1731" s="9" t="str">
        <f>HYPERLINK("http://www.ensembl.org/id/WBGene00235359", "WBGene00235359")</f>
        <v>WBGene00235359</v>
      </c>
      <c r="B1731" s="9" t="str">
        <f>HYPERLINK("http://www.ncbi.nlm.nih.gov/gene/24104655", "24104655")</f>
        <v>24104655</v>
      </c>
      <c r="C1731" s="9"/>
      <c r="D1731" t="str">
        <f>"F56D6.22"</f>
        <v>F56D6.22</v>
      </c>
      <c r="F1731" t="s">
        <v>11</v>
      </c>
      <c r="G1731" t="s">
        <v>25</v>
      </c>
      <c r="H1731" s="12">
        <v>3.5227018545059199</v>
      </c>
      <c r="I1731" s="11">
        <v>0.36849691206929103</v>
      </c>
      <c r="J1731" s="10">
        <v>0.71250274722433404</v>
      </c>
      <c r="K1731" s="29">
        <v>0.98289565623980701</v>
      </c>
    </row>
    <row r="1732" spans="1:11" x14ac:dyDescent="0.35">
      <c r="A1732" s="9" t="str">
        <f>HYPERLINK("http://www.ensembl.org/id/WBGene00195807", "WBGene00195807")</f>
        <v>WBGene00195807</v>
      </c>
      <c r="B1732" s="9"/>
      <c r="C1732" s="9"/>
      <c r="D1732" t="str">
        <f>"F56H11.8"</f>
        <v>F56H11.8</v>
      </c>
      <c r="F1732" t="s">
        <v>481</v>
      </c>
      <c r="H1732" s="12">
        <v>3.5227018545059199</v>
      </c>
      <c r="I1732" s="11">
        <v>0.36849691206929103</v>
      </c>
      <c r="J1732" s="10">
        <v>0.71250274722433404</v>
      </c>
      <c r="K1732" s="29">
        <v>0.98289565623980701</v>
      </c>
    </row>
    <row r="1733" spans="1:11" x14ac:dyDescent="0.35">
      <c r="A1733" s="9" t="str">
        <f>HYPERLINK("http://www.ensembl.org/id/WBGene00198943", "WBGene00198943")</f>
        <v>WBGene00198943</v>
      </c>
      <c r="B1733" s="9"/>
      <c r="C1733" s="9"/>
      <c r="D1733" t="str">
        <f>"F58B6.8"</f>
        <v>F58B6.8</v>
      </c>
      <c r="F1733" t="s">
        <v>481</v>
      </c>
      <c r="H1733" s="12">
        <v>3.5227018545059199</v>
      </c>
      <c r="I1733" s="11">
        <v>0.36849691206929103</v>
      </c>
      <c r="J1733" s="10">
        <v>0.71250274722433404</v>
      </c>
      <c r="K1733" s="29">
        <v>0.98289565623980701</v>
      </c>
    </row>
    <row r="1734" spans="1:11" x14ac:dyDescent="0.35">
      <c r="A1734" s="9" t="str">
        <f>HYPERLINK("http://www.ensembl.org/id/WBGene00199467", "WBGene00199467")</f>
        <v>WBGene00199467</v>
      </c>
      <c r="B1734" s="9"/>
      <c r="C1734" s="9"/>
      <c r="D1734" t="str">
        <f>"F58D5.10"</f>
        <v>F58D5.10</v>
      </c>
      <c r="F1734" t="s">
        <v>481</v>
      </c>
      <c r="H1734" s="12">
        <v>3.5227018545059199</v>
      </c>
      <c r="I1734" s="11">
        <v>0.36849691206929103</v>
      </c>
      <c r="J1734" s="10">
        <v>0.71250274722433404</v>
      </c>
      <c r="K1734" s="29">
        <v>0.98289565623980701</v>
      </c>
    </row>
    <row r="1735" spans="1:11" x14ac:dyDescent="0.35">
      <c r="A1735" s="9" t="str">
        <f>HYPERLINK("http://www.ensembl.org/id/WBGene00219549", "WBGene00219549")</f>
        <v>WBGene00219549</v>
      </c>
      <c r="B1735" s="9"/>
      <c r="C1735" s="9"/>
      <c r="D1735" t="str">
        <f>"F59A1.19"</f>
        <v>F59A1.19</v>
      </c>
      <c r="F1735" t="s">
        <v>80</v>
      </c>
      <c r="H1735" s="12">
        <v>3.5227018545059199</v>
      </c>
      <c r="I1735" s="11">
        <v>0.36849691206929103</v>
      </c>
      <c r="J1735" s="10">
        <v>0.71250274722433404</v>
      </c>
      <c r="K1735" s="29">
        <v>0.98289565623980701</v>
      </c>
    </row>
    <row r="1736" spans="1:11" x14ac:dyDescent="0.35">
      <c r="A1736" s="9" t="str">
        <f>HYPERLINK("http://www.ensembl.org/id/WBGene00045298", "WBGene00045298")</f>
        <v>WBGene00045298</v>
      </c>
      <c r="B1736" s="9" t="str">
        <f>HYPERLINK("http://www.ncbi.nlm.nih.gov/gene/6418669", "6418669")</f>
        <v>6418669</v>
      </c>
      <c r="C1736" s="9"/>
      <c r="D1736" t="str">
        <f>"fbxc-12"</f>
        <v>fbxc-12</v>
      </c>
      <c r="E1736" t="s">
        <v>311</v>
      </c>
      <c r="F1736" t="s">
        <v>11</v>
      </c>
      <c r="H1736" s="12">
        <v>3.5227018545059199</v>
      </c>
      <c r="I1736" s="11">
        <v>0.36849691206929103</v>
      </c>
      <c r="J1736" s="10">
        <v>0.71250274722433404</v>
      </c>
      <c r="K1736" s="29">
        <v>0.98289565623980701</v>
      </c>
    </row>
    <row r="1737" spans="1:11" x14ac:dyDescent="0.35">
      <c r="A1737" s="9" t="str">
        <f>HYPERLINK("http://www.ensembl.org/id/WBGene00001528", "WBGene00001528")</f>
        <v>WBGene00001528</v>
      </c>
      <c r="B1737" s="9" t="str">
        <f>HYPERLINK("http://www.ncbi.nlm.nih.gov/gene/191639", "191639")</f>
        <v>191639</v>
      </c>
      <c r="C1737" s="9"/>
      <c r="D1737" t="str">
        <f>"gcy-1"</f>
        <v>gcy-1</v>
      </c>
      <c r="E1737" t="s">
        <v>4307</v>
      </c>
      <c r="F1737" t="s">
        <v>11</v>
      </c>
      <c r="G1737" t="s">
        <v>1564</v>
      </c>
      <c r="H1737" s="12">
        <v>3.5227018545059199</v>
      </c>
      <c r="I1737" s="11">
        <v>0.36849691206929103</v>
      </c>
      <c r="J1737" s="10">
        <v>0.71250274722433404</v>
      </c>
      <c r="K1737" s="29">
        <v>0.98289565623980701</v>
      </c>
    </row>
    <row r="1738" spans="1:11" x14ac:dyDescent="0.35">
      <c r="A1738" s="9" t="str">
        <f>HYPERLINK("http://www.ensembl.org/id/WBGene00045108", "WBGene00045108")</f>
        <v>WBGene00045108</v>
      </c>
      <c r="B1738" s="9" t="str">
        <f>HYPERLINK("http://www.ncbi.nlm.nih.gov/gene/4927019", "4927019")</f>
        <v>4927019</v>
      </c>
      <c r="C1738" s="9"/>
      <c r="D1738" t="str">
        <f>"H01G02.4"</f>
        <v>H01G02.4</v>
      </c>
      <c r="F1738" t="s">
        <v>11</v>
      </c>
      <c r="H1738" s="12">
        <v>3.5227018545059199</v>
      </c>
      <c r="I1738" s="11">
        <v>0.36849691206929103</v>
      </c>
      <c r="J1738" s="10">
        <v>0.71250274722433404</v>
      </c>
      <c r="K1738" s="29">
        <v>0.98289565623980701</v>
      </c>
    </row>
    <row r="1739" spans="1:11" x14ac:dyDescent="0.35">
      <c r="A1739" s="9" t="str">
        <f>HYPERLINK("http://www.ensembl.org/id/WBGene00019222", "WBGene00019222")</f>
        <v>WBGene00019222</v>
      </c>
      <c r="B1739" s="9" t="str">
        <f>HYPERLINK("http://www.ncbi.nlm.nih.gov/gene/186757", "186757")</f>
        <v>186757</v>
      </c>
      <c r="C1739" s="9"/>
      <c r="D1739" t="str">
        <f>"H20J04.7"</f>
        <v>H20J04.7</v>
      </c>
      <c r="F1739" t="s">
        <v>11</v>
      </c>
      <c r="G1739" t="s">
        <v>25</v>
      </c>
      <c r="H1739" s="12">
        <v>3.5227018545059199</v>
      </c>
      <c r="I1739" s="11">
        <v>0.36849691206929103</v>
      </c>
      <c r="J1739" s="10">
        <v>0.71250274722433404</v>
      </c>
      <c r="K1739" s="29">
        <v>0.98289565623980701</v>
      </c>
    </row>
    <row r="1740" spans="1:11" x14ac:dyDescent="0.35">
      <c r="A1740" s="9" t="str">
        <f>HYPERLINK("http://www.ensembl.org/id/WBGene00201134", "WBGene00201134")</f>
        <v>WBGene00201134</v>
      </c>
      <c r="B1740" s="9"/>
      <c r="C1740" s="9"/>
      <c r="D1740" t="str">
        <f>"H32K16.3"</f>
        <v>H32K16.3</v>
      </c>
      <c r="F1740" t="s">
        <v>481</v>
      </c>
      <c r="H1740" s="12">
        <v>3.5227018545059199</v>
      </c>
      <c r="I1740" s="11">
        <v>0.36849691206929103</v>
      </c>
      <c r="J1740" s="10">
        <v>0.71250274722433404</v>
      </c>
      <c r="K1740" s="29">
        <v>0.98289565623980701</v>
      </c>
    </row>
    <row r="1741" spans="1:11" x14ac:dyDescent="0.35">
      <c r="A1741" s="9" t="str">
        <f>HYPERLINK("http://www.ensembl.org/id/WBGene00001886", "WBGene00001886")</f>
        <v>WBGene00001886</v>
      </c>
      <c r="B1741" s="9" t="str">
        <f>HYPERLINK("http://www.ncbi.nlm.nih.gov/gene/175028", "175028")</f>
        <v>175028</v>
      </c>
      <c r="C1741" s="9" t="str">
        <f>HYPERLINK("http://www.ncbi.nlm.nih.gov/gene/8338", "8338")</f>
        <v>8338</v>
      </c>
      <c r="D1741" t="str">
        <f>"his-12"</f>
        <v>his-12</v>
      </c>
      <c r="E1741" t="s">
        <v>1912</v>
      </c>
      <c r="F1741" t="s">
        <v>11</v>
      </c>
      <c r="G1741" t="s">
        <v>232</v>
      </c>
      <c r="H1741" s="12">
        <v>3.5227018545059199</v>
      </c>
      <c r="I1741" s="11">
        <v>0.36849691206929103</v>
      </c>
      <c r="J1741" s="10">
        <v>0.71250274722433404</v>
      </c>
      <c r="K1741" s="29">
        <v>0.98289565623980701</v>
      </c>
    </row>
    <row r="1742" spans="1:11" x14ac:dyDescent="0.35">
      <c r="A1742" s="9" t="str">
        <f>HYPERLINK("http://www.ensembl.org/id/WBGene00011458", "WBGene00011458")</f>
        <v>WBGene00011458</v>
      </c>
      <c r="B1742" s="9" t="str">
        <f>HYPERLINK("http://www.ncbi.nlm.nih.gov/gene/188079", "188079")</f>
        <v>188079</v>
      </c>
      <c r="C1742" s="9"/>
      <c r="D1742" t="str">
        <f>"irld-47"</f>
        <v>irld-47</v>
      </c>
      <c r="E1742" t="s">
        <v>1627</v>
      </c>
      <c r="F1742" t="s">
        <v>11</v>
      </c>
      <c r="H1742" s="12">
        <v>3.5227018545059199</v>
      </c>
      <c r="I1742" s="11">
        <v>0.36849691206929103</v>
      </c>
      <c r="J1742" s="10">
        <v>0.71250274722433404</v>
      </c>
      <c r="K1742" s="29">
        <v>0.98289565623980701</v>
      </c>
    </row>
    <row r="1743" spans="1:11" x14ac:dyDescent="0.35">
      <c r="A1743" s="9" t="str">
        <f>HYPERLINK("http://www.ensembl.org/id/WBGene00195435", "WBGene00195435")</f>
        <v>WBGene00195435</v>
      </c>
      <c r="B1743" s="9"/>
      <c r="C1743" s="9"/>
      <c r="D1743" t="str">
        <f>"K01A6.9"</f>
        <v>K01A6.9</v>
      </c>
      <c r="F1743" t="s">
        <v>481</v>
      </c>
      <c r="H1743" s="12">
        <v>3.5227018545059199</v>
      </c>
      <c r="I1743" s="11">
        <v>0.36849691206929103</v>
      </c>
      <c r="J1743" s="10">
        <v>0.71250274722433404</v>
      </c>
      <c r="K1743" s="29">
        <v>0.98289565623980701</v>
      </c>
    </row>
    <row r="1744" spans="1:11" x14ac:dyDescent="0.35">
      <c r="A1744" s="9" t="str">
        <f>HYPERLINK("http://www.ensembl.org/id/WBGene00195883", "WBGene00195883")</f>
        <v>WBGene00195883</v>
      </c>
      <c r="B1744" s="9"/>
      <c r="C1744" s="9"/>
      <c r="D1744" t="str">
        <f>"K02B12.10"</f>
        <v>K02B12.10</v>
      </c>
      <c r="F1744" t="s">
        <v>481</v>
      </c>
      <c r="H1744" s="12">
        <v>3.5227018545059199</v>
      </c>
      <c r="I1744" s="11">
        <v>0.36849691206929103</v>
      </c>
      <c r="J1744" s="10">
        <v>0.71250274722433404</v>
      </c>
      <c r="K1744" s="29">
        <v>0.98289565623980701</v>
      </c>
    </row>
    <row r="1745" spans="1:11" x14ac:dyDescent="0.35">
      <c r="A1745" s="9" t="str">
        <f>HYPERLINK("http://www.ensembl.org/id/WBGene00200145", "WBGene00200145")</f>
        <v>WBGene00200145</v>
      </c>
      <c r="B1745" s="9"/>
      <c r="C1745" s="9"/>
      <c r="D1745" t="str">
        <f>"K04D7.15"</f>
        <v>K04D7.15</v>
      </c>
      <c r="F1745" t="s">
        <v>481</v>
      </c>
      <c r="H1745" s="12">
        <v>3.5227018545059199</v>
      </c>
      <c r="I1745" s="11">
        <v>0.36849691206929103</v>
      </c>
      <c r="J1745" s="10">
        <v>0.71250274722433404</v>
      </c>
      <c r="K1745" s="29">
        <v>0.98289565623980701</v>
      </c>
    </row>
    <row r="1746" spans="1:11" x14ac:dyDescent="0.35">
      <c r="A1746" s="9" t="str">
        <f>HYPERLINK("http://www.ensembl.org/id/WBGene00019387", "WBGene00019387")</f>
        <v>WBGene00019387</v>
      </c>
      <c r="B1746" s="9" t="str">
        <f>HYPERLINK("http://www.ncbi.nlm.nih.gov/gene/186994", "186994")</f>
        <v>186994</v>
      </c>
      <c r="C1746" s="9"/>
      <c r="D1746" t="str">
        <f>"K04F1.8"</f>
        <v>K04F1.8</v>
      </c>
      <c r="F1746" t="s">
        <v>11</v>
      </c>
      <c r="H1746" s="12">
        <v>3.5227018545059199</v>
      </c>
      <c r="I1746" s="11">
        <v>0.36849691206929103</v>
      </c>
      <c r="J1746" s="10">
        <v>0.71250274722433404</v>
      </c>
      <c r="K1746" s="29">
        <v>0.98289565623980701</v>
      </c>
    </row>
    <row r="1747" spans="1:11" x14ac:dyDescent="0.35">
      <c r="A1747" s="9" t="str">
        <f>HYPERLINK("http://www.ensembl.org/id/WBGene00010591", "WBGene00010591")</f>
        <v>WBGene00010591</v>
      </c>
      <c r="B1747" s="9" t="str">
        <f>HYPERLINK("http://www.ncbi.nlm.nih.gov/gene/3565432", "3565432")</f>
        <v>3565432</v>
      </c>
      <c r="C1747" s="9"/>
      <c r="D1747" t="str">
        <f>"K05D4.9"</f>
        <v>K05D4.9</v>
      </c>
      <c r="F1747" t="s">
        <v>11</v>
      </c>
      <c r="G1747" t="s">
        <v>591</v>
      </c>
      <c r="H1747" s="12">
        <v>3.5227018545059199</v>
      </c>
      <c r="I1747" s="11">
        <v>0.36849691206929103</v>
      </c>
      <c r="J1747" s="10">
        <v>0.71250274722433404</v>
      </c>
      <c r="K1747" s="29">
        <v>0.98289565623980701</v>
      </c>
    </row>
    <row r="1748" spans="1:11" x14ac:dyDescent="0.35">
      <c r="A1748" s="9" t="str">
        <f>HYPERLINK("http://www.ensembl.org/id/WBGene00197160", "WBGene00197160")</f>
        <v>WBGene00197160</v>
      </c>
      <c r="B1748" s="9"/>
      <c r="C1748" s="9"/>
      <c r="D1748" t="str">
        <f>"K07A9.5"</f>
        <v>K07A9.5</v>
      </c>
      <c r="F1748" t="s">
        <v>481</v>
      </c>
      <c r="H1748" s="12">
        <v>3.5227018545059199</v>
      </c>
      <c r="I1748" s="11">
        <v>0.36849691206929103</v>
      </c>
      <c r="J1748" s="10">
        <v>0.71250274722433404</v>
      </c>
      <c r="K1748" s="29">
        <v>0.98289565623980701</v>
      </c>
    </row>
    <row r="1749" spans="1:11" x14ac:dyDescent="0.35">
      <c r="A1749" s="9" t="str">
        <f>HYPERLINK("http://www.ensembl.org/id/WBGene00044963", "WBGene00044963")</f>
        <v>WBGene00044963</v>
      </c>
      <c r="B1749" s="9"/>
      <c r="C1749" s="9"/>
      <c r="D1749" t="str">
        <f>"K07C5.11"</f>
        <v>K07C5.11</v>
      </c>
      <c r="F1749" t="s">
        <v>2977</v>
      </c>
      <c r="H1749" s="12">
        <v>3.5227018545059199</v>
      </c>
      <c r="I1749" s="11">
        <v>0.36849691206929103</v>
      </c>
      <c r="J1749" s="10">
        <v>0.71250274722433404</v>
      </c>
      <c r="K1749" s="29">
        <v>0.98289565623980701</v>
      </c>
    </row>
    <row r="1750" spans="1:11" x14ac:dyDescent="0.35">
      <c r="A1750" s="9" t="str">
        <f>HYPERLINK("http://www.ensembl.org/id/WBGene00077501", "WBGene00077501")</f>
        <v>WBGene00077501</v>
      </c>
      <c r="B1750" s="9"/>
      <c r="C1750" s="9"/>
      <c r="D1750" t="str">
        <f>"K08H10.11"</f>
        <v>K08H10.11</v>
      </c>
      <c r="F1750" t="s">
        <v>80</v>
      </c>
      <c r="H1750" s="12">
        <v>3.5227018545059199</v>
      </c>
      <c r="I1750" s="11">
        <v>0.36849691206929103</v>
      </c>
      <c r="J1750" s="10">
        <v>0.71250274722433404</v>
      </c>
      <c r="K1750" s="29">
        <v>0.98289565623980701</v>
      </c>
    </row>
    <row r="1751" spans="1:11" x14ac:dyDescent="0.35">
      <c r="A1751" s="9" t="str">
        <f>HYPERLINK("http://www.ensembl.org/id/WBGene00195975", "WBGene00195975")</f>
        <v>WBGene00195975</v>
      </c>
      <c r="B1751" s="9"/>
      <c r="C1751" s="9"/>
      <c r="D1751" t="str">
        <f>"K09A9.9"</f>
        <v>K09A9.9</v>
      </c>
      <c r="F1751" t="s">
        <v>481</v>
      </c>
      <c r="H1751" s="12">
        <v>3.5227018545059199</v>
      </c>
      <c r="I1751" s="11">
        <v>0.36849691206929103</v>
      </c>
      <c r="J1751" s="10">
        <v>0.71250274722433404</v>
      </c>
      <c r="K1751" s="29">
        <v>0.98289565623980701</v>
      </c>
    </row>
    <row r="1752" spans="1:11" x14ac:dyDescent="0.35">
      <c r="A1752" s="9" t="str">
        <f>HYPERLINK("http://www.ensembl.org/id/WBGene00044381", "WBGene00044381")</f>
        <v>WBGene00044381</v>
      </c>
      <c r="B1752" s="9" t="str">
        <f>HYPERLINK("http://www.ncbi.nlm.nih.gov/gene/3565830", "3565830")</f>
        <v>3565830</v>
      </c>
      <c r="C1752" s="9"/>
      <c r="D1752" t="str">
        <f>"K10G6.5"</f>
        <v>K10G6.5</v>
      </c>
      <c r="F1752" t="s">
        <v>11</v>
      </c>
      <c r="G1752" t="s">
        <v>25</v>
      </c>
      <c r="H1752" s="12">
        <v>3.5227018545059199</v>
      </c>
      <c r="I1752" s="11">
        <v>0.36849691206929103</v>
      </c>
      <c r="J1752" s="10">
        <v>0.71250274722433404</v>
      </c>
      <c r="K1752" s="29">
        <v>0.98289565623980701</v>
      </c>
    </row>
    <row r="1753" spans="1:11" x14ac:dyDescent="0.35">
      <c r="A1753" s="9" t="str">
        <f>HYPERLINK("http://www.ensembl.org/id/WBGene00219614", "WBGene00219614")</f>
        <v>WBGene00219614</v>
      </c>
      <c r="B1753" s="9"/>
      <c r="C1753" s="9"/>
      <c r="D1753" t="str">
        <f>"linc-105"</f>
        <v>linc-105</v>
      </c>
      <c r="F1753" t="s">
        <v>1510</v>
      </c>
      <c r="H1753" s="12">
        <v>3.5227018545059199</v>
      </c>
      <c r="I1753" s="11">
        <v>0.36849691206929103</v>
      </c>
      <c r="J1753" s="10">
        <v>0.71250274722433404</v>
      </c>
      <c r="K1753" s="29">
        <v>0.98289565623980701</v>
      </c>
    </row>
    <row r="1754" spans="1:11" x14ac:dyDescent="0.35">
      <c r="A1754" s="9" t="str">
        <f>HYPERLINK("http://www.ensembl.org/id/WBGene00200601", "WBGene00200601")</f>
        <v>WBGene00200601</v>
      </c>
      <c r="B1754" s="9"/>
      <c r="C1754" s="9"/>
      <c r="D1754" t="str">
        <f>"M117.12"</f>
        <v>M117.12</v>
      </c>
      <c r="F1754" t="s">
        <v>481</v>
      </c>
      <c r="H1754" s="12">
        <v>3.5227018545059199</v>
      </c>
      <c r="I1754" s="11">
        <v>0.36849691206929103</v>
      </c>
      <c r="J1754" s="10">
        <v>0.71250274722433404</v>
      </c>
      <c r="K1754" s="29">
        <v>0.98289565623980701</v>
      </c>
    </row>
    <row r="1755" spans="1:11" x14ac:dyDescent="0.35">
      <c r="A1755" s="9" t="str">
        <f>HYPERLINK("http://www.ensembl.org/id/WBGene00010886", "WBGene00010886")</f>
        <v>WBGene00010886</v>
      </c>
      <c r="B1755" s="9" t="str">
        <f>HYPERLINK("http://www.ncbi.nlm.nih.gov/gene/178010", "178010")</f>
        <v>178010</v>
      </c>
      <c r="C1755" s="9"/>
      <c r="D1755" t="str">
        <f>"M7.10"</f>
        <v>M7.10</v>
      </c>
      <c r="F1755" t="s">
        <v>11</v>
      </c>
      <c r="H1755" s="12">
        <v>3.5227018545059199</v>
      </c>
      <c r="I1755" s="11">
        <v>0.36849691206929103</v>
      </c>
      <c r="J1755" s="10">
        <v>0.71250274722433404</v>
      </c>
      <c r="K1755" s="29">
        <v>0.98289565623980701</v>
      </c>
    </row>
    <row r="1756" spans="1:11" x14ac:dyDescent="0.35">
      <c r="A1756" s="9" t="str">
        <f>HYPERLINK("http://www.ensembl.org/id/WBGene00200102", "WBGene00200102")</f>
        <v>WBGene00200102</v>
      </c>
      <c r="B1756" s="9"/>
      <c r="C1756" s="9"/>
      <c r="D1756" t="str">
        <f>"M70.10"</f>
        <v>M70.10</v>
      </c>
      <c r="F1756" t="s">
        <v>481</v>
      </c>
      <c r="H1756" s="12">
        <v>3.5227018545059199</v>
      </c>
      <c r="I1756" s="11">
        <v>0.36849691206929103</v>
      </c>
      <c r="J1756" s="10">
        <v>0.71250274722433404</v>
      </c>
      <c r="K1756" s="29">
        <v>0.98289565623980701</v>
      </c>
    </row>
    <row r="1757" spans="1:11" x14ac:dyDescent="0.35">
      <c r="A1757" s="9" t="str">
        <f>HYPERLINK("http://www.ensembl.org/id/WBGene00077705", "WBGene00077705")</f>
        <v>WBGene00077705</v>
      </c>
      <c r="B1757" s="9"/>
      <c r="C1757" s="9"/>
      <c r="D1757" t="str">
        <f>"mir-1829.1"</f>
        <v>mir-1829.1</v>
      </c>
      <c r="F1757" t="s">
        <v>1486</v>
      </c>
      <c r="H1757" s="12">
        <v>3.5227018545059199</v>
      </c>
      <c r="I1757" s="11">
        <v>0.36849691206929103</v>
      </c>
      <c r="J1757" s="10">
        <v>0.71250274722433404</v>
      </c>
      <c r="K1757" s="29">
        <v>0.98289565623980701</v>
      </c>
    </row>
    <row r="1758" spans="1:11" x14ac:dyDescent="0.35">
      <c r="A1758" s="9" t="str">
        <f>HYPERLINK("http://www.ensembl.org/id/WBGene00194830", "WBGene00194830")</f>
        <v>WBGene00194830</v>
      </c>
      <c r="B1758" s="9"/>
      <c r="C1758" s="9"/>
      <c r="D1758" t="str">
        <f>"mir-2219"</f>
        <v>mir-2219</v>
      </c>
      <c r="F1758" t="s">
        <v>1486</v>
      </c>
      <c r="H1758" s="12">
        <v>3.5227018545059199</v>
      </c>
      <c r="I1758" s="11">
        <v>0.36849691206929103</v>
      </c>
      <c r="J1758" s="10">
        <v>0.71250274722433404</v>
      </c>
      <c r="K1758" s="29">
        <v>0.98289565623980701</v>
      </c>
    </row>
    <row r="1759" spans="1:11" x14ac:dyDescent="0.35">
      <c r="A1759" s="9" t="str">
        <f>HYPERLINK("http://www.ensembl.org/id/WBGene00022639", "WBGene00022639")</f>
        <v>WBGene00022639</v>
      </c>
      <c r="B1759" s="9" t="str">
        <f>HYPERLINK("http://www.ncbi.nlm.nih.gov/gene/191205", "191205")</f>
        <v>191205</v>
      </c>
      <c r="C1759" s="9"/>
      <c r="D1759" t="str">
        <f>"nhr-253"</f>
        <v>nhr-253</v>
      </c>
      <c r="E1759" t="s">
        <v>637</v>
      </c>
      <c r="F1759" t="s">
        <v>11</v>
      </c>
      <c r="G1759" t="s">
        <v>1073</v>
      </c>
      <c r="H1759" s="12">
        <v>3.5227018545059199</v>
      </c>
      <c r="I1759" s="11">
        <v>0.36849691206929103</v>
      </c>
      <c r="J1759" s="10">
        <v>0.71250274722433404</v>
      </c>
      <c r="K1759" s="29">
        <v>0.98289565623980701</v>
      </c>
    </row>
    <row r="1760" spans="1:11" x14ac:dyDescent="0.35">
      <c r="A1760" s="9" t="str">
        <f>HYPERLINK("http://www.ensembl.org/id/WBGene00022640", "WBGene00022640")</f>
        <v>WBGene00022640</v>
      </c>
      <c r="B1760" s="9" t="str">
        <f>HYPERLINK("http://www.ncbi.nlm.nih.gov/gene/191206", "191206")</f>
        <v>191206</v>
      </c>
      <c r="C1760" s="9"/>
      <c r="D1760" t="str">
        <f>"nhr-254"</f>
        <v>nhr-254</v>
      </c>
      <c r="E1760" t="s">
        <v>637</v>
      </c>
      <c r="F1760" t="s">
        <v>11</v>
      </c>
      <c r="G1760" t="s">
        <v>1073</v>
      </c>
      <c r="H1760" s="12">
        <v>3.5227018545059199</v>
      </c>
      <c r="I1760" s="11">
        <v>0.36849691206929103</v>
      </c>
      <c r="J1760" s="10">
        <v>0.71250274722433404</v>
      </c>
      <c r="K1760" s="29">
        <v>0.98289565623980701</v>
      </c>
    </row>
    <row r="1761" spans="1:11" x14ac:dyDescent="0.35">
      <c r="A1761" s="9" t="str">
        <f>HYPERLINK("http://www.ensembl.org/id/WBGene00009608", "WBGene00009608")</f>
        <v>WBGene00009608</v>
      </c>
      <c r="B1761" s="9" t="str">
        <f>HYPERLINK("http://www.ncbi.nlm.nih.gov/gene/185603", "185603")</f>
        <v>185603</v>
      </c>
      <c r="C1761" s="9"/>
      <c r="D1761" t="str">
        <f>"nhr-265"</f>
        <v>nhr-265</v>
      </c>
      <c r="E1761" t="s">
        <v>637</v>
      </c>
      <c r="F1761" t="s">
        <v>11</v>
      </c>
      <c r="G1761" t="s">
        <v>1073</v>
      </c>
      <c r="H1761" s="12">
        <v>3.5227018545059199</v>
      </c>
      <c r="I1761" s="11">
        <v>0.36849691206929103</v>
      </c>
      <c r="J1761" s="10">
        <v>0.71250274722433404</v>
      </c>
      <c r="K1761" s="29">
        <v>0.98289565623980701</v>
      </c>
    </row>
    <row r="1762" spans="1:11" x14ac:dyDescent="0.35">
      <c r="A1762" s="9" t="str">
        <f>HYPERLINK("http://www.ensembl.org/id/WBGene00196426", "WBGene00196426")</f>
        <v>WBGene00196426</v>
      </c>
      <c r="B1762" s="9"/>
      <c r="C1762" s="9"/>
      <c r="D1762" t="str">
        <f>"R02E12.10"</f>
        <v>R02E12.10</v>
      </c>
      <c r="F1762" t="s">
        <v>481</v>
      </c>
      <c r="H1762" s="12">
        <v>3.5227018545059199</v>
      </c>
      <c r="I1762" s="11">
        <v>0.36849691206929103</v>
      </c>
      <c r="J1762" s="10">
        <v>0.71250274722433404</v>
      </c>
      <c r="K1762" s="29">
        <v>0.98289565623980701</v>
      </c>
    </row>
    <row r="1763" spans="1:11" x14ac:dyDescent="0.35">
      <c r="A1763" s="9" t="str">
        <f>HYPERLINK("http://www.ensembl.org/id/WBGene00235320", "WBGene00235320")</f>
        <v>WBGene00235320</v>
      </c>
      <c r="B1763" s="9" t="str">
        <f>HYPERLINK("http://www.ncbi.nlm.nih.gov/gene/24104787", "24104787")</f>
        <v>24104787</v>
      </c>
      <c r="C1763" s="9"/>
      <c r="D1763" t="str">
        <f>"R02F11.11"</f>
        <v>R02F11.11</v>
      </c>
      <c r="F1763" t="s">
        <v>11</v>
      </c>
      <c r="G1763" t="s">
        <v>25</v>
      </c>
      <c r="H1763" s="12">
        <v>3.5227018545059199</v>
      </c>
      <c r="I1763" s="11">
        <v>0.36849691206929103</v>
      </c>
      <c r="J1763" s="10">
        <v>0.71250274722433404</v>
      </c>
      <c r="K1763" s="29">
        <v>0.98289565623980701</v>
      </c>
    </row>
    <row r="1764" spans="1:11" x14ac:dyDescent="0.35">
      <c r="A1764" s="9" t="str">
        <f>HYPERLINK("http://www.ensembl.org/id/WBGene00195627", "WBGene00195627")</f>
        <v>WBGene00195627</v>
      </c>
      <c r="B1764" s="9"/>
      <c r="C1764" s="9"/>
      <c r="D1764" t="str">
        <f>"R13A1.13"</f>
        <v>R13A1.13</v>
      </c>
      <c r="F1764" t="s">
        <v>481</v>
      </c>
      <c r="H1764" s="12">
        <v>3.5227018545059199</v>
      </c>
      <c r="I1764" s="11">
        <v>0.36849691206929103</v>
      </c>
      <c r="J1764" s="10">
        <v>0.71250274722433404</v>
      </c>
      <c r="K1764" s="29">
        <v>0.98289565623980701</v>
      </c>
    </row>
    <row r="1765" spans="1:11" x14ac:dyDescent="0.35">
      <c r="A1765" s="9" t="str">
        <f>HYPERLINK("http://www.ensembl.org/id/WBGene00196799", "WBGene00196799")</f>
        <v>WBGene00196799</v>
      </c>
      <c r="B1765" s="9"/>
      <c r="C1765" s="9"/>
      <c r="D1765" t="str">
        <f>"R13H4.9"</f>
        <v>R13H4.9</v>
      </c>
      <c r="F1765" t="s">
        <v>481</v>
      </c>
      <c r="H1765" s="12">
        <v>3.5227018545059199</v>
      </c>
      <c r="I1765" s="11">
        <v>0.36849691206929103</v>
      </c>
      <c r="J1765" s="10">
        <v>0.71250274722433404</v>
      </c>
      <c r="K1765" s="29">
        <v>0.98289565623980701</v>
      </c>
    </row>
    <row r="1766" spans="1:11" x14ac:dyDescent="0.35">
      <c r="A1766" s="9" t="str">
        <f>HYPERLINK("http://www.ensembl.org/id/WBGene00198076", "WBGene00198076")</f>
        <v>WBGene00198076</v>
      </c>
      <c r="B1766" s="9"/>
      <c r="C1766" s="9"/>
      <c r="D1766" t="str">
        <f>"R13H7.19"</f>
        <v>R13H7.19</v>
      </c>
      <c r="F1766" t="s">
        <v>481</v>
      </c>
      <c r="H1766" s="12">
        <v>3.5227018545059199</v>
      </c>
      <c r="I1766" s="11">
        <v>0.36849691206929103</v>
      </c>
      <c r="J1766" s="10">
        <v>0.71250274722433404</v>
      </c>
      <c r="K1766" s="29">
        <v>0.98289565623980701</v>
      </c>
    </row>
    <row r="1767" spans="1:11" x14ac:dyDescent="0.35">
      <c r="A1767" s="9" t="str">
        <f>HYPERLINK("http://www.ensembl.org/id/WBGene00020077", "WBGene00020077")</f>
        <v>WBGene00020077</v>
      </c>
      <c r="B1767" s="9" t="str">
        <f>HYPERLINK("http://www.ncbi.nlm.nih.gov/gene/187879", "187879")</f>
        <v>187879</v>
      </c>
      <c r="C1767" s="9"/>
      <c r="D1767" t="str">
        <f>"R52.5"</f>
        <v>R52.5</v>
      </c>
      <c r="F1767" t="s">
        <v>11</v>
      </c>
      <c r="H1767" s="12">
        <v>3.5227018545059199</v>
      </c>
      <c r="I1767" s="11">
        <v>0.36849691206929103</v>
      </c>
      <c r="J1767" s="10">
        <v>0.71250274722433404</v>
      </c>
      <c r="K1767" s="29">
        <v>0.98289565623980701</v>
      </c>
    </row>
    <row r="1768" spans="1:11" x14ac:dyDescent="0.35">
      <c r="A1768" s="9" t="str">
        <f>HYPERLINK("http://www.ensembl.org/id/WBGene00011277", "WBGene00011277")</f>
        <v>WBGene00011277</v>
      </c>
      <c r="B1768" s="9" t="str">
        <f>HYPERLINK("http://www.ncbi.nlm.nih.gov/gene/187886", "187886")</f>
        <v>187886</v>
      </c>
      <c r="C1768" s="9"/>
      <c r="D1768" t="str">
        <f>"R53.8"</f>
        <v>R53.8</v>
      </c>
      <c r="F1768" t="s">
        <v>11</v>
      </c>
      <c r="H1768" s="12">
        <v>3.5227018545059199</v>
      </c>
      <c r="I1768" s="11">
        <v>0.36849691206929103</v>
      </c>
      <c r="J1768" s="10">
        <v>0.71250274722433404</v>
      </c>
      <c r="K1768" s="29">
        <v>0.98289565623980701</v>
      </c>
    </row>
    <row r="1769" spans="1:11" x14ac:dyDescent="0.35">
      <c r="A1769" s="9" t="str">
        <f>HYPERLINK("http://www.ensembl.org/id/WBGene00008030", "WBGene00008030")</f>
        <v>WBGene00008030</v>
      </c>
      <c r="B1769" s="9" t="str">
        <f>HYPERLINK("http://www.ncbi.nlm.nih.gov/gene/183345", "183345")</f>
        <v>183345</v>
      </c>
      <c r="C1769" s="9"/>
      <c r="D1769" t="str">
        <f>"scl-8"</f>
        <v>scl-8</v>
      </c>
      <c r="E1769" t="s">
        <v>162</v>
      </c>
      <c r="F1769" t="s">
        <v>11</v>
      </c>
      <c r="G1769" t="s">
        <v>63</v>
      </c>
      <c r="H1769" s="12">
        <v>3.5227018545059199</v>
      </c>
      <c r="I1769" s="11">
        <v>0.36849691206929103</v>
      </c>
      <c r="J1769" s="10">
        <v>0.71250274722433404</v>
      </c>
      <c r="K1769" s="29">
        <v>0.98289565623980701</v>
      </c>
    </row>
    <row r="1770" spans="1:11" x14ac:dyDescent="0.35">
      <c r="A1770" s="9" t="str">
        <f>HYPERLINK("http://www.ensembl.org/id/WBGene00019791", "WBGene00019791")</f>
        <v>WBGene00019791</v>
      </c>
      <c r="B1770" s="9" t="str">
        <f>HYPERLINK("http://www.ncbi.nlm.nih.gov/gene/177640", "177640")</f>
        <v>177640</v>
      </c>
      <c r="C1770" s="9"/>
      <c r="D1770" t="str">
        <f>"sdz-25"</f>
        <v>sdz-25</v>
      </c>
      <c r="E1770" t="s">
        <v>90</v>
      </c>
      <c r="F1770" t="s">
        <v>11</v>
      </c>
      <c r="G1770" t="s">
        <v>54</v>
      </c>
      <c r="H1770" s="12">
        <v>3.5227018545059199</v>
      </c>
      <c r="I1770" s="11">
        <v>0.36849691206929103</v>
      </c>
      <c r="J1770" s="10">
        <v>0.71250274722433404</v>
      </c>
      <c r="K1770" s="29">
        <v>0.98289565623980701</v>
      </c>
    </row>
    <row r="1771" spans="1:11" x14ac:dyDescent="0.35">
      <c r="A1771" s="9" t="str">
        <f>HYPERLINK("http://www.ensembl.org/id/WBGene00004843", "WBGene00004843")</f>
        <v>WBGene00004843</v>
      </c>
      <c r="B1771" s="9"/>
      <c r="C1771" s="9"/>
      <c r="D1771" t="str">
        <f>"sls-2.11"</f>
        <v>sls-2.11</v>
      </c>
      <c r="F1771" t="s">
        <v>4205</v>
      </c>
      <c r="H1771" s="12">
        <v>3.5227018545059199</v>
      </c>
      <c r="I1771" s="11">
        <v>0.36849691206929103</v>
      </c>
      <c r="J1771" s="10">
        <v>0.71250274722433404</v>
      </c>
      <c r="K1771" s="29">
        <v>0.98289565623980701</v>
      </c>
    </row>
    <row r="1772" spans="1:11" x14ac:dyDescent="0.35">
      <c r="A1772" s="9" t="str">
        <f>HYPERLINK("http://www.ensembl.org/id/WBGene00005067", "WBGene00005067")</f>
        <v>WBGene00005067</v>
      </c>
      <c r="B1772" s="9" t="str">
        <f>HYPERLINK("http://www.ncbi.nlm.nih.gov/gene/191784", "191784")</f>
        <v>191784</v>
      </c>
      <c r="C1772" s="9"/>
      <c r="D1772" t="str">
        <f>"srb-2"</f>
        <v>srb-2</v>
      </c>
      <c r="E1772" t="s">
        <v>4305</v>
      </c>
      <c r="F1772" t="s">
        <v>11</v>
      </c>
      <c r="G1772" t="s">
        <v>1829</v>
      </c>
      <c r="H1772" s="12">
        <v>3.5227018545059199</v>
      </c>
      <c r="I1772" s="11">
        <v>0.36849691206929103</v>
      </c>
      <c r="J1772" s="10">
        <v>0.71250274722433404</v>
      </c>
      <c r="K1772" s="29">
        <v>0.98289565623980701</v>
      </c>
    </row>
    <row r="1773" spans="1:11" x14ac:dyDescent="0.35">
      <c r="A1773" s="9" t="str">
        <f>HYPERLINK("http://www.ensembl.org/id/WBGene00019745", "WBGene00019745")</f>
        <v>WBGene00019745</v>
      </c>
      <c r="B1773" s="9" t="str">
        <f>HYPERLINK("http://www.ncbi.nlm.nih.gov/gene/187413", "187413")</f>
        <v>187413</v>
      </c>
      <c r="C1773" s="9"/>
      <c r="D1773" t="str">
        <f>"srbc-57"</f>
        <v>srbc-57</v>
      </c>
      <c r="E1773" t="s">
        <v>3034</v>
      </c>
      <c r="F1773" t="s">
        <v>11</v>
      </c>
      <c r="G1773" t="s">
        <v>25</v>
      </c>
      <c r="H1773" s="12">
        <v>3.5227018545059199</v>
      </c>
      <c r="I1773" s="11">
        <v>0.36849691206929103</v>
      </c>
      <c r="J1773" s="10">
        <v>0.71250274722433404</v>
      </c>
      <c r="K1773" s="29">
        <v>0.98289565623980701</v>
      </c>
    </row>
    <row r="1774" spans="1:11" x14ac:dyDescent="0.35">
      <c r="A1774" s="9" t="str">
        <f>HYPERLINK("http://www.ensembl.org/id/WBGene00012517", "WBGene00012517")</f>
        <v>WBGene00012517</v>
      </c>
      <c r="B1774" s="9"/>
      <c r="C1774" s="9"/>
      <c r="D1774" t="str">
        <f>"srbc-73"</f>
        <v>srbc-73</v>
      </c>
      <c r="F1774" t="s">
        <v>80</v>
      </c>
      <c r="H1774" s="12">
        <v>3.5227018545059199</v>
      </c>
      <c r="I1774" s="11">
        <v>0.36849691206929103</v>
      </c>
      <c r="J1774" s="10">
        <v>0.71250274722433404</v>
      </c>
      <c r="K1774" s="29">
        <v>0.98289565623980701</v>
      </c>
    </row>
    <row r="1775" spans="1:11" x14ac:dyDescent="0.35">
      <c r="A1775" s="9" t="str">
        <f>HYPERLINK("http://www.ensembl.org/id/WBGene00005125", "WBGene00005125")</f>
        <v>WBGene00005125</v>
      </c>
      <c r="B1775" s="9" t="str">
        <f>HYPERLINK("http://www.ncbi.nlm.nih.gov/gene/184607", "184607")</f>
        <v>184607</v>
      </c>
      <c r="C1775" s="9"/>
      <c r="D1775" t="str">
        <f>"srd-47"</f>
        <v>srd-47</v>
      </c>
      <c r="E1775" t="s">
        <v>4309</v>
      </c>
      <c r="F1775" t="s">
        <v>11</v>
      </c>
      <c r="G1775" t="s">
        <v>25</v>
      </c>
      <c r="H1775" s="12">
        <v>3.5227018545059199</v>
      </c>
      <c r="I1775" s="11">
        <v>0.36849691206929103</v>
      </c>
      <c r="J1775" s="10">
        <v>0.71250274722433404</v>
      </c>
      <c r="K1775" s="29">
        <v>0.98289565623980701</v>
      </c>
    </row>
    <row r="1776" spans="1:11" x14ac:dyDescent="0.35">
      <c r="A1776" s="9" t="str">
        <f>HYPERLINK("http://www.ensembl.org/id/WBGene00005345", "WBGene00005345")</f>
        <v>WBGene00005345</v>
      </c>
      <c r="B1776" s="9" t="str">
        <f>HYPERLINK("http://www.ncbi.nlm.nih.gov/gene/189999", "189999")</f>
        <v>189999</v>
      </c>
      <c r="C1776" s="9"/>
      <c r="D1776" t="str">
        <f>"srh-128"</f>
        <v>srh-128</v>
      </c>
      <c r="E1776" t="s">
        <v>153</v>
      </c>
      <c r="F1776" t="s">
        <v>11</v>
      </c>
      <c r="G1776" t="s">
        <v>25</v>
      </c>
      <c r="H1776" s="12">
        <v>3.5227018545059199</v>
      </c>
      <c r="I1776" s="11">
        <v>0.36849691206929103</v>
      </c>
      <c r="J1776" s="10">
        <v>0.71250274722433404</v>
      </c>
      <c r="K1776" s="29">
        <v>0.98289565623980701</v>
      </c>
    </row>
    <row r="1777" spans="1:11" x14ac:dyDescent="0.35">
      <c r="A1777" s="9" t="str">
        <f>HYPERLINK("http://www.ensembl.org/id/WBGene00005355", "WBGene00005355")</f>
        <v>WBGene00005355</v>
      </c>
      <c r="B1777" s="9" t="str">
        <f>HYPERLINK("http://www.ncbi.nlm.nih.gov/gene/3565403", "3565403")</f>
        <v>3565403</v>
      </c>
      <c r="C1777" s="9"/>
      <c r="D1777" t="str">
        <f>"srh-138"</f>
        <v>srh-138</v>
      </c>
      <c r="E1777" t="s">
        <v>153</v>
      </c>
      <c r="F1777" t="s">
        <v>11</v>
      </c>
      <c r="G1777" t="s">
        <v>25</v>
      </c>
      <c r="H1777" s="12">
        <v>3.5227018545059199</v>
      </c>
      <c r="I1777" s="11">
        <v>0.36849691206929103</v>
      </c>
      <c r="J1777" s="10">
        <v>0.71250274722433404</v>
      </c>
      <c r="K1777" s="29">
        <v>0.98289565623980701</v>
      </c>
    </row>
    <row r="1778" spans="1:11" x14ac:dyDescent="0.35">
      <c r="A1778" s="9" t="str">
        <f>HYPERLINK("http://www.ensembl.org/id/WBGene00005357", "WBGene00005357")</f>
        <v>WBGene00005357</v>
      </c>
      <c r="B1778" s="9" t="str">
        <f>HYPERLINK("http://www.ncbi.nlm.nih.gov/gene/189377", "189377")</f>
        <v>189377</v>
      </c>
      <c r="C1778" s="9"/>
      <c r="D1778" t="str">
        <f>"srh-140"</f>
        <v>srh-140</v>
      </c>
      <c r="E1778" t="s">
        <v>153</v>
      </c>
      <c r="F1778" t="s">
        <v>11</v>
      </c>
      <c r="G1778" t="s">
        <v>25</v>
      </c>
      <c r="H1778" s="12">
        <v>3.5227018545059199</v>
      </c>
      <c r="I1778" s="11">
        <v>0.36849691206929103</v>
      </c>
      <c r="J1778" s="10">
        <v>0.71250274722433404</v>
      </c>
      <c r="K1778" s="29">
        <v>0.98289565623980701</v>
      </c>
    </row>
    <row r="1779" spans="1:11" x14ac:dyDescent="0.35">
      <c r="A1779" s="9" t="str">
        <f>HYPERLINK("http://www.ensembl.org/id/WBGene00005373", "WBGene00005373")</f>
        <v>WBGene00005373</v>
      </c>
      <c r="B1779" s="9"/>
      <c r="C1779" s="9"/>
      <c r="D1779" t="str">
        <f>"srh-157"</f>
        <v>srh-157</v>
      </c>
      <c r="F1779" t="s">
        <v>80</v>
      </c>
      <c r="H1779" s="12">
        <v>3.5227018545059199</v>
      </c>
      <c r="I1779" s="11">
        <v>0.36849691206929103</v>
      </c>
      <c r="J1779" s="10">
        <v>0.71250274722433404</v>
      </c>
      <c r="K1779" s="29">
        <v>0.98289565623980701</v>
      </c>
    </row>
    <row r="1780" spans="1:11" x14ac:dyDescent="0.35">
      <c r="A1780" s="9" t="str">
        <f>HYPERLINK("http://www.ensembl.org/id/WBGene00005409", "WBGene00005409")</f>
        <v>WBGene00005409</v>
      </c>
      <c r="B1780" s="9"/>
      <c r="C1780" s="9"/>
      <c r="D1780" t="str">
        <f>"srh-198"</f>
        <v>srh-198</v>
      </c>
      <c r="F1780" t="s">
        <v>80</v>
      </c>
      <c r="H1780" s="12">
        <v>3.5227018545059199</v>
      </c>
      <c r="I1780" s="11">
        <v>0.36849691206929103</v>
      </c>
      <c r="J1780" s="10">
        <v>0.71250274722433404</v>
      </c>
      <c r="K1780" s="29">
        <v>0.98289565623980701</v>
      </c>
    </row>
    <row r="1781" spans="1:11" x14ac:dyDescent="0.35">
      <c r="A1781" s="9" t="str">
        <f>HYPERLINK("http://www.ensembl.org/id/WBGene00005415", "WBGene00005415")</f>
        <v>WBGene00005415</v>
      </c>
      <c r="B1781" s="9" t="str">
        <f>HYPERLINK("http://www.ncbi.nlm.nih.gov/gene/184009", "184009")</f>
        <v>184009</v>
      </c>
      <c r="C1781" s="9"/>
      <c r="D1781" t="str">
        <f>"srh-204"</f>
        <v>srh-204</v>
      </c>
      <c r="E1781" t="s">
        <v>153</v>
      </c>
      <c r="F1781" t="s">
        <v>11</v>
      </c>
      <c r="G1781" t="s">
        <v>25</v>
      </c>
      <c r="H1781" s="12">
        <v>3.5227018545059199</v>
      </c>
      <c r="I1781" s="11">
        <v>0.36849691206929103</v>
      </c>
      <c r="J1781" s="10">
        <v>0.71250274722433404</v>
      </c>
      <c r="K1781" s="29">
        <v>0.98289565623980701</v>
      </c>
    </row>
    <row r="1782" spans="1:11" x14ac:dyDescent="0.35">
      <c r="A1782" s="9" t="str">
        <f>HYPERLINK("http://www.ensembl.org/id/WBGene00005439", "WBGene00005439")</f>
        <v>WBGene00005439</v>
      </c>
      <c r="B1782" s="9" t="str">
        <f>HYPERLINK("http://www.ncbi.nlm.nih.gov/gene/182173", "182173")</f>
        <v>182173</v>
      </c>
      <c r="C1782" s="9"/>
      <c r="D1782" t="str">
        <f>"srh-231"</f>
        <v>srh-231</v>
      </c>
      <c r="E1782" t="s">
        <v>153</v>
      </c>
      <c r="F1782" t="s">
        <v>11</v>
      </c>
      <c r="G1782" t="s">
        <v>25</v>
      </c>
      <c r="H1782" s="12">
        <v>3.5227018545059199</v>
      </c>
      <c r="I1782" s="11">
        <v>0.36849691206929103</v>
      </c>
      <c r="J1782" s="10">
        <v>0.71250274722433404</v>
      </c>
      <c r="K1782" s="29">
        <v>0.98289565623980701</v>
      </c>
    </row>
    <row r="1783" spans="1:11" x14ac:dyDescent="0.35">
      <c r="A1783" s="9" t="str">
        <f>HYPERLINK("http://www.ensembl.org/id/WBGene00005479", "WBGene00005479")</f>
        <v>WBGene00005479</v>
      </c>
      <c r="B1783" s="9" t="str">
        <f>HYPERLINK("http://www.ncbi.nlm.nih.gov/gene/183106", "183106")</f>
        <v>183106</v>
      </c>
      <c r="C1783" s="9"/>
      <c r="D1783" t="str">
        <f>"srh-274"</f>
        <v>srh-274</v>
      </c>
      <c r="E1783" t="s">
        <v>153</v>
      </c>
      <c r="F1783" t="s">
        <v>11</v>
      </c>
      <c r="G1783" t="s">
        <v>25</v>
      </c>
      <c r="H1783" s="12">
        <v>3.5227018545059199</v>
      </c>
      <c r="I1783" s="11">
        <v>0.36849691206929103</v>
      </c>
      <c r="J1783" s="10">
        <v>0.71250274722433404</v>
      </c>
      <c r="K1783" s="29">
        <v>0.98289565623980701</v>
      </c>
    </row>
    <row r="1784" spans="1:11" x14ac:dyDescent="0.35">
      <c r="A1784" s="9" t="str">
        <f>HYPERLINK("http://www.ensembl.org/id/WBGene00005485", "WBGene00005485")</f>
        <v>WBGene00005485</v>
      </c>
      <c r="B1784" s="9"/>
      <c r="C1784" s="9"/>
      <c r="D1784" t="str">
        <f>"srh-280"</f>
        <v>srh-280</v>
      </c>
      <c r="F1784" t="s">
        <v>80</v>
      </c>
      <c r="H1784" s="12">
        <v>3.5227018545059199</v>
      </c>
      <c r="I1784" s="11">
        <v>0.36849691206929103</v>
      </c>
      <c r="J1784" s="10">
        <v>0.71250274722433404</v>
      </c>
      <c r="K1784" s="29">
        <v>0.98289565623980701</v>
      </c>
    </row>
    <row r="1785" spans="1:11" x14ac:dyDescent="0.35">
      <c r="A1785" s="9" t="str">
        <f>HYPERLINK("http://www.ensembl.org/id/WBGene00005261", "WBGene00005261")</f>
        <v>WBGene00005261</v>
      </c>
      <c r="B1785" s="9" t="str">
        <f>HYPERLINK("http://www.ncbi.nlm.nih.gov/gene/191857", "191857")</f>
        <v>191857</v>
      </c>
      <c r="C1785" s="9"/>
      <c r="D1785" t="str">
        <f>"srh-38"</f>
        <v>srh-38</v>
      </c>
      <c r="E1785" t="s">
        <v>153</v>
      </c>
      <c r="F1785" t="s">
        <v>11</v>
      </c>
      <c r="G1785" t="s">
        <v>25</v>
      </c>
      <c r="H1785" s="12">
        <v>3.5227018545059199</v>
      </c>
      <c r="I1785" s="11">
        <v>0.36849691206929103</v>
      </c>
      <c r="J1785" s="10">
        <v>0.71250274722433404</v>
      </c>
      <c r="K1785" s="29">
        <v>0.98289565623980701</v>
      </c>
    </row>
    <row r="1786" spans="1:11" x14ac:dyDescent="0.35">
      <c r="A1786" s="9" t="str">
        <f>HYPERLINK("http://www.ensembl.org/id/WBGene00005276", "WBGene00005276")</f>
        <v>WBGene00005276</v>
      </c>
      <c r="B1786" s="9"/>
      <c r="C1786" s="9"/>
      <c r="D1786" t="str">
        <f>"srh-53"</f>
        <v>srh-53</v>
      </c>
      <c r="F1786" t="s">
        <v>80</v>
      </c>
      <c r="H1786" s="12">
        <v>3.5227018545059199</v>
      </c>
      <c r="I1786" s="11">
        <v>0.36849691206929103</v>
      </c>
      <c r="J1786" s="10">
        <v>0.71250274722433404</v>
      </c>
      <c r="K1786" s="29">
        <v>0.98289565623980701</v>
      </c>
    </row>
    <row r="1787" spans="1:11" x14ac:dyDescent="0.35">
      <c r="A1787" s="9" t="str">
        <f>HYPERLINK("http://www.ensembl.org/id/WBGene00005277", "WBGene00005277")</f>
        <v>WBGene00005277</v>
      </c>
      <c r="B1787" s="9"/>
      <c r="C1787" s="9"/>
      <c r="D1787" t="str">
        <f>"srh-54"</f>
        <v>srh-54</v>
      </c>
      <c r="F1787" t="s">
        <v>80</v>
      </c>
      <c r="H1787" s="12">
        <v>3.5227018545059199</v>
      </c>
      <c r="I1787" s="11">
        <v>0.36849691206929103</v>
      </c>
      <c r="J1787" s="10">
        <v>0.71250274722433404</v>
      </c>
      <c r="K1787" s="29">
        <v>0.98289565623980701</v>
      </c>
    </row>
    <row r="1788" spans="1:11" x14ac:dyDescent="0.35">
      <c r="A1788" s="9" t="str">
        <f>HYPERLINK("http://www.ensembl.org/id/WBGene00005527", "WBGene00005527")</f>
        <v>WBGene00005527</v>
      </c>
      <c r="B1788" s="9" t="str">
        <f>HYPERLINK("http://www.ncbi.nlm.nih.gov/gene/184549", "184549")</f>
        <v>184549</v>
      </c>
      <c r="C1788" s="9"/>
      <c r="D1788" t="str">
        <f>"sri-15"</f>
        <v>sri-15</v>
      </c>
      <c r="E1788" t="s">
        <v>1503</v>
      </c>
      <c r="F1788" t="s">
        <v>11</v>
      </c>
      <c r="G1788" t="s">
        <v>25</v>
      </c>
      <c r="H1788" s="12">
        <v>3.5227018545059199</v>
      </c>
      <c r="I1788" s="11">
        <v>0.36849691206929103</v>
      </c>
      <c r="J1788" s="10">
        <v>0.71250274722433404</v>
      </c>
      <c r="K1788" s="29">
        <v>0.98289565623980701</v>
      </c>
    </row>
    <row r="1789" spans="1:11" x14ac:dyDescent="0.35">
      <c r="A1789" s="9" t="str">
        <f>HYPERLINK("http://www.ensembl.org/id/WBGene00005539", "WBGene00005539")</f>
        <v>WBGene00005539</v>
      </c>
      <c r="B1789" s="9" t="str">
        <f>HYPERLINK("http://www.ncbi.nlm.nih.gov/gene/191902", "191902")</f>
        <v>191902</v>
      </c>
      <c r="C1789" s="9"/>
      <c r="D1789" t="str">
        <f>"sri-27"</f>
        <v>sri-27</v>
      </c>
      <c r="E1789" t="s">
        <v>1503</v>
      </c>
      <c r="F1789" t="s">
        <v>11</v>
      </c>
      <c r="G1789" t="s">
        <v>25</v>
      </c>
      <c r="H1789" s="12">
        <v>3.5227018545059199</v>
      </c>
      <c r="I1789" s="11">
        <v>0.36849691206929103</v>
      </c>
      <c r="J1789" s="10">
        <v>0.71250274722433404</v>
      </c>
      <c r="K1789" s="29">
        <v>0.98289565623980701</v>
      </c>
    </row>
    <row r="1790" spans="1:11" x14ac:dyDescent="0.35">
      <c r="A1790" s="9" t="str">
        <f>HYPERLINK("http://www.ensembl.org/id/WBGene00005520", "WBGene00005520")</f>
        <v>WBGene00005520</v>
      </c>
      <c r="B1790" s="9"/>
      <c r="C1790" s="9"/>
      <c r="D1790" t="str">
        <f>"sri-8"</f>
        <v>sri-8</v>
      </c>
      <c r="F1790" t="s">
        <v>80</v>
      </c>
      <c r="H1790" s="12">
        <v>3.5227018545059199</v>
      </c>
      <c r="I1790" s="11">
        <v>0.36849691206929103</v>
      </c>
      <c r="J1790" s="10">
        <v>0.71250274722433404</v>
      </c>
      <c r="K1790" s="29">
        <v>0.98289565623980701</v>
      </c>
    </row>
    <row r="1791" spans="1:11" x14ac:dyDescent="0.35">
      <c r="A1791" s="9" t="str">
        <f>HYPERLINK("http://www.ensembl.org/id/WBGene00005626", "WBGene00005626")</f>
        <v>WBGene00005626</v>
      </c>
      <c r="B1791" s="9" t="str">
        <f>HYPERLINK("http://www.ncbi.nlm.nih.gov/gene/191948", "191948")</f>
        <v>191948</v>
      </c>
      <c r="C1791" s="9"/>
      <c r="D1791" t="str">
        <f>"srj-44"</f>
        <v>srj-44</v>
      </c>
      <c r="E1791" t="s">
        <v>3123</v>
      </c>
      <c r="F1791" t="s">
        <v>11</v>
      </c>
      <c r="G1791" t="s">
        <v>25</v>
      </c>
      <c r="H1791" s="12">
        <v>3.5227018545059199</v>
      </c>
      <c r="I1791" s="11">
        <v>0.36849691206929103</v>
      </c>
      <c r="J1791" s="10">
        <v>0.71250274722433404</v>
      </c>
      <c r="K1791" s="29">
        <v>0.98289565623980701</v>
      </c>
    </row>
    <row r="1792" spans="1:11" x14ac:dyDescent="0.35">
      <c r="A1792" s="9" t="str">
        <f>HYPERLINK("http://www.ensembl.org/id/WBGene00011084", "WBGene00011084")</f>
        <v>WBGene00011084</v>
      </c>
      <c r="B1792" s="9" t="str">
        <f>HYPERLINK("http://www.ncbi.nlm.nih.gov/gene/187652", "187652")</f>
        <v>187652</v>
      </c>
      <c r="C1792" s="9"/>
      <c r="D1792" t="str">
        <f>"srsx-21"</f>
        <v>srsx-21</v>
      </c>
      <c r="E1792" t="s">
        <v>1639</v>
      </c>
      <c r="F1792" t="s">
        <v>11</v>
      </c>
      <c r="G1792" t="s">
        <v>1089</v>
      </c>
      <c r="H1792" s="12">
        <v>3.5227018545059199</v>
      </c>
      <c r="I1792" s="11">
        <v>0.36849691206929103</v>
      </c>
      <c r="J1792" s="10">
        <v>0.71250274722433404</v>
      </c>
      <c r="K1792" s="29">
        <v>0.98289565623980701</v>
      </c>
    </row>
    <row r="1793" spans="1:11" x14ac:dyDescent="0.35">
      <c r="A1793" s="9" t="str">
        <f>HYPERLINK("http://www.ensembl.org/id/WBGene00011837", "WBGene00011837")</f>
        <v>WBGene00011837</v>
      </c>
      <c r="B1793" s="9" t="str">
        <f>HYPERLINK("http://www.ncbi.nlm.nih.gov/gene/188584", "188584")</f>
        <v>188584</v>
      </c>
      <c r="C1793" s="9"/>
      <c r="D1793" t="str">
        <f>"srsx-33"</f>
        <v>srsx-33</v>
      </c>
      <c r="E1793" t="s">
        <v>1639</v>
      </c>
      <c r="F1793" t="s">
        <v>11</v>
      </c>
      <c r="G1793" t="s">
        <v>1089</v>
      </c>
      <c r="H1793" s="12">
        <v>3.5227018545059199</v>
      </c>
      <c r="I1793" s="11">
        <v>0.36849691206929103</v>
      </c>
      <c r="J1793" s="10">
        <v>0.71250274722433404</v>
      </c>
      <c r="K1793" s="29">
        <v>0.98289565623980701</v>
      </c>
    </row>
    <row r="1794" spans="1:11" x14ac:dyDescent="0.35">
      <c r="A1794" s="9" t="str">
        <f>HYPERLINK("http://www.ensembl.org/id/WBGene00014191", "WBGene00014191")</f>
        <v>WBGene00014191</v>
      </c>
      <c r="B1794" s="9" t="str">
        <f>HYPERLINK("http://www.ncbi.nlm.nih.gov/gene/191498", "191498")</f>
        <v>191498</v>
      </c>
      <c r="C1794" s="9"/>
      <c r="D1794" t="str">
        <f>"srt-22"</f>
        <v>srt-22</v>
      </c>
      <c r="E1794" t="s">
        <v>2845</v>
      </c>
      <c r="F1794" t="s">
        <v>11</v>
      </c>
      <c r="G1794" t="s">
        <v>25</v>
      </c>
      <c r="H1794" s="12">
        <v>3.5227018545059199</v>
      </c>
      <c r="I1794" s="11">
        <v>0.36849691206929103</v>
      </c>
      <c r="J1794" s="10">
        <v>0.71250274722433404</v>
      </c>
      <c r="K1794" s="29">
        <v>0.98289565623980701</v>
      </c>
    </row>
    <row r="1795" spans="1:11" x14ac:dyDescent="0.35">
      <c r="A1795" s="9" t="str">
        <f>HYPERLINK("http://www.ensembl.org/id/WBGene00020288", "WBGene00020288")</f>
        <v>WBGene00020288</v>
      </c>
      <c r="B1795" s="9" t="str">
        <f>HYPERLINK("http://www.ncbi.nlm.nih.gov/gene/188159", "188159")</f>
        <v>188159</v>
      </c>
      <c r="C1795" s="9"/>
      <c r="D1795" t="str">
        <f>"srt-73"</f>
        <v>srt-73</v>
      </c>
      <c r="E1795" t="s">
        <v>2845</v>
      </c>
      <c r="F1795" t="s">
        <v>11</v>
      </c>
      <c r="G1795" t="s">
        <v>25</v>
      </c>
      <c r="H1795" s="12">
        <v>3.5227018545059199</v>
      </c>
      <c r="I1795" s="11">
        <v>0.36849691206929103</v>
      </c>
      <c r="J1795" s="10">
        <v>0.71250274722433404</v>
      </c>
      <c r="K1795" s="29">
        <v>0.98289565623980701</v>
      </c>
    </row>
    <row r="1796" spans="1:11" x14ac:dyDescent="0.35">
      <c r="A1796" s="9" t="str">
        <f>HYPERLINK("http://www.ensembl.org/id/WBGene00005675", "WBGene00005675")</f>
        <v>WBGene00005675</v>
      </c>
      <c r="B1796" s="9" t="str">
        <f>HYPERLINK("http://www.ncbi.nlm.nih.gov/gene/189916", "189916")</f>
        <v>189916</v>
      </c>
      <c r="C1796" s="9"/>
      <c r="D1796" t="str">
        <f>"sru-12"</f>
        <v>sru-12</v>
      </c>
      <c r="E1796" t="s">
        <v>2653</v>
      </c>
      <c r="F1796" t="s">
        <v>11</v>
      </c>
      <c r="G1796" t="s">
        <v>25</v>
      </c>
      <c r="H1796" s="12">
        <v>3.5227018545059199</v>
      </c>
      <c r="I1796" s="11">
        <v>0.36849691206929103</v>
      </c>
      <c r="J1796" s="10">
        <v>0.71250274722433404</v>
      </c>
      <c r="K1796" s="29">
        <v>0.98289565623980701</v>
      </c>
    </row>
    <row r="1797" spans="1:11" x14ac:dyDescent="0.35">
      <c r="A1797" s="9" t="str">
        <f>HYPERLINK("http://www.ensembl.org/id/WBGene00005684", "WBGene00005684")</f>
        <v>WBGene00005684</v>
      </c>
      <c r="B1797" s="9" t="str">
        <f>HYPERLINK("http://www.ncbi.nlm.nih.gov/gene/182420", "182420")</f>
        <v>182420</v>
      </c>
      <c r="C1797" s="9"/>
      <c r="D1797" t="str">
        <f>"sru-21"</f>
        <v>sru-21</v>
      </c>
      <c r="E1797" t="s">
        <v>2653</v>
      </c>
      <c r="F1797" t="s">
        <v>11</v>
      </c>
      <c r="G1797" t="s">
        <v>25</v>
      </c>
      <c r="H1797" s="12">
        <v>3.5227018545059199</v>
      </c>
      <c r="I1797" s="11">
        <v>0.36849691206929103</v>
      </c>
      <c r="J1797" s="10">
        <v>0.71250274722433404</v>
      </c>
      <c r="K1797" s="29">
        <v>0.98289565623980701</v>
      </c>
    </row>
    <row r="1798" spans="1:11" x14ac:dyDescent="0.35">
      <c r="A1798" s="9" t="str">
        <f>HYPERLINK("http://www.ensembl.org/id/WBGene00005667", "WBGene00005667")</f>
        <v>WBGene00005667</v>
      </c>
      <c r="B1798" s="9" t="str">
        <f>HYPERLINK("http://www.ncbi.nlm.nih.gov/gene/183143", "183143")</f>
        <v>183143</v>
      </c>
      <c r="C1798" s="9"/>
      <c r="D1798" t="str">
        <f>"sru-4"</f>
        <v>sru-4</v>
      </c>
      <c r="E1798" t="s">
        <v>2653</v>
      </c>
      <c r="F1798" t="s">
        <v>11</v>
      </c>
      <c r="G1798" t="s">
        <v>25</v>
      </c>
      <c r="H1798" s="12">
        <v>3.5227018545059199</v>
      </c>
      <c r="I1798" s="11">
        <v>0.36849691206929103</v>
      </c>
      <c r="J1798" s="10">
        <v>0.71250274722433404</v>
      </c>
      <c r="K1798" s="29">
        <v>0.98289565623980701</v>
      </c>
    </row>
    <row r="1799" spans="1:11" x14ac:dyDescent="0.35">
      <c r="A1799" s="9" t="str">
        <f>HYPERLINK("http://www.ensembl.org/id/WBGene00005736", "WBGene00005736")</f>
        <v>WBGene00005736</v>
      </c>
      <c r="B1799" s="9" t="str">
        <f>HYPERLINK("http://www.ncbi.nlm.nih.gov/gene/353425", "353425")</f>
        <v>353425</v>
      </c>
      <c r="C1799" s="9"/>
      <c r="D1799" t="str">
        <f>"srv-25"</f>
        <v>srv-25</v>
      </c>
      <c r="E1799" t="s">
        <v>2916</v>
      </c>
      <c r="F1799" t="s">
        <v>11</v>
      </c>
      <c r="G1799" t="s">
        <v>25</v>
      </c>
      <c r="H1799" s="12">
        <v>3.5227018545059199</v>
      </c>
      <c r="I1799" s="11">
        <v>0.36849691206929103</v>
      </c>
      <c r="J1799" s="10">
        <v>0.71250274722433404</v>
      </c>
      <c r="K1799" s="29">
        <v>0.98289565623980701</v>
      </c>
    </row>
    <row r="1800" spans="1:11" x14ac:dyDescent="0.35">
      <c r="A1800" s="9" t="str">
        <f>HYPERLINK("http://www.ensembl.org/id/WBGene00005869", "WBGene00005869")</f>
        <v>WBGene00005869</v>
      </c>
      <c r="B1800" s="9" t="str">
        <f>HYPERLINK("http://www.ncbi.nlm.nih.gov/gene/186790", "186790")</f>
        <v>186790</v>
      </c>
      <c r="C1800" s="9"/>
      <c r="D1800" t="str">
        <f>"srw-122"</f>
        <v>srw-122</v>
      </c>
      <c r="E1800" t="s">
        <v>1014</v>
      </c>
      <c r="F1800" t="s">
        <v>11</v>
      </c>
      <c r="G1800" t="s">
        <v>1015</v>
      </c>
      <c r="H1800" s="12">
        <v>3.5227018545059199</v>
      </c>
      <c r="I1800" s="11">
        <v>0.36849691206929103</v>
      </c>
      <c r="J1800" s="10">
        <v>0.71250274722433404</v>
      </c>
      <c r="K1800" s="29">
        <v>0.98289565623980701</v>
      </c>
    </row>
    <row r="1801" spans="1:11" x14ac:dyDescent="0.35">
      <c r="A1801" s="9" t="str">
        <f>HYPERLINK("http://www.ensembl.org/id/WBGene00005873", "WBGene00005873")</f>
        <v>WBGene00005873</v>
      </c>
      <c r="B1801" s="9"/>
      <c r="C1801" s="9"/>
      <c r="D1801" t="str">
        <f>"srw-126"</f>
        <v>srw-126</v>
      </c>
      <c r="F1801" t="s">
        <v>80</v>
      </c>
      <c r="H1801" s="12">
        <v>3.5227018545059199</v>
      </c>
      <c r="I1801" s="11">
        <v>0.36849691206929103</v>
      </c>
      <c r="J1801" s="10">
        <v>0.71250274722433404</v>
      </c>
      <c r="K1801" s="29">
        <v>0.98289565623980701</v>
      </c>
    </row>
    <row r="1802" spans="1:11" x14ac:dyDescent="0.35">
      <c r="A1802" s="9" t="str">
        <f>HYPERLINK("http://www.ensembl.org/id/WBGene00005814", "WBGene00005814")</f>
        <v>WBGene00005814</v>
      </c>
      <c r="B1802" s="9" t="str">
        <f>HYPERLINK("http://www.ncbi.nlm.nih.gov/gene/184639", "184639")</f>
        <v>184639</v>
      </c>
      <c r="C1802" s="9"/>
      <c r="D1802" t="str">
        <f>"srw-67"</f>
        <v>srw-67</v>
      </c>
      <c r="E1802" t="s">
        <v>1014</v>
      </c>
      <c r="F1802" t="s">
        <v>11</v>
      </c>
      <c r="G1802" t="s">
        <v>1015</v>
      </c>
      <c r="H1802" s="12">
        <v>3.5227018545059199</v>
      </c>
      <c r="I1802" s="11">
        <v>0.36849691206929103</v>
      </c>
      <c r="J1802" s="10">
        <v>0.71250274722433404</v>
      </c>
      <c r="K1802" s="29">
        <v>0.98289565623980701</v>
      </c>
    </row>
    <row r="1803" spans="1:11" x14ac:dyDescent="0.35">
      <c r="A1803" s="9" t="str">
        <f>HYPERLINK("http://www.ensembl.org/id/WBGene00005841", "WBGene00005841")</f>
        <v>WBGene00005841</v>
      </c>
      <c r="B1803" s="9" t="str">
        <f>HYPERLINK("http://www.ncbi.nlm.nih.gov/gene/186698", "186698")</f>
        <v>186698</v>
      </c>
      <c r="C1803" s="9"/>
      <c r="D1803" t="str">
        <f>"srw-94"</f>
        <v>srw-94</v>
      </c>
      <c r="E1803" t="s">
        <v>1014</v>
      </c>
      <c r="F1803" t="s">
        <v>11</v>
      </c>
      <c r="G1803" t="s">
        <v>1015</v>
      </c>
      <c r="H1803" s="12">
        <v>3.5227018545059199</v>
      </c>
      <c r="I1803" s="11">
        <v>0.36849691206929103</v>
      </c>
      <c r="J1803" s="10">
        <v>0.71250274722433404</v>
      </c>
      <c r="K1803" s="29">
        <v>0.98289565623980701</v>
      </c>
    </row>
    <row r="1804" spans="1:11" x14ac:dyDescent="0.35">
      <c r="A1804" s="9" t="str">
        <f>HYPERLINK("http://www.ensembl.org/id/WBGene00005950", "WBGene00005950")</f>
        <v>WBGene00005950</v>
      </c>
      <c r="B1804" s="9" t="str">
        <f>HYPERLINK("http://www.ncbi.nlm.nih.gov/gene/188258", "188258")</f>
        <v>188258</v>
      </c>
      <c r="C1804" s="9"/>
      <c r="D1804" t="str">
        <f>"srx-59"</f>
        <v>srx-59</v>
      </c>
      <c r="E1804" t="s">
        <v>1477</v>
      </c>
      <c r="F1804" t="s">
        <v>11</v>
      </c>
      <c r="G1804" t="s">
        <v>25</v>
      </c>
      <c r="H1804" s="12">
        <v>3.5227018545059199</v>
      </c>
      <c r="I1804" s="11">
        <v>0.36849691206929103</v>
      </c>
      <c r="J1804" s="10">
        <v>0.71250274722433404</v>
      </c>
      <c r="K1804" s="29">
        <v>0.98289565623980701</v>
      </c>
    </row>
    <row r="1805" spans="1:11" x14ac:dyDescent="0.35">
      <c r="A1805" s="9" t="str">
        <f>HYPERLINK("http://www.ensembl.org/id/WBGene00008818", "WBGene00008818")</f>
        <v>WBGene00008818</v>
      </c>
      <c r="B1805" s="9" t="str">
        <f>HYPERLINK("http://www.ncbi.nlm.nih.gov/gene/3565936", "3565936")</f>
        <v>3565936</v>
      </c>
      <c r="C1805" s="9"/>
      <c r="D1805" t="str">
        <f>"srz-101"</f>
        <v>srz-101</v>
      </c>
      <c r="E1805" t="s">
        <v>4211</v>
      </c>
      <c r="F1805" t="s">
        <v>11</v>
      </c>
      <c r="G1805" t="s">
        <v>25</v>
      </c>
      <c r="H1805" s="12">
        <v>3.5227018545059199</v>
      </c>
      <c r="I1805" s="11">
        <v>0.36849691206929103</v>
      </c>
      <c r="J1805" s="10">
        <v>0.71250274722433404</v>
      </c>
      <c r="K1805" s="29">
        <v>0.98289565623980701</v>
      </c>
    </row>
    <row r="1806" spans="1:11" x14ac:dyDescent="0.35">
      <c r="A1806" s="9" t="str">
        <f>HYPERLINK("http://www.ensembl.org/id/WBGene00010530", "WBGene00010530")</f>
        <v>WBGene00010530</v>
      </c>
      <c r="B1806" s="9" t="str">
        <f>HYPERLINK("http://www.ncbi.nlm.nih.gov/gene/186935", "186935")</f>
        <v>186935</v>
      </c>
      <c r="C1806" s="9"/>
      <c r="D1806" t="str">
        <f>"srz-61"</f>
        <v>srz-61</v>
      </c>
      <c r="E1806" t="s">
        <v>4211</v>
      </c>
      <c r="F1806" t="s">
        <v>11</v>
      </c>
      <c r="G1806" t="s">
        <v>25</v>
      </c>
      <c r="H1806" s="12">
        <v>3.5227018545059199</v>
      </c>
      <c r="I1806" s="11">
        <v>0.36849691206929103</v>
      </c>
      <c r="J1806" s="10">
        <v>0.71250274722433404</v>
      </c>
      <c r="K1806" s="29">
        <v>0.98289565623980701</v>
      </c>
    </row>
    <row r="1807" spans="1:11" x14ac:dyDescent="0.35">
      <c r="A1807" s="9" t="str">
        <f>HYPERLINK("http://www.ensembl.org/id/WBGene00012419", "WBGene00012419")</f>
        <v>WBGene00012419</v>
      </c>
      <c r="B1807" s="9"/>
      <c r="C1807" s="9"/>
      <c r="D1807" t="str">
        <f>"srz-73"</f>
        <v>srz-73</v>
      </c>
      <c r="F1807" t="s">
        <v>80</v>
      </c>
      <c r="H1807" s="12">
        <v>3.5227018545059199</v>
      </c>
      <c r="I1807" s="11">
        <v>0.36849691206929103</v>
      </c>
      <c r="J1807" s="10">
        <v>0.71250274722433404</v>
      </c>
      <c r="K1807" s="29">
        <v>0.98289565623980701</v>
      </c>
    </row>
    <row r="1808" spans="1:11" x14ac:dyDescent="0.35">
      <c r="A1808" s="9" t="str">
        <f>HYPERLINK("http://www.ensembl.org/id/WBGene00023517", "WBGene00023517")</f>
        <v>WBGene00023517</v>
      </c>
      <c r="B1808" s="9" t="str">
        <f>HYPERLINK("http://www.ncbi.nlm.nih.gov/gene/3565568", "3565568")</f>
        <v>3565568</v>
      </c>
      <c r="C1808" s="9"/>
      <c r="D1808" t="str">
        <f>"srz-75"</f>
        <v>srz-75</v>
      </c>
      <c r="E1808" t="s">
        <v>4211</v>
      </c>
      <c r="F1808" t="s">
        <v>11</v>
      </c>
      <c r="G1808" t="s">
        <v>25</v>
      </c>
      <c r="H1808" s="12">
        <v>3.5227018545059199</v>
      </c>
      <c r="I1808" s="11">
        <v>0.36849691206929103</v>
      </c>
      <c r="J1808" s="10">
        <v>0.71250274722433404</v>
      </c>
      <c r="K1808" s="29">
        <v>0.98289565623980701</v>
      </c>
    </row>
    <row r="1809" spans="1:11" x14ac:dyDescent="0.35">
      <c r="A1809" s="9" t="str">
        <f>HYPERLINK("http://www.ensembl.org/id/WBGene00009912", "WBGene00009912")</f>
        <v>WBGene00009912</v>
      </c>
      <c r="B1809" s="9" t="str">
        <f>HYPERLINK("http://www.ncbi.nlm.nih.gov/gene/186078", "186078")</f>
        <v>186078</v>
      </c>
      <c r="C1809" s="9"/>
      <c r="D1809" t="str">
        <f>"srz-94"</f>
        <v>srz-94</v>
      </c>
      <c r="E1809" t="s">
        <v>4211</v>
      </c>
      <c r="F1809" t="s">
        <v>11</v>
      </c>
      <c r="G1809" t="s">
        <v>25</v>
      </c>
      <c r="H1809" s="12">
        <v>3.5227018545059199</v>
      </c>
      <c r="I1809" s="11">
        <v>0.36849691206929103</v>
      </c>
      <c r="J1809" s="10">
        <v>0.71250274722433404</v>
      </c>
      <c r="K1809" s="29">
        <v>0.98289565623980701</v>
      </c>
    </row>
    <row r="1810" spans="1:11" x14ac:dyDescent="0.35">
      <c r="A1810" s="9" t="str">
        <f>HYPERLINK("http://www.ensembl.org/id/WBGene00006182", "WBGene00006182")</f>
        <v>WBGene00006182</v>
      </c>
      <c r="B1810" s="9" t="str">
        <f>HYPERLINK("http://www.ncbi.nlm.nih.gov/gene/192007", "192007")</f>
        <v>192007</v>
      </c>
      <c r="C1810" s="9"/>
      <c r="D1810" t="str">
        <f>"str-134"</f>
        <v>str-134</v>
      </c>
      <c r="E1810" t="s">
        <v>590</v>
      </c>
      <c r="F1810" t="s">
        <v>11</v>
      </c>
      <c r="G1810" t="s">
        <v>591</v>
      </c>
      <c r="H1810" s="12">
        <v>3.5227018545059199</v>
      </c>
      <c r="I1810" s="11">
        <v>0.36849691206929103</v>
      </c>
      <c r="J1810" s="10">
        <v>0.71250274722433404</v>
      </c>
      <c r="K1810" s="29">
        <v>0.98289565623980701</v>
      </c>
    </row>
    <row r="1811" spans="1:11" x14ac:dyDescent="0.35">
      <c r="A1811" s="9" t="str">
        <f>HYPERLINK("http://www.ensembl.org/id/WBGene00006234", "WBGene00006234")</f>
        <v>WBGene00006234</v>
      </c>
      <c r="B1811" s="9" t="str">
        <f>HYPERLINK("http://www.ncbi.nlm.nih.gov/gene/191280", "191280")</f>
        <v>191280</v>
      </c>
      <c r="C1811" s="9"/>
      <c r="D1811" t="str">
        <f>"str-198"</f>
        <v>str-198</v>
      </c>
      <c r="E1811" t="s">
        <v>590</v>
      </c>
      <c r="F1811" t="s">
        <v>11</v>
      </c>
      <c r="G1811" t="s">
        <v>591</v>
      </c>
      <c r="H1811" s="12">
        <v>3.5227018545059199</v>
      </c>
      <c r="I1811" s="11">
        <v>0.36849691206929103</v>
      </c>
      <c r="J1811" s="10">
        <v>0.71250274722433404</v>
      </c>
      <c r="K1811" s="29">
        <v>0.98289565623980701</v>
      </c>
    </row>
    <row r="1812" spans="1:11" x14ac:dyDescent="0.35">
      <c r="A1812" s="9" t="str">
        <f>HYPERLINK("http://www.ensembl.org/id/WBGene00006243", "WBGene00006243")</f>
        <v>WBGene00006243</v>
      </c>
      <c r="B1812" s="9"/>
      <c r="C1812" s="9"/>
      <c r="D1812" t="str">
        <f>"str-210"</f>
        <v>str-210</v>
      </c>
      <c r="F1812" t="s">
        <v>80</v>
      </c>
      <c r="H1812" s="12">
        <v>3.5227018545059199</v>
      </c>
      <c r="I1812" s="11">
        <v>0.36849691206929103</v>
      </c>
      <c r="J1812" s="10">
        <v>0.71250274722433404</v>
      </c>
      <c r="K1812" s="29">
        <v>0.98289565623980701</v>
      </c>
    </row>
    <row r="1813" spans="1:11" x14ac:dyDescent="0.35">
      <c r="A1813" s="9" t="str">
        <f>HYPERLINK("http://www.ensembl.org/id/WBGene00006266", "WBGene00006266")</f>
        <v>WBGene00006266</v>
      </c>
      <c r="B1813" s="9" t="str">
        <f>HYPERLINK("http://www.ncbi.nlm.nih.gov/gene/192041", "192041")</f>
        <v>192041</v>
      </c>
      <c r="C1813" s="9"/>
      <c r="D1813" t="str">
        <f>"str-238"</f>
        <v>str-238</v>
      </c>
      <c r="E1813" t="s">
        <v>590</v>
      </c>
      <c r="F1813" t="s">
        <v>11</v>
      </c>
      <c r="G1813" t="s">
        <v>591</v>
      </c>
      <c r="H1813" s="12">
        <v>3.5227018545059199</v>
      </c>
      <c r="I1813" s="11">
        <v>0.36849691206929103</v>
      </c>
      <c r="J1813" s="10">
        <v>0.71250274722433404</v>
      </c>
      <c r="K1813" s="29">
        <v>0.98289565623980701</v>
      </c>
    </row>
    <row r="1814" spans="1:11" x14ac:dyDescent="0.35">
      <c r="A1814" s="9" t="str">
        <f>HYPERLINK("http://www.ensembl.org/id/WBGene00006127", "WBGene00006127")</f>
        <v>WBGene00006127</v>
      </c>
      <c r="B1814" s="9" t="str">
        <f>HYPERLINK("http://www.ncbi.nlm.nih.gov/gene/191982", "191982")</f>
        <v>191982</v>
      </c>
      <c r="C1814" s="9"/>
      <c r="D1814" t="str">
        <f>"str-64"</f>
        <v>str-64</v>
      </c>
      <c r="E1814" t="s">
        <v>590</v>
      </c>
      <c r="F1814" t="s">
        <v>11</v>
      </c>
      <c r="G1814" t="s">
        <v>25</v>
      </c>
      <c r="H1814" s="12">
        <v>3.5227018545059199</v>
      </c>
      <c r="I1814" s="11">
        <v>0.36849691206929103</v>
      </c>
      <c r="J1814" s="10">
        <v>0.71250274722433404</v>
      </c>
      <c r="K1814" s="29">
        <v>0.98289565623980701</v>
      </c>
    </row>
    <row r="1815" spans="1:11" x14ac:dyDescent="0.35">
      <c r="A1815" s="9" t="str">
        <f>HYPERLINK("http://www.ensembl.org/id/WBGene00197250", "WBGene00197250")</f>
        <v>WBGene00197250</v>
      </c>
      <c r="B1815" s="9"/>
      <c r="C1815" s="9"/>
      <c r="D1815" t="str">
        <f>"T02E9.15"</f>
        <v>T02E9.15</v>
      </c>
      <c r="F1815" t="s">
        <v>481</v>
      </c>
      <c r="H1815" s="12">
        <v>3.5227018545059199</v>
      </c>
      <c r="I1815" s="11">
        <v>0.36849691206929103</v>
      </c>
      <c r="J1815" s="10">
        <v>0.71250274722433404</v>
      </c>
      <c r="K1815" s="29">
        <v>0.98289565623980701</v>
      </c>
    </row>
    <row r="1816" spans="1:11" x14ac:dyDescent="0.35">
      <c r="A1816" s="9" t="str">
        <f>HYPERLINK("http://www.ensembl.org/id/WBGene00198928", "WBGene00198928")</f>
        <v>WBGene00198928</v>
      </c>
      <c r="B1816" s="9"/>
      <c r="C1816" s="9"/>
      <c r="D1816" t="str">
        <f>"T04C9.9"</f>
        <v>T04C9.9</v>
      </c>
      <c r="F1816" t="s">
        <v>481</v>
      </c>
      <c r="H1816" s="12">
        <v>3.5227018545059199</v>
      </c>
      <c r="I1816" s="11">
        <v>0.36849691206929103</v>
      </c>
      <c r="J1816" s="10">
        <v>0.71250274722433404</v>
      </c>
      <c r="K1816" s="29">
        <v>0.98289565623980701</v>
      </c>
    </row>
    <row r="1817" spans="1:11" x14ac:dyDescent="0.35">
      <c r="A1817" s="9" t="str">
        <f>HYPERLINK("http://www.ensembl.org/id/WBGene00020291", "WBGene00020291")</f>
        <v>WBGene00020291</v>
      </c>
      <c r="B1817" s="9" t="str">
        <f>HYPERLINK("http://www.ncbi.nlm.nih.gov/gene/188174", "188174")</f>
        <v>188174</v>
      </c>
      <c r="C1817" s="9"/>
      <c r="D1817" t="str">
        <f>"T06D4.2"</f>
        <v>T06D4.2</v>
      </c>
      <c r="F1817" t="s">
        <v>11</v>
      </c>
      <c r="H1817" s="12">
        <v>3.5227018545059199</v>
      </c>
      <c r="I1817" s="11">
        <v>0.36849691206929103</v>
      </c>
      <c r="J1817" s="10">
        <v>0.71250274722433404</v>
      </c>
      <c r="K1817" s="29">
        <v>0.98289565623980701</v>
      </c>
    </row>
    <row r="1818" spans="1:11" x14ac:dyDescent="0.35">
      <c r="A1818" s="9" t="str">
        <f>HYPERLINK("http://www.ensembl.org/id/WBGene00200368", "WBGene00200368")</f>
        <v>WBGene00200368</v>
      </c>
      <c r="B1818" s="9"/>
      <c r="C1818" s="9"/>
      <c r="D1818" t="str">
        <f>"T06F4.14"</f>
        <v>T06F4.14</v>
      </c>
      <c r="F1818" t="s">
        <v>481</v>
      </c>
      <c r="H1818" s="12">
        <v>3.5227018545059199</v>
      </c>
      <c r="I1818" s="11">
        <v>0.36849691206929103</v>
      </c>
      <c r="J1818" s="10">
        <v>0.71250274722433404</v>
      </c>
      <c r="K1818" s="29">
        <v>0.98289565623980701</v>
      </c>
    </row>
    <row r="1819" spans="1:11" x14ac:dyDescent="0.35">
      <c r="A1819" s="9" t="str">
        <f>HYPERLINK("http://www.ensembl.org/id/WBGene00197124", "WBGene00197124")</f>
        <v>WBGene00197124</v>
      </c>
      <c r="B1819" s="9"/>
      <c r="C1819" s="9"/>
      <c r="D1819" t="str">
        <f>"T06H11.9"</f>
        <v>T06H11.9</v>
      </c>
      <c r="F1819" t="s">
        <v>481</v>
      </c>
      <c r="H1819" s="12">
        <v>3.5227018545059199</v>
      </c>
      <c r="I1819" s="11">
        <v>0.36849691206929103</v>
      </c>
      <c r="J1819" s="10">
        <v>0.71250274722433404</v>
      </c>
      <c r="K1819" s="29">
        <v>0.98289565623980701</v>
      </c>
    </row>
    <row r="1820" spans="1:11" x14ac:dyDescent="0.35">
      <c r="A1820" s="9" t="str">
        <f>HYPERLINK("http://www.ensembl.org/id/WBGene00220060", "WBGene00220060")</f>
        <v>WBGene00220060</v>
      </c>
      <c r="B1820" s="9"/>
      <c r="C1820" s="9"/>
      <c r="D1820" t="str">
        <f>"T07D3.12"</f>
        <v>T07D3.12</v>
      </c>
      <c r="F1820" t="s">
        <v>481</v>
      </c>
      <c r="H1820" s="12">
        <v>3.5227018545059199</v>
      </c>
      <c r="I1820" s="11">
        <v>0.36849691206929103</v>
      </c>
      <c r="J1820" s="10">
        <v>0.71250274722433404</v>
      </c>
      <c r="K1820" s="29">
        <v>0.98289565623980701</v>
      </c>
    </row>
    <row r="1821" spans="1:11" x14ac:dyDescent="0.35">
      <c r="A1821" s="9" t="str">
        <f>HYPERLINK("http://www.ensembl.org/id/WBGene00195767", "WBGene00195767")</f>
        <v>WBGene00195767</v>
      </c>
      <c r="B1821" s="9"/>
      <c r="C1821" s="9"/>
      <c r="D1821" t="str">
        <f>"T08A9.15"</f>
        <v>T08A9.15</v>
      </c>
      <c r="F1821" t="s">
        <v>481</v>
      </c>
      <c r="H1821" s="12">
        <v>3.5227018545059199</v>
      </c>
      <c r="I1821" s="11">
        <v>0.36849691206929103</v>
      </c>
      <c r="J1821" s="10">
        <v>0.71250274722433404</v>
      </c>
      <c r="K1821" s="29">
        <v>0.98289565623980701</v>
      </c>
    </row>
    <row r="1822" spans="1:11" x14ac:dyDescent="0.35">
      <c r="A1822" s="9" t="str">
        <f>HYPERLINK("http://www.ensembl.org/id/WBGene00011778", "WBGene00011778")</f>
        <v>WBGene00011778</v>
      </c>
      <c r="B1822" s="9" t="str">
        <f>HYPERLINK("http://www.ncbi.nlm.nih.gov/gene/188530", "188530")</f>
        <v>188530</v>
      </c>
      <c r="C1822" s="9"/>
      <c r="D1822" t="str">
        <f>"T15D6.1"</f>
        <v>T15D6.1</v>
      </c>
      <c r="F1822" t="s">
        <v>11</v>
      </c>
      <c r="G1822" t="s">
        <v>3419</v>
      </c>
      <c r="H1822" s="12">
        <v>3.5227018545059199</v>
      </c>
      <c r="I1822" s="11">
        <v>0.36849691206929103</v>
      </c>
      <c r="J1822" s="10">
        <v>0.71250274722433404</v>
      </c>
      <c r="K1822" s="29">
        <v>0.98289565623980701</v>
      </c>
    </row>
    <row r="1823" spans="1:11" x14ac:dyDescent="0.35">
      <c r="A1823" s="9" t="str">
        <f>HYPERLINK("http://www.ensembl.org/id/WBGene00011780", "WBGene00011780")</f>
        <v>WBGene00011780</v>
      </c>
      <c r="B1823" s="9" t="str">
        <f>HYPERLINK("http://www.ncbi.nlm.nih.gov/gene/188532", "188532")</f>
        <v>188532</v>
      </c>
      <c r="C1823" s="9"/>
      <c r="D1823" t="str">
        <f>"T15D6.5"</f>
        <v>T15D6.5</v>
      </c>
      <c r="E1823" t="s">
        <v>3368</v>
      </c>
      <c r="F1823" t="s">
        <v>11</v>
      </c>
      <c r="G1823" t="s">
        <v>4251</v>
      </c>
      <c r="H1823" s="12">
        <v>3.5227018545059199</v>
      </c>
      <c r="I1823" s="11">
        <v>0.36849691206929103</v>
      </c>
      <c r="J1823" s="10">
        <v>0.71250274722433404</v>
      </c>
      <c r="K1823" s="29">
        <v>0.98289565623980701</v>
      </c>
    </row>
    <row r="1824" spans="1:11" x14ac:dyDescent="0.35">
      <c r="A1824" s="9" t="str">
        <f>HYPERLINK("http://www.ensembl.org/id/WBGene00199300", "WBGene00199300")</f>
        <v>WBGene00199300</v>
      </c>
      <c r="B1824" s="9"/>
      <c r="C1824" s="9"/>
      <c r="D1824" t="str">
        <f>"T21G5.8"</f>
        <v>T21G5.8</v>
      </c>
      <c r="F1824" t="s">
        <v>481</v>
      </c>
      <c r="H1824" s="12">
        <v>3.5227018545059199</v>
      </c>
      <c r="I1824" s="11">
        <v>0.36849691206929103</v>
      </c>
      <c r="J1824" s="10">
        <v>0.71250274722433404</v>
      </c>
      <c r="K1824" s="29">
        <v>0.98289565623980701</v>
      </c>
    </row>
    <row r="1825" spans="1:11" x14ac:dyDescent="0.35">
      <c r="A1825" s="9" t="str">
        <f>HYPERLINK("http://www.ensembl.org/id/WBGene00199464", "WBGene00199464")</f>
        <v>WBGene00199464</v>
      </c>
      <c r="B1825" s="9"/>
      <c r="C1825" s="9"/>
      <c r="D1825" t="str">
        <f>"T22B7.14"</f>
        <v>T22B7.14</v>
      </c>
      <c r="F1825" t="s">
        <v>481</v>
      </c>
      <c r="H1825" s="12">
        <v>3.5227018545059199</v>
      </c>
      <c r="I1825" s="11">
        <v>0.36849691206929103</v>
      </c>
      <c r="J1825" s="10">
        <v>0.71250274722433404</v>
      </c>
      <c r="K1825" s="29">
        <v>0.98289565623980701</v>
      </c>
    </row>
    <row r="1826" spans="1:11" x14ac:dyDescent="0.35">
      <c r="A1826" s="9" t="str">
        <f>HYPERLINK("http://www.ensembl.org/id/WBGene00197033", "WBGene00197033")</f>
        <v>WBGene00197033</v>
      </c>
      <c r="B1826" s="9"/>
      <c r="C1826" s="9"/>
      <c r="D1826" t="str">
        <f>"T24B8.10"</f>
        <v>T24B8.10</v>
      </c>
      <c r="F1826" t="s">
        <v>481</v>
      </c>
      <c r="H1826" s="12">
        <v>3.5227018545059199</v>
      </c>
      <c r="I1826" s="11">
        <v>0.36849691206929103</v>
      </c>
      <c r="J1826" s="10">
        <v>0.71250274722433404</v>
      </c>
      <c r="K1826" s="29">
        <v>0.98289565623980701</v>
      </c>
    </row>
    <row r="1827" spans="1:11" x14ac:dyDescent="0.35">
      <c r="A1827" s="9" t="str">
        <f>HYPERLINK("http://www.ensembl.org/id/WBGene00011991", "WBGene00011991")</f>
        <v>WBGene00011991</v>
      </c>
      <c r="B1827" s="9" t="str">
        <f>HYPERLINK("http://www.ncbi.nlm.nih.gov/gene/188851", "188851")</f>
        <v>188851</v>
      </c>
      <c r="C1827" s="9"/>
      <c r="D1827" t="str">
        <f>"T24D5.3"</f>
        <v>T24D5.3</v>
      </c>
      <c r="F1827" t="s">
        <v>11</v>
      </c>
      <c r="H1827" s="12">
        <v>3.5227018545059199</v>
      </c>
      <c r="I1827" s="11">
        <v>0.36849691206929103</v>
      </c>
      <c r="J1827" s="10">
        <v>0.71250274722433404</v>
      </c>
      <c r="K1827" s="29">
        <v>0.98289565623980701</v>
      </c>
    </row>
    <row r="1828" spans="1:11" x14ac:dyDescent="0.35">
      <c r="A1828" s="9" t="str">
        <f>HYPERLINK("http://www.ensembl.org/id/WBGene00198856", "WBGene00198856")</f>
        <v>WBGene00198856</v>
      </c>
      <c r="B1828" s="9"/>
      <c r="C1828" s="9"/>
      <c r="D1828" t="str">
        <f>"T25C12.7"</f>
        <v>T25C12.7</v>
      </c>
      <c r="F1828" t="s">
        <v>481</v>
      </c>
      <c r="H1828" s="12">
        <v>3.5227018545059199</v>
      </c>
      <c r="I1828" s="11">
        <v>0.36849691206929103</v>
      </c>
      <c r="J1828" s="10">
        <v>0.71250274722433404</v>
      </c>
      <c r="K1828" s="29">
        <v>0.98289565623980701</v>
      </c>
    </row>
    <row r="1829" spans="1:11" x14ac:dyDescent="0.35">
      <c r="A1829" s="9" t="str">
        <f>HYPERLINK("http://www.ensembl.org/id/WBGene00012044", "WBGene00012044")</f>
        <v>WBGene00012044</v>
      </c>
      <c r="B1829" s="9" t="str">
        <f>HYPERLINK("http://www.ncbi.nlm.nih.gov/gene/188928", "188928")</f>
        <v>188928</v>
      </c>
      <c r="C1829" s="9"/>
      <c r="D1829" t="str">
        <f>"T26E4.2"</f>
        <v>T26E4.2</v>
      </c>
      <c r="F1829" t="s">
        <v>11</v>
      </c>
      <c r="H1829" s="12">
        <v>3.5227018545059199</v>
      </c>
      <c r="I1829" s="11">
        <v>0.36849691206929103</v>
      </c>
      <c r="J1829" s="10">
        <v>0.71250274722433404</v>
      </c>
      <c r="K1829" s="29">
        <v>0.98289565623980701</v>
      </c>
    </row>
    <row r="1830" spans="1:11" x14ac:dyDescent="0.35">
      <c r="A1830" s="9" t="str">
        <f>HYPERLINK("http://www.ensembl.org/id/WBGene00201972", "WBGene00201972")</f>
        <v>WBGene00201972</v>
      </c>
      <c r="B1830" s="9"/>
      <c r="C1830" s="9"/>
      <c r="D1830" t="str">
        <f>"T26H2.16"</f>
        <v>T26H2.16</v>
      </c>
      <c r="F1830" t="s">
        <v>481</v>
      </c>
      <c r="H1830" s="12">
        <v>3.5227018545059199</v>
      </c>
      <c r="I1830" s="11">
        <v>0.36849691206929103</v>
      </c>
      <c r="J1830" s="10">
        <v>0.71250274722433404</v>
      </c>
      <c r="K1830" s="29">
        <v>0.98289565623980701</v>
      </c>
    </row>
    <row r="1831" spans="1:11" x14ac:dyDescent="0.35">
      <c r="A1831" s="9" t="str">
        <f>HYPERLINK("http://www.ensembl.org/id/WBGene00044923", "WBGene00044923")</f>
        <v>WBGene00044923</v>
      </c>
      <c r="B1831" s="9"/>
      <c r="C1831" s="9"/>
      <c r="D1831" t="str">
        <f>"T27E4.10"</f>
        <v>T27E4.10</v>
      </c>
      <c r="F1831" t="s">
        <v>4205</v>
      </c>
      <c r="H1831" s="12">
        <v>3.5227018545059199</v>
      </c>
      <c r="I1831" s="11">
        <v>0.36849691206929103</v>
      </c>
      <c r="J1831" s="10">
        <v>0.71250274722433404</v>
      </c>
      <c r="K1831" s="29">
        <v>0.98289565623980701</v>
      </c>
    </row>
    <row r="1832" spans="1:11" x14ac:dyDescent="0.35">
      <c r="A1832" s="9" t="str">
        <f>HYPERLINK("http://www.ensembl.org/id/WBGene00012093", "WBGene00012093")</f>
        <v>WBGene00012093</v>
      </c>
      <c r="B1832" s="9" t="str">
        <f>HYPERLINK("http://www.ncbi.nlm.nih.gov/gene/3564875", "3564875")</f>
        <v>3564875</v>
      </c>
      <c r="C1832" s="9"/>
      <c r="D1832" t="str">
        <f>"T27E7.9"</f>
        <v>T27E7.9</v>
      </c>
      <c r="F1832" t="s">
        <v>11</v>
      </c>
      <c r="G1832" t="s">
        <v>25</v>
      </c>
      <c r="H1832" s="12">
        <v>3.5227018545059199</v>
      </c>
      <c r="I1832" s="11">
        <v>0.36849691206929103</v>
      </c>
      <c r="J1832" s="10">
        <v>0.71250274722433404</v>
      </c>
      <c r="K1832" s="29">
        <v>0.98289565623980701</v>
      </c>
    </row>
    <row r="1833" spans="1:11" x14ac:dyDescent="0.35">
      <c r="A1833" s="9" t="str">
        <f>HYPERLINK("http://www.ensembl.org/id/WBGene00196724", "WBGene00196724")</f>
        <v>WBGene00196724</v>
      </c>
      <c r="B1833" s="9"/>
      <c r="C1833" s="9"/>
      <c r="D1833" t="str">
        <f>"T27F2.6"</f>
        <v>T27F2.6</v>
      </c>
      <c r="F1833" t="s">
        <v>481</v>
      </c>
      <c r="H1833" s="12">
        <v>3.5227018545059199</v>
      </c>
      <c r="I1833" s="11">
        <v>0.36849691206929103</v>
      </c>
      <c r="J1833" s="10">
        <v>0.71250274722433404</v>
      </c>
      <c r="K1833" s="29">
        <v>0.98289565623980701</v>
      </c>
    </row>
    <row r="1834" spans="1:11" x14ac:dyDescent="0.35">
      <c r="A1834" s="9" t="str">
        <f>HYPERLINK("http://www.ensembl.org/id/WBGene00020870", "WBGene00020870")</f>
        <v>WBGene00020870</v>
      </c>
      <c r="B1834" s="9" t="str">
        <f>HYPERLINK("http://www.ncbi.nlm.nih.gov/gene/189010", "189010")</f>
        <v>189010</v>
      </c>
      <c r="C1834" s="9"/>
      <c r="D1834" t="str">
        <f>"T28A11.3"</f>
        <v>T28A11.3</v>
      </c>
      <c r="F1834" t="s">
        <v>11</v>
      </c>
      <c r="H1834" s="12">
        <v>3.5227018545059199</v>
      </c>
      <c r="I1834" s="11">
        <v>0.36849691206929103</v>
      </c>
      <c r="J1834" s="10">
        <v>0.71250274722433404</v>
      </c>
      <c r="K1834" s="29">
        <v>0.98289565623980701</v>
      </c>
    </row>
    <row r="1835" spans="1:11" x14ac:dyDescent="0.35">
      <c r="A1835" s="9" t="str">
        <f>HYPERLINK("http://www.ensembl.org/id/WBGene00235379", "WBGene00235379")</f>
        <v>WBGene00235379</v>
      </c>
      <c r="B1835" s="9"/>
      <c r="C1835" s="9"/>
      <c r="D1835" t="str">
        <f>"T28H11.31"</f>
        <v>T28H11.31</v>
      </c>
      <c r="F1835" t="s">
        <v>481</v>
      </c>
      <c r="H1835" s="12">
        <v>3.5227018545059199</v>
      </c>
      <c r="I1835" s="11">
        <v>0.36849691206929103</v>
      </c>
      <c r="J1835" s="10">
        <v>0.71250274722433404</v>
      </c>
      <c r="K1835" s="29">
        <v>0.98289565623980701</v>
      </c>
    </row>
    <row r="1836" spans="1:11" x14ac:dyDescent="0.35">
      <c r="A1836" s="9" t="str">
        <f>HYPERLINK("http://www.ensembl.org/id/WBGene00196333", "WBGene00196333")</f>
        <v>WBGene00196333</v>
      </c>
      <c r="B1836" s="9"/>
      <c r="C1836" s="9"/>
      <c r="D1836" t="str">
        <f>"VB0395L.3"</f>
        <v>VB0395L.3</v>
      </c>
      <c r="F1836" t="s">
        <v>481</v>
      </c>
      <c r="H1836" s="12">
        <v>3.5227018545059199</v>
      </c>
      <c r="I1836" s="11">
        <v>0.36849691206929103</v>
      </c>
      <c r="J1836" s="10">
        <v>0.71250274722433404</v>
      </c>
      <c r="K1836" s="29">
        <v>0.98289565623980701</v>
      </c>
    </row>
    <row r="1837" spans="1:11" x14ac:dyDescent="0.35">
      <c r="A1837" s="9" t="str">
        <f>HYPERLINK("http://www.ensembl.org/id/WBGene00014539", "WBGene00014539")</f>
        <v>WBGene00014539</v>
      </c>
      <c r="B1837" s="9"/>
      <c r="C1837" s="9"/>
      <c r="D1837" t="str">
        <f>"W03C9.t1"</f>
        <v>W03C9.t1</v>
      </c>
      <c r="F1837" t="s">
        <v>4208</v>
      </c>
      <c r="H1837" s="12">
        <v>3.5227018545059199</v>
      </c>
      <c r="I1837" s="11">
        <v>0.36849691206929103</v>
      </c>
      <c r="J1837" s="10">
        <v>0.71250274722433404</v>
      </c>
      <c r="K1837" s="29">
        <v>0.98289565623980701</v>
      </c>
    </row>
    <row r="1838" spans="1:11" x14ac:dyDescent="0.35">
      <c r="A1838" s="9" t="str">
        <f>HYPERLINK("http://www.ensembl.org/id/WBGene00045076", "WBGene00045076")</f>
        <v>WBGene00045076</v>
      </c>
      <c r="B1838" s="9"/>
      <c r="C1838" s="9"/>
      <c r="D1838" t="str">
        <f>"W04G5.13"</f>
        <v>W04G5.13</v>
      </c>
      <c r="F1838" t="s">
        <v>80</v>
      </c>
      <c r="H1838" s="12">
        <v>3.5227018545059199</v>
      </c>
      <c r="I1838" s="11">
        <v>0.36849691206929103</v>
      </c>
      <c r="J1838" s="10">
        <v>0.71250274722433404</v>
      </c>
      <c r="K1838" s="29">
        <v>0.98289565623980701</v>
      </c>
    </row>
    <row r="1839" spans="1:11" x14ac:dyDescent="0.35">
      <c r="A1839" s="9" t="str">
        <f>HYPERLINK("http://www.ensembl.org/id/WBGene00195543", "WBGene00195543")</f>
        <v>WBGene00195543</v>
      </c>
      <c r="B1839" s="9"/>
      <c r="C1839" s="9"/>
      <c r="D1839" t="str">
        <f>"W06H8.9"</f>
        <v>W06H8.9</v>
      </c>
      <c r="F1839" t="s">
        <v>481</v>
      </c>
      <c r="H1839" s="12">
        <v>3.5227018545059199</v>
      </c>
      <c r="I1839" s="11">
        <v>0.36849691206929103</v>
      </c>
      <c r="J1839" s="10">
        <v>0.71250274722433404</v>
      </c>
      <c r="K1839" s="29">
        <v>0.98289565623980701</v>
      </c>
    </row>
    <row r="1840" spans="1:11" x14ac:dyDescent="0.35">
      <c r="A1840" s="9" t="str">
        <f>HYPERLINK("http://www.ensembl.org/id/WBGene00235206", "WBGene00235206")</f>
        <v>WBGene00235206</v>
      </c>
      <c r="B1840" s="9"/>
      <c r="C1840" s="9"/>
      <c r="D1840" t="str">
        <f>"W07G1.24"</f>
        <v>W07G1.24</v>
      </c>
      <c r="F1840" t="s">
        <v>4205</v>
      </c>
      <c r="H1840" s="12">
        <v>3.5227018545059199</v>
      </c>
      <c r="I1840" s="11">
        <v>0.36849691206929103</v>
      </c>
      <c r="J1840" s="10">
        <v>0.71250274722433404</v>
      </c>
      <c r="K1840" s="29">
        <v>0.98289565623980701</v>
      </c>
    </row>
    <row r="1841" spans="1:11" x14ac:dyDescent="0.35">
      <c r="A1841" s="9" t="str">
        <f>HYPERLINK("http://www.ensembl.org/id/WBGene00013635", "WBGene00013635")</f>
        <v>WBGene00013635</v>
      </c>
      <c r="B1841" s="9" t="str">
        <f>HYPERLINK("http://www.ncbi.nlm.nih.gov/gene/190875", "190875")</f>
        <v>190875</v>
      </c>
      <c r="C1841" s="9"/>
      <c r="D1841" t="str">
        <f>"Y105C5A.10"</f>
        <v>Y105C5A.10</v>
      </c>
      <c r="F1841" t="s">
        <v>11</v>
      </c>
      <c r="H1841" s="12">
        <v>3.5227018545059199</v>
      </c>
      <c r="I1841" s="11">
        <v>0.36849691206929103</v>
      </c>
      <c r="J1841" s="10">
        <v>0.71250274722433404</v>
      </c>
      <c r="K1841" s="29">
        <v>0.98289565623980701</v>
      </c>
    </row>
    <row r="1842" spans="1:11" x14ac:dyDescent="0.35">
      <c r="A1842" s="9" t="str">
        <f>HYPERLINK("http://www.ensembl.org/id/WBGene00013645", "WBGene00013645")</f>
        <v>WBGene00013645</v>
      </c>
      <c r="B1842" s="9" t="str">
        <f>HYPERLINK("http://www.ncbi.nlm.nih.gov/gene/178444", "178444")</f>
        <v>178444</v>
      </c>
      <c r="C1842" s="9"/>
      <c r="D1842" t="str">
        <f>"Y105C5B.1"</f>
        <v>Y105C5B.1</v>
      </c>
      <c r="F1842" t="s">
        <v>11</v>
      </c>
      <c r="G1842" t="s">
        <v>25</v>
      </c>
      <c r="H1842" s="12">
        <v>3.5227018545059199</v>
      </c>
      <c r="I1842" s="11">
        <v>0.36849691206929103</v>
      </c>
      <c r="J1842" s="10">
        <v>0.71250274722433404</v>
      </c>
      <c r="K1842" s="29">
        <v>0.98289565623980701</v>
      </c>
    </row>
    <row r="1843" spans="1:11" x14ac:dyDescent="0.35">
      <c r="A1843" s="9" t="str">
        <f>HYPERLINK("http://www.ensembl.org/id/WBGene00013648", "WBGene00013648")</f>
        <v>WBGene00013648</v>
      </c>
      <c r="B1843" s="9"/>
      <c r="C1843" s="9"/>
      <c r="D1843" t="str">
        <f>"Y105C5B.7"</f>
        <v>Y105C5B.7</v>
      </c>
      <c r="F1843" t="s">
        <v>80</v>
      </c>
      <c r="H1843" s="12">
        <v>3.5227018545059199</v>
      </c>
      <c r="I1843" s="11">
        <v>0.36849691206929103</v>
      </c>
      <c r="J1843" s="10">
        <v>0.71250274722433404</v>
      </c>
      <c r="K1843" s="29">
        <v>0.98289565623980701</v>
      </c>
    </row>
    <row r="1844" spans="1:11" x14ac:dyDescent="0.35">
      <c r="A1844" s="9" t="str">
        <f>HYPERLINK("http://www.ensembl.org/id/WBGene00196717", "WBGene00196717")</f>
        <v>WBGene00196717</v>
      </c>
      <c r="B1844" s="9"/>
      <c r="C1844" s="9"/>
      <c r="D1844" t="str">
        <f>"Y105E8A.39"</f>
        <v>Y105E8A.39</v>
      </c>
      <c r="F1844" t="s">
        <v>481</v>
      </c>
      <c r="H1844" s="12">
        <v>3.5227018545059199</v>
      </c>
      <c r="I1844" s="11">
        <v>0.36849691206929103</v>
      </c>
      <c r="J1844" s="10">
        <v>0.71250274722433404</v>
      </c>
      <c r="K1844" s="29">
        <v>0.98289565623980701</v>
      </c>
    </row>
    <row r="1845" spans="1:11" x14ac:dyDescent="0.35">
      <c r="A1845" s="9" t="str">
        <f>HYPERLINK("http://www.ensembl.org/id/WBGene00200083", "WBGene00200083")</f>
        <v>WBGene00200083</v>
      </c>
      <c r="B1845" s="9"/>
      <c r="C1845" s="9"/>
      <c r="D1845" t="str">
        <f>"Y110A2AL.19"</f>
        <v>Y110A2AL.19</v>
      </c>
      <c r="F1845" t="s">
        <v>481</v>
      </c>
      <c r="H1845" s="12">
        <v>3.5227018545059199</v>
      </c>
      <c r="I1845" s="11">
        <v>0.36849691206929103</v>
      </c>
      <c r="J1845" s="10">
        <v>0.71250274722433404</v>
      </c>
      <c r="K1845" s="29">
        <v>0.98289565623980701</v>
      </c>
    </row>
    <row r="1846" spans="1:11" x14ac:dyDescent="0.35">
      <c r="A1846" s="9" t="str">
        <f>HYPERLINK("http://www.ensembl.org/id/WBGene00012489", "WBGene00012489")</f>
        <v>WBGene00012489</v>
      </c>
      <c r="B1846" s="9" t="str">
        <f>HYPERLINK("http://www.ncbi.nlm.nih.gov/gene/189479", "189479")</f>
        <v>189479</v>
      </c>
      <c r="C1846" s="9"/>
      <c r="D1846" t="str">
        <f>"Y19D2B.1"</f>
        <v>Y19D2B.1</v>
      </c>
      <c r="F1846" t="s">
        <v>11</v>
      </c>
      <c r="G1846" t="s">
        <v>4306</v>
      </c>
      <c r="H1846" s="12">
        <v>3.5227018545059199</v>
      </c>
      <c r="I1846" s="11">
        <v>0.36849691206929103</v>
      </c>
      <c r="J1846" s="10">
        <v>0.71250274722433404</v>
      </c>
      <c r="K1846" s="29">
        <v>0.98289565623980701</v>
      </c>
    </row>
    <row r="1847" spans="1:11" x14ac:dyDescent="0.35">
      <c r="A1847" s="9" t="str">
        <f>HYPERLINK("http://www.ensembl.org/id/WBGene00023467", "WBGene00023467")</f>
        <v>WBGene00023467</v>
      </c>
      <c r="B1847" s="9"/>
      <c r="C1847" s="9"/>
      <c r="D1847" t="str">
        <f>"Y38F2AR.14"</f>
        <v>Y38F2AR.14</v>
      </c>
      <c r="F1847" t="s">
        <v>2977</v>
      </c>
      <c r="H1847" s="12">
        <v>3.5227018545059199</v>
      </c>
      <c r="I1847" s="11">
        <v>0.36849691206929103</v>
      </c>
      <c r="J1847" s="10">
        <v>0.71250274722433404</v>
      </c>
      <c r="K1847" s="29">
        <v>0.98289565623980701</v>
      </c>
    </row>
    <row r="1848" spans="1:11" x14ac:dyDescent="0.35">
      <c r="A1848" s="9" t="str">
        <f>HYPERLINK("http://www.ensembl.org/id/WBGene00201696", "WBGene00201696")</f>
        <v>WBGene00201696</v>
      </c>
      <c r="B1848" s="9"/>
      <c r="C1848" s="9"/>
      <c r="D1848" t="str">
        <f>"Y39G8B.12"</f>
        <v>Y39G8B.12</v>
      </c>
      <c r="F1848" t="s">
        <v>481</v>
      </c>
      <c r="H1848" s="12">
        <v>3.5227018545059199</v>
      </c>
      <c r="I1848" s="11">
        <v>0.36849691206929103</v>
      </c>
      <c r="J1848" s="10">
        <v>0.71250274722433404</v>
      </c>
      <c r="K1848" s="29">
        <v>0.98289565623980701</v>
      </c>
    </row>
    <row r="1849" spans="1:11" x14ac:dyDescent="0.35">
      <c r="A1849" s="9" t="str">
        <f>HYPERLINK("http://www.ensembl.org/id/WBGene00201089", "WBGene00201089")</f>
        <v>WBGene00201089</v>
      </c>
      <c r="B1849" s="9"/>
      <c r="C1849" s="9"/>
      <c r="D1849" t="str">
        <f>"Y40C7B.8"</f>
        <v>Y40C7B.8</v>
      </c>
      <c r="F1849" t="s">
        <v>481</v>
      </c>
      <c r="H1849" s="12">
        <v>3.5227018545059199</v>
      </c>
      <c r="I1849" s="11">
        <v>0.36849691206929103</v>
      </c>
      <c r="J1849" s="10">
        <v>0.71250274722433404</v>
      </c>
      <c r="K1849" s="29">
        <v>0.98289565623980701</v>
      </c>
    </row>
    <row r="1850" spans="1:11" x14ac:dyDescent="0.35">
      <c r="A1850" s="9" t="str">
        <f>HYPERLINK("http://www.ensembl.org/id/WBGene00050910", "WBGene00050910")</f>
        <v>WBGene00050910</v>
      </c>
      <c r="B1850" s="9" t="str">
        <f>HYPERLINK("http://www.ncbi.nlm.nih.gov/gene/13218546", "13218546")</f>
        <v>13218546</v>
      </c>
      <c r="C1850" s="9"/>
      <c r="D1850" t="str">
        <f>"Y43F8B.17"</f>
        <v>Y43F8B.17</v>
      </c>
      <c r="F1850" t="s">
        <v>11</v>
      </c>
      <c r="H1850" s="12">
        <v>3.5227018545059199</v>
      </c>
      <c r="I1850" s="11">
        <v>0.36849691206929103</v>
      </c>
      <c r="J1850" s="10">
        <v>0.71250274722433404</v>
      </c>
      <c r="K1850" s="29">
        <v>0.98289565623980701</v>
      </c>
    </row>
    <row r="1851" spans="1:11" x14ac:dyDescent="0.35">
      <c r="A1851" s="9" t="str">
        <f>HYPERLINK("http://www.ensembl.org/id/WBGene00200892", "WBGene00200892")</f>
        <v>WBGene00200892</v>
      </c>
      <c r="B1851" s="9"/>
      <c r="C1851" s="9"/>
      <c r="D1851" t="str">
        <f>"Y43F8B.26"</f>
        <v>Y43F8B.26</v>
      </c>
      <c r="F1851" t="s">
        <v>481</v>
      </c>
      <c r="H1851" s="12">
        <v>3.5227018545059199</v>
      </c>
      <c r="I1851" s="11">
        <v>0.36849691206929103</v>
      </c>
      <c r="J1851" s="10">
        <v>0.71250274722433404</v>
      </c>
      <c r="K1851" s="29">
        <v>0.98289565623980701</v>
      </c>
    </row>
    <row r="1852" spans="1:11" x14ac:dyDescent="0.35">
      <c r="A1852" s="9" t="str">
        <f>HYPERLINK("http://www.ensembl.org/id/WBGene00194686", "WBGene00194686")</f>
        <v>WBGene00194686</v>
      </c>
      <c r="B1852" s="9"/>
      <c r="C1852" s="9"/>
      <c r="D1852" t="str">
        <f>"Y49A3A.6"</f>
        <v>Y49A3A.6</v>
      </c>
      <c r="F1852" t="s">
        <v>2735</v>
      </c>
      <c r="H1852" s="12">
        <v>3.5227018545059199</v>
      </c>
      <c r="I1852" s="11">
        <v>0.36849691206929103</v>
      </c>
      <c r="J1852" s="10">
        <v>0.71250274722433404</v>
      </c>
      <c r="K1852" s="29">
        <v>0.98289565623980701</v>
      </c>
    </row>
    <row r="1853" spans="1:11" x14ac:dyDescent="0.35">
      <c r="A1853" s="9" t="str">
        <f>HYPERLINK("http://www.ensembl.org/id/WBGene00303368", "WBGene00303368")</f>
        <v>WBGene00303368</v>
      </c>
      <c r="B1853" s="9"/>
      <c r="C1853" s="9"/>
      <c r="D1853" t="str">
        <f>"Y49F6B.19"</f>
        <v>Y49F6B.19</v>
      </c>
      <c r="F1853" t="s">
        <v>11</v>
      </c>
      <c r="H1853" s="12">
        <v>3.5227018545059199</v>
      </c>
      <c r="I1853" s="11">
        <v>0.36849691206929103</v>
      </c>
      <c r="J1853" s="10">
        <v>0.71250274722433404</v>
      </c>
      <c r="K1853" s="29">
        <v>0.98289565623980701</v>
      </c>
    </row>
    <row r="1854" spans="1:11" x14ac:dyDescent="0.35">
      <c r="A1854" s="9" t="str">
        <f>HYPERLINK("http://www.ensembl.org/id/WBGene00198001", "WBGene00198001")</f>
        <v>WBGene00198001</v>
      </c>
      <c r="B1854" s="9"/>
      <c r="C1854" s="9"/>
      <c r="D1854" t="str">
        <f>"Y54E10A.24"</f>
        <v>Y54E10A.24</v>
      </c>
      <c r="F1854" t="s">
        <v>481</v>
      </c>
      <c r="H1854" s="12">
        <v>3.5227018545059199</v>
      </c>
      <c r="I1854" s="11">
        <v>0.36849691206929103</v>
      </c>
      <c r="J1854" s="10">
        <v>0.71250274722433404</v>
      </c>
      <c r="K1854" s="29">
        <v>0.98289565623980701</v>
      </c>
    </row>
    <row r="1855" spans="1:11" x14ac:dyDescent="0.35">
      <c r="A1855" s="9" t="str">
        <f>HYPERLINK("http://www.ensembl.org/id/WBGene00021885", "WBGene00021885")</f>
        <v>WBGene00021885</v>
      </c>
      <c r="B1855" s="9"/>
      <c r="C1855" s="9"/>
      <c r="D1855" t="str">
        <f>"Y54G2A.20"</f>
        <v>Y54G2A.20</v>
      </c>
      <c r="F1855" t="s">
        <v>80</v>
      </c>
      <c r="H1855" s="12">
        <v>3.5227018545059199</v>
      </c>
      <c r="I1855" s="11">
        <v>0.36849691206929103</v>
      </c>
      <c r="J1855" s="10">
        <v>0.71250274722433404</v>
      </c>
      <c r="K1855" s="29">
        <v>0.98289565623980701</v>
      </c>
    </row>
    <row r="1856" spans="1:11" x14ac:dyDescent="0.35">
      <c r="A1856" s="9" t="str">
        <f>HYPERLINK("http://www.ensembl.org/id/WBGene00197877", "WBGene00197877")</f>
        <v>WBGene00197877</v>
      </c>
      <c r="B1856" s="9"/>
      <c r="C1856" s="9"/>
      <c r="D1856" t="str">
        <f>"Y66A7AL.5"</f>
        <v>Y66A7AL.5</v>
      </c>
      <c r="F1856" t="s">
        <v>481</v>
      </c>
      <c r="H1856" s="12">
        <v>3.5227018545059199</v>
      </c>
      <c r="I1856" s="11">
        <v>0.36849691206929103</v>
      </c>
      <c r="J1856" s="10">
        <v>0.71250274722433404</v>
      </c>
      <c r="K1856" s="29">
        <v>0.98289565623980701</v>
      </c>
    </row>
    <row r="1857" spans="1:11" x14ac:dyDescent="0.35">
      <c r="A1857" s="9" t="str">
        <f>HYPERLINK("http://www.ensembl.org/id/WBGene00199376", "WBGene00199376")</f>
        <v>WBGene00199376</v>
      </c>
      <c r="B1857" s="9"/>
      <c r="C1857" s="9"/>
      <c r="D1857" t="str">
        <f>"Y66A7AL.7"</f>
        <v>Y66A7AL.7</v>
      </c>
      <c r="F1857" t="s">
        <v>481</v>
      </c>
      <c r="H1857" s="12">
        <v>3.5227018545059199</v>
      </c>
      <c r="I1857" s="11">
        <v>0.36849691206929103</v>
      </c>
      <c r="J1857" s="10">
        <v>0.71250274722433404</v>
      </c>
      <c r="K1857" s="29">
        <v>0.98289565623980701</v>
      </c>
    </row>
    <row r="1858" spans="1:11" x14ac:dyDescent="0.35">
      <c r="A1858" s="9" t="str">
        <f>HYPERLINK("http://www.ensembl.org/id/WBGene00023387", "WBGene00023387")</f>
        <v>WBGene00023387</v>
      </c>
      <c r="B1858" s="9"/>
      <c r="C1858" s="9"/>
      <c r="D1858" t="str">
        <f>"Y67D2.t3"</f>
        <v>Y67D2.t3</v>
      </c>
      <c r="F1858" t="s">
        <v>80</v>
      </c>
      <c r="H1858" s="12">
        <v>3.5227018545059199</v>
      </c>
      <c r="I1858" s="11">
        <v>0.36849691206929103</v>
      </c>
      <c r="J1858" s="10">
        <v>0.71250274722433404</v>
      </c>
      <c r="K1858" s="29">
        <v>0.98289565623980701</v>
      </c>
    </row>
    <row r="1859" spans="1:11" x14ac:dyDescent="0.35">
      <c r="A1859" s="9" t="str">
        <f>HYPERLINK("http://www.ensembl.org/id/WBGene00022209", "WBGene00022209")</f>
        <v>WBGene00022209</v>
      </c>
      <c r="B1859" s="9" t="str">
        <f>HYPERLINK("http://www.ncbi.nlm.nih.gov/gene/190625", "190625")</f>
        <v>190625</v>
      </c>
      <c r="C1859" s="9"/>
      <c r="D1859" t="str">
        <f>"Y73B3A.7"</f>
        <v>Y73B3A.7</v>
      </c>
      <c r="F1859" t="s">
        <v>11</v>
      </c>
      <c r="H1859" s="12">
        <v>3.5227018545059199</v>
      </c>
      <c r="I1859" s="11">
        <v>0.36849691206929103</v>
      </c>
      <c r="J1859" s="10">
        <v>0.71250274722433404</v>
      </c>
      <c r="K1859" s="29">
        <v>0.98289565623980701</v>
      </c>
    </row>
    <row r="1860" spans="1:11" x14ac:dyDescent="0.35">
      <c r="A1860" s="9" t="str">
        <f>HYPERLINK("http://www.ensembl.org/id/WBGene00044000", "WBGene00044000")</f>
        <v>WBGene00044000</v>
      </c>
      <c r="B1860" s="9"/>
      <c r="C1860" s="9"/>
      <c r="D1860" t="str">
        <f>"Y75B8A.41"</f>
        <v>Y75B8A.41</v>
      </c>
      <c r="F1860" t="s">
        <v>80</v>
      </c>
      <c r="H1860" s="12">
        <v>3.5227018545059199</v>
      </c>
      <c r="I1860" s="11">
        <v>0.36849691206929103</v>
      </c>
      <c r="J1860" s="10">
        <v>0.71250274722433404</v>
      </c>
      <c r="K1860" s="29">
        <v>0.98289565623980701</v>
      </c>
    </row>
    <row r="1861" spans="1:11" x14ac:dyDescent="0.35">
      <c r="A1861" s="9" t="str">
        <f>HYPERLINK("http://www.ensembl.org/id/WBGene00022308", "WBGene00022308")</f>
        <v>WBGene00022308</v>
      </c>
      <c r="B1861" s="9"/>
      <c r="C1861" s="9"/>
      <c r="D1861" t="str">
        <f>"Y77E11A.3"</f>
        <v>Y77E11A.3</v>
      </c>
      <c r="F1861" t="s">
        <v>481</v>
      </c>
      <c r="H1861" s="12">
        <v>3.5227018545059199</v>
      </c>
      <c r="I1861" s="11">
        <v>0.36849691206929103</v>
      </c>
      <c r="J1861" s="10">
        <v>0.71250274722433404</v>
      </c>
      <c r="K1861" s="29">
        <v>0.98289565623980701</v>
      </c>
    </row>
    <row r="1862" spans="1:11" x14ac:dyDescent="0.35">
      <c r="A1862" s="9" t="str">
        <f>HYPERLINK("http://www.ensembl.org/id/WBGene00050893", "WBGene00050893")</f>
        <v>WBGene00050893</v>
      </c>
      <c r="B1862" s="9" t="str">
        <f>HYPERLINK("http://www.ncbi.nlm.nih.gov/gene/6418709", "6418709")</f>
        <v>6418709</v>
      </c>
      <c r="C1862" s="9"/>
      <c r="D1862" t="str">
        <f>"Y94A7B.11"</f>
        <v>Y94A7B.11</v>
      </c>
      <c r="F1862" t="s">
        <v>11</v>
      </c>
      <c r="G1862" t="s">
        <v>4308</v>
      </c>
      <c r="H1862" s="12">
        <v>3.5227018545059199</v>
      </c>
      <c r="I1862" s="11">
        <v>0.36849691206929103</v>
      </c>
      <c r="J1862" s="10">
        <v>0.71250274722433404</v>
      </c>
      <c r="K1862" s="29">
        <v>0.98289565623980701</v>
      </c>
    </row>
    <row r="1863" spans="1:11" x14ac:dyDescent="0.35">
      <c r="A1863" s="9" t="str">
        <f>HYPERLINK("http://www.ensembl.org/id/WBGene00195544", "WBGene00195544")</f>
        <v>WBGene00195544</v>
      </c>
      <c r="B1863" s="9"/>
      <c r="C1863" s="9"/>
      <c r="D1863" t="str">
        <f>"Y95B8A.13"</f>
        <v>Y95B8A.13</v>
      </c>
      <c r="F1863" t="s">
        <v>481</v>
      </c>
      <c r="H1863" s="12">
        <v>3.5227018545059199</v>
      </c>
      <c r="I1863" s="11">
        <v>0.36849691206929103</v>
      </c>
      <c r="J1863" s="10">
        <v>0.71250274722433404</v>
      </c>
      <c r="K1863" s="29">
        <v>0.98289565623980701</v>
      </c>
    </row>
    <row r="1864" spans="1:11" x14ac:dyDescent="0.35">
      <c r="A1864" s="9" t="str">
        <f>HYPERLINK("http://www.ensembl.org/id/WBGene00022403", "WBGene00022403")</f>
        <v>WBGene00022403</v>
      </c>
      <c r="B1864" s="9" t="str">
        <f>HYPERLINK("http://www.ncbi.nlm.nih.gov/gene/190816", "190816")</f>
        <v>190816</v>
      </c>
      <c r="C1864" s="9"/>
      <c r="D1864" t="str">
        <f>"Y97E10B.1"</f>
        <v>Y97E10B.1</v>
      </c>
      <c r="F1864" t="s">
        <v>11</v>
      </c>
      <c r="G1864" t="s">
        <v>1686</v>
      </c>
      <c r="H1864" s="12">
        <v>3.5227018545059199</v>
      </c>
      <c r="I1864" s="11">
        <v>0.36849691206929103</v>
      </c>
      <c r="J1864" s="10">
        <v>0.71250274722433404</v>
      </c>
      <c r="K1864" s="29">
        <v>0.98289565623980701</v>
      </c>
    </row>
    <row r="1865" spans="1:11" x14ac:dyDescent="0.35">
      <c r="A1865" s="9" t="str">
        <f>HYPERLINK("http://www.ensembl.org/id/WBGene00200119", "WBGene00200119")</f>
        <v>WBGene00200119</v>
      </c>
      <c r="B1865" s="9"/>
      <c r="C1865" s="9"/>
      <c r="D1865" t="str">
        <f>"ZC506.8"</f>
        <v>ZC506.8</v>
      </c>
      <c r="F1865" t="s">
        <v>481</v>
      </c>
      <c r="H1865" s="12">
        <v>3.5227018545059199</v>
      </c>
      <c r="I1865" s="11">
        <v>0.36849691206929103</v>
      </c>
      <c r="J1865" s="10">
        <v>0.71250274722433404</v>
      </c>
      <c r="K1865" s="29">
        <v>0.98289565623980701</v>
      </c>
    </row>
    <row r="1866" spans="1:11" x14ac:dyDescent="0.35">
      <c r="A1866" s="9" t="str">
        <f>HYPERLINK("http://www.ensembl.org/id/WBGene00014236", "WBGene00014236")</f>
        <v>WBGene00014236</v>
      </c>
      <c r="B1866" s="9" t="str">
        <f>HYPERLINK("http://www.ncbi.nlm.nih.gov/gene/191534", "191534")</f>
        <v>191534</v>
      </c>
      <c r="C1866" s="9"/>
      <c r="D1866" t="str">
        <f>"ZK1225.2"</f>
        <v>ZK1225.2</v>
      </c>
      <c r="F1866" t="s">
        <v>11</v>
      </c>
      <c r="G1866" t="s">
        <v>4242</v>
      </c>
      <c r="H1866" s="12">
        <v>3.5227018545059199</v>
      </c>
      <c r="I1866" s="11">
        <v>0.36849691206929103</v>
      </c>
      <c r="J1866" s="10">
        <v>0.71250274722433404</v>
      </c>
      <c r="K1866" s="29">
        <v>0.98289565623980701</v>
      </c>
    </row>
    <row r="1867" spans="1:11" x14ac:dyDescent="0.35">
      <c r="A1867" s="9" t="str">
        <f>HYPERLINK("http://www.ensembl.org/id/WBGene00197811", "WBGene00197811")</f>
        <v>WBGene00197811</v>
      </c>
      <c r="B1867" s="9"/>
      <c r="C1867" s="9"/>
      <c r="D1867" t="str">
        <f>"ZK180.10"</f>
        <v>ZK180.10</v>
      </c>
      <c r="F1867" t="s">
        <v>481</v>
      </c>
      <c r="H1867" s="12">
        <v>3.5227018545059199</v>
      </c>
      <c r="I1867" s="11">
        <v>0.36849691206929103</v>
      </c>
      <c r="J1867" s="10">
        <v>0.71250274722433404</v>
      </c>
      <c r="K1867" s="29">
        <v>0.98289565623980701</v>
      </c>
    </row>
    <row r="1868" spans="1:11" x14ac:dyDescent="0.35">
      <c r="A1868" s="9" t="str">
        <f>HYPERLINK("http://www.ensembl.org/id/WBGene00219370", "WBGene00219370")</f>
        <v>WBGene00219370</v>
      </c>
      <c r="B1868" s="9" t="str">
        <f>HYPERLINK("http://www.ncbi.nlm.nih.gov/gene/13218215", "13218215")</f>
        <v>13218215</v>
      </c>
      <c r="C1868" s="9"/>
      <c r="D1868" t="str">
        <f>"ZK262.20"</f>
        <v>ZK262.20</v>
      </c>
      <c r="F1868" t="s">
        <v>11</v>
      </c>
      <c r="H1868" s="12">
        <v>3.5227018545059199</v>
      </c>
      <c r="I1868" s="11">
        <v>0.36849691206929103</v>
      </c>
      <c r="J1868" s="10">
        <v>0.71250274722433404</v>
      </c>
      <c r="K1868" s="29">
        <v>0.98289565623980701</v>
      </c>
    </row>
    <row r="1869" spans="1:11" x14ac:dyDescent="0.35">
      <c r="A1869" s="9" t="str">
        <f>HYPERLINK("http://www.ensembl.org/id/WBGene00197750", "WBGene00197750")</f>
        <v>WBGene00197750</v>
      </c>
      <c r="B1869" s="9"/>
      <c r="C1869" s="9"/>
      <c r="D1869" t="str">
        <f>"ZK377.5"</f>
        <v>ZK377.5</v>
      </c>
      <c r="F1869" t="s">
        <v>481</v>
      </c>
      <c r="H1869" s="12">
        <v>3.5227018545059199</v>
      </c>
      <c r="I1869" s="11">
        <v>0.36849691206929103</v>
      </c>
      <c r="J1869" s="10">
        <v>0.71250274722433404</v>
      </c>
      <c r="K1869" s="29">
        <v>0.98289565623980701</v>
      </c>
    </row>
    <row r="1870" spans="1:11" x14ac:dyDescent="0.35">
      <c r="A1870" s="9" t="str">
        <f>HYPERLINK("http://www.ensembl.org/id/WBGene00022757", "WBGene00022757")</f>
        <v>WBGene00022757</v>
      </c>
      <c r="B1870" s="9" t="str">
        <f>HYPERLINK("http://www.ncbi.nlm.nih.gov/gene/191330", "191330")</f>
        <v>191330</v>
      </c>
      <c r="C1870" s="9"/>
      <c r="D1870" t="str">
        <f>"ZK488.5"</f>
        <v>ZK488.5</v>
      </c>
      <c r="F1870" t="s">
        <v>11</v>
      </c>
      <c r="G1870" t="s">
        <v>1212</v>
      </c>
      <c r="H1870" s="12">
        <v>3.5227018545059199</v>
      </c>
      <c r="I1870" s="11">
        <v>0.36849691206929103</v>
      </c>
      <c r="J1870" s="10">
        <v>0.71250274722433404</v>
      </c>
      <c r="K1870" s="29">
        <v>0.98289565623980701</v>
      </c>
    </row>
    <row r="1871" spans="1:11" x14ac:dyDescent="0.35">
      <c r="A1871" s="9" t="str">
        <f>HYPERLINK("http://www.ensembl.org/id/WBGene00010173", "WBGene00010173")</f>
        <v>WBGene00010173</v>
      </c>
      <c r="B1871" s="9" t="str">
        <f>HYPERLINK("http://www.ncbi.nlm.nih.gov/gene/186423", "186423")</f>
        <v>186423</v>
      </c>
      <c r="C1871" s="9"/>
      <c r="D1871" t="str">
        <f>"F56H6.13"</f>
        <v>F56H6.13</v>
      </c>
      <c r="F1871" t="s">
        <v>11</v>
      </c>
      <c r="G1871" t="s">
        <v>3419</v>
      </c>
      <c r="H1871" s="12">
        <v>3.5208699879212801</v>
      </c>
      <c r="I1871" s="11">
        <v>1.2058488520746</v>
      </c>
      <c r="J1871" s="10">
        <v>0.227875775197797</v>
      </c>
      <c r="K1871" s="29">
        <v>0.98289565623980701</v>
      </c>
    </row>
    <row r="1872" spans="1:11" x14ac:dyDescent="0.35">
      <c r="A1872" s="9" t="str">
        <f>HYPERLINK("http://www.ensembl.org/id/WBGene00009683", "WBGene00009683")</f>
        <v>WBGene00009683</v>
      </c>
      <c r="B1872" s="9" t="str">
        <f>HYPERLINK("http://www.ncbi.nlm.nih.gov/gene/260110", "260110")</f>
        <v>260110</v>
      </c>
      <c r="C1872" s="9"/>
      <c r="D1872" t="str">
        <f>"F44D12.6"</f>
        <v>F44D12.6</v>
      </c>
      <c r="F1872" t="s">
        <v>11</v>
      </c>
      <c r="G1872" t="s">
        <v>25</v>
      </c>
      <c r="H1872" s="12">
        <v>3.5171844103791701</v>
      </c>
      <c r="I1872" s="11">
        <v>1.4056671327207599</v>
      </c>
      <c r="J1872" s="10">
        <v>0.159822991077607</v>
      </c>
      <c r="K1872" s="29">
        <v>0.87357885607232599</v>
      </c>
    </row>
    <row r="1873" spans="1:11" x14ac:dyDescent="0.35">
      <c r="A1873" s="9" t="str">
        <f>HYPERLINK("http://www.ensembl.org/id/WBGene00000637", "WBGene00000637")</f>
        <v>WBGene00000637</v>
      </c>
      <c r="B1873" s="9" t="str">
        <f>HYPERLINK("http://www.ncbi.nlm.nih.gov/gene/182090", "182090")</f>
        <v>182090</v>
      </c>
      <c r="C1873" s="9"/>
      <c r="D1873" t="str">
        <f>"col-61"</f>
        <v>col-61</v>
      </c>
      <c r="E1873" t="s">
        <v>40</v>
      </c>
      <c r="F1873" t="s">
        <v>11</v>
      </c>
      <c r="G1873" t="s">
        <v>41</v>
      </c>
      <c r="H1873" s="12">
        <v>3.5166728088562</v>
      </c>
      <c r="I1873" s="11">
        <v>2.1525448509665401</v>
      </c>
      <c r="J1873" s="10">
        <v>3.1354466766153603E-2</v>
      </c>
      <c r="K1873" s="29">
        <v>0.398721138744493</v>
      </c>
    </row>
    <row r="1874" spans="1:11" x14ac:dyDescent="0.35">
      <c r="A1874" s="9" t="str">
        <f>HYPERLINK("http://www.ensembl.org/id/WBGene00201065", "WBGene00201065")</f>
        <v>WBGene00201065</v>
      </c>
      <c r="B1874" s="9"/>
      <c r="C1874" s="9"/>
      <c r="D1874" t="str">
        <f>"C34D10.4"</f>
        <v>C34D10.4</v>
      </c>
      <c r="F1874" t="s">
        <v>481</v>
      </c>
      <c r="H1874" s="12">
        <v>3.5160093597612598</v>
      </c>
      <c r="I1874" s="11">
        <v>0.51737969103749204</v>
      </c>
      <c r="J1874" s="10">
        <v>0.60489113390952498</v>
      </c>
      <c r="K1874" s="29">
        <v>0.98289565623980701</v>
      </c>
    </row>
    <row r="1875" spans="1:11" x14ac:dyDescent="0.35">
      <c r="A1875" s="9" t="str">
        <f>HYPERLINK("http://www.ensembl.org/id/WBGene00010999", "WBGene00010999")</f>
        <v>WBGene00010999</v>
      </c>
      <c r="B1875" s="9" t="str">
        <f>HYPERLINK("http://www.ncbi.nlm.nih.gov/gene/187546", "187546")</f>
        <v>187546</v>
      </c>
      <c r="C1875" s="9"/>
      <c r="D1875" t="str">
        <f>"R03G8.4"</f>
        <v>R03G8.4</v>
      </c>
      <c r="E1875" t="s">
        <v>594</v>
      </c>
      <c r="F1875" t="s">
        <v>11</v>
      </c>
      <c r="G1875" t="s">
        <v>802</v>
      </c>
      <c r="H1875" s="12">
        <v>3.5141377771122602</v>
      </c>
      <c r="I1875" s="11">
        <v>2.84283642147376</v>
      </c>
      <c r="J1875" s="10">
        <v>4.4714013010601098E-3</v>
      </c>
      <c r="K1875" s="29">
        <v>0.1125474088084</v>
      </c>
    </row>
    <row r="1876" spans="1:11" x14ac:dyDescent="0.35">
      <c r="A1876" s="9" t="str">
        <f>HYPERLINK("http://www.ensembl.org/id/WBGene00044022", "WBGene00044022")</f>
        <v>WBGene00044022</v>
      </c>
      <c r="B1876" s="9"/>
      <c r="C1876" s="9"/>
      <c r="D1876" t="str">
        <f>"AC3.9"</f>
        <v>AC3.9</v>
      </c>
      <c r="F1876" t="s">
        <v>80</v>
      </c>
      <c r="H1876" s="12">
        <v>3.51244659860743</v>
      </c>
      <c r="I1876" s="11">
        <v>1.19424038176221</v>
      </c>
      <c r="J1876" s="10">
        <v>0.232383951067197</v>
      </c>
      <c r="K1876" s="29">
        <v>0.98289565623980701</v>
      </c>
    </row>
    <row r="1877" spans="1:11" x14ac:dyDescent="0.35">
      <c r="A1877" s="9" t="str">
        <f>HYPERLINK("http://www.ensembl.org/id/WBGene00003357", "WBGene00003357")</f>
        <v>WBGene00003357</v>
      </c>
      <c r="B1877" s="9"/>
      <c r="C1877" s="9"/>
      <c r="D1877" t="str">
        <f>"mir-264"</f>
        <v>mir-264</v>
      </c>
      <c r="F1877" t="s">
        <v>1486</v>
      </c>
      <c r="H1877" s="12">
        <v>3.5117698950263998</v>
      </c>
      <c r="I1877" s="11">
        <v>0.745357812600695</v>
      </c>
      <c r="J1877" s="10">
        <v>0.45605544023719202</v>
      </c>
      <c r="K1877" s="29">
        <v>0.98289565623980701</v>
      </c>
    </row>
    <row r="1878" spans="1:11" x14ac:dyDescent="0.35">
      <c r="A1878" s="9" t="str">
        <f>HYPERLINK("http://www.ensembl.org/id/WBGene00010937", "WBGene00010937")</f>
        <v>WBGene00010937</v>
      </c>
      <c r="B1878" s="9" t="str">
        <f>HYPERLINK("http://www.ncbi.nlm.nih.gov/gene/187493", "187493")</f>
        <v>187493</v>
      </c>
      <c r="C1878" s="9"/>
      <c r="D1878" t="str">
        <f>"M163.5"</f>
        <v>M163.5</v>
      </c>
      <c r="F1878" t="s">
        <v>11</v>
      </c>
      <c r="H1878" s="12">
        <v>3.5109083563192001</v>
      </c>
      <c r="I1878" s="11">
        <v>1.0977478401004299</v>
      </c>
      <c r="J1878" s="10">
        <v>0.27231461343494001</v>
      </c>
      <c r="K1878" s="29">
        <v>0.98289565623980701</v>
      </c>
    </row>
    <row r="1879" spans="1:11" x14ac:dyDescent="0.35">
      <c r="A1879" s="9" t="str">
        <f>HYPERLINK("http://www.ensembl.org/id/WBGene00007793", "WBGene00007793")</f>
        <v>WBGene00007793</v>
      </c>
      <c r="B1879" s="9" t="str">
        <f>HYPERLINK("http://www.ncbi.nlm.nih.gov/gene/177809", "177809")</f>
        <v>177809</v>
      </c>
      <c r="C1879" s="9"/>
      <c r="D1879" t="str">
        <f>"C28D4.5"</f>
        <v>C28D4.5</v>
      </c>
      <c r="F1879" t="s">
        <v>11</v>
      </c>
      <c r="H1879" s="12">
        <v>3.5087727532992798</v>
      </c>
      <c r="I1879" s="11">
        <v>0.93571792750517702</v>
      </c>
      <c r="J1879" s="10">
        <v>0.349418437765878</v>
      </c>
      <c r="K1879" s="29">
        <v>0.98289565623980701</v>
      </c>
    </row>
    <row r="1880" spans="1:11" x14ac:dyDescent="0.35">
      <c r="A1880" s="9" t="str">
        <f>HYPERLINK("http://www.ensembl.org/id/WBGene00009356", "WBGene00009356")</f>
        <v>WBGene00009356</v>
      </c>
      <c r="B1880" s="9" t="str">
        <f>HYPERLINK("http://www.ncbi.nlm.nih.gov/gene/3565256", "3565256")</f>
        <v>3565256</v>
      </c>
      <c r="C1880" s="9"/>
      <c r="D1880" t="str">
        <f>"F33A8.10"</f>
        <v>F33A8.10</v>
      </c>
      <c r="F1880" t="s">
        <v>11</v>
      </c>
      <c r="H1880" s="12">
        <v>3.5019353512510398</v>
      </c>
      <c r="I1880" s="11">
        <v>1.34374054237751</v>
      </c>
      <c r="J1880" s="10">
        <v>0.17903230223852601</v>
      </c>
      <c r="K1880" s="29">
        <v>0.91338493608376603</v>
      </c>
    </row>
    <row r="1881" spans="1:11" x14ac:dyDescent="0.35">
      <c r="A1881" s="9" t="str">
        <f>HYPERLINK("http://www.ensembl.org/id/WBGene00013087", "WBGene00013087")</f>
        <v>WBGene00013087</v>
      </c>
      <c r="B1881" s="9" t="str">
        <f>HYPERLINK("http://www.ncbi.nlm.nih.gov/gene/190138", "190138")</f>
        <v>190138</v>
      </c>
      <c r="C1881" s="9"/>
      <c r="D1881" t="str">
        <f>"Y51B9A.5"</f>
        <v>Y51B9A.5</v>
      </c>
      <c r="F1881" t="s">
        <v>11</v>
      </c>
      <c r="H1881" s="12">
        <v>3.4963701105454099</v>
      </c>
      <c r="I1881" s="11">
        <v>0.64862224661649504</v>
      </c>
      <c r="J1881" s="10">
        <v>0.51658257246549999</v>
      </c>
      <c r="K1881" s="29">
        <v>0.98289565623980701</v>
      </c>
    </row>
    <row r="1882" spans="1:11" x14ac:dyDescent="0.35">
      <c r="A1882" s="9" t="str">
        <f>HYPERLINK("http://www.ensembl.org/id/WBGene00077674", "WBGene00077674")</f>
        <v>WBGene00077674</v>
      </c>
      <c r="B1882" s="9" t="str">
        <f>HYPERLINK("http://www.ncbi.nlm.nih.gov/gene/6418841", "6418841")</f>
        <v>6418841</v>
      </c>
      <c r="C1882" s="9"/>
      <c r="D1882" t="str">
        <f>"K02A6.4"</f>
        <v>K02A6.4</v>
      </c>
      <c r="F1882" t="s">
        <v>11</v>
      </c>
      <c r="H1882" s="12">
        <v>3.4927813718711</v>
      </c>
      <c r="I1882" s="11">
        <v>1.4993495726252599</v>
      </c>
      <c r="J1882" s="10">
        <v>0.133782968321776</v>
      </c>
      <c r="K1882" s="29">
        <v>0.82103300558910197</v>
      </c>
    </row>
    <row r="1883" spans="1:11" x14ac:dyDescent="0.35">
      <c r="A1883" s="9" t="str">
        <f>HYPERLINK("http://www.ensembl.org/id/WBGene00173618", "WBGene00173618")</f>
        <v>WBGene00173618</v>
      </c>
      <c r="B1883" s="9"/>
      <c r="C1883" s="9"/>
      <c r="D1883" t="str">
        <f>"21ur-12994"</f>
        <v>21ur-12994</v>
      </c>
      <c r="F1883" t="s">
        <v>3161</v>
      </c>
      <c r="H1883" s="12">
        <v>3.4917188327556898</v>
      </c>
      <c r="I1883" s="11">
        <v>0.38080453806645798</v>
      </c>
      <c r="J1883" s="10">
        <v>0.703348291649464</v>
      </c>
      <c r="K1883" s="29">
        <v>0.98289565623980701</v>
      </c>
    </row>
    <row r="1884" spans="1:11" x14ac:dyDescent="0.35">
      <c r="A1884" s="9" t="str">
        <f>HYPERLINK("http://www.ensembl.org/id/WBGene00196138", "WBGene00196138")</f>
        <v>WBGene00196138</v>
      </c>
      <c r="B1884" s="9"/>
      <c r="C1884" s="9"/>
      <c r="D1884" t="str">
        <f>"C05B10.14"</f>
        <v>C05B10.14</v>
      </c>
      <c r="F1884" t="s">
        <v>481</v>
      </c>
      <c r="H1884" s="12">
        <v>3.4917188327556898</v>
      </c>
      <c r="I1884" s="11">
        <v>0.38080453806645798</v>
      </c>
      <c r="J1884" s="10">
        <v>0.703348291649464</v>
      </c>
      <c r="K1884" s="29">
        <v>0.98289565623980701</v>
      </c>
    </row>
    <row r="1885" spans="1:11" x14ac:dyDescent="0.35">
      <c r="A1885" s="9" t="str">
        <f>HYPERLINK("http://www.ensembl.org/id/WBGene00017579", "WBGene00017579")</f>
        <v>WBGene00017579</v>
      </c>
      <c r="B1885" s="9" t="str">
        <f>HYPERLINK("http://www.ncbi.nlm.nih.gov/gene/184654", "184654")</f>
        <v>184654</v>
      </c>
      <c r="C1885" s="9"/>
      <c r="D1885" t="str">
        <f>"F18G5.1"</f>
        <v>F18G5.1</v>
      </c>
      <c r="F1885" t="s">
        <v>11</v>
      </c>
      <c r="H1885" s="12">
        <v>3.4917188327556898</v>
      </c>
      <c r="I1885" s="11">
        <v>0.38080453806645798</v>
      </c>
      <c r="J1885" s="10">
        <v>0.703348291649464</v>
      </c>
      <c r="K1885" s="29">
        <v>0.98289565623980701</v>
      </c>
    </row>
    <row r="1886" spans="1:11" x14ac:dyDescent="0.35">
      <c r="A1886" s="9" t="str">
        <f>HYPERLINK("http://www.ensembl.org/id/WBGene00008946", "WBGene00008946")</f>
        <v>WBGene00008946</v>
      </c>
      <c r="B1886" s="9" t="str">
        <f>HYPERLINK("http://www.ncbi.nlm.nih.gov/gene/184665", "184665")</f>
        <v>184665</v>
      </c>
      <c r="C1886" s="9"/>
      <c r="D1886" t="str">
        <f>"F19B2.7"</f>
        <v>F19B2.7</v>
      </c>
      <c r="F1886" t="s">
        <v>11</v>
      </c>
      <c r="G1886" t="s">
        <v>4289</v>
      </c>
      <c r="H1886" s="12">
        <v>3.4917188327556898</v>
      </c>
      <c r="I1886" s="11">
        <v>0.38080453806645798</v>
      </c>
      <c r="J1886" s="10">
        <v>0.703348291649464</v>
      </c>
      <c r="K1886" s="29">
        <v>0.98289565623980701</v>
      </c>
    </row>
    <row r="1887" spans="1:11" x14ac:dyDescent="0.35">
      <c r="A1887" s="9" t="str">
        <f>HYPERLINK("http://www.ensembl.org/id/WBGene00009281", "WBGene00009281")</f>
        <v>WBGene00009281</v>
      </c>
      <c r="B1887" s="9" t="str">
        <f>HYPERLINK("http://www.ncbi.nlm.nih.gov/gene/3565643", "3565643")</f>
        <v>3565643</v>
      </c>
      <c r="C1887" s="9"/>
      <c r="D1887" t="str">
        <f>"F31B9.4"</f>
        <v>F31B9.4</v>
      </c>
      <c r="F1887" t="s">
        <v>11</v>
      </c>
      <c r="H1887" s="12">
        <v>3.4917188327556898</v>
      </c>
      <c r="I1887" s="11">
        <v>0.38080453806645798</v>
      </c>
      <c r="J1887" s="10">
        <v>0.703348291649464</v>
      </c>
      <c r="K1887" s="29">
        <v>0.98289565623980701</v>
      </c>
    </row>
    <row r="1888" spans="1:11" x14ac:dyDescent="0.35">
      <c r="A1888" s="9" t="str">
        <f>HYPERLINK("http://www.ensembl.org/id/WBGene00219242", "WBGene00219242")</f>
        <v>WBGene00219242</v>
      </c>
      <c r="B1888" s="9"/>
      <c r="C1888" s="9"/>
      <c r="D1888" t="str">
        <f>"F56A12.10"</f>
        <v>F56A12.10</v>
      </c>
      <c r="F1888" t="s">
        <v>481</v>
      </c>
      <c r="H1888" s="12">
        <v>3.4917188327556898</v>
      </c>
      <c r="I1888" s="11">
        <v>0.38080453806645798</v>
      </c>
      <c r="J1888" s="10">
        <v>0.703348291649464</v>
      </c>
      <c r="K1888" s="29">
        <v>0.98289565623980701</v>
      </c>
    </row>
    <row r="1889" spans="1:11" x14ac:dyDescent="0.35">
      <c r="A1889" s="9" t="str">
        <f>HYPERLINK("http://www.ensembl.org/id/WBGene00018168", "WBGene00018168")</f>
        <v>WBGene00018168</v>
      </c>
      <c r="B1889" s="9" t="str">
        <f>HYPERLINK("http://www.ncbi.nlm.nih.gov/gene/185447", "185447")</f>
        <v>185447</v>
      </c>
      <c r="C1889" s="9"/>
      <c r="D1889" t="str">
        <f>"irld-7"</f>
        <v>irld-7</v>
      </c>
      <c r="E1889" t="s">
        <v>1627</v>
      </c>
      <c r="F1889" t="s">
        <v>11</v>
      </c>
      <c r="G1889" t="s">
        <v>25</v>
      </c>
      <c r="H1889" s="12">
        <v>3.4917188327556898</v>
      </c>
      <c r="I1889" s="11">
        <v>0.38080453806645798</v>
      </c>
      <c r="J1889" s="10">
        <v>0.703348291649464</v>
      </c>
      <c r="K1889" s="29">
        <v>0.98289565623980701</v>
      </c>
    </row>
    <row r="1890" spans="1:11" x14ac:dyDescent="0.35">
      <c r="A1890" s="9" t="str">
        <f>HYPERLINK("http://www.ensembl.org/id/WBGene00202394", "WBGene00202394")</f>
        <v>WBGene00202394</v>
      </c>
      <c r="B1890" s="9"/>
      <c r="C1890" s="9"/>
      <c r="D1890" t="str">
        <f>"T10B9.13"</f>
        <v>T10B9.13</v>
      </c>
      <c r="F1890" t="s">
        <v>481</v>
      </c>
      <c r="H1890" s="12">
        <v>3.4917188327556898</v>
      </c>
      <c r="I1890" s="11">
        <v>0.38080453806645798</v>
      </c>
      <c r="J1890" s="10">
        <v>0.703348291649464</v>
      </c>
      <c r="K1890" s="29">
        <v>0.98289565623980701</v>
      </c>
    </row>
    <row r="1891" spans="1:11" x14ac:dyDescent="0.35">
      <c r="A1891" s="9" t="str">
        <f>HYPERLINK("http://www.ensembl.org/id/WBGene00044499", "WBGene00044499")</f>
        <v>WBGene00044499</v>
      </c>
      <c r="B1891" s="9" t="str">
        <f>HYPERLINK("http://www.ncbi.nlm.nih.gov/gene/3896788", "3896788")</f>
        <v>3896788</v>
      </c>
      <c r="C1891" s="9"/>
      <c r="D1891" t="str">
        <f>"T11F8.5"</f>
        <v>T11F8.5</v>
      </c>
      <c r="F1891" t="s">
        <v>11</v>
      </c>
      <c r="G1891" t="s">
        <v>25</v>
      </c>
      <c r="H1891" s="12">
        <v>3.4917188327556898</v>
      </c>
      <c r="I1891" s="11">
        <v>0.38080453806645798</v>
      </c>
      <c r="J1891" s="10">
        <v>0.703348291649464</v>
      </c>
      <c r="K1891" s="29">
        <v>0.98289565623980701</v>
      </c>
    </row>
    <row r="1892" spans="1:11" x14ac:dyDescent="0.35">
      <c r="A1892" s="9" t="str">
        <f>HYPERLINK("http://www.ensembl.org/id/WBGene00012570", "WBGene00012570")</f>
        <v>WBGene00012570</v>
      </c>
      <c r="B1892" s="9" t="str">
        <f>HYPERLINK("http://www.ncbi.nlm.nih.gov/gene/189633", "189633")</f>
        <v>189633</v>
      </c>
      <c r="C1892" s="9"/>
      <c r="D1892" t="str">
        <f>"Y37H2A.10"</f>
        <v>Y37H2A.10</v>
      </c>
      <c r="F1892" t="s">
        <v>11</v>
      </c>
      <c r="G1892" t="s">
        <v>25</v>
      </c>
      <c r="H1892" s="12">
        <v>3.4917188327556898</v>
      </c>
      <c r="I1892" s="11">
        <v>0.38080453806645798</v>
      </c>
      <c r="J1892" s="10">
        <v>0.703348291649464</v>
      </c>
      <c r="K1892" s="29">
        <v>0.98289565623980701</v>
      </c>
    </row>
    <row r="1893" spans="1:11" x14ac:dyDescent="0.35">
      <c r="A1893" s="9" t="str">
        <f>HYPERLINK("http://www.ensembl.org/id/WBGene00003841", "WBGene00003841")</f>
        <v>WBGene00003841</v>
      </c>
      <c r="B1893" s="9" t="str">
        <f>HYPERLINK("http://www.ncbi.nlm.nih.gov/gene/177506", "177506")</f>
        <v>177506</v>
      </c>
      <c r="C1893" s="9"/>
      <c r="D1893" t="str">
        <f>"ocr-4"</f>
        <v>ocr-4</v>
      </c>
      <c r="E1893" t="s">
        <v>1244</v>
      </c>
      <c r="F1893" t="s">
        <v>11</v>
      </c>
      <c r="G1893" t="s">
        <v>3593</v>
      </c>
      <c r="H1893" s="12">
        <v>3.4897025572290401</v>
      </c>
      <c r="I1893" s="11">
        <v>1.0557753230315901</v>
      </c>
      <c r="J1893" s="10">
        <v>0.291070874902435</v>
      </c>
      <c r="K1893" s="29">
        <v>0.98289565623980701</v>
      </c>
    </row>
    <row r="1894" spans="1:11" x14ac:dyDescent="0.35">
      <c r="A1894" s="9" t="str">
        <f>HYPERLINK("http://www.ensembl.org/id/WBGene00013299", "WBGene00013299")</f>
        <v>WBGene00013299</v>
      </c>
      <c r="B1894" s="9" t="str">
        <f>HYPERLINK("http://www.ncbi.nlm.nih.gov/gene/3564946", "3564946")</f>
        <v>3564946</v>
      </c>
      <c r="C1894" s="9"/>
      <c r="D1894" t="str">
        <f>"irld-18"</f>
        <v>irld-18</v>
      </c>
      <c r="E1894" t="s">
        <v>1627</v>
      </c>
      <c r="F1894" t="s">
        <v>11</v>
      </c>
      <c r="G1894" t="s">
        <v>25</v>
      </c>
      <c r="H1894" s="12">
        <v>3.4869431129865101</v>
      </c>
      <c r="I1894" s="11">
        <v>0.61549021051141695</v>
      </c>
      <c r="J1894" s="10">
        <v>0.538231032362115</v>
      </c>
      <c r="K1894" s="29">
        <v>0.98289565623980701</v>
      </c>
    </row>
    <row r="1895" spans="1:11" x14ac:dyDescent="0.35">
      <c r="A1895" s="9" t="str">
        <f>HYPERLINK("http://www.ensembl.org/id/WBGene00019885", "WBGene00019885")</f>
        <v>WBGene00019885</v>
      </c>
      <c r="B1895" s="9" t="str">
        <f>HYPERLINK("http://www.ncbi.nlm.nih.gov/gene/187608", "187608")</f>
        <v>187608</v>
      </c>
      <c r="C1895" s="9"/>
      <c r="D1895" t="str">
        <f>"R05D8.7"</f>
        <v>R05D8.7</v>
      </c>
      <c r="F1895" t="s">
        <v>11</v>
      </c>
      <c r="G1895" t="s">
        <v>592</v>
      </c>
      <c r="H1895" s="12">
        <v>3.4814544758644601</v>
      </c>
      <c r="I1895" s="11">
        <v>3.1346117014962198</v>
      </c>
      <c r="J1895" s="10">
        <v>1.7208172514391799E-3</v>
      </c>
      <c r="K1895" s="29">
        <v>5.8905486535931299E-2</v>
      </c>
    </row>
    <row r="1896" spans="1:11" x14ac:dyDescent="0.35">
      <c r="A1896" s="9" t="str">
        <f>HYPERLINK("http://www.ensembl.org/id/WBGene00000389", "WBGene00000389")</f>
        <v>WBGene00000389</v>
      </c>
      <c r="B1896" s="9" t="str">
        <f>HYPERLINK("http://www.ncbi.nlm.nih.gov/gene/191612", "191612")</f>
        <v>191612</v>
      </c>
      <c r="C1896" s="9"/>
      <c r="D1896" t="str">
        <f>"cdc-25.4"</f>
        <v>cdc-25.4</v>
      </c>
      <c r="E1896" t="s">
        <v>960</v>
      </c>
      <c r="F1896" t="s">
        <v>11</v>
      </c>
      <c r="G1896" t="s">
        <v>4310</v>
      </c>
      <c r="H1896" s="12">
        <v>3.4762328012032402</v>
      </c>
      <c r="I1896" s="11">
        <v>0.65543425799545096</v>
      </c>
      <c r="J1896" s="10">
        <v>0.51218820083057803</v>
      </c>
      <c r="K1896" s="29">
        <v>0.98289565623980701</v>
      </c>
    </row>
    <row r="1897" spans="1:11" x14ac:dyDescent="0.35">
      <c r="A1897" s="9" t="str">
        <f>HYPERLINK("http://www.ensembl.org/id/WBGene00021257", "WBGene00021257")</f>
        <v>WBGene00021257</v>
      </c>
      <c r="B1897" s="9" t="str">
        <f>HYPERLINK("http://www.ncbi.nlm.nih.gov/gene/189511", "189511")</f>
        <v>189511</v>
      </c>
      <c r="C1897" s="9"/>
      <c r="D1897" t="str">
        <f>"Y22D7AR.3"</f>
        <v>Y22D7AR.3</v>
      </c>
      <c r="F1897" t="s">
        <v>11</v>
      </c>
      <c r="H1897" s="12">
        <v>3.4762328012032402</v>
      </c>
      <c r="I1897" s="11">
        <v>0.65543425799545096</v>
      </c>
      <c r="J1897" s="10">
        <v>0.51218820083057803</v>
      </c>
      <c r="K1897" s="29">
        <v>0.98289565623980701</v>
      </c>
    </row>
    <row r="1898" spans="1:11" x14ac:dyDescent="0.35">
      <c r="A1898" s="9" t="str">
        <f>HYPERLINK("http://www.ensembl.org/id/WBGene00019930", "WBGene00019930")</f>
        <v>WBGene00019930</v>
      </c>
      <c r="B1898" s="9"/>
      <c r="C1898" s="9"/>
      <c r="D1898" t="str">
        <f>"fbxc-35"</f>
        <v>fbxc-35</v>
      </c>
      <c r="F1898" t="s">
        <v>80</v>
      </c>
      <c r="H1898" s="12">
        <v>3.4719168774950702</v>
      </c>
      <c r="I1898" s="11">
        <v>0.90869707151161005</v>
      </c>
      <c r="J1898" s="10">
        <v>0.36351005042922502</v>
      </c>
      <c r="K1898" s="29">
        <v>0.98289565623980701</v>
      </c>
    </row>
    <row r="1899" spans="1:11" x14ac:dyDescent="0.35">
      <c r="A1899" s="9" t="str">
        <f>HYPERLINK("http://www.ensembl.org/id/WBGene00206378", "WBGene00206378")</f>
        <v>WBGene00206378</v>
      </c>
      <c r="B1899" s="9" t="str">
        <f>HYPERLINK("http://www.ncbi.nlm.nih.gov/gene/13219370", "13219370")</f>
        <v>13219370</v>
      </c>
      <c r="C1899" s="9"/>
      <c r="D1899" t="str">
        <f>"C14E2.11"</f>
        <v>C14E2.11</v>
      </c>
      <c r="F1899" t="s">
        <v>11</v>
      </c>
      <c r="G1899" t="s">
        <v>54</v>
      </c>
      <c r="H1899" s="12">
        <v>3.4694803413609701</v>
      </c>
      <c r="I1899" s="11">
        <v>1.30992645413384</v>
      </c>
      <c r="J1899" s="10">
        <v>0.19022071687910999</v>
      </c>
      <c r="K1899" s="29">
        <v>0.92834517192120303</v>
      </c>
    </row>
    <row r="1900" spans="1:11" x14ac:dyDescent="0.35">
      <c r="A1900" s="9" t="str">
        <f>HYPERLINK("http://www.ensembl.org/id/WBGene00018965", "WBGene00018965")</f>
        <v>WBGene00018965</v>
      </c>
      <c r="B1900" s="9" t="str">
        <f>HYPERLINK("http://www.ncbi.nlm.nih.gov/gene/175769", "175769")</f>
        <v>175769</v>
      </c>
      <c r="C1900" s="9"/>
      <c r="D1900" t="str">
        <f>"F56D2.3"</f>
        <v>F56D2.3</v>
      </c>
      <c r="F1900" t="s">
        <v>11</v>
      </c>
      <c r="H1900" s="12">
        <v>3.46923255443672</v>
      </c>
      <c r="I1900" s="11">
        <v>3.2171602651945399</v>
      </c>
      <c r="J1900" s="10">
        <v>1.29466256631018E-3</v>
      </c>
      <c r="K1900" s="29">
        <v>4.7484337275039798E-2</v>
      </c>
    </row>
    <row r="1901" spans="1:11" x14ac:dyDescent="0.35">
      <c r="A1901" s="9" t="str">
        <f>HYPERLINK("http://www.ensembl.org/id/WBGene00007426", "WBGene00007426")</f>
        <v>WBGene00007426</v>
      </c>
      <c r="B1901" s="9" t="str">
        <f>HYPERLINK("http://www.ncbi.nlm.nih.gov/gene/182390", "182390")</f>
        <v>182390</v>
      </c>
      <c r="C1901" s="9"/>
      <c r="D1901" t="str">
        <f>"C08B6.5"</f>
        <v>C08B6.5</v>
      </c>
      <c r="F1901" t="s">
        <v>11</v>
      </c>
      <c r="G1901" t="s">
        <v>25</v>
      </c>
      <c r="H1901" s="12">
        <v>3.4678333039928702</v>
      </c>
      <c r="I1901" s="11">
        <v>1.1416700339030901</v>
      </c>
      <c r="J1901" s="10">
        <v>0.25359120119455802</v>
      </c>
      <c r="K1901" s="29">
        <v>0.98289565623980701</v>
      </c>
    </row>
    <row r="1902" spans="1:11" x14ac:dyDescent="0.35">
      <c r="A1902" s="9" t="str">
        <f>HYPERLINK("http://www.ensembl.org/id/WBGene00005296", "WBGene00005296")</f>
        <v>WBGene00005296</v>
      </c>
      <c r="B1902" s="9" t="str">
        <f>HYPERLINK("http://www.ncbi.nlm.nih.gov/gene/188057", "188057")</f>
        <v>188057</v>
      </c>
      <c r="C1902" s="9"/>
      <c r="D1902" t="str">
        <f>"srh-75"</f>
        <v>srh-75</v>
      </c>
      <c r="E1902" t="s">
        <v>153</v>
      </c>
      <c r="F1902" t="s">
        <v>11</v>
      </c>
      <c r="G1902" t="s">
        <v>25</v>
      </c>
      <c r="H1902" s="12">
        <v>3.4659922120786799</v>
      </c>
      <c r="I1902" s="11">
        <v>1.3160004347727099</v>
      </c>
      <c r="J1902" s="10">
        <v>0.18817389674260099</v>
      </c>
      <c r="K1902" s="29">
        <v>0.92647476201460299</v>
      </c>
    </row>
    <row r="1903" spans="1:11" x14ac:dyDescent="0.35">
      <c r="A1903" s="9" t="str">
        <f>HYPERLINK("http://www.ensembl.org/id/WBGene00005727", "WBGene00005727")</f>
        <v>WBGene00005727</v>
      </c>
      <c r="B1903" s="9" t="str">
        <f>HYPERLINK("http://www.ncbi.nlm.nih.gov/gene/190892", "190892")</f>
        <v>190892</v>
      </c>
      <c r="C1903" s="9"/>
      <c r="D1903" t="str">
        <f>"srv-16"</f>
        <v>srv-16</v>
      </c>
      <c r="E1903" t="s">
        <v>2916</v>
      </c>
      <c r="F1903" t="s">
        <v>11</v>
      </c>
      <c r="G1903" t="s">
        <v>25</v>
      </c>
      <c r="H1903" s="12">
        <v>3.4633712564291401</v>
      </c>
      <c r="I1903" s="11">
        <v>0.60188217395203003</v>
      </c>
      <c r="J1903" s="10">
        <v>0.54725257092276003</v>
      </c>
      <c r="K1903" s="29">
        <v>0.98289565623980701</v>
      </c>
    </row>
    <row r="1904" spans="1:11" x14ac:dyDescent="0.35">
      <c r="A1904" s="9" t="str">
        <f>HYPERLINK("http://www.ensembl.org/id/WBGene00006027", "WBGene00006027")</f>
        <v>WBGene00006027</v>
      </c>
      <c r="B1904" s="9" t="str">
        <f>HYPERLINK("http://www.ncbi.nlm.nih.gov/gene/184257", "184257")</f>
        <v>184257</v>
      </c>
      <c r="C1904" s="9"/>
      <c r="D1904" t="str">
        <f>"srx-136"</f>
        <v>srx-136</v>
      </c>
      <c r="E1904" t="s">
        <v>1477</v>
      </c>
      <c r="F1904" t="s">
        <v>11</v>
      </c>
      <c r="G1904" t="s">
        <v>25</v>
      </c>
      <c r="H1904" s="12">
        <v>3.46281582602988</v>
      </c>
      <c r="I1904" s="11">
        <v>0.64075587206993501</v>
      </c>
      <c r="J1904" s="10">
        <v>0.52168130730253903</v>
      </c>
      <c r="K1904" s="29">
        <v>0.98289565623980701</v>
      </c>
    </row>
    <row r="1905" spans="1:11" x14ac:dyDescent="0.35">
      <c r="A1905" s="9" t="str">
        <f>HYPERLINK("http://www.ensembl.org/id/WBGene00044132", "WBGene00044132")</f>
        <v>WBGene00044132</v>
      </c>
      <c r="B1905" s="9" t="str">
        <f>HYPERLINK("http://www.ncbi.nlm.nih.gov/gene/3565519", "3565519")</f>
        <v>3565519</v>
      </c>
      <c r="C1905" s="9"/>
      <c r="D1905" t="str">
        <f>"C23H4.8"</f>
        <v>C23H4.8</v>
      </c>
      <c r="F1905" t="s">
        <v>11</v>
      </c>
      <c r="H1905" s="12">
        <v>3.4606658103934298</v>
      </c>
      <c r="I1905" s="11">
        <v>3.8785687908226198</v>
      </c>
      <c r="J1905" s="10">
        <v>1.05072815651545E-4</v>
      </c>
      <c r="K1905" s="29">
        <v>6.8971945410357697E-3</v>
      </c>
    </row>
    <row r="1906" spans="1:11" x14ac:dyDescent="0.35">
      <c r="A1906" s="9" t="str">
        <f>HYPERLINK("http://www.ensembl.org/id/WBGene00017225", "WBGene00017225")</f>
        <v>WBGene00017225</v>
      </c>
      <c r="B1906" s="9" t="str">
        <f>HYPERLINK("http://www.ncbi.nlm.nih.gov/gene/184153", "184153")</f>
        <v>184153</v>
      </c>
      <c r="C1906" s="9"/>
      <c r="D1906" t="str">
        <f>"fbxa-52"</f>
        <v>fbxa-52</v>
      </c>
      <c r="E1906" t="s">
        <v>467</v>
      </c>
      <c r="F1906" t="s">
        <v>11</v>
      </c>
      <c r="H1906" s="12">
        <v>3.4594603540848401</v>
      </c>
      <c r="I1906" s="11">
        <v>0.96585168186239401</v>
      </c>
      <c r="J1906" s="10">
        <v>0.33411840312617203</v>
      </c>
      <c r="K1906" s="29">
        <v>0.98289565623980701</v>
      </c>
    </row>
    <row r="1907" spans="1:11" x14ac:dyDescent="0.35">
      <c r="A1907" s="9" t="str">
        <f>HYPERLINK("http://www.ensembl.org/id/WBGene00020202", "WBGene00020202")</f>
        <v>WBGene00020202</v>
      </c>
      <c r="B1907" s="9" t="str">
        <f>HYPERLINK("http://www.ncbi.nlm.nih.gov/gene/188037", "188037")</f>
        <v>188037</v>
      </c>
      <c r="C1907" s="9"/>
      <c r="D1907" t="str">
        <f>"T04A6.3"</f>
        <v>T04A6.3</v>
      </c>
      <c r="F1907" t="s">
        <v>11</v>
      </c>
      <c r="H1907" s="12">
        <v>3.45689525670825</v>
      </c>
      <c r="I1907" s="11">
        <v>1.54848894503846</v>
      </c>
      <c r="J1907" s="10">
        <v>0.12150462131275799</v>
      </c>
      <c r="K1907" s="29">
        <v>0.79217996051145101</v>
      </c>
    </row>
    <row r="1908" spans="1:11" x14ac:dyDescent="0.35">
      <c r="A1908" s="9" t="str">
        <f>HYPERLINK("http://www.ensembl.org/id/WBGene00010144", "WBGene00010144")</f>
        <v>WBGene00010144</v>
      </c>
      <c r="B1908" s="9" t="str">
        <f>HYPERLINK("http://www.ncbi.nlm.nih.gov/gene/186369", "186369")</f>
        <v>186369</v>
      </c>
      <c r="C1908" s="9"/>
      <c r="D1908" t="str">
        <f>"F56C4.1"</f>
        <v>F56C4.1</v>
      </c>
      <c r="F1908" t="s">
        <v>11</v>
      </c>
      <c r="H1908" s="12">
        <v>3.4509591079492501</v>
      </c>
      <c r="I1908" s="11">
        <v>1.67195691939429</v>
      </c>
      <c r="J1908" s="10">
        <v>9.4532817479372797E-2</v>
      </c>
      <c r="K1908" s="29">
        <v>0.71033342461085802</v>
      </c>
    </row>
    <row r="1909" spans="1:11" x14ac:dyDescent="0.35">
      <c r="A1909" s="9" t="str">
        <f>HYPERLINK("http://www.ensembl.org/id/WBGene00010153", "WBGene00010153")</f>
        <v>WBGene00010153</v>
      </c>
      <c r="B1909" s="9" t="str">
        <f>HYPERLINK("http://www.ncbi.nlm.nih.gov/gene/186387", "186387")</f>
        <v>186387</v>
      </c>
      <c r="C1909" s="9"/>
      <c r="D1909" t="str">
        <f>"srxa-2"</f>
        <v>srxa-2</v>
      </c>
      <c r="E1909" t="s">
        <v>3765</v>
      </c>
      <c r="F1909" t="s">
        <v>11</v>
      </c>
      <c r="G1909" t="s">
        <v>25</v>
      </c>
      <c r="H1909" s="12">
        <v>3.4454763165229001</v>
      </c>
      <c r="I1909" s="11">
        <v>0.50664382822350396</v>
      </c>
      <c r="J1909" s="10">
        <v>0.61240475023770402</v>
      </c>
      <c r="K1909" s="29">
        <v>0.98289565623980701</v>
      </c>
    </row>
    <row r="1910" spans="1:11" x14ac:dyDescent="0.35">
      <c r="A1910" s="9" t="str">
        <f>HYPERLINK("http://www.ensembl.org/id/WBGene00200874", "WBGene00200874")</f>
        <v>WBGene00200874</v>
      </c>
      <c r="B1910" s="9"/>
      <c r="C1910" s="9"/>
      <c r="D1910" t="str">
        <f>"C04A2.11"</f>
        <v>C04A2.11</v>
      </c>
      <c r="F1910" t="s">
        <v>481</v>
      </c>
      <c r="H1910" s="12">
        <v>3.44260020334929</v>
      </c>
      <c r="I1910" s="11">
        <v>0.59384384205469698</v>
      </c>
      <c r="J1910" s="10">
        <v>0.55261656260869096</v>
      </c>
      <c r="K1910" s="29">
        <v>0.98289565623980701</v>
      </c>
    </row>
    <row r="1911" spans="1:11" x14ac:dyDescent="0.35">
      <c r="A1911" s="9" t="str">
        <f>HYPERLINK("http://www.ensembl.org/id/WBGene00021624", "WBGene00021624")</f>
        <v>WBGene00021624</v>
      </c>
      <c r="B1911" s="9" t="str">
        <f>HYPERLINK("http://www.ncbi.nlm.nih.gov/gene/189988", "189988")</f>
        <v>189988</v>
      </c>
      <c r="C1911" s="9"/>
      <c r="D1911" t="str">
        <f>"Y47D7A.12"</f>
        <v>Y47D7A.12</v>
      </c>
      <c r="F1911" t="s">
        <v>11</v>
      </c>
      <c r="H1911" s="12">
        <v>3.4410276215734599</v>
      </c>
      <c r="I1911" s="11">
        <v>3.8004781177098699</v>
      </c>
      <c r="J1911" s="10">
        <v>1.4441717132083801E-4</v>
      </c>
      <c r="K1911" s="29">
        <v>8.7582760119141092E-3</v>
      </c>
    </row>
    <row r="1912" spans="1:11" x14ac:dyDescent="0.35">
      <c r="A1912" s="9" t="str">
        <f>HYPERLINK("http://www.ensembl.org/id/WBGene00013264", "WBGene00013264")</f>
        <v>WBGene00013264</v>
      </c>
      <c r="B1912" s="9" t="str">
        <f>HYPERLINK("http://www.ncbi.nlm.nih.gov/gene/174864", "174864")</f>
        <v>174864</v>
      </c>
      <c r="C1912" s="9"/>
      <c r="D1912" t="str">
        <f>"Y57A10A.24"</f>
        <v>Y57A10A.24</v>
      </c>
      <c r="F1912" t="s">
        <v>11</v>
      </c>
      <c r="H1912" s="12">
        <v>3.4408248314743202</v>
      </c>
      <c r="I1912" s="11">
        <v>1.38326589733474</v>
      </c>
      <c r="J1912" s="10">
        <v>0.16658335060759699</v>
      </c>
      <c r="K1912" s="29">
        <v>0.88586303777655495</v>
      </c>
    </row>
    <row r="1913" spans="1:11" x14ac:dyDescent="0.35">
      <c r="A1913" s="9" t="str">
        <f>HYPERLINK("http://www.ensembl.org/id/WBGene00012218", "WBGene00012218")</f>
        <v>WBGene00012218</v>
      </c>
      <c r="B1913" s="9"/>
      <c r="C1913" s="9"/>
      <c r="D1913" t="str">
        <f>"W02H3.2"</f>
        <v>W02H3.2</v>
      </c>
      <c r="F1913" t="s">
        <v>80</v>
      </c>
      <c r="H1913" s="12">
        <v>3.43969707932761</v>
      </c>
      <c r="I1913" s="11">
        <v>0.70015205141696202</v>
      </c>
      <c r="J1913" s="10">
        <v>0.48383235219373</v>
      </c>
      <c r="K1913" s="29">
        <v>0.98289565623980701</v>
      </c>
    </row>
    <row r="1914" spans="1:11" x14ac:dyDescent="0.35">
      <c r="A1914" s="9" t="str">
        <f>HYPERLINK("http://www.ensembl.org/id/WBGene00271786", "WBGene00271786")</f>
        <v>WBGene00271786</v>
      </c>
      <c r="B1914" s="9"/>
      <c r="C1914" s="9"/>
      <c r="D1914" t="str">
        <f>"F58H7.11"</f>
        <v>F58H7.11</v>
      </c>
      <c r="F1914" t="s">
        <v>80</v>
      </c>
      <c r="H1914" s="12">
        <v>3.43962969396383</v>
      </c>
      <c r="I1914" s="11">
        <v>0.94898283320129295</v>
      </c>
      <c r="J1914" s="10">
        <v>0.34262934319638599</v>
      </c>
      <c r="K1914" s="29">
        <v>0.98289565623980701</v>
      </c>
    </row>
    <row r="1915" spans="1:11" x14ac:dyDescent="0.35">
      <c r="A1915" s="9" t="str">
        <f>HYPERLINK("http://www.ensembl.org/id/WBGene00018283", "WBGene00018283")</f>
        <v>WBGene00018283</v>
      </c>
      <c r="B1915" s="9" t="str">
        <f>HYPERLINK("http://www.ncbi.nlm.nih.gov/gene/181094", "181094")</f>
        <v>181094</v>
      </c>
      <c r="C1915" s="9" t="str">
        <f>HYPERLINK("http://www.ncbi.nlm.nih.gov/gene/375611", "375611")</f>
        <v>375611</v>
      </c>
      <c r="D1915" t="str">
        <f>"sulp-3"</f>
        <v>sulp-3</v>
      </c>
      <c r="E1915" t="s">
        <v>1404</v>
      </c>
      <c r="F1915" t="s">
        <v>11</v>
      </c>
      <c r="G1915" t="s">
        <v>649</v>
      </c>
      <c r="H1915" s="12">
        <v>3.4392108933990202</v>
      </c>
      <c r="I1915" s="11">
        <v>2.2259872483841399</v>
      </c>
      <c r="J1915" s="10">
        <v>2.60150355604148E-2</v>
      </c>
      <c r="K1915" s="29">
        <v>0.35700422855710601</v>
      </c>
    </row>
    <row r="1916" spans="1:11" x14ac:dyDescent="0.35">
      <c r="A1916" s="9" t="str">
        <f>HYPERLINK("http://www.ensembl.org/id/WBGene00219236", "WBGene00219236")</f>
        <v>WBGene00219236</v>
      </c>
      <c r="B1916" s="9" t="str">
        <f>HYPERLINK("http://www.ncbi.nlm.nih.gov/gene/13212643", "13212643")</f>
        <v>13212643</v>
      </c>
      <c r="C1916" s="9"/>
      <c r="D1916" t="str">
        <f>"K03B4.9"</f>
        <v>K03B4.9</v>
      </c>
      <c r="F1916" t="s">
        <v>11</v>
      </c>
      <c r="H1916" s="12">
        <v>3.4378055400726102</v>
      </c>
      <c r="I1916" s="11">
        <v>2.38530351043606</v>
      </c>
      <c r="J1916" s="10">
        <v>1.7065035792602001E-2</v>
      </c>
      <c r="K1916" s="29">
        <v>0.27353057165286498</v>
      </c>
    </row>
    <row r="1917" spans="1:11" x14ac:dyDescent="0.35">
      <c r="A1917" s="9" t="str">
        <f>HYPERLINK("http://www.ensembl.org/id/WBGene00003535", "WBGene00003535")</f>
        <v>WBGene00003535</v>
      </c>
      <c r="B1917" s="9" t="str">
        <f>HYPERLINK("http://www.ncbi.nlm.nih.gov/gene/186922", "186922")</f>
        <v>186922</v>
      </c>
      <c r="C1917" s="9"/>
      <c r="D1917" t="str">
        <f>"nas-16"</f>
        <v>nas-16</v>
      </c>
      <c r="E1917" t="s">
        <v>3082</v>
      </c>
      <c r="F1917" t="s">
        <v>11</v>
      </c>
      <c r="G1917" t="s">
        <v>267</v>
      </c>
      <c r="H1917" s="12">
        <v>3.4352480907823</v>
      </c>
      <c r="I1917" s="11">
        <v>1.4829173945032701</v>
      </c>
      <c r="J1917" s="10">
        <v>0.13809635933252701</v>
      </c>
      <c r="K1917" s="29">
        <v>0.82965535068574103</v>
      </c>
    </row>
    <row r="1918" spans="1:11" x14ac:dyDescent="0.35">
      <c r="A1918" s="9" t="str">
        <f>HYPERLINK("http://www.ensembl.org/id/WBGene00008894", "WBGene00008894")</f>
        <v>WBGene00008894</v>
      </c>
      <c r="B1918" s="9" t="str">
        <f>HYPERLINK("http://www.ncbi.nlm.nih.gov/gene/184591", "184591")</f>
        <v>184591</v>
      </c>
      <c r="C1918" s="9"/>
      <c r="D1918" t="str">
        <f>"F16H6.4"</f>
        <v>F16H6.4</v>
      </c>
      <c r="F1918" t="s">
        <v>11</v>
      </c>
      <c r="G1918" t="s">
        <v>4311</v>
      </c>
      <c r="H1918" s="12">
        <v>3.4324224811205402</v>
      </c>
      <c r="I1918" s="11">
        <v>0.90501664253563197</v>
      </c>
      <c r="J1918" s="10">
        <v>0.36545657046742602</v>
      </c>
      <c r="K1918" s="29">
        <v>0.98289565623980701</v>
      </c>
    </row>
    <row r="1919" spans="1:11" x14ac:dyDescent="0.35">
      <c r="A1919" s="9" t="str">
        <f>HYPERLINK("http://www.ensembl.org/id/WBGene00010743", "WBGene00010743")</f>
        <v>WBGene00010743</v>
      </c>
      <c r="B1919" s="9" t="str">
        <f>HYPERLINK("http://www.ncbi.nlm.nih.gov/gene/187265", "187265")</f>
        <v>187265</v>
      </c>
      <c r="C1919" s="9"/>
      <c r="D1919" t="str">
        <f>"K10D6.3"</f>
        <v>K10D6.3</v>
      </c>
      <c r="F1919" t="s">
        <v>11</v>
      </c>
      <c r="H1919" s="12">
        <v>3.4301406845181002</v>
      </c>
      <c r="I1919" s="11">
        <v>0.69780821270473903</v>
      </c>
      <c r="J1919" s="10">
        <v>0.48529714232683002</v>
      </c>
      <c r="K1919" s="29">
        <v>0.98289565623980701</v>
      </c>
    </row>
    <row r="1920" spans="1:11" x14ac:dyDescent="0.35">
      <c r="A1920" s="9" t="str">
        <f>HYPERLINK("http://www.ensembl.org/id/WBGene00010102", "WBGene00010102")</f>
        <v>WBGene00010102</v>
      </c>
      <c r="B1920" s="9" t="str">
        <f>HYPERLINK("http://www.ncbi.nlm.nih.gov/gene/186293", "186293")</f>
        <v>186293</v>
      </c>
      <c r="C1920" s="9"/>
      <c r="D1920" t="str">
        <f>"F55C9.5"</f>
        <v>F55C9.5</v>
      </c>
      <c r="F1920" t="s">
        <v>11</v>
      </c>
      <c r="H1920" s="12">
        <v>3.4280630850694598</v>
      </c>
      <c r="I1920" s="11">
        <v>1.06885540270462</v>
      </c>
      <c r="J1920" s="10">
        <v>0.28513483020587199</v>
      </c>
      <c r="K1920" s="29">
        <v>0.98289565623980701</v>
      </c>
    </row>
    <row r="1921" spans="1:11" x14ac:dyDescent="0.35">
      <c r="A1921" s="9" t="str">
        <f>HYPERLINK("http://www.ensembl.org/id/WBGene00012753", "WBGene00012753")</f>
        <v>WBGene00012753</v>
      </c>
      <c r="B1921" s="9" t="str">
        <f>HYPERLINK("http://www.ncbi.nlm.nih.gov/gene/176599", "176599")</f>
        <v>176599</v>
      </c>
      <c r="C1921" s="9"/>
      <c r="D1921" t="str">
        <f>"Y41C4A.6"</f>
        <v>Y41C4A.6</v>
      </c>
      <c r="F1921" t="s">
        <v>11</v>
      </c>
      <c r="H1921" s="12">
        <v>3.4246631035727302</v>
      </c>
      <c r="I1921" s="11">
        <v>2.6328377145134199</v>
      </c>
      <c r="J1921" s="10">
        <v>8.4674795463198695E-3</v>
      </c>
      <c r="K1921" s="29">
        <v>0.174843237173608</v>
      </c>
    </row>
    <row r="1922" spans="1:11" x14ac:dyDescent="0.35">
      <c r="A1922" s="9" t="str">
        <f>HYPERLINK("http://www.ensembl.org/id/WBGene00003445", "WBGene00003445")</f>
        <v>WBGene00003445</v>
      </c>
      <c r="B1922" s="9"/>
      <c r="C1922" s="9"/>
      <c r="D1922" t="str">
        <f>"msp-52"</f>
        <v>msp-52</v>
      </c>
      <c r="F1922" t="s">
        <v>80</v>
      </c>
      <c r="H1922" s="12">
        <v>3.4241197291119199</v>
      </c>
      <c r="I1922" s="11">
        <v>0.85813123655788703</v>
      </c>
      <c r="J1922" s="10">
        <v>0.39082000073574102</v>
      </c>
      <c r="K1922" s="29">
        <v>0.98289565623980701</v>
      </c>
    </row>
    <row r="1923" spans="1:11" x14ac:dyDescent="0.35">
      <c r="A1923" s="9" t="str">
        <f>HYPERLINK("http://www.ensembl.org/id/WBGene00011982", "WBGene00011982")</f>
        <v>WBGene00011982</v>
      </c>
      <c r="B1923" s="9" t="str">
        <f>HYPERLINK("http://www.ncbi.nlm.nih.gov/gene/188840", "188840")</f>
        <v>188840</v>
      </c>
      <c r="C1923" s="9"/>
      <c r="D1923" t="str">
        <f>"T24C2.3"</f>
        <v>T24C2.3</v>
      </c>
      <c r="F1923" t="s">
        <v>11</v>
      </c>
      <c r="H1923" s="12">
        <v>3.4194916116079499</v>
      </c>
      <c r="I1923" s="11">
        <v>0.97835561896121404</v>
      </c>
      <c r="J1923" s="10">
        <v>0.32789847035630498</v>
      </c>
      <c r="K1923" s="29">
        <v>0.98289565623980701</v>
      </c>
    </row>
    <row r="1924" spans="1:11" x14ac:dyDescent="0.35">
      <c r="A1924" s="9" t="str">
        <f>HYPERLINK("http://www.ensembl.org/id/WBGene00018567", "WBGene00018567")</f>
        <v>WBGene00018567</v>
      </c>
      <c r="B1924" s="9" t="str">
        <f>HYPERLINK("http://www.ncbi.nlm.nih.gov/gene/185936", "185936")</f>
        <v>185936</v>
      </c>
      <c r="C1924" s="9"/>
      <c r="D1924" t="str">
        <f>"F47E1.3"</f>
        <v>F47E1.3</v>
      </c>
      <c r="F1924" t="s">
        <v>11</v>
      </c>
      <c r="G1924" t="s">
        <v>566</v>
      </c>
      <c r="H1924" s="12">
        <v>3.4190566814183398</v>
      </c>
      <c r="I1924" s="11">
        <v>3.17775750276025</v>
      </c>
      <c r="J1924" s="10">
        <v>1.48418829108786E-3</v>
      </c>
      <c r="K1924" s="29">
        <v>5.2922306564623697E-2</v>
      </c>
    </row>
    <row r="1925" spans="1:11" x14ac:dyDescent="0.35">
      <c r="A1925" s="9" t="str">
        <f>HYPERLINK("http://www.ensembl.org/id/WBGene00008757", "WBGene00008757")</f>
        <v>WBGene00008757</v>
      </c>
      <c r="B1925" s="9" t="str">
        <f>HYPERLINK("http://www.ncbi.nlm.nih.gov/gene/184426", "184426")</f>
        <v>184426</v>
      </c>
      <c r="C1925" s="9"/>
      <c r="D1925" t="str">
        <f>"F13E9.8"</f>
        <v>F13E9.8</v>
      </c>
      <c r="F1925" t="s">
        <v>11</v>
      </c>
      <c r="H1925" s="12">
        <v>3.4139537649139799</v>
      </c>
      <c r="I1925" s="11">
        <v>1.0236163496786099</v>
      </c>
      <c r="J1925" s="10">
        <v>0.30601651970301802</v>
      </c>
      <c r="K1925" s="29">
        <v>0.98289565623980701</v>
      </c>
    </row>
    <row r="1926" spans="1:11" x14ac:dyDescent="0.35">
      <c r="A1926" s="9" t="str">
        <f>HYPERLINK("http://www.ensembl.org/id/WBGene00022628", "WBGene00022628")</f>
        <v>WBGene00022628</v>
      </c>
      <c r="B1926" s="9" t="str">
        <f>HYPERLINK("http://www.ncbi.nlm.nih.gov/gene/191195", "191195")</f>
        <v>191195</v>
      </c>
      <c r="C1926" s="9"/>
      <c r="D1926" t="str">
        <f>"ZC513.3"</f>
        <v>ZC513.3</v>
      </c>
      <c r="F1926" t="s">
        <v>11</v>
      </c>
      <c r="G1926" t="s">
        <v>25</v>
      </c>
      <c r="H1926" s="12">
        <v>3.4123154158129601</v>
      </c>
      <c r="I1926" s="11">
        <v>1.27481780540795</v>
      </c>
      <c r="J1926" s="10">
        <v>0.20237373698437999</v>
      </c>
      <c r="K1926" s="29">
        <v>0.95023126441460504</v>
      </c>
    </row>
    <row r="1927" spans="1:11" x14ac:dyDescent="0.35">
      <c r="A1927" s="9" t="str">
        <f>HYPERLINK("http://www.ensembl.org/id/WBGene00002113", "WBGene00002113")</f>
        <v>WBGene00002113</v>
      </c>
      <c r="B1927" s="9" t="str">
        <f>HYPERLINK("http://www.ncbi.nlm.nih.gov/gene/173267", "173267")</f>
        <v>173267</v>
      </c>
      <c r="C1927" s="9"/>
      <c r="D1927" t="str">
        <f>"ins-30"</f>
        <v>ins-30</v>
      </c>
      <c r="E1927" t="s">
        <v>12</v>
      </c>
      <c r="F1927" t="s">
        <v>11</v>
      </c>
      <c r="G1927" t="s">
        <v>13</v>
      </c>
      <c r="H1927" s="12">
        <v>3.4057420907318399</v>
      </c>
      <c r="I1927" s="11">
        <v>3.5000824935901398</v>
      </c>
      <c r="J1927" s="10">
        <v>4.6511419739778999E-4</v>
      </c>
      <c r="K1927" s="29">
        <v>2.1536931152451599E-2</v>
      </c>
    </row>
    <row r="1928" spans="1:11" x14ac:dyDescent="0.35">
      <c r="A1928" s="9" t="str">
        <f>HYPERLINK("http://www.ensembl.org/id/WBGene00020386", "WBGene00020386")</f>
        <v>WBGene00020386</v>
      </c>
      <c r="B1928" s="9" t="str">
        <f>HYPERLINK("http://www.ncbi.nlm.nih.gov/gene/188350", "188350")</f>
        <v>188350</v>
      </c>
      <c r="C1928" s="9"/>
      <c r="D1928" t="str">
        <f>"cyp-34A4"</f>
        <v>cyp-34A4</v>
      </c>
      <c r="E1928" t="s">
        <v>176</v>
      </c>
      <c r="F1928" t="s">
        <v>11</v>
      </c>
      <c r="G1928" t="s">
        <v>438</v>
      </c>
      <c r="H1928" s="12">
        <v>3.4052609796154298</v>
      </c>
      <c r="I1928" s="11">
        <v>3.2464671840657702</v>
      </c>
      <c r="J1928" s="10">
        <v>1.16846918060568E-3</v>
      </c>
      <c r="K1928" s="29">
        <v>4.4187641386374397E-2</v>
      </c>
    </row>
    <row r="1929" spans="1:11" x14ac:dyDescent="0.35">
      <c r="A1929" s="9" t="str">
        <f>HYPERLINK("http://www.ensembl.org/id/WBGene00006008", "WBGene00006008")</f>
        <v>WBGene00006008</v>
      </c>
      <c r="B1929" s="9" t="str">
        <f>HYPERLINK("http://www.ncbi.nlm.nih.gov/gene/182611", "182611")</f>
        <v>182611</v>
      </c>
      <c r="C1929" s="9"/>
      <c r="D1929" t="str">
        <f>"srx-117"</f>
        <v>srx-117</v>
      </c>
      <c r="E1929" t="s">
        <v>1477</v>
      </c>
      <c r="F1929" t="s">
        <v>11</v>
      </c>
      <c r="G1929" t="s">
        <v>25</v>
      </c>
      <c r="H1929" s="12">
        <v>3.4026116408710099</v>
      </c>
      <c r="I1929" s="11">
        <v>2.1797273302056501</v>
      </c>
      <c r="J1929" s="10">
        <v>2.92776794323211E-2</v>
      </c>
      <c r="K1929" s="29">
        <v>0.38155107781343001</v>
      </c>
    </row>
    <row r="1930" spans="1:11" x14ac:dyDescent="0.35">
      <c r="A1930" s="9" t="str">
        <f>HYPERLINK("http://www.ensembl.org/id/WBGene00236797", "WBGene00236797")</f>
        <v>WBGene00236797</v>
      </c>
      <c r="B1930" s="9"/>
      <c r="C1930" s="9"/>
      <c r="D1930" t="str">
        <f>"Y71G12B.44"</f>
        <v>Y71G12B.44</v>
      </c>
      <c r="F1930" t="s">
        <v>2735</v>
      </c>
      <c r="H1930" s="12">
        <v>3.4013239643533102</v>
      </c>
      <c r="I1930" s="11">
        <v>0.88492629609689</v>
      </c>
      <c r="J1930" s="10">
        <v>0.37619638432983799</v>
      </c>
      <c r="K1930" s="29">
        <v>0.98289565623980701</v>
      </c>
    </row>
    <row r="1931" spans="1:11" x14ac:dyDescent="0.35">
      <c r="A1931" s="9" t="str">
        <f>HYPERLINK("http://www.ensembl.org/id/WBGene00016619", "WBGene00016619")</f>
        <v>WBGene00016619</v>
      </c>
      <c r="B1931" s="9" t="str">
        <f>HYPERLINK("http://www.ncbi.nlm.nih.gov/gene/183425", "183425")</f>
        <v>183425</v>
      </c>
      <c r="C1931" s="9"/>
      <c r="D1931" t="str">
        <f>"C43H6.6"</f>
        <v>C43H6.6</v>
      </c>
      <c r="F1931" t="s">
        <v>11</v>
      </c>
      <c r="G1931" t="s">
        <v>2264</v>
      </c>
      <c r="H1931" s="12">
        <v>3.3992665043617101</v>
      </c>
      <c r="I1931" s="11">
        <v>1.74068727104483</v>
      </c>
      <c r="J1931" s="10">
        <v>8.1738410701315503E-2</v>
      </c>
      <c r="K1931" s="29">
        <v>0.67355482085042695</v>
      </c>
    </row>
    <row r="1932" spans="1:11" x14ac:dyDescent="0.35">
      <c r="A1932" s="9" t="str">
        <f>HYPERLINK("http://www.ensembl.org/id/WBGene00006047", "WBGene00006047")</f>
        <v>WBGene00006047</v>
      </c>
      <c r="B1932" s="9" t="str">
        <f>HYPERLINK("http://www.ncbi.nlm.nih.gov/gene/171813", "171813")</f>
        <v>171813</v>
      </c>
      <c r="C1932" s="9"/>
      <c r="D1932" t="str">
        <f>"ssp-19"</f>
        <v>ssp-19</v>
      </c>
      <c r="E1932" t="s">
        <v>4163</v>
      </c>
      <c r="F1932" t="s">
        <v>11</v>
      </c>
      <c r="G1932" t="s">
        <v>4164</v>
      </c>
      <c r="H1932" s="12">
        <v>3.3979872334808698</v>
      </c>
      <c r="I1932" s="11">
        <v>1.2176359689312799</v>
      </c>
      <c r="J1932" s="10">
        <v>0.22336233946423301</v>
      </c>
      <c r="K1932" s="29">
        <v>0.97635456217566396</v>
      </c>
    </row>
    <row r="1933" spans="1:11" x14ac:dyDescent="0.35">
      <c r="A1933" s="9" t="str">
        <f>HYPERLINK("http://www.ensembl.org/id/WBGene00018211", "WBGene00018211")</f>
        <v>WBGene00018211</v>
      </c>
      <c r="B1933" s="9" t="str">
        <f>HYPERLINK("http://www.ncbi.nlm.nih.gov/gene/185503", "185503")</f>
        <v>185503</v>
      </c>
      <c r="C1933" s="9"/>
      <c r="D1933" t="str">
        <f>"oac-24"</f>
        <v>oac-24</v>
      </c>
      <c r="E1933" t="s">
        <v>883</v>
      </c>
      <c r="F1933" t="s">
        <v>11</v>
      </c>
      <c r="G1933" t="s">
        <v>1992</v>
      </c>
      <c r="H1933" s="12">
        <v>3.3977094599268201</v>
      </c>
      <c r="I1933" s="11">
        <v>0.84543982239862503</v>
      </c>
      <c r="J1933" s="10">
        <v>0.39786531833335298</v>
      </c>
      <c r="K1933" s="29">
        <v>0.98289565623980701</v>
      </c>
    </row>
    <row r="1934" spans="1:11" x14ac:dyDescent="0.35">
      <c r="A1934" s="9" t="str">
        <f>HYPERLINK("http://www.ensembl.org/id/WBGene00022038", "WBGene00022038")</f>
        <v>WBGene00022038</v>
      </c>
      <c r="B1934" s="9" t="str">
        <f>HYPERLINK("http://www.ncbi.nlm.nih.gov/gene/190487", "190487")</f>
        <v>190487</v>
      </c>
      <c r="C1934" s="9"/>
      <c r="D1934" t="str">
        <f>"Y65B4BL.6"</f>
        <v>Y65B4BL.6</v>
      </c>
      <c r="F1934" t="s">
        <v>11</v>
      </c>
      <c r="H1934" s="12">
        <v>3.3964989190332999</v>
      </c>
      <c r="I1934" s="11">
        <v>2.2562246839110598</v>
      </c>
      <c r="J1934" s="10">
        <v>2.4056563426418098E-2</v>
      </c>
      <c r="K1934" s="29">
        <v>0.33728820056481701</v>
      </c>
    </row>
    <row r="1935" spans="1:11" x14ac:dyDescent="0.35">
      <c r="A1935" s="9" t="str">
        <f>HYPERLINK("http://www.ensembl.org/id/WBGene00077756", "WBGene00077756")</f>
        <v>WBGene00077756</v>
      </c>
      <c r="B1935" s="9" t="str">
        <f>HYPERLINK("http://www.ncbi.nlm.nih.gov/gene/7040130", "7040130")</f>
        <v>7040130</v>
      </c>
      <c r="C1935" s="9"/>
      <c r="D1935" t="str">
        <f>"Y11D7A.19"</f>
        <v>Y11D7A.19</v>
      </c>
      <c r="F1935" t="s">
        <v>11</v>
      </c>
      <c r="H1935" s="12">
        <v>3.3948131005517101</v>
      </c>
      <c r="I1935" s="11">
        <v>1.91209906355766</v>
      </c>
      <c r="J1935" s="10">
        <v>5.5863488951864403E-2</v>
      </c>
      <c r="K1935" s="29">
        <v>0.55720075487542897</v>
      </c>
    </row>
    <row r="1936" spans="1:11" x14ac:dyDescent="0.35">
      <c r="A1936" s="9" t="str">
        <f>HYPERLINK("http://www.ensembl.org/id/WBGene00020014", "WBGene00020014")</f>
        <v>WBGene00020014</v>
      </c>
      <c r="B1936" s="9" t="str">
        <f>HYPERLINK("http://www.ncbi.nlm.nih.gov/gene/187825", "187825")</f>
        <v>187825</v>
      </c>
      <c r="C1936" s="9"/>
      <c r="D1936" t="str">
        <f>"R11G11.6"</f>
        <v>R11G11.6</v>
      </c>
      <c r="F1936" t="s">
        <v>11</v>
      </c>
      <c r="H1936" s="12">
        <v>3.3946496613605901</v>
      </c>
      <c r="I1936" s="11">
        <v>0.70274131330951195</v>
      </c>
      <c r="J1936" s="10">
        <v>0.48221697637793598</v>
      </c>
      <c r="K1936" s="29">
        <v>0.98289565623980701</v>
      </c>
    </row>
    <row r="1937" spans="1:11" x14ac:dyDescent="0.35">
      <c r="A1937" s="9" t="str">
        <f>HYPERLINK("http://www.ensembl.org/id/WBGene00023187", "WBGene00023187")</f>
        <v>WBGene00023187</v>
      </c>
      <c r="B1937" s="9"/>
      <c r="C1937" s="9"/>
      <c r="D1937" t="str">
        <f>"Y67D8C.12"</f>
        <v>Y67D8C.12</v>
      </c>
      <c r="F1937" t="s">
        <v>481</v>
      </c>
      <c r="H1937" s="12">
        <v>3.3941199588417899</v>
      </c>
      <c r="I1937" s="11">
        <v>1.49580929709543</v>
      </c>
      <c r="J1937" s="10">
        <v>0.13470335791461399</v>
      </c>
      <c r="K1937" s="29">
        <v>0.82412987827234196</v>
      </c>
    </row>
    <row r="1938" spans="1:11" x14ac:dyDescent="0.35">
      <c r="A1938" s="9" t="str">
        <f>HYPERLINK("http://www.ensembl.org/id/WBGene00020979", "WBGene00020979")</f>
        <v>WBGene00020979</v>
      </c>
      <c r="B1938" s="9" t="str">
        <f>HYPERLINK("http://www.ncbi.nlm.nih.gov/gene/189151", "189151")</f>
        <v>189151</v>
      </c>
      <c r="C1938" s="9"/>
      <c r="D1938" t="str">
        <f>"fbxb-55"</f>
        <v>fbxb-55</v>
      </c>
      <c r="E1938" t="s">
        <v>1436</v>
      </c>
      <c r="F1938" t="s">
        <v>11</v>
      </c>
      <c r="H1938" s="12">
        <v>3.3911950045858998</v>
      </c>
      <c r="I1938" s="11">
        <v>0.50547453354954097</v>
      </c>
      <c r="J1938" s="10">
        <v>0.613225580760969</v>
      </c>
      <c r="K1938" s="29">
        <v>0.98289565623980701</v>
      </c>
    </row>
    <row r="1939" spans="1:11" x14ac:dyDescent="0.35">
      <c r="A1939" s="9" t="str">
        <f>HYPERLINK("http://www.ensembl.org/id/WBGene00007913", "WBGene00007913")</f>
        <v>WBGene00007913</v>
      </c>
      <c r="B1939" s="9" t="str">
        <f>HYPERLINK("http://www.ncbi.nlm.nih.gov/gene/183193", "183193")</f>
        <v>183193</v>
      </c>
      <c r="C1939" s="9" t="str">
        <f>HYPERLINK("http://www.ncbi.nlm.nih.gov/gene/1549,1553,1548", "1549,1553,1548")</f>
        <v>1549,1553,1548</v>
      </c>
      <c r="D1939" t="str">
        <f>"cyp-36A1"</f>
        <v>cyp-36A1</v>
      </c>
      <c r="E1939" t="s">
        <v>184</v>
      </c>
      <c r="F1939" t="s">
        <v>11</v>
      </c>
      <c r="G1939" t="s">
        <v>185</v>
      </c>
      <c r="H1939" s="12">
        <v>3.3904341338209401</v>
      </c>
      <c r="I1939" s="11">
        <v>4.7406810366228997</v>
      </c>
      <c r="J1939" s="10">
        <v>2.13001031995401E-6</v>
      </c>
      <c r="K1939" s="29">
        <v>2.8285068076354798E-4</v>
      </c>
    </row>
    <row r="1940" spans="1:11" x14ac:dyDescent="0.35">
      <c r="A1940" s="9" t="str">
        <f>HYPERLINK("http://www.ensembl.org/id/WBGene00004011", "WBGene00004011")</f>
        <v>WBGene00004011</v>
      </c>
      <c r="B1940" s="9" t="str">
        <f>HYPERLINK("http://www.ncbi.nlm.nih.gov/gene/187454", "187454")</f>
        <v>187454</v>
      </c>
      <c r="C1940" s="9"/>
      <c r="D1940" t="str">
        <f>"pha-2"</f>
        <v>pha-2</v>
      </c>
      <c r="F1940" t="s">
        <v>11</v>
      </c>
      <c r="G1940" t="s">
        <v>1596</v>
      </c>
      <c r="H1940" s="12">
        <v>3.3745083617867202</v>
      </c>
      <c r="I1940" s="11">
        <v>2.0882496740972201</v>
      </c>
      <c r="J1940" s="10">
        <v>3.6775318542376603E-2</v>
      </c>
      <c r="K1940" s="29">
        <v>0.43845743562443401</v>
      </c>
    </row>
    <row r="1941" spans="1:11" x14ac:dyDescent="0.35">
      <c r="A1941" s="9" t="str">
        <f>HYPERLINK("http://www.ensembl.org/id/WBGene00219568", "WBGene00219568")</f>
        <v>WBGene00219568</v>
      </c>
      <c r="B1941" s="9"/>
      <c r="C1941" s="9"/>
      <c r="D1941" t="str">
        <f>"anr-9"</f>
        <v>anr-9</v>
      </c>
      <c r="F1941" t="s">
        <v>2735</v>
      </c>
      <c r="H1941" s="12">
        <v>3.3685843309455601</v>
      </c>
      <c r="I1941" s="11">
        <v>0.67795302115249301</v>
      </c>
      <c r="J1941" s="10">
        <v>0.49780148045330702</v>
      </c>
      <c r="K1941" s="29">
        <v>0.98289565623980701</v>
      </c>
    </row>
    <row r="1942" spans="1:11" x14ac:dyDescent="0.35">
      <c r="A1942" s="9" t="str">
        <f>HYPERLINK("http://www.ensembl.org/id/WBGene00002348", "WBGene00002348")</f>
        <v>WBGene00002348</v>
      </c>
      <c r="B1942" s="9" t="str">
        <f>HYPERLINK("http://www.ncbi.nlm.nih.gov/gene/172471", "172471")</f>
        <v>172471</v>
      </c>
      <c r="C1942" s="9" t="str">
        <f>HYPERLINK("http://www.ncbi.nlm.nih.gov/gene/57644", "57644")</f>
        <v>57644</v>
      </c>
      <c r="D1942" t="str">
        <f>"myo-1"</f>
        <v>myo-1</v>
      </c>
      <c r="E1942" t="s">
        <v>139</v>
      </c>
      <c r="F1942" t="s">
        <v>11</v>
      </c>
      <c r="G1942" t="s">
        <v>140</v>
      </c>
      <c r="H1942" s="12">
        <v>3.3640562270841698</v>
      </c>
      <c r="I1942" s="11">
        <v>5.1103208548360497</v>
      </c>
      <c r="J1942" s="10">
        <v>3.21612146080196E-7</v>
      </c>
      <c r="K1942" s="29">
        <v>6.5185703923938595E-5</v>
      </c>
    </row>
    <row r="1943" spans="1:11" x14ac:dyDescent="0.35">
      <c r="A1943" s="9" t="str">
        <f>HYPERLINK("http://www.ensembl.org/id/WBGene00196751", "WBGene00196751")</f>
        <v>WBGene00196751</v>
      </c>
      <c r="B1943" s="9"/>
      <c r="C1943" s="9"/>
      <c r="D1943" t="str">
        <f>"K08B12.7"</f>
        <v>K08B12.7</v>
      </c>
      <c r="F1943" t="s">
        <v>481</v>
      </c>
      <c r="H1943" s="12">
        <v>3.36245582078804</v>
      </c>
      <c r="I1943" s="11">
        <v>0.43442542167451798</v>
      </c>
      <c r="J1943" s="10">
        <v>0.66397954057242903</v>
      </c>
      <c r="K1943" s="29">
        <v>0.98289565623980701</v>
      </c>
    </row>
    <row r="1944" spans="1:11" x14ac:dyDescent="0.35">
      <c r="A1944" s="9" t="str">
        <f>HYPERLINK("http://www.ensembl.org/id/WBGene00017890", "WBGene00017890")</f>
        <v>WBGene00017890</v>
      </c>
      <c r="B1944" s="9" t="str">
        <f>HYPERLINK("http://www.ncbi.nlm.nih.gov/gene/185045", "185045")</f>
        <v>185045</v>
      </c>
      <c r="C1944" s="9"/>
      <c r="D1944" t="str">
        <f>"F28B4.1"</f>
        <v>F28B4.1</v>
      </c>
      <c r="F1944" t="s">
        <v>11</v>
      </c>
      <c r="G1944" t="s">
        <v>25</v>
      </c>
      <c r="H1944" s="12">
        <v>3.3611554086681701</v>
      </c>
      <c r="I1944" s="11">
        <v>1.45882395781408</v>
      </c>
      <c r="J1944" s="10">
        <v>0.14461356679436799</v>
      </c>
      <c r="K1944" s="29">
        <v>0.84103890742224097</v>
      </c>
    </row>
    <row r="1945" spans="1:11" x14ac:dyDescent="0.35">
      <c r="A1945" s="9" t="str">
        <f>HYPERLINK("http://www.ensembl.org/id/WBGene00020592", "WBGene00020592")</f>
        <v>WBGene00020592</v>
      </c>
      <c r="B1945" s="9" t="str">
        <f>HYPERLINK("http://www.ncbi.nlm.nih.gov/gene/178880", "178880")</f>
        <v>178880</v>
      </c>
      <c r="C1945" s="9"/>
      <c r="D1945" t="str">
        <f>"ugt-12"</f>
        <v>ugt-12</v>
      </c>
      <c r="E1945" t="s">
        <v>103</v>
      </c>
      <c r="F1945" t="s">
        <v>11</v>
      </c>
      <c r="G1945" t="s">
        <v>104</v>
      </c>
      <c r="H1945" s="12">
        <v>3.3578358923123299</v>
      </c>
      <c r="I1945" s="11">
        <v>5.5285217010325196</v>
      </c>
      <c r="J1945" s="10">
        <v>3.2294048333797798E-8</v>
      </c>
      <c r="K1945" s="29">
        <v>9.4453959595029195E-6</v>
      </c>
    </row>
    <row r="1946" spans="1:11" x14ac:dyDescent="0.35">
      <c r="A1946" s="9" t="str">
        <f>HYPERLINK("http://www.ensembl.org/id/WBGene00001733", "WBGene00001733")</f>
        <v>WBGene00001733</v>
      </c>
      <c r="B1946" s="9" t="str">
        <f>HYPERLINK("http://www.ncbi.nlm.nih.gov/gene/178534", "178534")</f>
        <v>178534</v>
      </c>
      <c r="C1946" s="9"/>
      <c r="D1946" t="str">
        <f>"grl-24"</f>
        <v>grl-24</v>
      </c>
      <c r="E1946" t="s">
        <v>353</v>
      </c>
      <c r="F1946" t="s">
        <v>11</v>
      </c>
      <c r="H1946" s="12">
        <v>3.3578332753977902</v>
      </c>
      <c r="I1946" s="11">
        <v>0.62592989871753202</v>
      </c>
      <c r="J1946" s="10">
        <v>0.53136092257624701</v>
      </c>
      <c r="K1946" s="29">
        <v>0.98289565623980701</v>
      </c>
    </row>
    <row r="1947" spans="1:11" x14ac:dyDescent="0.35">
      <c r="A1947" s="9" t="str">
        <f>HYPERLINK("http://www.ensembl.org/id/WBGene00011593", "WBGene00011593")</f>
        <v>WBGene00011593</v>
      </c>
      <c r="B1947" s="9" t="str">
        <f>HYPERLINK("http://www.ncbi.nlm.nih.gov/gene/188241", "188241")</f>
        <v>188241</v>
      </c>
      <c r="C1947" s="9"/>
      <c r="D1947" t="str">
        <f>"T07G12.2"</f>
        <v>T07G12.2</v>
      </c>
      <c r="F1947" t="s">
        <v>11</v>
      </c>
      <c r="G1947" t="s">
        <v>230</v>
      </c>
      <c r="H1947" s="12">
        <v>3.3564392189841699</v>
      </c>
      <c r="I1947" s="11">
        <v>1.58084769703813</v>
      </c>
      <c r="J1947" s="10">
        <v>0.113912865686266</v>
      </c>
      <c r="K1947" s="29">
        <v>0.77237978641673499</v>
      </c>
    </row>
    <row r="1948" spans="1:11" x14ac:dyDescent="0.35">
      <c r="A1948" s="9" t="str">
        <f>HYPERLINK("http://www.ensembl.org/id/WBGene00000734", "WBGene00000734")</f>
        <v>WBGene00000734</v>
      </c>
      <c r="B1948" s="9" t="str">
        <f>HYPERLINK("http://www.ncbi.nlm.nih.gov/gene/179812", "179812")</f>
        <v>179812</v>
      </c>
      <c r="C1948" s="9"/>
      <c r="D1948" t="str">
        <f>"col-161"</f>
        <v>col-161</v>
      </c>
      <c r="E1948" t="s">
        <v>40</v>
      </c>
      <c r="F1948" t="s">
        <v>11</v>
      </c>
      <c r="G1948" t="s">
        <v>41</v>
      </c>
      <c r="H1948" s="12">
        <v>3.3563515559022501</v>
      </c>
      <c r="I1948" s="11">
        <v>1.3522780145347599</v>
      </c>
      <c r="J1948" s="10">
        <v>0.176286394837882</v>
      </c>
      <c r="K1948" s="29">
        <v>0.90619516079822804</v>
      </c>
    </row>
    <row r="1949" spans="1:11" x14ac:dyDescent="0.35">
      <c r="A1949" s="9" t="str">
        <f>HYPERLINK("http://www.ensembl.org/id/WBGene00005843", "WBGene00005843")</f>
        <v>WBGene00005843</v>
      </c>
      <c r="B1949" s="9"/>
      <c r="C1949" s="9"/>
      <c r="D1949" t="str">
        <f>"srw-96"</f>
        <v>srw-96</v>
      </c>
      <c r="F1949" t="s">
        <v>80</v>
      </c>
      <c r="H1949" s="12">
        <v>3.3559305697444999</v>
      </c>
      <c r="I1949" s="11">
        <v>0.73988947841365904</v>
      </c>
      <c r="J1949" s="10">
        <v>0.45936705920172899</v>
      </c>
      <c r="K1949" s="29">
        <v>0.98289565623980701</v>
      </c>
    </row>
    <row r="1950" spans="1:11" x14ac:dyDescent="0.35">
      <c r="A1950" s="9" t="str">
        <f>HYPERLINK("http://www.ensembl.org/id/WBGene00050915", "WBGene00050915")</f>
        <v>WBGene00050915</v>
      </c>
      <c r="B1950" s="9" t="str">
        <f>HYPERLINK("http://www.ncbi.nlm.nih.gov/gene/6418812", "6418812")</f>
        <v>6418812</v>
      </c>
      <c r="C1950" s="9"/>
      <c r="D1950" t="str">
        <f>"Y6E2A.10"</f>
        <v>Y6E2A.10</v>
      </c>
      <c r="F1950" t="s">
        <v>11</v>
      </c>
      <c r="H1950" s="12">
        <v>3.35375370275833</v>
      </c>
      <c r="I1950" s="11">
        <v>1.3311675706945001</v>
      </c>
      <c r="J1950" s="10">
        <v>0.183133879392537</v>
      </c>
      <c r="K1950" s="29">
        <v>0.92043634869084801</v>
      </c>
    </row>
    <row r="1951" spans="1:11" x14ac:dyDescent="0.35">
      <c r="A1951" s="9" t="str">
        <f>HYPERLINK("http://www.ensembl.org/id/WBGene00005719", "WBGene00005719")</f>
        <v>WBGene00005719</v>
      </c>
      <c r="B1951" s="9" t="str">
        <f>HYPERLINK("http://www.ncbi.nlm.nih.gov/gene/186171", "186171")</f>
        <v>186171</v>
      </c>
      <c r="C1951" s="9"/>
      <c r="D1951" t="str">
        <f>"srv-8"</f>
        <v>srv-8</v>
      </c>
      <c r="E1951" t="s">
        <v>2916</v>
      </c>
      <c r="F1951" t="s">
        <v>11</v>
      </c>
      <c r="G1951" t="s">
        <v>25</v>
      </c>
      <c r="H1951" s="12">
        <v>3.3536738998737001</v>
      </c>
      <c r="I1951" s="11">
        <v>1.18801443496235</v>
      </c>
      <c r="J1951" s="10">
        <v>0.234827722705852</v>
      </c>
      <c r="K1951" s="29">
        <v>0.98289565623980701</v>
      </c>
    </row>
    <row r="1952" spans="1:11" x14ac:dyDescent="0.35">
      <c r="A1952" s="9" t="str">
        <f>HYPERLINK("http://www.ensembl.org/id/WBGene00020141", "WBGene00020141")</f>
        <v>WBGene00020141</v>
      </c>
      <c r="B1952" s="9" t="str">
        <f>HYPERLINK("http://www.ncbi.nlm.nih.gov/gene/187942", "187942")</f>
        <v>187942</v>
      </c>
      <c r="C1952" s="9"/>
      <c r="D1952" t="str">
        <f>"lmd-5"</f>
        <v>lmd-5</v>
      </c>
      <c r="E1952" t="s">
        <v>2968</v>
      </c>
      <c r="F1952" t="s">
        <v>11</v>
      </c>
      <c r="G1952" t="s">
        <v>2969</v>
      </c>
      <c r="H1952" s="12">
        <v>3.3521314074466302</v>
      </c>
      <c r="I1952" s="11">
        <v>1.4789262045267</v>
      </c>
      <c r="J1952" s="10">
        <v>0.139160038889515</v>
      </c>
      <c r="K1952" s="29">
        <v>0.83086094536980004</v>
      </c>
    </row>
    <row r="1953" spans="1:11" x14ac:dyDescent="0.35">
      <c r="A1953" s="9" t="str">
        <f>HYPERLINK("http://www.ensembl.org/id/WBGene00004146", "WBGene00004146")</f>
        <v>WBGene00004146</v>
      </c>
      <c r="B1953" s="9" t="str">
        <f>HYPERLINK("http://www.ncbi.nlm.nih.gov/gene/188181", "188181")</f>
        <v>188181</v>
      </c>
      <c r="C1953" s="9"/>
      <c r="D1953" t="str">
        <f>"pqn-63"</f>
        <v>pqn-63</v>
      </c>
      <c r="E1953" t="s">
        <v>432</v>
      </c>
      <c r="F1953" t="s">
        <v>11</v>
      </c>
      <c r="H1953" s="12">
        <v>3.34733360168434</v>
      </c>
      <c r="I1953" s="11">
        <v>1.33117512876475</v>
      </c>
      <c r="J1953" s="10">
        <v>0.183131393042054</v>
      </c>
      <c r="K1953" s="29">
        <v>0.92043634869084801</v>
      </c>
    </row>
    <row r="1954" spans="1:11" x14ac:dyDescent="0.35">
      <c r="A1954" s="9" t="str">
        <f>HYPERLINK("http://www.ensembl.org/id/WBGene00021963", "WBGene00021963")</f>
        <v>WBGene00021963</v>
      </c>
      <c r="B1954" s="9" t="str">
        <f>HYPERLINK("http://www.ncbi.nlm.nih.gov/gene/179081", "179081")</f>
        <v>179081</v>
      </c>
      <c r="C1954" s="9" t="str">
        <f>HYPERLINK("http://www.ncbi.nlm.nih.gov/gene/3988", "3988")</f>
        <v>3988</v>
      </c>
      <c r="D1954" t="str">
        <f>"lipl-6"</f>
        <v>lipl-6</v>
      </c>
      <c r="E1954" t="s">
        <v>1870</v>
      </c>
      <c r="F1954" t="s">
        <v>11</v>
      </c>
      <c r="G1954" t="s">
        <v>29</v>
      </c>
      <c r="H1954" s="12">
        <v>3.3467015491805698</v>
      </c>
      <c r="I1954" s="11">
        <v>1.9304305025253199</v>
      </c>
      <c r="J1954" s="10">
        <v>5.35535185589774E-2</v>
      </c>
      <c r="K1954" s="29">
        <v>0.543069717949761</v>
      </c>
    </row>
    <row r="1955" spans="1:11" x14ac:dyDescent="0.35">
      <c r="A1955" s="9" t="str">
        <f>HYPERLINK("http://www.ensembl.org/id/WBGene00198766", "WBGene00198766")</f>
        <v>WBGene00198766</v>
      </c>
      <c r="B1955" s="9"/>
      <c r="C1955" s="9"/>
      <c r="D1955" t="str">
        <f>"F12F3.7"</f>
        <v>F12F3.7</v>
      </c>
      <c r="F1955" t="s">
        <v>481</v>
      </c>
      <c r="H1955" s="12">
        <v>3.3459711568032202</v>
      </c>
      <c r="I1955" s="11">
        <v>0.69429196898383605</v>
      </c>
      <c r="J1955" s="10">
        <v>0.48749912641541399</v>
      </c>
      <c r="K1955" s="29">
        <v>0.98289565623980701</v>
      </c>
    </row>
    <row r="1956" spans="1:11" x14ac:dyDescent="0.35">
      <c r="A1956" s="9" t="str">
        <f>HYPERLINK("http://www.ensembl.org/id/WBGene00016949", "WBGene00016949")</f>
        <v>WBGene00016949</v>
      </c>
      <c r="B1956" s="9" t="str">
        <f>HYPERLINK("http://www.ncbi.nlm.nih.gov/gene/183849", "183849")</f>
        <v>183849</v>
      </c>
      <c r="C1956" s="9"/>
      <c r="D1956" t="str">
        <f>"C55C2.3"</f>
        <v>C55C2.3</v>
      </c>
      <c r="F1956" t="s">
        <v>11</v>
      </c>
      <c r="G1956" t="s">
        <v>25</v>
      </c>
      <c r="H1956" s="12">
        <v>3.3435994199633701</v>
      </c>
      <c r="I1956" s="11">
        <v>0.58182563549334598</v>
      </c>
      <c r="J1956" s="10">
        <v>0.56068413470957101</v>
      </c>
      <c r="K1956" s="29">
        <v>0.98289565623980701</v>
      </c>
    </row>
    <row r="1957" spans="1:11" x14ac:dyDescent="0.35">
      <c r="A1957" s="9" t="str">
        <f>HYPERLINK("http://www.ensembl.org/id/WBGene00043988", "WBGene00043988")</f>
        <v>WBGene00043988</v>
      </c>
      <c r="B1957" s="9" t="str">
        <f>HYPERLINK("http://www.ncbi.nlm.nih.gov/gene/3565040", "3565040")</f>
        <v>3565040</v>
      </c>
      <c r="C1957" s="9"/>
      <c r="D1957" t="str">
        <f>"AC8.10"</f>
        <v>AC8.10</v>
      </c>
      <c r="F1957" t="s">
        <v>11</v>
      </c>
      <c r="H1957" s="12">
        <v>3.3395775643782502</v>
      </c>
      <c r="I1957" s="11">
        <v>0.44656260965551497</v>
      </c>
      <c r="J1957" s="10">
        <v>0.65519089741497205</v>
      </c>
      <c r="K1957" s="29">
        <v>0.98289565623980701</v>
      </c>
    </row>
    <row r="1958" spans="1:11" x14ac:dyDescent="0.35">
      <c r="A1958" s="9" t="str">
        <f>HYPERLINK("http://www.ensembl.org/id/WBGene00018082", "WBGene00018082")</f>
        <v>WBGene00018082</v>
      </c>
      <c r="B1958" s="9" t="str">
        <f>HYPERLINK("http://www.ncbi.nlm.nih.gov/gene/185340", "185340")</f>
        <v>185340</v>
      </c>
      <c r="C1958" s="9"/>
      <c r="D1958" t="str">
        <f>"F36A4.3"</f>
        <v>F36A4.3</v>
      </c>
      <c r="F1958" t="s">
        <v>11</v>
      </c>
      <c r="H1958" s="12">
        <v>3.3395775643782502</v>
      </c>
      <c r="I1958" s="11">
        <v>0.44656260965551497</v>
      </c>
      <c r="J1958" s="10">
        <v>0.65519089741497205</v>
      </c>
      <c r="K1958" s="29">
        <v>0.98289565623980701</v>
      </c>
    </row>
    <row r="1959" spans="1:11" x14ac:dyDescent="0.35">
      <c r="A1959" s="9" t="str">
        <f>HYPERLINK("http://www.ensembl.org/id/WBGene00016470", "WBGene00016470")</f>
        <v>WBGene00016470</v>
      </c>
      <c r="B1959" s="9"/>
      <c r="C1959" s="9"/>
      <c r="D1959" t="str">
        <f>"srab-5"</f>
        <v>srab-5</v>
      </c>
      <c r="F1959" t="s">
        <v>80</v>
      </c>
      <c r="H1959" s="12">
        <v>3.3395775643782502</v>
      </c>
      <c r="I1959" s="11">
        <v>0.44656260965551497</v>
      </c>
      <c r="J1959" s="10">
        <v>0.65519089741497205</v>
      </c>
      <c r="K1959" s="29">
        <v>0.98289565623980701</v>
      </c>
    </row>
    <row r="1960" spans="1:11" x14ac:dyDescent="0.35">
      <c r="A1960" s="9" t="str">
        <f>HYPERLINK("http://www.ensembl.org/id/WBGene00005236", "WBGene00005236")</f>
        <v>WBGene00005236</v>
      </c>
      <c r="B1960" s="9" t="str">
        <f>HYPERLINK("http://www.ncbi.nlm.nih.gov/gene/191844", "191844")</f>
        <v>191844</v>
      </c>
      <c r="C1960" s="9"/>
      <c r="D1960" t="str">
        <f>"srh-10"</f>
        <v>srh-10</v>
      </c>
      <c r="E1960" t="s">
        <v>153</v>
      </c>
      <c r="F1960" t="s">
        <v>11</v>
      </c>
      <c r="G1960" t="s">
        <v>25</v>
      </c>
      <c r="H1960" s="12">
        <v>3.3395775643782502</v>
      </c>
      <c r="I1960" s="11">
        <v>0.44656260965551497</v>
      </c>
      <c r="J1960" s="10">
        <v>0.65519089741497205</v>
      </c>
      <c r="K1960" s="29">
        <v>0.98289565623980701</v>
      </c>
    </row>
    <row r="1961" spans="1:11" x14ac:dyDescent="0.35">
      <c r="A1961" s="9" t="str">
        <f>HYPERLINK("http://www.ensembl.org/id/WBGene00044754", "WBGene00044754")</f>
        <v>WBGene00044754</v>
      </c>
      <c r="B1961" s="9" t="str">
        <f>HYPERLINK("http://www.ncbi.nlm.nih.gov/gene/4363009", "4363009")</f>
        <v>4363009</v>
      </c>
      <c r="C1961" s="9"/>
      <c r="D1961" t="str">
        <f>"Y119C1B.12"</f>
        <v>Y119C1B.12</v>
      </c>
      <c r="F1961" t="s">
        <v>11</v>
      </c>
      <c r="G1961" t="s">
        <v>25</v>
      </c>
      <c r="H1961" s="12">
        <v>3.3395775643782502</v>
      </c>
      <c r="I1961" s="11">
        <v>0.44656260965551497</v>
      </c>
      <c r="J1961" s="10">
        <v>0.65519089741497205</v>
      </c>
      <c r="K1961" s="29">
        <v>0.98289565623980701</v>
      </c>
    </row>
    <row r="1962" spans="1:11" x14ac:dyDescent="0.35">
      <c r="A1962" s="9" t="str">
        <f>HYPERLINK("http://www.ensembl.org/id/WBGene00013476", "WBGene00013476")</f>
        <v>WBGene00013476</v>
      </c>
      <c r="B1962" s="9" t="str">
        <f>HYPERLINK("http://www.ncbi.nlm.nih.gov/gene/190550", "190550")</f>
        <v>190550</v>
      </c>
      <c r="C1962" s="9"/>
      <c r="D1962" t="str">
        <f>"Y69E1A.4"</f>
        <v>Y69E1A.4</v>
      </c>
      <c r="E1962" t="s">
        <v>2496</v>
      </c>
      <c r="F1962" t="s">
        <v>11</v>
      </c>
      <c r="G1962" t="s">
        <v>2497</v>
      </c>
      <c r="H1962" s="12">
        <v>3.3395775643782502</v>
      </c>
      <c r="I1962" s="11">
        <v>0.44656260965551497</v>
      </c>
      <c r="J1962" s="10">
        <v>0.65519089741497205</v>
      </c>
      <c r="K1962" s="29">
        <v>0.98289565623980701</v>
      </c>
    </row>
    <row r="1963" spans="1:11" x14ac:dyDescent="0.35">
      <c r="A1963" s="9" t="str">
        <f>HYPERLINK("http://www.ensembl.org/id/WBGene00017333", "WBGene00017333")</f>
        <v>WBGene00017333</v>
      </c>
      <c r="B1963" s="9" t="str">
        <f>HYPERLINK("http://www.ncbi.nlm.nih.gov/gene/184294", "184294")</f>
        <v>184294</v>
      </c>
      <c r="C1963" s="9"/>
      <c r="D1963" t="str">
        <f>"ugt-38"</f>
        <v>ugt-38</v>
      </c>
      <c r="E1963" t="s">
        <v>103</v>
      </c>
      <c r="F1963" t="s">
        <v>11</v>
      </c>
      <c r="G1963" t="s">
        <v>104</v>
      </c>
      <c r="H1963" s="12">
        <v>3.33758643940343</v>
      </c>
      <c r="I1963" s="11">
        <v>0.77427388866539804</v>
      </c>
      <c r="J1963" s="10">
        <v>0.43876884146912998</v>
      </c>
      <c r="K1963" s="29">
        <v>0.98289565623980701</v>
      </c>
    </row>
    <row r="1964" spans="1:11" x14ac:dyDescent="0.35">
      <c r="A1964" s="9" t="str">
        <f>HYPERLINK("http://www.ensembl.org/id/WBGene00022406", "WBGene00022406")</f>
        <v>WBGene00022406</v>
      </c>
      <c r="B1964" s="9" t="str">
        <f>HYPERLINK("http://www.ncbi.nlm.nih.gov/gene/190819", "190819")</f>
        <v>190819</v>
      </c>
      <c r="C1964" s="9"/>
      <c r="D1964" t="str">
        <f>"srsx-7"</f>
        <v>srsx-7</v>
      </c>
      <c r="E1964" t="s">
        <v>1639</v>
      </c>
      <c r="F1964" t="s">
        <v>11</v>
      </c>
      <c r="G1964" t="s">
        <v>1089</v>
      </c>
      <c r="H1964" s="12">
        <v>3.3329068568731701</v>
      </c>
      <c r="I1964" s="11">
        <v>0.46865347255211898</v>
      </c>
      <c r="J1964" s="10">
        <v>0.63931734916761196</v>
      </c>
      <c r="K1964" s="29">
        <v>0.98289565623980701</v>
      </c>
    </row>
    <row r="1965" spans="1:11" x14ac:dyDescent="0.35">
      <c r="A1965" s="9" t="str">
        <f>HYPERLINK("http://www.ensembl.org/id/WBGene00005699", "WBGene00005699")</f>
        <v>WBGene00005699</v>
      </c>
      <c r="B1965" s="9" t="str">
        <f>HYPERLINK("http://www.ncbi.nlm.nih.gov/gene/187653", "187653")</f>
        <v>187653</v>
      </c>
      <c r="C1965" s="9"/>
      <c r="D1965" t="str">
        <f>"sru-36"</f>
        <v>sru-36</v>
      </c>
      <c r="E1965" t="s">
        <v>2653</v>
      </c>
      <c r="F1965" t="s">
        <v>11</v>
      </c>
      <c r="G1965" t="s">
        <v>25</v>
      </c>
      <c r="H1965" s="12">
        <v>3.3311607407787802</v>
      </c>
      <c r="I1965" s="11">
        <v>0.80970740968315202</v>
      </c>
      <c r="J1965" s="10">
        <v>0.41810835838275201</v>
      </c>
      <c r="K1965" s="29">
        <v>0.98289565623980701</v>
      </c>
    </row>
    <row r="1966" spans="1:11" x14ac:dyDescent="0.35">
      <c r="A1966" s="9" t="str">
        <f>HYPERLINK("http://www.ensembl.org/id/WBGene00005931", "WBGene00005931")</f>
        <v>WBGene00005931</v>
      </c>
      <c r="B1966" s="9" t="str">
        <f>HYPERLINK("http://www.ncbi.nlm.nih.gov/gene/188182", "188182")</f>
        <v>188182</v>
      </c>
      <c r="C1966" s="9"/>
      <c r="D1966" t="str">
        <f>"fbxa-199"</f>
        <v>fbxa-199</v>
      </c>
      <c r="E1966" t="s">
        <v>467</v>
      </c>
      <c r="F1966" t="s">
        <v>11</v>
      </c>
      <c r="G1966" t="s">
        <v>25</v>
      </c>
      <c r="H1966" s="12">
        <v>3.3287535779255002</v>
      </c>
      <c r="I1966" s="11">
        <v>0.62270831115432401</v>
      </c>
      <c r="J1966" s="10">
        <v>0.53347622011143803</v>
      </c>
      <c r="K1966" s="29">
        <v>0.98289565623980701</v>
      </c>
    </row>
    <row r="1967" spans="1:11" x14ac:dyDescent="0.35">
      <c r="A1967" s="9" t="str">
        <f>HYPERLINK("http://www.ensembl.org/id/WBGene00005745", "WBGene00005745")</f>
        <v>WBGene00005745</v>
      </c>
      <c r="B1967" s="9" t="str">
        <f>HYPERLINK("http://www.ncbi.nlm.nih.gov/gene/184400", "184400")</f>
        <v>184400</v>
      </c>
      <c r="C1967" s="9"/>
      <c r="D1967" t="str">
        <f>"srv-34"</f>
        <v>srv-34</v>
      </c>
      <c r="E1967" t="s">
        <v>2916</v>
      </c>
      <c r="F1967" t="s">
        <v>11</v>
      </c>
      <c r="G1967" t="s">
        <v>25</v>
      </c>
      <c r="H1967" s="12">
        <v>3.3287535779255002</v>
      </c>
      <c r="I1967" s="11">
        <v>0.62270831115432401</v>
      </c>
      <c r="J1967" s="10">
        <v>0.53347622011143803</v>
      </c>
      <c r="K1967" s="29">
        <v>0.98289565623980701</v>
      </c>
    </row>
    <row r="1968" spans="1:11" x14ac:dyDescent="0.35">
      <c r="A1968" s="9" t="str">
        <f>HYPERLINK("http://www.ensembl.org/id/WBGene00021207", "WBGene00021207")</f>
        <v>WBGene00021207</v>
      </c>
      <c r="B1968" s="9" t="str">
        <f>HYPERLINK("http://www.ncbi.nlm.nih.gov/gene/171660", "171660")</f>
        <v>171660</v>
      </c>
      <c r="C1968" s="9"/>
      <c r="D1968" t="str">
        <f>"ptp-5.3"</f>
        <v>ptp-5.3</v>
      </c>
      <c r="F1968" t="s">
        <v>11</v>
      </c>
      <c r="G1968" t="s">
        <v>4312</v>
      </c>
      <c r="H1968" s="12">
        <v>3.3190446731021699</v>
      </c>
      <c r="I1968" s="11">
        <v>0.86963077422861801</v>
      </c>
      <c r="J1968" s="10">
        <v>0.38450221438598198</v>
      </c>
      <c r="K1968" s="29">
        <v>0.98289565623980701</v>
      </c>
    </row>
    <row r="1969" spans="1:11" x14ac:dyDescent="0.35">
      <c r="A1969" s="9" t="str">
        <f>HYPERLINK("http://www.ensembl.org/id/WBGene00013517", "WBGene00013517")</f>
        <v>WBGene00013517</v>
      </c>
      <c r="B1969" s="9" t="str">
        <f>HYPERLINK("http://www.ncbi.nlm.nih.gov/gene/190669", "190669")</f>
        <v>190669</v>
      </c>
      <c r="C1969" s="9"/>
      <c r="D1969" t="str">
        <f>"lgc-52"</f>
        <v>lgc-52</v>
      </c>
      <c r="E1969" t="s">
        <v>505</v>
      </c>
      <c r="F1969" t="s">
        <v>11</v>
      </c>
      <c r="G1969" t="s">
        <v>506</v>
      </c>
      <c r="H1969" s="12">
        <v>3.31859340598528</v>
      </c>
      <c r="I1969" s="11">
        <v>1.5438589414397501</v>
      </c>
      <c r="J1969" s="10">
        <v>0.122622508656167</v>
      </c>
      <c r="K1969" s="29">
        <v>0.79480141890984701</v>
      </c>
    </row>
    <row r="1970" spans="1:11" x14ac:dyDescent="0.35">
      <c r="A1970" s="9" t="str">
        <f>HYPERLINK("http://www.ensembl.org/id/WBGene00020646", "WBGene00020646")</f>
        <v>WBGene00020646</v>
      </c>
      <c r="B1970" s="9" t="str">
        <f>HYPERLINK("http://www.ncbi.nlm.nih.gov/gene/176025", "176025")</f>
        <v>176025</v>
      </c>
      <c r="C1970" s="9"/>
      <c r="D1970" t="str">
        <f>"zmp-6"</f>
        <v>zmp-6</v>
      </c>
      <c r="E1970" t="s">
        <v>2378</v>
      </c>
      <c r="F1970" t="s">
        <v>11</v>
      </c>
      <c r="G1970" t="s">
        <v>2379</v>
      </c>
      <c r="H1970" s="12">
        <v>3.31790642479708</v>
      </c>
      <c r="I1970" s="11">
        <v>1.7040220041596901</v>
      </c>
      <c r="J1970" s="10">
        <v>8.8376976457999704E-2</v>
      </c>
      <c r="K1970" s="29">
        <v>0.691513179152909</v>
      </c>
    </row>
    <row r="1971" spans="1:11" x14ac:dyDescent="0.35">
      <c r="A1971" s="9" t="str">
        <f>HYPERLINK("http://www.ensembl.org/id/WBGene00001875", "WBGene00001875")</f>
        <v>WBGene00001875</v>
      </c>
      <c r="B1971" s="9" t="str">
        <f>HYPERLINK("http://www.ncbi.nlm.nih.gov/gene/191667", "191667")</f>
        <v>191667</v>
      </c>
      <c r="C1971" s="9"/>
      <c r="D1971" t="str">
        <f>"his-1"</f>
        <v>his-1</v>
      </c>
      <c r="E1971" t="s">
        <v>2675</v>
      </c>
      <c r="F1971" t="s">
        <v>11</v>
      </c>
      <c r="G1971" t="s">
        <v>232</v>
      </c>
      <c r="H1971" s="12">
        <v>3.31704710873385</v>
      </c>
      <c r="I1971" s="11">
        <v>1.6020465674515201</v>
      </c>
      <c r="J1971" s="10">
        <v>0.109145312300804</v>
      </c>
      <c r="K1971" s="29">
        <v>0.76009092340251805</v>
      </c>
    </row>
    <row r="1972" spans="1:11" x14ac:dyDescent="0.35">
      <c r="A1972" s="9" t="str">
        <f>HYPERLINK("http://www.ensembl.org/id/WBGene00012116", "WBGene00012116")</f>
        <v>WBGene00012116</v>
      </c>
      <c r="B1972" s="9" t="str">
        <f>HYPERLINK("http://www.ncbi.nlm.nih.gov/gene/189033", "189033")</f>
        <v>189033</v>
      </c>
      <c r="C1972" s="9" t="str">
        <f>HYPERLINK("http://www.ncbi.nlm.nih.gov/gene/6340", "6340")</f>
        <v>6340</v>
      </c>
      <c r="D1972" t="str">
        <f>"del-4"</f>
        <v>del-4</v>
      </c>
      <c r="E1972" t="s">
        <v>210</v>
      </c>
      <c r="F1972" t="s">
        <v>11</v>
      </c>
      <c r="G1972" t="s">
        <v>211</v>
      </c>
      <c r="H1972" s="12">
        <v>3.3089932936891802</v>
      </c>
      <c r="I1972" s="11">
        <v>1.78595836836864</v>
      </c>
      <c r="J1972" s="10">
        <v>7.4105999134965295E-2</v>
      </c>
      <c r="K1972" s="29">
        <v>0.64167496121180401</v>
      </c>
    </row>
    <row r="1973" spans="1:11" x14ac:dyDescent="0.35">
      <c r="A1973" s="9" t="str">
        <f>HYPERLINK("http://www.ensembl.org/id/WBGene00007251", "WBGene00007251")</f>
        <v>WBGene00007251</v>
      </c>
      <c r="B1973" s="9" t="str">
        <f>HYPERLINK("http://www.ncbi.nlm.nih.gov/gene/3564924", "3564924")</f>
        <v>3564924</v>
      </c>
      <c r="C1973" s="9"/>
      <c r="D1973" t="str">
        <f>"nspb-9"</f>
        <v>nspb-9</v>
      </c>
      <c r="E1973" t="s">
        <v>1851</v>
      </c>
      <c r="F1973" t="s">
        <v>11</v>
      </c>
      <c r="H1973" s="12">
        <v>3.3072969085722499</v>
      </c>
      <c r="I1973" s="11">
        <v>1.0031687698568701</v>
      </c>
      <c r="J1973" s="10">
        <v>0.31577943843547002</v>
      </c>
      <c r="K1973" s="29">
        <v>0.98289565623980701</v>
      </c>
    </row>
    <row r="1974" spans="1:11" x14ac:dyDescent="0.35">
      <c r="A1974" s="9" t="str">
        <f>HYPERLINK("http://www.ensembl.org/id/WBGene00018929", "WBGene00018929")</f>
        <v>WBGene00018929</v>
      </c>
      <c r="B1974" s="9"/>
      <c r="C1974" s="9"/>
      <c r="D1974" t="str">
        <f>"F56B3.3"</f>
        <v>F56B3.3</v>
      </c>
      <c r="F1974" t="s">
        <v>80</v>
      </c>
      <c r="H1974" s="12">
        <v>3.30563933775472</v>
      </c>
      <c r="I1974" s="11">
        <v>0.47954597991377201</v>
      </c>
      <c r="J1974" s="10">
        <v>0.63155026602037101</v>
      </c>
      <c r="K1974" s="29">
        <v>0.98289565623980701</v>
      </c>
    </row>
    <row r="1975" spans="1:11" x14ac:dyDescent="0.35">
      <c r="A1975" s="9" t="str">
        <f>HYPERLINK("http://www.ensembl.org/id/WBGene00000679", "WBGene00000679")</f>
        <v>WBGene00000679</v>
      </c>
      <c r="B1975" s="9" t="str">
        <f>HYPERLINK("http://www.ncbi.nlm.nih.gov/gene/186529", "186529")</f>
        <v>186529</v>
      </c>
      <c r="C1975" s="9"/>
      <c r="D1975" t="str">
        <f>"col-105"</f>
        <v>col-105</v>
      </c>
      <c r="E1975" t="s">
        <v>40</v>
      </c>
      <c r="F1975" t="s">
        <v>11</v>
      </c>
      <c r="G1975" t="s">
        <v>94</v>
      </c>
      <c r="H1975" s="12">
        <v>3.3054997365195802</v>
      </c>
      <c r="I1975" s="11">
        <v>1.06932941876863</v>
      </c>
      <c r="J1975" s="10">
        <v>0.28492125894132397</v>
      </c>
      <c r="K1975" s="29">
        <v>0.98289565623980701</v>
      </c>
    </row>
    <row r="1976" spans="1:11" x14ac:dyDescent="0.35">
      <c r="A1976" s="9" t="str">
        <f>HYPERLINK("http://www.ensembl.org/id/WBGene00016782", "WBGene00016782")</f>
        <v>WBGene00016782</v>
      </c>
      <c r="B1976" s="9" t="str">
        <f>HYPERLINK("http://www.ncbi.nlm.nih.gov/gene/178809", "178809")</f>
        <v>178809</v>
      </c>
      <c r="C1976" s="9"/>
      <c r="D1976" t="str">
        <f>"phat-3"</f>
        <v>phat-3</v>
      </c>
      <c r="E1976" t="s">
        <v>424</v>
      </c>
      <c r="F1976" t="s">
        <v>11</v>
      </c>
      <c r="G1976" t="s">
        <v>425</v>
      </c>
      <c r="H1976" s="12">
        <v>3.3028780345319499</v>
      </c>
      <c r="I1976" s="11">
        <v>2.8505081978991802</v>
      </c>
      <c r="J1976" s="10">
        <v>4.3649425152359998E-3</v>
      </c>
      <c r="K1976" s="29">
        <v>0.111075288278682</v>
      </c>
    </row>
    <row r="1977" spans="1:11" x14ac:dyDescent="0.35">
      <c r="A1977" s="9" t="str">
        <f>HYPERLINK("http://www.ensembl.org/id/WBGene00003573", "WBGene00003573")</f>
        <v>WBGene00003573</v>
      </c>
      <c r="B1977" s="9" t="str">
        <f>HYPERLINK("http://www.ncbi.nlm.nih.gov/gene/182575", "182575")</f>
        <v>182575</v>
      </c>
      <c r="C1977" s="9" t="str">
        <f>HYPERLINK("http://www.ncbi.nlm.nih.gov/gene/80024", "80024")</f>
        <v>80024</v>
      </c>
      <c r="D1977" t="str">
        <f>"ncx-8"</f>
        <v>ncx-8</v>
      </c>
      <c r="E1977" t="s">
        <v>542</v>
      </c>
      <c r="F1977" t="s">
        <v>11</v>
      </c>
      <c r="G1977" t="s">
        <v>1632</v>
      </c>
      <c r="H1977" s="12">
        <v>3.3027884884885501</v>
      </c>
      <c r="I1977" s="11">
        <v>2.0583154490344202</v>
      </c>
      <c r="J1977" s="10">
        <v>3.9559862127264298E-2</v>
      </c>
      <c r="K1977" s="29">
        <v>0.45864032830535301</v>
      </c>
    </row>
    <row r="1978" spans="1:11" x14ac:dyDescent="0.35">
      <c r="A1978" s="9" t="str">
        <f>HYPERLINK("http://www.ensembl.org/id/WBGene00001876", "WBGene00001876")</f>
        <v>WBGene00001876</v>
      </c>
      <c r="B1978" s="9" t="str">
        <f>HYPERLINK("http://www.ncbi.nlm.nih.gov/gene/180074", "180074")</f>
        <v>180074</v>
      </c>
      <c r="C1978" s="9" t="str">
        <f>HYPERLINK("http://www.ncbi.nlm.nih.gov/gene/8356", "8356")</f>
        <v>8356</v>
      </c>
      <c r="D1978" t="str">
        <f>"his-2"</f>
        <v>his-2</v>
      </c>
      <c r="E1978" t="s">
        <v>3683</v>
      </c>
      <c r="F1978" t="s">
        <v>11</v>
      </c>
      <c r="G1978" t="s">
        <v>232</v>
      </c>
      <c r="H1978" s="12">
        <v>3.29717357938903</v>
      </c>
      <c r="I1978" s="11">
        <v>1.3227396999966201</v>
      </c>
      <c r="J1978" s="10">
        <v>0.18592195629989799</v>
      </c>
      <c r="K1978" s="29">
        <v>0.92501056642707302</v>
      </c>
    </row>
    <row r="1979" spans="1:11" x14ac:dyDescent="0.35">
      <c r="A1979" s="9" t="str">
        <f>HYPERLINK("http://www.ensembl.org/id/WBGene00005715", "WBGene00005715")</f>
        <v>WBGene00005715</v>
      </c>
      <c r="B1979" s="9" t="str">
        <f>HYPERLINK("http://www.ncbi.nlm.nih.gov/gene/184535", "184535")</f>
        <v>184535</v>
      </c>
      <c r="C1979" s="9"/>
      <c r="D1979" t="str">
        <f>"srv-4"</f>
        <v>srv-4</v>
      </c>
      <c r="E1979" t="s">
        <v>2916</v>
      </c>
      <c r="F1979" t="s">
        <v>11</v>
      </c>
      <c r="G1979" t="s">
        <v>25</v>
      </c>
      <c r="H1979" s="12">
        <v>3.28904808381313</v>
      </c>
      <c r="I1979" s="11">
        <v>1.22930950573842</v>
      </c>
      <c r="J1979" s="10">
        <v>0.21895578462830101</v>
      </c>
      <c r="K1979" s="29">
        <v>0.97068157321978699</v>
      </c>
    </row>
    <row r="1980" spans="1:11" x14ac:dyDescent="0.35">
      <c r="A1980" s="9" t="str">
        <f>HYPERLINK("http://www.ensembl.org/id/WBGene00172412", "WBGene00172412")</f>
        <v>WBGene00172412</v>
      </c>
      <c r="B1980" s="9"/>
      <c r="C1980" s="9"/>
      <c r="D1980" t="str">
        <f>"21ur-13424"</f>
        <v>21ur-13424</v>
      </c>
      <c r="F1980" t="s">
        <v>3161</v>
      </c>
      <c r="H1980" s="12">
        <v>3.28624938312884</v>
      </c>
      <c r="I1980" s="11">
        <v>0.36379512681977599</v>
      </c>
      <c r="J1980" s="10">
        <v>0.716011001908614</v>
      </c>
      <c r="K1980" s="29">
        <v>0.98289565623980701</v>
      </c>
    </row>
    <row r="1981" spans="1:11" x14ac:dyDescent="0.35">
      <c r="A1981" s="9" t="str">
        <f>HYPERLINK("http://www.ensembl.org/id/WBGene00173957", "WBGene00173957")</f>
        <v>WBGene00173957</v>
      </c>
      <c r="B1981" s="9"/>
      <c r="C1981" s="9"/>
      <c r="D1981" t="str">
        <f>"21ur-15523"</f>
        <v>21ur-15523</v>
      </c>
      <c r="F1981" t="s">
        <v>3161</v>
      </c>
      <c r="H1981" s="12">
        <v>3.28624938312884</v>
      </c>
      <c r="I1981" s="11">
        <v>0.36379512681977599</v>
      </c>
      <c r="J1981" s="10">
        <v>0.716011001908614</v>
      </c>
      <c r="K1981" s="29">
        <v>0.98289565623980701</v>
      </c>
    </row>
    <row r="1982" spans="1:11" x14ac:dyDescent="0.35">
      <c r="A1982" s="9" t="str">
        <f>HYPERLINK("http://www.ensembl.org/id/WBGene00171807", "WBGene00171807")</f>
        <v>WBGene00171807</v>
      </c>
      <c r="B1982" s="9"/>
      <c r="C1982" s="9"/>
      <c r="D1982" t="str">
        <f>"21ur-6127"</f>
        <v>21ur-6127</v>
      </c>
      <c r="F1982" t="s">
        <v>3161</v>
      </c>
      <c r="H1982" s="12">
        <v>3.28624938312884</v>
      </c>
      <c r="I1982" s="11">
        <v>0.36379512681977599</v>
      </c>
      <c r="J1982" s="10">
        <v>0.716011001908614</v>
      </c>
      <c r="K1982" s="29">
        <v>0.98289565623980701</v>
      </c>
    </row>
    <row r="1983" spans="1:11" x14ac:dyDescent="0.35">
      <c r="A1983" s="9" t="str">
        <f>HYPERLINK("http://www.ensembl.org/id/WBGene00015528", "WBGene00015528")</f>
        <v>WBGene00015528</v>
      </c>
      <c r="B1983" s="9" t="str">
        <f>HYPERLINK("http://www.ncbi.nlm.nih.gov/gene/182320", "182320")</f>
        <v>182320</v>
      </c>
      <c r="C1983" s="9"/>
      <c r="D1983" t="str">
        <f>"C06E2.2"</f>
        <v>C06E2.2</v>
      </c>
      <c r="F1983" t="s">
        <v>11</v>
      </c>
      <c r="H1983" s="12">
        <v>3.28624938312884</v>
      </c>
      <c r="I1983" s="11">
        <v>0.36379512681977599</v>
      </c>
      <c r="J1983" s="10">
        <v>0.716011001908614</v>
      </c>
      <c r="K1983" s="29">
        <v>0.98289565623980701</v>
      </c>
    </row>
    <row r="1984" spans="1:11" x14ac:dyDescent="0.35">
      <c r="A1984" s="9" t="str">
        <f>HYPERLINK("http://www.ensembl.org/id/WBGene00007542", "WBGene00007542")</f>
        <v>WBGene00007542</v>
      </c>
      <c r="B1984" s="9" t="str">
        <f>HYPERLINK("http://www.ncbi.nlm.nih.gov/gene/3565391", "3565391")</f>
        <v>3565391</v>
      </c>
      <c r="C1984" s="9"/>
      <c r="D1984" t="str">
        <f>"C12D8.15"</f>
        <v>C12D8.15</v>
      </c>
      <c r="F1984" t="s">
        <v>11</v>
      </c>
      <c r="G1984" t="s">
        <v>25</v>
      </c>
      <c r="H1984" s="12">
        <v>3.28624938312884</v>
      </c>
      <c r="I1984" s="11">
        <v>0.36379512681977599</v>
      </c>
      <c r="J1984" s="10">
        <v>0.716011001908614</v>
      </c>
      <c r="K1984" s="29">
        <v>0.98289565623980701</v>
      </c>
    </row>
    <row r="1985" spans="1:11" x14ac:dyDescent="0.35">
      <c r="A1985" s="9" t="str">
        <f>HYPERLINK("http://www.ensembl.org/id/WBGene00016941", "WBGene00016941")</f>
        <v>WBGene00016941</v>
      </c>
      <c r="B1985" s="9" t="str">
        <f>HYPERLINK("http://www.ncbi.nlm.nih.gov/gene/183840", "183840")</f>
        <v>183840</v>
      </c>
      <c r="C1985" s="9"/>
      <c r="D1985" t="str">
        <f>"C55B6.5"</f>
        <v>C55B6.5</v>
      </c>
      <c r="F1985" t="s">
        <v>11</v>
      </c>
      <c r="G1985" t="s">
        <v>4313</v>
      </c>
      <c r="H1985" s="12">
        <v>3.28624938312884</v>
      </c>
      <c r="I1985" s="11">
        <v>0.36379512681977599</v>
      </c>
      <c r="J1985" s="10">
        <v>0.716011001908614</v>
      </c>
      <c r="K1985" s="29">
        <v>0.98289565623980701</v>
      </c>
    </row>
    <row r="1986" spans="1:11" x14ac:dyDescent="0.35">
      <c r="A1986" s="9" t="str">
        <f>HYPERLINK("http://www.ensembl.org/id/WBGene00000642", "WBGene00000642")</f>
        <v>WBGene00000642</v>
      </c>
      <c r="B1986" s="9"/>
      <c r="C1986" s="9"/>
      <c r="D1986" t="str">
        <f>"col-66"</f>
        <v>col-66</v>
      </c>
      <c r="F1986" t="s">
        <v>80</v>
      </c>
      <c r="H1986" s="12">
        <v>3.28624938312884</v>
      </c>
      <c r="I1986" s="11">
        <v>0.36379512681977599</v>
      </c>
      <c r="J1986" s="10">
        <v>0.716011001908614</v>
      </c>
      <c r="K1986" s="29">
        <v>0.98289565623980701</v>
      </c>
    </row>
    <row r="1987" spans="1:11" x14ac:dyDescent="0.35">
      <c r="A1987" s="9" t="str">
        <f>HYPERLINK("http://www.ensembl.org/id/WBGene00016296", "WBGene00016296")</f>
        <v>WBGene00016296</v>
      </c>
      <c r="B1987" s="9"/>
      <c r="C1987" s="9"/>
      <c r="D1987" t="str">
        <f>"fbxc-16"</f>
        <v>fbxc-16</v>
      </c>
      <c r="F1987" t="s">
        <v>80</v>
      </c>
      <c r="H1987" s="12">
        <v>3.28624938312884</v>
      </c>
      <c r="I1987" s="11">
        <v>0.36379512681977599</v>
      </c>
      <c r="J1987" s="10">
        <v>0.716011001908614</v>
      </c>
      <c r="K1987" s="29">
        <v>0.98289565623980701</v>
      </c>
    </row>
    <row r="1988" spans="1:11" x14ac:dyDescent="0.35">
      <c r="A1988" s="9" t="str">
        <f>HYPERLINK("http://www.ensembl.org/id/WBGene00010455", "WBGene00010455")</f>
        <v>WBGene00010455</v>
      </c>
      <c r="B1988" s="9" t="str">
        <f>HYPERLINK("http://www.ncbi.nlm.nih.gov/gene/3565788", "3565788")</f>
        <v>3565788</v>
      </c>
      <c r="C1988" s="9"/>
      <c r="D1988" t="str">
        <f>"K01B6.4"</f>
        <v>K01B6.4</v>
      </c>
      <c r="F1988" t="s">
        <v>11</v>
      </c>
      <c r="H1988" s="12">
        <v>3.28624938312884</v>
      </c>
      <c r="I1988" s="11">
        <v>0.36379512681977599</v>
      </c>
      <c r="J1988" s="10">
        <v>0.716011001908614</v>
      </c>
      <c r="K1988" s="29">
        <v>0.98289565623980701</v>
      </c>
    </row>
    <row r="1989" spans="1:11" x14ac:dyDescent="0.35">
      <c r="A1989" s="9" t="str">
        <f>HYPERLINK("http://www.ensembl.org/id/WBGene00199086", "WBGene00199086")</f>
        <v>WBGene00199086</v>
      </c>
      <c r="B1989" s="9"/>
      <c r="C1989" s="9"/>
      <c r="D1989" t="str">
        <f>"K08A8.20"</f>
        <v>K08A8.20</v>
      </c>
      <c r="F1989" t="s">
        <v>481</v>
      </c>
      <c r="H1989" s="12">
        <v>3.28624938312884</v>
      </c>
      <c r="I1989" s="11">
        <v>0.36379512681977599</v>
      </c>
      <c r="J1989" s="10">
        <v>0.716011001908614</v>
      </c>
      <c r="K1989" s="29">
        <v>0.98289565623980701</v>
      </c>
    </row>
    <row r="1990" spans="1:11" x14ac:dyDescent="0.35">
      <c r="A1990" s="9" t="str">
        <f>HYPERLINK("http://www.ensembl.org/id/WBGene00196871", "WBGene00196871")</f>
        <v>WBGene00196871</v>
      </c>
      <c r="B1990" s="9"/>
      <c r="C1990" s="9"/>
      <c r="D1990" t="str">
        <f>"K11C4.8"</f>
        <v>K11C4.8</v>
      </c>
      <c r="F1990" t="s">
        <v>481</v>
      </c>
      <c r="H1990" s="12">
        <v>3.28624938312884</v>
      </c>
      <c r="I1990" s="11">
        <v>0.36379512681977599</v>
      </c>
      <c r="J1990" s="10">
        <v>0.716011001908614</v>
      </c>
      <c r="K1990" s="29">
        <v>0.98289565623980701</v>
      </c>
    </row>
    <row r="1991" spans="1:11" x14ac:dyDescent="0.35">
      <c r="A1991" s="9" t="str">
        <f>HYPERLINK("http://www.ensembl.org/id/WBGene00020292", "WBGene00020292")</f>
        <v>WBGene00020292</v>
      </c>
      <c r="B1991" s="9" t="str">
        <f>HYPERLINK("http://www.ncbi.nlm.nih.gov/gene/188175", "188175")</f>
        <v>188175</v>
      </c>
      <c r="C1991" s="9"/>
      <c r="D1991" t="str">
        <f>"nep-19"</f>
        <v>nep-19</v>
      </c>
      <c r="E1991" t="s">
        <v>683</v>
      </c>
      <c r="F1991" t="s">
        <v>11</v>
      </c>
      <c r="G1991" t="s">
        <v>1479</v>
      </c>
      <c r="H1991" s="12">
        <v>3.28624938312884</v>
      </c>
      <c r="I1991" s="11">
        <v>0.36379512681977599</v>
      </c>
      <c r="J1991" s="10">
        <v>0.716011001908614</v>
      </c>
      <c r="K1991" s="29">
        <v>0.98289565623980701</v>
      </c>
    </row>
    <row r="1992" spans="1:11" x14ac:dyDescent="0.35">
      <c r="A1992" s="9" t="str">
        <f>HYPERLINK("http://www.ensembl.org/id/WBGene00006025", "WBGene00006025")</f>
        <v>WBGene00006025</v>
      </c>
      <c r="B1992" s="9" t="str">
        <f>HYPERLINK("http://www.ncbi.nlm.nih.gov/gene/184254", "184254")</f>
        <v>184254</v>
      </c>
      <c r="C1992" s="9"/>
      <c r="D1992" t="str">
        <f>"srx-134"</f>
        <v>srx-134</v>
      </c>
      <c r="E1992" t="s">
        <v>1477</v>
      </c>
      <c r="F1992" t="s">
        <v>11</v>
      </c>
      <c r="G1992" t="s">
        <v>25</v>
      </c>
      <c r="H1992" s="12">
        <v>3.28624938312884</v>
      </c>
      <c r="I1992" s="11">
        <v>0.36379512681977599</v>
      </c>
      <c r="J1992" s="10">
        <v>0.716011001908614</v>
      </c>
      <c r="K1992" s="29">
        <v>0.98289565623980701</v>
      </c>
    </row>
    <row r="1993" spans="1:11" x14ac:dyDescent="0.35">
      <c r="A1993" s="9" t="str">
        <f>HYPERLINK("http://www.ensembl.org/id/WBGene00015637", "WBGene00015637")</f>
        <v>WBGene00015637</v>
      </c>
      <c r="B1993" s="9" t="str">
        <f>HYPERLINK("http://www.ncbi.nlm.nih.gov/gene/182448", "182448")</f>
        <v>182448</v>
      </c>
      <c r="C1993" s="9"/>
      <c r="D1993" t="str">
        <f>"srxa-5"</f>
        <v>srxa-5</v>
      </c>
      <c r="E1993" t="s">
        <v>3765</v>
      </c>
      <c r="F1993" t="s">
        <v>11</v>
      </c>
      <c r="G1993" t="s">
        <v>25</v>
      </c>
      <c r="H1993" s="12">
        <v>3.28624938312884</v>
      </c>
      <c r="I1993" s="11">
        <v>0.36379512681977599</v>
      </c>
      <c r="J1993" s="10">
        <v>0.716011001908614</v>
      </c>
      <c r="K1993" s="29">
        <v>0.98289565623980701</v>
      </c>
    </row>
    <row r="1994" spans="1:11" x14ac:dyDescent="0.35">
      <c r="A1994" s="9" t="str">
        <f>HYPERLINK("http://www.ensembl.org/id/WBGene00020244", "WBGene00020244")</f>
        <v>WBGene00020244</v>
      </c>
      <c r="B1994" s="9" t="str">
        <f>HYPERLINK("http://www.ncbi.nlm.nih.gov/gene/188108", "188108")</f>
        <v>188108</v>
      </c>
      <c r="C1994" s="9"/>
      <c r="D1994" t="str">
        <f>"T05B4.13"</f>
        <v>T05B4.13</v>
      </c>
      <c r="F1994" t="s">
        <v>11</v>
      </c>
      <c r="H1994" s="12">
        <v>3.28624938312884</v>
      </c>
      <c r="I1994" s="11">
        <v>0.36379512681977599</v>
      </c>
      <c r="J1994" s="10">
        <v>0.716011001908614</v>
      </c>
      <c r="K1994" s="29">
        <v>0.98289565623980701</v>
      </c>
    </row>
    <row r="1995" spans="1:11" x14ac:dyDescent="0.35">
      <c r="A1995" s="9" t="str">
        <f>HYPERLINK("http://www.ensembl.org/id/WBGene00023136", "WBGene00023136")</f>
        <v>WBGene00023136</v>
      </c>
      <c r="B1995" s="9"/>
      <c r="C1995" s="9"/>
      <c r="D1995" t="str">
        <f>"T09B4.t2"</f>
        <v>T09B4.t2</v>
      </c>
      <c r="F1995" t="s">
        <v>4208</v>
      </c>
      <c r="H1995" s="12">
        <v>3.28624938312884</v>
      </c>
      <c r="I1995" s="11">
        <v>0.36379512681977599</v>
      </c>
      <c r="J1995" s="10">
        <v>0.716011001908614</v>
      </c>
      <c r="K1995" s="29">
        <v>0.98289565623980701</v>
      </c>
    </row>
    <row r="1996" spans="1:11" x14ac:dyDescent="0.35">
      <c r="A1996" s="9" t="str">
        <f>HYPERLINK("http://www.ensembl.org/id/WBGene00195117", "WBGene00195117")</f>
        <v>WBGene00195117</v>
      </c>
      <c r="B1996" s="9"/>
      <c r="C1996" s="9"/>
      <c r="D1996" t="str">
        <f>"T13F3.10"</f>
        <v>T13F3.10</v>
      </c>
      <c r="F1996" t="s">
        <v>2735</v>
      </c>
      <c r="H1996" s="12">
        <v>3.28624938312884</v>
      </c>
      <c r="I1996" s="11">
        <v>0.36379512681977599</v>
      </c>
      <c r="J1996" s="10">
        <v>0.716011001908614</v>
      </c>
      <c r="K1996" s="29">
        <v>0.98289565623980701</v>
      </c>
    </row>
    <row r="1997" spans="1:11" x14ac:dyDescent="0.35">
      <c r="A1997" s="9" t="str">
        <f>HYPERLINK("http://www.ensembl.org/id/WBGene00014561", "WBGene00014561")</f>
        <v>WBGene00014561</v>
      </c>
      <c r="B1997" s="9"/>
      <c r="C1997" s="9"/>
      <c r="D1997" t="str">
        <f>"Y7A9D.t3"</f>
        <v>Y7A9D.t3</v>
      </c>
      <c r="F1997" t="s">
        <v>4208</v>
      </c>
      <c r="H1997" s="12">
        <v>3.28624938312884</v>
      </c>
      <c r="I1997" s="11">
        <v>0.36379512681977599</v>
      </c>
      <c r="J1997" s="10">
        <v>0.716011001908614</v>
      </c>
      <c r="K1997" s="29">
        <v>0.98289565623980701</v>
      </c>
    </row>
    <row r="1998" spans="1:11" x14ac:dyDescent="0.35">
      <c r="A1998" s="9" t="str">
        <f>HYPERLINK("http://www.ensembl.org/id/WBGene00013961", "WBGene00013961")</f>
        <v>WBGene00013961</v>
      </c>
      <c r="B1998" s="9" t="str">
        <f>HYPERLINK("http://www.ncbi.nlm.nih.gov/gene/3565533", "3565533")</f>
        <v>3565533</v>
      </c>
      <c r="C1998" s="9"/>
      <c r="D1998" t="str">
        <f>"ZK285.2"</f>
        <v>ZK285.2</v>
      </c>
      <c r="F1998" t="s">
        <v>11</v>
      </c>
      <c r="G1998" t="s">
        <v>25</v>
      </c>
      <c r="H1998" s="12">
        <v>3.28624938312884</v>
      </c>
      <c r="I1998" s="11">
        <v>0.36379512681977599</v>
      </c>
      <c r="J1998" s="10">
        <v>0.716011001908614</v>
      </c>
      <c r="K1998" s="29">
        <v>0.98289565623980701</v>
      </c>
    </row>
    <row r="1999" spans="1:11" x14ac:dyDescent="0.35">
      <c r="A1999" s="9" t="str">
        <f>HYPERLINK("http://www.ensembl.org/id/WBGene00012034", "WBGene00012034")</f>
        <v>WBGene00012034</v>
      </c>
      <c r="B1999" s="9" t="str">
        <f>HYPERLINK("http://www.ncbi.nlm.nih.gov/gene/188916", "188916")</f>
        <v>188916</v>
      </c>
      <c r="C1999" s="9"/>
      <c r="D1999" t="str">
        <f>"T26C5.4"</f>
        <v>T26C5.4</v>
      </c>
      <c r="F1999" t="s">
        <v>11</v>
      </c>
      <c r="H1999" s="12">
        <v>3.2839179703050299</v>
      </c>
      <c r="I1999" s="11">
        <v>4.8668895051404997</v>
      </c>
      <c r="J1999" s="10">
        <v>1.13368369706064E-6</v>
      </c>
      <c r="K1999" s="29">
        <v>1.7120846734825599E-4</v>
      </c>
    </row>
    <row r="2000" spans="1:11" x14ac:dyDescent="0.35">
      <c r="A2000" s="9" t="str">
        <f>HYPERLINK("http://www.ensembl.org/id/WBGene00219281", "WBGene00219281")</f>
        <v>WBGene00219281</v>
      </c>
      <c r="B2000" s="9" t="str">
        <f>HYPERLINK("http://www.ncbi.nlm.nih.gov/gene/13180804", "13180804")</f>
        <v>13180804</v>
      </c>
      <c r="C2000" s="9"/>
      <c r="D2000" t="str">
        <f>"K10D3.8"</f>
        <v>K10D3.8</v>
      </c>
      <c r="E2000" t="s">
        <v>4314</v>
      </c>
      <c r="F2000" t="s">
        <v>11</v>
      </c>
      <c r="H2000" s="12">
        <v>3.2821648791160301</v>
      </c>
      <c r="I2000" s="11">
        <v>0.84196269077996799</v>
      </c>
      <c r="J2000" s="10">
        <v>0.39980883744210499</v>
      </c>
      <c r="K2000" s="29">
        <v>0.98289565623980701</v>
      </c>
    </row>
    <row r="2001" spans="1:11" x14ac:dyDescent="0.35">
      <c r="A2001" s="9" t="str">
        <f>HYPERLINK("http://www.ensembl.org/id/WBGene00077763", "WBGene00077763")</f>
        <v>WBGene00077763</v>
      </c>
      <c r="B2001" s="9" t="str">
        <f>HYPERLINK("http://www.ncbi.nlm.nih.gov/gene/7040145", "7040145")</f>
        <v>7040145</v>
      </c>
      <c r="C2001" s="9"/>
      <c r="D2001" t="str">
        <f>"glb-34"</f>
        <v>glb-34</v>
      </c>
      <c r="E2001" t="s">
        <v>633</v>
      </c>
      <c r="F2001" t="s">
        <v>11</v>
      </c>
      <c r="G2001" t="s">
        <v>3081</v>
      </c>
      <c r="H2001" s="12">
        <v>3.2813247773686398</v>
      </c>
      <c r="I2001" s="11">
        <v>1.2834571550186999</v>
      </c>
      <c r="J2001" s="10">
        <v>0.19933196090133101</v>
      </c>
      <c r="K2001" s="29">
        <v>0.945742153713789</v>
      </c>
    </row>
    <row r="2002" spans="1:11" x14ac:dyDescent="0.35">
      <c r="A2002" s="9" t="str">
        <f>HYPERLINK("http://www.ensembl.org/id/WBGene00022287", "WBGene00022287")</f>
        <v>WBGene00022287</v>
      </c>
      <c r="B2002" s="9" t="str">
        <f>HYPERLINK("http://www.ncbi.nlm.nih.gov/gene/178630", "178630")</f>
        <v>178630</v>
      </c>
      <c r="C2002" s="9"/>
      <c r="D2002" t="str">
        <f>"Y75B7AR.1"</f>
        <v>Y75B7AR.1</v>
      </c>
      <c r="F2002" t="s">
        <v>11</v>
      </c>
      <c r="H2002" s="12">
        <v>3.2811715524195302</v>
      </c>
      <c r="I2002" s="11">
        <v>1.8819702959250699</v>
      </c>
      <c r="J2002" s="10">
        <v>5.9840048832051199E-2</v>
      </c>
      <c r="K2002" s="29">
        <v>0.57707185655816995</v>
      </c>
    </row>
    <row r="2003" spans="1:11" x14ac:dyDescent="0.35">
      <c r="A2003" s="9" t="str">
        <f>HYPERLINK("http://www.ensembl.org/id/WBGene00013701", "WBGene00013701")</f>
        <v>WBGene00013701</v>
      </c>
      <c r="B2003" s="9" t="str">
        <f>HYPERLINK("http://www.ncbi.nlm.nih.gov/gene/172876", "172876")</f>
        <v>172876</v>
      </c>
      <c r="C2003" s="9"/>
      <c r="D2003" t="str">
        <f>"Y106G6D.4"</f>
        <v>Y106G6D.4</v>
      </c>
      <c r="F2003" t="s">
        <v>11</v>
      </c>
      <c r="G2003" t="s">
        <v>1962</v>
      </c>
      <c r="H2003" s="12">
        <v>3.2799844343835001</v>
      </c>
      <c r="I2003" s="11">
        <v>1.8913364805949999</v>
      </c>
      <c r="J2003" s="10">
        <v>5.8579441862799897E-2</v>
      </c>
      <c r="K2003" s="29">
        <v>0.57035181324639395</v>
      </c>
    </row>
    <row r="2004" spans="1:11" x14ac:dyDescent="0.35">
      <c r="A2004" s="9" t="str">
        <f>HYPERLINK("http://www.ensembl.org/id/WBGene00195644", "WBGene00195644")</f>
        <v>WBGene00195644</v>
      </c>
      <c r="B2004" s="9"/>
      <c r="C2004" s="9"/>
      <c r="D2004" t="str">
        <f>"Y57A10B.8"</f>
        <v>Y57A10B.8</v>
      </c>
      <c r="F2004" t="s">
        <v>481</v>
      </c>
      <c r="H2004" s="12">
        <v>3.27870548345888</v>
      </c>
      <c r="I2004" s="11">
        <v>0.839754387225363</v>
      </c>
      <c r="J2004" s="10">
        <v>0.40104611276896801</v>
      </c>
      <c r="K2004" s="29">
        <v>0.98289565623980701</v>
      </c>
    </row>
    <row r="2005" spans="1:11" x14ac:dyDescent="0.35">
      <c r="A2005" s="9" t="str">
        <f>HYPERLINK("http://www.ensembl.org/id/WBGene00017426", "WBGene00017426")</f>
        <v>WBGene00017426</v>
      </c>
      <c r="B2005" s="9" t="str">
        <f>HYPERLINK("http://www.ncbi.nlm.nih.gov/gene/180412", "180412")</f>
        <v>180412</v>
      </c>
      <c r="C2005" s="9"/>
      <c r="D2005" t="str">
        <f>"F13C5.5"</f>
        <v>F13C5.5</v>
      </c>
      <c r="F2005" t="s">
        <v>11</v>
      </c>
      <c r="G2005" t="s">
        <v>25</v>
      </c>
      <c r="H2005" s="12">
        <v>3.2654956552087002</v>
      </c>
      <c r="I2005" s="11">
        <v>4.87008802183606</v>
      </c>
      <c r="J2005" s="10">
        <v>1.1154854616816801E-6</v>
      </c>
      <c r="K2005" s="29">
        <v>1.6956846761590001E-4</v>
      </c>
    </row>
    <row r="2006" spans="1:11" x14ac:dyDescent="0.35">
      <c r="A2006" s="9" t="str">
        <f>HYPERLINK("http://www.ensembl.org/id/WBGene00011928", "WBGene00011928")</f>
        <v>WBGene00011928</v>
      </c>
      <c r="B2006" s="9" t="str">
        <f>HYPERLINK("http://www.ncbi.nlm.nih.gov/gene/188735", "188735")</f>
        <v>188735</v>
      </c>
      <c r="C2006" s="9"/>
      <c r="D2006" t="str">
        <f>"cutl-12"</f>
        <v>cutl-12</v>
      </c>
      <c r="E2006" t="s">
        <v>166</v>
      </c>
      <c r="F2006" t="s">
        <v>11</v>
      </c>
      <c r="G2006" t="s">
        <v>25</v>
      </c>
      <c r="H2006" s="12">
        <v>3.2630055700936298</v>
      </c>
      <c r="I2006" s="11">
        <v>4.8520284672006904</v>
      </c>
      <c r="J2006" s="10">
        <v>1.22205076445136E-6</v>
      </c>
      <c r="K2006" s="29">
        <v>1.8100451899623801E-4</v>
      </c>
    </row>
    <row r="2007" spans="1:11" x14ac:dyDescent="0.35">
      <c r="A2007" s="9" t="str">
        <f>HYPERLINK("http://www.ensembl.org/id/WBGene00005547", "WBGene00005547")</f>
        <v>WBGene00005547</v>
      </c>
      <c r="B2007" s="9"/>
      <c r="C2007" s="9"/>
      <c r="D2007" t="str">
        <f>"sri-35"</f>
        <v>sri-35</v>
      </c>
      <c r="F2007" t="s">
        <v>80</v>
      </c>
      <c r="H2007" s="12">
        <v>3.26262118372756</v>
      </c>
      <c r="I2007" s="11">
        <v>0.53374819968693399</v>
      </c>
      <c r="J2007" s="10">
        <v>0.593515756745706</v>
      </c>
      <c r="K2007" s="29">
        <v>0.98289565623980701</v>
      </c>
    </row>
    <row r="2008" spans="1:11" x14ac:dyDescent="0.35">
      <c r="A2008" s="9" t="str">
        <f>HYPERLINK("http://www.ensembl.org/id/WBGene00005845", "WBGene00005845")</f>
        <v>WBGene00005845</v>
      </c>
      <c r="B2008" s="9" t="str">
        <f>HYPERLINK("http://www.ncbi.nlm.nih.gov/gene/186990", "186990")</f>
        <v>186990</v>
      </c>
      <c r="C2008" s="9"/>
      <c r="D2008" t="str">
        <f>"srw-98"</f>
        <v>srw-98</v>
      </c>
      <c r="E2008" t="s">
        <v>1014</v>
      </c>
      <c r="F2008" t="s">
        <v>11</v>
      </c>
      <c r="G2008" t="s">
        <v>1015</v>
      </c>
      <c r="H2008" s="12">
        <v>3.2607884036226999</v>
      </c>
      <c r="I2008" s="11">
        <v>0.96432136857658102</v>
      </c>
      <c r="J2008" s="10">
        <v>0.33488483084645598</v>
      </c>
      <c r="K2008" s="29">
        <v>0.98289565623980701</v>
      </c>
    </row>
    <row r="2009" spans="1:11" x14ac:dyDescent="0.35">
      <c r="A2009" s="9" t="str">
        <f>HYPERLINK("http://www.ensembl.org/id/WBGene00005925", "WBGene00005925")</f>
        <v>WBGene00005925</v>
      </c>
      <c r="B2009" s="9" t="str">
        <f>HYPERLINK("http://www.ncbi.nlm.nih.gov/gene/187944", "187944")</f>
        <v>187944</v>
      </c>
      <c r="C2009" s="9"/>
      <c r="D2009" t="str">
        <f>"srx-34"</f>
        <v>srx-34</v>
      </c>
      <c r="E2009" t="s">
        <v>1477</v>
      </c>
      <c r="F2009" t="s">
        <v>11</v>
      </c>
      <c r="G2009" t="s">
        <v>25</v>
      </c>
      <c r="H2009" s="12">
        <v>3.2562063260019198</v>
      </c>
      <c r="I2009" s="11">
        <v>0.77725593500493695</v>
      </c>
      <c r="J2009" s="10">
        <v>0.43700778718184402</v>
      </c>
      <c r="K2009" s="29">
        <v>0.98289565623980701</v>
      </c>
    </row>
    <row r="2010" spans="1:11" x14ac:dyDescent="0.35">
      <c r="A2010" s="9" t="str">
        <f>HYPERLINK("http://www.ensembl.org/id/WBGene00007439", "WBGene00007439")</f>
        <v>WBGene00007439</v>
      </c>
      <c r="B2010" s="9" t="str">
        <f>HYPERLINK("http://www.ncbi.nlm.nih.gov/gene/182408", "182408")</f>
        <v>182408</v>
      </c>
      <c r="C2010" s="9"/>
      <c r="D2010" t="str">
        <f>"C08E8.3"</f>
        <v>C08E8.3</v>
      </c>
      <c r="F2010" t="s">
        <v>11</v>
      </c>
      <c r="H2010" s="12">
        <v>3.2556323623688201</v>
      </c>
      <c r="I2010" s="11">
        <v>1.3139929490312501</v>
      </c>
      <c r="J2010" s="10">
        <v>0.18884857705208799</v>
      </c>
      <c r="K2010" s="29">
        <v>0.92698805350409297</v>
      </c>
    </row>
    <row r="2011" spans="1:11" x14ac:dyDescent="0.35">
      <c r="A2011" s="9" t="str">
        <f>HYPERLINK("http://www.ensembl.org/id/WBGene00044997", "WBGene00044997")</f>
        <v>WBGene00044997</v>
      </c>
      <c r="B2011" s="9"/>
      <c r="C2011" s="9"/>
      <c r="D2011" t="str">
        <f>"nspd-11"</f>
        <v>nspd-11</v>
      </c>
      <c r="F2011" t="s">
        <v>80</v>
      </c>
      <c r="H2011" s="12">
        <v>3.25094561890712</v>
      </c>
      <c r="I2011" s="11">
        <v>1.0401542967591999</v>
      </c>
      <c r="J2011" s="10">
        <v>0.29826822106355499</v>
      </c>
      <c r="K2011" s="29">
        <v>0.98289565623980701</v>
      </c>
    </row>
    <row r="2012" spans="1:11" x14ac:dyDescent="0.35">
      <c r="A2012" s="9" t="str">
        <f>HYPERLINK("http://www.ensembl.org/id/WBGene00008821", "WBGene00008821")</f>
        <v>WBGene00008821</v>
      </c>
      <c r="B2012" s="9" t="str">
        <f>HYPERLINK("http://www.ncbi.nlm.nih.gov/gene/184489", "184489")</f>
        <v>184489</v>
      </c>
      <c r="C2012" s="9"/>
      <c r="D2012" t="str">
        <f>"best-12"</f>
        <v>best-12</v>
      </c>
      <c r="E2012" t="s">
        <v>4315</v>
      </c>
      <c r="F2012" t="s">
        <v>11</v>
      </c>
      <c r="H2012" s="12">
        <v>3.24921663643067</v>
      </c>
      <c r="I2012" s="11">
        <v>0.37093133971046299</v>
      </c>
      <c r="J2012" s="10">
        <v>0.710688671961756</v>
      </c>
      <c r="K2012" s="29">
        <v>0.98289565623980701</v>
      </c>
    </row>
    <row r="2013" spans="1:11" x14ac:dyDescent="0.35">
      <c r="A2013" s="9" t="str">
        <f>HYPERLINK("http://www.ensembl.org/id/WBGene00018652", "WBGene00018652")</f>
        <v>WBGene00018652</v>
      </c>
      <c r="B2013" s="9" t="str">
        <f>HYPERLINK("http://www.ncbi.nlm.nih.gov/gene/186068", "186068")</f>
        <v>186068</v>
      </c>
      <c r="C2013" s="9"/>
      <c r="D2013" t="str">
        <f>"F49F1.12"</f>
        <v>F49F1.12</v>
      </c>
      <c r="F2013" t="s">
        <v>11</v>
      </c>
      <c r="G2013" t="s">
        <v>25</v>
      </c>
      <c r="H2013" s="12">
        <v>3.24921663643067</v>
      </c>
      <c r="I2013" s="11">
        <v>0.37093133971046299</v>
      </c>
      <c r="J2013" s="10">
        <v>0.710688671961756</v>
      </c>
      <c r="K2013" s="29">
        <v>0.98289565623980701</v>
      </c>
    </row>
    <row r="2014" spans="1:11" x14ac:dyDescent="0.35">
      <c r="A2014" s="9" t="str">
        <f>HYPERLINK("http://www.ensembl.org/id/WBGene00201440", "WBGene00201440")</f>
        <v>WBGene00201440</v>
      </c>
      <c r="B2014" s="9"/>
      <c r="C2014" s="9"/>
      <c r="D2014" t="str">
        <f>"K02F2.9"</f>
        <v>K02F2.9</v>
      </c>
      <c r="F2014" t="s">
        <v>481</v>
      </c>
      <c r="H2014" s="12">
        <v>3.24921663643067</v>
      </c>
      <c r="I2014" s="11">
        <v>0.37093133971046299</v>
      </c>
      <c r="J2014" s="10">
        <v>0.710688671961756</v>
      </c>
      <c r="K2014" s="29">
        <v>0.98289565623980701</v>
      </c>
    </row>
    <row r="2015" spans="1:11" x14ac:dyDescent="0.35">
      <c r="A2015" s="9" t="str">
        <f>HYPERLINK("http://www.ensembl.org/id/WBGene00021792", "WBGene00021792")</f>
        <v>WBGene00021792</v>
      </c>
      <c r="B2015" s="9"/>
      <c r="C2015" s="9"/>
      <c r="D2015" t="str">
        <f>"Y52D5A.1"</f>
        <v>Y52D5A.1</v>
      </c>
      <c r="F2015" t="s">
        <v>80</v>
      </c>
      <c r="H2015" s="12">
        <v>3.24921663643067</v>
      </c>
      <c r="I2015" s="11">
        <v>0.37093133971046299</v>
      </c>
      <c r="J2015" s="10">
        <v>0.710688671961756</v>
      </c>
      <c r="K2015" s="29">
        <v>0.98289565623980701</v>
      </c>
    </row>
    <row r="2016" spans="1:11" x14ac:dyDescent="0.35">
      <c r="A2016" s="9" t="str">
        <f>HYPERLINK("http://www.ensembl.org/id/WBGene00044158", "WBGene00044158")</f>
        <v>WBGene00044158</v>
      </c>
      <c r="B2016" s="9" t="str">
        <f>HYPERLINK("http://www.ncbi.nlm.nih.gov/gene/3565602", "3565602")</f>
        <v>3565602</v>
      </c>
      <c r="C2016" s="9"/>
      <c r="D2016" t="str">
        <f>"Y53C12A.8"</f>
        <v>Y53C12A.8</v>
      </c>
      <c r="F2016" t="s">
        <v>11</v>
      </c>
      <c r="H2016" s="12">
        <v>3.24921663643067</v>
      </c>
      <c r="I2016" s="11">
        <v>0.37093133971046299</v>
      </c>
      <c r="J2016" s="10">
        <v>0.710688671961756</v>
      </c>
      <c r="K2016" s="29">
        <v>0.98289565623980701</v>
      </c>
    </row>
    <row r="2017" spans="1:11" x14ac:dyDescent="0.35">
      <c r="A2017" s="9" t="str">
        <f>HYPERLINK("http://www.ensembl.org/id/WBGene00013182", "WBGene00013182")</f>
        <v>WBGene00013182</v>
      </c>
      <c r="B2017" s="9" t="str">
        <f>HYPERLINK("http://www.ncbi.nlm.nih.gov/gene/190247", "190247")</f>
        <v>190247</v>
      </c>
      <c r="C2017" s="9"/>
      <c r="D2017" t="str">
        <f>"Y53H1B.4"</f>
        <v>Y53H1B.4</v>
      </c>
      <c r="F2017" t="s">
        <v>11</v>
      </c>
      <c r="H2017" s="12">
        <v>3.24921663643067</v>
      </c>
      <c r="I2017" s="11">
        <v>0.37093133971046299</v>
      </c>
      <c r="J2017" s="10">
        <v>0.710688671961756</v>
      </c>
      <c r="K2017" s="29">
        <v>0.98289565623980701</v>
      </c>
    </row>
    <row r="2018" spans="1:11" x14ac:dyDescent="0.35">
      <c r="A2018" s="9" t="str">
        <f>HYPERLINK("http://www.ensembl.org/id/WBGene00021889", "WBGene00021889")</f>
        <v>WBGene00021889</v>
      </c>
      <c r="B2018" s="9"/>
      <c r="C2018" s="9"/>
      <c r="D2018" t="str">
        <f>"Y54G2A.24"</f>
        <v>Y54G2A.24</v>
      </c>
      <c r="F2018" t="s">
        <v>80</v>
      </c>
      <c r="H2018" s="12">
        <v>3.24921663643067</v>
      </c>
      <c r="I2018" s="11">
        <v>0.37093133971046299</v>
      </c>
      <c r="J2018" s="10">
        <v>0.710688671961756</v>
      </c>
      <c r="K2018" s="29">
        <v>0.98289565623980701</v>
      </c>
    </row>
    <row r="2019" spans="1:11" x14ac:dyDescent="0.35">
      <c r="A2019" s="9" t="str">
        <f>HYPERLINK("http://www.ensembl.org/id/WBGene00006207", "WBGene00006207")</f>
        <v>WBGene00006207</v>
      </c>
      <c r="B2019" s="9" t="str">
        <f>HYPERLINK("http://www.ncbi.nlm.nih.gov/gene/192020", "192020")</f>
        <v>192020</v>
      </c>
      <c r="C2019" s="9"/>
      <c r="D2019" t="str">
        <f>"str-162"</f>
        <v>str-162</v>
      </c>
      <c r="E2019" t="s">
        <v>590</v>
      </c>
      <c r="F2019" t="s">
        <v>11</v>
      </c>
      <c r="G2019" t="s">
        <v>591</v>
      </c>
      <c r="H2019" s="12">
        <v>3.2462855574793101</v>
      </c>
      <c r="I2019" s="11">
        <v>0.72852251878621599</v>
      </c>
      <c r="J2019" s="10">
        <v>0.466293788995365</v>
      </c>
      <c r="K2019" s="29">
        <v>0.98289565623980701</v>
      </c>
    </row>
    <row r="2020" spans="1:11" x14ac:dyDescent="0.35">
      <c r="A2020" s="9" t="str">
        <f>HYPERLINK("http://www.ensembl.org/id/WBGene00015442", "WBGene00015442")</f>
        <v>WBGene00015442</v>
      </c>
      <c r="B2020" s="9" t="str">
        <f>HYPERLINK("http://www.ncbi.nlm.nih.gov/gene/172237", "172237")</f>
        <v>172237</v>
      </c>
      <c r="C2020" s="9"/>
      <c r="D2020" t="str">
        <f>"C04F1.1"</f>
        <v>C04F1.1</v>
      </c>
      <c r="F2020" t="s">
        <v>11</v>
      </c>
      <c r="G2020" t="s">
        <v>25</v>
      </c>
      <c r="H2020" s="12">
        <v>3.2455691776752902</v>
      </c>
      <c r="I2020" s="11">
        <v>1.29183646796569</v>
      </c>
      <c r="J2020" s="10">
        <v>0.196413783216939</v>
      </c>
      <c r="K2020" s="29">
        <v>0.94078293428909598</v>
      </c>
    </row>
    <row r="2021" spans="1:11" x14ac:dyDescent="0.35">
      <c r="A2021" s="9" t="str">
        <f>HYPERLINK("http://www.ensembl.org/id/WBGene00007607", "WBGene00007607")</f>
        <v>WBGene00007607</v>
      </c>
      <c r="B2021" s="9" t="str">
        <f>HYPERLINK("http://www.ncbi.nlm.nih.gov/gene/182636", "182636")</f>
        <v>182636</v>
      </c>
      <c r="C2021" s="9"/>
      <c r="D2021" t="str">
        <f>"C15C8.5"</f>
        <v>C15C8.5</v>
      </c>
      <c r="F2021" t="s">
        <v>11</v>
      </c>
      <c r="G2021" t="s">
        <v>25</v>
      </c>
      <c r="H2021" s="12">
        <v>3.2434896557393502</v>
      </c>
      <c r="I2021" s="11">
        <v>2.9083235986999298</v>
      </c>
      <c r="J2021" s="10">
        <v>3.6337211518710898E-3</v>
      </c>
      <c r="K2021" s="29">
        <v>9.7856364726262801E-2</v>
      </c>
    </row>
    <row r="2022" spans="1:11" x14ac:dyDescent="0.35">
      <c r="A2022" s="9" t="str">
        <f>HYPERLINK("http://www.ensembl.org/id/WBGene00007834", "WBGene00007834")</f>
        <v>WBGene00007834</v>
      </c>
      <c r="B2022" s="9" t="str">
        <f>HYPERLINK("http://www.ncbi.nlm.nih.gov/gene/183073", "183073")</f>
        <v>183073</v>
      </c>
      <c r="C2022" s="9"/>
      <c r="D2022" t="str">
        <f>"srxa-7"</f>
        <v>srxa-7</v>
      </c>
      <c r="E2022" t="s">
        <v>3765</v>
      </c>
      <c r="F2022" t="s">
        <v>11</v>
      </c>
      <c r="G2022" t="s">
        <v>25</v>
      </c>
      <c r="H2022" s="12">
        <v>3.2401068437126499</v>
      </c>
      <c r="I2022" s="11">
        <v>0.70564974681543002</v>
      </c>
      <c r="J2022" s="10">
        <v>0.48040597956417103</v>
      </c>
      <c r="K2022" s="29">
        <v>0.98289565623980701</v>
      </c>
    </row>
    <row r="2023" spans="1:11" x14ac:dyDescent="0.35">
      <c r="A2023" s="9" t="str">
        <f>HYPERLINK("http://www.ensembl.org/id/WBGene00011284", "WBGene00011284")</f>
        <v>WBGene00011284</v>
      </c>
      <c r="B2023" s="9" t="str">
        <f>HYPERLINK("http://www.ncbi.nlm.nih.gov/gene/179769", "179769")</f>
        <v>179769</v>
      </c>
      <c r="C2023" s="9"/>
      <c r="D2023" t="str">
        <f>"ttr-27"</f>
        <v>ttr-27</v>
      </c>
      <c r="E2023" t="s">
        <v>16</v>
      </c>
      <c r="F2023" t="s">
        <v>11</v>
      </c>
      <c r="G2023" t="s">
        <v>17</v>
      </c>
      <c r="H2023" s="12">
        <v>3.2375530875759</v>
      </c>
      <c r="I2023" s="11">
        <v>4.8967421244163001</v>
      </c>
      <c r="J2023" s="10">
        <v>9.7438570770747206E-7</v>
      </c>
      <c r="K2023" s="29">
        <v>1.5110171920999199E-4</v>
      </c>
    </row>
    <row r="2024" spans="1:11" x14ac:dyDescent="0.35">
      <c r="A2024" s="9" t="str">
        <f>HYPERLINK("http://www.ensembl.org/id/WBGene00019405", "WBGene00019405")</f>
        <v>WBGene00019405</v>
      </c>
      <c r="B2024" s="9" t="str">
        <f>HYPERLINK("http://www.ncbi.nlm.nih.gov/gene/187028", "187028")</f>
        <v>187028</v>
      </c>
      <c r="C2024" s="9"/>
      <c r="D2024" t="str">
        <f>"K05F1.1"</f>
        <v>K05F1.1</v>
      </c>
      <c r="F2024" t="s">
        <v>11</v>
      </c>
      <c r="G2024" t="s">
        <v>25</v>
      </c>
      <c r="H2024" s="12">
        <v>3.2367679739669302</v>
      </c>
      <c r="I2024" s="11">
        <v>0.82792149362921097</v>
      </c>
      <c r="J2024" s="10">
        <v>0.40771496162954801</v>
      </c>
      <c r="K2024" s="29">
        <v>0.98289565623980701</v>
      </c>
    </row>
    <row r="2025" spans="1:11" x14ac:dyDescent="0.35">
      <c r="A2025" s="9" t="str">
        <f>HYPERLINK("http://www.ensembl.org/id/WBGene00007863", "WBGene00007863")</f>
        <v>WBGene00007863</v>
      </c>
      <c r="B2025" s="9" t="str">
        <f>HYPERLINK("http://www.ncbi.nlm.nih.gov/gene/183122", "183122")</f>
        <v>183122</v>
      </c>
      <c r="C2025" s="9"/>
      <c r="D2025" t="str">
        <f>"C32C4.3"</f>
        <v>C32C4.3</v>
      </c>
      <c r="F2025" t="s">
        <v>11</v>
      </c>
      <c r="G2025" t="s">
        <v>25</v>
      </c>
      <c r="H2025" s="12">
        <v>3.2336907729586599</v>
      </c>
      <c r="I2025" s="11">
        <v>1.3429013237288201</v>
      </c>
      <c r="J2025" s="10">
        <v>0.17930392776727899</v>
      </c>
      <c r="K2025" s="29">
        <v>0.91370245892174595</v>
      </c>
    </row>
    <row r="2026" spans="1:11" x14ac:dyDescent="0.35">
      <c r="A2026" s="9" t="str">
        <f>HYPERLINK("http://www.ensembl.org/id/WBGene00007853", "WBGene00007853")</f>
        <v>WBGene00007853</v>
      </c>
      <c r="B2026" s="9" t="str">
        <f>HYPERLINK("http://www.ncbi.nlm.nih.gov/gene/183093", "183093")</f>
        <v>183093</v>
      </c>
      <c r="C2026" s="9"/>
      <c r="D2026" t="str">
        <f>"C31G12.4"</f>
        <v>C31G12.4</v>
      </c>
      <c r="F2026" t="s">
        <v>11</v>
      </c>
      <c r="H2026" s="12">
        <v>3.2311278473488199</v>
      </c>
      <c r="I2026" s="11">
        <v>1.80990817341134</v>
      </c>
      <c r="J2026" s="10">
        <v>7.0310028431743804E-2</v>
      </c>
      <c r="K2026" s="29">
        <v>0.62753479804610801</v>
      </c>
    </row>
    <row r="2027" spans="1:11" x14ac:dyDescent="0.35">
      <c r="A2027" s="9" t="str">
        <f>HYPERLINK("http://www.ensembl.org/id/WBGene00015202", "WBGene00015202")</f>
        <v>WBGene00015202</v>
      </c>
      <c r="B2027" s="9" t="str">
        <f>HYPERLINK("http://www.ncbi.nlm.nih.gov/gene/182001", "182001")</f>
        <v>182001</v>
      </c>
      <c r="C2027" s="9"/>
      <c r="D2027" t="str">
        <f>"B0478.3"</f>
        <v>B0478.3</v>
      </c>
      <c r="F2027" t="s">
        <v>11</v>
      </c>
      <c r="G2027" t="s">
        <v>1980</v>
      </c>
      <c r="H2027" s="12">
        <v>3.2306501363698898</v>
      </c>
      <c r="I2027" s="11">
        <v>1.8823432385875101</v>
      </c>
      <c r="J2027" s="10">
        <v>5.9789427336384197E-2</v>
      </c>
      <c r="K2027" s="29">
        <v>0.57682442924195898</v>
      </c>
    </row>
    <row r="2028" spans="1:11" x14ac:dyDescent="0.35">
      <c r="A2028" s="9" t="str">
        <f>HYPERLINK("http://www.ensembl.org/id/WBGene00020872", "WBGene00020872")</f>
        <v>WBGene00020872</v>
      </c>
      <c r="B2028" s="9"/>
      <c r="C2028" s="9"/>
      <c r="D2028" t="str">
        <f>"T28A11.5"</f>
        <v>T28A11.5</v>
      </c>
      <c r="F2028" t="s">
        <v>80</v>
      </c>
      <c r="H2028" s="12">
        <v>3.2303903025262999</v>
      </c>
      <c r="I2028" s="11">
        <v>0.46230204842283901</v>
      </c>
      <c r="J2028" s="10">
        <v>0.64386473087326501</v>
      </c>
      <c r="K2028" s="29">
        <v>0.98289565623980701</v>
      </c>
    </row>
    <row r="2029" spans="1:11" x14ac:dyDescent="0.35">
      <c r="A2029" s="9" t="str">
        <f>HYPERLINK("http://www.ensembl.org/id/WBGene00008292", "WBGene00008292")</f>
        <v>WBGene00008292</v>
      </c>
      <c r="B2029" s="9" t="str">
        <f>HYPERLINK("http://www.ncbi.nlm.nih.gov/gene/173112", "173112")</f>
        <v>173112</v>
      </c>
      <c r="C2029" s="9"/>
      <c r="D2029" t="str">
        <f>"C54C8.4"</f>
        <v>C54C8.4</v>
      </c>
      <c r="F2029" t="s">
        <v>11</v>
      </c>
      <c r="G2029" t="s">
        <v>25</v>
      </c>
      <c r="H2029" s="12">
        <v>3.2291060956320701</v>
      </c>
      <c r="I2029" s="11">
        <v>1.5239902247152699</v>
      </c>
      <c r="J2029" s="10">
        <v>0.12751115311349401</v>
      </c>
      <c r="K2029" s="29">
        <v>0.80670629709600195</v>
      </c>
    </row>
    <row r="2030" spans="1:11" x14ac:dyDescent="0.35">
      <c r="A2030" s="9" t="str">
        <f>HYPERLINK("http://www.ensembl.org/id/WBGene00017936", "WBGene00017936")</f>
        <v>WBGene00017936</v>
      </c>
      <c r="B2030" s="9" t="str">
        <f>HYPERLINK("http://www.ncbi.nlm.nih.gov/gene/177186", "177186")</f>
        <v>177186</v>
      </c>
      <c r="C2030" s="9"/>
      <c r="D2030" t="str">
        <f>"zipt-2.2"</f>
        <v>zipt-2.2</v>
      </c>
      <c r="E2030" t="s">
        <v>106</v>
      </c>
      <c r="F2030" t="s">
        <v>11</v>
      </c>
      <c r="G2030" t="s">
        <v>107</v>
      </c>
      <c r="H2030" s="12">
        <v>3.2283471572790501</v>
      </c>
      <c r="I2030" s="11">
        <v>5.5151054775899002</v>
      </c>
      <c r="J2030" s="10">
        <v>3.4857084062287302E-8</v>
      </c>
      <c r="K2030" s="29">
        <v>9.9433059795457992E-6</v>
      </c>
    </row>
    <row r="2031" spans="1:11" x14ac:dyDescent="0.35">
      <c r="A2031" s="9" t="str">
        <f>HYPERLINK("http://www.ensembl.org/id/WBGene00013070", "WBGene00013070")</f>
        <v>WBGene00013070</v>
      </c>
      <c r="B2031" s="9" t="str">
        <f>HYPERLINK("http://www.ncbi.nlm.nih.gov/gene/190131", "190131")</f>
        <v>190131</v>
      </c>
      <c r="C2031" s="9"/>
      <c r="D2031" t="str">
        <f>"Y51A2B.6"</f>
        <v>Y51A2B.6</v>
      </c>
      <c r="F2031" t="s">
        <v>11</v>
      </c>
      <c r="H2031" s="12">
        <v>3.2265447381297698</v>
      </c>
      <c r="I2031" s="11">
        <v>0.58945117384305101</v>
      </c>
      <c r="J2031" s="10">
        <v>0.55555865661102499</v>
      </c>
      <c r="K2031" s="29">
        <v>0.98289565623980701</v>
      </c>
    </row>
    <row r="2032" spans="1:11" x14ac:dyDescent="0.35">
      <c r="A2032" s="9" t="str">
        <f>HYPERLINK("http://www.ensembl.org/id/WBGene00235331", "WBGene00235331")</f>
        <v>WBGene00235331</v>
      </c>
      <c r="B2032" s="9"/>
      <c r="C2032" s="9"/>
      <c r="D2032" t="str">
        <f>"K07C11.14"</f>
        <v>K07C11.14</v>
      </c>
      <c r="F2032" t="s">
        <v>2735</v>
      </c>
      <c r="H2032" s="12">
        <v>3.2247018142272399</v>
      </c>
      <c r="I2032" s="11">
        <v>0.49320310975751802</v>
      </c>
      <c r="J2032" s="10">
        <v>0.62186908080437198</v>
      </c>
      <c r="K2032" s="29">
        <v>0.98289565623980701</v>
      </c>
    </row>
    <row r="2033" spans="1:11" x14ac:dyDescent="0.35">
      <c r="A2033" s="9" t="str">
        <f>HYPERLINK("http://www.ensembl.org/id/WBGene00013475", "WBGene00013475")</f>
        <v>WBGene00013475</v>
      </c>
      <c r="B2033" s="9" t="str">
        <f>HYPERLINK("http://www.ncbi.nlm.nih.gov/gene/190549", "190549")</f>
        <v>190549</v>
      </c>
      <c r="C2033" s="9"/>
      <c r="D2033" t="str">
        <f>"Y69E1A.3"</f>
        <v>Y69E1A.3</v>
      </c>
      <c r="E2033" t="s">
        <v>2588</v>
      </c>
      <c r="F2033" t="s">
        <v>11</v>
      </c>
      <c r="G2033" t="s">
        <v>2589</v>
      </c>
      <c r="H2033" s="12">
        <v>3.2247018142272399</v>
      </c>
      <c r="I2033" s="11">
        <v>0.49320310975751802</v>
      </c>
      <c r="J2033" s="10">
        <v>0.62186908080437198</v>
      </c>
      <c r="K2033" s="29">
        <v>0.98289565623980701</v>
      </c>
    </row>
    <row r="2034" spans="1:11" x14ac:dyDescent="0.35">
      <c r="A2034" s="9" t="str">
        <f>HYPERLINK("http://www.ensembl.org/id/WBGene00011403", "WBGene00011403")</f>
        <v>WBGene00011403</v>
      </c>
      <c r="B2034" s="9" t="str">
        <f>HYPERLINK("http://www.ncbi.nlm.nih.gov/gene/188028", "188028")</f>
        <v>188028</v>
      </c>
      <c r="C2034" s="9"/>
      <c r="D2034" t="str">
        <f>"T03F7.6"</f>
        <v>T03F7.6</v>
      </c>
      <c r="F2034" t="s">
        <v>11</v>
      </c>
      <c r="G2034" t="s">
        <v>25</v>
      </c>
      <c r="H2034" s="12">
        <v>3.2170737995415499</v>
      </c>
      <c r="I2034" s="11">
        <v>0.96954625106071102</v>
      </c>
      <c r="J2034" s="10">
        <v>0.33227271546612802</v>
      </c>
      <c r="K2034" s="29">
        <v>0.98289565623980701</v>
      </c>
    </row>
    <row r="2035" spans="1:11" x14ac:dyDescent="0.35">
      <c r="A2035" s="9" t="str">
        <f>HYPERLINK("http://www.ensembl.org/id/WBGene00010267", "WBGene00010267")</f>
        <v>WBGene00010267</v>
      </c>
      <c r="B2035" s="9" t="str">
        <f>HYPERLINK("http://www.ncbi.nlm.nih.gov/gene/174935", "174935")</f>
        <v>174935</v>
      </c>
      <c r="C2035" s="9"/>
      <c r="D2035" t="str">
        <f>"lips-9"</f>
        <v>lips-9</v>
      </c>
      <c r="E2035" t="s">
        <v>430</v>
      </c>
      <c r="F2035" t="s">
        <v>11</v>
      </c>
      <c r="G2035" t="s">
        <v>431</v>
      </c>
      <c r="H2035" s="12">
        <v>3.2129960561459598</v>
      </c>
      <c r="I2035" s="11">
        <v>1.71367217978266</v>
      </c>
      <c r="J2035" s="10">
        <v>8.6588949023035405E-2</v>
      </c>
      <c r="K2035" s="29">
        <v>0.68823185918828</v>
      </c>
    </row>
    <row r="2036" spans="1:11" x14ac:dyDescent="0.35">
      <c r="A2036" s="9" t="str">
        <f>HYPERLINK("http://www.ensembl.org/id/WBGene00003551", "WBGene00003551")</f>
        <v>WBGene00003551</v>
      </c>
      <c r="B2036" s="9" t="str">
        <f>HYPERLINK("http://www.ncbi.nlm.nih.gov/gene/186987", "186987")</f>
        <v>186987</v>
      </c>
      <c r="C2036" s="9"/>
      <c r="D2036" t="str">
        <f>"nas-33"</f>
        <v>nas-33</v>
      </c>
      <c r="E2036" t="s">
        <v>1545</v>
      </c>
      <c r="F2036" t="s">
        <v>11</v>
      </c>
      <c r="G2036" t="s">
        <v>267</v>
      </c>
      <c r="H2036" s="12">
        <v>3.2093800991177499</v>
      </c>
      <c r="I2036" s="11">
        <v>2.1156636287977402</v>
      </c>
      <c r="J2036" s="10">
        <v>3.4373426028228099E-2</v>
      </c>
      <c r="K2036" s="29">
        <v>0.42232469093512898</v>
      </c>
    </row>
    <row r="2037" spans="1:11" x14ac:dyDescent="0.35">
      <c r="A2037" s="9" t="str">
        <f>HYPERLINK("http://www.ensembl.org/id/WBGene00020327", "WBGene00020327")</f>
        <v>WBGene00020327</v>
      </c>
      <c r="B2037" s="9" t="str">
        <f>HYPERLINK("http://www.ncbi.nlm.nih.gov/gene/188250", "188250")</f>
        <v>188250</v>
      </c>
      <c r="C2037" s="9"/>
      <c r="D2037" t="str">
        <f>"clec-21"</f>
        <v>clec-21</v>
      </c>
      <c r="E2037" t="s">
        <v>46</v>
      </c>
      <c r="F2037" t="s">
        <v>11</v>
      </c>
      <c r="G2037" t="s">
        <v>47</v>
      </c>
      <c r="H2037" s="12">
        <v>3.2063144781678199</v>
      </c>
      <c r="I2037" s="11">
        <v>0.92615250761122003</v>
      </c>
      <c r="J2037" s="10">
        <v>0.35436672968514399</v>
      </c>
      <c r="K2037" s="29">
        <v>0.98289565623980701</v>
      </c>
    </row>
    <row r="2038" spans="1:11" x14ac:dyDescent="0.35">
      <c r="A2038" s="9" t="str">
        <f>HYPERLINK("http://www.ensembl.org/id/WBGene00255730", "WBGene00255730")</f>
        <v>WBGene00255730</v>
      </c>
      <c r="B2038" s="9"/>
      <c r="C2038" s="9"/>
      <c r="D2038" t="str">
        <f>"F48G7.15"</f>
        <v>F48G7.15</v>
      </c>
      <c r="F2038" t="s">
        <v>80</v>
      </c>
      <c r="H2038" s="12">
        <v>3.20132626081717</v>
      </c>
      <c r="I2038" s="11">
        <v>1.18347036563176</v>
      </c>
      <c r="J2038" s="10">
        <v>0.236622784443585</v>
      </c>
      <c r="K2038" s="29">
        <v>0.98289565623980701</v>
      </c>
    </row>
    <row r="2039" spans="1:11" x14ac:dyDescent="0.35">
      <c r="A2039" s="9" t="str">
        <f>HYPERLINK("http://www.ensembl.org/id/WBGene00011289", "WBGene00011289")</f>
        <v>WBGene00011289</v>
      </c>
      <c r="B2039" s="9" t="str">
        <f>HYPERLINK("http://www.ncbi.nlm.nih.gov/gene/177959", "177959")</f>
        <v>177959</v>
      </c>
      <c r="C2039" s="9"/>
      <c r="D2039" t="str">
        <f>"R102.2"</f>
        <v>R102.2</v>
      </c>
      <c r="F2039" t="s">
        <v>11</v>
      </c>
      <c r="H2039" s="12">
        <v>3.1975550544484701</v>
      </c>
      <c r="I2039" s="11">
        <v>5.3656773652664</v>
      </c>
      <c r="J2039" s="10">
        <v>8.0645986483198701E-8</v>
      </c>
      <c r="K2039" s="29">
        <v>2.0254414822617299E-5</v>
      </c>
    </row>
    <row r="2040" spans="1:11" x14ac:dyDescent="0.35">
      <c r="A2040" s="9" t="str">
        <f>HYPERLINK("http://www.ensembl.org/id/WBGene00008985", "WBGene00008985")</f>
        <v>WBGene00008985</v>
      </c>
      <c r="B2040" s="9" t="str">
        <f>HYPERLINK("http://www.ncbi.nlm.nih.gov/gene/184742", "184742")</f>
        <v>184742</v>
      </c>
      <c r="C2040" s="9"/>
      <c r="D2040" t="str">
        <f>"F20G2.1"</f>
        <v>F20G2.1</v>
      </c>
      <c r="F2040" t="s">
        <v>11</v>
      </c>
      <c r="G2040" t="s">
        <v>489</v>
      </c>
      <c r="H2040" s="12">
        <v>3.1914043959591898</v>
      </c>
      <c r="I2040" s="11">
        <v>3.2418812420457201</v>
      </c>
      <c r="J2040" s="10">
        <v>1.18743492929641E-3</v>
      </c>
      <c r="K2040" s="29">
        <v>4.4612799148492199E-2</v>
      </c>
    </row>
    <row r="2041" spans="1:11" x14ac:dyDescent="0.35">
      <c r="A2041" s="9" t="str">
        <f>HYPERLINK("http://www.ensembl.org/id/WBGene00022327", "WBGene00022327")</f>
        <v>WBGene00022327</v>
      </c>
      <c r="B2041" s="9" t="str">
        <f>HYPERLINK("http://www.ncbi.nlm.nih.gov/gene/190758", "190758")</f>
        <v>190758</v>
      </c>
      <c r="C2041" s="9"/>
      <c r="D2041" t="str">
        <f>"fbxa-15"</f>
        <v>fbxa-15</v>
      </c>
      <c r="E2041" t="s">
        <v>467</v>
      </c>
      <c r="F2041" t="s">
        <v>11</v>
      </c>
      <c r="G2041" t="s">
        <v>54</v>
      </c>
      <c r="H2041" s="12">
        <v>3.1900930744301101</v>
      </c>
      <c r="I2041" s="11">
        <v>1.1247610485433299</v>
      </c>
      <c r="J2041" s="10">
        <v>0.26069030435006102</v>
      </c>
      <c r="K2041" s="29">
        <v>0.98289565623980701</v>
      </c>
    </row>
    <row r="2042" spans="1:11" x14ac:dyDescent="0.35">
      <c r="A2042" s="9" t="str">
        <f>HYPERLINK("http://www.ensembl.org/id/WBGene00001716", "WBGene00001716")</f>
        <v>WBGene00001716</v>
      </c>
      <c r="B2042" s="9" t="str">
        <f>HYPERLINK("http://www.ncbi.nlm.nih.gov/gene/179569", "179569")</f>
        <v>179569</v>
      </c>
      <c r="C2042" s="9"/>
      <c r="D2042" t="str">
        <f>"grl-7"</f>
        <v>grl-7</v>
      </c>
      <c r="E2042" t="s">
        <v>353</v>
      </c>
      <c r="F2042" t="s">
        <v>11</v>
      </c>
      <c r="H2042" s="12">
        <v>3.1855254121831602</v>
      </c>
      <c r="I2042" s="11">
        <v>1.4326703629845601</v>
      </c>
      <c r="J2042" s="10">
        <v>0.151952062971239</v>
      </c>
      <c r="K2042" s="29">
        <v>0.85767400434691698</v>
      </c>
    </row>
    <row r="2043" spans="1:11" x14ac:dyDescent="0.35">
      <c r="A2043" s="9" t="str">
        <f>HYPERLINK("http://www.ensembl.org/id/WBGene00015623", "WBGene00015623")</f>
        <v>WBGene00015623</v>
      </c>
      <c r="B2043" s="9" t="str">
        <f>HYPERLINK("http://www.ncbi.nlm.nih.gov/gene/180870", "180870")</f>
        <v>180870</v>
      </c>
      <c r="C2043" s="9" t="str">
        <f>HYPERLINK("http://www.ncbi.nlm.nih.gov/gene/79639", "79639")</f>
        <v>79639</v>
      </c>
      <c r="D2043" t="str">
        <f>"C09B8.4"</f>
        <v>C09B8.4</v>
      </c>
      <c r="F2043" t="s">
        <v>11</v>
      </c>
      <c r="G2043" t="s">
        <v>25</v>
      </c>
      <c r="H2043" s="12">
        <v>3.1840414768407399</v>
      </c>
      <c r="I2043" s="11">
        <v>5.0700567660889098</v>
      </c>
      <c r="J2043" s="10">
        <v>3.97697065680014E-7</v>
      </c>
      <c r="K2043" s="29">
        <v>7.7874477962732198E-5</v>
      </c>
    </row>
    <row r="2044" spans="1:11" x14ac:dyDescent="0.35">
      <c r="A2044" s="9" t="str">
        <f>HYPERLINK("http://www.ensembl.org/id/WBGene00001789", "WBGene00001789")</f>
        <v>WBGene00001789</v>
      </c>
      <c r="B2044" s="9" t="str">
        <f>HYPERLINK("http://www.ncbi.nlm.nih.gov/gene/179127", "179127")</f>
        <v>179127</v>
      </c>
      <c r="C2044" s="9"/>
      <c r="D2044" t="str">
        <f>"gst-41"</f>
        <v>gst-41</v>
      </c>
      <c r="E2044" t="s">
        <v>272</v>
      </c>
      <c r="F2044" t="s">
        <v>11</v>
      </c>
      <c r="G2044" t="s">
        <v>299</v>
      </c>
      <c r="H2044" s="12">
        <v>3.1839372889576598</v>
      </c>
      <c r="I2044" s="11">
        <v>4.0766779541624301</v>
      </c>
      <c r="J2044" s="10">
        <v>4.5683695658350501E-5</v>
      </c>
      <c r="K2044" s="29">
        <v>3.5781948199384598E-3</v>
      </c>
    </row>
    <row r="2045" spans="1:11" x14ac:dyDescent="0.35">
      <c r="A2045" s="9" t="str">
        <f>HYPERLINK("http://www.ensembl.org/id/WBGene00194921", "WBGene00194921")</f>
        <v>WBGene00194921</v>
      </c>
      <c r="B2045" s="9" t="str">
        <f>HYPERLINK("http://www.ncbi.nlm.nih.gov/gene/13213791", "13213791")</f>
        <v>13213791</v>
      </c>
      <c r="C2045" s="9"/>
      <c r="D2045" t="str">
        <f>"ZK742.7"</f>
        <v>ZK742.7</v>
      </c>
      <c r="F2045" t="s">
        <v>11</v>
      </c>
      <c r="H2045" s="12">
        <v>3.1824699876149198</v>
      </c>
      <c r="I2045" s="11">
        <v>3.0950581335926999</v>
      </c>
      <c r="J2045" s="10">
        <v>1.9677432534731401E-3</v>
      </c>
      <c r="K2045" s="29">
        <v>6.39475043808021E-2</v>
      </c>
    </row>
    <row r="2046" spans="1:11" x14ac:dyDescent="0.35">
      <c r="A2046" s="9" t="str">
        <f>HYPERLINK("http://www.ensembl.org/id/WBGene00000930", "WBGene00000930")</f>
        <v>WBGene00000930</v>
      </c>
      <c r="B2046" s="9" t="str">
        <f>HYPERLINK("http://www.ncbi.nlm.nih.gov/gene/191146", "191146")</f>
        <v>191146</v>
      </c>
      <c r="C2046" s="9"/>
      <c r="D2046" t="str">
        <f>"dao-4"</f>
        <v>dao-4</v>
      </c>
      <c r="E2046" t="s">
        <v>3429</v>
      </c>
      <c r="F2046" t="s">
        <v>11</v>
      </c>
      <c r="H2046" s="12">
        <v>3.17819837723887</v>
      </c>
      <c r="I2046" s="11">
        <v>0.83088783422742096</v>
      </c>
      <c r="J2046" s="10">
        <v>0.40603699695454998</v>
      </c>
      <c r="K2046" s="29">
        <v>0.98289565623980701</v>
      </c>
    </row>
    <row r="2047" spans="1:11" x14ac:dyDescent="0.35">
      <c r="A2047" s="9" t="str">
        <f>HYPERLINK("http://www.ensembl.org/id/WBGene00219876", "WBGene00219876")</f>
        <v>WBGene00219876</v>
      </c>
      <c r="B2047" s="9"/>
      <c r="C2047" s="9"/>
      <c r="D2047" t="str">
        <f>"F01G12.19"</f>
        <v>F01G12.19</v>
      </c>
      <c r="F2047" t="s">
        <v>481</v>
      </c>
      <c r="H2047" s="12">
        <v>3.1760445752631101</v>
      </c>
      <c r="I2047" s="11">
        <v>0.63706284877250696</v>
      </c>
      <c r="J2047" s="10">
        <v>0.52408390654745796</v>
      </c>
      <c r="K2047" s="29">
        <v>0.98289565623980701</v>
      </c>
    </row>
    <row r="2048" spans="1:11" x14ac:dyDescent="0.35">
      <c r="A2048" s="9" t="str">
        <f>HYPERLINK("http://www.ensembl.org/id/WBGene00000736", "WBGene00000736")</f>
        <v>WBGene00000736</v>
      </c>
      <c r="B2048" s="9" t="str">
        <f>HYPERLINK("http://www.ncbi.nlm.nih.gov/gene/3564794", "3564794")</f>
        <v>3564794</v>
      </c>
      <c r="C2048" s="9"/>
      <c r="D2048" t="str">
        <f>"col-163"</f>
        <v>col-163</v>
      </c>
      <c r="E2048" t="s">
        <v>40</v>
      </c>
      <c r="F2048" t="s">
        <v>11</v>
      </c>
      <c r="G2048" t="s">
        <v>52</v>
      </c>
      <c r="H2048" s="12">
        <v>3.17250653687534</v>
      </c>
      <c r="I2048" s="11">
        <v>0.91768905701438197</v>
      </c>
      <c r="J2048" s="10">
        <v>0.35878167830994401</v>
      </c>
      <c r="K2048" s="29">
        <v>0.98289565623980701</v>
      </c>
    </row>
    <row r="2049" spans="1:11" x14ac:dyDescent="0.35">
      <c r="A2049" s="9" t="str">
        <f>HYPERLINK("http://www.ensembl.org/id/WBGene00005780", "WBGene00005780")</f>
        <v>WBGene00005780</v>
      </c>
      <c r="B2049" s="9" t="str">
        <f>HYPERLINK("http://www.ncbi.nlm.nih.gov/gene/188958", "188958")</f>
        <v>188958</v>
      </c>
      <c r="C2049" s="9"/>
      <c r="D2049" t="str">
        <f>"srw-33"</f>
        <v>srw-33</v>
      </c>
      <c r="E2049" t="s">
        <v>1014</v>
      </c>
      <c r="F2049" t="s">
        <v>11</v>
      </c>
      <c r="G2049" t="s">
        <v>1780</v>
      </c>
      <c r="H2049" s="12">
        <v>3.1718777784461198</v>
      </c>
      <c r="I2049" s="11">
        <v>0.64678060832710405</v>
      </c>
      <c r="J2049" s="10">
        <v>0.517773944419889</v>
      </c>
      <c r="K2049" s="29">
        <v>0.98289565623980701</v>
      </c>
    </row>
    <row r="2050" spans="1:11" x14ac:dyDescent="0.35">
      <c r="A2050" s="9" t="str">
        <f>HYPERLINK("http://www.ensembl.org/id/WBGene00013655", "WBGene00013655")</f>
        <v>WBGene00013655</v>
      </c>
      <c r="B2050" s="9" t="str">
        <f>HYPERLINK("http://www.ncbi.nlm.nih.gov/gene/190895", "190895")</f>
        <v>190895</v>
      </c>
      <c r="C2050" s="9"/>
      <c r="D2050" t="str">
        <f>"lgc-19"</f>
        <v>lgc-19</v>
      </c>
      <c r="E2050" t="s">
        <v>505</v>
      </c>
      <c r="F2050" t="s">
        <v>11</v>
      </c>
      <c r="G2050" t="s">
        <v>906</v>
      </c>
      <c r="H2050" s="12">
        <v>3.1713897727018501</v>
      </c>
      <c r="I2050" s="11">
        <v>0.57044874242209098</v>
      </c>
      <c r="J2050" s="10">
        <v>0.56837337809309596</v>
      </c>
      <c r="K2050" s="29">
        <v>0.98289565623980701</v>
      </c>
    </row>
    <row r="2051" spans="1:11" x14ac:dyDescent="0.35">
      <c r="A2051" s="9" t="str">
        <f>HYPERLINK("http://www.ensembl.org/id/WBGene00000446", "WBGene00000446")</f>
        <v>WBGene00000446</v>
      </c>
      <c r="B2051" s="9" t="str">
        <f>HYPERLINK("http://www.ncbi.nlm.nih.gov/gene/176096", "176096")</f>
        <v>176096</v>
      </c>
      <c r="C2051" s="9"/>
      <c r="D2051" t="str">
        <f>"ceh-23"</f>
        <v>ceh-23</v>
      </c>
      <c r="E2051" t="s">
        <v>2980</v>
      </c>
      <c r="F2051" t="s">
        <v>11</v>
      </c>
      <c r="G2051" t="s">
        <v>1012</v>
      </c>
      <c r="H2051" s="12">
        <v>3.1708140405201299</v>
      </c>
      <c r="I2051" s="11">
        <v>1.51270476596151</v>
      </c>
      <c r="J2051" s="10">
        <v>0.13035466843886601</v>
      </c>
      <c r="K2051" s="29">
        <v>0.81332176970400405</v>
      </c>
    </row>
    <row r="2052" spans="1:11" x14ac:dyDescent="0.35">
      <c r="A2052" s="9" t="str">
        <f>HYPERLINK("http://www.ensembl.org/id/WBGene00169072", "WBGene00169072")</f>
        <v>WBGene00169072</v>
      </c>
      <c r="B2052" s="9"/>
      <c r="C2052" s="9"/>
      <c r="D2052" t="str">
        <f>"21ur-15576"</f>
        <v>21ur-15576</v>
      </c>
      <c r="F2052" t="s">
        <v>3161</v>
      </c>
      <c r="H2052" s="12">
        <v>3.1706514592375101</v>
      </c>
      <c r="I2052" s="11">
        <v>0.44390112599266301</v>
      </c>
      <c r="J2052" s="10">
        <v>0.65711407043763304</v>
      </c>
      <c r="K2052" s="29">
        <v>0.98289565623980701</v>
      </c>
    </row>
    <row r="2053" spans="1:11" x14ac:dyDescent="0.35">
      <c r="A2053" s="9" t="str">
        <f>HYPERLINK("http://www.ensembl.org/id/WBGene00016940", "WBGene00016940")</f>
        <v>WBGene00016940</v>
      </c>
      <c r="B2053" s="9" t="str">
        <f>HYPERLINK("http://www.ncbi.nlm.nih.gov/gene/183839", "183839")</f>
        <v>183839</v>
      </c>
      <c r="C2053" s="9"/>
      <c r="D2053" t="str">
        <f>"C55B6.4"</f>
        <v>C55B6.4</v>
      </c>
      <c r="F2053" t="s">
        <v>11</v>
      </c>
      <c r="H2053" s="12">
        <v>3.1706514592375101</v>
      </c>
      <c r="I2053" s="11">
        <v>0.44390112599266301</v>
      </c>
      <c r="J2053" s="10">
        <v>0.65711407043763304</v>
      </c>
      <c r="K2053" s="29">
        <v>0.98289565623980701</v>
      </c>
    </row>
    <row r="2054" spans="1:11" x14ac:dyDescent="0.35">
      <c r="A2054" s="9" t="str">
        <f>HYPERLINK("http://www.ensembl.org/id/WBGene00077582", "WBGene00077582")</f>
        <v>WBGene00077582</v>
      </c>
      <c r="B2054" s="9" t="str">
        <f>HYPERLINK("http://www.ncbi.nlm.nih.gov/gene/6418726", "6418726")</f>
        <v>6418726</v>
      </c>
      <c r="C2054" s="9"/>
      <c r="D2054" t="str">
        <f>"F14H8.8"</f>
        <v>F14H8.8</v>
      </c>
      <c r="F2054" t="s">
        <v>11</v>
      </c>
      <c r="H2054" s="12">
        <v>3.1706514592375101</v>
      </c>
      <c r="I2054" s="11">
        <v>0.44390112599266301</v>
      </c>
      <c r="J2054" s="10">
        <v>0.65711407043763304</v>
      </c>
      <c r="K2054" s="29">
        <v>0.98289565623980701</v>
      </c>
    </row>
    <row r="2055" spans="1:11" x14ac:dyDescent="0.35">
      <c r="A2055" s="9" t="str">
        <f>HYPERLINK("http://www.ensembl.org/id/WBGene00008826", "WBGene00008826")</f>
        <v>WBGene00008826</v>
      </c>
      <c r="B2055" s="9" t="str">
        <f>HYPERLINK("http://www.ncbi.nlm.nih.gov/gene/184492", "184492")</f>
        <v>184492</v>
      </c>
      <c r="C2055" s="9"/>
      <c r="D2055" t="str">
        <f>"fbxa-100"</f>
        <v>fbxa-100</v>
      </c>
      <c r="E2055" t="s">
        <v>467</v>
      </c>
      <c r="F2055" t="s">
        <v>11</v>
      </c>
      <c r="G2055" t="s">
        <v>54</v>
      </c>
      <c r="H2055" s="12">
        <v>3.1706514592375101</v>
      </c>
      <c r="I2055" s="11">
        <v>0.44390112599266301</v>
      </c>
      <c r="J2055" s="10">
        <v>0.65711407043763304</v>
      </c>
      <c r="K2055" s="29">
        <v>0.98289565623980701</v>
      </c>
    </row>
    <row r="2056" spans="1:11" x14ac:dyDescent="0.35">
      <c r="A2056" s="9" t="str">
        <f>HYPERLINK("http://www.ensembl.org/id/WBGene00018500", "WBGene00018500")</f>
        <v>WBGene00018500</v>
      </c>
      <c r="B2056" s="9" t="str">
        <f>HYPERLINK("http://www.ncbi.nlm.nih.gov/gene/185862", "185862")</f>
        <v>185862</v>
      </c>
      <c r="C2056" s="9"/>
      <c r="D2056" t="str">
        <f>"msrp-4"</f>
        <v>msrp-4</v>
      </c>
      <c r="E2056" t="s">
        <v>4316</v>
      </c>
      <c r="F2056" t="s">
        <v>11</v>
      </c>
      <c r="H2056" s="12">
        <v>3.1706514592375101</v>
      </c>
      <c r="I2056" s="11">
        <v>0.44390112599266301</v>
      </c>
      <c r="J2056" s="10">
        <v>0.65711407043763304</v>
      </c>
      <c r="K2056" s="29">
        <v>0.98289565623980701</v>
      </c>
    </row>
    <row r="2057" spans="1:11" x14ac:dyDescent="0.35">
      <c r="A2057" s="9" t="str">
        <f>HYPERLINK("http://www.ensembl.org/id/WBGene00196041", "WBGene00196041")</f>
        <v>WBGene00196041</v>
      </c>
      <c r="B2057" s="9"/>
      <c r="C2057" s="9"/>
      <c r="D2057" t="str">
        <f>"R02D5.11"</f>
        <v>R02D5.11</v>
      </c>
      <c r="F2057" t="s">
        <v>481</v>
      </c>
      <c r="H2057" s="12">
        <v>3.1706514592375101</v>
      </c>
      <c r="I2057" s="11">
        <v>0.44390112599266301</v>
      </c>
      <c r="J2057" s="10">
        <v>0.65711407043763304</v>
      </c>
      <c r="K2057" s="29">
        <v>0.98289565623980701</v>
      </c>
    </row>
    <row r="2058" spans="1:11" x14ac:dyDescent="0.35">
      <c r="A2058" s="9" t="str">
        <f>HYPERLINK("http://www.ensembl.org/id/WBGene00010394", "WBGene00010394")</f>
        <v>WBGene00010394</v>
      </c>
      <c r="B2058" s="9" t="str">
        <f>HYPERLINK("http://www.ncbi.nlm.nih.gov/gene/13200574", "13200574")</f>
        <v>13200574</v>
      </c>
      <c r="C2058" s="9"/>
      <c r="D2058" t="str">
        <f>"srz-59"</f>
        <v>srz-59</v>
      </c>
      <c r="E2058" t="s">
        <v>4211</v>
      </c>
      <c r="F2058" t="s">
        <v>11</v>
      </c>
      <c r="G2058" t="s">
        <v>25</v>
      </c>
      <c r="H2058" s="12">
        <v>3.1706514592375101</v>
      </c>
      <c r="I2058" s="11">
        <v>0.44390112599266301</v>
      </c>
      <c r="J2058" s="10">
        <v>0.65711407043763304</v>
      </c>
      <c r="K2058" s="29">
        <v>0.98289565623980701</v>
      </c>
    </row>
    <row r="2059" spans="1:11" x14ac:dyDescent="0.35">
      <c r="A2059" s="9" t="str">
        <f>HYPERLINK("http://www.ensembl.org/id/WBGene00269437", "WBGene00269437")</f>
        <v>WBGene00269437</v>
      </c>
      <c r="B2059" s="9" t="str">
        <f>HYPERLINK("http://www.ncbi.nlm.nih.gov/gene/28661660", "28661660")</f>
        <v>28661660</v>
      </c>
      <c r="C2059" s="9"/>
      <c r="D2059" t="str">
        <f>"Y47D7A.19"</f>
        <v>Y47D7A.19</v>
      </c>
      <c r="F2059" t="s">
        <v>11</v>
      </c>
      <c r="H2059" s="12">
        <v>3.1706514592375101</v>
      </c>
      <c r="I2059" s="11">
        <v>0.44390112599266301</v>
      </c>
      <c r="J2059" s="10">
        <v>0.65711407043763304</v>
      </c>
      <c r="K2059" s="29">
        <v>0.98289565623980701</v>
      </c>
    </row>
    <row r="2060" spans="1:11" x14ac:dyDescent="0.35">
      <c r="A2060" s="9" t="str">
        <f>HYPERLINK("http://www.ensembl.org/id/WBGene00000715", "WBGene00000715")</f>
        <v>WBGene00000715</v>
      </c>
      <c r="B2060" s="9" t="str">
        <f>HYPERLINK("http://www.ncbi.nlm.nih.gov/gene/188514", "188514")</f>
        <v>188514</v>
      </c>
      <c r="C2060" s="9"/>
      <c r="D2060" t="str">
        <f>"col-142"</f>
        <v>col-142</v>
      </c>
      <c r="E2060" t="s">
        <v>40</v>
      </c>
      <c r="F2060" t="s">
        <v>11</v>
      </c>
      <c r="G2060" t="s">
        <v>41</v>
      </c>
      <c r="H2060" s="12">
        <v>3.1702708882721402</v>
      </c>
      <c r="I2060" s="11">
        <v>6.4531641093934704</v>
      </c>
      <c r="J2060" s="10">
        <v>1.0953862635779799E-10</v>
      </c>
      <c r="K2060" s="29">
        <v>1.33210500032804E-7</v>
      </c>
    </row>
    <row r="2061" spans="1:11" x14ac:dyDescent="0.35">
      <c r="A2061" s="9" t="str">
        <f>HYPERLINK("http://www.ensembl.org/id/WBGene00016625", "WBGene00016625")</f>
        <v>WBGene00016625</v>
      </c>
      <c r="B2061" s="9" t="str">
        <f>HYPERLINK("http://www.ncbi.nlm.nih.gov/gene/174123", "174123")</f>
        <v>174123</v>
      </c>
      <c r="C2061" s="9"/>
      <c r="D2061" t="str">
        <f>"aff-1"</f>
        <v>aff-1</v>
      </c>
      <c r="E2061" t="s">
        <v>466</v>
      </c>
      <c r="F2061" t="s">
        <v>11</v>
      </c>
      <c r="H2061" s="12">
        <v>3.16823232797719</v>
      </c>
      <c r="I2061" s="11">
        <v>3.4755539541607399</v>
      </c>
      <c r="J2061" s="10">
        <v>5.0979943195255295E-4</v>
      </c>
      <c r="K2061" s="29">
        <v>2.32144095473849E-2</v>
      </c>
    </row>
    <row r="2062" spans="1:11" x14ac:dyDescent="0.35">
      <c r="A2062" s="9" t="str">
        <f>HYPERLINK("http://www.ensembl.org/id/WBGene00012062", "WBGene00012062")</f>
        <v>WBGene00012062</v>
      </c>
      <c r="B2062" s="9" t="str">
        <f>HYPERLINK("http://www.ncbi.nlm.nih.gov/gene/188945", "188945")</f>
        <v>188945</v>
      </c>
      <c r="C2062" s="9"/>
      <c r="D2062" t="str">
        <f>"T26G10.5"</f>
        <v>T26G10.5</v>
      </c>
      <c r="F2062" t="s">
        <v>11</v>
      </c>
      <c r="H2062" s="12">
        <v>3.1676502485153399</v>
      </c>
      <c r="I2062" s="11">
        <v>2.6261198441356601</v>
      </c>
      <c r="J2062" s="10">
        <v>8.6364403771952494E-3</v>
      </c>
      <c r="K2062" s="29">
        <v>0.17769687565046599</v>
      </c>
    </row>
    <row r="2063" spans="1:11" x14ac:dyDescent="0.35">
      <c r="A2063" s="9" t="str">
        <f>HYPERLINK("http://www.ensembl.org/id/WBGene00235316", "WBGene00235316")</f>
        <v>WBGene00235316</v>
      </c>
      <c r="B2063" s="9" t="str">
        <f>HYPERLINK("http://www.ncbi.nlm.nih.gov/gene/24104107", "24104107")</f>
        <v>24104107</v>
      </c>
      <c r="C2063" s="9"/>
      <c r="D2063" t="str">
        <f>"B0222.15"</f>
        <v>B0222.15</v>
      </c>
      <c r="F2063" t="s">
        <v>11</v>
      </c>
      <c r="G2063" t="s">
        <v>25</v>
      </c>
      <c r="H2063" s="12">
        <v>3.1663249684279902</v>
      </c>
      <c r="I2063" s="11">
        <v>2.4957612549431598</v>
      </c>
      <c r="J2063" s="10">
        <v>1.25687163112895E-2</v>
      </c>
      <c r="K2063" s="29">
        <v>0.224820867209891</v>
      </c>
    </row>
    <row r="2064" spans="1:11" x14ac:dyDescent="0.35">
      <c r="A2064" s="9" t="str">
        <f>HYPERLINK("http://www.ensembl.org/id/WBGene00010634", "WBGene00010634")</f>
        <v>WBGene00010634</v>
      </c>
      <c r="B2064" s="9" t="str">
        <f>HYPERLINK("http://www.ncbi.nlm.nih.gov/gene/177832", "177832")</f>
        <v>177832</v>
      </c>
      <c r="C2064" s="9"/>
      <c r="D2064" t="str">
        <f>"K07F5.6"</f>
        <v>K07F5.6</v>
      </c>
      <c r="F2064" t="s">
        <v>11</v>
      </c>
      <c r="G2064" t="s">
        <v>4317</v>
      </c>
      <c r="H2064" s="12">
        <v>3.1645523017317898</v>
      </c>
      <c r="I2064" s="11">
        <v>0.54308093485958098</v>
      </c>
      <c r="J2064" s="10">
        <v>0.58707407866356298</v>
      </c>
      <c r="K2064" s="29">
        <v>0.98289565623980701</v>
      </c>
    </row>
    <row r="2065" spans="1:11" x14ac:dyDescent="0.35">
      <c r="A2065" s="9" t="str">
        <f>HYPERLINK("http://www.ensembl.org/id/WBGene00009193", "WBGene00009193")</f>
        <v>WBGene00009193</v>
      </c>
      <c r="B2065" s="9" t="str">
        <f>HYPERLINK("http://www.ncbi.nlm.nih.gov/gene/185023", "185023")</f>
        <v>185023</v>
      </c>
      <c r="C2065" s="9"/>
      <c r="D2065" t="str">
        <f>"F27E5.3"</f>
        <v>F27E5.3</v>
      </c>
      <c r="F2065" t="s">
        <v>11</v>
      </c>
      <c r="G2065" t="s">
        <v>25</v>
      </c>
      <c r="H2065" s="12">
        <v>3.16369675160673</v>
      </c>
      <c r="I2065" s="11">
        <v>0.63525800047590697</v>
      </c>
      <c r="J2065" s="10">
        <v>0.525260160845198</v>
      </c>
      <c r="K2065" s="29">
        <v>0.98289565623980701</v>
      </c>
    </row>
    <row r="2066" spans="1:11" x14ac:dyDescent="0.35">
      <c r="A2066" s="9" t="str">
        <f>HYPERLINK("http://www.ensembl.org/id/WBGene00005671", "WBGene00005671")</f>
        <v>WBGene00005671</v>
      </c>
      <c r="B2066" s="9" t="str">
        <f>HYPERLINK("http://www.ncbi.nlm.nih.gov/gene/187654", "187654")</f>
        <v>187654</v>
      </c>
      <c r="C2066" s="9"/>
      <c r="D2066" t="str">
        <f>"sru-8"</f>
        <v>sru-8</v>
      </c>
      <c r="E2066" t="s">
        <v>2653</v>
      </c>
      <c r="F2066" t="s">
        <v>11</v>
      </c>
      <c r="G2066" t="s">
        <v>25</v>
      </c>
      <c r="H2066" s="12">
        <v>3.1611575852765799</v>
      </c>
      <c r="I2066" s="11">
        <v>0.57445859240458097</v>
      </c>
      <c r="J2066" s="10">
        <v>0.565657513302119</v>
      </c>
      <c r="K2066" s="29">
        <v>0.98289565623980701</v>
      </c>
    </row>
    <row r="2067" spans="1:11" x14ac:dyDescent="0.35">
      <c r="A2067" s="9" t="str">
        <f>HYPERLINK("http://www.ensembl.org/id/WBGene00010968", "WBGene00010968")</f>
        <v>WBGene00010968</v>
      </c>
      <c r="B2067" s="9" t="str">
        <f>HYPERLINK("http://www.ncbi.nlm.nih.gov/gene/187505", "187505")</f>
        <v>187505</v>
      </c>
      <c r="C2067" s="9"/>
      <c r="D2067" t="str">
        <f>"R01E6.2"</f>
        <v>R01E6.2</v>
      </c>
      <c r="F2067" t="s">
        <v>11</v>
      </c>
      <c r="G2067" t="s">
        <v>27</v>
      </c>
      <c r="H2067" s="12">
        <v>3.1611058666632701</v>
      </c>
      <c r="I2067" s="11">
        <v>1.5218672702416101</v>
      </c>
      <c r="J2067" s="10">
        <v>0.128042341602051</v>
      </c>
      <c r="K2067" s="29">
        <v>0.80741335767347</v>
      </c>
    </row>
    <row r="2068" spans="1:11" x14ac:dyDescent="0.35">
      <c r="A2068" s="9" t="str">
        <f>HYPERLINK("http://www.ensembl.org/id/WBGene00189948", "WBGene00189948")</f>
        <v>WBGene00189948</v>
      </c>
      <c r="B2068" s="9" t="str">
        <f>HYPERLINK("http://www.ncbi.nlm.nih.gov/gene/13215867", "13215867")</f>
        <v>13215867</v>
      </c>
      <c r="C2068" s="9"/>
      <c r="D2068" t="str">
        <f>"F56H9.8"</f>
        <v>F56H9.8</v>
      </c>
      <c r="F2068" t="s">
        <v>11</v>
      </c>
      <c r="H2068" s="12">
        <v>3.15695782213843</v>
      </c>
      <c r="I2068" s="11">
        <v>0.69790016720131498</v>
      </c>
      <c r="J2068" s="10">
        <v>0.48523962982977797</v>
      </c>
      <c r="K2068" s="29">
        <v>0.98289565623980701</v>
      </c>
    </row>
    <row r="2069" spans="1:11" x14ac:dyDescent="0.35">
      <c r="A2069" s="9" t="str">
        <f>HYPERLINK("http://www.ensembl.org/id/WBGene00015457", "WBGene00015457")</f>
        <v>WBGene00015457</v>
      </c>
      <c r="B2069" s="9" t="str">
        <f>HYPERLINK("http://www.ncbi.nlm.nih.gov/gene/173878", "173878")</f>
        <v>173878</v>
      </c>
      <c r="C2069" s="9"/>
      <c r="D2069" t="str">
        <f>"C04G6.7"</f>
        <v>C04G6.7</v>
      </c>
      <c r="F2069" t="s">
        <v>11</v>
      </c>
      <c r="H2069" s="12">
        <v>3.1548638657001602</v>
      </c>
      <c r="I2069" s="11">
        <v>0.88403245578402301</v>
      </c>
      <c r="J2069" s="10">
        <v>0.37667869280298999</v>
      </c>
      <c r="K2069" s="29">
        <v>0.98289565623980701</v>
      </c>
    </row>
    <row r="2070" spans="1:11" x14ac:dyDescent="0.35">
      <c r="A2070" s="9" t="str">
        <f>HYPERLINK("http://www.ensembl.org/id/WBGene00002218", "WBGene00002218")</f>
        <v>WBGene00002218</v>
      </c>
      <c r="B2070" s="9" t="str">
        <f>HYPERLINK("http://www.ncbi.nlm.nih.gov/gene/175683", "175683")</f>
        <v>175683</v>
      </c>
      <c r="C2070" s="9" t="str">
        <f>HYPERLINK("http://www.ncbi.nlm.nih.gov/gene/100130097", "100130097")</f>
        <v>100130097</v>
      </c>
      <c r="D2070" t="str">
        <f>"klp-6"</f>
        <v>klp-6</v>
      </c>
      <c r="E2070" t="s">
        <v>469</v>
      </c>
      <c r="F2070" t="s">
        <v>11</v>
      </c>
      <c r="G2070" t="s">
        <v>1618</v>
      </c>
      <c r="H2070" s="12">
        <v>3.1531033837316702</v>
      </c>
      <c r="I2070" s="11">
        <v>2.0674333692564799</v>
      </c>
      <c r="J2070" s="10">
        <v>3.8693336641090301E-2</v>
      </c>
      <c r="K2070" s="29">
        <v>0.45308939075798299</v>
      </c>
    </row>
    <row r="2071" spans="1:11" x14ac:dyDescent="0.35">
      <c r="A2071" s="9" t="str">
        <f>HYPERLINK("http://www.ensembl.org/id/WBGene00007485", "WBGene00007485")</f>
        <v>WBGene00007485</v>
      </c>
      <c r="B2071" s="9" t="str">
        <f>HYPERLINK("http://www.ncbi.nlm.nih.gov/gene/182460", "182460")</f>
        <v>182460</v>
      </c>
      <c r="C2071" s="9"/>
      <c r="D2071" t="str">
        <f>"C09G1.3"</f>
        <v>C09G1.3</v>
      </c>
      <c r="F2071" t="s">
        <v>11</v>
      </c>
      <c r="H2071" s="12">
        <v>3.1515354624752101</v>
      </c>
      <c r="I2071" s="11">
        <v>0.54497436549789602</v>
      </c>
      <c r="J2071" s="10">
        <v>0.58577114832244503</v>
      </c>
      <c r="K2071" s="29">
        <v>0.98289565623980701</v>
      </c>
    </row>
    <row r="2072" spans="1:11" x14ac:dyDescent="0.35">
      <c r="A2072" s="9" t="str">
        <f>HYPERLINK("http://www.ensembl.org/id/WBGene00197127", "WBGene00197127")</f>
        <v>WBGene00197127</v>
      </c>
      <c r="B2072" s="9"/>
      <c r="C2072" s="9"/>
      <c r="D2072" t="str">
        <f>"T05B11.9"</f>
        <v>T05B11.9</v>
      </c>
      <c r="F2072" t="s">
        <v>481</v>
      </c>
      <c r="H2072" s="12">
        <v>3.1515354624752101</v>
      </c>
      <c r="I2072" s="11">
        <v>0.54497436549789602</v>
      </c>
      <c r="J2072" s="10">
        <v>0.58577114832244503</v>
      </c>
      <c r="K2072" s="29">
        <v>0.98289565623980701</v>
      </c>
    </row>
    <row r="2073" spans="1:11" x14ac:dyDescent="0.35">
      <c r="A2073" s="9" t="str">
        <f>HYPERLINK("http://www.ensembl.org/id/WBGene00017963", "WBGene00017963")</f>
        <v>WBGene00017963</v>
      </c>
      <c r="B2073" s="9" t="str">
        <f>HYPERLINK("http://www.ncbi.nlm.nih.gov/gene/185174", "185174")</f>
        <v>185174</v>
      </c>
      <c r="C2073" s="9"/>
      <c r="D2073" t="str">
        <f>"F31F4.17"</f>
        <v>F31F4.17</v>
      </c>
      <c r="F2073" t="s">
        <v>11</v>
      </c>
      <c r="G2073" t="s">
        <v>4254</v>
      </c>
      <c r="H2073" s="12">
        <v>3.1512205255284802</v>
      </c>
      <c r="I2073" s="11">
        <v>0.82362926970463002</v>
      </c>
      <c r="J2073" s="10">
        <v>0.41015023960580999</v>
      </c>
      <c r="K2073" s="29">
        <v>0.98289565623980701</v>
      </c>
    </row>
    <row r="2074" spans="1:11" x14ac:dyDescent="0.35">
      <c r="A2074" s="9" t="str">
        <f>HYPERLINK("http://www.ensembl.org/id/WBGene00013023", "WBGene00013023")</f>
        <v>WBGene00013023</v>
      </c>
      <c r="B2074" s="9" t="str">
        <f>HYPERLINK("http://www.ncbi.nlm.nih.gov/gene/3564861", "3564861")</f>
        <v>3564861</v>
      </c>
      <c r="C2074" s="9"/>
      <c r="D2074" t="str">
        <f>"Y48G10A.6"</f>
        <v>Y48G10A.6</v>
      </c>
      <c r="F2074" t="s">
        <v>11</v>
      </c>
      <c r="H2074" s="12">
        <v>3.14960536331875</v>
      </c>
      <c r="I2074" s="11">
        <v>2.80123710583287</v>
      </c>
      <c r="J2074" s="10">
        <v>5.0907100434051398E-3</v>
      </c>
      <c r="K2074" s="29">
        <v>0.123039692743639</v>
      </c>
    </row>
    <row r="2075" spans="1:11" x14ac:dyDescent="0.35">
      <c r="A2075" s="9" t="str">
        <f>HYPERLINK("http://www.ensembl.org/id/WBGene00010226", "WBGene00010226")</f>
        <v>WBGene00010226</v>
      </c>
      <c r="B2075" s="9" t="str">
        <f>HYPERLINK("http://www.ncbi.nlm.nih.gov/gene/176355", "176355")</f>
        <v>176355</v>
      </c>
      <c r="C2075" s="9"/>
      <c r="D2075" t="str">
        <f>"F58A4.1"</f>
        <v>F58A4.1</v>
      </c>
      <c r="F2075" t="s">
        <v>11</v>
      </c>
      <c r="H2075" s="12">
        <v>3.1369061733738901</v>
      </c>
      <c r="I2075" s="11">
        <v>3.0430280344757601</v>
      </c>
      <c r="J2075" s="10">
        <v>2.3421051271762701E-3</v>
      </c>
      <c r="K2075" s="29">
        <v>7.1898089085948594E-2</v>
      </c>
    </row>
    <row r="2076" spans="1:11" x14ac:dyDescent="0.35">
      <c r="A2076" s="9" t="str">
        <f>HYPERLINK("http://www.ensembl.org/id/WBGene00000722", "WBGene00000722")</f>
        <v>WBGene00000722</v>
      </c>
      <c r="B2076" s="9" t="str">
        <f>HYPERLINK("http://www.ncbi.nlm.nih.gov/gene/179431", "179431")</f>
        <v>179431</v>
      </c>
      <c r="C2076" s="9"/>
      <c r="D2076" t="str">
        <f>"col-149"</f>
        <v>col-149</v>
      </c>
      <c r="E2076" t="s">
        <v>40</v>
      </c>
      <c r="F2076" t="s">
        <v>11</v>
      </c>
      <c r="G2076" t="s">
        <v>41</v>
      </c>
      <c r="H2076" s="12">
        <v>3.1295692433002502</v>
      </c>
      <c r="I2076" s="11">
        <v>2.5196340232718102</v>
      </c>
      <c r="J2076" s="10">
        <v>1.17476907966445E-2</v>
      </c>
      <c r="K2076" s="29">
        <v>0.21551778718817899</v>
      </c>
    </row>
    <row r="2077" spans="1:11" x14ac:dyDescent="0.35">
      <c r="A2077" s="9" t="str">
        <f>HYPERLINK("http://www.ensembl.org/id/WBGene00008185", "WBGene00008185")</f>
        <v>WBGene00008185</v>
      </c>
      <c r="B2077" s="9" t="str">
        <f>HYPERLINK("http://www.ncbi.nlm.nih.gov/gene/183586", "183586")</f>
        <v>183586</v>
      </c>
      <c r="C2077" s="9"/>
      <c r="D2077" t="str">
        <f>"best-10"</f>
        <v>best-10</v>
      </c>
      <c r="E2077" t="s">
        <v>1526</v>
      </c>
      <c r="F2077" t="s">
        <v>11</v>
      </c>
      <c r="G2077" t="s">
        <v>1527</v>
      </c>
      <c r="H2077" s="12">
        <v>3.1290601003477301</v>
      </c>
      <c r="I2077" s="11">
        <v>0.65031923736213704</v>
      </c>
      <c r="J2077" s="10">
        <v>0.51548603332016196</v>
      </c>
      <c r="K2077" s="29">
        <v>0.98289565623980701</v>
      </c>
    </row>
    <row r="2078" spans="1:11" x14ac:dyDescent="0.35">
      <c r="A2078" s="9" t="str">
        <f>HYPERLINK("http://www.ensembl.org/id/WBGene00008303", "WBGene00008303")</f>
        <v>WBGene00008303</v>
      </c>
      <c r="B2078" s="9" t="str">
        <f>HYPERLINK("http://www.ncbi.nlm.nih.gov/gene/183786", "183786")</f>
        <v>183786</v>
      </c>
      <c r="C2078" s="9"/>
      <c r="D2078" t="str">
        <f>"C54D10.9"</f>
        <v>C54D10.9</v>
      </c>
      <c r="F2078" t="s">
        <v>11</v>
      </c>
      <c r="H2078" s="12">
        <v>3.1280751900159198</v>
      </c>
      <c r="I2078" s="11">
        <v>1.7221551673498099</v>
      </c>
      <c r="J2078" s="10">
        <v>8.5041413782103795E-2</v>
      </c>
      <c r="K2078" s="29">
        <v>0.68511559135315303</v>
      </c>
    </row>
    <row r="2079" spans="1:11" x14ac:dyDescent="0.35">
      <c r="A2079" s="9" t="str">
        <f>HYPERLINK("http://www.ensembl.org/id/WBGene00015230", "WBGene00015230")</f>
        <v>WBGene00015230</v>
      </c>
      <c r="B2079" s="9" t="str">
        <f>HYPERLINK("http://www.ncbi.nlm.nih.gov/gene/182017", "182017")</f>
        <v>182017</v>
      </c>
      <c r="C2079" s="9" t="str">
        <f>HYPERLINK("http://www.ncbi.nlm.nih.gov/gene/83942", "83942")</f>
        <v>83942</v>
      </c>
      <c r="D2079" t="str">
        <f>"tag-344"</f>
        <v>tag-344</v>
      </c>
      <c r="F2079" t="s">
        <v>11</v>
      </c>
      <c r="G2079" t="s">
        <v>4318</v>
      </c>
      <c r="H2079" s="12">
        <v>3.1259357230483902</v>
      </c>
      <c r="I2079" s="11">
        <v>1.1542526729067899</v>
      </c>
      <c r="J2079" s="10">
        <v>0.24839659344456799</v>
      </c>
      <c r="K2079" s="29">
        <v>0.98289565623980701</v>
      </c>
    </row>
    <row r="2080" spans="1:11" x14ac:dyDescent="0.35">
      <c r="A2080" s="9" t="str">
        <f>HYPERLINK("http://www.ensembl.org/id/WBGene00020070", "WBGene00020070")</f>
        <v>WBGene00020070</v>
      </c>
      <c r="B2080" s="9" t="str">
        <f>HYPERLINK("http://www.ncbi.nlm.nih.gov/gene/177278", "177278")</f>
        <v>177278</v>
      </c>
      <c r="C2080" s="9"/>
      <c r="D2080" t="str">
        <f>"rmd-6"</f>
        <v>rmd-6</v>
      </c>
      <c r="E2080" t="s">
        <v>4319</v>
      </c>
      <c r="F2080" t="s">
        <v>11</v>
      </c>
      <c r="G2080" t="s">
        <v>4320</v>
      </c>
      <c r="H2080" s="12">
        <v>3.12390427838382</v>
      </c>
      <c r="I2080" s="11">
        <v>0.64707934638439801</v>
      </c>
      <c r="J2080" s="10">
        <v>0.51758059160542802</v>
      </c>
      <c r="K2080" s="29">
        <v>0.98289565623980701</v>
      </c>
    </row>
    <row r="2081" spans="1:11" x14ac:dyDescent="0.35">
      <c r="A2081" s="9" t="str">
        <f>HYPERLINK("http://www.ensembl.org/id/WBGene00010698", "WBGene00010698")</f>
        <v>WBGene00010698</v>
      </c>
      <c r="B2081" s="9" t="str">
        <f>HYPERLINK("http://www.ncbi.nlm.nih.gov/gene/187181", "187181")</f>
        <v>187181</v>
      </c>
      <c r="C2081" s="9"/>
      <c r="D2081" t="str">
        <f>"K08H10.6"</f>
        <v>K08H10.6</v>
      </c>
      <c r="F2081" t="s">
        <v>11</v>
      </c>
      <c r="G2081" t="s">
        <v>230</v>
      </c>
      <c r="H2081" s="12">
        <v>3.1233554739378802</v>
      </c>
      <c r="I2081" s="11">
        <v>1.08232395432455</v>
      </c>
      <c r="J2081" s="10">
        <v>0.279108605597711</v>
      </c>
      <c r="K2081" s="29">
        <v>0.98289565623980701</v>
      </c>
    </row>
    <row r="2082" spans="1:11" x14ac:dyDescent="0.35">
      <c r="A2082" s="9" t="str">
        <f>HYPERLINK("http://www.ensembl.org/id/WBGene00015036", "WBGene00015036")</f>
        <v>WBGene00015036</v>
      </c>
      <c r="B2082" s="9" t="str">
        <f>HYPERLINK("http://www.ncbi.nlm.nih.gov/gene/181842", "181842")</f>
        <v>181842</v>
      </c>
      <c r="C2082" s="9"/>
      <c r="D2082" t="str">
        <f>"sre-5"</f>
        <v>sre-5</v>
      </c>
      <c r="E2082" t="s">
        <v>2638</v>
      </c>
      <c r="F2082" t="s">
        <v>11</v>
      </c>
      <c r="G2082" t="s">
        <v>2639</v>
      </c>
      <c r="H2082" s="12">
        <v>3.1211468793162198</v>
      </c>
      <c r="I2082" s="11">
        <v>0.82207702173086195</v>
      </c>
      <c r="J2082" s="10">
        <v>0.41103306234326797</v>
      </c>
      <c r="K2082" s="29">
        <v>0.98289565623980701</v>
      </c>
    </row>
    <row r="2083" spans="1:11" x14ac:dyDescent="0.35">
      <c r="A2083" s="9" t="str">
        <f>HYPERLINK("http://www.ensembl.org/id/WBGene00018487", "WBGene00018487")</f>
        <v>WBGene00018487</v>
      </c>
      <c r="B2083" s="9" t="str">
        <f>HYPERLINK("http://www.ncbi.nlm.nih.gov/gene/181015", "181015")</f>
        <v>181015</v>
      </c>
      <c r="C2083" s="9"/>
      <c r="D2083" t="str">
        <f>"F46C8.8"</f>
        <v>F46C8.8</v>
      </c>
      <c r="F2083" t="s">
        <v>11</v>
      </c>
      <c r="H2083" s="12">
        <v>3.1199022154014702</v>
      </c>
      <c r="I2083" s="11">
        <v>1.9674373871230899</v>
      </c>
      <c r="J2083" s="10">
        <v>4.9132807678445099E-2</v>
      </c>
      <c r="K2083" s="29">
        <v>0.51743967831273996</v>
      </c>
    </row>
    <row r="2084" spans="1:11" x14ac:dyDescent="0.35">
      <c r="A2084" s="9" t="str">
        <f>HYPERLINK("http://www.ensembl.org/id/WBGene00021673", "WBGene00021673")</f>
        <v>WBGene00021673</v>
      </c>
      <c r="B2084" s="9"/>
      <c r="C2084" s="9"/>
      <c r="D2084" t="str">
        <f>"Y48G1BM.8"</f>
        <v>Y48G1BM.8</v>
      </c>
      <c r="F2084" t="s">
        <v>80</v>
      </c>
      <c r="H2084" s="12">
        <v>3.11609627495727</v>
      </c>
      <c r="I2084" s="11">
        <v>0.76251975269616701</v>
      </c>
      <c r="J2084" s="10">
        <v>0.44574985861203797</v>
      </c>
      <c r="K2084" s="29">
        <v>0.98289565623980701</v>
      </c>
    </row>
    <row r="2085" spans="1:11" x14ac:dyDescent="0.35">
      <c r="A2085" s="9" t="str">
        <f>HYPERLINK("http://www.ensembl.org/id/WBGene00220042", "WBGene00220042")</f>
        <v>WBGene00220042</v>
      </c>
      <c r="B2085" s="9"/>
      <c r="C2085" s="9"/>
      <c r="D2085" t="str">
        <f>"R11E3.18"</f>
        <v>R11E3.18</v>
      </c>
      <c r="F2085" t="s">
        <v>481</v>
      </c>
      <c r="H2085" s="12">
        <v>3.1121151470619299</v>
      </c>
      <c r="I2085" s="11">
        <v>0.79784173881797005</v>
      </c>
      <c r="J2085" s="10">
        <v>0.42496233641026099</v>
      </c>
      <c r="K2085" s="29">
        <v>0.98289565623980701</v>
      </c>
    </row>
    <row r="2086" spans="1:11" x14ac:dyDescent="0.35">
      <c r="A2086" s="9" t="str">
        <f>HYPERLINK("http://www.ensembl.org/id/WBGene00219368", "WBGene00219368")</f>
        <v>WBGene00219368</v>
      </c>
      <c r="B2086" s="9" t="str">
        <f>HYPERLINK("http://www.ncbi.nlm.nih.gov/gene/13220267", "13220267")</f>
        <v>13220267</v>
      </c>
      <c r="C2086" s="9"/>
      <c r="D2086" t="str">
        <f>"F14H12.17"</f>
        <v>F14H12.17</v>
      </c>
      <c r="F2086" t="s">
        <v>11</v>
      </c>
      <c r="G2086" t="s">
        <v>25</v>
      </c>
      <c r="H2086" s="12">
        <v>3.10797487719022</v>
      </c>
      <c r="I2086" s="11">
        <v>0.78573987020518699</v>
      </c>
      <c r="J2086" s="10">
        <v>0.43201990008378899</v>
      </c>
      <c r="K2086" s="29">
        <v>0.98289565623980701</v>
      </c>
    </row>
    <row r="2087" spans="1:11" x14ac:dyDescent="0.35">
      <c r="A2087" s="9" t="str">
        <f>HYPERLINK("http://www.ensembl.org/id/WBGene00044777", "WBGene00044777")</f>
        <v>WBGene00044777</v>
      </c>
      <c r="B2087" s="9" t="str">
        <f>HYPERLINK("http://www.ncbi.nlm.nih.gov/gene/4363094", "4363094")</f>
        <v>4363094</v>
      </c>
      <c r="C2087" s="9"/>
      <c r="D2087" t="str">
        <f>"T02B11.9"</f>
        <v>T02B11.9</v>
      </c>
      <c r="F2087" t="s">
        <v>11</v>
      </c>
      <c r="G2087" t="s">
        <v>25</v>
      </c>
      <c r="H2087" s="12">
        <v>3.1079380550023599</v>
      </c>
      <c r="I2087" s="11">
        <v>0.75714402277881199</v>
      </c>
      <c r="J2087" s="10">
        <v>0.44896358217390098</v>
      </c>
      <c r="K2087" s="29">
        <v>0.98289565623980701</v>
      </c>
    </row>
    <row r="2088" spans="1:11" x14ac:dyDescent="0.35">
      <c r="A2088" s="9" t="str">
        <f>HYPERLINK("http://www.ensembl.org/id/WBGene00013485", "WBGene00013485")</f>
        <v>WBGene00013485</v>
      </c>
      <c r="B2088" s="9" t="str">
        <f>HYPERLINK("http://www.ncbi.nlm.nih.gov/gene/190560", "190560")</f>
        <v>190560</v>
      </c>
      <c r="C2088" s="9"/>
      <c r="D2088" t="str">
        <f>"Y69H2.10"</f>
        <v>Y69H2.10</v>
      </c>
      <c r="F2088" t="s">
        <v>11</v>
      </c>
      <c r="G2088" t="s">
        <v>101</v>
      </c>
      <c r="H2088" s="12">
        <v>3.1076521374725301</v>
      </c>
      <c r="I2088" s="11">
        <v>4.9321396546763197</v>
      </c>
      <c r="J2088" s="10">
        <v>8.13337305046163E-7</v>
      </c>
      <c r="K2088" s="29">
        <v>1.3234487162251199E-4</v>
      </c>
    </row>
    <row r="2089" spans="1:11" x14ac:dyDescent="0.35">
      <c r="A2089" s="9" t="str">
        <f>HYPERLINK("http://www.ensembl.org/id/WBGene00002098", "WBGene00002098")</f>
        <v>WBGene00002098</v>
      </c>
      <c r="B2089" s="9" t="str">
        <f>HYPERLINK("http://www.ncbi.nlm.nih.gov/gene/3565586", "3565586")</f>
        <v>3565586</v>
      </c>
      <c r="C2089" s="9"/>
      <c r="D2089" t="str">
        <f>"ins-15"</f>
        <v>ins-15</v>
      </c>
      <c r="E2089" t="s">
        <v>12</v>
      </c>
      <c r="F2089" t="s">
        <v>11</v>
      </c>
      <c r="G2089" t="s">
        <v>13</v>
      </c>
      <c r="H2089" s="12">
        <v>3.1061120861672902</v>
      </c>
      <c r="I2089" s="11">
        <v>0.67090301017244602</v>
      </c>
      <c r="J2089" s="10">
        <v>0.50228231861462602</v>
      </c>
      <c r="K2089" s="29">
        <v>0.98289565623980701</v>
      </c>
    </row>
    <row r="2090" spans="1:11" x14ac:dyDescent="0.35">
      <c r="A2090" s="9" t="str">
        <f>HYPERLINK("http://www.ensembl.org/id/WBGene00015986", "WBGene00015986")</f>
        <v>WBGene00015986</v>
      </c>
      <c r="B2090" s="9" t="str">
        <f>HYPERLINK("http://www.ncbi.nlm.nih.gov/gene/182798", "182798")</f>
        <v>182798</v>
      </c>
      <c r="C2090" s="9"/>
      <c r="D2090" t="str">
        <f>"C18G1.8"</f>
        <v>C18G1.8</v>
      </c>
      <c r="F2090" t="s">
        <v>11</v>
      </c>
      <c r="G2090" t="s">
        <v>4220</v>
      </c>
      <c r="H2090" s="12">
        <v>3.1048920425148498</v>
      </c>
      <c r="I2090" s="11">
        <v>0.42268561919513598</v>
      </c>
      <c r="J2090" s="10">
        <v>0.67252464922696797</v>
      </c>
      <c r="K2090" s="29">
        <v>0.98289565623980701</v>
      </c>
    </row>
    <row r="2091" spans="1:11" x14ac:dyDescent="0.35">
      <c r="A2091" s="9" t="str">
        <f>HYPERLINK("http://www.ensembl.org/id/WBGene00018968", "WBGene00018968")</f>
        <v>WBGene00018968</v>
      </c>
      <c r="B2091" s="9" t="str">
        <f>HYPERLINK("http://www.ncbi.nlm.nih.gov/gene/186379", "186379")</f>
        <v>186379</v>
      </c>
      <c r="C2091" s="9"/>
      <c r="D2091" t="str">
        <f>"F56D2.8"</f>
        <v>F56D2.8</v>
      </c>
      <c r="F2091" t="s">
        <v>11</v>
      </c>
      <c r="H2091" s="12">
        <v>3.1048920425148498</v>
      </c>
      <c r="I2091" s="11">
        <v>0.42268561919513598</v>
      </c>
      <c r="J2091" s="10">
        <v>0.67252464922696797</v>
      </c>
      <c r="K2091" s="29">
        <v>0.98289565623980701</v>
      </c>
    </row>
    <row r="2092" spans="1:11" x14ac:dyDescent="0.35">
      <c r="A2092" s="9" t="str">
        <f>HYPERLINK("http://www.ensembl.org/id/WBGene00006120", "WBGene00006120")</f>
        <v>WBGene00006120</v>
      </c>
      <c r="B2092" s="9" t="str">
        <f>HYPERLINK("http://www.ncbi.nlm.nih.gov/gene/184963", "184963")</f>
        <v>184963</v>
      </c>
      <c r="C2092" s="9"/>
      <c r="D2092" t="str">
        <f>"str-55"</f>
        <v>str-55</v>
      </c>
      <c r="E2092" t="s">
        <v>590</v>
      </c>
      <c r="F2092" t="s">
        <v>11</v>
      </c>
      <c r="G2092" t="s">
        <v>25</v>
      </c>
      <c r="H2092" s="12">
        <v>3.1048920425148498</v>
      </c>
      <c r="I2092" s="11">
        <v>0.42268561919513598</v>
      </c>
      <c r="J2092" s="10">
        <v>0.67252464922696797</v>
      </c>
      <c r="K2092" s="29">
        <v>0.98289565623980701</v>
      </c>
    </row>
    <row r="2093" spans="1:11" x14ac:dyDescent="0.35">
      <c r="A2093" s="9" t="str">
        <f>HYPERLINK("http://www.ensembl.org/id/WBGene00000017", "WBGene00000017")</f>
        <v>WBGene00000017</v>
      </c>
      <c r="B2093" s="9" t="str">
        <f>HYPERLINK("http://www.ncbi.nlm.nih.gov/gene/181418", "181418")</f>
        <v>181418</v>
      </c>
      <c r="C2093" s="9"/>
      <c r="D2093" t="str">
        <f>"abf-6"</f>
        <v>abf-6</v>
      </c>
      <c r="E2093" t="s">
        <v>82</v>
      </c>
      <c r="F2093" t="s">
        <v>11</v>
      </c>
      <c r="H2093" s="12">
        <v>3.0946054731743402</v>
      </c>
      <c r="I2093" s="11">
        <v>5.7496596994419003</v>
      </c>
      <c r="J2093" s="10">
        <v>8.9423252117062098E-9</v>
      </c>
      <c r="K2093" s="29">
        <v>3.4436894390280602E-6</v>
      </c>
    </row>
    <row r="2094" spans="1:11" x14ac:dyDescent="0.35">
      <c r="A2094" s="9" t="str">
        <f>HYPERLINK("http://www.ensembl.org/id/WBGene00020593", "WBGene00020593")</f>
        <v>WBGene00020593</v>
      </c>
      <c r="B2094" s="9" t="str">
        <f>HYPERLINK("http://www.ncbi.nlm.nih.gov/gene/178882", "178882")</f>
        <v>178882</v>
      </c>
      <c r="C2094" s="9"/>
      <c r="D2094" t="str">
        <f>"ugt-11"</f>
        <v>ugt-11</v>
      </c>
      <c r="E2094" t="s">
        <v>103</v>
      </c>
      <c r="F2094" t="s">
        <v>11</v>
      </c>
      <c r="G2094" t="s">
        <v>104</v>
      </c>
      <c r="H2094" s="12">
        <v>3.0933138214332998</v>
      </c>
      <c r="I2094" s="11">
        <v>3.7872017456431899</v>
      </c>
      <c r="J2094" s="10">
        <v>1.5235339450098199E-4</v>
      </c>
      <c r="K2094" s="29">
        <v>9.0568594573573E-3</v>
      </c>
    </row>
    <row r="2095" spans="1:11" x14ac:dyDescent="0.35">
      <c r="A2095" s="9" t="str">
        <f>HYPERLINK("http://www.ensembl.org/id/WBGene00014128", "WBGene00014128")</f>
        <v>WBGene00014128</v>
      </c>
      <c r="B2095" s="9" t="str">
        <f>HYPERLINK("http://www.ncbi.nlm.nih.gov/gene/174559", "174559")</f>
        <v>174559</v>
      </c>
      <c r="C2095" s="9" t="str">
        <f>HYPERLINK("http://www.ncbi.nlm.nih.gov/gene/23600", "23600")</f>
        <v>23600</v>
      </c>
      <c r="D2095" t="str">
        <f>"ZK892.4"</f>
        <v>ZK892.4</v>
      </c>
      <c r="E2095" t="s">
        <v>4321</v>
      </c>
      <c r="F2095" t="s">
        <v>11</v>
      </c>
      <c r="G2095" t="s">
        <v>4322</v>
      </c>
      <c r="H2095" s="12">
        <v>3.09224890403117</v>
      </c>
      <c r="I2095" s="11">
        <v>0.97298366293094196</v>
      </c>
      <c r="J2095" s="10">
        <v>0.330561421762955</v>
      </c>
      <c r="K2095" s="29">
        <v>0.98289565623980701</v>
      </c>
    </row>
    <row r="2096" spans="1:11" x14ac:dyDescent="0.35">
      <c r="A2096" s="9" t="str">
        <f>HYPERLINK("http://www.ensembl.org/id/WBGene00008743", "WBGene00008743")</f>
        <v>WBGene00008743</v>
      </c>
      <c r="B2096" s="9" t="str">
        <f>HYPERLINK("http://www.ncbi.nlm.nih.gov/gene/174794", "174794")</f>
        <v>174794</v>
      </c>
      <c r="C2096" s="9"/>
      <c r="D2096" t="str">
        <f>"F13D12.9"</f>
        <v>F13D12.9</v>
      </c>
      <c r="F2096" t="s">
        <v>11</v>
      </c>
      <c r="G2096" t="s">
        <v>163</v>
      </c>
      <c r="H2096" s="12">
        <v>3.0916470528287299</v>
      </c>
      <c r="I2096" s="11">
        <v>4.9132140866821903</v>
      </c>
      <c r="J2096" s="10">
        <v>8.9595351657589497E-7</v>
      </c>
      <c r="K2096" s="29">
        <v>1.41793849000018E-4</v>
      </c>
    </row>
    <row r="2097" spans="1:11" x14ac:dyDescent="0.35">
      <c r="A2097" s="9" t="str">
        <f>HYPERLINK("http://www.ensembl.org/id/WBGene00013782", "WBGene00013782")</f>
        <v>WBGene00013782</v>
      </c>
      <c r="B2097" s="9" t="str">
        <f>HYPERLINK("http://www.ncbi.nlm.nih.gov/gene/190990", "190990")</f>
        <v>190990</v>
      </c>
      <c r="C2097" s="9"/>
      <c r="D2097" t="str">
        <f>"npr-32"</f>
        <v>npr-32</v>
      </c>
      <c r="E2097" t="s">
        <v>1021</v>
      </c>
      <c r="F2097" t="s">
        <v>11</v>
      </c>
      <c r="G2097" t="s">
        <v>271</v>
      </c>
      <c r="H2097" s="12">
        <v>3.09125789093431</v>
      </c>
      <c r="I2097" s="11">
        <v>2.4891198794850302</v>
      </c>
      <c r="J2097" s="10">
        <v>1.28059777391478E-2</v>
      </c>
      <c r="K2097" s="29">
        <v>0.22778669872267099</v>
      </c>
    </row>
    <row r="2098" spans="1:11" x14ac:dyDescent="0.35">
      <c r="A2098" s="9" t="str">
        <f>HYPERLINK("http://www.ensembl.org/id/WBGene00008861", "WBGene00008861")</f>
        <v>WBGene00008861</v>
      </c>
      <c r="B2098" s="9" t="str">
        <f>HYPERLINK("http://www.ncbi.nlm.nih.gov/gene/184530", "184530")</f>
        <v>184530</v>
      </c>
      <c r="C2098" s="9"/>
      <c r="D2098" t="str">
        <f>"F15D4.4"</f>
        <v>F15D4.4</v>
      </c>
      <c r="F2098" t="s">
        <v>11</v>
      </c>
      <c r="G2098" t="s">
        <v>180</v>
      </c>
      <c r="H2098" s="12">
        <v>3.09046565889683</v>
      </c>
      <c r="I2098" s="11">
        <v>3.4200809026988201</v>
      </c>
      <c r="J2098" s="10">
        <v>6.2602514759083495E-4</v>
      </c>
      <c r="K2098" s="29">
        <v>2.71387186871179E-2</v>
      </c>
    </row>
    <row r="2099" spans="1:11" x14ac:dyDescent="0.35">
      <c r="A2099" s="9" t="str">
        <f>HYPERLINK("http://www.ensembl.org/id/WBGene00006006", "WBGene00006006")</f>
        <v>WBGene00006006</v>
      </c>
      <c r="B2099" s="9" t="str">
        <f>HYPERLINK("http://www.ncbi.nlm.nih.gov/gene/3565596", "3565596")</f>
        <v>3565596</v>
      </c>
      <c r="C2099" s="9"/>
      <c r="D2099" t="str">
        <f>"srx-115"</f>
        <v>srx-115</v>
      </c>
      <c r="E2099" t="s">
        <v>1477</v>
      </c>
      <c r="F2099" t="s">
        <v>11</v>
      </c>
      <c r="G2099" t="s">
        <v>25</v>
      </c>
      <c r="H2099" s="12">
        <v>3.0862722120492001</v>
      </c>
      <c r="I2099" s="11">
        <v>0.72546735883313496</v>
      </c>
      <c r="J2099" s="10">
        <v>0.46816536262939701</v>
      </c>
      <c r="K2099" s="29">
        <v>0.98289565623980701</v>
      </c>
    </row>
    <row r="2100" spans="1:11" x14ac:dyDescent="0.35">
      <c r="A2100" s="9" t="str">
        <f>HYPERLINK("http://www.ensembl.org/id/WBGene00019169", "WBGene00019169")</f>
        <v>WBGene00019169</v>
      </c>
      <c r="B2100" s="9" t="str">
        <f>HYPERLINK("http://www.ncbi.nlm.nih.gov/gene/175411", "175411")</f>
        <v>175411</v>
      </c>
      <c r="C2100" s="9"/>
      <c r="D2100" t="str">
        <f>"H06I04.5"</f>
        <v>H06I04.5</v>
      </c>
      <c r="E2100" t="s">
        <v>4323</v>
      </c>
      <c r="F2100" t="s">
        <v>11</v>
      </c>
      <c r="G2100" t="s">
        <v>161</v>
      </c>
      <c r="H2100" s="12">
        <v>3.0821402262494302</v>
      </c>
      <c r="I2100" s="11">
        <v>0.67801638028834998</v>
      </c>
      <c r="J2100" s="10">
        <v>0.49776130741310798</v>
      </c>
      <c r="K2100" s="29">
        <v>0.98289565623980701</v>
      </c>
    </row>
    <row r="2101" spans="1:11" x14ac:dyDescent="0.35">
      <c r="A2101" s="9" t="str">
        <f>HYPERLINK("http://www.ensembl.org/id/WBGene00012808", "WBGene00012808")</f>
        <v>WBGene00012808</v>
      </c>
      <c r="B2101" s="9" t="str">
        <f>HYPERLINK("http://www.ncbi.nlm.nih.gov/gene/189865", "189865")</f>
        <v>189865</v>
      </c>
      <c r="C2101" s="9"/>
      <c r="D2101" t="str">
        <f>"Y43F8A.1"</f>
        <v>Y43F8A.1</v>
      </c>
      <c r="F2101" t="s">
        <v>11</v>
      </c>
      <c r="H2101" s="12">
        <v>3.0806785208229099</v>
      </c>
      <c r="I2101" s="11">
        <v>2.3634117193667801</v>
      </c>
      <c r="J2101" s="10">
        <v>1.8107540236749899E-2</v>
      </c>
      <c r="K2101" s="29">
        <v>0.281746009905955</v>
      </c>
    </row>
    <row r="2102" spans="1:11" x14ac:dyDescent="0.35">
      <c r="A2102" s="9" t="str">
        <f>HYPERLINK("http://www.ensembl.org/id/WBGene00044181", "WBGene00044181")</f>
        <v>WBGene00044181</v>
      </c>
      <c r="B2102" s="9" t="str">
        <f>HYPERLINK("http://www.ncbi.nlm.nih.gov/gene/3565912", "3565912")</f>
        <v>3565912</v>
      </c>
      <c r="C2102" s="9"/>
      <c r="D2102" t="str">
        <f>"F09C6.11"</f>
        <v>F09C6.11</v>
      </c>
      <c r="F2102" t="s">
        <v>11</v>
      </c>
      <c r="H2102" s="12">
        <v>3.0795856318795001</v>
      </c>
      <c r="I2102" s="11">
        <v>0.76366579029927295</v>
      </c>
      <c r="J2102" s="10">
        <v>0.44506643216047498</v>
      </c>
      <c r="K2102" s="29">
        <v>0.98289565623980701</v>
      </c>
    </row>
    <row r="2103" spans="1:11" x14ac:dyDescent="0.35">
      <c r="A2103" s="9" t="str">
        <f>HYPERLINK("http://www.ensembl.org/id/WBGene00010008", "WBGene00010008")</f>
        <v>WBGene00010008</v>
      </c>
      <c r="B2103" s="9" t="str">
        <f>HYPERLINK("http://www.ncbi.nlm.nih.gov/gene/186192", "186192")</f>
        <v>186192</v>
      </c>
      <c r="C2103" s="9"/>
      <c r="D2103" t="str">
        <f>"F53H4.3"</f>
        <v>F53H4.3</v>
      </c>
      <c r="F2103" t="s">
        <v>11</v>
      </c>
      <c r="H2103" s="12">
        <v>3.0787635063543699</v>
      </c>
      <c r="I2103" s="11">
        <v>2.6995663394139799</v>
      </c>
      <c r="J2103" s="10">
        <v>6.9429911966576302E-3</v>
      </c>
      <c r="K2103" s="29">
        <v>0.14923232985113599</v>
      </c>
    </row>
    <row r="2104" spans="1:11" x14ac:dyDescent="0.35">
      <c r="A2104" s="9" t="str">
        <f>HYPERLINK("http://www.ensembl.org/id/WBGene00009757", "WBGene00009757")</f>
        <v>WBGene00009757</v>
      </c>
      <c r="B2104" s="9"/>
      <c r="C2104" s="9"/>
      <c r="D2104" t="str">
        <f>"F46B3.2"</f>
        <v>F46B3.2</v>
      </c>
      <c r="F2104" t="s">
        <v>80</v>
      </c>
      <c r="H2104" s="12">
        <v>3.0783160134960301</v>
      </c>
      <c r="I2104" s="11">
        <v>0.499046807004834</v>
      </c>
      <c r="J2104" s="10">
        <v>0.61774640972154804</v>
      </c>
      <c r="K2104" s="29">
        <v>0.98289565623980701</v>
      </c>
    </row>
    <row r="2105" spans="1:11" x14ac:dyDescent="0.35">
      <c r="A2105" s="9" t="str">
        <f>HYPERLINK("http://www.ensembl.org/id/WBGene00019062", "WBGene00019062")</f>
        <v>WBGene00019062</v>
      </c>
      <c r="B2105" s="9" t="str">
        <f>HYPERLINK("http://www.ncbi.nlm.nih.gov/gene/186538", "186538")</f>
        <v>186538</v>
      </c>
      <c r="C2105" s="9"/>
      <c r="D2105" t="str">
        <f>"F58F12.2"</f>
        <v>F58F12.2</v>
      </c>
      <c r="F2105" t="s">
        <v>11</v>
      </c>
      <c r="H2105" s="12">
        <v>3.0763546861011202</v>
      </c>
      <c r="I2105" s="11">
        <v>0.65754661378389601</v>
      </c>
      <c r="J2105" s="10">
        <v>0.51082950878275002</v>
      </c>
      <c r="K2105" s="29">
        <v>0.98289565623980701</v>
      </c>
    </row>
    <row r="2106" spans="1:11" x14ac:dyDescent="0.35">
      <c r="A2106" s="9" t="str">
        <f>HYPERLINK("http://www.ensembl.org/id/WBGene00016598", "WBGene00016598")</f>
        <v>WBGene00016598</v>
      </c>
      <c r="B2106" s="9" t="str">
        <f>HYPERLINK("http://www.ncbi.nlm.nih.gov/gene/183405", "183405")</f>
        <v>183405</v>
      </c>
      <c r="C2106" s="9"/>
      <c r="D2106" t="str">
        <f>"C42D4.13"</f>
        <v>C42D4.13</v>
      </c>
      <c r="F2106" t="s">
        <v>11</v>
      </c>
      <c r="H2106" s="12">
        <v>3.0760974666440202</v>
      </c>
      <c r="I2106" s="11">
        <v>0.87500186897949495</v>
      </c>
      <c r="J2106" s="10">
        <v>0.381572888775426</v>
      </c>
      <c r="K2106" s="29">
        <v>0.98289565623980701</v>
      </c>
    </row>
    <row r="2107" spans="1:11" x14ac:dyDescent="0.35">
      <c r="A2107" s="9" t="str">
        <f>HYPERLINK("http://www.ensembl.org/id/WBGene00195051", "WBGene00195051")</f>
        <v>WBGene00195051</v>
      </c>
      <c r="B2107" s="9" t="str">
        <f>HYPERLINK("http://www.ncbi.nlm.nih.gov/gene/13196380", "13196380")</f>
        <v>13196380</v>
      </c>
      <c r="C2107" s="9"/>
      <c r="D2107" t="str">
        <f>"T22D1.18"</f>
        <v>T22D1.18</v>
      </c>
      <c r="F2107" t="s">
        <v>11</v>
      </c>
      <c r="G2107" t="s">
        <v>25</v>
      </c>
      <c r="H2107" s="12">
        <v>3.07181673691968</v>
      </c>
      <c r="I2107" s="11">
        <v>0.66716838026785297</v>
      </c>
      <c r="J2107" s="10">
        <v>0.50466458588972596</v>
      </c>
      <c r="K2107" s="29">
        <v>0.98289565623980701</v>
      </c>
    </row>
    <row r="2108" spans="1:11" x14ac:dyDescent="0.35">
      <c r="A2108" s="9" t="str">
        <f>HYPERLINK("http://www.ensembl.org/id/WBGene00044539", "WBGene00044539")</f>
        <v>WBGene00044539</v>
      </c>
      <c r="B2108" s="9" t="str">
        <f>HYPERLINK("http://www.ncbi.nlm.nih.gov/gene/3896824", "3896824")</f>
        <v>3896824</v>
      </c>
      <c r="C2108" s="9"/>
      <c r="D2108" t="str">
        <f>"K09H11.9"</f>
        <v>K09H11.9</v>
      </c>
      <c r="F2108" t="s">
        <v>11</v>
      </c>
      <c r="H2108" s="12">
        <v>3.0691202792416199</v>
      </c>
      <c r="I2108" s="11">
        <v>0.60174476187041404</v>
      </c>
      <c r="J2108" s="10">
        <v>0.54734404935469505</v>
      </c>
      <c r="K2108" s="29">
        <v>0.98289565623980701</v>
      </c>
    </row>
    <row r="2109" spans="1:11" x14ac:dyDescent="0.35">
      <c r="A2109" s="9" t="str">
        <f>HYPERLINK("http://www.ensembl.org/id/WBGene00013315", "WBGene00013315")</f>
        <v>WBGene00013315</v>
      </c>
      <c r="B2109" s="9" t="str">
        <f>HYPERLINK("http://www.ncbi.nlm.nih.gov/gene/353433", "353433")</f>
        <v>353433</v>
      </c>
      <c r="C2109" s="9"/>
      <c r="D2109" t="str">
        <f>"Y57G11C.20"</f>
        <v>Y57G11C.20</v>
      </c>
      <c r="F2109" t="s">
        <v>11</v>
      </c>
      <c r="H2109" s="12">
        <v>3.0685606807819998</v>
      </c>
      <c r="I2109" s="11">
        <v>1.2875052474917901</v>
      </c>
      <c r="J2109" s="10">
        <v>0.197918241776051</v>
      </c>
      <c r="K2109" s="29">
        <v>0.94310144245770899</v>
      </c>
    </row>
    <row r="2110" spans="1:11" x14ac:dyDescent="0.35">
      <c r="A2110" s="9" t="str">
        <f>HYPERLINK("http://www.ensembl.org/id/WBGene00206524", "WBGene00206524")</f>
        <v>WBGene00206524</v>
      </c>
      <c r="B2110" s="9" t="str">
        <f>HYPERLINK("http://www.ncbi.nlm.nih.gov/gene/13218336", "13218336")</f>
        <v>13218336</v>
      </c>
      <c r="C2110" s="9"/>
      <c r="D2110" t="str">
        <f>"C54E10.11"</f>
        <v>C54E10.11</v>
      </c>
      <c r="F2110" t="s">
        <v>11</v>
      </c>
      <c r="H2110" s="12">
        <v>3.0682806239087999</v>
      </c>
      <c r="I2110" s="11">
        <v>1.4392310813667899</v>
      </c>
      <c r="J2110" s="10">
        <v>0.15008506193402599</v>
      </c>
      <c r="K2110" s="29">
        <v>0.85419565124083696</v>
      </c>
    </row>
    <row r="2111" spans="1:11" x14ac:dyDescent="0.35">
      <c r="A2111" s="9" t="str">
        <f>HYPERLINK("http://www.ensembl.org/id/WBGene00016003", "WBGene00016003")</f>
        <v>WBGene00016003</v>
      </c>
      <c r="B2111" s="9" t="str">
        <f>HYPERLINK("http://www.ncbi.nlm.nih.gov/gene/174104", "174104")</f>
        <v>174104</v>
      </c>
      <c r="C2111" s="9"/>
      <c r="D2111" t="str">
        <f>"C18H9.5"</f>
        <v>C18H9.5</v>
      </c>
      <c r="F2111" t="s">
        <v>11</v>
      </c>
      <c r="G2111" t="s">
        <v>230</v>
      </c>
      <c r="H2111" s="12">
        <v>3.06809911081467</v>
      </c>
      <c r="I2111" s="11">
        <v>2.7429474137430301</v>
      </c>
      <c r="J2111" s="10">
        <v>6.0890435767256704E-3</v>
      </c>
      <c r="K2111" s="29">
        <v>0.13740223262982601</v>
      </c>
    </row>
    <row r="2112" spans="1:11" x14ac:dyDescent="0.35">
      <c r="A2112" s="9" t="str">
        <f>HYPERLINK("http://www.ensembl.org/id/WBGene00000639", "WBGene00000639")</f>
        <v>WBGene00000639</v>
      </c>
      <c r="B2112" s="9" t="str">
        <f>HYPERLINK("http://www.ncbi.nlm.nih.gov/gene/172607", "172607")</f>
        <v>172607</v>
      </c>
      <c r="C2112" s="9"/>
      <c r="D2112" t="str">
        <f>"col-63"</f>
        <v>col-63</v>
      </c>
      <c r="E2112" t="s">
        <v>40</v>
      </c>
      <c r="F2112" t="s">
        <v>11</v>
      </c>
      <c r="G2112" t="s">
        <v>41</v>
      </c>
      <c r="H2112" s="12">
        <v>3.0662725486787501</v>
      </c>
      <c r="I2112" s="11">
        <v>1.24212358715669</v>
      </c>
      <c r="J2112" s="10">
        <v>0.214190967118597</v>
      </c>
      <c r="K2112" s="29">
        <v>0.96694712106754799</v>
      </c>
    </row>
    <row r="2113" spans="1:11" x14ac:dyDescent="0.35">
      <c r="A2113" s="9" t="str">
        <f>HYPERLINK("http://www.ensembl.org/id/WBGene00196523", "WBGene00196523")</f>
        <v>WBGene00196523</v>
      </c>
      <c r="B2113" s="9"/>
      <c r="C2113" s="9"/>
      <c r="D2113" t="str">
        <f>"C04H4.4"</f>
        <v>C04H4.4</v>
      </c>
      <c r="F2113" t="s">
        <v>481</v>
      </c>
      <c r="H2113" s="12">
        <v>3.0652361485906598</v>
      </c>
      <c r="I2113" s="11">
        <v>0.90400746650286501</v>
      </c>
      <c r="J2113" s="10">
        <v>0.36599144226046199</v>
      </c>
      <c r="K2113" s="29">
        <v>0.98289565623980701</v>
      </c>
    </row>
    <row r="2114" spans="1:11" x14ac:dyDescent="0.35">
      <c r="A2114" s="9" t="str">
        <f>HYPERLINK("http://www.ensembl.org/id/WBGene00018537", "WBGene00018537")</f>
        <v>WBGene00018537</v>
      </c>
      <c r="B2114" s="9" t="str">
        <f>HYPERLINK("http://www.ncbi.nlm.nih.gov/gene/185893", "185893")</f>
        <v>185893</v>
      </c>
      <c r="C2114" s="9"/>
      <c r="D2114" t="str">
        <f>"F47B7.6"</f>
        <v>F47B7.6</v>
      </c>
      <c r="F2114" t="s">
        <v>11</v>
      </c>
      <c r="H2114" s="12">
        <v>3.0608690758096602</v>
      </c>
      <c r="I2114" s="11">
        <v>0.66875124551899601</v>
      </c>
      <c r="J2114" s="10">
        <v>0.50365417194966899</v>
      </c>
      <c r="K2114" s="29">
        <v>0.98289565623980701</v>
      </c>
    </row>
    <row r="2115" spans="1:11" x14ac:dyDescent="0.35">
      <c r="A2115" s="9" t="str">
        <f>HYPERLINK("http://www.ensembl.org/id/WBGene00001859", "WBGene00001859")</f>
        <v>WBGene00001859</v>
      </c>
      <c r="B2115" s="9" t="str">
        <f>HYPERLINK("http://www.ncbi.nlm.nih.gov/gene/188129", "188129")</f>
        <v>188129</v>
      </c>
      <c r="C2115" s="9"/>
      <c r="D2115" t="str">
        <f>"hil-8"</f>
        <v>hil-8</v>
      </c>
      <c r="E2115" t="s">
        <v>4324</v>
      </c>
      <c r="F2115" t="s">
        <v>11</v>
      </c>
      <c r="G2115" t="s">
        <v>4325</v>
      </c>
      <c r="H2115" s="12">
        <v>3.05900737456383</v>
      </c>
      <c r="I2115" s="11">
        <v>1.10072744984625</v>
      </c>
      <c r="J2115" s="10">
        <v>0.27101529563361298</v>
      </c>
      <c r="K2115" s="29">
        <v>0.98289565623980701</v>
      </c>
    </row>
    <row r="2116" spans="1:11" x14ac:dyDescent="0.35">
      <c r="A2116" s="9" t="str">
        <f>HYPERLINK("http://www.ensembl.org/id/WBGene00001532", "WBGene00001532")</f>
        <v>WBGene00001532</v>
      </c>
      <c r="B2116" s="9" t="str">
        <f>HYPERLINK("http://www.ncbi.nlm.nih.gov/gene/191643", "191643")</f>
        <v>191643</v>
      </c>
      <c r="C2116" s="9"/>
      <c r="D2116" t="str">
        <f>"gcy-5"</f>
        <v>gcy-5</v>
      </c>
      <c r="E2116" t="s">
        <v>4326</v>
      </c>
      <c r="F2116" t="s">
        <v>11</v>
      </c>
      <c r="G2116" t="s">
        <v>2714</v>
      </c>
      <c r="H2116" s="12">
        <v>3.0554194987991798</v>
      </c>
      <c r="I2116" s="11">
        <v>1.04496476434219</v>
      </c>
      <c r="J2116" s="10">
        <v>0.29603925499003497</v>
      </c>
      <c r="K2116" s="29">
        <v>0.98289565623980701</v>
      </c>
    </row>
    <row r="2117" spans="1:11" x14ac:dyDescent="0.35">
      <c r="A2117" s="9" t="str">
        <f>HYPERLINK("http://www.ensembl.org/id/WBGene00012441", "WBGene00012441")</f>
        <v>WBGene00012441</v>
      </c>
      <c r="B2117" s="9" t="str">
        <f>HYPERLINK("http://www.ncbi.nlm.nih.gov/gene/189438", "189438")</f>
        <v>189438</v>
      </c>
      <c r="C2117" s="9"/>
      <c r="D2117" t="str">
        <f>"glb-28"</f>
        <v>glb-28</v>
      </c>
      <c r="E2117" t="s">
        <v>633</v>
      </c>
      <c r="F2117" t="s">
        <v>11</v>
      </c>
      <c r="G2117" t="s">
        <v>634</v>
      </c>
      <c r="H2117" s="12">
        <v>3.05528116265446</v>
      </c>
      <c r="I2117" s="11">
        <v>1.8983140912288701</v>
      </c>
      <c r="J2117" s="10">
        <v>5.7654718809137397E-2</v>
      </c>
      <c r="K2117" s="29">
        <v>0.56619276849770495</v>
      </c>
    </row>
    <row r="2118" spans="1:11" x14ac:dyDescent="0.35">
      <c r="A2118" s="9" t="str">
        <f>HYPERLINK("http://www.ensembl.org/id/WBGene00007807", "WBGene00007807")</f>
        <v>WBGene00007807</v>
      </c>
      <c r="B2118" s="9" t="str">
        <f>HYPERLINK("http://www.ncbi.nlm.nih.gov/gene/180036", "180036")</f>
        <v>180036</v>
      </c>
      <c r="C2118" s="9"/>
      <c r="D2118" t="str">
        <f>"C29F3.7"</f>
        <v>C29F3.7</v>
      </c>
      <c r="F2118" t="s">
        <v>11</v>
      </c>
      <c r="G2118" t="s">
        <v>105</v>
      </c>
      <c r="H2118" s="12">
        <v>3.05522439317566</v>
      </c>
      <c r="I2118" s="11">
        <v>3.7267313080506201</v>
      </c>
      <c r="J2118" s="10">
        <v>1.9397905464522199E-4</v>
      </c>
      <c r="K2118" s="29">
        <v>1.11425380291671E-2</v>
      </c>
    </row>
    <row r="2119" spans="1:11" x14ac:dyDescent="0.35">
      <c r="A2119" s="9" t="str">
        <f>HYPERLINK("http://www.ensembl.org/id/WBGene00008066", "WBGene00008066")</f>
        <v>WBGene00008066</v>
      </c>
      <c r="B2119" s="9" t="str">
        <f>HYPERLINK("http://www.ncbi.nlm.nih.gov/gene/180268", "180268")</f>
        <v>180268</v>
      </c>
      <c r="C2119" s="9"/>
      <c r="D2119" t="str">
        <f>"fbxb-65"</f>
        <v>fbxb-65</v>
      </c>
      <c r="E2119" t="s">
        <v>1436</v>
      </c>
      <c r="F2119" t="s">
        <v>11</v>
      </c>
      <c r="G2119" t="s">
        <v>54</v>
      </c>
      <c r="H2119" s="12">
        <v>3.0529872109234302</v>
      </c>
      <c r="I2119" s="11">
        <v>2.0405413085981601</v>
      </c>
      <c r="J2119" s="10">
        <v>4.1296441060488298E-2</v>
      </c>
      <c r="K2119" s="29">
        <v>0.46935345162009001</v>
      </c>
    </row>
    <row r="2120" spans="1:11" x14ac:dyDescent="0.35">
      <c r="A2120" s="9" t="str">
        <f>HYPERLINK("http://www.ensembl.org/id/WBGene00009166", "WBGene00009166")</f>
        <v>WBGene00009166</v>
      </c>
      <c r="B2120" s="9" t="str">
        <f>HYPERLINK("http://www.ncbi.nlm.nih.gov/gene/184982", "184982")</f>
        <v>184982</v>
      </c>
      <c r="C2120" s="9"/>
      <c r="D2120" t="str">
        <f>"F26F2.1"</f>
        <v>F26F2.1</v>
      </c>
      <c r="F2120" t="s">
        <v>11</v>
      </c>
      <c r="G2120" t="s">
        <v>1739</v>
      </c>
      <c r="H2120" s="12">
        <v>3.0515385066465601</v>
      </c>
      <c r="I2120" s="11">
        <v>1.9965357044312999</v>
      </c>
      <c r="J2120" s="10">
        <v>4.5875643402775897E-2</v>
      </c>
      <c r="K2120" s="29">
        <v>0.49812153029348599</v>
      </c>
    </row>
    <row r="2121" spans="1:11" x14ac:dyDescent="0.35">
      <c r="A2121" s="9" t="str">
        <f>HYPERLINK("http://www.ensembl.org/id/WBGene00008257", "WBGene00008257")</f>
        <v>WBGene00008257</v>
      </c>
      <c r="B2121" s="9" t="str">
        <f>HYPERLINK("http://www.ncbi.nlm.nih.gov/gene/183712", "183712")</f>
        <v>183712</v>
      </c>
      <c r="C2121" s="9"/>
      <c r="D2121" t="str">
        <f>"C52A11.3"</f>
        <v>C52A11.3</v>
      </c>
      <c r="E2121" t="s">
        <v>4327</v>
      </c>
      <c r="F2121" t="s">
        <v>11</v>
      </c>
      <c r="G2121" t="s">
        <v>54</v>
      </c>
      <c r="H2121" s="12">
        <v>3.0502559519766699</v>
      </c>
      <c r="I2121" s="11">
        <v>1.0673594314232799</v>
      </c>
      <c r="J2121" s="10">
        <v>0.28580956039738298</v>
      </c>
      <c r="K2121" s="29">
        <v>0.98289565623980701</v>
      </c>
    </row>
    <row r="2122" spans="1:11" x14ac:dyDescent="0.35">
      <c r="A2122" s="9" t="str">
        <f>HYPERLINK("http://www.ensembl.org/id/WBGene00008044", "WBGene00008044")</f>
        <v>WBGene00008044</v>
      </c>
      <c r="B2122" s="9" t="str">
        <f>HYPERLINK("http://www.ncbi.nlm.nih.gov/gene/3565853", "3565853")</f>
        <v>3565853</v>
      </c>
      <c r="C2122" s="9"/>
      <c r="D2122" t="str">
        <f>"C40H1.9"</f>
        <v>C40H1.9</v>
      </c>
      <c r="F2122" t="s">
        <v>11</v>
      </c>
      <c r="G2122" t="s">
        <v>29</v>
      </c>
      <c r="H2122" s="12">
        <v>3.04661314103957</v>
      </c>
      <c r="I2122" s="11">
        <v>0.57239317493318997</v>
      </c>
      <c r="J2122" s="10">
        <v>0.56705563861538799</v>
      </c>
      <c r="K2122" s="29">
        <v>0.98289565623980701</v>
      </c>
    </row>
    <row r="2123" spans="1:11" x14ac:dyDescent="0.35">
      <c r="A2123" s="9" t="str">
        <f>HYPERLINK("http://www.ensembl.org/id/WBGene00021958", "WBGene00021958")</f>
        <v>WBGene00021958</v>
      </c>
      <c r="B2123" s="9" t="str">
        <f>HYPERLINK("http://www.ncbi.nlm.nih.gov/gene/190356", "190356")</f>
        <v>190356</v>
      </c>
      <c r="C2123" s="9"/>
      <c r="D2123" t="str">
        <f>"Y57E12AL.4"</f>
        <v>Y57E12AL.4</v>
      </c>
      <c r="F2123" t="s">
        <v>11</v>
      </c>
      <c r="H2123" s="12">
        <v>3.0465737357671099</v>
      </c>
      <c r="I2123" s="11">
        <v>1.01752627212314</v>
      </c>
      <c r="J2123" s="10">
        <v>0.308903140743086</v>
      </c>
      <c r="K2123" s="29">
        <v>0.98289565623980701</v>
      </c>
    </row>
    <row r="2124" spans="1:11" x14ac:dyDescent="0.35">
      <c r="A2124" s="9" t="str">
        <f>HYPERLINK("http://www.ensembl.org/id/WBGene00015710", "WBGene00015710")</f>
        <v>WBGene00015710</v>
      </c>
      <c r="B2124" s="9" t="str">
        <f>HYPERLINK("http://www.ncbi.nlm.nih.gov/gene/182538", "182538")</f>
        <v>182538</v>
      </c>
      <c r="C2124" s="9"/>
      <c r="D2124" t="str">
        <f>"C12D5.9"</f>
        <v>C12D5.9</v>
      </c>
      <c r="F2124" t="s">
        <v>11</v>
      </c>
      <c r="H2124" s="12">
        <v>3.04450717156974</v>
      </c>
      <c r="I2124" s="11">
        <v>4.0938135012153403</v>
      </c>
      <c r="J2124" s="10">
        <v>4.2433566884187797E-5</v>
      </c>
      <c r="K2124" s="29">
        <v>3.3728690419992202E-3</v>
      </c>
    </row>
    <row r="2125" spans="1:11" x14ac:dyDescent="0.35">
      <c r="A2125" s="9" t="str">
        <f>HYPERLINK("http://www.ensembl.org/id/WBGene00008737", "WBGene00008737")</f>
        <v>WBGene00008737</v>
      </c>
      <c r="B2125" s="9" t="str">
        <f>HYPERLINK("http://www.ncbi.nlm.nih.gov/gene/184414", "184414")</f>
        <v>184414</v>
      </c>
      <c r="C2125" s="9"/>
      <c r="D2125" t="str">
        <f>"gnrr-7"</f>
        <v>gnrr-7</v>
      </c>
      <c r="E2125" t="s">
        <v>270</v>
      </c>
      <c r="F2125" t="s">
        <v>11</v>
      </c>
      <c r="G2125" t="s">
        <v>271</v>
      </c>
      <c r="H2125" s="12">
        <v>3.0427541655494301</v>
      </c>
      <c r="I2125" s="11">
        <v>4.2071419546649098</v>
      </c>
      <c r="J2125" s="10">
        <v>2.5862069743071301E-5</v>
      </c>
      <c r="K2125" s="29">
        <v>2.21321845734595E-3</v>
      </c>
    </row>
    <row r="2126" spans="1:11" x14ac:dyDescent="0.35">
      <c r="A2126" s="9" t="str">
        <f>HYPERLINK("http://www.ensembl.org/id/WBGene00018397", "WBGene00018397")</f>
        <v>WBGene00018397</v>
      </c>
      <c r="B2126" s="9" t="str">
        <f>HYPERLINK("http://www.ncbi.nlm.nih.gov/gene/185711", "185711")</f>
        <v>185711</v>
      </c>
      <c r="C2126" s="9"/>
      <c r="D2126" t="str">
        <f>"F43E2.11"</f>
        <v>F43E2.11</v>
      </c>
      <c r="F2126" t="s">
        <v>11</v>
      </c>
      <c r="H2126" s="12">
        <v>3.0412732736514898</v>
      </c>
      <c r="I2126" s="11">
        <v>0.83467195396268601</v>
      </c>
      <c r="J2126" s="10">
        <v>0.403902436857975</v>
      </c>
      <c r="K2126" s="29">
        <v>0.98289565623980701</v>
      </c>
    </row>
    <row r="2127" spans="1:11" x14ac:dyDescent="0.35">
      <c r="A2127" s="9" t="str">
        <f>HYPERLINK("http://www.ensembl.org/id/WBGene00005191", "WBGene00005191")</f>
        <v>WBGene00005191</v>
      </c>
      <c r="B2127" s="9" t="str">
        <f>HYPERLINK("http://www.ncbi.nlm.nih.gov/gene/190136", "190136")</f>
        <v>190136</v>
      </c>
      <c r="C2127" s="9"/>
      <c r="D2127" t="str">
        <f>"srg-34"</f>
        <v>srg-34</v>
      </c>
      <c r="E2127" t="s">
        <v>1828</v>
      </c>
      <c r="F2127" t="s">
        <v>11</v>
      </c>
      <c r="G2127" t="s">
        <v>1829</v>
      </c>
      <c r="H2127" s="12">
        <v>3.0393172280891898</v>
      </c>
      <c r="I2127" s="11">
        <v>1.95359395640088</v>
      </c>
      <c r="J2127" s="10">
        <v>5.0749255934481603E-2</v>
      </c>
      <c r="K2127" s="29">
        <v>0.52725373544160603</v>
      </c>
    </row>
    <row r="2128" spans="1:11" x14ac:dyDescent="0.35">
      <c r="A2128" s="9" t="str">
        <f>HYPERLINK("http://www.ensembl.org/id/WBGene00017020", "WBGene00017020")</f>
        <v>WBGene00017020</v>
      </c>
      <c r="B2128" s="9" t="str">
        <f>HYPERLINK("http://www.ncbi.nlm.nih.gov/gene/183898", "183898")</f>
        <v>183898</v>
      </c>
      <c r="C2128" s="9"/>
      <c r="D2128" t="str">
        <f>"D1014.7"</f>
        <v>D1014.7</v>
      </c>
      <c r="F2128" t="s">
        <v>11</v>
      </c>
      <c r="G2128" t="s">
        <v>1686</v>
      </c>
      <c r="H2128" s="12">
        <v>3.0366158604021898</v>
      </c>
      <c r="I2128" s="11">
        <v>1.71695797600361</v>
      </c>
      <c r="J2128" s="10">
        <v>8.5986850618136795E-2</v>
      </c>
      <c r="K2128" s="29">
        <v>0.68747825964798204</v>
      </c>
    </row>
    <row r="2129" spans="1:11" x14ac:dyDescent="0.35">
      <c r="A2129" s="9" t="str">
        <f>HYPERLINK("http://www.ensembl.org/id/WBGene00013492", "WBGene00013492")</f>
        <v>WBGene00013492</v>
      </c>
      <c r="B2129" s="9" t="str">
        <f>HYPERLINK("http://www.ncbi.nlm.nih.gov/gene/190566", "190566")</f>
        <v>190566</v>
      </c>
      <c r="C2129" s="9" t="str">
        <f>HYPERLINK("http://www.ncbi.nlm.nih.gov/gene/3416", "3416")</f>
        <v>3416</v>
      </c>
      <c r="D2129" t="str">
        <f>"Y70C5C.1"</f>
        <v>Y70C5C.1</v>
      </c>
      <c r="F2129" t="s">
        <v>11</v>
      </c>
      <c r="G2129" t="s">
        <v>1258</v>
      </c>
      <c r="H2129" s="12">
        <v>3.03224796702386</v>
      </c>
      <c r="I2129" s="11">
        <v>2.3579952619114599</v>
      </c>
      <c r="J2129" s="10">
        <v>1.8373927473310601E-2</v>
      </c>
      <c r="K2129" s="29">
        <v>0.28416865341252601</v>
      </c>
    </row>
    <row r="2130" spans="1:11" x14ac:dyDescent="0.35">
      <c r="A2130" s="9" t="str">
        <f>HYPERLINK("http://www.ensembl.org/id/WBGene00006278", "WBGene00006278")</f>
        <v>WBGene00006278</v>
      </c>
      <c r="B2130" s="9" t="str">
        <f>HYPERLINK("http://www.ncbi.nlm.nih.gov/gene/182294", "182294")</f>
        <v>182294</v>
      </c>
      <c r="C2130" s="9"/>
      <c r="D2130" t="str">
        <f>"str-252"</f>
        <v>str-252</v>
      </c>
      <c r="E2130" t="s">
        <v>590</v>
      </c>
      <c r="F2130" t="s">
        <v>11</v>
      </c>
      <c r="G2130" t="s">
        <v>591</v>
      </c>
      <c r="H2130" s="12">
        <v>3.0320589420931698</v>
      </c>
      <c r="I2130" s="11">
        <v>0.76846172358760401</v>
      </c>
      <c r="J2130" s="10">
        <v>0.44221292237930698</v>
      </c>
      <c r="K2130" s="29">
        <v>0.98289565623980701</v>
      </c>
    </row>
    <row r="2131" spans="1:11" x14ac:dyDescent="0.35">
      <c r="A2131" s="9" t="str">
        <f>HYPERLINK("http://www.ensembl.org/id/WBGene00006981", "WBGene00006981")</f>
        <v>WBGene00006981</v>
      </c>
      <c r="B2131" s="9" t="str">
        <f>HYPERLINK("http://www.ncbi.nlm.nih.gov/gene/181051", "181051")</f>
        <v>181051</v>
      </c>
      <c r="C2131" s="9"/>
      <c r="D2131" t="str">
        <f>"zig-4"</f>
        <v>zig-4</v>
      </c>
      <c r="E2131" t="s">
        <v>164</v>
      </c>
      <c r="F2131" t="s">
        <v>11</v>
      </c>
      <c r="G2131" t="s">
        <v>165</v>
      </c>
      <c r="H2131" s="12">
        <v>3.0298256837749999</v>
      </c>
      <c r="I2131" s="11">
        <v>4.8645508449202497</v>
      </c>
      <c r="J2131" s="10">
        <v>1.1471701564222601E-6</v>
      </c>
      <c r="K2131" s="29">
        <v>1.7212021840449899E-4</v>
      </c>
    </row>
    <row r="2132" spans="1:11" x14ac:dyDescent="0.35">
      <c r="A2132" s="9" t="str">
        <f>HYPERLINK("http://www.ensembl.org/id/WBGene00013748", "WBGene00013748")</f>
        <v>WBGene00013748</v>
      </c>
      <c r="B2132" s="9" t="str">
        <f>HYPERLINK("http://www.ncbi.nlm.nih.gov/gene/190959", "190959")</f>
        <v>190959</v>
      </c>
      <c r="C2132" s="9" t="str">
        <f>HYPERLINK("http://www.ncbi.nlm.nih.gov/gene/27284", "27284")</f>
        <v>27284</v>
      </c>
      <c r="D2132" t="str">
        <f>"ssu-1"</f>
        <v>ssu-1</v>
      </c>
      <c r="E2132" t="s">
        <v>1150</v>
      </c>
      <c r="F2132" t="s">
        <v>11</v>
      </c>
      <c r="G2132" t="s">
        <v>1151</v>
      </c>
      <c r="H2132" s="12">
        <v>3.02978702589993</v>
      </c>
      <c r="I2132" s="11">
        <v>2.4401968432429699</v>
      </c>
      <c r="J2132" s="10">
        <v>1.4679260833415199E-2</v>
      </c>
      <c r="K2132" s="29">
        <v>0.25031660576892401</v>
      </c>
    </row>
    <row r="2133" spans="1:11" x14ac:dyDescent="0.35">
      <c r="A2133" s="9" t="str">
        <f>HYPERLINK("http://www.ensembl.org/id/WBGene00021694", "WBGene00021694")</f>
        <v>WBGene00021694</v>
      </c>
      <c r="B2133" s="9" t="str">
        <f>HYPERLINK("http://www.ncbi.nlm.nih.gov/gene/190049", "190049")</f>
        <v>190049</v>
      </c>
      <c r="C2133" s="9"/>
      <c r="D2133" t="str">
        <f>"Y48G8AR.3"</f>
        <v>Y48G8AR.3</v>
      </c>
      <c r="F2133" t="s">
        <v>11</v>
      </c>
      <c r="H2133" s="12">
        <v>3.02946735613844</v>
      </c>
      <c r="I2133" s="11">
        <v>0.71881075931551197</v>
      </c>
      <c r="J2133" s="10">
        <v>0.47225752744497701</v>
      </c>
      <c r="K2133" s="29">
        <v>0.98289565623980701</v>
      </c>
    </row>
    <row r="2134" spans="1:11" x14ac:dyDescent="0.35">
      <c r="A2134" s="9" t="str">
        <f>HYPERLINK("http://www.ensembl.org/id/WBGene00015996", "WBGene00015996")</f>
        <v>WBGene00015996</v>
      </c>
      <c r="B2134" s="9" t="str">
        <f>HYPERLINK("http://www.ncbi.nlm.nih.gov/gene/176886", "176886")</f>
        <v>176886</v>
      </c>
      <c r="C2134" s="9"/>
      <c r="D2134" t="str">
        <f>"C18H7.6"</f>
        <v>C18H7.6</v>
      </c>
      <c r="F2134" t="s">
        <v>11</v>
      </c>
      <c r="G2134" t="s">
        <v>25</v>
      </c>
      <c r="H2134" s="12">
        <v>3.0290205050197598</v>
      </c>
      <c r="I2134" s="11">
        <v>1.18207138757776</v>
      </c>
      <c r="J2134" s="10">
        <v>0.237177376324889</v>
      </c>
      <c r="K2134" s="29">
        <v>0.98289565623980701</v>
      </c>
    </row>
    <row r="2135" spans="1:11" x14ac:dyDescent="0.35">
      <c r="A2135" s="9" t="str">
        <f>HYPERLINK("http://www.ensembl.org/id/WBGene00206383", "WBGene00206383")</f>
        <v>WBGene00206383</v>
      </c>
      <c r="B2135" s="9" t="str">
        <f>HYPERLINK("http://www.ncbi.nlm.nih.gov/gene/13214870", "13214870")</f>
        <v>13214870</v>
      </c>
      <c r="C2135" s="9"/>
      <c r="D2135" t="str">
        <f>"kvs-2"</f>
        <v>kvs-2</v>
      </c>
      <c r="F2135" t="s">
        <v>11</v>
      </c>
      <c r="G2135" t="s">
        <v>25</v>
      </c>
      <c r="H2135" s="12">
        <v>3.0278855929696502</v>
      </c>
      <c r="I2135" s="11">
        <v>0.84202695452390297</v>
      </c>
      <c r="J2135" s="10">
        <v>0.39977286595424</v>
      </c>
      <c r="K2135" s="29">
        <v>0.98289565623980701</v>
      </c>
    </row>
    <row r="2136" spans="1:11" x14ac:dyDescent="0.35">
      <c r="A2136" s="9" t="str">
        <f>HYPERLINK("http://www.ensembl.org/id/WBGene00005725", "WBGene00005725")</f>
        <v>WBGene00005725</v>
      </c>
      <c r="B2136" s="9" t="str">
        <f>HYPERLINK("http://www.ncbi.nlm.nih.gov/gene/190887", "190887")</f>
        <v>190887</v>
      </c>
      <c r="C2136" s="9"/>
      <c r="D2136" t="str">
        <f>"srv-14"</f>
        <v>srv-14</v>
      </c>
      <c r="E2136" t="s">
        <v>2916</v>
      </c>
      <c r="F2136" t="s">
        <v>11</v>
      </c>
      <c r="G2136" t="s">
        <v>25</v>
      </c>
      <c r="H2136" s="12">
        <v>3.0252700241320798</v>
      </c>
      <c r="I2136" s="11">
        <v>0.71934451393779797</v>
      </c>
      <c r="J2136" s="10">
        <v>0.47192867520134102</v>
      </c>
      <c r="K2136" s="29">
        <v>0.98289565623980701</v>
      </c>
    </row>
    <row r="2137" spans="1:11" x14ac:dyDescent="0.35">
      <c r="A2137" s="9" t="str">
        <f>HYPERLINK("http://www.ensembl.org/id/WBGene00008055", "WBGene00008055")</f>
        <v>WBGene00008055</v>
      </c>
      <c r="B2137" s="9"/>
      <c r="C2137" s="9"/>
      <c r="D2137" t="str">
        <f>"cyp-34A3"</f>
        <v>cyp-34A3</v>
      </c>
      <c r="F2137" t="s">
        <v>80</v>
      </c>
      <c r="H2137" s="12">
        <v>3.0250841133984201</v>
      </c>
      <c r="I2137" s="11">
        <v>0.53439098800024198</v>
      </c>
      <c r="J2137" s="10">
        <v>0.59307105273236704</v>
      </c>
      <c r="K2137" s="29">
        <v>0.98289565623980701</v>
      </c>
    </row>
    <row r="2138" spans="1:11" x14ac:dyDescent="0.35">
      <c r="A2138" s="9" t="str">
        <f>HYPERLINK("http://www.ensembl.org/id/WBGene00000723", "WBGene00000723")</f>
        <v>WBGene00000723</v>
      </c>
      <c r="B2138" s="9" t="str">
        <f>HYPERLINK("http://www.ncbi.nlm.nih.gov/gene/181814", "181814")</f>
        <v>181814</v>
      </c>
      <c r="C2138" s="9"/>
      <c r="D2138" t="str">
        <f>"col-150"</f>
        <v>col-150</v>
      </c>
      <c r="E2138" t="s">
        <v>40</v>
      </c>
      <c r="F2138" t="s">
        <v>11</v>
      </c>
      <c r="G2138" t="s">
        <v>41</v>
      </c>
      <c r="H2138" s="12">
        <v>3.02438624940284</v>
      </c>
      <c r="I2138" s="11">
        <v>4.5574080502303698</v>
      </c>
      <c r="J2138" s="10">
        <v>5.1788750368813303E-6</v>
      </c>
      <c r="K2138" s="29">
        <v>6.1365685437015402E-4</v>
      </c>
    </row>
    <row r="2139" spans="1:11" x14ac:dyDescent="0.35">
      <c r="A2139" s="9" t="str">
        <f>HYPERLINK("http://www.ensembl.org/id/WBGene00013564", "WBGene00013564")</f>
        <v>WBGene00013564</v>
      </c>
      <c r="B2139" s="9" t="str">
        <f>HYPERLINK("http://www.ncbi.nlm.nih.gov/gene/190714", "190714")</f>
        <v>190714</v>
      </c>
      <c r="C2139" s="9"/>
      <c r="D2139" t="str">
        <f>"Y75B8A.34"</f>
        <v>Y75B8A.34</v>
      </c>
      <c r="F2139" t="s">
        <v>11</v>
      </c>
      <c r="G2139" t="s">
        <v>25</v>
      </c>
      <c r="H2139" s="12">
        <v>3.02358794610968</v>
      </c>
      <c r="I2139" s="11">
        <v>1.0304795686033501</v>
      </c>
      <c r="J2139" s="10">
        <v>0.30278493847260002</v>
      </c>
      <c r="K2139" s="29">
        <v>0.98289565623980701</v>
      </c>
    </row>
    <row r="2140" spans="1:11" x14ac:dyDescent="0.35">
      <c r="A2140" s="9" t="str">
        <f>HYPERLINK("http://www.ensembl.org/id/WBGene00001068", "WBGene00001068")</f>
        <v>WBGene00001068</v>
      </c>
      <c r="B2140" s="9" t="str">
        <f>HYPERLINK("http://www.ncbi.nlm.nih.gov/gene/181099", "181099")</f>
        <v>181099</v>
      </c>
      <c r="C2140" s="9"/>
      <c r="D2140" t="str">
        <f>"dpy-6"</f>
        <v>dpy-6</v>
      </c>
      <c r="E2140" t="s">
        <v>578</v>
      </c>
      <c r="F2140" t="s">
        <v>11</v>
      </c>
      <c r="G2140" t="s">
        <v>579</v>
      </c>
      <c r="H2140" s="12">
        <v>3.01987302134973</v>
      </c>
      <c r="I2140" s="11">
        <v>3.1556299513884198</v>
      </c>
      <c r="J2140" s="10">
        <v>1.60151905821677E-3</v>
      </c>
      <c r="K2140" s="29">
        <v>5.5898337400538602E-2</v>
      </c>
    </row>
    <row r="2141" spans="1:11" x14ac:dyDescent="0.35">
      <c r="A2141" s="9" t="str">
        <f>HYPERLINK("http://www.ensembl.org/id/WBGene00020587", "WBGene00020587")</f>
        <v>WBGene00020587</v>
      </c>
      <c r="B2141" s="9" t="str">
        <f>HYPERLINK("http://www.ncbi.nlm.nih.gov/gene/178883", "178883")</f>
        <v>178883</v>
      </c>
      <c r="C2141" s="9"/>
      <c r="D2141" t="str">
        <f>"ugt-9"</f>
        <v>ugt-9</v>
      </c>
      <c r="E2141" t="s">
        <v>103</v>
      </c>
      <c r="F2141" t="s">
        <v>11</v>
      </c>
      <c r="G2141" t="s">
        <v>104</v>
      </c>
      <c r="H2141" s="12">
        <v>3.0195013203349998</v>
      </c>
      <c r="I2141" s="11">
        <v>1.5409007130554799</v>
      </c>
      <c r="J2141" s="10">
        <v>0.123340952276385</v>
      </c>
      <c r="K2141" s="29">
        <v>0.79722221030317098</v>
      </c>
    </row>
    <row r="2142" spans="1:11" x14ac:dyDescent="0.35">
      <c r="A2142" s="9" t="str">
        <f>HYPERLINK("http://www.ensembl.org/id/WBGene00022797", "WBGene00022797")</f>
        <v>WBGene00022797</v>
      </c>
      <c r="B2142" s="9" t="str">
        <f>HYPERLINK("http://www.ncbi.nlm.nih.gov/gene/176110", "176110")</f>
        <v>176110</v>
      </c>
      <c r="C2142" s="9"/>
      <c r="D2142" t="str">
        <f>"best-24"</f>
        <v>best-24</v>
      </c>
      <c r="E2142" t="s">
        <v>122</v>
      </c>
      <c r="F2142" t="s">
        <v>11</v>
      </c>
      <c r="H2142" s="12">
        <v>3.0188725502804901</v>
      </c>
      <c r="I2142" s="11">
        <v>5.2422811343156797</v>
      </c>
      <c r="J2142" s="10">
        <v>1.5860346834726401E-7</v>
      </c>
      <c r="K2142" s="29">
        <v>3.6284076630018601E-5</v>
      </c>
    </row>
    <row r="2143" spans="1:11" x14ac:dyDescent="0.35">
      <c r="A2143" s="9" t="str">
        <f>HYPERLINK("http://www.ensembl.org/id/WBGene00016829", "WBGene00016829")</f>
        <v>WBGene00016829</v>
      </c>
      <c r="B2143" s="9" t="str">
        <f>HYPERLINK("http://www.ncbi.nlm.nih.gov/gene/183667", "183667")</f>
        <v>183667</v>
      </c>
      <c r="C2143" s="9"/>
      <c r="D2143" t="str">
        <f>"sre-54"</f>
        <v>sre-54</v>
      </c>
      <c r="E2143" t="s">
        <v>2638</v>
      </c>
      <c r="F2143" t="s">
        <v>11</v>
      </c>
      <c r="G2143" t="s">
        <v>2639</v>
      </c>
      <c r="H2143" s="12">
        <v>3.01798431907917</v>
      </c>
      <c r="I2143" s="11">
        <v>0.71272826336519501</v>
      </c>
      <c r="J2143" s="10">
        <v>0.476013923601591</v>
      </c>
      <c r="K2143" s="29">
        <v>0.98289565623980701</v>
      </c>
    </row>
    <row r="2144" spans="1:11" x14ac:dyDescent="0.35">
      <c r="A2144" s="9" t="str">
        <f>HYPERLINK("http://www.ensembl.org/id/WBGene00005031", "WBGene00005031")</f>
        <v>WBGene00005031</v>
      </c>
      <c r="B2144" s="9"/>
      <c r="C2144" s="9"/>
      <c r="D2144" t="str">
        <f>"sra-5"</f>
        <v>sra-5</v>
      </c>
      <c r="F2144" t="s">
        <v>80</v>
      </c>
      <c r="H2144" s="12">
        <v>3.01735715873741</v>
      </c>
      <c r="I2144" s="11">
        <v>0.66504909184772698</v>
      </c>
      <c r="J2144" s="10">
        <v>0.50601909417663204</v>
      </c>
      <c r="K2144" s="29">
        <v>0.98289565623980701</v>
      </c>
    </row>
    <row r="2145" spans="1:11" x14ac:dyDescent="0.35">
      <c r="A2145" s="9" t="str">
        <f>HYPERLINK("http://www.ensembl.org/id/WBGene00195056", "WBGene00195056")</f>
        <v>WBGene00195056</v>
      </c>
      <c r="B2145" s="9" t="str">
        <f>HYPERLINK("http://www.ncbi.nlm.nih.gov/gene/13179689", "13179689")</f>
        <v>13179689</v>
      </c>
      <c r="C2145" s="9"/>
      <c r="D2145" t="str">
        <f>"C45E1.5"</f>
        <v>C45E1.5</v>
      </c>
      <c r="F2145" t="s">
        <v>11</v>
      </c>
      <c r="H2145" s="12">
        <v>3.0165489930015599</v>
      </c>
      <c r="I2145" s="11">
        <v>0.57681334846422505</v>
      </c>
      <c r="J2145" s="10">
        <v>0.56406555125763502</v>
      </c>
      <c r="K2145" s="29">
        <v>0.98289565623980701</v>
      </c>
    </row>
    <row r="2146" spans="1:11" x14ac:dyDescent="0.35">
      <c r="A2146" s="9" t="str">
        <f>HYPERLINK("http://www.ensembl.org/id/WBGene00005017", "WBGene00005017")</f>
        <v>WBGene00005017</v>
      </c>
      <c r="B2146" s="9" t="str">
        <f>HYPERLINK("http://www.ncbi.nlm.nih.gov/gene/173382", "173382")</f>
        <v>173382</v>
      </c>
      <c r="C2146" s="9"/>
      <c r="D2146" t="str">
        <f>"sqt-2"</f>
        <v>sqt-2</v>
      </c>
      <c r="E2146" t="s">
        <v>1971</v>
      </c>
      <c r="F2146" t="s">
        <v>11</v>
      </c>
      <c r="G2146" t="s">
        <v>1591</v>
      </c>
      <c r="H2146" s="12">
        <v>3.0126337830445902</v>
      </c>
      <c r="I2146" s="11">
        <v>1.88531107224608</v>
      </c>
      <c r="J2146" s="10">
        <v>5.9387852155939197E-2</v>
      </c>
      <c r="K2146" s="29">
        <v>0.57390870427232499</v>
      </c>
    </row>
    <row r="2147" spans="1:11" x14ac:dyDescent="0.35">
      <c r="A2147" s="9" t="str">
        <f>HYPERLINK("http://www.ensembl.org/id/WBGene00005371", "WBGene00005371")</f>
        <v>WBGene00005371</v>
      </c>
      <c r="B2147" s="9"/>
      <c r="C2147" s="9"/>
      <c r="D2147" t="str">
        <f>"srh-155"</f>
        <v>srh-155</v>
      </c>
      <c r="F2147" t="s">
        <v>80</v>
      </c>
      <c r="H2147" s="12">
        <v>3.0105181145822901</v>
      </c>
      <c r="I2147" s="11">
        <v>0.41639261058244798</v>
      </c>
      <c r="J2147" s="10">
        <v>0.67712273475086904</v>
      </c>
      <c r="K2147" s="29">
        <v>0.98289565623980701</v>
      </c>
    </row>
    <row r="2148" spans="1:11" x14ac:dyDescent="0.35">
      <c r="A2148" s="9" t="str">
        <f>HYPERLINK("http://www.ensembl.org/id/WBGene00012215", "WBGene00012215")</f>
        <v>WBGene00012215</v>
      </c>
      <c r="B2148" s="9" t="str">
        <f>HYPERLINK("http://www.ncbi.nlm.nih.gov/gene/189123", "189123")</f>
        <v>189123</v>
      </c>
      <c r="C2148" s="9"/>
      <c r="D2148" t="str">
        <f>"W02D9.9"</f>
        <v>W02D9.9</v>
      </c>
      <c r="F2148" t="s">
        <v>11</v>
      </c>
      <c r="G2148" t="s">
        <v>25</v>
      </c>
      <c r="H2148" s="12">
        <v>3.0105181145822901</v>
      </c>
      <c r="I2148" s="11">
        <v>0.41639261058244798</v>
      </c>
      <c r="J2148" s="10">
        <v>0.67712273475086904</v>
      </c>
      <c r="K2148" s="29">
        <v>0.98289565623980701</v>
      </c>
    </row>
    <row r="2149" spans="1:11" x14ac:dyDescent="0.35">
      <c r="A2149" s="9" t="str">
        <f>HYPERLINK("http://www.ensembl.org/id/WBGene00022017", "WBGene00022017")</f>
        <v>WBGene00022017</v>
      </c>
      <c r="B2149" s="9"/>
      <c r="C2149" s="9"/>
      <c r="D2149" t="str">
        <f>"Y61A9LA.5"</f>
        <v>Y61A9LA.5</v>
      </c>
      <c r="F2149" t="s">
        <v>80</v>
      </c>
      <c r="H2149" s="12">
        <v>3.0101838839383301</v>
      </c>
      <c r="I2149" s="11">
        <v>1.65126585347086</v>
      </c>
      <c r="J2149" s="10">
        <v>9.8684301510612804E-2</v>
      </c>
      <c r="K2149" s="29">
        <v>0.72479322018570203</v>
      </c>
    </row>
    <row r="2150" spans="1:11" x14ac:dyDescent="0.35">
      <c r="A2150" s="9" t="str">
        <f>HYPERLINK("http://www.ensembl.org/id/WBGene00011013", "WBGene00011013")</f>
        <v>WBGene00011013</v>
      </c>
      <c r="B2150" s="9" t="str">
        <f>HYPERLINK("http://www.ncbi.nlm.nih.gov/gene/187578", "187578")</f>
        <v>187578</v>
      </c>
      <c r="C2150" s="9"/>
      <c r="D2150" t="str">
        <f>"srxa-8"</f>
        <v>srxa-8</v>
      </c>
      <c r="E2150" t="s">
        <v>3765</v>
      </c>
      <c r="F2150" t="s">
        <v>11</v>
      </c>
      <c r="G2150" t="s">
        <v>25</v>
      </c>
      <c r="H2150" s="12">
        <v>3.0089367345701299</v>
      </c>
      <c r="I2150" s="11">
        <v>0.66724694441772803</v>
      </c>
      <c r="J2150" s="10">
        <v>0.50461440967511995</v>
      </c>
      <c r="K2150" s="29">
        <v>0.98289565623980701</v>
      </c>
    </row>
    <row r="2151" spans="1:11" x14ac:dyDescent="0.35">
      <c r="A2151" s="9" t="str">
        <f>HYPERLINK("http://www.ensembl.org/id/WBGene00002089", "WBGene00002089")</f>
        <v>WBGene00002089</v>
      </c>
      <c r="B2151" s="9" t="str">
        <f>HYPERLINK("http://www.ncbi.nlm.nih.gov/gene/191687", "191687")</f>
        <v>191687</v>
      </c>
      <c r="C2151" s="9"/>
      <c r="D2151" t="str">
        <f>"ins-6"</f>
        <v>ins-6</v>
      </c>
      <c r="E2151" t="s">
        <v>946</v>
      </c>
      <c r="F2151" t="s">
        <v>11</v>
      </c>
      <c r="G2151" t="s">
        <v>724</v>
      </c>
      <c r="H2151" s="12">
        <v>3.0079358622240702</v>
      </c>
      <c r="I2151" s="11">
        <v>2.6486285866869501</v>
      </c>
      <c r="J2151" s="10">
        <v>8.0819097374248399E-3</v>
      </c>
      <c r="K2151" s="29">
        <v>0.169149099993604</v>
      </c>
    </row>
    <row r="2152" spans="1:11" x14ac:dyDescent="0.35">
      <c r="A2152" s="9" t="str">
        <f>HYPERLINK("http://www.ensembl.org/id/WBGene00016929", "WBGene00016929")</f>
        <v>WBGene00016929</v>
      </c>
      <c r="B2152" s="9" t="str">
        <f>HYPERLINK("http://www.ncbi.nlm.nih.gov/gene/183810", "183810")</f>
        <v>183810</v>
      </c>
      <c r="C2152" s="9"/>
      <c r="D2152" t="str">
        <f>"C54F6.12"</f>
        <v>C54F6.12</v>
      </c>
      <c r="F2152" t="s">
        <v>11</v>
      </c>
      <c r="H2152" s="12">
        <v>3.0062240392058901</v>
      </c>
      <c r="I2152" s="11">
        <v>1.655152887002</v>
      </c>
      <c r="J2152" s="10">
        <v>9.7893489179178395E-2</v>
      </c>
      <c r="K2152" s="29">
        <v>0.72352613950074296</v>
      </c>
    </row>
    <row r="2153" spans="1:11" x14ac:dyDescent="0.35">
      <c r="A2153" s="9" t="str">
        <f>HYPERLINK("http://www.ensembl.org/id/WBGene00019198", "WBGene00019198")</f>
        <v>WBGene00019198</v>
      </c>
      <c r="B2153" s="9" t="str">
        <f>HYPERLINK("http://www.ncbi.nlm.nih.gov/gene/175358", "175358")</f>
        <v>175358</v>
      </c>
      <c r="C2153" s="9"/>
      <c r="D2153" t="str">
        <f>"strm-1"</f>
        <v>strm-1</v>
      </c>
      <c r="E2153" t="s">
        <v>370</v>
      </c>
      <c r="F2153" t="s">
        <v>11</v>
      </c>
      <c r="G2153" t="s">
        <v>371</v>
      </c>
      <c r="H2153" s="12">
        <v>3.0038070167874098</v>
      </c>
      <c r="I2153" s="11">
        <v>3.7871590339937802</v>
      </c>
      <c r="J2153" s="10">
        <v>1.52379576391696E-4</v>
      </c>
      <c r="K2153" s="29">
        <v>9.0568594573573E-3</v>
      </c>
    </row>
    <row r="2154" spans="1:11" x14ac:dyDescent="0.35">
      <c r="A2154" s="9" t="str">
        <f>HYPERLINK("http://www.ensembl.org/id/WBGene00009094", "WBGene00009094")</f>
        <v>WBGene00009094</v>
      </c>
      <c r="B2154" s="9" t="str">
        <f>HYPERLINK("http://www.ncbi.nlm.nih.gov/gene/179695", "179695")</f>
        <v>179695</v>
      </c>
      <c r="C2154" s="9"/>
      <c r="D2154" t="str">
        <f>"F23H12.5"</f>
        <v>F23H12.5</v>
      </c>
      <c r="F2154" t="s">
        <v>11</v>
      </c>
      <c r="G2154" t="s">
        <v>917</v>
      </c>
      <c r="H2154" s="12">
        <v>3.0037060861482199</v>
      </c>
      <c r="I2154" s="11">
        <v>2.7076628400946698</v>
      </c>
      <c r="J2154" s="10">
        <v>6.7758820471749501E-3</v>
      </c>
      <c r="K2154" s="29">
        <v>0.14618443565081601</v>
      </c>
    </row>
    <row r="2155" spans="1:11" x14ac:dyDescent="0.35">
      <c r="A2155" s="9" t="str">
        <f>HYPERLINK("http://www.ensembl.org/id/WBGene00018026", "WBGene00018026")</f>
        <v>WBGene00018026</v>
      </c>
      <c r="B2155" s="9" t="str">
        <f>HYPERLINK("http://www.ncbi.nlm.nih.gov/gene/185249", "185249")</f>
        <v>185249</v>
      </c>
      <c r="C2155" s="9"/>
      <c r="D2155" t="str">
        <f>"F35A5.4"</f>
        <v>F35A5.4</v>
      </c>
      <c r="F2155" t="s">
        <v>11</v>
      </c>
      <c r="H2155" s="12">
        <v>3.0029938815384298</v>
      </c>
      <c r="I2155" s="11">
        <v>1.4897912998509499</v>
      </c>
      <c r="J2155" s="10">
        <v>0.13627911942780399</v>
      </c>
      <c r="K2155" s="29">
        <v>0.82755987739785697</v>
      </c>
    </row>
    <row r="2156" spans="1:11" x14ac:dyDescent="0.35">
      <c r="A2156" s="9" t="str">
        <f>HYPERLINK("http://www.ensembl.org/id/WBGene00044205", "WBGene00044205")</f>
        <v>WBGene00044205</v>
      </c>
      <c r="B2156" s="9" t="str">
        <f>HYPERLINK("http://www.ncbi.nlm.nih.gov/gene/3565698", "3565698")</f>
        <v>3565698</v>
      </c>
      <c r="C2156" s="9"/>
      <c r="D2156" t="str">
        <f>"T13F3.8"</f>
        <v>T13F3.8</v>
      </c>
      <c r="F2156" t="s">
        <v>11</v>
      </c>
      <c r="G2156" t="s">
        <v>25</v>
      </c>
      <c r="H2156" s="12">
        <v>2.9993046387959299</v>
      </c>
      <c r="I2156" s="11">
        <v>1.19120994813226</v>
      </c>
      <c r="J2156" s="10">
        <v>0.23357117514095599</v>
      </c>
      <c r="K2156" s="29">
        <v>0.98289565623980701</v>
      </c>
    </row>
    <row r="2157" spans="1:11" x14ac:dyDescent="0.35">
      <c r="A2157" s="9" t="str">
        <f>HYPERLINK("http://www.ensembl.org/id/WBGene00012010", "WBGene00012010")</f>
        <v>WBGene00012010</v>
      </c>
      <c r="B2157" s="9" t="str">
        <f>HYPERLINK("http://www.ncbi.nlm.nih.gov/gene/188882", "188882")</f>
        <v>188882</v>
      </c>
      <c r="C2157" s="9"/>
      <c r="D2157" t="str">
        <f>"T25B9.4"</f>
        <v>T25B9.4</v>
      </c>
      <c r="E2157" t="s">
        <v>2588</v>
      </c>
      <c r="F2157" t="s">
        <v>11</v>
      </c>
      <c r="G2157" t="s">
        <v>2589</v>
      </c>
      <c r="H2157" s="12">
        <v>2.9961302447456801</v>
      </c>
      <c r="I2157" s="11">
        <v>0.75744483349215797</v>
      </c>
      <c r="J2157" s="10">
        <v>0.44878340468258299</v>
      </c>
      <c r="K2157" s="29">
        <v>0.98289565623980701</v>
      </c>
    </row>
    <row r="2158" spans="1:11" x14ac:dyDescent="0.35">
      <c r="A2158" s="9" t="str">
        <f>HYPERLINK("http://www.ensembl.org/id/WBGene00015560", "WBGene00015560")</f>
        <v>WBGene00015560</v>
      </c>
      <c r="B2158" s="9" t="str">
        <f>HYPERLINK("http://www.ncbi.nlm.nih.gov/gene/180726", "180726")</f>
        <v>180726</v>
      </c>
      <c r="C2158" s="9"/>
      <c r="D2158" t="str">
        <f>"C07A12.2"</f>
        <v>C07A12.2</v>
      </c>
      <c r="F2158" t="s">
        <v>11</v>
      </c>
      <c r="H2158" s="12">
        <v>2.99540172636594</v>
      </c>
      <c r="I2158" s="11">
        <v>2.74713131907667</v>
      </c>
      <c r="J2158" s="10">
        <v>6.0119057922055803E-3</v>
      </c>
      <c r="K2158" s="29">
        <v>0.13650921273695099</v>
      </c>
    </row>
    <row r="2159" spans="1:11" x14ac:dyDescent="0.35">
      <c r="A2159" s="9" t="str">
        <f>HYPERLINK("http://www.ensembl.org/id/WBGene00206460", "WBGene00206460")</f>
        <v>WBGene00206460</v>
      </c>
      <c r="B2159" s="9" t="str">
        <f>HYPERLINK("http://www.ncbi.nlm.nih.gov/gene/13215861", "13215861")</f>
        <v>13215861</v>
      </c>
      <c r="C2159" s="9"/>
      <c r="D2159" t="str">
        <f>"F56H9.9"</f>
        <v>F56H9.9</v>
      </c>
      <c r="F2159" t="s">
        <v>11</v>
      </c>
      <c r="G2159" t="s">
        <v>25</v>
      </c>
      <c r="H2159" s="12">
        <v>2.9940275021316101</v>
      </c>
      <c r="I2159" s="11">
        <v>1.89631716563526</v>
      </c>
      <c r="J2159" s="10">
        <v>5.7918117773110303E-2</v>
      </c>
      <c r="K2159" s="29">
        <v>0.56705763951927401</v>
      </c>
    </row>
    <row r="2160" spans="1:11" x14ac:dyDescent="0.35">
      <c r="A2160" s="9" t="str">
        <f>HYPERLINK("http://www.ensembl.org/id/WBGene00015583", "WBGene00015583")</f>
        <v>WBGene00015583</v>
      </c>
      <c r="B2160" s="9" t="str">
        <f>HYPERLINK("http://www.ncbi.nlm.nih.gov/gene/182383", "182383")</f>
        <v>182383</v>
      </c>
      <c r="C2160" s="9"/>
      <c r="D2160" t="str">
        <f>"C08A9.3"</f>
        <v>C08A9.3</v>
      </c>
      <c r="F2160" t="s">
        <v>11</v>
      </c>
      <c r="G2160" t="s">
        <v>4328</v>
      </c>
      <c r="H2160" s="12">
        <v>2.9914676252904502</v>
      </c>
      <c r="I2160" s="11">
        <v>0.84347818685374598</v>
      </c>
      <c r="J2160" s="10">
        <v>0.39896106024974898</v>
      </c>
      <c r="K2160" s="29">
        <v>0.98289565623980701</v>
      </c>
    </row>
    <row r="2161" spans="1:11" x14ac:dyDescent="0.35">
      <c r="A2161" s="9" t="str">
        <f>HYPERLINK("http://www.ensembl.org/id/WBGene00015568", "WBGene00015568")</f>
        <v>WBGene00015568</v>
      </c>
      <c r="B2161" s="9" t="str">
        <f>HYPERLINK("http://www.ncbi.nlm.nih.gov/gene/182367", "182367")</f>
        <v>182367</v>
      </c>
      <c r="C2161" s="9"/>
      <c r="D2161" t="str">
        <f>"sre-3"</f>
        <v>sre-3</v>
      </c>
      <c r="E2161" t="s">
        <v>2638</v>
      </c>
      <c r="F2161" t="s">
        <v>11</v>
      </c>
      <c r="G2161" t="s">
        <v>2639</v>
      </c>
      <c r="H2161" s="12">
        <v>2.9886247126268599</v>
      </c>
      <c r="I2161" s="11">
        <v>1.6149008618713601</v>
      </c>
      <c r="J2161" s="10">
        <v>0.10633216559551301</v>
      </c>
      <c r="K2161" s="29">
        <v>0.752624202744829</v>
      </c>
    </row>
    <row r="2162" spans="1:11" x14ac:dyDescent="0.35">
      <c r="A2162" s="9" t="str">
        <f>HYPERLINK("http://www.ensembl.org/id/WBGene00009708", "WBGene00009708")</f>
        <v>WBGene00009708</v>
      </c>
      <c r="B2162" s="9" t="str">
        <f>HYPERLINK("http://www.ncbi.nlm.nih.gov/gene/180083", "180083")</f>
        <v>180083</v>
      </c>
      <c r="C2162" s="9"/>
      <c r="D2162" t="str">
        <f>"F44G3.7"</f>
        <v>F44G3.7</v>
      </c>
      <c r="F2162" t="s">
        <v>11</v>
      </c>
      <c r="G2162" t="s">
        <v>4329</v>
      </c>
      <c r="H2162" s="12">
        <v>2.9870693876807</v>
      </c>
      <c r="I2162" s="11">
        <v>0.809536552019536</v>
      </c>
      <c r="J2162" s="10">
        <v>0.418206586804865</v>
      </c>
      <c r="K2162" s="29">
        <v>0.98289565623980701</v>
      </c>
    </row>
    <row r="2163" spans="1:11" x14ac:dyDescent="0.35">
      <c r="A2163" s="9" t="str">
        <f>HYPERLINK("http://www.ensembl.org/id/WBGene00000601", "WBGene00000601")</f>
        <v>WBGene00000601</v>
      </c>
      <c r="B2163" s="9" t="str">
        <f>HYPERLINK("http://www.ncbi.nlm.nih.gov/gene/179453", "179453")</f>
        <v>179453</v>
      </c>
      <c r="C2163" s="9"/>
      <c r="D2163" t="str">
        <f>"col-12"</f>
        <v>col-12</v>
      </c>
      <c r="E2163" t="s">
        <v>589</v>
      </c>
      <c r="F2163" t="s">
        <v>11</v>
      </c>
      <c r="G2163" t="s">
        <v>152</v>
      </c>
      <c r="H2163" s="12">
        <v>2.9834292881488</v>
      </c>
      <c r="I2163" s="11">
        <v>3.1368359063335198</v>
      </c>
      <c r="J2163" s="10">
        <v>1.70781680972303E-3</v>
      </c>
      <c r="K2163" s="29">
        <v>5.8635671675870603E-2</v>
      </c>
    </row>
    <row r="2164" spans="1:11" x14ac:dyDescent="0.35">
      <c r="A2164" s="9" t="str">
        <f>HYPERLINK("http://www.ensembl.org/id/WBGene00020611", "WBGene00020611")</f>
        <v>WBGene00020611</v>
      </c>
      <c r="B2164" s="9" t="str">
        <f>HYPERLINK("http://www.ncbi.nlm.nih.gov/gene/188641", "188641")</f>
        <v>188641</v>
      </c>
      <c r="C2164" s="9"/>
      <c r="D2164" t="str">
        <f>"T20D4.5"</f>
        <v>T20D4.5</v>
      </c>
      <c r="F2164" t="s">
        <v>11</v>
      </c>
      <c r="G2164" t="s">
        <v>1614</v>
      </c>
      <c r="H2164" s="12">
        <v>2.9828704513262698</v>
      </c>
      <c r="I2164" s="11">
        <v>2.07036570542023</v>
      </c>
      <c r="J2164" s="10">
        <v>3.8418110832012603E-2</v>
      </c>
      <c r="K2164" s="29">
        <v>0.45190216675387901</v>
      </c>
    </row>
    <row r="2165" spans="1:11" x14ac:dyDescent="0.35">
      <c r="A2165" s="9" t="str">
        <f>HYPERLINK("http://www.ensembl.org/id/WBGene00005032", "WBGene00005032")</f>
        <v>WBGene00005032</v>
      </c>
      <c r="B2165" s="9" t="str">
        <f>HYPERLINK("http://www.ncbi.nlm.nih.gov/gene/191777", "191777")</f>
        <v>191777</v>
      </c>
      <c r="C2165" s="9"/>
      <c r="D2165" t="str">
        <f>"sra-6"</f>
        <v>sra-6</v>
      </c>
      <c r="E2165" t="s">
        <v>2291</v>
      </c>
      <c r="F2165" t="s">
        <v>11</v>
      </c>
      <c r="G2165" t="s">
        <v>2292</v>
      </c>
      <c r="H2165" s="12">
        <v>2.9804495389308601</v>
      </c>
      <c r="I2165" s="11">
        <v>1.7258828544293601</v>
      </c>
      <c r="J2165" s="10">
        <v>8.4368489881282496E-2</v>
      </c>
      <c r="K2165" s="29">
        <v>0.68318940529949201</v>
      </c>
    </row>
    <row r="2166" spans="1:11" x14ac:dyDescent="0.35">
      <c r="A2166" s="9" t="str">
        <f>HYPERLINK("http://www.ensembl.org/id/WBGene00015182", "WBGene00015182")</f>
        <v>WBGene00015182</v>
      </c>
      <c r="B2166" s="9" t="str">
        <f>HYPERLINK("http://www.ncbi.nlm.nih.gov/gene/181986", "181986")</f>
        <v>181986</v>
      </c>
      <c r="C2166" s="9"/>
      <c r="D2166" t="str">
        <f>"B0416.7"</f>
        <v>B0416.7</v>
      </c>
      <c r="F2166" t="s">
        <v>11</v>
      </c>
      <c r="H2166" s="12">
        <v>2.97912332229863</v>
      </c>
      <c r="I2166" s="11">
        <v>2.7429323707191302</v>
      </c>
      <c r="J2166" s="10">
        <v>6.08932252284869E-3</v>
      </c>
      <c r="K2166" s="29">
        <v>0.13740223262982601</v>
      </c>
    </row>
    <row r="2167" spans="1:11" x14ac:dyDescent="0.35">
      <c r="A2167" s="9" t="str">
        <f>HYPERLINK("http://www.ensembl.org/id/WBGene00017869", "WBGene00017869")</f>
        <v>WBGene00017869</v>
      </c>
      <c r="B2167" s="9" t="str">
        <f>HYPERLINK("http://www.ncbi.nlm.nih.gov/gene/185027", "185027")</f>
        <v>185027</v>
      </c>
      <c r="C2167" s="9"/>
      <c r="D2167" t="str">
        <f>"F28A10.1"</f>
        <v>F28A10.1</v>
      </c>
      <c r="F2167" t="s">
        <v>11</v>
      </c>
      <c r="H2167" s="12">
        <v>2.9754659352609001</v>
      </c>
      <c r="I2167" s="11">
        <v>0.49695545167261801</v>
      </c>
      <c r="J2167" s="10">
        <v>0.61922046646316298</v>
      </c>
      <c r="K2167" s="29">
        <v>0.98289565623980701</v>
      </c>
    </row>
    <row r="2168" spans="1:11" x14ac:dyDescent="0.35">
      <c r="A2168" s="9" t="str">
        <f>HYPERLINK("http://www.ensembl.org/id/WBGene00189957", "WBGene00189957")</f>
        <v>WBGene00189957</v>
      </c>
      <c r="B2168" s="9" t="str">
        <f>HYPERLINK("http://www.ncbi.nlm.nih.gov/gene/13213068", "13213068")</f>
        <v>13213068</v>
      </c>
      <c r="C2168" s="9"/>
      <c r="D2168" t="str">
        <f>"M03F8.7"</f>
        <v>M03F8.7</v>
      </c>
      <c r="F2168" t="s">
        <v>11</v>
      </c>
      <c r="G2168" t="s">
        <v>1015</v>
      </c>
      <c r="H2168" s="12">
        <v>2.9754659352609001</v>
      </c>
      <c r="I2168" s="11">
        <v>0.49695545167261801</v>
      </c>
      <c r="J2168" s="10">
        <v>0.61922046646316298</v>
      </c>
      <c r="K2168" s="29">
        <v>0.98289565623980701</v>
      </c>
    </row>
    <row r="2169" spans="1:11" x14ac:dyDescent="0.35">
      <c r="A2169" s="9" t="str">
        <f>HYPERLINK("http://www.ensembl.org/id/WBGene00016551", "WBGene00016551")</f>
        <v>WBGene00016551</v>
      </c>
      <c r="B2169" s="9" t="str">
        <f>HYPERLINK("http://www.ncbi.nlm.nih.gov/gene/183356", "183356")</f>
        <v>183356</v>
      </c>
      <c r="C2169" s="9"/>
      <c r="D2169" t="str">
        <f>"C40A11.8"</f>
        <v>C40A11.8</v>
      </c>
      <c r="F2169" t="s">
        <v>11</v>
      </c>
      <c r="G2169" t="s">
        <v>25</v>
      </c>
      <c r="H2169" s="12">
        <v>2.9753392539316201</v>
      </c>
      <c r="I2169" s="11">
        <v>0.428744983571483</v>
      </c>
      <c r="J2169" s="10">
        <v>0.66810882041836495</v>
      </c>
      <c r="K2169" s="29">
        <v>0.98289565623980701</v>
      </c>
    </row>
    <row r="2170" spans="1:11" x14ac:dyDescent="0.35">
      <c r="A2170" s="9" t="str">
        <f>HYPERLINK("http://www.ensembl.org/id/WBGene00005977", "WBGene00005977")</f>
        <v>WBGene00005977</v>
      </c>
      <c r="B2170" s="9" t="str">
        <f>HYPERLINK("http://www.ncbi.nlm.nih.gov/gene/3565908", "3565908")</f>
        <v>3565908</v>
      </c>
      <c r="C2170" s="9"/>
      <c r="D2170" t="str">
        <f>"srx-86"</f>
        <v>srx-86</v>
      </c>
      <c r="E2170" t="s">
        <v>1477</v>
      </c>
      <c r="F2170" t="s">
        <v>11</v>
      </c>
      <c r="G2170" t="s">
        <v>25</v>
      </c>
      <c r="H2170" s="12">
        <v>2.9753392539316201</v>
      </c>
      <c r="I2170" s="11">
        <v>0.428744983571483</v>
      </c>
      <c r="J2170" s="10">
        <v>0.66810882041836495</v>
      </c>
      <c r="K2170" s="29">
        <v>0.98289565623980701</v>
      </c>
    </row>
    <row r="2171" spans="1:11" x14ac:dyDescent="0.35">
      <c r="A2171" s="9" t="str">
        <f>HYPERLINK("http://www.ensembl.org/id/WBGene00012045", "WBGene00012045")</f>
        <v>WBGene00012045</v>
      </c>
      <c r="B2171" s="9" t="str">
        <f>HYPERLINK("http://www.ncbi.nlm.nih.gov/gene/188929", "188929")</f>
        <v>188929</v>
      </c>
      <c r="C2171" s="9"/>
      <c r="D2171" t="str">
        <f>"T26E4.3"</f>
        <v>T26E4.3</v>
      </c>
      <c r="F2171" t="s">
        <v>11</v>
      </c>
      <c r="G2171" t="s">
        <v>4254</v>
      </c>
      <c r="H2171" s="12">
        <v>2.96911769426332</v>
      </c>
      <c r="I2171" s="11">
        <v>0.63763554717076498</v>
      </c>
      <c r="J2171" s="10">
        <v>0.52371095039398097</v>
      </c>
      <c r="K2171" s="29">
        <v>0.98289565623980701</v>
      </c>
    </row>
    <row r="2172" spans="1:11" x14ac:dyDescent="0.35">
      <c r="A2172" s="9" t="str">
        <f>HYPERLINK("http://www.ensembl.org/id/WBGene00303423", "WBGene00303423")</f>
        <v>WBGene00303423</v>
      </c>
      <c r="B2172" s="9"/>
      <c r="C2172" s="9"/>
      <c r="D2172" t="str">
        <f>"F10D7.11"</f>
        <v>F10D7.11</v>
      </c>
      <c r="F2172" t="s">
        <v>11</v>
      </c>
      <c r="H2172" s="12">
        <v>2.9672284383596899</v>
      </c>
      <c r="I2172" s="11">
        <v>4.4080612824622101</v>
      </c>
      <c r="J2172" s="10">
        <v>1.04300036862073E-5</v>
      </c>
      <c r="K2172" s="29">
        <v>1.07109184521558E-3</v>
      </c>
    </row>
    <row r="2173" spans="1:11" x14ac:dyDescent="0.35">
      <c r="A2173" s="9" t="str">
        <f>HYPERLINK("http://www.ensembl.org/id/WBGene00195547", "WBGene00195547")</f>
        <v>WBGene00195547</v>
      </c>
      <c r="B2173" s="9"/>
      <c r="C2173" s="9"/>
      <c r="D2173" t="str">
        <f>"T28B11.2"</f>
        <v>T28B11.2</v>
      </c>
      <c r="F2173" t="s">
        <v>481</v>
      </c>
      <c r="H2173" s="12">
        <v>2.96266206773937</v>
      </c>
      <c r="I2173" s="11">
        <v>0.47088956322474601</v>
      </c>
      <c r="J2173" s="10">
        <v>0.63771960146569895</v>
      </c>
      <c r="K2173" s="29">
        <v>0.98289565623980701</v>
      </c>
    </row>
    <row r="2174" spans="1:11" x14ac:dyDescent="0.35">
      <c r="A2174" s="9" t="str">
        <f>HYPERLINK("http://www.ensembl.org/id/WBGene00000760", "WBGene00000760")</f>
        <v>WBGene00000760</v>
      </c>
      <c r="B2174" s="9" t="str">
        <f>HYPERLINK("http://www.ncbi.nlm.nih.gov/gene/181685", "181685")</f>
        <v>181685</v>
      </c>
      <c r="C2174" s="9"/>
      <c r="D2174" t="str">
        <f>"col-187"</f>
        <v>col-187</v>
      </c>
      <c r="E2174" t="s">
        <v>40</v>
      </c>
      <c r="F2174" t="s">
        <v>11</v>
      </c>
      <c r="G2174" t="s">
        <v>52</v>
      </c>
      <c r="H2174" s="12">
        <v>2.9606715907232299</v>
      </c>
      <c r="I2174" s="11">
        <v>1.34730359748254</v>
      </c>
      <c r="J2174" s="10">
        <v>0.17788247396008899</v>
      </c>
      <c r="K2174" s="29">
        <v>0.91078976733166706</v>
      </c>
    </row>
    <row r="2175" spans="1:11" x14ac:dyDescent="0.35">
      <c r="A2175" s="9" t="str">
        <f>HYPERLINK("http://www.ensembl.org/id/WBGene00020444", "WBGene00020444")</f>
        <v>WBGene00020444</v>
      </c>
      <c r="B2175" s="9" t="str">
        <f>HYPERLINK("http://www.ncbi.nlm.nih.gov/gene/177510", "177510")</f>
        <v>177510</v>
      </c>
      <c r="C2175" s="9"/>
      <c r="D2175" t="str">
        <f>"T12B3.1"</f>
        <v>T12B3.1</v>
      </c>
      <c r="F2175" t="s">
        <v>11</v>
      </c>
      <c r="G2175" t="s">
        <v>2703</v>
      </c>
      <c r="H2175" s="12">
        <v>2.9601930682795499</v>
      </c>
      <c r="I2175" s="11">
        <v>1.5937250251906401</v>
      </c>
      <c r="J2175" s="10">
        <v>0.110997636594448</v>
      </c>
      <c r="K2175" s="29">
        <v>0.76380195259931805</v>
      </c>
    </row>
    <row r="2176" spans="1:11" x14ac:dyDescent="0.35">
      <c r="A2176" s="9" t="str">
        <f>HYPERLINK("http://www.ensembl.org/id/WBGene00017570", "WBGene00017570")</f>
        <v>WBGene00017570</v>
      </c>
      <c r="B2176" s="9" t="str">
        <f>HYPERLINK("http://www.ncbi.nlm.nih.gov/gene/184648", "184648")</f>
        <v>184648</v>
      </c>
      <c r="C2176" s="9"/>
      <c r="D2176" t="str">
        <f>"F18E9.4"</f>
        <v>F18E9.4</v>
      </c>
      <c r="F2176" t="s">
        <v>11</v>
      </c>
      <c r="H2176" s="12">
        <v>2.96012164725584</v>
      </c>
      <c r="I2176" s="11">
        <v>1.6322066039661101</v>
      </c>
      <c r="J2176" s="10">
        <v>0.102635970053781</v>
      </c>
      <c r="K2176" s="29">
        <v>0.73993969549537197</v>
      </c>
    </row>
    <row r="2177" spans="1:11" x14ac:dyDescent="0.35">
      <c r="A2177" s="9" t="str">
        <f>HYPERLINK("http://www.ensembl.org/id/WBGene00001937", "WBGene00001937")</f>
        <v>WBGene00001937</v>
      </c>
      <c r="B2177" s="9" t="str">
        <f>HYPERLINK("http://www.ncbi.nlm.nih.gov/gene/184804", "184804")</f>
        <v>184804</v>
      </c>
      <c r="C2177" s="9" t="str">
        <f>HYPERLINK("http://www.ncbi.nlm.nih.gov/gene/8356", "8356")</f>
        <v>8356</v>
      </c>
      <c r="D2177" t="str">
        <f>"his-63"</f>
        <v>his-63</v>
      </c>
      <c r="E2177" t="s">
        <v>3683</v>
      </c>
      <c r="F2177" t="s">
        <v>11</v>
      </c>
      <c r="G2177" t="s">
        <v>232</v>
      </c>
      <c r="H2177" s="12">
        <v>2.9568978168282301</v>
      </c>
      <c r="I2177" s="11">
        <v>1.00275955060753</v>
      </c>
      <c r="J2177" s="10">
        <v>0.31597688957687198</v>
      </c>
      <c r="K2177" s="29">
        <v>0.98289565623980701</v>
      </c>
    </row>
    <row r="2178" spans="1:11" x14ac:dyDescent="0.35">
      <c r="A2178" s="9" t="str">
        <f>HYPERLINK("http://www.ensembl.org/id/WBGene00021999", "WBGene00021999")</f>
        <v>WBGene00021999</v>
      </c>
      <c r="B2178" s="9" t="str">
        <f>HYPERLINK("http://www.ncbi.nlm.nih.gov/gene/190420", "190420")</f>
        <v>190420</v>
      </c>
      <c r="C2178" s="9"/>
      <c r="D2178" t="str">
        <f>"thn-5"</f>
        <v>thn-5</v>
      </c>
      <c r="E2178" t="s">
        <v>20</v>
      </c>
      <c r="F2178" t="s">
        <v>11</v>
      </c>
      <c r="G2178" t="s">
        <v>2182</v>
      </c>
      <c r="H2178" s="12">
        <v>2.95494216093548</v>
      </c>
      <c r="I2178" s="11">
        <v>1.78308995251568</v>
      </c>
      <c r="J2178" s="10">
        <v>7.4571661738628295E-2</v>
      </c>
      <c r="K2178" s="29">
        <v>0.64380462380846204</v>
      </c>
    </row>
    <row r="2179" spans="1:11" x14ac:dyDescent="0.35">
      <c r="A2179" s="9" t="str">
        <f>HYPERLINK("http://www.ensembl.org/id/WBGene00011369", "WBGene00011369")</f>
        <v>WBGene00011369</v>
      </c>
      <c r="B2179" s="9"/>
      <c r="C2179" s="9"/>
      <c r="D2179" t="str">
        <f>"T02C12.4"</f>
        <v>T02C12.4</v>
      </c>
      <c r="F2179" t="s">
        <v>80</v>
      </c>
      <c r="H2179" s="12">
        <v>2.9542656893663302</v>
      </c>
      <c r="I2179" s="11">
        <v>0.66201883813084195</v>
      </c>
      <c r="J2179" s="10">
        <v>0.50795914878790305</v>
      </c>
      <c r="K2179" s="29">
        <v>0.98289565623980701</v>
      </c>
    </row>
    <row r="2180" spans="1:11" x14ac:dyDescent="0.35">
      <c r="A2180" s="9" t="str">
        <f>HYPERLINK("http://www.ensembl.org/id/WBGene00006072", "WBGene00006072")</f>
        <v>WBGene00006072</v>
      </c>
      <c r="B2180" s="9" t="str">
        <f>HYPERLINK("http://www.ncbi.nlm.nih.gov/gene/183637", "183637")</f>
        <v>183637</v>
      </c>
      <c r="C2180" s="9"/>
      <c r="D2180" t="str">
        <f>"str-4"</f>
        <v>str-4</v>
      </c>
      <c r="E2180" t="s">
        <v>590</v>
      </c>
      <c r="F2180" t="s">
        <v>11</v>
      </c>
      <c r="G2180" t="s">
        <v>25</v>
      </c>
      <c r="H2180" s="12">
        <v>2.9540224188137398</v>
      </c>
      <c r="I2180" s="11">
        <v>0.77153611827553803</v>
      </c>
      <c r="J2180" s="10">
        <v>0.44038922247797502</v>
      </c>
      <c r="K2180" s="29">
        <v>0.98289565623980701</v>
      </c>
    </row>
    <row r="2181" spans="1:11" x14ac:dyDescent="0.35">
      <c r="A2181" s="9" t="str">
        <f>HYPERLINK("http://www.ensembl.org/id/WBGene00235257", "WBGene00235257")</f>
        <v>WBGene00235257</v>
      </c>
      <c r="B2181" s="9" t="str">
        <f>HYPERLINK("http://www.ncbi.nlm.nih.gov/gene/24104851", "24104851")</f>
        <v>24104851</v>
      </c>
      <c r="C2181" s="9"/>
      <c r="D2181" t="str">
        <f>"T05C7.4"</f>
        <v>T05C7.4</v>
      </c>
      <c r="F2181" t="s">
        <v>11</v>
      </c>
      <c r="G2181" t="s">
        <v>25</v>
      </c>
      <c r="H2181" s="12">
        <v>2.9536424728859498</v>
      </c>
      <c r="I2181" s="11">
        <v>0.58559089571446798</v>
      </c>
      <c r="J2181" s="10">
        <v>0.55815046795670398</v>
      </c>
      <c r="K2181" s="29">
        <v>0.98289565623980701</v>
      </c>
    </row>
    <row r="2182" spans="1:11" x14ac:dyDescent="0.35">
      <c r="A2182" s="9" t="str">
        <f>HYPERLINK("http://www.ensembl.org/id/WBGene00013849", "WBGene00013849")</f>
        <v>WBGene00013849</v>
      </c>
      <c r="B2182" s="9" t="str">
        <f>HYPERLINK("http://www.ncbi.nlm.nih.gov/gene/176299", "176299")</f>
        <v>176299</v>
      </c>
      <c r="C2182" s="9"/>
      <c r="D2182" t="str">
        <f>"ZC84.6"</f>
        <v>ZC84.6</v>
      </c>
      <c r="F2182" t="s">
        <v>11</v>
      </c>
      <c r="G2182" t="s">
        <v>50</v>
      </c>
      <c r="H2182" s="12">
        <v>2.95088076632012</v>
      </c>
      <c r="I2182" s="11">
        <v>2.8923256050280099</v>
      </c>
      <c r="J2182" s="10">
        <v>3.8240141319756298E-3</v>
      </c>
      <c r="K2182" s="29">
        <v>0.101398290033669</v>
      </c>
    </row>
    <row r="2183" spans="1:11" x14ac:dyDescent="0.35">
      <c r="A2183" s="9" t="str">
        <f>HYPERLINK("http://www.ensembl.org/id/WBGene00009501", "WBGene00009501")</f>
        <v>WBGene00009501</v>
      </c>
      <c r="B2183" s="9" t="str">
        <f>HYPERLINK("http://www.ncbi.nlm.nih.gov/gene/175510", "175510")</f>
        <v>175510</v>
      </c>
      <c r="C2183" s="9"/>
      <c r="D2183" t="str">
        <f>"F37A8.1"</f>
        <v>F37A8.1</v>
      </c>
      <c r="F2183" t="s">
        <v>11</v>
      </c>
      <c r="H2183" s="12">
        <v>2.95026851436449</v>
      </c>
      <c r="I2183" s="11">
        <v>0.73252219514183403</v>
      </c>
      <c r="J2183" s="10">
        <v>0.46384990072040899</v>
      </c>
      <c r="K2183" s="29">
        <v>0.98289565623980701</v>
      </c>
    </row>
    <row r="2184" spans="1:11" x14ac:dyDescent="0.35">
      <c r="A2184" s="9" t="str">
        <f>HYPERLINK("http://www.ensembl.org/id/WBGene00018490", "WBGene00018490")</f>
        <v>WBGene00018490</v>
      </c>
      <c r="B2184" s="9" t="str">
        <f>HYPERLINK("http://www.ncbi.nlm.nih.gov/gene/185849", "185849")</f>
        <v>185849</v>
      </c>
      <c r="C2184" s="9"/>
      <c r="D2184" t="str">
        <f>"F46E10.3"</f>
        <v>F46E10.3</v>
      </c>
      <c r="F2184" t="s">
        <v>11</v>
      </c>
      <c r="G2184" t="s">
        <v>54</v>
      </c>
      <c r="H2184" s="12">
        <v>2.9462435698415499</v>
      </c>
      <c r="I2184" s="11">
        <v>0.64134891562543195</v>
      </c>
      <c r="J2184" s="10">
        <v>0.52129601495183697</v>
      </c>
      <c r="K2184" s="29">
        <v>0.98289565623980701</v>
      </c>
    </row>
    <row r="2185" spans="1:11" x14ac:dyDescent="0.35">
      <c r="A2185" s="9" t="str">
        <f>HYPERLINK("http://www.ensembl.org/id/WBGene00015340", "WBGene00015340")</f>
        <v>WBGene00015340</v>
      </c>
      <c r="B2185" s="9" t="str">
        <f>HYPERLINK("http://www.ncbi.nlm.nih.gov/gene/178884", "178884")</f>
        <v>178884</v>
      </c>
      <c r="C2185" s="9"/>
      <c r="D2185" t="str">
        <f>"C02E7.7"</f>
        <v>C02E7.7</v>
      </c>
      <c r="F2185" t="s">
        <v>11</v>
      </c>
      <c r="H2185" s="12">
        <v>2.9456937049518599</v>
      </c>
      <c r="I2185" s="11">
        <v>0.45596955100575598</v>
      </c>
      <c r="J2185" s="10">
        <v>0.64841187414060197</v>
      </c>
      <c r="K2185" s="29">
        <v>0.98289565623980701</v>
      </c>
    </row>
    <row r="2186" spans="1:11" x14ac:dyDescent="0.35">
      <c r="A2186" s="9" t="str">
        <f>HYPERLINK("http://www.ensembl.org/id/WBGene00009114", "WBGene00009114")</f>
        <v>WBGene00009114</v>
      </c>
      <c r="B2186" s="9" t="str">
        <f>HYPERLINK("http://www.ncbi.nlm.nih.gov/gene/184923", "184923")</f>
        <v>184923</v>
      </c>
      <c r="C2186" s="9"/>
      <c r="D2186" t="str">
        <f>"F25D7.5"</f>
        <v>F25D7.5</v>
      </c>
      <c r="F2186" t="s">
        <v>11</v>
      </c>
      <c r="G2186" t="s">
        <v>4330</v>
      </c>
      <c r="H2186" s="12">
        <v>2.9456737818163798</v>
      </c>
      <c r="I2186" s="11">
        <v>0.63974022604987102</v>
      </c>
      <c r="J2186" s="10">
        <v>0.52234149884041003</v>
      </c>
      <c r="K2186" s="29">
        <v>0.98289565623980701</v>
      </c>
    </row>
    <row r="2187" spans="1:11" x14ac:dyDescent="0.35">
      <c r="A2187" s="9" t="str">
        <f>HYPERLINK("http://www.ensembl.org/id/WBGene00004911", "WBGene00004911")</f>
        <v>WBGene00004911</v>
      </c>
      <c r="B2187" s="9" t="str">
        <f>HYPERLINK("http://www.ncbi.nlm.nih.gov/gene/181143", "181143")</f>
        <v>181143</v>
      </c>
      <c r="C2187" s="9"/>
      <c r="D2187" t="str">
        <f>"snf-12"</f>
        <v>snf-12</v>
      </c>
      <c r="E2187" t="s">
        <v>537</v>
      </c>
      <c r="F2187" t="s">
        <v>11</v>
      </c>
      <c r="G2187" t="s">
        <v>538</v>
      </c>
      <c r="H2187" s="12">
        <v>2.9439534649861301</v>
      </c>
      <c r="I2187" s="11">
        <v>3.2387457921579301</v>
      </c>
      <c r="J2187" s="10">
        <v>1.20056525693908E-3</v>
      </c>
      <c r="K2187" s="29">
        <v>4.4961940885405602E-2</v>
      </c>
    </row>
    <row r="2188" spans="1:11" x14ac:dyDescent="0.35">
      <c r="A2188" s="9" t="str">
        <f>HYPERLINK("http://www.ensembl.org/id/WBGene00005670", "WBGene00005670")</f>
        <v>WBGene00005670</v>
      </c>
      <c r="B2188" s="9" t="str">
        <f>HYPERLINK("http://www.ncbi.nlm.nih.gov/gene/260200", "260200")</f>
        <v>260200</v>
      </c>
      <c r="C2188" s="9"/>
      <c r="D2188" t="str">
        <f>"sru-7"</f>
        <v>sru-7</v>
      </c>
      <c r="E2188" t="s">
        <v>2653</v>
      </c>
      <c r="F2188" t="s">
        <v>11</v>
      </c>
      <c r="G2188" t="s">
        <v>25</v>
      </c>
      <c r="H2188" s="12">
        <v>2.9416973485029501</v>
      </c>
      <c r="I2188" s="11">
        <v>0.83838735430824196</v>
      </c>
      <c r="J2188" s="10">
        <v>0.40181318930106802</v>
      </c>
      <c r="K2188" s="29">
        <v>0.98289565623980701</v>
      </c>
    </row>
    <row r="2189" spans="1:11" x14ac:dyDescent="0.35">
      <c r="A2189" s="9" t="str">
        <f>HYPERLINK("http://www.ensembl.org/id/WBGene00009107", "WBGene00009107")</f>
        <v>WBGene00009107</v>
      </c>
      <c r="B2189" s="9" t="str">
        <f>HYPERLINK("http://www.ncbi.nlm.nih.gov/gene/184920", "184920")</f>
        <v>184920</v>
      </c>
      <c r="C2189" s="9"/>
      <c r="D2189" t="str">
        <f>"F25D1.2"</f>
        <v>F25D1.2</v>
      </c>
      <c r="F2189" t="s">
        <v>11</v>
      </c>
      <c r="G2189" t="s">
        <v>25</v>
      </c>
      <c r="H2189" s="12">
        <v>2.9392969632639399</v>
      </c>
      <c r="I2189" s="11">
        <v>1.4493051208545999</v>
      </c>
      <c r="J2189" s="10">
        <v>0.147252391643485</v>
      </c>
      <c r="K2189" s="29">
        <v>0.847847934541333</v>
      </c>
    </row>
    <row r="2190" spans="1:11" x14ac:dyDescent="0.35">
      <c r="A2190" s="9" t="str">
        <f>HYPERLINK("http://www.ensembl.org/id/WBGene00001806", "WBGene00001806")</f>
        <v>WBGene00001806</v>
      </c>
      <c r="B2190" s="9" t="str">
        <f>HYPERLINK("http://www.ncbi.nlm.nih.gov/gene/191665", "191665")</f>
        <v>191665</v>
      </c>
      <c r="C2190" s="9"/>
      <c r="D2190" t="str">
        <f>"gur-5"</f>
        <v>gur-5</v>
      </c>
      <c r="E2190" t="s">
        <v>4331</v>
      </c>
      <c r="F2190" t="s">
        <v>11</v>
      </c>
      <c r="G2190" t="s">
        <v>25</v>
      </c>
      <c r="H2190" s="12">
        <v>2.9382212873962699</v>
      </c>
      <c r="I2190" s="11">
        <v>1.0542362800463501</v>
      </c>
      <c r="J2190" s="10">
        <v>0.29177475364591399</v>
      </c>
      <c r="K2190" s="29">
        <v>0.98289565623980701</v>
      </c>
    </row>
    <row r="2191" spans="1:11" x14ac:dyDescent="0.35">
      <c r="A2191" s="9" t="str">
        <f>HYPERLINK("http://www.ensembl.org/id/WBGene00011019", "WBGene00011019")</f>
        <v>WBGene00011019</v>
      </c>
      <c r="B2191" s="9" t="str">
        <f>HYPERLINK("http://www.ncbi.nlm.nih.gov/gene/187594", "187594")</f>
        <v>187594</v>
      </c>
      <c r="C2191" s="9"/>
      <c r="D2191" t="str">
        <f>"R05A10.2"</f>
        <v>R05A10.2</v>
      </c>
      <c r="F2191" t="s">
        <v>11</v>
      </c>
      <c r="H2191" s="12">
        <v>2.9371704310050699</v>
      </c>
      <c r="I2191" s="11">
        <v>4.00863587408646</v>
      </c>
      <c r="J2191" s="10">
        <v>6.1070497285204399E-5</v>
      </c>
      <c r="K2191" s="29">
        <v>4.4659471978296403E-3</v>
      </c>
    </row>
    <row r="2192" spans="1:11" x14ac:dyDescent="0.35">
      <c r="A2192" s="9" t="str">
        <f>HYPERLINK("http://www.ensembl.org/id/WBGene00198864", "WBGene00198864")</f>
        <v>WBGene00198864</v>
      </c>
      <c r="B2192" s="9"/>
      <c r="C2192" s="9"/>
      <c r="D2192" t="str">
        <f>"Y43E12A.6"</f>
        <v>Y43E12A.6</v>
      </c>
      <c r="F2192" t="s">
        <v>481</v>
      </c>
      <c r="H2192" s="12">
        <v>2.9371567707092101</v>
      </c>
      <c r="I2192" s="11">
        <v>0.74151853748181995</v>
      </c>
      <c r="J2192" s="10">
        <v>0.45837909619736</v>
      </c>
      <c r="K2192" s="29">
        <v>0.98289565623980701</v>
      </c>
    </row>
    <row r="2193" spans="1:11" x14ac:dyDescent="0.35">
      <c r="A2193" s="9" t="str">
        <f>HYPERLINK("http://www.ensembl.org/id/WBGene00196146", "WBGene00196146")</f>
        <v>WBGene00196146</v>
      </c>
      <c r="B2193" s="9"/>
      <c r="C2193" s="9"/>
      <c r="D2193" t="str">
        <f>"F10G8.10"</f>
        <v>F10G8.10</v>
      </c>
      <c r="F2193" t="s">
        <v>481</v>
      </c>
      <c r="H2193" s="12">
        <v>2.93566879702884</v>
      </c>
      <c r="I2193" s="11">
        <v>0.64700505563453503</v>
      </c>
      <c r="J2193" s="10">
        <v>0.517628671461135</v>
      </c>
      <c r="K2193" s="29">
        <v>0.98289565623980701</v>
      </c>
    </row>
    <row r="2194" spans="1:11" x14ac:dyDescent="0.35">
      <c r="A2194" s="9" t="str">
        <f>HYPERLINK("http://www.ensembl.org/id/WBGene00017860", "WBGene00017860")</f>
        <v>WBGene00017860</v>
      </c>
      <c r="B2194" s="9" t="str">
        <f>HYPERLINK("http://www.ncbi.nlm.nih.gov/gene/185012", "185012")</f>
        <v>185012</v>
      </c>
      <c r="C2194" s="9"/>
      <c r="D2194" t="str">
        <f>"F27C1.13"</f>
        <v>F27C1.13</v>
      </c>
      <c r="F2194" t="s">
        <v>11</v>
      </c>
      <c r="G2194" t="s">
        <v>4332</v>
      </c>
      <c r="H2194" s="12">
        <v>2.93566879702884</v>
      </c>
      <c r="I2194" s="11">
        <v>0.64700505563453503</v>
      </c>
      <c r="J2194" s="10">
        <v>0.517628671461135</v>
      </c>
      <c r="K2194" s="29">
        <v>0.98289565623980701</v>
      </c>
    </row>
    <row r="2195" spans="1:11" x14ac:dyDescent="0.35">
      <c r="A2195" s="9" t="str">
        <f>HYPERLINK("http://www.ensembl.org/id/WBGene00005279", "WBGene00005279")</f>
        <v>WBGene00005279</v>
      </c>
      <c r="B2195" s="9" t="str">
        <f>HYPERLINK("http://www.ncbi.nlm.nih.gov/gene/191863", "191863")</f>
        <v>191863</v>
      </c>
      <c r="C2195" s="9"/>
      <c r="D2195" t="str">
        <f>"srh-56"</f>
        <v>srh-56</v>
      </c>
      <c r="E2195" t="s">
        <v>153</v>
      </c>
      <c r="F2195" t="s">
        <v>11</v>
      </c>
      <c r="G2195" t="s">
        <v>25</v>
      </c>
      <c r="H2195" s="12">
        <v>2.93534118233887</v>
      </c>
      <c r="I2195" s="11">
        <v>0.52646528360341505</v>
      </c>
      <c r="J2195" s="10">
        <v>0.59856496688265204</v>
      </c>
      <c r="K2195" s="29">
        <v>0.98289565623980701</v>
      </c>
    </row>
    <row r="2196" spans="1:11" x14ac:dyDescent="0.35">
      <c r="A2196" s="9" t="str">
        <f>HYPERLINK("http://www.ensembl.org/id/WBGene00010765", "WBGene00010765")</f>
        <v>WBGene00010765</v>
      </c>
      <c r="B2196" s="9" t="str">
        <f>HYPERLINK("http://www.ncbi.nlm.nih.gov/gene/3565646", "3565646")</f>
        <v>3565646</v>
      </c>
      <c r="C2196" s="9"/>
      <c r="D2196" t="str">
        <f>"K10H10.10"</f>
        <v>K10H10.10</v>
      </c>
      <c r="F2196" t="s">
        <v>11</v>
      </c>
      <c r="G2196" t="s">
        <v>3948</v>
      </c>
      <c r="H2196" s="12">
        <v>2.9348994596239701</v>
      </c>
      <c r="I2196" s="11">
        <v>0.634780511713123</v>
      </c>
      <c r="J2196" s="10">
        <v>0.525571575257338</v>
      </c>
      <c r="K2196" s="29">
        <v>0.98289565623980701</v>
      </c>
    </row>
    <row r="2197" spans="1:11" x14ac:dyDescent="0.35">
      <c r="A2197" s="9" t="str">
        <f>HYPERLINK("http://www.ensembl.org/id/WBGene00015030", "WBGene00015030")</f>
        <v>WBGene00015030</v>
      </c>
      <c r="B2197" s="9" t="str">
        <f>HYPERLINK("http://www.ncbi.nlm.nih.gov/gene/181836", "181836")</f>
        <v>181836</v>
      </c>
      <c r="C2197" s="9"/>
      <c r="D2197" t="str">
        <f>"B0207.7"</f>
        <v>B0207.7</v>
      </c>
      <c r="F2197" t="s">
        <v>11</v>
      </c>
      <c r="G2197" t="s">
        <v>961</v>
      </c>
      <c r="H2197" s="12">
        <v>2.9334581415389298</v>
      </c>
      <c r="I2197" s="11">
        <v>0.66787265725581302</v>
      </c>
      <c r="J2197" s="10">
        <v>0.50421488236036704</v>
      </c>
      <c r="K2197" s="29">
        <v>0.98289565623980701</v>
      </c>
    </row>
    <row r="2198" spans="1:11" x14ac:dyDescent="0.35">
      <c r="A2198" s="9" t="str">
        <f>HYPERLINK("http://www.ensembl.org/id/WBGene00015894", "WBGene00015894")</f>
        <v>WBGene00015894</v>
      </c>
      <c r="B2198" s="9" t="str">
        <f>HYPERLINK("http://www.ncbi.nlm.nih.gov/gene/173940", "173940")</f>
        <v>173940</v>
      </c>
      <c r="C2198" s="9"/>
      <c r="D2198" t="str">
        <f>"acdh-2"</f>
        <v>acdh-2</v>
      </c>
      <c r="E2198" t="s">
        <v>238</v>
      </c>
      <c r="F2198" t="s">
        <v>11</v>
      </c>
      <c r="G2198" t="s">
        <v>239</v>
      </c>
      <c r="H2198" s="12">
        <v>2.93229243858532</v>
      </c>
      <c r="I2198" s="11">
        <v>4.3560151492832402</v>
      </c>
      <c r="J2198" s="10">
        <v>1.32451613394059E-5</v>
      </c>
      <c r="K2198" s="29">
        <v>1.30016189169215E-3</v>
      </c>
    </row>
    <row r="2199" spans="1:11" x14ac:dyDescent="0.35">
      <c r="A2199" s="9" t="str">
        <f>HYPERLINK("http://www.ensembl.org/id/WBGene00003529", "WBGene00003529")</f>
        <v>WBGene00003529</v>
      </c>
      <c r="B2199" s="9" t="str">
        <f>HYPERLINK("http://www.ncbi.nlm.nih.gov/gene/181287", "181287")</f>
        <v>181287</v>
      </c>
      <c r="C2199" s="9"/>
      <c r="D2199" t="str">
        <f>"nas-10"</f>
        <v>nas-10</v>
      </c>
      <c r="E2199" t="s">
        <v>4333</v>
      </c>
      <c r="F2199" t="s">
        <v>11</v>
      </c>
      <c r="G2199" t="s">
        <v>1542</v>
      </c>
      <c r="H2199" s="12">
        <v>2.9279887769053001</v>
      </c>
      <c r="I2199" s="11">
        <v>0.80677378886599505</v>
      </c>
      <c r="J2199" s="10">
        <v>0.41979682286194298</v>
      </c>
      <c r="K2199" s="29">
        <v>0.98289565623980701</v>
      </c>
    </row>
    <row r="2200" spans="1:11" x14ac:dyDescent="0.35">
      <c r="A2200" s="9" t="str">
        <f>HYPERLINK("http://www.ensembl.org/id/WBGene00000630", "WBGene00000630")</f>
        <v>WBGene00000630</v>
      </c>
      <c r="B2200" s="9" t="str">
        <f>HYPERLINK("http://www.ncbi.nlm.nih.gov/gene/172222", "172222")</f>
        <v>172222</v>
      </c>
      <c r="C2200" s="9"/>
      <c r="D2200" t="str">
        <f>"col-53"</f>
        <v>col-53</v>
      </c>
      <c r="E2200" t="s">
        <v>40</v>
      </c>
      <c r="F2200" t="s">
        <v>11</v>
      </c>
      <c r="G2200" t="s">
        <v>52</v>
      </c>
      <c r="H2200" s="12">
        <v>2.9273065263505198</v>
      </c>
      <c r="I2200" s="11">
        <v>3.2555293696571499</v>
      </c>
      <c r="J2200" s="10">
        <v>1.13181189866506E-3</v>
      </c>
      <c r="K2200" s="29">
        <v>4.3205568376123799E-2</v>
      </c>
    </row>
    <row r="2201" spans="1:11" x14ac:dyDescent="0.35">
      <c r="A2201" s="9" t="str">
        <f>HYPERLINK("http://www.ensembl.org/id/WBGene00017493", "WBGene00017493")</f>
        <v>WBGene00017493</v>
      </c>
      <c r="B2201" s="9" t="str">
        <f>HYPERLINK("http://www.ncbi.nlm.nih.gov/gene/184539", "184539")</f>
        <v>184539</v>
      </c>
      <c r="C2201" s="9"/>
      <c r="D2201" t="str">
        <f>"irld-30"</f>
        <v>irld-30</v>
      </c>
      <c r="E2201" t="s">
        <v>1627</v>
      </c>
      <c r="F2201" t="s">
        <v>11</v>
      </c>
      <c r="H2201" s="12">
        <v>2.9269060988294</v>
      </c>
      <c r="I2201" s="11">
        <v>0.78880960201655403</v>
      </c>
      <c r="J2201" s="10">
        <v>0.43022329657480002</v>
      </c>
      <c r="K2201" s="29">
        <v>0.98289565623980701</v>
      </c>
    </row>
    <row r="2202" spans="1:11" x14ac:dyDescent="0.35">
      <c r="A2202" s="9" t="str">
        <f>HYPERLINK("http://www.ensembl.org/id/WBGene00003591", "WBGene00003591")</f>
        <v>WBGene00003591</v>
      </c>
      <c r="B2202" s="9" t="str">
        <f>HYPERLINK("http://www.ncbi.nlm.nih.gov/gene/183294", "183294")</f>
        <v>183294</v>
      </c>
      <c r="C2202" s="9"/>
      <c r="D2202" t="str">
        <f>"nex-4"</f>
        <v>nex-4</v>
      </c>
      <c r="E2202" t="s">
        <v>1107</v>
      </c>
      <c r="F2202" t="s">
        <v>11</v>
      </c>
      <c r="G2202" t="s">
        <v>1108</v>
      </c>
      <c r="H2202" s="12">
        <v>2.9261093712594302</v>
      </c>
      <c r="I2202" s="11">
        <v>2.4760410762043499</v>
      </c>
      <c r="J2202" s="10">
        <v>1.3284829302356501E-2</v>
      </c>
      <c r="K2202" s="29">
        <v>0.23360644495480801</v>
      </c>
    </row>
    <row r="2203" spans="1:11" x14ac:dyDescent="0.35">
      <c r="A2203" s="9" t="str">
        <f>HYPERLINK("http://www.ensembl.org/id/WBGene00005815", "WBGene00005815")</f>
        <v>WBGene00005815</v>
      </c>
      <c r="B2203" s="9" t="str">
        <f>HYPERLINK("http://www.ncbi.nlm.nih.gov/gene/184640", "184640")</f>
        <v>184640</v>
      </c>
      <c r="C2203" s="9"/>
      <c r="D2203" t="str">
        <f>"srw-68"</f>
        <v>srw-68</v>
      </c>
      <c r="E2203" t="s">
        <v>1014</v>
      </c>
      <c r="F2203" t="s">
        <v>11</v>
      </c>
      <c r="G2203" t="s">
        <v>1015</v>
      </c>
      <c r="H2203" s="12">
        <v>2.9212128820927101</v>
      </c>
      <c r="I2203" s="11">
        <v>1.15580458784419</v>
      </c>
      <c r="J2203" s="10">
        <v>0.24776109604208699</v>
      </c>
      <c r="K2203" s="29">
        <v>0.98289565623980701</v>
      </c>
    </row>
    <row r="2204" spans="1:11" x14ac:dyDescent="0.35">
      <c r="A2204" s="9" t="str">
        <f>HYPERLINK("http://www.ensembl.org/id/WBGene00021787", "WBGene00021787")</f>
        <v>WBGene00021787</v>
      </c>
      <c r="B2204" s="9" t="str">
        <f>HYPERLINK("http://www.ncbi.nlm.nih.gov/gene/173519", "173519")</f>
        <v>173519</v>
      </c>
      <c r="C2204" s="9"/>
      <c r="D2204" t="str">
        <f>"Y51H7C.9"</f>
        <v>Y51H7C.9</v>
      </c>
      <c r="F2204" t="s">
        <v>11</v>
      </c>
      <c r="G2204" t="s">
        <v>4334</v>
      </c>
      <c r="H2204" s="12">
        <v>2.9210309373810399</v>
      </c>
      <c r="I2204" s="11">
        <v>1.0019203570520001</v>
      </c>
      <c r="J2204" s="10">
        <v>0.31638205982062301</v>
      </c>
      <c r="K2204" s="29">
        <v>0.98289565623980701</v>
      </c>
    </row>
    <row r="2205" spans="1:11" x14ac:dyDescent="0.35">
      <c r="A2205" s="9" t="str">
        <f>HYPERLINK("http://www.ensembl.org/id/WBGene00220129", "WBGene00220129")</f>
        <v>WBGene00220129</v>
      </c>
      <c r="B2205" s="9"/>
      <c r="C2205" s="9"/>
      <c r="D2205" t="str">
        <f>"Y10G11A.91"</f>
        <v>Y10G11A.91</v>
      </c>
      <c r="F2205" t="s">
        <v>481</v>
      </c>
      <c r="H2205" s="12">
        <v>2.9176090629688498</v>
      </c>
      <c r="I2205" s="11">
        <v>0.47162363959613601</v>
      </c>
      <c r="J2205" s="10">
        <v>0.63719545020447599</v>
      </c>
      <c r="K2205" s="29">
        <v>0.98289565623980701</v>
      </c>
    </row>
    <row r="2206" spans="1:11" x14ac:dyDescent="0.35">
      <c r="A2206" s="9" t="str">
        <f>HYPERLINK("http://www.ensembl.org/id/WBGene00000702", "WBGene00000702")</f>
        <v>WBGene00000702</v>
      </c>
      <c r="B2206" s="9" t="str">
        <f>HYPERLINK("http://www.ncbi.nlm.nih.gov/gene/178076", "178076")</f>
        <v>178076</v>
      </c>
      <c r="C2206" s="9"/>
      <c r="D2206" t="str">
        <f>"col-128"</f>
        <v>col-128</v>
      </c>
      <c r="E2206" t="s">
        <v>40</v>
      </c>
      <c r="F2206" t="s">
        <v>11</v>
      </c>
      <c r="G2206" t="s">
        <v>4335</v>
      </c>
      <c r="H2206" s="12">
        <v>2.9169563287025899</v>
      </c>
      <c r="I2206" s="11">
        <v>0.91789973955507898</v>
      </c>
      <c r="J2206" s="10">
        <v>0.35867135802433903</v>
      </c>
      <c r="K2206" s="29">
        <v>0.98289565623980701</v>
      </c>
    </row>
    <row r="2207" spans="1:11" x14ac:dyDescent="0.35">
      <c r="A2207" s="9" t="str">
        <f>HYPERLINK("http://www.ensembl.org/id/WBGene00015246", "WBGene00015246")</f>
        <v>WBGene00015246</v>
      </c>
      <c r="B2207" s="9" t="str">
        <f>HYPERLINK("http://www.ncbi.nlm.nih.gov/gene/182028", "182028")</f>
        <v>182028</v>
      </c>
      <c r="C2207" s="9"/>
      <c r="D2207" t="str">
        <f>"scl-23"</f>
        <v>scl-23</v>
      </c>
      <c r="E2207" t="s">
        <v>162</v>
      </c>
      <c r="F2207" t="s">
        <v>11</v>
      </c>
      <c r="G2207" t="s">
        <v>3509</v>
      </c>
      <c r="H2207" s="12">
        <v>2.9136135215456398</v>
      </c>
      <c r="I2207" s="11">
        <v>0.866043803113555</v>
      </c>
      <c r="J2207" s="10">
        <v>0.38646614107343702</v>
      </c>
      <c r="K2207" s="29">
        <v>0.98289565623980701</v>
      </c>
    </row>
    <row r="2208" spans="1:11" x14ac:dyDescent="0.35">
      <c r="A2208" s="9" t="str">
        <f>HYPERLINK("http://www.ensembl.org/id/WBGene00021213", "WBGene00021213")</f>
        <v>WBGene00021213</v>
      </c>
      <c r="B2208" s="9" t="str">
        <f>HYPERLINK("http://www.ncbi.nlm.nih.gov/gene/171666", "171666")</f>
        <v>171666</v>
      </c>
      <c r="C2208" s="9" t="str">
        <f>HYPERLINK("http://www.ncbi.nlm.nih.gov/gene/1358", "1358")</f>
        <v>1358</v>
      </c>
      <c r="D2208" t="str">
        <f>"Y18H1A.9"</f>
        <v>Y18H1A.9</v>
      </c>
      <c r="F2208" t="s">
        <v>11</v>
      </c>
      <c r="G2208" t="s">
        <v>945</v>
      </c>
      <c r="H2208" s="12">
        <v>2.91164294305245</v>
      </c>
      <c r="I2208" s="11">
        <v>2.6507194275391699</v>
      </c>
      <c r="J2208" s="10">
        <v>8.03205342295738E-3</v>
      </c>
      <c r="K2208" s="29">
        <v>0.16825804749850701</v>
      </c>
    </row>
    <row r="2209" spans="1:11" x14ac:dyDescent="0.35">
      <c r="A2209" s="9" t="str">
        <f>HYPERLINK("http://www.ensembl.org/id/WBGene00195086", "WBGene00195086")</f>
        <v>WBGene00195086</v>
      </c>
      <c r="B2209" s="9" t="str">
        <f>HYPERLINK("http://www.ncbi.nlm.nih.gov/gene/13214280", "13214280")</f>
        <v>13214280</v>
      </c>
      <c r="C2209" s="9"/>
      <c r="D2209" t="str">
        <f>"F21C10.13"</f>
        <v>F21C10.13</v>
      </c>
      <c r="F2209" t="s">
        <v>11</v>
      </c>
      <c r="G2209" t="s">
        <v>25</v>
      </c>
      <c r="H2209" s="12">
        <v>2.9089751304360001</v>
      </c>
      <c r="I2209" s="11">
        <v>2.3710211954394098</v>
      </c>
      <c r="J2209" s="10">
        <v>1.7739013790000702E-2</v>
      </c>
      <c r="K2209" s="29">
        <v>0.27920821023961501</v>
      </c>
    </row>
    <row r="2210" spans="1:11" x14ac:dyDescent="0.35">
      <c r="A2210" s="9" t="str">
        <f>HYPERLINK("http://www.ensembl.org/id/WBGene00010434", "WBGene00010434")</f>
        <v>WBGene00010434</v>
      </c>
      <c r="B2210" s="9" t="str">
        <f>HYPERLINK("http://www.ncbi.nlm.nih.gov/gene/186810", "186810")</f>
        <v>186810</v>
      </c>
      <c r="C2210" s="9"/>
      <c r="D2210" t="str">
        <f>"H40L08.3"</f>
        <v>H40L08.3</v>
      </c>
      <c r="F2210" t="s">
        <v>11</v>
      </c>
      <c r="H2210" s="12">
        <v>2.9079741711072602</v>
      </c>
      <c r="I2210" s="11">
        <v>1.89431113352175</v>
      </c>
      <c r="J2210" s="10">
        <v>5.8183724088814101E-2</v>
      </c>
      <c r="K2210" s="29">
        <v>0.56821349484198602</v>
      </c>
    </row>
    <row r="2211" spans="1:11" x14ac:dyDescent="0.35">
      <c r="A2211" s="9" t="str">
        <f>HYPERLINK("http://www.ensembl.org/id/WBGene00005569", "WBGene00005569")</f>
        <v>WBGene00005569</v>
      </c>
      <c r="B2211" s="9" t="str">
        <f>HYPERLINK("http://www.ncbi.nlm.nih.gov/gene/184844", "184844")</f>
        <v>184844</v>
      </c>
      <c r="C2211" s="9"/>
      <c r="D2211" t="str">
        <f>"sri-57"</f>
        <v>sri-57</v>
      </c>
      <c r="E2211" t="s">
        <v>1503</v>
      </c>
      <c r="F2211" t="s">
        <v>11</v>
      </c>
      <c r="G2211" t="s">
        <v>25</v>
      </c>
      <c r="H2211" s="12">
        <v>2.90686596826965</v>
      </c>
      <c r="I2211" s="11">
        <v>0.77262555751175499</v>
      </c>
      <c r="J2211" s="10">
        <v>0.43974401457315199</v>
      </c>
      <c r="K2211" s="29">
        <v>0.98289565623980701</v>
      </c>
    </row>
    <row r="2212" spans="1:11" x14ac:dyDescent="0.35">
      <c r="A2212" s="9" t="str">
        <f>HYPERLINK("http://www.ensembl.org/id/WBGene00016729", "WBGene00016729")</f>
        <v>WBGene00016729</v>
      </c>
      <c r="B2212" s="9" t="str">
        <f>HYPERLINK("http://www.ncbi.nlm.nih.gov/gene/183522", "183522")</f>
        <v>183522</v>
      </c>
      <c r="C2212" s="9" t="str">
        <f>HYPERLINK("http://www.ncbi.nlm.nih.gov/gene/10092", "10092")</f>
        <v>10092</v>
      </c>
      <c r="D2212" t="str">
        <f>"C46H11.3"</f>
        <v>C46H11.3</v>
      </c>
      <c r="E2212" t="s">
        <v>4336</v>
      </c>
      <c r="F2212" t="s">
        <v>11</v>
      </c>
      <c r="G2212" t="s">
        <v>4337</v>
      </c>
      <c r="H2212" s="12">
        <v>2.9066754133950901</v>
      </c>
      <c r="I2212" s="11">
        <v>0.87532564215025899</v>
      </c>
      <c r="J2212" s="10">
        <v>0.38139674579972499</v>
      </c>
      <c r="K2212" s="29">
        <v>0.98289565623980701</v>
      </c>
    </row>
    <row r="2213" spans="1:11" x14ac:dyDescent="0.35">
      <c r="A2213" s="9" t="str">
        <f>HYPERLINK("http://www.ensembl.org/id/WBGene00019232", "WBGene00019232")</f>
        <v>WBGene00019232</v>
      </c>
      <c r="B2213" s="9" t="str">
        <f>HYPERLINK("http://www.ncbi.nlm.nih.gov/gene/186766", "186766")</f>
        <v>186766</v>
      </c>
      <c r="C2213" s="9"/>
      <c r="D2213" t="str">
        <f>"ugt-13"</f>
        <v>ugt-13</v>
      </c>
      <c r="E2213" t="s">
        <v>103</v>
      </c>
      <c r="F2213" t="s">
        <v>11</v>
      </c>
      <c r="G2213" t="s">
        <v>104</v>
      </c>
      <c r="H2213" s="12">
        <v>2.90410689453743</v>
      </c>
      <c r="I2213" s="11">
        <v>2.84290514977525</v>
      </c>
      <c r="J2213" s="10">
        <v>4.4704372272598401E-3</v>
      </c>
      <c r="K2213" s="29">
        <v>0.1125474088084</v>
      </c>
    </row>
    <row r="2214" spans="1:11" x14ac:dyDescent="0.35">
      <c r="A2214" s="9" t="str">
        <f>HYPERLINK("http://www.ensembl.org/id/WBGene00018600", "WBGene00018600")</f>
        <v>WBGene00018600</v>
      </c>
      <c r="B2214" s="9" t="str">
        <f>HYPERLINK("http://www.ncbi.nlm.nih.gov/gene/185976", "185976")</f>
        <v>185976</v>
      </c>
      <c r="C2214" s="9"/>
      <c r="D2214" t="str">
        <f>"F48C1.8"</f>
        <v>F48C1.8</v>
      </c>
      <c r="F2214" t="s">
        <v>11</v>
      </c>
      <c r="H2214" s="12">
        <v>2.9024884818391299</v>
      </c>
      <c r="I2214" s="11">
        <v>4.0550785370606999</v>
      </c>
      <c r="J2214" s="10">
        <v>5.0117461005446201E-5</v>
      </c>
      <c r="K2214" s="29">
        <v>3.84386120058843E-3</v>
      </c>
    </row>
    <row r="2215" spans="1:11" x14ac:dyDescent="0.35">
      <c r="A2215" s="9" t="str">
        <f>HYPERLINK("http://www.ensembl.org/id/WBGene00020465", "WBGene00020465")</f>
        <v>WBGene00020465</v>
      </c>
      <c r="B2215" s="9" t="str">
        <f>HYPERLINK("http://www.ncbi.nlm.nih.gov/gene/188454", "188454")</f>
        <v>188454</v>
      </c>
      <c r="C2215" s="9"/>
      <c r="D2215" t="str">
        <f>"T12E12.6"</f>
        <v>T12E12.6</v>
      </c>
      <c r="F2215" t="s">
        <v>11</v>
      </c>
      <c r="G2215" t="s">
        <v>4338</v>
      </c>
      <c r="H2215" s="12">
        <v>2.9015372436777902</v>
      </c>
      <c r="I2215" s="11">
        <v>1.12177951430057</v>
      </c>
      <c r="J2215" s="10">
        <v>0.26195619848221102</v>
      </c>
      <c r="K2215" s="29">
        <v>0.98289565623980701</v>
      </c>
    </row>
    <row r="2216" spans="1:11" x14ac:dyDescent="0.35">
      <c r="A2216" s="9" t="str">
        <f>HYPERLINK("http://www.ensembl.org/id/WBGene00007203", "WBGene00007203")</f>
        <v>WBGene00007203</v>
      </c>
      <c r="B2216" s="9" t="str">
        <f>HYPERLINK("http://www.ncbi.nlm.nih.gov/gene/178264", "178264")</f>
        <v>178264</v>
      </c>
      <c r="C2216" s="9"/>
      <c r="D2216" t="str">
        <f>"best-1"</f>
        <v>best-1</v>
      </c>
      <c r="E2216" t="s">
        <v>198</v>
      </c>
      <c r="F2216" t="s">
        <v>11</v>
      </c>
      <c r="H2216" s="12">
        <v>2.9007266324789698</v>
      </c>
      <c r="I2216" s="11">
        <v>4.5820582828127101</v>
      </c>
      <c r="J2216" s="10">
        <v>4.6042152136305999E-6</v>
      </c>
      <c r="K2216" s="29">
        <v>5.6587764216036503E-4</v>
      </c>
    </row>
    <row r="2217" spans="1:11" x14ac:dyDescent="0.35">
      <c r="A2217" s="9" t="str">
        <f>HYPERLINK("http://www.ensembl.org/id/WBGene00044260", "WBGene00044260")</f>
        <v>WBGene00044260</v>
      </c>
      <c r="B2217" s="9" t="str">
        <f>HYPERLINK("http://www.ncbi.nlm.nih.gov/gene/3565150", "3565150")</f>
        <v>3565150</v>
      </c>
      <c r="C2217" s="9"/>
      <c r="D2217" t="str">
        <f>"Y87G2A.19"</f>
        <v>Y87G2A.19</v>
      </c>
      <c r="F2217" t="s">
        <v>11</v>
      </c>
      <c r="G2217" t="s">
        <v>208</v>
      </c>
      <c r="H2217" s="12">
        <v>2.9003094835460499</v>
      </c>
      <c r="I2217" s="11">
        <v>4.5413579811772804</v>
      </c>
      <c r="J2217" s="10">
        <v>5.5893031736374698E-6</v>
      </c>
      <c r="K2217" s="29">
        <v>6.4897708105561504E-4</v>
      </c>
    </row>
    <row r="2218" spans="1:11" x14ac:dyDescent="0.35">
      <c r="A2218" s="9" t="str">
        <f>HYPERLINK("http://www.ensembl.org/id/WBGene00009509", "WBGene00009509")</f>
        <v>WBGene00009509</v>
      </c>
      <c r="B2218" s="9" t="str">
        <f>HYPERLINK("http://www.ncbi.nlm.nih.gov/gene/185425", "185425")</f>
        <v>185425</v>
      </c>
      <c r="C2218" s="9"/>
      <c r="D2218" t="str">
        <f>"F37D6.3"</f>
        <v>F37D6.3</v>
      </c>
      <c r="F2218" t="s">
        <v>11</v>
      </c>
      <c r="G2218" t="s">
        <v>35</v>
      </c>
      <c r="H2218" s="12">
        <v>2.8963986312136898</v>
      </c>
      <c r="I2218" s="11">
        <v>1.09177524813205</v>
      </c>
      <c r="J2218" s="10">
        <v>0.27493190105471899</v>
      </c>
      <c r="K2218" s="29">
        <v>0.98289565623980701</v>
      </c>
    </row>
    <row r="2219" spans="1:11" x14ac:dyDescent="0.35">
      <c r="A2219" s="9" t="str">
        <f>HYPERLINK("http://www.ensembl.org/id/WBGene00013978", "WBGene00013978")</f>
        <v>WBGene00013978</v>
      </c>
      <c r="B2219" s="9" t="str">
        <f>HYPERLINK("http://www.ncbi.nlm.nih.gov/gene/191336", "191336")</f>
        <v>191336</v>
      </c>
      <c r="C2219" s="9"/>
      <c r="D2219" t="str">
        <f>"ZK507.1"</f>
        <v>ZK507.1</v>
      </c>
      <c r="E2219" t="s">
        <v>4339</v>
      </c>
      <c r="F2219" t="s">
        <v>11</v>
      </c>
      <c r="G2219" t="s">
        <v>4237</v>
      </c>
      <c r="H2219" s="12">
        <v>2.8943221059687301</v>
      </c>
      <c r="I2219" s="11">
        <v>0.61652578182330098</v>
      </c>
      <c r="J2219" s="10">
        <v>0.53754756135327497</v>
      </c>
      <c r="K2219" s="29">
        <v>0.98289565623980701</v>
      </c>
    </row>
    <row r="2220" spans="1:11" x14ac:dyDescent="0.35">
      <c r="A2220" s="9" t="str">
        <f>HYPERLINK("http://www.ensembl.org/id/WBGene00021010", "WBGene00021010")</f>
        <v>WBGene00021010</v>
      </c>
      <c r="B2220" s="9" t="str">
        <f>HYPERLINK("http://www.ncbi.nlm.nih.gov/gene/189165", "189165")</f>
        <v>189165</v>
      </c>
      <c r="C2220" s="9"/>
      <c r="D2220" t="str">
        <f>"W03G1.2"</f>
        <v>W03G1.2</v>
      </c>
      <c r="F2220" t="s">
        <v>11</v>
      </c>
      <c r="H2220" s="12">
        <v>2.8932494890098299</v>
      </c>
      <c r="I2220" s="11">
        <v>0.51739845311416899</v>
      </c>
      <c r="J2220" s="10">
        <v>0.60487803930134798</v>
      </c>
      <c r="K2220" s="29">
        <v>0.98289565623980701</v>
      </c>
    </row>
    <row r="2221" spans="1:11" x14ac:dyDescent="0.35">
      <c r="A2221" s="9" t="str">
        <f>HYPERLINK("http://www.ensembl.org/id/WBGene00022544", "WBGene00022544")</f>
        <v>WBGene00022544</v>
      </c>
      <c r="B2221" s="9" t="str">
        <f>HYPERLINK("http://www.ncbi.nlm.nih.gov/gene/191099", "191099")</f>
        <v>191099</v>
      </c>
      <c r="C2221" s="9"/>
      <c r="D2221" t="str">
        <f>"ZC190.10"</f>
        <v>ZC190.10</v>
      </c>
      <c r="F2221" t="s">
        <v>11</v>
      </c>
      <c r="H2221" s="12">
        <v>2.8922044337266501</v>
      </c>
      <c r="I2221" s="11">
        <v>1.0899404042893699</v>
      </c>
      <c r="J2221" s="10">
        <v>0.27573939691864502</v>
      </c>
      <c r="K2221" s="29">
        <v>0.98289565623980701</v>
      </c>
    </row>
    <row r="2222" spans="1:11" x14ac:dyDescent="0.35">
      <c r="A2222" s="9" t="str">
        <f>HYPERLINK("http://www.ensembl.org/id/WBGene00011107", "WBGene00011107")</f>
        <v>WBGene00011107</v>
      </c>
      <c r="B2222" s="9" t="str">
        <f>HYPERLINK("http://www.ncbi.nlm.nih.gov/gene/181240", "181240")</f>
        <v>181240</v>
      </c>
      <c r="C2222" s="9"/>
      <c r="D2222" t="str">
        <f>"R07E3.6"</f>
        <v>R07E3.6</v>
      </c>
      <c r="F2222" t="s">
        <v>11</v>
      </c>
      <c r="H2222" s="12">
        <v>2.8911125863475902</v>
      </c>
      <c r="I2222" s="11">
        <v>2.4012939885606102</v>
      </c>
      <c r="J2222" s="10">
        <v>1.63372052343034E-2</v>
      </c>
      <c r="K2222" s="29">
        <v>0.26771762073642502</v>
      </c>
    </row>
    <row r="2223" spans="1:11" x14ac:dyDescent="0.35">
      <c r="A2223" s="9" t="str">
        <f>HYPERLINK("http://www.ensembl.org/id/WBGene00004223", "WBGene00004223")</f>
        <v>WBGene00004223</v>
      </c>
      <c r="B2223" s="9" t="str">
        <f>HYPERLINK("http://www.ncbi.nlm.nih.gov/gene/191747", "191747")</f>
        <v>191747</v>
      </c>
      <c r="C2223" s="9"/>
      <c r="D2223" t="str">
        <f>"ptr-9"</f>
        <v>ptr-9</v>
      </c>
      <c r="E2223" t="s">
        <v>4340</v>
      </c>
      <c r="F2223" t="s">
        <v>11</v>
      </c>
      <c r="G2223" t="s">
        <v>1268</v>
      </c>
      <c r="H2223" s="12">
        <v>2.8877030845892002</v>
      </c>
      <c r="I2223" s="11">
        <v>0.94685656420402797</v>
      </c>
      <c r="J2223" s="10">
        <v>0.343711873906348</v>
      </c>
      <c r="K2223" s="29">
        <v>0.98289565623980701</v>
      </c>
    </row>
    <row r="2224" spans="1:11" x14ac:dyDescent="0.35">
      <c r="A2224" s="9" t="str">
        <f>HYPERLINK("http://www.ensembl.org/id/WBGene00200487", "WBGene00200487")</f>
        <v>WBGene00200487</v>
      </c>
      <c r="B2224" s="9"/>
      <c r="C2224" s="9"/>
      <c r="D2224" t="str">
        <f>"K08A8.23"</f>
        <v>K08A8.23</v>
      </c>
      <c r="F2224" t="s">
        <v>481</v>
      </c>
      <c r="H2224" s="12">
        <v>2.88342137924041</v>
      </c>
      <c r="I2224" s="11">
        <v>0.40428677256808698</v>
      </c>
      <c r="J2224" s="10">
        <v>0.68600185121492296</v>
      </c>
      <c r="K2224" s="29">
        <v>0.98289565623980701</v>
      </c>
    </row>
    <row r="2225" spans="1:11" x14ac:dyDescent="0.35">
      <c r="A2225" s="9" t="str">
        <f>HYPERLINK("http://www.ensembl.org/id/WBGene00010516", "WBGene00010516")</f>
        <v>WBGene00010516</v>
      </c>
      <c r="B2225" s="9" t="str">
        <f>HYPERLINK("http://www.ncbi.nlm.nih.gov/gene/186898", "186898")</f>
        <v>186898</v>
      </c>
      <c r="C2225" s="9"/>
      <c r="D2225" t="str">
        <f>"K02E11.7"</f>
        <v>K02E11.7</v>
      </c>
      <c r="F2225" t="s">
        <v>11</v>
      </c>
      <c r="H2225" s="12">
        <v>2.88043616395499</v>
      </c>
      <c r="I2225" s="11">
        <v>4.5541919720039203</v>
      </c>
      <c r="J2225" s="10">
        <v>5.2587317165338099E-6</v>
      </c>
      <c r="K2225" s="29">
        <v>6.1679317280319897E-4</v>
      </c>
    </row>
    <row r="2226" spans="1:11" x14ac:dyDescent="0.35">
      <c r="A2226" s="9" t="str">
        <f>HYPERLINK("http://www.ensembl.org/id/WBGene00196854", "WBGene00196854")</f>
        <v>WBGene00196854</v>
      </c>
      <c r="B2226" s="9"/>
      <c r="C2226" s="9"/>
      <c r="D2226" t="str">
        <f>"CD4.13"</f>
        <v>CD4.13</v>
      </c>
      <c r="F2226" t="s">
        <v>481</v>
      </c>
      <c r="H2226" s="12">
        <v>2.8779361739145002</v>
      </c>
      <c r="I2226" s="11">
        <v>0.49755661991149702</v>
      </c>
      <c r="J2226" s="10">
        <v>0.618796585918863</v>
      </c>
      <c r="K2226" s="29">
        <v>0.98289565623980701</v>
      </c>
    </row>
    <row r="2227" spans="1:11" x14ac:dyDescent="0.35">
      <c r="A2227" s="9" t="str">
        <f>HYPERLINK("http://www.ensembl.org/id/WBGene00014977", "WBGene00014977")</f>
        <v>WBGene00014977</v>
      </c>
      <c r="B2227" s="9"/>
      <c r="C2227" s="9"/>
      <c r="D2227" t="str">
        <f>"ZC15.4"</f>
        <v>ZC15.4</v>
      </c>
      <c r="F2227" t="s">
        <v>80</v>
      </c>
      <c r="H2227" s="12">
        <v>2.8773624530597801</v>
      </c>
      <c r="I2227" s="11">
        <v>0.92498370677052999</v>
      </c>
      <c r="J2227" s="10">
        <v>0.354974382723443</v>
      </c>
      <c r="K2227" s="29">
        <v>0.98289565623980701</v>
      </c>
    </row>
    <row r="2228" spans="1:11" x14ac:dyDescent="0.35">
      <c r="A2228" s="9" t="str">
        <f>HYPERLINK("http://www.ensembl.org/id/WBGene00016523", "WBGene00016523")</f>
        <v>WBGene00016523</v>
      </c>
      <c r="B2228" s="9" t="str">
        <f>HYPERLINK("http://www.ncbi.nlm.nih.gov/gene/183324", "183324")</f>
        <v>183324</v>
      </c>
      <c r="C2228" s="9"/>
      <c r="D2228" t="str">
        <f>"C39B5.5"</f>
        <v>C39B5.5</v>
      </c>
      <c r="E2228" t="s">
        <v>840</v>
      </c>
      <c r="F2228" t="s">
        <v>11</v>
      </c>
      <c r="G2228" t="s">
        <v>3718</v>
      </c>
      <c r="H2228" s="12">
        <v>2.8772652097801701</v>
      </c>
      <c r="I2228" s="11">
        <v>1.31329476124623</v>
      </c>
      <c r="J2228" s="10">
        <v>0.18908364313361001</v>
      </c>
      <c r="K2228" s="29">
        <v>0.92698805350409297</v>
      </c>
    </row>
    <row r="2229" spans="1:11" x14ac:dyDescent="0.35">
      <c r="A2229" s="9" t="str">
        <f>HYPERLINK("http://www.ensembl.org/id/WBGene00011371", "WBGene00011371")</f>
        <v>WBGene00011371</v>
      </c>
      <c r="B2229" s="9" t="str">
        <f>HYPERLINK("http://www.ncbi.nlm.nih.gov/gene/187984", "187984")</f>
        <v>187984</v>
      </c>
      <c r="C2229" s="9"/>
      <c r="D2229" t="str">
        <f>"T02D1.4"</f>
        <v>T02D1.4</v>
      </c>
      <c r="F2229" t="s">
        <v>11</v>
      </c>
      <c r="G2229" t="s">
        <v>25</v>
      </c>
      <c r="H2229" s="12">
        <v>2.8764432590645601</v>
      </c>
      <c r="I2229" s="11">
        <v>2.4686633759050398</v>
      </c>
      <c r="J2229" s="10">
        <v>1.3561872857831701E-2</v>
      </c>
      <c r="K2229" s="29">
        <v>0.23665887391035201</v>
      </c>
    </row>
    <row r="2230" spans="1:11" x14ac:dyDescent="0.35">
      <c r="A2230" s="9" t="str">
        <f>HYPERLINK("http://www.ensembl.org/id/WBGene00047907", "WBGene00047907")</f>
        <v>WBGene00047907</v>
      </c>
      <c r="B2230" s="9"/>
      <c r="C2230" s="9"/>
      <c r="D2230" t="str">
        <f>"21ur-1885"</f>
        <v>21ur-1885</v>
      </c>
      <c r="F2230" t="s">
        <v>3161</v>
      </c>
      <c r="H2230" s="12">
        <v>2.8755883694684199</v>
      </c>
      <c r="I2230" s="11">
        <v>0.36355013483266901</v>
      </c>
      <c r="J2230" s="10">
        <v>0.71619396880790798</v>
      </c>
      <c r="K2230" s="29">
        <v>0.98289565623980701</v>
      </c>
    </row>
    <row r="2231" spans="1:11" x14ac:dyDescent="0.35">
      <c r="A2231" s="9" t="str">
        <f>HYPERLINK("http://www.ensembl.org/id/WBGene00219979", "WBGene00219979")</f>
        <v>WBGene00219979</v>
      </c>
      <c r="B2231" s="9"/>
      <c r="C2231" s="9"/>
      <c r="D2231" t="str">
        <f>"F56A12.11"</f>
        <v>F56A12.11</v>
      </c>
      <c r="F2231" t="s">
        <v>481</v>
      </c>
      <c r="H2231" s="12">
        <v>2.8755883694684199</v>
      </c>
      <c r="I2231" s="11">
        <v>0.36355013483266901</v>
      </c>
      <c r="J2231" s="10">
        <v>0.71619396880790798</v>
      </c>
      <c r="K2231" s="29">
        <v>0.98289565623980701</v>
      </c>
    </row>
    <row r="2232" spans="1:11" x14ac:dyDescent="0.35">
      <c r="A2232" s="9" t="str">
        <f>HYPERLINK("http://www.ensembl.org/id/WBGene00219611", "WBGene00219611")</f>
        <v>WBGene00219611</v>
      </c>
      <c r="B2232" s="9"/>
      <c r="C2232" s="9"/>
      <c r="D2232" t="str">
        <f>"linc-123"</f>
        <v>linc-123</v>
      </c>
      <c r="F2232" t="s">
        <v>1510</v>
      </c>
      <c r="H2232" s="12">
        <v>2.8755883694684199</v>
      </c>
      <c r="I2232" s="11">
        <v>0.36355013483266901</v>
      </c>
      <c r="J2232" s="10">
        <v>0.71619396880790798</v>
      </c>
      <c r="K2232" s="29">
        <v>0.98289565623980701</v>
      </c>
    </row>
    <row r="2233" spans="1:11" x14ac:dyDescent="0.35">
      <c r="A2233" s="9" t="str">
        <f>HYPERLINK("http://www.ensembl.org/id/WBGene00011519", "WBGene00011519")</f>
        <v>WBGene00011519</v>
      </c>
      <c r="B2233" s="9" t="str">
        <f>HYPERLINK("http://www.ncbi.nlm.nih.gov/gene/188171", "188171")</f>
        <v>188171</v>
      </c>
      <c r="C2233" s="9"/>
      <c r="D2233" t="str">
        <f>"T06C12.12"</f>
        <v>T06C12.12</v>
      </c>
      <c r="F2233" t="s">
        <v>11</v>
      </c>
      <c r="G2233" t="s">
        <v>4341</v>
      </c>
      <c r="H2233" s="12">
        <v>2.8755883694684199</v>
      </c>
      <c r="I2233" s="11">
        <v>0.36355013483266901</v>
      </c>
      <c r="J2233" s="10">
        <v>0.71619396880790798</v>
      </c>
      <c r="K2233" s="29">
        <v>0.98289565623980701</v>
      </c>
    </row>
    <row r="2234" spans="1:11" x14ac:dyDescent="0.35">
      <c r="A2234" s="9" t="str">
        <f>HYPERLINK("http://www.ensembl.org/id/WBGene00011785", "WBGene00011785")</f>
        <v>WBGene00011785</v>
      </c>
      <c r="B2234" s="9" t="str">
        <f>HYPERLINK("http://www.ncbi.nlm.nih.gov/gene/188537", "188537")</f>
        <v>188537</v>
      </c>
      <c r="C2234" s="9"/>
      <c r="D2234" t="str">
        <f>"T15D6.11"</f>
        <v>T15D6.11</v>
      </c>
      <c r="F2234" t="s">
        <v>11</v>
      </c>
      <c r="H2234" s="12">
        <v>2.8755883694684199</v>
      </c>
      <c r="I2234" s="11">
        <v>0.36355013483266901</v>
      </c>
      <c r="J2234" s="10">
        <v>0.71619396880790798</v>
      </c>
      <c r="K2234" s="29">
        <v>0.98289565623980701</v>
      </c>
    </row>
    <row r="2235" spans="1:11" x14ac:dyDescent="0.35">
      <c r="A2235" s="9" t="str">
        <f>HYPERLINK("http://www.ensembl.org/id/WBGene00017180", "WBGene00017180")</f>
        <v>WBGene00017180</v>
      </c>
      <c r="B2235" s="9" t="str">
        <f>HYPERLINK("http://www.ncbi.nlm.nih.gov/gene/184096", "184096")</f>
        <v>184096</v>
      </c>
      <c r="C2235" s="9"/>
      <c r="D2235" t="str">
        <f>"F02E11.2"</f>
        <v>F02E11.2</v>
      </c>
      <c r="F2235" t="s">
        <v>11</v>
      </c>
      <c r="H2235" s="12">
        <v>2.8753843306758999</v>
      </c>
      <c r="I2235" s="11">
        <v>2.1813952393926899</v>
      </c>
      <c r="J2235" s="10">
        <v>2.91541954485704E-2</v>
      </c>
      <c r="K2235" s="29">
        <v>0.380585785330321</v>
      </c>
    </row>
    <row r="2236" spans="1:11" x14ac:dyDescent="0.35">
      <c r="A2236" s="9" t="str">
        <f>HYPERLINK("http://www.ensembl.org/id/WBGene00011554", "WBGene00011554")</f>
        <v>WBGene00011554</v>
      </c>
      <c r="B2236" s="9" t="str">
        <f>HYPERLINK("http://www.ncbi.nlm.nih.gov/gene/188207", "188207")</f>
        <v>188207</v>
      </c>
      <c r="C2236" s="9"/>
      <c r="D2236" t="str">
        <f>"T07A5.1"</f>
        <v>T07A5.1</v>
      </c>
      <c r="F2236" t="s">
        <v>11</v>
      </c>
      <c r="G2236" t="s">
        <v>25</v>
      </c>
      <c r="H2236" s="12">
        <v>2.8753103722641198</v>
      </c>
      <c r="I2236" s="11">
        <v>2.23040750158524</v>
      </c>
      <c r="J2236" s="10">
        <v>2.5720402015655602E-2</v>
      </c>
      <c r="K2236" s="29">
        <v>0.35374738629389102</v>
      </c>
    </row>
    <row r="2237" spans="1:11" x14ac:dyDescent="0.35">
      <c r="A2237" s="9" t="str">
        <f>HYPERLINK("http://www.ensembl.org/id/WBGene00016285", "WBGene00016285")</f>
        <v>WBGene00016285</v>
      </c>
      <c r="B2237" s="9" t="str">
        <f>HYPERLINK("http://www.ncbi.nlm.nih.gov/gene/183081", "183081")</f>
        <v>183081</v>
      </c>
      <c r="C2237" s="9"/>
      <c r="D2237" t="str">
        <f>"C31B8.12"</f>
        <v>C31B8.12</v>
      </c>
      <c r="F2237" t="s">
        <v>11</v>
      </c>
      <c r="G2237" t="s">
        <v>25</v>
      </c>
      <c r="H2237" s="12">
        <v>2.8745758543430902</v>
      </c>
      <c r="I2237" s="11">
        <v>0.422626058340482</v>
      </c>
      <c r="J2237" s="10">
        <v>0.67256811128052596</v>
      </c>
      <c r="K2237" s="29">
        <v>0.98289565623980701</v>
      </c>
    </row>
    <row r="2238" spans="1:11" x14ac:dyDescent="0.35">
      <c r="A2238" s="9" t="str">
        <f>HYPERLINK("http://www.ensembl.org/id/WBGene00008511", "WBGene00008511")</f>
        <v>WBGene00008511</v>
      </c>
      <c r="B2238" s="9" t="str">
        <f>HYPERLINK("http://www.ncbi.nlm.nih.gov/gene/177909", "177909")</f>
        <v>177909</v>
      </c>
      <c r="C2238" s="9"/>
      <c r="D2238" t="str">
        <f>"F01G10.9"</f>
        <v>F01G10.9</v>
      </c>
      <c r="F2238" t="s">
        <v>11</v>
      </c>
      <c r="H2238" s="12">
        <v>2.8740563908469201</v>
      </c>
      <c r="I2238" s="11">
        <v>3.3480137287525999</v>
      </c>
      <c r="J2238" s="10">
        <v>8.1392979239994895E-4</v>
      </c>
      <c r="K2238" s="29">
        <v>3.3052129671692798E-2</v>
      </c>
    </row>
    <row r="2239" spans="1:11" x14ac:dyDescent="0.35">
      <c r="A2239" s="9" t="str">
        <f>HYPERLINK("http://www.ensembl.org/id/WBGene00021110", "WBGene00021110")</f>
        <v>WBGene00021110</v>
      </c>
      <c r="B2239" s="9" t="str">
        <f>HYPERLINK("http://www.ncbi.nlm.nih.gov/gene/189310", "189310")</f>
        <v>189310</v>
      </c>
      <c r="C2239" s="9"/>
      <c r="D2239" t="str">
        <f>"W09C3.2"</f>
        <v>W09C3.2</v>
      </c>
      <c r="F2239" t="s">
        <v>11</v>
      </c>
      <c r="G2239" t="s">
        <v>25</v>
      </c>
      <c r="H2239" s="12">
        <v>2.8737907178761</v>
      </c>
      <c r="I2239" s="11">
        <v>0.54926273072209997</v>
      </c>
      <c r="J2239" s="10">
        <v>0.58282516000836604</v>
      </c>
      <c r="K2239" s="29">
        <v>0.98289565623980701</v>
      </c>
    </row>
    <row r="2240" spans="1:11" x14ac:dyDescent="0.35">
      <c r="A2240" s="9" t="str">
        <f>HYPERLINK("http://www.ensembl.org/id/WBGene00020977", "WBGene00020977")</f>
        <v>WBGene00020977</v>
      </c>
      <c r="B2240" s="9" t="str">
        <f>HYPERLINK("http://www.ncbi.nlm.nih.gov/gene/189147", "189147")</f>
        <v>189147</v>
      </c>
      <c r="C2240" s="9"/>
      <c r="D2240" t="str">
        <f>"oac-52"</f>
        <v>oac-52</v>
      </c>
      <c r="E2240" t="s">
        <v>883</v>
      </c>
      <c r="F2240" t="s">
        <v>11</v>
      </c>
      <c r="G2240" t="s">
        <v>1992</v>
      </c>
      <c r="H2240" s="12">
        <v>2.8730513913817002</v>
      </c>
      <c r="I2240" s="11">
        <v>1.0199692010668999</v>
      </c>
      <c r="J2240" s="10">
        <v>0.30774306779715599</v>
      </c>
      <c r="K2240" s="29">
        <v>0.98289565623980701</v>
      </c>
    </row>
    <row r="2241" spans="1:11" x14ac:dyDescent="0.35">
      <c r="A2241" s="9" t="str">
        <f>HYPERLINK("http://www.ensembl.org/id/WBGene00017353", "WBGene00017353")</f>
        <v>WBGene00017353</v>
      </c>
      <c r="B2241" s="9" t="str">
        <f>HYPERLINK("http://www.ncbi.nlm.nih.gov/gene/184303", "184303")</f>
        <v>184303</v>
      </c>
      <c r="C2241" s="9"/>
      <c r="D2241" t="str">
        <f>"F10E9.1"</f>
        <v>F10E9.1</v>
      </c>
      <c r="F2241" t="s">
        <v>11</v>
      </c>
      <c r="H2241" s="12">
        <v>2.8707585193640299</v>
      </c>
      <c r="I2241" s="11">
        <v>2.1525544147692601</v>
      </c>
      <c r="J2241" s="10">
        <v>3.1353714406564398E-2</v>
      </c>
      <c r="K2241" s="29">
        <v>0.398721138744493</v>
      </c>
    </row>
    <row r="2242" spans="1:11" x14ac:dyDescent="0.35">
      <c r="A2242" s="9" t="str">
        <f>HYPERLINK("http://www.ensembl.org/id/WBGene00006109", "WBGene00006109")</f>
        <v>WBGene00006109</v>
      </c>
      <c r="B2242" s="9" t="str">
        <f>HYPERLINK("http://www.ncbi.nlm.nih.gov/gene/191978", "191978")</f>
        <v>191978</v>
      </c>
      <c r="C2242" s="9"/>
      <c r="D2242" t="str">
        <f>"str-44"</f>
        <v>str-44</v>
      </c>
      <c r="E2242" t="s">
        <v>590</v>
      </c>
      <c r="F2242" t="s">
        <v>11</v>
      </c>
      <c r="G2242" t="s">
        <v>4342</v>
      </c>
      <c r="H2242" s="12">
        <v>2.87052529347624</v>
      </c>
      <c r="I2242" s="11">
        <v>0.98512055591427405</v>
      </c>
      <c r="J2242" s="10">
        <v>0.32456485741172197</v>
      </c>
      <c r="K2242" s="29">
        <v>0.98289565623980701</v>
      </c>
    </row>
    <row r="2243" spans="1:11" x14ac:dyDescent="0.35">
      <c r="A2243" s="9" t="str">
        <f>HYPERLINK("http://www.ensembl.org/id/WBGene00019111", "WBGene00019111")</f>
        <v>WBGene00019111</v>
      </c>
      <c r="B2243" s="9" t="str">
        <f>HYPERLINK("http://www.ncbi.nlm.nih.gov/gene/179278", "179278")</f>
        <v>179278</v>
      </c>
      <c r="C2243" s="9"/>
      <c r="D2243" t="str">
        <f>"F59E11.5"</f>
        <v>F59E11.5</v>
      </c>
      <c r="F2243" t="s">
        <v>11</v>
      </c>
      <c r="G2243" t="s">
        <v>25</v>
      </c>
      <c r="H2243" s="12">
        <v>2.8700920107604802</v>
      </c>
      <c r="I2243" s="11">
        <v>4.6080858137218499</v>
      </c>
      <c r="J2243" s="10">
        <v>4.06392945628089E-6</v>
      </c>
      <c r="K2243" s="29">
        <v>5.0757380549635797E-4</v>
      </c>
    </row>
    <row r="2244" spans="1:11" x14ac:dyDescent="0.35">
      <c r="A2244" s="9" t="str">
        <f>HYPERLINK("http://www.ensembl.org/id/WBGene00007639", "WBGene00007639")</f>
        <v>WBGene00007639</v>
      </c>
      <c r="B2244" s="9" t="str">
        <f>HYPERLINK("http://www.ncbi.nlm.nih.gov/gene/173043", "173043")</f>
        <v>173043</v>
      </c>
      <c r="C2244" s="9"/>
      <c r="D2244" t="str">
        <f>"C17D12.5"</f>
        <v>C17D12.5</v>
      </c>
      <c r="F2244" t="s">
        <v>11</v>
      </c>
      <c r="H2244" s="12">
        <v>2.8690470264930399</v>
      </c>
      <c r="I2244" s="11">
        <v>0.37469152751715201</v>
      </c>
      <c r="J2244" s="10">
        <v>0.70788989404854696</v>
      </c>
      <c r="K2244" s="29">
        <v>0.98289565623980701</v>
      </c>
    </row>
    <row r="2245" spans="1:11" x14ac:dyDescent="0.35">
      <c r="A2245" s="9" t="str">
        <f>HYPERLINK("http://www.ensembl.org/id/WBGene00015904", "WBGene00015904")</f>
        <v>WBGene00015904</v>
      </c>
      <c r="B2245" s="9" t="str">
        <f>HYPERLINK("http://www.ncbi.nlm.nih.gov/gene/182734", "182734")</f>
        <v>182734</v>
      </c>
      <c r="C2245" s="9"/>
      <c r="D2245" t="str">
        <f>"irld-22"</f>
        <v>irld-22</v>
      </c>
      <c r="E2245" t="s">
        <v>1627</v>
      </c>
      <c r="F2245" t="s">
        <v>11</v>
      </c>
      <c r="H2245" s="12">
        <v>2.8690470264930399</v>
      </c>
      <c r="I2245" s="11">
        <v>0.37469152751715201</v>
      </c>
      <c r="J2245" s="10">
        <v>0.70788989404854696</v>
      </c>
      <c r="K2245" s="29">
        <v>0.98289565623980701</v>
      </c>
    </row>
    <row r="2246" spans="1:11" x14ac:dyDescent="0.35">
      <c r="A2246" s="9" t="str">
        <f>HYPERLINK("http://www.ensembl.org/id/WBGene00005484", "WBGene00005484")</f>
        <v>WBGene00005484</v>
      </c>
      <c r="B2246" s="9" t="str">
        <f>HYPERLINK("http://www.ncbi.nlm.nih.gov/gene/184329", "184329")</f>
        <v>184329</v>
      </c>
      <c r="C2246" s="9"/>
      <c r="D2246" t="str">
        <f>"srh-279"</f>
        <v>srh-279</v>
      </c>
      <c r="E2246" t="s">
        <v>153</v>
      </c>
      <c r="F2246" t="s">
        <v>11</v>
      </c>
      <c r="G2246" t="s">
        <v>25</v>
      </c>
      <c r="H2246" s="12">
        <v>2.8690470264930399</v>
      </c>
      <c r="I2246" s="11">
        <v>0.37469152751715201</v>
      </c>
      <c r="J2246" s="10">
        <v>0.70788989404854696</v>
      </c>
      <c r="K2246" s="29">
        <v>0.98289565623980701</v>
      </c>
    </row>
    <row r="2247" spans="1:11" x14ac:dyDescent="0.35">
      <c r="A2247" s="9" t="str">
        <f>HYPERLINK("http://www.ensembl.org/id/WBGene00018414", "WBGene00018414")</f>
        <v>WBGene00018414</v>
      </c>
      <c r="B2247" s="9" t="str">
        <f>HYPERLINK("http://www.ncbi.nlm.nih.gov/gene/178698", "178698")</f>
        <v>178698</v>
      </c>
      <c r="C2247" s="9"/>
      <c r="D2247" t="str">
        <f>"nstp-8"</f>
        <v>nstp-8</v>
      </c>
      <c r="E2247" t="s">
        <v>4343</v>
      </c>
      <c r="F2247" t="s">
        <v>11</v>
      </c>
      <c r="G2247" t="s">
        <v>1979</v>
      </c>
      <c r="H2247" s="12">
        <v>2.8684837131319401</v>
      </c>
      <c r="I2247" s="11">
        <v>0.59589464841765705</v>
      </c>
      <c r="J2247" s="10">
        <v>0.55124560855331595</v>
      </c>
      <c r="K2247" s="29">
        <v>0.98289565623980701</v>
      </c>
    </row>
    <row r="2248" spans="1:11" x14ac:dyDescent="0.35">
      <c r="A2248" s="9" t="str">
        <f>HYPERLINK("http://www.ensembl.org/id/WBGene00011535", "WBGene00011535")</f>
        <v>WBGene00011535</v>
      </c>
      <c r="B2248" s="9" t="str">
        <f>HYPERLINK("http://www.ncbi.nlm.nih.gov/gene/179349", "179349")</f>
        <v>179349</v>
      </c>
      <c r="C2248" s="9"/>
      <c r="D2248" t="str">
        <f>"T06E4.8"</f>
        <v>T06E4.8</v>
      </c>
      <c r="F2248" t="s">
        <v>11</v>
      </c>
      <c r="G2248" t="s">
        <v>1683</v>
      </c>
      <c r="H2248" s="12">
        <v>2.86812328237278</v>
      </c>
      <c r="I2248" s="11">
        <v>1.15222108411475</v>
      </c>
      <c r="J2248" s="10">
        <v>0.24923023579770701</v>
      </c>
      <c r="K2248" s="29">
        <v>0.98289565623980701</v>
      </c>
    </row>
    <row r="2249" spans="1:11" x14ac:dyDescent="0.35">
      <c r="A2249" s="9" t="str">
        <f>HYPERLINK("http://www.ensembl.org/id/WBGene00004901", "WBGene00004901")</f>
        <v>WBGene00004901</v>
      </c>
      <c r="B2249" s="9" t="str">
        <f>HYPERLINK("http://www.ncbi.nlm.nih.gov/gene/172701", "172701")</f>
        <v>172701</v>
      </c>
      <c r="C2249" s="9"/>
      <c r="D2249" t="str">
        <f>"snf-2"</f>
        <v>snf-2</v>
      </c>
      <c r="E2249" t="s">
        <v>537</v>
      </c>
      <c r="F2249" t="s">
        <v>11</v>
      </c>
      <c r="G2249" t="s">
        <v>4344</v>
      </c>
      <c r="H2249" s="12">
        <v>2.8646764772551601</v>
      </c>
      <c r="I2249" s="11">
        <v>0.81540696609565999</v>
      </c>
      <c r="J2249" s="10">
        <v>0.41483939820743998</v>
      </c>
      <c r="K2249" s="29">
        <v>0.98289565623980701</v>
      </c>
    </row>
    <row r="2250" spans="1:11" x14ac:dyDescent="0.35">
      <c r="A2250" s="9" t="str">
        <f>HYPERLINK("http://www.ensembl.org/id/WBGene00014197", "WBGene00014197")</f>
        <v>WBGene00014197</v>
      </c>
      <c r="B2250" s="9" t="str">
        <f>HYPERLINK("http://www.ncbi.nlm.nih.gov/gene/191507", "191507")</f>
        <v>191507</v>
      </c>
      <c r="C2250" s="9"/>
      <c r="D2250" t="str">
        <f>"ZK1053.2"</f>
        <v>ZK1053.2</v>
      </c>
      <c r="F2250" t="s">
        <v>11</v>
      </c>
      <c r="G2250" t="s">
        <v>25</v>
      </c>
      <c r="H2250" s="12">
        <v>2.8636072084802402</v>
      </c>
      <c r="I2250" s="11">
        <v>1.0588988454449999</v>
      </c>
      <c r="J2250" s="10">
        <v>0.28964585014940297</v>
      </c>
      <c r="K2250" s="29">
        <v>0.98289565623980701</v>
      </c>
    </row>
    <row r="2251" spans="1:11" x14ac:dyDescent="0.35">
      <c r="A2251" s="9" t="str">
        <f>HYPERLINK("http://www.ensembl.org/id/WBGene00005567", "WBGene00005567")</f>
        <v>WBGene00005567</v>
      </c>
      <c r="B2251" s="9"/>
      <c r="C2251" s="9"/>
      <c r="D2251" t="str">
        <f>"sri-55"</f>
        <v>sri-55</v>
      </c>
      <c r="F2251" t="s">
        <v>80</v>
      </c>
      <c r="H2251" s="12">
        <v>2.8631366128142002</v>
      </c>
      <c r="I2251" s="11">
        <v>0.67070439590435604</v>
      </c>
      <c r="J2251" s="10">
        <v>0.50240886190105405</v>
      </c>
      <c r="K2251" s="29">
        <v>0.98289565623980701</v>
      </c>
    </row>
    <row r="2252" spans="1:11" x14ac:dyDescent="0.35">
      <c r="A2252" s="9" t="str">
        <f>HYPERLINK("http://www.ensembl.org/id/WBGene00010864", "WBGene00010864")</f>
        <v>WBGene00010864</v>
      </c>
      <c r="B2252" s="9" t="str">
        <f>HYPERLINK("http://www.ncbi.nlm.nih.gov/gene/187445", "187445")</f>
        <v>187445</v>
      </c>
      <c r="C2252" s="9"/>
      <c r="D2252" t="str">
        <f>"xbx-3"</f>
        <v>xbx-3</v>
      </c>
      <c r="E2252" t="s">
        <v>710</v>
      </c>
      <c r="F2252" t="s">
        <v>11</v>
      </c>
      <c r="G2252" t="s">
        <v>25</v>
      </c>
      <c r="H2252" s="12">
        <v>2.8624790833603599</v>
      </c>
      <c r="I2252" s="11">
        <v>2.1125971242431798</v>
      </c>
      <c r="J2252" s="10">
        <v>3.4635265075768598E-2</v>
      </c>
      <c r="K2252" s="29">
        <v>0.42356631232291703</v>
      </c>
    </row>
    <row r="2253" spans="1:11" x14ac:dyDescent="0.35">
      <c r="A2253" s="9" t="str">
        <f>HYPERLINK("http://www.ensembl.org/id/WBGene00016711", "WBGene00016711")</f>
        <v>WBGene00016711</v>
      </c>
      <c r="B2253" s="9" t="str">
        <f>HYPERLINK("http://www.ncbi.nlm.nih.gov/gene/173714", "173714")</f>
        <v>173714</v>
      </c>
      <c r="C2253" s="9"/>
      <c r="D2253" t="str">
        <f>"fbxc-53"</f>
        <v>fbxc-53</v>
      </c>
      <c r="E2253" t="s">
        <v>311</v>
      </c>
      <c r="F2253" t="s">
        <v>11</v>
      </c>
      <c r="G2253" t="s">
        <v>54</v>
      </c>
      <c r="H2253" s="12">
        <v>2.86241964688009</v>
      </c>
      <c r="I2253" s="11">
        <v>1.5611888979709501</v>
      </c>
      <c r="J2253" s="10">
        <v>0.118479187697925</v>
      </c>
      <c r="K2253" s="29">
        <v>0.78575778155805598</v>
      </c>
    </row>
    <row r="2254" spans="1:11" x14ac:dyDescent="0.35">
      <c r="A2254" s="9" t="str">
        <f>HYPERLINK("http://www.ensembl.org/id/WBGene00008287", "WBGene00008287")</f>
        <v>WBGene00008287</v>
      </c>
      <c r="B2254" s="9" t="str">
        <f>HYPERLINK("http://www.ncbi.nlm.nih.gov/gene/183767", "183767")</f>
        <v>183767</v>
      </c>
      <c r="C2254" s="9"/>
      <c r="D2254" t="str">
        <f>"C54C6.5"</f>
        <v>C54C6.5</v>
      </c>
      <c r="F2254" t="s">
        <v>11</v>
      </c>
      <c r="H2254" s="12">
        <v>2.8618955677780602</v>
      </c>
      <c r="I2254" s="11">
        <v>2.3833251145185401</v>
      </c>
      <c r="J2254" s="10">
        <v>1.7157034423347501E-2</v>
      </c>
      <c r="K2254" s="29">
        <v>0.273790496325447</v>
      </c>
    </row>
    <row r="2255" spans="1:11" x14ac:dyDescent="0.35">
      <c r="A2255" s="9" t="str">
        <f>HYPERLINK("http://www.ensembl.org/id/WBGene00013498", "WBGene00013498")</f>
        <v>WBGene00013498</v>
      </c>
      <c r="B2255" s="9" t="str">
        <f>HYPERLINK("http://www.ncbi.nlm.nih.gov/gene/190572", "190572")</f>
        <v>190572</v>
      </c>
      <c r="C2255" s="9"/>
      <c r="D2255" t="str">
        <f>"Y70G10A.2"</f>
        <v>Y70G10A.2</v>
      </c>
      <c r="F2255" t="s">
        <v>11</v>
      </c>
      <c r="G2255" t="s">
        <v>25</v>
      </c>
      <c r="H2255" s="12">
        <v>2.8608361552921999</v>
      </c>
      <c r="I2255" s="11">
        <v>1.83330742546428</v>
      </c>
      <c r="J2255" s="10">
        <v>6.6756865748870395E-2</v>
      </c>
      <c r="K2255" s="29">
        <v>0.61167657726783997</v>
      </c>
    </row>
    <row r="2256" spans="1:11" x14ac:dyDescent="0.35">
      <c r="A2256" s="9" t="str">
        <f>HYPERLINK("http://www.ensembl.org/id/WBGene00021994", "WBGene00021994")</f>
        <v>WBGene00021994</v>
      </c>
      <c r="B2256" s="9" t="str">
        <f>HYPERLINK("http://www.ncbi.nlm.nih.gov/gene/177296", "177296")</f>
        <v>177296</v>
      </c>
      <c r="C2256" s="9"/>
      <c r="D2256" t="str">
        <f>"Y59E9AL.4"</f>
        <v>Y59E9AL.4</v>
      </c>
      <c r="F2256" t="s">
        <v>11</v>
      </c>
      <c r="G2256" t="s">
        <v>230</v>
      </c>
      <c r="H2256" s="12">
        <v>2.8594667766266801</v>
      </c>
      <c r="I2256" s="11">
        <v>3.40541665886402</v>
      </c>
      <c r="J2256" s="10">
        <v>6.6063174489568697E-4</v>
      </c>
      <c r="K2256" s="29">
        <v>2.82676983288143E-2</v>
      </c>
    </row>
    <row r="2257" spans="1:11" x14ac:dyDescent="0.35">
      <c r="A2257" s="9" t="str">
        <f>HYPERLINK("http://www.ensembl.org/id/WBGene00009786", "WBGene00009786")</f>
        <v>WBGene00009786</v>
      </c>
      <c r="B2257" s="9"/>
      <c r="C2257" s="9"/>
      <c r="D2257" t="str">
        <f>"F46F2.1"</f>
        <v>F46F2.1</v>
      </c>
      <c r="F2257" t="s">
        <v>80</v>
      </c>
      <c r="H2257" s="12">
        <v>2.8539989126780698</v>
      </c>
      <c r="I2257" s="11">
        <v>0.80406123982891997</v>
      </c>
      <c r="J2257" s="10">
        <v>0.42136160819988799</v>
      </c>
      <c r="K2257" s="29">
        <v>0.98289565623980701</v>
      </c>
    </row>
    <row r="2258" spans="1:11" x14ac:dyDescent="0.35">
      <c r="A2258" s="9" t="str">
        <f>HYPERLINK("http://www.ensembl.org/id/WBGene00010403", "WBGene00010403")</f>
        <v>WBGene00010403</v>
      </c>
      <c r="B2258" s="9" t="str">
        <f>HYPERLINK("http://www.ncbi.nlm.nih.gov/gene/186752", "186752")</f>
        <v>186752</v>
      </c>
      <c r="C2258" s="9"/>
      <c r="D2258" t="str">
        <f>"otpl-8"</f>
        <v>otpl-8</v>
      </c>
      <c r="E2258" t="s">
        <v>233</v>
      </c>
      <c r="F2258" t="s">
        <v>11</v>
      </c>
      <c r="G2258" t="s">
        <v>234</v>
      </c>
      <c r="H2258" s="12">
        <v>2.8535653364449201</v>
      </c>
      <c r="I2258" s="11">
        <v>1.6382736406199001</v>
      </c>
      <c r="J2258" s="10">
        <v>0.101364623806254</v>
      </c>
      <c r="K2258" s="29">
        <v>0.73462160068528903</v>
      </c>
    </row>
    <row r="2259" spans="1:11" x14ac:dyDescent="0.35">
      <c r="A2259" s="9" t="str">
        <f>HYPERLINK("http://www.ensembl.org/id/WBGene00022645", "WBGene00022645")</f>
        <v>WBGene00022645</v>
      </c>
      <c r="B2259" s="9" t="str">
        <f>HYPERLINK("http://www.ncbi.nlm.nih.gov/gene/191209", "191209")</f>
        <v>191209</v>
      </c>
      <c r="C2259" s="9"/>
      <c r="D2259" t="str">
        <f>"ZK6.11"</f>
        <v>ZK6.11</v>
      </c>
      <c r="F2259" t="s">
        <v>11</v>
      </c>
      <c r="G2259" t="s">
        <v>105</v>
      </c>
      <c r="H2259" s="12">
        <v>2.8522035239738202</v>
      </c>
      <c r="I2259" s="11">
        <v>5.51957327860696</v>
      </c>
      <c r="J2259" s="10">
        <v>3.3982386302461301E-8</v>
      </c>
      <c r="K2259" s="29">
        <v>9.8149627238083706E-6</v>
      </c>
    </row>
    <row r="2260" spans="1:11" x14ac:dyDescent="0.35">
      <c r="A2260" s="9" t="str">
        <f>HYPERLINK("http://www.ensembl.org/id/WBGene00007467", "WBGene00007467")</f>
        <v>WBGene00007467</v>
      </c>
      <c r="B2260" s="9" t="str">
        <f>HYPERLINK("http://www.ncbi.nlm.nih.gov/gene/182432", "182432")</f>
        <v>182432</v>
      </c>
      <c r="C2260" s="9"/>
      <c r="D2260" t="str">
        <f>"chil-3"</f>
        <v>chil-3</v>
      </c>
      <c r="E2260" t="s">
        <v>1756</v>
      </c>
      <c r="F2260" t="s">
        <v>11</v>
      </c>
      <c r="G2260" t="s">
        <v>1509</v>
      </c>
      <c r="H2260" s="12">
        <v>2.8503853279618698</v>
      </c>
      <c r="I2260" s="11">
        <v>0.85521171032723098</v>
      </c>
      <c r="J2260" s="10">
        <v>0.39243395446243201</v>
      </c>
      <c r="K2260" s="29">
        <v>0.98289565623980701</v>
      </c>
    </row>
    <row r="2261" spans="1:11" x14ac:dyDescent="0.35">
      <c r="A2261" s="9" t="str">
        <f>HYPERLINK("http://www.ensembl.org/id/WBGene00013539", "WBGene00013539")</f>
        <v>WBGene00013539</v>
      </c>
      <c r="B2261" s="9" t="str">
        <f>HYPERLINK("http://www.ncbi.nlm.nih.gov/gene/178438", "178438")</f>
        <v>178438</v>
      </c>
      <c r="C2261" s="9"/>
      <c r="D2261" t="str">
        <f>"Y73F8A.35"</f>
        <v>Y73F8A.35</v>
      </c>
      <c r="F2261" t="s">
        <v>11</v>
      </c>
      <c r="G2261" t="s">
        <v>790</v>
      </c>
      <c r="H2261" s="12">
        <v>2.8490031049380802</v>
      </c>
      <c r="I2261" s="11">
        <v>2.0266666343710198</v>
      </c>
      <c r="J2261" s="10">
        <v>4.2696516921102302E-2</v>
      </c>
      <c r="K2261" s="29">
        <v>0.48077276802094998</v>
      </c>
    </row>
    <row r="2262" spans="1:11" x14ac:dyDescent="0.35">
      <c r="A2262" s="9" t="str">
        <f>HYPERLINK("http://www.ensembl.org/id/WBGene00006449", "WBGene00006449")</f>
        <v>WBGene00006449</v>
      </c>
      <c r="B2262" s="9" t="str">
        <f>HYPERLINK("http://www.ncbi.nlm.nih.gov/gene/176400", "176400")</f>
        <v>176400</v>
      </c>
      <c r="C2262" s="9"/>
      <c r="D2262" t="str">
        <f>"alg-4"</f>
        <v>alg-4</v>
      </c>
      <c r="F2262" t="s">
        <v>11</v>
      </c>
      <c r="G2262" t="s">
        <v>2803</v>
      </c>
      <c r="H2262" s="12">
        <v>2.84226837013219</v>
      </c>
      <c r="I2262" s="11">
        <v>1.56135501236639</v>
      </c>
      <c r="J2262" s="10">
        <v>0.118440010289296</v>
      </c>
      <c r="K2262" s="29">
        <v>0.78575778155805598</v>
      </c>
    </row>
    <row r="2263" spans="1:11" x14ac:dyDescent="0.35">
      <c r="A2263" s="9" t="str">
        <f>HYPERLINK("http://www.ensembl.org/id/WBGene00000707", "WBGene00000707")</f>
        <v>WBGene00000707</v>
      </c>
      <c r="B2263" s="9" t="str">
        <f>HYPERLINK("http://www.ncbi.nlm.nih.gov/gene/186083", "186083")</f>
        <v>186083</v>
      </c>
      <c r="C2263" s="9"/>
      <c r="D2263" t="str">
        <f>"col-133"</f>
        <v>col-133</v>
      </c>
      <c r="E2263" t="s">
        <v>40</v>
      </c>
      <c r="F2263" t="s">
        <v>11</v>
      </c>
      <c r="G2263" t="s">
        <v>41</v>
      </c>
      <c r="H2263" s="12">
        <v>2.84217891482617</v>
      </c>
      <c r="I2263" s="11">
        <v>2.1492709120111799</v>
      </c>
      <c r="J2263" s="10">
        <v>3.1612930921967E-2</v>
      </c>
      <c r="K2263" s="29">
        <v>0.40055063895292098</v>
      </c>
    </row>
    <row r="2264" spans="1:11" x14ac:dyDescent="0.35">
      <c r="A2264" s="9" t="str">
        <f>HYPERLINK("http://www.ensembl.org/id/WBGene00021168", "WBGene00021168")</f>
        <v>WBGene00021168</v>
      </c>
      <c r="B2264" s="9" t="str">
        <f>HYPERLINK("http://www.ncbi.nlm.nih.gov/gene/189364", "189364")</f>
        <v>189364</v>
      </c>
      <c r="C2264" s="9" t="str">
        <f>HYPERLINK("http://www.ncbi.nlm.nih.gov/gene/1573", "1573")</f>
        <v>1573</v>
      </c>
      <c r="D2264" t="str">
        <f>"cyp-33C12"</f>
        <v>cyp-33C12</v>
      </c>
      <c r="E2264" t="s">
        <v>176</v>
      </c>
      <c r="F2264" t="s">
        <v>11</v>
      </c>
      <c r="G2264" t="s">
        <v>3456</v>
      </c>
      <c r="H2264" s="12">
        <v>2.83782981751781</v>
      </c>
      <c r="I2264" s="11">
        <v>1.3815711517006299</v>
      </c>
      <c r="J2264" s="10">
        <v>0.16710341685801</v>
      </c>
      <c r="K2264" s="29">
        <v>0.88636808642765796</v>
      </c>
    </row>
    <row r="2265" spans="1:11" x14ac:dyDescent="0.35">
      <c r="A2265" s="9" t="str">
        <f>HYPERLINK("http://www.ensembl.org/id/WBGene00005929", "WBGene00005929")</f>
        <v>WBGene00005929</v>
      </c>
      <c r="B2265" s="9" t="str">
        <f>HYPERLINK("http://www.ncbi.nlm.nih.gov/gene/182137", "182137")</f>
        <v>182137</v>
      </c>
      <c r="C2265" s="9"/>
      <c r="D2265" t="str">
        <f>"srx-38"</f>
        <v>srx-38</v>
      </c>
      <c r="E2265" t="s">
        <v>1477</v>
      </c>
      <c r="F2265" t="s">
        <v>11</v>
      </c>
      <c r="G2265" t="s">
        <v>25</v>
      </c>
      <c r="H2265" s="12">
        <v>2.8341952941469999</v>
      </c>
      <c r="I2265" s="11">
        <v>1.07924809515315</v>
      </c>
      <c r="J2265" s="10">
        <v>0.28047714462248602</v>
      </c>
      <c r="K2265" s="29">
        <v>0.98289565623980701</v>
      </c>
    </row>
    <row r="2266" spans="1:11" x14ac:dyDescent="0.35">
      <c r="A2266" s="9" t="str">
        <f>HYPERLINK("http://www.ensembl.org/id/WBGene00010205", "WBGene00010205")</f>
        <v>WBGene00010205</v>
      </c>
      <c r="B2266" s="9" t="str">
        <f>HYPERLINK("http://www.ncbi.nlm.nih.gov/gene/179646", "179646")</f>
        <v>179646</v>
      </c>
      <c r="C2266" s="9"/>
      <c r="D2266" t="str">
        <f>"F57F5.3"</f>
        <v>F57F5.3</v>
      </c>
      <c r="F2266" t="s">
        <v>11</v>
      </c>
      <c r="G2266" t="s">
        <v>25</v>
      </c>
      <c r="H2266" s="12">
        <v>2.8325983262899599</v>
      </c>
      <c r="I2266" s="11">
        <v>1.7568009245662599</v>
      </c>
      <c r="J2266" s="10">
        <v>7.8951747456128304E-2</v>
      </c>
      <c r="K2266" s="29">
        <v>0.66144273992795499</v>
      </c>
    </row>
    <row r="2267" spans="1:11" x14ac:dyDescent="0.35">
      <c r="A2267" s="9" t="str">
        <f>HYPERLINK("http://www.ensembl.org/id/WBGene00014201", "WBGene00014201")</f>
        <v>WBGene00014201</v>
      </c>
      <c r="B2267" s="9" t="str">
        <f>HYPERLINK("http://www.ncbi.nlm.nih.gov/gene/191510", "191510")</f>
        <v>191510</v>
      </c>
      <c r="C2267" s="9"/>
      <c r="D2267" t="str">
        <f>"ZK1053.6"</f>
        <v>ZK1053.6</v>
      </c>
      <c r="F2267" t="s">
        <v>11</v>
      </c>
      <c r="G2267" t="s">
        <v>3238</v>
      </c>
      <c r="H2267" s="12">
        <v>2.8323276401731698</v>
      </c>
      <c r="I2267" s="11">
        <v>0.767103507466666</v>
      </c>
      <c r="J2267" s="10">
        <v>0.44301997670605903</v>
      </c>
      <c r="K2267" s="29">
        <v>0.98289565623980701</v>
      </c>
    </row>
    <row r="2268" spans="1:11" x14ac:dyDescent="0.35">
      <c r="A2268" s="9" t="str">
        <f>HYPERLINK("http://www.ensembl.org/id/WBGene00271812", "WBGene00271812")</f>
        <v>WBGene00271812</v>
      </c>
      <c r="B2268" s="9" t="str">
        <f>HYPERLINK("http://www.ncbi.nlm.nih.gov/gene/34700632", "34700632")</f>
        <v>34700632</v>
      </c>
      <c r="C2268" s="9"/>
      <c r="D2268" t="str">
        <f>"F58F12.12"</f>
        <v>F58F12.12</v>
      </c>
      <c r="F2268" t="s">
        <v>11</v>
      </c>
      <c r="G2268" t="s">
        <v>25</v>
      </c>
      <c r="H2268" s="12">
        <v>2.8284756769425501</v>
      </c>
      <c r="I2268" s="11">
        <v>2.1582277504710499</v>
      </c>
      <c r="J2268" s="10">
        <v>3.0910128844360101E-2</v>
      </c>
      <c r="K2268" s="29">
        <v>0.39459084921424598</v>
      </c>
    </row>
    <row r="2269" spans="1:11" x14ac:dyDescent="0.35">
      <c r="A2269" s="9" t="str">
        <f>HYPERLINK("http://www.ensembl.org/id/WBGene00014134", "WBGene00014134")</f>
        <v>WBGene00014134</v>
      </c>
      <c r="B2269" s="9"/>
      <c r="C2269" s="9"/>
      <c r="D2269" t="str">
        <f>"ZK896.3"</f>
        <v>ZK896.3</v>
      </c>
      <c r="F2269" t="s">
        <v>80</v>
      </c>
      <c r="H2269" s="12">
        <v>2.82816636627809</v>
      </c>
      <c r="I2269" s="11">
        <v>1.0406985259364001</v>
      </c>
      <c r="J2269" s="10">
        <v>0.29801548757479202</v>
      </c>
      <c r="K2269" s="29">
        <v>0.98289565623980701</v>
      </c>
    </row>
    <row r="2270" spans="1:11" x14ac:dyDescent="0.35">
      <c r="A2270" s="9" t="str">
        <f>HYPERLINK("http://www.ensembl.org/id/WBGene00012223", "WBGene00012223")</f>
        <v>WBGene00012223</v>
      </c>
      <c r="B2270" s="9" t="str">
        <f>HYPERLINK("http://www.ncbi.nlm.nih.gov/gene/174831", "174831")</f>
        <v>174831</v>
      </c>
      <c r="C2270" s="9"/>
      <c r="D2270" t="str">
        <f>"W03C9.8"</f>
        <v>W03C9.8</v>
      </c>
      <c r="F2270" t="s">
        <v>11</v>
      </c>
      <c r="G2270" t="s">
        <v>25</v>
      </c>
      <c r="H2270" s="12">
        <v>2.8271374600031698</v>
      </c>
      <c r="I2270" s="11">
        <v>0.47884604899933098</v>
      </c>
      <c r="J2270" s="10">
        <v>0.63204815437182005</v>
      </c>
      <c r="K2270" s="29">
        <v>0.98289565623980701</v>
      </c>
    </row>
    <row r="2271" spans="1:11" x14ac:dyDescent="0.35">
      <c r="A2271" s="9" t="str">
        <f>HYPERLINK("http://www.ensembl.org/id/WBGene00005431", "WBGene00005431")</f>
        <v>WBGene00005431</v>
      </c>
      <c r="B2271" s="9"/>
      <c r="C2271" s="9"/>
      <c r="D2271" t="str">
        <f>"srh-221"</f>
        <v>srh-221</v>
      </c>
      <c r="F2271" t="s">
        <v>80</v>
      </c>
      <c r="H2271" s="12">
        <v>2.8263325863407101</v>
      </c>
      <c r="I2271" s="11">
        <v>0.443373027357295</v>
      </c>
      <c r="J2271" s="10">
        <v>0.65749594217485496</v>
      </c>
      <c r="K2271" s="29">
        <v>0.98289565623980701</v>
      </c>
    </row>
    <row r="2272" spans="1:11" x14ac:dyDescent="0.35">
      <c r="A2272" s="9" t="str">
        <f>HYPERLINK("http://www.ensembl.org/id/WBGene00000864", "WBGene00000864")</f>
        <v>WBGene00000864</v>
      </c>
      <c r="B2272" s="9" t="str">
        <f>HYPERLINK("http://www.ncbi.nlm.nih.gov/gene/186646", "186646")</f>
        <v>186646</v>
      </c>
      <c r="C2272" s="9"/>
      <c r="D2272" t="str">
        <f>"cya-2"</f>
        <v>cya-2</v>
      </c>
      <c r="E2272" t="s">
        <v>4345</v>
      </c>
      <c r="F2272" t="s">
        <v>11</v>
      </c>
      <c r="G2272" t="s">
        <v>4346</v>
      </c>
      <c r="H2272" s="12">
        <v>2.8255991326296499</v>
      </c>
      <c r="I2272" s="11">
        <v>0.655182811055116</v>
      </c>
      <c r="J2272" s="10">
        <v>0.51235005989802895</v>
      </c>
      <c r="K2272" s="29">
        <v>0.98289565623980701</v>
      </c>
    </row>
    <row r="2273" spans="1:11" x14ac:dyDescent="0.35">
      <c r="A2273" s="9" t="str">
        <f>HYPERLINK("http://www.ensembl.org/id/WBGene00017514", "WBGene00017514")</f>
        <v>WBGene00017514</v>
      </c>
      <c r="B2273" s="9" t="str">
        <f>HYPERLINK("http://www.ncbi.nlm.nih.gov/gene/184574", "184574")</f>
        <v>184574</v>
      </c>
      <c r="C2273" s="9"/>
      <c r="D2273" t="str">
        <f>"F16F9.3"</f>
        <v>F16F9.3</v>
      </c>
      <c r="F2273" t="s">
        <v>11</v>
      </c>
      <c r="G2273" t="s">
        <v>325</v>
      </c>
      <c r="H2273" s="12">
        <v>2.8252794873254801</v>
      </c>
      <c r="I2273" s="11">
        <v>1.8412957595819199</v>
      </c>
      <c r="J2273" s="10">
        <v>6.5578228808894204E-2</v>
      </c>
      <c r="K2273" s="29">
        <v>0.60658549033559295</v>
      </c>
    </row>
    <row r="2274" spans="1:11" x14ac:dyDescent="0.35">
      <c r="A2274" s="9" t="str">
        <f>HYPERLINK("http://www.ensembl.org/id/WBGene00007036", "WBGene00007036")</f>
        <v>WBGene00007036</v>
      </c>
      <c r="B2274" s="9" t="str">
        <f>HYPERLINK("http://www.ncbi.nlm.nih.gov/gene/173776", "173776")</f>
        <v>173776</v>
      </c>
      <c r="C2274" s="9" t="str">
        <f>HYPERLINK("http://www.ncbi.nlm.nih.gov/gene/6647", "6647")</f>
        <v>6647</v>
      </c>
      <c r="D2274" t="str">
        <f>"sod-5"</f>
        <v>sod-5</v>
      </c>
      <c r="E2274" t="s">
        <v>2849</v>
      </c>
      <c r="F2274" t="s">
        <v>11</v>
      </c>
      <c r="G2274" t="s">
        <v>4347</v>
      </c>
      <c r="H2274" s="12">
        <v>2.82329777803966</v>
      </c>
      <c r="I2274" s="11">
        <v>0.98135639825374299</v>
      </c>
      <c r="J2274" s="10">
        <v>0.32641701974177401</v>
      </c>
      <c r="K2274" s="29">
        <v>0.98289565623980701</v>
      </c>
    </row>
    <row r="2275" spans="1:11" x14ac:dyDescent="0.35">
      <c r="A2275" s="9" t="str">
        <f>HYPERLINK("http://www.ensembl.org/id/WBGene00019090", "WBGene00019090")</f>
        <v>WBGene00019090</v>
      </c>
      <c r="B2275" s="9" t="str">
        <f>HYPERLINK("http://www.ncbi.nlm.nih.gov/gene/178682", "178682")</f>
        <v>178682</v>
      </c>
      <c r="C2275" s="9"/>
      <c r="D2275" t="str">
        <f>"F59A7.2"</f>
        <v>F59A7.2</v>
      </c>
      <c r="F2275" t="s">
        <v>11</v>
      </c>
      <c r="G2275" t="s">
        <v>287</v>
      </c>
      <c r="H2275" s="12">
        <v>2.8209463054231798</v>
      </c>
      <c r="I2275" s="11">
        <v>4.1344683236607196</v>
      </c>
      <c r="J2275" s="10">
        <v>3.5577731833092697E-5</v>
      </c>
      <c r="K2275" s="29">
        <v>2.90480237362346E-3</v>
      </c>
    </row>
    <row r="2276" spans="1:11" x14ac:dyDescent="0.35">
      <c r="A2276" s="9" t="str">
        <f>HYPERLINK("http://www.ensembl.org/id/WBGene00021274", "WBGene00021274")</f>
        <v>WBGene00021274</v>
      </c>
      <c r="B2276" s="9" t="str">
        <f>HYPERLINK("http://www.ncbi.nlm.nih.gov/gene/189526", "189526")</f>
        <v>189526</v>
      </c>
      <c r="C2276" s="9"/>
      <c r="D2276" t="str">
        <f>"Y23H5B.3"</f>
        <v>Y23H5B.3</v>
      </c>
      <c r="F2276" t="s">
        <v>11</v>
      </c>
      <c r="H2276" s="12">
        <v>2.8200257453565198</v>
      </c>
      <c r="I2276" s="11">
        <v>2.5105722248042102</v>
      </c>
      <c r="J2276" s="10">
        <v>1.20535662159813E-2</v>
      </c>
      <c r="K2276" s="29">
        <v>0.21969228540246799</v>
      </c>
    </row>
    <row r="2277" spans="1:11" x14ac:dyDescent="0.35">
      <c r="A2277" s="9" t="str">
        <f>HYPERLINK("http://www.ensembl.org/id/WBGene00044552", "WBGene00044552")</f>
        <v>WBGene00044552</v>
      </c>
      <c r="B2277" s="9" t="str">
        <f>HYPERLINK("http://www.ncbi.nlm.nih.gov/gene/3896867", "3896867")</f>
        <v>3896867</v>
      </c>
      <c r="C2277" s="9"/>
      <c r="D2277" t="str">
        <f>"Y97E10AR.8"</f>
        <v>Y97E10AR.8</v>
      </c>
      <c r="F2277" t="s">
        <v>11</v>
      </c>
      <c r="H2277" s="12">
        <v>2.8200226561900599</v>
      </c>
      <c r="I2277" s="11">
        <v>1.08585478860642</v>
      </c>
      <c r="J2277" s="10">
        <v>0.27754324213868098</v>
      </c>
      <c r="K2277" s="29">
        <v>0.98289565623980701</v>
      </c>
    </row>
    <row r="2278" spans="1:11" x14ac:dyDescent="0.35">
      <c r="A2278" s="9" t="str">
        <f>HYPERLINK("http://www.ensembl.org/id/WBGene00021254", "WBGene00021254")</f>
        <v>WBGene00021254</v>
      </c>
      <c r="B2278" s="9" t="str">
        <f>HYPERLINK("http://www.ncbi.nlm.nih.gov/gene/175319", "175319")</f>
        <v>175319</v>
      </c>
      <c r="C2278" s="9"/>
      <c r="D2278" t="str">
        <f>"Y22D7AL.16"</f>
        <v>Y22D7AL.16</v>
      </c>
      <c r="F2278" t="s">
        <v>11</v>
      </c>
      <c r="H2278" s="12">
        <v>2.8184884849488299</v>
      </c>
      <c r="I2278" s="11">
        <v>1.80303825601616</v>
      </c>
      <c r="J2278" s="10">
        <v>7.1382206805907802E-2</v>
      </c>
      <c r="K2278" s="29">
        <v>0.62854341044999495</v>
      </c>
    </row>
    <row r="2279" spans="1:11" x14ac:dyDescent="0.35">
      <c r="A2279" s="9" t="str">
        <f>HYPERLINK("http://www.ensembl.org/id/WBGene00001392", "WBGene00001392")</f>
        <v>WBGene00001392</v>
      </c>
      <c r="B2279" s="9" t="str">
        <f>HYPERLINK("http://www.ncbi.nlm.nih.gov/gene/186902", "186902")</f>
        <v>186902</v>
      </c>
      <c r="C2279" s="9"/>
      <c r="D2279" t="str">
        <f>"far-8"</f>
        <v>far-8</v>
      </c>
      <c r="E2279" t="s">
        <v>128</v>
      </c>
      <c r="F2279" t="s">
        <v>11</v>
      </c>
      <c r="G2279" t="s">
        <v>129</v>
      </c>
      <c r="H2279" s="12">
        <v>2.81663829292079</v>
      </c>
      <c r="I2279" s="11">
        <v>5.1741528401223498</v>
      </c>
      <c r="J2279" s="10">
        <v>2.28947360642955E-7</v>
      </c>
      <c r="K2279" s="29">
        <v>4.8982015879778801E-5</v>
      </c>
    </row>
    <row r="2280" spans="1:11" x14ac:dyDescent="0.35">
      <c r="A2280" s="9" t="str">
        <f>HYPERLINK("http://www.ensembl.org/id/WBGene00016177", "WBGene00016177")</f>
        <v>WBGene00016177</v>
      </c>
      <c r="B2280" s="9" t="str">
        <f>HYPERLINK("http://www.ncbi.nlm.nih.gov/gene/182976", "182976")</f>
        <v>182976</v>
      </c>
      <c r="C2280" s="9"/>
      <c r="D2280" t="str">
        <f>"C28C12.1"</f>
        <v>C28C12.1</v>
      </c>
      <c r="F2280" t="s">
        <v>11</v>
      </c>
      <c r="G2280" t="s">
        <v>25</v>
      </c>
      <c r="H2280" s="12">
        <v>2.81431819146353</v>
      </c>
      <c r="I2280" s="11">
        <v>1.07839809678974</v>
      </c>
      <c r="J2280" s="10">
        <v>0.28085613599468001</v>
      </c>
      <c r="K2280" s="29">
        <v>0.98289565623980701</v>
      </c>
    </row>
    <row r="2281" spans="1:11" x14ac:dyDescent="0.35">
      <c r="A2281" s="9" t="str">
        <f>HYPERLINK("http://www.ensembl.org/id/WBGene00020060", "WBGene00020060")</f>
        <v>WBGene00020060</v>
      </c>
      <c r="B2281" s="9" t="str">
        <f>HYPERLINK("http://www.ncbi.nlm.nih.gov/gene/187865", "187865")</f>
        <v>187865</v>
      </c>
      <c r="C2281" s="9"/>
      <c r="D2281" t="str">
        <f>"srab-16"</f>
        <v>srab-16</v>
      </c>
      <c r="E2281" t="s">
        <v>4203</v>
      </c>
      <c r="F2281" t="s">
        <v>11</v>
      </c>
      <c r="G2281" t="s">
        <v>4342</v>
      </c>
      <c r="H2281" s="12">
        <v>2.8121384414983099</v>
      </c>
      <c r="I2281" s="11">
        <v>0.494212575014922</v>
      </c>
      <c r="J2281" s="10">
        <v>0.62115605977089905</v>
      </c>
      <c r="K2281" s="29">
        <v>0.98289565623980701</v>
      </c>
    </row>
    <row r="2282" spans="1:11" x14ac:dyDescent="0.35">
      <c r="A2282" s="9" t="str">
        <f>HYPERLINK("http://www.ensembl.org/id/WBGene00018134", "WBGene00018134")</f>
        <v>WBGene00018134</v>
      </c>
      <c r="B2282" s="9" t="str">
        <f>HYPERLINK("http://www.ncbi.nlm.nih.gov/gene/175945", "175945")</f>
        <v>175945</v>
      </c>
      <c r="C2282" s="9"/>
      <c r="D2282" t="str">
        <f>"F37A4.4"</f>
        <v>F37A4.4</v>
      </c>
      <c r="E2282" t="s">
        <v>2353</v>
      </c>
      <c r="F2282" t="s">
        <v>11</v>
      </c>
      <c r="G2282" t="s">
        <v>54</v>
      </c>
      <c r="H2282" s="12">
        <v>2.8095849359697098</v>
      </c>
      <c r="I2282" s="11">
        <v>1.7095547211083399</v>
      </c>
      <c r="J2282" s="10">
        <v>8.7348244602206401E-2</v>
      </c>
      <c r="K2282" s="29">
        <v>0.69064774952796104</v>
      </c>
    </row>
    <row r="2283" spans="1:11" x14ac:dyDescent="0.35">
      <c r="A2283" s="9" t="str">
        <f>HYPERLINK("http://www.ensembl.org/id/WBGene00015028", "WBGene00015028")</f>
        <v>WBGene00015028</v>
      </c>
      <c r="B2283" s="9" t="str">
        <f>HYPERLINK("http://www.ncbi.nlm.nih.gov/gene/172266", "172266")</f>
        <v>172266</v>
      </c>
      <c r="C2283" s="9"/>
      <c r="D2283" t="str">
        <f>"B0207.5"</f>
        <v>B0207.5</v>
      </c>
      <c r="F2283" t="s">
        <v>11</v>
      </c>
      <c r="H2283" s="12">
        <v>2.8088246853396002</v>
      </c>
      <c r="I2283" s="11">
        <v>1.6440742612614001</v>
      </c>
      <c r="J2283" s="10">
        <v>0.100160863829844</v>
      </c>
      <c r="K2283" s="29">
        <v>0.73168413520467201</v>
      </c>
    </row>
    <row r="2284" spans="1:11" x14ac:dyDescent="0.35">
      <c r="A2284" s="9" t="str">
        <f>HYPERLINK("http://www.ensembl.org/id/WBGene00011699", "WBGene00011699")</f>
        <v>WBGene00011699</v>
      </c>
      <c r="B2284" s="9" t="str">
        <f>HYPERLINK("http://www.ncbi.nlm.nih.gov/gene/188400", "188400")</f>
        <v>188400</v>
      </c>
      <c r="C2284" s="9"/>
      <c r="D2284" t="str">
        <f>"cyp-34A2"</f>
        <v>cyp-34A2</v>
      </c>
      <c r="E2284" t="s">
        <v>176</v>
      </c>
      <c r="F2284" t="s">
        <v>11</v>
      </c>
      <c r="G2284" t="s">
        <v>438</v>
      </c>
      <c r="H2284" s="12">
        <v>2.8082123897722902</v>
      </c>
      <c r="I2284" s="11">
        <v>2.19537309256437</v>
      </c>
      <c r="J2284" s="10">
        <v>2.8136845634551901E-2</v>
      </c>
      <c r="K2284" s="29">
        <v>0.374930770029963</v>
      </c>
    </row>
    <row r="2285" spans="1:11" x14ac:dyDescent="0.35">
      <c r="A2285" s="9" t="str">
        <f>HYPERLINK("http://www.ensembl.org/id/WBGene00043066", "WBGene00043066")</f>
        <v>WBGene00043066</v>
      </c>
      <c r="B2285" s="9" t="str">
        <f>HYPERLINK("http://www.ncbi.nlm.nih.gov/gene/3565563", "3565563")</f>
        <v>3565563</v>
      </c>
      <c r="C2285" s="9" t="str">
        <f>HYPERLINK("http://www.ncbi.nlm.nih.gov/gene/1139", "1139")</f>
        <v>1139</v>
      </c>
      <c r="D2285" t="str">
        <f>"acr-25"</f>
        <v>acr-25</v>
      </c>
      <c r="E2285" t="s">
        <v>1742</v>
      </c>
      <c r="F2285" t="s">
        <v>11</v>
      </c>
      <c r="G2285" t="s">
        <v>1743</v>
      </c>
      <c r="H2285" s="12">
        <v>2.8060216921263699</v>
      </c>
      <c r="I2285" s="11">
        <v>1.36877125144984</v>
      </c>
      <c r="J2285" s="10">
        <v>0.17107078997200401</v>
      </c>
      <c r="K2285" s="29">
        <v>0.89585721293351495</v>
      </c>
    </row>
    <row r="2286" spans="1:11" x14ac:dyDescent="0.35">
      <c r="A2286" s="9" t="str">
        <f>HYPERLINK("http://www.ensembl.org/id/WBGene00016242", "WBGene00016242")</f>
        <v>WBGene00016242</v>
      </c>
      <c r="B2286" s="9" t="str">
        <f>HYPERLINK("http://www.ncbi.nlm.nih.gov/gene/3565865", "3565865")</f>
        <v>3565865</v>
      </c>
      <c r="C2286" s="9"/>
      <c r="D2286" t="str">
        <f>"C30A5.10"</f>
        <v>C30A5.10</v>
      </c>
      <c r="F2286" t="s">
        <v>11</v>
      </c>
      <c r="G2286" t="s">
        <v>4348</v>
      </c>
      <c r="H2286" s="12">
        <v>2.8050989731157898</v>
      </c>
      <c r="I2286" s="11">
        <v>1.02458829396139</v>
      </c>
      <c r="J2286" s="10">
        <v>0.30555749026318302</v>
      </c>
      <c r="K2286" s="29">
        <v>0.98289565623980701</v>
      </c>
    </row>
    <row r="2287" spans="1:11" x14ac:dyDescent="0.35">
      <c r="A2287" s="9" t="str">
        <f>HYPERLINK("http://www.ensembl.org/id/WBGene00003755", "WBGene00003755")</f>
        <v>WBGene00003755</v>
      </c>
      <c r="B2287" s="9" t="str">
        <f>HYPERLINK("http://www.ncbi.nlm.nih.gov/gene/178319", "178319")</f>
        <v>178319</v>
      </c>
      <c r="C2287" s="9"/>
      <c r="D2287" t="str">
        <f>"nlp-17"</f>
        <v>nlp-17</v>
      </c>
      <c r="E2287" t="s">
        <v>76</v>
      </c>
      <c r="F2287" t="s">
        <v>11</v>
      </c>
      <c r="G2287" t="s">
        <v>77</v>
      </c>
      <c r="H2287" s="12">
        <v>2.8046494043942598</v>
      </c>
      <c r="I2287" s="11">
        <v>5.3522148314179496</v>
      </c>
      <c r="J2287" s="10">
        <v>8.6884159963800601E-8</v>
      </c>
      <c r="K2287" s="29">
        <v>2.1356865958761499E-5</v>
      </c>
    </row>
    <row r="2288" spans="1:11" x14ac:dyDescent="0.35">
      <c r="A2288" s="9" t="str">
        <f>HYPERLINK("http://www.ensembl.org/id/WBGene00010673", "WBGene00010673")</f>
        <v>WBGene00010673</v>
      </c>
      <c r="B2288" s="9" t="str">
        <f>HYPERLINK("http://www.ncbi.nlm.nih.gov/gene/178211", "178211")</f>
        <v>178211</v>
      </c>
      <c r="C2288" s="9"/>
      <c r="D2288" t="str">
        <f>"K08E7.5"</f>
        <v>K08E7.5</v>
      </c>
      <c r="F2288" t="s">
        <v>11</v>
      </c>
      <c r="G2288" t="s">
        <v>54</v>
      </c>
      <c r="H2288" s="12">
        <v>2.80417531110505</v>
      </c>
      <c r="I2288" s="11">
        <v>0.85481659564819901</v>
      </c>
      <c r="J2288" s="10">
        <v>0.39265268927490399</v>
      </c>
      <c r="K2288" s="29">
        <v>0.98289565623980701</v>
      </c>
    </row>
    <row r="2289" spans="1:11" x14ac:dyDescent="0.35">
      <c r="A2289" s="9" t="str">
        <f>HYPERLINK("http://www.ensembl.org/id/WBGene00021878", "WBGene00021878")</f>
        <v>WBGene00021878</v>
      </c>
      <c r="B2289" s="9" t="str">
        <f>HYPERLINK("http://www.ncbi.nlm.nih.gov/gene/190279", "190279")</f>
        <v>190279</v>
      </c>
      <c r="C2289" s="9"/>
      <c r="D2289" t="str">
        <f>"Y54G2A.13"</f>
        <v>Y54G2A.13</v>
      </c>
      <c r="F2289" t="s">
        <v>11</v>
      </c>
      <c r="G2289" t="s">
        <v>25</v>
      </c>
      <c r="H2289" s="12">
        <v>2.8024587668003802</v>
      </c>
      <c r="I2289" s="11">
        <v>1.0296818746816701</v>
      </c>
      <c r="J2289" s="10">
        <v>0.30315936682507699</v>
      </c>
      <c r="K2289" s="29">
        <v>0.98289565623980701</v>
      </c>
    </row>
    <row r="2290" spans="1:11" x14ac:dyDescent="0.35">
      <c r="A2290" s="9" t="str">
        <f>HYPERLINK("http://www.ensembl.org/id/WBGene00021980", "WBGene00021980")</f>
        <v>WBGene00021980</v>
      </c>
      <c r="B2290" s="9" t="str">
        <f>HYPERLINK("http://www.ncbi.nlm.nih.gov/gene/190384", "190384")</f>
        <v>190384</v>
      </c>
      <c r="C2290" s="9"/>
      <c r="D2290" t="str">
        <f>"glb-32"</f>
        <v>glb-32</v>
      </c>
      <c r="E2290" t="s">
        <v>633</v>
      </c>
      <c r="F2290" t="s">
        <v>11</v>
      </c>
      <c r="G2290" t="s">
        <v>634</v>
      </c>
      <c r="H2290" s="12">
        <v>2.8012328253306298</v>
      </c>
      <c r="I2290" s="11">
        <v>3.0694377548949299</v>
      </c>
      <c r="J2290" s="10">
        <v>2.1446209075200199E-3</v>
      </c>
      <c r="K2290" s="29">
        <v>6.8255662106277704E-2</v>
      </c>
    </row>
    <row r="2291" spans="1:11" x14ac:dyDescent="0.35">
      <c r="A2291" s="9" t="str">
        <f>HYPERLINK("http://www.ensembl.org/id/WBGene00022615", "WBGene00022615")</f>
        <v>WBGene00022615</v>
      </c>
      <c r="B2291" s="9" t="str">
        <f>HYPERLINK("http://www.ncbi.nlm.nih.gov/gene/180776", "180776")</f>
        <v>180776</v>
      </c>
      <c r="C2291" s="9"/>
      <c r="D2291" t="str">
        <f>"ZC449.5"</f>
        <v>ZC449.5</v>
      </c>
      <c r="F2291" t="s">
        <v>11</v>
      </c>
      <c r="G2291" t="s">
        <v>25</v>
      </c>
      <c r="H2291" s="12">
        <v>2.7991413429679901</v>
      </c>
      <c r="I2291" s="11">
        <v>4.24134314858322</v>
      </c>
      <c r="J2291" s="10">
        <v>2.22186137178648E-5</v>
      </c>
      <c r="K2291" s="29">
        <v>1.9711431655715598E-3</v>
      </c>
    </row>
    <row r="2292" spans="1:11" x14ac:dyDescent="0.35">
      <c r="A2292" s="9" t="str">
        <f>HYPERLINK("http://www.ensembl.org/id/WBGene00016039", "WBGene00016039")</f>
        <v>WBGene00016039</v>
      </c>
      <c r="B2292" s="9" t="str">
        <f>HYPERLINK("http://www.ncbi.nlm.nih.gov/gene/182831", "182831")</f>
        <v>182831</v>
      </c>
      <c r="C2292" s="9"/>
      <c r="D2292" t="str">
        <f>"C24A8.5"</f>
        <v>C24A8.5</v>
      </c>
      <c r="F2292" t="s">
        <v>11</v>
      </c>
      <c r="H2292" s="12">
        <v>2.7957203497018099</v>
      </c>
      <c r="I2292" s="11">
        <v>1.4732478539902301</v>
      </c>
      <c r="J2292" s="10">
        <v>0.140684215846718</v>
      </c>
      <c r="K2292" s="29">
        <v>0.83300336047129897</v>
      </c>
    </row>
    <row r="2293" spans="1:11" x14ac:dyDescent="0.35">
      <c r="A2293" s="9" t="str">
        <f>HYPERLINK("http://www.ensembl.org/id/WBGene00016425", "WBGene00016425")</f>
        <v>WBGene00016425</v>
      </c>
      <c r="B2293" s="9" t="str">
        <f>HYPERLINK("http://www.ncbi.nlm.nih.gov/gene/183220", "183220")</f>
        <v>183220</v>
      </c>
      <c r="C2293" s="9"/>
      <c r="D2293" t="str">
        <f>"C34H4.2"</f>
        <v>C34H4.2</v>
      </c>
      <c r="F2293" t="s">
        <v>11</v>
      </c>
      <c r="H2293" s="12">
        <v>2.7937286213119101</v>
      </c>
      <c r="I2293" s="11">
        <v>3.3493627034545299</v>
      </c>
      <c r="J2293" s="10">
        <v>8.0997687795790799E-4</v>
      </c>
      <c r="K2293" s="29">
        <v>3.2949517151576499E-2</v>
      </c>
    </row>
    <row r="2294" spans="1:11" x14ac:dyDescent="0.35">
      <c r="A2294" s="9" t="str">
        <f>HYPERLINK("http://www.ensembl.org/id/WBGene00001992", "WBGene00001992")</f>
        <v>WBGene00001992</v>
      </c>
      <c r="B2294" s="9" t="str">
        <f>HYPERLINK("http://www.ncbi.nlm.nih.gov/gene/191682", "191682")</f>
        <v>191682</v>
      </c>
      <c r="C2294" s="9"/>
      <c r="D2294" t="str">
        <f>"hot-7"</f>
        <v>hot-7</v>
      </c>
      <c r="E2294" t="s">
        <v>987</v>
      </c>
      <c r="F2294" t="s">
        <v>11</v>
      </c>
      <c r="H2294" s="12">
        <v>2.79328489089841</v>
      </c>
      <c r="I2294" s="11">
        <v>2.5878969797618998</v>
      </c>
      <c r="J2294" s="10">
        <v>9.6563855801925103E-3</v>
      </c>
      <c r="K2294" s="29">
        <v>0.191681987927937</v>
      </c>
    </row>
    <row r="2295" spans="1:11" x14ac:dyDescent="0.35">
      <c r="A2295" s="9" t="str">
        <f>HYPERLINK("http://www.ensembl.org/id/WBGene00002015", "WBGene00002015")</f>
        <v>WBGene00002015</v>
      </c>
      <c r="B2295" s="9" t="str">
        <f>HYPERLINK("http://www.ncbi.nlm.nih.gov/gene/179286", "179286")</f>
        <v>179286</v>
      </c>
      <c r="C2295" s="9"/>
      <c r="D2295" t="str">
        <f>"hsp-16.1"</f>
        <v>hsp-16.1</v>
      </c>
      <c r="E2295" t="s">
        <v>4349</v>
      </c>
      <c r="F2295" t="s">
        <v>11</v>
      </c>
      <c r="H2295" s="12">
        <v>2.79303973153662</v>
      </c>
      <c r="I2295" s="11">
        <v>0.55760302714815302</v>
      </c>
      <c r="J2295" s="10">
        <v>0.57711548891914799</v>
      </c>
      <c r="K2295" s="29">
        <v>0.98289565623980701</v>
      </c>
    </row>
    <row r="2296" spans="1:11" x14ac:dyDescent="0.35">
      <c r="A2296" s="9" t="str">
        <f>HYPERLINK("http://www.ensembl.org/id/WBGene00022809", "WBGene00022809")</f>
        <v>WBGene00022809</v>
      </c>
      <c r="B2296" s="9" t="str">
        <f>HYPERLINK("http://www.ncbi.nlm.nih.gov/gene/3565013", "3565013")</f>
        <v>3565013</v>
      </c>
      <c r="C2296" s="9"/>
      <c r="D2296" t="str">
        <f>"ZK697.14"</f>
        <v>ZK697.14</v>
      </c>
      <c r="F2296" t="s">
        <v>11</v>
      </c>
      <c r="G2296" t="s">
        <v>489</v>
      </c>
      <c r="H2296" s="12">
        <v>2.7921344297660502</v>
      </c>
      <c r="I2296" s="11">
        <v>0.517470421844615</v>
      </c>
      <c r="J2296" s="10">
        <v>0.60482781137498998</v>
      </c>
      <c r="K2296" s="29">
        <v>0.98289565623980701</v>
      </c>
    </row>
    <row r="2297" spans="1:11" x14ac:dyDescent="0.35">
      <c r="A2297" s="9" t="str">
        <f>HYPERLINK("http://www.ensembl.org/id/WBGene00011405", "WBGene00011405")</f>
        <v>WBGene00011405</v>
      </c>
      <c r="B2297" s="9"/>
      <c r="C2297" s="9"/>
      <c r="D2297" t="str">
        <f>"clec-155"</f>
        <v>clec-155</v>
      </c>
      <c r="F2297" t="s">
        <v>80</v>
      </c>
      <c r="H2297" s="12">
        <v>2.7902752670922402</v>
      </c>
      <c r="I2297" s="11">
        <v>1.0182997775196301</v>
      </c>
      <c r="J2297" s="10">
        <v>0.30853551411265301</v>
      </c>
      <c r="K2297" s="29">
        <v>0.98289565623980701</v>
      </c>
    </row>
    <row r="2298" spans="1:11" x14ac:dyDescent="0.35">
      <c r="A2298" s="9" t="str">
        <f>HYPERLINK("http://www.ensembl.org/id/WBGene00016826", "WBGene00016826")</f>
        <v>WBGene00016826</v>
      </c>
      <c r="B2298" s="9" t="str">
        <f>HYPERLINK("http://www.ncbi.nlm.nih.gov/gene/183664", "183664")</f>
        <v>183664</v>
      </c>
      <c r="C2298" s="9"/>
      <c r="D2298" t="str">
        <f>"C50E10.2"</f>
        <v>C50E10.2</v>
      </c>
      <c r="F2298" t="s">
        <v>11</v>
      </c>
      <c r="H2298" s="12">
        <v>2.7900019182595401</v>
      </c>
      <c r="I2298" s="11">
        <v>0.45158847159461601</v>
      </c>
      <c r="J2298" s="10">
        <v>0.65156547664535802</v>
      </c>
      <c r="K2298" s="29">
        <v>0.98289565623980701</v>
      </c>
    </row>
    <row r="2299" spans="1:11" x14ac:dyDescent="0.35">
      <c r="A2299" s="9" t="str">
        <f>HYPERLINK("http://www.ensembl.org/id/WBGene00005085", "WBGene00005085")</f>
        <v>WBGene00005085</v>
      </c>
      <c r="B2299" s="9" t="str">
        <f>HYPERLINK("http://www.ncbi.nlm.nih.gov/gene/191797", "191797")</f>
        <v>191797</v>
      </c>
      <c r="C2299" s="9"/>
      <c r="D2299" t="str">
        <f>"srd-7"</f>
        <v>srd-7</v>
      </c>
      <c r="E2299" t="s">
        <v>4350</v>
      </c>
      <c r="F2299" t="s">
        <v>11</v>
      </c>
      <c r="G2299" t="s">
        <v>25</v>
      </c>
      <c r="H2299" s="12">
        <v>2.7895492586175901</v>
      </c>
      <c r="I2299" s="11">
        <v>0.84962765055405998</v>
      </c>
      <c r="J2299" s="10">
        <v>0.39553213404054</v>
      </c>
      <c r="K2299" s="29">
        <v>0.98289565623980701</v>
      </c>
    </row>
    <row r="2300" spans="1:11" x14ac:dyDescent="0.35">
      <c r="A2300" s="9" t="str">
        <f>HYPERLINK("http://www.ensembl.org/id/WBGene00219698", "WBGene00219698")</f>
        <v>WBGene00219698</v>
      </c>
      <c r="B2300" s="9"/>
      <c r="C2300" s="9"/>
      <c r="D2300" t="str">
        <f>"linc-92"</f>
        <v>linc-92</v>
      </c>
      <c r="F2300" t="s">
        <v>1510</v>
      </c>
      <c r="H2300" s="12">
        <v>2.7889187303171101</v>
      </c>
      <c r="I2300" s="11">
        <v>0.78243540928030597</v>
      </c>
      <c r="J2300" s="10">
        <v>0.43395873088137799</v>
      </c>
      <c r="K2300" s="29">
        <v>0.98289565623980701</v>
      </c>
    </row>
    <row r="2301" spans="1:11" x14ac:dyDescent="0.35">
      <c r="A2301" s="9" t="str">
        <f>HYPERLINK("http://www.ensembl.org/id/WBGene00010057", "WBGene00010057")</f>
        <v>WBGene00010057</v>
      </c>
      <c r="B2301" s="9" t="str">
        <f>HYPERLINK("http://www.ncbi.nlm.nih.gov/gene/174770", "174770")</f>
        <v>174770</v>
      </c>
      <c r="C2301" s="9"/>
      <c r="D2301" t="str">
        <f>"F54D5.15"</f>
        <v>F54D5.15</v>
      </c>
      <c r="F2301" t="s">
        <v>11</v>
      </c>
      <c r="H2301" s="12">
        <v>2.788278361828</v>
      </c>
      <c r="I2301" s="11">
        <v>3.8716598327643301</v>
      </c>
      <c r="J2301" s="10">
        <v>1.08096739204151E-4</v>
      </c>
      <c r="K2301" s="29">
        <v>7.0159642023907799E-3</v>
      </c>
    </row>
    <row r="2302" spans="1:11" x14ac:dyDescent="0.35">
      <c r="A2302" s="9" t="str">
        <f>HYPERLINK("http://www.ensembl.org/id/WBGene00012271", "WBGene00012271")</f>
        <v>WBGene00012271</v>
      </c>
      <c r="B2302" s="9" t="str">
        <f>HYPERLINK("http://www.ncbi.nlm.nih.gov/gene/189208", "189208")</f>
        <v>189208</v>
      </c>
      <c r="C2302" s="9"/>
      <c r="D2302" t="str">
        <f>"W05B2.2"</f>
        <v>W05B2.2</v>
      </c>
      <c r="F2302" t="s">
        <v>11</v>
      </c>
      <c r="G2302" t="s">
        <v>50</v>
      </c>
      <c r="H2302" s="12">
        <v>2.7865356372125301</v>
      </c>
      <c r="I2302" s="11">
        <v>1.7231016409142299</v>
      </c>
      <c r="J2302" s="10">
        <v>8.4870146146775696E-2</v>
      </c>
      <c r="K2302" s="29">
        <v>0.68511559135315303</v>
      </c>
    </row>
    <row r="2303" spans="1:11" x14ac:dyDescent="0.35">
      <c r="A2303" s="9" t="str">
        <f>HYPERLINK("http://www.ensembl.org/id/WBGene00005999", "WBGene00005999")</f>
        <v>WBGene00005999</v>
      </c>
      <c r="B2303" s="9" t="str">
        <f>HYPERLINK("http://www.ncbi.nlm.nih.gov/gene/185579", "185579")</f>
        <v>185579</v>
      </c>
      <c r="C2303" s="9"/>
      <c r="D2303" t="str">
        <f>"srx-108"</f>
        <v>srx-108</v>
      </c>
      <c r="E2303" t="s">
        <v>1477</v>
      </c>
      <c r="F2303" t="s">
        <v>11</v>
      </c>
      <c r="G2303" t="s">
        <v>25</v>
      </c>
      <c r="H2303" s="12">
        <v>2.78439855825608</v>
      </c>
      <c r="I2303" s="11">
        <v>0.36883734123397499</v>
      </c>
      <c r="J2303" s="10">
        <v>0.71224896970152196</v>
      </c>
      <c r="K2303" s="29">
        <v>0.98289565623980701</v>
      </c>
    </row>
    <row r="2304" spans="1:11" x14ac:dyDescent="0.35">
      <c r="A2304" s="9" t="str">
        <f>HYPERLINK("http://www.ensembl.org/id/WBGene00006176", "WBGene00006176")</f>
        <v>WBGene00006176</v>
      </c>
      <c r="B2304" s="9" t="str">
        <f>HYPERLINK("http://www.ncbi.nlm.nih.gov/gene/188134", "188134")</f>
        <v>188134</v>
      </c>
      <c r="C2304" s="9"/>
      <c r="D2304" t="str">
        <f>"str-125"</f>
        <v>str-125</v>
      </c>
      <c r="E2304" t="s">
        <v>590</v>
      </c>
      <c r="F2304" t="s">
        <v>11</v>
      </c>
      <c r="G2304" t="s">
        <v>591</v>
      </c>
      <c r="H2304" s="12">
        <v>2.78439855825608</v>
      </c>
      <c r="I2304" s="11">
        <v>0.36883734123397499</v>
      </c>
      <c r="J2304" s="10">
        <v>0.71224896970152196</v>
      </c>
      <c r="K2304" s="29">
        <v>0.98289565623980701</v>
      </c>
    </row>
    <row r="2305" spans="1:11" x14ac:dyDescent="0.35">
      <c r="A2305" s="9" t="str">
        <f>HYPERLINK("http://www.ensembl.org/id/WBGene00012799", "WBGene00012799")</f>
        <v>WBGene00012799</v>
      </c>
      <c r="B2305" s="9" t="str">
        <f>HYPERLINK("http://www.ncbi.nlm.nih.gov/gene/189861", "189861")</f>
        <v>189861</v>
      </c>
      <c r="C2305" s="9"/>
      <c r="D2305" t="str">
        <f>"Y43F4A.4"</f>
        <v>Y43F4A.4</v>
      </c>
      <c r="E2305" t="s">
        <v>4351</v>
      </c>
      <c r="F2305" t="s">
        <v>11</v>
      </c>
      <c r="G2305" t="s">
        <v>4352</v>
      </c>
      <c r="H2305" s="12">
        <v>2.78439855825608</v>
      </c>
      <c r="I2305" s="11">
        <v>0.36883734123397499</v>
      </c>
      <c r="J2305" s="10">
        <v>0.71224896970152196</v>
      </c>
      <c r="K2305" s="29">
        <v>0.98289565623980701</v>
      </c>
    </row>
    <row r="2306" spans="1:11" x14ac:dyDescent="0.35">
      <c r="A2306" s="9" t="str">
        <f>HYPERLINK("http://www.ensembl.org/id/WBGene00021172", "WBGene00021172")</f>
        <v>WBGene00021172</v>
      </c>
      <c r="B2306" s="9" t="str">
        <f>HYPERLINK("http://www.ncbi.nlm.nih.gov/gene/189400", "189400")</f>
        <v>189400</v>
      </c>
      <c r="C2306" s="9"/>
      <c r="D2306" t="str">
        <f>"Y8A9A.3"</f>
        <v>Y8A9A.3</v>
      </c>
      <c r="F2306" t="s">
        <v>11</v>
      </c>
      <c r="H2306" s="12">
        <v>2.78439855825608</v>
      </c>
      <c r="I2306" s="11">
        <v>0.36883734123397499</v>
      </c>
      <c r="J2306" s="10">
        <v>0.71224896970152196</v>
      </c>
      <c r="K2306" s="29">
        <v>0.98289565623980701</v>
      </c>
    </row>
    <row r="2307" spans="1:11" x14ac:dyDescent="0.35">
      <c r="A2307" s="9" t="str">
        <f>HYPERLINK("http://www.ensembl.org/id/WBGene00022790", "WBGene00022790")</f>
        <v>WBGene00022790</v>
      </c>
      <c r="B2307" s="9" t="str">
        <f>HYPERLINK("http://www.ncbi.nlm.nih.gov/gene/191403", "191403")</f>
        <v>191403</v>
      </c>
      <c r="C2307" s="9"/>
      <c r="D2307" t="str">
        <f>"ZK682.7"</f>
        <v>ZK682.7</v>
      </c>
      <c r="F2307" t="s">
        <v>11</v>
      </c>
      <c r="H2307" s="12">
        <v>2.7839741831278499</v>
      </c>
      <c r="I2307" s="11">
        <v>1.43392554812685</v>
      </c>
      <c r="J2307" s="10">
        <v>0.151593510301477</v>
      </c>
      <c r="K2307" s="29">
        <v>0.85767400434691698</v>
      </c>
    </row>
    <row r="2308" spans="1:11" x14ac:dyDescent="0.35">
      <c r="A2308" s="9" t="str">
        <f>HYPERLINK("http://www.ensembl.org/id/WBGene00303371", "WBGene00303371")</f>
        <v>WBGene00303371</v>
      </c>
      <c r="B2308" s="9"/>
      <c r="C2308" s="9"/>
      <c r="D2308" t="str">
        <f>"F59F4.6"</f>
        <v>F59F4.6</v>
      </c>
      <c r="F2308" t="s">
        <v>481</v>
      </c>
      <c r="H2308" s="12">
        <v>2.7838073963449501</v>
      </c>
      <c r="I2308" s="11">
        <v>0.37163527669250002</v>
      </c>
      <c r="J2308" s="10">
        <v>0.71016442031020999</v>
      </c>
      <c r="K2308" s="29">
        <v>0.98289565623980701</v>
      </c>
    </row>
    <row r="2309" spans="1:11" x14ac:dyDescent="0.35">
      <c r="A2309" s="9" t="str">
        <f>HYPERLINK("http://www.ensembl.org/id/WBGene00012614", "WBGene00012614")</f>
        <v>WBGene00012614</v>
      </c>
      <c r="B2309" s="9" t="str">
        <f>HYPERLINK("http://www.ncbi.nlm.nih.gov/gene/180333", "180333")</f>
        <v>180333</v>
      </c>
      <c r="C2309" s="9"/>
      <c r="D2309" t="str">
        <f>"Y38H6A.3"</f>
        <v>Y38H6A.3</v>
      </c>
      <c r="F2309" t="s">
        <v>11</v>
      </c>
      <c r="H2309" s="12">
        <v>2.7838073963449501</v>
      </c>
      <c r="I2309" s="11">
        <v>0.37163527669250002</v>
      </c>
      <c r="J2309" s="10">
        <v>0.71016442031020999</v>
      </c>
      <c r="K2309" s="29">
        <v>0.98289565623980701</v>
      </c>
    </row>
    <row r="2310" spans="1:11" x14ac:dyDescent="0.35">
      <c r="A2310" s="9" t="str">
        <f>HYPERLINK("http://www.ensembl.org/id/WBGene00006625", "WBGene00006625")</f>
        <v>WBGene00006625</v>
      </c>
      <c r="B2310" s="9" t="str">
        <f>HYPERLINK("http://www.ncbi.nlm.nih.gov/gene/191201", "191201")</f>
        <v>191201</v>
      </c>
      <c r="C2310" s="9"/>
      <c r="D2310" t="str">
        <f>"try-7"</f>
        <v>try-7</v>
      </c>
      <c r="E2310" t="s">
        <v>357</v>
      </c>
      <c r="F2310" t="s">
        <v>11</v>
      </c>
      <c r="G2310" t="s">
        <v>1646</v>
      </c>
      <c r="H2310" s="12">
        <v>2.7836307030600298</v>
      </c>
      <c r="I2310" s="11">
        <v>0.58779359661386099</v>
      </c>
      <c r="J2310" s="10">
        <v>0.55667084261557098</v>
      </c>
      <c r="K2310" s="29">
        <v>0.98289565623980701</v>
      </c>
    </row>
    <row r="2311" spans="1:11" x14ac:dyDescent="0.35">
      <c r="A2311" s="9" t="str">
        <f>HYPERLINK("http://www.ensembl.org/id/WBGene00023314", "WBGene00023314")</f>
        <v>WBGene00023314</v>
      </c>
      <c r="B2311" s="9"/>
      <c r="C2311" s="9"/>
      <c r="D2311" t="str">
        <f>"H31G24.2"</f>
        <v>H31G24.2</v>
      </c>
      <c r="F2311" t="s">
        <v>80</v>
      </c>
      <c r="H2311" s="12">
        <v>2.7830261720491301</v>
      </c>
      <c r="I2311" s="11">
        <v>0.527063588362779</v>
      </c>
      <c r="J2311" s="10">
        <v>0.598149431193014</v>
      </c>
      <c r="K2311" s="29">
        <v>0.98289565623980701</v>
      </c>
    </row>
    <row r="2312" spans="1:11" x14ac:dyDescent="0.35">
      <c r="A2312" s="9" t="str">
        <f>HYPERLINK("http://www.ensembl.org/id/WBGene00271777", "WBGene00271777")</f>
        <v>WBGene00271777</v>
      </c>
      <c r="B2312" s="9" t="str">
        <f>HYPERLINK("http://www.ncbi.nlm.nih.gov/gene/34700654", "34700654")</f>
        <v>34700654</v>
      </c>
      <c r="C2312" s="9"/>
      <c r="D2312" t="str">
        <f>"Y48G8AR.8"</f>
        <v>Y48G8AR.8</v>
      </c>
      <c r="F2312" t="s">
        <v>11</v>
      </c>
      <c r="H2312" s="12">
        <v>2.7830261720491301</v>
      </c>
      <c r="I2312" s="11">
        <v>0.527063588362779</v>
      </c>
      <c r="J2312" s="10">
        <v>0.598149431193014</v>
      </c>
      <c r="K2312" s="29">
        <v>0.98289565623980701</v>
      </c>
    </row>
    <row r="2313" spans="1:11" x14ac:dyDescent="0.35">
      <c r="A2313" s="9" t="str">
        <f>HYPERLINK("http://www.ensembl.org/id/WBGene00010220", "WBGene00010220")</f>
        <v>WBGene00010220</v>
      </c>
      <c r="B2313" s="9" t="str">
        <f>HYPERLINK("http://www.ncbi.nlm.nih.gov/gene/186477", "186477")</f>
        <v>186477</v>
      </c>
      <c r="C2313" s="9"/>
      <c r="D2313" t="str">
        <f>"sre-29"</f>
        <v>sre-29</v>
      </c>
      <c r="E2313" t="s">
        <v>4353</v>
      </c>
      <c r="F2313" t="s">
        <v>11</v>
      </c>
      <c r="G2313" t="s">
        <v>2639</v>
      </c>
      <c r="H2313" s="12">
        <v>2.7807236810766698</v>
      </c>
      <c r="I2313" s="11">
        <v>0.53327000627807997</v>
      </c>
      <c r="J2313" s="10">
        <v>0.59384668709586097</v>
      </c>
      <c r="K2313" s="29">
        <v>0.98289565623980701</v>
      </c>
    </row>
    <row r="2314" spans="1:11" x14ac:dyDescent="0.35">
      <c r="A2314" s="9" t="str">
        <f>HYPERLINK("http://www.ensembl.org/id/WBGene00011617", "WBGene00011617")</f>
        <v>WBGene00011617</v>
      </c>
      <c r="B2314" s="9"/>
      <c r="C2314" s="9"/>
      <c r="D2314" t="str">
        <f>"T08G3.4"</f>
        <v>T08G3.4</v>
      </c>
      <c r="F2314" t="s">
        <v>80</v>
      </c>
      <c r="H2314" s="12">
        <v>2.77887804386528</v>
      </c>
      <c r="I2314" s="11">
        <v>0.50170976103798604</v>
      </c>
      <c r="J2314" s="10">
        <v>0.61587169732774805</v>
      </c>
      <c r="K2314" s="29">
        <v>0.98289565623980701</v>
      </c>
    </row>
    <row r="2315" spans="1:11" x14ac:dyDescent="0.35">
      <c r="A2315" s="9" t="str">
        <f>HYPERLINK("http://www.ensembl.org/id/WBGene00013187", "WBGene00013187")</f>
        <v>WBGene00013187</v>
      </c>
      <c r="B2315" s="9" t="str">
        <f>HYPERLINK("http://www.ncbi.nlm.nih.gov/gene/175131", "175131")</f>
        <v>175131</v>
      </c>
      <c r="C2315" s="9" t="str">
        <f>HYPERLINK("http://www.ncbi.nlm.nih.gov/gene/2587", "2587")</f>
        <v>2587</v>
      </c>
      <c r="D2315" t="str">
        <f>"npr-34"</f>
        <v>npr-34</v>
      </c>
      <c r="E2315" t="s">
        <v>1021</v>
      </c>
      <c r="F2315" t="s">
        <v>11</v>
      </c>
      <c r="G2315" t="s">
        <v>1259</v>
      </c>
      <c r="H2315" s="12">
        <v>2.7774238040651502</v>
      </c>
      <c r="I2315" s="11">
        <v>2.3580119221320501</v>
      </c>
      <c r="J2315" s="10">
        <v>1.8373102874206199E-2</v>
      </c>
      <c r="K2315" s="29">
        <v>0.28416865341252601</v>
      </c>
    </row>
    <row r="2316" spans="1:11" x14ac:dyDescent="0.35">
      <c r="A2316" s="9" t="str">
        <f>HYPERLINK("http://www.ensembl.org/id/WBGene00045481", "WBGene00045481")</f>
        <v>WBGene00045481</v>
      </c>
      <c r="B2316" s="9" t="str">
        <f>HYPERLINK("http://www.ncbi.nlm.nih.gov/gene/6418862", "6418862")</f>
        <v>6418862</v>
      </c>
      <c r="C2316" s="9"/>
      <c r="D2316" t="str">
        <f>"M153.5"</f>
        <v>M153.5</v>
      </c>
      <c r="F2316" t="s">
        <v>11</v>
      </c>
      <c r="H2316" s="12">
        <v>2.7762273884023099</v>
      </c>
      <c r="I2316" s="11">
        <v>1.0658356076742901</v>
      </c>
      <c r="J2316" s="10">
        <v>0.28649796145839501</v>
      </c>
      <c r="K2316" s="29">
        <v>0.98289565623980701</v>
      </c>
    </row>
    <row r="2317" spans="1:11" x14ac:dyDescent="0.35">
      <c r="A2317" s="9" t="str">
        <f>HYPERLINK("http://www.ensembl.org/id/WBGene00016898", "WBGene00016898")</f>
        <v>WBGene00016898</v>
      </c>
      <c r="B2317" s="9" t="str">
        <f>HYPERLINK("http://www.ncbi.nlm.nih.gov/gene/181031", "181031")</f>
        <v>181031</v>
      </c>
      <c r="C2317" s="9"/>
      <c r="D2317" t="str">
        <f>"clik-2"</f>
        <v>clik-2</v>
      </c>
      <c r="E2317" t="s">
        <v>172</v>
      </c>
      <c r="F2317" t="s">
        <v>11</v>
      </c>
      <c r="H2317" s="12">
        <v>2.7735079612643601</v>
      </c>
      <c r="I2317" s="11">
        <v>4.8156876230486203</v>
      </c>
      <c r="J2317" s="10">
        <v>1.4669385441553199E-6</v>
      </c>
      <c r="K2317" s="29">
        <v>2.09228901242301E-4</v>
      </c>
    </row>
    <row r="2318" spans="1:11" x14ac:dyDescent="0.35">
      <c r="A2318" s="9" t="str">
        <f>HYPERLINK("http://www.ensembl.org/id/WBGene00003549", "WBGene00003549")</f>
        <v>WBGene00003549</v>
      </c>
      <c r="B2318" s="9" t="str">
        <f>HYPERLINK("http://www.ncbi.nlm.nih.gov/gene/186493", "186493")</f>
        <v>186493</v>
      </c>
      <c r="C2318" s="9"/>
      <c r="D2318" t="str">
        <f>"nas-31"</f>
        <v>nas-31</v>
      </c>
      <c r="E2318" t="s">
        <v>519</v>
      </c>
      <c r="F2318" t="s">
        <v>11</v>
      </c>
      <c r="G2318" t="s">
        <v>267</v>
      </c>
      <c r="H2318" s="12">
        <v>2.7727819170529902</v>
      </c>
      <c r="I2318" s="11">
        <v>3.27894926048099</v>
      </c>
      <c r="J2318" s="10">
        <v>1.04194368155791E-3</v>
      </c>
      <c r="K2318" s="29">
        <v>4.0394548164558897E-2</v>
      </c>
    </row>
    <row r="2319" spans="1:11" x14ac:dyDescent="0.35">
      <c r="A2319" s="9" t="str">
        <f>HYPERLINK("http://www.ensembl.org/id/WBGene00195004", "WBGene00195004")</f>
        <v>WBGene00195004</v>
      </c>
      <c r="B2319" s="9" t="str">
        <f>HYPERLINK("http://www.ncbi.nlm.nih.gov/gene/13192261", "13192261")</f>
        <v>13192261</v>
      </c>
      <c r="C2319" s="9"/>
      <c r="D2319" t="str">
        <f>"K08D12.8"</f>
        <v>K08D12.8</v>
      </c>
      <c r="F2319" t="s">
        <v>11</v>
      </c>
      <c r="H2319" s="12">
        <v>2.7721513450868902</v>
      </c>
      <c r="I2319" s="11">
        <v>0.82752532151436398</v>
      </c>
      <c r="J2319" s="10">
        <v>0.40793937603698499</v>
      </c>
      <c r="K2319" s="29">
        <v>0.98289565623980701</v>
      </c>
    </row>
    <row r="2320" spans="1:11" x14ac:dyDescent="0.35">
      <c r="A2320" s="9" t="str">
        <f>HYPERLINK("http://www.ensembl.org/id/WBGene00008898", "WBGene00008898")</f>
        <v>WBGene00008898</v>
      </c>
      <c r="B2320" s="9" t="str">
        <f>HYPERLINK("http://www.ncbi.nlm.nih.gov/gene/184595", "184595")</f>
        <v>184595</v>
      </c>
      <c r="C2320" s="9"/>
      <c r="D2320" t="str">
        <f>"F16H6.8"</f>
        <v>F16H6.8</v>
      </c>
      <c r="F2320" t="s">
        <v>11</v>
      </c>
      <c r="H2320" s="12">
        <v>2.7701616966061802</v>
      </c>
      <c r="I2320" s="11">
        <v>1.0406235852722201</v>
      </c>
      <c r="J2320" s="10">
        <v>0.29805028062245997</v>
      </c>
      <c r="K2320" s="29">
        <v>0.98289565623980701</v>
      </c>
    </row>
    <row r="2321" spans="1:11" x14ac:dyDescent="0.35">
      <c r="A2321" s="9" t="str">
        <f>HYPERLINK("http://www.ensembl.org/id/WBGene00020900", "WBGene00020900")</f>
        <v>WBGene00020900</v>
      </c>
      <c r="B2321" s="9" t="str">
        <f>HYPERLINK("http://www.ncbi.nlm.nih.gov/gene/189047", "189047")</f>
        <v>189047</v>
      </c>
      <c r="C2321" s="9"/>
      <c r="D2321" t="str">
        <f>"T28F2.1"</f>
        <v>T28F2.1</v>
      </c>
      <c r="F2321" t="s">
        <v>11</v>
      </c>
      <c r="G2321" t="s">
        <v>4254</v>
      </c>
      <c r="H2321" s="12">
        <v>2.7695513487970098</v>
      </c>
      <c r="I2321" s="11">
        <v>1.02996444625461</v>
      </c>
      <c r="J2321" s="10">
        <v>0.30302669578908498</v>
      </c>
      <c r="K2321" s="29">
        <v>0.98289565623980701</v>
      </c>
    </row>
    <row r="2322" spans="1:11" x14ac:dyDescent="0.35">
      <c r="A2322" s="9" t="str">
        <f>HYPERLINK("http://www.ensembl.org/id/WBGene00010497", "WBGene00010497")</f>
        <v>WBGene00010497</v>
      </c>
      <c r="B2322" s="9" t="str">
        <f>HYPERLINK("http://www.ncbi.nlm.nih.gov/gene/186869", "186869")</f>
        <v>186869</v>
      </c>
      <c r="C2322" s="9"/>
      <c r="D2322" t="str">
        <f>"axl-1"</f>
        <v>axl-1</v>
      </c>
      <c r="E2322" t="s">
        <v>1204</v>
      </c>
      <c r="F2322" t="s">
        <v>11</v>
      </c>
      <c r="G2322" t="s">
        <v>1205</v>
      </c>
      <c r="H2322" s="12">
        <v>2.7680425806724802</v>
      </c>
      <c r="I2322" s="11">
        <v>2.3945546324261699</v>
      </c>
      <c r="J2322" s="10">
        <v>1.66405641993593E-2</v>
      </c>
      <c r="K2322" s="29">
        <v>0.27001185139775002</v>
      </c>
    </row>
    <row r="2323" spans="1:11" x14ac:dyDescent="0.35">
      <c r="A2323" s="9" t="str">
        <f>HYPERLINK("http://www.ensembl.org/id/WBGene00022685", "WBGene00022685")</f>
        <v>WBGene00022685</v>
      </c>
      <c r="B2323" s="9" t="str">
        <f>HYPERLINK("http://www.ncbi.nlm.nih.gov/gene/191258", "191258")</f>
        <v>191258</v>
      </c>
      <c r="C2323" s="9"/>
      <c r="D2323" t="str">
        <f>"ZK250.2"</f>
        <v>ZK250.2</v>
      </c>
      <c r="F2323" t="s">
        <v>11</v>
      </c>
      <c r="H2323" s="12">
        <v>2.7673577891718502</v>
      </c>
      <c r="I2323" s="11">
        <v>0.67844581343430499</v>
      </c>
      <c r="J2323" s="10">
        <v>0.497489069597436</v>
      </c>
      <c r="K2323" s="29">
        <v>0.98289565623980701</v>
      </c>
    </row>
    <row r="2324" spans="1:11" x14ac:dyDescent="0.35">
      <c r="A2324" s="9" t="str">
        <f>HYPERLINK("http://www.ensembl.org/id/WBGene00050945", "WBGene00050945")</f>
        <v>WBGene00050945</v>
      </c>
      <c r="B2324" s="9"/>
      <c r="C2324" s="9"/>
      <c r="D2324" t="str">
        <f>"C45B11.7"</f>
        <v>C45B11.7</v>
      </c>
      <c r="F2324" t="s">
        <v>80</v>
      </c>
      <c r="H2324" s="12">
        <v>2.7655099440151898</v>
      </c>
      <c r="I2324" s="11">
        <v>1.4468257569446501</v>
      </c>
      <c r="J2324" s="10">
        <v>0.147945730942944</v>
      </c>
      <c r="K2324" s="29">
        <v>0.849293363403265</v>
      </c>
    </row>
    <row r="2325" spans="1:11" x14ac:dyDescent="0.35">
      <c r="A2325" s="9" t="str">
        <f>HYPERLINK("http://www.ensembl.org/id/WBGene00003514", "WBGene00003514")</f>
        <v>WBGene00003514</v>
      </c>
      <c r="B2325" s="9" t="str">
        <f>HYPERLINK("http://www.ncbi.nlm.nih.gov/gene/181404", "181404")</f>
        <v>181404</v>
      </c>
      <c r="C2325" s="9" t="str">
        <f>HYPERLINK("http://www.ncbi.nlm.nih.gov/gene/57644", "57644")</f>
        <v>57644</v>
      </c>
      <c r="D2325" t="str">
        <f>"myo-2"</f>
        <v>myo-2</v>
      </c>
      <c r="E2325" t="s">
        <v>288</v>
      </c>
      <c r="F2325" t="s">
        <v>11</v>
      </c>
      <c r="G2325" t="s">
        <v>140</v>
      </c>
      <c r="H2325" s="12">
        <v>2.7644557791748099</v>
      </c>
      <c r="I2325" s="11">
        <v>4.1217958812579498</v>
      </c>
      <c r="J2325" s="10">
        <v>3.7593022990222198E-5</v>
      </c>
      <c r="K2325" s="29">
        <v>3.03714821402823E-3</v>
      </c>
    </row>
    <row r="2326" spans="1:11" x14ac:dyDescent="0.35">
      <c r="A2326" s="9" t="str">
        <f>HYPERLINK("http://www.ensembl.org/id/WBGene00004017", "WBGene00004017")</f>
        <v>WBGene00004017</v>
      </c>
      <c r="B2326" s="9" t="str">
        <f>HYPERLINK("http://www.ncbi.nlm.nih.gov/gene/185024", "185024")</f>
        <v>185024</v>
      </c>
      <c r="C2326" s="9"/>
      <c r="D2326" t="str">
        <f>"phg-1"</f>
        <v>phg-1</v>
      </c>
      <c r="E2326" t="s">
        <v>954</v>
      </c>
      <c r="F2326" t="s">
        <v>11</v>
      </c>
      <c r="H2326" s="12">
        <v>2.76373121538552</v>
      </c>
      <c r="I2326" s="11">
        <v>2.6366481571701801</v>
      </c>
      <c r="J2326" s="10">
        <v>8.3729627348985407E-3</v>
      </c>
      <c r="K2326" s="29">
        <v>0.17351181789467801</v>
      </c>
    </row>
    <row r="2327" spans="1:11" x14ac:dyDescent="0.35">
      <c r="A2327" s="9" t="str">
        <f>HYPERLINK("http://www.ensembl.org/id/WBGene00001965", "WBGene00001965")</f>
        <v>WBGene00001965</v>
      </c>
      <c r="B2327" s="9" t="str">
        <f>HYPERLINK("http://www.ncbi.nlm.nih.gov/gene/173939", "173939")</f>
        <v>173939</v>
      </c>
      <c r="C2327" s="9"/>
      <c r="D2327" t="str">
        <f>"hlh-26"</f>
        <v>hlh-26</v>
      </c>
      <c r="E2327" t="s">
        <v>4354</v>
      </c>
      <c r="F2327" t="s">
        <v>11</v>
      </c>
      <c r="G2327" t="s">
        <v>1659</v>
      </c>
      <c r="H2327" s="12">
        <v>2.7635530345558701</v>
      </c>
      <c r="I2327" s="11">
        <v>0.58974647334999897</v>
      </c>
      <c r="J2327" s="10">
        <v>0.55536063317693596</v>
      </c>
      <c r="K2327" s="29">
        <v>0.98289565623980701</v>
      </c>
    </row>
    <row r="2328" spans="1:11" x14ac:dyDescent="0.35">
      <c r="A2328" s="9" t="str">
        <f>HYPERLINK("http://www.ensembl.org/id/WBGene00044444", "WBGene00044444")</f>
        <v>WBGene00044444</v>
      </c>
      <c r="B2328" s="9" t="str">
        <f>HYPERLINK("http://www.ncbi.nlm.nih.gov/gene/3896737", "3896737")</f>
        <v>3896737</v>
      </c>
      <c r="C2328" s="9"/>
      <c r="D2328" t="str">
        <f>"F09G8.10"</f>
        <v>F09G8.10</v>
      </c>
      <c r="F2328" t="s">
        <v>11</v>
      </c>
      <c r="H2328" s="12">
        <v>2.7629348392115398</v>
      </c>
      <c r="I2328" s="11">
        <v>0.89696543232478598</v>
      </c>
      <c r="J2328" s="10">
        <v>0.36973736286088599</v>
      </c>
      <c r="K2328" s="29">
        <v>0.98289565623980701</v>
      </c>
    </row>
    <row r="2329" spans="1:11" x14ac:dyDescent="0.35">
      <c r="A2329" s="9" t="str">
        <f>HYPERLINK("http://www.ensembl.org/id/WBGene00199993", "WBGene00199993")</f>
        <v>WBGene00199993</v>
      </c>
      <c r="B2329" s="9"/>
      <c r="C2329" s="9"/>
      <c r="D2329" t="str">
        <f>"F45H7.13"</f>
        <v>F45H7.13</v>
      </c>
      <c r="F2329" t="s">
        <v>481</v>
      </c>
      <c r="H2329" s="12">
        <v>2.7626118609501802</v>
      </c>
      <c r="I2329" s="11">
        <v>0.38293686937655103</v>
      </c>
      <c r="J2329" s="10">
        <v>0.70176657339128301</v>
      </c>
      <c r="K2329" s="29">
        <v>0.98289565623980701</v>
      </c>
    </row>
    <row r="2330" spans="1:11" x14ac:dyDescent="0.35">
      <c r="A2330" s="9" t="str">
        <f>HYPERLINK("http://www.ensembl.org/id/WBGene00200547", "WBGene00200547")</f>
        <v>WBGene00200547</v>
      </c>
      <c r="B2330" s="9"/>
      <c r="C2330" s="9"/>
      <c r="D2330" t="str">
        <f>"F49E10.21"</f>
        <v>F49E10.21</v>
      </c>
      <c r="F2330" t="s">
        <v>481</v>
      </c>
      <c r="H2330" s="12">
        <v>2.7626118609501802</v>
      </c>
      <c r="I2330" s="11">
        <v>0.38293686937655103</v>
      </c>
      <c r="J2330" s="10">
        <v>0.70176657339128301</v>
      </c>
      <c r="K2330" s="29">
        <v>0.98289565623980701</v>
      </c>
    </row>
    <row r="2331" spans="1:11" x14ac:dyDescent="0.35">
      <c r="A2331" s="9" t="str">
        <f>HYPERLINK("http://www.ensembl.org/id/WBGene00196341", "WBGene00196341")</f>
        <v>WBGene00196341</v>
      </c>
      <c r="B2331" s="9"/>
      <c r="C2331" s="9"/>
      <c r="D2331" t="str">
        <f>"T27D12.8"</f>
        <v>T27D12.8</v>
      </c>
      <c r="F2331" t="s">
        <v>481</v>
      </c>
      <c r="H2331" s="12">
        <v>2.7626118609501802</v>
      </c>
      <c r="I2331" s="11">
        <v>0.38293686937655103</v>
      </c>
      <c r="J2331" s="10">
        <v>0.70176657339128301</v>
      </c>
      <c r="K2331" s="29">
        <v>0.98289565623980701</v>
      </c>
    </row>
    <row r="2332" spans="1:11" x14ac:dyDescent="0.35">
      <c r="A2332" s="9" t="str">
        <f>HYPERLINK("http://www.ensembl.org/id/WBGene00022799", "WBGene00022799")</f>
        <v>WBGene00022799</v>
      </c>
      <c r="B2332" s="9" t="str">
        <f>HYPERLINK("http://www.ncbi.nlm.nih.gov/gene/191406", "191406")</f>
        <v>191406</v>
      </c>
      <c r="C2332" s="9"/>
      <c r="D2332" t="str">
        <f>"ZK688.4"</f>
        <v>ZK688.4</v>
      </c>
      <c r="F2332" t="s">
        <v>11</v>
      </c>
      <c r="H2332" s="12">
        <v>2.7626118609501802</v>
      </c>
      <c r="I2332" s="11">
        <v>0.38293686937655103</v>
      </c>
      <c r="J2332" s="10">
        <v>0.70176657339128301</v>
      </c>
      <c r="K2332" s="29">
        <v>0.98289565623980701</v>
      </c>
    </row>
    <row r="2333" spans="1:11" x14ac:dyDescent="0.35">
      <c r="A2333" s="9" t="str">
        <f>HYPERLINK("http://www.ensembl.org/id/WBGene00017388", "WBGene00017388")</f>
        <v>WBGene00017388</v>
      </c>
      <c r="B2333" s="9" t="str">
        <f>HYPERLINK("http://www.ncbi.nlm.nih.gov/gene/184367", "184367")</f>
        <v>184367</v>
      </c>
      <c r="C2333" s="9"/>
      <c r="D2333" t="str">
        <f>"F11G11.13"</f>
        <v>F11G11.13</v>
      </c>
      <c r="F2333" t="s">
        <v>11</v>
      </c>
      <c r="G2333" t="s">
        <v>280</v>
      </c>
      <c r="H2333" s="12">
        <v>2.7624846749232699</v>
      </c>
      <c r="I2333" s="11">
        <v>0.73195378150421198</v>
      </c>
      <c r="J2333" s="10">
        <v>0.46419677825599698</v>
      </c>
      <c r="K2333" s="29">
        <v>0.98289565623980701</v>
      </c>
    </row>
    <row r="2334" spans="1:11" x14ac:dyDescent="0.35">
      <c r="A2334" s="9" t="str">
        <f>HYPERLINK("http://www.ensembl.org/id/WBGene00015079", "WBGene00015079")</f>
        <v>WBGene00015079</v>
      </c>
      <c r="B2334" s="9" t="str">
        <f>HYPERLINK("http://www.ncbi.nlm.nih.gov/gene/181875", "181875")</f>
        <v>181875</v>
      </c>
      <c r="C2334" s="9"/>
      <c r="D2334" t="str">
        <f>"B0244.4"</f>
        <v>B0244.4</v>
      </c>
      <c r="E2334" t="s">
        <v>4355</v>
      </c>
      <c r="F2334" t="s">
        <v>11</v>
      </c>
      <c r="G2334" t="s">
        <v>1793</v>
      </c>
      <c r="H2334" s="12">
        <v>2.7612767806951499</v>
      </c>
      <c r="I2334" s="11">
        <v>0.72414136142494201</v>
      </c>
      <c r="J2334" s="10">
        <v>0.46897895392697803</v>
      </c>
      <c r="K2334" s="29">
        <v>0.98289565623980701</v>
      </c>
    </row>
    <row r="2335" spans="1:11" x14ac:dyDescent="0.35">
      <c r="A2335" s="9" t="str">
        <f>HYPERLINK("http://www.ensembl.org/id/WBGene00018157", "WBGene00018157")</f>
        <v>WBGene00018157</v>
      </c>
      <c r="B2335" s="9" t="str">
        <f>HYPERLINK("http://www.ncbi.nlm.nih.gov/gene/185427", "185427")</f>
        <v>185427</v>
      </c>
      <c r="C2335" s="9"/>
      <c r="D2335" t="str">
        <f>"lron-6"</f>
        <v>lron-6</v>
      </c>
      <c r="E2335" t="s">
        <v>814</v>
      </c>
      <c r="F2335" t="s">
        <v>11</v>
      </c>
      <c r="G2335" t="s">
        <v>417</v>
      </c>
      <c r="H2335" s="12">
        <v>2.7609128980958801</v>
      </c>
      <c r="I2335" s="11">
        <v>1.6346731479482599</v>
      </c>
      <c r="J2335" s="10">
        <v>0.102117584432282</v>
      </c>
      <c r="K2335" s="29">
        <v>0.73758563051616</v>
      </c>
    </row>
    <row r="2336" spans="1:11" x14ac:dyDescent="0.35">
      <c r="A2336" s="9" t="str">
        <f>HYPERLINK("http://www.ensembl.org/id/WBGene00196034", "WBGene00196034")</f>
        <v>WBGene00196034</v>
      </c>
      <c r="B2336" s="9"/>
      <c r="C2336" s="9"/>
      <c r="D2336" t="str">
        <f>"T04C12.16"</f>
        <v>T04C12.16</v>
      </c>
      <c r="F2336" t="s">
        <v>481</v>
      </c>
      <c r="H2336" s="12">
        <v>2.7597030030776</v>
      </c>
      <c r="I2336" s="11">
        <v>0.53453279272910503</v>
      </c>
      <c r="J2336" s="10">
        <v>0.59297296769280805</v>
      </c>
      <c r="K2336" s="29">
        <v>0.98289565623980701</v>
      </c>
    </row>
    <row r="2337" spans="1:11" x14ac:dyDescent="0.35">
      <c r="A2337" s="9" t="str">
        <f>HYPERLINK("http://www.ensembl.org/id/WBGene00019508", "WBGene00019508")</f>
        <v>WBGene00019508</v>
      </c>
      <c r="B2337" s="9" t="str">
        <f>HYPERLINK("http://www.ncbi.nlm.nih.gov/gene/187128", "187128")</f>
        <v>187128</v>
      </c>
      <c r="C2337" s="9"/>
      <c r="D2337" t="str">
        <f>"K07H8.8"</f>
        <v>K07H8.8</v>
      </c>
      <c r="F2337" t="s">
        <v>11</v>
      </c>
      <c r="G2337" t="s">
        <v>3419</v>
      </c>
      <c r="H2337" s="12">
        <v>2.7590943457620201</v>
      </c>
      <c r="I2337" s="11">
        <v>0.399394997622048</v>
      </c>
      <c r="J2337" s="10">
        <v>0.68960217929659196</v>
      </c>
      <c r="K2337" s="29">
        <v>0.98289565623980701</v>
      </c>
    </row>
    <row r="2338" spans="1:11" x14ac:dyDescent="0.35">
      <c r="A2338" s="9" t="str">
        <f>HYPERLINK("http://www.ensembl.org/id/WBGene00011294", "WBGene00011294")</f>
        <v>WBGene00011294</v>
      </c>
      <c r="B2338" s="9"/>
      <c r="C2338" s="9"/>
      <c r="D2338" t="str">
        <f>"R102.7"</f>
        <v>R102.7</v>
      </c>
      <c r="F2338" t="s">
        <v>80</v>
      </c>
      <c r="H2338" s="12">
        <v>2.7590943457620201</v>
      </c>
      <c r="I2338" s="11">
        <v>0.399394997622048</v>
      </c>
      <c r="J2338" s="10">
        <v>0.68960217929659196</v>
      </c>
      <c r="K2338" s="29">
        <v>0.98289565623980701</v>
      </c>
    </row>
    <row r="2339" spans="1:11" x14ac:dyDescent="0.35">
      <c r="A2339" s="9" t="str">
        <f>HYPERLINK("http://www.ensembl.org/id/WBGene00005685", "WBGene00005685")</f>
        <v>WBGene00005685</v>
      </c>
      <c r="B2339" s="9" t="str">
        <f>HYPERLINK("http://www.ncbi.nlm.nih.gov/gene/185368", "185368")</f>
        <v>185368</v>
      </c>
      <c r="C2339" s="9"/>
      <c r="D2339" t="str">
        <f>"sru-22"</f>
        <v>sru-22</v>
      </c>
      <c r="E2339" t="s">
        <v>2653</v>
      </c>
      <c r="F2339" t="s">
        <v>11</v>
      </c>
      <c r="G2339" t="s">
        <v>25</v>
      </c>
      <c r="H2339" s="12">
        <v>2.7590943457620201</v>
      </c>
      <c r="I2339" s="11">
        <v>0.399394997622048</v>
      </c>
      <c r="J2339" s="10">
        <v>0.68960217929659196</v>
      </c>
      <c r="K2339" s="29">
        <v>0.98289565623980701</v>
      </c>
    </row>
    <row r="2340" spans="1:11" x14ac:dyDescent="0.35">
      <c r="A2340" s="9" t="str">
        <f>HYPERLINK("http://www.ensembl.org/id/WBGene00001552", "WBGene00001552")</f>
        <v>WBGene00001552</v>
      </c>
      <c r="B2340" s="9" t="str">
        <f>HYPERLINK("http://www.ncbi.nlm.nih.gov/gene/179887", "179887")</f>
        <v>179887</v>
      </c>
      <c r="C2340" s="9" t="str">
        <f>HYPERLINK("http://www.ncbi.nlm.nih.gov/gene/2983", "2983")</f>
        <v>2983</v>
      </c>
      <c r="D2340" t="str">
        <f>"gcy-32"</f>
        <v>gcy-32</v>
      </c>
      <c r="E2340" t="s">
        <v>818</v>
      </c>
      <c r="F2340" t="s">
        <v>11</v>
      </c>
      <c r="G2340" t="s">
        <v>819</v>
      </c>
      <c r="H2340" s="12">
        <v>2.7577077968662</v>
      </c>
      <c r="I2340" s="11">
        <v>2.8272006495357198</v>
      </c>
      <c r="J2340" s="10">
        <v>4.6956895217631399E-3</v>
      </c>
      <c r="K2340" s="29">
        <v>0.116165526862804</v>
      </c>
    </row>
    <row r="2341" spans="1:11" x14ac:dyDescent="0.35">
      <c r="A2341" s="9" t="str">
        <f>HYPERLINK("http://www.ensembl.org/id/WBGene00015794", "WBGene00015794")</f>
        <v>WBGene00015794</v>
      </c>
      <c r="B2341" s="9" t="str">
        <f>HYPERLINK("http://www.ncbi.nlm.nih.gov/gene/182638", "182638")</f>
        <v>182638</v>
      </c>
      <c r="C2341" s="9"/>
      <c r="D2341" t="str">
        <f>"C15F1.1"</f>
        <v>C15F1.1</v>
      </c>
      <c r="F2341" t="s">
        <v>11</v>
      </c>
      <c r="H2341" s="12">
        <v>2.7561669634689498</v>
      </c>
      <c r="I2341" s="11">
        <v>3.9006918255397598</v>
      </c>
      <c r="J2341" s="10">
        <v>9.5918188682240905E-5</v>
      </c>
      <c r="K2341" s="29">
        <v>6.4426908944530802E-3</v>
      </c>
    </row>
    <row r="2342" spans="1:11" x14ac:dyDescent="0.35">
      <c r="A2342" s="9" t="str">
        <f>HYPERLINK("http://www.ensembl.org/id/WBGene00009806", "WBGene00009806")</f>
        <v>WBGene00009806</v>
      </c>
      <c r="B2342" s="9" t="str">
        <f>HYPERLINK("http://www.ncbi.nlm.nih.gov/gene/185897", "185897")</f>
        <v>185897</v>
      </c>
      <c r="C2342" s="9"/>
      <c r="D2342" t="str">
        <f>"F47B8.5"</f>
        <v>F47B8.5</v>
      </c>
      <c r="F2342" t="s">
        <v>11</v>
      </c>
      <c r="H2342" s="12">
        <v>2.75517944619987</v>
      </c>
      <c r="I2342" s="11">
        <v>1.4321822435820499</v>
      </c>
      <c r="J2342" s="10">
        <v>0.152091672040437</v>
      </c>
      <c r="K2342" s="29">
        <v>0.85769427438436496</v>
      </c>
    </row>
    <row r="2343" spans="1:11" x14ac:dyDescent="0.35">
      <c r="A2343" s="9" t="str">
        <f>HYPERLINK("http://www.ensembl.org/id/WBGene00000671", "WBGene00000671")</f>
        <v>WBGene00000671</v>
      </c>
      <c r="B2343" s="9" t="str">
        <f>HYPERLINK("http://www.ncbi.nlm.nih.gov/gene/353461", "353461")</f>
        <v>353461</v>
      </c>
      <c r="C2343" s="9"/>
      <c r="D2343" t="str">
        <f>"col-96"</f>
        <v>col-96</v>
      </c>
      <c r="E2343" t="s">
        <v>40</v>
      </c>
      <c r="F2343" t="s">
        <v>11</v>
      </c>
      <c r="G2343" t="s">
        <v>94</v>
      </c>
      <c r="H2343" s="12">
        <v>2.75156868039734</v>
      </c>
      <c r="I2343" s="11">
        <v>5.6303304217248096</v>
      </c>
      <c r="J2343" s="10">
        <v>1.7986470796954901E-8</v>
      </c>
      <c r="K2343" s="29">
        <v>6.0231216555715798E-6</v>
      </c>
    </row>
    <row r="2344" spans="1:11" x14ac:dyDescent="0.35">
      <c r="A2344" s="9" t="str">
        <f>HYPERLINK("http://www.ensembl.org/id/WBGene00019603", "WBGene00019603")</f>
        <v>WBGene00019603</v>
      </c>
      <c r="B2344" s="9" t="str">
        <f>HYPERLINK("http://www.ncbi.nlm.nih.gov/gene/187246", "187246")</f>
        <v>187246</v>
      </c>
      <c r="C2344" s="9"/>
      <c r="D2344" t="str">
        <f>"K09H11.6"</f>
        <v>K09H11.6</v>
      </c>
      <c r="F2344" t="s">
        <v>11</v>
      </c>
      <c r="G2344" t="s">
        <v>25</v>
      </c>
      <c r="H2344" s="12">
        <v>2.74870563366159</v>
      </c>
      <c r="I2344" s="11">
        <v>2.31875200798682</v>
      </c>
      <c r="J2344" s="10">
        <v>2.0408486773285401E-2</v>
      </c>
      <c r="K2344" s="29">
        <v>0.30598300222326902</v>
      </c>
    </row>
    <row r="2345" spans="1:11" x14ac:dyDescent="0.35">
      <c r="A2345" s="9" t="str">
        <f>HYPERLINK("http://www.ensembl.org/id/WBGene00044723", "WBGene00044723")</f>
        <v>WBGene00044723</v>
      </c>
      <c r="B2345" s="9" t="str">
        <f>HYPERLINK("http://www.ncbi.nlm.nih.gov/gene/4363080", "4363080")</f>
        <v>4363080</v>
      </c>
      <c r="C2345" s="9"/>
      <c r="D2345" t="str">
        <f>"K11H12.11"</f>
        <v>K11H12.11</v>
      </c>
      <c r="F2345" t="s">
        <v>11</v>
      </c>
      <c r="H2345" s="12">
        <v>2.7474049859631098</v>
      </c>
      <c r="I2345" s="11">
        <v>1.07335431063763</v>
      </c>
      <c r="J2345" s="10">
        <v>0.28311217592292598</v>
      </c>
      <c r="K2345" s="29">
        <v>0.98289565623980701</v>
      </c>
    </row>
    <row r="2346" spans="1:11" x14ac:dyDescent="0.35">
      <c r="A2346" s="9" t="str">
        <f>HYPERLINK("http://www.ensembl.org/id/WBGene00022577", "WBGene00022577")</f>
        <v>WBGene00022577</v>
      </c>
      <c r="B2346" s="9" t="str">
        <f>HYPERLINK("http://www.ncbi.nlm.nih.gov/gene/191128", "191128")</f>
        <v>191128</v>
      </c>
      <c r="C2346" s="9"/>
      <c r="D2346" t="str">
        <f>"nstp-3"</f>
        <v>nstp-3</v>
      </c>
      <c r="E2346" t="s">
        <v>1978</v>
      </c>
      <c r="F2346" t="s">
        <v>11</v>
      </c>
      <c r="G2346" t="s">
        <v>1979</v>
      </c>
      <c r="H2346" s="12">
        <v>2.74653493892801</v>
      </c>
      <c r="I2346" s="11">
        <v>1.3970201996370899</v>
      </c>
      <c r="J2346" s="10">
        <v>0.16240749689297199</v>
      </c>
      <c r="K2346" s="29">
        <v>0.87903200356266198</v>
      </c>
    </row>
    <row r="2347" spans="1:11" x14ac:dyDescent="0.35">
      <c r="A2347" s="9" t="str">
        <f>HYPERLINK("http://www.ensembl.org/id/WBGene00018166", "WBGene00018166")</f>
        <v>WBGene00018166</v>
      </c>
      <c r="B2347" s="9" t="str">
        <f>HYPERLINK("http://www.ncbi.nlm.nih.gov/gene/185445", "185445")</f>
        <v>185445</v>
      </c>
      <c r="C2347" s="9"/>
      <c r="D2347" t="str">
        <f>"nspb-5"</f>
        <v>nspb-5</v>
      </c>
      <c r="E2347" t="s">
        <v>1851</v>
      </c>
      <c r="F2347" t="s">
        <v>11</v>
      </c>
      <c r="H2347" s="12">
        <v>2.7440434468269799</v>
      </c>
      <c r="I2347" s="11">
        <v>0.89581671638789095</v>
      </c>
      <c r="J2347" s="10">
        <v>0.37035066038667702</v>
      </c>
      <c r="K2347" s="29">
        <v>0.98289565623980701</v>
      </c>
    </row>
    <row r="2348" spans="1:11" x14ac:dyDescent="0.35">
      <c r="A2348" s="9" t="str">
        <f>HYPERLINK("http://www.ensembl.org/id/WBGene00000820", "WBGene00000820")</f>
        <v>WBGene00000820</v>
      </c>
      <c r="B2348" s="9" t="str">
        <f>HYPERLINK("http://www.ncbi.nlm.nih.gov/gene/177391", "177391")</f>
        <v>177391</v>
      </c>
      <c r="C2348" s="9"/>
      <c r="D2348" t="str">
        <f>"csp-2"</f>
        <v>csp-2</v>
      </c>
      <c r="E2348" t="s">
        <v>4356</v>
      </c>
      <c r="F2348" t="s">
        <v>11</v>
      </c>
      <c r="G2348" t="s">
        <v>4223</v>
      </c>
      <c r="H2348" s="12">
        <v>2.7395614974313598</v>
      </c>
      <c r="I2348" s="11">
        <v>1.2062239078444099</v>
      </c>
      <c r="J2348" s="10">
        <v>0.227731167938721</v>
      </c>
      <c r="K2348" s="29">
        <v>0.98289565623980701</v>
      </c>
    </row>
    <row r="2349" spans="1:11" x14ac:dyDescent="0.35">
      <c r="A2349" s="9" t="str">
        <f>HYPERLINK("http://www.ensembl.org/id/WBGene00012429", "WBGene00012429")</f>
        <v>WBGene00012429</v>
      </c>
      <c r="B2349" s="9" t="str">
        <f>HYPERLINK("http://www.ncbi.nlm.nih.gov/gene/189430", "189430")</f>
        <v>189430</v>
      </c>
      <c r="C2349" s="9"/>
      <c r="D2349" t="str">
        <f>"Y11D7A.5"</f>
        <v>Y11D7A.5</v>
      </c>
      <c r="F2349" t="s">
        <v>11</v>
      </c>
      <c r="H2349" s="12">
        <v>2.7371478628106201</v>
      </c>
      <c r="I2349" s="11">
        <v>0.80351137852190502</v>
      </c>
      <c r="J2349" s="10">
        <v>0.42167922273851199</v>
      </c>
      <c r="K2349" s="29">
        <v>0.98289565623980701</v>
      </c>
    </row>
    <row r="2350" spans="1:11" x14ac:dyDescent="0.35">
      <c r="A2350" s="9" t="str">
        <f>HYPERLINK("http://www.ensembl.org/id/WBGene00017018", "WBGene00017018")</f>
        <v>WBGene00017018</v>
      </c>
      <c r="B2350" s="9" t="str">
        <f>HYPERLINK("http://www.ncbi.nlm.nih.gov/gene/179191", "179191")</f>
        <v>179191</v>
      </c>
      <c r="C2350" s="9"/>
      <c r="D2350" t="str">
        <f>"D1014.5"</f>
        <v>D1014.5</v>
      </c>
      <c r="F2350" t="s">
        <v>11</v>
      </c>
      <c r="G2350" t="s">
        <v>1686</v>
      </c>
      <c r="H2350" s="12">
        <v>2.7363443247471402</v>
      </c>
      <c r="I2350" s="11">
        <v>2.0248664463922199</v>
      </c>
      <c r="J2350" s="10">
        <v>4.2881079834518297E-2</v>
      </c>
      <c r="K2350" s="29">
        <v>0.48191159078617701</v>
      </c>
    </row>
    <row r="2351" spans="1:11" x14ac:dyDescent="0.35">
      <c r="A2351" s="9" t="str">
        <f>HYPERLINK("http://www.ensembl.org/id/WBGene00009529", "WBGene00009529")</f>
        <v>WBGene00009529</v>
      </c>
      <c r="B2351" s="9" t="str">
        <f>HYPERLINK("http://www.ncbi.nlm.nih.gov/gene/185449", "185449")</f>
        <v>185449</v>
      </c>
      <c r="C2351" s="9"/>
      <c r="D2351" t="str">
        <f>"F38B2.2"</f>
        <v>F38B2.2</v>
      </c>
      <c r="F2351" t="s">
        <v>11</v>
      </c>
      <c r="H2351" s="12">
        <v>2.7348769699428899</v>
      </c>
      <c r="I2351" s="11">
        <v>2.5287582928769901</v>
      </c>
      <c r="J2351" s="10">
        <v>1.14466826619051E-2</v>
      </c>
      <c r="K2351" s="29">
        <v>0.21243939725781399</v>
      </c>
    </row>
    <row r="2352" spans="1:11" x14ac:dyDescent="0.35">
      <c r="A2352" s="9" t="str">
        <f>HYPERLINK("http://www.ensembl.org/id/WBGene00008693", "WBGene00008693")</f>
        <v>WBGene00008693</v>
      </c>
      <c r="B2352" s="9" t="str">
        <f>HYPERLINK("http://www.ncbi.nlm.nih.gov/gene/184342", "184342")</f>
        <v>184342</v>
      </c>
      <c r="C2352" s="9" t="str">
        <f>HYPERLINK("http://www.ncbi.nlm.nih.gov/gene/60526", "60526")</f>
        <v>60526</v>
      </c>
      <c r="D2352" t="str">
        <f>"F11C1.4"</f>
        <v>F11C1.4</v>
      </c>
      <c r="F2352" t="s">
        <v>11</v>
      </c>
      <c r="G2352" t="s">
        <v>1375</v>
      </c>
      <c r="H2352" s="12">
        <v>2.7336788475751099</v>
      </c>
      <c r="I2352" s="11">
        <v>2.24805584687642</v>
      </c>
      <c r="J2352" s="10">
        <v>2.4572629039173899E-2</v>
      </c>
      <c r="K2352" s="29">
        <v>0.34265248435675999</v>
      </c>
    </row>
    <row r="2353" spans="1:11" x14ac:dyDescent="0.35">
      <c r="A2353" s="9" t="str">
        <f>HYPERLINK("http://www.ensembl.org/id/WBGene00003456", "WBGene00003456")</f>
        <v>WBGene00003456</v>
      </c>
      <c r="B2353" s="9" t="str">
        <f>HYPERLINK("http://www.ncbi.nlm.nih.gov/gene/173980", "173980")</f>
        <v>173980</v>
      </c>
      <c r="C2353" s="9"/>
      <c r="D2353" t="str">
        <f>"msp-63"</f>
        <v>msp-63</v>
      </c>
      <c r="E2353" t="s">
        <v>4357</v>
      </c>
      <c r="F2353" t="s">
        <v>11</v>
      </c>
      <c r="H2353" s="12">
        <v>2.7317832714674002</v>
      </c>
      <c r="I2353" s="11">
        <v>0.58425564788235496</v>
      </c>
      <c r="J2353" s="10">
        <v>0.55904832707952401</v>
      </c>
      <c r="K2353" s="29">
        <v>0.98289565623980701</v>
      </c>
    </row>
    <row r="2354" spans="1:11" x14ac:dyDescent="0.35">
      <c r="A2354" s="9" t="str">
        <f>HYPERLINK("http://www.ensembl.org/id/WBGene00022827", "WBGene00022827")</f>
        <v>WBGene00022827</v>
      </c>
      <c r="B2354" s="9" t="str">
        <f>HYPERLINK("http://www.ncbi.nlm.nih.gov/gene/191431", "191431")</f>
        <v>191431</v>
      </c>
      <c r="C2354" s="9"/>
      <c r="D2354" t="str">
        <f>"ZK816.4"</f>
        <v>ZK816.4</v>
      </c>
      <c r="F2354" t="s">
        <v>11</v>
      </c>
      <c r="H2354" s="12">
        <v>2.73136017532258</v>
      </c>
      <c r="I2354" s="11">
        <v>1.15055225197968</v>
      </c>
      <c r="J2354" s="10">
        <v>0.24991648607433301</v>
      </c>
      <c r="K2354" s="29">
        <v>0.98289565623980701</v>
      </c>
    </row>
    <row r="2355" spans="1:11" x14ac:dyDescent="0.35">
      <c r="A2355" s="9" t="str">
        <f>HYPERLINK("http://www.ensembl.org/id/WBGene00001782", "WBGene00001782")</f>
        <v>WBGene00001782</v>
      </c>
      <c r="B2355" s="9" t="str">
        <f>HYPERLINK("http://www.ncbi.nlm.nih.gov/gene/260015", "260015")</f>
        <v>260015</v>
      </c>
      <c r="C2355" s="9" t="str">
        <f>HYPERLINK("http://www.ncbi.nlm.nih.gov/gene/27306", "27306")</f>
        <v>27306</v>
      </c>
      <c r="D2355" t="str">
        <f>"gst-34"</f>
        <v>gst-34</v>
      </c>
      <c r="E2355" t="s">
        <v>272</v>
      </c>
      <c r="F2355" t="s">
        <v>11</v>
      </c>
      <c r="G2355" t="s">
        <v>876</v>
      </c>
      <c r="H2355" s="12">
        <v>2.7291126346605501</v>
      </c>
      <c r="I2355" s="11">
        <v>1.22811809307797</v>
      </c>
      <c r="J2355" s="10">
        <v>0.219402639946256</v>
      </c>
      <c r="K2355" s="29">
        <v>0.97139383995462403</v>
      </c>
    </row>
    <row r="2356" spans="1:11" x14ac:dyDescent="0.35">
      <c r="A2356" s="9" t="str">
        <f>HYPERLINK("http://www.ensembl.org/id/WBGene00019518", "WBGene00019518")</f>
        <v>WBGene00019518</v>
      </c>
      <c r="B2356" s="9" t="str">
        <f>HYPERLINK("http://www.ncbi.nlm.nih.gov/gene/187132", "187132")</f>
        <v>187132</v>
      </c>
      <c r="C2356" s="9"/>
      <c r="D2356" t="str">
        <f>"K08B5.1"</f>
        <v>K08B5.1</v>
      </c>
      <c r="F2356" t="s">
        <v>11</v>
      </c>
      <c r="G2356" t="s">
        <v>25</v>
      </c>
      <c r="H2356" s="12">
        <v>2.72893539346979</v>
      </c>
      <c r="I2356" s="11">
        <v>1.8162406218575899</v>
      </c>
      <c r="J2356" s="10">
        <v>6.9333469279793697E-2</v>
      </c>
      <c r="K2356" s="29">
        <v>0.62359639594352401</v>
      </c>
    </row>
    <row r="2357" spans="1:11" x14ac:dyDescent="0.35">
      <c r="A2357" s="9" t="str">
        <f>HYPERLINK("http://www.ensembl.org/id/WBGene00009184", "WBGene00009184")</f>
        <v>WBGene00009184</v>
      </c>
      <c r="B2357" s="9" t="str">
        <f>HYPERLINK("http://www.ncbi.nlm.nih.gov/gene/185014", "185014")</f>
        <v>185014</v>
      </c>
      <c r="C2357" s="9"/>
      <c r="D2357" t="str">
        <f>"F27C8.3"</f>
        <v>F27C8.3</v>
      </c>
      <c r="F2357" t="s">
        <v>11</v>
      </c>
      <c r="H2357" s="12">
        <v>2.7283543049553698</v>
      </c>
      <c r="I2357" s="11">
        <v>0.66314033787131299</v>
      </c>
      <c r="J2357" s="10">
        <v>0.50724067811664098</v>
      </c>
      <c r="K2357" s="29">
        <v>0.98289565623980701</v>
      </c>
    </row>
    <row r="2358" spans="1:11" x14ac:dyDescent="0.35">
      <c r="A2358" s="9" t="str">
        <f>HYPERLINK("http://www.ensembl.org/id/WBGene00021175", "WBGene00021175")</f>
        <v>WBGene00021175</v>
      </c>
      <c r="B2358" s="9" t="str">
        <f>HYPERLINK("http://www.ncbi.nlm.nih.gov/gene/189404", "189404")</f>
        <v>189404</v>
      </c>
      <c r="C2358" s="9"/>
      <c r="D2358" t="str">
        <f>"math-46"</f>
        <v>math-46</v>
      </c>
      <c r="E2358" t="s">
        <v>596</v>
      </c>
      <c r="F2358" t="s">
        <v>11</v>
      </c>
      <c r="H2358" s="12">
        <v>2.7278088159012102</v>
      </c>
      <c r="I2358" s="11">
        <v>0.84384321737562396</v>
      </c>
      <c r="J2358" s="10">
        <v>0.39875702190772599</v>
      </c>
      <c r="K2358" s="29">
        <v>0.98289565623980701</v>
      </c>
    </row>
    <row r="2359" spans="1:11" x14ac:dyDescent="0.35">
      <c r="A2359" s="9" t="str">
        <f>HYPERLINK("http://www.ensembl.org/id/WBGene00005538", "WBGene00005538")</f>
        <v>WBGene00005538</v>
      </c>
      <c r="B2359" s="9" t="str">
        <f>HYPERLINK("http://www.ncbi.nlm.nih.gov/gene/183389", "183389")</f>
        <v>183389</v>
      </c>
      <c r="C2359" s="9"/>
      <c r="D2359" t="str">
        <f>"sri-26"</f>
        <v>sri-26</v>
      </c>
      <c r="E2359" t="s">
        <v>1503</v>
      </c>
      <c r="F2359" t="s">
        <v>11</v>
      </c>
      <c r="G2359" t="s">
        <v>25</v>
      </c>
      <c r="H2359" s="12">
        <v>2.7267127577567098</v>
      </c>
      <c r="I2359" s="11">
        <v>0.47441745755300702</v>
      </c>
      <c r="J2359" s="10">
        <v>0.63520224643437995</v>
      </c>
      <c r="K2359" s="29">
        <v>0.98289565623980701</v>
      </c>
    </row>
    <row r="2360" spans="1:11" x14ac:dyDescent="0.35">
      <c r="A2360" s="9" t="str">
        <f>HYPERLINK("http://www.ensembl.org/id/WBGene00019268", "WBGene00019268")</f>
        <v>WBGene00019268</v>
      </c>
      <c r="B2360" s="9" t="str">
        <f>HYPERLINK("http://www.ncbi.nlm.nih.gov/gene/173994", "173994")</f>
        <v>173994</v>
      </c>
      <c r="C2360" s="9"/>
      <c r="D2360" t="str">
        <f>"H41C03.1"</f>
        <v>H41C03.1</v>
      </c>
      <c r="F2360" t="s">
        <v>11</v>
      </c>
      <c r="H2360" s="12">
        <v>2.72543968849783</v>
      </c>
      <c r="I2360" s="11">
        <v>5.1066087574382504</v>
      </c>
      <c r="J2360" s="10">
        <v>3.2799186684983002E-7</v>
      </c>
      <c r="K2360" s="29">
        <v>6.5332586857173904E-5</v>
      </c>
    </row>
    <row r="2361" spans="1:11" x14ac:dyDescent="0.35">
      <c r="A2361" s="9" t="str">
        <f>HYPERLINK("http://www.ensembl.org/id/WBGene00077449", "WBGene00077449")</f>
        <v>WBGene00077449</v>
      </c>
      <c r="B2361" s="9"/>
      <c r="C2361" s="9"/>
      <c r="D2361" t="str">
        <f>"C08B6.15"</f>
        <v>C08B6.15</v>
      </c>
      <c r="F2361" t="s">
        <v>80</v>
      </c>
      <c r="H2361" s="12">
        <v>2.7244042758469398</v>
      </c>
      <c r="I2361" s="11">
        <v>0.64020879878014003</v>
      </c>
      <c r="J2361" s="10">
        <v>0.52203686324778398</v>
      </c>
      <c r="K2361" s="29">
        <v>0.98289565623980701</v>
      </c>
    </row>
    <row r="2362" spans="1:11" x14ac:dyDescent="0.35">
      <c r="A2362" s="9" t="str">
        <f>HYPERLINK("http://www.ensembl.org/id/WBGene00022842", "WBGene00022842")</f>
        <v>WBGene00022842</v>
      </c>
      <c r="B2362" s="9" t="str">
        <f>HYPERLINK("http://www.ncbi.nlm.nih.gov/gene/191486", "191486")</f>
        <v>191486</v>
      </c>
      <c r="C2362" s="9"/>
      <c r="D2362" t="str">
        <f>"ZK994.6"</f>
        <v>ZK994.6</v>
      </c>
      <c r="F2362" t="s">
        <v>11</v>
      </c>
      <c r="H2362" s="12">
        <v>2.7231308140713502</v>
      </c>
      <c r="I2362" s="11">
        <v>1.7308526801577699</v>
      </c>
      <c r="J2362" s="10">
        <v>8.3478043243760694E-2</v>
      </c>
      <c r="K2362" s="29">
        <v>0.67988849742345203</v>
      </c>
    </row>
    <row r="2363" spans="1:11" x14ac:dyDescent="0.35">
      <c r="A2363" s="9" t="str">
        <f>HYPERLINK("http://www.ensembl.org/id/WBGene00013850", "WBGene00013850")</f>
        <v>WBGene00013850</v>
      </c>
      <c r="B2363" s="9" t="str">
        <f>HYPERLINK("http://www.ncbi.nlm.nih.gov/gene/3565556", "3565556")</f>
        <v>3565556</v>
      </c>
      <c r="C2363" s="9"/>
      <c r="D2363" t="str">
        <f>"ZC84.7"</f>
        <v>ZC84.7</v>
      </c>
      <c r="F2363" t="s">
        <v>11</v>
      </c>
      <c r="G2363" t="s">
        <v>25</v>
      </c>
      <c r="H2363" s="12">
        <v>2.7219920220850602</v>
      </c>
      <c r="I2363" s="11">
        <v>1.17918319884203</v>
      </c>
      <c r="J2363" s="10">
        <v>0.23832523473266801</v>
      </c>
      <c r="K2363" s="29">
        <v>0.98289565623980701</v>
      </c>
    </row>
    <row r="2364" spans="1:11" x14ac:dyDescent="0.35">
      <c r="A2364" s="9" t="str">
        <f>HYPERLINK("http://www.ensembl.org/id/WBGene00013352", "WBGene00013352")</f>
        <v>WBGene00013352</v>
      </c>
      <c r="B2364" s="9" t="str">
        <f>HYPERLINK("http://www.ncbi.nlm.nih.gov/gene/190397", "190397")</f>
        <v>190397</v>
      </c>
      <c r="C2364" s="9"/>
      <c r="D2364" t="str">
        <f>"lon-8"</f>
        <v>lon-8</v>
      </c>
      <c r="F2364" t="s">
        <v>11</v>
      </c>
      <c r="H2364" s="12">
        <v>2.72175719382723</v>
      </c>
      <c r="I2364" s="11">
        <v>3.46659713913881</v>
      </c>
      <c r="J2364" s="10">
        <v>5.2709123936517898E-4</v>
      </c>
      <c r="K2364" s="29">
        <v>2.3880333679944798E-2</v>
      </c>
    </row>
    <row r="2365" spans="1:11" x14ac:dyDescent="0.35">
      <c r="A2365" s="9" t="str">
        <f>HYPERLINK("http://www.ensembl.org/id/WBGene00014238", "WBGene00014238")</f>
        <v>WBGene00014238</v>
      </c>
      <c r="B2365" s="9" t="str">
        <f>HYPERLINK("http://www.ncbi.nlm.nih.gov/gene/173185", "173185")</f>
        <v>173185</v>
      </c>
      <c r="C2365" s="9"/>
      <c r="D2365" t="str">
        <f>"ZK1225.4"</f>
        <v>ZK1225.4</v>
      </c>
      <c r="F2365" t="s">
        <v>11</v>
      </c>
      <c r="H2365" s="12">
        <v>2.7190393203872398</v>
      </c>
      <c r="I2365" s="11">
        <v>0.91754827262583905</v>
      </c>
      <c r="J2365" s="10">
        <v>0.35885540952126099</v>
      </c>
      <c r="K2365" s="29">
        <v>0.98289565623980701</v>
      </c>
    </row>
    <row r="2366" spans="1:11" x14ac:dyDescent="0.35">
      <c r="A2366" s="9" t="str">
        <f>HYPERLINK("http://www.ensembl.org/id/WBGene00001879", "WBGene00001879")</f>
        <v>WBGene00001879</v>
      </c>
      <c r="B2366" s="9" t="str">
        <f>HYPERLINK("http://www.ncbi.nlm.nih.gov/gene/179233", "179233")</f>
        <v>179233</v>
      </c>
      <c r="C2366" s="9" t="str">
        <f>HYPERLINK("http://www.ncbi.nlm.nih.gov/gene/121504", "121504")</f>
        <v>121504</v>
      </c>
      <c r="D2366" t="str">
        <f>"his-5"</f>
        <v>his-5</v>
      </c>
      <c r="E2366" t="s">
        <v>2675</v>
      </c>
      <c r="F2366" t="s">
        <v>11</v>
      </c>
      <c r="G2366" t="s">
        <v>232</v>
      </c>
      <c r="H2366" s="12">
        <v>2.7172125173152</v>
      </c>
      <c r="I2366" s="11">
        <v>0.98725421325681195</v>
      </c>
      <c r="J2366" s="10">
        <v>0.32351803067485302</v>
      </c>
      <c r="K2366" s="29">
        <v>0.98289565623980701</v>
      </c>
    </row>
    <row r="2367" spans="1:11" x14ac:dyDescent="0.35">
      <c r="A2367" s="9" t="str">
        <f>HYPERLINK("http://www.ensembl.org/id/WBGene00044240", "WBGene00044240")</f>
        <v>WBGene00044240</v>
      </c>
      <c r="B2367" s="9" t="str">
        <f>HYPERLINK("http://www.ncbi.nlm.nih.gov/gene/3564863", "3564863")</f>
        <v>3564863</v>
      </c>
      <c r="C2367" s="9"/>
      <c r="D2367" t="str">
        <f>"C47E12.14"</f>
        <v>C47E12.14</v>
      </c>
      <c r="F2367" t="s">
        <v>11</v>
      </c>
      <c r="H2367" s="12">
        <v>2.71529099150866</v>
      </c>
      <c r="I2367" s="11">
        <v>0.60589973417441101</v>
      </c>
      <c r="J2367" s="10">
        <v>0.54458133599186698</v>
      </c>
      <c r="K2367" s="29">
        <v>0.98289565623980701</v>
      </c>
    </row>
    <row r="2368" spans="1:11" x14ac:dyDescent="0.35">
      <c r="A2368" s="9" t="str">
        <f>HYPERLINK("http://www.ensembl.org/id/WBGene00284847", "WBGene00284847")</f>
        <v>WBGene00284847</v>
      </c>
      <c r="B2368" s="9" t="str">
        <f>HYPERLINK("http://www.ncbi.nlm.nih.gov/gene/36312789", "36312789")</f>
        <v>36312789</v>
      </c>
      <c r="C2368" s="9"/>
      <c r="D2368" t="str">
        <f>"F54D8.10"</f>
        <v>F54D8.10</v>
      </c>
      <c r="F2368" t="s">
        <v>11</v>
      </c>
      <c r="H2368" s="12">
        <v>2.7136852592062799</v>
      </c>
      <c r="I2368" s="11">
        <v>0.77787788767385302</v>
      </c>
      <c r="J2368" s="10">
        <v>0.43664100524826199</v>
      </c>
      <c r="K2368" s="29">
        <v>0.98289565623980701</v>
      </c>
    </row>
    <row r="2369" spans="1:11" x14ac:dyDescent="0.35">
      <c r="A2369" s="9" t="str">
        <f>HYPERLINK("http://www.ensembl.org/id/WBGene00000602", "WBGene00000602")</f>
        <v>WBGene00000602</v>
      </c>
      <c r="B2369" s="9" t="str">
        <f>HYPERLINK("http://www.ncbi.nlm.nih.gov/gene/179452", "179452")</f>
        <v>179452</v>
      </c>
      <c r="C2369" s="9"/>
      <c r="D2369" t="str">
        <f>"col-13"</f>
        <v>col-13</v>
      </c>
      <c r="E2369" t="s">
        <v>3010</v>
      </c>
      <c r="F2369" t="s">
        <v>11</v>
      </c>
      <c r="G2369" t="s">
        <v>152</v>
      </c>
      <c r="H2369" s="12">
        <v>2.7124539849777598</v>
      </c>
      <c r="I2369" s="11">
        <v>1.5031318438805701</v>
      </c>
      <c r="J2369" s="10">
        <v>0.13280504864951301</v>
      </c>
      <c r="K2369" s="29">
        <v>0.81996367013069704</v>
      </c>
    </row>
    <row r="2370" spans="1:11" x14ac:dyDescent="0.35">
      <c r="A2370" s="9" t="str">
        <f>HYPERLINK("http://www.ensembl.org/id/WBGene00006948", "WBGene00006948")</f>
        <v>WBGene00006948</v>
      </c>
      <c r="B2370" s="9" t="str">
        <f>HYPERLINK("http://www.ncbi.nlm.nih.gov/gene/180597", "180597")</f>
        <v>180597</v>
      </c>
      <c r="C2370" s="9"/>
      <c r="D2370" t="str">
        <f>"wrt-2"</f>
        <v>wrt-2</v>
      </c>
      <c r="E2370" t="s">
        <v>1152</v>
      </c>
      <c r="F2370" t="s">
        <v>11</v>
      </c>
      <c r="H2370" s="12">
        <v>2.7100148061331901</v>
      </c>
      <c r="I2370" s="11">
        <v>2.4402281101565602</v>
      </c>
      <c r="J2370" s="10">
        <v>1.4677990282438399E-2</v>
      </c>
      <c r="K2370" s="29">
        <v>0.25031660576892401</v>
      </c>
    </row>
    <row r="2371" spans="1:11" x14ac:dyDescent="0.35">
      <c r="A2371" s="9" t="str">
        <f>HYPERLINK("http://www.ensembl.org/id/WBGene00044489", "WBGene00044489")</f>
        <v>WBGene00044489</v>
      </c>
      <c r="B2371" s="9" t="str">
        <f>HYPERLINK("http://www.ncbi.nlm.nih.gov/gene/3896803", "3896803")</f>
        <v>3896803</v>
      </c>
      <c r="C2371" s="9"/>
      <c r="D2371" t="str">
        <f>"pudl-1"</f>
        <v>pudl-1</v>
      </c>
      <c r="E2371" t="s">
        <v>1062</v>
      </c>
      <c r="F2371" t="s">
        <v>11</v>
      </c>
      <c r="H2371" s="12">
        <v>2.7099044225328899</v>
      </c>
      <c r="I2371" s="11">
        <v>2.5238822845845599</v>
      </c>
      <c r="J2371" s="10">
        <v>1.16066787027035E-2</v>
      </c>
      <c r="K2371" s="29">
        <v>0.21398092929874199</v>
      </c>
    </row>
    <row r="2372" spans="1:11" x14ac:dyDescent="0.35">
      <c r="A2372" s="9" t="str">
        <f>HYPERLINK("http://www.ensembl.org/id/WBGene00050878", "WBGene00050878")</f>
        <v>WBGene00050878</v>
      </c>
      <c r="B2372" s="9"/>
      <c r="C2372" s="9"/>
      <c r="D2372" t="str">
        <f>"Y71A12C.3"</f>
        <v>Y71A12C.3</v>
      </c>
      <c r="F2372" t="s">
        <v>80</v>
      </c>
      <c r="H2372" s="12">
        <v>2.7092878833318199</v>
      </c>
      <c r="I2372" s="11">
        <v>0.37440322893469302</v>
      </c>
      <c r="J2372" s="10">
        <v>0.70810434101450404</v>
      </c>
      <c r="K2372" s="29">
        <v>0.98289565623980701</v>
      </c>
    </row>
    <row r="2373" spans="1:11" x14ac:dyDescent="0.35">
      <c r="A2373" s="9" t="str">
        <f>HYPERLINK("http://www.ensembl.org/id/WBGene00008032", "WBGene00008032")</f>
        <v>WBGene00008032</v>
      </c>
      <c r="B2373" s="9" t="str">
        <f>HYPERLINK("http://www.ncbi.nlm.nih.gov/gene/178255", "178255")</f>
        <v>178255</v>
      </c>
      <c r="C2373" s="9"/>
      <c r="D2373" t="str">
        <f>"C39E9.8"</f>
        <v>C39E9.8</v>
      </c>
      <c r="F2373" t="s">
        <v>11</v>
      </c>
      <c r="H2373" s="12">
        <v>2.7084317038839001</v>
      </c>
      <c r="I2373" s="11">
        <v>5.48068953703463</v>
      </c>
      <c r="J2373" s="10">
        <v>4.2367136613148299E-8</v>
      </c>
      <c r="K2373" s="29">
        <v>1.13829657974815E-5</v>
      </c>
    </row>
    <row r="2374" spans="1:11" x14ac:dyDescent="0.35">
      <c r="A2374" s="9" t="str">
        <f>HYPERLINK("http://www.ensembl.org/id/WBGene00269387", "WBGene00269387")</f>
        <v>WBGene00269387</v>
      </c>
      <c r="B2374" s="9" t="str">
        <f>HYPERLINK("http://www.ncbi.nlm.nih.gov/gene/27219618", "27219618")</f>
        <v>27219618</v>
      </c>
      <c r="C2374" s="9"/>
      <c r="D2374" t="str">
        <f>"btb-22"</f>
        <v>btb-22</v>
      </c>
      <c r="E2374" t="s">
        <v>468</v>
      </c>
      <c r="F2374" t="s">
        <v>11</v>
      </c>
      <c r="G2374" t="s">
        <v>417</v>
      </c>
      <c r="H2374" s="12">
        <v>2.7080814381233802</v>
      </c>
      <c r="I2374" s="11">
        <v>0.952550489653194</v>
      </c>
      <c r="J2374" s="10">
        <v>0.34081787278336301</v>
      </c>
      <c r="K2374" s="29">
        <v>0.98289565623980701</v>
      </c>
    </row>
    <row r="2375" spans="1:11" x14ac:dyDescent="0.35">
      <c r="A2375" s="9" t="str">
        <f>HYPERLINK("http://www.ensembl.org/id/WBGene00018699", "WBGene00018699")</f>
        <v>WBGene00018699</v>
      </c>
      <c r="B2375" s="9"/>
      <c r="C2375" s="9"/>
      <c r="D2375" t="str">
        <f>"F52E1.12"</f>
        <v>F52E1.12</v>
      </c>
      <c r="F2375" t="s">
        <v>80</v>
      </c>
      <c r="H2375" s="12">
        <v>2.7080814381233802</v>
      </c>
      <c r="I2375" s="11">
        <v>0.952550489653194</v>
      </c>
      <c r="J2375" s="10">
        <v>0.34081787278336301</v>
      </c>
      <c r="K2375" s="29">
        <v>0.98289565623980701</v>
      </c>
    </row>
    <row r="2376" spans="1:11" x14ac:dyDescent="0.35">
      <c r="A2376" s="9" t="str">
        <f>HYPERLINK("http://www.ensembl.org/id/WBGene00007521", "WBGene00007521")</f>
        <v>WBGene00007521</v>
      </c>
      <c r="B2376" s="9" t="str">
        <f>HYPERLINK("http://www.ncbi.nlm.nih.gov/gene/182517", "182517")</f>
        <v>182517</v>
      </c>
      <c r="C2376" s="9"/>
      <c r="D2376" t="str">
        <f>"C11E4.7"</f>
        <v>C11E4.7</v>
      </c>
      <c r="F2376" t="s">
        <v>11</v>
      </c>
      <c r="H2376" s="12">
        <v>2.7067956321654898</v>
      </c>
      <c r="I2376" s="11">
        <v>4.3916279146864401</v>
      </c>
      <c r="J2376" s="10">
        <v>1.12505114834427E-5</v>
      </c>
      <c r="K2376" s="29">
        <v>1.1302398044558E-3</v>
      </c>
    </row>
    <row r="2377" spans="1:11" x14ac:dyDescent="0.35">
      <c r="A2377" s="9" t="str">
        <f>HYPERLINK("http://www.ensembl.org/id/WBGene00019485", "WBGene00019485")</f>
        <v>WBGene00019485</v>
      </c>
      <c r="B2377" s="9" t="str">
        <f>HYPERLINK("http://www.ncbi.nlm.nih.gov/gene/187109", "187109")</f>
        <v>187109</v>
      </c>
      <c r="C2377" s="9"/>
      <c r="D2377" t="str">
        <f>"K07D4.5"</f>
        <v>K07D4.5</v>
      </c>
      <c r="F2377" t="s">
        <v>11</v>
      </c>
      <c r="H2377" s="12">
        <v>2.70662331856105</v>
      </c>
      <c r="I2377" s="11">
        <v>1.1785972990326501</v>
      </c>
      <c r="J2377" s="10">
        <v>0.238558567668926</v>
      </c>
      <c r="K2377" s="29">
        <v>0.98289565623980701</v>
      </c>
    </row>
    <row r="2378" spans="1:11" x14ac:dyDescent="0.35">
      <c r="A2378" s="9" t="str">
        <f>HYPERLINK("http://www.ensembl.org/id/WBGene00010387", "WBGene00010387")</f>
        <v>WBGene00010387</v>
      </c>
      <c r="B2378" s="9" t="str">
        <f>HYPERLINK("http://www.ncbi.nlm.nih.gov/gene/3565460", "3565460")</f>
        <v>3565460</v>
      </c>
      <c r="C2378" s="9"/>
      <c r="D2378" t="str">
        <f>"H12D21.11"</f>
        <v>H12D21.11</v>
      </c>
      <c r="F2378" t="s">
        <v>11</v>
      </c>
      <c r="G2378" t="s">
        <v>25</v>
      </c>
      <c r="H2378" s="12">
        <v>2.7057216902322301</v>
      </c>
      <c r="I2378" s="11">
        <v>0.71764300349490895</v>
      </c>
      <c r="J2378" s="10">
        <v>0.472977434977773</v>
      </c>
      <c r="K2378" s="29">
        <v>0.98289565623980701</v>
      </c>
    </row>
    <row r="2379" spans="1:11" x14ac:dyDescent="0.35">
      <c r="A2379" s="9" t="str">
        <f>HYPERLINK("http://www.ensembl.org/id/WBGene00020961", "WBGene00020961")</f>
        <v>WBGene00020961</v>
      </c>
      <c r="B2379" s="9" t="str">
        <f>HYPERLINK("http://www.ncbi.nlm.nih.gov/gene/189139", "189139")</f>
        <v>189139</v>
      </c>
      <c r="C2379" s="9"/>
      <c r="D2379" t="str">
        <f>"sknr-1"</f>
        <v>sknr-1</v>
      </c>
      <c r="E2379" t="s">
        <v>4358</v>
      </c>
      <c r="F2379" t="s">
        <v>11</v>
      </c>
      <c r="G2379" t="s">
        <v>4359</v>
      </c>
      <c r="H2379" s="12">
        <v>2.7057216902322301</v>
      </c>
      <c r="I2379" s="11">
        <v>0.71764300349490895</v>
      </c>
      <c r="J2379" s="10">
        <v>0.472977434977773</v>
      </c>
      <c r="K2379" s="29">
        <v>0.98289565623980701</v>
      </c>
    </row>
    <row r="2380" spans="1:11" x14ac:dyDescent="0.35">
      <c r="A2380" s="9" t="str">
        <f>HYPERLINK("http://www.ensembl.org/id/WBGene00013931", "WBGene00013931")</f>
        <v>WBGene00013931</v>
      </c>
      <c r="B2380" s="9" t="str">
        <f>HYPERLINK("http://www.ncbi.nlm.nih.gov/gene/191214", "191214")</f>
        <v>191214</v>
      </c>
      <c r="C2380" s="9"/>
      <c r="D2380" t="str">
        <f>"clec-97"</f>
        <v>clec-97</v>
      </c>
      <c r="E2380" t="s">
        <v>46</v>
      </c>
      <c r="F2380" t="s">
        <v>11</v>
      </c>
      <c r="G2380" t="s">
        <v>47</v>
      </c>
      <c r="H2380" s="12">
        <v>2.7045100905883901</v>
      </c>
      <c r="I2380" s="11">
        <v>3.7605168614311602</v>
      </c>
      <c r="J2380" s="10">
        <v>1.69562644371865E-4</v>
      </c>
      <c r="K2380" s="29">
        <v>9.8688021684037903E-3</v>
      </c>
    </row>
    <row r="2381" spans="1:11" x14ac:dyDescent="0.35">
      <c r="A2381" s="9" t="str">
        <f>HYPERLINK("http://www.ensembl.org/id/WBGene00004309", "WBGene00004309")</f>
        <v>WBGene00004309</v>
      </c>
      <c r="B2381" s="9" t="str">
        <f>HYPERLINK("http://www.ncbi.nlm.nih.gov/gene/182417", "182417")</f>
        <v>182417</v>
      </c>
      <c r="C2381" s="9"/>
      <c r="D2381" t="str">
        <f>"rap-3"</f>
        <v>rap-3</v>
      </c>
      <c r="E2381" t="s">
        <v>863</v>
      </c>
      <c r="F2381" t="s">
        <v>11</v>
      </c>
      <c r="G2381" t="s">
        <v>864</v>
      </c>
      <c r="H2381" s="12">
        <v>2.7039830998893302</v>
      </c>
      <c r="I2381" s="11">
        <v>2.7599280465317402</v>
      </c>
      <c r="J2381" s="10">
        <v>5.78140934502115E-3</v>
      </c>
      <c r="K2381" s="29">
        <v>0.134121731251063</v>
      </c>
    </row>
    <row r="2382" spans="1:11" x14ac:dyDescent="0.35">
      <c r="A2382" s="9" t="str">
        <f>HYPERLINK("http://www.ensembl.org/id/WBGene00009081", "WBGene00009081")</f>
        <v>WBGene00009081</v>
      </c>
      <c r="B2382" s="9" t="str">
        <f>HYPERLINK("http://www.ncbi.nlm.nih.gov/gene/179944", "179944")</f>
        <v>179944</v>
      </c>
      <c r="C2382" s="9"/>
      <c r="D2382" t="str">
        <f>"F23B12.4"</f>
        <v>F23B12.4</v>
      </c>
      <c r="F2382" t="s">
        <v>11</v>
      </c>
      <c r="H2382" s="12">
        <v>2.7033130739336002</v>
      </c>
      <c r="I2382" s="11">
        <v>5.2345369096129799</v>
      </c>
      <c r="J2382" s="10">
        <v>1.6539901913458199E-7</v>
      </c>
      <c r="K2382" s="29">
        <v>3.7103978020618099E-5</v>
      </c>
    </row>
    <row r="2383" spans="1:11" x14ac:dyDescent="0.35">
      <c r="A2383" s="9" t="str">
        <f>HYPERLINK("http://www.ensembl.org/id/WBGene00015257", "WBGene00015257")</f>
        <v>WBGene00015257</v>
      </c>
      <c r="B2383" s="9" t="str">
        <f>HYPERLINK("http://www.ncbi.nlm.nih.gov/gene/182035", "182035")</f>
        <v>182035</v>
      </c>
      <c r="C2383" s="9"/>
      <c r="D2383" t="str">
        <f>"B0554.4"</f>
        <v>B0554.4</v>
      </c>
      <c r="F2383" t="s">
        <v>11</v>
      </c>
      <c r="H2383" s="12">
        <v>2.7019802691837902</v>
      </c>
      <c r="I2383" s="11">
        <v>0.48147123197000302</v>
      </c>
      <c r="J2383" s="10">
        <v>0.63018162106616704</v>
      </c>
      <c r="K2383" s="29">
        <v>0.98289565623980701</v>
      </c>
    </row>
    <row r="2384" spans="1:11" x14ac:dyDescent="0.35">
      <c r="A2384" s="9" t="str">
        <f>HYPERLINK("http://www.ensembl.org/id/WBGene00200843", "WBGene00200843")</f>
        <v>WBGene00200843</v>
      </c>
      <c r="B2384" s="9"/>
      <c r="C2384" s="9"/>
      <c r="D2384" t="str">
        <f>"C07H4.4"</f>
        <v>C07H4.4</v>
      </c>
      <c r="F2384" t="s">
        <v>481</v>
      </c>
      <c r="H2384" s="12">
        <v>2.6998035299075398</v>
      </c>
      <c r="I2384" s="11">
        <v>0.58297164260955003</v>
      </c>
      <c r="J2384" s="10">
        <v>0.55991239013704897</v>
      </c>
      <c r="K2384" s="29">
        <v>0.98289565623980701</v>
      </c>
    </row>
    <row r="2385" spans="1:11" x14ac:dyDescent="0.35">
      <c r="A2385" s="9" t="str">
        <f>HYPERLINK("http://www.ensembl.org/id/WBGene00017416", "WBGene00017416")</f>
        <v>WBGene00017416</v>
      </c>
      <c r="B2385" s="9" t="str">
        <f>HYPERLINK("http://www.ncbi.nlm.nih.gov/gene/184407", "184407")</f>
        <v>184407</v>
      </c>
      <c r="C2385" s="9"/>
      <c r="D2385" t="str">
        <f>"F13B6.1"</f>
        <v>F13B6.1</v>
      </c>
      <c r="F2385" t="s">
        <v>11</v>
      </c>
      <c r="H2385" s="12">
        <v>2.6993954931732702</v>
      </c>
      <c r="I2385" s="11">
        <v>3.0398032729810098</v>
      </c>
      <c r="J2385" s="10">
        <v>2.3673272602126498E-3</v>
      </c>
      <c r="K2385" s="29">
        <v>7.2258208288604298E-2</v>
      </c>
    </row>
    <row r="2386" spans="1:11" x14ac:dyDescent="0.35">
      <c r="A2386" s="9" t="str">
        <f>HYPERLINK("http://www.ensembl.org/id/WBGene00011396", "WBGene00011396")</f>
        <v>WBGene00011396</v>
      </c>
      <c r="B2386" s="9" t="str">
        <f>HYPERLINK("http://www.ncbi.nlm.nih.gov/gene/188016", "188016")</f>
        <v>188016</v>
      </c>
      <c r="C2386" s="9"/>
      <c r="D2386" t="str">
        <f>"nhr-271"</f>
        <v>nhr-271</v>
      </c>
      <c r="E2386" t="s">
        <v>637</v>
      </c>
      <c r="F2386" t="s">
        <v>11</v>
      </c>
      <c r="G2386" t="s">
        <v>1073</v>
      </c>
      <c r="H2386" s="12">
        <v>2.6988900804940998</v>
      </c>
      <c r="I2386" s="11">
        <v>0.66950462399048105</v>
      </c>
      <c r="J2386" s="10">
        <v>0.50317363205255194</v>
      </c>
      <c r="K2386" s="29">
        <v>0.98289565623980701</v>
      </c>
    </row>
    <row r="2387" spans="1:11" x14ac:dyDescent="0.35">
      <c r="A2387" s="9" t="str">
        <f>HYPERLINK("http://www.ensembl.org/id/WBGene00199886", "WBGene00199886")</f>
        <v>WBGene00199886</v>
      </c>
      <c r="B2387" s="9"/>
      <c r="C2387" s="9"/>
      <c r="D2387" t="str">
        <f>"Y65A5A.26"</f>
        <v>Y65A5A.26</v>
      </c>
      <c r="F2387" t="s">
        <v>481</v>
      </c>
      <c r="H2387" s="12">
        <v>2.6979837705808198</v>
      </c>
      <c r="I2387" s="11">
        <v>0.74935582503769904</v>
      </c>
      <c r="J2387" s="10">
        <v>0.45364276885030402</v>
      </c>
      <c r="K2387" s="29">
        <v>0.98289565623980701</v>
      </c>
    </row>
    <row r="2388" spans="1:11" x14ac:dyDescent="0.35">
      <c r="A2388" s="9" t="str">
        <f>HYPERLINK("http://www.ensembl.org/id/WBGene00006666", "WBGene00006666")</f>
        <v>WBGene00006666</v>
      </c>
      <c r="B2388" s="9" t="str">
        <f>HYPERLINK("http://www.ncbi.nlm.nih.gov/gene/179088", "179088")</f>
        <v>179088</v>
      </c>
      <c r="C2388" s="9"/>
      <c r="D2388" t="str">
        <f>"twk-11"</f>
        <v>twk-11</v>
      </c>
      <c r="E2388" t="s">
        <v>894</v>
      </c>
      <c r="F2388" t="s">
        <v>11</v>
      </c>
      <c r="G2388" t="s">
        <v>895</v>
      </c>
      <c r="H2388" s="12">
        <v>2.6976739774331402</v>
      </c>
      <c r="I2388" s="11">
        <v>2.7372924406524599</v>
      </c>
      <c r="J2388" s="10">
        <v>6.1947197386376099E-3</v>
      </c>
      <c r="K2388" s="29">
        <v>0.13910125780462601</v>
      </c>
    </row>
    <row r="2389" spans="1:11" x14ac:dyDescent="0.35">
      <c r="A2389" s="9" t="str">
        <f>HYPERLINK("http://www.ensembl.org/id/WBGene00009360", "WBGene00009360")</f>
        <v>WBGene00009360</v>
      </c>
      <c r="B2389" s="9" t="str">
        <f>HYPERLINK("http://www.ncbi.nlm.nih.gov/gene/185234", "185234")</f>
        <v>185234</v>
      </c>
      <c r="C2389" s="9"/>
      <c r="D2389" t="str">
        <f>"F33E2.4"</f>
        <v>F33E2.4</v>
      </c>
      <c r="F2389" t="s">
        <v>11</v>
      </c>
      <c r="H2389" s="12">
        <v>2.6961001438038301</v>
      </c>
      <c r="I2389" s="11">
        <v>1.2131971147271099</v>
      </c>
      <c r="J2389" s="10">
        <v>0.22505446700169901</v>
      </c>
      <c r="K2389" s="29">
        <v>0.98002814908420599</v>
      </c>
    </row>
    <row r="2390" spans="1:11" x14ac:dyDescent="0.35">
      <c r="A2390" s="9" t="str">
        <f>HYPERLINK("http://www.ensembl.org/id/WBGene00044617", "WBGene00044617")</f>
        <v>WBGene00044617</v>
      </c>
      <c r="B2390" s="9" t="str">
        <f>HYPERLINK("http://www.ncbi.nlm.nih.gov/gene/187552", "187552")</f>
        <v>187552</v>
      </c>
      <c r="C2390" s="9"/>
      <c r="D2390" t="str">
        <f>"bus-1"</f>
        <v>bus-1</v>
      </c>
      <c r="F2390" t="s">
        <v>11</v>
      </c>
      <c r="G2390" t="s">
        <v>4360</v>
      </c>
      <c r="H2390" s="12">
        <v>2.69424860795234</v>
      </c>
      <c r="I2390" s="11">
        <v>1.0235075548924</v>
      </c>
      <c r="J2390" s="10">
        <v>0.30606792969369301</v>
      </c>
      <c r="K2390" s="29">
        <v>0.98289565623980701</v>
      </c>
    </row>
    <row r="2391" spans="1:11" x14ac:dyDescent="0.35">
      <c r="A2391" s="9" t="str">
        <f>HYPERLINK("http://www.ensembl.org/id/WBGene00022143", "WBGene00022143")</f>
        <v>WBGene00022143</v>
      </c>
      <c r="B2391" s="9" t="str">
        <f>HYPERLINK("http://www.ncbi.nlm.nih.gov/gene/190597", "190597")</f>
        <v>190597</v>
      </c>
      <c r="C2391" s="9"/>
      <c r="D2391" t="str">
        <f>"Y71G12B.3"</f>
        <v>Y71G12B.3</v>
      </c>
      <c r="F2391" t="s">
        <v>11</v>
      </c>
      <c r="G2391" t="s">
        <v>25</v>
      </c>
      <c r="H2391" s="12">
        <v>2.6931224734362198</v>
      </c>
      <c r="I2391" s="11">
        <v>0.61906797099543398</v>
      </c>
      <c r="J2391" s="10">
        <v>0.53587158217382502</v>
      </c>
      <c r="K2391" s="29">
        <v>0.98289565623980701</v>
      </c>
    </row>
    <row r="2392" spans="1:11" x14ac:dyDescent="0.35">
      <c r="A2392" s="9" t="str">
        <f>HYPERLINK("http://www.ensembl.org/id/WBGene00009685", "WBGene00009685")</f>
        <v>WBGene00009685</v>
      </c>
      <c r="B2392" s="9" t="str">
        <f>HYPERLINK("http://www.ncbi.nlm.nih.gov/gene/177864", "177864")</f>
        <v>177864</v>
      </c>
      <c r="C2392" s="9"/>
      <c r="D2392" t="str">
        <f>"F44D12.8"</f>
        <v>F44D12.8</v>
      </c>
      <c r="F2392" t="s">
        <v>11</v>
      </c>
      <c r="H2392" s="12">
        <v>2.69131695010512</v>
      </c>
      <c r="I2392" s="11">
        <v>0.70512408048938902</v>
      </c>
      <c r="J2392" s="10">
        <v>0.48073302200237</v>
      </c>
      <c r="K2392" s="29">
        <v>0.98289565623980701</v>
      </c>
    </row>
    <row r="2393" spans="1:11" x14ac:dyDescent="0.35">
      <c r="A2393" s="9" t="str">
        <f>HYPERLINK("http://www.ensembl.org/id/WBGene00002097", "WBGene00002097")</f>
        <v>WBGene00002097</v>
      </c>
      <c r="B2393" s="9" t="str">
        <f>HYPERLINK("http://www.ncbi.nlm.nih.gov/gene/3565293", "3565293")</f>
        <v>3565293</v>
      </c>
      <c r="C2393" s="9"/>
      <c r="D2393" t="str">
        <f>"ins-14"</f>
        <v>ins-14</v>
      </c>
      <c r="E2393" t="s">
        <v>12</v>
      </c>
      <c r="F2393" t="s">
        <v>11</v>
      </c>
      <c r="H2393" s="12">
        <v>2.69121109661481</v>
      </c>
      <c r="I2393" s="11">
        <v>1.1735945665248599</v>
      </c>
      <c r="J2393" s="10">
        <v>0.24055745859568001</v>
      </c>
      <c r="K2393" s="29">
        <v>0.98289565623980701</v>
      </c>
    </row>
    <row r="2394" spans="1:11" x14ac:dyDescent="0.35">
      <c r="A2394" s="9" t="str">
        <f>HYPERLINK("http://www.ensembl.org/id/WBGene00019948", "WBGene00019948")</f>
        <v>WBGene00019948</v>
      </c>
      <c r="B2394" s="9" t="str">
        <f>HYPERLINK("http://www.ncbi.nlm.nih.gov/gene/187696", "187696")</f>
        <v>187696</v>
      </c>
      <c r="C2394" s="9"/>
      <c r="D2394" t="str">
        <f>"R08C7.4"</f>
        <v>R08C7.4</v>
      </c>
      <c r="F2394" t="s">
        <v>11</v>
      </c>
      <c r="G2394" t="s">
        <v>1212</v>
      </c>
      <c r="H2394" s="12">
        <v>2.69033938242602</v>
      </c>
      <c r="I2394" s="11">
        <v>0.67105808739747697</v>
      </c>
      <c r="J2394" s="10">
        <v>0.50218352584528902</v>
      </c>
      <c r="K2394" s="29">
        <v>0.98289565623980701</v>
      </c>
    </row>
    <row r="2395" spans="1:11" x14ac:dyDescent="0.35">
      <c r="A2395" s="9" t="str">
        <f>HYPERLINK("http://www.ensembl.org/id/WBGene00022539", "WBGene00022539")</f>
        <v>WBGene00022539</v>
      </c>
      <c r="B2395" s="9" t="str">
        <f>HYPERLINK("http://www.ncbi.nlm.nih.gov/gene/191095", "191095")</f>
        <v>191095</v>
      </c>
      <c r="C2395" s="9"/>
      <c r="D2395" t="str">
        <f>"ZC190.5"</f>
        <v>ZC190.5</v>
      </c>
      <c r="F2395" t="s">
        <v>11</v>
      </c>
      <c r="G2395" t="s">
        <v>25</v>
      </c>
      <c r="H2395" s="12">
        <v>2.6897703146682601</v>
      </c>
      <c r="I2395" s="11">
        <v>0.51469490281756602</v>
      </c>
      <c r="J2395" s="10">
        <v>0.60676623585839695</v>
      </c>
      <c r="K2395" s="29">
        <v>0.98289565623980701</v>
      </c>
    </row>
    <row r="2396" spans="1:11" x14ac:dyDescent="0.35">
      <c r="A2396" s="9" t="str">
        <f>HYPERLINK("http://www.ensembl.org/id/WBGene00009090", "WBGene00009090")</f>
        <v>WBGene00009090</v>
      </c>
      <c r="B2396" s="9" t="str">
        <f>HYPERLINK("http://www.ncbi.nlm.nih.gov/gene/259352", "259352")</f>
        <v>259352</v>
      </c>
      <c r="C2396" s="9"/>
      <c r="D2396" t="str">
        <f>"fipr-3"</f>
        <v>fipr-3</v>
      </c>
      <c r="E2396" t="s">
        <v>28</v>
      </c>
      <c r="F2396" t="s">
        <v>11</v>
      </c>
      <c r="G2396" t="s">
        <v>25</v>
      </c>
      <c r="H2396" s="12">
        <v>2.68908458934385</v>
      </c>
      <c r="I2396" s="11">
        <v>3.5179748934422301</v>
      </c>
      <c r="J2396" s="10">
        <v>4.3485350240358902E-4</v>
      </c>
      <c r="K2396" s="29">
        <v>2.06318789045941E-2</v>
      </c>
    </row>
    <row r="2397" spans="1:11" x14ac:dyDescent="0.35">
      <c r="A2397" s="9" t="str">
        <f>HYPERLINK("http://www.ensembl.org/id/WBGene00012172", "WBGene00012172")</f>
        <v>WBGene00012172</v>
      </c>
      <c r="B2397" s="9" t="str">
        <f>HYPERLINK("http://www.ncbi.nlm.nih.gov/gene/189082", "189082")</f>
        <v>189082</v>
      </c>
      <c r="C2397" s="9"/>
      <c r="D2397" t="str">
        <f>"W01B6.5"</f>
        <v>W01B6.5</v>
      </c>
      <c r="E2397" t="s">
        <v>2588</v>
      </c>
      <c r="F2397" t="s">
        <v>11</v>
      </c>
      <c r="G2397" t="s">
        <v>2589</v>
      </c>
      <c r="H2397" s="12">
        <v>2.6868276893742302</v>
      </c>
      <c r="I2397" s="11">
        <v>0.66429697182914704</v>
      </c>
      <c r="J2397" s="10">
        <v>0.50650025878127702</v>
      </c>
      <c r="K2397" s="29">
        <v>0.98289565623980701</v>
      </c>
    </row>
    <row r="2398" spans="1:11" x14ac:dyDescent="0.35">
      <c r="A2398" s="9" t="str">
        <f>HYPERLINK("http://www.ensembl.org/id/WBGene00000717", "WBGene00000717")</f>
        <v>WBGene00000717</v>
      </c>
      <c r="B2398" s="9" t="str">
        <f>HYPERLINK("http://www.ncbi.nlm.nih.gov/gene/179296", "179296")</f>
        <v>179296</v>
      </c>
      <c r="C2398" s="9"/>
      <c r="D2398" t="str">
        <f>"col-144"</f>
        <v>col-144</v>
      </c>
      <c r="E2398" t="s">
        <v>40</v>
      </c>
      <c r="F2398" t="s">
        <v>11</v>
      </c>
      <c r="G2398" t="s">
        <v>152</v>
      </c>
      <c r="H2398" s="12">
        <v>2.68502723634231</v>
      </c>
      <c r="I2398" s="11">
        <v>5.0081856394105104</v>
      </c>
      <c r="J2398" s="10">
        <v>5.4945526728425699E-7</v>
      </c>
      <c r="K2398" s="29">
        <v>9.8416382991240706E-5</v>
      </c>
    </row>
    <row r="2399" spans="1:11" x14ac:dyDescent="0.35">
      <c r="A2399" s="9" t="str">
        <f>HYPERLINK("http://www.ensembl.org/id/WBGene00044771", "WBGene00044771")</f>
        <v>WBGene00044771</v>
      </c>
      <c r="B2399" s="9" t="str">
        <f>HYPERLINK("http://www.ncbi.nlm.nih.gov/gene/4363116", "4363116")</f>
        <v>4363116</v>
      </c>
      <c r="C2399" s="9"/>
      <c r="D2399" t="str">
        <f>"tmem-218"</f>
        <v>tmem-218</v>
      </c>
      <c r="E2399" t="s">
        <v>4361</v>
      </c>
      <c r="F2399" t="s">
        <v>11</v>
      </c>
      <c r="G2399" t="s">
        <v>4362</v>
      </c>
      <c r="H2399" s="12">
        <v>2.6843339069323102</v>
      </c>
      <c r="I2399" s="11">
        <v>1.00180868996122</v>
      </c>
      <c r="J2399" s="10">
        <v>0.31643599939498901</v>
      </c>
      <c r="K2399" s="29">
        <v>0.98289565623980701</v>
      </c>
    </row>
    <row r="2400" spans="1:11" x14ac:dyDescent="0.35">
      <c r="A2400" s="9" t="str">
        <f>HYPERLINK("http://www.ensembl.org/id/WBGene00007734", "WBGene00007734")</f>
        <v>WBGene00007734</v>
      </c>
      <c r="B2400" s="9" t="str">
        <f>HYPERLINK("http://www.ncbi.nlm.nih.gov/gene/182916", "182916")</f>
        <v>182916</v>
      </c>
      <c r="C2400" s="9"/>
      <c r="D2400" t="str">
        <f>"C25G4.7"</f>
        <v>C25G4.7</v>
      </c>
      <c r="F2400" t="s">
        <v>11</v>
      </c>
      <c r="H2400" s="12">
        <v>2.68175592159298</v>
      </c>
      <c r="I2400" s="11">
        <v>0.72021368531778795</v>
      </c>
      <c r="J2400" s="10">
        <v>0.47139343909112003</v>
      </c>
      <c r="K2400" s="29">
        <v>0.98289565623980701</v>
      </c>
    </row>
    <row r="2401" spans="1:11" x14ac:dyDescent="0.35">
      <c r="A2401" s="9" t="str">
        <f>HYPERLINK("http://www.ensembl.org/id/WBGene00001071", "WBGene00001071")</f>
        <v>WBGene00001071</v>
      </c>
      <c r="B2401" s="9" t="str">
        <f>HYPERLINK("http://www.ncbi.nlm.nih.gov/gene/176846", "176846")</f>
        <v>176846</v>
      </c>
      <c r="C2401" s="9"/>
      <c r="D2401" t="str">
        <f>"dpy-9"</f>
        <v>dpy-9</v>
      </c>
      <c r="E2401" t="s">
        <v>578</v>
      </c>
      <c r="F2401" t="s">
        <v>11</v>
      </c>
      <c r="G2401" t="s">
        <v>41</v>
      </c>
      <c r="H2401" s="12">
        <v>2.6795239108219202</v>
      </c>
      <c r="I2401" s="11">
        <v>1.7676744358809999</v>
      </c>
      <c r="J2401" s="10">
        <v>7.7115346092629197E-2</v>
      </c>
      <c r="K2401" s="29">
        <v>0.65316245851037102</v>
      </c>
    </row>
    <row r="2402" spans="1:11" x14ac:dyDescent="0.35">
      <c r="A2402" s="9" t="str">
        <f>HYPERLINK("http://www.ensembl.org/id/WBGene00012827", "WBGene00012827")</f>
        <v>WBGene00012827</v>
      </c>
      <c r="B2402" s="9" t="str">
        <f>HYPERLINK("http://www.ncbi.nlm.nih.gov/gene/180284", "180284")</f>
        <v>180284</v>
      </c>
      <c r="C2402" s="9"/>
      <c r="D2402" t="str">
        <f>"Y43F8C.5"</f>
        <v>Y43F8C.5</v>
      </c>
      <c r="F2402" t="s">
        <v>11</v>
      </c>
      <c r="H2402" s="12">
        <v>2.67906634077629</v>
      </c>
      <c r="I2402" s="11">
        <v>0.76596068733769496</v>
      </c>
      <c r="J2402" s="10">
        <v>0.44369969414488097</v>
      </c>
      <c r="K2402" s="29">
        <v>0.98289565623980701</v>
      </c>
    </row>
    <row r="2403" spans="1:11" x14ac:dyDescent="0.35">
      <c r="A2403" s="9" t="str">
        <f>HYPERLINK("http://www.ensembl.org/id/WBGene00007997", "WBGene00007997")</f>
        <v>WBGene00007997</v>
      </c>
      <c r="B2403" s="9" t="str">
        <f>HYPERLINK("http://www.ncbi.nlm.nih.gov/gene/183306", "183306")</f>
        <v>183306</v>
      </c>
      <c r="C2403" s="9"/>
      <c r="D2403" t="str">
        <f>"sre-13"</f>
        <v>sre-13</v>
      </c>
      <c r="E2403" t="s">
        <v>4363</v>
      </c>
      <c r="F2403" t="s">
        <v>11</v>
      </c>
      <c r="G2403" t="s">
        <v>2639</v>
      </c>
      <c r="H2403" s="12">
        <v>2.6751036604384302</v>
      </c>
      <c r="I2403" s="11">
        <v>0.82048314704571701</v>
      </c>
      <c r="J2403" s="10">
        <v>0.411940732785882</v>
      </c>
      <c r="K2403" s="29">
        <v>0.98289565623980701</v>
      </c>
    </row>
    <row r="2404" spans="1:11" x14ac:dyDescent="0.35">
      <c r="A2404" s="9" t="str">
        <f>HYPERLINK("http://www.ensembl.org/id/WBGene00001772", "WBGene00001772")</f>
        <v>WBGene00001772</v>
      </c>
      <c r="B2404" s="9" t="str">
        <f>HYPERLINK("http://www.ncbi.nlm.nih.gov/gene/185407", "185407")</f>
        <v>185407</v>
      </c>
      <c r="C2404" s="9" t="str">
        <f>HYPERLINK("http://www.ncbi.nlm.nih.gov/gene/27306", "27306")</f>
        <v>27306</v>
      </c>
      <c r="D2404" t="str">
        <f>"gst-24"</f>
        <v>gst-24</v>
      </c>
      <c r="E2404" t="s">
        <v>272</v>
      </c>
      <c r="F2404" t="s">
        <v>11</v>
      </c>
      <c r="G2404" t="s">
        <v>446</v>
      </c>
      <c r="H2404" s="12">
        <v>2.6736571781820402</v>
      </c>
      <c r="I2404" s="11">
        <v>3.54019586235288</v>
      </c>
      <c r="J2404" s="10">
        <v>3.9983018129204702E-4</v>
      </c>
      <c r="K2404" s="29">
        <v>1.9506391826442999E-2</v>
      </c>
    </row>
    <row r="2405" spans="1:11" x14ac:dyDescent="0.35">
      <c r="A2405" s="9" t="str">
        <f>HYPERLINK("http://www.ensembl.org/id/WBGene00235338", "WBGene00235338")</f>
        <v>WBGene00235338</v>
      </c>
      <c r="B2405" s="9"/>
      <c r="C2405" s="9"/>
      <c r="D2405" t="str">
        <f>"C24H12.19"</f>
        <v>C24H12.19</v>
      </c>
      <c r="F2405" t="s">
        <v>80</v>
      </c>
      <c r="H2405" s="12">
        <v>2.6729346149458602</v>
      </c>
      <c r="I2405" s="11">
        <v>0.67657219626340903</v>
      </c>
      <c r="J2405" s="10">
        <v>0.49867742486246702</v>
      </c>
      <c r="K2405" s="29">
        <v>0.98289565623980701</v>
      </c>
    </row>
    <row r="2406" spans="1:11" x14ac:dyDescent="0.35">
      <c r="A2406" s="9" t="str">
        <f>HYPERLINK("http://www.ensembl.org/id/WBGene00077552", "WBGene00077552")</f>
        <v>WBGene00077552</v>
      </c>
      <c r="B2406" s="9"/>
      <c r="C2406" s="9"/>
      <c r="D2406" t="str">
        <f>"H15N14.4"</f>
        <v>H15N14.4</v>
      </c>
      <c r="F2406" t="s">
        <v>80</v>
      </c>
      <c r="H2406" s="12">
        <v>2.67278443536429</v>
      </c>
      <c r="I2406" s="11">
        <v>0.84591797237968303</v>
      </c>
      <c r="J2406" s="10">
        <v>0.39759850569125998</v>
      </c>
      <c r="K2406" s="29">
        <v>0.98289565623980701</v>
      </c>
    </row>
    <row r="2407" spans="1:11" x14ac:dyDescent="0.35">
      <c r="A2407" s="9" t="str">
        <f>HYPERLINK("http://www.ensembl.org/id/WBGene00017550", "WBGene00017550")</f>
        <v>WBGene00017550</v>
      </c>
      <c r="B2407" s="9" t="str">
        <f>HYPERLINK("http://www.ncbi.nlm.nih.gov/gene/184628", "184628")</f>
        <v>184628</v>
      </c>
      <c r="C2407" s="9"/>
      <c r="D2407" t="str">
        <f>"nep-6"</f>
        <v>nep-6</v>
      </c>
      <c r="E2407" t="s">
        <v>683</v>
      </c>
      <c r="F2407" t="s">
        <v>11</v>
      </c>
      <c r="G2407" t="s">
        <v>4293</v>
      </c>
      <c r="H2407" s="12">
        <v>2.6724752996529202</v>
      </c>
      <c r="I2407" s="11">
        <v>0.52168898958265997</v>
      </c>
      <c r="J2407" s="10">
        <v>0.60188689200719803</v>
      </c>
      <c r="K2407" s="29">
        <v>0.98289565623980701</v>
      </c>
    </row>
    <row r="2408" spans="1:11" x14ac:dyDescent="0.35">
      <c r="A2408" s="9" t="str">
        <f>HYPERLINK("http://www.ensembl.org/id/WBGene00019109", "WBGene00019109")</f>
        <v>WBGene00019109</v>
      </c>
      <c r="B2408" s="9" t="str">
        <f>HYPERLINK("http://www.ncbi.nlm.nih.gov/gene/186621", "186621")</f>
        <v>186621</v>
      </c>
      <c r="C2408" s="9" t="str">
        <f>HYPERLINK("http://www.ncbi.nlm.nih.gov/gene/115817", "115817")</f>
        <v>115817</v>
      </c>
      <c r="D2408" t="str">
        <f>"F59E11.2"</f>
        <v>F59E11.2</v>
      </c>
      <c r="F2408" t="s">
        <v>11</v>
      </c>
      <c r="G2408" t="s">
        <v>489</v>
      </c>
      <c r="H2408" s="12">
        <v>2.6677824224699198</v>
      </c>
      <c r="I2408" s="11">
        <v>3.31130704923671</v>
      </c>
      <c r="J2408" s="10">
        <v>9.2861254959609703E-4</v>
      </c>
      <c r="K2408" s="29">
        <v>3.69303297262778E-2</v>
      </c>
    </row>
    <row r="2409" spans="1:11" x14ac:dyDescent="0.35">
      <c r="A2409" s="9" t="str">
        <f>HYPERLINK("http://www.ensembl.org/id/WBGene00016945", "WBGene00016945")</f>
        <v>WBGene00016945</v>
      </c>
      <c r="B2409" s="9" t="str">
        <f>HYPERLINK("http://www.ncbi.nlm.nih.gov/gene/183842", "183842")</f>
        <v>183842</v>
      </c>
      <c r="C2409" s="9"/>
      <c r="D2409" t="str">
        <f>"sulp-1"</f>
        <v>sulp-1</v>
      </c>
      <c r="E2409" t="s">
        <v>648</v>
      </c>
      <c r="F2409" t="s">
        <v>11</v>
      </c>
      <c r="G2409" t="s">
        <v>649</v>
      </c>
      <c r="H2409" s="12">
        <v>2.6654490864045801</v>
      </c>
      <c r="I2409" s="11">
        <v>3.04709429000971</v>
      </c>
      <c r="J2409" s="10">
        <v>2.3106521562320801E-3</v>
      </c>
      <c r="K2409" s="29">
        <v>7.1472461475098406E-2</v>
      </c>
    </row>
    <row r="2410" spans="1:11" x14ac:dyDescent="0.35">
      <c r="A2410" s="9" t="str">
        <f>HYPERLINK("http://www.ensembl.org/id/WBGene00005692", "WBGene00005692")</f>
        <v>WBGene00005692</v>
      </c>
      <c r="B2410" s="9" t="str">
        <f>HYPERLINK("http://www.ncbi.nlm.nih.gov/gene/183645", "183645")</f>
        <v>183645</v>
      </c>
      <c r="C2410" s="9"/>
      <c r="D2410" t="str">
        <f>"sru-29"</f>
        <v>sru-29</v>
      </c>
      <c r="E2410" t="s">
        <v>2653</v>
      </c>
      <c r="F2410" t="s">
        <v>11</v>
      </c>
      <c r="G2410" t="s">
        <v>25</v>
      </c>
      <c r="H2410" s="12">
        <v>2.6631386633436098</v>
      </c>
      <c r="I2410" s="11">
        <v>0.44282277191421998</v>
      </c>
      <c r="J2410" s="10">
        <v>0.65789393078026304</v>
      </c>
      <c r="K2410" s="29">
        <v>0.98289565623980701</v>
      </c>
    </row>
    <row r="2411" spans="1:11" x14ac:dyDescent="0.35">
      <c r="A2411" s="9" t="str">
        <f>HYPERLINK("http://www.ensembl.org/id/WBGene00014008", "WBGene00014008")</f>
        <v>WBGene00014008</v>
      </c>
      <c r="B2411" s="9" t="str">
        <f>HYPERLINK("http://www.ncbi.nlm.nih.gov/gene/191357", "191357")</f>
        <v>191357</v>
      </c>
      <c r="C2411" s="9"/>
      <c r="D2411" t="str">
        <f>"ZK596.3"</f>
        <v>ZK596.3</v>
      </c>
      <c r="F2411" t="s">
        <v>11</v>
      </c>
      <c r="G2411" t="s">
        <v>25</v>
      </c>
      <c r="H2411" s="12">
        <v>2.6607052188674301</v>
      </c>
      <c r="I2411" s="11">
        <v>2.0133045238648601</v>
      </c>
      <c r="J2411" s="10">
        <v>4.40826027447664E-2</v>
      </c>
      <c r="K2411" s="29">
        <v>0.48642436438422698</v>
      </c>
    </row>
    <row r="2412" spans="1:11" x14ac:dyDescent="0.35">
      <c r="A2412" s="9" t="str">
        <f>HYPERLINK("http://www.ensembl.org/id/WBGene00011817", "WBGene00011817")</f>
        <v>WBGene00011817</v>
      </c>
      <c r="B2412" s="9" t="str">
        <f>HYPERLINK("http://www.ncbi.nlm.nih.gov/gene/188562", "188562")</f>
        <v>188562</v>
      </c>
      <c r="C2412" s="9"/>
      <c r="D2412" t="str">
        <f>"T16H12.9"</f>
        <v>T16H12.9</v>
      </c>
      <c r="F2412" t="s">
        <v>11</v>
      </c>
      <c r="H2412" s="12">
        <v>2.6572943959228299</v>
      </c>
      <c r="I2412" s="11">
        <v>3.4007540589454699</v>
      </c>
      <c r="J2412" s="10">
        <v>6.7200257991736402E-4</v>
      </c>
      <c r="K2412" s="29">
        <v>2.8542815462446001E-2</v>
      </c>
    </row>
    <row r="2413" spans="1:11" x14ac:dyDescent="0.35">
      <c r="A2413" s="9" t="str">
        <f>HYPERLINK("http://www.ensembl.org/id/WBGene00010940", "WBGene00010940")</f>
        <v>WBGene00010940</v>
      </c>
      <c r="B2413" s="9" t="str">
        <f>HYPERLINK("http://www.ncbi.nlm.nih.gov/gene/3565205", "3565205")</f>
        <v>3565205</v>
      </c>
      <c r="C2413" s="9"/>
      <c r="D2413" t="str">
        <f>"M163.8"</f>
        <v>M163.8</v>
      </c>
      <c r="F2413" t="s">
        <v>11</v>
      </c>
      <c r="H2413" s="12">
        <v>2.6561599030428602</v>
      </c>
      <c r="I2413" s="11">
        <v>1.8257576933547199</v>
      </c>
      <c r="J2413" s="10">
        <v>6.7886768546510198E-2</v>
      </c>
      <c r="K2413" s="29">
        <v>0.61828603627736101</v>
      </c>
    </row>
    <row r="2414" spans="1:11" x14ac:dyDescent="0.35">
      <c r="A2414" s="9" t="str">
        <f>HYPERLINK("http://www.ensembl.org/id/WBGene00013421", "WBGene00013421")</f>
        <v>WBGene00013421</v>
      </c>
      <c r="B2414" s="9" t="str">
        <f>HYPERLINK("http://www.ncbi.nlm.nih.gov/gene/190489", "190489")</f>
        <v>190489</v>
      </c>
      <c r="C2414" s="9"/>
      <c r="D2414" t="str">
        <f>"fbxa-220"</f>
        <v>fbxa-220</v>
      </c>
      <c r="E2414" t="s">
        <v>467</v>
      </c>
      <c r="F2414" t="s">
        <v>11</v>
      </c>
      <c r="H2414" s="12">
        <v>2.65466114930787</v>
      </c>
      <c r="I2414" s="11">
        <v>0.85197829460728403</v>
      </c>
      <c r="J2414" s="10">
        <v>0.39422613918661498</v>
      </c>
      <c r="K2414" s="29">
        <v>0.98289565623980701</v>
      </c>
    </row>
    <row r="2415" spans="1:11" x14ac:dyDescent="0.35">
      <c r="A2415" s="9" t="str">
        <f>HYPERLINK("http://www.ensembl.org/id/WBGene00015692", "WBGene00015692")</f>
        <v>WBGene00015692</v>
      </c>
      <c r="B2415" s="9" t="str">
        <f>HYPERLINK("http://www.ncbi.nlm.nih.gov/gene/172087", "172087")</f>
        <v>172087</v>
      </c>
      <c r="C2415" s="9"/>
      <c r="D2415" t="str">
        <f>"ugt-25"</f>
        <v>ugt-25</v>
      </c>
      <c r="E2415" t="s">
        <v>948</v>
      </c>
      <c r="F2415" t="s">
        <v>11</v>
      </c>
      <c r="G2415" t="s">
        <v>104</v>
      </c>
      <c r="H2415" s="12">
        <v>2.6544702371719602</v>
      </c>
      <c r="I2415" s="11">
        <v>2.6058278035259099</v>
      </c>
      <c r="J2415" s="10">
        <v>9.1652525844711803E-3</v>
      </c>
      <c r="K2415" s="29">
        <v>0.18576519843578199</v>
      </c>
    </row>
    <row r="2416" spans="1:11" x14ac:dyDescent="0.35">
      <c r="A2416" s="9" t="str">
        <f>HYPERLINK("http://www.ensembl.org/id/WBGene00008448", "WBGene00008448")</f>
        <v>WBGene00008448</v>
      </c>
      <c r="B2416" s="9" t="str">
        <f>HYPERLINK("http://www.ncbi.nlm.nih.gov/gene/174990", "174990")</f>
        <v>174990</v>
      </c>
      <c r="C2416" s="9"/>
      <c r="D2416" t="str">
        <f>"E01G4.6"</f>
        <v>E01G4.6</v>
      </c>
      <c r="F2416" t="s">
        <v>11</v>
      </c>
      <c r="H2416" s="12">
        <v>2.6519766829665801</v>
      </c>
      <c r="I2416" s="11">
        <v>1.68845239789407</v>
      </c>
      <c r="J2416" s="10">
        <v>9.1324419368184306E-2</v>
      </c>
      <c r="K2416" s="29">
        <v>0.69916970918546395</v>
      </c>
    </row>
    <row r="2417" spans="1:11" x14ac:dyDescent="0.35">
      <c r="A2417" s="9" t="str">
        <f>HYPERLINK("http://www.ensembl.org/id/WBGene00017568", "WBGene00017568")</f>
        <v>WBGene00017568</v>
      </c>
      <c r="B2417" s="9" t="str">
        <f>HYPERLINK("http://www.ncbi.nlm.nih.gov/gene/184646", "184646")</f>
        <v>184646</v>
      </c>
      <c r="C2417" s="9"/>
      <c r="D2417" t="str">
        <f>"F18E9.1"</f>
        <v>F18E9.1</v>
      </c>
      <c r="F2417" t="s">
        <v>11</v>
      </c>
      <c r="H2417" s="12">
        <v>2.6518468620835201</v>
      </c>
      <c r="I2417" s="11">
        <v>1.74585998135608</v>
      </c>
      <c r="J2417" s="10">
        <v>8.0835285204898799E-2</v>
      </c>
      <c r="K2417" s="29">
        <v>0.66950682335351297</v>
      </c>
    </row>
    <row r="2418" spans="1:11" x14ac:dyDescent="0.35">
      <c r="A2418" s="9" t="str">
        <f>HYPERLINK("http://www.ensembl.org/id/WBGene00044088", "WBGene00044088")</f>
        <v>WBGene00044088</v>
      </c>
      <c r="B2418" s="9" t="str">
        <f>HYPERLINK("http://www.ncbi.nlm.nih.gov/gene/3565938", "3565938")</f>
        <v>3565938</v>
      </c>
      <c r="C2418" s="9"/>
      <c r="D2418" t="str">
        <f>"oac-2"</f>
        <v>oac-2</v>
      </c>
      <c r="E2418" t="s">
        <v>883</v>
      </c>
      <c r="F2418" t="s">
        <v>11</v>
      </c>
      <c r="G2418" t="s">
        <v>2293</v>
      </c>
      <c r="H2418" s="12">
        <v>2.6518412405657501</v>
      </c>
      <c r="I2418" s="11">
        <v>1.72687669941633</v>
      </c>
      <c r="J2418" s="10">
        <v>8.4189809897173298E-2</v>
      </c>
      <c r="K2418" s="29">
        <v>0.68318940529949201</v>
      </c>
    </row>
    <row r="2419" spans="1:11" x14ac:dyDescent="0.35">
      <c r="A2419" s="9" t="str">
        <f>HYPERLINK("http://www.ensembl.org/id/WBGene00000903", "WBGene00000903")</f>
        <v>WBGene00000903</v>
      </c>
      <c r="B2419" s="9" t="str">
        <f>HYPERLINK("http://www.ncbi.nlm.nih.gov/gene/175237", "175237")</f>
        <v>175237</v>
      </c>
      <c r="C2419" s="9" t="str">
        <f>HYPERLINK("http://www.ncbi.nlm.nih.gov/gene/10220", "10220")</f>
        <v>10220</v>
      </c>
      <c r="D2419" t="str">
        <f>"daf-7"</f>
        <v>daf-7</v>
      </c>
      <c r="E2419" t="s">
        <v>665</v>
      </c>
      <c r="F2419" t="s">
        <v>11</v>
      </c>
      <c r="G2419" t="s">
        <v>666</v>
      </c>
      <c r="H2419" s="12">
        <v>2.6502475767635798</v>
      </c>
      <c r="I2419" s="11">
        <v>3.0344167485401101</v>
      </c>
      <c r="J2419" s="10">
        <v>2.4100126038403701E-3</v>
      </c>
      <c r="K2419" s="29">
        <v>7.3174443133161099E-2</v>
      </c>
    </row>
    <row r="2420" spans="1:11" x14ac:dyDescent="0.35">
      <c r="A2420" s="9" t="str">
        <f>HYPERLINK("http://www.ensembl.org/id/WBGene00012312", "WBGene00012312")</f>
        <v>WBGene00012312</v>
      </c>
      <c r="B2420" s="9" t="str">
        <f>HYPERLINK("http://www.ncbi.nlm.nih.gov/gene/189260", "189260")</f>
        <v>189260</v>
      </c>
      <c r="C2420" s="9"/>
      <c r="D2420" t="str">
        <f>"W06G6.10"</f>
        <v>W06G6.10</v>
      </c>
      <c r="F2420" t="s">
        <v>11</v>
      </c>
      <c r="H2420" s="12">
        <v>2.64973082482889</v>
      </c>
      <c r="I2420" s="11">
        <v>0.61531222074498404</v>
      </c>
      <c r="J2420" s="10">
        <v>0.53834854846559999</v>
      </c>
      <c r="K2420" s="29">
        <v>0.98289565623980701</v>
      </c>
    </row>
    <row r="2421" spans="1:11" x14ac:dyDescent="0.35">
      <c r="A2421" s="9" t="str">
        <f>HYPERLINK("http://www.ensembl.org/id/WBGene00189951", "WBGene00189951")</f>
        <v>WBGene00189951</v>
      </c>
      <c r="B2421" s="9"/>
      <c r="C2421" s="9"/>
      <c r="D2421" t="str">
        <f>"linc-29"</f>
        <v>linc-29</v>
      </c>
      <c r="F2421" t="s">
        <v>1510</v>
      </c>
      <c r="H2421" s="12">
        <v>2.64965909231922</v>
      </c>
      <c r="I2421" s="11">
        <v>1.69857657721153</v>
      </c>
      <c r="J2421" s="10">
        <v>8.9398992832914206E-2</v>
      </c>
      <c r="K2421" s="29">
        <v>0.69596701327903199</v>
      </c>
    </row>
    <row r="2422" spans="1:11" x14ac:dyDescent="0.35">
      <c r="A2422" s="9" t="str">
        <f>HYPERLINK("http://www.ensembl.org/id/WBGene00008522", "WBGene00008522")</f>
        <v>WBGene00008522</v>
      </c>
      <c r="B2422" s="9" t="str">
        <f>HYPERLINK("http://www.ncbi.nlm.nih.gov/gene/3565387", "3565387")</f>
        <v>3565387</v>
      </c>
      <c r="C2422" s="9"/>
      <c r="D2422" t="str">
        <f>"nlp-59"</f>
        <v>nlp-59</v>
      </c>
      <c r="E2422" t="s">
        <v>76</v>
      </c>
      <c r="F2422" t="s">
        <v>11</v>
      </c>
      <c r="G2422" t="s">
        <v>183</v>
      </c>
      <c r="H2422" s="12">
        <v>2.6491444900450198</v>
      </c>
      <c r="I2422" s="11">
        <v>4.7492134751564397</v>
      </c>
      <c r="J2422" s="10">
        <v>2.04209294657025E-6</v>
      </c>
      <c r="K2422" s="29">
        <v>2.7432906757821101E-4</v>
      </c>
    </row>
    <row r="2423" spans="1:11" x14ac:dyDescent="0.35">
      <c r="A2423" s="9" t="str">
        <f>HYPERLINK("http://www.ensembl.org/id/WBGene00219375", "WBGene00219375")</f>
        <v>WBGene00219375</v>
      </c>
      <c r="B2423" s="9" t="str">
        <f>HYPERLINK("http://www.ncbi.nlm.nih.gov/gene/13221698", "13221698")</f>
        <v>13221698</v>
      </c>
      <c r="C2423" s="9"/>
      <c r="D2423" t="str">
        <f>"C02B8.12"</f>
        <v>C02B8.12</v>
      </c>
      <c r="F2423" t="s">
        <v>11</v>
      </c>
      <c r="H2423" s="12">
        <v>2.6473841857476401</v>
      </c>
      <c r="I2423" s="11">
        <v>3.9121585171187201</v>
      </c>
      <c r="J2423" s="10">
        <v>9.1474833831414301E-5</v>
      </c>
      <c r="K2423" s="29">
        <v>6.1801681593820499E-3</v>
      </c>
    </row>
    <row r="2424" spans="1:11" x14ac:dyDescent="0.35">
      <c r="A2424" s="9" t="str">
        <f>HYPERLINK("http://www.ensembl.org/id/WBGene00016259", "WBGene00016259")</f>
        <v>WBGene00016259</v>
      </c>
      <c r="B2424" s="9" t="str">
        <f>HYPERLINK("http://www.ncbi.nlm.nih.gov/gene/172136", "172136")</f>
        <v>172136</v>
      </c>
      <c r="C2424" s="9"/>
      <c r="D2424" t="str">
        <f>"C30F8.3"</f>
        <v>C30F8.3</v>
      </c>
      <c r="F2424" t="s">
        <v>11</v>
      </c>
      <c r="H2424" s="12">
        <v>2.64678004794983</v>
      </c>
      <c r="I2424" s="11">
        <v>2.5571396864736999</v>
      </c>
      <c r="J2424" s="10">
        <v>1.0553682842966899E-2</v>
      </c>
      <c r="K2424" s="29">
        <v>0.20248140561366099</v>
      </c>
    </row>
    <row r="2425" spans="1:11" x14ac:dyDescent="0.35">
      <c r="A2425" s="9" t="str">
        <f>HYPERLINK("http://www.ensembl.org/id/WBGene00009889", "WBGene00009889")</f>
        <v>WBGene00009889</v>
      </c>
      <c r="B2425" s="9" t="str">
        <f>HYPERLINK("http://www.ncbi.nlm.nih.gov/gene/186046", "186046")</f>
        <v>186046</v>
      </c>
      <c r="C2425" s="9"/>
      <c r="D2425" t="str">
        <f>"F49E11.2"</f>
        <v>F49E11.2</v>
      </c>
      <c r="F2425" t="s">
        <v>11</v>
      </c>
      <c r="G2425" t="s">
        <v>1793</v>
      </c>
      <c r="H2425" s="12">
        <v>2.6456667659757702</v>
      </c>
      <c r="I2425" s="11">
        <v>1.6746850892021301</v>
      </c>
      <c r="J2425" s="10">
        <v>9.3996034500222106E-2</v>
      </c>
      <c r="K2425" s="29">
        <v>0.70905362839480801</v>
      </c>
    </row>
    <row r="2426" spans="1:11" x14ac:dyDescent="0.35">
      <c r="A2426" s="9" t="str">
        <f>HYPERLINK("http://www.ensembl.org/id/WBGene00015645", "WBGene00015645")</f>
        <v>WBGene00015645</v>
      </c>
      <c r="B2426" s="9" t="str">
        <f>HYPERLINK("http://www.ncbi.nlm.nih.gov/gene/173446", "173446")</f>
        <v>173446</v>
      </c>
      <c r="C2426" s="9"/>
      <c r="D2426" t="str">
        <f>"lips-7"</f>
        <v>lips-7</v>
      </c>
      <c r="E2426" t="s">
        <v>430</v>
      </c>
      <c r="F2426" t="s">
        <v>11</v>
      </c>
      <c r="G2426" t="s">
        <v>431</v>
      </c>
      <c r="H2426" s="12">
        <v>2.6431550999340798</v>
      </c>
      <c r="I2426" s="11">
        <v>1.22424552296578</v>
      </c>
      <c r="J2426" s="10">
        <v>0.22085962088868799</v>
      </c>
      <c r="K2426" s="29">
        <v>0.97343979691078797</v>
      </c>
    </row>
    <row r="2427" spans="1:11" x14ac:dyDescent="0.35">
      <c r="A2427" s="9" t="str">
        <f>HYPERLINK("http://www.ensembl.org/id/WBGene00021745", "WBGene00021745")</f>
        <v>WBGene00021745</v>
      </c>
      <c r="B2427" s="9" t="str">
        <f>HYPERLINK("http://www.ncbi.nlm.nih.gov/gene/3565593", "3565593")</f>
        <v>3565593</v>
      </c>
      <c r="C2427" s="9"/>
      <c r="D2427" t="str">
        <f>"Y50D4B.6"</f>
        <v>Y50D4B.6</v>
      </c>
      <c r="F2427" t="s">
        <v>11</v>
      </c>
      <c r="G2427" t="s">
        <v>1778</v>
      </c>
      <c r="H2427" s="12">
        <v>2.6412246332056202</v>
      </c>
      <c r="I2427" s="11">
        <v>1.76682766912977</v>
      </c>
      <c r="J2427" s="10">
        <v>7.7257093385424205E-2</v>
      </c>
      <c r="K2427" s="29">
        <v>0.653883662917074</v>
      </c>
    </row>
    <row r="2428" spans="1:11" x14ac:dyDescent="0.35">
      <c r="A2428" s="9" t="str">
        <f>HYPERLINK("http://www.ensembl.org/id/WBGene00005428", "WBGene00005428")</f>
        <v>WBGene00005428</v>
      </c>
      <c r="B2428" s="9" t="str">
        <f>HYPERLINK("http://www.ncbi.nlm.nih.gov/gene/3565018", "3565018")</f>
        <v>3565018</v>
      </c>
      <c r="C2428" s="9"/>
      <c r="D2428" t="str">
        <f>"srh-218"</f>
        <v>srh-218</v>
      </c>
      <c r="E2428" t="s">
        <v>153</v>
      </c>
      <c r="F2428" t="s">
        <v>11</v>
      </c>
      <c r="G2428" t="s">
        <v>25</v>
      </c>
      <c r="H2428" s="12">
        <v>2.6410662021451499</v>
      </c>
      <c r="I2428" s="11">
        <v>0.51340356126562103</v>
      </c>
      <c r="J2428" s="10">
        <v>0.60766905496593404</v>
      </c>
      <c r="K2428" s="29">
        <v>0.98289565623980701</v>
      </c>
    </row>
    <row r="2429" spans="1:11" x14ac:dyDescent="0.35">
      <c r="A2429" s="9" t="str">
        <f>HYPERLINK("http://www.ensembl.org/id/WBGene00016954", "WBGene00016954")</f>
        <v>WBGene00016954</v>
      </c>
      <c r="B2429" s="9" t="str">
        <f>HYPERLINK("http://www.ncbi.nlm.nih.gov/gene/177346", "177346")</f>
        <v>177346</v>
      </c>
      <c r="C2429" s="9"/>
      <c r="D2429" t="str">
        <f>"C55C3.4"</f>
        <v>C55C3.4</v>
      </c>
      <c r="E2429" t="s">
        <v>2588</v>
      </c>
      <c r="F2429" t="s">
        <v>11</v>
      </c>
      <c r="G2429" t="s">
        <v>2589</v>
      </c>
      <c r="H2429" s="12">
        <v>2.6353662261299799</v>
      </c>
      <c r="I2429" s="11">
        <v>0.60079035935774605</v>
      </c>
      <c r="J2429" s="10">
        <v>0.54797962606180395</v>
      </c>
      <c r="K2429" s="29">
        <v>0.98289565623980701</v>
      </c>
    </row>
    <row r="2430" spans="1:11" x14ac:dyDescent="0.35">
      <c r="A2430" s="9" t="str">
        <f>HYPERLINK("http://www.ensembl.org/id/WBGene00077569", "WBGene00077569")</f>
        <v>WBGene00077569</v>
      </c>
      <c r="B2430" s="9" t="str">
        <f>HYPERLINK("http://www.ncbi.nlm.nih.gov/gene/6418744", "6418744")</f>
        <v>6418744</v>
      </c>
      <c r="C2430" s="9"/>
      <c r="D2430" t="str">
        <f>"F53F4.18"</f>
        <v>F53F4.18</v>
      </c>
      <c r="F2430" t="s">
        <v>11</v>
      </c>
      <c r="G2430" t="s">
        <v>25</v>
      </c>
      <c r="H2430" s="12">
        <v>2.6350925227692801</v>
      </c>
      <c r="I2430" s="11">
        <v>0.72874329080909706</v>
      </c>
      <c r="J2430" s="10">
        <v>0.46615870641608098</v>
      </c>
      <c r="K2430" s="29">
        <v>0.98289565623980701</v>
      </c>
    </row>
    <row r="2431" spans="1:11" x14ac:dyDescent="0.35">
      <c r="A2431" s="9" t="str">
        <f>HYPERLINK("http://www.ensembl.org/id/WBGene00271437", "WBGene00271437")</f>
        <v>WBGene00271437</v>
      </c>
      <c r="B2431" s="9" t="str">
        <f>HYPERLINK("http://www.ncbi.nlm.nih.gov/gene/13213535", "13213535")</f>
        <v>13213535</v>
      </c>
      <c r="C2431" s="9"/>
      <c r="D2431" t="str">
        <f>"F10D2.16"</f>
        <v>F10D2.16</v>
      </c>
      <c r="F2431" t="s">
        <v>11</v>
      </c>
      <c r="G2431" t="s">
        <v>25</v>
      </c>
      <c r="H2431" s="12">
        <v>2.6332782403384201</v>
      </c>
      <c r="I2431" s="11">
        <v>0.55032415732920104</v>
      </c>
      <c r="J2431" s="10">
        <v>0.58209705787090504</v>
      </c>
      <c r="K2431" s="29">
        <v>0.98289565623980701</v>
      </c>
    </row>
    <row r="2432" spans="1:11" x14ac:dyDescent="0.35">
      <c r="A2432" s="9" t="str">
        <f>HYPERLINK("http://www.ensembl.org/id/WBGene00008057", "WBGene00008057")</f>
        <v>WBGene00008057</v>
      </c>
      <c r="B2432" s="9" t="str">
        <f>HYPERLINK("http://www.ncbi.nlm.nih.gov/gene/183382", "183382")</f>
        <v>183382</v>
      </c>
      <c r="C2432" s="9"/>
      <c r="D2432" t="str">
        <f>"irld-25"</f>
        <v>irld-25</v>
      </c>
      <c r="E2432" t="s">
        <v>1627</v>
      </c>
      <c r="F2432" t="s">
        <v>11</v>
      </c>
      <c r="H2432" s="12">
        <v>2.6332782403384201</v>
      </c>
      <c r="I2432" s="11">
        <v>0.55032415732920104</v>
      </c>
      <c r="J2432" s="10">
        <v>0.58209705787090504</v>
      </c>
      <c r="K2432" s="29">
        <v>0.98289565623980701</v>
      </c>
    </row>
    <row r="2433" spans="1:11" x14ac:dyDescent="0.35">
      <c r="A2433" s="9" t="str">
        <f>HYPERLINK("http://www.ensembl.org/id/WBGene00009388", "WBGene00009388")</f>
        <v>WBGene00009388</v>
      </c>
      <c r="B2433" s="9" t="str">
        <f>HYPERLINK("http://www.ncbi.nlm.nih.gov/gene/179591", "179591")</f>
        <v>179591</v>
      </c>
      <c r="C2433" s="9"/>
      <c r="D2433" t="str">
        <f>"F35B12.9"</f>
        <v>F35B12.9</v>
      </c>
      <c r="F2433" t="s">
        <v>11</v>
      </c>
      <c r="G2433" t="s">
        <v>25</v>
      </c>
      <c r="H2433" s="12">
        <v>2.6319553139116798</v>
      </c>
      <c r="I2433" s="11">
        <v>4.9175561626074504</v>
      </c>
      <c r="J2433" s="10">
        <v>8.7631319855056898E-7</v>
      </c>
      <c r="K2433" s="29">
        <v>1.3964201907385799E-4</v>
      </c>
    </row>
    <row r="2434" spans="1:11" x14ac:dyDescent="0.35">
      <c r="A2434" s="9" t="str">
        <f>HYPERLINK("http://www.ensembl.org/id/WBGene00020231", "WBGene00020231")</f>
        <v>WBGene00020231</v>
      </c>
      <c r="B2434" s="9" t="str">
        <f>HYPERLINK("http://www.ncbi.nlm.nih.gov/gene/173617", "173617")</f>
        <v>173617</v>
      </c>
      <c r="C2434" s="9"/>
      <c r="D2434" t="str">
        <f>"T05A8.5"</f>
        <v>T05A8.5</v>
      </c>
      <c r="F2434" t="s">
        <v>11</v>
      </c>
      <c r="G2434" t="s">
        <v>54</v>
      </c>
      <c r="H2434" s="12">
        <v>2.6306920813299901</v>
      </c>
      <c r="I2434" s="11">
        <v>1.4911390693357101</v>
      </c>
      <c r="J2434" s="10">
        <v>0.13592498670075201</v>
      </c>
      <c r="K2434" s="29">
        <v>0.82729647197044498</v>
      </c>
    </row>
    <row r="2435" spans="1:11" x14ac:dyDescent="0.35">
      <c r="A2435" s="9" t="str">
        <f>HYPERLINK("http://www.ensembl.org/id/WBGene00019626", "WBGene00019626")</f>
        <v>WBGene00019626</v>
      </c>
      <c r="B2435" s="9" t="str">
        <f>HYPERLINK("http://www.ncbi.nlm.nih.gov/gene/187261", "187261")</f>
        <v>187261</v>
      </c>
      <c r="C2435" s="9"/>
      <c r="D2435" t="str">
        <f>"K10C9.7"</f>
        <v>K10C9.7</v>
      </c>
      <c r="F2435" t="s">
        <v>11</v>
      </c>
      <c r="H2435" s="12">
        <v>2.6302861023103601</v>
      </c>
      <c r="I2435" s="11">
        <v>0.521039565004625</v>
      </c>
      <c r="J2435" s="10">
        <v>0.60233920978723698</v>
      </c>
      <c r="K2435" s="29">
        <v>0.98289565623980701</v>
      </c>
    </row>
    <row r="2436" spans="1:11" x14ac:dyDescent="0.35">
      <c r="A2436" s="9" t="str">
        <f>HYPERLINK("http://www.ensembl.org/id/WBGene00044756", "WBGene00044756")</f>
        <v>WBGene00044756</v>
      </c>
      <c r="B2436" s="9" t="str">
        <f>HYPERLINK("http://www.ncbi.nlm.nih.gov/gene/4363022", "4363022")</f>
        <v>4363022</v>
      </c>
      <c r="C2436" s="9"/>
      <c r="D2436" t="str">
        <f>"F58F12.4"</f>
        <v>F58F12.4</v>
      </c>
      <c r="F2436" t="s">
        <v>11</v>
      </c>
      <c r="G2436" t="s">
        <v>25</v>
      </c>
      <c r="H2436" s="12">
        <v>2.62851606465372</v>
      </c>
      <c r="I2436" s="11">
        <v>4.4100047962889999</v>
      </c>
      <c r="J2436" s="10">
        <v>1.0336832965024E-5</v>
      </c>
      <c r="K2436" s="29">
        <v>1.0662627789725201E-3</v>
      </c>
    </row>
    <row r="2437" spans="1:11" x14ac:dyDescent="0.35">
      <c r="A2437" s="9" t="str">
        <f>HYPERLINK("http://www.ensembl.org/id/WBGene00003886", "WBGene00003886")</f>
        <v>WBGene00003886</v>
      </c>
      <c r="B2437" s="9" t="str">
        <f>HYPERLINK("http://www.ncbi.nlm.nih.gov/gene/179631", "179631")</f>
        <v>179631</v>
      </c>
      <c r="C2437" s="9" t="str">
        <f>HYPERLINK("http://www.ncbi.nlm.nih.gov/gene/51098", "51098")</f>
        <v>51098</v>
      </c>
      <c r="D2437" t="str">
        <f>"osm-6"</f>
        <v>osm-6</v>
      </c>
      <c r="E2437" t="s">
        <v>2571</v>
      </c>
      <c r="F2437" t="s">
        <v>11</v>
      </c>
      <c r="G2437" t="s">
        <v>2572</v>
      </c>
      <c r="H2437" s="12">
        <v>2.62709135910971</v>
      </c>
      <c r="I2437" s="11">
        <v>1.63234632203709</v>
      </c>
      <c r="J2437" s="10">
        <v>0.102606550132592</v>
      </c>
      <c r="K2437" s="29">
        <v>0.73993969549537197</v>
      </c>
    </row>
    <row r="2438" spans="1:11" x14ac:dyDescent="0.35">
      <c r="A2438" s="9" t="str">
        <f>HYPERLINK("http://www.ensembl.org/id/WBGene00271646", "WBGene00271646")</f>
        <v>WBGene00271646</v>
      </c>
      <c r="B2438" s="9"/>
      <c r="C2438" s="9"/>
      <c r="D2438" t="str">
        <f>"C26B2.15"</f>
        <v>C26B2.15</v>
      </c>
      <c r="F2438" t="s">
        <v>481</v>
      </c>
      <c r="H2438" s="12">
        <v>2.6224705946786901</v>
      </c>
      <c r="I2438" s="11">
        <v>0.32440394850383503</v>
      </c>
      <c r="J2438" s="10">
        <v>0.74563223077784602</v>
      </c>
      <c r="K2438" s="29">
        <v>0.98289565623980701</v>
      </c>
    </row>
    <row r="2439" spans="1:11" x14ac:dyDescent="0.35">
      <c r="A2439" s="9" t="str">
        <f>HYPERLINK("http://www.ensembl.org/id/WBGene00000710", "WBGene00000710")</f>
        <v>WBGene00000710</v>
      </c>
      <c r="B2439" s="9" t="str">
        <f>HYPERLINK("http://www.ncbi.nlm.nih.gov/gene/190149", "190149")</f>
        <v>190149</v>
      </c>
      <c r="C2439" s="9"/>
      <c r="D2439" t="str">
        <f>"col-137"</f>
        <v>col-137</v>
      </c>
      <c r="E2439" t="s">
        <v>40</v>
      </c>
      <c r="F2439" t="s">
        <v>11</v>
      </c>
      <c r="G2439" t="s">
        <v>41</v>
      </c>
      <c r="H2439" s="12">
        <v>2.6224705946786901</v>
      </c>
      <c r="I2439" s="11">
        <v>0.32440394850383503</v>
      </c>
      <c r="J2439" s="10">
        <v>0.74563223077784602</v>
      </c>
      <c r="K2439" s="29">
        <v>0.98289565623980701</v>
      </c>
    </row>
    <row r="2440" spans="1:11" x14ac:dyDescent="0.35">
      <c r="A2440" s="9" t="str">
        <f>HYPERLINK("http://www.ensembl.org/id/WBGene00077758", "WBGene00077758")</f>
        <v>WBGene00077758</v>
      </c>
      <c r="B2440" s="9" t="str">
        <f>HYPERLINK("http://www.ncbi.nlm.nih.gov/gene/7040158", "7040158")</f>
        <v>7040158</v>
      </c>
      <c r="C2440" s="9"/>
      <c r="D2440" t="str">
        <f>"irld-12"</f>
        <v>irld-12</v>
      </c>
      <c r="E2440" t="s">
        <v>1627</v>
      </c>
      <c r="F2440" t="s">
        <v>11</v>
      </c>
      <c r="H2440" s="12">
        <v>2.6224705946786901</v>
      </c>
      <c r="I2440" s="11">
        <v>0.32440394850383503</v>
      </c>
      <c r="J2440" s="10">
        <v>0.74563223077784602</v>
      </c>
      <c r="K2440" s="29">
        <v>0.98289565623980701</v>
      </c>
    </row>
    <row r="2441" spans="1:11" x14ac:dyDescent="0.35">
      <c r="A2441" s="9" t="str">
        <f>HYPERLINK("http://www.ensembl.org/id/WBGene00016476", "WBGene00016476")</f>
        <v>WBGene00016476</v>
      </c>
      <c r="B2441" s="9" t="str">
        <f>HYPERLINK("http://www.ncbi.nlm.nih.gov/gene/183263", "183263")</f>
        <v>183263</v>
      </c>
      <c r="C2441" s="9"/>
      <c r="D2441" t="str">
        <f>"srab-10"</f>
        <v>srab-10</v>
      </c>
      <c r="E2441" t="s">
        <v>4203</v>
      </c>
      <c r="F2441" t="s">
        <v>11</v>
      </c>
      <c r="G2441" t="s">
        <v>25</v>
      </c>
      <c r="H2441" s="12">
        <v>2.6224705946786901</v>
      </c>
      <c r="I2441" s="11">
        <v>0.32440394850383503</v>
      </c>
      <c r="J2441" s="10">
        <v>0.74563223077784602</v>
      </c>
      <c r="K2441" s="29">
        <v>0.98289565623980701</v>
      </c>
    </row>
    <row r="2442" spans="1:11" x14ac:dyDescent="0.35">
      <c r="A2442" s="9" t="str">
        <f>HYPERLINK("http://www.ensembl.org/id/WBGene00020228", "WBGene00020228")</f>
        <v>WBGene00020228</v>
      </c>
      <c r="B2442" s="9" t="str">
        <f>HYPERLINK("http://www.ncbi.nlm.nih.gov/gene/188089", "188089")</f>
        <v>188089</v>
      </c>
      <c r="C2442" s="9"/>
      <c r="D2442" t="str">
        <f>"T05A8.2"</f>
        <v>T05A8.2</v>
      </c>
      <c r="F2442" t="s">
        <v>11</v>
      </c>
      <c r="G2442" t="s">
        <v>25</v>
      </c>
      <c r="H2442" s="12">
        <v>2.6224705946786901</v>
      </c>
      <c r="I2442" s="11">
        <v>0.32440394850383503</v>
      </c>
      <c r="J2442" s="10">
        <v>0.74563223077784602</v>
      </c>
      <c r="K2442" s="29">
        <v>0.98289565623980701</v>
      </c>
    </row>
    <row r="2443" spans="1:11" x14ac:dyDescent="0.35">
      <c r="A2443" s="9" t="str">
        <f>HYPERLINK("http://www.ensembl.org/id/WBGene00022581", "WBGene00022581")</f>
        <v>WBGene00022581</v>
      </c>
      <c r="B2443" s="9" t="str">
        <f>HYPERLINK("http://www.ncbi.nlm.nih.gov/gene/191131", "191131")</f>
        <v>191131</v>
      </c>
      <c r="C2443" s="9"/>
      <c r="D2443" t="str">
        <f>"ZC262.4"</f>
        <v>ZC262.4</v>
      </c>
      <c r="F2443" t="s">
        <v>11</v>
      </c>
      <c r="H2443" s="12">
        <v>2.6224705946786901</v>
      </c>
      <c r="I2443" s="11">
        <v>0.32440394850383503</v>
      </c>
      <c r="J2443" s="10">
        <v>0.74563223077784602</v>
      </c>
      <c r="K2443" s="29">
        <v>0.98289565623980701</v>
      </c>
    </row>
    <row r="2444" spans="1:11" x14ac:dyDescent="0.35">
      <c r="A2444" s="9" t="str">
        <f>HYPERLINK("http://www.ensembl.org/id/WBGene00018943", "WBGene00018943")</f>
        <v>WBGene00018943</v>
      </c>
      <c r="B2444" s="9" t="str">
        <f>HYPERLINK("http://www.ncbi.nlm.nih.gov/gene/186365", "186365")</f>
        <v>186365</v>
      </c>
      <c r="C2444" s="9"/>
      <c r="D2444" t="str">
        <f>"dgn-2"</f>
        <v>dgn-2</v>
      </c>
      <c r="E2444" t="s">
        <v>4011</v>
      </c>
      <c r="F2444" t="s">
        <v>11</v>
      </c>
      <c r="G2444" t="s">
        <v>4364</v>
      </c>
      <c r="H2444" s="12">
        <v>2.6220817856285401</v>
      </c>
      <c r="I2444" s="11">
        <v>0.74457701879811899</v>
      </c>
      <c r="J2444" s="10">
        <v>0.456527465028714</v>
      </c>
      <c r="K2444" s="29">
        <v>0.98289565623980701</v>
      </c>
    </row>
    <row r="2445" spans="1:11" x14ac:dyDescent="0.35">
      <c r="A2445" s="9" t="str">
        <f>HYPERLINK("http://www.ensembl.org/id/WBGene00005267", "WBGene00005267")</f>
        <v>WBGene00005267</v>
      </c>
      <c r="B2445" s="9" t="str">
        <f>HYPERLINK("http://www.ncbi.nlm.nih.gov/gene/181928", "181928")</f>
        <v>181928</v>
      </c>
      <c r="C2445" s="9"/>
      <c r="D2445" t="str">
        <f>"srh-44"</f>
        <v>srh-44</v>
      </c>
      <c r="E2445" t="s">
        <v>153</v>
      </c>
      <c r="F2445" t="s">
        <v>11</v>
      </c>
      <c r="G2445" t="s">
        <v>25</v>
      </c>
      <c r="H2445" s="12">
        <v>2.6158566498436899</v>
      </c>
      <c r="I2445" s="11">
        <v>0.630739910716549</v>
      </c>
      <c r="J2445" s="10">
        <v>0.52821059869683895</v>
      </c>
      <c r="K2445" s="29">
        <v>0.98289565623980701</v>
      </c>
    </row>
    <row r="2446" spans="1:11" x14ac:dyDescent="0.35">
      <c r="A2446" s="9" t="str">
        <f>HYPERLINK("http://www.ensembl.org/id/WBGene00005160", "WBGene00005160")</f>
        <v>WBGene00005160</v>
      </c>
      <c r="B2446" s="9" t="str">
        <f>HYPERLINK("http://www.ncbi.nlm.nih.gov/gene/182793", "182793")</f>
        <v>182793</v>
      </c>
      <c r="C2446" s="9"/>
      <c r="D2446" t="str">
        <f>"srg-2"</f>
        <v>srg-2</v>
      </c>
      <c r="E2446" t="s">
        <v>4365</v>
      </c>
      <c r="F2446" t="s">
        <v>11</v>
      </c>
      <c r="G2446" t="s">
        <v>1829</v>
      </c>
      <c r="H2446" s="12">
        <v>2.6157989769322398</v>
      </c>
      <c r="I2446" s="11">
        <v>0.83022168052575096</v>
      </c>
      <c r="J2446" s="10">
        <v>0.40641345946420099</v>
      </c>
      <c r="K2446" s="29">
        <v>0.98289565623980701</v>
      </c>
    </row>
    <row r="2447" spans="1:11" x14ac:dyDescent="0.35">
      <c r="A2447" s="9" t="str">
        <f>HYPERLINK("http://www.ensembl.org/id/WBGene00016304", "WBGene00016304")</f>
        <v>WBGene00016304</v>
      </c>
      <c r="B2447" s="9"/>
      <c r="C2447" s="9"/>
      <c r="D2447" t="str">
        <f>"fbxc-41"</f>
        <v>fbxc-41</v>
      </c>
      <c r="F2447" t="s">
        <v>80</v>
      </c>
      <c r="H2447" s="12">
        <v>2.6151879963380602</v>
      </c>
      <c r="I2447" s="11">
        <v>1.6811516921846901</v>
      </c>
      <c r="J2447" s="10">
        <v>9.2733453956868994E-2</v>
      </c>
      <c r="K2447" s="29">
        <v>0.70404018047027594</v>
      </c>
    </row>
    <row r="2448" spans="1:11" x14ac:dyDescent="0.35">
      <c r="A2448" s="9" t="str">
        <f>HYPERLINK("http://www.ensembl.org/id/WBGene00023431", "WBGene00023431")</f>
        <v>WBGene00023431</v>
      </c>
      <c r="B2448" s="9" t="str">
        <f>HYPERLINK("http://www.ncbi.nlm.nih.gov/gene/259636", "259636")</f>
        <v>259636</v>
      </c>
      <c r="C2448" s="9"/>
      <c r="D2448" t="str">
        <f>"C25E10.13"</f>
        <v>C25E10.13</v>
      </c>
      <c r="F2448" t="s">
        <v>11</v>
      </c>
      <c r="H2448" s="12">
        <v>2.6138777003050899</v>
      </c>
      <c r="I2448" s="11">
        <v>1.44499637042523</v>
      </c>
      <c r="J2448" s="10">
        <v>0.14845890513938401</v>
      </c>
      <c r="K2448" s="29">
        <v>0.85027089704387404</v>
      </c>
    </row>
    <row r="2449" spans="1:11" x14ac:dyDescent="0.35">
      <c r="A2449" s="9" t="str">
        <f>HYPERLINK("http://www.ensembl.org/id/WBGene00008713", "WBGene00008713")</f>
        <v>WBGene00008713</v>
      </c>
      <c r="B2449" s="9" t="str">
        <f>HYPERLINK("http://www.ncbi.nlm.nih.gov/gene/259610", "259610")</f>
        <v>259610</v>
      </c>
      <c r="C2449" s="9"/>
      <c r="D2449" t="str">
        <f>"F11E6.10"</f>
        <v>F11E6.10</v>
      </c>
      <c r="F2449" t="s">
        <v>11</v>
      </c>
      <c r="G2449" t="s">
        <v>25</v>
      </c>
      <c r="H2449" s="12">
        <v>2.6112772241062499</v>
      </c>
      <c r="I2449" s="11">
        <v>1.1638273277776401</v>
      </c>
      <c r="J2449" s="10">
        <v>0.24449399504594099</v>
      </c>
      <c r="K2449" s="29">
        <v>0.98289565623980701</v>
      </c>
    </row>
    <row r="2450" spans="1:11" x14ac:dyDescent="0.35">
      <c r="A2450" s="9" t="str">
        <f>HYPERLINK("http://www.ensembl.org/id/WBGene00219351", "WBGene00219351")</f>
        <v>WBGene00219351</v>
      </c>
      <c r="B2450" s="9" t="str">
        <f>HYPERLINK("http://www.ncbi.nlm.nih.gov/gene/13224360", "13224360")</f>
        <v>13224360</v>
      </c>
      <c r="C2450" s="9"/>
      <c r="D2450" t="str">
        <f>"Y7A5A.20"</f>
        <v>Y7A5A.20</v>
      </c>
      <c r="F2450" t="s">
        <v>11</v>
      </c>
      <c r="H2450" s="12">
        <v>2.6112501638207299</v>
      </c>
      <c r="I2450" s="11">
        <v>0.50682746080737595</v>
      </c>
      <c r="J2450" s="10">
        <v>0.612275886561224</v>
      </c>
      <c r="K2450" s="29">
        <v>0.98289565623980701</v>
      </c>
    </row>
    <row r="2451" spans="1:11" x14ac:dyDescent="0.35">
      <c r="A2451" s="9" t="str">
        <f>HYPERLINK("http://www.ensembl.org/id/WBGene00044016", "WBGene00044016")</f>
        <v>WBGene00044016</v>
      </c>
      <c r="B2451" s="9" t="str">
        <f>HYPERLINK("http://www.ncbi.nlm.nih.gov/gene/3565313", "3565313")</f>
        <v>3565313</v>
      </c>
      <c r="C2451" s="9"/>
      <c r="D2451" t="str">
        <f>"C35A5.10"</f>
        <v>C35A5.10</v>
      </c>
      <c r="F2451" t="s">
        <v>11</v>
      </c>
      <c r="H2451" s="12">
        <v>2.6103900288618398</v>
      </c>
      <c r="I2451" s="11">
        <v>2.20978673088785</v>
      </c>
      <c r="J2451" s="10">
        <v>2.7119967058262699E-2</v>
      </c>
      <c r="K2451" s="29">
        <v>0.36579855127253302</v>
      </c>
    </row>
    <row r="2452" spans="1:11" x14ac:dyDescent="0.35">
      <c r="A2452" s="9" t="str">
        <f>HYPERLINK("http://www.ensembl.org/id/WBGene00007931", "WBGene00007931")</f>
        <v>WBGene00007931</v>
      </c>
      <c r="B2452" s="9" t="str">
        <f>HYPERLINK("http://www.ncbi.nlm.nih.gov/gene/179807", "179807")</f>
        <v>179807</v>
      </c>
      <c r="C2452" s="9"/>
      <c r="D2452" t="str">
        <f>"C34D1.4"</f>
        <v>C34D1.4</v>
      </c>
      <c r="F2452" t="s">
        <v>11</v>
      </c>
      <c r="G2452" t="s">
        <v>25</v>
      </c>
      <c r="H2452" s="12">
        <v>2.60961290357274</v>
      </c>
      <c r="I2452" s="11">
        <v>4.2538158802654502</v>
      </c>
      <c r="J2452" s="10">
        <v>2.1015812337334001E-5</v>
      </c>
      <c r="K2452" s="29">
        <v>1.8968412494782801E-3</v>
      </c>
    </row>
    <row r="2453" spans="1:11" x14ac:dyDescent="0.35">
      <c r="A2453" s="9" t="str">
        <f>HYPERLINK("http://www.ensembl.org/id/WBGene00005101", "WBGene00005101")</f>
        <v>WBGene00005101</v>
      </c>
      <c r="B2453" s="9" t="str">
        <f>HYPERLINK("http://www.ncbi.nlm.nih.gov/gene/189804", "189804")</f>
        <v>189804</v>
      </c>
      <c r="C2453" s="9"/>
      <c r="D2453" t="str">
        <f>"srd-23"</f>
        <v>srd-23</v>
      </c>
      <c r="E2453" t="s">
        <v>1513</v>
      </c>
      <c r="F2453" t="s">
        <v>11</v>
      </c>
      <c r="G2453" t="s">
        <v>4366</v>
      </c>
      <c r="H2453" s="12">
        <v>2.6089791443705401</v>
      </c>
      <c r="I2453" s="11">
        <v>0.82547406175331395</v>
      </c>
      <c r="J2453" s="10">
        <v>0.40910250277614302</v>
      </c>
      <c r="K2453" s="29">
        <v>0.98289565623980701</v>
      </c>
    </row>
    <row r="2454" spans="1:11" x14ac:dyDescent="0.35">
      <c r="A2454" s="9" t="str">
        <f>HYPERLINK("http://www.ensembl.org/id/WBGene00017055", "WBGene00017055")</f>
        <v>WBGene00017055</v>
      </c>
      <c r="B2454" s="9" t="str">
        <f>HYPERLINK("http://www.ncbi.nlm.nih.gov/gene/24104374", "24104374")</f>
        <v>24104374</v>
      </c>
      <c r="C2454" s="9"/>
      <c r="D2454" t="str">
        <f>"D2062.1"</f>
        <v>D2062.1</v>
      </c>
      <c r="F2454" t="s">
        <v>11</v>
      </c>
      <c r="G2454" t="s">
        <v>1508</v>
      </c>
      <c r="H2454" s="12">
        <v>2.6088760997689802</v>
      </c>
      <c r="I2454" s="11">
        <v>0.52892037962870597</v>
      </c>
      <c r="J2454" s="10">
        <v>0.596860683909755</v>
      </c>
      <c r="K2454" s="29">
        <v>0.98289565623980701</v>
      </c>
    </row>
    <row r="2455" spans="1:11" x14ac:dyDescent="0.35">
      <c r="A2455" s="9" t="str">
        <f>HYPERLINK("http://www.ensembl.org/id/WBGene00021448", "WBGene00021448")</f>
        <v>WBGene00021448</v>
      </c>
      <c r="B2455" s="9" t="str">
        <f>HYPERLINK("http://www.ncbi.nlm.nih.gov/gene/178565", "178565")</f>
        <v>178565</v>
      </c>
      <c r="C2455" s="9"/>
      <c r="D2455" t="str">
        <f>"Y39D8A.1"</f>
        <v>Y39D8A.1</v>
      </c>
      <c r="F2455" t="s">
        <v>11</v>
      </c>
      <c r="G2455" t="s">
        <v>25</v>
      </c>
      <c r="H2455" s="12">
        <v>2.6078415363631202</v>
      </c>
      <c r="I2455" s="11">
        <v>2.1136188290814202</v>
      </c>
      <c r="J2455" s="10">
        <v>3.4547836336025699E-2</v>
      </c>
      <c r="K2455" s="29">
        <v>0.423481329644674</v>
      </c>
    </row>
    <row r="2456" spans="1:11" x14ac:dyDescent="0.35">
      <c r="A2456" s="9" t="str">
        <f>HYPERLINK("http://www.ensembl.org/id/WBGene00022767", "WBGene00022767")</f>
        <v>WBGene00022767</v>
      </c>
      <c r="B2456" s="9" t="str">
        <f>HYPERLINK("http://www.ncbi.nlm.nih.gov/gene/191351", "191351")</f>
        <v>191351</v>
      </c>
      <c r="C2456" s="9" t="str">
        <f>HYPERLINK("http://www.ncbi.nlm.nih.gov/gene/6569", "6569")</f>
        <v>6569</v>
      </c>
      <c r="D2456" t="str">
        <f>"ZK563.2"</f>
        <v>ZK563.2</v>
      </c>
      <c r="F2456" t="s">
        <v>11</v>
      </c>
      <c r="G2456" t="s">
        <v>2054</v>
      </c>
      <c r="H2456" s="12">
        <v>2.6049504648599302</v>
      </c>
      <c r="I2456" s="11">
        <v>1.8436268740780499</v>
      </c>
      <c r="J2456" s="10">
        <v>6.5237536723399298E-2</v>
      </c>
      <c r="K2456" s="29">
        <v>0.60430947754652298</v>
      </c>
    </row>
    <row r="2457" spans="1:11" x14ac:dyDescent="0.35">
      <c r="A2457" s="9" t="str">
        <f>HYPERLINK("http://www.ensembl.org/id/WBGene00010121", "WBGene00010121")</f>
        <v>WBGene00010121</v>
      </c>
      <c r="B2457" s="9" t="str">
        <f>HYPERLINK("http://www.ncbi.nlm.nih.gov/gene/186333", "186333")</f>
        <v>186333</v>
      </c>
      <c r="C2457" s="9"/>
      <c r="D2457" t="str">
        <f>"F55G7.3"</f>
        <v>F55G7.3</v>
      </c>
      <c r="F2457" t="s">
        <v>11</v>
      </c>
      <c r="H2457" s="12">
        <v>2.6032123508135498</v>
      </c>
      <c r="I2457" s="11">
        <v>1.2770566091650899</v>
      </c>
      <c r="J2457" s="10">
        <v>0.201582262323109</v>
      </c>
      <c r="K2457" s="29">
        <v>0.94929856344569896</v>
      </c>
    </row>
    <row r="2458" spans="1:11" x14ac:dyDescent="0.35">
      <c r="A2458" s="9" t="str">
        <f>HYPERLINK("http://www.ensembl.org/id/WBGene00015918", "WBGene00015918")</f>
        <v>WBGene00015918</v>
      </c>
      <c r="B2458" s="9" t="str">
        <f>HYPERLINK("http://www.ncbi.nlm.nih.gov/gene/173948", "173948")</f>
        <v>173948</v>
      </c>
      <c r="C2458" s="9"/>
      <c r="D2458" t="str">
        <f>"C17G10.6"</f>
        <v>C17G10.6</v>
      </c>
      <c r="F2458" t="s">
        <v>11</v>
      </c>
      <c r="H2458" s="12">
        <v>2.6031396557654198</v>
      </c>
      <c r="I2458" s="11">
        <v>1.4255459460045601</v>
      </c>
      <c r="J2458" s="10">
        <v>0.153999448625387</v>
      </c>
      <c r="K2458" s="29">
        <v>0.86157485979586201</v>
      </c>
    </row>
    <row r="2459" spans="1:11" x14ac:dyDescent="0.35">
      <c r="A2459" s="9" t="str">
        <f>HYPERLINK("http://www.ensembl.org/id/WBGene00197516", "WBGene00197516")</f>
        <v>WBGene00197516</v>
      </c>
      <c r="B2459" s="9"/>
      <c r="C2459" s="9"/>
      <c r="D2459" t="str">
        <f>"T04C12.21"</f>
        <v>T04C12.21</v>
      </c>
      <c r="F2459" t="s">
        <v>481</v>
      </c>
      <c r="H2459" s="12">
        <v>2.6024348408856102</v>
      </c>
      <c r="I2459" s="11">
        <v>1.9562166016684299</v>
      </c>
      <c r="J2459" s="10">
        <v>5.0439643636671298E-2</v>
      </c>
      <c r="K2459" s="29">
        <v>0.52616632319138901</v>
      </c>
    </row>
    <row r="2460" spans="1:11" x14ac:dyDescent="0.35">
      <c r="A2460" s="9" t="str">
        <f>HYPERLINK("http://www.ensembl.org/id/WBGene00235113", "WBGene00235113")</f>
        <v>WBGene00235113</v>
      </c>
      <c r="B2460" s="9" t="str">
        <f>HYPERLINK("http://www.ncbi.nlm.nih.gov/gene/24105274", "24105274")</f>
        <v>24105274</v>
      </c>
      <c r="C2460" s="9"/>
      <c r="D2460" t="str">
        <f>"ZK105.12"</f>
        <v>ZK105.12</v>
      </c>
      <c r="F2460" t="s">
        <v>11</v>
      </c>
      <c r="H2460" s="12">
        <v>2.60176022619653</v>
      </c>
      <c r="I2460" s="11">
        <v>1.80900728465174</v>
      </c>
      <c r="J2460" s="10">
        <v>7.0449871642856196E-2</v>
      </c>
      <c r="K2460" s="29">
        <v>0.62837364807353702</v>
      </c>
    </row>
    <row r="2461" spans="1:11" x14ac:dyDescent="0.35">
      <c r="A2461" s="9" t="str">
        <f>HYPERLINK("http://www.ensembl.org/id/WBGene00268215", "WBGene00268215")</f>
        <v>WBGene00268215</v>
      </c>
      <c r="B2461" s="9" t="str">
        <f>HYPERLINK("http://www.ncbi.nlm.nih.gov/gene/26591683", "26591683")</f>
        <v>26591683</v>
      </c>
      <c r="C2461" s="9"/>
      <c r="D2461" t="str">
        <f>"C49F5.13"</f>
        <v>C49F5.13</v>
      </c>
      <c r="F2461" t="s">
        <v>11</v>
      </c>
      <c r="H2461" s="12">
        <v>2.60118610749366</v>
      </c>
      <c r="I2461" s="11">
        <v>0.71362728363573302</v>
      </c>
      <c r="J2461" s="10">
        <v>0.47545768188347398</v>
      </c>
      <c r="K2461" s="29">
        <v>0.98289565623980701</v>
      </c>
    </row>
    <row r="2462" spans="1:11" x14ac:dyDescent="0.35">
      <c r="A2462" s="9" t="str">
        <f>HYPERLINK("http://www.ensembl.org/id/WBGene00018050", "WBGene00018050")</f>
        <v>WBGene00018050</v>
      </c>
      <c r="B2462" s="9" t="str">
        <f>HYPERLINK("http://www.ncbi.nlm.nih.gov/gene/185283", "185283")</f>
        <v>185283</v>
      </c>
      <c r="C2462" s="9"/>
      <c r="D2462" t="str">
        <f>"clec-139"</f>
        <v>clec-139</v>
      </c>
      <c r="E2462" t="s">
        <v>46</v>
      </c>
      <c r="F2462" t="s">
        <v>11</v>
      </c>
      <c r="G2462" t="s">
        <v>47</v>
      </c>
      <c r="H2462" s="12">
        <v>2.6000650317853702</v>
      </c>
      <c r="I2462" s="11">
        <v>2.7762871580191</v>
      </c>
      <c r="J2462" s="10">
        <v>5.4983622247262998E-3</v>
      </c>
      <c r="K2462" s="29">
        <v>0.12990302409460699</v>
      </c>
    </row>
    <row r="2463" spans="1:11" x14ac:dyDescent="0.35">
      <c r="A2463" s="9" t="str">
        <f>HYPERLINK("http://www.ensembl.org/id/WBGene00003757", "WBGene00003757")</f>
        <v>WBGene00003757</v>
      </c>
      <c r="B2463" s="9" t="str">
        <f>HYPERLINK("http://www.ncbi.nlm.nih.gov/gene/266950", "266950")</f>
        <v>266950</v>
      </c>
      <c r="C2463" s="9"/>
      <c r="D2463" t="str">
        <f>"nlp-19"</f>
        <v>nlp-19</v>
      </c>
      <c r="E2463" t="s">
        <v>76</v>
      </c>
      <c r="F2463" t="s">
        <v>11</v>
      </c>
      <c r="G2463" t="s">
        <v>77</v>
      </c>
      <c r="H2463" s="12">
        <v>2.59853763617601</v>
      </c>
      <c r="I2463" s="11">
        <v>2.6034486786459201</v>
      </c>
      <c r="J2463" s="10">
        <v>9.2291084108658307E-3</v>
      </c>
      <c r="K2463" s="29">
        <v>0.18656848551309399</v>
      </c>
    </row>
    <row r="2464" spans="1:11" x14ac:dyDescent="0.35">
      <c r="A2464" s="9" t="str">
        <f>HYPERLINK("http://www.ensembl.org/id/WBGene00194783", "WBGene00194783")</f>
        <v>WBGene00194783</v>
      </c>
      <c r="B2464" s="9" t="str">
        <f>HYPERLINK("http://www.ncbi.nlm.nih.gov/gene/13215263", "13215263")</f>
        <v>13215263</v>
      </c>
      <c r="C2464" s="9"/>
      <c r="D2464" t="str">
        <f>"K03B8.14"</f>
        <v>K03B8.14</v>
      </c>
      <c r="F2464" t="s">
        <v>11</v>
      </c>
      <c r="H2464" s="12">
        <v>2.5985241485000801</v>
      </c>
      <c r="I2464" s="11">
        <v>1.53797202377346</v>
      </c>
      <c r="J2464" s="10">
        <v>0.124055455299626</v>
      </c>
      <c r="K2464" s="29">
        <v>0.79849722301371495</v>
      </c>
    </row>
    <row r="2465" spans="1:11" x14ac:dyDescent="0.35">
      <c r="A2465" s="9" t="str">
        <f>HYPERLINK("http://www.ensembl.org/id/WBGene00016368", "WBGene00016368")</f>
        <v>WBGene00016368</v>
      </c>
      <c r="B2465" s="9" t="str">
        <f>HYPERLINK("http://www.ncbi.nlm.nih.gov/gene/183182", "183182")</f>
        <v>183182</v>
      </c>
      <c r="C2465" s="9"/>
      <c r="D2465" t="str">
        <f>"nhr-163"</f>
        <v>nhr-163</v>
      </c>
      <c r="E2465" t="s">
        <v>637</v>
      </c>
      <c r="F2465" t="s">
        <v>11</v>
      </c>
      <c r="G2465" t="s">
        <v>1073</v>
      </c>
      <c r="H2465" s="12">
        <v>2.5969523523360101</v>
      </c>
      <c r="I2465" s="11">
        <v>2.4405478205479598</v>
      </c>
      <c r="J2465" s="10">
        <v>1.4665004208901201E-2</v>
      </c>
      <c r="K2465" s="29">
        <v>0.25031660576892401</v>
      </c>
    </row>
    <row r="2466" spans="1:11" x14ac:dyDescent="0.35">
      <c r="A2466" s="9" t="str">
        <f>HYPERLINK("http://www.ensembl.org/id/WBGene00044501", "WBGene00044501")</f>
        <v>WBGene00044501</v>
      </c>
      <c r="B2466" s="9" t="str">
        <f>HYPERLINK("http://www.ncbi.nlm.nih.gov/gene/3896784", "3896784")</f>
        <v>3896784</v>
      </c>
      <c r="C2466" s="9"/>
      <c r="D2466" t="str">
        <f>"C55C3.8"</f>
        <v>C55C3.8</v>
      </c>
      <c r="F2466" t="s">
        <v>11</v>
      </c>
      <c r="G2466" t="s">
        <v>4367</v>
      </c>
      <c r="H2466" s="12">
        <v>2.5964443813758602</v>
      </c>
      <c r="I2466" s="11">
        <v>0.32033355057255902</v>
      </c>
      <c r="J2466" s="10">
        <v>0.74871549235374901</v>
      </c>
      <c r="K2466" s="29">
        <v>0.98289565623980701</v>
      </c>
    </row>
    <row r="2467" spans="1:11" x14ac:dyDescent="0.35">
      <c r="A2467" s="9" t="str">
        <f>HYPERLINK("http://www.ensembl.org/id/WBGene00219934", "WBGene00219934")</f>
        <v>WBGene00219934</v>
      </c>
      <c r="B2467" s="9"/>
      <c r="C2467" s="9"/>
      <c r="D2467" t="str">
        <f>"F35F11.4"</f>
        <v>F35F11.4</v>
      </c>
      <c r="F2467" t="s">
        <v>481</v>
      </c>
      <c r="H2467" s="12">
        <v>2.5964443813758602</v>
      </c>
      <c r="I2467" s="11">
        <v>0.32033355057255902</v>
      </c>
      <c r="J2467" s="10">
        <v>0.74871549235374901</v>
      </c>
      <c r="K2467" s="29">
        <v>0.98289565623980701</v>
      </c>
    </row>
    <row r="2468" spans="1:11" x14ac:dyDescent="0.35">
      <c r="A2468" s="9" t="str">
        <f>HYPERLINK("http://www.ensembl.org/id/WBGene00194804", "WBGene00194804")</f>
        <v>WBGene00194804</v>
      </c>
      <c r="B2468" s="9"/>
      <c r="C2468" s="9"/>
      <c r="D2468" t="str">
        <f>"mir-2207"</f>
        <v>mir-2207</v>
      </c>
      <c r="F2468" t="s">
        <v>1486</v>
      </c>
      <c r="H2468" s="12">
        <v>2.5964443813758602</v>
      </c>
      <c r="I2468" s="11">
        <v>0.32033355057255902</v>
      </c>
      <c r="J2468" s="10">
        <v>0.74871549235374901</v>
      </c>
      <c r="K2468" s="29">
        <v>0.98289565623980701</v>
      </c>
    </row>
    <row r="2469" spans="1:11" x14ac:dyDescent="0.35">
      <c r="A2469" s="9" t="str">
        <f>HYPERLINK("http://www.ensembl.org/id/WBGene00044393", "WBGene00044393")</f>
        <v>WBGene00044393</v>
      </c>
      <c r="B2469" s="9" t="str">
        <f>HYPERLINK("http://www.ncbi.nlm.nih.gov/gene/3565182", "3565182")</f>
        <v>3565182</v>
      </c>
      <c r="C2469" s="9"/>
      <c r="D2469" t="str">
        <f>"ZK1248.20"</f>
        <v>ZK1248.20</v>
      </c>
      <c r="F2469" t="s">
        <v>11</v>
      </c>
      <c r="G2469" t="s">
        <v>25</v>
      </c>
      <c r="H2469" s="12">
        <v>2.5964443813758602</v>
      </c>
      <c r="I2469" s="11">
        <v>0.32033355057255902</v>
      </c>
      <c r="J2469" s="10">
        <v>0.74871549235374901</v>
      </c>
      <c r="K2469" s="29">
        <v>0.98289565623980701</v>
      </c>
    </row>
    <row r="2470" spans="1:11" x14ac:dyDescent="0.35">
      <c r="A2470" s="9" t="str">
        <f>HYPERLINK("http://www.ensembl.org/id/WBGene00197899", "WBGene00197899")</f>
        <v>WBGene00197899</v>
      </c>
      <c r="B2470" s="9"/>
      <c r="C2470" s="9"/>
      <c r="D2470" t="str">
        <f>"ZK682.9"</f>
        <v>ZK682.9</v>
      </c>
      <c r="F2470" t="s">
        <v>481</v>
      </c>
      <c r="H2470" s="12">
        <v>2.5964443813758602</v>
      </c>
      <c r="I2470" s="11">
        <v>0.32033355057255902</v>
      </c>
      <c r="J2470" s="10">
        <v>0.74871549235374901</v>
      </c>
      <c r="K2470" s="29">
        <v>0.98289565623980701</v>
      </c>
    </row>
    <row r="2471" spans="1:11" x14ac:dyDescent="0.35">
      <c r="A2471" s="9" t="str">
        <f>HYPERLINK("http://www.ensembl.org/id/WBGene00009239", "WBGene00009239")</f>
        <v>WBGene00009239</v>
      </c>
      <c r="B2471" s="9" t="str">
        <f>HYPERLINK("http://www.ncbi.nlm.nih.gov/gene/179491", "179491")</f>
        <v>179491</v>
      </c>
      <c r="C2471" s="9"/>
      <c r="D2471" t="str">
        <f>"irld-6"</f>
        <v>irld-6</v>
      </c>
      <c r="E2471" t="s">
        <v>1627</v>
      </c>
      <c r="F2471" t="s">
        <v>11</v>
      </c>
      <c r="G2471" t="s">
        <v>25</v>
      </c>
      <c r="H2471" s="12">
        <v>2.5959780436609101</v>
      </c>
      <c r="I2471" s="11">
        <v>2.0608305668329798</v>
      </c>
      <c r="J2471" s="10">
        <v>3.9319207232778298E-2</v>
      </c>
      <c r="K2471" s="29">
        <v>0.45744772973949199</v>
      </c>
    </row>
    <row r="2472" spans="1:11" x14ac:dyDescent="0.35">
      <c r="A2472" s="9" t="str">
        <f>HYPERLINK("http://www.ensembl.org/id/WBGene00009814", "WBGene00009814")</f>
        <v>WBGene00009814</v>
      </c>
      <c r="B2472" s="9" t="str">
        <f>HYPERLINK("http://www.ncbi.nlm.nih.gov/gene/185902", "185902")</f>
        <v>185902</v>
      </c>
      <c r="C2472" s="9"/>
      <c r="D2472" t="str">
        <f>"F47B10.3"</f>
        <v>F47B10.3</v>
      </c>
      <c r="F2472" t="s">
        <v>11</v>
      </c>
      <c r="G2472" t="s">
        <v>25</v>
      </c>
      <c r="H2472" s="12">
        <v>2.5958533207744798</v>
      </c>
      <c r="I2472" s="11">
        <v>1.6944471472756699</v>
      </c>
      <c r="J2472" s="10">
        <v>9.0180346884959406E-2</v>
      </c>
      <c r="K2472" s="29">
        <v>0.69698027228825399</v>
      </c>
    </row>
    <row r="2473" spans="1:11" x14ac:dyDescent="0.35">
      <c r="A2473" s="9" t="str">
        <f>HYPERLINK("http://www.ensembl.org/id/WBGene00019148", "WBGene00019148")</f>
        <v>WBGene00019148</v>
      </c>
      <c r="B2473" s="9" t="str">
        <f>HYPERLINK("http://www.ncbi.nlm.nih.gov/gene/181103", "181103")</f>
        <v>181103</v>
      </c>
      <c r="C2473" s="9"/>
      <c r="D2473" t="str">
        <f>"H03E18.1"</f>
        <v>H03E18.1</v>
      </c>
      <c r="F2473" t="s">
        <v>11</v>
      </c>
      <c r="H2473" s="12">
        <v>2.5937109762983099</v>
      </c>
      <c r="I2473" s="11">
        <v>2.34265743278204</v>
      </c>
      <c r="J2473" s="10">
        <v>1.91469541584794E-2</v>
      </c>
      <c r="K2473" s="29">
        <v>0.292356347993871</v>
      </c>
    </row>
    <row r="2474" spans="1:11" x14ac:dyDescent="0.35">
      <c r="A2474" s="9" t="str">
        <f>HYPERLINK("http://www.ensembl.org/id/WBGene00009743", "WBGene00009743")</f>
        <v>WBGene00009743</v>
      </c>
      <c r="B2474" s="9" t="str">
        <f>HYPERLINK("http://www.ncbi.nlm.nih.gov/gene/172909", "172909")</f>
        <v>172909</v>
      </c>
      <c r="C2474" s="9"/>
      <c r="D2474" t="str">
        <f>"sptf-1"</f>
        <v>sptf-1</v>
      </c>
      <c r="E2474" t="s">
        <v>154</v>
      </c>
      <c r="F2474" t="s">
        <v>11</v>
      </c>
      <c r="G2474" t="s">
        <v>155</v>
      </c>
      <c r="H2474" s="12">
        <v>2.5933493163344301</v>
      </c>
      <c r="I2474" s="11">
        <v>5.00218380637744</v>
      </c>
      <c r="J2474" s="10">
        <v>5.6684505598696097E-7</v>
      </c>
      <c r="K2474" s="29">
        <v>1.00237826021695E-4</v>
      </c>
    </row>
    <row r="2475" spans="1:11" x14ac:dyDescent="0.35">
      <c r="A2475" s="9" t="str">
        <f>HYPERLINK("http://www.ensembl.org/id/WBGene00198772", "WBGene00198772")</f>
        <v>WBGene00198772</v>
      </c>
      <c r="B2475" s="9"/>
      <c r="C2475" s="9"/>
      <c r="D2475" t="str">
        <f>"T25C12.6"</f>
        <v>T25C12.6</v>
      </c>
      <c r="F2475" t="s">
        <v>481</v>
      </c>
      <c r="H2475" s="12">
        <v>2.59112013396172</v>
      </c>
      <c r="I2475" s="11">
        <v>0.782968936024243</v>
      </c>
      <c r="J2475" s="10">
        <v>0.43364535402009802</v>
      </c>
      <c r="K2475" s="29">
        <v>0.98289565623980701</v>
      </c>
    </row>
    <row r="2476" spans="1:11" x14ac:dyDescent="0.35">
      <c r="A2476" s="9" t="str">
        <f>HYPERLINK("http://www.ensembl.org/id/WBGene00010705", "WBGene00010705")</f>
        <v>WBGene00010705</v>
      </c>
      <c r="B2476" s="9" t="str">
        <f>HYPERLINK("http://www.ncbi.nlm.nih.gov/gene/187183", "187183")</f>
        <v>187183</v>
      </c>
      <c r="C2476" s="9" t="str">
        <f>HYPERLINK("http://www.ncbi.nlm.nih.gov/gene/1573", "1573")</f>
        <v>1573</v>
      </c>
      <c r="D2476" t="str">
        <f>"cyp-14A1"</f>
        <v>cyp-14A1</v>
      </c>
      <c r="E2476" t="s">
        <v>176</v>
      </c>
      <c r="F2476" t="s">
        <v>11</v>
      </c>
      <c r="G2476" t="s">
        <v>332</v>
      </c>
      <c r="H2476" s="12">
        <v>2.5888565704545301</v>
      </c>
      <c r="I2476" s="11">
        <v>1.1466219519894101</v>
      </c>
      <c r="J2476" s="10">
        <v>0.25153789980799701</v>
      </c>
      <c r="K2476" s="29">
        <v>0.98289565623980701</v>
      </c>
    </row>
    <row r="2477" spans="1:11" x14ac:dyDescent="0.35">
      <c r="A2477" s="9" t="str">
        <f>HYPERLINK("http://www.ensembl.org/id/WBGene00008978", "WBGene00008978")</f>
        <v>WBGene00008978</v>
      </c>
      <c r="B2477" s="9" t="str">
        <f>HYPERLINK("http://www.ncbi.nlm.nih.gov/gene/184721", "184721")</f>
        <v>184721</v>
      </c>
      <c r="C2477" s="9"/>
      <c r="D2477" t="str">
        <f>"cutl-3"</f>
        <v>cutl-3</v>
      </c>
      <c r="E2477" t="s">
        <v>166</v>
      </c>
      <c r="F2477" t="s">
        <v>11</v>
      </c>
      <c r="G2477" t="s">
        <v>25</v>
      </c>
      <c r="H2477" s="12">
        <v>2.5867660608533698</v>
      </c>
      <c r="I2477" s="11">
        <v>4.0271224733592801</v>
      </c>
      <c r="J2477" s="10">
        <v>5.64636251566152E-5</v>
      </c>
      <c r="K2477" s="29">
        <v>4.1950113275522503E-3</v>
      </c>
    </row>
    <row r="2478" spans="1:11" x14ac:dyDescent="0.35">
      <c r="A2478" s="9" t="str">
        <f>HYPERLINK("http://www.ensembl.org/id/WBGene00012711", "WBGene00012711")</f>
        <v>WBGene00012711</v>
      </c>
      <c r="B2478" s="9" t="str">
        <f>HYPERLINK("http://www.ncbi.nlm.nih.gov/gene/176714", "176714")</f>
        <v>176714</v>
      </c>
      <c r="C2478" s="9"/>
      <c r="D2478" t="str">
        <f>"Y39E4A.1"</f>
        <v>Y39E4A.1</v>
      </c>
      <c r="F2478" t="s">
        <v>11</v>
      </c>
      <c r="G2478" t="s">
        <v>25</v>
      </c>
      <c r="H2478" s="12">
        <v>2.58658939018044</v>
      </c>
      <c r="I2478" s="11">
        <v>0.68681952028158</v>
      </c>
      <c r="J2478" s="10">
        <v>0.49219646721987498</v>
      </c>
      <c r="K2478" s="29">
        <v>0.98289565623980701</v>
      </c>
    </row>
    <row r="2479" spans="1:11" x14ac:dyDescent="0.35">
      <c r="A2479" s="9" t="str">
        <f>HYPERLINK("http://www.ensembl.org/id/WBGene00009938", "WBGene00009938")</f>
        <v>WBGene00009938</v>
      </c>
      <c r="B2479" s="9" t="str">
        <f>HYPERLINK("http://www.ncbi.nlm.nih.gov/gene/186128", "186128")</f>
        <v>186128</v>
      </c>
      <c r="C2479" s="9"/>
      <c r="D2479" t="str">
        <f>"F52F12.5"</f>
        <v>F52F12.5</v>
      </c>
      <c r="F2479" t="s">
        <v>11</v>
      </c>
      <c r="H2479" s="12">
        <v>2.5846954094094299</v>
      </c>
      <c r="I2479" s="11">
        <v>0.86307449590796903</v>
      </c>
      <c r="J2479" s="10">
        <v>0.38809650939684298</v>
      </c>
      <c r="K2479" s="29">
        <v>0.98289565623980701</v>
      </c>
    </row>
    <row r="2480" spans="1:11" x14ac:dyDescent="0.35">
      <c r="A2480" s="9" t="str">
        <f>HYPERLINK("http://www.ensembl.org/id/WBGene00016126", "WBGene00016126")</f>
        <v>WBGene00016126</v>
      </c>
      <c r="B2480" s="9" t="str">
        <f>HYPERLINK("http://www.ncbi.nlm.nih.gov/gene/182927", "182927")</f>
        <v>182927</v>
      </c>
      <c r="C2480" s="9"/>
      <c r="D2480" t="str">
        <f>"nhr-258"</f>
        <v>nhr-258</v>
      </c>
      <c r="E2480" t="s">
        <v>637</v>
      </c>
      <c r="F2480" t="s">
        <v>11</v>
      </c>
      <c r="G2480" t="s">
        <v>3197</v>
      </c>
      <c r="H2480" s="12">
        <v>2.5844184049632801</v>
      </c>
      <c r="I2480" s="11">
        <v>1.0562302143257101</v>
      </c>
      <c r="J2480" s="10">
        <v>0.29086304993951101</v>
      </c>
      <c r="K2480" s="29">
        <v>0.98289565623980701</v>
      </c>
    </row>
    <row r="2481" spans="1:11" x14ac:dyDescent="0.35">
      <c r="A2481" s="9" t="str">
        <f>HYPERLINK("http://www.ensembl.org/id/WBGene00018575", "WBGene00018575")</f>
        <v>WBGene00018575</v>
      </c>
      <c r="B2481" s="9" t="str">
        <f>HYPERLINK("http://www.ncbi.nlm.nih.gov/gene/173504", "173504")</f>
        <v>173504</v>
      </c>
      <c r="C2481" s="9"/>
      <c r="D2481" t="str">
        <f>"clec-119"</f>
        <v>clec-119</v>
      </c>
      <c r="E2481" t="s">
        <v>46</v>
      </c>
      <c r="F2481" t="s">
        <v>11</v>
      </c>
      <c r="G2481" t="s">
        <v>47</v>
      </c>
      <c r="H2481" s="12">
        <v>2.5836148554087499</v>
      </c>
      <c r="I2481" s="11">
        <v>0.85285872889417103</v>
      </c>
      <c r="J2481" s="10">
        <v>0.39373765100767399</v>
      </c>
      <c r="K2481" s="29">
        <v>0.98289565623980701</v>
      </c>
    </row>
    <row r="2482" spans="1:11" x14ac:dyDescent="0.35">
      <c r="A2482" s="9" t="str">
        <f>HYPERLINK("http://www.ensembl.org/id/WBGene00019772", "WBGene00019772")</f>
        <v>WBGene00019772</v>
      </c>
      <c r="B2482" s="9" t="str">
        <f>HYPERLINK("http://www.ncbi.nlm.nih.gov/gene/176875", "176875")</f>
        <v>176875</v>
      </c>
      <c r="C2482" s="9"/>
      <c r="D2482" t="str">
        <f>"M04G7.1"</f>
        <v>M04G7.1</v>
      </c>
      <c r="F2482" t="s">
        <v>11</v>
      </c>
      <c r="H2482" s="12">
        <v>2.58213666121876</v>
      </c>
      <c r="I2482" s="11">
        <v>2.5789386851374299</v>
      </c>
      <c r="J2482" s="10">
        <v>9.9104375692230708E-3</v>
      </c>
      <c r="K2482" s="29">
        <v>0.194554435407365</v>
      </c>
    </row>
    <row r="2483" spans="1:11" x14ac:dyDescent="0.35">
      <c r="A2483" s="9" t="str">
        <f>HYPERLINK("http://www.ensembl.org/id/WBGene00005235", "WBGene00005235")</f>
        <v>WBGene00005235</v>
      </c>
      <c r="B2483" s="9"/>
      <c r="C2483" s="9"/>
      <c r="D2483" t="str">
        <f>"srh-9"</f>
        <v>srh-9</v>
      </c>
      <c r="F2483" t="s">
        <v>80</v>
      </c>
      <c r="H2483" s="12">
        <v>2.5804913399495302</v>
      </c>
      <c r="I2483" s="11">
        <v>0.42182016046674897</v>
      </c>
      <c r="J2483" s="10">
        <v>0.673156289193379</v>
      </c>
      <c r="K2483" s="29">
        <v>0.98289565623980701</v>
      </c>
    </row>
    <row r="2484" spans="1:11" x14ac:dyDescent="0.35">
      <c r="A2484" s="9" t="str">
        <f>HYPERLINK("http://www.ensembl.org/id/WBGene00005818", "WBGene00005818")</f>
        <v>WBGene00005818</v>
      </c>
      <c r="B2484" s="9" t="str">
        <f>HYPERLINK("http://www.ncbi.nlm.nih.gov/gene/184642", "184642")</f>
        <v>184642</v>
      </c>
      <c r="C2484" s="9"/>
      <c r="D2484" t="str">
        <f>"srw-71"</f>
        <v>srw-71</v>
      </c>
      <c r="E2484" t="s">
        <v>1014</v>
      </c>
      <c r="F2484" t="s">
        <v>11</v>
      </c>
      <c r="G2484" t="s">
        <v>1015</v>
      </c>
      <c r="H2484" s="12">
        <v>2.5799409415198999</v>
      </c>
      <c r="I2484" s="11">
        <v>1.31101302723894</v>
      </c>
      <c r="J2484" s="10">
        <v>0.189853362389207</v>
      </c>
      <c r="K2484" s="29">
        <v>0.92834517192120303</v>
      </c>
    </row>
    <row r="2485" spans="1:11" x14ac:dyDescent="0.35">
      <c r="A2485" s="9" t="str">
        <f>HYPERLINK("http://www.ensembl.org/id/WBGene00003856", "WBGene00003856")</f>
        <v>WBGene00003856</v>
      </c>
      <c r="B2485" s="9" t="str">
        <f>HYPERLINK("http://www.ncbi.nlm.nih.gov/gene/180959", "180959")</f>
        <v>180959</v>
      </c>
      <c r="C2485" s="9"/>
      <c r="D2485" t="str">
        <f>"odr-10"</f>
        <v>odr-10</v>
      </c>
      <c r="E2485" t="s">
        <v>858</v>
      </c>
      <c r="F2485" t="s">
        <v>11</v>
      </c>
      <c r="H2485" s="12">
        <v>2.5799112414309699</v>
      </c>
      <c r="I2485" s="11">
        <v>2.7635165637984098</v>
      </c>
      <c r="J2485" s="10">
        <v>5.7182189990224999E-3</v>
      </c>
      <c r="K2485" s="29">
        <v>0.13345976584991301</v>
      </c>
    </row>
    <row r="2486" spans="1:11" x14ac:dyDescent="0.35">
      <c r="A2486" s="9" t="str">
        <f>HYPERLINK("http://www.ensembl.org/id/WBGene00015536", "WBGene00015536")</f>
        <v>WBGene00015536</v>
      </c>
      <c r="B2486" s="9" t="str">
        <f>HYPERLINK("http://www.ncbi.nlm.nih.gov/gene/182330", "182330")</f>
        <v>182330</v>
      </c>
      <c r="C2486" s="9"/>
      <c r="D2486" t="str">
        <f>"glb-2"</f>
        <v>glb-2</v>
      </c>
      <c r="E2486" t="s">
        <v>633</v>
      </c>
      <c r="F2486" t="s">
        <v>11</v>
      </c>
      <c r="G2486" t="s">
        <v>867</v>
      </c>
      <c r="H2486" s="12">
        <v>2.57892519969166</v>
      </c>
      <c r="I2486" s="11">
        <v>2.75688430009677</v>
      </c>
      <c r="J2486" s="10">
        <v>5.8354995602811401E-3</v>
      </c>
      <c r="K2486" s="29">
        <v>0.13482869454409999</v>
      </c>
    </row>
    <row r="2487" spans="1:11" x14ac:dyDescent="0.35">
      <c r="A2487" s="9" t="str">
        <f>HYPERLINK("http://www.ensembl.org/id/WBGene00016517", "WBGene00016517")</f>
        <v>WBGene00016517</v>
      </c>
      <c r="B2487" s="9" t="str">
        <f>HYPERLINK("http://www.ncbi.nlm.nih.gov/gene/183304", "183304")</f>
        <v>183304</v>
      </c>
      <c r="C2487" s="9"/>
      <c r="D2487" t="str">
        <f>"nhr-260"</f>
        <v>nhr-260</v>
      </c>
      <c r="E2487" t="s">
        <v>637</v>
      </c>
      <c r="F2487" t="s">
        <v>11</v>
      </c>
      <c r="G2487" t="s">
        <v>1073</v>
      </c>
      <c r="H2487" s="12">
        <v>2.5784919229875798</v>
      </c>
      <c r="I2487" s="11">
        <v>1.3649118980305399</v>
      </c>
      <c r="J2487" s="10">
        <v>0.17228074222981299</v>
      </c>
      <c r="K2487" s="29">
        <v>0.89939422276594205</v>
      </c>
    </row>
    <row r="2488" spans="1:11" x14ac:dyDescent="0.35">
      <c r="A2488" s="9" t="str">
        <f>HYPERLINK("http://www.ensembl.org/id/WBGene00010573", "WBGene00010573")</f>
        <v>WBGene00010573</v>
      </c>
      <c r="B2488" s="9" t="str">
        <f>HYPERLINK("http://www.ncbi.nlm.nih.gov/gene/176315", "176315")</f>
        <v>176315</v>
      </c>
      <c r="C2488" s="9"/>
      <c r="D2488" t="str">
        <f>"K04H4.2"</f>
        <v>K04H4.2</v>
      </c>
      <c r="F2488" t="s">
        <v>11</v>
      </c>
      <c r="G2488" t="s">
        <v>191</v>
      </c>
      <c r="H2488" s="12">
        <v>2.57844565141952</v>
      </c>
      <c r="I2488" s="11">
        <v>3.1429985034942001</v>
      </c>
      <c r="J2488" s="10">
        <v>1.67226694952467E-3</v>
      </c>
      <c r="K2488" s="29">
        <v>5.7843413376821799E-2</v>
      </c>
    </row>
    <row r="2489" spans="1:11" x14ac:dyDescent="0.35">
      <c r="A2489" s="9" t="str">
        <f>HYPERLINK("http://www.ensembl.org/id/WBGene00022522", "WBGene00022522")</f>
        <v>WBGene00022522</v>
      </c>
      <c r="B2489" s="9" t="str">
        <f>HYPERLINK("http://www.ncbi.nlm.nih.gov/gene/28661662", "28661662")</f>
        <v>28661662</v>
      </c>
      <c r="C2489" s="9"/>
      <c r="D2489" t="str">
        <f>"ZC132.3"</f>
        <v>ZC132.3</v>
      </c>
      <c r="F2489" t="s">
        <v>11</v>
      </c>
      <c r="G2489" t="s">
        <v>25</v>
      </c>
      <c r="H2489" s="12">
        <v>2.57770806658207</v>
      </c>
      <c r="I2489" s="11">
        <v>1.3067728104704801</v>
      </c>
      <c r="J2489" s="10">
        <v>0.19128988198071201</v>
      </c>
      <c r="K2489" s="29">
        <v>0.93098727871626596</v>
      </c>
    </row>
    <row r="2490" spans="1:11" x14ac:dyDescent="0.35">
      <c r="A2490" s="9" t="str">
        <f>HYPERLINK("http://www.ensembl.org/id/WBGene00018761", "WBGene00018761")</f>
        <v>WBGene00018761</v>
      </c>
      <c r="B2490" s="9" t="str">
        <f>HYPERLINK("http://www.ncbi.nlm.nih.gov/gene/186167", "186167")</f>
        <v>186167</v>
      </c>
      <c r="C2490" s="9"/>
      <c r="D2490" t="str">
        <f>"F53E10.5"</f>
        <v>F53E10.5</v>
      </c>
      <c r="F2490" t="s">
        <v>11</v>
      </c>
      <c r="H2490" s="12">
        <v>2.5771156989803599</v>
      </c>
      <c r="I2490" s="11">
        <v>1.13145348922072</v>
      </c>
      <c r="J2490" s="10">
        <v>0.257864269027267</v>
      </c>
      <c r="K2490" s="29">
        <v>0.98289565623980701</v>
      </c>
    </row>
    <row r="2491" spans="1:11" x14ac:dyDescent="0.35">
      <c r="A2491" s="9" t="str">
        <f>HYPERLINK("http://www.ensembl.org/id/WBGene00009900", "WBGene00009900")</f>
        <v>WBGene00009900</v>
      </c>
      <c r="B2491" s="9" t="str">
        <f>HYPERLINK("http://www.ncbi.nlm.nih.gov/gene/186059", "186059")</f>
        <v>186059</v>
      </c>
      <c r="C2491" s="9"/>
      <c r="D2491" t="str">
        <f>"F49E12.7"</f>
        <v>F49E12.7</v>
      </c>
      <c r="F2491" t="s">
        <v>11</v>
      </c>
      <c r="G2491" t="s">
        <v>25</v>
      </c>
      <c r="H2491" s="12">
        <v>2.5751298074084699</v>
      </c>
      <c r="I2491" s="11">
        <v>0.88146652107870804</v>
      </c>
      <c r="J2491" s="10">
        <v>0.37806536680694502</v>
      </c>
      <c r="K2491" s="29">
        <v>0.98289565623980701</v>
      </c>
    </row>
    <row r="2492" spans="1:11" x14ac:dyDescent="0.35">
      <c r="A2492" s="9" t="str">
        <f>HYPERLINK("http://www.ensembl.org/id/WBGene00000487", "WBGene00000487")</f>
        <v>WBGene00000487</v>
      </c>
      <c r="B2492" s="9" t="str">
        <f>HYPERLINK("http://www.ncbi.nlm.nih.gov/gene/182823", "182823")</f>
        <v>182823</v>
      </c>
      <c r="C2492" s="9"/>
      <c r="D2492" t="str">
        <f>"che-6"</f>
        <v>che-6</v>
      </c>
      <c r="F2492" t="s">
        <v>11</v>
      </c>
      <c r="G2492" t="s">
        <v>4368</v>
      </c>
      <c r="H2492" s="12">
        <v>2.5740334730846999</v>
      </c>
      <c r="I2492" s="11">
        <v>0.737500398254745</v>
      </c>
      <c r="J2492" s="10">
        <v>0.46081810110802401</v>
      </c>
      <c r="K2492" s="29">
        <v>0.98289565623980701</v>
      </c>
    </row>
    <row r="2493" spans="1:11" x14ac:dyDescent="0.35">
      <c r="A2493" s="9" t="str">
        <f>HYPERLINK("http://www.ensembl.org/id/WBGene00019532", "WBGene00019532")</f>
        <v>WBGene00019532</v>
      </c>
      <c r="B2493" s="9"/>
      <c r="C2493" s="9"/>
      <c r="D2493" t="str">
        <f>"K08D10.9"</f>
        <v>K08D10.9</v>
      </c>
      <c r="F2493" t="s">
        <v>80</v>
      </c>
      <c r="H2493" s="12">
        <v>2.5738595223867602</v>
      </c>
      <c r="I2493" s="11">
        <v>1.09057950698214</v>
      </c>
      <c r="J2493" s="10">
        <v>0.27545795097058101</v>
      </c>
      <c r="K2493" s="29">
        <v>0.98289565623980701</v>
      </c>
    </row>
    <row r="2494" spans="1:11" x14ac:dyDescent="0.35">
      <c r="A2494" s="9" t="str">
        <f>HYPERLINK("http://www.ensembl.org/id/WBGene00017336", "WBGene00017336")</f>
        <v>WBGene00017336</v>
      </c>
      <c r="B2494" s="9" t="str">
        <f>HYPERLINK("http://www.ncbi.nlm.nih.gov/gene/184295", "184295")</f>
        <v>184295</v>
      </c>
      <c r="C2494" s="9"/>
      <c r="D2494" t="str">
        <f>"ugt-41"</f>
        <v>ugt-41</v>
      </c>
      <c r="E2494" t="s">
        <v>103</v>
      </c>
      <c r="F2494" t="s">
        <v>11</v>
      </c>
      <c r="G2494" t="s">
        <v>104</v>
      </c>
      <c r="H2494" s="12">
        <v>2.5734806077757799</v>
      </c>
      <c r="I2494" s="11">
        <v>2.8605602410622302</v>
      </c>
      <c r="J2494" s="10">
        <v>4.2289320109633504E-3</v>
      </c>
      <c r="K2494" s="29">
        <v>0.108835046842439</v>
      </c>
    </row>
    <row r="2495" spans="1:11" x14ac:dyDescent="0.35">
      <c r="A2495" s="9" t="str">
        <f>HYPERLINK("http://www.ensembl.org/id/WBGene00013194", "WBGene00013194")</f>
        <v>WBGene00013194</v>
      </c>
      <c r="B2495" s="9" t="str">
        <f>HYPERLINK("http://www.ncbi.nlm.nih.gov/gene/190258", "190258")</f>
        <v>190258</v>
      </c>
      <c r="C2495" s="9"/>
      <c r="D2495" t="str">
        <f>"Y54E2A.9"</f>
        <v>Y54E2A.9</v>
      </c>
      <c r="F2495" t="s">
        <v>11</v>
      </c>
      <c r="G2495" t="s">
        <v>63</v>
      </c>
      <c r="H2495" s="12">
        <v>2.5733705447253699</v>
      </c>
      <c r="I2495" s="11">
        <v>0.58934556711127095</v>
      </c>
      <c r="J2495" s="10">
        <v>0.55562948327535699</v>
      </c>
      <c r="K2495" s="29">
        <v>0.98289565623980701</v>
      </c>
    </row>
    <row r="2496" spans="1:11" x14ac:dyDescent="0.35">
      <c r="A2496" s="9" t="str">
        <f>HYPERLINK("http://www.ensembl.org/id/WBGene00018027", "WBGene00018027")</f>
        <v>WBGene00018027</v>
      </c>
      <c r="B2496" s="9" t="str">
        <f>HYPERLINK("http://www.ncbi.nlm.nih.gov/gene/185250", "185250")</f>
        <v>185250</v>
      </c>
      <c r="C2496" s="9"/>
      <c r="D2496" t="str">
        <f>"F35A5.5"</f>
        <v>F35A5.5</v>
      </c>
      <c r="F2496" t="s">
        <v>11</v>
      </c>
      <c r="H2496" s="12">
        <v>2.5731352571125399</v>
      </c>
      <c r="I2496" s="11">
        <v>0.58495279356700602</v>
      </c>
      <c r="J2496" s="10">
        <v>0.55857945874509096</v>
      </c>
      <c r="K2496" s="29">
        <v>0.98289565623980701</v>
      </c>
    </row>
    <row r="2497" spans="1:11" x14ac:dyDescent="0.35">
      <c r="A2497" s="9" t="str">
        <f>HYPERLINK("http://www.ensembl.org/id/WBGene00009447", "WBGene00009447")</f>
        <v>WBGene00009447</v>
      </c>
      <c r="B2497" s="9" t="str">
        <f>HYPERLINK("http://www.ncbi.nlm.nih.gov/gene/185325", "185325")</f>
        <v>185325</v>
      </c>
      <c r="C2497" s="9"/>
      <c r="D2497" t="str">
        <f>"F35H8.2"</f>
        <v>F35H8.2</v>
      </c>
      <c r="F2497" t="s">
        <v>11</v>
      </c>
      <c r="G2497" t="s">
        <v>602</v>
      </c>
      <c r="H2497" s="12">
        <v>2.5726680722808899</v>
      </c>
      <c r="I2497" s="11">
        <v>3.1229873754834898</v>
      </c>
      <c r="J2497" s="10">
        <v>1.79025426819211E-3</v>
      </c>
      <c r="K2497" s="29">
        <v>6.0037177243609401E-2</v>
      </c>
    </row>
    <row r="2498" spans="1:11" x14ac:dyDescent="0.35">
      <c r="A2498" s="9" t="str">
        <f>HYPERLINK("http://www.ensembl.org/id/WBGene00000599", "WBGene00000599")</f>
        <v>WBGene00000599</v>
      </c>
      <c r="B2498" s="9" t="str">
        <f>HYPERLINK("http://www.ncbi.nlm.nih.gov/gene/179298", "179298")</f>
        <v>179298</v>
      </c>
      <c r="C2498" s="9"/>
      <c r="D2498" t="str">
        <f>"col-10"</f>
        <v>col-10</v>
      </c>
      <c r="E2498" t="s">
        <v>321</v>
      </c>
      <c r="F2498" t="s">
        <v>11</v>
      </c>
      <c r="G2498" t="s">
        <v>152</v>
      </c>
      <c r="H2498" s="12">
        <v>2.5719810369612701</v>
      </c>
      <c r="I2498" s="11">
        <v>3.97572951647106</v>
      </c>
      <c r="J2498" s="10">
        <v>7.0163837400882901E-5</v>
      </c>
      <c r="K2498" s="29">
        <v>4.9883250061070802E-3</v>
      </c>
    </row>
    <row r="2499" spans="1:11" x14ac:dyDescent="0.35">
      <c r="A2499" s="9" t="str">
        <f>HYPERLINK("http://www.ensembl.org/id/WBGene00018696", "WBGene00018696")</f>
        <v>WBGene00018696</v>
      </c>
      <c r="B2499" s="9" t="str">
        <f>HYPERLINK("http://www.ncbi.nlm.nih.gov/gene/186114", "186114")</f>
        <v>186114</v>
      </c>
      <c r="C2499" s="9" t="str">
        <f>HYPERLINK("http://www.ncbi.nlm.nih.gov/gene/55", "55")</f>
        <v>55</v>
      </c>
      <c r="D2499" t="str">
        <f>"pho-6"</f>
        <v>pho-6</v>
      </c>
      <c r="E2499" t="s">
        <v>501</v>
      </c>
      <c r="F2499" t="s">
        <v>11</v>
      </c>
      <c r="G2499" t="s">
        <v>37</v>
      </c>
      <c r="H2499" s="12">
        <v>2.5709942878611902</v>
      </c>
      <c r="I2499" s="11">
        <v>3.3698580500255302</v>
      </c>
      <c r="J2499" s="10">
        <v>7.5206914773565602E-4</v>
      </c>
      <c r="K2499" s="29">
        <v>3.1198042598887001E-2</v>
      </c>
    </row>
    <row r="2500" spans="1:11" x14ac:dyDescent="0.35">
      <c r="A2500" s="9" t="str">
        <f>HYPERLINK("http://www.ensembl.org/id/WBGene00045138", "WBGene00045138")</f>
        <v>WBGene00045138</v>
      </c>
      <c r="B2500" s="9"/>
      <c r="C2500" s="9"/>
      <c r="D2500" t="str">
        <f>"F25H2.14"</f>
        <v>F25H2.14</v>
      </c>
      <c r="F2500" t="s">
        <v>2977</v>
      </c>
      <c r="H2500" s="12">
        <v>2.5703808721227901</v>
      </c>
      <c r="I2500" s="11">
        <v>0.47711274201562898</v>
      </c>
      <c r="J2500" s="10">
        <v>0.63328184172708502</v>
      </c>
      <c r="K2500" s="29">
        <v>0.98289565623980701</v>
      </c>
    </row>
    <row r="2501" spans="1:11" x14ac:dyDescent="0.35">
      <c r="A2501" s="9" t="str">
        <f>HYPERLINK("http://www.ensembl.org/id/WBGene00006310", "WBGene00006310")</f>
        <v>WBGene00006310</v>
      </c>
      <c r="B2501" s="9" t="str">
        <f>HYPERLINK("http://www.ncbi.nlm.nih.gov/gene/183778", "183778")</f>
        <v>183778</v>
      </c>
      <c r="C2501" s="9"/>
      <c r="D2501" t="str">
        <f>"sul-3"</f>
        <v>sul-3</v>
      </c>
      <c r="E2501" t="s">
        <v>249</v>
      </c>
      <c r="F2501" t="s">
        <v>11</v>
      </c>
      <c r="G2501" t="s">
        <v>250</v>
      </c>
      <c r="H2501" s="12">
        <v>2.56986891850763</v>
      </c>
      <c r="I2501" s="11">
        <v>4.2945204578661897</v>
      </c>
      <c r="J2501" s="10">
        <v>1.75071338124309E-5</v>
      </c>
      <c r="K2501" s="29">
        <v>1.6401141676481001E-3</v>
      </c>
    </row>
    <row r="2502" spans="1:11" x14ac:dyDescent="0.35">
      <c r="A2502" s="9" t="str">
        <f>HYPERLINK("http://www.ensembl.org/id/WBGene00003838", "WBGene00003838")</f>
        <v>WBGene00003838</v>
      </c>
      <c r="B2502" s="9" t="str">
        <f>HYPERLINK("http://www.ncbi.nlm.nih.gov/gene/185101", "185101")</f>
        <v>185101</v>
      </c>
      <c r="C2502" s="9"/>
      <c r="D2502" t="str">
        <f>"ocr-1"</f>
        <v>ocr-1</v>
      </c>
      <c r="E2502" t="s">
        <v>1244</v>
      </c>
      <c r="F2502" t="s">
        <v>11</v>
      </c>
      <c r="G2502" t="s">
        <v>3593</v>
      </c>
      <c r="H2502" s="12">
        <v>2.5683330183945499</v>
      </c>
      <c r="I2502" s="11">
        <v>1.3445559564818801</v>
      </c>
      <c r="J2502" s="10">
        <v>0.17876867463906401</v>
      </c>
      <c r="K2502" s="29">
        <v>0.91302105524363297</v>
      </c>
    </row>
    <row r="2503" spans="1:11" x14ac:dyDescent="0.35">
      <c r="A2503" s="9" t="str">
        <f>HYPERLINK("http://www.ensembl.org/id/WBGene00010513", "WBGene00010513")</f>
        <v>WBGene00010513</v>
      </c>
      <c r="B2503" s="9" t="str">
        <f>HYPERLINK("http://www.ncbi.nlm.nih.gov/gene/186895", "186895")</f>
        <v>186895</v>
      </c>
      <c r="C2503" s="9"/>
      <c r="D2503" t="str">
        <f>"K02E11.4"</f>
        <v>K02E11.4</v>
      </c>
      <c r="F2503" t="s">
        <v>11</v>
      </c>
      <c r="H2503" s="12">
        <v>2.5659781547982301</v>
      </c>
      <c r="I2503" s="11">
        <v>3.9493331902423798</v>
      </c>
      <c r="J2503" s="10">
        <v>7.8369202092770505E-5</v>
      </c>
      <c r="K2503" s="29">
        <v>5.4872690410774404E-3</v>
      </c>
    </row>
    <row r="2504" spans="1:11" x14ac:dyDescent="0.35">
      <c r="A2504" s="9" t="str">
        <f>HYPERLINK("http://www.ensembl.org/id/WBGene00000134", "WBGene00000134")</f>
        <v>WBGene00000134</v>
      </c>
      <c r="B2504" s="9" t="str">
        <f>HYPERLINK("http://www.ncbi.nlm.nih.gov/gene/186047", "186047")</f>
        <v>186047</v>
      </c>
      <c r="C2504" s="9"/>
      <c r="D2504" t="str">
        <f>"amt-2"</f>
        <v>amt-2</v>
      </c>
      <c r="E2504" t="s">
        <v>2828</v>
      </c>
      <c r="F2504" t="s">
        <v>11</v>
      </c>
      <c r="G2504" t="s">
        <v>1286</v>
      </c>
      <c r="H2504" s="12">
        <v>2.5599008151015501</v>
      </c>
      <c r="I2504" s="11">
        <v>1.5548429873260601</v>
      </c>
      <c r="J2504" s="10">
        <v>0.11998346835649799</v>
      </c>
      <c r="K2504" s="29">
        <v>0.78962228318223304</v>
      </c>
    </row>
    <row r="2505" spans="1:11" x14ac:dyDescent="0.35">
      <c r="A2505" s="9" t="str">
        <f>HYPERLINK("http://www.ensembl.org/id/WBGene00011524", "WBGene00011524")</f>
        <v>WBGene00011524</v>
      </c>
      <c r="B2505" s="9" t="str">
        <f>HYPERLINK("http://www.ncbi.nlm.nih.gov/gene/174710", "174710")</f>
        <v>174710</v>
      </c>
      <c r="C2505" s="9" t="str">
        <f>HYPERLINK("http://www.ncbi.nlm.nih.gov/gene/163404", "163404")</f>
        <v>163404</v>
      </c>
      <c r="D2505" t="str">
        <f>"plpr-1"</f>
        <v>plpr-1</v>
      </c>
      <c r="E2505" t="s">
        <v>1178</v>
      </c>
      <c r="F2505" t="s">
        <v>11</v>
      </c>
      <c r="G2505" t="s">
        <v>1179</v>
      </c>
      <c r="H2505" s="12">
        <v>2.5595388404262902</v>
      </c>
      <c r="I2505" s="11">
        <v>2.4135894798870199</v>
      </c>
      <c r="J2505" s="10">
        <v>1.5796248706895999E-2</v>
      </c>
      <c r="K2505" s="29">
        <v>0.26145280990081599</v>
      </c>
    </row>
    <row r="2506" spans="1:11" x14ac:dyDescent="0.35">
      <c r="A2506" s="9" t="str">
        <f>HYPERLINK("http://www.ensembl.org/id/WBGene00016436", "WBGene00016436")</f>
        <v>WBGene00016436</v>
      </c>
      <c r="B2506" s="9" t="str">
        <f>HYPERLINK("http://www.ncbi.nlm.nih.gov/gene/177172", "177172")</f>
        <v>177172</v>
      </c>
      <c r="C2506" s="9"/>
      <c r="D2506" t="str">
        <f>"C35B1.7"</f>
        <v>C35B1.7</v>
      </c>
      <c r="F2506" t="s">
        <v>11</v>
      </c>
      <c r="H2506" s="12">
        <v>2.5562598418032101</v>
      </c>
      <c r="I2506" s="11">
        <v>3.4014492367017</v>
      </c>
      <c r="J2506" s="10">
        <v>6.7029576292502698E-4</v>
      </c>
      <c r="K2506" s="29">
        <v>2.8522751193638399E-2</v>
      </c>
    </row>
    <row r="2507" spans="1:11" x14ac:dyDescent="0.35">
      <c r="A2507" s="9" t="str">
        <f>HYPERLINK("http://www.ensembl.org/id/WBGene00012840", "WBGene00012840")</f>
        <v>WBGene00012840</v>
      </c>
      <c r="B2507" s="9" t="str">
        <f>HYPERLINK("http://www.ncbi.nlm.nih.gov/gene/259344", "259344")</f>
        <v>259344</v>
      </c>
      <c r="C2507" s="9"/>
      <c r="D2507" t="str">
        <f>"grsp-1"</f>
        <v>grsp-1</v>
      </c>
      <c r="E2507" t="s">
        <v>1437</v>
      </c>
      <c r="F2507" t="s">
        <v>11</v>
      </c>
      <c r="H2507" s="12">
        <v>2.5560981785708901</v>
      </c>
      <c r="I2507" s="11">
        <v>1.7528956136149401</v>
      </c>
      <c r="J2507" s="10">
        <v>7.9619926677608699E-2</v>
      </c>
      <c r="K2507" s="29">
        <v>0.664390764107196</v>
      </c>
    </row>
    <row r="2508" spans="1:11" x14ac:dyDescent="0.35">
      <c r="A2508" s="9" t="str">
        <f>HYPERLINK("http://www.ensembl.org/id/WBGene00011075", "WBGene00011075")</f>
        <v>WBGene00011075</v>
      </c>
      <c r="B2508" s="9" t="str">
        <f>HYPERLINK("http://www.ncbi.nlm.nih.gov/gene/187644", "187644")</f>
        <v>187644</v>
      </c>
      <c r="C2508" s="9"/>
      <c r="D2508" t="str">
        <f>"R07A4.4"</f>
        <v>R07A4.4</v>
      </c>
      <c r="F2508" t="s">
        <v>11</v>
      </c>
      <c r="H2508" s="12">
        <v>2.55584370086298</v>
      </c>
      <c r="I2508" s="11">
        <v>1.2217316443380799</v>
      </c>
      <c r="J2508" s="10">
        <v>0.22180912546451101</v>
      </c>
      <c r="K2508" s="29">
        <v>0.97458737510585802</v>
      </c>
    </row>
    <row r="2509" spans="1:11" x14ac:dyDescent="0.35">
      <c r="A2509" s="9" t="str">
        <f>HYPERLINK("http://www.ensembl.org/id/WBGene00206366", "WBGene00206366")</f>
        <v>WBGene00206366</v>
      </c>
      <c r="B2509" s="9" t="str">
        <f>HYPERLINK("http://www.ncbi.nlm.nih.gov/gene/13183282", "13183282")</f>
        <v>13183282</v>
      </c>
      <c r="C2509" s="9"/>
      <c r="D2509" t="str">
        <f>"C03H5.9"</f>
        <v>C03H5.9</v>
      </c>
      <c r="F2509" t="s">
        <v>11</v>
      </c>
      <c r="G2509" t="s">
        <v>591</v>
      </c>
      <c r="H2509" s="12">
        <v>2.5554489104163398</v>
      </c>
      <c r="I2509" s="11">
        <v>0.95079247893808605</v>
      </c>
      <c r="J2509" s="10">
        <v>0.34170973129564503</v>
      </c>
      <c r="K2509" s="29">
        <v>0.98289565623980701</v>
      </c>
    </row>
    <row r="2510" spans="1:11" x14ac:dyDescent="0.35">
      <c r="A2510" s="9" t="str">
        <f>HYPERLINK("http://www.ensembl.org/id/WBGene00006583", "WBGene00006583")</f>
        <v>WBGene00006583</v>
      </c>
      <c r="B2510" s="9" t="str">
        <f>HYPERLINK("http://www.ncbi.nlm.nih.gov/gene/174612", "174612")</f>
        <v>174612</v>
      </c>
      <c r="C2510" s="9"/>
      <c r="D2510" t="str">
        <f>"tnc-2"</f>
        <v>tnc-2</v>
      </c>
      <c r="E2510" t="s">
        <v>205</v>
      </c>
      <c r="F2510" t="s">
        <v>11</v>
      </c>
      <c r="G2510" t="s">
        <v>206</v>
      </c>
      <c r="H2510" s="12">
        <v>2.5546602834858398</v>
      </c>
      <c r="I2510" s="11">
        <v>4.5542102145550603</v>
      </c>
      <c r="J2510" s="10">
        <v>5.2582754385458299E-6</v>
      </c>
      <c r="K2510" s="29">
        <v>6.1679317280319897E-4</v>
      </c>
    </row>
    <row r="2511" spans="1:11" x14ac:dyDescent="0.35">
      <c r="A2511" s="9" t="str">
        <f>HYPERLINK("http://www.ensembl.org/id/WBGene00008707", "WBGene00008707")</f>
        <v>WBGene00008707</v>
      </c>
      <c r="B2511" s="9" t="str">
        <f>HYPERLINK("http://www.ncbi.nlm.nih.gov/gene/178533", "178533")</f>
        <v>178533</v>
      </c>
      <c r="C2511" s="9"/>
      <c r="D2511" t="str">
        <f>"F11E6.3"</f>
        <v>F11E6.3</v>
      </c>
      <c r="F2511" t="s">
        <v>11</v>
      </c>
      <c r="H2511" s="12">
        <v>2.55368415998863</v>
      </c>
      <c r="I2511" s="11">
        <v>4.9045028860370099</v>
      </c>
      <c r="J2511" s="10">
        <v>9.3664244562988205E-7</v>
      </c>
      <c r="K2511" s="29">
        <v>1.4722490033145601E-4</v>
      </c>
    </row>
    <row r="2512" spans="1:11" x14ac:dyDescent="0.35">
      <c r="A2512" s="9" t="str">
        <f>HYPERLINK("http://www.ensembl.org/id/WBGene00010157", "WBGene00010157")</f>
        <v>WBGene00010157</v>
      </c>
      <c r="B2512" s="9" t="str">
        <f>HYPERLINK("http://www.ncbi.nlm.nih.gov/gene/173024", "173024")</f>
        <v>173024</v>
      </c>
      <c r="C2512" s="9"/>
      <c r="D2512" t="str">
        <f>"oac-34"</f>
        <v>oac-34</v>
      </c>
      <c r="E2512" t="s">
        <v>883</v>
      </c>
      <c r="F2512" t="s">
        <v>11</v>
      </c>
      <c r="G2512" t="s">
        <v>1992</v>
      </c>
      <c r="H2512" s="12">
        <v>2.55113635411585</v>
      </c>
      <c r="I2512" s="11">
        <v>0.62407968795359903</v>
      </c>
      <c r="J2512" s="10">
        <v>0.53257525274537598</v>
      </c>
      <c r="K2512" s="29">
        <v>0.98289565623980701</v>
      </c>
    </row>
    <row r="2513" spans="1:11" x14ac:dyDescent="0.35">
      <c r="A2513" s="9" t="str">
        <f>HYPERLINK("http://www.ensembl.org/id/WBGene00197243", "WBGene00197243")</f>
        <v>WBGene00197243</v>
      </c>
      <c r="B2513" s="9"/>
      <c r="C2513" s="9"/>
      <c r="D2513" t="str">
        <f>"C06G1.11"</f>
        <v>C06G1.11</v>
      </c>
      <c r="F2513" t="s">
        <v>481</v>
      </c>
      <c r="H2513" s="12">
        <v>2.5494470594118899</v>
      </c>
      <c r="I2513" s="11">
        <v>0.31908451726144499</v>
      </c>
      <c r="J2513" s="10">
        <v>0.74966242392848603</v>
      </c>
      <c r="K2513" s="29">
        <v>0.98289565623980701</v>
      </c>
    </row>
    <row r="2514" spans="1:11" x14ac:dyDescent="0.35">
      <c r="A2514" s="9" t="str">
        <f>HYPERLINK("http://www.ensembl.org/id/WBGene00016770", "WBGene00016770")</f>
        <v>WBGene00016770</v>
      </c>
      <c r="B2514" s="9" t="str">
        <f>HYPERLINK("http://www.ncbi.nlm.nih.gov/gene/183603", "183603")</f>
        <v>183603</v>
      </c>
      <c r="C2514" s="9"/>
      <c r="D2514" t="str">
        <f>"C49C8.6"</f>
        <v>C49C8.6</v>
      </c>
      <c r="F2514" t="s">
        <v>11</v>
      </c>
      <c r="H2514" s="12">
        <v>2.5494470594118899</v>
      </c>
      <c r="I2514" s="11">
        <v>0.31908451726144499</v>
      </c>
      <c r="J2514" s="10">
        <v>0.74966242392848603</v>
      </c>
      <c r="K2514" s="29">
        <v>0.98289565623980701</v>
      </c>
    </row>
    <row r="2515" spans="1:11" x14ac:dyDescent="0.35">
      <c r="A2515" s="9" t="str">
        <f>HYPERLINK("http://www.ensembl.org/id/WBGene00017870", "WBGene00017870")</f>
        <v>WBGene00017870</v>
      </c>
      <c r="B2515" s="9"/>
      <c r="C2515" s="9"/>
      <c r="D2515" t="str">
        <f>"F28A10.2"</f>
        <v>F28A10.2</v>
      </c>
      <c r="F2515" t="s">
        <v>80</v>
      </c>
      <c r="H2515" s="12">
        <v>2.5494470594118899</v>
      </c>
      <c r="I2515" s="11">
        <v>0.31908451726144499</v>
      </c>
      <c r="J2515" s="10">
        <v>0.74966242392848603</v>
      </c>
      <c r="K2515" s="29">
        <v>0.98289565623980701</v>
      </c>
    </row>
    <row r="2516" spans="1:11" x14ac:dyDescent="0.35">
      <c r="A2516" s="9" t="str">
        <f>HYPERLINK("http://www.ensembl.org/id/WBGene00196986", "WBGene00196986")</f>
        <v>WBGene00196986</v>
      </c>
      <c r="B2516" s="9"/>
      <c r="C2516" s="9"/>
      <c r="D2516" t="str">
        <f>"H01A20.2"</f>
        <v>H01A20.2</v>
      </c>
      <c r="F2516" t="s">
        <v>481</v>
      </c>
      <c r="H2516" s="12">
        <v>2.5494470594118899</v>
      </c>
      <c r="I2516" s="11">
        <v>0.31908451726144499</v>
      </c>
      <c r="J2516" s="10">
        <v>0.74966242392848603</v>
      </c>
      <c r="K2516" s="29">
        <v>0.98289565623980701</v>
      </c>
    </row>
    <row r="2517" spans="1:11" x14ac:dyDescent="0.35">
      <c r="A2517" s="9" t="str">
        <f>HYPERLINK("http://www.ensembl.org/id/WBGene00194923", "WBGene00194923")</f>
        <v>WBGene00194923</v>
      </c>
      <c r="B2517" s="9"/>
      <c r="C2517" s="9"/>
      <c r="D2517" t="str">
        <f>"linc-121"</f>
        <v>linc-121</v>
      </c>
      <c r="F2517" t="s">
        <v>1510</v>
      </c>
      <c r="H2517" s="12">
        <v>2.5494470594118899</v>
      </c>
      <c r="I2517" s="11">
        <v>0.31908451726144499</v>
      </c>
      <c r="J2517" s="10">
        <v>0.74966242392848603</v>
      </c>
      <c r="K2517" s="29">
        <v>0.98289565623980701</v>
      </c>
    </row>
    <row r="2518" spans="1:11" x14ac:dyDescent="0.35">
      <c r="A2518" s="9" t="str">
        <f>HYPERLINK("http://www.ensembl.org/id/WBGene00018544", "WBGene00018544")</f>
        <v>WBGene00018544</v>
      </c>
      <c r="B2518" s="9" t="str">
        <f>HYPERLINK("http://www.ncbi.nlm.nih.gov/gene/185912", "185912")</f>
        <v>185912</v>
      </c>
      <c r="C2518" s="9"/>
      <c r="D2518" t="str">
        <f>"nhr-188"</f>
        <v>nhr-188</v>
      </c>
      <c r="E2518" t="s">
        <v>637</v>
      </c>
      <c r="F2518" t="s">
        <v>11</v>
      </c>
      <c r="G2518" t="s">
        <v>1073</v>
      </c>
      <c r="H2518" s="12">
        <v>2.5494470594118899</v>
      </c>
      <c r="I2518" s="11">
        <v>0.31908451726144499</v>
      </c>
      <c r="J2518" s="10">
        <v>0.74966242392848603</v>
      </c>
      <c r="K2518" s="29">
        <v>0.98289565623980701</v>
      </c>
    </row>
    <row r="2519" spans="1:11" x14ac:dyDescent="0.35">
      <c r="A2519" s="9" t="str">
        <f>HYPERLINK("http://www.ensembl.org/id/WBGene00005709", "WBGene00005709")</f>
        <v>WBGene00005709</v>
      </c>
      <c r="B2519" s="9"/>
      <c r="C2519" s="9"/>
      <c r="D2519" t="str">
        <f>"sru-46"</f>
        <v>sru-46</v>
      </c>
      <c r="F2519" t="s">
        <v>80</v>
      </c>
      <c r="H2519" s="12">
        <v>2.5494470594118899</v>
      </c>
      <c r="I2519" s="11">
        <v>0.31908451726144499</v>
      </c>
      <c r="J2519" s="10">
        <v>0.74966242392848603</v>
      </c>
      <c r="K2519" s="29">
        <v>0.98289565623980701</v>
      </c>
    </row>
    <row r="2520" spans="1:11" x14ac:dyDescent="0.35">
      <c r="A2520" s="9" t="str">
        <f>HYPERLINK("http://www.ensembl.org/id/WBGene00005876", "WBGene00005876")</f>
        <v>WBGene00005876</v>
      </c>
      <c r="B2520" s="9" t="str">
        <f>HYPERLINK("http://www.ncbi.nlm.nih.gov/gene/183441", "183441")</f>
        <v>183441</v>
      </c>
      <c r="C2520" s="9"/>
      <c r="D2520" t="str">
        <f>"srw-129"</f>
        <v>srw-129</v>
      </c>
      <c r="E2520" t="s">
        <v>1014</v>
      </c>
      <c r="F2520" t="s">
        <v>11</v>
      </c>
      <c r="G2520" t="s">
        <v>1015</v>
      </c>
      <c r="H2520" s="12">
        <v>2.5494470594118899</v>
      </c>
      <c r="I2520" s="11">
        <v>0.31908451726144499</v>
      </c>
      <c r="J2520" s="10">
        <v>0.74966242392848603</v>
      </c>
      <c r="K2520" s="29">
        <v>0.98289565623980701</v>
      </c>
    </row>
    <row r="2521" spans="1:11" x14ac:dyDescent="0.35">
      <c r="A2521" s="9" t="str">
        <f>HYPERLINK("http://www.ensembl.org/id/WBGene00006024", "WBGene00006024")</f>
        <v>WBGene00006024</v>
      </c>
      <c r="B2521" s="9" t="str">
        <f>HYPERLINK("http://www.ncbi.nlm.nih.gov/gene/184252", "184252")</f>
        <v>184252</v>
      </c>
      <c r="C2521" s="9"/>
      <c r="D2521" t="str">
        <f>"srx-133"</f>
        <v>srx-133</v>
      </c>
      <c r="E2521" t="s">
        <v>1477</v>
      </c>
      <c r="F2521" t="s">
        <v>11</v>
      </c>
      <c r="G2521" t="s">
        <v>25</v>
      </c>
      <c r="H2521" s="12">
        <v>2.5494470594118899</v>
      </c>
      <c r="I2521" s="11">
        <v>0.31908451726144499</v>
      </c>
      <c r="J2521" s="10">
        <v>0.74966242392848603</v>
      </c>
      <c r="K2521" s="29">
        <v>0.98289565623980701</v>
      </c>
    </row>
    <row r="2522" spans="1:11" x14ac:dyDescent="0.35">
      <c r="A2522" s="9" t="str">
        <f>HYPERLINK("http://www.ensembl.org/id/WBGene00020550", "WBGene00020550")</f>
        <v>WBGene00020550</v>
      </c>
      <c r="B2522" s="9" t="str">
        <f>HYPERLINK("http://www.ncbi.nlm.nih.gov/gene/175228", "175228")</f>
        <v>175228</v>
      </c>
      <c r="C2522" s="9"/>
      <c r="D2522" t="str">
        <f>"T17H7.1"</f>
        <v>T17H7.1</v>
      </c>
      <c r="F2522" t="s">
        <v>11</v>
      </c>
      <c r="H2522" s="12">
        <v>2.5490217624275102</v>
      </c>
      <c r="I2522" s="11">
        <v>4.0681444010021499</v>
      </c>
      <c r="J2522" s="10">
        <v>4.7389012009266997E-5</v>
      </c>
      <c r="K2522" s="29">
        <v>3.6544559524294201E-3</v>
      </c>
    </row>
    <row r="2523" spans="1:11" x14ac:dyDescent="0.35">
      <c r="A2523" s="9" t="str">
        <f>HYPERLINK("http://www.ensembl.org/id/WBGene00195081", "WBGene00195081")</f>
        <v>WBGene00195081</v>
      </c>
      <c r="B2523" s="9" t="str">
        <f>HYPERLINK("http://www.ncbi.nlm.nih.gov/gene/13219936", "13219936")</f>
        <v>13219936</v>
      </c>
      <c r="C2523" s="9"/>
      <c r="D2523" t="str">
        <f>"C04F6.7"</f>
        <v>C04F6.7</v>
      </c>
      <c r="F2523" t="s">
        <v>11</v>
      </c>
      <c r="H2523" s="12">
        <v>2.54877084403708</v>
      </c>
      <c r="I2523" s="11">
        <v>0.89128195879139704</v>
      </c>
      <c r="J2523" s="10">
        <v>0.37277792486878603</v>
      </c>
      <c r="K2523" s="29">
        <v>0.98289565623980701</v>
      </c>
    </row>
    <row r="2524" spans="1:11" x14ac:dyDescent="0.35">
      <c r="A2524" s="9" t="str">
        <f>HYPERLINK("http://www.ensembl.org/id/WBGene00004964", "WBGene00004964")</f>
        <v>WBGene00004964</v>
      </c>
      <c r="B2524" s="9" t="str">
        <f>HYPERLINK("http://www.ncbi.nlm.nih.gov/gene/3565514", "3565514")</f>
        <v>3565514</v>
      </c>
      <c r="C2524" s="9"/>
      <c r="D2524" t="str">
        <f>"spe-10"</f>
        <v>spe-10</v>
      </c>
      <c r="E2524" t="s">
        <v>3849</v>
      </c>
      <c r="F2524" t="s">
        <v>11</v>
      </c>
      <c r="G2524" t="s">
        <v>3850</v>
      </c>
      <c r="H2524" s="12">
        <v>2.5464886684403298</v>
      </c>
      <c r="I2524" s="11">
        <v>1.2818645611086801</v>
      </c>
      <c r="J2524" s="10">
        <v>0.199890161633651</v>
      </c>
      <c r="K2524" s="29">
        <v>0.94659179748524402</v>
      </c>
    </row>
    <row r="2525" spans="1:11" x14ac:dyDescent="0.35">
      <c r="A2525" s="9" t="str">
        <f>HYPERLINK("http://www.ensembl.org/id/WBGene00011523", "WBGene00011523")</f>
        <v>WBGene00011523</v>
      </c>
      <c r="B2525" s="9" t="str">
        <f>HYPERLINK("http://www.ncbi.nlm.nih.gov/gene/174711", "174711")</f>
        <v>174711</v>
      </c>
      <c r="C2525" s="9"/>
      <c r="D2525" t="str">
        <f>"T06D8.2"</f>
        <v>T06D8.2</v>
      </c>
      <c r="F2525" t="s">
        <v>11</v>
      </c>
      <c r="G2525" t="s">
        <v>4369</v>
      </c>
      <c r="H2525" s="12">
        <v>2.54597217929037</v>
      </c>
      <c r="I2525" s="11">
        <v>1.0071662053756401</v>
      </c>
      <c r="J2525" s="10">
        <v>0.31385491022856599</v>
      </c>
      <c r="K2525" s="29">
        <v>0.98289565623980701</v>
      </c>
    </row>
    <row r="2526" spans="1:11" x14ac:dyDescent="0.35">
      <c r="A2526" s="9" t="str">
        <f>HYPERLINK("http://www.ensembl.org/id/WBGene00010487", "WBGene00010487")</f>
        <v>WBGene00010487</v>
      </c>
      <c r="B2526" s="9" t="str">
        <f>HYPERLINK("http://www.ncbi.nlm.nih.gov/gene/186863", "186863")</f>
        <v>186863</v>
      </c>
      <c r="C2526" s="9"/>
      <c r="D2526" t="str">
        <f>"K02A11.2"</f>
        <v>K02A11.2</v>
      </c>
      <c r="F2526" t="s">
        <v>11</v>
      </c>
      <c r="H2526" s="12">
        <v>2.5455347088435798</v>
      </c>
      <c r="I2526" s="11">
        <v>0.81889980325871303</v>
      </c>
      <c r="J2526" s="10">
        <v>0.41284358218987399</v>
      </c>
      <c r="K2526" s="29">
        <v>0.98289565623980701</v>
      </c>
    </row>
    <row r="2527" spans="1:11" x14ac:dyDescent="0.35">
      <c r="A2527" s="9" t="str">
        <f>HYPERLINK("http://www.ensembl.org/id/WBGene00219713", "WBGene00219713")</f>
        <v>WBGene00219713</v>
      </c>
      <c r="B2527" s="9"/>
      <c r="C2527" s="9"/>
      <c r="D2527" t="str">
        <f>"linc-27"</f>
        <v>linc-27</v>
      </c>
      <c r="F2527" t="s">
        <v>1510</v>
      </c>
      <c r="H2527" s="12">
        <v>2.54402737984329</v>
      </c>
      <c r="I2527" s="11">
        <v>1.08897331339931</v>
      </c>
      <c r="J2527" s="10">
        <v>0.27616565415865602</v>
      </c>
      <c r="K2527" s="29">
        <v>0.98289565623980701</v>
      </c>
    </row>
    <row r="2528" spans="1:11" x14ac:dyDescent="0.35">
      <c r="A2528" s="9" t="str">
        <f>HYPERLINK("http://www.ensembl.org/id/WBGene00007364", "WBGene00007364")</f>
        <v>WBGene00007364</v>
      </c>
      <c r="B2528" s="9" t="str">
        <f>HYPERLINK("http://www.ncbi.nlm.nih.gov/gene/182292", "182292")</f>
        <v>182292</v>
      </c>
      <c r="C2528" s="9" t="str">
        <f>HYPERLINK("http://www.ncbi.nlm.nih.gov/gene/51144", "51144")</f>
        <v>51144</v>
      </c>
      <c r="D2528" t="str">
        <f>"stdh-3"</f>
        <v>stdh-3</v>
      </c>
      <c r="E2528" t="s">
        <v>4370</v>
      </c>
      <c r="F2528" t="s">
        <v>11</v>
      </c>
      <c r="G2528" t="s">
        <v>4300</v>
      </c>
      <c r="H2528" s="12">
        <v>2.5435403929830902</v>
      </c>
      <c r="I2528" s="11">
        <v>0.41353777125671698</v>
      </c>
      <c r="J2528" s="10">
        <v>0.67921265493268101</v>
      </c>
      <c r="K2528" s="29">
        <v>0.98289565623980701</v>
      </c>
    </row>
    <row r="2529" spans="1:11" x14ac:dyDescent="0.35">
      <c r="A2529" s="9" t="str">
        <f>HYPERLINK("http://www.ensembl.org/id/WBGene00022478", "WBGene00022478")</f>
        <v>WBGene00022478</v>
      </c>
      <c r="B2529" s="9" t="str">
        <f>HYPERLINK("http://www.ncbi.nlm.nih.gov/gene/191034", "191034")</f>
        <v>191034</v>
      </c>
      <c r="C2529" s="9"/>
      <c r="D2529" t="str">
        <f>"fbxa-35"</f>
        <v>fbxa-35</v>
      </c>
      <c r="E2529" t="s">
        <v>467</v>
      </c>
      <c r="F2529" t="s">
        <v>11</v>
      </c>
      <c r="G2529" t="s">
        <v>54</v>
      </c>
      <c r="H2529" s="12">
        <v>2.5422130177538</v>
      </c>
      <c r="I2529" s="11">
        <v>1.1617572405733501</v>
      </c>
      <c r="J2529" s="10">
        <v>0.24533408735303899</v>
      </c>
      <c r="K2529" s="29">
        <v>0.98289565623980701</v>
      </c>
    </row>
    <row r="2530" spans="1:11" x14ac:dyDescent="0.35">
      <c r="A2530" s="9" t="str">
        <f>HYPERLINK("http://www.ensembl.org/id/WBGene00020555", "WBGene00020555")</f>
        <v>WBGene00020555</v>
      </c>
      <c r="B2530" s="9" t="str">
        <f>HYPERLINK("http://www.ncbi.nlm.nih.gov/gene/3565145", "3565145")</f>
        <v>3565145</v>
      </c>
      <c r="C2530" s="9"/>
      <c r="D2530" t="str">
        <f>"nhr-219"</f>
        <v>nhr-219</v>
      </c>
      <c r="E2530" t="s">
        <v>637</v>
      </c>
      <c r="F2530" t="s">
        <v>11</v>
      </c>
      <c r="G2530" t="s">
        <v>2789</v>
      </c>
      <c r="H2530" s="12">
        <v>2.5414106562260002</v>
      </c>
      <c r="I2530" s="11">
        <v>0.79541775497842204</v>
      </c>
      <c r="J2530" s="10">
        <v>0.42637053526864699</v>
      </c>
      <c r="K2530" s="29">
        <v>0.98289565623980701</v>
      </c>
    </row>
    <row r="2531" spans="1:11" x14ac:dyDescent="0.35">
      <c r="A2531" s="9" t="str">
        <f>HYPERLINK("http://www.ensembl.org/id/WBGene00022157", "WBGene00022157")</f>
        <v>WBGene00022157</v>
      </c>
      <c r="B2531" s="9" t="str">
        <f>HYPERLINK("http://www.ncbi.nlm.nih.gov/gene/190603", "190603")</f>
        <v>190603</v>
      </c>
      <c r="C2531" s="9"/>
      <c r="D2531" t="str">
        <f>"Y71G12B.22"</f>
        <v>Y71G12B.22</v>
      </c>
      <c r="F2531" t="s">
        <v>11</v>
      </c>
      <c r="H2531" s="12">
        <v>2.53850550792651</v>
      </c>
      <c r="I2531" s="11">
        <v>0.66109875683552399</v>
      </c>
      <c r="J2531" s="10">
        <v>0.50854898249032598</v>
      </c>
      <c r="K2531" s="29">
        <v>0.98289565623980701</v>
      </c>
    </row>
    <row r="2532" spans="1:11" x14ac:dyDescent="0.35">
      <c r="A2532" s="9" t="str">
        <f>HYPERLINK("http://www.ensembl.org/id/WBGene00009605", "WBGene00009605")</f>
        <v>WBGene00009605</v>
      </c>
      <c r="B2532" s="9" t="str">
        <f>HYPERLINK("http://www.ncbi.nlm.nih.gov/gene/179927", "179927")</f>
        <v>179927</v>
      </c>
      <c r="C2532" s="9"/>
      <c r="D2532" t="str">
        <f>"F40G12.10"</f>
        <v>F40G12.10</v>
      </c>
      <c r="F2532" t="s">
        <v>11</v>
      </c>
      <c r="G2532" t="s">
        <v>1020</v>
      </c>
      <c r="H2532" s="12">
        <v>2.5309178285130902</v>
      </c>
      <c r="I2532" s="11">
        <v>0.72063130733842395</v>
      </c>
      <c r="J2532" s="10">
        <v>0.47113638639070898</v>
      </c>
      <c r="K2532" s="29">
        <v>0.98289565623980701</v>
      </c>
    </row>
    <row r="2533" spans="1:11" x14ac:dyDescent="0.35">
      <c r="A2533" s="9" t="str">
        <f>HYPERLINK("http://www.ensembl.org/id/WBGene00023502", "WBGene00023502")</f>
        <v>WBGene00023502</v>
      </c>
      <c r="B2533" s="9" t="str">
        <f>HYPERLINK("http://www.ncbi.nlm.nih.gov/gene/3564777", "3564777")</f>
        <v>3564777</v>
      </c>
      <c r="C2533" s="9"/>
      <c r="D2533" t="str">
        <f>"clec-184"</f>
        <v>clec-184</v>
      </c>
      <c r="E2533" t="s">
        <v>46</v>
      </c>
      <c r="F2533" t="s">
        <v>11</v>
      </c>
      <c r="G2533" t="s">
        <v>47</v>
      </c>
      <c r="H2533" s="12">
        <v>2.5286300183517101</v>
      </c>
      <c r="I2533" s="11">
        <v>1.75993942540504</v>
      </c>
      <c r="J2533" s="10">
        <v>7.84180777099555E-2</v>
      </c>
      <c r="K2533" s="29">
        <v>0.65864344004588504</v>
      </c>
    </row>
    <row r="2534" spans="1:11" x14ac:dyDescent="0.35">
      <c r="A2534" s="9" t="str">
        <f>HYPERLINK("http://www.ensembl.org/id/WBGene00013327", "WBGene00013327")</f>
        <v>WBGene00013327</v>
      </c>
      <c r="B2534" s="9" t="str">
        <f>HYPERLINK("http://www.ncbi.nlm.nih.gov/gene/178410", "178410")</f>
        <v>178410</v>
      </c>
      <c r="C2534" s="9"/>
      <c r="D2534" t="str">
        <f>"Y57G11C.38"</f>
        <v>Y57G11C.38</v>
      </c>
      <c r="F2534" t="s">
        <v>11</v>
      </c>
      <c r="H2534" s="12">
        <v>2.5239004631120001</v>
      </c>
      <c r="I2534" s="11">
        <v>3.3512785879473999</v>
      </c>
      <c r="J2534" s="10">
        <v>8.0439335088968496E-4</v>
      </c>
      <c r="K2534" s="29">
        <v>3.2823835482017602E-2</v>
      </c>
    </row>
    <row r="2535" spans="1:11" x14ac:dyDescent="0.35">
      <c r="A2535" s="9" t="str">
        <f>HYPERLINK("http://www.ensembl.org/id/WBGene00009547", "WBGene00009547")</f>
        <v>WBGene00009547</v>
      </c>
      <c r="B2535" s="9" t="str">
        <f>HYPERLINK("http://www.ncbi.nlm.nih.gov/gene/185479", "185479")</f>
        <v>185479</v>
      </c>
      <c r="C2535" s="9"/>
      <c r="D2535" t="str">
        <f>"F38H4.3"</f>
        <v>F38H4.3</v>
      </c>
      <c r="F2535" t="s">
        <v>11</v>
      </c>
      <c r="H2535" s="12">
        <v>2.5231294207966899</v>
      </c>
      <c r="I2535" s="11">
        <v>3.8543859623999199</v>
      </c>
      <c r="J2535" s="10">
        <v>1.16020445326099E-4</v>
      </c>
      <c r="K2535" s="29">
        <v>7.3850369413356797E-3</v>
      </c>
    </row>
    <row r="2536" spans="1:11" x14ac:dyDescent="0.35">
      <c r="A2536" s="9" t="str">
        <f>HYPERLINK("http://www.ensembl.org/id/WBGene00012152", "WBGene00012152")</f>
        <v>WBGene00012152</v>
      </c>
      <c r="B2536" s="9" t="str">
        <f>HYPERLINK("http://www.ncbi.nlm.nih.gov/gene/3565147", "3565147")</f>
        <v>3565147</v>
      </c>
      <c r="C2536" s="9"/>
      <c r="D2536" t="str">
        <f>"cnc-10"</f>
        <v>cnc-10</v>
      </c>
      <c r="E2536" t="s">
        <v>251</v>
      </c>
      <c r="F2536" t="s">
        <v>11</v>
      </c>
      <c r="H2536" s="12">
        <v>2.5214751940427398</v>
      </c>
      <c r="I2536" s="11">
        <v>4.2933013763021997</v>
      </c>
      <c r="J2536" s="10">
        <v>1.7603579744513502E-5</v>
      </c>
      <c r="K2536" s="29">
        <v>1.6401141676481001E-3</v>
      </c>
    </row>
    <row r="2537" spans="1:11" x14ac:dyDescent="0.35">
      <c r="A2537" s="9" t="str">
        <f>HYPERLINK("http://www.ensembl.org/id/WBGene00007820", "WBGene00007820")</f>
        <v>WBGene00007820</v>
      </c>
      <c r="B2537" s="9" t="str">
        <f>HYPERLINK("http://www.ncbi.nlm.nih.gov/gene/183064", "183064")</f>
        <v>183064</v>
      </c>
      <c r="C2537" s="9"/>
      <c r="D2537" t="str">
        <f>"clec-199"</f>
        <v>clec-199</v>
      </c>
      <c r="E2537" t="s">
        <v>46</v>
      </c>
      <c r="F2537" t="s">
        <v>11</v>
      </c>
      <c r="G2537" t="s">
        <v>47</v>
      </c>
      <c r="H2537" s="12">
        <v>2.5209591042497101</v>
      </c>
      <c r="I2537" s="11">
        <v>3.8946537193283501</v>
      </c>
      <c r="J2537" s="10">
        <v>9.8339112926517605E-5</v>
      </c>
      <c r="K2537" s="29">
        <v>6.5506434286429797E-3</v>
      </c>
    </row>
    <row r="2538" spans="1:11" x14ac:dyDescent="0.35">
      <c r="A2538" s="9" t="str">
        <f>HYPERLINK("http://www.ensembl.org/id/WBGene00017906", "WBGene00017906")</f>
        <v>WBGene00017906</v>
      </c>
      <c r="B2538" s="9" t="str">
        <f>HYPERLINK("http://www.ncbi.nlm.nih.gov/gene/185077", "185077")</f>
        <v>185077</v>
      </c>
      <c r="C2538" s="9"/>
      <c r="D2538" t="str">
        <f>"F28F9.2"</f>
        <v>F28F9.2</v>
      </c>
      <c r="F2538" t="s">
        <v>11</v>
      </c>
      <c r="G2538" t="s">
        <v>25</v>
      </c>
      <c r="H2538" s="12">
        <v>2.5182415643369001</v>
      </c>
      <c r="I2538" s="11">
        <v>0.91508924716758</v>
      </c>
      <c r="J2538" s="10">
        <v>0.36014477947145201</v>
      </c>
      <c r="K2538" s="29">
        <v>0.98289565623980701</v>
      </c>
    </row>
    <row r="2539" spans="1:11" x14ac:dyDescent="0.35">
      <c r="A2539" s="9" t="str">
        <f>HYPERLINK("http://www.ensembl.org/id/WBGene00004144", "WBGene00004144")</f>
        <v>WBGene00004144</v>
      </c>
      <c r="B2539" s="9" t="str">
        <f>HYPERLINK("http://www.ncbi.nlm.nih.gov/gene/187826", "187826")</f>
        <v>187826</v>
      </c>
      <c r="C2539" s="9"/>
      <c r="D2539" t="str">
        <f>"pqn-60"</f>
        <v>pqn-60</v>
      </c>
      <c r="E2539" t="s">
        <v>432</v>
      </c>
      <c r="F2539" t="s">
        <v>11</v>
      </c>
      <c r="G2539" t="s">
        <v>54</v>
      </c>
      <c r="H2539" s="12">
        <v>2.5179420514907398</v>
      </c>
      <c r="I2539" s="11">
        <v>2.5521381891143</v>
      </c>
      <c r="J2539" s="10">
        <v>1.0706404491592301E-2</v>
      </c>
      <c r="K2539" s="29">
        <v>0.204193615766779</v>
      </c>
    </row>
    <row r="2540" spans="1:11" x14ac:dyDescent="0.35">
      <c r="A2540" s="9" t="str">
        <f>HYPERLINK("http://www.ensembl.org/id/WBGene00009753", "WBGene00009753")</f>
        <v>WBGene00009753</v>
      </c>
      <c r="B2540" s="9" t="str">
        <f>HYPERLINK("http://www.ncbi.nlm.nih.gov/gene/185826", "185826")</f>
        <v>185826</v>
      </c>
      <c r="C2540" s="9"/>
      <c r="D2540" t="str">
        <f>"scrm-6"</f>
        <v>scrm-6</v>
      </c>
      <c r="E2540" t="s">
        <v>1622</v>
      </c>
      <c r="F2540" t="s">
        <v>11</v>
      </c>
      <c r="G2540" t="s">
        <v>4371</v>
      </c>
      <c r="H2540" s="12">
        <v>2.5172113963606999</v>
      </c>
      <c r="I2540" s="11">
        <v>0.48794542174621303</v>
      </c>
      <c r="J2540" s="10">
        <v>0.62558850029866098</v>
      </c>
      <c r="K2540" s="29">
        <v>0.98289565623980701</v>
      </c>
    </row>
    <row r="2541" spans="1:11" x14ac:dyDescent="0.35">
      <c r="A2541" s="9" t="str">
        <f>HYPERLINK("http://www.ensembl.org/id/WBGene00000287", "WBGene00000287")</f>
        <v>WBGene00000287</v>
      </c>
      <c r="B2541" s="9" t="str">
        <f>HYPERLINK("http://www.ncbi.nlm.nih.gov/gene/177143", "177143")</f>
        <v>177143</v>
      </c>
      <c r="C2541" s="9"/>
      <c r="D2541" t="str">
        <f>"cal-3"</f>
        <v>cal-3</v>
      </c>
      <c r="E2541" t="s">
        <v>312</v>
      </c>
      <c r="F2541" t="s">
        <v>11</v>
      </c>
      <c r="G2541" t="s">
        <v>313</v>
      </c>
      <c r="H2541" s="12">
        <v>2.5164894443450501</v>
      </c>
      <c r="I2541" s="11">
        <v>4.0086117045577501</v>
      </c>
      <c r="J2541" s="10">
        <v>6.1076746927818203E-5</v>
      </c>
      <c r="K2541" s="29">
        <v>4.4659471978296403E-3</v>
      </c>
    </row>
    <row r="2542" spans="1:11" x14ac:dyDescent="0.35">
      <c r="A2542" s="9" t="str">
        <f>HYPERLINK("http://www.ensembl.org/id/WBGene00018300", "WBGene00018300")</f>
        <v>WBGene00018300</v>
      </c>
      <c r="B2542" s="9" t="str">
        <f>HYPERLINK("http://www.ncbi.nlm.nih.gov/gene/3564882", "3564882")</f>
        <v>3564882</v>
      </c>
      <c r="C2542" s="9"/>
      <c r="D2542" t="str">
        <f>"F41G3.3"</f>
        <v>F41G3.3</v>
      </c>
      <c r="F2542" t="s">
        <v>11</v>
      </c>
      <c r="H2542" s="12">
        <v>2.5162649604076002</v>
      </c>
      <c r="I2542" s="11">
        <v>2.7771412869950298</v>
      </c>
      <c r="J2542" s="10">
        <v>5.4839335125481696E-3</v>
      </c>
      <c r="K2542" s="29">
        <v>0.12990302409460699</v>
      </c>
    </row>
    <row r="2543" spans="1:11" x14ac:dyDescent="0.35">
      <c r="A2543" s="9" t="str">
        <f>HYPERLINK("http://www.ensembl.org/id/WBGene00020224", "WBGene00020224")</f>
        <v>WBGene00020224</v>
      </c>
      <c r="B2543" s="9" t="str">
        <f>HYPERLINK("http://www.ncbi.nlm.nih.gov/gene/188085", "188085")</f>
        <v>188085</v>
      </c>
      <c r="C2543" s="9"/>
      <c r="D2543" t="str">
        <f>"T05A7.7"</f>
        <v>T05A7.7</v>
      </c>
      <c r="F2543" t="s">
        <v>11</v>
      </c>
      <c r="H2543" s="12">
        <v>2.51492311276089</v>
      </c>
      <c r="I2543" s="11">
        <v>2.7576570117457702</v>
      </c>
      <c r="J2543" s="10">
        <v>5.8217247163219604E-3</v>
      </c>
      <c r="K2543" s="29">
        <v>0.134786343983302</v>
      </c>
    </row>
    <row r="2544" spans="1:11" x14ac:dyDescent="0.35">
      <c r="A2544" s="9" t="str">
        <f>HYPERLINK("http://www.ensembl.org/id/WBGene00000045", "WBGene00000045")</f>
        <v>WBGene00000045</v>
      </c>
      <c r="B2544" s="9" t="str">
        <f>HYPERLINK("http://www.ncbi.nlm.nih.gov/gene/191479", "191479")</f>
        <v>191479</v>
      </c>
      <c r="C2544" s="9"/>
      <c r="D2544" t="str">
        <f>"acr-6"</f>
        <v>acr-6</v>
      </c>
      <c r="E2544" t="s">
        <v>1742</v>
      </c>
      <c r="F2544" t="s">
        <v>11</v>
      </c>
      <c r="G2544" t="s">
        <v>1743</v>
      </c>
      <c r="H2544" s="12">
        <v>2.5138388449992002</v>
      </c>
      <c r="I2544" s="11">
        <v>1.4839657731404501</v>
      </c>
      <c r="J2544" s="10">
        <v>0.13781800097743399</v>
      </c>
      <c r="K2544" s="29">
        <v>0.82906592033916404</v>
      </c>
    </row>
    <row r="2545" spans="1:11" x14ac:dyDescent="0.35">
      <c r="A2545" s="9" t="str">
        <f>HYPERLINK("http://www.ensembl.org/id/WBGene00044175", "WBGene00044175")</f>
        <v>WBGene00044175</v>
      </c>
      <c r="B2545" s="9" t="str">
        <f>HYPERLINK("http://www.ncbi.nlm.nih.gov/gene/3565930", "3565930")</f>
        <v>3565930</v>
      </c>
      <c r="C2545" s="9"/>
      <c r="D2545" t="str">
        <f>"fipr-9"</f>
        <v>fipr-9</v>
      </c>
      <c r="E2545" t="s">
        <v>28</v>
      </c>
      <c r="F2545" t="s">
        <v>11</v>
      </c>
      <c r="H2545" s="12">
        <v>2.5134098478904798</v>
      </c>
      <c r="I2545" s="11">
        <v>3.8942825750410099</v>
      </c>
      <c r="J2545" s="10">
        <v>9.8489786214139797E-5</v>
      </c>
      <c r="K2545" s="29">
        <v>6.5506434286429797E-3</v>
      </c>
    </row>
    <row r="2546" spans="1:11" x14ac:dyDescent="0.35">
      <c r="A2546" s="9" t="str">
        <f>HYPERLINK("http://www.ensembl.org/id/WBGene00015178", "WBGene00015178")</f>
        <v>WBGene00015178</v>
      </c>
      <c r="B2546" s="9" t="str">
        <f>HYPERLINK("http://www.ncbi.nlm.nih.gov/gene/181984", "181984")</f>
        <v>181984</v>
      </c>
      <c r="C2546" s="9"/>
      <c r="D2546" t="str">
        <f>"B0416.2"</f>
        <v>B0416.2</v>
      </c>
      <c r="F2546" t="s">
        <v>11</v>
      </c>
      <c r="H2546" s="12">
        <v>2.5122088070187698</v>
      </c>
      <c r="I2546" s="11">
        <v>0.79256314962163998</v>
      </c>
      <c r="J2546" s="10">
        <v>0.42803238571369501</v>
      </c>
      <c r="K2546" s="29">
        <v>0.98289565623980701</v>
      </c>
    </row>
    <row r="2547" spans="1:11" x14ac:dyDescent="0.35">
      <c r="A2547" s="9" t="str">
        <f>HYPERLINK("http://www.ensembl.org/id/WBGene00044447", "WBGene00044447")</f>
        <v>WBGene00044447</v>
      </c>
      <c r="B2547" s="9" t="str">
        <f>HYPERLINK("http://www.ncbi.nlm.nih.gov/gene/3896743", "3896743")</f>
        <v>3896743</v>
      </c>
      <c r="C2547" s="9"/>
      <c r="D2547" t="str">
        <f>"ZK688.10"</f>
        <v>ZK688.10</v>
      </c>
      <c r="F2547" t="s">
        <v>11</v>
      </c>
      <c r="G2547" t="s">
        <v>25</v>
      </c>
      <c r="H2547" s="12">
        <v>2.5081681227830401</v>
      </c>
      <c r="I2547" s="11">
        <v>0.70909910547951405</v>
      </c>
      <c r="J2547" s="10">
        <v>0.47826297803602802</v>
      </c>
      <c r="K2547" s="29">
        <v>0.98289565623980701</v>
      </c>
    </row>
    <row r="2548" spans="1:11" x14ac:dyDescent="0.35">
      <c r="A2548" s="9" t="str">
        <f>HYPERLINK("http://www.ensembl.org/id/WBGene00015103", "WBGene00015103")</f>
        <v>WBGene00015103</v>
      </c>
      <c r="B2548" s="9" t="str">
        <f>HYPERLINK("http://www.ncbi.nlm.nih.gov/gene/175992", "175992")</f>
        <v>175992</v>
      </c>
      <c r="C2548" s="9"/>
      <c r="D2548" t="str">
        <f>"B0280.7"</f>
        <v>B0280.7</v>
      </c>
      <c r="F2548" t="s">
        <v>11</v>
      </c>
      <c r="H2548" s="12">
        <v>2.5074507408526898</v>
      </c>
      <c r="I2548" s="11">
        <v>0.86284855644486202</v>
      </c>
      <c r="J2548" s="10">
        <v>0.38822073812520502</v>
      </c>
      <c r="K2548" s="29">
        <v>0.98289565623980701</v>
      </c>
    </row>
    <row r="2549" spans="1:11" x14ac:dyDescent="0.35">
      <c r="A2549" s="9" t="str">
        <f>HYPERLINK("http://www.ensembl.org/id/WBGene00077563", "WBGene00077563")</f>
        <v>WBGene00077563</v>
      </c>
      <c r="B2549" s="9" t="str">
        <f>HYPERLINK("http://www.ncbi.nlm.nih.gov/gene/13179502", "13179502")</f>
        <v>13179502</v>
      </c>
      <c r="C2549" s="9"/>
      <c r="D2549" t="str">
        <f>"peel-1"</f>
        <v>peel-1</v>
      </c>
      <c r="E2549" t="s">
        <v>4372</v>
      </c>
      <c r="F2549" t="s">
        <v>11</v>
      </c>
      <c r="G2549" t="s">
        <v>25</v>
      </c>
      <c r="H2549" s="12">
        <v>2.5072500239966198</v>
      </c>
      <c r="I2549" s="11">
        <v>0.419065536341448</v>
      </c>
      <c r="J2549" s="10">
        <v>0.67516823696274697</v>
      </c>
      <c r="K2549" s="29">
        <v>0.98289565623980701</v>
      </c>
    </row>
    <row r="2550" spans="1:11" x14ac:dyDescent="0.35">
      <c r="A2550" s="9" t="str">
        <f>HYPERLINK("http://www.ensembl.org/id/WBGene00009087", "WBGene00009087")</f>
        <v>WBGene00009087</v>
      </c>
      <c r="B2550" s="9" t="str">
        <f>HYPERLINK("http://www.ncbi.nlm.nih.gov/gene/184896", "184896")</f>
        <v>184896</v>
      </c>
      <c r="C2550" s="9"/>
      <c r="D2550" t="str">
        <f>"F23D12.3"</f>
        <v>F23D12.3</v>
      </c>
      <c r="F2550" t="s">
        <v>11</v>
      </c>
      <c r="H2550" s="12">
        <v>2.50723450462025</v>
      </c>
      <c r="I2550" s="11">
        <v>2.1015898382638998</v>
      </c>
      <c r="J2550" s="10">
        <v>3.5589220778901497E-2</v>
      </c>
      <c r="K2550" s="29">
        <v>0.43098770194827002</v>
      </c>
    </row>
    <row r="2551" spans="1:11" x14ac:dyDescent="0.35">
      <c r="A2551" s="9" t="str">
        <f>HYPERLINK("http://www.ensembl.org/id/WBGene00014905", "WBGene00014905")</f>
        <v>WBGene00014905</v>
      </c>
      <c r="B2551" s="9"/>
      <c r="C2551" s="9"/>
      <c r="D2551" t="str">
        <f>"Y51A2A.2"</f>
        <v>Y51A2A.2</v>
      </c>
      <c r="F2551" t="s">
        <v>80</v>
      </c>
      <c r="H2551" s="12">
        <v>2.5059960603693399</v>
      </c>
      <c r="I2551" s="11">
        <v>0.56837343694554499</v>
      </c>
      <c r="J2551" s="10">
        <v>0.56978142333889203</v>
      </c>
      <c r="K2551" s="29">
        <v>0.98289565623980701</v>
      </c>
    </row>
    <row r="2552" spans="1:11" x14ac:dyDescent="0.35">
      <c r="A2552" s="9" t="str">
        <f>HYPERLINK("http://www.ensembl.org/id/WBGene00018981", "WBGene00018981")</f>
        <v>WBGene00018981</v>
      </c>
      <c r="B2552" s="9" t="str">
        <f>HYPERLINK("http://www.ncbi.nlm.nih.gov/gene/186399", "186399")</f>
        <v>186399</v>
      </c>
      <c r="C2552" s="9"/>
      <c r="D2552" t="str">
        <f>"F56F4.4"</f>
        <v>F56F4.4</v>
      </c>
      <c r="F2552" t="s">
        <v>11</v>
      </c>
      <c r="H2552" s="12">
        <v>2.5059809859400799</v>
      </c>
      <c r="I2552" s="11">
        <v>0.86051823166562902</v>
      </c>
      <c r="J2552" s="10">
        <v>0.38950343795853598</v>
      </c>
      <c r="K2552" s="29">
        <v>0.98289565623980701</v>
      </c>
    </row>
    <row r="2553" spans="1:11" x14ac:dyDescent="0.35">
      <c r="A2553" s="9" t="str">
        <f>HYPERLINK("http://www.ensembl.org/id/WBGene00015615", "WBGene00015615")</f>
        <v>WBGene00015615</v>
      </c>
      <c r="B2553" s="9" t="str">
        <f>HYPERLINK("http://www.ncbi.nlm.nih.gov/gene/182425", "182425")</f>
        <v>182425</v>
      </c>
      <c r="C2553" s="9"/>
      <c r="D2553" t="str">
        <f>"fbxc-48"</f>
        <v>fbxc-48</v>
      </c>
      <c r="E2553" t="s">
        <v>311</v>
      </c>
      <c r="F2553" t="s">
        <v>11</v>
      </c>
      <c r="H2553" s="12">
        <v>2.50490920800932</v>
      </c>
      <c r="I2553" s="11">
        <v>0.51747723341576901</v>
      </c>
      <c r="J2553" s="10">
        <v>0.604823057586521</v>
      </c>
      <c r="K2553" s="29">
        <v>0.98289565623980701</v>
      </c>
    </row>
    <row r="2554" spans="1:11" x14ac:dyDescent="0.35">
      <c r="A2554" s="9" t="str">
        <f>HYPERLINK("http://www.ensembl.org/id/WBGene00016718", "WBGene00016718")</f>
        <v>WBGene00016718</v>
      </c>
      <c r="B2554" s="9" t="str">
        <f>HYPERLINK("http://www.ncbi.nlm.nih.gov/gene/183514", "183514")</f>
        <v>183514</v>
      </c>
      <c r="C2554" s="9"/>
      <c r="D2554" t="str">
        <f>"math-23"</f>
        <v>math-23</v>
      </c>
      <c r="E2554" t="s">
        <v>596</v>
      </c>
      <c r="F2554" t="s">
        <v>11</v>
      </c>
      <c r="G2554" t="s">
        <v>54</v>
      </c>
      <c r="H2554" s="12">
        <v>2.5043725645474999</v>
      </c>
      <c r="I2554" s="11">
        <v>1.07968543477026</v>
      </c>
      <c r="J2554" s="10">
        <v>0.28028228207029499</v>
      </c>
      <c r="K2554" s="29">
        <v>0.98289565623980701</v>
      </c>
    </row>
    <row r="2555" spans="1:11" x14ac:dyDescent="0.35">
      <c r="A2555" s="9" t="str">
        <f>HYPERLINK("http://www.ensembl.org/id/WBGene00013409", "WBGene00013409")</f>
        <v>WBGene00013409</v>
      </c>
      <c r="B2555" s="9" t="str">
        <f>HYPERLINK("http://www.ncbi.nlm.nih.gov/gene/173274", "173274")</f>
        <v>173274</v>
      </c>
      <c r="C2555" s="9"/>
      <c r="D2555" t="str">
        <f>"fbxb-56"</f>
        <v>fbxb-56</v>
      </c>
      <c r="E2555" t="s">
        <v>1436</v>
      </c>
      <c r="F2555" t="s">
        <v>11</v>
      </c>
      <c r="G2555" t="s">
        <v>54</v>
      </c>
      <c r="H2555" s="12">
        <v>2.5038823936097199</v>
      </c>
      <c r="I2555" s="11">
        <v>1.1727278856147301</v>
      </c>
      <c r="J2555" s="10">
        <v>0.24090494512437899</v>
      </c>
      <c r="K2555" s="29">
        <v>0.98289565623980701</v>
      </c>
    </row>
    <row r="2556" spans="1:11" x14ac:dyDescent="0.35">
      <c r="A2556" s="9" t="str">
        <f>HYPERLINK("http://www.ensembl.org/id/WBGene00017236", "WBGene00017236")</f>
        <v>WBGene00017236</v>
      </c>
      <c r="B2556" s="9" t="str">
        <f>HYPERLINK("http://www.ncbi.nlm.nih.gov/gene/184172", "184172")</f>
        <v>184172</v>
      </c>
      <c r="C2556" s="9"/>
      <c r="D2556" t="str">
        <f>"nlp-60"</f>
        <v>nlp-60</v>
      </c>
      <c r="E2556" t="s">
        <v>76</v>
      </c>
      <c r="F2556" t="s">
        <v>11</v>
      </c>
      <c r="G2556" t="s">
        <v>183</v>
      </c>
      <c r="H2556" s="12">
        <v>2.5033750389847298</v>
      </c>
      <c r="I2556" s="11">
        <v>0.85648750854625999</v>
      </c>
      <c r="J2556" s="10">
        <v>0.39172817933662402</v>
      </c>
      <c r="K2556" s="29">
        <v>0.98289565623980701</v>
      </c>
    </row>
    <row r="2557" spans="1:11" x14ac:dyDescent="0.35">
      <c r="A2557" s="9" t="str">
        <f>HYPERLINK("http://www.ensembl.org/id/WBGene00194747", "WBGene00194747")</f>
        <v>WBGene00194747</v>
      </c>
      <c r="B2557" s="9" t="str">
        <f>HYPERLINK("http://www.ncbi.nlm.nih.gov/gene/13188831", "13188831")</f>
        <v>13188831</v>
      </c>
      <c r="C2557" s="9"/>
      <c r="D2557" t="str">
        <f>"H05C05.4"</f>
        <v>H05C05.4</v>
      </c>
      <c r="F2557" t="s">
        <v>11</v>
      </c>
      <c r="G2557" t="s">
        <v>25</v>
      </c>
      <c r="H2557" s="12">
        <v>2.5030944385875098</v>
      </c>
      <c r="I2557" s="11">
        <v>2.0479031487386399</v>
      </c>
      <c r="J2557" s="10">
        <v>4.0569490285656103E-2</v>
      </c>
      <c r="K2557" s="29">
        <v>0.46516121569096702</v>
      </c>
    </row>
    <row r="2558" spans="1:11" x14ac:dyDescent="0.35">
      <c r="A2558" s="9" t="str">
        <f>HYPERLINK("http://www.ensembl.org/id/WBGene00021619", "WBGene00021619")</f>
        <v>WBGene00021619</v>
      </c>
      <c r="B2558" s="9" t="str">
        <f>HYPERLINK("http://www.ncbi.nlm.nih.gov/gene/189983", "189983")</f>
        <v>189983</v>
      </c>
      <c r="C2558" s="9"/>
      <c r="D2558" t="str">
        <f>"Y47D7A.6"</f>
        <v>Y47D7A.6</v>
      </c>
      <c r="F2558" t="s">
        <v>11</v>
      </c>
      <c r="H2558" s="12">
        <v>2.5026261422568798</v>
      </c>
      <c r="I2558" s="11">
        <v>1.43380644937975</v>
      </c>
      <c r="J2558" s="10">
        <v>0.15162750401983699</v>
      </c>
      <c r="K2558" s="29">
        <v>0.85767400434691698</v>
      </c>
    </row>
    <row r="2559" spans="1:11" x14ac:dyDescent="0.35">
      <c r="A2559" s="9" t="str">
        <f>HYPERLINK("http://www.ensembl.org/id/WBGene00001665", "WBGene00001665")</f>
        <v>WBGene00001665</v>
      </c>
      <c r="B2559" s="9" t="str">
        <f>HYPERLINK("http://www.ncbi.nlm.nih.gov/gene/179319", "179319")</f>
        <v>179319</v>
      </c>
      <c r="C2559" s="9"/>
      <c r="D2559" t="str">
        <f>"gpa-3"</f>
        <v>gpa-3</v>
      </c>
      <c r="E2559" t="s">
        <v>874</v>
      </c>
      <c r="F2559" t="s">
        <v>11</v>
      </c>
      <c r="G2559" t="s">
        <v>875</v>
      </c>
      <c r="H2559" s="12">
        <v>2.5021037928978198</v>
      </c>
      <c r="I2559" s="11">
        <v>2.75315447844272</v>
      </c>
      <c r="J2559" s="10">
        <v>5.9024037938549398E-3</v>
      </c>
      <c r="K2559" s="29">
        <v>0.135298553631758</v>
      </c>
    </row>
    <row r="2560" spans="1:11" x14ac:dyDescent="0.35">
      <c r="A2560" s="9" t="str">
        <f>HYPERLINK("http://www.ensembl.org/id/WBGene00018472", "WBGene00018472")</f>
        <v>WBGene00018472</v>
      </c>
      <c r="B2560" s="9" t="str">
        <f>HYPERLINK("http://www.ncbi.nlm.nih.gov/gene/177541", "177541")</f>
        <v>177541</v>
      </c>
      <c r="C2560" s="9"/>
      <c r="D2560" t="str">
        <f>"nep-16"</f>
        <v>nep-16</v>
      </c>
      <c r="E2560" t="s">
        <v>683</v>
      </c>
      <c r="F2560" t="s">
        <v>11</v>
      </c>
      <c r="G2560" t="s">
        <v>1955</v>
      </c>
      <c r="H2560" s="12">
        <v>2.50025326525137</v>
      </c>
      <c r="I2560" s="11">
        <v>1.89511594885505</v>
      </c>
      <c r="J2560" s="10">
        <v>5.8077042150651598E-2</v>
      </c>
      <c r="K2560" s="29">
        <v>0.56759672477726297</v>
      </c>
    </row>
    <row r="2561" spans="1:11" x14ac:dyDescent="0.35">
      <c r="A2561" s="9" t="str">
        <f>HYPERLINK("http://www.ensembl.org/id/WBGene00016927", "WBGene00016927")</f>
        <v>WBGene00016927</v>
      </c>
      <c r="B2561" s="9" t="str">
        <f>HYPERLINK("http://www.ncbi.nlm.nih.gov/gene/183808", "183808")</f>
        <v>183808</v>
      </c>
      <c r="C2561" s="9"/>
      <c r="D2561" t="str">
        <f>"nhr-172"</f>
        <v>nhr-172</v>
      </c>
      <c r="E2561" t="s">
        <v>637</v>
      </c>
      <c r="F2561" t="s">
        <v>11</v>
      </c>
      <c r="G2561" t="s">
        <v>1073</v>
      </c>
      <c r="H2561" s="12">
        <v>2.4959243025294802</v>
      </c>
      <c r="I2561" s="11">
        <v>0.95714235106006895</v>
      </c>
      <c r="J2561" s="10">
        <v>0.338495409915198</v>
      </c>
      <c r="K2561" s="29">
        <v>0.98289565623980701</v>
      </c>
    </row>
    <row r="2562" spans="1:11" x14ac:dyDescent="0.35">
      <c r="A2562" s="9" t="str">
        <f>HYPERLINK("http://www.ensembl.org/id/WBGene00019580", "WBGene00019580")</f>
        <v>WBGene00019580</v>
      </c>
      <c r="B2562" s="9" t="str">
        <f>HYPERLINK("http://www.ncbi.nlm.nih.gov/gene/187225", "187225")</f>
        <v>187225</v>
      </c>
      <c r="C2562" s="9"/>
      <c r="D2562" t="str">
        <f>"oac-58"</f>
        <v>oac-58</v>
      </c>
      <c r="E2562" t="s">
        <v>883</v>
      </c>
      <c r="F2562" t="s">
        <v>11</v>
      </c>
      <c r="G2562" t="s">
        <v>1992</v>
      </c>
      <c r="H2562" s="12">
        <v>2.4936262654613701</v>
      </c>
      <c r="I2562" s="11">
        <v>1.0684777399572201</v>
      </c>
      <c r="J2562" s="10">
        <v>0.28530506627617103</v>
      </c>
      <c r="K2562" s="29">
        <v>0.98289565623980701</v>
      </c>
    </row>
    <row r="2563" spans="1:11" x14ac:dyDescent="0.35">
      <c r="A2563" s="9" t="str">
        <f>HYPERLINK("http://www.ensembl.org/id/WBGene00013479", "WBGene00013479")</f>
        <v>WBGene00013479</v>
      </c>
      <c r="B2563" s="9" t="str">
        <f>HYPERLINK("http://www.ncbi.nlm.nih.gov/gene/190556", "190556")</f>
        <v>190556</v>
      </c>
      <c r="C2563" s="9"/>
      <c r="D2563" t="str">
        <f>"Y69H2.1"</f>
        <v>Y69H2.1</v>
      </c>
      <c r="F2563" t="s">
        <v>11</v>
      </c>
      <c r="G2563" t="s">
        <v>25</v>
      </c>
      <c r="H2563" s="12">
        <v>2.4924461148900399</v>
      </c>
      <c r="I2563" s="11">
        <v>1.4707366113725</v>
      </c>
      <c r="J2563" s="10">
        <v>0.141362361005719</v>
      </c>
      <c r="K2563" s="29">
        <v>0.83534024314639799</v>
      </c>
    </row>
    <row r="2564" spans="1:11" x14ac:dyDescent="0.35">
      <c r="A2564" s="9" t="str">
        <f>HYPERLINK("http://www.ensembl.org/id/WBGene00010559", "WBGene00010559")</f>
        <v>WBGene00010559</v>
      </c>
      <c r="B2564" s="9" t="str">
        <f>HYPERLINK("http://www.ncbi.nlm.nih.gov/gene/3565655", "3565655")</f>
        <v>3565655</v>
      </c>
      <c r="C2564" s="9"/>
      <c r="D2564" t="str">
        <f>"K04D7.6"</f>
        <v>K04D7.6</v>
      </c>
      <c r="F2564" t="s">
        <v>11</v>
      </c>
      <c r="G2564" t="s">
        <v>25</v>
      </c>
      <c r="H2564" s="12">
        <v>2.4923861885705398</v>
      </c>
      <c r="I2564" s="11">
        <v>1.71960079963365</v>
      </c>
      <c r="J2564" s="10">
        <v>8.5505030729265297E-2</v>
      </c>
      <c r="K2564" s="29">
        <v>0.68585389443765299</v>
      </c>
    </row>
    <row r="2565" spans="1:11" x14ac:dyDescent="0.35">
      <c r="A2565" s="9" t="str">
        <f>HYPERLINK("http://www.ensembl.org/id/WBGene00006611", "WBGene00006611")</f>
        <v>WBGene00006611</v>
      </c>
      <c r="B2565" s="9" t="str">
        <f>HYPERLINK("http://www.ncbi.nlm.nih.gov/gene/173388", "173388")</f>
        <v>173388</v>
      </c>
      <c r="C2565" s="9" t="str">
        <f>HYPERLINK("http://www.ncbi.nlm.nih.gov/gene/11181", "11181")</f>
        <v>11181</v>
      </c>
      <c r="D2565" t="str">
        <f>"tre-5"</f>
        <v>tre-5</v>
      </c>
      <c r="E2565" t="s">
        <v>1186</v>
      </c>
      <c r="F2565" t="s">
        <v>11</v>
      </c>
      <c r="G2565" t="s">
        <v>1187</v>
      </c>
      <c r="H2565" s="12">
        <v>2.4918009102855199</v>
      </c>
      <c r="I2565" s="11">
        <v>2.4072695692221902</v>
      </c>
      <c r="J2565" s="10">
        <v>1.6072301398143099E-2</v>
      </c>
      <c r="K2565" s="29">
        <v>0.26412986920732201</v>
      </c>
    </row>
    <row r="2566" spans="1:11" x14ac:dyDescent="0.35">
      <c r="A2566" s="9" t="str">
        <f>HYPERLINK("http://www.ensembl.org/id/WBGene00044376", "WBGene00044376")</f>
        <v>WBGene00044376</v>
      </c>
      <c r="B2566" s="9" t="str">
        <f>HYPERLINK("http://www.ncbi.nlm.nih.gov/gene/3565795", "3565795")</f>
        <v>3565795</v>
      </c>
      <c r="C2566" s="9"/>
      <c r="D2566" t="str">
        <f>"Y49F6B.12"</f>
        <v>Y49F6B.12</v>
      </c>
      <c r="F2566" t="s">
        <v>11</v>
      </c>
      <c r="H2566" s="12">
        <v>2.4917050499443198</v>
      </c>
      <c r="I2566" s="11">
        <v>0.92215707349636</v>
      </c>
      <c r="J2566" s="10">
        <v>0.35644665034709599</v>
      </c>
      <c r="K2566" s="29">
        <v>0.98289565623980701</v>
      </c>
    </row>
    <row r="2567" spans="1:11" x14ac:dyDescent="0.35">
      <c r="A2567" s="9" t="str">
        <f>HYPERLINK("http://www.ensembl.org/id/WBGene00010643", "WBGene00010643")</f>
        <v>WBGene00010643</v>
      </c>
      <c r="B2567" s="9" t="str">
        <f>HYPERLINK("http://www.ncbi.nlm.nih.gov/gene/187122", "187122")</f>
        <v>187122</v>
      </c>
      <c r="C2567" s="9"/>
      <c r="D2567" t="str">
        <f>"K07G5.4"</f>
        <v>K07G5.4</v>
      </c>
      <c r="F2567" t="s">
        <v>11</v>
      </c>
      <c r="H2567" s="12">
        <v>2.4915633597218898</v>
      </c>
      <c r="I2567" s="11">
        <v>3.5134071999389298</v>
      </c>
      <c r="J2567" s="10">
        <v>4.4239891977012599E-4</v>
      </c>
      <c r="K2567" s="29">
        <v>2.0861366204507199E-2</v>
      </c>
    </row>
    <row r="2568" spans="1:11" x14ac:dyDescent="0.35">
      <c r="A2568" s="9" t="str">
        <f>HYPERLINK("http://www.ensembl.org/id/WBGene00008591", "WBGene00008591")</f>
        <v>WBGene00008591</v>
      </c>
      <c r="B2568" s="9" t="str">
        <f>HYPERLINK("http://www.ncbi.nlm.nih.gov/gene/184214", "184214")</f>
        <v>184214</v>
      </c>
      <c r="C2568" s="9"/>
      <c r="D2568" t="str">
        <f>"F08H9.3"</f>
        <v>F08H9.3</v>
      </c>
      <c r="F2568" t="s">
        <v>11</v>
      </c>
      <c r="H2568" s="12">
        <v>2.49154018480086</v>
      </c>
      <c r="I2568" s="11">
        <v>2.4914671448330501</v>
      </c>
      <c r="J2568" s="10">
        <v>1.2721673242806601E-2</v>
      </c>
      <c r="K2568" s="29">
        <v>0.226636069351033</v>
      </c>
    </row>
    <row r="2569" spans="1:11" x14ac:dyDescent="0.35">
      <c r="A2569" s="9" t="str">
        <f>HYPERLINK("http://www.ensembl.org/id/WBGene00010969", "WBGene00010969")</f>
        <v>WBGene00010969</v>
      </c>
      <c r="B2569" s="9" t="str">
        <f>HYPERLINK("http://www.ncbi.nlm.nih.gov/gene/181476", "181476")</f>
        <v>181476</v>
      </c>
      <c r="C2569" s="9"/>
      <c r="D2569" t="str">
        <f>"R01E6.5"</f>
        <v>R01E6.5</v>
      </c>
      <c r="F2569" t="s">
        <v>11</v>
      </c>
      <c r="H2569" s="12">
        <v>2.4910535177058502</v>
      </c>
      <c r="I2569" s="11">
        <v>1.8536183962058801</v>
      </c>
      <c r="J2569" s="10">
        <v>6.3793773830566003E-2</v>
      </c>
      <c r="K2569" s="29">
        <v>0.59649230844005596</v>
      </c>
    </row>
    <row r="2570" spans="1:11" x14ac:dyDescent="0.35">
      <c r="A2570" s="9" t="str">
        <f>HYPERLINK("http://www.ensembl.org/id/WBGene00009968", "WBGene00009968")</f>
        <v>WBGene00009968</v>
      </c>
      <c r="B2570" s="9" t="str">
        <f>HYPERLINK("http://www.ncbi.nlm.nih.gov/gene/179523", "179523")</f>
        <v>179523</v>
      </c>
      <c r="C2570" s="9"/>
      <c r="D2570" t="str">
        <f>"fig-1"</f>
        <v>fig-1</v>
      </c>
      <c r="F2570" t="s">
        <v>11</v>
      </c>
      <c r="G2570" t="s">
        <v>25</v>
      </c>
      <c r="H2570" s="12">
        <v>2.4898646392473398</v>
      </c>
      <c r="I2570" s="11">
        <v>4.5048025512295302</v>
      </c>
      <c r="J2570" s="10">
        <v>6.6434684289486899E-6</v>
      </c>
      <c r="K2570" s="29">
        <v>7.5247049764357097E-4</v>
      </c>
    </row>
    <row r="2571" spans="1:11" x14ac:dyDescent="0.35">
      <c r="A2571" s="9" t="str">
        <f>HYPERLINK("http://www.ensembl.org/id/WBGene00005738", "WBGene00005738")</f>
        <v>WBGene00005738</v>
      </c>
      <c r="B2571" s="9" t="str">
        <f>HYPERLINK("http://www.ncbi.nlm.nih.gov/gene/190647", "190647")</f>
        <v>190647</v>
      </c>
      <c r="C2571" s="9"/>
      <c r="D2571" t="str">
        <f>"srv-27"</f>
        <v>srv-27</v>
      </c>
      <c r="E2571" t="s">
        <v>2916</v>
      </c>
      <c r="F2571" t="s">
        <v>11</v>
      </c>
      <c r="G2571" t="s">
        <v>25</v>
      </c>
      <c r="H2571" s="12">
        <v>2.4876806445756898</v>
      </c>
      <c r="I2571" s="11">
        <v>0.59046588056299598</v>
      </c>
      <c r="J2571" s="10">
        <v>0.55487835381227801</v>
      </c>
      <c r="K2571" s="29">
        <v>0.98289565623980701</v>
      </c>
    </row>
    <row r="2572" spans="1:11" x14ac:dyDescent="0.35">
      <c r="A2572" s="9" t="str">
        <f>HYPERLINK("http://www.ensembl.org/id/WBGene00003553", "WBGene00003553")</f>
        <v>WBGene00003553</v>
      </c>
      <c r="B2572" s="9" t="str">
        <f>HYPERLINK("http://www.ncbi.nlm.nih.gov/gene/181208", "181208")</f>
        <v>181208</v>
      </c>
      <c r="C2572" s="9"/>
      <c r="D2572" t="str">
        <f>"nas-37"</f>
        <v>nas-37</v>
      </c>
      <c r="E2572" t="s">
        <v>266</v>
      </c>
      <c r="F2572" t="s">
        <v>11</v>
      </c>
      <c r="G2572" t="s">
        <v>267</v>
      </c>
      <c r="H2572" s="12">
        <v>2.4872225517737698</v>
      </c>
      <c r="I2572" s="11">
        <v>4.2292677181422196</v>
      </c>
      <c r="J2572" s="10">
        <v>2.3445321058656799E-5</v>
      </c>
      <c r="K2572" s="29">
        <v>2.05199844083835E-3</v>
      </c>
    </row>
    <row r="2573" spans="1:11" x14ac:dyDescent="0.35">
      <c r="A2573" s="9" t="str">
        <f>HYPERLINK("http://www.ensembl.org/id/WBGene00017526", "WBGene00017526")</f>
        <v>WBGene00017526</v>
      </c>
      <c r="B2573" s="9" t="str">
        <f>HYPERLINK("http://www.ncbi.nlm.nih.gov/gene/184585", "184585")</f>
        <v>184585</v>
      </c>
      <c r="C2573" s="9"/>
      <c r="D2573" t="str">
        <f>"F16G10.11"</f>
        <v>F16G10.11</v>
      </c>
      <c r="F2573" t="s">
        <v>11</v>
      </c>
      <c r="H2573" s="12">
        <v>2.4863997797316602</v>
      </c>
      <c r="I2573" s="11">
        <v>0.48805654860814801</v>
      </c>
      <c r="J2573" s="10">
        <v>0.62550978727589801</v>
      </c>
      <c r="K2573" s="29">
        <v>0.98289565623980701</v>
      </c>
    </row>
    <row r="2574" spans="1:11" x14ac:dyDescent="0.35">
      <c r="A2574" s="9" t="str">
        <f>HYPERLINK("http://www.ensembl.org/id/WBGene00018767", "WBGene00018767")</f>
        <v>WBGene00018767</v>
      </c>
      <c r="B2574" s="9" t="str">
        <f>HYPERLINK("http://www.ncbi.nlm.nih.gov/gene/186185", "186185")</f>
        <v>186185</v>
      </c>
      <c r="C2574" s="9"/>
      <c r="D2574" t="str">
        <f>"F53G2.2"</f>
        <v>F53G2.2</v>
      </c>
      <c r="F2574" t="s">
        <v>11</v>
      </c>
      <c r="H2574" s="12">
        <v>2.4863997797316602</v>
      </c>
      <c r="I2574" s="11">
        <v>0.48805654860814801</v>
      </c>
      <c r="J2574" s="10">
        <v>0.62550978727589801</v>
      </c>
      <c r="K2574" s="29">
        <v>0.98289565623980701</v>
      </c>
    </row>
    <row r="2575" spans="1:11" x14ac:dyDescent="0.35">
      <c r="A2575" s="9" t="str">
        <f>HYPERLINK("http://www.ensembl.org/id/WBGene00011223", "WBGene00011223")</f>
        <v>WBGene00011223</v>
      </c>
      <c r="B2575" s="9" t="str">
        <f>HYPERLINK("http://www.ncbi.nlm.nih.gov/gene/187788", "187788")</f>
        <v>187788</v>
      </c>
      <c r="C2575" s="9"/>
      <c r="D2575" t="str">
        <f>"R10H10.4"</f>
        <v>R10H10.4</v>
      </c>
      <c r="F2575" t="s">
        <v>11</v>
      </c>
      <c r="G2575" t="s">
        <v>25</v>
      </c>
      <c r="H2575" s="12">
        <v>2.4841344538312198</v>
      </c>
      <c r="I2575" s="11">
        <v>1.3055442893458</v>
      </c>
      <c r="J2575" s="10">
        <v>0.19170757635383701</v>
      </c>
      <c r="K2575" s="29">
        <v>0.93195776546007703</v>
      </c>
    </row>
    <row r="2576" spans="1:11" x14ac:dyDescent="0.35">
      <c r="A2576" s="9" t="str">
        <f>HYPERLINK("http://www.ensembl.org/id/WBGene00021134", "WBGene00021134")</f>
        <v>WBGene00021134</v>
      </c>
      <c r="B2576" s="9" t="str">
        <f>HYPERLINK("http://www.ncbi.nlm.nih.gov/gene/173703", "173703")</f>
        <v>173703</v>
      </c>
      <c r="C2576" s="9"/>
      <c r="D2576" t="str">
        <f>"W10G11.1"</f>
        <v>W10G11.1</v>
      </c>
      <c r="F2576" t="s">
        <v>11</v>
      </c>
      <c r="H2576" s="12">
        <v>2.4834708618757002</v>
      </c>
      <c r="I2576" s="11">
        <v>1.1037902657926999</v>
      </c>
      <c r="J2576" s="10">
        <v>0.26968412840440398</v>
      </c>
      <c r="K2576" s="29">
        <v>0.98289565623980701</v>
      </c>
    </row>
    <row r="2577" spans="1:11" x14ac:dyDescent="0.35">
      <c r="A2577" s="9" t="str">
        <f>HYPERLINK("http://www.ensembl.org/id/WBGene00009716", "WBGene00009716")</f>
        <v>WBGene00009716</v>
      </c>
      <c r="B2577" s="9" t="str">
        <f>HYPERLINK("http://www.ncbi.nlm.nih.gov/gene/185763", "185763")</f>
        <v>185763</v>
      </c>
      <c r="C2577" s="9"/>
      <c r="D2577" t="str">
        <f>"F44G4.7"</f>
        <v>F44G4.7</v>
      </c>
      <c r="F2577" t="s">
        <v>11</v>
      </c>
      <c r="H2577" s="12">
        <v>2.4815732748900001</v>
      </c>
      <c r="I2577" s="11">
        <v>1.87482693788917</v>
      </c>
      <c r="J2577" s="10">
        <v>6.0816535989846598E-2</v>
      </c>
      <c r="K2577" s="29">
        <v>0.58235676775026701</v>
      </c>
    </row>
    <row r="2578" spans="1:11" x14ac:dyDescent="0.35">
      <c r="A2578" s="9" t="str">
        <f>HYPERLINK("http://www.ensembl.org/id/WBGene00011462", "WBGene00011462")</f>
        <v>WBGene00011462</v>
      </c>
      <c r="B2578" s="9" t="str">
        <f>HYPERLINK("http://www.ncbi.nlm.nih.gov/gene/181273", "181273")</f>
        <v>181273</v>
      </c>
      <c r="C2578" s="9"/>
      <c r="D2578" t="str">
        <f>"vap-2"</f>
        <v>vap-2</v>
      </c>
      <c r="E2578" t="s">
        <v>539</v>
      </c>
      <c r="F2578" t="s">
        <v>11</v>
      </c>
      <c r="G2578" t="s">
        <v>540</v>
      </c>
      <c r="H2578" s="12">
        <v>2.4815348797367398</v>
      </c>
      <c r="I2578" s="11">
        <v>3.2387328705096499</v>
      </c>
      <c r="J2578" s="10">
        <v>1.20061964538628E-3</v>
      </c>
      <c r="K2578" s="29">
        <v>4.4961940885405602E-2</v>
      </c>
    </row>
    <row r="2579" spans="1:11" x14ac:dyDescent="0.35">
      <c r="A2579" s="9" t="str">
        <f>HYPERLINK("http://www.ensembl.org/id/WBGene00194851", "WBGene00194851")</f>
        <v>WBGene00194851</v>
      </c>
      <c r="B2579" s="9"/>
      <c r="C2579" s="9"/>
      <c r="D2579" t="str">
        <f>"K07C10.3"</f>
        <v>K07C10.3</v>
      </c>
      <c r="F2579" t="s">
        <v>481</v>
      </c>
      <c r="H2579" s="12">
        <v>2.4813999383085901</v>
      </c>
      <c r="I2579" s="11">
        <v>2.8917744246743098</v>
      </c>
      <c r="J2579" s="10">
        <v>3.8307287985350101E-3</v>
      </c>
      <c r="K2579" s="29">
        <v>0.101398290033669</v>
      </c>
    </row>
    <row r="2580" spans="1:11" x14ac:dyDescent="0.35">
      <c r="A2580" s="9" t="str">
        <f>HYPERLINK("http://www.ensembl.org/id/WBGene00015215", "WBGene00015215")</f>
        <v>WBGene00015215</v>
      </c>
      <c r="B2580" s="9" t="str">
        <f>HYPERLINK("http://www.ncbi.nlm.nih.gov/gene/182009", "182009")</f>
        <v>182009</v>
      </c>
      <c r="C2580" s="9"/>
      <c r="D2580" t="str">
        <f>"B0496.6"</f>
        <v>B0496.6</v>
      </c>
      <c r="F2580" t="s">
        <v>11</v>
      </c>
      <c r="G2580" t="s">
        <v>25</v>
      </c>
      <c r="H2580" s="12">
        <v>2.4811108888908602</v>
      </c>
      <c r="I2580" s="11">
        <v>0.51279793577142496</v>
      </c>
      <c r="J2580" s="10">
        <v>0.60809267387245303</v>
      </c>
      <c r="K2580" s="29">
        <v>0.98289565623980701</v>
      </c>
    </row>
    <row r="2581" spans="1:11" x14ac:dyDescent="0.35">
      <c r="A2581" s="9" t="str">
        <f>HYPERLINK("http://www.ensembl.org/id/WBGene00008840", "WBGene00008840")</f>
        <v>WBGene00008840</v>
      </c>
      <c r="B2581" s="9" t="str">
        <f>HYPERLINK("http://www.ncbi.nlm.nih.gov/gene/174886", "174886")</f>
        <v>174886</v>
      </c>
      <c r="C2581" s="9"/>
      <c r="D2581" t="str">
        <f>"F15A4.5"</f>
        <v>F15A4.5</v>
      </c>
      <c r="F2581" t="s">
        <v>11</v>
      </c>
      <c r="G2581" t="s">
        <v>25</v>
      </c>
      <c r="H2581" s="12">
        <v>2.4809482234312301</v>
      </c>
      <c r="I2581" s="11">
        <v>2.5236881044061699</v>
      </c>
      <c r="J2581" s="10">
        <v>1.16130912031776E-2</v>
      </c>
      <c r="K2581" s="29">
        <v>0.21398092929874199</v>
      </c>
    </row>
    <row r="2582" spans="1:11" x14ac:dyDescent="0.35">
      <c r="A2582" s="9" t="str">
        <f>HYPERLINK("http://www.ensembl.org/id/WBGene00219554", "WBGene00219554")</f>
        <v>WBGene00219554</v>
      </c>
      <c r="B2582" s="9"/>
      <c r="C2582" s="9"/>
      <c r="D2582" t="str">
        <f>"W03D2.11"</f>
        <v>W03D2.11</v>
      </c>
      <c r="F2582" t="s">
        <v>80</v>
      </c>
      <c r="H2582" s="12">
        <v>2.4809160719414298</v>
      </c>
      <c r="I2582" s="11">
        <v>0.63546067988676902</v>
      </c>
      <c r="J2582" s="10">
        <v>0.52512800347980104</v>
      </c>
      <c r="K2582" s="29">
        <v>0.98289565623980701</v>
      </c>
    </row>
    <row r="2583" spans="1:11" x14ac:dyDescent="0.35">
      <c r="A2583" s="9" t="str">
        <f>HYPERLINK("http://www.ensembl.org/id/WBGene00010135", "WBGene00010135")</f>
        <v>WBGene00010135</v>
      </c>
      <c r="B2583" s="9" t="str">
        <f>HYPERLINK("http://www.ncbi.nlm.nih.gov/gene/186344", "186344")</f>
        <v>186344</v>
      </c>
      <c r="C2583" s="9"/>
      <c r="D2583" t="str">
        <f>"F55H12.4"</f>
        <v>F55H12.4</v>
      </c>
      <c r="F2583" t="s">
        <v>11</v>
      </c>
      <c r="H2583" s="12">
        <v>2.4801061496017698</v>
      </c>
      <c r="I2583" s="11">
        <v>4.8314683070764799</v>
      </c>
      <c r="J2583" s="10">
        <v>1.3552979524926301E-6</v>
      </c>
      <c r="K2583" s="29">
        <v>1.9572196556434199E-4</v>
      </c>
    </row>
    <row r="2584" spans="1:11" x14ac:dyDescent="0.35">
      <c r="A2584" s="9" t="str">
        <f>HYPERLINK("http://www.ensembl.org/id/WBGene00016769", "WBGene00016769")</f>
        <v>WBGene00016769</v>
      </c>
      <c r="B2584" s="9" t="str">
        <f>HYPERLINK("http://www.ncbi.nlm.nih.gov/gene/177668", "177668")</f>
        <v>177668</v>
      </c>
      <c r="C2584" s="9"/>
      <c r="D2584" t="str">
        <f>"C49C8.5"</f>
        <v>C49C8.5</v>
      </c>
      <c r="F2584" t="s">
        <v>11</v>
      </c>
      <c r="G2584" t="s">
        <v>196</v>
      </c>
      <c r="H2584" s="12">
        <v>2.47955933688581</v>
      </c>
      <c r="I2584" s="11">
        <v>4.5993271823628001</v>
      </c>
      <c r="J2584" s="10">
        <v>4.23857643077442E-6</v>
      </c>
      <c r="K2584" s="29">
        <v>5.2654057531975097E-4</v>
      </c>
    </row>
    <row r="2585" spans="1:11" x14ac:dyDescent="0.35">
      <c r="A2585" s="9" t="str">
        <f>HYPERLINK("http://www.ensembl.org/id/WBGene00044998", "WBGene00044998")</f>
        <v>WBGene00044998</v>
      </c>
      <c r="B2585" s="9" t="str">
        <f>HYPERLINK("http://www.ncbi.nlm.nih.gov/gene/4927032", "4927032")</f>
        <v>4927032</v>
      </c>
      <c r="C2585" s="9"/>
      <c r="D2585" t="str">
        <f>"M199.9"</f>
        <v>M199.9</v>
      </c>
      <c r="F2585" t="s">
        <v>11</v>
      </c>
      <c r="H2585" s="12">
        <v>2.47866016844586</v>
      </c>
      <c r="I2585" s="11">
        <v>3.7166075661006901</v>
      </c>
      <c r="J2585" s="10">
        <v>2.0191569818484199E-4</v>
      </c>
      <c r="K2585" s="29">
        <v>1.1500328847586699E-2</v>
      </c>
    </row>
    <row r="2586" spans="1:11" x14ac:dyDescent="0.35">
      <c r="A2586" s="9" t="str">
        <f>HYPERLINK("http://www.ensembl.org/id/WBGene00022093", "WBGene00022093")</f>
        <v>WBGene00022093</v>
      </c>
      <c r="B2586" s="9" t="str">
        <f>HYPERLINK("http://www.ncbi.nlm.nih.gov/gene/190543", "190543")</f>
        <v>190543</v>
      </c>
      <c r="C2586" s="9"/>
      <c r="D2586" t="str">
        <f>"Y69A2AR.22"</f>
        <v>Y69A2AR.22</v>
      </c>
      <c r="F2586" t="s">
        <v>11</v>
      </c>
      <c r="H2586" s="12">
        <v>2.4786110901737501</v>
      </c>
      <c r="I2586" s="11">
        <v>3.8717914237482498</v>
      </c>
      <c r="J2586" s="10">
        <v>1.08038384920359E-4</v>
      </c>
      <c r="K2586" s="29">
        <v>7.0159642023907799E-3</v>
      </c>
    </row>
    <row r="2587" spans="1:11" x14ac:dyDescent="0.35">
      <c r="A2587" s="9" t="str">
        <f>HYPERLINK("http://www.ensembl.org/id/WBGene00012607", "WBGene00012607")</f>
        <v>WBGene00012607</v>
      </c>
      <c r="B2587" s="9" t="str">
        <f>HYPERLINK("http://www.ncbi.nlm.nih.gov/gene/189672", "189672")</f>
        <v>189672</v>
      </c>
      <c r="C2587" s="9"/>
      <c r="D2587" t="str">
        <f>"Y38F1A.4"</f>
        <v>Y38F1A.4</v>
      </c>
      <c r="F2587" t="s">
        <v>11</v>
      </c>
      <c r="G2587" t="s">
        <v>25</v>
      </c>
      <c r="H2587" s="12">
        <v>2.47852265088666</v>
      </c>
      <c r="I2587" s="11">
        <v>0.93876451985303999</v>
      </c>
      <c r="J2587" s="10">
        <v>0.347851659035255</v>
      </c>
      <c r="K2587" s="29">
        <v>0.98289565623980701</v>
      </c>
    </row>
    <row r="2588" spans="1:11" x14ac:dyDescent="0.35">
      <c r="A2588" s="9" t="str">
        <f>HYPERLINK("http://www.ensembl.org/id/WBGene00008797", "WBGene00008797")</f>
        <v>WBGene00008797</v>
      </c>
      <c r="B2588" s="9" t="str">
        <f>HYPERLINK("http://www.ncbi.nlm.nih.gov/gene/3565550", "3565550")</f>
        <v>3565550</v>
      </c>
      <c r="C2588" s="9"/>
      <c r="D2588" t="str">
        <f>"F14D7.10"</f>
        <v>F14D7.10</v>
      </c>
      <c r="F2588" t="s">
        <v>11</v>
      </c>
      <c r="H2588" s="12">
        <v>2.4784948068720198</v>
      </c>
      <c r="I2588" s="11">
        <v>1.2818879372690299</v>
      </c>
      <c r="J2588" s="10">
        <v>0.19988196009314901</v>
      </c>
      <c r="K2588" s="29">
        <v>0.94659179748524402</v>
      </c>
    </row>
    <row r="2589" spans="1:11" x14ac:dyDescent="0.35">
      <c r="A2589" s="9" t="str">
        <f>HYPERLINK("http://www.ensembl.org/id/WBGene00016825", "WBGene00016825")</f>
        <v>WBGene00016825</v>
      </c>
      <c r="B2589" s="9" t="str">
        <f>HYPERLINK("http://www.ncbi.nlm.nih.gov/gene/174873", "174873")</f>
        <v>174873</v>
      </c>
      <c r="C2589" s="9"/>
      <c r="D2589" t="str">
        <f>"C50E10.1"</f>
        <v>C50E10.1</v>
      </c>
      <c r="F2589" t="s">
        <v>11</v>
      </c>
      <c r="H2589" s="12">
        <v>2.4781362160170399</v>
      </c>
      <c r="I2589" s="11">
        <v>0.877164220022425</v>
      </c>
      <c r="J2589" s="10">
        <v>0.38039744715141799</v>
      </c>
      <c r="K2589" s="29">
        <v>0.98289565623980701</v>
      </c>
    </row>
    <row r="2590" spans="1:11" x14ac:dyDescent="0.35">
      <c r="A2590" s="9" t="str">
        <f>HYPERLINK("http://www.ensembl.org/id/WBGene00005949", "WBGene00005949")</f>
        <v>WBGene00005949</v>
      </c>
      <c r="B2590" s="9" t="str">
        <f>HYPERLINK("http://www.ncbi.nlm.nih.gov/gene/183007", "183007")</f>
        <v>183007</v>
      </c>
      <c r="C2590" s="9"/>
      <c r="D2590" t="str">
        <f>"srx-58"</f>
        <v>srx-58</v>
      </c>
      <c r="E2590" t="s">
        <v>1477</v>
      </c>
      <c r="F2590" t="s">
        <v>11</v>
      </c>
      <c r="G2590" t="s">
        <v>25</v>
      </c>
      <c r="H2590" s="12">
        <v>2.4779088507642499</v>
      </c>
      <c r="I2590" s="11">
        <v>0.76605007971398398</v>
      </c>
      <c r="J2590" s="10">
        <v>0.4436465045961</v>
      </c>
      <c r="K2590" s="29">
        <v>0.98289565623980701</v>
      </c>
    </row>
    <row r="2591" spans="1:11" x14ac:dyDescent="0.35">
      <c r="A2591" s="9" t="str">
        <f>HYPERLINK("http://www.ensembl.org/id/WBGene00017215", "WBGene00017215")</f>
        <v>WBGene00017215</v>
      </c>
      <c r="B2591" s="9" t="str">
        <f>HYPERLINK("http://www.ncbi.nlm.nih.gov/gene/173928", "173928")</f>
        <v>173928</v>
      </c>
      <c r="C2591" s="9"/>
      <c r="D2591" t="str">
        <f>"F07F6.1"</f>
        <v>F07F6.1</v>
      </c>
      <c r="F2591" t="s">
        <v>11</v>
      </c>
      <c r="G2591" t="s">
        <v>91</v>
      </c>
      <c r="H2591" s="12">
        <v>2.4771938100684299</v>
      </c>
      <c r="I2591" s="11">
        <v>1.2126514387957901</v>
      </c>
      <c r="J2591" s="10">
        <v>0.22526311346776701</v>
      </c>
      <c r="K2591" s="29">
        <v>0.98002814908420599</v>
      </c>
    </row>
    <row r="2592" spans="1:11" x14ac:dyDescent="0.35">
      <c r="A2592" s="9" t="str">
        <f>HYPERLINK("http://www.ensembl.org/id/WBGene00011581", "WBGene00011581")</f>
        <v>WBGene00011581</v>
      </c>
      <c r="B2592" s="9" t="str">
        <f>HYPERLINK("http://www.ncbi.nlm.nih.gov/gene/173130", "173130")</f>
        <v>173130</v>
      </c>
      <c r="C2592" s="9"/>
      <c r="D2592" t="str">
        <f>"T07D10.1"</f>
        <v>T07D10.1</v>
      </c>
      <c r="F2592" t="s">
        <v>11</v>
      </c>
      <c r="G2592" t="s">
        <v>25</v>
      </c>
      <c r="H2592" s="12">
        <v>2.4769833300767399</v>
      </c>
      <c r="I2592" s="11">
        <v>0.81498373634083099</v>
      </c>
      <c r="J2592" s="10">
        <v>0.41508161958752898</v>
      </c>
      <c r="K2592" s="29">
        <v>0.98289565623980701</v>
      </c>
    </row>
    <row r="2593" spans="1:11" x14ac:dyDescent="0.35">
      <c r="A2593" s="9" t="str">
        <f>HYPERLINK("http://www.ensembl.org/id/WBGene00009097", "WBGene00009097")</f>
        <v>WBGene00009097</v>
      </c>
      <c r="B2593" s="9" t="str">
        <f>HYPERLINK("http://www.ncbi.nlm.nih.gov/gene/179696", "179696")</f>
        <v>179696</v>
      </c>
      <c r="C2593" s="9"/>
      <c r="D2593" t="str">
        <f>"fipr-2"</f>
        <v>fipr-2</v>
      </c>
      <c r="E2593" t="s">
        <v>28</v>
      </c>
      <c r="F2593" t="s">
        <v>11</v>
      </c>
      <c r="H2593" s="12">
        <v>2.4765185988606699</v>
      </c>
      <c r="I2593" s="11">
        <v>4.8943256295668398</v>
      </c>
      <c r="J2593" s="10">
        <v>9.8643392737690799E-7</v>
      </c>
      <c r="K2593" s="29">
        <v>1.51950282173139E-4</v>
      </c>
    </row>
    <row r="2594" spans="1:11" x14ac:dyDescent="0.35">
      <c r="A2594" s="9" t="str">
        <f>HYPERLINK("http://www.ensembl.org/id/WBGene00170521", "WBGene00170521")</f>
        <v>WBGene00170521</v>
      </c>
      <c r="B2594" s="9"/>
      <c r="C2594" s="9"/>
      <c r="D2594" t="str">
        <f>"21ur-9523"</f>
        <v>21ur-9523</v>
      </c>
      <c r="F2594" t="s">
        <v>3161</v>
      </c>
      <c r="H2594" s="12">
        <v>2.4755196166000202</v>
      </c>
      <c r="I2594" s="11">
        <v>0.71184102676227401</v>
      </c>
      <c r="J2594" s="10">
        <v>0.47656322408217899</v>
      </c>
      <c r="K2594" s="29">
        <v>0.98289565623980701</v>
      </c>
    </row>
    <row r="2595" spans="1:11" x14ac:dyDescent="0.35">
      <c r="A2595" s="9" t="str">
        <f>HYPERLINK("http://www.ensembl.org/id/WBGene00017184", "WBGene00017184")</f>
        <v>WBGene00017184</v>
      </c>
      <c r="B2595" s="9" t="str">
        <f>HYPERLINK("http://www.ncbi.nlm.nih.gov/gene/180418", "180418")</f>
        <v>180418</v>
      </c>
      <c r="C2595" s="9" t="str">
        <f>HYPERLINK("http://www.ncbi.nlm.nih.gov/gene/4684", "4684")</f>
        <v>4684</v>
      </c>
      <c r="D2595" t="str">
        <f>"ncam-1"</f>
        <v>ncam-1</v>
      </c>
      <c r="E2595" t="s">
        <v>304</v>
      </c>
      <c r="F2595" t="s">
        <v>11</v>
      </c>
      <c r="G2595" t="s">
        <v>305</v>
      </c>
      <c r="H2595" s="12">
        <v>2.4747505327625499</v>
      </c>
      <c r="I2595" s="11">
        <v>4.0385477606587097</v>
      </c>
      <c r="J2595" s="10">
        <v>5.3783143536771902E-5</v>
      </c>
      <c r="K2595" s="29">
        <v>4.0611546227472296E-3</v>
      </c>
    </row>
    <row r="2596" spans="1:11" x14ac:dyDescent="0.35">
      <c r="A2596" s="9" t="str">
        <f>HYPERLINK("http://www.ensembl.org/id/WBGene00010202", "WBGene00010202")</f>
        <v>WBGene00010202</v>
      </c>
      <c r="B2596" s="9" t="str">
        <f>HYPERLINK("http://www.ncbi.nlm.nih.gov/gene/186450", "186450")</f>
        <v>186450</v>
      </c>
      <c r="C2596" s="9"/>
      <c r="D2596" t="str">
        <f>"F57E7.1"</f>
        <v>F57E7.1</v>
      </c>
      <c r="F2596" t="s">
        <v>11</v>
      </c>
      <c r="H2596" s="12">
        <v>2.4745801912115502</v>
      </c>
      <c r="I2596" s="11">
        <v>1.7252879806289101</v>
      </c>
      <c r="J2596" s="10">
        <v>8.4475586932370506E-2</v>
      </c>
      <c r="K2596" s="29">
        <v>0.68318940529949201</v>
      </c>
    </row>
    <row r="2597" spans="1:11" x14ac:dyDescent="0.35">
      <c r="A2597" s="9" t="str">
        <f>HYPERLINK("http://www.ensembl.org/id/WBGene00019234", "WBGene00019234")</f>
        <v>WBGene00019234</v>
      </c>
      <c r="B2597" s="9" t="str">
        <f>HYPERLINK("http://www.ncbi.nlm.nih.gov/gene/186768", "186768")</f>
        <v>186768</v>
      </c>
      <c r="C2597" s="9"/>
      <c r="D2597" t="str">
        <f>"ugt-8"</f>
        <v>ugt-8</v>
      </c>
      <c r="E2597" t="s">
        <v>103</v>
      </c>
      <c r="F2597" t="s">
        <v>11</v>
      </c>
      <c r="G2597" t="s">
        <v>104</v>
      </c>
      <c r="H2597" s="12">
        <v>2.4736627003622198</v>
      </c>
      <c r="I2597" s="11">
        <v>2.64252921932838</v>
      </c>
      <c r="J2597" s="10">
        <v>8.2289364683873299E-3</v>
      </c>
      <c r="K2597" s="29">
        <v>0.171604518085341</v>
      </c>
    </row>
    <row r="2598" spans="1:11" x14ac:dyDescent="0.35">
      <c r="A2598" s="9" t="str">
        <f>HYPERLINK("http://www.ensembl.org/id/WBGene00007140", "WBGene00007140")</f>
        <v>WBGene00007140</v>
      </c>
      <c r="B2598" s="9" t="str">
        <f>HYPERLINK("http://www.ncbi.nlm.nih.gov/gene/181926", "181926")</f>
        <v>181926</v>
      </c>
      <c r="C2598" s="9"/>
      <c r="D2598" t="str">
        <f>"cyp-29A4"</f>
        <v>cyp-29A4</v>
      </c>
      <c r="E2598" t="s">
        <v>176</v>
      </c>
      <c r="F2598" t="s">
        <v>11</v>
      </c>
      <c r="G2598" t="s">
        <v>1626</v>
      </c>
      <c r="H2598" s="12">
        <v>2.47187594994785</v>
      </c>
      <c r="I2598" s="11">
        <v>1.0408971319876199</v>
      </c>
      <c r="J2598" s="10">
        <v>0.29792329295200998</v>
      </c>
      <c r="K2598" s="29">
        <v>0.98289565623980701</v>
      </c>
    </row>
    <row r="2599" spans="1:11" x14ac:dyDescent="0.35">
      <c r="A2599" s="9" t="str">
        <f>HYPERLINK("http://www.ensembl.org/id/WBGene00020855", "WBGene00020855")</f>
        <v>WBGene00020855</v>
      </c>
      <c r="B2599" s="9" t="str">
        <f>HYPERLINK("http://www.ncbi.nlm.nih.gov/gene/188979", "188979")</f>
        <v>188979</v>
      </c>
      <c r="C2599" s="9"/>
      <c r="D2599" t="str">
        <f>"hpo-36"</f>
        <v>hpo-36</v>
      </c>
      <c r="F2599" t="s">
        <v>11</v>
      </c>
      <c r="G2599" t="s">
        <v>25</v>
      </c>
      <c r="H2599" s="12">
        <v>2.4705794174693998</v>
      </c>
      <c r="I2599" s="11">
        <v>3.35778457775519</v>
      </c>
      <c r="J2599" s="10">
        <v>7.8569819961441998E-4</v>
      </c>
      <c r="K2599" s="29">
        <v>3.2235912976684197E-2</v>
      </c>
    </row>
    <row r="2600" spans="1:11" x14ac:dyDescent="0.35">
      <c r="A2600" s="9" t="str">
        <f>HYPERLINK("http://www.ensembl.org/id/WBGene00013856", "WBGene00013856")</f>
        <v>WBGene00013856</v>
      </c>
      <c r="B2600" s="9" t="str">
        <f>HYPERLINK("http://www.ncbi.nlm.nih.gov/gene/191091", "191091")</f>
        <v>191091</v>
      </c>
      <c r="C2600" s="9"/>
      <c r="D2600" t="str">
        <f>"ZC168.2"</f>
        <v>ZC168.2</v>
      </c>
      <c r="F2600" t="s">
        <v>11</v>
      </c>
      <c r="G2600" t="s">
        <v>3163</v>
      </c>
      <c r="H2600" s="12">
        <v>2.46741176100545</v>
      </c>
      <c r="I2600" s="11">
        <v>1.4627843688833899</v>
      </c>
      <c r="J2600" s="10">
        <v>0.143526391551797</v>
      </c>
      <c r="K2600" s="29">
        <v>0.84042595113933805</v>
      </c>
    </row>
    <row r="2601" spans="1:11" x14ac:dyDescent="0.35">
      <c r="A2601" s="9" t="str">
        <f>HYPERLINK("http://www.ensembl.org/id/WBGene00000727", "WBGene00000727")</f>
        <v>WBGene00000727</v>
      </c>
      <c r="B2601" s="9" t="str">
        <f>HYPERLINK("http://www.ncbi.nlm.nih.gov/gene/186300", "186300")</f>
        <v>186300</v>
      </c>
      <c r="C2601" s="9"/>
      <c r="D2601" t="str">
        <f>"col-154"</f>
        <v>col-154</v>
      </c>
      <c r="E2601" t="s">
        <v>40</v>
      </c>
      <c r="F2601" t="s">
        <v>11</v>
      </c>
      <c r="G2601" t="s">
        <v>41</v>
      </c>
      <c r="H2601" s="12">
        <v>2.4663099931364201</v>
      </c>
      <c r="I2601" s="11">
        <v>2.7281824621499</v>
      </c>
      <c r="J2601" s="10">
        <v>6.3684371062075603E-3</v>
      </c>
      <c r="K2601" s="29">
        <v>0.141489526707723</v>
      </c>
    </row>
    <row r="2602" spans="1:11" x14ac:dyDescent="0.35">
      <c r="A2602" s="9" t="str">
        <f>HYPERLINK("http://www.ensembl.org/id/WBGene00012425", "WBGene00012425")</f>
        <v>WBGene00012425</v>
      </c>
      <c r="B2602" s="9" t="str">
        <f>HYPERLINK("http://www.ncbi.nlm.nih.gov/gene/3565151", "3565151")</f>
        <v>3565151</v>
      </c>
      <c r="C2602" s="9"/>
      <c r="D2602" t="str">
        <f>"dlc-4"</f>
        <v>dlc-4</v>
      </c>
      <c r="E2602" t="s">
        <v>4373</v>
      </c>
      <c r="F2602" t="s">
        <v>11</v>
      </c>
      <c r="G2602" t="s">
        <v>4374</v>
      </c>
      <c r="H2602" s="12">
        <v>2.4648567666515899</v>
      </c>
      <c r="I2602" s="11">
        <v>0.60853716300139904</v>
      </c>
      <c r="J2602" s="10">
        <v>0.54283126587197295</v>
      </c>
      <c r="K2602" s="29">
        <v>0.98289565623980701</v>
      </c>
    </row>
    <row r="2603" spans="1:11" x14ac:dyDescent="0.35">
      <c r="A2603" s="9" t="str">
        <f>HYPERLINK("http://www.ensembl.org/id/WBGene00008070", "WBGene00008070")</f>
        <v>WBGene00008070</v>
      </c>
      <c r="B2603" s="9" t="str">
        <f>HYPERLINK("http://www.ncbi.nlm.nih.gov/gene/180267", "180267")</f>
        <v>180267</v>
      </c>
      <c r="C2603" s="9"/>
      <c r="D2603" t="str">
        <f>"C43D7.8"</f>
        <v>C43D7.8</v>
      </c>
      <c r="F2603" t="s">
        <v>11</v>
      </c>
      <c r="G2603" t="s">
        <v>54</v>
      </c>
      <c r="H2603" s="12">
        <v>2.46384429621081</v>
      </c>
      <c r="I2603" s="11">
        <v>1.36565307193025</v>
      </c>
      <c r="J2603" s="10">
        <v>0.172047880273582</v>
      </c>
      <c r="K2603" s="29">
        <v>0.89858461157354796</v>
      </c>
    </row>
    <row r="2604" spans="1:11" x14ac:dyDescent="0.35">
      <c r="A2604" s="9" t="str">
        <f>HYPERLINK("http://www.ensembl.org/id/WBGene00021234", "WBGene00021234")</f>
        <v>WBGene00021234</v>
      </c>
      <c r="B2604" s="9"/>
      <c r="C2604" s="9"/>
      <c r="D2604" t="str">
        <f>"irld-16"</f>
        <v>irld-16</v>
      </c>
      <c r="F2604" t="s">
        <v>80</v>
      </c>
      <c r="H2604" s="12">
        <v>2.4637821007484999</v>
      </c>
      <c r="I2604" s="11">
        <v>0.81864564172293897</v>
      </c>
      <c r="J2604" s="10">
        <v>0.41298861852431901</v>
      </c>
      <c r="K2604" s="29">
        <v>0.98289565623980701</v>
      </c>
    </row>
    <row r="2605" spans="1:11" x14ac:dyDescent="0.35">
      <c r="A2605" s="9" t="str">
        <f>HYPERLINK("http://www.ensembl.org/id/WBGene00010718", "WBGene00010718")</f>
        <v>WBGene00010718</v>
      </c>
      <c r="B2605" s="9" t="str">
        <f>HYPERLINK("http://www.ncbi.nlm.nih.gov/gene/3565042", "3565042")</f>
        <v>3565042</v>
      </c>
      <c r="C2605" s="9"/>
      <c r="D2605" t="str">
        <f>"K09C8.8"</f>
        <v>K09C8.8</v>
      </c>
      <c r="F2605" t="s">
        <v>11</v>
      </c>
      <c r="H2605" s="12">
        <v>2.4618083225540301</v>
      </c>
      <c r="I2605" s="11">
        <v>0.95995862410800803</v>
      </c>
      <c r="J2605" s="10">
        <v>0.33707603936540398</v>
      </c>
      <c r="K2605" s="29">
        <v>0.98289565623980701</v>
      </c>
    </row>
    <row r="2606" spans="1:11" x14ac:dyDescent="0.35">
      <c r="A2606" s="9" t="str">
        <f>HYPERLINK("http://www.ensembl.org/id/WBGene00012591", "WBGene00012591")</f>
        <v>WBGene00012591</v>
      </c>
      <c r="B2606" s="9" t="str">
        <f>HYPERLINK("http://www.ncbi.nlm.nih.gov/gene/189660", "189660")</f>
        <v>189660</v>
      </c>
      <c r="C2606" s="9"/>
      <c r="D2606" t="str">
        <f>"nspe-1"</f>
        <v>nspe-1</v>
      </c>
      <c r="E2606" t="s">
        <v>2921</v>
      </c>
      <c r="F2606" t="s">
        <v>11</v>
      </c>
      <c r="H2606" s="12">
        <v>2.4617657135836502</v>
      </c>
      <c r="I2606" s="11">
        <v>1.0753409162421701</v>
      </c>
      <c r="J2606" s="10">
        <v>0.28222212381396</v>
      </c>
      <c r="K2606" s="29">
        <v>0.98289565623980701</v>
      </c>
    </row>
    <row r="2607" spans="1:11" x14ac:dyDescent="0.35">
      <c r="A2607" s="9" t="str">
        <f>HYPERLINK("http://www.ensembl.org/id/WBGene00009601", "WBGene00009601")</f>
        <v>WBGene00009601</v>
      </c>
      <c r="B2607" s="9" t="str">
        <f>HYPERLINK("http://www.ncbi.nlm.nih.gov/gene/185566", "185566")</f>
        <v>185566</v>
      </c>
      <c r="C2607" s="9"/>
      <c r="D2607" t="str">
        <f>"F40G12.6"</f>
        <v>F40G12.6</v>
      </c>
      <c r="F2607" t="s">
        <v>11</v>
      </c>
      <c r="H2607" s="12">
        <v>2.4614651321331902</v>
      </c>
      <c r="I2607" s="11">
        <v>1.5223694690166401</v>
      </c>
      <c r="J2607" s="10">
        <v>0.12791653038536599</v>
      </c>
      <c r="K2607" s="29">
        <v>0.80741335767347</v>
      </c>
    </row>
    <row r="2608" spans="1:11" x14ac:dyDescent="0.35">
      <c r="A2608" s="9" t="str">
        <f>HYPERLINK("http://www.ensembl.org/id/WBGene00006525", "WBGene00006525")</f>
        <v>WBGene00006525</v>
      </c>
      <c r="B2608" s="9" t="str">
        <f>HYPERLINK("http://www.ncbi.nlm.nih.gov/gene/172723", "172723")</f>
        <v>172723</v>
      </c>
      <c r="C2608" s="9" t="str">
        <f>HYPERLINK("http://www.ncbi.nlm.nih.gov/gene/1258", "1258")</f>
        <v>1258</v>
      </c>
      <c r="D2608" t="str">
        <f>"tax-2"</f>
        <v>tax-2</v>
      </c>
      <c r="E2608" t="s">
        <v>4375</v>
      </c>
      <c r="F2608" t="s">
        <v>11</v>
      </c>
      <c r="G2608" t="s">
        <v>4376</v>
      </c>
      <c r="H2608" s="12">
        <v>2.4578182640535902</v>
      </c>
      <c r="I2608" s="11">
        <v>1.1613607484551001</v>
      </c>
      <c r="J2608" s="10">
        <v>0.24549522438985999</v>
      </c>
      <c r="K2608" s="29">
        <v>0.98289565623980701</v>
      </c>
    </row>
    <row r="2609" spans="1:11" x14ac:dyDescent="0.35">
      <c r="A2609" s="9" t="str">
        <f>HYPERLINK("http://www.ensembl.org/id/WBGene00172518", "WBGene00172518")</f>
        <v>WBGene00172518</v>
      </c>
      <c r="B2609" s="9"/>
      <c r="C2609" s="9"/>
      <c r="D2609" t="str">
        <f>"21ur-10214"</f>
        <v>21ur-10214</v>
      </c>
      <c r="F2609" t="s">
        <v>3161</v>
      </c>
      <c r="H2609" s="12">
        <v>2.4578120077400301</v>
      </c>
      <c r="I2609" s="11">
        <v>0.26093350314551</v>
      </c>
      <c r="J2609" s="10">
        <v>0.79414378780213601</v>
      </c>
      <c r="K2609" s="29">
        <v>0.98289565623980701</v>
      </c>
    </row>
    <row r="2610" spans="1:11" x14ac:dyDescent="0.35">
      <c r="A2610" s="9" t="str">
        <f>HYPERLINK("http://www.ensembl.org/id/WBGene00172830", "WBGene00172830")</f>
        <v>WBGene00172830</v>
      </c>
      <c r="B2610" s="9"/>
      <c r="C2610" s="9"/>
      <c r="D2610" t="str">
        <f>"21ur-10246"</f>
        <v>21ur-10246</v>
      </c>
      <c r="F2610" t="s">
        <v>3161</v>
      </c>
      <c r="H2610" s="12">
        <v>2.4578120077400301</v>
      </c>
      <c r="I2610" s="11">
        <v>0.26093350314551</v>
      </c>
      <c r="J2610" s="10">
        <v>0.79414378780213601</v>
      </c>
      <c r="K2610" s="29">
        <v>0.98289565623980701</v>
      </c>
    </row>
    <row r="2611" spans="1:11" x14ac:dyDescent="0.35">
      <c r="A2611" s="9" t="str">
        <f>HYPERLINK("http://www.ensembl.org/id/WBGene00171392", "WBGene00171392")</f>
        <v>WBGene00171392</v>
      </c>
      <c r="B2611" s="9"/>
      <c r="C2611" s="9"/>
      <c r="D2611" t="str">
        <f>"21ur-10321"</f>
        <v>21ur-10321</v>
      </c>
      <c r="F2611" t="s">
        <v>3161</v>
      </c>
      <c r="H2611" s="12">
        <v>2.4578120077400301</v>
      </c>
      <c r="I2611" s="11">
        <v>0.26093350314551</v>
      </c>
      <c r="J2611" s="10">
        <v>0.79414378780213601</v>
      </c>
      <c r="K2611" s="29">
        <v>0.98289565623980701</v>
      </c>
    </row>
    <row r="2612" spans="1:11" x14ac:dyDescent="0.35">
      <c r="A2612" s="9" t="str">
        <f>HYPERLINK("http://www.ensembl.org/id/WBGene00165057", "WBGene00165057")</f>
        <v>WBGene00165057</v>
      </c>
      <c r="B2612" s="9"/>
      <c r="C2612" s="9"/>
      <c r="D2612" t="str">
        <f>"21ur-10440"</f>
        <v>21ur-10440</v>
      </c>
      <c r="F2612" t="s">
        <v>3161</v>
      </c>
      <c r="H2612" s="12">
        <v>2.4578120077400301</v>
      </c>
      <c r="I2612" s="11">
        <v>0.26093350314551</v>
      </c>
      <c r="J2612" s="10">
        <v>0.79414378780213601</v>
      </c>
      <c r="K2612" s="29">
        <v>0.98289565623980701</v>
      </c>
    </row>
    <row r="2613" spans="1:11" x14ac:dyDescent="0.35">
      <c r="A2613" s="9" t="str">
        <f>HYPERLINK("http://www.ensembl.org/id/WBGene00171265", "WBGene00171265")</f>
        <v>WBGene00171265</v>
      </c>
      <c r="B2613" s="9"/>
      <c r="C2613" s="9"/>
      <c r="D2613" t="str">
        <f>"21ur-10517"</f>
        <v>21ur-10517</v>
      </c>
      <c r="F2613" t="s">
        <v>3161</v>
      </c>
      <c r="H2613" s="12">
        <v>2.4578120077400301</v>
      </c>
      <c r="I2613" s="11">
        <v>0.26093350314551</v>
      </c>
      <c r="J2613" s="10">
        <v>0.79414378780213601</v>
      </c>
      <c r="K2613" s="29">
        <v>0.98289565623980701</v>
      </c>
    </row>
    <row r="2614" spans="1:11" x14ac:dyDescent="0.35">
      <c r="A2614" s="9" t="str">
        <f>HYPERLINK("http://www.ensembl.org/id/WBGene00046469", "WBGene00046469")</f>
        <v>WBGene00046469</v>
      </c>
      <c r="B2614" s="9"/>
      <c r="C2614" s="9"/>
      <c r="D2614" t="str">
        <f>"21ur-1141"</f>
        <v>21ur-1141</v>
      </c>
      <c r="F2614" t="s">
        <v>3161</v>
      </c>
      <c r="H2614" s="12">
        <v>2.4578120077400301</v>
      </c>
      <c r="I2614" s="11">
        <v>0.26093350314551</v>
      </c>
      <c r="J2614" s="10">
        <v>0.79414378780213601</v>
      </c>
      <c r="K2614" s="29">
        <v>0.98289565623980701</v>
      </c>
    </row>
    <row r="2615" spans="1:11" x14ac:dyDescent="0.35">
      <c r="A2615" s="9" t="str">
        <f>HYPERLINK("http://www.ensembl.org/id/WBGene00172223", "WBGene00172223")</f>
        <v>WBGene00172223</v>
      </c>
      <c r="B2615" s="9"/>
      <c r="C2615" s="9"/>
      <c r="D2615" t="str">
        <f>"21ur-11665"</f>
        <v>21ur-11665</v>
      </c>
      <c r="F2615" t="s">
        <v>3161</v>
      </c>
      <c r="H2615" s="12">
        <v>2.4578120077400301</v>
      </c>
      <c r="I2615" s="11">
        <v>0.26093350314551</v>
      </c>
      <c r="J2615" s="10">
        <v>0.79414378780213601</v>
      </c>
      <c r="K2615" s="29">
        <v>0.98289565623980701</v>
      </c>
    </row>
    <row r="2616" spans="1:11" x14ac:dyDescent="0.35">
      <c r="A2616" s="9" t="str">
        <f>HYPERLINK("http://www.ensembl.org/id/WBGene00050135", "WBGene00050135")</f>
        <v>WBGene00050135</v>
      </c>
      <c r="B2616" s="9"/>
      <c r="C2616" s="9"/>
      <c r="D2616" t="str">
        <f>"21ur-1179"</f>
        <v>21ur-1179</v>
      </c>
      <c r="F2616" t="s">
        <v>3161</v>
      </c>
      <c r="H2616" s="12">
        <v>2.4578120077400301</v>
      </c>
      <c r="I2616" s="11">
        <v>0.26093350314551</v>
      </c>
      <c r="J2616" s="10">
        <v>0.79414378780213601</v>
      </c>
      <c r="K2616" s="29">
        <v>0.98289565623980701</v>
      </c>
    </row>
    <row r="2617" spans="1:11" x14ac:dyDescent="0.35">
      <c r="A2617" s="9" t="str">
        <f>HYPERLINK("http://www.ensembl.org/id/WBGene00169462", "WBGene00169462")</f>
        <v>WBGene00169462</v>
      </c>
      <c r="B2617" s="9"/>
      <c r="C2617" s="9"/>
      <c r="D2617" t="str">
        <f>"21ur-12039"</f>
        <v>21ur-12039</v>
      </c>
      <c r="F2617" t="s">
        <v>3161</v>
      </c>
      <c r="H2617" s="12">
        <v>2.4578120077400301</v>
      </c>
      <c r="I2617" s="11">
        <v>0.26093350314551</v>
      </c>
      <c r="J2617" s="10">
        <v>0.79414378780213601</v>
      </c>
      <c r="K2617" s="29">
        <v>0.98289565623980701</v>
      </c>
    </row>
    <row r="2618" spans="1:11" x14ac:dyDescent="0.35">
      <c r="A2618" s="9" t="str">
        <f>HYPERLINK("http://www.ensembl.org/id/WBGene00168971", "WBGene00168971")</f>
        <v>WBGene00168971</v>
      </c>
      <c r="B2618" s="9"/>
      <c r="C2618" s="9"/>
      <c r="D2618" t="str">
        <f>"21ur-12040"</f>
        <v>21ur-12040</v>
      </c>
      <c r="F2618" t="s">
        <v>3161</v>
      </c>
      <c r="H2618" s="12">
        <v>2.4578120077400301</v>
      </c>
      <c r="I2618" s="11">
        <v>0.26093350314551</v>
      </c>
      <c r="J2618" s="10">
        <v>0.79414378780213601</v>
      </c>
      <c r="K2618" s="29">
        <v>0.98289565623980701</v>
      </c>
    </row>
    <row r="2619" spans="1:11" x14ac:dyDescent="0.35">
      <c r="A2619" s="9" t="str">
        <f>HYPERLINK("http://www.ensembl.org/id/WBGene00173360", "WBGene00173360")</f>
        <v>WBGene00173360</v>
      </c>
      <c r="B2619" s="9"/>
      <c r="C2619" s="9"/>
      <c r="D2619" t="str">
        <f>"21ur-12231"</f>
        <v>21ur-12231</v>
      </c>
      <c r="F2619" t="s">
        <v>3161</v>
      </c>
      <c r="H2619" s="12">
        <v>2.4578120077400301</v>
      </c>
      <c r="I2619" s="11">
        <v>0.26093350314551</v>
      </c>
      <c r="J2619" s="10">
        <v>0.79414378780213601</v>
      </c>
      <c r="K2619" s="29">
        <v>0.98289565623980701</v>
      </c>
    </row>
    <row r="2620" spans="1:11" x14ac:dyDescent="0.35">
      <c r="A2620" s="9" t="str">
        <f>HYPERLINK("http://www.ensembl.org/id/WBGene00169944", "WBGene00169944")</f>
        <v>WBGene00169944</v>
      </c>
      <c r="B2620" s="9"/>
      <c r="C2620" s="9"/>
      <c r="D2620" t="str">
        <f>"21ur-12617"</f>
        <v>21ur-12617</v>
      </c>
      <c r="F2620" t="s">
        <v>3161</v>
      </c>
      <c r="H2620" s="12">
        <v>2.4578120077400301</v>
      </c>
      <c r="I2620" s="11">
        <v>0.26093350314551</v>
      </c>
      <c r="J2620" s="10">
        <v>0.79414378780213601</v>
      </c>
      <c r="K2620" s="29">
        <v>0.98289565623980701</v>
      </c>
    </row>
    <row r="2621" spans="1:11" x14ac:dyDescent="0.35">
      <c r="A2621" s="9" t="str">
        <f>HYPERLINK("http://www.ensembl.org/id/WBGene00169739", "WBGene00169739")</f>
        <v>WBGene00169739</v>
      </c>
      <c r="B2621" s="9"/>
      <c r="C2621" s="9"/>
      <c r="D2621" t="str">
        <f>"21ur-12646"</f>
        <v>21ur-12646</v>
      </c>
      <c r="F2621" t="s">
        <v>3161</v>
      </c>
      <c r="H2621" s="12">
        <v>2.4578120077400301</v>
      </c>
      <c r="I2621" s="11">
        <v>0.26093350314551</v>
      </c>
      <c r="J2621" s="10">
        <v>0.79414378780213601</v>
      </c>
      <c r="K2621" s="29">
        <v>0.98289565623980701</v>
      </c>
    </row>
    <row r="2622" spans="1:11" x14ac:dyDescent="0.35">
      <c r="A2622" s="9" t="str">
        <f>HYPERLINK("http://www.ensembl.org/id/WBGene00165560", "WBGene00165560")</f>
        <v>WBGene00165560</v>
      </c>
      <c r="B2622" s="9"/>
      <c r="C2622" s="9"/>
      <c r="D2622" t="str">
        <f>"21ur-12685"</f>
        <v>21ur-12685</v>
      </c>
      <c r="F2622" t="s">
        <v>3161</v>
      </c>
      <c r="H2622" s="12">
        <v>2.4578120077400301</v>
      </c>
      <c r="I2622" s="11">
        <v>0.26093350314551</v>
      </c>
      <c r="J2622" s="10">
        <v>0.79414378780213601</v>
      </c>
      <c r="K2622" s="29">
        <v>0.98289565623980701</v>
      </c>
    </row>
    <row r="2623" spans="1:11" x14ac:dyDescent="0.35">
      <c r="A2623" s="9" t="str">
        <f>HYPERLINK("http://www.ensembl.org/id/WBGene00170846", "WBGene00170846")</f>
        <v>WBGene00170846</v>
      </c>
      <c r="B2623" s="9"/>
      <c r="C2623" s="9"/>
      <c r="D2623" t="str">
        <f>"21ur-12729"</f>
        <v>21ur-12729</v>
      </c>
      <c r="F2623" t="s">
        <v>3161</v>
      </c>
      <c r="H2623" s="12">
        <v>2.4578120077400301</v>
      </c>
      <c r="I2623" s="11">
        <v>0.26093350314551</v>
      </c>
      <c r="J2623" s="10">
        <v>0.79414378780213601</v>
      </c>
      <c r="K2623" s="29">
        <v>0.98289565623980701</v>
      </c>
    </row>
    <row r="2624" spans="1:11" x14ac:dyDescent="0.35">
      <c r="A2624" s="9" t="str">
        <f>HYPERLINK("http://www.ensembl.org/id/WBGene00170671", "WBGene00170671")</f>
        <v>WBGene00170671</v>
      </c>
      <c r="B2624" s="9"/>
      <c r="C2624" s="9"/>
      <c r="D2624" t="str">
        <f>"21ur-12887"</f>
        <v>21ur-12887</v>
      </c>
      <c r="F2624" t="s">
        <v>3161</v>
      </c>
      <c r="H2624" s="12">
        <v>2.4578120077400301</v>
      </c>
      <c r="I2624" s="11">
        <v>0.26093350314551</v>
      </c>
      <c r="J2624" s="10">
        <v>0.79414378780213601</v>
      </c>
      <c r="K2624" s="29">
        <v>0.98289565623980701</v>
      </c>
    </row>
    <row r="2625" spans="1:11" x14ac:dyDescent="0.35">
      <c r="A2625" s="9" t="str">
        <f>HYPERLINK("http://www.ensembl.org/id/WBGene00045651", "WBGene00045651")</f>
        <v>WBGene00045651</v>
      </c>
      <c r="B2625" s="9"/>
      <c r="C2625" s="9"/>
      <c r="D2625" t="str">
        <f>"21ur-1325"</f>
        <v>21ur-1325</v>
      </c>
      <c r="F2625" t="s">
        <v>3161</v>
      </c>
      <c r="H2625" s="12">
        <v>2.4578120077400301</v>
      </c>
      <c r="I2625" s="11">
        <v>0.26093350314551</v>
      </c>
      <c r="J2625" s="10">
        <v>0.79414378780213601</v>
      </c>
      <c r="K2625" s="29">
        <v>0.98289565623980701</v>
      </c>
    </row>
    <row r="2626" spans="1:11" x14ac:dyDescent="0.35">
      <c r="A2626" s="9" t="str">
        <f>HYPERLINK("http://www.ensembl.org/id/WBGene00172519", "WBGene00172519")</f>
        <v>WBGene00172519</v>
      </c>
      <c r="B2626" s="9"/>
      <c r="C2626" s="9"/>
      <c r="D2626" t="str">
        <f>"21ur-13351"</f>
        <v>21ur-13351</v>
      </c>
      <c r="F2626" t="s">
        <v>3161</v>
      </c>
      <c r="H2626" s="12">
        <v>2.4578120077400301</v>
      </c>
      <c r="I2626" s="11">
        <v>0.26093350314551</v>
      </c>
      <c r="J2626" s="10">
        <v>0.79414378780213601</v>
      </c>
      <c r="K2626" s="29">
        <v>0.98289565623980701</v>
      </c>
    </row>
    <row r="2627" spans="1:11" x14ac:dyDescent="0.35">
      <c r="A2627" s="9" t="str">
        <f>HYPERLINK("http://www.ensembl.org/id/WBGene00173055", "WBGene00173055")</f>
        <v>WBGene00173055</v>
      </c>
      <c r="B2627" s="9"/>
      <c r="C2627" s="9"/>
      <c r="D2627" t="str">
        <f>"21ur-14823"</f>
        <v>21ur-14823</v>
      </c>
      <c r="F2627" t="s">
        <v>3161</v>
      </c>
      <c r="H2627" s="12">
        <v>2.4578120077400301</v>
      </c>
      <c r="I2627" s="11">
        <v>0.26093350314551</v>
      </c>
      <c r="J2627" s="10">
        <v>0.79414378780213601</v>
      </c>
      <c r="K2627" s="29">
        <v>0.98289565623980701</v>
      </c>
    </row>
    <row r="2628" spans="1:11" x14ac:dyDescent="0.35">
      <c r="A2628" s="9" t="str">
        <f>HYPERLINK("http://www.ensembl.org/id/WBGene00167225", "WBGene00167225")</f>
        <v>WBGene00167225</v>
      </c>
      <c r="B2628" s="9"/>
      <c r="C2628" s="9"/>
      <c r="D2628" t="str">
        <f>"21ur-14836"</f>
        <v>21ur-14836</v>
      </c>
      <c r="F2628" t="s">
        <v>3161</v>
      </c>
      <c r="H2628" s="12">
        <v>2.4578120077400301</v>
      </c>
      <c r="I2628" s="11">
        <v>0.26093350314551</v>
      </c>
      <c r="J2628" s="10">
        <v>0.79414378780213601</v>
      </c>
      <c r="K2628" s="29">
        <v>0.98289565623980701</v>
      </c>
    </row>
    <row r="2629" spans="1:11" x14ac:dyDescent="0.35">
      <c r="A2629" s="9" t="str">
        <f>HYPERLINK("http://www.ensembl.org/id/WBGene00165092", "WBGene00165092")</f>
        <v>WBGene00165092</v>
      </c>
      <c r="B2629" s="9"/>
      <c r="C2629" s="9"/>
      <c r="D2629" t="str">
        <f>"21ur-15148"</f>
        <v>21ur-15148</v>
      </c>
      <c r="F2629" t="s">
        <v>3161</v>
      </c>
      <c r="H2629" s="12">
        <v>2.4578120077400301</v>
      </c>
      <c r="I2629" s="11">
        <v>0.26093350314551</v>
      </c>
      <c r="J2629" s="10">
        <v>0.79414378780213601</v>
      </c>
      <c r="K2629" s="29">
        <v>0.98289565623980701</v>
      </c>
    </row>
    <row r="2630" spans="1:11" x14ac:dyDescent="0.35">
      <c r="A2630" s="9" t="str">
        <f>HYPERLINK("http://www.ensembl.org/id/WBGene00169448", "WBGene00169448")</f>
        <v>WBGene00169448</v>
      </c>
      <c r="B2630" s="9"/>
      <c r="C2630" s="9"/>
      <c r="D2630" t="str">
        <f>"21ur-15262"</f>
        <v>21ur-15262</v>
      </c>
      <c r="F2630" t="s">
        <v>3161</v>
      </c>
      <c r="H2630" s="12">
        <v>2.4578120077400301</v>
      </c>
      <c r="I2630" s="11">
        <v>0.26093350314551</v>
      </c>
      <c r="J2630" s="10">
        <v>0.79414378780213601</v>
      </c>
      <c r="K2630" s="29">
        <v>0.98289565623980701</v>
      </c>
    </row>
    <row r="2631" spans="1:11" x14ac:dyDescent="0.35">
      <c r="A2631" s="9" t="str">
        <f>HYPERLINK("http://www.ensembl.org/id/WBGene00171386", "WBGene00171386")</f>
        <v>WBGene00171386</v>
      </c>
      <c r="B2631" s="9"/>
      <c r="C2631" s="9"/>
      <c r="D2631" t="str">
        <f>"21ur-15344"</f>
        <v>21ur-15344</v>
      </c>
      <c r="F2631" t="s">
        <v>3161</v>
      </c>
      <c r="H2631" s="12">
        <v>2.4578120077400301</v>
      </c>
      <c r="I2631" s="11">
        <v>0.26093350314551</v>
      </c>
      <c r="J2631" s="10">
        <v>0.79414378780213601</v>
      </c>
      <c r="K2631" s="29">
        <v>0.98289565623980701</v>
      </c>
    </row>
    <row r="2632" spans="1:11" x14ac:dyDescent="0.35">
      <c r="A2632" s="9" t="str">
        <f>HYPERLINK("http://www.ensembl.org/id/WBGene00173509", "WBGene00173509")</f>
        <v>WBGene00173509</v>
      </c>
      <c r="B2632" s="9"/>
      <c r="C2632" s="9"/>
      <c r="D2632" t="str">
        <f>"21ur-15476"</f>
        <v>21ur-15476</v>
      </c>
      <c r="F2632" t="s">
        <v>3161</v>
      </c>
      <c r="H2632" s="12">
        <v>2.4578120077400301</v>
      </c>
      <c r="I2632" s="11">
        <v>0.26093350314551</v>
      </c>
      <c r="J2632" s="10">
        <v>0.79414378780213601</v>
      </c>
      <c r="K2632" s="29">
        <v>0.98289565623980701</v>
      </c>
    </row>
    <row r="2633" spans="1:11" x14ac:dyDescent="0.35">
      <c r="A2633" s="9" t="str">
        <f>HYPERLINK("http://www.ensembl.org/id/WBGene00046564", "WBGene00046564")</f>
        <v>WBGene00046564</v>
      </c>
      <c r="B2633" s="9"/>
      <c r="C2633" s="9"/>
      <c r="D2633" t="str">
        <f>"21ur-1600"</f>
        <v>21ur-1600</v>
      </c>
      <c r="F2633" t="s">
        <v>3161</v>
      </c>
      <c r="H2633" s="12">
        <v>2.4578120077400301</v>
      </c>
      <c r="I2633" s="11">
        <v>0.26093350314551</v>
      </c>
      <c r="J2633" s="10">
        <v>0.79414378780213601</v>
      </c>
      <c r="K2633" s="29">
        <v>0.98289565623980701</v>
      </c>
    </row>
    <row r="2634" spans="1:11" x14ac:dyDescent="0.35">
      <c r="A2634" s="9" t="str">
        <f>HYPERLINK("http://www.ensembl.org/id/WBGene00050322", "WBGene00050322")</f>
        <v>WBGene00050322</v>
      </c>
      <c r="B2634" s="9"/>
      <c r="C2634" s="9"/>
      <c r="D2634" t="str">
        <f>"21ur-1820"</f>
        <v>21ur-1820</v>
      </c>
      <c r="F2634" t="s">
        <v>3161</v>
      </c>
      <c r="H2634" s="12">
        <v>2.4578120077400301</v>
      </c>
      <c r="I2634" s="11">
        <v>0.26093350314551</v>
      </c>
      <c r="J2634" s="10">
        <v>0.79414378780213601</v>
      </c>
      <c r="K2634" s="29">
        <v>0.98289565623980701</v>
      </c>
    </row>
    <row r="2635" spans="1:11" x14ac:dyDescent="0.35">
      <c r="A2635" s="9" t="str">
        <f>HYPERLINK("http://www.ensembl.org/id/WBGene00049816", "WBGene00049816")</f>
        <v>WBGene00049816</v>
      </c>
      <c r="B2635" s="9"/>
      <c r="C2635" s="9"/>
      <c r="D2635" t="str">
        <f>"21ur-1989"</f>
        <v>21ur-1989</v>
      </c>
      <c r="F2635" t="s">
        <v>3161</v>
      </c>
      <c r="H2635" s="12">
        <v>2.4578120077400301</v>
      </c>
      <c r="I2635" s="11">
        <v>0.26093350314551</v>
      </c>
      <c r="J2635" s="10">
        <v>0.79414378780213601</v>
      </c>
      <c r="K2635" s="29">
        <v>0.98289565623980701</v>
      </c>
    </row>
    <row r="2636" spans="1:11" x14ac:dyDescent="0.35">
      <c r="A2636" s="9" t="str">
        <f>HYPERLINK("http://www.ensembl.org/id/WBGene00047891", "WBGene00047891")</f>
        <v>WBGene00047891</v>
      </c>
      <c r="B2636" s="9"/>
      <c r="C2636" s="9"/>
      <c r="D2636" t="str">
        <f>"21ur-2114"</f>
        <v>21ur-2114</v>
      </c>
      <c r="F2636" t="s">
        <v>3161</v>
      </c>
      <c r="H2636" s="12">
        <v>2.4578120077400301</v>
      </c>
      <c r="I2636" s="11">
        <v>0.26093350314551</v>
      </c>
      <c r="J2636" s="10">
        <v>0.79414378780213601</v>
      </c>
      <c r="K2636" s="29">
        <v>0.98289565623980701</v>
      </c>
    </row>
    <row r="2637" spans="1:11" x14ac:dyDescent="0.35">
      <c r="A2637" s="9" t="str">
        <f>HYPERLINK("http://www.ensembl.org/id/WBGene00049701", "WBGene00049701")</f>
        <v>WBGene00049701</v>
      </c>
      <c r="B2637" s="9"/>
      <c r="C2637" s="9"/>
      <c r="D2637" t="str">
        <f>"21ur-2317"</f>
        <v>21ur-2317</v>
      </c>
      <c r="F2637" t="s">
        <v>3161</v>
      </c>
      <c r="H2637" s="12">
        <v>2.4578120077400301</v>
      </c>
      <c r="I2637" s="11">
        <v>0.26093350314551</v>
      </c>
      <c r="J2637" s="10">
        <v>0.79414378780213601</v>
      </c>
      <c r="K2637" s="29">
        <v>0.98289565623980701</v>
      </c>
    </row>
    <row r="2638" spans="1:11" x14ac:dyDescent="0.35">
      <c r="A2638" s="9" t="str">
        <f>HYPERLINK("http://www.ensembl.org/id/WBGene00046541", "WBGene00046541")</f>
        <v>WBGene00046541</v>
      </c>
      <c r="B2638" s="9"/>
      <c r="C2638" s="9"/>
      <c r="D2638" t="str">
        <f>"21ur-2417"</f>
        <v>21ur-2417</v>
      </c>
      <c r="F2638" t="s">
        <v>3161</v>
      </c>
      <c r="H2638" s="12">
        <v>2.4578120077400301</v>
      </c>
      <c r="I2638" s="11">
        <v>0.26093350314551</v>
      </c>
      <c r="J2638" s="10">
        <v>0.79414378780213601</v>
      </c>
      <c r="K2638" s="29">
        <v>0.98289565623980701</v>
      </c>
    </row>
    <row r="2639" spans="1:11" x14ac:dyDescent="0.35">
      <c r="A2639" s="9" t="str">
        <f>HYPERLINK("http://www.ensembl.org/id/WBGene00046060", "WBGene00046060")</f>
        <v>WBGene00046060</v>
      </c>
      <c r="B2639" s="9"/>
      <c r="C2639" s="9"/>
      <c r="D2639" t="str">
        <f>"21ur-2661"</f>
        <v>21ur-2661</v>
      </c>
      <c r="F2639" t="s">
        <v>3161</v>
      </c>
      <c r="H2639" s="12">
        <v>2.4578120077400301</v>
      </c>
      <c r="I2639" s="11">
        <v>0.26093350314551</v>
      </c>
      <c r="J2639" s="10">
        <v>0.79414378780213601</v>
      </c>
      <c r="K2639" s="29">
        <v>0.98289565623980701</v>
      </c>
    </row>
    <row r="2640" spans="1:11" x14ac:dyDescent="0.35">
      <c r="A2640" s="9" t="str">
        <f>HYPERLINK("http://www.ensembl.org/id/WBGene00048764", "WBGene00048764")</f>
        <v>WBGene00048764</v>
      </c>
      <c r="B2640" s="9"/>
      <c r="C2640" s="9"/>
      <c r="D2640" t="str">
        <f>"21ur-2917"</f>
        <v>21ur-2917</v>
      </c>
      <c r="F2640" t="s">
        <v>3161</v>
      </c>
      <c r="H2640" s="12">
        <v>2.4578120077400301</v>
      </c>
      <c r="I2640" s="11">
        <v>0.26093350314551</v>
      </c>
      <c r="J2640" s="10">
        <v>0.79414378780213601</v>
      </c>
      <c r="K2640" s="29">
        <v>0.98289565623980701</v>
      </c>
    </row>
    <row r="2641" spans="1:11" x14ac:dyDescent="0.35">
      <c r="A2641" s="9" t="str">
        <f>HYPERLINK("http://www.ensembl.org/id/WBGene00050349", "WBGene00050349")</f>
        <v>WBGene00050349</v>
      </c>
      <c r="B2641" s="9"/>
      <c r="C2641" s="9"/>
      <c r="D2641" t="str">
        <f>"21ur-3024"</f>
        <v>21ur-3024</v>
      </c>
      <c r="F2641" t="s">
        <v>3161</v>
      </c>
      <c r="H2641" s="12">
        <v>2.4578120077400301</v>
      </c>
      <c r="I2641" s="11">
        <v>0.26093350314551</v>
      </c>
      <c r="J2641" s="10">
        <v>0.79414378780213601</v>
      </c>
      <c r="K2641" s="29">
        <v>0.98289565623980701</v>
      </c>
    </row>
    <row r="2642" spans="1:11" x14ac:dyDescent="0.35">
      <c r="A2642" s="9" t="str">
        <f>HYPERLINK("http://www.ensembl.org/id/WBGene00047094", "WBGene00047094")</f>
        <v>WBGene00047094</v>
      </c>
      <c r="B2642" s="9"/>
      <c r="C2642" s="9"/>
      <c r="D2642" t="str">
        <f>"21ur-3432"</f>
        <v>21ur-3432</v>
      </c>
      <c r="F2642" t="s">
        <v>3161</v>
      </c>
      <c r="H2642" s="12">
        <v>2.4578120077400301</v>
      </c>
      <c r="I2642" s="11">
        <v>0.26093350314551</v>
      </c>
      <c r="J2642" s="10">
        <v>0.79414378780213601</v>
      </c>
      <c r="K2642" s="29">
        <v>0.98289565623980701</v>
      </c>
    </row>
    <row r="2643" spans="1:11" x14ac:dyDescent="0.35">
      <c r="A2643" s="9" t="str">
        <f>HYPERLINK("http://www.ensembl.org/id/WBGene00050424", "WBGene00050424")</f>
        <v>WBGene00050424</v>
      </c>
      <c r="B2643" s="9"/>
      <c r="C2643" s="9"/>
      <c r="D2643" t="str">
        <f>"21ur-3901"</f>
        <v>21ur-3901</v>
      </c>
      <c r="F2643" t="s">
        <v>3161</v>
      </c>
      <c r="H2643" s="12">
        <v>2.4578120077400301</v>
      </c>
      <c r="I2643" s="11">
        <v>0.26093350314551</v>
      </c>
      <c r="J2643" s="10">
        <v>0.79414378780213601</v>
      </c>
      <c r="K2643" s="29">
        <v>0.98289565623980701</v>
      </c>
    </row>
    <row r="2644" spans="1:11" x14ac:dyDescent="0.35">
      <c r="A2644" s="9" t="str">
        <f>HYPERLINK("http://www.ensembl.org/id/WBGene00047060", "WBGene00047060")</f>
        <v>WBGene00047060</v>
      </c>
      <c r="B2644" s="9"/>
      <c r="C2644" s="9"/>
      <c r="D2644" t="str">
        <f>"21ur-4182"</f>
        <v>21ur-4182</v>
      </c>
      <c r="F2644" t="s">
        <v>3161</v>
      </c>
      <c r="H2644" s="12">
        <v>2.4578120077400301</v>
      </c>
      <c r="I2644" s="11">
        <v>0.26093350314551</v>
      </c>
      <c r="J2644" s="10">
        <v>0.79414378780213601</v>
      </c>
      <c r="K2644" s="29">
        <v>0.98289565623980701</v>
      </c>
    </row>
    <row r="2645" spans="1:11" x14ac:dyDescent="0.35">
      <c r="A2645" s="9" t="str">
        <f>HYPERLINK("http://www.ensembl.org/id/WBGene00046694", "WBGene00046694")</f>
        <v>WBGene00046694</v>
      </c>
      <c r="B2645" s="9"/>
      <c r="C2645" s="9"/>
      <c r="D2645" t="str">
        <f>"21ur-5138"</f>
        <v>21ur-5138</v>
      </c>
      <c r="F2645" t="s">
        <v>3161</v>
      </c>
      <c r="H2645" s="12">
        <v>2.4578120077400301</v>
      </c>
      <c r="I2645" s="11">
        <v>0.26093350314551</v>
      </c>
      <c r="J2645" s="10">
        <v>0.79414378780213601</v>
      </c>
      <c r="K2645" s="29">
        <v>0.98289565623980701</v>
      </c>
    </row>
    <row r="2646" spans="1:11" x14ac:dyDescent="0.35">
      <c r="A2646" s="9" t="str">
        <f>HYPERLINK("http://www.ensembl.org/id/WBGene00050009", "WBGene00050009")</f>
        <v>WBGene00050009</v>
      </c>
      <c r="B2646" s="9"/>
      <c r="C2646" s="9"/>
      <c r="D2646" t="str">
        <f>"21ur-5140"</f>
        <v>21ur-5140</v>
      </c>
      <c r="F2646" t="s">
        <v>3161</v>
      </c>
      <c r="H2646" s="12">
        <v>2.4578120077400301</v>
      </c>
      <c r="I2646" s="11">
        <v>0.26093350314551</v>
      </c>
      <c r="J2646" s="10">
        <v>0.79414378780213601</v>
      </c>
      <c r="K2646" s="29">
        <v>0.98289565623980701</v>
      </c>
    </row>
    <row r="2647" spans="1:11" x14ac:dyDescent="0.35">
      <c r="A2647" s="9" t="str">
        <f>HYPERLINK("http://www.ensembl.org/id/WBGene00050148", "WBGene00050148")</f>
        <v>WBGene00050148</v>
      </c>
      <c r="B2647" s="9"/>
      <c r="C2647" s="9"/>
      <c r="D2647" t="str">
        <f>"21ur-5321"</f>
        <v>21ur-5321</v>
      </c>
      <c r="F2647" t="s">
        <v>3161</v>
      </c>
      <c r="H2647" s="12">
        <v>2.4578120077400301</v>
      </c>
      <c r="I2647" s="11">
        <v>0.26093350314551</v>
      </c>
      <c r="J2647" s="10">
        <v>0.79414378780213601</v>
      </c>
      <c r="K2647" s="29">
        <v>0.98289565623980701</v>
      </c>
    </row>
    <row r="2648" spans="1:11" x14ac:dyDescent="0.35">
      <c r="A2648" s="9" t="str">
        <f>HYPERLINK("http://www.ensembl.org/id/WBGene00049071", "WBGene00049071")</f>
        <v>WBGene00049071</v>
      </c>
      <c r="B2648" s="9"/>
      <c r="C2648" s="9"/>
      <c r="D2648" t="str">
        <f>"21ur-5407"</f>
        <v>21ur-5407</v>
      </c>
      <c r="F2648" t="s">
        <v>3161</v>
      </c>
      <c r="H2648" s="12">
        <v>2.4578120077400301</v>
      </c>
      <c r="I2648" s="11">
        <v>0.26093350314551</v>
      </c>
      <c r="J2648" s="10">
        <v>0.79414378780213601</v>
      </c>
      <c r="K2648" s="29">
        <v>0.98289565623980701</v>
      </c>
    </row>
    <row r="2649" spans="1:11" x14ac:dyDescent="0.35">
      <c r="A2649" s="9" t="str">
        <f>HYPERLINK("http://www.ensembl.org/id/WBGene00172928", "WBGene00172928")</f>
        <v>WBGene00172928</v>
      </c>
      <c r="B2649" s="9"/>
      <c r="C2649" s="9"/>
      <c r="D2649" t="str">
        <f>"21ur-5939"</f>
        <v>21ur-5939</v>
      </c>
      <c r="F2649" t="s">
        <v>3161</v>
      </c>
      <c r="H2649" s="12">
        <v>2.4578120077400301</v>
      </c>
      <c r="I2649" s="11">
        <v>0.26093350314551</v>
      </c>
      <c r="J2649" s="10">
        <v>0.79414378780213601</v>
      </c>
      <c r="K2649" s="29">
        <v>0.98289565623980701</v>
      </c>
    </row>
    <row r="2650" spans="1:11" x14ac:dyDescent="0.35">
      <c r="A2650" s="9" t="str">
        <f>HYPERLINK("http://www.ensembl.org/id/WBGene00172749", "WBGene00172749")</f>
        <v>WBGene00172749</v>
      </c>
      <c r="B2650" s="9"/>
      <c r="C2650" s="9"/>
      <c r="D2650" t="str">
        <f>"21ur-6051"</f>
        <v>21ur-6051</v>
      </c>
      <c r="F2650" t="s">
        <v>3161</v>
      </c>
      <c r="H2650" s="12">
        <v>2.4578120077400301</v>
      </c>
      <c r="I2650" s="11">
        <v>0.26093350314551</v>
      </c>
      <c r="J2650" s="10">
        <v>0.79414378780213601</v>
      </c>
      <c r="K2650" s="29">
        <v>0.98289565623980701</v>
      </c>
    </row>
    <row r="2651" spans="1:11" x14ac:dyDescent="0.35">
      <c r="A2651" s="9" t="str">
        <f>HYPERLINK("http://www.ensembl.org/id/WBGene00165545", "WBGene00165545")</f>
        <v>WBGene00165545</v>
      </c>
      <c r="B2651" s="9"/>
      <c r="C2651" s="9"/>
      <c r="D2651" t="str">
        <f>"21ur-6087"</f>
        <v>21ur-6087</v>
      </c>
      <c r="F2651" t="s">
        <v>3161</v>
      </c>
      <c r="H2651" s="12">
        <v>2.4578120077400301</v>
      </c>
      <c r="I2651" s="11">
        <v>0.26093350314551</v>
      </c>
      <c r="J2651" s="10">
        <v>0.79414378780213601</v>
      </c>
      <c r="K2651" s="29">
        <v>0.98289565623980701</v>
      </c>
    </row>
    <row r="2652" spans="1:11" x14ac:dyDescent="0.35">
      <c r="A2652" s="9" t="str">
        <f>HYPERLINK("http://www.ensembl.org/id/WBGene00166716", "WBGene00166716")</f>
        <v>WBGene00166716</v>
      </c>
      <c r="B2652" s="9"/>
      <c r="C2652" s="9"/>
      <c r="D2652" t="str">
        <f>"21ur-6118"</f>
        <v>21ur-6118</v>
      </c>
      <c r="F2652" t="s">
        <v>3161</v>
      </c>
      <c r="H2652" s="12">
        <v>2.4578120077400301</v>
      </c>
      <c r="I2652" s="11">
        <v>0.26093350314551</v>
      </c>
      <c r="J2652" s="10">
        <v>0.79414378780213601</v>
      </c>
      <c r="K2652" s="29">
        <v>0.98289565623980701</v>
      </c>
    </row>
    <row r="2653" spans="1:11" x14ac:dyDescent="0.35">
      <c r="A2653" s="9" t="str">
        <f>HYPERLINK("http://www.ensembl.org/id/WBGene00169832", "WBGene00169832")</f>
        <v>WBGene00169832</v>
      </c>
      <c r="B2653" s="9"/>
      <c r="C2653" s="9"/>
      <c r="D2653" t="str">
        <f>"21ur-6290"</f>
        <v>21ur-6290</v>
      </c>
      <c r="F2653" t="s">
        <v>3161</v>
      </c>
      <c r="H2653" s="12">
        <v>2.4578120077400301</v>
      </c>
      <c r="I2653" s="11">
        <v>0.26093350314551</v>
      </c>
      <c r="J2653" s="10">
        <v>0.79414378780213601</v>
      </c>
      <c r="K2653" s="29">
        <v>0.98289565623980701</v>
      </c>
    </row>
    <row r="2654" spans="1:11" x14ac:dyDescent="0.35">
      <c r="A2654" s="9" t="str">
        <f>HYPERLINK("http://www.ensembl.org/id/WBGene00166886", "WBGene00166886")</f>
        <v>WBGene00166886</v>
      </c>
      <c r="B2654" s="9"/>
      <c r="C2654" s="9"/>
      <c r="D2654" t="str">
        <f>"21ur-6310"</f>
        <v>21ur-6310</v>
      </c>
      <c r="F2654" t="s">
        <v>3161</v>
      </c>
      <c r="H2654" s="12">
        <v>2.4578120077400301</v>
      </c>
      <c r="I2654" s="11">
        <v>0.26093350314551</v>
      </c>
      <c r="J2654" s="10">
        <v>0.79414378780213601</v>
      </c>
      <c r="K2654" s="29">
        <v>0.98289565623980701</v>
      </c>
    </row>
    <row r="2655" spans="1:11" x14ac:dyDescent="0.35">
      <c r="A2655" s="9" t="str">
        <f>HYPERLINK("http://www.ensembl.org/id/WBGene00174040", "WBGene00174040")</f>
        <v>WBGene00174040</v>
      </c>
      <c r="B2655" s="9"/>
      <c r="C2655" s="9"/>
      <c r="D2655" t="str">
        <f>"21ur-6448"</f>
        <v>21ur-6448</v>
      </c>
      <c r="F2655" t="s">
        <v>3161</v>
      </c>
      <c r="H2655" s="12">
        <v>2.4578120077400301</v>
      </c>
      <c r="I2655" s="11">
        <v>0.26093350314551</v>
      </c>
      <c r="J2655" s="10">
        <v>0.79414378780213601</v>
      </c>
      <c r="K2655" s="29">
        <v>0.98289565623980701</v>
      </c>
    </row>
    <row r="2656" spans="1:11" x14ac:dyDescent="0.35">
      <c r="A2656" s="9" t="str">
        <f>HYPERLINK("http://www.ensembl.org/id/WBGene00172358", "WBGene00172358")</f>
        <v>WBGene00172358</v>
      </c>
      <c r="B2656" s="9"/>
      <c r="C2656" s="9"/>
      <c r="D2656" t="str">
        <f>"21ur-6692"</f>
        <v>21ur-6692</v>
      </c>
      <c r="F2656" t="s">
        <v>3161</v>
      </c>
      <c r="H2656" s="12">
        <v>2.4578120077400301</v>
      </c>
      <c r="I2656" s="11">
        <v>0.26093350314551</v>
      </c>
      <c r="J2656" s="10">
        <v>0.79414378780213601</v>
      </c>
      <c r="K2656" s="29">
        <v>0.98289565623980701</v>
      </c>
    </row>
    <row r="2657" spans="1:11" x14ac:dyDescent="0.35">
      <c r="A2657" s="9" t="str">
        <f>HYPERLINK("http://www.ensembl.org/id/WBGene00046327", "WBGene00046327")</f>
        <v>WBGene00046327</v>
      </c>
      <c r="B2657" s="9"/>
      <c r="C2657" s="9"/>
      <c r="D2657" t="str">
        <f>"21ur-67"</f>
        <v>21ur-67</v>
      </c>
      <c r="F2657" t="s">
        <v>3161</v>
      </c>
      <c r="H2657" s="12">
        <v>2.4578120077400301</v>
      </c>
      <c r="I2657" s="11">
        <v>0.26093350314551</v>
      </c>
      <c r="J2657" s="10">
        <v>0.79414378780213601</v>
      </c>
      <c r="K2657" s="29">
        <v>0.98289565623980701</v>
      </c>
    </row>
    <row r="2658" spans="1:11" x14ac:dyDescent="0.35">
      <c r="A2658" s="9" t="str">
        <f>HYPERLINK("http://www.ensembl.org/id/WBGene00173438", "WBGene00173438")</f>
        <v>WBGene00173438</v>
      </c>
      <c r="B2658" s="9"/>
      <c r="C2658" s="9"/>
      <c r="D2658" t="str">
        <f>"21ur-7151"</f>
        <v>21ur-7151</v>
      </c>
      <c r="F2658" t="s">
        <v>3161</v>
      </c>
      <c r="H2658" s="12">
        <v>2.4578120077400301</v>
      </c>
      <c r="I2658" s="11">
        <v>0.26093350314551</v>
      </c>
      <c r="J2658" s="10">
        <v>0.79414378780213601</v>
      </c>
      <c r="K2658" s="29">
        <v>0.98289565623980701</v>
      </c>
    </row>
    <row r="2659" spans="1:11" x14ac:dyDescent="0.35">
      <c r="A2659" s="9" t="str">
        <f>HYPERLINK("http://www.ensembl.org/id/WBGene00170131", "WBGene00170131")</f>
        <v>WBGene00170131</v>
      </c>
      <c r="B2659" s="9"/>
      <c r="C2659" s="9"/>
      <c r="D2659" t="str">
        <f>"21ur-7585"</f>
        <v>21ur-7585</v>
      </c>
      <c r="F2659" t="s">
        <v>3161</v>
      </c>
      <c r="H2659" s="12">
        <v>2.4578120077400301</v>
      </c>
      <c r="I2659" s="11">
        <v>0.26093350314551</v>
      </c>
      <c r="J2659" s="10">
        <v>0.79414378780213601</v>
      </c>
      <c r="K2659" s="29">
        <v>0.98289565623980701</v>
      </c>
    </row>
    <row r="2660" spans="1:11" x14ac:dyDescent="0.35">
      <c r="A2660" s="9" t="str">
        <f>HYPERLINK("http://www.ensembl.org/id/WBGene00172250", "WBGene00172250")</f>
        <v>WBGene00172250</v>
      </c>
      <c r="B2660" s="9"/>
      <c r="C2660" s="9"/>
      <c r="D2660" t="str">
        <f>"21ur-7639"</f>
        <v>21ur-7639</v>
      </c>
      <c r="F2660" t="s">
        <v>3161</v>
      </c>
      <c r="H2660" s="12">
        <v>2.4578120077400301</v>
      </c>
      <c r="I2660" s="11">
        <v>0.26093350314551</v>
      </c>
      <c r="J2660" s="10">
        <v>0.79414378780213601</v>
      </c>
      <c r="K2660" s="29">
        <v>0.98289565623980701</v>
      </c>
    </row>
    <row r="2661" spans="1:11" x14ac:dyDescent="0.35">
      <c r="A2661" s="9" t="str">
        <f>HYPERLINK("http://www.ensembl.org/id/WBGene00174479", "WBGene00174479")</f>
        <v>WBGene00174479</v>
      </c>
      <c r="B2661" s="9"/>
      <c r="C2661" s="9"/>
      <c r="D2661" t="str">
        <f>"21ur-7913"</f>
        <v>21ur-7913</v>
      </c>
      <c r="F2661" t="s">
        <v>3161</v>
      </c>
      <c r="H2661" s="12">
        <v>2.4578120077400301</v>
      </c>
      <c r="I2661" s="11">
        <v>0.26093350314551</v>
      </c>
      <c r="J2661" s="10">
        <v>0.79414378780213601</v>
      </c>
      <c r="K2661" s="29">
        <v>0.98289565623980701</v>
      </c>
    </row>
    <row r="2662" spans="1:11" x14ac:dyDescent="0.35">
      <c r="A2662" s="9" t="str">
        <f>HYPERLINK("http://www.ensembl.org/id/WBGene00046836", "WBGene00046836")</f>
        <v>WBGene00046836</v>
      </c>
      <c r="B2662" s="9"/>
      <c r="C2662" s="9"/>
      <c r="D2662" t="str">
        <f>"21ur-794"</f>
        <v>21ur-794</v>
      </c>
      <c r="F2662" t="s">
        <v>3161</v>
      </c>
      <c r="H2662" s="12">
        <v>2.4578120077400301</v>
      </c>
      <c r="I2662" s="11">
        <v>0.26093350314551</v>
      </c>
      <c r="J2662" s="10">
        <v>0.79414378780213601</v>
      </c>
      <c r="K2662" s="29">
        <v>0.98289565623980701</v>
      </c>
    </row>
    <row r="2663" spans="1:11" x14ac:dyDescent="0.35">
      <c r="A2663" s="9" t="str">
        <f>HYPERLINK("http://www.ensembl.org/id/WBGene00048337", "WBGene00048337")</f>
        <v>WBGene00048337</v>
      </c>
      <c r="B2663" s="9"/>
      <c r="C2663" s="9"/>
      <c r="D2663" t="str">
        <f>"21ur-852"</f>
        <v>21ur-852</v>
      </c>
      <c r="F2663" t="s">
        <v>3161</v>
      </c>
      <c r="H2663" s="12">
        <v>2.4578120077400301</v>
      </c>
      <c r="I2663" s="11">
        <v>0.26093350314551</v>
      </c>
      <c r="J2663" s="10">
        <v>0.79414378780213601</v>
      </c>
      <c r="K2663" s="29">
        <v>0.98289565623980701</v>
      </c>
    </row>
    <row r="2664" spans="1:11" x14ac:dyDescent="0.35">
      <c r="A2664" s="9" t="str">
        <f>HYPERLINK("http://www.ensembl.org/id/WBGene00169555", "WBGene00169555")</f>
        <v>WBGene00169555</v>
      </c>
      <c r="B2664" s="9"/>
      <c r="C2664" s="9"/>
      <c r="D2664" t="str">
        <f>"21ur-9114"</f>
        <v>21ur-9114</v>
      </c>
      <c r="F2664" t="s">
        <v>3161</v>
      </c>
      <c r="H2664" s="12">
        <v>2.4578120077400301</v>
      </c>
      <c r="I2664" s="11">
        <v>0.26093350314551</v>
      </c>
      <c r="J2664" s="10">
        <v>0.79414378780213601</v>
      </c>
      <c r="K2664" s="29">
        <v>0.98289565623980701</v>
      </c>
    </row>
    <row r="2665" spans="1:11" x14ac:dyDescent="0.35">
      <c r="A2665" s="9" t="str">
        <f>HYPERLINK("http://www.ensembl.org/id/WBGene00167260", "WBGene00167260")</f>
        <v>WBGene00167260</v>
      </c>
      <c r="B2665" s="9"/>
      <c r="C2665" s="9"/>
      <c r="D2665" t="str">
        <f>"21ur-9145"</f>
        <v>21ur-9145</v>
      </c>
      <c r="F2665" t="s">
        <v>3161</v>
      </c>
      <c r="H2665" s="12">
        <v>2.4578120077400301</v>
      </c>
      <c r="I2665" s="11">
        <v>0.26093350314551</v>
      </c>
      <c r="J2665" s="10">
        <v>0.79414378780213601</v>
      </c>
      <c r="K2665" s="29">
        <v>0.98289565623980701</v>
      </c>
    </row>
    <row r="2666" spans="1:11" x14ac:dyDescent="0.35">
      <c r="A2666" s="9" t="str">
        <f>HYPERLINK("http://www.ensembl.org/id/WBGene00167601", "WBGene00167601")</f>
        <v>WBGene00167601</v>
      </c>
      <c r="B2666" s="9"/>
      <c r="C2666" s="9"/>
      <c r="D2666" t="str">
        <f>"21ur-9375"</f>
        <v>21ur-9375</v>
      </c>
      <c r="F2666" t="s">
        <v>3161</v>
      </c>
      <c r="H2666" s="12">
        <v>2.4578120077400301</v>
      </c>
      <c r="I2666" s="11">
        <v>0.26093350314551</v>
      </c>
      <c r="J2666" s="10">
        <v>0.79414378780213601</v>
      </c>
      <c r="K2666" s="29">
        <v>0.98289565623980701</v>
      </c>
    </row>
    <row r="2667" spans="1:11" x14ac:dyDescent="0.35">
      <c r="A2667" s="9" t="str">
        <f>HYPERLINK("http://www.ensembl.org/id/WBGene00168622", "WBGene00168622")</f>
        <v>WBGene00168622</v>
      </c>
      <c r="B2667" s="9"/>
      <c r="C2667" s="9"/>
      <c r="D2667" t="str">
        <f>"21ur-9485"</f>
        <v>21ur-9485</v>
      </c>
      <c r="F2667" t="s">
        <v>3161</v>
      </c>
      <c r="H2667" s="12">
        <v>2.4578120077400301</v>
      </c>
      <c r="I2667" s="11">
        <v>0.26093350314551</v>
      </c>
      <c r="J2667" s="10">
        <v>0.79414378780213601</v>
      </c>
      <c r="K2667" s="29">
        <v>0.98289565623980701</v>
      </c>
    </row>
    <row r="2668" spans="1:11" x14ac:dyDescent="0.35">
      <c r="A2668" s="9" t="str">
        <f>HYPERLINK("http://www.ensembl.org/id/WBGene00047606", "WBGene00047606")</f>
        <v>WBGene00047606</v>
      </c>
      <c r="B2668" s="9"/>
      <c r="C2668" s="9"/>
      <c r="D2668" t="str">
        <f>"21ur-956"</f>
        <v>21ur-956</v>
      </c>
      <c r="F2668" t="s">
        <v>3161</v>
      </c>
      <c r="H2668" s="12">
        <v>2.4578120077400301</v>
      </c>
      <c r="I2668" s="11">
        <v>0.26093350314551</v>
      </c>
      <c r="J2668" s="10">
        <v>0.79414378780213601</v>
      </c>
      <c r="K2668" s="29">
        <v>0.98289565623980701</v>
      </c>
    </row>
    <row r="2669" spans="1:11" x14ac:dyDescent="0.35">
      <c r="A2669" s="9" t="str">
        <f>HYPERLINK("http://www.ensembl.org/id/WBGene00172377", "WBGene00172377")</f>
        <v>WBGene00172377</v>
      </c>
      <c r="B2669" s="9"/>
      <c r="C2669" s="9"/>
      <c r="D2669" t="str">
        <f>"21ur-9685"</f>
        <v>21ur-9685</v>
      </c>
      <c r="F2669" t="s">
        <v>3161</v>
      </c>
      <c r="H2669" s="12">
        <v>2.4578120077400301</v>
      </c>
      <c r="I2669" s="11">
        <v>0.26093350314551</v>
      </c>
      <c r="J2669" s="10">
        <v>0.79414378780213601</v>
      </c>
      <c r="K2669" s="29">
        <v>0.98289565623980701</v>
      </c>
    </row>
    <row r="2670" spans="1:11" x14ac:dyDescent="0.35">
      <c r="A2670" s="9" t="str">
        <f>HYPERLINK("http://www.ensembl.org/id/WBGene00167794", "WBGene00167794")</f>
        <v>WBGene00167794</v>
      </c>
      <c r="B2670" s="9"/>
      <c r="C2670" s="9"/>
      <c r="D2670" t="str">
        <f>"21ur-9878"</f>
        <v>21ur-9878</v>
      </c>
      <c r="F2670" t="s">
        <v>3161</v>
      </c>
      <c r="H2670" s="12">
        <v>2.4578120077400301</v>
      </c>
      <c r="I2670" s="11">
        <v>0.26093350314551</v>
      </c>
      <c r="J2670" s="10">
        <v>0.79414378780213601</v>
      </c>
      <c r="K2670" s="29">
        <v>0.98289565623980701</v>
      </c>
    </row>
    <row r="2671" spans="1:11" x14ac:dyDescent="0.35">
      <c r="A2671" s="9" t="str">
        <f>HYPERLINK("http://www.ensembl.org/id/WBGene00011174", "WBGene00011174")</f>
        <v>WBGene00011174</v>
      </c>
      <c r="B2671" s="9"/>
      <c r="C2671" s="9"/>
      <c r="D2671" t="str">
        <f>"acs-23"</f>
        <v>acs-23</v>
      </c>
      <c r="F2671" t="s">
        <v>80</v>
      </c>
      <c r="H2671" s="12">
        <v>2.4578120077400301</v>
      </c>
      <c r="I2671" s="11">
        <v>0.26093350314551</v>
      </c>
      <c r="J2671" s="10">
        <v>0.79414378780213601</v>
      </c>
      <c r="K2671" s="29">
        <v>0.98289565623980701</v>
      </c>
    </row>
    <row r="2672" spans="1:11" x14ac:dyDescent="0.35">
      <c r="A2672" s="9" t="str">
        <f>HYPERLINK("http://www.ensembl.org/id/WBGene00198865", "WBGene00198865")</f>
        <v>WBGene00198865</v>
      </c>
      <c r="B2672" s="9"/>
      <c r="C2672" s="9"/>
      <c r="D2672" t="str">
        <f>"B0198.7"</f>
        <v>B0198.7</v>
      </c>
      <c r="F2672" t="s">
        <v>481</v>
      </c>
      <c r="H2672" s="12">
        <v>2.4578120077400301</v>
      </c>
      <c r="I2672" s="11">
        <v>0.26093350314551</v>
      </c>
      <c r="J2672" s="10">
        <v>0.79414378780213601</v>
      </c>
      <c r="K2672" s="29">
        <v>0.98289565623980701</v>
      </c>
    </row>
    <row r="2673" spans="1:12" x14ac:dyDescent="0.35">
      <c r="A2673" s="9" t="str">
        <f>HYPERLINK("http://www.ensembl.org/id/WBGene00219782", "WBGene00219782")</f>
        <v>WBGene00219782</v>
      </c>
      <c r="B2673" s="9"/>
      <c r="C2673" s="9"/>
      <c r="D2673" t="str">
        <f>"B0250.19"</f>
        <v>B0250.19</v>
      </c>
      <c r="F2673" t="s">
        <v>2977</v>
      </c>
      <c r="H2673" s="12">
        <v>2.4578120077400301</v>
      </c>
      <c r="I2673" s="11">
        <v>0.26093350314551</v>
      </c>
      <c r="J2673" s="10">
        <v>0.79414378780213601</v>
      </c>
      <c r="K2673" s="29">
        <v>0.98289565623980701</v>
      </c>
    </row>
    <row r="2674" spans="1:12" x14ac:dyDescent="0.35">
      <c r="A2674" s="9" t="str">
        <f>HYPERLINK("http://www.ensembl.org/id/WBGene00015108", "WBGene00015108")</f>
        <v>WBGene00015108</v>
      </c>
      <c r="B2674" s="9" t="str">
        <f>HYPERLINK("http://www.ncbi.nlm.nih.gov/gene/181895", "181895")</f>
        <v>181895</v>
      </c>
      <c r="C2674" s="9"/>
      <c r="D2674" t="str">
        <f>"B0281.1"</f>
        <v>B0281.1</v>
      </c>
      <c r="F2674" t="s">
        <v>11</v>
      </c>
      <c r="H2674" s="12">
        <v>2.4578120077400301</v>
      </c>
      <c r="I2674" s="11">
        <v>0.26093350314551</v>
      </c>
      <c r="J2674" s="10">
        <v>0.79414378780213601</v>
      </c>
      <c r="K2674" s="29">
        <v>0.98289565623980701</v>
      </c>
    </row>
    <row r="2675" spans="1:12" x14ac:dyDescent="0.35">
      <c r="A2675" s="9" t="str">
        <f>HYPERLINK("http://www.ensembl.org/id/WBGene00199788", "WBGene00199788")</f>
        <v>WBGene00199788</v>
      </c>
      <c r="B2675" s="9"/>
      <c r="C2675" s="9"/>
      <c r="D2675" t="str">
        <f>"B0395.8"</f>
        <v>B0395.8</v>
      </c>
      <c r="F2675" t="s">
        <v>481</v>
      </c>
      <c r="H2675" s="12">
        <v>2.4578120077400301</v>
      </c>
      <c r="I2675" s="11">
        <v>0.26093350314551</v>
      </c>
      <c r="J2675" s="10">
        <v>0.79414378780213601</v>
      </c>
      <c r="K2675" s="29">
        <v>0.98289565623980701</v>
      </c>
    </row>
    <row r="2676" spans="1:12" x14ac:dyDescent="0.35">
      <c r="A2676" s="9" t="str">
        <f>HYPERLINK("http://www.ensembl.org/id/WBGene00199885", "WBGene00199885")</f>
        <v>WBGene00199885</v>
      </c>
      <c r="B2676" s="9"/>
      <c r="C2676" s="9"/>
      <c r="D2676" t="str">
        <f>"B0457.14"</f>
        <v>B0457.14</v>
      </c>
      <c r="F2676" t="s">
        <v>481</v>
      </c>
      <c r="H2676" s="12">
        <v>2.4578120077400301</v>
      </c>
      <c r="I2676" s="11">
        <v>0.26093350314551</v>
      </c>
      <c r="J2676" s="10">
        <v>0.79414378780213601</v>
      </c>
      <c r="K2676" s="29">
        <v>0.98289565623980701</v>
      </c>
    </row>
    <row r="2677" spans="1:12" x14ac:dyDescent="0.35">
      <c r="A2677" s="9" t="str">
        <f>HYPERLINK("http://www.ensembl.org/id/WBGene00199462", "WBGene00199462")</f>
        <v>WBGene00199462</v>
      </c>
      <c r="B2677" s="9"/>
      <c r="C2677" s="9"/>
      <c r="D2677" t="str">
        <f>"B0495.20"</f>
        <v>B0495.20</v>
      </c>
      <c r="F2677" t="s">
        <v>481</v>
      </c>
      <c r="H2677" s="12">
        <v>2.4578120077400301</v>
      </c>
      <c r="I2677" s="11">
        <v>0.26093350314551</v>
      </c>
      <c r="J2677" s="10">
        <v>0.79414378780213601</v>
      </c>
      <c r="K2677" s="29">
        <v>0.98289565623980701</v>
      </c>
    </row>
    <row r="2678" spans="1:12" x14ac:dyDescent="0.35">
      <c r="A2678" s="9" t="str">
        <f>HYPERLINK("http://www.ensembl.org/id/WBGene00199083", "WBGene00199083")</f>
        <v>WBGene00199083</v>
      </c>
      <c r="B2678" s="9"/>
      <c r="C2678" s="9"/>
      <c r="D2678" t="str">
        <f>"B0496.16"</f>
        <v>B0496.16</v>
      </c>
      <c r="F2678" t="s">
        <v>481</v>
      </c>
      <c r="H2678" s="12">
        <v>2.4578120077400301</v>
      </c>
      <c r="I2678" s="11">
        <v>0.26093350314551</v>
      </c>
      <c r="J2678" s="10">
        <v>0.79414378780213601</v>
      </c>
      <c r="K2678" s="29">
        <v>0.98289565623980701</v>
      </c>
    </row>
    <row r="2679" spans="1:12" x14ac:dyDescent="0.35">
      <c r="A2679" s="9" t="str">
        <f>HYPERLINK("http://www.ensembl.org/id/WBGene00008290", "WBGene00008290")</f>
        <v>WBGene00008290</v>
      </c>
      <c r="B2679" s="9" t="str">
        <f>HYPERLINK("http://www.ncbi.nlm.nih.gov/gene/183769", "183769")</f>
        <v>183769</v>
      </c>
      <c r="C2679" s="9"/>
      <c r="D2679" t="str">
        <f>"bgnt-1.8"</f>
        <v>bgnt-1.8</v>
      </c>
      <c r="E2679" t="s">
        <v>4228</v>
      </c>
      <c r="F2679" t="s">
        <v>11</v>
      </c>
      <c r="G2679" t="s">
        <v>4270</v>
      </c>
      <c r="H2679" s="12">
        <v>2.4578120077400301</v>
      </c>
      <c r="I2679" s="11">
        <v>0.26093350314551</v>
      </c>
      <c r="J2679" s="10">
        <v>0.79414378780213601</v>
      </c>
      <c r="K2679" s="29">
        <v>0.98289565623980701</v>
      </c>
    </row>
    <row r="2680" spans="1:12" x14ac:dyDescent="0.35">
      <c r="A2680" s="9" t="str">
        <f>HYPERLINK("http://www.ensembl.org/id/WBGene00198695", "WBGene00198695")</f>
        <v>WBGene00198695</v>
      </c>
      <c r="B2680" s="9"/>
      <c r="C2680" s="9"/>
      <c r="D2680" t="str">
        <f>"C01C4.4"</f>
        <v>C01C4.4</v>
      </c>
      <c r="F2680" t="s">
        <v>481</v>
      </c>
      <c r="H2680" s="12">
        <v>2.4578120077400301</v>
      </c>
      <c r="I2680" s="11">
        <v>0.26093350314551</v>
      </c>
      <c r="J2680" s="10">
        <v>0.79414378780213601</v>
      </c>
      <c r="K2680" s="29">
        <v>0.98289565623980701</v>
      </c>
    </row>
    <row r="2681" spans="1:12" x14ac:dyDescent="0.35">
      <c r="A2681" s="9" t="str">
        <f>HYPERLINK("http://www.ensembl.org/id/WBGene00199038", "WBGene00199038")</f>
        <v>WBGene00199038</v>
      </c>
      <c r="B2681" s="9"/>
      <c r="C2681" s="9"/>
      <c r="D2681" t="str">
        <f>"C02D4.9"</f>
        <v>C02D4.9</v>
      </c>
      <c r="F2681" t="s">
        <v>481</v>
      </c>
      <c r="H2681" s="12">
        <v>2.4578120077400301</v>
      </c>
      <c r="I2681" s="11">
        <v>0.26093350314551</v>
      </c>
      <c r="J2681" s="10">
        <v>0.79414378780213601</v>
      </c>
      <c r="K2681" s="29">
        <v>0.98289565623980701</v>
      </c>
    </row>
    <row r="2682" spans="1:12" x14ac:dyDescent="0.35">
      <c r="A2682" s="9" t="str">
        <f>HYPERLINK("http://www.ensembl.org/id/WBGene00015379", "WBGene00015379")</f>
        <v>WBGene00015379</v>
      </c>
      <c r="B2682" s="9" t="str">
        <f>HYPERLINK("http://www.ncbi.nlm.nih.gov/gene/182150", "182150")</f>
        <v>182150</v>
      </c>
      <c r="C2682" s="9"/>
      <c r="D2682" t="str">
        <f>"C03B1.9"</f>
        <v>C03B1.9</v>
      </c>
      <c r="F2682" t="s">
        <v>11</v>
      </c>
      <c r="H2682" s="12">
        <v>2.4578120077400301</v>
      </c>
      <c r="I2682" s="11">
        <v>0.26093350314551</v>
      </c>
      <c r="J2682" s="10">
        <v>0.79414378780213601</v>
      </c>
      <c r="K2682" s="29">
        <v>0.98289565623980701</v>
      </c>
    </row>
    <row r="2683" spans="1:12" x14ac:dyDescent="0.35">
      <c r="A2683" s="9" t="str">
        <f>HYPERLINK("http://www.ensembl.org/id/WBGene00198645", "WBGene00198645")</f>
        <v>WBGene00198645</v>
      </c>
      <c r="B2683" s="9"/>
      <c r="C2683" s="9"/>
      <c r="D2683" t="str">
        <f>"C04C11.13"</f>
        <v>C04C11.13</v>
      </c>
      <c r="F2683" t="s">
        <v>481</v>
      </c>
      <c r="H2683" s="12">
        <v>2.4578120077400301</v>
      </c>
      <c r="I2683" s="11">
        <v>0.26093350314551</v>
      </c>
      <c r="J2683" s="10">
        <v>0.79414378780213601</v>
      </c>
      <c r="K2683" s="29">
        <v>0.98289565623980701</v>
      </c>
    </row>
    <row r="2684" spans="1:12" x14ac:dyDescent="0.35">
      <c r="A2684" s="9" t="str">
        <f>HYPERLINK("http://www.ensembl.org/id/WBGene00045242", "WBGene00045242")</f>
        <v>WBGene00045242</v>
      </c>
      <c r="B2684" s="9" t="str">
        <f>HYPERLINK("http://www.ncbi.nlm.nih.gov/gene/6418646", "6418646")</f>
        <v>6418646</v>
      </c>
      <c r="C2684" s="9"/>
      <c r="D2684" t="str">
        <f>"C05B5.11"</f>
        <v>C05B5.11</v>
      </c>
      <c r="F2684" t="s">
        <v>11</v>
      </c>
      <c r="H2684" s="12">
        <v>2.4578120077400301</v>
      </c>
      <c r="I2684" s="11">
        <v>0.26093350314551</v>
      </c>
      <c r="J2684" s="10">
        <v>0.79414378780213601</v>
      </c>
      <c r="K2684" s="29">
        <v>0.98289565623980701</v>
      </c>
    </row>
    <row r="2685" spans="1:12" x14ac:dyDescent="0.35">
      <c r="A2685" s="9" t="str">
        <f>HYPERLINK("http://www.ensembl.org/id/WBGene00197666", "WBGene00197666")</f>
        <v>WBGene00197666</v>
      </c>
      <c r="B2685" s="9"/>
      <c r="C2685" s="9"/>
      <c r="D2685" t="str">
        <f>"C05D2.15"</f>
        <v>C05D2.15</v>
      </c>
      <c r="F2685" t="s">
        <v>2977</v>
      </c>
      <c r="H2685" s="12">
        <v>2.4578120077400301</v>
      </c>
      <c r="I2685" s="11">
        <v>0.26093350314551</v>
      </c>
      <c r="J2685" s="10">
        <v>0.79414378780213601</v>
      </c>
      <c r="K2685" s="29">
        <v>0.98289565623980701</v>
      </c>
    </row>
    <row r="2686" spans="1:12" x14ac:dyDescent="0.35">
      <c r="A2686" s="15" t="str">
        <f>HYPERLINK("http://www.ensembl.org/id/WBGene00198115", "WBGene00198115")</f>
        <v>WBGene00198115</v>
      </c>
      <c r="B2686" s="15"/>
      <c r="C2686" s="15"/>
      <c r="D2686" s="16" t="str">
        <f>"C06A1.11"</f>
        <v>C06A1.11</v>
      </c>
      <c r="E2686" s="16"/>
      <c r="F2686" s="16" t="s">
        <v>481</v>
      </c>
      <c r="G2686" s="16"/>
      <c r="H2686" s="19">
        <v>2.4578120077400301</v>
      </c>
      <c r="I2686" s="18">
        <v>0.26093350314551</v>
      </c>
      <c r="J2686" s="17">
        <v>0.79414378780213601</v>
      </c>
      <c r="K2686" s="32">
        <v>0.98289565623980701</v>
      </c>
      <c r="L2686" s="14"/>
    </row>
    <row r="2687" spans="1:12" x14ac:dyDescent="0.35">
      <c r="A2687" s="9" t="str">
        <f>HYPERLINK("http://www.ensembl.org/id/WBGene00196795", "WBGene00196795")</f>
        <v>WBGene00196795</v>
      </c>
      <c r="B2687" s="9"/>
      <c r="C2687" s="9"/>
      <c r="D2687" t="str">
        <f>"C06E7.89"</f>
        <v>C06E7.89</v>
      </c>
      <c r="F2687" t="s">
        <v>481</v>
      </c>
      <c r="H2687" s="12">
        <v>2.4578120077400301</v>
      </c>
      <c r="I2687" s="11">
        <v>0.26093350314551</v>
      </c>
      <c r="J2687" s="10">
        <v>0.79414378780213601</v>
      </c>
      <c r="K2687" s="29">
        <v>0.98289565623980701</v>
      </c>
    </row>
    <row r="2688" spans="1:12" x14ac:dyDescent="0.35">
      <c r="A2688" s="9" t="str">
        <f>HYPERLINK("http://www.ensembl.org/id/WBGene00200273", "WBGene00200273")</f>
        <v>WBGene00200273</v>
      </c>
      <c r="B2688" s="9"/>
      <c r="C2688" s="9"/>
      <c r="D2688" t="str">
        <f>"C07E3.15"</f>
        <v>C07E3.15</v>
      </c>
      <c r="F2688" t="s">
        <v>481</v>
      </c>
      <c r="H2688" s="12">
        <v>2.4578120077400301</v>
      </c>
      <c r="I2688" s="11">
        <v>0.26093350314551</v>
      </c>
      <c r="J2688" s="10">
        <v>0.79414378780213601</v>
      </c>
      <c r="K2688" s="29">
        <v>0.98289565623980701</v>
      </c>
    </row>
    <row r="2689" spans="1:11" x14ac:dyDescent="0.35">
      <c r="A2689" s="9" t="str">
        <f>HYPERLINK("http://www.ensembl.org/id/WBGene00007468", "WBGene00007468")</f>
        <v>WBGene00007468</v>
      </c>
      <c r="B2689" s="9"/>
      <c r="C2689" s="9"/>
      <c r="D2689" t="str">
        <f>"C08H9.8"</f>
        <v>C08H9.8</v>
      </c>
      <c r="F2689" t="s">
        <v>80</v>
      </c>
      <c r="H2689" s="12">
        <v>2.4578120077400301</v>
      </c>
      <c r="I2689" s="11">
        <v>0.26093350314551</v>
      </c>
      <c r="J2689" s="10">
        <v>0.79414378780213601</v>
      </c>
      <c r="K2689" s="29">
        <v>0.98289565623980701</v>
      </c>
    </row>
    <row r="2690" spans="1:11" x14ac:dyDescent="0.35">
      <c r="A2690" s="9" t="str">
        <f>HYPERLINK("http://www.ensembl.org/id/WBGene00013948", "WBGene00013948")</f>
        <v>WBGene00013948</v>
      </c>
      <c r="B2690" s="9"/>
      <c r="C2690" s="9"/>
      <c r="D2690" t="str">
        <f>"C13B4.t1"</f>
        <v>C13B4.t1</v>
      </c>
      <c r="F2690" t="s">
        <v>4208</v>
      </c>
      <c r="H2690" s="12">
        <v>2.4578120077400301</v>
      </c>
      <c r="I2690" s="11">
        <v>0.26093350314551</v>
      </c>
      <c r="J2690" s="10">
        <v>0.79414378780213601</v>
      </c>
      <c r="K2690" s="29">
        <v>0.98289565623980701</v>
      </c>
    </row>
    <row r="2691" spans="1:11" x14ac:dyDescent="0.35">
      <c r="A2691" s="9" t="str">
        <f>HYPERLINK("http://www.ensembl.org/id/WBGene00197061", "WBGene00197061")</f>
        <v>WBGene00197061</v>
      </c>
      <c r="B2691" s="9"/>
      <c r="C2691" s="9"/>
      <c r="D2691" t="str">
        <f>"C14F11.12"</f>
        <v>C14F11.12</v>
      </c>
      <c r="F2691" t="s">
        <v>481</v>
      </c>
      <c r="H2691" s="12">
        <v>2.4578120077400301</v>
      </c>
      <c r="I2691" s="11">
        <v>0.26093350314551</v>
      </c>
      <c r="J2691" s="10">
        <v>0.79414378780213601</v>
      </c>
      <c r="K2691" s="29">
        <v>0.98289565623980701</v>
      </c>
    </row>
    <row r="2692" spans="1:11" x14ac:dyDescent="0.35">
      <c r="A2692" s="9" t="str">
        <f>HYPERLINK("http://www.ensembl.org/id/WBGene00200702", "WBGene00200702")</f>
        <v>WBGene00200702</v>
      </c>
      <c r="B2692" s="9"/>
      <c r="C2692" s="9"/>
      <c r="D2692" t="str">
        <f>"C16A3.15"</f>
        <v>C16A3.15</v>
      </c>
      <c r="F2692" t="s">
        <v>481</v>
      </c>
      <c r="H2692" s="12">
        <v>2.4578120077400301</v>
      </c>
      <c r="I2692" s="11">
        <v>0.26093350314551</v>
      </c>
      <c r="J2692" s="10">
        <v>0.79414378780213601</v>
      </c>
      <c r="K2692" s="29">
        <v>0.98289565623980701</v>
      </c>
    </row>
    <row r="2693" spans="1:11" x14ac:dyDescent="0.35">
      <c r="A2693" s="9" t="str">
        <f>HYPERLINK("http://www.ensembl.org/id/WBGene00022928", "WBGene00022928")</f>
        <v>WBGene00022928</v>
      </c>
      <c r="B2693" s="9"/>
      <c r="C2693" s="9"/>
      <c r="D2693" t="str">
        <f>"C16B8.t2"</f>
        <v>C16B8.t2</v>
      </c>
      <c r="F2693" t="s">
        <v>4208</v>
      </c>
      <c r="H2693" s="12">
        <v>2.4578120077400301</v>
      </c>
      <c r="I2693" s="11">
        <v>0.26093350314551</v>
      </c>
      <c r="J2693" s="10">
        <v>0.79414378780213601</v>
      </c>
      <c r="K2693" s="29">
        <v>0.98289565623980701</v>
      </c>
    </row>
    <row r="2694" spans="1:11" x14ac:dyDescent="0.35">
      <c r="A2694" s="9" t="str">
        <f>HYPERLINK("http://www.ensembl.org/id/WBGene00199734", "WBGene00199734")</f>
        <v>WBGene00199734</v>
      </c>
      <c r="B2694" s="9"/>
      <c r="C2694" s="9"/>
      <c r="D2694" t="str">
        <f>"C16C2.7"</f>
        <v>C16C2.7</v>
      </c>
      <c r="F2694" t="s">
        <v>481</v>
      </c>
      <c r="H2694" s="12">
        <v>2.4578120077400301</v>
      </c>
      <c r="I2694" s="11">
        <v>0.26093350314551</v>
      </c>
      <c r="J2694" s="10">
        <v>0.79414378780213601</v>
      </c>
      <c r="K2694" s="29">
        <v>0.98289565623980701</v>
      </c>
    </row>
    <row r="2695" spans="1:11" x14ac:dyDescent="0.35">
      <c r="A2695" s="9" t="str">
        <f>HYPERLINK("http://www.ensembl.org/id/WBGene00198272", "WBGene00198272")</f>
        <v>WBGene00198272</v>
      </c>
      <c r="B2695" s="9"/>
      <c r="C2695" s="9"/>
      <c r="D2695" t="str">
        <f>"C16E9.17"</f>
        <v>C16E9.17</v>
      </c>
      <c r="F2695" t="s">
        <v>481</v>
      </c>
      <c r="H2695" s="12">
        <v>2.4578120077400301</v>
      </c>
      <c r="I2695" s="11">
        <v>0.26093350314551</v>
      </c>
      <c r="J2695" s="10">
        <v>0.79414378780213601</v>
      </c>
      <c r="K2695" s="29">
        <v>0.98289565623980701</v>
      </c>
    </row>
    <row r="2696" spans="1:11" x14ac:dyDescent="0.35">
      <c r="A2696" s="9" t="str">
        <f>HYPERLINK("http://www.ensembl.org/id/WBGene00194898", "WBGene00194898")</f>
        <v>WBGene00194898</v>
      </c>
      <c r="B2696" s="9" t="str">
        <f>HYPERLINK("http://www.ncbi.nlm.nih.gov/gene/13212243", "13212243")</f>
        <v>13212243</v>
      </c>
      <c r="C2696" s="9"/>
      <c r="D2696" t="str">
        <f>"C17B7.14"</f>
        <v>C17B7.14</v>
      </c>
      <c r="F2696" t="s">
        <v>11</v>
      </c>
      <c r="H2696" s="12">
        <v>2.4578120077400301</v>
      </c>
      <c r="I2696" s="11">
        <v>0.26093350314551</v>
      </c>
      <c r="J2696" s="10">
        <v>0.79414378780213601</v>
      </c>
      <c r="K2696" s="29">
        <v>0.98289565623980701</v>
      </c>
    </row>
    <row r="2697" spans="1:11" x14ac:dyDescent="0.35">
      <c r="A2697" s="9" t="str">
        <f>HYPERLINK("http://www.ensembl.org/id/WBGene00201175", "WBGene00201175")</f>
        <v>WBGene00201175</v>
      </c>
      <c r="B2697" s="9"/>
      <c r="C2697" s="9"/>
      <c r="D2697" t="str">
        <f>"C18A11.13"</f>
        <v>C18A11.13</v>
      </c>
      <c r="F2697" t="s">
        <v>481</v>
      </c>
      <c r="H2697" s="12">
        <v>2.4578120077400301</v>
      </c>
      <c r="I2697" s="11">
        <v>0.26093350314551</v>
      </c>
      <c r="J2697" s="10">
        <v>0.79414378780213601</v>
      </c>
      <c r="K2697" s="29">
        <v>0.98289565623980701</v>
      </c>
    </row>
    <row r="2698" spans="1:11" x14ac:dyDescent="0.35">
      <c r="A2698" s="9" t="str">
        <f>HYPERLINK("http://www.ensembl.org/id/WBGene00197102", "WBGene00197102")</f>
        <v>WBGene00197102</v>
      </c>
      <c r="B2698" s="9"/>
      <c r="C2698" s="9"/>
      <c r="D2698" t="str">
        <f>"C18A3.18"</f>
        <v>C18A3.18</v>
      </c>
      <c r="F2698" t="s">
        <v>481</v>
      </c>
      <c r="H2698" s="12">
        <v>2.4578120077400301</v>
      </c>
      <c r="I2698" s="11">
        <v>0.26093350314551</v>
      </c>
      <c r="J2698" s="10">
        <v>0.79414378780213601</v>
      </c>
      <c r="K2698" s="29">
        <v>0.98289565623980701</v>
      </c>
    </row>
    <row r="2699" spans="1:11" x14ac:dyDescent="0.35">
      <c r="A2699" s="9" t="str">
        <f>HYPERLINK("http://www.ensembl.org/id/WBGene00015979", "WBGene00015979")</f>
        <v>WBGene00015979</v>
      </c>
      <c r="B2699" s="9" t="str">
        <f>HYPERLINK("http://www.ncbi.nlm.nih.gov/gene/266894", "266894")</f>
        <v>266894</v>
      </c>
      <c r="C2699" s="9"/>
      <c r="D2699" t="str">
        <f>"C18F10.9"</f>
        <v>C18F10.9</v>
      </c>
      <c r="E2699" t="s">
        <v>899</v>
      </c>
      <c r="F2699" t="s">
        <v>11</v>
      </c>
      <c r="H2699" s="12">
        <v>2.4578120077400301</v>
      </c>
      <c r="I2699" s="11">
        <v>0.26093350314551</v>
      </c>
      <c r="J2699" s="10">
        <v>0.79414378780213601</v>
      </c>
      <c r="K2699" s="29">
        <v>0.98289565623980701</v>
      </c>
    </row>
    <row r="2700" spans="1:11" x14ac:dyDescent="0.35">
      <c r="A2700" s="9" t="str">
        <f>HYPERLINK("http://www.ensembl.org/id/WBGene00199372", "WBGene00199372")</f>
        <v>WBGene00199372</v>
      </c>
      <c r="B2700" s="9"/>
      <c r="C2700" s="9"/>
      <c r="D2700" t="str">
        <f>"C23H3.11"</f>
        <v>C23H3.11</v>
      </c>
      <c r="F2700" t="s">
        <v>481</v>
      </c>
      <c r="H2700" s="12">
        <v>2.4578120077400301</v>
      </c>
      <c r="I2700" s="11">
        <v>0.26093350314551</v>
      </c>
      <c r="J2700" s="10">
        <v>0.79414378780213601</v>
      </c>
      <c r="K2700" s="29">
        <v>0.98289565623980701</v>
      </c>
    </row>
    <row r="2701" spans="1:11" x14ac:dyDescent="0.35">
      <c r="A2701" s="9" t="str">
        <f>HYPERLINK("http://www.ensembl.org/id/WBGene00196240", "WBGene00196240")</f>
        <v>WBGene00196240</v>
      </c>
      <c r="B2701" s="9"/>
      <c r="C2701" s="9"/>
      <c r="D2701" t="str">
        <f>"C25F6.12"</f>
        <v>C25F6.12</v>
      </c>
      <c r="F2701" t="s">
        <v>481</v>
      </c>
      <c r="H2701" s="12">
        <v>2.4578120077400301</v>
      </c>
      <c r="I2701" s="11">
        <v>0.26093350314551</v>
      </c>
      <c r="J2701" s="10">
        <v>0.79414378780213601</v>
      </c>
      <c r="K2701" s="29">
        <v>0.98289565623980701</v>
      </c>
    </row>
    <row r="2702" spans="1:11" x14ac:dyDescent="0.35">
      <c r="A2702" s="9" t="str">
        <f>HYPERLINK("http://www.ensembl.org/id/WBGene00045413", "WBGene00045413")</f>
        <v>WBGene00045413</v>
      </c>
      <c r="B2702" s="9" t="str">
        <f>HYPERLINK("http://www.ncbi.nlm.nih.gov/gene/6418701", "6418701")</f>
        <v>6418701</v>
      </c>
      <c r="C2702" s="9"/>
      <c r="D2702" t="str">
        <f>"C25F9.13"</f>
        <v>C25F9.13</v>
      </c>
      <c r="F2702" t="s">
        <v>11</v>
      </c>
      <c r="G2702" t="s">
        <v>1015</v>
      </c>
      <c r="H2702" s="12">
        <v>2.4578120077400301</v>
      </c>
      <c r="I2702" s="11">
        <v>0.26093350314551</v>
      </c>
      <c r="J2702" s="10">
        <v>0.79414378780213601</v>
      </c>
      <c r="K2702" s="29">
        <v>0.98289565623980701</v>
      </c>
    </row>
    <row r="2703" spans="1:11" x14ac:dyDescent="0.35">
      <c r="A2703" s="9" t="str">
        <f>HYPERLINK("http://www.ensembl.org/id/WBGene00198989", "WBGene00198989")</f>
        <v>WBGene00198989</v>
      </c>
      <c r="B2703" s="9"/>
      <c r="C2703" s="9"/>
      <c r="D2703" t="str">
        <f>"C26E6.13"</f>
        <v>C26E6.13</v>
      </c>
      <c r="F2703" t="s">
        <v>481</v>
      </c>
      <c r="H2703" s="12">
        <v>2.4578120077400301</v>
      </c>
      <c r="I2703" s="11">
        <v>0.26093350314551</v>
      </c>
      <c r="J2703" s="10">
        <v>0.79414378780213601</v>
      </c>
      <c r="K2703" s="29">
        <v>0.98289565623980701</v>
      </c>
    </row>
    <row r="2704" spans="1:11" x14ac:dyDescent="0.35">
      <c r="A2704" s="9" t="str">
        <f>HYPERLINK("http://www.ensembl.org/id/WBGene00201054", "WBGene00201054")</f>
        <v>WBGene00201054</v>
      </c>
      <c r="B2704" s="9"/>
      <c r="C2704" s="9"/>
      <c r="D2704" t="str">
        <f>"C29A12.19"</f>
        <v>C29A12.19</v>
      </c>
      <c r="F2704" t="s">
        <v>481</v>
      </c>
      <c r="H2704" s="12">
        <v>2.4578120077400301</v>
      </c>
      <c r="I2704" s="11">
        <v>0.26093350314551</v>
      </c>
      <c r="J2704" s="10">
        <v>0.79414378780213601</v>
      </c>
      <c r="K2704" s="29">
        <v>0.98289565623980701</v>
      </c>
    </row>
    <row r="2705" spans="1:11" x14ac:dyDescent="0.35">
      <c r="A2705" s="9" t="str">
        <f>HYPERLINK("http://www.ensembl.org/id/WBGene00196079", "WBGene00196079")</f>
        <v>WBGene00196079</v>
      </c>
      <c r="B2705" s="9"/>
      <c r="C2705" s="9"/>
      <c r="D2705" t="str">
        <f>"C29E6.9"</f>
        <v>C29E6.9</v>
      </c>
      <c r="F2705" t="s">
        <v>481</v>
      </c>
      <c r="H2705" s="12">
        <v>2.4578120077400301</v>
      </c>
      <c r="I2705" s="11">
        <v>0.26093350314551</v>
      </c>
      <c r="J2705" s="10">
        <v>0.79414378780213601</v>
      </c>
      <c r="K2705" s="29">
        <v>0.98289565623980701</v>
      </c>
    </row>
    <row r="2706" spans="1:11" x14ac:dyDescent="0.35">
      <c r="A2706" s="9" t="str">
        <f>HYPERLINK("http://www.ensembl.org/id/WBGene00007804", "WBGene00007804")</f>
        <v>WBGene00007804</v>
      </c>
      <c r="B2706" s="9" t="str">
        <f>HYPERLINK("http://www.ncbi.nlm.nih.gov/gene/183004", "183004")</f>
        <v>183004</v>
      </c>
      <c r="C2706" s="9"/>
      <c r="D2706" t="str">
        <f>"C29F3.3"</f>
        <v>C29F3.3</v>
      </c>
      <c r="F2706" t="s">
        <v>11</v>
      </c>
      <c r="H2706" s="12">
        <v>2.4578120077400301</v>
      </c>
      <c r="I2706" s="11">
        <v>0.26093350314551</v>
      </c>
      <c r="J2706" s="10">
        <v>0.79414378780213601</v>
      </c>
      <c r="K2706" s="29">
        <v>0.98289565623980701</v>
      </c>
    </row>
    <row r="2707" spans="1:11" x14ac:dyDescent="0.35">
      <c r="A2707" s="9" t="str">
        <f>HYPERLINK("http://www.ensembl.org/id/WBGene00197074", "WBGene00197074")</f>
        <v>WBGene00197074</v>
      </c>
      <c r="B2707" s="9"/>
      <c r="C2707" s="9"/>
      <c r="D2707" t="str">
        <f>"C30B5.11"</f>
        <v>C30B5.11</v>
      </c>
      <c r="F2707" t="s">
        <v>481</v>
      </c>
      <c r="H2707" s="12">
        <v>2.4578120077400301</v>
      </c>
      <c r="I2707" s="11">
        <v>0.26093350314551</v>
      </c>
      <c r="J2707" s="10">
        <v>0.79414378780213601</v>
      </c>
      <c r="K2707" s="29">
        <v>0.98289565623980701</v>
      </c>
    </row>
    <row r="2708" spans="1:11" x14ac:dyDescent="0.35">
      <c r="A2708" s="9" t="str">
        <f>HYPERLINK("http://www.ensembl.org/id/WBGene00196065", "WBGene00196065")</f>
        <v>WBGene00196065</v>
      </c>
      <c r="B2708" s="9"/>
      <c r="C2708" s="9"/>
      <c r="D2708" t="str">
        <f>"C34F6.14"</f>
        <v>C34F6.14</v>
      </c>
      <c r="F2708" t="s">
        <v>481</v>
      </c>
      <c r="H2708" s="12">
        <v>2.4578120077400301</v>
      </c>
      <c r="I2708" s="11">
        <v>0.26093350314551</v>
      </c>
      <c r="J2708" s="10">
        <v>0.79414378780213601</v>
      </c>
      <c r="K2708" s="29">
        <v>0.98289565623980701</v>
      </c>
    </row>
    <row r="2709" spans="1:11" x14ac:dyDescent="0.35">
      <c r="A2709" s="9" t="str">
        <f>HYPERLINK("http://www.ensembl.org/id/WBGene00197118", "WBGene00197118")</f>
        <v>WBGene00197118</v>
      </c>
      <c r="B2709" s="9"/>
      <c r="C2709" s="9"/>
      <c r="D2709" t="str">
        <f>"C34H3.10"</f>
        <v>C34H3.10</v>
      </c>
      <c r="F2709" t="s">
        <v>481</v>
      </c>
      <c r="H2709" s="12">
        <v>2.4578120077400301</v>
      </c>
      <c r="I2709" s="11">
        <v>0.26093350314551</v>
      </c>
      <c r="J2709" s="10">
        <v>0.79414378780213601</v>
      </c>
      <c r="K2709" s="29">
        <v>0.98289565623980701</v>
      </c>
    </row>
    <row r="2710" spans="1:11" x14ac:dyDescent="0.35">
      <c r="A2710" s="9" t="str">
        <f>HYPERLINK("http://www.ensembl.org/id/WBGene00016430", "WBGene00016430")</f>
        <v>WBGene00016430</v>
      </c>
      <c r="B2710" s="9" t="str">
        <f>HYPERLINK("http://www.ncbi.nlm.nih.gov/gene/183228", "183228")</f>
        <v>183228</v>
      </c>
      <c r="C2710" s="9"/>
      <c r="D2710" t="str">
        <f>"C35A11.3"</f>
        <v>C35A11.3</v>
      </c>
      <c r="F2710" t="s">
        <v>11</v>
      </c>
      <c r="H2710" s="12">
        <v>2.4578120077400301</v>
      </c>
      <c r="I2710" s="11">
        <v>0.26093350314551</v>
      </c>
      <c r="J2710" s="10">
        <v>0.79414378780213601</v>
      </c>
      <c r="K2710" s="29">
        <v>0.98289565623980701</v>
      </c>
    </row>
    <row r="2711" spans="1:11" x14ac:dyDescent="0.35">
      <c r="A2711" s="9" t="str">
        <f>HYPERLINK("http://www.ensembl.org/id/WBGene00201107", "WBGene00201107")</f>
        <v>WBGene00201107</v>
      </c>
      <c r="B2711" s="9"/>
      <c r="C2711" s="9"/>
      <c r="D2711" t="str">
        <f>"C36F7.22"</f>
        <v>C36F7.22</v>
      </c>
      <c r="F2711" t="s">
        <v>481</v>
      </c>
      <c r="H2711" s="12">
        <v>2.4578120077400301</v>
      </c>
      <c r="I2711" s="11">
        <v>0.26093350314551</v>
      </c>
      <c r="J2711" s="10">
        <v>0.79414378780213601</v>
      </c>
      <c r="K2711" s="29">
        <v>0.98289565623980701</v>
      </c>
    </row>
    <row r="2712" spans="1:11" x14ac:dyDescent="0.35">
      <c r="A2712" s="9" t="str">
        <f>HYPERLINK("http://www.ensembl.org/id/WBGene00045160", "WBGene00045160")</f>
        <v>WBGene00045160</v>
      </c>
      <c r="B2712" s="9"/>
      <c r="C2712" s="9"/>
      <c r="D2712" t="str">
        <f>"C41C4.11"</f>
        <v>C41C4.11</v>
      </c>
      <c r="F2712" t="s">
        <v>2977</v>
      </c>
      <c r="H2712" s="12">
        <v>2.4578120077400301</v>
      </c>
      <c r="I2712" s="11">
        <v>0.26093350314551</v>
      </c>
      <c r="J2712" s="10">
        <v>0.79414378780213601</v>
      </c>
      <c r="K2712" s="29">
        <v>0.98289565623980701</v>
      </c>
    </row>
    <row r="2713" spans="1:11" x14ac:dyDescent="0.35">
      <c r="A2713" s="9" t="str">
        <f>HYPERLINK("http://www.ensembl.org/id/WBGene00199336", "WBGene00199336")</f>
        <v>WBGene00199336</v>
      </c>
      <c r="B2713" s="9"/>
      <c r="C2713" s="9"/>
      <c r="D2713" t="str">
        <f>"C41C4.14"</f>
        <v>C41C4.14</v>
      </c>
      <c r="F2713" t="s">
        <v>481</v>
      </c>
      <c r="H2713" s="12">
        <v>2.4578120077400301</v>
      </c>
      <c r="I2713" s="11">
        <v>0.26093350314551</v>
      </c>
      <c r="J2713" s="10">
        <v>0.79414378780213601</v>
      </c>
      <c r="K2713" s="29">
        <v>0.98289565623980701</v>
      </c>
    </row>
    <row r="2714" spans="1:11" x14ac:dyDescent="0.35">
      <c r="A2714" s="9" t="str">
        <f>HYPERLINK("http://www.ensembl.org/id/WBGene00195694", "WBGene00195694")</f>
        <v>WBGene00195694</v>
      </c>
      <c r="B2714" s="9"/>
      <c r="C2714" s="9"/>
      <c r="D2714" t="str">
        <f>"C43G2.25"</f>
        <v>C43G2.25</v>
      </c>
      <c r="F2714" t="s">
        <v>481</v>
      </c>
      <c r="H2714" s="12">
        <v>2.4578120077400301</v>
      </c>
      <c r="I2714" s="11">
        <v>0.26093350314551</v>
      </c>
      <c r="J2714" s="10">
        <v>0.79414378780213601</v>
      </c>
      <c r="K2714" s="29">
        <v>0.98289565623980701</v>
      </c>
    </row>
    <row r="2715" spans="1:11" x14ac:dyDescent="0.35">
      <c r="A2715" s="9" t="str">
        <f>HYPERLINK("http://www.ensembl.org/id/WBGene00196543", "WBGene00196543")</f>
        <v>WBGene00196543</v>
      </c>
      <c r="B2715" s="9"/>
      <c r="C2715" s="9"/>
      <c r="D2715" t="str">
        <f>"C52B9.14"</f>
        <v>C52B9.14</v>
      </c>
      <c r="F2715" t="s">
        <v>481</v>
      </c>
      <c r="H2715" s="12">
        <v>2.4578120077400301</v>
      </c>
      <c r="I2715" s="11">
        <v>0.26093350314551</v>
      </c>
      <c r="J2715" s="10">
        <v>0.79414378780213601</v>
      </c>
      <c r="K2715" s="29">
        <v>0.98289565623980701</v>
      </c>
    </row>
    <row r="2716" spans="1:11" x14ac:dyDescent="0.35">
      <c r="A2716" s="9" t="str">
        <f>HYPERLINK("http://www.ensembl.org/id/WBGene00199175", "WBGene00199175")</f>
        <v>WBGene00199175</v>
      </c>
      <c r="B2716" s="9"/>
      <c r="C2716" s="9"/>
      <c r="D2716" t="str">
        <f>"C53C7.7"</f>
        <v>C53C7.7</v>
      </c>
      <c r="F2716" t="s">
        <v>481</v>
      </c>
      <c r="H2716" s="12">
        <v>2.4578120077400301</v>
      </c>
      <c r="I2716" s="11">
        <v>0.26093350314551</v>
      </c>
      <c r="J2716" s="10">
        <v>0.79414378780213601</v>
      </c>
      <c r="K2716" s="29">
        <v>0.98289565623980701</v>
      </c>
    </row>
    <row r="2717" spans="1:11" x14ac:dyDescent="0.35">
      <c r="A2717" s="9" t="str">
        <f>HYPERLINK("http://www.ensembl.org/id/WBGene00202379", "WBGene00202379")</f>
        <v>WBGene00202379</v>
      </c>
      <c r="B2717" s="9"/>
      <c r="C2717" s="9"/>
      <c r="D2717" t="str">
        <f>"C54G7.17"</f>
        <v>C54G7.17</v>
      </c>
      <c r="F2717" t="s">
        <v>481</v>
      </c>
      <c r="H2717" s="12">
        <v>2.4578120077400301</v>
      </c>
      <c r="I2717" s="11">
        <v>0.26093350314551</v>
      </c>
      <c r="J2717" s="10">
        <v>0.79414378780213601</v>
      </c>
      <c r="K2717" s="29">
        <v>0.98289565623980701</v>
      </c>
    </row>
    <row r="2718" spans="1:11" x14ac:dyDescent="0.35">
      <c r="A2718" s="9" t="str">
        <f>HYPERLINK("http://www.ensembl.org/id/WBGene00195432", "WBGene00195432")</f>
        <v>WBGene00195432</v>
      </c>
      <c r="B2718" s="9"/>
      <c r="C2718" s="9"/>
      <c r="D2718" t="str">
        <f>"C56E6.10"</f>
        <v>C56E6.10</v>
      </c>
      <c r="F2718" t="s">
        <v>481</v>
      </c>
      <c r="H2718" s="12">
        <v>2.4578120077400301</v>
      </c>
      <c r="I2718" s="11">
        <v>0.26093350314551</v>
      </c>
      <c r="J2718" s="10">
        <v>0.79414378780213601</v>
      </c>
      <c r="K2718" s="29">
        <v>0.98289565623980701</v>
      </c>
    </row>
    <row r="2719" spans="1:11" x14ac:dyDescent="0.35">
      <c r="A2719" s="9" t="str">
        <f>HYPERLINK("http://www.ensembl.org/id/WBGene00016597", "WBGene00016597")</f>
        <v>WBGene00016597</v>
      </c>
      <c r="B2719" s="9" t="str">
        <f>HYPERLINK("http://www.ncbi.nlm.nih.gov/gene/183404", "183404")</f>
        <v>183404</v>
      </c>
      <c r="C2719" s="9"/>
      <c r="D2719" t="str">
        <f>"clec-179"</f>
        <v>clec-179</v>
      </c>
      <c r="E2719" t="s">
        <v>46</v>
      </c>
      <c r="F2719" t="s">
        <v>11</v>
      </c>
      <c r="G2719" t="s">
        <v>47</v>
      </c>
      <c r="H2719" s="12">
        <v>2.4578120077400301</v>
      </c>
      <c r="I2719" s="11">
        <v>0.26093350314551</v>
      </c>
      <c r="J2719" s="10">
        <v>0.79414378780213601</v>
      </c>
      <c r="K2719" s="29">
        <v>0.98289565623980701</v>
      </c>
    </row>
    <row r="2720" spans="1:11" x14ac:dyDescent="0.35">
      <c r="A2720" s="9" t="str">
        <f>HYPERLINK("http://www.ensembl.org/id/WBGene00018097", "WBGene00018097")</f>
        <v>WBGene00018097</v>
      </c>
      <c r="B2720" s="9" t="str">
        <f>HYPERLINK("http://www.ncbi.nlm.nih.gov/gene/178689", "178689")</f>
        <v>178689</v>
      </c>
      <c r="C2720" s="9"/>
      <c r="D2720" t="str">
        <f>"clec-208"</f>
        <v>clec-208</v>
      </c>
      <c r="E2720" t="s">
        <v>46</v>
      </c>
      <c r="F2720" t="s">
        <v>11</v>
      </c>
      <c r="G2720" t="s">
        <v>47</v>
      </c>
      <c r="H2720" s="12">
        <v>2.4578120077400301</v>
      </c>
      <c r="I2720" s="11">
        <v>0.26093350314551</v>
      </c>
      <c r="J2720" s="10">
        <v>0.79414378780213601</v>
      </c>
      <c r="K2720" s="29">
        <v>0.98289565623980701</v>
      </c>
    </row>
    <row r="2721" spans="1:11" x14ac:dyDescent="0.35">
      <c r="A2721" s="9" t="str">
        <f>HYPERLINK("http://www.ensembl.org/id/WBGene00044086", "WBGene00044086")</f>
        <v>WBGene00044086</v>
      </c>
      <c r="B2721" s="9" t="str">
        <f>HYPERLINK("http://www.ncbi.nlm.nih.gov/gene/3565978", "3565978")</f>
        <v>3565978</v>
      </c>
      <c r="C2721" s="9"/>
      <c r="D2721" t="str">
        <f>"clec-228"</f>
        <v>clec-228</v>
      </c>
      <c r="E2721" t="s">
        <v>46</v>
      </c>
      <c r="F2721" t="s">
        <v>11</v>
      </c>
      <c r="G2721" t="s">
        <v>47</v>
      </c>
      <c r="H2721" s="12">
        <v>2.4578120077400301</v>
      </c>
      <c r="I2721" s="11">
        <v>0.26093350314551</v>
      </c>
      <c r="J2721" s="10">
        <v>0.79414378780213601</v>
      </c>
      <c r="K2721" s="29">
        <v>0.98289565623980701</v>
      </c>
    </row>
    <row r="2722" spans="1:11" x14ac:dyDescent="0.35">
      <c r="A2722" s="9" t="str">
        <f>HYPERLINK("http://www.ensembl.org/id/WBGene00000629", "WBGene00000629")</f>
        <v>WBGene00000629</v>
      </c>
      <c r="B2722" s="9" t="str">
        <f>HYPERLINK("http://www.ncbi.nlm.nih.gov/gene/183885", "183885")</f>
        <v>183885</v>
      </c>
      <c r="C2722" s="9"/>
      <c r="D2722" t="str">
        <f>"col-52"</f>
        <v>col-52</v>
      </c>
      <c r="E2722" t="s">
        <v>40</v>
      </c>
      <c r="F2722" t="s">
        <v>11</v>
      </c>
      <c r="G2722" t="s">
        <v>593</v>
      </c>
      <c r="H2722" s="12">
        <v>2.4578120077400301</v>
      </c>
      <c r="I2722" s="11">
        <v>0.26093350314551</v>
      </c>
      <c r="J2722" s="10">
        <v>0.79414378780213601</v>
      </c>
      <c r="K2722" s="29">
        <v>0.98289565623980701</v>
      </c>
    </row>
    <row r="2723" spans="1:11" x14ac:dyDescent="0.35">
      <c r="A2723" s="9" t="str">
        <f>HYPERLINK("http://www.ensembl.org/id/WBGene00199426", "WBGene00199426")</f>
        <v>WBGene00199426</v>
      </c>
      <c r="B2723" s="9"/>
      <c r="C2723" s="9"/>
      <c r="D2723" t="str">
        <f>"D1022.15"</f>
        <v>D1022.15</v>
      </c>
      <c r="F2723" t="s">
        <v>481</v>
      </c>
      <c r="H2723" s="12">
        <v>2.4578120077400301</v>
      </c>
      <c r="I2723" s="11">
        <v>0.26093350314551</v>
      </c>
      <c r="J2723" s="10">
        <v>0.79414378780213601</v>
      </c>
      <c r="K2723" s="29">
        <v>0.98289565623980701</v>
      </c>
    </row>
    <row r="2724" spans="1:11" x14ac:dyDescent="0.35">
      <c r="A2724" s="9" t="str">
        <f>HYPERLINK("http://www.ensembl.org/id/WBGene00050879", "WBGene00050879")</f>
        <v>WBGene00050879</v>
      </c>
      <c r="B2724" s="9" t="str">
        <f>HYPERLINK("http://www.ncbi.nlm.nih.gov/gene/6418578", "6418578")</f>
        <v>6418578</v>
      </c>
      <c r="C2724" s="9"/>
      <c r="D2724" t="str">
        <f>"D1081.11"</f>
        <v>D1081.11</v>
      </c>
      <c r="F2724" t="s">
        <v>11</v>
      </c>
      <c r="G2724" t="s">
        <v>25</v>
      </c>
      <c r="H2724" s="12">
        <v>2.4578120077400301</v>
      </c>
      <c r="I2724" s="11">
        <v>0.26093350314551</v>
      </c>
      <c r="J2724" s="10">
        <v>0.79414378780213601</v>
      </c>
      <c r="K2724" s="29">
        <v>0.98289565623980701</v>
      </c>
    </row>
    <row r="2725" spans="1:11" x14ac:dyDescent="0.35">
      <c r="A2725" s="9" t="str">
        <f>HYPERLINK("http://www.ensembl.org/id/WBGene00196059", "WBGene00196059")</f>
        <v>WBGene00196059</v>
      </c>
      <c r="B2725" s="9"/>
      <c r="C2725" s="9"/>
      <c r="D2725" t="str">
        <f>"D2023.12"</f>
        <v>D2023.12</v>
      </c>
      <c r="F2725" t="s">
        <v>481</v>
      </c>
      <c r="H2725" s="12">
        <v>2.4578120077400301</v>
      </c>
      <c r="I2725" s="11">
        <v>0.26093350314551</v>
      </c>
      <c r="J2725" s="10">
        <v>0.79414378780213601</v>
      </c>
      <c r="K2725" s="29">
        <v>0.98289565623980701</v>
      </c>
    </row>
    <row r="2726" spans="1:11" x14ac:dyDescent="0.35">
      <c r="A2726" s="9" t="str">
        <f>HYPERLINK("http://www.ensembl.org/id/WBGene00008470", "WBGene00008470")</f>
        <v>WBGene00008470</v>
      </c>
      <c r="B2726" s="9" t="str">
        <f>HYPERLINK("http://www.ncbi.nlm.nih.gov/gene/184017", "184017")</f>
        <v>184017</v>
      </c>
      <c r="C2726" s="9"/>
      <c r="D2726" t="str">
        <f>"E03H4.2"</f>
        <v>E03H4.2</v>
      </c>
      <c r="F2726" t="s">
        <v>11</v>
      </c>
      <c r="G2726" t="s">
        <v>25</v>
      </c>
      <c r="H2726" s="12">
        <v>2.4578120077400301</v>
      </c>
      <c r="I2726" s="11">
        <v>0.26093350314551</v>
      </c>
      <c r="J2726" s="10">
        <v>0.79414378780213601</v>
      </c>
      <c r="K2726" s="29">
        <v>0.98289565623980701</v>
      </c>
    </row>
    <row r="2727" spans="1:11" x14ac:dyDescent="0.35">
      <c r="A2727" s="9" t="str">
        <f>HYPERLINK("http://www.ensembl.org/id/WBGene00198610", "WBGene00198610")</f>
        <v>WBGene00198610</v>
      </c>
      <c r="B2727" s="9"/>
      <c r="C2727" s="9"/>
      <c r="D2727" t="str">
        <f>"EGAP3.2"</f>
        <v>EGAP3.2</v>
      </c>
      <c r="F2727" t="s">
        <v>481</v>
      </c>
      <c r="H2727" s="12">
        <v>2.4578120077400301</v>
      </c>
      <c r="I2727" s="11">
        <v>0.26093350314551</v>
      </c>
      <c r="J2727" s="10">
        <v>0.79414378780213601</v>
      </c>
      <c r="K2727" s="29">
        <v>0.98289565623980701</v>
      </c>
    </row>
    <row r="2728" spans="1:11" x14ac:dyDescent="0.35">
      <c r="A2728" s="9" t="str">
        <f>HYPERLINK("http://www.ensembl.org/id/WBGene00197884", "WBGene00197884")</f>
        <v>WBGene00197884</v>
      </c>
      <c r="B2728" s="9"/>
      <c r="C2728" s="9"/>
      <c r="D2728" t="str">
        <f>"F01F1.16"</f>
        <v>F01F1.16</v>
      </c>
      <c r="F2728" t="s">
        <v>481</v>
      </c>
      <c r="H2728" s="12">
        <v>2.4578120077400301</v>
      </c>
      <c r="I2728" s="11">
        <v>0.26093350314551</v>
      </c>
      <c r="J2728" s="10">
        <v>0.79414378780213601</v>
      </c>
      <c r="K2728" s="29">
        <v>0.98289565623980701</v>
      </c>
    </row>
    <row r="2729" spans="1:11" x14ac:dyDescent="0.35">
      <c r="A2729" s="9" t="str">
        <f>HYPERLINK("http://www.ensembl.org/id/WBGene00197422", "WBGene00197422")</f>
        <v>WBGene00197422</v>
      </c>
      <c r="B2729" s="9"/>
      <c r="C2729" s="9"/>
      <c r="D2729" t="str">
        <f>"F08B12.7"</f>
        <v>F08B12.7</v>
      </c>
      <c r="F2729" t="s">
        <v>481</v>
      </c>
      <c r="H2729" s="12">
        <v>2.4578120077400301</v>
      </c>
      <c r="I2729" s="11">
        <v>0.26093350314551</v>
      </c>
      <c r="J2729" s="10">
        <v>0.79414378780213601</v>
      </c>
      <c r="K2729" s="29">
        <v>0.98289565623980701</v>
      </c>
    </row>
    <row r="2730" spans="1:11" x14ac:dyDescent="0.35">
      <c r="A2730" s="9" t="str">
        <f>HYPERLINK("http://www.ensembl.org/id/WBGene00077493", "WBGene00077493")</f>
        <v>WBGene00077493</v>
      </c>
      <c r="B2730" s="9" t="str">
        <f>HYPERLINK("http://www.ncbi.nlm.nih.gov/gene/6418717", "6418717")</f>
        <v>6418717</v>
      </c>
      <c r="C2730" s="9"/>
      <c r="D2730" t="str">
        <f>"F09C6.16"</f>
        <v>F09C6.16</v>
      </c>
      <c r="F2730" t="s">
        <v>11</v>
      </c>
      <c r="G2730" t="s">
        <v>1015</v>
      </c>
      <c r="H2730" s="12">
        <v>2.4578120077400301</v>
      </c>
      <c r="I2730" s="11">
        <v>0.26093350314551</v>
      </c>
      <c r="J2730" s="10">
        <v>0.79414378780213601</v>
      </c>
      <c r="K2730" s="29">
        <v>0.98289565623980701</v>
      </c>
    </row>
    <row r="2731" spans="1:11" x14ac:dyDescent="0.35">
      <c r="A2731" s="9" t="str">
        <f>HYPERLINK("http://www.ensembl.org/id/WBGene00199500", "WBGene00199500")</f>
        <v>WBGene00199500</v>
      </c>
      <c r="B2731" s="9"/>
      <c r="C2731" s="9"/>
      <c r="D2731" t="str">
        <f>"F09F9.12"</f>
        <v>F09F9.12</v>
      </c>
      <c r="F2731" t="s">
        <v>481</v>
      </c>
      <c r="H2731" s="12">
        <v>2.4578120077400301</v>
      </c>
      <c r="I2731" s="11">
        <v>0.26093350314551</v>
      </c>
      <c r="J2731" s="10">
        <v>0.79414378780213601</v>
      </c>
      <c r="K2731" s="29">
        <v>0.98289565623980701</v>
      </c>
    </row>
    <row r="2732" spans="1:11" x14ac:dyDescent="0.35">
      <c r="A2732" s="9" t="str">
        <f>HYPERLINK("http://www.ensembl.org/id/WBGene00200306", "WBGene00200306")</f>
        <v>WBGene00200306</v>
      </c>
      <c r="B2732" s="9"/>
      <c r="C2732" s="9"/>
      <c r="D2732" t="str">
        <f>"F10D7.9"</f>
        <v>F10D7.9</v>
      </c>
      <c r="F2732" t="s">
        <v>481</v>
      </c>
      <c r="H2732" s="12">
        <v>2.4578120077400301</v>
      </c>
      <c r="I2732" s="11">
        <v>0.26093350314551</v>
      </c>
      <c r="J2732" s="10">
        <v>0.79414378780213601</v>
      </c>
      <c r="K2732" s="29">
        <v>0.98289565623980701</v>
      </c>
    </row>
    <row r="2733" spans="1:11" x14ac:dyDescent="0.35">
      <c r="A2733" s="9" t="str">
        <f>HYPERLINK("http://www.ensembl.org/id/WBGene00196679", "WBGene00196679")</f>
        <v>WBGene00196679</v>
      </c>
      <c r="B2733" s="9"/>
      <c r="C2733" s="9"/>
      <c r="D2733" t="str">
        <f>"F10G8.11"</f>
        <v>F10G8.11</v>
      </c>
      <c r="F2733" t="s">
        <v>481</v>
      </c>
      <c r="H2733" s="12">
        <v>2.4578120077400301</v>
      </c>
      <c r="I2733" s="11">
        <v>0.26093350314551</v>
      </c>
      <c r="J2733" s="10">
        <v>0.79414378780213601</v>
      </c>
      <c r="K2733" s="29">
        <v>0.98289565623980701</v>
      </c>
    </row>
    <row r="2734" spans="1:11" x14ac:dyDescent="0.35">
      <c r="A2734" s="9" t="str">
        <f>HYPERLINK("http://www.ensembl.org/id/WBGene00045153", "WBGene00045153")</f>
        <v>WBGene00045153</v>
      </c>
      <c r="B2734" s="9"/>
      <c r="C2734" s="9"/>
      <c r="D2734" t="str">
        <f>"F11A10.9"</f>
        <v>F11A10.9</v>
      </c>
      <c r="F2734" t="s">
        <v>2977</v>
      </c>
      <c r="H2734" s="12">
        <v>2.4578120077400301</v>
      </c>
      <c r="I2734" s="11">
        <v>0.26093350314551</v>
      </c>
      <c r="J2734" s="10">
        <v>0.79414378780213601</v>
      </c>
      <c r="K2734" s="29">
        <v>0.98289565623980701</v>
      </c>
    </row>
    <row r="2735" spans="1:11" x14ac:dyDescent="0.35">
      <c r="A2735" s="9" t="str">
        <f>HYPERLINK("http://www.ensembl.org/id/WBGene00197882", "WBGene00197882")</f>
        <v>WBGene00197882</v>
      </c>
      <c r="B2735" s="9"/>
      <c r="C2735" s="9"/>
      <c r="D2735" t="str">
        <f>"F12F3.5"</f>
        <v>F12F3.5</v>
      </c>
      <c r="F2735" t="s">
        <v>481</v>
      </c>
      <c r="H2735" s="12">
        <v>2.4578120077400301</v>
      </c>
      <c r="I2735" s="11">
        <v>0.26093350314551</v>
      </c>
      <c r="J2735" s="10">
        <v>0.79414378780213601</v>
      </c>
      <c r="K2735" s="29">
        <v>0.98289565623980701</v>
      </c>
    </row>
    <row r="2736" spans="1:11" x14ac:dyDescent="0.35">
      <c r="A2736" s="9" t="str">
        <f>HYPERLINK("http://www.ensembl.org/id/WBGene00196989", "WBGene00196989")</f>
        <v>WBGene00196989</v>
      </c>
      <c r="B2736" s="9"/>
      <c r="C2736" s="9"/>
      <c r="D2736" t="str">
        <f>"F12F6.14"</f>
        <v>F12F6.14</v>
      </c>
      <c r="F2736" t="s">
        <v>481</v>
      </c>
      <c r="H2736" s="12">
        <v>2.4578120077400301</v>
      </c>
      <c r="I2736" s="11">
        <v>0.26093350314551</v>
      </c>
      <c r="J2736" s="10">
        <v>0.79414378780213601</v>
      </c>
      <c r="K2736" s="29">
        <v>0.98289565623980701</v>
      </c>
    </row>
    <row r="2737" spans="1:11" x14ac:dyDescent="0.35">
      <c r="A2737" s="9" t="str">
        <f>HYPERLINK("http://www.ensembl.org/id/WBGene00197375", "WBGene00197375")</f>
        <v>WBGene00197375</v>
      </c>
      <c r="B2737" s="9"/>
      <c r="C2737" s="9"/>
      <c r="D2737" t="str">
        <f>"F13H6.11"</f>
        <v>F13H6.11</v>
      </c>
      <c r="F2737" t="s">
        <v>481</v>
      </c>
      <c r="H2737" s="12">
        <v>2.4578120077400301</v>
      </c>
      <c r="I2737" s="11">
        <v>0.26093350314551</v>
      </c>
      <c r="J2737" s="10">
        <v>0.79414378780213601</v>
      </c>
      <c r="K2737" s="29">
        <v>0.98289565623980701</v>
      </c>
    </row>
    <row r="2738" spans="1:11" x14ac:dyDescent="0.35">
      <c r="A2738" s="9" t="str">
        <f>HYPERLINK("http://www.ensembl.org/id/WBGene00199421", "WBGene00199421")</f>
        <v>WBGene00199421</v>
      </c>
      <c r="B2738" s="9"/>
      <c r="C2738" s="9"/>
      <c r="D2738" t="str">
        <f>"F13H6.22"</f>
        <v>F13H6.22</v>
      </c>
      <c r="F2738" t="s">
        <v>481</v>
      </c>
      <c r="H2738" s="12">
        <v>2.4578120077400301</v>
      </c>
      <c r="I2738" s="11">
        <v>0.26093350314551</v>
      </c>
      <c r="J2738" s="10">
        <v>0.79414378780213601</v>
      </c>
      <c r="K2738" s="29">
        <v>0.98289565623980701</v>
      </c>
    </row>
    <row r="2739" spans="1:11" x14ac:dyDescent="0.35">
      <c r="A2739" s="9" t="str">
        <f>HYPERLINK("http://www.ensembl.org/id/WBGene00199403", "WBGene00199403")</f>
        <v>WBGene00199403</v>
      </c>
      <c r="B2739" s="9"/>
      <c r="C2739" s="9"/>
      <c r="D2739" t="str">
        <f>"F14H12.13"</f>
        <v>F14H12.13</v>
      </c>
      <c r="F2739" t="s">
        <v>481</v>
      </c>
      <c r="H2739" s="12">
        <v>2.4578120077400301</v>
      </c>
      <c r="I2739" s="11">
        <v>0.26093350314551</v>
      </c>
      <c r="J2739" s="10">
        <v>0.79414378780213601</v>
      </c>
      <c r="K2739" s="29">
        <v>0.98289565623980701</v>
      </c>
    </row>
    <row r="2740" spans="1:11" x14ac:dyDescent="0.35">
      <c r="A2740" s="9" t="str">
        <f>HYPERLINK("http://www.ensembl.org/id/WBGene00201095", "WBGene00201095")</f>
        <v>WBGene00201095</v>
      </c>
      <c r="B2740" s="9"/>
      <c r="C2740" s="9"/>
      <c r="D2740" t="str">
        <f>"F15A2.12"</f>
        <v>F15A2.12</v>
      </c>
      <c r="F2740" t="s">
        <v>481</v>
      </c>
      <c r="H2740" s="12">
        <v>2.4578120077400301</v>
      </c>
      <c r="I2740" s="11">
        <v>0.26093350314551</v>
      </c>
      <c r="J2740" s="10">
        <v>0.79414378780213601</v>
      </c>
      <c r="K2740" s="29">
        <v>0.98289565623980701</v>
      </c>
    </row>
    <row r="2741" spans="1:11" x14ac:dyDescent="0.35">
      <c r="A2741" s="9" t="str">
        <f>HYPERLINK("http://www.ensembl.org/id/WBGene00014334", "WBGene00014334")</f>
        <v>WBGene00014334</v>
      </c>
      <c r="B2741" s="9"/>
      <c r="C2741" s="9"/>
      <c r="D2741" t="str">
        <f>"F15G9.t2"</f>
        <v>F15G9.t2</v>
      </c>
      <c r="F2741" t="s">
        <v>4208</v>
      </c>
      <c r="H2741" s="12">
        <v>2.4578120077400301</v>
      </c>
      <c r="I2741" s="11">
        <v>0.26093350314551</v>
      </c>
      <c r="J2741" s="10">
        <v>0.79414378780213601</v>
      </c>
      <c r="K2741" s="29">
        <v>0.98289565623980701</v>
      </c>
    </row>
    <row r="2742" spans="1:11" x14ac:dyDescent="0.35">
      <c r="A2742" s="9" t="str">
        <f>HYPERLINK("http://www.ensembl.org/id/WBGene00138716", "WBGene00138716")</f>
        <v>WBGene00138716</v>
      </c>
      <c r="B2742" s="9" t="str">
        <f>HYPERLINK("http://www.ncbi.nlm.nih.gov/gene/13182703", "13182703")</f>
        <v>13182703</v>
      </c>
      <c r="C2742" s="9"/>
      <c r="D2742" t="str">
        <f>"F17B5.10"</f>
        <v>F17B5.10</v>
      </c>
      <c r="F2742" t="s">
        <v>11</v>
      </c>
      <c r="G2742" t="s">
        <v>2771</v>
      </c>
      <c r="H2742" s="12">
        <v>2.4578120077400301</v>
      </c>
      <c r="I2742" s="11">
        <v>0.26093350314551</v>
      </c>
      <c r="J2742" s="10">
        <v>0.79414378780213601</v>
      </c>
      <c r="K2742" s="29">
        <v>0.98289565623980701</v>
      </c>
    </row>
    <row r="2743" spans="1:11" x14ac:dyDescent="0.35">
      <c r="A2743" s="9" t="str">
        <f>HYPERLINK("http://www.ensembl.org/id/WBGene00219902", "WBGene00219902")</f>
        <v>WBGene00219902</v>
      </c>
      <c r="B2743" s="9"/>
      <c r="C2743" s="9"/>
      <c r="D2743" t="str">
        <f>"F18C5.15"</f>
        <v>F18C5.15</v>
      </c>
      <c r="F2743" t="s">
        <v>2977</v>
      </c>
      <c r="H2743" s="12">
        <v>2.4578120077400301</v>
      </c>
      <c r="I2743" s="11">
        <v>0.26093350314551</v>
      </c>
      <c r="J2743" s="10">
        <v>0.79414378780213601</v>
      </c>
      <c r="K2743" s="29">
        <v>0.98289565623980701</v>
      </c>
    </row>
    <row r="2744" spans="1:11" x14ac:dyDescent="0.35">
      <c r="A2744" s="9" t="str">
        <f>HYPERLINK("http://www.ensembl.org/id/WBGene00017684", "WBGene00017684")</f>
        <v>WBGene00017684</v>
      </c>
      <c r="B2744" s="9"/>
      <c r="C2744" s="9"/>
      <c r="D2744" t="str">
        <f>"F21H12.2"</f>
        <v>F21H12.2</v>
      </c>
      <c r="F2744" t="s">
        <v>80</v>
      </c>
      <c r="H2744" s="12">
        <v>2.4578120077400301</v>
      </c>
      <c r="I2744" s="11">
        <v>0.26093350314551</v>
      </c>
      <c r="J2744" s="10">
        <v>0.79414378780213601</v>
      </c>
      <c r="K2744" s="29">
        <v>0.98289565623980701</v>
      </c>
    </row>
    <row r="2745" spans="1:11" x14ac:dyDescent="0.35">
      <c r="A2745" s="9" t="str">
        <f>HYPERLINK("http://www.ensembl.org/id/WBGene00196095", "WBGene00196095")</f>
        <v>WBGene00196095</v>
      </c>
      <c r="B2745" s="9"/>
      <c r="C2745" s="9"/>
      <c r="D2745" t="str">
        <f>"F22B3.12"</f>
        <v>F22B3.12</v>
      </c>
      <c r="F2745" t="s">
        <v>481</v>
      </c>
      <c r="H2745" s="12">
        <v>2.4578120077400301</v>
      </c>
      <c r="I2745" s="11">
        <v>0.26093350314551</v>
      </c>
      <c r="J2745" s="10">
        <v>0.79414378780213601</v>
      </c>
      <c r="K2745" s="29">
        <v>0.98289565623980701</v>
      </c>
    </row>
    <row r="2746" spans="1:11" x14ac:dyDescent="0.35">
      <c r="A2746" s="9" t="str">
        <f>HYPERLINK("http://www.ensembl.org/id/WBGene00017725", "WBGene00017725")</f>
        <v>WBGene00017725</v>
      </c>
      <c r="B2746" s="9" t="str">
        <f>HYPERLINK("http://www.ncbi.nlm.nih.gov/gene/184871", "184871")</f>
        <v>184871</v>
      </c>
      <c r="C2746" s="9"/>
      <c r="D2746" t="str">
        <f>"F22H10.1"</f>
        <v>F22H10.1</v>
      </c>
      <c r="F2746" t="s">
        <v>11</v>
      </c>
      <c r="G2746" t="s">
        <v>112</v>
      </c>
      <c r="H2746" s="12">
        <v>2.4578120077400301</v>
      </c>
      <c r="I2746" s="11">
        <v>0.26093350314551</v>
      </c>
      <c r="J2746" s="10">
        <v>0.79414378780213601</v>
      </c>
      <c r="K2746" s="29">
        <v>0.98289565623980701</v>
      </c>
    </row>
    <row r="2747" spans="1:11" x14ac:dyDescent="0.35">
      <c r="A2747" s="9" t="str">
        <f>HYPERLINK("http://www.ensembl.org/id/WBGene00195880", "WBGene00195880")</f>
        <v>WBGene00195880</v>
      </c>
      <c r="B2747" s="9"/>
      <c r="C2747" s="9"/>
      <c r="D2747" t="str">
        <f>"F23H12.12"</f>
        <v>F23H12.12</v>
      </c>
      <c r="F2747" t="s">
        <v>481</v>
      </c>
      <c r="H2747" s="12">
        <v>2.4578120077400301</v>
      </c>
      <c r="I2747" s="11">
        <v>0.26093350314551</v>
      </c>
      <c r="J2747" s="10">
        <v>0.79414378780213601</v>
      </c>
      <c r="K2747" s="29">
        <v>0.98289565623980701</v>
      </c>
    </row>
    <row r="2748" spans="1:11" x14ac:dyDescent="0.35">
      <c r="A2748" s="9" t="str">
        <f>HYPERLINK("http://www.ensembl.org/id/WBGene00197893", "WBGene00197893")</f>
        <v>WBGene00197893</v>
      </c>
      <c r="B2748" s="9"/>
      <c r="C2748" s="9"/>
      <c r="D2748" t="str">
        <f>"F25C8.6"</f>
        <v>F25C8.6</v>
      </c>
      <c r="F2748" t="s">
        <v>481</v>
      </c>
      <c r="H2748" s="12">
        <v>2.4578120077400301</v>
      </c>
      <c r="I2748" s="11">
        <v>0.26093350314551</v>
      </c>
      <c r="J2748" s="10">
        <v>0.79414378780213601</v>
      </c>
      <c r="K2748" s="29">
        <v>0.98289565623980701</v>
      </c>
    </row>
    <row r="2749" spans="1:11" x14ac:dyDescent="0.35">
      <c r="A2749" s="9" t="str">
        <f>HYPERLINK("http://www.ensembl.org/id/WBGene00219914", "WBGene00219914")</f>
        <v>WBGene00219914</v>
      </c>
      <c r="B2749" s="9"/>
      <c r="C2749" s="9"/>
      <c r="D2749" t="str">
        <f>"F25G6.21"</f>
        <v>F25G6.21</v>
      </c>
      <c r="F2749" t="s">
        <v>2977</v>
      </c>
      <c r="H2749" s="12">
        <v>2.4578120077400301</v>
      </c>
      <c r="I2749" s="11">
        <v>0.26093350314551</v>
      </c>
      <c r="J2749" s="10">
        <v>0.79414378780213601</v>
      </c>
      <c r="K2749" s="29">
        <v>0.98289565623980701</v>
      </c>
    </row>
    <row r="2750" spans="1:11" x14ac:dyDescent="0.35">
      <c r="A2750" s="9" t="str">
        <f>HYPERLINK("http://www.ensembl.org/id/WBGene00198382", "WBGene00198382")</f>
        <v>WBGene00198382</v>
      </c>
      <c r="B2750" s="9"/>
      <c r="C2750" s="9"/>
      <c r="D2750" t="str">
        <f>"F26A10.15"</f>
        <v>F26A10.15</v>
      </c>
      <c r="F2750" t="s">
        <v>481</v>
      </c>
      <c r="H2750" s="12">
        <v>2.4578120077400301</v>
      </c>
      <c r="I2750" s="11">
        <v>0.26093350314551</v>
      </c>
      <c r="J2750" s="10">
        <v>0.79414378780213601</v>
      </c>
      <c r="K2750" s="29">
        <v>0.98289565623980701</v>
      </c>
    </row>
    <row r="2751" spans="1:11" x14ac:dyDescent="0.35">
      <c r="A2751" s="9" t="str">
        <f>HYPERLINK("http://www.ensembl.org/id/WBGene00196284", "WBGene00196284")</f>
        <v>WBGene00196284</v>
      </c>
      <c r="B2751" s="9"/>
      <c r="C2751" s="9"/>
      <c r="D2751" t="str">
        <f>"F26A10.9"</f>
        <v>F26A10.9</v>
      </c>
      <c r="F2751" t="s">
        <v>481</v>
      </c>
      <c r="H2751" s="12">
        <v>2.4578120077400301</v>
      </c>
      <c r="I2751" s="11">
        <v>0.26093350314551</v>
      </c>
      <c r="J2751" s="10">
        <v>0.79414378780213601</v>
      </c>
      <c r="K2751" s="29">
        <v>0.98289565623980701</v>
      </c>
    </row>
    <row r="2752" spans="1:11" x14ac:dyDescent="0.35">
      <c r="A2752" s="9" t="str">
        <f>HYPERLINK("http://www.ensembl.org/id/WBGene00219920", "WBGene00219920")</f>
        <v>WBGene00219920</v>
      </c>
      <c r="B2752" s="9"/>
      <c r="C2752" s="9"/>
      <c r="D2752" t="str">
        <f>"F27D4.11"</f>
        <v>F27D4.11</v>
      </c>
      <c r="F2752" t="s">
        <v>481</v>
      </c>
      <c r="H2752" s="12">
        <v>2.4578120077400301</v>
      </c>
      <c r="I2752" s="11">
        <v>0.26093350314551</v>
      </c>
      <c r="J2752" s="10">
        <v>0.79414378780213601</v>
      </c>
      <c r="K2752" s="29">
        <v>0.98289565623980701</v>
      </c>
    </row>
    <row r="2753" spans="1:11" x14ac:dyDescent="0.35">
      <c r="A2753" s="9" t="str">
        <f>HYPERLINK("http://www.ensembl.org/id/WBGene00196453", "WBGene00196453")</f>
        <v>WBGene00196453</v>
      </c>
      <c r="B2753" s="9"/>
      <c r="C2753" s="9"/>
      <c r="D2753" t="str">
        <f>"F27D9.10"</f>
        <v>F27D9.10</v>
      </c>
      <c r="F2753" t="s">
        <v>481</v>
      </c>
      <c r="H2753" s="12">
        <v>2.4578120077400301</v>
      </c>
      <c r="I2753" s="11">
        <v>0.26093350314551</v>
      </c>
      <c r="J2753" s="10">
        <v>0.79414378780213601</v>
      </c>
      <c r="K2753" s="29">
        <v>0.98289565623980701</v>
      </c>
    </row>
    <row r="2754" spans="1:11" x14ac:dyDescent="0.35">
      <c r="A2754" s="9" t="str">
        <f>HYPERLINK("http://www.ensembl.org/id/WBGene00195824", "WBGene00195824")</f>
        <v>WBGene00195824</v>
      </c>
      <c r="B2754" s="9"/>
      <c r="C2754" s="9"/>
      <c r="D2754" t="str">
        <f>"F27D9.9"</f>
        <v>F27D9.9</v>
      </c>
      <c r="F2754" t="s">
        <v>481</v>
      </c>
      <c r="H2754" s="12">
        <v>2.4578120077400301</v>
      </c>
      <c r="I2754" s="11">
        <v>0.26093350314551</v>
      </c>
      <c r="J2754" s="10">
        <v>0.79414378780213601</v>
      </c>
      <c r="K2754" s="29">
        <v>0.98289565623980701</v>
      </c>
    </row>
    <row r="2755" spans="1:11" x14ac:dyDescent="0.35">
      <c r="A2755" s="9" t="str">
        <f>HYPERLINK("http://www.ensembl.org/id/WBGene00200303", "WBGene00200303")</f>
        <v>WBGene00200303</v>
      </c>
      <c r="B2755" s="9"/>
      <c r="C2755" s="9"/>
      <c r="D2755" t="str">
        <f>"F29F11.14"</f>
        <v>F29F11.14</v>
      </c>
      <c r="F2755" t="s">
        <v>481</v>
      </c>
      <c r="H2755" s="12">
        <v>2.4578120077400301</v>
      </c>
      <c r="I2755" s="11">
        <v>0.26093350314551</v>
      </c>
      <c r="J2755" s="10">
        <v>0.79414378780213601</v>
      </c>
      <c r="K2755" s="29">
        <v>0.98289565623980701</v>
      </c>
    </row>
    <row r="2756" spans="1:11" x14ac:dyDescent="0.35">
      <c r="A2756" s="9" t="str">
        <f>HYPERLINK("http://www.ensembl.org/id/WBGene00009309", "WBGene00009309")</f>
        <v>WBGene00009309</v>
      </c>
      <c r="B2756" s="9"/>
      <c r="C2756" s="9"/>
      <c r="D2756" t="str">
        <f>"F32A11.4"</f>
        <v>F32A11.4</v>
      </c>
      <c r="F2756" t="s">
        <v>80</v>
      </c>
      <c r="H2756" s="12">
        <v>2.4578120077400301</v>
      </c>
      <c r="I2756" s="11">
        <v>0.26093350314551</v>
      </c>
      <c r="J2756" s="10">
        <v>0.79414378780213601</v>
      </c>
      <c r="K2756" s="29">
        <v>0.98289565623980701</v>
      </c>
    </row>
    <row r="2757" spans="1:11" x14ac:dyDescent="0.35">
      <c r="A2757" s="9" t="str">
        <f>HYPERLINK("http://www.ensembl.org/id/WBGene00199069", "WBGene00199069")</f>
        <v>WBGene00199069</v>
      </c>
      <c r="B2757" s="9"/>
      <c r="C2757" s="9"/>
      <c r="D2757" t="str">
        <f>"F35B12.13"</f>
        <v>F35B12.13</v>
      </c>
      <c r="F2757" t="s">
        <v>481</v>
      </c>
      <c r="H2757" s="12">
        <v>2.4578120077400301</v>
      </c>
      <c r="I2757" s="11">
        <v>0.26093350314551</v>
      </c>
      <c r="J2757" s="10">
        <v>0.79414378780213601</v>
      </c>
      <c r="K2757" s="29">
        <v>0.98289565623980701</v>
      </c>
    </row>
    <row r="2758" spans="1:11" x14ac:dyDescent="0.35">
      <c r="A2758" s="9" t="str">
        <f>HYPERLINK("http://www.ensembl.org/id/WBGene00018059", "WBGene00018059")</f>
        <v>WBGene00018059</v>
      </c>
      <c r="B2758" s="9"/>
      <c r="C2758" s="9"/>
      <c r="D2758" t="str">
        <f>"F35F10.10"</f>
        <v>F35F10.10</v>
      </c>
      <c r="F2758" t="s">
        <v>80</v>
      </c>
      <c r="H2758" s="12">
        <v>2.4578120077400301</v>
      </c>
      <c r="I2758" s="11">
        <v>0.26093350314551</v>
      </c>
      <c r="J2758" s="10">
        <v>0.79414378780213601</v>
      </c>
      <c r="K2758" s="29">
        <v>0.98289565623980701</v>
      </c>
    </row>
    <row r="2759" spans="1:11" x14ac:dyDescent="0.35">
      <c r="A2759" s="9" t="str">
        <f>HYPERLINK("http://www.ensembl.org/id/WBGene00219937", "WBGene00219937")</f>
        <v>WBGene00219937</v>
      </c>
      <c r="B2759" s="9"/>
      <c r="C2759" s="9"/>
      <c r="D2759" t="str">
        <f>"F37F2.4"</f>
        <v>F37F2.4</v>
      </c>
      <c r="F2759" t="s">
        <v>2977</v>
      </c>
      <c r="H2759" s="12">
        <v>2.4578120077400301</v>
      </c>
      <c r="I2759" s="11">
        <v>0.26093350314551</v>
      </c>
      <c r="J2759" s="10">
        <v>0.79414378780213601</v>
      </c>
      <c r="K2759" s="29">
        <v>0.98289565623980701</v>
      </c>
    </row>
    <row r="2760" spans="1:11" x14ac:dyDescent="0.35">
      <c r="A2760" s="9" t="str">
        <f>HYPERLINK("http://www.ensembl.org/id/WBGene00202418", "WBGene00202418")</f>
        <v>WBGene00202418</v>
      </c>
      <c r="B2760" s="9"/>
      <c r="C2760" s="9"/>
      <c r="D2760" t="str">
        <f>"F41D9.15"</f>
        <v>F41D9.15</v>
      </c>
      <c r="F2760" t="s">
        <v>481</v>
      </c>
      <c r="H2760" s="12">
        <v>2.4578120077400301</v>
      </c>
      <c r="I2760" s="11">
        <v>0.26093350314551</v>
      </c>
      <c r="J2760" s="10">
        <v>0.79414378780213601</v>
      </c>
      <c r="K2760" s="29">
        <v>0.98289565623980701</v>
      </c>
    </row>
    <row r="2761" spans="1:11" x14ac:dyDescent="0.35">
      <c r="A2761" s="9" t="str">
        <f>HYPERLINK("http://www.ensembl.org/id/WBGene00219545", "WBGene00219545")</f>
        <v>WBGene00219545</v>
      </c>
      <c r="B2761" s="9"/>
      <c r="C2761" s="9"/>
      <c r="D2761" t="str">
        <f>"F41E7.19"</f>
        <v>F41E7.19</v>
      </c>
      <c r="F2761" t="s">
        <v>481</v>
      </c>
      <c r="H2761" s="12">
        <v>2.4578120077400301</v>
      </c>
      <c r="I2761" s="11">
        <v>0.26093350314551</v>
      </c>
      <c r="J2761" s="10">
        <v>0.79414378780213601</v>
      </c>
      <c r="K2761" s="29">
        <v>0.98289565623980701</v>
      </c>
    </row>
    <row r="2762" spans="1:11" x14ac:dyDescent="0.35">
      <c r="A2762" s="9" t="str">
        <f>HYPERLINK("http://www.ensembl.org/id/WBGene00200019", "WBGene00200019")</f>
        <v>WBGene00200019</v>
      </c>
      <c r="B2762" s="9"/>
      <c r="C2762" s="9"/>
      <c r="D2762" t="str">
        <f>"F43D2.13"</f>
        <v>F43D2.13</v>
      </c>
      <c r="F2762" t="s">
        <v>481</v>
      </c>
      <c r="H2762" s="12">
        <v>2.4578120077400301</v>
      </c>
      <c r="I2762" s="11">
        <v>0.26093350314551</v>
      </c>
      <c r="J2762" s="10">
        <v>0.79414378780213601</v>
      </c>
      <c r="K2762" s="29">
        <v>0.98289565623980701</v>
      </c>
    </row>
    <row r="2763" spans="1:11" x14ac:dyDescent="0.35">
      <c r="A2763" s="9" t="str">
        <f>HYPERLINK("http://www.ensembl.org/id/WBGene00198826", "WBGene00198826")</f>
        <v>WBGene00198826</v>
      </c>
      <c r="B2763" s="9"/>
      <c r="C2763" s="9"/>
      <c r="D2763" t="str">
        <f>"F43G9.16"</f>
        <v>F43G9.16</v>
      </c>
      <c r="F2763" t="s">
        <v>481</v>
      </c>
      <c r="H2763" s="12">
        <v>2.4578120077400301</v>
      </c>
      <c r="I2763" s="11">
        <v>0.26093350314551</v>
      </c>
      <c r="J2763" s="10">
        <v>0.79414378780213601</v>
      </c>
      <c r="K2763" s="29">
        <v>0.98289565623980701</v>
      </c>
    </row>
    <row r="2764" spans="1:11" x14ac:dyDescent="0.35">
      <c r="A2764" s="9" t="str">
        <f>HYPERLINK("http://www.ensembl.org/id/WBGene00045002", "WBGene00045002")</f>
        <v>WBGene00045002</v>
      </c>
      <c r="B2764" s="9"/>
      <c r="C2764" s="9"/>
      <c r="D2764" t="str">
        <f>"F44D12.12"</f>
        <v>F44D12.12</v>
      </c>
      <c r="F2764" t="s">
        <v>80</v>
      </c>
      <c r="H2764" s="12">
        <v>2.4578120077400301</v>
      </c>
      <c r="I2764" s="11">
        <v>0.26093350314551</v>
      </c>
      <c r="J2764" s="10">
        <v>0.79414378780213601</v>
      </c>
      <c r="K2764" s="29">
        <v>0.98289565623980701</v>
      </c>
    </row>
    <row r="2765" spans="1:11" x14ac:dyDescent="0.35">
      <c r="A2765" s="9" t="str">
        <f>HYPERLINK("http://www.ensembl.org/id/WBGene00009767", "WBGene00009767")</f>
        <v>WBGene00009767</v>
      </c>
      <c r="B2765" s="9" t="str">
        <f>HYPERLINK("http://www.ncbi.nlm.nih.gov/gene/185838", "185838")</f>
        <v>185838</v>
      </c>
      <c r="C2765" s="9"/>
      <c r="D2765" t="str">
        <f>"F46B3.16"</f>
        <v>F46B3.16</v>
      </c>
      <c r="F2765" t="s">
        <v>11</v>
      </c>
      <c r="H2765" s="12">
        <v>2.4578120077400301</v>
      </c>
      <c r="I2765" s="11">
        <v>0.26093350314551</v>
      </c>
      <c r="J2765" s="10">
        <v>0.79414378780213601</v>
      </c>
      <c r="K2765" s="29">
        <v>0.98289565623980701</v>
      </c>
    </row>
    <row r="2766" spans="1:11" x14ac:dyDescent="0.35">
      <c r="A2766" s="9" t="str">
        <f>HYPERLINK("http://www.ensembl.org/id/WBGene00198910", "WBGene00198910")</f>
        <v>WBGene00198910</v>
      </c>
      <c r="B2766" s="9"/>
      <c r="C2766" s="9"/>
      <c r="D2766" t="str">
        <f>"F46C8.17"</f>
        <v>F46C8.17</v>
      </c>
      <c r="F2766" t="s">
        <v>481</v>
      </c>
      <c r="H2766" s="12">
        <v>2.4578120077400301</v>
      </c>
      <c r="I2766" s="11">
        <v>0.26093350314551</v>
      </c>
      <c r="J2766" s="10">
        <v>0.79414378780213601</v>
      </c>
      <c r="K2766" s="29">
        <v>0.98289565623980701</v>
      </c>
    </row>
    <row r="2767" spans="1:11" x14ac:dyDescent="0.35">
      <c r="A2767" s="9" t="str">
        <f>HYPERLINK("http://www.ensembl.org/id/WBGene00018502", "WBGene00018502")</f>
        <v>WBGene00018502</v>
      </c>
      <c r="B2767" s="9" t="str">
        <f>HYPERLINK("http://www.ncbi.nlm.nih.gov/gene/185864", "185864")</f>
        <v>185864</v>
      </c>
      <c r="C2767" s="9"/>
      <c r="D2767" t="str">
        <f>"F46F5.11"</f>
        <v>F46F5.11</v>
      </c>
      <c r="F2767" t="s">
        <v>11</v>
      </c>
      <c r="G2767" t="s">
        <v>25</v>
      </c>
      <c r="H2767" s="12">
        <v>2.4578120077400301</v>
      </c>
      <c r="I2767" s="11">
        <v>0.26093350314551</v>
      </c>
      <c r="J2767" s="10">
        <v>0.79414378780213601</v>
      </c>
      <c r="K2767" s="29">
        <v>0.98289565623980701</v>
      </c>
    </row>
    <row r="2768" spans="1:11" x14ac:dyDescent="0.35">
      <c r="A2768" s="9" t="str">
        <f>HYPERLINK("http://www.ensembl.org/id/WBGene00018505", "WBGene00018505")</f>
        <v>WBGene00018505</v>
      </c>
      <c r="B2768" s="9" t="str">
        <f>HYPERLINK("http://www.ncbi.nlm.nih.gov/gene/185867", "185867")</f>
        <v>185867</v>
      </c>
      <c r="C2768" s="9"/>
      <c r="D2768" t="str">
        <f>"F46F5.14"</f>
        <v>F46F5.14</v>
      </c>
      <c r="F2768" t="s">
        <v>11</v>
      </c>
      <c r="G2768" t="s">
        <v>25</v>
      </c>
      <c r="H2768" s="12">
        <v>2.4578120077400301</v>
      </c>
      <c r="I2768" s="11">
        <v>0.26093350314551</v>
      </c>
      <c r="J2768" s="10">
        <v>0.79414378780213601</v>
      </c>
      <c r="K2768" s="29">
        <v>0.98289565623980701</v>
      </c>
    </row>
    <row r="2769" spans="1:11" x14ac:dyDescent="0.35">
      <c r="A2769" s="9" t="str">
        <f>HYPERLINK("http://www.ensembl.org/id/WBGene00197986", "WBGene00197986")</f>
        <v>WBGene00197986</v>
      </c>
      <c r="B2769" s="9"/>
      <c r="C2769" s="9"/>
      <c r="D2769" t="str">
        <f>"F46H6.9"</f>
        <v>F46H6.9</v>
      </c>
      <c r="F2769" t="s">
        <v>481</v>
      </c>
      <c r="H2769" s="12">
        <v>2.4578120077400301</v>
      </c>
      <c r="I2769" s="11">
        <v>0.26093350314551</v>
      </c>
      <c r="J2769" s="10">
        <v>0.79414378780213601</v>
      </c>
      <c r="K2769" s="29">
        <v>0.98289565623980701</v>
      </c>
    </row>
    <row r="2770" spans="1:11" x14ac:dyDescent="0.35">
      <c r="A2770" s="9" t="str">
        <f>HYPERLINK("http://www.ensembl.org/id/WBGene00195614", "WBGene00195614")</f>
        <v>WBGene00195614</v>
      </c>
      <c r="B2770" s="9"/>
      <c r="C2770" s="9"/>
      <c r="D2770" t="str">
        <f>"F48C5.4"</f>
        <v>F48C5.4</v>
      </c>
      <c r="F2770" t="s">
        <v>481</v>
      </c>
      <c r="H2770" s="12">
        <v>2.4578120077400301</v>
      </c>
      <c r="I2770" s="11">
        <v>0.26093350314551</v>
      </c>
      <c r="J2770" s="10">
        <v>0.79414378780213601</v>
      </c>
      <c r="K2770" s="29">
        <v>0.98289565623980701</v>
      </c>
    </row>
    <row r="2771" spans="1:11" x14ac:dyDescent="0.35">
      <c r="A2771" s="9" t="str">
        <f>HYPERLINK("http://www.ensembl.org/id/WBGene00197572", "WBGene00197572")</f>
        <v>WBGene00197572</v>
      </c>
      <c r="B2771" s="9"/>
      <c r="C2771" s="9"/>
      <c r="D2771" t="str">
        <f>"F52B10.13"</f>
        <v>F52B10.13</v>
      </c>
      <c r="F2771" t="s">
        <v>481</v>
      </c>
      <c r="H2771" s="12">
        <v>2.4578120077400301</v>
      </c>
      <c r="I2771" s="11">
        <v>0.26093350314551</v>
      </c>
      <c r="J2771" s="10">
        <v>0.79414378780213601</v>
      </c>
      <c r="K2771" s="29">
        <v>0.98289565623980701</v>
      </c>
    </row>
    <row r="2772" spans="1:11" x14ac:dyDescent="0.35">
      <c r="A2772" s="9" t="str">
        <f>HYPERLINK("http://www.ensembl.org/id/WBGene00199946", "WBGene00199946")</f>
        <v>WBGene00199946</v>
      </c>
      <c r="B2772" s="9"/>
      <c r="C2772" s="9"/>
      <c r="D2772" t="str">
        <f>"F52B5.10"</f>
        <v>F52B5.10</v>
      </c>
      <c r="F2772" t="s">
        <v>481</v>
      </c>
      <c r="H2772" s="12">
        <v>2.4578120077400301</v>
      </c>
      <c r="I2772" s="11">
        <v>0.26093350314551</v>
      </c>
      <c r="J2772" s="10">
        <v>0.79414378780213601</v>
      </c>
      <c r="K2772" s="29">
        <v>0.98289565623980701</v>
      </c>
    </row>
    <row r="2773" spans="1:11" x14ac:dyDescent="0.35">
      <c r="A2773" s="9" t="str">
        <f>HYPERLINK("http://www.ensembl.org/id/WBGene00010016", "WBGene00010016")</f>
        <v>WBGene00010016</v>
      </c>
      <c r="B2773" s="9" t="str">
        <f>HYPERLINK("http://www.ncbi.nlm.nih.gov/gene/186199", "186199")</f>
        <v>186199</v>
      </c>
      <c r="C2773" s="9"/>
      <c r="D2773" t="str">
        <f>"F54B8.1"</f>
        <v>F54B8.1</v>
      </c>
      <c r="F2773" t="s">
        <v>11</v>
      </c>
      <c r="H2773" s="12">
        <v>2.4578120077400301</v>
      </c>
      <c r="I2773" s="11">
        <v>0.26093350314551</v>
      </c>
      <c r="J2773" s="10">
        <v>0.79414378780213601</v>
      </c>
      <c r="K2773" s="29">
        <v>0.98289565623980701</v>
      </c>
    </row>
    <row r="2774" spans="1:11" x14ac:dyDescent="0.35">
      <c r="A2774" s="9" t="str">
        <f>HYPERLINK("http://www.ensembl.org/id/WBGene00199001", "WBGene00199001")</f>
        <v>WBGene00199001</v>
      </c>
      <c r="B2774" s="9"/>
      <c r="C2774" s="9"/>
      <c r="D2774" t="str">
        <f>"F54F11.4"</f>
        <v>F54F11.4</v>
      </c>
      <c r="F2774" t="s">
        <v>481</v>
      </c>
      <c r="H2774" s="12">
        <v>2.4578120077400301</v>
      </c>
      <c r="I2774" s="11">
        <v>0.26093350314551</v>
      </c>
      <c r="J2774" s="10">
        <v>0.79414378780213601</v>
      </c>
      <c r="K2774" s="29">
        <v>0.98289565623980701</v>
      </c>
    </row>
    <row r="2775" spans="1:11" x14ac:dyDescent="0.35">
      <c r="A2775" s="9" t="str">
        <f>HYPERLINK("http://www.ensembl.org/id/WBGene00219970", "WBGene00219970")</f>
        <v>WBGene00219970</v>
      </c>
      <c r="B2775" s="9"/>
      <c r="C2775" s="9"/>
      <c r="D2775" t="str">
        <f>"F54F12.6"</f>
        <v>F54F12.6</v>
      </c>
      <c r="F2775" t="s">
        <v>481</v>
      </c>
      <c r="H2775" s="12">
        <v>2.4578120077400301</v>
      </c>
      <c r="I2775" s="11">
        <v>0.26093350314551</v>
      </c>
      <c r="J2775" s="10">
        <v>0.79414378780213601</v>
      </c>
      <c r="K2775" s="29">
        <v>0.98289565623980701</v>
      </c>
    </row>
    <row r="2776" spans="1:11" x14ac:dyDescent="0.35">
      <c r="A2776" s="9" t="str">
        <f>HYPERLINK("http://www.ensembl.org/id/WBGene00201864", "WBGene00201864")</f>
        <v>WBGene00201864</v>
      </c>
      <c r="B2776" s="9"/>
      <c r="C2776" s="9"/>
      <c r="D2776" t="str">
        <f>"F54H5.12"</f>
        <v>F54H5.12</v>
      </c>
      <c r="F2776" t="s">
        <v>481</v>
      </c>
      <c r="H2776" s="12">
        <v>2.4578120077400301</v>
      </c>
      <c r="I2776" s="11">
        <v>0.26093350314551</v>
      </c>
      <c r="J2776" s="10">
        <v>0.79414378780213601</v>
      </c>
      <c r="K2776" s="29">
        <v>0.98289565623980701</v>
      </c>
    </row>
    <row r="2777" spans="1:11" x14ac:dyDescent="0.35">
      <c r="A2777" s="9" t="str">
        <f>HYPERLINK("http://www.ensembl.org/id/WBGene00199925", "WBGene00199925")</f>
        <v>WBGene00199925</v>
      </c>
      <c r="B2777" s="9"/>
      <c r="C2777" s="9"/>
      <c r="D2777" t="str">
        <f>"F55E10.11"</f>
        <v>F55E10.11</v>
      </c>
      <c r="F2777" t="s">
        <v>481</v>
      </c>
      <c r="H2777" s="12">
        <v>2.4578120077400301</v>
      </c>
      <c r="I2777" s="11">
        <v>0.26093350314551</v>
      </c>
      <c r="J2777" s="10">
        <v>0.79414378780213601</v>
      </c>
      <c r="K2777" s="29">
        <v>0.98289565623980701</v>
      </c>
    </row>
    <row r="2778" spans="1:11" x14ac:dyDescent="0.35">
      <c r="A2778" s="9" t="str">
        <f>HYPERLINK("http://www.ensembl.org/id/WBGene00219978", "WBGene00219978")</f>
        <v>WBGene00219978</v>
      </c>
      <c r="B2778" s="9"/>
      <c r="C2778" s="9"/>
      <c r="D2778" t="str">
        <f>"F56A11.14"</f>
        <v>F56A11.14</v>
      </c>
      <c r="F2778" t="s">
        <v>2977</v>
      </c>
      <c r="H2778" s="12">
        <v>2.4578120077400301</v>
      </c>
      <c r="I2778" s="11">
        <v>0.26093350314551</v>
      </c>
      <c r="J2778" s="10">
        <v>0.79414378780213601</v>
      </c>
      <c r="K2778" s="29">
        <v>0.98289565623980701</v>
      </c>
    </row>
    <row r="2779" spans="1:11" x14ac:dyDescent="0.35">
      <c r="A2779" s="9" t="str">
        <f>HYPERLINK("http://www.ensembl.org/id/WBGene00014773", "WBGene00014773")</f>
        <v>WBGene00014773</v>
      </c>
      <c r="B2779" s="9"/>
      <c r="C2779" s="9"/>
      <c r="D2779" t="str">
        <f>"F56D5.8"</f>
        <v>F56D5.8</v>
      </c>
      <c r="F2779" t="s">
        <v>80</v>
      </c>
      <c r="H2779" s="12">
        <v>2.4578120077400301</v>
      </c>
      <c r="I2779" s="11">
        <v>0.26093350314551</v>
      </c>
      <c r="J2779" s="10">
        <v>0.79414378780213601</v>
      </c>
      <c r="K2779" s="29">
        <v>0.98289565623980701</v>
      </c>
    </row>
    <row r="2780" spans="1:11" x14ac:dyDescent="0.35">
      <c r="A2780" s="9" t="str">
        <f>HYPERLINK("http://www.ensembl.org/id/WBGene00197471", "WBGene00197471")</f>
        <v>WBGene00197471</v>
      </c>
      <c r="B2780" s="9"/>
      <c r="C2780" s="9"/>
      <c r="D2780" t="str">
        <f>"F56E3.10"</f>
        <v>F56E3.10</v>
      </c>
      <c r="F2780" t="s">
        <v>481</v>
      </c>
      <c r="H2780" s="12">
        <v>2.4578120077400301</v>
      </c>
      <c r="I2780" s="11">
        <v>0.26093350314551</v>
      </c>
      <c r="J2780" s="10">
        <v>0.79414378780213601</v>
      </c>
      <c r="K2780" s="29">
        <v>0.98289565623980701</v>
      </c>
    </row>
    <row r="2781" spans="1:11" x14ac:dyDescent="0.35">
      <c r="A2781" s="9" t="str">
        <f>HYPERLINK("http://www.ensembl.org/id/WBGene00195324", "WBGene00195324")</f>
        <v>WBGene00195324</v>
      </c>
      <c r="B2781" s="9"/>
      <c r="C2781" s="9"/>
      <c r="D2781" t="str">
        <f>"F56E3.5"</f>
        <v>F56E3.5</v>
      </c>
      <c r="F2781" t="s">
        <v>481</v>
      </c>
      <c r="H2781" s="12">
        <v>2.4578120077400301</v>
      </c>
      <c r="I2781" s="11">
        <v>0.26093350314551</v>
      </c>
      <c r="J2781" s="10">
        <v>0.79414378780213601</v>
      </c>
      <c r="K2781" s="29">
        <v>0.98289565623980701</v>
      </c>
    </row>
    <row r="2782" spans="1:11" x14ac:dyDescent="0.35">
      <c r="A2782" s="9" t="str">
        <f>HYPERLINK("http://www.ensembl.org/id/WBGene00196231", "WBGene00196231")</f>
        <v>WBGene00196231</v>
      </c>
      <c r="B2782" s="9"/>
      <c r="C2782" s="9"/>
      <c r="D2782" t="str">
        <f>"F57B7.6"</f>
        <v>F57B7.6</v>
      </c>
      <c r="F2782" t="s">
        <v>481</v>
      </c>
      <c r="H2782" s="12">
        <v>2.4578120077400301</v>
      </c>
      <c r="I2782" s="11">
        <v>0.26093350314551</v>
      </c>
      <c r="J2782" s="10">
        <v>0.79414378780213601</v>
      </c>
      <c r="K2782" s="29">
        <v>0.98289565623980701</v>
      </c>
    </row>
    <row r="2783" spans="1:11" x14ac:dyDescent="0.35">
      <c r="A2783" s="9" t="str">
        <f>HYPERLINK("http://www.ensembl.org/id/WBGene00201239", "WBGene00201239")</f>
        <v>WBGene00201239</v>
      </c>
      <c r="B2783" s="9"/>
      <c r="C2783" s="9"/>
      <c r="D2783" t="str">
        <f>"F57G12.13"</f>
        <v>F57G12.13</v>
      </c>
      <c r="F2783" t="s">
        <v>481</v>
      </c>
      <c r="H2783" s="12">
        <v>2.4578120077400301</v>
      </c>
      <c r="I2783" s="11">
        <v>0.26093350314551</v>
      </c>
      <c r="J2783" s="10">
        <v>0.79414378780213601</v>
      </c>
      <c r="K2783" s="29">
        <v>0.98289565623980701</v>
      </c>
    </row>
    <row r="2784" spans="1:11" x14ac:dyDescent="0.35">
      <c r="A2784" s="9" t="str">
        <f>HYPERLINK("http://www.ensembl.org/id/WBGene00199862", "WBGene00199862")</f>
        <v>WBGene00199862</v>
      </c>
      <c r="B2784" s="9"/>
      <c r="C2784" s="9"/>
      <c r="D2784" t="str">
        <f>"F59B10.8"</f>
        <v>F59B10.8</v>
      </c>
      <c r="F2784" t="s">
        <v>481</v>
      </c>
      <c r="H2784" s="12">
        <v>2.4578120077400301</v>
      </c>
      <c r="I2784" s="11">
        <v>0.26093350314551</v>
      </c>
      <c r="J2784" s="10">
        <v>0.79414378780213601</v>
      </c>
      <c r="K2784" s="29">
        <v>0.98289565623980701</v>
      </c>
    </row>
    <row r="2785" spans="1:11" x14ac:dyDescent="0.35">
      <c r="A2785" s="9" t="str">
        <f>HYPERLINK("http://www.ensembl.org/id/WBGene00023075", "WBGene00023075")</f>
        <v>WBGene00023075</v>
      </c>
      <c r="B2785" s="9"/>
      <c r="C2785" s="9"/>
      <c r="D2785" t="str">
        <f>"F59C12.t1"</f>
        <v>F59C12.t1</v>
      </c>
      <c r="F2785" t="s">
        <v>4208</v>
      </c>
      <c r="H2785" s="12">
        <v>2.4578120077400301</v>
      </c>
      <c r="I2785" s="11">
        <v>0.26093350314551</v>
      </c>
      <c r="J2785" s="10">
        <v>0.79414378780213601</v>
      </c>
      <c r="K2785" s="29">
        <v>0.98289565623980701</v>
      </c>
    </row>
    <row r="2786" spans="1:11" x14ac:dyDescent="0.35">
      <c r="A2786" s="9" t="str">
        <f>HYPERLINK("http://www.ensembl.org/id/WBGene00198201", "WBGene00198201")</f>
        <v>WBGene00198201</v>
      </c>
      <c r="B2786" s="9"/>
      <c r="C2786" s="9"/>
      <c r="D2786" t="str">
        <f>"F59H5.5"</f>
        <v>F59H5.5</v>
      </c>
      <c r="F2786" t="s">
        <v>481</v>
      </c>
      <c r="H2786" s="12">
        <v>2.4578120077400301</v>
      </c>
      <c r="I2786" s="11">
        <v>0.26093350314551</v>
      </c>
      <c r="J2786" s="10">
        <v>0.79414378780213601</v>
      </c>
      <c r="K2786" s="29">
        <v>0.98289565623980701</v>
      </c>
    </row>
    <row r="2787" spans="1:11" x14ac:dyDescent="0.35">
      <c r="A2787" s="9" t="str">
        <f>HYPERLINK("http://www.ensembl.org/id/WBGene00021297", "WBGene00021297")</f>
        <v>WBGene00021297</v>
      </c>
      <c r="B2787" s="9" t="str">
        <f>HYPERLINK("http://www.ncbi.nlm.nih.gov/gene/189559", "189559")</f>
        <v>189559</v>
      </c>
      <c r="C2787" s="9"/>
      <c r="D2787" t="str">
        <f>"fbxc-55"</f>
        <v>fbxc-55</v>
      </c>
      <c r="E2787" t="s">
        <v>311</v>
      </c>
      <c r="F2787" t="s">
        <v>11</v>
      </c>
      <c r="H2787" s="12">
        <v>2.4578120077400301</v>
      </c>
      <c r="I2787" s="11">
        <v>0.26093350314551</v>
      </c>
      <c r="J2787" s="10">
        <v>0.79414378780213601</v>
      </c>
      <c r="K2787" s="29">
        <v>0.98289565623980701</v>
      </c>
    </row>
    <row r="2788" spans="1:11" x14ac:dyDescent="0.35">
      <c r="A2788" s="9" t="str">
        <f>HYPERLINK("http://www.ensembl.org/id/WBGene00043986", "WBGene00043986")</f>
        <v>WBGene00043986</v>
      </c>
      <c r="B2788" s="9" t="str">
        <f>HYPERLINK("http://www.ncbi.nlm.nih.gov/gene/3565968", "3565968")</f>
        <v>3565968</v>
      </c>
      <c r="C2788" s="9"/>
      <c r="D2788" t="str">
        <f>"fut-5"</f>
        <v>fut-5</v>
      </c>
      <c r="E2788" t="s">
        <v>4380</v>
      </c>
      <c r="F2788" t="s">
        <v>11</v>
      </c>
      <c r="G2788" t="s">
        <v>1608</v>
      </c>
      <c r="H2788" s="12">
        <v>2.4578120077400301</v>
      </c>
      <c r="I2788" s="11">
        <v>0.26093350314551</v>
      </c>
      <c r="J2788" s="10">
        <v>0.79414378780213601</v>
      </c>
      <c r="K2788" s="29">
        <v>0.98289565623980701</v>
      </c>
    </row>
    <row r="2789" spans="1:11" x14ac:dyDescent="0.35">
      <c r="A2789" s="9" t="str">
        <f>HYPERLINK("http://www.ensembl.org/id/WBGene00011781", "WBGene00011781")</f>
        <v>WBGene00011781</v>
      </c>
      <c r="B2789" s="9" t="str">
        <f>HYPERLINK("http://www.ncbi.nlm.nih.gov/gene/188533", "188533")</f>
        <v>188533</v>
      </c>
      <c r="C2789" s="9"/>
      <c r="D2789" t="str">
        <f>"glct-3"</f>
        <v>glct-3</v>
      </c>
      <c r="E2789" t="s">
        <v>4381</v>
      </c>
      <c r="F2789" t="s">
        <v>11</v>
      </c>
      <c r="G2789" t="s">
        <v>4382</v>
      </c>
      <c r="H2789" s="12">
        <v>2.4578120077400301</v>
      </c>
      <c r="I2789" s="11">
        <v>0.26093350314551</v>
      </c>
      <c r="J2789" s="10">
        <v>0.79414378780213601</v>
      </c>
      <c r="K2789" s="29">
        <v>0.98289565623980701</v>
      </c>
    </row>
    <row r="2790" spans="1:11" x14ac:dyDescent="0.35">
      <c r="A2790" s="9" t="str">
        <f>HYPERLINK("http://www.ensembl.org/id/WBGene00045378", "WBGene00045378")</f>
        <v>WBGene00045378</v>
      </c>
      <c r="B2790" s="9"/>
      <c r="C2790" s="9"/>
      <c r="D2790" t="str">
        <f>"H04D03.5"</f>
        <v>H04D03.5</v>
      </c>
      <c r="F2790" t="s">
        <v>2977</v>
      </c>
      <c r="H2790" s="12">
        <v>2.4578120077400301</v>
      </c>
      <c r="I2790" s="11">
        <v>0.26093350314551</v>
      </c>
      <c r="J2790" s="10">
        <v>0.79414378780213601</v>
      </c>
      <c r="K2790" s="29">
        <v>0.98289565623980701</v>
      </c>
    </row>
    <row r="2791" spans="1:11" x14ac:dyDescent="0.35">
      <c r="A2791" s="9" t="str">
        <f>HYPERLINK("http://www.ensembl.org/id/WBGene00044940", "WBGene00044940")</f>
        <v>WBGene00044940</v>
      </c>
      <c r="B2791" s="9"/>
      <c r="C2791" s="9"/>
      <c r="D2791" t="str">
        <f>"H06I04.8"</f>
        <v>H06I04.8</v>
      </c>
      <c r="F2791" t="s">
        <v>2977</v>
      </c>
      <c r="H2791" s="12">
        <v>2.4578120077400301</v>
      </c>
      <c r="I2791" s="11">
        <v>0.26093350314551</v>
      </c>
      <c r="J2791" s="10">
        <v>0.79414378780213601</v>
      </c>
      <c r="K2791" s="29">
        <v>0.98289565623980701</v>
      </c>
    </row>
    <row r="2792" spans="1:11" x14ac:dyDescent="0.35">
      <c r="A2792" s="9" t="str">
        <f>HYPERLINK("http://www.ensembl.org/id/WBGene00201649", "WBGene00201649")</f>
        <v>WBGene00201649</v>
      </c>
      <c r="B2792" s="9"/>
      <c r="C2792" s="9"/>
      <c r="D2792" t="str">
        <f>"H30A04.12"</f>
        <v>H30A04.12</v>
      </c>
      <c r="F2792" t="s">
        <v>481</v>
      </c>
      <c r="H2792" s="12">
        <v>2.4578120077400301</v>
      </c>
      <c r="I2792" s="11">
        <v>0.26093350314551</v>
      </c>
      <c r="J2792" s="10">
        <v>0.79414378780213601</v>
      </c>
      <c r="K2792" s="29">
        <v>0.98289565623980701</v>
      </c>
    </row>
    <row r="2793" spans="1:11" x14ac:dyDescent="0.35">
      <c r="A2793" s="9" t="str">
        <f>HYPERLINK("http://www.ensembl.org/id/WBGene00198590", "WBGene00198590")</f>
        <v>WBGene00198590</v>
      </c>
      <c r="B2793" s="9"/>
      <c r="C2793" s="9"/>
      <c r="D2793" t="str">
        <f>"H30A04.4"</f>
        <v>H30A04.4</v>
      </c>
      <c r="F2793" t="s">
        <v>481</v>
      </c>
      <c r="H2793" s="12">
        <v>2.4578120077400301</v>
      </c>
      <c r="I2793" s="11">
        <v>0.26093350314551</v>
      </c>
      <c r="J2793" s="10">
        <v>0.79414378780213601</v>
      </c>
      <c r="K2793" s="29">
        <v>0.98289565623980701</v>
      </c>
    </row>
    <row r="2794" spans="1:11" x14ac:dyDescent="0.35">
      <c r="A2794" s="9" t="str">
        <f>HYPERLINK("http://www.ensembl.org/id/WBGene00199997", "WBGene00199997")</f>
        <v>WBGene00199997</v>
      </c>
      <c r="B2794" s="9"/>
      <c r="C2794" s="9"/>
      <c r="D2794" t="str">
        <f>"H32C10.97"</f>
        <v>H32C10.97</v>
      </c>
      <c r="F2794" t="s">
        <v>481</v>
      </c>
      <c r="H2794" s="12">
        <v>2.4578120077400301</v>
      </c>
      <c r="I2794" s="11">
        <v>0.26093350314551</v>
      </c>
      <c r="J2794" s="10">
        <v>0.79414378780213601</v>
      </c>
      <c r="K2794" s="29">
        <v>0.98289565623980701</v>
      </c>
    </row>
    <row r="2795" spans="1:11" x14ac:dyDescent="0.35">
      <c r="A2795" s="9" t="str">
        <f>HYPERLINK("http://www.ensembl.org/id/WBGene00010414", "WBGene00010414")</f>
        <v>WBGene00010414</v>
      </c>
      <c r="B2795" s="9" t="str">
        <f>HYPERLINK("http://www.ncbi.nlm.nih.gov/gene/186781", "186781")</f>
        <v>186781</v>
      </c>
      <c r="C2795" s="9"/>
      <c r="D2795" t="str">
        <f>"hpa-1"</f>
        <v>hpa-1</v>
      </c>
      <c r="E2795" t="s">
        <v>4388</v>
      </c>
      <c r="F2795" t="s">
        <v>11</v>
      </c>
      <c r="G2795" t="s">
        <v>25</v>
      </c>
      <c r="H2795" s="12">
        <v>2.4578120077400301</v>
      </c>
      <c r="I2795" s="11">
        <v>0.26093350314551</v>
      </c>
      <c r="J2795" s="10">
        <v>0.79414378780213601</v>
      </c>
      <c r="K2795" s="29">
        <v>0.98289565623980701</v>
      </c>
    </row>
    <row r="2796" spans="1:11" x14ac:dyDescent="0.35">
      <c r="A2796" s="9" t="str">
        <f>HYPERLINK("http://www.ensembl.org/id/WBGene00014415", "WBGene00014415")</f>
        <v>WBGene00014415</v>
      </c>
      <c r="B2796" s="9"/>
      <c r="C2796" s="9"/>
      <c r="D2796" t="str">
        <f>"K01A11.t1"</f>
        <v>K01A11.t1</v>
      </c>
      <c r="F2796" t="s">
        <v>4208</v>
      </c>
      <c r="H2796" s="12">
        <v>2.4578120077400301</v>
      </c>
      <c r="I2796" s="11">
        <v>0.26093350314551</v>
      </c>
      <c r="J2796" s="10">
        <v>0.79414378780213601</v>
      </c>
      <c r="K2796" s="29">
        <v>0.98289565623980701</v>
      </c>
    </row>
    <row r="2797" spans="1:11" x14ac:dyDescent="0.35">
      <c r="A2797" s="9" t="str">
        <f>HYPERLINK("http://www.ensembl.org/id/WBGene00197950", "WBGene00197950")</f>
        <v>WBGene00197950</v>
      </c>
      <c r="B2797" s="9"/>
      <c r="C2797" s="9"/>
      <c r="D2797" t="str">
        <f>"K02B12.11"</f>
        <v>K02B12.11</v>
      </c>
      <c r="F2797" t="s">
        <v>481</v>
      </c>
      <c r="H2797" s="12">
        <v>2.4578120077400301</v>
      </c>
      <c r="I2797" s="11">
        <v>0.26093350314551</v>
      </c>
      <c r="J2797" s="10">
        <v>0.79414378780213601</v>
      </c>
      <c r="K2797" s="29">
        <v>0.98289565623980701</v>
      </c>
    </row>
    <row r="2798" spans="1:11" x14ac:dyDescent="0.35">
      <c r="A2798" s="9" t="str">
        <f>HYPERLINK("http://www.ensembl.org/id/WBGene00195495", "WBGene00195495")</f>
        <v>WBGene00195495</v>
      </c>
      <c r="B2798" s="9"/>
      <c r="C2798" s="9"/>
      <c r="D2798" t="str">
        <f>"K02B9.6"</f>
        <v>K02B9.6</v>
      </c>
      <c r="F2798" t="s">
        <v>481</v>
      </c>
      <c r="H2798" s="12">
        <v>2.4578120077400301</v>
      </c>
      <c r="I2798" s="11">
        <v>0.26093350314551</v>
      </c>
      <c r="J2798" s="10">
        <v>0.79414378780213601</v>
      </c>
      <c r="K2798" s="29">
        <v>0.98289565623980701</v>
      </c>
    </row>
    <row r="2799" spans="1:11" x14ac:dyDescent="0.35">
      <c r="A2799" s="9" t="str">
        <f>HYPERLINK("http://www.ensembl.org/id/WBGene00199712", "WBGene00199712")</f>
        <v>WBGene00199712</v>
      </c>
      <c r="B2799" s="9"/>
      <c r="C2799" s="9"/>
      <c r="D2799" t="str">
        <f>"K02C4.9"</f>
        <v>K02C4.9</v>
      </c>
      <c r="F2799" t="s">
        <v>481</v>
      </c>
      <c r="H2799" s="12">
        <v>2.4578120077400301</v>
      </c>
      <c r="I2799" s="11">
        <v>0.26093350314551</v>
      </c>
      <c r="J2799" s="10">
        <v>0.79414378780213601</v>
      </c>
      <c r="K2799" s="29">
        <v>0.98289565623980701</v>
      </c>
    </row>
    <row r="2800" spans="1:11" x14ac:dyDescent="0.35">
      <c r="A2800" s="9" t="str">
        <f>HYPERLINK("http://www.ensembl.org/id/WBGene00198099", "WBGene00198099")</f>
        <v>WBGene00198099</v>
      </c>
      <c r="B2800" s="9"/>
      <c r="C2800" s="9"/>
      <c r="D2800" t="str">
        <f>"K02H8.3"</f>
        <v>K02H8.3</v>
      </c>
      <c r="F2800" t="s">
        <v>481</v>
      </c>
      <c r="H2800" s="12">
        <v>2.4578120077400301</v>
      </c>
      <c r="I2800" s="11">
        <v>0.26093350314551</v>
      </c>
      <c r="J2800" s="10">
        <v>0.79414378780213601</v>
      </c>
      <c r="K2800" s="29">
        <v>0.98289565623980701</v>
      </c>
    </row>
    <row r="2801" spans="1:11" x14ac:dyDescent="0.35">
      <c r="A2801" s="9" t="str">
        <f>HYPERLINK("http://www.ensembl.org/id/WBGene00019356", "WBGene00019356")</f>
        <v>WBGene00019356</v>
      </c>
      <c r="B2801" s="9" t="str">
        <f>HYPERLINK("http://www.ncbi.nlm.nih.gov/gene/186921", "186921")</f>
        <v>186921</v>
      </c>
      <c r="C2801" s="9"/>
      <c r="D2801" t="str">
        <f>"K03B4.6"</f>
        <v>K03B4.6</v>
      </c>
      <c r="F2801" t="s">
        <v>11</v>
      </c>
      <c r="G2801" t="s">
        <v>25</v>
      </c>
      <c r="H2801" s="12">
        <v>2.4578120077400301</v>
      </c>
      <c r="I2801" s="11">
        <v>0.26093350314551</v>
      </c>
      <c r="J2801" s="10">
        <v>0.79414378780213601</v>
      </c>
      <c r="K2801" s="29">
        <v>0.98289565623980701</v>
      </c>
    </row>
    <row r="2802" spans="1:11" x14ac:dyDescent="0.35">
      <c r="A2802" s="9" t="str">
        <f>HYPERLINK("http://www.ensembl.org/id/WBGene00197404", "WBGene00197404")</f>
        <v>WBGene00197404</v>
      </c>
      <c r="B2802" s="9"/>
      <c r="C2802" s="9"/>
      <c r="D2802" t="str">
        <f>"K03H1.18"</f>
        <v>K03H1.18</v>
      </c>
      <c r="F2802" t="s">
        <v>481</v>
      </c>
      <c r="H2802" s="12">
        <v>2.4578120077400301</v>
      </c>
      <c r="I2802" s="11">
        <v>0.26093350314551</v>
      </c>
      <c r="J2802" s="10">
        <v>0.79414378780213601</v>
      </c>
      <c r="K2802" s="29">
        <v>0.98289565623980701</v>
      </c>
    </row>
    <row r="2803" spans="1:11" x14ac:dyDescent="0.35">
      <c r="A2803" s="9" t="str">
        <f>HYPERLINK("http://www.ensembl.org/id/WBGene00010586", "WBGene00010586")</f>
        <v>WBGene00010586</v>
      </c>
      <c r="B2803" s="9" t="str">
        <f>HYPERLINK("http://www.ncbi.nlm.nih.gov/gene/187022", "187022")</f>
        <v>187022</v>
      </c>
      <c r="C2803" s="9"/>
      <c r="D2803" t="str">
        <f>"K05C4.10"</f>
        <v>K05C4.10</v>
      </c>
      <c r="F2803" t="s">
        <v>11</v>
      </c>
      <c r="G2803" t="s">
        <v>25</v>
      </c>
      <c r="H2803" s="12">
        <v>2.4578120077400301</v>
      </c>
      <c r="I2803" s="11">
        <v>0.26093350314551</v>
      </c>
      <c r="J2803" s="10">
        <v>0.79414378780213601</v>
      </c>
      <c r="K2803" s="29">
        <v>0.98289565623980701</v>
      </c>
    </row>
    <row r="2804" spans="1:11" x14ac:dyDescent="0.35">
      <c r="A2804" s="9" t="str">
        <f>HYPERLINK("http://www.ensembl.org/id/WBGene00010618", "WBGene00010618")</f>
        <v>WBGene00010618</v>
      </c>
      <c r="B2804" s="9"/>
      <c r="C2804" s="9"/>
      <c r="D2804" t="str">
        <f>"K07A1.14"</f>
        <v>K07A1.14</v>
      </c>
      <c r="F2804" t="s">
        <v>80</v>
      </c>
      <c r="H2804" s="12">
        <v>2.4578120077400301</v>
      </c>
      <c r="I2804" s="11">
        <v>0.26093350314551</v>
      </c>
      <c r="J2804" s="10">
        <v>0.79414378780213601</v>
      </c>
      <c r="K2804" s="29">
        <v>0.98289565623980701</v>
      </c>
    </row>
    <row r="2805" spans="1:11" x14ac:dyDescent="0.35">
      <c r="A2805" s="9" t="str">
        <f>HYPERLINK("http://www.ensembl.org/id/WBGene00045134", "WBGene00045134")</f>
        <v>WBGene00045134</v>
      </c>
      <c r="B2805" s="9"/>
      <c r="C2805" s="9"/>
      <c r="D2805" t="str">
        <f>"K07C5.12"</f>
        <v>K07C5.12</v>
      </c>
      <c r="F2805" t="s">
        <v>2977</v>
      </c>
      <c r="H2805" s="12">
        <v>2.4578120077400301</v>
      </c>
      <c r="I2805" s="11">
        <v>0.26093350314551</v>
      </c>
      <c r="J2805" s="10">
        <v>0.79414378780213601</v>
      </c>
      <c r="K2805" s="29">
        <v>0.98289565623980701</v>
      </c>
    </row>
    <row r="2806" spans="1:11" x14ac:dyDescent="0.35">
      <c r="A2806" s="9" t="str">
        <f>HYPERLINK("http://www.ensembl.org/id/WBGene00198842", "WBGene00198842")</f>
        <v>WBGene00198842</v>
      </c>
      <c r="B2806" s="9"/>
      <c r="C2806" s="9"/>
      <c r="D2806" t="str">
        <f>"K07E3.10"</f>
        <v>K07E3.10</v>
      </c>
      <c r="F2806" t="s">
        <v>481</v>
      </c>
      <c r="H2806" s="12">
        <v>2.4578120077400301</v>
      </c>
      <c r="I2806" s="11">
        <v>0.26093350314551</v>
      </c>
      <c r="J2806" s="10">
        <v>0.79414378780213601</v>
      </c>
      <c r="K2806" s="29">
        <v>0.98289565623980701</v>
      </c>
    </row>
    <row r="2807" spans="1:11" x14ac:dyDescent="0.35">
      <c r="A2807" s="9" t="str">
        <f>HYPERLINK("http://www.ensembl.org/id/WBGene00198475", "WBGene00198475")</f>
        <v>WBGene00198475</v>
      </c>
      <c r="B2807" s="9"/>
      <c r="C2807" s="9"/>
      <c r="D2807" t="str">
        <f>"K08E4.10"</f>
        <v>K08E4.10</v>
      </c>
      <c r="F2807" t="s">
        <v>481</v>
      </c>
      <c r="H2807" s="12">
        <v>2.4578120077400301</v>
      </c>
      <c r="I2807" s="11">
        <v>0.26093350314551</v>
      </c>
      <c r="J2807" s="10">
        <v>0.79414378780213601</v>
      </c>
      <c r="K2807" s="29">
        <v>0.98289565623980701</v>
      </c>
    </row>
    <row r="2808" spans="1:11" x14ac:dyDescent="0.35">
      <c r="A2808" s="9" t="str">
        <f>HYPERLINK("http://www.ensembl.org/id/WBGene00010672", "WBGene00010672")</f>
        <v>WBGene00010672</v>
      </c>
      <c r="B2808" s="9" t="str">
        <f>HYPERLINK("http://www.ncbi.nlm.nih.gov/gene/187162", "187162")</f>
        <v>187162</v>
      </c>
      <c r="C2808" s="9"/>
      <c r="D2808" t="str">
        <f>"K08E7.4"</f>
        <v>K08E7.4</v>
      </c>
      <c r="F2808" t="s">
        <v>11</v>
      </c>
      <c r="H2808" s="12">
        <v>2.4578120077400301</v>
      </c>
      <c r="I2808" s="11">
        <v>0.26093350314551</v>
      </c>
      <c r="J2808" s="10">
        <v>0.79414378780213601</v>
      </c>
      <c r="K2808" s="29">
        <v>0.98289565623980701</v>
      </c>
    </row>
    <row r="2809" spans="1:11" x14ac:dyDescent="0.35">
      <c r="A2809" s="9" t="str">
        <f>HYPERLINK("http://www.ensembl.org/id/WBGene00201743", "WBGene00201743")</f>
        <v>WBGene00201743</v>
      </c>
      <c r="B2809" s="9"/>
      <c r="C2809" s="9"/>
      <c r="D2809" t="str">
        <f>"K09H11.14"</f>
        <v>K09H11.14</v>
      </c>
      <c r="F2809" t="s">
        <v>481</v>
      </c>
      <c r="H2809" s="12">
        <v>2.4578120077400301</v>
      </c>
      <c r="I2809" s="11">
        <v>0.26093350314551</v>
      </c>
      <c r="J2809" s="10">
        <v>0.79414378780213601</v>
      </c>
      <c r="K2809" s="29">
        <v>0.98289565623980701</v>
      </c>
    </row>
    <row r="2810" spans="1:11" x14ac:dyDescent="0.35">
      <c r="A2810" s="9" t="str">
        <f>HYPERLINK("http://www.ensembl.org/id/WBGene00010763", "WBGene00010763")</f>
        <v>WBGene00010763</v>
      </c>
      <c r="B2810" s="9" t="str">
        <f>HYPERLINK("http://www.ncbi.nlm.nih.gov/gene/187286", "187286")</f>
        <v>187286</v>
      </c>
      <c r="C2810" s="9"/>
      <c r="D2810" t="str">
        <f>"K10H10.7"</f>
        <v>K10H10.7</v>
      </c>
      <c r="F2810" t="s">
        <v>11</v>
      </c>
      <c r="G2810" t="s">
        <v>4377</v>
      </c>
      <c r="H2810" s="12">
        <v>2.4578120077400301</v>
      </c>
      <c r="I2810" s="11">
        <v>0.26093350314551</v>
      </c>
      <c r="J2810" s="10">
        <v>0.79414378780213601</v>
      </c>
      <c r="K2810" s="29">
        <v>0.98289565623980701</v>
      </c>
    </row>
    <row r="2811" spans="1:11" x14ac:dyDescent="0.35">
      <c r="A2811" s="9" t="str">
        <f>HYPERLINK("http://www.ensembl.org/id/WBGene00219580", "WBGene00219580")</f>
        <v>WBGene00219580</v>
      </c>
      <c r="B2811" s="9"/>
      <c r="C2811" s="9"/>
      <c r="D2811" t="str">
        <f>"linc-18"</f>
        <v>linc-18</v>
      </c>
      <c r="F2811" t="s">
        <v>1510</v>
      </c>
      <c r="H2811" s="12">
        <v>2.4578120077400301</v>
      </c>
      <c r="I2811" s="11">
        <v>0.26093350314551</v>
      </c>
      <c r="J2811" s="10">
        <v>0.79414378780213601</v>
      </c>
      <c r="K2811" s="29">
        <v>0.98289565623980701</v>
      </c>
    </row>
    <row r="2812" spans="1:11" x14ac:dyDescent="0.35">
      <c r="A2812" s="9" t="str">
        <f>HYPERLINK("http://www.ensembl.org/id/WBGene00219643", "WBGene00219643")</f>
        <v>WBGene00219643</v>
      </c>
      <c r="B2812" s="9"/>
      <c r="C2812" s="9"/>
      <c r="D2812" t="str">
        <f>"linc-78"</f>
        <v>linc-78</v>
      </c>
      <c r="F2812" t="s">
        <v>1510</v>
      </c>
      <c r="H2812" s="12">
        <v>2.4578120077400301</v>
      </c>
      <c r="I2812" s="11">
        <v>0.26093350314551</v>
      </c>
      <c r="J2812" s="10">
        <v>0.79414378780213601</v>
      </c>
      <c r="K2812" s="29">
        <v>0.98289565623980701</v>
      </c>
    </row>
    <row r="2813" spans="1:11" x14ac:dyDescent="0.35">
      <c r="A2813" s="9" t="str">
        <f>HYPERLINK("http://www.ensembl.org/id/WBGene00195569", "WBGene00195569")</f>
        <v>WBGene00195569</v>
      </c>
      <c r="B2813" s="9"/>
      <c r="C2813" s="9"/>
      <c r="D2813" t="str">
        <f>"M117.9"</f>
        <v>M117.9</v>
      </c>
      <c r="F2813" t="s">
        <v>481</v>
      </c>
      <c r="H2813" s="12">
        <v>2.4578120077400301</v>
      </c>
      <c r="I2813" s="11">
        <v>0.26093350314551</v>
      </c>
      <c r="J2813" s="10">
        <v>0.79414378780213601</v>
      </c>
      <c r="K2813" s="29">
        <v>0.98289565623980701</v>
      </c>
    </row>
    <row r="2814" spans="1:11" x14ac:dyDescent="0.35">
      <c r="A2814" s="9" t="str">
        <f>HYPERLINK("http://www.ensembl.org/id/WBGene00196321", "WBGene00196321")</f>
        <v>WBGene00196321</v>
      </c>
      <c r="B2814" s="9"/>
      <c r="C2814" s="9"/>
      <c r="D2814" t="str">
        <f>"M79.7"</f>
        <v>M79.7</v>
      </c>
      <c r="F2814" t="s">
        <v>481</v>
      </c>
      <c r="H2814" s="12">
        <v>2.4578120077400301</v>
      </c>
      <c r="I2814" s="11">
        <v>0.26093350314551</v>
      </c>
      <c r="J2814" s="10">
        <v>0.79414378780213601</v>
      </c>
      <c r="K2814" s="29">
        <v>0.98289565623980701</v>
      </c>
    </row>
    <row r="2815" spans="1:11" x14ac:dyDescent="0.35">
      <c r="A2815" s="9" t="str">
        <f>HYPERLINK("http://www.ensembl.org/id/WBGene00018662", "WBGene00018662")</f>
        <v>WBGene00018662</v>
      </c>
      <c r="B2815" s="9"/>
      <c r="C2815" s="9"/>
      <c r="D2815" t="str">
        <f>"math-30"</f>
        <v>math-30</v>
      </c>
      <c r="F2815" t="s">
        <v>80</v>
      </c>
      <c r="H2815" s="12">
        <v>2.4578120077400301</v>
      </c>
      <c r="I2815" s="11">
        <v>0.26093350314551</v>
      </c>
      <c r="J2815" s="10">
        <v>0.79414378780213601</v>
      </c>
      <c r="K2815" s="29">
        <v>0.98289565623980701</v>
      </c>
    </row>
    <row r="2816" spans="1:11" x14ac:dyDescent="0.35">
      <c r="A2816" s="9" t="str">
        <f>HYPERLINK("http://www.ensembl.org/id/WBGene00077708", "WBGene00077708")</f>
        <v>WBGene00077708</v>
      </c>
      <c r="B2816" s="9"/>
      <c r="C2816" s="9"/>
      <c r="D2816" t="str">
        <f>"mir-1817"</f>
        <v>mir-1817</v>
      </c>
      <c r="F2816" t="s">
        <v>1486</v>
      </c>
      <c r="H2816" s="12">
        <v>2.4578120077400301</v>
      </c>
      <c r="I2816" s="11">
        <v>0.26093350314551</v>
      </c>
      <c r="J2816" s="10">
        <v>0.79414378780213601</v>
      </c>
      <c r="K2816" s="29">
        <v>0.98289565623980701</v>
      </c>
    </row>
    <row r="2817" spans="1:11" x14ac:dyDescent="0.35">
      <c r="A2817" s="9" t="str">
        <f>HYPERLINK("http://www.ensembl.org/id/WBGene00003299", "WBGene00003299")</f>
        <v>WBGene00003299</v>
      </c>
      <c r="B2817" s="9"/>
      <c r="C2817" s="9"/>
      <c r="D2817" t="str">
        <f>"mir-71"</f>
        <v>mir-71</v>
      </c>
      <c r="F2817" t="s">
        <v>1486</v>
      </c>
      <c r="H2817" s="12">
        <v>2.4578120077400301</v>
      </c>
      <c r="I2817" s="11">
        <v>0.26093350314551</v>
      </c>
      <c r="J2817" s="10">
        <v>0.79414378780213601</v>
      </c>
      <c r="K2817" s="29">
        <v>0.98289565623980701</v>
      </c>
    </row>
    <row r="2818" spans="1:11" x14ac:dyDescent="0.35">
      <c r="A2818" s="9" t="str">
        <f>HYPERLINK("http://www.ensembl.org/id/WBGene00045326", "WBGene00045326")</f>
        <v>WBGene00045326</v>
      </c>
      <c r="B2818" s="9"/>
      <c r="C2818" s="9"/>
      <c r="D2818" t="str">
        <f>"mir-789.2"</f>
        <v>mir-789.2</v>
      </c>
      <c r="F2818" t="s">
        <v>1486</v>
      </c>
      <c r="H2818" s="12">
        <v>2.4578120077400301</v>
      </c>
      <c r="I2818" s="11">
        <v>0.26093350314551</v>
      </c>
      <c r="J2818" s="10">
        <v>0.79414378780213601</v>
      </c>
      <c r="K2818" s="29">
        <v>0.98289565623980701</v>
      </c>
    </row>
    <row r="2819" spans="1:11" x14ac:dyDescent="0.35">
      <c r="A2819" s="9" t="str">
        <f>HYPERLINK("http://www.ensembl.org/id/WBGene00219810", "WBGene00219810")</f>
        <v>WBGene00219810</v>
      </c>
      <c r="B2819" s="9"/>
      <c r="C2819" s="9"/>
      <c r="D2819" t="str">
        <f>"mir-8196.2"</f>
        <v>mir-8196.2</v>
      </c>
      <c r="F2819" t="s">
        <v>1486</v>
      </c>
      <c r="H2819" s="12">
        <v>2.4578120077400301</v>
      </c>
      <c r="I2819" s="11">
        <v>0.26093350314551</v>
      </c>
      <c r="J2819" s="10">
        <v>0.79414378780213601</v>
      </c>
      <c r="K2819" s="29">
        <v>0.98289565623980701</v>
      </c>
    </row>
    <row r="2820" spans="1:11" x14ac:dyDescent="0.35">
      <c r="A2820" s="9" t="str">
        <f>HYPERLINK("http://www.ensembl.org/id/WBGene00003310", "WBGene00003310")</f>
        <v>WBGene00003310</v>
      </c>
      <c r="B2820" s="9"/>
      <c r="C2820" s="9"/>
      <c r="D2820" t="str">
        <f>"mir-82"</f>
        <v>mir-82</v>
      </c>
      <c r="F2820" t="s">
        <v>1486</v>
      </c>
      <c r="H2820" s="12">
        <v>2.4578120077400301</v>
      </c>
      <c r="I2820" s="11">
        <v>0.26093350314551</v>
      </c>
      <c r="J2820" s="10">
        <v>0.79414378780213601</v>
      </c>
      <c r="K2820" s="29">
        <v>0.98289565623980701</v>
      </c>
    </row>
    <row r="2821" spans="1:11" x14ac:dyDescent="0.35">
      <c r="A2821" s="9" t="str">
        <f>HYPERLINK("http://www.ensembl.org/id/WBGene00003665", "WBGene00003665")</f>
        <v>WBGene00003665</v>
      </c>
      <c r="B2821" s="9"/>
      <c r="C2821" s="9"/>
      <c r="D2821" t="str">
        <f>"nhr-75"</f>
        <v>nhr-75</v>
      </c>
      <c r="F2821" t="s">
        <v>80</v>
      </c>
      <c r="H2821" s="12">
        <v>2.4578120077400301</v>
      </c>
      <c r="I2821" s="11">
        <v>0.26093350314551</v>
      </c>
      <c r="J2821" s="10">
        <v>0.79414378780213601</v>
      </c>
      <c r="K2821" s="29">
        <v>0.98289565623980701</v>
      </c>
    </row>
    <row r="2822" spans="1:11" x14ac:dyDescent="0.35">
      <c r="A2822" s="9" t="str">
        <f>HYPERLINK("http://www.ensembl.org/id/WBGene00003863", "WBGene00003863")</f>
        <v>WBGene00003863</v>
      </c>
      <c r="B2822" s="9" t="str">
        <f>HYPERLINK("http://www.ncbi.nlm.nih.gov/gene/191738", "191738")</f>
        <v>191738</v>
      </c>
      <c r="C2822" s="9"/>
      <c r="D2822" t="str">
        <f>"old-2"</f>
        <v>old-2</v>
      </c>
      <c r="E2822" t="s">
        <v>4386</v>
      </c>
      <c r="F2822" t="s">
        <v>11</v>
      </c>
      <c r="G2822" t="s">
        <v>4387</v>
      </c>
      <c r="H2822" s="12">
        <v>2.4578120077400301</v>
      </c>
      <c r="I2822" s="11">
        <v>0.26093350314551</v>
      </c>
      <c r="J2822" s="10">
        <v>0.79414378780213601</v>
      </c>
      <c r="K2822" s="29">
        <v>0.98289565623980701</v>
      </c>
    </row>
    <row r="2823" spans="1:11" x14ac:dyDescent="0.35">
      <c r="A2823" s="9" t="str">
        <f>HYPERLINK("http://www.ensembl.org/id/WBGene00200055", "WBGene00200055")</f>
        <v>WBGene00200055</v>
      </c>
      <c r="B2823" s="9"/>
      <c r="C2823" s="9"/>
      <c r="D2823" t="str">
        <f>"R01E6.16"</f>
        <v>R01E6.16</v>
      </c>
      <c r="F2823" t="s">
        <v>481</v>
      </c>
      <c r="H2823" s="12">
        <v>2.4578120077400301</v>
      </c>
      <c r="I2823" s="11">
        <v>0.26093350314551</v>
      </c>
      <c r="J2823" s="10">
        <v>0.79414378780213601</v>
      </c>
      <c r="K2823" s="29">
        <v>0.98289565623980701</v>
      </c>
    </row>
    <row r="2824" spans="1:11" x14ac:dyDescent="0.35">
      <c r="A2824" s="9" t="str">
        <f>HYPERLINK("http://www.ensembl.org/id/WBGene00196013", "WBGene00196013")</f>
        <v>WBGene00196013</v>
      </c>
      <c r="B2824" s="9"/>
      <c r="C2824" s="9"/>
      <c r="D2824" t="str">
        <f>"R08E3.5"</f>
        <v>R08E3.5</v>
      </c>
      <c r="F2824" t="s">
        <v>481</v>
      </c>
      <c r="H2824" s="12">
        <v>2.4578120077400301</v>
      </c>
      <c r="I2824" s="11">
        <v>0.26093350314551</v>
      </c>
      <c r="J2824" s="10">
        <v>0.79414378780213601</v>
      </c>
      <c r="K2824" s="29">
        <v>0.98289565623980701</v>
      </c>
    </row>
    <row r="2825" spans="1:11" x14ac:dyDescent="0.35">
      <c r="A2825" s="9" t="str">
        <f>HYPERLINK("http://www.ensembl.org/id/WBGene00194871", "WBGene00194871")</f>
        <v>WBGene00194871</v>
      </c>
      <c r="B2825" s="9" t="str">
        <f>HYPERLINK("http://www.ncbi.nlm.nih.gov/gene/13190673", "13190673")</f>
        <v>13190673</v>
      </c>
      <c r="C2825" s="9"/>
      <c r="D2825" t="str">
        <f>"R107.9"</f>
        <v>R107.9</v>
      </c>
      <c r="F2825" t="s">
        <v>11</v>
      </c>
      <c r="H2825" s="12">
        <v>2.4578120077400301</v>
      </c>
      <c r="I2825" s="11">
        <v>0.26093350314551</v>
      </c>
      <c r="J2825" s="10">
        <v>0.79414378780213601</v>
      </c>
      <c r="K2825" s="29">
        <v>0.98289565623980701</v>
      </c>
    </row>
    <row r="2826" spans="1:11" x14ac:dyDescent="0.35">
      <c r="A2826" s="9" t="str">
        <f>HYPERLINK("http://www.ensembl.org/id/WBGene00196856", "WBGene00196856")</f>
        <v>WBGene00196856</v>
      </c>
      <c r="B2826" s="9"/>
      <c r="C2826" s="9"/>
      <c r="D2826" t="str">
        <f>"R10E11.10"</f>
        <v>R10E11.10</v>
      </c>
      <c r="F2826" t="s">
        <v>481</v>
      </c>
      <c r="H2826" s="12">
        <v>2.4578120077400301</v>
      </c>
      <c r="I2826" s="11">
        <v>0.26093350314551</v>
      </c>
      <c r="J2826" s="10">
        <v>0.79414378780213601</v>
      </c>
      <c r="K2826" s="29">
        <v>0.98289565623980701</v>
      </c>
    </row>
    <row r="2827" spans="1:11" x14ac:dyDescent="0.35">
      <c r="A2827" s="9" t="str">
        <f>HYPERLINK("http://www.ensembl.org/id/WBGene00198157", "WBGene00198157")</f>
        <v>WBGene00198157</v>
      </c>
      <c r="B2827" s="9"/>
      <c r="C2827" s="9"/>
      <c r="D2827" t="str">
        <f>"R11B5.7"</f>
        <v>R11B5.7</v>
      </c>
      <c r="F2827" t="s">
        <v>481</v>
      </c>
      <c r="H2827" s="12">
        <v>2.4578120077400301</v>
      </c>
      <c r="I2827" s="11">
        <v>0.26093350314551</v>
      </c>
      <c r="J2827" s="10">
        <v>0.79414378780213601</v>
      </c>
      <c r="K2827" s="29">
        <v>0.98289565623980701</v>
      </c>
    </row>
    <row r="2828" spans="1:11" x14ac:dyDescent="0.35">
      <c r="A2828" s="9" t="str">
        <f>HYPERLINK("http://www.ensembl.org/id/WBGene00200251", "WBGene00200251")</f>
        <v>WBGene00200251</v>
      </c>
      <c r="B2828" s="9"/>
      <c r="C2828" s="9"/>
      <c r="D2828" t="str">
        <f>"R12B2.12"</f>
        <v>R12B2.12</v>
      </c>
      <c r="F2828" t="s">
        <v>481</v>
      </c>
      <c r="H2828" s="12">
        <v>2.4578120077400301</v>
      </c>
      <c r="I2828" s="11">
        <v>0.26093350314551</v>
      </c>
      <c r="J2828" s="10">
        <v>0.79414378780213601</v>
      </c>
      <c r="K2828" s="29">
        <v>0.98289565623980701</v>
      </c>
    </row>
    <row r="2829" spans="1:11" x14ac:dyDescent="0.35">
      <c r="A2829" s="9" t="str">
        <f>HYPERLINK("http://www.ensembl.org/id/WBGene00023466", "WBGene00023466")</f>
        <v>WBGene00023466</v>
      </c>
      <c r="B2829" s="9"/>
      <c r="C2829" s="9"/>
      <c r="D2829" t="str">
        <f>"R151.11"</f>
        <v>R151.11</v>
      </c>
      <c r="F2829" t="s">
        <v>2977</v>
      </c>
      <c r="H2829" s="12">
        <v>2.4578120077400301</v>
      </c>
      <c r="I2829" s="11">
        <v>0.26093350314551</v>
      </c>
      <c r="J2829" s="10">
        <v>0.79414378780213601</v>
      </c>
      <c r="K2829" s="29">
        <v>0.98289565623980701</v>
      </c>
    </row>
    <row r="2830" spans="1:11" x14ac:dyDescent="0.35">
      <c r="A2830" s="9" t="str">
        <f>HYPERLINK("http://www.ensembl.org/id/WBGene00235197", "WBGene00235197")</f>
        <v>WBGene00235197</v>
      </c>
      <c r="B2830" s="9"/>
      <c r="C2830" s="9"/>
      <c r="D2830" t="str">
        <f>"rrn-4.16"</f>
        <v>rrn-4.16</v>
      </c>
      <c r="F2830" t="s">
        <v>4385</v>
      </c>
      <c r="H2830" s="12">
        <v>2.4578120077400301</v>
      </c>
      <c r="I2830" s="11">
        <v>0.26093350314551</v>
      </c>
      <c r="J2830" s="10">
        <v>0.79414378780213601</v>
      </c>
      <c r="K2830" s="29">
        <v>0.98289565623980701</v>
      </c>
    </row>
    <row r="2831" spans="1:11" x14ac:dyDescent="0.35">
      <c r="A2831" s="9" t="str">
        <f>HYPERLINK("http://www.ensembl.org/id/WBGene00017183", "WBGene00017183")</f>
        <v>WBGene00017183</v>
      </c>
      <c r="B2831" s="9" t="str">
        <f>HYPERLINK("http://www.ncbi.nlm.nih.gov/gene/184099", "184099")</f>
        <v>184099</v>
      </c>
      <c r="C2831" s="9"/>
      <c r="D2831" t="str">
        <f>"scl-15"</f>
        <v>scl-15</v>
      </c>
      <c r="E2831" t="s">
        <v>162</v>
      </c>
      <c r="F2831" t="s">
        <v>11</v>
      </c>
      <c r="G2831" t="s">
        <v>63</v>
      </c>
      <c r="H2831" s="12">
        <v>2.4578120077400301</v>
      </c>
      <c r="I2831" s="11">
        <v>0.26093350314551</v>
      </c>
      <c r="J2831" s="10">
        <v>0.79414378780213601</v>
      </c>
      <c r="K2831" s="29">
        <v>0.98289565623980701</v>
      </c>
    </row>
    <row r="2832" spans="1:11" x14ac:dyDescent="0.35">
      <c r="A2832" s="9" t="str">
        <f>HYPERLINK("http://www.ensembl.org/id/WBGene00004833", "WBGene00004833")</f>
        <v>WBGene00004833</v>
      </c>
      <c r="B2832" s="9"/>
      <c r="C2832" s="9"/>
      <c r="D2832" t="str">
        <f>"sls-2.1"</f>
        <v>sls-2.1</v>
      </c>
      <c r="F2832" t="s">
        <v>4205</v>
      </c>
      <c r="H2832" s="12">
        <v>2.4578120077400301</v>
      </c>
      <c r="I2832" s="11">
        <v>0.26093350314551</v>
      </c>
      <c r="J2832" s="10">
        <v>0.79414378780213601</v>
      </c>
      <c r="K2832" s="29">
        <v>0.98289565623980701</v>
      </c>
    </row>
    <row r="2833" spans="1:11" x14ac:dyDescent="0.35">
      <c r="A2833" s="9" t="str">
        <f>HYPERLINK("http://www.ensembl.org/id/WBGene00004899", "WBGene00004899")</f>
        <v>WBGene00004899</v>
      </c>
      <c r="B2833" s="9" t="str">
        <f>HYPERLINK("http://www.ncbi.nlm.nih.gov/gene/191767", "191767")</f>
        <v>191767</v>
      </c>
      <c r="C2833" s="9"/>
      <c r="D2833" t="str">
        <f>"snb-5"</f>
        <v>snb-5</v>
      </c>
      <c r="E2833" t="s">
        <v>4383</v>
      </c>
      <c r="F2833" t="s">
        <v>11</v>
      </c>
      <c r="G2833" t="s">
        <v>4384</v>
      </c>
      <c r="H2833" s="12">
        <v>2.4578120077400301</v>
      </c>
      <c r="I2833" s="11">
        <v>0.26093350314551</v>
      </c>
      <c r="J2833" s="10">
        <v>0.79414378780213601</v>
      </c>
      <c r="K2833" s="29">
        <v>0.98289565623980701</v>
      </c>
    </row>
    <row r="2834" spans="1:11" x14ac:dyDescent="0.35">
      <c r="A2834" s="9" t="str">
        <f>HYPERLINK("http://www.ensembl.org/id/WBGene00005066", "WBGene00005066")</f>
        <v>WBGene00005066</v>
      </c>
      <c r="B2834" s="9" t="str">
        <f>HYPERLINK("http://www.ncbi.nlm.nih.gov/gene/191783", "191783")</f>
        <v>191783</v>
      </c>
      <c r="C2834" s="9"/>
      <c r="D2834" t="str">
        <f>"srb-1"</f>
        <v>srb-1</v>
      </c>
      <c r="E2834" t="s">
        <v>4378</v>
      </c>
      <c r="F2834" t="s">
        <v>11</v>
      </c>
      <c r="G2834" t="s">
        <v>1829</v>
      </c>
      <c r="H2834" s="12">
        <v>2.4578120077400301</v>
      </c>
      <c r="I2834" s="11">
        <v>0.26093350314551</v>
      </c>
      <c r="J2834" s="10">
        <v>0.79414378780213601</v>
      </c>
      <c r="K2834" s="29">
        <v>0.98289565623980701</v>
      </c>
    </row>
    <row r="2835" spans="1:11" x14ac:dyDescent="0.35">
      <c r="A2835" s="9" t="str">
        <f>HYPERLINK("http://www.ensembl.org/id/WBGene00017496", "WBGene00017496")</f>
        <v>WBGene00017496</v>
      </c>
      <c r="B2835" s="9"/>
      <c r="C2835" s="9"/>
      <c r="D2835" t="str">
        <f>"srbc-15"</f>
        <v>srbc-15</v>
      </c>
      <c r="F2835" t="s">
        <v>80</v>
      </c>
      <c r="H2835" s="12">
        <v>2.4578120077400301</v>
      </c>
      <c r="I2835" s="11">
        <v>0.26093350314551</v>
      </c>
      <c r="J2835" s="10">
        <v>0.79414378780213601</v>
      </c>
      <c r="K2835" s="29">
        <v>0.98289565623980701</v>
      </c>
    </row>
    <row r="2836" spans="1:11" x14ac:dyDescent="0.35">
      <c r="A2836" s="9" t="str">
        <f>HYPERLINK("http://www.ensembl.org/id/WBGene00015575", "WBGene00015575")</f>
        <v>WBGene00015575</v>
      </c>
      <c r="B2836" s="9"/>
      <c r="C2836" s="9"/>
      <c r="D2836" t="str">
        <f>"srbc-35"</f>
        <v>srbc-35</v>
      </c>
      <c r="F2836" t="s">
        <v>80</v>
      </c>
      <c r="H2836" s="12">
        <v>2.4578120077400301</v>
      </c>
      <c r="I2836" s="11">
        <v>0.26093350314551</v>
      </c>
      <c r="J2836" s="10">
        <v>0.79414378780213601</v>
      </c>
      <c r="K2836" s="29">
        <v>0.98289565623980701</v>
      </c>
    </row>
    <row r="2837" spans="1:11" x14ac:dyDescent="0.35">
      <c r="A2837" s="9" t="str">
        <f>HYPERLINK("http://www.ensembl.org/id/WBGene00015961", "WBGene00015961")</f>
        <v>WBGene00015961</v>
      </c>
      <c r="B2837" s="9" t="str">
        <f>HYPERLINK("http://www.ncbi.nlm.nih.gov/gene/182771", "182771")</f>
        <v>182771</v>
      </c>
      <c r="C2837" s="9"/>
      <c r="D2837" t="str">
        <f>"srbc-7"</f>
        <v>srbc-7</v>
      </c>
      <c r="E2837" t="s">
        <v>3034</v>
      </c>
      <c r="F2837" t="s">
        <v>11</v>
      </c>
      <c r="G2837" t="s">
        <v>25</v>
      </c>
      <c r="H2837" s="12">
        <v>2.4578120077400301</v>
      </c>
      <c r="I2837" s="11">
        <v>0.26093350314551</v>
      </c>
      <c r="J2837" s="10">
        <v>0.79414378780213601</v>
      </c>
      <c r="K2837" s="29">
        <v>0.98289565623980701</v>
      </c>
    </row>
    <row r="2838" spans="1:11" x14ac:dyDescent="0.35">
      <c r="A2838" s="9" t="str">
        <f>HYPERLINK("http://www.ensembl.org/id/WBGene00005410", "WBGene00005410")</f>
        <v>WBGene00005410</v>
      </c>
      <c r="B2838" s="9" t="str">
        <f>HYPERLINK("http://www.ncbi.nlm.nih.gov/gene/191415", "191415")</f>
        <v>191415</v>
      </c>
      <c r="C2838" s="9"/>
      <c r="D2838" t="str">
        <f>"srh-199"</f>
        <v>srh-199</v>
      </c>
      <c r="E2838" t="s">
        <v>153</v>
      </c>
      <c r="F2838" t="s">
        <v>11</v>
      </c>
      <c r="G2838" t="s">
        <v>25</v>
      </c>
      <c r="H2838" s="12">
        <v>2.4578120077400301</v>
      </c>
      <c r="I2838" s="11">
        <v>0.26093350314551</v>
      </c>
      <c r="J2838" s="10">
        <v>0.79414378780213601</v>
      </c>
      <c r="K2838" s="29">
        <v>0.98289565623980701</v>
      </c>
    </row>
    <row r="2839" spans="1:11" x14ac:dyDescent="0.35">
      <c r="A2839" s="9" t="str">
        <f>HYPERLINK("http://www.ensembl.org/id/WBGene00005312", "WBGene00005312")</f>
        <v>WBGene00005312</v>
      </c>
      <c r="B2839" s="9"/>
      <c r="C2839" s="9"/>
      <c r="D2839" t="str">
        <f>"srh-91"</f>
        <v>srh-91</v>
      </c>
      <c r="F2839" t="s">
        <v>80</v>
      </c>
      <c r="H2839" s="12">
        <v>2.4578120077400301</v>
      </c>
      <c r="I2839" s="11">
        <v>0.26093350314551</v>
      </c>
      <c r="J2839" s="10">
        <v>0.79414378780213601</v>
      </c>
      <c r="K2839" s="29">
        <v>0.98289565623980701</v>
      </c>
    </row>
    <row r="2840" spans="1:11" x14ac:dyDescent="0.35">
      <c r="A2840" s="9" t="str">
        <f>HYPERLINK("http://www.ensembl.org/id/WBGene00005316", "WBGene00005316")</f>
        <v>WBGene00005316</v>
      </c>
      <c r="B2840" s="9" t="str">
        <f>HYPERLINK("http://www.ncbi.nlm.nih.gov/gene/186072", "186072")</f>
        <v>186072</v>
      </c>
      <c r="C2840" s="9"/>
      <c r="D2840" t="str">
        <f>"srh-97"</f>
        <v>srh-97</v>
      </c>
      <c r="E2840" t="s">
        <v>153</v>
      </c>
      <c r="F2840" t="s">
        <v>11</v>
      </c>
      <c r="G2840" t="s">
        <v>25</v>
      </c>
      <c r="H2840" s="12">
        <v>2.4578120077400301</v>
      </c>
      <c r="I2840" s="11">
        <v>0.26093350314551</v>
      </c>
      <c r="J2840" s="10">
        <v>0.79414378780213601</v>
      </c>
      <c r="K2840" s="29">
        <v>0.98289565623980701</v>
      </c>
    </row>
    <row r="2841" spans="1:11" x14ac:dyDescent="0.35">
      <c r="A2841" s="9" t="str">
        <f>HYPERLINK("http://www.ensembl.org/id/WBGene00005544", "WBGene00005544")</f>
        <v>WBGene00005544</v>
      </c>
      <c r="B2841" s="9" t="str">
        <f>HYPERLINK("http://www.ncbi.nlm.nih.gov/gene/191907", "191907")</f>
        <v>191907</v>
      </c>
      <c r="C2841" s="9"/>
      <c r="D2841" t="str">
        <f>"sri-32"</f>
        <v>sri-32</v>
      </c>
      <c r="E2841" t="s">
        <v>1503</v>
      </c>
      <c r="F2841" t="s">
        <v>11</v>
      </c>
      <c r="G2841" t="s">
        <v>25</v>
      </c>
      <c r="H2841" s="12">
        <v>2.4578120077400301</v>
      </c>
      <c r="I2841" s="11">
        <v>0.26093350314551</v>
      </c>
      <c r="J2841" s="10">
        <v>0.79414378780213601</v>
      </c>
      <c r="K2841" s="29">
        <v>0.98289565623980701</v>
      </c>
    </row>
    <row r="2842" spans="1:11" x14ac:dyDescent="0.35">
      <c r="A2842" s="9" t="str">
        <f>HYPERLINK("http://www.ensembl.org/id/WBGene00005576", "WBGene00005576")</f>
        <v>WBGene00005576</v>
      </c>
      <c r="B2842" s="9"/>
      <c r="C2842" s="9"/>
      <c r="D2842" t="str">
        <f>"sri-64"</f>
        <v>sri-64</v>
      </c>
      <c r="F2842" t="s">
        <v>80</v>
      </c>
      <c r="H2842" s="12">
        <v>2.4578120077400301</v>
      </c>
      <c r="I2842" s="11">
        <v>0.26093350314551</v>
      </c>
      <c r="J2842" s="10">
        <v>0.79414378780213601</v>
      </c>
      <c r="K2842" s="29">
        <v>0.98289565623980701</v>
      </c>
    </row>
    <row r="2843" spans="1:11" x14ac:dyDescent="0.35">
      <c r="A2843" s="9" t="str">
        <f>HYPERLINK("http://www.ensembl.org/id/WBGene00005588", "WBGene00005588")</f>
        <v>WBGene00005588</v>
      </c>
      <c r="B2843" s="9"/>
      <c r="C2843" s="9"/>
      <c r="D2843" t="str">
        <f>"sri-76"</f>
        <v>sri-76</v>
      </c>
      <c r="F2843" t="s">
        <v>80</v>
      </c>
      <c r="H2843" s="12">
        <v>2.4578120077400301</v>
      </c>
      <c r="I2843" s="11">
        <v>0.26093350314551</v>
      </c>
      <c r="J2843" s="10">
        <v>0.79414378780213601</v>
      </c>
      <c r="K2843" s="29">
        <v>0.98289565623980701</v>
      </c>
    </row>
    <row r="2844" spans="1:11" x14ac:dyDescent="0.35">
      <c r="A2844" s="9" t="str">
        <f>HYPERLINK("http://www.ensembl.org/id/WBGene00005625", "WBGene00005625")</f>
        <v>WBGene00005625</v>
      </c>
      <c r="B2844" s="9" t="str">
        <f>HYPERLINK("http://www.ncbi.nlm.nih.gov/gene/190670", "190670")</f>
        <v>190670</v>
      </c>
      <c r="C2844" s="9"/>
      <c r="D2844" t="str">
        <f>"srj-42"</f>
        <v>srj-42</v>
      </c>
      <c r="E2844" t="s">
        <v>3123</v>
      </c>
      <c r="F2844" t="s">
        <v>11</v>
      </c>
      <c r="G2844" t="s">
        <v>25</v>
      </c>
      <c r="H2844" s="12">
        <v>2.4578120077400301</v>
      </c>
      <c r="I2844" s="11">
        <v>0.26093350314551</v>
      </c>
      <c r="J2844" s="10">
        <v>0.79414378780213601</v>
      </c>
      <c r="K2844" s="29">
        <v>0.98289565623980701</v>
      </c>
    </row>
    <row r="2845" spans="1:11" x14ac:dyDescent="0.35">
      <c r="A2845" s="9" t="str">
        <f>HYPERLINK("http://www.ensembl.org/id/WBGene00005691", "WBGene00005691")</f>
        <v>WBGene00005691</v>
      </c>
      <c r="B2845" s="9" t="str">
        <f>HYPERLINK("http://www.ncbi.nlm.nih.gov/gene/183299", "183299")</f>
        <v>183299</v>
      </c>
      <c r="C2845" s="9"/>
      <c r="D2845" t="str">
        <f>"sru-28"</f>
        <v>sru-28</v>
      </c>
      <c r="E2845" t="s">
        <v>2653</v>
      </c>
      <c r="F2845" t="s">
        <v>11</v>
      </c>
      <c r="G2845" t="s">
        <v>25</v>
      </c>
      <c r="H2845" s="12">
        <v>2.4578120077400301</v>
      </c>
      <c r="I2845" s="11">
        <v>0.26093350314551</v>
      </c>
      <c r="J2845" s="10">
        <v>0.79414378780213601</v>
      </c>
      <c r="K2845" s="29">
        <v>0.98289565623980701</v>
      </c>
    </row>
    <row r="2846" spans="1:11" x14ac:dyDescent="0.35">
      <c r="A2846" s="9" t="str">
        <f>HYPERLINK("http://www.ensembl.org/id/WBGene00006003", "WBGene00006003")</f>
        <v>WBGene00006003</v>
      </c>
      <c r="B2846" s="9" t="str">
        <f>HYPERLINK("http://www.ncbi.nlm.nih.gov/gene/188865", "188865")</f>
        <v>188865</v>
      </c>
      <c r="C2846" s="9"/>
      <c r="D2846" t="str">
        <f>"srx-112"</f>
        <v>srx-112</v>
      </c>
      <c r="E2846" t="s">
        <v>1477</v>
      </c>
      <c r="F2846" t="s">
        <v>11</v>
      </c>
      <c r="G2846" t="s">
        <v>25</v>
      </c>
      <c r="H2846" s="12">
        <v>2.4578120077400301</v>
      </c>
      <c r="I2846" s="11">
        <v>0.26093350314551</v>
      </c>
      <c r="J2846" s="10">
        <v>0.79414378780213601</v>
      </c>
      <c r="K2846" s="29">
        <v>0.98289565623980701</v>
      </c>
    </row>
    <row r="2847" spans="1:11" x14ac:dyDescent="0.35">
      <c r="A2847" s="9" t="str">
        <f>HYPERLINK("http://www.ensembl.org/id/WBGene00006004", "WBGene00006004")</f>
        <v>WBGene00006004</v>
      </c>
      <c r="B2847" s="9" t="str">
        <f>HYPERLINK("http://www.ncbi.nlm.nih.gov/gene/186424", "186424")</f>
        <v>186424</v>
      </c>
      <c r="C2847" s="9"/>
      <c r="D2847" t="str">
        <f>"srx-113"</f>
        <v>srx-113</v>
      </c>
      <c r="E2847" t="s">
        <v>1477</v>
      </c>
      <c r="F2847" t="s">
        <v>11</v>
      </c>
      <c r="G2847" t="s">
        <v>25</v>
      </c>
      <c r="H2847" s="12">
        <v>2.4578120077400301</v>
      </c>
      <c r="I2847" s="11">
        <v>0.26093350314551</v>
      </c>
      <c r="J2847" s="10">
        <v>0.79414378780213601</v>
      </c>
      <c r="K2847" s="29">
        <v>0.98289565623980701</v>
      </c>
    </row>
    <row r="2848" spans="1:11" x14ac:dyDescent="0.35">
      <c r="A2848" s="9" t="str">
        <f>HYPERLINK("http://www.ensembl.org/id/WBGene00005961", "WBGene00005961")</f>
        <v>WBGene00005961</v>
      </c>
      <c r="B2848" s="9"/>
      <c r="C2848" s="9"/>
      <c r="D2848" t="str">
        <f>"srx-70"</f>
        <v>srx-70</v>
      </c>
      <c r="F2848" t="s">
        <v>80</v>
      </c>
      <c r="H2848" s="12">
        <v>2.4578120077400301</v>
      </c>
      <c r="I2848" s="11">
        <v>0.26093350314551</v>
      </c>
      <c r="J2848" s="10">
        <v>0.79414378780213601</v>
      </c>
      <c r="K2848" s="29">
        <v>0.98289565623980701</v>
      </c>
    </row>
    <row r="2849" spans="1:11" x14ac:dyDescent="0.35">
      <c r="A2849" s="9" t="str">
        <f>HYPERLINK("http://www.ensembl.org/id/WBGene00005978", "WBGene00005978")</f>
        <v>WBGene00005978</v>
      </c>
      <c r="B2849" s="9" t="str">
        <f>HYPERLINK("http://www.ncbi.nlm.nih.gov/gene/3565609", "3565609")</f>
        <v>3565609</v>
      </c>
      <c r="C2849" s="9"/>
      <c r="D2849" t="str">
        <f>"srx-87"</f>
        <v>srx-87</v>
      </c>
      <c r="E2849" t="s">
        <v>1477</v>
      </c>
      <c r="F2849" t="s">
        <v>11</v>
      </c>
      <c r="G2849" t="s">
        <v>25</v>
      </c>
      <c r="H2849" s="12">
        <v>2.4578120077400301</v>
      </c>
      <c r="I2849" s="11">
        <v>0.26093350314551</v>
      </c>
      <c r="J2849" s="10">
        <v>0.79414378780213601</v>
      </c>
      <c r="K2849" s="29">
        <v>0.98289565623980701</v>
      </c>
    </row>
    <row r="2850" spans="1:11" x14ac:dyDescent="0.35">
      <c r="A2850" s="9" t="str">
        <f>HYPERLINK("http://www.ensembl.org/id/WBGene00008815", "WBGene00008815")</f>
        <v>WBGene00008815</v>
      </c>
      <c r="B2850" s="9" t="str">
        <f>HYPERLINK("http://www.ncbi.nlm.nih.gov/gene/184478", "184478")</f>
        <v>184478</v>
      </c>
      <c r="C2850" s="9"/>
      <c r="D2850" t="str">
        <f>"srz-103"</f>
        <v>srz-103</v>
      </c>
      <c r="E2850" t="s">
        <v>4211</v>
      </c>
      <c r="F2850" t="s">
        <v>11</v>
      </c>
      <c r="G2850" t="s">
        <v>25</v>
      </c>
      <c r="H2850" s="12">
        <v>2.4578120077400301</v>
      </c>
      <c r="I2850" s="11">
        <v>0.26093350314551</v>
      </c>
      <c r="J2850" s="10">
        <v>0.79414378780213601</v>
      </c>
      <c r="K2850" s="29">
        <v>0.98289565623980701</v>
      </c>
    </row>
    <row r="2851" spans="1:11" x14ac:dyDescent="0.35">
      <c r="A2851" s="9" t="str">
        <f>HYPERLINK("http://www.ensembl.org/id/WBGene00015653", "WBGene00015653")</f>
        <v>WBGene00015653</v>
      </c>
      <c r="B2851" s="9" t="str">
        <f>HYPERLINK("http://www.ncbi.nlm.nih.gov/gene/182469", "182469")</f>
        <v>182469</v>
      </c>
      <c r="C2851" s="9"/>
      <c r="D2851" t="str">
        <f>"srz-78"</f>
        <v>srz-78</v>
      </c>
      <c r="E2851" t="s">
        <v>4211</v>
      </c>
      <c r="F2851" t="s">
        <v>11</v>
      </c>
      <c r="G2851" t="s">
        <v>25</v>
      </c>
      <c r="H2851" s="12">
        <v>2.4578120077400301</v>
      </c>
      <c r="I2851" s="11">
        <v>0.26093350314551</v>
      </c>
      <c r="J2851" s="10">
        <v>0.79414378780213601</v>
      </c>
      <c r="K2851" s="29">
        <v>0.98289565623980701</v>
      </c>
    </row>
    <row r="2852" spans="1:11" x14ac:dyDescent="0.35">
      <c r="A2852" s="9" t="str">
        <f>HYPERLINK("http://www.ensembl.org/id/WBGene00006078", "WBGene00006078")</f>
        <v>WBGene00006078</v>
      </c>
      <c r="B2852" s="9" t="str">
        <f>HYPERLINK("http://www.ncbi.nlm.nih.gov/gene/187547", "187547")</f>
        <v>187547</v>
      </c>
      <c r="C2852" s="9"/>
      <c r="D2852" t="str">
        <f>"str-10"</f>
        <v>str-10</v>
      </c>
      <c r="E2852" t="s">
        <v>590</v>
      </c>
      <c r="F2852" t="s">
        <v>11</v>
      </c>
      <c r="G2852" t="s">
        <v>25</v>
      </c>
      <c r="H2852" s="12">
        <v>2.4578120077400301</v>
      </c>
      <c r="I2852" s="11">
        <v>0.26093350314551</v>
      </c>
      <c r="J2852" s="10">
        <v>0.79414378780213601</v>
      </c>
      <c r="K2852" s="29">
        <v>0.98289565623980701</v>
      </c>
    </row>
    <row r="2853" spans="1:11" x14ac:dyDescent="0.35">
      <c r="A2853" s="9" t="str">
        <f>HYPERLINK("http://www.ensembl.org/id/WBGene00006198", "WBGene00006198")</f>
        <v>WBGene00006198</v>
      </c>
      <c r="B2853" s="9" t="str">
        <f>HYPERLINK("http://www.ncbi.nlm.nih.gov/gene/188014", "188014")</f>
        <v>188014</v>
      </c>
      <c r="C2853" s="9"/>
      <c r="D2853" t="str">
        <f>"str-151"</f>
        <v>str-151</v>
      </c>
      <c r="E2853" t="s">
        <v>590</v>
      </c>
      <c r="F2853" t="s">
        <v>11</v>
      </c>
      <c r="G2853" t="s">
        <v>591</v>
      </c>
      <c r="H2853" s="12">
        <v>2.4578120077400301</v>
      </c>
      <c r="I2853" s="11">
        <v>0.26093350314551</v>
      </c>
      <c r="J2853" s="10">
        <v>0.79414378780213601</v>
      </c>
      <c r="K2853" s="29">
        <v>0.98289565623980701</v>
      </c>
    </row>
    <row r="2854" spans="1:11" x14ac:dyDescent="0.35">
      <c r="A2854" s="9" t="str">
        <f>HYPERLINK("http://www.ensembl.org/id/WBGene00006216", "WBGene00006216")</f>
        <v>WBGene00006216</v>
      </c>
      <c r="B2854" s="9" t="str">
        <f>HYPERLINK("http://www.ncbi.nlm.nih.gov/gene/189462", "189462")</f>
        <v>189462</v>
      </c>
      <c r="C2854" s="9"/>
      <c r="D2854" t="str">
        <f>"str-172"</f>
        <v>str-172</v>
      </c>
      <c r="E2854" t="s">
        <v>590</v>
      </c>
      <c r="F2854" t="s">
        <v>11</v>
      </c>
      <c r="G2854" t="s">
        <v>591</v>
      </c>
      <c r="H2854" s="12">
        <v>2.4578120077400301</v>
      </c>
      <c r="I2854" s="11">
        <v>0.26093350314551</v>
      </c>
      <c r="J2854" s="10">
        <v>0.79414378780213601</v>
      </c>
      <c r="K2854" s="29">
        <v>0.98289565623980701</v>
      </c>
    </row>
    <row r="2855" spans="1:11" x14ac:dyDescent="0.35">
      <c r="A2855" s="9" t="str">
        <f>HYPERLINK("http://www.ensembl.org/id/WBGene00006219", "WBGene00006219")</f>
        <v>WBGene00006219</v>
      </c>
      <c r="B2855" s="9" t="str">
        <f>HYPERLINK("http://www.ncbi.nlm.nih.gov/gene/189463", "189463")</f>
        <v>189463</v>
      </c>
      <c r="C2855" s="9"/>
      <c r="D2855" t="str">
        <f>"str-175"</f>
        <v>str-175</v>
      </c>
      <c r="E2855" t="s">
        <v>590</v>
      </c>
      <c r="F2855" t="s">
        <v>11</v>
      </c>
      <c r="G2855" t="s">
        <v>591</v>
      </c>
      <c r="H2855" s="12">
        <v>2.4578120077400301</v>
      </c>
      <c r="I2855" s="11">
        <v>0.26093350314551</v>
      </c>
      <c r="J2855" s="10">
        <v>0.79414378780213601</v>
      </c>
      <c r="K2855" s="29">
        <v>0.98289565623980701</v>
      </c>
    </row>
    <row r="2856" spans="1:11" x14ac:dyDescent="0.35">
      <c r="A2856" s="9" t="str">
        <f>HYPERLINK("http://www.ensembl.org/id/WBGene00006263", "WBGene00006263")</f>
        <v>WBGene00006263</v>
      </c>
      <c r="B2856" s="9" t="str">
        <f>HYPERLINK("http://www.ncbi.nlm.nih.gov/gene/188372", "188372")</f>
        <v>188372</v>
      </c>
      <c r="C2856" s="9"/>
      <c r="D2856" t="str">
        <f>"str-232"</f>
        <v>str-232</v>
      </c>
      <c r="E2856" t="s">
        <v>590</v>
      </c>
      <c r="F2856" t="s">
        <v>11</v>
      </c>
      <c r="G2856" t="s">
        <v>591</v>
      </c>
      <c r="H2856" s="12">
        <v>2.4578120077400301</v>
      </c>
      <c r="I2856" s="11">
        <v>0.26093350314551</v>
      </c>
      <c r="J2856" s="10">
        <v>0.79414378780213601</v>
      </c>
      <c r="K2856" s="29">
        <v>0.98289565623980701</v>
      </c>
    </row>
    <row r="2857" spans="1:11" x14ac:dyDescent="0.35">
      <c r="A2857" s="9" t="str">
        <f>HYPERLINK("http://www.ensembl.org/id/WBGene00197819", "WBGene00197819")</f>
        <v>WBGene00197819</v>
      </c>
      <c r="B2857" s="9"/>
      <c r="C2857" s="9"/>
      <c r="D2857" t="str">
        <f>"T01B7.11"</f>
        <v>T01B7.11</v>
      </c>
      <c r="F2857" t="s">
        <v>481</v>
      </c>
      <c r="H2857" s="12">
        <v>2.4578120077400301</v>
      </c>
      <c r="I2857" s="11">
        <v>0.26093350314551</v>
      </c>
      <c r="J2857" s="10">
        <v>0.79414378780213601</v>
      </c>
      <c r="K2857" s="29">
        <v>0.98289565623980701</v>
      </c>
    </row>
    <row r="2858" spans="1:11" x14ac:dyDescent="0.35">
      <c r="A2858" s="9" t="str">
        <f>HYPERLINK("http://www.ensembl.org/id/WBGene00199326", "WBGene00199326")</f>
        <v>WBGene00199326</v>
      </c>
      <c r="B2858" s="9"/>
      <c r="C2858" s="9"/>
      <c r="D2858" t="str">
        <f>"T01C8.9"</f>
        <v>T01C8.9</v>
      </c>
      <c r="F2858" t="s">
        <v>481</v>
      </c>
      <c r="H2858" s="12">
        <v>2.4578120077400301</v>
      </c>
      <c r="I2858" s="11">
        <v>0.26093350314551</v>
      </c>
      <c r="J2858" s="10">
        <v>0.79414378780213601</v>
      </c>
      <c r="K2858" s="29">
        <v>0.98289565623980701</v>
      </c>
    </row>
    <row r="2859" spans="1:11" x14ac:dyDescent="0.35">
      <c r="A2859" s="9" t="str">
        <f>HYPERLINK("http://www.ensembl.org/id/WBGene00271635", "WBGene00271635")</f>
        <v>WBGene00271635</v>
      </c>
      <c r="B2859" s="9"/>
      <c r="C2859" s="9"/>
      <c r="D2859" t="str">
        <f>"T01H3.11"</f>
        <v>T01H3.11</v>
      </c>
      <c r="F2859" t="s">
        <v>481</v>
      </c>
      <c r="H2859" s="12">
        <v>2.4578120077400301</v>
      </c>
      <c r="I2859" s="11">
        <v>0.26093350314551</v>
      </c>
      <c r="J2859" s="10">
        <v>0.79414378780213601</v>
      </c>
      <c r="K2859" s="29">
        <v>0.98289565623980701</v>
      </c>
    </row>
    <row r="2860" spans="1:11" x14ac:dyDescent="0.35">
      <c r="A2860" s="9" t="str">
        <f>HYPERLINK("http://www.ensembl.org/id/WBGene00196257", "WBGene00196257")</f>
        <v>WBGene00196257</v>
      </c>
      <c r="B2860" s="9"/>
      <c r="C2860" s="9"/>
      <c r="D2860" t="str">
        <f>"T04C12.17"</f>
        <v>T04C12.17</v>
      </c>
      <c r="F2860" t="s">
        <v>481</v>
      </c>
      <c r="H2860" s="12">
        <v>2.4578120077400301</v>
      </c>
      <c r="I2860" s="11">
        <v>0.26093350314551</v>
      </c>
      <c r="J2860" s="10">
        <v>0.79414378780213601</v>
      </c>
      <c r="K2860" s="29">
        <v>0.98289565623980701</v>
      </c>
    </row>
    <row r="2861" spans="1:11" x14ac:dyDescent="0.35">
      <c r="A2861" s="9" t="str">
        <f>HYPERLINK("http://www.ensembl.org/id/WBGene00200370", "WBGene00200370")</f>
        <v>WBGene00200370</v>
      </c>
      <c r="B2861" s="9"/>
      <c r="C2861" s="9"/>
      <c r="D2861" t="str">
        <f>"T04C12.27"</f>
        <v>T04C12.27</v>
      </c>
      <c r="F2861" t="s">
        <v>481</v>
      </c>
      <c r="H2861" s="12">
        <v>2.4578120077400301</v>
      </c>
      <c r="I2861" s="11">
        <v>0.26093350314551</v>
      </c>
      <c r="J2861" s="10">
        <v>0.79414378780213601</v>
      </c>
      <c r="K2861" s="29">
        <v>0.98289565623980701</v>
      </c>
    </row>
    <row r="2862" spans="1:11" x14ac:dyDescent="0.35">
      <c r="A2862" s="9" t="str">
        <f>HYPERLINK("http://www.ensembl.org/id/WBGene00201586", "WBGene00201586")</f>
        <v>WBGene00201586</v>
      </c>
      <c r="B2862" s="9"/>
      <c r="C2862" s="9"/>
      <c r="D2862" t="str">
        <f>"T04C12.30"</f>
        <v>T04C12.30</v>
      </c>
      <c r="F2862" t="s">
        <v>481</v>
      </c>
      <c r="H2862" s="12">
        <v>2.4578120077400301</v>
      </c>
      <c r="I2862" s="11">
        <v>0.26093350314551</v>
      </c>
      <c r="J2862" s="10">
        <v>0.79414378780213601</v>
      </c>
      <c r="K2862" s="29">
        <v>0.98289565623980701</v>
      </c>
    </row>
    <row r="2863" spans="1:11" x14ac:dyDescent="0.35">
      <c r="A2863" s="9" t="str">
        <f>HYPERLINK("http://www.ensembl.org/id/WBGene00198737", "WBGene00198737")</f>
        <v>WBGene00198737</v>
      </c>
      <c r="B2863" s="9"/>
      <c r="C2863" s="9"/>
      <c r="D2863" t="str">
        <f>"T04C9.8"</f>
        <v>T04C9.8</v>
      </c>
      <c r="F2863" t="s">
        <v>481</v>
      </c>
      <c r="H2863" s="12">
        <v>2.4578120077400301</v>
      </c>
      <c r="I2863" s="11">
        <v>0.26093350314551</v>
      </c>
      <c r="J2863" s="10">
        <v>0.79414378780213601</v>
      </c>
      <c r="K2863" s="29">
        <v>0.98289565623980701</v>
      </c>
    </row>
    <row r="2864" spans="1:11" x14ac:dyDescent="0.35">
      <c r="A2864" s="9" t="str">
        <f>HYPERLINK("http://www.ensembl.org/id/WBGene00197971", "WBGene00197971")</f>
        <v>WBGene00197971</v>
      </c>
      <c r="B2864" s="9"/>
      <c r="C2864" s="9"/>
      <c r="D2864" t="str">
        <f>"T06D10.6"</f>
        <v>T06D10.6</v>
      </c>
      <c r="F2864" t="s">
        <v>481</v>
      </c>
      <c r="H2864" s="12">
        <v>2.4578120077400301</v>
      </c>
      <c r="I2864" s="11">
        <v>0.26093350314551</v>
      </c>
      <c r="J2864" s="10">
        <v>0.79414378780213601</v>
      </c>
      <c r="K2864" s="29">
        <v>0.98289565623980701</v>
      </c>
    </row>
    <row r="2865" spans="1:11" x14ac:dyDescent="0.35">
      <c r="A2865" s="9" t="str">
        <f>HYPERLINK("http://www.ensembl.org/id/WBGene00014510", "WBGene00014510")</f>
        <v>WBGene00014510</v>
      </c>
      <c r="B2865" s="9"/>
      <c r="C2865" s="9"/>
      <c r="D2865" t="str">
        <f>"T07D10.t1"</f>
        <v>T07D10.t1</v>
      </c>
      <c r="F2865" t="s">
        <v>4208</v>
      </c>
      <c r="H2865" s="12">
        <v>2.4578120077400301</v>
      </c>
      <c r="I2865" s="11">
        <v>0.26093350314551</v>
      </c>
      <c r="J2865" s="10">
        <v>0.79414378780213601</v>
      </c>
      <c r="K2865" s="29">
        <v>0.98289565623980701</v>
      </c>
    </row>
    <row r="2866" spans="1:11" x14ac:dyDescent="0.35">
      <c r="A2866" s="9" t="str">
        <f>HYPERLINK("http://www.ensembl.org/id/WBGene00198505", "WBGene00198505")</f>
        <v>WBGene00198505</v>
      </c>
      <c r="B2866" s="9"/>
      <c r="C2866" s="9"/>
      <c r="D2866" t="str">
        <f>"T08H4.8"</f>
        <v>T08H4.8</v>
      </c>
      <c r="F2866" t="s">
        <v>481</v>
      </c>
      <c r="H2866" s="12">
        <v>2.4578120077400301</v>
      </c>
      <c r="I2866" s="11">
        <v>0.26093350314551</v>
      </c>
      <c r="J2866" s="10">
        <v>0.79414378780213601</v>
      </c>
      <c r="K2866" s="29">
        <v>0.98289565623980701</v>
      </c>
    </row>
    <row r="2867" spans="1:11" x14ac:dyDescent="0.35">
      <c r="A2867" s="9" t="str">
        <f>HYPERLINK("http://www.ensembl.org/id/WBGene00197530", "WBGene00197530")</f>
        <v>WBGene00197530</v>
      </c>
      <c r="B2867" s="9"/>
      <c r="C2867" s="9"/>
      <c r="D2867" t="str">
        <f>"T12B5.16"</f>
        <v>T12B5.16</v>
      </c>
      <c r="F2867" t="s">
        <v>481</v>
      </c>
      <c r="H2867" s="12">
        <v>2.4578120077400301</v>
      </c>
      <c r="I2867" s="11">
        <v>0.26093350314551</v>
      </c>
      <c r="J2867" s="10">
        <v>0.79414378780213601</v>
      </c>
      <c r="K2867" s="29">
        <v>0.98289565623980701</v>
      </c>
    </row>
    <row r="2868" spans="1:11" x14ac:dyDescent="0.35">
      <c r="A2868" s="9" t="str">
        <f>HYPERLINK("http://www.ensembl.org/id/WBGene00195797", "WBGene00195797")</f>
        <v>WBGene00195797</v>
      </c>
      <c r="B2868" s="9"/>
      <c r="C2868" s="9"/>
      <c r="D2868" t="str">
        <f>"T14F9.6"</f>
        <v>T14F9.6</v>
      </c>
      <c r="F2868" t="s">
        <v>481</v>
      </c>
      <c r="H2868" s="12">
        <v>2.4578120077400301</v>
      </c>
      <c r="I2868" s="11">
        <v>0.26093350314551</v>
      </c>
      <c r="J2868" s="10">
        <v>0.79414378780213601</v>
      </c>
      <c r="K2868" s="29">
        <v>0.98289565623980701</v>
      </c>
    </row>
    <row r="2869" spans="1:11" x14ac:dyDescent="0.35">
      <c r="A2869" s="9" t="str">
        <f>HYPERLINK("http://www.ensembl.org/id/WBGene00196137", "WBGene00196137")</f>
        <v>WBGene00196137</v>
      </c>
      <c r="B2869" s="9"/>
      <c r="C2869" s="9"/>
      <c r="D2869" t="str">
        <f>"T18H9.8"</f>
        <v>T18H9.8</v>
      </c>
      <c r="F2869" t="s">
        <v>481</v>
      </c>
      <c r="H2869" s="12">
        <v>2.4578120077400301</v>
      </c>
      <c r="I2869" s="11">
        <v>0.26093350314551</v>
      </c>
      <c r="J2869" s="10">
        <v>0.79414378780213601</v>
      </c>
      <c r="K2869" s="29">
        <v>0.98289565623980701</v>
      </c>
    </row>
    <row r="2870" spans="1:11" x14ac:dyDescent="0.35">
      <c r="A2870" s="9" t="str">
        <f>HYPERLINK("http://www.ensembl.org/id/WBGene00199332", "WBGene00199332")</f>
        <v>WBGene00199332</v>
      </c>
      <c r="B2870" s="9"/>
      <c r="C2870" s="9"/>
      <c r="D2870" t="str">
        <f>"T23F2.9"</f>
        <v>T23F2.9</v>
      </c>
      <c r="F2870" t="s">
        <v>481</v>
      </c>
      <c r="H2870" s="12">
        <v>2.4578120077400301</v>
      </c>
      <c r="I2870" s="11">
        <v>0.26093350314551</v>
      </c>
      <c r="J2870" s="10">
        <v>0.79414378780213601</v>
      </c>
      <c r="K2870" s="29">
        <v>0.98289565623980701</v>
      </c>
    </row>
    <row r="2871" spans="1:11" x14ac:dyDescent="0.35">
      <c r="A2871" s="9" t="str">
        <f>HYPERLINK("http://www.ensembl.org/id/WBGene00201026", "WBGene00201026")</f>
        <v>WBGene00201026</v>
      </c>
      <c r="B2871" s="9"/>
      <c r="C2871" s="9"/>
      <c r="D2871" t="str">
        <f>"T24B8.20"</f>
        <v>T24B8.20</v>
      </c>
      <c r="F2871" t="s">
        <v>481</v>
      </c>
      <c r="H2871" s="12">
        <v>2.4578120077400301</v>
      </c>
      <c r="I2871" s="11">
        <v>0.26093350314551</v>
      </c>
      <c r="J2871" s="10">
        <v>0.79414378780213601</v>
      </c>
      <c r="K2871" s="29">
        <v>0.98289565623980701</v>
      </c>
    </row>
    <row r="2872" spans="1:11" x14ac:dyDescent="0.35">
      <c r="A2872" s="9" t="str">
        <f>HYPERLINK("http://www.ensembl.org/id/WBGene00196640", "WBGene00196640")</f>
        <v>WBGene00196640</v>
      </c>
      <c r="B2872" s="9"/>
      <c r="C2872" s="9"/>
      <c r="D2872" t="str">
        <f>"T25D3.5"</f>
        <v>T25D3.5</v>
      </c>
      <c r="F2872" t="s">
        <v>481</v>
      </c>
      <c r="H2872" s="12">
        <v>2.4578120077400301</v>
      </c>
      <c r="I2872" s="11">
        <v>0.26093350314551</v>
      </c>
      <c r="J2872" s="10">
        <v>0.79414378780213601</v>
      </c>
      <c r="K2872" s="29">
        <v>0.98289565623980701</v>
      </c>
    </row>
    <row r="2873" spans="1:11" x14ac:dyDescent="0.35">
      <c r="A2873" s="9" t="str">
        <f>HYPERLINK("http://www.ensembl.org/id/WBGene00195421", "WBGene00195421")</f>
        <v>WBGene00195421</v>
      </c>
      <c r="B2873" s="9"/>
      <c r="C2873" s="9"/>
      <c r="D2873" t="str">
        <f>"T25F10.7"</f>
        <v>T25F10.7</v>
      </c>
      <c r="F2873" t="s">
        <v>481</v>
      </c>
      <c r="H2873" s="12">
        <v>2.4578120077400301</v>
      </c>
      <c r="I2873" s="11">
        <v>0.26093350314551</v>
      </c>
      <c r="J2873" s="10">
        <v>0.79414378780213601</v>
      </c>
      <c r="K2873" s="29">
        <v>0.98289565623980701</v>
      </c>
    </row>
    <row r="2874" spans="1:11" x14ac:dyDescent="0.35">
      <c r="A2874" s="9" t="str">
        <f>HYPERLINK("http://www.ensembl.org/id/WBGene00200762", "WBGene00200762")</f>
        <v>WBGene00200762</v>
      </c>
      <c r="B2874" s="9"/>
      <c r="C2874" s="9"/>
      <c r="D2874" t="str">
        <f>"T28B11.19"</f>
        <v>T28B11.19</v>
      </c>
      <c r="F2874" t="s">
        <v>481</v>
      </c>
      <c r="H2874" s="12">
        <v>2.4578120077400301</v>
      </c>
      <c r="I2874" s="11">
        <v>0.26093350314551</v>
      </c>
      <c r="J2874" s="10">
        <v>0.79414378780213601</v>
      </c>
      <c r="K2874" s="29">
        <v>0.98289565623980701</v>
      </c>
    </row>
    <row r="2875" spans="1:11" x14ac:dyDescent="0.35">
      <c r="A2875" s="9" t="str">
        <f>HYPERLINK("http://www.ensembl.org/id/WBGene00077750", "WBGene00077750")</f>
        <v>WBGene00077750</v>
      </c>
      <c r="B2875" s="9"/>
      <c r="C2875" s="9"/>
      <c r="D2875" t="str">
        <f>"W01B6.11"</f>
        <v>W01B6.11</v>
      </c>
      <c r="F2875" t="s">
        <v>80</v>
      </c>
      <c r="H2875" s="12">
        <v>2.4578120077400301</v>
      </c>
      <c r="I2875" s="11">
        <v>0.26093350314551</v>
      </c>
      <c r="J2875" s="10">
        <v>0.79414378780213601</v>
      </c>
      <c r="K2875" s="29">
        <v>0.98289565623980701</v>
      </c>
    </row>
    <row r="2876" spans="1:11" x14ac:dyDescent="0.35">
      <c r="A2876" s="9" t="str">
        <f>HYPERLINK("http://www.ensembl.org/id/WBGene00014851", "WBGene00014851")</f>
        <v>WBGene00014851</v>
      </c>
      <c r="B2876" s="9"/>
      <c r="C2876" s="9"/>
      <c r="D2876" t="str">
        <f>"W01G7.2"</f>
        <v>W01G7.2</v>
      </c>
      <c r="F2876" t="s">
        <v>80</v>
      </c>
      <c r="H2876" s="12">
        <v>2.4578120077400301</v>
      </c>
      <c r="I2876" s="11">
        <v>0.26093350314551</v>
      </c>
      <c r="J2876" s="10">
        <v>0.79414378780213601</v>
      </c>
      <c r="K2876" s="29">
        <v>0.98289565623980701</v>
      </c>
    </row>
    <row r="2877" spans="1:11" x14ac:dyDescent="0.35">
      <c r="A2877" s="9" t="str">
        <f>HYPERLINK("http://www.ensembl.org/id/WBGene00199847", "WBGene00199847")</f>
        <v>WBGene00199847</v>
      </c>
      <c r="B2877" s="9"/>
      <c r="C2877" s="9"/>
      <c r="D2877" t="str">
        <f>"W03G11.18"</f>
        <v>W03G11.18</v>
      </c>
      <c r="F2877" t="s">
        <v>481</v>
      </c>
      <c r="H2877" s="12">
        <v>2.4578120077400301</v>
      </c>
      <c r="I2877" s="11">
        <v>0.26093350314551</v>
      </c>
      <c r="J2877" s="10">
        <v>0.79414378780213601</v>
      </c>
      <c r="K2877" s="29">
        <v>0.98289565623980701</v>
      </c>
    </row>
    <row r="2878" spans="1:11" x14ac:dyDescent="0.35">
      <c r="A2878" s="9" t="str">
        <f>HYPERLINK("http://www.ensembl.org/id/WBGene00021083", "WBGene00021083")</f>
        <v>WBGene00021083</v>
      </c>
      <c r="B2878" s="9" t="str">
        <f>HYPERLINK("http://www.ncbi.nlm.nih.gov/gene/189291", "189291")</f>
        <v>189291</v>
      </c>
      <c r="C2878" s="9"/>
      <c r="D2878" t="str">
        <f>"W08E12.2"</f>
        <v>W08E12.2</v>
      </c>
      <c r="F2878" t="s">
        <v>11</v>
      </c>
      <c r="H2878" s="12">
        <v>2.4578120077400301</v>
      </c>
      <c r="I2878" s="11">
        <v>0.26093350314551</v>
      </c>
      <c r="J2878" s="10">
        <v>0.79414378780213601</v>
      </c>
      <c r="K2878" s="29">
        <v>0.98289565623980701</v>
      </c>
    </row>
    <row r="2879" spans="1:11" x14ac:dyDescent="0.35">
      <c r="A2879" s="9" t="str">
        <f>HYPERLINK("http://www.ensembl.org/id/WBGene00021122", "WBGene00021122")</f>
        <v>WBGene00021122</v>
      </c>
      <c r="B2879" s="9" t="str">
        <f>HYPERLINK("http://www.ncbi.nlm.nih.gov/gene/189325", "189325")</f>
        <v>189325</v>
      </c>
      <c r="C2879" s="9"/>
      <c r="D2879" t="str">
        <f>"W09G12.8"</f>
        <v>W09G12.8</v>
      </c>
      <c r="F2879" t="s">
        <v>11</v>
      </c>
      <c r="G2879" t="s">
        <v>4379</v>
      </c>
      <c r="H2879" s="12">
        <v>2.4578120077400301</v>
      </c>
      <c r="I2879" s="11">
        <v>0.26093350314551</v>
      </c>
      <c r="J2879" s="10">
        <v>0.79414378780213601</v>
      </c>
      <c r="K2879" s="29">
        <v>0.98289565623980701</v>
      </c>
    </row>
    <row r="2880" spans="1:11" x14ac:dyDescent="0.35">
      <c r="A2880" s="9" t="str">
        <f>HYPERLINK("http://www.ensembl.org/id/WBGene00220220", "WBGene00220220")</f>
        <v>WBGene00220220</v>
      </c>
      <c r="B2880" s="9"/>
      <c r="C2880" s="9"/>
      <c r="D2880" t="str">
        <f>"Y102A11A.17"</f>
        <v>Y102A11A.17</v>
      </c>
      <c r="F2880" t="s">
        <v>2977</v>
      </c>
      <c r="H2880" s="12">
        <v>2.4578120077400301</v>
      </c>
      <c r="I2880" s="11">
        <v>0.26093350314551</v>
      </c>
      <c r="J2880" s="10">
        <v>0.79414378780213601</v>
      </c>
      <c r="K2880" s="29">
        <v>0.98289565623980701</v>
      </c>
    </row>
    <row r="2881" spans="1:11" x14ac:dyDescent="0.35">
      <c r="A2881" s="9" t="str">
        <f>HYPERLINK("http://www.ensembl.org/id/WBGene00014957", "WBGene00014957")</f>
        <v>WBGene00014957</v>
      </c>
      <c r="B2881" s="9"/>
      <c r="C2881" s="9"/>
      <c r="D2881" t="str">
        <f>"Y102A5C.30"</f>
        <v>Y102A5C.30</v>
      </c>
      <c r="F2881" t="s">
        <v>80</v>
      </c>
      <c r="H2881" s="12">
        <v>2.4578120077400301</v>
      </c>
      <c r="I2881" s="11">
        <v>0.26093350314551</v>
      </c>
      <c r="J2881" s="10">
        <v>0.79414378780213601</v>
      </c>
      <c r="K2881" s="29">
        <v>0.98289565623980701</v>
      </c>
    </row>
    <row r="2882" spans="1:11" x14ac:dyDescent="0.35">
      <c r="A2882" s="9" t="str">
        <f>HYPERLINK("http://www.ensembl.org/id/WBGene00202346", "WBGene00202346")</f>
        <v>WBGene00202346</v>
      </c>
      <c r="B2882" s="9"/>
      <c r="C2882" s="9"/>
      <c r="D2882" t="str">
        <f>"Y105E8B.14"</f>
        <v>Y105E8B.14</v>
      </c>
      <c r="F2882" t="s">
        <v>481</v>
      </c>
      <c r="H2882" s="12">
        <v>2.4578120077400301</v>
      </c>
      <c r="I2882" s="11">
        <v>0.26093350314551</v>
      </c>
      <c r="J2882" s="10">
        <v>0.79414378780213601</v>
      </c>
      <c r="K2882" s="29">
        <v>0.98289565623980701</v>
      </c>
    </row>
    <row r="2883" spans="1:11" x14ac:dyDescent="0.35">
      <c r="A2883" s="9" t="str">
        <f>HYPERLINK("http://www.ensembl.org/id/WBGene00013810", "WBGene00013810")</f>
        <v>WBGene00013810</v>
      </c>
      <c r="B2883" s="9" t="str">
        <f>HYPERLINK("http://www.ncbi.nlm.nih.gov/gene/191006", "191006")</f>
        <v>191006</v>
      </c>
      <c r="C2883" s="9"/>
      <c r="D2883" t="str">
        <f>"Y116A8C.37"</f>
        <v>Y116A8C.37</v>
      </c>
      <c r="F2883" t="s">
        <v>11</v>
      </c>
      <c r="G2883" t="s">
        <v>4312</v>
      </c>
      <c r="H2883" s="12">
        <v>2.4578120077400301</v>
      </c>
      <c r="I2883" s="11">
        <v>0.26093350314551</v>
      </c>
      <c r="J2883" s="10">
        <v>0.79414378780213601</v>
      </c>
      <c r="K2883" s="29">
        <v>0.98289565623980701</v>
      </c>
    </row>
    <row r="2884" spans="1:11" x14ac:dyDescent="0.35">
      <c r="A2884" s="9" t="str">
        <f>HYPERLINK("http://www.ensembl.org/id/WBGene00194672", "WBGene00194672")</f>
        <v>WBGene00194672</v>
      </c>
      <c r="B2884" s="9" t="str">
        <f>HYPERLINK("http://www.ncbi.nlm.nih.gov/gene/13210515", "13210515")</f>
        <v>13210515</v>
      </c>
      <c r="C2884" s="9"/>
      <c r="D2884" t="str">
        <f>"Y116A8C.463"</f>
        <v>Y116A8C.463</v>
      </c>
      <c r="F2884" t="s">
        <v>11</v>
      </c>
      <c r="H2884" s="12">
        <v>2.4578120077400301</v>
      </c>
      <c r="I2884" s="11">
        <v>0.26093350314551</v>
      </c>
      <c r="J2884" s="10">
        <v>0.79414378780213601</v>
      </c>
      <c r="K2884" s="29">
        <v>0.98289565623980701</v>
      </c>
    </row>
    <row r="2885" spans="1:11" x14ac:dyDescent="0.35">
      <c r="A2885" s="9" t="str">
        <f>HYPERLINK("http://www.ensembl.org/id/WBGene00077660", "WBGene00077660")</f>
        <v>WBGene00077660</v>
      </c>
      <c r="B2885" s="9"/>
      <c r="C2885" s="9"/>
      <c r="D2885" t="str">
        <f>"Y17D7B.9"</f>
        <v>Y17D7B.9</v>
      </c>
      <c r="F2885" t="s">
        <v>80</v>
      </c>
      <c r="H2885" s="12">
        <v>2.4578120077400301</v>
      </c>
      <c r="I2885" s="11">
        <v>0.26093350314551</v>
      </c>
      <c r="J2885" s="10">
        <v>0.79414378780213601</v>
      </c>
      <c r="K2885" s="29">
        <v>0.98289565623980701</v>
      </c>
    </row>
    <row r="2886" spans="1:11" x14ac:dyDescent="0.35">
      <c r="A2886" s="9" t="str">
        <f>HYPERLINK("http://www.ensembl.org/id/WBGene00021233", "WBGene00021233")</f>
        <v>WBGene00021233</v>
      </c>
      <c r="B2886" s="9"/>
      <c r="C2886" s="9"/>
      <c r="D2886" t="str">
        <f>"Y19D10B.4"</f>
        <v>Y19D10B.4</v>
      </c>
      <c r="F2886" t="s">
        <v>80</v>
      </c>
      <c r="H2886" s="12">
        <v>2.4578120077400301</v>
      </c>
      <c r="I2886" s="11">
        <v>0.26093350314551</v>
      </c>
      <c r="J2886" s="10">
        <v>0.79414378780213601</v>
      </c>
      <c r="K2886" s="29">
        <v>0.98289565623980701</v>
      </c>
    </row>
    <row r="2887" spans="1:11" x14ac:dyDescent="0.35">
      <c r="A2887" s="9" t="str">
        <f>HYPERLINK("http://www.ensembl.org/id/WBGene00235117", "WBGene00235117")</f>
        <v>WBGene00235117</v>
      </c>
      <c r="B2887" s="9" t="str">
        <f>HYPERLINK("http://www.ncbi.nlm.nih.gov/gene/24105054", "24105054")</f>
        <v>24105054</v>
      </c>
      <c r="C2887" s="9"/>
      <c r="D2887" t="str">
        <f>"Y19D10B.8"</f>
        <v>Y19D10B.8</v>
      </c>
      <c r="F2887" t="s">
        <v>11</v>
      </c>
      <c r="H2887" s="12">
        <v>2.4578120077400301</v>
      </c>
      <c r="I2887" s="11">
        <v>0.26093350314551</v>
      </c>
      <c r="J2887" s="10">
        <v>0.79414378780213601</v>
      </c>
      <c r="K2887" s="29">
        <v>0.98289565623980701</v>
      </c>
    </row>
    <row r="2888" spans="1:11" x14ac:dyDescent="0.35">
      <c r="A2888" s="9" t="str">
        <f>HYPERLINK("http://www.ensembl.org/id/WBGene00198499", "WBGene00198499")</f>
        <v>WBGene00198499</v>
      </c>
      <c r="B2888" s="9"/>
      <c r="C2888" s="9"/>
      <c r="D2888" t="str">
        <f>"Y37F4.12"</f>
        <v>Y37F4.12</v>
      </c>
      <c r="F2888" t="s">
        <v>481</v>
      </c>
      <c r="H2888" s="12">
        <v>2.4578120077400301</v>
      </c>
      <c r="I2888" s="11">
        <v>0.26093350314551</v>
      </c>
      <c r="J2888" s="10">
        <v>0.79414378780213601</v>
      </c>
      <c r="K2888" s="29">
        <v>0.98289565623980701</v>
      </c>
    </row>
    <row r="2889" spans="1:11" x14ac:dyDescent="0.35">
      <c r="A2889" s="9" t="str">
        <f>HYPERLINK("http://www.ensembl.org/id/WBGene00021489", "WBGene00021489")</f>
        <v>WBGene00021489</v>
      </c>
      <c r="B2889" s="9"/>
      <c r="C2889" s="9"/>
      <c r="D2889" t="str">
        <f>"Y40B10A.4"</f>
        <v>Y40B10A.4</v>
      </c>
      <c r="F2889" t="s">
        <v>80</v>
      </c>
      <c r="H2889" s="12">
        <v>2.4578120077400301</v>
      </c>
      <c r="I2889" s="11">
        <v>0.26093350314551</v>
      </c>
      <c r="J2889" s="10">
        <v>0.79414378780213601</v>
      </c>
      <c r="K2889" s="29">
        <v>0.98289565623980701</v>
      </c>
    </row>
    <row r="2890" spans="1:11" x14ac:dyDescent="0.35">
      <c r="A2890" s="9" t="str">
        <f>HYPERLINK("http://www.ensembl.org/id/WBGene00220157", "WBGene00220157")</f>
        <v>WBGene00220157</v>
      </c>
      <c r="B2890" s="9"/>
      <c r="C2890" s="9"/>
      <c r="D2890" t="str">
        <f>"Y41E3.464"</f>
        <v>Y41E3.464</v>
      </c>
      <c r="F2890" t="s">
        <v>2977</v>
      </c>
      <c r="H2890" s="12">
        <v>2.4578120077400301</v>
      </c>
      <c r="I2890" s="11">
        <v>0.26093350314551</v>
      </c>
      <c r="J2890" s="10">
        <v>0.79414378780213601</v>
      </c>
      <c r="K2890" s="29">
        <v>0.98289565623980701</v>
      </c>
    </row>
    <row r="2891" spans="1:11" x14ac:dyDescent="0.35">
      <c r="A2891" s="9" t="str">
        <f>HYPERLINK("http://www.ensembl.org/id/WBGene00077688", "WBGene00077688")</f>
        <v>WBGene00077688</v>
      </c>
      <c r="B2891" s="9" t="str">
        <f>HYPERLINK("http://www.ncbi.nlm.nih.gov/gene/6418801", "6418801")</f>
        <v>6418801</v>
      </c>
      <c r="C2891" s="9"/>
      <c r="D2891" t="str">
        <f>"Y43F8B.19"</f>
        <v>Y43F8B.19</v>
      </c>
      <c r="F2891" t="s">
        <v>11</v>
      </c>
      <c r="G2891" t="s">
        <v>2536</v>
      </c>
      <c r="H2891" s="12">
        <v>2.4578120077400301</v>
      </c>
      <c r="I2891" s="11">
        <v>0.26093350314551</v>
      </c>
      <c r="J2891" s="10">
        <v>0.79414378780213601</v>
      </c>
      <c r="K2891" s="29">
        <v>0.98289565623980701</v>
      </c>
    </row>
    <row r="2892" spans="1:11" x14ac:dyDescent="0.35">
      <c r="A2892" s="9" t="str">
        <f>HYPERLINK("http://www.ensembl.org/id/WBGene00220159", "WBGene00220159")</f>
        <v>WBGene00220159</v>
      </c>
      <c r="B2892" s="9"/>
      <c r="C2892" s="9"/>
      <c r="D2892" t="str">
        <f>"Y44A6C.3"</f>
        <v>Y44A6C.3</v>
      </c>
      <c r="F2892" t="s">
        <v>2977</v>
      </c>
      <c r="H2892" s="12">
        <v>2.4578120077400301</v>
      </c>
      <c r="I2892" s="11">
        <v>0.26093350314551</v>
      </c>
      <c r="J2892" s="10">
        <v>0.79414378780213601</v>
      </c>
      <c r="K2892" s="29">
        <v>0.98289565623980701</v>
      </c>
    </row>
    <row r="2893" spans="1:11" x14ac:dyDescent="0.35">
      <c r="A2893" s="9" t="str">
        <f>HYPERLINK("http://www.ensembl.org/id/WBGene00235165", "WBGene00235165")</f>
        <v>WBGene00235165</v>
      </c>
      <c r="B2893" s="9" t="str">
        <f>HYPERLINK("http://www.ncbi.nlm.nih.gov/gene/24105111", "24105111")</f>
        <v>24105111</v>
      </c>
      <c r="C2893" s="9"/>
      <c r="D2893" t="str">
        <f>"Y47D7A.18"</f>
        <v>Y47D7A.18</v>
      </c>
      <c r="F2893" t="s">
        <v>11</v>
      </c>
      <c r="H2893" s="12">
        <v>2.4578120077400301</v>
      </c>
      <c r="I2893" s="11">
        <v>0.26093350314551</v>
      </c>
      <c r="J2893" s="10">
        <v>0.79414378780213601</v>
      </c>
      <c r="K2893" s="29">
        <v>0.98289565623980701</v>
      </c>
    </row>
    <row r="2894" spans="1:11" x14ac:dyDescent="0.35">
      <c r="A2894" s="9" t="str">
        <f>HYPERLINK("http://www.ensembl.org/id/WBGene00200878", "WBGene00200878")</f>
        <v>WBGene00200878</v>
      </c>
      <c r="B2894" s="9"/>
      <c r="C2894" s="9"/>
      <c r="D2894" t="str">
        <f>"Y47G6A.35"</f>
        <v>Y47G6A.35</v>
      </c>
      <c r="F2894" t="s">
        <v>481</v>
      </c>
      <c r="H2894" s="12">
        <v>2.4578120077400301</v>
      </c>
      <c r="I2894" s="11">
        <v>0.26093350314551</v>
      </c>
      <c r="J2894" s="10">
        <v>0.79414378780213601</v>
      </c>
      <c r="K2894" s="29">
        <v>0.98289565623980701</v>
      </c>
    </row>
    <row r="2895" spans="1:11" x14ac:dyDescent="0.35">
      <c r="A2895" s="9" t="str">
        <f>HYPERLINK("http://www.ensembl.org/id/WBGene00201670", "WBGene00201670")</f>
        <v>WBGene00201670</v>
      </c>
      <c r="B2895" s="9"/>
      <c r="C2895" s="9"/>
      <c r="D2895" t="str">
        <f>"Y48B6A.23"</f>
        <v>Y48B6A.23</v>
      </c>
      <c r="F2895" t="s">
        <v>481</v>
      </c>
      <c r="H2895" s="12">
        <v>2.4578120077400301</v>
      </c>
      <c r="I2895" s="11">
        <v>0.26093350314551</v>
      </c>
      <c r="J2895" s="10">
        <v>0.79414378780213601</v>
      </c>
      <c r="K2895" s="29">
        <v>0.98289565623980701</v>
      </c>
    </row>
    <row r="2896" spans="1:11" x14ac:dyDescent="0.35">
      <c r="A2896" s="9" t="str">
        <f>HYPERLINK("http://www.ensembl.org/id/WBGene00200569", "WBGene00200569")</f>
        <v>WBGene00200569</v>
      </c>
      <c r="B2896" s="9"/>
      <c r="C2896" s="9"/>
      <c r="D2896" t="str">
        <f>"Y49G5B.6"</f>
        <v>Y49G5B.6</v>
      </c>
      <c r="F2896" t="s">
        <v>481</v>
      </c>
      <c r="H2896" s="12">
        <v>2.4578120077400301</v>
      </c>
      <c r="I2896" s="11">
        <v>0.26093350314551</v>
      </c>
      <c r="J2896" s="10">
        <v>0.79414378780213601</v>
      </c>
      <c r="K2896" s="29">
        <v>0.98289565623980701</v>
      </c>
    </row>
    <row r="2897" spans="1:11" x14ac:dyDescent="0.35">
      <c r="A2897" s="9" t="str">
        <f>HYPERLINK("http://www.ensembl.org/id/WBGene00014585", "WBGene00014585")</f>
        <v>WBGene00014585</v>
      </c>
      <c r="B2897" s="9"/>
      <c r="C2897" s="9"/>
      <c r="D2897" t="str">
        <f>"Y53C10A.t1"</f>
        <v>Y53C10A.t1</v>
      </c>
      <c r="F2897" t="s">
        <v>4208</v>
      </c>
      <c r="H2897" s="12">
        <v>2.4578120077400301</v>
      </c>
      <c r="I2897" s="11">
        <v>0.26093350314551</v>
      </c>
      <c r="J2897" s="10">
        <v>0.79414378780213601</v>
      </c>
      <c r="K2897" s="29">
        <v>0.98289565623980701</v>
      </c>
    </row>
    <row r="2898" spans="1:11" x14ac:dyDescent="0.35">
      <c r="A2898" s="9" t="str">
        <f>HYPERLINK("http://www.ensembl.org/id/WBGene00021805", "WBGene00021805")</f>
        <v>WBGene00021805</v>
      </c>
      <c r="B2898" s="9" t="str">
        <f>HYPERLINK("http://www.ncbi.nlm.nih.gov/gene/190237", "190237")</f>
        <v>190237</v>
      </c>
      <c r="C2898" s="9"/>
      <c r="D2898" t="str">
        <f>"Y53G8AM.5"</f>
        <v>Y53G8AM.5</v>
      </c>
      <c r="F2898" t="s">
        <v>11</v>
      </c>
      <c r="H2898" s="12">
        <v>2.4578120077400301</v>
      </c>
      <c r="I2898" s="11">
        <v>0.26093350314551</v>
      </c>
      <c r="J2898" s="10">
        <v>0.79414378780213601</v>
      </c>
      <c r="K2898" s="29">
        <v>0.98289565623980701</v>
      </c>
    </row>
    <row r="2899" spans="1:11" x14ac:dyDescent="0.35">
      <c r="A2899" s="9" t="str">
        <f>HYPERLINK("http://www.ensembl.org/id/WBGene00303092", "WBGene00303092")</f>
        <v>WBGene00303092</v>
      </c>
      <c r="B2899" s="9" t="str">
        <f>HYPERLINK("http://www.ncbi.nlm.nih.gov/gene/36805060", "36805060")</f>
        <v>36805060</v>
      </c>
      <c r="C2899" s="9"/>
      <c r="D2899" t="str">
        <f>"Y54F10AM.15"</f>
        <v>Y54F10AM.15</v>
      </c>
      <c r="F2899" t="s">
        <v>11</v>
      </c>
      <c r="H2899" s="12">
        <v>2.4578120077400301</v>
      </c>
      <c r="I2899" s="11">
        <v>0.26093350314551</v>
      </c>
      <c r="J2899" s="10">
        <v>0.79414378780213601</v>
      </c>
      <c r="K2899" s="29">
        <v>0.98289565623980701</v>
      </c>
    </row>
    <row r="2900" spans="1:11" x14ac:dyDescent="0.35">
      <c r="A2900" s="9" t="str">
        <f>HYPERLINK("http://www.ensembl.org/id/WBGene00206486", "WBGene00206486")</f>
        <v>WBGene00206486</v>
      </c>
      <c r="B2900" s="9" t="str">
        <f>HYPERLINK("http://www.ncbi.nlm.nih.gov/gene/13188710", "13188710")</f>
        <v>13188710</v>
      </c>
      <c r="C2900" s="9"/>
      <c r="D2900" t="str">
        <f>"Y54F10BM.20"</f>
        <v>Y54F10BM.20</v>
      </c>
      <c r="F2900" t="s">
        <v>11</v>
      </c>
      <c r="G2900" t="s">
        <v>54</v>
      </c>
      <c r="H2900" s="12">
        <v>2.4578120077400301</v>
      </c>
      <c r="I2900" s="11">
        <v>0.26093350314551</v>
      </c>
      <c r="J2900" s="10">
        <v>0.79414378780213601</v>
      </c>
      <c r="K2900" s="29">
        <v>0.98289565623980701</v>
      </c>
    </row>
    <row r="2901" spans="1:11" x14ac:dyDescent="0.35">
      <c r="A2901" s="9" t="str">
        <f>HYPERLINK("http://www.ensembl.org/id/WBGene00197395", "WBGene00197395")</f>
        <v>WBGene00197395</v>
      </c>
      <c r="B2901" s="9"/>
      <c r="C2901" s="9"/>
      <c r="D2901" t="str">
        <f>"Y57A10A.40"</f>
        <v>Y57A10A.40</v>
      </c>
      <c r="F2901" t="s">
        <v>481</v>
      </c>
      <c r="H2901" s="12">
        <v>2.4578120077400301</v>
      </c>
      <c r="I2901" s="11">
        <v>0.26093350314551</v>
      </c>
      <c r="J2901" s="10">
        <v>0.79414378780213601</v>
      </c>
      <c r="K2901" s="29">
        <v>0.98289565623980701</v>
      </c>
    </row>
    <row r="2902" spans="1:11" x14ac:dyDescent="0.35">
      <c r="A2902" s="9" t="str">
        <f>HYPERLINK("http://www.ensembl.org/id/WBGene00013288", "WBGene00013288")</f>
        <v>WBGene00013288</v>
      </c>
      <c r="B2902" s="9" t="str">
        <f>HYPERLINK("http://www.ncbi.nlm.nih.gov/gene/190353", "190353")</f>
        <v>190353</v>
      </c>
      <c r="C2902" s="9"/>
      <c r="D2902" t="str">
        <f>"Y57A10C.10"</f>
        <v>Y57A10C.10</v>
      </c>
      <c r="F2902" t="s">
        <v>11</v>
      </c>
      <c r="G2902" t="s">
        <v>25</v>
      </c>
      <c r="H2902" s="12">
        <v>2.4578120077400301</v>
      </c>
      <c r="I2902" s="11">
        <v>0.26093350314551</v>
      </c>
      <c r="J2902" s="10">
        <v>0.79414378780213601</v>
      </c>
      <c r="K2902" s="29">
        <v>0.98289565623980701</v>
      </c>
    </row>
    <row r="2903" spans="1:11" x14ac:dyDescent="0.35">
      <c r="A2903" s="9" t="str">
        <f>HYPERLINK("http://www.ensembl.org/id/WBGene00235290", "WBGene00235290")</f>
        <v>WBGene00235290</v>
      </c>
      <c r="B2903" s="9" t="str">
        <f>HYPERLINK("http://www.ncbi.nlm.nih.gov/gene/24105180", "24105180")</f>
        <v>24105180</v>
      </c>
      <c r="C2903" s="9"/>
      <c r="D2903" t="str">
        <f>"Y59H11AR.10"</f>
        <v>Y59H11AR.10</v>
      </c>
      <c r="F2903" t="s">
        <v>11</v>
      </c>
      <c r="G2903" t="s">
        <v>25</v>
      </c>
      <c r="H2903" s="12">
        <v>2.4578120077400301</v>
      </c>
      <c r="I2903" s="11">
        <v>0.26093350314551</v>
      </c>
      <c r="J2903" s="10">
        <v>0.79414378780213601</v>
      </c>
      <c r="K2903" s="29">
        <v>0.98289565623980701</v>
      </c>
    </row>
    <row r="2904" spans="1:11" x14ac:dyDescent="0.35">
      <c r="A2904" s="9" t="str">
        <f>HYPERLINK("http://www.ensembl.org/id/WBGene00045144", "WBGene00045144")</f>
        <v>WBGene00045144</v>
      </c>
      <c r="B2904" s="9" t="str">
        <f>HYPERLINK("http://www.ncbi.nlm.nih.gov/gene/4926936", "4926936")</f>
        <v>4926936</v>
      </c>
      <c r="C2904" s="9"/>
      <c r="D2904" t="str">
        <f>"Y64G10A.10"</f>
        <v>Y64G10A.10</v>
      </c>
      <c r="F2904" t="s">
        <v>11</v>
      </c>
      <c r="H2904" s="12">
        <v>2.4578120077400301</v>
      </c>
      <c r="I2904" s="11">
        <v>0.26093350314551</v>
      </c>
      <c r="J2904" s="10">
        <v>0.79414378780213601</v>
      </c>
      <c r="K2904" s="29">
        <v>0.98289565623980701</v>
      </c>
    </row>
    <row r="2905" spans="1:11" x14ac:dyDescent="0.35">
      <c r="A2905" s="9" t="str">
        <f>HYPERLINK("http://www.ensembl.org/id/WBGene00197431", "WBGene00197431")</f>
        <v>WBGene00197431</v>
      </c>
      <c r="B2905" s="9"/>
      <c r="C2905" s="9"/>
      <c r="D2905" t="str">
        <f>"Y67D8C.15"</f>
        <v>Y67D8C.15</v>
      </c>
      <c r="F2905" t="s">
        <v>481</v>
      </c>
      <c r="H2905" s="12">
        <v>2.4578120077400301</v>
      </c>
      <c r="I2905" s="11">
        <v>0.26093350314551</v>
      </c>
      <c r="J2905" s="10">
        <v>0.79414378780213601</v>
      </c>
      <c r="K2905" s="29">
        <v>0.98289565623980701</v>
      </c>
    </row>
    <row r="2906" spans="1:11" x14ac:dyDescent="0.35">
      <c r="A2906" s="9" t="str">
        <f>HYPERLINK("http://www.ensembl.org/id/WBGene00235294", "WBGene00235294")</f>
        <v>WBGene00235294</v>
      </c>
      <c r="B2906" s="9" t="str">
        <f>HYPERLINK("http://www.ncbi.nlm.nih.gov/gene/24105195", "24105195")</f>
        <v>24105195</v>
      </c>
      <c r="C2906" s="9"/>
      <c r="D2906" t="str">
        <f>"Y69A2AR.47"</f>
        <v>Y69A2AR.47</v>
      </c>
      <c r="F2906" t="s">
        <v>11</v>
      </c>
      <c r="H2906" s="12">
        <v>2.4578120077400301</v>
      </c>
      <c r="I2906" s="11">
        <v>0.26093350314551</v>
      </c>
      <c r="J2906" s="10">
        <v>0.79414378780213601</v>
      </c>
      <c r="K2906" s="29">
        <v>0.98289565623980701</v>
      </c>
    </row>
    <row r="2907" spans="1:11" x14ac:dyDescent="0.35">
      <c r="A2907" s="9" t="str">
        <f>HYPERLINK("http://www.ensembl.org/id/WBGene00023188", "WBGene00023188")</f>
        <v>WBGene00023188</v>
      </c>
      <c r="B2907" s="9"/>
      <c r="C2907" s="9"/>
      <c r="D2907" t="str">
        <f>"Y69A2AR.t2"</f>
        <v>Y69A2AR.t2</v>
      </c>
      <c r="F2907" t="s">
        <v>4208</v>
      </c>
      <c r="H2907" s="12">
        <v>2.4578120077400301</v>
      </c>
      <c r="I2907" s="11">
        <v>0.26093350314551</v>
      </c>
      <c r="J2907" s="10">
        <v>0.79414378780213601</v>
      </c>
      <c r="K2907" s="29">
        <v>0.98289565623980701</v>
      </c>
    </row>
    <row r="2908" spans="1:11" x14ac:dyDescent="0.35">
      <c r="A2908" s="9" t="str">
        <f>HYPERLINK("http://www.ensembl.org/id/WBGene00195228", "WBGene00195228")</f>
        <v>WBGene00195228</v>
      </c>
      <c r="B2908" s="9" t="str">
        <f>HYPERLINK("http://www.ncbi.nlm.nih.gov/gene/13182889", "13182889")</f>
        <v>13182889</v>
      </c>
      <c r="C2908" s="9"/>
      <c r="D2908" t="str">
        <f>"Y71A12B.24"</f>
        <v>Y71A12B.24</v>
      </c>
      <c r="F2908" t="s">
        <v>11</v>
      </c>
      <c r="H2908" s="12">
        <v>2.4578120077400301</v>
      </c>
      <c r="I2908" s="11">
        <v>0.26093350314551</v>
      </c>
      <c r="J2908" s="10">
        <v>0.79414378780213601</v>
      </c>
      <c r="K2908" s="29">
        <v>0.98289565623980701</v>
      </c>
    </row>
    <row r="2909" spans="1:11" x14ac:dyDescent="0.35">
      <c r="A2909" s="9" t="str">
        <f>HYPERLINK("http://www.ensembl.org/id/WBGene00044928", "WBGene00044928")</f>
        <v>WBGene00044928</v>
      </c>
      <c r="B2909" s="9"/>
      <c r="C2909" s="9"/>
      <c r="D2909" t="str">
        <f>"Y71F9AM.7"</f>
        <v>Y71F9AM.7</v>
      </c>
      <c r="F2909" t="s">
        <v>2977</v>
      </c>
      <c r="H2909" s="12">
        <v>2.4578120077400301</v>
      </c>
      <c r="I2909" s="11">
        <v>0.26093350314551</v>
      </c>
      <c r="J2909" s="10">
        <v>0.79414378780213601</v>
      </c>
      <c r="K2909" s="29">
        <v>0.98289565623980701</v>
      </c>
    </row>
    <row r="2910" spans="1:11" x14ac:dyDescent="0.35">
      <c r="A2910" s="9" t="str">
        <f>HYPERLINK("http://www.ensembl.org/id/WBGene00220204", "WBGene00220204")</f>
        <v>WBGene00220204</v>
      </c>
      <c r="B2910" s="9"/>
      <c r="C2910" s="9"/>
      <c r="D2910" t="str">
        <f>"Y73B6A.15"</f>
        <v>Y73B6A.15</v>
      </c>
      <c r="F2910" t="s">
        <v>2977</v>
      </c>
      <c r="H2910" s="12">
        <v>2.4578120077400301</v>
      </c>
      <c r="I2910" s="11">
        <v>0.26093350314551</v>
      </c>
      <c r="J2910" s="10">
        <v>0.79414378780213601</v>
      </c>
      <c r="K2910" s="29">
        <v>0.98289565623980701</v>
      </c>
    </row>
    <row r="2911" spans="1:11" x14ac:dyDescent="0.35">
      <c r="A2911" s="9" t="str">
        <f>HYPERLINK("http://www.ensembl.org/id/WBGene00201266", "WBGene00201266")</f>
        <v>WBGene00201266</v>
      </c>
      <c r="B2911" s="9"/>
      <c r="C2911" s="9"/>
      <c r="D2911" t="str">
        <f>"Y73B6BL.284"</f>
        <v>Y73B6BL.284</v>
      </c>
      <c r="F2911" t="s">
        <v>481</v>
      </c>
      <c r="H2911" s="12">
        <v>2.4578120077400301</v>
      </c>
      <c r="I2911" s="11">
        <v>0.26093350314551</v>
      </c>
      <c r="J2911" s="10">
        <v>0.79414378780213601</v>
      </c>
      <c r="K2911" s="29">
        <v>0.98289565623980701</v>
      </c>
    </row>
    <row r="2912" spans="1:11" x14ac:dyDescent="0.35">
      <c r="A2912" s="9" t="str">
        <f>HYPERLINK("http://www.ensembl.org/id/WBGene00194930", "WBGene00194930")</f>
        <v>WBGene00194930</v>
      </c>
      <c r="B2912" s="9" t="str">
        <f>HYPERLINK("http://www.ncbi.nlm.nih.gov/gene/13205219", "13205219")</f>
        <v>13205219</v>
      </c>
      <c r="C2912" s="9"/>
      <c r="D2912" t="str">
        <f>"Y73F8A.1159"</f>
        <v>Y73F8A.1159</v>
      </c>
      <c r="F2912" t="s">
        <v>11</v>
      </c>
      <c r="H2912" s="12">
        <v>2.4578120077400301</v>
      </c>
      <c r="I2912" s="11">
        <v>0.26093350314551</v>
      </c>
      <c r="J2912" s="10">
        <v>0.79414378780213601</v>
      </c>
      <c r="K2912" s="29">
        <v>0.98289565623980701</v>
      </c>
    </row>
    <row r="2913" spans="1:11" x14ac:dyDescent="0.35">
      <c r="A2913" s="9" t="str">
        <f>HYPERLINK("http://www.ensembl.org/id/WBGene00013589", "WBGene00013589")</f>
        <v>WBGene00013589</v>
      </c>
      <c r="B2913" s="9"/>
      <c r="C2913" s="9"/>
      <c r="D2913" t="str">
        <f>"Y80D3A.11"</f>
        <v>Y80D3A.11</v>
      </c>
      <c r="F2913" t="s">
        <v>80</v>
      </c>
      <c r="H2913" s="12">
        <v>2.4578120077400301</v>
      </c>
      <c r="I2913" s="11">
        <v>0.26093350314551</v>
      </c>
      <c r="J2913" s="10">
        <v>0.79414378780213601</v>
      </c>
      <c r="K2913" s="29">
        <v>0.98289565623980701</v>
      </c>
    </row>
    <row r="2914" spans="1:11" x14ac:dyDescent="0.35">
      <c r="A2914" s="9" t="str">
        <f>HYPERLINK("http://www.ensembl.org/id/WBGene00023195", "WBGene00023195")</f>
        <v>WBGene00023195</v>
      </c>
      <c r="B2914" s="9"/>
      <c r="C2914" s="9"/>
      <c r="D2914" t="str">
        <f>"Y82E9BR.t1"</f>
        <v>Y82E9BR.t1</v>
      </c>
      <c r="F2914" t="s">
        <v>4208</v>
      </c>
      <c r="H2914" s="12">
        <v>2.4578120077400301</v>
      </c>
      <c r="I2914" s="11">
        <v>0.26093350314551</v>
      </c>
      <c r="J2914" s="10">
        <v>0.79414378780213601</v>
      </c>
      <c r="K2914" s="29">
        <v>0.98289565623980701</v>
      </c>
    </row>
    <row r="2915" spans="1:11" x14ac:dyDescent="0.35">
      <c r="A2915" s="9" t="str">
        <f>HYPERLINK("http://www.ensembl.org/id/WBGene00235247", "WBGene00235247")</f>
        <v>WBGene00235247</v>
      </c>
      <c r="B2915" s="9"/>
      <c r="C2915" s="9"/>
      <c r="D2915" t="str">
        <f>"Y9C9A.111"</f>
        <v>Y9C9A.111</v>
      </c>
      <c r="F2915" t="s">
        <v>4205</v>
      </c>
      <c r="H2915" s="12">
        <v>2.4578120077400301</v>
      </c>
      <c r="I2915" s="11">
        <v>0.26093350314551</v>
      </c>
      <c r="J2915" s="10">
        <v>0.79414378780213601</v>
      </c>
      <c r="K2915" s="29">
        <v>0.98289565623980701</v>
      </c>
    </row>
    <row r="2916" spans="1:11" x14ac:dyDescent="0.35">
      <c r="A2916" s="9" t="str">
        <f>HYPERLINK("http://www.ensembl.org/id/WBGene00198633", "WBGene00198633")</f>
        <v>WBGene00198633</v>
      </c>
      <c r="B2916" s="9"/>
      <c r="C2916" s="9"/>
      <c r="D2916" t="str">
        <f>"ZC21.12"</f>
        <v>ZC21.12</v>
      </c>
      <c r="F2916" t="s">
        <v>481</v>
      </c>
      <c r="H2916" s="12">
        <v>2.4578120077400301</v>
      </c>
      <c r="I2916" s="11">
        <v>0.26093350314551</v>
      </c>
      <c r="J2916" s="10">
        <v>0.79414378780213601</v>
      </c>
      <c r="K2916" s="29">
        <v>0.98289565623980701</v>
      </c>
    </row>
    <row r="2917" spans="1:11" x14ac:dyDescent="0.35">
      <c r="A2917" s="9" t="str">
        <f>HYPERLINK("http://www.ensembl.org/id/WBGene00023399", "WBGene00023399")</f>
        <v>WBGene00023399</v>
      </c>
      <c r="B2917" s="9"/>
      <c r="C2917" s="9"/>
      <c r="D2917" t="str">
        <f>"ZC239.1"</f>
        <v>ZC239.1</v>
      </c>
      <c r="F2917" t="s">
        <v>80</v>
      </c>
      <c r="H2917" s="12">
        <v>2.4578120077400301</v>
      </c>
      <c r="I2917" s="11">
        <v>0.26093350314551</v>
      </c>
      <c r="J2917" s="10">
        <v>0.79414378780213601</v>
      </c>
      <c r="K2917" s="29">
        <v>0.98289565623980701</v>
      </c>
    </row>
    <row r="2918" spans="1:11" x14ac:dyDescent="0.35">
      <c r="A2918" s="9" t="str">
        <f>HYPERLINK("http://www.ensembl.org/id/WBGene00043948", "WBGene00043948")</f>
        <v>WBGene00043948</v>
      </c>
      <c r="B2918" s="9" t="str">
        <f>HYPERLINK("http://www.ncbi.nlm.nih.gov/gene/24105263", "24105263")</f>
        <v>24105263</v>
      </c>
      <c r="C2918" s="9"/>
      <c r="D2918" t="str">
        <f>"ZC262.7"</f>
        <v>ZC262.7</v>
      </c>
      <c r="F2918" t="s">
        <v>11</v>
      </c>
      <c r="H2918" s="12">
        <v>2.4578120077400301</v>
      </c>
      <c r="I2918" s="11">
        <v>0.26093350314551</v>
      </c>
      <c r="J2918" s="10">
        <v>0.79414378780213601</v>
      </c>
      <c r="K2918" s="29">
        <v>0.98289565623980701</v>
      </c>
    </row>
    <row r="2919" spans="1:11" x14ac:dyDescent="0.35">
      <c r="A2919" s="9" t="str">
        <f>HYPERLINK("http://www.ensembl.org/id/WBGene00220234", "WBGene00220234")</f>
        <v>WBGene00220234</v>
      </c>
      <c r="B2919" s="9"/>
      <c r="C2919" s="9"/>
      <c r="D2919" t="str">
        <f>"ZC410.9"</f>
        <v>ZC410.9</v>
      </c>
      <c r="F2919" t="s">
        <v>2977</v>
      </c>
      <c r="H2919" s="12">
        <v>2.4578120077400301</v>
      </c>
      <c r="I2919" s="11">
        <v>0.26093350314551</v>
      </c>
      <c r="J2919" s="10">
        <v>0.79414378780213601</v>
      </c>
      <c r="K2919" s="29">
        <v>0.98289565623980701</v>
      </c>
    </row>
    <row r="2920" spans="1:11" x14ac:dyDescent="0.35">
      <c r="A2920" s="9" t="str">
        <f>HYPERLINK("http://www.ensembl.org/id/WBGene00196392", "WBGene00196392")</f>
        <v>WBGene00196392</v>
      </c>
      <c r="B2920" s="9"/>
      <c r="C2920" s="9"/>
      <c r="D2920" t="str">
        <f>"ZC487.7"</f>
        <v>ZC487.7</v>
      </c>
      <c r="F2920" t="s">
        <v>481</v>
      </c>
      <c r="H2920" s="12">
        <v>2.4578120077400301</v>
      </c>
      <c r="I2920" s="11">
        <v>0.26093350314551</v>
      </c>
      <c r="J2920" s="10">
        <v>0.79414378780213601</v>
      </c>
      <c r="K2920" s="29">
        <v>0.98289565623980701</v>
      </c>
    </row>
    <row r="2921" spans="1:11" x14ac:dyDescent="0.35">
      <c r="A2921" s="9" t="str">
        <f>HYPERLINK("http://www.ensembl.org/id/WBGene00197720", "WBGene00197720")</f>
        <v>WBGene00197720</v>
      </c>
      <c r="B2921" s="9"/>
      <c r="C2921" s="9"/>
      <c r="D2921" t="str">
        <f>"ZC504.11"</f>
        <v>ZC504.11</v>
      </c>
      <c r="F2921" t="s">
        <v>481</v>
      </c>
      <c r="H2921" s="12">
        <v>2.4578120077400301</v>
      </c>
      <c r="I2921" s="11">
        <v>0.26093350314551</v>
      </c>
      <c r="J2921" s="10">
        <v>0.79414378780213601</v>
      </c>
      <c r="K2921" s="29">
        <v>0.98289565623980701</v>
      </c>
    </row>
    <row r="2922" spans="1:11" x14ac:dyDescent="0.35">
      <c r="A2922" s="9" t="str">
        <f>HYPERLINK("http://www.ensembl.org/id/WBGene00197216", "WBGene00197216")</f>
        <v>WBGene00197216</v>
      </c>
      <c r="B2922" s="9"/>
      <c r="C2922" s="9"/>
      <c r="D2922" t="str">
        <f>"ZC53.11"</f>
        <v>ZC53.11</v>
      </c>
      <c r="F2922" t="s">
        <v>481</v>
      </c>
      <c r="H2922" s="12">
        <v>2.4578120077400301</v>
      </c>
      <c r="I2922" s="11">
        <v>0.26093350314551</v>
      </c>
      <c r="J2922" s="10">
        <v>0.79414378780213601</v>
      </c>
      <c r="K2922" s="29">
        <v>0.98289565623980701</v>
      </c>
    </row>
    <row r="2923" spans="1:11" x14ac:dyDescent="0.35">
      <c r="A2923" s="9" t="str">
        <f>HYPERLINK("http://www.ensembl.org/id/WBGene00014217", "WBGene00014217")</f>
        <v>WBGene00014217</v>
      </c>
      <c r="B2923" s="9" t="str">
        <f>HYPERLINK("http://www.ncbi.nlm.nih.gov/gene/191520", "191520")</f>
        <v>191520</v>
      </c>
      <c r="C2923" s="9"/>
      <c r="D2923" t="str">
        <f>"ZK1086.3"</f>
        <v>ZK1086.3</v>
      </c>
      <c r="F2923" t="s">
        <v>11</v>
      </c>
      <c r="H2923" s="12">
        <v>2.4578120077400301</v>
      </c>
      <c r="I2923" s="11">
        <v>0.26093350314551</v>
      </c>
      <c r="J2923" s="10">
        <v>0.79414378780213601</v>
      </c>
      <c r="K2923" s="29">
        <v>0.98289565623980701</v>
      </c>
    </row>
    <row r="2924" spans="1:11" x14ac:dyDescent="0.35">
      <c r="A2924" s="9" t="str">
        <f>HYPERLINK("http://www.ensembl.org/id/WBGene00199404", "WBGene00199404")</f>
        <v>WBGene00199404</v>
      </c>
      <c r="B2924" s="9"/>
      <c r="C2924" s="9"/>
      <c r="D2924" t="str">
        <f>"ZK1098.13"</f>
        <v>ZK1098.13</v>
      </c>
      <c r="F2924" t="s">
        <v>481</v>
      </c>
      <c r="H2924" s="12">
        <v>2.4578120077400301</v>
      </c>
      <c r="I2924" s="11">
        <v>0.26093350314551</v>
      </c>
      <c r="J2924" s="10">
        <v>0.79414378780213601</v>
      </c>
      <c r="K2924" s="29">
        <v>0.98289565623980701</v>
      </c>
    </row>
    <row r="2925" spans="1:11" x14ac:dyDescent="0.35">
      <c r="A2925" s="9" t="str">
        <f>HYPERLINK("http://www.ensembl.org/id/WBGene00198937", "WBGene00198937")</f>
        <v>WBGene00198937</v>
      </c>
      <c r="B2925" s="9"/>
      <c r="C2925" s="9"/>
      <c r="D2925" t="str">
        <f>"ZK287.14"</f>
        <v>ZK287.14</v>
      </c>
      <c r="F2925" t="s">
        <v>481</v>
      </c>
      <c r="H2925" s="12">
        <v>2.4578120077400301</v>
      </c>
      <c r="I2925" s="11">
        <v>0.26093350314551</v>
      </c>
      <c r="J2925" s="10">
        <v>0.79414378780213601</v>
      </c>
      <c r="K2925" s="29">
        <v>0.98289565623980701</v>
      </c>
    </row>
    <row r="2926" spans="1:11" x14ac:dyDescent="0.35">
      <c r="A2926" s="9" t="str">
        <f>HYPERLINK("http://www.ensembl.org/id/WBGene00202370", "WBGene00202370")</f>
        <v>WBGene00202370</v>
      </c>
      <c r="B2926" s="9"/>
      <c r="C2926" s="9"/>
      <c r="D2926" t="str">
        <f>"ZK377.13"</f>
        <v>ZK377.13</v>
      </c>
      <c r="F2926" t="s">
        <v>481</v>
      </c>
      <c r="H2926" s="12">
        <v>2.4578120077400301</v>
      </c>
      <c r="I2926" s="11">
        <v>0.26093350314551</v>
      </c>
      <c r="J2926" s="10">
        <v>0.79414378780213601</v>
      </c>
      <c r="K2926" s="29">
        <v>0.98289565623980701</v>
      </c>
    </row>
    <row r="2927" spans="1:11" x14ac:dyDescent="0.35">
      <c r="A2927" s="9" t="str">
        <f>HYPERLINK("http://www.ensembl.org/id/WBGene00199120", "WBGene00199120")</f>
        <v>WBGene00199120</v>
      </c>
      <c r="B2927" s="9"/>
      <c r="C2927" s="9"/>
      <c r="D2927" t="str">
        <f>"ZK418.12"</f>
        <v>ZK418.12</v>
      </c>
      <c r="F2927" t="s">
        <v>481</v>
      </c>
      <c r="H2927" s="12">
        <v>2.4578120077400301</v>
      </c>
      <c r="I2927" s="11">
        <v>0.26093350314551</v>
      </c>
      <c r="J2927" s="10">
        <v>0.79414378780213601</v>
      </c>
      <c r="K2927" s="29">
        <v>0.98289565623980701</v>
      </c>
    </row>
    <row r="2928" spans="1:11" x14ac:dyDescent="0.35">
      <c r="A2928" s="9" t="str">
        <f>HYPERLINK("http://www.ensembl.org/id/WBGene00200901", "WBGene00200901")</f>
        <v>WBGene00200901</v>
      </c>
      <c r="B2928" s="9"/>
      <c r="C2928" s="9"/>
      <c r="D2928" t="str">
        <f>"ZK899.11"</f>
        <v>ZK899.11</v>
      </c>
      <c r="F2928" t="s">
        <v>481</v>
      </c>
      <c r="H2928" s="12">
        <v>2.4578120077400301</v>
      </c>
      <c r="I2928" s="11">
        <v>0.26093350314551</v>
      </c>
      <c r="J2928" s="10">
        <v>0.79414378780213601</v>
      </c>
      <c r="K2928" s="29">
        <v>0.98289565623980701</v>
      </c>
    </row>
    <row r="2929" spans="1:11" x14ac:dyDescent="0.35">
      <c r="A2929" s="9" t="str">
        <f>HYPERLINK("http://www.ensembl.org/id/WBGene00009790", "WBGene00009790")</f>
        <v>WBGene00009790</v>
      </c>
      <c r="B2929" s="9" t="str">
        <f>HYPERLINK("http://www.ncbi.nlm.nih.gov/gene/179600", "179600")</f>
        <v>179600</v>
      </c>
      <c r="C2929" s="9"/>
      <c r="D2929" t="str">
        <f>"lgc-44"</f>
        <v>lgc-44</v>
      </c>
      <c r="E2929" t="s">
        <v>505</v>
      </c>
      <c r="F2929" t="s">
        <v>11</v>
      </c>
      <c r="G2929" t="s">
        <v>506</v>
      </c>
      <c r="H2929" s="12">
        <v>2.45737034996101</v>
      </c>
      <c r="I2929" s="11">
        <v>3.3456260308461001</v>
      </c>
      <c r="J2929" s="10">
        <v>8.2097039933199799E-4</v>
      </c>
      <c r="K2929" s="29">
        <v>3.3279547450816002E-2</v>
      </c>
    </row>
    <row r="2930" spans="1:11" x14ac:dyDescent="0.35">
      <c r="A2930" s="9" t="str">
        <f>HYPERLINK("http://www.ensembl.org/id/WBGene00004139", "WBGene00004139")</f>
        <v>WBGene00004139</v>
      </c>
      <c r="B2930" s="9" t="str">
        <f>HYPERLINK("http://www.ncbi.nlm.nih.gov/gene/187728", "187728")</f>
        <v>187728</v>
      </c>
      <c r="C2930" s="9"/>
      <c r="D2930" t="str">
        <f>"pqn-54"</f>
        <v>pqn-54</v>
      </c>
      <c r="E2930" t="s">
        <v>432</v>
      </c>
      <c r="F2930" t="s">
        <v>11</v>
      </c>
      <c r="G2930" t="s">
        <v>54</v>
      </c>
      <c r="H2930" s="12">
        <v>2.4555799226403301</v>
      </c>
      <c r="I2930" s="11">
        <v>1.6061786655839101</v>
      </c>
      <c r="J2930" s="10">
        <v>0.10823465950292099</v>
      </c>
      <c r="K2930" s="29">
        <v>0.75757755892285705</v>
      </c>
    </row>
    <row r="2931" spans="1:11" x14ac:dyDescent="0.35">
      <c r="A2931" s="9" t="str">
        <f>HYPERLINK("http://www.ensembl.org/id/WBGene00019112", "WBGene00019112")</f>
        <v>WBGene00019112</v>
      </c>
      <c r="B2931" s="9" t="str">
        <f>HYPERLINK("http://www.ncbi.nlm.nih.gov/gene/186623", "186623")</f>
        <v>186623</v>
      </c>
      <c r="C2931" s="9"/>
      <c r="D2931" t="str">
        <f>"F59E11.6"</f>
        <v>F59E11.6</v>
      </c>
      <c r="F2931" t="s">
        <v>11</v>
      </c>
      <c r="H2931" s="12">
        <v>2.4541782696039198</v>
      </c>
      <c r="I2931" s="11">
        <v>1.26730937084643</v>
      </c>
      <c r="J2931" s="10">
        <v>0.20504469113332299</v>
      </c>
      <c r="K2931" s="29">
        <v>0.95346400348693106</v>
      </c>
    </row>
    <row r="2932" spans="1:11" x14ac:dyDescent="0.35">
      <c r="A2932" s="9" t="str">
        <f>HYPERLINK("http://www.ensembl.org/id/WBGene00019531", "WBGene00019531")</f>
        <v>WBGene00019531</v>
      </c>
      <c r="B2932" s="9" t="str">
        <f>HYPERLINK("http://www.ncbi.nlm.nih.gov/gene/177180", "177180")</f>
        <v>177180</v>
      </c>
      <c r="C2932" s="9"/>
      <c r="D2932" t="str">
        <f>"scrm-5"</f>
        <v>scrm-5</v>
      </c>
      <c r="E2932" t="s">
        <v>1622</v>
      </c>
      <c r="F2932" t="s">
        <v>11</v>
      </c>
      <c r="G2932" t="s">
        <v>4371</v>
      </c>
      <c r="H2932" s="12">
        <v>2.4528305722710901</v>
      </c>
      <c r="I2932" s="11">
        <v>0.96971372448404702</v>
      </c>
      <c r="J2932" s="10">
        <v>0.33218920748892</v>
      </c>
      <c r="K2932" s="29">
        <v>0.98289565623980701</v>
      </c>
    </row>
    <row r="2933" spans="1:11" x14ac:dyDescent="0.35">
      <c r="A2933" s="9" t="str">
        <f>HYPERLINK("http://www.ensembl.org/id/WBGene00008575", "WBGene00008575")</f>
        <v>WBGene00008575</v>
      </c>
      <c r="B2933" s="9" t="str">
        <f>HYPERLINK("http://www.ncbi.nlm.nih.gov/gene/184188", "184188")</f>
        <v>184188</v>
      </c>
      <c r="C2933" s="9"/>
      <c r="D2933" t="str">
        <f>"scl-24"</f>
        <v>scl-24</v>
      </c>
      <c r="E2933" t="s">
        <v>162</v>
      </c>
      <c r="F2933" t="s">
        <v>11</v>
      </c>
      <c r="G2933" t="s">
        <v>63</v>
      </c>
      <c r="H2933" s="12">
        <v>2.45183258574394</v>
      </c>
      <c r="I2933" s="11">
        <v>0.75062281342727699</v>
      </c>
      <c r="J2933" s="10">
        <v>0.45287968749956697</v>
      </c>
      <c r="K2933" s="29">
        <v>0.98289565623980701</v>
      </c>
    </row>
    <row r="2934" spans="1:11" x14ac:dyDescent="0.35">
      <c r="A2934" s="9" t="str">
        <f>HYPERLINK("http://www.ensembl.org/id/WBGene00018650", "WBGene00018650")</f>
        <v>WBGene00018650</v>
      </c>
      <c r="B2934" s="9" t="str">
        <f>HYPERLINK("http://www.ncbi.nlm.nih.gov/gene/186066", "186066")</f>
        <v>186066</v>
      </c>
      <c r="C2934" s="9"/>
      <c r="D2934" t="str">
        <f>"F49F1.10"</f>
        <v>F49F1.10</v>
      </c>
      <c r="E2934" t="s">
        <v>2043</v>
      </c>
      <c r="F2934" t="s">
        <v>11</v>
      </c>
      <c r="G2934" t="s">
        <v>47</v>
      </c>
      <c r="H2934" s="12">
        <v>2.4503481739523401</v>
      </c>
      <c r="I2934" s="11">
        <v>0.33144217176748902</v>
      </c>
      <c r="J2934" s="10">
        <v>0.74031051482116095</v>
      </c>
      <c r="K2934" s="29">
        <v>0.98289565623980701</v>
      </c>
    </row>
    <row r="2935" spans="1:11" x14ac:dyDescent="0.35">
      <c r="A2935" s="9" t="str">
        <f>HYPERLINK("http://www.ensembl.org/id/WBGene00077725", "WBGene00077725")</f>
        <v>WBGene00077725</v>
      </c>
      <c r="B2935" s="9"/>
      <c r="C2935" s="9"/>
      <c r="D2935" t="str">
        <f>"mir-1832.1"</f>
        <v>mir-1832.1</v>
      </c>
      <c r="F2935" t="s">
        <v>1486</v>
      </c>
      <c r="H2935" s="12">
        <v>2.4503481739523401</v>
      </c>
      <c r="I2935" s="11">
        <v>0.33144217176748902</v>
      </c>
      <c r="J2935" s="10">
        <v>0.74031051482116095</v>
      </c>
      <c r="K2935" s="29">
        <v>0.98289565623980701</v>
      </c>
    </row>
    <row r="2936" spans="1:11" x14ac:dyDescent="0.35">
      <c r="A2936" s="9" t="str">
        <f>HYPERLINK("http://www.ensembl.org/id/WBGene00022771", "WBGene00022771")</f>
        <v>WBGene00022771</v>
      </c>
      <c r="B2936" s="9" t="str">
        <f>HYPERLINK("http://www.ncbi.nlm.nih.gov/gene/191358", "191358")</f>
        <v>191358</v>
      </c>
      <c r="C2936" s="9"/>
      <c r="D2936" t="str">
        <f>"ZK616.1"</f>
        <v>ZK616.1</v>
      </c>
      <c r="F2936" t="s">
        <v>11</v>
      </c>
      <c r="G2936" t="s">
        <v>2343</v>
      </c>
      <c r="H2936" s="12">
        <v>2.44818306253844</v>
      </c>
      <c r="I2936" s="11">
        <v>1.71260866609416</v>
      </c>
      <c r="J2936" s="10">
        <v>8.6784557909799998E-2</v>
      </c>
      <c r="K2936" s="29">
        <v>0.68861400929390104</v>
      </c>
    </row>
    <row r="2937" spans="1:11" x14ac:dyDescent="0.35">
      <c r="A2937" s="9" t="str">
        <f>HYPERLINK("http://www.ensembl.org/id/WBGene00010223", "WBGene00010223")</f>
        <v>WBGene00010223</v>
      </c>
      <c r="B2937" s="9" t="str">
        <f>HYPERLINK("http://www.ncbi.nlm.nih.gov/gene/186482", "186482")</f>
        <v>186482</v>
      </c>
      <c r="C2937" s="9"/>
      <c r="D2937" t="str">
        <f>"F58A3.3"</f>
        <v>F58A3.3</v>
      </c>
      <c r="F2937" t="s">
        <v>11</v>
      </c>
      <c r="H2937" s="12">
        <v>2.44792713867351</v>
      </c>
      <c r="I2937" s="11">
        <v>4.2715933270828899</v>
      </c>
      <c r="J2937" s="10">
        <v>1.9408127151406501E-5</v>
      </c>
      <c r="K2937" s="29">
        <v>1.77954042047777E-3</v>
      </c>
    </row>
    <row r="2938" spans="1:11" x14ac:dyDescent="0.35">
      <c r="A2938" s="9" t="str">
        <f>HYPERLINK("http://www.ensembl.org/id/WBGene00009415", "WBGene00009415")</f>
        <v>WBGene00009415</v>
      </c>
      <c r="B2938" s="9" t="str">
        <f>HYPERLINK("http://www.ncbi.nlm.nih.gov/gene/185290", "185290")</f>
        <v>185290</v>
      </c>
      <c r="C2938" s="9"/>
      <c r="D2938" t="str">
        <f>"F35E2.8"</f>
        <v>F35E2.8</v>
      </c>
      <c r="F2938" t="s">
        <v>11</v>
      </c>
      <c r="G2938" t="s">
        <v>54</v>
      </c>
      <c r="H2938" s="12">
        <v>2.4476737400204498</v>
      </c>
      <c r="I2938" s="11">
        <v>1.1185622102102399</v>
      </c>
      <c r="J2938" s="10">
        <v>0.26332695274725698</v>
      </c>
      <c r="K2938" s="29">
        <v>0.98289565623980701</v>
      </c>
    </row>
    <row r="2939" spans="1:11" x14ac:dyDescent="0.35">
      <c r="A2939" s="9" t="str">
        <f>HYPERLINK("http://www.ensembl.org/id/WBGene00004275", "WBGene00004275")</f>
        <v>WBGene00004275</v>
      </c>
      <c r="B2939" s="9" t="str">
        <f>HYPERLINK("http://www.ncbi.nlm.nih.gov/gene/4363014", "4363014")</f>
        <v>4363014</v>
      </c>
      <c r="C2939" s="9"/>
      <c r="D2939" t="str">
        <f>"rab-11.2"</f>
        <v>rab-11.2</v>
      </c>
      <c r="E2939" t="s">
        <v>2093</v>
      </c>
      <c r="F2939" t="s">
        <v>11</v>
      </c>
      <c r="G2939" t="s">
        <v>4389</v>
      </c>
      <c r="H2939" s="12">
        <v>2.44277510937478</v>
      </c>
      <c r="I2939" s="11">
        <v>0.87609170528956803</v>
      </c>
      <c r="J2939" s="10">
        <v>0.38098018168166498</v>
      </c>
      <c r="K2939" s="29">
        <v>0.98289565623980701</v>
      </c>
    </row>
    <row r="2940" spans="1:11" x14ac:dyDescent="0.35">
      <c r="A2940" s="9" t="str">
        <f>HYPERLINK("http://www.ensembl.org/id/WBGene00018402", "WBGene00018402")</f>
        <v>WBGene00018402</v>
      </c>
      <c r="B2940" s="9" t="str">
        <f>HYPERLINK("http://www.ncbi.nlm.nih.gov/gene/185719", "185719")</f>
        <v>185719</v>
      </c>
      <c r="C2940" s="9"/>
      <c r="D2940" t="str">
        <f>"kvs-3"</f>
        <v>kvs-3</v>
      </c>
      <c r="F2940" t="s">
        <v>11</v>
      </c>
      <c r="G2940" t="s">
        <v>905</v>
      </c>
      <c r="H2940" s="12">
        <v>2.4420154972860302</v>
      </c>
      <c r="I2940" s="11">
        <v>2.7249654080736598</v>
      </c>
      <c r="J2940" s="10">
        <v>6.4308224296680599E-3</v>
      </c>
      <c r="K2940" s="29">
        <v>0.141776750059941</v>
      </c>
    </row>
    <row r="2941" spans="1:11" x14ac:dyDescent="0.35">
      <c r="A2941" s="9" t="str">
        <f>HYPERLINK("http://www.ensembl.org/id/WBGene00008203", "WBGene00008203")</f>
        <v>WBGene00008203</v>
      </c>
      <c r="B2941" s="9" t="str">
        <f>HYPERLINK("http://www.ncbi.nlm.nih.gov/gene/183598", "183598")</f>
        <v>183598</v>
      </c>
      <c r="C2941" s="9"/>
      <c r="D2941" t="str">
        <f>"clec-198"</f>
        <v>clec-198</v>
      </c>
      <c r="E2941" t="s">
        <v>46</v>
      </c>
      <c r="F2941" t="s">
        <v>11</v>
      </c>
      <c r="G2941" t="s">
        <v>47</v>
      </c>
      <c r="H2941" s="12">
        <v>2.44185382823777</v>
      </c>
      <c r="I2941" s="11">
        <v>1.5187718748250301</v>
      </c>
      <c r="J2941" s="10">
        <v>0.128819927646736</v>
      </c>
      <c r="K2941" s="29">
        <v>0.80971524706351605</v>
      </c>
    </row>
    <row r="2942" spans="1:11" x14ac:dyDescent="0.35">
      <c r="A2942" s="9" t="str">
        <f>HYPERLINK("http://www.ensembl.org/id/WBGene00017666", "WBGene00017666")</f>
        <v>WBGene00017666</v>
      </c>
      <c r="B2942" s="9" t="str">
        <f>HYPERLINK("http://www.ncbi.nlm.nih.gov/gene/184781", "184781")</f>
        <v>184781</v>
      </c>
      <c r="C2942" s="9"/>
      <c r="D2942" t="str">
        <f>"F21E9.2"</f>
        <v>F21E9.2</v>
      </c>
      <c r="F2942" t="s">
        <v>11</v>
      </c>
      <c r="G2942" t="s">
        <v>25</v>
      </c>
      <c r="H2942" s="12">
        <v>2.4415946862916398</v>
      </c>
      <c r="I2942" s="11">
        <v>1.1219766561703299</v>
      </c>
      <c r="J2942" s="10">
        <v>0.26187236545499798</v>
      </c>
      <c r="K2942" s="29">
        <v>0.98289565623980701</v>
      </c>
    </row>
    <row r="2943" spans="1:11" x14ac:dyDescent="0.35">
      <c r="A2943" s="9" t="str">
        <f>HYPERLINK("http://www.ensembl.org/id/WBGene00011020", "WBGene00011020")</f>
        <v>WBGene00011020</v>
      </c>
      <c r="B2943" s="9" t="str">
        <f>HYPERLINK("http://www.ncbi.nlm.nih.gov/gene/178371", "178371")</f>
        <v>178371</v>
      </c>
      <c r="C2943" s="9"/>
      <c r="D2943" t="str">
        <f>"R05A10.3"</f>
        <v>R05A10.3</v>
      </c>
      <c r="F2943" t="s">
        <v>11</v>
      </c>
      <c r="H2943" s="12">
        <v>2.44150486191295</v>
      </c>
      <c r="I2943" s="11">
        <v>3.0230943958280401</v>
      </c>
      <c r="J2943" s="10">
        <v>2.5020418402355001E-3</v>
      </c>
      <c r="K2943" s="29">
        <v>7.4692737416642702E-2</v>
      </c>
    </row>
    <row r="2944" spans="1:11" x14ac:dyDescent="0.35">
      <c r="A2944" s="9" t="str">
        <f>HYPERLINK("http://www.ensembl.org/id/WBGene00206388", "WBGene00206388")</f>
        <v>WBGene00206388</v>
      </c>
      <c r="B2944" s="9" t="str">
        <f>HYPERLINK("http://www.ncbi.nlm.nih.gov/gene/13221059", "13221059")</f>
        <v>13221059</v>
      </c>
      <c r="C2944" s="9"/>
      <c r="D2944" t="str">
        <f>"K10C2.14"</f>
        <v>K10C2.14</v>
      </c>
      <c r="F2944" t="s">
        <v>11</v>
      </c>
      <c r="H2944" s="12">
        <v>2.44071704613458</v>
      </c>
      <c r="I2944" s="11">
        <v>3.7902426726285499</v>
      </c>
      <c r="J2944" s="10">
        <v>1.5050017669798301E-4</v>
      </c>
      <c r="K2944" s="29">
        <v>9.0323560591781694E-3</v>
      </c>
    </row>
    <row r="2945" spans="1:11" x14ac:dyDescent="0.35">
      <c r="A2945" s="9" t="str">
        <f>HYPERLINK("http://www.ensembl.org/id/WBGene00015514", "WBGene00015514")</f>
        <v>WBGene00015514</v>
      </c>
      <c r="B2945" s="9" t="str">
        <f>HYPERLINK("http://www.ncbi.nlm.nih.gov/gene/174259", "174259")</f>
        <v>174259</v>
      </c>
      <c r="C2945" s="9"/>
      <c r="D2945" t="str">
        <f>"nlp-77"</f>
        <v>nlp-77</v>
      </c>
      <c r="E2945" t="s">
        <v>76</v>
      </c>
      <c r="F2945" t="s">
        <v>11</v>
      </c>
      <c r="H2945" s="12">
        <v>2.44017621622783</v>
      </c>
      <c r="I2945" s="11">
        <v>4.8988806787349501</v>
      </c>
      <c r="J2945" s="10">
        <v>9.6384151375682194E-7</v>
      </c>
      <c r="K2945" s="29">
        <v>1.5047650011395399E-4</v>
      </c>
    </row>
    <row r="2946" spans="1:11" x14ac:dyDescent="0.35">
      <c r="A2946" s="9" t="str">
        <f>HYPERLINK("http://www.ensembl.org/id/WBGene00219665", "WBGene00219665")</f>
        <v>WBGene00219665</v>
      </c>
      <c r="B2946" s="9"/>
      <c r="C2946" s="9"/>
      <c r="D2946" t="str">
        <f>"linc-101"</f>
        <v>linc-101</v>
      </c>
      <c r="F2946" t="s">
        <v>1510</v>
      </c>
      <c r="H2946" s="12">
        <v>2.4396959857246201</v>
      </c>
      <c r="I2946" s="11">
        <v>1.11044536838747</v>
      </c>
      <c r="J2946" s="10">
        <v>0.26680715741368899</v>
      </c>
      <c r="K2946" s="29">
        <v>0.98289565623980701</v>
      </c>
    </row>
    <row r="2947" spans="1:11" x14ac:dyDescent="0.35">
      <c r="A2947" s="9" t="str">
        <f>HYPERLINK("http://www.ensembl.org/id/WBGene00012421", "WBGene00012421")</f>
        <v>WBGene00012421</v>
      </c>
      <c r="B2947" s="9" t="str">
        <f>HYPERLINK("http://www.ncbi.nlm.nih.gov/gene/189405", "189405")</f>
        <v>189405</v>
      </c>
      <c r="C2947" s="9"/>
      <c r="D2947" t="str">
        <f>"Y9C2UA.1"</f>
        <v>Y9C2UA.1</v>
      </c>
      <c r="F2947" t="s">
        <v>11</v>
      </c>
      <c r="G2947" t="s">
        <v>372</v>
      </c>
      <c r="H2947" s="12">
        <v>2.43933300928154</v>
      </c>
      <c r="I2947" s="11">
        <v>3.7889123441990198</v>
      </c>
      <c r="J2947" s="10">
        <v>1.5130828589617599E-4</v>
      </c>
      <c r="K2947" s="29">
        <v>9.0568594573573E-3</v>
      </c>
    </row>
    <row r="2948" spans="1:11" x14ac:dyDescent="0.35">
      <c r="A2948" s="9" t="str">
        <f>HYPERLINK("http://www.ensembl.org/id/WBGene00020708", "WBGene00020708")</f>
        <v>WBGene00020708</v>
      </c>
      <c r="B2948" s="9" t="str">
        <f>HYPERLINK("http://www.ncbi.nlm.nih.gov/gene/188771", "188771")</f>
        <v>188771</v>
      </c>
      <c r="C2948" s="9"/>
      <c r="D2948" t="str">
        <f>"dmd-8"</f>
        <v>dmd-8</v>
      </c>
      <c r="E2948" t="s">
        <v>780</v>
      </c>
      <c r="F2948" t="s">
        <v>11</v>
      </c>
      <c r="G2948" t="s">
        <v>781</v>
      </c>
      <c r="H2948" s="12">
        <v>2.43859660387833</v>
      </c>
      <c r="I2948" s="11">
        <v>0.94554142661073604</v>
      </c>
      <c r="J2948" s="10">
        <v>0.34438253165362498</v>
      </c>
      <c r="K2948" s="29">
        <v>0.98289565623980701</v>
      </c>
    </row>
    <row r="2949" spans="1:11" x14ac:dyDescent="0.35">
      <c r="A2949" s="9" t="str">
        <f>HYPERLINK("http://www.ensembl.org/id/WBGene00018142", "WBGene00018142")</f>
        <v>WBGene00018142</v>
      </c>
      <c r="B2949" s="9" t="str">
        <f>HYPERLINK("http://www.ncbi.nlm.nih.gov/gene/185418", "185418")</f>
        <v>185418</v>
      </c>
      <c r="C2949" s="9"/>
      <c r="D2949" t="str">
        <f>"oac-22"</f>
        <v>oac-22</v>
      </c>
      <c r="E2949" t="s">
        <v>883</v>
      </c>
      <c r="F2949" t="s">
        <v>11</v>
      </c>
      <c r="G2949" t="s">
        <v>1992</v>
      </c>
      <c r="H2949" s="12">
        <v>2.4381427470788002</v>
      </c>
      <c r="I2949" s="11">
        <v>1.25914873223212</v>
      </c>
      <c r="J2949" s="10">
        <v>0.20797661527046399</v>
      </c>
      <c r="K2949" s="29">
        <v>0.95738139437213698</v>
      </c>
    </row>
    <row r="2950" spans="1:11" x14ac:dyDescent="0.35">
      <c r="A2950" s="9" t="str">
        <f>HYPERLINK("http://www.ensembl.org/id/WBGene00020265", "WBGene00020265")</f>
        <v>WBGene00020265</v>
      </c>
      <c r="B2950" s="9" t="str">
        <f>HYPERLINK("http://www.ncbi.nlm.nih.gov/gene/188148", "188148")</f>
        <v>188148</v>
      </c>
      <c r="C2950" s="9"/>
      <c r="D2950" t="str">
        <f>"fbxa-196"</f>
        <v>fbxa-196</v>
      </c>
      <c r="E2950" t="s">
        <v>467</v>
      </c>
      <c r="F2950" t="s">
        <v>11</v>
      </c>
      <c r="G2950" t="s">
        <v>54</v>
      </c>
      <c r="H2950" s="12">
        <v>2.4374124825316099</v>
      </c>
      <c r="I2950" s="11">
        <v>0.38727733857636198</v>
      </c>
      <c r="J2950" s="10">
        <v>0.69855090031473899</v>
      </c>
      <c r="K2950" s="29">
        <v>0.98289565623980701</v>
      </c>
    </row>
    <row r="2951" spans="1:11" x14ac:dyDescent="0.35">
      <c r="A2951" s="9" t="str">
        <f>HYPERLINK("http://www.ensembl.org/id/WBGene00020984", "WBGene00020984")</f>
        <v>WBGene00020984</v>
      </c>
      <c r="B2951" s="9" t="str">
        <f>HYPERLINK("http://www.ncbi.nlm.nih.gov/gene/189155", "189155")</f>
        <v>189155</v>
      </c>
      <c r="C2951" s="9"/>
      <c r="D2951" t="str">
        <f>"W03D8.1"</f>
        <v>W03D8.1</v>
      </c>
      <c r="F2951" t="s">
        <v>11</v>
      </c>
      <c r="H2951" s="12">
        <v>2.4374124825316099</v>
      </c>
      <c r="I2951" s="11">
        <v>0.38727733857636198</v>
      </c>
      <c r="J2951" s="10">
        <v>0.69855090031473899</v>
      </c>
      <c r="K2951" s="29">
        <v>0.98289565623980701</v>
      </c>
    </row>
    <row r="2952" spans="1:11" x14ac:dyDescent="0.35">
      <c r="A2952" s="9" t="str">
        <f>HYPERLINK("http://www.ensembl.org/id/WBGene00219703", "WBGene00219703")</f>
        <v>WBGene00219703</v>
      </c>
      <c r="B2952" s="9"/>
      <c r="C2952" s="9"/>
      <c r="D2952" t="str">
        <f>"anr-38"</f>
        <v>anr-38</v>
      </c>
      <c r="F2952" t="s">
        <v>2735</v>
      </c>
      <c r="H2952" s="12">
        <v>2.4368603831245501</v>
      </c>
      <c r="I2952" s="11">
        <v>0.53038040234436401</v>
      </c>
      <c r="J2952" s="10">
        <v>0.59584821095388996</v>
      </c>
      <c r="K2952" s="29">
        <v>0.98289565623980701</v>
      </c>
    </row>
    <row r="2953" spans="1:11" x14ac:dyDescent="0.35">
      <c r="A2953" s="9" t="str">
        <f>HYPERLINK("http://www.ensembl.org/id/WBGene00009149", "WBGene00009149")</f>
        <v>WBGene00009149</v>
      </c>
      <c r="B2953" s="9" t="str">
        <f>HYPERLINK("http://www.ncbi.nlm.nih.gov/gene/180104", "180104")</f>
        <v>180104</v>
      </c>
      <c r="C2953" s="9"/>
      <c r="D2953" t="str">
        <f>"F26D2.10"</f>
        <v>F26D2.10</v>
      </c>
      <c r="F2953" t="s">
        <v>11</v>
      </c>
      <c r="G2953" t="s">
        <v>417</v>
      </c>
      <c r="H2953" s="12">
        <v>2.4368603831245501</v>
      </c>
      <c r="I2953" s="11">
        <v>0.53038040234436401</v>
      </c>
      <c r="J2953" s="10">
        <v>0.59584821095388996</v>
      </c>
      <c r="K2953" s="29">
        <v>0.98289565623980701</v>
      </c>
    </row>
    <row r="2954" spans="1:11" x14ac:dyDescent="0.35">
      <c r="A2954" s="9" t="str">
        <f>HYPERLINK("http://www.ensembl.org/id/WBGene00008383", "WBGene00008383")</f>
        <v>WBGene00008383</v>
      </c>
      <c r="B2954" s="9" t="str">
        <f>HYPERLINK("http://www.ncbi.nlm.nih.gov/gene/183929", "183929")</f>
        <v>183929</v>
      </c>
      <c r="C2954" s="9"/>
      <c r="D2954" t="str">
        <f>"D1081.5"</f>
        <v>D1081.5</v>
      </c>
      <c r="F2954" t="s">
        <v>11</v>
      </c>
      <c r="H2954" s="12">
        <v>2.4365504573550298</v>
      </c>
      <c r="I2954" s="11">
        <v>0.63748408786153699</v>
      </c>
      <c r="J2954" s="10">
        <v>0.52380957141060602</v>
      </c>
      <c r="K2954" s="29">
        <v>0.98289565623980701</v>
      </c>
    </row>
    <row r="2955" spans="1:11" x14ac:dyDescent="0.35">
      <c r="A2955" s="9" t="str">
        <f>HYPERLINK("http://www.ensembl.org/id/WBGene00004906", "WBGene00004906")</f>
        <v>WBGene00004906</v>
      </c>
      <c r="B2955" s="9" t="str">
        <f>HYPERLINK("http://www.ncbi.nlm.nih.gov/gene/176723", "176723")</f>
        <v>176723</v>
      </c>
      <c r="C2955" s="9"/>
      <c r="D2955" t="str">
        <f>"snf-7"</f>
        <v>snf-7</v>
      </c>
      <c r="E2955" t="s">
        <v>537</v>
      </c>
      <c r="F2955" t="s">
        <v>11</v>
      </c>
      <c r="G2955" t="s">
        <v>4344</v>
      </c>
      <c r="H2955" s="12">
        <v>2.4365504573550298</v>
      </c>
      <c r="I2955" s="11">
        <v>0.63748408786153699</v>
      </c>
      <c r="J2955" s="10">
        <v>0.52380957141060602</v>
      </c>
      <c r="K2955" s="29">
        <v>0.98289565623980701</v>
      </c>
    </row>
    <row r="2956" spans="1:11" x14ac:dyDescent="0.35">
      <c r="A2956" s="9" t="str">
        <f>HYPERLINK("http://www.ensembl.org/id/WBGene00166467", "WBGene00166467")</f>
        <v>WBGene00166467</v>
      </c>
      <c r="B2956" s="9"/>
      <c r="C2956" s="9"/>
      <c r="D2956" t="str">
        <f>"21ur-10556"</f>
        <v>21ur-10556</v>
      </c>
      <c r="F2956" t="s">
        <v>3161</v>
      </c>
      <c r="H2956" s="12">
        <v>2.43628531154256</v>
      </c>
      <c r="I2956" s="11">
        <v>0.26397437090349102</v>
      </c>
      <c r="J2956" s="10">
        <v>0.79179966754305298</v>
      </c>
      <c r="K2956" s="29">
        <v>0.98289565623980701</v>
      </c>
    </row>
    <row r="2957" spans="1:11" x14ac:dyDescent="0.35">
      <c r="A2957" s="9" t="str">
        <f>HYPERLINK("http://www.ensembl.org/id/WBGene00166269", "WBGene00166269")</f>
        <v>WBGene00166269</v>
      </c>
      <c r="B2957" s="9"/>
      <c r="C2957" s="9"/>
      <c r="D2957" t="str">
        <f>"21ur-14438"</f>
        <v>21ur-14438</v>
      </c>
      <c r="F2957" t="s">
        <v>3161</v>
      </c>
      <c r="H2957" s="12">
        <v>2.43628531154256</v>
      </c>
      <c r="I2957" s="11">
        <v>0.26397437090349102</v>
      </c>
      <c r="J2957" s="10">
        <v>0.79179966754305298</v>
      </c>
      <c r="K2957" s="29">
        <v>0.98289565623980701</v>
      </c>
    </row>
    <row r="2958" spans="1:11" x14ac:dyDescent="0.35">
      <c r="A2958" s="9" t="str">
        <f>HYPERLINK("http://www.ensembl.org/id/WBGene00170871", "WBGene00170871")</f>
        <v>WBGene00170871</v>
      </c>
      <c r="B2958" s="9"/>
      <c r="C2958" s="9"/>
      <c r="D2958" t="str">
        <f>"21ur-14978"</f>
        <v>21ur-14978</v>
      </c>
      <c r="F2958" t="s">
        <v>3161</v>
      </c>
      <c r="H2958" s="12">
        <v>2.43628531154256</v>
      </c>
      <c r="I2958" s="11">
        <v>0.26397437090349102</v>
      </c>
      <c r="J2958" s="10">
        <v>0.79179966754305298</v>
      </c>
      <c r="K2958" s="29">
        <v>0.98289565623980701</v>
      </c>
    </row>
    <row r="2959" spans="1:11" x14ac:dyDescent="0.35">
      <c r="A2959" s="9" t="str">
        <f>HYPERLINK("http://www.ensembl.org/id/WBGene00168785", "WBGene00168785")</f>
        <v>WBGene00168785</v>
      </c>
      <c r="B2959" s="9"/>
      <c r="C2959" s="9"/>
      <c r="D2959" t="str">
        <f>"21ur-15355"</f>
        <v>21ur-15355</v>
      </c>
      <c r="F2959" t="s">
        <v>3161</v>
      </c>
      <c r="H2959" s="12">
        <v>2.43628531154256</v>
      </c>
      <c r="I2959" s="11">
        <v>0.26397437090349102</v>
      </c>
      <c r="J2959" s="10">
        <v>0.79179966754305298</v>
      </c>
      <c r="K2959" s="29">
        <v>0.98289565623980701</v>
      </c>
    </row>
    <row r="2960" spans="1:11" x14ac:dyDescent="0.35">
      <c r="A2960" s="9" t="str">
        <f>HYPERLINK("http://www.ensembl.org/id/WBGene00049516", "WBGene00049516")</f>
        <v>WBGene00049516</v>
      </c>
      <c r="B2960" s="9"/>
      <c r="C2960" s="9"/>
      <c r="D2960" t="str">
        <f>"21ur-2394"</f>
        <v>21ur-2394</v>
      </c>
      <c r="F2960" t="s">
        <v>3161</v>
      </c>
      <c r="H2960" s="12">
        <v>2.43628531154256</v>
      </c>
      <c r="I2960" s="11">
        <v>0.26397437090349102</v>
      </c>
      <c r="J2960" s="10">
        <v>0.79179966754305298</v>
      </c>
      <c r="K2960" s="29">
        <v>0.98289565623980701</v>
      </c>
    </row>
    <row r="2961" spans="1:11" x14ac:dyDescent="0.35">
      <c r="A2961" s="9" t="str">
        <f>HYPERLINK("http://www.ensembl.org/id/WBGene00173394", "WBGene00173394")</f>
        <v>WBGene00173394</v>
      </c>
      <c r="B2961" s="9"/>
      <c r="C2961" s="9"/>
      <c r="D2961" t="str">
        <f>"21ur-8115"</f>
        <v>21ur-8115</v>
      </c>
      <c r="F2961" t="s">
        <v>3161</v>
      </c>
      <c r="H2961" s="12">
        <v>2.43628531154256</v>
      </c>
      <c r="I2961" s="11">
        <v>0.26397437090349102</v>
      </c>
      <c r="J2961" s="10">
        <v>0.79179966754305298</v>
      </c>
      <c r="K2961" s="29">
        <v>0.98289565623980701</v>
      </c>
    </row>
    <row r="2962" spans="1:11" x14ac:dyDescent="0.35">
      <c r="A2962" s="9" t="str">
        <f>HYPERLINK("http://www.ensembl.org/id/WBGene00007083", "WBGene00007083")</f>
        <v>WBGene00007083</v>
      </c>
      <c r="B2962" s="9" t="str">
        <f>HYPERLINK("http://www.ncbi.nlm.nih.gov/gene/181812", "181812")</f>
        <v>181812</v>
      </c>
      <c r="C2962" s="9"/>
      <c r="D2962" t="str">
        <f>"AH10.2"</f>
        <v>AH10.2</v>
      </c>
      <c r="F2962" t="s">
        <v>11</v>
      </c>
      <c r="G2962" t="s">
        <v>25</v>
      </c>
      <c r="H2962" s="12">
        <v>2.43628531154256</v>
      </c>
      <c r="I2962" s="11">
        <v>0.26397437090349102</v>
      </c>
      <c r="J2962" s="10">
        <v>0.79179966754305298</v>
      </c>
      <c r="K2962" s="29">
        <v>0.98289565623980701</v>
      </c>
    </row>
    <row r="2963" spans="1:11" x14ac:dyDescent="0.35">
      <c r="A2963" s="9" t="str">
        <f>HYPERLINK("http://www.ensembl.org/id/WBGene00198962", "WBGene00198962")</f>
        <v>WBGene00198962</v>
      </c>
      <c r="B2963" s="9"/>
      <c r="C2963" s="9"/>
      <c r="D2963" t="str">
        <f>"C14F11.20"</f>
        <v>C14F11.20</v>
      </c>
      <c r="F2963" t="s">
        <v>481</v>
      </c>
      <c r="H2963" s="12">
        <v>2.43628531154256</v>
      </c>
      <c r="I2963" s="11">
        <v>0.26397437090349102</v>
      </c>
      <c r="J2963" s="10">
        <v>0.79179966754305298</v>
      </c>
      <c r="K2963" s="29">
        <v>0.98289565623980701</v>
      </c>
    </row>
    <row r="2964" spans="1:11" x14ac:dyDescent="0.35">
      <c r="A2964" s="9" t="str">
        <f>HYPERLINK("http://www.ensembl.org/id/WBGene00014678", "WBGene00014678")</f>
        <v>WBGene00014678</v>
      </c>
      <c r="B2964" s="9"/>
      <c r="C2964" s="9"/>
      <c r="D2964" t="str">
        <f>"C15H7.2"</f>
        <v>C15H7.2</v>
      </c>
      <c r="F2964" t="s">
        <v>80</v>
      </c>
      <c r="H2964" s="12">
        <v>2.43628531154256</v>
      </c>
      <c r="I2964" s="11">
        <v>0.26397437090349102</v>
      </c>
      <c r="J2964" s="10">
        <v>0.79179966754305298</v>
      </c>
      <c r="K2964" s="29">
        <v>0.98289565623980701</v>
      </c>
    </row>
    <row r="2965" spans="1:11" x14ac:dyDescent="0.35">
      <c r="A2965" s="9" t="str">
        <f>HYPERLINK("http://www.ensembl.org/id/WBGene00198304", "WBGene00198304")</f>
        <v>WBGene00198304</v>
      </c>
      <c r="B2965" s="9"/>
      <c r="C2965" s="9"/>
      <c r="D2965" t="str">
        <f>"C25F6.17"</f>
        <v>C25F6.17</v>
      </c>
      <c r="F2965" t="s">
        <v>481</v>
      </c>
      <c r="H2965" s="12">
        <v>2.43628531154256</v>
      </c>
      <c r="I2965" s="11">
        <v>0.26397437090349102</v>
      </c>
      <c r="J2965" s="10">
        <v>0.79179966754305298</v>
      </c>
      <c r="K2965" s="29">
        <v>0.98289565623980701</v>
      </c>
    </row>
    <row r="2966" spans="1:11" x14ac:dyDescent="0.35">
      <c r="A2966" s="9" t="str">
        <f>HYPERLINK("http://www.ensembl.org/id/WBGene00197159", "WBGene00197159")</f>
        <v>WBGene00197159</v>
      </c>
      <c r="B2966" s="9"/>
      <c r="C2966" s="9"/>
      <c r="D2966" t="str">
        <f>"C34D1.8"</f>
        <v>C34D1.8</v>
      </c>
      <c r="F2966" t="s">
        <v>481</v>
      </c>
      <c r="H2966" s="12">
        <v>2.43628531154256</v>
      </c>
      <c r="I2966" s="11">
        <v>0.26397437090349102</v>
      </c>
      <c r="J2966" s="10">
        <v>0.79179966754305298</v>
      </c>
      <c r="K2966" s="29">
        <v>0.98289565623980701</v>
      </c>
    </row>
    <row r="2967" spans="1:11" x14ac:dyDescent="0.35">
      <c r="A2967" s="9" t="str">
        <f>HYPERLINK("http://www.ensembl.org/id/WBGene00198983", "WBGene00198983")</f>
        <v>WBGene00198983</v>
      </c>
      <c r="B2967" s="9"/>
      <c r="C2967" s="9"/>
      <c r="D2967" t="str">
        <f>"D1054.21"</f>
        <v>D1054.21</v>
      </c>
      <c r="F2967" t="s">
        <v>481</v>
      </c>
      <c r="H2967" s="12">
        <v>2.43628531154256</v>
      </c>
      <c r="I2967" s="11">
        <v>0.26397437090349102</v>
      </c>
      <c r="J2967" s="10">
        <v>0.79179966754305298</v>
      </c>
      <c r="K2967" s="29">
        <v>0.98289565623980701</v>
      </c>
    </row>
    <row r="2968" spans="1:11" x14ac:dyDescent="0.35">
      <c r="A2968" s="9" t="str">
        <f>HYPERLINK("http://www.ensembl.org/id/WBGene00201839", "WBGene00201839")</f>
        <v>WBGene00201839</v>
      </c>
      <c r="B2968" s="9"/>
      <c r="C2968" s="9"/>
      <c r="D2968" t="str">
        <f>"F22B5.12"</f>
        <v>F22B5.12</v>
      </c>
      <c r="F2968" t="s">
        <v>481</v>
      </c>
      <c r="H2968" s="12">
        <v>2.43628531154256</v>
      </c>
      <c r="I2968" s="11">
        <v>0.26397437090349102</v>
      </c>
      <c r="J2968" s="10">
        <v>0.79179966754305298</v>
      </c>
      <c r="K2968" s="29">
        <v>0.98289565623980701</v>
      </c>
    </row>
    <row r="2969" spans="1:11" x14ac:dyDescent="0.35">
      <c r="A2969" s="9" t="str">
        <f>HYPERLINK("http://www.ensembl.org/id/WBGene00009802", "WBGene00009802")</f>
        <v>WBGene00009802</v>
      </c>
      <c r="B2969" s="9" t="str">
        <f>HYPERLINK("http://www.ncbi.nlm.nih.gov/gene/185894", "185894")</f>
        <v>185894</v>
      </c>
      <c r="C2969" s="9"/>
      <c r="D2969" t="str">
        <f>"F47B8.1"</f>
        <v>F47B8.1</v>
      </c>
      <c r="F2969" t="s">
        <v>11</v>
      </c>
      <c r="G2969" t="s">
        <v>25</v>
      </c>
      <c r="H2969" s="12">
        <v>2.43628531154256</v>
      </c>
      <c r="I2969" s="11">
        <v>0.26397437090349102</v>
      </c>
      <c r="J2969" s="10">
        <v>0.79179966754305298</v>
      </c>
      <c r="K2969" s="29">
        <v>0.98289565623980701</v>
      </c>
    </row>
    <row r="2970" spans="1:11" x14ac:dyDescent="0.35">
      <c r="A2970" s="9" t="str">
        <f>HYPERLINK("http://www.ensembl.org/id/WBGene00196124", "WBGene00196124")</f>
        <v>WBGene00196124</v>
      </c>
      <c r="B2970" s="9"/>
      <c r="C2970" s="9"/>
      <c r="D2970" t="str">
        <f>"F57B10.16"</f>
        <v>F57B10.16</v>
      </c>
      <c r="F2970" t="s">
        <v>481</v>
      </c>
      <c r="H2970" s="12">
        <v>2.43628531154256</v>
      </c>
      <c r="I2970" s="11">
        <v>0.26397437090349102</v>
      </c>
      <c r="J2970" s="10">
        <v>0.79179966754305298</v>
      </c>
      <c r="K2970" s="29">
        <v>0.98289565623980701</v>
      </c>
    </row>
    <row r="2971" spans="1:11" x14ac:dyDescent="0.35">
      <c r="A2971" s="9" t="str">
        <f>HYPERLINK("http://www.ensembl.org/id/WBGene00255568", "WBGene00255568")</f>
        <v>WBGene00255568</v>
      </c>
      <c r="B2971" s="9"/>
      <c r="C2971" s="9"/>
      <c r="D2971" t="str">
        <f>"mir-8204"</f>
        <v>mir-8204</v>
      </c>
      <c r="F2971" t="s">
        <v>1486</v>
      </c>
      <c r="H2971" s="12">
        <v>2.43628531154256</v>
      </c>
      <c r="I2971" s="11">
        <v>0.26397437090349102</v>
      </c>
      <c r="J2971" s="10">
        <v>0.79179966754305298</v>
      </c>
      <c r="K2971" s="29">
        <v>0.98289565623980701</v>
      </c>
    </row>
    <row r="2972" spans="1:11" x14ac:dyDescent="0.35">
      <c r="A2972" s="9" t="str">
        <f>HYPERLINK("http://www.ensembl.org/id/WBGene00016737", "WBGene00016737")</f>
        <v>WBGene00016737</v>
      </c>
      <c r="B2972" s="9"/>
      <c r="C2972" s="9"/>
      <c r="D2972" t="str">
        <f>"miro-2"</f>
        <v>miro-2</v>
      </c>
      <c r="F2972" t="s">
        <v>80</v>
      </c>
      <c r="H2972" s="12">
        <v>2.43628531154256</v>
      </c>
      <c r="I2972" s="11">
        <v>0.26397437090349102</v>
      </c>
      <c r="J2972" s="10">
        <v>0.79179966754305298</v>
      </c>
      <c r="K2972" s="29">
        <v>0.98289565623980701</v>
      </c>
    </row>
    <row r="2973" spans="1:11" x14ac:dyDescent="0.35">
      <c r="A2973" s="9" t="str">
        <f>HYPERLINK("http://www.ensembl.org/id/WBGene00016777", "WBGene00016777")</f>
        <v>WBGene00016777</v>
      </c>
      <c r="B2973" s="9" t="str">
        <f>HYPERLINK("http://www.ncbi.nlm.nih.gov/gene/183611", "183611")</f>
        <v>183611</v>
      </c>
      <c r="C2973" s="9"/>
      <c r="D2973" t="str">
        <f>"nhr-261"</f>
        <v>nhr-261</v>
      </c>
      <c r="E2973" t="s">
        <v>637</v>
      </c>
      <c r="F2973" t="s">
        <v>11</v>
      </c>
      <c r="G2973" t="s">
        <v>1073</v>
      </c>
      <c r="H2973" s="12">
        <v>2.43628531154256</v>
      </c>
      <c r="I2973" s="11">
        <v>0.26397437090349102</v>
      </c>
      <c r="J2973" s="10">
        <v>0.79179966754305298</v>
      </c>
      <c r="K2973" s="29">
        <v>0.98289565623980701</v>
      </c>
    </row>
    <row r="2974" spans="1:11" x14ac:dyDescent="0.35">
      <c r="A2974" s="9" t="str">
        <f>HYPERLINK("http://www.ensembl.org/id/WBGene00196969", "WBGene00196969")</f>
        <v>WBGene00196969</v>
      </c>
      <c r="B2974" s="9"/>
      <c r="C2974" s="9"/>
      <c r="D2974" t="str">
        <f>"R03E9.6"</f>
        <v>R03E9.6</v>
      </c>
      <c r="F2974" t="s">
        <v>481</v>
      </c>
      <c r="H2974" s="12">
        <v>2.43628531154256</v>
      </c>
      <c r="I2974" s="11">
        <v>0.26397437090349102</v>
      </c>
      <c r="J2974" s="10">
        <v>0.79179966754305298</v>
      </c>
      <c r="K2974" s="29">
        <v>0.98289565623980701</v>
      </c>
    </row>
    <row r="2975" spans="1:11" x14ac:dyDescent="0.35">
      <c r="A2975" s="9" t="str">
        <f>HYPERLINK("http://www.ensembl.org/id/WBGene00269338", "WBGene00269338")</f>
        <v>WBGene00269338</v>
      </c>
      <c r="B2975" s="9"/>
      <c r="C2975" s="9"/>
      <c r="D2975" t="str">
        <f>"R07C3.16"</f>
        <v>R07C3.16</v>
      </c>
      <c r="F2975" t="s">
        <v>80</v>
      </c>
      <c r="H2975" s="12">
        <v>2.43628531154256</v>
      </c>
      <c r="I2975" s="11">
        <v>0.26397437090349102</v>
      </c>
      <c r="J2975" s="10">
        <v>0.79179966754305298</v>
      </c>
      <c r="K2975" s="29">
        <v>0.98289565623980701</v>
      </c>
    </row>
    <row r="2976" spans="1:11" x14ac:dyDescent="0.35">
      <c r="A2976" s="9" t="str">
        <f>HYPERLINK("http://www.ensembl.org/id/WBGene00015315", "WBGene00015315")</f>
        <v>WBGene00015315</v>
      </c>
      <c r="B2976" s="9" t="str">
        <f>HYPERLINK("http://www.ncbi.nlm.nih.gov/gene/182095", "182095")</f>
        <v>182095</v>
      </c>
      <c r="C2976" s="9"/>
      <c r="D2976" t="str">
        <f>"srbc-29"</f>
        <v>srbc-29</v>
      </c>
      <c r="E2976" t="s">
        <v>3034</v>
      </c>
      <c r="F2976" t="s">
        <v>11</v>
      </c>
      <c r="G2976" t="s">
        <v>25</v>
      </c>
      <c r="H2976" s="12">
        <v>2.43628531154256</v>
      </c>
      <c r="I2976" s="11">
        <v>0.26397437090349102</v>
      </c>
      <c r="J2976" s="10">
        <v>0.79179966754305298</v>
      </c>
      <c r="K2976" s="29">
        <v>0.98289565623980701</v>
      </c>
    </row>
    <row r="2977" spans="1:11" x14ac:dyDescent="0.35">
      <c r="A2977" s="9" t="str">
        <f>HYPERLINK("http://www.ensembl.org/id/WBGene00020875", "WBGene00020875")</f>
        <v>WBGene00020875</v>
      </c>
      <c r="B2977" s="9" t="str">
        <f>HYPERLINK("http://www.ncbi.nlm.nih.gov/gene/189019", "189019")</f>
        <v>189019</v>
      </c>
      <c r="C2977" s="9" t="str">
        <f>HYPERLINK("http://www.ncbi.nlm.nih.gov/gene/158046", "158046")</f>
        <v>158046</v>
      </c>
      <c r="D2977" t="str">
        <f>"T28A11.13"</f>
        <v>T28A11.13</v>
      </c>
      <c r="F2977" t="s">
        <v>11</v>
      </c>
      <c r="H2977" s="12">
        <v>2.43628531154256</v>
      </c>
      <c r="I2977" s="11">
        <v>0.26397437090349102</v>
      </c>
      <c r="J2977" s="10">
        <v>0.79179966754305298</v>
      </c>
      <c r="K2977" s="29">
        <v>0.98289565623980701</v>
      </c>
    </row>
    <row r="2978" spans="1:11" x14ac:dyDescent="0.35">
      <c r="A2978" s="9" t="str">
        <f>HYPERLINK("http://www.ensembl.org/id/WBGene00219483", "WBGene00219483")</f>
        <v>WBGene00219483</v>
      </c>
      <c r="B2978" s="9"/>
      <c r="C2978" s="9"/>
      <c r="D2978" t="str">
        <f>"Y116F11B.24"</f>
        <v>Y116F11B.24</v>
      </c>
      <c r="F2978" t="s">
        <v>481</v>
      </c>
      <c r="H2978" s="12">
        <v>2.43628531154256</v>
      </c>
      <c r="I2978" s="11">
        <v>0.26397437090349102</v>
      </c>
      <c r="J2978" s="10">
        <v>0.79179966754305298</v>
      </c>
      <c r="K2978" s="29">
        <v>0.98289565623980701</v>
      </c>
    </row>
    <row r="2979" spans="1:11" x14ac:dyDescent="0.35">
      <c r="A2979" s="9" t="str">
        <f>HYPERLINK("http://www.ensembl.org/id/WBGene00200999", "WBGene00200999")</f>
        <v>WBGene00200999</v>
      </c>
      <c r="B2979" s="9"/>
      <c r="C2979" s="9"/>
      <c r="D2979" t="str">
        <f>"Y34B4A.17"</f>
        <v>Y34B4A.17</v>
      </c>
      <c r="F2979" t="s">
        <v>481</v>
      </c>
      <c r="H2979" s="12">
        <v>2.43628531154256</v>
      </c>
      <c r="I2979" s="11">
        <v>0.26397437090349102</v>
      </c>
      <c r="J2979" s="10">
        <v>0.79179966754305298</v>
      </c>
      <c r="K2979" s="29">
        <v>0.98289565623980701</v>
      </c>
    </row>
    <row r="2980" spans="1:11" x14ac:dyDescent="0.35">
      <c r="A2980" s="9" t="str">
        <f>HYPERLINK("http://www.ensembl.org/id/WBGene00200681", "WBGene00200681")</f>
        <v>WBGene00200681</v>
      </c>
      <c r="B2980" s="9"/>
      <c r="C2980" s="9"/>
      <c r="D2980" t="str">
        <f>"Y38F2AL.10"</f>
        <v>Y38F2AL.10</v>
      </c>
      <c r="F2980" t="s">
        <v>481</v>
      </c>
      <c r="H2980" s="12">
        <v>2.43628531154256</v>
      </c>
      <c r="I2980" s="11">
        <v>0.26397437090349102</v>
      </c>
      <c r="J2980" s="10">
        <v>0.79179966754305298</v>
      </c>
      <c r="K2980" s="29">
        <v>0.98289565623980701</v>
      </c>
    </row>
    <row r="2981" spans="1:11" x14ac:dyDescent="0.35">
      <c r="A2981" s="9" t="str">
        <f>HYPERLINK("http://www.ensembl.org/id/WBGene00044306", "WBGene00044306")</f>
        <v>WBGene00044306</v>
      </c>
      <c r="B2981" s="9" t="str">
        <f>HYPERLINK("http://www.ncbi.nlm.nih.gov/gene/3565437", "3565437")</f>
        <v>3565437</v>
      </c>
      <c r="C2981" s="9"/>
      <c r="D2981" t="str">
        <f>"F58F9.8"</f>
        <v>F58F9.8</v>
      </c>
      <c r="F2981" t="s">
        <v>11</v>
      </c>
      <c r="H2981" s="12">
        <v>2.4360060020174399</v>
      </c>
      <c r="I2981" s="11">
        <v>0.51537338792978205</v>
      </c>
      <c r="J2981" s="10">
        <v>0.60629212504180696</v>
      </c>
      <c r="K2981" s="29">
        <v>0.98289565623980701</v>
      </c>
    </row>
    <row r="2982" spans="1:11" x14ac:dyDescent="0.35">
      <c r="A2982" s="9" t="str">
        <f>HYPERLINK("http://www.ensembl.org/id/WBGene00019393", "WBGene00019393")</f>
        <v>WBGene00019393</v>
      </c>
      <c r="B2982" s="9" t="str">
        <f>HYPERLINK("http://www.ncbi.nlm.nih.gov/gene/187000", "187000")</f>
        <v>187000</v>
      </c>
      <c r="C2982" s="9"/>
      <c r="D2982" t="str">
        <f>"irld-45"</f>
        <v>irld-45</v>
      </c>
      <c r="E2982" t="s">
        <v>1627</v>
      </c>
      <c r="F2982" t="s">
        <v>11</v>
      </c>
      <c r="H2982" s="12">
        <v>2.4360060020174399</v>
      </c>
      <c r="I2982" s="11">
        <v>0.51537338792978205</v>
      </c>
      <c r="J2982" s="10">
        <v>0.60629212504180696</v>
      </c>
      <c r="K2982" s="29">
        <v>0.98289565623980701</v>
      </c>
    </row>
    <row r="2983" spans="1:11" x14ac:dyDescent="0.35">
      <c r="A2983" s="9" t="str">
        <f>HYPERLINK("http://www.ensembl.org/id/WBGene00005126", "WBGene00005126")</f>
        <v>WBGene00005126</v>
      </c>
      <c r="B2983" s="9" t="str">
        <f>HYPERLINK("http://www.ncbi.nlm.nih.gov/gene/184605", "184605")</f>
        <v>184605</v>
      </c>
      <c r="C2983" s="9"/>
      <c r="D2983" t="str">
        <f>"srd-48"</f>
        <v>srd-48</v>
      </c>
      <c r="E2983" t="s">
        <v>4390</v>
      </c>
      <c r="F2983" t="s">
        <v>11</v>
      </c>
      <c r="G2983" t="s">
        <v>25</v>
      </c>
      <c r="H2983" s="12">
        <v>2.4360060020174399</v>
      </c>
      <c r="I2983" s="11">
        <v>0.51537338792978205</v>
      </c>
      <c r="J2983" s="10">
        <v>0.60629212504180696</v>
      </c>
      <c r="K2983" s="29">
        <v>0.98289565623980701</v>
      </c>
    </row>
    <row r="2984" spans="1:11" x14ac:dyDescent="0.35">
      <c r="A2984" s="9" t="str">
        <f>HYPERLINK("http://www.ensembl.org/id/WBGene00005690", "WBGene00005690")</f>
        <v>WBGene00005690</v>
      </c>
      <c r="B2984" s="9" t="str">
        <f>HYPERLINK("http://www.ncbi.nlm.nih.gov/gene/183300", "183300")</f>
        <v>183300</v>
      </c>
      <c r="C2984" s="9"/>
      <c r="D2984" t="str">
        <f>"sru-27"</f>
        <v>sru-27</v>
      </c>
      <c r="E2984" t="s">
        <v>2653</v>
      </c>
      <c r="F2984" t="s">
        <v>11</v>
      </c>
      <c r="G2984" t="s">
        <v>25</v>
      </c>
      <c r="H2984" s="12">
        <v>2.4360060020174399</v>
      </c>
      <c r="I2984" s="11">
        <v>0.51537338792978205</v>
      </c>
      <c r="J2984" s="10">
        <v>0.60629212504180696</v>
      </c>
      <c r="K2984" s="29">
        <v>0.98289565623980701</v>
      </c>
    </row>
    <row r="2985" spans="1:11" x14ac:dyDescent="0.35">
      <c r="A2985" s="9" t="str">
        <f>HYPERLINK("http://www.ensembl.org/id/WBGene00045364", "WBGene00045364")</f>
        <v>WBGene00045364</v>
      </c>
      <c r="B2985" s="9" t="str">
        <f>HYPERLINK("http://www.ncbi.nlm.nih.gov/gene/6418824", "6418824")</f>
        <v>6418824</v>
      </c>
      <c r="C2985" s="9"/>
      <c r="D2985" t="str">
        <f>"clec-250"</f>
        <v>clec-250</v>
      </c>
      <c r="E2985" t="s">
        <v>46</v>
      </c>
      <c r="F2985" t="s">
        <v>11</v>
      </c>
      <c r="G2985" t="s">
        <v>47</v>
      </c>
      <c r="H2985" s="12">
        <v>2.4346653425282598</v>
      </c>
      <c r="I2985" s="11">
        <v>0.74427234455162805</v>
      </c>
      <c r="J2985" s="10">
        <v>0.45671172870476601</v>
      </c>
      <c r="K2985" s="29">
        <v>0.98289565623980701</v>
      </c>
    </row>
    <row r="2986" spans="1:11" x14ac:dyDescent="0.35">
      <c r="A2986" s="9" t="str">
        <f>HYPERLINK("http://www.ensembl.org/id/WBGene00022927", "WBGene00022927")</f>
        <v>WBGene00022927</v>
      </c>
      <c r="B2986" s="9"/>
      <c r="C2986" s="9"/>
      <c r="D2986" t="str">
        <f>"C16B8.t1"</f>
        <v>C16B8.t1</v>
      </c>
      <c r="F2986" t="s">
        <v>4208</v>
      </c>
      <c r="H2986" s="12">
        <v>2.4328545712195901</v>
      </c>
      <c r="I2986" s="11">
        <v>0.31285255054445599</v>
      </c>
      <c r="J2986" s="10">
        <v>0.75439268833751705</v>
      </c>
      <c r="K2986" s="29">
        <v>0.98289565623980701</v>
      </c>
    </row>
    <row r="2987" spans="1:11" x14ac:dyDescent="0.35">
      <c r="A2987" s="9" t="str">
        <f>HYPERLINK("http://www.ensembl.org/id/WBGene00022594", "WBGene00022594")</f>
        <v>WBGene00022594</v>
      </c>
      <c r="B2987" s="9" t="str">
        <f>HYPERLINK("http://www.ncbi.nlm.nih.gov/gene/172341", "172341")</f>
        <v>172341</v>
      </c>
      <c r="C2987" s="9"/>
      <c r="D2987" t="str">
        <f>"ZC328.5"</f>
        <v>ZC328.5</v>
      </c>
      <c r="F2987" t="s">
        <v>11</v>
      </c>
      <c r="H2987" s="12">
        <v>2.4328545712195901</v>
      </c>
      <c r="I2987" s="11">
        <v>0.31285255054445599</v>
      </c>
      <c r="J2987" s="10">
        <v>0.75439268833751705</v>
      </c>
      <c r="K2987" s="29">
        <v>0.98289565623980701</v>
      </c>
    </row>
    <row r="2988" spans="1:11" x14ac:dyDescent="0.35">
      <c r="A2988" s="9" t="str">
        <f>HYPERLINK("http://www.ensembl.org/id/WBGene00007851", "WBGene00007851")</f>
        <v>WBGene00007851</v>
      </c>
      <c r="B2988" s="9" t="str">
        <f>HYPERLINK("http://www.ncbi.nlm.nih.gov/gene/183091", "183091")</f>
        <v>183091</v>
      </c>
      <c r="C2988" s="9"/>
      <c r="D2988" t="str">
        <f>"clec-245"</f>
        <v>clec-245</v>
      </c>
      <c r="E2988" t="s">
        <v>46</v>
      </c>
      <c r="F2988" t="s">
        <v>11</v>
      </c>
      <c r="G2988" t="s">
        <v>47</v>
      </c>
      <c r="H2988" s="12">
        <v>2.4323401707909</v>
      </c>
      <c r="I2988" s="11">
        <v>0.901591000290073</v>
      </c>
      <c r="J2988" s="10">
        <v>0.36727417352466502</v>
      </c>
      <c r="K2988" s="29">
        <v>0.98289565623980701</v>
      </c>
    </row>
    <row r="2989" spans="1:11" x14ac:dyDescent="0.35">
      <c r="A2989" s="9" t="str">
        <f>HYPERLINK("http://www.ensembl.org/id/WBGene00010799", "WBGene00010799")</f>
        <v>WBGene00010799</v>
      </c>
      <c r="B2989" s="9" t="str">
        <f>HYPERLINK("http://www.ncbi.nlm.nih.gov/gene/187357", "187357")</f>
        <v>187357</v>
      </c>
      <c r="C2989" s="9"/>
      <c r="D2989" t="str">
        <f>"chil-12"</f>
        <v>chil-12</v>
      </c>
      <c r="E2989" t="s">
        <v>1756</v>
      </c>
      <c r="F2989" t="s">
        <v>11</v>
      </c>
      <c r="G2989" t="s">
        <v>1509</v>
      </c>
      <c r="H2989" s="12">
        <v>2.4319873848985201</v>
      </c>
      <c r="I2989" s="11">
        <v>1.4536116669919401</v>
      </c>
      <c r="J2989" s="10">
        <v>0.14605400044356801</v>
      </c>
      <c r="K2989" s="29">
        <v>0.84505926547132704</v>
      </c>
    </row>
    <row r="2990" spans="1:11" x14ac:dyDescent="0.35">
      <c r="A2990" s="9" t="str">
        <f>HYPERLINK("http://www.ensembl.org/id/WBGene00017207", "WBGene00017207")</f>
        <v>WBGene00017207</v>
      </c>
      <c r="B2990" s="9" t="str">
        <f>HYPERLINK("http://www.ncbi.nlm.nih.gov/gene/184141", "184141")</f>
        <v>184141</v>
      </c>
      <c r="C2990" s="9"/>
      <c r="D2990" t="str">
        <f>"fbxb-6"</f>
        <v>fbxb-6</v>
      </c>
      <c r="E2990" t="s">
        <v>1436</v>
      </c>
      <c r="F2990" t="s">
        <v>11</v>
      </c>
      <c r="H2990" s="12">
        <v>2.4303537871602101</v>
      </c>
      <c r="I2990" s="11">
        <v>1.1304795024097201</v>
      </c>
      <c r="J2990" s="10">
        <v>0.25827423075712902</v>
      </c>
      <c r="K2990" s="29">
        <v>0.98289565623980701</v>
      </c>
    </row>
    <row r="2991" spans="1:11" x14ac:dyDescent="0.35">
      <c r="A2991" s="9" t="str">
        <f>HYPERLINK("http://www.ensembl.org/id/WBGene00010855", "WBGene00010855")</f>
        <v>WBGene00010855</v>
      </c>
      <c r="B2991" s="9" t="str">
        <f>HYPERLINK("http://www.ncbi.nlm.nih.gov/gene/3565595", "3565595")</f>
        <v>3565595</v>
      </c>
      <c r="C2991" s="9"/>
      <c r="D2991" t="str">
        <f>"M04C7.4"</f>
        <v>M04C7.4</v>
      </c>
      <c r="F2991" t="s">
        <v>11</v>
      </c>
      <c r="G2991" t="s">
        <v>25</v>
      </c>
      <c r="H2991" s="12">
        <v>2.4301809267013299</v>
      </c>
      <c r="I2991" s="11">
        <v>1.15081547307108</v>
      </c>
      <c r="J2991" s="10">
        <v>0.249808157788174</v>
      </c>
      <c r="K2991" s="29">
        <v>0.98289565623980701</v>
      </c>
    </row>
    <row r="2992" spans="1:11" x14ac:dyDescent="0.35">
      <c r="A2992" s="9" t="str">
        <f>HYPERLINK("http://www.ensembl.org/id/WBGene00017680", "WBGene00017680")</f>
        <v>WBGene00017680</v>
      </c>
      <c r="B2992" s="9"/>
      <c r="C2992" s="9"/>
      <c r="D2992" t="str">
        <f>"F21F8.6"</f>
        <v>F21F8.6</v>
      </c>
      <c r="F2992" t="s">
        <v>80</v>
      </c>
      <c r="H2992" s="12">
        <v>2.4297180946454202</v>
      </c>
      <c r="I2992" s="11">
        <v>0.62666142494447696</v>
      </c>
      <c r="J2992" s="10">
        <v>0.53088119491079</v>
      </c>
      <c r="K2992" s="29">
        <v>0.98289565623980701</v>
      </c>
    </row>
    <row r="2993" spans="1:11" x14ac:dyDescent="0.35">
      <c r="A2993" s="9" t="str">
        <f>HYPERLINK("http://www.ensembl.org/id/WBGene00006235", "WBGene00006235")</f>
        <v>WBGene00006235</v>
      </c>
      <c r="B2993" s="9" t="str">
        <f>HYPERLINK("http://www.ncbi.nlm.nih.gov/gene/190524", "190524")</f>
        <v>190524</v>
      </c>
      <c r="C2993" s="9"/>
      <c r="D2993" t="str">
        <f>"str-199"</f>
        <v>str-199</v>
      </c>
      <c r="E2993" t="s">
        <v>590</v>
      </c>
      <c r="F2993" t="s">
        <v>11</v>
      </c>
      <c r="G2993" t="s">
        <v>591</v>
      </c>
      <c r="H2993" s="12">
        <v>2.4291505437333201</v>
      </c>
      <c r="I2993" s="11">
        <v>0.38261286436321401</v>
      </c>
      <c r="J2993" s="10">
        <v>0.70200683042719203</v>
      </c>
      <c r="K2993" s="29">
        <v>0.98289565623980701</v>
      </c>
    </row>
    <row r="2994" spans="1:11" x14ac:dyDescent="0.35">
      <c r="A2994" s="9" t="str">
        <f>HYPERLINK("http://www.ensembl.org/id/WBGene00022814", "WBGene00022814")</f>
        <v>WBGene00022814</v>
      </c>
      <c r="B2994" s="9" t="str">
        <f>HYPERLINK("http://www.ncbi.nlm.nih.gov/gene/179159", "179159")</f>
        <v>179159</v>
      </c>
      <c r="C2994" s="9"/>
      <c r="D2994" t="str">
        <f>"ZK742.4"</f>
        <v>ZK742.4</v>
      </c>
      <c r="F2994" t="s">
        <v>11</v>
      </c>
      <c r="G2994" t="s">
        <v>260</v>
      </c>
      <c r="H2994" s="12">
        <v>2.4282465523838499</v>
      </c>
      <c r="I2994" s="11">
        <v>4.2688606330692602</v>
      </c>
      <c r="J2994" s="10">
        <v>1.9647397308521701E-5</v>
      </c>
      <c r="K2994" s="29">
        <v>1.7920463895143299E-3</v>
      </c>
    </row>
    <row r="2995" spans="1:11" x14ac:dyDescent="0.35">
      <c r="A2995" s="9" t="str">
        <f>HYPERLINK("http://www.ensembl.org/id/WBGene00020638", "WBGene00020638")</f>
        <v>WBGene00020638</v>
      </c>
      <c r="B2995" s="9" t="str">
        <f>HYPERLINK("http://www.ncbi.nlm.nih.gov/gene/188665", "188665")</f>
        <v>188665</v>
      </c>
      <c r="C2995" s="9"/>
      <c r="D2995" t="str">
        <f>"fbxa-43"</f>
        <v>fbxa-43</v>
      </c>
      <c r="E2995" t="s">
        <v>467</v>
      </c>
      <c r="F2995" t="s">
        <v>11</v>
      </c>
      <c r="G2995" t="s">
        <v>54</v>
      </c>
      <c r="H2995" s="12">
        <v>2.4278281818996001</v>
      </c>
      <c r="I2995" s="11">
        <v>1.1072818211779401</v>
      </c>
      <c r="J2995" s="10">
        <v>0.26817210146515902</v>
      </c>
      <c r="K2995" s="29">
        <v>0.98289565623980701</v>
      </c>
    </row>
    <row r="2996" spans="1:11" x14ac:dyDescent="0.35">
      <c r="A2996" s="9" t="str">
        <f>HYPERLINK("http://www.ensembl.org/id/WBGene00044562", "WBGene00044562")</f>
        <v>WBGene00044562</v>
      </c>
      <c r="B2996" s="9" t="str">
        <f>HYPERLINK("http://www.ncbi.nlm.nih.gov/gene/3896891", "3896891")</f>
        <v>3896891</v>
      </c>
      <c r="C2996" s="9"/>
      <c r="D2996" t="str">
        <f>"C14E2.7"</f>
        <v>C14E2.7</v>
      </c>
      <c r="F2996" t="s">
        <v>11</v>
      </c>
      <c r="G2996" t="s">
        <v>25</v>
      </c>
      <c r="H2996" s="12">
        <v>2.4275475824668802</v>
      </c>
      <c r="I2996" s="11">
        <v>0.49711204062497899</v>
      </c>
      <c r="J2996" s="10">
        <v>0.61911004421813198</v>
      </c>
      <c r="K2996" s="29">
        <v>0.98289565623980701</v>
      </c>
    </row>
    <row r="2997" spans="1:11" x14ac:dyDescent="0.35">
      <c r="A2997" s="9" t="str">
        <f>HYPERLINK("http://www.ensembl.org/id/WBGene00219885", "WBGene00219885")</f>
        <v>WBGene00219885</v>
      </c>
      <c r="B2997" s="9"/>
      <c r="C2997" s="9"/>
      <c r="D2997" t="str">
        <f>"F09E10.14"</f>
        <v>F09E10.14</v>
      </c>
      <c r="F2997" t="s">
        <v>481</v>
      </c>
      <c r="H2997" s="12">
        <v>2.4262533138323099</v>
      </c>
      <c r="I2997" s="11">
        <v>0.45067382688494501</v>
      </c>
      <c r="J2997" s="10">
        <v>0.65222464874762698</v>
      </c>
      <c r="K2997" s="29">
        <v>0.98289565623980701</v>
      </c>
    </row>
    <row r="2998" spans="1:11" x14ac:dyDescent="0.35">
      <c r="A2998" s="9" t="str">
        <f>HYPERLINK("http://www.ensembl.org/id/WBGene00010324", "WBGene00010324")</f>
        <v>WBGene00010324</v>
      </c>
      <c r="B2998" s="9" t="str">
        <f>HYPERLINK("http://www.ncbi.nlm.nih.gov/gene/186603", "186603")</f>
        <v>186603</v>
      </c>
      <c r="C2998" s="9"/>
      <c r="D2998" t="str">
        <f>"F59C6.3"</f>
        <v>F59C6.3</v>
      </c>
      <c r="F2998" t="s">
        <v>11</v>
      </c>
      <c r="G2998" t="s">
        <v>25</v>
      </c>
      <c r="H2998" s="12">
        <v>2.4262533138323099</v>
      </c>
      <c r="I2998" s="11">
        <v>0.45067382688494501</v>
      </c>
      <c r="J2998" s="10">
        <v>0.65222464874762698</v>
      </c>
      <c r="K2998" s="29">
        <v>0.98289565623980701</v>
      </c>
    </row>
    <row r="2999" spans="1:11" x14ac:dyDescent="0.35">
      <c r="A2999" s="9" t="str">
        <f>HYPERLINK("http://www.ensembl.org/id/WBGene00004237", "WBGene00004237")</f>
        <v>WBGene00004237</v>
      </c>
      <c r="B2999" s="9" t="str">
        <f>HYPERLINK("http://www.ncbi.nlm.nih.gov/gene/173362", "173362")</f>
        <v>173362</v>
      </c>
      <c r="C2999" s="9"/>
      <c r="D2999" t="str">
        <f>"ptr-23"</f>
        <v>ptr-23</v>
      </c>
      <c r="E2999" t="s">
        <v>134</v>
      </c>
      <c r="F2999" t="s">
        <v>11</v>
      </c>
      <c r="G2999" t="s">
        <v>193</v>
      </c>
      <c r="H2999" s="12">
        <v>2.42604864646776</v>
      </c>
      <c r="I2999" s="11">
        <v>4.6516622232532496</v>
      </c>
      <c r="J2999" s="10">
        <v>3.2927009968029602E-6</v>
      </c>
      <c r="K2999" s="29">
        <v>4.15743984875023E-4</v>
      </c>
    </row>
    <row r="3000" spans="1:11" x14ac:dyDescent="0.35">
      <c r="A3000" s="9" t="str">
        <f>HYPERLINK("http://www.ensembl.org/id/WBGene00016248", "WBGene00016248")</f>
        <v>WBGene00016248</v>
      </c>
      <c r="B3000" s="9" t="str">
        <f>HYPERLINK("http://www.ncbi.nlm.nih.gov/gene/183043", "183043")</f>
        <v>183043</v>
      </c>
      <c r="C3000" s="9"/>
      <c r="D3000" t="str">
        <f>"C30B5.7"</f>
        <v>C30B5.7</v>
      </c>
      <c r="F3000" t="s">
        <v>11</v>
      </c>
      <c r="G3000" t="s">
        <v>25</v>
      </c>
      <c r="H3000" s="12">
        <v>2.4258799100547699</v>
      </c>
      <c r="I3000" s="11">
        <v>2.79227910513282</v>
      </c>
      <c r="J3000" s="10">
        <v>5.2338189394350596E-3</v>
      </c>
      <c r="K3000" s="29">
        <v>0.125189048048226</v>
      </c>
    </row>
    <row r="3001" spans="1:11" x14ac:dyDescent="0.35">
      <c r="A3001" s="9" t="str">
        <f>HYPERLINK("http://www.ensembl.org/id/WBGene00001424", "WBGene00001424")</f>
        <v>WBGene00001424</v>
      </c>
      <c r="B3001" s="9" t="str">
        <f>HYPERLINK("http://www.ncbi.nlm.nih.gov/gene/185630", "185630")</f>
        <v>185630</v>
      </c>
      <c r="C3001" s="9"/>
      <c r="D3001" t="str">
        <f>"fis-1"</f>
        <v>fis-1</v>
      </c>
      <c r="E3001" t="s">
        <v>4392</v>
      </c>
      <c r="F3001" t="s">
        <v>11</v>
      </c>
      <c r="G3001" t="s">
        <v>4393</v>
      </c>
      <c r="H3001" s="12">
        <v>2.4252960847972802</v>
      </c>
      <c r="I3001" s="11">
        <v>0.41367737763458601</v>
      </c>
      <c r="J3001" s="10">
        <v>0.67911039684285601</v>
      </c>
      <c r="K3001" s="29">
        <v>0.98289565623980701</v>
      </c>
    </row>
    <row r="3002" spans="1:11" x14ac:dyDescent="0.35">
      <c r="A3002" s="9" t="str">
        <f>HYPERLINK("http://www.ensembl.org/id/WBGene00004909", "WBGene00004909")</f>
        <v>WBGene00004909</v>
      </c>
      <c r="B3002" s="9" t="str">
        <f>HYPERLINK("http://www.ncbi.nlm.nih.gov/gene/191769", "191769")</f>
        <v>191769</v>
      </c>
      <c r="C3002" s="9"/>
      <c r="D3002" t="str">
        <f>"snf-10"</f>
        <v>snf-10</v>
      </c>
      <c r="E3002" t="s">
        <v>537</v>
      </c>
      <c r="F3002" t="s">
        <v>11</v>
      </c>
      <c r="G3002" t="s">
        <v>4391</v>
      </c>
      <c r="H3002" s="12">
        <v>2.4252960847972802</v>
      </c>
      <c r="I3002" s="11">
        <v>0.41367737763458601</v>
      </c>
      <c r="J3002" s="10">
        <v>0.67911039684285601</v>
      </c>
      <c r="K3002" s="29">
        <v>0.98289565623980701</v>
      </c>
    </row>
    <row r="3003" spans="1:11" x14ac:dyDescent="0.35">
      <c r="A3003" s="9" t="str">
        <f>HYPERLINK("http://www.ensembl.org/id/WBGene00020526", "WBGene00020526")</f>
        <v>WBGene00020526</v>
      </c>
      <c r="B3003" s="9" t="str">
        <f>HYPERLINK("http://www.ncbi.nlm.nih.gov/gene/188524", "188524")</f>
        <v>188524</v>
      </c>
      <c r="C3003" s="9"/>
      <c r="D3003" t="str">
        <f>"T15B7.14"</f>
        <v>T15B7.14</v>
      </c>
      <c r="F3003" t="s">
        <v>11</v>
      </c>
      <c r="G3003" t="s">
        <v>25</v>
      </c>
      <c r="H3003" s="12">
        <v>2.4250507197332198</v>
      </c>
      <c r="I3003" s="11">
        <v>1.41228380003246</v>
      </c>
      <c r="J3003" s="10">
        <v>0.157866414448985</v>
      </c>
      <c r="K3003" s="29">
        <v>0.86911159691642803</v>
      </c>
    </row>
    <row r="3004" spans="1:11" x14ac:dyDescent="0.35">
      <c r="A3004" s="9" t="str">
        <f>HYPERLINK("http://www.ensembl.org/id/WBGene00012183", "WBGene00012183")</f>
        <v>WBGene00012183</v>
      </c>
      <c r="B3004" s="9" t="str">
        <f>HYPERLINK("http://www.ncbi.nlm.nih.gov/gene/3565428", "3565428")</f>
        <v>3565428</v>
      </c>
      <c r="C3004" s="9"/>
      <c r="D3004" t="str">
        <f>"W01D2.6"</f>
        <v>W01D2.6</v>
      </c>
      <c r="F3004" t="s">
        <v>11</v>
      </c>
      <c r="G3004" t="s">
        <v>25</v>
      </c>
      <c r="H3004" s="12">
        <v>2.4250234220978002</v>
      </c>
      <c r="I3004" s="11">
        <v>0.90794852658368497</v>
      </c>
      <c r="J3004" s="10">
        <v>0.36390541753525402</v>
      </c>
      <c r="K3004" s="29">
        <v>0.98289565623980701</v>
      </c>
    </row>
    <row r="3005" spans="1:11" x14ac:dyDescent="0.35">
      <c r="A3005" s="9" t="str">
        <f>HYPERLINK("http://www.ensembl.org/id/WBGene00008508", "WBGene00008508")</f>
        <v>WBGene00008508</v>
      </c>
      <c r="B3005" s="9" t="str">
        <f>HYPERLINK("http://www.ncbi.nlm.nih.gov/gene/177904", "177904")</f>
        <v>177904</v>
      </c>
      <c r="C3005" s="9"/>
      <c r="D3005" t="str">
        <f>"F01G10.5"</f>
        <v>F01G10.5</v>
      </c>
      <c r="F3005" t="s">
        <v>11</v>
      </c>
      <c r="H3005" s="12">
        <v>2.4243876877869202</v>
      </c>
      <c r="I3005" s="11">
        <v>0.85061689414941499</v>
      </c>
      <c r="J3005" s="10">
        <v>0.39498220167271397</v>
      </c>
      <c r="K3005" s="29">
        <v>0.98289565623980701</v>
      </c>
    </row>
    <row r="3006" spans="1:11" x14ac:dyDescent="0.35">
      <c r="A3006" s="9" t="str">
        <f>HYPERLINK("http://www.ensembl.org/id/WBGene00018162", "WBGene00018162")</f>
        <v>WBGene00018162</v>
      </c>
      <c r="B3006" s="9" t="str">
        <f>HYPERLINK("http://www.ncbi.nlm.nih.gov/gene/185443", "185443")</f>
        <v>185443</v>
      </c>
      <c r="C3006" s="9"/>
      <c r="D3006" t="str">
        <f>"nspb-3"</f>
        <v>nspb-3</v>
      </c>
      <c r="E3006" t="s">
        <v>1851</v>
      </c>
      <c r="F3006" t="s">
        <v>11</v>
      </c>
      <c r="H3006" s="12">
        <v>2.4239262637421901</v>
      </c>
      <c r="I3006" s="11">
        <v>0.506258789952308</v>
      </c>
      <c r="J3006" s="10">
        <v>0.61267498874071902</v>
      </c>
      <c r="K3006" s="29">
        <v>0.98289565623980701</v>
      </c>
    </row>
    <row r="3007" spans="1:11" x14ac:dyDescent="0.35">
      <c r="A3007" s="9" t="str">
        <f>HYPERLINK("http://www.ensembl.org/id/WBGene00195632", "WBGene00195632")</f>
        <v>WBGene00195632</v>
      </c>
      <c r="B3007" s="9"/>
      <c r="C3007" s="9"/>
      <c r="D3007" t="str">
        <f>"Y80E2A.1"</f>
        <v>Y80E2A.1</v>
      </c>
      <c r="F3007" t="s">
        <v>481</v>
      </c>
      <c r="H3007" s="12">
        <v>2.4239262637421901</v>
      </c>
      <c r="I3007" s="11">
        <v>0.506258789952308</v>
      </c>
      <c r="J3007" s="10">
        <v>0.61267498874071902</v>
      </c>
      <c r="K3007" s="29">
        <v>0.98289565623980701</v>
      </c>
    </row>
    <row r="3008" spans="1:11" x14ac:dyDescent="0.35">
      <c r="A3008" s="9" t="str">
        <f>HYPERLINK("http://www.ensembl.org/id/WBGene00008702", "WBGene00008702")</f>
        <v>WBGene00008702</v>
      </c>
      <c r="B3008" s="9" t="str">
        <f>HYPERLINK("http://www.ncbi.nlm.nih.gov/gene/184354", "184354")</f>
        <v>184354</v>
      </c>
      <c r="C3008" s="9"/>
      <c r="D3008" t="str">
        <f>"clec-252"</f>
        <v>clec-252</v>
      </c>
      <c r="E3008" t="s">
        <v>46</v>
      </c>
      <c r="F3008" t="s">
        <v>11</v>
      </c>
      <c r="H3008" s="12">
        <v>2.4230542257316801</v>
      </c>
      <c r="I3008" s="11">
        <v>0.441778245643631</v>
      </c>
      <c r="J3008" s="10">
        <v>0.65864968217018705</v>
      </c>
      <c r="K3008" s="29">
        <v>0.98289565623980701</v>
      </c>
    </row>
    <row r="3009" spans="1:11" x14ac:dyDescent="0.35">
      <c r="A3009" s="9" t="str">
        <f>HYPERLINK("http://www.ensembl.org/id/WBGene00021593", "WBGene00021593")</f>
        <v>WBGene00021593</v>
      </c>
      <c r="B3009" s="9" t="str">
        <f>HYPERLINK("http://www.ncbi.nlm.nih.gov/gene/175323", "175323")</f>
        <v>175323</v>
      </c>
      <c r="C3009" s="9" t="str">
        <f>HYPERLINK("http://www.ncbi.nlm.nih.gov/gene/389207", "389207")</f>
        <v>389207</v>
      </c>
      <c r="D3009" t="str">
        <f>"Y46E12A.3"</f>
        <v>Y46E12A.3</v>
      </c>
      <c r="F3009" t="s">
        <v>11</v>
      </c>
      <c r="G3009" t="s">
        <v>4394</v>
      </c>
      <c r="H3009" s="12">
        <v>2.4230542257316801</v>
      </c>
      <c r="I3009" s="11">
        <v>0.441778245643631</v>
      </c>
      <c r="J3009" s="10">
        <v>0.65864968217018705</v>
      </c>
      <c r="K3009" s="29">
        <v>0.98289565623980701</v>
      </c>
    </row>
    <row r="3010" spans="1:11" x14ac:dyDescent="0.35">
      <c r="A3010" s="9" t="str">
        <f>HYPERLINK("http://www.ensembl.org/id/WBGene00001690", "WBGene00001690")</f>
        <v>WBGene00001690</v>
      </c>
      <c r="B3010" s="9" t="str">
        <f>HYPERLINK("http://www.ncbi.nlm.nih.gov/gene/181300", "181300")</f>
        <v>181300</v>
      </c>
      <c r="C3010" s="9"/>
      <c r="D3010" t="str">
        <f>"grd-1"</f>
        <v>grd-1</v>
      </c>
      <c r="E3010" t="s">
        <v>749</v>
      </c>
      <c r="F3010" t="s">
        <v>11</v>
      </c>
      <c r="G3010" t="s">
        <v>2089</v>
      </c>
      <c r="H3010" s="12">
        <v>2.4227181147827102</v>
      </c>
      <c r="I3010" s="11">
        <v>1.8198036164278499</v>
      </c>
      <c r="J3010" s="10">
        <v>6.8788916812967602E-2</v>
      </c>
      <c r="K3010" s="29">
        <v>0.62222457016468202</v>
      </c>
    </row>
    <row r="3011" spans="1:11" x14ac:dyDescent="0.35">
      <c r="A3011" s="9" t="str">
        <f>HYPERLINK("http://www.ensembl.org/id/WBGene00011749", "WBGene00011749")</f>
        <v>WBGene00011749</v>
      </c>
      <c r="B3011" s="9" t="str">
        <f>HYPERLINK("http://www.ncbi.nlm.nih.gov/gene/177811", "177811")</f>
        <v>177811</v>
      </c>
      <c r="C3011" s="9"/>
      <c r="D3011" t="str">
        <f>"ssp-36"</f>
        <v>ssp-36</v>
      </c>
      <c r="E3011" t="s">
        <v>3514</v>
      </c>
      <c r="F3011" t="s">
        <v>11</v>
      </c>
      <c r="H3011" s="12">
        <v>2.4219806517804101</v>
      </c>
      <c r="I3011" s="11">
        <v>0.41431266722527799</v>
      </c>
      <c r="J3011" s="10">
        <v>0.67864513812312</v>
      </c>
      <c r="K3011" s="29">
        <v>0.98289565623980701</v>
      </c>
    </row>
    <row r="3012" spans="1:11" x14ac:dyDescent="0.35">
      <c r="A3012" s="9" t="str">
        <f>HYPERLINK("http://www.ensembl.org/id/WBGene00086553", "WBGene00086553")</f>
        <v>WBGene00086553</v>
      </c>
      <c r="B3012" s="9" t="str">
        <f>HYPERLINK("http://www.ncbi.nlm.nih.gov/gene/7040195", "7040195")</f>
        <v>7040195</v>
      </c>
      <c r="C3012" s="9"/>
      <c r="D3012" t="str">
        <f>"ZC334.13"</f>
        <v>ZC334.13</v>
      </c>
      <c r="F3012" t="s">
        <v>11</v>
      </c>
      <c r="H3012" s="12">
        <v>2.421041636555</v>
      </c>
      <c r="I3012" s="11">
        <v>0.85178888497180905</v>
      </c>
      <c r="J3012" s="10">
        <v>0.39433127656649702</v>
      </c>
      <c r="K3012" s="29">
        <v>0.98289565623980701</v>
      </c>
    </row>
    <row r="3013" spans="1:11" x14ac:dyDescent="0.35">
      <c r="A3013" s="9" t="str">
        <f>HYPERLINK("http://www.ensembl.org/id/WBGene00020659", "WBGene00020659")</f>
        <v>WBGene00020659</v>
      </c>
      <c r="B3013" s="9" t="str">
        <f>HYPERLINK("http://www.ncbi.nlm.nih.gov/gene/266839", "266839")</f>
        <v>266839</v>
      </c>
      <c r="C3013" s="9" t="str">
        <f>HYPERLINK("http://www.ncbi.nlm.nih.gov/gene/2241", "2241")</f>
        <v>2241</v>
      </c>
      <c r="D3013" t="str">
        <f>"T21G5.1"</f>
        <v>T21G5.1</v>
      </c>
      <c r="E3013" t="s">
        <v>2588</v>
      </c>
      <c r="F3013" t="s">
        <v>11</v>
      </c>
      <c r="G3013" t="s">
        <v>2589</v>
      </c>
      <c r="H3013" s="12">
        <v>2.4202251910242398</v>
      </c>
      <c r="I3013" s="11">
        <v>0.65687380408155505</v>
      </c>
      <c r="J3013" s="10">
        <v>0.51126206337214997</v>
      </c>
      <c r="K3013" s="29">
        <v>0.98289565623980701</v>
      </c>
    </row>
    <row r="3014" spans="1:11" x14ac:dyDescent="0.35">
      <c r="A3014" s="9" t="str">
        <f>HYPERLINK("http://www.ensembl.org/id/WBGene00000759", "WBGene00000759")</f>
        <v>WBGene00000759</v>
      </c>
      <c r="B3014" s="9" t="str">
        <f>HYPERLINK("http://www.ncbi.nlm.nih.gov/gene/184015", "184015")</f>
        <v>184015</v>
      </c>
      <c r="C3014" s="9"/>
      <c r="D3014" t="str">
        <f>"col-186"</f>
        <v>col-186</v>
      </c>
      <c r="E3014" t="s">
        <v>40</v>
      </c>
      <c r="F3014" t="s">
        <v>11</v>
      </c>
      <c r="G3014" t="s">
        <v>152</v>
      </c>
      <c r="H3014" s="12">
        <v>2.4188861264716301</v>
      </c>
      <c r="I3014" s="11">
        <v>2.2919560039383899</v>
      </c>
      <c r="J3014" s="10">
        <v>2.19081820685453E-2</v>
      </c>
      <c r="K3014" s="29">
        <v>0.319690773420506</v>
      </c>
    </row>
    <row r="3015" spans="1:11" x14ac:dyDescent="0.35">
      <c r="A3015" s="9" t="str">
        <f>HYPERLINK("http://www.ensembl.org/id/WBGene00011693", "WBGene00011693")</f>
        <v>WBGene00011693</v>
      </c>
      <c r="B3015" s="9" t="str">
        <f>HYPERLINK("http://www.ncbi.nlm.nih.gov/gene/188389", "188389")</f>
        <v>188389</v>
      </c>
      <c r="C3015" s="9"/>
      <c r="D3015" t="str">
        <f>"T10G3.2"</f>
        <v>T10G3.2</v>
      </c>
      <c r="F3015" t="s">
        <v>11</v>
      </c>
      <c r="G3015" t="s">
        <v>2639</v>
      </c>
      <c r="H3015" s="12">
        <v>2.4187307679829901</v>
      </c>
      <c r="I3015" s="11">
        <v>0.76816023425331104</v>
      </c>
      <c r="J3015" s="10">
        <v>0.442391995175481</v>
      </c>
      <c r="K3015" s="29">
        <v>0.98289565623980701</v>
      </c>
    </row>
    <row r="3016" spans="1:11" x14ac:dyDescent="0.35">
      <c r="A3016" s="9" t="str">
        <f>HYPERLINK("http://www.ensembl.org/id/WBGene00006588", "WBGene00006588")</f>
        <v>WBGene00006588</v>
      </c>
      <c r="B3016" s="9" t="str">
        <f>HYPERLINK("http://www.ncbi.nlm.nih.gov/gene/181052", "181052")</f>
        <v>181052</v>
      </c>
      <c r="C3016" s="9"/>
      <c r="D3016" t="str">
        <f>"tnt-3"</f>
        <v>tnt-3</v>
      </c>
      <c r="E3016" t="s">
        <v>240</v>
      </c>
      <c r="F3016" t="s">
        <v>11</v>
      </c>
      <c r="G3016" t="s">
        <v>241</v>
      </c>
      <c r="H3016" s="12">
        <v>2.4167330765780499</v>
      </c>
      <c r="I3016" s="11">
        <v>4.3445579330208499</v>
      </c>
      <c r="J3016" s="10">
        <v>1.39556411426478E-5</v>
      </c>
      <c r="K3016" s="29">
        <v>1.36058668456549E-3</v>
      </c>
    </row>
    <row r="3017" spans="1:11" x14ac:dyDescent="0.35">
      <c r="A3017" s="9" t="str">
        <f>HYPERLINK("http://www.ensembl.org/id/WBGene00010103", "WBGene00010103")</f>
        <v>WBGene00010103</v>
      </c>
      <c r="B3017" s="9" t="str">
        <f>HYPERLINK("http://www.ncbi.nlm.nih.gov/gene/186294", "186294")</f>
        <v>186294</v>
      </c>
      <c r="C3017" s="9"/>
      <c r="D3017" t="str">
        <f>"F55C9.6"</f>
        <v>F55C9.6</v>
      </c>
      <c r="F3017" t="s">
        <v>11</v>
      </c>
      <c r="H3017" s="12">
        <v>2.4156404590047198</v>
      </c>
      <c r="I3017" s="11">
        <v>0.45177904991668599</v>
      </c>
      <c r="J3017" s="10">
        <v>0.65142816367359402</v>
      </c>
      <c r="K3017" s="29">
        <v>0.98289565623980701</v>
      </c>
    </row>
    <row r="3018" spans="1:11" x14ac:dyDescent="0.35">
      <c r="A3018" s="9" t="str">
        <f>HYPERLINK("http://www.ensembl.org/id/WBGene00077669", "WBGene00077669")</f>
        <v>WBGene00077669</v>
      </c>
      <c r="B3018" s="9" t="str">
        <f>HYPERLINK("http://www.ncbi.nlm.nih.gov/gene/6418796", "6418796")</f>
        <v>6418796</v>
      </c>
      <c r="C3018" s="9"/>
      <c r="D3018" t="str">
        <f>"Y38H6A.5"</f>
        <v>Y38H6A.5</v>
      </c>
      <c r="F3018" t="s">
        <v>11</v>
      </c>
      <c r="H3018" s="12">
        <v>2.41294406342683</v>
      </c>
      <c r="I3018" s="11">
        <v>1.7021379948492501</v>
      </c>
      <c r="J3018" s="10">
        <v>8.8729502882669703E-2</v>
      </c>
      <c r="K3018" s="29">
        <v>0.69286376938390204</v>
      </c>
    </row>
    <row r="3019" spans="1:11" x14ac:dyDescent="0.35">
      <c r="A3019" s="9" t="str">
        <f>HYPERLINK("http://www.ensembl.org/id/WBGene00008027", "WBGene00008027")</f>
        <v>WBGene00008027</v>
      </c>
      <c r="B3019" s="9" t="str">
        <f>HYPERLINK("http://www.ncbi.nlm.nih.gov/gene/178253", "178253")</f>
        <v>178253</v>
      </c>
      <c r="C3019" s="9"/>
      <c r="D3019" t="str">
        <f>"scl-5"</f>
        <v>scl-5</v>
      </c>
      <c r="E3019" t="s">
        <v>162</v>
      </c>
      <c r="F3019" t="s">
        <v>11</v>
      </c>
      <c r="G3019" t="s">
        <v>1172</v>
      </c>
      <c r="H3019" s="12">
        <v>2.4124392139309698</v>
      </c>
      <c r="I3019" s="11">
        <v>2.4193010157835402</v>
      </c>
      <c r="J3019" s="10">
        <v>1.5550365991103701E-2</v>
      </c>
      <c r="K3019" s="29">
        <v>0.25942726107613101</v>
      </c>
    </row>
    <row r="3020" spans="1:11" x14ac:dyDescent="0.35">
      <c r="A3020" s="9" t="str">
        <f>HYPERLINK("http://www.ensembl.org/id/WBGene00012022", "WBGene00012022")</f>
        <v>WBGene00012022</v>
      </c>
      <c r="B3020" s="9" t="str">
        <f>HYPERLINK("http://www.ncbi.nlm.nih.gov/gene/188899", "188899")</f>
        <v>188899</v>
      </c>
      <c r="C3020" s="9"/>
      <c r="D3020" t="str">
        <f>"clec-39"</f>
        <v>clec-39</v>
      </c>
      <c r="E3020" t="s">
        <v>46</v>
      </c>
      <c r="F3020" t="s">
        <v>11</v>
      </c>
      <c r="G3020" t="s">
        <v>2771</v>
      </c>
      <c r="H3020" s="12">
        <v>2.4121899892336698</v>
      </c>
      <c r="I3020" s="11">
        <v>0.46879392251304303</v>
      </c>
      <c r="J3020" s="10">
        <v>0.63921694447254895</v>
      </c>
      <c r="K3020" s="29">
        <v>0.98289565623980701</v>
      </c>
    </row>
    <row r="3021" spans="1:11" x14ac:dyDescent="0.35">
      <c r="A3021" s="9" t="str">
        <f>HYPERLINK("http://www.ensembl.org/id/WBGene00010494", "WBGene00010494")</f>
        <v>WBGene00010494</v>
      </c>
      <c r="B3021" s="9" t="str">
        <f>HYPERLINK("http://www.ncbi.nlm.nih.gov/gene/186867", "186867")</f>
        <v>186867</v>
      </c>
      <c r="C3021" s="9"/>
      <c r="D3021" t="str">
        <f>"K02B9.3"</f>
        <v>K02B9.3</v>
      </c>
      <c r="F3021" t="s">
        <v>11</v>
      </c>
      <c r="H3021" s="12">
        <v>2.4099598308896599</v>
      </c>
      <c r="I3021" s="11">
        <v>0.44242647277252001</v>
      </c>
      <c r="J3021" s="10">
        <v>0.65818062599971305</v>
      </c>
      <c r="K3021" s="29">
        <v>0.98289565623980701</v>
      </c>
    </row>
    <row r="3022" spans="1:11" x14ac:dyDescent="0.35">
      <c r="A3022" s="9" t="str">
        <f>HYPERLINK("http://www.ensembl.org/id/WBGene00022225", "WBGene00022225")</f>
        <v>WBGene00022225</v>
      </c>
      <c r="B3022" s="9" t="str">
        <f>HYPERLINK("http://www.ncbi.nlm.nih.gov/gene/190642", "190642")</f>
        <v>190642</v>
      </c>
      <c r="C3022" s="9"/>
      <c r="D3022" t="str">
        <f>"Y73B3B.3"</f>
        <v>Y73B3B.3</v>
      </c>
      <c r="F3022" t="s">
        <v>11</v>
      </c>
      <c r="H3022" s="12">
        <v>2.4099598308896599</v>
      </c>
      <c r="I3022" s="11">
        <v>0.44242647277252001</v>
      </c>
      <c r="J3022" s="10">
        <v>0.65818062599971305</v>
      </c>
      <c r="K3022" s="29">
        <v>0.98289565623980701</v>
      </c>
    </row>
    <row r="3023" spans="1:11" x14ac:dyDescent="0.35">
      <c r="A3023" s="9" t="str">
        <f>HYPERLINK("http://www.ensembl.org/id/WBGene00199976", "WBGene00199976")</f>
        <v>WBGene00199976</v>
      </c>
      <c r="B3023" s="9"/>
      <c r="C3023" s="9"/>
      <c r="D3023" t="str">
        <f>"T04C12.24"</f>
        <v>T04C12.24</v>
      </c>
      <c r="F3023" t="s">
        <v>481</v>
      </c>
      <c r="H3023" s="12">
        <v>2.4097046576876502</v>
      </c>
      <c r="I3023" s="11">
        <v>1.45884522127762</v>
      </c>
      <c r="J3023" s="10">
        <v>0.14460771294333699</v>
      </c>
      <c r="K3023" s="29">
        <v>0.84103890742224097</v>
      </c>
    </row>
    <row r="3024" spans="1:11" x14ac:dyDescent="0.35">
      <c r="A3024" s="9" t="str">
        <f>HYPERLINK("http://www.ensembl.org/id/WBGene00020220", "WBGene00020220")</f>
        <v>WBGene00020220</v>
      </c>
      <c r="B3024" s="9" t="str">
        <f>HYPERLINK("http://www.ncbi.nlm.nih.gov/gene/188082", "188082")</f>
        <v>188082</v>
      </c>
      <c r="C3024" s="9"/>
      <c r="D3024" t="str">
        <f>"clec-140"</f>
        <v>clec-140</v>
      </c>
      <c r="E3024" t="s">
        <v>46</v>
      </c>
      <c r="F3024" t="s">
        <v>11</v>
      </c>
      <c r="G3024" t="s">
        <v>47</v>
      </c>
      <c r="H3024" s="12">
        <v>2.4096925097268902</v>
      </c>
      <c r="I3024" s="11">
        <v>0.89268043479829895</v>
      </c>
      <c r="J3024" s="10">
        <v>0.37202833084438902</v>
      </c>
      <c r="K3024" s="29">
        <v>0.98289565623980701</v>
      </c>
    </row>
    <row r="3025" spans="1:11" x14ac:dyDescent="0.35">
      <c r="A3025" s="9" t="str">
        <f>HYPERLINK("http://www.ensembl.org/id/WBGene00022016", "WBGene00022016")</f>
        <v>WBGene00022016</v>
      </c>
      <c r="B3025" s="9" t="str">
        <f>HYPERLINK("http://www.ncbi.nlm.nih.gov/gene/190444", "190444")</f>
        <v>190444</v>
      </c>
      <c r="C3025" s="9"/>
      <c r="D3025" t="str">
        <f>"Y61A9LA.4"</f>
        <v>Y61A9LA.4</v>
      </c>
      <c r="F3025" t="s">
        <v>11</v>
      </c>
      <c r="H3025" s="12">
        <v>2.4093595897525701</v>
      </c>
      <c r="I3025" s="11">
        <v>0.36431699316729799</v>
      </c>
      <c r="J3025" s="10">
        <v>0.71562131183273303</v>
      </c>
      <c r="K3025" s="29">
        <v>0.98289565623980701</v>
      </c>
    </row>
    <row r="3026" spans="1:11" x14ac:dyDescent="0.35">
      <c r="A3026" s="9" t="str">
        <f>HYPERLINK("http://www.ensembl.org/id/WBGene00012832", "WBGene00012832")</f>
        <v>WBGene00012832</v>
      </c>
      <c r="B3026" s="9" t="str">
        <f>HYPERLINK("http://www.ncbi.nlm.nih.gov/gene/189878", "189878")</f>
        <v>189878</v>
      </c>
      <c r="C3026" s="9"/>
      <c r="D3026" t="str">
        <f>"dmd-3"</f>
        <v>dmd-3</v>
      </c>
      <c r="E3026" t="s">
        <v>780</v>
      </c>
      <c r="F3026" t="s">
        <v>11</v>
      </c>
      <c r="G3026" t="s">
        <v>4395</v>
      </c>
      <c r="H3026" s="12">
        <v>2.4090404009889999</v>
      </c>
      <c r="I3026" s="11">
        <v>0.39278149808262902</v>
      </c>
      <c r="J3026" s="10">
        <v>0.69448087107453704</v>
      </c>
      <c r="K3026" s="29">
        <v>0.98289565623980701</v>
      </c>
    </row>
    <row r="3027" spans="1:11" x14ac:dyDescent="0.35">
      <c r="A3027" s="9" t="str">
        <f>HYPERLINK("http://www.ensembl.org/id/WBGene00219565", "WBGene00219565")</f>
        <v>WBGene00219565</v>
      </c>
      <c r="B3027" s="9"/>
      <c r="C3027" s="9"/>
      <c r="D3027" t="str">
        <f>"linc-120"</f>
        <v>linc-120</v>
      </c>
      <c r="F3027" t="s">
        <v>1510</v>
      </c>
      <c r="H3027" s="12">
        <v>2.4090404009889999</v>
      </c>
      <c r="I3027" s="11">
        <v>0.39278149808262902</v>
      </c>
      <c r="J3027" s="10">
        <v>0.69448087107453704</v>
      </c>
      <c r="K3027" s="29">
        <v>0.98289565623980701</v>
      </c>
    </row>
    <row r="3028" spans="1:11" x14ac:dyDescent="0.35">
      <c r="A3028" s="9" t="str">
        <f>HYPERLINK("http://www.ensembl.org/id/WBGene00011082", "WBGene00011082")</f>
        <v>WBGene00011082</v>
      </c>
      <c r="B3028" s="9" t="str">
        <f>HYPERLINK("http://www.ncbi.nlm.nih.gov/gene/3565952", "3565952")</f>
        <v>3565952</v>
      </c>
      <c r="C3028" s="9"/>
      <c r="D3028" t="str">
        <f>"R07B1.11"</f>
        <v>R07B1.11</v>
      </c>
      <c r="F3028" t="s">
        <v>11</v>
      </c>
      <c r="G3028" t="s">
        <v>25</v>
      </c>
      <c r="H3028" s="12">
        <v>2.4065806147899198</v>
      </c>
      <c r="I3028" s="11">
        <v>2.0600176480044499</v>
      </c>
      <c r="J3028" s="10">
        <v>3.9396853715200797E-2</v>
      </c>
      <c r="K3028" s="29">
        <v>0.45789924645041702</v>
      </c>
    </row>
    <row r="3029" spans="1:11" x14ac:dyDescent="0.35">
      <c r="A3029" s="9" t="str">
        <f>HYPERLINK("http://www.ensembl.org/id/WBGene00004907", "WBGene00004907")</f>
        <v>WBGene00004907</v>
      </c>
      <c r="B3029" s="9"/>
      <c r="C3029" s="9"/>
      <c r="D3029" t="str">
        <f>"snf-8"</f>
        <v>snf-8</v>
      </c>
      <c r="F3029" t="s">
        <v>80</v>
      </c>
      <c r="H3029" s="12">
        <v>2.4050125688350201</v>
      </c>
      <c r="I3029" s="11">
        <v>0.888485911955466</v>
      </c>
      <c r="J3029" s="10">
        <v>0.37427943063033098</v>
      </c>
      <c r="K3029" s="29">
        <v>0.98289565623980701</v>
      </c>
    </row>
    <row r="3030" spans="1:11" x14ac:dyDescent="0.35">
      <c r="A3030" s="9" t="str">
        <f>HYPERLINK("http://www.ensembl.org/id/WBGene00021532", "WBGene00021532")</f>
        <v>WBGene00021532</v>
      </c>
      <c r="B3030" s="9" t="str">
        <f>HYPERLINK("http://www.ncbi.nlm.nih.gov/gene/175866", "175866")</f>
        <v>175866</v>
      </c>
      <c r="C3030" s="9"/>
      <c r="D3030" t="str">
        <f>"Y42G9A.2"</f>
        <v>Y42G9A.2</v>
      </c>
      <c r="F3030" t="s">
        <v>11</v>
      </c>
      <c r="H3030" s="12">
        <v>2.4038523934953702</v>
      </c>
      <c r="I3030" s="11">
        <v>3.6375222169351402</v>
      </c>
      <c r="J3030" s="10">
        <v>2.7527345437732502E-4</v>
      </c>
      <c r="K3030" s="29">
        <v>1.4488538580506799E-2</v>
      </c>
    </row>
    <row r="3031" spans="1:11" x14ac:dyDescent="0.35">
      <c r="A3031" s="9" t="str">
        <f>HYPERLINK("http://www.ensembl.org/id/WBGene00001712", "WBGene00001712")</f>
        <v>WBGene00001712</v>
      </c>
      <c r="B3031" s="9" t="str">
        <f>HYPERLINK("http://www.ncbi.nlm.nih.gov/gene/186928", "186928")</f>
        <v>186928</v>
      </c>
      <c r="C3031" s="9"/>
      <c r="D3031" t="str">
        <f>"grl-3"</f>
        <v>grl-3</v>
      </c>
      <c r="E3031" t="s">
        <v>353</v>
      </c>
      <c r="F3031" t="s">
        <v>11</v>
      </c>
      <c r="H3031" s="12">
        <v>2.4030666955446098</v>
      </c>
      <c r="I3031" s="11">
        <v>0.56969169609932402</v>
      </c>
      <c r="J3031" s="10">
        <v>0.56888682316105799</v>
      </c>
      <c r="K3031" s="29">
        <v>0.98289565623980701</v>
      </c>
    </row>
    <row r="3032" spans="1:11" x14ac:dyDescent="0.35">
      <c r="A3032" s="9" t="str">
        <f>HYPERLINK("http://www.ensembl.org/id/WBGene00021382", "WBGene00021382")</f>
        <v>WBGene00021382</v>
      </c>
      <c r="B3032" s="9" t="str">
        <f>HYPERLINK("http://www.ncbi.nlm.nih.gov/gene/260017", "260017")</f>
        <v>260017</v>
      </c>
      <c r="C3032" s="9"/>
      <c r="D3032" t="str">
        <f>"Y37F4.1"</f>
        <v>Y37F4.1</v>
      </c>
      <c r="F3032" t="s">
        <v>11</v>
      </c>
      <c r="H3032" s="12">
        <v>2.4006931347884199</v>
      </c>
      <c r="I3032" s="11">
        <v>2.0208927186501602</v>
      </c>
      <c r="J3032" s="10">
        <v>4.3290871824725803E-2</v>
      </c>
      <c r="K3032" s="29">
        <v>0.48330968697120902</v>
      </c>
    </row>
    <row r="3033" spans="1:11" x14ac:dyDescent="0.35">
      <c r="A3033" s="9" t="str">
        <f>HYPERLINK("http://www.ensembl.org/id/WBGene00001456", "WBGene00001456")</f>
        <v>WBGene00001456</v>
      </c>
      <c r="B3033" s="9" t="str">
        <f>HYPERLINK("http://www.ncbi.nlm.nih.gov/gene/177547", "177547")</f>
        <v>177547</v>
      </c>
      <c r="C3033" s="9"/>
      <c r="D3033" t="str">
        <f>"flp-13"</f>
        <v>flp-13</v>
      </c>
      <c r="E3033" t="s">
        <v>344</v>
      </c>
      <c r="F3033" t="s">
        <v>11</v>
      </c>
      <c r="G3033" t="s">
        <v>77</v>
      </c>
      <c r="H3033" s="12">
        <v>2.4001151435769201</v>
      </c>
      <c r="I3033" s="11">
        <v>3.8684073288384102</v>
      </c>
      <c r="J3033" s="10">
        <v>1.09548555321445E-4</v>
      </c>
      <c r="K3033" s="29">
        <v>7.0902770847543796E-3</v>
      </c>
    </row>
    <row r="3034" spans="1:11" x14ac:dyDescent="0.35">
      <c r="A3034" s="9" t="str">
        <f>HYPERLINK("http://www.ensembl.org/id/WBGene00016100", "WBGene00016100")</f>
        <v>WBGene00016100</v>
      </c>
      <c r="B3034" s="9" t="str">
        <f>HYPERLINK("http://www.ncbi.nlm.nih.gov/gene/182895", "182895")</f>
        <v>182895</v>
      </c>
      <c r="C3034" s="9"/>
      <c r="D3034" t="str">
        <f>"C25E10.11"</f>
        <v>C25E10.11</v>
      </c>
      <c r="F3034" t="s">
        <v>11</v>
      </c>
      <c r="G3034" t="s">
        <v>25</v>
      </c>
      <c r="H3034" s="12">
        <v>2.3995161630667998</v>
      </c>
      <c r="I3034" s="11">
        <v>0.97063211343150901</v>
      </c>
      <c r="J3034" s="10">
        <v>0.33173150843076199</v>
      </c>
      <c r="K3034" s="29">
        <v>0.98289565623980701</v>
      </c>
    </row>
    <row r="3035" spans="1:11" x14ac:dyDescent="0.35">
      <c r="A3035" s="9" t="str">
        <f>HYPERLINK("http://www.ensembl.org/id/WBGene00007183", "WBGene00007183")</f>
        <v>WBGene00007183</v>
      </c>
      <c r="B3035" s="9" t="str">
        <f>HYPERLINK("http://www.ncbi.nlm.nih.gov/gene/3565552", "3565552")</f>
        <v>3565552</v>
      </c>
      <c r="C3035" s="9"/>
      <c r="D3035" t="str">
        <f>"B0462.4"</f>
        <v>B0462.4</v>
      </c>
      <c r="F3035" t="s">
        <v>11</v>
      </c>
      <c r="H3035" s="12">
        <v>2.3976391054898101</v>
      </c>
      <c r="I3035" s="11">
        <v>0.97685440622417297</v>
      </c>
      <c r="J3035" s="10">
        <v>0.32864123662295203</v>
      </c>
      <c r="K3035" s="29">
        <v>0.98289565623980701</v>
      </c>
    </row>
    <row r="3036" spans="1:11" x14ac:dyDescent="0.35">
      <c r="A3036" s="9" t="str">
        <f>HYPERLINK("http://www.ensembl.org/id/WBGene00015876", "WBGene00015876")</f>
        <v>WBGene00015876</v>
      </c>
      <c r="B3036" s="9"/>
      <c r="C3036" s="9"/>
      <c r="D3036" t="str">
        <f>"C17B7.2"</f>
        <v>C17B7.2</v>
      </c>
      <c r="F3036" t="s">
        <v>80</v>
      </c>
      <c r="H3036" s="12">
        <v>2.39756182443737</v>
      </c>
      <c r="I3036" s="11">
        <v>0.440322963183987</v>
      </c>
      <c r="J3036" s="10">
        <v>0.65970321147507804</v>
      </c>
      <c r="K3036" s="29">
        <v>0.98289565623980701</v>
      </c>
    </row>
    <row r="3037" spans="1:11" x14ac:dyDescent="0.35">
      <c r="A3037" s="9" t="str">
        <f>HYPERLINK("http://www.ensembl.org/id/WBGene00201183", "WBGene00201183")</f>
        <v>WBGene00201183</v>
      </c>
      <c r="B3037" s="9"/>
      <c r="C3037" s="9"/>
      <c r="D3037" t="str">
        <f>"F12F6.18"</f>
        <v>F12F6.18</v>
      </c>
      <c r="F3037" t="s">
        <v>481</v>
      </c>
      <c r="H3037" s="12">
        <v>2.39756182443737</v>
      </c>
      <c r="I3037" s="11">
        <v>0.440322963183987</v>
      </c>
      <c r="J3037" s="10">
        <v>0.65970321147507804</v>
      </c>
      <c r="K3037" s="29">
        <v>0.98289565623980701</v>
      </c>
    </row>
    <row r="3038" spans="1:11" x14ac:dyDescent="0.35">
      <c r="A3038" s="9" t="str">
        <f>HYPERLINK("http://www.ensembl.org/id/WBGene00044538", "WBGene00044538")</f>
        <v>WBGene00044538</v>
      </c>
      <c r="B3038" s="9" t="str">
        <f>HYPERLINK("http://www.ncbi.nlm.nih.gov/gene/3896850", "3896850")</f>
        <v>3896850</v>
      </c>
      <c r="C3038" s="9"/>
      <c r="D3038" t="str">
        <f>"T09D3.8"</f>
        <v>T09D3.8</v>
      </c>
      <c r="F3038" t="s">
        <v>11</v>
      </c>
      <c r="H3038" s="12">
        <v>2.39756182443737</v>
      </c>
      <c r="I3038" s="11">
        <v>0.440322963183987</v>
      </c>
      <c r="J3038" s="10">
        <v>0.65970321147507804</v>
      </c>
      <c r="K3038" s="29">
        <v>0.98289565623980701</v>
      </c>
    </row>
    <row r="3039" spans="1:11" x14ac:dyDescent="0.35">
      <c r="A3039" s="9" t="str">
        <f>HYPERLINK("http://www.ensembl.org/id/WBGene00013927", "WBGene00013927")</f>
        <v>WBGene00013927</v>
      </c>
      <c r="B3039" s="9" t="str">
        <f>HYPERLINK("http://www.ncbi.nlm.nih.gov/gene/173010", "173010")</f>
        <v>173010</v>
      </c>
      <c r="C3039" s="9"/>
      <c r="D3039" t="str">
        <f>"clec-95"</f>
        <v>clec-95</v>
      </c>
      <c r="E3039" t="s">
        <v>46</v>
      </c>
      <c r="F3039" t="s">
        <v>11</v>
      </c>
      <c r="G3039" t="s">
        <v>47</v>
      </c>
      <c r="H3039" s="12">
        <v>2.3967428901046</v>
      </c>
      <c r="I3039" s="11">
        <v>0.596618043365022</v>
      </c>
      <c r="J3039" s="10">
        <v>0.55076242183794399</v>
      </c>
      <c r="K3039" s="29">
        <v>0.98289565623980701</v>
      </c>
    </row>
    <row r="3040" spans="1:11" x14ac:dyDescent="0.35">
      <c r="A3040" s="9" t="str">
        <f>HYPERLINK("http://www.ensembl.org/id/WBGene00012281", "WBGene00012281")</f>
        <v>WBGene00012281</v>
      </c>
      <c r="B3040" s="9" t="str">
        <f>HYPERLINK("http://www.ncbi.nlm.nih.gov/gene/189214", "189214")</f>
        <v>189214</v>
      </c>
      <c r="C3040" s="9"/>
      <c r="D3040" t="str">
        <f>"W05E10.2"</f>
        <v>W05E10.2</v>
      </c>
      <c r="F3040" t="s">
        <v>11</v>
      </c>
      <c r="G3040" t="s">
        <v>25</v>
      </c>
      <c r="H3040" s="12">
        <v>2.3962983960823698</v>
      </c>
      <c r="I3040" s="11">
        <v>1.6752320633206701</v>
      </c>
      <c r="J3040" s="10">
        <v>9.3888708917911304E-2</v>
      </c>
      <c r="K3040" s="29">
        <v>0.70895180008407099</v>
      </c>
    </row>
    <row r="3041" spans="1:11" x14ac:dyDescent="0.35">
      <c r="A3041" s="9" t="str">
        <f>HYPERLINK("http://www.ensembl.org/id/WBGene00010122", "WBGene00010122")</f>
        <v>WBGene00010122</v>
      </c>
      <c r="B3041" s="9" t="str">
        <f>HYPERLINK("http://www.ncbi.nlm.nih.gov/gene/186336", "186336")</f>
        <v>186336</v>
      </c>
      <c r="C3041" s="9"/>
      <c r="D3041" t="str">
        <f>"F55G11.1"</f>
        <v>F55G11.1</v>
      </c>
      <c r="F3041" t="s">
        <v>11</v>
      </c>
      <c r="G3041" t="s">
        <v>25</v>
      </c>
      <c r="H3041" s="12">
        <v>2.3950510071597702</v>
      </c>
      <c r="I3041" s="11">
        <v>1.7355163555262101</v>
      </c>
      <c r="J3041" s="10">
        <v>8.2649387088263804E-2</v>
      </c>
      <c r="K3041" s="29">
        <v>0.67656727793177796</v>
      </c>
    </row>
    <row r="3042" spans="1:11" x14ac:dyDescent="0.35">
      <c r="A3042" s="9" t="str">
        <f>HYPERLINK("http://www.ensembl.org/id/WBGene00001557", "WBGene00001557")</f>
        <v>WBGene00001557</v>
      </c>
      <c r="B3042" s="9" t="str">
        <f>HYPERLINK("http://www.ncbi.nlm.nih.gov/gene/191658", "191658")</f>
        <v>191658</v>
      </c>
      <c r="C3042" s="9" t="str">
        <f>HYPERLINK("http://www.ncbi.nlm.nih.gov/gene/2983", "2983")</f>
        <v>2983</v>
      </c>
      <c r="D3042" t="str">
        <f>"gcy-37"</f>
        <v>gcy-37</v>
      </c>
      <c r="E3042" t="s">
        <v>1215</v>
      </c>
      <c r="F3042" t="s">
        <v>11</v>
      </c>
      <c r="G3042" t="s">
        <v>819</v>
      </c>
      <c r="H3042" s="12">
        <v>2.3934408942268002</v>
      </c>
      <c r="I3042" s="11">
        <v>2.3888173975798299</v>
      </c>
      <c r="J3042" s="10">
        <v>1.6902701067012998E-2</v>
      </c>
      <c r="K3042" s="29">
        <v>0.27235272723458998</v>
      </c>
    </row>
    <row r="3043" spans="1:11" x14ac:dyDescent="0.35">
      <c r="A3043" s="9" t="str">
        <f>HYPERLINK("http://www.ensembl.org/id/WBGene00007478", "WBGene00007478")</f>
        <v>WBGene00007478</v>
      </c>
      <c r="B3043" s="9" t="str">
        <f>HYPERLINK("http://www.ncbi.nlm.nih.gov/gene/182455", "182455")</f>
        <v>182455</v>
      </c>
      <c r="C3043" s="9"/>
      <c r="D3043" t="str">
        <f>"C09F9.1"</f>
        <v>C09F9.1</v>
      </c>
      <c r="F3043" t="s">
        <v>11</v>
      </c>
      <c r="G3043" t="s">
        <v>25</v>
      </c>
      <c r="H3043" s="12">
        <v>2.3925831074862298</v>
      </c>
      <c r="I3043" s="11">
        <v>0.75168820439427397</v>
      </c>
      <c r="J3043" s="10">
        <v>0.452238585581131</v>
      </c>
      <c r="K3043" s="29">
        <v>0.98289565623980701</v>
      </c>
    </row>
    <row r="3044" spans="1:11" x14ac:dyDescent="0.35">
      <c r="A3044" s="9" t="str">
        <f>HYPERLINK("http://www.ensembl.org/id/WBGene00020678", "WBGene00020678")</f>
        <v>WBGene00020678</v>
      </c>
      <c r="B3044" s="9" t="str">
        <f>HYPERLINK("http://www.ncbi.nlm.nih.gov/gene/177234", "177234")</f>
        <v>177234</v>
      </c>
      <c r="C3044" s="9"/>
      <c r="D3044" t="str">
        <f>"T22B11.4"</f>
        <v>T22B11.4</v>
      </c>
      <c r="F3044" t="s">
        <v>11</v>
      </c>
      <c r="G3044" t="s">
        <v>235</v>
      </c>
      <c r="H3044" s="12">
        <v>2.39174574807135</v>
      </c>
      <c r="I3044" s="11">
        <v>4.3776537129799697</v>
      </c>
      <c r="J3044" s="10">
        <v>1.19963751648337E-5</v>
      </c>
      <c r="K3044" s="29">
        <v>1.1947769162010699E-3</v>
      </c>
    </row>
    <row r="3045" spans="1:11" x14ac:dyDescent="0.35">
      <c r="A3045" s="9" t="str">
        <f>HYPERLINK("http://www.ensembl.org/id/WBGene00013100", "WBGene00013100")</f>
        <v>WBGene00013100</v>
      </c>
      <c r="B3045" s="9" t="str">
        <f>HYPERLINK("http://www.ncbi.nlm.nih.gov/gene/178459", "178459")</f>
        <v>178459</v>
      </c>
      <c r="C3045" s="9"/>
      <c r="D3045" t="str">
        <f>"zip-7"</f>
        <v>zip-7</v>
      </c>
      <c r="E3045" t="s">
        <v>777</v>
      </c>
      <c r="F3045" t="s">
        <v>11</v>
      </c>
      <c r="G3045" t="s">
        <v>778</v>
      </c>
      <c r="H3045" s="12">
        <v>2.3915264283770199</v>
      </c>
      <c r="I3045" s="11">
        <v>2.8655090996463</v>
      </c>
      <c r="J3045" s="10">
        <v>4.1633930709724801E-3</v>
      </c>
      <c r="K3045" s="29">
        <v>0.10799389383794999</v>
      </c>
    </row>
    <row r="3046" spans="1:11" x14ac:dyDescent="0.35">
      <c r="A3046" s="9" t="str">
        <f>HYPERLINK("http://www.ensembl.org/id/WBGene00012912", "WBGene00012912")</f>
        <v>WBGene00012912</v>
      </c>
      <c r="B3046" s="9" t="str">
        <f>HYPERLINK("http://www.ncbi.nlm.nih.gov/gene/174917", "174917")</f>
        <v>174917</v>
      </c>
      <c r="C3046" s="9"/>
      <c r="D3046" t="str">
        <f>"Y46G5A.22"</f>
        <v>Y46G5A.22</v>
      </c>
      <c r="F3046" t="s">
        <v>11</v>
      </c>
      <c r="G3046" t="s">
        <v>25</v>
      </c>
      <c r="H3046" s="12">
        <v>2.3914587098748101</v>
      </c>
      <c r="I3046" s="11">
        <v>0.44375735747553202</v>
      </c>
      <c r="J3046" s="10">
        <v>0.65721802157284204</v>
      </c>
      <c r="K3046" s="29">
        <v>0.98289565623980701</v>
      </c>
    </row>
    <row r="3047" spans="1:11" x14ac:dyDescent="0.35">
      <c r="A3047" s="9" t="str">
        <f>HYPERLINK("http://www.ensembl.org/id/WBGene00000920", "WBGene00000920")</f>
        <v>WBGene00000920</v>
      </c>
      <c r="B3047" s="9" t="str">
        <f>HYPERLINK("http://www.ncbi.nlm.nih.gov/gene/191014", "191014")</f>
        <v>191014</v>
      </c>
      <c r="C3047" s="9"/>
      <c r="D3047" t="str">
        <f>"daf-28"</f>
        <v>daf-28</v>
      </c>
      <c r="F3047" t="s">
        <v>11</v>
      </c>
      <c r="G3047" t="s">
        <v>1232</v>
      </c>
      <c r="H3047" s="12">
        <v>2.3904654837792099</v>
      </c>
      <c r="I3047" s="11">
        <v>2.3764647099699898</v>
      </c>
      <c r="J3047" s="10">
        <v>1.7479433319846499E-2</v>
      </c>
      <c r="K3047" s="29">
        <v>0.27644064769909199</v>
      </c>
    </row>
    <row r="3048" spans="1:11" x14ac:dyDescent="0.35">
      <c r="A3048" s="9" t="str">
        <f>HYPERLINK("http://www.ensembl.org/id/WBGene00167985", "WBGene00167985")</f>
        <v>WBGene00167985</v>
      </c>
      <c r="B3048" s="9"/>
      <c r="C3048" s="9"/>
      <c r="D3048" t="str">
        <f>"21ur-10126"</f>
        <v>21ur-10126</v>
      </c>
      <c r="F3048" t="s">
        <v>3161</v>
      </c>
      <c r="H3048" s="12">
        <v>2.3893468495514898</v>
      </c>
      <c r="I3048" s="11">
        <v>0.25323547253672701</v>
      </c>
      <c r="J3048" s="10">
        <v>0.80008625651646104</v>
      </c>
      <c r="K3048" s="29">
        <v>0.98289565623980701</v>
      </c>
    </row>
    <row r="3049" spans="1:11" x14ac:dyDescent="0.35">
      <c r="A3049" s="9" t="str">
        <f>HYPERLINK("http://www.ensembl.org/id/WBGene00050400", "WBGene00050400")</f>
        <v>WBGene00050400</v>
      </c>
      <c r="B3049" s="9"/>
      <c r="C3049" s="9"/>
      <c r="D3049" t="str">
        <f>"21ur-104"</f>
        <v>21ur-104</v>
      </c>
      <c r="F3049" t="s">
        <v>3161</v>
      </c>
      <c r="H3049" s="12">
        <v>2.3893468495514898</v>
      </c>
      <c r="I3049" s="11">
        <v>0.25323547253672701</v>
      </c>
      <c r="J3049" s="10">
        <v>0.80008625651646104</v>
      </c>
      <c r="K3049" s="29">
        <v>0.98289565623980701</v>
      </c>
    </row>
    <row r="3050" spans="1:11" x14ac:dyDescent="0.35">
      <c r="A3050" s="9" t="str">
        <f>HYPERLINK("http://www.ensembl.org/id/WBGene00165653", "WBGene00165653")</f>
        <v>WBGene00165653</v>
      </c>
      <c r="B3050" s="9"/>
      <c r="C3050" s="9"/>
      <c r="D3050" t="str">
        <f>"21ur-10687"</f>
        <v>21ur-10687</v>
      </c>
      <c r="F3050" t="s">
        <v>3161</v>
      </c>
      <c r="H3050" s="12">
        <v>2.3893468495514898</v>
      </c>
      <c r="I3050" s="11">
        <v>0.25323547253672701</v>
      </c>
      <c r="J3050" s="10">
        <v>0.80008625651646104</v>
      </c>
      <c r="K3050" s="29">
        <v>0.98289565623980701</v>
      </c>
    </row>
    <row r="3051" spans="1:11" x14ac:dyDescent="0.35">
      <c r="A3051" s="9" t="str">
        <f>HYPERLINK("http://www.ensembl.org/id/WBGene00045678", "WBGene00045678")</f>
        <v>WBGene00045678</v>
      </c>
      <c r="B3051" s="9"/>
      <c r="C3051" s="9"/>
      <c r="D3051" t="str">
        <f>"21ur-1078"</f>
        <v>21ur-1078</v>
      </c>
      <c r="F3051" t="s">
        <v>3161</v>
      </c>
      <c r="H3051" s="12">
        <v>2.3893468495514898</v>
      </c>
      <c r="I3051" s="11">
        <v>0.25323547253672701</v>
      </c>
      <c r="J3051" s="10">
        <v>0.80008625651646104</v>
      </c>
      <c r="K3051" s="29">
        <v>0.98289565623980701</v>
      </c>
    </row>
    <row r="3052" spans="1:11" x14ac:dyDescent="0.35">
      <c r="A3052" s="9" t="str">
        <f>HYPERLINK("http://www.ensembl.org/id/WBGene00174620", "WBGene00174620")</f>
        <v>WBGene00174620</v>
      </c>
      <c r="B3052" s="9"/>
      <c r="C3052" s="9"/>
      <c r="D3052" t="str">
        <f>"21ur-10796"</f>
        <v>21ur-10796</v>
      </c>
      <c r="F3052" t="s">
        <v>3161</v>
      </c>
      <c r="H3052" s="12">
        <v>2.3893468495514898</v>
      </c>
      <c r="I3052" s="11">
        <v>0.25323547253672701</v>
      </c>
      <c r="J3052" s="10">
        <v>0.80008625651646104</v>
      </c>
      <c r="K3052" s="29">
        <v>0.98289565623980701</v>
      </c>
    </row>
    <row r="3053" spans="1:11" x14ac:dyDescent="0.35">
      <c r="A3053" s="9" t="str">
        <f>HYPERLINK("http://www.ensembl.org/id/WBGene00169538", "WBGene00169538")</f>
        <v>WBGene00169538</v>
      </c>
      <c r="B3053" s="9"/>
      <c r="C3053" s="9"/>
      <c r="D3053" t="str">
        <f>"21ur-10927"</f>
        <v>21ur-10927</v>
      </c>
      <c r="F3053" t="s">
        <v>3161</v>
      </c>
      <c r="H3053" s="12">
        <v>2.3893468495514898</v>
      </c>
      <c r="I3053" s="11">
        <v>0.25323547253672701</v>
      </c>
      <c r="J3053" s="10">
        <v>0.80008625651646104</v>
      </c>
      <c r="K3053" s="29">
        <v>0.98289565623980701</v>
      </c>
    </row>
    <row r="3054" spans="1:11" x14ac:dyDescent="0.35">
      <c r="A3054" s="9" t="str">
        <f>HYPERLINK("http://www.ensembl.org/id/WBGene00173713", "WBGene00173713")</f>
        <v>WBGene00173713</v>
      </c>
      <c r="B3054" s="9"/>
      <c r="C3054" s="9"/>
      <c r="D3054" t="str">
        <f>"21ur-11142"</f>
        <v>21ur-11142</v>
      </c>
      <c r="F3054" t="s">
        <v>3161</v>
      </c>
      <c r="H3054" s="12">
        <v>2.3893468495514898</v>
      </c>
      <c r="I3054" s="11">
        <v>0.25323547253672701</v>
      </c>
      <c r="J3054" s="10">
        <v>0.80008625651646104</v>
      </c>
      <c r="K3054" s="29">
        <v>0.98289565623980701</v>
      </c>
    </row>
    <row r="3055" spans="1:11" x14ac:dyDescent="0.35">
      <c r="A3055" s="9" t="str">
        <f>HYPERLINK("http://www.ensembl.org/id/WBGene00049498", "WBGene00049498")</f>
        <v>WBGene00049498</v>
      </c>
      <c r="B3055" s="9"/>
      <c r="C3055" s="9"/>
      <c r="D3055" t="str">
        <f>"21ur-1123"</f>
        <v>21ur-1123</v>
      </c>
      <c r="F3055" t="s">
        <v>3161</v>
      </c>
      <c r="H3055" s="12">
        <v>2.3893468495514898</v>
      </c>
      <c r="I3055" s="11">
        <v>0.25323547253672701</v>
      </c>
      <c r="J3055" s="10">
        <v>0.80008625651646104</v>
      </c>
      <c r="K3055" s="29">
        <v>0.98289565623980701</v>
      </c>
    </row>
    <row r="3056" spans="1:11" x14ac:dyDescent="0.35">
      <c r="A3056" s="9" t="str">
        <f>HYPERLINK("http://www.ensembl.org/id/WBGene00046883", "WBGene00046883")</f>
        <v>WBGene00046883</v>
      </c>
      <c r="B3056" s="9"/>
      <c r="C3056" s="9"/>
      <c r="D3056" t="str">
        <f>"21ur-1135"</f>
        <v>21ur-1135</v>
      </c>
      <c r="F3056" t="s">
        <v>3161</v>
      </c>
      <c r="H3056" s="12">
        <v>2.3893468495514898</v>
      </c>
      <c r="I3056" s="11">
        <v>0.25323547253672701</v>
      </c>
      <c r="J3056" s="10">
        <v>0.80008625651646104</v>
      </c>
      <c r="K3056" s="29">
        <v>0.98289565623980701</v>
      </c>
    </row>
    <row r="3057" spans="1:11" x14ac:dyDescent="0.35">
      <c r="A3057" s="9" t="str">
        <f>HYPERLINK("http://www.ensembl.org/id/WBGene00169244", "WBGene00169244")</f>
        <v>WBGene00169244</v>
      </c>
      <c r="B3057" s="9"/>
      <c r="C3057" s="9"/>
      <c r="D3057" t="str">
        <f>"21ur-11450"</f>
        <v>21ur-11450</v>
      </c>
      <c r="F3057" t="s">
        <v>3161</v>
      </c>
      <c r="H3057" s="12">
        <v>2.3893468495514898</v>
      </c>
      <c r="I3057" s="11">
        <v>0.25323547253672701</v>
      </c>
      <c r="J3057" s="10">
        <v>0.80008625651646104</v>
      </c>
      <c r="K3057" s="29">
        <v>0.98289565623980701</v>
      </c>
    </row>
    <row r="3058" spans="1:11" x14ac:dyDescent="0.35">
      <c r="A3058" s="9" t="str">
        <f>HYPERLINK("http://www.ensembl.org/id/WBGene00165893", "WBGene00165893")</f>
        <v>WBGene00165893</v>
      </c>
      <c r="B3058" s="9"/>
      <c r="C3058" s="9"/>
      <c r="D3058" t="str">
        <f>"21ur-11466"</f>
        <v>21ur-11466</v>
      </c>
      <c r="F3058" t="s">
        <v>3161</v>
      </c>
      <c r="H3058" s="12">
        <v>2.3893468495514898</v>
      </c>
      <c r="I3058" s="11">
        <v>0.25323547253672701</v>
      </c>
      <c r="J3058" s="10">
        <v>0.80008625651646104</v>
      </c>
      <c r="K3058" s="29">
        <v>0.98289565623980701</v>
      </c>
    </row>
    <row r="3059" spans="1:11" x14ac:dyDescent="0.35">
      <c r="A3059" s="9" t="str">
        <f>HYPERLINK("http://www.ensembl.org/id/WBGene00173716", "WBGene00173716")</f>
        <v>WBGene00173716</v>
      </c>
      <c r="B3059" s="9"/>
      <c r="C3059" s="9"/>
      <c r="D3059" t="str">
        <f>"21ur-11469"</f>
        <v>21ur-11469</v>
      </c>
      <c r="F3059" t="s">
        <v>3161</v>
      </c>
      <c r="H3059" s="12">
        <v>2.3893468495514898</v>
      </c>
      <c r="I3059" s="11">
        <v>0.25323547253672701</v>
      </c>
      <c r="J3059" s="10">
        <v>0.80008625651646104</v>
      </c>
      <c r="K3059" s="29">
        <v>0.98289565623980701</v>
      </c>
    </row>
    <row r="3060" spans="1:11" x14ac:dyDescent="0.35">
      <c r="A3060" s="9" t="str">
        <f>HYPERLINK("http://www.ensembl.org/id/WBGene00172983", "WBGene00172983")</f>
        <v>WBGene00172983</v>
      </c>
      <c r="B3060" s="9"/>
      <c r="C3060" s="9"/>
      <c r="D3060" t="str">
        <f>"21ur-11512"</f>
        <v>21ur-11512</v>
      </c>
      <c r="F3060" t="s">
        <v>3161</v>
      </c>
      <c r="H3060" s="12">
        <v>2.3893468495514898</v>
      </c>
      <c r="I3060" s="11">
        <v>0.25323547253672701</v>
      </c>
      <c r="J3060" s="10">
        <v>0.80008625651646104</v>
      </c>
      <c r="K3060" s="29">
        <v>0.98289565623980701</v>
      </c>
    </row>
    <row r="3061" spans="1:11" x14ac:dyDescent="0.35">
      <c r="A3061" s="9" t="str">
        <f>HYPERLINK("http://www.ensembl.org/id/WBGene00172417", "WBGene00172417")</f>
        <v>WBGene00172417</v>
      </c>
      <c r="B3061" s="9"/>
      <c r="C3061" s="9"/>
      <c r="D3061" t="str">
        <f>"21ur-11604"</f>
        <v>21ur-11604</v>
      </c>
      <c r="F3061" t="s">
        <v>3161</v>
      </c>
      <c r="H3061" s="12">
        <v>2.3893468495514898</v>
      </c>
      <c r="I3061" s="11">
        <v>0.25323547253672701</v>
      </c>
      <c r="J3061" s="10">
        <v>0.80008625651646104</v>
      </c>
      <c r="K3061" s="29">
        <v>0.98289565623980701</v>
      </c>
    </row>
    <row r="3062" spans="1:11" x14ac:dyDescent="0.35">
      <c r="A3062" s="9" t="str">
        <f>HYPERLINK("http://www.ensembl.org/id/WBGene00171141", "WBGene00171141")</f>
        <v>WBGene00171141</v>
      </c>
      <c r="B3062" s="9"/>
      <c r="C3062" s="9"/>
      <c r="D3062" t="str">
        <f>"21ur-11845"</f>
        <v>21ur-11845</v>
      </c>
      <c r="F3062" t="s">
        <v>3161</v>
      </c>
      <c r="H3062" s="12">
        <v>2.3893468495514898</v>
      </c>
      <c r="I3062" s="11">
        <v>0.25323547253672701</v>
      </c>
      <c r="J3062" s="10">
        <v>0.80008625651646104</v>
      </c>
      <c r="K3062" s="29">
        <v>0.98289565623980701</v>
      </c>
    </row>
    <row r="3063" spans="1:11" x14ac:dyDescent="0.35">
      <c r="A3063" s="9" t="str">
        <f>HYPERLINK("http://www.ensembl.org/id/WBGene00173053", "WBGene00173053")</f>
        <v>WBGene00173053</v>
      </c>
      <c r="B3063" s="9"/>
      <c r="C3063" s="9"/>
      <c r="D3063" t="str">
        <f>"21ur-12272"</f>
        <v>21ur-12272</v>
      </c>
      <c r="F3063" t="s">
        <v>3161</v>
      </c>
      <c r="H3063" s="12">
        <v>2.3893468495514898</v>
      </c>
      <c r="I3063" s="11">
        <v>0.25323547253672701</v>
      </c>
      <c r="J3063" s="10">
        <v>0.80008625651646104</v>
      </c>
      <c r="K3063" s="29">
        <v>0.98289565623980701</v>
      </c>
    </row>
    <row r="3064" spans="1:11" x14ac:dyDescent="0.35">
      <c r="A3064" s="9" t="str">
        <f>HYPERLINK("http://www.ensembl.org/id/WBGene00173044", "WBGene00173044")</f>
        <v>WBGene00173044</v>
      </c>
      <c r="B3064" s="9"/>
      <c r="C3064" s="9"/>
      <c r="D3064" t="str">
        <f>"21ur-12286"</f>
        <v>21ur-12286</v>
      </c>
      <c r="F3064" t="s">
        <v>3161</v>
      </c>
      <c r="H3064" s="12">
        <v>2.3893468495514898</v>
      </c>
      <c r="I3064" s="11">
        <v>0.25323547253672701</v>
      </c>
      <c r="J3064" s="10">
        <v>0.80008625651646104</v>
      </c>
      <c r="K3064" s="29">
        <v>0.98289565623980701</v>
      </c>
    </row>
    <row r="3065" spans="1:11" x14ac:dyDescent="0.35">
      <c r="A3065" s="9" t="str">
        <f>HYPERLINK("http://www.ensembl.org/id/WBGene00168130", "WBGene00168130")</f>
        <v>WBGene00168130</v>
      </c>
      <c r="B3065" s="9"/>
      <c r="C3065" s="9"/>
      <c r="D3065" t="str">
        <f>"21ur-12348"</f>
        <v>21ur-12348</v>
      </c>
      <c r="F3065" t="s">
        <v>3161</v>
      </c>
      <c r="H3065" s="12">
        <v>2.3893468495514898</v>
      </c>
      <c r="I3065" s="11">
        <v>0.25323547253672701</v>
      </c>
      <c r="J3065" s="10">
        <v>0.80008625651646104</v>
      </c>
      <c r="K3065" s="29">
        <v>0.98289565623980701</v>
      </c>
    </row>
    <row r="3066" spans="1:11" x14ac:dyDescent="0.35">
      <c r="A3066" s="9" t="str">
        <f>HYPERLINK("http://www.ensembl.org/id/WBGene00167473", "WBGene00167473")</f>
        <v>WBGene00167473</v>
      </c>
      <c r="B3066" s="9"/>
      <c r="C3066" s="9"/>
      <c r="D3066" t="str">
        <f>"21ur-12534"</f>
        <v>21ur-12534</v>
      </c>
      <c r="F3066" t="s">
        <v>3161</v>
      </c>
      <c r="H3066" s="12">
        <v>2.3893468495514898</v>
      </c>
      <c r="I3066" s="11">
        <v>0.25323547253672701</v>
      </c>
      <c r="J3066" s="10">
        <v>0.80008625651646104</v>
      </c>
      <c r="K3066" s="29">
        <v>0.98289565623980701</v>
      </c>
    </row>
    <row r="3067" spans="1:11" x14ac:dyDescent="0.35">
      <c r="A3067" s="9" t="str">
        <f>HYPERLINK("http://www.ensembl.org/id/WBGene00173734", "WBGene00173734")</f>
        <v>WBGene00173734</v>
      </c>
      <c r="B3067" s="9"/>
      <c r="C3067" s="9"/>
      <c r="D3067" t="str">
        <f>"21ur-12725"</f>
        <v>21ur-12725</v>
      </c>
      <c r="F3067" t="s">
        <v>3161</v>
      </c>
      <c r="H3067" s="12">
        <v>2.3893468495514898</v>
      </c>
      <c r="I3067" s="11">
        <v>0.25323547253672701</v>
      </c>
      <c r="J3067" s="10">
        <v>0.80008625651646104</v>
      </c>
      <c r="K3067" s="29">
        <v>0.98289565623980701</v>
      </c>
    </row>
    <row r="3068" spans="1:11" x14ac:dyDescent="0.35">
      <c r="A3068" s="9" t="str">
        <f>HYPERLINK("http://www.ensembl.org/id/WBGene00168700", "WBGene00168700")</f>
        <v>WBGene00168700</v>
      </c>
      <c r="B3068" s="9"/>
      <c r="C3068" s="9"/>
      <c r="D3068" t="str">
        <f>"21ur-12762"</f>
        <v>21ur-12762</v>
      </c>
      <c r="F3068" t="s">
        <v>3161</v>
      </c>
      <c r="H3068" s="12">
        <v>2.3893468495514898</v>
      </c>
      <c r="I3068" s="11">
        <v>0.25323547253672701</v>
      </c>
      <c r="J3068" s="10">
        <v>0.80008625651646104</v>
      </c>
      <c r="K3068" s="29">
        <v>0.98289565623980701</v>
      </c>
    </row>
    <row r="3069" spans="1:11" x14ac:dyDescent="0.35">
      <c r="A3069" s="9" t="str">
        <f>HYPERLINK("http://www.ensembl.org/id/WBGene00174201", "WBGene00174201")</f>
        <v>WBGene00174201</v>
      </c>
      <c r="B3069" s="9"/>
      <c r="C3069" s="9"/>
      <c r="D3069" t="str">
        <f>"21ur-12765"</f>
        <v>21ur-12765</v>
      </c>
      <c r="F3069" t="s">
        <v>3161</v>
      </c>
      <c r="H3069" s="12">
        <v>2.3893468495514898</v>
      </c>
      <c r="I3069" s="11">
        <v>0.25323547253672701</v>
      </c>
      <c r="J3069" s="10">
        <v>0.80008625651646104</v>
      </c>
      <c r="K3069" s="29">
        <v>0.98289565623980701</v>
      </c>
    </row>
    <row r="3070" spans="1:11" x14ac:dyDescent="0.35">
      <c r="A3070" s="9" t="str">
        <f>HYPERLINK("http://www.ensembl.org/id/WBGene00172217", "WBGene00172217")</f>
        <v>WBGene00172217</v>
      </c>
      <c r="B3070" s="9"/>
      <c r="C3070" s="9"/>
      <c r="D3070" t="str">
        <f>"21ur-12913"</f>
        <v>21ur-12913</v>
      </c>
      <c r="F3070" t="s">
        <v>3161</v>
      </c>
      <c r="H3070" s="12">
        <v>2.3893468495514898</v>
      </c>
      <c r="I3070" s="11">
        <v>0.25323547253672701</v>
      </c>
      <c r="J3070" s="10">
        <v>0.80008625651646104</v>
      </c>
      <c r="K3070" s="29">
        <v>0.98289565623980701</v>
      </c>
    </row>
    <row r="3071" spans="1:11" x14ac:dyDescent="0.35">
      <c r="A3071" s="9" t="str">
        <f>HYPERLINK("http://www.ensembl.org/id/WBGene00166028", "WBGene00166028")</f>
        <v>WBGene00166028</v>
      </c>
      <c r="B3071" s="9"/>
      <c r="C3071" s="9"/>
      <c r="D3071" t="str">
        <f>"21ur-12998"</f>
        <v>21ur-12998</v>
      </c>
      <c r="F3071" t="s">
        <v>3161</v>
      </c>
      <c r="H3071" s="12">
        <v>2.3893468495514898</v>
      </c>
      <c r="I3071" s="11">
        <v>0.25323547253672701</v>
      </c>
      <c r="J3071" s="10">
        <v>0.80008625651646104</v>
      </c>
      <c r="K3071" s="29">
        <v>0.98289565623980701</v>
      </c>
    </row>
    <row r="3072" spans="1:11" x14ac:dyDescent="0.35">
      <c r="A3072" s="9" t="str">
        <f>HYPERLINK("http://www.ensembl.org/id/WBGene00165177", "WBGene00165177")</f>
        <v>WBGene00165177</v>
      </c>
      <c r="B3072" s="9"/>
      <c r="C3072" s="9"/>
      <c r="D3072" t="str">
        <f>"21ur-13152"</f>
        <v>21ur-13152</v>
      </c>
      <c r="F3072" t="s">
        <v>3161</v>
      </c>
      <c r="H3072" s="12">
        <v>2.3893468495514898</v>
      </c>
      <c r="I3072" s="11">
        <v>0.25323547253672701</v>
      </c>
      <c r="J3072" s="10">
        <v>0.80008625651646104</v>
      </c>
      <c r="K3072" s="29">
        <v>0.98289565623980701</v>
      </c>
    </row>
    <row r="3073" spans="1:11" x14ac:dyDescent="0.35">
      <c r="A3073" s="9" t="str">
        <f>HYPERLINK("http://www.ensembl.org/id/WBGene00174744", "WBGene00174744")</f>
        <v>WBGene00174744</v>
      </c>
      <c r="B3073" s="9"/>
      <c r="C3073" s="9"/>
      <c r="D3073" t="str">
        <f>"21ur-13216"</f>
        <v>21ur-13216</v>
      </c>
      <c r="F3073" t="s">
        <v>3161</v>
      </c>
      <c r="H3073" s="12">
        <v>2.3893468495514898</v>
      </c>
      <c r="I3073" s="11">
        <v>0.25323547253672701</v>
      </c>
      <c r="J3073" s="10">
        <v>0.80008625651646104</v>
      </c>
      <c r="K3073" s="29">
        <v>0.98289565623980701</v>
      </c>
    </row>
    <row r="3074" spans="1:11" x14ac:dyDescent="0.35">
      <c r="A3074" s="9" t="str">
        <f>HYPERLINK("http://www.ensembl.org/id/WBGene00171586", "WBGene00171586")</f>
        <v>WBGene00171586</v>
      </c>
      <c r="B3074" s="9"/>
      <c r="C3074" s="9"/>
      <c r="D3074" t="str">
        <f>"21ur-13245"</f>
        <v>21ur-13245</v>
      </c>
      <c r="F3074" t="s">
        <v>3161</v>
      </c>
      <c r="H3074" s="12">
        <v>2.3893468495514898</v>
      </c>
      <c r="I3074" s="11">
        <v>0.25323547253672701</v>
      </c>
      <c r="J3074" s="10">
        <v>0.80008625651646104</v>
      </c>
      <c r="K3074" s="29">
        <v>0.98289565623980701</v>
      </c>
    </row>
    <row r="3075" spans="1:11" x14ac:dyDescent="0.35">
      <c r="A3075" s="9" t="str">
        <f>HYPERLINK("http://www.ensembl.org/id/WBGene00168455", "WBGene00168455")</f>
        <v>WBGene00168455</v>
      </c>
      <c r="B3075" s="9"/>
      <c r="C3075" s="9"/>
      <c r="D3075" t="str">
        <f>"21ur-13396"</f>
        <v>21ur-13396</v>
      </c>
      <c r="F3075" t="s">
        <v>3161</v>
      </c>
      <c r="H3075" s="12">
        <v>2.3893468495514898</v>
      </c>
      <c r="I3075" s="11">
        <v>0.25323547253672701</v>
      </c>
      <c r="J3075" s="10">
        <v>0.80008625651646104</v>
      </c>
      <c r="K3075" s="29">
        <v>0.98289565623980701</v>
      </c>
    </row>
    <row r="3076" spans="1:11" x14ac:dyDescent="0.35">
      <c r="A3076" s="9" t="str">
        <f>HYPERLINK("http://www.ensembl.org/id/WBGene00168949", "WBGene00168949")</f>
        <v>WBGene00168949</v>
      </c>
      <c r="B3076" s="9"/>
      <c r="C3076" s="9"/>
      <c r="D3076" t="str">
        <f>"21ur-13798"</f>
        <v>21ur-13798</v>
      </c>
      <c r="F3076" t="s">
        <v>3161</v>
      </c>
      <c r="H3076" s="12">
        <v>2.3893468495514898</v>
      </c>
      <c r="I3076" s="11">
        <v>0.25323547253672701</v>
      </c>
      <c r="J3076" s="10">
        <v>0.80008625651646104</v>
      </c>
      <c r="K3076" s="29">
        <v>0.98289565623980701</v>
      </c>
    </row>
    <row r="3077" spans="1:11" x14ac:dyDescent="0.35">
      <c r="A3077" s="9" t="str">
        <f>HYPERLINK("http://www.ensembl.org/id/WBGene00166760", "WBGene00166760")</f>
        <v>WBGene00166760</v>
      </c>
      <c r="B3077" s="9"/>
      <c r="C3077" s="9"/>
      <c r="D3077" t="str">
        <f>"21ur-13828"</f>
        <v>21ur-13828</v>
      </c>
      <c r="F3077" t="s">
        <v>3161</v>
      </c>
      <c r="H3077" s="12">
        <v>2.3893468495514898</v>
      </c>
      <c r="I3077" s="11">
        <v>0.25323547253672701</v>
      </c>
      <c r="J3077" s="10">
        <v>0.80008625651646104</v>
      </c>
      <c r="K3077" s="29">
        <v>0.98289565623980701</v>
      </c>
    </row>
    <row r="3078" spans="1:11" x14ac:dyDescent="0.35">
      <c r="A3078" s="9" t="str">
        <f>HYPERLINK("http://www.ensembl.org/id/WBGene00168970", "WBGene00168970")</f>
        <v>WBGene00168970</v>
      </c>
      <c r="B3078" s="9"/>
      <c r="C3078" s="9"/>
      <c r="D3078" t="str">
        <f>"21ur-13854"</f>
        <v>21ur-13854</v>
      </c>
      <c r="F3078" t="s">
        <v>3161</v>
      </c>
      <c r="H3078" s="12">
        <v>2.3893468495514898</v>
      </c>
      <c r="I3078" s="11">
        <v>0.25323547253672701</v>
      </c>
      <c r="J3078" s="10">
        <v>0.80008625651646104</v>
      </c>
      <c r="K3078" s="29">
        <v>0.98289565623980701</v>
      </c>
    </row>
    <row r="3079" spans="1:11" x14ac:dyDescent="0.35">
      <c r="A3079" s="9" t="str">
        <f>HYPERLINK("http://www.ensembl.org/id/WBGene00174547", "WBGene00174547")</f>
        <v>WBGene00174547</v>
      </c>
      <c r="B3079" s="9"/>
      <c r="C3079" s="9"/>
      <c r="D3079" t="str">
        <f>"21ur-13889"</f>
        <v>21ur-13889</v>
      </c>
      <c r="F3079" t="s">
        <v>3161</v>
      </c>
      <c r="H3079" s="12">
        <v>2.3893468495514898</v>
      </c>
      <c r="I3079" s="11">
        <v>0.25323547253672701</v>
      </c>
      <c r="J3079" s="10">
        <v>0.80008625651646104</v>
      </c>
      <c r="K3079" s="29">
        <v>0.98289565623980701</v>
      </c>
    </row>
    <row r="3080" spans="1:11" x14ac:dyDescent="0.35">
      <c r="A3080" s="9" t="str">
        <f>HYPERLINK("http://www.ensembl.org/id/WBGene00169595", "WBGene00169595")</f>
        <v>WBGene00169595</v>
      </c>
      <c r="B3080" s="9"/>
      <c r="C3080" s="9"/>
      <c r="D3080" t="str">
        <f>"21ur-14036"</f>
        <v>21ur-14036</v>
      </c>
      <c r="F3080" t="s">
        <v>3161</v>
      </c>
      <c r="H3080" s="12">
        <v>2.3893468495514898</v>
      </c>
      <c r="I3080" s="11">
        <v>0.25323547253672701</v>
      </c>
      <c r="J3080" s="10">
        <v>0.80008625651646104</v>
      </c>
      <c r="K3080" s="29">
        <v>0.98289565623980701</v>
      </c>
    </row>
    <row r="3081" spans="1:11" x14ac:dyDescent="0.35">
      <c r="A3081" s="9" t="str">
        <f>HYPERLINK("http://www.ensembl.org/id/WBGene00171708", "WBGene00171708")</f>
        <v>WBGene00171708</v>
      </c>
      <c r="B3081" s="9"/>
      <c r="C3081" s="9"/>
      <c r="D3081" t="str">
        <f>"21ur-14121"</f>
        <v>21ur-14121</v>
      </c>
      <c r="F3081" t="s">
        <v>3161</v>
      </c>
      <c r="H3081" s="12">
        <v>2.3893468495514898</v>
      </c>
      <c r="I3081" s="11">
        <v>0.25323547253672701</v>
      </c>
      <c r="J3081" s="10">
        <v>0.80008625651646104</v>
      </c>
      <c r="K3081" s="29">
        <v>0.98289565623980701</v>
      </c>
    </row>
    <row r="3082" spans="1:11" x14ac:dyDescent="0.35">
      <c r="A3082" s="9" t="str">
        <f>HYPERLINK("http://www.ensembl.org/id/WBGene00168777", "WBGene00168777")</f>
        <v>WBGene00168777</v>
      </c>
      <c r="B3082" s="9"/>
      <c r="C3082" s="9"/>
      <c r="D3082" t="str">
        <f>"21ur-14139"</f>
        <v>21ur-14139</v>
      </c>
      <c r="F3082" t="s">
        <v>3161</v>
      </c>
      <c r="H3082" s="12">
        <v>2.3893468495514898</v>
      </c>
      <c r="I3082" s="11">
        <v>0.25323547253672701</v>
      </c>
      <c r="J3082" s="10">
        <v>0.80008625651646104</v>
      </c>
      <c r="K3082" s="29">
        <v>0.98289565623980701</v>
      </c>
    </row>
    <row r="3083" spans="1:11" x14ac:dyDescent="0.35">
      <c r="A3083" s="9" t="str">
        <f>HYPERLINK("http://www.ensembl.org/id/WBGene00167602", "WBGene00167602")</f>
        <v>WBGene00167602</v>
      </c>
      <c r="B3083" s="9"/>
      <c r="C3083" s="9"/>
      <c r="D3083" t="str">
        <f>"21ur-14233"</f>
        <v>21ur-14233</v>
      </c>
      <c r="F3083" t="s">
        <v>3161</v>
      </c>
      <c r="H3083" s="12">
        <v>2.3893468495514898</v>
      </c>
      <c r="I3083" s="11">
        <v>0.25323547253672701</v>
      </c>
      <c r="J3083" s="10">
        <v>0.80008625651646104</v>
      </c>
      <c r="K3083" s="29">
        <v>0.98289565623980701</v>
      </c>
    </row>
    <row r="3084" spans="1:11" x14ac:dyDescent="0.35">
      <c r="A3084" s="9" t="str">
        <f>HYPERLINK("http://www.ensembl.org/id/WBGene00171144", "WBGene00171144")</f>
        <v>WBGene00171144</v>
      </c>
      <c r="B3084" s="9"/>
      <c r="C3084" s="9"/>
      <c r="D3084" t="str">
        <f>"21ur-14380"</f>
        <v>21ur-14380</v>
      </c>
      <c r="F3084" t="s">
        <v>3161</v>
      </c>
      <c r="H3084" s="12">
        <v>2.3893468495514898</v>
      </c>
      <c r="I3084" s="11">
        <v>0.25323547253672701</v>
      </c>
      <c r="J3084" s="10">
        <v>0.80008625651646104</v>
      </c>
      <c r="K3084" s="29">
        <v>0.98289565623980701</v>
      </c>
    </row>
    <row r="3085" spans="1:11" x14ac:dyDescent="0.35">
      <c r="A3085" s="9" t="str">
        <f>HYPERLINK("http://www.ensembl.org/id/WBGene00170674", "WBGene00170674")</f>
        <v>WBGene00170674</v>
      </c>
      <c r="B3085" s="9"/>
      <c r="C3085" s="9"/>
      <c r="D3085" t="str">
        <f>"21ur-14557"</f>
        <v>21ur-14557</v>
      </c>
      <c r="F3085" t="s">
        <v>3161</v>
      </c>
      <c r="H3085" s="12">
        <v>2.3893468495514898</v>
      </c>
      <c r="I3085" s="11">
        <v>0.25323547253672701</v>
      </c>
      <c r="J3085" s="10">
        <v>0.80008625651646104</v>
      </c>
      <c r="K3085" s="29">
        <v>0.98289565623980701</v>
      </c>
    </row>
    <row r="3086" spans="1:11" x14ac:dyDescent="0.35">
      <c r="A3086" s="9" t="str">
        <f>HYPERLINK("http://www.ensembl.org/id/WBGene00168899", "WBGene00168899")</f>
        <v>WBGene00168899</v>
      </c>
      <c r="B3086" s="9"/>
      <c r="C3086" s="9"/>
      <c r="D3086" t="str">
        <f>"21ur-14685"</f>
        <v>21ur-14685</v>
      </c>
      <c r="F3086" t="s">
        <v>3161</v>
      </c>
      <c r="H3086" s="12">
        <v>2.3893468495514898</v>
      </c>
      <c r="I3086" s="11">
        <v>0.25323547253672701</v>
      </c>
      <c r="J3086" s="10">
        <v>0.80008625651646104</v>
      </c>
      <c r="K3086" s="29">
        <v>0.98289565623980701</v>
      </c>
    </row>
    <row r="3087" spans="1:11" x14ac:dyDescent="0.35">
      <c r="A3087" s="9" t="str">
        <f>HYPERLINK("http://www.ensembl.org/id/WBGene00167652", "WBGene00167652")</f>
        <v>WBGene00167652</v>
      </c>
      <c r="B3087" s="9"/>
      <c r="C3087" s="9"/>
      <c r="D3087" t="str">
        <f>"21ur-14981"</f>
        <v>21ur-14981</v>
      </c>
      <c r="F3087" t="s">
        <v>3161</v>
      </c>
      <c r="H3087" s="12">
        <v>2.3893468495514898</v>
      </c>
      <c r="I3087" s="11">
        <v>0.25323547253672701</v>
      </c>
      <c r="J3087" s="10">
        <v>0.80008625651646104</v>
      </c>
      <c r="K3087" s="29">
        <v>0.98289565623980701</v>
      </c>
    </row>
    <row r="3088" spans="1:11" x14ac:dyDescent="0.35">
      <c r="A3088" s="9" t="str">
        <f>HYPERLINK("http://www.ensembl.org/id/WBGene00167009", "WBGene00167009")</f>
        <v>WBGene00167009</v>
      </c>
      <c r="B3088" s="9"/>
      <c r="C3088" s="9"/>
      <c r="D3088" t="str">
        <f>"21ur-15005"</f>
        <v>21ur-15005</v>
      </c>
      <c r="F3088" t="s">
        <v>3161</v>
      </c>
      <c r="H3088" s="12">
        <v>2.3893468495514898</v>
      </c>
      <c r="I3088" s="11">
        <v>0.25323547253672701</v>
      </c>
      <c r="J3088" s="10">
        <v>0.80008625651646104</v>
      </c>
      <c r="K3088" s="29">
        <v>0.98289565623980701</v>
      </c>
    </row>
    <row r="3089" spans="1:11" x14ac:dyDescent="0.35">
      <c r="A3089" s="9" t="str">
        <f>HYPERLINK("http://www.ensembl.org/id/WBGene00173790", "WBGene00173790")</f>
        <v>WBGene00173790</v>
      </c>
      <c r="B3089" s="9"/>
      <c r="C3089" s="9"/>
      <c r="D3089" t="str">
        <f>"21ur-15055"</f>
        <v>21ur-15055</v>
      </c>
      <c r="F3089" t="s">
        <v>3161</v>
      </c>
      <c r="H3089" s="12">
        <v>2.3893468495514898</v>
      </c>
      <c r="I3089" s="11">
        <v>0.25323547253672701</v>
      </c>
      <c r="J3089" s="10">
        <v>0.80008625651646104</v>
      </c>
      <c r="K3089" s="29">
        <v>0.98289565623980701</v>
      </c>
    </row>
    <row r="3090" spans="1:11" x14ac:dyDescent="0.35">
      <c r="A3090" s="9" t="str">
        <f>HYPERLINK("http://www.ensembl.org/id/WBGene00170862", "WBGene00170862")</f>
        <v>WBGene00170862</v>
      </c>
      <c r="B3090" s="9"/>
      <c r="C3090" s="9"/>
      <c r="D3090" t="str">
        <f>"21ur-15095"</f>
        <v>21ur-15095</v>
      </c>
      <c r="F3090" t="s">
        <v>3161</v>
      </c>
      <c r="H3090" s="12">
        <v>2.3893468495514898</v>
      </c>
      <c r="I3090" s="11">
        <v>0.25323547253672701</v>
      </c>
      <c r="J3090" s="10">
        <v>0.80008625651646104</v>
      </c>
      <c r="K3090" s="29">
        <v>0.98289565623980701</v>
      </c>
    </row>
    <row r="3091" spans="1:11" x14ac:dyDescent="0.35">
      <c r="A3091" s="9" t="str">
        <f>HYPERLINK("http://www.ensembl.org/id/WBGene00168488", "WBGene00168488")</f>
        <v>WBGene00168488</v>
      </c>
      <c r="B3091" s="9"/>
      <c r="C3091" s="9"/>
      <c r="D3091" t="str">
        <f>"21ur-15099"</f>
        <v>21ur-15099</v>
      </c>
      <c r="F3091" t="s">
        <v>3161</v>
      </c>
      <c r="H3091" s="12">
        <v>2.3893468495514898</v>
      </c>
      <c r="I3091" s="11">
        <v>0.25323547253672701</v>
      </c>
      <c r="J3091" s="10">
        <v>0.80008625651646104</v>
      </c>
      <c r="K3091" s="29">
        <v>0.98289565623980701</v>
      </c>
    </row>
    <row r="3092" spans="1:11" x14ac:dyDescent="0.35">
      <c r="A3092" s="9" t="str">
        <f>HYPERLINK("http://www.ensembl.org/id/WBGene00166699", "WBGene00166699")</f>
        <v>WBGene00166699</v>
      </c>
      <c r="B3092" s="9"/>
      <c r="C3092" s="9"/>
      <c r="D3092" t="str">
        <f>"21ur-15150"</f>
        <v>21ur-15150</v>
      </c>
      <c r="F3092" t="s">
        <v>3161</v>
      </c>
      <c r="H3092" s="12">
        <v>2.3893468495514898</v>
      </c>
      <c r="I3092" s="11">
        <v>0.25323547253672701</v>
      </c>
      <c r="J3092" s="10">
        <v>0.80008625651646104</v>
      </c>
      <c r="K3092" s="29">
        <v>0.98289565623980701</v>
      </c>
    </row>
    <row r="3093" spans="1:11" x14ac:dyDescent="0.35">
      <c r="A3093" s="9" t="str">
        <f>HYPERLINK("http://www.ensembl.org/id/WBGene00048756", "WBGene00048756")</f>
        <v>WBGene00048756</v>
      </c>
      <c r="B3093" s="9"/>
      <c r="C3093" s="9"/>
      <c r="D3093" t="str">
        <f>"21ur-1521"</f>
        <v>21ur-1521</v>
      </c>
      <c r="F3093" t="s">
        <v>3161</v>
      </c>
      <c r="H3093" s="12">
        <v>2.3893468495514898</v>
      </c>
      <c r="I3093" s="11">
        <v>0.25323547253672701</v>
      </c>
      <c r="J3093" s="10">
        <v>0.80008625651646104</v>
      </c>
      <c r="K3093" s="29">
        <v>0.98289565623980701</v>
      </c>
    </row>
    <row r="3094" spans="1:11" x14ac:dyDescent="0.35">
      <c r="A3094" s="9" t="str">
        <f>HYPERLINK("http://www.ensembl.org/id/WBGene00168256", "WBGene00168256")</f>
        <v>WBGene00168256</v>
      </c>
      <c r="B3094" s="9"/>
      <c r="C3094" s="9"/>
      <c r="D3094" t="str">
        <f>"21ur-15312"</f>
        <v>21ur-15312</v>
      </c>
      <c r="F3094" t="s">
        <v>3161</v>
      </c>
      <c r="H3094" s="12">
        <v>2.3893468495514898</v>
      </c>
      <c r="I3094" s="11">
        <v>0.25323547253672701</v>
      </c>
      <c r="J3094" s="10">
        <v>0.80008625651646104</v>
      </c>
      <c r="K3094" s="29">
        <v>0.98289565623980701</v>
      </c>
    </row>
    <row r="3095" spans="1:11" x14ac:dyDescent="0.35">
      <c r="A3095" s="9" t="str">
        <f>HYPERLINK("http://www.ensembl.org/id/WBGene00168707", "WBGene00168707")</f>
        <v>WBGene00168707</v>
      </c>
      <c r="B3095" s="9"/>
      <c r="C3095" s="9"/>
      <c r="D3095" t="str">
        <f>"21ur-15380"</f>
        <v>21ur-15380</v>
      </c>
      <c r="F3095" t="s">
        <v>3161</v>
      </c>
      <c r="H3095" s="12">
        <v>2.3893468495514898</v>
      </c>
      <c r="I3095" s="11">
        <v>0.25323547253672701</v>
      </c>
      <c r="J3095" s="10">
        <v>0.80008625651646104</v>
      </c>
      <c r="K3095" s="29">
        <v>0.98289565623980701</v>
      </c>
    </row>
    <row r="3096" spans="1:11" x14ac:dyDescent="0.35">
      <c r="A3096" s="9" t="str">
        <f>HYPERLINK("http://www.ensembl.org/id/WBGene00165391", "WBGene00165391")</f>
        <v>WBGene00165391</v>
      </c>
      <c r="B3096" s="9"/>
      <c r="C3096" s="9"/>
      <c r="D3096" t="str">
        <f>"21ur-15402"</f>
        <v>21ur-15402</v>
      </c>
      <c r="F3096" t="s">
        <v>3161</v>
      </c>
      <c r="H3096" s="12">
        <v>2.3893468495514898</v>
      </c>
      <c r="I3096" s="11">
        <v>0.25323547253672701</v>
      </c>
      <c r="J3096" s="10">
        <v>0.80008625651646104</v>
      </c>
      <c r="K3096" s="29">
        <v>0.98289565623980701</v>
      </c>
    </row>
    <row r="3097" spans="1:11" x14ac:dyDescent="0.35">
      <c r="A3097" s="9" t="str">
        <f>HYPERLINK("http://www.ensembl.org/id/WBGene00167440", "WBGene00167440")</f>
        <v>WBGene00167440</v>
      </c>
      <c r="B3097" s="9"/>
      <c r="C3097" s="9"/>
      <c r="D3097" t="str">
        <f>"21ur-15545"</f>
        <v>21ur-15545</v>
      </c>
      <c r="F3097" t="s">
        <v>3161</v>
      </c>
      <c r="H3097" s="12">
        <v>2.3893468495514898</v>
      </c>
      <c r="I3097" s="11">
        <v>0.25323547253672701</v>
      </c>
      <c r="J3097" s="10">
        <v>0.80008625651646104</v>
      </c>
      <c r="K3097" s="29">
        <v>0.98289565623980701</v>
      </c>
    </row>
    <row r="3098" spans="1:11" x14ac:dyDescent="0.35">
      <c r="A3098" s="9" t="str">
        <f>HYPERLINK("http://www.ensembl.org/id/WBGene00048304", "WBGene00048304")</f>
        <v>WBGene00048304</v>
      </c>
      <c r="B3098" s="9"/>
      <c r="C3098" s="9"/>
      <c r="D3098" t="str">
        <f>"21ur-1661"</f>
        <v>21ur-1661</v>
      </c>
      <c r="F3098" t="s">
        <v>3161</v>
      </c>
      <c r="H3098" s="12">
        <v>2.3893468495514898</v>
      </c>
      <c r="I3098" s="11">
        <v>0.25323547253672701</v>
      </c>
      <c r="J3098" s="10">
        <v>0.80008625651646104</v>
      </c>
      <c r="K3098" s="29">
        <v>0.98289565623980701</v>
      </c>
    </row>
    <row r="3099" spans="1:11" x14ac:dyDescent="0.35">
      <c r="A3099" s="9" t="str">
        <f>HYPERLINK("http://www.ensembl.org/id/WBGene00047952", "WBGene00047952")</f>
        <v>WBGene00047952</v>
      </c>
      <c r="B3099" s="9"/>
      <c r="C3099" s="9"/>
      <c r="D3099" t="str">
        <f>"21ur-1957"</f>
        <v>21ur-1957</v>
      </c>
      <c r="F3099" t="s">
        <v>3161</v>
      </c>
      <c r="H3099" s="12">
        <v>2.3893468495514898</v>
      </c>
      <c r="I3099" s="11">
        <v>0.25323547253672701</v>
      </c>
      <c r="J3099" s="10">
        <v>0.80008625651646104</v>
      </c>
      <c r="K3099" s="29">
        <v>0.98289565623980701</v>
      </c>
    </row>
    <row r="3100" spans="1:11" x14ac:dyDescent="0.35">
      <c r="A3100" s="9" t="str">
        <f>HYPERLINK("http://www.ensembl.org/id/WBGene00050515", "WBGene00050515")</f>
        <v>WBGene00050515</v>
      </c>
      <c r="B3100" s="9"/>
      <c r="C3100" s="9"/>
      <c r="D3100" t="str">
        <f>"21ur-2127"</f>
        <v>21ur-2127</v>
      </c>
      <c r="F3100" t="s">
        <v>3161</v>
      </c>
      <c r="H3100" s="12">
        <v>2.3893468495514898</v>
      </c>
      <c r="I3100" s="11">
        <v>0.25323547253672701</v>
      </c>
      <c r="J3100" s="10">
        <v>0.80008625651646104</v>
      </c>
      <c r="K3100" s="29">
        <v>0.98289565623980701</v>
      </c>
    </row>
    <row r="3101" spans="1:11" x14ac:dyDescent="0.35">
      <c r="A3101" s="9" t="str">
        <f>HYPERLINK("http://www.ensembl.org/id/WBGene00045873", "WBGene00045873")</f>
        <v>WBGene00045873</v>
      </c>
      <c r="B3101" s="9"/>
      <c r="C3101" s="9"/>
      <c r="D3101" t="str">
        <f>"21ur-2345"</f>
        <v>21ur-2345</v>
      </c>
      <c r="F3101" t="s">
        <v>3161</v>
      </c>
      <c r="H3101" s="12">
        <v>2.3893468495514898</v>
      </c>
      <c r="I3101" s="11">
        <v>0.25323547253672701</v>
      </c>
      <c r="J3101" s="10">
        <v>0.80008625651646104</v>
      </c>
      <c r="K3101" s="29">
        <v>0.98289565623980701</v>
      </c>
    </row>
    <row r="3102" spans="1:11" x14ac:dyDescent="0.35">
      <c r="A3102" s="9" t="str">
        <f>HYPERLINK("http://www.ensembl.org/id/WBGene00046739", "WBGene00046739")</f>
        <v>WBGene00046739</v>
      </c>
      <c r="B3102" s="9"/>
      <c r="C3102" s="9"/>
      <c r="D3102" t="str">
        <f>"21ur-2470"</f>
        <v>21ur-2470</v>
      </c>
      <c r="F3102" t="s">
        <v>3161</v>
      </c>
      <c r="H3102" s="12">
        <v>2.3893468495514898</v>
      </c>
      <c r="I3102" s="11">
        <v>0.25323547253672701</v>
      </c>
      <c r="J3102" s="10">
        <v>0.80008625651646104</v>
      </c>
      <c r="K3102" s="29">
        <v>0.98289565623980701</v>
      </c>
    </row>
    <row r="3103" spans="1:11" x14ac:dyDescent="0.35">
      <c r="A3103" s="9" t="str">
        <f>HYPERLINK("http://www.ensembl.org/id/WBGene00049610", "WBGene00049610")</f>
        <v>WBGene00049610</v>
      </c>
      <c r="B3103" s="9"/>
      <c r="C3103" s="9"/>
      <c r="D3103" t="str">
        <f>"21ur-2496"</f>
        <v>21ur-2496</v>
      </c>
      <c r="F3103" t="s">
        <v>3161</v>
      </c>
      <c r="H3103" s="12">
        <v>2.3893468495514898</v>
      </c>
      <c r="I3103" s="11">
        <v>0.25323547253672701</v>
      </c>
      <c r="J3103" s="10">
        <v>0.80008625651646104</v>
      </c>
      <c r="K3103" s="29">
        <v>0.98289565623980701</v>
      </c>
    </row>
    <row r="3104" spans="1:11" x14ac:dyDescent="0.35">
      <c r="A3104" s="9" t="str">
        <f>HYPERLINK("http://www.ensembl.org/id/WBGene00047438", "WBGene00047438")</f>
        <v>WBGene00047438</v>
      </c>
      <c r="B3104" s="9"/>
      <c r="C3104" s="9"/>
      <c r="D3104" t="str">
        <f>"21ur-2589"</f>
        <v>21ur-2589</v>
      </c>
      <c r="F3104" t="s">
        <v>3161</v>
      </c>
      <c r="H3104" s="12">
        <v>2.3893468495514898</v>
      </c>
      <c r="I3104" s="11">
        <v>0.25323547253672701</v>
      </c>
      <c r="J3104" s="10">
        <v>0.80008625651646104</v>
      </c>
      <c r="K3104" s="29">
        <v>0.98289565623980701</v>
      </c>
    </row>
    <row r="3105" spans="1:11" x14ac:dyDescent="0.35">
      <c r="A3105" s="9" t="str">
        <f>HYPERLINK("http://www.ensembl.org/id/WBGene00049654", "WBGene00049654")</f>
        <v>WBGene00049654</v>
      </c>
      <c r="B3105" s="9"/>
      <c r="C3105" s="9"/>
      <c r="D3105" t="str">
        <f>"21ur-2604"</f>
        <v>21ur-2604</v>
      </c>
      <c r="F3105" t="s">
        <v>3161</v>
      </c>
      <c r="H3105" s="12">
        <v>2.3893468495514898</v>
      </c>
      <c r="I3105" s="11">
        <v>0.25323547253672701</v>
      </c>
      <c r="J3105" s="10">
        <v>0.80008625651646104</v>
      </c>
      <c r="K3105" s="29">
        <v>0.98289565623980701</v>
      </c>
    </row>
    <row r="3106" spans="1:11" x14ac:dyDescent="0.35">
      <c r="A3106" s="9" t="str">
        <f>HYPERLINK("http://www.ensembl.org/id/WBGene00050307", "WBGene00050307")</f>
        <v>WBGene00050307</v>
      </c>
      <c r="B3106" s="9"/>
      <c r="C3106" s="9"/>
      <c r="D3106" t="str">
        <f>"21ur-301"</f>
        <v>21ur-301</v>
      </c>
      <c r="F3106" t="s">
        <v>3161</v>
      </c>
      <c r="H3106" s="12">
        <v>2.3893468495514898</v>
      </c>
      <c r="I3106" s="11">
        <v>0.25323547253672701</v>
      </c>
      <c r="J3106" s="10">
        <v>0.80008625651646104</v>
      </c>
      <c r="K3106" s="29">
        <v>0.98289565623980701</v>
      </c>
    </row>
    <row r="3107" spans="1:11" x14ac:dyDescent="0.35">
      <c r="A3107" s="9" t="str">
        <f>HYPERLINK("http://www.ensembl.org/id/WBGene00046612", "WBGene00046612")</f>
        <v>WBGene00046612</v>
      </c>
      <c r="B3107" s="9"/>
      <c r="C3107" s="9"/>
      <c r="D3107" t="str">
        <f>"21ur-3076"</f>
        <v>21ur-3076</v>
      </c>
      <c r="F3107" t="s">
        <v>3161</v>
      </c>
      <c r="H3107" s="12">
        <v>2.3893468495514898</v>
      </c>
      <c r="I3107" s="11">
        <v>0.25323547253672701</v>
      </c>
      <c r="J3107" s="10">
        <v>0.80008625651646104</v>
      </c>
      <c r="K3107" s="29">
        <v>0.98289565623980701</v>
      </c>
    </row>
    <row r="3108" spans="1:11" x14ac:dyDescent="0.35">
      <c r="A3108" s="9" t="str">
        <f>HYPERLINK("http://www.ensembl.org/id/WBGene00047542", "WBGene00047542")</f>
        <v>WBGene00047542</v>
      </c>
      <c r="B3108" s="9"/>
      <c r="C3108" s="9"/>
      <c r="D3108" t="str">
        <f>"21ur-3095"</f>
        <v>21ur-3095</v>
      </c>
      <c r="F3108" t="s">
        <v>3161</v>
      </c>
      <c r="H3108" s="12">
        <v>2.3893468495514898</v>
      </c>
      <c r="I3108" s="11">
        <v>0.25323547253672701</v>
      </c>
      <c r="J3108" s="10">
        <v>0.80008625651646104</v>
      </c>
      <c r="K3108" s="29">
        <v>0.98289565623980701</v>
      </c>
    </row>
    <row r="3109" spans="1:11" x14ac:dyDescent="0.35">
      <c r="A3109" s="9" t="str">
        <f>HYPERLINK("http://www.ensembl.org/id/WBGene00047135", "WBGene00047135")</f>
        <v>WBGene00047135</v>
      </c>
      <c r="B3109" s="9"/>
      <c r="C3109" s="9"/>
      <c r="D3109" t="str">
        <f>"21ur-3183"</f>
        <v>21ur-3183</v>
      </c>
      <c r="F3109" t="s">
        <v>3161</v>
      </c>
      <c r="H3109" s="12">
        <v>2.3893468495514898</v>
      </c>
      <c r="I3109" s="11">
        <v>0.25323547253672701</v>
      </c>
      <c r="J3109" s="10">
        <v>0.80008625651646104</v>
      </c>
      <c r="K3109" s="29">
        <v>0.98289565623980701</v>
      </c>
    </row>
    <row r="3110" spans="1:11" x14ac:dyDescent="0.35">
      <c r="A3110" s="9" t="str">
        <f>HYPERLINK("http://www.ensembl.org/id/WBGene00047119", "WBGene00047119")</f>
        <v>WBGene00047119</v>
      </c>
      <c r="B3110" s="9"/>
      <c r="C3110" s="9"/>
      <c r="D3110" t="str">
        <f>"21ur-3457"</f>
        <v>21ur-3457</v>
      </c>
      <c r="F3110" t="s">
        <v>3161</v>
      </c>
      <c r="H3110" s="12">
        <v>2.3893468495514898</v>
      </c>
      <c r="I3110" s="11">
        <v>0.25323547253672701</v>
      </c>
      <c r="J3110" s="10">
        <v>0.80008625651646104</v>
      </c>
      <c r="K3110" s="29">
        <v>0.98289565623980701</v>
      </c>
    </row>
    <row r="3111" spans="1:11" x14ac:dyDescent="0.35">
      <c r="A3111" s="9" t="str">
        <f>HYPERLINK("http://www.ensembl.org/id/WBGene00048530", "WBGene00048530")</f>
        <v>WBGene00048530</v>
      </c>
      <c r="B3111" s="9"/>
      <c r="C3111" s="9"/>
      <c r="D3111" t="str">
        <f>"21ur-3488"</f>
        <v>21ur-3488</v>
      </c>
      <c r="F3111" t="s">
        <v>3161</v>
      </c>
      <c r="H3111" s="12">
        <v>2.3893468495514898</v>
      </c>
      <c r="I3111" s="11">
        <v>0.25323547253672701</v>
      </c>
      <c r="J3111" s="10">
        <v>0.80008625651646104</v>
      </c>
      <c r="K3111" s="29">
        <v>0.98289565623980701</v>
      </c>
    </row>
    <row r="3112" spans="1:11" x14ac:dyDescent="0.35">
      <c r="A3112" s="9" t="str">
        <f>HYPERLINK("http://www.ensembl.org/id/WBGene00047154", "WBGene00047154")</f>
        <v>WBGene00047154</v>
      </c>
      <c r="B3112" s="9"/>
      <c r="C3112" s="9"/>
      <c r="D3112" t="str">
        <f>"21ur-3648"</f>
        <v>21ur-3648</v>
      </c>
      <c r="F3112" t="s">
        <v>3161</v>
      </c>
      <c r="H3112" s="12">
        <v>2.3893468495514898</v>
      </c>
      <c r="I3112" s="11">
        <v>0.25323547253672701</v>
      </c>
      <c r="J3112" s="10">
        <v>0.80008625651646104</v>
      </c>
      <c r="K3112" s="29">
        <v>0.98289565623980701</v>
      </c>
    </row>
    <row r="3113" spans="1:11" x14ac:dyDescent="0.35">
      <c r="A3113" s="9" t="str">
        <f>HYPERLINK("http://www.ensembl.org/id/WBGene00047946", "WBGene00047946")</f>
        <v>WBGene00047946</v>
      </c>
      <c r="B3113" s="9"/>
      <c r="C3113" s="9"/>
      <c r="D3113" t="str">
        <f>"21ur-3934"</f>
        <v>21ur-3934</v>
      </c>
      <c r="F3113" t="s">
        <v>3161</v>
      </c>
      <c r="H3113" s="12">
        <v>2.3893468495514898</v>
      </c>
      <c r="I3113" s="11">
        <v>0.25323547253672701</v>
      </c>
      <c r="J3113" s="10">
        <v>0.80008625651646104</v>
      </c>
      <c r="K3113" s="29">
        <v>0.98289565623980701</v>
      </c>
    </row>
    <row r="3114" spans="1:11" x14ac:dyDescent="0.35">
      <c r="A3114" s="9" t="str">
        <f>HYPERLINK("http://www.ensembl.org/id/WBGene00046947", "WBGene00046947")</f>
        <v>WBGene00046947</v>
      </c>
      <c r="B3114" s="9"/>
      <c r="C3114" s="9"/>
      <c r="D3114" t="str">
        <f>"21ur-3940"</f>
        <v>21ur-3940</v>
      </c>
      <c r="F3114" t="s">
        <v>3161</v>
      </c>
      <c r="H3114" s="12">
        <v>2.3893468495514898</v>
      </c>
      <c r="I3114" s="11">
        <v>0.25323547253672701</v>
      </c>
      <c r="J3114" s="10">
        <v>0.80008625651646104</v>
      </c>
      <c r="K3114" s="29">
        <v>0.98289565623980701</v>
      </c>
    </row>
    <row r="3115" spans="1:11" x14ac:dyDescent="0.35">
      <c r="A3115" s="9" t="str">
        <f>HYPERLINK("http://www.ensembl.org/id/WBGene00046457", "WBGene00046457")</f>
        <v>WBGene00046457</v>
      </c>
      <c r="B3115" s="9"/>
      <c r="C3115" s="9"/>
      <c r="D3115" t="str">
        <f>"21ur-4951"</f>
        <v>21ur-4951</v>
      </c>
      <c r="F3115" t="s">
        <v>3161</v>
      </c>
      <c r="H3115" s="12">
        <v>2.3893468495514898</v>
      </c>
      <c r="I3115" s="11">
        <v>0.25323547253672701</v>
      </c>
      <c r="J3115" s="10">
        <v>0.80008625651646104</v>
      </c>
      <c r="K3115" s="29">
        <v>0.98289565623980701</v>
      </c>
    </row>
    <row r="3116" spans="1:11" x14ac:dyDescent="0.35">
      <c r="A3116" s="9" t="str">
        <f>HYPERLINK("http://www.ensembl.org/id/WBGene00047084", "WBGene00047084")</f>
        <v>WBGene00047084</v>
      </c>
      <c r="B3116" s="9"/>
      <c r="C3116" s="9"/>
      <c r="D3116" t="str">
        <f>"21ur-5028"</f>
        <v>21ur-5028</v>
      </c>
      <c r="F3116" t="s">
        <v>3161</v>
      </c>
      <c r="H3116" s="12">
        <v>2.3893468495514898</v>
      </c>
      <c r="I3116" s="11">
        <v>0.25323547253672701</v>
      </c>
      <c r="J3116" s="10">
        <v>0.80008625651646104</v>
      </c>
      <c r="K3116" s="29">
        <v>0.98289565623980701</v>
      </c>
    </row>
    <row r="3117" spans="1:11" x14ac:dyDescent="0.35">
      <c r="A3117" s="9" t="str">
        <f>HYPERLINK("http://www.ensembl.org/id/WBGene00050768", "WBGene00050768")</f>
        <v>WBGene00050768</v>
      </c>
      <c r="B3117" s="9"/>
      <c r="C3117" s="9"/>
      <c r="D3117" t="str">
        <f>"21ur-5032"</f>
        <v>21ur-5032</v>
      </c>
      <c r="F3117" t="s">
        <v>3161</v>
      </c>
      <c r="H3117" s="12">
        <v>2.3893468495514898</v>
      </c>
      <c r="I3117" s="11">
        <v>0.25323547253672701</v>
      </c>
      <c r="J3117" s="10">
        <v>0.80008625651646104</v>
      </c>
      <c r="K3117" s="29">
        <v>0.98289565623980701</v>
      </c>
    </row>
    <row r="3118" spans="1:11" x14ac:dyDescent="0.35">
      <c r="A3118" s="9" t="str">
        <f>HYPERLINK("http://www.ensembl.org/id/WBGene00049556", "WBGene00049556")</f>
        <v>WBGene00049556</v>
      </c>
      <c r="B3118" s="9"/>
      <c r="C3118" s="9"/>
      <c r="D3118" t="str">
        <f>"21ur-5151"</f>
        <v>21ur-5151</v>
      </c>
      <c r="F3118" t="s">
        <v>3161</v>
      </c>
      <c r="H3118" s="12">
        <v>2.3893468495514898</v>
      </c>
      <c r="I3118" s="11">
        <v>0.25323547253672701</v>
      </c>
      <c r="J3118" s="10">
        <v>0.80008625651646104</v>
      </c>
      <c r="K3118" s="29">
        <v>0.98289565623980701</v>
      </c>
    </row>
    <row r="3119" spans="1:11" x14ac:dyDescent="0.35">
      <c r="A3119" s="9" t="str">
        <f>HYPERLINK("http://www.ensembl.org/id/WBGene00045921", "WBGene00045921")</f>
        <v>WBGene00045921</v>
      </c>
      <c r="B3119" s="9"/>
      <c r="C3119" s="9"/>
      <c r="D3119" t="str">
        <f>"21ur-5228"</f>
        <v>21ur-5228</v>
      </c>
      <c r="F3119" t="s">
        <v>3161</v>
      </c>
      <c r="H3119" s="12">
        <v>2.3893468495514898</v>
      </c>
      <c r="I3119" s="11">
        <v>0.25323547253672701</v>
      </c>
      <c r="J3119" s="10">
        <v>0.80008625651646104</v>
      </c>
      <c r="K3119" s="29">
        <v>0.98289565623980701</v>
      </c>
    </row>
    <row r="3120" spans="1:11" x14ac:dyDescent="0.35">
      <c r="A3120" s="9" t="str">
        <f>HYPERLINK("http://www.ensembl.org/id/WBGene00047901", "WBGene00047901")</f>
        <v>WBGene00047901</v>
      </c>
      <c r="B3120" s="9"/>
      <c r="C3120" s="9"/>
      <c r="D3120" t="str">
        <f>"21ur-5284"</f>
        <v>21ur-5284</v>
      </c>
      <c r="F3120" t="s">
        <v>3161</v>
      </c>
      <c r="H3120" s="12">
        <v>2.3893468495514898</v>
      </c>
      <c r="I3120" s="11">
        <v>0.25323547253672701</v>
      </c>
      <c r="J3120" s="10">
        <v>0.80008625651646104</v>
      </c>
      <c r="K3120" s="29">
        <v>0.98289565623980701</v>
      </c>
    </row>
    <row r="3121" spans="1:11" x14ac:dyDescent="0.35">
      <c r="A3121" s="9" t="str">
        <f>HYPERLINK("http://www.ensembl.org/id/WBGene00174100", "WBGene00174100")</f>
        <v>WBGene00174100</v>
      </c>
      <c r="B3121" s="9"/>
      <c r="C3121" s="9"/>
      <c r="D3121" t="str">
        <f>"21ur-5801"</f>
        <v>21ur-5801</v>
      </c>
      <c r="F3121" t="s">
        <v>3161</v>
      </c>
      <c r="H3121" s="12">
        <v>2.3893468495514898</v>
      </c>
      <c r="I3121" s="11">
        <v>0.25323547253672701</v>
      </c>
      <c r="J3121" s="10">
        <v>0.80008625651646104</v>
      </c>
      <c r="K3121" s="29">
        <v>0.98289565623980701</v>
      </c>
    </row>
    <row r="3122" spans="1:11" x14ac:dyDescent="0.35">
      <c r="A3122" s="9" t="str">
        <f>HYPERLINK("http://www.ensembl.org/id/WBGene00167469", "WBGene00167469")</f>
        <v>WBGene00167469</v>
      </c>
      <c r="B3122" s="9"/>
      <c r="C3122" s="9"/>
      <c r="D3122" t="str">
        <f>"21ur-5985"</f>
        <v>21ur-5985</v>
      </c>
      <c r="F3122" t="s">
        <v>3161</v>
      </c>
      <c r="H3122" s="12">
        <v>2.3893468495514898</v>
      </c>
      <c r="I3122" s="11">
        <v>0.25323547253672701</v>
      </c>
      <c r="J3122" s="10">
        <v>0.80008625651646104</v>
      </c>
      <c r="K3122" s="29">
        <v>0.98289565623980701</v>
      </c>
    </row>
    <row r="3123" spans="1:11" x14ac:dyDescent="0.35">
      <c r="A3123" s="9" t="str">
        <f>HYPERLINK("http://www.ensembl.org/id/WBGene00165355", "WBGene00165355")</f>
        <v>WBGene00165355</v>
      </c>
      <c r="B3123" s="9"/>
      <c r="C3123" s="9"/>
      <c r="D3123" t="str">
        <f>"21ur-6124"</f>
        <v>21ur-6124</v>
      </c>
      <c r="F3123" t="s">
        <v>3161</v>
      </c>
      <c r="H3123" s="12">
        <v>2.3893468495514898</v>
      </c>
      <c r="I3123" s="11">
        <v>0.25323547253672701</v>
      </c>
      <c r="J3123" s="10">
        <v>0.80008625651646104</v>
      </c>
      <c r="K3123" s="29">
        <v>0.98289565623980701</v>
      </c>
    </row>
    <row r="3124" spans="1:11" x14ac:dyDescent="0.35">
      <c r="A3124" s="9" t="str">
        <f>HYPERLINK("http://www.ensembl.org/id/WBGene00167069", "WBGene00167069")</f>
        <v>WBGene00167069</v>
      </c>
      <c r="B3124" s="9"/>
      <c r="C3124" s="9"/>
      <c r="D3124" t="str">
        <f>"21ur-6181"</f>
        <v>21ur-6181</v>
      </c>
      <c r="F3124" t="s">
        <v>3161</v>
      </c>
      <c r="H3124" s="12">
        <v>2.3893468495514898</v>
      </c>
      <c r="I3124" s="11">
        <v>0.25323547253672701</v>
      </c>
      <c r="J3124" s="10">
        <v>0.80008625651646104</v>
      </c>
      <c r="K3124" s="29">
        <v>0.98289565623980701</v>
      </c>
    </row>
    <row r="3125" spans="1:11" x14ac:dyDescent="0.35">
      <c r="A3125" s="9" t="str">
        <f>HYPERLINK("http://www.ensembl.org/id/WBGene00171364", "WBGene00171364")</f>
        <v>WBGene00171364</v>
      </c>
      <c r="B3125" s="9"/>
      <c r="C3125" s="9"/>
      <c r="D3125" t="str">
        <f>"21ur-6358"</f>
        <v>21ur-6358</v>
      </c>
      <c r="F3125" t="s">
        <v>3161</v>
      </c>
      <c r="H3125" s="12">
        <v>2.3893468495514898</v>
      </c>
      <c r="I3125" s="11">
        <v>0.25323547253672701</v>
      </c>
      <c r="J3125" s="10">
        <v>0.80008625651646104</v>
      </c>
      <c r="K3125" s="29">
        <v>0.98289565623980701</v>
      </c>
    </row>
    <row r="3126" spans="1:11" x14ac:dyDescent="0.35">
      <c r="A3126" s="9" t="str">
        <f>HYPERLINK("http://www.ensembl.org/id/WBGene00165268", "WBGene00165268")</f>
        <v>WBGene00165268</v>
      </c>
      <c r="B3126" s="9"/>
      <c r="C3126" s="9"/>
      <c r="D3126" t="str">
        <f>"21ur-6686"</f>
        <v>21ur-6686</v>
      </c>
      <c r="F3126" t="s">
        <v>3161</v>
      </c>
      <c r="H3126" s="12">
        <v>2.3893468495514898</v>
      </c>
      <c r="I3126" s="11">
        <v>0.25323547253672701</v>
      </c>
      <c r="J3126" s="10">
        <v>0.80008625651646104</v>
      </c>
      <c r="K3126" s="29">
        <v>0.98289565623980701</v>
      </c>
    </row>
    <row r="3127" spans="1:11" x14ac:dyDescent="0.35">
      <c r="A3127" s="9" t="str">
        <f>HYPERLINK("http://www.ensembl.org/id/WBGene00172112", "WBGene00172112")</f>
        <v>WBGene00172112</v>
      </c>
      <c r="B3127" s="9"/>
      <c r="C3127" s="9"/>
      <c r="D3127" t="str">
        <f>"21ur-7065"</f>
        <v>21ur-7065</v>
      </c>
      <c r="F3127" t="s">
        <v>3161</v>
      </c>
      <c r="H3127" s="12">
        <v>2.3893468495514898</v>
      </c>
      <c r="I3127" s="11">
        <v>0.25323547253672701</v>
      </c>
      <c r="J3127" s="10">
        <v>0.80008625651646104</v>
      </c>
      <c r="K3127" s="29">
        <v>0.98289565623980701</v>
      </c>
    </row>
    <row r="3128" spans="1:11" x14ac:dyDescent="0.35">
      <c r="A3128" s="9" t="str">
        <f>HYPERLINK("http://www.ensembl.org/id/WBGene00166075", "WBGene00166075")</f>
        <v>WBGene00166075</v>
      </c>
      <c r="B3128" s="9"/>
      <c r="C3128" s="9"/>
      <c r="D3128" t="str">
        <f>"21ur-7076"</f>
        <v>21ur-7076</v>
      </c>
      <c r="F3128" t="s">
        <v>3161</v>
      </c>
      <c r="H3128" s="12">
        <v>2.3893468495514898</v>
      </c>
      <c r="I3128" s="11">
        <v>0.25323547253672701</v>
      </c>
      <c r="J3128" s="10">
        <v>0.80008625651646104</v>
      </c>
      <c r="K3128" s="29">
        <v>0.98289565623980701</v>
      </c>
    </row>
    <row r="3129" spans="1:11" x14ac:dyDescent="0.35">
      <c r="A3129" s="9" t="str">
        <f>HYPERLINK("http://www.ensembl.org/id/WBGene00174854", "WBGene00174854")</f>
        <v>WBGene00174854</v>
      </c>
      <c r="B3129" s="9"/>
      <c r="C3129" s="9"/>
      <c r="D3129" t="str">
        <f>"21ur-7108"</f>
        <v>21ur-7108</v>
      </c>
      <c r="F3129" t="s">
        <v>3161</v>
      </c>
      <c r="H3129" s="12">
        <v>2.3893468495514898</v>
      </c>
      <c r="I3129" s="11">
        <v>0.25323547253672701</v>
      </c>
      <c r="J3129" s="10">
        <v>0.80008625651646104</v>
      </c>
      <c r="K3129" s="29">
        <v>0.98289565623980701</v>
      </c>
    </row>
    <row r="3130" spans="1:11" x14ac:dyDescent="0.35">
      <c r="A3130" s="9" t="str">
        <f>HYPERLINK("http://www.ensembl.org/id/WBGene00174329", "WBGene00174329")</f>
        <v>WBGene00174329</v>
      </c>
      <c r="B3130" s="9"/>
      <c r="C3130" s="9"/>
      <c r="D3130" t="str">
        <f>"21ur-7148"</f>
        <v>21ur-7148</v>
      </c>
      <c r="F3130" t="s">
        <v>3161</v>
      </c>
      <c r="H3130" s="12">
        <v>2.3893468495514898</v>
      </c>
      <c r="I3130" s="11">
        <v>0.25323547253672701</v>
      </c>
      <c r="J3130" s="10">
        <v>0.80008625651646104</v>
      </c>
      <c r="K3130" s="29">
        <v>0.98289565623980701</v>
      </c>
    </row>
    <row r="3131" spans="1:11" x14ac:dyDescent="0.35">
      <c r="A3131" s="9" t="str">
        <f>HYPERLINK("http://www.ensembl.org/id/WBGene00167948", "WBGene00167948")</f>
        <v>WBGene00167948</v>
      </c>
      <c r="B3131" s="9"/>
      <c r="C3131" s="9"/>
      <c r="D3131" t="str">
        <f>"21ur-7416"</f>
        <v>21ur-7416</v>
      </c>
      <c r="F3131" t="s">
        <v>3161</v>
      </c>
      <c r="H3131" s="12">
        <v>2.3893468495514898</v>
      </c>
      <c r="I3131" s="11">
        <v>0.25323547253672701</v>
      </c>
      <c r="J3131" s="10">
        <v>0.80008625651646104</v>
      </c>
      <c r="K3131" s="29">
        <v>0.98289565623980701</v>
      </c>
    </row>
    <row r="3132" spans="1:11" x14ac:dyDescent="0.35">
      <c r="A3132" s="9" t="str">
        <f>HYPERLINK("http://www.ensembl.org/id/WBGene00174052", "WBGene00174052")</f>
        <v>WBGene00174052</v>
      </c>
      <c r="B3132" s="9"/>
      <c r="C3132" s="9"/>
      <c r="D3132" t="str">
        <f>"21ur-7419"</f>
        <v>21ur-7419</v>
      </c>
      <c r="F3132" t="s">
        <v>3161</v>
      </c>
      <c r="H3132" s="12">
        <v>2.3893468495514898</v>
      </c>
      <c r="I3132" s="11">
        <v>0.25323547253672701</v>
      </c>
      <c r="J3132" s="10">
        <v>0.80008625651646104</v>
      </c>
      <c r="K3132" s="29">
        <v>0.98289565623980701</v>
      </c>
    </row>
    <row r="3133" spans="1:11" x14ac:dyDescent="0.35">
      <c r="A3133" s="9" t="str">
        <f>HYPERLINK("http://www.ensembl.org/id/WBGene00171600", "WBGene00171600")</f>
        <v>WBGene00171600</v>
      </c>
      <c r="B3133" s="9"/>
      <c r="C3133" s="9"/>
      <c r="D3133" t="str">
        <f>"21ur-7449"</f>
        <v>21ur-7449</v>
      </c>
      <c r="F3133" t="s">
        <v>3161</v>
      </c>
      <c r="H3133" s="12">
        <v>2.3893468495514898</v>
      </c>
      <c r="I3133" s="11">
        <v>0.25323547253672701</v>
      </c>
      <c r="J3133" s="10">
        <v>0.80008625651646104</v>
      </c>
      <c r="K3133" s="29">
        <v>0.98289565623980701</v>
      </c>
    </row>
    <row r="3134" spans="1:11" x14ac:dyDescent="0.35">
      <c r="A3134" s="9" t="str">
        <f>HYPERLINK("http://www.ensembl.org/id/WBGene00046495", "WBGene00046495")</f>
        <v>WBGene00046495</v>
      </c>
      <c r="B3134" s="9"/>
      <c r="C3134" s="9"/>
      <c r="D3134" t="str">
        <f>"21ur-765"</f>
        <v>21ur-765</v>
      </c>
      <c r="F3134" t="s">
        <v>3161</v>
      </c>
      <c r="H3134" s="12">
        <v>2.3893468495514898</v>
      </c>
      <c r="I3134" s="11">
        <v>0.25323547253672701</v>
      </c>
      <c r="J3134" s="10">
        <v>0.80008625651646104</v>
      </c>
      <c r="K3134" s="29">
        <v>0.98289565623980701</v>
      </c>
    </row>
    <row r="3135" spans="1:11" x14ac:dyDescent="0.35">
      <c r="A3135" s="9" t="str">
        <f>HYPERLINK("http://www.ensembl.org/id/WBGene00170881", "WBGene00170881")</f>
        <v>WBGene00170881</v>
      </c>
      <c r="B3135" s="9"/>
      <c r="C3135" s="9"/>
      <c r="D3135" t="str">
        <f>"21ur-7653"</f>
        <v>21ur-7653</v>
      </c>
      <c r="F3135" t="s">
        <v>3161</v>
      </c>
      <c r="H3135" s="12">
        <v>2.3893468495514898</v>
      </c>
      <c r="I3135" s="11">
        <v>0.25323547253672701</v>
      </c>
      <c r="J3135" s="10">
        <v>0.80008625651646104</v>
      </c>
      <c r="K3135" s="29">
        <v>0.98289565623980701</v>
      </c>
    </row>
    <row r="3136" spans="1:11" x14ac:dyDescent="0.35">
      <c r="A3136" s="9" t="str">
        <f>HYPERLINK("http://www.ensembl.org/id/WBGene00166826", "WBGene00166826")</f>
        <v>WBGene00166826</v>
      </c>
      <c r="B3136" s="9"/>
      <c r="C3136" s="9"/>
      <c r="D3136" t="str">
        <f>"21ur-7681"</f>
        <v>21ur-7681</v>
      </c>
      <c r="F3136" t="s">
        <v>3161</v>
      </c>
      <c r="H3136" s="12">
        <v>2.3893468495514898</v>
      </c>
      <c r="I3136" s="11">
        <v>0.25323547253672701</v>
      </c>
      <c r="J3136" s="10">
        <v>0.80008625651646104</v>
      </c>
      <c r="K3136" s="29">
        <v>0.98289565623980701</v>
      </c>
    </row>
    <row r="3137" spans="1:11" x14ac:dyDescent="0.35">
      <c r="A3137" s="9" t="str">
        <f>HYPERLINK("http://www.ensembl.org/id/WBGene00171250", "WBGene00171250")</f>
        <v>WBGene00171250</v>
      </c>
      <c r="B3137" s="9"/>
      <c r="C3137" s="9"/>
      <c r="D3137" t="str">
        <f>"21ur-7693"</f>
        <v>21ur-7693</v>
      </c>
      <c r="F3137" t="s">
        <v>3161</v>
      </c>
      <c r="H3137" s="12">
        <v>2.3893468495514898</v>
      </c>
      <c r="I3137" s="11">
        <v>0.25323547253672701</v>
      </c>
      <c r="J3137" s="10">
        <v>0.80008625651646104</v>
      </c>
      <c r="K3137" s="29">
        <v>0.98289565623980701</v>
      </c>
    </row>
    <row r="3138" spans="1:11" x14ac:dyDescent="0.35">
      <c r="A3138" s="9" t="str">
        <f>HYPERLINK("http://www.ensembl.org/id/WBGene00168618", "WBGene00168618")</f>
        <v>WBGene00168618</v>
      </c>
      <c r="B3138" s="9"/>
      <c r="C3138" s="9"/>
      <c r="D3138" t="str">
        <f>"21ur-7895"</f>
        <v>21ur-7895</v>
      </c>
      <c r="F3138" t="s">
        <v>3161</v>
      </c>
      <c r="H3138" s="12">
        <v>2.3893468495514898</v>
      </c>
      <c r="I3138" s="11">
        <v>0.25323547253672701</v>
      </c>
      <c r="J3138" s="10">
        <v>0.80008625651646104</v>
      </c>
      <c r="K3138" s="29">
        <v>0.98289565623980701</v>
      </c>
    </row>
    <row r="3139" spans="1:11" x14ac:dyDescent="0.35">
      <c r="A3139" s="9" t="str">
        <f>HYPERLINK("http://www.ensembl.org/id/WBGene00170399", "WBGene00170399")</f>
        <v>WBGene00170399</v>
      </c>
      <c r="B3139" s="9"/>
      <c r="C3139" s="9"/>
      <c r="D3139" t="str">
        <f>"21ur-7981"</f>
        <v>21ur-7981</v>
      </c>
      <c r="F3139" t="s">
        <v>3161</v>
      </c>
      <c r="H3139" s="12">
        <v>2.3893468495514898</v>
      </c>
      <c r="I3139" s="11">
        <v>0.25323547253672701</v>
      </c>
      <c r="J3139" s="10">
        <v>0.80008625651646104</v>
      </c>
      <c r="K3139" s="29">
        <v>0.98289565623980701</v>
      </c>
    </row>
    <row r="3140" spans="1:11" x14ac:dyDescent="0.35">
      <c r="A3140" s="9" t="str">
        <f>HYPERLINK("http://www.ensembl.org/id/WBGene00172553", "WBGene00172553")</f>
        <v>WBGene00172553</v>
      </c>
      <c r="B3140" s="9"/>
      <c r="C3140" s="9"/>
      <c r="D3140" t="str">
        <f>"21ur-7982"</f>
        <v>21ur-7982</v>
      </c>
      <c r="F3140" t="s">
        <v>3161</v>
      </c>
      <c r="H3140" s="12">
        <v>2.3893468495514898</v>
      </c>
      <c r="I3140" s="11">
        <v>0.25323547253672701</v>
      </c>
      <c r="J3140" s="10">
        <v>0.80008625651646104</v>
      </c>
      <c r="K3140" s="29">
        <v>0.98289565623980701</v>
      </c>
    </row>
    <row r="3141" spans="1:11" x14ac:dyDescent="0.35">
      <c r="A3141" s="9" t="str">
        <f>HYPERLINK("http://www.ensembl.org/id/WBGene00165283", "WBGene00165283")</f>
        <v>WBGene00165283</v>
      </c>
      <c r="B3141" s="9"/>
      <c r="C3141" s="9"/>
      <c r="D3141" t="str">
        <f>"21ur-8001"</f>
        <v>21ur-8001</v>
      </c>
      <c r="F3141" t="s">
        <v>3161</v>
      </c>
      <c r="H3141" s="12">
        <v>2.3893468495514898</v>
      </c>
      <c r="I3141" s="11">
        <v>0.25323547253672701</v>
      </c>
      <c r="J3141" s="10">
        <v>0.80008625651646104</v>
      </c>
      <c r="K3141" s="29">
        <v>0.98289565623980701</v>
      </c>
    </row>
    <row r="3142" spans="1:11" x14ac:dyDescent="0.35">
      <c r="A3142" s="9" t="str">
        <f>HYPERLINK("http://www.ensembl.org/id/WBGene00169835", "WBGene00169835")</f>
        <v>WBGene00169835</v>
      </c>
      <c r="B3142" s="9"/>
      <c r="C3142" s="9"/>
      <c r="D3142" t="str">
        <f>"21ur-8043"</f>
        <v>21ur-8043</v>
      </c>
      <c r="F3142" t="s">
        <v>3161</v>
      </c>
      <c r="H3142" s="12">
        <v>2.3893468495514898</v>
      </c>
      <c r="I3142" s="11">
        <v>0.25323547253672701</v>
      </c>
      <c r="J3142" s="10">
        <v>0.80008625651646104</v>
      </c>
      <c r="K3142" s="29">
        <v>0.98289565623980701</v>
      </c>
    </row>
    <row r="3143" spans="1:11" x14ac:dyDescent="0.35">
      <c r="A3143" s="9" t="str">
        <f>HYPERLINK("http://www.ensembl.org/id/WBGene00167696", "WBGene00167696")</f>
        <v>WBGene00167696</v>
      </c>
      <c r="B3143" s="9"/>
      <c r="C3143" s="9"/>
      <c r="D3143" t="str">
        <f>"21ur-8084"</f>
        <v>21ur-8084</v>
      </c>
      <c r="F3143" t="s">
        <v>3161</v>
      </c>
      <c r="H3143" s="12">
        <v>2.3893468495514898</v>
      </c>
      <c r="I3143" s="11">
        <v>0.25323547253672701</v>
      </c>
      <c r="J3143" s="10">
        <v>0.80008625651646104</v>
      </c>
      <c r="K3143" s="29">
        <v>0.98289565623980701</v>
      </c>
    </row>
    <row r="3144" spans="1:11" x14ac:dyDescent="0.35">
      <c r="A3144" s="9" t="str">
        <f>HYPERLINK("http://www.ensembl.org/id/WBGene00172023", "WBGene00172023")</f>
        <v>WBGene00172023</v>
      </c>
      <c r="B3144" s="9"/>
      <c r="C3144" s="9"/>
      <c r="D3144" t="str">
        <f>"21ur-8137"</f>
        <v>21ur-8137</v>
      </c>
      <c r="F3144" t="s">
        <v>3161</v>
      </c>
      <c r="H3144" s="12">
        <v>2.3893468495514898</v>
      </c>
      <c r="I3144" s="11">
        <v>0.25323547253672701</v>
      </c>
      <c r="J3144" s="10">
        <v>0.80008625651646104</v>
      </c>
      <c r="K3144" s="29">
        <v>0.98289565623980701</v>
      </c>
    </row>
    <row r="3145" spans="1:11" x14ac:dyDescent="0.35">
      <c r="A3145" s="9" t="str">
        <f>HYPERLINK("http://www.ensembl.org/id/WBGene00166012", "WBGene00166012")</f>
        <v>WBGene00166012</v>
      </c>
      <c r="B3145" s="9"/>
      <c r="C3145" s="9"/>
      <c r="D3145" t="str">
        <f>"21ur-8153"</f>
        <v>21ur-8153</v>
      </c>
      <c r="F3145" t="s">
        <v>3161</v>
      </c>
      <c r="H3145" s="12">
        <v>2.3893468495514898</v>
      </c>
      <c r="I3145" s="11">
        <v>0.25323547253672701</v>
      </c>
      <c r="J3145" s="10">
        <v>0.80008625651646104</v>
      </c>
      <c r="K3145" s="29">
        <v>0.98289565623980701</v>
      </c>
    </row>
    <row r="3146" spans="1:11" x14ac:dyDescent="0.35">
      <c r="A3146" s="9" t="str">
        <f>HYPERLINK("http://www.ensembl.org/id/WBGene00167147", "WBGene00167147")</f>
        <v>WBGene00167147</v>
      </c>
      <c r="B3146" s="9"/>
      <c r="C3146" s="9"/>
      <c r="D3146" t="str">
        <f>"21ur-8192"</f>
        <v>21ur-8192</v>
      </c>
      <c r="F3146" t="s">
        <v>3161</v>
      </c>
      <c r="H3146" s="12">
        <v>2.3893468495514898</v>
      </c>
      <c r="I3146" s="11">
        <v>0.25323547253672701</v>
      </c>
      <c r="J3146" s="10">
        <v>0.80008625651646104</v>
      </c>
      <c r="K3146" s="29">
        <v>0.98289565623980701</v>
      </c>
    </row>
    <row r="3147" spans="1:11" x14ac:dyDescent="0.35">
      <c r="A3147" s="9" t="str">
        <f>HYPERLINK("http://www.ensembl.org/id/WBGene00171273", "WBGene00171273")</f>
        <v>WBGene00171273</v>
      </c>
      <c r="B3147" s="9"/>
      <c r="C3147" s="9"/>
      <c r="D3147" t="str">
        <f>"21ur-8344"</f>
        <v>21ur-8344</v>
      </c>
      <c r="F3147" t="s">
        <v>3161</v>
      </c>
      <c r="H3147" s="12">
        <v>2.3893468495514898</v>
      </c>
      <c r="I3147" s="11">
        <v>0.25323547253672701</v>
      </c>
      <c r="J3147" s="10">
        <v>0.80008625651646104</v>
      </c>
      <c r="K3147" s="29">
        <v>0.98289565623980701</v>
      </c>
    </row>
    <row r="3148" spans="1:11" x14ac:dyDescent="0.35">
      <c r="A3148" s="9" t="str">
        <f>HYPERLINK("http://www.ensembl.org/id/WBGene00173577", "WBGene00173577")</f>
        <v>WBGene00173577</v>
      </c>
      <c r="B3148" s="9"/>
      <c r="C3148" s="9"/>
      <c r="D3148" t="str">
        <f>"21ur-8421"</f>
        <v>21ur-8421</v>
      </c>
      <c r="F3148" t="s">
        <v>3161</v>
      </c>
      <c r="H3148" s="12">
        <v>2.3893468495514898</v>
      </c>
      <c r="I3148" s="11">
        <v>0.25323547253672701</v>
      </c>
      <c r="J3148" s="10">
        <v>0.80008625651646104</v>
      </c>
      <c r="K3148" s="29">
        <v>0.98289565623980701</v>
      </c>
    </row>
    <row r="3149" spans="1:11" x14ac:dyDescent="0.35">
      <c r="A3149" s="9" t="str">
        <f>HYPERLINK("http://www.ensembl.org/id/WBGene00168409", "WBGene00168409")</f>
        <v>WBGene00168409</v>
      </c>
      <c r="B3149" s="9"/>
      <c r="C3149" s="9"/>
      <c r="D3149" t="str">
        <f>"21ur-8530"</f>
        <v>21ur-8530</v>
      </c>
      <c r="F3149" t="s">
        <v>3161</v>
      </c>
      <c r="H3149" s="12">
        <v>2.3893468495514898</v>
      </c>
      <c r="I3149" s="11">
        <v>0.25323547253672701</v>
      </c>
      <c r="J3149" s="10">
        <v>0.80008625651646104</v>
      </c>
      <c r="K3149" s="29">
        <v>0.98289565623980701</v>
      </c>
    </row>
    <row r="3150" spans="1:11" x14ac:dyDescent="0.35">
      <c r="A3150" s="9" t="str">
        <f>HYPERLINK("http://www.ensembl.org/id/WBGene00174038", "WBGene00174038")</f>
        <v>WBGene00174038</v>
      </c>
      <c r="B3150" s="9"/>
      <c r="C3150" s="9"/>
      <c r="D3150" t="str">
        <f>"21ur-8647"</f>
        <v>21ur-8647</v>
      </c>
      <c r="F3150" t="s">
        <v>3161</v>
      </c>
      <c r="H3150" s="12">
        <v>2.3893468495514898</v>
      </c>
      <c r="I3150" s="11">
        <v>0.25323547253672701</v>
      </c>
      <c r="J3150" s="10">
        <v>0.80008625651646104</v>
      </c>
      <c r="K3150" s="29">
        <v>0.98289565623980701</v>
      </c>
    </row>
    <row r="3151" spans="1:11" x14ac:dyDescent="0.35">
      <c r="A3151" s="9" t="str">
        <f>HYPERLINK("http://www.ensembl.org/id/WBGene00166811", "WBGene00166811")</f>
        <v>WBGene00166811</v>
      </c>
      <c r="B3151" s="9"/>
      <c r="C3151" s="9"/>
      <c r="D3151" t="str">
        <f>"21ur-8662"</f>
        <v>21ur-8662</v>
      </c>
      <c r="F3151" t="s">
        <v>3161</v>
      </c>
      <c r="H3151" s="12">
        <v>2.3893468495514898</v>
      </c>
      <c r="I3151" s="11">
        <v>0.25323547253672701</v>
      </c>
      <c r="J3151" s="10">
        <v>0.80008625651646104</v>
      </c>
      <c r="K3151" s="29">
        <v>0.98289565623980701</v>
      </c>
    </row>
    <row r="3152" spans="1:11" x14ac:dyDescent="0.35">
      <c r="A3152" s="9" t="str">
        <f>HYPERLINK("http://www.ensembl.org/id/WBGene00171264", "WBGene00171264")</f>
        <v>WBGene00171264</v>
      </c>
      <c r="B3152" s="9"/>
      <c r="C3152" s="9"/>
      <c r="D3152" t="str">
        <f>"21ur-8765"</f>
        <v>21ur-8765</v>
      </c>
      <c r="F3152" t="s">
        <v>3161</v>
      </c>
      <c r="H3152" s="12">
        <v>2.3893468495514898</v>
      </c>
      <c r="I3152" s="11">
        <v>0.25323547253672701</v>
      </c>
      <c r="J3152" s="10">
        <v>0.80008625651646104</v>
      </c>
      <c r="K3152" s="29">
        <v>0.98289565623980701</v>
      </c>
    </row>
    <row r="3153" spans="1:11" x14ac:dyDescent="0.35">
      <c r="A3153" s="9" t="str">
        <f>HYPERLINK("http://www.ensembl.org/id/WBGene00173752", "WBGene00173752")</f>
        <v>WBGene00173752</v>
      </c>
      <c r="B3153" s="9"/>
      <c r="C3153" s="9"/>
      <c r="D3153" t="str">
        <f>"21ur-8792"</f>
        <v>21ur-8792</v>
      </c>
      <c r="F3153" t="s">
        <v>3161</v>
      </c>
      <c r="H3153" s="12">
        <v>2.3893468495514898</v>
      </c>
      <c r="I3153" s="11">
        <v>0.25323547253672701</v>
      </c>
      <c r="J3153" s="10">
        <v>0.80008625651646104</v>
      </c>
      <c r="K3153" s="29">
        <v>0.98289565623980701</v>
      </c>
    </row>
    <row r="3154" spans="1:11" x14ac:dyDescent="0.35">
      <c r="A3154" s="9" t="str">
        <f>HYPERLINK("http://www.ensembl.org/id/WBGene00174851", "WBGene00174851")</f>
        <v>WBGene00174851</v>
      </c>
      <c r="B3154" s="9"/>
      <c r="C3154" s="9"/>
      <c r="D3154" t="str">
        <f>"21ur-8863"</f>
        <v>21ur-8863</v>
      </c>
      <c r="F3154" t="s">
        <v>3161</v>
      </c>
      <c r="H3154" s="12">
        <v>2.3893468495514898</v>
      </c>
      <c r="I3154" s="11">
        <v>0.25323547253672701</v>
      </c>
      <c r="J3154" s="10">
        <v>0.80008625651646104</v>
      </c>
      <c r="K3154" s="29">
        <v>0.98289565623980701</v>
      </c>
    </row>
    <row r="3155" spans="1:11" x14ac:dyDescent="0.35">
      <c r="A3155" s="9" t="str">
        <f>HYPERLINK("http://www.ensembl.org/id/WBGene00169249", "WBGene00169249")</f>
        <v>WBGene00169249</v>
      </c>
      <c r="B3155" s="9"/>
      <c r="C3155" s="9"/>
      <c r="D3155" t="str">
        <f>"21ur-8936"</f>
        <v>21ur-8936</v>
      </c>
      <c r="F3155" t="s">
        <v>3161</v>
      </c>
      <c r="H3155" s="12">
        <v>2.3893468495514898</v>
      </c>
      <c r="I3155" s="11">
        <v>0.25323547253672701</v>
      </c>
      <c r="J3155" s="10">
        <v>0.80008625651646104</v>
      </c>
      <c r="K3155" s="29">
        <v>0.98289565623980701</v>
      </c>
    </row>
    <row r="3156" spans="1:11" x14ac:dyDescent="0.35">
      <c r="A3156" s="9" t="str">
        <f>HYPERLINK("http://www.ensembl.org/id/WBGene00166603", "WBGene00166603")</f>
        <v>WBGene00166603</v>
      </c>
      <c r="B3156" s="9"/>
      <c r="C3156" s="9"/>
      <c r="D3156" t="str">
        <f>"21ur-9319"</f>
        <v>21ur-9319</v>
      </c>
      <c r="F3156" t="s">
        <v>3161</v>
      </c>
      <c r="H3156" s="12">
        <v>2.3893468495514898</v>
      </c>
      <c r="I3156" s="11">
        <v>0.25323547253672701</v>
      </c>
      <c r="J3156" s="10">
        <v>0.80008625651646104</v>
      </c>
      <c r="K3156" s="29">
        <v>0.98289565623980701</v>
      </c>
    </row>
    <row r="3157" spans="1:11" x14ac:dyDescent="0.35">
      <c r="A3157" s="9" t="str">
        <f>HYPERLINK("http://www.ensembl.org/id/WBGene00169034", "WBGene00169034")</f>
        <v>WBGene00169034</v>
      </c>
      <c r="B3157" s="9"/>
      <c r="C3157" s="9"/>
      <c r="D3157" t="str">
        <f>"21ur-9743"</f>
        <v>21ur-9743</v>
      </c>
      <c r="F3157" t="s">
        <v>3161</v>
      </c>
      <c r="H3157" s="12">
        <v>2.3893468495514898</v>
      </c>
      <c r="I3157" s="11">
        <v>0.25323547253672701</v>
      </c>
      <c r="J3157" s="10">
        <v>0.80008625651646104</v>
      </c>
      <c r="K3157" s="29">
        <v>0.98289565623980701</v>
      </c>
    </row>
    <row r="3158" spans="1:11" x14ac:dyDescent="0.35">
      <c r="A3158" s="9" t="str">
        <f>HYPERLINK("http://www.ensembl.org/id/WBGene00048510", "WBGene00048510")</f>
        <v>WBGene00048510</v>
      </c>
      <c r="B3158" s="9"/>
      <c r="C3158" s="9"/>
      <c r="D3158" t="str">
        <f>"21ur-976"</f>
        <v>21ur-976</v>
      </c>
      <c r="F3158" t="s">
        <v>3161</v>
      </c>
      <c r="H3158" s="12">
        <v>2.3893468495514898</v>
      </c>
      <c r="I3158" s="11">
        <v>0.25323547253672701</v>
      </c>
      <c r="J3158" s="10">
        <v>0.80008625651646104</v>
      </c>
      <c r="K3158" s="29">
        <v>0.98289565623980701</v>
      </c>
    </row>
    <row r="3159" spans="1:11" x14ac:dyDescent="0.35">
      <c r="A3159" s="9" t="str">
        <f>HYPERLINK("http://www.ensembl.org/id/WBGene00046142", "WBGene00046142")</f>
        <v>WBGene00046142</v>
      </c>
      <c r="B3159" s="9"/>
      <c r="C3159" s="9"/>
      <c r="D3159" t="str">
        <f>"21ur-983"</f>
        <v>21ur-983</v>
      </c>
      <c r="F3159" t="s">
        <v>3161</v>
      </c>
      <c r="H3159" s="12">
        <v>2.3893468495514898</v>
      </c>
      <c r="I3159" s="11">
        <v>0.25323547253672701</v>
      </c>
      <c r="J3159" s="10">
        <v>0.80008625651646104</v>
      </c>
      <c r="K3159" s="29">
        <v>0.98289565623980701</v>
      </c>
    </row>
    <row r="3160" spans="1:11" x14ac:dyDescent="0.35">
      <c r="A3160" s="9" t="str">
        <f>HYPERLINK("http://www.ensembl.org/id/WBGene00167347", "WBGene00167347")</f>
        <v>WBGene00167347</v>
      </c>
      <c r="B3160" s="9"/>
      <c r="C3160" s="9"/>
      <c r="D3160" t="str">
        <f>"21ur-9999"</f>
        <v>21ur-9999</v>
      </c>
      <c r="F3160" t="s">
        <v>3161</v>
      </c>
      <c r="H3160" s="12">
        <v>2.3893468495514898</v>
      </c>
      <c r="I3160" s="11">
        <v>0.25323547253672701</v>
      </c>
      <c r="J3160" s="10">
        <v>0.80008625651646104</v>
      </c>
      <c r="K3160" s="29">
        <v>0.98289565623980701</v>
      </c>
    </row>
    <row r="3161" spans="1:11" x14ac:dyDescent="0.35">
      <c r="A3161" s="9" t="str">
        <f>HYPERLINK("http://www.ensembl.org/id/WBGene00000027", "WBGene00000027")</f>
        <v>WBGene00000027</v>
      </c>
      <c r="B3161" s="9" t="str">
        <f>HYPERLINK("http://www.ncbi.nlm.nih.gov/gene/353458", "353458")</f>
        <v>353458</v>
      </c>
      <c r="C3161" s="9"/>
      <c r="D3161" t="str">
        <f>"abu-4"</f>
        <v>abu-4</v>
      </c>
      <c r="E3161" t="s">
        <v>913</v>
      </c>
      <c r="F3161" t="s">
        <v>11</v>
      </c>
      <c r="G3161" t="s">
        <v>1683</v>
      </c>
      <c r="H3161" s="12">
        <v>2.3893468495514898</v>
      </c>
      <c r="I3161" s="11">
        <v>0.25323547253672701</v>
      </c>
      <c r="J3161" s="10">
        <v>0.80008625651646104</v>
      </c>
      <c r="K3161" s="29">
        <v>0.98289565623980701</v>
      </c>
    </row>
    <row r="3162" spans="1:11" x14ac:dyDescent="0.35">
      <c r="A3162" s="9" t="str">
        <f>HYPERLINK("http://www.ensembl.org/id/WBGene00043989", "WBGene00043989")</f>
        <v>WBGene00043989</v>
      </c>
      <c r="B3162" s="9" t="str">
        <f>HYPERLINK("http://www.ncbi.nlm.nih.gov/gene/3565009", "3565009")</f>
        <v>3565009</v>
      </c>
      <c r="C3162" s="9"/>
      <c r="D3162" t="str">
        <f>"AC8.11"</f>
        <v>AC8.11</v>
      </c>
      <c r="F3162" t="s">
        <v>11</v>
      </c>
      <c r="H3162" s="12">
        <v>2.3893468495514898</v>
      </c>
      <c r="I3162" s="11">
        <v>0.25323547253672701</v>
      </c>
      <c r="J3162" s="10">
        <v>0.80008625651646104</v>
      </c>
      <c r="K3162" s="29">
        <v>0.98289565623980701</v>
      </c>
    </row>
    <row r="3163" spans="1:11" x14ac:dyDescent="0.35">
      <c r="A3163" s="9" t="str">
        <f>HYPERLINK("http://www.ensembl.org/id/WBGene00007074", "WBGene00007074")</f>
        <v>WBGene00007074</v>
      </c>
      <c r="B3163" s="9"/>
      <c r="C3163" s="9"/>
      <c r="D3163" t="str">
        <f>"AC8.2"</f>
        <v>AC8.2</v>
      </c>
      <c r="F3163" t="s">
        <v>80</v>
      </c>
      <c r="H3163" s="12">
        <v>2.3893468495514898</v>
      </c>
      <c r="I3163" s="11">
        <v>0.25323547253672701</v>
      </c>
      <c r="J3163" s="10">
        <v>0.80008625651646104</v>
      </c>
      <c r="K3163" s="29">
        <v>0.98289565623980701</v>
      </c>
    </row>
    <row r="3164" spans="1:11" x14ac:dyDescent="0.35">
      <c r="A3164" s="9" t="str">
        <f>HYPERLINK("http://www.ensembl.org/id/WBGene00007079", "WBGene00007079")</f>
        <v>WBGene00007079</v>
      </c>
      <c r="B3164" s="9" t="str">
        <f>HYPERLINK("http://www.ncbi.nlm.nih.gov/gene/180377", "180377")</f>
        <v>180377</v>
      </c>
      <c r="C3164" s="9"/>
      <c r="D3164" t="str">
        <f>"AC8.7"</f>
        <v>AC8.7</v>
      </c>
      <c r="F3164" t="s">
        <v>11</v>
      </c>
      <c r="H3164" s="12">
        <v>2.3893468495514898</v>
      </c>
      <c r="I3164" s="11">
        <v>0.25323547253672701</v>
      </c>
      <c r="J3164" s="10">
        <v>0.80008625651646104</v>
      </c>
      <c r="K3164" s="29">
        <v>0.98289565623980701</v>
      </c>
    </row>
    <row r="3165" spans="1:11" x14ac:dyDescent="0.35">
      <c r="A3165" s="9" t="str">
        <f>HYPERLINK("http://www.ensembl.org/id/WBGene00219573", "WBGene00219573")</f>
        <v>WBGene00219573</v>
      </c>
      <c r="B3165" s="9"/>
      <c r="C3165" s="9"/>
      <c r="D3165" t="str">
        <f>"anr-30"</f>
        <v>anr-30</v>
      </c>
      <c r="F3165" t="s">
        <v>2735</v>
      </c>
      <c r="H3165" s="12">
        <v>2.3893468495514898</v>
      </c>
      <c r="I3165" s="11">
        <v>0.25323547253672701</v>
      </c>
      <c r="J3165" s="10">
        <v>0.80008625651646104</v>
      </c>
      <c r="K3165" s="29">
        <v>0.98289565623980701</v>
      </c>
    </row>
    <row r="3166" spans="1:11" x14ac:dyDescent="0.35">
      <c r="A3166" s="9" t="str">
        <f>HYPERLINK("http://www.ensembl.org/id/WBGene00219744", "WBGene00219744")</f>
        <v>WBGene00219744</v>
      </c>
      <c r="B3166" s="9"/>
      <c r="C3166" s="9"/>
      <c r="D3166" t="str">
        <f>"anr-41"</f>
        <v>anr-41</v>
      </c>
      <c r="F3166" t="s">
        <v>2735</v>
      </c>
      <c r="H3166" s="12">
        <v>2.3893468495514898</v>
      </c>
      <c r="I3166" s="11">
        <v>0.25323547253672701</v>
      </c>
      <c r="J3166" s="10">
        <v>0.80008625651646104</v>
      </c>
      <c r="K3166" s="29">
        <v>0.98289565623980701</v>
      </c>
    </row>
    <row r="3167" spans="1:11" x14ac:dyDescent="0.35">
      <c r="A3167" s="9" t="str">
        <f>HYPERLINK("http://www.ensembl.org/id/WBGene00219656", "WBGene00219656")</f>
        <v>WBGene00219656</v>
      </c>
      <c r="B3167" s="9"/>
      <c r="C3167" s="9"/>
      <c r="D3167" t="str">
        <f>"anr-48"</f>
        <v>anr-48</v>
      </c>
      <c r="F3167" t="s">
        <v>2735</v>
      </c>
      <c r="H3167" s="12">
        <v>2.3893468495514898</v>
      </c>
      <c r="I3167" s="11">
        <v>0.25323547253672701</v>
      </c>
      <c r="J3167" s="10">
        <v>0.80008625651646104</v>
      </c>
      <c r="K3167" s="29">
        <v>0.98289565623980701</v>
      </c>
    </row>
    <row r="3168" spans="1:11" x14ac:dyDescent="0.35">
      <c r="A3168" s="9" t="str">
        <f>HYPERLINK("http://www.ensembl.org/id/WBGene00195755", "WBGene00195755")</f>
        <v>WBGene00195755</v>
      </c>
      <c r="B3168" s="9"/>
      <c r="C3168" s="9"/>
      <c r="D3168" t="str">
        <f>"B0207.13"</f>
        <v>B0207.13</v>
      </c>
      <c r="F3168" t="s">
        <v>481</v>
      </c>
      <c r="H3168" s="12">
        <v>2.3893468495514898</v>
      </c>
      <c r="I3168" s="11">
        <v>0.25323547253672701</v>
      </c>
      <c r="J3168" s="10">
        <v>0.80008625651646104</v>
      </c>
      <c r="K3168" s="29">
        <v>0.98289565623980701</v>
      </c>
    </row>
    <row r="3169" spans="1:11" x14ac:dyDescent="0.35">
      <c r="A3169" s="9" t="str">
        <f>HYPERLINK("http://www.ensembl.org/id/WBGene00197623", "WBGene00197623")</f>
        <v>WBGene00197623</v>
      </c>
      <c r="B3169" s="9"/>
      <c r="C3169" s="9"/>
      <c r="D3169" t="str">
        <f>"B0240.5"</f>
        <v>B0240.5</v>
      </c>
      <c r="F3169" t="s">
        <v>481</v>
      </c>
      <c r="H3169" s="12">
        <v>2.3893468495514898</v>
      </c>
      <c r="I3169" s="11">
        <v>0.25323547253672701</v>
      </c>
      <c r="J3169" s="10">
        <v>0.80008625651646104</v>
      </c>
      <c r="K3169" s="29">
        <v>0.98289565623980701</v>
      </c>
    </row>
    <row r="3170" spans="1:11" x14ac:dyDescent="0.35">
      <c r="A3170" s="9" t="str">
        <f>HYPERLINK("http://www.ensembl.org/id/WBGene00200462", "WBGene00200462")</f>
        <v>WBGene00200462</v>
      </c>
      <c r="B3170" s="9"/>
      <c r="C3170" s="9"/>
      <c r="D3170" t="str">
        <f>"B0310.9"</f>
        <v>B0310.9</v>
      </c>
      <c r="F3170" t="s">
        <v>481</v>
      </c>
      <c r="H3170" s="12">
        <v>2.3893468495514898</v>
      </c>
      <c r="I3170" s="11">
        <v>0.25323547253672701</v>
      </c>
      <c r="J3170" s="10">
        <v>0.80008625651646104</v>
      </c>
      <c r="K3170" s="29">
        <v>0.98289565623980701</v>
      </c>
    </row>
    <row r="3171" spans="1:11" x14ac:dyDescent="0.35">
      <c r="A3171" s="9" t="str">
        <f>HYPERLINK("http://www.ensembl.org/id/WBGene00200898", "WBGene00200898")</f>
        <v>WBGene00200898</v>
      </c>
      <c r="B3171" s="9"/>
      <c r="C3171" s="9"/>
      <c r="D3171" t="str">
        <f>"B0350.77"</f>
        <v>B0350.77</v>
      </c>
      <c r="F3171" t="s">
        <v>481</v>
      </c>
      <c r="H3171" s="12">
        <v>2.3893468495514898</v>
      </c>
      <c r="I3171" s="11">
        <v>0.25323547253672701</v>
      </c>
      <c r="J3171" s="10">
        <v>0.80008625651646104</v>
      </c>
      <c r="K3171" s="29">
        <v>0.98289565623980701</v>
      </c>
    </row>
    <row r="3172" spans="1:11" x14ac:dyDescent="0.35">
      <c r="A3172" s="9" t="str">
        <f>HYPERLINK("http://www.ensembl.org/id/WBGene00014658", "WBGene00014658")</f>
        <v>WBGene00014658</v>
      </c>
      <c r="B3172" s="9"/>
      <c r="C3172" s="9"/>
      <c r="D3172" t="str">
        <f>"B0399.t15"</f>
        <v>B0399.t15</v>
      </c>
      <c r="F3172" t="s">
        <v>80</v>
      </c>
      <c r="H3172" s="12">
        <v>2.3893468495514898</v>
      </c>
      <c r="I3172" s="11">
        <v>0.25323547253672701</v>
      </c>
      <c r="J3172" s="10">
        <v>0.80008625651646104</v>
      </c>
      <c r="K3172" s="29">
        <v>0.98289565623980701</v>
      </c>
    </row>
    <row r="3173" spans="1:11" x14ac:dyDescent="0.35">
      <c r="A3173" s="9" t="str">
        <f>HYPERLINK("http://www.ensembl.org/id/WBGene00195710", "WBGene00195710")</f>
        <v>WBGene00195710</v>
      </c>
      <c r="B3173" s="9"/>
      <c r="C3173" s="9"/>
      <c r="D3173" t="str">
        <f>"B0416.8"</f>
        <v>B0416.8</v>
      </c>
      <c r="F3173" t="s">
        <v>481</v>
      </c>
      <c r="H3173" s="12">
        <v>2.3893468495514898</v>
      </c>
      <c r="I3173" s="11">
        <v>0.25323547253672701</v>
      </c>
      <c r="J3173" s="10">
        <v>0.80008625651646104</v>
      </c>
      <c r="K3173" s="29">
        <v>0.98289565623980701</v>
      </c>
    </row>
    <row r="3174" spans="1:11" x14ac:dyDescent="0.35">
      <c r="A3174" s="9" t="str">
        <f>HYPERLINK("http://www.ensembl.org/id/WBGene00198708", "WBGene00198708")</f>
        <v>WBGene00198708</v>
      </c>
      <c r="B3174" s="9"/>
      <c r="C3174" s="9"/>
      <c r="D3174" t="str">
        <f>"C01A2.10"</f>
        <v>C01A2.10</v>
      </c>
      <c r="F3174" t="s">
        <v>481</v>
      </c>
      <c r="H3174" s="12">
        <v>2.3893468495514898</v>
      </c>
      <c r="I3174" s="11">
        <v>0.25323547253672701</v>
      </c>
      <c r="J3174" s="10">
        <v>0.80008625651646104</v>
      </c>
      <c r="K3174" s="29">
        <v>0.98289565623980701</v>
      </c>
    </row>
    <row r="3175" spans="1:11" x14ac:dyDescent="0.35">
      <c r="A3175" s="9" t="str">
        <f>HYPERLINK("http://www.ensembl.org/id/WBGene00195911", "WBGene00195911")</f>
        <v>WBGene00195911</v>
      </c>
      <c r="B3175" s="9"/>
      <c r="C3175" s="9"/>
      <c r="D3175" t="str">
        <f>"C01B10.45"</f>
        <v>C01B10.45</v>
      </c>
      <c r="F3175" t="s">
        <v>481</v>
      </c>
      <c r="H3175" s="12">
        <v>2.3893468495514898</v>
      </c>
      <c r="I3175" s="11">
        <v>0.25323547253672701</v>
      </c>
      <c r="J3175" s="10">
        <v>0.80008625651646104</v>
      </c>
      <c r="K3175" s="29">
        <v>0.98289565623980701</v>
      </c>
    </row>
    <row r="3176" spans="1:11" x14ac:dyDescent="0.35">
      <c r="A3176" s="9" t="str">
        <f>HYPERLINK("http://www.ensembl.org/id/WBGene00196436", "WBGene00196436")</f>
        <v>WBGene00196436</v>
      </c>
      <c r="B3176" s="9"/>
      <c r="C3176" s="9"/>
      <c r="D3176" t="str">
        <f>"C01B7.9"</f>
        <v>C01B7.9</v>
      </c>
      <c r="F3176" t="s">
        <v>481</v>
      </c>
      <c r="H3176" s="12">
        <v>2.3893468495514898</v>
      </c>
      <c r="I3176" s="11">
        <v>0.25323547253672701</v>
      </c>
      <c r="J3176" s="10">
        <v>0.80008625651646104</v>
      </c>
      <c r="K3176" s="29">
        <v>0.98289565623980701</v>
      </c>
    </row>
    <row r="3177" spans="1:11" x14ac:dyDescent="0.35">
      <c r="A3177" s="9" t="str">
        <f>HYPERLINK("http://www.ensembl.org/id/WBGene00201710", "WBGene00201710")</f>
        <v>WBGene00201710</v>
      </c>
      <c r="B3177" s="9"/>
      <c r="C3177" s="9"/>
      <c r="D3177" t="str">
        <f>"C01H6.11"</f>
        <v>C01H6.11</v>
      </c>
      <c r="F3177" t="s">
        <v>481</v>
      </c>
      <c r="H3177" s="12">
        <v>2.3893468495514898</v>
      </c>
      <c r="I3177" s="11">
        <v>0.25323547253672701</v>
      </c>
      <c r="J3177" s="10">
        <v>0.80008625651646104</v>
      </c>
      <c r="K3177" s="29">
        <v>0.98289565623980701</v>
      </c>
    </row>
    <row r="3178" spans="1:11" x14ac:dyDescent="0.35">
      <c r="A3178" s="9" t="str">
        <f>HYPERLINK("http://www.ensembl.org/id/WBGene00202419", "WBGene00202419")</f>
        <v>WBGene00202419</v>
      </c>
      <c r="B3178" s="9"/>
      <c r="C3178" s="9"/>
      <c r="D3178" t="str">
        <f>"C02F4.11"</f>
        <v>C02F4.11</v>
      </c>
      <c r="F3178" t="s">
        <v>481</v>
      </c>
      <c r="H3178" s="12">
        <v>2.3893468495514898</v>
      </c>
      <c r="I3178" s="11">
        <v>0.25323547253672701</v>
      </c>
      <c r="J3178" s="10">
        <v>0.80008625651646104</v>
      </c>
      <c r="K3178" s="29">
        <v>0.98289565623980701</v>
      </c>
    </row>
    <row r="3179" spans="1:11" x14ac:dyDescent="0.35">
      <c r="A3179" s="9" t="str">
        <f>HYPERLINK("http://www.ensembl.org/id/WBGene00202026", "WBGene00202026")</f>
        <v>WBGene00202026</v>
      </c>
      <c r="B3179" s="9"/>
      <c r="C3179" s="9"/>
      <c r="D3179" t="str">
        <f>"C04A2.14"</f>
        <v>C04A2.14</v>
      </c>
      <c r="F3179" t="s">
        <v>481</v>
      </c>
      <c r="H3179" s="12">
        <v>2.3893468495514898</v>
      </c>
      <c r="I3179" s="11">
        <v>0.25323547253672701</v>
      </c>
      <c r="J3179" s="10">
        <v>0.80008625651646104</v>
      </c>
      <c r="K3179" s="29">
        <v>0.98289565623980701</v>
      </c>
    </row>
    <row r="3180" spans="1:11" x14ac:dyDescent="0.35">
      <c r="A3180" s="9" t="str">
        <f>HYPERLINK("http://www.ensembl.org/id/WBGene00202226", "WBGene00202226")</f>
        <v>WBGene00202226</v>
      </c>
      <c r="B3180" s="9"/>
      <c r="C3180" s="9"/>
      <c r="D3180" t="str">
        <f>"C05A9.10"</f>
        <v>C05A9.10</v>
      </c>
      <c r="F3180" t="s">
        <v>481</v>
      </c>
      <c r="H3180" s="12">
        <v>2.3893468495514898</v>
      </c>
      <c r="I3180" s="11">
        <v>0.25323547253672701</v>
      </c>
      <c r="J3180" s="10">
        <v>0.80008625651646104</v>
      </c>
      <c r="K3180" s="29">
        <v>0.98289565623980701</v>
      </c>
    </row>
    <row r="3181" spans="1:11" x14ac:dyDescent="0.35">
      <c r="A3181" s="9" t="str">
        <f>HYPERLINK("http://www.ensembl.org/id/WBGene00202332", "WBGene00202332")</f>
        <v>WBGene00202332</v>
      </c>
      <c r="B3181" s="9"/>
      <c r="C3181" s="9"/>
      <c r="D3181" t="str">
        <f>"C05B10.21"</f>
        <v>C05B10.21</v>
      </c>
      <c r="F3181" t="s">
        <v>481</v>
      </c>
      <c r="H3181" s="12">
        <v>2.3893468495514898</v>
      </c>
      <c r="I3181" s="11">
        <v>0.25323547253672701</v>
      </c>
      <c r="J3181" s="10">
        <v>0.80008625651646104</v>
      </c>
      <c r="K3181" s="29">
        <v>0.98289565623980701</v>
      </c>
    </row>
    <row r="3182" spans="1:11" x14ac:dyDescent="0.35">
      <c r="A3182" s="9" t="str">
        <f>HYPERLINK("http://www.ensembl.org/id/WBGene00199190", "WBGene00199190")</f>
        <v>WBGene00199190</v>
      </c>
      <c r="B3182" s="9"/>
      <c r="C3182" s="9"/>
      <c r="D3182" t="str">
        <f>"C05B5.15"</f>
        <v>C05B5.15</v>
      </c>
      <c r="F3182" t="s">
        <v>481</v>
      </c>
      <c r="H3182" s="12">
        <v>2.3893468495514898</v>
      </c>
      <c r="I3182" s="11">
        <v>0.25323547253672701</v>
      </c>
      <c r="J3182" s="10">
        <v>0.80008625651646104</v>
      </c>
      <c r="K3182" s="29">
        <v>0.98289565623980701</v>
      </c>
    </row>
    <row r="3183" spans="1:11" x14ac:dyDescent="0.35">
      <c r="A3183" s="9" t="str">
        <f>HYPERLINK("http://www.ensembl.org/id/WBGene00219314", "WBGene00219314")</f>
        <v>WBGene00219314</v>
      </c>
      <c r="B3183" s="9" t="str">
        <f>HYPERLINK("http://www.ncbi.nlm.nih.gov/gene/13191006", "13191006")</f>
        <v>13191006</v>
      </c>
      <c r="C3183" s="9"/>
      <c r="D3183" t="str">
        <f>"C05B5.17"</f>
        <v>C05B5.17</v>
      </c>
      <c r="F3183" t="s">
        <v>11</v>
      </c>
      <c r="G3183" t="s">
        <v>25</v>
      </c>
      <c r="H3183" s="12">
        <v>2.3893468495514898</v>
      </c>
      <c r="I3183" s="11">
        <v>0.25323547253672701</v>
      </c>
      <c r="J3183" s="10">
        <v>0.80008625651646104</v>
      </c>
      <c r="K3183" s="29">
        <v>0.98289565623980701</v>
      </c>
    </row>
    <row r="3184" spans="1:11" x14ac:dyDescent="0.35">
      <c r="A3184" s="9" t="str">
        <f>HYPERLINK("http://www.ensembl.org/id/WBGene00195372", "WBGene00195372")</f>
        <v>WBGene00195372</v>
      </c>
      <c r="B3184" s="9"/>
      <c r="C3184" s="9"/>
      <c r="D3184" t="str">
        <f>"C05E11.9"</f>
        <v>C05E11.9</v>
      </c>
      <c r="F3184" t="s">
        <v>481</v>
      </c>
      <c r="H3184" s="12">
        <v>2.3893468495514898</v>
      </c>
      <c r="I3184" s="11">
        <v>0.25323547253672701</v>
      </c>
      <c r="J3184" s="10">
        <v>0.80008625651646104</v>
      </c>
      <c r="K3184" s="29">
        <v>0.98289565623980701</v>
      </c>
    </row>
    <row r="3185" spans="1:11" x14ac:dyDescent="0.35">
      <c r="A3185" s="9" t="str">
        <f>HYPERLINK("http://www.ensembl.org/id/WBGene00201402", "WBGene00201402")</f>
        <v>WBGene00201402</v>
      </c>
      <c r="B3185" s="9"/>
      <c r="C3185" s="9"/>
      <c r="D3185" t="str">
        <f>"C06E4.19"</f>
        <v>C06E4.19</v>
      </c>
      <c r="F3185" t="s">
        <v>481</v>
      </c>
      <c r="H3185" s="12">
        <v>2.3893468495514898</v>
      </c>
      <c r="I3185" s="11">
        <v>0.25323547253672701</v>
      </c>
      <c r="J3185" s="10">
        <v>0.80008625651646104</v>
      </c>
      <c r="K3185" s="29">
        <v>0.98289565623980701</v>
      </c>
    </row>
    <row r="3186" spans="1:11" x14ac:dyDescent="0.35">
      <c r="A3186" s="9" t="str">
        <f>HYPERLINK("http://www.ensembl.org/id/WBGene00045124", "WBGene00045124")</f>
        <v>WBGene00045124</v>
      </c>
      <c r="B3186" s="9"/>
      <c r="C3186" s="9"/>
      <c r="D3186" t="str">
        <f>"C07A9.14"</f>
        <v>C07A9.14</v>
      </c>
      <c r="F3186" t="s">
        <v>2977</v>
      </c>
      <c r="H3186" s="12">
        <v>2.3893468495514898</v>
      </c>
      <c r="I3186" s="11">
        <v>0.25323547253672701</v>
      </c>
      <c r="J3186" s="10">
        <v>0.80008625651646104</v>
      </c>
      <c r="K3186" s="29">
        <v>0.98289565623980701</v>
      </c>
    </row>
    <row r="3187" spans="1:11" x14ac:dyDescent="0.35">
      <c r="A3187" s="9" t="str">
        <f>HYPERLINK("http://www.ensembl.org/id/WBGene00044415", "WBGene00044415")</f>
        <v>WBGene00044415</v>
      </c>
      <c r="B3187" s="9" t="str">
        <f>HYPERLINK("http://www.ncbi.nlm.nih.gov/gene/3565476", "3565476")</f>
        <v>3565476</v>
      </c>
      <c r="C3187" s="9"/>
      <c r="D3187" t="str">
        <f>"C08E3.14"</f>
        <v>C08E3.14</v>
      </c>
      <c r="F3187" t="s">
        <v>11</v>
      </c>
      <c r="H3187" s="12">
        <v>2.3893468495514898</v>
      </c>
      <c r="I3187" s="11">
        <v>0.25323547253672701</v>
      </c>
      <c r="J3187" s="10">
        <v>0.80008625651646104</v>
      </c>
      <c r="K3187" s="29">
        <v>0.98289565623980701</v>
      </c>
    </row>
    <row r="3188" spans="1:11" x14ac:dyDescent="0.35">
      <c r="A3188" s="9" t="str">
        <f>HYPERLINK("http://www.ensembl.org/id/WBGene00199437", "WBGene00199437")</f>
        <v>WBGene00199437</v>
      </c>
      <c r="B3188" s="9"/>
      <c r="C3188" s="9"/>
      <c r="D3188" t="str">
        <f>"C08G9.6"</f>
        <v>C08G9.6</v>
      </c>
      <c r="F3188" t="s">
        <v>481</v>
      </c>
      <c r="H3188" s="12">
        <v>2.3893468495514898</v>
      </c>
      <c r="I3188" s="11">
        <v>0.25323547253672701</v>
      </c>
      <c r="J3188" s="10">
        <v>0.80008625651646104</v>
      </c>
      <c r="K3188" s="29">
        <v>0.98289565623980701</v>
      </c>
    </row>
    <row r="3189" spans="1:11" x14ac:dyDescent="0.35">
      <c r="A3189" s="9" t="str">
        <f>HYPERLINK("http://www.ensembl.org/id/WBGene00022919", "WBGene00022919")</f>
        <v>WBGene00022919</v>
      </c>
      <c r="B3189" s="9"/>
      <c r="C3189" s="9"/>
      <c r="D3189" t="str">
        <f>"C09B7.4"</f>
        <v>C09B7.4</v>
      </c>
      <c r="F3189" t="s">
        <v>481</v>
      </c>
      <c r="H3189" s="12">
        <v>2.3893468495514898</v>
      </c>
      <c r="I3189" s="11">
        <v>0.25323547253672701</v>
      </c>
      <c r="J3189" s="10">
        <v>0.80008625651646104</v>
      </c>
      <c r="K3189" s="29">
        <v>0.98289565623980701</v>
      </c>
    </row>
    <row r="3190" spans="1:11" x14ac:dyDescent="0.35">
      <c r="A3190" s="9" t="str">
        <f>HYPERLINK("http://www.ensembl.org/id/WBGene00007481", "WBGene00007481")</f>
        <v>WBGene00007481</v>
      </c>
      <c r="B3190" s="9"/>
      <c r="C3190" s="9"/>
      <c r="D3190" t="str">
        <f>"C09F9.4"</f>
        <v>C09F9.4</v>
      </c>
      <c r="F3190" t="s">
        <v>80</v>
      </c>
      <c r="H3190" s="12">
        <v>2.3893468495514898</v>
      </c>
      <c r="I3190" s="11">
        <v>0.25323547253672701</v>
      </c>
      <c r="J3190" s="10">
        <v>0.80008625651646104</v>
      </c>
      <c r="K3190" s="29">
        <v>0.98289565623980701</v>
      </c>
    </row>
    <row r="3191" spans="1:11" x14ac:dyDescent="0.35">
      <c r="A3191" s="9" t="str">
        <f>HYPERLINK("http://www.ensembl.org/id/WBGene00200513", "WBGene00200513")</f>
        <v>WBGene00200513</v>
      </c>
      <c r="B3191" s="9"/>
      <c r="C3191" s="9"/>
      <c r="D3191" t="str">
        <f>"C11E4.12"</f>
        <v>C11E4.12</v>
      </c>
      <c r="F3191" t="s">
        <v>481</v>
      </c>
      <c r="H3191" s="12">
        <v>2.3893468495514898</v>
      </c>
      <c r="I3191" s="11">
        <v>0.25323547253672701</v>
      </c>
      <c r="J3191" s="10">
        <v>0.80008625651646104</v>
      </c>
      <c r="K3191" s="29">
        <v>0.98289565623980701</v>
      </c>
    </row>
    <row r="3192" spans="1:11" x14ac:dyDescent="0.35">
      <c r="A3192" s="9" t="str">
        <f>HYPERLINK("http://www.ensembl.org/id/WBGene00014676", "WBGene00014676")</f>
        <v>WBGene00014676</v>
      </c>
      <c r="B3192" s="9"/>
      <c r="C3192" s="9"/>
      <c r="D3192" t="str">
        <f>"C12D8.7"</f>
        <v>C12D8.7</v>
      </c>
      <c r="F3192" t="s">
        <v>80</v>
      </c>
      <c r="H3192" s="12">
        <v>2.3893468495514898</v>
      </c>
      <c r="I3192" s="11">
        <v>0.25323547253672701</v>
      </c>
      <c r="J3192" s="10">
        <v>0.80008625651646104</v>
      </c>
      <c r="K3192" s="29">
        <v>0.98289565623980701</v>
      </c>
    </row>
    <row r="3193" spans="1:11" x14ac:dyDescent="0.35">
      <c r="A3193" s="9" t="str">
        <f>HYPERLINK("http://www.ensembl.org/id/WBGene00015724", "WBGene00015724")</f>
        <v>WBGene00015724</v>
      </c>
      <c r="B3193" s="9" t="str">
        <f>HYPERLINK("http://www.ncbi.nlm.nih.gov/gene/182555", "182555")</f>
        <v>182555</v>
      </c>
      <c r="C3193" s="9"/>
      <c r="D3193" t="str">
        <f>"C13A2.7"</f>
        <v>C13A2.7</v>
      </c>
      <c r="F3193" t="s">
        <v>11</v>
      </c>
      <c r="G3193" t="s">
        <v>25</v>
      </c>
      <c r="H3193" s="12">
        <v>2.3893468495514898</v>
      </c>
      <c r="I3193" s="11">
        <v>0.25323547253672701</v>
      </c>
      <c r="J3193" s="10">
        <v>0.80008625651646104</v>
      </c>
      <c r="K3193" s="29">
        <v>0.98289565623980701</v>
      </c>
    </row>
    <row r="3194" spans="1:11" x14ac:dyDescent="0.35">
      <c r="A3194" s="9" t="str">
        <f>HYPERLINK("http://www.ensembl.org/id/WBGene00195744", "WBGene00195744")</f>
        <v>WBGene00195744</v>
      </c>
      <c r="B3194" s="9"/>
      <c r="C3194" s="9"/>
      <c r="D3194" t="str">
        <f>"C14B9.11"</f>
        <v>C14B9.11</v>
      </c>
      <c r="F3194" t="s">
        <v>481</v>
      </c>
      <c r="H3194" s="12">
        <v>2.3893468495514898</v>
      </c>
      <c r="I3194" s="11">
        <v>0.25323547253672701</v>
      </c>
      <c r="J3194" s="10">
        <v>0.80008625651646104</v>
      </c>
      <c r="K3194" s="29">
        <v>0.98289565623980701</v>
      </c>
    </row>
    <row r="3195" spans="1:11" x14ac:dyDescent="0.35">
      <c r="A3195" s="9" t="str">
        <f>HYPERLINK("http://www.ensembl.org/id/WBGene00196229", "WBGene00196229")</f>
        <v>WBGene00196229</v>
      </c>
      <c r="B3195" s="9"/>
      <c r="C3195" s="9"/>
      <c r="D3195" t="str">
        <f>"C14E2.10"</f>
        <v>C14E2.10</v>
      </c>
      <c r="F3195" t="s">
        <v>481</v>
      </c>
      <c r="H3195" s="12">
        <v>2.3893468495514898</v>
      </c>
      <c r="I3195" s="11">
        <v>0.25323547253672701</v>
      </c>
      <c r="J3195" s="10">
        <v>0.80008625651646104</v>
      </c>
      <c r="K3195" s="29">
        <v>0.98289565623980701</v>
      </c>
    </row>
    <row r="3196" spans="1:11" x14ac:dyDescent="0.35">
      <c r="A3196" s="9" t="str">
        <f>HYPERLINK("http://www.ensembl.org/id/WBGene00015775", "WBGene00015775")</f>
        <v>WBGene00015775</v>
      </c>
      <c r="B3196" s="9" t="str">
        <f>HYPERLINK("http://www.ncbi.nlm.nih.gov/gene/182618", "182618")</f>
        <v>182618</v>
      </c>
      <c r="C3196" s="9"/>
      <c r="D3196" t="str">
        <f>"C14E2.6"</f>
        <v>C14E2.6</v>
      </c>
      <c r="F3196" t="s">
        <v>11</v>
      </c>
      <c r="G3196" t="s">
        <v>29</v>
      </c>
      <c r="H3196" s="12">
        <v>2.3893468495514898</v>
      </c>
      <c r="I3196" s="11">
        <v>0.25323547253672701</v>
      </c>
      <c r="J3196" s="10">
        <v>0.80008625651646104</v>
      </c>
      <c r="K3196" s="29">
        <v>0.98289565623980701</v>
      </c>
    </row>
    <row r="3197" spans="1:11" x14ac:dyDescent="0.35">
      <c r="A3197" s="9" t="str">
        <f>HYPERLINK("http://www.ensembl.org/id/WBGene00201481", "WBGene00201481")</f>
        <v>WBGene00201481</v>
      </c>
      <c r="B3197" s="9"/>
      <c r="C3197" s="9"/>
      <c r="D3197" t="str">
        <f>"C15B12.15"</f>
        <v>C15B12.15</v>
      </c>
      <c r="F3197" t="s">
        <v>481</v>
      </c>
      <c r="H3197" s="12">
        <v>2.3893468495514898</v>
      </c>
      <c r="I3197" s="11">
        <v>0.25323547253672701</v>
      </c>
      <c r="J3197" s="10">
        <v>0.80008625651646104</v>
      </c>
      <c r="K3197" s="29">
        <v>0.98289565623980701</v>
      </c>
    </row>
    <row r="3198" spans="1:11" x14ac:dyDescent="0.35">
      <c r="A3198" s="9" t="str">
        <f>HYPERLINK("http://www.ensembl.org/id/WBGene00304183", "WBGene00304183")</f>
        <v>WBGene00304183</v>
      </c>
      <c r="B3198" s="9"/>
      <c r="C3198" s="9"/>
      <c r="D3198" t="str">
        <f>"C15H11.17"</f>
        <v>C15H11.17</v>
      </c>
      <c r="F3198" t="s">
        <v>481</v>
      </c>
      <c r="H3198" s="12">
        <v>2.3893468495514898</v>
      </c>
      <c r="I3198" s="11">
        <v>0.25323547253672701</v>
      </c>
      <c r="J3198" s="10">
        <v>0.80008625651646104</v>
      </c>
      <c r="K3198" s="29">
        <v>0.98289565623980701</v>
      </c>
    </row>
    <row r="3199" spans="1:11" x14ac:dyDescent="0.35">
      <c r="A3199" s="9" t="str">
        <f>HYPERLINK("http://www.ensembl.org/id/WBGene00022929", "WBGene00022929")</f>
        <v>WBGene00022929</v>
      </c>
      <c r="B3199" s="9"/>
      <c r="C3199" s="9"/>
      <c r="D3199" t="str">
        <f>"C16B8.t3"</f>
        <v>C16B8.t3</v>
      </c>
      <c r="F3199" t="s">
        <v>4208</v>
      </c>
      <c r="H3199" s="12">
        <v>2.3893468495514898</v>
      </c>
      <c r="I3199" s="11">
        <v>0.25323547253672701</v>
      </c>
      <c r="J3199" s="10">
        <v>0.80008625651646104</v>
      </c>
      <c r="K3199" s="29">
        <v>0.98289565623980701</v>
      </c>
    </row>
    <row r="3200" spans="1:11" x14ac:dyDescent="0.35">
      <c r="A3200" s="9" t="str">
        <f>HYPERLINK("http://www.ensembl.org/id/WBGene00201181", "WBGene00201181")</f>
        <v>WBGene00201181</v>
      </c>
      <c r="B3200" s="9"/>
      <c r="C3200" s="9"/>
      <c r="D3200" t="str">
        <f>"C16C2.9"</f>
        <v>C16C2.9</v>
      </c>
      <c r="F3200" t="s">
        <v>481</v>
      </c>
      <c r="H3200" s="12">
        <v>2.3893468495514898</v>
      </c>
      <c r="I3200" s="11">
        <v>0.25323547253672701</v>
      </c>
      <c r="J3200" s="10">
        <v>0.80008625651646104</v>
      </c>
      <c r="K3200" s="29">
        <v>0.98289565623980701</v>
      </c>
    </row>
    <row r="3201" spans="1:11" x14ac:dyDescent="0.35">
      <c r="A3201" s="9" t="str">
        <f>HYPERLINK("http://www.ensembl.org/id/WBGene00219819", "WBGene00219819")</f>
        <v>WBGene00219819</v>
      </c>
      <c r="B3201" s="9"/>
      <c r="C3201" s="9"/>
      <c r="D3201" t="str">
        <f>"C16D2.4"</f>
        <v>C16D2.4</v>
      </c>
      <c r="F3201" t="s">
        <v>2977</v>
      </c>
      <c r="H3201" s="12">
        <v>2.3893468495514898</v>
      </c>
      <c r="I3201" s="11">
        <v>0.25323547253672701</v>
      </c>
      <c r="J3201" s="10">
        <v>0.80008625651646104</v>
      </c>
      <c r="K3201" s="29">
        <v>0.98289565623980701</v>
      </c>
    </row>
    <row r="3202" spans="1:11" x14ac:dyDescent="0.35">
      <c r="A3202" s="9" t="str">
        <f>HYPERLINK("http://www.ensembl.org/id/WBGene00022932", "WBGene00022932")</f>
        <v>WBGene00022932</v>
      </c>
      <c r="B3202" s="9"/>
      <c r="C3202" s="9"/>
      <c r="D3202" t="str">
        <f>"C16D9.10"</f>
        <v>C16D9.10</v>
      </c>
      <c r="F3202" t="s">
        <v>2977</v>
      </c>
      <c r="H3202" s="12">
        <v>2.3893468495514898</v>
      </c>
      <c r="I3202" s="11">
        <v>0.25323547253672701</v>
      </c>
      <c r="J3202" s="10">
        <v>0.80008625651646104</v>
      </c>
      <c r="K3202" s="29">
        <v>0.98289565623980701</v>
      </c>
    </row>
    <row r="3203" spans="1:11" x14ac:dyDescent="0.35">
      <c r="A3203" s="9" t="str">
        <f>HYPERLINK("http://www.ensembl.org/id/WBGene00197083", "WBGene00197083")</f>
        <v>WBGene00197083</v>
      </c>
      <c r="B3203" s="9"/>
      <c r="C3203" s="9"/>
      <c r="D3203" t="str">
        <f>"C16D9.13"</f>
        <v>C16D9.13</v>
      </c>
      <c r="F3203" t="s">
        <v>481</v>
      </c>
      <c r="H3203" s="12">
        <v>2.3893468495514898</v>
      </c>
      <c r="I3203" s="11">
        <v>0.25323547253672701</v>
      </c>
      <c r="J3203" s="10">
        <v>0.80008625651646104</v>
      </c>
      <c r="K3203" s="29">
        <v>0.98289565623980701</v>
      </c>
    </row>
    <row r="3204" spans="1:11" x14ac:dyDescent="0.35">
      <c r="A3204" s="9" t="str">
        <f>HYPERLINK("http://www.ensembl.org/id/WBGene00197458", "WBGene00197458")</f>
        <v>WBGene00197458</v>
      </c>
      <c r="B3204" s="9"/>
      <c r="C3204" s="9"/>
      <c r="D3204" t="str">
        <f>"C16E9.14"</f>
        <v>C16E9.14</v>
      </c>
      <c r="F3204" t="s">
        <v>481</v>
      </c>
      <c r="H3204" s="12">
        <v>2.3893468495514898</v>
      </c>
      <c r="I3204" s="11">
        <v>0.25323547253672701</v>
      </c>
      <c r="J3204" s="10">
        <v>0.80008625651646104</v>
      </c>
      <c r="K3204" s="29">
        <v>0.98289565623980701</v>
      </c>
    </row>
    <row r="3205" spans="1:11" x14ac:dyDescent="0.35">
      <c r="A3205" s="9" t="str">
        <f>HYPERLINK("http://www.ensembl.org/id/WBGene00201254", "WBGene00201254")</f>
        <v>WBGene00201254</v>
      </c>
      <c r="B3205" s="9"/>
      <c r="C3205" s="9"/>
      <c r="D3205" t="str">
        <f>"C16E9.25"</f>
        <v>C16E9.25</v>
      </c>
      <c r="F3205" t="s">
        <v>481</v>
      </c>
      <c r="H3205" s="12">
        <v>2.3893468495514898</v>
      </c>
      <c r="I3205" s="11">
        <v>0.25323547253672701</v>
      </c>
      <c r="J3205" s="10">
        <v>0.80008625651646104</v>
      </c>
      <c r="K3205" s="29">
        <v>0.98289565623980701</v>
      </c>
    </row>
    <row r="3206" spans="1:11" x14ac:dyDescent="0.35">
      <c r="A3206" s="9" t="str">
        <f>HYPERLINK("http://www.ensembl.org/id/WBGene00196780", "WBGene00196780")</f>
        <v>WBGene00196780</v>
      </c>
      <c r="B3206" s="9"/>
      <c r="C3206" s="9"/>
      <c r="D3206" t="str">
        <f>"C17E4.15"</f>
        <v>C17E4.15</v>
      </c>
      <c r="F3206" t="s">
        <v>481</v>
      </c>
      <c r="H3206" s="12">
        <v>2.3893468495514898</v>
      </c>
      <c r="I3206" s="11">
        <v>0.25323547253672701</v>
      </c>
      <c r="J3206" s="10">
        <v>0.80008625651646104</v>
      </c>
      <c r="K3206" s="29">
        <v>0.98289565623980701</v>
      </c>
    </row>
    <row r="3207" spans="1:11" x14ac:dyDescent="0.35">
      <c r="A3207" s="9" t="str">
        <f>HYPERLINK("http://www.ensembl.org/id/WBGene00198214", "WBGene00198214")</f>
        <v>WBGene00198214</v>
      </c>
      <c r="B3207" s="9"/>
      <c r="C3207" s="9"/>
      <c r="D3207" t="str">
        <f>"C17E4.17"</f>
        <v>C17E4.17</v>
      </c>
      <c r="F3207" t="s">
        <v>481</v>
      </c>
      <c r="H3207" s="12">
        <v>2.3893468495514898</v>
      </c>
      <c r="I3207" s="11">
        <v>0.25323547253672701</v>
      </c>
      <c r="J3207" s="10">
        <v>0.80008625651646104</v>
      </c>
      <c r="K3207" s="29">
        <v>0.98289565623980701</v>
      </c>
    </row>
    <row r="3208" spans="1:11" x14ac:dyDescent="0.35">
      <c r="A3208" s="9" t="str">
        <f>HYPERLINK("http://www.ensembl.org/id/WBGene00200196", "WBGene00200196")</f>
        <v>WBGene00200196</v>
      </c>
      <c r="B3208" s="9"/>
      <c r="C3208" s="9"/>
      <c r="D3208" t="str">
        <f>"C17G1.12"</f>
        <v>C17G1.12</v>
      </c>
      <c r="F3208" t="s">
        <v>481</v>
      </c>
      <c r="H3208" s="12">
        <v>2.3893468495514898</v>
      </c>
      <c r="I3208" s="11">
        <v>0.25323547253672701</v>
      </c>
      <c r="J3208" s="10">
        <v>0.80008625651646104</v>
      </c>
      <c r="K3208" s="29">
        <v>0.98289565623980701</v>
      </c>
    </row>
    <row r="3209" spans="1:11" x14ac:dyDescent="0.35">
      <c r="A3209" s="9" t="str">
        <f>HYPERLINK("http://www.ensembl.org/id/WBGene00199471", "WBGene00199471")</f>
        <v>WBGene00199471</v>
      </c>
      <c r="B3209" s="9"/>
      <c r="C3209" s="9"/>
      <c r="D3209" t="str">
        <f>"C17G10.11"</f>
        <v>C17G10.11</v>
      </c>
      <c r="F3209" t="s">
        <v>481</v>
      </c>
      <c r="H3209" s="12">
        <v>2.3893468495514898</v>
      </c>
      <c r="I3209" s="11">
        <v>0.25323547253672701</v>
      </c>
      <c r="J3209" s="10">
        <v>0.80008625651646104</v>
      </c>
      <c r="K3209" s="29">
        <v>0.98289565623980701</v>
      </c>
    </row>
    <row r="3210" spans="1:11" x14ac:dyDescent="0.35">
      <c r="A3210" s="9" t="str">
        <f>HYPERLINK("http://www.ensembl.org/id/WBGene00198413", "WBGene00198413")</f>
        <v>WBGene00198413</v>
      </c>
      <c r="B3210" s="9"/>
      <c r="C3210" s="9"/>
      <c r="D3210" t="str">
        <f>"C18A3.21"</f>
        <v>C18A3.21</v>
      </c>
      <c r="F3210" t="s">
        <v>481</v>
      </c>
      <c r="H3210" s="12">
        <v>2.3893468495514898</v>
      </c>
      <c r="I3210" s="11">
        <v>0.25323547253672701</v>
      </c>
      <c r="J3210" s="10">
        <v>0.80008625651646104</v>
      </c>
      <c r="K3210" s="29">
        <v>0.98289565623980701</v>
      </c>
    </row>
    <row r="3211" spans="1:11" x14ac:dyDescent="0.35">
      <c r="A3211" s="9" t="str">
        <f>HYPERLINK("http://www.ensembl.org/id/WBGene00196892", "WBGene00196892")</f>
        <v>WBGene00196892</v>
      </c>
      <c r="B3211" s="9"/>
      <c r="C3211" s="9"/>
      <c r="D3211" t="str">
        <f>"C18D1.12"</f>
        <v>C18D1.12</v>
      </c>
      <c r="F3211" t="s">
        <v>481</v>
      </c>
      <c r="H3211" s="12">
        <v>2.3893468495514898</v>
      </c>
      <c r="I3211" s="11">
        <v>0.25323547253672701</v>
      </c>
      <c r="J3211" s="10">
        <v>0.80008625651646104</v>
      </c>
      <c r="K3211" s="29">
        <v>0.98289565623980701</v>
      </c>
    </row>
    <row r="3212" spans="1:11" x14ac:dyDescent="0.35">
      <c r="A3212" s="9" t="str">
        <f>HYPERLINK("http://www.ensembl.org/id/WBGene00198105", "WBGene00198105")</f>
        <v>WBGene00198105</v>
      </c>
      <c r="B3212" s="9"/>
      <c r="C3212" s="9"/>
      <c r="D3212" t="str">
        <f>"C24D10.47"</f>
        <v>C24D10.47</v>
      </c>
      <c r="F3212" t="s">
        <v>481</v>
      </c>
      <c r="H3212" s="12">
        <v>2.3893468495514898</v>
      </c>
      <c r="I3212" s="11">
        <v>0.25323547253672701</v>
      </c>
      <c r="J3212" s="10">
        <v>0.80008625651646104</v>
      </c>
      <c r="K3212" s="29">
        <v>0.98289565623980701</v>
      </c>
    </row>
    <row r="3213" spans="1:11" x14ac:dyDescent="0.35">
      <c r="A3213" s="9" t="str">
        <f>HYPERLINK("http://www.ensembl.org/id/WBGene00016075", "WBGene00016075")</f>
        <v>WBGene00016075</v>
      </c>
      <c r="B3213" s="9" t="str">
        <f>HYPERLINK("http://www.ncbi.nlm.nih.gov/gene/182868", "182868")</f>
        <v>182868</v>
      </c>
      <c r="C3213" s="9"/>
      <c r="D3213" t="str">
        <f>"C24H12.6"</f>
        <v>C24H12.6</v>
      </c>
      <c r="F3213" t="s">
        <v>11</v>
      </c>
      <c r="H3213" s="12">
        <v>2.3893468495514898</v>
      </c>
      <c r="I3213" s="11">
        <v>0.25323547253672701</v>
      </c>
      <c r="J3213" s="10">
        <v>0.80008625651646104</v>
      </c>
      <c r="K3213" s="29">
        <v>0.98289565623980701</v>
      </c>
    </row>
    <row r="3214" spans="1:11" x14ac:dyDescent="0.35">
      <c r="A3214" s="9" t="str">
        <f>HYPERLINK("http://www.ensembl.org/id/WBGene00198694", "WBGene00198694")</f>
        <v>WBGene00198694</v>
      </c>
      <c r="B3214" s="9"/>
      <c r="C3214" s="9"/>
      <c r="D3214" t="str">
        <f>"C25A11.8"</f>
        <v>C25A11.8</v>
      </c>
      <c r="F3214" t="s">
        <v>481</v>
      </c>
      <c r="H3214" s="12">
        <v>2.3893468495514898</v>
      </c>
      <c r="I3214" s="11">
        <v>0.25323547253672701</v>
      </c>
      <c r="J3214" s="10">
        <v>0.80008625651646104</v>
      </c>
      <c r="K3214" s="29">
        <v>0.98289565623980701</v>
      </c>
    </row>
    <row r="3215" spans="1:11" x14ac:dyDescent="0.35">
      <c r="A3215" s="9" t="str">
        <f>HYPERLINK("http://www.ensembl.org/id/WBGene00201795", "WBGene00201795")</f>
        <v>WBGene00201795</v>
      </c>
      <c r="B3215" s="9"/>
      <c r="C3215" s="9"/>
      <c r="D3215" t="str">
        <f>"C25E10.15"</f>
        <v>C25E10.15</v>
      </c>
      <c r="F3215" t="s">
        <v>481</v>
      </c>
      <c r="H3215" s="12">
        <v>2.3893468495514898</v>
      </c>
      <c r="I3215" s="11">
        <v>0.25323547253672701</v>
      </c>
      <c r="J3215" s="10">
        <v>0.80008625651646104</v>
      </c>
      <c r="K3215" s="29">
        <v>0.98289565623980701</v>
      </c>
    </row>
    <row r="3216" spans="1:11" x14ac:dyDescent="0.35">
      <c r="A3216" s="9" t="str">
        <f>HYPERLINK("http://www.ensembl.org/id/WBGene00197912", "WBGene00197912")</f>
        <v>WBGene00197912</v>
      </c>
      <c r="B3216" s="9"/>
      <c r="C3216" s="9"/>
      <c r="D3216" t="str">
        <f>"C25F6.16"</f>
        <v>C25F6.16</v>
      </c>
      <c r="F3216" t="s">
        <v>481</v>
      </c>
      <c r="H3216" s="12">
        <v>2.3893468495514898</v>
      </c>
      <c r="I3216" s="11">
        <v>0.25323547253672701</v>
      </c>
      <c r="J3216" s="10">
        <v>0.80008625651646104</v>
      </c>
      <c r="K3216" s="29">
        <v>0.98289565623980701</v>
      </c>
    </row>
    <row r="3217" spans="1:11" x14ac:dyDescent="0.35">
      <c r="A3217" s="9" t="str">
        <f>HYPERLINK("http://www.ensembl.org/id/WBGene00199708", "WBGene00199708")</f>
        <v>WBGene00199708</v>
      </c>
      <c r="B3217" s="9"/>
      <c r="C3217" s="9"/>
      <c r="D3217" t="str">
        <f>"C25F6.18"</f>
        <v>C25F6.18</v>
      </c>
      <c r="F3217" t="s">
        <v>481</v>
      </c>
      <c r="H3217" s="12">
        <v>2.3893468495514898</v>
      </c>
      <c r="I3217" s="11">
        <v>0.25323547253672701</v>
      </c>
      <c r="J3217" s="10">
        <v>0.80008625651646104</v>
      </c>
      <c r="K3217" s="29">
        <v>0.98289565623980701</v>
      </c>
    </row>
    <row r="3218" spans="1:11" x14ac:dyDescent="0.35">
      <c r="A3218" s="9" t="str">
        <f>HYPERLINK("http://www.ensembl.org/id/WBGene00007747", "WBGene00007747")</f>
        <v>WBGene00007747</v>
      </c>
      <c r="B3218" s="9" t="str">
        <f>HYPERLINK("http://www.ncbi.nlm.nih.gov/gene/182939", "182939")</f>
        <v>182939</v>
      </c>
      <c r="C3218" s="9"/>
      <c r="D3218" t="str">
        <f>"C26E1.1"</f>
        <v>C26E1.1</v>
      </c>
      <c r="F3218" t="s">
        <v>11</v>
      </c>
      <c r="H3218" s="12">
        <v>2.3893468495514898</v>
      </c>
      <c r="I3218" s="11">
        <v>0.25323547253672701</v>
      </c>
      <c r="J3218" s="10">
        <v>0.80008625651646104</v>
      </c>
      <c r="K3218" s="29">
        <v>0.98289565623980701</v>
      </c>
    </row>
    <row r="3219" spans="1:11" x14ac:dyDescent="0.35">
      <c r="A3219" s="9" t="str">
        <f>HYPERLINK("http://www.ensembl.org/id/WBGene00022946", "WBGene00022946")</f>
        <v>WBGene00022946</v>
      </c>
      <c r="B3219" s="9"/>
      <c r="C3219" s="9"/>
      <c r="D3219" t="str">
        <f>"C27A12.t1"</f>
        <v>C27A12.t1</v>
      </c>
      <c r="F3219" t="s">
        <v>4208</v>
      </c>
      <c r="H3219" s="12">
        <v>2.3893468495514898</v>
      </c>
      <c r="I3219" s="11">
        <v>0.25323547253672701</v>
      </c>
      <c r="J3219" s="10">
        <v>0.80008625651646104</v>
      </c>
      <c r="K3219" s="29">
        <v>0.98289565623980701</v>
      </c>
    </row>
    <row r="3220" spans="1:11" x14ac:dyDescent="0.35">
      <c r="A3220" s="9" t="str">
        <f>HYPERLINK("http://www.ensembl.org/id/WBGene00016226", "WBGene00016226")</f>
        <v>WBGene00016226</v>
      </c>
      <c r="B3220" s="9" t="str">
        <f>HYPERLINK("http://www.ncbi.nlm.nih.gov/gene/183028", "183028")</f>
        <v>183028</v>
      </c>
      <c r="C3220" s="9"/>
      <c r="D3220" t="str">
        <f>"C29F9.12"</f>
        <v>C29F9.12</v>
      </c>
      <c r="F3220" t="s">
        <v>11</v>
      </c>
      <c r="H3220" s="12">
        <v>2.3893468495514898</v>
      </c>
      <c r="I3220" s="11">
        <v>0.25323547253672701</v>
      </c>
      <c r="J3220" s="10">
        <v>0.80008625651646104</v>
      </c>
      <c r="K3220" s="29">
        <v>0.98289565623980701</v>
      </c>
    </row>
    <row r="3221" spans="1:11" x14ac:dyDescent="0.35">
      <c r="A3221" s="9" t="str">
        <f>HYPERLINK("http://www.ensembl.org/id/WBGene00219841", "WBGene00219841")</f>
        <v>WBGene00219841</v>
      </c>
      <c r="B3221" s="9"/>
      <c r="C3221" s="9"/>
      <c r="D3221" t="str">
        <f>"C30C11.14"</f>
        <v>C30C11.14</v>
      </c>
      <c r="F3221" t="s">
        <v>481</v>
      </c>
      <c r="H3221" s="12">
        <v>2.3893468495514898</v>
      </c>
      <c r="I3221" s="11">
        <v>0.25323547253672701</v>
      </c>
      <c r="J3221" s="10">
        <v>0.80008625651646104</v>
      </c>
      <c r="K3221" s="29">
        <v>0.98289565623980701</v>
      </c>
    </row>
    <row r="3222" spans="1:11" x14ac:dyDescent="0.35">
      <c r="A3222" s="9" t="str">
        <f>HYPERLINK("http://www.ensembl.org/id/WBGene00197575", "WBGene00197575")</f>
        <v>WBGene00197575</v>
      </c>
      <c r="B3222" s="9"/>
      <c r="C3222" s="9"/>
      <c r="D3222" t="str">
        <f>"C30C11.9"</f>
        <v>C30C11.9</v>
      </c>
      <c r="F3222" t="s">
        <v>481</v>
      </c>
      <c r="H3222" s="12">
        <v>2.3893468495514898</v>
      </c>
      <c r="I3222" s="11">
        <v>0.25323547253672701</v>
      </c>
      <c r="J3222" s="10">
        <v>0.80008625651646104</v>
      </c>
      <c r="K3222" s="29">
        <v>0.98289565623980701</v>
      </c>
    </row>
    <row r="3223" spans="1:11" x14ac:dyDescent="0.35">
      <c r="A3223" s="9" t="str">
        <f>HYPERLINK("http://www.ensembl.org/id/WBGene00195722", "WBGene00195722")</f>
        <v>WBGene00195722</v>
      </c>
      <c r="B3223" s="9"/>
      <c r="C3223" s="9"/>
      <c r="D3223" t="str">
        <f>"C31H2.6"</f>
        <v>C31H2.6</v>
      </c>
      <c r="F3223" t="s">
        <v>481</v>
      </c>
      <c r="H3223" s="12">
        <v>2.3893468495514898</v>
      </c>
      <c r="I3223" s="11">
        <v>0.25323547253672701</v>
      </c>
      <c r="J3223" s="10">
        <v>0.80008625651646104</v>
      </c>
      <c r="K3223" s="29">
        <v>0.98289565623980701</v>
      </c>
    </row>
    <row r="3224" spans="1:11" x14ac:dyDescent="0.35">
      <c r="A3224" s="9" t="str">
        <f>HYPERLINK("http://www.ensembl.org/id/WBGene00196364", "WBGene00196364")</f>
        <v>WBGene00196364</v>
      </c>
      <c r="B3224" s="9"/>
      <c r="C3224" s="9"/>
      <c r="D3224" t="str">
        <f>"C32C4.10"</f>
        <v>C32C4.10</v>
      </c>
      <c r="F3224" t="s">
        <v>481</v>
      </c>
      <c r="H3224" s="12">
        <v>2.3893468495514898</v>
      </c>
      <c r="I3224" s="11">
        <v>0.25323547253672701</v>
      </c>
      <c r="J3224" s="10">
        <v>0.80008625651646104</v>
      </c>
      <c r="K3224" s="29">
        <v>0.98289565623980701</v>
      </c>
    </row>
    <row r="3225" spans="1:11" x14ac:dyDescent="0.35">
      <c r="A3225" s="9" t="str">
        <f>HYPERLINK("http://www.ensembl.org/id/WBGene00023246", "WBGene00023246")</f>
        <v>WBGene00023246</v>
      </c>
      <c r="B3225" s="9"/>
      <c r="C3225" s="9"/>
      <c r="D3225" t="str">
        <f>"C33E10.4"</f>
        <v>C33E10.4</v>
      </c>
      <c r="F3225" t="s">
        <v>80</v>
      </c>
      <c r="H3225" s="12">
        <v>2.3893468495514898</v>
      </c>
      <c r="I3225" s="11">
        <v>0.25323547253672701</v>
      </c>
      <c r="J3225" s="10">
        <v>0.80008625651646104</v>
      </c>
      <c r="K3225" s="29">
        <v>0.98289565623980701</v>
      </c>
    </row>
    <row r="3226" spans="1:11" x14ac:dyDescent="0.35">
      <c r="A3226" s="9" t="str">
        <f>HYPERLINK("http://www.ensembl.org/id/WBGene00197561", "WBGene00197561")</f>
        <v>WBGene00197561</v>
      </c>
      <c r="B3226" s="9"/>
      <c r="C3226" s="9"/>
      <c r="D3226" t="str">
        <f>"C33F10.19"</f>
        <v>C33F10.19</v>
      </c>
      <c r="F3226" t="s">
        <v>481</v>
      </c>
      <c r="H3226" s="12">
        <v>2.3893468495514898</v>
      </c>
      <c r="I3226" s="11">
        <v>0.25323547253672701</v>
      </c>
      <c r="J3226" s="10">
        <v>0.80008625651646104</v>
      </c>
      <c r="K3226" s="29">
        <v>0.98289565623980701</v>
      </c>
    </row>
    <row r="3227" spans="1:11" x14ac:dyDescent="0.35">
      <c r="A3227" s="9" t="str">
        <f>HYPERLINK("http://www.ensembl.org/id/WBGene00198722", "WBGene00198722")</f>
        <v>WBGene00198722</v>
      </c>
      <c r="B3227" s="9"/>
      <c r="C3227" s="9"/>
      <c r="D3227" t="str">
        <f>"C35C5.17"</f>
        <v>C35C5.17</v>
      </c>
      <c r="F3227" t="s">
        <v>481</v>
      </c>
      <c r="H3227" s="12">
        <v>2.3893468495514898</v>
      </c>
      <c r="I3227" s="11">
        <v>0.25323547253672701</v>
      </c>
      <c r="J3227" s="10">
        <v>0.80008625651646104</v>
      </c>
      <c r="K3227" s="29">
        <v>0.98289565623980701</v>
      </c>
    </row>
    <row r="3228" spans="1:11" x14ac:dyDescent="0.35">
      <c r="A3228" s="9" t="str">
        <f>HYPERLINK("http://www.ensembl.org/id/WBGene00197645", "WBGene00197645")</f>
        <v>WBGene00197645</v>
      </c>
      <c r="B3228" s="9"/>
      <c r="C3228" s="9"/>
      <c r="D3228" t="str">
        <f>"C39E6.10"</f>
        <v>C39E6.10</v>
      </c>
      <c r="F3228" t="s">
        <v>481</v>
      </c>
      <c r="H3228" s="12">
        <v>2.3893468495514898</v>
      </c>
      <c r="I3228" s="11">
        <v>0.25323547253672701</v>
      </c>
      <c r="J3228" s="10">
        <v>0.80008625651646104</v>
      </c>
      <c r="K3228" s="29">
        <v>0.98289565623980701</v>
      </c>
    </row>
    <row r="3229" spans="1:11" x14ac:dyDescent="0.35">
      <c r="A3229" s="9" t="str">
        <f>HYPERLINK("http://www.ensembl.org/id/WBGene00199349", "WBGene00199349")</f>
        <v>WBGene00199349</v>
      </c>
      <c r="B3229" s="9"/>
      <c r="C3229" s="9"/>
      <c r="D3229" t="str">
        <f>"C40H5.14"</f>
        <v>C40H5.14</v>
      </c>
      <c r="F3229" t="s">
        <v>481</v>
      </c>
      <c r="H3229" s="12">
        <v>2.3893468495514898</v>
      </c>
      <c r="I3229" s="11">
        <v>0.25323547253672701</v>
      </c>
      <c r="J3229" s="10">
        <v>0.80008625651646104</v>
      </c>
      <c r="K3229" s="29">
        <v>0.98289565623980701</v>
      </c>
    </row>
    <row r="3230" spans="1:11" x14ac:dyDescent="0.35">
      <c r="A3230" s="9" t="str">
        <f>HYPERLINK("http://www.ensembl.org/id/WBGene00201265", "WBGene00201265")</f>
        <v>WBGene00201265</v>
      </c>
      <c r="B3230" s="9"/>
      <c r="C3230" s="9"/>
      <c r="D3230" t="str">
        <f>"C41G11.17"</f>
        <v>C41G11.17</v>
      </c>
      <c r="F3230" t="s">
        <v>481</v>
      </c>
      <c r="H3230" s="12">
        <v>2.3893468495514898</v>
      </c>
      <c r="I3230" s="11">
        <v>0.25323547253672701</v>
      </c>
      <c r="J3230" s="10">
        <v>0.80008625651646104</v>
      </c>
      <c r="K3230" s="29">
        <v>0.98289565623980701</v>
      </c>
    </row>
    <row r="3231" spans="1:11" x14ac:dyDescent="0.35">
      <c r="A3231" s="9" t="str">
        <f>HYPERLINK("http://www.ensembl.org/id/WBGene00195995", "WBGene00195995")</f>
        <v>WBGene00195995</v>
      </c>
      <c r="B3231" s="9"/>
      <c r="C3231" s="9"/>
      <c r="D3231" t="str">
        <f>"C42D8.11"</f>
        <v>C42D8.11</v>
      </c>
      <c r="F3231" t="s">
        <v>481</v>
      </c>
      <c r="H3231" s="12">
        <v>2.3893468495514898</v>
      </c>
      <c r="I3231" s="11">
        <v>0.25323547253672701</v>
      </c>
      <c r="J3231" s="10">
        <v>0.80008625651646104</v>
      </c>
      <c r="K3231" s="29">
        <v>0.98289565623980701</v>
      </c>
    </row>
    <row r="3232" spans="1:11" x14ac:dyDescent="0.35">
      <c r="A3232" s="9" t="str">
        <f>HYPERLINK("http://www.ensembl.org/id/WBGene00198471", "WBGene00198471")</f>
        <v>WBGene00198471</v>
      </c>
      <c r="B3232" s="9"/>
      <c r="C3232" s="9"/>
      <c r="D3232" t="str">
        <f>"C43D7.15"</f>
        <v>C43D7.15</v>
      </c>
      <c r="F3232" t="s">
        <v>481</v>
      </c>
      <c r="H3232" s="12">
        <v>2.3893468495514898</v>
      </c>
      <c r="I3232" s="11">
        <v>0.25323547253672701</v>
      </c>
      <c r="J3232" s="10">
        <v>0.80008625651646104</v>
      </c>
      <c r="K3232" s="29">
        <v>0.98289565623980701</v>
      </c>
    </row>
    <row r="3233" spans="1:11" x14ac:dyDescent="0.35">
      <c r="A3233" s="9" t="str">
        <f>HYPERLINK("http://www.ensembl.org/id/WBGene00196804", "WBGene00196804")</f>
        <v>WBGene00196804</v>
      </c>
      <c r="B3233" s="9"/>
      <c r="C3233" s="9"/>
      <c r="D3233" t="str">
        <f>"C45B2.11"</f>
        <v>C45B2.11</v>
      </c>
      <c r="F3233" t="s">
        <v>481</v>
      </c>
      <c r="H3233" s="12">
        <v>2.3893468495514898</v>
      </c>
      <c r="I3233" s="11">
        <v>0.25323547253672701</v>
      </c>
      <c r="J3233" s="10">
        <v>0.80008625651646104</v>
      </c>
      <c r="K3233" s="29">
        <v>0.98289565623980701</v>
      </c>
    </row>
    <row r="3234" spans="1:11" x14ac:dyDescent="0.35">
      <c r="A3234" s="9" t="str">
        <f>HYPERLINK("http://www.ensembl.org/id/WBGene00197996", "WBGene00197996")</f>
        <v>WBGene00197996</v>
      </c>
      <c r="B3234" s="9"/>
      <c r="C3234" s="9"/>
      <c r="D3234" t="str">
        <f>"C45E1.8"</f>
        <v>C45E1.8</v>
      </c>
      <c r="F3234" t="s">
        <v>481</v>
      </c>
      <c r="H3234" s="12">
        <v>2.3893468495514898</v>
      </c>
      <c r="I3234" s="11">
        <v>0.25323547253672701</v>
      </c>
      <c r="J3234" s="10">
        <v>0.80008625651646104</v>
      </c>
      <c r="K3234" s="29">
        <v>0.98289565623980701</v>
      </c>
    </row>
    <row r="3235" spans="1:11" x14ac:dyDescent="0.35">
      <c r="A3235" s="9" t="str">
        <f>HYPERLINK("http://www.ensembl.org/id/WBGene00044087", "WBGene00044087")</f>
        <v>WBGene00044087</v>
      </c>
      <c r="B3235" s="9" t="str">
        <f>HYPERLINK("http://www.ncbi.nlm.nih.gov/gene/3565491", "3565491")</f>
        <v>3565491</v>
      </c>
      <c r="C3235" s="9"/>
      <c r="D3235" t="str">
        <f>"C45H4.18"</f>
        <v>C45H4.18</v>
      </c>
      <c r="F3235" t="s">
        <v>11</v>
      </c>
      <c r="G3235" t="s">
        <v>25</v>
      </c>
      <c r="H3235" s="12">
        <v>2.3893468495514898</v>
      </c>
      <c r="I3235" s="11">
        <v>0.25323547253672701</v>
      </c>
      <c r="J3235" s="10">
        <v>0.80008625651646104</v>
      </c>
      <c r="K3235" s="29">
        <v>0.98289565623980701</v>
      </c>
    </row>
    <row r="3236" spans="1:11" x14ac:dyDescent="0.35">
      <c r="A3236" s="9" t="str">
        <f>HYPERLINK("http://www.ensembl.org/id/WBGene00014707", "WBGene00014707")</f>
        <v>WBGene00014707</v>
      </c>
      <c r="B3236" s="9"/>
      <c r="C3236" s="9"/>
      <c r="D3236" t="str">
        <f>"C47A10.t4"</f>
        <v>C47A10.t4</v>
      </c>
      <c r="F3236" t="s">
        <v>80</v>
      </c>
      <c r="H3236" s="12">
        <v>2.3893468495514898</v>
      </c>
      <c r="I3236" s="11">
        <v>0.25323547253672701</v>
      </c>
      <c r="J3236" s="10">
        <v>0.80008625651646104</v>
      </c>
      <c r="K3236" s="29">
        <v>0.98289565623980701</v>
      </c>
    </row>
    <row r="3237" spans="1:11" x14ac:dyDescent="0.35">
      <c r="A3237" s="9" t="str">
        <f>HYPERLINK("http://www.ensembl.org/id/WBGene00008217", "WBGene00008217")</f>
        <v>WBGene00008217</v>
      </c>
      <c r="B3237" s="9" t="str">
        <f>HYPERLINK("http://www.ncbi.nlm.nih.gov/gene/183632", "183632")</f>
        <v>183632</v>
      </c>
      <c r="C3237" s="9"/>
      <c r="D3237" t="str">
        <f>"C50B6.1"</f>
        <v>C50B6.1</v>
      </c>
      <c r="F3237" t="s">
        <v>11</v>
      </c>
      <c r="H3237" s="12">
        <v>2.3893468495514898</v>
      </c>
      <c r="I3237" s="11">
        <v>0.25323547253672701</v>
      </c>
      <c r="J3237" s="10">
        <v>0.80008625651646104</v>
      </c>
      <c r="K3237" s="29">
        <v>0.98289565623980701</v>
      </c>
    </row>
    <row r="3238" spans="1:11" x14ac:dyDescent="0.35">
      <c r="A3238" s="9" t="str">
        <f>HYPERLINK("http://www.ensembl.org/id/WBGene00219861", "WBGene00219861")</f>
        <v>WBGene00219861</v>
      </c>
      <c r="B3238" s="9"/>
      <c r="C3238" s="9"/>
      <c r="D3238" t="str">
        <f>"C52D10.131"</f>
        <v>C52D10.131</v>
      </c>
      <c r="F3238" t="s">
        <v>481</v>
      </c>
      <c r="H3238" s="12">
        <v>2.3893468495514898</v>
      </c>
      <c r="I3238" s="11">
        <v>0.25323547253672701</v>
      </c>
      <c r="J3238" s="10">
        <v>0.80008625651646104</v>
      </c>
      <c r="K3238" s="29">
        <v>0.98289565623980701</v>
      </c>
    </row>
    <row r="3239" spans="1:11" x14ac:dyDescent="0.35">
      <c r="A3239" s="9" t="str">
        <f>HYPERLINK("http://www.ensembl.org/id/WBGene00014715", "WBGene00014715")</f>
        <v>WBGene00014715</v>
      </c>
      <c r="B3239" s="9"/>
      <c r="C3239" s="9"/>
      <c r="D3239" t="str">
        <f>"C54E10.t1"</f>
        <v>C54E10.t1</v>
      </c>
      <c r="F3239" t="s">
        <v>80</v>
      </c>
      <c r="H3239" s="12">
        <v>2.3893468495514898</v>
      </c>
      <c r="I3239" s="11">
        <v>0.25323547253672701</v>
      </c>
      <c r="J3239" s="10">
        <v>0.80008625651646104</v>
      </c>
      <c r="K3239" s="29">
        <v>0.98289565623980701</v>
      </c>
    </row>
    <row r="3240" spans="1:11" x14ac:dyDescent="0.35">
      <c r="A3240" s="9" t="str">
        <f>HYPERLINK("http://www.ensembl.org/id/WBGene00016959", "WBGene00016959")</f>
        <v>WBGene00016959</v>
      </c>
      <c r="B3240" s="9"/>
      <c r="C3240" s="9"/>
      <c r="D3240" t="str">
        <f>"C55H1.1"</f>
        <v>C55H1.1</v>
      </c>
      <c r="F3240" t="s">
        <v>80</v>
      </c>
      <c r="H3240" s="12">
        <v>2.3893468495514898</v>
      </c>
      <c r="I3240" s="11">
        <v>0.25323547253672701</v>
      </c>
      <c r="J3240" s="10">
        <v>0.80008625651646104</v>
      </c>
      <c r="K3240" s="29">
        <v>0.98289565623980701</v>
      </c>
    </row>
    <row r="3241" spans="1:11" x14ac:dyDescent="0.35">
      <c r="A3241" s="9" t="str">
        <f>HYPERLINK("http://www.ensembl.org/id/WBGene00011161", "WBGene00011161")</f>
        <v>WBGene00011161</v>
      </c>
      <c r="B3241" s="9" t="str">
        <f>HYPERLINK("http://www.ncbi.nlm.nih.gov/gene/187735", "187735")</f>
        <v>187735</v>
      </c>
      <c r="C3241" s="9"/>
      <c r="D3241" t="str">
        <f>"chil-18"</f>
        <v>chil-18</v>
      </c>
      <c r="E3241" t="s">
        <v>1756</v>
      </c>
      <c r="F3241" t="s">
        <v>11</v>
      </c>
      <c r="G3241" t="s">
        <v>1509</v>
      </c>
      <c r="H3241" s="12">
        <v>2.3893468495514898</v>
      </c>
      <c r="I3241" s="11">
        <v>0.25323547253672701</v>
      </c>
      <c r="J3241" s="10">
        <v>0.80008625651646104</v>
      </c>
      <c r="K3241" s="29">
        <v>0.98289565623980701</v>
      </c>
    </row>
    <row r="3242" spans="1:11" x14ac:dyDescent="0.35">
      <c r="A3242" s="9" t="str">
        <f>HYPERLINK("http://www.ensembl.org/id/WBGene00013502", "WBGene00013502")</f>
        <v>WBGene00013502</v>
      </c>
      <c r="B3242" s="9" t="str">
        <f>HYPERLINK("http://www.ncbi.nlm.nih.gov/gene/190575", "190575")</f>
        <v>190575</v>
      </c>
      <c r="C3242" s="9"/>
      <c r="D3242" t="str">
        <f>"clec-111"</f>
        <v>clec-111</v>
      </c>
      <c r="E3242" t="s">
        <v>46</v>
      </c>
      <c r="F3242" t="s">
        <v>11</v>
      </c>
      <c r="G3242" t="s">
        <v>47</v>
      </c>
      <c r="H3242" s="12">
        <v>2.3893468495514898</v>
      </c>
      <c r="I3242" s="11">
        <v>0.25323547253672701</v>
      </c>
      <c r="J3242" s="10">
        <v>0.80008625651646104</v>
      </c>
      <c r="K3242" s="29">
        <v>0.98289565623980701</v>
      </c>
    </row>
    <row r="3243" spans="1:11" x14ac:dyDescent="0.35">
      <c r="A3243" s="9" t="str">
        <f>HYPERLINK("http://www.ensembl.org/id/WBGene00015909", "WBGene00015909")</f>
        <v>WBGene00015909</v>
      </c>
      <c r="B3243" s="9" t="str">
        <f>HYPERLINK("http://www.ncbi.nlm.nih.gov/gene/182737", "182737")</f>
        <v>182737</v>
      </c>
      <c r="C3243" s="9"/>
      <c r="D3243" t="str">
        <f>"clec-124"</f>
        <v>clec-124</v>
      </c>
      <c r="E3243" t="s">
        <v>46</v>
      </c>
      <c r="F3243" t="s">
        <v>11</v>
      </c>
      <c r="G3243" t="s">
        <v>47</v>
      </c>
      <c r="H3243" s="12">
        <v>2.3893468495514898</v>
      </c>
      <c r="I3243" s="11">
        <v>0.25323547253672701</v>
      </c>
      <c r="J3243" s="10">
        <v>0.80008625651646104</v>
      </c>
      <c r="K3243" s="29">
        <v>0.98289565623980701</v>
      </c>
    </row>
    <row r="3244" spans="1:11" x14ac:dyDescent="0.35">
      <c r="A3244" s="9" t="str">
        <f>HYPERLINK("http://www.ensembl.org/id/WBGene00018048", "WBGene00018048")</f>
        <v>WBGene00018048</v>
      </c>
      <c r="B3244" s="9" t="str">
        <f>HYPERLINK("http://www.ncbi.nlm.nih.gov/gene/185281", "185281")</f>
        <v>185281</v>
      </c>
      <c r="C3244" s="9"/>
      <c r="D3244" t="str">
        <f>"clec-137"</f>
        <v>clec-137</v>
      </c>
      <c r="E3244" t="s">
        <v>46</v>
      </c>
      <c r="F3244" t="s">
        <v>11</v>
      </c>
      <c r="G3244" t="s">
        <v>47</v>
      </c>
      <c r="H3244" s="12">
        <v>2.3893468495514898</v>
      </c>
      <c r="I3244" s="11">
        <v>0.25323547253672701</v>
      </c>
      <c r="J3244" s="10">
        <v>0.80008625651646104</v>
      </c>
      <c r="K3244" s="29">
        <v>0.98289565623980701</v>
      </c>
    </row>
    <row r="3245" spans="1:11" x14ac:dyDescent="0.35">
      <c r="A3245" s="9" t="str">
        <f>HYPERLINK("http://www.ensembl.org/id/WBGene00018049", "WBGene00018049")</f>
        <v>WBGene00018049</v>
      </c>
      <c r="B3245" s="9" t="str">
        <f>HYPERLINK("http://www.ncbi.nlm.nih.gov/gene/185282", "185282")</f>
        <v>185282</v>
      </c>
      <c r="C3245" s="9"/>
      <c r="D3245" t="str">
        <f>"clec-138"</f>
        <v>clec-138</v>
      </c>
      <c r="E3245" t="s">
        <v>46</v>
      </c>
      <c r="F3245" t="s">
        <v>11</v>
      </c>
      <c r="G3245" t="s">
        <v>47</v>
      </c>
      <c r="H3245" s="12">
        <v>2.3893468495514898</v>
      </c>
      <c r="I3245" s="11">
        <v>0.25323547253672701</v>
      </c>
      <c r="J3245" s="10">
        <v>0.80008625651646104</v>
      </c>
      <c r="K3245" s="29">
        <v>0.98289565623980701</v>
      </c>
    </row>
    <row r="3246" spans="1:11" x14ac:dyDescent="0.35">
      <c r="A3246" s="9" t="str">
        <f>HYPERLINK("http://www.ensembl.org/id/WBGene00016815", "WBGene00016815")</f>
        <v>WBGene00016815</v>
      </c>
      <c r="B3246" s="9" t="str">
        <f>HYPERLINK("http://www.ncbi.nlm.nih.gov/gene/183655", "183655")</f>
        <v>183655</v>
      </c>
      <c r="C3246" s="9"/>
      <c r="D3246" t="str">
        <f>"clec-213"</f>
        <v>clec-213</v>
      </c>
      <c r="E3246" t="s">
        <v>46</v>
      </c>
      <c r="F3246" t="s">
        <v>11</v>
      </c>
      <c r="G3246" t="s">
        <v>47</v>
      </c>
      <c r="H3246" s="12">
        <v>2.3893468495514898</v>
      </c>
      <c r="I3246" s="11">
        <v>0.25323547253672701</v>
      </c>
      <c r="J3246" s="10">
        <v>0.80008625651646104</v>
      </c>
      <c r="K3246" s="29">
        <v>0.98289565623980701</v>
      </c>
    </row>
    <row r="3247" spans="1:11" x14ac:dyDescent="0.35">
      <c r="A3247" s="9" t="str">
        <f>HYPERLINK("http://www.ensembl.org/id/WBGene00011186", "WBGene00011186")</f>
        <v>WBGene00011186</v>
      </c>
      <c r="B3247" s="9" t="str">
        <f>HYPERLINK("http://www.ncbi.nlm.nih.gov/gene/187762", "187762")</f>
        <v>187762</v>
      </c>
      <c r="C3247" s="9"/>
      <c r="D3247" t="str">
        <f>"clec-226"</f>
        <v>clec-226</v>
      </c>
      <c r="E3247" t="s">
        <v>46</v>
      </c>
      <c r="F3247" t="s">
        <v>11</v>
      </c>
      <c r="H3247" s="12">
        <v>2.3893468495514898</v>
      </c>
      <c r="I3247" s="11">
        <v>0.25323547253672701</v>
      </c>
      <c r="J3247" s="10">
        <v>0.80008625651646104</v>
      </c>
      <c r="K3247" s="29">
        <v>0.98289565623980701</v>
      </c>
    </row>
    <row r="3248" spans="1:11" x14ac:dyDescent="0.35">
      <c r="A3248" s="9" t="str">
        <f>HYPERLINK("http://www.ensembl.org/id/WBGene00014842", "WBGene00014842")</f>
        <v>WBGene00014842</v>
      </c>
      <c r="B3248" s="9"/>
      <c r="C3248" s="9"/>
      <c r="D3248" t="str">
        <f>"clec-30"</f>
        <v>clec-30</v>
      </c>
      <c r="F3248" t="s">
        <v>80</v>
      </c>
      <c r="H3248" s="12">
        <v>2.3893468495514898</v>
      </c>
      <c r="I3248" s="11">
        <v>0.25323547253672701</v>
      </c>
      <c r="J3248" s="10">
        <v>0.80008625651646104</v>
      </c>
      <c r="K3248" s="29">
        <v>0.98289565623980701</v>
      </c>
    </row>
    <row r="3249" spans="1:11" x14ac:dyDescent="0.35">
      <c r="A3249" s="9" t="str">
        <f>HYPERLINK("http://www.ensembl.org/id/WBGene00000628", "WBGene00000628")</f>
        <v>WBGene00000628</v>
      </c>
      <c r="B3249" s="9" t="str">
        <f>HYPERLINK("http://www.ncbi.nlm.nih.gov/gene/189052", "189052")</f>
        <v>189052</v>
      </c>
      <c r="C3249" s="9"/>
      <c r="D3249" t="str">
        <f>"col-51"</f>
        <v>col-51</v>
      </c>
      <c r="E3249" t="s">
        <v>40</v>
      </c>
      <c r="F3249" t="s">
        <v>11</v>
      </c>
      <c r="G3249" t="s">
        <v>41</v>
      </c>
      <c r="H3249" s="12">
        <v>2.3893468495514898</v>
      </c>
      <c r="I3249" s="11">
        <v>0.25323547253672701</v>
      </c>
      <c r="J3249" s="10">
        <v>0.80008625651646104</v>
      </c>
      <c r="K3249" s="29">
        <v>0.98289565623980701</v>
      </c>
    </row>
    <row r="3250" spans="1:11" x14ac:dyDescent="0.35">
      <c r="A3250" s="9" t="str">
        <f>HYPERLINK("http://www.ensembl.org/id/WBGene00195783", "WBGene00195783")</f>
        <v>WBGene00195783</v>
      </c>
      <c r="B3250" s="9"/>
      <c r="C3250" s="9"/>
      <c r="D3250" t="str">
        <f>"D2007.6"</f>
        <v>D2007.6</v>
      </c>
      <c r="F3250" t="s">
        <v>481</v>
      </c>
      <c r="H3250" s="12">
        <v>2.3893468495514898</v>
      </c>
      <c r="I3250" s="11">
        <v>0.25323547253672701</v>
      </c>
      <c r="J3250" s="10">
        <v>0.80008625651646104</v>
      </c>
      <c r="K3250" s="29">
        <v>0.98289565623980701</v>
      </c>
    </row>
    <row r="3251" spans="1:11" x14ac:dyDescent="0.35">
      <c r="A3251" s="9" t="str">
        <f>HYPERLINK("http://www.ensembl.org/id/WBGene00200685", "WBGene00200685")</f>
        <v>WBGene00200685</v>
      </c>
      <c r="B3251" s="9"/>
      <c r="C3251" s="9"/>
      <c r="D3251" t="str">
        <f>"D2023.17"</f>
        <v>D2023.17</v>
      </c>
      <c r="F3251" t="s">
        <v>481</v>
      </c>
      <c r="H3251" s="12">
        <v>2.3893468495514898</v>
      </c>
      <c r="I3251" s="11">
        <v>0.25323547253672701</v>
      </c>
      <c r="J3251" s="10">
        <v>0.80008625651646104</v>
      </c>
      <c r="K3251" s="29">
        <v>0.98289565623980701</v>
      </c>
    </row>
    <row r="3252" spans="1:11" x14ac:dyDescent="0.35">
      <c r="A3252" s="9" t="str">
        <f>HYPERLINK("http://www.ensembl.org/id/WBGene00022356", "WBGene00022356")</f>
        <v>WBGene00022356</v>
      </c>
      <c r="B3252" s="9" t="str">
        <f>HYPERLINK("http://www.ncbi.nlm.nih.gov/gene/190782", "190782")</f>
        <v>190782</v>
      </c>
      <c r="C3252" s="9"/>
      <c r="D3252" t="str">
        <f>"eak-3"</f>
        <v>eak-3</v>
      </c>
      <c r="E3252" t="s">
        <v>4405</v>
      </c>
      <c r="F3252" t="s">
        <v>11</v>
      </c>
      <c r="H3252" s="12">
        <v>2.3893468495514898</v>
      </c>
      <c r="I3252" s="11">
        <v>0.25323547253672701</v>
      </c>
      <c r="J3252" s="10">
        <v>0.80008625651646104</v>
      </c>
      <c r="K3252" s="29">
        <v>0.98289565623980701</v>
      </c>
    </row>
    <row r="3253" spans="1:11" x14ac:dyDescent="0.35">
      <c r="A3253" s="9" t="str">
        <f>HYPERLINK("http://www.ensembl.org/id/WBGene00199831", "WBGene00199831")</f>
        <v>WBGene00199831</v>
      </c>
      <c r="B3253" s="9"/>
      <c r="C3253" s="9"/>
      <c r="D3253" t="str">
        <f>"F01E11.12"</f>
        <v>F01E11.12</v>
      </c>
      <c r="F3253" t="s">
        <v>481</v>
      </c>
      <c r="H3253" s="12">
        <v>2.3893468495514898</v>
      </c>
      <c r="I3253" s="11">
        <v>0.25323547253672701</v>
      </c>
      <c r="J3253" s="10">
        <v>0.80008625651646104</v>
      </c>
      <c r="K3253" s="29">
        <v>0.98289565623980701</v>
      </c>
    </row>
    <row r="3254" spans="1:11" x14ac:dyDescent="0.35">
      <c r="A3254" s="9" t="str">
        <f>HYPERLINK("http://www.ensembl.org/id/WBGene00201329", "WBGene00201329")</f>
        <v>WBGene00201329</v>
      </c>
      <c r="B3254" s="9"/>
      <c r="C3254" s="9"/>
      <c r="D3254" t="str">
        <f>"F02C12.9"</f>
        <v>F02C12.9</v>
      </c>
      <c r="F3254" t="s">
        <v>481</v>
      </c>
      <c r="H3254" s="12">
        <v>2.3893468495514898</v>
      </c>
      <c r="I3254" s="11">
        <v>0.25323547253672701</v>
      </c>
      <c r="J3254" s="10">
        <v>0.80008625651646104</v>
      </c>
      <c r="K3254" s="29">
        <v>0.98289565623980701</v>
      </c>
    </row>
    <row r="3255" spans="1:11" x14ac:dyDescent="0.35">
      <c r="A3255" s="9" t="str">
        <f>HYPERLINK("http://www.ensembl.org/id/WBGene00219878", "WBGene00219878")</f>
        <v>WBGene00219878</v>
      </c>
      <c r="B3255" s="9"/>
      <c r="C3255" s="9"/>
      <c r="D3255" t="str">
        <f>"F02G3.8"</f>
        <v>F02G3.8</v>
      </c>
      <c r="F3255" t="s">
        <v>481</v>
      </c>
      <c r="H3255" s="12">
        <v>2.3893468495514898</v>
      </c>
      <c r="I3255" s="11">
        <v>0.25323547253672701</v>
      </c>
      <c r="J3255" s="10">
        <v>0.80008625651646104</v>
      </c>
      <c r="K3255" s="29">
        <v>0.98289565623980701</v>
      </c>
    </row>
    <row r="3256" spans="1:11" x14ac:dyDescent="0.35">
      <c r="A3256" s="9" t="str">
        <f>HYPERLINK("http://www.ensembl.org/id/WBGene00195441", "WBGene00195441")</f>
        <v>WBGene00195441</v>
      </c>
      <c r="B3256" s="9"/>
      <c r="C3256" s="9"/>
      <c r="D3256" t="str">
        <f>"F07A11.9"</f>
        <v>F07A11.9</v>
      </c>
      <c r="F3256" t="s">
        <v>481</v>
      </c>
      <c r="H3256" s="12">
        <v>2.3893468495514898</v>
      </c>
      <c r="I3256" s="11">
        <v>0.25323547253672701</v>
      </c>
      <c r="J3256" s="10">
        <v>0.80008625651646104</v>
      </c>
      <c r="K3256" s="29">
        <v>0.98289565623980701</v>
      </c>
    </row>
    <row r="3257" spans="1:11" x14ac:dyDescent="0.35">
      <c r="A3257" s="9" t="str">
        <f>HYPERLINK("http://www.ensembl.org/id/WBGene00017209", "WBGene00017209")</f>
        <v>WBGene00017209</v>
      </c>
      <c r="B3257" s="9" t="str">
        <f>HYPERLINK("http://www.ncbi.nlm.nih.gov/gene/184142", "184142")</f>
        <v>184142</v>
      </c>
      <c r="C3257" s="9"/>
      <c r="D3257" t="str">
        <f>"F07E5.4"</f>
        <v>F07E5.4</v>
      </c>
      <c r="F3257" t="s">
        <v>11</v>
      </c>
      <c r="H3257" s="12">
        <v>2.3893468495514898</v>
      </c>
      <c r="I3257" s="11">
        <v>0.25323547253672701</v>
      </c>
      <c r="J3257" s="10">
        <v>0.80008625651646104</v>
      </c>
      <c r="K3257" s="29">
        <v>0.98289565623980701</v>
      </c>
    </row>
    <row r="3258" spans="1:11" x14ac:dyDescent="0.35">
      <c r="A3258" s="9" t="str">
        <f>HYPERLINK("http://www.ensembl.org/id/WBGene00017212", "WBGene00017212")</f>
        <v>WBGene00017212</v>
      </c>
      <c r="B3258" s="9" t="str">
        <f>HYPERLINK("http://www.ncbi.nlm.nih.gov/gene/184144", "184144")</f>
        <v>184144</v>
      </c>
      <c r="C3258" s="9"/>
      <c r="D3258" t="str">
        <f>"F07E5.7"</f>
        <v>F07E5.7</v>
      </c>
      <c r="F3258" t="s">
        <v>11</v>
      </c>
      <c r="H3258" s="12">
        <v>2.3893468495514898</v>
      </c>
      <c r="I3258" s="11">
        <v>0.25323547253672701</v>
      </c>
      <c r="J3258" s="10">
        <v>0.80008625651646104</v>
      </c>
      <c r="K3258" s="29">
        <v>0.98289565623980701</v>
      </c>
    </row>
    <row r="3259" spans="1:11" x14ac:dyDescent="0.35">
      <c r="A3259" s="9" t="str">
        <f>HYPERLINK("http://www.ensembl.org/id/WBGene00196271", "WBGene00196271")</f>
        <v>WBGene00196271</v>
      </c>
      <c r="B3259" s="9"/>
      <c r="C3259" s="9"/>
      <c r="D3259" t="str">
        <f>"F08C6.10"</f>
        <v>F08C6.10</v>
      </c>
      <c r="F3259" t="s">
        <v>481</v>
      </c>
      <c r="H3259" s="12">
        <v>2.3893468495514898</v>
      </c>
      <c r="I3259" s="11">
        <v>0.25323547253672701</v>
      </c>
      <c r="J3259" s="10">
        <v>0.80008625651646104</v>
      </c>
      <c r="K3259" s="29">
        <v>0.98289565623980701</v>
      </c>
    </row>
    <row r="3260" spans="1:11" x14ac:dyDescent="0.35">
      <c r="A3260" s="9" t="str">
        <f>HYPERLINK("http://www.ensembl.org/id/WBGene00269381", "WBGene00269381")</f>
        <v>WBGene00269381</v>
      </c>
      <c r="B3260" s="9" t="str">
        <f>HYPERLINK("http://www.ncbi.nlm.nih.gov/gene/27307933", "27307933")</f>
        <v>27307933</v>
      </c>
      <c r="C3260" s="9"/>
      <c r="D3260" t="str">
        <f>"F08F8.11"</f>
        <v>F08F8.11</v>
      </c>
      <c r="F3260" t="s">
        <v>11</v>
      </c>
      <c r="H3260" s="12">
        <v>2.3893468495514898</v>
      </c>
      <c r="I3260" s="11">
        <v>0.25323547253672701</v>
      </c>
      <c r="J3260" s="10">
        <v>0.80008625651646104</v>
      </c>
      <c r="K3260" s="29">
        <v>0.98289565623980701</v>
      </c>
    </row>
    <row r="3261" spans="1:11" x14ac:dyDescent="0.35">
      <c r="A3261" s="9" t="str">
        <f>HYPERLINK("http://www.ensembl.org/id/WBGene00044973", "WBGene00044973")</f>
        <v>WBGene00044973</v>
      </c>
      <c r="B3261" s="9"/>
      <c r="C3261" s="9"/>
      <c r="D3261" t="str">
        <f>"F08G2.12"</f>
        <v>F08G2.12</v>
      </c>
      <c r="F3261" t="s">
        <v>481</v>
      </c>
      <c r="H3261" s="12">
        <v>2.3893468495514898</v>
      </c>
      <c r="I3261" s="11">
        <v>0.25323547253672701</v>
      </c>
      <c r="J3261" s="10">
        <v>0.80008625651646104</v>
      </c>
      <c r="K3261" s="29">
        <v>0.98289565623980701</v>
      </c>
    </row>
    <row r="3262" spans="1:11" x14ac:dyDescent="0.35">
      <c r="A3262" s="9" t="str">
        <f>HYPERLINK("http://www.ensembl.org/id/WBGene00197500", "WBGene00197500")</f>
        <v>WBGene00197500</v>
      </c>
      <c r="B3262" s="9"/>
      <c r="C3262" s="9"/>
      <c r="D3262" t="str">
        <f>"F08G2.14"</f>
        <v>F08G2.14</v>
      </c>
      <c r="F3262" t="s">
        <v>481</v>
      </c>
      <c r="H3262" s="12">
        <v>2.3893468495514898</v>
      </c>
      <c r="I3262" s="11">
        <v>0.25323547253672701</v>
      </c>
      <c r="J3262" s="10">
        <v>0.80008625651646104</v>
      </c>
      <c r="K3262" s="29">
        <v>0.98289565623980701</v>
      </c>
    </row>
    <row r="3263" spans="1:11" x14ac:dyDescent="0.35">
      <c r="A3263" s="9" t="str">
        <f>HYPERLINK("http://www.ensembl.org/id/WBGene00014317", "WBGene00014317")</f>
        <v>WBGene00014317</v>
      </c>
      <c r="B3263" s="9"/>
      <c r="C3263" s="9"/>
      <c r="D3263" t="str">
        <f>"F08H9.11"</f>
        <v>F08H9.11</v>
      </c>
      <c r="F3263" t="s">
        <v>4205</v>
      </c>
      <c r="H3263" s="12">
        <v>2.3893468495514898</v>
      </c>
      <c r="I3263" s="11">
        <v>0.25323547253672701</v>
      </c>
      <c r="J3263" s="10">
        <v>0.80008625651646104</v>
      </c>
      <c r="K3263" s="29">
        <v>0.98289565623980701</v>
      </c>
    </row>
    <row r="3264" spans="1:11" x14ac:dyDescent="0.35">
      <c r="A3264" s="9" t="str">
        <f>HYPERLINK("http://www.ensembl.org/id/WBGene00201048", "WBGene00201048")</f>
        <v>WBGene00201048</v>
      </c>
      <c r="B3264" s="9"/>
      <c r="C3264" s="9"/>
      <c r="D3264" t="str">
        <f>"F09G8.12"</f>
        <v>F09G8.12</v>
      </c>
      <c r="F3264" t="s">
        <v>481</v>
      </c>
      <c r="H3264" s="12">
        <v>2.3893468495514898</v>
      </c>
      <c r="I3264" s="11">
        <v>0.25323547253672701</v>
      </c>
      <c r="J3264" s="10">
        <v>0.80008625651646104</v>
      </c>
      <c r="K3264" s="29">
        <v>0.98289565623980701</v>
      </c>
    </row>
    <row r="3265" spans="1:11" x14ac:dyDescent="0.35">
      <c r="A3265" s="9" t="str">
        <f>HYPERLINK("http://www.ensembl.org/id/WBGene00022984", "WBGene00022984")</f>
        <v>WBGene00022984</v>
      </c>
      <c r="B3265" s="9"/>
      <c r="C3265" s="9"/>
      <c r="D3265" t="str">
        <f>"F10C1.t2"</f>
        <v>F10C1.t2</v>
      </c>
      <c r="F3265" t="s">
        <v>4208</v>
      </c>
      <c r="H3265" s="12">
        <v>2.3893468495514898</v>
      </c>
      <c r="I3265" s="11">
        <v>0.25323547253672701</v>
      </c>
      <c r="J3265" s="10">
        <v>0.80008625651646104</v>
      </c>
      <c r="K3265" s="29">
        <v>0.98289565623980701</v>
      </c>
    </row>
    <row r="3266" spans="1:11" x14ac:dyDescent="0.35">
      <c r="A3266" s="9" t="str">
        <f>HYPERLINK("http://www.ensembl.org/id/WBGene00077496", "WBGene00077496")</f>
        <v>WBGene00077496</v>
      </c>
      <c r="B3266" s="9"/>
      <c r="C3266" s="9"/>
      <c r="D3266" t="str">
        <f>"F11A3.4"</f>
        <v>F11A3.4</v>
      </c>
      <c r="F3266" t="s">
        <v>80</v>
      </c>
      <c r="H3266" s="12">
        <v>2.3893468495514898</v>
      </c>
      <c r="I3266" s="11">
        <v>0.25323547253672701</v>
      </c>
      <c r="J3266" s="10">
        <v>0.80008625651646104</v>
      </c>
      <c r="K3266" s="29">
        <v>0.98289565623980701</v>
      </c>
    </row>
    <row r="3267" spans="1:11" x14ac:dyDescent="0.35">
      <c r="A3267" s="9" t="str">
        <f>HYPERLINK("http://www.ensembl.org/id/WBGene00077611", "WBGene00077611")</f>
        <v>WBGene00077611</v>
      </c>
      <c r="B3267" s="9"/>
      <c r="C3267" s="9"/>
      <c r="D3267" t="str">
        <f>"F11A5.19"</f>
        <v>F11A5.19</v>
      </c>
      <c r="F3267" t="s">
        <v>80</v>
      </c>
      <c r="H3267" s="12">
        <v>2.3893468495514898</v>
      </c>
      <c r="I3267" s="11">
        <v>0.25323547253672701</v>
      </c>
      <c r="J3267" s="10">
        <v>0.80008625651646104</v>
      </c>
      <c r="K3267" s="29">
        <v>0.98289565623980701</v>
      </c>
    </row>
    <row r="3268" spans="1:11" x14ac:dyDescent="0.35">
      <c r="A3268" s="9" t="str">
        <f>HYPERLINK("http://www.ensembl.org/id/WBGene00196824", "WBGene00196824")</f>
        <v>WBGene00196824</v>
      </c>
      <c r="B3268" s="9"/>
      <c r="C3268" s="9"/>
      <c r="D3268" t="str">
        <f>"F11A6.7"</f>
        <v>F11A6.7</v>
      </c>
      <c r="F3268" t="s">
        <v>481</v>
      </c>
      <c r="H3268" s="12">
        <v>2.3893468495514898</v>
      </c>
      <c r="I3268" s="11">
        <v>0.25323547253672701</v>
      </c>
      <c r="J3268" s="10">
        <v>0.80008625651646104</v>
      </c>
      <c r="K3268" s="29">
        <v>0.98289565623980701</v>
      </c>
    </row>
    <row r="3269" spans="1:11" x14ac:dyDescent="0.35">
      <c r="A3269" s="9" t="str">
        <f>HYPERLINK("http://www.ensembl.org/id/WBGene00195804", "WBGene00195804")</f>
        <v>WBGene00195804</v>
      </c>
      <c r="B3269" s="9"/>
      <c r="C3269" s="9"/>
      <c r="D3269" t="str">
        <f>"F11E6.19"</f>
        <v>F11E6.19</v>
      </c>
      <c r="F3269" t="s">
        <v>481</v>
      </c>
      <c r="H3269" s="12">
        <v>2.3893468495514898</v>
      </c>
      <c r="I3269" s="11">
        <v>0.25323547253672701</v>
      </c>
      <c r="J3269" s="10">
        <v>0.80008625651646104</v>
      </c>
      <c r="K3269" s="29">
        <v>0.98289565623980701</v>
      </c>
    </row>
    <row r="3270" spans="1:11" x14ac:dyDescent="0.35">
      <c r="A3270" s="9" t="str">
        <f>HYPERLINK("http://www.ensembl.org/id/WBGene00044399", "WBGene00044399")</f>
        <v>WBGene00044399</v>
      </c>
      <c r="B3270" s="9" t="str">
        <f>HYPERLINK("http://www.ncbi.nlm.nih.gov/gene/3564921", "3564921")</f>
        <v>3564921</v>
      </c>
      <c r="C3270" s="9"/>
      <c r="D3270" t="str">
        <f>"F11F1.8"</f>
        <v>F11F1.8</v>
      </c>
      <c r="F3270" t="s">
        <v>11</v>
      </c>
      <c r="H3270" s="12">
        <v>2.3893468495514898</v>
      </c>
      <c r="I3270" s="11">
        <v>0.25323547253672701</v>
      </c>
      <c r="J3270" s="10">
        <v>0.80008625651646104</v>
      </c>
      <c r="K3270" s="29">
        <v>0.98289565623980701</v>
      </c>
    </row>
    <row r="3271" spans="1:11" x14ac:dyDescent="0.35">
      <c r="A3271" s="9" t="str">
        <f>HYPERLINK("http://www.ensembl.org/id/WBGene00198750", "WBGene00198750")</f>
        <v>WBGene00198750</v>
      </c>
      <c r="B3271" s="9"/>
      <c r="C3271" s="9"/>
      <c r="D3271" t="str">
        <f>"F11H8.7"</f>
        <v>F11H8.7</v>
      </c>
      <c r="F3271" t="s">
        <v>481</v>
      </c>
      <c r="H3271" s="12">
        <v>2.3893468495514898</v>
      </c>
      <c r="I3271" s="11">
        <v>0.25323547253672701</v>
      </c>
      <c r="J3271" s="10">
        <v>0.80008625651646104</v>
      </c>
      <c r="K3271" s="29">
        <v>0.98289565623980701</v>
      </c>
    </row>
    <row r="3272" spans="1:11" x14ac:dyDescent="0.35">
      <c r="A3272" s="9" t="str">
        <f>HYPERLINK("http://www.ensembl.org/id/WBGene00201836", "WBGene00201836")</f>
        <v>WBGene00201836</v>
      </c>
      <c r="B3272" s="9"/>
      <c r="C3272" s="9"/>
      <c r="D3272" t="str">
        <f>"F13D11.21"</f>
        <v>F13D11.21</v>
      </c>
      <c r="F3272" t="s">
        <v>481</v>
      </c>
      <c r="H3272" s="12">
        <v>2.3893468495514898</v>
      </c>
      <c r="I3272" s="11">
        <v>0.25323547253672701</v>
      </c>
      <c r="J3272" s="10">
        <v>0.80008625651646104</v>
      </c>
      <c r="K3272" s="29">
        <v>0.98289565623980701</v>
      </c>
    </row>
    <row r="3273" spans="1:11" x14ac:dyDescent="0.35">
      <c r="A3273" s="9" t="str">
        <f>HYPERLINK("http://www.ensembl.org/id/WBGene00045490", "WBGene00045490")</f>
        <v>WBGene00045490</v>
      </c>
      <c r="B3273" s="9" t="str">
        <f>HYPERLINK("http://www.ncbi.nlm.nih.gov/gene/6418723", "6418723")</f>
        <v>6418723</v>
      </c>
      <c r="C3273" s="9"/>
      <c r="D3273" t="str">
        <f>"F14D7.14"</f>
        <v>F14D7.14</v>
      </c>
      <c r="F3273" t="s">
        <v>11</v>
      </c>
      <c r="H3273" s="12">
        <v>2.3893468495514898</v>
      </c>
      <c r="I3273" s="11">
        <v>0.25323547253672701</v>
      </c>
      <c r="J3273" s="10">
        <v>0.80008625651646104</v>
      </c>
      <c r="K3273" s="29">
        <v>0.98289565623980701</v>
      </c>
    </row>
    <row r="3274" spans="1:11" x14ac:dyDescent="0.35">
      <c r="A3274" s="9" t="str">
        <f>HYPERLINK("http://www.ensembl.org/id/WBGene00045513", "WBGene00045513")</f>
        <v>WBGene00045513</v>
      </c>
      <c r="B3274" s="9" t="str">
        <f>HYPERLINK("http://www.ncbi.nlm.nih.gov/gene/6418725", "6418725")</f>
        <v>6418725</v>
      </c>
      <c r="C3274" s="9"/>
      <c r="D3274" t="str">
        <f>"F14H3.14"</f>
        <v>F14H3.14</v>
      </c>
      <c r="F3274" t="s">
        <v>11</v>
      </c>
      <c r="H3274" s="12">
        <v>2.3893468495514898</v>
      </c>
      <c r="I3274" s="11">
        <v>0.25323547253672701</v>
      </c>
      <c r="J3274" s="10">
        <v>0.80008625651646104</v>
      </c>
      <c r="K3274" s="29">
        <v>0.98289565623980701</v>
      </c>
    </row>
    <row r="3275" spans="1:11" x14ac:dyDescent="0.35">
      <c r="A3275" s="9" t="str">
        <f>HYPERLINK("http://www.ensembl.org/id/WBGene00008828", "WBGene00008828")</f>
        <v>WBGene00008828</v>
      </c>
      <c r="B3275" s="9"/>
      <c r="C3275" s="9"/>
      <c r="D3275" t="str">
        <f>"F14H3.9"</f>
        <v>F14H3.9</v>
      </c>
      <c r="F3275" t="s">
        <v>80</v>
      </c>
      <c r="H3275" s="12">
        <v>2.3893468495514898</v>
      </c>
      <c r="I3275" s="11">
        <v>0.25323547253672701</v>
      </c>
      <c r="J3275" s="10">
        <v>0.80008625651646104</v>
      </c>
      <c r="K3275" s="29">
        <v>0.98289565623980701</v>
      </c>
    </row>
    <row r="3276" spans="1:11" x14ac:dyDescent="0.35">
      <c r="A3276" s="9" t="str">
        <f>HYPERLINK("http://www.ensembl.org/id/WBGene00008835", "WBGene00008835")</f>
        <v>WBGene00008835</v>
      </c>
      <c r="B3276" s="9" t="str">
        <f>HYPERLINK("http://www.ncbi.nlm.nih.gov/gene/184500", "184500")</f>
        <v>184500</v>
      </c>
      <c r="C3276" s="9"/>
      <c r="D3276" t="str">
        <f>"F14H8.5"</f>
        <v>F14H8.5</v>
      </c>
      <c r="F3276" t="s">
        <v>11</v>
      </c>
      <c r="H3276" s="12">
        <v>2.3893468495514898</v>
      </c>
      <c r="I3276" s="11">
        <v>0.25323547253672701</v>
      </c>
      <c r="J3276" s="10">
        <v>0.80008625651646104</v>
      </c>
      <c r="K3276" s="29">
        <v>0.98289565623980701</v>
      </c>
    </row>
    <row r="3277" spans="1:11" x14ac:dyDescent="0.35">
      <c r="A3277" s="9" t="str">
        <f>HYPERLINK("http://www.ensembl.org/id/WBGene00195181", "WBGene00195181")</f>
        <v>WBGene00195181</v>
      </c>
      <c r="B3277" s="9" t="str">
        <f>HYPERLINK("http://www.ncbi.nlm.nih.gov/gene/13214768", "13214768")</f>
        <v>13214768</v>
      </c>
      <c r="C3277" s="9"/>
      <c r="D3277" t="str">
        <f>"F15H10.12"</f>
        <v>F15H10.12</v>
      </c>
      <c r="F3277" t="s">
        <v>11</v>
      </c>
      <c r="H3277" s="12">
        <v>2.3893468495514898</v>
      </c>
      <c r="I3277" s="11">
        <v>0.25323547253672701</v>
      </c>
      <c r="J3277" s="10">
        <v>0.80008625651646104</v>
      </c>
      <c r="K3277" s="29">
        <v>0.98289565623980701</v>
      </c>
    </row>
    <row r="3278" spans="1:11" x14ac:dyDescent="0.35">
      <c r="A3278" s="9" t="str">
        <f>HYPERLINK("http://www.ensembl.org/id/WBGene00008872", "WBGene00008872")</f>
        <v>WBGene00008872</v>
      </c>
      <c r="B3278" s="9" t="str">
        <f>HYPERLINK("http://www.ncbi.nlm.nih.gov/gene/184553", "184553")</f>
        <v>184553</v>
      </c>
      <c r="C3278" s="9"/>
      <c r="D3278" t="str">
        <f>"F15H10.5"</f>
        <v>F15H10.5</v>
      </c>
      <c r="F3278" t="s">
        <v>11</v>
      </c>
      <c r="H3278" s="12">
        <v>2.3893468495514898</v>
      </c>
      <c r="I3278" s="11">
        <v>0.25323547253672701</v>
      </c>
      <c r="J3278" s="10">
        <v>0.80008625651646104</v>
      </c>
      <c r="K3278" s="29">
        <v>0.98289565623980701</v>
      </c>
    </row>
    <row r="3279" spans="1:11" x14ac:dyDescent="0.35">
      <c r="A3279" s="9" t="str">
        <f>HYPERLINK("http://www.ensembl.org/id/WBGene00017517", "WBGene00017517")</f>
        <v>WBGene00017517</v>
      </c>
      <c r="B3279" s="9" t="str">
        <f>HYPERLINK("http://www.ncbi.nlm.nih.gov/gene/184577", "184577")</f>
        <v>184577</v>
      </c>
      <c r="C3279" s="9"/>
      <c r="D3279" t="str">
        <f>"F16G10.2"</f>
        <v>F16G10.2</v>
      </c>
      <c r="F3279" t="s">
        <v>11</v>
      </c>
      <c r="H3279" s="12">
        <v>2.3893468495514898</v>
      </c>
      <c r="I3279" s="11">
        <v>0.25323547253672701</v>
      </c>
      <c r="J3279" s="10">
        <v>0.80008625651646104</v>
      </c>
      <c r="K3279" s="29">
        <v>0.98289565623980701</v>
      </c>
    </row>
    <row r="3280" spans="1:11" x14ac:dyDescent="0.35">
      <c r="A3280" s="9" t="str">
        <f>HYPERLINK("http://www.ensembl.org/id/WBGene00017523", "WBGene00017523")</f>
        <v>WBGene00017523</v>
      </c>
      <c r="B3280" s="9" t="str">
        <f>HYPERLINK("http://www.ncbi.nlm.nih.gov/gene/184583", "184583")</f>
        <v>184583</v>
      </c>
      <c r="C3280" s="9"/>
      <c r="D3280" t="str">
        <f>"F16G10.8"</f>
        <v>F16G10.8</v>
      </c>
      <c r="F3280" t="s">
        <v>11</v>
      </c>
      <c r="H3280" s="12">
        <v>2.3893468495514898</v>
      </c>
      <c r="I3280" s="11">
        <v>0.25323547253672701</v>
      </c>
      <c r="J3280" s="10">
        <v>0.80008625651646104</v>
      </c>
      <c r="K3280" s="29">
        <v>0.98289565623980701</v>
      </c>
    </row>
    <row r="3281" spans="1:11" x14ac:dyDescent="0.35">
      <c r="A3281" s="9" t="str">
        <f>HYPERLINK("http://www.ensembl.org/id/WBGene00008893", "WBGene00008893")</f>
        <v>WBGene00008893</v>
      </c>
      <c r="B3281" s="9" t="str">
        <f>HYPERLINK("http://www.ncbi.nlm.nih.gov/gene/184590", "184590")</f>
        <v>184590</v>
      </c>
      <c r="C3281" s="9"/>
      <c r="D3281" t="str">
        <f>"F16H6.3"</f>
        <v>F16H6.3</v>
      </c>
      <c r="F3281" t="s">
        <v>11</v>
      </c>
      <c r="H3281" s="12">
        <v>2.3893468495514898</v>
      </c>
      <c r="I3281" s="11">
        <v>0.25323547253672701</v>
      </c>
      <c r="J3281" s="10">
        <v>0.80008625651646104</v>
      </c>
      <c r="K3281" s="29">
        <v>0.98289565623980701</v>
      </c>
    </row>
    <row r="3282" spans="1:11" x14ac:dyDescent="0.35">
      <c r="A3282" s="9" t="str">
        <f>HYPERLINK("http://www.ensembl.org/id/WBGene00200930", "WBGene00200930")</f>
        <v>WBGene00200930</v>
      </c>
      <c r="B3282" s="9"/>
      <c r="C3282" s="9"/>
      <c r="D3282" t="str">
        <f>"F17E5.5"</f>
        <v>F17E5.5</v>
      </c>
      <c r="F3282" t="s">
        <v>481</v>
      </c>
      <c r="H3282" s="12">
        <v>2.3893468495514898</v>
      </c>
      <c r="I3282" s="11">
        <v>0.25323547253672701</v>
      </c>
      <c r="J3282" s="10">
        <v>0.80008625651646104</v>
      </c>
      <c r="K3282" s="29">
        <v>0.98289565623980701</v>
      </c>
    </row>
    <row r="3283" spans="1:11" x14ac:dyDescent="0.35">
      <c r="A3283" s="9" t="str">
        <f>HYPERLINK("http://www.ensembl.org/id/WBGene00023270", "WBGene00023270")</f>
        <v>WBGene00023270</v>
      </c>
      <c r="B3283" s="9"/>
      <c r="C3283" s="9"/>
      <c r="D3283" t="str">
        <f>"F17E9.14"</f>
        <v>F17E9.14</v>
      </c>
      <c r="F3283" t="s">
        <v>80</v>
      </c>
      <c r="H3283" s="12">
        <v>2.3893468495514898</v>
      </c>
      <c r="I3283" s="11">
        <v>0.25323547253672701</v>
      </c>
      <c r="J3283" s="10">
        <v>0.80008625651646104</v>
      </c>
      <c r="K3283" s="29">
        <v>0.98289565623980701</v>
      </c>
    </row>
    <row r="3284" spans="1:11" x14ac:dyDescent="0.35">
      <c r="A3284" s="9" t="str">
        <f>HYPERLINK("http://www.ensembl.org/id/WBGene00198686", "WBGene00198686")</f>
        <v>WBGene00198686</v>
      </c>
      <c r="B3284" s="9"/>
      <c r="C3284" s="9"/>
      <c r="D3284" t="str">
        <f>"F18E2.12"</f>
        <v>F18E2.12</v>
      </c>
      <c r="F3284" t="s">
        <v>481</v>
      </c>
      <c r="H3284" s="12">
        <v>2.3893468495514898</v>
      </c>
      <c r="I3284" s="11">
        <v>0.25323547253672701</v>
      </c>
      <c r="J3284" s="10">
        <v>0.80008625651646104</v>
      </c>
      <c r="K3284" s="29">
        <v>0.98289565623980701</v>
      </c>
    </row>
    <row r="3285" spans="1:11" x14ac:dyDescent="0.35">
      <c r="A3285" s="9" t="str">
        <f>HYPERLINK("http://www.ensembl.org/id/WBGene00199810", "WBGene00199810")</f>
        <v>WBGene00199810</v>
      </c>
      <c r="B3285" s="9"/>
      <c r="C3285" s="9"/>
      <c r="D3285" t="str">
        <f>"F19G12.12"</f>
        <v>F19G12.12</v>
      </c>
      <c r="F3285" t="s">
        <v>481</v>
      </c>
      <c r="H3285" s="12">
        <v>2.3893468495514898</v>
      </c>
      <c r="I3285" s="11">
        <v>0.25323547253672701</v>
      </c>
      <c r="J3285" s="10">
        <v>0.80008625651646104</v>
      </c>
      <c r="K3285" s="29">
        <v>0.98289565623980701</v>
      </c>
    </row>
    <row r="3286" spans="1:11" x14ac:dyDescent="0.35">
      <c r="A3286" s="9" t="str">
        <f>HYPERLINK("http://www.ensembl.org/id/WBGene00017619", "WBGene00017619")</f>
        <v>WBGene00017619</v>
      </c>
      <c r="B3286" s="9" t="str">
        <f>HYPERLINK("http://www.ncbi.nlm.nih.gov/gene/184706", "184706")</f>
        <v>184706</v>
      </c>
      <c r="C3286" s="9"/>
      <c r="D3286" t="str">
        <f>"F20A1.8"</f>
        <v>F20A1.8</v>
      </c>
      <c r="F3286" t="s">
        <v>11</v>
      </c>
      <c r="H3286" s="12">
        <v>2.3893468495514898</v>
      </c>
      <c r="I3286" s="11">
        <v>0.25323547253672701</v>
      </c>
      <c r="J3286" s="10">
        <v>0.80008625651646104</v>
      </c>
      <c r="K3286" s="29">
        <v>0.98289565623980701</v>
      </c>
    </row>
    <row r="3287" spans="1:11" x14ac:dyDescent="0.35">
      <c r="A3287" s="9" t="str">
        <f>HYPERLINK("http://www.ensembl.org/id/WBGene00199342", "WBGene00199342")</f>
        <v>WBGene00199342</v>
      </c>
      <c r="B3287" s="9"/>
      <c r="C3287" s="9"/>
      <c r="D3287" t="str">
        <f>"F22B3.15"</f>
        <v>F22B3.15</v>
      </c>
      <c r="F3287" t="s">
        <v>481</v>
      </c>
      <c r="H3287" s="12">
        <v>2.3893468495514898</v>
      </c>
      <c r="I3287" s="11">
        <v>0.25323547253672701</v>
      </c>
      <c r="J3287" s="10">
        <v>0.80008625651646104</v>
      </c>
      <c r="K3287" s="29">
        <v>0.98289565623980701</v>
      </c>
    </row>
    <row r="3288" spans="1:11" x14ac:dyDescent="0.35">
      <c r="A3288" s="9" t="str">
        <f>HYPERLINK("http://www.ensembl.org/id/WBGene00197053", "WBGene00197053")</f>
        <v>WBGene00197053</v>
      </c>
      <c r="B3288" s="9"/>
      <c r="C3288" s="9"/>
      <c r="D3288" t="str">
        <f>"F22E12.6"</f>
        <v>F22E12.6</v>
      </c>
      <c r="F3288" t="s">
        <v>481</v>
      </c>
      <c r="H3288" s="12">
        <v>2.3893468495514898</v>
      </c>
      <c r="I3288" s="11">
        <v>0.25323547253672701</v>
      </c>
      <c r="J3288" s="10">
        <v>0.80008625651646104</v>
      </c>
      <c r="K3288" s="29">
        <v>0.98289565623980701</v>
      </c>
    </row>
    <row r="3289" spans="1:11" x14ac:dyDescent="0.35">
      <c r="A3289" s="9" t="str">
        <f>HYPERLINK("http://www.ensembl.org/id/WBGene00023272", "WBGene00023272")</f>
        <v>WBGene00023272</v>
      </c>
      <c r="B3289" s="9"/>
      <c r="C3289" s="9"/>
      <c r="D3289" t="str">
        <f>"F22E5.19"</f>
        <v>F22E5.19</v>
      </c>
      <c r="F3289" t="s">
        <v>80</v>
      </c>
      <c r="H3289" s="12">
        <v>2.3893468495514898</v>
      </c>
      <c r="I3289" s="11">
        <v>0.25323547253672701</v>
      </c>
      <c r="J3289" s="10">
        <v>0.80008625651646104</v>
      </c>
      <c r="K3289" s="29">
        <v>0.98289565623980701</v>
      </c>
    </row>
    <row r="3290" spans="1:11" x14ac:dyDescent="0.35">
      <c r="A3290" s="9" t="str">
        <f>HYPERLINK("http://www.ensembl.org/id/WBGene00199370", "WBGene00199370")</f>
        <v>WBGene00199370</v>
      </c>
      <c r="B3290" s="9"/>
      <c r="C3290" s="9"/>
      <c r="D3290" t="str">
        <f>"F25B4.14"</f>
        <v>F25B4.14</v>
      </c>
      <c r="F3290" t="s">
        <v>481</v>
      </c>
      <c r="H3290" s="12">
        <v>2.3893468495514898</v>
      </c>
      <c r="I3290" s="11">
        <v>0.25323547253672701</v>
      </c>
      <c r="J3290" s="10">
        <v>0.80008625651646104</v>
      </c>
      <c r="K3290" s="29">
        <v>0.98289565623980701</v>
      </c>
    </row>
    <row r="3291" spans="1:11" x14ac:dyDescent="0.35">
      <c r="A3291" s="9" t="str">
        <f>HYPERLINK("http://www.ensembl.org/id/WBGene00199523", "WBGene00199523")</f>
        <v>WBGene00199523</v>
      </c>
      <c r="B3291" s="9"/>
      <c r="C3291" s="9"/>
      <c r="D3291" t="str">
        <f>"F25D7.8"</f>
        <v>F25D7.8</v>
      </c>
      <c r="F3291" t="s">
        <v>481</v>
      </c>
      <c r="H3291" s="12">
        <v>2.3893468495514898</v>
      </c>
      <c r="I3291" s="11">
        <v>0.25323547253672701</v>
      </c>
      <c r="J3291" s="10">
        <v>0.80008625651646104</v>
      </c>
      <c r="K3291" s="29">
        <v>0.98289565623980701</v>
      </c>
    </row>
    <row r="3292" spans="1:11" x14ac:dyDescent="0.35">
      <c r="A3292" s="9" t="str">
        <f>HYPERLINK("http://www.ensembl.org/id/WBGene00197832", "WBGene00197832")</f>
        <v>WBGene00197832</v>
      </c>
      <c r="B3292" s="9"/>
      <c r="C3292" s="9"/>
      <c r="D3292" t="str">
        <f>"F26A10.13"</f>
        <v>F26A10.13</v>
      </c>
      <c r="F3292" t="s">
        <v>481</v>
      </c>
      <c r="H3292" s="12">
        <v>2.3893468495514898</v>
      </c>
      <c r="I3292" s="11">
        <v>0.25323547253672701</v>
      </c>
      <c r="J3292" s="10">
        <v>0.80008625651646104</v>
      </c>
      <c r="K3292" s="29">
        <v>0.98289565623980701</v>
      </c>
    </row>
    <row r="3293" spans="1:11" x14ac:dyDescent="0.35">
      <c r="A3293" s="9" t="str">
        <f>HYPERLINK("http://www.ensembl.org/id/WBGene00198951", "WBGene00198951")</f>
        <v>WBGene00198951</v>
      </c>
      <c r="B3293" s="9"/>
      <c r="C3293" s="9"/>
      <c r="D3293" t="str">
        <f>"F26F12.17"</f>
        <v>F26F12.17</v>
      </c>
      <c r="F3293" t="s">
        <v>481</v>
      </c>
      <c r="H3293" s="12">
        <v>2.3893468495514898</v>
      </c>
      <c r="I3293" s="11">
        <v>0.25323547253672701</v>
      </c>
      <c r="J3293" s="10">
        <v>0.80008625651646104</v>
      </c>
      <c r="K3293" s="29">
        <v>0.98289565623980701</v>
      </c>
    </row>
    <row r="3294" spans="1:11" x14ac:dyDescent="0.35">
      <c r="A3294" s="9" t="str">
        <f>HYPERLINK("http://www.ensembl.org/id/WBGene00017878", "WBGene00017878")</f>
        <v>WBGene00017878</v>
      </c>
      <c r="B3294" s="9"/>
      <c r="C3294" s="9"/>
      <c r="D3294" t="str">
        <f>"F28A10.10"</f>
        <v>F28A10.10</v>
      </c>
      <c r="F3294" t="s">
        <v>80</v>
      </c>
      <c r="H3294" s="12">
        <v>2.3893468495514898</v>
      </c>
      <c r="I3294" s="11">
        <v>0.25323547253672701</v>
      </c>
      <c r="J3294" s="10">
        <v>0.80008625651646104</v>
      </c>
      <c r="K3294" s="29">
        <v>0.98289565623980701</v>
      </c>
    </row>
    <row r="3295" spans="1:11" x14ac:dyDescent="0.35">
      <c r="A3295" s="9" t="str">
        <f>HYPERLINK("http://www.ensembl.org/id/WBGene00202463", "WBGene00202463")</f>
        <v>WBGene00202463</v>
      </c>
      <c r="B3295" s="9"/>
      <c r="C3295" s="9"/>
      <c r="D3295" t="str">
        <f>"F28A12.8"</f>
        <v>F28A12.8</v>
      </c>
      <c r="F3295" t="s">
        <v>481</v>
      </c>
      <c r="H3295" s="12">
        <v>2.3893468495514898</v>
      </c>
      <c r="I3295" s="11">
        <v>0.25323547253672701</v>
      </c>
      <c r="J3295" s="10">
        <v>0.80008625651646104</v>
      </c>
      <c r="K3295" s="29">
        <v>0.98289565623980701</v>
      </c>
    </row>
    <row r="3296" spans="1:11" x14ac:dyDescent="0.35">
      <c r="A3296" s="9" t="str">
        <f>HYPERLINK("http://www.ensembl.org/id/WBGene00197459", "WBGene00197459")</f>
        <v>WBGene00197459</v>
      </c>
      <c r="B3296" s="9"/>
      <c r="C3296" s="9"/>
      <c r="D3296" t="str">
        <f>"F28B4.5"</f>
        <v>F28B4.5</v>
      </c>
      <c r="F3296" t="s">
        <v>481</v>
      </c>
      <c r="H3296" s="12">
        <v>2.3893468495514898</v>
      </c>
      <c r="I3296" s="11">
        <v>0.25323547253672701</v>
      </c>
      <c r="J3296" s="10">
        <v>0.80008625651646104</v>
      </c>
      <c r="K3296" s="29">
        <v>0.98289565623980701</v>
      </c>
    </row>
    <row r="3297" spans="1:11" x14ac:dyDescent="0.35">
      <c r="A3297" s="9" t="str">
        <f>HYPERLINK("http://www.ensembl.org/id/WBGene00200858", "WBGene00200858")</f>
        <v>WBGene00200858</v>
      </c>
      <c r="B3297" s="9"/>
      <c r="C3297" s="9"/>
      <c r="D3297" t="str">
        <f>"F28C1.14"</f>
        <v>F28C1.14</v>
      </c>
      <c r="F3297" t="s">
        <v>481</v>
      </c>
      <c r="H3297" s="12">
        <v>2.3893468495514898</v>
      </c>
      <c r="I3297" s="11">
        <v>0.25323547253672701</v>
      </c>
      <c r="J3297" s="10">
        <v>0.80008625651646104</v>
      </c>
      <c r="K3297" s="29">
        <v>0.98289565623980701</v>
      </c>
    </row>
    <row r="3298" spans="1:11" x14ac:dyDescent="0.35">
      <c r="A3298" s="9" t="str">
        <f>HYPERLINK("http://www.ensembl.org/id/WBGene00201902", "WBGene00201902")</f>
        <v>WBGene00201902</v>
      </c>
      <c r="B3298" s="9"/>
      <c r="C3298" s="9"/>
      <c r="D3298" t="str">
        <f>"F29F11.18"</f>
        <v>F29F11.18</v>
      </c>
      <c r="F3298" t="s">
        <v>481</v>
      </c>
      <c r="H3298" s="12">
        <v>2.3893468495514898</v>
      </c>
      <c r="I3298" s="11">
        <v>0.25323547253672701</v>
      </c>
      <c r="J3298" s="10">
        <v>0.80008625651646104</v>
      </c>
      <c r="K3298" s="29">
        <v>0.98289565623980701</v>
      </c>
    </row>
    <row r="3299" spans="1:11" x14ac:dyDescent="0.35">
      <c r="A3299" s="9" t="str">
        <f>HYPERLINK("http://www.ensembl.org/id/WBGene00201247", "WBGene00201247")</f>
        <v>WBGene00201247</v>
      </c>
      <c r="B3299" s="9"/>
      <c r="C3299" s="9"/>
      <c r="D3299" t="str">
        <f>"F31E8.19"</f>
        <v>F31E8.19</v>
      </c>
      <c r="F3299" t="s">
        <v>481</v>
      </c>
      <c r="H3299" s="12">
        <v>2.3893468495514898</v>
      </c>
      <c r="I3299" s="11">
        <v>0.25323547253672701</v>
      </c>
      <c r="J3299" s="10">
        <v>0.80008625651646104</v>
      </c>
      <c r="K3299" s="29">
        <v>0.98289565623980701</v>
      </c>
    </row>
    <row r="3300" spans="1:11" x14ac:dyDescent="0.35">
      <c r="A3300" s="9" t="str">
        <f>HYPERLINK("http://www.ensembl.org/id/WBGene00195594", "WBGene00195594")</f>
        <v>WBGene00195594</v>
      </c>
      <c r="B3300" s="9"/>
      <c r="C3300" s="9"/>
      <c r="D3300" t="str">
        <f>"F31E8.7"</f>
        <v>F31E8.7</v>
      </c>
      <c r="F3300" t="s">
        <v>481</v>
      </c>
      <c r="H3300" s="12">
        <v>2.3893468495514898</v>
      </c>
      <c r="I3300" s="11">
        <v>0.25323547253672701</v>
      </c>
      <c r="J3300" s="10">
        <v>0.80008625651646104</v>
      </c>
      <c r="K3300" s="29">
        <v>0.98289565623980701</v>
      </c>
    </row>
    <row r="3301" spans="1:11" x14ac:dyDescent="0.35">
      <c r="A3301" s="9" t="str">
        <f>HYPERLINK("http://www.ensembl.org/id/WBGene00199091", "WBGene00199091")</f>
        <v>WBGene00199091</v>
      </c>
      <c r="B3301" s="9"/>
      <c r="C3301" s="9"/>
      <c r="D3301" t="str">
        <f>"F32G8.10"</f>
        <v>F32G8.10</v>
      </c>
      <c r="F3301" t="s">
        <v>481</v>
      </c>
      <c r="H3301" s="12">
        <v>2.3893468495514898</v>
      </c>
      <c r="I3301" s="11">
        <v>0.25323547253672701</v>
      </c>
      <c r="J3301" s="10">
        <v>0.80008625651646104</v>
      </c>
      <c r="K3301" s="29">
        <v>0.98289565623980701</v>
      </c>
    </row>
    <row r="3302" spans="1:11" x14ac:dyDescent="0.35">
      <c r="A3302" s="9" t="str">
        <f>HYPERLINK("http://www.ensembl.org/id/WBGene00009363", "WBGene00009363")</f>
        <v>WBGene00009363</v>
      </c>
      <c r="B3302" s="9" t="str">
        <f>HYPERLINK("http://www.ncbi.nlm.nih.gov/gene/3564981", "3564981")</f>
        <v>3564981</v>
      </c>
      <c r="C3302" s="9"/>
      <c r="D3302" t="str">
        <f>"F33E2.7"</f>
        <v>F33E2.7</v>
      </c>
      <c r="F3302" t="s">
        <v>11</v>
      </c>
      <c r="H3302" s="12">
        <v>2.3893468495514898</v>
      </c>
      <c r="I3302" s="11">
        <v>0.25323547253672701</v>
      </c>
      <c r="J3302" s="10">
        <v>0.80008625651646104</v>
      </c>
      <c r="K3302" s="29">
        <v>0.98289565623980701</v>
      </c>
    </row>
    <row r="3303" spans="1:11" x14ac:dyDescent="0.35">
      <c r="A3303" s="9" t="str">
        <f>HYPERLINK("http://www.ensembl.org/id/WBGene00018039", "WBGene00018039")</f>
        <v>WBGene00018039</v>
      </c>
      <c r="B3303" s="9" t="str">
        <f>HYPERLINK("http://www.ncbi.nlm.nih.gov/gene/185276", "185276")</f>
        <v>185276</v>
      </c>
      <c r="C3303" s="9"/>
      <c r="D3303" t="str">
        <f>"F35D2.1"</f>
        <v>F35D2.1</v>
      </c>
      <c r="F3303" t="s">
        <v>11</v>
      </c>
      <c r="H3303" s="12">
        <v>2.3893468495514898</v>
      </c>
      <c r="I3303" s="11">
        <v>0.25323547253672701</v>
      </c>
      <c r="J3303" s="10">
        <v>0.80008625651646104</v>
      </c>
      <c r="K3303" s="29">
        <v>0.98289565623980701</v>
      </c>
    </row>
    <row r="3304" spans="1:11" x14ac:dyDescent="0.35">
      <c r="A3304" s="9" t="str">
        <f>HYPERLINK("http://www.ensembl.org/id/WBGene00201528", "WBGene00201528")</f>
        <v>WBGene00201528</v>
      </c>
      <c r="B3304" s="9"/>
      <c r="C3304" s="9"/>
      <c r="D3304" t="str">
        <f>"F35D2.15"</f>
        <v>F35D2.15</v>
      </c>
      <c r="F3304" t="s">
        <v>481</v>
      </c>
      <c r="H3304" s="12">
        <v>2.3893468495514898</v>
      </c>
      <c r="I3304" s="11">
        <v>0.25323547253672701</v>
      </c>
      <c r="J3304" s="10">
        <v>0.80008625651646104</v>
      </c>
      <c r="K3304" s="29">
        <v>0.98289565623980701</v>
      </c>
    </row>
    <row r="3305" spans="1:11" x14ac:dyDescent="0.35">
      <c r="A3305" s="9" t="str">
        <f>HYPERLINK("http://www.ensembl.org/id/WBGene00009409", "WBGene00009409")</f>
        <v>WBGene00009409</v>
      </c>
      <c r="B3305" s="9" t="str">
        <f>HYPERLINK("http://www.ncbi.nlm.nih.gov/gene/185284", "185284")</f>
        <v>185284</v>
      </c>
      <c r="C3305" s="9"/>
      <c r="D3305" t="str">
        <f>"F35E2.1"</f>
        <v>F35E2.1</v>
      </c>
      <c r="F3305" t="s">
        <v>11</v>
      </c>
      <c r="G3305" t="s">
        <v>25</v>
      </c>
      <c r="H3305" s="12">
        <v>2.3893468495514898</v>
      </c>
      <c r="I3305" s="11">
        <v>0.25323547253672701</v>
      </c>
      <c r="J3305" s="10">
        <v>0.80008625651646104</v>
      </c>
      <c r="K3305" s="29">
        <v>0.98289565623980701</v>
      </c>
    </row>
    <row r="3306" spans="1:11" x14ac:dyDescent="0.35">
      <c r="A3306" s="9" t="str">
        <f>HYPERLINK("http://www.ensembl.org/id/WBGene00201076", "WBGene00201076")</f>
        <v>WBGene00201076</v>
      </c>
      <c r="B3306" s="9"/>
      <c r="C3306" s="9"/>
      <c r="D3306" t="str">
        <f>"F35G2.18"</f>
        <v>F35G2.18</v>
      </c>
      <c r="F3306" t="s">
        <v>481</v>
      </c>
      <c r="H3306" s="12">
        <v>2.3893468495514898</v>
      </c>
      <c r="I3306" s="11">
        <v>0.25323547253672701</v>
      </c>
      <c r="J3306" s="10">
        <v>0.80008625651646104</v>
      </c>
      <c r="K3306" s="29">
        <v>0.98289565623980701</v>
      </c>
    </row>
    <row r="3307" spans="1:11" x14ac:dyDescent="0.35">
      <c r="A3307" s="9" t="str">
        <f>HYPERLINK("http://www.ensembl.org/id/WBGene00196546", "WBGene00196546")</f>
        <v>WBGene00196546</v>
      </c>
      <c r="B3307" s="9"/>
      <c r="C3307" s="9"/>
      <c r="D3307" t="str">
        <f>"F38A3.3"</f>
        <v>F38A3.3</v>
      </c>
      <c r="F3307" t="s">
        <v>481</v>
      </c>
      <c r="H3307" s="12">
        <v>2.3893468495514898</v>
      </c>
      <c r="I3307" s="11">
        <v>0.25323547253672701</v>
      </c>
      <c r="J3307" s="10">
        <v>0.80008625651646104</v>
      </c>
      <c r="K3307" s="29">
        <v>0.98289565623980701</v>
      </c>
    </row>
    <row r="3308" spans="1:11" x14ac:dyDescent="0.35">
      <c r="A3308" s="9" t="str">
        <f>HYPERLINK("http://www.ensembl.org/id/WBGene00202217", "WBGene00202217")</f>
        <v>WBGene00202217</v>
      </c>
      <c r="B3308" s="9"/>
      <c r="C3308" s="9"/>
      <c r="D3308" t="str">
        <f>"F38B6.24"</f>
        <v>F38B6.24</v>
      </c>
      <c r="F3308" t="s">
        <v>481</v>
      </c>
      <c r="H3308" s="12">
        <v>2.3893468495514898</v>
      </c>
      <c r="I3308" s="11">
        <v>0.25323547253672701</v>
      </c>
      <c r="J3308" s="10">
        <v>0.80008625651646104</v>
      </c>
      <c r="K3308" s="29">
        <v>0.98289565623980701</v>
      </c>
    </row>
    <row r="3309" spans="1:11" x14ac:dyDescent="0.35">
      <c r="A3309" s="9" t="str">
        <f>HYPERLINK("http://www.ensembl.org/id/WBGene00196790", "WBGene00196790")</f>
        <v>WBGene00196790</v>
      </c>
      <c r="B3309" s="9"/>
      <c r="C3309" s="9"/>
      <c r="D3309" t="str">
        <f>"F38B7.13"</f>
        <v>F38B7.13</v>
      </c>
      <c r="F3309" t="s">
        <v>481</v>
      </c>
      <c r="H3309" s="12">
        <v>2.3893468495514898</v>
      </c>
      <c r="I3309" s="11">
        <v>0.25323547253672701</v>
      </c>
      <c r="J3309" s="10">
        <v>0.80008625651646104</v>
      </c>
      <c r="K3309" s="29">
        <v>0.98289565623980701</v>
      </c>
    </row>
    <row r="3310" spans="1:11" x14ac:dyDescent="0.35">
      <c r="A3310" s="9" t="str">
        <f>HYPERLINK("http://www.ensembl.org/id/WBGene00197408", "WBGene00197408")</f>
        <v>WBGene00197408</v>
      </c>
      <c r="B3310" s="9"/>
      <c r="C3310" s="9"/>
      <c r="D3310" t="str">
        <f>"F38E11.21"</f>
        <v>F38E11.21</v>
      </c>
      <c r="F3310" t="s">
        <v>481</v>
      </c>
      <c r="H3310" s="12">
        <v>2.3893468495514898</v>
      </c>
      <c r="I3310" s="11">
        <v>0.25323547253672701</v>
      </c>
      <c r="J3310" s="10">
        <v>0.80008625651646104</v>
      </c>
      <c r="K3310" s="29">
        <v>0.98289565623980701</v>
      </c>
    </row>
    <row r="3311" spans="1:11" x14ac:dyDescent="0.35">
      <c r="A3311" s="9" t="str">
        <f>HYPERLINK("http://www.ensembl.org/id/WBGene00023033", "WBGene00023033")</f>
        <v>WBGene00023033</v>
      </c>
      <c r="B3311" s="9"/>
      <c r="C3311" s="9"/>
      <c r="D3311" t="str">
        <f>"F38E9.t2"</f>
        <v>F38E9.t2</v>
      </c>
      <c r="F3311" t="s">
        <v>4208</v>
      </c>
      <c r="H3311" s="12">
        <v>2.3893468495514898</v>
      </c>
      <c r="I3311" s="11">
        <v>0.25323547253672701</v>
      </c>
      <c r="J3311" s="10">
        <v>0.80008625651646104</v>
      </c>
      <c r="K3311" s="29">
        <v>0.98289565623980701</v>
      </c>
    </row>
    <row r="3312" spans="1:11" x14ac:dyDescent="0.35">
      <c r="A3312" s="9" t="str">
        <f>HYPERLINK("http://www.ensembl.org/id/WBGene00196353", "WBGene00196353")</f>
        <v>WBGene00196353</v>
      </c>
      <c r="B3312" s="9"/>
      <c r="C3312" s="9"/>
      <c r="D3312" t="str">
        <f>"F39B3.5"</f>
        <v>F39B3.5</v>
      </c>
      <c r="F3312" t="s">
        <v>481</v>
      </c>
      <c r="H3312" s="12">
        <v>2.3893468495514898</v>
      </c>
      <c r="I3312" s="11">
        <v>0.25323547253672701</v>
      </c>
      <c r="J3312" s="10">
        <v>0.80008625651646104</v>
      </c>
      <c r="K3312" s="29">
        <v>0.98289565623980701</v>
      </c>
    </row>
    <row r="3313" spans="1:11" x14ac:dyDescent="0.35">
      <c r="A3313" s="9" t="str">
        <f>HYPERLINK("http://www.ensembl.org/id/WBGene00195986", "WBGene00195986")</f>
        <v>WBGene00195986</v>
      </c>
      <c r="B3313" s="9"/>
      <c r="C3313" s="9"/>
      <c r="D3313" t="str">
        <f>"F39C12.5"</f>
        <v>F39C12.5</v>
      </c>
      <c r="F3313" t="s">
        <v>481</v>
      </c>
      <c r="H3313" s="12">
        <v>2.3893468495514898</v>
      </c>
      <c r="I3313" s="11">
        <v>0.25323547253672701</v>
      </c>
      <c r="J3313" s="10">
        <v>0.80008625651646104</v>
      </c>
      <c r="K3313" s="29">
        <v>0.98289565623980701</v>
      </c>
    </row>
    <row r="3314" spans="1:11" x14ac:dyDescent="0.35">
      <c r="A3314" s="9" t="str">
        <f>HYPERLINK("http://www.ensembl.org/id/WBGene00014370", "WBGene00014370")</f>
        <v>WBGene00014370</v>
      </c>
      <c r="B3314" s="9"/>
      <c r="C3314" s="9"/>
      <c r="D3314" t="str">
        <f>"F40G12.13"</f>
        <v>F40G12.13</v>
      </c>
      <c r="F3314" t="s">
        <v>4205</v>
      </c>
      <c r="H3314" s="12">
        <v>2.3893468495514898</v>
      </c>
      <c r="I3314" s="11">
        <v>0.25323547253672701</v>
      </c>
      <c r="J3314" s="10">
        <v>0.80008625651646104</v>
      </c>
      <c r="K3314" s="29">
        <v>0.98289565623980701</v>
      </c>
    </row>
    <row r="3315" spans="1:11" x14ac:dyDescent="0.35">
      <c r="A3315" s="9" t="str">
        <f>HYPERLINK("http://www.ensembl.org/id/WBGene00197252", "WBGene00197252")</f>
        <v>WBGene00197252</v>
      </c>
      <c r="B3315" s="9"/>
      <c r="C3315" s="9"/>
      <c r="D3315" t="str">
        <f>"F41C6.10"</f>
        <v>F41C6.10</v>
      </c>
      <c r="F3315" t="s">
        <v>481</v>
      </c>
      <c r="H3315" s="12">
        <v>2.3893468495514898</v>
      </c>
      <c r="I3315" s="11">
        <v>0.25323547253672701</v>
      </c>
      <c r="J3315" s="10">
        <v>0.80008625651646104</v>
      </c>
      <c r="K3315" s="29">
        <v>0.98289565623980701</v>
      </c>
    </row>
    <row r="3316" spans="1:11" x14ac:dyDescent="0.35">
      <c r="A3316" s="9" t="str">
        <f>HYPERLINK("http://www.ensembl.org/id/WBGene00198733", "WBGene00198733")</f>
        <v>WBGene00198733</v>
      </c>
      <c r="B3316" s="9"/>
      <c r="C3316" s="9"/>
      <c r="D3316" t="str">
        <f>"F43C9.6"</f>
        <v>F43C9.6</v>
      </c>
      <c r="F3316" t="s">
        <v>481</v>
      </c>
      <c r="H3316" s="12">
        <v>2.3893468495514898</v>
      </c>
      <c r="I3316" s="11">
        <v>0.25323547253672701</v>
      </c>
      <c r="J3316" s="10">
        <v>0.80008625651646104</v>
      </c>
      <c r="K3316" s="29">
        <v>0.98289565623980701</v>
      </c>
    </row>
    <row r="3317" spans="1:11" x14ac:dyDescent="0.35">
      <c r="A3317" s="9" t="str">
        <f>HYPERLINK("http://www.ensembl.org/id/WBGene00197638", "WBGene00197638")</f>
        <v>WBGene00197638</v>
      </c>
      <c r="B3317" s="9"/>
      <c r="C3317" s="9"/>
      <c r="D3317" t="str">
        <f>"F43D2.9"</f>
        <v>F43D2.9</v>
      </c>
      <c r="F3317" t="s">
        <v>481</v>
      </c>
      <c r="H3317" s="12">
        <v>2.3893468495514898</v>
      </c>
      <c r="I3317" s="11">
        <v>0.25323547253672701</v>
      </c>
      <c r="J3317" s="10">
        <v>0.80008625651646104</v>
      </c>
      <c r="K3317" s="29">
        <v>0.98289565623980701</v>
      </c>
    </row>
    <row r="3318" spans="1:11" x14ac:dyDescent="0.35">
      <c r="A3318" s="9" t="str">
        <f>HYPERLINK("http://www.ensembl.org/id/WBGene00199267", "WBGene00199267")</f>
        <v>WBGene00199267</v>
      </c>
      <c r="B3318" s="9"/>
      <c r="C3318" s="9"/>
      <c r="D3318" t="str">
        <f>"F43G6.15"</f>
        <v>F43G6.15</v>
      </c>
      <c r="F3318" t="s">
        <v>481</v>
      </c>
      <c r="H3318" s="12">
        <v>2.3893468495514898</v>
      </c>
      <c r="I3318" s="11">
        <v>0.25323547253672701</v>
      </c>
      <c r="J3318" s="10">
        <v>0.80008625651646104</v>
      </c>
      <c r="K3318" s="29">
        <v>0.98289565623980701</v>
      </c>
    </row>
    <row r="3319" spans="1:11" x14ac:dyDescent="0.35">
      <c r="A3319" s="9" t="str">
        <f>HYPERLINK("http://www.ensembl.org/id/WBGene00201989", "WBGene00201989")</f>
        <v>WBGene00201989</v>
      </c>
      <c r="B3319" s="9"/>
      <c r="C3319" s="9"/>
      <c r="D3319" t="str">
        <f>"F43G9.20"</f>
        <v>F43G9.20</v>
      </c>
      <c r="F3319" t="s">
        <v>481</v>
      </c>
      <c r="H3319" s="12">
        <v>2.3893468495514898</v>
      </c>
      <c r="I3319" s="11">
        <v>0.25323547253672701</v>
      </c>
      <c r="J3319" s="10">
        <v>0.80008625651646104</v>
      </c>
      <c r="K3319" s="29">
        <v>0.98289565623980701</v>
      </c>
    </row>
    <row r="3320" spans="1:11" x14ac:dyDescent="0.35">
      <c r="A3320" s="9" t="str">
        <f>HYPERLINK("http://www.ensembl.org/id/WBGene00197763", "WBGene00197763")</f>
        <v>WBGene00197763</v>
      </c>
      <c r="B3320" s="9"/>
      <c r="C3320" s="9"/>
      <c r="D3320" t="str">
        <f>"F44E8.43"</f>
        <v>F44E8.43</v>
      </c>
      <c r="F3320" t="s">
        <v>481</v>
      </c>
      <c r="H3320" s="12">
        <v>2.3893468495514898</v>
      </c>
      <c r="I3320" s="11">
        <v>0.25323547253672701</v>
      </c>
      <c r="J3320" s="10">
        <v>0.80008625651646104</v>
      </c>
      <c r="K3320" s="29">
        <v>0.98289565623980701</v>
      </c>
    </row>
    <row r="3321" spans="1:11" x14ac:dyDescent="0.35">
      <c r="A3321" s="9" t="str">
        <f>HYPERLINK("http://www.ensembl.org/id/WBGene00200167", "WBGene00200167")</f>
        <v>WBGene00200167</v>
      </c>
      <c r="B3321" s="9"/>
      <c r="C3321" s="9"/>
      <c r="D3321" t="str">
        <f>"F45D3.11"</f>
        <v>F45D3.11</v>
      </c>
      <c r="F3321" t="s">
        <v>481</v>
      </c>
      <c r="H3321" s="12">
        <v>2.3893468495514898</v>
      </c>
      <c r="I3321" s="11">
        <v>0.25323547253672701</v>
      </c>
      <c r="J3321" s="10">
        <v>0.80008625651646104</v>
      </c>
      <c r="K3321" s="29">
        <v>0.98289565623980701</v>
      </c>
    </row>
    <row r="3322" spans="1:11" x14ac:dyDescent="0.35">
      <c r="A3322" s="9" t="str">
        <f>HYPERLINK("http://www.ensembl.org/id/WBGene00196864", "WBGene00196864")</f>
        <v>WBGene00196864</v>
      </c>
      <c r="B3322" s="9"/>
      <c r="C3322" s="9"/>
      <c r="D3322" t="str">
        <f>"F45H7.10"</f>
        <v>F45H7.10</v>
      </c>
      <c r="F3322" t="s">
        <v>481</v>
      </c>
      <c r="H3322" s="12">
        <v>2.3893468495514898</v>
      </c>
      <c r="I3322" s="11">
        <v>0.25323547253672701</v>
      </c>
      <c r="J3322" s="10">
        <v>0.80008625651646104</v>
      </c>
      <c r="K3322" s="29">
        <v>0.98289565623980701</v>
      </c>
    </row>
    <row r="3323" spans="1:11" x14ac:dyDescent="0.35">
      <c r="A3323" s="9" t="str">
        <f>HYPERLINK("http://www.ensembl.org/id/WBGene00199161", "WBGene00199161")</f>
        <v>WBGene00199161</v>
      </c>
      <c r="B3323" s="9"/>
      <c r="C3323" s="9"/>
      <c r="D3323" t="str">
        <f>"F46C5.12"</f>
        <v>F46C5.12</v>
      </c>
      <c r="F3323" t="s">
        <v>481</v>
      </c>
      <c r="H3323" s="12">
        <v>2.3893468495514898</v>
      </c>
      <c r="I3323" s="11">
        <v>0.25323547253672701</v>
      </c>
      <c r="J3323" s="10">
        <v>0.80008625651646104</v>
      </c>
      <c r="K3323" s="29">
        <v>0.98289565623980701</v>
      </c>
    </row>
    <row r="3324" spans="1:11" x14ac:dyDescent="0.35">
      <c r="A3324" s="9" t="str">
        <f>HYPERLINK("http://www.ensembl.org/id/WBGene00197671", "WBGene00197671")</f>
        <v>WBGene00197671</v>
      </c>
      <c r="B3324" s="9"/>
      <c r="C3324" s="9"/>
      <c r="D3324" t="str">
        <f>"F46C8.12"</f>
        <v>F46C8.12</v>
      </c>
      <c r="F3324" t="s">
        <v>481</v>
      </c>
      <c r="H3324" s="12">
        <v>2.3893468495514898</v>
      </c>
      <c r="I3324" s="11">
        <v>0.25323547253672701</v>
      </c>
      <c r="J3324" s="10">
        <v>0.80008625651646104</v>
      </c>
      <c r="K3324" s="29">
        <v>0.98289565623980701</v>
      </c>
    </row>
    <row r="3325" spans="1:11" x14ac:dyDescent="0.35">
      <c r="A3325" s="9" t="str">
        <f>HYPERLINK("http://www.ensembl.org/id/WBGene00198810", "WBGene00198810")</f>
        <v>WBGene00198810</v>
      </c>
      <c r="B3325" s="9"/>
      <c r="C3325" s="9"/>
      <c r="D3325" t="str">
        <f>"F46C8.16"</f>
        <v>F46C8.16</v>
      </c>
      <c r="F3325" t="s">
        <v>481</v>
      </c>
      <c r="H3325" s="12">
        <v>2.3893468495514898</v>
      </c>
      <c r="I3325" s="11">
        <v>0.25323547253672701</v>
      </c>
      <c r="J3325" s="10">
        <v>0.80008625651646104</v>
      </c>
      <c r="K3325" s="29">
        <v>0.98289565623980701</v>
      </c>
    </row>
    <row r="3326" spans="1:11" x14ac:dyDescent="0.35">
      <c r="A3326" s="9" t="str">
        <f>HYPERLINK("http://www.ensembl.org/id/WBGene00198529", "WBGene00198529")</f>
        <v>WBGene00198529</v>
      </c>
      <c r="B3326" s="9"/>
      <c r="C3326" s="9"/>
      <c r="D3326" t="str">
        <f>"F46F3.10"</f>
        <v>F46F3.10</v>
      </c>
      <c r="F3326" t="s">
        <v>481</v>
      </c>
      <c r="H3326" s="12">
        <v>2.3893468495514898</v>
      </c>
      <c r="I3326" s="11">
        <v>0.25323547253672701</v>
      </c>
      <c r="J3326" s="10">
        <v>0.80008625651646104</v>
      </c>
      <c r="K3326" s="29">
        <v>0.98289565623980701</v>
      </c>
    </row>
    <row r="3327" spans="1:11" x14ac:dyDescent="0.35">
      <c r="A3327" s="9" t="str">
        <f>HYPERLINK("http://www.ensembl.org/id/WBGene00018535", "WBGene00018535")</f>
        <v>WBGene00018535</v>
      </c>
      <c r="B3327" s="9" t="str">
        <f>HYPERLINK("http://www.ncbi.nlm.nih.gov/gene/185891", "185891")</f>
        <v>185891</v>
      </c>
      <c r="C3327" s="9"/>
      <c r="D3327" t="str">
        <f>"F47B7.4"</f>
        <v>F47B7.4</v>
      </c>
      <c r="F3327" t="s">
        <v>11</v>
      </c>
      <c r="H3327" s="12">
        <v>2.3893468495514898</v>
      </c>
      <c r="I3327" s="11">
        <v>0.25323547253672701</v>
      </c>
      <c r="J3327" s="10">
        <v>0.80008625651646104</v>
      </c>
      <c r="K3327" s="29">
        <v>0.98289565623980701</v>
      </c>
    </row>
    <row r="3328" spans="1:11" x14ac:dyDescent="0.35">
      <c r="A3328" s="9" t="str">
        <f>HYPERLINK("http://www.ensembl.org/id/WBGene00200548", "WBGene00200548")</f>
        <v>WBGene00200548</v>
      </c>
      <c r="B3328" s="9"/>
      <c r="C3328" s="9"/>
      <c r="D3328" t="str">
        <f>"F47C8.6"</f>
        <v>F47C8.6</v>
      </c>
      <c r="F3328" t="s">
        <v>481</v>
      </c>
      <c r="H3328" s="12">
        <v>2.3893468495514898</v>
      </c>
      <c r="I3328" s="11">
        <v>0.25323547253672701</v>
      </c>
      <c r="J3328" s="10">
        <v>0.80008625651646104</v>
      </c>
      <c r="K3328" s="29">
        <v>0.98289565623980701</v>
      </c>
    </row>
    <row r="3329" spans="1:11" x14ac:dyDescent="0.35">
      <c r="A3329" s="9" t="str">
        <f>HYPERLINK("http://www.ensembl.org/id/WBGene00044163", "WBGene00044163")</f>
        <v>WBGene00044163</v>
      </c>
      <c r="B3329" s="9" t="str">
        <f>HYPERLINK("http://www.ncbi.nlm.nih.gov/gene/3565943", "3565943")</f>
        <v>3565943</v>
      </c>
      <c r="C3329" s="9"/>
      <c r="D3329" t="str">
        <f>"F49C5.11"</f>
        <v>F49C5.11</v>
      </c>
      <c r="F3329" t="s">
        <v>11</v>
      </c>
      <c r="H3329" s="12">
        <v>2.3893468495514898</v>
      </c>
      <c r="I3329" s="11">
        <v>0.25323547253672701</v>
      </c>
      <c r="J3329" s="10">
        <v>0.80008625651646104</v>
      </c>
      <c r="K3329" s="29">
        <v>0.98289565623980701</v>
      </c>
    </row>
    <row r="3330" spans="1:11" x14ac:dyDescent="0.35">
      <c r="A3330" s="9" t="str">
        <f>HYPERLINK("http://www.ensembl.org/id/WBGene00198847", "WBGene00198847")</f>
        <v>WBGene00198847</v>
      </c>
      <c r="B3330" s="9"/>
      <c r="C3330" s="9"/>
      <c r="D3330" t="str">
        <f>"F49E2.8"</f>
        <v>F49E2.8</v>
      </c>
      <c r="F3330" t="s">
        <v>481</v>
      </c>
      <c r="H3330" s="12">
        <v>2.3893468495514898</v>
      </c>
      <c r="I3330" s="11">
        <v>0.25323547253672701</v>
      </c>
      <c r="J3330" s="10">
        <v>0.80008625651646104</v>
      </c>
      <c r="K3330" s="29">
        <v>0.98289565623980701</v>
      </c>
    </row>
    <row r="3331" spans="1:11" x14ac:dyDescent="0.35">
      <c r="A3331" s="9" t="str">
        <f>HYPERLINK("http://www.ensembl.org/id/WBGene00235367", "WBGene00235367")</f>
        <v>WBGene00235367</v>
      </c>
      <c r="B3331" s="9" t="str">
        <f>HYPERLINK("http://www.ncbi.nlm.nih.gov/gene/24104608", "24104608")</f>
        <v>24104608</v>
      </c>
      <c r="C3331" s="9"/>
      <c r="D3331" t="str">
        <f>"F49F1.17"</f>
        <v>F49F1.17</v>
      </c>
      <c r="F3331" t="s">
        <v>11</v>
      </c>
      <c r="H3331" s="12">
        <v>2.3893468495514898</v>
      </c>
      <c r="I3331" s="11">
        <v>0.25323547253672701</v>
      </c>
      <c r="J3331" s="10">
        <v>0.80008625651646104</v>
      </c>
      <c r="K3331" s="29">
        <v>0.98289565623980701</v>
      </c>
    </row>
    <row r="3332" spans="1:11" x14ac:dyDescent="0.35">
      <c r="A3332" s="9" t="str">
        <f>HYPERLINK("http://www.ensembl.org/id/WBGene00202020", "WBGene00202020")</f>
        <v>WBGene00202020</v>
      </c>
      <c r="B3332" s="9"/>
      <c r="C3332" s="9"/>
      <c r="D3332" t="str">
        <f>"F52B10.21"</f>
        <v>F52B10.21</v>
      </c>
      <c r="F3332" t="s">
        <v>481</v>
      </c>
      <c r="H3332" s="12">
        <v>2.3893468495514898</v>
      </c>
      <c r="I3332" s="11">
        <v>0.25323547253672701</v>
      </c>
      <c r="J3332" s="10">
        <v>0.80008625651646104</v>
      </c>
      <c r="K3332" s="29">
        <v>0.98289565623980701</v>
      </c>
    </row>
    <row r="3333" spans="1:11" x14ac:dyDescent="0.35">
      <c r="A3333" s="9" t="str">
        <f>HYPERLINK("http://www.ensembl.org/id/WBGene00202289", "WBGene00202289")</f>
        <v>WBGene00202289</v>
      </c>
      <c r="B3333" s="9"/>
      <c r="C3333" s="9"/>
      <c r="D3333" t="str">
        <f>"F52B10.22"</f>
        <v>F52B10.22</v>
      </c>
      <c r="F3333" t="s">
        <v>481</v>
      </c>
      <c r="H3333" s="12">
        <v>2.3893468495514898</v>
      </c>
      <c r="I3333" s="11">
        <v>0.25323547253672701</v>
      </c>
      <c r="J3333" s="10">
        <v>0.80008625651646104</v>
      </c>
      <c r="K3333" s="29">
        <v>0.98289565623980701</v>
      </c>
    </row>
    <row r="3334" spans="1:11" x14ac:dyDescent="0.35">
      <c r="A3334" s="9" t="str">
        <f>HYPERLINK("http://www.ensembl.org/id/WBGene00195838", "WBGene00195838")</f>
        <v>WBGene00195838</v>
      </c>
      <c r="B3334" s="9"/>
      <c r="C3334" s="9"/>
      <c r="D3334" t="str">
        <f>"F52B10.5"</f>
        <v>F52B10.5</v>
      </c>
      <c r="F3334" t="s">
        <v>481</v>
      </c>
      <c r="H3334" s="12">
        <v>2.3893468495514898</v>
      </c>
      <c r="I3334" s="11">
        <v>0.25323547253672701</v>
      </c>
      <c r="J3334" s="10">
        <v>0.80008625651646104</v>
      </c>
      <c r="K3334" s="29">
        <v>0.98289565623980701</v>
      </c>
    </row>
    <row r="3335" spans="1:11" x14ac:dyDescent="0.35">
      <c r="A3335" s="9" t="str">
        <f>HYPERLINK("http://www.ensembl.org/id/WBGene00045102", "WBGene00045102")</f>
        <v>WBGene00045102</v>
      </c>
      <c r="B3335" s="9"/>
      <c r="C3335" s="9"/>
      <c r="D3335" t="str">
        <f>"F52B11.8"</f>
        <v>F52B11.8</v>
      </c>
      <c r="F3335" t="s">
        <v>80</v>
      </c>
      <c r="H3335" s="12">
        <v>2.3893468495514898</v>
      </c>
      <c r="I3335" s="11">
        <v>0.25323547253672701</v>
      </c>
      <c r="J3335" s="10">
        <v>0.80008625651646104</v>
      </c>
      <c r="K3335" s="29">
        <v>0.98289565623980701</v>
      </c>
    </row>
    <row r="3336" spans="1:11" x14ac:dyDescent="0.35">
      <c r="A3336" s="9" t="str">
        <f>HYPERLINK("http://www.ensembl.org/id/WBGene00198749", "WBGene00198749")</f>
        <v>WBGene00198749</v>
      </c>
      <c r="B3336" s="9"/>
      <c r="C3336" s="9"/>
      <c r="D3336" t="str">
        <f>"F52D10.10"</f>
        <v>F52D10.10</v>
      </c>
      <c r="F3336" t="s">
        <v>481</v>
      </c>
      <c r="H3336" s="12">
        <v>2.3893468495514898</v>
      </c>
      <c r="I3336" s="11">
        <v>0.25323547253672701</v>
      </c>
      <c r="J3336" s="10">
        <v>0.80008625651646104</v>
      </c>
      <c r="K3336" s="29">
        <v>0.98289565623980701</v>
      </c>
    </row>
    <row r="3337" spans="1:11" x14ac:dyDescent="0.35">
      <c r="A3337" s="9" t="str">
        <f>HYPERLINK("http://www.ensembl.org/id/WBGene00219959", "WBGene00219959")</f>
        <v>WBGene00219959</v>
      </c>
      <c r="B3337" s="9"/>
      <c r="C3337" s="9"/>
      <c r="D3337" t="str">
        <f>"F52D2.14"</f>
        <v>F52D2.14</v>
      </c>
      <c r="F3337" t="s">
        <v>481</v>
      </c>
      <c r="H3337" s="12">
        <v>2.3893468495514898</v>
      </c>
      <c r="I3337" s="11">
        <v>0.25323547253672701</v>
      </c>
      <c r="J3337" s="10">
        <v>0.80008625651646104</v>
      </c>
      <c r="K3337" s="29">
        <v>0.98289565623980701</v>
      </c>
    </row>
    <row r="3338" spans="1:11" x14ac:dyDescent="0.35">
      <c r="A3338" s="9" t="str">
        <f>HYPERLINK("http://www.ensembl.org/id/WBGene00199226", "WBGene00199226")</f>
        <v>WBGene00199226</v>
      </c>
      <c r="B3338" s="9"/>
      <c r="C3338" s="9"/>
      <c r="D3338" t="str">
        <f>"F53A3.8"</f>
        <v>F53A3.8</v>
      </c>
      <c r="F3338" t="s">
        <v>481</v>
      </c>
      <c r="H3338" s="12">
        <v>2.3893468495514898</v>
      </c>
      <c r="I3338" s="11">
        <v>0.25323547253672701</v>
      </c>
      <c r="J3338" s="10">
        <v>0.80008625651646104</v>
      </c>
      <c r="K3338" s="29">
        <v>0.98289565623980701</v>
      </c>
    </row>
    <row r="3339" spans="1:11" x14ac:dyDescent="0.35">
      <c r="A3339" s="9" t="str">
        <f>HYPERLINK("http://www.ensembl.org/id/WBGene00197223", "WBGene00197223")</f>
        <v>WBGene00197223</v>
      </c>
      <c r="B3339" s="9"/>
      <c r="C3339" s="9"/>
      <c r="D3339" t="str">
        <f>"F53B3.10"</f>
        <v>F53B3.10</v>
      </c>
      <c r="F3339" t="s">
        <v>481</v>
      </c>
      <c r="H3339" s="12">
        <v>2.3893468495514898</v>
      </c>
      <c r="I3339" s="11">
        <v>0.25323547253672701</v>
      </c>
      <c r="J3339" s="10">
        <v>0.80008625651646104</v>
      </c>
      <c r="K3339" s="29">
        <v>0.98289565623980701</v>
      </c>
    </row>
    <row r="3340" spans="1:11" x14ac:dyDescent="0.35">
      <c r="A3340" s="9" t="str">
        <f>HYPERLINK("http://www.ensembl.org/id/WBGene00202420", "WBGene00202420")</f>
        <v>WBGene00202420</v>
      </c>
      <c r="B3340" s="9"/>
      <c r="C3340" s="9"/>
      <c r="D3340" t="str">
        <f>"F53B6.12"</f>
        <v>F53B6.12</v>
      </c>
      <c r="F3340" t="s">
        <v>481</v>
      </c>
      <c r="H3340" s="12">
        <v>2.3893468495514898</v>
      </c>
      <c r="I3340" s="11">
        <v>0.25323547253672701</v>
      </c>
      <c r="J3340" s="10">
        <v>0.80008625651646104</v>
      </c>
      <c r="K3340" s="29">
        <v>0.98289565623980701</v>
      </c>
    </row>
    <row r="3341" spans="1:11" x14ac:dyDescent="0.35">
      <c r="A3341" s="9" t="str">
        <f>HYPERLINK("http://www.ensembl.org/id/WBGene00195730", "WBGene00195730")</f>
        <v>WBGene00195730</v>
      </c>
      <c r="B3341" s="9"/>
      <c r="C3341" s="9"/>
      <c r="D3341" t="str">
        <f>"F54C9.15"</f>
        <v>F54C9.15</v>
      </c>
      <c r="F3341" t="s">
        <v>481</v>
      </c>
      <c r="H3341" s="12">
        <v>2.3893468495514898</v>
      </c>
      <c r="I3341" s="11">
        <v>0.25323547253672701</v>
      </c>
      <c r="J3341" s="10">
        <v>0.80008625651646104</v>
      </c>
      <c r="K3341" s="29">
        <v>0.98289565623980701</v>
      </c>
    </row>
    <row r="3342" spans="1:11" x14ac:dyDescent="0.35">
      <c r="A3342" s="9" t="str">
        <f>HYPERLINK("http://www.ensembl.org/id/WBGene00195341", "WBGene00195341")</f>
        <v>WBGene00195341</v>
      </c>
      <c r="B3342" s="9"/>
      <c r="C3342" s="9"/>
      <c r="D3342" t="str">
        <f>"F54D5.18"</f>
        <v>F54D5.18</v>
      </c>
      <c r="F3342" t="s">
        <v>481</v>
      </c>
      <c r="H3342" s="12">
        <v>2.3893468495514898</v>
      </c>
      <c r="I3342" s="11">
        <v>0.25323547253672701</v>
      </c>
      <c r="J3342" s="10">
        <v>0.80008625651646104</v>
      </c>
      <c r="K3342" s="29">
        <v>0.98289565623980701</v>
      </c>
    </row>
    <row r="3343" spans="1:11" x14ac:dyDescent="0.35">
      <c r="A3343" s="9" t="str">
        <f>HYPERLINK("http://www.ensembl.org/id/WBGene00200104", "WBGene00200104")</f>
        <v>WBGene00200104</v>
      </c>
      <c r="B3343" s="9"/>
      <c r="C3343" s="9"/>
      <c r="D3343" t="str">
        <f>"F54D7.9"</f>
        <v>F54D7.9</v>
      </c>
      <c r="F3343" t="s">
        <v>481</v>
      </c>
      <c r="H3343" s="12">
        <v>2.3893468495514898</v>
      </c>
      <c r="I3343" s="11">
        <v>0.25323547253672701</v>
      </c>
      <c r="J3343" s="10">
        <v>0.80008625651646104</v>
      </c>
      <c r="K3343" s="29">
        <v>0.98289565623980701</v>
      </c>
    </row>
    <row r="3344" spans="1:11" x14ac:dyDescent="0.35">
      <c r="A3344" s="9" t="str">
        <f>HYPERLINK("http://www.ensembl.org/id/WBGene00201833", "WBGene00201833")</f>
        <v>WBGene00201833</v>
      </c>
      <c r="B3344" s="9"/>
      <c r="C3344" s="9"/>
      <c r="D3344" t="str">
        <f>"F54E4.16"</f>
        <v>F54E4.16</v>
      </c>
      <c r="F3344" t="s">
        <v>481</v>
      </c>
      <c r="H3344" s="12">
        <v>2.3893468495514898</v>
      </c>
      <c r="I3344" s="11">
        <v>0.25323547253672701</v>
      </c>
      <c r="J3344" s="10">
        <v>0.80008625651646104</v>
      </c>
      <c r="K3344" s="29">
        <v>0.98289565623980701</v>
      </c>
    </row>
    <row r="3345" spans="1:11" x14ac:dyDescent="0.35">
      <c r="A3345" s="9" t="str">
        <f>HYPERLINK("http://www.ensembl.org/id/WBGene00200904", "WBGene00200904")</f>
        <v>WBGene00200904</v>
      </c>
      <c r="B3345" s="9"/>
      <c r="C3345" s="9"/>
      <c r="D3345" t="str">
        <f>"F54G8.8"</f>
        <v>F54G8.8</v>
      </c>
      <c r="F3345" t="s">
        <v>481</v>
      </c>
      <c r="H3345" s="12">
        <v>2.3893468495514898</v>
      </c>
      <c r="I3345" s="11">
        <v>0.25323547253672701</v>
      </c>
      <c r="J3345" s="10">
        <v>0.80008625651646104</v>
      </c>
      <c r="K3345" s="29">
        <v>0.98289565623980701</v>
      </c>
    </row>
    <row r="3346" spans="1:11" x14ac:dyDescent="0.35">
      <c r="A3346" s="9" t="str">
        <f>HYPERLINK("http://www.ensembl.org/id/WBGene00197873", "WBGene00197873")</f>
        <v>WBGene00197873</v>
      </c>
      <c r="B3346" s="9"/>
      <c r="C3346" s="9"/>
      <c r="D3346" t="str">
        <f>"F55A4.12"</f>
        <v>F55A4.12</v>
      </c>
      <c r="F3346" t="s">
        <v>481</v>
      </c>
      <c r="H3346" s="12">
        <v>2.3893468495514898</v>
      </c>
      <c r="I3346" s="11">
        <v>0.25323547253672701</v>
      </c>
      <c r="J3346" s="10">
        <v>0.80008625651646104</v>
      </c>
      <c r="K3346" s="29">
        <v>0.98289565623980701</v>
      </c>
    </row>
    <row r="3347" spans="1:11" x14ac:dyDescent="0.35">
      <c r="A3347" s="9" t="str">
        <f>HYPERLINK("http://www.ensembl.org/id/WBGene00196237", "WBGene00196237")</f>
        <v>WBGene00196237</v>
      </c>
      <c r="B3347" s="9"/>
      <c r="C3347" s="9"/>
      <c r="D3347" t="str">
        <f>"F55C10.8"</f>
        <v>F55C10.8</v>
      </c>
      <c r="F3347" t="s">
        <v>481</v>
      </c>
      <c r="H3347" s="12">
        <v>2.3893468495514898</v>
      </c>
      <c r="I3347" s="11">
        <v>0.25323547253672701</v>
      </c>
      <c r="J3347" s="10">
        <v>0.80008625651646104</v>
      </c>
      <c r="K3347" s="29">
        <v>0.98289565623980701</v>
      </c>
    </row>
    <row r="3348" spans="1:11" x14ac:dyDescent="0.35">
      <c r="A3348" s="9" t="str">
        <f>HYPERLINK("http://www.ensembl.org/id/WBGene00201677", "WBGene00201677")</f>
        <v>WBGene00201677</v>
      </c>
      <c r="B3348" s="9"/>
      <c r="C3348" s="9"/>
      <c r="D3348" t="str">
        <f>"F55C5.16"</f>
        <v>F55C5.16</v>
      </c>
      <c r="F3348" t="s">
        <v>481</v>
      </c>
      <c r="H3348" s="12">
        <v>2.3893468495514898</v>
      </c>
      <c r="I3348" s="11">
        <v>0.25323547253672701</v>
      </c>
      <c r="J3348" s="10">
        <v>0.80008625651646104</v>
      </c>
      <c r="K3348" s="29">
        <v>0.98289565623980701</v>
      </c>
    </row>
    <row r="3349" spans="1:11" x14ac:dyDescent="0.35">
      <c r="A3349" s="9" t="str">
        <f>HYPERLINK("http://www.ensembl.org/id/WBGene00010126", "WBGene00010126")</f>
        <v>WBGene00010126</v>
      </c>
      <c r="B3349" s="9" t="str">
        <f>HYPERLINK("http://www.ncbi.nlm.nih.gov/gene/186339", "186339")</f>
        <v>186339</v>
      </c>
      <c r="C3349" s="9"/>
      <c r="D3349" t="str">
        <f>"F55G11.6"</f>
        <v>F55G11.6</v>
      </c>
      <c r="F3349" t="s">
        <v>11</v>
      </c>
      <c r="H3349" s="12">
        <v>2.3893468495514898</v>
      </c>
      <c r="I3349" s="11">
        <v>0.25323547253672701</v>
      </c>
      <c r="J3349" s="10">
        <v>0.80008625651646104</v>
      </c>
      <c r="K3349" s="29">
        <v>0.98289565623980701</v>
      </c>
    </row>
    <row r="3350" spans="1:11" x14ac:dyDescent="0.35">
      <c r="A3350" s="9" t="str">
        <f>HYPERLINK("http://www.ensembl.org/id/WBGene00199639", "WBGene00199639")</f>
        <v>WBGene00199639</v>
      </c>
      <c r="B3350" s="9"/>
      <c r="C3350" s="9"/>
      <c r="D3350" t="str">
        <f>"F56A12.8"</f>
        <v>F56A12.8</v>
      </c>
      <c r="F3350" t="s">
        <v>481</v>
      </c>
      <c r="H3350" s="12">
        <v>2.3893468495514898</v>
      </c>
      <c r="I3350" s="11">
        <v>0.25323547253672701</v>
      </c>
      <c r="J3350" s="10">
        <v>0.80008625651646104</v>
      </c>
      <c r="K3350" s="29">
        <v>0.98289565623980701</v>
      </c>
    </row>
    <row r="3351" spans="1:11" x14ac:dyDescent="0.35">
      <c r="A3351" s="9" t="str">
        <f>HYPERLINK("http://www.ensembl.org/id/WBGene00197669", "WBGene00197669")</f>
        <v>WBGene00197669</v>
      </c>
      <c r="B3351" s="9"/>
      <c r="C3351" s="9"/>
      <c r="D3351" t="str">
        <f>"F56F3.10"</f>
        <v>F56F3.10</v>
      </c>
      <c r="F3351" t="s">
        <v>481</v>
      </c>
      <c r="H3351" s="12">
        <v>2.3893468495514898</v>
      </c>
      <c r="I3351" s="11">
        <v>0.25323547253672701</v>
      </c>
      <c r="J3351" s="10">
        <v>0.80008625651646104</v>
      </c>
      <c r="K3351" s="29">
        <v>0.98289565623980701</v>
      </c>
    </row>
    <row r="3352" spans="1:11" x14ac:dyDescent="0.35">
      <c r="A3352" s="9" t="str">
        <f>HYPERLINK("http://www.ensembl.org/id/WBGene00202066", "WBGene00202066")</f>
        <v>WBGene00202066</v>
      </c>
      <c r="B3352" s="9"/>
      <c r="C3352" s="9"/>
      <c r="D3352" t="str">
        <f>"F56F3.14"</f>
        <v>F56F3.14</v>
      </c>
      <c r="F3352" t="s">
        <v>481</v>
      </c>
      <c r="H3352" s="12">
        <v>2.3893468495514898</v>
      </c>
      <c r="I3352" s="11">
        <v>0.25323547253672701</v>
      </c>
      <c r="J3352" s="10">
        <v>0.80008625651646104</v>
      </c>
      <c r="K3352" s="29">
        <v>0.98289565623980701</v>
      </c>
    </row>
    <row r="3353" spans="1:11" x14ac:dyDescent="0.35">
      <c r="A3353" s="9" t="str">
        <f>HYPERLINK("http://www.ensembl.org/id/WBGene00010162", "WBGene00010162")</f>
        <v>WBGene00010162</v>
      </c>
      <c r="B3353" s="9" t="str">
        <f>HYPERLINK("http://www.ncbi.nlm.nih.gov/gene/186412", "186412")</f>
        <v>186412</v>
      </c>
      <c r="C3353" s="9"/>
      <c r="D3353" t="str">
        <f>"F56H6.1"</f>
        <v>F56H6.1</v>
      </c>
      <c r="E3353" t="s">
        <v>3820</v>
      </c>
      <c r="F3353" t="s">
        <v>11</v>
      </c>
      <c r="G3353" t="s">
        <v>3821</v>
      </c>
      <c r="H3353" s="12">
        <v>2.3893468495514898</v>
      </c>
      <c r="I3353" s="11">
        <v>0.25323547253672701</v>
      </c>
      <c r="J3353" s="10">
        <v>0.80008625651646104</v>
      </c>
      <c r="K3353" s="29">
        <v>0.98289565623980701</v>
      </c>
    </row>
    <row r="3354" spans="1:11" x14ac:dyDescent="0.35">
      <c r="A3354" s="9" t="str">
        <f>HYPERLINK("http://www.ensembl.org/id/WBGene00198075", "WBGene00198075")</f>
        <v>WBGene00198075</v>
      </c>
      <c r="B3354" s="9"/>
      <c r="C3354" s="9"/>
      <c r="D3354" t="str">
        <f>"F57B7.8"</f>
        <v>F57B7.8</v>
      </c>
      <c r="F3354" t="s">
        <v>481</v>
      </c>
      <c r="H3354" s="12">
        <v>2.3893468495514898</v>
      </c>
      <c r="I3354" s="11">
        <v>0.25323547253672701</v>
      </c>
      <c r="J3354" s="10">
        <v>0.80008625651646104</v>
      </c>
      <c r="K3354" s="29">
        <v>0.98289565623980701</v>
      </c>
    </row>
    <row r="3355" spans="1:11" x14ac:dyDescent="0.35">
      <c r="A3355" s="9" t="str">
        <f>HYPERLINK("http://www.ensembl.org/id/WBGene00199018", "WBGene00199018")</f>
        <v>WBGene00199018</v>
      </c>
      <c r="B3355" s="9"/>
      <c r="C3355" s="9"/>
      <c r="D3355" t="str">
        <f>"F57C7.10"</f>
        <v>F57C7.10</v>
      </c>
      <c r="F3355" t="s">
        <v>481</v>
      </c>
      <c r="H3355" s="12">
        <v>2.3893468495514898</v>
      </c>
      <c r="I3355" s="11">
        <v>0.25323547253672701</v>
      </c>
      <c r="J3355" s="10">
        <v>0.80008625651646104</v>
      </c>
      <c r="K3355" s="29">
        <v>0.98289565623980701</v>
      </c>
    </row>
    <row r="3356" spans="1:11" x14ac:dyDescent="0.35">
      <c r="A3356" s="9" t="str">
        <f>HYPERLINK("http://www.ensembl.org/id/WBGene00200671", "WBGene00200671")</f>
        <v>WBGene00200671</v>
      </c>
      <c r="B3356" s="9"/>
      <c r="C3356" s="9"/>
      <c r="D3356" t="str">
        <f>"F58E6.16"</f>
        <v>F58E6.16</v>
      </c>
      <c r="F3356" t="s">
        <v>481</v>
      </c>
      <c r="H3356" s="12">
        <v>2.3893468495514898</v>
      </c>
      <c r="I3356" s="11">
        <v>0.25323547253672701</v>
      </c>
      <c r="J3356" s="10">
        <v>0.80008625651646104</v>
      </c>
      <c r="K3356" s="29">
        <v>0.98289565623980701</v>
      </c>
    </row>
    <row r="3357" spans="1:11" x14ac:dyDescent="0.35">
      <c r="A3357" s="9" t="str">
        <f>HYPERLINK("http://www.ensembl.org/id/WBGene00010298", "WBGene00010298")</f>
        <v>WBGene00010298</v>
      </c>
      <c r="B3357" s="9" t="str">
        <f>HYPERLINK("http://www.ncbi.nlm.nih.gov/gene/186564", "186564")</f>
        <v>186564</v>
      </c>
      <c r="C3357" s="9"/>
      <c r="D3357" t="str">
        <f>"F59A1.12"</f>
        <v>F59A1.12</v>
      </c>
      <c r="F3357" t="s">
        <v>11</v>
      </c>
      <c r="G3357" t="s">
        <v>25</v>
      </c>
      <c r="H3357" s="12">
        <v>2.3893468495514898</v>
      </c>
      <c r="I3357" s="11">
        <v>0.25323547253672701</v>
      </c>
      <c r="J3357" s="10">
        <v>0.80008625651646104</v>
      </c>
      <c r="K3357" s="29">
        <v>0.98289565623980701</v>
      </c>
    </row>
    <row r="3358" spans="1:11" x14ac:dyDescent="0.35">
      <c r="A3358" s="9" t="str">
        <f>HYPERLINK("http://www.ensembl.org/id/WBGene00200147", "WBGene00200147")</f>
        <v>WBGene00200147</v>
      </c>
      <c r="B3358" s="9"/>
      <c r="C3358" s="9"/>
      <c r="D3358" t="str">
        <f>"F59F5.8"</f>
        <v>F59F5.8</v>
      </c>
      <c r="F3358" t="s">
        <v>481</v>
      </c>
      <c r="H3358" s="12">
        <v>2.3893468495514898</v>
      </c>
      <c r="I3358" s="11">
        <v>0.25323547253672701</v>
      </c>
      <c r="J3358" s="10">
        <v>0.80008625651646104</v>
      </c>
      <c r="K3358" s="29">
        <v>0.98289565623980701</v>
      </c>
    </row>
    <row r="3359" spans="1:11" x14ac:dyDescent="0.35">
      <c r="A3359" s="9" t="str">
        <f>HYPERLINK("http://www.ensembl.org/id/WBGene00197123", "WBGene00197123")</f>
        <v>WBGene00197123</v>
      </c>
      <c r="B3359" s="9"/>
      <c r="C3359" s="9"/>
      <c r="D3359" t="str">
        <f>"F59G1.10"</f>
        <v>F59G1.10</v>
      </c>
      <c r="F3359" t="s">
        <v>481</v>
      </c>
      <c r="H3359" s="12">
        <v>2.3893468495514898</v>
      </c>
      <c r="I3359" s="11">
        <v>0.25323547253672701</v>
      </c>
      <c r="J3359" s="10">
        <v>0.80008625651646104</v>
      </c>
      <c r="K3359" s="29">
        <v>0.98289565623980701</v>
      </c>
    </row>
    <row r="3360" spans="1:11" x14ac:dyDescent="0.35">
      <c r="A3360" s="9" t="str">
        <f>HYPERLINK("http://www.ensembl.org/id/WBGene00009837", "WBGene00009837")</f>
        <v>WBGene00009837</v>
      </c>
      <c r="B3360" s="9"/>
      <c r="C3360" s="9"/>
      <c r="D3360" t="str">
        <f>"fbxa-186"</f>
        <v>fbxa-186</v>
      </c>
      <c r="F3360" t="s">
        <v>80</v>
      </c>
      <c r="H3360" s="12">
        <v>2.3893468495514898</v>
      </c>
      <c r="I3360" s="11">
        <v>0.25323547253672701</v>
      </c>
      <c r="J3360" s="10">
        <v>0.80008625651646104</v>
      </c>
      <c r="K3360" s="29">
        <v>0.98289565623980701</v>
      </c>
    </row>
    <row r="3361" spans="1:11" x14ac:dyDescent="0.35">
      <c r="A3361" s="9" t="str">
        <f>HYPERLINK("http://www.ensembl.org/id/WBGene00200087", "WBGene00200087")</f>
        <v>WBGene00200087</v>
      </c>
      <c r="B3361" s="9"/>
      <c r="C3361" s="9"/>
      <c r="D3361" t="str">
        <f>"H08J11.9"</f>
        <v>H08J11.9</v>
      </c>
      <c r="F3361" t="s">
        <v>481</v>
      </c>
      <c r="H3361" s="12">
        <v>2.3893468495514898</v>
      </c>
      <c r="I3361" s="11">
        <v>0.25323547253672701</v>
      </c>
      <c r="J3361" s="10">
        <v>0.80008625651646104</v>
      </c>
      <c r="K3361" s="29">
        <v>0.98289565623980701</v>
      </c>
    </row>
    <row r="3362" spans="1:11" x14ac:dyDescent="0.35">
      <c r="A3362" s="9" t="str">
        <f>HYPERLINK("http://www.ensembl.org/id/WBGene00197394", "WBGene00197394")</f>
        <v>WBGene00197394</v>
      </c>
      <c r="B3362" s="9"/>
      <c r="C3362" s="9"/>
      <c r="D3362" t="str">
        <f>"H14E04.6"</f>
        <v>H14E04.6</v>
      </c>
      <c r="F3362" t="s">
        <v>481</v>
      </c>
      <c r="H3362" s="12">
        <v>2.3893468495514898</v>
      </c>
      <c r="I3362" s="11">
        <v>0.25323547253672701</v>
      </c>
      <c r="J3362" s="10">
        <v>0.80008625651646104</v>
      </c>
      <c r="K3362" s="29">
        <v>0.98289565623980701</v>
      </c>
    </row>
    <row r="3363" spans="1:11" x14ac:dyDescent="0.35">
      <c r="A3363" s="9" t="str">
        <f>HYPERLINK("http://www.ensembl.org/id/WBGene00195802", "WBGene00195802")</f>
        <v>WBGene00195802</v>
      </c>
      <c r="B3363" s="9"/>
      <c r="C3363" s="9"/>
      <c r="D3363" t="str">
        <f>"H14N18.5"</f>
        <v>H14N18.5</v>
      </c>
      <c r="F3363" t="s">
        <v>481</v>
      </c>
      <c r="H3363" s="12">
        <v>2.3893468495514898</v>
      </c>
      <c r="I3363" s="11">
        <v>0.25323547253672701</v>
      </c>
      <c r="J3363" s="10">
        <v>0.80008625651646104</v>
      </c>
      <c r="K3363" s="29">
        <v>0.98289565623980701</v>
      </c>
    </row>
    <row r="3364" spans="1:11" x14ac:dyDescent="0.35">
      <c r="A3364" s="9" t="str">
        <f>HYPERLINK("http://www.ensembl.org/id/WBGene00198745", "WBGene00198745")</f>
        <v>WBGene00198745</v>
      </c>
      <c r="B3364" s="9"/>
      <c r="C3364" s="9"/>
      <c r="D3364" t="str">
        <f>"H30A04.5"</f>
        <v>H30A04.5</v>
      </c>
      <c r="F3364" t="s">
        <v>481</v>
      </c>
      <c r="H3364" s="12">
        <v>2.3893468495514898</v>
      </c>
      <c r="I3364" s="11">
        <v>0.25323547253672701</v>
      </c>
      <c r="J3364" s="10">
        <v>0.80008625651646104</v>
      </c>
      <c r="K3364" s="29">
        <v>0.98289565623980701</v>
      </c>
    </row>
    <row r="3365" spans="1:11" x14ac:dyDescent="0.35">
      <c r="A3365" s="9" t="str">
        <f>HYPERLINK("http://www.ensembl.org/id/WBGene00001818", "WBGene00001818")</f>
        <v>WBGene00001818</v>
      </c>
      <c r="B3365" s="9" t="str">
        <f>HYPERLINK("http://www.ncbi.nlm.nih.gov/gene/190369", "190369")</f>
        <v>190369</v>
      </c>
      <c r="C3365" s="9" t="str">
        <f>HYPERLINK("http://www.ncbi.nlm.nih.gov/gene/23457", "23457")</f>
        <v>23457</v>
      </c>
      <c r="D3365" t="str">
        <f>"haf-8"</f>
        <v>haf-8</v>
      </c>
      <c r="E3365" t="s">
        <v>1025</v>
      </c>
      <c r="F3365" t="s">
        <v>11</v>
      </c>
      <c r="G3365" t="s">
        <v>2945</v>
      </c>
      <c r="H3365" s="12">
        <v>2.3893468495514898</v>
      </c>
      <c r="I3365" s="11">
        <v>0.25323547253672701</v>
      </c>
      <c r="J3365" s="10">
        <v>0.80008625651646104</v>
      </c>
      <c r="K3365" s="29">
        <v>0.98289565623980701</v>
      </c>
    </row>
    <row r="3366" spans="1:11" x14ac:dyDescent="0.35">
      <c r="A3366" s="9" t="str">
        <f>HYPERLINK("http://www.ensembl.org/id/WBGene00001887", "WBGene00001887")</f>
        <v>WBGene00001887</v>
      </c>
      <c r="B3366" s="9" t="str">
        <f>HYPERLINK("http://www.ncbi.nlm.nih.gov/gene/191672", "191672")</f>
        <v>191672</v>
      </c>
      <c r="C3366" s="9" t="str">
        <f>HYPERLINK("http://www.ncbi.nlm.nih.gov/gene/8356", "8356")</f>
        <v>8356</v>
      </c>
      <c r="D3366" t="str">
        <f>"his-13"</f>
        <v>his-13</v>
      </c>
      <c r="E3366" t="s">
        <v>3683</v>
      </c>
      <c r="F3366" t="s">
        <v>11</v>
      </c>
      <c r="G3366" t="s">
        <v>232</v>
      </c>
      <c r="H3366" s="12">
        <v>2.3893468495514898</v>
      </c>
      <c r="I3366" s="11">
        <v>0.25323547253672701</v>
      </c>
      <c r="J3366" s="10">
        <v>0.80008625651646104</v>
      </c>
      <c r="K3366" s="29">
        <v>0.98289565623980701</v>
      </c>
    </row>
    <row r="3367" spans="1:11" x14ac:dyDescent="0.35">
      <c r="A3367" s="9" t="str">
        <f>HYPERLINK("http://www.ensembl.org/id/WBGene00001929", "WBGene00001929")</f>
        <v>WBGene00001929</v>
      </c>
      <c r="B3367" s="9" t="str">
        <f>HYPERLINK("http://www.ncbi.nlm.nih.gov/gene/186250", "186250")</f>
        <v>186250</v>
      </c>
      <c r="C3367" s="9" t="str">
        <f>HYPERLINK("http://www.ncbi.nlm.nih.gov/gene/8356", "8356")</f>
        <v>8356</v>
      </c>
      <c r="D3367" t="str">
        <f>"his-55"</f>
        <v>his-55</v>
      </c>
      <c r="E3367" t="s">
        <v>3683</v>
      </c>
      <c r="F3367" t="s">
        <v>11</v>
      </c>
      <c r="G3367" t="s">
        <v>232</v>
      </c>
      <c r="H3367" s="12">
        <v>2.3893468495514898</v>
      </c>
      <c r="I3367" s="11">
        <v>0.25323547253672701</v>
      </c>
      <c r="J3367" s="10">
        <v>0.80008625651646104</v>
      </c>
      <c r="K3367" s="29">
        <v>0.98289565623980701</v>
      </c>
    </row>
    <row r="3368" spans="1:11" x14ac:dyDescent="0.35">
      <c r="A3368" s="9" t="str">
        <f>HYPERLINK("http://www.ensembl.org/id/WBGene00017668", "WBGene00017668")</f>
        <v>WBGene00017668</v>
      </c>
      <c r="B3368" s="9" t="str">
        <f>HYPERLINK("http://www.ncbi.nlm.nih.gov/gene/180476", "180476")</f>
        <v>180476</v>
      </c>
      <c r="C3368" s="9"/>
      <c r="D3368" t="str">
        <f>"ins-39"</f>
        <v>ins-39</v>
      </c>
      <c r="E3368" t="s">
        <v>12</v>
      </c>
      <c r="F3368" t="s">
        <v>11</v>
      </c>
      <c r="H3368" s="12">
        <v>2.3893468495514898</v>
      </c>
      <c r="I3368" s="11">
        <v>0.25323547253672701</v>
      </c>
      <c r="J3368" s="10">
        <v>0.80008625651646104</v>
      </c>
      <c r="K3368" s="29">
        <v>0.98289565623980701</v>
      </c>
    </row>
    <row r="3369" spans="1:11" x14ac:dyDescent="0.35">
      <c r="A3369" s="9" t="str">
        <f>HYPERLINK("http://www.ensembl.org/id/WBGene00017492", "WBGene00017492")</f>
        <v>WBGene00017492</v>
      </c>
      <c r="B3369" s="9" t="str">
        <f>HYPERLINK("http://www.ncbi.nlm.nih.gov/gene/184538", "184538")</f>
        <v>184538</v>
      </c>
      <c r="C3369" s="9"/>
      <c r="D3369" t="str">
        <f>"irld-29"</f>
        <v>irld-29</v>
      </c>
      <c r="E3369" t="s">
        <v>1627</v>
      </c>
      <c r="F3369" t="s">
        <v>11</v>
      </c>
      <c r="H3369" s="12">
        <v>2.3893468495514898</v>
      </c>
      <c r="I3369" s="11">
        <v>0.25323547253672701</v>
      </c>
      <c r="J3369" s="10">
        <v>0.80008625651646104</v>
      </c>
      <c r="K3369" s="29">
        <v>0.98289565623980701</v>
      </c>
    </row>
    <row r="3370" spans="1:11" x14ac:dyDescent="0.35">
      <c r="A3370" s="9" t="str">
        <f>HYPERLINK("http://www.ensembl.org/id/WBGene00017494", "WBGene00017494")</f>
        <v>WBGene00017494</v>
      </c>
      <c r="B3370" s="9"/>
      <c r="C3370" s="9"/>
      <c r="D3370" t="str">
        <f>"irld-31"</f>
        <v>irld-31</v>
      </c>
      <c r="F3370" t="s">
        <v>80</v>
      </c>
      <c r="H3370" s="12">
        <v>2.3893468495514898</v>
      </c>
      <c r="I3370" s="11">
        <v>0.25323547253672701</v>
      </c>
      <c r="J3370" s="10">
        <v>0.80008625651646104</v>
      </c>
      <c r="K3370" s="29">
        <v>0.98289565623980701</v>
      </c>
    </row>
    <row r="3371" spans="1:11" x14ac:dyDescent="0.35">
      <c r="A3371" s="9" t="str">
        <f>HYPERLINK("http://www.ensembl.org/id/WBGene00019385", "WBGene00019385")</f>
        <v>WBGene00019385</v>
      </c>
      <c r="B3371" s="9"/>
      <c r="C3371" s="9"/>
      <c r="D3371" t="str">
        <f>"irld-41"</f>
        <v>irld-41</v>
      </c>
      <c r="F3371" t="s">
        <v>80</v>
      </c>
      <c r="H3371" s="12">
        <v>2.3893468495514898</v>
      </c>
      <c r="I3371" s="11">
        <v>0.25323547253672701</v>
      </c>
      <c r="J3371" s="10">
        <v>0.80008625651646104</v>
      </c>
      <c r="K3371" s="29">
        <v>0.98289565623980701</v>
      </c>
    </row>
    <row r="3372" spans="1:11" x14ac:dyDescent="0.35">
      <c r="A3372" s="9" t="str">
        <f>HYPERLINK("http://www.ensembl.org/id/WBGene00012043", "WBGene00012043")</f>
        <v>WBGene00012043</v>
      </c>
      <c r="B3372" s="9" t="str">
        <f>HYPERLINK("http://www.ncbi.nlm.nih.gov/gene/188927", "188927")</f>
        <v>188927</v>
      </c>
      <c r="C3372" s="9"/>
      <c r="D3372" t="str">
        <f>"irld-52"</f>
        <v>irld-52</v>
      </c>
      <c r="E3372" t="s">
        <v>1627</v>
      </c>
      <c r="F3372" t="s">
        <v>11</v>
      </c>
      <c r="G3372" t="s">
        <v>25</v>
      </c>
      <c r="H3372" s="12">
        <v>2.3893468495514898</v>
      </c>
      <c r="I3372" s="11">
        <v>0.25323547253672701</v>
      </c>
      <c r="J3372" s="10">
        <v>0.80008625651646104</v>
      </c>
      <c r="K3372" s="29">
        <v>0.98289565623980701</v>
      </c>
    </row>
    <row r="3373" spans="1:11" x14ac:dyDescent="0.35">
      <c r="A3373" s="9" t="str">
        <f>HYPERLINK("http://www.ensembl.org/id/WBGene00013525", "WBGene00013525")</f>
        <v>WBGene00013525</v>
      </c>
      <c r="B3373" s="9" t="str">
        <f>HYPERLINK("http://www.ncbi.nlm.nih.gov/gene/190680", "190680")</f>
        <v>190680</v>
      </c>
      <c r="C3373" s="9"/>
      <c r="D3373" t="str">
        <f>"irld-59"</f>
        <v>irld-59</v>
      </c>
      <c r="E3373" t="s">
        <v>1627</v>
      </c>
      <c r="F3373" t="s">
        <v>11</v>
      </c>
      <c r="H3373" s="12">
        <v>2.3893468495514898</v>
      </c>
      <c r="I3373" s="11">
        <v>0.25323547253672701</v>
      </c>
      <c r="J3373" s="10">
        <v>0.80008625651646104</v>
      </c>
      <c r="K3373" s="29">
        <v>0.98289565623980701</v>
      </c>
    </row>
    <row r="3374" spans="1:11" x14ac:dyDescent="0.35">
      <c r="A3374" s="9" t="str">
        <f>HYPERLINK("http://www.ensembl.org/id/WBGene00019281", "WBGene00019281")</f>
        <v>WBGene00019281</v>
      </c>
      <c r="B3374" s="9" t="str">
        <f>HYPERLINK("http://www.ncbi.nlm.nih.gov/gene/186818", "186818")</f>
        <v>186818</v>
      </c>
      <c r="C3374" s="9"/>
      <c r="D3374" t="str">
        <f>"K01A2.6"</f>
        <v>K01A2.6</v>
      </c>
      <c r="F3374" t="s">
        <v>11</v>
      </c>
      <c r="H3374" s="12">
        <v>2.3893468495514898</v>
      </c>
      <c r="I3374" s="11">
        <v>0.25323547253672701</v>
      </c>
      <c r="J3374" s="10">
        <v>0.80008625651646104</v>
      </c>
      <c r="K3374" s="29">
        <v>0.98289565623980701</v>
      </c>
    </row>
    <row r="3375" spans="1:11" x14ac:dyDescent="0.35">
      <c r="A3375" s="9" t="str">
        <f>HYPERLINK("http://www.ensembl.org/id/WBGene00197428", "WBGene00197428")</f>
        <v>WBGene00197428</v>
      </c>
      <c r="B3375" s="9"/>
      <c r="C3375" s="9"/>
      <c r="D3375" t="str">
        <f>"K01B6.7"</f>
        <v>K01B6.7</v>
      </c>
      <c r="F3375" t="s">
        <v>481</v>
      </c>
      <c r="H3375" s="12">
        <v>2.3893468495514898</v>
      </c>
      <c r="I3375" s="11">
        <v>0.25323547253672701</v>
      </c>
      <c r="J3375" s="10">
        <v>0.80008625651646104</v>
      </c>
      <c r="K3375" s="29">
        <v>0.98289565623980701</v>
      </c>
    </row>
    <row r="3376" spans="1:11" x14ac:dyDescent="0.35">
      <c r="A3376" s="9" t="str">
        <f>HYPERLINK("http://www.ensembl.org/id/WBGene00014418", "WBGene00014418")</f>
        <v>WBGene00014418</v>
      </c>
      <c r="B3376" s="9"/>
      <c r="C3376" s="9"/>
      <c r="D3376" t="str">
        <f>"K02B12.t1"</f>
        <v>K02B12.t1</v>
      </c>
      <c r="F3376" t="s">
        <v>4208</v>
      </c>
      <c r="H3376" s="12">
        <v>2.3893468495514898</v>
      </c>
      <c r="I3376" s="11">
        <v>0.25323547253672701</v>
      </c>
      <c r="J3376" s="10">
        <v>0.80008625651646104</v>
      </c>
      <c r="K3376" s="29">
        <v>0.98289565623980701</v>
      </c>
    </row>
    <row r="3377" spans="1:11" x14ac:dyDescent="0.35">
      <c r="A3377" s="9" t="str">
        <f>HYPERLINK("http://www.ensembl.org/id/WBGene00189984", "WBGene00189984")</f>
        <v>WBGene00189984</v>
      </c>
      <c r="B3377" s="9"/>
      <c r="C3377" s="9"/>
      <c r="D3377" t="str">
        <f>"K02E2.13"</f>
        <v>K02E2.13</v>
      </c>
      <c r="F3377" t="s">
        <v>481</v>
      </c>
      <c r="H3377" s="12">
        <v>2.3893468495514898</v>
      </c>
      <c r="I3377" s="11">
        <v>0.25323547253672701</v>
      </c>
      <c r="J3377" s="10">
        <v>0.80008625651646104</v>
      </c>
      <c r="K3377" s="29">
        <v>0.98289565623980701</v>
      </c>
    </row>
    <row r="3378" spans="1:11" x14ac:dyDescent="0.35">
      <c r="A3378" s="9" t="str">
        <f>HYPERLINK("http://www.ensembl.org/id/WBGene00019339", "WBGene00019339")</f>
        <v>WBGene00019339</v>
      </c>
      <c r="B3378" s="9" t="str">
        <f>HYPERLINK("http://www.ncbi.nlm.nih.gov/gene/186908", "186908")</f>
        <v>186908</v>
      </c>
      <c r="C3378" s="9"/>
      <c r="D3378" t="str">
        <f>"K02F6.5"</f>
        <v>K02F6.5</v>
      </c>
      <c r="F3378" t="s">
        <v>11</v>
      </c>
      <c r="G3378" t="s">
        <v>817</v>
      </c>
      <c r="H3378" s="12">
        <v>2.3893468495514898</v>
      </c>
      <c r="I3378" s="11">
        <v>0.25323547253672701</v>
      </c>
      <c r="J3378" s="10">
        <v>0.80008625651646104</v>
      </c>
      <c r="K3378" s="29">
        <v>0.98289565623980701</v>
      </c>
    </row>
    <row r="3379" spans="1:11" x14ac:dyDescent="0.35">
      <c r="A3379" s="9" t="str">
        <f>HYPERLINK("http://www.ensembl.org/id/WBGene00196109", "WBGene00196109")</f>
        <v>WBGene00196109</v>
      </c>
      <c r="B3379" s="9"/>
      <c r="C3379" s="9"/>
      <c r="D3379" t="str">
        <f>"K02H8.2"</f>
        <v>K02H8.2</v>
      </c>
      <c r="F3379" t="s">
        <v>481</v>
      </c>
      <c r="H3379" s="12">
        <v>2.3893468495514898</v>
      </c>
      <c r="I3379" s="11">
        <v>0.25323547253672701</v>
      </c>
      <c r="J3379" s="10">
        <v>0.80008625651646104</v>
      </c>
      <c r="K3379" s="29">
        <v>0.98289565623980701</v>
      </c>
    </row>
    <row r="3380" spans="1:11" x14ac:dyDescent="0.35">
      <c r="A3380" s="9" t="str">
        <f>HYPERLINK("http://www.ensembl.org/id/WBGene00014422", "WBGene00014422")</f>
        <v>WBGene00014422</v>
      </c>
      <c r="B3380" s="9"/>
      <c r="C3380" s="9"/>
      <c r="D3380" t="str">
        <f>"K03B8.t1"</f>
        <v>K03B8.t1</v>
      </c>
      <c r="F3380" t="s">
        <v>4208</v>
      </c>
      <c r="H3380" s="12">
        <v>2.3893468495514898</v>
      </c>
      <c r="I3380" s="11">
        <v>0.25323547253672701</v>
      </c>
      <c r="J3380" s="10">
        <v>0.80008625651646104</v>
      </c>
      <c r="K3380" s="29">
        <v>0.98289565623980701</v>
      </c>
    </row>
    <row r="3381" spans="1:11" x14ac:dyDescent="0.35">
      <c r="A3381" s="9" t="str">
        <f>HYPERLINK("http://www.ensembl.org/id/WBGene00200078", "WBGene00200078")</f>
        <v>WBGene00200078</v>
      </c>
      <c r="B3381" s="9"/>
      <c r="C3381" s="9"/>
      <c r="D3381" t="str">
        <f>"K03F8.3"</f>
        <v>K03F8.3</v>
      </c>
      <c r="F3381" t="s">
        <v>481</v>
      </c>
      <c r="H3381" s="12">
        <v>2.3893468495514898</v>
      </c>
      <c r="I3381" s="11">
        <v>0.25323547253672701</v>
      </c>
      <c r="J3381" s="10">
        <v>0.80008625651646104</v>
      </c>
      <c r="K3381" s="29">
        <v>0.98289565623980701</v>
      </c>
    </row>
    <row r="3382" spans="1:11" x14ac:dyDescent="0.35">
      <c r="A3382" s="9" t="str">
        <f>HYPERLINK("http://www.ensembl.org/id/WBGene00198833", "WBGene00198833")</f>
        <v>WBGene00198833</v>
      </c>
      <c r="B3382" s="9"/>
      <c r="C3382" s="9"/>
      <c r="D3382" t="str">
        <f>"K03H9.9"</f>
        <v>K03H9.9</v>
      </c>
      <c r="F3382" t="s">
        <v>481</v>
      </c>
      <c r="H3382" s="12">
        <v>2.3893468495514898</v>
      </c>
      <c r="I3382" s="11">
        <v>0.25323547253672701</v>
      </c>
      <c r="J3382" s="10">
        <v>0.80008625651646104</v>
      </c>
      <c r="K3382" s="29">
        <v>0.98289565623980701</v>
      </c>
    </row>
    <row r="3383" spans="1:11" x14ac:dyDescent="0.35">
      <c r="A3383" s="9" t="str">
        <f>HYPERLINK("http://www.ensembl.org/id/WBGene00235118", "WBGene00235118")</f>
        <v>WBGene00235118</v>
      </c>
      <c r="B3383" s="9" t="str">
        <f>HYPERLINK("http://www.ncbi.nlm.nih.gov/gene/24104716", "24104716")</f>
        <v>24104716</v>
      </c>
      <c r="C3383" s="9"/>
      <c r="D3383" t="str">
        <f>"K04A8.18"</f>
        <v>K04A8.18</v>
      </c>
      <c r="F3383" t="s">
        <v>11</v>
      </c>
      <c r="H3383" s="12">
        <v>2.3893468495514898</v>
      </c>
      <c r="I3383" s="11">
        <v>0.25323547253672701</v>
      </c>
      <c r="J3383" s="10">
        <v>0.80008625651646104</v>
      </c>
      <c r="K3383" s="29">
        <v>0.98289565623980701</v>
      </c>
    </row>
    <row r="3384" spans="1:11" x14ac:dyDescent="0.35">
      <c r="A3384" s="9" t="str">
        <f>HYPERLINK("http://www.ensembl.org/id/WBGene00197444", "WBGene00197444")</f>
        <v>WBGene00197444</v>
      </c>
      <c r="B3384" s="9"/>
      <c r="C3384" s="9"/>
      <c r="D3384" t="str">
        <f>"K05G3.6"</f>
        <v>K05G3.6</v>
      </c>
      <c r="F3384" t="s">
        <v>481</v>
      </c>
      <c r="H3384" s="12">
        <v>2.3893468495514898</v>
      </c>
      <c r="I3384" s="11">
        <v>0.25323547253672701</v>
      </c>
      <c r="J3384" s="10">
        <v>0.80008625651646104</v>
      </c>
      <c r="K3384" s="29">
        <v>0.98289565623980701</v>
      </c>
    </row>
    <row r="3385" spans="1:11" x14ac:dyDescent="0.35">
      <c r="A3385" s="9" t="str">
        <f>HYPERLINK("http://www.ensembl.org/id/WBGene00010598", "WBGene00010598")</f>
        <v>WBGene00010598</v>
      </c>
      <c r="B3385" s="9"/>
      <c r="C3385" s="9"/>
      <c r="D3385" t="str">
        <f>"K06B4.3"</f>
        <v>K06B4.3</v>
      </c>
      <c r="F3385" t="s">
        <v>80</v>
      </c>
      <c r="H3385" s="12">
        <v>2.3893468495514898</v>
      </c>
      <c r="I3385" s="11">
        <v>0.25323547253672701</v>
      </c>
      <c r="J3385" s="10">
        <v>0.80008625651646104</v>
      </c>
      <c r="K3385" s="29">
        <v>0.98289565623980701</v>
      </c>
    </row>
    <row r="3386" spans="1:11" x14ac:dyDescent="0.35">
      <c r="A3386" s="9" t="str">
        <f>HYPERLINK("http://www.ensembl.org/id/WBGene00019450", "WBGene00019450")</f>
        <v>WBGene00019450</v>
      </c>
      <c r="B3386" s="9" t="str">
        <f>HYPERLINK("http://www.ncbi.nlm.nih.gov/gene/187071", "187071")</f>
        <v>187071</v>
      </c>
      <c r="C3386" s="9"/>
      <c r="D3386" t="str">
        <f>"K06H6.2"</f>
        <v>K06H6.2</v>
      </c>
      <c r="F3386" t="s">
        <v>11</v>
      </c>
      <c r="G3386" t="s">
        <v>25</v>
      </c>
      <c r="H3386" s="12">
        <v>2.3893468495514898</v>
      </c>
      <c r="I3386" s="11">
        <v>0.25323547253672701</v>
      </c>
      <c r="J3386" s="10">
        <v>0.80008625651646104</v>
      </c>
      <c r="K3386" s="29">
        <v>0.98289565623980701</v>
      </c>
    </row>
    <row r="3387" spans="1:11" x14ac:dyDescent="0.35">
      <c r="A3387" s="9" t="str">
        <f>HYPERLINK("http://www.ensembl.org/id/WBGene00019494", "WBGene00019494")</f>
        <v>WBGene00019494</v>
      </c>
      <c r="B3387" s="9"/>
      <c r="C3387" s="9"/>
      <c r="D3387" t="str">
        <f>"K07E8.1"</f>
        <v>K07E8.1</v>
      </c>
      <c r="F3387" t="s">
        <v>80</v>
      </c>
      <c r="H3387" s="12">
        <v>2.3893468495514898</v>
      </c>
      <c r="I3387" s="11">
        <v>0.25323547253672701</v>
      </c>
      <c r="J3387" s="10">
        <v>0.80008625651646104</v>
      </c>
      <c r="K3387" s="29">
        <v>0.98289565623980701</v>
      </c>
    </row>
    <row r="3388" spans="1:11" x14ac:dyDescent="0.35">
      <c r="A3388" s="9" t="str">
        <f>HYPERLINK("http://www.ensembl.org/id/WBGene00196765", "WBGene00196765")</f>
        <v>WBGene00196765</v>
      </c>
      <c r="B3388" s="9"/>
      <c r="C3388" s="9"/>
      <c r="D3388" t="str">
        <f>"K08A8.10"</f>
        <v>K08A8.10</v>
      </c>
      <c r="F3388" t="s">
        <v>481</v>
      </c>
      <c r="H3388" s="12">
        <v>2.3893468495514898</v>
      </c>
      <c r="I3388" s="11">
        <v>0.25323547253672701</v>
      </c>
      <c r="J3388" s="10">
        <v>0.80008625651646104</v>
      </c>
      <c r="K3388" s="29">
        <v>0.98289565623980701</v>
      </c>
    </row>
    <row r="3389" spans="1:11" x14ac:dyDescent="0.35">
      <c r="A3389" s="9" t="str">
        <f>HYPERLINK("http://www.ensembl.org/id/WBGene00197591", "WBGene00197591")</f>
        <v>WBGene00197591</v>
      </c>
      <c r="B3389" s="9"/>
      <c r="C3389" s="9"/>
      <c r="D3389" t="str">
        <f>"K08B12.9"</f>
        <v>K08B12.9</v>
      </c>
      <c r="F3389" t="s">
        <v>481</v>
      </c>
      <c r="H3389" s="12">
        <v>2.3893468495514898</v>
      </c>
      <c r="I3389" s="11">
        <v>0.25323547253672701</v>
      </c>
      <c r="J3389" s="10">
        <v>0.80008625651646104</v>
      </c>
      <c r="K3389" s="29">
        <v>0.98289565623980701</v>
      </c>
    </row>
    <row r="3390" spans="1:11" x14ac:dyDescent="0.35">
      <c r="A3390" s="9" t="str">
        <f>HYPERLINK("http://www.ensembl.org/id/WBGene00197134", "WBGene00197134")</f>
        <v>WBGene00197134</v>
      </c>
      <c r="B3390" s="9"/>
      <c r="C3390" s="9"/>
      <c r="D3390" t="str">
        <f>"K08B5.5"</f>
        <v>K08B5.5</v>
      </c>
      <c r="F3390" t="s">
        <v>481</v>
      </c>
      <c r="H3390" s="12">
        <v>2.3893468495514898</v>
      </c>
      <c r="I3390" s="11">
        <v>0.25323547253672701</v>
      </c>
      <c r="J3390" s="10">
        <v>0.80008625651646104</v>
      </c>
      <c r="K3390" s="29">
        <v>0.98289565623980701</v>
      </c>
    </row>
    <row r="3391" spans="1:11" x14ac:dyDescent="0.35">
      <c r="A3391" s="9" t="str">
        <f>HYPERLINK("http://www.ensembl.org/id/WBGene00023101", "WBGene00023101")</f>
        <v>WBGene00023101</v>
      </c>
      <c r="B3391" s="9"/>
      <c r="C3391" s="9"/>
      <c r="D3391" t="str">
        <f>"K08B5.t1"</f>
        <v>K08B5.t1</v>
      </c>
      <c r="F3391" t="s">
        <v>4208</v>
      </c>
      <c r="H3391" s="12">
        <v>2.3893468495514898</v>
      </c>
      <c r="I3391" s="11">
        <v>0.25323547253672701</v>
      </c>
      <c r="J3391" s="10">
        <v>0.80008625651646104</v>
      </c>
      <c r="K3391" s="29">
        <v>0.98289565623980701</v>
      </c>
    </row>
    <row r="3392" spans="1:11" x14ac:dyDescent="0.35">
      <c r="A3392" s="9" t="str">
        <f>HYPERLINK("http://www.ensembl.org/id/WBGene00195048", "WBGene00195048")</f>
        <v>WBGene00195048</v>
      </c>
      <c r="B3392" s="9" t="str">
        <f>HYPERLINK("http://www.ncbi.nlm.nih.gov/gene/13192837", "13192837")</f>
        <v>13192837</v>
      </c>
      <c r="C3392" s="9"/>
      <c r="D3392" t="str">
        <f>"K08D10.13"</f>
        <v>K08D10.13</v>
      </c>
      <c r="F3392" t="s">
        <v>11</v>
      </c>
      <c r="H3392" s="12">
        <v>2.3893468495514898</v>
      </c>
      <c r="I3392" s="11">
        <v>0.25323547253672701</v>
      </c>
      <c r="J3392" s="10">
        <v>0.80008625651646104</v>
      </c>
      <c r="K3392" s="29">
        <v>0.98289565623980701</v>
      </c>
    </row>
    <row r="3393" spans="1:11" x14ac:dyDescent="0.35">
      <c r="A3393" s="9" t="str">
        <f>HYPERLINK("http://www.ensembl.org/id/WBGene00194918", "WBGene00194918")</f>
        <v>WBGene00194918</v>
      </c>
      <c r="B3393" s="9" t="str">
        <f>HYPERLINK("http://www.ncbi.nlm.nih.gov/gene/13198726", "13198726")</f>
        <v>13198726</v>
      </c>
      <c r="C3393" s="9"/>
      <c r="D3393" t="str">
        <f>"K08D8.9"</f>
        <v>K08D8.9</v>
      </c>
      <c r="F3393" t="s">
        <v>11</v>
      </c>
      <c r="G3393" t="s">
        <v>25</v>
      </c>
      <c r="H3393" s="12">
        <v>2.3893468495514898</v>
      </c>
      <c r="I3393" s="11">
        <v>0.25323547253672701</v>
      </c>
      <c r="J3393" s="10">
        <v>0.80008625651646104</v>
      </c>
      <c r="K3393" s="29">
        <v>0.98289565623980701</v>
      </c>
    </row>
    <row r="3394" spans="1:11" x14ac:dyDescent="0.35">
      <c r="A3394" s="9" t="str">
        <f>HYPERLINK("http://www.ensembl.org/id/WBGene00195021", "WBGene00195021")</f>
        <v>WBGene00195021</v>
      </c>
      <c r="B3394" s="9"/>
      <c r="C3394" s="9"/>
      <c r="D3394" t="str">
        <f>"K08F11.7"</f>
        <v>K08F11.7</v>
      </c>
      <c r="F3394" t="s">
        <v>481</v>
      </c>
      <c r="H3394" s="12">
        <v>2.3893468495514898</v>
      </c>
      <c r="I3394" s="11">
        <v>0.25323547253672701</v>
      </c>
      <c r="J3394" s="10">
        <v>0.80008625651646104</v>
      </c>
      <c r="K3394" s="29">
        <v>0.98289565623980701</v>
      </c>
    </row>
    <row r="3395" spans="1:11" x14ac:dyDescent="0.35">
      <c r="A3395" s="9" t="str">
        <f>HYPERLINK("http://www.ensembl.org/id/WBGene00014803", "WBGene00014803")</f>
        <v>WBGene00014803</v>
      </c>
      <c r="B3395" s="9"/>
      <c r="C3395" s="9"/>
      <c r="D3395" t="str">
        <f>"K08G2.14"</f>
        <v>K08G2.14</v>
      </c>
      <c r="F3395" t="s">
        <v>80</v>
      </c>
      <c r="H3395" s="12">
        <v>2.3893468495514898</v>
      </c>
      <c r="I3395" s="11">
        <v>0.25323547253672701</v>
      </c>
      <c r="J3395" s="10">
        <v>0.80008625651646104</v>
      </c>
      <c r="K3395" s="29">
        <v>0.98289565623980701</v>
      </c>
    </row>
    <row r="3396" spans="1:11" x14ac:dyDescent="0.35">
      <c r="A3396" s="9" t="str">
        <f>HYPERLINK("http://www.ensembl.org/id/WBGene00195438", "WBGene00195438")</f>
        <v>WBGene00195438</v>
      </c>
      <c r="B3396" s="9"/>
      <c r="C3396" s="9"/>
      <c r="D3396" t="str">
        <f>"K08H10.13"</f>
        <v>K08H10.13</v>
      </c>
      <c r="F3396" t="s">
        <v>481</v>
      </c>
      <c r="H3396" s="12">
        <v>2.3893468495514898</v>
      </c>
      <c r="I3396" s="11">
        <v>0.25323547253672701</v>
      </c>
      <c r="J3396" s="10">
        <v>0.80008625651646104</v>
      </c>
      <c r="K3396" s="29">
        <v>0.98289565623980701</v>
      </c>
    </row>
    <row r="3397" spans="1:11" x14ac:dyDescent="0.35">
      <c r="A3397" s="9" t="str">
        <f>HYPERLINK("http://www.ensembl.org/id/WBGene00019567", "WBGene00019567")</f>
        <v>WBGene00019567</v>
      </c>
      <c r="B3397" s="9" t="str">
        <f>HYPERLINK("http://www.ncbi.nlm.nih.gov/gene/187211", "187211")</f>
        <v>187211</v>
      </c>
      <c r="C3397" s="9"/>
      <c r="D3397" t="str">
        <f>"K09D9.9"</f>
        <v>K09D9.9</v>
      </c>
      <c r="F3397" t="s">
        <v>11</v>
      </c>
      <c r="H3397" s="12">
        <v>2.3893468495514898</v>
      </c>
      <c r="I3397" s="11">
        <v>0.25323547253672701</v>
      </c>
      <c r="J3397" s="10">
        <v>0.80008625651646104</v>
      </c>
      <c r="K3397" s="29">
        <v>0.98289565623980701</v>
      </c>
    </row>
    <row r="3398" spans="1:11" x14ac:dyDescent="0.35">
      <c r="A3398" s="9" t="str">
        <f>HYPERLINK("http://www.ensembl.org/id/WBGene00195252", "WBGene00195252")</f>
        <v>WBGene00195252</v>
      </c>
      <c r="B3398" s="9"/>
      <c r="C3398" s="9"/>
      <c r="D3398" t="str">
        <f>"K10D6.6"</f>
        <v>K10D6.6</v>
      </c>
      <c r="F3398" t="s">
        <v>481</v>
      </c>
      <c r="H3398" s="12">
        <v>2.3893468495514898</v>
      </c>
      <c r="I3398" s="11">
        <v>0.25323547253672701</v>
      </c>
      <c r="J3398" s="10">
        <v>0.80008625651646104</v>
      </c>
      <c r="K3398" s="29">
        <v>0.98289565623980701</v>
      </c>
    </row>
    <row r="3399" spans="1:11" x14ac:dyDescent="0.35">
      <c r="A3399" s="9" t="str">
        <f>HYPERLINK("http://www.ensembl.org/id/WBGene00014439", "WBGene00014439")</f>
        <v>WBGene00014439</v>
      </c>
      <c r="B3399" s="9"/>
      <c r="C3399" s="9"/>
      <c r="D3399" t="str">
        <f>"K11E4.t2"</f>
        <v>K11E4.t2</v>
      </c>
      <c r="F3399" t="s">
        <v>4208</v>
      </c>
      <c r="H3399" s="12">
        <v>2.3893468495514898</v>
      </c>
      <c r="I3399" s="11">
        <v>0.25323547253672701</v>
      </c>
      <c r="J3399" s="10">
        <v>0.80008625651646104</v>
      </c>
      <c r="K3399" s="29">
        <v>0.98289565623980701</v>
      </c>
    </row>
    <row r="3400" spans="1:11" x14ac:dyDescent="0.35">
      <c r="A3400" s="9" t="str">
        <f>HYPERLINK("http://www.ensembl.org/id/WBGene00196668", "WBGene00196668")</f>
        <v>WBGene00196668</v>
      </c>
      <c r="B3400" s="9"/>
      <c r="C3400" s="9"/>
      <c r="D3400" t="str">
        <f>"K11H12.14"</f>
        <v>K11H12.14</v>
      </c>
      <c r="F3400" t="s">
        <v>481</v>
      </c>
      <c r="H3400" s="12">
        <v>2.3893468495514898</v>
      </c>
      <c r="I3400" s="11">
        <v>0.25323547253672701</v>
      </c>
      <c r="J3400" s="10">
        <v>0.80008625651646104</v>
      </c>
      <c r="K3400" s="29">
        <v>0.98289565623980701</v>
      </c>
    </row>
    <row r="3401" spans="1:11" x14ac:dyDescent="0.35">
      <c r="A3401" s="9" t="str">
        <f>HYPERLINK("http://www.ensembl.org/id/WBGene00198264", "WBGene00198264")</f>
        <v>WBGene00198264</v>
      </c>
      <c r="B3401" s="9"/>
      <c r="C3401" s="9"/>
      <c r="D3401" t="str">
        <f>"K12F2.3"</f>
        <v>K12F2.3</v>
      </c>
      <c r="F3401" t="s">
        <v>481</v>
      </c>
      <c r="H3401" s="12">
        <v>2.3893468495514898</v>
      </c>
      <c r="I3401" s="11">
        <v>0.25323547253672701</v>
      </c>
      <c r="J3401" s="10">
        <v>0.80008625651646104</v>
      </c>
      <c r="K3401" s="29">
        <v>0.98289565623980701</v>
      </c>
    </row>
    <row r="3402" spans="1:11" x14ac:dyDescent="0.35">
      <c r="A3402" s="9" t="str">
        <f>HYPERLINK("http://www.ensembl.org/id/WBGene00219773", "WBGene00219773")</f>
        <v>WBGene00219773</v>
      </c>
      <c r="B3402" s="9"/>
      <c r="C3402" s="9"/>
      <c r="D3402" t="str">
        <f>"linc-32"</f>
        <v>linc-32</v>
      </c>
      <c r="F3402" t="s">
        <v>1510</v>
      </c>
      <c r="H3402" s="12">
        <v>2.3893468495514898</v>
      </c>
      <c r="I3402" s="11">
        <v>0.25323547253672701</v>
      </c>
      <c r="J3402" s="10">
        <v>0.80008625651646104</v>
      </c>
      <c r="K3402" s="29">
        <v>0.98289565623980701</v>
      </c>
    </row>
    <row r="3403" spans="1:11" x14ac:dyDescent="0.35">
      <c r="A3403" s="9" t="str">
        <f>HYPERLINK("http://www.ensembl.org/id/WBGene00219745", "WBGene00219745")</f>
        <v>WBGene00219745</v>
      </c>
      <c r="B3403" s="9"/>
      <c r="C3403" s="9"/>
      <c r="D3403" t="str">
        <f>"linc-90"</f>
        <v>linc-90</v>
      </c>
      <c r="F3403" t="s">
        <v>1510</v>
      </c>
      <c r="H3403" s="12">
        <v>2.3893468495514898</v>
      </c>
      <c r="I3403" s="11">
        <v>0.25323547253672701</v>
      </c>
      <c r="J3403" s="10">
        <v>0.80008625651646104</v>
      </c>
      <c r="K3403" s="29">
        <v>0.98289565623980701</v>
      </c>
    </row>
    <row r="3404" spans="1:11" x14ac:dyDescent="0.35">
      <c r="A3404" s="9" t="str">
        <f>HYPERLINK("http://www.ensembl.org/id/WBGene00020472", "WBGene00020472")</f>
        <v>WBGene00020472</v>
      </c>
      <c r="B3404" s="9" t="str">
        <f>HYPERLINK("http://www.ncbi.nlm.nih.gov/gene/188467", "188467")</f>
        <v>188467</v>
      </c>
      <c r="C3404" s="9"/>
      <c r="D3404" t="str">
        <f>"lips-11"</f>
        <v>lips-11</v>
      </c>
      <c r="E3404" t="s">
        <v>430</v>
      </c>
      <c r="F3404" t="s">
        <v>11</v>
      </c>
      <c r="G3404" t="s">
        <v>431</v>
      </c>
      <c r="H3404" s="12">
        <v>2.3893468495514898</v>
      </c>
      <c r="I3404" s="11">
        <v>0.25323547253672701</v>
      </c>
      <c r="J3404" s="10">
        <v>0.80008625651646104</v>
      </c>
      <c r="K3404" s="29">
        <v>0.98289565623980701</v>
      </c>
    </row>
    <row r="3405" spans="1:11" x14ac:dyDescent="0.35">
      <c r="A3405" s="9" t="str">
        <f>HYPERLINK("http://www.ensembl.org/id/WBGene00019709", "WBGene00019709")</f>
        <v>WBGene00019709</v>
      </c>
      <c r="B3405" s="9" t="str">
        <f>HYPERLINK("http://www.ncbi.nlm.nih.gov/gene/187371", "187371")</f>
        <v>187371</v>
      </c>
      <c r="C3405" s="9"/>
      <c r="D3405" t="str">
        <f>"M01E10.3"</f>
        <v>M01E10.3</v>
      </c>
      <c r="F3405" t="s">
        <v>11</v>
      </c>
      <c r="H3405" s="12">
        <v>2.3893468495514898</v>
      </c>
      <c r="I3405" s="11">
        <v>0.25323547253672701</v>
      </c>
      <c r="J3405" s="10">
        <v>0.80008625651646104</v>
      </c>
      <c r="K3405" s="29">
        <v>0.98289565623980701</v>
      </c>
    </row>
    <row r="3406" spans="1:11" x14ac:dyDescent="0.35">
      <c r="A3406" s="9" t="str">
        <f>HYPERLINK("http://www.ensembl.org/id/WBGene00010821", "WBGene00010821")</f>
        <v>WBGene00010821</v>
      </c>
      <c r="B3406" s="9" t="str">
        <f>HYPERLINK("http://www.ncbi.nlm.nih.gov/gene/187384", "187384")</f>
        <v>187384</v>
      </c>
      <c r="C3406" s="9"/>
      <c r="D3406" t="str">
        <f>"M01G12.7"</f>
        <v>M01G12.7</v>
      </c>
      <c r="F3406" t="s">
        <v>11</v>
      </c>
      <c r="G3406" t="s">
        <v>644</v>
      </c>
      <c r="H3406" s="12">
        <v>2.3893468495514898</v>
      </c>
      <c r="I3406" s="11">
        <v>0.25323547253672701</v>
      </c>
      <c r="J3406" s="10">
        <v>0.80008625651646104</v>
      </c>
      <c r="K3406" s="29">
        <v>0.98289565623980701</v>
      </c>
    </row>
    <row r="3407" spans="1:11" x14ac:dyDescent="0.35">
      <c r="A3407" s="9" t="str">
        <f>HYPERLINK("http://www.ensembl.org/id/WBGene00014806", "WBGene00014806")</f>
        <v>WBGene00014806</v>
      </c>
      <c r="B3407" s="9"/>
      <c r="C3407" s="9"/>
      <c r="D3407" t="str">
        <f>"M01G12.8"</f>
        <v>M01G12.8</v>
      </c>
      <c r="F3407" t="s">
        <v>80</v>
      </c>
      <c r="H3407" s="12">
        <v>2.3893468495514898</v>
      </c>
      <c r="I3407" s="11">
        <v>0.25323547253672701</v>
      </c>
      <c r="J3407" s="10">
        <v>0.80008625651646104</v>
      </c>
      <c r="K3407" s="29">
        <v>0.98289565623980701</v>
      </c>
    </row>
    <row r="3408" spans="1:11" x14ac:dyDescent="0.35">
      <c r="A3408" s="9" t="str">
        <f>HYPERLINK("http://www.ensembl.org/id/WBGene00010862", "WBGene00010862")</f>
        <v>WBGene00010862</v>
      </c>
      <c r="B3408" s="9" t="str">
        <f>HYPERLINK("http://www.ncbi.nlm.nih.gov/gene/187443", "187443")</f>
        <v>187443</v>
      </c>
      <c r="C3408" s="9"/>
      <c r="D3408" t="str">
        <f>"M04D8.4"</f>
        <v>M04D8.4</v>
      </c>
      <c r="F3408" t="s">
        <v>11</v>
      </c>
      <c r="G3408" t="s">
        <v>25</v>
      </c>
      <c r="H3408" s="12">
        <v>2.3893468495514898</v>
      </c>
      <c r="I3408" s="11">
        <v>0.25323547253672701</v>
      </c>
      <c r="J3408" s="10">
        <v>0.80008625651646104</v>
      </c>
      <c r="K3408" s="29">
        <v>0.98289565623980701</v>
      </c>
    </row>
    <row r="3409" spans="1:11" x14ac:dyDescent="0.35">
      <c r="A3409" s="9" t="str">
        <f>HYPERLINK("http://www.ensembl.org/id/WBGene00010938", "WBGene00010938")</f>
        <v>WBGene00010938</v>
      </c>
      <c r="B3409" s="9" t="str">
        <f>HYPERLINK("http://www.ncbi.nlm.nih.gov/gene/187494", "187494")</f>
        <v>187494</v>
      </c>
      <c r="C3409" s="9"/>
      <c r="D3409" t="str">
        <f>"M163.6"</f>
        <v>M163.6</v>
      </c>
      <c r="F3409" t="s">
        <v>11</v>
      </c>
      <c r="H3409" s="12">
        <v>2.3893468495514898</v>
      </c>
      <c r="I3409" s="11">
        <v>0.25323547253672701</v>
      </c>
      <c r="J3409" s="10">
        <v>0.80008625651646104</v>
      </c>
      <c r="K3409" s="29">
        <v>0.98289565623980701</v>
      </c>
    </row>
    <row r="3410" spans="1:11" x14ac:dyDescent="0.35">
      <c r="A3410" s="9" t="str">
        <f>HYPERLINK("http://www.ensembl.org/id/WBGene00196570", "WBGene00196570")</f>
        <v>WBGene00196570</v>
      </c>
      <c r="B3410" s="9"/>
      <c r="C3410" s="9"/>
      <c r="D3410" t="str">
        <f>"M195.5"</f>
        <v>M195.5</v>
      </c>
      <c r="F3410" t="s">
        <v>481</v>
      </c>
      <c r="H3410" s="12">
        <v>2.3893468495514898</v>
      </c>
      <c r="I3410" s="11">
        <v>0.25323547253672701</v>
      </c>
      <c r="J3410" s="10">
        <v>0.80008625651646104</v>
      </c>
      <c r="K3410" s="29">
        <v>0.98289565623980701</v>
      </c>
    </row>
    <row r="3411" spans="1:11" x14ac:dyDescent="0.35">
      <c r="A3411" s="9" t="str">
        <f>HYPERLINK("http://www.ensembl.org/id/WBGene00219395", "WBGene00219395")</f>
        <v>WBGene00219395</v>
      </c>
      <c r="B3411" s="9" t="str">
        <f>HYPERLINK("http://www.ncbi.nlm.nih.gov/gene/13204091", "13204091")</f>
        <v>13204091</v>
      </c>
      <c r="C3411" s="9"/>
      <c r="D3411" t="str">
        <f>"M199.134"</f>
        <v>M199.134</v>
      </c>
      <c r="F3411" t="s">
        <v>11</v>
      </c>
      <c r="G3411" t="s">
        <v>25</v>
      </c>
      <c r="H3411" s="12">
        <v>2.3893468495514898</v>
      </c>
      <c r="I3411" s="11">
        <v>0.25323547253672701</v>
      </c>
      <c r="J3411" s="10">
        <v>0.80008625651646104</v>
      </c>
      <c r="K3411" s="29">
        <v>0.98289565623980701</v>
      </c>
    </row>
    <row r="3412" spans="1:11" x14ac:dyDescent="0.35">
      <c r="A3412" s="9" t="str">
        <f>HYPERLINK("http://www.ensembl.org/id/WBGene00206478", "WBGene00206478")</f>
        <v>WBGene00206478</v>
      </c>
      <c r="B3412" s="9" t="str">
        <f>HYPERLINK("http://www.ncbi.nlm.nih.gov/gene/13219106", "13219106")</f>
        <v>13219106</v>
      </c>
      <c r="C3412" s="9"/>
      <c r="D3412" t="str">
        <f>"M6.11"</f>
        <v>M6.11</v>
      </c>
      <c r="E3412" t="s">
        <v>2043</v>
      </c>
      <c r="F3412" t="s">
        <v>11</v>
      </c>
      <c r="G3412" t="s">
        <v>4290</v>
      </c>
      <c r="H3412" s="12">
        <v>2.3893468495514898</v>
      </c>
      <c r="I3412" s="11">
        <v>0.25323547253672701</v>
      </c>
      <c r="J3412" s="10">
        <v>0.80008625651646104</v>
      </c>
      <c r="K3412" s="29">
        <v>0.98289565623980701</v>
      </c>
    </row>
    <row r="3413" spans="1:11" x14ac:dyDescent="0.35">
      <c r="A3413" s="9" t="str">
        <f>HYPERLINK("http://www.ensembl.org/id/WBGene00015835", "WBGene00015835")</f>
        <v>WBGene00015835</v>
      </c>
      <c r="B3413" s="9" t="str">
        <f>HYPERLINK("http://www.ncbi.nlm.nih.gov/gene/182665", "182665")</f>
        <v>182665</v>
      </c>
      <c r="C3413" s="9"/>
      <c r="D3413" t="str">
        <f>"math-6"</f>
        <v>math-6</v>
      </c>
      <c r="E3413" t="s">
        <v>596</v>
      </c>
      <c r="F3413" t="s">
        <v>11</v>
      </c>
      <c r="G3413" t="s">
        <v>54</v>
      </c>
      <c r="H3413" s="12">
        <v>2.3893468495514898</v>
      </c>
      <c r="I3413" s="11">
        <v>0.25323547253672701</v>
      </c>
      <c r="J3413" s="10">
        <v>0.80008625651646104</v>
      </c>
      <c r="K3413" s="29">
        <v>0.98289565623980701</v>
      </c>
    </row>
    <row r="3414" spans="1:11" x14ac:dyDescent="0.35">
      <c r="A3414" s="9" t="str">
        <f>HYPERLINK("http://www.ensembl.org/id/WBGene00194810", "WBGene00194810")</f>
        <v>WBGene00194810</v>
      </c>
      <c r="B3414" s="9"/>
      <c r="C3414" s="9"/>
      <c r="D3414" t="str">
        <f>"mir-2218.2"</f>
        <v>mir-2218.2</v>
      </c>
      <c r="F3414" t="s">
        <v>1486</v>
      </c>
      <c r="H3414" s="12">
        <v>2.3893468495514898</v>
      </c>
      <c r="I3414" s="11">
        <v>0.25323547253672701</v>
      </c>
      <c r="J3414" s="10">
        <v>0.80008625651646104</v>
      </c>
      <c r="K3414" s="29">
        <v>0.98289565623980701</v>
      </c>
    </row>
    <row r="3415" spans="1:11" x14ac:dyDescent="0.35">
      <c r="A3415" s="9" t="str">
        <f>HYPERLINK("http://www.ensembl.org/id/WBGene00023453", "WBGene00023453")</f>
        <v>WBGene00023453</v>
      </c>
      <c r="B3415" s="9"/>
      <c r="C3415" s="9"/>
      <c r="D3415" t="str">
        <f>"mir-356.1"</f>
        <v>mir-356.1</v>
      </c>
      <c r="F3415" t="s">
        <v>1486</v>
      </c>
      <c r="H3415" s="12">
        <v>2.3893468495514898</v>
      </c>
      <c r="I3415" s="11">
        <v>0.25323547253672701</v>
      </c>
      <c r="J3415" s="10">
        <v>0.80008625651646104</v>
      </c>
      <c r="K3415" s="29">
        <v>0.98289565623980701</v>
      </c>
    </row>
    <row r="3416" spans="1:11" x14ac:dyDescent="0.35">
      <c r="A3416" s="9" t="str">
        <f>HYPERLINK("http://www.ensembl.org/id/WBGene00014391", "WBGene00014391")</f>
        <v>WBGene00014391</v>
      </c>
      <c r="B3416" s="9"/>
      <c r="C3416" s="9"/>
      <c r="D3416" t="str">
        <f>"mir-392"</f>
        <v>mir-392</v>
      </c>
      <c r="F3416" t="s">
        <v>1486</v>
      </c>
      <c r="H3416" s="12">
        <v>2.3893468495514898</v>
      </c>
      <c r="I3416" s="11">
        <v>0.25323547253672701</v>
      </c>
      <c r="J3416" s="10">
        <v>0.80008625651646104</v>
      </c>
      <c r="K3416" s="29">
        <v>0.98289565623980701</v>
      </c>
    </row>
    <row r="3417" spans="1:11" x14ac:dyDescent="0.35">
      <c r="A3417" s="9" t="str">
        <f>HYPERLINK("http://www.ensembl.org/id/WBGene00201935", "WBGene00201935")</f>
        <v>WBGene00201935</v>
      </c>
      <c r="B3417" s="9"/>
      <c r="C3417" s="9"/>
      <c r="D3417" t="str">
        <f>"mir-8210"</f>
        <v>mir-8210</v>
      </c>
      <c r="F3417" t="s">
        <v>1486</v>
      </c>
      <c r="H3417" s="12">
        <v>2.3893468495514898</v>
      </c>
      <c r="I3417" s="11">
        <v>0.25323547253672701</v>
      </c>
      <c r="J3417" s="10">
        <v>0.80008625651646104</v>
      </c>
      <c r="K3417" s="29">
        <v>0.98289565623980701</v>
      </c>
    </row>
    <row r="3418" spans="1:11" x14ac:dyDescent="0.35">
      <c r="A3418" s="9" t="str">
        <f>HYPERLINK("http://www.ensembl.org/id/WBGene00003318", "WBGene00003318")</f>
        <v>WBGene00003318</v>
      </c>
      <c r="B3418" s="9"/>
      <c r="C3418" s="9"/>
      <c r="D3418" t="str">
        <f>"mir-90"</f>
        <v>mir-90</v>
      </c>
      <c r="F3418" t="s">
        <v>1486</v>
      </c>
      <c r="H3418" s="12">
        <v>2.3893468495514898</v>
      </c>
      <c r="I3418" s="11">
        <v>0.25323547253672701</v>
      </c>
      <c r="J3418" s="10">
        <v>0.80008625651646104</v>
      </c>
      <c r="K3418" s="29">
        <v>0.98289565623980701</v>
      </c>
    </row>
    <row r="3419" spans="1:11" x14ac:dyDescent="0.35">
      <c r="A3419" s="9" t="str">
        <f>HYPERLINK("http://www.ensembl.org/id/WBGene00013483", "WBGene00013483")</f>
        <v>WBGene00013483</v>
      </c>
      <c r="B3419" s="9" t="str">
        <f>HYPERLINK("http://www.ncbi.nlm.nih.gov/gene/190558", "190558")</f>
        <v>190558</v>
      </c>
      <c r="C3419" s="9"/>
      <c r="D3419" t="str">
        <f>"nhr-241"</f>
        <v>nhr-241</v>
      </c>
      <c r="E3419" t="s">
        <v>637</v>
      </c>
      <c r="F3419" t="s">
        <v>11</v>
      </c>
      <c r="G3419" t="s">
        <v>1073</v>
      </c>
      <c r="H3419" s="12">
        <v>2.3893468495514898</v>
      </c>
      <c r="I3419" s="11">
        <v>0.25323547253672701</v>
      </c>
      <c r="J3419" s="10">
        <v>0.80008625651646104</v>
      </c>
      <c r="K3419" s="29">
        <v>0.98289565623980701</v>
      </c>
    </row>
    <row r="3420" spans="1:11" x14ac:dyDescent="0.35">
      <c r="A3420" s="9" t="str">
        <f>HYPERLINK("http://www.ensembl.org/id/WBGene00014186", "WBGene00014186")</f>
        <v>WBGene00014186</v>
      </c>
      <c r="B3420" s="9" t="str">
        <f>HYPERLINK("http://www.ncbi.nlm.nih.gov/gene/191495", "191495")</f>
        <v>191495</v>
      </c>
      <c r="C3420" s="9"/>
      <c r="D3420" t="str">
        <f>"nhr-244"</f>
        <v>nhr-244</v>
      </c>
      <c r="E3420" t="s">
        <v>637</v>
      </c>
      <c r="F3420" t="s">
        <v>11</v>
      </c>
      <c r="G3420" t="s">
        <v>228</v>
      </c>
      <c r="H3420" s="12">
        <v>2.3893468495514898</v>
      </c>
      <c r="I3420" s="11">
        <v>0.25323547253672701</v>
      </c>
      <c r="J3420" s="10">
        <v>0.80008625651646104</v>
      </c>
      <c r="K3420" s="29">
        <v>0.98289565623980701</v>
      </c>
    </row>
    <row r="3421" spans="1:11" x14ac:dyDescent="0.35">
      <c r="A3421" s="9" t="str">
        <f>HYPERLINK("http://www.ensembl.org/id/WBGene00044277", "WBGene00044277")</f>
        <v>WBGene00044277</v>
      </c>
      <c r="B3421" s="9"/>
      <c r="C3421" s="9"/>
      <c r="D3421" t="str">
        <f>"nspa-12"</f>
        <v>nspa-12</v>
      </c>
      <c r="F3421" t="s">
        <v>80</v>
      </c>
      <c r="H3421" s="12">
        <v>2.3893468495514898</v>
      </c>
      <c r="I3421" s="11">
        <v>0.25323547253672701</v>
      </c>
      <c r="J3421" s="10">
        <v>0.80008625651646104</v>
      </c>
      <c r="K3421" s="29">
        <v>0.98289565623980701</v>
      </c>
    </row>
    <row r="3422" spans="1:11" x14ac:dyDescent="0.35">
      <c r="A3422" s="9" t="str">
        <f>HYPERLINK("http://www.ensembl.org/id/WBGene00010171", "WBGene00010171")</f>
        <v>WBGene00010171</v>
      </c>
      <c r="B3422" s="9" t="str">
        <f>HYPERLINK("http://www.ncbi.nlm.nih.gov/gene/186421", "186421")</f>
        <v>186421</v>
      </c>
      <c r="C3422" s="9"/>
      <c r="D3422" t="str">
        <f>"oac-35"</f>
        <v>oac-35</v>
      </c>
      <c r="E3422" t="s">
        <v>883</v>
      </c>
      <c r="F3422" t="s">
        <v>11</v>
      </c>
      <c r="G3422" t="s">
        <v>1992</v>
      </c>
      <c r="H3422" s="12">
        <v>2.3893468495514898</v>
      </c>
      <c r="I3422" s="11">
        <v>0.25323547253672701</v>
      </c>
      <c r="J3422" s="10">
        <v>0.80008625651646104</v>
      </c>
      <c r="K3422" s="29">
        <v>0.98289565623980701</v>
      </c>
    </row>
    <row r="3423" spans="1:11" x14ac:dyDescent="0.35">
      <c r="A3423" s="9" t="str">
        <f>HYPERLINK("http://www.ensembl.org/id/WBGene00010158", "WBGene00010158")</f>
        <v>WBGene00010158</v>
      </c>
      <c r="B3423" s="9" t="str">
        <f>HYPERLINK("http://www.ncbi.nlm.nih.gov/gene/173026", "173026")</f>
        <v>173026</v>
      </c>
      <c r="C3423" s="9"/>
      <c r="D3423" t="str">
        <f>"pes-2.2"</f>
        <v>pes-2.2</v>
      </c>
      <c r="E3423" t="s">
        <v>4402</v>
      </c>
      <c r="F3423" t="s">
        <v>11</v>
      </c>
      <c r="G3423" t="s">
        <v>54</v>
      </c>
      <c r="H3423" s="12">
        <v>2.3893468495514898</v>
      </c>
      <c r="I3423" s="11">
        <v>0.25323547253672701</v>
      </c>
      <c r="J3423" s="10">
        <v>0.80008625651646104</v>
      </c>
      <c r="K3423" s="29">
        <v>0.98289565623980701</v>
      </c>
    </row>
    <row r="3424" spans="1:11" x14ac:dyDescent="0.35">
      <c r="A3424" s="9" t="str">
        <f>HYPERLINK("http://www.ensembl.org/id/WBGene00004158", "WBGene00004158")</f>
        <v>WBGene00004158</v>
      </c>
      <c r="B3424" s="9" t="str">
        <f>HYPERLINK("http://www.ncbi.nlm.nih.gov/gene/190869", "190869")</f>
        <v>190869</v>
      </c>
      <c r="C3424" s="9"/>
      <c r="D3424" t="str">
        <f>"pqn-76"</f>
        <v>pqn-76</v>
      </c>
      <c r="E3424" t="s">
        <v>432</v>
      </c>
      <c r="F3424" t="s">
        <v>11</v>
      </c>
      <c r="H3424" s="12">
        <v>2.3893468495514898</v>
      </c>
      <c r="I3424" s="11">
        <v>0.25323547253672701</v>
      </c>
      <c r="J3424" s="10">
        <v>0.80008625651646104</v>
      </c>
      <c r="K3424" s="29">
        <v>0.98289565623980701</v>
      </c>
    </row>
    <row r="3425" spans="1:11" x14ac:dyDescent="0.35">
      <c r="A3425" s="9" t="str">
        <f>HYPERLINK("http://www.ensembl.org/id/WBGene00200388", "WBGene00200388")</f>
        <v>WBGene00200388</v>
      </c>
      <c r="B3425" s="9"/>
      <c r="C3425" s="9"/>
      <c r="D3425" t="str">
        <f>"R05G6.18"</f>
        <v>R05G6.18</v>
      </c>
      <c r="F3425" t="s">
        <v>481</v>
      </c>
      <c r="H3425" s="12">
        <v>2.3893468495514898</v>
      </c>
      <c r="I3425" s="11">
        <v>0.25323547253672701</v>
      </c>
      <c r="J3425" s="10">
        <v>0.80008625651646104</v>
      </c>
      <c r="K3425" s="29">
        <v>0.98289565623980701</v>
      </c>
    </row>
    <row r="3426" spans="1:11" x14ac:dyDescent="0.35">
      <c r="A3426" s="9" t="str">
        <f>HYPERLINK("http://www.ensembl.org/id/WBGene00199744", "WBGene00199744")</f>
        <v>WBGene00199744</v>
      </c>
      <c r="B3426" s="9"/>
      <c r="C3426" s="9"/>
      <c r="D3426" t="str">
        <f>"R07B5.11"</f>
        <v>R07B5.11</v>
      </c>
      <c r="F3426" t="s">
        <v>481</v>
      </c>
      <c r="H3426" s="12">
        <v>2.3893468495514898</v>
      </c>
      <c r="I3426" s="11">
        <v>0.25323547253672701</v>
      </c>
      <c r="J3426" s="10">
        <v>0.80008625651646104</v>
      </c>
      <c r="K3426" s="29">
        <v>0.98289565623980701</v>
      </c>
    </row>
    <row r="3427" spans="1:11" x14ac:dyDescent="0.35">
      <c r="A3427" s="9" t="str">
        <f>HYPERLINK("http://www.ensembl.org/id/WBGene00198326", "WBGene00198326")</f>
        <v>WBGene00198326</v>
      </c>
      <c r="B3427" s="9"/>
      <c r="C3427" s="9"/>
      <c r="D3427" t="str">
        <f>"R07G3.12"</f>
        <v>R07G3.12</v>
      </c>
      <c r="F3427" t="s">
        <v>481</v>
      </c>
      <c r="H3427" s="12">
        <v>2.3893468495514898</v>
      </c>
      <c r="I3427" s="11">
        <v>0.25323547253672701</v>
      </c>
      <c r="J3427" s="10">
        <v>0.80008625651646104</v>
      </c>
      <c r="K3427" s="29">
        <v>0.98289565623980701</v>
      </c>
    </row>
    <row r="3428" spans="1:11" x14ac:dyDescent="0.35">
      <c r="A3428" s="9" t="str">
        <f>HYPERLINK("http://www.ensembl.org/id/WBGene00201895", "WBGene00201895")</f>
        <v>WBGene00201895</v>
      </c>
      <c r="B3428" s="9"/>
      <c r="C3428" s="9"/>
      <c r="D3428" t="str">
        <f>"R08E3.12"</f>
        <v>R08E3.12</v>
      </c>
      <c r="F3428" t="s">
        <v>481</v>
      </c>
      <c r="H3428" s="12">
        <v>2.3893468495514898</v>
      </c>
      <c r="I3428" s="11">
        <v>0.25323547253672701</v>
      </c>
      <c r="J3428" s="10">
        <v>0.80008625651646104</v>
      </c>
      <c r="K3428" s="29">
        <v>0.98289565623980701</v>
      </c>
    </row>
    <row r="3429" spans="1:11" x14ac:dyDescent="0.35">
      <c r="A3429" s="9" t="str">
        <f>HYPERLINK("http://www.ensembl.org/id/WBGene00011151", "WBGene00011151")</f>
        <v>WBGene00011151</v>
      </c>
      <c r="B3429" s="9"/>
      <c r="C3429" s="9"/>
      <c r="D3429" t="str">
        <f>"R08H2.10"</f>
        <v>R08H2.10</v>
      </c>
      <c r="F3429" t="s">
        <v>80</v>
      </c>
      <c r="H3429" s="12">
        <v>2.3893468495514898</v>
      </c>
      <c r="I3429" s="11">
        <v>0.25323547253672701</v>
      </c>
      <c r="J3429" s="10">
        <v>0.80008625651646104</v>
      </c>
      <c r="K3429" s="29">
        <v>0.98289565623980701</v>
      </c>
    </row>
    <row r="3430" spans="1:11" x14ac:dyDescent="0.35">
      <c r="A3430" s="9" t="str">
        <f>HYPERLINK("http://www.ensembl.org/id/WBGene00011234", "WBGene00011234")</f>
        <v>WBGene00011234</v>
      </c>
      <c r="B3430" s="9" t="str">
        <f>HYPERLINK("http://www.ncbi.nlm.nih.gov/gene/187797", "187797")</f>
        <v>187797</v>
      </c>
      <c r="C3430" s="9"/>
      <c r="D3430" t="str">
        <f>"R11A5.6"</f>
        <v>R11A5.6</v>
      </c>
      <c r="F3430" t="s">
        <v>11</v>
      </c>
      <c r="H3430" s="12">
        <v>2.3893468495514898</v>
      </c>
      <c r="I3430" s="11">
        <v>0.25323547253672701</v>
      </c>
      <c r="J3430" s="10">
        <v>0.80008625651646104</v>
      </c>
      <c r="K3430" s="29">
        <v>0.98289565623980701</v>
      </c>
    </row>
    <row r="3431" spans="1:11" x14ac:dyDescent="0.35">
      <c r="A3431" s="9" t="str">
        <f>HYPERLINK("http://www.ensembl.org/id/WBGene00077753", "WBGene00077753")</f>
        <v>WBGene00077753</v>
      </c>
      <c r="B3431" s="9"/>
      <c r="C3431" s="9"/>
      <c r="D3431" t="str">
        <f>"R13.6"</f>
        <v>R13.6</v>
      </c>
      <c r="F3431" t="s">
        <v>80</v>
      </c>
      <c r="H3431" s="12">
        <v>2.3893468495514898</v>
      </c>
      <c r="I3431" s="11">
        <v>0.25323547253672701</v>
      </c>
      <c r="J3431" s="10">
        <v>0.80008625651646104</v>
      </c>
      <c r="K3431" s="29">
        <v>0.98289565623980701</v>
      </c>
    </row>
    <row r="3432" spans="1:11" x14ac:dyDescent="0.35">
      <c r="A3432" s="9" t="str">
        <f>HYPERLINK("http://www.ensembl.org/id/WBGene00196960", "WBGene00196960")</f>
        <v>WBGene00196960</v>
      </c>
      <c r="B3432" s="9"/>
      <c r="C3432" s="9"/>
      <c r="D3432" t="str">
        <f>"R13F6.11"</f>
        <v>R13F6.11</v>
      </c>
      <c r="F3432" t="s">
        <v>481</v>
      </c>
      <c r="H3432" s="12">
        <v>2.3893468495514898</v>
      </c>
      <c r="I3432" s="11">
        <v>0.25323547253672701</v>
      </c>
      <c r="J3432" s="10">
        <v>0.80008625651646104</v>
      </c>
      <c r="K3432" s="29">
        <v>0.98289565623980701</v>
      </c>
    </row>
    <row r="3433" spans="1:11" x14ac:dyDescent="0.35">
      <c r="A3433" s="9" t="str">
        <f>HYPERLINK("http://www.ensembl.org/id/WBGene00023333", "WBGene00023333")</f>
        <v>WBGene00023333</v>
      </c>
      <c r="B3433" s="9"/>
      <c r="C3433" s="9"/>
      <c r="D3433" t="str">
        <f>"R148.t3"</f>
        <v>R148.t3</v>
      </c>
      <c r="F3433" t="s">
        <v>80</v>
      </c>
      <c r="H3433" s="12">
        <v>2.3893468495514898</v>
      </c>
      <c r="I3433" s="11">
        <v>0.25323547253672701</v>
      </c>
      <c r="J3433" s="10">
        <v>0.80008625651646104</v>
      </c>
      <c r="K3433" s="29">
        <v>0.98289565623980701</v>
      </c>
    </row>
    <row r="3434" spans="1:11" x14ac:dyDescent="0.35">
      <c r="A3434" s="9" t="str">
        <f>HYPERLINK("http://www.ensembl.org/id/WBGene00197667", "WBGene00197667")</f>
        <v>WBGene00197667</v>
      </c>
      <c r="B3434" s="9"/>
      <c r="C3434" s="9"/>
      <c r="D3434" t="str">
        <f>"R160.8"</f>
        <v>R160.8</v>
      </c>
      <c r="F3434" t="s">
        <v>481</v>
      </c>
      <c r="H3434" s="12">
        <v>2.3893468495514898</v>
      </c>
      <c r="I3434" s="11">
        <v>0.25323547253672701</v>
      </c>
      <c r="J3434" s="10">
        <v>0.80008625651646104</v>
      </c>
      <c r="K3434" s="29">
        <v>0.98289565623980701</v>
      </c>
    </row>
    <row r="3435" spans="1:11" x14ac:dyDescent="0.35">
      <c r="A3435" s="9" t="str">
        <f>HYPERLINK("http://www.ensembl.org/id/WBGene00011724", "WBGene00011724")</f>
        <v>WBGene00011724</v>
      </c>
      <c r="B3435" s="9" t="str">
        <f>HYPERLINK("http://www.ncbi.nlm.nih.gov/gene/188436", "188436")</f>
        <v>188436</v>
      </c>
      <c r="C3435" s="9"/>
      <c r="D3435" t="str">
        <f>"scl-18"</f>
        <v>scl-18</v>
      </c>
      <c r="E3435" t="s">
        <v>162</v>
      </c>
      <c r="F3435" t="s">
        <v>11</v>
      </c>
      <c r="G3435" t="s">
        <v>63</v>
      </c>
      <c r="H3435" s="12">
        <v>2.3893468495514898</v>
      </c>
      <c r="I3435" s="11">
        <v>0.25323547253672701</v>
      </c>
      <c r="J3435" s="10">
        <v>0.80008625651646104</v>
      </c>
      <c r="K3435" s="29">
        <v>0.98289565623980701</v>
      </c>
    </row>
    <row r="3436" spans="1:11" x14ac:dyDescent="0.35">
      <c r="A3436" s="9" t="str">
        <f>HYPERLINK("http://www.ensembl.org/id/WBGene00013121", "WBGene00013121")</f>
        <v>WBGene00013121</v>
      </c>
      <c r="B3436" s="9" t="str">
        <f>HYPERLINK("http://www.ncbi.nlm.nih.gov/gene/190181", "190181")</f>
        <v>190181</v>
      </c>
      <c r="C3436" s="9"/>
      <c r="D3436" t="str">
        <f>"spe-38"</f>
        <v>spe-38</v>
      </c>
      <c r="F3436" t="s">
        <v>11</v>
      </c>
      <c r="G3436" t="s">
        <v>4403</v>
      </c>
      <c r="H3436" s="12">
        <v>2.3893468495514898</v>
      </c>
      <c r="I3436" s="11">
        <v>0.25323547253672701</v>
      </c>
      <c r="J3436" s="10">
        <v>0.80008625651646104</v>
      </c>
      <c r="K3436" s="29">
        <v>0.98289565623980701</v>
      </c>
    </row>
    <row r="3437" spans="1:11" x14ac:dyDescent="0.35">
      <c r="A3437" s="9" t="str">
        <f>HYPERLINK("http://www.ensembl.org/id/WBGene00005043", "WBGene00005043")</f>
        <v>WBGene00005043</v>
      </c>
      <c r="B3437" s="9" t="str">
        <f>HYPERLINK("http://www.ncbi.nlm.nih.gov/gene/185053", "185053")</f>
        <v>185053</v>
      </c>
      <c r="C3437" s="9"/>
      <c r="D3437" t="str">
        <f>"sra-17"</f>
        <v>sra-17</v>
      </c>
      <c r="E3437" t="s">
        <v>4399</v>
      </c>
      <c r="F3437" t="s">
        <v>11</v>
      </c>
      <c r="G3437" t="s">
        <v>4210</v>
      </c>
      <c r="H3437" s="12">
        <v>2.3893468495514898</v>
      </c>
      <c r="I3437" s="11">
        <v>0.25323547253672701</v>
      </c>
      <c r="J3437" s="10">
        <v>0.80008625651646104</v>
      </c>
      <c r="K3437" s="29">
        <v>0.98289565623980701</v>
      </c>
    </row>
    <row r="3438" spans="1:11" x14ac:dyDescent="0.35">
      <c r="A3438" s="9" t="str">
        <f>HYPERLINK("http://www.ensembl.org/id/WBGene00005054", "WBGene00005054")</f>
        <v>WBGene00005054</v>
      </c>
      <c r="B3438" s="9" t="str">
        <f>HYPERLINK("http://www.ncbi.nlm.nih.gov/gene/184634", "184634")</f>
        <v>184634</v>
      </c>
      <c r="C3438" s="9"/>
      <c r="D3438" t="str">
        <f>"sra-28"</f>
        <v>sra-28</v>
      </c>
      <c r="E3438" t="s">
        <v>4404</v>
      </c>
      <c r="F3438" t="s">
        <v>11</v>
      </c>
      <c r="G3438" t="s">
        <v>4210</v>
      </c>
      <c r="H3438" s="12">
        <v>2.3893468495514898</v>
      </c>
      <c r="I3438" s="11">
        <v>0.25323547253672701</v>
      </c>
      <c r="J3438" s="10">
        <v>0.80008625651646104</v>
      </c>
      <c r="K3438" s="29">
        <v>0.98289565623980701</v>
      </c>
    </row>
    <row r="3439" spans="1:11" x14ac:dyDescent="0.35">
      <c r="A3439" s="9" t="str">
        <f>HYPERLINK("http://www.ensembl.org/id/WBGene00005033", "WBGene00005033")</f>
        <v>WBGene00005033</v>
      </c>
      <c r="B3439" s="9" t="str">
        <f>HYPERLINK("http://www.ncbi.nlm.nih.gov/gene/191778", "191778")</f>
        <v>191778</v>
      </c>
      <c r="C3439" s="9"/>
      <c r="D3439" t="str">
        <f>"sra-7"</f>
        <v>sra-7</v>
      </c>
      <c r="E3439" t="s">
        <v>4400</v>
      </c>
      <c r="F3439" t="s">
        <v>11</v>
      </c>
      <c r="G3439" t="s">
        <v>1468</v>
      </c>
      <c r="H3439" s="12">
        <v>2.3893468495514898</v>
      </c>
      <c r="I3439" s="11">
        <v>0.25323547253672701</v>
      </c>
      <c r="J3439" s="10">
        <v>0.80008625651646104</v>
      </c>
      <c r="K3439" s="29">
        <v>0.98289565623980701</v>
      </c>
    </row>
    <row r="3440" spans="1:11" x14ac:dyDescent="0.35">
      <c r="A3440" s="9" t="str">
        <f>HYPERLINK("http://www.ensembl.org/id/WBGene00015448", "WBGene00015448")</f>
        <v>WBGene00015448</v>
      </c>
      <c r="B3440" s="9" t="str">
        <f>HYPERLINK("http://www.ncbi.nlm.nih.gov/gene/182222", "182222")</f>
        <v>182222</v>
      </c>
      <c r="C3440" s="9"/>
      <c r="D3440" t="str">
        <f>"srab-3"</f>
        <v>srab-3</v>
      </c>
      <c r="E3440" t="s">
        <v>4203</v>
      </c>
      <c r="F3440" t="s">
        <v>11</v>
      </c>
      <c r="G3440" t="s">
        <v>25</v>
      </c>
      <c r="H3440" s="12">
        <v>2.3893468495514898</v>
      </c>
      <c r="I3440" s="11">
        <v>0.25323547253672701</v>
      </c>
      <c r="J3440" s="10">
        <v>0.80008625651646104</v>
      </c>
      <c r="K3440" s="29">
        <v>0.98289565623980701</v>
      </c>
    </row>
    <row r="3441" spans="1:11" x14ac:dyDescent="0.35">
      <c r="A3441" s="9" t="str">
        <f>HYPERLINK("http://www.ensembl.org/id/WBGene00044104", "WBGene00044104")</f>
        <v>WBGene00044104</v>
      </c>
      <c r="B3441" s="9"/>
      <c r="C3441" s="9"/>
      <c r="D3441" t="str">
        <f>"srbc-53"</f>
        <v>srbc-53</v>
      </c>
      <c r="F3441" t="s">
        <v>80</v>
      </c>
      <c r="H3441" s="12">
        <v>2.3893468495514898</v>
      </c>
      <c r="I3441" s="11">
        <v>0.25323547253672701</v>
      </c>
      <c r="J3441" s="10">
        <v>0.80008625651646104</v>
      </c>
      <c r="K3441" s="29">
        <v>0.98289565623980701</v>
      </c>
    </row>
    <row r="3442" spans="1:11" x14ac:dyDescent="0.35">
      <c r="A3442" s="9" t="str">
        <f>HYPERLINK("http://www.ensembl.org/id/WBGene00005114", "WBGene00005114")</f>
        <v>WBGene00005114</v>
      </c>
      <c r="B3442" s="9" t="str">
        <f>HYPERLINK("http://www.ncbi.nlm.nih.gov/gene/187574", "187574")</f>
        <v>187574</v>
      </c>
      <c r="C3442" s="9"/>
      <c r="D3442" t="str">
        <f>"srd-36"</f>
        <v>srd-36</v>
      </c>
      <c r="E3442" t="s">
        <v>1513</v>
      </c>
      <c r="F3442" t="s">
        <v>11</v>
      </c>
      <c r="G3442" t="s">
        <v>25</v>
      </c>
      <c r="H3442" s="12">
        <v>2.3893468495514898</v>
      </c>
      <c r="I3442" s="11">
        <v>0.25323547253672701</v>
      </c>
      <c r="J3442" s="10">
        <v>0.80008625651646104</v>
      </c>
      <c r="K3442" s="29">
        <v>0.98289565623980701</v>
      </c>
    </row>
    <row r="3443" spans="1:11" x14ac:dyDescent="0.35">
      <c r="A3443" s="9" t="str">
        <f>HYPERLINK("http://www.ensembl.org/id/WBGene00005121", "WBGene00005121")</f>
        <v>WBGene00005121</v>
      </c>
      <c r="B3443" s="9" t="str">
        <f>HYPERLINK("http://www.ncbi.nlm.nih.gov/gene/187577", "187577")</f>
        <v>187577</v>
      </c>
      <c r="C3443" s="9"/>
      <c r="D3443" t="str">
        <f>"srd-43"</f>
        <v>srd-43</v>
      </c>
      <c r="E3443" t="s">
        <v>1513</v>
      </c>
      <c r="F3443" t="s">
        <v>11</v>
      </c>
      <c r="G3443" t="s">
        <v>25</v>
      </c>
      <c r="H3443" s="12">
        <v>2.3893468495514898</v>
      </c>
      <c r="I3443" s="11">
        <v>0.25323547253672701</v>
      </c>
      <c r="J3443" s="10">
        <v>0.80008625651646104</v>
      </c>
      <c r="K3443" s="29">
        <v>0.98289565623980701</v>
      </c>
    </row>
    <row r="3444" spans="1:11" x14ac:dyDescent="0.35">
      <c r="A3444" s="9" t="str">
        <f>HYPERLINK("http://www.ensembl.org/id/WBGene00005128", "WBGene00005128")</f>
        <v>WBGene00005128</v>
      </c>
      <c r="B3444" s="9" t="str">
        <f>HYPERLINK("http://www.ncbi.nlm.nih.gov/gene/184507", "184507")</f>
        <v>184507</v>
      </c>
      <c r="C3444" s="9"/>
      <c r="D3444" t="str">
        <f>"srd-50"</f>
        <v>srd-50</v>
      </c>
      <c r="E3444" t="s">
        <v>4396</v>
      </c>
      <c r="F3444" t="s">
        <v>11</v>
      </c>
      <c r="G3444" t="s">
        <v>25</v>
      </c>
      <c r="H3444" s="12">
        <v>2.3893468495514898</v>
      </c>
      <c r="I3444" s="11">
        <v>0.25323547253672701</v>
      </c>
      <c r="J3444" s="10">
        <v>0.80008625651646104</v>
      </c>
      <c r="K3444" s="29">
        <v>0.98289565623980701</v>
      </c>
    </row>
    <row r="3445" spans="1:11" x14ac:dyDescent="0.35">
      <c r="A3445" s="9" t="str">
        <f>HYPERLINK("http://www.ensembl.org/id/WBGene00005135", "WBGene00005135")</f>
        <v>WBGene00005135</v>
      </c>
      <c r="B3445" s="9" t="str">
        <f>HYPERLINK("http://www.ncbi.nlm.nih.gov/gene/191819", "191819")</f>
        <v>191819</v>
      </c>
      <c r="C3445" s="9"/>
      <c r="D3445" t="str">
        <f>"srd-58"</f>
        <v>srd-58</v>
      </c>
      <c r="E3445" t="s">
        <v>1513</v>
      </c>
      <c r="F3445" t="s">
        <v>11</v>
      </c>
      <c r="G3445" t="s">
        <v>25</v>
      </c>
      <c r="H3445" s="12">
        <v>2.3893468495514898</v>
      </c>
      <c r="I3445" s="11">
        <v>0.25323547253672701</v>
      </c>
      <c r="J3445" s="10">
        <v>0.80008625651646104</v>
      </c>
      <c r="K3445" s="29">
        <v>0.98289565623980701</v>
      </c>
    </row>
    <row r="3446" spans="1:11" x14ac:dyDescent="0.35">
      <c r="A3446" s="9" t="str">
        <f>HYPERLINK("http://www.ensembl.org/id/WBGene00005207", "WBGene00005207")</f>
        <v>WBGene00005207</v>
      </c>
      <c r="B3446" s="9" t="str">
        <f>HYPERLINK("http://www.ncbi.nlm.nih.gov/gene/189847", "189847")</f>
        <v>189847</v>
      </c>
      <c r="C3446" s="9"/>
      <c r="D3446" t="str">
        <f>"srg-50"</f>
        <v>srg-50</v>
      </c>
      <c r="E3446" t="s">
        <v>1828</v>
      </c>
      <c r="F3446" t="s">
        <v>11</v>
      </c>
      <c r="G3446" t="s">
        <v>1829</v>
      </c>
      <c r="H3446" s="12">
        <v>2.3893468495514898</v>
      </c>
      <c r="I3446" s="11">
        <v>0.25323547253672701</v>
      </c>
      <c r="J3446" s="10">
        <v>0.80008625651646104</v>
      </c>
      <c r="K3446" s="29">
        <v>0.98289565623980701</v>
      </c>
    </row>
    <row r="3447" spans="1:11" x14ac:dyDescent="0.35">
      <c r="A3447" s="9" t="str">
        <f>HYPERLINK("http://www.ensembl.org/id/WBGene00005212", "WBGene00005212")</f>
        <v>WBGene00005212</v>
      </c>
      <c r="B3447" s="9" t="str">
        <f>HYPERLINK("http://www.ncbi.nlm.nih.gov/gene/189319", "189319")</f>
        <v>189319</v>
      </c>
      <c r="C3447" s="9"/>
      <c r="D3447" t="str">
        <f>"srg-55"</f>
        <v>srg-55</v>
      </c>
      <c r="E3447" t="s">
        <v>1828</v>
      </c>
      <c r="F3447" t="s">
        <v>11</v>
      </c>
      <c r="G3447" t="s">
        <v>1829</v>
      </c>
      <c r="H3447" s="12">
        <v>2.3893468495514898</v>
      </c>
      <c r="I3447" s="11">
        <v>0.25323547253672701</v>
      </c>
      <c r="J3447" s="10">
        <v>0.80008625651646104</v>
      </c>
      <c r="K3447" s="29">
        <v>0.98289565623980701</v>
      </c>
    </row>
    <row r="3448" spans="1:11" x14ac:dyDescent="0.35">
      <c r="A3448" s="9" t="str">
        <f>HYPERLINK("http://www.ensembl.org/id/WBGene00005166", "WBGene00005166")</f>
        <v>WBGene00005166</v>
      </c>
      <c r="B3448" s="9" t="str">
        <f>HYPERLINK("http://www.ncbi.nlm.nih.gov/gene/191834", "191834")</f>
        <v>191834</v>
      </c>
      <c r="C3448" s="9"/>
      <c r="D3448" t="str">
        <f>"srg-8"</f>
        <v>srg-8</v>
      </c>
      <c r="E3448" t="s">
        <v>4401</v>
      </c>
      <c r="F3448" t="s">
        <v>11</v>
      </c>
      <c r="G3448" t="s">
        <v>1829</v>
      </c>
      <c r="H3448" s="12">
        <v>2.3893468495514898</v>
      </c>
      <c r="I3448" s="11">
        <v>0.25323547253672701</v>
      </c>
      <c r="J3448" s="10">
        <v>0.80008625651646104</v>
      </c>
      <c r="K3448" s="29">
        <v>0.98289565623980701</v>
      </c>
    </row>
    <row r="3449" spans="1:11" x14ac:dyDescent="0.35">
      <c r="A3449" s="9" t="str">
        <f>HYPERLINK("http://www.ensembl.org/id/WBGene00005327", "WBGene00005327")</f>
        <v>WBGene00005327</v>
      </c>
      <c r="B3449" s="9"/>
      <c r="C3449" s="9"/>
      <c r="D3449" t="str">
        <f>"srh-108"</f>
        <v>srh-108</v>
      </c>
      <c r="F3449" t="s">
        <v>80</v>
      </c>
      <c r="H3449" s="12">
        <v>2.3893468495514898</v>
      </c>
      <c r="I3449" s="11">
        <v>0.25323547253672701</v>
      </c>
      <c r="J3449" s="10">
        <v>0.80008625651646104</v>
      </c>
      <c r="K3449" s="29">
        <v>0.98289565623980701</v>
      </c>
    </row>
    <row r="3450" spans="1:11" x14ac:dyDescent="0.35">
      <c r="A3450" s="9" t="str">
        <f>HYPERLINK("http://www.ensembl.org/id/WBGene00005332", "WBGene00005332")</f>
        <v>WBGene00005332</v>
      </c>
      <c r="B3450" s="9" t="str">
        <f>HYPERLINK("http://www.ncbi.nlm.nih.gov/gene/190527", "190527")</f>
        <v>190527</v>
      </c>
      <c r="C3450" s="9"/>
      <c r="D3450" t="str">
        <f>"srh-113"</f>
        <v>srh-113</v>
      </c>
      <c r="E3450" t="s">
        <v>153</v>
      </c>
      <c r="F3450" t="s">
        <v>11</v>
      </c>
      <c r="G3450" t="s">
        <v>25</v>
      </c>
      <c r="H3450" s="12">
        <v>2.3893468495514898</v>
      </c>
      <c r="I3450" s="11">
        <v>0.25323547253672701</v>
      </c>
      <c r="J3450" s="10">
        <v>0.80008625651646104</v>
      </c>
      <c r="K3450" s="29">
        <v>0.98289565623980701</v>
      </c>
    </row>
    <row r="3451" spans="1:11" x14ac:dyDescent="0.35">
      <c r="A3451" s="9" t="str">
        <f>HYPERLINK("http://www.ensembl.org/id/WBGene00005334", "WBGene00005334")</f>
        <v>WBGene00005334</v>
      </c>
      <c r="B3451" s="9" t="str">
        <f>HYPERLINK("http://www.ncbi.nlm.nih.gov/gene/190449", "190449")</f>
        <v>190449</v>
      </c>
      <c r="C3451" s="9"/>
      <c r="D3451" t="str">
        <f>"srh-115"</f>
        <v>srh-115</v>
      </c>
      <c r="E3451" t="s">
        <v>153</v>
      </c>
      <c r="F3451" t="s">
        <v>11</v>
      </c>
      <c r="G3451" t="s">
        <v>25</v>
      </c>
      <c r="H3451" s="12">
        <v>2.3893468495514898</v>
      </c>
      <c r="I3451" s="11">
        <v>0.25323547253672701</v>
      </c>
      <c r="J3451" s="10">
        <v>0.80008625651646104</v>
      </c>
      <c r="K3451" s="29">
        <v>0.98289565623980701</v>
      </c>
    </row>
    <row r="3452" spans="1:11" x14ac:dyDescent="0.35">
      <c r="A3452" s="9" t="str">
        <f>HYPERLINK("http://www.ensembl.org/id/WBGene00005337", "WBGene00005337")</f>
        <v>WBGene00005337</v>
      </c>
      <c r="B3452" s="9" t="str">
        <f>HYPERLINK("http://www.ncbi.nlm.nih.gov/gene/186945", "186945")</f>
        <v>186945</v>
      </c>
      <c r="C3452" s="9"/>
      <c r="D3452" t="str">
        <f>"srh-118"</f>
        <v>srh-118</v>
      </c>
      <c r="E3452" t="s">
        <v>153</v>
      </c>
      <c r="F3452" t="s">
        <v>11</v>
      </c>
      <c r="G3452" t="s">
        <v>25</v>
      </c>
      <c r="H3452" s="12">
        <v>2.3893468495514898</v>
      </c>
      <c r="I3452" s="11">
        <v>0.25323547253672701</v>
      </c>
      <c r="J3452" s="10">
        <v>0.80008625651646104</v>
      </c>
      <c r="K3452" s="29">
        <v>0.98289565623980701</v>
      </c>
    </row>
    <row r="3453" spans="1:11" x14ac:dyDescent="0.35">
      <c r="A3453" s="9" t="str">
        <f>HYPERLINK("http://www.ensembl.org/id/WBGene00005369", "WBGene00005369")</f>
        <v>WBGene00005369</v>
      </c>
      <c r="B3453" s="9"/>
      <c r="C3453" s="9"/>
      <c r="D3453" t="str">
        <f>"srh-153"</f>
        <v>srh-153</v>
      </c>
      <c r="F3453" t="s">
        <v>80</v>
      </c>
      <c r="H3453" s="12">
        <v>2.3893468495514898</v>
      </c>
      <c r="I3453" s="11">
        <v>0.25323547253672701</v>
      </c>
      <c r="J3453" s="10">
        <v>0.80008625651646104</v>
      </c>
      <c r="K3453" s="29">
        <v>0.98289565623980701</v>
      </c>
    </row>
    <row r="3454" spans="1:11" x14ac:dyDescent="0.35">
      <c r="A3454" s="9" t="str">
        <f>HYPERLINK("http://www.ensembl.org/id/WBGene00005372", "WBGene00005372")</f>
        <v>WBGene00005372</v>
      </c>
      <c r="B3454" s="9"/>
      <c r="C3454" s="9"/>
      <c r="D3454" t="str">
        <f>"srh-156"</f>
        <v>srh-156</v>
      </c>
      <c r="F3454" t="s">
        <v>80</v>
      </c>
      <c r="H3454" s="12">
        <v>2.3893468495514898</v>
      </c>
      <c r="I3454" s="11">
        <v>0.25323547253672701</v>
      </c>
      <c r="J3454" s="10">
        <v>0.80008625651646104</v>
      </c>
      <c r="K3454" s="29">
        <v>0.98289565623980701</v>
      </c>
    </row>
    <row r="3455" spans="1:11" x14ac:dyDescent="0.35">
      <c r="A3455" s="9" t="str">
        <f>HYPERLINK("http://www.ensembl.org/id/WBGene00005376", "WBGene00005376")</f>
        <v>WBGene00005376</v>
      </c>
      <c r="B3455" s="9"/>
      <c r="C3455" s="9"/>
      <c r="D3455" t="str">
        <f>"srh-160"</f>
        <v>srh-160</v>
      </c>
      <c r="F3455" t="s">
        <v>80</v>
      </c>
      <c r="H3455" s="12">
        <v>2.3893468495514898</v>
      </c>
      <c r="I3455" s="11">
        <v>0.25323547253672701</v>
      </c>
      <c r="J3455" s="10">
        <v>0.80008625651646104</v>
      </c>
      <c r="K3455" s="29">
        <v>0.98289565623980701</v>
      </c>
    </row>
    <row r="3456" spans="1:11" x14ac:dyDescent="0.35">
      <c r="A3456" s="9" t="str">
        <f>HYPERLINK("http://www.ensembl.org/id/WBGene00005391", "WBGene00005391")</f>
        <v>WBGene00005391</v>
      </c>
      <c r="B3456" s="9"/>
      <c r="C3456" s="9"/>
      <c r="D3456" t="str">
        <f>"srh-175"</f>
        <v>srh-175</v>
      </c>
      <c r="F3456" t="s">
        <v>80</v>
      </c>
      <c r="H3456" s="12">
        <v>2.3893468495514898</v>
      </c>
      <c r="I3456" s="11">
        <v>0.25323547253672701</v>
      </c>
      <c r="J3456" s="10">
        <v>0.80008625651646104</v>
      </c>
      <c r="K3456" s="29">
        <v>0.98289565623980701</v>
      </c>
    </row>
    <row r="3457" spans="1:11" x14ac:dyDescent="0.35">
      <c r="A3457" s="9" t="str">
        <f>HYPERLINK("http://www.ensembl.org/id/WBGene00005406", "WBGene00005406")</f>
        <v>WBGene00005406</v>
      </c>
      <c r="B3457" s="9" t="str">
        <f>HYPERLINK("http://www.ncbi.nlm.nih.gov/gene/185930", "185930")</f>
        <v>185930</v>
      </c>
      <c r="C3457" s="9"/>
      <c r="D3457" t="str">
        <f>"srh-193"</f>
        <v>srh-193</v>
      </c>
      <c r="E3457" t="s">
        <v>153</v>
      </c>
      <c r="F3457" t="s">
        <v>11</v>
      </c>
      <c r="G3457" t="s">
        <v>25</v>
      </c>
      <c r="H3457" s="12">
        <v>2.3893468495514898</v>
      </c>
      <c r="I3457" s="11">
        <v>0.25323547253672701</v>
      </c>
      <c r="J3457" s="10">
        <v>0.80008625651646104</v>
      </c>
      <c r="K3457" s="29">
        <v>0.98289565623980701</v>
      </c>
    </row>
    <row r="3458" spans="1:11" x14ac:dyDescent="0.35">
      <c r="A3458" s="9" t="str">
        <f>HYPERLINK("http://www.ensembl.org/id/WBGene00005433", "WBGene00005433")</f>
        <v>WBGene00005433</v>
      </c>
      <c r="B3458" s="9" t="str">
        <f>HYPERLINK("http://www.ncbi.nlm.nih.gov/gene/185916", "185916")</f>
        <v>185916</v>
      </c>
      <c r="C3458" s="9"/>
      <c r="D3458" t="str">
        <f>"srh-223"</f>
        <v>srh-223</v>
      </c>
      <c r="E3458" t="s">
        <v>153</v>
      </c>
      <c r="F3458" t="s">
        <v>11</v>
      </c>
      <c r="G3458" t="s">
        <v>25</v>
      </c>
      <c r="H3458" s="12">
        <v>2.3893468495514898</v>
      </c>
      <c r="I3458" s="11">
        <v>0.25323547253672701</v>
      </c>
      <c r="J3458" s="10">
        <v>0.80008625651646104</v>
      </c>
      <c r="K3458" s="29">
        <v>0.98289565623980701</v>
      </c>
    </row>
    <row r="3459" spans="1:11" x14ac:dyDescent="0.35">
      <c r="A3459" s="9" t="str">
        <f>HYPERLINK("http://www.ensembl.org/id/WBGene00005450", "WBGene00005450")</f>
        <v>WBGene00005450</v>
      </c>
      <c r="B3459" s="9" t="str">
        <f>HYPERLINK("http://www.ncbi.nlm.nih.gov/gene/182171", "182171")</f>
        <v>182171</v>
      </c>
      <c r="C3459" s="9"/>
      <c r="D3459" t="str">
        <f>"srh-244"</f>
        <v>srh-244</v>
      </c>
      <c r="E3459" t="s">
        <v>153</v>
      </c>
      <c r="F3459" t="s">
        <v>11</v>
      </c>
      <c r="G3459" t="s">
        <v>25</v>
      </c>
      <c r="H3459" s="12">
        <v>2.3893468495514898</v>
      </c>
      <c r="I3459" s="11">
        <v>0.25323547253672701</v>
      </c>
      <c r="J3459" s="10">
        <v>0.80008625651646104</v>
      </c>
      <c r="K3459" s="29">
        <v>0.98289565623980701</v>
      </c>
    </row>
    <row r="3460" spans="1:11" x14ac:dyDescent="0.35">
      <c r="A3460" s="9" t="str">
        <f>HYPERLINK("http://www.ensembl.org/id/WBGene00005456", "WBGene00005456")</f>
        <v>WBGene00005456</v>
      </c>
      <c r="B3460" s="9" t="str">
        <f>HYPERLINK("http://www.ncbi.nlm.nih.gov/gene/183606", "183606")</f>
        <v>183606</v>
      </c>
      <c r="C3460" s="9"/>
      <c r="D3460" t="str">
        <f>"srh-250"</f>
        <v>srh-250</v>
      </c>
      <c r="E3460" t="s">
        <v>153</v>
      </c>
      <c r="F3460" t="s">
        <v>11</v>
      </c>
      <c r="G3460" t="s">
        <v>25</v>
      </c>
      <c r="H3460" s="12">
        <v>2.3893468495514898</v>
      </c>
      <c r="I3460" s="11">
        <v>0.25323547253672701</v>
      </c>
      <c r="J3460" s="10">
        <v>0.80008625651646104</v>
      </c>
      <c r="K3460" s="29">
        <v>0.98289565623980701</v>
      </c>
    </row>
    <row r="3461" spans="1:11" x14ac:dyDescent="0.35">
      <c r="A3461" s="9" t="str">
        <f>HYPERLINK("http://www.ensembl.org/id/WBGene00005457", "WBGene00005457")</f>
        <v>WBGene00005457</v>
      </c>
      <c r="B3461" s="9" t="str">
        <f>HYPERLINK("http://www.ncbi.nlm.nih.gov/gene/187711", "187711")</f>
        <v>187711</v>
      </c>
      <c r="C3461" s="9"/>
      <c r="D3461" t="str">
        <f>"srh-251"</f>
        <v>srh-251</v>
      </c>
      <c r="E3461" t="s">
        <v>153</v>
      </c>
      <c r="F3461" t="s">
        <v>11</v>
      </c>
      <c r="G3461" t="s">
        <v>25</v>
      </c>
      <c r="H3461" s="12">
        <v>2.3893468495514898</v>
      </c>
      <c r="I3461" s="11">
        <v>0.25323547253672701</v>
      </c>
      <c r="J3461" s="10">
        <v>0.80008625651646104</v>
      </c>
      <c r="K3461" s="29">
        <v>0.98289565623980701</v>
      </c>
    </row>
    <row r="3462" spans="1:11" x14ac:dyDescent="0.35">
      <c r="A3462" s="9" t="str">
        <f>HYPERLINK("http://www.ensembl.org/id/WBGene00005492", "WBGene00005492")</f>
        <v>WBGene00005492</v>
      </c>
      <c r="B3462" s="9" t="str">
        <f>HYPERLINK("http://www.ncbi.nlm.nih.gov/gene/260082", "260082")</f>
        <v>260082</v>
      </c>
      <c r="C3462" s="9"/>
      <c r="D3462" t="str">
        <f>"srh-288"</f>
        <v>srh-288</v>
      </c>
      <c r="E3462" t="s">
        <v>153</v>
      </c>
      <c r="F3462" t="s">
        <v>11</v>
      </c>
      <c r="G3462" t="s">
        <v>25</v>
      </c>
      <c r="H3462" s="12">
        <v>2.3893468495514898</v>
      </c>
      <c r="I3462" s="11">
        <v>0.25323547253672701</v>
      </c>
      <c r="J3462" s="10">
        <v>0.80008625651646104</v>
      </c>
      <c r="K3462" s="29">
        <v>0.98289565623980701</v>
      </c>
    </row>
    <row r="3463" spans="1:11" x14ac:dyDescent="0.35">
      <c r="A3463" s="9" t="str">
        <f>HYPERLINK("http://www.ensembl.org/id/WBGene00005259", "WBGene00005259")</f>
        <v>WBGene00005259</v>
      </c>
      <c r="B3463" s="9" t="str">
        <f>HYPERLINK("http://www.ncbi.nlm.nih.gov/gene/191855", "191855")</f>
        <v>191855</v>
      </c>
      <c r="C3463" s="9"/>
      <c r="D3463" t="str">
        <f>"srh-36"</f>
        <v>srh-36</v>
      </c>
      <c r="E3463" t="s">
        <v>153</v>
      </c>
      <c r="F3463" t="s">
        <v>11</v>
      </c>
      <c r="G3463" t="s">
        <v>25</v>
      </c>
      <c r="H3463" s="12">
        <v>2.3893468495514898</v>
      </c>
      <c r="I3463" s="11">
        <v>0.25323547253672701</v>
      </c>
      <c r="J3463" s="10">
        <v>0.80008625651646104</v>
      </c>
      <c r="K3463" s="29">
        <v>0.98289565623980701</v>
      </c>
    </row>
    <row r="3464" spans="1:11" x14ac:dyDescent="0.35">
      <c r="A3464" s="9" t="str">
        <f>HYPERLINK("http://www.ensembl.org/id/WBGene00005260", "WBGene00005260")</f>
        <v>WBGene00005260</v>
      </c>
      <c r="B3464" s="9" t="str">
        <f>HYPERLINK("http://www.ncbi.nlm.nih.gov/gene/191856", "191856")</f>
        <v>191856</v>
      </c>
      <c r="C3464" s="9"/>
      <c r="D3464" t="str">
        <f>"srh-37"</f>
        <v>srh-37</v>
      </c>
      <c r="E3464" t="s">
        <v>153</v>
      </c>
      <c r="F3464" t="s">
        <v>11</v>
      </c>
      <c r="G3464" t="s">
        <v>25</v>
      </c>
      <c r="H3464" s="12">
        <v>2.3893468495514898</v>
      </c>
      <c r="I3464" s="11">
        <v>0.25323547253672701</v>
      </c>
      <c r="J3464" s="10">
        <v>0.80008625651646104</v>
      </c>
      <c r="K3464" s="29">
        <v>0.98289565623980701</v>
      </c>
    </row>
    <row r="3465" spans="1:11" x14ac:dyDescent="0.35">
      <c r="A3465" s="9" t="str">
        <f>HYPERLINK("http://www.ensembl.org/id/WBGene00005274", "WBGene00005274")</f>
        <v>WBGene00005274</v>
      </c>
      <c r="B3465" s="9" t="str">
        <f>HYPERLINK("http://www.ncbi.nlm.nih.gov/gene/191862", "191862")</f>
        <v>191862</v>
      </c>
      <c r="C3465" s="9"/>
      <c r="D3465" t="str">
        <f>"srh-51"</f>
        <v>srh-51</v>
      </c>
      <c r="E3465" t="s">
        <v>153</v>
      </c>
      <c r="F3465" t="s">
        <v>11</v>
      </c>
      <c r="G3465" t="s">
        <v>25</v>
      </c>
      <c r="H3465" s="12">
        <v>2.3893468495514898</v>
      </c>
      <c r="I3465" s="11">
        <v>0.25323547253672701</v>
      </c>
      <c r="J3465" s="10">
        <v>0.80008625651646104</v>
      </c>
      <c r="K3465" s="29">
        <v>0.98289565623980701</v>
      </c>
    </row>
    <row r="3466" spans="1:11" x14ac:dyDescent="0.35">
      <c r="A3466" s="9" t="str">
        <f>HYPERLINK("http://www.ensembl.org/id/WBGene00005278", "WBGene00005278")</f>
        <v>WBGene00005278</v>
      </c>
      <c r="B3466" s="9" t="str">
        <f>HYPERLINK("http://www.ncbi.nlm.nih.gov/gene/188344", "188344")</f>
        <v>188344</v>
      </c>
      <c r="C3466" s="9"/>
      <c r="D3466" t="str">
        <f>"srh-55"</f>
        <v>srh-55</v>
      </c>
      <c r="E3466" t="s">
        <v>153</v>
      </c>
      <c r="F3466" t="s">
        <v>11</v>
      </c>
      <c r="G3466" t="s">
        <v>25</v>
      </c>
      <c r="H3466" s="12">
        <v>2.3893468495514898</v>
      </c>
      <c r="I3466" s="11">
        <v>0.25323547253672701</v>
      </c>
      <c r="J3466" s="10">
        <v>0.80008625651646104</v>
      </c>
      <c r="K3466" s="29">
        <v>0.98289565623980701</v>
      </c>
    </row>
    <row r="3467" spans="1:11" x14ac:dyDescent="0.35">
      <c r="A3467" s="9" t="str">
        <f>HYPERLINK("http://www.ensembl.org/id/WBGene00005309", "WBGene00005309")</f>
        <v>WBGene00005309</v>
      </c>
      <c r="B3467" s="9" t="str">
        <f>HYPERLINK("http://www.ncbi.nlm.nih.gov/gene/191877", "191877")</f>
        <v>191877</v>
      </c>
      <c r="C3467" s="9"/>
      <c r="D3467" t="str">
        <f>"srh-88"</f>
        <v>srh-88</v>
      </c>
      <c r="E3467" t="s">
        <v>153</v>
      </c>
      <c r="F3467" t="s">
        <v>11</v>
      </c>
      <c r="G3467" t="s">
        <v>25</v>
      </c>
      <c r="H3467" s="12">
        <v>2.3893468495514898</v>
      </c>
      <c r="I3467" s="11">
        <v>0.25323547253672701</v>
      </c>
      <c r="J3467" s="10">
        <v>0.80008625651646104</v>
      </c>
      <c r="K3467" s="29">
        <v>0.98289565623980701</v>
      </c>
    </row>
    <row r="3468" spans="1:11" x14ac:dyDescent="0.35">
      <c r="A3468" s="9" t="str">
        <f>HYPERLINK("http://www.ensembl.org/id/WBGene00005536", "WBGene00005536")</f>
        <v>WBGene00005536</v>
      </c>
      <c r="B3468" s="9" t="str">
        <f>HYPERLINK("http://www.ncbi.nlm.nih.gov/gene/183387", "183387")</f>
        <v>183387</v>
      </c>
      <c r="C3468" s="9"/>
      <c r="D3468" t="str">
        <f>"sri-24"</f>
        <v>sri-24</v>
      </c>
      <c r="E3468" t="s">
        <v>1503</v>
      </c>
      <c r="F3468" t="s">
        <v>11</v>
      </c>
      <c r="G3468" t="s">
        <v>25</v>
      </c>
      <c r="H3468" s="12">
        <v>2.3893468495514898</v>
      </c>
      <c r="I3468" s="11">
        <v>0.25323547253672701</v>
      </c>
      <c r="J3468" s="10">
        <v>0.80008625651646104</v>
      </c>
      <c r="K3468" s="29">
        <v>0.98289565623980701</v>
      </c>
    </row>
    <row r="3469" spans="1:11" x14ac:dyDescent="0.35">
      <c r="A3469" s="9" t="str">
        <f>HYPERLINK("http://www.ensembl.org/id/WBGene00005540", "WBGene00005540")</f>
        <v>WBGene00005540</v>
      </c>
      <c r="B3469" s="9" t="str">
        <f>HYPERLINK("http://www.ncbi.nlm.nih.gov/gene/191903", "191903")</f>
        <v>191903</v>
      </c>
      <c r="C3469" s="9"/>
      <c r="D3469" t="str">
        <f>"sri-28"</f>
        <v>sri-28</v>
      </c>
      <c r="E3469" t="s">
        <v>1503</v>
      </c>
      <c r="F3469" t="s">
        <v>11</v>
      </c>
      <c r="G3469" t="s">
        <v>25</v>
      </c>
      <c r="H3469" s="12">
        <v>2.3893468495514898</v>
      </c>
      <c r="I3469" s="11">
        <v>0.25323547253672701</v>
      </c>
      <c r="J3469" s="10">
        <v>0.80008625651646104</v>
      </c>
      <c r="K3469" s="29">
        <v>0.98289565623980701</v>
      </c>
    </row>
    <row r="3470" spans="1:11" x14ac:dyDescent="0.35">
      <c r="A3470" s="9" t="str">
        <f>HYPERLINK("http://www.ensembl.org/id/WBGene00005555", "WBGene00005555")</f>
        <v>WBGene00005555</v>
      </c>
      <c r="B3470" s="9" t="str">
        <f>HYPERLINK("http://www.ncbi.nlm.nih.gov/gene/191916", "191916")</f>
        <v>191916</v>
      </c>
      <c r="C3470" s="9"/>
      <c r="D3470" t="str">
        <f>"sri-43"</f>
        <v>sri-43</v>
      </c>
      <c r="E3470" t="s">
        <v>1503</v>
      </c>
      <c r="F3470" t="s">
        <v>11</v>
      </c>
      <c r="G3470" t="s">
        <v>25</v>
      </c>
      <c r="H3470" s="12">
        <v>2.3893468495514898</v>
      </c>
      <c r="I3470" s="11">
        <v>0.25323547253672701</v>
      </c>
      <c r="J3470" s="10">
        <v>0.80008625651646104</v>
      </c>
      <c r="K3470" s="29">
        <v>0.98289565623980701</v>
      </c>
    </row>
    <row r="3471" spans="1:11" x14ac:dyDescent="0.35">
      <c r="A3471" s="9" t="str">
        <f>HYPERLINK("http://www.ensembl.org/id/WBGene00005570", "WBGene00005570")</f>
        <v>WBGene00005570</v>
      </c>
      <c r="B3471" s="9"/>
      <c r="C3471" s="9"/>
      <c r="D3471" t="str">
        <f>"sri-58"</f>
        <v>sri-58</v>
      </c>
      <c r="F3471" t="s">
        <v>80</v>
      </c>
      <c r="H3471" s="12">
        <v>2.3893468495514898</v>
      </c>
      <c r="I3471" s="11">
        <v>0.25323547253672701</v>
      </c>
      <c r="J3471" s="10">
        <v>0.80008625651646104</v>
      </c>
      <c r="K3471" s="29">
        <v>0.98289565623980701</v>
      </c>
    </row>
    <row r="3472" spans="1:11" x14ac:dyDescent="0.35">
      <c r="A3472" s="9" t="str">
        <f>HYPERLINK("http://www.ensembl.org/id/WBGene00005605", "WBGene00005605")</f>
        <v>WBGene00005605</v>
      </c>
      <c r="B3472" s="9"/>
      <c r="C3472" s="9"/>
      <c r="D3472" t="str">
        <f>"srj-17"</f>
        <v>srj-17</v>
      </c>
      <c r="F3472" t="s">
        <v>80</v>
      </c>
      <c r="H3472" s="12">
        <v>2.3893468495514898</v>
      </c>
      <c r="I3472" s="11">
        <v>0.25323547253672701</v>
      </c>
      <c r="J3472" s="10">
        <v>0.80008625651646104</v>
      </c>
      <c r="K3472" s="29">
        <v>0.98289565623980701</v>
      </c>
    </row>
    <row r="3473" spans="1:11" x14ac:dyDescent="0.35">
      <c r="A3473" s="9" t="str">
        <f>HYPERLINK("http://www.ensembl.org/id/WBGene00005615", "WBGene00005615")</f>
        <v>WBGene00005615</v>
      </c>
      <c r="B3473" s="9" t="str">
        <f>HYPERLINK("http://www.ncbi.nlm.nih.gov/gene/187956", "187956")</f>
        <v>187956</v>
      </c>
      <c r="C3473" s="9"/>
      <c r="D3473" t="str">
        <f>"srj-27"</f>
        <v>srj-27</v>
      </c>
      <c r="E3473" t="s">
        <v>3123</v>
      </c>
      <c r="F3473" t="s">
        <v>11</v>
      </c>
      <c r="G3473" t="s">
        <v>25</v>
      </c>
      <c r="H3473" s="12">
        <v>2.3893468495514898</v>
      </c>
      <c r="I3473" s="11">
        <v>0.25323547253672701</v>
      </c>
      <c r="J3473" s="10">
        <v>0.80008625651646104</v>
      </c>
      <c r="K3473" s="29">
        <v>0.98289565623980701</v>
      </c>
    </row>
    <row r="3474" spans="1:11" x14ac:dyDescent="0.35">
      <c r="A3474" s="9" t="str">
        <f>HYPERLINK("http://www.ensembl.org/id/WBGene00020055", "WBGene00020055")</f>
        <v>WBGene00020055</v>
      </c>
      <c r="B3474" s="9" t="str">
        <f>HYPERLINK("http://www.ncbi.nlm.nih.gov/gene/187860", "187860")</f>
        <v>187860</v>
      </c>
      <c r="C3474" s="9"/>
      <c r="D3474" t="str">
        <f>"srt-6"</f>
        <v>srt-6</v>
      </c>
      <c r="E3474" t="s">
        <v>2845</v>
      </c>
      <c r="F3474" t="s">
        <v>11</v>
      </c>
      <c r="G3474" t="s">
        <v>25</v>
      </c>
      <c r="H3474" s="12">
        <v>2.3893468495514898</v>
      </c>
      <c r="I3474" s="11">
        <v>0.25323547253672701</v>
      </c>
      <c r="J3474" s="10">
        <v>0.80008625651646104</v>
      </c>
      <c r="K3474" s="29">
        <v>0.98289565623980701</v>
      </c>
    </row>
    <row r="3475" spans="1:11" x14ac:dyDescent="0.35">
      <c r="A3475" s="9" t="str">
        <f>HYPERLINK("http://www.ensembl.org/id/WBGene00016853", "WBGene00016853")</f>
        <v>WBGene00016853</v>
      </c>
      <c r="B3475" s="9"/>
      <c r="C3475" s="9"/>
      <c r="D3475" t="str">
        <f>"srt-9"</f>
        <v>srt-9</v>
      </c>
      <c r="F3475" t="s">
        <v>80</v>
      </c>
      <c r="H3475" s="12">
        <v>2.3893468495514898</v>
      </c>
      <c r="I3475" s="11">
        <v>0.25323547253672701</v>
      </c>
      <c r="J3475" s="10">
        <v>0.80008625651646104</v>
      </c>
      <c r="K3475" s="29">
        <v>0.98289565623980701</v>
      </c>
    </row>
    <row r="3476" spans="1:11" x14ac:dyDescent="0.35">
      <c r="A3476" s="9" t="str">
        <f>HYPERLINK("http://www.ensembl.org/id/WBGene00005677", "WBGene00005677")</f>
        <v>WBGene00005677</v>
      </c>
      <c r="B3476" s="9"/>
      <c r="C3476" s="9"/>
      <c r="D3476" t="str">
        <f>"sru-14"</f>
        <v>sru-14</v>
      </c>
      <c r="F3476" t="s">
        <v>80</v>
      </c>
      <c r="H3476" s="12">
        <v>2.3893468495514898</v>
      </c>
      <c r="I3476" s="11">
        <v>0.25323547253672701</v>
      </c>
      <c r="J3476" s="10">
        <v>0.80008625651646104</v>
      </c>
      <c r="K3476" s="29">
        <v>0.98289565623980701</v>
      </c>
    </row>
    <row r="3477" spans="1:11" x14ac:dyDescent="0.35">
      <c r="A3477" s="9" t="str">
        <f>HYPERLINK("http://www.ensembl.org/id/WBGene00005694", "WBGene00005694")</f>
        <v>WBGene00005694</v>
      </c>
      <c r="B3477" s="9" t="str">
        <f>HYPERLINK("http://www.ncbi.nlm.nih.gov/gene/183647", "183647")</f>
        <v>183647</v>
      </c>
      <c r="C3477" s="9"/>
      <c r="D3477" t="str">
        <f>"sru-31"</f>
        <v>sru-31</v>
      </c>
      <c r="E3477" t="s">
        <v>2653</v>
      </c>
      <c r="F3477" t="s">
        <v>11</v>
      </c>
      <c r="G3477" t="s">
        <v>25</v>
      </c>
      <c r="H3477" s="12">
        <v>2.3893468495514898</v>
      </c>
      <c r="I3477" s="11">
        <v>0.25323547253672701</v>
      </c>
      <c r="J3477" s="10">
        <v>0.80008625651646104</v>
      </c>
      <c r="K3477" s="29">
        <v>0.98289565623980701</v>
      </c>
    </row>
    <row r="3478" spans="1:11" x14ac:dyDescent="0.35">
      <c r="A3478" s="9" t="str">
        <f>HYPERLINK("http://www.ensembl.org/id/WBGene00005704", "WBGene00005704")</f>
        <v>WBGene00005704</v>
      </c>
      <c r="B3478" s="9"/>
      <c r="C3478" s="9"/>
      <c r="D3478" t="str">
        <f>"sru-41"</f>
        <v>sru-41</v>
      </c>
      <c r="F3478" t="s">
        <v>80</v>
      </c>
      <c r="H3478" s="12">
        <v>2.3893468495514898</v>
      </c>
      <c r="I3478" s="11">
        <v>0.25323547253672701</v>
      </c>
      <c r="J3478" s="10">
        <v>0.80008625651646104</v>
      </c>
      <c r="K3478" s="29">
        <v>0.98289565623980701</v>
      </c>
    </row>
    <row r="3479" spans="1:11" x14ac:dyDescent="0.35">
      <c r="A3479" s="9" t="str">
        <f>HYPERLINK("http://www.ensembl.org/id/WBGene00005742", "WBGene00005742")</f>
        <v>WBGene00005742</v>
      </c>
      <c r="B3479" s="9" t="str">
        <f>HYPERLINK("http://www.ncbi.nlm.nih.gov/gene/188463", "188463")</f>
        <v>188463</v>
      </c>
      <c r="C3479" s="9"/>
      <c r="D3479" t="str">
        <f>"srv-31"</f>
        <v>srv-31</v>
      </c>
      <c r="E3479" t="s">
        <v>2916</v>
      </c>
      <c r="F3479" t="s">
        <v>11</v>
      </c>
      <c r="G3479" t="s">
        <v>25</v>
      </c>
      <c r="H3479" s="12">
        <v>2.3893468495514898</v>
      </c>
      <c r="I3479" s="11">
        <v>0.25323547253672701</v>
      </c>
      <c r="J3479" s="10">
        <v>0.80008625651646104</v>
      </c>
      <c r="K3479" s="29">
        <v>0.98289565623980701</v>
      </c>
    </row>
    <row r="3480" spans="1:11" x14ac:dyDescent="0.35">
      <c r="A3480" s="9" t="str">
        <f>HYPERLINK("http://www.ensembl.org/id/WBGene00005852", "WBGene00005852")</f>
        <v>WBGene00005852</v>
      </c>
      <c r="B3480" s="9"/>
      <c r="C3480" s="9"/>
      <c r="D3480" t="str">
        <f>"srw-105"</f>
        <v>srw-105</v>
      </c>
      <c r="F3480" t="s">
        <v>80</v>
      </c>
      <c r="H3480" s="12">
        <v>2.3893468495514898</v>
      </c>
      <c r="I3480" s="11">
        <v>0.25323547253672701</v>
      </c>
      <c r="J3480" s="10">
        <v>0.80008625651646104</v>
      </c>
      <c r="K3480" s="29">
        <v>0.98289565623980701</v>
      </c>
    </row>
    <row r="3481" spans="1:11" x14ac:dyDescent="0.35">
      <c r="A3481" s="9" t="str">
        <f>HYPERLINK("http://www.ensembl.org/id/WBGene00005880", "WBGene00005880")</f>
        <v>WBGene00005880</v>
      </c>
      <c r="B3481" s="9" t="str">
        <f>HYPERLINK("http://www.ncbi.nlm.nih.gov/gene/188102", "188102")</f>
        <v>188102</v>
      </c>
      <c r="C3481" s="9"/>
      <c r="D3481" t="str">
        <f>"srw-133"</f>
        <v>srw-133</v>
      </c>
      <c r="E3481" t="s">
        <v>1014</v>
      </c>
      <c r="F3481" t="s">
        <v>11</v>
      </c>
      <c r="G3481" t="s">
        <v>1015</v>
      </c>
      <c r="H3481" s="12">
        <v>2.3893468495514898</v>
      </c>
      <c r="I3481" s="11">
        <v>0.25323547253672701</v>
      </c>
      <c r="J3481" s="10">
        <v>0.80008625651646104</v>
      </c>
      <c r="K3481" s="29">
        <v>0.98289565623980701</v>
      </c>
    </row>
    <row r="3482" spans="1:11" x14ac:dyDescent="0.35">
      <c r="A3482" s="9" t="str">
        <f>HYPERLINK("http://www.ensembl.org/id/WBGene00005886", "WBGene00005886")</f>
        <v>WBGene00005886</v>
      </c>
      <c r="B3482" s="9" t="str">
        <f>HYPERLINK("http://www.ncbi.nlm.nih.gov/gene/183445", "183445")</f>
        <v>183445</v>
      </c>
      <c r="C3482" s="9"/>
      <c r="D3482" t="str">
        <f>"srw-139"</f>
        <v>srw-139</v>
      </c>
      <c r="E3482" t="s">
        <v>1014</v>
      </c>
      <c r="F3482" t="s">
        <v>11</v>
      </c>
      <c r="G3482" t="s">
        <v>1015</v>
      </c>
      <c r="H3482" s="12">
        <v>2.3893468495514898</v>
      </c>
      <c r="I3482" s="11">
        <v>0.25323547253672701</v>
      </c>
      <c r="J3482" s="10">
        <v>0.80008625651646104</v>
      </c>
      <c r="K3482" s="29">
        <v>0.98289565623980701</v>
      </c>
    </row>
    <row r="3483" spans="1:11" x14ac:dyDescent="0.35">
      <c r="A3483" s="9" t="str">
        <f>HYPERLINK("http://www.ensembl.org/id/WBGene00005889", "WBGene00005889")</f>
        <v>WBGene00005889</v>
      </c>
      <c r="B3483" s="9" t="str">
        <f>HYPERLINK("http://www.ncbi.nlm.nih.gov/gene/186692", "186692")</f>
        <v>186692</v>
      </c>
      <c r="C3483" s="9"/>
      <c r="D3483" t="str">
        <f>"srw-142"</f>
        <v>srw-142</v>
      </c>
      <c r="E3483" t="s">
        <v>1014</v>
      </c>
      <c r="F3483" t="s">
        <v>11</v>
      </c>
      <c r="G3483" t="s">
        <v>1015</v>
      </c>
      <c r="H3483" s="12">
        <v>2.3893468495514898</v>
      </c>
      <c r="I3483" s="11">
        <v>0.25323547253672701</v>
      </c>
      <c r="J3483" s="10">
        <v>0.80008625651646104</v>
      </c>
      <c r="K3483" s="29">
        <v>0.98289565623980701</v>
      </c>
    </row>
    <row r="3484" spans="1:11" x14ac:dyDescent="0.35">
      <c r="A3484" s="9" t="str">
        <f>HYPERLINK("http://www.ensembl.org/id/WBGene00005794", "WBGene00005794")</f>
        <v>WBGene00005794</v>
      </c>
      <c r="B3484" s="9"/>
      <c r="C3484" s="9"/>
      <c r="D3484" t="str">
        <f>"srw-47"</f>
        <v>srw-47</v>
      </c>
      <c r="F3484" t="s">
        <v>80</v>
      </c>
      <c r="H3484" s="12">
        <v>2.3893468495514898</v>
      </c>
      <c r="I3484" s="11">
        <v>0.25323547253672701</v>
      </c>
      <c r="J3484" s="10">
        <v>0.80008625651646104</v>
      </c>
      <c r="K3484" s="29">
        <v>0.98289565623980701</v>
      </c>
    </row>
    <row r="3485" spans="1:11" x14ac:dyDescent="0.35">
      <c r="A3485" s="9" t="str">
        <f>HYPERLINK("http://www.ensembl.org/id/WBGene00005806", "WBGene00005806")</f>
        <v>WBGene00005806</v>
      </c>
      <c r="B3485" s="9" t="str">
        <f>HYPERLINK("http://www.ncbi.nlm.nih.gov/gene/186771", "186771")</f>
        <v>186771</v>
      </c>
      <c r="C3485" s="9"/>
      <c r="D3485" t="str">
        <f>"srw-59"</f>
        <v>srw-59</v>
      </c>
      <c r="E3485" t="s">
        <v>1014</v>
      </c>
      <c r="F3485" t="s">
        <v>11</v>
      </c>
      <c r="G3485" t="s">
        <v>1780</v>
      </c>
      <c r="H3485" s="12">
        <v>2.3893468495514898</v>
      </c>
      <c r="I3485" s="11">
        <v>0.25323547253672701</v>
      </c>
      <c r="J3485" s="10">
        <v>0.80008625651646104</v>
      </c>
      <c r="K3485" s="29">
        <v>0.98289565623980701</v>
      </c>
    </row>
    <row r="3486" spans="1:11" x14ac:dyDescent="0.35">
      <c r="A3486" s="9" t="str">
        <f>HYPERLINK("http://www.ensembl.org/id/WBGene00005837", "WBGene00005837")</f>
        <v>WBGene00005837</v>
      </c>
      <c r="B3486" s="9" t="str">
        <f>HYPERLINK("http://www.ncbi.nlm.nih.gov/gene/189966", "189966")</f>
        <v>189966</v>
      </c>
      <c r="C3486" s="9"/>
      <c r="D3486" t="str">
        <f>"srw-90"</f>
        <v>srw-90</v>
      </c>
      <c r="E3486" t="s">
        <v>1014</v>
      </c>
      <c r="F3486" t="s">
        <v>11</v>
      </c>
      <c r="G3486" t="s">
        <v>1015</v>
      </c>
      <c r="H3486" s="12">
        <v>2.3893468495514898</v>
      </c>
      <c r="I3486" s="11">
        <v>0.25323547253672701</v>
      </c>
      <c r="J3486" s="10">
        <v>0.80008625651646104</v>
      </c>
      <c r="K3486" s="29">
        <v>0.98289565623980701</v>
      </c>
    </row>
    <row r="3487" spans="1:11" x14ac:dyDescent="0.35">
      <c r="A3487" s="9" t="str">
        <f>HYPERLINK("http://www.ensembl.org/id/WBGene00006012", "WBGene00006012")</f>
        <v>WBGene00006012</v>
      </c>
      <c r="B3487" s="9" t="str">
        <f>HYPERLINK("http://www.ncbi.nlm.nih.gov/gene/182213", "182213")</f>
        <v>182213</v>
      </c>
      <c r="C3487" s="9"/>
      <c r="D3487" t="str">
        <f>"srx-121"</f>
        <v>srx-121</v>
      </c>
      <c r="E3487" t="s">
        <v>1477</v>
      </c>
      <c r="F3487" t="s">
        <v>11</v>
      </c>
      <c r="G3487" t="s">
        <v>25</v>
      </c>
      <c r="H3487" s="12">
        <v>2.3893468495514898</v>
      </c>
      <c r="I3487" s="11">
        <v>0.25323547253672701</v>
      </c>
      <c r="J3487" s="10">
        <v>0.80008625651646104</v>
      </c>
      <c r="K3487" s="29">
        <v>0.98289565623980701</v>
      </c>
    </row>
    <row r="3488" spans="1:11" x14ac:dyDescent="0.35">
      <c r="A3488" s="9" t="str">
        <f>HYPERLINK("http://www.ensembl.org/id/WBGene00005920", "WBGene00005920")</f>
        <v>WBGene00005920</v>
      </c>
      <c r="B3488" s="9" t="str">
        <f>HYPERLINK("http://www.ncbi.nlm.nih.gov/gene/187057", "187057")</f>
        <v>187057</v>
      </c>
      <c r="C3488" s="9"/>
      <c r="D3488" t="str">
        <f>"srx-29"</f>
        <v>srx-29</v>
      </c>
      <c r="E3488" t="s">
        <v>1477</v>
      </c>
      <c r="F3488" t="s">
        <v>11</v>
      </c>
      <c r="G3488" t="s">
        <v>25</v>
      </c>
      <c r="H3488" s="12">
        <v>2.3893468495514898</v>
      </c>
      <c r="I3488" s="11">
        <v>0.25323547253672701</v>
      </c>
      <c r="J3488" s="10">
        <v>0.80008625651646104</v>
      </c>
      <c r="K3488" s="29">
        <v>0.98289565623980701</v>
      </c>
    </row>
    <row r="3489" spans="1:11" x14ac:dyDescent="0.35">
      <c r="A3489" s="9" t="str">
        <f>HYPERLINK("http://www.ensembl.org/id/WBGene00005930", "WBGene00005930")</f>
        <v>WBGene00005930</v>
      </c>
      <c r="B3489" s="9" t="str">
        <f>HYPERLINK("http://www.ncbi.nlm.nih.gov/gene/182138", "182138")</f>
        <v>182138</v>
      </c>
      <c r="C3489" s="9"/>
      <c r="D3489" t="str">
        <f>"srx-39"</f>
        <v>srx-39</v>
      </c>
      <c r="E3489" t="s">
        <v>1477</v>
      </c>
      <c r="F3489" t="s">
        <v>11</v>
      </c>
      <c r="G3489" t="s">
        <v>25</v>
      </c>
      <c r="H3489" s="12">
        <v>2.3893468495514898</v>
      </c>
      <c r="I3489" s="11">
        <v>0.25323547253672701</v>
      </c>
      <c r="J3489" s="10">
        <v>0.80008625651646104</v>
      </c>
      <c r="K3489" s="29">
        <v>0.98289565623980701</v>
      </c>
    </row>
    <row r="3490" spans="1:11" x14ac:dyDescent="0.35">
      <c r="A3490" s="9" t="str">
        <f>HYPERLINK("http://www.ensembl.org/id/WBGene00005935", "WBGene00005935")</f>
        <v>WBGene00005935</v>
      </c>
      <c r="B3490" s="9" t="str">
        <f>HYPERLINK("http://www.ncbi.nlm.nih.gov/gene/188375", "188375")</f>
        <v>188375</v>
      </c>
      <c r="C3490" s="9"/>
      <c r="D3490" t="str">
        <f>"srx-44"</f>
        <v>srx-44</v>
      </c>
      <c r="E3490" t="s">
        <v>1477</v>
      </c>
      <c r="F3490" t="s">
        <v>11</v>
      </c>
      <c r="G3490" t="s">
        <v>25</v>
      </c>
      <c r="H3490" s="12">
        <v>2.3893468495514898</v>
      </c>
      <c r="I3490" s="11">
        <v>0.25323547253672701</v>
      </c>
      <c r="J3490" s="10">
        <v>0.80008625651646104</v>
      </c>
      <c r="K3490" s="29">
        <v>0.98289565623980701</v>
      </c>
    </row>
    <row r="3491" spans="1:11" x14ac:dyDescent="0.35">
      <c r="A3491" s="9" t="str">
        <f>HYPERLINK("http://www.ensembl.org/id/WBGene00005940", "WBGene00005940")</f>
        <v>WBGene00005940</v>
      </c>
      <c r="B3491" s="9"/>
      <c r="C3491" s="9"/>
      <c r="D3491" t="str">
        <f>"srx-49"</f>
        <v>srx-49</v>
      </c>
      <c r="F3491" t="s">
        <v>80</v>
      </c>
      <c r="H3491" s="12">
        <v>2.3893468495514898</v>
      </c>
      <c r="I3491" s="11">
        <v>0.25323547253672701</v>
      </c>
      <c r="J3491" s="10">
        <v>0.80008625651646104</v>
      </c>
      <c r="K3491" s="29">
        <v>0.98289565623980701</v>
      </c>
    </row>
    <row r="3492" spans="1:11" x14ac:dyDescent="0.35">
      <c r="A3492" s="9" t="str">
        <f>HYPERLINK("http://www.ensembl.org/id/WBGene00005962", "WBGene00005962")</f>
        <v>WBGene00005962</v>
      </c>
      <c r="B3492" s="9"/>
      <c r="C3492" s="9"/>
      <c r="D3492" t="str">
        <f>"srx-71"</f>
        <v>srx-71</v>
      </c>
      <c r="F3492" t="s">
        <v>80</v>
      </c>
      <c r="H3492" s="12">
        <v>2.3893468495514898</v>
      </c>
      <c r="I3492" s="11">
        <v>0.25323547253672701</v>
      </c>
      <c r="J3492" s="10">
        <v>0.80008625651646104</v>
      </c>
      <c r="K3492" s="29">
        <v>0.98289565623980701</v>
      </c>
    </row>
    <row r="3493" spans="1:11" x14ac:dyDescent="0.35">
      <c r="A3493" s="9" t="str">
        <f>HYPERLINK("http://www.ensembl.org/id/WBGene00005980", "WBGene00005980")</f>
        <v>WBGene00005980</v>
      </c>
      <c r="B3493" s="9"/>
      <c r="C3493" s="9"/>
      <c r="D3493" t="str">
        <f>"srx-89"</f>
        <v>srx-89</v>
      </c>
      <c r="F3493" t="s">
        <v>80</v>
      </c>
      <c r="H3493" s="12">
        <v>2.3893468495514898</v>
      </c>
      <c r="I3493" s="11">
        <v>0.25323547253672701</v>
      </c>
      <c r="J3493" s="10">
        <v>0.80008625651646104</v>
      </c>
      <c r="K3493" s="29">
        <v>0.98289565623980701</v>
      </c>
    </row>
    <row r="3494" spans="1:11" x14ac:dyDescent="0.35">
      <c r="A3494" s="9" t="str">
        <f>HYPERLINK("http://www.ensembl.org/id/WBGene00012318", "WBGene00012318")</f>
        <v>WBGene00012318</v>
      </c>
      <c r="B3494" s="9" t="str">
        <f>HYPERLINK("http://www.ncbi.nlm.nih.gov/gene/189271", "189271")</f>
        <v>189271</v>
      </c>
      <c r="C3494" s="9"/>
      <c r="D3494" t="str">
        <f>"srxa-1"</f>
        <v>srxa-1</v>
      </c>
      <c r="E3494" t="s">
        <v>3765</v>
      </c>
      <c r="F3494" t="s">
        <v>11</v>
      </c>
      <c r="G3494" t="s">
        <v>25</v>
      </c>
      <c r="H3494" s="12">
        <v>2.3893468495514898</v>
      </c>
      <c r="I3494" s="11">
        <v>0.25323547253672701</v>
      </c>
      <c r="J3494" s="10">
        <v>0.80008625651646104</v>
      </c>
      <c r="K3494" s="29">
        <v>0.98289565623980701</v>
      </c>
    </row>
    <row r="3495" spans="1:11" x14ac:dyDescent="0.35">
      <c r="A3495" s="9" t="str">
        <f>HYPERLINK("http://www.ensembl.org/id/WBGene00044587", "WBGene00044587")</f>
        <v>WBGene00044587</v>
      </c>
      <c r="B3495" s="9" t="str">
        <f>HYPERLINK("http://www.ncbi.nlm.nih.gov/gene/3896766", "3896766")</f>
        <v>3896766</v>
      </c>
      <c r="C3495" s="9"/>
      <c r="D3495" t="str">
        <f>"srz-105"</f>
        <v>srz-105</v>
      </c>
      <c r="E3495" t="s">
        <v>4211</v>
      </c>
      <c r="F3495" t="s">
        <v>11</v>
      </c>
      <c r="G3495" t="s">
        <v>25</v>
      </c>
      <c r="H3495" s="12">
        <v>2.3893468495514898</v>
      </c>
      <c r="I3495" s="11">
        <v>0.25323547253672701</v>
      </c>
      <c r="J3495" s="10">
        <v>0.80008625651646104</v>
      </c>
      <c r="K3495" s="29">
        <v>0.98289565623980701</v>
      </c>
    </row>
    <row r="3496" spans="1:11" x14ac:dyDescent="0.35">
      <c r="A3496" s="9" t="str">
        <f>HYPERLINK("http://www.ensembl.org/id/WBGene00008813", "WBGene00008813")</f>
        <v>WBGene00008813</v>
      </c>
      <c r="B3496" s="9"/>
      <c r="C3496" s="9"/>
      <c r="D3496" t="str">
        <f>"srz-2"</f>
        <v>srz-2</v>
      </c>
      <c r="F3496" t="s">
        <v>80</v>
      </c>
      <c r="H3496" s="12">
        <v>2.3893468495514898</v>
      </c>
      <c r="I3496" s="11">
        <v>0.25323547253672701</v>
      </c>
      <c r="J3496" s="10">
        <v>0.80008625651646104</v>
      </c>
      <c r="K3496" s="29">
        <v>0.98289565623980701</v>
      </c>
    </row>
    <row r="3497" spans="1:11" x14ac:dyDescent="0.35">
      <c r="A3497" s="9" t="str">
        <f>HYPERLINK("http://www.ensembl.org/id/WBGene00023507", "WBGene00023507")</f>
        <v>WBGene00023507</v>
      </c>
      <c r="B3497" s="9"/>
      <c r="C3497" s="9"/>
      <c r="D3497" t="str">
        <f>"srz-26"</f>
        <v>srz-26</v>
      </c>
      <c r="F3497" t="s">
        <v>80</v>
      </c>
      <c r="H3497" s="12">
        <v>2.3893468495514898</v>
      </c>
      <c r="I3497" s="11">
        <v>0.25323547253672701</v>
      </c>
      <c r="J3497" s="10">
        <v>0.80008625651646104</v>
      </c>
      <c r="K3497" s="29">
        <v>0.98289565623980701</v>
      </c>
    </row>
    <row r="3498" spans="1:11" x14ac:dyDescent="0.35">
      <c r="A3498" s="9" t="str">
        <f>HYPERLINK("http://www.ensembl.org/id/WBGene00023411", "WBGene00023411")</f>
        <v>WBGene00023411</v>
      </c>
      <c r="B3498" s="9" t="str">
        <f>HYPERLINK("http://www.ncbi.nlm.nih.gov/gene/3564765", "3564765")</f>
        <v>3564765</v>
      </c>
      <c r="C3498" s="9"/>
      <c r="D3498" t="str">
        <f>"srz-3"</f>
        <v>srz-3</v>
      </c>
      <c r="E3498" t="s">
        <v>4211</v>
      </c>
      <c r="F3498" t="s">
        <v>11</v>
      </c>
      <c r="G3498" t="s">
        <v>25</v>
      </c>
      <c r="H3498" s="12">
        <v>2.3893468495514898</v>
      </c>
      <c r="I3498" s="11">
        <v>0.25323547253672701</v>
      </c>
      <c r="J3498" s="10">
        <v>0.80008625651646104</v>
      </c>
      <c r="K3498" s="29">
        <v>0.98289565623980701</v>
      </c>
    </row>
    <row r="3499" spans="1:11" x14ac:dyDescent="0.35">
      <c r="A3499" s="9" t="str">
        <f>HYPERLINK("http://www.ensembl.org/id/WBGene00008943", "WBGene00008943")</f>
        <v>WBGene00008943</v>
      </c>
      <c r="B3499" s="9"/>
      <c r="C3499" s="9"/>
      <c r="D3499" t="str">
        <f>"srz-36"</f>
        <v>srz-36</v>
      </c>
      <c r="F3499" t="s">
        <v>80</v>
      </c>
      <c r="H3499" s="12">
        <v>2.3893468495514898</v>
      </c>
      <c r="I3499" s="11">
        <v>0.25323547253672701</v>
      </c>
      <c r="J3499" s="10">
        <v>0.80008625651646104</v>
      </c>
      <c r="K3499" s="29">
        <v>0.98289565623980701</v>
      </c>
    </row>
    <row r="3500" spans="1:11" x14ac:dyDescent="0.35">
      <c r="A3500" s="9" t="str">
        <f>HYPERLINK("http://www.ensembl.org/id/WBGene00023478", "WBGene00023478")</f>
        <v>WBGene00023478</v>
      </c>
      <c r="B3500" s="9" t="str">
        <f>HYPERLINK("http://www.ncbi.nlm.nih.gov/gene/3565917", "3565917")</f>
        <v>3565917</v>
      </c>
      <c r="C3500" s="9"/>
      <c r="D3500" t="str">
        <f>"srz-62"</f>
        <v>srz-62</v>
      </c>
      <c r="E3500" t="s">
        <v>4211</v>
      </c>
      <c r="F3500" t="s">
        <v>11</v>
      </c>
      <c r="G3500" t="s">
        <v>25</v>
      </c>
      <c r="H3500" s="12">
        <v>2.3893468495514898</v>
      </c>
      <c r="I3500" s="11">
        <v>0.25323547253672701</v>
      </c>
      <c r="J3500" s="10">
        <v>0.80008625651646104</v>
      </c>
      <c r="K3500" s="29">
        <v>0.98289565623980701</v>
      </c>
    </row>
    <row r="3501" spans="1:11" x14ac:dyDescent="0.35">
      <c r="A3501" s="9" t="str">
        <f>HYPERLINK("http://www.ensembl.org/id/WBGene00010527", "WBGene00010527")</f>
        <v>WBGene00010527</v>
      </c>
      <c r="B3501" s="9" t="str">
        <f>HYPERLINK("http://www.ncbi.nlm.nih.gov/gene/186932", "186932")</f>
        <v>186932</v>
      </c>
      <c r="C3501" s="9"/>
      <c r="D3501" t="str">
        <f>"srz-74"</f>
        <v>srz-74</v>
      </c>
      <c r="E3501" t="s">
        <v>4211</v>
      </c>
      <c r="F3501" t="s">
        <v>11</v>
      </c>
      <c r="G3501" t="s">
        <v>25</v>
      </c>
      <c r="H3501" s="12">
        <v>2.3893468495514898</v>
      </c>
      <c r="I3501" s="11">
        <v>0.25323547253672701</v>
      </c>
      <c r="J3501" s="10">
        <v>0.80008625651646104</v>
      </c>
      <c r="K3501" s="29">
        <v>0.98289565623980701</v>
      </c>
    </row>
    <row r="3502" spans="1:11" x14ac:dyDescent="0.35">
      <c r="A3502" s="9" t="str">
        <f>HYPERLINK("http://www.ensembl.org/id/WBGene00023471", "WBGene00023471")</f>
        <v>WBGene00023471</v>
      </c>
      <c r="B3502" s="9"/>
      <c r="C3502" s="9"/>
      <c r="D3502" t="str">
        <f>"srz-86"</f>
        <v>srz-86</v>
      </c>
      <c r="F3502" t="s">
        <v>80</v>
      </c>
      <c r="H3502" s="12">
        <v>2.3893468495514898</v>
      </c>
      <c r="I3502" s="11">
        <v>0.25323547253672701</v>
      </c>
      <c r="J3502" s="10">
        <v>0.80008625651646104</v>
      </c>
      <c r="K3502" s="29">
        <v>0.98289565623980701</v>
      </c>
    </row>
    <row r="3503" spans="1:11" x14ac:dyDescent="0.35">
      <c r="A3503" s="9" t="str">
        <f>HYPERLINK("http://www.ensembl.org/id/WBGene00019469", "WBGene00019469")</f>
        <v>WBGene00019469</v>
      </c>
      <c r="B3503" s="9"/>
      <c r="C3503" s="9"/>
      <c r="D3503" t="str">
        <f>"srz-89"</f>
        <v>srz-89</v>
      </c>
      <c r="F3503" t="s">
        <v>80</v>
      </c>
      <c r="H3503" s="12">
        <v>2.3893468495514898</v>
      </c>
      <c r="I3503" s="11">
        <v>0.25323547253672701</v>
      </c>
      <c r="J3503" s="10">
        <v>0.80008625651646104</v>
      </c>
      <c r="K3503" s="29">
        <v>0.98289565623980701</v>
      </c>
    </row>
    <row r="3504" spans="1:11" x14ac:dyDescent="0.35">
      <c r="A3504" s="9" t="str">
        <f>HYPERLINK("http://www.ensembl.org/id/WBGene00006160", "WBGene00006160")</f>
        <v>WBGene00006160</v>
      </c>
      <c r="B3504" s="9" t="str">
        <f>HYPERLINK("http://www.ncbi.nlm.nih.gov/gene/184282", "184282")</f>
        <v>184282</v>
      </c>
      <c r="C3504" s="9"/>
      <c r="D3504" t="str">
        <f>"str-108"</f>
        <v>str-108</v>
      </c>
      <c r="E3504" t="s">
        <v>590</v>
      </c>
      <c r="F3504" t="s">
        <v>11</v>
      </c>
      <c r="G3504" t="s">
        <v>591</v>
      </c>
      <c r="H3504" s="12">
        <v>2.3893468495514898</v>
      </c>
      <c r="I3504" s="11">
        <v>0.25323547253672701</v>
      </c>
      <c r="J3504" s="10">
        <v>0.80008625651646104</v>
      </c>
      <c r="K3504" s="29">
        <v>0.98289565623980701</v>
      </c>
    </row>
    <row r="3505" spans="1:11" x14ac:dyDescent="0.35">
      <c r="A3505" s="9" t="str">
        <f>HYPERLINK("http://www.ensembl.org/id/WBGene00006203", "WBGene00006203")</f>
        <v>WBGene00006203</v>
      </c>
      <c r="B3505" s="9" t="str">
        <f>HYPERLINK("http://www.ncbi.nlm.nih.gov/gene/189414", "189414")</f>
        <v>189414</v>
      </c>
      <c r="C3505" s="9"/>
      <c r="D3505" t="str">
        <f>"str-158"</f>
        <v>str-158</v>
      </c>
      <c r="E3505" t="s">
        <v>590</v>
      </c>
      <c r="F3505" t="s">
        <v>11</v>
      </c>
      <c r="G3505" t="s">
        <v>591</v>
      </c>
      <c r="H3505" s="12">
        <v>2.3893468495514898</v>
      </c>
      <c r="I3505" s="11">
        <v>0.25323547253672701</v>
      </c>
      <c r="J3505" s="10">
        <v>0.80008625651646104</v>
      </c>
      <c r="K3505" s="29">
        <v>0.98289565623980701</v>
      </c>
    </row>
    <row r="3506" spans="1:11" x14ac:dyDescent="0.35">
      <c r="A3506" s="9" t="str">
        <f>HYPERLINK("http://www.ensembl.org/id/WBGene00006206", "WBGene00006206")</f>
        <v>WBGene00006206</v>
      </c>
      <c r="B3506" s="9" t="str">
        <f>HYPERLINK("http://www.ncbi.nlm.nih.gov/gene/192019", "192019")</f>
        <v>192019</v>
      </c>
      <c r="C3506" s="9"/>
      <c r="D3506" t="str">
        <f>"str-161"</f>
        <v>str-161</v>
      </c>
      <c r="E3506" t="s">
        <v>590</v>
      </c>
      <c r="F3506" t="s">
        <v>11</v>
      </c>
      <c r="G3506" t="s">
        <v>591</v>
      </c>
      <c r="H3506" s="12">
        <v>2.3893468495514898</v>
      </c>
      <c r="I3506" s="11">
        <v>0.25323547253672701</v>
      </c>
      <c r="J3506" s="10">
        <v>0.80008625651646104</v>
      </c>
      <c r="K3506" s="29">
        <v>0.98289565623980701</v>
      </c>
    </row>
    <row r="3507" spans="1:11" x14ac:dyDescent="0.35">
      <c r="A3507" s="9" t="str">
        <f>HYPERLINK("http://www.ensembl.org/id/WBGene00006070", "WBGene00006070")</f>
        <v>WBGene00006070</v>
      </c>
      <c r="B3507" s="9" t="str">
        <f>HYPERLINK("http://www.ncbi.nlm.nih.gov/gene/179377", "179377")</f>
        <v>179377</v>
      </c>
      <c r="C3507" s="9"/>
      <c r="D3507" t="str">
        <f>"str-2"</f>
        <v>str-2</v>
      </c>
      <c r="E3507" t="s">
        <v>4397</v>
      </c>
      <c r="F3507" t="s">
        <v>11</v>
      </c>
      <c r="G3507" t="s">
        <v>4398</v>
      </c>
      <c r="H3507" s="12">
        <v>2.3893468495514898</v>
      </c>
      <c r="I3507" s="11">
        <v>0.25323547253672701</v>
      </c>
      <c r="J3507" s="10">
        <v>0.80008625651646104</v>
      </c>
      <c r="K3507" s="29">
        <v>0.98289565623980701</v>
      </c>
    </row>
    <row r="3508" spans="1:11" x14ac:dyDescent="0.35">
      <c r="A3508" s="9" t="str">
        <f>HYPERLINK("http://www.ensembl.org/id/WBGene00006257", "WBGene00006257")</f>
        <v>WBGene00006257</v>
      </c>
      <c r="B3508" s="9" t="str">
        <f>HYPERLINK("http://www.ncbi.nlm.nih.gov/gene/192036", "192036")</f>
        <v>192036</v>
      </c>
      <c r="C3508" s="9"/>
      <c r="D3508" t="str">
        <f>"str-226"</f>
        <v>str-226</v>
      </c>
      <c r="E3508" t="s">
        <v>590</v>
      </c>
      <c r="F3508" t="s">
        <v>11</v>
      </c>
      <c r="G3508" t="s">
        <v>591</v>
      </c>
      <c r="H3508" s="12">
        <v>2.3893468495514898</v>
      </c>
      <c r="I3508" s="11">
        <v>0.25323547253672701</v>
      </c>
      <c r="J3508" s="10">
        <v>0.80008625651646104</v>
      </c>
      <c r="K3508" s="29">
        <v>0.98289565623980701</v>
      </c>
    </row>
    <row r="3509" spans="1:11" x14ac:dyDescent="0.35">
      <c r="A3509" s="9" t="str">
        <f>HYPERLINK("http://www.ensembl.org/id/WBGene00006102", "WBGene00006102")</f>
        <v>WBGene00006102</v>
      </c>
      <c r="B3509" s="9" t="str">
        <f>HYPERLINK("http://www.ncbi.nlm.nih.gov/gene/183639", "183639")</f>
        <v>183639</v>
      </c>
      <c r="C3509" s="9"/>
      <c r="D3509" t="str">
        <f>"str-37"</f>
        <v>str-37</v>
      </c>
      <c r="E3509" t="s">
        <v>590</v>
      </c>
      <c r="F3509" t="s">
        <v>11</v>
      </c>
      <c r="G3509" t="s">
        <v>25</v>
      </c>
      <c r="H3509" s="12">
        <v>2.3893468495514898</v>
      </c>
      <c r="I3509" s="11">
        <v>0.25323547253672701</v>
      </c>
      <c r="J3509" s="10">
        <v>0.80008625651646104</v>
      </c>
      <c r="K3509" s="29">
        <v>0.98289565623980701</v>
      </c>
    </row>
    <row r="3510" spans="1:11" x14ac:dyDescent="0.35">
      <c r="A3510" s="9" t="str">
        <f>HYPERLINK("http://www.ensembl.org/id/WBGene00006074", "WBGene00006074")</f>
        <v>WBGene00006074</v>
      </c>
      <c r="B3510" s="9" t="str">
        <f>HYPERLINK("http://www.ncbi.nlm.nih.gov/gene/188789", "188789")</f>
        <v>188789</v>
      </c>
      <c r="C3510" s="9"/>
      <c r="D3510" t="str">
        <f>"str-6"</f>
        <v>str-6</v>
      </c>
      <c r="E3510" t="s">
        <v>590</v>
      </c>
      <c r="F3510" t="s">
        <v>11</v>
      </c>
      <c r="G3510" t="s">
        <v>25</v>
      </c>
      <c r="H3510" s="12">
        <v>2.3893468495514898</v>
      </c>
      <c r="I3510" s="11">
        <v>0.25323547253672701</v>
      </c>
      <c r="J3510" s="10">
        <v>0.80008625651646104</v>
      </c>
      <c r="K3510" s="29">
        <v>0.98289565623980701</v>
      </c>
    </row>
    <row r="3511" spans="1:11" x14ac:dyDescent="0.35">
      <c r="A3511" s="9" t="str">
        <f>HYPERLINK("http://www.ensembl.org/id/WBGene00006126", "WBGene00006126")</f>
        <v>WBGene00006126</v>
      </c>
      <c r="B3511" s="9" t="str">
        <f>HYPERLINK("http://www.ncbi.nlm.nih.gov/gene/191981", "191981")</f>
        <v>191981</v>
      </c>
      <c r="C3511" s="9"/>
      <c r="D3511" t="str">
        <f>"str-63"</f>
        <v>str-63</v>
      </c>
      <c r="E3511" t="s">
        <v>590</v>
      </c>
      <c r="F3511" t="s">
        <v>11</v>
      </c>
      <c r="G3511" t="s">
        <v>25</v>
      </c>
      <c r="H3511" s="12">
        <v>2.3893468495514898</v>
      </c>
      <c r="I3511" s="11">
        <v>0.25323547253672701</v>
      </c>
      <c r="J3511" s="10">
        <v>0.80008625651646104</v>
      </c>
      <c r="K3511" s="29">
        <v>0.98289565623980701</v>
      </c>
    </row>
    <row r="3512" spans="1:11" x14ac:dyDescent="0.35">
      <c r="A3512" s="9" t="str">
        <f>HYPERLINK("http://www.ensembl.org/id/WBGene00006137", "WBGene00006137")</f>
        <v>WBGene00006137</v>
      </c>
      <c r="B3512" s="9" t="str">
        <f>HYPERLINK("http://www.ncbi.nlm.nih.gov/gene/189247", "189247")</f>
        <v>189247</v>
      </c>
      <c r="C3512" s="9"/>
      <c r="D3512" t="str">
        <f>"str-77"</f>
        <v>str-77</v>
      </c>
      <c r="E3512" t="s">
        <v>590</v>
      </c>
      <c r="F3512" t="s">
        <v>11</v>
      </c>
      <c r="G3512" t="s">
        <v>591</v>
      </c>
      <c r="H3512" s="12">
        <v>2.3893468495514898</v>
      </c>
      <c r="I3512" s="11">
        <v>0.25323547253672701</v>
      </c>
      <c r="J3512" s="10">
        <v>0.80008625651646104</v>
      </c>
      <c r="K3512" s="29">
        <v>0.98289565623980701</v>
      </c>
    </row>
    <row r="3513" spans="1:11" x14ac:dyDescent="0.35">
      <c r="A3513" s="9" t="str">
        <f>HYPERLINK("http://www.ensembl.org/id/WBGene00006141", "WBGene00006141")</f>
        <v>WBGene00006141</v>
      </c>
      <c r="B3513" s="9" t="str">
        <f>HYPERLINK("http://www.ncbi.nlm.nih.gov/gene/191989", "191989")</f>
        <v>191989</v>
      </c>
      <c r="C3513" s="9"/>
      <c r="D3513" t="str">
        <f>"str-82"</f>
        <v>str-82</v>
      </c>
      <c r="E3513" t="s">
        <v>590</v>
      </c>
      <c r="F3513" t="s">
        <v>11</v>
      </c>
      <c r="G3513" t="s">
        <v>591</v>
      </c>
      <c r="H3513" s="12">
        <v>2.3893468495514898</v>
      </c>
      <c r="I3513" s="11">
        <v>0.25323547253672701</v>
      </c>
      <c r="J3513" s="10">
        <v>0.80008625651646104</v>
      </c>
      <c r="K3513" s="29">
        <v>0.98289565623980701</v>
      </c>
    </row>
    <row r="3514" spans="1:11" x14ac:dyDescent="0.35">
      <c r="A3514" s="9" t="str">
        <f>HYPERLINK("http://www.ensembl.org/id/WBGene00006338", "WBGene00006338")</f>
        <v>WBGene00006338</v>
      </c>
      <c r="B3514" s="9"/>
      <c r="C3514" s="9"/>
      <c r="D3514" t="str">
        <f>"sup-33"</f>
        <v>sup-33</v>
      </c>
      <c r="F3514" t="s">
        <v>4208</v>
      </c>
      <c r="H3514" s="12">
        <v>2.3893468495514898</v>
      </c>
      <c r="I3514" s="11">
        <v>0.25323547253672701</v>
      </c>
      <c r="J3514" s="10">
        <v>0.80008625651646104</v>
      </c>
      <c r="K3514" s="29">
        <v>0.98289565623980701</v>
      </c>
    </row>
    <row r="3515" spans="1:11" x14ac:dyDescent="0.35">
      <c r="A3515" s="9" t="str">
        <f>HYPERLINK("http://www.ensembl.org/id/WBGene00198015", "WBGene00198015")</f>
        <v>WBGene00198015</v>
      </c>
      <c r="B3515" s="9"/>
      <c r="C3515" s="9"/>
      <c r="D3515" t="str">
        <f>"T01B6.9"</f>
        <v>T01B6.9</v>
      </c>
      <c r="F3515" t="s">
        <v>481</v>
      </c>
      <c r="H3515" s="12">
        <v>2.3893468495514898</v>
      </c>
      <c r="I3515" s="11">
        <v>0.25323547253672701</v>
      </c>
      <c r="J3515" s="10">
        <v>0.80008625651646104</v>
      </c>
      <c r="K3515" s="29">
        <v>0.98289565623980701</v>
      </c>
    </row>
    <row r="3516" spans="1:11" x14ac:dyDescent="0.35">
      <c r="A3516" s="9" t="str">
        <f>HYPERLINK("http://www.ensembl.org/id/WBGene00197582", "WBGene00197582")</f>
        <v>WBGene00197582</v>
      </c>
      <c r="B3516" s="9"/>
      <c r="C3516" s="9"/>
      <c r="D3516" t="str">
        <f>"T03G11.17"</f>
        <v>T03G11.17</v>
      </c>
      <c r="F3516" t="s">
        <v>481</v>
      </c>
      <c r="H3516" s="12">
        <v>2.3893468495514898</v>
      </c>
      <c r="I3516" s="11">
        <v>0.25323547253672701</v>
      </c>
      <c r="J3516" s="10">
        <v>0.80008625651646104</v>
      </c>
      <c r="K3516" s="29">
        <v>0.98289565623980701</v>
      </c>
    </row>
    <row r="3517" spans="1:11" x14ac:dyDescent="0.35">
      <c r="A3517" s="9" t="str">
        <f>HYPERLINK("http://www.ensembl.org/id/WBGene00195821", "WBGene00195821")</f>
        <v>WBGene00195821</v>
      </c>
      <c r="B3517" s="9"/>
      <c r="C3517" s="9"/>
      <c r="D3517" t="str">
        <f>"T03G6.4"</f>
        <v>T03G6.4</v>
      </c>
      <c r="F3517" t="s">
        <v>481</v>
      </c>
      <c r="H3517" s="12">
        <v>2.3893468495514898</v>
      </c>
      <c r="I3517" s="11">
        <v>0.25323547253672701</v>
      </c>
      <c r="J3517" s="10">
        <v>0.80008625651646104</v>
      </c>
      <c r="K3517" s="29">
        <v>0.98289565623980701</v>
      </c>
    </row>
    <row r="3518" spans="1:11" x14ac:dyDescent="0.35">
      <c r="A3518" s="9" t="str">
        <f>HYPERLINK("http://www.ensembl.org/id/WBGene00011420", "WBGene00011420")</f>
        <v>WBGene00011420</v>
      </c>
      <c r="B3518" s="9" t="str">
        <f>HYPERLINK("http://www.ncbi.nlm.nih.gov/gene/178200", "178200")</f>
        <v>178200</v>
      </c>
      <c r="C3518" s="9" t="str">
        <f>HYPERLINK("http://www.ncbi.nlm.nih.gov/gene/64081", "64081")</f>
        <v>64081</v>
      </c>
      <c r="D3518" t="str">
        <f>"T04A11.5"</f>
        <v>T04A11.5</v>
      </c>
      <c r="F3518" t="s">
        <v>11</v>
      </c>
      <c r="G3518" t="s">
        <v>4406</v>
      </c>
      <c r="H3518" s="12">
        <v>2.3893468495514898</v>
      </c>
      <c r="I3518" s="11">
        <v>0.25323547253672701</v>
      </c>
      <c r="J3518" s="10">
        <v>0.80008625651646104</v>
      </c>
      <c r="K3518" s="29">
        <v>0.98289565623980701</v>
      </c>
    </row>
    <row r="3519" spans="1:11" x14ac:dyDescent="0.35">
      <c r="A3519" s="9" t="str">
        <f>HYPERLINK("http://www.ensembl.org/id/WBGene00020203", "WBGene00020203")</f>
        <v>WBGene00020203</v>
      </c>
      <c r="B3519" s="9" t="str">
        <f>HYPERLINK("http://www.ncbi.nlm.nih.gov/gene/188052", "188052")</f>
        <v>188052</v>
      </c>
      <c r="C3519" s="9"/>
      <c r="D3519" t="str">
        <f>"T04B8.1"</f>
        <v>T04B8.1</v>
      </c>
      <c r="F3519" t="s">
        <v>11</v>
      </c>
      <c r="H3519" s="12">
        <v>2.3893468495514898</v>
      </c>
      <c r="I3519" s="11">
        <v>0.25323547253672701</v>
      </c>
      <c r="J3519" s="10">
        <v>0.80008625651646104</v>
      </c>
      <c r="K3519" s="29">
        <v>0.98289565623980701</v>
      </c>
    </row>
    <row r="3520" spans="1:11" x14ac:dyDescent="0.35">
      <c r="A3520" s="9" t="str">
        <f>HYPERLINK("http://www.ensembl.org/id/WBGene00197935", "WBGene00197935")</f>
        <v>WBGene00197935</v>
      </c>
      <c r="B3520" s="9"/>
      <c r="C3520" s="9"/>
      <c r="D3520" t="str">
        <f>"T04C10.9"</f>
        <v>T04C10.9</v>
      </c>
      <c r="F3520" t="s">
        <v>481</v>
      </c>
      <c r="H3520" s="12">
        <v>2.3893468495514898</v>
      </c>
      <c r="I3520" s="11">
        <v>0.25323547253672701</v>
      </c>
      <c r="J3520" s="10">
        <v>0.80008625651646104</v>
      </c>
      <c r="K3520" s="29">
        <v>0.98289565623980701</v>
      </c>
    </row>
    <row r="3521" spans="1:11" x14ac:dyDescent="0.35">
      <c r="A3521" s="9" t="str">
        <f>HYPERLINK("http://www.ensembl.org/id/WBGene00197158", "WBGene00197158")</f>
        <v>WBGene00197158</v>
      </c>
      <c r="B3521" s="9"/>
      <c r="C3521" s="9"/>
      <c r="D3521" t="str">
        <f>"T04F8.12"</f>
        <v>T04F8.12</v>
      </c>
      <c r="F3521" t="s">
        <v>481</v>
      </c>
      <c r="H3521" s="12">
        <v>2.3893468495514898</v>
      </c>
      <c r="I3521" s="11">
        <v>0.25323547253672701</v>
      </c>
      <c r="J3521" s="10">
        <v>0.80008625651646104</v>
      </c>
      <c r="K3521" s="29">
        <v>0.98289565623980701</v>
      </c>
    </row>
    <row r="3522" spans="1:11" x14ac:dyDescent="0.35">
      <c r="A3522" s="9" t="str">
        <f>HYPERLINK("http://www.ensembl.org/id/WBGene00202339", "WBGene00202339")</f>
        <v>WBGene00202339</v>
      </c>
      <c r="B3522" s="9"/>
      <c r="C3522" s="9"/>
      <c r="D3522" t="str">
        <f>"T05B11.13"</f>
        <v>T05B11.13</v>
      </c>
      <c r="F3522" t="s">
        <v>481</v>
      </c>
      <c r="H3522" s="12">
        <v>2.3893468495514898</v>
      </c>
      <c r="I3522" s="11">
        <v>0.25323547253672701</v>
      </c>
      <c r="J3522" s="10">
        <v>0.80008625651646104</v>
      </c>
      <c r="K3522" s="29">
        <v>0.98289565623980701</v>
      </c>
    </row>
    <row r="3523" spans="1:11" x14ac:dyDescent="0.35">
      <c r="A3523" s="9" t="str">
        <f>HYPERLINK("http://www.ensembl.org/id/WBGene00020241", "WBGene00020241")</f>
        <v>WBGene00020241</v>
      </c>
      <c r="B3523" s="9" t="str">
        <f>HYPERLINK("http://www.ncbi.nlm.nih.gov/gene/188106", "188106")</f>
        <v>188106</v>
      </c>
      <c r="C3523" s="9"/>
      <c r="D3523" t="str">
        <f>"T05B4.10"</f>
        <v>T05B4.10</v>
      </c>
      <c r="F3523" t="s">
        <v>11</v>
      </c>
      <c r="H3523" s="12">
        <v>2.3893468495514898</v>
      </c>
      <c r="I3523" s="11">
        <v>0.25323547253672701</v>
      </c>
      <c r="J3523" s="10">
        <v>0.80008625651646104</v>
      </c>
      <c r="K3523" s="29">
        <v>0.98289565623980701</v>
      </c>
    </row>
    <row r="3524" spans="1:11" x14ac:dyDescent="0.35">
      <c r="A3524" s="9" t="str">
        <f>HYPERLINK("http://www.ensembl.org/id/WBGene00023342", "WBGene00023342")</f>
        <v>WBGene00023342</v>
      </c>
      <c r="B3524" s="9"/>
      <c r="C3524" s="9"/>
      <c r="D3524" t="str">
        <f>"T05H4.t2"</f>
        <v>T05H4.t2</v>
      </c>
      <c r="F3524" t="s">
        <v>80</v>
      </c>
      <c r="H3524" s="12">
        <v>2.3893468495514898</v>
      </c>
      <c r="I3524" s="11">
        <v>0.25323547253672701</v>
      </c>
      <c r="J3524" s="10">
        <v>0.80008625651646104</v>
      </c>
      <c r="K3524" s="29">
        <v>0.98289565623980701</v>
      </c>
    </row>
    <row r="3525" spans="1:11" x14ac:dyDescent="0.35">
      <c r="A3525" s="9" t="str">
        <f>HYPERLINK("http://www.ensembl.org/id/WBGene00206375", "WBGene00206375")</f>
        <v>WBGene00206375</v>
      </c>
      <c r="B3525" s="9"/>
      <c r="C3525" s="9"/>
      <c r="D3525" t="str">
        <f>"T08B6.64"</f>
        <v>T08B6.64</v>
      </c>
      <c r="F3525" t="s">
        <v>2977</v>
      </c>
      <c r="H3525" s="12">
        <v>2.3893468495514898</v>
      </c>
      <c r="I3525" s="11">
        <v>0.25323547253672701</v>
      </c>
      <c r="J3525" s="10">
        <v>0.80008625651646104</v>
      </c>
      <c r="K3525" s="29">
        <v>0.98289565623980701</v>
      </c>
    </row>
    <row r="3526" spans="1:11" x14ac:dyDescent="0.35">
      <c r="A3526" s="9" t="str">
        <f>HYPERLINK("http://www.ensembl.org/id/WBGene00201408", "WBGene00201408")</f>
        <v>WBGene00201408</v>
      </c>
      <c r="B3526" s="9"/>
      <c r="C3526" s="9"/>
      <c r="D3526" t="str">
        <f>"T09B9.8"</f>
        <v>T09B9.8</v>
      </c>
      <c r="F3526" t="s">
        <v>481</v>
      </c>
      <c r="H3526" s="12">
        <v>2.3893468495514898</v>
      </c>
      <c r="I3526" s="11">
        <v>0.25323547253672701</v>
      </c>
      <c r="J3526" s="10">
        <v>0.80008625651646104</v>
      </c>
      <c r="K3526" s="29">
        <v>0.98289565623980701</v>
      </c>
    </row>
    <row r="3527" spans="1:11" x14ac:dyDescent="0.35">
      <c r="A3527" s="9" t="str">
        <f>HYPERLINK("http://www.ensembl.org/id/WBGene00198634", "WBGene00198634")</f>
        <v>WBGene00198634</v>
      </c>
      <c r="B3527" s="9"/>
      <c r="C3527" s="9"/>
      <c r="D3527" t="str">
        <f>"T09F3.6"</f>
        <v>T09F3.6</v>
      </c>
      <c r="F3527" t="s">
        <v>481</v>
      </c>
      <c r="H3527" s="12">
        <v>2.3893468495514898</v>
      </c>
      <c r="I3527" s="11">
        <v>0.25323547253672701</v>
      </c>
      <c r="J3527" s="10">
        <v>0.80008625651646104</v>
      </c>
      <c r="K3527" s="29">
        <v>0.98289565623980701</v>
      </c>
    </row>
    <row r="3528" spans="1:11" x14ac:dyDescent="0.35">
      <c r="A3528" s="9" t="str">
        <f>HYPERLINK("http://www.ensembl.org/id/WBGene00201834", "WBGene00201834")</f>
        <v>WBGene00201834</v>
      </c>
      <c r="B3528" s="9"/>
      <c r="C3528" s="9"/>
      <c r="D3528" t="str">
        <f>"T09F5.19"</f>
        <v>T09F5.19</v>
      </c>
      <c r="F3528" t="s">
        <v>481</v>
      </c>
      <c r="H3528" s="12">
        <v>2.3893468495514898</v>
      </c>
      <c r="I3528" s="11">
        <v>0.25323547253672701</v>
      </c>
      <c r="J3528" s="10">
        <v>0.80008625651646104</v>
      </c>
      <c r="K3528" s="29">
        <v>0.98289565623980701</v>
      </c>
    </row>
    <row r="3529" spans="1:11" x14ac:dyDescent="0.35">
      <c r="A3529" s="9" t="str">
        <f>HYPERLINK("http://www.ensembl.org/id/WBGene00199204", "WBGene00199204")</f>
        <v>WBGene00199204</v>
      </c>
      <c r="B3529" s="9"/>
      <c r="C3529" s="9"/>
      <c r="D3529" t="str">
        <f>"T11F9.26"</f>
        <v>T11F9.26</v>
      </c>
      <c r="F3529" t="s">
        <v>481</v>
      </c>
      <c r="H3529" s="12">
        <v>2.3893468495514898</v>
      </c>
      <c r="I3529" s="11">
        <v>0.25323547253672701</v>
      </c>
      <c r="J3529" s="10">
        <v>0.80008625651646104</v>
      </c>
      <c r="K3529" s="29">
        <v>0.98289565623980701</v>
      </c>
    </row>
    <row r="3530" spans="1:11" x14ac:dyDescent="0.35">
      <c r="A3530" s="9" t="str">
        <f>HYPERLINK("http://www.ensembl.org/id/WBGene00196702", "WBGene00196702")</f>
        <v>WBGene00196702</v>
      </c>
      <c r="B3530" s="9"/>
      <c r="C3530" s="9"/>
      <c r="D3530" t="str">
        <f>"T12A7.11"</f>
        <v>T12A7.11</v>
      </c>
      <c r="F3530" t="s">
        <v>481</v>
      </c>
      <c r="H3530" s="12">
        <v>2.3893468495514898</v>
      </c>
      <c r="I3530" s="11">
        <v>0.25323547253672701</v>
      </c>
      <c r="J3530" s="10">
        <v>0.80008625651646104</v>
      </c>
      <c r="K3530" s="29">
        <v>0.98289565623980701</v>
      </c>
    </row>
    <row r="3531" spans="1:11" x14ac:dyDescent="0.35">
      <c r="A3531" s="9" t="str">
        <f>HYPERLINK("http://www.ensembl.org/id/WBGene00200456", "WBGene00200456")</f>
        <v>WBGene00200456</v>
      </c>
      <c r="B3531" s="9"/>
      <c r="C3531" s="9"/>
      <c r="D3531" t="str">
        <f>"T12B3.9"</f>
        <v>T12B3.9</v>
      </c>
      <c r="F3531" t="s">
        <v>481</v>
      </c>
      <c r="H3531" s="12">
        <v>2.3893468495514898</v>
      </c>
      <c r="I3531" s="11">
        <v>0.25323547253672701</v>
      </c>
      <c r="J3531" s="10">
        <v>0.80008625651646104</v>
      </c>
      <c r="K3531" s="29">
        <v>0.98289565623980701</v>
      </c>
    </row>
    <row r="3532" spans="1:11" x14ac:dyDescent="0.35">
      <c r="A3532" s="9" t="str">
        <f>HYPERLINK("http://www.ensembl.org/id/WBGene00197315", "WBGene00197315")</f>
        <v>WBGene00197315</v>
      </c>
      <c r="B3532" s="9"/>
      <c r="C3532" s="9"/>
      <c r="D3532" t="str">
        <f>"T13H10.8"</f>
        <v>T13H10.8</v>
      </c>
      <c r="F3532" t="s">
        <v>481</v>
      </c>
      <c r="H3532" s="12">
        <v>2.3893468495514898</v>
      </c>
      <c r="I3532" s="11">
        <v>0.25323547253672701</v>
      </c>
      <c r="J3532" s="10">
        <v>0.80008625651646104</v>
      </c>
      <c r="K3532" s="29">
        <v>0.98289565623980701</v>
      </c>
    </row>
    <row r="3533" spans="1:11" x14ac:dyDescent="0.35">
      <c r="A3533" s="9" t="str">
        <f>HYPERLINK("http://www.ensembl.org/id/WBGene00020536", "WBGene00020536")</f>
        <v>WBGene00020536</v>
      </c>
      <c r="B3533" s="9" t="str">
        <f>HYPERLINK("http://www.ncbi.nlm.nih.gov/gene/188545", "188545")</f>
        <v>188545</v>
      </c>
      <c r="C3533" s="9"/>
      <c r="D3533" t="str">
        <f>"T16A1.5"</f>
        <v>T16A1.5</v>
      </c>
      <c r="F3533" t="s">
        <v>11</v>
      </c>
      <c r="H3533" s="12">
        <v>2.3893468495514898</v>
      </c>
      <c r="I3533" s="11">
        <v>0.25323547253672701</v>
      </c>
      <c r="J3533" s="10">
        <v>0.80008625651646104</v>
      </c>
      <c r="K3533" s="29">
        <v>0.98289565623980701</v>
      </c>
    </row>
    <row r="3534" spans="1:11" x14ac:dyDescent="0.35">
      <c r="A3534" s="9" t="str">
        <f>HYPERLINK("http://www.ensembl.org/id/WBGene00020598", "WBGene00020598")</f>
        <v>WBGene00020598</v>
      </c>
      <c r="B3534" s="9" t="str">
        <f>HYPERLINK("http://www.ncbi.nlm.nih.gov/gene/188629", "188629")</f>
        <v>188629</v>
      </c>
      <c r="C3534" s="9"/>
      <c r="D3534" t="str">
        <f>"T20B6.2"</f>
        <v>T20B6.2</v>
      </c>
      <c r="F3534" t="s">
        <v>11</v>
      </c>
      <c r="H3534" s="12">
        <v>2.3893468495514898</v>
      </c>
      <c r="I3534" s="11">
        <v>0.25323547253672701</v>
      </c>
      <c r="J3534" s="10">
        <v>0.80008625651646104</v>
      </c>
      <c r="K3534" s="29">
        <v>0.98289565623980701</v>
      </c>
    </row>
    <row r="3535" spans="1:11" x14ac:dyDescent="0.35">
      <c r="A3535" s="9" t="str">
        <f>HYPERLINK("http://www.ensembl.org/id/WBGene00196374", "WBGene00196374")</f>
        <v>WBGene00196374</v>
      </c>
      <c r="B3535" s="9"/>
      <c r="C3535" s="9"/>
      <c r="D3535" t="str">
        <f>"T21B10.8"</f>
        <v>T21B10.8</v>
      </c>
      <c r="F3535" t="s">
        <v>481</v>
      </c>
      <c r="H3535" s="12">
        <v>2.3893468495514898</v>
      </c>
      <c r="I3535" s="11">
        <v>0.25323547253672701</v>
      </c>
      <c r="J3535" s="10">
        <v>0.80008625651646104</v>
      </c>
      <c r="K3535" s="29">
        <v>0.98289565623980701</v>
      </c>
    </row>
    <row r="3536" spans="1:11" x14ac:dyDescent="0.35">
      <c r="A3536" s="9" t="str">
        <f>HYPERLINK("http://www.ensembl.org/id/WBGene00197522", "WBGene00197522")</f>
        <v>WBGene00197522</v>
      </c>
      <c r="B3536" s="9"/>
      <c r="C3536" s="9"/>
      <c r="D3536" t="str">
        <f>"T21B6.10"</f>
        <v>T21B6.10</v>
      </c>
      <c r="F3536" t="s">
        <v>481</v>
      </c>
      <c r="H3536" s="12">
        <v>2.3893468495514898</v>
      </c>
      <c r="I3536" s="11">
        <v>0.25323547253672701</v>
      </c>
      <c r="J3536" s="10">
        <v>0.80008625651646104</v>
      </c>
      <c r="K3536" s="29">
        <v>0.98289565623980701</v>
      </c>
    </row>
    <row r="3537" spans="1:11" x14ac:dyDescent="0.35">
      <c r="A3537" s="9" t="str">
        <f>HYPERLINK("http://www.ensembl.org/id/WBGene00198163", "WBGene00198163")</f>
        <v>WBGene00198163</v>
      </c>
      <c r="B3537" s="9"/>
      <c r="C3537" s="9"/>
      <c r="D3537" t="str">
        <f>"T21D9.5"</f>
        <v>T21D9.5</v>
      </c>
      <c r="F3537" t="s">
        <v>481</v>
      </c>
      <c r="H3537" s="12">
        <v>2.3893468495514898</v>
      </c>
      <c r="I3537" s="11">
        <v>0.25323547253672701</v>
      </c>
      <c r="J3537" s="10">
        <v>0.80008625651646104</v>
      </c>
      <c r="K3537" s="29">
        <v>0.98289565623980701</v>
      </c>
    </row>
    <row r="3538" spans="1:11" x14ac:dyDescent="0.35">
      <c r="A3538" s="9" t="str">
        <f>HYPERLINK("http://www.ensembl.org/id/WBGene00220078", "WBGene00220078")</f>
        <v>WBGene00220078</v>
      </c>
      <c r="B3538" s="9"/>
      <c r="C3538" s="9"/>
      <c r="D3538" t="str">
        <f>"T21F2.3"</f>
        <v>T21F2.3</v>
      </c>
      <c r="F3538" t="s">
        <v>2977</v>
      </c>
      <c r="H3538" s="12">
        <v>2.3893468495514898</v>
      </c>
      <c r="I3538" s="11">
        <v>0.25323547253672701</v>
      </c>
      <c r="J3538" s="10">
        <v>0.80008625651646104</v>
      </c>
      <c r="K3538" s="29">
        <v>0.98289565623980701</v>
      </c>
    </row>
    <row r="3539" spans="1:11" x14ac:dyDescent="0.35">
      <c r="A3539" s="9" t="str">
        <f>HYPERLINK("http://www.ensembl.org/id/WBGene00195680", "WBGene00195680")</f>
        <v>WBGene00195680</v>
      </c>
      <c r="B3539" s="9"/>
      <c r="C3539" s="9"/>
      <c r="D3539" t="str">
        <f>"T22B11.6"</f>
        <v>T22B11.6</v>
      </c>
      <c r="F3539" t="s">
        <v>481</v>
      </c>
      <c r="H3539" s="12">
        <v>2.3893468495514898</v>
      </c>
      <c r="I3539" s="11">
        <v>0.25323547253672701</v>
      </c>
      <c r="J3539" s="10">
        <v>0.80008625651646104</v>
      </c>
      <c r="K3539" s="29">
        <v>0.98289565623980701</v>
      </c>
    </row>
    <row r="3540" spans="1:11" x14ac:dyDescent="0.35">
      <c r="A3540" s="9" t="str">
        <f>HYPERLINK("http://www.ensembl.org/id/WBGene00196639", "WBGene00196639")</f>
        <v>WBGene00196639</v>
      </c>
      <c r="B3540" s="9"/>
      <c r="C3540" s="9"/>
      <c r="D3540" t="str">
        <f>"T22C1.14"</f>
        <v>T22C1.14</v>
      </c>
      <c r="F3540" t="s">
        <v>481</v>
      </c>
      <c r="H3540" s="12">
        <v>2.3893468495514898</v>
      </c>
      <c r="I3540" s="11">
        <v>0.25323547253672701</v>
      </c>
      <c r="J3540" s="10">
        <v>0.80008625651646104</v>
      </c>
      <c r="K3540" s="29">
        <v>0.98289565623980701</v>
      </c>
    </row>
    <row r="3541" spans="1:11" x14ac:dyDescent="0.35">
      <c r="A3541" s="9" t="str">
        <f>HYPERLINK("http://www.ensembl.org/id/WBGene00202242", "WBGene00202242")</f>
        <v>WBGene00202242</v>
      </c>
      <c r="B3541" s="9"/>
      <c r="C3541" s="9"/>
      <c r="D3541" t="str">
        <f>"T23C6.6"</f>
        <v>T23C6.6</v>
      </c>
      <c r="F3541" t="s">
        <v>481</v>
      </c>
      <c r="H3541" s="12">
        <v>2.3893468495514898</v>
      </c>
      <c r="I3541" s="11">
        <v>0.25323547253672701</v>
      </c>
      <c r="J3541" s="10">
        <v>0.80008625651646104</v>
      </c>
      <c r="K3541" s="29">
        <v>0.98289565623980701</v>
      </c>
    </row>
    <row r="3542" spans="1:11" x14ac:dyDescent="0.35">
      <c r="A3542" s="9" t="str">
        <f>HYPERLINK("http://www.ensembl.org/id/WBGene00197046", "WBGene00197046")</f>
        <v>WBGene00197046</v>
      </c>
      <c r="B3542" s="9"/>
      <c r="C3542" s="9"/>
      <c r="D3542" t="str">
        <f>"T24B8.11"</f>
        <v>T24B8.11</v>
      </c>
      <c r="F3542" t="s">
        <v>481</v>
      </c>
      <c r="H3542" s="12">
        <v>2.3893468495514898</v>
      </c>
      <c r="I3542" s="11">
        <v>0.25323547253672701</v>
      </c>
      <c r="J3542" s="10">
        <v>0.80008625651646104</v>
      </c>
      <c r="K3542" s="29">
        <v>0.98289565623980701</v>
      </c>
    </row>
    <row r="3543" spans="1:11" x14ac:dyDescent="0.35">
      <c r="A3543" s="9" t="str">
        <f>HYPERLINK("http://www.ensembl.org/id/WBGene00198614", "WBGene00198614")</f>
        <v>WBGene00198614</v>
      </c>
      <c r="B3543" s="9"/>
      <c r="C3543" s="9"/>
      <c r="D3543" t="str">
        <f>"T24B8.15"</f>
        <v>T24B8.15</v>
      </c>
      <c r="F3543" t="s">
        <v>481</v>
      </c>
      <c r="H3543" s="12">
        <v>2.3893468495514898</v>
      </c>
      <c r="I3543" s="11">
        <v>0.25323547253672701</v>
      </c>
      <c r="J3543" s="10">
        <v>0.80008625651646104</v>
      </c>
      <c r="K3543" s="29">
        <v>0.98289565623980701</v>
      </c>
    </row>
    <row r="3544" spans="1:11" x14ac:dyDescent="0.35">
      <c r="A3544" s="9" t="str">
        <f>HYPERLINK("http://www.ensembl.org/id/WBGene00202246", "WBGene00202246")</f>
        <v>WBGene00202246</v>
      </c>
      <c r="B3544" s="9"/>
      <c r="C3544" s="9"/>
      <c r="D3544" t="str">
        <f>"T24D8.16"</f>
        <v>T24D8.16</v>
      </c>
      <c r="F3544" t="s">
        <v>481</v>
      </c>
      <c r="H3544" s="12">
        <v>2.3893468495514898</v>
      </c>
      <c r="I3544" s="11">
        <v>0.25323547253672701</v>
      </c>
      <c r="J3544" s="10">
        <v>0.80008625651646104</v>
      </c>
      <c r="K3544" s="29">
        <v>0.98289565623980701</v>
      </c>
    </row>
    <row r="3545" spans="1:11" x14ac:dyDescent="0.35">
      <c r="A3545" s="9" t="str">
        <f>HYPERLINK("http://www.ensembl.org/id/WBGene00220092", "WBGene00220092")</f>
        <v>WBGene00220092</v>
      </c>
      <c r="B3545" s="9"/>
      <c r="C3545" s="9"/>
      <c r="D3545" t="str">
        <f>"T24H10.12"</f>
        <v>T24H10.12</v>
      </c>
      <c r="F3545" t="s">
        <v>2977</v>
      </c>
      <c r="H3545" s="12">
        <v>2.3893468495514898</v>
      </c>
      <c r="I3545" s="11">
        <v>0.25323547253672701</v>
      </c>
      <c r="J3545" s="10">
        <v>0.80008625651646104</v>
      </c>
      <c r="K3545" s="29">
        <v>0.98289565623980701</v>
      </c>
    </row>
    <row r="3546" spans="1:11" x14ac:dyDescent="0.35">
      <c r="A3546" s="9" t="str">
        <f>HYPERLINK("http://www.ensembl.org/id/WBGene00196482", "WBGene00196482")</f>
        <v>WBGene00196482</v>
      </c>
      <c r="B3546" s="9"/>
      <c r="C3546" s="9"/>
      <c r="D3546" t="str">
        <f>"T25D1.4"</f>
        <v>T25D1.4</v>
      </c>
      <c r="F3546" t="s">
        <v>481</v>
      </c>
      <c r="H3546" s="12">
        <v>2.3893468495514898</v>
      </c>
      <c r="I3546" s="11">
        <v>0.25323547253672701</v>
      </c>
      <c r="J3546" s="10">
        <v>0.80008625651646104</v>
      </c>
      <c r="K3546" s="29">
        <v>0.98289565623980701</v>
      </c>
    </row>
    <row r="3547" spans="1:11" x14ac:dyDescent="0.35">
      <c r="A3547" s="9" t="str">
        <f>HYPERLINK("http://www.ensembl.org/id/WBGene00201244", "WBGene00201244")</f>
        <v>WBGene00201244</v>
      </c>
      <c r="B3547" s="9"/>
      <c r="C3547" s="9"/>
      <c r="D3547" t="str">
        <f>"T25D10.9"</f>
        <v>T25D10.9</v>
      </c>
      <c r="F3547" t="s">
        <v>481</v>
      </c>
      <c r="H3547" s="12">
        <v>2.3893468495514898</v>
      </c>
      <c r="I3547" s="11">
        <v>0.25323547253672701</v>
      </c>
      <c r="J3547" s="10">
        <v>0.80008625651646104</v>
      </c>
      <c r="K3547" s="29">
        <v>0.98289565623980701</v>
      </c>
    </row>
    <row r="3548" spans="1:11" x14ac:dyDescent="0.35">
      <c r="A3548" s="9" t="str">
        <f>HYPERLINK("http://www.ensembl.org/id/WBGene00198563", "WBGene00198563")</f>
        <v>WBGene00198563</v>
      </c>
      <c r="B3548" s="9"/>
      <c r="C3548" s="9"/>
      <c r="D3548" t="str">
        <f>"T27B1.4"</f>
        <v>T27B1.4</v>
      </c>
      <c r="F3548" t="s">
        <v>481</v>
      </c>
      <c r="H3548" s="12">
        <v>2.3893468495514898</v>
      </c>
      <c r="I3548" s="11">
        <v>0.25323547253672701</v>
      </c>
      <c r="J3548" s="10">
        <v>0.80008625651646104</v>
      </c>
      <c r="K3548" s="29">
        <v>0.98289565623980701</v>
      </c>
    </row>
    <row r="3549" spans="1:11" x14ac:dyDescent="0.35">
      <c r="A3549" s="9" t="str">
        <f>HYPERLINK("http://www.ensembl.org/id/WBGene00077632", "WBGene00077632")</f>
        <v>WBGene00077632</v>
      </c>
      <c r="B3549" s="9"/>
      <c r="C3549" s="9"/>
      <c r="D3549" t="str">
        <f>"T27C5.16"</f>
        <v>T27C5.16</v>
      </c>
      <c r="F3549" t="s">
        <v>80</v>
      </c>
      <c r="H3549" s="12">
        <v>2.3893468495514898</v>
      </c>
      <c r="I3549" s="11">
        <v>0.25323547253672701</v>
      </c>
      <c r="J3549" s="10">
        <v>0.80008625651646104</v>
      </c>
      <c r="K3549" s="29">
        <v>0.98289565623980701</v>
      </c>
    </row>
    <row r="3550" spans="1:11" x14ac:dyDescent="0.35">
      <c r="A3550" s="9" t="str">
        <f>HYPERLINK("http://www.ensembl.org/id/WBGene00198793", "WBGene00198793")</f>
        <v>WBGene00198793</v>
      </c>
      <c r="B3550" s="9"/>
      <c r="C3550" s="9"/>
      <c r="D3550" t="str">
        <f>"T28B11.13"</f>
        <v>T28B11.13</v>
      </c>
      <c r="F3550" t="s">
        <v>481</v>
      </c>
      <c r="H3550" s="12">
        <v>2.3893468495514898</v>
      </c>
      <c r="I3550" s="11">
        <v>0.25323547253672701</v>
      </c>
      <c r="J3550" s="10">
        <v>0.80008625651646104</v>
      </c>
      <c r="K3550" s="29">
        <v>0.98289565623980701</v>
      </c>
    </row>
    <row r="3551" spans="1:11" x14ac:dyDescent="0.35">
      <c r="A3551" s="9" t="str">
        <f>HYPERLINK("http://www.ensembl.org/id/WBGene00198804", "WBGene00198804")</f>
        <v>WBGene00198804</v>
      </c>
      <c r="B3551" s="9"/>
      <c r="C3551" s="9"/>
      <c r="D3551" t="str">
        <f>"T28B11.14"</f>
        <v>T28B11.14</v>
      </c>
      <c r="F3551" t="s">
        <v>481</v>
      </c>
      <c r="H3551" s="12">
        <v>2.3893468495514898</v>
      </c>
      <c r="I3551" s="11">
        <v>0.25323547253672701</v>
      </c>
      <c r="J3551" s="10">
        <v>0.80008625651646104</v>
      </c>
      <c r="K3551" s="29">
        <v>0.98289565623980701</v>
      </c>
    </row>
    <row r="3552" spans="1:11" x14ac:dyDescent="0.35">
      <c r="A3552" s="9" t="str">
        <f>HYPERLINK("http://www.ensembl.org/id/WBGene00201041", "WBGene00201041")</f>
        <v>WBGene00201041</v>
      </c>
      <c r="B3552" s="9"/>
      <c r="C3552" s="9"/>
      <c r="D3552" t="str">
        <f>"T28C12.12"</f>
        <v>T28C12.12</v>
      </c>
      <c r="F3552" t="s">
        <v>481</v>
      </c>
      <c r="H3552" s="12">
        <v>2.3893468495514898</v>
      </c>
      <c r="I3552" s="11">
        <v>0.25323547253672701</v>
      </c>
      <c r="J3552" s="10">
        <v>0.80008625651646104</v>
      </c>
      <c r="K3552" s="29">
        <v>0.98289565623980701</v>
      </c>
    </row>
    <row r="3553" spans="1:11" x14ac:dyDescent="0.35">
      <c r="A3553" s="9" t="str">
        <f>HYPERLINK("http://www.ensembl.org/id/WBGene00050892", "WBGene00050892")</f>
        <v>WBGene00050892</v>
      </c>
      <c r="B3553" s="9" t="str">
        <f>HYPERLINK("http://www.ncbi.nlm.nih.gov/gene/6418740", "6418740")</f>
        <v>6418740</v>
      </c>
      <c r="C3553" s="9"/>
      <c r="D3553" t="str">
        <f>"ttr-57"</f>
        <v>ttr-57</v>
      </c>
      <c r="E3553" t="s">
        <v>16</v>
      </c>
      <c r="F3553" t="s">
        <v>11</v>
      </c>
      <c r="G3553" t="s">
        <v>1274</v>
      </c>
      <c r="H3553" s="12">
        <v>2.3893468495514898</v>
      </c>
      <c r="I3553" s="11">
        <v>0.25323547253672701</v>
      </c>
      <c r="J3553" s="10">
        <v>0.80008625651646104</v>
      </c>
      <c r="K3553" s="29">
        <v>0.98289565623980701</v>
      </c>
    </row>
    <row r="3554" spans="1:11" x14ac:dyDescent="0.35">
      <c r="A3554" s="9" t="str">
        <f>HYPERLINK("http://www.ensembl.org/id/WBGene00006689", "WBGene00006689")</f>
        <v>WBGene00006689</v>
      </c>
      <c r="B3554" s="9" t="str">
        <f>HYPERLINK("http://www.ncbi.nlm.nih.gov/gene/183583", "183583")</f>
        <v>183583</v>
      </c>
      <c r="C3554" s="9"/>
      <c r="D3554" t="str">
        <f>"twk-37"</f>
        <v>twk-37</v>
      </c>
      <c r="E3554" t="s">
        <v>894</v>
      </c>
      <c r="F3554" t="s">
        <v>11</v>
      </c>
      <c r="G3554" t="s">
        <v>895</v>
      </c>
      <c r="H3554" s="12">
        <v>2.3893468495514898</v>
      </c>
      <c r="I3554" s="11">
        <v>0.25323547253672701</v>
      </c>
      <c r="J3554" s="10">
        <v>0.80008625651646104</v>
      </c>
      <c r="K3554" s="29">
        <v>0.98289565623980701</v>
      </c>
    </row>
    <row r="3555" spans="1:11" x14ac:dyDescent="0.35">
      <c r="A3555" s="9" t="str">
        <f>HYPERLINK("http://www.ensembl.org/id/WBGene00045097", "WBGene00045097")</f>
        <v>WBGene00045097</v>
      </c>
      <c r="B3555" s="9"/>
      <c r="C3555" s="9"/>
      <c r="D3555" t="str">
        <f>"VY10G11R.2"</f>
        <v>VY10G11R.2</v>
      </c>
      <c r="F3555" t="s">
        <v>80</v>
      </c>
      <c r="H3555" s="12">
        <v>2.3893468495514898</v>
      </c>
      <c r="I3555" s="11">
        <v>0.25323547253672701</v>
      </c>
      <c r="J3555" s="10">
        <v>0.80008625651646104</v>
      </c>
      <c r="K3555" s="29">
        <v>0.98289565623980701</v>
      </c>
    </row>
    <row r="3556" spans="1:11" x14ac:dyDescent="0.35">
      <c r="A3556" s="9" t="str">
        <f>HYPERLINK("http://www.ensembl.org/id/WBGene00197475", "WBGene00197475")</f>
        <v>WBGene00197475</v>
      </c>
      <c r="B3556" s="9"/>
      <c r="C3556" s="9"/>
      <c r="D3556" t="str">
        <f>"W01C8.11"</f>
        <v>W01C8.11</v>
      </c>
      <c r="F3556" t="s">
        <v>481</v>
      </c>
      <c r="H3556" s="12">
        <v>2.3893468495514898</v>
      </c>
      <c r="I3556" s="11">
        <v>0.25323547253672701</v>
      </c>
      <c r="J3556" s="10">
        <v>0.80008625651646104</v>
      </c>
      <c r="K3556" s="29">
        <v>0.98289565623980701</v>
      </c>
    </row>
    <row r="3557" spans="1:11" x14ac:dyDescent="0.35">
      <c r="A3557" s="9" t="str">
        <f>HYPERLINK("http://www.ensembl.org/id/WBGene00045123", "WBGene00045123")</f>
        <v>WBGene00045123</v>
      </c>
      <c r="B3557" s="9"/>
      <c r="C3557" s="9"/>
      <c r="D3557" t="str">
        <f>"W01D2.7"</f>
        <v>W01D2.7</v>
      </c>
      <c r="F3557" t="s">
        <v>481</v>
      </c>
      <c r="H3557" s="12">
        <v>2.3893468495514898</v>
      </c>
      <c r="I3557" s="11">
        <v>0.25323547253672701</v>
      </c>
      <c r="J3557" s="10">
        <v>0.80008625651646104</v>
      </c>
      <c r="K3557" s="29">
        <v>0.98289565623980701</v>
      </c>
    </row>
    <row r="3558" spans="1:11" x14ac:dyDescent="0.35">
      <c r="A3558" s="9" t="str">
        <f>HYPERLINK("http://www.ensembl.org/id/WBGene00200872", "WBGene00200872")</f>
        <v>WBGene00200872</v>
      </c>
      <c r="B3558" s="9"/>
      <c r="C3558" s="9"/>
      <c r="D3558" t="str">
        <f>"W03G11.19"</f>
        <v>W03G11.19</v>
      </c>
      <c r="F3558" t="s">
        <v>481</v>
      </c>
      <c r="H3558" s="12">
        <v>2.3893468495514898</v>
      </c>
      <c r="I3558" s="11">
        <v>0.25323547253672701</v>
      </c>
      <c r="J3558" s="10">
        <v>0.80008625651646104</v>
      </c>
      <c r="K3558" s="29">
        <v>0.98289565623980701</v>
      </c>
    </row>
    <row r="3559" spans="1:11" x14ac:dyDescent="0.35">
      <c r="A3559" s="9" t="str">
        <f>HYPERLINK("http://www.ensembl.org/id/WBGene00012248", "WBGene00012248")</f>
        <v>WBGene00012248</v>
      </c>
      <c r="B3559" s="9" t="str">
        <f>HYPERLINK("http://www.ncbi.nlm.nih.gov/gene/189190", "189190")</f>
        <v>189190</v>
      </c>
      <c r="C3559" s="9"/>
      <c r="D3559" t="str">
        <f>"W04E12.3"</f>
        <v>W04E12.3</v>
      </c>
      <c r="F3559" t="s">
        <v>11</v>
      </c>
      <c r="G3559" t="s">
        <v>25</v>
      </c>
      <c r="H3559" s="12">
        <v>2.3893468495514898</v>
      </c>
      <c r="I3559" s="11">
        <v>0.25323547253672701</v>
      </c>
      <c r="J3559" s="10">
        <v>0.80008625651646104</v>
      </c>
      <c r="K3559" s="29">
        <v>0.98289565623980701</v>
      </c>
    </row>
    <row r="3560" spans="1:11" x14ac:dyDescent="0.35">
      <c r="A3560" s="9" t="str">
        <f>HYPERLINK("http://www.ensembl.org/id/WBGene00045149", "WBGene00045149")</f>
        <v>WBGene00045149</v>
      </c>
      <c r="B3560" s="9"/>
      <c r="C3560" s="9"/>
      <c r="D3560" t="str">
        <f>"W05B2.9"</f>
        <v>W05B2.9</v>
      </c>
      <c r="F3560" t="s">
        <v>2977</v>
      </c>
      <c r="H3560" s="12">
        <v>2.3893468495514898</v>
      </c>
      <c r="I3560" s="11">
        <v>0.25323547253672701</v>
      </c>
      <c r="J3560" s="10">
        <v>0.80008625651646104</v>
      </c>
      <c r="K3560" s="29">
        <v>0.98289565623980701</v>
      </c>
    </row>
    <row r="3561" spans="1:11" x14ac:dyDescent="0.35">
      <c r="A3561" s="9" t="str">
        <f>HYPERLINK("http://www.ensembl.org/id/WBGene00199806", "WBGene00199806")</f>
        <v>WBGene00199806</v>
      </c>
      <c r="B3561" s="9"/>
      <c r="C3561" s="9"/>
      <c r="D3561" t="str">
        <f>"W05E10.15"</f>
        <v>W05E10.15</v>
      </c>
      <c r="F3561" t="s">
        <v>481</v>
      </c>
      <c r="H3561" s="12">
        <v>2.3893468495514898</v>
      </c>
      <c r="I3561" s="11">
        <v>0.25323547253672701</v>
      </c>
      <c r="J3561" s="10">
        <v>0.80008625651646104</v>
      </c>
      <c r="K3561" s="29">
        <v>0.98289565623980701</v>
      </c>
    </row>
    <row r="3562" spans="1:11" x14ac:dyDescent="0.35">
      <c r="A3562" s="9" t="str">
        <f>HYPERLINK("http://www.ensembl.org/id/WBGene00012305", "WBGene00012305")</f>
        <v>WBGene00012305</v>
      </c>
      <c r="B3562" s="9" t="str">
        <f>HYPERLINK("http://www.ncbi.nlm.nih.gov/gene/189248", "189248")</f>
        <v>189248</v>
      </c>
      <c r="C3562" s="9"/>
      <c r="D3562" t="str">
        <f>"W06D12.6"</f>
        <v>W06D12.6</v>
      </c>
      <c r="F3562" t="s">
        <v>11</v>
      </c>
      <c r="H3562" s="12">
        <v>2.3893468495514898</v>
      </c>
      <c r="I3562" s="11">
        <v>0.25323547253672701</v>
      </c>
      <c r="J3562" s="10">
        <v>0.80008625651646104</v>
      </c>
      <c r="K3562" s="29">
        <v>0.98289565623980701</v>
      </c>
    </row>
    <row r="3563" spans="1:11" x14ac:dyDescent="0.35">
      <c r="A3563" s="9" t="str">
        <f>HYPERLINK("http://www.ensembl.org/id/WBGene00021109", "WBGene00021109")</f>
        <v>WBGene00021109</v>
      </c>
      <c r="B3563" s="9" t="str">
        <f>HYPERLINK("http://www.ncbi.nlm.nih.gov/gene/189309", "189309")</f>
        <v>189309</v>
      </c>
      <c r="C3563" s="9"/>
      <c r="D3563" t="str">
        <f>"W09C3.1"</f>
        <v>W09C3.1</v>
      </c>
      <c r="F3563" t="s">
        <v>11</v>
      </c>
      <c r="G3563" t="s">
        <v>961</v>
      </c>
      <c r="H3563" s="12">
        <v>2.3893468495514898</v>
      </c>
      <c r="I3563" s="11">
        <v>0.25323547253672701</v>
      </c>
      <c r="J3563" s="10">
        <v>0.80008625651646104</v>
      </c>
      <c r="K3563" s="29">
        <v>0.98289565623980701</v>
      </c>
    </row>
    <row r="3564" spans="1:11" x14ac:dyDescent="0.35">
      <c r="A3564" s="9" t="str">
        <f>HYPERLINK("http://www.ensembl.org/id/WBGene00195859", "WBGene00195859")</f>
        <v>WBGene00195859</v>
      </c>
      <c r="B3564" s="9"/>
      <c r="C3564" s="9"/>
      <c r="D3564" t="str">
        <f>"W09D12.5"</f>
        <v>W09D12.5</v>
      </c>
      <c r="F3564" t="s">
        <v>481</v>
      </c>
      <c r="H3564" s="12">
        <v>2.3893468495514898</v>
      </c>
      <c r="I3564" s="11">
        <v>0.25323547253672701</v>
      </c>
      <c r="J3564" s="10">
        <v>0.80008625651646104</v>
      </c>
      <c r="K3564" s="29">
        <v>0.98289565623980701</v>
      </c>
    </row>
    <row r="3565" spans="1:11" x14ac:dyDescent="0.35">
      <c r="A3565" s="9" t="str">
        <f>HYPERLINK("http://www.ensembl.org/id/WBGene00196468", "WBGene00196468")</f>
        <v>WBGene00196468</v>
      </c>
      <c r="B3565" s="9"/>
      <c r="C3565" s="9"/>
      <c r="D3565" t="str">
        <f>"W09G3.12"</f>
        <v>W09G3.12</v>
      </c>
      <c r="F3565" t="s">
        <v>481</v>
      </c>
      <c r="H3565" s="12">
        <v>2.3893468495514898</v>
      </c>
      <c r="I3565" s="11">
        <v>0.25323547253672701</v>
      </c>
      <c r="J3565" s="10">
        <v>0.80008625651646104</v>
      </c>
      <c r="K3565" s="29">
        <v>0.98289565623980701</v>
      </c>
    </row>
    <row r="3566" spans="1:11" x14ac:dyDescent="0.35">
      <c r="A3566" s="9" t="str">
        <f>HYPERLINK("http://www.ensembl.org/id/WBGene00199081", "WBGene00199081")</f>
        <v>WBGene00199081</v>
      </c>
      <c r="B3566" s="9"/>
      <c r="C3566" s="9"/>
      <c r="D3566" t="str">
        <f>"W10C8.12"</f>
        <v>W10C8.12</v>
      </c>
      <c r="F3566" t="s">
        <v>481</v>
      </c>
      <c r="H3566" s="12">
        <v>2.3893468495514898</v>
      </c>
      <c r="I3566" s="11">
        <v>0.25323547253672701</v>
      </c>
      <c r="J3566" s="10">
        <v>0.80008625651646104</v>
      </c>
      <c r="K3566" s="29">
        <v>0.98289565623980701</v>
      </c>
    </row>
    <row r="3567" spans="1:11" x14ac:dyDescent="0.35">
      <c r="A3567" s="9" t="str">
        <f>HYPERLINK("http://www.ensembl.org/id/WBGene00023201", "WBGene00023201")</f>
        <v>WBGene00023201</v>
      </c>
      <c r="B3567" s="9"/>
      <c r="C3567" s="9"/>
      <c r="D3567" t="str">
        <f>"Y102E9.t1"</f>
        <v>Y102E9.t1</v>
      </c>
      <c r="F3567" t="s">
        <v>4208</v>
      </c>
      <c r="H3567" s="12">
        <v>2.3893468495514898</v>
      </c>
      <c r="I3567" s="11">
        <v>0.25323547253672701</v>
      </c>
      <c r="J3567" s="10">
        <v>0.80008625651646104</v>
      </c>
      <c r="K3567" s="29">
        <v>0.98289565623980701</v>
      </c>
    </row>
    <row r="3568" spans="1:11" x14ac:dyDescent="0.35">
      <c r="A3568" s="9" t="str">
        <f>HYPERLINK("http://www.ensembl.org/id/WBGene00220224", "WBGene00220224")</f>
        <v>WBGene00220224</v>
      </c>
      <c r="B3568" s="9"/>
      <c r="C3568" s="9"/>
      <c r="D3568" t="str">
        <f>"Y105C5B.1419"</f>
        <v>Y105C5B.1419</v>
      </c>
      <c r="F3568" t="s">
        <v>2977</v>
      </c>
      <c r="H3568" s="12">
        <v>2.3893468495514898</v>
      </c>
      <c r="I3568" s="11">
        <v>0.25323547253672701</v>
      </c>
      <c r="J3568" s="10">
        <v>0.80008625651646104</v>
      </c>
      <c r="K3568" s="29">
        <v>0.98289565623980701</v>
      </c>
    </row>
    <row r="3569" spans="1:11" x14ac:dyDescent="0.35">
      <c r="A3569" s="9" t="str">
        <f>HYPERLINK("http://www.ensembl.org/id/WBGene00013661", "WBGene00013661")</f>
        <v>WBGene00013661</v>
      </c>
      <c r="B3569" s="9"/>
      <c r="C3569" s="9"/>
      <c r="D3569" t="str">
        <f>"Y105C5B.23"</f>
        <v>Y105C5B.23</v>
      </c>
      <c r="F3569" t="s">
        <v>80</v>
      </c>
      <c r="H3569" s="12">
        <v>2.3893468495514898</v>
      </c>
      <c r="I3569" s="11">
        <v>0.25323547253672701</v>
      </c>
      <c r="J3569" s="10">
        <v>0.80008625651646104</v>
      </c>
      <c r="K3569" s="29">
        <v>0.98289565623980701</v>
      </c>
    </row>
    <row r="3570" spans="1:11" x14ac:dyDescent="0.35">
      <c r="A3570" s="9" t="str">
        <f>HYPERLINK("http://www.ensembl.org/id/WBGene00194854", "WBGene00194854")</f>
        <v>WBGene00194854</v>
      </c>
      <c r="B3570" s="9"/>
      <c r="C3570" s="9"/>
      <c r="D3570" t="str">
        <f>"Y111B2A.30"</f>
        <v>Y111B2A.30</v>
      </c>
      <c r="F3570" t="s">
        <v>2735</v>
      </c>
      <c r="H3570" s="12">
        <v>2.3893468495514898</v>
      </c>
      <c r="I3570" s="11">
        <v>0.25323547253672701</v>
      </c>
      <c r="J3570" s="10">
        <v>0.80008625651646104</v>
      </c>
      <c r="K3570" s="29">
        <v>0.98289565623980701</v>
      </c>
    </row>
    <row r="3571" spans="1:11" x14ac:dyDescent="0.35">
      <c r="A3571" s="9" t="str">
        <f>HYPERLINK("http://www.ensembl.org/id/WBGene00199542", "WBGene00199542")</f>
        <v>WBGene00199542</v>
      </c>
      <c r="B3571" s="9"/>
      <c r="C3571" s="9"/>
      <c r="D3571" t="str">
        <f>"Y113G7A.19"</f>
        <v>Y113G7A.19</v>
      </c>
      <c r="F3571" t="s">
        <v>481</v>
      </c>
      <c r="H3571" s="12">
        <v>2.3893468495514898</v>
      </c>
      <c r="I3571" s="11">
        <v>0.25323547253672701</v>
      </c>
      <c r="J3571" s="10">
        <v>0.80008625651646104</v>
      </c>
      <c r="K3571" s="29">
        <v>0.98289565623980701</v>
      </c>
    </row>
    <row r="3572" spans="1:11" x14ac:dyDescent="0.35">
      <c r="A3572" s="9" t="str">
        <f>HYPERLINK("http://www.ensembl.org/id/WBGene00206510", "WBGene00206510")</f>
        <v>WBGene00206510</v>
      </c>
      <c r="B3572" s="9" t="str">
        <f>HYPERLINK("http://www.ncbi.nlm.nih.gov/gene/13218727", "13218727")</f>
        <v>13218727</v>
      </c>
      <c r="C3572" s="9"/>
      <c r="D3572" t="str">
        <f>"Y113G7A.22"</f>
        <v>Y113G7A.22</v>
      </c>
      <c r="F3572" t="s">
        <v>11</v>
      </c>
      <c r="H3572" s="12">
        <v>2.3893468495514898</v>
      </c>
      <c r="I3572" s="11">
        <v>0.25323547253672701</v>
      </c>
      <c r="J3572" s="10">
        <v>0.80008625651646104</v>
      </c>
      <c r="K3572" s="29">
        <v>0.98289565623980701</v>
      </c>
    </row>
    <row r="3573" spans="1:11" x14ac:dyDescent="0.35">
      <c r="A3573" s="9" t="str">
        <f>HYPERLINK("http://www.ensembl.org/id/WBGene00201659", "WBGene00201659")</f>
        <v>WBGene00201659</v>
      </c>
      <c r="B3573" s="9"/>
      <c r="C3573" s="9"/>
      <c r="D3573" t="str">
        <f>"Y116A8B.97"</f>
        <v>Y116A8B.97</v>
      </c>
      <c r="F3573" t="s">
        <v>481</v>
      </c>
      <c r="H3573" s="12">
        <v>2.3893468495514898</v>
      </c>
      <c r="I3573" s="11">
        <v>0.25323547253672701</v>
      </c>
      <c r="J3573" s="10">
        <v>0.80008625651646104</v>
      </c>
      <c r="K3573" s="29">
        <v>0.98289565623980701</v>
      </c>
    </row>
    <row r="3574" spans="1:11" x14ac:dyDescent="0.35">
      <c r="A3574" s="9" t="str">
        <f>HYPERLINK("http://www.ensembl.org/id/WBGene00013783", "WBGene00013783")</f>
        <v>WBGene00013783</v>
      </c>
      <c r="B3574" s="9"/>
      <c r="C3574" s="9"/>
      <c r="D3574" t="str">
        <f>"Y116A8C.1"</f>
        <v>Y116A8C.1</v>
      </c>
      <c r="F3574" t="s">
        <v>80</v>
      </c>
      <c r="H3574" s="12">
        <v>2.3893468495514898</v>
      </c>
      <c r="I3574" s="11">
        <v>0.25323547253672701</v>
      </c>
      <c r="J3574" s="10">
        <v>0.80008625651646104</v>
      </c>
      <c r="K3574" s="29">
        <v>0.98289565623980701</v>
      </c>
    </row>
    <row r="3575" spans="1:11" x14ac:dyDescent="0.35">
      <c r="A3575" s="9" t="str">
        <f>HYPERLINK("http://www.ensembl.org/id/WBGene00255709", "WBGene00255709")</f>
        <v>WBGene00255709</v>
      </c>
      <c r="B3575" s="9"/>
      <c r="C3575" s="9"/>
      <c r="D3575" t="str">
        <f>"Y116A8C.471"</f>
        <v>Y116A8C.471</v>
      </c>
      <c r="F3575" t="s">
        <v>481</v>
      </c>
      <c r="H3575" s="12">
        <v>2.3893468495514898</v>
      </c>
      <c r="I3575" s="11">
        <v>0.25323547253672701</v>
      </c>
      <c r="J3575" s="10">
        <v>0.80008625651646104</v>
      </c>
      <c r="K3575" s="29">
        <v>0.98289565623980701</v>
      </c>
    </row>
    <row r="3576" spans="1:11" x14ac:dyDescent="0.35">
      <c r="A3576" s="9" t="str">
        <f>HYPERLINK("http://www.ensembl.org/id/WBGene00077789", "WBGene00077789")</f>
        <v>WBGene00077789</v>
      </c>
      <c r="B3576" s="9"/>
      <c r="C3576" s="9"/>
      <c r="D3576" t="str">
        <f>"Y26D4A.22"</f>
        <v>Y26D4A.22</v>
      </c>
      <c r="F3576" t="s">
        <v>80</v>
      </c>
      <c r="H3576" s="12">
        <v>2.3893468495514898</v>
      </c>
      <c r="I3576" s="11">
        <v>0.25323547253672701</v>
      </c>
      <c r="J3576" s="10">
        <v>0.80008625651646104</v>
      </c>
      <c r="K3576" s="29">
        <v>0.98289565623980701</v>
      </c>
    </row>
    <row r="3577" spans="1:11" x14ac:dyDescent="0.35">
      <c r="A3577" s="9" t="str">
        <f>HYPERLINK("http://www.ensembl.org/id/WBGene00044932", "WBGene00044932")</f>
        <v>WBGene00044932</v>
      </c>
      <c r="B3577" s="9"/>
      <c r="C3577" s="9"/>
      <c r="D3577" t="str">
        <f>"Y37E3.22"</f>
        <v>Y37E3.22</v>
      </c>
      <c r="F3577" t="s">
        <v>2977</v>
      </c>
      <c r="H3577" s="12">
        <v>2.3893468495514898</v>
      </c>
      <c r="I3577" s="11">
        <v>0.25323547253672701</v>
      </c>
      <c r="J3577" s="10">
        <v>0.80008625651646104</v>
      </c>
      <c r="K3577" s="29">
        <v>0.98289565623980701</v>
      </c>
    </row>
    <row r="3578" spans="1:11" x14ac:dyDescent="0.35">
      <c r="A3578" s="9" t="str">
        <f>HYPERLINK("http://www.ensembl.org/id/WBGene00202000", "WBGene00202000")</f>
        <v>WBGene00202000</v>
      </c>
      <c r="B3578" s="9"/>
      <c r="C3578" s="9"/>
      <c r="D3578" t="str">
        <f>"Y38F1A.13"</f>
        <v>Y38F1A.13</v>
      </c>
      <c r="F3578" t="s">
        <v>481</v>
      </c>
      <c r="H3578" s="12">
        <v>2.3893468495514898</v>
      </c>
      <c r="I3578" s="11">
        <v>0.25323547253672701</v>
      </c>
      <c r="J3578" s="10">
        <v>0.80008625651646104</v>
      </c>
      <c r="K3578" s="29">
        <v>0.98289565623980701</v>
      </c>
    </row>
    <row r="3579" spans="1:11" x14ac:dyDescent="0.35">
      <c r="A3579" s="9" t="str">
        <f>HYPERLINK("http://www.ensembl.org/id/WBGene00012612", "WBGene00012612")</f>
        <v>WBGene00012612</v>
      </c>
      <c r="B3579" s="9" t="str">
        <f>HYPERLINK("http://www.ncbi.nlm.nih.gov/gene/189680", "189680")</f>
        <v>189680</v>
      </c>
      <c r="C3579" s="9"/>
      <c r="D3579" t="str">
        <f>"Y38H6A.1"</f>
        <v>Y38H6A.1</v>
      </c>
      <c r="F3579" t="s">
        <v>11</v>
      </c>
      <c r="H3579" s="12">
        <v>2.3893468495514898</v>
      </c>
      <c r="I3579" s="11">
        <v>0.25323547253672701</v>
      </c>
      <c r="J3579" s="10">
        <v>0.80008625651646104</v>
      </c>
      <c r="K3579" s="29">
        <v>0.98289565623980701</v>
      </c>
    </row>
    <row r="3580" spans="1:11" x14ac:dyDescent="0.35">
      <c r="A3580" s="9" t="str">
        <f>HYPERLINK("http://www.ensembl.org/id/WBGene00196072", "WBGene00196072")</f>
        <v>WBGene00196072</v>
      </c>
      <c r="B3580" s="9"/>
      <c r="C3580" s="9"/>
      <c r="D3580" t="str">
        <f>"Y39A3B.6"</f>
        <v>Y39A3B.6</v>
      </c>
      <c r="F3580" t="s">
        <v>481</v>
      </c>
      <c r="H3580" s="12">
        <v>2.3893468495514898</v>
      </c>
      <c r="I3580" s="11">
        <v>0.25323547253672701</v>
      </c>
      <c r="J3580" s="10">
        <v>0.80008625651646104</v>
      </c>
      <c r="K3580" s="29">
        <v>0.98289565623980701</v>
      </c>
    </row>
    <row r="3581" spans="1:11" x14ac:dyDescent="0.35">
      <c r="A3581" s="9" t="str">
        <f>HYPERLINK("http://www.ensembl.org/id/WBGene00199357", "WBGene00199357")</f>
        <v>WBGene00199357</v>
      </c>
      <c r="B3581" s="9"/>
      <c r="C3581" s="9"/>
      <c r="D3581" t="str">
        <f>"Y39G8C.9"</f>
        <v>Y39G8C.9</v>
      </c>
      <c r="F3581" t="s">
        <v>481</v>
      </c>
      <c r="H3581" s="12">
        <v>2.3893468495514898</v>
      </c>
      <c r="I3581" s="11">
        <v>0.25323547253672701</v>
      </c>
      <c r="J3581" s="10">
        <v>0.80008625651646104</v>
      </c>
      <c r="K3581" s="29">
        <v>0.98289565623980701</v>
      </c>
    </row>
    <row r="3582" spans="1:11" x14ac:dyDescent="0.35">
      <c r="A3582" s="9" t="str">
        <f>HYPERLINK("http://www.ensembl.org/id/WBGene00012771", "WBGene00012771")</f>
        <v>WBGene00012771</v>
      </c>
      <c r="B3582" s="9" t="str">
        <f>HYPERLINK("http://www.ncbi.nlm.nih.gov/gene/189833", "189833")</f>
        <v>189833</v>
      </c>
      <c r="C3582" s="9"/>
      <c r="D3582" t="str">
        <f>"Y41E3.13"</f>
        <v>Y41E3.13</v>
      </c>
      <c r="F3582" t="s">
        <v>11</v>
      </c>
      <c r="H3582" s="12">
        <v>2.3893468495514898</v>
      </c>
      <c r="I3582" s="11">
        <v>0.25323547253672701</v>
      </c>
      <c r="J3582" s="10">
        <v>0.80008625651646104</v>
      </c>
      <c r="K3582" s="29">
        <v>0.98289565623980701</v>
      </c>
    </row>
    <row r="3583" spans="1:11" x14ac:dyDescent="0.35">
      <c r="A3583" s="9" t="str">
        <f>HYPERLINK("http://www.ensembl.org/id/WBGene00045086", "WBGene00045086")</f>
        <v>WBGene00045086</v>
      </c>
      <c r="B3583" s="9"/>
      <c r="C3583" s="9"/>
      <c r="D3583" t="str">
        <f>"Y43B11AR.7"</f>
        <v>Y43B11AR.7</v>
      </c>
      <c r="F3583" t="s">
        <v>2977</v>
      </c>
      <c r="H3583" s="12">
        <v>2.3893468495514898</v>
      </c>
      <c r="I3583" s="11">
        <v>0.25323547253672701</v>
      </c>
      <c r="J3583" s="10">
        <v>0.80008625651646104</v>
      </c>
      <c r="K3583" s="29">
        <v>0.98289565623980701</v>
      </c>
    </row>
    <row r="3584" spans="1:11" x14ac:dyDescent="0.35">
      <c r="A3584" s="9" t="str">
        <f>HYPERLINK("http://www.ensembl.org/id/WBGene00012790", "WBGene00012790")</f>
        <v>WBGene00012790</v>
      </c>
      <c r="B3584" s="9" t="str">
        <f>HYPERLINK("http://www.ncbi.nlm.nih.gov/gene/189853", "189853")</f>
        <v>189853</v>
      </c>
      <c r="C3584" s="9"/>
      <c r="D3584" t="str">
        <f>"Y43D4A.4"</f>
        <v>Y43D4A.4</v>
      </c>
      <c r="F3584" t="s">
        <v>11</v>
      </c>
      <c r="G3584" t="s">
        <v>230</v>
      </c>
      <c r="H3584" s="12">
        <v>2.3893468495514898</v>
      </c>
      <c r="I3584" s="11">
        <v>0.25323547253672701</v>
      </c>
      <c r="J3584" s="10">
        <v>0.80008625651646104</v>
      </c>
      <c r="K3584" s="29">
        <v>0.98289565623980701</v>
      </c>
    </row>
    <row r="3585" spans="1:11" x14ac:dyDescent="0.35">
      <c r="A3585" s="9" t="str">
        <f>HYPERLINK("http://www.ensembl.org/id/WBGene00014890", "WBGene00014890")</f>
        <v>WBGene00014890</v>
      </c>
      <c r="B3585" s="9"/>
      <c r="C3585" s="9"/>
      <c r="D3585" t="str">
        <f>"Y43F8C.t2"</f>
        <v>Y43F8C.t2</v>
      </c>
      <c r="F3585" t="s">
        <v>80</v>
      </c>
      <c r="H3585" s="12">
        <v>2.3893468495514898</v>
      </c>
      <c r="I3585" s="11">
        <v>0.25323547253672701</v>
      </c>
      <c r="J3585" s="10">
        <v>0.80008625651646104</v>
      </c>
      <c r="K3585" s="29">
        <v>0.98289565623980701</v>
      </c>
    </row>
    <row r="3586" spans="1:11" x14ac:dyDescent="0.35">
      <c r="A3586" s="9" t="str">
        <f>HYPERLINK("http://www.ensembl.org/id/WBGene00195003", "WBGene00195003")</f>
        <v>WBGene00195003</v>
      </c>
      <c r="B3586" s="9" t="str">
        <f>HYPERLINK("http://www.ncbi.nlm.nih.gov/gene/13192772", "13192772")</f>
        <v>13192772</v>
      </c>
      <c r="C3586" s="9"/>
      <c r="D3586" t="str">
        <f>"Y46C8AL.11"</f>
        <v>Y46C8AL.11</v>
      </c>
      <c r="F3586" t="s">
        <v>11</v>
      </c>
      <c r="H3586" s="12">
        <v>2.3893468495514898</v>
      </c>
      <c r="I3586" s="11">
        <v>0.25323547253672701</v>
      </c>
      <c r="J3586" s="10">
        <v>0.80008625651646104</v>
      </c>
      <c r="K3586" s="29">
        <v>0.98289565623980701</v>
      </c>
    </row>
    <row r="3587" spans="1:11" x14ac:dyDescent="0.35">
      <c r="A3587" s="9" t="str">
        <f>HYPERLINK("http://www.ensembl.org/id/WBGene00164986", "WBGene00164986")</f>
        <v>WBGene00164986</v>
      </c>
      <c r="B3587" s="9" t="str">
        <f>HYPERLINK("http://www.ncbi.nlm.nih.gov/gene/13191306", "13191306")</f>
        <v>13191306</v>
      </c>
      <c r="C3587" s="9"/>
      <c r="D3587" t="str">
        <f>"Y48A6C.6"</f>
        <v>Y48A6C.6</v>
      </c>
      <c r="F3587" t="s">
        <v>11</v>
      </c>
      <c r="H3587" s="12">
        <v>2.3893468495514898</v>
      </c>
      <c r="I3587" s="11">
        <v>0.25323547253672701</v>
      </c>
      <c r="J3587" s="10">
        <v>0.80008625651646104</v>
      </c>
      <c r="K3587" s="29">
        <v>0.98289565623980701</v>
      </c>
    </row>
    <row r="3588" spans="1:11" x14ac:dyDescent="0.35">
      <c r="A3588" s="9" t="str">
        <f>HYPERLINK("http://www.ensembl.org/id/WBGene00220170", "WBGene00220170")</f>
        <v>WBGene00220170</v>
      </c>
      <c r="B3588" s="9"/>
      <c r="C3588" s="9"/>
      <c r="D3588" t="str">
        <f>"Y48C3A.25"</f>
        <v>Y48C3A.25</v>
      </c>
      <c r="F3588" t="s">
        <v>481</v>
      </c>
      <c r="H3588" s="12">
        <v>2.3893468495514898</v>
      </c>
      <c r="I3588" s="11">
        <v>0.25323547253672701</v>
      </c>
      <c r="J3588" s="10">
        <v>0.80008625651646104</v>
      </c>
      <c r="K3588" s="29">
        <v>0.98289565623980701</v>
      </c>
    </row>
    <row r="3589" spans="1:11" x14ac:dyDescent="0.35">
      <c r="A3589" s="9" t="str">
        <f>HYPERLINK("http://www.ensembl.org/id/WBGene00195068", "WBGene00195068")</f>
        <v>WBGene00195068</v>
      </c>
      <c r="B3589" s="9" t="str">
        <f>HYPERLINK("http://www.ncbi.nlm.nih.gov/gene/13179322", "13179322")</f>
        <v>13179322</v>
      </c>
      <c r="C3589" s="9"/>
      <c r="D3589" t="str">
        <f>"Y48G8AL.16"</f>
        <v>Y48G8AL.16</v>
      </c>
      <c r="F3589" t="s">
        <v>11</v>
      </c>
      <c r="H3589" s="12">
        <v>2.3893468495514898</v>
      </c>
      <c r="I3589" s="11">
        <v>0.25323547253672701</v>
      </c>
      <c r="J3589" s="10">
        <v>0.80008625651646104</v>
      </c>
      <c r="K3589" s="29">
        <v>0.98289565623980701</v>
      </c>
    </row>
    <row r="3590" spans="1:11" x14ac:dyDescent="0.35">
      <c r="A3590" s="9" t="str">
        <f>HYPERLINK("http://www.ensembl.org/id/WBGene00013045", "WBGene00013045")</f>
        <v>WBGene00013045</v>
      </c>
      <c r="B3590" s="9" t="str">
        <f>HYPERLINK("http://www.ncbi.nlm.nih.gov/gene/3565317", "3565317")</f>
        <v>3565317</v>
      </c>
      <c r="C3590" s="9"/>
      <c r="D3590" t="str">
        <f>"Y49E10.27"</f>
        <v>Y49E10.27</v>
      </c>
      <c r="F3590" t="s">
        <v>11</v>
      </c>
      <c r="G3590" t="s">
        <v>51</v>
      </c>
      <c r="H3590" s="12">
        <v>2.3893468495514898</v>
      </c>
      <c r="I3590" s="11">
        <v>0.25323547253672701</v>
      </c>
      <c r="J3590" s="10">
        <v>0.80008625651646104</v>
      </c>
      <c r="K3590" s="29">
        <v>0.98289565623980701</v>
      </c>
    </row>
    <row r="3591" spans="1:11" x14ac:dyDescent="0.35">
      <c r="A3591" s="9" t="str">
        <f>HYPERLINK("http://www.ensembl.org/id/WBGene00198537", "WBGene00198537")</f>
        <v>WBGene00198537</v>
      </c>
      <c r="B3591" s="9"/>
      <c r="C3591" s="9"/>
      <c r="D3591" t="str">
        <f>"Y49G5B.3"</f>
        <v>Y49G5B.3</v>
      </c>
      <c r="F3591" t="s">
        <v>481</v>
      </c>
      <c r="H3591" s="12">
        <v>2.3893468495514898</v>
      </c>
      <c r="I3591" s="11">
        <v>0.25323547253672701</v>
      </c>
      <c r="J3591" s="10">
        <v>0.80008625651646104</v>
      </c>
      <c r="K3591" s="29">
        <v>0.98289565623980701</v>
      </c>
    </row>
    <row r="3592" spans="1:11" x14ac:dyDescent="0.35">
      <c r="A3592" s="9" t="str">
        <f>HYPERLINK("http://www.ensembl.org/id/WBGene00021737", "WBGene00021737")</f>
        <v>WBGene00021737</v>
      </c>
      <c r="B3592" s="9"/>
      <c r="C3592" s="9"/>
      <c r="D3592" t="str">
        <f>"Y50D4A.3"</f>
        <v>Y50D4A.3</v>
      </c>
      <c r="F3592" t="s">
        <v>80</v>
      </c>
      <c r="H3592" s="12">
        <v>2.3893468495514898</v>
      </c>
      <c r="I3592" s="11">
        <v>0.25323547253672701</v>
      </c>
      <c r="J3592" s="10">
        <v>0.80008625651646104</v>
      </c>
      <c r="K3592" s="29">
        <v>0.98289565623980701</v>
      </c>
    </row>
    <row r="3593" spans="1:11" x14ac:dyDescent="0.35">
      <c r="A3593" s="9" t="str">
        <f>HYPERLINK("http://www.ensembl.org/id/WBGene00255420", "WBGene00255420")</f>
        <v>WBGene00255420</v>
      </c>
      <c r="B3593" s="9" t="str">
        <f>HYPERLINK("http://www.ncbi.nlm.nih.gov/gene/24105139", "24105139")</f>
        <v>24105139</v>
      </c>
      <c r="C3593" s="9"/>
      <c r="D3593" t="str">
        <f>"Y51F10.15"</f>
        <v>Y51F10.15</v>
      </c>
      <c r="F3593" t="s">
        <v>11</v>
      </c>
      <c r="G3593" t="s">
        <v>25</v>
      </c>
      <c r="H3593" s="12">
        <v>2.3893468495514898</v>
      </c>
      <c r="I3593" s="11">
        <v>0.25323547253672701</v>
      </c>
      <c r="J3593" s="10">
        <v>0.80008625651646104</v>
      </c>
      <c r="K3593" s="29">
        <v>0.98289565623980701</v>
      </c>
    </row>
    <row r="3594" spans="1:11" x14ac:dyDescent="0.35">
      <c r="A3594" s="9" t="str">
        <f>HYPERLINK("http://www.ensembl.org/id/WBGene00220175", "WBGene00220175")</f>
        <v>WBGene00220175</v>
      </c>
      <c r="B3594" s="9"/>
      <c r="C3594" s="9"/>
      <c r="D3594" t="str">
        <f>"Y51H4A.939"</f>
        <v>Y51H4A.939</v>
      </c>
      <c r="F3594" t="s">
        <v>481</v>
      </c>
      <c r="H3594" s="12">
        <v>2.3893468495514898</v>
      </c>
      <c r="I3594" s="11">
        <v>0.25323547253672701</v>
      </c>
      <c r="J3594" s="10">
        <v>0.80008625651646104</v>
      </c>
      <c r="K3594" s="29">
        <v>0.98289565623980701</v>
      </c>
    </row>
    <row r="3595" spans="1:11" x14ac:dyDescent="0.35">
      <c r="A3595" s="9" t="str">
        <f>HYPERLINK("http://www.ensembl.org/id/WBGene00200052", "WBGene00200052")</f>
        <v>WBGene00200052</v>
      </c>
      <c r="B3595" s="9"/>
      <c r="C3595" s="9"/>
      <c r="D3595" t="str">
        <f>"Y51H7C.29"</f>
        <v>Y51H7C.29</v>
      </c>
      <c r="F3595" t="s">
        <v>481</v>
      </c>
      <c r="H3595" s="12">
        <v>2.3893468495514898</v>
      </c>
      <c r="I3595" s="11">
        <v>0.25323547253672701</v>
      </c>
      <c r="J3595" s="10">
        <v>0.80008625651646104</v>
      </c>
      <c r="K3595" s="29">
        <v>0.98289565623980701</v>
      </c>
    </row>
    <row r="3596" spans="1:11" x14ac:dyDescent="0.35">
      <c r="A3596" s="9" t="str">
        <f>HYPERLINK("http://www.ensembl.org/id/WBGene00195847", "WBGene00195847")</f>
        <v>WBGene00195847</v>
      </c>
      <c r="B3596" s="9"/>
      <c r="C3596" s="9"/>
      <c r="D3596" t="str">
        <f>"Y52E8A.7"</f>
        <v>Y52E8A.7</v>
      </c>
      <c r="F3596" t="s">
        <v>481</v>
      </c>
      <c r="H3596" s="12">
        <v>2.3893468495514898</v>
      </c>
      <c r="I3596" s="11">
        <v>0.25323547253672701</v>
      </c>
      <c r="J3596" s="10">
        <v>0.80008625651646104</v>
      </c>
      <c r="K3596" s="29">
        <v>0.98289565623980701</v>
      </c>
    </row>
    <row r="3597" spans="1:11" x14ac:dyDescent="0.35">
      <c r="A3597" s="9" t="str">
        <f>HYPERLINK("http://www.ensembl.org/id/WBGene00201650", "WBGene00201650")</f>
        <v>WBGene00201650</v>
      </c>
      <c r="B3597" s="9"/>
      <c r="C3597" s="9"/>
      <c r="D3597" t="str">
        <f>"Y54G2A.69"</f>
        <v>Y54G2A.69</v>
      </c>
      <c r="F3597" t="s">
        <v>481</v>
      </c>
      <c r="H3597" s="12">
        <v>2.3893468495514898</v>
      </c>
      <c r="I3597" s="11">
        <v>0.25323547253672701</v>
      </c>
      <c r="J3597" s="10">
        <v>0.80008625651646104</v>
      </c>
      <c r="K3597" s="29">
        <v>0.98289565623980701</v>
      </c>
    </row>
    <row r="3598" spans="1:11" x14ac:dyDescent="0.35">
      <c r="A3598" s="9" t="str">
        <f>HYPERLINK("http://www.ensembl.org/id/WBGene00198206", "WBGene00198206")</f>
        <v>WBGene00198206</v>
      </c>
      <c r="B3598" s="9"/>
      <c r="C3598" s="9"/>
      <c r="D3598" t="str">
        <f>"Y57A10A.41"</f>
        <v>Y57A10A.41</v>
      </c>
      <c r="F3598" t="s">
        <v>481</v>
      </c>
      <c r="H3598" s="12">
        <v>2.3893468495514898</v>
      </c>
      <c r="I3598" s="11">
        <v>0.25323547253672701</v>
      </c>
      <c r="J3598" s="10">
        <v>0.80008625651646104</v>
      </c>
      <c r="K3598" s="29">
        <v>0.98289565623980701</v>
      </c>
    </row>
    <row r="3599" spans="1:11" x14ac:dyDescent="0.35">
      <c r="A3599" s="9" t="str">
        <f>HYPERLINK("http://www.ensembl.org/id/WBGene00014591", "WBGene00014591")</f>
        <v>WBGene00014591</v>
      </c>
      <c r="B3599" s="9"/>
      <c r="C3599" s="9"/>
      <c r="D3599" t="str">
        <f>"Y57A10C.t1"</f>
        <v>Y57A10C.t1</v>
      </c>
      <c r="F3599" t="s">
        <v>4208</v>
      </c>
      <c r="H3599" s="12">
        <v>2.3893468495514898</v>
      </c>
      <c r="I3599" s="11">
        <v>0.25323547253672701</v>
      </c>
      <c r="J3599" s="10">
        <v>0.80008625651646104</v>
      </c>
      <c r="K3599" s="29">
        <v>0.98289565623980701</v>
      </c>
    </row>
    <row r="3600" spans="1:11" x14ac:dyDescent="0.35">
      <c r="A3600" s="9" t="str">
        <f>HYPERLINK("http://www.ensembl.org/id/WBGene00077452", "WBGene00077452")</f>
        <v>WBGene00077452</v>
      </c>
      <c r="B3600" s="9"/>
      <c r="C3600" s="9"/>
      <c r="D3600" t="str">
        <f>"Y62F5A.11"</f>
        <v>Y62F5A.11</v>
      </c>
      <c r="F3600" t="s">
        <v>2977</v>
      </c>
      <c r="H3600" s="12">
        <v>2.3893468495514898</v>
      </c>
      <c r="I3600" s="11">
        <v>0.25323547253672701</v>
      </c>
      <c r="J3600" s="10">
        <v>0.80008625651646104</v>
      </c>
      <c r="K3600" s="29">
        <v>0.98289565623980701</v>
      </c>
    </row>
    <row r="3601" spans="1:11" x14ac:dyDescent="0.35">
      <c r="A3601" s="9" t="str">
        <f>HYPERLINK("http://www.ensembl.org/id/WBGene00013395", "WBGene00013395")</f>
        <v>WBGene00013395</v>
      </c>
      <c r="B3601" s="9" t="str">
        <f>HYPERLINK("http://www.ncbi.nlm.nih.gov/gene/190462", "190462")</f>
        <v>190462</v>
      </c>
      <c r="C3601" s="9"/>
      <c r="D3601" t="str">
        <f>"Y62H9A.7"</f>
        <v>Y62H9A.7</v>
      </c>
      <c r="F3601" t="s">
        <v>11</v>
      </c>
      <c r="H3601" s="12">
        <v>2.3893468495514898</v>
      </c>
      <c r="I3601" s="11">
        <v>0.25323547253672701</v>
      </c>
      <c r="J3601" s="10">
        <v>0.80008625651646104</v>
      </c>
      <c r="K3601" s="29">
        <v>0.98289565623980701</v>
      </c>
    </row>
    <row r="3602" spans="1:11" x14ac:dyDescent="0.35">
      <c r="A3602" s="9" t="str">
        <f>HYPERLINK("http://www.ensembl.org/id/WBGene00045202", "WBGene00045202")</f>
        <v>WBGene00045202</v>
      </c>
      <c r="B3602" s="9"/>
      <c r="C3602" s="9"/>
      <c r="D3602" t="str">
        <f>"Y64G10A.13"</f>
        <v>Y64G10A.13</v>
      </c>
      <c r="F3602" t="s">
        <v>80</v>
      </c>
      <c r="H3602" s="12">
        <v>2.3893468495514898</v>
      </c>
      <c r="I3602" s="11">
        <v>0.25323547253672701</v>
      </c>
      <c r="J3602" s="10">
        <v>0.80008625651646104</v>
      </c>
      <c r="K3602" s="29">
        <v>0.98289565623980701</v>
      </c>
    </row>
    <row r="3603" spans="1:11" x14ac:dyDescent="0.35">
      <c r="A3603" s="9" t="str">
        <f>HYPERLINK("http://www.ensembl.org/id/WBGene00197397", "WBGene00197397")</f>
        <v>WBGene00197397</v>
      </c>
      <c r="B3603" s="9"/>
      <c r="C3603" s="9"/>
      <c r="D3603" t="str">
        <f>"Y67D8C.14"</f>
        <v>Y67D8C.14</v>
      </c>
      <c r="F3603" t="s">
        <v>481</v>
      </c>
      <c r="H3603" s="12">
        <v>2.3893468495514898</v>
      </c>
      <c r="I3603" s="11">
        <v>0.25323547253672701</v>
      </c>
      <c r="J3603" s="10">
        <v>0.80008625651646104</v>
      </c>
      <c r="K3603" s="29">
        <v>0.98289565623980701</v>
      </c>
    </row>
    <row r="3604" spans="1:11" x14ac:dyDescent="0.35">
      <c r="A3604" s="9" t="str">
        <f>HYPERLINK("http://www.ensembl.org/id/WBGene00199492", "WBGene00199492")</f>
        <v>WBGene00199492</v>
      </c>
      <c r="B3604" s="9"/>
      <c r="C3604" s="9"/>
      <c r="D3604" t="str">
        <f>"Y69A2AR.41"</f>
        <v>Y69A2AR.41</v>
      </c>
      <c r="F3604" t="s">
        <v>481</v>
      </c>
      <c r="H3604" s="12">
        <v>2.3893468495514898</v>
      </c>
      <c r="I3604" s="11">
        <v>0.25323547253672701</v>
      </c>
      <c r="J3604" s="10">
        <v>0.80008625651646104</v>
      </c>
      <c r="K3604" s="29">
        <v>0.98289565623980701</v>
      </c>
    </row>
    <row r="3605" spans="1:11" x14ac:dyDescent="0.35">
      <c r="A3605" s="9" t="str">
        <f>HYPERLINK("http://www.ensembl.org/id/WBGene00220128", "WBGene00220128")</f>
        <v>WBGene00220128</v>
      </c>
      <c r="B3605" s="9"/>
      <c r="C3605" s="9"/>
      <c r="D3605" t="str">
        <f>"Y6B3B.15"</f>
        <v>Y6B3B.15</v>
      </c>
      <c r="F3605" t="s">
        <v>2977</v>
      </c>
      <c r="H3605" s="12">
        <v>2.3893468495514898</v>
      </c>
      <c r="I3605" s="11">
        <v>0.25323547253672701</v>
      </c>
      <c r="J3605" s="10">
        <v>0.80008625651646104</v>
      </c>
      <c r="K3605" s="29">
        <v>0.98289565623980701</v>
      </c>
    </row>
    <row r="3606" spans="1:11" x14ac:dyDescent="0.35">
      <c r="A3606" s="9" t="str">
        <f>HYPERLINK("http://www.ensembl.org/id/WBGene00200310", "WBGene00200310")</f>
        <v>WBGene00200310</v>
      </c>
      <c r="B3606" s="9"/>
      <c r="C3606" s="9"/>
      <c r="D3606" t="str">
        <f>"Y71F9B.21"</f>
        <v>Y71F9B.21</v>
      </c>
      <c r="F3606" t="s">
        <v>481</v>
      </c>
      <c r="H3606" s="12">
        <v>2.3893468495514898</v>
      </c>
      <c r="I3606" s="11">
        <v>0.25323547253672701</v>
      </c>
      <c r="J3606" s="10">
        <v>0.80008625651646104</v>
      </c>
      <c r="K3606" s="29">
        <v>0.98289565623980701</v>
      </c>
    </row>
    <row r="3607" spans="1:11" x14ac:dyDescent="0.35">
      <c r="A3607" s="9" t="str">
        <f>HYPERLINK("http://www.ensembl.org/id/WBGene00201568", "WBGene00201568")</f>
        <v>WBGene00201568</v>
      </c>
      <c r="B3607" s="9"/>
      <c r="C3607" s="9"/>
      <c r="D3607" t="str">
        <f>"Y73B6BL.286"</f>
        <v>Y73B6BL.286</v>
      </c>
      <c r="F3607" t="s">
        <v>481</v>
      </c>
      <c r="H3607" s="12">
        <v>2.3893468495514898</v>
      </c>
      <c r="I3607" s="11">
        <v>0.25323547253672701</v>
      </c>
      <c r="J3607" s="10">
        <v>0.80008625651646104</v>
      </c>
      <c r="K3607" s="29">
        <v>0.98289565623980701</v>
      </c>
    </row>
    <row r="3608" spans="1:11" x14ac:dyDescent="0.35">
      <c r="A3608" s="9" t="str">
        <f>HYPERLINK("http://www.ensembl.org/id/WBGene00045129", "WBGene00045129")</f>
        <v>WBGene00045129</v>
      </c>
      <c r="B3608" s="9"/>
      <c r="C3608" s="9"/>
      <c r="D3608" t="str">
        <f>"Y75B12B.12"</f>
        <v>Y75B12B.12</v>
      </c>
      <c r="F3608" t="s">
        <v>2977</v>
      </c>
      <c r="H3608" s="12">
        <v>2.3893468495514898</v>
      </c>
      <c r="I3608" s="11">
        <v>0.25323547253672701</v>
      </c>
      <c r="J3608" s="10">
        <v>0.80008625651646104</v>
      </c>
      <c r="K3608" s="29">
        <v>0.98289565623980701</v>
      </c>
    </row>
    <row r="3609" spans="1:11" x14ac:dyDescent="0.35">
      <c r="A3609" s="9" t="str">
        <f>HYPERLINK("http://www.ensembl.org/id/WBGene00196921", "WBGene00196921")</f>
        <v>WBGene00196921</v>
      </c>
      <c r="B3609" s="9"/>
      <c r="C3609" s="9"/>
      <c r="D3609" t="str">
        <f>"Y75B8A.48"</f>
        <v>Y75B8A.48</v>
      </c>
      <c r="F3609" t="s">
        <v>481</v>
      </c>
      <c r="H3609" s="12">
        <v>2.3893468495514898</v>
      </c>
      <c r="I3609" s="11">
        <v>0.25323547253672701</v>
      </c>
      <c r="J3609" s="10">
        <v>0.80008625651646104</v>
      </c>
      <c r="K3609" s="29">
        <v>0.98289565623980701</v>
      </c>
    </row>
    <row r="3610" spans="1:11" x14ac:dyDescent="0.35">
      <c r="A3610" s="9" t="str">
        <f>HYPERLINK("http://www.ensembl.org/id/WBGene00197620", "WBGene00197620")</f>
        <v>WBGene00197620</v>
      </c>
      <c r="B3610" s="9"/>
      <c r="C3610" s="9"/>
      <c r="D3610" t="str">
        <f>"Y75B8A.49"</f>
        <v>Y75B8A.49</v>
      </c>
      <c r="F3610" t="s">
        <v>481</v>
      </c>
      <c r="H3610" s="12">
        <v>2.3893468495514898</v>
      </c>
      <c r="I3610" s="11">
        <v>0.25323547253672701</v>
      </c>
      <c r="J3610" s="10">
        <v>0.80008625651646104</v>
      </c>
      <c r="K3610" s="29">
        <v>0.98289565623980701</v>
      </c>
    </row>
    <row r="3611" spans="1:11" x14ac:dyDescent="0.35">
      <c r="A3611" s="9" t="str">
        <f>HYPERLINK("http://www.ensembl.org/id/WBGene00196031", "WBGene00196031")</f>
        <v>WBGene00196031</v>
      </c>
      <c r="B3611" s="9"/>
      <c r="C3611" s="9"/>
      <c r="D3611" t="str">
        <f>"Y79H2A.13"</f>
        <v>Y79H2A.13</v>
      </c>
      <c r="F3611" t="s">
        <v>481</v>
      </c>
      <c r="H3611" s="12">
        <v>2.3893468495514898</v>
      </c>
      <c r="I3611" s="11">
        <v>0.25323547253672701</v>
      </c>
      <c r="J3611" s="10">
        <v>0.80008625651646104</v>
      </c>
      <c r="K3611" s="29">
        <v>0.98289565623980701</v>
      </c>
    </row>
    <row r="3612" spans="1:11" x14ac:dyDescent="0.35">
      <c r="A3612" s="9" t="str">
        <f>HYPERLINK("http://www.ensembl.org/id/WBGene00200094", "WBGene00200094")</f>
        <v>WBGene00200094</v>
      </c>
      <c r="B3612" s="9"/>
      <c r="C3612" s="9"/>
      <c r="D3612" t="str">
        <f>"Y80D3A.14"</f>
        <v>Y80D3A.14</v>
      </c>
      <c r="F3612" t="s">
        <v>481</v>
      </c>
      <c r="H3612" s="12">
        <v>2.3893468495514898</v>
      </c>
      <c r="I3612" s="11">
        <v>0.25323547253672701</v>
      </c>
      <c r="J3612" s="10">
        <v>0.80008625651646104</v>
      </c>
      <c r="K3612" s="29">
        <v>0.98289565623980701</v>
      </c>
    </row>
    <row r="3613" spans="1:11" x14ac:dyDescent="0.35">
      <c r="A3613" s="9" t="str">
        <f>HYPERLINK("http://www.ensembl.org/id/WBGene00200506", "WBGene00200506")</f>
        <v>WBGene00200506</v>
      </c>
      <c r="B3613" s="9"/>
      <c r="C3613" s="9"/>
      <c r="D3613" t="str">
        <f>"ZC123.9"</f>
        <v>ZC123.9</v>
      </c>
      <c r="F3613" t="s">
        <v>481</v>
      </c>
      <c r="H3613" s="12">
        <v>2.3893468495514898</v>
      </c>
      <c r="I3613" s="11">
        <v>0.25323547253672701</v>
      </c>
      <c r="J3613" s="10">
        <v>0.80008625651646104</v>
      </c>
      <c r="K3613" s="29">
        <v>0.98289565623980701</v>
      </c>
    </row>
    <row r="3614" spans="1:11" x14ac:dyDescent="0.35">
      <c r="A3614" s="9" t="str">
        <f>HYPERLINK("http://www.ensembl.org/id/WBGene00198402", "WBGene00198402")</f>
        <v>WBGene00198402</v>
      </c>
      <c r="B3614" s="9"/>
      <c r="C3614" s="9"/>
      <c r="D3614" t="str">
        <f>"ZC487.8"</f>
        <v>ZC487.8</v>
      </c>
      <c r="F3614" t="s">
        <v>481</v>
      </c>
      <c r="H3614" s="12">
        <v>2.3893468495514898</v>
      </c>
      <c r="I3614" s="11">
        <v>0.25323547253672701</v>
      </c>
      <c r="J3614" s="10">
        <v>0.80008625651646104</v>
      </c>
      <c r="K3614" s="29">
        <v>0.98289565623980701</v>
      </c>
    </row>
    <row r="3615" spans="1:11" x14ac:dyDescent="0.35">
      <c r="A3615" s="9" t="str">
        <f>HYPERLINK("http://www.ensembl.org/id/WBGene00199990", "WBGene00199990")</f>
        <v>WBGene00199990</v>
      </c>
      <c r="B3615" s="9"/>
      <c r="C3615" s="9"/>
      <c r="D3615" t="str">
        <f>"ZC504.15"</f>
        <v>ZC504.15</v>
      </c>
      <c r="F3615" t="s">
        <v>481</v>
      </c>
      <c r="H3615" s="12">
        <v>2.3893468495514898</v>
      </c>
      <c r="I3615" s="11">
        <v>0.25323547253672701</v>
      </c>
      <c r="J3615" s="10">
        <v>0.80008625651646104</v>
      </c>
      <c r="K3615" s="29">
        <v>0.98289565623980701</v>
      </c>
    </row>
    <row r="3616" spans="1:11" x14ac:dyDescent="0.35">
      <c r="A3616" s="9" t="str">
        <f>HYPERLINK("http://www.ensembl.org/id/WBGene00198736", "WBGene00198736")</f>
        <v>WBGene00198736</v>
      </c>
      <c r="B3616" s="9"/>
      <c r="C3616" s="9"/>
      <c r="D3616" t="str">
        <f>"ZC581.13"</f>
        <v>ZC581.13</v>
      </c>
      <c r="F3616" t="s">
        <v>481</v>
      </c>
      <c r="H3616" s="12">
        <v>2.3893468495514898</v>
      </c>
      <c r="I3616" s="11">
        <v>0.25323547253672701</v>
      </c>
      <c r="J3616" s="10">
        <v>0.80008625651646104</v>
      </c>
      <c r="K3616" s="29">
        <v>0.98289565623980701</v>
      </c>
    </row>
    <row r="3617" spans="1:11" x14ac:dyDescent="0.35">
      <c r="A3617" s="9" t="str">
        <f>HYPERLINK("http://www.ensembl.org/id/WBGene00271703", "WBGene00271703")</f>
        <v>WBGene00271703</v>
      </c>
      <c r="B3617" s="9" t="str">
        <f>HYPERLINK("http://www.ncbi.nlm.nih.gov/gene/32928605", "32928605")</f>
        <v>32928605</v>
      </c>
      <c r="C3617" s="9"/>
      <c r="D3617" t="str">
        <f>"ZK1010.12"</f>
        <v>ZK1010.12</v>
      </c>
      <c r="F3617" t="s">
        <v>11</v>
      </c>
      <c r="H3617" s="12">
        <v>2.3893468495514898</v>
      </c>
      <c r="I3617" s="11">
        <v>0.25323547253672701</v>
      </c>
      <c r="J3617" s="10">
        <v>0.80008625651646104</v>
      </c>
      <c r="K3617" s="29">
        <v>0.98289565623980701</v>
      </c>
    </row>
    <row r="3618" spans="1:11" x14ac:dyDescent="0.35">
      <c r="A3618" s="9" t="str">
        <f>HYPERLINK("http://www.ensembl.org/id/WBGene00022660", "WBGene00022660")</f>
        <v>WBGene00022660</v>
      </c>
      <c r="B3618" s="9" t="str">
        <f>HYPERLINK("http://www.ncbi.nlm.nih.gov/gene/191227", "191227")</f>
        <v>191227</v>
      </c>
      <c r="C3618" s="9"/>
      <c r="D3618" t="str">
        <f>"ZK112.4"</f>
        <v>ZK112.4</v>
      </c>
      <c r="F3618" t="s">
        <v>11</v>
      </c>
      <c r="H3618" s="12">
        <v>2.3893468495514898</v>
      </c>
      <c r="I3618" s="11">
        <v>0.25323547253672701</v>
      </c>
      <c r="J3618" s="10">
        <v>0.80008625651646104</v>
      </c>
      <c r="K3618" s="29">
        <v>0.98289565623980701</v>
      </c>
    </row>
    <row r="3619" spans="1:11" x14ac:dyDescent="0.35">
      <c r="A3619" s="9" t="str">
        <f>HYPERLINK("http://www.ensembl.org/id/WBGene00022869", "WBGene00022869")</f>
        <v>WBGene00022869</v>
      </c>
      <c r="B3619" s="9" t="str">
        <f>HYPERLINK("http://www.ncbi.nlm.nih.gov/gene/191539", "191539")</f>
        <v>191539</v>
      </c>
      <c r="C3619" s="9"/>
      <c r="D3619" t="str">
        <f>"ZK1240.4"</f>
        <v>ZK1240.4</v>
      </c>
      <c r="F3619" t="s">
        <v>11</v>
      </c>
      <c r="H3619" s="12">
        <v>2.3893468495514898</v>
      </c>
      <c r="I3619" s="11">
        <v>0.25323547253672701</v>
      </c>
      <c r="J3619" s="10">
        <v>0.80008625651646104</v>
      </c>
      <c r="K3619" s="29">
        <v>0.98289565623980701</v>
      </c>
    </row>
    <row r="3620" spans="1:11" x14ac:dyDescent="0.35">
      <c r="A3620" s="9" t="str">
        <f>HYPERLINK("http://www.ensembl.org/id/WBGene00194669", "WBGene00194669")</f>
        <v>WBGene00194669</v>
      </c>
      <c r="B3620" s="9"/>
      <c r="C3620" s="9"/>
      <c r="D3620" t="str">
        <f>"ZK1251.15"</f>
        <v>ZK1251.15</v>
      </c>
      <c r="F3620" t="s">
        <v>2735</v>
      </c>
      <c r="H3620" s="12">
        <v>2.3893468495514898</v>
      </c>
      <c r="I3620" s="11">
        <v>0.25323547253672701</v>
      </c>
      <c r="J3620" s="10">
        <v>0.80008625651646104</v>
      </c>
      <c r="K3620" s="29">
        <v>0.98289565623980701</v>
      </c>
    </row>
    <row r="3621" spans="1:11" x14ac:dyDescent="0.35">
      <c r="A3621" s="9" t="str">
        <f>HYPERLINK("http://www.ensembl.org/id/WBGene00023210", "WBGene00023210")</f>
        <v>WBGene00023210</v>
      </c>
      <c r="B3621" s="9"/>
      <c r="C3621" s="9"/>
      <c r="D3621" t="str">
        <f>"ZK154.t1"</f>
        <v>ZK154.t1</v>
      </c>
      <c r="F3621" t="s">
        <v>4208</v>
      </c>
      <c r="H3621" s="12">
        <v>2.3893468495514898</v>
      </c>
      <c r="I3621" s="11">
        <v>0.25323547253672701</v>
      </c>
      <c r="J3621" s="10">
        <v>0.80008625651646104</v>
      </c>
      <c r="K3621" s="29">
        <v>0.98289565623980701</v>
      </c>
    </row>
    <row r="3622" spans="1:11" x14ac:dyDescent="0.35">
      <c r="A3622" s="9" t="str">
        <f>HYPERLINK("http://www.ensembl.org/id/WBGene00200345", "WBGene00200345")</f>
        <v>WBGene00200345</v>
      </c>
      <c r="B3622" s="9"/>
      <c r="C3622" s="9"/>
      <c r="D3622" t="str">
        <f>"ZK270.3"</f>
        <v>ZK270.3</v>
      </c>
      <c r="F3622" t="s">
        <v>481</v>
      </c>
      <c r="H3622" s="12">
        <v>2.3893468495514898</v>
      </c>
      <c r="I3622" s="11">
        <v>0.25323547253672701</v>
      </c>
      <c r="J3622" s="10">
        <v>0.80008625651646104</v>
      </c>
      <c r="K3622" s="29">
        <v>0.98289565623980701</v>
      </c>
    </row>
    <row r="3623" spans="1:11" x14ac:dyDescent="0.35">
      <c r="A3623" s="9" t="str">
        <f>HYPERLINK("http://www.ensembl.org/id/WBGene00199290", "WBGene00199290")</f>
        <v>WBGene00199290</v>
      </c>
      <c r="B3623" s="9"/>
      <c r="C3623" s="9"/>
      <c r="D3623" t="str">
        <f>"ZK377.9"</f>
        <v>ZK377.9</v>
      </c>
      <c r="F3623" t="s">
        <v>481</v>
      </c>
      <c r="H3623" s="12">
        <v>2.3893468495514898</v>
      </c>
      <c r="I3623" s="11">
        <v>0.25323547253672701</v>
      </c>
      <c r="J3623" s="10">
        <v>0.80008625651646104</v>
      </c>
      <c r="K3623" s="29">
        <v>0.98289565623980701</v>
      </c>
    </row>
    <row r="3624" spans="1:11" x14ac:dyDescent="0.35">
      <c r="A3624" s="9" t="str">
        <f>HYPERLINK("http://www.ensembl.org/id/WBGene00022758", "WBGene00022758")</f>
        <v>WBGene00022758</v>
      </c>
      <c r="B3624" s="9" t="str">
        <f>HYPERLINK("http://www.ncbi.nlm.nih.gov/gene/191331", "191331")</f>
        <v>191331</v>
      </c>
      <c r="C3624" s="9"/>
      <c r="D3624" t="str">
        <f>"ZK488.6"</f>
        <v>ZK488.6</v>
      </c>
      <c r="F3624" t="s">
        <v>11</v>
      </c>
      <c r="G3624" t="s">
        <v>1212</v>
      </c>
      <c r="H3624" s="12">
        <v>2.3893468495514898</v>
      </c>
      <c r="I3624" s="11">
        <v>0.25323547253672701</v>
      </c>
      <c r="J3624" s="10">
        <v>0.80008625651646104</v>
      </c>
      <c r="K3624" s="29">
        <v>0.98289565623980701</v>
      </c>
    </row>
    <row r="3625" spans="1:11" x14ac:dyDescent="0.35">
      <c r="A3625" s="9" t="str">
        <f>HYPERLINK("http://www.ensembl.org/id/WBGene00044937", "WBGene00044937")</f>
        <v>WBGene00044937</v>
      </c>
      <c r="B3625" s="9"/>
      <c r="C3625" s="9"/>
      <c r="D3625" t="str">
        <f>"ZK546.18"</f>
        <v>ZK546.18</v>
      </c>
      <c r="F3625" t="s">
        <v>2977</v>
      </c>
      <c r="H3625" s="12">
        <v>2.3893468495514898</v>
      </c>
      <c r="I3625" s="11">
        <v>0.25323547253672701</v>
      </c>
      <c r="J3625" s="10">
        <v>0.80008625651646104</v>
      </c>
      <c r="K3625" s="29">
        <v>0.98289565623980701</v>
      </c>
    </row>
    <row r="3626" spans="1:11" x14ac:dyDescent="0.35">
      <c r="A3626" s="9" t="str">
        <f>HYPERLINK("http://www.ensembl.org/id/WBGene00200492", "WBGene00200492")</f>
        <v>WBGene00200492</v>
      </c>
      <c r="B3626" s="9"/>
      <c r="C3626" s="9"/>
      <c r="D3626" t="str">
        <f>"ZK563.9"</f>
        <v>ZK563.9</v>
      </c>
      <c r="F3626" t="s">
        <v>481</v>
      </c>
      <c r="H3626" s="12">
        <v>2.3893468495514898</v>
      </c>
      <c r="I3626" s="11">
        <v>0.25323547253672701</v>
      </c>
      <c r="J3626" s="10">
        <v>0.80008625651646104</v>
      </c>
      <c r="K3626" s="29">
        <v>0.98289565623980701</v>
      </c>
    </row>
    <row r="3627" spans="1:11" x14ac:dyDescent="0.35">
      <c r="A3627" s="9" t="str">
        <f>HYPERLINK("http://www.ensembl.org/id/WBGene00014038", "WBGene00014038")</f>
        <v>WBGene00014038</v>
      </c>
      <c r="B3627" s="9" t="str">
        <f>HYPERLINK("http://www.ncbi.nlm.nih.gov/gene/191376", "191376")</f>
        <v>191376</v>
      </c>
      <c r="C3627" s="9"/>
      <c r="D3627" t="str">
        <f>"ZK643.7"</f>
        <v>ZK643.7</v>
      </c>
      <c r="F3627" t="s">
        <v>11</v>
      </c>
      <c r="H3627" s="12">
        <v>2.3893468495514898</v>
      </c>
      <c r="I3627" s="11">
        <v>0.25323547253672701</v>
      </c>
      <c r="J3627" s="10">
        <v>0.80008625651646104</v>
      </c>
      <c r="K3627" s="29">
        <v>0.98289565623980701</v>
      </c>
    </row>
    <row r="3628" spans="1:11" x14ac:dyDescent="0.35">
      <c r="A3628" s="9" t="str">
        <f>HYPERLINK("http://www.ensembl.org/id/WBGene00014050", "WBGene00014050")</f>
        <v>WBGene00014050</v>
      </c>
      <c r="B3628" s="9" t="str">
        <f>HYPERLINK("http://www.ncbi.nlm.nih.gov/gene/3565847", "3565847")</f>
        <v>3565847</v>
      </c>
      <c r="C3628" s="9"/>
      <c r="D3628" t="str">
        <f>"ZK666.12"</f>
        <v>ZK666.12</v>
      </c>
      <c r="F3628" t="s">
        <v>11</v>
      </c>
      <c r="G3628" t="s">
        <v>25</v>
      </c>
      <c r="H3628" s="12">
        <v>2.3893468495514898</v>
      </c>
      <c r="I3628" s="11">
        <v>0.25323547253672701</v>
      </c>
      <c r="J3628" s="10">
        <v>0.80008625651646104</v>
      </c>
      <c r="K3628" s="29">
        <v>0.98289565623980701</v>
      </c>
    </row>
    <row r="3629" spans="1:11" x14ac:dyDescent="0.35">
      <c r="A3629" s="9" t="str">
        <f>HYPERLINK("http://www.ensembl.org/id/WBGene00022806", "WBGene00022806")</f>
        <v>WBGene00022806</v>
      </c>
      <c r="B3629" s="9"/>
      <c r="C3629" s="9"/>
      <c r="D3629" t="str">
        <f>"ZK697.3"</f>
        <v>ZK697.3</v>
      </c>
      <c r="F3629" t="s">
        <v>80</v>
      </c>
      <c r="H3629" s="12">
        <v>2.3893468495514898</v>
      </c>
      <c r="I3629" s="11">
        <v>0.25323547253672701</v>
      </c>
      <c r="J3629" s="10">
        <v>0.80008625651646104</v>
      </c>
      <c r="K3629" s="29">
        <v>0.98289565623980701</v>
      </c>
    </row>
    <row r="3630" spans="1:11" x14ac:dyDescent="0.35">
      <c r="A3630" s="9" t="str">
        <f>HYPERLINK("http://www.ensembl.org/id/WBGene00198390", "WBGene00198390")</f>
        <v>WBGene00198390</v>
      </c>
      <c r="B3630" s="9"/>
      <c r="C3630" s="9"/>
      <c r="D3630" t="str">
        <f>"ZK809.12"</f>
        <v>ZK809.12</v>
      </c>
      <c r="F3630" t="s">
        <v>481</v>
      </c>
      <c r="H3630" s="12">
        <v>2.3893468495514898</v>
      </c>
      <c r="I3630" s="11">
        <v>0.25323547253672701</v>
      </c>
      <c r="J3630" s="10">
        <v>0.80008625651646104</v>
      </c>
      <c r="K3630" s="29">
        <v>0.98289565623980701</v>
      </c>
    </row>
    <row r="3631" spans="1:11" x14ac:dyDescent="0.35">
      <c r="A3631" s="9" t="str">
        <f>HYPERLINK("http://www.ensembl.org/id/WBGene00198571", "WBGene00198571")</f>
        <v>WBGene00198571</v>
      </c>
      <c r="B3631" s="9"/>
      <c r="C3631" s="9"/>
      <c r="D3631" t="str">
        <f>"ZK867.14"</f>
        <v>ZK867.14</v>
      </c>
      <c r="F3631" t="s">
        <v>481</v>
      </c>
      <c r="H3631" s="12">
        <v>2.3893468495514898</v>
      </c>
      <c r="I3631" s="11">
        <v>0.25323547253672701</v>
      </c>
      <c r="J3631" s="10">
        <v>0.80008625651646104</v>
      </c>
      <c r="K3631" s="29">
        <v>0.98289565623980701</v>
      </c>
    </row>
    <row r="3632" spans="1:11" x14ac:dyDescent="0.35">
      <c r="A3632" s="9" t="str">
        <f>HYPERLINK("http://www.ensembl.org/id/WBGene00199711", "WBGene00199711")</f>
        <v>WBGene00199711</v>
      </c>
      <c r="B3632" s="9"/>
      <c r="C3632" s="9"/>
      <c r="D3632" t="str">
        <f>"ZK867.17"</f>
        <v>ZK867.17</v>
      </c>
      <c r="F3632" t="s">
        <v>481</v>
      </c>
      <c r="H3632" s="12">
        <v>2.3893468495514898</v>
      </c>
      <c r="I3632" s="11">
        <v>0.25323547253672701</v>
      </c>
      <c r="J3632" s="10">
        <v>0.80008625651646104</v>
      </c>
      <c r="K3632" s="29">
        <v>0.98289565623980701</v>
      </c>
    </row>
    <row r="3633" spans="1:11" x14ac:dyDescent="0.35">
      <c r="A3633" s="9" t="str">
        <f>HYPERLINK("http://www.ensembl.org/id/WBGene00195481", "WBGene00195481")</f>
        <v>WBGene00195481</v>
      </c>
      <c r="B3633" s="9"/>
      <c r="C3633" s="9"/>
      <c r="D3633" t="str">
        <f>"ZK867.6"</f>
        <v>ZK867.6</v>
      </c>
      <c r="F3633" t="s">
        <v>481</v>
      </c>
      <c r="H3633" s="12">
        <v>2.3893468495514898</v>
      </c>
      <c r="I3633" s="11">
        <v>0.25323547253672701</v>
      </c>
      <c r="J3633" s="10">
        <v>0.80008625651646104</v>
      </c>
      <c r="K3633" s="29">
        <v>0.98289565623980701</v>
      </c>
    </row>
    <row r="3634" spans="1:11" x14ac:dyDescent="0.35">
      <c r="A3634" s="9" t="str">
        <f>HYPERLINK("http://www.ensembl.org/id/WBGene00196005", "WBGene00196005")</f>
        <v>WBGene00196005</v>
      </c>
      <c r="B3634" s="9"/>
      <c r="C3634" s="9"/>
      <c r="D3634" t="str">
        <f>"ZK867.8"</f>
        <v>ZK867.8</v>
      </c>
      <c r="F3634" t="s">
        <v>481</v>
      </c>
      <c r="H3634" s="12">
        <v>2.3893468495514898</v>
      </c>
      <c r="I3634" s="11">
        <v>0.25323547253672701</v>
      </c>
      <c r="J3634" s="10">
        <v>0.80008625651646104</v>
      </c>
      <c r="K3634" s="29">
        <v>0.98289565623980701</v>
      </c>
    </row>
    <row r="3635" spans="1:11" x14ac:dyDescent="0.35">
      <c r="A3635" s="9" t="str">
        <f>HYPERLINK("http://www.ensembl.org/id/WBGene00022840", "WBGene00022840")</f>
        <v>WBGene00022840</v>
      </c>
      <c r="B3635" s="9"/>
      <c r="C3635" s="9"/>
      <c r="D3635" t="str">
        <f>"ZK994.1"</f>
        <v>ZK994.1</v>
      </c>
      <c r="F3635" t="s">
        <v>80</v>
      </c>
      <c r="H3635" s="12">
        <v>2.3893468495514898</v>
      </c>
      <c r="I3635" s="11">
        <v>0.25323547253672701</v>
      </c>
      <c r="J3635" s="10">
        <v>0.80008625651646104</v>
      </c>
      <c r="K3635" s="29">
        <v>0.98289565623980701</v>
      </c>
    </row>
    <row r="3636" spans="1:11" x14ac:dyDescent="0.35">
      <c r="A3636" s="9" t="str">
        <f>HYPERLINK("http://www.ensembl.org/id/WBGene00044958", "WBGene00044958")</f>
        <v>WBGene00044958</v>
      </c>
      <c r="B3636" s="9"/>
      <c r="C3636" s="9"/>
      <c r="D3636" t="str">
        <f>"ZK994.7"</f>
        <v>ZK994.7</v>
      </c>
      <c r="F3636" t="s">
        <v>2977</v>
      </c>
      <c r="H3636" s="12">
        <v>2.3893468495514898</v>
      </c>
      <c r="I3636" s="11">
        <v>0.25323547253672701</v>
      </c>
      <c r="J3636" s="10">
        <v>0.80008625651646104</v>
      </c>
      <c r="K3636" s="29">
        <v>0.98289565623980701</v>
      </c>
    </row>
    <row r="3637" spans="1:11" x14ac:dyDescent="0.35">
      <c r="A3637" s="9" t="str">
        <f>HYPERLINK("http://www.ensembl.org/id/WBGene00043053", "WBGene00043053")</f>
        <v>WBGene00043053</v>
      </c>
      <c r="B3637" s="9"/>
      <c r="C3637" s="9"/>
      <c r="D3637" t="str">
        <f>"F47H4.12"</f>
        <v>F47H4.12</v>
      </c>
      <c r="F3637" t="s">
        <v>80</v>
      </c>
      <c r="H3637" s="12">
        <v>2.3890283265010401</v>
      </c>
      <c r="I3637" s="11">
        <v>0.67212971702997604</v>
      </c>
      <c r="J3637" s="10">
        <v>0.50150111954668897</v>
      </c>
      <c r="K3637" s="29">
        <v>0.98289565623980701</v>
      </c>
    </row>
    <row r="3638" spans="1:11" x14ac:dyDescent="0.35">
      <c r="A3638" s="9" t="str">
        <f>HYPERLINK("http://www.ensembl.org/id/WBGene00008244", "WBGene00008244")</f>
        <v>WBGene00008244</v>
      </c>
      <c r="B3638" s="9" t="str">
        <f>HYPERLINK("http://www.ncbi.nlm.nih.gov/gene/260084", "260084")</f>
        <v>260084</v>
      </c>
      <c r="C3638" s="9"/>
      <c r="D3638" t="str">
        <f>"fipr-11"</f>
        <v>fipr-11</v>
      </c>
      <c r="E3638" t="s">
        <v>28</v>
      </c>
      <c r="F3638" t="s">
        <v>11</v>
      </c>
      <c r="H3638" s="12">
        <v>2.3887935027826201</v>
      </c>
      <c r="I3638" s="11">
        <v>3.5101694046605099</v>
      </c>
      <c r="J3638" s="10">
        <v>4.4782128963843199E-4</v>
      </c>
      <c r="K3638" s="29">
        <v>2.1001939697244901E-2</v>
      </c>
    </row>
    <row r="3639" spans="1:11" x14ac:dyDescent="0.35">
      <c r="A3639" s="9" t="str">
        <f>HYPERLINK("http://www.ensembl.org/id/WBGene00000728", "WBGene00000728")</f>
        <v>WBGene00000728</v>
      </c>
      <c r="B3639" s="9" t="str">
        <f>HYPERLINK("http://www.ncbi.nlm.nih.gov/gene/186301", "186301")</f>
        <v>186301</v>
      </c>
      <c r="C3639" s="9"/>
      <c r="D3639" t="str">
        <f>"col-155"</f>
        <v>col-155</v>
      </c>
      <c r="E3639" t="s">
        <v>167</v>
      </c>
      <c r="F3639" t="s">
        <v>11</v>
      </c>
      <c r="G3639" t="s">
        <v>152</v>
      </c>
      <c r="H3639" s="12">
        <v>2.3871549279220599</v>
      </c>
      <c r="I3639" s="11">
        <v>4.8500457107442303</v>
      </c>
      <c r="J3639" s="10">
        <v>1.23433025583096E-6</v>
      </c>
      <c r="K3639" s="29">
        <v>1.81658820963249E-4</v>
      </c>
    </row>
    <row r="3640" spans="1:11" x14ac:dyDescent="0.35">
      <c r="A3640" s="9" t="str">
        <f>HYPERLINK("http://www.ensembl.org/id/WBGene00018772", "WBGene00018772")</f>
        <v>WBGene00018772</v>
      </c>
      <c r="B3640" s="9" t="str">
        <f>HYPERLINK("http://www.ncbi.nlm.nih.gov/gene/186189", "186189")</f>
        <v>186189</v>
      </c>
      <c r="C3640" s="9"/>
      <c r="D3640" t="str">
        <f>"F53G12.4"</f>
        <v>F53G12.4</v>
      </c>
      <c r="F3640" t="s">
        <v>11</v>
      </c>
      <c r="G3640" t="s">
        <v>54</v>
      </c>
      <c r="H3640" s="12">
        <v>2.3868625098899101</v>
      </c>
      <c r="I3640" s="11">
        <v>1.07187988135964</v>
      </c>
      <c r="J3640" s="10">
        <v>0.28377398771095202</v>
      </c>
      <c r="K3640" s="29">
        <v>0.98289565623980701</v>
      </c>
    </row>
    <row r="3641" spans="1:11" x14ac:dyDescent="0.35">
      <c r="A3641" s="9" t="str">
        <f>HYPERLINK("http://www.ensembl.org/id/WBGene00016350", "WBGene00016350")</f>
        <v>WBGene00016350</v>
      </c>
      <c r="B3641" s="9" t="str">
        <f>HYPERLINK("http://www.ncbi.nlm.nih.gov/gene/183165", "183165")</f>
        <v>183165</v>
      </c>
      <c r="C3641" s="9" t="str">
        <f>HYPERLINK("http://www.ncbi.nlm.nih.gov/gene/25979", "25979")</f>
        <v>25979</v>
      </c>
      <c r="D3641" t="str">
        <f>"C33E10.10"</f>
        <v>C33E10.10</v>
      </c>
      <c r="F3641" t="s">
        <v>11</v>
      </c>
      <c r="H3641" s="12">
        <v>2.38662096886328</v>
      </c>
      <c r="I3641" s="11">
        <v>0.94446307466824098</v>
      </c>
      <c r="J3641" s="10">
        <v>0.34493306261164702</v>
      </c>
      <c r="K3641" s="29">
        <v>0.98289565623980701</v>
      </c>
    </row>
    <row r="3642" spans="1:11" x14ac:dyDescent="0.35">
      <c r="A3642" s="9" t="str">
        <f>HYPERLINK("http://www.ensembl.org/id/WBGene00020323", "WBGene00020323")</f>
        <v>WBGene00020323</v>
      </c>
      <c r="B3642" s="9" t="str">
        <f>HYPERLINK("http://www.ncbi.nlm.nih.gov/gene/188239", "188239")</f>
        <v>188239</v>
      </c>
      <c r="C3642" s="9"/>
      <c r="D3642" t="str">
        <f>"arrd-23"</f>
        <v>arrd-23</v>
      </c>
      <c r="E3642" t="s">
        <v>377</v>
      </c>
      <c r="F3642" t="s">
        <v>11</v>
      </c>
      <c r="G3642" t="s">
        <v>378</v>
      </c>
      <c r="H3642" s="12">
        <v>2.3865124294790201</v>
      </c>
      <c r="I3642" s="11">
        <v>3.7801574593937399</v>
      </c>
      <c r="J3642" s="10">
        <v>1.56729208758124E-4</v>
      </c>
      <c r="K3642" s="29">
        <v>9.2011458203800304E-3</v>
      </c>
    </row>
    <row r="3643" spans="1:11" x14ac:dyDescent="0.35">
      <c r="A3643" s="9" t="str">
        <f>HYPERLINK("http://www.ensembl.org/id/WBGene00012679", "WBGene00012679")</f>
        <v>WBGene00012679</v>
      </c>
      <c r="B3643" s="9"/>
      <c r="C3643" s="9"/>
      <c r="D3643" t="str">
        <f>"Y39B6A.18"</f>
        <v>Y39B6A.18</v>
      </c>
      <c r="F3643" t="s">
        <v>80</v>
      </c>
      <c r="H3643" s="12">
        <v>2.3842490266835998</v>
      </c>
      <c r="I3643" s="11">
        <v>0.55754685656191505</v>
      </c>
      <c r="J3643" s="10">
        <v>0.57715385435639999</v>
      </c>
      <c r="K3643" s="29">
        <v>0.98289565623980701</v>
      </c>
    </row>
    <row r="3644" spans="1:11" x14ac:dyDescent="0.35">
      <c r="A3644" s="9" t="str">
        <f>HYPERLINK("http://www.ensembl.org/id/WBGene00006674", "WBGene00006674")</f>
        <v>WBGene00006674</v>
      </c>
      <c r="B3644" s="9" t="str">
        <f>HYPERLINK("http://www.ncbi.nlm.nih.gov/gene/192078", "192078")</f>
        <v>192078</v>
      </c>
      <c r="C3644" s="9"/>
      <c r="D3644" t="str">
        <f>"twk-21"</f>
        <v>twk-21</v>
      </c>
      <c r="E3644" t="s">
        <v>894</v>
      </c>
      <c r="F3644" t="s">
        <v>11</v>
      </c>
      <c r="G3644" t="s">
        <v>895</v>
      </c>
      <c r="H3644" s="12">
        <v>2.3830922439730302</v>
      </c>
      <c r="I3644" s="11">
        <v>1.52623407146507</v>
      </c>
      <c r="J3644" s="10">
        <v>0.12695158102474899</v>
      </c>
      <c r="K3644" s="29">
        <v>0.80525778912981805</v>
      </c>
    </row>
    <row r="3645" spans="1:11" x14ac:dyDescent="0.35">
      <c r="A3645" s="9" t="str">
        <f>HYPERLINK("http://www.ensembl.org/id/WBGene00002252", "WBGene00002252")</f>
        <v>WBGene00002252</v>
      </c>
      <c r="B3645" s="9" t="str">
        <f>HYPERLINK("http://www.ncbi.nlm.nih.gov/gene/173771", "173771")</f>
        <v>173771</v>
      </c>
      <c r="C3645" s="9"/>
      <c r="D3645" t="str">
        <f>"lat-2"</f>
        <v>lat-2</v>
      </c>
      <c r="E3645" t="s">
        <v>918</v>
      </c>
      <c r="F3645" t="s">
        <v>11</v>
      </c>
      <c r="G3645" t="s">
        <v>919</v>
      </c>
      <c r="H3645" s="12">
        <v>2.3816757720235899</v>
      </c>
      <c r="I3645" s="11">
        <v>2.70799241651358</v>
      </c>
      <c r="J3645" s="10">
        <v>6.7691569142262903E-3</v>
      </c>
      <c r="K3645" s="29">
        <v>0.14618443565081601</v>
      </c>
    </row>
    <row r="3646" spans="1:11" x14ac:dyDescent="0.35">
      <c r="A3646" s="9" t="str">
        <f>HYPERLINK("http://www.ensembl.org/id/WBGene00044732", "WBGene00044732")</f>
        <v>WBGene00044732</v>
      </c>
      <c r="B3646" s="9" t="str">
        <f>HYPERLINK("http://www.ncbi.nlm.nih.gov/gene/4363129", "4363129")</f>
        <v>4363129</v>
      </c>
      <c r="C3646" s="9"/>
      <c r="D3646" t="str">
        <f>"T03G11.10"</f>
        <v>T03G11.10</v>
      </c>
      <c r="F3646" t="s">
        <v>11</v>
      </c>
      <c r="H3646" s="12">
        <v>2.3810773616874301</v>
      </c>
      <c r="I3646" s="11">
        <v>1.14257803894638</v>
      </c>
      <c r="J3646" s="10">
        <v>0.25321382787562002</v>
      </c>
      <c r="K3646" s="29">
        <v>0.98289565623980701</v>
      </c>
    </row>
    <row r="3647" spans="1:11" x14ac:dyDescent="0.35">
      <c r="A3647" s="9" t="str">
        <f>HYPERLINK("http://www.ensembl.org/id/WBGene00008841", "WBGene00008841")</f>
        <v>WBGene00008841</v>
      </c>
      <c r="B3647" s="9" t="str">
        <f>HYPERLINK("http://www.ncbi.nlm.nih.gov/gene/174887", "174887")</f>
        <v>174887</v>
      </c>
      <c r="C3647" s="9"/>
      <c r="D3647" t="str">
        <f>"F15A4.6"</f>
        <v>F15A4.6</v>
      </c>
      <c r="F3647" t="s">
        <v>11</v>
      </c>
      <c r="H3647" s="12">
        <v>2.3808871259136399</v>
      </c>
      <c r="I3647" s="11">
        <v>2.5343828739705798</v>
      </c>
      <c r="J3647" s="10">
        <v>1.12645577611298E-2</v>
      </c>
      <c r="K3647" s="29">
        <v>0.209962718767709</v>
      </c>
    </row>
    <row r="3648" spans="1:11" x14ac:dyDescent="0.35">
      <c r="A3648" s="9" t="str">
        <f>HYPERLINK("http://www.ensembl.org/id/WBGene00194657", "WBGene00194657")</f>
        <v>WBGene00194657</v>
      </c>
      <c r="B3648" s="9"/>
      <c r="C3648" s="9"/>
      <c r="D3648" t="str">
        <f>"T07D10.10"</f>
        <v>T07D10.10</v>
      </c>
      <c r="F3648" t="s">
        <v>80</v>
      </c>
      <c r="H3648" s="12">
        <v>2.3796915249412098</v>
      </c>
      <c r="I3648" s="11">
        <v>1.06101142066626</v>
      </c>
      <c r="J3648" s="10">
        <v>0.28868471100036502</v>
      </c>
      <c r="K3648" s="29">
        <v>0.98289565623980701</v>
      </c>
    </row>
    <row r="3649" spans="1:11" x14ac:dyDescent="0.35">
      <c r="A3649" s="9" t="str">
        <f>HYPERLINK("http://www.ensembl.org/id/WBGene00011877", "WBGene00011877")</f>
        <v>WBGene00011877</v>
      </c>
      <c r="B3649" s="9" t="str">
        <f>HYPERLINK("http://www.ncbi.nlm.nih.gov/gene/188673", "188673")</f>
        <v>188673</v>
      </c>
      <c r="C3649" s="9"/>
      <c r="D3649" t="str">
        <f>"T21B4.3"</f>
        <v>T21B4.3</v>
      </c>
      <c r="F3649" t="s">
        <v>11</v>
      </c>
      <c r="H3649" s="12">
        <v>2.37821899903392</v>
      </c>
      <c r="I3649" s="11">
        <v>0.54220484352863696</v>
      </c>
      <c r="J3649" s="10">
        <v>0.58767739901401095</v>
      </c>
      <c r="K3649" s="29">
        <v>0.98289565623980701</v>
      </c>
    </row>
    <row r="3650" spans="1:11" x14ac:dyDescent="0.35">
      <c r="A3650" s="9" t="str">
        <f>HYPERLINK("http://www.ensembl.org/id/WBGene00014798", "WBGene00014798")</f>
        <v>WBGene00014798</v>
      </c>
      <c r="B3650" s="9"/>
      <c r="C3650" s="9"/>
      <c r="D3650" t="str">
        <f>"K05D4.1"</f>
        <v>K05D4.1</v>
      </c>
      <c r="F3650" t="s">
        <v>80</v>
      </c>
      <c r="H3650" s="12">
        <v>2.3767246315547199</v>
      </c>
      <c r="I3650" s="11">
        <v>0.73721686851633195</v>
      </c>
      <c r="J3650" s="10">
        <v>0.46099047687469302</v>
      </c>
      <c r="K3650" s="29">
        <v>0.98289565623980701</v>
      </c>
    </row>
    <row r="3651" spans="1:11" x14ac:dyDescent="0.35">
      <c r="A3651" s="9" t="str">
        <f>HYPERLINK("http://www.ensembl.org/id/WBGene00284850", "WBGene00284850")</f>
        <v>WBGene00284850</v>
      </c>
      <c r="B3651" s="9" t="str">
        <f>HYPERLINK("http://www.ncbi.nlm.nih.gov/gene/36312795", "36312795")</f>
        <v>36312795</v>
      </c>
      <c r="C3651" s="9"/>
      <c r="D3651" t="str">
        <f>"Y46B2A.4"</f>
        <v>Y46B2A.4</v>
      </c>
      <c r="F3651" t="s">
        <v>11</v>
      </c>
      <c r="G3651" t="s">
        <v>25</v>
      </c>
      <c r="H3651" s="12">
        <v>2.3766339094763702</v>
      </c>
      <c r="I3651" s="11">
        <v>0.55145752559563199</v>
      </c>
      <c r="J3651" s="10">
        <v>0.58132007562912502</v>
      </c>
      <c r="K3651" s="29">
        <v>0.98289565623980701</v>
      </c>
    </row>
    <row r="3652" spans="1:11" x14ac:dyDescent="0.35">
      <c r="A3652" s="9" t="str">
        <f>HYPERLINK("http://www.ensembl.org/id/WBGene00013120", "WBGene00013120")</f>
        <v>WBGene00013120</v>
      </c>
      <c r="B3652" s="9" t="str">
        <f>HYPERLINK("http://www.ncbi.nlm.nih.gov/gene/178462", "178462")</f>
        <v>178462</v>
      </c>
      <c r="C3652" s="9"/>
      <c r="D3652" t="str">
        <f>"fipr-28"</f>
        <v>fipr-28</v>
      </c>
      <c r="E3652" t="s">
        <v>28</v>
      </c>
      <c r="F3652" t="s">
        <v>11</v>
      </c>
      <c r="H3652" s="12">
        <v>2.3739526136900699</v>
      </c>
      <c r="I3652" s="11">
        <v>0.99707890746706096</v>
      </c>
      <c r="J3652" s="10">
        <v>0.31872621029648401</v>
      </c>
      <c r="K3652" s="29">
        <v>0.98289565623980701</v>
      </c>
    </row>
    <row r="3653" spans="1:11" x14ac:dyDescent="0.35">
      <c r="A3653" s="9" t="str">
        <f>HYPERLINK("http://www.ensembl.org/id/WBGene00012168", "WBGene00012168")</f>
        <v>WBGene00012168</v>
      </c>
      <c r="B3653" s="9" t="str">
        <f>HYPERLINK("http://www.ncbi.nlm.nih.gov/gene/189076", "189076")</f>
        <v>189076</v>
      </c>
      <c r="C3653" s="9" t="str">
        <f>HYPERLINK("http://www.ncbi.nlm.nih.gov/gene/1358", "1358")</f>
        <v>1358</v>
      </c>
      <c r="D3653" t="str">
        <f>"W01A8.6"</f>
        <v>W01A8.6</v>
      </c>
      <c r="F3653" t="s">
        <v>11</v>
      </c>
      <c r="G3653" t="s">
        <v>751</v>
      </c>
      <c r="H3653" s="12">
        <v>2.3728636262783001</v>
      </c>
      <c r="I3653" s="11">
        <v>2.8972373704283099</v>
      </c>
      <c r="J3653" s="10">
        <v>3.7646479437221602E-3</v>
      </c>
      <c r="K3653" s="29">
        <v>0.10044567596725699</v>
      </c>
    </row>
    <row r="3654" spans="1:11" x14ac:dyDescent="0.35">
      <c r="A3654" s="9" t="str">
        <f>HYPERLINK("http://www.ensembl.org/id/WBGene00019939", "WBGene00019939")</f>
        <v>WBGene00019939</v>
      </c>
      <c r="B3654" s="9" t="str">
        <f>HYPERLINK("http://www.ncbi.nlm.nih.gov/gene/187683", "187683")</f>
        <v>187683</v>
      </c>
      <c r="C3654" s="9"/>
      <c r="D3654" t="str">
        <f>"lips-17"</f>
        <v>lips-17</v>
      </c>
      <c r="E3654" t="s">
        <v>430</v>
      </c>
      <c r="F3654" t="s">
        <v>11</v>
      </c>
      <c r="G3654" t="s">
        <v>431</v>
      </c>
      <c r="H3654" s="12">
        <v>2.3721682552457</v>
      </c>
      <c r="I3654" s="11">
        <v>3.2224138687301398</v>
      </c>
      <c r="J3654" s="10">
        <v>1.2711537726582301E-3</v>
      </c>
      <c r="K3654" s="29">
        <v>4.7069357485642602E-2</v>
      </c>
    </row>
    <row r="3655" spans="1:11" x14ac:dyDescent="0.35">
      <c r="A3655" s="9" t="str">
        <f>HYPERLINK("http://www.ensembl.org/id/WBGene00022254", "WBGene00022254")</f>
        <v>WBGene00022254</v>
      </c>
      <c r="B3655" s="9" t="str">
        <f>HYPERLINK("http://www.ncbi.nlm.nih.gov/gene/177402", "177402")</f>
        <v>177402</v>
      </c>
      <c r="C3655" s="9"/>
      <c r="D3655" t="str">
        <f>"nlp-71"</f>
        <v>nlp-71</v>
      </c>
      <c r="E3655" t="s">
        <v>76</v>
      </c>
      <c r="F3655" t="s">
        <v>11</v>
      </c>
      <c r="G3655" t="s">
        <v>77</v>
      </c>
      <c r="H3655" s="12">
        <v>2.37176606103273</v>
      </c>
      <c r="I3655" s="11">
        <v>3.3403247756363599</v>
      </c>
      <c r="J3655" s="10">
        <v>8.3680467905707502E-4</v>
      </c>
      <c r="K3655" s="29">
        <v>3.3862012109094203E-2</v>
      </c>
    </row>
    <row r="3656" spans="1:11" x14ac:dyDescent="0.35">
      <c r="A3656" s="9" t="str">
        <f>HYPERLINK("http://www.ensembl.org/id/WBGene00022082", "WBGene00022082")</f>
        <v>WBGene00022082</v>
      </c>
      <c r="B3656" s="9"/>
      <c r="C3656" s="9"/>
      <c r="D3656" t="str">
        <f>"Y69A2AR.11"</f>
        <v>Y69A2AR.11</v>
      </c>
      <c r="F3656" t="s">
        <v>80</v>
      </c>
      <c r="H3656" s="12">
        <v>2.3713319058390998</v>
      </c>
      <c r="I3656" s="11">
        <v>0.79718890923665298</v>
      </c>
      <c r="J3656" s="10">
        <v>0.42534132625582</v>
      </c>
      <c r="K3656" s="29">
        <v>0.98289565623980701</v>
      </c>
    </row>
    <row r="3657" spans="1:11" x14ac:dyDescent="0.35">
      <c r="A3657" s="9" t="str">
        <f>HYPERLINK("http://www.ensembl.org/id/WBGene00201679", "WBGene00201679")</f>
        <v>WBGene00201679</v>
      </c>
      <c r="B3657" s="9"/>
      <c r="C3657" s="9"/>
      <c r="D3657" t="str">
        <f>"R02D5.22"</f>
        <v>R02D5.22</v>
      </c>
      <c r="F3657" t="s">
        <v>481</v>
      </c>
      <c r="H3657" s="12">
        <v>2.37071216927878</v>
      </c>
      <c r="I3657" s="11">
        <v>0.48086377560043198</v>
      </c>
      <c r="J3657" s="10">
        <v>0.63061331977220403</v>
      </c>
      <c r="K3657" s="29">
        <v>0.98289565623980701</v>
      </c>
    </row>
    <row r="3658" spans="1:11" x14ac:dyDescent="0.35">
      <c r="A3658" s="9" t="str">
        <f>HYPERLINK("http://www.ensembl.org/id/WBGene00007324", "WBGene00007324")</f>
        <v>WBGene00007324</v>
      </c>
      <c r="B3658" s="9" t="str">
        <f>HYPERLINK("http://www.ncbi.nlm.nih.gov/gene/259334", "259334")</f>
        <v>259334</v>
      </c>
      <c r="C3658" s="9"/>
      <c r="D3658" t="str">
        <f>"C05B5.8"</f>
        <v>C05B5.8</v>
      </c>
      <c r="F3658" t="s">
        <v>11</v>
      </c>
      <c r="G3658" t="s">
        <v>25</v>
      </c>
      <c r="H3658" s="12">
        <v>2.3693643031469001</v>
      </c>
      <c r="I3658" s="11">
        <v>3.62412145359434</v>
      </c>
      <c r="J3658" s="10">
        <v>2.8994534049655299E-4</v>
      </c>
      <c r="K3658" s="29">
        <v>1.5157187867677301E-2</v>
      </c>
    </row>
    <row r="3659" spans="1:11" x14ac:dyDescent="0.35">
      <c r="A3659" s="9" t="str">
        <f>HYPERLINK("http://www.ensembl.org/id/WBGene00018992", "WBGene00018992")</f>
        <v>WBGene00018992</v>
      </c>
      <c r="B3659" s="9"/>
      <c r="C3659" s="9"/>
      <c r="D3659" t="str">
        <f>"trpl-1"</f>
        <v>trpl-1</v>
      </c>
      <c r="F3659" t="s">
        <v>80</v>
      </c>
      <c r="H3659" s="12">
        <v>2.3661623476084501</v>
      </c>
      <c r="I3659" s="11">
        <v>3.3033714919266499</v>
      </c>
      <c r="J3659" s="10">
        <v>9.5529742829381103E-4</v>
      </c>
      <c r="K3659" s="29">
        <v>3.7627203547399402E-2</v>
      </c>
    </row>
    <row r="3660" spans="1:11" x14ac:dyDescent="0.35">
      <c r="A3660" s="9" t="str">
        <f>HYPERLINK("http://www.ensembl.org/id/WBGene00006669", "WBGene00006669")</f>
        <v>WBGene00006669</v>
      </c>
      <c r="B3660" s="9" t="str">
        <f>HYPERLINK("http://www.ncbi.nlm.nih.gov/gene/179699", "179699")</f>
        <v>179699</v>
      </c>
      <c r="C3660" s="9" t="str">
        <f>HYPERLINK("http://www.ncbi.nlm.nih.gov/gene/56660", "56660")</f>
        <v>56660</v>
      </c>
      <c r="D3660" t="str">
        <f>"twk-14"</f>
        <v>twk-14</v>
      </c>
      <c r="E3660" t="s">
        <v>894</v>
      </c>
      <c r="F3660" t="s">
        <v>11</v>
      </c>
      <c r="G3660" t="s">
        <v>2009</v>
      </c>
      <c r="H3660" s="12">
        <v>2.36588674611543</v>
      </c>
      <c r="I3660" s="11">
        <v>1.86259085983892</v>
      </c>
      <c r="J3660" s="10">
        <v>6.2519851282979502E-2</v>
      </c>
      <c r="K3660" s="29">
        <v>0.59107352035373295</v>
      </c>
    </row>
    <row r="3661" spans="1:11" x14ac:dyDescent="0.35">
      <c r="A3661" s="9" t="str">
        <f>HYPERLINK("http://www.ensembl.org/id/WBGene00017294", "WBGene00017294")</f>
        <v>WBGene00017294</v>
      </c>
      <c r="B3661" s="9" t="str">
        <f>HYPERLINK("http://www.ncbi.nlm.nih.gov/gene/180489", "180489")</f>
        <v>180489</v>
      </c>
      <c r="C3661" s="9"/>
      <c r="D3661" t="str">
        <f>"F09E10.1"</f>
        <v>F09E10.1</v>
      </c>
      <c r="F3661" t="s">
        <v>11</v>
      </c>
      <c r="H3661" s="12">
        <v>2.3648348169939699</v>
      </c>
      <c r="I3661" s="11">
        <v>3.0014662938707701</v>
      </c>
      <c r="J3661" s="10">
        <v>2.6868278273657199E-3</v>
      </c>
      <c r="K3661" s="29">
        <v>7.9085151310971102E-2</v>
      </c>
    </row>
    <row r="3662" spans="1:11" x14ac:dyDescent="0.35">
      <c r="A3662" s="9" t="str">
        <f>HYPERLINK("http://www.ensembl.org/id/WBGene00005082", "WBGene00005082")</f>
        <v>WBGene00005082</v>
      </c>
      <c r="B3662" s="9" t="str">
        <f>HYPERLINK("http://www.ncbi.nlm.nih.gov/gene/191796", "191796")</f>
        <v>191796</v>
      </c>
      <c r="C3662" s="9"/>
      <c r="D3662" t="str">
        <f>"srd-4"</f>
        <v>srd-4</v>
      </c>
      <c r="E3662" t="s">
        <v>1513</v>
      </c>
      <c r="F3662" t="s">
        <v>11</v>
      </c>
      <c r="G3662" t="s">
        <v>25</v>
      </c>
      <c r="H3662" s="12">
        <v>2.3641529865069502</v>
      </c>
      <c r="I3662" s="11">
        <v>0.467363614140898</v>
      </c>
      <c r="J3662" s="10">
        <v>0.64023975042071801</v>
      </c>
      <c r="K3662" s="29">
        <v>0.98289565623980701</v>
      </c>
    </row>
    <row r="3663" spans="1:11" x14ac:dyDescent="0.35">
      <c r="A3663" s="9" t="str">
        <f>HYPERLINK("http://www.ensembl.org/id/WBGene00001388", "WBGene00001388")</f>
        <v>WBGene00001388</v>
      </c>
      <c r="B3663" s="9" t="str">
        <f>HYPERLINK("http://www.ncbi.nlm.nih.gov/gene/191633", "191633")</f>
        <v>191633</v>
      </c>
      <c r="C3663" s="9"/>
      <c r="D3663" t="str">
        <f>"far-4"</f>
        <v>far-4</v>
      </c>
      <c r="E3663" t="s">
        <v>128</v>
      </c>
      <c r="F3663" t="s">
        <v>11</v>
      </c>
      <c r="G3663" t="s">
        <v>129</v>
      </c>
      <c r="H3663" s="12">
        <v>2.3640576674599401</v>
      </c>
      <c r="I3663" s="11">
        <v>1.6538848714969401</v>
      </c>
      <c r="J3663" s="10">
        <v>9.8150907061526696E-2</v>
      </c>
      <c r="K3663" s="29">
        <v>0.72352613950074296</v>
      </c>
    </row>
    <row r="3664" spans="1:11" x14ac:dyDescent="0.35">
      <c r="A3664" s="9" t="str">
        <f>HYPERLINK("http://www.ensembl.org/id/WBGene00011708", "WBGene00011708")</f>
        <v>WBGene00011708</v>
      </c>
      <c r="B3664" s="9" t="str">
        <f>HYPERLINK("http://www.ncbi.nlm.nih.gov/gene/177700", "177700")</f>
        <v>177700</v>
      </c>
      <c r="C3664" s="9"/>
      <c r="D3664" t="str">
        <f>"T11B7.5"</f>
        <v>T11B7.5</v>
      </c>
      <c r="F3664" t="s">
        <v>11</v>
      </c>
      <c r="H3664" s="12">
        <v>2.3639844670983301</v>
      </c>
      <c r="I3664" s="11">
        <v>3.6663312851063101</v>
      </c>
      <c r="J3664" s="10">
        <v>2.4605512592436101E-4</v>
      </c>
      <c r="K3664" s="29">
        <v>1.3221743580484399E-2</v>
      </c>
    </row>
    <row r="3665" spans="1:11" x14ac:dyDescent="0.35">
      <c r="A3665" s="9" t="str">
        <f>HYPERLINK("http://www.ensembl.org/id/WBGene00000503", "WBGene00000503")</f>
        <v>WBGene00000503</v>
      </c>
      <c r="B3665" s="9" t="str">
        <f>HYPERLINK("http://www.ncbi.nlm.nih.gov/gene/180628", "180628")</f>
        <v>180628</v>
      </c>
      <c r="C3665" s="9" t="str">
        <f>HYPERLINK("http://www.ncbi.nlm.nih.gov/gene/1118", "1118")</f>
        <v>1118</v>
      </c>
      <c r="D3665" t="str">
        <f>"cht-1"</f>
        <v>cht-1</v>
      </c>
      <c r="E3665" t="s">
        <v>223</v>
      </c>
      <c r="F3665" t="s">
        <v>11</v>
      </c>
      <c r="G3665" t="s">
        <v>224</v>
      </c>
      <c r="H3665" s="12">
        <v>2.3630330999362701</v>
      </c>
      <c r="I3665" s="11">
        <v>4.4377444828728398</v>
      </c>
      <c r="J3665" s="10">
        <v>9.0906441454465001E-6</v>
      </c>
      <c r="K3665" s="29">
        <v>9.6352487901232495E-4</v>
      </c>
    </row>
    <row r="3666" spans="1:11" x14ac:dyDescent="0.35">
      <c r="A3666" s="9" t="str">
        <f>HYPERLINK("http://www.ensembl.org/id/WBGene00018692", "WBGene00018692")</f>
        <v>WBGene00018692</v>
      </c>
      <c r="B3666" s="9" t="str">
        <f>HYPERLINK("http://www.ncbi.nlm.nih.gov/gene/186111", "186111")</f>
        <v>186111</v>
      </c>
      <c r="C3666" s="9"/>
      <c r="D3666" t="str">
        <f>"F52E1.2"</f>
        <v>F52E1.2</v>
      </c>
      <c r="F3666" t="s">
        <v>11</v>
      </c>
      <c r="G3666" t="s">
        <v>47</v>
      </c>
      <c r="H3666" s="12">
        <v>2.3629558823244698</v>
      </c>
      <c r="I3666" s="11">
        <v>3.03399327734894</v>
      </c>
      <c r="J3666" s="10">
        <v>2.4133980786478198E-3</v>
      </c>
      <c r="K3666" s="29">
        <v>7.3181070873013704E-2</v>
      </c>
    </row>
    <row r="3667" spans="1:11" x14ac:dyDescent="0.35">
      <c r="A3667" s="9" t="str">
        <f>HYPERLINK("http://www.ensembl.org/id/WBGene00018655", "WBGene00018655")</f>
        <v>WBGene00018655</v>
      </c>
      <c r="B3667" s="9" t="str">
        <f>HYPERLINK("http://www.ncbi.nlm.nih.gov/gene/186082", "186082")</f>
        <v>186082</v>
      </c>
      <c r="C3667" s="9"/>
      <c r="D3667" t="str">
        <f>"F49H12.4"</f>
        <v>F49H12.4</v>
      </c>
      <c r="F3667" t="s">
        <v>11</v>
      </c>
      <c r="G3667" t="s">
        <v>25</v>
      </c>
      <c r="H3667" s="12">
        <v>2.3629314687328602</v>
      </c>
      <c r="I3667" s="11">
        <v>1.78738216447594</v>
      </c>
      <c r="J3667" s="10">
        <v>7.3875742288248003E-2</v>
      </c>
      <c r="K3667" s="29">
        <v>0.64110995679273197</v>
      </c>
    </row>
    <row r="3668" spans="1:11" x14ac:dyDescent="0.35">
      <c r="A3668" s="9" t="str">
        <f>HYPERLINK("http://www.ensembl.org/id/WBGene00015836", "WBGene00015836")</f>
        <v>WBGene00015836</v>
      </c>
      <c r="B3668" s="9" t="str">
        <f>HYPERLINK("http://www.ncbi.nlm.nih.gov/gene/182666", "182666")</f>
        <v>182666</v>
      </c>
      <c r="C3668" s="9"/>
      <c r="D3668" t="str">
        <f>"math-7"</f>
        <v>math-7</v>
      </c>
      <c r="E3668" t="s">
        <v>596</v>
      </c>
      <c r="F3668" t="s">
        <v>11</v>
      </c>
      <c r="G3668" t="s">
        <v>54</v>
      </c>
      <c r="H3668" s="12">
        <v>2.3625248369496998</v>
      </c>
      <c r="I3668" s="11">
        <v>0.27133230146732801</v>
      </c>
      <c r="J3668" s="10">
        <v>0.786135464981218</v>
      </c>
      <c r="K3668" s="29">
        <v>0.98289565623980701</v>
      </c>
    </row>
    <row r="3669" spans="1:11" x14ac:dyDescent="0.35">
      <c r="A3669" s="9" t="str">
        <f>HYPERLINK("http://www.ensembl.org/id/WBGene00005175", "WBGene00005175")</f>
        <v>WBGene00005175</v>
      </c>
      <c r="B3669" s="9"/>
      <c r="C3669" s="9"/>
      <c r="D3669" t="str">
        <f>"srg-18"</f>
        <v>srg-18</v>
      </c>
      <c r="F3669" t="s">
        <v>80</v>
      </c>
      <c r="H3669" s="12">
        <v>2.3625248369496998</v>
      </c>
      <c r="I3669" s="11">
        <v>0.27133230146732801</v>
      </c>
      <c r="J3669" s="10">
        <v>0.786135464981218</v>
      </c>
      <c r="K3669" s="29">
        <v>0.98289565623980701</v>
      </c>
    </row>
    <row r="3670" spans="1:11" x14ac:dyDescent="0.35">
      <c r="A3670" s="9" t="str">
        <f>HYPERLINK("http://www.ensembl.org/id/WBGene00005356", "WBGene00005356")</f>
        <v>WBGene00005356</v>
      </c>
      <c r="B3670" s="9" t="str">
        <f>HYPERLINK("http://www.ncbi.nlm.nih.gov/gene/186452", "186452")</f>
        <v>186452</v>
      </c>
      <c r="C3670" s="9"/>
      <c r="D3670" t="str">
        <f>"srh-139"</f>
        <v>srh-139</v>
      </c>
      <c r="E3670" t="s">
        <v>153</v>
      </c>
      <c r="F3670" t="s">
        <v>11</v>
      </c>
      <c r="G3670" t="s">
        <v>25</v>
      </c>
      <c r="H3670" s="12">
        <v>2.3625248369496998</v>
      </c>
      <c r="I3670" s="11">
        <v>0.27133230146732801</v>
      </c>
      <c r="J3670" s="10">
        <v>0.786135464981218</v>
      </c>
      <c r="K3670" s="29">
        <v>0.98289565623980701</v>
      </c>
    </row>
    <row r="3671" spans="1:11" x14ac:dyDescent="0.35">
      <c r="A3671" s="9" t="str">
        <f>HYPERLINK("http://www.ensembl.org/id/WBGene00011744", "WBGene00011744")</f>
        <v>WBGene00011744</v>
      </c>
      <c r="B3671" s="9" t="str">
        <f>HYPERLINK("http://www.ncbi.nlm.nih.gov/gene/188476", "188476")</f>
        <v>188476</v>
      </c>
      <c r="C3671" s="9"/>
      <c r="D3671" t="str">
        <f>"T13F2.4"</f>
        <v>T13F2.4</v>
      </c>
      <c r="F3671" t="s">
        <v>11</v>
      </c>
      <c r="H3671" s="12">
        <v>2.3625248369496998</v>
      </c>
      <c r="I3671" s="11">
        <v>0.27133230146732801</v>
      </c>
      <c r="J3671" s="10">
        <v>0.786135464981218</v>
      </c>
      <c r="K3671" s="29">
        <v>0.98289565623980701</v>
      </c>
    </row>
    <row r="3672" spans="1:11" x14ac:dyDescent="0.35">
      <c r="A3672" s="9" t="str">
        <f>HYPERLINK("http://www.ensembl.org/id/WBGene00011790", "WBGene00011790")</f>
        <v>WBGene00011790</v>
      </c>
      <c r="B3672" s="9" t="str">
        <f>HYPERLINK("http://www.ncbi.nlm.nih.gov/gene/188541", "188541")</f>
        <v>188541</v>
      </c>
      <c r="C3672" s="9"/>
      <c r="D3672" t="str">
        <f>"T15H9.5"</f>
        <v>T15H9.5</v>
      </c>
      <c r="F3672" t="s">
        <v>11</v>
      </c>
      <c r="H3672" s="12">
        <v>2.3625248369496998</v>
      </c>
      <c r="I3672" s="11">
        <v>0.27133230146732801</v>
      </c>
      <c r="J3672" s="10">
        <v>0.786135464981218</v>
      </c>
      <c r="K3672" s="29">
        <v>0.98289565623980701</v>
      </c>
    </row>
    <row r="3673" spans="1:11" x14ac:dyDescent="0.35">
      <c r="A3673" s="9" t="str">
        <f>HYPERLINK("http://www.ensembl.org/id/WBGene00044239", "WBGene00044239")</f>
        <v>WBGene00044239</v>
      </c>
      <c r="B3673" s="9" t="str">
        <f>HYPERLINK("http://www.ncbi.nlm.nih.gov/gene/3564872", "3564872")</f>
        <v>3564872</v>
      </c>
      <c r="C3673" s="9"/>
      <c r="D3673" t="str">
        <f>"C33D9.10"</f>
        <v>C33D9.10</v>
      </c>
      <c r="F3673" t="s">
        <v>11</v>
      </c>
      <c r="H3673" s="12">
        <v>2.3613804577339801</v>
      </c>
      <c r="I3673" s="11">
        <v>0.67575976741320898</v>
      </c>
      <c r="J3673" s="10">
        <v>0.49919318239472199</v>
      </c>
      <c r="K3673" s="29">
        <v>0.98289565623980701</v>
      </c>
    </row>
    <row r="3674" spans="1:11" x14ac:dyDescent="0.35">
      <c r="A3674" s="9" t="str">
        <f>HYPERLINK("http://www.ensembl.org/id/WBGene00012893", "WBGene00012893")</f>
        <v>WBGene00012893</v>
      </c>
      <c r="B3674" s="9" t="str">
        <f>HYPERLINK("http://www.ncbi.nlm.nih.gov/gene/3565807", "3565807")</f>
        <v>3565807</v>
      </c>
      <c r="C3674" s="9"/>
      <c r="D3674" t="str">
        <f>"Y45F10D.15"</f>
        <v>Y45F10D.15</v>
      </c>
      <c r="F3674" t="s">
        <v>11</v>
      </c>
      <c r="G3674" t="s">
        <v>25</v>
      </c>
      <c r="H3674" s="12">
        <v>2.3611597087057499</v>
      </c>
      <c r="I3674" s="11">
        <v>0.88593656306035096</v>
      </c>
      <c r="J3674" s="10">
        <v>0.37565171214112603</v>
      </c>
      <c r="K3674" s="29">
        <v>0.98289565623980701</v>
      </c>
    </row>
    <row r="3675" spans="1:11" x14ac:dyDescent="0.35">
      <c r="A3675" s="9" t="str">
        <f>HYPERLINK("http://www.ensembl.org/id/WBGene00009056", "WBGene00009056")</f>
        <v>WBGene00009056</v>
      </c>
      <c r="B3675" s="9" t="str">
        <f>HYPERLINK("http://www.ncbi.nlm.nih.gov/gene/3565467", "3565467")</f>
        <v>3565467</v>
      </c>
      <c r="C3675" s="9"/>
      <c r="D3675" t="str">
        <f>"F22D6.15"</f>
        <v>F22D6.15</v>
      </c>
      <c r="F3675" t="s">
        <v>11</v>
      </c>
      <c r="H3675" s="12">
        <v>2.3607906690175402</v>
      </c>
      <c r="I3675" s="11">
        <v>3.05920535964905</v>
      </c>
      <c r="J3675" s="10">
        <v>2.2192496646285999E-3</v>
      </c>
      <c r="K3675" s="29">
        <v>6.9671172215908295E-2</v>
      </c>
    </row>
    <row r="3676" spans="1:11" x14ac:dyDescent="0.35">
      <c r="A3676" s="9" t="str">
        <f>HYPERLINK("http://www.ensembl.org/id/WBGene00022674", "WBGene00022674")</f>
        <v>WBGene00022674</v>
      </c>
      <c r="B3676" s="9" t="str">
        <f>HYPERLINK("http://www.ncbi.nlm.nih.gov/gene/191238", "191238")</f>
        <v>191238</v>
      </c>
      <c r="C3676" s="9"/>
      <c r="D3676" t="str">
        <f>"ZK177.9"</f>
        <v>ZK177.9</v>
      </c>
      <c r="F3676" t="s">
        <v>11</v>
      </c>
      <c r="H3676" s="12">
        <v>2.3573004575185799</v>
      </c>
      <c r="I3676" s="11">
        <v>0.50560860457745804</v>
      </c>
      <c r="J3676" s="10">
        <v>0.61313143989578101</v>
      </c>
      <c r="K3676" s="29">
        <v>0.98289565623980701</v>
      </c>
    </row>
    <row r="3677" spans="1:11" x14ac:dyDescent="0.35">
      <c r="A3677" s="9" t="str">
        <f>HYPERLINK("http://www.ensembl.org/id/WBGene00001693", "WBGene00001693")</f>
        <v>WBGene00001693</v>
      </c>
      <c r="B3677" s="9" t="str">
        <f>HYPERLINK("http://www.ncbi.nlm.nih.gov/gene/24104827", "24104827")</f>
        <v>24104827</v>
      </c>
      <c r="C3677" s="9"/>
      <c r="D3677" t="str">
        <f>"grd-4"</f>
        <v>grd-4</v>
      </c>
      <c r="E3677" t="s">
        <v>749</v>
      </c>
      <c r="F3677" t="s">
        <v>11</v>
      </c>
      <c r="H3677" s="12">
        <v>2.35656413055202</v>
      </c>
      <c r="I3677" s="11">
        <v>0.94116054158274098</v>
      </c>
      <c r="J3677" s="10">
        <v>0.34662259419309799</v>
      </c>
      <c r="K3677" s="29">
        <v>0.98289565623980701</v>
      </c>
    </row>
    <row r="3678" spans="1:11" x14ac:dyDescent="0.35">
      <c r="A3678" s="9" t="str">
        <f>HYPERLINK("http://www.ensembl.org/id/WBGene00018295", "WBGene00018295")</f>
        <v>WBGene00018295</v>
      </c>
      <c r="B3678" s="9" t="str">
        <f>HYPERLINK("http://www.ncbi.nlm.nih.gov/gene/185622", "185622")</f>
        <v>185622</v>
      </c>
      <c r="C3678" s="9"/>
      <c r="D3678" t="str">
        <f>"oac-29"</f>
        <v>oac-29</v>
      </c>
      <c r="E3678" t="s">
        <v>883</v>
      </c>
      <c r="F3678" t="s">
        <v>11</v>
      </c>
      <c r="G3678" t="s">
        <v>1992</v>
      </c>
      <c r="H3678" s="12">
        <v>2.3563291291869199</v>
      </c>
      <c r="I3678" s="11">
        <v>1.8729908374770301</v>
      </c>
      <c r="J3678" s="10">
        <v>6.1069650248211003E-2</v>
      </c>
      <c r="K3678" s="29">
        <v>0.58308898290709299</v>
      </c>
    </row>
    <row r="3679" spans="1:11" x14ac:dyDescent="0.35">
      <c r="A3679" s="9" t="str">
        <f>HYPERLINK("http://www.ensembl.org/id/WBGene00004231", "WBGene00004231")</f>
        <v>WBGene00004231</v>
      </c>
      <c r="B3679" s="9" t="str">
        <f>HYPERLINK("http://www.ncbi.nlm.nih.gov/gene/173150", "173150")</f>
        <v>173150</v>
      </c>
      <c r="C3679" s="9"/>
      <c r="D3679" t="str">
        <f>"ptr-17"</f>
        <v>ptr-17</v>
      </c>
      <c r="E3679" t="s">
        <v>134</v>
      </c>
      <c r="F3679" t="s">
        <v>11</v>
      </c>
      <c r="G3679" t="s">
        <v>1268</v>
      </c>
      <c r="H3679" s="12">
        <v>2.35494473234492</v>
      </c>
      <c r="I3679" s="11">
        <v>1.69452608405585</v>
      </c>
      <c r="J3679" s="10">
        <v>9.0165359430469896E-2</v>
      </c>
      <c r="K3679" s="29">
        <v>0.69698027228825399</v>
      </c>
    </row>
    <row r="3680" spans="1:11" x14ac:dyDescent="0.35">
      <c r="A3680" s="9" t="str">
        <f>HYPERLINK("http://www.ensembl.org/id/WBGene00015229", "WBGene00015229")</f>
        <v>WBGene00015229</v>
      </c>
      <c r="B3680" s="9" t="str">
        <f>HYPERLINK("http://www.ncbi.nlm.nih.gov/gene/182016", "182016")</f>
        <v>182016</v>
      </c>
      <c r="C3680" s="9"/>
      <c r="D3680" t="str">
        <f>"fbxa-125"</f>
        <v>fbxa-125</v>
      </c>
      <c r="E3680" t="s">
        <v>467</v>
      </c>
      <c r="F3680" t="s">
        <v>11</v>
      </c>
      <c r="H3680" s="12">
        <v>2.3545222462844602</v>
      </c>
      <c r="I3680" s="11">
        <v>0.51879424945083796</v>
      </c>
      <c r="J3680" s="10">
        <v>0.60390422848075898</v>
      </c>
      <c r="K3680" s="29">
        <v>0.98289565623980701</v>
      </c>
    </row>
    <row r="3681" spans="1:11" x14ac:dyDescent="0.35">
      <c r="A3681" s="9" t="str">
        <f>HYPERLINK("http://www.ensembl.org/id/WBGene00019152", "WBGene00019152")</f>
        <v>WBGene00019152</v>
      </c>
      <c r="B3681" s="9" t="str">
        <f>HYPERLINK("http://www.ncbi.nlm.nih.gov/gene/186682", "186682")</f>
        <v>186682</v>
      </c>
      <c r="C3681" s="9"/>
      <c r="D3681" t="str">
        <f>"nspb-6"</f>
        <v>nspb-6</v>
      </c>
      <c r="E3681" t="s">
        <v>1851</v>
      </c>
      <c r="F3681" t="s">
        <v>11</v>
      </c>
      <c r="H3681" s="12">
        <v>2.35361711552317</v>
      </c>
      <c r="I3681" s="11">
        <v>1.2618078517401901</v>
      </c>
      <c r="J3681" s="10">
        <v>0.207017936176184</v>
      </c>
      <c r="K3681" s="29">
        <v>0.95636954269182795</v>
      </c>
    </row>
    <row r="3682" spans="1:11" x14ac:dyDescent="0.35">
      <c r="A3682" s="9" t="str">
        <f>HYPERLINK("http://www.ensembl.org/id/WBGene00005037", "WBGene00005037")</f>
        <v>WBGene00005037</v>
      </c>
      <c r="B3682" s="9" t="str">
        <f>HYPERLINK("http://www.ncbi.nlm.nih.gov/gene/191782", "191782")</f>
        <v>191782</v>
      </c>
      <c r="C3682" s="9"/>
      <c r="D3682" t="str">
        <f>"sra-11"</f>
        <v>sra-11</v>
      </c>
      <c r="E3682" t="s">
        <v>4407</v>
      </c>
      <c r="F3682" t="s">
        <v>11</v>
      </c>
      <c r="G3682" t="s">
        <v>4408</v>
      </c>
      <c r="H3682" s="12">
        <v>2.3533796524667001</v>
      </c>
      <c r="I3682" s="11">
        <v>1.1638901173382199</v>
      </c>
      <c r="J3682" s="10">
        <v>0.24446854509256</v>
      </c>
      <c r="K3682" s="29">
        <v>0.98289565623980701</v>
      </c>
    </row>
    <row r="3683" spans="1:11" x14ac:dyDescent="0.35">
      <c r="A3683" s="9" t="str">
        <f>HYPERLINK("http://www.ensembl.org/id/WBGene00045390", "WBGene00045390")</f>
        <v>WBGene00045390</v>
      </c>
      <c r="B3683" s="9" t="str">
        <f>HYPERLINK("http://www.ncbi.nlm.nih.gov/gene/6418706", "6418706")</f>
        <v>6418706</v>
      </c>
      <c r="C3683" s="9"/>
      <c r="D3683" t="str">
        <f>"C38C3.10"</f>
        <v>C38C3.10</v>
      </c>
      <c r="F3683" t="s">
        <v>11</v>
      </c>
      <c r="H3683" s="12">
        <v>2.3533098433215098</v>
      </c>
      <c r="I3683" s="11">
        <v>2.7249261146494401</v>
      </c>
      <c r="J3683" s="10">
        <v>6.4315877973955002E-3</v>
      </c>
      <c r="K3683" s="29">
        <v>0.141776750059941</v>
      </c>
    </row>
    <row r="3684" spans="1:11" x14ac:dyDescent="0.35">
      <c r="A3684" s="9" t="str">
        <f>HYPERLINK("http://www.ensembl.org/id/WBGene00009489", "WBGene00009489")</f>
        <v>WBGene00009489</v>
      </c>
      <c r="B3684" s="9" t="str">
        <f>HYPERLINK("http://www.ncbi.nlm.nih.gov/gene/185376", "185376")</f>
        <v>185376</v>
      </c>
      <c r="C3684" s="9"/>
      <c r="D3684" t="str">
        <f>"F36G9.13"</f>
        <v>F36G9.13</v>
      </c>
      <c r="F3684" t="s">
        <v>11</v>
      </c>
      <c r="G3684" t="s">
        <v>25</v>
      </c>
      <c r="H3684" s="12">
        <v>2.3526524772752002</v>
      </c>
      <c r="I3684" s="11">
        <v>0.30316532999907703</v>
      </c>
      <c r="J3684" s="10">
        <v>0.76176386907443705</v>
      </c>
      <c r="K3684" s="29">
        <v>0.98289565623980701</v>
      </c>
    </row>
    <row r="3685" spans="1:11" x14ac:dyDescent="0.35">
      <c r="A3685" s="9" t="str">
        <f>HYPERLINK("http://www.ensembl.org/id/WBGene00195789", "WBGene00195789")</f>
        <v>WBGene00195789</v>
      </c>
      <c r="B3685" s="9"/>
      <c r="C3685" s="9"/>
      <c r="D3685" t="str">
        <f>"K08A8.6"</f>
        <v>K08A8.6</v>
      </c>
      <c r="F3685" t="s">
        <v>481</v>
      </c>
      <c r="H3685" s="12">
        <v>2.3526524772752002</v>
      </c>
      <c r="I3685" s="11">
        <v>0.30316532999907703</v>
      </c>
      <c r="J3685" s="10">
        <v>0.76176386907443705</v>
      </c>
      <c r="K3685" s="29">
        <v>0.98289565623980701</v>
      </c>
    </row>
    <row r="3686" spans="1:11" x14ac:dyDescent="0.35">
      <c r="A3686" s="9" t="str">
        <f>HYPERLINK("http://www.ensembl.org/id/WBGene00017036", "WBGene00017036")</f>
        <v>WBGene00017036</v>
      </c>
      <c r="B3686" s="9" t="str">
        <f>HYPERLINK("http://www.ncbi.nlm.nih.gov/gene/183923", "183923")</f>
        <v>183923</v>
      </c>
      <c r="C3686" s="9"/>
      <c r="D3686" t="str">
        <f>"D1069.1"</f>
        <v>D1069.1</v>
      </c>
      <c r="F3686" t="s">
        <v>11</v>
      </c>
      <c r="G3686" t="s">
        <v>372</v>
      </c>
      <c r="H3686" s="12">
        <v>2.3517324890899101</v>
      </c>
      <c r="I3686" s="11">
        <v>1.3106115029290599</v>
      </c>
      <c r="J3686" s="10">
        <v>0.189989050959322</v>
      </c>
      <c r="K3686" s="29">
        <v>0.92834517192120303</v>
      </c>
    </row>
    <row r="3687" spans="1:11" x14ac:dyDescent="0.35">
      <c r="A3687" s="9" t="str">
        <f>HYPERLINK("http://www.ensembl.org/id/WBGene00016299", "WBGene00016299")</f>
        <v>WBGene00016299</v>
      </c>
      <c r="B3687" s="9" t="str">
        <f>HYPERLINK("http://www.ncbi.nlm.nih.gov/gene/183110", "183110")</f>
        <v>183110</v>
      </c>
      <c r="C3687" s="9"/>
      <c r="D3687" t="str">
        <f>"C32B5.6"</f>
        <v>C32B5.6</v>
      </c>
      <c r="F3687" t="s">
        <v>11</v>
      </c>
      <c r="H3687" s="12">
        <v>2.3502231824397901</v>
      </c>
      <c r="I3687" s="11">
        <v>0.45464979325724197</v>
      </c>
      <c r="J3687" s="10">
        <v>0.649361206175323</v>
      </c>
      <c r="K3687" s="29">
        <v>0.98289565623980701</v>
      </c>
    </row>
    <row r="3688" spans="1:11" x14ac:dyDescent="0.35">
      <c r="A3688" s="9" t="str">
        <f>HYPERLINK("http://www.ensembl.org/id/WBGene00016072", "WBGene00016072")</f>
        <v>WBGene00016072</v>
      </c>
      <c r="B3688" s="9" t="str">
        <f>HYPERLINK("http://www.ncbi.nlm.nih.gov/gene/182867", "182867")</f>
        <v>182867</v>
      </c>
      <c r="C3688" s="9"/>
      <c r="D3688" t="str">
        <f>"C24H12.2"</f>
        <v>C24H12.2</v>
      </c>
      <c r="F3688" t="s">
        <v>11</v>
      </c>
      <c r="H3688" s="12">
        <v>2.3492388927756398</v>
      </c>
      <c r="I3688" s="11">
        <v>0.95427355529675895</v>
      </c>
      <c r="J3688" s="10">
        <v>0.33994519034728399</v>
      </c>
      <c r="K3688" s="29">
        <v>0.98289565623980701</v>
      </c>
    </row>
    <row r="3689" spans="1:11" x14ac:dyDescent="0.35">
      <c r="A3689" s="9" t="str">
        <f>HYPERLINK("http://www.ensembl.org/id/WBGene00017819", "WBGene00017819")</f>
        <v>WBGene00017819</v>
      </c>
      <c r="B3689" s="9" t="str">
        <f>HYPERLINK("http://www.ncbi.nlm.nih.gov/gene/184973", "184973")</f>
        <v>184973</v>
      </c>
      <c r="C3689" s="9"/>
      <c r="D3689" t="str">
        <f>"F26D11.2"</f>
        <v>F26D11.2</v>
      </c>
      <c r="F3689" t="s">
        <v>11</v>
      </c>
      <c r="H3689" s="12">
        <v>2.3474190256286098</v>
      </c>
      <c r="I3689" s="11">
        <v>1.16836064697764</v>
      </c>
      <c r="J3689" s="10">
        <v>0.24266132169539101</v>
      </c>
      <c r="K3689" s="29">
        <v>0.98289565623980701</v>
      </c>
    </row>
    <row r="3690" spans="1:11" x14ac:dyDescent="0.35">
      <c r="A3690" s="9" t="str">
        <f>HYPERLINK("http://www.ensembl.org/id/WBGene00012151", "WBGene00012151")</f>
        <v>WBGene00012151</v>
      </c>
      <c r="B3690" s="9" t="str">
        <f>HYPERLINK("http://www.ncbi.nlm.nih.gov/gene/24104962", "24104962")</f>
        <v>24104962</v>
      </c>
      <c r="C3690" s="9"/>
      <c r="D3690" t="str">
        <f>"VH15N14R.1"</f>
        <v>VH15N14R.1</v>
      </c>
      <c r="F3690" t="s">
        <v>11</v>
      </c>
      <c r="H3690" s="12">
        <v>2.3467950725092002</v>
      </c>
      <c r="I3690" s="11">
        <v>1.96387474032644</v>
      </c>
      <c r="J3690" s="10">
        <v>4.95446198335876E-2</v>
      </c>
      <c r="K3690" s="29">
        <v>0.52035362994312495</v>
      </c>
    </row>
    <row r="3691" spans="1:11" x14ac:dyDescent="0.35">
      <c r="A3691" s="9" t="str">
        <f>HYPERLINK("http://www.ensembl.org/id/WBGene00044979", "WBGene00044979")</f>
        <v>WBGene00044979</v>
      </c>
      <c r="B3691" s="9" t="str">
        <f>HYPERLINK("http://www.ncbi.nlm.nih.gov/gene/4926945", "4926945")</f>
        <v>4926945</v>
      </c>
      <c r="C3691" s="9"/>
      <c r="D3691" t="str">
        <f>"Y41E3.19"</f>
        <v>Y41E3.19</v>
      </c>
      <c r="F3691" t="s">
        <v>11</v>
      </c>
      <c r="H3691" s="12">
        <v>2.3467749687533699</v>
      </c>
      <c r="I3691" s="11">
        <v>0.75324182722752897</v>
      </c>
      <c r="J3691" s="10">
        <v>0.45130460878148299</v>
      </c>
      <c r="K3691" s="29">
        <v>0.98289565623980701</v>
      </c>
    </row>
    <row r="3692" spans="1:11" x14ac:dyDescent="0.35">
      <c r="A3692" s="9" t="str">
        <f>HYPERLINK("http://www.ensembl.org/id/WBGene00011891", "WBGene00011891")</f>
        <v>WBGene00011891</v>
      </c>
      <c r="B3692" s="9" t="str">
        <f>HYPERLINK("http://www.ncbi.nlm.nih.gov/gene/179474", "179474")</f>
        <v>179474</v>
      </c>
      <c r="C3692" s="9"/>
      <c r="D3692" t="str">
        <f>"del-6"</f>
        <v>del-6</v>
      </c>
      <c r="E3692" t="s">
        <v>210</v>
      </c>
      <c r="F3692" t="s">
        <v>11</v>
      </c>
      <c r="G3692" t="s">
        <v>211</v>
      </c>
      <c r="H3692" s="12">
        <v>2.3460687379057301</v>
      </c>
      <c r="I3692" s="11">
        <v>4.51768810521693</v>
      </c>
      <c r="J3692" s="10">
        <v>6.2518481438831503E-6</v>
      </c>
      <c r="K3692" s="29">
        <v>7.1512476837903003E-4</v>
      </c>
    </row>
    <row r="3693" spans="1:11" x14ac:dyDescent="0.35">
      <c r="A3693" s="9" t="str">
        <f>HYPERLINK("http://www.ensembl.org/id/WBGene00219852", "WBGene00219852")</f>
        <v>WBGene00219852</v>
      </c>
      <c r="B3693" s="9"/>
      <c r="C3693" s="9"/>
      <c r="D3693" t="str">
        <f>"C41C4.16"</f>
        <v>C41C4.16</v>
      </c>
      <c r="F3693" t="s">
        <v>2977</v>
      </c>
      <c r="H3693" s="12">
        <v>2.34541765407553</v>
      </c>
      <c r="I3693" s="11">
        <v>0.28884083622080498</v>
      </c>
      <c r="J3693" s="10">
        <v>0.772703180542197</v>
      </c>
      <c r="K3693" s="29">
        <v>0.98289565623980701</v>
      </c>
    </row>
    <row r="3694" spans="1:11" x14ac:dyDescent="0.35">
      <c r="A3694" s="9" t="str">
        <f>HYPERLINK("http://www.ensembl.org/id/WBGene00197035", "WBGene00197035")</f>
        <v>WBGene00197035</v>
      </c>
      <c r="B3694" s="9"/>
      <c r="C3694" s="9"/>
      <c r="D3694" t="str">
        <f>"F47G4.11"</f>
        <v>F47G4.11</v>
      </c>
      <c r="F3694" t="s">
        <v>481</v>
      </c>
      <c r="H3694" s="12">
        <v>2.34541765407553</v>
      </c>
      <c r="I3694" s="11">
        <v>0.28884083622080498</v>
      </c>
      <c r="J3694" s="10">
        <v>0.772703180542197</v>
      </c>
      <c r="K3694" s="29">
        <v>0.98289565623980701</v>
      </c>
    </row>
    <row r="3695" spans="1:11" x14ac:dyDescent="0.35">
      <c r="A3695" s="9" t="str">
        <f>HYPERLINK("http://www.ensembl.org/id/WBGene00005315", "WBGene00005315")</f>
        <v>WBGene00005315</v>
      </c>
      <c r="B3695" s="9" t="str">
        <f>HYPERLINK("http://www.ncbi.nlm.nih.gov/gene/184799", "184799")</f>
        <v>184799</v>
      </c>
      <c r="C3695" s="9"/>
      <c r="D3695" t="str">
        <f>"srh-95"</f>
        <v>srh-95</v>
      </c>
      <c r="E3695" t="s">
        <v>153</v>
      </c>
      <c r="F3695" t="s">
        <v>11</v>
      </c>
      <c r="G3695" t="s">
        <v>25</v>
      </c>
      <c r="H3695" s="12">
        <v>2.34541765407553</v>
      </c>
      <c r="I3695" s="11">
        <v>0.28884083622080498</v>
      </c>
      <c r="J3695" s="10">
        <v>0.772703180542197</v>
      </c>
      <c r="K3695" s="29">
        <v>0.98289565623980701</v>
      </c>
    </row>
    <row r="3696" spans="1:11" x14ac:dyDescent="0.35">
      <c r="A3696" s="9" t="str">
        <f>HYPERLINK("http://www.ensembl.org/id/WBGene00017836", "WBGene00017836")</f>
        <v>WBGene00017836</v>
      </c>
      <c r="B3696" s="9" t="str">
        <f>HYPERLINK("http://www.ncbi.nlm.nih.gov/gene/178974", "178974")</f>
        <v>178974</v>
      </c>
      <c r="C3696" s="9"/>
      <c r="D3696" t="str">
        <f>"F26F12.5"</f>
        <v>F26F12.5</v>
      </c>
      <c r="F3696" t="s">
        <v>11</v>
      </c>
      <c r="G3696" t="s">
        <v>287</v>
      </c>
      <c r="H3696" s="12">
        <v>2.3454031655719301</v>
      </c>
      <c r="I3696" s="11">
        <v>3.3573781118588499</v>
      </c>
      <c r="J3696" s="10">
        <v>7.8685427676144202E-4</v>
      </c>
      <c r="K3696" s="29">
        <v>3.2235912976684197E-2</v>
      </c>
    </row>
    <row r="3697" spans="1:11" x14ac:dyDescent="0.35">
      <c r="A3697" s="9" t="str">
        <f>HYPERLINK("http://www.ensembl.org/id/WBGene00003540", "WBGene00003540")</f>
        <v>WBGene00003540</v>
      </c>
      <c r="B3697" s="9" t="str">
        <f>HYPERLINK("http://www.ncbi.nlm.nih.gov/gene/188422", "188422")</f>
        <v>188422</v>
      </c>
      <c r="C3697" s="9"/>
      <c r="D3697" t="str">
        <f>"nas-21"</f>
        <v>nas-21</v>
      </c>
      <c r="E3697" t="s">
        <v>4409</v>
      </c>
      <c r="F3697" t="s">
        <v>11</v>
      </c>
      <c r="G3697" t="s">
        <v>267</v>
      </c>
      <c r="H3697" s="12">
        <v>2.34517578363692</v>
      </c>
      <c r="I3697" s="11">
        <v>0.957400156006743</v>
      </c>
      <c r="J3697" s="10">
        <v>0.33836531974862599</v>
      </c>
      <c r="K3697" s="29">
        <v>0.98289565623980701</v>
      </c>
    </row>
    <row r="3698" spans="1:11" x14ac:dyDescent="0.35">
      <c r="A3698" s="9" t="str">
        <f>HYPERLINK("http://www.ensembl.org/id/WBGene00007450", "WBGene00007450")</f>
        <v>WBGene00007450</v>
      </c>
      <c r="B3698" s="9" t="str">
        <f>HYPERLINK("http://www.ncbi.nlm.nih.gov/gene/178329", "178329")</f>
        <v>178329</v>
      </c>
      <c r="C3698" s="9"/>
      <c r="D3698" t="str">
        <f>"C08F11.1"</f>
        <v>C08F11.1</v>
      </c>
      <c r="F3698" t="s">
        <v>11</v>
      </c>
      <c r="H3698" s="12">
        <v>2.3449408521325599</v>
      </c>
      <c r="I3698" s="11">
        <v>1.9190073961899301</v>
      </c>
      <c r="J3698" s="10">
        <v>5.4983397823511103E-2</v>
      </c>
      <c r="K3698" s="29">
        <v>0.55140902348526399</v>
      </c>
    </row>
    <row r="3699" spans="1:11" x14ac:dyDescent="0.35">
      <c r="A3699" s="9" t="str">
        <f>HYPERLINK("http://www.ensembl.org/id/WBGene00047695", "WBGene00047695")</f>
        <v>WBGene00047695</v>
      </c>
      <c r="B3699" s="9"/>
      <c r="C3699" s="9"/>
      <c r="D3699" t="str">
        <f>"21ur-2855"</f>
        <v>21ur-2855</v>
      </c>
      <c r="F3699" t="s">
        <v>3161</v>
      </c>
      <c r="H3699" s="12">
        <v>2.3444892507898301</v>
      </c>
      <c r="I3699" s="11">
        <v>0.253126732237689</v>
      </c>
      <c r="J3699" s="10">
        <v>0.80017028205419904</v>
      </c>
      <c r="K3699" s="29">
        <v>0.98289565623980701</v>
      </c>
    </row>
    <row r="3700" spans="1:11" x14ac:dyDescent="0.35">
      <c r="A3700" s="9" t="str">
        <f>HYPERLINK("http://www.ensembl.org/id/WBGene00195512", "WBGene00195512")</f>
        <v>WBGene00195512</v>
      </c>
      <c r="B3700" s="9"/>
      <c r="C3700" s="9"/>
      <c r="D3700" t="str">
        <f>"C04C11.5"</f>
        <v>C04C11.5</v>
      </c>
      <c r="F3700" t="s">
        <v>481</v>
      </c>
      <c r="H3700" s="12">
        <v>2.3444892507898301</v>
      </c>
      <c r="I3700" s="11">
        <v>0.253126732237689</v>
      </c>
      <c r="J3700" s="10">
        <v>0.80017028205419904</v>
      </c>
      <c r="K3700" s="29">
        <v>0.98289565623980701</v>
      </c>
    </row>
    <row r="3701" spans="1:11" x14ac:dyDescent="0.35">
      <c r="A3701" s="9" t="str">
        <f>HYPERLINK("http://www.ensembl.org/id/WBGene00195658", "WBGene00195658")</f>
        <v>WBGene00195658</v>
      </c>
      <c r="B3701" s="9"/>
      <c r="C3701" s="9"/>
      <c r="D3701" t="str">
        <f>"C34D1.6"</f>
        <v>C34D1.6</v>
      </c>
      <c r="F3701" t="s">
        <v>481</v>
      </c>
      <c r="H3701" s="12">
        <v>2.3444892507898301</v>
      </c>
      <c r="I3701" s="11">
        <v>0.253126732237689</v>
      </c>
      <c r="J3701" s="10">
        <v>0.80017028205419904</v>
      </c>
      <c r="K3701" s="29">
        <v>0.98289565623980701</v>
      </c>
    </row>
    <row r="3702" spans="1:11" x14ac:dyDescent="0.35">
      <c r="A3702" s="9" t="str">
        <f>HYPERLINK("http://www.ensembl.org/id/WBGene00201171", "WBGene00201171")</f>
        <v>WBGene00201171</v>
      </c>
      <c r="B3702" s="9"/>
      <c r="C3702" s="9"/>
      <c r="D3702" t="str">
        <f>"C46F11.8"</f>
        <v>C46F11.8</v>
      </c>
      <c r="F3702" t="s">
        <v>481</v>
      </c>
      <c r="H3702" s="12">
        <v>2.3444892507898301</v>
      </c>
      <c r="I3702" s="11">
        <v>0.253126732237689</v>
      </c>
      <c r="J3702" s="10">
        <v>0.80017028205419904</v>
      </c>
      <c r="K3702" s="29">
        <v>0.98289565623980701</v>
      </c>
    </row>
    <row r="3703" spans="1:11" x14ac:dyDescent="0.35">
      <c r="A3703" s="9" t="str">
        <f>HYPERLINK("http://www.ensembl.org/id/WBGene00014162", "WBGene00014162")</f>
        <v>WBGene00014162</v>
      </c>
      <c r="B3703" s="9" t="str">
        <f>HYPERLINK("http://www.ncbi.nlm.nih.gov/gene/191470", "191470")</f>
        <v>191470</v>
      </c>
      <c r="C3703" s="9"/>
      <c r="D3703" t="str">
        <f>"chil-9"</f>
        <v>chil-9</v>
      </c>
      <c r="E3703" t="s">
        <v>1756</v>
      </c>
      <c r="F3703" t="s">
        <v>11</v>
      </c>
      <c r="G3703" t="s">
        <v>1509</v>
      </c>
      <c r="H3703" s="12">
        <v>2.3444892507898301</v>
      </c>
      <c r="I3703" s="11">
        <v>0.253126732237689</v>
      </c>
      <c r="J3703" s="10">
        <v>0.80017028205419904</v>
      </c>
      <c r="K3703" s="29">
        <v>0.98289565623980701</v>
      </c>
    </row>
    <row r="3704" spans="1:11" x14ac:dyDescent="0.35">
      <c r="A3704" s="9" t="str">
        <f>HYPERLINK("http://www.ensembl.org/id/WBGene00198753", "WBGene00198753")</f>
        <v>WBGene00198753</v>
      </c>
      <c r="B3704" s="9"/>
      <c r="C3704" s="9"/>
      <c r="D3704" t="str">
        <f>"F11E6.21"</f>
        <v>F11E6.21</v>
      </c>
      <c r="F3704" t="s">
        <v>481</v>
      </c>
      <c r="H3704" s="12">
        <v>2.3444892507898301</v>
      </c>
      <c r="I3704" s="11">
        <v>0.253126732237689</v>
      </c>
      <c r="J3704" s="10">
        <v>0.80017028205419904</v>
      </c>
      <c r="K3704" s="29">
        <v>0.98289565623980701</v>
      </c>
    </row>
    <row r="3705" spans="1:11" x14ac:dyDescent="0.35">
      <c r="A3705" s="9" t="str">
        <f>HYPERLINK("http://www.ensembl.org/id/WBGene00201075", "WBGene00201075")</f>
        <v>WBGene00201075</v>
      </c>
      <c r="B3705" s="9"/>
      <c r="C3705" s="9"/>
      <c r="D3705" t="str">
        <f>"F25D7.9"</f>
        <v>F25D7.9</v>
      </c>
      <c r="F3705" t="s">
        <v>481</v>
      </c>
      <c r="H3705" s="12">
        <v>2.3444892507898301</v>
      </c>
      <c r="I3705" s="11">
        <v>0.253126732237689</v>
      </c>
      <c r="J3705" s="10">
        <v>0.80017028205419904</v>
      </c>
      <c r="K3705" s="29">
        <v>0.98289565623980701</v>
      </c>
    </row>
    <row r="3706" spans="1:11" x14ac:dyDescent="0.35">
      <c r="A3706" s="9" t="str">
        <f>HYPERLINK("http://www.ensembl.org/id/WBGene00195801", "WBGene00195801")</f>
        <v>WBGene00195801</v>
      </c>
      <c r="B3706" s="9"/>
      <c r="C3706" s="9"/>
      <c r="D3706" t="str">
        <f>"F35B12.11"</f>
        <v>F35B12.11</v>
      </c>
      <c r="F3706" t="s">
        <v>481</v>
      </c>
      <c r="H3706" s="12">
        <v>2.3444892507898301</v>
      </c>
      <c r="I3706" s="11">
        <v>0.253126732237689</v>
      </c>
      <c r="J3706" s="10">
        <v>0.80017028205419904</v>
      </c>
      <c r="K3706" s="29">
        <v>0.98289565623980701</v>
      </c>
    </row>
    <row r="3707" spans="1:11" x14ac:dyDescent="0.35">
      <c r="A3707" s="9" t="str">
        <f>HYPERLINK("http://www.ensembl.org/id/WBGene00198416", "WBGene00198416")</f>
        <v>WBGene00198416</v>
      </c>
      <c r="B3707" s="9"/>
      <c r="C3707" s="9"/>
      <c r="D3707" t="str">
        <f>"F49E10.14"</f>
        <v>F49E10.14</v>
      </c>
      <c r="F3707" t="s">
        <v>481</v>
      </c>
      <c r="H3707" s="12">
        <v>2.3444892507898301</v>
      </c>
      <c r="I3707" s="11">
        <v>0.253126732237689</v>
      </c>
      <c r="J3707" s="10">
        <v>0.80017028205419904</v>
      </c>
      <c r="K3707" s="29">
        <v>0.98289565623980701</v>
      </c>
    </row>
    <row r="3708" spans="1:11" x14ac:dyDescent="0.35">
      <c r="A3708" s="9" t="str">
        <f>HYPERLINK("http://www.ensembl.org/id/WBGene00017693", "WBGene00017693")</f>
        <v>WBGene00017693</v>
      </c>
      <c r="B3708" s="9" t="str">
        <f>HYPERLINK("http://www.ncbi.nlm.nih.gov/gene/184812", "184812")</f>
        <v>184812</v>
      </c>
      <c r="C3708" s="9"/>
      <c r="D3708" t="str">
        <f>"flp-23"</f>
        <v>flp-23</v>
      </c>
      <c r="E3708" t="s">
        <v>4413</v>
      </c>
      <c r="F3708" t="s">
        <v>11</v>
      </c>
      <c r="H3708" s="12">
        <v>2.3444892507898301</v>
      </c>
      <c r="I3708" s="11">
        <v>0.253126732237689</v>
      </c>
      <c r="J3708" s="10">
        <v>0.80017028205419904</v>
      </c>
      <c r="K3708" s="29">
        <v>0.98289565623980701</v>
      </c>
    </row>
    <row r="3709" spans="1:11" x14ac:dyDescent="0.35">
      <c r="A3709" s="9" t="str">
        <f>HYPERLINK("http://www.ensembl.org/id/WBGene00008627", "WBGene00008627")</f>
        <v>WBGene00008627</v>
      </c>
      <c r="B3709" s="9" t="str">
        <f>HYPERLINK("http://www.ncbi.nlm.nih.gov/gene/179880", "179880")</f>
        <v>179880</v>
      </c>
      <c r="C3709" s="9"/>
      <c r="D3709" t="str">
        <f>"hpx-2"</f>
        <v>hpx-2</v>
      </c>
      <c r="E3709" t="s">
        <v>4410</v>
      </c>
      <c r="F3709" t="s">
        <v>11</v>
      </c>
      <c r="G3709" t="s">
        <v>4411</v>
      </c>
      <c r="H3709" s="12">
        <v>2.3444892507898301</v>
      </c>
      <c r="I3709" s="11">
        <v>0.253126732237689</v>
      </c>
      <c r="J3709" s="10">
        <v>0.80017028205419904</v>
      </c>
      <c r="K3709" s="29">
        <v>0.98289565623980701</v>
      </c>
    </row>
    <row r="3710" spans="1:11" x14ac:dyDescent="0.35">
      <c r="A3710" s="9" t="str">
        <f>HYPERLINK("http://www.ensembl.org/id/WBGene00219584", "WBGene00219584")</f>
        <v>WBGene00219584</v>
      </c>
      <c r="B3710" s="9"/>
      <c r="C3710" s="9"/>
      <c r="D3710" t="str">
        <f>"linc-162"</f>
        <v>linc-162</v>
      </c>
      <c r="F3710" t="s">
        <v>1510</v>
      </c>
      <c r="H3710" s="12">
        <v>2.3444892507898301</v>
      </c>
      <c r="I3710" s="11">
        <v>0.253126732237689</v>
      </c>
      <c r="J3710" s="10">
        <v>0.80017028205419904</v>
      </c>
      <c r="K3710" s="29">
        <v>0.98289565623980701</v>
      </c>
    </row>
    <row r="3711" spans="1:11" x14ac:dyDescent="0.35">
      <c r="A3711" s="9" t="str">
        <f>HYPERLINK("http://www.ensembl.org/id/WBGene00003543", "WBGene00003543")</f>
        <v>WBGene00003543</v>
      </c>
      <c r="B3711" s="9" t="str">
        <f>HYPERLINK("http://www.ncbi.nlm.nih.gov/gene/184744", "184744")</f>
        <v>184744</v>
      </c>
      <c r="C3711" s="9"/>
      <c r="D3711" t="str">
        <f>"nas-24"</f>
        <v>nas-24</v>
      </c>
      <c r="E3711" t="s">
        <v>4412</v>
      </c>
      <c r="F3711" t="s">
        <v>11</v>
      </c>
      <c r="G3711" t="s">
        <v>267</v>
      </c>
      <c r="H3711" s="12">
        <v>2.3444892507898301</v>
      </c>
      <c r="I3711" s="11">
        <v>0.253126732237689</v>
      </c>
      <c r="J3711" s="10">
        <v>0.80017028205419904</v>
      </c>
      <c r="K3711" s="29">
        <v>0.98289565623980701</v>
      </c>
    </row>
    <row r="3712" spans="1:11" x14ac:dyDescent="0.35">
      <c r="A3712" s="9" t="str">
        <f>HYPERLINK("http://www.ensembl.org/id/WBGene00012597", "WBGene00012597")</f>
        <v>WBGene00012597</v>
      </c>
      <c r="B3712" s="9" t="str">
        <f>HYPERLINK("http://www.ncbi.nlm.nih.gov/gene/189664", "189664")</f>
        <v>189664</v>
      </c>
      <c r="C3712" s="9"/>
      <c r="D3712" t="str">
        <f>"nhr-235"</f>
        <v>nhr-235</v>
      </c>
      <c r="E3712" t="s">
        <v>637</v>
      </c>
      <c r="F3712" t="s">
        <v>11</v>
      </c>
      <c r="G3712" t="s">
        <v>228</v>
      </c>
      <c r="H3712" s="12">
        <v>2.3444892507898301</v>
      </c>
      <c r="I3712" s="11">
        <v>0.253126732237689</v>
      </c>
      <c r="J3712" s="10">
        <v>0.80017028205419904</v>
      </c>
      <c r="K3712" s="29">
        <v>0.98289565623980701</v>
      </c>
    </row>
    <row r="3713" spans="1:11" x14ac:dyDescent="0.35">
      <c r="A3713" s="9" t="str">
        <f>HYPERLINK("http://www.ensembl.org/id/WBGene00004837", "WBGene00004837")</f>
        <v>WBGene00004837</v>
      </c>
      <c r="B3713" s="9"/>
      <c r="C3713" s="9"/>
      <c r="D3713" t="str">
        <f>"sls-2.5"</f>
        <v>sls-2.5</v>
      </c>
      <c r="F3713" t="s">
        <v>4205</v>
      </c>
      <c r="H3713" s="12">
        <v>2.3444892507898301</v>
      </c>
      <c r="I3713" s="11">
        <v>0.253126732237689</v>
      </c>
      <c r="J3713" s="10">
        <v>0.80017028205419904</v>
      </c>
      <c r="K3713" s="29">
        <v>0.98289565623980701</v>
      </c>
    </row>
    <row r="3714" spans="1:11" x14ac:dyDescent="0.35">
      <c r="A3714" s="9" t="str">
        <f>HYPERLINK("http://www.ensembl.org/id/WBGene00006644", "WBGene00006644")</f>
        <v>WBGene00006644</v>
      </c>
      <c r="B3714" s="9" t="str">
        <f>HYPERLINK("http://www.ncbi.nlm.nih.gov/gene/192068", "192068")</f>
        <v>192068</v>
      </c>
      <c r="C3714" s="9"/>
      <c r="D3714" t="str">
        <f>"tsp-18"</f>
        <v>tsp-18</v>
      </c>
      <c r="E3714" t="s">
        <v>500</v>
      </c>
      <c r="F3714" t="s">
        <v>11</v>
      </c>
      <c r="G3714" t="s">
        <v>868</v>
      </c>
      <c r="H3714" s="12">
        <v>2.3444892507898301</v>
      </c>
      <c r="I3714" s="11">
        <v>0.253126732237689</v>
      </c>
      <c r="J3714" s="10">
        <v>0.80017028205419904</v>
      </c>
      <c r="K3714" s="29">
        <v>0.98289565623980701</v>
      </c>
    </row>
    <row r="3715" spans="1:11" x14ac:dyDescent="0.35">
      <c r="A3715" s="9" t="str">
        <f>HYPERLINK("http://www.ensembl.org/id/WBGene00196747", "WBGene00196747")</f>
        <v>WBGene00196747</v>
      </c>
      <c r="B3715" s="9"/>
      <c r="C3715" s="9"/>
      <c r="D3715" t="str">
        <f>"Y53G8AR.10"</f>
        <v>Y53G8AR.10</v>
      </c>
      <c r="F3715" t="s">
        <v>481</v>
      </c>
      <c r="H3715" s="12">
        <v>2.3444892507898301</v>
      </c>
      <c r="I3715" s="11">
        <v>0.253126732237689</v>
      </c>
      <c r="J3715" s="10">
        <v>0.80017028205419904</v>
      </c>
      <c r="K3715" s="29">
        <v>0.98289565623980701</v>
      </c>
    </row>
    <row r="3716" spans="1:11" x14ac:dyDescent="0.35">
      <c r="A3716" s="9" t="str">
        <f>HYPERLINK("http://www.ensembl.org/id/WBGene00044480", "WBGene00044480")</f>
        <v>WBGene00044480</v>
      </c>
      <c r="B3716" s="9" t="str">
        <f>HYPERLINK("http://www.ncbi.nlm.nih.gov/gene/3896817", "3896817")</f>
        <v>3896817</v>
      </c>
      <c r="C3716" s="9"/>
      <c r="D3716" t="str">
        <f>"ZK185.4"</f>
        <v>ZK185.4</v>
      </c>
      <c r="F3716" t="s">
        <v>11</v>
      </c>
      <c r="G3716" t="s">
        <v>557</v>
      </c>
      <c r="H3716" s="12">
        <v>2.3444892507898301</v>
      </c>
      <c r="I3716" s="11">
        <v>0.253126732237689</v>
      </c>
      <c r="J3716" s="10">
        <v>0.80017028205419904</v>
      </c>
      <c r="K3716" s="29">
        <v>0.98289565623980701</v>
      </c>
    </row>
    <row r="3717" spans="1:11" x14ac:dyDescent="0.35">
      <c r="A3717" s="9" t="str">
        <f>HYPERLINK("http://www.ensembl.org/id/WBGene00019776", "WBGene00019776")</f>
        <v>WBGene00019776</v>
      </c>
      <c r="B3717" s="9" t="str">
        <f>HYPERLINK("http://www.ncbi.nlm.nih.gov/gene/187455", "187455")</f>
        <v>187455</v>
      </c>
      <c r="C3717" s="9"/>
      <c r="D3717" t="str">
        <f>"M6.4"</f>
        <v>M6.4</v>
      </c>
      <c r="F3717" t="s">
        <v>11</v>
      </c>
      <c r="H3717" s="12">
        <v>2.3432756298614601</v>
      </c>
      <c r="I3717" s="11">
        <v>1.7082211408891299</v>
      </c>
      <c r="J3717" s="10">
        <v>8.7595317223809296E-2</v>
      </c>
      <c r="K3717" s="29">
        <v>0.69064774952796104</v>
      </c>
    </row>
    <row r="3718" spans="1:11" x14ac:dyDescent="0.35">
      <c r="A3718" s="9" t="str">
        <f>HYPERLINK("http://www.ensembl.org/id/WBGene00044350", "WBGene00044350")</f>
        <v>WBGene00044350</v>
      </c>
      <c r="B3718" s="9" t="str">
        <f>HYPERLINK("http://www.ncbi.nlm.nih.gov/gene/3565715", "3565715")</f>
        <v>3565715</v>
      </c>
      <c r="C3718" s="9"/>
      <c r="D3718" t="str">
        <f>"Y73B6BL.44"</f>
        <v>Y73B6BL.44</v>
      </c>
      <c r="F3718" t="s">
        <v>11</v>
      </c>
      <c r="H3718" s="12">
        <v>2.3424828528698698</v>
      </c>
      <c r="I3718" s="11">
        <v>4.0905932085506604</v>
      </c>
      <c r="J3718" s="10">
        <v>4.3027124391962598E-5</v>
      </c>
      <c r="K3718" s="29">
        <v>3.3957074807259499E-3</v>
      </c>
    </row>
    <row r="3719" spans="1:11" x14ac:dyDescent="0.35">
      <c r="A3719" s="9" t="str">
        <f>HYPERLINK("http://www.ensembl.org/id/WBGene00007693", "WBGene00007693")</f>
        <v>WBGene00007693</v>
      </c>
      <c r="B3719" s="9" t="str">
        <f>HYPERLINK("http://www.ncbi.nlm.nih.gov/gene/182819", "182819")</f>
        <v>182819</v>
      </c>
      <c r="C3719" s="9"/>
      <c r="D3719" t="str">
        <f>"C23H4.4"</f>
        <v>C23H4.4</v>
      </c>
      <c r="E3719" t="s">
        <v>383</v>
      </c>
      <c r="F3719" t="s">
        <v>11</v>
      </c>
      <c r="G3719" t="s">
        <v>146</v>
      </c>
      <c r="H3719" s="12">
        <v>2.3422364268630198</v>
      </c>
      <c r="I3719" s="11">
        <v>0.98672037163453596</v>
      </c>
      <c r="J3719" s="10">
        <v>0.32377974038076801</v>
      </c>
      <c r="K3719" s="29">
        <v>0.98289565623980701</v>
      </c>
    </row>
    <row r="3720" spans="1:11" x14ac:dyDescent="0.35">
      <c r="A3720" s="9" t="str">
        <f>HYPERLINK("http://www.ensembl.org/id/WBGene00235268", "WBGene00235268")</f>
        <v>WBGene00235268</v>
      </c>
      <c r="B3720" s="9" t="str">
        <f>HYPERLINK("http://www.ncbi.nlm.nih.gov/gene/24105156", "24105156")</f>
        <v>24105156</v>
      </c>
      <c r="C3720" s="9"/>
      <c r="D3720" t="str">
        <f>"Y54G2A.76"</f>
        <v>Y54G2A.76</v>
      </c>
      <c r="F3720" t="s">
        <v>11</v>
      </c>
      <c r="H3720" s="12">
        <v>2.3412411934825599</v>
      </c>
      <c r="I3720" s="11">
        <v>1.5440911024847701</v>
      </c>
      <c r="J3720" s="10">
        <v>0.122566264029721</v>
      </c>
      <c r="K3720" s="29">
        <v>0.79480141890984701</v>
      </c>
    </row>
    <row r="3721" spans="1:11" x14ac:dyDescent="0.35">
      <c r="A3721" s="9" t="str">
        <f>HYPERLINK("http://www.ensembl.org/id/WBGene00011796", "WBGene00011796")</f>
        <v>WBGene00011796</v>
      </c>
      <c r="B3721" s="9" t="str">
        <f>HYPERLINK("http://www.ncbi.nlm.nih.gov/gene/188552", "188552")</f>
        <v>188552</v>
      </c>
      <c r="C3721" s="9"/>
      <c r="D3721" t="str">
        <f>"T16G1.2"</f>
        <v>T16G1.2</v>
      </c>
      <c r="F3721" t="s">
        <v>11</v>
      </c>
      <c r="H3721" s="12">
        <v>2.3406898101711699</v>
      </c>
      <c r="I3721" s="11">
        <v>1.6126796655397899</v>
      </c>
      <c r="J3721" s="10">
        <v>0.10681412056594999</v>
      </c>
      <c r="K3721" s="29">
        <v>0.75337212142760401</v>
      </c>
    </row>
    <row r="3722" spans="1:11" x14ac:dyDescent="0.35">
      <c r="A3722" s="9" t="str">
        <f>HYPERLINK("http://www.ensembl.org/id/WBGene00017621", "WBGene00017621")</f>
        <v>WBGene00017621</v>
      </c>
      <c r="B3722" s="9" t="str">
        <f>HYPERLINK("http://www.ncbi.nlm.nih.gov/gene/184707", "184707")</f>
        <v>184707</v>
      </c>
      <c r="C3722" s="9"/>
      <c r="D3722" t="str">
        <f>"F20A1.10"</f>
        <v>F20A1.10</v>
      </c>
      <c r="F3722" t="s">
        <v>11</v>
      </c>
      <c r="H3722" s="12">
        <v>2.3406386918570901</v>
      </c>
      <c r="I3722" s="11">
        <v>4.5155059333516503</v>
      </c>
      <c r="J3722" s="10">
        <v>6.3165777952418396E-6</v>
      </c>
      <c r="K3722" s="29">
        <v>7.1896968737368398E-4</v>
      </c>
    </row>
    <row r="3723" spans="1:11" x14ac:dyDescent="0.35">
      <c r="A3723" s="9" t="str">
        <f>HYPERLINK("http://www.ensembl.org/id/WBGene00010830", "WBGene00010830")</f>
        <v>WBGene00010830</v>
      </c>
      <c r="B3723" s="9" t="str">
        <f>HYPERLINK("http://www.ncbi.nlm.nih.gov/gene/174597", "174597")</f>
        <v>174597</v>
      </c>
      <c r="C3723" s="9"/>
      <c r="D3723" t="str">
        <f>"M02G9.1"</f>
        <v>M02G9.1</v>
      </c>
      <c r="F3723" t="s">
        <v>11</v>
      </c>
      <c r="H3723" s="12">
        <v>2.34021722226914</v>
      </c>
      <c r="I3723" s="11">
        <v>1.4118722164475599</v>
      </c>
      <c r="J3723" s="10">
        <v>0.1579875897936</v>
      </c>
      <c r="K3723" s="29">
        <v>0.86928731343041299</v>
      </c>
    </row>
    <row r="3724" spans="1:11" x14ac:dyDescent="0.35">
      <c r="A3724" s="9" t="str">
        <f>HYPERLINK("http://www.ensembl.org/id/WBGene00235114", "WBGene00235114")</f>
        <v>WBGene00235114</v>
      </c>
      <c r="B3724" s="9" t="str">
        <f>HYPERLINK("http://www.ncbi.nlm.nih.gov/gene/24105275", "24105275")</f>
        <v>24105275</v>
      </c>
      <c r="C3724" s="9"/>
      <c r="D3724" t="str">
        <f>"ZK105.13"</f>
        <v>ZK105.13</v>
      </c>
      <c r="F3724" t="s">
        <v>11</v>
      </c>
      <c r="H3724" s="12">
        <v>2.3389730425741302</v>
      </c>
      <c r="I3724" s="11">
        <v>2.0153383438430401</v>
      </c>
      <c r="J3724" s="10">
        <v>4.38692098973026E-2</v>
      </c>
      <c r="K3724" s="29">
        <v>0.48546763849513502</v>
      </c>
    </row>
    <row r="3725" spans="1:11" x14ac:dyDescent="0.35">
      <c r="A3725" s="9" t="str">
        <f>HYPERLINK("http://www.ensembl.org/id/WBGene00219655", "WBGene00219655")</f>
        <v>WBGene00219655</v>
      </c>
      <c r="B3725" s="9"/>
      <c r="C3725" s="9"/>
      <c r="D3725" t="str">
        <f>"linc-107"</f>
        <v>linc-107</v>
      </c>
      <c r="F3725" t="s">
        <v>1510</v>
      </c>
      <c r="H3725" s="12">
        <v>2.3380447786086398</v>
      </c>
      <c r="I3725" s="11">
        <v>0.73511402128882897</v>
      </c>
      <c r="J3725" s="10">
        <v>0.46227005576374802</v>
      </c>
      <c r="K3725" s="29">
        <v>0.98289565623980701</v>
      </c>
    </row>
    <row r="3726" spans="1:11" x14ac:dyDescent="0.35">
      <c r="A3726" s="9" t="str">
        <f>HYPERLINK("http://www.ensembl.org/id/WBGene00012526", "WBGene00012526")</f>
        <v>WBGene00012526</v>
      </c>
      <c r="B3726" s="9"/>
      <c r="C3726" s="9"/>
      <c r="D3726" t="str">
        <f>"Y32B12C.3"</f>
        <v>Y32B12C.3</v>
      </c>
      <c r="F3726" t="s">
        <v>80</v>
      </c>
      <c r="H3726" s="12">
        <v>2.33803953902498</v>
      </c>
      <c r="I3726" s="11">
        <v>0.55001702216693005</v>
      </c>
      <c r="J3726" s="10">
        <v>0.58230769833625096</v>
      </c>
      <c r="K3726" s="29">
        <v>0.98289565623980701</v>
      </c>
    </row>
    <row r="3727" spans="1:11" x14ac:dyDescent="0.35">
      <c r="A3727" s="9" t="str">
        <f>HYPERLINK("http://www.ensembl.org/id/WBGene00009349", "WBGene00009349")</f>
        <v>WBGene00009349</v>
      </c>
      <c r="B3727" s="9" t="str">
        <f>HYPERLINK("http://www.ncbi.nlm.nih.gov/gene/179816", "179816")</f>
        <v>179816</v>
      </c>
      <c r="C3727" s="9"/>
      <c r="D3727" t="str">
        <f>"F32H5.3"</f>
        <v>F32H5.3</v>
      </c>
      <c r="F3727" t="s">
        <v>11</v>
      </c>
      <c r="H3727" s="12">
        <v>2.3379107925882501</v>
      </c>
      <c r="I3727" s="11">
        <v>2.3372630925696898</v>
      </c>
      <c r="J3727" s="10">
        <v>1.94255083522865E-2</v>
      </c>
      <c r="K3727" s="29">
        <v>0.29452449280903498</v>
      </c>
    </row>
    <row r="3728" spans="1:11" x14ac:dyDescent="0.35">
      <c r="A3728" s="9" t="str">
        <f>HYPERLINK("http://www.ensembl.org/id/WBGene00008746", "WBGene00008746")</f>
        <v>WBGene00008746</v>
      </c>
      <c r="B3728" s="9" t="str">
        <f>HYPERLINK("http://www.ncbi.nlm.nih.gov/gene/181264", "181264")</f>
        <v>181264</v>
      </c>
      <c r="C3728" s="9" t="str">
        <f>HYPERLINK("http://www.ncbi.nlm.nih.gov/gene/26289", "26289")</f>
        <v>26289</v>
      </c>
      <c r="D3728" t="str">
        <f>"F13E6.2"</f>
        <v>F13E6.2</v>
      </c>
      <c r="F3728" t="s">
        <v>11</v>
      </c>
      <c r="G3728" t="s">
        <v>1392</v>
      </c>
      <c r="H3728" s="12">
        <v>2.3354877758153001</v>
      </c>
      <c r="I3728" s="11">
        <v>1.7542950945088001</v>
      </c>
      <c r="J3728" s="10">
        <v>7.9379955903700297E-2</v>
      </c>
      <c r="K3728" s="29">
        <v>0.66334656821370697</v>
      </c>
    </row>
    <row r="3729" spans="1:11" x14ac:dyDescent="0.35">
      <c r="A3729" s="9" t="str">
        <f>HYPERLINK("http://www.ensembl.org/id/WBGene00017692", "WBGene00017692")</f>
        <v>WBGene00017692</v>
      </c>
      <c r="B3729" s="9" t="str">
        <f>HYPERLINK("http://www.ncbi.nlm.nih.gov/gene/184811", "184811")</f>
        <v>184811</v>
      </c>
      <c r="C3729" s="9"/>
      <c r="D3729" t="str">
        <f>"F22B7.1"</f>
        <v>F22B7.1</v>
      </c>
      <c r="F3729" t="s">
        <v>11</v>
      </c>
      <c r="H3729" s="12">
        <v>2.3354410877581202</v>
      </c>
      <c r="I3729" s="11">
        <v>4.2210452945421002</v>
      </c>
      <c r="J3729" s="10">
        <v>2.4317206405900798E-5</v>
      </c>
      <c r="K3729" s="29">
        <v>2.1043946487443498E-3</v>
      </c>
    </row>
    <row r="3730" spans="1:11" x14ac:dyDescent="0.35">
      <c r="A3730" s="9" t="str">
        <f>HYPERLINK("http://www.ensembl.org/id/WBGene00044490", "WBGene00044490")</f>
        <v>WBGene00044490</v>
      </c>
      <c r="B3730" s="9" t="str">
        <f>HYPERLINK("http://www.ncbi.nlm.nih.gov/gene/3896804", "3896804")</f>
        <v>3896804</v>
      </c>
      <c r="C3730" s="9"/>
      <c r="D3730" t="str">
        <f>"pudl-2"</f>
        <v>pudl-2</v>
      </c>
      <c r="E3730" t="s">
        <v>1062</v>
      </c>
      <c r="F3730" t="s">
        <v>11</v>
      </c>
      <c r="H3730" s="12">
        <v>2.3334782763356801</v>
      </c>
      <c r="I3730" s="11">
        <v>1.5146259595885601</v>
      </c>
      <c r="J3730" s="10">
        <v>0.12986715425588499</v>
      </c>
      <c r="K3730" s="29">
        <v>0.81255220649911597</v>
      </c>
    </row>
    <row r="3731" spans="1:11" x14ac:dyDescent="0.35">
      <c r="A3731" s="9" t="str">
        <f>HYPERLINK("http://www.ensembl.org/id/WBGene00017761", "WBGene00017761")</f>
        <v>WBGene00017761</v>
      </c>
      <c r="B3731" s="9" t="str">
        <f>HYPERLINK("http://www.ncbi.nlm.nih.gov/gene/184909", "184909")</f>
        <v>184909</v>
      </c>
      <c r="C3731" s="9"/>
      <c r="D3731" t="str">
        <f>"F23H11.6"</f>
        <v>F23H11.6</v>
      </c>
      <c r="F3731" t="s">
        <v>11</v>
      </c>
      <c r="H3731" s="12">
        <v>2.3331955379493201</v>
      </c>
      <c r="I3731" s="11">
        <v>0.61251530801980003</v>
      </c>
      <c r="J3731" s="10">
        <v>0.54019687305226205</v>
      </c>
      <c r="K3731" s="29">
        <v>0.98289565623980701</v>
      </c>
    </row>
    <row r="3732" spans="1:11" x14ac:dyDescent="0.35">
      <c r="A3732" s="9" t="str">
        <f>HYPERLINK("http://www.ensembl.org/id/WBGene00269355", "WBGene00269355")</f>
        <v>WBGene00269355</v>
      </c>
      <c r="B3732" s="9" t="str">
        <f>HYPERLINK("http://www.ncbi.nlm.nih.gov/gene/26591695", "26591695")</f>
        <v>26591695</v>
      </c>
      <c r="C3732" s="9"/>
      <c r="D3732" t="str">
        <f>"T28A11.25"</f>
        <v>T28A11.25</v>
      </c>
      <c r="F3732" t="s">
        <v>11</v>
      </c>
      <c r="H3732" s="12">
        <v>2.3311472844237699</v>
      </c>
      <c r="I3732" s="11">
        <v>1.49223224872829</v>
      </c>
      <c r="J3732" s="10">
        <v>0.13563827096447001</v>
      </c>
      <c r="K3732" s="29">
        <v>0.82649205931040004</v>
      </c>
    </row>
    <row r="3733" spans="1:11" x14ac:dyDescent="0.35">
      <c r="A3733" s="9" t="str">
        <f>HYPERLINK("http://www.ensembl.org/id/WBGene00011414", "WBGene00011414")</f>
        <v>WBGene00011414</v>
      </c>
      <c r="B3733" s="9" t="str">
        <f>HYPERLINK("http://www.ncbi.nlm.nih.gov/gene/175619", "175619")</f>
        <v>175619</v>
      </c>
      <c r="C3733" s="9"/>
      <c r="D3733" t="str">
        <f>"T04A8.13"</f>
        <v>T04A8.13</v>
      </c>
      <c r="F3733" t="s">
        <v>11</v>
      </c>
      <c r="H3733" s="12">
        <v>2.3307324205288502</v>
      </c>
      <c r="I3733" s="11">
        <v>0.67953048539247196</v>
      </c>
      <c r="J3733" s="10">
        <v>0.49680179834876398</v>
      </c>
      <c r="K3733" s="29">
        <v>0.98289565623980701</v>
      </c>
    </row>
    <row r="3734" spans="1:11" x14ac:dyDescent="0.35">
      <c r="A3734" s="9" t="str">
        <f>HYPERLINK("http://www.ensembl.org/id/WBGene00013965", "WBGene00013965")</f>
        <v>WBGene00013965</v>
      </c>
      <c r="B3734" s="9" t="str">
        <f>HYPERLINK("http://www.ncbi.nlm.nih.gov/gene/191282", "191282")</f>
        <v>191282</v>
      </c>
      <c r="C3734" s="9"/>
      <c r="D3734" t="str">
        <f>"ZK287.4"</f>
        <v>ZK287.4</v>
      </c>
      <c r="F3734" t="s">
        <v>11</v>
      </c>
      <c r="G3734" t="s">
        <v>50</v>
      </c>
      <c r="H3734" s="12">
        <v>2.3301747937278301</v>
      </c>
      <c r="I3734" s="11">
        <v>1.7253267401043699</v>
      </c>
      <c r="J3734" s="10">
        <v>8.4468605590402507E-2</v>
      </c>
      <c r="K3734" s="29">
        <v>0.68318940529949201</v>
      </c>
    </row>
    <row r="3735" spans="1:11" x14ac:dyDescent="0.35">
      <c r="A3735" s="9" t="str">
        <f>HYPERLINK("http://www.ensembl.org/id/WBGene00010883", "WBGene00010883")</f>
        <v>WBGene00010883</v>
      </c>
      <c r="B3735" s="9" t="str">
        <f>HYPERLINK("http://www.ncbi.nlm.nih.gov/gene/187456", "187456")</f>
        <v>187456</v>
      </c>
      <c r="C3735" s="9"/>
      <c r="D3735" t="str">
        <f>"M7.7"</f>
        <v>M7.7</v>
      </c>
      <c r="F3735" t="s">
        <v>11</v>
      </c>
      <c r="G3735" t="s">
        <v>1763</v>
      </c>
      <c r="H3735" s="12">
        <v>2.3300519932698598</v>
      </c>
      <c r="I3735" s="11">
        <v>0.66681499985178905</v>
      </c>
      <c r="J3735" s="10">
        <v>0.50489031029957798</v>
      </c>
      <c r="K3735" s="29">
        <v>0.98289565623980701</v>
      </c>
    </row>
    <row r="3736" spans="1:11" x14ac:dyDescent="0.35">
      <c r="A3736" s="9" t="str">
        <f>HYPERLINK("http://www.ensembl.org/id/WBGene00009500", "WBGene00009500")</f>
        <v>WBGene00009500</v>
      </c>
      <c r="B3736" s="9" t="str">
        <f>HYPERLINK("http://www.ncbi.nlm.nih.gov/gene/185381", "185381")</f>
        <v>185381</v>
      </c>
      <c r="C3736" s="9" t="str">
        <f>HYPERLINK("http://www.ncbi.nlm.nih.gov/gene/3075", "3075")</f>
        <v>3075</v>
      </c>
      <c r="D3736" t="str">
        <f>"F36H2.3"</f>
        <v>F36H2.3</v>
      </c>
      <c r="F3736" t="s">
        <v>11</v>
      </c>
      <c r="H3736" s="12">
        <v>2.3299658368366698</v>
      </c>
      <c r="I3736" s="11">
        <v>4.2097074742258798</v>
      </c>
      <c r="J3736" s="10">
        <v>2.55701539106457E-5</v>
      </c>
      <c r="K3736" s="29">
        <v>2.1963716589568001E-3</v>
      </c>
    </row>
    <row r="3737" spans="1:11" x14ac:dyDescent="0.35">
      <c r="A3737" s="9" t="str">
        <f>HYPERLINK("http://www.ensembl.org/id/WBGene00009148", "WBGene00009148")</f>
        <v>WBGene00009148</v>
      </c>
      <c r="B3737" s="9" t="str">
        <f>HYPERLINK("http://www.ncbi.nlm.nih.gov/gene/180103", "180103")</f>
        <v>180103</v>
      </c>
      <c r="C3737" s="9"/>
      <c r="D3737" t="str">
        <f>"F26D2.3"</f>
        <v>F26D2.3</v>
      </c>
      <c r="F3737" t="s">
        <v>11</v>
      </c>
      <c r="G3737" t="s">
        <v>602</v>
      </c>
      <c r="H3737" s="12">
        <v>2.3298045891891301</v>
      </c>
      <c r="I3737" s="11">
        <v>1.7049610622828499</v>
      </c>
      <c r="J3737" s="10">
        <v>8.8201686693764297E-2</v>
      </c>
      <c r="K3737" s="29">
        <v>0.69107771201970702</v>
      </c>
    </row>
    <row r="3738" spans="1:11" x14ac:dyDescent="0.35">
      <c r="A3738" s="9" t="str">
        <f>HYPERLINK("http://www.ensembl.org/id/WBGene00022247", "WBGene00022247")</f>
        <v>WBGene00022247</v>
      </c>
      <c r="B3738" s="9" t="str">
        <f>HYPERLINK("http://www.ncbi.nlm.nih.gov/gene/177409", "177409")</f>
        <v>177409</v>
      </c>
      <c r="C3738" s="9"/>
      <c r="D3738" t="str">
        <f>"lgc-10"</f>
        <v>lgc-10</v>
      </c>
      <c r="E3738" t="s">
        <v>505</v>
      </c>
      <c r="F3738" t="s">
        <v>11</v>
      </c>
      <c r="G3738" t="s">
        <v>906</v>
      </c>
      <c r="H3738" s="12">
        <v>2.3295547177023601</v>
      </c>
      <c r="I3738" s="11">
        <v>2.16291804066522</v>
      </c>
      <c r="J3738" s="10">
        <v>3.05474839417882E-2</v>
      </c>
      <c r="K3738" s="29">
        <v>0.391692654805193</v>
      </c>
    </row>
    <row r="3739" spans="1:11" x14ac:dyDescent="0.35">
      <c r="A3739" s="9" t="str">
        <f>HYPERLINK("http://www.ensembl.org/id/WBGene00020811", "WBGene00020811")</f>
        <v>WBGene00020811</v>
      </c>
      <c r="B3739" s="9" t="str">
        <f>HYPERLINK("http://www.ncbi.nlm.nih.gov/gene/188908", "188908")</f>
        <v>188908</v>
      </c>
      <c r="C3739" s="9"/>
      <c r="D3739" t="str">
        <f>"T25G12.3"</f>
        <v>T25G12.3</v>
      </c>
      <c r="F3739" t="s">
        <v>11</v>
      </c>
      <c r="H3739" s="12">
        <v>2.3270236240889699</v>
      </c>
      <c r="I3739" s="11">
        <v>4.3410550252312197</v>
      </c>
      <c r="J3739" s="10">
        <v>1.41800203924125E-5</v>
      </c>
      <c r="K3739" s="29">
        <v>1.3766535764163201E-3</v>
      </c>
    </row>
    <row r="3740" spans="1:11" x14ac:dyDescent="0.35">
      <c r="A3740" s="9" t="str">
        <f>HYPERLINK("http://www.ensembl.org/id/WBGene00011427", "WBGene00011427")</f>
        <v>WBGene00011427</v>
      </c>
      <c r="B3740" s="9" t="str">
        <f>HYPERLINK("http://www.ncbi.nlm.nih.gov/gene/179531", "179531")</f>
        <v>179531</v>
      </c>
      <c r="C3740" s="9"/>
      <c r="D3740" t="str">
        <f>"T04C12.1"</f>
        <v>T04C12.1</v>
      </c>
      <c r="F3740" t="s">
        <v>11</v>
      </c>
      <c r="G3740" t="s">
        <v>25</v>
      </c>
      <c r="H3740" s="12">
        <v>2.3258382550330201</v>
      </c>
      <c r="I3740" s="11">
        <v>1.2748128562468899</v>
      </c>
      <c r="J3740" s="10">
        <v>0.20237548914499601</v>
      </c>
      <c r="K3740" s="29">
        <v>0.95023126441460504</v>
      </c>
    </row>
    <row r="3741" spans="1:11" x14ac:dyDescent="0.35">
      <c r="A3741" s="9" t="str">
        <f>HYPERLINK("http://www.ensembl.org/id/WBGene00011404", "WBGene00011404")</f>
        <v>WBGene00011404</v>
      </c>
      <c r="B3741" s="9" t="str">
        <f>HYPERLINK("http://www.ncbi.nlm.nih.gov/gene/179564", "179564")</f>
        <v>179564</v>
      </c>
      <c r="C3741" s="9"/>
      <c r="D3741" t="str">
        <f>"T03F7.7"</f>
        <v>T03F7.7</v>
      </c>
      <c r="F3741" t="s">
        <v>11</v>
      </c>
      <c r="H3741" s="12">
        <v>2.3252349638087302</v>
      </c>
      <c r="I3741" s="11">
        <v>4.3309207859866996</v>
      </c>
      <c r="J3741" s="10">
        <v>1.4848709696918501E-5</v>
      </c>
      <c r="K3741" s="29">
        <v>1.4295595260708301E-3</v>
      </c>
    </row>
    <row r="3742" spans="1:11" x14ac:dyDescent="0.35">
      <c r="A3742" s="9" t="str">
        <f>HYPERLINK("http://www.ensembl.org/id/WBGene00007827", "WBGene00007827")</f>
        <v>WBGene00007827</v>
      </c>
      <c r="B3742" s="9" t="str">
        <f>HYPERLINK("http://www.ncbi.nlm.nih.gov/gene/259607", "259607")</f>
        <v>259607</v>
      </c>
      <c r="C3742" s="9"/>
      <c r="D3742" t="str">
        <f>"trh-1"</f>
        <v>trh-1</v>
      </c>
      <c r="E3742" t="s">
        <v>606</v>
      </c>
      <c r="F3742" t="s">
        <v>11</v>
      </c>
      <c r="H3742" s="12">
        <v>2.32498578225549</v>
      </c>
      <c r="I3742" s="11">
        <v>3.1202041714023299</v>
      </c>
      <c r="J3742" s="10">
        <v>1.80725726265602E-3</v>
      </c>
      <c r="K3742" s="29">
        <v>6.04319628233429E-2</v>
      </c>
    </row>
    <row r="3743" spans="1:11" x14ac:dyDescent="0.35">
      <c r="A3743" s="9" t="str">
        <f>HYPERLINK("http://www.ensembl.org/id/WBGene00008231", "WBGene00008231")</f>
        <v>WBGene00008231</v>
      </c>
      <c r="B3743" s="9" t="str">
        <f>HYPERLINK("http://www.ncbi.nlm.nih.gov/gene/183677", "183677")</f>
        <v>183677</v>
      </c>
      <c r="C3743" s="9"/>
      <c r="D3743" t="str">
        <f>"tag-329"</f>
        <v>tag-329</v>
      </c>
      <c r="F3743" t="s">
        <v>11</v>
      </c>
      <c r="G3743" t="s">
        <v>180</v>
      </c>
      <c r="H3743" s="12">
        <v>2.3242654643793101</v>
      </c>
      <c r="I3743" s="11">
        <v>1.1663208689182201</v>
      </c>
      <c r="J3743" s="10">
        <v>0.243484738710987</v>
      </c>
      <c r="K3743" s="29">
        <v>0.98289565623980701</v>
      </c>
    </row>
    <row r="3744" spans="1:11" x14ac:dyDescent="0.35">
      <c r="A3744" s="9" t="str">
        <f>HYPERLINK("http://www.ensembl.org/id/WBGene00011473", "WBGene00011473")</f>
        <v>WBGene00011473</v>
      </c>
      <c r="B3744" s="9" t="str">
        <f>HYPERLINK("http://www.ncbi.nlm.nih.gov/gene/3565117", "3565117")</f>
        <v>3565117</v>
      </c>
      <c r="C3744" s="9"/>
      <c r="D3744" t="str">
        <f>"T05C12.11"</f>
        <v>T05C12.11</v>
      </c>
      <c r="F3744" t="s">
        <v>11</v>
      </c>
      <c r="G3744" t="s">
        <v>25</v>
      </c>
      <c r="H3744" s="12">
        <v>2.3230661423385102</v>
      </c>
      <c r="I3744" s="11">
        <v>1.5367464545428</v>
      </c>
      <c r="J3744" s="10">
        <v>0.124355410373806</v>
      </c>
      <c r="K3744" s="29">
        <v>0.79882015904841897</v>
      </c>
    </row>
    <row r="3745" spans="1:11" x14ac:dyDescent="0.35">
      <c r="A3745" s="9" t="str">
        <f>HYPERLINK("http://www.ensembl.org/id/WBGene00013272", "WBGene00013272")</f>
        <v>WBGene00013272</v>
      </c>
      <c r="B3745" s="9" t="str">
        <f>HYPERLINK("http://www.ncbi.nlm.nih.gov/gene/3565789", "3565789")</f>
        <v>3565789</v>
      </c>
      <c r="C3745" s="9"/>
      <c r="D3745" t="str">
        <f>"aqp-12"</f>
        <v>aqp-12</v>
      </c>
      <c r="E3745" t="s">
        <v>379</v>
      </c>
      <c r="F3745" t="s">
        <v>11</v>
      </c>
      <c r="G3745" t="s">
        <v>4414</v>
      </c>
      <c r="H3745" s="12">
        <v>2.3227839586325101</v>
      </c>
      <c r="I3745" s="11">
        <v>0.52450113568424594</v>
      </c>
      <c r="J3745" s="10">
        <v>0.59993003011488499</v>
      </c>
      <c r="K3745" s="29">
        <v>0.98289565623980701</v>
      </c>
    </row>
    <row r="3746" spans="1:11" x14ac:dyDescent="0.35">
      <c r="A3746" s="9" t="str">
        <f>HYPERLINK("http://www.ensembl.org/id/WBGene00235353", "WBGene00235353")</f>
        <v>WBGene00235353</v>
      </c>
      <c r="B3746" s="9"/>
      <c r="C3746" s="9"/>
      <c r="D3746" t="str">
        <f>"Y67D8C.23"</f>
        <v>Y67D8C.23</v>
      </c>
      <c r="F3746" t="s">
        <v>80</v>
      </c>
      <c r="H3746" s="12">
        <v>2.3224425279554</v>
      </c>
      <c r="I3746" s="11">
        <v>0.85741278709457802</v>
      </c>
      <c r="J3746" s="10">
        <v>0.39121679487139299</v>
      </c>
      <c r="K3746" s="29">
        <v>0.98289565623980701</v>
      </c>
    </row>
    <row r="3747" spans="1:11" x14ac:dyDescent="0.35">
      <c r="A3747" s="9" t="str">
        <f>HYPERLINK("http://www.ensembl.org/id/WBGene00005036", "WBGene00005036")</f>
        <v>WBGene00005036</v>
      </c>
      <c r="B3747" s="9" t="str">
        <f>HYPERLINK("http://www.ncbi.nlm.nih.gov/gene/191781", "191781")</f>
        <v>191781</v>
      </c>
      <c r="C3747" s="9"/>
      <c r="D3747" t="str">
        <f>"sra-10"</f>
        <v>sra-10</v>
      </c>
      <c r="E3747" t="s">
        <v>1467</v>
      </c>
      <c r="F3747" t="s">
        <v>11</v>
      </c>
      <c r="G3747" t="s">
        <v>1468</v>
      </c>
      <c r="H3747" s="12">
        <v>2.3212875468710199</v>
      </c>
      <c r="I3747" s="11">
        <v>2.1840245457876502</v>
      </c>
      <c r="J3747" s="10">
        <v>2.89604444433843E-2</v>
      </c>
      <c r="K3747" s="29">
        <v>0.379127495359115</v>
      </c>
    </row>
    <row r="3748" spans="1:11" x14ac:dyDescent="0.35">
      <c r="A3748" s="9" t="str">
        <f>HYPERLINK("http://www.ensembl.org/id/WBGene00011586", "WBGene00011586")</f>
        <v>WBGene00011586</v>
      </c>
      <c r="B3748" s="9" t="str">
        <f>HYPERLINK("http://www.ncbi.nlm.nih.gov/gene/259401", "259401")</f>
        <v>259401</v>
      </c>
      <c r="C3748" s="9"/>
      <c r="D3748" t="str">
        <f>"flp-33"</f>
        <v>flp-33</v>
      </c>
      <c r="E3748" t="s">
        <v>401</v>
      </c>
      <c r="F3748" t="s">
        <v>11</v>
      </c>
      <c r="H3748" s="12">
        <v>2.3212249685277202</v>
      </c>
      <c r="I3748" s="11">
        <v>3.50837191581858</v>
      </c>
      <c r="J3748" s="10">
        <v>4.5085827622455202E-4</v>
      </c>
      <c r="K3748" s="29">
        <v>2.1033651869302401E-2</v>
      </c>
    </row>
    <row r="3749" spans="1:11" x14ac:dyDescent="0.35">
      <c r="A3749" s="9" t="str">
        <f>HYPERLINK("http://www.ensembl.org/id/WBGene00011678", "WBGene00011678")</f>
        <v>WBGene00011678</v>
      </c>
      <c r="B3749" s="9" t="str">
        <f>HYPERLINK("http://www.ncbi.nlm.nih.gov/gene/174539", "174539")</f>
        <v>174539</v>
      </c>
      <c r="C3749" s="9"/>
      <c r="D3749" t="str">
        <f>"T10B9.9"</f>
        <v>T10B9.9</v>
      </c>
      <c r="F3749" t="s">
        <v>11</v>
      </c>
      <c r="H3749" s="12">
        <v>2.3211548462408298</v>
      </c>
      <c r="I3749" s="11">
        <v>2.0644354294496599</v>
      </c>
      <c r="J3749" s="10">
        <v>3.8976450176015698E-2</v>
      </c>
      <c r="K3749" s="29">
        <v>0.45553356487962499</v>
      </c>
    </row>
    <row r="3750" spans="1:11" x14ac:dyDescent="0.35">
      <c r="A3750" s="9" t="str">
        <f>HYPERLINK("http://www.ensembl.org/id/WBGene00006169", "WBGene00006169")</f>
        <v>WBGene00006169</v>
      </c>
      <c r="B3750" s="9" t="str">
        <f>HYPERLINK("http://www.ncbi.nlm.nih.gov/gene/186429", "186429")</f>
        <v>186429</v>
      </c>
      <c r="C3750" s="9"/>
      <c r="D3750" t="str">
        <f>"str-118"</f>
        <v>str-118</v>
      </c>
      <c r="E3750" t="s">
        <v>590</v>
      </c>
      <c r="F3750" t="s">
        <v>11</v>
      </c>
      <c r="G3750" t="s">
        <v>591</v>
      </c>
      <c r="H3750" s="12">
        <v>2.3210219654834101</v>
      </c>
      <c r="I3750" s="11">
        <v>0.70681870387116996</v>
      </c>
      <c r="J3750" s="10">
        <v>0.47967914967995701</v>
      </c>
      <c r="K3750" s="29">
        <v>0.98289565623980701</v>
      </c>
    </row>
    <row r="3751" spans="1:11" x14ac:dyDescent="0.35">
      <c r="A3751" s="9" t="str">
        <f>HYPERLINK("http://www.ensembl.org/id/WBGene00020394", "WBGene00020394")</f>
        <v>WBGene00020394</v>
      </c>
      <c r="B3751" s="9" t="str">
        <f>HYPERLINK("http://www.ncbi.nlm.nih.gov/gene/188353", "188353")</f>
        <v>188353</v>
      </c>
      <c r="C3751" s="9"/>
      <c r="D3751" t="str">
        <f>"T10B5.8"</f>
        <v>T10B5.8</v>
      </c>
      <c r="F3751" t="s">
        <v>11</v>
      </c>
      <c r="G3751" t="s">
        <v>260</v>
      </c>
      <c r="H3751" s="12">
        <v>2.3206481456755998</v>
      </c>
      <c r="I3751" s="11">
        <v>2.0858776508030998</v>
      </c>
      <c r="J3751" s="10">
        <v>3.6989707226612198E-2</v>
      </c>
      <c r="K3751" s="29">
        <v>0.44055885318458798</v>
      </c>
    </row>
    <row r="3752" spans="1:11" x14ac:dyDescent="0.35">
      <c r="A3752" s="9" t="str">
        <f>HYPERLINK("http://www.ensembl.org/id/WBGene00011293", "WBGene00011293")</f>
        <v>WBGene00011293</v>
      </c>
      <c r="B3752" s="9" t="str">
        <f>HYPERLINK("http://www.ncbi.nlm.nih.gov/gene/187892", "187892")</f>
        <v>187892</v>
      </c>
      <c r="C3752" s="9"/>
      <c r="D3752" t="str">
        <f>"R102.6"</f>
        <v>R102.6</v>
      </c>
      <c r="F3752" t="s">
        <v>11</v>
      </c>
      <c r="G3752" t="s">
        <v>25</v>
      </c>
      <c r="H3752" s="12">
        <v>2.3205831498303802</v>
      </c>
      <c r="I3752" s="11">
        <v>1.4168201373176399</v>
      </c>
      <c r="J3752" s="10">
        <v>0.156535520590384</v>
      </c>
      <c r="K3752" s="29">
        <v>0.86653323880244504</v>
      </c>
    </row>
    <row r="3753" spans="1:11" x14ac:dyDescent="0.35">
      <c r="A3753" s="9" t="str">
        <f>HYPERLINK("http://www.ensembl.org/id/WBGene00020615", "WBGene00020615")</f>
        <v>WBGene00020615</v>
      </c>
      <c r="B3753" s="9"/>
      <c r="C3753" s="9"/>
      <c r="D3753" t="str">
        <f>"T20D4.9"</f>
        <v>T20D4.9</v>
      </c>
      <c r="F3753" t="s">
        <v>80</v>
      </c>
      <c r="H3753" s="12">
        <v>2.3203248034327899</v>
      </c>
      <c r="I3753" s="11">
        <v>1.0303036276899999</v>
      </c>
      <c r="J3753" s="10">
        <v>0.30286749666802398</v>
      </c>
      <c r="K3753" s="29">
        <v>0.98289565623980701</v>
      </c>
    </row>
    <row r="3754" spans="1:11" x14ac:dyDescent="0.35">
      <c r="A3754" s="9" t="str">
        <f>HYPERLINK("http://www.ensembl.org/id/WBGene00044333", "WBGene00044333")</f>
        <v>WBGene00044333</v>
      </c>
      <c r="B3754" s="9" t="str">
        <f>HYPERLINK("http://www.ncbi.nlm.nih.gov/gene/3565249", "3565249")</f>
        <v>3565249</v>
      </c>
      <c r="C3754" s="9"/>
      <c r="D3754" t="str">
        <f>"C01G12.13"</f>
        <v>C01G12.13</v>
      </c>
      <c r="F3754" t="s">
        <v>11</v>
      </c>
      <c r="H3754" s="12">
        <v>2.31818380917966</v>
      </c>
      <c r="I3754" s="11">
        <v>0.60612883766250703</v>
      </c>
      <c r="J3754" s="10">
        <v>0.54442920289071395</v>
      </c>
      <c r="K3754" s="29">
        <v>0.98289565623980701</v>
      </c>
    </row>
    <row r="3755" spans="1:11" x14ac:dyDescent="0.35">
      <c r="A3755" s="9" t="str">
        <f>HYPERLINK("http://www.ensembl.org/id/WBGene00012199", "WBGene00012199")</f>
        <v>WBGene00012199</v>
      </c>
      <c r="B3755" s="9" t="str">
        <f>HYPERLINK("http://www.ncbi.nlm.nih.gov/gene/189108", "189108")</f>
        <v>189108</v>
      </c>
      <c r="C3755" s="9"/>
      <c r="D3755" t="str">
        <f>"mltn-3"</f>
        <v>mltn-3</v>
      </c>
      <c r="E3755" t="s">
        <v>4191</v>
      </c>
      <c r="F3755" t="s">
        <v>11</v>
      </c>
      <c r="G3755" t="s">
        <v>25</v>
      </c>
      <c r="H3755" s="12">
        <v>2.31616926784121</v>
      </c>
      <c r="I3755" s="11">
        <v>1.21224568183306</v>
      </c>
      <c r="J3755" s="10">
        <v>0.22541834957979701</v>
      </c>
      <c r="K3755" s="29">
        <v>0.98038516381586904</v>
      </c>
    </row>
    <row r="3756" spans="1:11" x14ac:dyDescent="0.35">
      <c r="A3756" s="9" t="str">
        <f>HYPERLINK("http://www.ensembl.org/id/WBGene00009864", "WBGene00009864")</f>
        <v>WBGene00009864</v>
      </c>
      <c r="B3756" s="9"/>
      <c r="C3756" s="9"/>
      <c r="D3756" t="str">
        <f>"F49B2.4"</f>
        <v>F49B2.4</v>
      </c>
      <c r="F3756" t="s">
        <v>80</v>
      </c>
      <c r="H3756" s="12">
        <v>2.3157485619624301</v>
      </c>
      <c r="I3756" s="11">
        <v>0.76980555040207099</v>
      </c>
      <c r="J3756" s="10">
        <v>0.44141524678183403</v>
      </c>
      <c r="K3756" s="29">
        <v>0.98289565623980701</v>
      </c>
    </row>
    <row r="3757" spans="1:11" x14ac:dyDescent="0.35">
      <c r="A3757" s="9" t="str">
        <f>HYPERLINK("http://www.ensembl.org/id/WBGene00044790", "WBGene00044790")</f>
        <v>WBGene00044790</v>
      </c>
      <c r="B3757" s="9" t="str">
        <f>HYPERLINK("http://www.ncbi.nlm.nih.gov/gene/4363112", "4363112")</f>
        <v>4363112</v>
      </c>
      <c r="C3757" s="9"/>
      <c r="D3757" t="str">
        <f>"clec-224"</f>
        <v>clec-224</v>
      </c>
      <c r="E3757" t="s">
        <v>46</v>
      </c>
      <c r="F3757" t="s">
        <v>11</v>
      </c>
      <c r="G3757" t="s">
        <v>47</v>
      </c>
      <c r="H3757" s="12">
        <v>2.3152928934269101</v>
      </c>
      <c r="I3757" s="11">
        <v>1.1765121369495299</v>
      </c>
      <c r="J3757" s="10">
        <v>0.23939028532652901</v>
      </c>
      <c r="K3757" s="29">
        <v>0.98289565623980701</v>
      </c>
    </row>
    <row r="3758" spans="1:11" x14ac:dyDescent="0.35">
      <c r="A3758" s="9" t="str">
        <f>HYPERLINK("http://www.ensembl.org/id/WBGene00012603", "WBGene00012603")</f>
        <v>WBGene00012603</v>
      </c>
      <c r="B3758" s="9" t="str">
        <f>HYPERLINK("http://www.ncbi.nlm.nih.gov/gene/3564817", "3564817")</f>
        <v>3564817</v>
      </c>
      <c r="C3758" s="9"/>
      <c r="D3758" t="str">
        <f>"nspe-6"</f>
        <v>nspe-6</v>
      </c>
      <c r="E3758" t="s">
        <v>2921</v>
      </c>
      <c r="F3758" t="s">
        <v>11</v>
      </c>
      <c r="H3758" s="12">
        <v>2.3150937298346799</v>
      </c>
      <c r="I3758" s="11">
        <v>0.86164582783343002</v>
      </c>
      <c r="J3758" s="10">
        <v>0.38888244430423202</v>
      </c>
      <c r="K3758" s="29">
        <v>0.98289565623980701</v>
      </c>
    </row>
    <row r="3759" spans="1:11" x14ac:dyDescent="0.35">
      <c r="A3759" s="9" t="str">
        <f>HYPERLINK("http://www.ensembl.org/id/WBGene00006642", "WBGene00006642")</f>
        <v>WBGene00006642</v>
      </c>
      <c r="B3759" s="9" t="str">
        <f>HYPERLINK("http://www.ncbi.nlm.nih.gov/gene/192066", "192066")</f>
        <v>192066</v>
      </c>
      <c r="C3759" s="9"/>
      <c r="D3759" t="str">
        <f>"tsp-16"</f>
        <v>tsp-16</v>
      </c>
      <c r="E3759" t="s">
        <v>500</v>
      </c>
      <c r="F3759" t="s">
        <v>11</v>
      </c>
      <c r="G3759" t="s">
        <v>25</v>
      </c>
      <c r="H3759" s="12">
        <v>2.3148278199630701</v>
      </c>
      <c r="I3759" s="11">
        <v>3.3714054759588699</v>
      </c>
      <c r="J3759" s="10">
        <v>7.4785697509374195E-4</v>
      </c>
      <c r="K3759" s="29">
        <v>3.1079106594453301E-2</v>
      </c>
    </row>
    <row r="3760" spans="1:11" x14ac:dyDescent="0.35">
      <c r="A3760" s="9" t="str">
        <f>HYPERLINK("http://www.ensembl.org/id/WBGene00044780", "WBGene00044780")</f>
        <v>WBGene00044780</v>
      </c>
      <c r="B3760" s="9" t="str">
        <f>HYPERLINK("http://www.ncbi.nlm.nih.gov/gene/4363130", "4363130")</f>
        <v>4363130</v>
      </c>
      <c r="C3760" s="9"/>
      <c r="D3760" t="str">
        <f>"F18E9.8"</f>
        <v>F18E9.8</v>
      </c>
      <c r="F3760" t="s">
        <v>11</v>
      </c>
      <c r="H3760" s="12">
        <v>2.3144626125605101</v>
      </c>
      <c r="I3760" s="11">
        <v>0.58491093091173996</v>
      </c>
      <c r="J3760" s="10">
        <v>0.55860760826085998</v>
      </c>
      <c r="K3760" s="29">
        <v>0.98289565623980701</v>
      </c>
    </row>
    <row r="3761" spans="1:11" x14ac:dyDescent="0.35">
      <c r="A3761" s="9" t="str">
        <f>HYPERLINK("http://www.ensembl.org/id/WBGene00008628", "WBGene00008628")</f>
        <v>WBGene00008628</v>
      </c>
      <c r="B3761" s="9" t="str">
        <f>HYPERLINK("http://www.ncbi.nlm.nih.gov/gene/184253", "184253")</f>
        <v>184253</v>
      </c>
      <c r="C3761" s="9"/>
      <c r="D3761" t="str">
        <f>"ttr-21"</f>
        <v>ttr-21</v>
      </c>
      <c r="E3761" t="s">
        <v>16</v>
      </c>
      <c r="F3761" t="s">
        <v>11</v>
      </c>
      <c r="G3761" t="s">
        <v>237</v>
      </c>
      <c r="H3761" s="12">
        <v>2.3138795773660599</v>
      </c>
      <c r="I3761" s="11">
        <v>4.3630556261457603</v>
      </c>
      <c r="J3761" s="10">
        <v>1.2825831465678201E-5</v>
      </c>
      <c r="K3761" s="29">
        <v>1.2664686403673501E-3</v>
      </c>
    </row>
    <row r="3762" spans="1:11" x14ac:dyDescent="0.35">
      <c r="A3762" s="9" t="str">
        <f>HYPERLINK("http://www.ensembl.org/id/WBGene00007473", "WBGene00007473")</f>
        <v>WBGene00007473</v>
      </c>
      <c r="B3762" s="9" t="str">
        <f>HYPERLINK("http://www.ncbi.nlm.nih.gov/gene/174541", "174541")</f>
        <v>174541</v>
      </c>
      <c r="C3762" s="9"/>
      <c r="D3762" t="str">
        <f>"chil-8"</f>
        <v>chil-8</v>
      </c>
      <c r="E3762" t="s">
        <v>1756</v>
      </c>
      <c r="F3762" t="s">
        <v>11</v>
      </c>
      <c r="G3762" t="s">
        <v>3396</v>
      </c>
      <c r="H3762" s="12">
        <v>2.3109292920800999</v>
      </c>
      <c r="I3762" s="11">
        <v>0.894303763251179</v>
      </c>
      <c r="J3762" s="10">
        <v>0.37115938701873002</v>
      </c>
      <c r="K3762" s="29">
        <v>0.98289565623980701</v>
      </c>
    </row>
    <row r="3763" spans="1:11" x14ac:dyDescent="0.35">
      <c r="A3763" s="9" t="str">
        <f>HYPERLINK("http://www.ensembl.org/id/WBGene00010526", "WBGene00010526")</f>
        <v>WBGene00010526</v>
      </c>
      <c r="B3763" s="9" t="str">
        <f>HYPERLINK("http://www.ncbi.nlm.nih.gov/gene/3565255", "3565255")</f>
        <v>3565255</v>
      </c>
      <c r="C3763" s="9"/>
      <c r="D3763" t="str">
        <f>"K03B8.11"</f>
        <v>K03B8.11</v>
      </c>
      <c r="F3763" t="s">
        <v>11</v>
      </c>
      <c r="H3763" s="12">
        <v>2.3096509560823599</v>
      </c>
      <c r="I3763" s="11">
        <v>0.67663220366719201</v>
      </c>
      <c r="J3763" s="10">
        <v>0.49863934135438198</v>
      </c>
      <c r="K3763" s="29">
        <v>0.98289565623980701</v>
      </c>
    </row>
    <row r="3764" spans="1:11" x14ac:dyDescent="0.35">
      <c r="A3764" s="9" t="str">
        <f>HYPERLINK("http://www.ensembl.org/id/WBGene00000739", "WBGene00000739")</f>
        <v>WBGene00000739</v>
      </c>
      <c r="B3764" s="9" t="str">
        <f>HYPERLINK("http://www.ncbi.nlm.nih.gov/gene/180902", "180902")</f>
        <v>180902</v>
      </c>
      <c r="C3764" s="9"/>
      <c r="D3764" t="str">
        <f>"col-166"</f>
        <v>col-166</v>
      </c>
      <c r="E3764" t="s">
        <v>40</v>
      </c>
      <c r="F3764" t="s">
        <v>11</v>
      </c>
      <c r="G3764" t="s">
        <v>41</v>
      </c>
      <c r="H3764" s="12">
        <v>2.3088818312283101</v>
      </c>
      <c r="I3764" s="11">
        <v>4.48572279614796</v>
      </c>
      <c r="J3764" s="10">
        <v>7.2667167954109697E-6</v>
      </c>
      <c r="K3764" s="29">
        <v>8.1050607904673097E-4</v>
      </c>
    </row>
    <row r="3765" spans="1:11" x14ac:dyDescent="0.35">
      <c r="A3765" s="9" t="str">
        <f>HYPERLINK("http://www.ensembl.org/id/WBGene00016294", "WBGene00016294")</f>
        <v>WBGene00016294</v>
      </c>
      <c r="B3765" s="9" t="str">
        <f>HYPERLINK("http://www.ncbi.nlm.nih.gov/gene/183101", "183101")</f>
        <v>183101</v>
      </c>
      <c r="C3765" s="9"/>
      <c r="D3765" t="str">
        <f>"C31H2.4"</f>
        <v>C31H2.4</v>
      </c>
      <c r="F3765" t="s">
        <v>11</v>
      </c>
      <c r="G3765" t="s">
        <v>690</v>
      </c>
      <c r="H3765" s="12">
        <v>2.3084839902796999</v>
      </c>
      <c r="I3765" s="11">
        <v>2.99537086902928</v>
      </c>
      <c r="J3765" s="10">
        <v>2.7411133604275102E-3</v>
      </c>
      <c r="K3765" s="29">
        <v>8.0078285455474199E-2</v>
      </c>
    </row>
    <row r="3766" spans="1:11" x14ac:dyDescent="0.35">
      <c r="A3766" s="9" t="str">
        <f>HYPERLINK("http://www.ensembl.org/id/WBGene00015857", "WBGene00015857")</f>
        <v>WBGene00015857</v>
      </c>
      <c r="B3766" s="9" t="str">
        <f>HYPERLINK("http://www.ncbi.nlm.nih.gov/gene/179207", "179207")</f>
        <v>179207</v>
      </c>
      <c r="C3766" s="9"/>
      <c r="D3766" t="str">
        <f>"C16D9.1"</f>
        <v>C16D9.1</v>
      </c>
      <c r="F3766" t="s">
        <v>11</v>
      </c>
      <c r="H3766" s="12">
        <v>2.3080739052317201</v>
      </c>
      <c r="I3766" s="11">
        <v>2.35720008484203</v>
      </c>
      <c r="J3766" s="10">
        <v>1.8413322523999701E-2</v>
      </c>
      <c r="K3766" s="29">
        <v>0.284397212726963</v>
      </c>
    </row>
    <row r="3767" spans="1:11" x14ac:dyDescent="0.35">
      <c r="A3767" s="9" t="str">
        <f>HYPERLINK("http://www.ensembl.org/id/WBGene00020567", "WBGene00020567")</f>
        <v>WBGene00020567</v>
      </c>
      <c r="B3767" s="9" t="str">
        <f>HYPERLINK("http://www.ncbi.nlm.nih.gov/gene/180675", "180675")</f>
        <v>180675</v>
      </c>
      <c r="C3767" s="9"/>
      <c r="D3767" t="str">
        <f>"adt-3"</f>
        <v>adt-3</v>
      </c>
      <c r="E3767" t="s">
        <v>687</v>
      </c>
      <c r="F3767" t="s">
        <v>11</v>
      </c>
      <c r="G3767" t="s">
        <v>688</v>
      </c>
      <c r="H3767" s="12">
        <v>2.3074493212239702</v>
      </c>
      <c r="I3767" s="11">
        <v>3.0134663784809401</v>
      </c>
      <c r="J3767" s="10">
        <v>2.58281658278134E-3</v>
      </c>
      <c r="K3767" s="29">
        <v>7.6510974309930299E-2</v>
      </c>
    </row>
    <row r="3768" spans="1:11" x14ac:dyDescent="0.35">
      <c r="A3768" s="9" t="str">
        <f>HYPERLINK("http://www.ensembl.org/id/WBGene00017471", "WBGene00017471")</f>
        <v>WBGene00017471</v>
      </c>
      <c r="B3768" s="9" t="str">
        <f>HYPERLINK("http://www.ncbi.nlm.nih.gov/gene/180709", "180709")</f>
        <v>180709</v>
      </c>
      <c r="C3768" s="9"/>
      <c r="D3768" t="str">
        <f>"F14H12.3"</f>
        <v>F14H12.3</v>
      </c>
      <c r="F3768" t="s">
        <v>11</v>
      </c>
      <c r="H3768" s="12">
        <v>2.3070222636985802</v>
      </c>
      <c r="I3768" s="11">
        <v>3.6997599312095599</v>
      </c>
      <c r="J3768" s="10">
        <v>2.15803510532222E-4</v>
      </c>
      <c r="K3768" s="29">
        <v>1.20443379573853E-2</v>
      </c>
    </row>
    <row r="3769" spans="1:11" x14ac:dyDescent="0.35">
      <c r="A3769" s="9" t="str">
        <f>HYPERLINK("http://www.ensembl.org/id/WBGene00077662", "WBGene00077662")</f>
        <v>WBGene00077662</v>
      </c>
      <c r="B3769" s="9"/>
      <c r="C3769" s="9"/>
      <c r="D3769" t="str">
        <f>"T26H2.12"</f>
        <v>T26H2.12</v>
      </c>
      <c r="F3769" t="s">
        <v>80</v>
      </c>
      <c r="H3769" s="12">
        <v>2.3068620403120801</v>
      </c>
      <c r="I3769" s="11">
        <v>0.490207287437669</v>
      </c>
      <c r="J3769" s="10">
        <v>0.62398722456548095</v>
      </c>
      <c r="K3769" s="29">
        <v>0.98289565623980701</v>
      </c>
    </row>
    <row r="3770" spans="1:11" x14ac:dyDescent="0.35">
      <c r="A3770" s="9" t="str">
        <f>HYPERLINK("http://www.ensembl.org/id/WBGene00020267", "WBGene00020267")</f>
        <v>WBGene00020267</v>
      </c>
      <c r="B3770" s="9" t="str">
        <f>HYPERLINK("http://www.ncbi.nlm.nih.gov/gene/188150", "188150")</f>
        <v>188150</v>
      </c>
      <c r="C3770" s="9" t="str">
        <f>HYPERLINK("http://www.ncbi.nlm.nih.gov/gene/51700", "51700")</f>
        <v>51700</v>
      </c>
      <c r="D3770" t="str">
        <f>"T05H4.4"</f>
        <v>T05H4.4</v>
      </c>
      <c r="E3770" t="s">
        <v>2914</v>
      </c>
      <c r="F3770" t="s">
        <v>11</v>
      </c>
      <c r="G3770" t="s">
        <v>2915</v>
      </c>
      <c r="H3770" s="12">
        <v>2.3067821500328098</v>
      </c>
      <c r="I3770" s="11">
        <v>1.3064910139389501</v>
      </c>
      <c r="J3770" s="10">
        <v>0.191385632922488</v>
      </c>
      <c r="K3770" s="29">
        <v>0.93111185646191397</v>
      </c>
    </row>
    <row r="3771" spans="1:11" x14ac:dyDescent="0.35">
      <c r="A3771" s="9" t="str">
        <f>HYPERLINK("http://www.ensembl.org/id/WBGene00001615", "WBGene00001615")</f>
        <v>WBGene00001615</v>
      </c>
      <c r="B3771" s="9" t="str">
        <f>HYPERLINK("http://www.ncbi.nlm.nih.gov/gene/174258", "174258")</f>
        <v>174258</v>
      </c>
      <c r="C3771" s="9" t="str">
        <f>HYPERLINK("http://www.ncbi.nlm.nih.gov/gene/2898", "2898")</f>
        <v>2898</v>
      </c>
      <c r="D3771" t="str">
        <f>"glr-4"</f>
        <v>glr-4</v>
      </c>
      <c r="E3771" t="s">
        <v>492</v>
      </c>
      <c r="F3771" t="s">
        <v>11</v>
      </c>
      <c r="G3771" t="s">
        <v>493</v>
      </c>
      <c r="H3771" s="12">
        <v>2.3067816762198601</v>
      </c>
      <c r="I3771" s="11">
        <v>3.3868169042905998</v>
      </c>
      <c r="J3771" s="10">
        <v>7.07085604135221E-4</v>
      </c>
      <c r="K3771" s="29">
        <v>2.9851407456247099E-2</v>
      </c>
    </row>
    <row r="3772" spans="1:11" x14ac:dyDescent="0.35">
      <c r="A3772" s="9" t="str">
        <f>HYPERLINK("http://www.ensembl.org/id/WBGene00014858", "WBGene00014858")</f>
        <v>WBGene00014858</v>
      </c>
      <c r="B3772" s="9"/>
      <c r="C3772" s="9"/>
      <c r="D3772" t="str">
        <f>"W09C5.3"</f>
        <v>W09C5.3</v>
      </c>
      <c r="F3772" t="s">
        <v>80</v>
      </c>
      <c r="H3772" s="12">
        <v>2.3067734710119301</v>
      </c>
      <c r="I3772" s="11">
        <v>0.68397479886964796</v>
      </c>
      <c r="J3772" s="10">
        <v>0.49399107945963</v>
      </c>
      <c r="K3772" s="29">
        <v>0.98289565623980701</v>
      </c>
    </row>
    <row r="3773" spans="1:11" x14ac:dyDescent="0.35">
      <c r="A3773" s="9" t="str">
        <f>HYPERLINK("http://www.ensembl.org/id/WBGene00044138", "WBGene00044138")</f>
        <v>WBGene00044138</v>
      </c>
      <c r="B3773" s="9" t="str">
        <f>HYPERLINK("http://www.ncbi.nlm.nih.gov/gene/3565973", "3565973")</f>
        <v>3565973</v>
      </c>
      <c r="C3773" s="9"/>
      <c r="D3773" t="str">
        <f>"sssh-1"</f>
        <v>sssh-1</v>
      </c>
      <c r="E3773" t="s">
        <v>1673</v>
      </c>
      <c r="F3773" t="s">
        <v>11</v>
      </c>
      <c r="G3773" t="s">
        <v>1674</v>
      </c>
      <c r="H3773" s="12">
        <v>2.3065748772110202</v>
      </c>
      <c r="I3773" s="11">
        <v>2.0370240372169199</v>
      </c>
      <c r="J3773" s="10">
        <v>4.1647633267890297E-2</v>
      </c>
      <c r="K3773" s="29">
        <v>0.472005662746598</v>
      </c>
    </row>
    <row r="3774" spans="1:11" x14ac:dyDescent="0.35">
      <c r="A3774" s="9" t="str">
        <f>HYPERLINK("http://www.ensembl.org/id/WBGene00010603", "WBGene00010603")</f>
        <v>WBGene00010603</v>
      </c>
      <c r="B3774" s="9" t="str">
        <f>HYPERLINK("http://www.ncbi.nlm.nih.gov/gene/187056", "187056")</f>
        <v>187056</v>
      </c>
      <c r="C3774" s="9"/>
      <c r="D3774" t="str">
        <f>"nhr-198"</f>
        <v>nhr-198</v>
      </c>
      <c r="E3774" t="s">
        <v>637</v>
      </c>
      <c r="F3774" t="s">
        <v>11</v>
      </c>
      <c r="G3774" t="s">
        <v>1073</v>
      </c>
      <c r="H3774" s="12">
        <v>2.3061382890903701</v>
      </c>
      <c r="I3774" s="11">
        <v>0.40737604464489002</v>
      </c>
      <c r="J3774" s="10">
        <v>0.68373181851100895</v>
      </c>
      <c r="K3774" s="29">
        <v>0.98289565623980701</v>
      </c>
    </row>
    <row r="3775" spans="1:11" x14ac:dyDescent="0.35">
      <c r="A3775" s="9" t="str">
        <f>HYPERLINK("http://www.ensembl.org/id/WBGene00010715", "WBGene00010715")</f>
        <v>WBGene00010715</v>
      </c>
      <c r="B3775" s="9" t="str">
        <f>HYPERLINK("http://www.ncbi.nlm.nih.gov/gene/181286", "181286")</f>
        <v>181286</v>
      </c>
      <c r="C3775" s="9"/>
      <c r="D3775" t="str">
        <f>"K09C8.2"</f>
        <v>K09C8.2</v>
      </c>
      <c r="F3775" t="s">
        <v>11</v>
      </c>
      <c r="G3775" t="s">
        <v>25</v>
      </c>
      <c r="H3775" s="12">
        <v>2.3051328446997701</v>
      </c>
      <c r="I3775" s="11">
        <v>0.50460176161761705</v>
      </c>
      <c r="J3775" s="10">
        <v>0.61383857230031702</v>
      </c>
      <c r="K3775" s="29">
        <v>0.98289565623980701</v>
      </c>
    </row>
    <row r="3776" spans="1:11" x14ac:dyDescent="0.35">
      <c r="A3776" s="9" t="str">
        <f>HYPERLINK("http://www.ensembl.org/id/WBGene00005597", "WBGene00005597")</f>
        <v>WBGene00005597</v>
      </c>
      <c r="B3776" s="9" t="str">
        <f>HYPERLINK("http://www.ncbi.nlm.nih.gov/gene/191934", "191934")</f>
        <v>191934</v>
      </c>
      <c r="C3776" s="9"/>
      <c r="D3776" t="str">
        <f>"srj-9"</f>
        <v>srj-9</v>
      </c>
      <c r="E3776" t="s">
        <v>3123</v>
      </c>
      <c r="F3776" t="s">
        <v>11</v>
      </c>
      <c r="G3776" t="s">
        <v>25</v>
      </c>
      <c r="H3776" s="12">
        <v>2.3032837210021699</v>
      </c>
      <c r="I3776" s="11">
        <v>0.86858701221950496</v>
      </c>
      <c r="J3776" s="10">
        <v>0.385073060850047</v>
      </c>
      <c r="K3776" s="29">
        <v>0.98289565623980701</v>
      </c>
    </row>
    <row r="3777" spans="1:11" x14ac:dyDescent="0.35">
      <c r="A3777" s="9" t="str">
        <f>HYPERLINK("http://www.ensembl.org/id/WBGene00002107", "WBGene00002107")</f>
        <v>WBGene00002107</v>
      </c>
      <c r="B3777" s="9" t="str">
        <f>HYPERLINK("http://www.ncbi.nlm.nih.gov/gene/173266", "173266")</f>
        <v>173266</v>
      </c>
      <c r="C3777" s="9"/>
      <c r="D3777" t="str">
        <f>"ins-24"</f>
        <v>ins-24</v>
      </c>
      <c r="E3777" t="s">
        <v>12</v>
      </c>
      <c r="F3777" t="s">
        <v>11</v>
      </c>
      <c r="G3777" t="s">
        <v>13</v>
      </c>
      <c r="H3777" s="12">
        <v>2.3030497798376599</v>
      </c>
      <c r="I3777" s="11">
        <v>2.3966936267754702</v>
      </c>
      <c r="J3777" s="10">
        <v>1.6543750052101801E-2</v>
      </c>
      <c r="K3777" s="29">
        <v>0.26900766270504201</v>
      </c>
    </row>
    <row r="3778" spans="1:11" x14ac:dyDescent="0.35">
      <c r="A3778" s="9" t="str">
        <f>HYPERLINK("http://www.ensembl.org/id/WBGene00048238", "WBGene00048238")</f>
        <v>WBGene00048238</v>
      </c>
      <c r="B3778" s="9"/>
      <c r="C3778" s="9"/>
      <c r="D3778" t="str">
        <f>"21ur-5327"</f>
        <v>21ur-5327</v>
      </c>
      <c r="F3778" t="s">
        <v>3161</v>
      </c>
      <c r="H3778" s="12">
        <v>2.3023301924467101</v>
      </c>
      <c r="I3778" s="11">
        <v>0.26674601818072902</v>
      </c>
      <c r="J3778" s="10">
        <v>0.78966471981773201</v>
      </c>
      <c r="K3778" s="29">
        <v>0.98289565623980701</v>
      </c>
    </row>
    <row r="3779" spans="1:11" x14ac:dyDescent="0.35">
      <c r="A3779" s="9" t="str">
        <f>HYPERLINK("http://www.ensembl.org/id/WBGene00219607", "WBGene00219607")</f>
        <v>WBGene00219607</v>
      </c>
      <c r="B3779" s="9"/>
      <c r="C3779" s="9"/>
      <c r="D3779" t="str">
        <f>"anr-7"</f>
        <v>anr-7</v>
      </c>
      <c r="F3779" t="s">
        <v>2735</v>
      </c>
      <c r="H3779" s="12">
        <v>2.3023301924467101</v>
      </c>
      <c r="I3779" s="11">
        <v>0.26674601818072902</v>
      </c>
      <c r="J3779" s="10">
        <v>0.78966471981773201</v>
      </c>
      <c r="K3779" s="29">
        <v>0.98289565623980701</v>
      </c>
    </row>
    <row r="3780" spans="1:11" x14ac:dyDescent="0.35">
      <c r="A3780" s="9" t="str">
        <f>HYPERLINK("http://www.ensembl.org/id/WBGene00008009", "WBGene00008009")</f>
        <v>WBGene00008009</v>
      </c>
      <c r="B3780" s="9" t="str">
        <f>HYPERLINK("http://www.ncbi.nlm.nih.gov/gene/183312", "183312")</f>
        <v>183312</v>
      </c>
      <c r="C3780" s="9"/>
      <c r="D3780" t="str">
        <f>"fbxa-171"</f>
        <v>fbxa-171</v>
      </c>
      <c r="E3780" t="s">
        <v>467</v>
      </c>
      <c r="F3780" t="s">
        <v>11</v>
      </c>
      <c r="G3780" t="s">
        <v>54</v>
      </c>
      <c r="H3780" s="12">
        <v>2.3023301924467101</v>
      </c>
      <c r="I3780" s="11">
        <v>0.26674601818072902</v>
      </c>
      <c r="J3780" s="10">
        <v>0.78966471981773201</v>
      </c>
      <c r="K3780" s="29">
        <v>0.98289565623980701</v>
      </c>
    </row>
    <row r="3781" spans="1:11" x14ac:dyDescent="0.35">
      <c r="A3781" s="9" t="str">
        <f>HYPERLINK("http://www.ensembl.org/id/WBGene00005476", "WBGene00005476")</f>
        <v>WBGene00005476</v>
      </c>
      <c r="B3781" s="9" t="str">
        <f>HYPERLINK("http://www.ncbi.nlm.nih.gov/gene/185413", "185413")</f>
        <v>185413</v>
      </c>
      <c r="C3781" s="9"/>
      <c r="D3781" t="str">
        <f>"srh-270"</f>
        <v>srh-270</v>
      </c>
      <c r="E3781" t="s">
        <v>153</v>
      </c>
      <c r="F3781" t="s">
        <v>11</v>
      </c>
      <c r="G3781" t="s">
        <v>25</v>
      </c>
      <c r="H3781" s="12">
        <v>2.3023301924467101</v>
      </c>
      <c r="I3781" s="11">
        <v>0.26674601818072902</v>
      </c>
      <c r="J3781" s="10">
        <v>0.78966471981773201</v>
      </c>
      <c r="K3781" s="29">
        <v>0.98289565623980701</v>
      </c>
    </row>
    <row r="3782" spans="1:11" x14ac:dyDescent="0.35">
      <c r="A3782" s="9" t="str">
        <f>HYPERLINK("http://www.ensembl.org/id/WBGene00022407", "WBGene00022407")</f>
        <v>WBGene00022407</v>
      </c>
      <c r="B3782" s="9"/>
      <c r="C3782" s="9"/>
      <c r="D3782" t="str">
        <f>"srsx-4"</f>
        <v>srsx-4</v>
      </c>
      <c r="F3782" t="s">
        <v>80</v>
      </c>
      <c r="H3782" s="12">
        <v>2.3023301924467101</v>
      </c>
      <c r="I3782" s="11">
        <v>0.26674601818072902</v>
      </c>
      <c r="J3782" s="10">
        <v>0.78966471981773201</v>
      </c>
      <c r="K3782" s="29">
        <v>0.98289565623980701</v>
      </c>
    </row>
    <row r="3783" spans="1:11" x14ac:dyDescent="0.35">
      <c r="A3783" s="9" t="str">
        <f>HYPERLINK("http://www.ensembl.org/id/WBGene00005967", "WBGene00005967")</f>
        <v>WBGene00005967</v>
      </c>
      <c r="B3783" s="9" t="str">
        <f>HYPERLINK("http://www.ncbi.nlm.nih.gov/gene/187336", "187336")</f>
        <v>187336</v>
      </c>
      <c r="C3783" s="9"/>
      <c r="D3783" t="str">
        <f>"srx-76"</f>
        <v>srx-76</v>
      </c>
      <c r="E3783" t="s">
        <v>1477</v>
      </c>
      <c r="F3783" t="s">
        <v>11</v>
      </c>
      <c r="G3783" t="s">
        <v>25</v>
      </c>
      <c r="H3783" s="12">
        <v>2.3023301924467101</v>
      </c>
      <c r="I3783" s="11">
        <v>0.26674601818072902</v>
      </c>
      <c r="J3783" s="10">
        <v>0.78966471981773201</v>
      </c>
      <c r="K3783" s="29">
        <v>0.98289565623980701</v>
      </c>
    </row>
    <row r="3784" spans="1:11" x14ac:dyDescent="0.35">
      <c r="A3784" s="9" t="str">
        <f>HYPERLINK("http://www.ensembl.org/id/WBGene00009910", "WBGene00009910")</f>
        <v>WBGene00009910</v>
      </c>
      <c r="B3784" s="9"/>
      <c r="C3784" s="9"/>
      <c r="D3784" t="str">
        <f>"srz-92"</f>
        <v>srz-92</v>
      </c>
      <c r="F3784" t="s">
        <v>80</v>
      </c>
      <c r="H3784" s="12">
        <v>2.3023301924467101</v>
      </c>
      <c r="I3784" s="11">
        <v>0.26674601818072902</v>
      </c>
      <c r="J3784" s="10">
        <v>0.78966471981773201</v>
      </c>
      <c r="K3784" s="29">
        <v>0.98289565623980701</v>
      </c>
    </row>
    <row r="3785" spans="1:11" x14ac:dyDescent="0.35">
      <c r="A3785" s="9" t="str">
        <f>HYPERLINK("http://www.ensembl.org/id/WBGene00197289", "WBGene00197289")</f>
        <v>WBGene00197289</v>
      </c>
      <c r="B3785" s="9"/>
      <c r="C3785" s="9"/>
      <c r="D3785" t="str">
        <f>"T19B10.13"</f>
        <v>T19B10.13</v>
      </c>
      <c r="F3785" t="s">
        <v>481</v>
      </c>
      <c r="H3785" s="12">
        <v>2.3023301924467101</v>
      </c>
      <c r="I3785" s="11">
        <v>0.26674601818072902</v>
      </c>
      <c r="J3785" s="10">
        <v>0.78966471981773201</v>
      </c>
      <c r="K3785" s="29">
        <v>0.98289565623980701</v>
      </c>
    </row>
    <row r="3786" spans="1:11" x14ac:dyDescent="0.35">
      <c r="A3786" s="9" t="str">
        <f>HYPERLINK("http://www.ensembl.org/id/WBGene00206511", "WBGene00206511")</f>
        <v>WBGene00206511</v>
      </c>
      <c r="B3786" s="9" t="str">
        <f>HYPERLINK("http://www.ncbi.nlm.nih.gov/gene/13211995", "13211995")</f>
        <v>13211995</v>
      </c>
      <c r="C3786" s="9"/>
      <c r="D3786" t="str">
        <f>"W02H5.16"</f>
        <v>W02H5.16</v>
      </c>
      <c r="F3786" t="s">
        <v>11</v>
      </c>
      <c r="G3786" t="s">
        <v>25</v>
      </c>
      <c r="H3786" s="12">
        <v>2.3023301924467101</v>
      </c>
      <c r="I3786" s="11">
        <v>0.26674601818072902</v>
      </c>
      <c r="J3786" s="10">
        <v>0.78966471981773201</v>
      </c>
      <c r="K3786" s="29">
        <v>0.98289565623980701</v>
      </c>
    </row>
    <row r="3787" spans="1:11" x14ac:dyDescent="0.35">
      <c r="A3787" s="9" t="str">
        <f>HYPERLINK("http://www.ensembl.org/id/WBGene00012266", "WBGene00012266")</f>
        <v>WBGene00012266</v>
      </c>
      <c r="B3787" s="9" t="str">
        <f>HYPERLINK("http://www.ncbi.nlm.nih.gov/gene/189201", "189201")</f>
        <v>189201</v>
      </c>
      <c r="C3787" s="9"/>
      <c r="D3787" t="str">
        <f>"W04G5.5"</f>
        <v>W04G5.5</v>
      </c>
      <c r="F3787" t="s">
        <v>11</v>
      </c>
      <c r="G3787" t="s">
        <v>2981</v>
      </c>
      <c r="H3787" s="12">
        <v>2.3023301924467101</v>
      </c>
      <c r="I3787" s="11">
        <v>0.26674601818072902</v>
      </c>
      <c r="J3787" s="10">
        <v>0.78966471981773201</v>
      </c>
      <c r="K3787" s="29">
        <v>0.98289565623980701</v>
      </c>
    </row>
    <row r="3788" spans="1:11" x14ac:dyDescent="0.35">
      <c r="A3788" s="9" t="str">
        <f>HYPERLINK("http://www.ensembl.org/id/WBGene00013059", "WBGene00013059")</f>
        <v>WBGene00013059</v>
      </c>
      <c r="B3788" s="9"/>
      <c r="C3788" s="9"/>
      <c r="D3788" t="str">
        <f>"Y51A2A.3"</f>
        <v>Y51A2A.3</v>
      </c>
      <c r="F3788" t="s">
        <v>80</v>
      </c>
      <c r="H3788" s="12">
        <v>2.3023301924467101</v>
      </c>
      <c r="I3788" s="11">
        <v>0.26674601818072902</v>
      </c>
      <c r="J3788" s="10">
        <v>0.78966471981773201</v>
      </c>
      <c r="K3788" s="29">
        <v>0.98289565623980701</v>
      </c>
    </row>
    <row r="3789" spans="1:11" x14ac:dyDescent="0.35">
      <c r="A3789" s="9" t="str">
        <f>HYPERLINK("http://www.ensembl.org/id/WBGene00271832", "WBGene00271832")</f>
        <v>WBGene00271832</v>
      </c>
      <c r="B3789" s="9" t="str">
        <f>HYPERLINK("http://www.ncbi.nlm.nih.gov/gene/35381283", "35381283")</f>
        <v>35381283</v>
      </c>
      <c r="C3789" s="9"/>
      <c r="D3789" t="str">
        <f>"Y60C6A.3"</f>
        <v>Y60C6A.3</v>
      </c>
      <c r="F3789" t="s">
        <v>11</v>
      </c>
      <c r="H3789" s="12">
        <v>2.3023301924467101</v>
      </c>
      <c r="I3789" s="11">
        <v>0.26674601818072902</v>
      </c>
      <c r="J3789" s="10">
        <v>0.78966471981773201</v>
      </c>
      <c r="K3789" s="29">
        <v>0.98289565623980701</v>
      </c>
    </row>
    <row r="3790" spans="1:11" x14ac:dyDescent="0.35">
      <c r="A3790" s="9" t="str">
        <f>HYPERLINK("http://www.ensembl.org/id/WBGene00077455", "WBGene00077455")</f>
        <v>WBGene00077455</v>
      </c>
      <c r="B3790" s="9" t="str">
        <f>HYPERLINK("http://www.ncbi.nlm.nih.gov/gene/13218279", "13218279")</f>
        <v>13218279</v>
      </c>
      <c r="C3790" s="9"/>
      <c r="D3790" t="str">
        <f>"Y69H2.17"</f>
        <v>Y69H2.17</v>
      </c>
      <c r="F3790" t="s">
        <v>11</v>
      </c>
      <c r="H3790" s="12">
        <v>2.3023301924467101</v>
      </c>
      <c r="I3790" s="11">
        <v>0.26674601818072902</v>
      </c>
      <c r="J3790" s="10">
        <v>0.78966471981773201</v>
      </c>
      <c r="K3790" s="29">
        <v>0.98289565623980701</v>
      </c>
    </row>
    <row r="3791" spans="1:11" x14ac:dyDescent="0.35">
      <c r="A3791" s="9" t="str">
        <f>HYPERLINK("http://www.ensembl.org/id/WBGene00009096", "WBGene00009096")</f>
        <v>WBGene00009096</v>
      </c>
      <c r="B3791" s="9" t="str">
        <f>HYPERLINK("http://www.ncbi.nlm.nih.gov/gene/259653", "259653")</f>
        <v>259653</v>
      </c>
      <c r="C3791" s="9"/>
      <c r="D3791" t="str">
        <f>"fipr-1"</f>
        <v>fipr-1</v>
      </c>
      <c r="E3791" t="s">
        <v>28</v>
      </c>
      <c r="F3791" t="s">
        <v>11</v>
      </c>
      <c r="H3791" s="12">
        <v>2.3014699579897</v>
      </c>
      <c r="I3791" s="11">
        <v>4.4878960047813097</v>
      </c>
      <c r="J3791" s="10">
        <v>7.19300237966797E-6</v>
      </c>
      <c r="K3791" s="29">
        <v>8.1050607904673097E-4</v>
      </c>
    </row>
    <row r="3792" spans="1:11" x14ac:dyDescent="0.35">
      <c r="A3792" s="9" t="str">
        <f>HYPERLINK("http://www.ensembl.org/id/WBGene00021675", "WBGene00021675")</f>
        <v>WBGene00021675</v>
      </c>
      <c r="B3792" s="9" t="str">
        <f>HYPERLINK("http://www.ncbi.nlm.nih.gov/gene/24105124", "24105124")</f>
        <v>24105124</v>
      </c>
      <c r="C3792" s="9"/>
      <c r="D3792" t="str">
        <f>"Y48G1BR.1"</f>
        <v>Y48G1BR.1</v>
      </c>
      <c r="F3792" t="s">
        <v>11</v>
      </c>
      <c r="G3792" t="s">
        <v>25</v>
      </c>
      <c r="H3792" s="12">
        <v>2.30143165388575</v>
      </c>
      <c r="I3792" s="11">
        <v>3.9188461928757001</v>
      </c>
      <c r="J3792" s="10">
        <v>8.8973866273542594E-5</v>
      </c>
      <c r="K3792" s="29">
        <v>6.04655927681316E-3</v>
      </c>
    </row>
    <row r="3793" spans="1:11" x14ac:dyDescent="0.35">
      <c r="A3793" s="9" t="str">
        <f>HYPERLINK("http://www.ensembl.org/id/WBGene00000678", "WBGene00000678")</f>
        <v>WBGene00000678</v>
      </c>
      <c r="B3793" s="9" t="str">
        <f>HYPERLINK("http://www.ncbi.nlm.nih.gov/gene/176947", "176947")</f>
        <v>176947</v>
      </c>
      <c r="C3793" s="9"/>
      <c r="D3793" t="str">
        <f>"col-104"</f>
        <v>col-104</v>
      </c>
      <c r="E3793" t="s">
        <v>40</v>
      </c>
      <c r="F3793" t="s">
        <v>11</v>
      </c>
      <c r="G3793" t="s">
        <v>41</v>
      </c>
      <c r="H3793" s="12">
        <v>2.3010478005122801</v>
      </c>
      <c r="I3793" s="11">
        <v>1.9772688864429</v>
      </c>
      <c r="J3793" s="10">
        <v>4.8011244635341302E-2</v>
      </c>
      <c r="K3793" s="29">
        <v>0.509787677637354</v>
      </c>
    </row>
    <row r="3794" spans="1:11" x14ac:dyDescent="0.35">
      <c r="A3794" s="9" t="str">
        <f>HYPERLINK("http://www.ensembl.org/id/WBGene00007590", "WBGene00007590")</f>
        <v>WBGene00007590</v>
      </c>
      <c r="B3794" s="9" t="str">
        <f>HYPERLINK("http://www.ncbi.nlm.nih.gov/gene/182609", "182609")</f>
        <v>182609</v>
      </c>
      <c r="C3794" s="9"/>
      <c r="D3794" t="str">
        <f>"ttr-43"</f>
        <v>ttr-43</v>
      </c>
      <c r="E3794" t="s">
        <v>16</v>
      </c>
      <c r="F3794" t="s">
        <v>11</v>
      </c>
      <c r="G3794" t="s">
        <v>17</v>
      </c>
      <c r="H3794" s="12">
        <v>2.3007325727526502</v>
      </c>
      <c r="I3794" s="11">
        <v>2.66983582920018</v>
      </c>
      <c r="J3794" s="10">
        <v>7.5888341511186003E-3</v>
      </c>
      <c r="K3794" s="29">
        <v>0.161165075271826</v>
      </c>
    </row>
    <row r="3795" spans="1:11" x14ac:dyDescent="0.35">
      <c r="A3795" s="9" t="str">
        <f>HYPERLINK("http://www.ensembl.org/id/WBGene00017485", "WBGene00017485")</f>
        <v>WBGene00017485</v>
      </c>
      <c r="B3795" s="9" t="str">
        <f>HYPERLINK("http://www.ncbi.nlm.nih.gov/gene/177193", "177193")</f>
        <v>177193</v>
      </c>
      <c r="C3795" s="9"/>
      <c r="D3795" t="str">
        <f>"F15E6.4"</f>
        <v>F15E6.4</v>
      </c>
      <c r="F3795" t="s">
        <v>11</v>
      </c>
      <c r="H3795" s="12">
        <v>2.3002263036789201</v>
      </c>
      <c r="I3795" s="11">
        <v>2.4010400171479098</v>
      </c>
      <c r="J3795" s="10">
        <v>1.6348548552717699E-2</v>
      </c>
      <c r="K3795" s="29">
        <v>0.26771762073642502</v>
      </c>
    </row>
    <row r="3796" spans="1:11" x14ac:dyDescent="0.35">
      <c r="A3796" s="9" t="str">
        <f>HYPERLINK("http://www.ensembl.org/id/WBGene00010630", "WBGene00010630")</f>
        <v>WBGene00010630</v>
      </c>
      <c r="B3796" s="9" t="str">
        <f>HYPERLINK("http://www.ncbi.nlm.nih.gov/gene/187090", "187090")</f>
        <v>187090</v>
      </c>
      <c r="C3796" s="9"/>
      <c r="D3796" t="str">
        <f>"ttll-15"</f>
        <v>ttll-15</v>
      </c>
      <c r="E3796" t="s">
        <v>3106</v>
      </c>
      <c r="F3796" t="s">
        <v>11</v>
      </c>
      <c r="G3796" t="s">
        <v>3938</v>
      </c>
      <c r="H3796" s="12">
        <v>2.2993484636808201</v>
      </c>
      <c r="I3796" s="11">
        <v>1.26471199584239</v>
      </c>
      <c r="J3796" s="10">
        <v>0.20597458819327499</v>
      </c>
      <c r="K3796" s="29">
        <v>0.95505923882204002</v>
      </c>
    </row>
    <row r="3797" spans="1:11" x14ac:dyDescent="0.35">
      <c r="A3797" s="9" t="str">
        <f>HYPERLINK("http://www.ensembl.org/id/WBGene00020078", "WBGene00020078")</f>
        <v>WBGene00020078</v>
      </c>
      <c r="B3797" s="9" t="str">
        <f>HYPERLINK("http://www.ncbi.nlm.nih.gov/gene/187880", "187880")</f>
        <v>187880</v>
      </c>
      <c r="C3797" s="9"/>
      <c r="D3797" t="str">
        <f>"R52.6"</f>
        <v>R52.6</v>
      </c>
      <c r="F3797" t="s">
        <v>11</v>
      </c>
      <c r="H3797" s="12">
        <v>2.2989867478861101</v>
      </c>
      <c r="I3797" s="11">
        <v>0.39977594961380197</v>
      </c>
      <c r="J3797" s="10">
        <v>0.68932154630716602</v>
      </c>
      <c r="K3797" s="29">
        <v>0.98289565623980701</v>
      </c>
    </row>
    <row r="3798" spans="1:11" x14ac:dyDescent="0.35">
      <c r="A3798" s="9" t="str">
        <f>HYPERLINK("http://www.ensembl.org/id/WBGene00022959", "WBGene00022959")</f>
        <v>WBGene00022959</v>
      </c>
      <c r="B3798" s="9"/>
      <c r="C3798" s="9"/>
      <c r="D3798" t="str">
        <f>"C43G2.t1"</f>
        <v>C43G2.t1</v>
      </c>
      <c r="F3798" t="s">
        <v>4208</v>
      </c>
      <c r="H3798" s="12">
        <v>2.2989037156497898</v>
      </c>
      <c r="I3798" s="11">
        <v>0.349864412055026</v>
      </c>
      <c r="J3798" s="10">
        <v>0.72644045619796604</v>
      </c>
      <c r="K3798" s="29">
        <v>0.98289565623980701</v>
      </c>
    </row>
    <row r="3799" spans="1:11" x14ac:dyDescent="0.35">
      <c r="A3799" s="9" t="str">
        <f>HYPERLINK("http://www.ensembl.org/id/WBGene00138724", "WBGene00138724")</f>
        <v>WBGene00138724</v>
      </c>
      <c r="B3799" s="9" t="str">
        <f>HYPERLINK("http://www.ncbi.nlm.nih.gov/gene/13216019", "13216019")</f>
        <v>13216019</v>
      </c>
      <c r="C3799" s="9"/>
      <c r="D3799" t="str">
        <f>"F15B9.11"</f>
        <v>F15B9.11</v>
      </c>
      <c r="F3799" t="s">
        <v>11</v>
      </c>
      <c r="H3799" s="12">
        <v>2.2981509264426698</v>
      </c>
      <c r="I3799" s="11">
        <v>1.15349172520767</v>
      </c>
      <c r="J3799" s="10">
        <v>0.24870861203116101</v>
      </c>
      <c r="K3799" s="29">
        <v>0.98289565623980701</v>
      </c>
    </row>
    <row r="3800" spans="1:11" x14ac:dyDescent="0.35">
      <c r="A3800" s="9" t="str">
        <f>HYPERLINK("http://www.ensembl.org/id/WBGene00017664", "WBGene00017664")</f>
        <v>WBGene00017664</v>
      </c>
      <c r="B3800" s="9" t="str">
        <f>HYPERLINK("http://www.ncbi.nlm.nih.gov/gene/184779", "184779")</f>
        <v>184779</v>
      </c>
      <c r="C3800" s="9"/>
      <c r="D3800" t="str">
        <f>"npax-1"</f>
        <v>npax-1</v>
      </c>
      <c r="E3800" t="s">
        <v>2170</v>
      </c>
      <c r="F3800" t="s">
        <v>11</v>
      </c>
      <c r="G3800" t="s">
        <v>2171</v>
      </c>
      <c r="H3800" s="12">
        <v>2.29586237166435</v>
      </c>
      <c r="I3800" s="11">
        <v>0.651549490332759</v>
      </c>
      <c r="J3800" s="10">
        <v>0.51469184077473495</v>
      </c>
      <c r="K3800" s="29">
        <v>0.98289565623980701</v>
      </c>
    </row>
    <row r="3801" spans="1:11" x14ac:dyDescent="0.35">
      <c r="A3801" s="9" t="str">
        <f>HYPERLINK("http://www.ensembl.org/id/WBGene00019262", "WBGene00019262")</f>
        <v>WBGene00019262</v>
      </c>
      <c r="B3801" s="9" t="str">
        <f>HYPERLINK("http://www.ncbi.nlm.nih.gov/gene/186799", "186799")</f>
        <v>186799</v>
      </c>
      <c r="C3801" s="9"/>
      <c r="D3801" t="str">
        <f>"dmsr-12"</f>
        <v>dmsr-12</v>
      </c>
      <c r="E3801" t="s">
        <v>996</v>
      </c>
      <c r="F3801" t="s">
        <v>11</v>
      </c>
      <c r="G3801" t="s">
        <v>1015</v>
      </c>
      <c r="H3801" s="12">
        <v>2.29526665748419</v>
      </c>
      <c r="I3801" s="11">
        <v>0.985580105670669</v>
      </c>
      <c r="J3801" s="10">
        <v>0.32433920445493403</v>
      </c>
      <c r="K3801" s="29">
        <v>0.98289565623980701</v>
      </c>
    </row>
    <row r="3802" spans="1:11" x14ac:dyDescent="0.35">
      <c r="A3802" s="9" t="str">
        <f>HYPERLINK("http://www.ensembl.org/id/WBGene00005131", "WBGene00005131")</f>
        <v>WBGene00005131</v>
      </c>
      <c r="B3802" s="9" t="str">
        <f>HYPERLINK("http://www.ncbi.nlm.nih.gov/gene/184430", "184430")</f>
        <v>184430</v>
      </c>
      <c r="C3802" s="9"/>
      <c r="D3802" t="str">
        <f>"srd-53"</f>
        <v>srd-53</v>
      </c>
      <c r="E3802" t="s">
        <v>1513</v>
      </c>
      <c r="F3802" t="s">
        <v>11</v>
      </c>
      <c r="G3802" t="s">
        <v>25</v>
      </c>
      <c r="H3802" s="12">
        <v>2.2944362442927302</v>
      </c>
      <c r="I3802" s="11">
        <v>1.55250093419562</v>
      </c>
      <c r="J3802" s="10">
        <v>0.12054240935511901</v>
      </c>
      <c r="K3802" s="29">
        <v>0.79104030404980796</v>
      </c>
    </row>
    <row r="3803" spans="1:11" x14ac:dyDescent="0.35">
      <c r="A3803" s="9" t="str">
        <f>HYPERLINK("http://www.ensembl.org/id/WBGene00013833", "WBGene00013833")</f>
        <v>WBGene00013833</v>
      </c>
      <c r="B3803" s="9" t="str">
        <f>HYPERLINK("http://www.ncbi.nlm.nih.gov/gene/191052", "191052")</f>
        <v>191052</v>
      </c>
      <c r="C3803" s="9"/>
      <c r="D3803" t="str">
        <f>"ZC15.5"</f>
        <v>ZC15.5</v>
      </c>
      <c r="F3803" t="s">
        <v>11</v>
      </c>
      <c r="G3803" t="s">
        <v>25</v>
      </c>
      <c r="H3803" s="12">
        <v>2.2943579989853502</v>
      </c>
      <c r="I3803" s="11">
        <v>1.1858455585575101</v>
      </c>
      <c r="J3803" s="10">
        <v>0.23568329606999799</v>
      </c>
      <c r="K3803" s="29">
        <v>0.98289565623980701</v>
      </c>
    </row>
    <row r="3804" spans="1:11" x14ac:dyDescent="0.35">
      <c r="A3804" s="9" t="str">
        <f>HYPERLINK("http://www.ensembl.org/id/WBGene00009964", "WBGene00009964")</f>
        <v>WBGene00009964</v>
      </c>
      <c r="B3804" s="9" t="str">
        <f>HYPERLINK("http://www.ncbi.nlm.nih.gov/gene/172707", "172707")</f>
        <v>172707</v>
      </c>
      <c r="C3804" s="9"/>
      <c r="D3804" t="str">
        <f>"fip-6"</f>
        <v>fip-6</v>
      </c>
      <c r="E3804" t="s">
        <v>4415</v>
      </c>
      <c r="F3804" t="s">
        <v>11</v>
      </c>
      <c r="H3804" s="12">
        <v>2.2941968768581198</v>
      </c>
      <c r="I3804" s="11">
        <v>0.68197652313829604</v>
      </c>
      <c r="J3804" s="10">
        <v>0.49525379596416702</v>
      </c>
      <c r="K3804" s="29">
        <v>0.98289565623980701</v>
      </c>
    </row>
    <row r="3805" spans="1:11" x14ac:dyDescent="0.35">
      <c r="A3805" s="9" t="str">
        <f>HYPERLINK("http://www.ensembl.org/id/WBGene00005959", "WBGene00005959")</f>
        <v>WBGene00005959</v>
      </c>
      <c r="B3805" s="9" t="str">
        <f>HYPERLINK("http://www.ncbi.nlm.nih.gov/gene/187099", "187099")</f>
        <v>187099</v>
      </c>
      <c r="C3805" s="9"/>
      <c r="D3805" t="str">
        <f>"srx-68"</f>
        <v>srx-68</v>
      </c>
      <c r="E3805" t="s">
        <v>1477</v>
      </c>
      <c r="F3805" t="s">
        <v>11</v>
      </c>
      <c r="G3805" t="s">
        <v>25</v>
      </c>
      <c r="H3805" s="12">
        <v>2.2939618672509599</v>
      </c>
      <c r="I3805" s="11">
        <v>0.97529109363115096</v>
      </c>
      <c r="J3805" s="10">
        <v>0.32941588710903202</v>
      </c>
      <c r="K3805" s="29">
        <v>0.98289565623980701</v>
      </c>
    </row>
    <row r="3806" spans="1:11" x14ac:dyDescent="0.35">
      <c r="A3806" s="9" t="str">
        <f>HYPERLINK("http://www.ensembl.org/id/WBGene00020620", "WBGene00020620")</f>
        <v>WBGene00020620</v>
      </c>
      <c r="B3806" s="9" t="str">
        <f>HYPERLINK("http://www.ncbi.nlm.nih.gov/gene/188650", "188650")</f>
        <v>188650</v>
      </c>
      <c r="C3806" s="9"/>
      <c r="D3806" t="str">
        <f>"T20D4.15"</f>
        <v>T20D4.15</v>
      </c>
      <c r="F3806" t="s">
        <v>11</v>
      </c>
      <c r="H3806" s="12">
        <v>2.29391740818278</v>
      </c>
      <c r="I3806" s="11">
        <v>0.59956683275071398</v>
      </c>
      <c r="J3806" s="10">
        <v>0.54879495697815805</v>
      </c>
      <c r="K3806" s="29">
        <v>0.98289565623980701</v>
      </c>
    </row>
    <row r="3807" spans="1:11" x14ac:dyDescent="0.35">
      <c r="A3807" s="9" t="str">
        <f>HYPERLINK("http://www.ensembl.org/id/WBGene00019426", "WBGene00019426")</f>
        <v>WBGene00019426</v>
      </c>
      <c r="B3807" s="9" t="str">
        <f>HYPERLINK("http://www.ncbi.nlm.nih.gov/gene/174065", "174065")</f>
        <v>174065</v>
      </c>
      <c r="C3807" s="9"/>
      <c r="D3807" t="str">
        <f>"cutl-16"</f>
        <v>cutl-16</v>
      </c>
      <c r="E3807" t="s">
        <v>166</v>
      </c>
      <c r="F3807" t="s">
        <v>11</v>
      </c>
      <c r="G3807" t="s">
        <v>25</v>
      </c>
      <c r="H3807" s="12">
        <v>2.2933258262408698</v>
      </c>
      <c r="I3807" s="11">
        <v>4.1442042324637702</v>
      </c>
      <c r="J3807" s="10">
        <v>3.40995745633115E-5</v>
      </c>
      <c r="K3807" s="29">
        <v>2.8316193423578301E-3</v>
      </c>
    </row>
    <row r="3808" spans="1:11" x14ac:dyDescent="0.35">
      <c r="A3808" s="9" t="str">
        <f>HYPERLINK("http://www.ensembl.org/id/WBGene00000906", "WBGene00000906")</f>
        <v>WBGene00000906</v>
      </c>
      <c r="B3808" s="9" t="str">
        <f>HYPERLINK("http://www.ncbi.nlm.nih.gov/gene/184883", "184883")</f>
        <v>184883</v>
      </c>
      <c r="C3808" s="9" t="str">
        <f>HYPERLINK("http://www.ncbi.nlm.nih.gov/gene/55764", "55764")</f>
        <v>55764</v>
      </c>
      <c r="D3808" t="str">
        <f>"daf-10"</f>
        <v>daf-10</v>
      </c>
      <c r="E3808" t="s">
        <v>1080</v>
      </c>
      <c r="F3808" t="s">
        <v>11</v>
      </c>
      <c r="G3808" t="s">
        <v>1081</v>
      </c>
      <c r="H3808" s="12">
        <v>2.29319275720355</v>
      </c>
      <c r="I3808" s="11">
        <v>2.5070049716076301</v>
      </c>
      <c r="J3808" s="10">
        <v>1.2175899909663E-2</v>
      </c>
      <c r="K3808" s="29">
        <v>0.220483027674508</v>
      </c>
    </row>
    <row r="3809" spans="1:11" x14ac:dyDescent="0.35">
      <c r="A3809" s="9" t="str">
        <f>HYPERLINK("http://www.ensembl.org/id/WBGene00007049", "WBGene00007049")</f>
        <v>WBGene00007049</v>
      </c>
      <c r="B3809" s="9" t="str">
        <f>HYPERLINK("http://www.ncbi.nlm.nih.gov/gene/179960", "179960")</f>
        <v>179960</v>
      </c>
      <c r="C3809" s="9"/>
      <c r="D3809" t="str">
        <f>"tag-191"</f>
        <v>tag-191</v>
      </c>
      <c r="F3809" t="s">
        <v>11</v>
      </c>
      <c r="G3809" t="s">
        <v>1763</v>
      </c>
      <c r="H3809" s="12">
        <v>2.2930255689320398</v>
      </c>
      <c r="I3809" s="11">
        <v>0.98530253331333395</v>
      </c>
      <c r="J3809" s="10">
        <v>0.324475488734702</v>
      </c>
      <c r="K3809" s="29">
        <v>0.98289565623980701</v>
      </c>
    </row>
    <row r="3810" spans="1:11" x14ac:dyDescent="0.35">
      <c r="A3810" s="9" t="str">
        <f>HYPERLINK("http://www.ensembl.org/id/WBGene00003031", "WBGene00003031")</f>
        <v>WBGene00003031</v>
      </c>
      <c r="B3810" s="9" t="str">
        <f>HYPERLINK("http://www.ncbi.nlm.nih.gov/gene/179782", "179782")</f>
        <v>179782</v>
      </c>
      <c r="C3810" s="9"/>
      <c r="D3810" t="str">
        <f>"lin-46"</f>
        <v>lin-46</v>
      </c>
      <c r="E3810" t="s">
        <v>517</v>
      </c>
      <c r="F3810" t="s">
        <v>11</v>
      </c>
      <c r="G3810" t="s">
        <v>518</v>
      </c>
      <c r="H3810" s="12">
        <v>2.2923971325438801</v>
      </c>
      <c r="I3810" s="11">
        <v>3.2998763495057601</v>
      </c>
      <c r="J3810" s="10">
        <v>9.6727436469213398E-4</v>
      </c>
      <c r="K3810" s="29">
        <v>3.78810872382652E-2</v>
      </c>
    </row>
    <row r="3811" spans="1:11" x14ac:dyDescent="0.35">
      <c r="A3811" s="9" t="str">
        <f>HYPERLINK("http://www.ensembl.org/id/WBGene00016919", "WBGene00016919")</f>
        <v>WBGene00016919</v>
      </c>
      <c r="B3811" s="9" t="str">
        <f>HYPERLINK("http://www.ncbi.nlm.nih.gov/gene/183789", "183789")</f>
        <v>183789</v>
      </c>
      <c r="C3811" s="9"/>
      <c r="D3811" t="str">
        <f>"C54E4.4"</f>
        <v>C54E4.4</v>
      </c>
      <c r="F3811" t="s">
        <v>11</v>
      </c>
      <c r="G3811" t="s">
        <v>25</v>
      </c>
      <c r="H3811" s="12">
        <v>2.2895120665786202</v>
      </c>
      <c r="I3811" s="11">
        <v>2.9692181841433598</v>
      </c>
      <c r="J3811" s="10">
        <v>2.9855852700461901E-3</v>
      </c>
      <c r="K3811" s="29">
        <v>8.4748075245316204E-2</v>
      </c>
    </row>
    <row r="3812" spans="1:11" x14ac:dyDescent="0.35">
      <c r="A3812" s="9" t="str">
        <f>HYPERLINK("http://www.ensembl.org/id/WBGene00010100", "WBGene00010100")</f>
        <v>WBGene00010100</v>
      </c>
      <c r="B3812" s="9" t="str">
        <f>HYPERLINK("http://www.ncbi.nlm.nih.gov/gene/186291", "186291")</f>
        <v>186291</v>
      </c>
      <c r="C3812" s="9"/>
      <c r="D3812" t="str">
        <f>"F55C9.3"</f>
        <v>F55C9.3</v>
      </c>
      <c r="F3812" t="s">
        <v>11</v>
      </c>
      <c r="G3812" t="s">
        <v>54</v>
      </c>
      <c r="H3812" s="12">
        <v>2.2887847288599601</v>
      </c>
      <c r="I3812" s="11">
        <v>1.2257372801847899</v>
      </c>
      <c r="J3812" s="10">
        <v>0.22029755629848</v>
      </c>
      <c r="K3812" s="29">
        <v>0.9724355548975</v>
      </c>
    </row>
    <row r="3813" spans="1:11" x14ac:dyDescent="0.35">
      <c r="A3813" s="9" t="str">
        <f>HYPERLINK("http://www.ensembl.org/id/WBGene00044074", "WBGene00044074")</f>
        <v>WBGene00044074</v>
      </c>
      <c r="B3813" s="9" t="str">
        <f>HYPERLINK("http://www.ncbi.nlm.nih.gov/gene/3565525", "3565525")</f>
        <v>3565525</v>
      </c>
      <c r="C3813" s="9"/>
      <c r="D3813" t="str">
        <f>"mltn-5"</f>
        <v>mltn-5</v>
      </c>
      <c r="E3813" t="s">
        <v>4191</v>
      </c>
      <c r="F3813" t="s">
        <v>11</v>
      </c>
      <c r="G3813" t="s">
        <v>25</v>
      </c>
      <c r="H3813" s="12">
        <v>2.2877898303280899</v>
      </c>
      <c r="I3813" s="11">
        <v>0.45844486600008699</v>
      </c>
      <c r="J3813" s="10">
        <v>0.64663286439281997</v>
      </c>
      <c r="K3813" s="29">
        <v>0.98289565623980701</v>
      </c>
    </row>
    <row r="3814" spans="1:11" x14ac:dyDescent="0.35">
      <c r="A3814" s="9" t="str">
        <f>HYPERLINK("http://www.ensembl.org/id/WBGene00023071", "WBGene00023071")</f>
        <v>WBGene00023071</v>
      </c>
      <c r="B3814" s="9"/>
      <c r="C3814" s="9"/>
      <c r="D3814" t="str">
        <f>"F56C9.12"</f>
        <v>F56C9.12</v>
      </c>
      <c r="F3814" t="s">
        <v>2977</v>
      </c>
      <c r="H3814" s="12">
        <v>2.2876818959181202</v>
      </c>
      <c r="I3814" s="11">
        <v>0.52568038440408105</v>
      </c>
      <c r="J3814" s="10">
        <v>0.59911029497426804</v>
      </c>
      <c r="K3814" s="29">
        <v>0.98289565623980701</v>
      </c>
    </row>
    <row r="3815" spans="1:11" x14ac:dyDescent="0.35">
      <c r="A3815" s="9" t="str">
        <f>HYPERLINK("http://www.ensembl.org/id/WBGene00009431", "WBGene00009431")</f>
        <v>WBGene00009431</v>
      </c>
      <c r="B3815" s="9" t="str">
        <f>HYPERLINK("http://www.ncbi.nlm.nih.gov/gene/179865", "179865")</f>
        <v>179865</v>
      </c>
      <c r="C3815" s="9"/>
      <c r="D3815" t="str">
        <f>"dct-17"</f>
        <v>dct-17</v>
      </c>
      <c r="E3815" t="s">
        <v>1725</v>
      </c>
      <c r="F3815" t="s">
        <v>11</v>
      </c>
      <c r="G3815" t="s">
        <v>1759</v>
      </c>
      <c r="H3815" s="12">
        <v>2.2876340315872299</v>
      </c>
      <c r="I3815" s="11">
        <v>1.98806646154788</v>
      </c>
      <c r="J3815" s="10">
        <v>4.6804340018276901E-2</v>
      </c>
      <c r="K3815" s="29">
        <v>0.50300515370339804</v>
      </c>
    </row>
    <row r="3816" spans="1:11" x14ac:dyDescent="0.35">
      <c r="A3816" s="9" t="str">
        <f>HYPERLINK("http://www.ensembl.org/id/WBGene00220084", "WBGene00220084")</f>
        <v>WBGene00220084</v>
      </c>
      <c r="B3816" s="9"/>
      <c r="C3816" s="9"/>
      <c r="D3816" t="str">
        <f>"T23B12.14"</f>
        <v>T23B12.14</v>
      </c>
      <c r="F3816" t="s">
        <v>481</v>
      </c>
      <c r="H3816" s="12">
        <v>2.28714940472342</v>
      </c>
      <c r="I3816" s="11">
        <v>0.687066638490475</v>
      </c>
      <c r="J3816" s="10">
        <v>0.49204073623705702</v>
      </c>
      <c r="K3816" s="29">
        <v>0.98289565623980701</v>
      </c>
    </row>
    <row r="3817" spans="1:11" x14ac:dyDescent="0.35">
      <c r="A3817" s="9" t="str">
        <f>HYPERLINK("http://www.ensembl.org/id/WBGene00008657", "WBGene00008657")</f>
        <v>WBGene00008657</v>
      </c>
      <c r="B3817" s="9"/>
      <c r="C3817" s="9"/>
      <c r="D3817" t="str">
        <f>"clec-154"</f>
        <v>clec-154</v>
      </c>
      <c r="F3817" t="s">
        <v>80</v>
      </c>
      <c r="H3817" s="12">
        <v>2.2868869913454102</v>
      </c>
      <c r="I3817" s="11">
        <v>0.53791124789108302</v>
      </c>
      <c r="J3817" s="10">
        <v>0.59063832272075101</v>
      </c>
      <c r="K3817" s="29">
        <v>0.98289565623980701</v>
      </c>
    </row>
    <row r="3818" spans="1:11" x14ac:dyDescent="0.35">
      <c r="A3818" s="9" t="str">
        <f>HYPERLINK("http://www.ensembl.org/id/WBGene00022545", "WBGene00022545")</f>
        <v>WBGene00022545</v>
      </c>
      <c r="B3818" s="9"/>
      <c r="C3818" s="9"/>
      <c r="D3818" t="str">
        <f>"ZC196.1"</f>
        <v>ZC196.1</v>
      </c>
      <c r="F3818" t="s">
        <v>80</v>
      </c>
      <c r="H3818" s="12">
        <v>2.2861943255762198</v>
      </c>
      <c r="I3818" s="11">
        <v>0.64775572299996698</v>
      </c>
      <c r="J3818" s="10">
        <v>0.517142957166006</v>
      </c>
      <c r="K3818" s="29">
        <v>0.98289565623980701</v>
      </c>
    </row>
    <row r="3819" spans="1:11" x14ac:dyDescent="0.35">
      <c r="A3819" s="9" t="str">
        <f>HYPERLINK("http://www.ensembl.org/id/WBGene00005533", "WBGene00005533")</f>
        <v>WBGene00005533</v>
      </c>
      <c r="B3819" s="9" t="str">
        <f>HYPERLINK("http://www.ncbi.nlm.nih.gov/gene/191901", "191901")</f>
        <v>191901</v>
      </c>
      <c r="C3819" s="9"/>
      <c r="D3819" t="str">
        <f>"sri-21"</f>
        <v>sri-21</v>
      </c>
      <c r="E3819" t="s">
        <v>1503</v>
      </c>
      <c r="F3819" t="s">
        <v>11</v>
      </c>
      <c r="G3819" t="s">
        <v>25</v>
      </c>
      <c r="H3819" s="12">
        <v>2.2858051198222999</v>
      </c>
      <c r="I3819" s="11">
        <v>0.84478546649969499</v>
      </c>
      <c r="J3819" s="10">
        <v>0.39823063053785002</v>
      </c>
      <c r="K3819" s="29">
        <v>0.98289565623980701</v>
      </c>
    </row>
    <row r="3820" spans="1:11" x14ac:dyDescent="0.35">
      <c r="A3820" s="9" t="str">
        <f>HYPERLINK("http://www.ensembl.org/id/WBGene00001877", "WBGene00001877")</f>
        <v>WBGene00001877</v>
      </c>
      <c r="B3820" s="9" t="str">
        <f>HYPERLINK("http://www.ncbi.nlm.nih.gov/gene/180073", "180073")</f>
        <v>180073</v>
      </c>
      <c r="C3820" s="9" t="str">
        <f>HYPERLINK("http://www.ncbi.nlm.nih.gov/gene/8338", "8338")</f>
        <v>8338</v>
      </c>
      <c r="D3820" t="str">
        <f>"his-3"</f>
        <v>his-3</v>
      </c>
      <c r="E3820" t="s">
        <v>1912</v>
      </c>
      <c r="F3820" t="s">
        <v>11</v>
      </c>
      <c r="G3820" t="s">
        <v>232</v>
      </c>
      <c r="H3820" s="12">
        <v>2.2846807400172899</v>
      </c>
      <c r="I3820" s="11">
        <v>1.9112457465814701</v>
      </c>
      <c r="J3820" s="10">
        <v>5.5973007520978502E-2</v>
      </c>
      <c r="K3820" s="29">
        <v>0.55746220335333097</v>
      </c>
    </row>
    <row r="3821" spans="1:11" x14ac:dyDescent="0.35">
      <c r="A3821" s="9" t="str">
        <f>HYPERLINK("http://www.ensembl.org/id/WBGene00017033", "WBGene00017033")</f>
        <v>WBGene00017033</v>
      </c>
      <c r="B3821" s="9" t="str">
        <f>HYPERLINK("http://www.ncbi.nlm.nih.gov/gene/175760", "175760")</f>
        <v>175760</v>
      </c>
      <c r="C3821" s="9"/>
      <c r="D3821" t="str">
        <f>"nekl-4"</f>
        <v>nekl-4</v>
      </c>
      <c r="E3821" t="s">
        <v>1507</v>
      </c>
      <c r="F3821" t="s">
        <v>11</v>
      </c>
      <c r="G3821" t="s">
        <v>86</v>
      </c>
      <c r="H3821" s="12">
        <v>2.2837490745961802</v>
      </c>
      <c r="I3821" s="11">
        <v>2.14545057546606</v>
      </c>
      <c r="J3821" s="10">
        <v>3.1916839084868101E-2</v>
      </c>
      <c r="K3821" s="29">
        <v>0.403651058508463</v>
      </c>
    </row>
    <row r="3822" spans="1:11" x14ac:dyDescent="0.35">
      <c r="A3822" s="9" t="str">
        <f>HYPERLINK("http://www.ensembl.org/id/WBGene00199687", "WBGene00199687")</f>
        <v>WBGene00199687</v>
      </c>
      <c r="B3822" s="9"/>
      <c r="C3822" s="9"/>
      <c r="D3822" t="str">
        <f>"C50E10.13"</f>
        <v>C50E10.13</v>
      </c>
      <c r="F3822" t="s">
        <v>481</v>
      </c>
      <c r="H3822" s="12">
        <v>2.2823775214898601</v>
      </c>
      <c r="I3822" s="11">
        <v>0.28531617361358103</v>
      </c>
      <c r="J3822" s="10">
        <v>0.77540192285876297</v>
      </c>
      <c r="K3822" s="29">
        <v>0.98289565623980701</v>
      </c>
    </row>
    <row r="3823" spans="1:11" x14ac:dyDescent="0.35">
      <c r="A3823" s="9" t="str">
        <f>HYPERLINK("http://www.ensembl.org/id/WBGene00009979", "WBGene00009979")</f>
        <v>WBGene00009979</v>
      </c>
      <c r="B3823" s="9" t="str">
        <f>HYPERLINK("http://www.ncbi.nlm.nih.gov/gene/186168", "186168")</f>
        <v>186168</v>
      </c>
      <c r="C3823" s="9"/>
      <c r="D3823" t="str">
        <f>"cutl-1"</f>
        <v>cutl-1</v>
      </c>
      <c r="E3823" t="s">
        <v>166</v>
      </c>
      <c r="F3823" t="s">
        <v>11</v>
      </c>
      <c r="G3823" t="s">
        <v>25</v>
      </c>
      <c r="H3823" s="12">
        <v>2.2823775214898601</v>
      </c>
      <c r="I3823" s="11">
        <v>0.28531617361358103</v>
      </c>
      <c r="J3823" s="10">
        <v>0.77540192285876297</v>
      </c>
      <c r="K3823" s="29">
        <v>0.98289565623980701</v>
      </c>
    </row>
    <row r="3824" spans="1:11" x14ac:dyDescent="0.35">
      <c r="A3824" s="9" t="str">
        <f>HYPERLINK("http://www.ensembl.org/id/WBGene00044270", "WBGene00044270")</f>
        <v>WBGene00044270</v>
      </c>
      <c r="B3824" s="9"/>
      <c r="C3824" s="9"/>
      <c r="D3824" t="str">
        <f>"F35E2.10"</f>
        <v>F35E2.10</v>
      </c>
      <c r="F3824" t="s">
        <v>80</v>
      </c>
      <c r="H3824" s="12">
        <v>2.2823775214898601</v>
      </c>
      <c r="I3824" s="11">
        <v>0.28531617361358103</v>
      </c>
      <c r="J3824" s="10">
        <v>0.77540192285876297</v>
      </c>
      <c r="K3824" s="29">
        <v>0.98289565623980701</v>
      </c>
    </row>
    <row r="3825" spans="1:11" x14ac:dyDescent="0.35">
      <c r="A3825" s="9" t="str">
        <f>HYPERLINK("http://www.ensembl.org/id/WBGene00003332", "WBGene00003332")</f>
        <v>WBGene00003332</v>
      </c>
      <c r="B3825" s="9"/>
      <c r="C3825" s="9"/>
      <c r="D3825" t="str">
        <f>"mir-239.1"</f>
        <v>mir-239.1</v>
      </c>
      <c r="F3825" t="s">
        <v>1486</v>
      </c>
      <c r="H3825" s="12">
        <v>2.2823775214898601</v>
      </c>
      <c r="I3825" s="11">
        <v>0.28531617361358103</v>
      </c>
      <c r="J3825" s="10">
        <v>0.77540192285876297</v>
      </c>
      <c r="K3825" s="29">
        <v>0.98289565623980701</v>
      </c>
    </row>
    <row r="3826" spans="1:11" x14ac:dyDescent="0.35">
      <c r="A3826" s="9" t="str">
        <f>HYPERLINK("http://www.ensembl.org/id/WBGene00197297", "WBGene00197297")</f>
        <v>WBGene00197297</v>
      </c>
      <c r="B3826" s="9"/>
      <c r="C3826" s="9"/>
      <c r="D3826" t="str">
        <f>"R08C7.17"</f>
        <v>R08C7.17</v>
      </c>
      <c r="F3826" t="s">
        <v>481</v>
      </c>
      <c r="H3826" s="12">
        <v>2.2823775214898601</v>
      </c>
      <c r="I3826" s="11">
        <v>0.28531617361358103</v>
      </c>
      <c r="J3826" s="10">
        <v>0.77540192285876297</v>
      </c>
      <c r="K3826" s="29">
        <v>0.98289565623980701</v>
      </c>
    </row>
    <row r="3827" spans="1:11" x14ac:dyDescent="0.35">
      <c r="A3827" s="9" t="str">
        <f>HYPERLINK("http://www.ensembl.org/id/WBGene00013747", "WBGene00013747")</f>
        <v>WBGene00013747</v>
      </c>
      <c r="B3827" s="9" t="str">
        <f>HYPERLINK("http://www.ncbi.nlm.nih.gov/gene/190958", "190958")</f>
        <v>190958</v>
      </c>
      <c r="C3827" s="9"/>
      <c r="D3827" t="str">
        <f>"spe-19"</f>
        <v>spe-19</v>
      </c>
      <c r="F3827" t="s">
        <v>11</v>
      </c>
      <c r="G3827" t="s">
        <v>4416</v>
      </c>
      <c r="H3827" s="12">
        <v>2.2823775214898601</v>
      </c>
      <c r="I3827" s="11">
        <v>0.28531617361358103</v>
      </c>
      <c r="J3827" s="10">
        <v>0.77540192285876297</v>
      </c>
      <c r="K3827" s="29">
        <v>0.98289565623980701</v>
      </c>
    </row>
    <row r="3828" spans="1:11" x14ac:dyDescent="0.35">
      <c r="A3828" s="9" t="str">
        <f>HYPERLINK("http://www.ensembl.org/id/WBGene00005753", "WBGene00005753")</f>
        <v>WBGene00005753</v>
      </c>
      <c r="B3828" s="9" t="str">
        <f>HYPERLINK("http://www.ncbi.nlm.nih.gov/gene/186715", "186715")</f>
        <v>186715</v>
      </c>
      <c r="C3828" s="9"/>
      <c r="D3828" t="str">
        <f>"srw-6"</f>
        <v>srw-6</v>
      </c>
      <c r="E3828" t="s">
        <v>1014</v>
      </c>
      <c r="F3828" t="s">
        <v>11</v>
      </c>
      <c r="G3828" t="s">
        <v>1015</v>
      </c>
      <c r="H3828" s="12">
        <v>2.2823775214898601</v>
      </c>
      <c r="I3828" s="11">
        <v>0.28531617361358103</v>
      </c>
      <c r="J3828" s="10">
        <v>0.77540192285876297</v>
      </c>
      <c r="K3828" s="29">
        <v>0.98289565623980701</v>
      </c>
    </row>
    <row r="3829" spans="1:11" x14ac:dyDescent="0.35">
      <c r="A3829" s="9" t="str">
        <f>HYPERLINK("http://www.ensembl.org/id/WBGene00007156", "WBGene00007156")</f>
        <v>WBGene00007156</v>
      </c>
      <c r="B3829" s="9" t="str">
        <f>HYPERLINK("http://www.ncbi.nlm.nih.gov/gene/181943", "181943")</f>
        <v>181943</v>
      </c>
      <c r="C3829" s="9"/>
      <c r="D3829" t="str">
        <f>"B0379.2"</f>
        <v>B0379.2</v>
      </c>
      <c r="F3829" t="s">
        <v>11</v>
      </c>
      <c r="G3829" t="s">
        <v>25</v>
      </c>
      <c r="H3829" s="12">
        <v>2.2823014849185399</v>
      </c>
      <c r="I3829" s="11">
        <v>0.66245600702552199</v>
      </c>
      <c r="J3829" s="10">
        <v>0.50767902011377497</v>
      </c>
      <c r="K3829" s="29">
        <v>0.98289565623980701</v>
      </c>
    </row>
    <row r="3830" spans="1:11" x14ac:dyDescent="0.35">
      <c r="A3830" s="9" t="str">
        <f>HYPERLINK("http://www.ensembl.org/id/WBGene00001446", "WBGene00001446")</f>
        <v>WBGene00001446</v>
      </c>
      <c r="B3830" s="9" t="str">
        <f>HYPERLINK("http://www.ncbi.nlm.nih.gov/gene/181221", "181221")</f>
        <v>181221</v>
      </c>
      <c r="C3830" s="9"/>
      <c r="D3830" t="str">
        <f>"flp-3"</f>
        <v>flp-3</v>
      </c>
      <c r="E3830" t="s">
        <v>411</v>
      </c>
      <c r="F3830" t="s">
        <v>11</v>
      </c>
      <c r="G3830" t="s">
        <v>77</v>
      </c>
      <c r="H3830" s="12">
        <v>2.28212455476105</v>
      </c>
      <c r="I3830" s="11">
        <v>3.6664215498798902</v>
      </c>
      <c r="J3830" s="10">
        <v>2.4596833056183198E-4</v>
      </c>
      <c r="K3830" s="29">
        <v>1.3221743580484399E-2</v>
      </c>
    </row>
    <row r="3831" spans="1:11" x14ac:dyDescent="0.35">
      <c r="A3831" s="9" t="str">
        <f>HYPERLINK("http://www.ensembl.org/id/WBGene00009596", "WBGene00009596")</f>
        <v>WBGene00009596</v>
      </c>
      <c r="B3831" s="9" t="str">
        <f>HYPERLINK("http://www.ncbi.nlm.nih.gov/gene/185561", "185561")</f>
        <v>185561</v>
      </c>
      <c r="C3831" s="9"/>
      <c r="D3831" t="str">
        <f>"sre-8"</f>
        <v>sre-8</v>
      </c>
      <c r="E3831" t="s">
        <v>4417</v>
      </c>
      <c r="F3831" t="s">
        <v>11</v>
      </c>
      <c r="G3831" t="s">
        <v>2639</v>
      </c>
      <c r="H3831" s="12">
        <v>2.2818582137002901</v>
      </c>
      <c r="I3831" s="11">
        <v>0.478531221354834</v>
      </c>
      <c r="J3831" s="10">
        <v>0.63227215807151205</v>
      </c>
      <c r="K3831" s="29">
        <v>0.98289565623980701</v>
      </c>
    </row>
    <row r="3832" spans="1:11" x14ac:dyDescent="0.35">
      <c r="A3832" s="9" t="str">
        <f>HYPERLINK("http://www.ensembl.org/id/WBGene00009963", "WBGene00009963")</f>
        <v>WBGene00009963</v>
      </c>
      <c r="B3832" s="9" t="str">
        <f>HYPERLINK("http://www.ncbi.nlm.nih.gov/gene/172708", "172708")</f>
        <v>172708</v>
      </c>
      <c r="C3832" s="9"/>
      <c r="D3832" t="str">
        <f>"fipr-26"</f>
        <v>fipr-26</v>
      </c>
      <c r="E3832" t="s">
        <v>28</v>
      </c>
      <c r="F3832" t="s">
        <v>11</v>
      </c>
      <c r="H3832" s="12">
        <v>2.2807556698451101</v>
      </c>
      <c r="I3832" s="11">
        <v>0.58223068842039505</v>
      </c>
      <c r="J3832" s="10">
        <v>0.56041130495396496</v>
      </c>
      <c r="K3832" s="29">
        <v>0.98289565623980701</v>
      </c>
    </row>
    <row r="3833" spans="1:11" x14ac:dyDescent="0.35">
      <c r="A3833" s="9" t="str">
        <f>HYPERLINK("http://www.ensembl.org/id/WBGene00023345", "WBGene00023345")</f>
        <v>WBGene00023345</v>
      </c>
      <c r="B3833" s="9"/>
      <c r="C3833" s="9"/>
      <c r="D3833" t="str">
        <f>"T12B5.9"</f>
        <v>T12B5.9</v>
      </c>
      <c r="F3833" t="s">
        <v>80</v>
      </c>
      <c r="H3833" s="12">
        <v>2.2793569037194699</v>
      </c>
      <c r="I3833" s="11">
        <v>0.77340033940076802</v>
      </c>
      <c r="J3833" s="10">
        <v>0.43928548917495802</v>
      </c>
      <c r="K3833" s="29">
        <v>0.98289565623980701</v>
      </c>
    </row>
    <row r="3834" spans="1:11" x14ac:dyDescent="0.35">
      <c r="A3834" s="9" t="str">
        <f>HYPERLINK("http://www.ensembl.org/id/WBGene00000636", "WBGene00000636")</f>
        <v>WBGene00000636</v>
      </c>
      <c r="B3834" s="9" t="str">
        <f>HYPERLINK("http://www.ncbi.nlm.nih.gov/gene/172445", "172445")</f>
        <v>172445</v>
      </c>
      <c r="C3834" s="9"/>
      <c r="D3834" t="str">
        <f>"col-60"</f>
        <v>col-60</v>
      </c>
      <c r="E3834" t="s">
        <v>40</v>
      </c>
      <c r="F3834" t="s">
        <v>11</v>
      </c>
      <c r="G3834" t="s">
        <v>41</v>
      </c>
      <c r="H3834" s="12">
        <v>2.2779999742259198</v>
      </c>
      <c r="I3834" s="11">
        <v>0.61476138333776797</v>
      </c>
      <c r="J3834" s="10">
        <v>0.53871231533160902</v>
      </c>
      <c r="K3834" s="29">
        <v>0.98289565623980701</v>
      </c>
    </row>
    <row r="3835" spans="1:11" x14ac:dyDescent="0.35">
      <c r="A3835" s="9" t="str">
        <f>HYPERLINK("http://www.ensembl.org/id/WBGene00020017", "WBGene00020017")</f>
        <v>WBGene00020017</v>
      </c>
      <c r="B3835" s="9" t="str">
        <f>HYPERLINK("http://www.ncbi.nlm.nih.gov/gene/178632", "178632")</f>
        <v>178632</v>
      </c>
      <c r="C3835" s="9"/>
      <c r="D3835" t="str">
        <f>"R12A1.3"</f>
        <v>R12A1.3</v>
      </c>
      <c r="F3835" t="s">
        <v>11</v>
      </c>
      <c r="G3835" t="s">
        <v>4418</v>
      </c>
      <c r="H3835" s="12">
        <v>2.2768214879755999</v>
      </c>
      <c r="I3835" s="11">
        <v>1.0862037798128401</v>
      </c>
      <c r="J3835" s="10">
        <v>0.27738884539139602</v>
      </c>
      <c r="K3835" s="29">
        <v>0.98289565623980701</v>
      </c>
    </row>
    <row r="3836" spans="1:11" x14ac:dyDescent="0.35">
      <c r="A3836" s="9" t="str">
        <f>HYPERLINK("http://www.ensembl.org/id/WBGene00018109", "WBGene00018109")</f>
        <v>WBGene00018109</v>
      </c>
      <c r="B3836" s="9"/>
      <c r="C3836" s="9"/>
      <c r="D3836" t="str">
        <f>"fbxb-12"</f>
        <v>fbxb-12</v>
      </c>
      <c r="F3836" t="s">
        <v>80</v>
      </c>
      <c r="H3836" s="12">
        <v>2.2766289391196999</v>
      </c>
      <c r="I3836" s="11">
        <v>1.11816480650012</v>
      </c>
      <c r="J3836" s="10">
        <v>0.26349661213856401</v>
      </c>
      <c r="K3836" s="29">
        <v>0.98289565623980701</v>
      </c>
    </row>
    <row r="3837" spans="1:11" x14ac:dyDescent="0.35">
      <c r="A3837" s="9" t="str">
        <f>HYPERLINK("http://www.ensembl.org/id/WBGene00044491", "WBGene00044491")</f>
        <v>WBGene00044491</v>
      </c>
      <c r="B3837" s="9" t="str">
        <f>HYPERLINK("http://www.ncbi.nlm.nih.gov/gene/3896805", "3896805")</f>
        <v>3896805</v>
      </c>
      <c r="C3837" s="9"/>
      <c r="D3837" t="str">
        <f>"Y54G2A.48"</f>
        <v>Y54G2A.48</v>
      </c>
      <c r="F3837" t="s">
        <v>11</v>
      </c>
      <c r="H3837" s="12">
        <v>2.2754375174274299</v>
      </c>
      <c r="I3837" s="11">
        <v>1.3307156394717601</v>
      </c>
      <c r="J3837" s="10">
        <v>0.183282595011105</v>
      </c>
      <c r="K3837" s="29">
        <v>0.92043634869084801</v>
      </c>
    </row>
    <row r="3838" spans="1:11" x14ac:dyDescent="0.35">
      <c r="A3838" s="9" t="str">
        <f>HYPERLINK("http://www.ensembl.org/id/WBGene00005215", "WBGene00005215")</f>
        <v>WBGene00005215</v>
      </c>
      <c r="B3838" s="9" t="str">
        <f>HYPERLINK("http://www.ncbi.nlm.nih.gov/gene/187607", "187607")</f>
        <v>187607</v>
      </c>
      <c r="C3838" s="9"/>
      <c r="D3838" t="str">
        <f>"srg-58"</f>
        <v>srg-58</v>
      </c>
      <c r="E3838" t="s">
        <v>1828</v>
      </c>
      <c r="F3838" t="s">
        <v>11</v>
      </c>
      <c r="G3838" t="s">
        <v>1829</v>
      </c>
      <c r="H3838" s="12">
        <v>2.2752583933919399</v>
      </c>
      <c r="I3838" s="11">
        <v>0.342341349333185</v>
      </c>
      <c r="J3838" s="10">
        <v>0.73209402109561805</v>
      </c>
      <c r="K3838" s="29">
        <v>0.98289565623980701</v>
      </c>
    </row>
    <row r="3839" spans="1:11" x14ac:dyDescent="0.35">
      <c r="A3839" s="9" t="str">
        <f>HYPERLINK("http://www.ensembl.org/id/WBGene00016478", "WBGene00016478")</f>
        <v>WBGene00016478</v>
      </c>
      <c r="B3839" s="9"/>
      <c r="C3839" s="9"/>
      <c r="D3839" t="str">
        <f>"srt-72"</f>
        <v>srt-72</v>
      </c>
      <c r="F3839" t="s">
        <v>80</v>
      </c>
      <c r="H3839" s="12">
        <v>2.2752583933919399</v>
      </c>
      <c r="I3839" s="11">
        <v>0.342341349333185</v>
      </c>
      <c r="J3839" s="10">
        <v>0.73209402109561805</v>
      </c>
      <c r="K3839" s="29">
        <v>0.98289565623980701</v>
      </c>
    </row>
    <row r="3840" spans="1:11" x14ac:dyDescent="0.35">
      <c r="A3840" s="9" t="str">
        <f>HYPERLINK("http://www.ensembl.org/id/WBGene00018201", "WBGene00018201")</f>
        <v>WBGene00018201</v>
      </c>
      <c r="B3840" s="9" t="str">
        <f>HYPERLINK("http://www.ncbi.nlm.nih.gov/gene/353391", "353391")</f>
        <v>353391</v>
      </c>
      <c r="C3840" s="9"/>
      <c r="D3840" t="str">
        <f>"btb-18"</f>
        <v>btb-18</v>
      </c>
      <c r="E3840" t="s">
        <v>468</v>
      </c>
      <c r="F3840" t="s">
        <v>11</v>
      </c>
      <c r="G3840" t="s">
        <v>54</v>
      </c>
      <c r="H3840" s="12">
        <v>2.2747460580676302</v>
      </c>
      <c r="I3840" s="11">
        <v>1.0726216626354701</v>
      </c>
      <c r="J3840" s="10">
        <v>0.2834409012113</v>
      </c>
      <c r="K3840" s="29">
        <v>0.98289565623980701</v>
      </c>
    </row>
    <row r="3841" spans="1:11" x14ac:dyDescent="0.35">
      <c r="A3841" s="9" t="str">
        <f>HYPERLINK("http://www.ensembl.org/id/WBGene00001768", "WBGene00001768")</f>
        <v>WBGene00001768</v>
      </c>
      <c r="B3841" s="9" t="str">
        <f>HYPERLINK("http://www.ncbi.nlm.nih.gov/gene/175008", "175008")</f>
        <v>175008</v>
      </c>
      <c r="C3841" s="9" t="str">
        <f>HYPERLINK("http://www.ncbi.nlm.nih.gov/gene/27306", "27306")</f>
        <v>27306</v>
      </c>
      <c r="D3841" t="str">
        <f>"gst-20"</f>
        <v>gst-20</v>
      </c>
      <c r="E3841" t="s">
        <v>272</v>
      </c>
      <c r="F3841" t="s">
        <v>11</v>
      </c>
      <c r="G3841" t="s">
        <v>273</v>
      </c>
      <c r="H3841" s="12">
        <v>2.2744525196366201</v>
      </c>
      <c r="I3841" s="11">
        <v>4.2059481454077501</v>
      </c>
      <c r="J3841" s="10">
        <v>2.5998984540914799E-5</v>
      </c>
      <c r="K3841" s="29">
        <v>2.2167252280530501E-3</v>
      </c>
    </row>
    <row r="3842" spans="1:11" x14ac:dyDescent="0.35">
      <c r="A3842" s="9" t="str">
        <f>HYPERLINK("http://www.ensembl.org/id/WBGene00198620", "WBGene00198620")</f>
        <v>WBGene00198620</v>
      </c>
      <c r="B3842" s="9"/>
      <c r="C3842" s="9"/>
      <c r="D3842" t="str">
        <f>"F11C7.9"</f>
        <v>F11C7.9</v>
      </c>
      <c r="F3842" t="s">
        <v>481</v>
      </c>
      <c r="H3842" s="12">
        <v>2.2723204043556202</v>
      </c>
      <c r="I3842" s="11">
        <v>0.35902834113172899</v>
      </c>
      <c r="J3842" s="10">
        <v>0.71957388766183406</v>
      </c>
      <c r="K3842" s="29">
        <v>0.98289565623980701</v>
      </c>
    </row>
    <row r="3843" spans="1:11" x14ac:dyDescent="0.35">
      <c r="A3843" s="9" t="str">
        <f>HYPERLINK("http://www.ensembl.org/id/WBGene00197231", "WBGene00197231")</f>
        <v>WBGene00197231</v>
      </c>
      <c r="B3843" s="9"/>
      <c r="C3843" s="9"/>
      <c r="D3843" t="str">
        <f>"Y48B6A.18"</f>
        <v>Y48B6A.18</v>
      </c>
      <c r="F3843" t="s">
        <v>481</v>
      </c>
      <c r="H3843" s="12">
        <v>2.2723204043556202</v>
      </c>
      <c r="I3843" s="11">
        <v>0.35902834113172899</v>
      </c>
      <c r="J3843" s="10">
        <v>0.71957388766183406</v>
      </c>
      <c r="K3843" s="29">
        <v>0.98289565623980701</v>
      </c>
    </row>
    <row r="3844" spans="1:11" x14ac:dyDescent="0.35">
      <c r="A3844" s="9" t="str">
        <f>HYPERLINK("http://www.ensembl.org/id/WBGene00009810", "WBGene00009810")</f>
        <v>WBGene00009810</v>
      </c>
      <c r="B3844" s="9" t="str">
        <f>HYPERLINK("http://www.ncbi.nlm.nih.gov/gene/179931", "179931")</f>
        <v>179931</v>
      </c>
      <c r="C3844" s="9"/>
      <c r="D3844" t="str">
        <f>"srm-6"</f>
        <v>srm-6</v>
      </c>
      <c r="E3844" t="s">
        <v>3699</v>
      </c>
      <c r="F3844" t="s">
        <v>11</v>
      </c>
      <c r="G3844" t="s">
        <v>25</v>
      </c>
      <c r="H3844" s="12">
        <v>2.26987945178734</v>
      </c>
      <c r="I3844" s="11">
        <v>0.82048026202179303</v>
      </c>
      <c r="J3844" s="10">
        <v>0.41194237680960399</v>
      </c>
      <c r="K3844" s="29">
        <v>0.98289565623980701</v>
      </c>
    </row>
    <row r="3845" spans="1:11" x14ac:dyDescent="0.35">
      <c r="A3845" s="9" t="str">
        <f>HYPERLINK("http://www.ensembl.org/id/WBGene00018694", "WBGene00018694")</f>
        <v>WBGene00018694</v>
      </c>
      <c r="B3845" s="9" t="str">
        <f>HYPERLINK("http://www.ncbi.nlm.nih.gov/gene/3565082", "3565082")</f>
        <v>3565082</v>
      </c>
      <c r="C3845" s="9"/>
      <c r="D3845" t="str">
        <f>"F52E1.5"</f>
        <v>F52E1.5</v>
      </c>
      <c r="F3845" t="s">
        <v>11</v>
      </c>
      <c r="G3845" t="s">
        <v>264</v>
      </c>
      <c r="H3845" s="12">
        <v>2.2696953307813899</v>
      </c>
      <c r="I3845" s="11">
        <v>2.5974555131101802</v>
      </c>
      <c r="J3845" s="10">
        <v>9.3917285003889007E-3</v>
      </c>
      <c r="K3845" s="29">
        <v>0.18886447234985701</v>
      </c>
    </row>
    <row r="3846" spans="1:11" x14ac:dyDescent="0.35">
      <c r="A3846" s="9" t="str">
        <f>HYPERLINK("http://www.ensembl.org/id/WBGene00012859", "WBGene00012859")</f>
        <v>WBGene00012859</v>
      </c>
      <c r="B3846" s="9" t="str">
        <f>HYPERLINK("http://www.ncbi.nlm.nih.gov/gene/176475", "176475")</f>
        <v>176475</v>
      </c>
      <c r="C3846" s="9"/>
      <c r="D3846" t="str">
        <f>"Y45F3A.1"</f>
        <v>Y45F3A.1</v>
      </c>
      <c r="F3846" t="s">
        <v>11</v>
      </c>
      <c r="H3846" s="12">
        <v>2.2696687554273498</v>
      </c>
      <c r="I3846" s="11">
        <v>2.8626926331839102</v>
      </c>
      <c r="J3846" s="10">
        <v>4.2005783326879102E-3</v>
      </c>
      <c r="K3846" s="29">
        <v>0.10859516037274899</v>
      </c>
    </row>
    <row r="3847" spans="1:11" x14ac:dyDescent="0.35">
      <c r="A3847" s="9" t="str">
        <f>HYPERLINK("http://www.ensembl.org/id/WBGene00016180", "WBGene00016180")</f>
        <v>WBGene00016180</v>
      </c>
      <c r="B3847" s="9" t="str">
        <f>HYPERLINK("http://www.ncbi.nlm.nih.gov/gene/182978", "182978")</f>
        <v>182978</v>
      </c>
      <c r="C3847" s="9"/>
      <c r="D3847" t="str">
        <f>"C28C12.4"</f>
        <v>C28C12.4</v>
      </c>
      <c r="F3847" t="s">
        <v>11</v>
      </c>
      <c r="H3847" s="12">
        <v>2.2688884424064599</v>
      </c>
      <c r="I3847" s="11">
        <v>2.7091152151213498</v>
      </c>
      <c r="J3847" s="10">
        <v>6.7462907860161804E-3</v>
      </c>
      <c r="K3847" s="29">
        <v>0.14595486414015901</v>
      </c>
    </row>
    <row r="3848" spans="1:11" x14ac:dyDescent="0.35">
      <c r="A3848" s="9" t="str">
        <f>HYPERLINK("http://www.ensembl.org/id/WBGene00271798", "WBGene00271798")</f>
        <v>WBGene00271798</v>
      </c>
      <c r="B3848" s="9" t="str">
        <f>HYPERLINK("http://www.ncbi.nlm.nih.gov/gene/34700630", "34700630")</f>
        <v>34700630</v>
      </c>
      <c r="C3848" s="9"/>
      <c r="D3848" t="str">
        <f>"F54D5.24"</f>
        <v>F54D5.24</v>
      </c>
      <c r="F3848" t="s">
        <v>11</v>
      </c>
      <c r="H3848" s="12">
        <v>2.2677785785868401</v>
      </c>
      <c r="I3848" s="11">
        <v>1.22109417488413</v>
      </c>
      <c r="J3848" s="10">
        <v>0.22205036497714201</v>
      </c>
      <c r="K3848" s="29">
        <v>0.97458737510585802</v>
      </c>
    </row>
    <row r="3849" spans="1:11" x14ac:dyDescent="0.35">
      <c r="A3849" s="9" t="str">
        <f>HYPERLINK("http://www.ensembl.org/id/WBGene00220121", "WBGene00220121")</f>
        <v>WBGene00220121</v>
      </c>
      <c r="B3849" s="9"/>
      <c r="C3849" s="9"/>
      <c r="D3849" t="str">
        <f>"W06A7.12"</f>
        <v>W06A7.12</v>
      </c>
      <c r="F3849" t="s">
        <v>2977</v>
      </c>
      <c r="H3849" s="12">
        <v>2.2669032084051701</v>
      </c>
      <c r="I3849" s="11">
        <v>0.455891490519651</v>
      </c>
      <c r="J3849" s="10">
        <v>0.64846800896166701</v>
      </c>
      <c r="K3849" s="29">
        <v>0.98289565623980701</v>
      </c>
    </row>
    <row r="3850" spans="1:11" x14ac:dyDescent="0.35">
      <c r="A3850" s="9" t="str">
        <f>HYPERLINK("http://www.ensembl.org/id/WBGene00006598", "WBGene00006598")</f>
        <v>WBGene00006598</v>
      </c>
      <c r="B3850" s="9" t="str">
        <f>HYPERLINK("http://www.ncbi.nlm.nih.gov/gene/189606", "189606")</f>
        <v>189606</v>
      </c>
      <c r="C3850" s="9" t="str">
        <f>HYPERLINK("http://www.ncbi.nlm.nih.gov/gene/27348", "27348")</f>
        <v>27348</v>
      </c>
      <c r="D3850" t="str">
        <f>"tor-2"</f>
        <v>tor-2</v>
      </c>
      <c r="E3850" t="s">
        <v>4419</v>
      </c>
      <c r="F3850" t="s">
        <v>11</v>
      </c>
      <c r="G3850" t="s">
        <v>4420</v>
      </c>
      <c r="H3850" s="12">
        <v>2.2665516489420501</v>
      </c>
      <c r="I3850" s="11">
        <v>0.58772179698624805</v>
      </c>
      <c r="J3850" s="10">
        <v>0.55671904258475502</v>
      </c>
      <c r="K3850" s="29">
        <v>0.98289565623980701</v>
      </c>
    </row>
    <row r="3851" spans="1:11" x14ac:dyDescent="0.35">
      <c r="A3851" s="9" t="str">
        <f>HYPERLINK("http://www.ensembl.org/id/WBGene00011188", "WBGene00011188")</f>
        <v>WBGene00011188</v>
      </c>
      <c r="B3851" s="9" t="str">
        <f>HYPERLINK("http://www.ncbi.nlm.nih.gov/gene/187764", "187764")</f>
        <v>187764</v>
      </c>
      <c r="C3851" s="9"/>
      <c r="D3851" t="str">
        <f>"R10D12.7"</f>
        <v>R10D12.7</v>
      </c>
      <c r="F3851" t="s">
        <v>11</v>
      </c>
      <c r="G3851" t="s">
        <v>25</v>
      </c>
      <c r="H3851" s="12">
        <v>2.26634394182939</v>
      </c>
      <c r="I3851" s="11">
        <v>0.66787598730418896</v>
      </c>
      <c r="J3851" s="10">
        <v>0.50421275651950703</v>
      </c>
      <c r="K3851" s="29">
        <v>0.98289565623980701</v>
      </c>
    </row>
    <row r="3852" spans="1:11" x14ac:dyDescent="0.35">
      <c r="A3852" s="9" t="str">
        <f>HYPERLINK("http://www.ensembl.org/id/WBGene00009095", "WBGene00009095")</f>
        <v>WBGene00009095</v>
      </c>
      <c r="B3852" s="9" t="str">
        <f>HYPERLINK("http://www.ncbi.nlm.nih.gov/gene/184912", "184912")</f>
        <v>184912</v>
      </c>
      <c r="C3852" s="9"/>
      <c r="D3852" t="str">
        <f>"F23H12.7"</f>
        <v>F23H12.7</v>
      </c>
      <c r="F3852" t="s">
        <v>11</v>
      </c>
      <c r="G3852" t="s">
        <v>25</v>
      </c>
      <c r="H3852" s="12">
        <v>2.2661030358356999</v>
      </c>
      <c r="I3852" s="11">
        <v>1.33238430159787</v>
      </c>
      <c r="J3852" s="10">
        <v>0.18273393797635701</v>
      </c>
      <c r="K3852" s="29">
        <v>0.92020775959116397</v>
      </c>
    </row>
    <row r="3853" spans="1:11" x14ac:dyDescent="0.35">
      <c r="A3853" s="9" t="str">
        <f>HYPERLINK("http://www.ensembl.org/id/WBGene00020148", "WBGene00020148")</f>
        <v>WBGene00020148</v>
      </c>
      <c r="B3853" s="9" t="str">
        <f>HYPERLINK("http://www.ncbi.nlm.nih.gov/gene/173402", "173402")</f>
        <v>173402</v>
      </c>
      <c r="C3853" s="9"/>
      <c r="D3853" t="str">
        <f>"T01D1.3"</f>
        <v>T01D1.3</v>
      </c>
      <c r="F3853" t="s">
        <v>11</v>
      </c>
      <c r="G3853" t="s">
        <v>3948</v>
      </c>
      <c r="H3853" s="12">
        <v>2.2660123133471899</v>
      </c>
      <c r="I3853" s="11">
        <v>1.2630853618581599</v>
      </c>
      <c r="J3853" s="10">
        <v>0.206558504052828</v>
      </c>
      <c r="K3853" s="29">
        <v>0.95569499292043303</v>
      </c>
    </row>
    <row r="3854" spans="1:11" x14ac:dyDescent="0.35">
      <c r="A3854" s="9" t="str">
        <f>HYPERLINK("http://www.ensembl.org/id/WBGene00001760", "WBGene00001760")</f>
        <v>WBGene00001760</v>
      </c>
      <c r="B3854" s="9" t="str">
        <f>HYPERLINK("http://www.ncbi.nlm.nih.gov/gene/185408", "185408")</f>
        <v>185408</v>
      </c>
      <c r="C3854" s="9" t="str">
        <f>HYPERLINK("http://www.ncbi.nlm.nih.gov/gene/27306", "27306")</f>
        <v>27306</v>
      </c>
      <c r="D3854" t="str">
        <f>"gst-12"</f>
        <v>gst-12</v>
      </c>
      <c r="E3854" t="s">
        <v>272</v>
      </c>
      <c r="F3854" t="s">
        <v>11</v>
      </c>
      <c r="G3854" t="s">
        <v>876</v>
      </c>
      <c r="H3854" s="12">
        <v>2.2658052423047699</v>
      </c>
      <c r="I3854" s="11">
        <v>2.38280011253782</v>
      </c>
      <c r="J3854" s="10">
        <v>1.7181520802903898E-2</v>
      </c>
      <c r="K3854" s="29">
        <v>0.273790496325447</v>
      </c>
    </row>
    <row r="3855" spans="1:11" x14ac:dyDescent="0.35">
      <c r="A3855" s="9" t="str">
        <f>HYPERLINK("http://www.ensembl.org/id/WBGene00219932", "WBGene00219932")</f>
        <v>WBGene00219932</v>
      </c>
      <c r="B3855" s="9"/>
      <c r="C3855" s="9"/>
      <c r="D3855" t="str">
        <f>"F33E11.7"</f>
        <v>F33E11.7</v>
      </c>
      <c r="F3855" t="s">
        <v>2977</v>
      </c>
      <c r="H3855" s="12">
        <v>2.26577042034218</v>
      </c>
      <c r="I3855" s="11">
        <v>0.60498938697432203</v>
      </c>
      <c r="J3855" s="10">
        <v>0.54518604848844898</v>
      </c>
      <c r="K3855" s="29">
        <v>0.98289565623980701</v>
      </c>
    </row>
    <row r="3856" spans="1:11" x14ac:dyDescent="0.35">
      <c r="A3856" s="9" t="str">
        <f>HYPERLINK("http://www.ensembl.org/id/WBGene00219303", "WBGene00219303")</f>
        <v>WBGene00219303</v>
      </c>
      <c r="B3856" s="9"/>
      <c r="C3856" s="9"/>
      <c r="D3856" t="str">
        <f>"Y13C8A.4"</f>
        <v>Y13C8A.4</v>
      </c>
      <c r="F3856" t="s">
        <v>80</v>
      </c>
      <c r="H3856" s="12">
        <v>2.2656543852022502</v>
      </c>
      <c r="I3856" s="11">
        <v>1.24961131211179</v>
      </c>
      <c r="J3856" s="10">
        <v>0.211441568803172</v>
      </c>
      <c r="K3856" s="29">
        <v>0.96324307743811</v>
      </c>
    </row>
    <row r="3857" spans="1:11" x14ac:dyDescent="0.35">
      <c r="A3857" s="9" t="str">
        <f>HYPERLINK("http://www.ensembl.org/id/WBGene00021620", "WBGene00021620")</f>
        <v>WBGene00021620</v>
      </c>
      <c r="B3857" s="9" t="str">
        <f>HYPERLINK("http://www.ncbi.nlm.nih.gov/gene/189984", "189984")</f>
        <v>189984</v>
      </c>
      <c r="C3857" s="9"/>
      <c r="D3857" t="str">
        <f>"Y47D7A.7"</f>
        <v>Y47D7A.7</v>
      </c>
      <c r="F3857" t="s">
        <v>11</v>
      </c>
      <c r="H3857" s="12">
        <v>2.2645647615582898</v>
      </c>
      <c r="I3857" s="11">
        <v>0.66764066043504899</v>
      </c>
      <c r="J3857" s="10">
        <v>0.50436299644758298</v>
      </c>
      <c r="K3857" s="29">
        <v>0.98289565623980701</v>
      </c>
    </row>
    <row r="3858" spans="1:11" x14ac:dyDescent="0.35">
      <c r="A3858" s="9" t="str">
        <f>HYPERLINK("http://www.ensembl.org/id/WBGene00001954", "WBGene00001954")</f>
        <v>WBGene00001954</v>
      </c>
      <c r="B3858" s="9" t="str">
        <f>HYPERLINK("http://www.ncbi.nlm.nih.gov/gene/191402", "191402")</f>
        <v>191402</v>
      </c>
      <c r="C3858" s="9"/>
      <c r="D3858" t="str">
        <f>"hlh-10"</f>
        <v>hlh-10</v>
      </c>
      <c r="E3858" t="s">
        <v>1658</v>
      </c>
      <c r="F3858" t="s">
        <v>11</v>
      </c>
      <c r="G3858" t="s">
        <v>2963</v>
      </c>
      <c r="H3858" s="12">
        <v>2.2644609400881301</v>
      </c>
      <c r="I3858" s="11">
        <v>1.51898331998537</v>
      </c>
      <c r="J3858" s="10">
        <v>0.12876669458057899</v>
      </c>
      <c r="K3858" s="29">
        <v>0.80960088298744703</v>
      </c>
    </row>
    <row r="3859" spans="1:11" x14ac:dyDescent="0.35">
      <c r="A3859" s="9" t="str">
        <f>HYPERLINK("http://www.ensembl.org/id/WBGene00010694", "WBGene00010694")</f>
        <v>WBGene00010694</v>
      </c>
      <c r="B3859" s="9" t="str">
        <f>HYPERLINK("http://www.ncbi.nlm.nih.gov/gene/3565692", "3565692")</f>
        <v>3565692</v>
      </c>
      <c r="C3859" s="9"/>
      <c r="D3859" t="str">
        <f>"bgnt-1.5"</f>
        <v>bgnt-1.5</v>
      </c>
      <c r="E3859" t="s">
        <v>4228</v>
      </c>
      <c r="F3859" t="s">
        <v>11</v>
      </c>
      <c r="G3859" t="s">
        <v>4270</v>
      </c>
      <c r="H3859" s="12">
        <v>2.2644156519930001</v>
      </c>
      <c r="I3859" s="11">
        <v>0.95299386935479302</v>
      </c>
      <c r="J3859" s="10">
        <v>0.34059317692419899</v>
      </c>
      <c r="K3859" s="29">
        <v>0.98289565623980701</v>
      </c>
    </row>
    <row r="3860" spans="1:11" x14ac:dyDescent="0.35">
      <c r="A3860" s="9" t="str">
        <f>HYPERLINK("http://www.ensembl.org/id/WBGene00016895", "WBGene00016895")</f>
        <v>WBGene00016895</v>
      </c>
      <c r="B3860" s="9" t="str">
        <f>HYPERLINK("http://www.ncbi.nlm.nih.gov/gene/183745", "183745")</f>
        <v>183745</v>
      </c>
      <c r="C3860" s="9"/>
      <c r="D3860" t="str">
        <f>"C53B7.6"</f>
        <v>C53B7.6</v>
      </c>
      <c r="F3860" t="s">
        <v>11</v>
      </c>
      <c r="H3860" s="12">
        <v>2.2639780517123902</v>
      </c>
      <c r="I3860" s="11">
        <v>1.3367835286245</v>
      </c>
      <c r="J3860" s="10">
        <v>0.18129330726208101</v>
      </c>
      <c r="K3860" s="29">
        <v>0.91702345831822096</v>
      </c>
    </row>
    <row r="3861" spans="1:11" x14ac:dyDescent="0.35">
      <c r="A3861" s="9" t="str">
        <f>HYPERLINK("http://www.ensembl.org/id/WBGene00044505", "WBGene00044505")</f>
        <v>WBGene00044505</v>
      </c>
      <c r="B3861" s="9"/>
      <c r="C3861" s="9"/>
      <c r="D3861" t="str">
        <f>"D2024.10"</f>
        <v>D2024.10</v>
      </c>
      <c r="F3861" t="s">
        <v>80</v>
      </c>
      <c r="H3861" s="12">
        <v>2.2601570097622798</v>
      </c>
      <c r="I3861" s="11">
        <v>0.31681166613803102</v>
      </c>
      <c r="J3861" s="10">
        <v>0.75138651156509595</v>
      </c>
      <c r="K3861" s="29">
        <v>0.98289565623980701</v>
      </c>
    </row>
    <row r="3862" spans="1:11" x14ac:dyDescent="0.35">
      <c r="A3862" s="9" t="str">
        <f>HYPERLINK("http://www.ensembl.org/id/WBGene00014754", "WBGene00014754")</f>
        <v>WBGene00014754</v>
      </c>
      <c r="B3862" s="9"/>
      <c r="C3862" s="9"/>
      <c r="D3862" t="str">
        <f>"F40F9.11"</f>
        <v>F40F9.11</v>
      </c>
      <c r="F3862" t="s">
        <v>80</v>
      </c>
      <c r="H3862" s="12">
        <v>2.2601570097622798</v>
      </c>
      <c r="I3862" s="11">
        <v>0.31681166613803102</v>
      </c>
      <c r="J3862" s="10">
        <v>0.75138651156509595</v>
      </c>
      <c r="K3862" s="29">
        <v>0.98289565623980701</v>
      </c>
    </row>
    <row r="3863" spans="1:11" x14ac:dyDescent="0.35">
      <c r="A3863" s="9" t="str">
        <f>HYPERLINK("http://www.ensembl.org/id/WBGene00195749", "WBGene00195749")</f>
        <v>WBGene00195749</v>
      </c>
      <c r="B3863" s="9"/>
      <c r="C3863" s="9"/>
      <c r="D3863" t="str">
        <f>"K02F2.7"</f>
        <v>K02F2.7</v>
      </c>
      <c r="F3863" t="s">
        <v>481</v>
      </c>
      <c r="H3863" s="12">
        <v>2.2601570097622798</v>
      </c>
      <c r="I3863" s="11">
        <v>0.31681166613803102</v>
      </c>
      <c r="J3863" s="10">
        <v>0.75138651156509595</v>
      </c>
      <c r="K3863" s="29">
        <v>0.98289565623980701</v>
      </c>
    </row>
    <row r="3864" spans="1:11" x14ac:dyDescent="0.35">
      <c r="A3864" s="9" t="str">
        <f>HYPERLINK("http://www.ensembl.org/id/WBGene00044787", "WBGene00044787")</f>
        <v>WBGene00044787</v>
      </c>
      <c r="B3864" s="9"/>
      <c r="C3864" s="9"/>
      <c r="D3864" t="str">
        <f>"pals-36"</f>
        <v>pals-36</v>
      </c>
      <c r="F3864" t="s">
        <v>80</v>
      </c>
      <c r="H3864" s="12">
        <v>2.2601570097622798</v>
      </c>
      <c r="I3864" s="11">
        <v>0.31681166613803102</v>
      </c>
      <c r="J3864" s="10">
        <v>0.75138651156509595</v>
      </c>
      <c r="K3864" s="29">
        <v>0.98289565623980701</v>
      </c>
    </row>
    <row r="3865" spans="1:11" x14ac:dyDescent="0.35">
      <c r="A3865" s="9" t="str">
        <f>HYPERLINK("http://www.ensembl.org/id/WBGene00012181", "WBGene00012181")</f>
        <v>WBGene00012181</v>
      </c>
      <c r="B3865" s="9" t="str">
        <f>HYPERLINK("http://www.ncbi.nlm.nih.gov/gene/189093", "189093")</f>
        <v>189093</v>
      </c>
      <c r="C3865" s="9"/>
      <c r="D3865" t="str">
        <f>"srt-11"</f>
        <v>srt-11</v>
      </c>
      <c r="E3865" t="s">
        <v>2845</v>
      </c>
      <c r="F3865" t="s">
        <v>11</v>
      </c>
      <c r="G3865" t="s">
        <v>25</v>
      </c>
      <c r="H3865" s="12">
        <v>2.2601570097622798</v>
      </c>
      <c r="I3865" s="11">
        <v>0.31681166613803102</v>
      </c>
      <c r="J3865" s="10">
        <v>0.75138651156509595</v>
      </c>
      <c r="K3865" s="29">
        <v>0.98289565623980701</v>
      </c>
    </row>
    <row r="3866" spans="1:11" x14ac:dyDescent="0.35">
      <c r="A3866" s="9" t="str">
        <f>HYPERLINK("http://www.ensembl.org/id/WBGene00021773", "WBGene00021773")</f>
        <v>WBGene00021773</v>
      </c>
      <c r="B3866" s="9" t="str">
        <f>HYPERLINK("http://www.ncbi.nlm.nih.gov/gene/190167", "190167")</f>
        <v>190167</v>
      </c>
      <c r="C3866" s="9"/>
      <c r="D3866" t="str">
        <f>"fbxb-42"</f>
        <v>fbxb-42</v>
      </c>
      <c r="E3866" t="s">
        <v>1436</v>
      </c>
      <c r="F3866" t="s">
        <v>11</v>
      </c>
      <c r="G3866" t="s">
        <v>54</v>
      </c>
      <c r="H3866" s="12">
        <v>2.2589859012396398</v>
      </c>
      <c r="I3866" s="11">
        <v>1.8156173739381301</v>
      </c>
      <c r="J3866" s="10">
        <v>6.9429086602742898E-2</v>
      </c>
      <c r="K3866" s="29">
        <v>0.623970624287428</v>
      </c>
    </row>
    <row r="3867" spans="1:11" x14ac:dyDescent="0.35">
      <c r="A3867" s="9" t="str">
        <f>HYPERLINK("http://www.ensembl.org/id/WBGene00022230", "WBGene00022230")</f>
        <v>WBGene00022230</v>
      </c>
      <c r="B3867" s="9" t="str">
        <f>HYPERLINK("http://www.ncbi.nlm.nih.gov/gene/190645", "190645")</f>
        <v>190645</v>
      </c>
      <c r="C3867" s="9"/>
      <c r="D3867" t="str">
        <f>"Y73B6A.3"</f>
        <v>Y73B6A.3</v>
      </c>
      <c r="F3867" t="s">
        <v>11</v>
      </c>
      <c r="H3867" s="12">
        <v>2.2583143811966502</v>
      </c>
      <c r="I3867" s="11">
        <v>1.5517506349172301</v>
      </c>
      <c r="J3867" s="10">
        <v>0.12072190189017901</v>
      </c>
      <c r="K3867" s="29">
        <v>0.79109480007784205</v>
      </c>
    </row>
    <row r="3868" spans="1:11" x14ac:dyDescent="0.35">
      <c r="A3868" s="9" t="str">
        <f>HYPERLINK("http://www.ensembl.org/id/WBGene00006157", "WBGene00006157")</f>
        <v>WBGene00006157</v>
      </c>
      <c r="B3868" s="9" t="str">
        <f>HYPERLINK("http://www.ncbi.nlm.nih.gov/gene/187720", "187720")</f>
        <v>187720</v>
      </c>
      <c r="C3868" s="9"/>
      <c r="D3868" t="str">
        <f>"str-102"</f>
        <v>str-102</v>
      </c>
      <c r="E3868" t="s">
        <v>590</v>
      </c>
      <c r="F3868" t="s">
        <v>11</v>
      </c>
      <c r="G3868" t="s">
        <v>591</v>
      </c>
      <c r="H3868" s="12">
        <v>2.25772621433648</v>
      </c>
      <c r="I3868" s="11">
        <v>1.3194359052332001</v>
      </c>
      <c r="J3868" s="10">
        <v>0.18702342473582401</v>
      </c>
      <c r="K3868" s="29">
        <v>0.92558703629806605</v>
      </c>
    </row>
    <row r="3869" spans="1:11" x14ac:dyDescent="0.35">
      <c r="A3869" s="9" t="str">
        <f>HYPERLINK("http://www.ensembl.org/id/WBGene00016319", "WBGene00016319")</f>
        <v>WBGene00016319</v>
      </c>
      <c r="B3869" s="9" t="str">
        <f>HYPERLINK("http://www.ncbi.nlm.nih.gov/gene/174053", "174053")</f>
        <v>174053</v>
      </c>
      <c r="C3869" s="9"/>
      <c r="D3869" t="str">
        <f>"C32D5.12"</f>
        <v>C32D5.12</v>
      </c>
      <c r="F3869" t="s">
        <v>11</v>
      </c>
      <c r="G3869" t="s">
        <v>385</v>
      </c>
      <c r="H3869" s="12">
        <v>2.2567216036456799</v>
      </c>
      <c r="I3869" s="11">
        <v>3.74149288432241</v>
      </c>
      <c r="J3869" s="10">
        <v>1.8293035794835199E-4</v>
      </c>
      <c r="K3869" s="29">
        <v>1.06200724893332E-2</v>
      </c>
    </row>
    <row r="3870" spans="1:11" x14ac:dyDescent="0.35">
      <c r="A3870" s="9" t="str">
        <f>HYPERLINK("http://www.ensembl.org/id/WBGene00022725", "WBGene00022725")</f>
        <v>WBGene00022725</v>
      </c>
      <c r="B3870" s="9" t="str">
        <f>HYPERLINK("http://www.ncbi.nlm.nih.gov/gene/191306", "191306")</f>
        <v>191306</v>
      </c>
      <c r="C3870" s="9"/>
      <c r="D3870" t="str">
        <f>"ZK381.2"</f>
        <v>ZK381.2</v>
      </c>
      <c r="E3870" t="s">
        <v>4421</v>
      </c>
      <c r="F3870" t="s">
        <v>11</v>
      </c>
      <c r="G3870" t="s">
        <v>1686</v>
      </c>
      <c r="H3870" s="12">
        <v>2.25637182009056</v>
      </c>
      <c r="I3870" s="11">
        <v>0.91308621759225805</v>
      </c>
      <c r="J3870" s="10">
        <v>0.36119719839432601</v>
      </c>
      <c r="K3870" s="29">
        <v>0.98289565623980701</v>
      </c>
    </row>
    <row r="3871" spans="1:11" x14ac:dyDescent="0.35">
      <c r="A3871" s="9" t="str">
        <f>HYPERLINK("http://www.ensembl.org/id/WBGene00017755", "WBGene00017755")</f>
        <v>WBGene00017755</v>
      </c>
      <c r="B3871" s="9" t="str">
        <f>HYPERLINK("http://www.ncbi.nlm.nih.gov/gene/175924", "175924")</f>
        <v>175924</v>
      </c>
      <c r="C3871" s="9"/>
      <c r="D3871" t="str">
        <f>"zip-8"</f>
        <v>zip-8</v>
      </c>
      <c r="E3871" t="s">
        <v>364</v>
      </c>
      <c r="F3871" t="s">
        <v>11</v>
      </c>
      <c r="G3871" t="s">
        <v>365</v>
      </c>
      <c r="H3871" s="12">
        <v>2.2562604139220599</v>
      </c>
      <c r="I3871" s="11">
        <v>3.8035281086207098</v>
      </c>
      <c r="J3871" s="10">
        <v>1.4264979893483301E-4</v>
      </c>
      <c r="K3871" s="29">
        <v>8.6840545095302497E-3</v>
      </c>
    </row>
    <row r="3872" spans="1:11" x14ac:dyDescent="0.35">
      <c r="A3872" s="9" t="str">
        <f>HYPERLINK("http://www.ensembl.org/id/WBGene00045379", "WBGene00045379")</f>
        <v>WBGene00045379</v>
      </c>
      <c r="B3872" s="9" t="str">
        <f>HYPERLINK("http://www.ncbi.nlm.nih.gov/gene/6418708", "6418708")</f>
        <v>6418708</v>
      </c>
      <c r="C3872" s="9"/>
      <c r="D3872" t="str">
        <f>"C45B11.6"</f>
        <v>C45B11.6</v>
      </c>
      <c r="E3872" t="s">
        <v>1302</v>
      </c>
      <c r="F3872" t="s">
        <v>11</v>
      </c>
      <c r="G3872" t="s">
        <v>1303</v>
      </c>
      <c r="H3872" s="12">
        <v>2.2558614201037699</v>
      </c>
      <c r="I3872" s="11">
        <v>2.3090316795755901</v>
      </c>
      <c r="J3872" s="10">
        <v>2.0941823371068698E-2</v>
      </c>
      <c r="K3872" s="29">
        <v>0.310578800264385</v>
      </c>
    </row>
    <row r="3873" spans="1:11" x14ac:dyDescent="0.35">
      <c r="A3873" s="9" t="str">
        <f>HYPERLINK("http://www.ensembl.org/id/WBGene00219675", "WBGene00219675")</f>
        <v>WBGene00219675</v>
      </c>
      <c r="B3873" s="9"/>
      <c r="C3873" s="9"/>
      <c r="D3873" t="str">
        <f>"linc-44"</f>
        <v>linc-44</v>
      </c>
      <c r="F3873" t="s">
        <v>1510</v>
      </c>
      <c r="H3873" s="12">
        <v>2.2558258558037001</v>
      </c>
      <c r="I3873" s="11">
        <v>0.594752472771929</v>
      </c>
      <c r="J3873" s="10">
        <v>0.55200894106014198</v>
      </c>
      <c r="K3873" s="29">
        <v>0.98289565623980701</v>
      </c>
    </row>
    <row r="3874" spans="1:11" x14ac:dyDescent="0.35">
      <c r="A3874" s="9" t="str">
        <f>HYPERLINK("http://www.ensembl.org/id/WBGene00001547", "WBGene00001547")</f>
        <v>WBGene00001547</v>
      </c>
      <c r="B3874" s="9" t="str">
        <f>HYPERLINK("http://www.ncbi.nlm.nih.gov/gene/180365", "180365")</f>
        <v>180365</v>
      </c>
      <c r="C3874" s="9"/>
      <c r="D3874" t="str">
        <f>"gcy-22"</f>
        <v>gcy-22</v>
      </c>
      <c r="E3874" t="s">
        <v>2407</v>
      </c>
      <c r="F3874" t="s">
        <v>11</v>
      </c>
      <c r="G3874" t="s">
        <v>2408</v>
      </c>
      <c r="H3874" s="12">
        <v>2.25537627954423</v>
      </c>
      <c r="I3874" s="11">
        <v>1.69267718319815</v>
      </c>
      <c r="J3874" s="10">
        <v>9.0516930639644E-2</v>
      </c>
      <c r="K3874" s="29">
        <v>0.69800596537680504</v>
      </c>
    </row>
    <row r="3875" spans="1:11" x14ac:dyDescent="0.35">
      <c r="A3875" s="9" t="str">
        <f>HYPERLINK("http://www.ensembl.org/id/WBGene00019901", "WBGene00019901")</f>
        <v>WBGene00019901</v>
      </c>
      <c r="B3875" s="9" t="str">
        <f>HYPERLINK("http://www.ncbi.nlm.nih.gov/gene/187624", "187624")</f>
        <v>187624</v>
      </c>
      <c r="C3875" s="9"/>
      <c r="D3875" t="str">
        <f>"R05G6.9"</f>
        <v>R05G6.9</v>
      </c>
      <c r="F3875" t="s">
        <v>11</v>
      </c>
      <c r="G3875" t="s">
        <v>325</v>
      </c>
      <c r="H3875" s="12">
        <v>2.2551812683408499</v>
      </c>
      <c r="I3875" s="11">
        <v>0.68720628917045901</v>
      </c>
      <c r="J3875" s="10">
        <v>0.491952741716289</v>
      </c>
      <c r="K3875" s="29">
        <v>0.98289565623980701</v>
      </c>
    </row>
    <row r="3876" spans="1:11" x14ac:dyDescent="0.35">
      <c r="A3876" s="9" t="str">
        <f>HYPERLINK("http://www.ensembl.org/id/WBGene00011322", "WBGene00011322")</f>
        <v>WBGene00011322</v>
      </c>
      <c r="B3876" s="9" t="str">
        <f>HYPERLINK("http://www.ncbi.nlm.nih.gov/gene/187941", "187941")</f>
        <v>187941</v>
      </c>
      <c r="C3876" s="9"/>
      <c r="D3876" t="str">
        <f>"irld-14"</f>
        <v>irld-14</v>
      </c>
      <c r="E3876" t="s">
        <v>1627</v>
      </c>
      <c r="F3876" t="s">
        <v>11</v>
      </c>
      <c r="G3876" t="s">
        <v>25</v>
      </c>
      <c r="H3876" s="12">
        <v>2.2549662612471</v>
      </c>
      <c r="I3876" s="11">
        <v>0.55432155842540298</v>
      </c>
      <c r="J3876" s="10">
        <v>0.57935879881061703</v>
      </c>
      <c r="K3876" s="29">
        <v>0.98289565623980701</v>
      </c>
    </row>
    <row r="3877" spans="1:11" x14ac:dyDescent="0.35">
      <c r="A3877" s="9" t="str">
        <f>HYPERLINK("http://www.ensembl.org/id/WBGene00007071", "WBGene00007071")</f>
        <v>WBGene00007071</v>
      </c>
      <c r="B3877" s="9" t="str">
        <f>HYPERLINK("http://www.ncbi.nlm.nih.gov/gene/179447", "179447")</f>
        <v>179447</v>
      </c>
      <c r="C3877" s="9"/>
      <c r="D3877" t="str">
        <f>"AC3.5"</f>
        <v>AC3.5</v>
      </c>
      <c r="E3877" t="s">
        <v>414</v>
      </c>
      <c r="F3877" t="s">
        <v>11</v>
      </c>
      <c r="G3877" t="s">
        <v>415</v>
      </c>
      <c r="H3877" s="12">
        <v>2.2538655927722702</v>
      </c>
      <c r="I3877" s="11">
        <v>3.6476286667057498</v>
      </c>
      <c r="J3877" s="10">
        <v>2.6467177919959299E-4</v>
      </c>
      <c r="K3877" s="29">
        <v>1.3994293204086501E-2</v>
      </c>
    </row>
    <row r="3878" spans="1:11" x14ac:dyDescent="0.35">
      <c r="A3878" s="9" t="str">
        <f>HYPERLINK("http://www.ensembl.org/id/WBGene00008579", "WBGene00008579")</f>
        <v>WBGene00008579</v>
      </c>
      <c r="B3878" s="9" t="str">
        <f>HYPERLINK("http://www.ncbi.nlm.nih.gov/gene/184202", "184202")</f>
        <v>184202</v>
      </c>
      <c r="C3878" s="9"/>
      <c r="D3878" t="str">
        <f>"F08G2.8"</f>
        <v>F08G2.8</v>
      </c>
      <c r="F3878" t="s">
        <v>11</v>
      </c>
      <c r="H3878" s="12">
        <v>2.25340932820315</v>
      </c>
      <c r="I3878" s="11">
        <v>2.5268310046681899</v>
      </c>
      <c r="J3878" s="10">
        <v>1.1509687140270701E-2</v>
      </c>
      <c r="K3878" s="29">
        <v>0.21309521719799299</v>
      </c>
    </row>
    <row r="3879" spans="1:11" x14ac:dyDescent="0.35">
      <c r="A3879" s="9" t="str">
        <f>HYPERLINK("http://www.ensembl.org/id/WBGene00009985", "WBGene00009985")</f>
        <v>WBGene00009985</v>
      </c>
      <c r="B3879" s="9" t="str">
        <f>HYPERLINK("http://www.ncbi.nlm.nih.gov/gene/186174", "186174")</f>
        <v>186174</v>
      </c>
      <c r="C3879" s="9"/>
      <c r="D3879" t="str">
        <f>"F53F4.1"</f>
        <v>F53F4.1</v>
      </c>
      <c r="F3879" t="s">
        <v>11</v>
      </c>
      <c r="H3879" s="12">
        <v>2.2516991148929102</v>
      </c>
      <c r="I3879" s="11">
        <v>1.8615944819851</v>
      </c>
      <c r="J3879" s="10">
        <v>6.2660271678577406E-2</v>
      </c>
      <c r="K3879" s="29">
        <v>0.59191669558675797</v>
      </c>
    </row>
    <row r="3880" spans="1:11" x14ac:dyDescent="0.35">
      <c r="A3880" s="9" t="str">
        <f>HYPERLINK("http://www.ensembl.org/id/WBGene00169917", "WBGene00169917")</f>
        <v>WBGene00169917</v>
      </c>
      <c r="B3880" s="9"/>
      <c r="C3880" s="9"/>
      <c r="D3880" t="str">
        <f>"21ur-9322"</f>
        <v>21ur-9322</v>
      </c>
      <c r="F3880" t="s">
        <v>3161</v>
      </c>
      <c r="H3880" s="12">
        <v>2.25121680441511</v>
      </c>
      <c r="I3880" s="11">
        <v>0.41503336635807703</v>
      </c>
      <c r="J3880" s="10">
        <v>0.67811747738662997</v>
      </c>
      <c r="K3880" s="29">
        <v>0.98289565623980701</v>
      </c>
    </row>
    <row r="3881" spans="1:11" x14ac:dyDescent="0.35">
      <c r="A3881" s="9" t="str">
        <f>HYPERLINK("http://www.ensembl.org/id/WBGene00016882", "WBGene00016882")</f>
        <v>WBGene00016882</v>
      </c>
      <c r="B3881" s="9" t="str">
        <f>HYPERLINK("http://www.ncbi.nlm.nih.gov/gene/183725", "183725")</f>
        <v>183725</v>
      </c>
      <c r="C3881" s="9"/>
      <c r="D3881" t="str">
        <f>"C52E2.3"</f>
        <v>C52E2.3</v>
      </c>
      <c r="F3881" t="s">
        <v>11</v>
      </c>
      <c r="H3881" s="12">
        <v>2.25078876948769</v>
      </c>
      <c r="I3881" s="11">
        <v>0.43435377400469499</v>
      </c>
      <c r="J3881" s="10">
        <v>0.66403156025291799</v>
      </c>
      <c r="K3881" s="29">
        <v>0.98289565623980701</v>
      </c>
    </row>
    <row r="3882" spans="1:11" x14ac:dyDescent="0.35">
      <c r="A3882" s="9" t="str">
        <f>HYPERLINK("http://www.ensembl.org/id/WBGene00018988", "WBGene00018988")</f>
        <v>WBGene00018988</v>
      </c>
      <c r="B3882" s="9" t="str">
        <f>HYPERLINK("http://www.ncbi.nlm.nih.gov/gene/186406", "186406")</f>
        <v>186406</v>
      </c>
      <c r="C3882" s="9"/>
      <c r="D3882" t="str">
        <f>"F56F11.1"</f>
        <v>F56F11.1</v>
      </c>
      <c r="F3882" t="s">
        <v>11</v>
      </c>
      <c r="H3882" s="12">
        <v>2.2503045454396999</v>
      </c>
      <c r="I3882" s="11">
        <v>1.7819550853514701</v>
      </c>
      <c r="J3882" s="10">
        <v>7.4756556422402004E-2</v>
      </c>
      <c r="K3882" s="29">
        <v>0.64426946044515199</v>
      </c>
    </row>
    <row r="3883" spans="1:11" x14ac:dyDescent="0.35">
      <c r="A3883" s="9" t="str">
        <f>HYPERLINK("http://www.ensembl.org/id/WBGene00016807", "WBGene00016807")</f>
        <v>WBGene00016807</v>
      </c>
      <c r="B3883" s="9" t="str">
        <f>HYPERLINK("http://www.ncbi.nlm.nih.gov/gene/183651", "183651")</f>
        <v>183651</v>
      </c>
      <c r="C3883" s="9"/>
      <c r="D3883" t="str">
        <f>"C50D2.3"</f>
        <v>C50D2.3</v>
      </c>
      <c r="F3883" t="s">
        <v>11</v>
      </c>
      <c r="G3883" t="s">
        <v>54</v>
      </c>
      <c r="H3883" s="12">
        <v>2.2495991218070102</v>
      </c>
      <c r="I3883" s="11">
        <v>0.444125434205421</v>
      </c>
      <c r="J3883" s="10">
        <v>0.65695189871255599</v>
      </c>
      <c r="K3883" s="29">
        <v>0.98289565623980701</v>
      </c>
    </row>
    <row r="3884" spans="1:11" x14ac:dyDescent="0.35">
      <c r="A3884" s="9" t="str">
        <f>HYPERLINK("http://www.ensembl.org/id/WBGene00009400", "WBGene00009400")</f>
        <v>WBGene00009400</v>
      </c>
      <c r="B3884" s="9" t="str">
        <f>HYPERLINK("http://www.ncbi.nlm.nih.gov/gene/174930", "174930")</f>
        <v>174930</v>
      </c>
      <c r="C3884" s="9"/>
      <c r="D3884" t="str">
        <f>"F35C5.12"</f>
        <v>F35C5.12</v>
      </c>
      <c r="F3884" t="s">
        <v>11</v>
      </c>
      <c r="G3884" t="s">
        <v>315</v>
      </c>
      <c r="H3884" s="12">
        <v>2.2489139401396199</v>
      </c>
      <c r="I3884" s="11">
        <v>3.9995506852277098</v>
      </c>
      <c r="J3884" s="10">
        <v>6.3462855594391299E-5</v>
      </c>
      <c r="K3884" s="29">
        <v>4.5967797534921797E-3</v>
      </c>
    </row>
    <row r="3885" spans="1:11" x14ac:dyDescent="0.35">
      <c r="A3885" s="9" t="str">
        <f>HYPERLINK("http://www.ensembl.org/id/WBGene00045482", "WBGene00045482")</f>
        <v>WBGene00045482</v>
      </c>
      <c r="B3885" s="9" t="str">
        <f>HYPERLINK("http://www.ncbi.nlm.nih.gov/gene/6418656", "6418656")</f>
        <v>6418656</v>
      </c>
      <c r="C3885" s="9"/>
      <c r="D3885" t="str">
        <f>"T03F6.9"</f>
        <v>T03F6.9</v>
      </c>
      <c r="F3885" t="s">
        <v>11</v>
      </c>
      <c r="G3885" t="s">
        <v>25</v>
      </c>
      <c r="H3885" s="12">
        <v>2.24866414175498</v>
      </c>
      <c r="I3885" s="11">
        <v>0.84194576436605995</v>
      </c>
      <c r="J3885" s="10">
        <v>0.39981831228852299</v>
      </c>
      <c r="K3885" s="29">
        <v>0.98289565623980701</v>
      </c>
    </row>
    <row r="3886" spans="1:11" x14ac:dyDescent="0.35">
      <c r="A3886" s="9" t="str">
        <f>HYPERLINK("http://www.ensembl.org/id/WBGene00021135", "WBGene00021135")</f>
        <v>WBGene00021135</v>
      </c>
      <c r="B3886" s="9" t="str">
        <f>HYPERLINK("http://www.ncbi.nlm.nih.gov/gene/189336", "189336")</f>
        <v>189336</v>
      </c>
      <c r="C3886" s="9"/>
      <c r="D3886" t="str">
        <f>"W10G11.2"</f>
        <v>W10G11.2</v>
      </c>
      <c r="F3886" t="s">
        <v>11</v>
      </c>
      <c r="H3886" s="12">
        <v>2.24846891416477</v>
      </c>
      <c r="I3886" s="11">
        <v>1.8172943024633501</v>
      </c>
      <c r="J3886" s="10">
        <v>6.9172061912563101E-2</v>
      </c>
      <c r="K3886" s="29">
        <v>0.62290468371627505</v>
      </c>
    </row>
    <row r="3887" spans="1:11" x14ac:dyDescent="0.35">
      <c r="A3887" s="9" t="str">
        <f>HYPERLINK("http://www.ensembl.org/id/WBGene00019286", "WBGene00019286")</f>
        <v>WBGene00019286</v>
      </c>
      <c r="B3887" s="9" t="str">
        <f>HYPERLINK("http://www.ncbi.nlm.nih.gov/gene/186831", "186831")</f>
        <v>186831</v>
      </c>
      <c r="C3887" s="9"/>
      <c r="D3887" t="str">
        <f>"K01A12.2"</f>
        <v>K01A12.2</v>
      </c>
      <c r="F3887" t="s">
        <v>11</v>
      </c>
      <c r="G3887" t="s">
        <v>4121</v>
      </c>
      <c r="H3887" s="12">
        <v>2.2478645148568299</v>
      </c>
      <c r="I3887" s="11">
        <v>1.1236929024433799</v>
      </c>
      <c r="J3887" s="10">
        <v>0.26114332844852201</v>
      </c>
      <c r="K3887" s="29">
        <v>0.98289565623980701</v>
      </c>
    </row>
    <row r="3888" spans="1:11" x14ac:dyDescent="0.35">
      <c r="A3888" s="9" t="str">
        <f>HYPERLINK("http://www.ensembl.org/id/WBGene00007960", "WBGene00007960")</f>
        <v>WBGene00007960</v>
      </c>
      <c r="B3888" s="9" t="str">
        <f>HYPERLINK("http://www.ncbi.nlm.nih.gov/gene/183234", "183234")</f>
        <v>183234</v>
      </c>
      <c r="C3888" s="9"/>
      <c r="D3888" t="str">
        <f>"C35D6.3"</f>
        <v>C35D6.3</v>
      </c>
      <c r="F3888" t="s">
        <v>11</v>
      </c>
      <c r="G3888" t="s">
        <v>54</v>
      </c>
      <c r="H3888" s="12">
        <v>2.2474463740853299</v>
      </c>
      <c r="I3888" s="11">
        <v>0.41889359123318998</v>
      </c>
      <c r="J3888" s="10">
        <v>0.675293901002752</v>
      </c>
      <c r="K3888" s="29">
        <v>0.98289565623980701</v>
      </c>
    </row>
    <row r="3889" spans="1:11" x14ac:dyDescent="0.35">
      <c r="A3889" s="9" t="str">
        <f>HYPERLINK("http://www.ensembl.org/id/WBGene00003957", "WBGene00003957")</f>
        <v>WBGene00003957</v>
      </c>
      <c r="B3889" s="9" t="str">
        <f>HYPERLINK("http://www.ncbi.nlm.nih.gov/gene/177741", "177741")</f>
        <v>177741</v>
      </c>
      <c r="C3889" s="9"/>
      <c r="D3889" t="str">
        <f>"pcp-2"</f>
        <v>pcp-2</v>
      </c>
      <c r="E3889" t="s">
        <v>1283</v>
      </c>
      <c r="F3889" t="s">
        <v>11</v>
      </c>
      <c r="G3889" t="s">
        <v>1284</v>
      </c>
      <c r="H3889" s="12">
        <v>2.2463955455632898</v>
      </c>
      <c r="I3889" s="11">
        <v>2.3299707921244099</v>
      </c>
      <c r="J3889" s="10">
        <v>1.98076948938593E-2</v>
      </c>
      <c r="K3889" s="29">
        <v>0.298744515807776</v>
      </c>
    </row>
    <row r="3890" spans="1:11" x14ac:dyDescent="0.35">
      <c r="A3890" s="9" t="str">
        <f>HYPERLINK("http://www.ensembl.org/id/WBGene00008829", "WBGene00008829")</f>
        <v>WBGene00008829</v>
      </c>
      <c r="B3890" s="9" t="str">
        <f>HYPERLINK("http://www.ncbi.nlm.nih.gov/gene/184495", "184495")</f>
        <v>184495</v>
      </c>
      <c r="C3890" s="9"/>
      <c r="D3890" t="str">
        <f>"cyp-35D1"</f>
        <v>cyp-35D1</v>
      </c>
      <c r="E3890" t="s">
        <v>176</v>
      </c>
      <c r="F3890" t="s">
        <v>11</v>
      </c>
      <c r="G3890" t="s">
        <v>438</v>
      </c>
      <c r="H3890" s="12">
        <v>2.2452007301188899</v>
      </c>
      <c r="I3890" s="11">
        <v>1.1367994260332399</v>
      </c>
      <c r="J3890" s="10">
        <v>0.255622143358117</v>
      </c>
      <c r="K3890" s="29">
        <v>0.98289565623980701</v>
      </c>
    </row>
    <row r="3891" spans="1:11" x14ac:dyDescent="0.35">
      <c r="A3891" s="9" t="str">
        <f>HYPERLINK("http://www.ensembl.org/id/WBGene00022275", "WBGene00022275")</f>
        <v>WBGene00022275</v>
      </c>
      <c r="B3891" s="9" t="str">
        <f>HYPERLINK("http://www.ncbi.nlm.nih.gov/gene/190694", "190694")</f>
        <v>190694</v>
      </c>
      <c r="C3891" s="9"/>
      <c r="D3891" t="str">
        <f>"Y74C9A.1"</f>
        <v>Y74C9A.1</v>
      </c>
      <c r="F3891" t="s">
        <v>11</v>
      </c>
      <c r="H3891" s="12">
        <v>2.2451813851413802</v>
      </c>
      <c r="I3891" s="11">
        <v>0.73931532243965703</v>
      </c>
      <c r="J3891" s="10">
        <v>0.45971554722980701</v>
      </c>
      <c r="K3891" s="29">
        <v>0.98289565623980701</v>
      </c>
    </row>
    <row r="3892" spans="1:11" x14ac:dyDescent="0.35">
      <c r="A3892" s="9" t="str">
        <f>HYPERLINK("http://www.ensembl.org/id/WBGene00044554", "WBGene00044554")</f>
        <v>WBGene00044554</v>
      </c>
      <c r="B3892" s="9" t="str">
        <f>HYPERLINK("http://www.ncbi.nlm.nih.gov/gene/3896827", "3896827")</f>
        <v>3896827</v>
      </c>
      <c r="C3892" s="9"/>
      <c r="D3892" t="str">
        <f>"F41E6.15"</f>
        <v>F41E6.15</v>
      </c>
      <c r="F3892" t="s">
        <v>11</v>
      </c>
      <c r="H3892" s="12">
        <v>2.2449196046663902</v>
      </c>
      <c r="I3892" s="11">
        <v>3.6409028177432701</v>
      </c>
      <c r="J3892" s="10">
        <v>2.71683680078606E-4</v>
      </c>
      <c r="K3892" s="29">
        <v>1.43322445477084E-2</v>
      </c>
    </row>
    <row r="3893" spans="1:11" x14ac:dyDescent="0.35">
      <c r="A3893" s="9" t="str">
        <f>HYPERLINK("http://www.ensembl.org/id/WBGene00044174", "WBGene00044174")</f>
        <v>WBGene00044174</v>
      </c>
      <c r="B3893" s="9" t="str">
        <f>HYPERLINK("http://www.ncbi.nlm.nih.gov/gene/3565026", "3565026")</f>
        <v>3565026</v>
      </c>
      <c r="C3893" s="9"/>
      <c r="D3893" t="str">
        <f>"fipr-5"</f>
        <v>fipr-5</v>
      </c>
      <c r="E3893" t="s">
        <v>28</v>
      </c>
      <c r="F3893" t="s">
        <v>11</v>
      </c>
      <c r="H3893" s="12">
        <v>2.24472344573261</v>
      </c>
      <c r="I3893" s="11">
        <v>4.0051664449812501</v>
      </c>
      <c r="J3893" s="10">
        <v>6.1973827671139305E-5</v>
      </c>
      <c r="K3893" s="29">
        <v>4.5172468838149699E-3</v>
      </c>
    </row>
    <row r="3894" spans="1:11" x14ac:dyDescent="0.35">
      <c r="A3894" s="9" t="str">
        <f>HYPERLINK("http://www.ensembl.org/id/WBGene00011754", "WBGene00011754")</f>
        <v>WBGene00011754</v>
      </c>
      <c r="B3894" s="9" t="str">
        <f>HYPERLINK("http://www.ncbi.nlm.nih.gov/gene/259672", "259672")</f>
        <v>259672</v>
      </c>
      <c r="C3894" s="9"/>
      <c r="D3894" t="str">
        <f>"T13F3.7"</f>
        <v>T13F3.7</v>
      </c>
      <c r="F3894" t="s">
        <v>11</v>
      </c>
      <c r="G3894" t="s">
        <v>25</v>
      </c>
      <c r="H3894" s="12">
        <v>2.2440080530447699</v>
      </c>
      <c r="I3894" s="11">
        <v>1.1211768766675101</v>
      </c>
      <c r="J3894" s="10">
        <v>0.26221258036322498</v>
      </c>
      <c r="K3894" s="29">
        <v>0.98289565623980701</v>
      </c>
    </row>
    <row r="3895" spans="1:11" x14ac:dyDescent="0.35">
      <c r="A3895" s="9" t="str">
        <f>HYPERLINK("http://www.ensembl.org/id/WBGene00016429", "WBGene00016429")</f>
        <v>WBGene00016429</v>
      </c>
      <c r="B3895" s="9" t="str">
        <f>HYPERLINK("http://www.ncbi.nlm.nih.gov/gene/183227", "183227")</f>
        <v>183227</v>
      </c>
      <c r="C3895" s="9"/>
      <c r="D3895" t="str">
        <f>"C35A11.2"</f>
        <v>C35A11.2</v>
      </c>
      <c r="F3895" t="s">
        <v>11</v>
      </c>
      <c r="H3895" s="12">
        <v>2.2433619767594299</v>
      </c>
      <c r="I3895" s="11">
        <v>1.4843229674935201</v>
      </c>
      <c r="J3895" s="10">
        <v>0.13772326001673901</v>
      </c>
      <c r="K3895" s="29">
        <v>0.82906592033916404</v>
      </c>
    </row>
    <row r="3896" spans="1:11" x14ac:dyDescent="0.35">
      <c r="A3896" s="9" t="str">
        <f>HYPERLINK("http://www.ensembl.org/id/WBGene00003741", "WBGene00003741")</f>
        <v>WBGene00003741</v>
      </c>
      <c r="B3896" s="9" t="str">
        <f>HYPERLINK("http://www.ncbi.nlm.nih.gov/gene/185978", "185978")</f>
        <v>185978</v>
      </c>
      <c r="C3896" s="9"/>
      <c r="D3896" t="str">
        <f>"nlp-3"</f>
        <v>nlp-3</v>
      </c>
      <c r="E3896" t="s">
        <v>76</v>
      </c>
      <c r="F3896" t="s">
        <v>11</v>
      </c>
      <c r="G3896" t="s">
        <v>77</v>
      </c>
      <c r="H3896" s="12">
        <v>2.2424686045422999</v>
      </c>
      <c r="I3896" s="11">
        <v>3.3628532929441901</v>
      </c>
      <c r="J3896" s="10">
        <v>7.7141347666461499E-4</v>
      </c>
      <c r="K3896" s="29">
        <v>3.1715800341303502E-2</v>
      </c>
    </row>
    <row r="3897" spans="1:11" x14ac:dyDescent="0.35">
      <c r="A3897" s="9" t="str">
        <f>HYPERLINK("http://www.ensembl.org/id/WBGene00011974", "WBGene00011974")</f>
        <v>WBGene00011974</v>
      </c>
      <c r="B3897" s="9" t="str">
        <f>HYPERLINK("http://www.ncbi.nlm.nih.gov/gene/188837", "188837")</f>
        <v>188837</v>
      </c>
      <c r="C3897" s="9"/>
      <c r="D3897" t="str">
        <f>"xbx-5"</f>
        <v>xbx-5</v>
      </c>
      <c r="E3897" t="s">
        <v>710</v>
      </c>
      <c r="F3897" t="s">
        <v>11</v>
      </c>
      <c r="G3897" t="s">
        <v>25</v>
      </c>
      <c r="H3897" s="12">
        <v>2.2421879083679399</v>
      </c>
      <c r="I3897" s="11">
        <v>2.9682496315514002</v>
      </c>
      <c r="J3897" s="10">
        <v>2.9950098506004701E-3</v>
      </c>
      <c r="K3897" s="29">
        <v>8.4911285408557594E-2</v>
      </c>
    </row>
    <row r="3898" spans="1:11" x14ac:dyDescent="0.35">
      <c r="A3898" s="9" t="str">
        <f>HYPERLINK("http://www.ensembl.org/id/WBGene00012064", "WBGene00012064")</f>
        <v>WBGene00012064</v>
      </c>
      <c r="B3898" s="9" t="str">
        <f>HYPERLINK("http://www.ncbi.nlm.nih.gov/gene/188947", "188947")</f>
        <v>188947</v>
      </c>
      <c r="C3898" s="9"/>
      <c r="D3898" t="str">
        <f>"fbxb-115"</f>
        <v>fbxb-115</v>
      </c>
      <c r="E3898" t="s">
        <v>1436</v>
      </c>
      <c r="F3898" t="s">
        <v>11</v>
      </c>
      <c r="G3898" t="s">
        <v>417</v>
      </c>
      <c r="H3898" s="12">
        <v>2.2415716381358601</v>
      </c>
      <c r="I3898" s="11">
        <v>1.16139318300271</v>
      </c>
      <c r="J3898" s="10">
        <v>0.24548203998662299</v>
      </c>
      <c r="K3898" s="29">
        <v>0.98289565623980701</v>
      </c>
    </row>
    <row r="3899" spans="1:11" x14ac:dyDescent="0.35">
      <c r="A3899" s="9" t="str">
        <f>HYPERLINK("http://www.ensembl.org/id/WBGene00046489", "WBGene00046489")</f>
        <v>WBGene00046489</v>
      </c>
      <c r="B3899" s="9"/>
      <c r="C3899" s="9"/>
      <c r="D3899" t="str">
        <f>"21ur-2187"</f>
        <v>21ur-2187</v>
      </c>
      <c r="F3899" t="s">
        <v>3161</v>
      </c>
      <c r="H3899" s="12">
        <v>2.2407106381742001</v>
      </c>
      <c r="I3899" s="11">
        <v>0.54813073463122597</v>
      </c>
      <c r="J3899" s="10">
        <v>0.58360213826270102</v>
      </c>
      <c r="K3899" s="29">
        <v>0.98289565623980701</v>
      </c>
    </row>
    <row r="3900" spans="1:11" x14ac:dyDescent="0.35">
      <c r="A3900" s="9" t="str">
        <f>HYPERLINK("http://www.ensembl.org/id/WBGene00017661", "WBGene00017661")</f>
        <v>WBGene00017661</v>
      </c>
      <c r="B3900" s="9" t="str">
        <f>HYPERLINK("http://www.ncbi.nlm.nih.gov/gene/353447", "353447")</f>
        <v>353447</v>
      </c>
      <c r="C3900" s="9"/>
      <c r="D3900" t="str">
        <f>"frpr-6"</f>
        <v>frpr-6</v>
      </c>
      <c r="E3900" t="s">
        <v>2289</v>
      </c>
      <c r="F3900" t="s">
        <v>11</v>
      </c>
      <c r="G3900" t="s">
        <v>271</v>
      </c>
      <c r="H3900" s="12">
        <v>2.2401559912204001</v>
      </c>
      <c r="I3900" s="11">
        <v>1.72941539566111</v>
      </c>
      <c r="J3900" s="10">
        <v>8.3734776535431807E-2</v>
      </c>
      <c r="K3900" s="29">
        <v>0.68119851442773804</v>
      </c>
    </row>
    <row r="3901" spans="1:11" x14ac:dyDescent="0.35">
      <c r="A3901" s="9" t="str">
        <f>HYPERLINK("http://www.ensembl.org/id/WBGene00014769", "WBGene00014769")</f>
        <v>WBGene00014769</v>
      </c>
      <c r="B3901" s="9"/>
      <c r="C3901" s="9"/>
      <c r="D3901" t="str">
        <f>"F53B2.7"</f>
        <v>F53B2.7</v>
      </c>
      <c r="F3901" t="s">
        <v>80</v>
      </c>
      <c r="H3901" s="12">
        <v>2.2399041057373101</v>
      </c>
      <c r="I3901" s="11">
        <v>0.47414674302739801</v>
      </c>
      <c r="J3901" s="10">
        <v>0.63539526796576795</v>
      </c>
      <c r="K3901" s="29">
        <v>0.98289565623980701</v>
      </c>
    </row>
    <row r="3902" spans="1:11" x14ac:dyDescent="0.35">
      <c r="A3902" s="9" t="str">
        <f>HYPERLINK("http://www.ensembl.org/id/WBGene00011556", "WBGene00011556")</f>
        <v>WBGene00011556</v>
      </c>
      <c r="B3902" s="9" t="str">
        <f>HYPERLINK("http://www.ncbi.nlm.nih.gov/gene/176442", "176442")</f>
        <v>176442</v>
      </c>
      <c r="C3902" s="9"/>
      <c r="D3902" t="str">
        <f>"vglu-3"</f>
        <v>vglu-3</v>
      </c>
      <c r="E3902" t="s">
        <v>3842</v>
      </c>
      <c r="F3902" t="s">
        <v>11</v>
      </c>
      <c r="G3902" t="s">
        <v>3843</v>
      </c>
      <c r="H3902" s="12">
        <v>2.2395133663015598</v>
      </c>
      <c r="I3902" s="11">
        <v>1.28274724036499</v>
      </c>
      <c r="J3902" s="10">
        <v>0.19958064360286301</v>
      </c>
      <c r="K3902" s="29">
        <v>0.94610927637377595</v>
      </c>
    </row>
    <row r="3903" spans="1:11" x14ac:dyDescent="0.35">
      <c r="A3903" s="9" t="str">
        <f>HYPERLINK("http://www.ensembl.org/id/WBGene00271715", "WBGene00271715")</f>
        <v>WBGene00271715</v>
      </c>
      <c r="B3903" s="9" t="str">
        <f>HYPERLINK("http://www.ncbi.nlm.nih.gov/gene/32928577", "32928577")</f>
        <v>32928577</v>
      </c>
      <c r="C3903" s="9"/>
      <c r="D3903" t="str">
        <f>"B0244.17"</f>
        <v>B0244.17</v>
      </c>
      <c r="F3903" t="s">
        <v>11</v>
      </c>
      <c r="G3903" t="s">
        <v>1793</v>
      </c>
      <c r="H3903" s="12">
        <v>2.23770007033042</v>
      </c>
      <c r="I3903" s="11">
        <v>0.69822153308382495</v>
      </c>
      <c r="J3903" s="10">
        <v>0.48503866207628099</v>
      </c>
      <c r="K3903" s="29">
        <v>0.98289565623980701</v>
      </c>
    </row>
    <row r="3904" spans="1:11" x14ac:dyDescent="0.35">
      <c r="A3904" s="9" t="str">
        <f>HYPERLINK("http://www.ensembl.org/id/WBGene00009185", "WBGene00009185")</f>
        <v>WBGene00009185</v>
      </c>
      <c r="B3904" s="9" t="str">
        <f>HYPERLINK("http://www.ncbi.nlm.nih.gov/gene/177792", "177792")</f>
        <v>177792</v>
      </c>
      <c r="C3904" s="9"/>
      <c r="D3904" t="str">
        <f>"F27C8.5"</f>
        <v>F27C8.5</v>
      </c>
      <c r="F3904" t="s">
        <v>11</v>
      </c>
      <c r="G3904" t="s">
        <v>54</v>
      </c>
      <c r="H3904" s="12">
        <v>2.2374398162037501</v>
      </c>
      <c r="I3904" s="11">
        <v>0.77358172653815105</v>
      </c>
      <c r="J3904" s="10">
        <v>0.439178181724237</v>
      </c>
      <c r="K3904" s="29">
        <v>0.98289565623980701</v>
      </c>
    </row>
    <row r="3905" spans="1:11" x14ac:dyDescent="0.35">
      <c r="A3905" s="9" t="str">
        <f>HYPERLINK("http://www.ensembl.org/id/WBGene00018003", "WBGene00018003")</f>
        <v>WBGene00018003</v>
      </c>
      <c r="B3905" s="9" t="str">
        <f>HYPERLINK("http://www.ncbi.nlm.nih.gov/gene/185228", "185228")</f>
        <v>185228</v>
      </c>
      <c r="C3905" s="9"/>
      <c r="D3905" t="str">
        <f>"F33D11.6"</f>
        <v>F33D11.6</v>
      </c>
      <c r="F3905" t="s">
        <v>11</v>
      </c>
      <c r="H3905" s="12">
        <v>2.23733570181445</v>
      </c>
      <c r="I3905" s="11">
        <v>1.27603965746575</v>
      </c>
      <c r="J3905" s="10">
        <v>0.20194150064150801</v>
      </c>
      <c r="K3905" s="29">
        <v>0.94984707636640198</v>
      </c>
    </row>
    <row r="3906" spans="1:11" x14ac:dyDescent="0.35">
      <c r="A3906" s="9" t="str">
        <f>HYPERLINK("http://www.ensembl.org/id/WBGene00000176", "WBGene00000176")</f>
        <v>WBGene00000176</v>
      </c>
      <c r="B3906" s="9" t="str">
        <f>HYPERLINK("http://www.ncbi.nlm.nih.gov/gene/180744", "180744")</f>
        <v>180744</v>
      </c>
      <c r="C3906" s="9"/>
      <c r="D3906" t="str">
        <f>"aqp-8"</f>
        <v>aqp-8</v>
      </c>
      <c r="E3906" t="s">
        <v>379</v>
      </c>
      <c r="F3906" t="s">
        <v>11</v>
      </c>
      <c r="G3906" t="s">
        <v>439</v>
      </c>
      <c r="H3906" s="12">
        <v>2.2365334857904</v>
      </c>
      <c r="I3906" s="11">
        <v>3.5641990249750601</v>
      </c>
      <c r="J3906" s="10">
        <v>3.6496896017482899E-4</v>
      </c>
      <c r="K3906" s="29">
        <v>1.81745103314646E-2</v>
      </c>
    </row>
    <row r="3907" spans="1:11" x14ac:dyDescent="0.35">
      <c r="A3907" s="9" t="str">
        <f>HYPERLINK("http://www.ensembl.org/id/WBGene00045190", "WBGene00045190")</f>
        <v>WBGene00045190</v>
      </c>
      <c r="B3907" s="9" t="str">
        <f>HYPERLINK("http://www.ncbi.nlm.nih.gov/gene/4927043", "4927043")</f>
        <v>4927043</v>
      </c>
      <c r="C3907" s="9"/>
      <c r="D3907" t="str">
        <f>"R01H2.8"</f>
        <v>R01H2.8</v>
      </c>
      <c r="F3907" t="s">
        <v>11</v>
      </c>
      <c r="G3907" t="s">
        <v>25</v>
      </c>
      <c r="H3907" s="12">
        <v>2.2363390288168898</v>
      </c>
      <c r="I3907" s="11">
        <v>0.80162329686800504</v>
      </c>
      <c r="J3907" s="10">
        <v>0.42277089722588801</v>
      </c>
      <c r="K3907" s="29">
        <v>0.98289565623980701</v>
      </c>
    </row>
    <row r="3908" spans="1:11" x14ac:dyDescent="0.35">
      <c r="A3908" s="9" t="str">
        <f>HYPERLINK("http://www.ensembl.org/id/WBGene00022263", "WBGene00022263")</f>
        <v>WBGene00022263</v>
      </c>
      <c r="B3908" s="9" t="str">
        <f>HYPERLINK("http://www.ncbi.nlm.nih.gov/gene/190661", "190661")</f>
        <v>190661</v>
      </c>
      <c r="C3908" s="9"/>
      <c r="D3908" t="str">
        <f>"Y73C8C.4"</f>
        <v>Y73C8C.4</v>
      </c>
      <c r="F3908" t="s">
        <v>11</v>
      </c>
      <c r="H3908" s="12">
        <v>2.2354644554012002</v>
      </c>
      <c r="I3908" s="11">
        <v>0.702287710060852</v>
      </c>
      <c r="J3908" s="10">
        <v>0.48249975610296703</v>
      </c>
      <c r="K3908" s="29">
        <v>0.98289565623980701</v>
      </c>
    </row>
    <row r="3909" spans="1:11" x14ac:dyDescent="0.35">
      <c r="A3909" s="9" t="str">
        <f>HYPERLINK("http://www.ensembl.org/id/WBGene00020966", "WBGene00020966")</f>
        <v>WBGene00020966</v>
      </c>
      <c r="B3909" s="9" t="str">
        <f>HYPERLINK("http://www.ncbi.nlm.nih.gov/gene/175744", "175744")</f>
        <v>175744</v>
      </c>
      <c r="C3909" s="9"/>
      <c r="D3909" t="str">
        <f>"W03A5.1"</f>
        <v>W03A5.1</v>
      </c>
      <c r="F3909" t="s">
        <v>11</v>
      </c>
      <c r="G3909" t="s">
        <v>1531</v>
      </c>
      <c r="H3909" s="12">
        <v>2.2353804181304899</v>
      </c>
      <c r="I3909" s="11">
        <v>2.1247824556838499</v>
      </c>
      <c r="J3909" s="10">
        <v>3.3604769419557902E-2</v>
      </c>
      <c r="K3909" s="29">
        <v>0.417233639015747</v>
      </c>
    </row>
    <row r="3910" spans="1:11" x14ac:dyDescent="0.35">
      <c r="A3910" s="9" t="str">
        <f>HYPERLINK("http://www.ensembl.org/id/WBGene00005683", "WBGene00005683")</f>
        <v>WBGene00005683</v>
      </c>
      <c r="B3910" s="9" t="str">
        <f>HYPERLINK("http://www.ncbi.nlm.nih.gov/gene/188045", "188045")</f>
        <v>188045</v>
      </c>
      <c r="C3910" s="9"/>
      <c r="D3910" t="str">
        <f>"sru-20"</f>
        <v>sru-20</v>
      </c>
      <c r="E3910" t="s">
        <v>2653</v>
      </c>
      <c r="F3910" t="s">
        <v>11</v>
      </c>
      <c r="G3910" t="s">
        <v>25</v>
      </c>
      <c r="H3910" s="12">
        <v>2.2353015185254499</v>
      </c>
      <c r="I3910" s="11">
        <v>0.83982170190829097</v>
      </c>
      <c r="J3910" s="10">
        <v>0.40100836353997199</v>
      </c>
      <c r="K3910" s="29">
        <v>0.98289565623980701</v>
      </c>
    </row>
    <row r="3911" spans="1:11" x14ac:dyDescent="0.35">
      <c r="A3911" s="9" t="str">
        <f>HYPERLINK("http://www.ensembl.org/id/WBGene00010514", "WBGene00010514")</f>
        <v>WBGene00010514</v>
      </c>
      <c r="B3911" s="9" t="str">
        <f>HYPERLINK("http://www.ncbi.nlm.nih.gov/gene/186896", "186896")</f>
        <v>186896</v>
      </c>
      <c r="C3911" s="9"/>
      <c r="D3911" t="str">
        <f>"K02E11.5"</f>
        <v>K02E11.5</v>
      </c>
      <c r="F3911" t="s">
        <v>11</v>
      </c>
      <c r="H3911" s="12">
        <v>2.2348534286238602</v>
      </c>
      <c r="I3911" s="11">
        <v>3.3272768885234498</v>
      </c>
      <c r="J3911" s="10">
        <v>8.7699185309659795E-4</v>
      </c>
      <c r="K3911" s="29">
        <v>3.5241345665478201E-2</v>
      </c>
    </row>
    <row r="3912" spans="1:11" x14ac:dyDescent="0.35">
      <c r="A3912" s="9" t="str">
        <f>HYPERLINK("http://www.ensembl.org/id/WBGene00019113", "WBGene00019113")</f>
        <v>WBGene00019113</v>
      </c>
      <c r="B3912" s="9" t="str">
        <f>HYPERLINK("http://www.ncbi.nlm.nih.gov/gene/179277", "179277")</f>
        <v>179277</v>
      </c>
      <c r="C3912" s="9"/>
      <c r="D3912" t="str">
        <f>"F59E11.7"</f>
        <v>F59E11.7</v>
      </c>
      <c r="F3912" t="s">
        <v>11</v>
      </c>
      <c r="G3912" t="s">
        <v>25</v>
      </c>
      <c r="H3912" s="12">
        <v>2.2342128002645301</v>
      </c>
      <c r="I3912" s="11">
        <v>3.6963755252088499</v>
      </c>
      <c r="J3912" s="10">
        <v>2.1869941048090701E-4</v>
      </c>
      <c r="K3912" s="29">
        <v>1.2164408488046801E-2</v>
      </c>
    </row>
    <row r="3913" spans="1:11" x14ac:dyDescent="0.35">
      <c r="A3913" s="9" t="str">
        <f>HYPERLINK("http://www.ensembl.org/id/WBGene00010979", "WBGene00010979")</f>
        <v>WBGene00010979</v>
      </c>
      <c r="B3913" s="9" t="str">
        <f>HYPERLINK("http://www.ncbi.nlm.nih.gov/gene/187523", "187523")</f>
        <v>187523</v>
      </c>
      <c r="C3913" s="9"/>
      <c r="D3913" t="str">
        <f>"R02D5.6"</f>
        <v>R02D5.6</v>
      </c>
      <c r="E3913" t="s">
        <v>1828</v>
      </c>
      <c r="F3913" t="s">
        <v>11</v>
      </c>
      <c r="G3913" t="s">
        <v>1829</v>
      </c>
      <c r="H3913" s="12">
        <v>2.23316810321468</v>
      </c>
      <c r="I3913" s="11">
        <v>1.32081273715142</v>
      </c>
      <c r="J3913" s="10">
        <v>0.18656381164812499</v>
      </c>
      <c r="K3913" s="29">
        <v>0.92523069211372799</v>
      </c>
    </row>
    <row r="3914" spans="1:11" x14ac:dyDescent="0.35">
      <c r="A3914" s="9" t="str">
        <f>HYPERLINK("http://www.ensembl.org/id/WBGene00004346", "WBGene00004346")</f>
        <v>WBGene00004346</v>
      </c>
      <c r="B3914" s="9" t="str">
        <f>HYPERLINK("http://www.ncbi.nlm.nih.gov/gene/174020", "174020")</f>
        <v>174020</v>
      </c>
      <c r="C3914" s="9"/>
      <c r="D3914" t="str">
        <f>"rgs-3"</f>
        <v>rgs-3</v>
      </c>
      <c r="E3914" t="s">
        <v>716</v>
      </c>
      <c r="F3914" t="s">
        <v>11</v>
      </c>
      <c r="G3914" t="s">
        <v>717</v>
      </c>
      <c r="H3914" s="12">
        <v>2.23180283249064</v>
      </c>
      <c r="I3914" s="11">
        <v>2.9603598824200401</v>
      </c>
      <c r="J3914" s="10">
        <v>3.0727986236752298E-3</v>
      </c>
      <c r="K3914" s="29">
        <v>8.6480006088477293E-2</v>
      </c>
    </row>
    <row r="3915" spans="1:11" x14ac:dyDescent="0.35">
      <c r="A3915" s="9" t="str">
        <f>HYPERLINK("http://www.ensembl.org/id/WBGene00016514", "WBGene00016514")</f>
        <v>WBGene00016514</v>
      </c>
      <c r="B3915" s="9" t="str">
        <f>HYPERLINK("http://www.ncbi.nlm.nih.gov/gene/183301", "183301")</f>
        <v>183301</v>
      </c>
      <c r="C3915" s="9"/>
      <c r="D3915" t="str">
        <f>"C38C3.6"</f>
        <v>C38C3.6</v>
      </c>
      <c r="F3915" t="s">
        <v>11</v>
      </c>
      <c r="G3915" t="s">
        <v>25</v>
      </c>
      <c r="H3915" s="12">
        <v>2.2316100336933302</v>
      </c>
      <c r="I3915" s="11">
        <v>0.93395104581450705</v>
      </c>
      <c r="J3915" s="10">
        <v>0.35032914582817798</v>
      </c>
      <c r="K3915" s="29">
        <v>0.98289565623980701</v>
      </c>
    </row>
    <row r="3916" spans="1:11" x14ac:dyDescent="0.35">
      <c r="A3916" s="9" t="str">
        <f>HYPERLINK("http://www.ensembl.org/id/WBGene00017340", "WBGene00017340")</f>
        <v>WBGene00017340</v>
      </c>
      <c r="B3916" s="9" t="str">
        <f>HYPERLINK("http://www.ncbi.nlm.nih.gov/gene/181766", "181766")</f>
        <v>181766</v>
      </c>
      <c r="C3916" s="9"/>
      <c r="D3916" t="str">
        <f>"F10D7.3"</f>
        <v>F10D7.3</v>
      </c>
      <c r="E3916" t="s">
        <v>544</v>
      </c>
      <c r="F3916" t="s">
        <v>11</v>
      </c>
      <c r="G3916" t="s">
        <v>545</v>
      </c>
      <c r="H3916" s="12">
        <v>2.2310474827620399</v>
      </c>
      <c r="I3916" s="11">
        <v>3.2181653756864899</v>
      </c>
      <c r="J3916" s="10">
        <v>1.2901340933637699E-3</v>
      </c>
      <c r="K3916" s="29">
        <v>4.7484337275039798E-2</v>
      </c>
    </row>
    <row r="3917" spans="1:11" x14ac:dyDescent="0.35">
      <c r="A3917" s="9" t="str">
        <f>HYPERLINK("http://www.ensembl.org/id/WBGene00000083", "WBGene00000083")</f>
        <v>WBGene00000083</v>
      </c>
      <c r="B3917" s="9" t="str">
        <f>HYPERLINK("http://www.ncbi.nlm.nih.gov/gene/181022", "181022")</f>
        <v>181022</v>
      </c>
      <c r="C3917" s="9"/>
      <c r="D3917" t="str">
        <f>"adt-2"</f>
        <v>adt-2</v>
      </c>
      <c r="E3917" t="s">
        <v>268</v>
      </c>
      <c r="F3917" t="s">
        <v>11</v>
      </c>
      <c r="G3917" t="s">
        <v>269</v>
      </c>
      <c r="H3917" s="12">
        <v>2.23049285743474</v>
      </c>
      <c r="I3917" s="11">
        <v>4.2301071003759096</v>
      </c>
      <c r="J3917" s="10">
        <v>2.3358007757095099E-5</v>
      </c>
      <c r="K3917" s="29">
        <v>2.05199844083835E-3</v>
      </c>
    </row>
    <row r="3918" spans="1:11" x14ac:dyDescent="0.35">
      <c r="A3918" s="9" t="str">
        <f>HYPERLINK("http://www.ensembl.org/id/WBGene00018282", "WBGene00018282")</f>
        <v>WBGene00018282</v>
      </c>
      <c r="B3918" s="9" t="str">
        <f>HYPERLINK("http://www.ncbi.nlm.nih.gov/gene/185612", "185612")</f>
        <v>185612</v>
      </c>
      <c r="C3918" s="9"/>
      <c r="D3918" t="str">
        <f>"F41D9.2"</f>
        <v>F41D9.2</v>
      </c>
      <c r="F3918" t="s">
        <v>11</v>
      </c>
      <c r="H3918" s="12">
        <v>2.2304231156269201</v>
      </c>
      <c r="I3918" s="11">
        <v>2.8355158200294799</v>
      </c>
      <c r="J3918" s="10">
        <v>4.5751749069457004E-3</v>
      </c>
      <c r="K3918" s="29">
        <v>0.11385197270396499</v>
      </c>
    </row>
    <row r="3919" spans="1:11" x14ac:dyDescent="0.35">
      <c r="A3919" s="9" t="str">
        <f>HYPERLINK("http://www.ensembl.org/id/WBGene00019156", "WBGene00019156")</f>
        <v>WBGene00019156</v>
      </c>
      <c r="B3919" s="9" t="str">
        <f>HYPERLINK("http://www.ncbi.nlm.nih.gov/gene/186690", "186690")</f>
        <v>186690</v>
      </c>
      <c r="C3919" s="9"/>
      <c r="D3919" t="str">
        <f>"H04M03.12"</f>
        <v>H04M03.12</v>
      </c>
      <c r="F3919" t="s">
        <v>11</v>
      </c>
      <c r="G3919" t="s">
        <v>25</v>
      </c>
      <c r="H3919" s="12">
        <v>2.2296751817521598</v>
      </c>
      <c r="I3919" s="11">
        <v>3.2986152893982599</v>
      </c>
      <c r="J3919" s="10">
        <v>9.7162971835349898E-4</v>
      </c>
      <c r="K3919" s="29">
        <v>3.7923101811276901E-2</v>
      </c>
    </row>
    <row r="3920" spans="1:11" x14ac:dyDescent="0.35">
      <c r="A3920" s="9" t="str">
        <f>HYPERLINK("http://www.ensembl.org/id/WBGene00006586", "WBGene00006586")</f>
        <v>WBGene00006586</v>
      </c>
      <c r="B3920" s="9" t="str">
        <f>HYPERLINK("http://www.ncbi.nlm.nih.gov/gene/177295", "177295")</f>
        <v>177295</v>
      </c>
      <c r="C3920" s="9"/>
      <c r="D3920" t="str">
        <f>"tni-4"</f>
        <v>tni-4</v>
      </c>
      <c r="E3920" t="s">
        <v>351</v>
      </c>
      <c r="F3920" t="s">
        <v>11</v>
      </c>
      <c r="G3920" t="s">
        <v>352</v>
      </c>
      <c r="H3920" s="12">
        <v>2.22965556337767</v>
      </c>
      <c r="I3920" s="11">
        <v>3.8624229926714202</v>
      </c>
      <c r="J3920" s="10">
        <v>1.12267959933046E-4</v>
      </c>
      <c r="K3920" s="29">
        <v>7.1659212215827899E-3</v>
      </c>
    </row>
    <row r="3921" spans="1:11" x14ac:dyDescent="0.35">
      <c r="A3921" s="9" t="str">
        <f>HYPERLINK("http://www.ensembl.org/id/WBGene00012664", "WBGene00012664")</f>
        <v>WBGene00012664</v>
      </c>
      <c r="B3921" s="9" t="str">
        <f>HYPERLINK("http://www.ncbi.nlm.nih.gov/gene/180264", "180264")</f>
        <v>180264</v>
      </c>
      <c r="C3921" s="9"/>
      <c r="D3921" t="str">
        <f>"Y39B6A.1"</f>
        <v>Y39B6A.1</v>
      </c>
      <c r="F3921" t="s">
        <v>11</v>
      </c>
      <c r="G3921" t="s">
        <v>440</v>
      </c>
      <c r="H3921" s="12">
        <v>2.22952564070623</v>
      </c>
      <c r="I3921" s="11">
        <v>3.5633997956824399</v>
      </c>
      <c r="J3921" s="10">
        <v>3.6608247744714898E-4</v>
      </c>
      <c r="K3921" s="29">
        <v>1.81907563954706E-2</v>
      </c>
    </row>
    <row r="3922" spans="1:11" x14ac:dyDescent="0.35">
      <c r="A3922" s="9" t="str">
        <f>HYPERLINK("http://www.ensembl.org/id/WBGene00016417", "WBGene00016417")</f>
        <v>WBGene00016417</v>
      </c>
      <c r="B3922" s="9" t="str">
        <f>HYPERLINK("http://www.ncbi.nlm.nih.gov/gene/173892", "173892")</f>
        <v>173892</v>
      </c>
      <c r="C3922" s="9"/>
      <c r="D3922" t="str">
        <f>"C34F11.8"</f>
        <v>C34F11.8</v>
      </c>
      <c r="F3922" t="s">
        <v>11</v>
      </c>
      <c r="H3922" s="12">
        <v>2.2260040277851001</v>
      </c>
      <c r="I3922" s="11">
        <v>3.2824202285865698</v>
      </c>
      <c r="J3922" s="10">
        <v>1.02920101188507E-3</v>
      </c>
      <c r="K3922" s="29">
        <v>4.0012725439227501E-2</v>
      </c>
    </row>
    <row r="3923" spans="1:11" x14ac:dyDescent="0.35">
      <c r="A3923" s="9" t="str">
        <f>HYPERLINK("http://www.ensembl.org/id/WBGene00195065", "WBGene00195065")</f>
        <v>WBGene00195065</v>
      </c>
      <c r="B3923" s="9"/>
      <c r="C3923" s="9"/>
      <c r="D3923" t="str">
        <f>"F20G2.9"</f>
        <v>F20G2.9</v>
      </c>
      <c r="F3923" t="s">
        <v>2735</v>
      </c>
      <c r="H3923" s="12">
        <v>2.2251097742427999</v>
      </c>
      <c r="I3923" s="11">
        <v>0.320308511099687</v>
      </c>
      <c r="J3923" s="10">
        <v>0.74873447185206399</v>
      </c>
      <c r="K3923" s="29">
        <v>0.98289565623980701</v>
      </c>
    </row>
    <row r="3924" spans="1:11" x14ac:dyDescent="0.35">
      <c r="A3924" s="9" t="str">
        <f>HYPERLINK("http://www.ensembl.org/id/WBGene00020416", "WBGene00020416")</f>
        <v>WBGene00020416</v>
      </c>
      <c r="B3924" s="9" t="str">
        <f>HYPERLINK("http://www.ncbi.nlm.nih.gov/gene/188384", "188384")</f>
        <v>188384</v>
      </c>
      <c r="C3924" s="9"/>
      <c r="D3924" t="str">
        <f>"T10E9.6"</f>
        <v>T10E9.6</v>
      </c>
      <c r="F3924" t="s">
        <v>11</v>
      </c>
      <c r="G3924" t="s">
        <v>25</v>
      </c>
      <c r="H3924" s="12">
        <v>2.2251097742427999</v>
      </c>
      <c r="I3924" s="11">
        <v>0.320308511099687</v>
      </c>
      <c r="J3924" s="10">
        <v>0.74873447185206399</v>
      </c>
      <c r="K3924" s="29">
        <v>0.98289565623980701</v>
      </c>
    </row>
    <row r="3925" spans="1:11" x14ac:dyDescent="0.35">
      <c r="A3925" s="9" t="str">
        <f>HYPERLINK("http://www.ensembl.org/id/WBGene00020829", "WBGene00020829")</f>
        <v>WBGene00020829</v>
      </c>
      <c r="B3925" s="9" t="str">
        <f>HYPERLINK("http://www.ncbi.nlm.nih.gov/gene/188919", "188919")</f>
        <v>188919</v>
      </c>
      <c r="C3925" s="9"/>
      <c r="D3925" t="str">
        <f>"T26C11.3"</f>
        <v>T26C11.3</v>
      </c>
      <c r="F3925" t="s">
        <v>11</v>
      </c>
      <c r="H3925" s="12">
        <v>2.2251097742427999</v>
      </c>
      <c r="I3925" s="11">
        <v>0.320308511099687</v>
      </c>
      <c r="J3925" s="10">
        <v>0.74873447185206399</v>
      </c>
      <c r="K3925" s="29">
        <v>0.98289565623980701</v>
      </c>
    </row>
    <row r="3926" spans="1:11" x14ac:dyDescent="0.35">
      <c r="A3926" s="9" t="str">
        <f>HYPERLINK("http://www.ensembl.org/id/WBGene00018325", "WBGene00018325")</f>
        <v>WBGene00018325</v>
      </c>
      <c r="B3926" s="9"/>
      <c r="C3926" s="9"/>
      <c r="D3926" t="str">
        <f>"F42A6.3"</f>
        <v>F42A6.3</v>
      </c>
      <c r="F3926" t="s">
        <v>80</v>
      </c>
      <c r="H3926" s="12">
        <v>2.2249476287350798</v>
      </c>
      <c r="I3926" s="11">
        <v>0.57317274062590096</v>
      </c>
      <c r="J3926" s="10">
        <v>0.56652773937527701</v>
      </c>
      <c r="K3926" s="29">
        <v>0.98289565623980701</v>
      </c>
    </row>
    <row r="3927" spans="1:11" x14ac:dyDescent="0.35">
      <c r="A3927" s="9" t="str">
        <f>HYPERLINK("http://www.ensembl.org/id/WBGene00006952", "WBGene00006952")</f>
        <v>WBGene00006952</v>
      </c>
      <c r="B3927" s="9" t="str">
        <f>HYPERLINK("http://www.ncbi.nlm.nih.gov/gene/180638", "180638")</f>
        <v>180638</v>
      </c>
      <c r="C3927" s="9"/>
      <c r="D3927" t="str">
        <f>"wrt-6"</f>
        <v>wrt-6</v>
      </c>
      <c r="E3927" t="s">
        <v>2843</v>
      </c>
      <c r="F3927" t="s">
        <v>11</v>
      </c>
      <c r="G3927" t="s">
        <v>2844</v>
      </c>
      <c r="H3927" s="12">
        <v>2.2244604745027901</v>
      </c>
      <c r="I3927" s="11">
        <v>1.5515283270076901</v>
      </c>
      <c r="J3927" s="10">
        <v>0.12077512429822899</v>
      </c>
      <c r="K3927" s="29">
        <v>0.79113038260019697</v>
      </c>
    </row>
    <row r="3928" spans="1:11" x14ac:dyDescent="0.35">
      <c r="A3928" s="9" t="str">
        <f>HYPERLINK("http://www.ensembl.org/id/WBGene00018340", "WBGene00018340")</f>
        <v>WBGene00018340</v>
      </c>
      <c r="B3928" s="9" t="str">
        <f>HYPERLINK("http://www.ncbi.nlm.nih.gov/gene/175868", "175868")</f>
        <v>175868</v>
      </c>
      <c r="C3928" s="9"/>
      <c r="D3928" t="str">
        <f>"anmt-2"</f>
        <v>anmt-2</v>
      </c>
      <c r="E3928" t="s">
        <v>322</v>
      </c>
      <c r="F3928" t="s">
        <v>11</v>
      </c>
      <c r="G3928" t="s">
        <v>323</v>
      </c>
      <c r="H3928" s="12">
        <v>2.22388505615453</v>
      </c>
      <c r="I3928" s="11">
        <v>3.9733509254579702</v>
      </c>
      <c r="J3928" s="10">
        <v>7.0868518959279494E-5</v>
      </c>
      <c r="K3928" s="29">
        <v>5.0076085598566101E-3</v>
      </c>
    </row>
    <row r="3929" spans="1:11" x14ac:dyDescent="0.35">
      <c r="A3929" s="9" t="str">
        <f>HYPERLINK("http://www.ensembl.org/id/WBGene00005770", "WBGene00005770")</f>
        <v>WBGene00005770</v>
      </c>
      <c r="B3929" s="9" t="str">
        <f>HYPERLINK("http://www.ncbi.nlm.nih.gov/gene/186008", "186008")</f>
        <v>186008</v>
      </c>
      <c r="C3929" s="9"/>
      <c r="D3929" t="str">
        <f>"srw-23"</f>
        <v>srw-23</v>
      </c>
      <c r="E3929" t="s">
        <v>1014</v>
      </c>
      <c r="F3929" t="s">
        <v>11</v>
      </c>
      <c r="G3929" t="s">
        <v>1015</v>
      </c>
      <c r="H3929" s="12">
        <v>2.2236536977615802</v>
      </c>
      <c r="I3929" s="11">
        <v>0.46144288777658798</v>
      </c>
      <c r="J3929" s="10">
        <v>0.64448088765976796</v>
      </c>
      <c r="K3929" s="29">
        <v>0.98289565623980701</v>
      </c>
    </row>
    <row r="3930" spans="1:11" x14ac:dyDescent="0.35">
      <c r="A3930" s="9" t="str">
        <f>HYPERLINK("http://www.ensembl.org/id/WBGene00011997", "WBGene00011997")</f>
        <v>WBGene00011997</v>
      </c>
      <c r="B3930" s="9" t="str">
        <f>HYPERLINK("http://www.ncbi.nlm.nih.gov/gene/174729", "174729")</f>
        <v>174729</v>
      </c>
      <c r="C3930" s="9"/>
      <c r="D3930" t="str">
        <f>"nlp-51"</f>
        <v>nlp-51</v>
      </c>
      <c r="E3930" t="s">
        <v>76</v>
      </c>
      <c r="F3930" t="s">
        <v>11</v>
      </c>
      <c r="G3930" t="s">
        <v>77</v>
      </c>
      <c r="H3930" s="12">
        <v>2.2234541318129502</v>
      </c>
      <c r="I3930" s="11">
        <v>2.83539464962832</v>
      </c>
      <c r="J3930" s="10">
        <v>4.5769107674984303E-3</v>
      </c>
      <c r="K3930" s="29">
        <v>0.11385197270396499</v>
      </c>
    </row>
    <row r="3931" spans="1:11" x14ac:dyDescent="0.35">
      <c r="A3931" s="9" t="str">
        <f>HYPERLINK("http://www.ensembl.org/id/WBGene00018258", "WBGene00018258")</f>
        <v>WBGene00018258</v>
      </c>
      <c r="B3931" s="9" t="str">
        <f>HYPERLINK("http://www.ncbi.nlm.nih.gov/gene/180953", "180953")</f>
        <v>180953</v>
      </c>
      <c r="C3931" s="9"/>
      <c r="D3931" t="str">
        <f>"F41B4.2"</f>
        <v>F41B4.2</v>
      </c>
      <c r="F3931" t="s">
        <v>11</v>
      </c>
      <c r="H3931" s="12">
        <v>2.2226407457575998</v>
      </c>
      <c r="I3931" s="11">
        <v>3.70630539529445</v>
      </c>
      <c r="J3931" s="10">
        <v>2.10304690824432E-4</v>
      </c>
      <c r="K3931" s="29">
        <v>1.18519516736325E-2</v>
      </c>
    </row>
    <row r="3932" spans="1:11" x14ac:dyDescent="0.35">
      <c r="A3932" s="9" t="str">
        <f>HYPERLINK("http://www.ensembl.org/id/WBGene00014198", "WBGene00014198")</f>
        <v>WBGene00014198</v>
      </c>
      <c r="B3932" s="9" t="str">
        <f>HYPERLINK("http://www.ncbi.nlm.nih.gov/gene/191508", "191508")</f>
        <v>191508</v>
      </c>
      <c r="C3932" s="9"/>
      <c r="D3932" t="str">
        <f>"ZK1053.3"</f>
        <v>ZK1053.3</v>
      </c>
      <c r="F3932" t="s">
        <v>11</v>
      </c>
      <c r="G3932" t="s">
        <v>3719</v>
      </c>
      <c r="H3932" s="12">
        <v>2.2221046732747398</v>
      </c>
      <c r="I3932" s="11">
        <v>1.31448414041226</v>
      </c>
      <c r="J3932" s="10">
        <v>0.188683331756758</v>
      </c>
      <c r="K3932" s="29">
        <v>0.92698805350409297</v>
      </c>
    </row>
    <row r="3933" spans="1:11" x14ac:dyDescent="0.35">
      <c r="A3933" s="9" t="str">
        <f>HYPERLINK("http://www.ensembl.org/id/WBGene00008869", "WBGene00008869")</f>
        <v>WBGene00008869</v>
      </c>
      <c r="B3933" s="9" t="str">
        <f>HYPERLINK("http://www.ncbi.nlm.nih.gov/gene/3565334", "3565334")</f>
        <v>3565334</v>
      </c>
      <c r="C3933" s="9"/>
      <c r="D3933" t="str">
        <f>"F15G9.6"</f>
        <v>F15G9.6</v>
      </c>
      <c r="F3933" t="s">
        <v>11</v>
      </c>
      <c r="H3933" s="12">
        <v>2.2213012895123598</v>
      </c>
      <c r="I3933" s="11">
        <v>1.55574579332314</v>
      </c>
      <c r="J3933" s="10">
        <v>0.119768552612499</v>
      </c>
      <c r="K3933" s="29">
        <v>0.788874622766363</v>
      </c>
    </row>
    <row r="3934" spans="1:11" x14ac:dyDescent="0.35">
      <c r="A3934" s="9" t="str">
        <f>HYPERLINK("http://www.ensembl.org/id/WBGene00194925", "WBGene00194925")</f>
        <v>WBGene00194925</v>
      </c>
      <c r="B3934" s="9" t="str">
        <f>HYPERLINK("http://www.ncbi.nlm.nih.gov/gene/13198724", "13198724")</f>
        <v>13198724</v>
      </c>
      <c r="C3934" s="9"/>
      <c r="D3934" t="str">
        <f>"K08D8.11"</f>
        <v>K08D8.11</v>
      </c>
      <c r="F3934" t="s">
        <v>11</v>
      </c>
      <c r="H3934" s="12">
        <v>2.2208865536608098</v>
      </c>
      <c r="I3934" s="11">
        <v>1.2468593363738101</v>
      </c>
      <c r="J3934" s="10">
        <v>0.21244907907990099</v>
      </c>
      <c r="K3934" s="29">
        <v>0.96441029886447904</v>
      </c>
    </row>
    <row r="3935" spans="1:11" x14ac:dyDescent="0.35">
      <c r="A3935" s="9" t="str">
        <f>HYPERLINK("http://www.ensembl.org/id/WBGene00013333", "WBGene00013333")</f>
        <v>WBGene00013333</v>
      </c>
      <c r="B3935" s="9" t="str">
        <f>HYPERLINK("http://www.ncbi.nlm.nih.gov/gene/3565567", "3565567")</f>
        <v>3565567</v>
      </c>
      <c r="C3935" s="9"/>
      <c r="D3935" t="str">
        <f>"Y57G11C.44"</f>
        <v>Y57G11C.44</v>
      </c>
      <c r="F3935" t="s">
        <v>11</v>
      </c>
      <c r="G3935" t="s">
        <v>2755</v>
      </c>
      <c r="H3935" s="12">
        <v>2.2204819286444</v>
      </c>
      <c r="I3935" s="11">
        <v>0.65896700959050203</v>
      </c>
      <c r="J3935" s="10">
        <v>0.50991695371354295</v>
      </c>
      <c r="K3935" s="29">
        <v>0.98289565623980701</v>
      </c>
    </row>
    <row r="3936" spans="1:11" x14ac:dyDescent="0.35">
      <c r="A3936" s="9" t="str">
        <f>HYPERLINK("http://www.ensembl.org/id/WBGene00010371", "WBGene00010371")</f>
        <v>WBGene00010371</v>
      </c>
      <c r="B3936" s="9"/>
      <c r="C3936" s="9"/>
      <c r="D3936" t="str">
        <f>"H06O01.4"</f>
        <v>H06O01.4</v>
      </c>
      <c r="F3936" t="s">
        <v>80</v>
      </c>
      <c r="H3936" s="12">
        <v>2.2201662281933698</v>
      </c>
      <c r="I3936" s="11">
        <v>0.50405022937779498</v>
      </c>
      <c r="J3936" s="10">
        <v>0.61422608033314197</v>
      </c>
      <c r="K3936" s="29">
        <v>0.98289565623980701</v>
      </c>
    </row>
    <row r="3937" spans="1:11" x14ac:dyDescent="0.35">
      <c r="A3937" s="9" t="str">
        <f>HYPERLINK("http://www.ensembl.org/id/WBGene00019921", "WBGene00019921")</f>
        <v>WBGene00019921</v>
      </c>
      <c r="B3937" s="9" t="str">
        <f>HYPERLINK("http://www.ncbi.nlm.nih.gov/gene/187667", "187667")</f>
        <v>187667</v>
      </c>
      <c r="C3937" s="9"/>
      <c r="D3937" t="str">
        <f>"fbxc-34"</f>
        <v>fbxc-34</v>
      </c>
      <c r="E3937" t="s">
        <v>311</v>
      </c>
      <c r="F3937" t="s">
        <v>11</v>
      </c>
      <c r="H3937" s="12">
        <v>2.2200708525430501</v>
      </c>
      <c r="I3937" s="11">
        <v>2.2086610570876299</v>
      </c>
      <c r="J3937" s="10">
        <v>2.71982250389818E-2</v>
      </c>
      <c r="K3937" s="29">
        <v>0.36622505113678</v>
      </c>
    </row>
    <row r="3938" spans="1:11" x14ac:dyDescent="0.35">
      <c r="A3938" s="9" t="str">
        <f>HYPERLINK("http://www.ensembl.org/id/WBGene00017507", "WBGene00017507")</f>
        <v>WBGene00017507</v>
      </c>
      <c r="B3938" s="9" t="str">
        <f>HYPERLINK("http://www.ncbi.nlm.nih.gov/gene/178647", "178647")</f>
        <v>178647</v>
      </c>
      <c r="C3938" s="9"/>
      <c r="D3938" t="str">
        <f>"F16B4.5"</f>
        <v>F16B4.5</v>
      </c>
      <c r="F3938" t="s">
        <v>11</v>
      </c>
      <c r="H3938" s="12">
        <v>2.2197018814167699</v>
      </c>
      <c r="I3938" s="11">
        <v>2.2029472070315599</v>
      </c>
      <c r="J3938" s="10">
        <v>2.7598469819909401E-2</v>
      </c>
      <c r="K3938" s="29">
        <v>0.37031953754868002</v>
      </c>
    </row>
    <row r="3939" spans="1:11" x14ac:dyDescent="0.35">
      <c r="A3939" s="9" t="str">
        <f>HYPERLINK("http://www.ensembl.org/id/WBGene00019517", "WBGene00019517")</f>
        <v>WBGene00019517</v>
      </c>
      <c r="B3939" s="9"/>
      <c r="C3939" s="9"/>
      <c r="D3939" t="str">
        <f>"K08B4.5"</f>
        <v>K08B4.5</v>
      </c>
      <c r="F3939" t="s">
        <v>80</v>
      </c>
      <c r="H3939" s="12">
        <v>2.2185993607635002</v>
      </c>
      <c r="I3939" s="11">
        <v>0.90722728105536699</v>
      </c>
      <c r="J3939" s="10">
        <v>0.36428661989415401</v>
      </c>
      <c r="K3939" s="29">
        <v>0.98289565623980701</v>
      </c>
    </row>
    <row r="3940" spans="1:11" x14ac:dyDescent="0.35">
      <c r="A3940" s="9" t="str">
        <f>HYPERLINK("http://www.ensembl.org/id/WBGene00015080", "WBGene00015080")</f>
        <v>WBGene00015080</v>
      </c>
      <c r="B3940" s="9" t="str">
        <f>HYPERLINK("http://www.ncbi.nlm.nih.gov/gene/181876", "181876")</f>
        <v>181876</v>
      </c>
      <c r="C3940" s="9"/>
      <c r="D3940" t="str">
        <f>"B0244.5"</f>
        <v>B0244.5</v>
      </c>
      <c r="E3940" t="s">
        <v>4422</v>
      </c>
      <c r="F3940" t="s">
        <v>11</v>
      </c>
      <c r="G3940" t="s">
        <v>1793</v>
      </c>
      <c r="H3940" s="12">
        <v>2.21780638877296</v>
      </c>
      <c r="I3940" s="11">
        <v>0.43675823337852299</v>
      </c>
      <c r="J3940" s="10">
        <v>0.66228669205471302</v>
      </c>
      <c r="K3940" s="29">
        <v>0.98289565623980701</v>
      </c>
    </row>
    <row r="3941" spans="1:11" x14ac:dyDescent="0.35">
      <c r="A3941" s="9" t="str">
        <f>HYPERLINK("http://www.ensembl.org/id/WBGene00019912", "WBGene00019912")</f>
        <v>WBGene00019912</v>
      </c>
      <c r="B3941" s="9"/>
      <c r="C3941" s="9"/>
      <c r="D3941" t="str">
        <f>"R06B10.1"</f>
        <v>R06B10.1</v>
      </c>
      <c r="F3941" t="s">
        <v>80</v>
      </c>
      <c r="H3941" s="12">
        <v>2.2170236267607901</v>
      </c>
      <c r="I3941" s="11">
        <v>0.62416390154401602</v>
      </c>
      <c r="J3941" s="10">
        <v>0.53251995119441498</v>
      </c>
      <c r="K3941" s="29">
        <v>0.98289565623980701</v>
      </c>
    </row>
    <row r="3942" spans="1:11" x14ac:dyDescent="0.35">
      <c r="A3942" s="9" t="str">
        <f>HYPERLINK("http://www.ensembl.org/id/WBGene00006149", "WBGene00006149")</f>
        <v>WBGene00006149</v>
      </c>
      <c r="B3942" s="9" t="str">
        <f>HYPERLINK("http://www.ncbi.nlm.nih.gov/gene/191995", "191995")</f>
        <v>191995</v>
      </c>
      <c r="C3942" s="9"/>
      <c r="D3942" t="str">
        <f>"str-90"</f>
        <v>str-90</v>
      </c>
      <c r="E3942" t="s">
        <v>590</v>
      </c>
      <c r="F3942" t="s">
        <v>11</v>
      </c>
      <c r="G3942" t="s">
        <v>591</v>
      </c>
      <c r="H3942" s="12">
        <v>2.2170033158965299</v>
      </c>
      <c r="I3942" s="11">
        <v>0.45481065411531901</v>
      </c>
      <c r="J3942" s="10">
        <v>0.64924546474963396</v>
      </c>
      <c r="K3942" s="29">
        <v>0.98289565623980701</v>
      </c>
    </row>
    <row r="3943" spans="1:11" x14ac:dyDescent="0.35">
      <c r="A3943" s="9" t="str">
        <f>HYPERLINK("http://www.ensembl.org/id/WBGene00013292", "WBGene00013292")</f>
        <v>WBGene00013292</v>
      </c>
      <c r="B3943" s="9" t="str">
        <f>HYPERLINK("http://www.ncbi.nlm.nih.gov/gene/190363", "190363")</f>
        <v>190363</v>
      </c>
      <c r="C3943" s="9"/>
      <c r="D3943" t="str">
        <f>"Y57G11A.4"</f>
        <v>Y57G11A.4</v>
      </c>
      <c r="F3943" t="s">
        <v>11</v>
      </c>
      <c r="H3943" s="12">
        <v>2.2164479051129402</v>
      </c>
      <c r="I3943" s="11">
        <v>2.8570133051743598</v>
      </c>
      <c r="J3943" s="10">
        <v>4.2764791148170696E-3</v>
      </c>
      <c r="K3943" s="29">
        <v>0.109641298898315</v>
      </c>
    </row>
    <row r="3944" spans="1:11" x14ac:dyDescent="0.35">
      <c r="A3944" s="9" t="str">
        <f>HYPERLINK("http://www.ensembl.org/id/WBGene00002108", "WBGene00002108")</f>
        <v>WBGene00002108</v>
      </c>
      <c r="B3944" s="9" t="str">
        <f>HYPERLINK("http://www.ncbi.nlm.nih.gov/gene/3565916", "3565916")</f>
        <v>3565916</v>
      </c>
      <c r="C3944" s="9"/>
      <c r="D3944" t="str">
        <f>"ins-25"</f>
        <v>ins-25</v>
      </c>
      <c r="E3944" t="s">
        <v>12</v>
      </c>
      <c r="F3944" t="s">
        <v>11</v>
      </c>
      <c r="G3944" t="s">
        <v>13</v>
      </c>
      <c r="H3944" s="12">
        <v>2.21621069786536</v>
      </c>
      <c r="I3944" s="11">
        <v>0.92796547365419801</v>
      </c>
      <c r="J3944" s="10">
        <v>0.35342547954981801</v>
      </c>
      <c r="K3944" s="29">
        <v>0.98289565623980701</v>
      </c>
    </row>
    <row r="3945" spans="1:11" x14ac:dyDescent="0.35">
      <c r="A3945" s="9" t="str">
        <f>HYPERLINK("http://www.ensembl.org/id/WBGene00020250", "WBGene00020250")</f>
        <v>WBGene00020250</v>
      </c>
      <c r="B3945" s="9" t="str">
        <f>HYPERLINK("http://www.ncbi.nlm.nih.gov/gene/188114", "188114")</f>
        <v>188114</v>
      </c>
      <c r="C3945" s="9"/>
      <c r="D3945" t="str">
        <f>"T05C1.3"</f>
        <v>T05C1.3</v>
      </c>
      <c r="F3945" t="s">
        <v>11</v>
      </c>
      <c r="H3945" s="12">
        <v>2.2131053692432601</v>
      </c>
      <c r="I3945" s="11">
        <v>1.05338761893278</v>
      </c>
      <c r="J3945" s="10">
        <v>0.29216337628189898</v>
      </c>
      <c r="K3945" s="29">
        <v>0.98289565623980701</v>
      </c>
    </row>
    <row r="3946" spans="1:11" x14ac:dyDescent="0.35">
      <c r="A3946" s="9" t="str">
        <f>HYPERLINK("http://www.ensembl.org/id/WBGene00019331", "WBGene00019331")</f>
        <v>WBGene00019331</v>
      </c>
      <c r="B3946" s="9" t="str">
        <f>HYPERLINK("http://www.ncbi.nlm.nih.gov/gene/186905", "186905")</f>
        <v>186905</v>
      </c>
      <c r="C3946" s="9"/>
      <c r="D3946" t="str">
        <f>"dos-3"</f>
        <v>dos-3</v>
      </c>
      <c r="E3946" t="s">
        <v>4146</v>
      </c>
      <c r="F3946" t="s">
        <v>11</v>
      </c>
      <c r="G3946" t="s">
        <v>4147</v>
      </c>
      <c r="H3946" s="12">
        <v>2.2130298780442899</v>
      </c>
      <c r="I3946" s="11">
        <v>1.2215796623513899</v>
      </c>
      <c r="J3946" s="10">
        <v>0.221866623419707</v>
      </c>
      <c r="K3946" s="29">
        <v>0.97458737510585802</v>
      </c>
    </row>
    <row r="3947" spans="1:11" x14ac:dyDescent="0.35">
      <c r="A3947" s="9" t="str">
        <f>HYPERLINK("http://www.ensembl.org/id/WBGene00013147", "WBGene00013147")</f>
        <v>WBGene00013147</v>
      </c>
      <c r="B3947" s="9" t="str">
        <f>HYPERLINK("http://www.ncbi.nlm.nih.gov/gene/190204", "190204")</f>
        <v>190204</v>
      </c>
      <c r="C3947" s="9"/>
      <c r="D3947" t="str">
        <f>"eyg-1"</f>
        <v>eyg-1</v>
      </c>
      <c r="E3947" t="s">
        <v>4423</v>
      </c>
      <c r="F3947" t="s">
        <v>11</v>
      </c>
      <c r="G3947" t="s">
        <v>2171</v>
      </c>
      <c r="H3947" s="12">
        <v>2.21270768181085</v>
      </c>
      <c r="I3947" s="11">
        <v>1.1453869193122601</v>
      </c>
      <c r="J3947" s="10">
        <v>0.25204891447479799</v>
      </c>
      <c r="K3947" s="29">
        <v>0.98289565623980701</v>
      </c>
    </row>
    <row r="3948" spans="1:11" x14ac:dyDescent="0.35">
      <c r="A3948" s="9" t="str">
        <f>HYPERLINK("http://www.ensembl.org/id/WBGene00010928", "WBGene00010928")</f>
        <v>WBGene00010928</v>
      </c>
      <c r="B3948" s="9" t="str">
        <f>HYPERLINK("http://www.ncbi.nlm.nih.gov/gene/187486", "187486")</f>
        <v>187486</v>
      </c>
      <c r="C3948" s="9"/>
      <c r="D3948" t="str">
        <f>"clec-258"</f>
        <v>clec-258</v>
      </c>
      <c r="E3948" t="s">
        <v>46</v>
      </c>
      <c r="F3948" t="s">
        <v>11</v>
      </c>
      <c r="G3948" t="s">
        <v>47</v>
      </c>
      <c r="H3948" s="12">
        <v>2.21225826737694</v>
      </c>
      <c r="I3948" s="11">
        <v>0.56696460148712402</v>
      </c>
      <c r="J3948" s="10">
        <v>0.57073823183198502</v>
      </c>
      <c r="K3948" s="29">
        <v>0.98289565623980701</v>
      </c>
    </row>
    <row r="3949" spans="1:11" x14ac:dyDescent="0.35">
      <c r="A3949" s="9" t="str">
        <f>HYPERLINK("http://www.ensembl.org/id/WBGene00021011", "WBGene00021011")</f>
        <v>WBGene00021011</v>
      </c>
      <c r="B3949" s="9" t="str">
        <f>HYPERLINK("http://www.ncbi.nlm.nih.gov/gene/189167", "189167")</f>
        <v>189167</v>
      </c>
      <c r="C3949" s="9"/>
      <c r="D3949" t="str">
        <f>"W03G1.5"</f>
        <v>W03G1.5</v>
      </c>
      <c r="F3949" t="s">
        <v>11</v>
      </c>
      <c r="H3949" s="12">
        <v>2.2116091460704799</v>
      </c>
      <c r="I3949" s="11">
        <v>3.3847852712901401</v>
      </c>
      <c r="J3949" s="10">
        <v>7.1233955913474901E-4</v>
      </c>
      <c r="K3949" s="29">
        <v>2.998054253801E-2</v>
      </c>
    </row>
    <row r="3950" spans="1:11" x14ac:dyDescent="0.35">
      <c r="A3950" s="9" t="str">
        <f>HYPERLINK("http://www.ensembl.org/id/WBGene00020420", "WBGene00020420")</f>
        <v>WBGene00020420</v>
      </c>
      <c r="B3950" s="9" t="str">
        <f>HYPERLINK("http://www.ncbi.nlm.nih.gov/gene/188386", "188386")</f>
        <v>188386</v>
      </c>
      <c r="C3950" s="9"/>
      <c r="D3950" t="str">
        <f>"T10E10.3"</f>
        <v>T10E10.3</v>
      </c>
      <c r="F3950" t="s">
        <v>11</v>
      </c>
      <c r="G3950" t="s">
        <v>2336</v>
      </c>
      <c r="H3950" s="12">
        <v>2.2114722063374499</v>
      </c>
      <c r="I3950" s="11">
        <v>1.0847727923821899</v>
      </c>
      <c r="J3950" s="10">
        <v>0.27802229867190997</v>
      </c>
      <c r="K3950" s="29">
        <v>0.98289565623980701</v>
      </c>
    </row>
    <row r="3951" spans="1:11" x14ac:dyDescent="0.35">
      <c r="A3951" s="9" t="str">
        <f>HYPERLINK("http://www.ensembl.org/id/WBGene00219298", "WBGene00219298")</f>
        <v>WBGene00219298</v>
      </c>
      <c r="B3951" s="9" t="str">
        <f>HYPERLINK("http://www.ncbi.nlm.nih.gov/gene/13190818", "13190818")</f>
        <v>13190818</v>
      </c>
      <c r="C3951" s="9"/>
      <c r="D3951" t="str">
        <f>"F55H2.8"</f>
        <v>F55H2.8</v>
      </c>
      <c r="F3951" t="s">
        <v>11</v>
      </c>
      <c r="H3951" s="12">
        <v>2.21124443039847</v>
      </c>
      <c r="I3951" s="11">
        <v>1.8238264548855301</v>
      </c>
      <c r="J3951" s="10">
        <v>6.8178313066837498E-2</v>
      </c>
      <c r="K3951" s="29">
        <v>0.61974572351538304</v>
      </c>
    </row>
    <row r="3952" spans="1:11" x14ac:dyDescent="0.35">
      <c r="A3952" s="9" t="str">
        <f>HYPERLINK("http://www.ensembl.org/id/WBGene00185097", "WBGene00185097")</f>
        <v>WBGene00185097</v>
      </c>
      <c r="B3952" s="9" t="str">
        <f>HYPERLINK("http://www.ncbi.nlm.nih.gov/gene/13211194", "13211194")</f>
        <v>13211194</v>
      </c>
      <c r="C3952" s="9"/>
      <c r="D3952" t="str">
        <f>"C49C3.20"</f>
        <v>C49C3.20</v>
      </c>
      <c r="F3952" t="s">
        <v>11</v>
      </c>
      <c r="G3952" t="s">
        <v>25</v>
      </c>
      <c r="H3952" s="12">
        <v>2.2111091198496999</v>
      </c>
      <c r="I3952" s="11">
        <v>0.39347269154616199</v>
      </c>
      <c r="J3952" s="10">
        <v>0.69397038981090498</v>
      </c>
      <c r="K3952" s="29">
        <v>0.98289565623980701</v>
      </c>
    </row>
    <row r="3953" spans="1:11" x14ac:dyDescent="0.35">
      <c r="A3953" s="9" t="str">
        <f>HYPERLINK("http://www.ensembl.org/id/WBGene00023066", "WBGene00023066")</f>
        <v>WBGene00023066</v>
      </c>
      <c r="B3953" s="9"/>
      <c r="C3953" s="9"/>
      <c r="D3953" t="str">
        <f>"F53F10.7"</f>
        <v>F53F10.7</v>
      </c>
      <c r="F3953" t="s">
        <v>481</v>
      </c>
      <c r="H3953" s="12">
        <v>2.2111091198496999</v>
      </c>
      <c r="I3953" s="11">
        <v>0.39347269154616199</v>
      </c>
      <c r="J3953" s="10">
        <v>0.69397038981090498</v>
      </c>
      <c r="K3953" s="29">
        <v>0.98289565623980701</v>
      </c>
    </row>
    <row r="3954" spans="1:11" x14ac:dyDescent="0.35">
      <c r="A3954" s="9" t="str">
        <f>HYPERLINK("http://www.ensembl.org/id/WBGene00003563", "WBGene00003563")</f>
        <v>WBGene00003563</v>
      </c>
      <c r="B3954" s="9" t="str">
        <f>HYPERLINK("http://www.ncbi.nlm.nih.gov/gene/180448", "180448")</f>
        <v>180448</v>
      </c>
      <c r="C3954" s="9" t="str">
        <f>HYPERLINK("http://www.ncbi.nlm.nih.gov/gene/23413", "23413")</f>
        <v>23413</v>
      </c>
      <c r="D3954" t="str">
        <f>"ncs-1"</f>
        <v>ncs-1</v>
      </c>
      <c r="E3954" t="s">
        <v>758</v>
      </c>
      <c r="F3954" t="s">
        <v>11</v>
      </c>
      <c r="G3954" t="s">
        <v>325</v>
      </c>
      <c r="H3954" s="12">
        <v>2.2100225900795798</v>
      </c>
      <c r="I3954" s="11">
        <v>2.88973810470352</v>
      </c>
      <c r="J3954" s="10">
        <v>3.8556289416078098E-3</v>
      </c>
      <c r="K3954" s="29">
        <v>0.101931535840721</v>
      </c>
    </row>
    <row r="3955" spans="1:11" x14ac:dyDescent="0.35">
      <c r="A3955" s="9" t="str">
        <f>HYPERLINK("http://www.ensembl.org/id/WBGene00022623", "WBGene00022623")</f>
        <v>WBGene00022623</v>
      </c>
      <c r="B3955" s="9" t="str">
        <f>HYPERLINK("http://www.ncbi.nlm.nih.gov/gene/179065", "179065")</f>
        <v>179065</v>
      </c>
      <c r="C3955" s="9"/>
      <c r="D3955" t="str">
        <f>"ZC487.1"</f>
        <v>ZC487.1</v>
      </c>
      <c r="F3955" t="s">
        <v>11</v>
      </c>
      <c r="G3955" t="s">
        <v>447</v>
      </c>
      <c r="H3955" s="12">
        <v>2.2097429757708502</v>
      </c>
      <c r="I3955" s="11">
        <v>3.5388483805576301</v>
      </c>
      <c r="J3955" s="10">
        <v>4.0187660530917302E-4</v>
      </c>
      <c r="K3955" s="29">
        <v>1.9548970194260499E-2</v>
      </c>
    </row>
    <row r="3956" spans="1:11" x14ac:dyDescent="0.35">
      <c r="A3956" s="9" t="str">
        <f>HYPERLINK("http://www.ensembl.org/id/WBGene00020223", "WBGene00020223")</f>
        <v>WBGene00020223</v>
      </c>
      <c r="B3956" s="9" t="str">
        <f>HYPERLINK("http://www.ncbi.nlm.nih.gov/gene/173804", "173804")</f>
        <v>173804</v>
      </c>
      <c r="C3956" s="9"/>
      <c r="D3956" t="str">
        <f>"T05A7.6"</f>
        <v>T05A7.6</v>
      </c>
      <c r="F3956" t="s">
        <v>11</v>
      </c>
      <c r="G3956" t="s">
        <v>4424</v>
      </c>
      <c r="H3956" s="12">
        <v>2.2093132715300698</v>
      </c>
      <c r="I3956" s="11">
        <v>0.99646639970019601</v>
      </c>
      <c r="J3956" s="10">
        <v>0.31902358483260901</v>
      </c>
      <c r="K3956" s="29">
        <v>0.98289565623980701</v>
      </c>
    </row>
    <row r="3957" spans="1:11" x14ac:dyDescent="0.35">
      <c r="A3957" s="9" t="str">
        <f>HYPERLINK("http://www.ensembl.org/id/WBGene00009593", "WBGene00009593")</f>
        <v>WBGene00009593</v>
      </c>
      <c r="B3957" s="9" t="str">
        <f>HYPERLINK("http://www.ncbi.nlm.nih.gov/gene/185552", "185552")</f>
        <v>185552</v>
      </c>
      <c r="C3957" s="9"/>
      <c r="D3957" t="str">
        <f>"mam-7"</f>
        <v>mam-7</v>
      </c>
      <c r="E3957" t="s">
        <v>679</v>
      </c>
      <c r="F3957" t="s">
        <v>11</v>
      </c>
      <c r="G3957" t="s">
        <v>427</v>
      </c>
      <c r="H3957" s="12">
        <v>2.20918333845459</v>
      </c>
      <c r="I3957" s="11">
        <v>0.416665609070135</v>
      </c>
      <c r="J3957" s="10">
        <v>0.67692301270072197</v>
      </c>
      <c r="K3957" s="29">
        <v>0.98289565623980701</v>
      </c>
    </row>
    <row r="3958" spans="1:11" x14ac:dyDescent="0.35">
      <c r="A3958" s="9" t="str">
        <f>HYPERLINK("http://www.ensembl.org/id/WBGene00013163", "WBGene00013163")</f>
        <v>WBGene00013163</v>
      </c>
      <c r="B3958" s="9" t="str">
        <f>HYPERLINK("http://www.ncbi.nlm.nih.gov/gene/190216", "190216")</f>
        <v>190216</v>
      </c>
      <c r="C3958" s="9"/>
      <c r="D3958" t="str">
        <f>"Y53F4B.17"</f>
        <v>Y53F4B.17</v>
      </c>
      <c r="F3958" t="s">
        <v>11</v>
      </c>
      <c r="H3958" s="12">
        <v>2.20918333845459</v>
      </c>
      <c r="I3958" s="11">
        <v>0.416665609070135</v>
      </c>
      <c r="J3958" s="10">
        <v>0.67692301270072197</v>
      </c>
      <c r="K3958" s="29">
        <v>0.98289565623980701</v>
      </c>
    </row>
    <row r="3959" spans="1:11" x14ac:dyDescent="0.35">
      <c r="A3959" s="9" t="str">
        <f>HYPERLINK("http://www.ensembl.org/id/WBGene00235291", "WBGene00235291")</f>
        <v>WBGene00235291</v>
      </c>
      <c r="B3959" s="9" t="str">
        <f>HYPERLINK("http://www.ncbi.nlm.nih.gov/gene/24104148", "24104148")</f>
        <v>24104148</v>
      </c>
      <c r="C3959" s="9"/>
      <c r="D3959" t="str">
        <f>"C01G5.25"</f>
        <v>C01G5.25</v>
      </c>
      <c r="F3959" t="s">
        <v>11</v>
      </c>
      <c r="H3959" s="12">
        <v>2.20871297576047</v>
      </c>
      <c r="I3959" s="11">
        <v>2.5768220704756399</v>
      </c>
      <c r="J3959" s="10">
        <v>9.9713263731186306E-3</v>
      </c>
      <c r="K3959" s="29">
        <v>0.19541769904773501</v>
      </c>
    </row>
    <row r="3960" spans="1:11" x14ac:dyDescent="0.35">
      <c r="A3960" s="9" t="str">
        <f>HYPERLINK("http://www.ensembl.org/id/WBGene00015820", "WBGene00015820")</f>
        <v>WBGene00015820</v>
      </c>
      <c r="B3960" s="9" t="str">
        <f>HYPERLINK("http://www.ncbi.nlm.nih.gov/gene/182651", "182651")</f>
        <v>182651</v>
      </c>
      <c r="C3960" s="9"/>
      <c r="D3960" t="str">
        <f>"C16A11.7"</f>
        <v>C16A11.7</v>
      </c>
      <c r="F3960" t="s">
        <v>11</v>
      </c>
      <c r="H3960" s="12">
        <v>2.2087082603477799</v>
      </c>
      <c r="I3960" s="11">
        <v>0.90734080240992998</v>
      </c>
      <c r="J3960" s="10">
        <v>0.36422660351887898</v>
      </c>
      <c r="K3960" s="29">
        <v>0.98289565623980701</v>
      </c>
    </row>
    <row r="3961" spans="1:11" x14ac:dyDescent="0.35">
      <c r="A3961" s="9" t="str">
        <f>HYPERLINK("http://www.ensembl.org/id/WBGene00007471", "WBGene00007471")</f>
        <v>WBGene00007471</v>
      </c>
      <c r="B3961" s="9" t="str">
        <f>HYPERLINK("http://www.ncbi.nlm.nih.gov/gene/182436", "182436")</f>
        <v>182436</v>
      </c>
      <c r="C3961" s="9"/>
      <c r="D3961" t="str">
        <f>"chil-6"</f>
        <v>chil-6</v>
      </c>
      <c r="E3961" t="s">
        <v>1756</v>
      </c>
      <c r="F3961" t="s">
        <v>11</v>
      </c>
      <c r="G3961" t="s">
        <v>1509</v>
      </c>
      <c r="H3961" s="12">
        <v>2.20839511103213</v>
      </c>
      <c r="I3961" s="11">
        <v>0.52611242602057895</v>
      </c>
      <c r="J3961" s="10">
        <v>0.59881009553680897</v>
      </c>
      <c r="K3961" s="29">
        <v>0.98289565623980701</v>
      </c>
    </row>
    <row r="3962" spans="1:11" x14ac:dyDescent="0.35">
      <c r="A3962" s="9" t="str">
        <f>HYPERLINK("http://www.ensembl.org/id/WBGene00020879", "WBGene00020879")</f>
        <v>WBGene00020879</v>
      </c>
      <c r="B3962" s="9" t="str">
        <f>HYPERLINK("http://www.ncbi.nlm.nih.gov/gene/189022", "189022")</f>
        <v>189022</v>
      </c>
      <c r="C3962" s="9"/>
      <c r="D3962" t="str">
        <f>"T28A11.17"</f>
        <v>T28A11.17</v>
      </c>
      <c r="F3962" t="s">
        <v>11</v>
      </c>
      <c r="H3962" s="12">
        <v>2.2076754203298501</v>
      </c>
      <c r="I3962" s="11">
        <v>1.80704545409286</v>
      </c>
      <c r="J3962" s="10">
        <v>7.0755192315503299E-2</v>
      </c>
      <c r="K3962" s="29">
        <v>0.62854175683060398</v>
      </c>
    </row>
    <row r="3963" spans="1:11" x14ac:dyDescent="0.35">
      <c r="A3963" s="9" t="str">
        <f>HYPERLINK("http://www.ensembl.org/id/WBGene00010982", "WBGene00010982")</f>
        <v>WBGene00010982</v>
      </c>
      <c r="B3963" s="9" t="str">
        <f>HYPERLINK("http://www.ncbi.nlm.nih.gov/gene/187533", "187533")</f>
        <v>187533</v>
      </c>
      <c r="C3963" s="9"/>
      <c r="D3963" t="str">
        <f>"flp-32"</f>
        <v>flp-32</v>
      </c>
      <c r="E3963" t="s">
        <v>401</v>
      </c>
      <c r="F3963" t="s">
        <v>11</v>
      </c>
      <c r="H3963" s="12">
        <v>2.2076157737270399</v>
      </c>
      <c r="I3963" s="11">
        <v>3.2345032137494201</v>
      </c>
      <c r="J3963" s="10">
        <v>1.2185454927832601E-3</v>
      </c>
      <c r="K3963" s="29">
        <v>4.53393110406601E-2</v>
      </c>
    </row>
    <row r="3964" spans="1:11" x14ac:dyDescent="0.35">
      <c r="A3964" s="9" t="str">
        <f>HYPERLINK("http://www.ensembl.org/id/WBGene00012123", "WBGene00012123")</f>
        <v>WBGene00012123</v>
      </c>
      <c r="B3964" s="9" t="str">
        <f>HYPERLINK("http://www.ncbi.nlm.nih.gov/gene/176567", "176567")</f>
        <v>176567</v>
      </c>
      <c r="C3964" s="9"/>
      <c r="D3964" t="str">
        <f>"T28D6.3"</f>
        <v>T28D6.3</v>
      </c>
      <c r="F3964" t="s">
        <v>11</v>
      </c>
      <c r="H3964" s="12">
        <v>2.20737993645049</v>
      </c>
      <c r="I3964" s="11">
        <v>2.3593247490068801</v>
      </c>
      <c r="J3964" s="10">
        <v>1.8308226155910101E-2</v>
      </c>
      <c r="K3964" s="29">
        <v>0.28372224920084399</v>
      </c>
    </row>
    <row r="3965" spans="1:11" x14ac:dyDescent="0.35">
      <c r="A3965" s="9" t="str">
        <f>HYPERLINK("http://www.ensembl.org/id/WBGene00020054", "WBGene00020054")</f>
        <v>WBGene00020054</v>
      </c>
      <c r="B3965" s="9" t="str">
        <f>HYPERLINK("http://www.ncbi.nlm.nih.gov/gene/179128", "179128")</f>
        <v>179128</v>
      </c>
      <c r="C3965" s="9"/>
      <c r="D3965" t="str">
        <f>"R13D7.2"</f>
        <v>R13D7.2</v>
      </c>
      <c r="F3965" t="s">
        <v>11</v>
      </c>
      <c r="H3965" s="12">
        <v>2.2064969313494198</v>
      </c>
      <c r="I3965" s="11">
        <v>2.39020425565201</v>
      </c>
      <c r="J3965" s="10">
        <v>1.68390049172529E-2</v>
      </c>
      <c r="K3965" s="29">
        <v>0.27189521147312801</v>
      </c>
    </row>
    <row r="3966" spans="1:11" x14ac:dyDescent="0.35">
      <c r="A3966" s="9" t="str">
        <f>HYPERLINK("http://www.ensembl.org/id/WBGene00023501", "WBGene00023501")</f>
        <v>WBGene00023501</v>
      </c>
      <c r="B3966" s="9" t="str">
        <f>HYPERLINK("http://www.ncbi.nlm.nih.gov/gene/259609", "259609")</f>
        <v>259609</v>
      </c>
      <c r="C3966" s="9"/>
      <c r="D3966" t="str">
        <f>"F11E6.11"</f>
        <v>F11E6.11</v>
      </c>
      <c r="F3966" t="s">
        <v>11</v>
      </c>
      <c r="G3966" t="s">
        <v>25</v>
      </c>
      <c r="H3966" s="12">
        <v>2.2059039117435799</v>
      </c>
      <c r="I3966" s="11">
        <v>2.2871526973461198</v>
      </c>
      <c r="J3966" s="10">
        <v>2.2186911908237499E-2</v>
      </c>
      <c r="K3966" s="29">
        <v>0.32116135672013002</v>
      </c>
    </row>
    <row r="3967" spans="1:11" x14ac:dyDescent="0.35">
      <c r="A3967" s="9" t="str">
        <f>HYPERLINK("http://www.ensembl.org/id/WBGene00004124", "WBGene00004124")</f>
        <v>WBGene00004124</v>
      </c>
      <c r="B3967" s="9" t="str">
        <f>HYPERLINK("http://www.ncbi.nlm.nih.gov/gene/185539", "185539")</f>
        <v>185539</v>
      </c>
      <c r="C3967" s="9"/>
      <c r="D3967" t="str">
        <f>"pqn-37"</f>
        <v>pqn-37</v>
      </c>
      <c r="E3967" t="s">
        <v>432</v>
      </c>
      <c r="F3967" t="s">
        <v>11</v>
      </c>
      <c r="H3967" s="12">
        <v>2.2041422640011099</v>
      </c>
      <c r="I3967" s="11">
        <v>3.2448539413243598</v>
      </c>
      <c r="J3967" s="10">
        <v>1.17510880234291E-3</v>
      </c>
      <c r="K3967" s="29">
        <v>4.4366117625711202E-2</v>
      </c>
    </row>
    <row r="3968" spans="1:11" x14ac:dyDescent="0.35">
      <c r="A3968" s="9" t="str">
        <f>HYPERLINK("http://www.ensembl.org/id/WBGene00077450", "WBGene00077450")</f>
        <v>WBGene00077450</v>
      </c>
      <c r="B3968" s="9" t="str">
        <f>HYPERLINK("http://www.ncbi.nlm.nih.gov/gene/6418752", "6418752")</f>
        <v>6418752</v>
      </c>
      <c r="C3968" s="9"/>
      <c r="D3968" t="str">
        <f>"K06B4.15"</f>
        <v>K06B4.15</v>
      </c>
      <c r="F3968" t="s">
        <v>11</v>
      </c>
      <c r="G3968" t="s">
        <v>25</v>
      </c>
      <c r="H3968" s="12">
        <v>2.2034157933534502</v>
      </c>
      <c r="I3968" s="11">
        <v>0.39131358250509701</v>
      </c>
      <c r="J3968" s="10">
        <v>0.69556546033603905</v>
      </c>
      <c r="K3968" s="29">
        <v>0.98289565623980701</v>
      </c>
    </row>
    <row r="3969" spans="1:11" x14ac:dyDescent="0.35">
      <c r="A3969" s="9" t="str">
        <f>HYPERLINK("http://www.ensembl.org/id/WBGene00004102", "WBGene00004102")</f>
        <v>WBGene00004102</v>
      </c>
      <c r="B3969" s="9" t="str">
        <f>HYPERLINK("http://www.ncbi.nlm.nih.gov/gene/182449", "182449")</f>
        <v>182449</v>
      </c>
      <c r="C3969" s="9"/>
      <c r="D3969" t="str">
        <f>"pqn-10"</f>
        <v>pqn-10</v>
      </c>
      <c r="E3969" t="s">
        <v>432</v>
      </c>
      <c r="F3969" t="s">
        <v>11</v>
      </c>
      <c r="G3969" t="s">
        <v>25</v>
      </c>
      <c r="H3969" s="12">
        <v>2.2030049179898499</v>
      </c>
      <c r="I3969" s="11">
        <v>0.83480167655052495</v>
      </c>
      <c r="J3969" s="10">
        <v>0.40382938174690802</v>
      </c>
      <c r="K3969" s="29">
        <v>0.98289565623980701</v>
      </c>
    </row>
    <row r="3970" spans="1:11" x14ac:dyDescent="0.35">
      <c r="A3970" s="9" t="str">
        <f>HYPERLINK("http://www.ensembl.org/id/WBGene00013585", "WBGene00013585")</f>
        <v>WBGene00013585</v>
      </c>
      <c r="B3970" s="9" t="str">
        <f>HYPERLINK("http://www.ncbi.nlm.nih.gov/gene/180236", "180236")</f>
        <v>180236</v>
      </c>
      <c r="C3970" s="9"/>
      <c r="D3970" t="str">
        <f>"cyp-42A1"</f>
        <v>cyp-42A1</v>
      </c>
      <c r="E3970" t="s">
        <v>176</v>
      </c>
      <c r="F3970" t="s">
        <v>11</v>
      </c>
      <c r="G3970" t="s">
        <v>332</v>
      </c>
      <c r="H3970" s="12">
        <v>2.2027798094803299</v>
      </c>
      <c r="I3970" s="11">
        <v>3.9291548765120798</v>
      </c>
      <c r="J3970" s="10">
        <v>8.5244925605457202E-5</v>
      </c>
      <c r="K3970" s="29">
        <v>5.84471587845606E-3</v>
      </c>
    </row>
    <row r="3971" spans="1:11" x14ac:dyDescent="0.35">
      <c r="A3971" s="9" t="str">
        <f>HYPERLINK("http://www.ensembl.org/id/WBGene00009710", "WBGene00009710")</f>
        <v>WBGene00009710</v>
      </c>
      <c r="B3971" s="9" t="str">
        <f>HYPERLINK("http://www.ncbi.nlm.nih.gov/gene/185758", "185758")</f>
        <v>185758</v>
      </c>
      <c r="C3971" s="9"/>
      <c r="D3971" t="str">
        <f>"F44G3.10"</f>
        <v>F44G3.10</v>
      </c>
      <c r="F3971" t="s">
        <v>11</v>
      </c>
      <c r="G3971" t="s">
        <v>394</v>
      </c>
      <c r="H3971" s="12">
        <v>2.2022331724974502</v>
      </c>
      <c r="I3971" s="11">
        <v>0.72095881025120601</v>
      </c>
      <c r="J3971" s="10">
        <v>0.47093485748256297</v>
      </c>
      <c r="K3971" s="29">
        <v>0.98289565623980701</v>
      </c>
    </row>
    <row r="3972" spans="1:11" x14ac:dyDescent="0.35">
      <c r="A3972" s="9" t="str">
        <f>HYPERLINK("http://www.ensembl.org/id/WBGene00008076", "WBGene00008076")</f>
        <v>WBGene00008076</v>
      </c>
      <c r="B3972" s="9" t="str">
        <f>HYPERLINK("http://www.ncbi.nlm.nih.gov/gene/259591", "259591")</f>
        <v>259591</v>
      </c>
      <c r="C3972" s="9"/>
      <c r="D3972" t="str">
        <f>"lgc-43"</f>
        <v>lgc-43</v>
      </c>
      <c r="E3972" t="s">
        <v>505</v>
      </c>
      <c r="F3972" t="s">
        <v>11</v>
      </c>
      <c r="G3972" t="s">
        <v>912</v>
      </c>
      <c r="H3972" s="12">
        <v>2.2016920095709298</v>
      </c>
      <c r="I3972" s="11">
        <v>2.7201827949020099</v>
      </c>
      <c r="J3972" s="10">
        <v>6.5245837356225703E-3</v>
      </c>
      <c r="K3972" s="29">
        <v>0.14235791482086399</v>
      </c>
    </row>
    <row r="3973" spans="1:11" x14ac:dyDescent="0.35">
      <c r="A3973" s="9" t="str">
        <f>HYPERLINK("http://www.ensembl.org/id/WBGene00015046", "WBGene00015046")</f>
        <v>WBGene00015046</v>
      </c>
      <c r="B3973" s="9" t="str">
        <f>HYPERLINK("http://www.ncbi.nlm.nih.gov/gene/259618", "259618")</f>
        <v>259618</v>
      </c>
      <c r="C3973" s="9"/>
      <c r="D3973" t="str">
        <f>"nlp-34"</f>
        <v>nlp-34</v>
      </c>
      <c r="E3973" t="s">
        <v>76</v>
      </c>
      <c r="F3973" t="s">
        <v>11</v>
      </c>
      <c r="G3973" t="s">
        <v>77</v>
      </c>
      <c r="H3973" s="12">
        <v>2.2011989535797301</v>
      </c>
      <c r="I3973" s="11">
        <v>1.7870543045053899</v>
      </c>
      <c r="J3973" s="10">
        <v>7.3928712025038507E-2</v>
      </c>
      <c r="K3973" s="29">
        <v>0.64121502254149398</v>
      </c>
    </row>
    <row r="3974" spans="1:11" x14ac:dyDescent="0.35">
      <c r="A3974" s="9" t="str">
        <f>HYPERLINK("http://www.ensembl.org/id/WBGene00012705", "WBGene00012705")</f>
        <v>WBGene00012705</v>
      </c>
      <c r="B3974" s="9" t="str">
        <f>HYPERLINK("http://www.ncbi.nlm.nih.gov/gene/189745", "189745")</f>
        <v>189745</v>
      </c>
      <c r="C3974" s="9"/>
      <c r="D3974" t="str">
        <f>"sre-18"</f>
        <v>sre-18</v>
      </c>
      <c r="E3974" t="s">
        <v>2638</v>
      </c>
      <c r="F3974" t="s">
        <v>11</v>
      </c>
      <c r="G3974" t="s">
        <v>2639</v>
      </c>
      <c r="H3974" s="12">
        <v>2.20110560035589</v>
      </c>
      <c r="I3974" s="11">
        <v>0.77438867991856497</v>
      </c>
      <c r="J3974" s="10">
        <v>0.43870097585633899</v>
      </c>
      <c r="K3974" s="29">
        <v>0.98289565623980701</v>
      </c>
    </row>
    <row r="3975" spans="1:11" x14ac:dyDescent="0.35">
      <c r="A3975" s="9" t="str">
        <f>HYPERLINK("http://www.ensembl.org/id/WBGene00020727", "WBGene00020727")</f>
        <v>WBGene00020727</v>
      </c>
      <c r="B3975" s="9" t="str">
        <f>HYPERLINK("http://www.ncbi.nlm.nih.gov/gene/188781", "188781")</f>
        <v>188781</v>
      </c>
      <c r="C3975" s="9"/>
      <c r="D3975" t="str">
        <f>"npr-21"</f>
        <v>npr-21</v>
      </c>
      <c r="E3975" t="s">
        <v>1021</v>
      </c>
      <c r="F3975" t="s">
        <v>11</v>
      </c>
      <c r="G3975" t="s">
        <v>1022</v>
      </c>
      <c r="H3975" s="12">
        <v>2.2007316392635401</v>
      </c>
      <c r="I3975" s="11">
        <v>2.5550669660532201</v>
      </c>
      <c r="J3975" s="10">
        <v>1.0616737048824199E-2</v>
      </c>
      <c r="K3975" s="29">
        <v>0.20290349565767801</v>
      </c>
    </row>
    <row r="3976" spans="1:11" x14ac:dyDescent="0.35">
      <c r="A3976" s="9" t="str">
        <f>HYPERLINK("http://www.ensembl.org/id/WBGene00015969", "WBGene00015969")</f>
        <v>WBGene00015969</v>
      </c>
      <c r="B3976" s="9" t="str">
        <f>HYPERLINK("http://www.ncbi.nlm.nih.gov/gene/182780", "182780")</f>
        <v>182780</v>
      </c>
      <c r="C3976" s="9"/>
      <c r="D3976" t="str">
        <f>"glb-6"</f>
        <v>glb-6</v>
      </c>
      <c r="E3976" t="s">
        <v>1291</v>
      </c>
      <c r="F3976" t="s">
        <v>11</v>
      </c>
      <c r="G3976" t="s">
        <v>867</v>
      </c>
      <c r="H3976" s="12">
        <v>2.2003452401362802</v>
      </c>
      <c r="I3976" s="11">
        <v>2.3184962675271699</v>
      </c>
      <c r="J3976" s="10">
        <v>2.0422365577697301E-2</v>
      </c>
      <c r="K3976" s="29">
        <v>0.30598300222326902</v>
      </c>
    </row>
    <row r="3977" spans="1:11" x14ac:dyDescent="0.35">
      <c r="A3977" s="9" t="str">
        <f>HYPERLINK("http://www.ensembl.org/id/WBGene00010499", "WBGene00010499")</f>
        <v>WBGene00010499</v>
      </c>
      <c r="B3977" s="9" t="str">
        <f>HYPERLINK("http://www.ncbi.nlm.nih.gov/gene/186870", "186870")</f>
        <v>186870</v>
      </c>
      <c r="C3977" s="9"/>
      <c r="D3977" t="str">
        <f>"K02B12.6"</f>
        <v>K02B12.6</v>
      </c>
      <c r="F3977" t="s">
        <v>11</v>
      </c>
      <c r="H3977" s="12">
        <v>2.20018869418378</v>
      </c>
      <c r="I3977" s="11">
        <v>0.444331165398064</v>
      </c>
      <c r="J3977" s="10">
        <v>0.65680317211846995</v>
      </c>
      <c r="K3977" s="29">
        <v>0.98289565623980701</v>
      </c>
    </row>
    <row r="3978" spans="1:11" x14ac:dyDescent="0.35">
      <c r="A3978" s="9" t="str">
        <f>HYPERLINK("http://www.ensembl.org/id/WBGene00015718", "WBGene00015718")</f>
        <v>WBGene00015718</v>
      </c>
      <c r="B3978" s="9" t="str">
        <f>HYPERLINK("http://www.ncbi.nlm.nih.gov/gene/182549", "182549")</f>
        <v>182549</v>
      </c>
      <c r="C3978" s="9"/>
      <c r="D3978" t="str">
        <f>"C13A2.1"</f>
        <v>C13A2.1</v>
      </c>
      <c r="F3978" t="s">
        <v>11</v>
      </c>
      <c r="G3978" t="s">
        <v>1212</v>
      </c>
      <c r="H3978" s="12">
        <v>2.1987967223659299</v>
      </c>
      <c r="I3978" s="11">
        <v>0.37517293522825701</v>
      </c>
      <c r="J3978" s="10">
        <v>0.70753185713437405</v>
      </c>
      <c r="K3978" s="29">
        <v>0.98289565623980701</v>
      </c>
    </row>
    <row r="3979" spans="1:11" x14ac:dyDescent="0.35">
      <c r="A3979" s="9" t="str">
        <f>HYPERLINK("http://www.ensembl.org/id/WBGene00197710", "WBGene00197710")</f>
        <v>WBGene00197710</v>
      </c>
      <c r="B3979" s="9"/>
      <c r="C3979" s="9"/>
      <c r="D3979" t="str">
        <f>"C14F11.14"</f>
        <v>C14F11.14</v>
      </c>
      <c r="F3979" t="s">
        <v>481</v>
      </c>
      <c r="H3979" s="12">
        <v>2.1984315862700798</v>
      </c>
      <c r="I3979" s="11">
        <v>0.28497317452086202</v>
      </c>
      <c r="J3979" s="10">
        <v>0.77566469379881398</v>
      </c>
      <c r="K3979" s="29">
        <v>0.98289565623980701</v>
      </c>
    </row>
    <row r="3980" spans="1:11" x14ac:dyDescent="0.35">
      <c r="A3980" s="9" t="str">
        <f>HYPERLINK("http://www.ensembl.org/id/WBGene00012402", "WBGene00012402")</f>
        <v>WBGene00012402</v>
      </c>
      <c r="B3980" s="9" t="str">
        <f>HYPERLINK("http://www.ncbi.nlm.nih.gov/gene/180055", "180055")</f>
        <v>180055</v>
      </c>
      <c r="C3980" s="9" t="str">
        <f>HYPERLINK("http://www.ncbi.nlm.nih.gov/gene/81855", "81855")</f>
        <v>81855</v>
      </c>
      <c r="D3980" t="str">
        <f>"sfxn-1.3"</f>
        <v>sfxn-1.3</v>
      </c>
      <c r="E3980" t="s">
        <v>4425</v>
      </c>
      <c r="F3980" t="s">
        <v>11</v>
      </c>
      <c r="G3980" t="s">
        <v>4426</v>
      </c>
      <c r="H3980" s="12">
        <v>2.1984315862700798</v>
      </c>
      <c r="I3980" s="11">
        <v>0.28497317452086202</v>
      </c>
      <c r="J3980" s="10">
        <v>0.77566469379881398</v>
      </c>
      <c r="K3980" s="29">
        <v>0.98289565623980701</v>
      </c>
    </row>
    <row r="3981" spans="1:11" x14ac:dyDescent="0.35">
      <c r="A3981" s="9" t="str">
        <f>HYPERLINK("http://www.ensembl.org/id/WBGene00020991", "WBGene00020991")</f>
        <v>WBGene00020991</v>
      </c>
      <c r="B3981" s="9"/>
      <c r="C3981" s="9"/>
      <c r="D3981" t="str">
        <f>"W03D8.10"</f>
        <v>W03D8.10</v>
      </c>
      <c r="F3981" t="s">
        <v>80</v>
      </c>
      <c r="H3981" s="12">
        <v>2.1984315862700798</v>
      </c>
      <c r="I3981" s="11">
        <v>0.28497317452086202</v>
      </c>
      <c r="J3981" s="10">
        <v>0.77566469379881398</v>
      </c>
      <c r="K3981" s="29">
        <v>0.98289565623980701</v>
      </c>
    </row>
    <row r="3982" spans="1:11" x14ac:dyDescent="0.35">
      <c r="A3982" s="9" t="str">
        <f>HYPERLINK("http://www.ensembl.org/id/WBGene00022652", "WBGene00022652")</f>
        <v>WBGene00022652</v>
      </c>
      <c r="B3982" s="9" t="str">
        <f>HYPERLINK("http://www.ncbi.nlm.nih.gov/gene/191219", "191219")</f>
        <v>191219</v>
      </c>
      <c r="C3982" s="9"/>
      <c r="D3982" t="str">
        <f>"ZK84.5"</f>
        <v>ZK84.5</v>
      </c>
      <c r="F3982" t="s">
        <v>11</v>
      </c>
      <c r="H3982" s="12">
        <v>2.1984315862700798</v>
      </c>
      <c r="I3982" s="11">
        <v>0.28497317452086202</v>
      </c>
      <c r="J3982" s="10">
        <v>0.77566469379881398</v>
      </c>
      <c r="K3982" s="29">
        <v>0.98289565623980701</v>
      </c>
    </row>
    <row r="3983" spans="1:11" x14ac:dyDescent="0.35">
      <c r="A3983" s="9" t="str">
        <f>HYPERLINK("http://www.ensembl.org/id/WBGene00004877", "WBGene00004877")</f>
        <v>WBGene00004877</v>
      </c>
      <c r="B3983" s="9" t="str">
        <f>HYPERLINK("http://www.ncbi.nlm.nih.gov/gene/191766", "191766")</f>
        <v>191766</v>
      </c>
      <c r="C3983" s="9" t="str">
        <f>HYPERLINK("http://www.ncbi.nlm.nih.gov/gene/4891", "4891")</f>
        <v>4891</v>
      </c>
      <c r="D3983" t="str">
        <f>"smf-2"</f>
        <v>smf-2</v>
      </c>
      <c r="E3983" t="s">
        <v>4427</v>
      </c>
      <c r="F3983" t="s">
        <v>11</v>
      </c>
      <c r="G3983" t="s">
        <v>575</v>
      </c>
      <c r="H3983" s="12">
        <v>2.1979536468324499</v>
      </c>
      <c r="I3983" s="11">
        <v>0.40312524400406102</v>
      </c>
      <c r="J3983" s="10">
        <v>0.68685609060777597</v>
      </c>
      <c r="K3983" s="29">
        <v>0.98289565623980701</v>
      </c>
    </row>
    <row r="3984" spans="1:11" x14ac:dyDescent="0.35">
      <c r="A3984" s="9" t="str">
        <f>HYPERLINK("http://www.ensembl.org/id/WBGene00010258", "WBGene00010258")</f>
        <v>WBGene00010258</v>
      </c>
      <c r="B3984" s="9" t="str">
        <f>HYPERLINK("http://www.ncbi.nlm.nih.gov/gene/259640", "259640")</f>
        <v>259640</v>
      </c>
      <c r="C3984" s="9"/>
      <c r="D3984" t="str">
        <f>"F58E6.11"</f>
        <v>F58E6.11</v>
      </c>
      <c r="F3984" t="s">
        <v>11</v>
      </c>
      <c r="G3984" t="s">
        <v>25</v>
      </c>
      <c r="H3984" s="12">
        <v>2.1972864582860199</v>
      </c>
      <c r="I3984" s="11">
        <v>2.16048988972224</v>
      </c>
      <c r="J3984" s="10">
        <v>3.0734765445238201E-2</v>
      </c>
      <c r="K3984" s="29">
        <v>0.39316909132811201</v>
      </c>
    </row>
    <row r="3985" spans="1:11" x14ac:dyDescent="0.35">
      <c r="A3985" s="9" t="str">
        <f>HYPERLINK("http://www.ensembl.org/id/WBGene00002827", "WBGene00002827")</f>
        <v>WBGene00002827</v>
      </c>
      <c r="B3985" s="9" t="str">
        <f>HYPERLINK("http://www.ncbi.nlm.nih.gov/gene/178120", "178120")</f>
        <v>178120</v>
      </c>
      <c r="C3985" s="9"/>
      <c r="D3985" t="str">
        <f>"let-653"</f>
        <v>let-653</v>
      </c>
      <c r="F3985" t="s">
        <v>11</v>
      </c>
      <c r="H3985" s="12">
        <v>2.1969586867295798</v>
      </c>
      <c r="I3985" s="11">
        <v>3.54494733190274</v>
      </c>
      <c r="J3985" s="10">
        <v>3.9269154344964902E-4</v>
      </c>
      <c r="K3985" s="29">
        <v>1.92643966092306E-2</v>
      </c>
    </row>
    <row r="3986" spans="1:11" x14ac:dyDescent="0.35">
      <c r="A3986" s="9" t="str">
        <f>HYPERLINK("http://www.ensembl.org/id/WBGene00086554", "WBGene00086554")</f>
        <v>WBGene00086554</v>
      </c>
      <c r="B3986" s="9" t="str">
        <f>HYPERLINK("http://www.ncbi.nlm.nih.gov/gene/7040133", "7040133")</f>
        <v>7040133</v>
      </c>
      <c r="C3986" s="9"/>
      <c r="D3986" t="str">
        <f>"D1081.12"</f>
        <v>D1081.12</v>
      </c>
      <c r="F3986" t="s">
        <v>11</v>
      </c>
      <c r="G3986" t="s">
        <v>4428</v>
      </c>
      <c r="H3986" s="12">
        <v>2.1964037792670399</v>
      </c>
      <c r="I3986" s="11">
        <v>0.68797896258786295</v>
      </c>
      <c r="J3986" s="10">
        <v>0.49146602936371298</v>
      </c>
      <c r="K3986" s="29">
        <v>0.98289565623980701</v>
      </c>
    </row>
    <row r="3987" spans="1:11" x14ac:dyDescent="0.35">
      <c r="A3987" s="9" t="str">
        <f>HYPERLINK("http://www.ensembl.org/id/WBGene00022761", "WBGene00022761")</f>
        <v>WBGene00022761</v>
      </c>
      <c r="B3987" s="9" t="str">
        <f>HYPERLINK("http://www.ncbi.nlm.nih.gov/gene/173851", "173851")</f>
        <v>173851</v>
      </c>
      <c r="C3987" s="9"/>
      <c r="D3987" t="str">
        <f>"ZK546.4"</f>
        <v>ZK546.4</v>
      </c>
      <c r="F3987" t="s">
        <v>11</v>
      </c>
      <c r="G3987" t="s">
        <v>25</v>
      </c>
      <c r="H3987" s="12">
        <v>2.1964037792670399</v>
      </c>
      <c r="I3987" s="11">
        <v>0.68797896258786295</v>
      </c>
      <c r="J3987" s="10">
        <v>0.49146602936371298</v>
      </c>
      <c r="K3987" s="29">
        <v>0.98289565623980701</v>
      </c>
    </row>
    <row r="3988" spans="1:11" x14ac:dyDescent="0.35">
      <c r="A3988" s="9" t="str">
        <f>HYPERLINK("http://www.ensembl.org/id/WBGene00219208", "WBGene00219208")</f>
        <v>WBGene00219208</v>
      </c>
      <c r="B3988" s="9" t="str">
        <f>HYPERLINK("http://www.ncbi.nlm.nih.gov/gene/13216068", "13216068")</f>
        <v>13216068</v>
      </c>
      <c r="C3988" s="9"/>
      <c r="D3988" t="str">
        <f>"B0365.9"</f>
        <v>B0365.9</v>
      </c>
      <c r="F3988" t="s">
        <v>11</v>
      </c>
      <c r="H3988" s="12">
        <v>2.1958247532389499</v>
      </c>
      <c r="I3988" s="11">
        <v>1.57916002368289</v>
      </c>
      <c r="J3988" s="10">
        <v>0.11429935679842899</v>
      </c>
      <c r="K3988" s="29">
        <v>0.77317684280219101</v>
      </c>
    </row>
    <row r="3989" spans="1:11" x14ac:dyDescent="0.35">
      <c r="A3989" s="9" t="str">
        <f>HYPERLINK("http://www.ensembl.org/id/WBGene00235279", "WBGene00235279")</f>
        <v>WBGene00235279</v>
      </c>
      <c r="B3989" s="9" t="str">
        <f>HYPERLINK("http://www.ncbi.nlm.nih.gov/gene/24105192", "24105192")</f>
        <v>24105192</v>
      </c>
      <c r="C3989" s="9"/>
      <c r="D3989" t="str">
        <f>"Y67D8C.22"</f>
        <v>Y67D8C.22</v>
      </c>
      <c r="F3989" t="s">
        <v>11</v>
      </c>
      <c r="G3989" t="s">
        <v>25</v>
      </c>
      <c r="H3989" s="12">
        <v>2.1946087102278402</v>
      </c>
      <c r="I3989" s="11">
        <v>0.50003410910244295</v>
      </c>
      <c r="J3989" s="10">
        <v>0.61705106039218505</v>
      </c>
      <c r="K3989" s="29">
        <v>0.98289565623980701</v>
      </c>
    </row>
    <row r="3990" spans="1:11" x14ac:dyDescent="0.35">
      <c r="A3990" s="9" t="str">
        <f>HYPERLINK("http://www.ensembl.org/id/WBGene00016512", "WBGene00016512")</f>
        <v>WBGene00016512</v>
      </c>
      <c r="B3990" s="9" t="str">
        <f>HYPERLINK("http://www.ncbi.nlm.nih.gov/gene/178642", "178642")</f>
        <v>178642</v>
      </c>
      <c r="C3990" s="9"/>
      <c r="D3990" t="str">
        <f>"C38C3.3"</f>
        <v>C38C3.3</v>
      </c>
      <c r="F3990" t="s">
        <v>11</v>
      </c>
      <c r="H3990" s="12">
        <v>2.1938327107334601</v>
      </c>
      <c r="I3990" s="11">
        <v>0.81667770346979995</v>
      </c>
      <c r="J3990" s="10">
        <v>0.41411263646315</v>
      </c>
      <c r="K3990" s="29">
        <v>0.98289565623980701</v>
      </c>
    </row>
    <row r="3991" spans="1:11" x14ac:dyDescent="0.35">
      <c r="A3991" s="9" t="str">
        <f>HYPERLINK("http://www.ensembl.org/id/WBGene00010357", "WBGene00010357")</f>
        <v>WBGene00010357</v>
      </c>
      <c r="B3991" s="9" t="str">
        <f>HYPERLINK("http://www.ncbi.nlm.nih.gov/gene/181617", "181617")</f>
        <v>181617</v>
      </c>
      <c r="C3991" s="9"/>
      <c r="D3991" t="str">
        <f>"H03A11.2"</f>
        <v>H03A11.2</v>
      </c>
      <c r="F3991" t="s">
        <v>11</v>
      </c>
      <c r="G3991" t="s">
        <v>962</v>
      </c>
      <c r="H3991" s="12">
        <v>2.1923943911821699</v>
      </c>
      <c r="I3991" s="11">
        <v>2.6186067948085898</v>
      </c>
      <c r="J3991" s="10">
        <v>8.8289650810535296E-3</v>
      </c>
      <c r="K3991" s="29">
        <v>0.18052589587531701</v>
      </c>
    </row>
    <row r="3992" spans="1:11" x14ac:dyDescent="0.35">
      <c r="A3992" s="9" t="str">
        <f>HYPERLINK("http://www.ensembl.org/id/WBGene00013028", "WBGene00013028")</f>
        <v>WBGene00013028</v>
      </c>
      <c r="B3992" s="9" t="str">
        <f>HYPERLINK("http://www.ncbi.nlm.nih.gov/gene/190059", "190059")</f>
        <v>190059</v>
      </c>
      <c r="C3992" s="9"/>
      <c r="D3992" t="str">
        <f>"efhc-1"</f>
        <v>efhc-1</v>
      </c>
      <c r="E3992" t="s">
        <v>4429</v>
      </c>
      <c r="F3992" t="s">
        <v>11</v>
      </c>
      <c r="G3992" t="s">
        <v>4430</v>
      </c>
      <c r="H3992" s="12">
        <v>2.1919310191019301</v>
      </c>
      <c r="I3992" s="11">
        <v>0.69308635041314803</v>
      </c>
      <c r="J3992" s="10">
        <v>0.48825536305435802</v>
      </c>
      <c r="K3992" s="29">
        <v>0.98289565623980701</v>
      </c>
    </row>
    <row r="3993" spans="1:11" x14ac:dyDescent="0.35">
      <c r="A3993" s="9" t="str">
        <f>HYPERLINK("http://www.ensembl.org/id/WBGene00022409", "WBGene00022409")</f>
        <v>WBGene00022409</v>
      </c>
      <c r="B3993" s="9" t="str">
        <f>HYPERLINK("http://www.ncbi.nlm.nih.gov/gene/190824", "190824")</f>
        <v>190824</v>
      </c>
      <c r="C3993" s="9"/>
      <c r="D3993" t="str">
        <f>"srt-53"</f>
        <v>srt-53</v>
      </c>
      <c r="E3993" t="s">
        <v>2845</v>
      </c>
      <c r="F3993" t="s">
        <v>11</v>
      </c>
      <c r="G3993" t="s">
        <v>25</v>
      </c>
      <c r="H3993" s="12">
        <v>2.1918358540827501</v>
      </c>
      <c r="I3993" s="11">
        <v>0.88739664261328399</v>
      </c>
      <c r="J3993" s="10">
        <v>0.37486539044004702</v>
      </c>
      <c r="K3993" s="29">
        <v>0.98289565623980701</v>
      </c>
    </row>
    <row r="3994" spans="1:11" x14ac:dyDescent="0.35">
      <c r="A3994" s="9" t="str">
        <f>HYPERLINK("http://www.ensembl.org/id/WBGene00284855", "WBGene00284855")</f>
        <v>WBGene00284855</v>
      </c>
      <c r="B3994" s="9" t="str">
        <f>HYPERLINK("http://www.ncbi.nlm.nih.gov/gene/36312782", "36312782")</f>
        <v>36312782</v>
      </c>
      <c r="C3994" s="9"/>
      <c r="D3994" t="str">
        <f>"C04C11.25"</f>
        <v>C04C11.25</v>
      </c>
      <c r="F3994" t="s">
        <v>11</v>
      </c>
      <c r="G3994" t="s">
        <v>25</v>
      </c>
      <c r="H3994" s="12">
        <v>2.19104943145219</v>
      </c>
      <c r="I3994" s="11">
        <v>0.66546349510835601</v>
      </c>
      <c r="J3994" s="10">
        <v>0.50575408479318595</v>
      </c>
      <c r="K3994" s="29">
        <v>0.98289565623980701</v>
      </c>
    </row>
    <row r="3995" spans="1:11" x14ac:dyDescent="0.35">
      <c r="A3995" s="9" t="str">
        <f>HYPERLINK("http://www.ensembl.org/id/WBGene00019316", "WBGene00019316")</f>
        <v>WBGene00019316</v>
      </c>
      <c r="B3995" s="9" t="str">
        <f>HYPERLINK("http://www.ncbi.nlm.nih.gov/gene/173491", "173491")</f>
        <v>173491</v>
      </c>
      <c r="C3995" s="9"/>
      <c r="D3995" t="str">
        <f>"K02E7.12"</f>
        <v>K02E7.12</v>
      </c>
      <c r="F3995" t="s">
        <v>11</v>
      </c>
      <c r="H3995" s="12">
        <v>2.1908912244296501</v>
      </c>
      <c r="I3995" s="11">
        <v>0.73181147626392395</v>
      </c>
      <c r="J3995" s="10">
        <v>0.46428364340335898</v>
      </c>
      <c r="K3995" s="29">
        <v>0.98289565623980701</v>
      </c>
    </row>
    <row r="3996" spans="1:11" x14ac:dyDescent="0.35">
      <c r="A3996" s="9" t="str">
        <f>HYPERLINK("http://www.ensembl.org/id/WBGene00007080", "WBGene00007080")</f>
        <v>WBGene00007080</v>
      </c>
      <c r="B3996" s="9" t="str">
        <f>HYPERLINK("http://www.ncbi.nlm.nih.gov/gene/181807", "181807")</f>
        <v>181807</v>
      </c>
      <c r="C3996" s="9" t="str">
        <f>HYPERLINK("http://www.ncbi.nlm.nih.gov/gene/81855", "81855")</f>
        <v>81855</v>
      </c>
      <c r="D3996" t="str">
        <f>"sfxn-1.1"</f>
        <v>sfxn-1.1</v>
      </c>
      <c r="E3996" t="s">
        <v>4431</v>
      </c>
      <c r="F3996" t="s">
        <v>11</v>
      </c>
      <c r="G3996" t="s">
        <v>4432</v>
      </c>
      <c r="H3996" s="12">
        <v>2.1904949189752401</v>
      </c>
      <c r="I3996" s="11">
        <v>0.84705305379641804</v>
      </c>
      <c r="J3996" s="10">
        <v>0.39696555062746802</v>
      </c>
      <c r="K3996" s="29">
        <v>0.98289565623980701</v>
      </c>
    </row>
    <row r="3997" spans="1:11" x14ac:dyDescent="0.35">
      <c r="A3997" s="9" t="str">
        <f>HYPERLINK("http://www.ensembl.org/id/WBGene00000241", "WBGene00000241")</f>
        <v>WBGene00000241</v>
      </c>
      <c r="B3997" s="9" t="str">
        <f>HYPERLINK("http://www.ncbi.nlm.nih.gov/gene/260219", "260219")</f>
        <v>260219</v>
      </c>
      <c r="C3997" s="9" t="str">
        <f>HYPERLINK("http://www.ncbi.nlm.nih.gov/gene/582", "582")</f>
        <v>582</v>
      </c>
      <c r="D3997" t="str">
        <f>"bbs-1"</f>
        <v>bbs-1</v>
      </c>
      <c r="E3997" t="s">
        <v>3640</v>
      </c>
      <c r="F3997" t="s">
        <v>11</v>
      </c>
      <c r="G3997" t="s">
        <v>3422</v>
      </c>
      <c r="H3997" s="12">
        <v>2.1903243507113901</v>
      </c>
      <c r="I3997" s="11">
        <v>1.33282390459815</v>
      </c>
      <c r="J3997" s="10">
        <v>0.18258959909849801</v>
      </c>
      <c r="K3997" s="29">
        <v>0.92018696909710196</v>
      </c>
    </row>
    <row r="3998" spans="1:11" x14ac:dyDescent="0.35">
      <c r="A3998" s="9" t="str">
        <f>HYPERLINK("http://www.ensembl.org/id/WBGene00005652", "WBGene00005652")</f>
        <v>WBGene00005652</v>
      </c>
      <c r="B3998" s="9" t="str">
        <f>HYPERLINK("http://www.ncbi.nlm.nih.gov/gene/189285", "189285")</f>
        <v>189285</v>
      </c>
      <c r="C3998" s="9"/>
      <c r="D3998" t="str">
        <f>"srr-1"</f>
        <v>srr-1</v>
      </c>
      <c r="E3998" t="s">
        <v>755</v>
      </c>
      <c r="F3998" t="s">
        <v>11</v>
      </c>
      <c r="G3998" t="s">
        <v>25</v>
      </c>
      <c r="H3998" s="12">
        <v>2.1889982928480198</v>
      </c>
      <c r="I3998" s="11">
        <v>2.42448500755656</v>
      </c>
      <c r="J3998" s="10">
        <v>1.5330116299069199E-2</v>
      </c>
      <c r="K3998" s="29">
        <v>0.25705200813228901</v>
      </c>
    </row>
    <row r="3999" spans="1:11" x14ac:dyDescent="0.35">
      <c r="A3999" s="9" t="str">
        <f>HYPERLINK("http://www.ensembl.org/id/WBGene00019369", "WBGene00019369")</f>
        <v>WBGene00019369</v>
      </c>
      <c r="B3999" s="9" t="str">
        <f>HYPERLINK("http://www.ncbi.nlm.nih.gov/gene/186964", "186964")</f>
        <v>186964</v>
      </c>
      <c r="C3999" s="9"/>
      <c r="D3999" t="str">
        <f>"K03H6.4"</f>
        <v>K03H6.4</v>
      </c>
      <c r="F3999" t="s">
        <v>11</v>
      </c>
      <c r="G3999" t="s">
        <v>25</v>
      </c>
      <c r="H3999" s="12">
        <v>2.1882464882841299</v>
      </c>
      <c r="I3999" s="11">
        <v>0.37229884723380702</v>
      </c>
      <c r="J3999" s="10">
        <v>0.70967035681139301</v>
      </c>
      <c r="K3999" s="29">
        <v>0.98289565623980701</v>
      </c>
    </row>
    <row r="4000" spans="1:11" x14ac:dyDescent="0.35">
      <c r="A4000" s="9" t="str">
        <f>HYPERLINK("http://www.ensembl.org/id/WBGene00011653", "WBGene00011653")</f>
        <v>WBGene00011653</v>
      </c>
      <c r="B4000" s="9" t="str">
        <f>HYPERLINK("http://www.ncbi.nlm.nih.gov/gene/188332", "188332")</f>
        <v>188332</v>
      </c>
      <c r="C4000" s="9"/>
      <c r="D4000" t="str">
        <f>"oac-43"</f>
        <v>oac-43</v>
      </c>
      <c r="E4000" t="s">
        <v>883</v>
      </c>
      <c r="F4000" t="s">
        <v>11</v>
      </c>
      <c r="G4000" t="s">
        <v>1992</v>
      </c>
      <c r="H4000" s="12">
        <v>2.1882464882841299</v>
      </c>
      <c r="I4000" s="11">
        <v>0.37229884723380702</v>
      </c>
      <c r="J4000" s="10">
        <v>0.70967035681139301</v>
      </c>
      <c r="K4000" s="29">
        <v>0.98289565623980701</v>
      </c>
    </row>
    <row r="4001" spans="1:11" x14ac:dyDescent="0.35">
      <c r="A4001" s="9" t="str">
        <f>HYPERLINK("http://www.ensembl.org/id/WBGene00021645", "WBGene00021645")</f>
        <v>WBGene00021645</v>
      </c>
      <c r="B4001" s="9" t="str">
        <f>HYPERLINK("http://www.ncbi.nlm.nih.gov/gene/171921", "171921")</f>
        <v>171921</v>
      </c>
      <c r="C4001" s="9" t="str">
        <f>HYPERLINK("http://www.ncbi.nlm.nih.gov/gene/1358", "1358")</f>
        <v>1358</v>
      </c>
      <c r="D4001" t="str">
        <f>"Y47G6A.19"</f>
        <v>Y47G6A.19</v>
      </c>
      <c r="F4001" t="s">
        <v>11</v>
      </c>
      <c r="G4001" t="s">
        <v>945</v>
      </c>
      <c r="H4001" s="12">
        <v>2.1878518063396601</v>
      </c>
      <c r="I4001" s="11">
        <v>2.3139686115950302</v>
      </c>
      <c r="J4001" s="10">
        <v>2.0669443966266601E-2</v>
      </c>
      <c r="K4001" s="29">
        <v>0.30792274164059102</v>
      </c>
    </row>
    <row r="4002" spans="1:11" x14ac:dyDescent="0.35">
      <c r="A4002" s="9" t="str">
        <f>HYPERLINK("http://www.ensembl.org/id/WBGene00185076", "WBGene00185076")</f>
        <v>WBGene00185076</v>
      </c>
      <c r="B4002" s="9"/>
      <c r="C4002" s="9"/>
      <c r="D4002" t="str">
        <f>"Y7A9A.79"</f>
        <v>Y7A9A.79</v>
      </c>
      <c r="F4002" t="s">
        <v>481</v>
      </c>
      <c r="H4002" s="12">
        <v>2.1877868571007899</v>
      </c>
      <c r="I4002" s="11">
        <v>1.5205017983546401</v>
      </c>
      <c r="J4002" s="10">
        <v>0.128384907111664</v>
      </c>
      <c r="K4002" s="29">
        <v>0.80852048616029204</v>
      </c>
    </row>
    <row r="4003" spans="1:11" x14ac:dyDescent="0.35">
      <c r="A4003" s="9" t="str">
        <f>HYPERLINK("http://www.ensembl.org/id/WBGene00271803", "WBGene00271803")</f>
        <v>WBGene00271803</v>
      </c>
      <c r="B4003" s="9" t="str">
        <f>HYPERLINK("http://www.ncbi.nlm.nih.gov/gene/34700611", "34700611")</f>
        <v>34700611</v>
      </c>
      <c r="C4003" s="9"/>
      <c r="D4003" t="str">
        <f>"C09G5.14"</f>
        <v>C09G5.14</v>
      </c>
      <c r="F4003" t="s">
        <v>11</v>
      </c>
      <c r="H4003" s="12">
        <v>2.1864718799748899</v>
      </c>
      <c r="I4003" s="11">
        <v>0.52871667746528395</v>
      </c>
      <c r="J4003" s="10">
        <v>0.59700200620613197</v>
      </c>
      <c r="K4003" s="29">
        <v>0.98289565623980701</v>
      </c>
    </row>
    <row r="4004" spans="1:11" x14ac:dyDescent="0.35">
      <c r="A4004" s="9" t="str">
        <f>HYPERLINK("http://www.ensembl.org/id/WBGene00014093", "WBGene00014093")</f>
        <v>WBGene00014093</v>
      </c>
      <c r="B4004" s="9" t="str">
        <f>HYPERLINK("http://www.ncbi.nlm.nih.gov/gene/191434", "191434")</f>
        <v>191434</v>
      </c>
      <c r="C4004" s="9"/>
      <c r="D4004" t="str">
        <f>"ZK829.1"</f>
        <v>ZK829.1</v>
      </c>
      <c r="F4004" t="s">
        <v>11</v>
      </c>
      <c r="G4004" t="s">
        <v>489</v>
      </c>
      <c r="H4004" s="12">
        <v>2.1859110225420499</v>
      </c>
      <c r="I4004" s="11">
        <v>0.89069623042377</v>
      </c>
      <c r="J4004" s="10">
        <v>0.37309215763554299</v>
      </c>
      <c r="K4004" s="29">
        <v>0.98289565623980701</v>
      </c>
    </row>
    <row r="4005" spans="1:11" x14ac:dyDescent="0.35">
      <c r="A4005" s="9" t="str">
        <f>HYPERLINK("http://www.ensembl.org/id/WBGene00185077", "WBGene00185077")</f>
        <v>WBGene00185077</v>
      </c>
      <c r="B4005" s="9" t="str">
        <f>HYPERLINK("http://www.ncbi.nlm.nih.gov/gene/13198827", "13198827")</f>
        <v>13198827</v>
      </c>
      <c r="C4005" s="9"/>
      <c r="D4005" t="str">
        <f>"F58D2.4"</f>
        <v>F58D2.4</v>
      </c>
      <c r="F4005" t="s">
        <v>11</v>
      </c>
      <c r="H4005" s="12">
        <v>2.1853273329114802</v>
      </c>
      <c r="I4005" s="11">
        <v>0.63619481190887195</v>
      </c>
      <c r="J4005" s="10">
        <v>0.524649454267889</v>
      </c>
      <c r="K4005" s="29">
        <v>0.98289565623980701</v>
      </c>
    </row>
    <row r="4006" spans="1:11" x14ac:dyDescent="0.35">
      <c r="A4006" s="9" t="str">
        <f>HYPERLINK("http://www.ensembl.org/id/WBGene00022662", "WBGene00022662")</f>
        <v>WBGene00022662</v>
      </c>
      <c r="B4006" s="9" t="str">
        <f>HYPERLINK("http://www.ncbi.nlm.nih.gov/gene/191229", "191229")</f>
        <v>191229</v>
      </c>
      <c r="C4006" s="9"/>
      <c r="D4006" t="str">
        <f>"ZK112.6"</f>
        <v>ZK112.6</v>
      </c>
      <c r="F4006" t="s">
        <v>11</v>
      </c>
      <c r="H4006" s="12">
        <v>2.18394005757265</v>
      </c>
      <c r="I4006" s="11">
        <v>1.4543314307716</v>
      </c>
      <c r="J4006" s="10">
        <v>0.14585444040958301</v>
      </c>
      <c r="K4006" s="29">
        <v>0.84442813833721198</v>
      </c>
    </row>
    <row r="4007" spans="1:11" x14ac:dyDescent="0.35">
      <c r="A4007" s="9" t="str">
        <f>HYPERLINK("http://www.ensembl.org/id/WBGene00017497", "WBGene00017497")</f>
        <v>WBGene00017497</v>
      </c>
      <c r="B4007" s="9" t="str">
        <f>HYPERLINK("http://www.ncbi.nlm.nih.gov/gene/184543", "184543")</f>
        <v>184543</v>
      </c>
      <c r="C4007" s="9"/>
      <c r="D4007" t="str">
        <f>"irld-32"</f>
        <v>irld-32</v>
      </c>
      <c r="E4007" t="s">
        <v>1627</v>
      </c>
      <c r="F4007" t="s">
        <v>11</v>
      </c>
      <c r="H4007" s="12">
        <v>2.1836673075875801</v>
      </c>
      <c r="I4007" s="11">
        <v>0.36033200379570202</v>
      </c>
      <c r="J4007" s="10">
        <v>0.71859886892486402</v>
      </c>
      <c r="K4007" s="29">
        <v>0.98289565623980701</v>
      </c>
    </row>
    <row r="4008" spans="1:11" x14ac:dyDescent="0.35">
      <c r="A4008" s="9" t="str">
        <f>HYPERLINK("http://www.ensembl.org/id/WBGene00020309", "WBGene00020309")</f>
        <v>WBGene00020309</v>
      </c>
      <c r="B4008" s="9"/>
      <c r="C4008" s="9"/>
      <c r="D4008" t="str">
        <f>"T07D3.6"</f>
        <v>T07D3.6</v>
      </c>
      <c r="F4008" t="s">
        <v>80</v>
      </c>
      <c r="H4008" s="12">
        <v>2.1828778740593902</v>
      </c>
      <c r="I4008" s="11">
        <v>0.88926802669377802</v>
      </c>
      <c r="J4008" s="10">
        <v>0.37385905067298197</v>
      </c>
      <c r="K4008" s="29">
        <v>0.98289565623980701</v>
      </c>
    </row>
    <row r="4009" spans="1:11" x14ac:dyDescent="0.35">
      <c r="A4009" s="9" t="str">
        <f>HYPERLINK("http://www.ensembl.org/id/WBGene00000969", "WBGene00000969")</f>
        <v>WBGene00000969</v>
      </c>
      <c r="B4009" s="9" t="str">
        <f>HYPERLINK("http://www.ncbi.nlm.nih.gov/gene/173930", "173930")</f>
        <v>173930</v>
      </c>
      <c r="C4009" s="9"/>
      <c r="D4009" t="str">
        <f>"dhs-5"</f>
        <v>dhs-5</v>
      </c>
      <c r="E4009" t="s">
        <v>335</v>
      </c>
      <c r="F4009" t="s">
        <v>11</v>
      </c>
      <c r="G4009" t="s">
        <v>336</v>
      </c>
      <c r="H4009" s="12">
        <v>2.1827355351169899</v>
      </c>
      <c r="I4009" s="11">
        <v>3.8938654360820601</v>
      </c>
      <c r="J4009" s="10">
        <v>9.8659392069928097E-5</v>
      </c>
      <c r="K4009" s="29">
        <v>6.5506434286429797E-3</v>
      </c>
    </row>
    <row r="4010" spans="1:11" x14ac:dyDescent="0.35">
      <c r="A4010" s="9" t="str">
        <f>HYPERLINK("http://www.ensembl.org/id/WBGene00020589", "WBGene00020589")</f>
        <v>WBGene00020589</v>
      </c>
      <c r="B4010" s="9" t="str">
        <f>HYPERLINK("http://www.ncbi.nlm.nih.gov/gene/178879", "178879")</f>
        <v>178879</v>
      </c>
      <c r="C4010" s="9"/>
      <c r="D4010" t="str">
        <f>"T19H12.3"</f>
        <v>T19H12.3</v>
      </c>
      <c r="F4010" t="s">
        <v>11</v>
      </c>
      <c r="H4010" s="12">
        <v>2.1824310440379899</v>
      </c>
      <c r="I4010" s="11">
        <v>3.6702969336638902</v>
      </c>
      <c r="J4010" s="10">
        <v>2.42268871323763E-4</v>
      </c>
      <c r="K4010" s="29">
        <v>1.3109753022966899E-2</v>
      </c>
    </row>
    <row r="4011" spans="1:11" x14ac:dyDescent="0.35">
      <c r="A4011" s="9" t="str">
        <f>HYPERLINK("http://www.ensembl.org/id/WBGene00206462", "WBGene00206462")</f>
        <v>WBGene00206462</v>
      </c>
      <c r="B4011" s="9" t="str">
        <f>HYPERLINK("http://www.ncbi.nlm.nih.gov/gene/13217036", "13217036")</f>
        <v>13217036</v>
      </c>
      <c r="C4011" s="9"/>
      <c r="D4011" t="str">
        <f>"B0391.14"</f>
        <v>B0391.14</v>
      </c>
      <c r="F4011" t="s">
        <v>11</v>
      </c>
      <c r="H4011" s="12">
        <v>2.1818670914838401</v>
      </c>
      <c r="I4011" s="11">
        <v>0.76634359087193304</v>
      </c>
      <c r="J4011" s="10">
        <v>0.44347188750844202</v>
      </c>
      <c r="K4011" s="29">
        <v>0.98289565623980701</v>
      </c>
    </row>
    <row r="4012" spans="1:11" x14ac:dyDescent="0.35">
      <c r="A4012" s="9" t="str">
        <f>HYPERLINK("http://www.ensembl.org/id/WBGene00011534", "WBGene00011534")</f>
        <v>WBGene00011534</v>
      </c>
      <c r="B4012" s="9" t="str">
        <f>HYPERLINK("http://www.ncbi.nlm.nih.gov/gene/188179", "188179")</f>
        <v>188179</v>
      </c>
      <c r="C4012" s="9"/>
      <c r="D4012" t="str">
        <f>"T06E4.7"</f>
        <v>T06E4.7</v>
      </c>
      <c r="F4012" t="s">
        <v>11</v>
      </c>
      <c r="G4012" t="s">
        <v>25</v>
      </c>
      <c r="H4012" s="12">
        <v>2.18164851202659</v>
      </c>
      <c r="I4012" s="11">
        <v>0.42171457063732098</v>
      </c>
      <c r="J4012" s="10">
        <v>0.67323336788322297</v>
      </c>
      <c r="K4012" s="29">
        <v>0.98289565623980701</v>
      </c>
    </row>
    <row r="4013" spans="1:11" x14ac:dyDescent="0.35">
      <c r="A4013" s="9" t="str">
        <f>HYPERLINK("http://www.ensembl.org/id/WBGene00018403", "WBGene00018403")</f>
        <v>WBGene00018403</v>
      </c>
      <c r="B4013" s="9" t="str">
        <f>HYPERLINK("http://www.ncbi.nlm.nih.gov/gene/179311", "179311")</f>
        <v>179311</v>
      </c>
      <c r="C4013" s="9"/>
      <c r="D4013" t="str">
        <f>"F44A2.3"</f>
        <v>F44A2.3</v>
      </c>
      <c r="F4013" t="s">
        <v>11</v>
      </c>
      <c r="G4013" t="s">
        <v>554</v>
      </c>
      <c r="H4013" s="12">
        <v>2.1815017918297701</v>
      </c>
      <c r="I4013" s="11">
        <v>3.2035080041030501</v>
      </c>
      <c r="J4013" s="10">
        <v>1.3576426613405501E-3</v>
      </c>
      <c r="K4013" s="29">
        <v>4.9401088713283199E-2</v>
      </c>
    </row>
    <row r="4014" spans="1:11" x14ac:dyDescent="0.35">
      <c r="A4014" s="9" t="str">
        <f>HYPERLINK("http://www.ensembl.org/id/WBGene00005387", "WBGene00005387")</f>
        <v>WBGene00005387</v>
      </c>
      <c r="B4014" s="9" t="str">
        <f>HYPERLINK("http://www.ncbi.nlm.nih.gov/gene/190433", "190433")</f>
        <v>190433</v>
      </c>
      <c r="C4014" s="9"/>
      <c r="D4014" t="str">
        <f>"srh-171"</f>
        <v>srh-171</v>
      </c>
      <c r="E4014" t="s">
        <v>153</v>
      </c>
      <c r="F4014" t="s">
        <v>11</v>
      </c>
      <c r="G4014" t="s">
        <v>25</v>
      </c>
      <c r="H4014" s="12">
        <v>2.1813517984525101</v>
      </c>
      <c r="I4014" s="11">
        <v>0.58486168039369102</v>
      </c>
      <c r="J4014" s="10">
        <v>0.55864072644622698</v>
      </c>
      <c r="K4014" s="29">
        <v>0.98289565623980701</v>
      </c>
    </row>
    <row r="4015" spans="1:11" x14ac:dyDescent="0.35">
      <c r="A4015" s="9" t="str">
        <f>HYPERLINK("http://www.ensembl.org/id/WBGene00013637", "WBGene00013637")</f>
        <v>WBGene00013637</v>
      </c>
      <c r="B4015" s="9" t="str">
        <f>HYPERLINK("http://www.ncbi.nlm.nih.gov/gene/178441", "178441")</f>
        <v>178441</v>
      </c>
      <c r="C4015" s="9"/>
      <c r="D4015" t="str">
        <f>"Y105C5A.13"</f>
        <v>Y105C5A.13</v>
      </c>
      <c r="F4015" t="s">
        <v>11</v>
      </c>
      <c r="H4015" s="12">
        <v>2.1813517984525101</v>
      </c>
      <c r="I4015" s="11">
        <v>0.58486168039369102</v>
      </c>
      <c r="J4015" s="10">
        <v>0.55864072644622698</v>
      </c>
      <c r="K4015" s="29">
        <v>0.98289565623980701</v>
      </c>
    </row>
    <row r="4016" spans="1:11" x14ac:dyDescent="0.35">
      <c r="A4016" s="9" t="str">
        <f>HYPERLINK("http://www.ensembl.org/id/WBGene00017254", "WBGene00017254")</f>
        <v>WBGene00017254</v>
      </c>
      <c r="B4016" s="9" t="str">
        <f>HYPERLINK("http://www.ncbi.nlm.nih.gov/gene/173623", "173623")</f>
        <v>173623</v>
      </c>
      <c r="C4016" s="9"/>
      <c r="D4016" t="str">
        <f>"fbxb-111"</f>
        <v>fbxb-111</v>
      </c>
      <c r="E4016" t="s">
        <v>1436</v>
      </c>
      <c r="F4016" t="s">
        <v>11</v>
      </c>
      <c r="G4016" t="s">
        <v>54</v>
      </c>
      <c r="H4016" s="12">
        <v>2.1813489344415999</v>
      </c>
      <c r="I4016" s="11">
        <v>1.8199497106229301</v>
      </c>
      <c r="J4016" s="10">
        <v>6.8766663637865502E-2</v>
      </c>
      <c r="K4016" s="29">
        <v>0.62222457016468202</v>
      </c>
    </row>
    <row r="4017" spans="1:11" x14ac:dyDescent="0.35">
      <c r="A4017" s="9" t="str">
        <f>HYPERLINK("http://www.ensembl.org/id/WBGene00015611", "WBGene00015611")</f>
        <v>WBGene00015611</v>
      </c>
      <c r="B4017" s="9" t="str">
        <f>HYPERLINK("http://www.ncbi.nlm.nih.gov/gene/182412", "182412")</f>
        <v>182412</v>
      </c>
      <c r="C4017" s="9"/>
      <c r="D4017" t="str">
        <f>"C08F1.8"</f>
        <v>C08F1.8</v>
      </c>
      <c r="F4017" t="s">
        <v>11</v>
      </c>
      <c r="G4017" t="s">
        <v>25</v>
      </c>
      <c r="H4017" s="12">
        <v>2.18069990594952</v>
      </c>
      <c r="I4017" s="11">
        <v>1.6316035609110899</v>
      </c>
      <c r="J4017" s="10">
        <v>0.10276302760830899</v>
      </c>
      <c r="K4017" s="29">
        <v>0.74003277406530099</v>
      </c>
    </row>
    <row r="4018" spans="1:11" x14ac:dyDescent="0.35">
      <c r="A4018" s="9" t="str">
        <f>HYPERLINK("http://www.ensembl.org/id/WBGene00011698", "WBGene00011698")</f>
        <v>WBGene00011698</v>
      </c>
      <c r="B4018" s="9" t="str">
        <f>HYPERLINK("http://www.ncbi.nlm.nih.gov/gene/188399", "188399")</f>
        <v>188399</v>
      </c>
      <c r="C4018" s="9"/>
      <c r="D4018" t="str">
        <f>"cyp-34A1"</f>
        <v>cyp-34A1</v>
      </c>
      <c r="E4018" t="s">
        <v>176</v>
      </c>
      <c r="F4018" t="s">
        <v>11</v>
      </c>
      <c r="G4018" t="s">
        <v>438</v>
      </c>
      <c r="H4018" s="12">
        <v>2.1795031933973998</v>
      </c>
      <c r="I4018" s="11">
        <v>1.04048675138305</v>
      </c>
      <c r="J4018" s="10">
        <v>0.29811381612346599</v>
      </c>
      <c r="K4018" s="29">
        <v>0.98289565623980701</v>
      </c>
    </row>
    <row r="4019" spans="1:11" x14ac:dyDescent="0.35">
      <c r="A4019" s="9" t="str">
        <f>HYPERLINK("http://www.ensembl.org/id/WBGene00013334", "WBGene00013334")</f>
        <v>WBGene00013334</v>
      </c>
      <c r="B4019" s="9" t="str">
        <f>HYPERLINK("http://www.ncbi.nlm.nih.gov/gene/3565782", "3565782")</f>
        <v>3565782</v>
      </c>
      <c r="C4019" s="9"/>
      <c r="D4019" t="str">
        <f>"nlp-56"</f>
        <v>nlp-56</v>
      </c>
      <c r="E4019" t="s">
        <v>76</v>
      </c>
      <c r="F4019" t="s">
        <v>11</v>
      </c>
      <c r="G4019" t="s">
        <v>77</v>
      </c>
      <c r="H4019" s="12">
        <v>2.1784355687353201</v>
      </c>
      <c r="I4019" s="11">
        <v>2.8071637108500398</v>
      </c>
      <c r="J4019" s="10">
        <v>4.9979834279232898E-3</v>
      </c>
      <c r="K4019" s="29">
        <v>0.121178809113951</v>
      </c>
    </row>
    <row r="4020" spans="1:11" x14ac:dyDescent="0.35">
      <c r="A4020" s="9" t="str">
        <f>HYPERLINK("http://www.ensembl.org/id/WBGene00007345", "WBGene00007345")</f>
        <v>WBGene00007345</v>
      </c>
      <c r="B4020" s="9" t="str">
        <f>HYPERLINK("http://www.ncbi.nlm.nih.gov/gene/182267", "182267")</f>
        <v>182267</v>
      </c>
      <c r="C4020" s="9"/>
      <c r="D4020" t="str">
        <f>"C05E7.3"</f>
        <v>C05E7.3</v>
      </c>
      <c r="F4020" t="s">
        <v>11</v>
      </c>
      <c r="H4020" s="12">
        <v>2.1783084027805701</v>
      </c>
      <c r="I4020" s="11">
        <v>2.2943041011242098</v>
      </c>
      <c r="J4020" s="10">
        <v>2.17730371764417E-2</v>
      </c>
      <c r="K4020" s="29">
        <v>0.31820860025228498</v>
      </c>
    </row>
    <row r="4021" spans="1:11" x14ac:dyDescent="0.35">
      <c r="A4021" s="9" t="str">
        <f>HYPERLINK("http://www.ensembl.org/id/WBGene00009577", "WBGene00009577")</f>
        <v>WBGene00009577</v>
      </c>
      <c r="B4021" s="9" t="str">
        <f>HYPERLINK("http://www.ncbi.nlm.nih.gov/gene/174704", "174704")</f>
        <v>174704</v>
      </c>
      <c r="C4021" s="9"/>
      <c r="D4021" t="str">
        <f>"F40F8.4"</f>
        <v>F40F8.4</v>
      </c>
      <c r="F4021" t="s">
        <v>11</v>
      </c>
      <c r="H4021" s="12">
        <v>2.1782042305785301</v>
      </c>
      <c r="I4021" s="11">
        <v>3.82540642535665</v>
      </c>
      <c r="J4021" s="10">
        <v>1.3055651889636201E-4</v>
      </c>
      <c r="K4021" s="29">
        <v>8.0749732414307999E-3</v>
      </c>
    </row>
    <row r="4022" spans="1:11" x14ac:dyDescent="0.35">
      <c r="A4022" s="9" t="str">
        <f>HYPERLINK("http://www.ensembl.org/id/WBGene00018334", "WBGene00018334")</f>
        <v>WBGene00018334</v>
      </c>
      <c r="B4022" s="9" t="str">
        <f>HYPERLINK("http://www.ncbi.nlm.nih.gov/gene/185653", "185653")</f>
        <v>185653</v>
      </c>
      <c r="C4022" s="9" t="str">
        <f>HYPERLINK("http://www.ncbi.nlm.nih.gov/gene/1573", "1573")</f>
        <v>1573</v>
      </c>
      <c r="D4022" t="str">
        <f>"cyp-33E2"</f>
        <v>cyp-33E2</v>
      </c>
      <c r="E4022" t="s">
        <v>176</v>
      </c>
      <c r="F4022" t="s">
        <v>11</v>
      </c>
      <c r="G4022" t="s">
        <v>520</v>
      </c>
      <c r="H4022" s="12">
        <v>2.1779646607322798</v>
      </c>
      <c r="I4022" s="11">
        <v>3.2779207857819199</v>
      </c>
      <c r="J4022" s="10">
        <v>1.04574737702495E-3</v>
      </c>
      <c r="K4022" s="29">
        <v>4.0474101999226901E-2</v>
      </c>
    </row>
    <row r="4023" spans="1:11" x14ac:dyDescent="0.35">
      <c r="A4023" s="9" t="str">
        <f>HYPERLINK("http://www.ensembl.org/id/WBGene00008558", "WBGene00008558")</f>
        <v>WBGene00008558</v>
      </c>
      <c r="B4023" s="9" t="str">
        <f>HYPERLINK("http://www.ncbi.nlm.nih.gov/gene/184164", "184164")</f>
        <v>184164</v>
      </c>
      <c r="C4023" s="9"/>
      <c r="D4023" t="str">
        <f>"F07H5.7"</f>
        <v>F07H5.7</v>
      </c>
      <c r="F4023" t="s">
        <v>11</v>
      </c>
      <c r="G4023" t="s">
        <v>25</v>
      </c>
      <c r="H4023" s="12">
        <v>2.17749045145908</v>
      </c>
      <c r="I4023" s="11">
        <v>2.4784388007005602</v>
      </c>
      <c r="J4023" s="10">
        <v>1.3195874672621E-2</v>
      </c>
      <c r="K4023" s="29">
        <v>0.23278120876366801</v>
      </c>
    </row>
    <row r="4024" spans="1:11" x14ac:dyDescent="0.35">
      <c r="A4024" s="9" t="str">
        <f>HYPERLINK("http://www.ensembl.org/id/WBGene00002199", "WBGene00002199")</f>
        <v>WBGene00002199</v>
      </c>
      <c r="B4024" s="9" t="str">
        <f>HYPERLINK("http://www.ncbi.nlm.nih.gov/gene/174498", "174498")</f>
        <v>174498</v>
      </c>
      <c r="C4024" s="9"/>
      <c r="D4024" t="str">
        <f>"kin-15"</f>
        <v>kin-15</v>
      </c>
      <c r="E4024" t="s">
        <v>3401</v>
      </c>
      <c r="F4024" t="s">
        <v>11</v>
      </c>
      <c r="G4024" t="s">
        <v>3402</v>
      </c>
      <c r="H4024" s="12">
        <v>2.17667898063223</v>
      </c>
      <c r="I4024" s="11">
        <v>1.39403283433206</v>
      </c>
      <c r="J4024" s="10">
        <v>0.163307689707655</v>
      </c>
      <c r="K4024" s="29">
        <v>0.88105289431779399</v>
      </c>
    </row>
    <row r="4025" spans="1:11" x14ac:dyDescent="0.35">
      <c r="A4025" s="9" t="str">
        <f>HYPERLINK("http://www.ensembl.org/id/WBGene00019355", "WBGene00019355")</f>
        <v>WBGene00019355</v>
      </c>
      <c r="B4025" s="9" t="str">
        <f>HYPERLINK("http://www.ncbi.nlm.nih.gov/gene/186919", "186919")</f>
        <v>186919</v>
      </c>
      <c r="C4025" s="9"/>
      <c r="D4025" t="str">
        <f>"K03B4.4"</f>
        <v>K03B4.4</v>
      </c>
      <c r="F4025" t="s">
        <v>11</v>
      </c>
      <c r="H4025" s="12">
        <v>2.1762902203692001</v>
      </c>
      <c r="I4025" s="11">
        <v>2.9113647924051298</v>
      </c>
      <c r="J4025" s="10">
        <v>3.59853613667557E-3</v>
      </c>
      <c r="K4025" s="29">
        <v>9.7248860788334099E-2</v>
      </c>
    </row>
    <row r="4026" spans="1:11" x14ac:dyDescent="0.35">
      <c r="A4026" s="9" t="str">
        <f>HYPERLINK("http://www.ensembl.org/id/WBGene00002087", "WBGene00002087")</f>
        <v>WBGene00002087</v>
      </c>
      <c r="B4026" s="9" t="str">
        <f>HYPERLINK("http://www.ncbi.nlm.nih.gov/gene/191685", "191685")</f>
        <v>191685</v>
      </c>
      <c r="C4026" s="9"/>
      <c r="D4026" t="str">
        <f>"ins-4"</f>
        <v>ins-4</v>
      </c>
      <c r="E4026" t="s">
        <v>723</v>
      </c>
      <c r="F4026" t="s">
        <v>11</v>
      </c>
      <c r="G4026" t="s">
        <v>724</v>
      </c>
      <c r="H4026" s="12">
        <v>2.1762515430275</v>
      </c>
      <c r="I4026" s="11">
        <v>2.9493408873590399</v>
      </c>
      <c r="J4026" s="10">
        <v>3.1845250484310501E-3</v>
      </c>
      <c r="K4026" s="29">
        <v>8.8974166588933201E-2</v>
      </c>
    </row>
    <row r="4027" spans="1:11" x14ac:dyDescent="0.35">
      <c r="A4027" s="9" t="str">
        <f>HYPERLINK("http://www.ensembl.org/id/WBGene00077691", "WBGene00077691")</f>
        <v>WBGene00077691</v>
      </c>
      <c r="B4027" s="9" t="str">
        <f>HYPERLINK("http://www.ncbi.nlm.nih.gov/gene/6418768", "6418768")</f>
        <v>6418768</v>
      </c>
      <c r="C4027" s="9"/>
      <c r="D4027" t="str">
        <f>"T06E4.14"</f>
        <v>T06E4.14</v>
      </c>
      <c r="F4027" t="s">
        <v>11</v>
      </c>
      <c r="H4027" s="12">
        <v>2.1740083022399701</v>
      </c>
      <c r="I4027" s="11">
        <v>0.44299528103818397</v>
      </c>
      <c r="J4027" s="10">
        <v>0.65776914798710295</v>
      </c>
      <c r="K4027" s="29">
        <v>0.98289565623980701</v>
      </c>
    </row>
    <row r="4028" spans="1:11" x14ac:dyDescent="0.35">
      <c r="A4028" s="9" t="str">
        <f>HYPERLINK("http://www.ensembl.org/id/WBGene00001451", "WBGene00001451")</f>
        <v>WBGene00001451</v>
      </c>
      <c r="B4028" s="9" t="str">
        <f>HYPERLINK("http://www.ncbi.nlm.nih.gov/gene/181583", "181583")</f>
        <v>181583</v>
      </c>
      <c r="C4028" s="9"/>
      <c r="D4028" t="str">
        <f>"flp-8"</f>
        <v>flp-8</v>
      </c>
      <c r="E4028" t="s">
        <v>401</v>
      </c>
      <c r="F4028" t="s">
        <v>11</v>
      </c>
      <c r="G4028" t="s">
        <v>464</v>
      </c>
      <c r="H4028" s="12">
        <v>2.1733549566897499</v>
      </c>
      <c r="I4028" s="11">
        <v>3.5052608892700299</v>
      </c>
      <c r="J4028" s="10">
        <v>4.56160045516136E-4</v>
      </c>
      <c r="K4028" s="29">
        <v>2.11647269311162E-2</v>
      </c>
    </row>
    <row r="4029" spans="1:11" x14ac:dyDescent="0.35">
      <c r="A4029" s="9" t="str">
        <f>HYPERLINK("http://www.ensembl.org/id/WBGene00015890", "WBGene00015890")</f>
        <v>WBGene00015890</v>
      </c>
      <c r="B4029" s="9" t="str">
        <f>HYPERLINK("http://www.ncbi.nlm.nih.gov/gene/182715", "182715")</f>
        <v>182715</v>
      </c>
      <c r="C4029" s="9"/>
      <c r="D4029" t="str">
        <f>"C17C3.5"</f>
        <v>C17C3.5</v>
      </c>
      <c r="F4029" t="s">
        <v>11</v>
      </c>
      <c r="H4029" s="12">
        <v>2.1731156444066499</v>
      </c>
      <c r="I4029" s="11">
        <v>0.41087433510369797</v>
      </c>
      <c r="J4029" s="10">
        <v>0.68116468240702699</v>
      </c>
      <c r="K4029" s="29">
        <v>0.98289565623980701</v>
      </c>
    </row>
    <row r="4030" spans="1:11" x14ac:dyDescent="0.35">
      <c r="A4030" s="9" t="str">
        <f>HYPERLINK("http://www.ensembl.org/id/WBGene00005168", "WBGene00005168")</f>
        <v>WBGene00005168</v>
      </c>
      <c r="B4030" s="9" t="str">
        <f>HYPERLINK("http://www.ncbi.nlm.nih.gov/gene/191836", "191836")</f>
        <v>191836</v>
      </c>
      <c r="C4030" s="9"/>
      <c r="D4030" t="str">
        <f>"srg-10"</f>
        <v>srg-10</v>
      </c>
      <c r="E4030" t="s">
        <v>4433</v>
      </c>
      <c r="F4030" t="s">
        <v>11</v>
      </c>
      <c r="G4030" t="s">
        <v>1829</v>
      </c>
      <c r="H4030" s="12">
        <v>2.1731156444066499</v>
      </c>
      <c r="I4030" s="11">
        <v>0.41087433510369797</v>
      </c>
      <c r="J4030" s="10">
        <v>0.68116468240702699</v>
      </c>
      <c r="K4030" s="29">
        <v>0.98289565623980701</v>
      </c>
    </row>
    <row r="4031" spans="1:11" x14ac:dyDescent="0.35">
      <c r="A4031" s="9" t="str">
        <f>HYPERLINK("http://www.ensembl.org/id/WBGene00013048", "WBGene00013048")</f>
        <v>WBGene00013048</v>
      </c>
      <c r="B4031" s="9" t="str">
        <f>HYPERLINK("http://www.ncbi.nlm.nih.gov/gene/190106", "190106")</f>
        <v>190106</v>
      </c>
      <c r="C4031" s="9"/>
      <c r="D4031" t="str">
        <f>"Y50E8A.5"</f>
        <v>Y50E8A.5</v>
      </c>
      <c r="F4031" t="s">
        <v>11</v>
      </c>
      <c r="H4031" s="12">
        <v>2.1725639001840702</v>
      </c>
      <c r="I4031" s="11">
        <v>3.4809205894352102</v>
      </c>
      <c r="J4031" s="10">
        <v>4.9969361575984898E-4</v>
      </c>
      <c r="K4031" s="29">
        <v>2.2908572789180699E-2</v>
      </c>
    </row>
    <row r="4032" spans="1:11" x14ac:dyDescent="0.35">
      <c r="A4032" s="9" t="str">
        <f>HYPERLINK("http://www.ensembl.org/id/WBGene00009873", "WBGene00009873")</f>
        <v>WBGene00009873</v>
      </c>
      <c r="B4032" s="9" t="str">
        <f>HYPERLINK("http://www.ncbi.nlm.nih.gov/gene/186026", "186026")</f>
        <v>186026</v>
      </c>
      <c r="C4032" s="9"/>
      <c r="D4032" t="str">
        <f>"F49C12.3"</f>
        <v>F49C12.3</v>
      </c>
      <c r="F4032" t="s">
        <v>11</v>
      </c>
      <c r="H4032" s="12">
        <v>2.1725122378615098</v>
      </c>
      <c r="I4032" s="11">
        <v>1.7543106088571101</v>
      </c>
      <c r="J4032" s="10">
        <v>7.9377298938172899E-2</v>
      </c>
      <c r="K4032" s="29">
        <v>0.66334656821370697</v>
      </c>
    </row>
    <row r="4033" spans="1:11" x14ac:dyDescent="0.35">
      <c r="A4033" s="9" t="str">
        <f>HYPERLINK("http://www.ensembl.org/id/WBGene00000677", "WBGene00000677")</f>
        <v>WBGene00000677</v>
      </c>
      <c r="B4033" s="9" t="str">
        <f>HYPERLINK("http://www.ncbi.nlm.nih.gov/gene/176901", "176901")</f>
        <v>176901</v>
      </c>
      <c r="C4033" s="9"/>
      <c r="D4033" t="str">
        <f>"col-103"</f>
        <v>col-103</v>
      </c>
      <c r="E4033" t="s">
        <v>40</v>
      </c>
      <c r="F4033" t="s">
        <v>11</v>
      </c>
      <c r="G4033" t="s">
        <v>152</v>
      </c>
      <c r="H4033" s="12">
        <v>2.1707912255552002</v>
      </c>
      <c r="I4033" s="11">
        <v>3.8374346561031998</v>
      </c>
      <c r="J4033" s="10">
        <v>1.24326301926607E-4</v>
      </c>
      <c r="K4033" s="29">
        <v>7.8062052508591903E-3</v>
      </c>
    </row>
    <row r="4034" spans="1:11" x14ac:dyDescent="0.35">
      <c r="A4034" s="9" t="str">
        <f>HYPERLINK("http://www.ensembl.org/id/WBGene00007343", "WBGene00007343")</f>
        <v>WBGene00007343</v>
      </c>
      <c r="B4034" s="9" t="str">
        <f>HYPERLINK("http://www.ncbi.nlm.nih.gov/gene/181427", "181427")</f>
        <v>181427</v>
      </c>
      <c r="C4034" s="9"/>
      <c r="D4034" t="str">
        <f>"C05E7.1"</f>
        <v>C05E7.1</v>
      </c>
      <c r="F4034" t="s">
        <v>11</v>
      </c>
      <c r="H4034" s="12">
        <v>2.17077372223312</v>
      </c>
      <c r="I4034" s="11">
        <v>2.55004820242964</v>
      </c>
      <c r="J4034" s="10">
        <v>1.0770802607528799E-2</v>
      </c>
      <c r="K4034" s="29">
        <v>0.20449479461755199</v>
      </c>
    </row>
    <row r="4035" spans="1:11" x14ac:dyDescent="0.35">
      <c r="A4035" s="9" t="str">
        <f>HYPERLINK("http://www.ensembl.org/id/WBGene00008251", "WBGene00008251")</f>
        <v>WBGene00008251</v>
      </c>
      <c r="B4035" s="9" t="str">
        <f>HYPERLINK("http://www.ncbi.nlm.nih.gov/gene/183707", "183707")</f>
        <v>183707</v>
      </c>
      <c r="C4035" s="9"/>
      <c r="D4035" t="str">
        <f>"srsx-30"</f>
        <v>srsx-30</v>
      </c>
      <c r="E4035" t="s">
        <v>1639</v>
      </c>
      <c r="F4035" t="s">
        <v>11</v>
      </c>
      <c r="G4035" t="s">
        <v>1089</v>
      </c>
      <c r="H4035" s="12">
        <v>2.1702184428618101</v>
      </c>
      <c r="I4035" s="11">
        <v>0.87461029133399504</v>
      </c>
      <c r="J4035" s="10">
        <v>0.38178598623780402</v>
      </c>
      <c r="K4035" s="29">
        <v>0.98289565623980701</v>
      </c>
    </row>
    <row r="4036" spans="1:11" x14ac:dyDescent="0.35">
      <c r="A4036" s="9" t="str">
        <f>HYPERLINK("http://www.ensembl.org/id/WBGene00022116", "WBGene00022116")</f>
        <v>WBGene00022116</v>
      </c>
      <c r="B4036" s="9" t="str">
        <f>HYPERLINK("http://www.ncbi.nlm.nih.gov/gene/190587", "190587")</f>
        <v>190587</v>
      </c>
      <c r="C4036" s="9"/>
      <c r="D4036" t="str">
        <f>"Y71F9AL.11"</f>
        <v>Y71F9AL.11</v>
      </c>
      <c r="F4036" t="s">
        <v>11</v>
      </c>
      <c r="H4036" s="12">
        <v>2.16952301907564</v>
      </c>
      <c r="I4036" s="11">
        <v>0.65634769156746597</v>
      </c>
      <c r="J4036" s="10">
        <v>0.51160043842316205</v>
      </c>
      <c r="K4036" s="29">
        <v>0.98289565623980701</v>
      </c>
    </row>
    <row r="4037" spans="1:11" x14ac:dyDescent="0.35">
      <c r="A4037" s="9" t="str">
        <f>HYPERLINK("http://www.ensembl.org/id/WBGene00007502", "WBGene00007502")</f>
        <v>WBGene00007502</v>
      </c>
      <c r="B4037" s="9" t="str">
        <f>HYPERLINK("http://www.ncbi.nlm.nih.gov/gene/182480", "182480")</f>
        <v>182480</v>
      </c>
      <c r="C4037" s="9"/>
      <c r="D4037" t="str">
        <f>"glb-4"</f>
        <v>glb-4</v>
      </c>
      <c r="E4037" t="s">
        <v>633</v>
      </c>
      <c r="F4037" t="s">
        <v>11</v>
      </c>
      <c r="G4037" t="s">
        <v>867</v>
      </c>
      <c r="H4037" s="12">
        <v>2.1693808034596</v>
      </c>
      <c r="I4037" s="11">
        <v>2.1842677494371601</v>
      </c>
      <c r="J4037" s="10">
        <v>2.8942579137456299E-2</v>
      </c>
      <c r="K4037" s="29">
        <v>0.379127495359115</v>
      </c>
    </row>
    <row r="4038" spans="1:11" x14ac:dyDescent="0.35">
      <c r="A4038" s="9" t="str">
        <f>HYPERLINK("http://www.ensembl.org/id/WBGene00198929", "WBGene00198929")</f>
        <v>WBGene00198929</v>
      </c>
      <c r="B4038" s="9"/>
      <c r="C4038" s="9"/>
      <c r="D4038" t="str">
        <f>"T12B3.8"</f>
        <v>T12B3.8</v>
      </c>
      <c r="F4038" t="s">
        <v>481</v>
      </c>
      <c r="H4038" s="12">
        <v>2.1689612774790699</v>
      </c>
      <c r="I4038" s="11">
        <v>0.41941162616676703</v>
      </c>
      <c r="J4038" s="10">
        <v>0.67491532878188898</v>
      </c>
      <c r="K4038" s="29">
        <v>0.98289565623980701</v>
      </c>
    </row>
    <row r="4039" spans="1:11" x14ac:dyDescent="0.35">
      <c r="A4039" s="9" t="str">
        <f>HYPERLINK("http://www.ensembl.org/id/WBGene00236786", "WBGene00236786")</f>
        <v>WBGene00236786</v>
      </c>
      <c r="B4039" s="9" t="str">
        <f>HYPERLINK("http://www.ncbi.nlm.nih.gov/gene/24104222", "24104222")</f>
        <v>24104222</v>
      </c>
      <c r="C4039" s="9"/>
      <c r="D4039" t="str">
        <f>"C17H12.37"</f>
        <v>C17H12.37</v>
      </c>
      <c r="F4039" t="s">
        <v>11</v>
      </c>
      <c r="H4039" s="12">
        <v>2.1673680031365499</v>
      </c>
      <c r="I4039" s="11">
        <v>0.66116644598672003</v>
      </c>
      <c r="J4039" s="10">
        <v>0.50850557697962295</v>
      </c>
      <c r="K4039" s="29">
        <v>0.98289565623980701</v>
      </c>
    </row>
    <row r="4040" spans="1:11" x14ac:dyDescent="0.35">
      <c r="A4040" s="9" t="str">
        <f>HYPERLINK("http://www.ensembl.org/id/WBGene00005926", "WBGene00005926")</f>
        <v>WBGene00005926</v>
      </c>
      <c r="B4040" s="9"/>
      <c r="C4040" s="9"/>
      <c r="D4040" t="str">
        <f>"srx-35"</f>
        <v>srx-35</v>
      </c>
      <c r="F4040" t="s">
        <v>80</v>
      </c>
      <c r="H4040" s="12">
        <v>2.1671252185169601</v>
      </c>
      <c r="I4040" s="11">
        <v>0.57681840225990899</v>
      </c>
      <c r="J4040" s="10">
        <v>0.56406213689802798</v>
      </c>
      <c r="K4040" s="29">
        <v>0.98289565623980701</v>
      </c>
    </row>
    <row r="4041" spans="1:11" x14ac:dyDescent="0.35">
      <c r="A4041" s="9" t="str">
        <f>HYPERLINK("http://www.ensembl.org/id/WBGene00011910", "WBGene00011910")</f>
        <v>WBGene00011910</v>
      </c>
      <c r="B4041" s="9" t="str">
        <f>HYPERLINK("http://www.ncbi.nlm.nih.gov/gene/178106", "178106")</f>
        <v>178106</v>
      </c>
      <c r="C4041" s="9"/>
      <c r="D4041" t="str">
        <f>"alg-3"</f>
        <v>alg-3</v>
      </c>
      <c r="E4041" t="s">
        <v>4017</v>
      </c>
      <c r="F4041" t="s">
        <v>11</v>
      </c>
      <c r="G4041" t="s">
        <v>4018</v>
      </c>
      <c r="H4041" s="12">
        <v>2.1662276015984498</v>
      </c>
      <c r="I4041" s="11">
        <v>1.2474032839029701</v>
      </c>
      <c r="J4041" s="10">
        <v>0.21224966306090401</v>
      </c>
      <c r="K4041" s="29">
        <v>0.96441029886447904</v>
      </c>
    </row>
    <row r="4042" spans="1:11" x14ac:dyDescent="0.35">
      <c r="A4042" s="9" t="str">
        <f>HYPERLINK("http://www.ensembl.org/id/WBGene00006064", "WBGene00006064")</f>
        <v>WBGene00006064</v>
      </c>
      <c r="B4042" s="9" t="str">
        <f>HYPERLINK("http://www.ncbi.nlm.nih.gov/gene/180802", "180802")</f>
        <v>180802</v>
      </c>
      <c r="C4042" s="9" t="str">
        <f>HYPERLINK("http://www.ncbi.nlm.nih.gov/gene/2040", "2040")</f>
        <v>2040</v>
      </c>
      <c r="D4042" t="str">
        <f>"sto-2"</f>
        <v>sto-2</v>
      </c>
      <c r="E4042" t="s">
        <v>1068</v>
      </c>
      <c r="F4042" t="s">
        <v>11</v>
      </c>
      <c r="G4042" t="s">
        <v>372</v>
      </c>
      <c r="H4042" s="12">
        <v>2.16566102163865</v>
      </c>
      <c r="I4042" s="11">
        <v>2.5157374759998898</v>
      </c>
      <c r="J4042" s="10">
        <v>1.18783624067611E-2</v>
      </c>
      <c r="K4042" s="29">
        <v>0.21751238995939701</v>
      </c>
    </row>
    <row r="4043" spans="1:11" x14ac:dyDescent="0.35">
      <c r="A4043" s="9" t="str">
        <f>HYPERLINK("http://www.ensembl.org/id/WBGene00045316", "WBGene00045316")</f>
        <v>WBGene00045316</v>
      </c>
      <c r="B4043" s="9"/>
      <c r="C4043" s="9"/>
      <c r="D4043" t="str">
        <f>"C49F5.9"</f>
        <v>C49F5.9</v>
      </c>
      <c r="F4043" t="s">
        <v>80</v>
      </c>
      <c r="H4043" s="12">
        <v>2.1650996817658901</v>
      </c>
      <c r="I4043" s="11">
        <v>1.97458332174433</v>
      </c>
      <c r="J4043" s="10">
        <v>4.8315453292007503E-2</v>
      </c>
      <c r="K4043" s="29">
        <v>0.51186467848011197</v>
      </c>
    </row>
    <row r="4044" spans="1:11" x14ac:dyDescent="0.35">
      <c r="A4044" s="9" t="str">
        <f>HYPERLINK("http://www.ensembl.org/id/WBGene00018865", "WBGene00018865")</f>
        <v>WBGene00018865</v>
      </c>
      <c r="B4044" s="9" t="str">
        <f>HYPERLINK("http://www.ncbi.nlm.nih.gov/gene/186280", "186280")</f>
        <v>186280</v>
      </c>
      <c r="C4044" s="9"/>
      <c r="D4044" t="str">
        <f>"F55A12.6"</f>
        <v>F55A12.6</v>
      </c>
      <c r="F4044" t="s">
        <v>11</v>
      </c>
      <c r="H4044" s="12">
        <v>2.1643370186872799</v>
      </c>
      <c r="I4044" s="11">
        <v>3.1235545521510302</v>
      </c>
      <c r="J4044" s="10">
        <v>1.7868073903563801E-3</v>
      </c>
      <c r="K4044" s="29">
        <v>6.0037177243609401E-2</v>
      </c>
    </row>
    <row r="4045" spans="1:11" x14ac:dyDescent="0.35">
      <c r="A4045" s="9" t="str">
        <f>HYPERLINK("http://www.ensembl.org/id/WBGene00044529", "WBGene00044529")</f>
        <v>WBGene00044529</v>
      </c>
      <c r="B4045" s="9" t="str">
        <f>HYPERLINK("http://www.ncbi.nlm.nih.gov/gene/3896819", "3896819")</f>
        <v>3896819</v>
      </c>
      <c r="C4045" s="9"/>
      <c r="D4045" t="str">
        <f>"irld-1"</f>
        <v>irld-1</v>
      </c>
      <c r="E4045" t="s">
        <v>1627</v>
      </c>
      <c r="F4045" t="s">
        <v>11</v>
      </c>
      <c r="G4045" t="s">
        <v>25</v>
      </c>
      <c r="H4045" s="12">
        <v>2.1637316534994202</v>
      </c>
      <c r="I4045" s="11">
        <v>0.80691552619916496</v>
      </c>
      <c r="J4045" s="10">
        <v>0.41971515299773898</v>
      </c>
      <c r="K4045" s="29">
        <v>0.98289565623980701</v>
      </c>
    </row>
    <row r="4046" spans="1:11" x14ac:dyDescent="0.35">
      <c r="A4046" s="9" t="str">
        <f>HYPERLINK("http://www.ensembl.org/id/WBGene00002011", "WBGene00002011")</f>
        <v>WBGene00002011</v>
      </c>
      <c r="B4046" s="9" t="str">
        <f>HYPERLINK("http://www.ncbi.nlm.nih.gov/gene/176148", "176148")</f>
        <v>176148</v>
      </c>
      <c r="C4046" s="9"/>
      <c r="D4046" t="str">
        <f>"hsp-12.2"</f>
        <v>hsp-12.2</v>
      </c>
      <c r="E4046" t="s">
        <v>395</v>
      </c>
      <c r="F4046" t="s">
        <v>11</v>
      </c>
      <c r="H4046" s="12">
        <v>2.1634018539439301</v>
      </c>
      <c r="I4046" s="11">
        <v>3.7013722804854701</v>
      </c>
      <c r="J4046" s="10">
        <v>2.1443658669283199E-4</v>
      </c>
      <c r="K4046" s="29">
        <v>1.2026145077972301E-2</v>
      </c>
    </row>
    <row r="4047" spans="1:11" x14ac:dyDescent="0.35">
      <c r="A4047" s="9" t="str">
        <f>HYPERLINK("http://www.ensembl.org/id/WBGene00044433", "WBGene00044433")</f>
        <v>WBGene00044433</v>
      </c>
      <c r="B4047" s="9" t="str">
        <f>HYPERLINK("http://www.ncbi.nlm.nih.gov/gene/3565719", "3565719")</f>
        <v>3565719</v>
      </c>
      <c r="C4047" s="9"/>
      <c r="D4047" t="str">
        <f>"W10C8.6"</f>
        <v>W10C8.6</v>
      </c>
      <c r="F4047" t="s">
        <v>11</v>
      </c>
      <c r="G4047" t="s">
        <v>25</v>
      </c>
      <c r="H4047" s="12">
        <v>2.1629701356389499</v>
      </c>
      <c r="I4047" s="11">
        <v>3.45928689177302</v>
      </c>
      <c r="J4047" s="10">
        <v>5.4160767954734097E-4</v>
      </c>
      <c r="K4047" s="29">
        <v>2.4350954936650699E-2</v>
      </c>
    </row>
    <row r="4048" spans="1:11" x14ac:dyDescent="0.35">
      <c r="A4048" s="9" t="str">
        <f>HYPERLINK("http://www.ensembl.org/id/WBGene00017032", "WBGene00017032")</f>
        <v>WBGene00017032</v>
      </c>
      <c r="B4048" s="9" t="str">
        <f>HYPERLINK("http://www.ncbi.nlm.nih.gov/gene/175758", "175758")</f>
        <v>175758</v>
      </c>
      <c r="C4048" s="9"/>
      <c r="D4048" t="str">
        <f>"D1044.7"</f>
        <v>D1044.7</v>
      </c>
      <c r="F4048" t="s">
        <v>11</v>
      </c>
      <c r="H4048" s="12">
        <v>2.1626903728579498</v>
      </c>
      <c r="I4048" s="11">
        <v>1.5063580175958</v>
      </c>
      <c r="J4048" s="10">
        <v>0.13197529184763901</v>
      </c>
      <c r="K4048" s="29">
        <v>0.81732004648393297</v>
      </c>
    </row>
    <row r="4049" spans="1:11" x14ac:dyDescent="0.35">
      <c r="A4049" s="9" t="str">
        <f>HYPERLINK("http://www.ensembl.org/id/WBGene00017175", "WBGene00017175")</f>
        <v>WBGene00017175</v>
      </c>
      <c r="B4049" s="9" t="str">
        <f>HYPERLINK("http://www.ncbi.nlm.nih.gov/gene/184075", "184075")</f>
        <v>184075</v>
      </c>
      <c r="C4049" s="9"/>
      <c r="D4049" t="str">
        <f>"irld-3"</f>
        <v>irld-3</v>
      </c>
      <c r="E4049" t="s">
        <v>1627</v>
      </c>
      <c r="F4049" t="s">
        <v>11</v>
      </c>
      <c r="G4049" t="s">
        <v>25</v>
      </c>
      <c r="H4049" s="12">
        <v>2.1620574740809499</v>
      </c>
      <c r="I4049" s="11">
        <v>0.61296116813089696</v>
      </c>
      <c r="J4049" s="10">
        <v>0.53990201625114198</v>
      </c>
      <c r="K4049" s="29">
        <v>0.98289565623980701</v>
      </c>
    </row>
    <row r="4050" spans="1:11" x14ac:dyDescent="0.35">
      <c r="A4050" s="9" t="str">
        <f>HYPERLINK("http://www.ensembl.org/id/WBGene00020666", "WBGene00020666")</f>
        <v>WBGene00020666</v>
      </c>
      <c r="B4050" s="9" t="str">
        <f>HYPERLINK("http://www.ncbi.nlm.nih.gov/gene/188717", "188717")</f>
        <v>188717</v>
      </c>
      <c r="C4050" s="9"/>
      <c r="D4050" t="str">
        <f>"T22B2.2"</f>
        <v>T22B2.2</v>
      </c>
      <c r="F4050" t="s">
        <v>11</v>
      </c>
      <c r="G4050" t="s">
        <v>25</v>
      </c>
      <c r="H4050" s="12">
        <v>2.1617739785964698</v>
      </c>
      <c r="I4050" s="11">
        <v>0.61281848444618503</v>
      </c>
      <c r="J4050" s="10">
        <v>0.53999636725037004</v>
      </c>
      <c r="K4050" s="29">
        <v>0.98289565623980701</v>
      </c>
    </row>
    <row r="4051" spans="1:11" x14ac:dyDescent="0.35">
      <c r="A4051" s="9" t="str">
        <f>HYPERLINK("http://www.ensembl.org/id/WBGene00018515", "WBGene00018515")</f>
        <v>WBGene00018515</v>
      </c>
      <c r="B4051" s="9" t="str">
        <f>HYPERLINK("http://www.ncbi.nlm.nih.gov/gene/185878", "185878")</f>
        <v>185878</v>
      </c>
      <c r="C4051" s="9"/>
      <c r="D4051" t="str">
        <f>"F46G11.2"</f>
        <v>F46G11.2</v>
      </c>
      <c r="F4051" t="s">
        <v>11</v>
      </c>
      <c r="H4051" s="12">
        <v>2.16105860324702</v>
      </c>
      <c r="I4051" s="11">
        <v>1.5121564967788601</v>
      </c>
      <c r="J4051" s="10">
        <v>0.13049405510357401</v>
      </c>
      <c r="K4051" s="29">
        <v>0.81337891481607005</v>
      </c>
    </row>
    <row r="4052" spans="1:11" x14ac:dyDescent="0.35">
      <c r="A4052" s="9" t="str">
        <f>HYPERLINK("http://www.ensembl.org/id/WBGene00009252", "WBGene00009252")</f>
        <v>WBGene00009252</v>
      </c>
      <c r="B4052" s="9" t="str">
        <f>HYPERLINK("http://www.ncbi.nlm.nih.gov/gene/185119", "185119")</f>
        <v>185119</v>
      </c>
      <c r="C4052" s="9"/>
      <c r="D4052" t="str">
        <f>"F29D10.3"</f>
        <v>F29D10.3</v>
      </c>
      <c r="F4052" t="s">
        <v>11</v>
      </c>
      <c r="H4052" s="12">
        <v>2.1609411393206699</v>
      </c>
      <c r="I4052" s="11">
        <v>0.41838485553044003</v>
      </c>
      <c r="J4052" s="10">
        <v>0.67566575744521895</v>
      </c>
      <c r="K4052" s="29">
        <v>0.98289565623980701</v>
      </c>
    </row>
    <row r="4053" spans="1:11" x14ac:dyDescent="0.35">
      <c r="A4053" s="9" t="str">
        <f>HYPERLINK("http://www.ensembl.org/id/WBGene00012815", "WBGene00012815")</f>
        <v>WBGene00012815</v>
      </c>
      <c r="B4053" s="9" t="str">
        <f>HYPERLINK("http://www.ncbi.nlm.nih.gov/gene/189869", "189869")</f>
        <v>189869</v>
      </c>
      <c r="C4053" s="9"/>
      <c r="D4053" t="str">
        <f>"phy-4"</f>
        <v>phy-4</v>
      </c>
      <c r="E4053" t="s">
        <v>2535</v>
      </c>
      <c r="F4053" t="s">
        <v>11</v>
      </c>
      <c r="G4053" t="s">
        <v>4434</v>
      </c>
      <c r="H4053" s="12">
        <v>2.1609411393206699</v>
      </c>
      <c r="I4053" s="11">
        <v>0.41838485553044003</v>
      </c>
      <c r="J4053" s="10">
        <v>0.67566575744521895</v>
      </c>
      <c r="K4053" s="29">
        <v>0.98289565623980701</v>
      </c>
    </row>
    <row r="4054" spans="1:11" x14ac:dyDescent="0.35">
      <c r="A4054" s="9" t="str">
        <f>HYPERLINK("http://www.ensembl.org/id/WBGene00007229", "WBGene00007229")</f>
        <v>WBGene00007229</v>
      </c>
      <c r="B4054" s="9" t="str">
        <f>HYPERLINK("http://www.ncbi.nlm.nih.gov/gene/182078", "182078")</f>
        <v>182078</v>
      </c>
      <c r="C4054" s="9"/>
      <c r="D4054" t="str">
        <f>"C01G6.9"</f>
        <v>C01G6.9</v>
      </c>
      <c r="F4054" t="s">
        <v>11</v>
      </c>
      <c r="H4054" s="12">
        <v>2.1606043725547499</v>
      </c>
      <c r="I4054" s="11">
        <v>2.8138147213194298</v>
      </c>
      <c r="J4054" s="10">
        <v>4.8957436704461996E-3</v>
      </c>
      <c r="K4054" s="29">
        <v>0.11951229720262201</v>
      </c>
    </row>
    <row r="4055" spans="1:11" x14ac:dyDescent="0.35">
      <c r="A4055" s="9" t="str">
        <f>HYPERLINK("http://www.ensembl.org/id/WBGene00007178", "WBGene00007178")</f>
        <v>WBGene00007178</v>
      </c>
      <c r="B4055" s="9" t="str">
        <f>HYPERLINK("http://www.ncbi.nlm.nih.gov/gene/174420", "174420")</f>
        <v>174420</v>
      </c>
      <c r="C4055" s="9"/>
      <c r="D4055" t="str">
        <f>"B0457.2"</f>
        <v>B0457.2</v>
      </c>
      <c r="F4055" t="s">
        <v>11</v>
      </c>
      <c r="H4055" s="12">
        <v>2.1605744522114998</v>
      </c>
      <c r="I4055" s="11">
        <v>3.0062298970691899</v>
      </c>
      <c r="J4055" s="10">
        <v>2.6450893184381701E-3</v>
      </c>
      <c r="K4055" s="29">
        <v>7.8055470998508694E-2</v>
      </c>
    </row>
    <row r="4056" spans="1:11" x14ac:dyDescent="0.35">
      <c r="A4056" s="9" t="str">
        <f>HYPERLINK("http://www.ensembl.org/id/WBGene00009471", "WBGene00009471")</f>
        <v>WBGene00009471</v>
      </c>
      <c r="B4056" s="9" t="str">
        <f>HYPERLINK("http://www.ncbi.nlm.nih.gov/gene/185352", "185352")</f>
        <v>185352</v>
      </c>
      <c r="C4056" s="9"/>
      <c r="D4056" t="str">
        <f>"F36D3.5"</f>
        <v>F36D3.5</v>
      </c>
      <c r="F4056" t="s">
        <v>11</v>
      </c>
      <c r="G4056" t="s">
        <v>417</v>
      </c>
      <c r="H4056" s="12">
        <v>2.1574135855438099</v>
      </c>
      <c r="I4056" s="11">
        <v>0.48826458123830502</v>
      </c>
      <c r="J4056" s="10">
        <v>0.62536244574660405</v>
      </c>
      <c r="K4056" s="29">
        <v>0.98289565623980701</v>
      </c>
    </row>
    <row r="4057" spans="1:11" x14ac:dyDescent="0.35">
      <c r="A4057" s="9" t="str">
        <f>HYPERLINK("http://www.ensembl.org/id/WBGene00019960", "WBGene00019960")</f>
        <v>WBGene00019960</v>
      </c>
      <c r="B4057" s="9" t="str">
        <f>HYPERLINK("http://www.ncbi.nlm.nih.gov/gene/180756", "180756")</f>
        <v>180756</v>
      </c>
      <c r="C4057" s="9"/>
      <c r="D4057" t="str">
        <f>"ztf-16"</f>
        <v>ztf-16</v>
      </c>
      <c r="E4057" t="s">
        <v>461</v>
      </c>
      <c r="F4057" t="s">
        <v>11</v>
      </c>
      <c r="G4057" t="s">
        <v>483</v>
      </c>
      <c r="H4057" s="12">
        <v>2.1567342001375298</v>
      </c>
      <c r="I4057" s="11">
        <v>3.4207383334133099</v>
      </c>
      <c r="J4057" s="10">
        <v>6.2451388229579495E-4</v>
      </c>
      <c r="K4057" s="29">
        <v>2.71240935419674E-2</v>
      </c>
    </row>
    <row r="4058" spans="1:11" x14ac:dyDescent="0.35">
      <c r="A4058" s="9" t="str">
        <f>HYPERLINK("http://www.ensembl.org/id/WBGene00016868", "WBGene00016868")</f>
        <v>WBGene00016868</v>
      </c>
      <c r="B4058" s="9" t="str">
        <f>HYPERLINK("http://www.ncbi.nlm.nih.gov/gene/182830", "182830")</f>
        <v>182830</v>
      </c>
      <c r="C4058" s="9"/>
      <c r="D4058" t="str">
        <f>"C52B9.8"</f>
        <v>C52B9.8</v>
      </c>
      <c r="F4058" t="s">
        <v>11</v>
      </c>
      <c r="G4058" t="s">
        <v>25</v>
      </c>
      <c r="H4058" s="12">
        <v>2.1559553354226701</v>
      </c>
      <c r="I4058" s="11">
        <v>1.25170077150095</v>
      </c>
      <c r="J4058" s="10">
        <v>0.21067891886563</v>
      </c>
      <c r="K4058" s="29">
        <v>0.96204488128641297</v>
      </c>
    </row>
    <row r="4059" spans="1:11" x14ac:dyDescent="0.35">
      <c r="A4059" s="9" t="str">
        <f>HYPERLINK("http://www.ensembl.org/id/WBGene00022283", "WBGene00022283")</f>
        <v>WBGene00022283</v>
      </c>
      <c r="B4059" s="9" t="str">
        <f>HYPERLINK("http://www.ncbi.nlm.nih.gov/gene/173802", "173802")</f>
        <v>173802</v>
      </c>
      <c r="C4059" s="9"/>
      <c r="D4059" t="str">
        <f>"lgc-27"</f>
        <v>lgc-27</v>
      </c>
      <c r="E4059" t="s">
        <v>505</v>
      </c>
      <c r="F4059" t="s">
        <v>11</v>
      </c>
      <c r="G4059" t="s">
        <v>906</v>
      </c>
      <c r="H4059" s="12">
        <v>2.1557709201438899</v>
      </c>
      <c r="I4059" s="11">
        <v>2.72291505278235</v>
      </c>
      <c r="J4059" s="10">
        <v>6.4708693971508103E-3</v>
      </c>
      <c r="K4059" s="29">
        <v>0.14199041623035799</v>
      </c>
    </row>
    <row r="4060" spans="1:11" x14ac:dyDescent="0.35">
      <c r="A4060" s="9" t="str">
        <f>HYPERLINK("http://www.ensembl.org/id/WBGene00010512", "WBGene00010512")</f>
        <v>WBGene00010512</v>
      </c>
      <c r="B4060" s="9" t="str">
        <f>HYPERLINK("http://www.ncbi.nlm.nih.gov/gene/186894", "186894")</f>
        <v>186894</v>
      </c>
      <c r="C4060" s="9"/>
      <c r="D4060" t="str">
        <f>"K02E11.3"</f>
        <v>K02E11.3</v>
      </c>
      <c r="F4060" t="s">
        <v>11</v>
      </c>
      <c r="H4060" s="12">
        <v>2.1556463424178398</v>
      </c>
      <c r="I4060" s="11">
        <v>2.39807391870835</v>
      </c>
      <c r="J4060" s="10">
        <v>1.6481538864492901E-2</v>
      </c>
      <c r="K4060" s="29">
        <v>0.268373810431975</v>
      </c>
    </row>
    <row r="4061" spans="1:11" x14ac:dyDescent="0.35">
      <c r="A4061" s="9" t="str">
        <f>HYPERLINK("http://www.ensembl.org/id/WBGene00006731", "WBGene00006731")</f>
        <v>WBGene00006731</v>
      </c>
      <c r="B4061" s="9" t="str">
        <f>HYPERLINK("http://www.ncbi.nlm.nih.gov/gene/186377", "186377")</f>
        <v>186377</v>
      </c>
      <c r="C4061" s="9"/>
      <c r="D4061" t="str">
        <f>"uev-2"</f>
        <v>uev-2</v>
      </c>
      <c r="E4061" t="s">
        <v>4435</v>
      </c>
      <c r="F4061" t="s">
        <v>11</v>
      </c>
      <c r="G4061" t="s">
        <v>4436</v>
      </c>
      <c r="H4061" s="12">
        <v>2.1553382539107302</v>
      </c>
      <c r="I4061" s="11">
        <v>0.85156162718126605</v>
      </c>
      <c r="J4061" s="10">
        <v>0.39445744506334202</v>
      </c>
      <c r="K4061" s="29">
        <v>0.98289565623980701</v>
      </c>
    </row>
    <row r="4062" spans="1:11" x14ac:dyDescent="0.35">
      <c r="A4062" s="9" t="str">
        <f>HYPERLINK("http://www.ensembl.org/id/WBGene00000061", "WBGene00000061")</f>
        <v>WBGene00000061</v>
      </c>
      <c r="B4062" s="9" t="str">
        <f>HYPERLINK("http://www.ncbi.nlm.nih.gov/gene/181009", "181009")</f>
        <v>181009</v>
      </c>
      <c r="C4062" s="9"/>
      <c r="D4062" t="str">
        <f>"lgc-11"</f>
        <v>lgc-11</v>
      </c>
      <c r="E4062" t="s">
        <v>3991</v>
      </c>
      <c r="F4062" t="s">
        <v>11</v>
      </c>
      <c r="G4062" t="s">
        <v>906</v>
      </c>
      <c r="H4062" s="12">
        <v>2.1547651356233302</v>
      </c>
      <c r="I4062" s="11">
        <v>1.25373168069981</v>
      </c>
      <c r="J4062" s="10">
        <v>0.20993954875149901</v>
      </c>
      <c r="K4062" s="29">
        <v>0.96108357664438104</v>
      </c>
    </row>
    <row r="4063" spans="1:11" x14ac:dyDescent="0.35">
      <c r="A4063" s="9" t="str">
        <f>HYPERLINK("http://www.ensembl.org/id/WBGene00044379", "WBGene00044379")</f>
        <v>WBGene00044379</v>
      </c>
      <c r="B4063" s="9" t="str">
        <f>HYPERLINK("http://www.ncbi.nlm.nih.gov/gene/3565379", "3565379")</f>
        <v>3565379</v>
      </c>
      <c r="C4063" s="9"/>
      <c r="D4063" t="str">
        <f>"F40H7.12"</f>
        <v>F40H7.12</v>
      </c>
      <c r="F4063" t="s">
        <v>11</v>
      </c>
      <c r="H4063" s="12">
        <v>2.1541729183528502</v>
      </c>
      <c r="I4063" s="11">
        <v>0.54511297095044398</v>
      </c>
      <c r="J4063" s="10">
        <v>0.58567582221027503</v>
      </c>
      <c r="K4063" s="29">
        <v>0.98289565623980701</v>
      </c>
    </row>
    <row r="4064" spans="1:11" x14ac:dyDescent="0.35">
      <c r="A4064" s="9" t="str">
        <f>HYPERLINK("http://www.ensembl.org/id/WBGene00044289", "WBGene00044289")</f>
        <v>WBGene00044289</v>
      </c>
      <c r="B4064" s="9" t="str">
        <f>HYPERLINK("http://www.ncbi.nlm.nih.gov/gene/3565857", "3565857")</f>
        <v>3565857</v>
      </c>
      <c r="C4064" s="9"/>
      <c r="D4064" t="str">
        <f>"Y37F4.8"</f>
        <v>Y37F4.8</v>
      </c>
      <c r="F4064" t="s">
        <v>11</v>
      </c>
      <c r="H4064" s="12">
        <v>2.1529011166382799</v>
      </c>
      <c r="I4064" s="11">
        <v>1.56477844683436</v>
      </c>
      <c r="J4064" s="10">
        <v>0.117634867122898</v>
      </c>
      <c r="K4064" s="29">
        <v>0.78330583277858301</v>
      </c>
    </row>
    <row r="4065" spans="1:11" x14ac:dyDescent="0.35">
      <c r="A4065" s="9" t="str">
        <f>HYPERLINK("http://www.ensembl.org/id/WBGene00195286", "WBGene00195286")</f>
        <v>WBGene00195286</v>
      </c>
      <c r="B4065" s="9"/>
      <c r="C4065" s="9"/>
      <c r="D4065" t="str">
        <f>"C03E10.8"</f>
        <v>C03E10.8</v>
      </c>
      <c r="F4065" t="s">
        <v>481</v>
      </c>
      <c r="H4065" s="12">
        <v>2.15084583900728</v>
      </c>
      <c r="I4065" s="11">
        <v>0.37220651009071098</v>
      </c>
      <c r="J4065" s="10">
        <v>0.70973909941152502</v>
      </c>
      <c r="K4065" s="29">
        <v>0.98289565623980701</v>
      </c>
    </row>
    <row r="4066" spans="1:11" x14ac:dyDescent="0.35">
      <c r="A4066" s="9" t="str">
        <f>HYPERLINK("http://www.ensembl.org/id/WBGene00008382", "WBGene00008382")</f>
        <v>WBGene00008382</v>
      </c>
      <c r="B4066" s="9" t="str">
        <f>HYPERLINK("http://www.ncbi.nlm.nih.gov/gene/183928", "183928")</f>
        <v>183928</v>
      </c>
      <c r="C4066" s="9"/>
      <c r="D4066" t="str">
        <f>"D1081.4"</f>
        <v>D1081.4</v>
      </c>
      <c r="F4066" t="s">
        <v>11</v>
      </c>
      <c r="G4066" t="s">
        <v>2447</v>
      </c>
      <c r="H4066" s="12">
        <v>2.1507062419050098</v>
      </c>
      <c r="I4066" s="11">
        <v>1.6827563446757501</v>
      </c>
      <c r="J4066" s="10">
        <v>9.2422269240500093E-2</v>
      </c>
      <c r="K4066" s="29">
        <v>0.70293250594831902</v>
      </c>
    </row>
    <row r="4067" spans="1:11" x14ac:dyDescent="0.35">
      <c r="A4067" s="9" t="str">
        <f>HYPERLINK("http://www.ensembl.org/id/WBGene00017194", "WBGene00017194")</f>
        <v>WBGene00017194</v>
      </c>
      <c r="B4067" s="9" t="str">
        <f>HYPERLINK("http://www.ncbi.nlm.nih.gov/gene/184124", "184124")</f>
        <v>184124</v>
      </c>
      <c r="C4067" s="9"/>
      <c r="D4067" t="str">
        <f>"F07C3.3"</f>
        <v>F07C3.3</v>
      </c>
      <c r="F4067" t="s">
        <v>11</v>
      </c>
      <c r="G4067" t="s">
        <v>3228</v>
      </c>
      <c r="H4067" s="12">
        <v>2.1502253872228301</v>
      </c>
      <c r="I4067" s="11">
        <v>1.4433359481028001</v>
      </c>
      <c r="J4067" s="10">
        <v>0.14892585789384599</v>
      </c>
      <c r="K4067" s="29">
        <v>0.85133025472297696</v>
      </c>
    </row>
    <row r="4068" spans="1:11" x14ac:dyDescent="0.35">
      <c r="A4068" s="9" t="str">
        <f>HYPERLINK("http://www.ensembl.org/id/WBGene00219755", "WBGene00219755")</f>
        <v>WBGene00219755</v>
      </c>
      <c r="B4068" s="9"/>
      <c r="C4068" s="9"/>
      <c r="D4068" t="str">
        <f>"linc-17"</f>
        <v>linc-17</v>
      </c>
      <c r="F4068" t="s">
        <v>1510</v>
      </c>
      <c r="H4068" s="12">
        <v>2.1497898937057802</v>
      </c>
      <c r="I4068" s="11">
        <v>1.15894116024659</v>
      </c>
      <c r="J4068" s="10">
        <v>0.24648016983717899</v>
      </c>
      <c r="K4068" s="29">
        <v>0.98289565623980701</v>
      </c>
    </row>
    <row r="4069" spans="1:11" x14ac:dyDescent="0.35">
      <c r="A4069" s="9" t="str">
        <f>HYPERLINK("http://www.ensembl.org/id/WBGene00018089", "WBGene00018089")</f>
        <v>WBGene00018089</v>
      </c>
      <c r="B4069" s="9" t="str">
        <f>HYPERLINK("http://www.ncbi.nlm.nih.gov/gene/179322", "179322")</f>
        <v>179322</v>
      </c>
      <c r="C4069" s="9"/>
      <c r="D4069" t="str">
        <f>"F36D4.4"</f>
        <v>F36D4.4</v>
      </c>
      <c r="F4069" t="s">
        <v>11</v>
      </c>
      <c r="G4069" t="s">
        <v>1511</v>
      </c>
      <c r="H4069" s="12">
        <v>2.1490140608041601</v>
      </c>
      <c r="I4069" s="11">
        <v>2.1406857885913402</v>
      </c>
      <c r="J4069" s="10">
        <v>3.2299385318193499E-2</v>
      </c>
      <c r="K4069" s="29">
        <v>0.40692998754753501</v>
      </c>
    </row>
    <row r="4070" spans="1:11" x14ac:dyDescent="0.35">
      <c r="A4070" s="9" t="str">
        <f>HYPERLINK("http://www.ensembl.org/id/WBGene00044358", "WBGene00044358")</f>
        <v>WBGene00044358</v>
      </c>
      <c r="B4070" s="9" t="str">
        <f>HYPERLINK("http://www.ncbi.nlm.nih.gov/gene/3564853", "3564853")</f>
        <v>3564853</v>
      </c>
      <c r="C4070" s="9"/>
      <c r="D4070" t="str">
        <f>"Y71G12B.33"</f>
        <v>Y71G12B.33</v>
      </c>
      <c r="F4070" t="s">
        <v>11</v>
      </c>
      <c r="G4070" t="s">
        <v>25</v>
      </c>
      <c r="H4070" s="12">
        <v>2.1487269372705602</v>
      </c>
      <c r="I4070" s="11">
        <v>0.54523584981958895</v>
      </c>
      <c r="J4070" s="10">
        <v>0.58559131810262</v>
      </c>
      <c r="K4070" s="29">
        <v>0.98289565623980701</v>
      </c>
    </row>
    <row r="4071" spans="1:11" x14ac:dyDescent="0.35">
      <c r="A4071" s="9" t="str">
        <f>HYPERLINK("http://www.ensembl.org/id/WBGene00016037", "WBGene00016037")</f>
        <v>WBGene00016037</v>
      </c>
      <c r="B4071" s="9" t="str">
        <f>HYPERLINK("http://www.ncbi.nlm.nih.gov/gene/180706", "180706")</f>
        <v>180706</v>
      </c>
      <c r="C4071" s="9"/>
      <c r="D4071" t="str">
        <f>"dop-6"</f>
        <v>dop-6</v>
      </c>
      <c r="E4071" t="s">
        <v>1425</v>
      </c>
      <c r="F4071" t="s">
        <v>11</v>
      </c>
      <c r="G4071" t="s">
        <v>2032</v>
      </c>
      <c r="H4071" s="12">
        <v>2.14839633562503</v>
      </c>
      <c r="I4071" s="11">
        <v>1.8531038225360601</v>
      </c>
      <c r="J4071" s="10">
        <v>6.3867479056552295E-2</v>
      </c>
      <c r="K4071" s="29">
        <v>0.59649230844005596</v>
      </c>
    </row>
    <row r="4072" spans="1:11" x14ac:dyDescent="0.35">
      <c r="A4072" s="9" t="str">
        <f>HYPERLINK("http://www.ensembl.org/id/WBGene00020947", "WBGene00020947")</f>
        <v>WBGene00020947</v>
      </c>
      <c r="B4072" s="9" t="str">
        <f>HYPERLINK("http://www.ncbi.nlm.nih.gov/gene/189124", "189124")</f>
        <v>189124</v>
      </c>
      <c r="C4072" s="9" t="str">
        <f>HYPERLINK("http://www.ncbi.nlm.nih.gov/gene/340485", "340485")</f>
        <v>340485</v>
      </c>
      <c r="D4072" t="str">
        <f>"W02F12.2"</f>
        <v>W02F12.2</v>
      </c>
      <c r="E4072" t="s">
        <v>808</v>
      </c>
      <c r="F4072" t="s">
        <v>11</v>
      </c>
      <c r="G4072" t="s">
        <v>809</v>
      </c>
      <c r="H4072" s="12">
        <v>2.1477883134837898</v>
      </c>
      <c r="I4072" s="11">
        <v>2.8379900456264302</v>
      </c>
      <c r="J4072" s="10">
        <v>4.5398598441904097E-3</v>
      </c>
      <c r="K4072" s="29">
        <v>0.113525975714138</v>
      </c>
    </row>
    <row r="4073" spans="1:11" x14ac:dyDescent="0.35">
      <c r="A4073" s="9" t="str">
        <f>HYPERLINK("http://www.ensembl.org/id/WBGene00021335", "WBGene00021335")</f>
        <v>WBGene00021335</v>
      </c>
      <c r="B4073" s="9" t="str">
        <f>HYPERLINK("http://www.ncbi.nlm.nih.gov/gene/259362", "259362")</f>
        <v>259362</v>
      </c>
      <c r="C4073" s="9"/>
      <c r="D4073" t="str">
        <f>"spp-23"</f>
        <v>spp-23</v>
      </c>
      <c r="E4073" t="s">
        <v>62</v>
      </c>
      <c r="F4073" t="s">
        <v>11</v>
      </c>
      <c r="H4073" s="12">
        <v>2.1476415747856801</v>
      </c>
      <c r="I4073" s="11">
        <v>1.46775409555568</v>
      </c>
      <c r="J4073" s="10">
        <v>0.14217103072818399</v>
      </c>
      <c r="K4073" s="29">
        <v>0.83689988993299502</v>
      </c>
    </row>
    <row r="4074" spans="1:11" x14ac:dyDescent="0.35">
      <c r="A4074" s="9" t="str">
        <f>HYPERLINK("http://www.ensembl.org/id/WBGene00016683", "WBGene00016683")</f>
        <v>WBGene00016683</v>
      </c>
      <c r="B4074" s="9" t="str">
        <f>HYPERLINK("http://www.ncbi.nlm.nih.gov/gene/183482", "183482")</f>
        <v>183482</v>
      </c>
      <c r="C4074" s="9"/>
      <c r="D4074" t="str">
        <f>"C45G9.12"</f>
        <v>C45G9.12</v>
      </c>
      <c r="F4074" t="s">
        <v>11</v>
      </c>
      <c r="H4074" s="12">
        <v>2.1461797881947202</v>
      </c>
      <c r="I4074" s="11">
        <v>1.96472839124355</v>
      </c>
      <c r="J4074" s="10">
        <v>4.9445682093773598E-2</v>
      </c>
      <c r="K4074" s="29">
        <v>0.51955067324180704</v>
      </c>
    </row>
    <row r="4075" spans="1:11" x14ac:dyDescent="0.35">
      <c r="A4075" s="9" t="str">
        <f>HYPERLINK("http://www.ensembl.org/id/WBGene00018136", "WBGene00018136")</f>
        <v>WBGene00018136</v>
      </c>
      <c r="B4075" s="9" t="str">
        <f>HYPERLINK("http://www.ncbi.nlm.nih.gov/gene/185405", "185405")</f>
        <v>185405</v>
      </c>
      <c r="C4075" s="9"/>
      <c r="D4075" t="str">
        <f>"F37A4.6"</f>
        <v>F37A4.6</v>
      </c>
      <c r="F4075" t="s">
        <v>11</v>
      </c>
      <c r="H4075" s="12">
        <v>2.1451016175672701</v>
      </c>
      <c r="I4075" s="11">
        <v>0.50050448870553899</v>
      </c>
      <c r="J4075" s="10">
        <v>0.616719896303215</v>
      </c>
      <c r="K4075" s="29">
        <v>0.98289565623980701</v>
      </c>
    </row>
    <row r="4076" spans="1:11" x14ac:dyDescent="0.35">
      <c r="A4076" s="9" t="str">
        <f>HYPERLINK("http://www.ensembl.org/id/WBGene00015948", "WBGene00015948")</f>
        <v>WBGene00015948</v>
      </c>
      <c r="B4076" s="9" t="str">
        <f>HYPERLINK("http://www.ncbi.nlm.nih.gov/gene/182760", "182760")</f>
        <v>182760</v>
      </c>
      <c r="C4076" s="9"/>
      <c r="D4076" t="str">
        <f>"C18A11.2"</f>
        <v>C18A11.2</v>
      </c>
      <c r="F4076" t="s">
        <v>11</v>
      </c>
      <c r="H4076" s="12">
        <v>2.14451950074025</v>
      </c>
      <c r="I4076" s="11">
        <v>2.4965083993698198</v>
      </c>
      <c r="J4076" s="10">
        <v>1.2542269839967301E-2</v>
      </c>
      <c r="K4076" s="29">
        <v>0.224820867209891</v>
      </c>
    </row>
    <row r="4077" spans="1:11" x14ac:dyDescent="0.35">
      <c r="A4077" s="9" t="str">
        <f>HYPERLINK("http://www.ensembl.org/id/WBGene00007340", "WBGene00007340")</f>
        <v>WBGene00007340</v>
      </c>
      <c r="B4077" s="9" t="str">
        <f>HYPERLINK("http://www.ncbi.nlm.nih.gov/gene/174741", "174741")</f>
        <v>174741</v>
      </c>
      <c r="C4077" s="9"/>
      <c r="D4077" t="str">
        <f>"C05D12.2"</f>
        <v>C05D12.2</v>
      </c>
      <c r="F4077" t="s">
        <v>11</v>
      </c>
      <c r="H4077" s="12">
        <v>2.1444098381183401</v>
      </c>
      <c r="I4077" s="11">
        <v>3.6944384349195301</v>
      </c>
      <c r="J4077" s="10">
        <v>2.2037327749551501E-4</v>
      </c>
      <c r="K4077" s="29">
        <v>1.2210899160219099E-2</v>
      </c>
    </row>
    <row r="4078" spans="1:11" x14ac:dyDescent="0.35">
      <c r="A4078" s="9" t="str">
        <f>HYPERLINK("http://www.ensembl.org/id/WBGene00009830", "WBGene00009830")</f>
        <v>WBGene00009830</v>
      </c>
      <c r="B4078" s="9" t="str">
        <f>HYPERLINK("http://www.ncbi.nlm.nih.gov/gene/179565", "179565")</f>
        <v>179565</v>
      </c>
      <c r="C4078" s="9"/>
      <c r="D4078" t="str">
        <f>"cutl-18"</f>
        <v>cutl-18</v>
      </c>
      <c r="E4078" t="s">
        <v>166</v>
      </c>
      <c r="F4078" t="s">
        <v>11</v>
      </c>
      <c r="G4078" t="s">
        <v>25</v>
      </c>
      <c r="H4078" s="12">
        <v>2.1441832039868598</v>
      </c>
      <c r="I4078" s="11">
        <v>2.2663955771408202</v>
      </c>
      <c r="J4078" s="10">
        <v>2.3427174154511801E-2</v>
      </c>
      <c r="K4078" s="29">
        <v>0.33249894718313899</v>
      </c>
    </row>
    <row r="4079" spans="1:11" x14ac:dyDescent="0.35">
      <c r="A4079" s="9" t="str">
        <f>HYPERLINK("http://www.ensembl.org/id/WBGene00010485", "WBGene00010485")</f>
        <v>WBGene00010485</v>
      </c>
      <c r="B4079" s="9" t="str">
        <f>HYPERLINK("http://www.ncbi.nlm.nih.gov/gene/186855", "186855")</f>
        <v>186855</v>
      </c>
      <c r="C4079" s="9" t="str">
        <f>HYPERLINK("http://www.ncbi.nlm.nih.gov/gene/293", "293")</f>
        <v>293</v>
      </c>
      <c r="D4079" t="str">
        <f>"ant-1.3"</f>
        <v>ant-1.3</v>
      </c>
      <c r="E4079" t="s">
        <v>2711</v>
      </c>
      <c r="F4079" t="s">
        <v>11</v>
      </c>
      <c r="G4079" t="s">
        <v>2712</v>
      </c>
      <c r="H4079" s="12">
        <v>2.1433459045358201</v>
      </c>
      <c r="I4079" s="11">
        <v>1.59243670238293</v>
      </c>
      <c r="J4079" s="10">
        <v>0.111286614992125</v>
      </c>
      <c r="K4079" s="29">
        <v>0.76438422295125796</v>
      </c>
    </row>
    <row r="4080" spans="1:11" x14ac:dyDescent="0.35">
      <c r="A4080" s="9" t="str">
        <f>HYPERLINK("http://www.ensembl.org/id/WBGene00020788", "WBGene00020788")</f>
        <v>WBGene00020788</v>
      </c>
      <c r="B4080" s="9" t="str">
        <f>HYPERLINK("http://www.ncbi.nlm.nih.gov/gene/181144", "181144")</f>
        <v>181144</v>
      </c>
      <c r="C4080" s="9"/>
      <c r="D4080" t="str">
        <f>"nep-22"</f>
        <v>nep-22</v>
      </c>
      <c r="E4080" t="s">
        <v>683</v>
      </c>
      <c r="F4080" t="s">
        <v>11</v>
      </c>
      <c r="G4080" t="s">
        <v>684</v>
      </c>
      <c r="H4080" s="12">
        <v>2.1430036737968599</v>
      </c>
      <c r="I4080" s="11">
        <v>3.01583125355415</v>
      </c>
      <c r="J4080" s="10">
        <v>2.5627583984507499E-3</v>
      </c>
      <c r="K4080" s="29">
        <v>7.6055120304177701E-2</v>
      </c>
    </row>
    <row r="4081" spans="1:11" x14ac:dyDescent="0.35">
      <c r="A4081" s="9" t="str">
        <f>HYPERLINK("http://www.ensembl.org/id/WBGene00016973", "WBGene00016973")</f>
        <v>WBGene00016973</v>
      </c>
      <c r="B4081" s="9" t="str">
        <f>HYPERLINK("http://www.ncbi.nlm.nih.gov/gene/174078", "174078")</f>
        <v>174078</v>
      </c>
      <c r="C4081" s="9"/>
      <c r="D4081" t="str">
        <f>"abch-1"</f>
        <v>abch-1</v>
      </c>
      <c r="E4081" t="s">
        <v>2776</v>
      </c>
      <c r="F4081" t="s">
        <v>11</v>
      </c>
      <c r="G4081" t="s">
        <v>2777</v>
      </c>
      <c r="H4081" s="12">
        <v>2.14245015742789</v>
      </c>
      <c r="I4081" s="11">
        <v>1.56849944789315</v>
      </c>
      <c r="J4081" s="10">
        <v>0.11676461870945901</v>
      </c>
      <c r="K4081" s="29">
        <v>0.78111270408244404</v>
      </c>
    </row>
    <row r="4082" spans="1:11" x14ac:dyDescent="0.35">
      <c r="A4082" s="9" t="str">
        <f>HYPERLINK("http://www.ensembl.org/id/WBGene00017329", "WBGene00017329")</f>
        <v>WBGene00017329</v>
      </c>
      <c r="B4082" s="9" t="str">
        <f>HYPERLINK("http://www.ncbi.nlm.nih.gov/gene/3564933", "3564933")</f>
        <v>3564933</v>
      </c>
      <c r="C4082" s="9"/>
      <c r="D4082" t="str">
        <f>"ugt-39"</f>
        <v>ugt-39</v>
      </c>
      <c r="E4082" t="s">
        <v>103</v>
      </c>
      <c r="F4082" t="s">
        <v>11</v>
      </c>
      <c r="G4082" t="s">
        <v>104</v>
      </c>
      <c r="H4082" s="12">
        <v>2.1422285357177002</v>
      </c>
      <c r="I4082" s="11">
        <v>2.1419505988832199</v>
      </c>
      <c r="J4082" s="10">
        <v>3.2197457539961803E-2</v>
      </c>
      <c r="K4082" s="29">
        <v>0.40608867571962798</v>
      </c>
    </row>
    <row r="4083" spans="1:11" x14ac:dyDescent="0.35">
      <c r="A4083" s="9" t="str">
        <f>HYPERLINK("http://www.ensembl.org/id/WBGene00017490", "WBGene00017490")</f>
        <v>WBGene00017490</v>
      </c>
      <c r="B4083" s="9" t="str">
        <f>HYPERLINK("http://www.ncbi.nlm.nih.gov/gene/178713", "178713")</f>
        <v>178713</v>
      </c>
      <c r="C4083" s="9"/>
      <c r="D4083" t="str">
        <f>"pud-2.1"</f>
        <v>pud-2.1</v>
      </c>
      <c r="E4083" t="s">
        <v>4437</v>
      </c>
      <c r="F4083" t="s">
        <v>11</v>
      </c>
      <c r="H4083" s="12">
        <v>2.14111885353377</v>
      </c>
      <c r="I4083" s="11">
        <v>0.41140047981467398</v>
      </c>
      <c r="J4083" s="10">
        <v>0.68077890214242398</v>
      </c>
      <c r="K4083" s="29">
        <v>0.98289565623980701</v>
      </c>
    </row>
    <row r="4084" spans="1:11" x14ac:dyDescent="0.35">
      <c r="A4084" s="9" t="str">
        <f>HYPERLINK("http://www.ensembl.org/id/WBGene00010887", "WBGene00010887")</f>
        <v>WBGene00010887</v>
      </c>
      <c r="B4084" s="9" t="str">
        <f>HYPERLINK("http://www.ncbi.nlm.nih.gov/gene/187458", "187458")</f>
        <v>187458</v>
      </c>
      <c r="C4084" s="9"/>
      <c r="D4084" t="str">
        <f>"M7.12"</f>
        <v>M7.12</v>
      </c>
      <c r="F4084" t="s">
        <v>11</v>
      </c>
      <c r="G4084" t="s">
        <v>386</v>
      </c>
      <c r="H4084" s="12">
        <v>2.1399445994249202</v>
      </c>
      <c r="I4084" s="11">
        <v>3.7382675174311202</v>
      </c>
      <c r="J4084" s="10">
        <v>1.85292725475339E-4</v>
      </c>
      <c r="K4084" s="29">
        <v>1.0703434287082999E-2</v>
      </c>
    </row>
    <row r="4085" spans="1:11" x14ac:dyDescent="0.35">
      <c r="A4085" s="9" t="str">
        <f>HYPERLINK("http://www.ensembl.org/id/WBGene00007835", "WBGene00007835")</f>
        <v>WBGene00007835</v>
      </c>
      <c r="B4085" s="9" t="str">
        <f>HYPERLINK("http://www.ncbi.nlm.nih.gov/gene/180096", "180096")</f>
        <v>180096</v>
      </c>
      <c r="C4085" s="9"/>
      <c r="D4085" t="str">
        <f>"oac-7"</f>
        <v>oac-7</v>
      </c>
      <c r="E4085" t="s">
        <v>883</v>
      </c>
      <c r="F4085" t="s">
        <v>11</v>
      </c>
      <c r="G4085" t="s">
        <v>884</v>
      </c>
      <c r="H4085" s="12">
        <v>2.1396754364228801</v>
      </c>
      <c r="I4085" s="11">
        <v>1.6079079437104999</v>
      </c>
      <c r="J4085" s="10">
        <v>0.107855341813134</v>
      </c>
      <c r="K4085" s="29">
        <v>0.756520226489794</v>
      </c>
    </row>
    <row r="4086" spans="1:11" x14ac:dyDescent="0.35">
      <c r="A4086" s="9" t="str">
        <f>HYPERLINK("http://www.ensembl.org/id/WBGene00045265", "WBGene00045265")</f>
        <v>WBGene00045265</v>
      </c>
      <c r="B4086" s="9" t="str">
        <f>HYPERLINK("http://www.ncbi.nlm.nih.gov/gene/6418859", "6418859")</f>
        <v>6418859</v>
      </c>
      <c r="C4086" s="9"/>
      <c r="D4086" t="str">
        <f>"K10C2.8"</f>
        <v>K10C2.8</v>
      </c>
      <c r="F4086" t="s">
        <v>11</v>
      </c>
      <c r="H4086" s="12">
        <v>2.1393430661840398</v>
      </c>
      <c r="I4086" s="11">
        <v>4.1404142432939901</v>
      </c>
      <c r="J4086" s="10">
        <v>3.4667919846352203E-5</v>
      </c>
      <c r="K4086" s="29">
        <v>2.8587736626153699E-3</v>
      </c>
    </row>
    <row r="4087" spans="1:11" x14ac:dyDescent="0.35">
      <c r="A4087" s="9" t="str">
        <f>HYPERLINK("http://www.ensembl.org/id/WBGene00019150", "WBGene00019150")</f>
        <v>WBGene00019150</v>
      </c>
      <c r="B4087" s="9" t="str">
        <f>HYPERLINK("http://www.ncbi.nlm.nih.gov/gene/186681", "186681")</f>
        <v>186681</v>
      </c>
      <c r="C4087" s="9"/>
      <c r="D4087" t="str">
        <f>"H04J21.1"</f>
        <v>H04J21.1</v>
      </c>
      <c r="F4087" t="s">
        <v>11</v>
      </c>
      <c r="G4087" t="s">
        <v>54</v>
      </c>
      <c r="H4087" s="12">
        <v>2.1389115155304999</v>
      </c>
      <c r="I4087" s="11">
        <v>0.753921332619786</v>
      </c>
      <c r="J4087" s="10">
        <v>0.45089646022815599</v>
      </c>
      <c r="K4087" s="29">
        <v>0.98289565623980701</v>
      </c>
    </row>
    <row r="4088" spans="1:11" x14ac:dyDescent="0.35">
      <c r="A4088" s="9" t="str">
        <f>HYPERLINK("http://www.ensembl.org/id/WBGene00016109", "WBGene00016109")</f>
        <v>WBGene00016109</v>
      </c>
      <c r="B4088" s="9" t="str">
        <f>HYPERLINK("http://www.ncbi.nlm.nih.gov/gene/182920", "182920")</f>
        <v>182920</v>
      </c>
      <c r="C4088" s="9"/>
      <c r="D4088" t="str">
        <f>"C25G6.4"</f>
        <v>C25G6.4</v>
      </c>
      <c r="F4088" t="s">
        <v>11</v>
      </c>
      <c r="H4088" s="12">
        <v>2.1386936437830699</v>
      </c>
      <c r="I4088" s="11">
        <v>1.93499323918301</v>
      </c>
      <c r="J4088" s="10">
        <v>5.2991125331085798E-2</v>
      </c>
      <c r="K4088" s="29">
        <v>0.54042724026225697</v>
      </c>
    </row>
    <row r="4089" spans="1:11" x14ac:dyDescent="0.35">
      <c r="A4089" s="9" t="str">
        <f>HYPERLINK("http://www.ensembl.org/id/WBGene00013489", "WBGene00013489")</f>
        <v>WBGene00013489</v>
      </c>
      <c r="B4089" s="9" t="str">
        <f>HYPERLINK("http://www.ncbi.nlm.nih.gov/gene/180218", "180218")</f>
        <v>180218</v>
      </c>
      <c r="C4089" s="9"/>
      <c r="D4089" t="str">
        <f>"col-42"</f>
        <v>col-42</v>
      </c>
      <c r="E4089" t="s">
        <v>40</v>
      </c>
      <c r="F4089" t="s">
        <v>11</v>
      </c>
      <c r="G4089" t="s">
        <v>41</v>
      </c>
      <c r="H4089" s="12">
        <v>2.13726476082577</v>
      </c>
      <c r="I4089" s="11">
        <v>3.8807072894378898</v>
      </c>
      <c r="J4089" s="10">
        <v>1.04153131568771E-4</v>
      </c>
      <c r="K4089" s="29">
        <v>6.8758921657943199E-3</v>
      </c>
    </row>
    <row r="4090" spans="1:11" x14ac:dyDescent="0.35">
      <c r="A4090" s="9" t="str">
        <f>HYPERLINK("http://www.ensembl.org/id/WBGene00219547", "WBGene00219547")</f>
        <v>WBGene00219547</v>
      </c>
      <c r="B4090" s="9" t="str">
        <f>HYPERLINK("http://www.ncbi.nlm.nih.gov/gene/24104857", "24104857")</f>
        <v>24104857</v>
      </c>
      <c r="C4090" s="9"/>
      <c r="D4090" t="str">
        <f>"T06A10.106"</f>
        <v>T06A10.106</v>
      </c>
      <c r="F4090" t="s">
        <v>11</v>
      </c>
      <c r="G4090" t="s">
        <v>25</v>
      </c>
      <c r="H4090" s="12">
        <v>2.137062298304</v>
      </c>
      <c r="I4090" s="11">
        <v>0.47288396744775901</v>
      </c>
      <c r="J4090" s="10">
        <v>0.63629596380403097</v>
      </c>
      <c r="K4090" s="29">
        <v>0.98289565623980701</v>
      </c>
    </row>
    <row r="4091" spans="1:11" x14ac:dyDescent="0.35">
      <c r="A4091" s="9" t="str">
        <f>HYPERLINK("http://www.ensembl.org/id/WBGene00021400", "WBGene00021400")</f>
        <v>WBGene00021400</v>
      </c>
      <c r="B4091" s="9" t="str">
        <f>HYPERLINK("http://www.ncbi.nlm.nih.gov/gene/189642", "189642")</f>
        <v>189642</v>
      </c>
      <c r="C4091" s="9"/>
      <c r="D4091" t="str">
        <f>"Y38C1AA.9"</f>
        <v>Y38C1AA.9</v>
      </c>
      <c r="F4091" t="s">
        <v>11</v>
      </c>
      <c r="G4091" t="s">
        <v>609</v>
      </c>
      <c r="H4091" s="12">
        <v>2.1363344455348199</v>
      </c>
      <c r="I4091" s="11">
        <v>2.3424736148060501</v>
      </c>
      <c r="J4091" s="10">
        <v>1.91563884213071E-2</v>
      </c>
      <c r="K4091" s="29">
        <v>0.292356347993871</v>
      </c>
    </row>
    <row r="4092" spans="1:11" x14ac:dyDescent="0.35">
      <c r="A4092" s="9" t="str">
        <f>HYPERLINK("http://www.ensembl.org/id/WBGene00000667", "WBGene00000667")</f>
        <v>WBGene00000667</v>
      </c>
      <c r="B4092" s="9" t="str">
        <f>HYPERLINK("http://www.ncbi.nlm.nih.gov/gene/176528", "176528")</f>
        <v>176528</v>
      </c>
      <c r="C4092" s="9"/>
      <c r="D4092" t="str">
        <f>"col-92"</f>
        <v>col-92</v>
      </c>
      <c r="E4092" t="s">
        <v>40</v>
      </c>
      <c r="F4092" t="s">
        <v>11</v>
      </c>
      <c r="G4092" t="s">
        <v>41</v>
      </c>
      <c r="H4092" s="12">
        <v>2.1357613466761198</v>
      </c>
      <c r="I4092" s="11">
        <v>2.9227456966496401</v>
      </c>
      <c r="J4092" s="10">
        <v>3.4695976185822402E-3</v>
      </c>
      <c r="K4092" s="29">
        <v>9.4538352093114605E-2</v>
      </c>
    </row>
    <row r="4093" spans="1:11" x14ac:dyDescent="0.35">
      <c r="A4093" s="9" t="str">
        <f>HYPERLINK("http://www.ensembl.org/id/WBGene00005275", "WBGene00005275")</f>
        <v>WBGene00005275</v>
      </c>
      <c r="B4093" s="9" t="str">
        <f>HYPERLINK("http://www.ncbi.nlm.nih.gov/gene/187714", "187714")</f>
        <v>187714</v>
      </c>
      <c r="C4093" s="9"/>
      <c r="D4093" t="str">
        <f>"srh-52"</f>
        <v>srh-52</v>
      </c>
      <c r="E4093" t="s">
        <v>153</v>
      </c>
      <c r="F4093" t="s">
        <v>11</v>
      </c>
      <c r="G4093" t="s">
        <v>25</v>
      </c>
      <c r="H4093" s="12">
        <v>2.1356264547535102</v>
      </c>
      <c r="I4093" s="11">
        <v>0.246776684976101</v>
      </c>
      <c r="J4093" s="10">
        <v>0.80508105523245999</v>
      </c>
      <c r="K4093" s="29">
        <v>0.98491874699257098</v>
      </c>
    </row>
    <row r="4094" spans="1:11" x14ac:dyDescent="0.35">
      <c r="A4094" s="9" t="str">
        <f>HYPERLINK("http://www.ensembl.org/id/WBGene00201871", "WBGene00201871")</f>
        <v>WBGene00201871</v>
      </c>
      <c r="B4094" s="9"/>
      <c r="C4094" s="9"/>
      <c r="D4094" t="str">
        <f>"T24B8.21"</f>
        <v>T24B8.21</v>
      </c>
      <c r="F4094" t="s">
        <v>481</v>
      </c>
      <c r="H4094" s="12">
        <v>2.1356264547535102</v>
      </c>
      <c r="I4094" s="11">
        <v>0.246776684976101</v>
      </c>
      <c r="J4094" s="10">
        <v>0.80508105523245999</v>
      </c>
      <c r="K4094" s="29">
        <v>0.98491874699257098</v>
      </c>
    </row>
    <row r="4095" spans="1:11" x14ac:dyDescent="0.35">
      <c r="A4095" s="9" t="str">
        <f>HYPERLINK("http://www.ensembl.org/id/WBGene00206497", "WBGene00206497")</f>
        <v>WBGene00206497</v>
      </c>
      <c r="B4095" s="9" t="str">
        <f>HYPERLINK("http://www.ncbi.nlm.nih.gov/gene/13182031", "13182031")</f>
        <v>13182031</v>
      </c>
      <c r="C4095" s="9"/>
      <c r="D4095" t="str">
        <f>"Y52B11A.18"</f>
        <v>Y52B11A.18</v>
      </c>
      <c r="F4095" t="s">
        <v>11</v>
      </c>
      <c r="H4095" s="12">
        <v>2.13525024972343</v>
      </c>
      <c r="I4095" s="11">
        <v>0.41504666611117602</v>
      </c>
      <c r="J4095" s="10">
        <v>0.67810774143866603</v>
      </c>
      <c r="K4095" s="29">
        <v>0.98289565623980701</v>
      </c>
    </row>
    <row r="4096" spans="1:11" x14ac:dyDescent="0.35">
      <c r="A4096" s="9" t="str">
        <f>HYPERLINK("http://www.ensembl.org/id/WBGene00022316", "WBGene00022316")</f>
        <v>WBGene00022316</v>
      </c>
      <c r="B4096" s="9" t="str">
        <f>HYPERLINK("http://www.ncbi.nlm.nih.gov/gene/190745", "190745")</f>
        <v>190745</v>
      </c>
      <c r="C4096" s="9"/>
      <c r="D4096" t="str">
        <f>"Y81B9A.2"</f>
        <v>Y81B9A.2</v>
      </c>
      <c r="F4096" t="s">
        <v>11</v>
      </c>
      <c r="H4096" s="12">
        <v>2.1344978147379798</v>
      </c>
      <c r="I4096" s="11">
        <v>0.83548008957563602</v>
      </c>
      <c r="J4096" s="10">
        <v>0.403447452727484</v>
      </c>
      <c r="K4096" s="29">
        <v>0.98289565623980701</v>
      </c>
    </row>
    <row r="4097" spans="1:11" x14ac:dyDescent="0.35">
      <c r="A4097" s="9" t="str">
        <f>HYPERLINK("http://www.ensembl.org/id/WBGene00009787", "WBGene00009787")</f>
        <v>WBGene00009787</v>
      </c>
      <c r="B4097" s="9" t="str">
        <f>HYPERLINK("http://www.ncbi.nlm.nih.gov/gene/181619", "181619")</f>
        <v>181619</v>
      </c>
      <c r="C4097" s="9"/>
      <c r="D4097" t="str">
        <f>"F46F2.3"</f>
        <v>F46F2.3</v>
      </c>
      <c r="F4097" t="s">
        <v>11</v>
      </c>
      <c r="H4097" s="12">
        <v>2.1341832175991899</v>
      </c>
      <c r="I4097" s="11">
        <v>2.34119515149421</v>
      </c>
      <c r="J4097" s="10">
        <v>1.9222116677479001E-2</v>
      </c>
      <c r="K4097" s="29">
        <v>0.29316582702959099</v>
      </c>
    </row>
    <row r="4098" spans="1:11" x14ac:dyDescent="0.35">
      <c r="A4098" s="9" t="str">
        <f>HYPERLINK("http://www.ensembl.org/id/WBGene00010372", "WBGene00010372")</f>
        <v>WBGene00010372</v>
      </c>
      <c r="B4098" s="9" t="str">
        <f>HYPERLINK("http://www.ncbi.nlm.nih.gov/gene/186707", "186707")</f>
        <v>186707</v>
      </c>
      <c r="C4098" s="9"/>
      <c r="D4098" t="str">
        <f>"H08J19.1"</f>
        <v>H08J19.1</v>
      </c>
      <c r="F4098" t="s">
        <v>11</v>
      </c>
      <c r="H4098" s="12">
        <v>2.1339222596765199</v>
      </c>
      <c r="I4098" s="11">
        <v>0.80060132914680504</v>
      </c>
      <c r="J4098" s="10">
        <v>0.42336248102704599</v>
      </c>
      <c r="K4098" s="29">
        <v>0.98289565623980701</v>
      </c>
    </row>
    <row r="4099" spans="1:11" x14ac:dyDescent="0.35">
      <c r="A4099" s="9" t="str">
        <f>HYPERLINK("http://www.ensembl.org/id/WBGene00011108", "WBGene00011108")</f>
        <v>WBGene00011108</v>
      </c>
      <c r="B4099" s="9" t="str">
        <f>HYPERLINK("http://www.ncbi.nlm.nih.gov/gene/187679", "187679")</f>
        <v>187679</v>
      </c>
      <c r="C4099" s="9"/>
      <c r="D4099" t="str">
        <f>"R07E3.7"</f>
        <v>R07E3.7</v>
      </c>
      <c r="F4099" t="s">
        <v>11</v>
      </c>
      <c r="G4099" t="s">
        <v>25</v>
      </c>
      <c r="H4099" s="12">
        <v>2.1338606047095698</v>
      </c>
      <c r="I4099" s="11">
        <v>3.2689517575211302</v>
      </c>
      <c r="J4099" s="10">
        <v>1.0794670459899E-3</v>
      </c>
      <c r="K4099" s="29">
        <v>4.1639675400071199E-2</v>
      </c>
    </row>
    <row r="4100" spans="1:11" x14ac:dyDescent="0.35">
      <c r="A4100" s="9" t="str">
        <f>HYPERLINK("http://www.ensembl.org/id/WBGene00009626", "WBGene00009626")</f>
        <v>WBGene00009626</v>
      </c>
      <c r="B4100" s="9" t="str">
        <f>HYPERLINK("http://www.ncbi.nlm.nih.gov/gene/174481", "174481")</f>
        <v>174481</v>
      </c>
      <c r="C4100" s="9"/>
      <c r="D4100" t="str">
        <f>"F42A8.1"</f>
        <v>F42A8.1</v>
      </c>
      <c r="F4100" t="s">
        <v>11</v>
      </c>
      <c r="H4100" s="12">
        <v>2.1336993852586299</v>
      </c>
      <c r="I4100" s="11">
        <v>3.9847834578869499</v>
      </c>
      <c r="J4100" s="10">
        <v>6.7541689090129002E-5</v>
      </c>
      <c r="K4100" s="29">
        <v>4.8393323811773796E-3</v>
      </c>
    </row>
    <row r="4101" spans="1:11" x14ac:dyDescent="0.35">
      <c r="A4101" s="9" t="str">
        <f>HYPERLINK("http://www.ensembl.org/id/WBGene00021031", "WBGene00021031")</f>
        <v>WBGene00021031</v>
      </c>
      <c r="B4101" s="9" t="str">
        <f>HYPERLINK("http://www.ncbi.nlm.nih.gov/gene/189206", "189206")</f>
        <v>189206</v>
      </c>
      <c r="C4101" s="9"/>
      <c r="D4101" t="str">
        <f>"W04H10.2"</f>
        <v>W04H10.2</v>
      </c>
      <c r="F4101" t="s">
        <v>11</v>
      </c>
      <c r="H4101" s="12">
        <v>2.1336671427233602</v>
      </c>
      <c r="I4101" s="11">
        <v>1.4903431678847301</v>
      </c>
      <c r="J4101" s="10">
        <v>0.136134027513902</v>
      </c>
      <c r="K4101" s="29">
        <v>0.82750777325070202</v>
      </c>
    </row>
    <row r="4102" spans="1:11" x14ac:dyDescent="0.35">
      <c r="A4102" s="9" t="str">
        <f>HYPERLINK("http://www.ensembl.org/id/WBGene00010773", "WBGene00010773")</f>
        <v>WBGene00010773</v>
      </c>
      <c r="B4102" s="9" t="str">
        <f>HYPERLINK("http://www.ncbi.nlm.nih.gov/gene/187295", "187295")</f>
        <v>187295</v>
      </c>
      <c r="C4102" s="9"/>
      <c r="D4102" t="str">
        <f>"K11E4.1"</f>
        <v>K11E4.1</v>
      </c>
      <c r="F4102" t="s">
        <v>11</v>
      </c>
      <c r="G4102" t="s">
        <v>29</v>
      </c>
      <c r="H4102" s="12">
        <v>2.1333631157315298</v>
      </c>
      <c r="I4102" s="11">
        <v>2.4096574596732401</v>
      </c>
      <c r="J4102" s="10">
        <v>1.59675041895046E-2</v>
      </c>
      <c r="K4102" s="29">
        <v>0.26302478959646303</v>
      </c>
    </row>
    <row r="4103" spans="1:11" x14ac:dyDescent="0.35">
      <c r="A4103" s="9" t="str">
        <f>HYPERLINK("http://www.ensembl.org/id/WBGene00006631", "WBGene00006631")</f>
        <v>WBGene00006631</v>
      </c>
      <c r="B4103" s="9" t="str">
        <f>HYPERLINK("http://www.ncbi.nlm.nih.gov/gene/192061", "192061")</f>
        <v>192061</v>
      </c>
      <c r="C4103" s="9"/>
      <c r="D4103" t="str">
        <f>"tsp-5"</f>
        <v>tsp-5</v>
      </c>
      <c r="E4103" t="s">
        <v>3957</v>
      </c>
      <c r="F4103" t="s">
        <v>11</v>
      </c>
      <c r="G4103" t="s">
        <v>868</v>
      </c>
      <c r="H4103" s="12">
        <v>2.13216876030986</v>
      </c>
      <c r="I4103" s="11">
        <v>0.55569745471955201</v>
      </c>
      <c r="J4103" s="10">
        <v>0.578417696871247</v>
      </c>
      <c r="K4103" s="29">
        <v>0.98289565623980701</v>
      </c>
    </row>
    <row r="4104" spans="1:11" x14ac:dyDescent="0.35">
      <c r="A4104" s="9" t="str">
        <f>HYPERLINK("http://www.ensembl.org/id/WBGene00011471", "WBGene00011471")</f>
        <v>WBGene00011471</v>
      </c>
      <c r="B4104" s="9" t="str">
        <f>HYPERLINK("http://www.ncbi.nlm.nih.gov/gene/188124", "188124")</f>
        <v>188124</v>
      </c>
      <c r="C4104" s="9"/>
      <c r="D4104" t="str">
        <f>"T05C12.8"</f>
        <v>T05C12.8</v>
      </c>
      <c r="F4104" t="s">
        <v>11</v>
      </c>
      <c r="H4104" s="12">
        <v>2.13181150651734</v>
      </c>
      <c r="I4104" s="11">
        <v>1.7603389646179</v>
      </c>
      <c r="J4104" s="10">
        <v>7.8350351342190303E-2</v>
      </c>
      <c r="K4104" s="29">
        <v>0.65831389749550895</v>
      </c>
    </row>
    <row r="4105" spans="1:11" x14ac:dyDescent="0.35">
      <c r="A4105" s="9" t="str">
        <f>HYPERLINK("http://www.ensembl.org/id/WBGene00044567", "WBGene00044567")</f>
        <v>WBGene00044567</v>
      </c>
      <c r="B4105" s="9" t="str">
        <f>HYPERLINK("http://www.ncbi.nlm.nih.gov/gene/3896883", "3896883")</f>
        <v>3896883</v>
      </c>
      <c r="C4105" s="9"/>
      <c r="D4105" t="str">
        <f>"C46C11.4"</f>
        <v>C46C11.4</v>
      </c>
      <c r="F4105" t="s">
        <v>11</v>
      </c>
      <c r="G4105" t="s">
        <v>417</v>
      </c>
      <c r="H4105" s="12">
        <v>2.1317199785729599</v>
      </c>
      <c r="I4105" s="11">
        <v>1.74797522403322</v>
      </c>
      <c r="J4105" s="10">
        <v>8.0468317700445505E-2</v>
      </c>
      <c r="K4105" s="29">
        <v>0.66857279711848105</v>
      </c>
    </row>
    <row r="4106" spans="1:11" x14ac:dyDescent="0.35">
      <c r="A4106" s="9" t="str">
        <f>HYPERLINK("http://www.ensembl.org/id/WBGene00009146", "WBGene00009146")</f>
        <v>WBGene00009146</v>
      </c>
      <c r="B4106" s="9" t="str">
        <f>HYPERLINK("http://www.ncbi.nlm.nih.gov/gene/184959", "184959")</f>
        <v>184959</v>
      </c>
      <c r="C4106" s="9"/>
      <c r="D4106" t="str">
        <f>"F26C11.1"</f>
        <v>F26C11.1</v>
      </c>
      <c r="E4106" t="s">
        <v>2751</v>
      </c>
      <c r="F4106" t="s">
        <v>11</v>
      </c>
      <c r="G4106" t="s">
        <v>2752</v>
      </c>
      <c r="H4106" s="12">
        <v>2.1311459434845399</v>
      </c>
      <c r="I4106" s="11">
        <v>1.57848953132751</v>
      </c>
      <c r="J4106" s="10">
        <v>0.114453191265872</v>
      </c>
      <c r="K4106" s="29">
        <v>0.77375220383283305</v>
      </c>
    </row>
    <row r="4107" spans="1:11" x14ac:dyDescent="0.35">
      <c r="A4107" s="9" t="str">
        <f>HYPERLINK("http://www.ensembl.org/id/WBGene00018969", "WBGene00018969")</f>
        <v>WBGene00018969</v>
      </c>
      <c r="B4107" s="9" t="str">
        <f>HYPERLINK("http://www.ncbi.nlm.nih.gov/gene/173750", "173750")</f>
        <v>173750</v>
      </c>
      <c r="C4107" s="9"/>
      <c r="D4107" t="str">
        <f>"F56D3.1"</f>
        <v>F56D3.1</v>
      </c>
      <c r="F4107" t="s">
        <v>11</v>
      </c>
      <c r="H4107" s="12">
        <v>2.1310438267010299</v>
      </c>
      <c r="I4107" s="11">
        <v>2.33774436512729</v>
      </c>
      <c r="J4107" s="10">
        <v>1.9400513232264702E-2</v>
      </c>
      <c r="K4107" s="29">
        <v>0.29452449280903498</v>
      </c>
    </row>
    <row r="4108" spans="1:11" x14ac:dyDescent="0.35">
      <c r="A4108" s="9" t="str">
        <f>HYPERLINK("http://www.ensembl.org/id/WBGene00016557", "WBGene00016557")</f>
        <v>WBGene00016557</v>
      </c>
      <c r="B4108" s="9" t="str">
        <f>HYPERLINK("http://www.ncbi.nlm.nih.gov/gene/183364", "183364")</f>
        <v>183364</v>
      </c>
      <c r="C4108" s="9"/>
      <c r="D4108" t="str">
        <f>"ceh-84"</f>
        <v>ceh-84</v>
      </c>
      <c r="E4108" t="s">
        <v>349</v>
      </c>
      <c r="F4108" t="s">
        <v>11</v>
      </c>
      <c r="G4108" t="s">
        <v>4292</v>
      </c>
      <c r="H4108" s="12">
        <v>2.1309374161820398</v>
      </c>
      <c r="I4108" s="11">
        <v>0.36593451108123298</v>
      </c>
      <c r="J4108" s="10">
        <v>0.71441394361051802</v>
      </c>
      <c r="K4108" s="29">
        <v>0.98289565623980701</v>
      </c>
    </row>
    <row r="4109" spans="1:11" x14ac:dyDescent="0.35">
      <c r="A4109" s="9" t="str">
        <f>HYPERLINK("http://www.ensembl.org/id/WBGene00017182", "WBGene00017182")</f>
        <v>WBGene00017182</v>
      </c>
      <c r="B4109" s="9" t="str">
        <f>HYPERLINK("http://www.ncbi.nlm.nih.gov/gene/184098", "184098")</f>
        <v>184098</v>
      </c>
      <c r="C4109" s="9"/>
      <c r="D4109" t="str">
        <f>"F02E11.4"</f>
        <v>F02E11.4</v>
      </c>
      <c r="F4109" t="s">
        <v>11</v>
      </c>
      <c r="H4109" s="12">
        <v>2.1309374161820398</v>
      </c>
      <c r="I4109" s="11">
        <v>0.36593451108123298</v>
      </c>
      <c r="J4109" s="10">
        <v>0.71441394361051802</v>
      </c>
      <c r="K4109" s="29">
        <v>0.98289565623980701</v>
      </c>
    </row>
    <row r="4110" spans="1:11" x14ac:dyDescent="0.35">
      <c r="A4110" s="9" t="str">
        <f>HYPERLINK("http://www.ensembl.org/id/WBGene00004257", "WBGene00004257")</f>
        <v>WBGene00004257</v>
      </c>
      <c r="B4110" s="9" t="str">
        <f>HYPERLINK("http://www.ncbi.nlm.nih.gov/gene/181288", "181288")</f>
        <v>181288</v>
      </c>
      <c r="C4110" s="9" t="str">
        <f>HYPERLINK("http://www.ncbi.nlm.nih.gov/gene/7837", "7837")</f>
        <v>7837</v>
      </c>
      <c r="D4110" t="str">
        <f>"pxn-2"</f>
        <v>pxn-2</v>
      </c>
      <c r="E4110" t="s">
        <v>681</v>
      </c>
      <c r="F4110" t="s">
        <v>11</v>
      </c>
      <c r="G4110" t="s">
        <v>682</v>
      </c>
      <c r="H4110" s="12">
        <v>2.1294756972951099</v>
      </c>
      <c r="I4110" s="11">
        <v>3.0174123061671501</v>
      </c>
      <c r="J4110" s="10">
        <v>2.5494279320202799E-3</v>
      </c>
      <c r="K4110" s="29">
        <v>7.5813490086564503E-2</v>
      </c>
    </row>
    <row r="4111" spans="1:11" x14ac:dyDescent="0.35">
      <c r="A4111" s="9" t="str">
        <f>HYPERLINK("http://www.ensembl.org/id/WBGene00015278", "WBGene00015278")</f>
        <v>WBGene00015278</v>
      </c>
      <c r="B4111" s="9" t="str">
        <f>HYPERLINK("http://www.ncbi.nlm.nih.gov/gene/177427", "177427")</f>
        <v>177427</v>
      </c>
      <c r="C4111" s="9"/>
      <c r="D4111" t="str">
        <f>"C01B10.3"</f>
        <v>C01B10.3</v>
      </c>
      <c r="F4111" t="s">
        <v>11</v>
      </c>
      <c r="G4111" t="s">
        <v>393</v>
      </c>
      <c r="H4111" s="12">
        <v>2.1290778180166199</v>
      </c>
      <c r="I4111" s="11">
        <v>3.72239284059527</v>
      </c>
      <c r="J4111" s="10">
        <v>1.9734367072278899E-4</v>
      </c>
      <c r="K4111" s="29">
        <v>1.1286690236932601E-2</v>
      </c>
    </row>
    <row r="4112" spans="1:11" x14ac:dyDescent="0.35">
      <c r="A4112" s="9" t="str">
        <f>HYPERLINK("http://www.ensembl.org/id/WBGene00020704", "WBGene00020704")</f>
        <v>WBGene00020704</v>
      </c>
      <c r="B4112" s="9" t="str">
        <f>HYPERLINK("http://www.ncbi.nlm.nih.gov/gene/259996", "259996")</f>
        <v>259996</v>
      </c>
      <c r="C4112" s="9"/>
      <c r="D4112" t="str">
        <f>"T22F7.5"</f>
        <v>T22F7.5</v>
      </c>
      <c r="F4112" t="s">
        <v>11</v>
      </c>
      <c r="H4112" s="12">
        <v>2.1288700230106299</v>
      </c>
      <c r="I4112" s="11">
        <v>1.40824446352356</v>
      </c>
      <c r="J4112" s="10">
        <v>0.15905869428987701</v>
      </c>
      <c r="K4112" s="29">
        <v>0.87143907113347296</v>
      </c>
    </row>
    <row r="4113" spans="1:11" x14ac:dyDescent="0.35">
      <c r="A4113" s="9" t="str">
        <f>HYPERLINK("http://www.ensembl.org/id/WBGene00199983", "WBGene00199983")</f>
        <v>WBGene00199983</v>
      </c>
      <c r="B4113" s="9"/>
      <c r="C4113" s="9"/>
      <c r="D4113" t="str">
        <f>"T04C12.25"</f>
        <v>T04C12.25</v>
      </c>
      <c r="F4113" t="s">
        <v>481</v>
      </c>
      <c r="H4113" s="12">
        <v>2.1284007740056801</v>
      </c>
      <c r="I4113" s="11">
        <v>1.31456700873009</v>
      </c>
      <c r="J4113" s="10">
        <v>0.188655463933912</v>
      </c>
      <c r="K4113" s="29">
        <v>0.92698805350409297</v>
      </c>
    </row>
    <row r="4114" spans="1:11" x14ac:dyDescent="0.35">
      <c r="A4114" s="9" t="str">
        <f>HYPERLINK("http://www.ensembl.org/id/WBGene00016738", "WBGene00016738")</f>
        <v>WBGene00016738</v>
      </c>
      <c r="B4114" s="9" t="str">
        <f>HYPERLINK("http://www.ncbi.nlm.nih.gov/gene/183545", "183545")</f>
        <v>183545</v>
      </c>
      <c r="C4114" s="9"/>
      <c r="D4114" t="str">
        <f>"C47D2.1"</f>
        <v>C47D2.1</v>
      </c>
      <c r="F4114" t="s">
        <v>11</v>
      </c>
      <c r="H4114" s="12">
        <v>2.1278272396105198</v>
      </c>
      <c r="I4114" s="11">
        <v>2.29099585467422</v>
      </c>
      <c r="J4114" s="10">
        <v>2.19636534145498E-2</v>
      </c>
      <c r="K4114" s="29">
        <v>0.31978082910938099</v>
      </c>
    </row>
    <row r="4115" spans="1:11" x14ac:dyDescent="0.35">
      <c r="A4115" s="9" t="str">
        <f>HYPERLINK("http://www.ensembl.org/id/WBGene00011452", "WBGene00011452")</f>
        <v>WBGene00011452</v>
      </c>
      <c r="B4115" s="9" t="str">
        <f>HYPERLINK("http://www.ncbi.nlm.nih.gov/gene/188072", "188072")</f>
        <v>188072</v>
      </c>
      <c r="C4115" s="9"/>
      <c r="D4115" t="str">
        <f>"ugt-55"</f>
        <v>ugt-55</v>
      </c>
      <c r="E4115" t="s">
        <v>1118</v>
      </c>
      <c r="F4115" t="s">
        <v>11</v>
      </c>
      <c r="G4115" t="s">
        <v>104</v>
      </c>
      <c r="H4115" s="12">
        <v>2.12703441137998</v>
      </c>
      <c r="I4115" s="11">
        <v>2.4690123472959402</v>
      </c>
      <c r="J4115" s="10">
        <v>1.3548654343812401E-2</v>
      </c>
      <c r="K4115" s="29">
        <v>0.23665887391035201</v>
      </c>
    </row>
    <row r="4116" spans="1:11" x14ac:dyDescent="0.35">
      <c r="A4116" s="9" t="str">
        <f>HYPERLINK("http://www.ensembl.org/id/WBGene00194697", "WBGene00194697")</f>
        <v>WBGene00194697</v>
      </c>
      <c r="B4116" s="9" t="str">
        <f>HYPERLINK("http://www.ncbi.nlm.nih.gov/gene/13180285", "13180285")</f>
        <v>13180285</v>
      </c>
      <c r="C4116" s="9"/>
      <c r="D4116" t="str">
        <f>"F59A3.13"</f>
        <v>F59A3.13</v>
      </c>
      <c r="F4116" t="s">
        <v>11</v>
      </c>
      <c r="G4116" t="s">
        <v>25</v>
      </c>
      <c r="H4116" s="12">
        <v>2.12699861069011</v>
      </c>
      <c r="I4116" s="11">
        <v>0.41552723255109197</v>
      </c>
      <c r="J4116" s="10">
        <v>0.67775598376706803</v>
      </c>
      <c r="K4116" s="29">
        <v>0.98289565623980701</v>
      </c>
    </row>
    <row r="4117" spans="1:11" x14ac:dyDescent="0.35">
      <c r="A4117" s="9" t="str">
        <f>HYPERLINK("http://www.ensembl.org/id/WBGene00022311", "WBGene00022311")</f>
        <v>WBGene00022311</v>
      </c>
      <c r="B4117" s="9" t="str">
        <f>HYPERLINK("http://www.ncbi.nlm.nih.gov/gene/190736", "190736")</f>
        <v>190736</v>
      </c>
      <c r="C4117" s="9"/>
      <c r="D4117" t="str">
        <f>"Y77E11A.8"</f>
        <v>Y77E11A.8</v>
      </c>
      <c r="F4117" t="s">
        <v>11</v>
      </c>
      <c r="H4117" s="12">
        <v>2.12699861069011</v>
      </c>
      <c r="I4117" s="11">
        <v>0.41552723255109197</v>
      </c>
      <c r="J4117" s="10">
        <v>0.67775598376706803</v>
      </c>
      <c r="K4117" s="29">
        <v>0.98289565623980701</v>
      </c>
    </row>
    <row r="4118" spans="1:11" x14ac:dyDescent="0.35">
      <c r="A4118" s="9" t="str">
        <f>HYPERLINK("http://www.ensembl.org/id/WBGene00001692", "WBGene00001692")</f>
        <v>WBGene00001692</v>
      </c>
      <c r="B4118" s="9" t="str">
        <f>HYPERLINK("http://www.ncbi.nlm.nih.gov/gene/177109", "177109")</f>
        <v>177109</v>
      </c>
      <c r="C4118" s="9"/>
      <c r="D4118" t="str">
        <f>"grd-3"</f>
        <v>grd-3</v>
      </c>
      <c r="E4118" t="s">
        <v>749</v>
      </c>
      <c r="F4118" t="s">
        <v>11</v>
      </c>
      <c r="G4118" t="s">
        <v>750</v>
      </c>
      <c r="H4118" s="12">
        <v>2.1266669887845402</v>
      </c>
      <c r="I4118" s="11">
        <v>2.9004154035348</v>
      </c>
      <c r="J4118" s="10">
        <v>3.72668417248975E-3</v>
      </c>
      <c r="K4118" s="29">
        <v>9.9662921862902903E-2</v>
      </c>
    </row>
    <row r="4119" spans="1:11" x14ac:dyDescent="0.35">
      <c r="A4119" s="9" t="str">
        <f>HYPERLINK("http://www.ensembl.org/id/WBGene00194658", "WBGene00194658")</f>
        <v>WBGene00194658</v>
      </c>
      <c r="B4119" s="9" t="str">
        <f>HYPERLINK("http://www.ncbi.nlm.nih.gov/gene/13197764", "13197764")</f>
        <v>13197764</v>
      </c>
      <c r="C4119" s="9"/>
      <c r="D4119" t="str">
        <f>"R09E10.13"</f>
        <v>R09E10.13</v>
      </c>
      <c r="F4119" t="s">
        <v>11</v>
      </c>
      <c r="H4119" s="12">
        <v>2.1264399720196301</v>
      </c>
      <c r="I4119" s="11">
        <v>3.04510379172094</v>
      </c>
      <c r="J4119" s="10">
        <v>2.3260002397413899E-3</v>
      </c>
      <c r="K4119" s="29">
        <v>7.1659415385952593E-2</v>
      </c>
    </row>
    <row r="4120" spans="1:11" x14ac:dyDescent="0.35">
      <c r="A4120" s="9" t="str">
        <f>HYPERLINK("http://www.ensembl.org/id/WBGene00077572", "WBGene00077572")</f>
        <v>WBGene00077572</v>
      </c>
      <c r="B4120" s="9"/>
      <c r="C4120" s="9"/>
      <c r="D4120" t="str">
        <f>"T08G5.14"</f>
        <v>T08G5.14</v>
      </c>
      <c r="F4120" t="s">
        <v>80</v>
      </c>
      <c r="H4120" s="12">
        <v>2.1256070164072698</v>
      </c>
      <c r="I4120" s="11">
        <v>0.51645947472210296</v>
      </c>
      <c r="J4120" s="10">
        <v>0.60553353602887905</v>
      </c>
      <c r="K4120" s="29">
        <v>0.98289565623980701</v>
      </c>
    </row>
    <row r="4121" spans="1:11" x14ac:dyDescent="0.35">
      <c r="A4121" s="9" t="str">
        <f>HYPERLINK("http://www.ensembl.org/id/WBGene00004227", "WBGene00004227")</f>
        <v>WBGene00004227</v>
      </c>
      <c r="B4121" s="9" t="str">
        <f>HYPERLINK("http://www.ncbi.nlm.nih.gov/gene/191748", "191748")</f>
        <v>191748</v>
      </c>
      <c r="C4121" s="9"/>
      <c r="D4121" t="str">
        <f>"ptr-13"</f>
        <v>ptr-13</v>
      </c>
      <c r="E4121" t="s">
        <v>134</v>
      </c>
      <c r="F4121" t="s">
        <v>11</v>
      </c>
      <c r="G4121" t="s">
        <v>404</v>
      </c>
      <c r="H4121" s="12">
        <v>2.12559116596527</v>
      </c>
      <c r="I4121" s="11">
        <v>3.2663388285027102</v>
      </c>
      <c r="J4121" s="10">
        <v>1.08947805732056E-3</v>
      </c>
      <c r="K4121" s="29">
        <v>4.1816411947589498E-2</v>
      </c>
    </row>
    <row r="4122" spans="1:11" x14ac:dyDescent="0.35">
      <c r="A4122" s="9" t="str">
        <f>HYPERLINK("http://www.ensembl.org/id/WBGene00009867", "WBGene00009867")</f>
        <v>WBGene00009867</v>
      </c>
      <c r="B4122" s="9" t="str">
        <f>HYPERLINK("http://www.ncbi.nlm.nih.gov/gene/186015", "186015")</f>
        <v>186015</v>
      </c>
      <c r="C4122" s="9" t="str">
        <f>HYPERLINK("http://www.ncbi.nlm.nih.gov/gene/167359", "167359")</f>
        <v>167359</v>
      </c>
      <c r="D4122" t="str">
        <f>"F49C5.4"</f>
        <v>F49C5.4</v>
      </c>
      <c r="F4122" t="s">
        <v>11</v>
      </c>
      <c r="G4122" t="s">
        <v>4438</v>
      </c>
      <c r="H4122" s="12">
        <v>2.1254288631959199</v>
      </c>
      <c r="I4122" s="11">
        <v>0.63741612555570004</v>
      </c>
      <c r="J4122" s="10">
        <v>0.52385382739281705</v>
      </c>
      <c r="K4122" s="29">
        <v>0.98289565623980701</v>
      </c>
    </row>
    <row r="4123" spans="1:11" x14ac:dyDescent="0.35">
      <c r="A4123" s="9" t="str">
        <f>HYPERLINK("http://www.ensembl.org/id/WBGene00044679", "WBGene00044679")</f>
        <v>WBGene00044679</v>
      </c>
      <c r="B4123" s="9" t="str">
        <f>HYPERLINK("http://www.ncbi.nlm.nih.gov/gene/4362997", "4362997")</f>
        <v>4362997</v>
      </c>
      <c r="C4123" s="9"/>
      <c r="D4123" t="str">
        <f>"K02B12.9"</f>
        <v>K02B12.9</v>
      </c>
      <c r="F4123" t="s">
        <v>11</v>
      </c>
      <c r="H4123" s="12">
        <v>2.1253878907123598</v>
      </c>
      <c r="I4123" s="11">
        <v>1.3111575262922901</v>
      </c>
      <c r="J4123" s="10">
        <v>0.189804548772597</v>
      </c>
      <c r="K4123" s="29">
        <v>0.92834517192120303</v>
      </c>
    </row>
    <row r="4124" spans="1:11" x14ac:dyDescent="0.35">
      <c r="A4124" s="9" t="str">
        <f>HYPERLINK("http://www.ensembl.org/id/WBGene00012340", "WBGene00012340")</f>
        <v>WBGene00012340</v>
      </c>
      <c r="B4124" s="9" t="str">
        <f>HYPERLINK("http://www.ncbi.nlm.nih.gov/gene/189289", "189289")</f>
        <v>189289</v>
      </c>
      <c r="C4124" s="9"/>
      <c r="D4124" t="str">
        <f>"dct-15"</f>
        <v>dct-15</v>
      </c>
      <c r="E4124" t="s">
        <v>1725</v>
      </c>
      <c r="F4124" t="s">
        <v>11</v>
      </c>
      <c r="G4124" t="s">
        <v>1726</v>
      </c>
      <c r="H4124" s="12">
        <v>2.1248052553314398</v>
      </c>
      <c r="I4124" s="11">
        <v>2.00649439312508</v>
      </c>
      <c r="J4124" s="10">
        <v>4.4803526369334899E-2</v>
      </c>
      <c r="K4124" s="29">
        <v>0.49016585240996802</v>
      </c>
    </row>
    <row r="4125" spans="1:11" x14ac:dyDescent="0.35">
      <c r="A4125" s="9" t="str">
        <f>HYPERLINK("http://www.ensembl.org/id/WBGene00006505", "WBGene00006505")</f>
        <v>WBGene00006505</v>
      </c>
      <c r="B4125" s="9" t="str">
        <f>HYPERLINK("http://www.ncbi.nlm.nih.gov/gene/189370", "189370")</f>
        <v>189370</v>
      </c>
      <c r="C4125" s="9" t="str">
        <f>HYPERLINK("http://www.ncbi.nlm.nih.gov/gene/10715", "10715")</f>
        <v>10715</v>
      </c>
      <c r="D4125" t="str">
        <f>"lagr-1"</f>
        <v>lagr-1</v>
      </c>
      <c r="E4125" t="s">
        <v>1267</v>
      </c>
      <c r="F4125" t="s">
        <v>11</v>
      </c>
      <c r="G4125" t="s">
        <v>1268</v>
      </c>
      <c r="H4125" s="12">
        <v>2.1246965145730798</v>
      </c>
      <c r="I4125" s="11">
        <v>2.3520922252019698</v>
      </c>
      <c r="J4125" s="10">
        <v>1.8668145748658001E-2</v>
      </c>
      <c r="K4125" s="29">
        <v>0.28660875459700502</v>
      </c>
    </row>
    <row r="4126" spans="1:11" x14ac:dyDescent="0.35">
      <c r="A4126" s="9" t="str">
        <f>HYPERLINK("http://www.ensembl.org/id/WBGene00019840", "WBGene00019840")</f>
        <v>WBGene00019840</v>
      </c>
      <c r="B4126" s="9" t="str">
        <f>HYPERLINK("http://www.ncbi.nlm.nih.gov/gene/187531", "187531")</f>
        <v>187531</v>
      </c>
      <c r="C4126" s="9"/>
      <c r="D4126" t="str">
        <f>"R02F11.2"</f>
        <v>R02F11.2</v>
      </c>
      <c r="F4126" t="s">
        <v>11</v>
      </c>
      <c r="G4126" t="s">
        <v>25</v>
      </c>
      <c r="H4126" s="12">
        <v>2.1234289705854099</v>
      </c>
      <c r="I4126" s="11">
        <v>2.2568693513263001</v>
      </c>
      <c r="J4126" s="10">
        <v>2.4016239659482901E-2</v>
      </c>
      <c r="K4126" s="29">
        <v>0.337230936750332</v>
      </c>
    </row>
    <row r="4127" spans="1:11" x14ac:dyDescent="0.35">
      <c r="A4127" s="9" t="str">
        <f>HYPERLINK("http://www.ensembl.org/id/WBGene00019361", "WBGene00019361")</f>
        <v>WBGene00019361</v>
      </c>
      <c r="B4127" s="9" t="str">
        <f>HYPERLINK("http://www.ncbi.nlm.nih.gov/gene/186951", "186951")</f>
        <v>186951</v>
      </c>
      <c r="C4127" s="9"/>
      <c r="D4127" t="str">
        <f>"clik-3"</f>
        <v>clik-3</v>
      </c>
      <c r="E4127" t="s">
        <v>172</v>
      </c>
      <c r="F4127" t="s">
        <v>11</v>
      </c>
      <c r="H4127" s="12">
        <v>2.1224061290436</v>
      </c>
      <c r="I4127" s="11">
        <v>3.6601517401890198</v>
      </c>
      <c r="J4127" s="10">
        <v>2.5206593359680299E-4</v>
      </c>
      <c r="K4127" s="29">
        <v>1.34820265316846E-2</v>
      </c>
    </row>
    <row r="4128" spans="1:11" x14ac:dyDescent="0.35">
      <c r="A4128" s="9" t="str">
        <f>HYPERLINK("http://www.ensembl.org/id/WBGene00007214", "WBGene00007214")</f>
        <v>WBGene00007214</v>
      </c>
      <c r="B4128" s="9" t="str">
        <f>HYPERLINK("http://www.ncbi.nlm.nih.gov/gene/173208", "173208")</f>
        <v>173208</v>
      </c>
      <c r="C4128" s="9"/>
      <c r="D4128" t="str">
        <f>"C01A2.2"</f>
        <v>C01A2.2</v>
      </c>
      <c r="F4128" t="s">
        <v>11</v>
      </c>
      <c r="G4128" t="s">
        <v>25</v>
      </c>
      <c r="H4128" s="12">
        <v>2.12222934086688</v>
      </c>
      <c r="I4128" s="11">
        <v>3.11586407331867</v>
      </c>
      <c r="J4128" s="10">
        <v>1.8340679161131101E-3</v>
      </c>
      <c r="K4128" s="29">
        <v>6.1063362060100199E-2</v>
      </c>
    </row>
    <row r="4129" spans="1:11" x14ac:dyDescent="0.35">
      <c r="A4129" s="9" t="str">
        <f>HYPERLINK("http://www.ensembl.org/id/WBGene00018591", "WBGene00018591")</f>
        <v>WBGene00018591</v>
      </c>
      <c r="B4129" s="9" t="str">
        <f>HYPERLINK("http://www.ncbi.nlm.nih.gov/gene/185967", "185967")</f>
        <v>185967</v>
      </c>
      <c r="C4129" s="9"/>
      <c r="D4129" t="str">
        <f>"npax-2"</f>
        <v>npax-2</v>
      </c>
      <c r="E4129" t="s">
        <v>2170</v>
      </c>
      <c r="F4129" t="s">
        <v>11</v>
      </c>
      <c r="G4129" t="s">
        <v>2171</v>
      </c>
      <c r="H4129" s="12">
        <v>2.1221661316291298</v>
      </c>
      <c r="I4129" s="11">
        <v>1.7876807101083301</v>
      </c>
      <c r="J4129" s="10">
        <v>7.3827535630969096E-2</v>
      </c>
      <c r="K4129" s="29">
        <v>0.64110995679273197</v>
      </c>
    </row>
    <row r="4130" spans="1:11" x14ac:dyDescent="0.35">
      <c r="A4130" s="9" t="str">
        <f>HYPERLINK("http://www.ensembl.org/id/WBGene00001633", "WBGene00001633")</f>
        <v>WBGene00001633</v>
      </c>
      <c r="B4130" s="9" t="str">
        <f>HYPERLINK("http://www.ncbi.nlm.nih.gov/gene/176595", "176595")</f>
        <v>176595</v>
      </c>
      <c r="C4130" s="9"/>
      <c r="D4130" t="str">
        <f>"gly-8"</f>
        <v>gly-8</v>
      </c>
      <c r="E4130" t="s">
        <v>459</v>
      </c>
      <c r="F4130" t="s">
        <v>11</v>
      </c>
      <c r="H4130" s="12">
        <v>2.1220300516345598</v>
      </c>
      <c r="I4130" s="11">
        <v>3.5099999229677401</v>
      </c>
      <c r="J4130" s="10">
        <v>4.4810682380081899E-4</v>
      </c>
      <c r="K4130" s="29">
        <v>2.1001939697244901E-2</v>
      </c>
    </row>
    <row r="4131" spans="1:11" x14ac:dyDescent="0.35">
      <c r="A4131" s="9" t="str">
        <f>HYPERLINK("http://www.ensembl.org/id/WBGene00016419", "WBGene00016419")</f>
        <v>WBGene00016419</v>
      </c>
      <c r="B4131" s="9" t="str">
        <f>HYPERLINK("http://www.ncbi.nlm.nih.gov/gene/172263", "172263")</f>
        <v>172263</v>
      </c>
      <c r="C4131" s="9"/>
      <c r="D4131" t="str">
        <f>"tyr-4"</f>
        <v>tyr-4</v>
      </c>
      <c r="E4131" t="s">
        <v>567</v>
      </c>
      <c r="F4131" t="s">
        <v>11</v>
      </c>
      <c r="G4131" t="s">
        <v>568</v>
      </c>
      <c r="H4131" s="12">
        <v>2.12191422737614</v>
      </c>
      <c r="I4131" s="11">
        <v>3.1772205420259798</v>
      </c>
      <c r="J4131" s="10">
        <v>1.4869391562984001E-3</v>
      </c>
      <c r="K4131" s="29">
        <v>5.29386997618349E-2</v>
      </c>
    </row>
    <row r="4132" spans="1:11" x14ac:dyDescent="0.35">
      <c r="A4132" s="9" t="str">
        <f>HYPERLINK("http://www.ensembl.org/id/WBGene00015523", "WBGene00015523")</f>
        <v>WBGene00015523</v>
      </c>
      <c r="B4132" s="9" t="str">
        <f>HYPERLINK("http://www.ncbi.nlm.nih.gov/gene/182317", "182317")</f>
        <v>182317</v>
      </c>
      <c r="C4132" s="9"/>
      <c r="D4132" t="str">
        <f>"ztf-30"</f>
        <v>ztf-30</v>
      </c>
      <c r="E4132" t="s">
        <v>3483</v>
      </c>
      <c r="F4132" t="s">
        <v>11</v>
      </c>
      <c r="G4132" t="s">
        <v>966</v>
      </c>
      <c r="H4132" s="12">
        <v>2.12167743110387</v>
      </c>
      <c r="I4132" s="11">
        <v>1.37471962205641</v>
      </c>
      <c r="J4132" s="10">
        <v>0.16921838549959101</v>
      </c>
      <c r="K4132" s="29">
        <v>0.89105743285176497</v>
      </c>
    </row>
    <row r="4133" spans="1:11" x14ac:dyDescent="0.35">
      <c r="A4133" s="9" t="str">
        <f>HYPERLINK("http://www.ensembl.org/id/WBGene00009995", "WBGene00009995")</f>
        <v>WBGene00009995</v>
      </c>
      <c r="B4133" s="9" t="str">
        <f>HYPERLINK("http://www.ncbi.nlm.nih.gov/gene/179846", "179846")</f>
        <v>179846</v>
      </c>
      <c r="C4133" s="9"/>
      <c r="D4133" t="str">
        <f>"F53F4.13"</f>
        <v>F53F4.13</v>
      </c>
      <c r="F4133" t="s">
        <v>11</v>
      </c>
      <c r="H4133" s="12">
        <v>2.1206504008202902</v>
      </c>
      <c r="I4133" s="11">
        <v>3.8308842712316098</v>
      </c>
      <c r="J4133" s="10">
        <v>1.2768355409088501E-4</v>
      </c>
      <c r="K4133" s="29">
        <v>7.9382676754421993E-3</v>
      </c>
    </row>
    <row r="4134" spans="1:11" x14ac:dyDescent="0.35">
      <c r="A4134" s="9" t="str">
        <f>HYPERLINK("http://www.ensembl.org/id/WBGene00007970", "WBGene00007970")</f>
        <v>WBGene00007970</v>
      </c>
      <c r="B4134" s="9" t="str">
        <f>HYPERLINK("http://www.ncbi.nlm.nih.gov/gene/175494", "175494")</f>
        <v>175494</v>
      </c>
      <c r="C4134" s="9"/>
      <c r="D4134" t="str">
        <f>"C36A4.10"</f>
        <v>C36A4.10</v>
      </c>
      <c r="F4134" t="s">
        <v>11</v>
      </c>
      <c r="H4134" s="12">
        <v>2.12029039686779</v>
      </c>
      <c r="I4134" s="11">
        <v>0.72574827819044896</v>
      </c>
      <c r="J4134" s="10">
        <v>0.46799309953337598</v>
      </c>
      <c r="K4134" s="29">
        <v>0.98289565623980701</v>
      </c>
    </row>
    <row r="4135" spans="1:11" x14ac:dyDescent="0.35">
      <c r="A4135" s="9" t="str">
        <f>HYPERLINK("http://www.ensembl.org/id/WBGene00020624", "WBGene00020624")</f>
        <v>WBGene00020624</v>
      </c>
      <c r="B4135" s="9" t="str">
        <f>HYPERLINK("http://www.ncbi.nlm.nih.gov/gene/188654", "188654")</f>
        <v>188654</v>
      </c>
      <c r="C4135" s="9"/>
      <c r="D4135" t="str">
        <f>"T20D4.19"</f>
        <v>T20D4.19</v>
      </c>
      <c r="F4135" t="s">
        <v>11</v>
      </c>
      <c r="H4135" s="12">
        <v>2.1189946141887099</v>
      </c>
      <c r="I4135" s="11">
        <v>1.1087297930340401</v>
      </c>
      <c r="J4135" s="10">
        <v>0.26754676530004701</v>
      </c>
      <c r="K4135" s="29">
        <v>0.98289565623980701</v>
      </c>
    </row>
    <row r="4136" spans="1:11" x14ac:dyDescent="0.35">
      <c r="A4136" s="9" t="str">
        <f>HYPERLINK("http://www.ensembl.org/id/WBGene00017968", "WBGene00017968")</f>
        <v>WBGene00017968</v>
      </c>
      <c r="B4136" s="9" t="str">
        <f>HYPERLINK("http://www.ncbi.nlm.nih.gov/gene/174191", "174191")</f>
        <v>174191</v>
      </c>
      <c r="C4136" s="9"/>
      <c r="D4136" t="str">
        <f>"skpo-3"</f>
        <v>skpo-3</v>
      </c>
      <c r="E4136" t="s">
        <v>397</v>
      </c>
      <c r="F4136" t="s">
        <v>11</v>
      </c>
      <c r="G4136" t="s">
        <v>398</v>
      </c>
      <c r="H4136" s="12">
        <v>2.1189486770067001</v>
      </c>
      <c r="I4136" s="11">
        <v>3.6960176112250398</v>
      </c>
      <c r="J4136" s="10">
        <v>2.1900778719931901E-4</v>
      </c>
      <c r="K4136" s="29">
        <v>1.2164408488046801E-2</v>
      </c>
    </row>
    <row r="4137" spans="1:11" x14ac:dyDescent="0.35">
      <c r="A4137" s="9" t="str">
        <f>HYPERLINK("http://www.ensembl.org/id/WBGene00010675", "WBGene00010675")</f>
        <v>WBGene00010675</v>
      </c>
      <c r="B4137" s="9" t="str">
        <f>HYPERLINK("http://www.ncbi.nlm.nih.gov/gene/178213", "178213")</f>
        <v>178213</v>
      </c>
      <c r="C4137" s="9"/>
      <c r="D4137" t="str">
        <f>"K08E7.8"</f>
        <v>K08E7.8</v>
      </c>
      <c r="F4137" t="s">
        <v>11</v>
      </c>
      <c r="G4137" t="s">
        <v>54</v>
      </c>
      <c r="H4137" s="12">
        <v>2.1186877974851401</v>
      </c>
      <c r="I4137" s="11">
        <v>1.9000986058490299</v>
      </c>
      <c r="J4137" s="10">
        <v>5.7420180637878002E-2</v>
      </c>
      <c r="K4137" s="29">
        <v>0.56553738014442001</v>
      </c>
    </row>
    <row r="4138" spans="1:11" x14ac:dyDescent="0.35">
      <c r="A4138" s="9" t="str">
        <f>HYPERLINK("http://www.ensembl.org/id/WBGene00018377", "WBGene00018377")</f>
        <v>WBGene00018377</v>
      </c>
      <c r="B4138" s="9" t="str">
        <f>HYPERLINK("http://www.ncbi.nlm.nih.gov/gene/185693", "185693")</f>
        <v>185693</v>
      </c>
      <c r="C4138" s="9"/>
      <c r="D4138" t="str">
        <f>"hum-10"</f>
        <v>hum-10</v>
      </c>
      <c r="E4138" t="s">
        <v>1548</v>
      </c>
      <c r="F4138" t="s">
        <v>11</v>
      </c>
      <c r="G4138" t="s">
        <v>4439</v>
      </c>
      <c r="H4138" s="12">
        <v>2.1181374547474201</v>
      </c>
      <c r="I4138" s="11">
        <v>0.47250676401797498</v>
      </c>
      <c r="J4138" s="10">
        <v>0.636565114877084</v>
      </c>
      <c r="K4138" s="29">
        <v>0.98289565623980701</v>
      </c>
    </row>
    <row r="4139" spans="1:11" x14ac:dyDescent="0.35">
      <c r="A4139" s="9" t="str">
        <f>HYPERLINK("http://www.ensembl.org/id/WBGene00201811", "WBGene00201811")</f>
        <v>WBGene00201811</v>
      </c>
      <c r="B4139" s="9"/>
      <c r="C4139" s="9"/>
      <c r="D4139" t="str">
        <f>"Y15E3A.13"</f>
        <v>Y15E3A.13</v>
      </c>
      <c r="F4139" t="s">
        <v>481</v>
      </c>
      <c r="H4139" s="12">
        <v>2.11810794594399</v>
      </c>
      <c r="I4139" s="11">
        <v>0.49004167721853698</v>
      </c>
      <c r="J4139" s="10">
        <v>0.62410440730495398</v>
      </c>
      <c r="K4139" s="29">
        <v>0.98289565623980701</v>
      </c>
    </row>
    <row r="4140" spans="1:11" x14ac:dyDescent="0.35">
      <c r="A4140" s="9" t="str">
        <f>HYPERLINK("http://www.ensembl.org/id/WBGene00010166", "WBGene00010166")</f>
        <v>WBGene00010166</v>
      </c>
      <c r="B4140" s="9" t="str">
        <f>HYPERLINK("http://www.ncbi.nlm.nih.gov/gene/186416", "186416")</f>
        <v>186416</v>
      </c>
      <c r="C4140" s="9" t="str">
        <f>HYPERLINK("http://www.ncbi.nlm.nih.gov/gene/2762", "2762")</f>
        <v>2762</v>
      </c>
      <c r="D4140" t="str">
        <f>"gmd-2"</f>
        <v>gmd-2</v>
      </c>
      <c r="E4140" t="s">
        <v>4440</v>
      </c>
      <c r="F4140" t="s">
        <v>11</v>
      </c>
      <c r="G4140" t="s">
        <v>4441</v>
      </c>
      <c r="H4140" s="12">
        <v>2.1179709964042801</v>
      </c>
      <c r="I4140" s="11">
        <v>0.300827502990479</v>
      </c>
      <c r="J4140" s="10">
        <v>0.76354603491985695</v>
      </c>
      <c r="K4140" s="29">
        <v>0.98289565623980701</v>
      </c>
    </row>
    <row r="4141" spans="1:11" x14ac:dyDescent="0.35">
      <c r="A4141" s="9" t="str">
        <f>HYPERLINK("http://www.ensembl.org/id/WBGene00015837", "WBGene00015837")</f>
        <v>WBGene00015837</v>
      </c>
      <c r="B4141" s="9" t="str">
        <f>HYPERLINK("http://www.ncbi.nlm.nih.gov/gene/182667", "182667")</f>
        <v>182667</v>
      </c>
      <c r="C4141" s="9"/>
      <c r="D4141" t="str">
        <f>"math-8"</f>
        <v>math-8</v>
      </c>
      <c r="E4141" t="s">
        <v>596</v>
      </c>
      <c r="F4141" t="s">
        <v>11</v>
      </c>
      <c r="G4141" t="s">
        <v>54</v>
      </c>
      <c r="H4141" s="12">
        <v>2.1179709964042801</v>
      </c>
      <c r="I4141" s="11">
        <v>0.300827502990479</v>
      </c>
      <c r="J4141" s="10">
        <v>0.76354603491985695</v>
      </c>
      <c r="K4141" s="29">
        <v>0.98289565623980701</v>
      </c>
    </row>
    <row r="4142" spans="1:11" x14ac:dyDescent="0.35">
      <c r="A4142" s="9" t="str">
        <f>HYPERLINK("http://www.ensembl.org/id/WBGene00005514", "WBGene00005514")</f>
        <v>WBGene00005514</v>
      </c>
      <c r="B4142" s="9" t="str">
        <f>HYPERLINK("http://www.ncbi.nlm.nih.gov/gene/185372", "185372")</f>
        <v>185372</v>
      </c>
      <c r="C4142" s="9"/>
      <c r="D4142" t="str">
        <f>"sri-2"</f>
        <v>sri-2</v>
      </c>
      <c r="E4142" t="s">
        <v>1503</v>
      </c>
      <c r="F4142" t="s">
        <v>11</v>
      </c>
      <c r="G4142" t="s">
        <v>25</v>
      </c>
      <c r="H4142" s="12">
        <v>2.1179709964042801</v>
      </c>
      <c r="I4142" s="11">
        <v>0.300827502990479</v>
      </c>
      <c r="J4142" s="10">
        <v>0.76354603491985695</v>
      </c>
      <c r="K4142" s="29">
        <v>0.98289565623980701</v>
      </c>
    </row>
    <row r="4143" spans="1:11" x14ac:dyDescent="0.35">
      <c r="A4143" s="9" t="str">
        <f>HYPERLINK("http://www.ensembl.org/id/WBGene00202513", "WBGene00202513")</f>
        <v>WBGene00202513</v>
      </c>
      <c r="B4143" s="9" t="str">
        <f>HYPERLINK("http://www.ncbi.nlm.nih.gov/gene/13186618", "13186618")</f>
        <v>13186618</v>
      </c>
      <c r="C4143" s="9"/>
      <c r="D4143" t="str">
        <f>"ZK938.10"</f>
        <v>ZK938.10</v>
      </c>
      <c r="F4143" t="s">
        <v>11</v>
      </c>
      <c r="G4143" t="s">
        <v>25</v>
      </c>
      <c r="H4143" s="12">
        <v>2.1175574480343</v>
      </c>
      <c r="I4143" s="11">
        <v>0.62317131524448099</v>
      </c>
      <c r="J4143" s="10">
        <v>0.53317194948482005</v>
      </c>
      <c r="K4143" s="29">
        <v>0.98289565623980701</v>
      </c>
    </row>
    <row r="4144" spans="1:11" x14ac:dyDescent="0.35">
      <c r="A4144" s="9" t="str">
        <f>HYPERLINK("http://www.ensembl.org/id/WBGene00014077", "WBGene00014077")</f>
        <v>WBGene00014077</v>
      </c>
      <c r="B4144" s="9" t="str">
        <f>HYPERLINK("http://www.ncbi.nlm.nih.gov/gene/178102", "178102")</f>
        <v>178102</v>
      </c>
      <c r="C4144" s="9"/>
      <c r="D4144" t="str">
        <f>"ZK792.4"</f>
        <v>ZK792.4</v>
      </c>
      <c r="F4144" t="s">
        <v>11</v>
      </c>
      <c r="G4144" t="s">
        <v>54</v>
      </c>
      <c r="H4144" s="12">
        <v>2.1170469654236599</v>
      </c>
      <c r="I4144" s="11">
        <v>2.8089016412616798</v>
      </c>
      <c r="J4144" s="10">
        <v>4.9710831659691198E-3</v>
      </c>
      <c r="K4144" s="29">
        <v>0.12078007111764701</v>
      </c>
    </row>
    <row r="4145" spans="1:11" x14ac:dyDescent="0.35">
      <c r="A4145" s="9" t="str">
        <f>HYPERLINK("http://www.ensembl.org/id/WBGene00022374", "WBGene00022374")</f>
        <v>WBGene00022374</v>
      </c>
      <c r="B4145" s="9" t="str">
        <f>HYPERLINK("http://www.ncbi.nlm.nih.gov/gene/190799", "190799")</f>
        <v>190799</v>
      </c>
      <c r="C4145" s="9"/>
      <c r="D4145" t="str">
        <f>"nhr-277"</f>
        <v>nhr-277</v>
      </c>
      <c r="E4145" t="s">
        <v>637</v>
      </c>
      <c r="F4145" t="s">
        <v>11</v>
      </c>
      <c r="G4145" t="s">
        <v>3197</v>
      </c>
      <c r="H4145" s="12">
        <v>2.11690508177074</v>
      </c>
      <c r="I4145" s="11">
        <v>1.4541603115192601</v>
      </c>
      <c r="J4145" s="10">
        <v>0.14590186561358501</v>
      </c>
      <c r="K4145" s="29">
        <v>0.84449110893474499</v>
      </c>
    </row>
    <row r="4146" spans="1:11" x14ac:dyDescent="0.35">
      <c r="A4146" s="9" t="str">
        <f>HYPERLINK("http://www.ensembl.org/id/WBGene00013700", "WBGene00013700")</f>
        <v>WBGene00013700</v>
      </c>
      <c r="B4146" s="9" t="str">
        <f>HYPERLINK("http://www.ncbi.nlm.nih.gov/gene/190916", "190916")</f>
        <v>190916</v>
      </c>
      <c r="C4146" s="9"/>
      <c r="D4146" t="str">
        <f>"Y106G6D.3"</f>
        <v>Y106G6D.3</v>
      </c>
      <c r="F4146" t="s">
        <v>11</v>
      </c>
      <c r="H4146" s="12">
        <v>2.1164921058180601</v>
      </c>
      <c r="I4146" s="11">
        <v>1.1339928837851301</v>
      </c>
      <c r="J4146" s="10">
        <v>0.25679753304015601</v>
      </c>
      <c r="K4146" s="29">
        <v>0.98289565623980701</v>
      </c>
    </row>
    <row r="4147" spans="1:11" x14ac:dyDescent="0.35">
      <c r="A4147" s="9" t="str">
        <f>HYPERLINK("http://www.ensembl.org/id/WBGene00020245", "WBGene00020245")</f>
        <v>WBGene00020245</v>
      </c>
      <c r="B4147" s="9" t="str">
        <f>HYPERLINK("http://www.ncbi.nlm.nih.gov/gene/179151", "179151")</f>
        <v>179151</v>
      </c>
      <c r="C4147" s="9"/>
      <c r="D4147" t="str">
        <f>"T05B11.1"</f>
        <v>T05B11.1</v>
      </c>
      <c r="F4147" t="s">
        <v>11</v>
      </c>
      <c r="G4147" t="s">
        <v>54</v>
      </c>
      <c r="H4147" s="12">
        <v>2.1157776473115302</v>
      </c>
      <c r="I4147" s="11">
        <v>3.5221050088686301</v>
      </c>
      <c r="J4147" s="10">
        <v>4.28134519777319E-4</v>
      </c>
      <c r="K4147" s="29">
        <v>2.0434878532545098E-2</v>
      </c>
    </row>
    <row r="4148" spans="1:11" x14ac:dyDescent="0.35">
      <c r="A4148" s="9" t="str">
        <f>HYPERLINK("http://www.ensembl.org/id/WBGene00019571", "WBGene00019571")</f>
        <v>WBGene00019571</v>
      </c>
      <c r="B4148" s="9" t="str">
        <f>HYPERLINK("http://www.ncbi.nlm.nih.gov/gene/187216", "187216")</f>
        <v>187216</v>
      </c>
      <c r="C4148" s="9"/>
      <c r="D4148" t="str">
        <f>"K09E2.2"</f>
        <v>K09E2.2</v>
      </c>
      <c r="F4148" t="s">
        <v>11</v>
      </c>
      <c r="G4148" t="s">
        <v>4442</v>
      </c>
      <c r="H4148" s="12">
        <v>2.1150574704318199</v>
      </c>
      <c r="I4148" s="11">
        <v>1.09396838388503</v>
      </c>
      <c r="J4148" s="10">
        <v>0.27396884469757499</v>
      </c>
      <c r="K4148" s="29">
        <v>0.98289565623980701</v>
      </c>
    </row>
    <row r="4149" spans="1:11" x14ac:dyDescent="0.35">
      <c r="A4149" s="9" t="str">
        <f>HYPERLINK("http://www.ensembl.org/id/WBGene00008223", "WBGene00008223")</f>
        <v>WBGene00008223</v>
      </c>
      <c r="B4149" s="9" t="str">
        <f>HYPERLINK("http://www.ncbi.nlm.nih.gov/gene/183638", "183638")</f>
        <v>183638</v>
      </c>
      <c r="C4149" s="9"/>
      <c r="D4149" t="str">
        <f>"lgc-48"</f>
        <v>lgc-48</v>
      </c>
      <c r="E4149" t="s">
        <v>505</v>
      </c>
      <c r="F4149" t="s">
        <v>11</v>
      </c>
      <c r="G4149" t="s">
        <v>506</v>
      </c>
      <c r="H4149" s="12">
        <v>2.1148291960246199</v>
      </c>
      <c r="I4149" s="11">
        <v>0.82590666074604102</v>
      </c>
      <c r="J4149" s="10">
        <v>0.40885704190660499</v>
      </c>
      <c r="K4149" s="29">
        <v>0.98289565623980701</v>
      </c>
    </row>
    <row r="4150" spans="1:11" x14ac:dyDescent="0.35">
      <c r="A4150" s="9" t="str">
        <f>HYPERLINK("http://www.ensembl.org/id/WBGene00009375", "WBGene00009375")</f>
        <v>WBGene00009375</v>
      </c>
      <c r="B4150" s="9" t="str">
        <f>HYPERLINK("http://www.ncbi.nlm.nih.gov/gene/175486", "175486")</f>
        <v>175486</v>
      </c>
      <c r="C4150" s="9"/>
      <c r="D4150" t="str">
        <f>"F34D10.6"</f>
        <v>F34D10.6</v>
      </c>
      <c r="F4150" t="s">
        <v>11</v>
      </c>
      <c r="G4150" t="s">
        <v>54</v>
      </c>
      <c r="H4150" s="12">
        <v>2.1147278444048898</v>
      </c>
      <c r="I4150" s="11">
        <v>2.9011150594630499</v>
      </c>
      <c r="J4150" s="10">
        <v>3.7183731884551101E-3</v>
      </c>
      <c r="K4150" s="29">
        <v>9.9555887476760002E-2</v>
      </c>
    </row>
    <row r="4151" spans="1:11" x14ac:dyDescent="0.35">
      <c r="A4151" s="9" t="str">
        <f>HYPERLINK("http://www.ensembl.org/id/WBGene00000729", "WBGene00000729")</f>
        <v>WBGene00000729</v>
      </c>
      <c r="B4151" s="9" t="str">
        <f>HYPERLINK("http://www.ncbi.nlm.nih.gov/gene/186439", "186439")</f>
        <v>186439</v>
      </c>
      <c r="C4151" s="9"/>
      <c r="D4151" t="str">
        <f>"col-156"</f>
        <v>col-156</v>
      </c>
      <c r="E4151" t="s">
        <v>40</v>
      </c>
      <c r="F4151" t="s">
        <v>11</v>
      </c>
      <c r="G4151" t="s">
        <v>152</v>
      </c>
      <c r="H4151" s="12">
        <v>2.1147087764149202</v>
      </c>
      <c r="I4151" s="11">
        <v>1.26604707485299</v>
      </c>
      <c r="J4151" s="10">
        <v>0.20549622906689699</v>
      </c>
      <c r="K4151" s="29">
        <v>0.954184706708602</v>
      </c>
    </row>
    <row r="4152" spans="1:11" x14ac:dyDescent="0.35">
      <c r="A4152" s="9" t="str">
        <f>HYPERLINK("http://www.ensembl.org/id/WBGene00018470", "WBGene00018470")</f>
        <v>WBGene00018470</v>
      </c>
      <c r="B4152" s="9" t="str">
        <f>HYPERLINK("http://www.ncbi.nlm.nih.gov/gene/185796", "185796")</f>
        <v>185796</v>
      </c>
      <c r="C4152" s="9"/>
      <c r="D4152" t="str">
        <f>"F45E4.5"</f>
        <v>F45E4.5</v>
      </c>
      <c r="F4152" t="s">
        <v>11</v>
      </c>
      <c r="G4152" t="s">
        <v>287</v>
      </c>
      <c r="H4152" s="12">
        <v>2.1132128079486101</v>
      </c>
      <c r="I4152" s="11">
        <v>3.4868374032363501</v>
      </c>
      <c r="J4152" s="10">
        <v>4.8876841806416401E-4</v>
      </c>
      <c r="K4152" s="29">
        <v>2.2496978222690402E-2</v>
      </c>
    </row>
    <row r="4153" spans="1:11" x14ac:dyDescent="0.35">
      <c r="A4153" s="9" t="str">
        <f>HYPERLINK("http://www.ensembl.org/id/WBGene00003890", "WBGene00003890")</f>
        <v>WBGene00003890</v>
      </c>
      <c r="B4153" s="9" t="str">
        <f>HYPERLINK("http://www.ncbi.nlm.nih.gov/gene/191740", "191740")</f>
        <v>191740</v>
      </c>
      <c r="C4153" s="9"/>
      <c r="D4153" t="str">
        <f>"osm-10"</f>
        <v>osm-10</v>
      </c>
      <c r="E4153" t="s">
        <v>899</v>
      </c>
      <c r="F4153" t="s">
        <v>11</v>
      </c>
      <c r="G4153" t="s">
        <v>900</v>
      </c>
      <c r="H4153" s="12">
        <v>2.1128002147606701</v>
      </c>
      <c r="I4153" s="11">
        <v>2.7318973419154702</v>
      </c>
      <c r="J4153" s="10">
        <v>6.2970758553692902E-3</v>
      </c>
      <c r="K4153" s="29">
        <v>0.14085211492174499</v>
      </c>
    </row>
    <row r="4154" spans="1:11" x14ac:dyDescent="0.35">
      <c r="A4154" s="9" t="str">
        <f>HYPERLINK("http://www.ensembl.org/id/WBGene00009355", "WBGene00009355")</f>
        <v>WBGene00009355</v>
      </c>
      <c r="B4154" s="9" t="str">
        <f>HYPERLINK("http://www.ncbi.nlm.nih.gov/gene/174688", "174688")</f>
        <v>174688</v>
      </c>
      <c r="C4154" s="9"/>
      <c r="D4154" t="str">
        <f>"F33A8.7"</f>
        <v>F33A8.7</v>
      </c>
      <c r="F4154" t="s">
        <v>11</v>
      </c>
      <c r="H4154" s="12">
        <v>2.1115812183279501</v>
      </c>
      <c r="I4154" s="11">
        <v>0.95705979859359502</v>
      </c>
      <c r="J4154" s="10">
        <v>0.338537073249225</v>
      </c>
      <c r="K4154" s="29">
        <v>0.98289565623980701</v>
      </c>
    </row>
    <row r="4155" spans="1:11" x14ac:dyDescent="0.35">
      <c r="A4155" s="9" t="str">
        <f>HYPERLINK("http://www.ensembl.org/id/WBGene00008021", "WBGene00008021")</f>
        <v>WBGene00008021</v>
      </c>
      <c r="B4155" s="9" t="str">
        <f>HYPERLINK("http://www.ncbi.nlm.nih.gov/gene/183330", "183330")</f>
        <v>183330</v>
      </c>
      <c r="C4155" s="9"/>
      <c r="D4155" t="str">
        <f>"C39B10.1"</f>
        <v>C39B10.1</v>
      </c>
      <c r="F4155" t="s">
        <v>11</v>
      </c>
      <c r="G4155" t="s">
        <v>25</v>
      </c>
      <c r="H4155" s="12">
        <v>2.11116276756356</v>
      </c>
      <c r="I4155" s="11">
        <v>1.6990892557941</v>
      </c>
      <c r="J4155" s="10">
        <v>8.9302367482539793E-2</v>
      </c>
      <c r="K4155" s="29">
        <v>0.69545685980841399</v>
      </c>
    </row>
    <row r="4156" spans="1:11" x14ac:dyDescent="0.35">
      <c r="A4156" s="9" t="str">
        <f>HYPERLINK("http://www.ensembl.org/id/WBGene00021471", "WBGene00021471")</f>
        <v>WBGene00021471</v>
      </c>
      <c r="B4156" s="9" t="str">
        <f>HYPERLINK("http://www.ncbi.nlm.nih.gov/gene/171794", "171794")</f>
        <v>171794</v>
      </c>
      <c r="C4156" s="9"/>
      <c r="D4156" t="str">
        <f>"Y39G10AR.15"</f>
        <v>Y39G10AR.15</v>
      </c>
      <c r="F4156" t="s">
        <v>11</v>
      </c>
      <c r="H4156" s="12">
        <v>2.1110054277559001</v>
      </c>
      <c r="I4156" s="11">
        <v>0.63975130106176004</v>
      </c>
      <c r="J4156" s="10">
        <v>0.52233429753212501</v>
      </c>
      <c r="K4156" s="29">
        <v>0.98289565623980701</v>
      </c>
    </row>
    <row r="4157" spans="1:11" x14ac:dyDescent="0.35">
      <c r="A4157" s="9" t="str">
        <f>HYPERLINK("http://www.ensembl.org/id/WBGene00016917", "WBGene00016917")</f>
        <v>WBGene00016917</v>
      </c>
      <c r="B4157" s="9" t="str">
        <f>HYPERLINK("http://www.ncbi.nlm.nih.gov/gene/183788", "183788")</f>
        <v>183788</v>
      </c>
      <c r="C4157" s="9"/>
      <c r="D4157" t="str">
        <f>"C54E4.1"</f>
        <v>C54E4.1</v>
      </c>
      <c r="F4157" t="s">
        <v>11</v>
      </c>
      <c r="H4157" s="12">
        <v>2.1108872521259601</v>
      </c>
      <c r="I4157" s="11">
        <v>1.1627446350152</v>
      </c>
      <c r="J4157" s="10">
        <v>0.24493312616401799</v>
      </c>
      <c r="K4157" s="29">
        <v>0.98289565623980701</v>
      </c>
    </row>
    <row r="4158" spans="1:11" x14ac:dyDescent="0.35">
      <c r="A4158" s="9" t="str">
        <f>HYPERLINK("http://www.ensembl.org/id/WBGene00018299", "WBGene00018299")</f>
        <v>WBGene00018299</v>
      </c>
      <c r="B4158" s="9" t="str">
        <f>HYPERLINK("http://www.ncbi.nlm.nih.gov/gene/174113", "174113")</f>
        <v>174113</v>
      </c>
      <c r="C4158" s="9"/>
      <c r="D4158" t="str">
        <f>"F41G3.2"</f>
        <v>F41G3.2</v>
      </c>
      <c r="F4158" t="s">
        <v>11</v>
      </c>
      <c r="H4158" s="12">
        <v>2.10964199804754</v>
      </c>
      <c r="I4158" s="11">
        <v>1.81475332218115</v>
      </c>
      <c r="J4158" s="10">
        <v>6.9561826621065401E-2</v>
      </c>
      <c r="K4158" s="29">
        <v>0.62451947152506804</v>
      </c>
    </row>
    <row r="4159" spans="1:11" x14ac:dyDescent="0.35">
      <c r="A4159" s="9" t="str">
        <f>HYPERLINK("http://www.ensembl.org/id/WBGene00019289", "WBGene00019289")</f>
        <v>WBGene00019289</v>
      </c>
      <c r="B4159" s="9" t="str">
        <f>HYPERLINK("http://www.ncbi.nlm.nih.gov/gene/174212", "174212")</f>
        <v>174212</v>
      </c>
      <c r="C4159" s="9"/>
      <c r="D4159" t="str">
        <f>"kcc-3"</f>
        <v>kcc-3</v>
      </c>
      <c r="E4159" t="s">
        <v>832</v>
      </c>
      <c r="F4159" t="s">
        <v>11</v>
      </c>
      <c r="G4159" t="s">
        <v>833</v>
      </c>
      <c r="H4159" s="12">
        <v>2.1090028348877099</v>
      </c>
      <c r="I4159" s="11">
        <v>2.79357805230089</v>
      </c>
      <c r="J4159" s="10">
        <v>5.2128447323842404E-3</v>
      </c>
      <c r="K4159" s="29">
        <v>0.12507579479384201</v>
      </c>
    </row>
    <row r="4160" spans="1:11" x14ac:dyDescent="0.35">
      <c r="A4160" s="9" t="str">
        <f>HYPERLINK("http://www.ensembl.org/id/WBGene00011695", "WBGene00011695")</f>
        <v>WBGene00011695</v>
      </c>
      <c r="B4160" s="9" t="str">
        <f>HYPERLINK("http://www.ncbi.nlm.nih.gov/gene/188390", "188390")</f>
        <v>188390</v>
      </c>
      <c r="C4160" s="9"/>
      <c r="D4160" t="str">
        <f>"T10G3.4"</f>
        <v>T10G3.4</v>
      </c>
      <c r="F4160" t="s">
        <v>11</v>
      </c>
      <c r="G4160" t="s">
        <v>2639</v>
      </c>
      <c r="H4160" s="12">
        <v>2.1089839981994398</v>
      </c>
      <c r="I4160" s="11">
        <v>0.628455777080003</v>
      </c>
      <c r="J4160" s="10">
        <v>0.52970540792717302</v>
      </c>
      <c r="K4160" s="29">
        <v>0.98289565623980701</v>
      </c>
    </row>
    <row r="4161" spans="1:11" x14ac:dyDescent="0.35">
      <c r="A4161" s="9" t="str">
        <f>HYPERLINK("http://www.ensembl.org/id/WBGene00011836", "WBGene00011836")</f>
        <v>WBGene00011836</v>
      </c>
      <c r="B4161" s="9" t="str">
        <f>HYPERLINK("http://www.ncbi.nlm.nih.gov/gene/179558", "179558")</f>
        <v>179558</v>
      </c>
      <c r="C4161" s="9"/>
      <c r="D4161" t="str">
        <f>"mam-4"</f>
        <v>mam-4</v>
      </c>
      <c r="E4161" t="s">
        <v>679</v>
      </c>
      <c r="F4161" t="s">
        <v>11</v>
      </c>
      <c r="H4161" s="12">
        <v>2.1082620500929998</v>
      </c>
      <c r="I4161" s="11">
        <v>3.0223247374531601</v>
      </c>
      <c r="J4161" s="10">
        <v>2.5084129204489599E-3</v>
      </c>
      <c r="K4161" s="29">
        <v>7.4786308309540306E-2</v>
      </c>
    </row>
    <row r="4162" spans="1:11" x14ac:dyDescent="0.35">
      <c r="A4162" s="9" t="str">
        <f>HYPERLINK("http://www.ensembl.org/id/WBGene00004992", "WBGene00004992")</f>
        <v>WBGene00004992</v>
      </c>
      <c r="B4162" s="9" t="str">
        <f>HYPERLINK("http://www.ncbi.nlm.nih.gov/gene/177326", "177326")</f>
        <v>177326</v>
      </c>
      <c r="C4162" s="9"/>
      <c r="D4162" t="str">
        <f>"spp-7"</f>
        <v>spp-7</v>
      </c>
      <c r="E4162" t="s">
        <v>62</v>
      </c>
      <c r="F4162" t="s">
        <v>11</v>
      </c>
      <c r="G4162" t="s">
        <v>63</v>
      </c>
      <c r="H4162" s="12">
        <v>2.1077135046521698</v>
      </c>
      <c r="I4162" s="11">
        <v>1.2743944194629</v>
      </c>
      <c r="J4162" s="10">
        <v>0.202523669072214</v>
      </c>
      <c r="K4162" s="29">
        <v>0.95065228202110197</v>
      </c>
    </row>
    <row r="4163" spans="1:11" x14ac:dyDescent="0.35">
      <c r="A4163" s="9" t="str">
        <f>HYPERLINK("http://www.ensembl.org/id/WBGene00008010", "WBGene00008010")</f>
        <v>WBGene00008010</v>
      </c>
      <c r="B4163" s="9" t="str">
        <f>HYPERLINK("http://www.ncbi.nlm.nih.gov/gene/183313", "183313")</f>
        <v>183313</v>
      </c>
      <c r="C4163" s="9"/>
      <c r="D4163" t="str">
        <f>"C38D9.2"</f>
        <v>C38D9.2</v>
      </c>
      <c r="F4163" t="s">
        <v>11</v>
      </c>
      <c r="H4163" s="12">
        <v>2.1075890053913802</v>
      </c>
      <c r="I4163" s="11">
        <v>0.94741315290024597</v>
      </c>
      <c r="J4163" s="10">
        <v>0.34342829144037301</v>
      </c>
      <c r="K4163" s="29">
        <v>0.98289565623980701</v>
      </c>
    </row>
    <row r="4164" spans="1:11" x14ac:dyDescent="0.35">
      <c r="A4164" s="9" t="str">
        <f>HYPERLINK("http://www.ensembl.org/id/WBGene00003606", "WBGene00003606")</f>
        <v>WBGene00003606</v>
      </c>
      <c r="B4164" s="9" t="str">
        <f>HYPERLINK("http://www.ncbi.nlm.nih.gov/gene/178035", "178035")</f>
        <v>178035</v>
      </c>
      <c r="C4164" s="9"/>
      <c r="D4164" t="str">
        <f>"nhr-7"</f>
        <v>nhr-7</v>
      </c>
      <c r="E4164" t="s">
        <v>851</v>
      </c>
      <c r="F4164" t="s">
        <v>11</v>
      </c>
      <c r="G4164" t="s">
        <v>852</v>
      </c>
      <c r="H4164" s="12">
        <v>2.1072671266169598</v>
      </c>
      <c r="I4164" s="11">
        <v>2.7704631099153101</v>
      </c>
      <c r="J4164" s="10">
        <v>5.5976640683652601E-3</v>
      </c>
      <c r="K4164" s="29">
        <v>0.131176091241022</v>
      </c>
    </row>
    <row r="4165" spans="1:11" x14ac:dyDescent="0.35">
      <c r="A4165" s="9" t="str">
        <f>HYPERLINK("http://www.ensembl.org/id/WBGene00008031", "WBGene00008031")</f>
        <v>WBGene00008031</v>
      </c>
      <c r="B4165" s="9" t="str">
        <f>HYPERLINK("http://www.ncbi.nlm.nih.gov/gene/183346", "183346")</f>
        <v>183346</v>
      </c>
      <c r="C4165" s="9"/>
      <c r="D4165" t="str">
        <f>"C39E9.7"</f>
        <v>C39E9.7</v>
      </c>
      <c r="F4165" t="s">
        <v>11</v>
      </c>
      <c r="G4165" t="s">
        <v>230</v>
      </c>
      <c r="H4165" s="12">
        <v>2.1067528687353101</v>
      </c>
      <c r="I4165" s="11">
        <v>1.85539444814883</v>
      </c>
      <c r="J4165" s="10">
        <v>6.3539919626297903E-2</v>
      </c>
      <c r="K4165" s="29">
        <v>0.59584147032680201</v>
      </c>
    </row>
    <row r="4166" spans="1:11" x14ac:dyDescent="0.35">
      <c r="A4166" s="9" t="str">
        <f>HYPERLINK("http://www.ensembl.org/id/WBGene00018261", "WBGene00018261")</f>
        <v>WBGene00018261</v>
      </c>
      <c r="B4166" s="9" t="str">
        <f>HYPERLINK("http://www.ncbi.nlm.nih.gov/gene/178706", "178706")</f>
        <v>178706</v>
      </c>
      <c r="C4166" s="9" t="str">
        <f>HYPERLINK("http://www.ncbi.nlm.nih.gov/gene/1573", "1573")</f>
        <v>1573</v>
      </c>
      <c r="D4166" t="str">
        <f>"cyp-33C5"</f>
        <v>cyp-33C5</v>
      </c>
      <c r="E4166" t="s">
        <v>176</v>
      </c>
      <c r="F4166" t="s">
        <v>11</v>
      </c>
      <c r="G4166" t="s">
        <v>438</v>
      </c>
      <c r="H4166" s="12">
        <v>2.1066969331019001</v>
      </c>
      <c r="I4166" s="11">
        <v>1.88135389364782</v>
      </c>
      <c r="J4166" s="10">
        <v>5.9923794326026E-2</v>
      </c>
      <c r="K4166" s="29">
        <v>0.57763837784612304</v>
      </c>
    </row>
    <row r="4167" spans="1:11" x14ac:dyDescent="0.35">
      <c r="A4167" s="9" t="str">
        <f>HYPERLINK("http://www.ensembl.org/id/WBGene00015427", "WBGene00015427")</f>
        <v>WBGene00015427</v>
      </c>
      <c r="B4167" s="9" t="str">
        <f>HYPERLINK("http://www.ncbi.nlm.nih.gov/gene/353442", "353442")</f>
        <v>353442</v>
      </c>
      <c r="C4167" s="9"/>
      <c r="D4167" t="str">
        <f>"C04E6.13"</f>
        <v>C04E6.13</v>
      </c>
      <c r="F4167" t="s">
        <v>11</v>
      </c>
      <c r="H4167" s="12">
        <v>2.1061924927057198</v>
      </c>
      <c r="I4167" s="11">
        <v>3.1518923036808499</v>
      </c>
      <c r="J4167" s="10">
        <v>1.6221609164523399E-3</v>
      </c>
      <c r="K4167" s="29">
        <v>5.6448268276427301E-2</v>
      </c>
    </row>
    <row r="4168" spans="1:11" x14ac:dyDescent="0.35">
      <c r="A4168" s="9" t="str">
        <f>HYPERLINK("http://www.ensembl.org/id/WBGene00045247", "WBGene00045247")</f>
        <v>WBGene00045247</v>
      </c>
      <c r="B4168" s="9" t="str">
        <f>HYPERLINK("http://www.ncbi.nlm.nih.gov/gene/6418653", "6418653")</f>
        <v>6418653</v>
      </c>
      <c r="C4168" s="9"/>
      <c r="D4168" t="str">
        <f>"F54H12.8"</f>
        <v>F54H12.8</v>
      </c>
      <c r="F4168" t="s">
        <v>11</v>
      </c>
      <c r="G4168" t="s">
        <v>25</v>
      </c>
      <c r="H4168" s="12">
        <v>2.1047425177344699</v>
      </c>
      <c r="I4168" s="11">
        <v>0.54673283609594703</v>
      </c>
      <c r="J4168" s="10">
        <v>0.58456229174799501</v>
      </c>
      <c r="K4168" s="29">
        <v>0.98289565623980701</v>
      </c>
    </row>
    <row r="4169" spans="1:11" x14ac:dyDescent="0.35">
      <c r="A4169" s="9" t="str">
        <f>HYPERLINK("http://www.ensembl.org/id/WBGene00007682", "WBGene00007682")</f>
        <v>WBGene00007682</v>
      </c>
      <c r="B4169" s="9" t="str">
        <f>HYPERLINK("http://www.ncbi.nlm.nih.gov/gene/259533", "259533")</f>
        <v>259533</v>
      </c>
      <c r="C4169" s="9"/>
      <c r="D4169" t="str">
        <f>"C18D11.6"</f>
        <v>C18D11.6</v>
      </c>
      <c r="F4169" t="s">
        <v>11</v>
      </c>
      <c r="G4169" t="s">
        <v>264</v>
      </c>
      <c r="H4169" s="12">
        <v>2.10444866842353</v>
      </c>
      <c r="I4169" s="11">
        <v>1.86875539039345</v>
      </c>
      <c r="J4169" s="10">
        <v>6.1656853832988801E-2</v>
      </c>
      <c r="K4169" s="29">
        <v>0.58603178307899595</v>
      </c>
    </row>
    <row r="4170" spans="1:11" x14ac:dyDescent="0.35">
      <c r="A4170" s="9" t="str">
        <f>HYPERLINK("http://www.ensembl.org/id/WBGene00022155", "WBGene00022155")</f>
        <v>WBGene00022155</v>
      </c>
      <c r="B4170" s="9" t="str">
        <f>HYPERLINK("http://www.ncbi.nlm.nih.gov/gene/171730", "171730")</f>
        <v>171730</v>
      </c>
      <c r="C4170" s="9"/>
      <c r="D4170" t="str">
        <f>"Y71G12B.17"</f>
        <v>Y71G12B.17</v>
      </c>
      <c r="F4170" t="s">
        <v>11</v>
      </c>
      <c r="G4170" t="s">
        <v>2877</v>
      </c>
      <c r="H4170" s="12">
        <v>2.1041727486071098</v>
      </c>
      <c r="I4170" s="11">
        <v>1.54077423038455</v>
      </c>
      <c r="J4170" s="10">
        <v>0.123371743321395</v>
      </c>
      <c r="K4170" s="29">
        <v>0.79722221030317098</v>
      </c>
    </row>
    <row r="4171" spans="1:11" x14ac:dyDescent="0.35">
      <c r="A4171" s="9" t="str">
        <f>HYPERLINK("http://www.ensembl.org/id/WBGene00010243", "WBGene00010243")</f>
        <v>WBGene00010243</v>
      </c>
      <c r="B4171" s="9" t="str">
        <f>HYPERLINK("http://www.ncbi.nlm.nih.gov/gene/173088", "173088")</f>
        <v>173088</v>
      </c>
      <c r="C4171" s="9"/>
      <c r="D4171" t="str">
        <f>"F58D5.3"</f>
        <v>F58D5.3</v>
      </c>
      <c r="F4171" t="s">
        <v>11</v>
      </c>
      <c r="G4171" t="s">
        <v>4443</v>
      </c>
      <c r="H4171" s="12">
        <v>2.10398066629307</v>
      </c>
      <c r="I4171" s="11">
        <v>0.74688342491800996</v>
      </c>
      <c r="J4171" s="10">
        <v>0.45513393197462598</v>
      </c>
      <c r="K4171" s="29">
        <v>0.98289565623980701</v>
      </c>
    </row>
    <row r="4172" spans="1:11" x14ac:dyDescent="0.35">
      <c r="A4172" s="9" t="str">
        <f>HYPERLINK("http://www.ensembl.org/id/WBGene00018275", "WBGene00018275")</f>
        <v>WBGene00018275</v>
      </c>
      <c r="B4172" s="9" t="str">
        <f>HYPERLINK("http://www.ncbi.nlm.nih.gov/gene/173816", "173816")</f>
        <v>173816</v>
      </c>
      <c r="C4172" s="9"/>
      <c r="D4172" t="str">
        <f>"F41C3.11"</f>
        <v>F41C3.11</v>
      </c>
      <c r="F4172" t="s">
        <v>11</v>
      </c>
      <c r="G4172" t="s">
        <v>25</v>
      </c>
      <c r="H4172" s="12">
        <v>2.10348592179542</v>
      </c>
      <c r="I4172" s="11">
        <v>2.7729552134767799</v>
      </c>
      <c r="J4172" s="10">
        <v>5.5549765326209002E-3</v>
      </c>
      <c r="K4172" s="29">
        <v>0.1306918526328</v>
      </c>
    </row>
    <row r="4173" spans="1:11" x14ac:dyDescent="0.35">
      <c r="A4173" s="9" t="str">
        <f>HYPERLINK("http://www.ensembl.org/id/WBGene00018025", "WBGene00018025")</f>
        <v>WBGene00018025</v>
      </c>
      <c r="B4173" s="9" t="str">
        <f>HYPERLINK("http://www.ncbi.nlm.nih.gov/gene/185247", "185247")</f>
        <v>185247</v>
      </c>
      <c r="C4173" s="9"/>
      <c r="D4173" t="str">
        <f>"F35A5.2"</f>
        <v>F35A5.2</v>
      </c>
      <c r="F4173" t="s">
        <v>11</v>
      </c>
      <c r="H4173" s="12">
        <v>2.1030773196534902</v>
      </c>
      <c r="I4173" s="11">
        <v>1.9974766322602</v>
      </c>
      <c r="J4173" s="10">
        <v>4.57734304530025E-2</v>
      </c>
      <c r="K4173" s="29">
        <v>0.49724536156421101</v>
      </c>
    </row>
    <row r="4174" spans="1:11" x14ac:dyDescent="0.35">
      <c r="A4174" s="9" t="str">
        <f>HYPERLINK("http://www.ensembl.org/id/WBGene00016525", "WBGene00016525")</f>
        <v>WBGene00016525</v>
      </c>
      <c r="B4174" s="9" t="str">
        <f>HYPERLINK("http://www.ncbi.nlm.nih.gov/gene/183326", "183326")</f>
        <v>183326</v>
      </c>
      <c r="C4174" s="9"/>
      <c r="D4174" t="str">
        <f>"fbxa-12"</f>
        <v>fbxa-12</v>
      </c>
      <c r="E4174" t="s">
        <v>467</v>
      </c>
      <c r="F4174" t="s">
        <v>11</v>
      </c>
      <c r="G4174" t="s">
        <v>54</v>
      </c>
      <c r="H4174" s="12">
        <v>2.1025377868035799</v>
      </c>
      <c r="I4174" s="11">
        <v>0.537298246938966</v>
      </c>
      <c r="J4174" s="10">
        <v>0.59106161617896202</v>
      </c>
      <c r="K4174" s="29">
        <v>0.98289565623980701</v>
      </c>
    </row>
    <row r="4175" spans="1:11" x14ac:dyDescent="0.35">
      <c r="A4175" s="9" t="str">
        <f>HYPERLINK("http://www.ensembl.org/id/WBGene00013540", "WBGene00013540")</f>
        <v>WBGene00013540</v>
      </c>
      <c r="B4175" s="9" t="str">
        <f>HYPERLINK("http://www.ncbi.nlm.nih.gov/gene/176642", "176642")</f>
        <v>176642</v>
      </c>
      <c r="C4175" s="9"/>
      <c r="D4175" t="str">
        <f>"Y75B8A.3"</f>
        <v>Y75B8A.3</v>
      </c>
      <c r="F4175" t="s">
        <v>11</v>
      </c>
      <c r="G4175" t="s">
        <v>63</v>
      </c>
      <c r="H4175" s="12">
        <v>2.10209814442136</v>
      </c>
      <c r="I4175" s="11">
        <v>3.5808312068926802</v>
      </c>
      <c r="J4175" s="10">
        <v>3.4250287461380402E-4</v>
      </c>
      <c r="K4175" s="29">
        <v>1.7469914836261698E-2</v>
      </c>
    </row>
    <row r="4176" spans="1:11" x14ac:dyDescent="0.35">
      <c r="A4176" s="9" t="str">
        <f>HYPERLINK("http://www.ensembl.org/id/WBGene00012863", "WBGene00012863")</f>
        <v>WBGene00012863</v>
      </c>
      <c r="B4176" s="9" t="str">
        <f>HYPERLINK("http://www.ncbi.nlm.nih.gov/gene/189910", "189910")</f>
        <v>189910</v>
      </c>
      <c r="C4176" s="9"/>
      <c r="D4176" t="str">
        <f>"Y45F3A.8"</f>
        <v>Y45F3A.8</v>
      </c>
      <c r="F4176" t="s">
        <v>11</v>
      </c>
      <c r="G4176" t="s">
        <v>1865</v>
      </c>
      <c r="H4176" s="12">
        <v>2.1020639822893199</v>
      </c>
      <c r="I4176" s="11">
        <v>0.65915066274542</v>
      </c>
      <c r="J4176" s="10">
        <v>0.50979902523544496</v>
      </c>
      <c r="K4176" s="29">
        <v>0.98289565623980701</v>
      </c>
    </row>
    <row r="4177" spans="1:11" x14ac:dyDescent="0.35">
      <c r="A4177" s="9" t="str">
        <f>HYPERLINK("http://www.ensembl.org/id/WBGene00020891", "WBGene00020891")</f>
        <v>WBGene00020891</v>
      </c>
      <c r="B4177" s="9" t="str">
        <f>HYPERLINK("http://www.ncbi.nlm.nih.gov/gene/179017", "179017")</f>
        <v>179017</v>
      </c>
      <c r="C4177" s="9"/>
      <c r="D4177" t="str">
        <f>"T28C12.4"</f>
        <v>T28C12.4</v>
      </c>
      <c r="E4177" t="s">
        <v>383</v>
      </c>
      <c r="F4177" t="s">
        <v>11</v>
      </c>
      <c r="G4177" t="s">
        <v>384</v>
      </c>
      <c r="H4177" s="12">
        <v>2.1018468894831002</v>
      </c>
      <c r="I4177" s="11">
        <v>3.7692836092908601</v>
      </c>
      <c r="J4177" s="10">
        <v>1.6371677608641101E-4</v>
      </c>
      <c r="K4177" s="29">
        <v>9.5526258289207206E-3</v>
      </c>
    </row>
    <row r="4178" spans="1:11" x14ac:dyDescent="0.35">
      <c r="A4178" s="9" t="str">
        <f>HYPERLINK("http://www.ensembl.org/id/WBGene00021796", "WBGene00021796")</f>
        <v>WBGene00021796</v>
      </c>
      <c r="B4178" s="9" t="str">
        <f>HYPERLINK("http://www.ncbi.nlm.nih.gov/gene/190187", "190187")</f>
        <v>190187</v>
      </c>
      <c r="C4178" s="9" t="str">
        <f>HYPERLINK("http://www.ncbi.nlm.nih.gov/gene/158046", "158046")</f>
        <v>158046</v>
      </c>
      <c r="D4178" t="str">
        <f>"Y52E8A.3"</f>
        <v>Y52E8A.3</v>
      </c>
      <c r="F4178" t="s">
        <v>11</v>
      </c>
      <c r="H4178" s="12">
        <v>2.1014859847738099</v>
      </c>
      <c r="I4178" s="11">
        <v>1.57939391207725</v>
      </c>
      <c r="J4178" s="10">
        <v>0.114245732900023</v>
      </c>
      <c r="K4178" s="29">
        <v>0.77317684280219101</v>
      </c>
    </row>
    <row r="4179" spans="1:11" x14ac:dyDescent="0.35">
      <c r="A4179" s="9" t="str">
        <f>HYPERLINK("http://www.ensembl.org/id/WBGene00013328", "WBGene00013328")</f>
        <v>WBGene00013328</v>
      </c>
      <c r="B4179" s="9" t="str">
        <f>HYPERLINK("http://www.ncbi.nlm.nih.gov/gene/3565944", "3565944")</f>
        <v>3565944</v>
      </c>
      <c r="C4179" s="9"/>
      <c r="D4179" t="str">
        <f>"Y57G11C.39"</f>
        <v>Y57G11C.39</v>
      </c>
      <c r="F4179" t="s">
        <v>11</v>
      </c>
      <c r="H4179" s="12">
        <v>2.1013682844233301</v>
      </c>
      <c r="I4179" s="11">
        <v>0.90414291452370099</v>
      </c>
      <c r="J4179" s="10">
        <v>0.36591962530269101</v>
      </c>
      <c r="K4179" s="29">
        <v>0.98289565623980701</v>
      </c>
    </row>
    <row r="4180" spans="1:11" x14ac:dyDescent="0.35">
      <c r="A4180" s="9" t="str">
        <f>HYPERLINK("http://www.ensembl.org/id/WBGene00009475", "WBGene00009475")</f>
        <v>WBGene00009475</v>
      </c>
      <c r="B4180" s="9" t="str">
        <f>HYPERLINK("http://www.ncbi.nlm.nih.gov/gene/172722", "172722")</f>
        <v>172722</v>
      </c>
      <c r="C4180" s="9" t="str">
        <f>HYPERLINK("http://www.ncbi.nlm.nih.gov/gene/137735", "137735")</f>
        <v>137735</v>
      </c>
      <c r="D4180" t="str">
        <f>"F36F2.1"</f>
        <v>F36F2.1</v>
      </c>
      <c r="F4180" t="s">
        <v>11</v>
      </c>
      <c r="G4180" t="s">
        <v>449</v>
      </c>
      <c r="H4180" s="12">
        <v>2.10068148055278</v>
      </c>
      <c r="I4180" s="11">
        <v>3.5278048062783798</v>
      </c>
      <c r="J4180" s="10">
        <v>4.1902102302777202E-4</v>
      </c>
      <c r="K4180" s="29">
        <v>2.0198399259457201E-2</v>
      </c>
    </row>
    <row r="4181" spans="1:11" x14ac:dyDescent="0.35">
      <c r="A4181" s="9" t="str">
        <f>HYPERLINK("http://www.ensembl.org/id/WBGene00001373", "WBGene00001373")</f>
        <v>WBGene00001373</v>
      </c>
      <c r="B4181" s="9" t="str">
        <f>HYPERLINK("http://www.ncbi.nlm.nih.gov/gene/186801", "186801")</f>
        <v>186801</v>
      </c>
      <c r="C4181" s="9"/>
      <c r="D4181" t="str">
        <f>"exp-1"</f>
        <v>exp-1</v>
      </c>
      <c r="E4181" t="s">
        <v>773</v>
      </c>
      <c r="F4181" t="s">
        <v>11</v>
      </c>
      <c r="G4181" t="s">
        <v>774</v>
      </c>
      <c r="H4181" s="12">
        <v>2.10012319339718</v>
      </c>
      <c r="I4181" s="11">
        <v>2.8684829168764598</v>
      </c>
      <c r="J4181" s="10">
        <v>4.1244547094836399E-3</v>
      </c>
      <c r="K4181" s="29">
        <v>0.107440417719649</v>
      </c>
    </row>
    <row r="4182" spans="1:11" x14ac:dyDescent="0.35">
      <c r="A4182" s="9" t="str">
        <f>HYPERLINK("http://www.ensembl.org/id/WBGene00007669", "WBGene00007669")</f>
        <v>WBGene00007669</v>
      </c>
      <c r="B4182" s="9" t="str">
        <f>HYPERLINK("http://www.ncbi.nlm.nih.gov/gene/182781", "182781")</f>
        <v>182781</v>
      </c>
      <c r="C4182" s="9"/>
      <c r="D4182" t="str">
        <f>"C18D1.2"</f>
        <v>C18D1.2</v>
      </c>
      <c r="F4182" t="s">
        <v>11</v>
      </c>
      <c r="G4182" t="s">
        <v>230</v>
      </c>
      <c r="H4182" s="12">
        <v>2.0998083765525499</v>
      </c>
      <c r="I4182" s="11">
        <v>0.60492036504962898</v>
      </c>
      <c r="J4182" s="10">
        <v>0.54523191098202095</v>
      </c>
      <c r="K4182" s="29">
        <v>0.98289565623980701</v>
      </c>
    </row>
    <row r="4183" spans="1:11" x14ac:dyDescent="0.35">
      <c r="A4183" s="9" t="str">
        <f>HYPERLINK("http://www.ensembl.org/id/WBGene00004264", "WBGene00004264")</f>
        <v>WBGene00004264</v>
      </c>
      <c r="B4183" s="9" t="str">
        <f>HYPERLINK("http://www.ncbi.nlm.nih.gov/gene/174319", "174319")</f>
        <v>174319</v>
      </c>
      <c r="C4183" s="9"/>
      <c r="D4183" t="str">
        <f>"qua-1"</f>
        <v>qua-1</v>
      </c>
      <c r="F4183" t="s">
        <v>11</v>
      </c>
      <c r="G4183" t="s">
        <v>1338</v>
      </c>
      <c r="H4183" s="12">
        <v>2.0995237851620199</v>
      </c>
      <c r="I4183" s="11">
        <v>2.27206760004049</v>
      </c>
      <c r="J4183" s="10">
        <v>2.3082427671937199E-2</v>
      </c>
      <c r="K4183" s="29">
        <v>0.33003872140332902</v>
      </c>
    </row>
    <row r="4184" spans="1:11" x14ac:dyDescent="0.35">
      <c r="A4184" s="9" t="str">
        <f>HYPERLINK("http://www.ensembl.org/id/WBGene00021252", "WBGene00021252")</f>
        <v>WBGene00021252</v>
      </c>
      <c r="B4184" s="9" t="str">
        <f>HYPERLINK("http://www.ncbi.nlm.nih.gov/gene/189507", "189507")</f>
        <v>189507</v>
      </c>
      <c r="C4184" s="9"/>
      <c r="D4184" t="str">
        <f>"cht-4"</f>
        <v>cht-4</v>
      </c>
      <c r="E4184" t="s">
        <v>3679</v>
      </c>
      <c r="F4184" t="s">
        <v>11</v>
      </c>
      <c r="G4184" t="s">
        <v>3680</v>
      </c>
      <c r="H4184" s="12">
        <v>2.09938134731085</v>
      </c>
      <c r="I4184" s="11">
        <v>1.32363895111714</v>
      </c>
      <c r="J4184" s="10">
        <v>0.18562298248150599</v>
      </c>
      <c r="K4184" s="29">
        <v>0.92427996211399999</v>
      </c>
    </row>
    <row r="4185" spans="1:11" x14ac:dyDescent="0.35">
      <c r="A4185" s="9" t="str">
        <f>HYPERLINK("http://www.ensembl.org/id/WBGene00044035", "WBGene00044035")</f>
        <v>WBGene00044035</v>
      </c>
      <c r="B4185" s="9" t="str">
        <f>HYPERLINK("http://www.ncbi.nlm.nih.gov/gene/6418644", "6418644")</f>
        <v>6418644</v>
      </c>
      <c r="C4185" s="9"/>
      <c r="D4185" t="str">
        <f>"F27E5.7"</f>
        <v>F27E5.7</v>
      </c>
      <c r="F4185" t="s">
        <v>11</v>
      </c>
      <c r="H4185" s="12">
        <v>2.0990406697620201</v>
      </c>
      <c r="I4185" s="11">
        <v>1.2028816198047501</v>
      </c>
      <c r="J4185" s="10">
        <v>0.22902213395906099</v>
      </c>
      <c r="K4185" s="29">
        <v>0.98289565623980701</v>
      </c>
    </row>
    <row r="4186" spans="1:11" x14ac:dyDescent="0.35">
      <c r="A4186" s="9" t="str">
        <f>HYPERLINK("http://www.ensembl.org/id/WBGene00002242", "WBGene00002242")</f>
        <v>WBGene00002242</v>
      </c>
      <c r="B4186" s="9" t="str">
        <f>HYPERLINK("http://www.ncbi.nlm.nih.gov/gene/183753", "183753")</f>
        <v>183753</v>
      </c>
      <c r="C4186" s="9"/>
      <c r="D4186" t="str">
        <f>"kvs-1"</f>
        <v>kvs-1</v>
      </c>
      <c r="F4186" t="s">
        <v>11</v>
      </c>
      <c r="G4186" t="s">
        <v>680</v>
      </c>
      <c r="H4186" s="12">
        <v>2.0980234487464702</v>
      </c>
      <c r="I4186" s="11">
        <v>3.01971504848466</v>
      </c>
      <c r="J4186" s="10">
        <v>2.5301260403293498E-3</v>
      </c>
      <c r="K4186" s="29">
        <v>7.5336459133827402E-2</v>
      </c>
    </row>
    <row r="4187" spans="1:11" x14ac:dyDescent="0.35">
      <c r="A4187" s="9" t="str">
        <f>HYPERLINK("http://www.ensembl.org/id/WBGene00017723", "WBGene00017723")</f>
        <v>WBGene00017723</v>
      </c>
      <c r="B4187" s="9" t="str">
        <f>HYPERLINK("http://www.ncbi.nlm.nih.gov/gene/184865", "184865")</f>
        <v>184865</v>
      </c>
      <c r="C4187" s="9"/>
      <c r="D4187" t="str">
        <f>"bgnt-1.2"</f>
        <v>bgnt-1.2</v>
      </c>
      <c r="E4187" t="s">
        <v>4228</v>
      </c>
      <c r="F4187" t="s">
        <v>11</v>
      </c>
      <c r="G4187" t="s">
        <v>4270</v>
      </c>
      <c r="H4187" s="12">
        <v>2.0977520479320999</v>
      </c>
      <c r="I4187" s="11">
        <v>0.65041800469702304</v>
      </c>
      <c r="J4187" s="10">
        <v>0.515422250370558</v>
      </c>
      <c r="K4187" s="29">
        <v>0.98289565623980701</v>
      </c>
    </row>
    <row r="4188" spans="1:11" x14ac:dyDescent="0.35">
      <c r="A4188" s="9" t="str">
        <f>HYPERLINK("http://www.ensembl.org/id/WBGene00001188", "WBGene00001188")</f>
        <v>WBGene00001188</v>
      </c>
      <c r="B4188" s="9" t="str">
        <f>HYPERLINK("http://www.ncbi.nlm.nih.gov/gene/177821", "177821")</f>
        <v>177821</v>
      </c>
      <c r="C4188" s="9" t="str">
        <f>HYPERLINK("http://www.ncbi.nlm.nih.gov/gene/51384", "51384")</f>
        <v>51384</v>
      </c>
      <c r="D4188" t="str">
        <f>"egl-20"</f>
        <v>egl-20</v>
      </c>
      <c r="E4188" t="s">
        <v>329</v>
      </c>
      <c r="F4188" t="s">
        <v>11</v>
      </c>
      <c r="G4188" t="s">
        <v>330</v>
      </c>
      <c r="H4188" s="12">
        <v>2.0975203275266798</v>
      </c>
      <c r="I4188" s="11">
        <v>3.9334436680501002</v>
      </c>
      <c r="J4188" s="10">
        <v>8.3737470269712604E-5</v>
      </c>
      <c r="K4188" s="29">
        <v>5.7775074527034601E-3</v>
      </c>
    </row>
    <row r="4189" spans="1:11" x14ac:dyDescent="0.35">
      <c r="A4189" s="9" t="str">
        <f>HYPERLINK("http://www.ensembl.org/id/WBGene00005906", "WBGene00005906")</f>
        <v>WBGene00005906</v>
      </c>
      <c r="B4189" s="9"/>
      <c r="C4189" s="9"/>
      <c r="D4189" t="str">
        <f>"srx-15"</f>
        <v>srx-15</v>
      </c>
      <c r="F4189" t="s">
        <v>80</v>
      </c>
      <c r="H4189" s="12">
        <v>2.09654606223179</v>
      </c>
      <c r="I4189" s="11">
        <v>0.94056900033859003</v>
      </c>
      <c r="J4189" s="10">
        <v>0.34692577422571602</v>
      </c>
      <c r="K4189" s="29">
        <v>0.98289565623980701</v>
      </c>
    </row>
    <row r="4190" spans="1:11" x14ac:dyDescent="0.35">
      <c r="A4190" s="9" t="str">
        <f>HYPERLINK("http://www.ensembl.org/id/WBGene00003497", "WBGene00003497")</f>
        <v>WBGene00003497</v>
      </c>
      <c r="B4190" s="9" t="str">
        <f>HYPERLINK("http://www.ncbi.nlm.nih.gov/gene/176060", "176060")</f>
        <v>176060</v>
      </c>
      <c r="C4190" s="9"/>
      <c r="D4190" t="str">
        <f>"mup-4"</f>
        <v>mup-4</v>
      </c>
      <c r="E4190" t="s">
        <v>324</v>
      </c>
      <c r="F4190" t="s">
        <v>11</v>
      </c>
      <c r="G4190" t="s">
        <v>325</v>
      </c>
      <c r="H4190" s="12">
        <v>2.09611648907716</v>
      </c>
      <c r="I4190" s="11">
        <v>3.9738692525383499</v>
      </c>
      <c r="J4190" s="10">
        <v>7.0714391179916002E-5</v>
      </c>
      <c r="K4190" s="29">
        <v>5.0076085598566101E-3</v>
      </c>
    </row>
    <row r="4191" spans="1:11" x14ac:dyDescent="0.35">
      <c r="A4191" s="9" t="str">
        <f>HYPERLINK("http://www.ensembl.org/id/WBGene00000685", "WBGene00000685")</f>
        <v>WBGene00000685</v>
      </c>
      <c r="B4191" s="9" t="str">
        <f>HYPERLINK("http://www.ncbi.nlm.nih.gov/gene/177230", "177230")</f>
        <v>177230</v>
      </c>
      <c r="C4191" s="9"/>
      <c r="D4191" t="str">
        <f>"col-111"</f>
        <v>col-111</v>
      </c>
      <c r="E4191" t="s">
        <v>40</v>
      </c>
      <c r="F4191" t="s">
        <v>11</v>
      </c>
      <c r="G4191" t="s">
        <v>41</v>
      </c>
      <c r="H4191" s="12">
        <v>2.0955791486520599</v>
      </c>
      <c r="I4191" s="11">
        <v>1.9079982028459399</v>
      </c>
      <c r="J4191" s="10">
        <v>5.6391448555642897E-2</v>
      </c>
      <c r="K4191" s="29">
        <v>0.55903878234555804</v>
      </c>
    </row>
    <row r="4192" spans="1:11" x14ac:dyDescent="0.35">
      <c r="A4192" s="9" t="str">
        <f>HYPERLINK("http://www.ensembl.org/id/WBGene00017810", "WBGene00017810")</f>
        <v>WBGene00017810</v>
      </c>
      <c r="B4192" s="9" t="str">
        <f>HYPERLINK("http://www.ncbi.nlm.nih.gov/gene/175641", "175641")</f>
        <v>175641</v>
      </c>
      <c r="C4192" s="9"/>
      <c r="D4192" t="str">
        <f>"clec-157"</f>
        <v>clec-157</v>
      </c>
      <c r="E4192" t="s">
        <v>46</v>
      </c>
      <c r="F4192" t="s">
        <v>11</v>
      </c>
      <c r="G4192" t="s">
        <v>47</v>
      </c>
      <c r="H4192" s="12">
        <v>2.0952547638940802</v>
      </c>
      <c r="I4192" s="11">
        <v>0.69012555670865705</v>
      </c>
      <c r="J4192" s="10">
        <v>0.49011523276104901</v>
      </c>
      <c r="K4192" s="29">
        <v>0.98289565623980701</v>
      </c>
    </row>
    <row r="4193" spans="1:11" x14ac:dyDescent="0.35">
      <c r="A4193" s="9" t="str">
        <f>HYPERLINK("http://www.ensembl.org/id/WBGene00017907", "WBGene00017907")</f>
        <v>WBGene00017907</v>
      </c>
      <c r="B4193" s="9" t="str">
        <f>HYPERLINK("http://www.ncbi.nlm.nih.gov/gene/185078", "185078")</f>
        <v>185078</v>
      </c>
      <c r="C4193" s="9"/>
      <c r="D4193" t="str">
        <f>"F28F9.3"</f>
        <v>F28F9.3</v>
      </c>
      <c r="F4193" t="s">
        <v>11</v>
      </c>
      <c r="H4193" s="12">
        <v>2.0944567116852402</v>
      </c>
      <c r="I4193" s="11">
        <v>2.2439163946351401</v>
      </c>
      <c r="J4193" s="10">
        <v>2.4837781094951002E-2</v>
      </c>
      <c r="K4193" s="29">
        <v>0.345458066111894</v>
      </c>
    </row>
    <row r="4194" spans="1:11" x14ac:dyDescent="0.35">
      <c r="A4194" s="9" t="str">
        <f>HYPERLINK("http://www.ensembl.org/id/WBGene00016858", "WBGene00016858")</f>
        <v>WBGene00016858</v>
      </c>
      <c r="B4194" s="9" t="str">
        <f>HYPERLINK("http://www.ncbi.nlm.nih.gov/gene/183700", "183700")</f>
        <v>183700</v>
      </c>
      <c r="C4194" s="9"/>
      <c r="D4194" t="str">
        <f>"C50H11.13"</f>
        <v>C50H11.13</v>
      </c>
      <c r="F4194" t="s">
        <v>11</v>
      </c>
      <c r="G4194" t="s">
        <v>25</v>
      </c>
      <c r="H4194" s="12">
        <v>2.0938015050603398</v>
      </c>
      <c r="I4194" s="11">
        <v>0.49054865179316298</v>
      </c>
      <c r="J4194" s="10">
        <v>0.62374571145358904</v>
      </c>
      <c r="K4194" s="29">
        <v>0.98289565623980701</v>
      </c>
    </row>
    <row r="4195" spans="1:11" x14ac:dyDescent="0.35">
      <c r="A4195" s="9" t="str">
        <f>HYPERLINK("http://www.ensembl.org/id/WBGene00008554", "WBGene00008554")</f>
        <v>WBGene00008554</v>
      </c>
      <c r="B4195" s="9" t="str">
        <f>HYPERLINK("http://www.ncbi.nlm.nih.gov/gene/184138", "184138")</f>
        <v>184138</v>
      </c>
      <c r="C4195" s="9"/>
      <c r="D4195" t="str">
        <f>"F07C6.3"</f>
        <v>F07C6.3</v>
      </c>
      <c r="F4195" t="s">
        <v>11</v>
      </c>
      <c r="H4195" s="12">
        <v>2.09324490987016</v>
      </c>
      <c r="I4195" s="11">
        <v>2.9797302502042098</v>
      </c>
      <c r="J4195" s="10">
        <v>2.8850231778077598E-3</v>
      </c>
      <c r="K4195" s="29">
        <v>8.3000006768485401E-2</v>
      </c>
    </row>
    <row r="4196" spans="1:11" x14ac:dyDescent="0.35">
      <c r="A4196" s="9" t="str">
        <f>HYPERLINK("http://www.ensembl.org/id/WBGene00019652", "WBGene00019652")</f>
        <v>WBGene00019652</v>
      </c>
      <c r="B4196" s="9" t="str">
        <f>HYPERLINK("http://www.ncbi.nlm.nih.gov/gene/179057", "179057")</f>
        <v>179057</v>
      </c>
      <c r="C4196" s="9"/>
      <c r="D4196" t="str">
        <f>"K11G9.1"</f>
        <v>K11G9.1</v>
      </c>
      <c r="E4196" t="s">
        <v>383</v>
      </c>
      <c r="F4196" t="s">
        <v>11</v>
      </c>
      <c r="G4196" t="s">
        <v>2185</v>
      </c>
      <c r="H4196" s="12">
        <v>2.0919758942845701</v>
      </c>
      <c r="I4196" s="11">
        <v>1.78169450374422</v>
      </c>
      <c r="J4196" s="10">
        <v>7.4799063684660896E-2</v>
      </c>
      <c r="K4196" s="29">
        <v>0.64426946044515199</v>
      </c>
    </row>
    <row r="4197" spans="1:11" x14ac:dyDescent="0.35">
      <c r="A4197" s="9" t="str">
        <f>HYPERLINK("http://www.ensembl.org/id/WBGene00020835", "WBGene00020835")</f>
        <v>WBGene00020835</v>
      </c>
      <c r="B4197" s="9" t="str">
        <f>HYPERLINK("http://www.ncbi.nlm.nih.gov/gene/173444", "173444")</f>
        <v>173444</v>
      </c>
      <c r="C4197" s="9"/>
      <c r="D4197" t="str">
        <f>"T27A1.3"</f>
        <v>T27A1.3</v>
      </c>
      <c r="F4197" t="s">
        <v>11</v>
      </c>
      <c r="G4197" t="s">
        <v>417</v>
      </c>
      <c r="H4197" s="12">
        <v>2.0919728409540199</v>
      </c>
      <c r="I4197" s="11">
        <v>1.3639443066574399</v>
      </c>
      <c r="J4197" s="10">
        <v>0.172585094715061</v>
      </c>
      <c r="K4197" s="29">
        <v>0.89944195385638404</v>
      </c>
    </row>
    <row r="4198" spans="1:11" x14ac:dyDescent="0.35">
      <c r="A4198" s="9" t="str">
        <f>HYPERLINK("http://www.ensembl.org/id/WBGene00013785", "WBGene00013785")</f>
        <v>WBGene00013785</v>
      </c>
      <c r="B4198" s="9" t="str">
        <f>HYPERLINK("http://www.ncbi.nlm.nih.gov/gene/178472", "178472")</f>
        <v>178472</v>
      </c>
      <c r="C4198" s="9"/>
      <c r="D4198" t="str">
        <f>"nep-23"</f>
        <v>nep-23</v>
      </c>
      <c r="E4198" t="s">
        <v>683</v>
      </c>
      <c r="F4198" t="s">
        <v>11</v>
      </c>
      <c r="G4198" t="s">
        <v>4293</v>
      </c>
      <c r="H4198" s="12">
        <v>2.09179433750705</v>
      </c>
      <c r="I4198" s="11">
        <v>0.68543411247331898</v>
      </c>
      <c r="J4198" s="10">
        <v>0.493070024255224</v>
      </c>
      <c r="K4198" s="29">
        <v>0.98289565623980701</v>
      </c>
    </row>
    <row r="4199" spans="1:11" x14ac:dyDescent="0.35">
      <c r="A4199" s="9" t="str">
        <f>HYPERLINK("http://www.ensembl.org/id/WBGene00018343", "WBGene00018343")</f>
        <v>WBGene00018343</v>
      </c>
      <c r="B4199" s="9" t="str">
        <f>HYPERLINK("http://www.ncbi.nlm.nih.gov/gene/175875", "175875")</f>
        <v>175875</v>
      </c>
      <c r="C4199" s="9"/>
      <c r="D4199" t="str">
        <f>"F42A10.7"</f>
        <v>F42A10.7</v>
      </c>
      <c r="F4199" t="s">
        <v>11</v>
      </c>
      <c r="H4199" s="12">
        <v>2.0912039047025202</v>
      </c>
      <c r="I4199" s="11">
        <v>3.4752468533927798</v>
      </c>
      <c r="J4199" s="10">
        <v>5.1038345235313498E-4</v>
      </c>
      <c r="K4199" s="29">
        <v>2.32144095473849E-2</v>
      </c>
    </row>
    <row r="4200" spans="1:11" x14ac:dyDescent="0.35">
      <c r="A4200" s="9" t="str">
        <f>HYPERLINK("http://www.ensembl.org/id/WBGene00014150", "WBGene00014150")</f>
        <v>WBGene00014150</v>
      </c>
      <c r="B4200" s="9" t="str">
        <f>HYPERLINK("http://www.ncbi.nlm.nih.gov/gene/3565097", "3565097")</f>
        <v>3565097</v>
      </c>
      <c r="C4200" s="9"/>
      <c r="D4200" t="str">
        <f>"ZK909.6"</f>
        <v>ZK909.6</v>
      </c>
      <c r="F4200" t="s">
        <v>11</v>
      </c>
      <c r="H4200" s="12">
        <v>2.09064809193372</v>
      </c>
      <c r="I4200" s="11">
        <v>3.35634498389375</v>
      </c>
      <c r="J4200" s="10">
        <v>7.8979982723255101E-4</v>
      </c>
      <c r="K4200" s="29">
        <v>3.2299318244310302E-2</v>
      </c>
    </row>
    <row r="4201" spans="1:11" x14ac:dyDescent="0.35">
      <c r="A4201" s="9" t="str">
        <f>HYPERLINK("http://www.ensembl.org/id/WBGene00009321", "WBGene00009321")</f>
        <v>WBGene00009321</v>
      </c>
      <c r="B4201" s="9" t="str">
        <f>HYPERLINK("http://www.ncbi.nlm.nih.gov/gene/177842", "177842")</f>
        <v>177842</v>
      </c>
      <c r="C4201" s="9"/>
      <c r="D4201" t="str">
        <f>"F32B6.4"</f>
        <v>F32B6.4</v>
      </c>
      <c r="F4201" t="s">
        <v>11</v>
      </c>
      <c r="H4201" s="12">
        <v>2.0906300394028499</v>
      </c>
      <c r="I4201" s="11">
        <v>0.83163512062135703</v>
      </c>
      <c r="J4201" s="10">
        <v>0.405614931958165</v>
      </c>
      <c r="K4201" s="29">
        <v>0.98289565623980701</v>
      </c>
    </row>
    <row r="4202" spans="1:11" x14ac:dyDescent="0.35">
      <c r="A4202" s="9" t="str">
        <f>HYPERLINK("http://www.ensembl.org/id/WBGene00015042", "WBGene00015042")</f>
        <v>WBGene00015042</v>
      </c>
      <c r="B4202" s="9" t="str">
        <f>HYPERLINK("http://www.ncbi.nlm.nih.gov/gene/181849", "181849")</f>
        <v>181849</v>
      </c>
      <c r="C4202" s="9"/>
      <c r="D4202" t="str">
        <f>"cyp-34A7"</f>
        <v>cyp-34A7</v>
      </c>
      <c r="E4202" t="s">
        <v>176</v>
      </c>
      <c r="F4202" t="s">
        <v>11</v>
      </c>
      <c r="G4202" t="s">
        <v>438</v>
      </c>
      <c r="H4202" s="12">
        <v>2.0903861811993298</v>
      </c>
      <c r="I4202" s="11">
        <v>0.96991690282907495</v>
      </c>
      <c r="J4202" s="10">
        <v>0.33208791402205501</v>
      </c>
      <c r="K4202" s="29">
        <v>0.98289565623980701</v>
      </c>
    </row>
    <row r="4203" spans="1:11" x14ac:dyDescent="0.35">
      <c r="A4203" s="9" t="str">
        <f>HYPERLINK("http://www.ensembl.org/id/WBGene00006685", "WBGene00006685")</f>
        <v>WBGene00006685</v>
      </c>
      <c r="B4203" s="9" t="str">
        <f>HYPERLINK("http://www.ncbi.nlm.nih.gov/gene/180161", "180161")</f>
        <v>180161</v>
      </c>
      <c r="C4203" s="9"/>
      <c r="D4203" t="str">
        <f>"twk-33"</f>
        <v>twk-33</v>
      </c>
      <c r="E4203" t="s">
        <v>894</v>
      </c>
      <c r="F4203" t="s">
        <v>11</v>
      </c>
      <c r="G4203" t="s">
        <v>895</v>
      </c>
      <c r="H4203" s="12">
        <v>2.0902624779124599</v>
      </c>
      <c r="I4203" s="11">
        <v>2.16393496581972</v>
      </c>
      <c r="J4203" s="10">
        <v>3.0469340941326899E-2</v>
      </c>
      <c r="K4203" s="29">
        <v>0.39134218554213401</v>
      </c>
    </row>
    <row r="4204" spans="1:11" x14ac:dyDescent="0.35">
      <c r="A4204" s="9" t="str">
        <f>HYPERLINK("http://www.ensembl.org/id/WBGene00018106", "WBGene00018106")</f>
        <v>WBGene00018106</v>
      </c>
      <c r="B4204" s="9" t="str">
        <f>HYPERLINK("http://www.ncbi.nlm.nih.gov/gene/185386", "185386")</f>
        <v>185386</v>
      </c>
      <c r="C4204" s="9"/>
      <c r="D4204" t="str">
        <f>"F36H5.8"</f>
        <v>F36H5.8</v>
      </c>
      <c r="F4204" t="s">
        <v>11</v>
      </c>
      <c r="G4204" t="s">
        <v>54</v>
      </c>
      <c r="H4204" s="12">
        <v>2.0897788690368699</v>
      </c>
      <c r="I4204" s="11">
        <v>1.18249410857222</v>
      </c>
      <c r="J4204" s="10">
        <v>0.237009701795385</v>
      </c>
      <c r="K4204" s="29">
        <v>0.98289565623980701</v>
      </c>
    </row>
    <row r="4205" spans="1:11" x14ac:dyDescent="0.35">
      <c r="A4205" s="9" t="str">
        <f>HYPERLINK("http://www.ensembl.org/id/WBGene00017322", "WBGene00017322")</f>
        <v>WBGene00017322</v>
      </c>
      <c r="B4205" s="9" t="str">
        <f>HYPERLINK("http://www.ncbi.nlm.nih.gov/gene/176167", "176167")</f>
        <v>176167</v>
      </c>
      <c r="C4205" s="9"/>
      <c r="D4205" t="str">
        <f>"clec-160"</f>
        <v>clec-160</v>
      </c>
      <c r="E4205" t="s">
        <v>482</v>
      </c>
      <c r="F4205" t="s">
        <v>11</v>
      </c>
      <c r="H4205" s="12">
        <v>2.08898307850284</v>
      </c>
      <c r="I4205" s="11">
        <v>3.4223081391386301</v>
      </c>
      <c r="J4205" s="10">
        <v>6.2091901791025395E-4</v>
      </c>
      <c r="K4205" s="29">
        <v>2.7018747321721898E-2</v>
      </c>
    </row>
    <row r="4206" spans="1:11" x14ac:dyDescent="0.35">
      <c r="A4206" s="9" t="str">
        <f>HYPERLINK("http://www.ensembl.org/id/WBGene00018005", "WBGene00018005")</f>
        <v>WBGene00018005</v>
      </c>
      <c r="B4206" s="9" t="str">
        <f>HYPERLINK("http://www.ncbi.nlm.nih.gov/gene/185230", "185230")</f>
        <v>185230</v>
      </c>
      <c r="C4206" s="9"/>
      <c r="D4206" t="str">
        <f>"nlp-62"</f>
        <v>nlp-62</v>
      </c>
      <c r="E4206" t="s">
        <v>76</v>
      </c>
      <c r="F4206" t="s">
        <v>11</v>
      </c>
      <c r="G4206" t="s">
        <v>947</v>
      </c>
      <c r="H4206" s="12">
        <v>2.08891090418529</v>
      </c>
      <c r="I4206" s="11">
        <v>2.64573063588566</v>
      </c>
      <c r="J4206" s="10">
        <v>8.1514697554266307E-3</v>
      </c>
      <c r="K4206" s="29">
        <v>0.17045055218903901</v>
      </c>
    </row>
    <row r="4207" spans="1:11" x14ac:dyDescent="0.35">
      <c r="A4207" s="9" t="str">
        <f>HYPERLINK("http://www.ensembl.org/id/WBGene00001783", "WBGene00001783")</f>
        <v>WBGene00001783</v>
      </c>
      <c r="B4207" s="9" t="str">
        <f>HYPERLINK("http://www.ncbi.nlm.nih.gov/gene/259481", "259481")</f>
        <v>259481</v>
      </c>
      <c r="C4207" s="9" t="str">
        <f>HYPERLINK("http://www.ncbi.nlm.nih.gov/gene/27306", "27306")</f>
        <v>27306</v>
      </c>
      <c r="D4207" t="str">
        <f>"gst-35"</f>
        <v>gst-35</v>
      </c>
      <c r="E4207" t="s">
        <v>272</v>
      </c>
      <c r="F4207" t="s">
        <v>11</v>
      </c>
      <c r="G4207" t="s">
        <v>876</v>
      </c>
      <c r="H4207" s="12">
        <v>2.0888514707713002</v>
      </c>
      <c r="I4207" s="11">
        <v>2.7514674439876501</v>
      </c>
      <c r="J4207" s="10">
        <v>5.9328916705651902E-3</v>
      </c>
      <c r="K4207" s="29">
        <v>0.135764921989071</v>
      </c>
    </row>
    <row r="4208" spans="1:11" x14ac:dyDescent="0.35">
      <c r="A4208" s="9" t="str">
        <f>HYPERLINK("http://www.ensembl.org/id/WBGene00008516", "WBGene00008516")</f>
        <v>WBGene00008516</v>
      </c>
      <c r="B4208" s="9" t="str">
        <f>HYPERLINK("http://www.ncbi.nlm.nih.gov/gene/184076", "184076")</f>
        <v>184076</v>
      </c>
      <c r="C4208" s="9"/>
      <c r="D4208" t="str">
        <f>"F02C12.2"</f>
        <v>F02C12.2</v>
      </c>
      <c r="F4208" t="s">
        <v>11</v>
      </c>
      <c r="G4208" t="s">
        <v>489</v>
      </c>
      <c r="H4208" s="12">
        <v>2.0887480511315202</v>
      </c>
      <c r="I4208" s="11">
        <v>1.1753155217531699</v>
      </c>
      <c r="J4208" s="10">
        <v>0.23986850690752601</v>
      </c>
      <c r="K4208" s="29">
        <v>0.98289565623980701</v>
      </c>
    </row>
    <row r="4209" spans="1:11" x14ac:dyDescent="0.35">
      <c r="A4209" s="9" t="str">
        <f>HYPERLINK("http://www.ensembl.org/id/WBGene00167325", "WBGene00167325")</f>
        <v>WBGene00167325</v>
      </c>
      <c r="B4209" s="9"/>
      <c r="C4209" s="9"/>
      <c r="D4209" t="str">
        <f>"21ur-12253"</f>
        <v>21ur-12253</v>
      </c>
      <c r="F4209" t="s">
        <v>3161</v>
      </c>
      <c r="H4209" s="12">
        <v>2.0886489781828099</v>
      </c>
      <c r="I4209" s="11">
        <v>0.219960124059632</v>
      </c>
      <c r="J4209" s="10">
        <v>0.82590221052191704</v>
      </c>
      <c r="K4209" s="29">
        <v>0.98941214808310096</v>
      </c>
    </row>
    <row r="4210" spans="1:11" x14ac:dyDescent="0.35">
      <c r="A4210" s="9" t="str">
        <f>HYPERLINK("http://www.ensembl.org/id/WBGene00201384", "WBGene00201384")</f>
        <v>WBGene00201384</v>
      </c>
      <c r="B4210" s="9"/>
      <c r="C4210" s="9"/>
      <c r="D4210" t="str">
        <f>"B0222.14"</f>
        <v>B0222.14</v>
      </c>
      <c r="F4210" t="s">
        <v>481</v>
      </c>
      <c r="H4210" s="12">
        <v>2.0886489781828099</v>
      </c>
      <c r="I4210" s="11">
        <v>0.219960124059632</v>
      </c>
      <c r="J4210" s="10">
        <v>0.82590221052191704</v>
      </c>
      <c r="K4210" s="29">
        <v>0.98941214808310096</v>
      </c>
    </row>
    <row r="4211" spans="1:11" x14ac:dyDescent="0.35">
      <c r="A4211" s="9" t="str">
        <f>HYPERLINK("http://www.ensembl.org/id/WBGene00200125", "WBGene00200125")</f>
        <v>WBGene00200125</v>
      </c>
      <c r="B4211" s="9"/>
      <c r="C4211" s="9"/>
      <c r="D4211" t="str">
        <f>"C24H11.11"</f>
        <v>C24H11.11</v>
      </c>
      <c r="F4211" t="s">
        <v>481</v>
      </c>
      <c r="H4211" s="12">
        <v>2.0886489781828099</v>
      </c>
      <c r="I4211" s="11">
        <v>0.219960124059632</v>
      </c>
      <c r="J4211" s="10">
        <v>0.82590221052191704</v>
      </c>
      <c r="K4211" s="29">
        <v>0.98941214808310096</v>
      </c>
    </row>
    <row r="4212" spans="1:11" x14ac:dyDescent="0.35">
      <c r="A4212" s="9" t="str">
        <f>HYPERLINK("http://www.ensembl.org/id/WBGene00201926", "WBGene00201926")</f>
        <v>WBGene00201926</v>
      </c>
      <c r="B4212" s="9"/>
      <c r="C4212" s="9"/>
      <c r="D4212" t="str">
        <f>"F52F12.18"</f>
        <v>F52F12.18</v>
      </c>
      <c r="F4212" t="s">
        <v>481</v>
      </c>
      <c r="H4212" s="12">
        <v>2.0886489781828099</v>
      </c>
      <c r="I4212" s="11">
        <v>0.219960124059632</v>
      </c>
      <c r="J4212" s="10">
        <v>0.82590221052191704</v>
      </c>
      <c r="K4212" s="29">
        <v>0.98941214808310096</v>
      </c>
    </row>
    <row r="4213" spans="1:11" x14ac:dyDescent="0.35">
      <c r="A4213" s="9" t="str">
        <f>HYPERLINK("http://www.ensembl.org/id/WBGene00022496", "WBGene00022496")</f>
        <v>WBGene00022496</v>
      </c>
      <c r="B4213" s="9" t="str">
        <f>HYPERLINK("http://www.ncbi.nlm.nih.gov/gene/191047", "191047")</f>
        <v>191047</v>
      </c>
      <c r="C4213" s="9"/>
      <c r="D4213" t="str">
        <f>"fbxa-92"</f>
        <v>fbxa-92</v>
      </c>
      <c r="E4213" t="s">
        <v>467</v>
      </c>
      <c r="F4213" t="s">
        <v>11</v>
      </c>
      <c r="G4213" t="s">
        <v>54</v>
      </c>
      <c r="H4213" s="12">
        <v>2.0886489781828099</v>
      </c>
      <c r="I4213" s="11">
        <v>0.219960124059632</v>
      </c>
      <c r="J4213" s="10">
        <v>0.82590221052191704</v>
      </c>
      <c r="K4213" s="29">
        <v>0.98941214808310096</v>
      </c>
    </row>
    <row r="4214" spans="1:11" x14ac:dyDescent="0.35">
      <c r="A4214" s="9" t="str">
        <f>HYPERLINK("http://www.ensembl.org/id/WBGene00010180", "WBGene00010180")</f>
        <v>WBGene00010180</v>
      </c>
      <c r="B4214" s="9" t="str">
        <f>HYPERLINK("http://www.ncbi.nlm.nih.gov/gene/186431", "186431")</f>
        <v>186431</v>
      </c>
      <c r="C4214" s="9"/>
      <c r="D4214" t="str">
        <f>"nhr-192"</f>
        <v>nhr-192</v>
      </c>
      <c r="E4214" t="s">
        <v>637</v>
      </c>
      <c r="F4214" t="s">
        <v>11</v>
      </c>
      <c r="G4214" t="s">
        <v>1073</v>
      </c>
      <c r="H4214" s="12">
        <v>2.0886489781828099</v>
      </c>
      <c r="I4214" s="11">
        <v>0.219960124059632</v>
      </c>
      <c r="J4214" s="10">
        <v>0.82590221052191704</v>
      </c>
      <c r="K4214" s="29">
        <v>0.98941214808310096</v>
      </c>
    </row>
    <row r="4215" spans="1:11" x14ac:dyDescent="0.35">
      <c r="A4215" s="9" t="str">
        <f>HYPERLINK("http://www.ensembl.org/id/WBGene00007701", "WBGene00007701")</f>
        <v>WBGene00007701</v>
      </c>
      <c r="B4215" s="9" t="str">
        <f>HYPERLINK("http://www.ncbi.nlm.nih.gov/gene/182862", "182862")</f>
        <v>182862</v>
      </c>
      <c r="C4215" s="9"/>
      <c r="D4215" t="str">
        <f>"srd-74"</f>
        <v>srd-74</v>
      </c>
      <c r="E4215" t="s">
        <v>1513</v>
      </c>
      <c r="F4215" t="s">
        <v>11</v>
      </c>
      <c r="G4215" t="s">
        <v>25</v>
      </c>
      <c r="H4215" s="12">
        <v>2.0886489781828099</v>
      </c>
      <c r="I4215" s="11">
        <v>0.219960124059632</v>
      </c>
      <c r="J4215" s="10">
        <v>0.82590221052191704</v>
      </c>
      <c r="K4215" s="29">
        <v>0.98941214808310096</v>
      </c>
    </row>
    <row r="4216" spans="1:11" x14ac:dyDescent="0.35">
      <c r="A4216" s="9" t="str">
        <f>HYPERLINK("http://www.ensembl.org/id/WBGene00005610", "WBGene00005610")</f>
        <v>WBGene00005610</v>
      </c>
      <c r="B4216" s="9" t="str">
        <f>HYPERLINK("http://www.ncbi.nlm.nih.gov/gene/185095", "185095")</f>
        <v>185095</v>
      </c>
      <c r="C4216" s="9"/>
      <c r="D4216" t="str">
        <f>"srj-22"</f>
        <v>srj-22</v>
      </c>
      <c r="E4216" t="s">
        <v>3123</v>
      </c>
      <c r="F4216" t="s">
        <v>11</v>
      </c>
      <c r="G4216" t="s">
        <v>25</v>
      </c>
      <c r="H4216" s="12">
        <v>2.0886489781828099</v>
      </c>
      <c r="I4216" s="11">
        <v>0.219960124059632</v>
      </c>
      <c r="J4216" s="10">
        <v>0.82590221052191704</v>
      </c>
      <c r="K4216" s="29">
        <v>0.98941214808310096</v>
      </c>
    </row>
    <row r="4217" spans="1:11" x14ac:dyDescent="0.35">
      <c r="A4217" s="9" t="str">
        <f>HYPERLINK("http://www.ensembl.org/id/WBGene00006093", "WBGene00006093")</f>
        <v>WBGene00006093</v>
      </c>
      <c r="B4217" s="9" t="str">
        <f>HYPERLINK("http://www.ncbi.nlm.nih.gov/gene/188782", "188782")</f>
        <v>188782</v>
      </c>
      <c r="C4217" s="9"/>
      <c r="D4217" t="str">
        <f>"str-27"</f>
        <v>str-27</v>
      </c>
      <c r="E4217" t="s">
        <v>590</v>
      </c>
      <c r="F4217" t="s">
        <v>11</v>
      </c>
      <c r="G4217" t="s">
        <v>25</v>
      </c>
      <c r="H4217" s="12">
        <v>2.0886489781828099</v>
      </c>
      <c r="I4217" s="11">
        <v>0.219960124059632</v>
      </c>
      <c r="J4217" s="10">
        <v>0.82590221052191704</v>
      </c>
      <c r="K4217" s="29">
        <v>0.98941214808310096</v>
      </c>
    </row>
    <row r="4218" spans="1:11" x14ac:dyDescent="0.35">
      <c r="A4218" s="9" t="str">
        <f>HYPERLINK("http://www.ensembl.org/id/WBGene00011421", "WBGene00011421")</f>
        <v>WBGene00011421</v>
      </c>
      <c r="B4218" s="9"/>
      <c r="C4218" s="9"/>
      <c r="D4218" t="str">
        <f>"T04B2.1"</f>
        <v>T04B2.1</v>
      </c>
      <c r="F4218" t="s">
        <v>80</v>
      </c>
      <c r="H4218" s="12">
        <v>2.0886489781828099</v>
      </c>
      <c r="I4218" s="11">
        <v>0.219960124059632</v>
      </c>
      <c r="J4218" s="10">
        <v>0.82590221052191704</v>
      </c>
      <c r="K4218" s="29">
        <v>0.98941214808310096</v>
      </c>
    </row>
    <row r="4219" spans="1:11" x14ac:dyDescent="0.35">
      <c r="A4219" s="9" t="str">
        <f>HYPERLINK("http://www.ensembl.org/id/WBGene00271654", "WBGene00271654")</f>
        <v>WBGene00271654</v>
      </c>
      <c r="B4219" s="9"/>
      <c r="C4219" s="9"/>
      <c r="D4219" t="str">
        <f>"Y54G9A.17"</f>
        <v>Y54G9A.17</v>
      </c>
      <c r="F4219" t="s">
        <v>481</v>
      </c>
      <c r="H4219" s="12">
        <v>2.0886489781828099</v>
      </c>
      <c r="I4219" s="11">
        <v>0.219960124059632</v>
      </c>
      <c r="J4219" s="10">
        <v>0.82590221052191704</v>
      </c>
      <c r="K4219" s="29">
        <v>0.98941214808310096</v>
      </c>
    </row>
    <row r="4220" spans="1:11" x14ac:dyDescent="0.35">
      <c r="A4220" s="9" t="str">
        <f>HYPERLINK("http://www.ensembl.org/id/WBGene00012084", "WBGene00012084")</f>
        <v>WBGene00012084</v>
      </c>
      <c r="B4220" s="9" t="str">
        <f>HYPERLINK("http://www.ncbi.nlm.nih.gov/gene/175470", "175470")</f>
        <v>175470</v>
      </c>
      <c r="C4220" s="9"/>
      <c r="D4220" t="str">
        <f>"npr-15"</f>
        <v>npr-15</v>
      </c>
      <c r="E4220" t="s">
        <v>1862</v>
      </c>
      <c r="F4220" t="s">
        <v>11</v>
      </c>
      <c r="G4220" t="s">
        <v>1429</v>
      </c>
      <c r="H4220" s="12">
        <v>2.0874635714751402</v>
      </c>
      <c r="I4220" s="11">
        <v>1.93534955738967</v>
      </c>
      <c r="J4220" s="10">
        <v>5.2947414817350803E-2</v>
      </c>
      <c r="K4220" s="29">
        <v>0.54037233514563099</v>
      </c>
    </row>
    <row r="4221" spans="1:11" x14ac:dyDescent="0.35">
      <c r="A4221" s="9" t="str">
        <f>HYPERLINK("http://www.ensembl.org/id/WBGene00016504", "WBGene00016504")</f>
        <v>WBGene00016504</v>
      </c>
      <c r="B4221" s="9" t="str">
        <f>HYPERLINK("http://www.ncbi.nlm.nih.gov/gene/259632", "259632")</f>
        <v>259632</v>
      </c>
      <c r="C4221" s="9"/>
      <c r="D4221" t="str">
        <f>"C37C3.12"</f>
        <v>C37C3.12</v>
      </c>
      <c r="F4221" t="s">
        <v>11</v>
      </c>
      <c r="G4221" t="s">
        <v>904</v>
      </c>
      <c r="H4221" s="12">
        <v>2.0873793194496799</v>
      </c>
      <c r="I4221" s="11">
        <v>2.7272488222386699</v>
      </c>
      <c r="J4221" s="10">
        <v>6.3864859819808498E-3</v>
      </c>
      <c r="K4221" s="29">
        <v>0.14162587098833301</v>
      </c>
    </row>
    <row r="4222" spans="1:11" x14ac:dyDescent="0.35">
      <c r="A4222" s="9" t="str">
        <f>HYPERLINK("http://www.ensembl.org/id/WBGene00077531", "WBGene00077531")</f>
        <v>WBGene00077531</v>
      </c>
      <c r="B4222" s="9" t="str">
        <f>HYPERLINK("http://www.ncbi.nlm.nih.gov/gene/6418652", "6418652")</f>
        <v>6418652</v>
      </c>
      <c r="C4222" s="9"/>
      <c r="D4222" t="str">
        <f>"F40G9.15"</f>
        <v>F40G9.15</v>
      </c>
      <c r="F4222" t="s">
        <v>11</v>
      </c>
      <c r="H4222" s="12">
        <v>2.0870273436007101</v>
      </c>
      <c r="I4222" s="11">
        <v>1.66545727643215</v>
      </c>
      <c r="J4222" s="10">
        <v>9.58215605065314E-2</v>
      </c>
      <c r="K4222" s="29">
        <v>0.71544155675084897</v>
      </c>
    </row>
    <row r="4223" spans="1:11" x14ac:dyDescent="0.35">
      <c r="A4223" s="9" t="str">
        <f>HYPERLINK("http://www.ensembl.org/id/WBGene00019667", "WBGene00019667")</f>
        <v>WBGene00019667</v>
      </c>
      <c r="B4223" s="9" t="str">
        <f>HYPERLINK("http://www.ncbi.nlm.nih.gov/gene/187315", "187315")</f>
        <v>187315</v>
      </c>
      <c r="C4223" s="9"/>
      <c r="D4223" t="str">
        <f>"spe-49"</f>
        <v>spe-49</v>
      </c>
      <c r="F4223" t="s">
        <v>11</v>
      </c>
      <c r="G4223" t="s">
        <v>25</v>
      </c>
      <c r="H4223" s="12">
        <v>2.0869130708990302</v>
      </c>
      <c r="I4223" s="11">
        <v>0.58189414417047602</v>
      </c>
      <c r="J4223" s="10">
        <v>0.560637985095786</v>
      </c>
      <c r="K4223" s="29">
        <v>0.98289565623980701</v>
      </c>
    </row>
    <row r="4224" spans="1:11" x14ac:dyDescent="0.35">
      <c r="A4224" s="9" t="str">
        <f>HYPERLINK("http://www.ensembl.org/id/WBGene00015639", "WBGene00015639")</f>
        <v>WBGene00015639</v>
      </c>
      <c r="B4224" s="9" t="str">
        <f>HYPERLINK("http://www.ncbi.nlm.nih.gov/gene/182451", "182451")</f>
        <v>182451</v>
      </c>
      <c r="C4224" s="9"/>
      <c r="D4224" t="str">
        <f>"C09E7.5"</f>
        <v>C09E7.5</v>
      </c>
      <c r="F4224" t="s">
        <v>11</v>
      </c>
      <c r="H4224" s="12">
        <v>2.0865231571675702</v>
      </c>
      <c r="I4224" s="11">
        <v>0.359519681907297</v>
      </c>
      <c r="J4224" s="10">
        <v>0.71920635666438304</v>
      </c>
      <c r="K4224" s="29">
        <v>0.98289565623980701</v>
      </c>
    </row>
    <row r="4225" spans="1:11" x14ac:dyDescent="0.35">
      <c r="A4225" s="9" t="str">
        <f>HYPERLINK("http://www.ensembl.org/id/WBGene00010345", "WBGene00010345")</f>
        <v>WBGene00010345</v>
      </c>
      <c r="B4225" s="9" t="str">
        <f>HYPERLINK("http://www.ncbi.nlm.nih.gov/gene/181256", "181256")</f>
        <v>181256</v>
      </c>
      <c r="C4225" s="9"/>
      <c r="D4225" t="str">
        <f>"F59F5.7"</f>
        <v>F59F5.7</v>
      </c>
      <c r="F4225" t="s">
        <v>11</v>
      </c>
      <c r="G4225" t="s">
        <v>1788</v>
      </c>
      <c r="H4225" s="12">
        <v>2.0864021673238402</v>
      </c>
      <c r="I4225" s="11">
        <v>1.9722251574519001</v>
      </c>
      <c r="J4225" s="10">
        <v>4.8583908996050501E-2</v>
      </c>
      <c r="K4225" s="29">
        <v>0.51373115780301903</v>
      </c>
    </row>
    <row r="4226" spans="1:11" x14ac:dyDescent="0.35">
      <c r="A4226" s="9" t="str">
        <f>HYPERLINK("http://www.ensembl.org/id/WBGene00021052", "WBGene00021052")</f>
        <v>WBGene00021052</v>
      </c>
      <c r="B4226" s="9" t="str">
        <f>HYPERLINK("http://www.ncbi.nlm.nih.gov/gene/3565945", "3565945")</f>
        <v>3565945</v>
      </c>
      <c r="C4226" s="9"/>
      <c r="D4226" t="str">
        <f>"W06A11.1"</f>
        <v>W06A11.1</v>
      </c>
      <c r="F4226" t="s">
        <v>11</v>
      </c>
      <c r="H4226" s="12">
        <v>2.0862464463527699</v>
      </c>
      <c r="I4226" s="11">
        <v>1.9074667526625699</v>
      </c>
      <c r="J4226" s="10">
        <v>5.6460172422105201E-2</v>
      </c>
      <c r="K4226" s="29">
        <v>0.55903878234555804</v>
      </c>
    </row>
    <row r="4227" spans="1:11" x14ac:dyDescent="0.35">
      <c r="A4227" s="9" t="str">
        <f>HYPERLINK("http://www.ensembl.org/id/WBGene00017613", "WBGene00017613")</f>
        <v>WBGene00017613</v>
      </c>
      <c r="B4227" s="9" t="str">
        <f>HYPERLINK("http://www.ncbi.nlm.nih.gov/gene/179090", "179090")</f>
        <v>179090</v>
      </c>
      <c r="C4227" s="9"/>
      <c r="D4227" t="str">
        <f>"F20A1.1"</f>
        <v>F20A1.1</v>
      </c>
      <c r="F4227" t="s">
        <v>11</v>
      </c>
      <c r="H4227" s="12">
        <v>2.08609171811504</v>
      </c>
      <c r="I4227" s="11">
        <v>3.69098361763076</v>
      </c>
      <c r="J4227" s="10">
        <v>2.23388526518507E-4</v>
      </c>
      <c r="K4227" s="29">
        <v>1.2348361946738299E-2</v>
      </c>
    </row>
    <row r="4228" spans="1:11" x14ac:dyDescent="0.35">
      <c r="A4228" s="9" t="str">
        <f>HYPERLINK("http://www.ensembl.org/id/WBGene00017506", "WBGene00017506")</f>
        <v>WBGene00017506</v>
      </c>
      <c r="B4228" s="9" t="str">
        <f>HYPERLINK("http://www.ncbi.nlm.nih.gov/gene/178648", "178648")</f>
        <v>178648</v>
      </c>
      <c r="C4228" s="9"/>
      <c r="D4228" t="str">
        <f>"F16B4.4"</f>
        <v>F16B4.4</v>
      </c>
      <c r="F4228" t="s">
        <v>11</v>
      </c>
      <c r="H4228" s="12">
        <v>2.0859920230531501</v>
      </c>
      <c r="I4228" s="11">
        <v>3.3871613680911201</v>
      </c>
      <c r="J4228" s="10">
        <v>7.0619837322077699E-4</v>
      </c>
      <c r="K4228" s="29">
        <v>2.9851407456247099E-2</v>
      </c>
    </row>
    <row r="4229" spans="1:11" x14ac:dyDescent="0.35">
      <c r="A4229" s="9" t="str">
        <f>HYPERLINK("http://www.ensembl.org/id/WBGene00011793", "WBGene00011793")</f>
        <v>WBGene00011793</v>
      </c>
      <c r="B4229" s="9" t="str">
        <f>HYPERLINK("http://www.ncbi.nlm.nih.gov/gene/188549", "188549")</f>
        <v>188549</v>
      </c>
      <c r="C4229" s="9"/>
      <c r="D4229" t="str">
        <f>"T16A9.3"</f>
        <v>T16A9.3</v>
      </c>
      <c r="F4229" t="s">
        <v>11</v>
      </c>
      <c r="G4229" t="s">
        <v>54</v>
      </c>
      <c r="H4229" s="12">
        <v>2.0853414950602902</v>
      </c>
      <c r="I4229" s="11">
        <v>1.7692825446409299</v>
      </c>
      <c r="J4229" s="10">
        <v>7.6846734920928195E-2</v>
      </c>
      <c r="K4229" s="29">
        <v>0.65262014553280301</v>
      </c>
    </row>
    <row r="4230" spans="1:11" x14ac:dyDescent="0.35">
      <c r="A4230" s="9" t="str">
        <f>HYPERLINK("http://www.ensembl.org/id/WBGene00019285", "WBGene00019285")</f>
        <v>WBGene00019285</v>
      </c>
      <c r="B4230" s="9" t="str">
        <f>HYPERLINK("http://www.ncbi.nlm.nih.gov/gene/173423", "173423")</f>
        <v>173423</v>
      </c>
      <c r="C4230" s="9"/>
      <c r="D4230" t="str">
        <f>"cbn-1"</f>
        <v>cbn-1</v>
      </c>
      <c r="E4230" t="s">
        <v>1282</v>
      </c>
      <c r="F4230" t="s">
        <v>11</v>
      </c>
      <c r="G4230" t="s">
        <v>325</v>
      </c>
      <c r="H4230" s="12">
        <v>2.0847676586085</v>
      </c>
      <c r="I4230" s="11">
        <v>2.3345960858246402</v>
      </c>
      <c r="J4230" s="10">
        <v>1.9564531228764701E-2</v>
      </c>
      <c r="K4230" s="29">
        <v>0.29526979658513203</v>
      </c>
    </row>
    <row r="4231" spans="1:11" x14ac:dyDescent="0.35">
      <c r="A4231" s="9" t="str">
        <f>HYPERLINK("http://www.ensembl.org/id/WBGene00175031", "WBGene00175031")</f>
        <v>WBGene00175031</v>
      </c>
      <c r="B4231" s="9" t="str">
        <f>HYPERLINK("http://www.ncbi.nlm.nih.gov/gene/13186434", "13186434")</f>
        <v>13186434</v>
      </c>
      <c r="C4231" s="9"/>
      <c r="D4231" t="str">
        <f>"C06C3.12"</f>
        <v>C06C3.12</v>
      </c>
      <c r="F4231" t="s">
        <v>11</v>
      </c>
      <c r="H4231" s="12">
        <v>2.0844226365430698</v>
      </c>
      <c r="I4231" s="11">
        <v>0.75445200798202205</v>
      </c>
      <c r="J4231" s="10">
        <v>0.45057785260023397</v>
      </c>
      <c r="K4231" s="29">
        <v>0.98289565623980701</v>
      </c>
    </row>
    <row r="4232" spans="1:11" x14ac:dyDescent="0.35">
      <c r="A4232" s="9" t="str">
        <f>HYPERLINK("http://www.ensembl.org/id/WBGene00022632", "WBGene00022632")</f>
        <v>WBGene00022632</v>
      </c>
      <c r="B4232" s="9" t="str">
        <f>HYPERLINK("http://www.ncbi.nlm.nih.gov/gene/191200", "191200")</f>
        <v>191200</v>
      </c>
      <c r="C4232" s="9"/>
      <c r="D4232" t="str">
        <f>"ZC581.2"</f>
        <v>ZC581.2</v>
      </c>
      <c r="F4232" t="s">
        <v>11</v>
      </c>
      <c r="G4232" t="s">
        <v>4089</v>
      </c>
      <c r="H4232" s="12">
        <v>2.0843786403074702</v>
      </c>
      <c r="I4232" s="11">
        <v>1.23435631742596</v>
      </c>
      <c r="J4232" s="10">
        <v>0.217070158875173</v>
      </c>
      <c r="K4232" s="29">
        <v>0.97042364854653596</v>
      </c>
    </row>
    <row r="4233" spans="1:11" x14ac:dyDescent="0.35">
      <c r="A4233" s="9" t="str">
        <f>HYPERLINK("http://www.ensembl.org/id/WBGene00021656", "WBGene00021656")</f>
        <v>WBGene00021656</v>
      </c>
      <c r="B4233" s="9" t="str">
        <f>HYPERLINK("http://www.ncbi.nlm.nih.gov/gene/190024", "190024")</f>
        <v>190024</v>
      </c>
      <c r="C4233" s="9"/>
      <c r="D4233" t="str">
        <f>"Y48D7A.1"</f>
        <v>Y48D7A.1</v>
      </c>
      <c r="F4233" t="s">
        <v>11</v>
      </c>
      <c r="H4233" s="12">
        <v>2.0843261232436499</v>
      </c>
      <c r="I4233" s="11">
        <v>0.62615242540990401</v>
      </c>
      <c r="J4233" s="10">
        <v>0.53121496851284999</v>
      </c>
      <c r="K4233" s="29">
        <v>0.98289565623980701</v>
      </c>
    </row>
    <row r="4234" spans="1:11" x14ac:dyDescent="0.35">
      <c r="A4234" s="9" t="str">
        <f>HYPERLINK("http://www.ensembl.org/id/WBGene00002050", "WBGene00002050")</f>
        <v>WBGene00002050</v>
      </c>
      <c r="B4234" s="9" t="str">
        <f>HYPERLINK("http://www.ncbi.nlm.nih.gov/gene/181316", "181316")</f>
        <v>181316</v>
      </c>
      <c r="C4234" s="9" t="str">
        <f>HYPERLINK("http://www.ncbi.nlm.nih.gov/gene/84823", "84823")</f>
        <v>84823</v>
      </c>
      <c r="D4234" t="str">
        <f>"ifa-1"</f>
        <v>ifa-1</v>
      </c>
      <c r="E4234" t="s">
        <v>331</v>
      </c>
      <c r="F4234" t="s">
        <v>11</v>
      </c>
      <c r="H4234" s="12">
        <v>2.0832646695994699</v>
      </c>
      <c r="I4234" s="11">
        <v>3.9306727812983602</v>
      </c>
      <c r="J4234" s="10">
        <v>8.4708493397351E-5</v>
      </c>
      <c r="K4234" s="29">
        <v>5.8252215727356898E-3</v>
      </c>
    </row>
    <row r="4235" spans="1:11" x14ac:dyDescent="0.35">
      <c r="A4235" s="9" t="str">
        <f>HYPERLINK("http://www.ensembl.org/id/WBGene00008803", "WBGene00008803")</f>
        <v>WBGene00008803</v>
      </c>
      <c r="B4235" s="9" t="str">
        <f>HYPERLINK("http://www.ncbi.nlm.nih.gov/gene/174345", "174345")</f>
        <v>174345</v>
      </c>
      <c r="C4235" s="9"/>
      <c r="D4235" t="str">
        <f>"lips-10"</f>
        <v>lips-10</v>
      </c>
      <c r="E4235" t="s">
        <v>430</v>
      </c>
      <c r="F4235" t="s">
        <v>11</v>
      </c>
      <c r="G4235" t="s">
        <v>431</v>
      </c>
      <c r="H4235" s="12">
        <v>2.0832525973906799</v>
      </c>
      <c r="I4235" s="11">
        <v>3.5789290971122898</v>
      </c>
      <c r="J4235" s="10">
        <v>3.4500504481815099E-4</v>
      </c>
      <c r="K4235" s="29">
        <v>1.7520190253995999E-2</v>
      </c>
    </row>
    <row r="4236" spans="1:11" x14ac:dyDescent="0.35">
      <c r="A4236" s="9" t="str">
        <f>HYPERLINK("http://www.ensembl.org/id/WBGene00044170", "WBGene00044170")</f>
        <v>WBGene00044170</v>
      </c>
      <c r="B4236" s="9"/>
      <c r="C4236" s="9"/>
      <c r="D4236" t="str">
        <f>"Y51B9A.10"</f>
        <v>Y51B9A.10</v>
      </c>
      <c r="F4236" t="s">
        <v>80</v>
      </c>
      <c r="H4236" s="12">
        <v>2.0828895937489</v>
      </c>
      <c r="I4236" s="11">
        <v>1.2501437333746499</v>
      </c>
      <c r="J4236" s="10">
        <v>0.21124704651151799</v>
      </c>
      <c r="K4236" s="29">
        <v>0.96281139752747602</v>
      </c>
    </row>
    <row r="4237" spans="1:11" x14ac:dyDescent="0.35">
      <c r="A4237" s="9" t="str">
        <f>HYPERLINK("http://www.ensembl.org/id/WBGene00044295", "WBGene00044295")</f>
        <v>WBGene00044295</v>
      </c>
      <c r="B4237" s="9" t="str">
        <f>HYPERLINK("http://www.ncbi.nlm.nih.gov/gene/3565364", "3565364")</f>
        <v>3565364</v>
      </c>
      <c r="C4237" s="9"/>
      <c r="D4237" t="str">
        <f>"C09E7.10"</f>
        <v>C09E7.10</v>
      </c>
      <c r="F4237" t="s">
        <v>11</v>
      </c>
      <c r="G4237" t="s">
        <v>25</v>
      </c>
      <c r="H4237" s="12">
        <v>2.0826587307122999</v>
      </c>
      <c r="I4237" s="11">
        <v>1.1832556774110901</v>
      </c>
      <c r="J4237" s="10">
        <v>0.23670783292530001</v>
      </c>
      <c r="K4237" s="29">
        <v>0.98289565623980701</v>
      </c>
    </row>
    <row r="4238" spans="1:11" x14ac:dyDescent="0.35">
      <c r="A4238" s="9" t="str">
        <f>HYPERLINK("http://www.ensembl.org/id/WBGene00044029", "WBGene00044029")</f>
        <v>WBGene00044029</v>
      </c>
      <c r="B4238" s="9" t="str">
        <f>HYPERLINK("http://www.ncbi.nlm.nih.gov/gene/3565966", "3565966")</f>
        <v>3565966</v>
      </c>
      <c r="C4238" s="9"/>
      <c r="D4238" t="str">
        <f>"C05D12.7"</f>
        <v>C05D12.7</v>
      </c>
      <c r="F4238" t="s">
        <v>11</v>
      </c>
      <c r="H4238" s="12">
        <v>2.082507968761</v>
      </c>
      <c r="I4238" s="11">
        <v>2.8353886076548802</v>
      </c>
      <c r="J4238" s="10">
        <v>4.5769973390943899E-3</v>
      </c>
      <c r="K4238" s="29">
        <v>0.11385197270396499</v>
      </c>
    </row>
    <row r="4239" spans="1:11" x14ac:dyDescent="0.35">
      <c r="A4239" s="9" t="str">
        <f>HYPERLINK("http://www.ensembl.org/id/WBGene00007073", "WBGene00007073")</f>
        <v>WBGene00007073</v>
      </c>
      <c r="B4239" s="9" t="str">
        <f>HYPERLINK("http://www.ncbi.nlm.nih.gov/gene/179450", "179450")</f>
        <v>179450</v>
      </c>
      <c r="C4239" s="9"/>
      <c r="D4239" t="str">
        <f>"ugt-2"</f>
        <v>ugt-2</v>
      </c>
      <c r="E4239" t="s">
        <v>103</v>
      </c>
      <c r="F4239" t="s">
        <v>11</v>
      </c>
      <c r="G4239" t="s">
        <v>104</v>
      </c>
      <c r="H4239" s="12">
        <v>2.0824309550032201</v>
      </c>
      <c r="I4239" s="11">
        <v>2.5441512725430302</v>
      </c>
      <c r="J4239" s="10">
        <v>1.09543632699805E-2</v>
      </c>
      <c r="K4239" s="29">
        <v>0.20652899704109801</v>
      </c>
    </row>
    <row r="4240" spans="1:11" x14ac:dyDescent="0.35">
      <c r="A4240" s="9" t="str">
        <f>HYPERLINK("http://www.ensembl.org/id/WBGene00194917", "WBGene00194917")</f>
        <v>WBGene00194917</v>
      </c>
      <c r="B4240" s="9" t="str">
        <f>HYPERLINK("http://www.ncbi.nlm.nih.gov/gene/13198981", "13198981")</f>
        <v>13198981</v>
      </c>
      <c r="C4240" s="9"/>
      <c r="D4240" t="str">
        <f>"Y45F10B.59"</f>
        <v>Y45F10B.59</v>
      </c>
      <c r="F4240" t="s">
        <v>11</v>
      </c>
      <c r="H4240" s="12">
        <v>2.0819969497561002</v>
      </c>
      <c r="I4240" s="11">
        <v>0.59646813031716905</v>
      </c>
      <c r="J4240" s="10">
        <v>0.55086253811334795</v>
      </c>
      <c r="K4240" s="29">
        <v>0.98289565623980701</v>
      </c>
    </row>
    <row r="4241" spans="1:11" x14ac:dyDescent="0.35">
      <c r="A4241" s="9" t="str">
        <f>HYPERLINK("http://www.ensembl.org/id/WBGene00022648", "WBGene00022648")</f>
        <v>WBGene00022648</v>
      </c>
      <c r="B4241" s="9" t="str">
        <f>HYPERLINK("http://www.ncbi.nlm.nih.gov/gene/266895", "266895")</f>
        <v>266895</v>
      </c>
      <c r="C4241" s="9"/>
      <c r="D4241" t="str">
        <f>"ZK54.3"</f>
        <v>ZK54.3</v>
      </c>
      <c r="F4241" t="s">
        <v>11</v>
      </c>
      <c r="G4241" t="s">
        <v>25</v>
      </c>
      <c r="H4241" s="12">
        <v>2.08131142546805</v>
      </c>
      <c r="I4241" s="11">
        <v>1.80017213924841</v>
      </c>
      <c r="J4241" s="10">
        <v>7.1833461594728407E-2</v>
      </c>
      <c r="K4241" s="29">
        <v>0.63013817904623903</v>
      </c>
    </row>
    <row r="4242" spans="1:11" x14ac:dyDescent="0.35">
      <c r="A4242" s="9" t="str">
        <f>HYPERLINK("http://www.ensembl.org/id/WBGene00001778", "WBGene00001778")</f>
        <v>WBGene00001778</v>
      </c>
      <c r="B4242" s="9" t="str">
        <f>HYPERLINK("http://www.ncbi.nlm.nih.gov/gene/191347", "191347")</f>
        <v>191347</v>
      </c>
      <c r="C4242" s="9" t="str">
        <f>HYPERLINK("http://www.ncbi.nlm.nih.gov/gene/27306", "27306")</f>
        <v>27306</v>
      </c>
      <c r="D4242" t="str">
        <f>"gst-30"</f>
        <v>gst-30</v>
      </c>
      <c r="E4242" t="s">
        <v>272</v>
      </c>
      <c r="F4242" t="s">
        <v>11</v>
      </c>
      <c r="G4242" t="s">
        <v>876</v>
      </c>
      <c r="H4242" s="12">
        <v>2.0810613120286501</v>
      </c>
      <c r="I4242" s="11">
        <v>2.0520301432539299</v>
      </c>
      <c r="J4242" s="10">
        <v>4.0166733046628399E-2</v>
      </c>
      <c r="K4242" s="29">
        <v>0.46242776969376997</v>
      </c>
    </row>
    <row r="4243" spans="1:11" x14ac:dyDescent="0.35">
      <c r="A4243" s="9" t="str">
        <f>HYPERLINK("http://www.ensembl.org/id/WBGene00011103", "WBGene00011103")</f>
        <v>WBGene00011103</v>
      </c>
      <c r="B4243" s="9" t="str">
        <f>HYPERLINK("http://www.ncbi.nlm.nih.gov/gene/187676", "187676")</f>
        <v>187676</v>
      </c>
      <c r="C4243" s="9"/>
      <c r="D4243" t="str">
        <f>"R07E3.2"</f>
        <v>R07E3.2</v>
      </c>
      <c r="F4243" t="s">
        <v>11</v>
      </c>
      <c r="H4243" s="12">
        <v>2.0792912254046101</v>
      </c>
      <c r="I4243" s="11">
        <v>1.8878861711211099</v>
      </c>
      <c r="J4243" s="10">
        <v>5.90412334362782E-2</v>
      </c>
      <c r="K4243" s="29">
        <v>0.572856500519899</v>
      </c>
    </row>
    <row r="4244" spans="1:11" x14ac:dyDescent="0.35">
      <c r="A4244" s="9" t="str">
        <f>HYPERLINK("http://www.ensembl.org/id/WBGene00007411", "WBGene00007411")</f>
        <v>WBGene00007411</v>
      </c>
      <c r="B4244" s="9" t="str">
        <f>HYPERLINK("http://www.ncbi.nlm.nih.gov/gene/182362", "182362")</f>
        <v>182362</v>
      </c>
      <c r="C4244" s="9"/>
      <c r="D4244" t="str">
        <f>"C07C7.1"</f>
        <v>C07C7.1</v>
      </c>
      <c r="F4244" t="s">
        <v>11</v>
      </c>
      <c r="G4244" t="s">
        <v>25</v>
      </c>
      <c r="H4244" s="12">
        <v>2.0785927332739398</v>
      </c>
      <c r="I4244" s="11">
        <v>1.04352025331423</v>
      </c>
      <c r="J4244" s="10">
        <v>0.29670740559250303</v>
      </c>
      <c r="K4244" s="29">
        <v>0.98289565623980701</v>
      </c>
    </row>
    <row r="4245" spans="1:11" x14ac:dyDescent="0.35">
      <c r="A4245" s="9" t="str">
        <f>HYPERLINK("http://www.ensembl.org/id/WBGene00008520", "WBGene00008520")</f>
        <v>WBGene00008520</v>
      </c>
      <c r="B4245" s="9" t="str">
        <f>HYPERLINK("http://www.ncbi.nlm.nih.gov/gene/184078", "184078")</f>
        <v>184078</v>
      </c>
      <c r="C4245" s="9"/>
      <c r="D4245" t="str">
        <f>"F02D8.1"</f>
        <v>F02D8.1</v>
      </c>
      <c r="F4245" t="s">
        <v>11</v>
      </c>
      <c r="H4245" s="12">
        <v>2.07858236141894</v>
      </c>
      <c r="I4245" s="11">
        <v>0.45550377214716797</v>
      </c>
      <c r="J4245" s="10">
        <v>0.64874685441809699</v>
      </c>
      <c r="K4245" s="29">
        <v>0.98289565623980701</v>
      </c>
    </row>
    <row r="4246" spans="1:11" x14ac:dyDescent="0.35">
      <c r="A4246" s="9" t="str">
        <f>HYPERLINK("http://www.ensembl.org/id/WBGene00235321", "WBGene00235321")</f>
        <v>WBGene00235321</v>
      </c>
      <c r="B4246" s="9" t="str">
        <f>HYPERLINK("http://www.ncbi.nlm.nih.gov/gene/24105227", "24105227")</f>
        <v>24105227</v>
      </c>
      <c r="C4246" s="9"/>
      <c r="D4246" t="str">
        <f>"Y73C8B.9"</f>
        <v>Y73C8B.9</v>
      </c>
      <c r="F4246" t="s">
        <v>11</v>
      </c>
      <c r="H4246" s="12">
        <v>2.07858236141894</v>
      </c>
      <c r="I4246" s="11">
        <v>0.45550377214716797</v>
      </c>
      <c r="J4246" s="10">
        <v>0.64874685441809699</v>
      </c>
      <c r="K4246" s="29">
        <v>0.98289565623980701</v>
      </c>
    </row>
    <row r="4247" spans="1:11" x14ac:dyDescent="0.35">
      <c r="A4247" s="9" t="str">
        <f>HYPERLINK("http://www.ensembl.org/id/WBGene00021100", "WBGene00021100")</f>
        <v>WBGene00021100</v>
      </c>
      <c r="B4247" s="9"/>
      <c r="C4247" s="9"/>
      <c r="D4247" t="str">
        <f>"W08F4.11"</f>
        <v>W08F4.11</v>
      </c>
      <c r="F4247" t="s">
        <v>481</v>
      </c>
      <c r="H4247" s="12">
        <v>2.0782864323862702</v>
      </c>
      <c r="I4247" s="11">
        <v>0.67414108320630295</v>
      </c>
      <c r="J4247" s="10">
        <v>0.50022162245626101</v>
      </c>
      <c r="K4247" s="29">
        <v>0.98289565623980701</v>
      </c>
    </row>
    <row r="4248" spans="1:11" x14ac:dyDescent="0.35">
      <c r="A4248" s="9" t="str">
        <f>HYPERLINK("http://www.ensembl.org/id/WBGene00045061", "WBGene00045061")</f>
        <v>WBGene00045061</v>
      </c>
      <c r="B4248" s="9" t="str">
        <f>HYPERLINK("http://www.ncbi.nlm.nih.gov/gene/13202193", "13202193")</f>
        <v>13202193</v>
      </c>
      <c r="C4248" s="9"/>
      <c r="D4248" t="str">
        <f>"Y57G11B.8"</f>
        <v>Y57G11B.8</v>
      </c>
      <c r="F4248" t="s">
        <v>11</v>
      </c>
      <c r="H4248" s="12">
        <v>2.0782864323862702</v>
      </c>
      <c r="I4248" s="11">
        <v>0.67414108320630295</v>
      </c>
      <c r="J4248" s="10">
        <v>0.50022162245626101</v>
      </c>
      <c r="K4248" s="29">
        <v>0.98289565623980701</v>
      </c>
    </row>
    <row r="4249" spans="1:11" x14ac:dyDescent="0.35">
      <c r="A4249" s="9" t="str">
        <f>HYPERLINK("http://www.ensembl.org/id/WBGene00013642", "WBGene00013642")</f>
        <v>WBGene00013642</v>
      </c>
      <c r="B4249" s="9" t="str">
        <f>HYPERLINK("http://www.ncbi.nlm.nih.gov/gene/178443", "178443")</f>
        <v>178443</v>
      </c>
      <c r="C4249" s="9"/>
      <c r="D4249" t="str">
        <f>"daf-38"</f>
        <v>daf-38</v>
      </c>
      <c r="E4249" t="s">
        <v>1428</v>
      </c>
      <c r="F4249" t="s">
        <v>11</v>
      </c>
      <c r="G4249" t="s">
        <v>1429</v>
      </c>
      <c r="H4249" s="12">
        <v>2.0782643222729398</v>
      </c>
      <c r="I4249" s="11">
        <v>2.2129287848281298</v>
      </c>
      <c r="J4249" s="10">
        <v>2.6902555820039399E-2</v>
      </c>
      <c r="K4249" s="29">
        <v>0.36415375206668399</v>
      </c>
    </row>
    <row r="4250" spans="1:11" x14ac:dyDescent="0.35">
      <c r="A4250" s="9" t="str">
        <f>HYPERLINK("http://www.ensembl.org/id/WBGene00005346", "WBGene00005346")</f>
        <v>WBGene00005346</v>
      </c>
      <c r="B4250" s="9" t="str">
        <f>HYPERLINK("http://www.ncbi.nlm.nih.gov/gene/191883", "191883")</f>
        <v>191883</v>
      </c>
      <c r="C4250" s="9"/>
      <c r="D4250" t="str">
        <f>"srh-129"</f>
        <v>srh-129</v>
      </c>
      <c r="E4250" t="s">
        <v>153</v>
      </c>
      <c r="F4250" t="s">
        <v>11</v>
      </c>
      <c r="G4250" t="s">
        <v>25</v>
      </c>
      <c r="H4250" s="12">
        <v>2.07819602306758</v>
      </c>
      <c r="I4250" s="11">
        <v>0.37684215247052399</v>
      </c>
      <c r="J4250" s="10">
        <v>0.70629091297281099</v>
      </c>
      <c r="K4250" s="29">
        <v>0.98289565623980701</v>
      </c>
    </row>
    <row r="4251" spans="1:11" x14ac:dyDescent="0.35">
      <c r="A4251" s="9" t="str">
        <f>HYPERLINK("http://www.ensembl.org/id/WBGene00219557", "WBGene00219557")</f>
        <v>WBGene00219557</v>
      </c>
      <c r="B4251" s="9"/>
      <c r="C4251" s="9"/>
      <c r="D4251" t="str">
        <f>"anr-14"</f>
        <v>anr-14</v>
      </c>
      <c r="F4251" t="s">
        <v>2735</v>
      </c>
      <c r="H4251" s="12">
        <v>2.0779148994264598</v>
      </c>
      <c r="I4251" s="11">
        <v>0.58115802819533102</v>
      </c>
      <c r="J4251" s="10">
        <v>0.56113395240673003</v>
      </c>
      <c r="K4251" s="29">
        <v>0.98289565623980701</v>
      </c>
    </row>
    <row r="4252" spans="1:11" x14ac:dyDescent="0.35">
      <c r="A4252" s="9" t="str">
        <f>HYPERLINK("http://www.ensembl.org/id/WBGene00021941", "WBGene00021941")</f>
        <v>WBGene00021941</v>
      </c>
      <c r="B4252" s="9" t="str">
        <f>HYPERLINK("http://www.ncbi.nlm.nih.gov/gene/176910", "176910")</f>
        <v>176910</v>
      </c>
      <c r="C4252" s="9"/>
      <c r="D4252" t="str">
        <f>"lgc-33"</f>
        <v>lgc-33</v>
      </c>
      <c r="E4252" t="s">
        <v>505</v>
      </c>
      <c r="F4252" t="s">
        <v>11</v>
      </c>
      <c r="G4252" t="s">
        <v>812</v>
      </c>
      <c r="H4252" s="12">
        <v>2.0776529888227002</v>
      </c>
      <c r="I4252" s="11">
        <v>2.8353512097689202</v>
      </c>
      <c r="J4252" s="10">
        <v>4.5775332226254397E-3</v>
      </c>
      <c r="K4252" s="29">
        <v>0.11385197270396499</v>
      </c>
    </row>
    <row r="4253" spans="1:11" x14ac:dyDescent="0.35">
      <c r="A4253" s="9" t="str">
        <f>HYPERLINK("http://www.ensembl.org/id/WBGene00016327", "WBGene00016327")</f>
        <v>WBGene00016327</v>
      </c>
      <c r="B4253" s="9" t="str">
        <f>HYPERLINK("http://www.ncbi.nlm.nih.gov/gene/183124", "183124")</f>
        <v>183124</v>
      </c>
      <c r="C4253" s="9"/>
      <c r="D4253" t="str">
        <f>"C32E12.1"</f>
        <v>C32E12.1</v>
      </c>
      <c r="F4253" t="s">
        <v>11</v>
      </c>
      <c r="H4253" s="12">
        <v>2.0775669117445799</v>
      </c>
      <c r="I4253" s="11">
        <v>0.80718873078985698</v>
      </c>
      <c r="J4253" s="10">
        <v>0.41955775729907602</v>
      </c>
      <c r="K4253" s="29">
        <v>0.98289565623980701</v>
      </c>
    </row>
    <row r="4254" spans="1:11" x14ac:dyDescent="0.35">
      <c r="A4254" s="9" t="str">
        <f>HYPERLINK("http://www.ensembl.org/id/WBGene00017978", "WBGene00017978")</f>
        <v>WBGene00017978</v>
      </c>
      <c r="B4254" s="9" t="str">
        <f>HYPERLINK("http://www.ncbi.nlm.nih.gov/gene/171830", "171830")</f>
        <v>171830</v>
      </c>
      <c r="C4254" s="9"/>
      <c r="D4254" t="str">
        <f>"msrp-1"</f>
        <v>msrp-1</v>
      </c>
      <c r="E4254" t="s">
        <v>4316</v>
      </c>
      <c r="F4254" t="s">
        <v>11</v>
      </c>
      <c r="H4254" s="12">
        <v>2.0770255633833901</v>
      </c>
      <c r="I4254" s="11">
        <v>0.97472971774082595</v>
      </c>
      <c r="J4254" s="10">
        <v>0.32969434774837802</v>
      </c>
      <c r="K4254" s="29">
        <v>0.98289565623980701</v>
      </c>
    </row>
    <row r="4255" spans="1:11" x14ac:dyDescent="0.35">
      <c r="A4255" s="9" t="str">
        <f>HYPERLINK("http://www.ensembl.org/id/WBGene00018213", "WBGene00018213")</f>
        <v>WBGene00018213</v>
      </c>
      <c r="B4255" s="9" t="str">
        <f>HYPERLINK("http://www.ncbi.nlm.nih.gov/gene/185504", "185504")</f>
        <v>185504</v>
      </c>
      <c r="C4255" s="9"/>
      <c r="D4255" t="str">
        <f>"F39H12.2"</f>
        <v>F39H12.2</v>
      </c>
      <c r="F4255" t="s">
        <v>11</v>
      </c>
      <c r="G4255" t="s">
        <v>54</v>
      </c>
      <c r="H4255" s="12">
        <v>2.0769097908243701</v>
      </c>
      <c r="I4255" s="11">
        <v>1.71532358684624</v>
      </c>
      <c r="J4255" s="10">
        <v>8.6285916437998406E-2</v>
      </c>
      <c r="K4255" s="29">
        <v>0.68778371884369405</v>
      </c>
    </row>
    <row r="4256" spans="1:11" x14ac:dyDescent="0.35">
      <c r="A4256" s="9" t="str">
        <f>HYPERLINK("http://www.ensembl.org/id/WBGene00015149", "WBGene00015149")</f>
        <v>WBGene00015149</v>
      </c>
      <c r="B4256" s="9" t="str">
        <f>HYPERLINK("http://www.ncbi.nlm.nih.gov/gene/175799", "175799")</f>
        <v>175799</v>
      </c>
      <c r="C4256" s="9"/>
      <c r="D4256" t="str">
        <f>"B0336.12"</f>
        <v>B0336.12</v>
      </c>
      <c r="F4256" t="s">
        <v>11</v>
      </c>
      <c r="H4256" s="12">
        <v>2.0759728635007599</v>
      </c>
      <c r="I4256" s="11">
        <v>0.54257484007328505</v>
      </c>
      <c r="J4256" s="10">
        <v>0.58742256588373198</v>
      </c>
      <c r="K4256" s="29">
        <v>0.98289565623980701</v>
      </c>
    </row>
    <row r="4257" spans="1:11" x14ac:dyDescent="0.35">
      <c r="A4257" s="9" t="str">
        <f>HYPERLINK("http://www.ensembl.org/id/WBGene00001185", "WBGene00001185")</f>
        <v>WBGene00001185</v>
      </c>
      <c r="B4257" s="9" t="str">
        <f>HYPERLINK("http://www.ncbi.nlm.nih.gov/gene/180402", "180402")</f>
        <v>180402</v>
      </c>
      <c r="C4257" s="9"/>
      <c r="D4257" t="str">
        <f>"egl-17"</f>
        <v>egl-17</v>
      </c>
      <c r="E4257" t="s">
        <v>3056</v>
      </c>
      <c r="F4257" t="s">
        <v>11</v>
      </c>
      <c r="G4257" t="s">
        <v>3057</v>
      </c>
      <c r="H4257" s="12">
        <v>2.0751789485182801</v>
      </c>
      <c r="I4257" s="11">
        <v>1.4867652295051299</v>
      </c>
      <c r="J4257" s="10">
        <v>0.137076827858468</v>
      </c>
      <c r="K4257" s="29">
        <v>0.82906592033916404</v>
      </c>
    </row>
    <row r="4258" spans="1:11" x14ac:dyDescent="0.35">
      <c r="A4258" s="9" t="str">
        <f>HYPERLINK("http://www.ensembl.org/id/WBGene00014107", "WBGene00014107")</f>
        <v>WBGene00014107</v>
      </c>
      <c r="B4258" s="9" t="str">
        <f>HYPERLINK("http://www.ncbi.nlm.nih.gov/gene/191442", "191442")</f>
        <v>191442</v>
      </c>
      <c r="C4258" s="9"/>
      <c r="D4258" t="str">
        <f>"ZK856.6"</f>
        <v>ZK856.6</v>
      </c>
      <c r="F4258" t="s">
        <v>11</v>
      </c>
      <c r="H4258" s="12">
        <v>2.0751616851719299</v>
      </c>
      <c r="I4258" s="11">
        <v>1.05924679415705</v>
      </c>
      <c r="J4258" s="10">
        <v>0.28948739903505699</v>
      </c>
      <c r="K4258" s="29">
        <v>0.98289565623980701</v>
      </c>
    </row>
    <row r="4259" spans="1:11" x14ac:dyDescent="0.35">
      <c r="A4259" s="9" t="str">
        <f>HYPERLINK("http://www.ensembl.org/id/WBGene00010268", "WBGene00010268")</f>
        <v>WBGene00010268</v>
      </c>
      <c r="B4259" s="9" t="str">
        <f>HYPERLINK("http://www.ncbi.nlm.nih.gov/gene/174936", "174936")</f>
        <v>174936</v>
      </c>
      <c r="C4259" s="9"/>
      <c r="D4259" t="str">
        <f>"arrd-10"</f>
        <v>arrd-10</v>
      </c>
      <c r="E4259" t="s">
        <v>377</v>
      </c>
      <c r="F4259" t="s">
        <v>11</v>
      </c>
      <c r="G4259" t="s">
        <v>378</v>
      </c>
      <c r="H4259" s="12">
        <v>2.07462894580841</v>
      </c>
      <c r="I4259" s="11">
        <v>2.7764264079996002</v>
      </c>
      <c r="J4259" s="10">
        <v>5.4960075540009699E-3</v>
      </c>
      <c r="K4259" s="29">
        <v>0.12990302409460699</v>
      </c>
    </row>
    <row r="4260" spans="1:11" x14ac:dyDescent="0.35">
      <c r="A4260" s="9" t="str">
        <f>HYPERLINK("http://www.ensembl.org/id/WBGene00235314", "WBGene00235314")</f>
        <v>WBGene00235314</v>
      </c>
      <c r="B4260" s="9"/>
      <c r="C4260" s="9"/>
      <c r="D4260" t="str">
        <f>"B0348.9"</f>
        <v>B0348.9</v>
      </c>
      <c r="F4260" t="s">
        <v>481</v>
      </c>
      <c r="H4260" s="12">
        <v>2.07458418616535</v>
      </c>
      <c r="I4260" s="11">
        <v>1.0301113298026301</v>
      </c>
      <c r="J4260" s="10">
        <v>0.302957747299057</v>
      </c>
      <c r="K4260" s="29">
        <v>0.98289565623980701</v>
      </c>
    </row>
    <row r="4261" spans="1:11" x14ac:dyDescent="0.35">
      <c r="A4261" s="9" t="str">
        <f>HYPERLINK("http://www.ensembl.org/id/WBGene00012886", "WBGene00012886")</f>
        <v>WBGene00012886</v>
      </c>
      <c r="B4261" s="9" t="str">
        <f>HYPERLINK("http://www.ncbi.nlm.nih.gov/gene/189925", "189925")</f>
        <v>189925</v>
      </c>
      <c r="C4261" s="9"/>
      <c r="D4261" t="str">
        <f>"Y45F10D.6"</f>
        <v>Y45F10D.6</v>
      </c>
      <c r="F4261" t="s">
        <v>11</v>
      </c>
      <c r="H4261" s="12">
        <v>2.07414877713834</v>
      </c>
      <c r="I4261" s="11">
        <v>1.50212012987584</v>
      </c>
      <c r="J4261" s="10">
        <v>0.133066087037957</v>
      </c>
      <c r="K4261" s="29">
        <v>0.81996367013069704</v>
      </c>
    </row>
    <row r="4262" spans="1:11" x14ac:dyDescent="0.35">
      <c r="A4262" s="9" t="str">
        <f>HYPERLINK("http://www.ensembl.org/id/WBGene00206512", "WBGene00206512")</f>
        <v>WBGene00206512</v>
      </c>
      <c r="B4262" s="9" t="str">
        <f>HYPERLINK("http://www.ncbi.nlm.nih.gov/gene/13188641", "13188641")</f>
        <v>13188641</v>
      </c>
      <c r="C4262" s="9"/>
      <c r="D4262" t="str">
        <f>"Y39A3B.7"</f>
        <v>Y39A3B.7</v>
      </c>
      <c r="F4262" t="s">
        <v>11</v>
      </c>
      <c r="H4262" s="12">
        <v>2.0737660728219098</v>
      </c>
      <c r="I4262" s="11">
        <v>0.48704193760896303</v>
      </c>
      <c r="J4262" s="10">
        <v>0.62622861163896004</v>
      </c>
      <c r="K4262" s="29">
        <v>0.98289565623980701</v>
      </c>
    </row>
    <row r="4263" spans="1:11" x14ac:dyDescent="0.35">
      <c r="A4263" s="9" t="str">
        <f>HYPERLINK("http://www.ensembl.org/id/WBGene00170809", "WBGene00170809")</f>
        <v>WBGene00170809</v>
      </c>
      <c r="B4263" s="9"/>
      <c r="C4263" s="9"/>
      <c r="D4263" t="str">
        <f>"21ur-14330"</f>
        <v>21ur-14330</v>
      </c>
      <c r="F4263" t="s">
        <v>3161</v>
      </c>
      <c r="H4263" s="12">
        <v>2.0732318514413999</v>
      </c>
      <c r="I4263" s="11">
        <v>0.23857934047078599</v>
      </c>
      <c r="J4263" s="10">
        <v>0.81143178648702596</v>
      </c>
      <c r="K4263" s="29">
        <v>0.986237339291679</v>
      </c>
    </row>
    <row r="4264" spans="1:11" x14ac:dyDescent="0.35">
      <c r="A4264" s="9" t="str">
        <f>HYPERLINK("http://www.ensembl.org/id/WBGene00202135", "WBGene00202135")</f>
        <v>WBGene00202135</v>
      </c>
      <c r="B4264" s="9"/>
      <c r="C4264" s="9"/>
      <c r="D4264" t="str">
        <f>"B0563.17"</f>
        <v>B0563.17</v>
      </c>
      <c r="F4264" t="s">
        <v>481</v>
      </c>
      <c r="H4264" s="12">
        <v>2.0732318514413999</v>
      </c>
      <c r="I4264" s="11">
        <v>0.23857934047078599</v>
      </c>
      <c r="J4264" s="10">
        <v>0.81143178648702596</v>
      </c>
      <c r="K4264" s="29">
        <v>0.986237339291679</v>
      </c>
    </row>
    <row r="4265" spans="1:11" x14ac:dyDescent="0.35">
      <c r="A4265" s="9" t="str">
        <f>HYPERLINK("http://www.ensembl.org/id/WBGene00196912", "WBGene00196912")</f>
        <v>WBGene00196912</v>
      </c>
      <c r="B4265" s="9"/>
      <c r="C4265" s="9"/>
      <c r="D4265" t="str">
        <f>"W02A2.11"</f>
        <v>W02A2.11</v>
      </c>
      <c r="F4265" t="s">
        <v>481</v>
      </c>
      <c r="H4265" s="12">
        <v>2.0732318514413999</v>
      </c>
      <c r="I4265" s="11">
        <v>0.23857934047078599</v>
      </c>
      <c r="J4265" s="10">
        <v>0.81143178648702596</v>
      </c>
      <c r="K4265" s="29">
        <v>0.986237339291679</v>
      </c>
    </row>
    <row r="4266" spans="1:11" x14ac:dyDescent="0.35">
      <c r="A4266" s="9" t="str">
        <f>HYPERLINK("http://www.ensembl.org/id/WBGene00195638", "WBGene00195638")</f>
        <v>WBGene00195638</v>
      </c>
      <c r="B4266" s="9"/>
      <c r="C4266" s="9"/>
      <c r="D4266" t="str">
        <f>"W03G11.6"</f>
        <v>W03G11.6</v>
      </c>
      <c r="F4266" t="s">
        <v>481</v>
      </c>
      <c r="H4266" s="12">
        <v>2.0732318514413999</v>
      </c>
      <c r="I4266" s="11">
        <v>0.23857934047078599</v>
      </c>
      <c r="J4266" s="10">
        <v>0.81143178648702596</v>
      </c>
      <c r="K4266" s="29">
        <v>0.986237339291679</v>
      </c>
    </row>
    <row r="4267" spans="1:11" x14ac:dyDescent="0.35">
      <c r="A4267" s="9" t="str">
        <f>HYPERLINK("http://www.ensembl.org/id/WBGene00001460", "WBGene00001460")</f>
        <v>WBGene00001460</v>
      </c>
      <c r="B4267" s="9" t="str">
        <f>HYPERLINK("http://www.ncbi.nlm.nih.gov/gene/178498", "178498")</f>
        <v>178498</v>
      </c>
      <c r="C4267" s="9"/>
      <c r="D4267" t="str">
        <f>"flp-17"</f>
        <v>flp-17</v>
      </c>
      <c r="E4267" t="s">
        <v>401</v>
      </c>
      <c r="F4267" t="s">
        <v>11</v>
      </c>
      <c r="G4267" t="s">
        <v>402</v>
      </c>
      <c r="H4267" s="12">
        <v>2.0716018320864298</v>
      </c>
      <c r="I4267" s="11">
        <v>3.6850626971423899</v>
      </c>
      <c r="J4267" s="10">
        <v>2.2864634841846101E-4</v>
      </c>
      <c r="K4267" s="29">
        <v>1.25788155394214E-2</v>
      </c>
    </row>
    <row r="4268" spans="1:11" x14ac:dyDescent="0.35">
      <c r="A4268" s="9" t="str">
        <f>HYPERLINK("http://www.ensembl.org/id/WBGene00001531", "WBGene00001531")</f>
        <v>WBGene00001531</v>
      </c>
      <c r="B4268" s="9" t="str">
        <f>HYPERLINK("http://www.ncbi.nlm.nih.gov/gene/191642", "191642")</f>
        <v>191642</v>
      </c>
      <c r="C4268" s="9"/>
      <c r="D4268" t="str">
        <f>"gcy-4"</f>
        <v>gcy-4</v>
      </c>
      <c r="E4268" t="s">
        <v>4444</v>
      </c>
      <c r="F4268" t="s">
        <v>11</v>
      </c>
      <c r="G4268" t="s">
        <v>2714</v>
      </c>
      <c r="H4268" s="12">
        <v>2.0715547873546898</v>
      </c>
      <c r="I4268" s="11">
        <v>0.64330347678044197</v>
      </c>
      <c r="J4268" s="10">
        <v>0.52002720073372799</v>
      </c>
      <c r="K4268" s="29">
        <v>0.98289565623980701</v>
      </c>
    </row>
    <row r="4269" spans="1:11" x14ac:dyDescent="0.35">
      <c r="A4269" s="9" t="str">
        <f>HYPERLINK("http://www.ensembl.org/id/WBGene00045142", "WBGene00045142")</f>
        <v>WBGene00045142</v>
      </c>
      <c r="B4269" s="9"/>
      <c r="C4269" s="9"/>
      <c r="D4269" t="str">
        <f>"Y53F4B.48"</f>
        <v>Y53F4B.48</v>
      </c>
      <c r="F4269" t="s">
        <v>2977</v>
      </c>
      <c r="H4269" s="12">
        <v>2.0710977244993098</v>
      </c>
      <c r="I4269" s="11">
        <v>0.40910840865856102</v>
      </c>
      <c r="J4269" s="10">
        <v>0.68246010572411797</v>
      </c>
      <c r="K4269" s="29">
        <v>0.98289565623980701</v>
      </c>
    </row>
    <row r="4270" spans="1:11" x14ac:dyDescent="0.35">
      <c r="A4270" s="9" t="str">
        <f>HYPERLINK("http://www.ensembl.org/id/WBGene00012307", "WBGene00012307")</f>
        <v>WBGene00012307</v>
      </c>
      <c r="B4270" s="9" t="str">
        <f>HYPERLINK("http://www.ncbi.nlm.nih.gov/gene/189253", "189253")</f>
        <v>189253</v>
      </c>
      <c r="C4270" s="9"/>
      <c r="D4270" t="str">
        <f>"W06F12.3"</f>
        <v>W06F12.3</v>
      </c>
      <c r="F4270" t="s">
        <v>11</v>
      </c>
      <c r="G4270" t="s">
        <v>961</v>
      </c>
      <c r="H4270" s="12">
        <v>2.0710933378548</v>
      </c>
      <c r="I4270" s="11">
        <v>1.37412223531916</v>
      </c>
      <c r="J4270" s="10">
        <v>0.16940373753680599</v>
      </c>
      <c r="K4270" s="29">
        <v>0.89131298211834697</v>
      </c>
    </row>
    <row r="4271" spans="1:11" x14ac:dyDescent="0.35">
      <c r="A4271" s="9" t="str">
        <f>HYPERLINK("http://www.ensembl.org/id/WBGene00015651", "WBGene00015651")</f>
        <v>WBGene00015651</v>
      </c>
      <c r="B4271" s="9" t="str">
        <f>HYPERLINK("http://www.ncbi.nlm.nih.gov/gene/182467", "182467")</f>
        <v>182467</v>
      </c>
      <c r="C4271" s="9"/>
      <c r="D4271" t="str">
        <f>"ceh-53"</f>
        <v>ceh-53</v>
      </c>
      <c r="E4271" t="s">
        <v>349</v>
      </c>
      <c r="F4271" t="s">
        <v>11</v>
      </c>
      <c r="G4271" t="s">
        <v>3688</v>
      </c>
      <c r="H4271" s="12">
        <v>2.07091543591577</v>
      </c>
      <c r="I4271" s="11">
        <v>1.3206759688928</v>
      </c>
      <c r="J4271" s="10">
        <v>0.18660943016817599</v>
      </c>
      <c r="K4271" s="29">
        <v>0.92523069211372799</v>
      </c>
    </row>
    <row r="4272" spans="1:11" x14ac:dyDescent="0.35">
      <c r="A4272" s="9" t="str">
        <f>HYPERLINK("http://www.ensembl.org/id/WBGene00012826", "WBGene00012826")</f>
        <v>WBGene00012826</v>
      </c>
      <c r="B4272" s="9" t="str">
        <f>HYPERLINK("http://www.ncbi.nlm.nih.gov/gene/180283", "180283")</f>
        <v>180283</v>
      </c>
      <c r="C4272" s="9"/>
      <c r="D4272" t="str">
        <f>"dyf-19"</f>
        <v>dyf-19</v>
      </c>
      <c r="F4272" t="s">
        <v>11</v>
      </c>
      <c r="G4272" t="s">
        <v>3043</v>
      </c>
      <c r="H4272" s="12">
        <v>2.0705113875272798</v>
      </c>
      <c r="I4272" s="11">
        <v>1.4919527964908099</v>
      </c>
      <c r="J4272" s="10">
        <v>0.135711520360001</v>
      </c>
      <c r="K4272" s="29">
        <v>0.82672037686216004</v>
      </c>
    </row>
    <row r="4273" spans="1:11" x14ac:dyDescent="0.35">
      <c r="A4273" s="9" t="str">
        <f>HYPERLINK("http://www.ensembl.org/id/WBGene00011539", "WBGene00011539")</f>
        <v>WBGene00011539</v>
      </c>
      <c r="B4273" s="9" t="str">
        <f>HYPERLINK("http://www.ncbi.nlm.nih.gov/gene/188184", "188184")</f>
        <v>188184</v>
      </c>
      <c r="C4273" s="9"/>
      <c r="D4273" t="str">
        <f>"fbxa-135"</f>
        <v>fbxa-135</v>
      </c>
      <c r="E4273" t="s">
        <v>467</v>
      </c>
      <c r="F4273" t="s">
        <v>11</v>
      </c>
      <c r="G4273" t="s">
        <v>54</v>
      </c>
      <c r="H4273" s="12">
        <v>2.0700435538625399</v>
      </c>
      <c r="I4273" s="11">
        <v>0.99761484907460196</v>
      </c>
      <c r="J4273" s="10">
        <v>0.31846615781474902</v>
      </c>
      <c r="K4273" s="29">
        <v>0.98289565623980701</v>
      </c>
    </row>
    <row r="4274" spans="1:11" x14ac:dyDescent="0.35">
      <c r="A4274" s="9" t="str">
        <f>HYPERLINK("http://www.ensembl.org/id/WBGene00010745", "WBGene00010745")</f>
        <v>WBGene00010745</v>
      </c>
      <c r="B4274" s="9" t="str">
        <f>HYPERLINK("http://www.ncbi.nlm.nih.gov/gene/187266", "187266")</f>
        <v>187266</v>
      </c>
      <c r="C4274" s="9"/>
      <c r="D4274" t="str">
        <f>"dod-17"</f>
        <v>dod-17</v>
      </c>
      <c r="E4274" t="s">
        <v>24</v>
      </c>
      <c r="F4274" t="s">
        <v>11</v>
      </c>
      <c r="G4274" t="s">
        <v>264</v>
      </c>
      <c r="H4274" s="12">
        <v>2.0695201461609201</v>
      </c>
      <c r="I4274" s="11">
        <v>1.7748867491851099</v>
      </c>
      <c r="J4274" s="10">
        <v>7.5916588647773398E-2</v>
      </c>
      <c r="K4274" s="29">
        <v>0.64847641304822601</v>
      </c>
    </row>
    <row r="4275" spans="1:11" x14ac:dyDescent="0.35">
      <c r="A4275" s="9" t="str">
        <f>HYPERLINK("http://www.ensembl.org/id/WBGene00007257", "WBGene00007257")</f>
        <v>WBGene00007257</v>
      </c>
      <c r="B4275" s="9" t="str">
        <f>HYPERLINK("http://www.ncbi.nlm.nih.gov/gene/182094", "182094")</f>
        <v>182094</v>
      </c>
      <c r="C4275" s="9"/>
      <c r="D4275" t="str">
        <f>"C01H6.8"</f>
        <v>C01H6.8</v>
      </c>
      <c r="F4275" t="s">
        <v>11</v>
      </c>
      <c r="G4275" t="s">
        <v>25</v>
      </c>
      <c r="H4275" s="12">
        <v>2.0688789785028301</v>
      </c>
      <c r="I4275" s="11">
        <v>1.83363478383533</v>
      </c>
      <c r="J4275" s="10">
        <v>6.6708225273110405E-2</v>
      </c>
      <c r="K4275" s="29">
        <v>0.61167657726783997</v>
      </c>
    </row>
    <row r="4276" spans="1:11" x14ac:dyDescent="0.35">
      <c r="A4276" s="9" t="str">
        <f>HYPERLINK("http://www.ensembl.org/id/WBGene00219695", "WBGene00219695")</f>
        <v>WBGene00219695</v>
      </c>
      <c r="B4276" s="9"/>
      <c r="C4276" s="9"/>
      <c r="D4276" t="str">
        <f>"linc-126"</f>
        <v>linc-126</v>
      </c>
      <c r="F4276" t="s">
        <v>1510</v>
      </c>
      <c r="H4276" s="12">
        <v>2.0677203875291599</v>
      </c>
      <c r="I4276" s="11">
        <v>0.44847329556521698</v>
      </c>
      <c r="J4276" s="10">
        <v>0.65381165460608504</v>
      </c>
      <c r="K4276" s="29">
        <v>0.98289565623980701</v>
      </c>
    </row>
    <row r="4277" spans="1:11" x14ac:dyDescent="0.35">
      <c r="A4277" s="9" t="str">
        <f>HYPERLINK("http://www.ensembl.org/id/WBGene00016049", "WBGene00016049")</f>
        <v>WBGene00016049</v>
      </c>
      <c r="B4277" s="9" t="str">
        <f>HYPERLINK("http://www.ncbi.nlm.nih.gov/gene/182838", "182838")</f>
        <v>182838</v>
      </c>
      <c r="C4277" s="9"/>
      <c r="D4277" t="str">
        <f>"srt-28"</f>
        <v>srt-28</v>
      </c>
      <c r="E4277" t="s">
        <v>2845</v>
      </c>
      <c r="F4277" t="s">
        <v>11</v>
      </c>
      <c r="G4277" t="s">
        <v>25</v>
      </c>
      <c r="H4277" s="12">
        <v>2.0673185193811898</v>
      </c>
      <c r="I4277" s="11">
        <v>0.74131945423872403</v>
      </c>
      <c r="J4277" s="10">
        <v>0.45849976874112103</v>
      </c>
      <c r="K4277" s="29">
        <v>0.98289565623980701</v>
      </c>
    </row>
    <row r="4278" spans="1:11" x14ac:dyDescent="0.35">
      <c r="A4278" s="9" t="str">
        <f>HYPERLINK("http://www.ensembl.org/id/WBGene00022782", "WBGene00022782")</f>
        <v>WBGene00022782</v>
      </c>
      <c r="B4278" s="9" t="str">
        <f>HYPERLINK("http://www.ncbi.nlm.nih.gov/gene/191367", "191367")</f>
        <v>191367</v>
      </c>
      <c r="C4278" s="9"/>
      <c r="D4278" t="str">
        <f>"ZK622.4"</f>
        <v>ZK622.4</v>
      </c>
      <c r="F4278" t="s">
        <v>11</v>
      </c>
      <c r="G4278" t="s">
        <v>51</v>
      </c>
      <c r="H4278" s="12">
        <v>2.0668411234450099</v>
      </c>
      <c r="I4278" s="11">
        <v>2.9046865750575401</v>
      </c>
      <c r="J4278" s="10">
        <v>3.6762102610193499E-3</v>
      </c>
      <c r="K4278" s="29">
        <v>9.8885348418059502E-2</v>
      </c>
    </row>
    <row r="4279" spans="1:11" x14ac:dyDescent="0.35">
      <c r="A4279" s="9" t="str">
        <f>HYPERLINK("http://www.ensembl.org/id/WBGene00017576", "WBGene00017576")</f>
        <v>WBGene00017576</v>
      </c>
      <c r="B4279" s="9" t="str">
        <f>HYPERLINK("http://www.ncbi.nlm.nih.gov/gene/184652", "184652")</f>
        <v>184652</v>
      </c>
      <c r="C4279" s="9"/>
      <c r="D4279" t="str">
        <f>"cdh-8"</f>
        <v>cdh-8</v>
      </c>
      <c r="E4279" t="s">
        <v>527</v>
      </c>
      <c r="F4279" t="s">
        <v>11</v>
      </c>
      <c r="G4279" t="s">
        <v>528</v>
      </c>
      <c r="H4279" s="12">
        <v>2.0663609098794899</v>
      </c>
      <c r="I4279" s="11">
        <v>3.2543381593459602</v>
      </c>
      <c r="J4279" s="10">
        <v>1.1365689948953899E-3</v>
      </c>
      <c r="K4279" s="29">
        <v>4.3264519268621099E-2</v>
      </c>
    </row>
    <row r="4280" spans="1:11" x14ac:dyDescent="0.35">
      <c r="A4280" s="9" t="str">
        <f>HYPERLINK("http://www.ensembl.org/id/WBGene00011822", "WBGene00011822")</f>
        <v>WBGene00011822</v>
      </c>
      <c r="B4280" s="9" t="str">
        <f>HYPERLINK("http://www.ncbi.nlm.nih.gov/gene/188575", "188575")</f>
        <v>188575</v>
      </c>
      <c r="C4280" s="9"/>
      <c r="D4280" t="str">
        <f>"T18D3.5"</f>
        <v>T18D3.5</v>
      </c>
      <c r="F4280" t="s">
        <v>11</v>
      </c>
      <c r="G4280" t="s">
        <v>25</v>
      </c>
      <c r="H4280" s="12">
        <v>2.0663487231729198</v>
      </c>
      <c r="I4280" s="11">
        <v>3.0614520955587201</v>
      </c>
      <c r="J4280" s="10">
        <v>2.2026623507095402E-3</v>
      </c>
      <c r="K4280" s="29">
        <v>6.9433446487714295E-2</v>
      </c>
    </row>
    <row r="4281" spans="1:11" x14ac:dyDescent="0.35">
      <c r="A4281" s="9" t="str">
        <f>HYPERLINK("http://www.ensembl.org/id/WBGene00012333", "WBGene00012333")</f>
        <v>WBGene00012333</v>
      </c>
      <c r="B4281" s="9" t="str">
        <f>HYPERLINK("http://www.ncbi.nlm.nih.gov/gene/189282", "189282")</f>
        <v>189282</v>
      </c>
      <c r="C4281" s="9"/>
      <c r="D4281" t="str">
        <f>"sre-43"</f>
        <v>sre-43</v>
      </c>
      <c r="E4281" t="s">
        <v>2638</v>
      </c>
      <c r="F4281" t="s">
        <v>11</v>
      </c>
      <c r="G4281" t="s">
        <v>2639</v>
      </c>
      <c r="H4281" s="12">
        <v>2.0663073627136002</v>
      </c>
      <c r="I4281" s="11">
        <v>0.69828857875843298</v>
      </c>
      <c r="J4281" s="10">
        <v>0.484996740414397</v>
      </c>
      <c r="K4281" s="29">
        <v>0.98289565623980701</v>
      </c>
    </row>
    <row r="4282" spans="1:11" x14ac:dyDescent="0.35">
      <c r="A4282" s="9" t="str">
        <f>HYPERLINK("http://www.ensembl.org/id/WBGene00016658", "WBGene00016658")</f>
        <v>WBGene00016658</v>
      </c>
      <c r="B4282" s="9" t="str">
        <f>HYPERLINK("http://www.ncbi.nlm.nih.gov/gene/180878", "180878")</f>
        <v>180878</v>
      </c>
      <c r="C4282" s="9"/>
      <c r="D4282" t="str">
        <f>"C45B2.1"</f>
        <v>C45B2.1</v>
      </c>
      <c r="F4282" t="s">
        <v>11</v>
      </c>
      <c r="H4282" s="12">
        <v>2.0657197688732598</v>
      </c>
      <c r="I4282" s="11">
        <v>2.5289069342285702</v>
      </c>
      <c r="J4282" s="10">
        <v>1.14418362053699E-2</v>
      </c>
      <c r="K4282" s="29">
        <v>0.21243939725781399</v>
      </c>
    </row>
    <row r="4283" spans="1:11" x14ac:dyDescent="0.35">
      <c r="A4283" s="9" t="str">
        <f>HYPERLINK("http://www.ensembl.org/id/WBGene00009533", "WBGene00009533")</f>
        <v>WBGene00009533</v>
      </c>
      <c r="B4283" s="9" t="str">
        <f>HYPERLINK("http://www.ncbi.nlm.nih.gov/gene/185456", "185456")</f>
        <v>185456</v>
      </c>
      <c r="C4283" s="9"/>
      <c r="D4283" t="str">
        <f>"F38B7.2"</f>
        <v>F38B7.2</v>
      </c>
      <c r="F4283" t="s">
        <v>11</v>
      </c>
      <c r="G4283" t="s">
        <v>25</v>
      </c>
      <c r="H4283" s="12">
        <v>2.06548890297287</v>
      </c>
      <c r="I4283" s="11">
        <v>1.9368349353168299</v>
      </c>
      <c r="J4283" s="10">
        <v>5.2765523960038897E-2</v>
      </c>
      <c r="K4283" s="29">
        <v>0.53994694270179799</v>
      </c>
    </row>
    <row r="4284" spans="1:11" x14ac:dyDescent="0.35">
      <c r="A4284" s="9" t="str">
        <f>HYPERLINK("http://www.ensembl.org/id/WBGene00009755", "WBGene00009755")</f>
        <v>WBGene00009755</v>
      </c>
      <c r="B4284" s="9" t="str">
        <f>HYPERLINK("http://www.ncbi.nlm.nih.gov/gene/185827", "185827")</f>
        <v>185827</v>
      </c>
      <c r="C4284" s="9"/>
      <c r="D4284" t="str">
        <f>"F46A9.2"</f>
        <v>F46A9.2</v>
      </c>
      <c r="F4284" t="s">
        <v>11</v>
      </c>
      <c r="H4284" s="12">
        <v>2.06521255213059</v>
      </c>
      <c r="I4284" s="11">
        <v>0.30872355668081503</v>
      </c>
      <c r="J4284" s="10">
        <v>0.757531822944987</v>
      </c>
      <c r="K4284" s="29">
        <v>0.98289565623980701</v>
      </c>
    </row>
    <row r="4285" spans="1:11" x14ac:dyDescent="0.35">
      <c r="A4285" s="9" t="str">
        <f>HYPERLINK("http://www.ensembl.org/id/WBGene00201936", "WBGene00201936")</f>
        <v>WBGene00201936</v>
      </c>
      <c r="B4285" s="9"/>
      <c r="C4285" s="9"/>
      <c r="D4285" t="str">
        <f>"K10D6.24"</f>
        <v>K10D6.24</v>
      </c>
      <c r="F4285" t="s">
        <v>481</v>
      </c>
      <c r="H4285" s="12">
        <v>2.06521255213059</v>
      </c>
      <c r="I4285" s="11">
        <v>0.30872355668081503</v>
      </c>
      <c r="J4285" s="10">
        <v>0.757531822944987</v>
      </c>
      <c r="K4285" s="29">
        <v>0.98289565623980701</v>
      </c>
    </row>
    <row r="4286" spans="1:11" x14ac:dyDescent="0.35">
      <c r="A4286" s="9" t="str">
        <f>HYPERLINK("http://www.ensembl.org/id/WBGene00005813", "WBGene00005813")</f>
        <v>WBGene00005813</v>
      </c>
      <c r="B4286" s="9" t="str">
        <f>HYPERLINK("http://www.ncbi.nlm.nih.gov/gene/190359", "190359")</f>
        <v>190359</v>
      </c>
      <c r="C4286" s="9"/>
      <c r="D4286" t="str">
        <f>"srw-66"</f>
        <v>srw-66</v>
      </c>
      <c r="E4286" t="s">
        <v>1014</v>
      </c>
      <c r="F4286" t="s">
        <v>11</v>
      </c>
      <c r="G4286" t="s">
        <v>1015</v>
      </c>
      <c r="H4286" s="12">
        <v>2.06521255213059</v>
      </c>
      <c r="I4286" s="11">
        <v>0.30872355668081503</v>
      </c>
      <c r="J4286" s="10">
        <v>0.757531822944987</v>
      </c>
      <c r="K4286" s="29">
        <v>0.98289565623980701</v>
      </c>
    </row>
    <row r="4287" spans="1:11" x14ac:dyDescent="0.35">
      <c r="A4287" s="9" t="str">
        <f>HYPERLINK("http://www.ensembl.org/id/WBGene00007926", "WBGene00007926")</f>
        <v>WBGene00007926</v>
      </c>
      <c r="B4287" s="9" t="str">
        <f>HYPERLINK("http://www.ncbi.nlm.nih.gov/gene/183201", "183201")</f>
        <v>183201</v>
      </c>
      <c r="C4287" s="9"/>
      <c r="D4287" t="str">
        <f>"C34C12.7"</f>
        <v>C34C12.7</v>
      </c>
      <c r="F4287" t="s">
        <v>11</v>
      </c>
      <c r="G4287" t="s">
        <v>25</v>
      </c>
      <c r="H4287" s="12">
        <v>2.0642515651329001</v>
      </c>
      <c r="I4287" s="11">
        <v>2.5735293569578199</v>
      </c>
      <c r="J4287" s="10">
        <v>1.00667106253997E-2</v>
      </c>
      <c r="K4287" s="29">
        <v>0.196288114523617</v>
      </c>
    </row>
    <row r="4288" spans="1:11" x14ac:dyDescent="0.35">
      <c r="A4288" s="9" t="str">
        <f>HYPERLINK("http://www.ensembl.org/id/WBGene00000447", "WBGene00000447")</f>
        <v>WBGene00000447</v>
      </c>
      <c r="B4288" s="9" t="str">
        <f>HYPERLINK("http://www.ncbi.nlm.nih.gov/gene/179877", "179877")</f>
        <v>179877</v>
      </c>
      <c r="C4288" s="9"/>
      <c r="D4288" t="str">
        <f>"ceh-24"</f>
        <v>ceh-24</v>
      </c>
      <c r="E4288" t="s">
        <v>1546</v>
      </c>
      <c r="F4288" t="s">
        <v>11</v>
      </c>
      <c r="G4288" t="s">
        <v>1012</v>
      </c>
      <c r="H4288" s="12">
        <v>2.0640850841654199</v>
      </c>
      <c r="I4288" s="11">
        <v>2.1143087675996499</v>
      </c>
      <c r="J4288" s="10">
        <v>3.44889040119832E-2</v>
      </c>
      <c r="K4288" s="29">
        <v>0.42343284596221198</v>
      </c>
    </row>
    <row r="4289" spans="1:11" x14ac:dyDescent="0.35">
      <c r="A4289" s="9" t="str">
        <f>HYPERLINK("http://www.ensembl.org/id/WBGene00009513", "WBGene00009513")</f>
        <v>WBGene00009513</v>
      </c>
      <c r="B4289" s="9" t="str">
        <f>HYPERLINK("http://www.ncbi.nlm.nih.gov/gene/174708", "174708")</f>
        <v>174708</v>
      </c>
      <c r="C4289" s="9" t="str">
        <f>HYPERLINK("http://www.ncbi.nlm.nih.gov/gene/81855", "81855")</f>
        <v>81855</v>
      </c>
      <c r="D4289" t="str">
        <f>"sfxn-1.2"</f>
        <v>sfxn-1.2</v>
      </c>
      <c r="E4289" t="s">
        <v>4425</v>
      </c>
      <c r="F4289" t="s">
        <v>11</v>
      </c>
      <c r="G4289" t="s">
        <v>4426</v>
      </c>
      <c r="H4289" s="12">
        <v>2.06394737556329</v>
      </c>
      <c r="I4289" s="11">
        <v>0.55330070917446195</v>
      </c>
      <c r="J4289" s="10">
        <v>0.58005751552690199</v>
      </c>
      <c r="K4289" s="29">
        <v>0.98289565623980701</v>
      </c>
    </row>
    <row r="4290" spans="1:11" x14ac:dyDescent="0.35">
      <c r="A4290" s="9" t="str">
        <f>HYPERLINK("http://www.ensembl.org/id/WBGene00003550", "WBGene00003550")</f>
        <v>WBGene00003550</v>
      </c>
      <c r="B4290" s="9" t="str">
        <f>HYPERLINK("http://www.ncbi.nlm.nih.gov/gene/178595", "178595")</f>
        <v>178595</v>
      </c>
      <c r="C4290" s="9"/>
      <c r="D4290" t="str">
        <f>"nas-32"</f>
        <v>nas-32</v>
      </c>
      <c r="E4290" t="s">
        <v>836</v>
      </c>
      <c r="F4290" t="s">
        <v>11</v>
      </c>
      <c r="G4290" t="s">
        <v>267</v>
      </c>
      <c r="H4290" s="12">
        <v>2.06349622414871</v>
      </c>
      <c r="I4290" s="11">
        <v>2.7890991760069102</v>
      </c>
      <c r="J4290" s="10">
        <v>5.2854876690639103E-3</v>
      </c>
      <c r="K4290" s="29">
        <v>0.12592384259344</v>
      </c>
    </row>
    <row r="4291" spans="1:11" x14ac:dyDescent="0.35">
      <c r="A4291" s="9" t="str">
        <f>HYPERLINK("http://www.ensembl.org/id/WBGene00010741", "WBGene00010741")</f>
        <v>WBGene00010741</v>
      </c>
      <c r="B4291" s="9" t="str">
        <f>HYPERLINK("http://www.ncbi.nlm.nih.gov/gene/179547", "179547")</f>
        <v>179547</v>
      </c>
      <c r="C4291" s="9"/>
      <c r="D4291" t="str">
        <f>"lgc-49"</f>
        <v>lgc-49</v>
      </c>
      <c r="E4291" t="s">
        <v>505</v>
      </c>
      <c r="F4291" t="s">
        <v>11</v>
      </c>
      <c r="G4291" t="s">
        <v>506</v>
      </c>
      <c r="H4291" s="12">
        <v>2.06265088511929</v>
      </c>
      <c r="I4291" s="11">
        <v>1.95551534581764</v>
      </c>
      <c r="J4291" s="10">
        <v>5.0522273871429803E-2</v>
      </c>
      <c r="K4291" s="29">
        <v>0.52631343504074002</v>
      </c>
    </row>
    <row r="4292" spans="1:11" x14ac:dyDescent="0.35">
      <c r="A4292" s="9" t="str">
        <f>HYPERLINK("http://www.ensembl.org/id/WBGene00007104", "WBGene00007104")</f>
        <v>WBGene00007104</v>
      </c>
      <c r="B4292" s="9" t="str">
        <f>HYPERLINK("http://www.ncbi.nlm.nih.gov/gene/266924", "266924")</f>
        <v>266924</v>
      </c>
      <c r="C4292" s="9"/>
      <c r="D4292" t="str">
        <f>"B0024.15"</f>
        <v>B0024.15</v>
      </c>
      <c r="E4292" t="s">
        <v>3368</v>
      </c>
      <c r="F4292" t="s">
        <v>11</v>
      </c>
      <c r="G4292" t="s">
        <v>4445</v>
      </c>
      <c r="H4292" s="12">
        <v>2.0614023253199099</v>
      </c>
      <c r="I4292" s="11">
        <v>1.1233196469453199</v>
      </c>
      <c r="J4292" s="10">
        <v>0.26130176253375698</v>
      </c>
      <c r="K4292" s="29">
        <v>0.98289565623980701</v>
      </c>
    </row>
    <row r="4293" spans="1:11" x14ac:dyDescent="0.35">
      <c r="A4293" s="9" t="str">
        <f>HYPERLINK("http://www.ensembl.org/id/WBGene00044521", "WBGene00044521")</f>
        <v>WBGene00044521</v>
      </c>
      <c r="B4293" s="9" t="str">
        <f>HYPERLINK("http://www.ncbi.nlm.nih.gov/gene/3896863", "3896863")</f>
        <v>3896863</v>
      </c>
      <c r="C4293" s="9"/>
      <c r="D4293" t="str">
        <f>"Y5H2A.4"</f>
        <v>Y5H2A.4</v>
      </c>
      <c r="F4293" t="s">
        <v>11</v>
      </c>
      <c r="H4293" s="12">
        <v>2.0612659745432098</v>
      </c>
      <c r="I4293" s="11">
        <v>0.51361035520610399</v>
      </c>
      <c r="J4293" s="10">
        <v>0.607524438266691</v>
      </c>
      <c r="K4293" s="29">
        <v>0.98289565623980701</v>
      </c>
    </row>
    <row r="4294" spans="1:11" x14ac:dyDescent="0.35">
      <c r="A4294" s="9" t="str">
        <f>HYPERLINK("http://www.ensembl.org/id/WBGene00022561", "WBGene00022561")</f>
        <v>WBGene00022561</v>
      </c>
      <c r="B4294" s="9" t="str">
        <f>HYPERLINK("http://www.ncbi.nlm.nih.gov/gene/191115", "191115")</f>
        <v>191115</v>
      </c>
      <c r="C4294" s="9"/>
      <c r="D4294" t="str">
        <f>"btb-13"</f>
        <v>btb-13</v>
      </c>
      <c r="E4294" t="s">
        <v>468</v>
      </c>
      <c r="F4294" t="s">
        <v>11</v>
      </c>
      <c r="G4294" t="s">
        <v>54</v>
      </c>
      <c r="H4294" s="12">
        <v>2.0604089089462398</v>
      </c>
      <c r="I4294" s="11">
        <v>0.88249594914743001</v>
      </c>
      <c r="J4294" s="10">
        <v>0.37750866939741501</v>
      </c>
      <c r="K4294" s="29">
        <v>0.98289565623980701</v>
      </c>
    </row>
    <row r="4295" spans="1:11" x14ac:dyDescent="0.35">
      <c r="A4295" s="9" t="str">
        <f>HYPERLINK("http://www.ensembl.org/id/WBGene00017139", "WBGene00017139")</f>
        <v>WBGene00017139</v>
      </c>
      <c r="B4295" s="9" t="str">
        <f>HYPERLINK("http://www.ncbi.nlm.nih.gov/gene/184044", "184044")</f>
        <v>184044</v>
      </c>
      <c r="C4295" s="9"/>
      <c r="D4295" t="str">
        <f>"clec-141"</f>
        <v>clec-141</v>
      </c>
      <c r="E4295" t="s">
        <v>4446</v>
      </c>
      <c r="F4295" t="s">
        <v>11</v>
      </c>
      <c r="H4295" s="12">
        <v>2.0603217049889402</v>
      </c>
      <c r="I4295" s="11">
        <v>0.47614147999596801</v>
      </c>
      <c r="J4295" s="10">
        <v>0.63397358728184305</v>
      </c>
      <c r="K4295" s="29">
        <v>0.98289565623980701</v>
      </c>
    </row>
    <row r="4296" spans="1:11" x14ac:dyDescent="0.35">
      <c r="A4296" s="9" t="str">
        <f>HYPERLINK("http://www.ensembl.org/id/WBGene00008656", "WBGene00008656")</f>
        <v>WBGene00008656</v>
      </c>
      <c r="B4296" s="9" t="str">
        <f>HYPERLINK("http://www.ncbi.nlm.nih.gov/gene/184307", "184307")</f>
        <v>184307</v>
      </c>
      <c r="C4296" s="9"/>
      <c r="D4296" t="str">
        <f>"lron-5"</f>
        <v>lron-5</v>
      </c>
      <c r="E4296" t="s">
        <v>814</v>
      </c>
      <c r="F4296" t="s">
        <v>11</v>
      </c>
      <c r="G4296" t="s">
        <v>417</v>
      </c>
      <c r="H4296" s="12">
        <v>2.0602208253698602</v>
      </c>
      <c r="I4296" s="11">
        <v>2.83369088145658</v>
      </c>
      <c r="J4296" s="10">
        <v>4.6013818178856402E-3</v>
      </c>
      <c r="K4296" s="29">
        <v>0.114322073423726</v>
      </c>
    </row>
    <row r="4297" spans="1:11" x14ac:dyDescent="0.35">
      <c r="A4297" s="9" t="str">
        <f>HYPERLINK("http://www.ensembl.org/id/WBGene00001129", "WBGene00001129")</f>
        <v>WBGene00001129</v>
      </c>
      <c r="B4297" s="9" t="str">
        <f>HYPERLINK("http://www.ncbi.nlm.nih.gov/gene/182970", "182970")</f>
        <v>182970</v>
      </c>
      <c r="C4297" s="9" t="str">
        <f>HYPERLINK("http://www.ncbi.nlm.nih.gov/gene/79989", "79989")</f>
        <v>79989</v>
      </c>
      <c r="D4297" t="str">
        <f>"dyf-13"</f>
        <v>dyf-13</v>
      </c>
      <c r="E4297" t="s">
        <v>3795</v>
      </c>
      <c r="F4297" t="s">
        <v>11</v>
      </c>
      <c r="G4297" t="s">
        <v>54</v>
      </c>
      <c r="H4297" s="12">
        <v>2.0600254284094301</v>
      </c>
      <c r="I4297" s="11">
        <v>1.2966287509461301</v>
      </c>
      <c r="J4297" s="10">
        <v>0.19475895504246499</v>
      </c>
      <c r="K4297" s="29">
        <v>0.93713044881532803</v>
      </c>
    </row>
    <row r="4298" spans="1:11" x14ac:dyDescent="0.35">
      <c r="A4298" s="9" t="str">
        <f>HYPERLINK("http://www.ensembl.org/id/WBGene00016362", "WBGene00016362")</f>
        <v>WBGene00016362</v>
      </c>
      <c r="B4298" s="9" t="str">
        <f>HYPERLINK("http://www.ncbi.nlm.nih.gov/gene/183176", "183176")</f>
        <v>183176</v>
      </c>
      <c r="C4298" s="9"/>
      <c r="D4298" t="str">
        <f>"C33G8.4"</f>
        <v>C33G8.4</v>
      </c>
      <c r="F4298" t="s">
        <v>11</v>
      </c>
      <c r="H4298" s="12">
        <v>2.0594876240491402</v>
      </c>
      <c r="I4298" s="11">
        <v>3.5399801751662099</v>
      </c>
      <c r="J4298" s="10">
        <v>4.0015709018151102E-4</v>
      </c>
      <c r="K4298" s="29">
        <v>1.9506391826442999E-2</v>
      </c>
    </row>
    <row r="4299" spans="1:11" x14ac:dyDescent="0.35">
      <c r="A4299" s="9" t="str">
        <f>HYPERLINK("http://www.ensembl.org/id/WBGene00005149", "WBGene00005149")</f>
        <v>WBGene00005149</v>
      </c>
      <c r="B4299" s="9" t="str">
        <f>HYPERLINK("http://www.ncbi.nlm.nih.gov/gene/191827", "191827")</f>
        <v>191827</v>
      </c>
      <c r="C4299" s="9"/>
      <c r="D4299" t="str">
        <f>"sre-1"</f>
        <v>sre-1</v>
      </c>
      <c r="E4299" t="s">
        <v>4447</v>
      </c>
      <c r="F4299" t="s">
        <v>11</v>
      </c>
      <c r="G4299" t="s">
        <v>2639</v>
      </c>
      <c r="H4299" s="12">
        <v>2.0588912881881698</v>
      </c>
      <c r="I4299" s="11">
        <v>0.38275083404828503</v>
      </c>
      <c r="J4299" s="10">
        <v>0.70190451914671703</v>
      </c>
      <c r="K4299" s="29">
        <v>0.98289565623980701</v>
      </c>
    </row>
    <row r="4300" spans="1:11" x14ac:dyDescent="0.35">
      <c r="A4300" s="9" t="str">
        <f>HYPERLINK("http://www.ensembl.org/id/WBGene00020487", "WBGene00020487")</f>
        <v>WBGene00020487</v>
      </c>
      <c r="B4300" s="9" t="str">
        <f>HYPERLINK("http://www.ncbi.nlm.nih.gov/gene/180888", "180888")</f>
        <v>180888</v>
      </c>
      <c r="C4300" s="9"/>
      <c r="D4300" t="str">
        <f>"T13C5.7"</f>
        <v>T13C5.7</v>
      </c>
      <c r="F4300" t="s">
        <v>11</v>
      </c>
      <c r="H4300" s="12">
        <v>2.0588150681341602</v>
      </c>
      <c r="I4300" s="11">
        <v>0.68512277423962997</v>
      </c>
      <c r="J4300" s="10">
        <v>0.49326645015544701</v>
      </c>
      <c r="K4300" s="29">
        <v>0.98289565623980701</v>
      </c>
    </row>
    <row r="4301" spans="1:11" x14ac:dyDescent="0.35">
      <c r="A4301" s="9" t="str">
        <f>HYPERLINK("http://www.ensembl.org/id/WBGene00008866", "WBGene00008866")</f>
        <v>WBGene00008866</v>
      </c>
      <c r="B4301" s="9" t="str">
        <f>HYPERLINK("http://www.ncbi.nlm.nih.gov/gene/184545", "184545")</f>
        <v>184545</v>
      </c>
      <c r="C4301" s="9"/>
      <c r="D4301" t="str">
        <f>"F15G9.2"</f>
        <v>F15G9.2</v>
      </c>
      <c r="F4301" t="s">
        <v>11</v>
      </c>
      <c r="H4301" s="12">
        <v>2.0581239675135099</v>
      </c>
      <c r="I4301" s="11">
        <v>0.60991992146483898</v>
      </c>
      <c r="J4301" s="10">
        <v>0.54191485523440497</v>
      </c>
      <c r="K4301" s="29">
        <v>0.98289565623980701</v>
      </c>
    </row>
    <row r="4302" spans="1:11" x14ac:dyDescent="0.35">
      <c r="A4302" s="9" t="str">
        <f>HYPERLINK("http://www.ensembl.org/id/WBGene00018742", "WBGene00018742")</f>
        <v>WBGene00018742</v>
      </c>
      <c r="B4302" s="9" t="str">
        <f>HYPERLINK("http://www.ncbi.nlm.nih.gov/gene/180577", "180577")</f>
        <v>180577</v>
      </c>
      <c r="C4302" s="9"/>
      <c r="D4302" t="str">
        <f>"F53B3.3"</f>
        <v>F53B3.3</v>
      </c>
      <c r="F4302" t="s">
        <v>11</v>
      </c>
      <c r="G4302" t="s">
        <v>54</v>
      </c>
      <c r="H4302" s="12">
        <v>2.05713032197401</v>
      </c>
      <c r="I4302" s="11">
        <v>1.74847550451943</v>
      </c>
      <c r="J4302" s="10">
        <v>8.03817236059617E-2</v>
      </c>
      <c r="K4302" s="29">
        <v>0.66809356317962298</v>
      </c>
    </row>
    <row r="4303" spans="1:11" x14ac:dyDescent="0.35">
      <c r="A4303" s="9" t="str">
        <f>HYPERLINK("http://www.ensembl.org/id/WBGene00077692", "WBGene00077692")</f>
        <v>WBGene00077692</v>
      </c>
      <c r="B4303" s="9" t="str">
        <f>HYPERLINK("http://www.ncbi.nlm.nih.gov/gene/6418690", "6418690")</f>
        <v>6418690</v>
      </c>
      <c r="C4303" s="9"/>
      <c r="D4303" t="str">
        <f>"C08E8.10"</f>
        <v>C08E8.10</v>
      </c>
      <c r="F4303" t="s">
        <v>11</v>
      </c>
      <c r="H4303" s="12">
        <v>2.05678530663381</v>
      </c>
      <c r="I4303" s="11">
        <v>1.3332873022221301</v>
      </c>
      <c r="J4303" s="10">
        <v>0.182437539047064</v>
      </c>
      <c r="K4303" s="29">
        <v>0.91999165805793803</v>
      </c>
    </row>
    <row r="4304" spans="1:11" x14ac:dyDescent="0.35">
      <c r="A4304" s="9" t="str">
        <f>HYPERLINK("http://www.ensembl.org/id/WBGene00010421", "WBGene00010421")</f>
        <v>WBGene00010421</v>
      </c>
      <c r="B4304" s="9" t="str">
        <f>HYPERLINK("http://www.ncbi.nlm.nih.gov/gene/186798", "186798")</f>
        <v>186798</v>
      </c>
      <c r="C4304" s="9"/>
      <c r="D4304" t="str">
        <f>"slc-36.4"</f>
        <v>slc-36.4</v>
      </c>
      <c r="E4304" t="s">
        <v>584</v>
      </c>
      <c r="F4304" t="s">
        <v>11</v>
      </c>
      <c r="G4304" t="s">
        <v>585</v>
      </c>
      <c r="H4304" s="12">
        <v>2.0559829861141998</v>
      </c>
      <c r="I4304" s="11">
        <v>3.1430539260291299</v>
      </c>
      <c r="J4304" s="10">
        <v>1.6719503482058599E-3</v>
      </c>
      <c r="K4304" s="29">
        <v>5.7843413376821799E-2</v>
      </c>
    </row>
    <row r="4305" spans="1:11" x14ac:dyDescent="0.35">
      <c r="A4305" s="9" t="str">
        <f>HYPERLINK("http://www.ensembl.org/id/WBGene00018624", "WBGene00018624")</f>
        <v>WBGene00018624</v>
      </c>
      <c r="B4305" s="9" t="str">
        <f>HYPERLINK("http://www.ncbi.nlm.nih.gov/gene/186001", "186001")</f>
        <v>186001</v>
      </c>
      <c r="C4305" s="9"/>
      <c r="D4305" t="str">
        <f>"F48G7.13"</f>
        <v>F48G7.13</v>
      </c>
      <c r="F4305" t="s">
        <v>11</v>
      </c>
      <c r="G4305" t="s">
        <v>54</v>
      </c>
      <c r="H4305" s="12">
        <v>2.0559248500407001</v>
      </c>
      <c r="I4305" s="11">
        <v>0.89901241634616702</v>
      </c>
      <c r="J4305" s="10">
        <v>0.36864604713068999</v>
      </c>
      <c r="K4305" s="29">
        <v>0.98289565623980701</v>
      </c>
    </row>
    <row r="4306" spans="1:11" x14ac:dyDescent="0.35">
      <c r="A4306" s="9" t="str">
        <f>HYPERLINK("http://www.ensembl.org/id/WBGene00008739", "WBGene00008739")</f>
        <v>WBGene00008739</v>
      </c>
      <c r="B4306" s="9" t="str">
        <f>HYPERLINK("http://www.ncbi.nlm.nih.gov/gene/174797", "174797")</f>
        <v>174797</v>
      </c>
      <c r="C4306" s="9"/>
      <c r="D4306" t="str">
        <f>"F13D12.3"</f>
        <v>F13D12.3</v>
      </c>
      <c r="F4306" t="s">
        <v>11</v>
      </c>
      <c r="H4306" s="12">
        <v>2.0553016067025398</v>
      </c>
      <c r="I4306" s="11">
        <v>3.81234850756179</v>
      </c>
      <c r="J4306" s="10">
        <v>1.3765259915990801E-4</v>
      </c>
      <c r="K4306" s="29">
        <v>8.4142882438858098E-3</v>
      </c>
    </row>
    <row r="4307" spans="1:11" x14ac:dyDescent="0.35">
      <c r="A4307" s="9" t="str">
        <f>HYPERLINK("http://www.ensembl.org/id/WBGene00016199", "WBGene00016199")</f>
        <v>WBGene00016199</v>
      </c>
      <c r="B4307" s="9" t="str">
        <f>HYPERLINK("http://www.ncbi.nlm.nih.gov/gene/182998", "182998")</f>
        <v>182998</v>
      </c>
      <c r="C4307" s="9"/>
      <c r="D4307" t="str">
        <f>"C28H8.8"</f>
        <v>C28H8.8</v>
      </c>
      <c r="F4307" t="s">
        <v>11</v>
      </c>
      <c r="H4307" s="12">
        <v>2.0551447925252502</v>
      </c>
      <c r="I4307" s="11">
        <v>0.98845275055722004</v>
      </c>
      <c r="J4307" s="10">
        <v>0.32293096389910603</v>
      </c>
      <c r="K4307" s="29">
        <v>0.98289565623980701</v>
      </c>
    </row>
    <row r="4308" spans="1:11" x14ac:dyDescent="0.35">
      <c r="A4308" s="9" t="str">
        <f>HYPERLINK("http://www.ensembl.org/id/WBGene00015790", "WBGene00015790")</f>
        <v>WBGene00015790</v>
      </c>
      <c r="B4308" s="9" t="str">
        <f>HYPERLINK("http://www.ncbi.nlm.nih.gov/gene/182633", "182633")</f>
        <v>182633</v>
      </c>
      <c r="C4308" s="9"/>
      <c r="D4308" t="str">
        <f>"C15C7.4"</f>
        <v>C15C7.4</v>
      </c>
      <c r="F4308" t="s">
        <v>11</v>
      </c>
      <c r="H4308" s="12">
        <v>2.0550471307924001</v>
      </c>
      <c r="I4308" s="11">
        <v>2.9263934508098601</v>
      </c>
      <c r="J4308" s="10">
        <v>3.4291694737050198E-3</v>
      </c>
      <c r="K4308" s="29">
        <v>9.3990972549736901E-2</v>
      </c>
    </row>
    <row r="4309" spans="1:11" x14ac:dyDescent="0.35">
      <c r="A4309" s="9" t="str">
        <f>HYPERLINK("http://www.ensembl.org/id/WBGene00010566", "WBGene00010566")</f>
        <v>WBGene00010566</v>
      </c>
      <c r="B4309" s="9" t="str">
        <f>HYPERLINK("http://www.ncbi.nlm.nih.gov/gene/187007", "187007")</f>
        <v>187007</v>
      </c>
      <c r="C4309" s="9"/>
      <c r="D4309" t="str">
        <f>"K04G2.7"</f>
        <v>K04G2.7</v>
      </c>
      <c r="F4309" t="s">
        <v>11</v>
      </c>
      <c r="H4309" s="12">
        <v>2.0548598083826599</v>
      </c>
      <c r="I4309" s="11">
        <v>1.54770569105279</v>
      </c>
      <c r="J4309" s="10">
        <v>0.12169317127971301</v>
      </c>
      <c r="K4309" s="29">
        <v>0.79296176412550501</v>
      </c>
    </row>
    <row r="4310" spans="1:11" x14ac:dyDescent="0.35">
      <c r="A4310" s="9" t="str">
        <f>HYPERLINK("http://www.ensembl.org/id/WBGene00007540", "WBGene00007540")</f>
        <v>WBGene00007540</v>
      </c>
      <c r="B4310" s="9" t="str">
        <f>HYPERLINK("http://www.ncbi.nlm.nih.gov/gene/3565167", "3565167")</f>
        <v>3565167</v>
      </c>
      <c r="C4310" s="9"/>
      <c r="D4310" t="str">
        <f>"C12D8.13"</f>
        <v>C12D8.13</v>
      </c>
      <c r="F4310" t="s">
        <v>11</v>
      </c>
      <c r="G4310" t="s">
        <v>25</v>
      </c>
      <c r="H4310" s="12">
        <v>2.0539558938363598</v>
      </c>
      <c r="I4310" s="11">
        <v>0.89906980048621998</v>
      </c>
      <c r="J4310" s="10">
        <v>0.36861548263237998</v>
      </c>
      <c r="K4310" s="29">
        <v>0.98289565623980701</v>
      </c>
    </row>
    <row r="4311" spans="1:11" x14ac:dyDescent="0.35">
      <c r="A4311" s="9" t="str">
        <f>HYPERLINK("http://www.ensembl.org/id/WBGene00009827", "WBGene00009827")</f>
        <v>WBGene00009827</v>
      </c>
      <c r="B4311" s="9" t="str">
        <f>HYPERLINK("http://www.ncbi.nlm.nih.gov/gene/185946", "185946")</f>
        <v>185946</v>
      </c>
      <c r="C4311" s="9"/>
      <c r="D4311" t="str">
        <f>"hmg-6"</f>
        <v>hmg-6</v>
      </c>
      <c r="E4311" t="s">
        <v>2841</v>
      </c>
      <c r="F4311" t="s">
        <v>11</v>
      </c>
      <c r="H4311" s="12">
        <v>2.0533170137605898</v>
      </c>
      <c r="I4311" s="11">
        <v>1.09518522657444</v>
      </c>
      <c r="J4311" s="10">
        <v>0.273435496605413</v>
      </c>
      <c r="K4311" s="29">
        <v>0.98289565623980701</v>
      </c>
    </row>
    <row r="4312" spans="1:11" x14ac:dyDescent="0.35">
      <c r="A4312" s="9" t="str">
        <f>HYPERLINK("http://www.ensembl.org/id/WBGene00015435", "WBGene00015435")</f>
        <v>WBGene00015435</v>
      </c>
      <c r="B4312" s="9" t="str">
        <f>HYPERLINK("http://www.ncbi.nlm.nih.gov/gene/182210", "182210")</f>
        <v>182210</v>
      </c>
      <c r="C4312" s="9"/>
      <c r="D4312" t="str">
        <f>"C04E12.5"</f>
        <v>C04E12.5</v>
      </c>
      <c r="F4312" t="s">
        <v>11</v>
      </c>
      <c r="G4312" t="s">
        <v>3520</v>
      </c>
      <c r="H4312" s="12">
        <v>2.0529187811382901</v>
      </c>
      <c r="I4312" s="11">
        <v>0.46644764213112899</v>
      </c>
      <c r="J4312" s="10">
        <v>0.64089511650998499</v>
      </c>
      <c r="K4312" s="29">
        <v>0.98289565623980701</v>
      </c>
    </row>
    <row r="4313" spans="1:11" x14ac:dyDescent="0.35">
      <c r="A4313" s="9" t="str">
        <f>HYPERLINK("http://www.ensembl.org/id/WBGene00021357", "WBGene00021357")</f>
        <v>WBGene00021357</v>
      </c>
      <c r="B4313" s="9" t="str">
        <f>HYPERLINK("http://www.ncbi.nlm.nih.gov/gene/177132", "177132")</f>
        <v>177132</v>
      </c>
      <c r="C4313" s="9"/>
      <c r="D4313" t="str">
        <f>"Y37E11AL.1"</f>
        <v>Y37E11AL.1</v>
      </c>
      <c r="F4313" t="s">
        <v>11</v>
      </c>
      <c r="G4313" t="s">
        <v>25</v>
      </c>
      <c r="H4313" s="12">
        <v>2.0522591873277198</v>
      </c>
      <c r="I4313" s="11">
        <v>1.752199849653</v>
      </c>
      <c r="J4313" s="10">
        <v>7.9739449505438001E-2</v>
      </c>
      <c r="K4313" s="29">
        <v>0.66490787451196298</v>
      </c>
    </row>
    <row r="4314" spans="1:11" x14ac:dyDescent="0.35">
      <c r="A4314" s="9" t="str">
        <f>HYPERLINK("http://www.ensembl.org/id/WBGene00004225", "WBGene00004225")</f>
        <v>WBGene00004225</v>
      </c>
      <c r="B4314" s="9" t="str">
        <f>HYPERLINK("http://www.ncbi.nlm.nih.gov/gene/171609", "171609")</f>
        <v>171609</v>
      </c>
      <c r="C4314" s="9"/>
      <c r="D4314" t="str">
        <f>"ptr-11"</f>
        <v>ptr-11</v>
      </c>
      <c r="E4314" t="s">
        <v>134</v>
      </c>
      <c r="F4314" t="s">
        <v>11</v>
      </c>
      <c r="G4314" t="s">
        <v>404</v>
      </c>
      <c r="H4314" s="12">
        <v>2.0517509586033098</v>
      </c>
      <c r="I4314" s="11">
        <v>3.6759292881565901</v>
      </c>
      <c r="J4314" s="10">
        <v>2.3698516379554299E-4</v>
      </c>
      <c r="K4314" s="29">
        <v>1.29145735723109E-2</v>
      </c>
    </row>
    <row r="4315" spans="1:11" x14ac:dyDescent="0.35">
      <c r="A4315" s="9" t="str">
        <f>HYPERLINK("http://www.ensembl.org/id/WBGene00013987", "WBGene00013987")</f>
        <v>WBGene00013987</v>
      </c>
      <c r="B4315" s="9" t="str">
        <f>HYPERLINK("http://www.ncbi.nlm.nih.gov/gene/176294", "176294")</f>
        <v>176294</v>
      </c>
      <c r="C4315" s="9"/>
      <c r="D4315" t="str">
        <f>"ZK512.8"</f>
        <v>ZK512.8</v>
      </c>
      <c r="F4315" t="s">
        <v>11</v>
      </c>
      <c r="H4315" s="12">
        <v>2.0515488102689101</v>
      </c>
      <c r="I4315" s="11">
        <v>0.86397778885881504</v>
      </c>
      <c r="J4315" s="10">
        <v>0.387600092118628</v>
      </c>
      <c r="K4315" s="29">
        <v>0.98289565623980701</v>
      </c>
    </row>
    <row r="4316" spans="1:11" x14ac:dyDescent="0.35">
      <c r="A4316" s="9" t="str">
        <f>HYPERLINK("http://www.ensembl.org/id/WBGene00020192", "WBGene00020192")</f>
        <v>WBGene00020192</v>
      </c>
      <c r="B4316" s="9" t="str">
        <f>HYPERLINK("http://www.ncbi.nlm.nih.gov/gene/171962", "171962")</f>
        <v>171962</v>
      </c>
      <c r="C4316" s="9"/>
      <c r="D4316" t="str">
        <f>"T03F1.11"</f>
        <v>T03F1.11</v>
      </c>
      <c r="F4316" t="s">
        <v>11</v>
      </c>
      <c r="G4316" t="s">
        <v>325</v>
      </c>
      <c r="H4316" s="12">
        <v>2.0506663064036199</v>
      </c>
      <c r="I4316" s="11">
        <v>3.6588128575816099</v>
      </c>
      <c r="J4316" s="10">
        <v>2.53386281011608E-4</v>
      </c>
      <c r="K4316" s="29">
        <v>1.3521347365021299E-2</v>
      </c>
    </row>
    <row r="4317" spans="1:11" x14ac:dyDescent="0.35">
      <c r="A4317" s="9" t="str">
        <f>HYPERLINK("http://www.ensembl.org/id/WBGene00194928", "WBGene00194928")</f>
        <v>WBGene00194928</v>
      </c>
      <c r="B4317" s="9" t="str">
        <f>HYPERLINK("http://www.ncbi.nlm.nih.gov/gene/13213873", "13213873")</f>
        <v>13213873</v>
      </c>
      <c r="C4317" s="9"/>
      <c r="D4317" t="str">
        <f>"ZC513.14"</f>
        <v>ZC513.14</v>
      </c>
      <c r="F4317" t="s">
        <v>11</v>
      </c>
      <c r="H4317" s="12">
        <v>2.05027736613058</v>
      </c>
      <c r="I4317" s="11">
        <v>0.535151333896839</v>
      </c>
      <c r="J4317" s="10">
        <v>0.59254521535853599</v>
      </c>
      <c r="K4317" s="29">
        <v>0.98289565623980701</v>
      </c>
    </row>
    <row r="4318" spans="1:11" x14ac:dyDescent="0.35">
      <c r="A4318" s="9" t="str">
        <f>HYPERLINK("http://www.ensembl.org/id/WBGene00014814", "WBGene00014814")</f>
        <v>WBGene00014814</v>
      </c>
      <c r="B4318" s="9"/>
      <c r="C4318" s="9"/>
      <c r="D4318" t="str">
        <f>"R03D7.3"</f>
        <v>R03D7.3</v>
      </c>
      <c r="F4318" t="s">
        <v>80</v>
      </c>
      <c r="H4318" s="12">
        <v>2.0500022750814999</v>
      </c>
      <c r="I4318" s="11">
        <v>0.99360711798053203</v>
      </c>
      <c r="J4318" s="10">
        <v>0.32041417747064799</v>
      </c>
      <c r="K4318" s="29">
        <v>0.98289565623980701</v>
      </c>
    </row>
    <row r="4319" spans="1:11" x14ac:dyDescent="0.35">
      <c r="A4319" s="9" t="str">
        <f>HYPERLINK("http://www.ensembl.org/id/WBGene00005053", "WBGene00005053")</f>
        <v>WBGene00005053</v>
      </c>
      <c r="B4319" s="9" t="str">
        <f>HYPERLINK("http://www.ncbi.nlm.nih.gov/gene/184633", "184633")</f>
        <v>184633</v>
      </c>
      <c r="C4319" s="9"/>
      <c r="D4319" t="str">
        <f>"sra-27"</f>
        <v>sra-27</v>
      </c>
      <c r="E4319" t="s">
        <v>4448</v>
      </c>
      <c r="F4319" t="s">
        <v>11</v>
      </c>
      <c r="G4319" t="s">
        <v>4210</v>
      </c>
      <c r="H4319" s="12">
        <v>2.0496384538002799</v>
      </c>
      <c r="I4319" s="11">
        <v>0.45833060823293797</v>
      </c>
      <c r="J4319" s="10">
        <v>0.64671493713874495</v>
      </c>
      <c r="K4319" s="29">
        <v>0.98289565623980701</v>
      </c>
    </row>
    <row r="4320" spans="1:11" x14ac:dyDescent="0.35">
      <c r="A4320" s="9" t="str">
        <f>HYPERLINK("http://www.ensembl.org/id/WBGene00019310", "WBGene00019310")</f>
        <v>WBGene00019310</v>
      </c>
      <c r="B4320" s="9"/>
      <c r="C4320" s="9"/>
      <c r="D4320" t="str">
        <f>"K02E7.5"</f>
        <v>K02E7.5</v>
      </c>
      <c r="F4320" t="s">
        <v>80</v>
      </c>
      <c r="H4320" s="12">
        <v>2.0496191912107</v>
      </c>
      <c r="I4320" s="11">
        <v>1.5974558979924101</v>
      </c>
      <c r="J4320" s="10">
        <v>0.11016412087318</v>
      </c>
      <c r="K4320" s="29">
        <v>0.76211143020829197</v>
      </c>
    </row>
    <row r="4321" spans="1:11" x14ac:dyDescent="0.35">
      <c r="A4321" s="9" t="str">
        <f>HYPERLINK("http://www.ensembl.org/id/WBGene00015519", "WBGene00015519")</f>
        <v>WBGene00015519</v>
      </c>
      <c r="B4321" s="9" t="str">
        <f>HYPERLINK("http://www.ncbi.nlm.nih.gov/gene/182313", "182313")</f>
        <v>182313</v>
      </c>
      <c r="C4321" s="9" t="str">
        <f>HYPERLINK("http://www.ncbi.nlm.nih.gov/gene/90527", "90527")</f>
        <v>90527</v>
      </c>
      <c r="D4321" t="str">
        <f>"doxa-1"</f>
        <v>doxa-1</v>
      </c>
      <c r="E4321" t="s">
        <v>1385</v>
      </c>
      <c r="F4321" t="s">
        <v>11</v>
      </c>
      <c r="G4321" t="s">
        <v>1386</v>
      </c>
      <c r="H4321" s="12">
        <v>2.04923711130043</v>
      </c>
      <c r="I4321" s="11">
        <v>2.24041561899825</v>
      </c>
      <c r="J4321" s="10">
        <v>2.5063953222628499E-2</v>
      </c>
      <c r="K4321" s="29">
        <v>0.34740714046913901</v>
      </c>
    </row>
    <row r="4322" spans="1:11" x14ac:dyDescent="0.35">
      <c r="A4322" s="9" t="str">
        <f>HYPERLINK("http://www.ensembl.org/id/WBGene00018653", "WBGene00018653")</f>
        <v>WBGene00018653</v>
      </c>
      <c r="B4322" s="9" t="str">
        <f>HYPERLINK("http://www.ncbi.nlm.nih.gov/gene/186081", "186081")</f>
        <v>186081</v>
      </c>
      <c r="C4322" s="9"/>
      <c r="D4322" t="str">
        <f>"F49H12.2"</f>
        <v>F49H12.2</v>
      </c>
      <c r="F4322" t="s">
        <v>11</v>
      </c>
      <c r="H4322" s="12">
        <v>2.0490603045245099</v>
      </c>
      <c r="I4322" s="11">
        <v>0.98946171772082203</v>
      </c>
      <c r="J4322" s="10">
        <v>0.32243729111504998</v>
      </c>
      <c r="K4322" s="29">
        <v>0.98289565623980701</v>
      </c>
    </row>
    <row r="4323" spans="1:11" x14ac:dyDescent="0.35">
      <c r="A4323" s="9" t="str">
        <f>HYPERLINK("http://www.ensembl.org/id/WBGene00008799", "WBGene00008799")</f>
        <v>WBGene00008799</v>
      </c>
      <c r="B4323" s="9" t="str">
        <f>HYPERLINK("http://www.ncbi.nlm.nih.gov/gene/184470", "184470")</f>
        <v>184470</v>
      </c>
      <c r="C4323" s="9"/>
      <c r="D4323" t="str">
        <f>"F14E5.1"</f>
        <v>F14E5.1</v>
      </c>
      <c r="F4323" t="s">
        <v>11</v>
      </c>
      <c r="G4323" t="s">
        <v>230</v>
      </c>
      <c r="H4323" s="12">
        <v>2.0480957100085302</v>
      </c>
      <c r="I4323" s="11">
        <v>1.6913243365262101</v>
      </c>
      <c r="J4323" s="10">
        <v>9.07748744575025E-2</v>
      </c>
      <c r="K4323" s="29">
        <v>0.69859429198797796</v>
      </c>
    </row>
    <row r="4324" spans="1:11" x14ac:dyDescent="0.35">
      <c r="A4324" s="9" t="str">
        <f>HYPERLINK("http://www.ensembl.org/id/WBGene00011266", "WBGene00011266")</f>
        <v>WBGene00011266</v>
      </c>
      <c r="B4324" s="9" t="str">
        <f>HYPERLINK("http://www.ncbi.nlm.nih.gov/gene/3565494", "3565494")</f>
        <v>3565494</v>
      </c>
      <c r="C4324" s="9"/>
      <c r="D4324" t="str">
        <f>"R13H4.8"</f>
        <v>R13H4.8</v>
      </c>
      <c r="F4324" t="s">
        <v>11</v>
      </c>
      <c r="H4324" s="12">
        <v>2.04780103030168</v>
      </c>
      <c r="I4324" s="11">
        <v>1.3217715923017499</v>
      </c>
      <c r="J4324" s="10">
        <v>0.186244220599735</v>
      </c>
      <c r="K4324" s="29">
        <v>0.92523069211372799</v>
      </c>
    </row>
    <row r="4325" spans="1:11" x14ac:dyDescent="0.35">
      <c r="A4325" s="9" t="str">
        <f>HYPERLINK("http://www.ensembl.org/id/WBGene00017154", "WBGene00017154")</f>
        <v>WBGene00017154</v>
      </c>
      <c r="B4325" s="9" t="str">
        <f>HYPERLINK("http://www.ncbi.nlm.nih.gov/gene/180969", "180969")</f>
        <v>180969</v>
      </c>
      <c r="C4325" s="9"/>
      <c r="D4325" t="str">
        <f>"ugt-57"</f>
        <v>ugt-57</v>
      </c>
      <c r="E4325" t="s">
        <v>103</v>
      </c>
      <c r="F4325" t="s">
        <v>11</v>
      </c>
      <c r="G4325" t="s">
        <v>104</v>
      </c>
      <c r="H4325" s="12">
        <v>2.0476684195189701</v>
      </c>
      <c r="I4325" s="11">
        <v>2.61743511200544</v>
      </c>
      <c r="J4325" s="10">
        <v>8.8593330504207497E-3</v>
      </c>
      <c r="K4325" s="29">
        <v>0.18067409484821001</v>
      </c>
    </row>
    <row r="4326" spans="1:11" x14ac:dyDescent="0.35">
      <c r="A4326" s="9" t="str">
        <f>HYPERLINK("http://www.ensembl.org/id/WBGene00016984", "WBGene00016984")</f>
        <v>WBGene00016984</v>
      </c>
      <c r="B4326" s="9" t="str">
        <f>HYPERLINK("http://www.ncbi.nlm.nih.gov/gene/183869", "183869")</f>
        <v>183869</v>
      </c>
      <c r="C4326" s="9"/>
      <c r="D4326" t="str">
        <f>"npr-8"</f>
        <v>npr-8</v>
      </c>
      <c r="E4326" t="s">
        <v>1469</v>
      </c>
      <c r="F4326" t="s">
        <v>11</v>
      </c>
      <c r="G4326" t="s">
        <v>1470</v>
      </c>
      <c r="H4326" s="12">
        <v>2.0467247348164701</v>
      </c>
      <c r="I4326" s="11">
        <v>2.1843339509151298</v>
      </c>
      <c r="J4326" s="10">
        <v>2.8937717738077001E-2</v>
      </c>
      <c r="K4326" s="29">
        <v>0.379127495359115</v>
      </c>
    </row>
    <row r="4327" spans="1:11" x14ac:dyDescent="0.35">
      <c r="A4327" s="9" t="str">
        <f>HYPERLINK("http://www.ensembl.org/id/WBGene00173135", "WBGene00173135")</f>
        <v>WBGene00173135</v>
      </c>
      <c r="B4327" s="9"/>
      <c r="C4327" s="9"/>
      <c r="D4327" t="str">
        <f>"21ur-7060"</f>
        <v>21ur-7060</v>
      </c>
      <c r="F4327" t="s">
        <v>3161</v>
      </c>
      <c r="H4327" s="12">
        <v>2.0455782434772098</v>
      </c>
      <c r="I4327" s="11">
        <v>0.31288556237089099</v>
      </c>
      <c r="J4327" s="10">
        <v>0.75436760682558901</v>
      </c>
      <c r="K4327" s="29">
        <v>0.98289565623980701</v>
      </c>
    </row>
    <row r="4328" spans="1:11" x14ac:dyDescent="0.35">
      <c r="A4328" s="9" t="str">
        <f>HYPERLINK("http://www.ensembl.org/id/WBGene00005848", "WBGene00005848")</f>
        <v>WBGene00005848</v>
      </c>
      <c r="B4328" s="9" t="str">
        <f>HYPERLINK("http://www.ncbi.nlm.nih.gov/gene/3565911", "3565911")</f>
        <v>3565911</v>
      </c>
      <c r="C4328" s="9"/>
      <c r="D4328" t="str">
        <f>"srw-101"</f>
        <v>srw-101</v>
      </c>
      <c r="E4328" t="s">
        <v>1014</v>
      </c>
      <c r="F4328" t="s">
        <v>11</v>
      </c>
      <c r="G4328" t="s">
        <v>1015</v>
      </c>
      <c r="H4328" s="12">
        <v>2.0455782434772098</v>
      </c>
      <c r="I4328" s="11">
        <v>0.31288556237089099</v>
      </c>
      <c r="J4328" s="10">
        <v>0.75436760682558901</v>
      </c>
      <c r="K4328" s="29">
        <v>0.98289565623980701</v>
      </c>
    </row>
    <row r="4329" spans="1:11" x14ac:dyDescent="0.35">
      <c r="A4329" s="9" t="str">
        <f>HYPERLINK("http://www.ensembl.org/id/WBGene00005246", "WBGene00005246")</f>
        <v>WBGene00005246</v>
      </c>
      <c r="B4329" s="9" t="str">
        <f>HYPERLINK("http://www.ncbi.nlm.nih.gov/gene/178886", "178886")</f>
        <v>178886</v>
      </c>
      <c r="C4329" s="9"/>
      <c r="D4329" t="str">
        <f>"srh-21"</f>
        <v>srh-21</v>
      </c>
      <c r="E4329" t="s">
        <v>153</v>
      </c>
      <c r="F4329" t="s">
        <v>11</v>
      </c>
      <c r="G4329" t="s">
        <v>25</v>
      </c>
      <c r="H4329" s="12">
        <v>2.0452535484907801</v>
      </c>
      <c r="I4329" s="11">
        <v>0.60035536352601504</v>
      </c>
      <c r="J4329" s="10">
        <v>0.54826942901206799</v>
      </c>
      <c r="K4329" s="29">
        <v>0.98289565623980701</v>
      </c>
    </row>
    <row r="4330" spans="1:11" x14ac:dyDescent="0.35">
      <c r="A4330" s="9" t="str">
        <f>HYPERLINK("http://www.ensembl.org/id/WBGene00044530", "WBGene00044530")</f>
        <v>WBGene00044530</v>
      </c>
      <c r="B4330" s="9" t="str">
        <f>HYPERLINK("http://www.ncbi.nlm.nih.gov/gene/3896832", "3896832")</f>
        <v>3896832</v>
      </c>
      <c r="C4330" s="9"/>
      <c r="D4330" t="str">
        <f>"F32D1.11"</f>
        <v>F32D1.11</v>
      </c>
      <c r="F4330" t="s">
        <v>11</v>
      </c>
      <c r="H4330" s="12">
        <v>2.0450250078726002</v>
      </c>
      <c r="I4330" s="11">
        <v>3.0764587581202401</v>
      </c>
      <c r="J4330" s="10">
        <v>2.0947527889841199E-3</v>
      </c>
      <c r="K4330" s="29">
        <v>6.7303677608690396E-2</v>
      </c>
    </row>
    <row r="4331" spans="1:11" x14ac:dyDescent="0.35">
      <c r="A4331" s="9" t="str">
        <f>HYPERLINK("http://www.ensembl.org/id/WBGene00010802", "WBGene00010802")</f>
        <v>WBGene00010802</v>
      </c>
      <c r="B4331" s="9" t="str">
        <f>HYPERLINK("http://www.ncbi.nlm.nih.gov/gene/187360", "187360")</f>
        <v>187360</v>
      </c>
      <c r="C4331" s="9"/>
      <c r="D4331" t="str">
        <f>"srsx-39"</f>
        <v>srsx-39</v>
      </c>
      <c r="E4331" t="s">
        <v>1639</v>
      </c>
      <c r="F4331" t="s">
        <v>11</v>
      </c>
      <c r="G4331" t="s">
        <v>1089</v>
      </c>
      <c r="H4331" s="12">
        <v>2.04495178674745</v>
      </c>
      <c r="I4331" s="11">
        <v>0.41932596982667197</v>
      </c>
      <c r="J4331" s="10">
        <v>0.67497791948772801</v>
      </c>
      <c r="K4331" s="29">
        <v>0.98289565623980701</v>
      </c>
    </row>
    <row r="4332" spans="1:11" x14ac:dyDescent="0.35">
      <c r="A4332" s="9" t="str">
        <f>HYPERLINK("http://www.ensembl.org/id/WBGene00011243", "WBGene00011243")</f>
        <v>WBGene00011243</v>
      </c>
      <c r="B4332" s="9" t="str">
        <f>HYPERLINK("http://www.ncbi.nlm.nih.gov/gene/187803", "187803")</f>
        <v>187803</v>
      </c>
      <c r="C4332" s="9"/>
      <c r="D4332" t="str">
        <f>"R11D1.2"</f>
        <v>R11D1.2</v>
      </c>
      <c r="F4332" t="s">
        <v>11</v>
      </c>
      <c r="G4332" t="s">
        <v>54</v>
      </c>
      <c r="H4332" s="12">
        <v>2.0439432287232999</v>
      </c>
      <c r="I4332" s="11">
        <v>0.823474988367626</v>
      </c>
      <c r="J4332" s="10">
        <v>0.41023793482562598</v>
      </c>
      <c r="K4332" s="29">
        <v>0.98289565623980701</v>
      </c>
    </row>
    <row r="4333" spans="1:11" x14ac:dyDescent="0.35">
      <c r="A4333" s="9" t="str">
        <f>HYPERLINK("http://www.ensembl.org/id/WBGene00008250", "WBGene00008250")</f>
        <v>WBGene00008250</v>
      </c>
      <c r="B4333" s="9" t="str">
        <f>HYPERLINK("http://www.ncbi.nlm.nih.gov/gene/183706", "183706")</f>
        <v>183706</v>
      </c>
      <c r="C4333" s="9"/>
      <c r="D4333" t="str">
        <f>"srsx-29"</f>
        <v>srsx-29</v>
      </c>
      <c r="E4333" t="s">
        <v>1639</v>
      </c>
      <c r="F4333" t="s">
        <v>11</v>
      </c>
      <c r="G4333" t="s">
        <v>1089</v>
      </c>
      <c r="H4333" s="12">
        <v>2.0438421599632202</v>
      </c>
      <c r="I4333" s="11">
        <v>0.42392428176247499</v>
      </c>
      <c r="J4333" s="10">
        <v>0.67162103497570103</v>
      </c>
      <c r="K4333" s="29">
        <v>0.98289565623980701</v>
      </c>
    </row>
    <row r="4334" spans="1:11" x14ac:dyDescent="0.35">
      <c r="A4334" s="9" t="str">
        <f>HYPERLINK("http://www.ensembl.org/id/WBGene00022530", "WBGene00022530")</f>
        <v>WBGene00022530</v>
      </c>
      <c r="B4334" s="9" t="str">
        <f>HYPERLINK("http://www.ncbi.nlm.nih.gov/gene/191089", "191089")</f>
        <v>191089</v>
      </c>
      <c r="C4334" s="9"/>
      <c r="D4334" t="str">
        <f>"ZC155.2"</f>
        <v>ZC155.2</v>
      </c>
      <c r="F4334" t="s">
        <v>11</v>
      </c>
      <c r="G4334" t="s">
        <v>4449</v>
      </c>
      <c r="H4334" s="12">
        <v>2.04374576703793</v>
      </c>
      <c r="I4334" s="11">
        <v>0.827368401173881</v>
      </c>
      <c r="J4334" s="10">
        <v>0.40802828498446198</v>
      </c>
      <c r="K4334" s="29">
        <v>0.98289565623980701</v>
      </c>
    </row>
    <row r="4335" spans="1:11" x14ac:dyDescent="0.35">
      <c r="A4335" s="9" t="str">
        <f>HYPERLINK("http://www.ensembl.org/id/WBGene00018103", "WBGene00018103")</f>
        <v>WBGene00018103</v>
      </c>
      <c r="B4335" s="9" t="str">
        <f>HYPERLINK("http://www.ncbi.nlm.nih.gov/gene/173544", "173544")</f>
        <v>173544</v>
      </c>
      <c r="C4335" s="9"/>
      <c r="D4335" t="str">
        <f>"F36H5.4"</f>
        <v>F36H5.4</v>
      </c>
      <c r="F4335" t="s">
        <v>11</v>
      </c>
      <c r="G4335" t="s">
        <v>25</v>
      </c>
      <c r="H4335" s="12">
        <v>2.0436848288182601</v>
      </c>
      <c r="I4335" s="11">
        <v>2.1992868324772901</v>
      </c>
      <c r="J4335" s="10">
        <v>2.7857533392318501E-2</v>
      </c>
      <c r="K4335" s="29">
        <v>0.37258671819880401</v>
      </c>
    </row>
    <row r="4336" spans="1:11" x14ac:dyDescent="0.35">
      <c r="A4336" s="9" t="str">
        <f>HYPERLINK("http://www.ensembl.org/id/WBGene00016926", "WBGene00016926")</f>
        <v>WBGene00016926</v>
      </c>
      <c r="B4336" s="9" t="str">
        <f>HYPERLINK("http://www.ncbi.nlm.nih.gov/gene/183807", "183807")</f>
        <v>183807</v>
      </c>
      <c r="C4336" s="9"/>
      <c r="D4336" t="str">
        <f>"nhr-171"</f>
        <v>nhr-171</v>
      </c>
      <c r="E4336" t="s">
        <v>637</v>
      </c>
      <c r="F4336" t="s">
        <v>11</v>
      </c>
      <c r="G4336" t="s">
        <v>1073</v>
      </c>
      <c r="H4336" s="12">
        <v>2.0428848928076202</v>
      </c>
      <c r="I4336" s="11">
        <v>0.93400735157604298</v>
      </c>
      <c r="J4336" s="10">
        <v>0.35030010081103202</v>
      </c>
      <c r="K4336" s="29">
        <v>0.98289565623980701</v>
      </c>
    </row>
    <row r="4337" spans="1:11" x14ac:dyDescent="0.35">
      <c r="A4337" s="9" t="str">
        <f>HYPERLINK("http://www.ensembl.org/id/WBGene00020663", "WBGene00020663")</f>
        <v>WBGene00020663</v>
      </c>
      <c r="B4337" s="9" t="str">
        <f>HYPERLINK("http://www.ncbi.nlm.nih.gov/gene/188704", "188704")</f>
        <v>188704</v>
      </c>
      <c r="C4337" s="9"/>
      <c r="D4337" t="str">
        <f>"cutl-22"</f>
        <v>cutl-22</v>
      </c>
      <c r="E4337" t="s">
        <v>166</v>
      </c>
      <c r="F4337" t="s">
        <v>11</v>
      </c>
      <c r="G4337" t="s">
        <v>25</v>
      </c>
      <c r="H4337" s="12">
        <v>2.0424154256022899</v>
      </c>
      <c r="I4337" s="11">
        <v>1.8793393384983199</v>
      </c>
      <c r="J4337" s="10">
        <v>6.01981735170148E-2</v>
      </c>
      <c r="K4337" s="29">
        <v>0.579075352741109</v>
      </c>
    </row>
    <row r="4338" spans="1:11" x14ac:dyDescent="0.35">
      <c r="A4338" s="9" t="str">
        <f>HYPERLINK("http://www.ensembl.org/id/WBGene00012535", "WBGene00012535")</f>
        <v>WBGene00012535</v>
      </c>
      <c r="B4338" s="9" t="str">
        <f>HYPERLINK("http://www.ncbi.nlm.nih.gov/gene/178355", "178355")</f>
        <v>178355</v>
      </c>
      <c r="C4338" s="9"/>
      <c r="D4338" t="str">
        <f>"Y37A1A.2"</f>
        <v>Y37A1A.2</v>
      </c>
      <c r="F4338" t="s">
        <v>11</v>
      </c>
      <c r="G4338" t="s">
        <v>25</v>
      </c>
      <c r="H4338" s="12">
        <v>2.0420543036638001</v>
      </c>
      <c r="I4338" s="11">
        <v>2.3455164993009099</v>
      </c>
      <c r="J4338" s="10">
        <v>1.9000737602253199E-2</v>
      </c>
      <c r="K4338" s="29">
        <v>0.29074903512428002</v>
      </c>
    </row>
    <row r="4339" spans="1:11" x14ac:dyDescent="0.35">
      <c r="A4339" s="9" t="str">
        <f>HYPERLINK("http://www.ensembl.org/id/WBGene00009690", "WBGene00009690")</f>
        <v>WBGene00009690</v>
      </c>
      <c r="B4339" s="9" t="str">
        <f>HYPERLINK("http://www.ncbi.nlm.nih.gov/gene/185736", "185736")</f>
        <v>185736</v>
      </c>
      <c r="C4339" s="9"/>
      <c r="D4339" t="str">
        <f>"F44E5.3"</f>
        <v>F44E5.3</v>
      </c>
      <c r="F4339" t="s">
        <v>11</v>
      </c>
      <c r="H4339" s="12">
        <v>2.0420395608491901</v>
      </c>
      <c r="I4339" s="11">
        <v>1.0333073007475899</v>
      </c>
      <c r="J4339" s="10">
        <v>0.30146011176175702</v>
      </c>
      <c r="K4339" s="29">
        <v>0.98289565623980701</v>
      </c>
    </row>
    <row r="4340" spans="1:11" x14ac:dyDescent="0.35">
      <c r="A4340" s="9" t="str">
        <f>HYPERLINK("http://www.ensembl.org/id/WBGene00012089", "WBGene00012089")</f>
        <v>WBGene00012089</v>
      </c>
      <c r="B4340" s="9" t="str">
        <f>HYPERLINK("http://www.ncbi.nlm.nih.gov/gene/188998", "188998")</f>
        <v>188998</v>
      </c>
      <c r="C4340" s="9"/>
      <c r="D4340" t="str">
        <f>"T27E7.4"</f>
        <v>T27E7.4</v>
      </c>
      <c r="F4340" t="s">
        <v>11</v>
      </c>
      <c r="G4340" t="s">
        <v>25</v>
      </c>
      <c r="H4340" s="12">
        <v>2.0415222718071302</v>
      </c>
      <c r="I4340" s="11">
        <v>0.28043651881875897</v>
      </c>
      <c r="J4340" s="10">
        <v>0.77914262263395595</v>
      </c>
      <c r="K4340" s="29">
        <v>0.98289565623980701</v>
      </c>
    </row>
    <row r="4341" spans="1:11" x14ac:dyDescent="0.35">
      <c r="A4341" s="9" t="str">
        <f>HYPERLINK("http://www.ensembl.org/id/WBGene00044421", "WBGene00044421")</f>
        <v>WBGene00044421</v>
      </c>
      <c r="B4341" s="9" t="str">
        <f>HYPERLINK("http://www.ncbi.nlm.nih.gov/gene/3565784", "3565784")</f>
        <v>3565784</v>
      </c>
      <c r="C4341" s="9"/>
      <c r="D4341" t="str">
        <f>"D1007.18"</f>
        <v>D1007.18</v>
      </c>
      <c r="F4341" t="s">
        <v>11</v>
      </c>
      <c r="H4341" s="12">
        <v>2.04151076219543</v>
      </c>
      <c r="I4341" s="11">
        <v>1.3671861750066701</v>
      </c>
      <c r="J4341" s="10">
        <v>0.171566957572031</v>
      </c>
      <c r="K4341" s="29">
        <v>0.89749289600618998</v>
      </c>
    </row>
    <row r="4342" spans="1:11" x14ac:dyDescent="0.35">
      <c r="A4342" s="9" t="str">
        <f>HYPERLINK("http://www.ensembl.org/id/WBGene00022504", "WBGene00022504")</f>
        <v>WBGene00022504</v>
      </c>
      <c r="B4342" s="9" t="str">
        <f>HYPERLINK("http://www.ncbi.nlm.nih.gov/gene/180439", "180439")</f>
        <v>180439</v>
      </c>
      <c r="C4342" s="9"/>
      <c r="D4342" t="str">
        <f>"mam-1"</f>
        <v>mam-1</v>
      </c>
      <c r="E4342" t="s">
        <v>679</v>
      </c>
      <c r="F4342" t="s">
        <v>11</v>
      </c>
      <c r="G4342" t="s">
        <v>427</v>
      </c>
      <c r="H4342" s="12">
        <v>2.0406759030204</v>
      </c>
      <c r="I4342" s="11">
        <v>1.6003824936286</v>
      </c>
      <c r="J4342" s="10">
        <v>0.10951375633539399</v>
      </c>
      <c r="K4342" s="29">
        <v>0.760816436278963</v>
      </c>
    </row>
    <row r="4343" spans="1:11" x14ac:dyDescent="0.35">
      <c r="A4343" s="9" t="str">
        <f>HYPERLINK("http://www.ensembl.org/id/WBGene00013330", "WBGene00013330")</f>
        <v>WBGene00013330</v>
      </c>
      <c r="B4343" s="9" t="str">
        <f>HYPERLINK("http://www.ncbi.nlm.nih.gov/gene/3565106", "3565106")</f>
        <v>3565106</v>
      </c>
      <c r="C4343" s="9"/>
      <c r="D4343" t="str">
        <f>"Y57G11C.41"</f>
        <v>Y57G11C.41</v>
      </c>
      <c r="F4343" t="s">
        <v>11</v>
      </c>
      <c r="H4343" s="12">
        <v>2.0404071254367402</v>
      </c>
      <c r="I4343" s="11">
        <v>0.86463591703436304</v>
      </c>
      <c r="J4343" s="10">
        <v>0.387238652433057</v>
      </c>
      <c r="K4343" s="29">
        <v>0.98289565623980701</v>
      </c>
    </row>
    <row r="4344" spans="1:11" x14ac:dyDescent="0.35">
      <c r="A4344" s="9" t="str">
        <f>HYPERLINK("http://www.ensembl.org/id/WBGene00194676", "WBGene00194676")</f>
        <v>WBGene00194676</v>
      </c>
      <c r="B4344" s="9"/>
      <c r="C4344" s="9"/>
      <c r="D4344" t="str">
        <f>"Y43F8B.21"</f>
        <v>Y43F8B.21</v>
      </c>
      <c r="F4344" t="s">
        <v>80</v>
      </c>
      <c r="H4344" s="12">
        <v>2.0399072921430101</v>
      </c>
      <c r="I4344" s="11">
        <v>0.36714324868695603</v>
      </c>
      <c r="J4344" s="10">
        <v>0.71351216863840705</v>
      </c>
      <c r="K4344" s="29">
        <v>0.98289565623980701</v>
      </c>
    </row>
    <row r="4345" spans="1:11" x14ac:dyDescent="0.35">
      <c r="A4345" s="9" t="str">
        <f>HYPERLINK("http://www.ensembl.org/id/WBGene00003570", "WBGene00003570")</f>
        <v>WBGene00003570</v>
      </c>
      <c r="B4345" s="9" t="str">
        <f>HYPERLINK("http://www.ncbi.nlm.nih.gov/gene/191715", "191715")</f>
        <v>191715</v>
      </c>
      <c r="C4345" s="9" t="str">
        <f>HYPERLINK("http://www.ncbi.nlm.nih.gov/gene/9187", "9187")</f>
        <v>9187</v>
      </c>
      <c r="D4345" t="str">
        <f>"ncx-5"</f>
        <v>ncx-5</v>
      </c>
      <c r="E4345" t="s">
        <v>542</v>
      </c>
      <c r="F4345" t="s">
        <v>11</v>
      </c>
      <c r="G4345" t="s">
        <v>4450</v>
      </c>
      <c r="H4345" s="12">
        <v>2.03891708293903</v>
      </c>
      <c r="I4345" s="11">
        <v>1.0967223544750799</v>
      </c>
      <c r="J4345" s="10">
        <v>0.27276278126688103</v>
      </c>
      <c r="K4345" s="29">
        <v>0.98289565623980701</v>
      </c>
    </row>
    <row r="4346" spans="1:11" x14ac:dyDescent="0.35">
      <c r="A4346" s="9" t="str">
        <f>HYPERLINK("http://www.ensembl.org/id/WBGene00171518", "WBGene00171518")</f>
        <v>WBGene00171518</v>
      </c>
      <c r="B4346" s="9"/>
      <c r="C4346" s="9"/>
      <c r="D4346" t="str">
        <f>"21ur-8244"</f>
        <v>21ur-8244</v>
      </c>
      <c r="F4346" t="s">
        <v>3161</v>
      </c>
      <c r="H4346" s="12">
        <v>2.0386070404968901</v>
      </c>
      <c r="I4346" s="11">
        <v>0.212667654382139</v>
      </c>
      <c r="J4346" s="10">
        <v>0.83158619767804198</v>
      </c>
      <c r="K4346" s="29">
        <v>0.98975608757875</v>
      </c>
    </row>
    <row r="4347" spans="1:11" x14ac:dyDescent="0.35">
      <c r="A4347" s="9" t="str">
        <f>HYPERLINK("http://www.ensembl.org/id/WBGene00000721", "WBGene00000721")</f>
        <v>WBGene00000721</v>
      </c>
      <c r="B4347" s="9" t="str">
        <f>HYPERLINK("http://www.ncbi.nlm.nih.gov/gene/182542", "182542")</f>
        <v>182542</v>
      </c>
      <c r="C4347" s="9"/>
      <c r="D4347" t="str">
        <f>"col-148"</f>
        <v>col-148</v>
      </c>
      <c r="E4347" t="s">
        <v>40</v>
      </c>
      <c r="F4347" t="s">
        <v>11</v>
      </c>
      <c r="G4347" t="s">
        <v>41</v>
      </c>
      <c r="H4347" s="12">
        <v>2.0386070404968901</v>
      </c>
      <c r="I4347" s="11">
        <v>0.212667654382139</v>
      </c>
      <c r="J4347" s="10">
        <v>0.83158619767804198</v>
      </c>
      <c r="K4347" s="29">
        <v>0.98975608757875</v>
      </c>
    </row>
    <row r="4348" spans="1:11" x14ac:dyDescent="0.35">
      <c r="A4348" s="9" t="str">
        <f>HYPERLINK("http://www.ensembl.org/id/WBGene00000624", "WBGene00000624")</f>
        <v>WBGene00000624</v>
      </c>
      <c r="B4348" s="9" t="str">
        <f>HYPERLINK("http://www.ncbi.nlm.nih.gov/gene/4363004", "4363004")</f>
        <v>4363004</v>
      </c>
      <c r="C4348" s="9"/>
      <c r="D4348" t="str">
        <f>"col-47"</f>
        <v>col-47</v>
      </c>
      <c r="E4348" t="s">
        <v>40</v>
      </c>
      <c r="F4348" t="s">
        <v>11</v>
      </c>
      <c r="G4348" t="s">
        <v>593</v>
      </c>
      <c r="H4348" s="12">
        <v>2.0386070404968901</v>
      </c>
      <c r="I4348" s="11">
        <v>0.212667654382139</v>
      </c>
      <c r="J4348" s="10">
        <v>0.83158619767804198</v>
      </c>
      <c r="K4348" s="29">
        <v>0.98975608757875</v>
      </c>
    </row>
    <row r="4349" spans="1:11" x14ac:dyDescent="0.35">
      <c r="A4349" s="9" t="str">
        <f>HYPERLINK("http://www.ensembl.org/id/WBGene00022604", "WBGene00022604")</f>
        <v>WBGene00022604</v>
      </c>
      <c r="B4349" s="9" t="str">
        <f>HYPERLINK("http://www.ncbi.nlm.nih.gov/gene/191157", "191157")</f>
        <v>191157</v>
      </c>
      <c r="C4349" s="9"/>
      <c r="D4349" t="str">
        <f>"dmsr-10"</f>
        <v>dmsr-10</v>
      </c>
      <c r="E4349" t="s">
        <v>996</v>
      </c>
      <c r="F4349" t="s">
        <v>11</v>
      </c>
      <c r="G4349" t="s">
        <v>1015</v>
      </c>
      <c r="H4349" s="12">
        <v>2.0386070404968901</v>
      </c>
      <c r="I4349" s="11">
        <v>0.212667654382139</v>
      </c>
      <c r="J4349" s="10">
        <v>0.83158619767804198</v>
      </c>
      <c r="K4349" s="29">
        <v>0.98975608757875</v>
      </c>
    </row>
    <row r="4350" spans="1:11" x14ac:dyDescent="0.35">
      <c r="A4350" s="9" t="str">
        <f>HYPERLINK("http://www.ensembl.org/id/WBGene00017645", "WBGene00017645")</f>
        <v>WBGene00017645</v>
      </c>
      <c r="B4350" s="9" t="str">
        <f>HYPERLINK("http://www.ncbi.nlm.nih.gov/gene/260102", "260102")</f>
        <v>260102</v>
      </c>
      <c r="C4350" s="9"/>
      <c r="D4350" t="str">
        <f>"F20D12.7"</f>
        <v>F20D12.7</v>
      </c>
      <c r="F4350" t="s">
        <v>11</v>
      </c>
      <c r="G4350" t="s">
        <v>25</v>
      </c>
      <c r="H4350" s="12">
        <v>2.0386070404968901</v>
      </c>
      <c r="I4350" s="11">
        <v>0.212667654382139</v>
      </c>
      <c r="J4350" s="10">
        <v>0.83158619767804198</v>
      </c>
      <c r="K4350" s="29">
        <v>0.98975608757875</v>
      </c>
    </row>
    <row r="4351" spans="1:11" x14ac:dyDescent="0.35">
      <c r="A4351" s="9" t="str">
        <f>HYPERLINK("http://www.ensembl.org/id/WBGene00018844", "WBGene00018844")</f>
        <v>WBGene00018844</v>
      </c>
      <c r="B4351" s="9" t="str">
        <f>HYPERLINK("http://www.ncbi.nlm.nih.gov/gene/186268", "186268")</f>
        <v>186268</v>
      </c>
      <c r="C4351" s="9"/>
      <c r="D4351" t="str">
        <f>"F54H12.4"</f>
        <v>F54H12.4</v>
      </c>
      <c r="F4351" t="s">
        <v>11</v>
      </c>
      <c r="H4351" s="12">
        <v>2.0386070404968901</v>
      </c>
      <c r="I4351" s="11">
        <v>0.212667654382139</v>
      </c>
      <c r="J4351" s="10">
        <v>0.83158619767804198</v>
      </c>
      <c r="K4351" s="29">
        <v>0.98975608757875</v>
      </c>
    </row>
    <row r="4352" spans="1:11" x14ac:dyDescent="0.35">
      <c r="A4352" s="9" t="str">
        <f>HYPERLINK("http://www.ensembl.org/id/WBGene00044048", "WBGene00044048")</f>
        <v>WBGene00044048</v>
      </c>
      <c r="B4352" s="9" t="str">
        <f>HYPERLINK("http://www.ncbi.nlm.nih.gov/gene/3565699", "3565699")</f>
        <v>3565699</v>
      </c>
      <c r="C4352" s="9"/>
      <c r="D4352" t="str">
        <f>"F57G9.7"</f>
        <v>F57G9.7</v>
      </c>
      <c r="F4352" t="s">
        <v>11</v>
      </c>
      <c r="G4352" t="s">
        <v>2639</v>
      </c>
      <c r="H4352" s="12">
        <v>2.0386070404968901</v>
      </c>
      <c r="I4352" s="11">
        <v>0.212667654382139</v>
      </c>
      <c r="J4352" s="10">
        <v>0.83158619767804198</v>
      </c>
      <c r="K4352" s="29">
        <v>0.98975608757875</v>
      </c>
    </row>
    <row r="4353" spans="1:11" x14ac:dyDescent="0.35">
      <c r="A4353" s="9" t="str">
        <f>HYPERLINK("http://www.ensembl.org/id/WBGene00010359", "WBGene00010359")</f>
        <v>WBGene00010359</v>
      </c>
      <c r="B4353" s="9" t="str">
        <f>HYPERLINK("http://www.ncbi.nlm.nih.gov/gene/181601", "181601")</f>
        <v>181601</v>
      </c>
      <c r="C4353" s="9"/>
      <c r="D4353" t="str">
        <f>"mam-6"</f>
        <v>mam-6</v>
      </c>
      <c r="E4353" t="s">
        <v>679</v>
      </c>
      <c r="F4353" t="s">
        <v>11</v>
      </c>
      <c r="G4353" t="s">
        <v>427</v>
      </c>
      <c r="H4353" s="12">
        <v>2.0386070404968901</v>
      </c>
      <c r="I4353" s="11">
        <v>0.212667654382139</v>
      </c>
      <c r="J4353" s="10">
        <v>0.83158619767804198</v>
      </c>
      <c r="K4353" s="29">
        <v>0.98975608757875</v>
      </c>
    </row>
    <row r="4354" spans="1:11" x14ac:dyDescent="0.35">
      <c r="A4354" s="9" t="str">
        <f>HYPERLINK("http://www.ensembl.org/id/WBGene00219219", "WBGene00219219")</f>
        <v>WBGene00219219</v>
      </c>
      <c r="B4354" s="9"/>
      <c r="C4354" s="9"/>
      <c r="D4354" t="str">
        <f>"mir-5546"</f>
        <v>mir-5546</v>
      </c>
      <c r="F4354" t="s">
        <v>1486</v>
      </c>
      <c r="H4354" s="12">
        <v>2.0386070404968901</v>
      </c>
      <c r="I4354" s="11">
        <v>0.212667654382139</v>
      </c>
      <c r="J4354" s="10">
        <v>0.83158619767804198</v>
      </c>
      <c r="K4354" s="29">
        <v>0.98975608757875</v>
      </c>
    </row>
    <row r="4355" spans="1:11" x14ac:dyDescent="0.35">
      <c r="A4355" s="9" t="str">
        <f>HYPERLINK("http://www.ensembl.org/id/WBGene00011178", "WBGene00011178")</f>
        <v>WBGene00011178</v>
      </c>
      <c r="B4355" s="9"/>
      <c r="C4355" s="9"/>
      <c r="D4355" t="str">
        <f>"R09E10.9"</f>
        <v>R09E10.9</v>
      </c>
      <c r="F4355" t="s">
        <v>80</v>
      </c>
      <c r="H4355" s="12">
        <v>2.0386070404968901</v>
      </c>
      <c r="I4355" s="11">
        <v>0.212667654382139</v>
      </c>
      <c r="J4355" s="10">
        <v>0.83158619767804198</v>
      </c>
      <c r="K4355" s="29">
        <v>0.98975608757875</v>
      </c>
    </row>
    <row r="4356" spans="1:11" x14ac:dyDescent="0.35">
      <c r="A4356" s="9" t="str">
        <f>HYPERLINK("http://www.ensembl.org/id/WBGene00220053", "WBGene00220053")</f>
        <v>WBGene00220053</v>
      </c>
      <c r="B4356" s="9"/>
      <c r="C4356" s="9"/>
      <c r="D4356" t="str">
        <f>"R166.11"</f>
        <v>R166.11</v>
      </c>
      <c r="F4356" t="s">
        <v>481</v>
      </c>
      <c r="H4356" s="12">
        <v>2.0386070404968901</v>
      </c>
      <c r="I4356" s="11">
        <v>0.212667654382139</v>
      </c>
      <c r="J4356" s="10">
        <v>0.83158619767804198</v>
      </c>
      <c r="K4356" s="29">
        <v>0.98975608757875</v>
      </c>
    </row>
    <row r="4357" spans="1:11" x14ac:dyDescent="0.35">
      <c r="A4357" s="9" t="str">
        <f>HYPERLINK("http://www.ensembl.org/id/WBGene00012523", "WBGene00012523")</f>
        <v>WBGene00012523</v>
      </c>
      <c r="B4357" s="9" t="str">
        <f>HYPERLINK("http://www.ncbi.nlm.nih.gov/gene/189567", "189567")</f>
        <v>189567</v>
      </c>
      <c r="C4357" s="9"/>
      <c r="D4357" t="str">
        <f>"srbc-65"</f>
        <v>srbc-65</v>
      </c>
      <c r="E4357" t="s">
        <v>3034</v>
      </c>
      <c r="F4357" t="s">
        <v>11</v>
      </c>
      <c r="G4357" t="s">
        <v>25</v>
      </c>
      <c r="H4357" s="12">
        <v>2.0386070404968901</v>
      </c>
      <c r="I4357" s="11">
        <v>0.212667654382139</v>
      </c>
      <c r="J4357" s="10">
        <v>0.83158619767804198</v>
      </c>
      <c r="K4357" s="29">
        <v>0.98975608757875</v>
      </c>
    </row>
    <row r="4358" spans="1:11" x14ac:dyDescent="0.35">
      <c r="A4358" s="9" t="str">
        <f>HYPERLINK("http://www.ensembl.org/id/WBGene00005227", "WBGene00005227")</f>
        <v>WBGene00005227</v>
      </c>
      <c r="B4358" s="9" t="str">
        <f>HYPERLINK("http://www.ncbi.nlm.nih.gov/gene/3564925", "3564925")</f>
        <v>3564925</v>
      </c>
      <c r="C4358" s="9"/>
      <c r="D4358" t="str">
        <f>"srh-1"</f>
        <v>srh-1</v>
      </c>
      <c r="E4358" t="s">
        <v>153</v>
      </c>
      <c r="F4358" t="s">
        <v>11</v>
      </c>
      <c r="G4358" t="s">
        <v>25</v>
      </c>
      <c r="H4358" s="12">
        <v>2.0386070404968901</v>
      </c>
      <c r="I4358" s="11">
        <v>0.212667654382139</v>
      </c>
      <c r="J4358" s="10">
        <v>0.83158619767804198</v>
      </c>
      <c r="K4358" s="29">
        <v>0.98975608757875</v>
      </c>
    </row>
    <row r="4359" spans="1:11" x14ac:dyDescent="0.35">
      <c r="A4359" s="9" t="str">
        <f>HYPERLINK("http://www.ensembl.org/id/WBGene00044097", "WBGene00044097")</f>
        <v>WBGene00044097</v>
      </c>
      <c r="B4359" s="9"/>
      <c r="C4359" s="9"/>
      <c r="D4359" t="str">
        <f>"srh-64"</f>
        <v>srh-64</v>
      </c>
      <c r="F4359" t="s">
        <v>80</v>
      </c>
      <c r="H4359" s="12">
        <v>2.0386070404968901</v>
      </c>
      <c r="I4359" s="11">
        <v>0.212667654382139</v>
      </c>
      <c r="J4359" s="10">
        <v>0.83158619767804198</v>
      </c>
      <c r="K4359" s="29">
        <v>0.98975608757875</v>
      </c>
    </row>
    <row r="4360" spans="1:11" x14ac:dyDescent="0.35">
      <c r="A4360" s="9" t="str">
        <f>HYPERLINK("http://www.ensembl.org/id/WBGene00005927", "WBGene00005927")</f>
        <v>WBGene00005927</v>
      </c>
      <c r="B4360" s="9" t="str">
        <f>HYPERLINK("http://www.ncbi.nlm.nih.gov/gene/187946", "187946")</f>
        <v>187946</v>
      </c>
      <c r="C4360" s="9"/>
      <c r="D4360" t="str">
        <f>"srx-36"</f>
        <v>srx-36</v>
      </c>
      <c r="E4360" t="s">
        <v>1477</v>
      </c>
      <c r="F4360" t="s">
        <v>11</v>
      </c>
      <c r="G4360" t="s">
        <v>25</v>
      </c>
      <c r="H4360" s="12">
        <v>2.0386070404968901</v>
      </c>
      <c r="I4360" s="11">
        <v>0.212667654382139</v>
      </c>
      <c r="J4360" s="10">
        <v>0.83158619767804198</v>
      </c>
      <c r="K4360" s="29">
        <v>0.98975608757875</v>
      </c>
    </row>
    <row r="4361" spans="1:11" x14ac:dyDescent="0.35">
      <c r="A4361" s="9" t="str">
        <f>HYPERLINK("http://www.ensembl.org/id/WBGene00195907", "WBGene00195907")</f>
        <v>WBGene00195907</v>
      </c>
      <c r="B4361" s="9"/>
      <c r="C4361" s="9"/>
      <c r="D4361" t="str">
        <f>"T14F9.7"</f>
        <v>T14F9.7</v>
      </c>
      <c r="F4361" t="s">
        <v>481</v>
      </c>
      <c r="H4361" s="12">
        <v>2.0386070404968901</v>
      </c>
      <c r="I4361" s="11">
        <v>0.212667654382139</v>
      </c>
      <c r="J4361" s="10">
        <v>0.83158619767804198</v>
      </c>
      <c r="K4361" s="29">
        <v>0.98975608757875</v>
      </c>
    </row>
    <row r="4362" spans="1:11" x14ac:dyDescent="0.35">
      <c r="A4362" s="9" t="str">
        <f>HYPERLINK("http://www.ensembl.org/id/WBGene00020873", "WBGene00020873")</f>
        <v>WBGene00020873</v>
      </c>
      <c r="B4362" s="9"/>
      <c r="C4362" s="9"/>
      <c r="D4362" t="str">
        <f>"T28A11.6"</f>
        <v>T28A11.6</v>
      </c>
      <c r="F4362" t="s">
        <v>80</v>
      </c>
      <c r="H4362" s="12">
        <v>2.0386070404968901</v>
      </c>
      <c r="I4362" s="11">
        <v>0.212667654382139</v>
      </c>
      <c r="J4362" s="10">
        <v>0.83158619767804198</v>
      </c>
      <c r="K4362" s="29">
        <v>0.98975608757875</v>
      </c>
    </row>
    <row r="4363" spans="1:11" x14ac:dyDescent="0.35">
      <c r="A4363" s="9" t="str">
        <f>HYPERLINK("http://www.ensembl.org/id/WBGene00014180", "WBGene00014180")</f>
        <v>WBGene00014180</v>
      </c>
      <c r="B4363" s="9"/>
      <c r="C4363" s="9"/>
      <c r="D4363" t="str">
        <f>"ZK1010.6"</f>
        <v>ZK1010.6</v>
      </c>
      <c r="F4363" t="s">
        <v>80</v>
      </c>
      <c r="H4363" s="12">
        <v>2.0386070404968901</v>
      </c>
      <c r="I4363" s="11">
        <v>0.212667654382139</v>
      </c>
      <c r="J4363" s="10">
        <v>0.83158619767804198</v>
      </c>
      <c r="K4363" s="29">
        <v>0.98975608757875</v>
      </c>
    </row>
    <row r="4364" spans="1:11" x14ac:dyDescent="0.35">
      <c r="A4364" s="9" t="str">
        <f>HYPERLINK("http://www.ensembl.org/id/WBGene00271806", "WBGene00271806")</f>
        <v>WBGene00271806</v>
      </c>
      <c r="B4364" s="9" t="str">
        <f>HYPERLINK("http://www.ncbi.nlm.nih.gov/gene/34700656", "34700656")</f>
        <v>34700656</v>
      </c>
      <c r="C4364" s="9"/>
      <c r="D4364" t="str">
        <f>"ZK938.12"</f>
        <v>ZK938.12</v>
      </c>
      <c r="F4364" t="s">
        <v>11</v>
      </c>
      <c r="H4364" s="12">
        <v>2.0386070404968901</v>
      </c>
      <c r="I4364" s="11">
        <v>0.212667654382139</v>
      </c>
      <c r="J4364" s="10">
        <v>0.83158619767804198</v>
      </c>
      <c r="K4364" s="29">
        <v>0.98975608757875</v>
      </c>
    </row>
    <row r="4365" spans="1:11" x14ac:dyDescent="0.35">
      <c r="A4365" s="9" t="str">
        <f>HYPERLINK("http://www.ensembl.org/id/WBGene00004232", "WBGene00004232")</f>
        <v>WBGene00004232</v>
      </c>
      <c r="B4365" s="9" t="str">
        <f>HYPERLINK("http://www.ncbi.nlm.nih.gov/gene/174940", "174940")</f>
        <v>174940</v>
      </c>
      <c r="C4365" s="9"/>
      <c r="D4365" t="str">
        <f>"ptr-18"</f>
        <v>ptr-18</v>
      </c>
      <c r="E4365" t="s">
        <v>134</v>
      </c>
      <c r="F4365" t="s">
        <v>11</v>
      </c>
      <c r="G4365" t="s">
        <v>193</v>
      </c>
      <c r="H4365" s="12">
        <v>2.03773651246859</v>
      </c>
      <c r="I4365" s="11">
        <v>2.1715535203373499</v>
      </c>
      <c r="J4365" s="10">
        <v>2.9889356094809399E-2</v>
      </c>
      <c r="K4365" s="29">
        <v>0.38640406529424798</v>
      </c>
    </row>
    <row r="4366" spans="1:11" x14ac:dyDescent="0.35">
      <c r="A4366" s="9" t="str">
        <f>HYPERLINK("http://www.ensembl.org/id/WBGene00016149", "WBGene00016149")</f>
        <v>WBGene00016149</v>
      </c>
      <c r="B4366" s="9" t="str">
        <f>HYPERLINK("http://www.ncbi.nlm.nih.gov/gene/182942", "182942")</f>
        <v>182942</v>
      </c>
      <c r="C4366" s="9"/>
      <c r="D4366" t="str">
        <f>"frpr-3"</f>
        <v>frpr-3</v>
      </c>
      <c r="E4366" t="s">
        <v>2736</v>
      </c>
      <c r="F4366" t="s">
        <v>11</v>
      </c>
      <c r="G4366" t="s">
        <v>271</v>
      </c>
      <c r="H4366" s="12">
        <v>2.0376860410408502</v>
      </c>
      <c r="I4366" s="11">
        <v>1.5846922899623499</v>
      </c>
      <c r="J4366" s="10">
        <v>0.113036264489652</v>
      </c>
      <c r="K4366" s="29">
        <v>0.76873823087168702</v>
      </c>
    </row>
    <row r="4367" spans="1:11" x14ac:dyDescent="0.35">
      <c r="A4367" s="9" t="str">
        <f>HYPERLINK("http://www.ensembl.org/id/WBGene00013459", "WBGene00013459")</f>
        <v>WBGene00013459</v>
      </c>
      <c r="B4367" s="9" t="str">
        <f>HYPERLINK("http://www.ncbi.nlm.nih.gov/gene/259603", "259603")</f>
        <v>259603</v>
      </c>
      <c r="C4367" s="9"/>
      <c r="D4367" t="str">
        <f>"Y67A10A.10"</f>
        <v>Y67A10A.10</v>
      </c>
      <c r="F4367" t="s">
        <v>11</v>
      </c>
      <c r="H4367" s="12">
        <v>2.0375740243640399</v>
      </c>
      <c r="I4367" s="11">
        <v>2.7385355239975802</v>
      </c>
      <c r="J4367" s="10">
        <v>6.1713492812681204E-3</v>
      </c>
      <c r="K4367" s="29">
        <v>0.138711280635196</v>
      </c>
    </row>
    <row r="4368" spans="1:11" x14ac:dyDescent="0.35">
      <c r="A4368" s="9" t="str">
        <f>HYPERLINK("http://www.ensembl.org/id/WBGene00001694", "WBGene00001694")</f>
        <v>WBGene00001694</v>
      </c>
      <c r="B4368" s="9" t="str">
        <f>HYPERLINK("http://www.ncbi.nlm.nih.gov/gene/179244", "179244")</f>
        <v>179244</v>
      </c>
      <c r="C4368" s="9"/>
      <c r="D4368" t="str">
        <f>"grd-5"</f>
        <v>grd-5</v>
      </c>
      <c r="E4368" t="s">
        <v>749</v>
      </c>
      <c r="F4368" t="s">
        <v>11</v>
      </c>
      <c r="G4368" t="s">
        <v>1097</v>
      </c>
      <c r="H4368" s="12">
        <v>2.0374330667132901</v>
      </c>
      <c r="I4368" s="11">
        <v>2.4919468716558</v>
      </c>
      <c r="J4368" s="10">
        <v>1.27045039306654E-2</v>
      </c>
      <c r="K4368" s="29">
        <v>0.226504836282373</v>
      </c>
    </row>
    <row r="4369" spans="1:11" x14ac:dyDescent="0.35">
      <c r="A4369" s="9" t="str">
        <f>HYPERLINK("http://www.ensembl.org/id/WBGene00022040", "WBGene00022040")</f>
        <v>WBGene00022040</v>
      </c>
      <c r="B4369" s="9" t="str">
        <f>HYPERLINK("http://www.ncbi.nlm.nih.gov/gene/190488", "190488")</f>
        <v>190488</v>
      </c>
      <c r="C4369" s="9"/>
      <c r="D4369" t="str">
        <f>"Y65B4BR.1"</f>
        <v>Y65B4BR.1</v>
      </c>
      <c r="F4369" t="s">
        <v>11</v>
      </c>
      <c r="G4369" t="s">
        <v>588</v>
      </c>
      <c r="H4369" s="12">
        <v>2.0370663020664601</v>
      </c>
      <c r="I4369" s="11">
        <v>3.1381089118438501</v>
      </c>
      <c r="J4369" s="10">
        <v>1.7004168199900201E-3</v>
      </c>
      <c r="K4369" s="29">
        <v>5.8568902817376603E-2</v>
      </c>
    </row>
    <row r="4370" spans="1:11" x14ac:dyDescent="0.35">
      <c r="A4370" s="9" t="str">
        <f>HYPERLINK("http://www.ensembl.org/id/WBGene00018069", "WBGene00018069")</f>
        <v>WBGene00018069</v>
      </c>
      <c r="B4370" s="9" t="str">
        <f>HYPERLINK("http://www.ncbi.nlm.nih.gov/gene/185329", "185329")</f>
        <v>185329</v>
      </c>
      <c r="C4370" s="9"/>
      <c r="D4370" t="str">
        <f>"F35H10.3"</f>
        <v>F35H10.3</v>
      </c>
      <c r="F4370" t="s">
        <v>11</v>
      </c>
      <c r="H4370" s="12">
        <v>2.0355858105545601</v>
      </c>
      <c r="I4370" s="11">
        <v>2.1925027765394498</v>
      </c>
      <c r="J4370" s="10">
        <v>2.8343222830339201E-2</v>
      </c>
      <c r="K4370" s="29">
        <v>0.37650196185268198</v>
      </c>
    </row>
    <row r="4371" spans="1:11" x14ac:dyDescent="0.35">
      <c r="A4371" s="9" t="str">
        <f>HYPERLINK("http://www.ensembl.org/id/WBGene00017146", "WBGene00017146")</f>
        <v>WBGene00017146</v>
      </c>
      <c r="B4371" s="9" t="str">
        <f>HYPERLINK("http://www.ncbi.nlm.nih.gov/gene/184047", "184047")</f>
        <v>184047</v>
      </c>
      <c r="C4371" s="9"/>
      <c r="D4371" t="str">
        <f>"EGAP1.1"</f>
        <v>EGAP1.1</v>
      </c>
      <c r="F4371" t="s">
        <v>11</v>
      </c>
      <c r="H4371" s="12">
        <v>2.0354709716103998</v>
      </c>
      <c r="I4371" s="11">
        <v>2.09724860397636</v>
      </c>
      <c r="J4371" s="10">
        <v>3.59715739736024E-2</v>
      </c>
      <c r="K4371" s="29">
        <v>0.43355701903585497</v>
      </c>
    </row>
    <row r="4372" spans="1:11" x14ac:dyDescent="0.35">
      <c r="A4372" s="9" t="str">
        <f>HYPERLINK("http://www.ensembl.org/id/WBGene00044901", "WBGene00044901")</f>
        <v>WBGene00044901</v>
      </c>
      <c r="B4372" s="9" t="str">
        <f>HYPERLINK("http://www.ncbi.nlm.nih.gov/gene/4926893", "4926893")</f>
        <v>4926893</v>
      </c>
      <c r="C4372" s="9"/>
      <c r="D4372" t="str">
        <f>"Y41G9A.10"</f>
        <v>Y41G9A.10</v>
      </c>
      <c r="F4372" t="s">
        <v>11</v>
      </c>
      <c r="H4372" s="12">
        <v>2.0353089833187301</v>
      </c>
      <c r="I4372" s="11">
        <v>2.0225768249568099</v>
      </c>
      <c r="J4372" s="10">
        <v>4.3116795545635897E-2</v>
      </c>
      <c r="K4372" s="29">
        <v>0.48268249897163901</v>
      </c>
    </row>
    <row r="4373" spans="1:11" x14ac:dyDescent="0.35">
      <c r="A4373" s="9" t="str">
        <f>HYPERLINK("http://www.ensembl.org/id/WBGene00018318", "WBGene00018318")</f>
        <v>WBGene00018318</v>
      </c>
      <c r="B4373" s="9" t="str">
        <f>HYPERLINK("http://www.ncbi.nlm.nih.gov/gene/185643", "185643")</f>
        <v>185643</v>
      </c>
      <c r="C4373" s="9"/>
      <c r="D4373" t="str">
        <f>"F41H10.5"</f>
        <v>F41H10.5</v>
      </c>
      <c r="F4373" t="s">
        <v>11</v>
      </c>
      <c r="G4373" t="s">
        <v>3092</v>
      </c>
      <c r="H4373" s="12">
        <v>2.0333890045144898</v>
      </c>
      <c r="I4373" s="11">
        <v>1.48015321950228</v>
      </c>
      <c r="J4373" s="10">
        <v>0.138832361520939</v>
      </c>
      <c r="K4373" s="29">
        <v>0.83038270159331196</v>
      </c>
    </row>
    <row r="4374" spans="1:11" x14ac:dyDescent="0.35">
      <c r="A4374" s="9" t="str">
        <f>HYPERLINK("http://www.ensembl.org/id/WBGene00017384", "WBGene00017384")</f>
        <v>WBGene00017384</v>
      </c>
      <c r="B4374" s="9" t="str">
        <f>HYPERLINK("http://www.ncbi.nlm.nih.gov/gene/184365", "184365")</f>
        <v>184365</v>
      </c>
      <c r="C4374" s="9"/>
      <c r="D4374" t="str">
        <f>"F11G11.4"</f>
        <v>F11G11.4</v>
      </c>
      <c r="F4374" t="s">
        <v>11</v>
      </c>
      <c r="G4374" t="s">
        <v>417</v>
      </c>
      <c r="H4374" s="12">
        <v>2.0332671049876798</v>
      </c>
      <c r="I4374" s="11">
        <v>0.55830128017580904</v>
      </c>
      <c r="J4374" s="10">
        <v>0.57663867091693599</v>
      </c>
      <c r="K4374" s="29">
        <v>0.98289565623980701</v>
      </c>
    </row>
    <row r="4375" spans="1:11" x14ac:dyDescent="0.35">
      <c r="A4375" s="9" t="str">
        <f>HYPERLINK("http://www.ensembl.org/id/WBGene00219596", "WBGene00219596")</f>
        <v>WBGene00219596</v>
      </c>
      <c r="B4375" s="9"/>
      <c r="C4375" s="9"/>
      <c r="D4375" t="str">
        <f>"linc-140"</f>
        <v>linc-140</v>
      </c>
      <c r="F4375" t="s">
        <v>1510</v>
      </c>
      <c r="H4375" s="12">
        <v>2.0325488855818401</v>
      </c>
      <c r="I4375" s="11">
        <v>0.65696921664316399</v>
      </c>
      <c r="J4375" s="10">
        <v>0.51120071025650704</v>
      </c>
      <c r="K4375" s="29">
        <v>0.98289565623980701</v>
      </c>
    </row>
    <row r="4376" spans="1:11" x14ac:dyDescent="0.35">
      <c r="A4376" s="9" t="str">
        <f>HYPERLINK("http://www.ensembl.org/id/WBGene00000484", "WBGene00000484")</f>
        <v>WBGene00000484</v>
      </c>
      <c r="B4376" s="9" t="str">
        <f>HYPERLINK("http://www.ncbi.nlm.nih.gov/gene/180401", "180401")</f>
        <v>180401</v>
      </c>
      <c r="C4376" s="9" t="str">
        <f>HYPERLINK("http://www.ncbi.nlm.nih.gov/gene/57560", "57560")</f>
        <v>57560</v>
      </c>
      <c r="D4376" t="str">
        <f>"che-2"</f>
        <v>che-2</v>
      </c>
      <c r="E4376" t="s">
        <v>3093</v>
      </c>
      <c r="F4376" t="s">
        <v>11</v>
      </c>
      <c r="G4376" t="s">
        <v>3094</v>
      </c>
      <c r="H4376" s="12">
        <v>2.0323678475008702</v>
      </c>
      <c r="I4376" s="11">
        <v>1.4801921076241999</v>
      </c>
      <c r="J4376" s="10">
        <v>0.138821986076057</v>
      </c>
      <c r="K4376" s="29">
        <v>0.83038270159331196</v>
      </c>
    </row>
    <row r="4377" spans="1:11" x14ac:dyDescent="0.35">
      <c r="A4377" s="9" t="str">
        <f>HYPERLINK("http://www.ensembl.org/id/WBGene00008270", "WBGene00008270")</f>
        <v>WBGene00008270</v>
      </c>
      <c r="B4377" s="9" t="str">
        <f>HYPERLINK("http://www.ncbi.nlm.nih.gov/gene/179961", "179961")</f>
        <v>179961</v>
      </c>
      <c r="C4377" s="9"/>
      <c r="D4377" t="str">
        <f>"C53A5.13"</f>
        <v>C53A5.13</v>
      </c>
      <c r="F4377" t="s">
        <v>11</v>
      </c>
      <c r="G4377" t="s">
        <v>417</v>
      </c>
      <c r="H4377" s="12">
        <v>2.0321676271772899</v>
      </c>
      <c r="I4377" s="11">
        <v>2.1312871490040202</v>
      </c>
      <c r="J4377" s="10">
        <v>3.3065493121140203E-2</v>
      </c>
      <c r="K4377" s="29">
        <v>0.41280896709308901</v>
      </c>
    </row>
    <row r="4378" spans="1:11" x14ac:dyDescent="0.35">
      <c r="A4378" s="9" t="str">
        <f>HYPERLINK("http://www.ensembl.org/id/WBGene00020413", "WBGene00020413")</f>
        <v>WBGene00020413</v>
      </c>
      <c r="B4378" s="9" t="str">
        <f>HYPERLINK("http://www.ncbi.nlm.nih.gov/gene/172364", "172364")</f>
        <v>172364</v>
      </c>
      <c r="C4378" s="9"/>
      <c r="D4378" t="str">
        <f>"T10E9.3"</f>
        <v>T10E9.3</v>
      </c>
      <c r="F4378" t="s">
        <v>11</v>
      </c>
      <c r="H4378" s="12">
        <v>2.0319827305800899</v>
      </c>
      <c r="I4378" s="11">
        <v>2.3388069310349202</v>
      </c>
      <c r="J4378" s="10">
        <v>1.9345427855641199E-2</v>
      </c>
      <c r="K4378" s="29">
        <v>0.29446340977104501</v>
      </c>
    </row>
    <row r="4379" spans="1:11" x14ac:dyDescent="0.35">
      <c r="A4379" s="9" t="str">
        <f>HYPERLINK("http://www.ensembl.org/id/WBGene00045382", "WBGene00045382")</f>
        <v>WBGene00045382</v>
      </c>
      <c r="B4379" s="9" t="str">
        <f>HYPERLINK("http://www.ncbi.nlm.nih.gov/gene/6418736", "6418736")</f>
        <v>6418736</v>
      </c>
      <c r="C4379" s="9"/>
      <c r="D4379" t="str">
        <f>"T05E12.8"</f>
        <v>T05E12.8</v>
      </c>
      <c r="F4379" t="s">
        <v>11</v>
      </c>
      <c r="G4379" t="s">
        <v>25</v>
      </c>
      <c r="H4379" s="12">
        <v>2.0317456530978499</v>
      </c>
      <c r="I4379" s="11">
        <v>0.86348365084164502</v>
      </c>
      <c r="J4379" s="10">
        <v>0.38787160460583597</v>
      </c>
      <c r="K4379" s="29">
        <v>0.98289565623980701</v>
      </c>
    </row>
    <row r="4380" spans="1:11" x14ac:dyDescent="0.35">
      <c r="A4380" s="9" t="str">
        <f>HYPERLINK("http://www.ensembl.org/id/WBGene00044568", "WBGene00044568")</f>
        <v>WBGene00044568</v>
      </c>
      <c r="B4380" s="9" t="str">
        <f>HYPERLINK("http://www.ncbi.nlm.nih.gov/gene/3896872", "3896872")</f>
        <v>3896872</v>
      </c>
      <c r="C4380" s="9"/>
      <c r="D4380" t="str">
        <f>"ntc-1"</f>
        <v>ntc-1</v>
      </c>
      <c r="E4380" t="s">
        <v>3124</v>
      </c>
      <c r="F4380" t="s">
        <v>11</v>
      </c>
      <c r="G4380" t="s">
        <v>3125</v>
      </c>
      <c r="H4380" s="12">
        <v>2.0313986209309798</v>
      </c>
      <c r="I4380" s="11">
        <v>1.4728981386092299</v>
      </c>
      <c r="J4380" s="10">
        <v>0.14077850406598699</v>
      </c>
      <c r="K4380" s="29">
        <v>0.83300336047129897</v>
      </c>
    </row>
    <row r="4381" spans="1:11" x14ac:dyDescent="0.35">
      <c r="A4381" s="9" t="str">
        <f>HYPERLINK("http://www.ensembl.org/id/WBGene00016198", "WBGene00016198")</f>
        <v>WBGene00016198</v>
      </c>
      <c r="B4381" s="9" t="str">
        <f>HYPERLINK("http://www.ncbi.nlm.nih.gov/gene/182997", "182997")</f>
        <v>182997</v>
      </c>
      <c r="C4381" s="9"/>
      <c r="D4381" t="str">
        <f>"C28H8.7"</f>
        <v>C28H8.7</v>
      </c>
      <c r="F4381" t="s">
        <v>11</v>
      </c>
      <c r="H4381" s="12">
        <v>2.03127478285989</v>
      </c>
      <c r="I4381" s="11">
        <v>0.56104148229783701</v>
      </c>
      <c r="J4381" s="10">
        <v>0.57476925864226602</v>
      </c>
      <c r="K4381" s="29">
        <v>0.98289565623980701</v>
      </c>
    </row>
    <row r="4382" spans="1:11" x14ac:dyDescent="0.35">
      <c r="A4382" s="9" t="str">
        <f>HYPERLINK("http://www.ensembl.org/id/WBGene00022655", "WBGene00022655")</f>
        <v>WBGene00022655</v>
      </c>
      <c r="B4382" s="9" t="str">
        <f>HYPERLINK("http://www.ncbi.nlm.nih.gov/gene/191223", "191223")</f>
        <v>191223</v>
      </c>
      <c r="C4382" s="9"/>
      <c r="D4382" t="str">
        <f>"srsx-40"</f>
        <v>srsx-40</v>
      </c>
      <c r="E4382" t="s">
        <v>1639</v>
      </c>
      <c r="F4382" t="s">
        <v>11</v>
      </c>
      <c r="G4382" t="s">
        <v>25</v>
      </c>
      <c r="H4382" s="12">
        <v>2.0295824450766999</v>
      </c>
      <c r="I4382" s="11">
        <v>1.16926748046454</v>
      </c>
      <c r="J4382" s="10">
        <v>0.24229588087618401</v>
      </c>
      <c r="K4382" s="29">
        <v>0.98289565623980701</v>
      </c>
    </row>
    <row r="4383" spans="1:11" x14ac:dyDescent="0.35">
      <c r="A4383" s="9" t="str">
        <f>HYPERLINK("http://www.ensembl.org/id/WBGene00020414", "WBGene00020414")</f>
        <v>WBGene00020414</v>
      </c>
      <c r="B4383" s="9" t="str">
        <f>HYPERLINK("http://www.ncbi.nlm.nih.gov/gene/172362", "172362")</f>
        <v>172362</v>
      </c>
      <c r="C4383" s="9"/>
      <c r="D4383" t="str">
        <f>"T10E9.4"</f>
        <v>T10E9.4</v>
      </c>
      <c r="F4383" t="s">
        <v>11</v>
      </c>
      <c r="G4383" t="s">
        <v>25</v>
      </c>
      <c r="H4383" s="12">
        <v>2.0293265747254301</v>
      </c>
      <c r="I4383" s="11">
        <v>1.5091808094366601</v>
      </c>
      <c r="J4383" s="10">
        <v>0.131252582988479</v>
      </c>
      <c r="K4383" s="29">
        <v>0.81590588714871903</v>
      </c>
    </row>
    <row r="4384" spans="1:11" x14ac:dyDescent="0.35">
      <c r="A4384" s="9" t="str">
        <f>HYPERLINK("http://www.ensembl.org/id/WBGene00018288", "WBGene00018288")</f>
        <v>WBGene00018288</v>
      </c>
      <c r="B4384" s="9" t="str">
        <f>HYPERLINK("http://www.ncbi.nlm.nih.gov/gene/185618", "185618")</f>
        <v>185618</v>
      </c>
      <c r="C4384" s="9"/>
      <c r="D4384" t="str">
        <f>"F41E6.7"</f>
        <v>F41E6.7</v>
      </c>
      <c r="F4384" t="s">
        <v>11</v>
      </c>
      <c r="H4384" s="12">
        <v>2.0291970134253701</v>
      </c>
      <c r="I4384" s="11">
        <v>2.2635547013564099</v>
      </c>
      <c r="J4384" s="10">
        <v>2.3601516610687399E-2</v>
      </c>
      <c r="K4384" s="29">
        <v>0.33394772982642001</v>
      </c>
    </row>
    <row r="4385" spans="1:11" x14ac:dyDescent="0.35">
      <c r="A4385" s="9" t="str">
        <f>HYPERLINK("http://www.ensembl.org/id/WBGene00007395", "WBGene00007395")</f>
        <v>WBGene00007395</v>
      </c>
      <c r="B4385" s="9" t="str">
        <f>HYPERLINK("http://www.ncbi.nlm.nih.gov/gene/259679", "259679")</f>
        <v>259679</v>
      </c>
      <c r="C4385" s="9"/>
      <c r="D4385" t="str">
        <f>"dcar-1"</f>
        <v>dcar-1</v>
      </c>
      <c r="E4385" t="s">
        <v>418</v>
      </c>
      <c r="F4385" t="s">
        <v>11</v>
      </c>
      <c r="G4385" t="s">
        <v>419</v>
      </c>
      <c r="H4385" s="12">
        <v>2.0287490650984101</v>
      </c>
      <c r="I4385" s="11">
        <v>3.6194183905903801</v>
      </c>
      <c r="J4385" s="10">
        <v>2.9526591032838202E-4</v>
      </c>
      <c r="K4385" s="29">
        <v>1.53657975766838E-2</v>
      </c>
    </row>
    <row r="4386" spans="1:11" x14ac:dyDescent="0.35">
      <c r="A4386" s="9" t="str">
        <f>HYPERLINK("http://www.ensembl.org/id/WBGene00271810", "WBGene00271810")</f>
        <v>WBGene00271810</v>
      </c>
      <c r="B4386" s="9" t="str">
        <f>HYPERLINK("http://www.ncbi.nlm.nih.gov/gene/34700613", "34700613")</f>
        <v>34700613</v>
      </c>
      <c r="C4386" s="9"/>
      <c r="D4386" t="str">
        <f>"C27H5.12"</f>
        <v>C27H5.12</v>
      </c>
      <c r="F4386" t="s">
        <v>11</v>
      </c>
      <c r="H4386" s="12">
        <v>2.0284294410961401</v>
      </c>
      <c r="I4386" s="11">
        <v>0.58998411462379197</v>
      </c>
      <c r="J4386" s="10">
        <v>0.55520129953240505</v>
      </c>
      <c r="K4386" s="29">
        <v>0.98289565623980701</v>
      </c>
    </row>
    <row r="4387" spans="1:11" x14ac:dyDescent="0.35">
      <c r="A4387" s="9" t="str">
        <f>HYPERLINK("http://www.ensembl.org/id/WBGene00019661", "WBGene00019661")</f>
        <v>WBGene00019661</v>
      </c>
      <c r="B4387" s="9" t="str">
        <f>HYPERLINK("http://www.ncbi.nlm.nih.gov/gene/187312", "187312")</f>
        <v>187312</v>
      </c>
      <c r="C4387" s="9"/>
      <c r="D4387" t="str">
        <f>"K11H12.5"</f>
        <v>K11H12.5</v>
      </c>
      <c r="F4387" t="s">
        <v>11</v>
      </c>
      <c r="H4387" s="12">
        <v>2.0264058650782499</v>
      </c>
      <c r="I4387" s="11">
        <v>2.2118313998184398</v>
      </c>
      <c r="J4387" s="10">
        <v>2.6978316647504701E-2</v>
      </c>
      <c r="K4387" s="29">
        <v>0.36489858168663503</v>
      </c>
    </row>
    <row r="4388" spans="1:11" x14ac:dyDescent="0.35">
      <c r="A4388" s="9" t="str">
        <f>HYPERLINK("http://www.ensembl.org/id/WBGene00013548", "WBGene00013548")</f>
        <v>WBGene00013548</v>
      </c>
      <c r="B4388" s="9" t="str">
        <f>HYPERLINK("http://www.ncbi.nlm.nih.gov/gene/190703", "190703")</f>
        <v>190703</v>
      </c>
      <c r="C4388" s="9"/>
      <c r="D4388" t="str">
        <f>"lury-1"</f>
        <v>lury-1</v>
      </c>
      <c r="E4388" t="s">
        <v>1656</v>
      </c>
      <c r="F4388" t="s">
        <v>11</v>
      </c>
      <c r="H4388" s="12">
        <v>2.0263878895266898</v>
      </c>
      <c r="I4388" s="11">
        <v>2.0474387616000098</v>
      </c>
      <c r="J4388" s="10">
        <v>4.0615023819432397E-2</v>
      </c>
      <c r="K4388" s="29">
        <v>0.46527057033802899</v>
      </c>
    </row>
    <row r="4389" spans="1:11" x14ac:dyDescent="0.35">
      <c r="A4389" s="9" t="str">
        <f>HYPERLINK("http://www.ensembl.org/id/WBGene00017090", "WBGene00017090")</f>
        <v>WBGene00017090</v>
      </c>
      <c r="B4389" s="9" t="str">
        <f>HYPERLINK("http://www.ncbi.nlm.nih.gov/gene/266828", "266828")</f>
        <v>266828</v>
      </c>
      <c r="C4389" s="9"/>
      <c r="D4389" t="str">
        <f>"E01A2.8"</f>
        <v>E01A2.8</v>
      </c>
      <c r="F4389" t="s">
        <v>11</v>
      </c>
      <c r="H4389" s="12">
        <v>2.0261437073464901</v>
      </c>
      <c r="I4389" s="11">
        <v>0.43625339138457297</v>
      </c>
      <c r="J4389" s="10">
        <v>0.66265289419385698</v>
      </c>
      <c r="K4389" s="29">
        <v>0.98289565623980701</v>
      </c>
    </row>
    <row r="4390" spans="1:11" x14ac:dyDescent="0.35">
      <c r="A4390" s="9" t="str">
        <f>HYPERLINK("http://www.ensembl.org/id/WBGene00023172", "WBGene00023172")</f>
        <v>WBGene00023172</v>
      </c>
      <c r="B4390" s="9" t="str">
        <f>HYPERLINK("http://www.ncbi.nlm.nih.gov/gene/24105057", "24105057")</f>
        <v>24105057</v>
      </c>
      <c r="C4390" s="9"/>
      <c r="D4390" t="str">
        <f>"Y23H5A.8"</f>
        <v>Y23H5A.8</v>
      </c>
      <c r="F4390" t="s">
        <v>11</v>
      </c>
      <c r="H4390" s="12">
        <v>2.0256742168523401</v>
      </c>
      <c r="I4390" s="11">
        <v>0.71879391744898402</v>
      </c>
      <c r="J4390" s="10">
        <v>0.472267905962928</v>
      </c>
      <c r="K4390" s="29">
        <v>0.98289565623980701</v>
      </c>
    </row>
    <row r="4391" spans="1:11" x14ac:dyDescent="0.35">
      <c r="A4391" s="9" t="str">
        <f>HYPERLINK("http://www.ensembl.org/id/WBGene00020118", "WBGene00020118")</f>
        <v>WBGene00020118</v>
      </c>
      <c r="B4391" s="9" t="str">
        <f>HYPERLINK("http://www.ncbi.nlm.nih.gov/gene/187910", "187910")</f>
        <v>187910</v>
      </c>
      <c r="C4391" s="9"/>
      <c r="D4391" t="str">
        <f>"R155.4"</f>
        <v>R155.4</v>
      </c>
      <c r="F4391" t="s">
        <v>11</v>
      </c>
      <c r="H4391" s="12">
        <v>2.02548392423195</v>
      </c>
      <c r="I4391" s="11">
        <v>0.47769112605607</v>
      </c>
      <c r="J4391" s="10">
        <v>0.63287006123912504</v>
      </c>
      <c r="K4391" s="29">
        <v>0.98289565623980701</v>
      </c>
    </row>
    <row r="4392" spans="1:11" x14ac:dyDescent="0.35">
      <c r="A4392" s="9" t="str">
        <f>HYPERLINK("http://www.ensembl.org/id/WBGene00021395", "WBGene00021395")</f>
        <v>WBGene00021395</v>
      </c>
      <c r="B4392" s="9" t="str">
        <f>HYPERLINK("http://www.ncbi.nlm.nih.gov/gene/176833", "176833")</f>
        <v>176833</v>
      </c>
      <c r="C4392" s="9"/>
      <c r="D4392" t="str">
        <f>"pnc-1"</f>
        <v>pnc-1</v>
      </c>
      <c r="E4392" t="s">
        <v>409</v>
      </c>
      <c r="F4392" t="s">
        <v>11</v>
      </c>
      <c r="G4392" t="s">
        <v>410</v>
      </c>
      <c r="H4392" s="12">
        <v>2.0253867221538702</v>
      </c>
      <c r="I4392" s="11">
        <v>3.6690723047410798</v>
      </c>
      <c r="J4392" s="10">
        <v>2.4343222854470299E-4</v>
      </c>
      <c r="K4392" s="29">
        <v>1.31419277400792E-2</v>
      </c>
    </row>
    <row r="4393" spans="1:11" x14ac:dyDescent="0.35">
      <c r="A4393" s="9" t="str">
        <f>HYPERLINK("http://www.ensembl.org/id/WBGene00018252", "WBGene00018252")</f>
        <v>WBGene00018252</v>
      </c>
      <c r="B4393" s="9" t="str">
        <f>HYPERLINK("http://www.ncbi.nlm.nih.gov/gene/174025", "174025")</f>
        <v>174025</v>
      </c>
      <c r="C4393" s="9"/>
      <c r="D4393" t="str">
        <f>"F40H3.6"</f>
        <v>F40H3.6</v>
      </c>
      <c r="F4393" t="s">
        <v>11</v>
      </c>
      <c r="H4393" s="12">
        <v>2.0238753372957601</v>
      </c>
      <c r="I4393" s="11">
        <v>1.79515981823187</v>
      </c>
      <c r="J4393" s="10">
        <v>7.2628240414165796E-2</v>
      </c>
      <c r="K4393" s="29">
        <v>0.63422075699535696</v>
      </c>
    </row>
    <row r="4394" spans="1:11" x14ac:dyDescent="0.35">
      <c r="A4394" s="9" t="str">
        <f>HYPERLINK("http://www.ensembl.org/id/WBGene00005058", "WBGene00005058")</f>
        <v>WBGene00005058</v>
      </c>
      <c r="B4394" s="9" t="str">
        <f>HYPERLINK("http://www.ncbi.nlm.nih.gov/gene/181919", "181919")</f>
        <v>181919</v>
      </c>
      <c r="C4394" s="9"/>
      <c r="D4394" t="str">
        <f>"sra-32"</f>
        <v>sra-32</v>
      </c>
      <c r="E4394" t="s">
        <v>4451</v>
      </c>
      <c r="F4394" t="s">
        <v>11</v>
      </c>
      <c r="G4394" t="s">
        <v>1468</v>
      </c>
      <c r="H4394" s="12">
        <v>2.0238715613026201</v>
      </c>
      <c r="I4394" s="11">
        <v>0.59227828641652103</v>
      </c>
      <c r="J4394" s="10">
        <v>0.55366425358192095</v>
      </c>
      <c r="K4394" s="29">
        <v>0.98289565623980701</v>
      </c>
    </row>
    <row r="4395" spans="1:11" x14ac:dyDescent="0.35">
      <c r="A4395" s="9" t="str">
        <f>HYPERLINK("http://www.ensembl.org/id/WBGene00009308", "WBGene00009308")</f>
        <v>WBGene00009308</v>
      </c>
      <c r="B4395" s="9" t="str">
        <f>HYPERLINK("http://www.ncbi.nlm.nih.gov/gene/174957", "174957")</f>
        <v>174957</v>
      </c>
      <c r="C4395" s="9"/>
      <c r="D4395" t="str">
        <f>"F32A11.3"</f>
        <v>F32A11.3</v>
      </c>
      <c r="F4395" t="s">
        <v>11</v>
      </c>
      <c r="H4395" s="12">
        <v>2.0234394418703601</v>
      </c>
      <c r="I4395" s="11">
        <v>1.29839326295297</v>
      </c>
      <c r="J4395" s="10">
        <v>0.19415223299321299</v>
      </c>
      <c r="K4395" s="29">
        <v>0.93577002410120702</v>
      </c>
    </row>
    <row r="4396" spans="1:11" x14ac:dyDescent="0.35">
      <c r="A4396" s="9" t="str">
        <f>HYPERLINK("http://www.ensembl.org/id/WBGene00001732", "WBGene00001732")</f>
        <v>WBGene00001732</v>
      </c>
      <c r="B4396" s="9" t="str">
        <f>HYPERLINK("http://www.ncbi.nlm.nih.gov/gene/183983", "183983")</f>
        <v>183983</v>
      </c>
      <c r="C4396" s="9"/>
      <c r="D4396" t="str">
        <f>"grl-23"</f>
        <v>grl-23</v>
      </c>
      <c r="E4396" t="s">
        <v>353</v>
      </c>
      <c r="F4396" t="s">
        <v>11</v>
      </c>
      <c r="H4396" s="12">
        <v>2.0233039426056099</v>
      </c>
      <c r="I4396" s="11">
        <v>0.43200987878649599</v>
      </c>
      <c r="J4396" s="10">
        <v>0.66573423327585401</v>
      </c>
      <c r="K4396" s="29">
        <v>0.98289565623980701</v>
      </c>
    </row>
    <row r="4397" spans="1:11" x14ac:dyDescent="0.35">
      <c r="A4397" s="9" t="str">
        <f>HYPERLINK("http://www.ensembl.org/id/WBGene00015799", "WBGene00015799")</f>
        <v>WBGene00015799</v>
      </c>
      <c r="B4397" s="9" t="str">
        <f>HYPERLINK("http://www.ncbi.nlm.nih.gov/gene/182642", "182642")</f>
        <v>182642</v>
      </c>
      <c r="C4397" s="9"/>
      <c r="D4397" t="str">
        <f>"C15H9.3"</f>
        <v>C15H9.3</v>
      </c>
      <c r="F4397" t="s">
        <v>11</v>
      </c>
      <c r="G4397" t="s">
        <v>25</v>
      </c>
      <c r="H4397" s="12">
        <v>2.02327876448958</v>
      </c>
      <c r="I4397" s="11">
        <v>0.79492271066742004</v>
      </c>
      <c r="J4397" s="10">
        <v>0.42665846258363099</v>
      </c>
      <c r="K4397" s="29">
        <v>0.98289565623980701</v>
      </c>
    </row>
    <row r="4398" spans="1:11" x14ac:dyDescent="0.35">
      <c r="A4398" s="9" t="str">
        <f>HYPERLINK("http://www.ensembl.org/id/WBGene00022145", "WBGene00022145")</f>
        <v>WBGene00022145</v>
      </c>
      <c r="B4398" s="9" t="str">
        <f>HYPERLINK("http://www.ncbi.nlm.nih.gov/gene/190598", "190598")</f>
        <v>190598</v>
      </c>
      <c r="C4398" s="9"/>
      <c r="D4398" t="str">
        <f>"Y71G12B.5"</f>
        <v>Y71G12B.5</v>
      </c>
      <c r="F4398" t="s">
        <v>11</v>
      </c>
      <c r="H4398" s="12">
        <v>2.0230170191619998</v>
      </c>
      <c r="I4398" s="11">
        <v>0.71595820809908095</v>
      </c>
      <c r="J4398" s="10">
        <v>0.47401715468571998</v>
      </c>
      <c r="K4398" s="29">
        <v>0.98289565623980701</v>
      </c>
    </row>
    <row r="4399" spans="1:11" x14ac:dyDescent="0.35">
      <c r="A4399" s="9" t="str">
        <f>HYPERLINK("http://www.ensembl.org/id/WBGene00010515", "WBGene00010515")</f>
        <v>WBGene00010515</v>
      </c>
      <c r="B4399" s="9" t="str">
        <f>HYPERLINK("http://www.ncbi.nlm.nih.gov/gene/186897", "186897")</f>
        <v>186897</v>
      </c>
      <c r="C4399" s="9"/>
      <c r="D4399" t="str">
        <f>"K02E11.6"</f>
        <v>K02E11.6</v>
      </c>
      <c r="F4399" t="s">
        <v>11</v>
      </c>
      <c r="H4399" s="12">
        <v>2.0229659847240402</v>
      </c>
      <c r="I4399" s="11">
        <v>2.07289196011698</v>
      </c>
      <c r="J4399" s="10">
        <v>3.8182335435972298E-2</v>
      </c>
      <c r="K4399" s="29">
        <v>0.45012298090998798</v>
      </c>
    </row>
    <row r="4400" spans="1:11" x14ac:dyDescent="0.35">
      <c r="A4400" s="9" t="str">
        <f>HYPERLINK("http://www.ensembl.org/id/WBGene00044922", "WBGene00044922")</f>
        <v>WBGene00044922</v>
      </c>
      <c r="B4400" s="9" t="str">
        <f>HYPERLINK("http://www.ncbi.nlm.nih.gov/gene/4927022", "4927022")</f>
        <v>4927022</v>
      </c>
      <c r="C4400" s="9"/>
      <c r="D4400" t="str">
        <f>"Y43C5A.7"</f>
        <v>Y43C5A.7</v>
      </c>
      <c r="F4400" t="s">
        <v>11</v>
      </c>
      <c r="G4400" t="s">
        <v>25</v>
      </c>
      <c r="H4400" s="12">
        <v>2.02291371763783</v>
      </c>
      <c r="I4400" s="11">
        <v>2.0110873142829702</v>
      </c>
      <c r="J4400" s="10">
        <v>4.4316234879056199E-2</v>
      </c>
      <c r="K4400" s="29">
        <v>0.48770653983808399</v>
      </c>
    </row>
    <row r="4401" spans="1:11" x14ac:dyDescent="0.35">
      <c r="A4401" s="9" t="str">
        <f>HYPERLINK("http://www.ensembl.org/id/WBGene00001374", "WBGene00001374")</f>
        <v>WBGene00001374</v>
      </c>
      <c r="B4401" s="9" t="str">
        <f>HYPERLINK("http://www.ncbi.nlm.nih.gov/gene/179003", "179003")</f>
        <v>179003</v>
      </c>
      <c r="C4401" s="9"/>
      <c r="D4401" t="str">
        <f>"exp-2"</f>
        <v>exp-2</v>
      </c>
      <c r="F4401" t="s">
        <v>11</v>
      </c>
      <c r="G4401" t="s">
        <v>630</v>
      </c>
      <c r="H4401" s="12">
        <v>2.02274873614423</v>
      </c>
      <c r="I4401" s="11">
        <v>3.0723757633180302</v>
      </c>
      <c r="J4401" s="10">
        <v>2.1236221191038599E-3</v>
      </c>
      <c r="K4401" s="29">
        <v>6.7774050668527305E-2</v>
      </c>
    </row>
    <row r="4402" spans="1:11" x14ac:dyDescent="0.35">
      <c r="A4402" s="9" t="str">
        <f>HYPERLINK("http://www.ensembl.org/id/WBGene00009896", "WBGene00009896")</f>
        <v>WBGene00009896</v>
      </c>
      <c r="B4402" s="9" t="str">
        <f>HYPERLINK("http://www.ncbi.nlm.nih.gov/gene/178252", "178252")</f>
        <v>178252</v>
      </c>
      <c r="C4402" s="9"/>
      <c r="D4402" t="str">
        <f>"scl-3"</f>
        <v>scl-3</v>
      </c>
      <c r="E4402" t="s">
        <v>162</v>
      </c>
      <c r="F4402" t="s">
        <v>11</v>
      </c>
      <c r="G4402" t="s">
        <v>1508</v>
      </c>
      <c r="H4402" s="12">
        <v>2.0226141240498401</v>
      </c>
      <c r="I4402" s="11">
        <v>2.1437891709022101</v>
      </c>
      <c r="J4402" s="10">
        <v>3.2049783419962501E-2</v>
      </c>
      <c r="K4402" s="29">
        <v>0.40502669543522402</v>
      </c>
    </row>
    <row r="4403" spans="1:11" x14ac:dyDescent="0.35">
      <c r="A4403" s="9" t="str">
        <f>HYPERLINK("http://www.ensembl.org/id/WBGene00013511", "WBGene00013511")</f>
        <v>WBGene00013511</v>
      </c>
      <c r="B4403" s="9" t="str">
        <f>HYPERLINK("http://www.ncbi.nlm.nih.gov/gene/3565560", "3565560")</f>
        <v>3565560</v>
      </c>
      <c r="C4403" s="9"/>
      <c r="D4403" t="str">
        <f>"Y71A12B.15"</f>
        <v>Y71A12B.15</v>
      </c>
      <c r="F4403" t="s">
        <v>11</v>
      </c>
      <c r="H4403" s="12">
        <v>2.0220091943888798</v>
      </c>
      <c r="I4403" s="11">
        <v>1.2330972106725799</v>
      </c>
      <c r="J4403" s="10">
        <v>0.217539498024649</v>
      </c>
      <c r="K4403" s="29">
        <v>0.97042364854653596</v>
      </c>
    </row>
    <row r="4404" spans="1:11" x14ac:dyDescent="0.35">
      <c r="A4404" s="9" t="str">
        <f>HYPERLINK("http://www.ensembl.org/id/WBGene00005299", "WBGene00005299")</f>
        <v>WBGene00005299</v>
      </c>
      <c r="B4404" s="9" t="str">
        <f>HYPERLINK("http://www.ncbi.nlm.nih.gov/gene/191872", "191872")</f>
        <v>191872</v>
      </c>
      <c r="C4404" s="9"/>
      <c r="D4404" t="str">
        <f>"srh-78"</f>
        <v>srh-78</v>
      </c>
      <c r="E4404" t="s">
        <v>153</v>
      </c>
      <c r="F4404" t="s">
        <v>11</v>
      </c>
      <c r="G4404" t="s">
        <v>25</v>
      </c>
      <c r="H4404" s="12">
        <v>2.0219938732549201</v>
      </c>
      <c r="I4404" s="11">
        <v>0.64711809183902602</v>
      </c>
      <c r="J4404" s="10">
        <v>0.51755551704708602</v>
      </c>
      <c r="K4404" s="29">
        <v>0.98289565623980701</v>
      </c>
    </row>
    <row r="4405" spans="1:11" x14ac:dyDescent="0.35">
      <c r="A4405" s="9" t="str">
        <f>HYPERLINK("http://www.ensembl.org/id/WBGene00018336", "WBGene00018336")</f>
        <v>WBGene00018336</v>
      </c>
      <c r="B4405" s="9" t="str">
        <f>HYPERLINK("http://www.ncbi.nlm.nih.gov/gene/185655", "185655")</f>
        <v>185655</v>
      </c>
      <c r="C4405" s="9"/>
      <c r="D4405" t="str">
        <f>"F42A9.7"</f>
        <v>F42A9.7</v>
      </c>
      <c r="E4405" t="s">
        <v>899</v>
      </c>
      <c r="F4405" t="s">
        <v>11</v>
      </c>
      <c r="G4405" t="s">
        <v>3403</v>
      </c>
      <c r="H4405" s="12">
        <v>2.02061872036741</v>
      </c>
      <c r="I4405" s="11">
        <v>0.48134306317937497</v>
      </c>
      <c r="J4405" s="10">
        <v>0.63027269578885103</v>
      </c>
      <c r="K4405" s="29">
        <v>0.98289565623980701</v>
      </c>
    </row>
    <row r="4406" spans="1:11" x14ac:dyDescent="0.35">
      <c r="A4406" s="9" t="str">
        <f>HYPERLINK("http://www.ensembl.org/id/WBGene00009340", "WBGene00009340")</f>
        <v>WBGene00009340</v>
      </c>
      <c r="B4406" s="9" t="str">
        <f>HYPERLINK("http://www.ncbi.nlm.nih.gov/gene/179471", "179471")</f>
        <v>179471</v>
      </c>
      <c r="C4406" s="9"/>
      <c r="D4406" t="str">
        <f>"best-14"</f>
        <v>best-14</v>
      </c>
      <c r="E4406" t="s">
        <v>435</v>
      </c>
      <c r="F4406" t="s">
        <v>11</v>
      </c>
      <c r="H4406" s="12">
        <v>2.0198600127266002</v>
      </c>
      <c r="I4406" s="11">
        <v>3.5690191014527199</v>
      </c>
      <c r="J4406" s="10">
        <v>3.58320302623803E-4</v>
      </c>
      <c r="K4406" s="29">
        <v>1.8029183449309899E-2</v>
      </c>
    </row>
    <row r="4407" spans="1:11" x14ac:dyDescent="0.35">
      <c r="A4407" s="9" t="str">
        <f>HYPERLINK("http://www.ensembl.org/id/WBGene00018706", "WBGene00018706")</f>
        <v>WBGene00018706</v>
      </c>
      <c r="B4407" s="9" t="str">
        <f>HYPERLINK("http://www.ncbi.nlm.nih.gov/gene/178644", "178644")</f>
        <v>178644</v>
      </c>
      <c r="C4407" s="9" t="str">
        <f>HYPERLINK("http://www.ncbi.nlm.nih.gov/gene/256471", "256471")</f>
        <v>256471</v>
      </c>
      <c r="D4407" t="str">
        <f>"F52F10.2"</f>
        <v>F52F10.2</v>
      </c>
      <c r="F4407" t="s">
        <v>11</v>
      </c>
      <c r="G4407" t="s">
        <v>230</v>
      </c>
      <c r="H4407" s="12">
        <v>2.0197823741060099</v>
      </c>
      <c r="I4407" s="11">
        <v>1.23514023446086</v>
      </c>
      <c r="J4407" s="10">
        <v>0.21677831756382901</v>
      </c>
      <c r="K4407" s="29">
        <v>0.97033704099764395</v>
      </c>
    </row>
    <row r="4408" spans="1:11" x14ac:dyDescent="0.35">
      <c r="A4408" s="9" t="str">
        <f>HYPERLINK("http://www.ensembl.org/id/WBGene00006260", "WBGene00006260")</f>
        <v>WBGene00006260</v>
      </c>
      <c r="B4408" s="9" t="str">
        <f>HYPERLINK("http://www.ncbi.nlm.nih.gov/gene/192039", "192039")</f>
        <v>192039</v>
      </c>
      <c r="C4408" s="9"/>
      <c r="D4408" t="str">
        <f>"str-229"</f>
        <v>str-229</v>
      </c>
      <c r="E4408" t="s">
        <v>590</v>
      </c>
      <c r="F4408" t="s">
        <v>11</v>
      </c>
      <c r="G4408" t="s">
        <v>591</v>
      </c>
      <c r="H4408" s="12">
        <v>2.01845696420007</v>
      </c>
      <c r="I4408" s="11">
        <v>0.40462025161376802</v>
      </c>
      <c r="J4408" s="10">
        <v>0.68575667005793195</v>
      </c>
      <c r="K4408" s="29">
        <v>0.98289565623980701</v>
      </c>
    </row>
    <row r="4409" spans="1:11" x14ac:dyDescent="0.35">
      <c r="A4409" s="9" t="str">
        <f>HYPERLINK("http://www.ensembl.org/id/WBGene00016356", "WBGene00016356")</f>
        <v>WBGene00016356</v>
      </c>
      <c r="B4409" s="9" t="str">
        <f>HYPERLINK("http://www.ncbi.nlm.nih.gov/gene/173829", "173829")</f>
        <v>173829</v>
      </c>
      <c r="C4409" s="9"/>
      <c r="D4409" t="str">
        <f>"C33F10.8"</f>
        <v>C33F10.8</v>
      </c>
      <c r="F4409" t="s">
        <v>11</v>
      </c>
      <c r="G4409" t="s">
        <v>1020</v>
      </c>
      <c r="H4409" s="12">
        <v>2.0177037988192201</v>
      </c>
      <c r="I4409" s="11">
        <v>0.60253347283181102</v>
      </c>
      <c r="J4409" s="10">
        <v>0.54681908897585196</v>
      </c>
      <c r="K4409" s="29">
        <v>0.98289565623980701</v>
      </c>
    </row>
    <row r="4410" spans="1:11" x14ac:dyDescent="0.35">
      <c r="A4410" s="9" t="str">
        <f>HYPERLINK("http://www.ensembl.org/id/WBGene00015158", "WBGene00015158")</f>
        <v>WBGene00015158</v>
      </c>
      <c r="B4410" s="9" t="str">
        <f>HYPERLINK("http://www.ncbi.nlm.nih.gov/gene/181940", "181940")</f>
        <v>181940</v>
      </c>
      <c r="C4410" s="9"/>
      <c r="D4410" t="str">
        <f>"B0361.4"</f>
        <v>B0361.4</v>
      </c>
      <c r="F4410" t="s">
        <v>11</v>
      </c>
      <c r="G4410" t="s">
        <v>1183</v>
      </c>
      <c r="H4410" s="12">
        <v>2.0175276597863698</v>
      </c>
      <c r="I4410" s="11">
        <v>2.4089906210935501</v>
      </c>
      <c r="J4410" s="10">
        <v>1.59967090624712E-2</v>
      </c>
      <c r="K4410" s="29">
        <v>0.263262079485371</v>
      </c>
    </row>
    <row r="4411" spans="1:11" x14ac:dyDescent="0.35">
      <c r="A4411" s="9" t="str">
        <f>HYPERLINK("http://www.ensembl.org/id/WBGene00219458", "WBGene00219458")</f>
        <v>WBGene00219458</v>
      </c>
      <c r="B4411" s="9" t="str">
        <f>HYPERLINK("http://www.ncbi.nlm.nih.gov/gene/13198204", "13198204")</f>
        <v>13198204</v>
      </c>
      <c r="C4411" s="9"/>
      <c r="D4411" t="str">
        <f>"H21P03.10"</f>
        <v>H21P03.10</v>
      </c>
      <c r="F4411" t="s">
        <v>11</v>
      </c>
      <c r="H4411" s="12">
        <v>2.0174677342631799</v>
      </c>
      <c r="I4411" s="11">
        <v>0.292755713341387</v>
      </c>
      <c r="J4411" s="10">
        <v>0.76970888142491001</v>
      </c>
      <c r="K4411" s="29">
        <v>0.98289565623980701</v>
      </c>
    </row>
    <row r="4412" spans="1:11" x14ac:dyDescent="0.35">
      <c r="A4412" s="9" t="str">
        <f>HYPERLINK("http://www.ensembl.org/id/WBGene00235134", "WBGene00235134")</f>
        <v>WBGene00235134</v>
      </c>
      <c r="B4412" s="9" t="str">
        <f>HYPERLINK("http://www.ncbi.nlm.nih.gov/gene/24104795", "24104795")</f>
        <v>24104795</v>
      </c>
      <c r="C4412" s="9"/>
      <c r="D4412" t="str">
        <f>"R07H5.16"</f>
        <v>R07H5.16</v>
      </c>
      <c r="F4412" t="s">
        <v>11</v>
      </c>
      <c r="H4412" s="12">
        <v>2.0174677342631799</v>
      </c>
      <c r="I4412" s="11">
        <v>0.292755713341387</v>
      </c>
      <c r="J4412" s="10">
        <v>0.76970888142491001</v>
      </c>
      <c r="K4412" s="29">
        <v>0.98289565623980701</v>
      </c>
    </row>
    <row r="4413" spans="1:11" x14ac:dyDescent="0.35">
      <c r="A4413" s="9" t="str">
        <f>HYPERLINK("http://www.ensembl.org/id/WBGene00043061", "WBGene00043061")</f>
        <v>WBGene00043061</v>
      </c>
      <c r="B4413" s="9" t="str">
        <f>HYPERLINK("http://www.ncbi.nlm.nih.gov/gene/3564881", "3564881")</f>
        <v>3564881</v>
      </c>
      <c r="C4413" s="9"/>
      <c r="D4413" t="str">
        <f>"Y54G2A.38"</f>
        <v>Y54G2A.38</v>
      </c>
      <c r="E4413" t="s">
        <v>1828</v>
      </c>
      <c r="F4413" t="s">
        <v>11</v>
      </c>
      <c r="G4413" t="s">
        <v>1829</v>
      </c>
      <c r="H4413" s="12">
        <v>2.0174677342631799</v>
      </c>
      <c r="I4413" s="11">
        <v>0.292755713341387</v>
      </c>
      <c r="J4413" s="10">
        <v>0.76970888142491001</v>
      </c>
      <c r="K4413" s="29">
        <v>0.98289565623980701</v>
      </c>
    </row>
    <row r="4414" spans="1:11" x14ac:dyDescent="0.35">
      <c r="A4414" s="9" t="str">
        <f>HYPERLINK("http://www.ensembl.org/id/WBGene00044297", "WBGene00044297")</f>
        <v>WBGene00044297</v>
      </c>
      <c r="B4414" s="9" t="str">
        <f>HYPERLINK("http://www.ncbi.nlm.nih.gov/gene/3565112", "3565112")</f>
        <v>3565112</v>
      </c>
      <c r="C4414" s="9"/>
      <c r="D4414" t="str">
        <f>"C25B8.8"</f>
        <v>C25B8.8</v>
      </c>
      <c r="F4414" t="s">
        <v>11</v>
      </c>
      <c r="G4414" t="s">
        <v>25</v>
      </c>
      <c r="H4414" s="12">
        <v>2.01648744826129</v>
      </c>
      <c r="I4414" s="11">
        <v>1.45841727844945</v>
      </c>
      <c r="J4414" s="10">
        <v>0.144725560948466</v>
      </c>
      <c r="K4414" s="29">
        <v>0.84127854365528898</v>
      </c>
    </row>
    <row r="4415" spans="1:11" x14ac:dyDescent="0.35">
      <c r="A4415" s="9" t="str">
        <f>HYPERLINK("http://www.ensembl.org/id/WBGene00017082", "WBGene00017082")</f>
        <v>WBGene00017082</v>
      </c>
      <c r="B4415" s="9" t="str">
        <f>HYPERLINK("http://www.ncbi.nlm.nih.gov/gene/183970", "183970")</f>
        <v>183970</v>
      </c>
      <c r="C4415" s="9" t="str">
        <f>HYPERLINK("http://www.ncbi.nlm.nih.gov/gene/51741", "51741")</f>
        <v>51741</v>
      </c>
      <c r="D4415" t="str">
        <f>"DC2.5"</f>
        <v>DC2.5</v>
      </c>
      <c r="F4415" t="s">
        <v>11</v>
      </c>
      <c r="G4415" t="s">
        <v>489</v>
      </c>
      <c r="H4415" s="12">
        <v>2.0160409818903302</v>
      </c>
      <c r="I4415" s="11">
        <v>2.4118533347995599</v>
      </c>
      <c r="J4415" s="10">
        <v>1.58716647047463E-2</v>
      </c>
      <c r="K4415" s="29">
        <v>0.26195048904847701</v>
      </c>
    </row>
    <row r="4416" spans="1:11" x14ac:dyDescent="0.35">
      <c r="A4416" s="9" t="str">
        <f>HYPERLINK("http://www.ensembl.org/id/WBGene00005474", "WBGene00005474")</f>
        <v>WBGene00005474</v>
      </c>
      <c r="B4416" s="9" t="str">
        <f>HYPERLINK("http://www.ncbi.nlm.nih.gov/gene/191896", "191896")</f>
        <v>191896</v>
      </c>
      <c r="C4416" s="9"/>
      <c r="D4416" t="str">
        <f>"srh-268"</f>
        <v>srh-268</v>
      </c>
      <c r="E4416" t="s">
        <v>153</v>
      </c>
      <c r="F4416" t="s">
        <v>11</v>
      </c>
      <c r="G4416" t="s">
        <v>25</v>
      </c>
      <c r="H4416" s="12">
        <v>2.0152777183558301</v>
      </c>
      <c r="I4416" s="11">
        <v>0.40013292273727202</v>
      </c>
      <c r="J4416" s="10">
        <v>0.68905861643208999</v>
      </c>
      <c r="K4416" s="29">
        <v>0.98289565623980701</v>
      </c>
    </row>
    <row r="4417" spans="1:11" x14ac:dyDescent="0.35">
      <c r="A4417" s="9" t="str">
        <f>HYPERLINK("http://www.ensembl.org/id/WBGene00009241", "WBGene00009241")</f>
        <v>WBGene00009241</v>
      </c>
      <c r="B4417" s="9" t="str">
        <f>HYPERLINK("http://www.ncbi.nlm.nih.gov/gene/185099", "185099")</f>
        <v>185099</v>
      </c>
      <c r="C4417" s="9"/>
      <c r="D4417" t="str">
        <f>"F28H7.8"</f>
        <v>F28H7.8</v>
      </c>
      <c r="E4417" t="s">
        <v>764</v>
      </c>
      <c r="F4417" t="s">
        <v>11</v>
      </c>
      <c r="H4417" s="12">
        <v>2.0151832611430698</v>
      </c>
      <c r="I4417" s="11">
        <v>2.8761932151389802</v>
      </c>
      <c r="J4417" s="10">
        <v>4.0250324750857004E-3</v>
      </c>
      <c r="K4417" s="29">
        <v>0.105564586117287</v>
      </c>
    </row>
    <row r="4418" spans="1:11" x14ac:dyDescent="0.35">
      <c r="A4418" s="9" t="str">
        <f>HYPERLINK("http://www.ensembl.org/id/WBGene00016761", "WBGene00016761")</f>
        <v>WBGene00016761</v>
      </c>
      <c r="B4418" s="9" t="str">
        <f>HYPERLINK("http://www.ncbi.nlm.nih.gov/gene/183595", "183595")</f>
        <v>183595</v>
      </c>
      <c r="C4418" s="9" t="str">
        <f>HYPERLINK("http://www.ncbi.nlm.nih.gov/gene/6870", "6870")</f>
        <v>6870</v>
      </c>
      <c r="D4418" t="str">
        <f>"tkr-2"</f>
        <v>tkr-2</v>
      </c>
      <c r="E4418" t="s">
        <v>2584</v>
      </c>
      <c r="F4418" t="s">
        <v>11</v>
      </c>
      <c r="G4418" t="s">
        <v>271</v>
      </c>
      <c r="H4418" s="12">
        <v>2.0144253456461101</v>
      </c>
      <c r="I4418" s="11">
        <v>1.32264065657082</v>
      </c>
      <c r="J4418" s="10">
        <v>0.185954906996181</v>
      </c>
      <c r="K4418" s="29">
        <v>0.92501056642707302</v>
      </c>
    </row>
    <row r="4419" spans="1:11" x14ac:dyDescent="0.35">
      <c r="A4419" s="9" t="str">
        <f>HYPERLINK("http://www.ensembl.org/id/WBGene00304203", "WBGene00304203")</f>
        <v>WBGene00304203</v>
      </c>
      <c r="B4419" s="9"/>
      <c r="C4419" s="9"/>
      <c r="D4419" t="str">
        <f>"D1086.21"</f>
        <v>D1086.21</v>
      </c>
      <c r="F4419" t="s">
        <v>11</v>
      </c>
      <c r="H4419" s="12">
        <v>2.0142277897278702</v>
      </c>
      <c r="I4419" s="11">
        <v>0.76255692582913304</v>
      </c>
      <c r="J4419" s="10">
        <v>0.44572768146033898</v>
      </c>
      <c r="K4419" s="29">
        <v>0.98289565623980701</v>
      </c>
    </row>
    <row r="4420" spans="1:11" x14ac:dyDescent="0.35">
      <c r="A4420" s="9" t="str">
        <f>HYPERLINK("http://www.ensembl.org/id/WBGene00012763", "WBGene00012763")</f>
        <v>WBGene00012763</v>
      </c>
      <c r="B4420" s="9" t="str">
        <f>HYPERLINK("http://www.ncbi.nlm.nih.gov/gene/189829", "189829")</f>
        <v>189829</v>
      </c>
      <c r="C4420" s="9"/>
      <c r="D4420" t="str">
        <f>"atln-2"</f>
        <v>atln-2</v>
      </c>
      <c r="E4420" t="s">
        <v>546</v>
      </c>
      <c r="F4420" t="s">
        <v>11</v>
      </c>
      <c r="G4420" t="s">
        <v>547</v>
      </c>
      <c r="H4420" s="12">
        <v>2.0139861822137801</v>
      </c>
      <c r="I4420" s="11">
        <v>3.2168555736478699</v>
      </c>
      <c r="J4420" s="10">
        <v>1.2960382332342E-3</v>
      </c>
      <c r="K4420" s="29">
        <v>4.7484337275039798E-2</v>
      </c>
    </row>
    <row r="4421" spans="1:11" x14ac:dyDescent="0.35">
      <c r="A4421" s="9" t="str">
        <f>HYPERLINK("http://www.ensembl.org/id/WBGene00012791", "WBGene00012791")</f>
        <v>WBGene00012791</v>
      </c>
      <c r="B4421" s="9" t="str">
        <f>HYPERLINK("http://www.ncbi.nlm.nih.gov/gene/189854", "189854")</f>
        <v>189854</v>
      </c>
      <c r="C4421" s="9"/>
      <c r="D4421" t="str">
        <f>"Y43D4A.5"</f>
        <v>Y43D4A.5</v>
      </c>
      <c r="F4421" t="s">
        <v>11</v>
      </c>
      <c r="H4421" s="12">
        <v>2.0131523706431702</v>
      </c>
      <c r="I4421" s="11">
        <v>1.00877507295501</v>
      </c>
      <c r="J4421" s="10">
        <v>0.31308251830978101</v>
      </c>
      <c r="K4421" s="29">
        <v>0.98289565623980701</v>
      </c>
    </row>
    <row r="4422" spans="1:11" x14ac:dyDescent="0.35">
      <c r="A4422" s="9" t="str">
        <f>HYPERLINK("http://www.ensembl.org/id/WBGene00013103", "WBGene00013103")</f>
        <v>WBGene00013103</v>
      </c>
      <c r="B4422" s="9" t="str">
        <f>HYPERLINK("http://www.ncbi.nlm.nih.gov/gene/178460", "178460")</f>
        <v>178460</v>
      </c>
      <c r="C4422" s="9" t="str">
        <f>HYPERLINK("http://www.ncbi.nlm.nih.gov/gene/131669", "131669")</f>
        <v>131669</v>
      </c>
      <c r="D4422" t="str">
        <f>"Y51H4A.7"</f>
        <v>Y51H4A.7</v>
      </c>
      <c r="E4422" t="s">
        <v>373</v>
      </c>
      <c r="F4422" t="s">
        <v>11</v>
      </c>
      <c r="G4422" t="s">
        <v>374</v>
      </c>
      <c r="H4422" s="12">
        <v>2.0127752142257398</v>
      </c>
      <c r="I4422" s="11">
        <v>3.7870012380725</v>
      </c>
      <c r="J4422" s="10">
        <v>1.5247634073019899E-4</v>
      </c>
      <c r="K4422" s="29">
        <v>9.0568594573573E-3</v>
      </c>
    </row>
    <row r="4423" spans="1:11" x14ac:dyDescent="0.35">
      <c r="A4423" s="9" t="str">
        <f>HYPERLINK("http://www.ensembl.org/id/WBGene00016855", "WBGene00016855")</f>
        <v>WBGene00016855</v>
      </c>
      <c r="B4423" s="9" t="str">
        <f>HYPERLINK("http://www.ncbi.nlm.nih.gov/gene/183697", "183697")</f>
        <v>183697</v>
      </c>
      <c r="C4423" s="9"/>
      <c r="D4423" t="str">
        <f>"C50H11.8"</f>
        <v>C50H11.8</v>
      </c>
      <c r="F4423" t="s">
        <v>11</v>
      </c>
      <c r="H4423" s="12">
        <v>2.0125942542241302</v>
      </c>
      <c r="I4423" s="11">
        <v>0.69072238759390003</v>
      </c>
      <c r="J4423" s="10">
        <v>0.48974001753108698</v>
      </c>
      <c r="K4423" s="29">
        <v>0.98289565623980701</v>
      </c>
    </row>
    <row r="4424" spans="1:11" x14ac:dyDescent="0.35">
      <c r="A4424" s="9" t="str">
        <f>HYPERLINK("http://www.ensembl.org/id/WBGene00019906", "WBGene00019906")</f>
        <v>WBGene00019906</v>
      </c>
      <c r="B4424" s="9" t="str">
        <f>HYPERLINK("http://www.ncbi.nlm.nih.gov/gene/24104792", "24104792")</f>
        <v>24104792</v>
      </c>
      <c r="C4424" s="9"/>
      <c r="D4424" t="str">
        <f>"R05G9R.1"</f>
        <v>R05G9R.1</v>
      </c>
      <c r="F4424" t="s">
        <v>11</v>
      </c>
      <c r="H4424" s="12">
        <v>2.01191691396575</v>
      </c>
      <c r="I4424" s="11">
        <v>1.4801950034600799</v>
      </c>
      <c r="J4424" s="10">
        <v>0.138821213483941</v>
      </c>
      <c r="K4424" s="29">
        <v>0.83038270159331196</v>
      </c>
    </row>
    <row r="4425" spans="1:11" x14ac:dyDescent="0.35">
      <c r="A4425" s="9" t="str">
        <f>HYPERLINK("http://www.ensembl.org/id/WBGene00045336", "WBGene00045336")</f>
        <v>WBGene00045336</v>
      </c>
      <c r="B4425" s="9" t="str">
        <f>HYPERLINK("http://www.ncbi.nlm.nih.gov/gene/6418759", "6418759")</f>
        <v>6418759</v>
      </c>
      <c r="C4425" s="9"/>
      <c r="D4425" t="str">
        <f>"R11D1.12"</f>
        <v>R11D1.12</v>
      </c>
      <c r="F4425" t="s">
        <v>11</v>
      </c>
      <c r="H4425" s="12">
        <v>2.01178760570517</v>
      </c>
      <c r="I4425" s="11">
        <v>1.7466310067335999</v>
      </c>
      <c r="J4425" s="10">
        <v>8.0701365108913903E-2</v>
      </c>
      <c r="K4425" s="29">
        <v>0.66950682335351297</v>
      </c>
    </row>
    <row r="4426" spans="1:11" x14ac:dyDescent="0.35">
      <c r="A4426" s="9" t="str">
        <f>HYPERLINK("http://www.ensembl.org/id/WBGene00020155", "WBGene00020155")</f>
        <v>WBGene00020155</v>
      </c>
      <c r="B4426" s="9" t="str">
        <f>HYPERLINK("http://www.ncbi.nlm.nih.gov/gene/178592", "178592")</f>
        <v>178592</v>
      </c>
      <c r="C4426" s="9"/>
      <c r="D4426" t="str">
        <f>"T02B11.3"</f>
        <v>T02B11.3</v>
      </c>
      <c r="F4426" t="s">
        <v>11</v>
      </c>
      <c r="H4426" s="12">
        <v>2.0116904059759499</v>
      </c>
      <c r="I4426" s="11">
        <v>3.7074843010225602</v>
      </c>
      <c r="J4426" s="10">
        <v>2.09328388892899E-4</v>
      </c>
      <c r="K4426" s="29">
        <v>1.18257744590692E-2</v>
      </c>
    </row>
    <row r="4427" spans="1:11" x14ac:dyDescent="0.35">
      <c r="A4427" s="9" t="str">
        <f>HYPERLINK("http://www.ensembl.org/id/WBGene00020361", "WBGene00020361")</f>
        <v>WBGene00020361</v>
      </c>
      <c r="B4427" s="9" t="str">
        <f>HYPERLINK("http://www.ncbi.nlm.nih.gov/gene/173551", "173551")</f>
        <v>173551</v>
      </c>
      <c r="C4427" s="9"/>
      <c r="D4427" t="str">
        <f>"fbxc-19"</f>
        <v>fbxc-19</v>
      </c>
      <c r="E4427" t="s">
        <v>311</v>
      </c>
      <c r="F4427" t="s">
        <v>11</v>
      </c>
      <c r="H4427" s="12">
        <v>2.0116795542306498</v>
      </c>
      <c r="I4427" s="11">
        <v>1.44292279005152</v>
      </c>
      <c r="J4427" s="10">
        <v>0.14904222241382101</v>
      </c>
      <c r="K4427" s="29">
        <v>0.85157507198163895</v>
      </c>
    </row>
    <row r="4428" spans="1:11" x14ac:dyDescent="0.35">
      <c r="A4428" s="9" t="str">
        <f>HYPERLINK("http://www.ensembl.org/id/WBGene00015100", "WBGene00015100")</f>
        <v>WBGene00015100</v>
      </c>
      <c r="B4428" s="9" t="str">
        <f>HYPERLINK("http://www.ncbi.nlm.nih.gov/gene/175996", "175996")</f>
        <v>175996</v>
      </c>
      <c r="C4428" s="9"/>
      <c r="D4428" t="str">
        <f>"B0280.2"</f>
        <v>B0280.2</v>
      </c>
      <c r="F4428" t="s">
        <v>11</v>
      </c>
      <c r="H4428" s="12">
        <v>2.01094115602874</v>
      </c>
      <c r="I4428" s="11">
        <v>0.86045388666097</v>
      </c>
      <c r="J4428" s="10">
        <v>0.38953889244568002</v>
      </c>
      <c r="K4428" s="29">
        <v>0.98289565623980701</v>
      </c>
    </row>
    <row r="4429" spans="1:11" x14ac:dyDescent="0.35">
      <c r="A4429" s="9" t="str">
        <f>HYPERLINK("http://www.ensembl.org/id/WBGene00011021", "WBGene00011021")</f>
        <v>WBGene00011021</v>
      </c>
      <c r="B4429" s="9" t="str">
        <f>HYPERLINK("http://www.ncbi.nlm.nih.gov/gene/187595", "187595")</f>
        <v>187595</v>
      </c>
      <c r="C4429" s="9"/>
      <c r="D4429" t="str">
        <f>"R05A10.4"</f>
        <v>R05A10.4</v>
      </c>
      <c r="E4429" t="s">
        <v>1520</v>
      </c>
      <c r="F4429" t="s">
        <v>11</v>
      </c>
      <c r="G4429" t="s">
        <v>27</v>
      </c>
      <c r="H4429" s="12">
        <v>2.0108998743387598</v>
      </c>
      <c r="I4429" s="11">
        <v>2.1333271235157198</v>
      </c>
      <c r="J4429" s="10">
        <v>3.28979006956314E-2</v>
      </c>
      <c r="K4429" s="29">
        <v>0.411999400256509</v>
      </c>
    </row>
    <row r="4430" spans="1:11" x14ac:dyDescent="0.35">
      <c r="A4430" s="9" t="str">
        <f>HYPERLINK("http://www.ensembl.org/id/WBGene00016367", "WBGene00016367")</f>
        <v>WBGene00016367</v>
      </c>
      <c r="B4430" s="9" t="str">
        <f>HYPERLINK("http://www.ncbi.nlm.nih.gov/gene/183181", "183181")</f>
        <v>183181</v>
      </c>
      <c r="C4430" s="9"/>
      <c r="D4430" t="str">
        <f>"nhr-162"</f>
        <v>nhr-162</v>
      </c>
      <c r="E4430" t="s">
        <v>637</v>
      </c>
      <c r="F4430" t="s">
        <v>11</v>
      </c>
      <c r="G4430" t="s">
        <v>1073</v>
      </c>
      <c r="H4430" s="12">
        <v>2.01076697602914</v>
      </c>
      <c r="I4430" s="11">
        <v>1.9354170735580201</v>
      </c>
      <c r="J4430" s="10">
        <v>5.2939135823385802E-2</v>
      </c>
      <c r="K4430" s="29">
        <v>0.54037233514563099</v>
      </c>
    </row>
    <row r="4431" spans="1:11" x14ac:dyDescent="0.35">
      <c r="A4431" s="9" t="str">
        <f>HYPERLINK("http://www.ensembl.org/id/WBGene00044534", "WBGene00044534")</f>
        <v>WBGene00044534</v>
      </c>
      <c r="B4431" s="9" t="str">
        <f>HYPERLINK("http://www.ncbi.nlm.nih.gov/gene/3896830", "3896830")</f>
        <v>3896830</v>
      </c>
      <c r="C4431" s="9"/>
      <c r="D4431" t="str">
        <f>"H23N18.6"</f>
        <v>H23N18.6</v>
      </c>
      <c r="F4431" t="s">
        <v>11</v>
      </c>
      <c r="G4431" t="s">
        <v>25</v>
      </c>
      <c r="H4431" s="12">
        <v>2.01021575441372</v>
      </c>
      <c r="I4431" s="11">
        <v>1.02994711766215</v>
      </c>
      <c r="J4431" s="10">
        <v>0.303034830677885</v>
      </c>
      <c r="K4431" s="29">
        <v>0.98289565623980701</v>
      </c>
    </row>
    <row r="4432" spans="1:11" x14ac:dyDescent="0.35">
      <c r="A4432" s="9" t="str">
        <f>HYPERLINK("http://www.ensembl.org/id/WBGene00015629", "WBGene00015629")</f>
        <v>WBGene00015629</v>
      </c>
      <c r="B4432" s="9" t="str">
        <f>HYPERLINK("http://www.ncbi.nlm.nih.gov/gene/177271", "177271")</f>
        <v>177271</v>
      </c>
      <c r="C4432" s="9"/>
      <c r="D4432" t="str">
        <f>"C09B9.4"</f>
        <v>C09B9.4</v>
      </c>
      <c r="F4432" t="s">
        <v>11</v>
      </c>
      <c r="G4432" t="s">
        <v>1763</v>
      </c>
      <c r="H4432" s="12">
        <v>2.0087717501094899</v>
      </c>
      <c r="I4432" s="11">
        <v>0.74426918076508697</v>
      </c>
      <c r="J4432" s="10">
        <v>0.45671364234774903</v>
      </c>
      <c r="K4432" s="29">
        <v>0.98289565623980701</v>
      </c>
    </row>
    <row r="4433" spans="1:11" x14ac:dyDescent="0.35">
      <c r="A4433" s="9" t="str">
        <f>HYPERLINK("http://www.ensembl.org/id/WBGene00013896", "WBGene00013896")</f>
        <v>WBGene00013896</v>
      </c>
      <c r="B4433" s="9" t="str">
        <f>HYPERLINK("http://www.ncbi.nlm.nih.gov/gene/179756", "179756")</f>
        <v>179756</v>
      </c>
      <c r="C4433" s="9"/>
      <c r="D4433" t="str">
        <f>"ZC443.1"</f>
        <v>ZC443.1</v>
      </c>
      <c r="F4433" t="s">
        <v>11</v>
      </c>
      <c r="G4433" t="s">
        <v>692</v>
      </c>
      <c r="H4433" s="12">
        <v>2.00825288623939</v>
      </c>
      <c r="I4433" s="11">
        <v>2.9930960656505898</v>
      </c>
      <c r="J4433" s="10">
        <v>2.76162807139672E-3</v>
      </c>
      <c r="K4433" s="29">
        <v>8.0466807336308593E-2</v>
      </c>
    </row>
    <row r="4434" spans="1:11" x14ac:dyDescent="0.35">
      <c r="A4434" s="9" t="str">
        <f>HYPERLINK("http://www.ensembl.org/id/WBGene00011437", "WBGene00011437")</f>
        <v>WBGene00011437</v>
      </c>
      <c r="B4434" s="9" t="str">
        <f>HYPERLINK("http://www.ncbi.nlm.nih.gov/gene/179609", "179609")</f>
        <v>179609</v>
      </c>
      <c r="C4434" s="9"/>
      <c r="D4434" t="str">
        <f>"T04F3.2"</f>
        <v>T04F3.2</v>
      </c>
      <c r="F4434" t="s">
        <v>11</v>
      </c>
      <c r="G4434" t="s">
        <v>1534</v>
      </c>
      <c r="H4434" s="12">
        <v>2.0080562278330398</v>
      </c>
      <c r="I4434" s="11">
        <v>2.1211808118027302</v>
      </c>
      <c r="J4434" s="10">
        <v>3.3906589381818203E-2</v>
      </c>
      <c r="K4434" s="29">
        <v>0.41983346244860298</v>
      </c>
    </row>
    <row r="4435" spans="1:11" x14ac:dyDescent="0.35">
      <c r="A4435" s="9" t="str">
        <f>HYPERLINK("http://www.ensembl.org/id/WBGene00020335", "WBGene00020335")</f>
        <v>WBGene00020335</v>
      </c>
      <c r="B4435" s="9" t="str">
        <f>HYPERLINK("http://www.ncbi.nlm.nih.gov/gene/259716", "259716")</f>
        <v>259716</v>
      </c>
      <c r="C4435" s="9"/>
      <c r="D4435" t="str">
        <f>"ttr-30"</f>
        <v>ttr-30</v>
      </c>
      <c r="E4435" t="s">
        <v>16</v>
      </c>
      <c r="F4435" t="s">
        <v>11</v>
      </c>
      <c r="G4435" t="s">
        <v>17</v>
      </c>
      <c r="H4435" s="12">
        <v>2.00750570492474</v>
      </c>
      <c r="I4435" s="11">
        <v>1.9910950358350901</v>
      </c>
      <c r="J4435" s="10">
        <v>4.6470440115519901E-2</v>
      </c>
      <c r="K4435" s="29">
        <v>0.50076496843711304</v>
      </c>
    </row>
    <row r="4436" spans="1:11" x14ac:dyDescent="0.35">
      <c r="A4436" s="9" t="str">
        <f>HYPERLINK("http://www.ensembl.org/id/WBGene00007169", "WBGene00007169")</f>
        <v>WBGene00007169</v>
      </c>
      <c r="B4436" s="9" t="str">
        <f>HYPERLINK("http://www.ncbi.nlm.nih.gov/gene/175631", "175631")</f>
        <v>175631</v>
      </c>
      <c r="C4436" s="9"/>
      <c r="D4436" t="str">
        <f>"B0393.4"</f>
        <v>B0393.4</v>
      </c>
      <c r="F4436" t="s">
        <v>11</v>
      </c>
      <c r="G4436" t="s">
        <v>4452</v>
      </c>
      <c r="H4436" s="12">
        <v>2.0068261194175299</v>
      </c>
      <c r="I4436" s="11">
        <v>0.60583499417470499</v>
      </c>
      <c r="J4436" s="10">
        <v>0.54462432954854301</v>
      </c>
      <c r="K4436" s="29">
        <v>0.98289565623980701</v>
      </c>
    </row>
    <row r="4437" spans="1:11" x14ac:dyDescent="0.35">
      <c r="A4437" s="9" t="str">
        <f>HYPERLINK("http://www.ensembl.org/id/WBGene00012610", "WBGene00012610")</f>
        <v>WBGene00012610</v>
      </c>
      <c r="B4437" s="9" t="str">
        <f>HYPERLINK("http://www.ncbi.nlm.nih.gov/gene/189674", "189674")</f>
        <v>189674</v>
      </c>
      <c r="C4437" s="9"/>
      <c r="D4437" t="str">
        <f>"Y38F1A.8"</f>
        <v>Y38F1A.8</v>
      </c>
      <c r="F4437" t="s">
        <v>11</v>
      </c>
      <c r="G4437" t="s">
        <v>557</v>
      </c>
      <c r="H4437" s="12">
        <v>2.0068011019318002</v>
      </c>
      <c r="I4437" s="11">
        <v>3.1997971483045702</v>
      </c>
      <c r="J4437" s="10">
        <v>1.3752434224880801E-3</v>
      </c>
      <c r="K4437" s="29">
        <v>4.9728285633817697E-2</v>
      </c>
    </row>
    <row r="4438" spans="1:11" x14ac:dyDescent="0.35">
      <c r="A4438" s="9" t="str">
        <f>HYPERLINK("http://www.ensembl.org/id/WBGene00010251", "WBGene00010251")</f>
        <v>WBGene00010251</v>
      </c>
      <c r="B4438" s="9" t="str">
        <f>HYPERLINK("http://www.ncbi.nlm.nih.gov/gene/3565291", "3565291")</f>
        <v>3565291</v>
      </c>
      <c r="C4438" s="9"/>
      <c r="D4438" t="str">
        <f>"sta-2"</f>
        <v>sta-2</v>
      </c>
      <c r="E4438" t="s">
        <v>624</v>
      </c>
      <c r="F4438" t="s">
        <v>11</v>
      </c>
      <c r="G4438" t="s">
        <v>625</v>
      </c>
      <c r="H4438" s="12">
        <v>2.0065811605435799</v>
      </c>
      <c r="I4438" s="11">
        <v>3.0825423922545299</v>
      </c>
      <c r="J4438" s="10">
        <v>2.0524049518295001E-3</v>
      </c>
      <c r="K4438" s="29">
        <v>6.6418583777272194E-2</v>
      </c>
    </row>
    <row r="4439" spans="1:11" x14ac:dyDescent="0.35">
      <c r="A4439" s="9" t="str">
        <f>HYPERLINK("http://www.ensembl.org/id/WBGene00009824", "WBGene00009824")</f>
        <v>WBGene00009824</v>
      </c>
      <c r="B4439" s="9" t="str">
        <f>HYPERLINK("http://www.ncbi.nlm.nih.gov/gene/173272", "173272")</f>
        <v>173272</v>
      </c>
      <c r="C4439" s="9"/>
      <c r="D4439" t="str">
        <f>"gpdh-1"</f>
        <v>gpdh-1</v>
      </c>
      <c r="E4439" t="s">
        <v>3032</v>
      </c>
      <c r="F4439" t="s">
        <v>11</v>
      </c>
      <c r="G4439" t="s">
        <v>3033</v>
      </c>
      <c r="H4439" s="12">
        <v>2.0065778495202999</v>
      </c>
      <c r="I4439" s="11">
        <v>1.49486310231784</v>
      </c>
      <c r="J4439" s="10">
        <v>0.13495017362891601</v>
      </c>
      <c r="K4439" s="29">
        <v>0.82425554107050603</v>
      </c>
    </row>
    <row r="4440" spans="1:11" x14ac:dyDescent="0.35">
      <c r="A4440" s="9" t="str">
        <f>HYPERLINK("http://www.ensembl.org/id/WBGene00012942", "WBGene00012942")</f>
        <v>WBGene00012942</v>
      </c>
      <c r="B4440" s="9" t="str">
        <f>HYPERLINK("http://www.ncbi.nlm.nih.gov/gene/176573", "176573")</f>
        <v>176573</v>
      </c>
      <c r="C4440" s="9"/>
      <c r="D4440" t="str">
        <f>"Y47D3B.6"</f>
        <v>Y47D3B.6</v>
      </c>
      <c r="F4440" t="s">
        <v>11</v>
      </c>
      <c r="H4440" s="12">
        <v>2.0064472682532899</v>
      </c>
      <c r="I4440" s="11">
        <v>1.4736037328176901</v>
      </c>
      <c r="J4440" s="10">
        <v>0.14058831573279601</v>
      </c>
      <c r="K4440" s="29">
        <v>0.83300336047129897</v>
      </c>
    </row>
    <row r="4441" spans="1:11" x14ac:dyDescent="0.35">
      <c r="A4441" s="9" t="str">
        <f>HYPERLINK("http://www.ensembl.org/id/WBGene00005078", "WBGene00005078")</f>
        <v>WBGene00005078</v>
      </c>
      <c r="B4441" s="9" t="str">
        <f>HYPERLINK("http://www.ncbi.nlm.nih.gov/gene/173296", "173296")</f>
        <v>173296</v>
      </c>
      <c r="C4441" s="9" t="str">
        <f>HYPERLINK("http://www.ncbi.nlm.nih.gov/gene/2444", "2444")</f>
        <v>2444</v>
      </c>
      <c r="D4441" t="str">
        <f>"src-2"</f>
        <v>src-2</v>
      </c>
      <c r="E4441" t="s">
        <v>976</v>
      </c>
      <c r="F4441" t="s">
        <v>11</v>
      </c>
      <c r="G4441" t="s">
        <v>977</v>
      </c>
      <c r="H4441" s="12">
        <v>2.00513306452708</v>
      </c>
      <c r="I4441" s="11">
        <v>2.5951648134995602</v>
      </c>
      <c r="J4441" s="10">
        <v>9.4545570277194697E-3</v>
      </c>
      <c r="K4441" s="29">
        <v>0.18916807871574301</v>
      </c>
    </row>
    <row r="4442" spans="1:11" x14ac:dyDescent="0.35">
      <c r="A4442" s="9" t="str">
        <f>HYPERLINK("http://www.ensembl.org/id/WBGene00014091", "WBGene00014091")</f>
        <v>WBGene00014091</v>
      </c>
      <c r="B4442" s="9" t="str">
        <f>HYPERLINK("http://www.ncbi.nlm.nih.gov/gene/178125", "178125")</f>
        <v>178125</v>
      </c>
      <c r="C4442" s="9"/>
      <c r="D4442" t="str">
        <f>"ZK822.4"</f>
        <v>ZK822.4</v>
      </c>
      <c r="F4442" t="s">
        <v>11</v>
      </c>
      <c r="H4442" s="12">
        <v>2.0050049257056601</v>
      </c>
      <c r="I4442" s="11">
        <v>3.7929966632325498</v>
      </c>
      <c r="J4442" s="10">
        <v>1.4884015729815699E-4</v>
      </c>
      <c r="K4442" s="29">
        <v>8.9559913399250603E-3</v>
      </c>
    </row>
    <row r="4443" spans="1:11" x14ac:dyDescent="0.35">
      <c r="A4443" s="9" t="str">
        <f>HYPERLINK("http://www.ensembl.org/id/WBGene00019229", "WBGene00019229")</f>
        <v>WBGene00019229</v>
      </c>
      <c r="B4443" s="9" t="str">
        <f>HYPERLINK("http://www.ncbi.nlm.nih.gov/gene/186763", "186763")</f>
        <v>186763</v>
      </c>
      <c r="C4443" s="9"/>
      <c r="D4443" t="str">
        <f>"ipla-5"</f>
        <v>ipla-5</v>
      </c>
      <c r="E4443" t="s">
        <v>476</v>
      </c>
      <c r="F4443" t="s">
        <v>11</v>
      </c>
      <c r="G4443" t="s">
        <v>29</v>
      </c>
      <c r="H4443" s="12">
        <v>2.0045463489838098</v>
      </c>
      <c r="I4443" s="11">
        <v>0.497445460829399</v>
      </c>
      <c r="J4443" s="10">
        <v>0.61887495404981396</v>
      </c>
      <c r="K4443" s="29">
        <v>0.98289565623980701</v>
      </c>
    </row>
    <row r="4444" spans="1:11" x14ac:dyDescent="0.35">
      <c r="A4444" s="9" t="str">
        <f>HYPERLINK("http://www.ensembl.org/id/WBGene00019461", "WBGene00019461")</f>
        <v>WBGene00019461</v>
      </c>
      <c r="B4444" s="9" t="str">
        <f>HYPERLINK("http://www.ncbi.nlm.nih.gov/gene/171817", "171817")</f>
        <v>171817</v>
      </c>
      <c r="C4444" s="9"/>
      <c r="D4444" t="str">
        <f>"K07A3.3"</f>
        <v>K07A3.3</v>
      </c>
      <c r="F4444" t="s">
        <v>11</v>
      </c>
      <c r="G4444" t="s">
        <v>4453</v>
      </c>
      <c r="H4444" s="12">
        <v>2.0037928181520699</v>
      </c>
      <c r="I4444" s="11">
        <v>0.62714290026742103</v>
      </c>
      <c r="J4444" s="10">
        <v>0.53056556812426203</v>
      </c>
      <c r="K4444" s="29">
        <v>0.98289565623980701</v>
      </c>
    </row>
    <row r="4445" spans="1:11" x14ac:dyDescent="0.35">
      <c r="A4445" s="9" t="str">
        <f>HYPERLINK("http://www.ensembl.org/id/WBGene00022312", "WBGene00022312")</f>
        <v>WBGene00022312</v>
      </c>
      <c r="B4445" s="9" t="str">
        <f>HYPERLINK("http://www.ncbi.nlm.nih.gov/gene/190737", "190737")</f>
        <v>190737</v>
      </c>
      <c r="C4445" s="9"/>
      <c r="D4445" t="str">
        <f>"clec-171"</f>
        <v>clec-171</v>
      </c>
      <c r="E4445" t="s">
        <v>46</v>
      </c>
      <c r="F4445" t="s">
        <v>11</v>
      </c>
      <c r="H4445" s="12">
        <v>2.0036172596529398</v>
      </c>
      <c r="I4445" s="11">
        <v>0.52724725351279</v>
      </c>
      <c r="J4445" s="10">
        <v>0.59802189802268202</v>
      </c>
      <c r="K4445" s="29">
        <v>0.98289565623980701</v>
      </c>
    </row>
    <row r="4446" spans="1:11" x14ac:dyDescent="0.35">
      <c r="A4446" s="9" t="str">
        <f>HYPERLINK("http://www.ensembl.org/id/WBGene00005589", "WBGene00005589")</f>
        <v>WBGene00005589</v>
      </c>
      <c r="B4446" s="9" t="str">
        <f>HYPERLINK("http://www.ncbi.nlm.nih.gov/gene/191931", "191931")</f>
        <v>191931</v>
      </c>
      <c r="C4446" s="9"/>
      <c r="D4446" t="str">
        <f>"sri-77"</f>
        <v>sri-77</v>
      </c>
      <c r="E4446" t="s">
        <v>1503</v>
      </c>
      <c r="F4446" t="s">
        <v>11</v>
      </c>
      <c r="G4446" t="s">
        <v>25</v>
      </c>
      <c r="H4446" s="12">
        <v>2.0034308137885302</v>
      </c>
      <c r="I4446" s="11">
        <v>0.446830743463424</v>
      </c>
      <c r="J4446" s="10">
        <v>0.65499727192607704</v>
      </c>
      <c r="K4446" s="29">
        <v>0.98289565623980701</v>
      </c>
    </row>
    <row r="4447" spans="1:11" x14ac:dyDescent="0.35">
      <c r="A4447" s="9" t="str">
        <f>HYPERLINK("http://www.ensembl.org/id/WBGene00001736", "WBGene00001736")</f>
        <v>WBGene00001736</v>
      </c>
      <c r="B4447" s="9" t="str">
        <f>HYPERLINK("http://www.ncbi.nlm.nih.gov/gene/185516", "185516")</f>
        <v>185516</v>
      </c>
      <c r="C4447" s="9"/>
      <c r="D4447" t="str">
        <f>"grl-27"</f>
        <v>grl-27</v>
      </c>
      <c r="E4447" t="s">
        <v>353</v>
      </c>
      <c r="F4447" t="s">
        <v>11</v>
      </c>
      <c r="H4447" s="12">
        <v>2.0032892429759901</v>
      </c>
      <c r="I4447" s="11">
        <v>0.49851818414719201</v>
      </c>
      <c r="J4447" s="10">
        <v>0.61811885565893299</v>
      </c>
      <c r="K4447" s="29">
        <v>0.98289565623980701</v>
      </c>
    </row>
    <row r="4448" spans="1:11" x14ac:dyDescent="0.35">
      <c r="A4448" s="9" t="str">
        <f>HYPERLINK("http://www.ensembl.org/id/WBGene00018727", "WBGene00018727")</f>
        <v>WBGene00018727</v>
      </c>
      <c r="B4448" s="9" t="str">
        <f>HYPERLINK("http://www.ncbi.nlm.nih.gov/gene/181116", "181116")</f>
        <v>181116</v>
      </c>
      <c r="C4448" s="9"/>
      <c r="D4448" t="str">
        <f>"jbts-14"</f>
        <v>jbts-14</v>
      </c>
      <c r="E4448" t="s">
        <v>4454</v>
      </c>
      <c r="F4448" t="s">
        <v>11</v>
      </c>
      <c r="G4448" t="s">
        <v>4455</v>
      </c>
      <c r="H4448" s="12">
        <v>2.00317428802127</v>
      </c>
      <c r="I4448" s="11">
        <v>0.97059558747854102</v>
      </c>
      <c r="J4448" s="10">
        <v>0.33174970414476801</v>
      </c>
      <c r="K4448" s="29">
        <v>0.98289565623980701</v>
      </c>
    </row>
    <row r="4449" spans="1:11" x14ac:dyDescent="0.35">
      <c r="A4449" s="9" t="str">
        <f>HYPERLINK("http://www.ensembl.org/id/WBGene00013074", "WBGene00013074")</f>
        <v>WBGene00013074</v>
      </c>
      <c r="B4449" s="9" t="str">
        <f>HYPERLINK("http://www.ncbi.nlm.nih.gov/gene/180206", "180206")</f>
        <v>180206</v>
      </c>
      <c r="C4449" s="9" t="str">
        <f>HYPERLINK("http://www.ncbi.nlm.nih.gov/gene/114134", "114134")</f>
        <v>114134</v>
      </c>
      <c r="D4449" t="str">
        <f>"hmit-1.2"</f>
        <v>hmit-1.2</v>
      </c>
      <c r="E4449" t="s">
        <v>3143</v>
      </c>
      <c r="F4449" t="s">
        <v>11</v>
      </c>
      <c r="G4449" t="s">
        <v>4456</v>
      </c>
      <c r="H4449" s="12">
        <v>2.0031440814566701</v>
      </c>
      <c r="I4449" s="11">
        <v>1.14426048582755</v>
      </c>
      <c r="J4449" s="10">
        <v>0.25251562524075299</v>
      </c>
      <c r="K4449" s="29">
        <v>0.98289565623980701</v>
      </c>
    </row>
    <row r="4450" spans="1:11" x14ac:dyDescent="0.35">
      <c r="A4450" s="9" t="str">
        <f>HYPERLINK("http://www.ensembl.org/id/WBGene00021740", "WBGene00021740")</f>
        <v>WBGene00021740</v>
      </c>
      <c r="B4450" s="9" t="str">
        <f>HYPERLINK("http://www.ncbi.nlm.nih.gov/gene/190093", "190093")</f>
        <v>190093</v>
      </c>
      <c r="C4450" s="9"/>
      <c r="D4450" t="str">
        <f>"Y50D4B.1"</f>
        <v>Y50D4B.1</v>
      </c>
      <c r="F4450" t="s">
        <v>11</v>
      </c>
      <c r="H4450" s="12">
        <v>2.0030260026795901</v>
      </c>
      <c r="I4450" s="11">
        <v>3.1326251417697399</v>
      </c>
      <c r="J4450" s="10">
        <v>1.7325055419823399E-3</v>
      </c>
      <c r="K4450" s="29">
        <v>5.8956219518474198E-2</v>
      </c>
    </row>
    <row r="4451" spans="1:11" x14ac:dyDescent="0.35">
      <c r="A4451" s="9" t="str">
        <f>HYPERLINK("http://www.ensembl.org/id/WBGene00003763", "WBGene00003763")</f>
        <v>WBGene00003763</v>
      </c>
      <c r="B4451" s="9" t="str">
        <f>HYPERLINK("http://www.ncbi.nlm.nih.gov/gene/189877", "189877")</f>
        <v>189877</v>
      </c>
      <c r="C4451" s="9"/>
      <c r="D4451" t="str">
        <f>"nlp-25"</f>
        <v>nlp-25</v>
      </c>
      <c r="E4451" t="s">
        <v>76</v>
      </c>
      <c r="F4451" t="s">
        <v>11</v>
      </c>
      <c r="G4451" t="s">
        <v>77</v>
      </c>
      <c r="H4451" s="12">
        <v>2.0028478147829798</v>
      </c>
      <c r="I4451" s="11">
        <v>0.76363764580418303</v>
      </c>
      <c r="J4451" s="10">
        <v>0.445083208649665</v>
      </c>
      <c r="K4451" s="29">
        <v>0.98289565623980701</v>
      </c>
    </row>
    <row r="4452" spans="1:11" x14ac:dyDescent="0.35">
      <c r="A4452" s="9" t="str">
        <f>HYPERLINK("http://www.ensembl.org/id/WBGene00008890", "WBGene00008890")</f>
        <v>WBGene00008890</v>
      </c>
      <c r="B4452" s="9" t="str">
        <f>HYPERLINK("http://www.ncbi.nlm.nih.gov/gene/184572", "184572")</f>
        <v>184572</v>
      </c>
      <c r="C4452" s="9"/>
      <c r="D4452" t="str">
        <f>"ser-5"</f>
        <v>ser-5</v>
      </c>
      <c r="E4452" t="s">
        <v>2146</v>
      </c>
      <c r="F4452" t="s">
        <v>11</v>
      </c>
      <c r="G4452" t="s">
        <v>2147</v>
      </c>
      <c r="H4452" s="12">
        <v>2.0021796647932399</v>
      </c>
      <c r="I4452" s="11">
        <v>1.80125629098728</v>
      </c>
      <c r="J4452" s="10">
        <v>7.1662493652319303E-2</v>
      </c>
      <c r="K4452" s="29">
        <v>0.62983399708272703</v>
      </c>
    </row>
    <row r="4453" spans="1:11" x14ac:dyDescent="0.35">
      <c r="A4453" s="9" t="str">
        <f>HYPERLINK("http://www.ensembl.org/id/WBGene00020196", "WBGene00020196")</f>
        <v>WBGene00020196</v>
      </c>
      <c r="B4453" s="9" t="str">
        <f>HYPERLINK("http://www.ncbi.nlm.nih.gov/gene/188032", "188032")</f>
        <v>188032</v>
      </c>
      <c r="C4453" s="9" t="str">
        <f>HYPERLINK("http://www.ncbi.nlm.nih.gov/gene/153918", "153918")</f>
        <v>153918</v>
      </c>
      <c r="D4453" t="str">
        <f>"T03G11.3"</f>
        <v>T03G11.3</v>
      </c>
      <c r="E4453" t="s">
        <v>3215</v>
      </c>
      <c r="F4453" t="s">
        <v>11</v>
      </c>
      <c r="G4453" t="s">
        <v>51</v>
      </c>
      <c r="H4453" s="12">
        <v>2.00160246419895</v>
      </c>
      <c r="I4453" s="11">
        <v>1.44699960955824</v>
      </c>
      <c r="J4453" s="10">
        <v>0.14789703292235901</v>
      </c>
      <c r="K4453" s="29">
        <v>0.849293363403265</v>
      </c>
    </row>
    <row r="4454" spans="1:11" x14ac:dyDescent="0.35">
      <c r="A4454" s="9" t="str">
        <f>HYPERLINK("http://www.ensembl.org/id/WBGene00008792", "WBGene00008792")</f>
        <v>WBGene00008792</v>
      </c>
      <c r="B4454" s="9" t="str">
        <f>HYPERLINK("http://www.ncbi.nlm.nih.gov/gene/184465", "184465")</f>
        <v>184465</v>
      </c>
      <c r="C4454" s="9"/>
      <c r="D4454" t="str">
        <f>"F14D7.5"</f>
        <v>F14D7.5</v>
      </c>
      <c r="F4454" t="s">
        <v>11</v>
      </c>
      <c r="H4454" s="12">
        <v>2.0006742362199099</v>
      </c>
      <c r="I4454" s="11">
        <v>0.80431708172080196</v>
      </c>
      <c r="J4454" s="10">
        <v>0.42121387496401202</v>
      </c>
      <c r="K4454" s="29">
        <v>0.98289565623980701</v>
      </c>
    </row>
    <row r="4455" spans="1:11" x14ac:dyDescent="0.35">
      <c r="A4455" s="9" t="str">
        <f>HYPERLINK("http://www.ensembl.org/id/WBGene00001387", "WBGene00001387")</f>
        <v>WBGene00001387</v>
      </c>
      <c r="B4455" s="9" t="str">
        <f>HYPERLINK("http://www.ncbi.nlm.nih.gov/gene/179785", "179785")</f>
        <v>179785</v>
      </c>
      <c r="C4455" s="9"/>
      <c r="D4455" t="str">
        <f>"far-3"</f>
        <v>far-3</v>
      </c>
      <c r="E4455" t="s">
        <v>128</v>
      </c>
      <c r="F4455" t="s">
        <v>11</v>
      </c>
      <c r="G4455" t="s">
        <v>129</v>
      </c>
      <c r="H4455" s="12">
        <v>1.9996893368683</v>
      </c>
      <c r="I4455" s="11">
        <v>3.7102161428087901</v>
      </c>
      <c r="J4455" s="10">
        <v>2.0708237074325701E-4</v>
      </c>
      <c r="K4455" s="29">
        <v>1.1727561907827699E-2</v>
      </c>
    </row>
    <row r="4456" spans="1:11" x14ac:dyDescent="0.35">
      <c r="A4456" s="9" t="str">
        <f>HYPERLINK("http://www.ensembl.org/id/WBGene00012322", "WBGene00012322")</f>
        <v>WBGene00012322</v>
      </c>
      <c r="B4456" s="9" t="str">
        <f>HYPERLINK("http://www.ncbi.nlm.nih.gov/gene/174454", "174454")</f>
        <v>174454</v>
      </c>
      <c r="C4456" s="9"/>
      <c r="D4456" t="str">
        <f>"W07A12.4"</f>
        <v>W07A12.4</v>
      </c>
      <c r="F4456" t="s">
        <v>11</v>
      </c>
      <c r="G4456" t="s">
        <v>54</v>
      </c>
      <c r="H4456" s="12">
        <v>1.99962169656611</v>
      </c>
      <c r="I4456" s="11">
        <v>1.92996422217526</v>
      </c>
      <c r="J4456" s="10">
        <v>5.3611270953146599E-2</v>
      </c>
      <c r="K4456" s="29">
        <v>0.543069717949761</v>
      </c>
    </row>
    <row r="4457" spans="1:11" x14ac:dyDescent="0.35">
      <c r="A4457" s="9" t="str">
        <f>HYPERLINK("http://www.ensembl.org/id/WBGene00010521", "WBGene00010521")</f>
        <v>WBGene00010521</v>
      </c>
      <c r="B4457" s="9" t="str">
        <f>HYPERLINK("http://www.ncbi.nlm.nih.gov/gene/186918", "186918")</f>
        <v>186918</v>
      </c>
      <c r="C4457" s="9"/>
      <c r="D4457" t="str">
        <f>"K03A11.4"</f>
        <v>K03A11.4</v>
      </c>
      <c r="F4457" t="s">
        <v>11</v>
      </c>
      <c r="G4457" t="s">
        <v>790</v>
      </c>
      <c r="H4457" s="12">
        <v>1.9995414715499999</v>
      </c>
      <c r="I4457" s="11">
        <v>1.68709222476715</v>
      </c>
      <c r="J4457" s="10">
        <v>9.15856198840138E-2</v>
      </c>
      <c r="K4457" s="29">
        <v>0.70002558155475503</v>
      </c>
    </row>
    <row r="4458" spans="1:11" x14ac:dyDescent="0.35">
      <c r="A4458" s="9" t="str">
        <f>HYPERLINK("http://www.ensembl.org/id/WBGene00077712", "WBGene00077712")</f>
        <v>WBGene00077712</v>
      </c>
      <c r="B4458" s="9" t="str">
        <f>HYPERLINK("http://www.ncbi.nlm.nih.gov/gene/179167", "179167")</f>
        <v>179167</v>
      </c>
      <c r="C4458" s="9"/>
      <c r="D4458" t="str">
        <f>"nipi-4"</f>
        <v>nipi-4</v>
      </c>
      <c r="F4458" t="s">
        <v>11</v>
      </c>
      <c r="G4458" t="s">
        <v>444</v>
      </c>
      <c r="H4458" s="12">
        <v>1.99913263136995</v>
      </c>
      <c r="I4458" s="11">
        <v>2.1542162493214301</v>
      </c>
      <c r="J4458" s="10">
        <v>3.1223217138160599E-2</v>
      </c>
      <c r="K4458" s="29">
        <v>0.39748961718696302</v>
      </c>
    </row>
    <row r="4459" spans="1:11" x14ac:dyDescent="0.35">
      <c r="A4459" s="9" t="str">
        <f>HYPERLINK("http://www.ensembl.org/id/WBGene00020474", "WBGene00020474")</f>
        <v>WBGene00020474</v>
      </c>
      <c r="B4459" s="9" t="str">
        <f>HYPERLINK("http://www.ncbi.nlm.nih.gov/gene/188469", "188469")</f>
        <v>188469</v>
      </c>
      <c r="C4459" s="9"/>
      <c r="D4459" t="str">
        <f>"lips-13"</f>
        <v>lips-13</v>
      </c>
      <c r="E4459" t="s">
        <v>430</v>
      </c>
      <c r="F4459" t="s">
        <v>11</v>
      </c>
      <c r="G4459" t="s">
        <v>431</v>
      </c>
      <c r="H4459" s="12">
        <v>1.99779819320082</v>
      </c>
      <c r="I4459" s="11">
        <v>0.83527812317549599</v>
      </c>
      <c r="J4459" s="10">
        <v>0.40356113197549298</v>
      </c>
      <c r="K4459" s="29">
        <v>0.98289565623980701</v>
      </c>
    </row>
    <row r="4460" spans="1:11" x14ac:dyDescent="0.35">
      <c r="A4460" s="9" t="str">
        <f>HYPERLINK("http://www.ensembl.org/id/WBGene00018538", "WBGene00018538")</f>
        <v>WBGene00018538</v>
      </c>
      <c r="B4460" s="9" t="str">
        <f>HYPERLINK("http://www.ncbi.nlm.nih.gov/gene/180665", "180665")</f>
        <v>180665</v>
      </c>
      <c r="C4460" s="9"/>
      <c r="D4460" t="str">
        <f>"marg-1"</f>
        <v>marg-1</v>
      </c>
      <c r="E4460" t="s">
        <v>1339</v>
      </c>
      <c r="F4460" t="s">
        <v>11</v>
      </c>
      <c r="H4460" s="12">
        <v>1.9976372821822299</v>
      </c>
      <c r="I4460" s="11">
        <v>2.27100612909519</v>
      </c>
      <c r="J4460" s="10">
        <v>2.3146606918008201E-2</v>
      </c>
      <c r="K4460" s="29">
        <v>0.33054728025185198</v>
      </c>
    </row>
    <row r="4461" spans="1:11" x14ac:dyDescent="0.35">
      <c r="A4461" s="9" t="str">
        <f>HYPERLINK("http://www.ensembl.org/id/WBGene00003485", "WBGene00003485")</f>
        <v>WBGene00003485</v>
      </c>
      <c r="B4461" s="9" t="str">
        <f>HYPERLINK("http://www.ncbi.nlm.nih.gov/gene/181698", "181698")</f>
        <v>181698</v>
      </c>
      <c r="C4461" s="9" t="str">
        <f>HYPERLINK("http://www.ncbi.nlm.nih.gov/gene/84823", "84823")</f>
        <v>84823</v>
      </c>
      <c r="D4461" t="str">
        <f>"mua-6"</f>
        <v>mua-6</v>
      </c>
      <c r="E4461" t="s">
        <v>507</v>
      </c>
      <c r="F4461" t="s">
        <v>11</v>
      </c>
      <c r="H4461" s="12">
        <v>1.99733442386824</v>
      </c>
      <c r="I4461" s="11">
        <v>3.3295368821495499</v>
      </c>
      <c r="J4461" s="10">
        <v>8.6990542182595397E-4</v>
      </c>
      <c r="K4461" s="29">
        <v>3.5078594549232997E-2</v>
      </c>
    </row>
    <row r="4462" spans="1:11" x14ac:dyDescent="0.35">
      <c r="A4462" s="9" t="str">
        <f>HYPERLINK("http://www.ensembl.org/id/WBGene00219294", "WBGene00219294")</f>
        <v>WBGene00219294</v>
      </c>
      <c r="B4462" s="9" t="str">
        <f>HYPERLINK("http://www.ncbi.nlm.nih.gov/gene/13187267", "13187267")</f>
        <v>13187267</v>
      </c>
      <c r="C4462" s="9"/>
      <c r="D4462" t="str">
        <f>"F43G6.16"</f>
        <v>F43G6.16</v>
      </c>
      <c r="F4462" t="s">
        <v>11</v>
      </c>
      <c r="H4462" s="12">
        <v>1.9967117650486701</v>
      </c>
      <c r="I4462" s="11">
        <v>0.76365885654149701</v>
      </c>
      <c r="J4462" s="10">
        <v>0.445070565230545</v>
      </c>
      <c r="K4462" s="29">
        <v>0.98289565623980701</v>
      </c>
    </row>
    <row r="4463" spans="1:11" x14ac:dyDescent="0.35">
      <c r="A4463" s="9" t="str">
        <f>HYPERLINK("http://www.ensembl.org/id/WBGene00017873", "WBGene00017873")</f>
        <v>WBGene00017873</v>
      </c>
      <c r="B4463" s="9" t="str">
        <f>HYPERLINK("http://www.ncbi.nlm.nih.gov/gene/185031", "185031")</f>
        <v>185031</v>
      </c>
      <c r="C4463" s="9"/>
      <c r="D4463" t="str">
        <f>"F28A10.5"</f>
        <v>F28A10.5</v>
      </c>
      <c r="F4463" t="s">
        <v>11</v>
      </c>
      <c r="H4463" s="12">
        <v>1.9964179237031401</v>
      </c>
      <c r="I4463" s="11">
        <v>0.80988461830018499</v>
      </c>
      <c r="J4463" s="10">
        <v>0.418006493065607</v>
      </c>
      <c r="K4463" s="29">
        <v>0.98289565623980701</v>
      </c>
    </row>
    <row r="4464" spans="1:11" x14ac:dyDescent="0.35">
      <c r="A4464" s="9" t="str">
        <f>HYPERLINK("http://www.ensembl.org/id/WBGene00008783", "WBGene00008783")</f>
        <v>WBGene00008783</v>
      </c>
      <c r="B4464" s="9" t="str">
        <f>HYPERLINK("http://www.ncbi.nlm.nih.gov/gene/173102", "173102")</f>
        <v>173102</v>
      </c>
      <c r="C4464" s="9"/>
      <c r="D4464" t="str">
        <f>"F14B6.2"</f>
        <v>F14B6.2</v>
      </c>
      <c r="F4464" t="s">
        <v>11</v>
      </c>
      <c r="G4464" t="s">
        <v>372</v>
      </c>
      <c r="H4464" s="12">
        <v>1.99641000729018</v>
      </c>
      <c r="I4464" s="11">
        <v>2.90123179122146</v>
      </c>
      <c r="J4464" s="10">
        <v>3.71698821126666E-3</v>
      </c>
      <c r="K4464" s="29">
        <v>9.9555887476760002E-2</v>
      </c>
    </row>
    <row r="4465" spans="1:11" x14ac:dyDescent="0.35">
      <c r="A4465" s="9" t="str">
        <f>HYPERLINK("http://www.ensembl.org/id/WBGene00021146", "WBGene00021146")</f>
        <v>WBGene00021146</v>
      </c>
      <c r="B4465" s="9" t="str">
        <f>HYPERLINK("http://www.ncbi.nlm.nih.gov/gene/189345", "189345")</f>
        <v>189345</v>
      </c>
      <c r="C4465" s="9"/>
      <c r="D4465" t="str">
        <f>"lgc-45"</f>
        <v>lgc-45</v>
      </c>
      <c r="E4465" t="s">
        <v>505</v>
      </c>
      <c r="F4465" t="s">
        <v>11</v>
      </c>
      <c r="G4465" t="s">
        <v>506</v>
      </c>
      <c r="H4465" s="12">
        <v>1.99597927590736</v>
      </c>
      <c r="I4465" s="11">
        <v>2.7926149529647799</v>
      </c>
      <c r="J4465" s="10">
        <v>5.2283886814135502E-3</v>
      </c>
      <c r="K4465" s="29">
        <v>0.12518875530854001</v>
      </c>
    </row>
    <row r="4466" spans="1:11" x14ac:dyDescent="0.35">
      <c r="A4466" s="9" t="str">
        <f>HYPERLINK("http://www.ensembl.org/id/WBGene00012433", "WBGene00012433")</f>
        <v>WBGene00012433</v>
      </c>
      <c r="B4466" s="9" t="str">
        <f>HYPERLINK("http://www.ncbi.nlm.nih.gov/gene/189434", "189434")</f>
        <v>189434</v>
      </c>
      <c r="C4466" s="9"/>
      <c r="D4466" t="str">
        <f>"Y11D7A.9"</f>
        <v>Y11D7A.9</v>
      </c>
      <c r="F4466" t="s">
        <v>11</v>
      </c>
      <c r="G4466" t="s">
        <v>557</v>
      </c>
      <c r="H4466" s="12">
        <v>1.99540187286253</v>
      </c>
      <c r="I4466" s="11">
        <v>1.3545029177611401</v>
      </c>
      <c r="J4466" s="10">
        <v>0.17557598315158099</v>
      </c>
      <c r="K4466" s="29">
        <v>0.90516398321222002</v>
      </c>
    </row>
    <row r="4467" spans="1:11" x14ac:dyDescent="0.35">
      <c r="A4467" s="9" t="str">
        <f>HYPERLINK("http://www.ensembl.org/id/WBGene00001676", "WBGene00001676")</f>
        <v>WBGene00001676</v>
      </c>
      <c r="B4467" s="9" t="str">
        <f>HYPERLINK("http://www.ncbi.nlm.nih.gov/gene/172269", "172269")</f>
        <v>172269</v>
      </c>
      <c r="C4467" s="9"/>
      <c r="D4467" t="str">
        <f>"gpa-14"</f>
        <v>gpa-14</v>
      </c>
      <c r="E4467" t="s">
        <v>1796</v>
      </c>
      <c r="F4467" t="s">
        <v>11</v>
      </c>
      <c r="G4467" t="s">
        <v>1797</v>
      </c>
      <c r="H4467" s="12">
        <v>1.9947411464888101</v>
      </c>
      <c r="I4467" s="11">
        <v>1.9675931559077999</v>
      </c>
      <c r="J4467" s="10">
        <v>4.9114867851022002E-2</v>
      </c>
      <c r="K4467" s="29">
        <v>0.51743967831273996</v>
      </c>
    </row>
    <row r="4468" spans="1:11" x14ac:dyDescent="0.35">
      <c r="A4468" s="9" t="str">
        <f>HYPERLINK("http://www.ensembl.org/id/WBGene00003939", "WBGene00003939")</f>
        <v>WBGene00003939</v>
      </c>
      <c r="B4468" s="9" t="str">
        <f>HYPERLINK("http://www.ncbi.nlm.nih.gov/gene/185022", "185022")</f>
        <v>185022</v>
      </c>
      <c r="C4468" s="9"/>
      <c r="D4468" t="str">
        <f>"pax-3"</f>
        <v>pax-3</v>
      </c>
      <c r="E4468" t="s">
        <v>1141</v>
      </c>
      <c r="F4468" t="s">
        <v>11</v>
      </c>
      <c r="G4468" t="s">
        <v>1142</v>
      </c>
      <c r="H4468" s="12">
        <v>1.9947196077307501</v>
      </c>
      <c r="I4468" s="11">
        <v>2.4473996303927299</v>
      </c>
      <c r="J4468" s="10">
        <v>1.4389119599318E-2</v>
      </c>
      <c r="K4468" s="29">
        <v>0.24693800569967</v>
      </c>
    </row>
    <row r="4469" spans="1:11" x14ac:dyDescent="0.35">
      <c r="A4469" s="9" t="str">
        <f>HYPERLINK("http://www.ensembl.org/id/WBGene00022245", "WBGene00022245")</f>
        <v>WBGene00022245</v>
      </c>
      <c r="B4469" s="9" t="str">
        <f>HYPERLINK("http://www.ncbi.nlm.nih.gov/gene/177407", "177407")</f>
        <v>177407</v>
      </c>
      <c r="C4469" s="9"/>
      <c r="D4469" t="str">
        <f>"acp-6"</f>
        <v>acp-6</v>
      </c>
      <c r="E4469" t="s">
        <v>36</v>
      </c>
      <c r="F4469" t="s">
        <v>11</v>
      </c>
      <c r="G4469" t="s">
        <v>37</v>
      </c>
      <c r="H4469" s="12">
        <v>1.99464685777283</v>
      </c>
      <c r="I4469" s="11">
        <v>3.55484733601179</v>
      </c>
      <c r="J4469" s="10">
        <v>3.7819861357305402E-4</v>
      </c>
      <c r="K4469" s="29">
        <v>1.87524831871652E-2</v>
      </c>
    </row>
    <row r="4470" spans="1:11" x14ac:dyDescent="0.35">
      <c r="A4470" s="9" t="str">
        <f>HYPERLINK("http://www.ensembl.org/id/WBGene00021848", "WBGene00021848")</f>
        <v>WBGene00021848</v>
      </c>
      <c r="B4470" s="9" t="str">
        <f>HYPERLINK("http://www.ncbi.nlm.nih.gov/gene/190264", "190264")</f>
        <v>190264</v>
      </c>
      <c r="C4470" s="9"/>
      <c r="D4470" t="str">
        <f>"nhr-239"</f>
        <v>nhr-239</v>
      </c>
      <c r="E4470" t="s">
        <v>637</v>
      </c>
      <c r="F4470" t="s">
        <v>11</v>
      </c>
      <c r="G4470" t="s">
        <v>4457</v>
      </c>
      <c r="H4470" s="12">
        <v>1.9927689016035799</v>
      </c>
      <c r="I4470" s="11">
        <v>0.51338057897929501</v>
      </c>
      <c r="J4470" s="10">
        <v>0.60768512805999897</v>
      </c>
      <c r="K4470" s="29">
        <v>0.98289565623980701</v>
      </c>
    </row>
    <row r="4471" spans="1:11" x14ac:dyDescent="0.35">
      <c r="A4471" s="9" t="str">
        <f>HYPERLINK("http://www.ensembl.org/id/WBGene00021463", "WBGene00021463")</f>
        <v>WBGene00021463</v>
      </c>
      <c r="B4471" s="9" t="str">
        <f>HYPERLINK("http://www.ncbi.nlm.nih.gov/gene/189770", "189770")</f>
        <v>189770</v>
      </c>
      <c r="C4471" s="9"/>
      <c r="D4471" t="str">
        <f>"zeel-1"</f>
        <v>zeel-1</v>
      </c>
      <c r="F4471" t="s">
        <v>11</v>
      </c>
      <c r="G4471" t="s">
        <v>1307</v>
      </c>
      <c r="H4471" s="12">
        <v>1.9917407383152499</v>
      </c>
      <c r="I4471" s="11">
        <v>2.3036804232219499</v>
      </c>
      <c r="J4471" s="10">
        <v>2.1240589571098499E-2</v>
      </c>
      <c r="K4471" s="29">
        <v>0.31360067899667898</v>
      </c>
    </row>
    <row r="4472" spans="1:11" x14ac:dyDescent="0.35">
      <c r="A4472" s="9" t="str">
        <f>HYPERLINK("http://www.ensembl.org/id/WBGene00000055", "WBGene00000055")</f>
        <v>WBGene00000055</v>
      </c>
      <c r="B4472" s="9" t="str">
        <f>HYPERLINK("http://www.ncbi.nlm.nih.gov/gene/179235", "179235")</f>
        <v>179235</v>
      </c>
      <c r="C4472" s="9" t="str">
        <f>HYPERLINK("http://www.ncbi.nlm.nih.gov/gene/1139", "1139")</f>
        <v>1139</v>
      </c>
      <c r="D4472" t="str">
        <f>"acr-16"</f>
        <v>acr-16</v>
      </c>
      <c r="E4472" t="s">
        <v>869</v>
      </c>
      <c r="F4472" t="s">
        <v>11</v>
      </c>
      <c r="G4472" t="s">
        <v>870</v>
      </c>
      <c r="H4472" s="12">
        <v>1.99168421439249</v>
      </c>
      <c r="I4472" s="11">
        <v>2.7555919206824302</v>
      </c>
      <c r="J4472" s="10">
        <v>5.8586040082430398E-3</v>
      </c>
      <c r="K4472" s="29">
        <v>0.134839373287204</v>
      </c>
    </row>
    <row r="4473" spans="1:11" x14ac:dyDescent="0.35">
      <c r="A4473" s="9" t="str">
        <f>HYPERLINK("http://www.ensembl.org/id/WBGene00017681", "WBGene00017681")</f>
        <v>WBGene00017681</v>
      </c>
      <c r="B4473" s="9" t="str">
        <f>HYPERLINK("http://www.ncbi.nlm.nih.gov/gene/184790", "184790")</f>
        <v>184790</v>
      </c>
      <c r="C4473" s="9"/>
      <c r="D4473" t="str">
        <f>"slc-17.5"</f>
        <v>slc-17.5</v>
      </c>
      <c r="E4473" t="s">
        <v>584</v>
      </c>
      <c r="F4473" t="s">
        <v>11</v>
      </c>
      <c r="G4473" t="s">
        <v>230</v>
      </c>
      <c r="H4473" s="12">
        <v>1.9905036503329301</v>
      </c>
      <c r="I4473" s="11">
        <v>2.8562974183687699</v>
      </c>
      <c r="J4473" s="10">
        <v>4.2861342598181197E-3</v>
      </c>
      <c r="K4473" s="29">
        <v>0.109641298898315</v>
      </c>
    </row>
    <row r="4474" spans="1:11" x14ac:dyDescent="0.35">
      <c r="A4474" s="9" t="str">
        <f>HYPERLINK("http://www.ensembl.org/id/WBGene00019204", "WBGene00019204")</f>
        <v>WBGene00019204</v>
      </c>
      <c r="B4474" s="9" t="str">
        <f>HYPERLINK("http://www.ncbi.nlm.nih.gov/gene/179271", "179271")</f>
        <v>179271</v>
      </c>
      <c r="C4474" s="9" t="str">
        <f>HYPERLINK("http://www.ncbi.nlm.nih.gov/gene/2678", "2678")</f>
        <v>2678</v>
      </c>
      <c r="D4474" t="str">
        <f>"H14N18.4"</f>
        <v>H14N18.4</v>
      </c>
      <c r="F4474" t="s">
        <v>11</v>
      </c>
      <c r="G4474" t="s">
        <v>412</v>
      </c>
      <c r="H4474" s="12">
        <v>1.9904724766561199</v>
      </c>
      <c r="I4474" s="11">
        <v>3.65347916860543</v>
      </c>
      <c r="J4474" s="10">
        <v>2.5871078663039499E-4</v>
      </c>
      <c r="K4474" s="29">
        <v>1.3710484944683301E-2</v>
      </c>
    </row>
    <row r="4475" spans="1:11" x14ac:dyDescent="0.35">
      <c r="A4475" s="9" t="str">
        <f>HYPERLINK("http://www.ensembl.org/id/WBGene00004233", "WBGene00004233")</f>
        <v>WBGene00004233</v>
      </c>
      <c r="B4475" s="9" t="str">
        <f>HYPERLINK("http://www.ncbi.nlm.nih.gov/gene/191751", "191751")</f>
        <v>191751</v>
      </c>
      <c r="C4475" s="9" t="str">
        <f>HYPERLINK("http://www.ncbi.nlm.nih.gov/gene/374308", "374308")</f>
        <v>374308</v>
      </c>
      <c r="D4475" t="str">
        <f>"ptr-19"</f>
        <v>ptr-19</v>
      </c>
      <c r="E4475" t="s">
        <v>134</v>
      </c>
      <c r="F4475" t="s">
        <v>11</v>
      </c>
      <c r="G4475" t="s">
        <v>404</v>
      </c>
      <c r="H4475" s="12">
        <v>1.99013878150785</v>
      </c>
      <c r="I4475" s="11">
        <v>1.4590203767919101</v>
      </c>
      <c r="J4475" s="10">
        <v>0.14455949937775101</v>
      </c>
      <c r="K4475" s="29">
        <v>0.84103890742224097</v>
      </c>
    </row>
    <row r="4476" spans="1:11" x14ac:dyDescent="0.35">
      <c r="A4476" s="9" t="str">
        <f>HYPERLINK("http://www.ensembl.org/id/WBGene00003071", "WBGene00003071")</f>
        <v>WBGene00003071</v>
      </c>
      <c r="B4476" s="9" t="str">
        <f>HYPERLINK("http://www.ncbi.nlm.nih.gov/gene/172520", "172520")</f>
        <v>172520</v>
      </c>
      <c r="C4476" s="9" t="str">
        <f>HYPERLINK("http://www.ncbi.nlm.nih.gov/gene/4036", "4036")</f>
        <v>4036</v>
      </c>
      <c r="D4476" t="str">
        <f>"lrp-1"</f>
        <v>lrp-1</v>
      </c>
      <c r="E4476" t="s">
        <v>441</v>
      </c>
      <c r="F4476" t="s">
        <v>11</v>
      </c>
      <c r="G4476" t="s">
        <v>442</v>
      </c>
      <c r="H4476" s="12">
        <v>1.9897530893595301</v>
      </c>
      <c r="I4476" s="11">
        <v>3.55105783257078</v>
      </c>
      <c r="J4476" s="10">
        <v>3.8368609745075103E-4</v>
      </c>
      <c r="K4476" s="29">
        <v>1.8906941150120499E-2</v>
      </c>
    </row>
    <row r="4477" spans="1:11" x14ac:dyDescent="0.35">
      <c r="A4477" s="9" t="str">
        <f>HYPERLINK("http://www.ensembl.org/id/WBGene00219649", "WBGene00219649")</f>
        <v>WBGene00219649</v>
      </c>
      <c r="B4477" s="9"/>
      <c r="C4477" s="9"/>
      <c r="D4477" t="str">
        <f>"linc-55"</f>
        <v>linc-55</v>
      </c>
      <c r="F4477" t="s">
        <v>1510</v>
      </c>
      <c r="H4477" s="12">
        <v>1.9891205394062901</v>
      </c>
      <c r="I4477" s="11">
        <v>0.724969109565478</v>
      </c>
      <c r="J4477" s="10">
        <v>0.46847098137266802</v>
      </c>
      <c r="K4477" s="29">
        <v>0.98289565623980701</v>
      </c>
    </row>
    <row r="4478" spans="1:11" x14ac:dyDescent="0.35">
      <c r="A4478" s="9" t="str">
        <f>HYPERLINK("http://www.ensembl.org/id/WBGene00012618", "WBGene00012618")</f>
        <v>WBGene00012618</v>
      </c>
      <c r="B4478" s="9"/>
      <c r="C4478" s="9"/>
      <c r="D4478" t="str">
        <f>"dct-10"</f>
        <v>dct-10</v>
      </c>
      <c r="F4478" t="s">
        <v>80</v>
      </c>
      <c r="H4478" s="12">
        <v>1.9889697573457601</v>
      </c>
      <c r="I4478" s="11">
        <v>0.44660898768005403</v>
      </c>
      <c r="J4478" s="10">
        <v>0.65515740513554199</v>
      </c>
      <c r="K4478" s="29">
        <v>0.98289565623980701</v>
      </c>
    </row>
    <row r="4479" spans="1:11" x14ac:dyDescent="0.35">
      <c r="A4479" s="9" t="str">
        <f>HYPERLINK("http://www.ensembl.org/id/WBGene00010716", "WBGene00010716")</f>
        <v>WBGene00010716</v>
      </c>
      <c r="B4479" s="9" t="str">
        <f>HYPERLINK("http://www.ncbi.nlm.nih.gov/gene/187206", "187206")</f>
        <v>187206</v>
      </c>
      <c r="C4479" s="9"/>
      <c r="D4479" t="str">
        <f>"lge-1"</f>
        <v>lge-1</v>
      </c>
      <c r="E4479" t="s">
        <v>2354</v>
      </c>
      <c r="F4479" t="s">
        <v>11</v>
      </c>
      <c r="G4479" t="s">
        <v>1389</v>
      </c>
      <c r="H4479" s="12">
        <v>1.9878853272516299</v>
      </c>
      <c r="I4479" s="11">
        <v>1.7069114275911199</v>
      </c>
      <c r="J4479" s="10">
        <v>8.7838516460749194E-2</v>
      </c>
      <c r="K4479" s="29">
        <v>0.69064774952796104</v>
      </c>
    </row>
    <row r="4480" spans="1:11" x14ac:dyDescent="0.35">
      <c r="A4480" s="9" t="str">
        <f>HYPERLINK("http://www.ensembl.org/id/WBGene00219847", "WBGene00219847")</f>
        <v>WBGene00219847</v>
      </c>
      <c r="B4480" s="9"/>
      <c r="C4480" s="9"/>
      <c r="D4480" t="str">
        <f>"C34E11.20"</f>
        <v>C34E11.20</v>
      </c>
      <c r="F4480" t="s">
        <v>2977</v>
      </c>
      <c r="H4480" s="12">
        <v>1.98766028945159</v>
      </c>
      <c r="I4480" s="11">
        <v>0.55342289211455298</v>
      </c>
      <c r="J4480" s="10">
        <v>0.57997386703185105</v>
      </c>
      <c r="K4480" s="29">
        <v>0.98289565623980701</v>
      </c>
    </row>
    <row r="4481" spans="1:11" x14ac:dyDescent="0.35">
      <c r="A4481" s="9" t="str">
        <f>HYPERLINK("http://www.ensembl.org/id/WBGene00012814", "WBGene00012814")</f>
        <v>WBGene00012814</v>
      </c>
      <c r="B4481" s="9" t="str">
        <f>HYPERLINK("http://www.ncbi.nlm.nih.gov/gene/180277", "180277")</f>
        <v>180277</v>
      </c>
      <c r="C4481" s="9"/>
      <c r="D4481" t="str">
        <f>"Y43F8B.3"</f>
        <v>Y43F8B.3</v>
      </c>
      <c r="F4481" t="s">
        <v>11</v>
      </c>
      <c r="G4481" t="s">
        <v>50</v>
      </c>
      <c r="H4481" s="12">
        <v>1.9875081613240599</v>
      </c>
      <c r="I4481" s="11">
        <v>1.6443967709660099</v>
      </c>
      <c r="J4481" s="10">
        <v>0.10009427168228199</v>
      </c>
      <c r="K4481" s="29">
        <v>0.73142891887755201</v>
      </c>
    </row>
    <row r="4482" spans="1:11" x14ac:dyDescent="0.35">
      <c r="A4482" s="9" t="str">
        <f>HYPERLINK("http://www.ensembl.org/id/WBGene00006873", "WBGene00006873")</f>
        <v>WBGene00006873</v>
      </c>
      <c r="B4482" s="9" t="str">
        <f>HYPERLINK("http://www.ncbi.nlm.nih.gov/gene/176521", "176521")</f>
        <v>176521</v>
      </c>
      <c r="C4482" s="9"/>
      <c r="D4482" t="str">
        <f>"vab-7"</f>
        <v>vab-7</v>
      </c>
      <c r="E4482" t="s">
        <v>1654</v>
      </c>
      <c r="F4482" t="s">
        <v>11</v>
      </c>
      <c r="G4482" t="s">
        <v>1655</v>
      </c>
      <c r="H4482" s="12">
        <v>1.98740808173051</v>
      </c>
      <c r="I4482" s="11">
        <v>2.0485370647714398</v>
      </c>
      <c r="J4482" s="10">
        <v>4.0507404168773797E-2</v>
      </c>
      <c r="K4482" s="29">
        <v>0.46472893779726299</v>
      </c>
    </row>
    <row r="4483" spans="1:11" x14ac:dyDescent="0.35">
      <c r="A4483" s="9" t="str">
        <f>HYPERLINK("http://www.ensembl.org/id/WBGene00014700", "WBGene00014700")</f>
        <v>WBGene00014700</v>
      </c>
      <c r="B4483" s="9" t="str">
        <f>HYPERLINK("http://www.ncbi.nlm.nih.gov/gene/13182953", "13182953")</f>
        <v>13182953</v>
      </c>
      <c r="C4483" s="9"/>
      <c r="D4483" t="str">
        <f>"C37A5.6"</f>
        <v>C37A5.6</v>
      </c>
      <c r="F4483" t="s">
        <v>11</v>
      </c>
      <c r="G4483" t="s">
        <v>264</v>
      </c>
      <c r="H4483" s="12">
        <v>1.98725080593175</v>
      </c>
      <c r="I4483" s="11">
        <v>0.46131282638100501</v>
      </c>
      <c r="J4483" s="10">
        <v>0.64457418396405297</v>
      </c>
      <c r="K4483" s="29">
        <v>0.98289565623980701</v>
      </c>
    </row>
    <row r="4484" spans="1:11" x14ac:dyDescent="0.35">
      <c r="A4484" s="9" t="str">
        <f>HYPERLINK("http://www.ensembl.org/id/WBGene00044210", "WBGene00044210")</f>
        <v>WBGene00044210</v>
      </c>
      <c r="B4484" s="9" t="str">
        <f>HYPERLINK("http://www.ncbi.nlm.nih.gov/gene/3565933", "3565933")</f>
        <v>3565933</v>
      </c>
      <c r="C4484" s="9"/>
      <c r="D4484" t="str">
        <f>"Y51A2D.21"</f>
        <v>Y51A2D.21</v>
      </c>
      <c r="F4484" t="s">
        <v>11</v>
      </c>
      <c r="G4484" t="s">
        <v>25</v>
      </c>
      <c r="H4484" s="12">
        <v>1.9869314477445399</v>
      </c>
      <c r="I4484" s="11">
        <v>2.2812434479398802</v>
      </c>
      <c r="J4484" s="10">
        <v>2.2534045072333499E-2</v>
      </c>
      <c r="K4484" s="29">
        <v>0.32439775454069297</v>
      </c>
    </row>
    <row r="4485" spans="1:11" x14ac:dyDescent="0.35">
      <c r="A4485" s="9" t="str">
        <f>HYPERLINK("http://www.ensembl.org/id/WBGene00013853", "WBGene00013853")</f>
        <v>WBGene00013853</v>
      </c>
      <c r="B4485" s="9" t="str">
        <f>HYPERLINK("http://www.ncbi.nlm.nih.gov/gene/259343", "259343")</f>
        <v>259343</v>
      </c>
      <c r="C4485" s="9"/>
      <c r="D4485" t="str">
        <f>"ZC116.1"</f>
        <v>ZC116.1</v>
      </c>
      <c r="F4485" t="s">
        <v>11</v>
      </c>
      <c r="H4485" s="12">
        <v>1.98636554516435</v>
      </c>
      <c r="I4485" s="11">
        <v>3.67606497978226</v>
      </c>
      <c r="J4485" s="10">
        <v>2.3685921551833299E-4</v>
      </c>
      <c r="K4485" s="29">
        <v>1.29145735723109E-2</v>
      </c>
    </row>
    <row r="4486" spans="1:11" x14ac:dyDescent="0.35">
      <c r="A4486" s="9" t="str">
        <f>HYPERLINK("http://www.ensembl.org/id/WBGene00011297", "WBGene00011297")</f>
        <v>WBGene00011297</v>
      </c>
      <c r="B4486" s="9" t="str">
        <f>HYPERLINK("http://www.ncbi.nlm.nih.gov/gene/3564803", "3564803")</f>
        <v>3564803</v>
      </c>
      <c r="C4486" s="9"/>
      <c r="D4486" t="str">
        <f>"R102.10"</f>
        <v>R102.10</v>
      </c>
      <c r="F4486" t="s">
        <v>11</v>
      </c>
      <c r="H4486" s="12">
        <v>1.9862728677183299</v>
      </c>
      <c r="I4486" s="11">
        <v>0.65377623748418001</v>
      </c>
      <c r="J4486" s="10">
        <v>0.51325597791301203</v>
      </c>
      <c r="K4486" s="29">
        <v>0.98289565623980701</v>
      </c>
    </row>
    <row r="4487" spans="1:11" x14ac:dyDescent="0.35">
      <c r="A4487" s="9" t="str">
        <f>HYPERLINK("http://www.ensembl.org/id/WBGene00004122", "WBGene00004122")</f>
        <v>WBGene00004122</v>
      </c>
      <c r="B4487" s="9" t="str">
        <f>HYPERLINK("http://www.ncbi.nlm.nih.gov/gene/173800", "173800")</f>
        <v>173800</v>
      </c>
      <c r="C4487" s="9"/>
      <c r="D4487" t="str">
        <f>"pqn-35"</f>
        <v>pqn-35</v>
      </c>
      <c r="E4487" t="s">
        <v>432</v>
      </c>
      <c r="F4487" t="s">
        <v>11</v>
      </c>
      <c r="G4487" t="s">
        <v>25</v>
      </c>
      <c r="H4487" s="12">
        <v>1.98598739638793</v>
      </c>
      <c r="I4487" s="11">
        <v>3.4477415218911101</v>
      </c>
      <c r="J4487" s="10">
        <v>5.6529473947414298E-4</v>
      </c>
      <c r="K4487" s="29">
        <v>2.5118654327479902E-2</v>
      </c>
    </row>
    <row r="4488" spans="1:11" x14ac:dyDescent="0.35">
      <c r="A4488" s="9" t="str">
        <f>HYPERLINK("http://www.ensembl.org/id/WBGene00016781", "WBGene00016781")</f>
        <v>WBGene00016781</v>
      </c>
      <c r="B4488" s="9" t="str">
        <f>HYPERLINK("http://www.ncbi.nlm.nih.gov/gene/178810", "178810")</f>
        <v>178810</v>
      </c>
      <c r="C4488" s="9"/>
      <c r="D4488" t="str">
        <f>"C49G7.3"</f>
        <v>C49G7.3</v>
      </c>
      <c r="F4488" t="s">
        <v>11</v>
      </c>
      <c r="H4488" s="12">
        <v>1.98535435294073</v>
      </c>
      <c r="I4488" s="11">
        <v>0.731445522913581</v>
      </c>
      <c r="J4488" s="10">
        <v>0.46450706808922099</v>
      </c>
      <c r="K4488" s="29">
        <v>0.98289565623980701</v>
      </c>
    </row>
    <row r="4489" spans="1:11" x14ac:dyDescent="0.35">
      <c r="A4489" s="9" t="str">
        <f>HYPERLINK("http://www.ensembl.org/id/WBGene00009406", "WBGene00009406")</f>
        <v>WBGene00009406</v>
      </c>
      <c r="B4489" s="9" t="str">
        <f>HYPERLINK("http://www.ncbi.nlm.nih.gov/gene/353401", "353401")</f>
        <v>353401</v>
      </c>
      <c r="C4489" s="9"/>
      <c r="D4489" t="str">
        <f>"F35C11.7"</f>
        <v>F35C11.7</v>
      </c>
      <c r="F4489" t="s">
        <v>11</v>
      </c>
      <c r="H4489" s="12">
        <v>1.98478756839055</v>
      </c>
      <c r="I4489" s="11">
        <v>1.89778009547825</v>
      </c>
      <c r="J4489" s="10">
        <v>5.77250563155031E-2</v>
      </c>
      <c r="K4489" s="29">
        <v>0.56619276849770495</v>
      </c>
    </row>
    <row r="4490" spans="1:11" x14ac:dyDescent="0.35">
      <c r="A4490" s="9" t="str">
        <f>HYPERLINK("http://www.ensembl.org/id/WBGene00018641", "WBGene00018641")</f>
        <v>WBGene00018641</v>
      </c>
      <c r="B4490" s="9" t="str">
        <f>HYPERLINK("http://www.ncbi.nlm.nih.gov/gene/186045", "186045")</f>
        <v>186045</v>
      </c>
      <c r="C4490" s="9"/>
      <c r="D4490" t="str">
        <f>"F49E10.4"</f>
        <v>F49E10.4</v>
      </c>
      <c r="F4490" t="s">
        <v>11</v>
      </c>
      <c r="G4490" t="s">
        <v>1114</v>
      </c>
      <c r="H4490" s="12">
        <v>1.98463777393065</v>
      </c>
      <c r="I4490" s="11">
        <v>2.4747775988193501</v>
      </c>
      <c r="J4490" s="10">
        <v>1.33319167434624E-2</v>
      </c>
      <c r="K4490" s="29">
        <v>0.23390073521218099</v>
      </c>
    </row>
    <row r="4491" spans="1:11" x14ac:dyDescent="0.35">
      <c r="A4491" s="9" t="str">
        <f>HYPERLINK("http://www.ensembl.org/id/WBGene00019926", "WBGene00019926")</f>
        <v>WBGene00019926</v>
      </c>
      <c r="B4491" s="9" t="str">
        <f>HYPERLINK("http://www.ncbi.nlm.nih.gov/gene/187669", "187669")</f>
        <v>187669</v>
      </c>
      <c r="C4491" s="9"/>
      <c r="D4491" t="str">
        <f>"fbxc-27"</f>
        <v>fbxc-27</v>
      </c>
      <c r="E4491" t="s">
        <v>311</v>
      </c>
      <c r="F4491" t="s">
        <v>11</v>
      </c>
      <c r="H4491" s="12">
        <v>1.98369071673547</v>
      </c>
      <c r="I4491" s="11">
        <v>0.65019180802441801</v>
      </c>
      <c r="J4491" s="10">
        <v>0.51556833195513496</v>
      </c>
      <c r="K4491" s="29">
        <v>0.98289565623980701</v>
      </c>
    </row>
    <row r="4492" spans="1:11" x14ac:dyDescent="0.35">
      <c r="A4492" s="9" t="str">
        <f>HYPERLINK("http://www.ensembl.org/id/WBGene00164974", "WBGene00164974")</f>
        <v>WBGene00164974</v>
      </c>
      <c r="B4492" s="9" t="str">
        <f>HYPERLINK("http://www.ncbi.nlm.nih.gov/gene/13222833", "13222833")</f>
        <v>13222833</v>
      </c>
      <c r="C4492" s="9"/>
      <c r="D4492" t="str">
        <f>"F46C3.7"</f>
        <v>F46C3.7</v>
      </c>
      <c r="F4492" t="s">
        <v>11</v>
      </c>
      <c r="H4492" s="12">
        <v>1.98352070799126</v>
      </c>
      <c r="I4492" s="11">
        <v>0.27728010385534702</v>
      </c>
      <c r="J4492" s="10">
        <v>0.78156503566568503</v>
      </c>
      <c r="K4492" s="29">
        <v>0.98289565623980701</v>
      </c>
    </row>
    <row r="4493" spans="1:11" x14ac:dyDescent="0.35">
      <c r="A4493" s="9" t="str">
        <f>HYPERLINK("http://www.ensembl.org/id/WBGene00016828", "WBGene00016828")</f>
        <v>WBGene00016828</v>
      </c>
      <c r="B4493" s="9" t="str">
        <f>HYPERLINK("http://www.ncbi.nlm.nih.gov/gene/183666", "183666")</f>
        <v>183666</v>
      </c>
      <c r="C4493" s="9"/>
      <c r="D4493" t="str">
        <f>"sre-52"</f>
        <v>sre-52</v>
      </c>
      <c r="E4493" t="s">
        <v>2638</v>
      </c>
      <c r="F4493" t="s">
        <v>11</v>
      </c>
      <c r="G4493" t="s">
        <v>2639</v>
      </c>
      <c r="H4493" s="12">
        <v>1.98352070799126</v>
      </c>
      <c r="I4493" s="11">
        <v>0.27728010385534702</v>
      </c>
      <c r="J4493" s="10">
        <v>0.78156503566568503</v>
      </c>
      <c r="K4493" s="29">
        <v>0.98289565623980701</v>
      </c>
    </row>
    <row r="4494" spans="1:11" x14ac:dyDescent="0.35">
      <c r="A4494" s="9" t="str">
        <f>HYPERLINK("http://www.ensembl.org/id/WBGene00010321", "WBGene00010321")</f>
        <v>WBGene00010321</v>
      </c>
      <c r="B4494" s="9" t="str">
        <f>HYPERLINK("http://www.ncbi.nlm.nih.gov/gene/186599", "186599")</f>
        <v>186599</v>
      </c>
      <c r="C4494" s="9"/>
      <c r="D4494" t="str">
        <f>"F59B10.5"</f>
        <v>F59B10.5</v>
      </c>
      <c r="F4494" t="s">
        <v>11</v>
      </c>
      <c r="H4494" s="12">
        <v>1.9833564453460999</v>
      </c>
      <c r="I4494" s="11">
        <v>2.37913098360151</v>
      </c>
      <c r="J4494" s="10">
        <v>1.7353508399541799E-2</v>
      </c>
      <c r="K4494" s="29">
        <v>0.27520258413165</v>
      </c>
    </row>
    <row r="4495" spans="1:11" x14ac:dyDescent="0.35">
      <c r="A4495" s="9" t="str">
        <f>HYPERLINK("http://www.ensembl.org/id/WBGene00006589", "WBGene00006589")</f>
        <v>WBGene00006589</v>
      </c>
      <c r="B4495" s="9" t="str">
        <f>HYPERLINK("http://www.ncbi.nlm.nih.gov/gene/178679", "178679")</f>
        <v>178679</v>
      </c>
      <c r="C4495" s="9"/>
      <c r="D4495" t="str">
        <f>"tnt-4"</f>
        <v>tnt-4</v>
      </c>
      <c r="E4495" t="s">
        <v>240</v>
      </c>
      <c r="F4495" t="s">
        <v>11</v>
      </c>
      <c r="G4495" t="s">
        <v>1605</v>
      </c>
      <c r="H4495" s="12">
        <v>1.9829974276358</v>
      </c>
      <c r="I4495" s="11">
        <v>2.07586966807555</v>
      </c>
      <c r="J4495" s="10">
        <v>3.7906006727760101E-2</v>
      </c>
      <c r="K4495" s="29">
        <v>0.44846707191583401</v>
      </c>
    </row>
    <row r="4496" spans="1:11" x14ac:dyDescent="0.35">
      <c r="A4496" s="9" t="str">
        <f>HYPERLINK("http://www.ensembl.org/id/WBGene00044623", "WBGene00044623")</f>
        <v>WBGene00044623</v>
      </c>
      <c r="B4496" s="9" t="str">
        <f>HYPERLINK("http://www.ncbi.nlm.nih.gov/gene/180821", "180821")</f>
        <v>180821</v>
      </c>
      <c r="C4496" s="9"/>
      <c r="D4496" t="str">
        <f>"bus-8"</f>
        <v>bus-8</v>
      </c>
      <c r="E4496" t="s">
        <v>2118</v>
      </c>
      <c r="F4496" t="s">
        <v>11</v>
      </c>
      <c r="G4496" t="s">
        <v>2119</v>
      </c>
      <c r="H4496" s="12">
        <v>1.9827984278163799</v>
      </c>
      <c r="I4496" s="11">
        <v>1.8116804053108799</v>
      </c>
      <c r="J4496" s="10">
        <v>7.0035593014853001E-2</v>
      </c>
      <c r="K4496" s="29">
        <v>0.626739896282414</v>
      </c>
    </row>
    <row r="4497" spans="1:11" x14ac:dyDescent="0.35">
      <c r="A4497" s="9" t="str">
        <f>HYPERLINK("http://www.ensembl.org/id/WBGene00022405", "WBGene00022405")</f>
        <v>WBGene00022405</v>
      </c>
      <c r="B4497" s="9" t="str">
        <f>HYPERLINK("http://www.ncbi.nlm.nih.gov/gene/190818", "190818")</f>
        <v>190818</v>
      </c>
      <c r="C4497" s="9"/>
      <c r="D4497" t="str">
        <f>"srsx-6"</f>
        <v>srsx-6</v>
      </c>
      <c r="E4497" t="s">
        <v>1639</v>
      </c>
      <c r="F4497" t="s">
        <v>11</v>
      </c>
      <c r="G4497" t="s">
        <v>1089</v>
      </c>
      <c r="H4497" s="12">
        <v>1.9825539183299301</v>
      </c>
      <c r="I4497" s="11">
        <v>0.50372327358385505</v>
      </c>
      <c r="J4497" s="10">
        <v>0.61445585122495305</v>
      </c>
      <c r="K4497" s="29">
        <v>0.98289565623980701</v>
      </c>
    </row>
    <row r="4498" spans="1:11" x14ac:dyDescent="0.35">
      <c r="A4498" s="9" t="str">
        <f>HYPERLINK("http://www.ensembl.org/id/WBGene00003762", "WBGene00003762")</f>
        <v>WBGene00003762</v>
      </c>
      <c r="B4498" s="9" t="str">
        <f>HYPERLINK("http://www.ncbi.nlm.nih.gov/gene/179594", "179594")</f>
        <v>179594</v>
      </c>
      <c r="C4498" s="9"/>
      <c r="D4498" t="str">
        <f>"nlp-24"</f>
        <v>nlp-24</v>
      </c>
      <c r="E4498" t="s">
        <v>76</v>
      </c>
      <c r="F4498" t="s">
        <v>11</v>
      </c>
      <c r="G4498" t="s">
        <v>77</v>
      </c>
      <c r="H4498" s="12">
        <v>1.9824834348873299</v>
      </c>
      <c r="I4498" s="11">
        <v>2.8232022233946701</v>
      </c>
      <c r="J4498" s="10">
        <v>4.75465710273449E-3</v>
      </c>
      <c r="K4498" s="29">
        <v>0.117247712930398</v>
      </c>
    </row>
    <row r="4499" spans="1:11" x14ac:dyDescent="0.35">
      <c r="A4499" s="9" t="str">
        <f>HYPERLINK("http://www.ensembl.org/id/WBGene00016530", "WBGene00016530")</f>
        <v>WBGene00016530</v>
      </c>
      <c r="B4499" s="9" t="str">
        <f>HYPERLINK("http://www.ncbi.nlm.nih.gov/gene/183336", "183336")</f>
        <v>183336</v>
      </c>
      <c r="C4499" s="9"/>
      <c r="D4499" t="str">
        <f>"C39D10.2"</f>
        <v>C39D10.2</v>
      </c>
      <c r="F4499" t="s">
        <v>11</v>
      </c>
      <c r="H4499" s="12">
        <v>1.9821857788463899</v>
      </c>
      <c r="I4499" s="11">
        <v>2.54296491979221</v>
      </c>
      <c r="J4499" s="10">
        <v>1.0991626387767E-2</v>
      </c>
      <c r="K4499" s="29">
        <v>0.206649730932258</v>
      </c>
    </row>
    <row r="4500" spans="1:11" x14ac:dyDescent="0.35">
      <c r="A4500" s="9" t="str">
        <f>HYPERLINK("http://www.ensembl.org/id/WBGene00044003", "WBGene00044003")</f>
        <v>WBGene00044003</v>
      </c>
      <c r="B4500" s="9" t="str">
        <f>HYPERLINK("http://www.ncbi.nlm.nih.gov/gene/3565105", "3565105")</f>
        <v>3565105</v>
      </c>
      <c r="C4500" s="9"/>
      <c r="D4500" t="str">
        <f>"Y41E3.18"</f>
        <v>Y41E3.18</v>
      </c>
      <c r="F4500" t="s">
        <v>11</v>
      </c>
      <c r="G4500" t="s">
        <v>3117</v>
      </c>
      <c r="H4500" s="12">
        <v>1.9813531665020401</v>
      </c>
      <c r="I4500" s="11">
        <v>0.44004845256220998</v>
      </c>
      <c r="J4500" s="10">
        <v>0.65990201496943501</v>
      </c>
      <c r="K4500" s="29">
        <v>0.98289565623980701</v>
      </c>
    </row>
    <row r="4501" spans="1:11" x14ac:dyDescent="0.35">
      <c r="A4501" s="9" t="str">
        <f>HYPERLINK("http://www.ensembl.org/id/WBGene00020204", "WBGene00020204")</f>
        <v>WBGene00020204</v>
      </c>
      <c r="B4501" s="9"/>
      <c r="C4501" s="9"/>
      <c r="D4501" t="str">
        <f>"T04B8.2"</f>
        <v>T04B8.2</v>
      </c>
      <c r="F4501" t="s">
        <v>80</v>
      </c>
      <c r="H4501" s="12">
        <v>1.9809463919430299</v>
      </c>
      <c r="I4501" s="11">
        <v>1.12461114592235</v>
      </c>
      <c r="J4501" s="10">
        <v>0.26075384851206101</v>
      </c>
      <c r="K4501" s="29">
        <v>0.98289565623980701</v>
      </c>
    </row>
    <row r="4502" spans="1:11" x14ac:dyDescent="0.35">
      <c r="A4502" s="9" t="str">
        <f>HYPERLINK("http://www.ensembl.org/id/WBGene00018859", "WBGene00018859")</f>
        <v>WBGene00018859</v>
      </c>
      <c r="B4502" s="9" t="str">
        <f>HYPERLINK("http://www.ncbi.nlm.nih.gov/gene/186275", "186275")</f>
        <v>186275</v>
      </c>
      <c r="C4502" s="9"/>
      <c r="D4502" t="str">
        <f>"F55A4.7"</f>
        <v>F55A4.7</v>
      </c>
      <c r="F4502" t="s">
        <v>11</v>
      </c>
      <c r="H4502" s="12">
        <v>1.9807665967496599</v>
      </c>
      <c r="I4502" s="11">
        <v>1.9866309471821499</v>
      </c>
      <c r="J4502" s="10">
        <v>4.6963309138547397E-2</v>
      </c>
      <c r="K4502" s="29">
        <v>0.50354256192820301</v>
      </c>
    </row>
    <row r="4503" spans="1:11" x14ac:dyDescent="0.35">
      <c r="A4503" s="9" t="str">
        <f>HYPERLINK("http://www.ensembl.org/id/WBGene00009332", "WBGene00009332")</f>
        <v>WBGene00009332</v>
      </c>
      <c r="B4503" s="9" t="str">
        <f>HYPERLINK("http://www.ncbi.nlm.nih.gov/gene/185206", "185206")</f>
        <v>185206</v>
      </c>
      <c r="C4503" s="9"/>
      <c r="D4503" t="str">
        <f>"F32D8.8"</f>
        <v>F32D8.8</v>
      </c>
      <c r="F4503" t="s">
        <v>11</v>
      </c>
      <c r="G4503" t="s">
        <v>25</v>
      </c>
      <c r="H4503" s="12">
        <v>1.98056179073498</v>
      </c>
      <c r="I4503" s="11">
        <v>0.81574337544104802</v>
      </c>
      <c r="J4503" s="10">
        <v>0.414646925199676</v>
      </c>
      <c r="K4503" s="29">
        <v>0.98289565623980701</v>
      </c>
    </row>
    <row r="4504" spans="1:11" x14ac:dyDescent="0.35">
      <c r="A4504" s="9" t="str">
        <f>HYPERLINK("http://www.ensembl.org/id/WBGene00001466", "WBGene00001466")</f>
        <v>WBGene00001466</v>
      </c>
      <c r="B4504" s="9" t="str">
        <f>HYPERLINK("http://www.ncbi.nlm.nih.gov/gene/186548", "186548")</f>
        <v>186548</v>
      </c>
      <c r="C4504" s="9"/>
      <c r="D4504" t="str">
        <f>"flr-2"</f>
        <v>flr-2</v>
      </c>
      <c r="F4504" t="s">
        <v>11</v>
      </c>
      <c r="G4504" t="s">
        <v>671</v>
      </c>
      <c r="H4504" s="12">
        <v>1.9799966706387799</v>
      </c>
      <c r="I4504" s="11">
        <v>3.0320037024828399</v>
      </c>
      <c r="J4504" s="10">
        <v>2.4293622407203399E-3</v>
      </c>
      <c r="K4504" s="29">
        <v>7.3376266580502295E-2</v>
      </c>
    </row>
    <row r="4505" spans="1:11" x14ac:dyDescent="0.35">
      <c r="A4505" s="9" t="str">
        <f>HYPERLINK("http://www.ensembl.org/id/WBGene00003349", "WBGene00003349")</f>
        <v>WBGene00003349</v>
      </c>
      <c r="B4505" s="9"/>
      <c r="C4505" s="9"/>
      <c r="D4505" t="str">
        <f>"mir-255"</f>
        <v>mir-255</v>
      </c>
      <c r="F4505" t="s">
        <v>1486</v>
      </c>
      <c r="H4505" s="12">
        <v>1.9798844516815599</v>
      </c>
      <c r="I4505" s="11">
        <v>2.1714004910356901</v>
      </c>
      <c r="J4505" s="10">
        <v>2.99009118300924E-2</v>
      </c>
      <c r="K4505" s="29">
        <v>0.38640406529424798</v>
      </c>
    </row>
    <row r="4506" spans="1:11" x14ac:dyDescent="0.35">
      <c r="A4506" s="9" t="str">
        <f>HYPERLINK("http://www.ensembl.org/id/WBGene00044477", "WBGene00044477")</f>
        <v>WBGene00044477</v>
      </c>
      <c r="B4506" s="9" t="str">
        <f>HYPERLINK("http://www.ncbi.nlm.nih.gov/gene/3896761", "3896761")</f>
        <v>3896761</v>
      </c>
      <c r="C4506" s="9"/>
      <c r="D4506" t="str">
        <f>"F49F1.14"</f>
        <v>F49F1.14</v>
      </c>
      <c r="F4506" t="s">
        <v>11</v>
      </c>
      <c r="G4506" t="s">
        <v>25</v>
      </c>
      <c r="H4506" s="12">
        <v>1.9790293995174699</v>
      </c>
      <c r="I4506" s="11">
        <v>1.7911627346474801</v>
      </c>
      <c r="J4506" s="10">
        <v>7.3267184348457595E-2</v>
      </c>
      <c r="K4506" s="29">
        <v>0.63739140118805004</v>
      </c>
    </row>
    <row r="4507" spans="1:11" x14ac:dyDescent="0.35">
      <c r="A4507" s="9" t="str">
        <f>HYPERLINK("http://www.ensembl.org/id/WBGene00016125", "WBGene00016125")</f>
        <v>WBGene00016125</v>
      </c>
      <c r="B4507" s="9" t="str">
        <f>HYPERLINK("http://www.ncbi.nlm.nih.gov/gene/182926", "182926")</f>
        <v>182926</v>
      </c>
      <c r="C4507" s="9"/>
      <c r="D4507" t="str">
        <f>"C26B2.2"</f>
        <v>C26B2.2</v>
      </c>
      <c r="F4507" t="s">
        <v>11</v>
      </c>
      <c r="H4507" s="12">
        <v>1.97825558325635</v>
      </c>
      <c r="I4507" s="11">
        <v>1.0002838196825801</v>
      </c>
      <c r="J4507" s="10">
        <v>0.31717317524607602</v>
      </c>
      <c r="K4507" s="29">
        <v>0.98289565623980701</v>
      </c>
    </row>
    <row r="4508" spans="1:11" x14ac:dyDescent="0.35">
      <c r="A4508" s="9" t="str">
        <f>HYPERLINK("http://www.ensembl.org/id/WBGene00011493", "WBGene00011493")</f>
        <v>WBGene00011493</v>
      </c>
      <c r="B4508" s="9" t="str">
        <f>HYPERLINK("http://www.ncbi.nlm.nih.gov/gene/172809", "172809")</f>
        <v>172809</v>
      </c>
      <c r="C4508" s="9" t="str">
        <f>HYPERLINK("http://www.ncbi.nlm.nih.gov/gene/5250", "5250")</f>
        <v>5250</v>
      </c>
      <c r="D4508" t="str">
        <f>"T05F1.8"</f>
        <v>T05F1.8</v>
      </c>
      <c r="F4508" t="s">
        <v>11</v>
      </c>
      <c r="G4508" t="s">
        <v>3420</v>
      </c>
      <c r="H4508" s="12">
        <v>1.9781107616834399</v>
      </c>
      <c r="I4508" s="11">
        <v>1.3854510769911099</v>
      </c>
      <c r="J4508" s="10">
        <v>0.16591458211791699</v>
      </c>
      <c r="K4508" s="29">
        <v>0.88498397685845498</v>
      </c>
    </row>
    <row r="4509" spans="1:11" x14ac:dyDescent="0.35">
      <c r="A4509" s="9" t="str">
        <f>HYPERLINK("http://www.ensembl.org/id/WBGene00006615", "WBGene00006615")</f>
        <v>WBGene00006615</v>
      </c>
      <c r="B4509" s="9" t="str">
        <f>HYPERLINK("http://www.ncbi.nlm.nih.gov/gene/192056", "192056")</f>
        <v>192056</v>
      </c>
      <c r="C4509" s="9" t="str">
        <f>HYPERLINK("http://www.ncbi.nlm.nih.gov/gene/7223", "7223")</f>
        <v>7223</v>
      </c>
      <c r="D4509" t="str">
        <f>"trp-2"</f>
        <v>trp-2</v>
      </c>
      <c r="E4509" t="s">
        <v>915</v>
      </c>
      <c r="F4509" t="s">
        <v>11</v>
      </c>
      <c r="G4509" t="s">
        <v>916</v>
      </c>
      <c r="H4509" s="12">
        <v>1.9769955835006201</v>
      </c>
      <c r="I4509" s="11">
        <v>2.7185168660664298</v>
      </c>
      <c r="J4509" s="10">
        <v>6.5575312473884302E-3</v>
      </c>
      <c r="K4509" s="29">
        <v>0.14267261487962099</v>
      </c>
    </row>
    <row r="4510" spans="1:11" x14ac:dyDescent="0.35">
      <c r="A4510" s="9" t="str">
        <f>HYPERLINK("http://www.ensembl.org/id/WBGene00045048", "WBGene00045048")</f>
        <v>WBGene00045048</v>
      </c>
      <c r="B4510" s="9" t="str">
        <f>HYPERLINK("http://www.ncbi.nlm.nih.gov/gene/4926976", "4926976")</f>
        <v>4926976</v>
      </c>
      <c r="C4510" s="9"/>
      <c r="D4510" t="str">
        <f>"D1007.19"</f>
        <v>D1007.19</v>
      </c>
      <c r="F4510" t="s">
        <v>11</v>
      </c>
      <c r="H4510" s="12">
        <v>1.9768970775283199</v>
      </c>
      <c r="I4510" s="11">
        <v>1.7462506962366999</v>
      </c>
      <c r="J4510" s="10">
        <v>8.0767399048897306E-2</v>
      </c>
      <c r="K4510" s="29">
        <v>0.66950682335351297</v>
      </c>
    </row>
    <row r="4511" spans="1:11" x14ac:dyDescent="0.35">
      <c r="A4511" s="9" t="str">
        <f>HYPERLINK("http://www.ensembl.org/id/WBGene00009998", "WBGene00009998")</f>
        <v>WBGene00009998</v>
      </c>
      <c r="B4511" s="9" t="str">
        <f>HYPERLINK("http://www.ncbi.nlm.nih.gov/gene/186179", "186179")</f>
        <v>186179</v>
      </c>
      <c r="C4511" s="9"/>
      <c r="D4511" t="str">
        <f>"klf-2"</f>
        <v>klf-2</v>
      </c>
      <c r="E4511" t="s">
        <v>2465</v>
      </c>
      <c r="F4511" t="s">
        <v>11</v>
      </c>
      <c r="G4511" t="s">
        <v>4458</v>
      </c>
      <c r="H4511" s="12">
        <v>1.9763006930870699</v>
      </c>
      <c r="I4511" s="11">
        <v>0.93289984945341298</v>
      </c>
      <c r="J4511" s="10">
        <v>0.350871680120104</v>
      </c>
      <c r="K4511" s="29">
        <v>0.98289565623980701</v>
      </c>
    </row>
    <row r="4512" spans="1:11" x14ac:dyDescent="0.35">
      <c r="A4512" s="9" t="str">
        <f>HYPERLINK("http://www.ensembl.org/id/WBGene00009152", "WBGene00009152")</f>
        <v>WBGene00009152</v>
      </c>
      <c r="B4512" s="9" t="str">
        <f>HYPERLINK("http://www.ncbi.nlm.nih.gov/gene/184968", "184968")</f>
        <v>184968</v>
      </c>
      <c r="C4512" s="9"/>
      <c r="D4512" t="str">
        <f>"F26D2.14"</f>
        <v>F26D2.14</v>
      </c>
      <c r="F4512" t="s">
        <v>11</v>
      </c>
      <c r="H4512" s="12">
        <v>1.9762160261931401</v>
      </c>
      <c r="I4512" s="11">
        <v>0.26876270262027002</v>
      </c>
      <c r="J4512" s="10">
        <v>0.78811229658262005</v>
      </c>
      <c r="K4512" s="29">
        <v>0.98289565623980701</v>
      </c>
    </row>
    <row r="4513" spans="1:11" x14ac:dyDescent="0.35">
      <c r="A4513" s="9" t="str">
        <f>HYPERLINK("http://www.ensembl.org/id/WBGene00048938", "WBGene00048938")</f>
        <v>WBGene00048938</v>
      </c>
      <c r="B4513" s="9"/>
      <c r="C4513" s="9"/>
      <c r="D4513" t="str">
        <f>"21ur-130"</f>
        <v>21ur-130</v>
      </c>
      <c r="F4513" t="s">
        <v>3161</v>
      </c>
      <c r="H4513" s="12">
        <v>1.9759833501847099</v>
      </c>
      <c r="I4513" s="11">
        <v>0.41949530871761398</v>
      </c>
      <c r="J4513" s="10">
        <v>0.67485418253256102</v>
      </c>
      <c r="K4513" s="29">
        <v>0.98289565623980701</v>
      </c>
    </row>
    <row r="4514" spans="1:11" x14ac:dyDescent="0.35">
      <c r="A4514" s="9" t="str">
        <f>HYPERLINK("http://www.ensembl.org/id/WBGene00013279", "WBGene00013279")</f>
        <v>WBGene00013279</v>
      </c>
      <c r="B4514" s="9" t="str">
        <f>HYPERLINK("http://www.ncbi.nlm.nih.gov/gene/190346", "190346")</f>
        <v>190346</v>
      </c>
      <c r="C4514" s="9"/>
      <c r="D4514" t="str">
        <f>"Y57A10B.7"</f>
        <v>Y57A10B.7</v>
      </c>
      <c r="F4514" t="s">
        <v>11</v>
      </c>
      <c r="H4514" s="12">
        <v>1.9743271747933899</v>
      </c>
      <c r="I4514" s="11">
        <v>0.47003668382763603</v>
      </c>
      <c r="J4514" s="10">
        <v>0.63832880900653899</v>
      </c>
      <c r="K4514" s="29">
        <v>0.98289565623980701</v>
      </c>
    </row>
    <row r="4515" spans="1:11" x14ac:dyDescent="0.35">
      <c r="A4515" s="9" t="str">
        <f>HYPERLINK("http://www.ensembl.org/id/WBGene00000135", "WBGene00000135")</f>
        <v>WBGene00000135</v>
      </c>
      <c r="B4515" s="9" t="str">
        <f>HYPERLINK("http://www.ncbi.nlm.nih.gov/gene/174338", "174338")</f>
        <v>174338</v>
      </c>
      <c r="C4515" s="9"/>
      <c r="D4515" t="str">
        <f>"amt-3"</f>
        <v>amt-3</v>
      </c>
      <c r="E4515" t="s">
        <v>1285</v>
      </c>
      <c r="F4515" t="s">
        <v>11</v>
      </c>
      <c r="G4515" t="s">
        <v>1286</v>
      </c>
      <c r="H4515" s="12">
        <v>1.9742885749240999</v>
      </c>
      <c r="I4515" s="11">
        <v>2.32647720049785</v>
      </c>
      <c r="J4515" s="10">
        <v>1.99931073826763E-2</v>
      </c>
      <c r="K4515" s="29">
        <v>0.30095162161831901</v>
      </c>
    </row>
    <row r="4516" spans="1:11" x14ac:dyDescent="0.35">
      <c r="A4516" s="9" t="str">
        <f>HYPERLINK("http://www.ensembl.org/id/WBGene00010179", "WBGene00010179")</f>
        <v>WBGene00010179</v>
      </c>
      <c r="B4516" s="9" t="str">
        <f>HYPERLINK("http://www.ncbi.nlm.nih.gov/gene/186430", "186430")</f>
        <v>186430</v>
      </c>
      <c r="C4516" s="9"/>
      <c r="D4516" t="str">
        <f>"F57A8.4"</f>
        <v>F57A8.4</v>
      </c>
      <c r="F4516" t="s">
        <v>11</v>
      </c>
      <c r="G4516" t="s">
        <v>1089</v>
      </c>
      <c r="H4516" s="12">
        <v>1.9733785072643999</v>
      </c>
      <c r="I4516" s="11">
        <v>2.49640567102167</v>
      </c>
      <c r="J4516" s="10">
        <v>1.25459031638263E-2</v>
      </c>
      <c r="K4516" s="29">
        <v>0.224820867209891</v>
      </c>
    </row>
    <row r="4517" spans="1:11" x14ac:dyDescent="0.35">
      <c r="A4517" s="9" t="str">
        <f>HYPERLINK("http://www.ensembl.org/id/WBGene00009843", "WBGene00009843")</f>
        <v>WBGene00009843</v>
      </c>
      <c r="B4517" s="9" t="str">
        <f>HYPERLINK("http://www.ncbi.nlm.nih.gov/gene/259349", "259349")</f>
        <v>259349</v>
      </c>
      <c r="C4517" s="9"/>
      <c r="D4517" t="str">
        <f>"F48C5.2"</f>
        <v>F48C5.2</v>
      </c>
      <c r="F4517" t="s">
        <v>11</v>
      </c>
      <c r="G4517" t="s">
        <v>1310</v>
      </c>
      <c r="H4517" s="12">
        <v>1.97331706289618</v>
      </c>
      <c r="I4517" s="11">
        <v>2.3013940943098499</v>
      </c>
      <c r="J4517" s="10">
        <v>2.13693654325917E-2</v>
      </c>
      <c r="K4517" s="29">
        <v>0.31489946973023503</v>
      </c>
    </row>
    <row r="4518" spans="1:11" x14ac:dyDescent="0.35">
      <c r="A4518" s="9" t="str">
        <f>HYPERLINK("http://www.ensembl.org/id/WBGene00017326", "WBGene00017326")</f>
        <v>WBGene00017326</v>
      </c>
      <c r="B4518" s="9" t="str">
        <f>HYPERLINK("http://www.ncbi.nlm.nih.gov/gene/184287", "184287")</f>
        <v>184287</v>
      </c>
      <c r="C4518" s="9"/>
      <c r="D4518" t="str">
        <f>"dmd-5"</f>
        <v>dmd-5</v>
      </c>
      <c r="E4518" t="s">
        <v>780</v>
      </c>
      <c r="F4518" t="s">
        <v>11</v>
      </c>
      <c r="G4518" t="s">
        <v>781</v>
      </c>
      <c r="H4518" s="12">
        <v>1.97224951112611</v>
      </c>
      <c r="I4518" s="11">
        <v>1.7762451119439899</v>
      </c>
      <c r="J4518" s="10">
        <v>7.5692525700786897E-2</v>
      </c>
      <c r="K4518" s="29">
        <v>0.647759814386067</v>
      </c>
    </row>
    <row r="4519" spans="1:11" x14ac:dyDescent="0.35">
      <c r="A4519" s="9" t="str">
        <f>HYPERLINK("http://www.ensembl.org/id/WBGene00235374", "WBGene00235374")</f>
        <v>WBGene00235374</v>
      </c>
      <c r="B4519" s="9" t="str">
        <f>HYPERLINK("http://www.ncbi.nlm.nih.gov/gene/24104808", "24104808")</f>
        <v>24104808</v>
      </c>
      <c r="C4519" s="9"/>
      <c r="D4519" t="str">
        <f>"R11E3.19"</f>
        <v>R11E3.19</v>
      </c>
      <c r="F4519" t="s">
        <v>11</v>
      </c>
      <c r="H4519" s="12">
        <v>1.97176673699177</v>
      </c>
      <c r="I4519" s="11">
        <v>1.0627349890376201</v>
      </c>
      <c r="J4519" s="10">
        <v>0.28790214883267201</v>
      </c>
      <c r="K4519" s="29">
        <v>0.98289565623980701</v>
      </c>
    </row>
    <row r="4520" spans="1:11" x14ac:dyDescent="0.35">
      <c r="A4520" s="9" t="str">
        <f>HYPERLINK("http://www.ensembl.org/id/WBGene00010095", "WBGene00010095")</f>
        <v>WBGene00010095</v>
      </c>
      <c r="B4520" s="9"/>
      <c r="C4520" s="9"/>
      <c r="D4520" t="str">
        <f>"F55C5.6"</f>
        <v>F55C5.6</v>
      </c>
      <c r="F4520" t="s">
        <v>80</v>
      </c>
      <c r="H4520" s="12">
        <v>1.97146621891263</v>
      </c>
      <c r="I4520" s="11">
        <v>0.85696919734765797</v>
      </c>
      <c r="J4520" s="10">
        <v>0.39146190818017901</v>
      </c>
      <c r="K4520" s="29">
        <v>0.98289565623980701</v>
      </c>
    </row>
    <row r="4521" spans="1:11" x14ac:dyDescent="0.35">
      <c r="A4521" s="9" t="str">
        <f>HYPERLINK("http://www.ensembl.org/id/WBGene00018430", "WBGene00018430")</f>
        <v>WBGene00018430</v>
      </c>
      <c r="B4521" s="9" t="str">
        <f>HYPERLINK("http://www.ncbi.nlm.nih.gov/gene/185740", "185740")</f>
        <v>185740</v>
      </c>
      <c r="C4521" s="9"/>
      <c r="D4521" t="str">
        <f>"nhr-142"</f>
        <v>nhr-142</v>
      </c>
      <c r="E4521" t="s">
        <v>637</v>
      </c>
      <c r="F4521" t="s">
        <v>11</v>
      </c>
      <c r="G4521" t="s">
        <v>1073</v>
      </c>
      <c r="H4521" s="12">
        <v>1.97106442155796</v>
      </c>
      <c r="I4521" s="11">
        <v>2.1757278910834201</v>
      </c>
      <c r="J4521" s="10">
        <v>2.95756133709262E-2</v>
      </c>
      <c r="K4521" s="29">
        <v>0.38434990019607501</v>
      </c>
    </row>
    <row r="4522" spans="1:11" x14ac:dyDescent="0.35">
      <c r="A4522" s="9" t="str">
        <f>HYPERLINK("http://www.ensembl.org/id/WBGene00198979", "WBGene00198979")</f>
        <v>WBGene00198979</v>
      </c>
      <c r="B4522" s="9"/>
      <c r="C4522" s="9"/>
      <c r="D4522" t="str">
        <f>"T19A5.10"</f>
        <v>T19A5.10</v>
      </c>
      <c r="F4522" t="s">
        <v>481</v>
      </c>
      <c r="H4522" s="12">
        <v>1.9710219668173301</v>
      </c>
      <c r="I4522" s="11">
        <v>0.67591895815117997</v>
      </c>
      <c r="J4522" s="10">
        <v>0.499092100369537</v>
      </c>
      <c r="K4522" s="29">
        <v>0.98289565623980701</v>
      </c>
    </row>
    <row r="4523" spans="1:11" x14ac:dyDescent="0.35">
      <c r="A4523" s="9" t="str">
        <f>HYPERLINK("http://www.ensembl.org/id/WBGene00021389", "WBGene00021389")</f>
        <v>WBGene00021389</v>
      </c>
      <c r="B4523" s="9" t="str">
        <f>HYPERLINK("http://www.ncbi.nlm.nih.gov/gene/178994", "178994")</f>
        <v>178994</v>
      </c>
      <c r="C4523" s="9"/>
      <c r="D4523" t="str">
        <f>"Y38A10A.2"</f>
        <v>Y38A10A.2</v>
      </c>
      <c r="F4523" t="s">
        <v>11</v>
      </c>
      <c r="G4523" t="s">
        <v>3027</v>
      </c>
      <c r="H4523" s="12">
        <v>1.97091515753379</v>
      </c>
      <c r="I4523" s="11">
        <v>1.49527054608501</v>
      </c>
      <c r="J4523" s="10">
        <v>0.13484384876301</v>
      </c>
      <c r="K4523" s="29">
        <v>0.82412987827234196</v>
      </c>
    </row>
    <row r="4524" spans="1:11" x14ac:dyDescent="0.35">
      <c r="A4524" s="9" t="str">
        <f>HYPERLINK("http://www.ensembl.org/id/WBGene00200308", "WBGene00200308")</f>
        <v>WBGene00200308</v>
      </c>
      <c r="B4524" s="9"/>
      <c r="C4524" s="9"/>
      <c r="D4524" t="str">
        <f>"C56C10.15"</f>
        <v>C56C10.15</v>
      </c>
      <c r="F4524" t="s">
        <v>481</v>
      </c>
      <c r="H4524" s="12">
        <v>1.9704489231026301</v>
      </c>
      <c r="I4524" s="11">
        <v>0.32359003488573401</v>
      </c>
      <c r="J4524" s="10">
        <v>0.74624843339748903</v>
      </c>
      <c r="K4524" s="29">
        <v>0.98289565623980701</v>
      </c>
    </row>
    <row r="4525" spans="1:11" x14ac:dyDescent="0.35">
      <c r="A4525" s="9" t="str">
        <f>HYPERLINK("http://www.ensembl.org/id/WBGene00013902", "WBGene00013902")</f>
        <v>WBGene00013902</v>
      </c>
      <c r="B4525" s="9" t="str">
        <f>HYPERLINK("http://www.ncbi.nlm.nih.gov/gene/179751", "179751")</f>
        <v>179751</v>
      </c>
      <c r="C4525" s="9"/>
      <c r="D4525" t="str">
        <f>"ZC455.1"</f>
        <v>ZC455.1</v>
      </c>
      <c r="F4525" t="s">
        <v>11</v>
      </c>
      <c r="H4525" s="12">
        <v>1.97034843378126</v>
      </c>
      <c r="I4525" s="11">
        <v>2.8440267146837299</v>
      </c>
      <c r="J4525" s="10">
        <v>4.4547312714146303E-3</v>
      </c>
      <c r="K4525" s="29">
        <v>0.1125474088084</v>
      </c>
    </row>
    <row r="4526" spans="1:11" x14ac:dyDescent="0.35">
      <c r="A4526" s="9" t="str">
        <f>HYPERLINK("http://www.ensembl.org/id/WBGene00017962", "WBGene00017962")</f>
        <v>WBGene00017962</v>
      </c>
      <c r="B4526" s="9" t="str">
        <f>HYPERLINK("http://www.ncbi.nlm.nih.gov/gene/185173", "185173")</f>
        <v>185173</v>
      </c>
      <c r="C4526" s="9"/>
      <c r="D4526" t="str">
        <f>"fbxa-72"</f>
        <v>fbxa-72</v>
      </c>
      <c r="E4526" t="s">
        <v>467</v>
      </c>
      <c r="F4526" t="s">
        <v>11</v>
      </c>
      <c r="H4526" s="12">
        <v>1.9695393152910201</v>
      </c>
      <c r="I4526" s="11">
        <v>2.5886506027957998</v>
      </c>
      <c r="J4526" s="10">
        <v>9.6352803589764592E-3</v>
      </c>
      <c r="K4526" s="29">
        <v>0.19159448190577499</v>
      </c>
    </row>
    <row r="4527" spans="1:11" x14ac:dyDescent="0.35">
      <c r="A4527" s="9" t="str">
        <f>HYPERLINK("http://www.ensembl.org/id/WBGene00000022", "WBGene00000022")</f>
        <v>WBGene00000022</v>
      </c>
      <c r="B4527" s="9" t="str">
        <f>HYPERLINK("http://www.ncbi.nlm.nih.gov/gene/178559", "178559")</f>
        <v>178559</v>
      </c>
      <c r="C4527" s="9" t="str">
        <f>HYPERLINK("http://www.ncbi.nlm.nih.gov/gene/21", "21")</f>
        <v>21</v>
      </c>
      <c r="D4527" t="str">
        <f>"abt-4"</f>
        <v>abt-4</v>
      </c>
      <c r="E4527" t="s">
        <v>653</v>
      </c>
      <c r="F4527" t="s">
        <v>11</v>
      </c>
      <c r="G4527" t="s">
        <v>654</v>
      </c>
      <c r="H4527" s="12">
        <v>1.96933494733567</v>
      </c>
      <c r="I4527" s="11">
        <v>3.0422947760102002</v>
      </c>
      <c r="J4527" s="10">
        <v>2.3478185190569101E-3</v>
      </c>
      <c r="K4527" s="29">
        <v>7.1898089085948594E-2</v>
      </c>
    </row>
    <row r="4528" spans="1:11" x14ac:dyDescent="0.35">
      <c r="A4528" s="9" t="str">
        <f>HYPERLINK("http://www.ensembl.org/id/WBGene00011428", "WBGene00011428")</f>
        <v>WBGene00011428</v>
      </c>
      <c r="B4528" s="9" t="str">
        <f>HYPERLINK("http://www.ncbi.nlm.nih.gov/gene/179532", "179532")</f>
        <v>179532</v>
      </c>
      <c r="C4528" s="9"/>
      <c r="D4528" t="str">
        <f>"nlp-80"</f>
        <v>nlp-80</v>
      </c>
      <c r="E4528" t="s">
        <v>76</v>
      </c>
      <c r="F4528" t="s">
        <v>11</v>
      </c>
      <c r="G4528" t="s">
        <v>77</v>
      </c>
      <c r="H4528" s="12">
        <v>1.96920471515791</v>
      </c>
      <c r="I4528" s="11">
        <v>3.3641512016610999</v>
      </c>
      <c r="J4528" s="10">
        <v>7.6779466661482695E-4</v>
      </c>
      <c r="K4528" s="29">
        <v>3.1623286215333703E-2</v>
      </c>
    </row>
    <row r="4529" spans="1:11" x14ac:dyDescent="0.35">
      <c r="A4529" s="9" t="str">
        <f>HYPERLINK("http://www.ensembl.org/id/WBGene00196381", "WBGene00196381")</f>
        <v>WBGene00196381</v>
      </c>
      <c r="B4529" s="9"/>
      <c r="C4529" s="9"/>
      <c r="D4529" t="str">
        <f>"C32A3.5"</f>
        <v>C32A3.5</v>
      </c>
      <c r="F4529" t="s">
        <v>481</v>
      </c>
      <c r="H4529" s="12">
        <v>1.96917050030906</v>
      </c>
      <c r="I4529" s="11">
        <v>0.323668101232156</v>
      </c>
      <c r="J4529" s="10">
        <v>0.74618932341488198</v>
      </c>
      <c r="K4529" s="29">
        <v>0.98289565623980701</v>
      </c>
    </row>
    <row r="4530" spans="1:11" x14ac:dyDescent="0.35">
      <c r="A4530" s="9" t="str">
        <f>HYPERLINK("http://www.ensembl.org/id/WBGene00198669", "WBGene00198669")</f>
        <v>WBGene00198669</v>
      </c>
      <c r="B4530" s="9"/>
      <c r="C4530" s="9"/>
      <c r="D4530" t="str">
        <f>"T20B12.11"</f>
        <v>T20B12.11</v>
      </c>
      <c r="F4530" t="s">
        <v>481</v>
      </c>
      <c r="H4530" s="12">
        <v>1.96917050030906</v>
      </c>
      <c r="I4530" s="11">
        <v>0.323668101232156</v>
      </c>
      <c r="J4530" s="10">
        <v>0.74618932341488198</v>
      </c>
      <c r="K4530" s="29">
        <v>0.98289565623980701</v>
      </c>
    </row>
    <row r="4531" spans="1:11" x14ac:dyDescent="0.35">
      <c r="A4531" s="9" t="str">
        <f>HYPERLINK("http://www.ensembl.org/id/WBGene00235283", "WBGene00235283")</f>
        <v>WBGene00235283</v>
      </c>
      <c r="B4531" s="9" t="str">
        <f>HYPERLINK("http://www.ncbi.nlm.nih.gov/gene/24105162", "24105162")</f>
        <v>24105162</v>
      </c>
      <c r="C4531" s="9"/>
      <c r="D4531" t="str">
        <f>"Y55F3BL.6"</f>
        <v>Y55F3BL.6</v>
      </c>
      <c r="F4531" t="s">
        <v>11</v>
      </c>
      <c r="G4531" t="s">
        <v>25</v>
      </c>
      <c r="H4531" s="12">
        <v>1.96917050030906</v>
      </c>
      <c r="I4531" s="11">
        <v>0.323668101232156</v>
      </c>
      <c r="J4531" s="10">
        <v>0.74618932341488198</v>
      </c>
      <c r="K4531" s="29">
        <v>0.98289565623980701</v>
      </c>
    </row>
    <row r="4532" spans="1:11" x14ac:dyDescent="0.35">
      <c r="A4532" s="9" t="str">
        <f>HYPERLINK("http://www.ensembl.org/id/WBGene00014225", "WBGene00014225")</f>
        <v>WBGene00014225</v>
      </c>
      <c r="B4532" s="9" t="str">
        <f>HYPERLINK("http://www.ncbi.nlm.nih.gov/gene/191524", "191524")</f>
        <v>191524</v>
      </c>
      <c r="C4532" s="9"/>
      <c r="D4532" t="str">
        <f>"ZK1098.9"</f>
        <v>ZK1098.9</v>
      </c>
      <c r="F4532" t="s">
        <v>11</v>
      </c>
      <c r="G4532" t="s">
        <v>25</v>
      </c>
      <c r="H4532" s="12">
        <v>1.96917050030906</v>
      </c>
      <c r="I4532" s="11">
        <v>0.323668101232156</v>
      </c>
      <c r="J4532" s="10">
        <v>0.74618932341488198</v>
      </c>
      <c r="K4532" s="29">
        <v>0.98289565623980701</v>
      </c>
    </row>
    <row r="4533" spans="1:11" x14ac:dyDescent="0.35">
      <c r="A4533" s="9" t="str">
        <f>HYPERLINK("http://www.ensembl.org/id/WBGene00007311", "WBGene00007311")</f>
        <v>WBGene00007311</v>
      </c>
      <c r="B4533" s="9" t="str">
        <f>HYPERLINK("http://www.ncbi.nlm.nih.gov/gene/3565473", "3565473")</f>
        <v>3565473</v>
      </c>
      <c r="C4533" s="9"/>
      <c r="D4533" t="str">
        <f>"C04H4.1"</f>
        <v>C04H4.1</v>
      </c>
      <c r="F4533" t="s">
        <v>11</v>
      </c>
      <c r="H4533" s="12">
        <v>1.96915619264314</v>
      </c>
      <c r="I4533" s="11">
        <v>0.82465292321233497</v>
      </c>
      <c r="J4533" s="10">
        <v>0.40956866588734098</v>
      </c>
      <c r="K4533" s="29">
        <v>0.98289565623980701</v>
      </c>
    </row>
    <row r="4534" spans="1:11" x14ac:dyDescent="0.35">
      <c r="A4534" s="9" t="str">
        <f>HYPERLINK("http://www.ensembl.org/id/WBGene00235092", "WBGene00235092")</f>
        <v>WBGene00235092</v>
      </c>
      <c r="B4534" s="9" t="str">
        <f>HYPERLINK("http://www.ncbi.nlm.nih.gov/gene/24104350", "24104350")</f>
        <v>24104350</v>
      </c>
      <c r="C4534" s="9"/>
      <c r="D4534" t="str">
        <f>"C54F6.17"</f>
        <v>C54F6.17</v>
      </c>
      <c r="F4534" t="s">
        <v>11</v>
      </c>
      <c r="H4534" s="12">
        <v>1.9684909828708901</v>
      </c>
      <c r="I4534" s="11">
        <v>1.05957403886571</v>
      </c>
      <c r="J4534" s="10">
        <v>0.28933842952297101</v>
      </c>
      <c r="K4534" s="29">
        <v>0.98289565623980701</v>
      </c>
    </row>
    <row r="4535" spans="1:11" x14ac:dyDescent="0.35">
      <c r="A4535" s="9" t="str">
        <f>HYPERLINK("http://www.ensembl.org/id/WBGene00005718", "WBGene00005718")</f>
        <v>WBGene00005718</v>
      </c>
      <c r="B4535" s="9" t="str">
        <f>HYPERLINK("http://www.ncbi.nlm.nih.gov/gene/259994", "259994")</f>
        <v>259994</v>
      </c>
      <c r="C4535" s="9"/>
      <c r="D4535" t="str">
        <f>"srv-7"</f>
        <v>srv-7</v>
      </c>
      <c r="E4535" t="s">
        <v>2916</v>
      </c>
      <c r="F4535" t="s">
        <v>11</v>
      </c>
      <c r="G4535" t="s">
        <v>25</v>
      </c>
      <c r="H4535" s="12">
        <v>1.9684848392518901</v>
      </c>
      <c r="I4535" s="11">
        <v>1.53310976306098</v>
      </c>
      <c r="J4535" s="10">
        <v>0.12524881256247999</v>
      </c>
      <c r="K4535" s="29">
        <v>0.800248453574539</v>
      </c>
    </row>
    <row r="4536" spans="1:11" x14ac:dyDescent="0.35">
      <c r="A4536" s="9" t="str">
        <f>HYPERLINK("http://www.ensembl.org/id/WBGene00008150", "WBGene00008150")</f>
        <v>WBGene00008150</v>
      </c>
      <c r="B4536" s="9" t="str">
        <f>HYPERLINK("http://www.ncbi.nlm.nih.gov/gene/177854", "177854")</f>
        <v>177854</v>
      </c>
      <c r="C4536" s="9"/>
      <c r="D4536" t="str">
        <f>"mam-2"</f>
        <v>mam-2</v>
      </c>
      <c r="E4536" t="s">
        <v>679</v>
      </c>
      <c r="F4536" t="s">
        <v>11</v>
      </c>
      <c r="G4536" t="s">
        <v>427</v>
      </c>
      <c r="H4536" s="12">
        <v>1.9683731206801101</v>
      </c>
      <c r="I4536" s="11">
        <v>0.85470737385778295</v>
      </c>
      <c r="J4536" s="10">
        <v>0.39271316730809003</v>
      </c>
      <c r="K4536" s="29">
        <v>0.98289565623980701</v>
      </c>
    </row>
    <row r="4537" spans="1:11" x14ac:dyDescent="0.35">
      <c r="A4537" s="9" t="str">
        <f>HYPERLINK("http://www.ensembl.org/id/WBGene00019810", "WBGene00019810")</f>
        <v>WBGene00019810</v>
      </c>
      <c r="B4537" s="9" t="str">
        <f>HYPERLINK("http://www.ncbi.nlm.nih.gov/gene/187509", "187509")</f>
        <v>187509</v>
      </c>
      <c r="C4537" s="9"/>
      <c r="D4537" t="str">
        <f>"R01H2.2"</f>
        <v>R01H2.2</v>
      </c>
      <c r="F4537" t="s">
        <v>11</v>
      </c>
      <c r="H4537" s="12">
        <v>1.9674550948117899</v>
      </c>
      <c r="I4537" s="11">
        <v>0.51255207920706503</v>
      </c>
      <c r="J4537" s="10">
        <v>0.608264681549191</v>
      </c>
      <c r="K4537" s="29">
        <v>0.98289565623980701</v>
      </c>
    </row>
    <row r="4538" spans="1:11" x14ac:dyDescent="0.35">
      <c r="A4538" s="9" t="str">
        <f>HYPERLINK("http://www.ensembl.org/id/WBGene00021720", "WBGene00021720")</f>
        <v>WBGene00021720</v>
      </c>
      <c r="B4538" s="9" t="str">
        <f>HYPERLINK("http://www.ncbi.nlm.nih.gov/gene/190082", "190082")</f>
        <v>190082</v>
      </c>
      <c r="C4538" s="9"/>
      <c r="D4538" t="str">
        <f>"Y49F6B.8"</f>
        <v>Y49F6B.8</v>
      </c>
      <c r="F4538" t="s">
        <v>11</v>
      </c>
      <c r="H4538" s="12">
        <v>1.9673468975475299</v>
      </c>
      <c r="I4538" s="11">
        <v>0.62018467158069801</v>
      </c>
      <c r="J4538" s="10">
        <v>0.53513621205397999</v>
      </c>
      <c r="K4538" s="29">
        <v>0.98289565623980701</v>
      </c>
    </row>
    <row r="4539" spans="1:11" x14ac:dyDescent="0.35">
      <c r="A4539" s="9" t="str">
        <f>HYPERLINK("http://www.ensembl.org/id/WBGene00007351", "WBGene00007351")</f>
        <v>WBGene00007351</v>
      </c>
      <c r="B4539" s="9" t="str">
        <f>HYPERLINK("http://www.ncbi.nlm.nih.gov/gene/181571", "181571")</f>
        <v>181571</v>
      </c>
      <c r="C4539" s="9" t="str">
        <f>HYPERLINK("http://www.ncbi.nlm.nih.gov/gene/388630", "388630")</f>
        <v>388630</v>
      </c>
      <c r="D4539" t="str">
        <f>"C05G5.5"</f>
        <v>C05G5.5</v>
      </c>
      <c r="E4539" t="s">
        <v>2257</v>
      </c>
      <c r="F4539" t="s">
        <v>11</v>
      </c>
      <c r="G4539" t="s">
        <v>2258</v>
      </c>
      <c r="H4539" s="12">
        <v>1.96702371967922</v>
      </c>
      <c r="I4539" s="11">
        <v>1.7441193915220901</v>
      </c>
      <c r="J4539" s="10">
        <v>8.1138273362958896E-2</v>
      </c>
      <c r="K4539" s="29">
        <v>0.670522512276298</v>
      </c>
    </row>
    <row r="4540" spans="1:11" x14ac:dyDescent="0.35">
      <c r="A4540" s="9" t="str">
        <f>HYPERLINK("http://www.ensembl.org/id/WBGene00008762", "WBGene00008762")</f>
        <v>WBGene00008762</v>
      </c>
      <c r="B4540" s="9" t="str">
        <f>HYPERLINK("http://www.ncbi.nlm.nih.gov/gene/184429", "184429")</f>
        <v>184429</v>
      </c>
      <c r="C4540" s="9"/>
      <c r="D4540" t="str">
        <f>"ztf-2"</f>
        <v>ztf-2</v>
      </c>
      <c r="E4540" t="s">
        <v>461</v>
      </c>
      <c r="F4540" t="s">
        <v>11</v>
      </c>
      <c r="G4540" t="s">
        <v>1514</v>
      </c>
      <c r="H4540" s="12">
        <v>1.96689408834932</v>
      </c>
      <c r="I4540" s="11">
        <v>2.1382943427020802</v>
      </c>
      <c r="J4540" s="10">
        <v>3.2492861432759E-2</v>
      </c>
      <c r="K4540" s="29">
        <v>0.40847663561769898</v>
      </c>
    </row>
    <row r="4541" spans="1:11" x14ac:dyDescent="0.35">
      <c r="A4541" s="9" t="str">
        <f>HYPERLINK("http://www.ensembl.org/id/WBGene00019023", "WBGene00019023")</f>
        <v>WBGene00019023</v>
      </c>
      <c r="B4541" s="9" t="str">
        <f>HYPERLINK("http://www.ncbi.nlm.nih.gov/gene/186487", "186487")</f>
        <v>186487</v>
      </c>
      <c r="C4541" s="9"/>
      <c r="D4541" t="str">
        <f>"F58A6.2"</f>
        <v>F58A6.2</v>
      </c>
      <c r="F4541" t="s">
        <v>11</v>
      </c>
      <c r="G4541" t="s">
        <v>25</v>
      </c>
      <c r="H4541" s="12">
        <v>1.9668311071263</v>
      </c>
      <c r="I4541" s="11">
        <v>0.95258420232160701</v>
      </c>
      <c r="J4541" s="10">
        <v>0.340800784551062</v>
      </c>
      <c r="K4541" s="29">
        <v>0.98289565623980701</v>
      </c>
    </row>
    <row r="4542" spans="1:11" x14ac:dyDescent="0.35">
      <c r="A4542" s="9" t="str">
        <f>HYPERLINK("http://www.ensembl.org/id/WBGene00019999", "WBGene00019999")</f>
        <v>WBGene00019999</v>
      </c>
      <c r="B4542" s="9" t="str">
        <f>HYPERLINK("http://www.ncbi.nlm.nih.gov/gene/187787", "187787")</f>
        <v>187787</v>
      </c>
      <c r="C4542" s="9"/>
      <c r="D4542" t="str">
        <f>"srab-14"</f>
        <v>srab-14</v>
      </c>
      <c r="E4542" t="s">
        <v>3594</v>
      </c>
      <c r="F4542" t="s">
        <v>11</v>
      </c>
      <c r="G4542" t="s">
        <v>271</v>
      </c>
      <c r="H4542" s="12">
        <v>1.9667968739056101</v>
      </c>
      <c r="I4542" s="11">
        <v>1.3443296237885001</v>
      </c>
      <c r="J4542" s="10">
        <v>0.17884182020082801</v>
      </c>
      <c r="K4542" s="29">
        <v>0.91302105524363297</v>
      </c>
    </row>
    <row r="4543" spans="1:11" x14ac:dyDescent="0.35">
      <c r="A4543" s="9" t="str">
        <f>HYPERLINK("http://www.ensembl.org/id/WBGene00015867", "WBGene00015867")</f>
        <v>WBGene00015867</v>
      </c>
      <c r="B4543" s="9" t="str">
        <f>HYPERLINK("http://www.ncbi.nlm.nih.gov/gene/182694", "182694")</f>
        <v>182694</v>
      </c>
      <c r="C4543" s="9"/>
      <c r="D4543" t="str">
        <f>"ncs-7"</f>
        <v>ncs-7</v>
      </c>
      <c r="E4543" t="s">
        <v>3304</v>
      </c>
      <c r="F4543" t="s">
        <v>11</v>
      </c>
      <c r="G4543" t="s">
        <v>325</v>
      </c>
      <c r="H4543" s="12">
        <v>1.96659703792497</v>
      </c>
      <c r="I4543" s="11">
        <v>1.2280965250909901</v>
      </c>
      <c r="J4543" s="10">
        <v>0.21941073533814501</v>
      </c>
      <c r="K4543" s="29">
        <v>0.97139383995462403</v>
      </c>
    </row>
    <row r="4544" spans="1:11" x14ac:dyDescent="0.35">
      <c r="A4544" s="9" t="str">
        <f>HYPERLINK("http://www.ensembl.org/id/WBGene00009865", "WBGene00009865")</f>
        <v>WBGene00009865</v>
      </c>
      <c r="B4544" s="9" t="str">
        <f>HYPERLINK("http://www.ncbi.nlm.nih.gov/gene/173297", "173297")</f>
        <v>173297</v>
      </c>
      <c r="C4544" s="9" t="str">
        <f>HYPERLINK("http://www.ncbi.nlm.nih.gov/gene/64167", "64167")</f>
        <v>64167</v>
      </c>
      <c r="D4544" t="str">
        <f>"F49B2.6"</f>
        <v>F49B2.6</v>
      </c>
      <c r="E4544" t="s">
        <v>594</v>
      </c>
      <c r="F4544" t="s">
        <v>11</v>
      </c>
      <c r="G4544" t="s">
        <v>595</v>
      </c>
      <c r="H4544" s="12">
        <v>1.96640045042345</v>
      </c>
      <c r="I4544" s="11">
        <v>3.1336383062436202</v>
      </c>
      <c r="J4544" s="10">
        <v>1.72653531063273E-3</v>
      </c>
      <c r="K4544" s="29">
        <v>5.8926624649158002E-2</v>
      </c>
    </row>
    <row r="4545" spans="1:11" x14ac:dyDescent="0.35">
      <c r="A4545" s="9" t="str">
        <f>HYPERLINK("http://www.ensembl.org/id/WBGene00016101", "WBGene00016101")</f>
        <v>WBGene00016101</v>
      </c>
      <c r="B4545" s="9" t="str">
        <f>HYPERLINK("http://www.ncbi.nlm.nih.gov/gene/182896", "182896")</f>
        <v>182896</v>
      </c>
      <c r="C4545" s="9"/>
      <c r="D4545" t="str">
        <f>"C25E10.12"</f>
        <v>C25E10.12</v>
      </c>
      <c r="E4545" t="s">
        <v>422</v>
      </c>
      <c r="F4545" t="s">
        <v>11</v>
      </c>
      <c r="G4545" t="s">
        <v>423</v>
      </c>
      <c r="H4545" s="12">
        <v>1.9661643141265599</v>
      </c>
      <c r="I4545" s="11">
        <v>3.6060889371867102</v>
      </c>
      <c r="J4545" s="10">
        <v>3.1084663817949502E-4</v>
      </c>
      <c r="K4545" s="29">
        <v>1.6032192905748699E-2</v>
      </c>
    </row>
    <row r="4546" spans="1:11" x14ac:dyDescent="0.35">
      <c r="A4546" s="9" t="str">
        <f>HYPERLINK("http://www.ensembl.org/id/WBGene00022295", "WBGene00022295")</f>
        <v>WBGene00022295</v>
      </c>
      <c r="B4546" s="9" t="str">
        <f>HYPERLINK("http://www.ncbi.nlm.nih.gov/gene/190732", "190732")</f>
        <v>190732</v>
      </c>
      <c r="C4546" s="9"/>
      <c r="D4546" t="str">
        <f>"cng-2"</f>
        <v>cng-2</v>
      </c>
      <c r="E4546" t="s">
        <v>2925</v>
      </c>
      <c r="F4546" t="s">
        <v>11</v>
      </c>
      <c r="G4546" t="s">
        <v>4368</v>
      </c>
      <c r="H4546" s="12">
        <v>1.96574050698615</v>
      </c>
      <c r="I4546" s="11">
        <v>0.96555699912689097</v>
      </c>
      <c r="J4546" s="10">
        <v>0.33426590125875</v>
      </c>
      <c r="K4546" s="29">
        <v>0.98289565623980701</v>
      </c>
    </row>
    <row r="4547" spans="1:11" x14ac:dyDescent="0.35">
      <c r="A4547" s="9" t="str">
        <f>HYPERLINK("http://www.ensembl.org/id/WBGene00019106", "WBGene00019106")</f>
        <v>WBGene00019106</v>
      </c>
      <c r="B4547" s="9" t="str">
        <f>HYPERLINK("http://www.ncbi.nlm.nih.gov/gene/186614", "186614")</f>
        <v>186614</v>
      </c>
      <c r="C4547" s="9"/>
      <c r="D4547" t="str">
        <f>"irld-38"</f>
        <v>irld-38</v>
      </c>
      <c r="E4547" t="s">
        <v>1627</v>
      </c>
      <c r="F4547" t="s">
        <v>11</v>
      </c>
      <c r="H4547" s="12">
        <v>1.9657343561146099</v>
      </c>
      <c r="I4547" s="11">
        <v>0.51296612060608704</v>
      </c>
      <c r="J4547" s="10">
        <v>0.60797501985759805</v>
      </c>
      <c r="K4547" s="29">
        <v>0.98289565623980701</v>
      </c>
    </row>
    <row r="4548" spans="1:11" x14ac:dyDescent="0.35">
      <c r="A4548" s="9" t="str">
        <f>HYPERLINK("http://www.ensembl.org/id/WBGene00016345", "WBGene00016345")</f>
        <v>WBGene00016345</v>
      </c>
      <c r="B4548" s="9" t="str">
        <f>HYPERLINK("http://www.ncbi.nlm.nih.gov/gene/181763", "181763")</f>
        <v>181763</v>
      </c>
      <c r="C4548" s="9"/>
      <c r="D4548" t="str">
        <f>"C33E10.1"</f>
        <v>C33E10.1</v>
      </c>
      <c r="F4548" t="s">
        <v>11</v>
      </c>
      <c r="G4548" t="s">
        <v>54</v>
      </c>
      <c r="H4548" s="12">
        <v>1.96564678102055</v>
      </c>
      <c r="I4548" s="11">
        <v>1.4588229352347999</v>
      </c>
      <c r="J4548" s="10">
        <v>0.14461384831596</v>
      </c>
      <c r="K4548" s="29">
        <v>0.84103890742224097</v>
      </c>
    </row>
    <row r="4549" spans="1:11" x14ac:dyDescent="0.35">
      <c r="A4549" s="9" t="str">
        <f>HYPERLINK("http://www.ensembl.org/id/WBGene00007377", "WBGene00007377")</f>
        <v>WBGene00007377</v>
      </c>
      <c r="B4549" s="9" t="str">
        <f>HYPERLINK("http://www.ncbi.nlm.nih.gov/gene/182304", "182304")</f>
        <v>182304</v>
      </c>
      <c r="C4549" s="9"/>
      <c r="D4549" t="str">
        <f>"C06C3.7"</f>
        <v>C06C3.7</v>
      </c>
      <c r="F4549" t="s">
        <v>11</v>
      </c>
      <c r="H4549" s="12">
        <v>1.9655956689546299</v>
      </c>
      <c r="I4549" s="11">
        <v>0.49533119023129601</v>
      </c>
      <c r="J4549" s="10">
        <v>0.620366357671157</v>
      </c>
      <c r="K4549" s="29">
        <v>0.98289565623980701</v>
      </c>
    </row>
    <row r="4550" spans="1:11" x14ac:dyDescent="0.35">
      <c r="A4550" s="9" t="str">
        <f>HYPERLINK("http://www.ensembl.org/id/WBGene00015944", "WBGene00015944")</f>
        <v>WBGene00015944</v>
      </c>
      <c r="B4550" s="9" t="str">
        <f>HYPERLINK("http://www.ncbi.nlm.nih.gov/gene/173972", "173972")</f>
        <v>173972</v>
      </c>
      <c r="C4550" s="9"/>
      <c r="D4550" t="str">
        <f>"C18A3.7"</f>
        <v>C18A3.7</v>
      </c>
      <c r="F4550" t="s">
        <v>11</v>
      </c>
      <c r="H4550" s="12">
        <v>1.9655580282906999</v>
      </c>
      <c r="I4550" s="11">
        <v>0.59756142590550698</v>
      </c>
      <c r="J4550" s="10">
        <v>0.55013260917701601</v>
      </c>
      <c r="K4550" s="29">
        <v>0.98289565623980701</v>
      </c>
    </row>
    <row r="4551" spans="1:11" x14ac:dyDescent="0.35">
      <c r="A4551" s="9" t="str">
        <f>HYPERLINK("http://www.ensembl.org/id/WBGene00008616", "WBGene00008616")</f>
        <v>WBGene00008616</v>
      </c>
      <c r="B4551" s="9" t="str">
        <f>HYPERLINK("http://www.ncbi.nlm.nih.gov/gene/184231", "184231")</f>
        <v>184231</v>
      </c>
      <c r="C4551" s="9"/>
      <c r="D4551" t="str">
        <f>"fbxa-44"</f>
        <v>fbxa-44</v>
      </c>
      <c r="E4551" t="s">
        <v>467</v>
      </c>
      <c r="F4551" t="s">
        <v>11</v>
      </c>
      <c r="G4551" t="s">
        <v>54</v>
      </c>
      <c r="H4551" s="12">
        <v>1.96464269009444</v>
      </c>
      <c r="I4551" s="11">
        <v>0.86474833331393197</v>
      </c>
      <c r="J4551" s="10">
        <v>0.38717693470757902</v>
      </c>
      <c r="K4551" s="29">
        <v>0.98289565623980701</v>
      </c>
    </row>
    <row r="4552" spans="1:11" x14ac:dyDescent="0.35">
      <c r="A4552" s="9" t="str">
        <f>HYPERLINK("http://www.ensembl.org/id/WBGene00001549", "WBGene00001549")</f>
        <v>WBGene00001549</v>
      </c>
      <c r="B4552" s="9" t="str">
        <f>HYPERLINK("http://www.ncbi.nlm.nih.gov/gene/191653", "191653")</f>
        <v>191653</v>
      </c>
      <c r="C4552" s="9"/>
      <c r="D4552" t="str">
        <f>"gcy-25"</f>
        <v>gcy-25</v>
      </c>
      <c r="E4552" t="s">
        <v>4459</v>
      </c>
      <c r="F4552" t="s">
        <v>11</v>
      </c>
      <c r="G4552" t="s">
        <v>3383</v>
      </c>
      <c r="H4552" s="12">
        <v>1.96459180030148</v>
      </c>
      <c r="I4552" s="11">
        <v>0.62021716440337604</v>
      </c>
      <c r="J4552" s="10">
        <v>0.53511482248692699</v>
      </c>
      <c r="K4552" s="29">
        <v>0.98289565623980701</v>
      </c>
    </row>
    <row r="4553" spans="1:11" x14ac:dyDescent="0.35">
      <c r="A4553" s="9" t="str">
        <f>HYPERLINK("http://www.ensembl.org/id/WBGene00004173", "WBGene00004173")</f>
        <v>WBGene00004173</v>
      </c>
      <c r="B4553" s="9" t="str">
        <f>HYPERLINK("http://www.ncbi.nlm.nih.gov/gene/180328", "180328")</f>
        <v>180328</v>
      </c>
      <c r="C4553" s="9"/>
      <c r="D4553" t="str">
        <f>"pqn-94"</f>
        <v>pqn-94</v>
      </c>
      <c r="E4553" t="s">
        <v>432</v>
      </c>
      <c r="F4553" t="s">
        <v>11</v>
      </c>
      <c r="H4553" s="12">
        <v>1.9640985888198601</v>
      </c>
      <c r="I4553" s="11">
        <v>3.5766840052949802</v>
      </c>
      <c r="J4553" s="10">
        <v>3.4798039864319502E-4</v>
      </c>
      <c r="K4553" s="29">
        <v>1.76325330944072E-2</v>
      </c>
    </row>
    <row r="4554" spans="1:11" x14ac:dyDescent="0.35">
      <c r="A4554" s="9" t="str">
        <f>HYPERLINK("http://www.ensembl.org/id/WBGene00008043", "WBGene00008043")</f>
        <v>WBGene00008043</v>
      </c>
      <c r="B4554" s="9" t="str">
        <f>HYPERLINK("http://www.ncbi.nlm.nih.gov/gene/3565371", "3565371")</f>
        <v>3565371</v>
      </c>
      <c r="C4554" s="9"/>
      <c r="D4554" t="str">
        <f>"C40H1.8"</f>
        <v>C40H1.8</v>
      </c>
      <c r="F4554" t="s">
        <v>11</v>
      </c>
      <c r="G4554" t="s">
        <v>29</v>
      </c>
      <c r="H4554" s="12">
        <v>1.9638716624510599</v>
      </c>
      <c r="I4554" s="11">
        <v>1.2943243815965699</v>
      </c>
      <c r="J4554" s="10">
        <v>0.19555339812771999</v>
      </c>
      <c r="K4554" s="29">
        <v>0.93880257991670302</v>
      </c>
    </row>
    <row r="4555" spans="1:11" x14ac:dyDescent="0.35">
      <c r="A4555" s="9" t="str">
        <f>HYPERLINK("http://www.ensembl.org/id/WBGene00171233", "WBGene00171233")</f>
        <v>WBGene00171233</v>
      </c>
      <c r="B4555" s="9"/>
      <c r="C4555" s="9"/>
      <c r="D4555" t="str">
        <f>"21ur-7775"</f>
        <v>21ur-7775</v>
      </c>
      <c r="F4555" t="s">
        <v>3161</v>
      </c>
      <c r="H4555" s="12">
        <v>1.9638662696056099</v>
      </c>
      <c r="I4555" s="11">
        <v>0.33027268083156702</v>
      </c>
      <c r="J4555" s="10">
        <v>0.74119393338581296</v>
      </c>
      <c r="K4555" s="29">
        <v>0.98289565623980701</v>
      </c>
    </row>
    <row r="4556" spans="1:11" x14ac:dyDescent="0.35">
      <c r="A4556" s="9" t="str">
        <f>HYPERLINK("http://www.ensembl.org/id/WBGene00219597", "WBGene00219597")</f>
        <v>WBGene00219597</v>
      </c>
      <c r="B4556" s="9"/>
      <c r="C4556" s="9"/>
      <c r="D4556" t="str">
        <f>"anr-11"</f>
        <v>anr-11</v>
      </c>
      <c r="F4556" t="s">
        <v>2735</v>
      </c>
      <c r="H4556" s="12">
        <v>1.9638662696056099</v>
      </c>
      <c r="I4556" s="11">
        <v>0.33027268083156702</v>
      </c>
      <c r="J4556" s="10">
        <v>0.74119393338581296</v>
      </c>
      <c r="K4556" s="29">
        <v>0.98289565623980701</v>
      </c>
    </row>
    <row r="4557" spans="1:11" x14ac:dyDescent="0.35">
      <c r="A4557" s="9" t="str">
        <f>HYPERLINK("http://www.ensembl.org/id/WBGene00015241", "WBGene00015241")</f>
        <v>WBGene00015241</v>
      </c>
      <c r="B4557" s="9" t="str">
        <f>HYPERLINK("http://www.ncbi.nlm.nih.gov/gene/182024", "182024")</f>
        <v>182024</v>
      </c>
      <c r="C4557" s="9" t="str">
        <f>HYPERLINK("http://www.ncbi.nlm.nih.gov/gene/8228", "8228")</f>
        <v>8228</v>
      </c>
      <c r="D4557" t="str">
        <f>"B0524.2"</f>
        <v>B0524.2</v>
      </c>
      <c r="F4557" t="s">
        <v>11</v>
      </c>
      <c r="G4557" t="s">
        <v>4460</v>
      </c>
      <c r="H4557" s="12">
        <v>1.9638662696056099</v>
      </c>
      <c r="I4557" s="11">
        <v>0.33027268083156702</v>
      </c>
      <c r="J4557" s="10">
        <v>0.74119393338581296</v>
      </c>
      <c r="K4557" s="29">
        <v>0.98289565623980701</v>
      </c>
    </row>
    <row r="4558" spans="1:11" x14ac:dyDescent="0.35">
      <c r="A4558" s="9" t="str">
        <f>HYPERLINK("http://www.ensembl.org/id/WBGene00021616", "WBGene00021616")</f>
        <v>WBGene00021616</v>
      </c>
      <c r="B4558" s="9" t="str">
        <f>HYPERLINK("http://www.ncbi.nlm.nih.gov/gene/178838", "178838")</f>
        <v>178838</v>
      </c>
      <c r="C4558" s="9"/>
      <c r="D4558" t="str">
        <f>"Y47D7A.2"</f>
        <v>Y47D7A.2</v>
      </c>
      <c r="F4558" t="s">
        <v>11</v>
      </c>
      <c r="H4558" s="12">
        <v>1.9638662696056099</v>
      </c>
      <c r="I4558" s="11">
        <v>0.33027268083156702</v>
      </c>
      <c r="J4558" s="10">
        <v>0.74119393338581296</v>
      </c>
      <c r="K4558" s="29">
        <v>0.98289565623980701</v>
      </c>
    </row>
    <row r="4559" spans="1:11" x14ac:dyDescent="0.35">
      <c r="A4559" s="9" t="str">
        <f>HYPERLINK("http://www.ensembl.org/id/WBGene00000749", "WBGene00000749")</f>
        <v>WBGene00000749</v>
      </c>
      <c r="B4559" s="9" t="str">
        <f>HYPERLINK("http://www.ncbi.nlm.nih.gov/gene/181219", "181219")</f>
        <v>181219</v>
      </c>
      <c r="C4559" s="9"/>
      <c r="D4559" t="str">
        <f>"col-176"</f>
        <v>col-176</v>
      </c>
      <c r="E4559" t="s">
        <v>40</v>
      </c>
      <c r="F4559" t="s">
        <v>11</v>
      </c>
      <c r="G4559" t="s">
        <v>152</v>
      </c>
      <c r="H4559" s="12">
        <v>1.96359253110777</v>
      </c>
      <c r="I4559" s="11">
        <v>2.43945975629057</v>
      </c>
      <c r="J4559" s="10">
        <v>1.47092409253763E-2</v>
      </c>
      <c r="K4559" s="29">
        <v>0.25053460796759502</v>
      </c>
    </row>
    <row r="4560" spans="1:11" x14ac:dyDescent="0.35">
      <c r="A4560" s="9" t="str">
        <f>HYPERLINK("http://www.ensembl.org/id/WBGene00007604", "WBGene00007604")</f>
        <v>WBGene00007604</v>
      </c>
      <c r="B4560" s="9" t="str">
        <f>HYPERLINK("http://www.ncbi.nlm.nih.gov/gene/179742", "179742")</f>
        <v>179742</v>
      </c>
      <c r="C4560" s="9"/>
      <c r="D4560" t="str">
        <f>"xbx-9"</f>
        <v>xbx-9</v>
      </c>
      <c r="E4560" t="s">
        <v>710</v>
      </c>
      <c r="F4560" t="s">
        <v>11</v>
      </c>
      <c r="G4560" t="s">
        <v>25</v>
      </c>
      <c r="H4560" s="12">
        <v>1.9632351763011799</v>
      </c>
      <c r="I4560" s="11">
        <v>2.36502228949458</v>
      </c>
      <c r="J4560" s="10">
        <v>1.8028985816725698E-2</v>
      </c>
      <c r="K4560" s="29">
        <v>0.28128139519329098</v>
      </c>
    </row>
    <row r="4561" spans="1:11" x14ac:dyDescent="0.35">
      <c r="A4561" s="9" t="str">
        <f>HYPERLINK("http://www.ensembl.org/id/WBGene00018803", "WBGene00018803")</f>
        <v>WBGene00018803</v>
      </c>
      <c r="B4561" s="9" t="str">
        <f>HYPERLINK("http://www.ncbi.nlm.nih.gov/gene/173727", "173727")</f>
        <v>173727</v>
      </c>
      <c r="C4561" s="9"/>
      <c r="D4561" t="str">
        <f>"fbxa-24"</f>
        <v>fbxa-24</v>
      </c>
      <c r="E4561" t="s">
        <v>467</v>
      </c>
      <c r="F4561" t="s">
        <v>11</v>
      </c>
      <c r="H4561" s="12">
        <v>1.9631953677648999</v>
      </c>
      <c r="I4561" s="11">
        <v>3.4430467656942101</v>
      </c>
      <c r="J4561" s="10">
        <v>5.7519983861855696E-4</v>
      </c>
      <c r="K4561" s="29">
        <v>2.5459670875396499E-2</v>
      </c>
    </row>
    <row r="4562" spans="1:11" x14ac:dyDescent="0.35">
      <c r="A4562" s="9" t="str">
        <f>HYPERLINK("http://www.ensembl.org/id/WBGene00019273", "WBGene00019273")</f>
        <v>WBGene00019273</v>
      </c>
      <c r="B4562" s="9" t="str">
        <f>HYPERLINK("http://www.ncbi.nlm.nih.gov/gene/174101", "174101")</f>
        <v>174101</v>
      </c>
      <c r="C4562" s="9"/>
      <c r="D4562" t="str">
        <f>"H43E16.1"</f>
        <v>H43E16.1</v>
      </c>
      <c r="F4562" t="s">
        <v>11</v>
      </c>
      <c r="G4562" t="s">
        <v>25</v>
      </c>
      <c r="H4562" s="12">
        <v>1.96313725218017</v>
      </c>
      <c r="I4562" s="11">
        <v>2.0792884211562099</v>
      </c>
      <c r="J4562" s="10">
        <v>3.75908487321788E-2</v>
      </c>
      <c r="K4562" s="29">
        <v>0.44587995421238302</v>
      </c>
    </row>
    <row r="4563" spans="1:11" x14ac:dyDescent="0.35">
      <c r="A4563" s="9" t="str">
        <f>HYPERLINK("http://www.ensembl.org/id/WBGene00003567", "WBGene00003567")</f>
        <v>WBGene00003567</v>
      </c>
      <c r="B4563" s="9" t="str">
        <f>HYPERLINK("http://www.ncbi.nlm.nih.gov/gene/178918", "178918")</f>
        <v>178918</v>
      </c>
      <c r="C4563" s="9" t="str">
        <f>HYPERLINK("http://www.ncbi.nlm.nih.gov/gene/6547", "6547")</f>
        <v>6547</v>
      </c>
      <c r="D4563" t="str">
        <f>"ncx-2"</f>
        <v>ncx-2</v>
      </c>
      <c r="E4563" t="s">
        <v>542</v>
      </c>
      <c r="F4563" t="s">
        <v>11</v>
      </c>
      <c r="G4563" t="s">
        <v>543</v>
      </c>
      <c r="H4563" s="12">
        <v>1.96274389710772</v>
      </c>
      <c r="I4563" s="11">
        <v>3.22345847851552</v>
      </c>
      <c r="J4563" s="10">
        <v>1.26652658637997E-3</v>
      </c>
      <c r="K4563" s="29">
        <v>4.6973295834503402E-2</v>
      </c>
    </row>
    <row r="4564" spans="1:11" x14ac:dyDescent="0.35">
      <c r="A4564" s="9" t="str">
        <f>HYPERLINK("http://www.ensembl.org/id/WBGene00044389", "WBGene00044389")</f>
        <v>WBGene00044389</v>
      </c>
      <c r="B4564" s="9" t="str">
        <f>HYPERLINK("http://www.ncbi.nlm.nih.gov/gene/3565138", "3565138")</f>
        <v>3565138</v>
      </c>
      <c r="C4564" s="9"/>
      <c r="D4564" t="str">
        <f>"C27D6.12"</f>
        <v>C27D6.12</v>
      </c>
      <c r="F4564" t="s">
        <v>11</v>
      </c>
      <c r="H4564" s="12">
        <v>1.9625425278341799</v>
      </c>
      <c r="I4564" s="11">
        <v>3.1283458228276899</v>
      </c>
      <c r="J4564" s="10">
        <v>1.7579321156542501E-3</v>
      </c>
      <c r="K4564" s="29">
        <v>5.9384180503372998E-2</v>
      </c>
    </row>
    <row r="4565" spans="1:11" x14ac:dyDescent="0.35">
      <c r="A4565" s="9" t="str">
        <f>HYPERLINK("http://www.ensembl.org/id/WBGene00009384", "WBGene00009384")</f>
        <v>WBGene00009384</v>
      </c>
      <c r="B4565" s="9" t="str">
        <f>HYPERLINK("http://www.ncbi.nlm.nih.gov/gene/185259", "185259")</f>
        <v>185259</v>
      </c>
      <c r="C4565" s="9"/>
      <c r="D4565" t="str">
        <f>"piit-1"</f>
        <v>piit-1</v>
      </c>
      <c r="E4565" t="s">
        <v>1334</v>
      </c>
      <c r="F4565" t="s">
        <v>11</v>
      </c>
      <c r="G4565" t="s">
        <v>50</v>
      </c>
      <c r="H4565" s="12">
        <v>1.96193091664093</v>
      </c>
      <c r="I4565" s="11">
        <v>2.2807100040453201</v>
      </c>
      <c r="J4565" s="10">
        <v>2.2565612795673599E-2</v>
      </c>
      <c r="K4565" s="29">
        <v>0.32445616008514899</v>
      </c>
    </row>
    <row r="4566" spans="1:11" x14ac:dyDescent="0.35">
      <c r="A4566" s="9" t="str">
        <f>HYPERLINK("http://www.ensembl.org/id/WBGene00007537", "WBGene00007537")</f>
        <v>WBGene00007537</v>
      </c>
      <c r="B4566" s="9" t="str">
        <f>HYPERLINK("http://www.ncbi.nlm.nih.gov/gene/182541", "182541")</f>
        <v>182541</v>
      </c>
      <c r="C4566" s="9"/>
      <c r="D4566" t="str">
        <f>"fipr-8"</f>
        <v>fipr-8</v>
      </c>
      <c r="E4566" t="s">
        <v>28</v>
      </c>
      <c r="F4566" t="s">
        <v>11</v>
      </c>
      <c r="H4566" s="12">
        <v>1.9619219494811799</v>
      </c>
      <c r="I4566" s="11">
        <v>0.74238320589825801</v>
      </c>
      <c r="J4566" s="10">
        <v>0.45785519181817702</v>
      </c>
      <c r="K4566" s="29">
        <v>0.98289565623980701</v>
      </c>
    </row>
    <row r="4567" spans="1:11" x14ac:dyDescent="0.35">
      <c r="A4567" s="9" t="str">
        <f>HYPERLINK("http://www.ensembl.org/id/WBGene00008096", "WBGene00008096")</f>
        <v>WBGene00008096</v>
      </c>
      <c r="B4567" s="9" t="str">
        <f>HYPERLINK("http://www.ncbi.nlm.nih.gov/gene/259735", "259735")</f>
        <v>259735</v>
      </c>
      <c r="C4567" s="9"/>
      <c r="D4567" t="str">
        <f>"C44H4.8"</f>
        <v>C44H4.8</v>
      </c>
      <c r="F4567" t="s">
        <v>11</v>
      </c>
      <c r="G4567" t="s">
        <v>25</v>
      </c>
      <c r="H4567" s="12">
        <v>1.96144722599111</v>
      </c>
      <c r="I4567" s="11">
        <v>1.7679203071007601</v>
      </c>
      <c r="J4567" s="10">
        <v>7.7074227401862302E-2</v>
      </c>
      <c r="K4567" s="29">
        <v>0.65316245851037102</v>
      </c>
    </row>
    <row r="4568" spans="1:11" x14ac:dyDescent="0.35">
      <c r="A4568" s="9" t="str">
        <f>HYPERLINK("http://www.ensembl.org/id/WBGene00023340", "WBGene00023340")</f>
        <v>WBGene00023340</v>
      </c>
      <c r="B4568" s="9"/>
      <c r="C4568" s="9"/>
      <c r="D4568" t="str">
        <f>"T05B11.5"</f>
        <v>T05B11.5</v>
      </c>
      <c r="F4568" t="s">
        <v>80</v>
      </c>
      <c r="H4568" s="12">
        <v>1.96139641625967</v>
      </c>
      <c r="I4568" s="11">
        <v>0.46541747693233998</v>
      </c>
      <c r="J4568" s="10">
        <v>0.64163252093989698</v>
      </c>
      <c r="K4568" s="29">
        <v>0.98289565623980701</v>
      </c>
    </row>
    <row r="4569" spans="1:11" x14ac:dyDescent="0.35">
      <c r="A4569" s="9" t="str">
        <f>HYPERLINK("http://www.ensembl.org/id/WBGene00206370", "WBGene00206370")</f>
        <v>WBGene00206370</v>
      </c>
      <c r="B4569" s="9" t="str">
        <f>HYPERLINK("http://www.ncbi.nlm.nih.gov/gene/13216740", "13216740")</f>
        <v>13216740</v>
      </c>
      <c r="C4569" s="9"/>
      <c r="D4569" t="str">
        <f>"F02D8.9"</f>
        <v>F02D8.9</v>
      </c>
      <c r="F4569" t="s">
        <v>11</v>
      </c>
      <c r="G4569" t="s">
        <v>25</v>
      </c>
      <c r="H4569" s="12">
        <v>1.9613723024009899</v>
      </c>
      <c r="I4569" s="11">
        <v>0.37039813019145301</v>
      </c>
      <c r="J4569" s="10">
        <v>0.71108586678740504</v>
      </c>
      <c r="K4569" s="29">
        <v>0.98289565623980701</v>
      </c>
    </row>
    <row r="4570" spans="1:11" x14ac:dyDescent="0.35">
      <c r="A4570" s="9" t="str">
        <f>HYPERLINK("http://www.ensembl.org/id/WBGene00021579", "WBGene00021579")</f>
        <v>WBGene00021579</v>
      </c>
      <c r="B4570" s="9" t="str">
        <f>HYPERLINK("http://www.ncbi.nlm.nih.gov/gene/177153", "177153")</f>
        <v>177153</v>
      </c>
      <c r="C4570" s="9"/>
      <c r="D4570" t="str">
        <f>"clec-73"</f>
        <v>clec-73</v>
      </c>
      <c r="E4570" t="s">
        <v>46</v>
      </c>
      <c r="F4570" t="s">
        <v>11</v>
      </c>
      <c r="G4570" t="s">
        <v>47</v>
      </c>
      <c r="H4570" s="12">
        <v>1.96135918089353</v>
      </c>
      <c r="I4570" s="11">
        <v>1.22656889321869</v>
      </c>
      <c r="J4570" s="10">
        <v>0.21998466676658801</v>
      </c>
      <c r="K4570" s="29">
        <v>0.97236736035787796</v>
      </c>
    </row>
    <row r="4571" spans="1:11" x14ac:dyDescent="0.35">
      <c r="A4571" s="9" t="str">
        <f>HYPERLINK("http://www.ensembl.org/id/WBGene00015900", "WBGene00015900")</f>
        <v>WBGene00015900</v>
      </c>
      <c r="B4571" s="9" t="str">
        <f>HYPERLINK("http://www.ncbi.nlm.nih.gov/gene/182730", "182730")</f>
        <v>182730</v>
      </c>
      <c r="C4571" s="9"/>
      <c r="D4571" t="str">
        <f>"nhr-157"</f>
        <v>nhr-157</v>
      </c>
      <c r="E4571" t="s">
        <v>637</v>
      </c>
      <c r="F4571" t="s">
        <v>11</v>
      </c>
      <c r="G4571" t="s">
        <v>1073</v>
      </c>
      <c r="H4571" s="12">
        <v>1.9610075939004601</v>
      </c>
      <c r="I4571" s="11">
        <v>0.963038529126924</v>
      </c>
      <c r="J4571" s="10">
        <v>0.33552818820709301</v>
      </c>
      <c r="K4571" s="29">
        <v>0.98289565623980701</v>
      </c>
    </row>
    <row r="4572" spans="1:11" x14ac:dyDescent="0.35">
      <c r="A4572" s="9" t="str">
        <f>HYPERLINK("http://www.ensembl.org/id/WBGene00194910", "WBGene00194910")</f>
        <v>WBGene00194910</v>
      </c>
      <c r="B4572" s="9" t="str">
        <f>HYPERLINK("http://www.ncbi.nlm.nih.gov/gene/13213391", "13213391")</f>
        <v>13213391</v>
      </c>
      <c r="C4572" s="9"/>
      <c r="D4572" t="str">
        <f>"ZC404.15"</f>
        <v>ZC404.15</v>
      </c>
      <c r="F4572" t="s">
        <v>11</v>
      </c>
      <c r="G4572" t="s">
        <v>25</v>
      </c>
      <c r="H4572" s="12">
        <v>1.96096561477589</v>
      </c>
      <c r="I4572" s="11">
        <v>0.64637197237755895</v>
      </c>
      <c r="J4572" s="10">
        <v>0.51803848716737499</v>
      </c>
      <c r="K4572" s="29">
        <v>0.98289565623980701</v>
      </c>
    </row>
    <row r="4573" spans="1:11" x14ac:dyDescent="0.35">
      <c r="A4573" s="9" t="str">
        <f>HYPERLINK("http://www.ensembl.org/id/WBGene00009136", "WBGene00009136")</f>
        <v>WBGene00009136</v>
      </c>
      <c r="B4573" s="9" t="str">
        <f>HYPERLINK("http://www.ncbi.nlm.nih.gov/gene/184942", "184942")</f>
        <v>184942</v>
      </c>
      <c r="C4573" s="9"/>
      <c r="D4573" t="str">
        <f>"lurp-3"</f>
        <v>lurp-3</v>
      </c>
      <c r="E4573" t="s">
        <v>2631</v>
      </c>
      <c r="F4573" t="s">
        <v>11</v>
      </c>
      <c r="G4573" t="s">
        <v>2770</v>
      </c>
      <c r="H4573" s="12">
        <v>1.9602117850512799</v>
      </c>
      <c r="I4573" s="11">
        <v>0.71292539343877304</v>
      </c>
      <c r="J4573" s="10">
        <v>0.47589192477998199</v>
      </c>
      <c r="K4573" s="29">
        <v>0.98289565623980701</v>
      </c>
    </row>
    <row r="4574" spans="1:11" x14ac:dyDescent="0.35">
      <c r="A4574" s="9" t="str">
        <f>HYPERLINK("http://www.ensembl.org/id/WBGene00017803", "WBGene00017803")</f>
        <v>WBGene00017803</v>
      </c>
      <c r="B4574" s="9" t="str">
        <f>HYPERLINK("http://www.ncbi.nlm.nih.gov/gene/184945", "184945")</f>
        <v>184945</v>
      </c>
      <c r="C4574" s="9"/>
      <c r="D4574" t="str">
        <f>"F26A1.4"</f>
        <v>F26A1.4</v>
      </c>
      <c r="F4574" t="s">
        <v>11</v>
      </c>
      <c r="G4574" t="s">
        <v>1763</v>
      </c>
      <c r="H4574" s="12">
        <v>1.95969597900355</v>
      </c>
      <c r="I4574" s="11">
        <v>0.36009598501494899</v>
      </c>
      <c r="J4574" s="10">
        <v>0.71877535517417901</v>
      </c>
      <c r="K4574" s="29">
        <v>0.98289565623980701</v>
      </c>
    </row>
    <row r="4575" spans="1:11" x14ac:dyDescent="0.35">
      <c r="A4575" s="9" t="str">
        <f>HYPERLINK("http://www.ensembl.org/id/WBGene00195238", "WBGene00195238")</f>
        <v>WBGene00195238</v>
      </c>
      <c r="B4575" s="9"/>
      <c r="C4575" s="9"/>
      <c r="D4575" t="str">
        <f>"mir-4805"</f>
        <v>mir-4805</v>
      </c>
      <c r="F4575" t="s">
        <v>1486</v>
      </c>
      <c r="H4575" s="12">
        <v>1.95969597900355</v>
      </c>
      <c r="I4575" s="11">
        <v>0.36009598501494899</v>
      </c>
      <c r="J4575" s="10">
        <v>0.71877535517417901</v>
      </c>
      <c r="K4575" s="29">
        <v>0.98289565623980701</v>
      </c>
    </row>
    <row r="4576" spans="1:11" x14ac:dyDescent="0.35">
      <c r="A4576" s="9" t="str">
        <f>HYPERLINK("http://www.ensembl.org/id/WBGene00049460", "WBGene00049460")</f>
        <v>WBGene00049460</v>
      </c>
      <c r="B4576" s="9"/>
      <c r="C4576" s="9"/>
      <c r="D4576" t="str">
        <f>"21ur-2065"</f>
        <v>21ur-2065</v>
      </c>
      <c r="F4576" t="s">
        <v>3161</v>
      </c>
      <c r="H4576" s="12">
        <v>1.9596373075569899</v>
      </c>
      <c r="I4576" s="11">
        <v>0.357020709913767</v>
      </c>
      <c r="J4576" s="10">
        <v>0.72107630181390903</v>
      </c>
      <c r="K4576" s="29">
        <v>0.98289565623980701</v>
      </c>
    </row>
    <row r="4577" spans="1:11" x14ac:dyDescent="0.35">
      <c r="A4577" s="9" t="str">
        <f>HYPERLINK("http://www.ensembl.org/id/WBGene00003768", "WBGene00003768")</f>
        <v>WBGene00003768</v>
      </c>
      <c r="B4577" s="9" t="str">
        <f>HYPERLINK("http://www.ncbi.nlm.nih.gov/gene/3565444", "3565444")</f>
        <v>3565444</v>
      </c>
      <c r="C4577" s="9"/>
      <c r="D4577" t="str">
        <f>"nlp-30"</f>
        <v>nlp-30</v>
      </c>
      <c r="E4577" t="s">
        <v>4461</v>
      </c>
      <c r="F4577" t="s">
        <v>11</v>
      </c>
      <c r="H4577" s="12">
        <v>1.9594537185929199</v>
      </c>
      <c r="I4577" s="11">
        <v>0.92744321119899098</v>
      </c>
      <c r="J4577" s="10">
        <v>0.35369646394085602</v>
      </c>
      <c r="K4577" s="29">
        <v>0.98289565623980701</v>
      </c>
    </row>
    <row r="4578" spans="1:11" x14ac:dyDescent="0.35">
      <c r="A4578" s="9" t="str">
        <f>HYPERLINK("http://www.ensembl.org/id/WBGene00044677", "WBGene00044677")</f>
        <v>WBGene00044677</v>
      </c>
      <c r="B4578" s="9" t="str">
        <f>HYPERLINK("http://www.ncbi.nlm.nih.gov/gene/4363052", "4363052")</f>
        <v>4363052</v>
      </c>
      <c r="C4578" s="9"/>
      <c r="D4578" t="str">
        <f>"ZK353.10"</f>
        <v>ZK353.10</v>
      </c>
      <c r="F4578" t="s">
        <v>11</v>
      </c>
      <c r="G4578" t="s">
        <v>25</v>
      </c>
      <c r="H4578" s="12">
        <v>1.95844948951578</v>
      </c>
      <c r="I4578" s="11">
        <v>2.0905726515288698</v>
      </c>
      <c r="J4578" s="10">
        <v>3.6566389451143801E-2</v>
      </c>
      <c r="K4578" s="29">
        <v>0.436642374500326</v>
      </c>
    </row>
    <row r="4579" spans="1:11" x14ac:dyDescent="0.35">
      <c r="A4579" s="9" t="str">
        <f>HYPERLINK("http://www.ensembl.org/id/WBGene00002006", "WBGene00002006")</f>
        <v>WBGene00002006</v>
      </c>
      <c r="B4579" s="9"/>
      <c r="C4579" s="9"/>
      <c r="D4579" t="str">
        <f>"hsp-2"</f>
        <v>hsp-2</v>
      </c>
      <c r="F4579" t="s">
        <v>80</v>
      </c>
      <c r="H4579" s="12">
        <v>1.95758625116193</v>
      </c>
      <c r="I4579" s="11">
        <v>0.77086614529765396</v>
      </c>
      <c r="J4579" s="10">
        <v>0.44078627573763202</v>
      </c>
      <c r="K4579" s="29">
        <v>0.98289565623980701</v>
      </c>
    </row>
    <row r="4580" spans="1:11" x14ac:dyDescent="0.35">
      <c r="A4580" s="9" t="str">
        <f>HYPERLINK("http://www.ensembl.org/id/WBGene00007765", "WBGene00007765")</f>
        <v>WBGene00007765</v>
      </c>
      <c r="B4580" s="9" t="str">
        <f>HYPERLINK("http://www.ncbi.nlm.nih.gov/gene/3565797", "3565797")</f>
        <v>3565797</v>
      </c>
      <c r="C4580" s="9"/>
      <c r="D4580" t="str">
        <f>"C27B7.9"</f>
        <v>C27B7.9</v>
      </c>
      <c r="F4580" t="s">
        <v>11</v>
      </c>
      <c r="H4580" s="12">
        <v>1.9572675049125701</v>
      </c>
      <c r="I4580" s="11">
        <v>2.9120761315799499</v>
      </c>
      <c r="J4580" s="10">
        <v>3.5903511618445702E-3</v>
      </c>
      <c r="K4580" s="29">
        <v>9.7141280966722199E-2</v>
      </c>
    </row>
    <row r="4581" spans="1:11" x14ac:dyDescent="0.35">
      <c r="A4581" s="9" t="str">
        <f>HYPERLINK("http://www.ensembl.org/id/WBGene00004228", "WBGene00004228")</f>
        <v>WBGene00004228</v>
      </c>
      <c r="B4581" s="9" t="str">
        <f>HYPERLINK("http://www.ncbi.nlm.nih.gov/gene/177951", "177951")</f>
        <v>177951</v>
      </c>
      <c r="C4581" s="9"/>
      <c r="D4581" t="str">
        <f>"ptr-14"</f>
        <v>ptr-14</v>
      </c>
      <c r="E4581" t="s">
        <v>134</v>
      </c>
      <c r="F4581" t="s">
        <v>11</v>
      </c>
      <c r="G4581" t="s">
        <v>631</v>
      </c>
      <c r="H4581" s="12">
        <v>1.95712685353934</v>
      </c>
      <c r="I4581" s="11">
        <v>3.0725294818544699</v>
      </c>
      <c r="J4581" s="10">
        <v>2.1225286565225501E-3</v>
      </c>
      <c r="K4581" s="29">
        <v>6.7774050668527305E-2</v>
      </c>
    </row>
    <row r="4582" spans="1:11" x14ac:dyDescent="0.35">
      <c r="A4582" s="9" t="str">
        <f>HYPERLINK("http://www.ensembl.org/id/WBGene00206525", "WBGene00206525")</f>
        <v>WBGene00206525</v>
      </c>
      <c r="B4582" s="9" t="str">
        <f>HYPERLINK("http://www.ncbi.nlm.nih.gov/gene/13189130", "13189130")</f>
        <v>13189130</v>
      </c>
      <c r="C4582" s="9"/>
      <c r="D4582" t="str">
        <f>"R74.10"</f>
        <v>R74.10</v>
      </c>
      <c r="F4582" t="s">
        <v>11</v>
      </c>
      <c r="H4582" s="12">
        <v>1.9568127713968699</v>
      </c>
      <c r="I4582" s="11">
        <v>2.61911587477976</v>
      </c>
      <c r="J4582" s="10">
        <v>8.8157996243422906E-3</v>
      </c>
      <c r="K4582" s="29">
        <v>0.18045110694959501</v>
      </c>
    </row>
    <row r="4583" spans="1:11" x14ac:dyDescent="0.35">
      <c r="A4583" s="9" t="str">
        <f>HYPERLINK("http://www.ensembl.org/id/WBGene00011963", "WBGene00011963")</f>
        <v>WBGene00011963</v>
      </c>
      <c r="B4583" s="9" t="str">
        <f>HYPERLINK("http://www.ncbi.nlm.nih.gov/gene/188816", "188816")</f>
        <v>188816</v>
      </c>
      <c r="C4583" s="9"/>
      <c r="D4583" t="str">
        <f>"T23G5.3"</f>
        <v>T23G5.3</v>
      </c>
      <c r="F4583" t="s">
        <v>11</v>
      </c>
      <c r="G4583" t="s">
        <v>817</v>
      </c>
      <c r="H4583" s="12">
        <v>1.95624209078002</v>
      </c>
      <c r="I4583" s="11">
        <v>1.93236212858742</v>
      </c>
      <c r="J4583" s="10">
        <v>5.3314824974906999E-2</v>
      </c>
      <c r="K4583" s="29">
        <v>0.54244489029951604</v>
      </c>
    </row>
    <row r="4584" spans="1:11" x14ac:dyDescent="0.35">
      <c r="A4584" s="9" t="str">
        <f>HYPERLINK("http://www.ensembl.org/id/WBGene00020545", "WBGene00020545")</f>
        <v>WBGene00020545</v>
      </c>
      <c r="B4584" s="9"/>
      <c r="C4584" s="9"/>
      <c r="D4584" t="str">
        <f>"adbp-2"</f>
        <v>adbp-2</v>
      </c>
      <c r="F4584" t="s">
        <v>80</v>
      </c>
      <c r="H4584" s="12">
        <v>1.9561173881285501</v>
      </c>
      <c r="I4584" s="11">
        <v>0.257782736541043</v>
      </c>
      <c r="J4584" s="10">
        <v>0.79657458856254804</v>
      </c>
      <c r="K4584" s="29">
        <v>0.98289565623980701</v>
      </c>
    </row>
    <row r="4585" spans="1:11" x14ac:dyDescent="0.35">
      <c r="A4585" s="9" t="str">
        <f>HYPERLINK("http://www.ensembl.org/id/WBGene00007962", "WBGene00007962")</f>
        <v>WBGene00007962</v>
      </c>
      <c r="B4585" s="9"/>
      <c r="C4585" s="9"/>
      <c r="D4585" t="str">
        <f>"C35D6.5"</f>
        <v>C35D6.5</v>
      </c>
      <c r="F4585" t="s">
        <v>80</v>
      </c>
      <c r="H4585" s="12">
        <v>1.9561173881285501</v>
      </c>
      <c r="I4585" s="11">
        <v>0.257782736541043</v>
      </c>
      <c r="J4585" s="10">
        <v>0.79657458856254804</v>
      </c>
      <c r="K4585" s="29">
        <v>0.98289565623980701</v>
      </c>
    </row>
    <row r="4586" spans="1:11" x14ac:dyDescent="0.35">
      <c r="A4586" s="9" t="str">
        <f>HYPERLINK("http://www.ensembl.org/id/WBGene00018279", "WBGene00018279")</f>
        <v>WBGene00018279</v>
      </c>
      <c r="B4586" s="9" t="str">
        <f>HYPERLINK("http://www.ncbi.nlm.nih.gov/gene/185600", "185600")</f>
        <v>185600</v>
      </c>
      <c r="C4586" s="9"/>
      <c r="D4586" t="str">
        <f>"F41C6.6"</f>
        <v>F41C6.6</v>
      </c>
      <c r="F4586" t="s">
        <v>11</v>
      </c>
      <c r="H4586" s="12">
        <v>1.9561173881285501</v>
      </c>
      <c r="I4586" s="11">
        <v>0.257782736541043</v>
      </c>
      <c r="J4586" s="10">
        <v>0.79657458856254804</v>
      </c>
      <c r="K4586" s="29">
        <v>0.98289565623980701</v>
      </c>
    </row>
    <row r="4587" spans="1:11" x14ac:dyDescent="0.35">
      <c r="A4587" s="9" t="str">
        <f>HYPERLINK("http://www.ensembl.org/id/WBGene00004141", "WBGene00004141")</f>
        <v>WBGene00004141</v>
      </c>
      <c r="B4587" s="9" t="str">
        <f>HYPERLINK("http://www.ncbi.nlm.nih.gov/gene/187751", "187751")</f>
        <v>187751</v>
      </c>
      <c r="C4587" s="9"/>
      <c r="D4587" t="str">
        <f>"pqn-57"</f>
        <v>pqn-57</v>
      </c>
      <c r="E4587" t="s">
        <v>4462</v>
      </c>
      <c r="F4587" t="s">
        <v>11</v>
      </c>
      <c r="G4587" t="s">
        <v>1683</v>
      </c>
      <c r="H4587" s="12">
        <v>1.9561173881285501</v>
      </c>
      <c r="I4587" s="11">
        <v>0.257782736541043</v>
      </c>
      <c r="J4587" s="10">
        <v>0.79657458856254804</v>
      </c>
      <c r="K4587" s="29">
        <v>0.98289565623980701</v>
      </c>
    </row>
    <row r="4588" spans="1:11" x14ac:dyDescent="0.35">
      <c r="A4588" s="9" t="str">
        <f>HYPERLINK("http://www.ensembl.org/id/WBGene00020882", "WBGene00020882")</f>
        <v>WBGene00020882</v>
      </c>
      <c r="B4588" s="9" t="str">
        <f>HYPERLINK("http://www.ncbi.nlm.nih.gov/gene/189025", "189025")</f>
        <v>189025</v>
      </c>
      <c r="C4588" s="9"/>
      <c r="D4588" t="str">
        <f>"T28A11.20"</f>
        <v>T28A11.20</v>
      </c>
      <c r="F4588" t="s">
        <v>11</v>
      </c>
      <c r="H4588" s="12">
        <v>1.9561173881285501</v>
      </c>
      <c r="I4588" s="11">
        <v>0.257782736541043</v>
      </c>
      <c r="J4588" s="10">
        <v>0.79657458856254804</v>
      </c>
      <c r="K4588" s="29">
        <v>0.98289565623980701</v>
      </c>
    </row>
    <row r="4589" spans="1:11" x14ac:dyDescent="0.35">
      <c r="A4589" s="9" t="str">
        <f>HYPERLINK("http://www.ensembl.org/id/WBGene00016497", "WBGene00016497")</f>
        <v>WBGene00016497</v>
      </c>
      <c r="B4589" s="9"/>
      <c r="C4589" s="9"/>
      <c r="D4589" t="str">
        <f>"vps-32.2"</f>
        <v>vps-32.2</v>
      </c>
      <c r="F4589" t="s">
        <v>80</v>
      </c>
      <c r="H4589" s="12">
        <v>1.9561173881285501</v>
      </c>
      <c r="I4589" s="11">
        <v>0.257782736541043</v>
      </c>
      <c r="J4589" s="10">
        <v>0.79657458856254804</v>
      </c>
      <c r="K4589" s="29">
        <v>0.98289565623980701</v>
      </c>
    </row>
    <row r="4590" spans="1:11" x14ac:dyDescent="0.35">
      <c r="A4590" s="9" t="str">
        <f>HYPERLINK("http://www.ensembl.org/id/WBGene00012455", "WBGene00012455")</f>
        <v>WBGene00012455</v>
      </c>
      <c r="B4590" s="9" t="str">
        <f>HYPERLINK("http://www.ncbi.nlm.nih.gov/gene/189451", "189451")</f>
        <v>189451</v>
      </c>
      <c r="C4590" s="9"/>
      <c r="D4590" t="str">
        <f>"Y17D7C.1"</f>
        <v>Y17D7C.1</v>
      </c>
      <c r="F4590" t="s">
        <v>11</v>
      </c>
      <c r="H4590" s="12">
        <v>1.9561173881285501</v>
      </c>
      <c r="I4590" s="11">
        <v>0.257782736541043</v>
      </c>
      <c r="J4590" s="10">
        <v>0.79657458856254804</v>
      </c>
      <c r="K4590" s="29">
        <v>0.98289565623980701</v>
      </c>
    </row>
    <row r="4591" spans="1:11" x14ac:dyDescent="0.35">
      <c r="A4591" s="9" t="str">
        <f>HYPERLINK("http://www.ensembl.org/id/WBGene00044380", "WBGene00044380")</f>
        <v>WBGene00044380</v>
      </c>
      <c r="B4591" s="9" t="str">
        <f>HYPERLINK("http://www.ncbi.nlm.nih.gov/gene/3565483", "3565483")</f>
        <v>3565483</v>
      </c>
      <c r="C4591" s="9"/>
      <c r="D4591" t="str">
        <f>"T24E12.12"</f>
        <v>T24E12.12</v>
      </c>
      <c r="F4591" t="s">
        <v>11</v>
      </c>
      <c r="H4591" s="12">
        <v>1.95606833864528</v>
      </c>
      <c r="I4591" s="11">
        <v>0.30551770402301098</v>
      </c>
      <c r="J4591" s="10">
        <v>0.75997188827511897</v>
      </c>
      <c r="K4591" s="29">
        <v>0.98289565623980701</v>
      </c>
    </row>
    <row r="4592" spans="1:11" x14ac:dyDescent="0.35">
      <c r="A4592" s="9" t="str">
        <f>HYPERLINK("http://www.ensembl.org/id/WBGene00219561", "WBGene00219561")</f>
        <v>WBGene00219561</v>
      </c>
      <c r="B4592" s="9"/>
      <c r="C4592" s="9"/>
      <c r="D4592" t="str">
        <f>"linc-142"</f>
        <v>linc-142</v>
      </c>
      <c r="F4592" t="s">
        <v>1510</v>
      </c>
      <c r="H4592" s="12">
        <v>1.9558358073425</v>
      </c>
      <c r="I4592" s="11">
        <v>0.53086944986833995</v>
      </c>
      <c r="J4592" s="10">
        <v>0.59550924932736105</v>
      </c>
      <c r="K4592" s="29">
        <v>0.98289565623980701</v>
      </c>
    </row>
    <row r="4593" spans="1:11" x14ac:dyDescent="0.35">
      <c r="A4593" s="9" t="str">
        <f>HYPERLINK("http://www.ensembl.org/id/WBGene00022649", "WBGene00022649")</f>
        <v>WBGene00022649</v>
      </c>
      <c r="B4593" s="9" t="str">
        <f>HYPERLINK("http://www.ncbi.nlm.nih.gov/gene/174008", "174008")</f>
        <v>174008</v>
      </c>
      <c r="C4593" s="9"/>
      <c r="D4593" t="str">
        <f>"ZK84.1"</f>
        <v>ZK84.1</v>
      </c>
      <c r="F4593" t="s">
        <v>11</v>
      </c>
      <c r="H4593" s="12">
        <v>1.95492205328309</v>
      </c>
      <c r="I4593" s="11">
        <v>3.0036630112807701</v>
      </c>
      <c r="J4593" s="10">
        <v>2.6675060571388098E-3</v>
      </c>
      <c r="K4593" s="29">
        <v>7.8616575199297697E-2</v>
      </c>
    </row>
    <row r="4594" spans="1:11" x14ac:dyDescent="0.35">
      <c r="A4594" s="9" t="str">
        <f>HYPERLINK("http://www.ensembl.org/id/WBGene00018194", "WBGene00018194")</f>
        <v>WBGene00018194</v>
      </c>
      <c r="B4594" s="9"/>
      <c r="C4594" s="9"/>
      <c r="D4594" t="str">
        <f>"F39E9.1"</f>
        <v>F39E9.1</v>
      </c>
      <c r="F4594" t="s">
        <v>80</v>
      </c>
      <c r="H4594" s="12">
        <v>1.9543693019972399</v>
      </c>
      <c r="I4594" s="11">
        <v>1.77543278345074</v>
      </c>
      <c r="J4594" s="10">
        <v>7.5826454931198106E-2</v>
      </c>
      <c r="K4594" s="29">
        <v>0.64818574459499201</v>
      </c>
    </row>
    <row r="4595" spans="1:11" x14ac:dyDescent="0.35">
      <c r="A4595" s="9" t="str">
        <f>HYPERLINK("http://www.ensembl.org/id/WBGene00022720", "WBGene00022720")</f>
        <v>WBGene00022720</v>
      </c>
      <c r="B4595" s="9" t="str">
        <f>HYPERLINK("http://www.ncbi.nlm.nih.gov/gene/191302", "191302")</f>
        <v>191302</v>
      </c>
      <c r="C4595" s="9"/>
      <c r="D4595" t="str">
        <f>"ZK370.6"</f>
        <v>ZK370.6</v>
      </c>
      <c r="F4595" t="s">
        <v>11</v>
      </c>
      <c r="H4595" s="12">
        <v>1.95419350766214</v>
      </c>
      <c r="I4595" s="11">
        <v>2.24465554993002</v>
      </c>
      <c r="J4595" s="10">
        <v>2.4790253664984298E-2</v>
      </c>
      <c r="K4595" s="29">
        <v>0.34516812036118699</v>
      </c>
    </row>
    <row r="4596" spans="1:11" x14ac:dyDescent="0.35">
      <c r="A4596" s="9" t="str">
        <f>HYPERLINK("http://www.ensembl.org/id/WBGene00168399", "WBGene00168399")</f>
        <v>WBGene00168399</v>
      </c>
      <c r="B4596" s="9"/>
      <c r="C4596" s="9"/>
      <c r="D4596" t="str">
        <f>"21ur-15588"</f>
        <v>21ur-15588</v>
      </c>
      <c r="F4596" t="s">
        <v>3161</v>
      </c>
      <c r="H4596" s="12">
        <v>1.9538700762438499</v>
      </c>
      <c r="I4596" s="11">
        <v>0.25760187678572299</v>
      </c>
      <c r="J4596" s="10">
        <v>0.79671418112091397</v>
      </c>
      <c r="K4596" s="29">
        <v>0.98289565623980701</v>
      </c>
    </row>
    <row r="4597" spans="1:11" x14ac:dyDescent="0.35">
      <c r="A4597" s="9" t="str">
        <f>HYPERLINK("http://www.ensembl.org/id/WBGene00018307", "WBGene00018307")</f>
        <v>WBGene00018307</v>
      </c>
      <c r="B4597" s="9" t="str">
        <f>HYPERLINK("http://www.ncbi.nlm.nih.gov/gene/185634", "185634")</f>
        <v>185634</v>
      </c>
      <c r="C4597" s="9"/>
      <c r="D4597" t="str">
        <f>"dyla-1"</f>
        <v>dyla-1</v>
      </c>
      <c r="E4597" t="s">
        <v>3616</v>
      </c>
      <c r="F4597" t="s">
        <v>11</v>
      </c>
      <c r="G4597" t="s">
        <v>3617</v>
      </c>
      <c r="H4597" s="12">
        <v>1.95352907122416</v>
      </c>
      <c r="I4597" s="11">
        <v>1.3393952423544799</v>
      </c>
      <c r="J4597" s="10">
        <v>0.180442037428451</v>
      </c>
      <c r="K4597" s="29">
        <v>0.91570986992525805</v>
      </c>
    </row>
    <row r="4598" spans="1:11" x14ac:dyDescent="0.35">
      <c r="A4598" s="9" t="str">
        <f>HYPERLINK("http://www.ensembl.org/id/WBGene00009089", "WBGene00009089")</f>
        <v>WBGene00009089</v>
      </c>
      <c r="B4598" s="9" t="str">
        <f>HYPERLINK("http://www.ncbi.nlm.nih.gov/gene/181543", "181543")</f>
        <v>181543</v>
      </c>
      <c r="C4598" s="9"/>
      <c r="D4598" t="str">
        <f>"jmjd-3.2"</f>
        <v>jmjd-3.2</v>
      </c>
      <c r="E4598" t="s">
        <v>1355</v>
      </c>
      <c r="F4598" t="s">
        <v>11</v>
      </c>
      <c r="G4598" t="s">
        <v>1356</v>
      </c>
      <c r="H4598" s="12">
        <v>1.9523296428332599</v>
      </c>
      <c r="I4598" s="11">
        <v>2.2609164374849802</v>
      </c>
      <c r="J4598" s="10">
        <v>2.3764432053611499E-2</v>
      </c>
      <c r="K4598" s="29">
        <v>0.33515224441275299</v>
      </c>
    </row>
    <row r="4599" spans="1:11" x14ac:dyDescent="0.35">
      <c r="A4599" s="9" t="str">
        <f>HYPERLINK("http://www.ensembl.org/id/WBGene00019979", "WBGene00019979")</f>
        <v>WBGene00019979</v>
      </c>
      <c r="B4599" s="9" t="str">
        <f>HYPERLINK("http://www.ncbi.nlm.nih.gov/gene/178634", "178634")</f>
        <v>178634</v>
      </c>
      <c r="C4599" s="9" t="str">
        <f>HYPERLINK("http://www.ncbi.nlm.nih.gov/gene/6515", "6515")</f>
        <v>6515</v>
      </c>
      <c r="D4599" t="str">
        <f>"R09B5.11"</f>
        <v>R09B5.11</v>
      </c>
      <c r="E4599" t="s">
        <v>943</v>
      </c>
      <c r="F4599" t="s">
        <v>11</v>
      </c>
      <c r="G4599" t="s">
        <v>944</v>
      </c>
      <c r="H4599" s="12">
        <v>1.95191234931288</v>
      </c>
      <c r="I4599" s="11">
        <v>2.6573671596780399</v>
      </c>
      <c r="J4599" s="10">
        <v>7.8753620774930696E-3</v>
      </c>
      <c r="K4599" s="29">
        <v>0.16527530986608099</v>
      </c>
    </row>
    <row r="4600" spans="1:11" x14ac:dyDescent="0.35">
      <c r="A4600" s="9" t="str">
        <f>HYPERLINK("http://www.ensembl.org/id/WBGene00008152", "WBGene00008152")</f>
        <v>WBGene00008152</v>
      </c>
      <c r="B4600" s="9" t="str">
        <f>HYPERLINK("http://www.ncbi.nlm.nih.gov/gene/183555", "183555")</f>
        <v>183555</v>
      </c>
      <c r="C4600" s="9"/>
      <c r="D4600" t="str">
        <f>"C47E12.9"</f>
        <v>C47E12.9</v>
      </c>
      <c r="F4600" t="s">
        <v>11</v>
      </c>
      <c r="H4600" s="12">
        <v>1.95189882649348</v>
      </c>
      <c r="I4600" s="11">
        <v>2.3985891940147401</v>
      </c>
      <c r="J4600" s="10">
        <v>1.6458367600124701E-2</v>
      </c>
      <c r="K4600" s="29">
        <v>0.26819394656512902</v>
      </c>
    </row>
    <row r="4601" spans="1:11" x14ac:dyDescent="0.35">
      <c r="A4601" s="9" t="str">
        <f>HYPERLINK("http://www.ensembl.org/id/WBGene00045208", "WBGene00045208")</f>
        <v>WBGene00045208</v>
      </c>
      <c r="B4601" s="9" t="str">
        <f>HYPERLINK("http://www.ncbi.nlm.nih.gov/gene/4927023", "4927023")</f>
        <v>4927023</v>
      </c>
      <c r="C4601" s="9"/>
      <c r="D4601" t="str">
        <f>"F13E9.15"</f>
        <v>F13E9.15</v>
      </c>
      <c r="F4601" t="s">
        <v>11</v>
      </c>
      <c r="H4601" s="12">
        <v>1.9517026970389699</v>
      </c>
      <c r="I4601" s="11">
        <v>2.4513177279195801</v>
      </c>
      <c r="J4601" s="10">
        <v>1.42334253154364E-2</v>
      </c>
      <c r="K4601" s="29">
        <v>0.245065220073378</v>
      </c>
    </row>
    <row r="4602" spans="1:11" x14ac:dyDescent="0.35">
      <c r="A4602" s="9" t="str">
        <f>HYPERLINK("http://www.ensembl.org/id/WBGene00008482", "WBGene00008482")</f>
        <v>WBGene00008482</v>
      </c>
      <c r="B4602" s="9" t="str">
        <f>HYPERLINK("http://www.ncbi.nlm.nih.gov/gene/184037", "184037")</f>
        <v>184037</v>
      </c>
      <c r="C4602" s="9"/>
      <c r="D4602" t="str">
        <f>"cut-4"</f>
        <v>cut-4</v>
      </c>
      <c r="E4602" t="s">
        <v>614</v>
      </c>
      <c r="F4602" t="s">
        <v>11</v>
      </c>
      <c r="G4602" t="s">
        <v>615</v>
      </c>
      <c r="H4602" s="12">
        <v>1.95153858867209</v>
      </c>
      <c r="I4602" s="11">
        <v>3.1041313362670602</v>
      </c>
      <c r="J4602" s="10">
        <v>1.90838596024777E-3</v>
      </c>
      <c r="K4602" s="29">
        <v>6.2602251853872498E-2</v>
      </c>
    </row>
    <row r="4603" spans="1:11" x14ac:dyDescent="0.35">
      <c r="A4603" s="9" t="str">
        <f>HYPERLINK("http://www.ensembl.org/id/WBGene00010632", "WBGene00010632")</f>
        <v>WBGene00010632</v>
      </c>
      <c r="B4603" s="9" t="str">
        <f>HYPERLINK("http://www.ncbi.nlm.nih.gov/gene/259644", "259644")</f>
        <v>259644</v>
      </c>
      <c r="C4603" s="9"/>
      <c r="D4603" t="str">
        <f>"K07C5.9"</f>
        <v>K07C5.9</v>
      </c>
      <c r="F4603" t="s">
        <v>11</v>
      </c>
      <c r="H4603" s="12">
        <v>1.9514023846201101</v>
      </c>
      <c r="I4603" s="11">
        <v>2.16834207789499</v>
      </c>
      <c r="J4603" s="10">
        <v>3.01326691701044E-2</v>
      </c>
      <c r="K4603" s="29">
        <v>0.38831313655573502</v>
      </c>
    </row>
    <row r="4604" spans="1:11" x14ac:dyDescent="0.35">
      <c r="A4604" s="9" t="str">
        <f>HYPERLINK("http://www.ensembl.org/id/WBGene00219583", "WBGene00219583")</f>
        <v>WBGene00219583</v>
      </c>
      <c r="B4604" s="9"/>
      <c r="C4604" s="9"/>
      <c r="D4604" t="str">
        <f>"anr-43"</f>
        <v>anr-43</v>
      </c>
      <c r="F4604" t="s">
        <v>2735</v>
      </c>
      <c r="H4604" s="12">
        <v>1.9512900832218101</v>
      </c>
      <c r="I4604" s="11">
        <v>0.51654573462868902</v>
      </c>
      <c r="J4604" s="10">
        <v>0.60547330509422004</v>
      </c>
      <c r="K4604" s="29">
        <v>0.98289565623980701</v>
      </c>
    </row>
    <row r="4605" spans="1:11" x14ac:dyDescent="0.35">
      <c r="A4605" s="9" t="str">
        <f>HYPERLINK("http://www.ensembl.org/id/WBGene00019837", "WBGene00019837")</f>
        <v>WBGene00019837</v>
      </c>
      <c r="B4605" s="9" t="str">
        <f>HYPERLINK("http://www.ncbi.nlm.nih.gov/gene/187530", "187530")</f>
        <v>187530</v>
      </c>
      <c r="C4605" s="9"/>
      <c r="D4605" t="str">
        <f>"R02F2.8"</f>
        <v>R02F2.8</v>
      </c>
      <c r="F4605" t="s">
        <v>11</v>
      </c>
      <c r="G4605" t="s">
        <v>372</v>
      </c>
      <c r="H4605" s="12">
        <v>1.9502534671729299</v>
      </c>
      <c r="I4605" s="11">
        <v>1.5966822620588299</v>
      </c>
      <c r="J4605" s="10">
        <v>0.11033655154543601</v>
      </c>
      <c r="K4605" s="29">
        <v>0.76221813459384202</v>
      </c>
    </row>
  </sheetData>
  <mergeCells count="1">
    <mergeCell ref="H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91F77-A08A-41A4-961D-78D2A2FB0BC2}">
  <dimension ref="A1:L2686"/>
  <sheetViews>
    <sheetView topLeftCell="A16" workbookViewId="0">
      <selection activeCell="N10" sqref="N10"/>
    </sheetView>
  </sheetViews>
  <sheetFormatPr defaultRowHeight="14.5" x14ac:dyDescent="0.35"/>
  <cols>
    <col min="11" max="11" width="8.7265625" style="31"/>
  </cols>
  <sheetData>
    <row r="1" spans="1:11" ht="55" customHeight="1" x14ac:dyDescent="0.35">
      <c r="A1" s="1"/>
      <c r="B1" s="1"/>
      <c r="C1" s="1"/>
      <c r="D1" s="2"/>
      <c r="E1" s="2"/>
      <c r="F1" s="2"/>
      <c r="G1" s="3"/>
      <c r="H1" s="36" t="s">
        <v>10704</v>
      </c>
      <c r="I1" s="36"/>
      <c r="J1" s="36"/>
      <c r="K1" s="36"/>
    </row>
    <row r="2" spans="1:11" ht="58" x14ac:dyDescent="0.35">
      <c r="A2" s="4" t="s">
        <v>0</v>
      </c>
      <c r="B2" s="4" t="s">
        <v>1</v>
      </c>
      <c r="C2" s="4" t="s">
        <v>2</v>
      </c>
      <c r="D2" s="5" t="s">
        <v>3</v>
      </c>
      <c r="E2" s="3" t="s">
        <v>4</v>
      </c>
      <c r="F2" s="3" t="s">
        <v>5</v>
      </c>
      <c r="G2" s="3" t="s">
        <v>6</v>
      </c>
      <c r="H2" s="8" t="s">
        <v>9</v>
      </c>
      <c r="I2" s="6" t="s">
        <v>10</v>
      </c>
      <c r="J2" s="7" t="s">
        <v>7</v>
      </c>
      <c r="K2" s="27" t="s">
        <v>8</v>
      </c>
    </row>
    <row r="3" spans="1:11" x14ac:dyDescent="0.35">
      <c r="A3" s="9" t="str">
        <f>HYPERLINK("http://www.ensembl.org/id/WBGene00009691", "WBGene00009691")</f>
        <v>WBGene00009691</v>
      </c>
      <c r="B3" s="9" t="str">
        <f>HYPERLINK("http://www.ncbi.nlm.nih.gov/gene/174805", "174805")</f>
        <v>174805</v>
      </c>
      <c r="C3" s="9"/>
      <c r="D3" t="str">
        <f>"F44E5.4"</f>
        <v>F44E5.4</v>
      </c>
      <c r="F3" t="s">
        <v>11</v>
      </c>
      <c r="G3" t="s">
        <v>102</v>
      </c>
      <c r="H3" s="12">
        <v>-1407.73268807664</v>
      </c>
      <c r="I3" s="11">
        <v>-5.5577242562976004</v>
      </c>
      <c r="J3" s="10">
        <v>2.7331470993665599E-8</v>
      </c>
      <c r="K3" s="29">
        <v>8.3094864313110104E-6</v>
      </c>
    </row>
    <row r="4" spans="1:11" x14ac:dyDescent="0.35">
      <c r="A4" s="9" t="str">
        <f>HYPERLINK("http://www.ensembl.org/id/WBGene00009692", "WBGene00009692")</f>
        <v>WBGene00009692</v>
      </c>
      <c r="B4" s="9" t="str">
        <f>HYPERLINK("http://www.ncbi.nlm.nih.gov/gene/174806", "174806")</f>
        <v>174806</v>
      </c>
      <c r="C4" s="9"/>
      <c r="D4" t="str">
        <f>"F44E5.5"</f>
        <v>F44E5.5</v>
      </c>
      <c r="F4" t="s">
        <v>11</v>
      </c>
      <c r="G4" t="s">
        <v>102</v>
      </c>
      <c r="H4" s="12">
        <v>-1396.14649274265</v>
      </c>
      <c r="I4" s="11">
        <v>-4.9548326175776696</v>
      </c>
      <c r="J4" s="10">
        <v>7.2392580252783098E-7</v>
      </c>
      <c r="K4" s="29">
        <v>1.21556426371933E-4</v>
      </c>
    </row>
    <row r="5" spans="1:11" x14ac:dyDescent="0.35">
      <c r="A5" s="9" t="str">
        <f>HYPERLINK("http://www.ensembl.org/id/WBGene00018911", "WBGene00018911")</f>
        <v>WBGene00018911</v>
      </c>
      <c r="B5" s="9" t="str">
        <f>HYPERLINK("http://www.ncbi.nlm.nih.gov/gene/186346", "186346")</f>
        <v>186346</v>
      </c>
      <c r="C5" s="9"/>
      <c r="D5" t="str">
        <f>"F56A4.3"</f>
        <v>F56A4.3</v>
      </c>
      <c r="F5" t="s">
        <v>11</v>
      </c>
      <c r="G5" t="s">
        <v>291</v>
      </c>
      <c r="H5" s="12">
        <v>-197.710921483161</v>
      </c>
      <c r="I5" s="11">
        <v>-4.12280591280983</v>
      </c>
      <c r="J5" s="10">
        <v>3.7428505134103201E-5</v>
      </c>
      <c r="K5" s="29">
        <v>3.03714821402823E-3</v>
      </c>
    </row>
    <row r="6" spans="1:11" x14ac:dyDescent="0.35">
      <c r="A6" s="9" t="str">
        <f>HYPERLINK("http://www.ensembl.org/id/WBGene00001730", "WBGene00001730")</f>
        <v>WBGene00001730</v>
      </c>
      <c r="B6" s="9" t="str">
        <f>HYPERLINK("http://www.ncbi.nlm.nih.gov/gene/177967", "177967")</f>
        <v>177967</v>
      </c>
      <c r="C6" s="9"/>
      <c r="D6" t="str">
        <f>"grl-21"</f>
        <v>grl-21</v>
      </c>
      <c r="E6" t="s">
        <v>353</v>
      </c>
      <c r="F6" t="s">
        <v>11</v>
      </c>
      <c r="H6" s="12">
        <v>-71.174117733297805</v>
      </c>
      <c r="I6" s="11">
        <v>-3.8426559394071198</v>
      </c>
      <c r="J6" s="10">
        <v>1.21710034092715E-4</v>
      </c>
      <c r="K6" s="29">
        <v>7.7047453362911397E-3</v>
      </c>
    </row>
    <row r="7" spans="1:11" x14ac:dyDescent="0.35">
      <c r="A7" s="9" t="str">
        <f>HYPERLINK("http://www.ensembl.org/id/WBGene00002102", "WBGene00002102")</f>
        <v>WBGene00002102</v>
      </c>
      <c r="B7" s="9" t="str">
        <f>HYPERLINK("http://www.ncbi.nlm.nih.gov/gene/3565612", "3565612")</f>
        <v>3565612</v>
      </c>
      <c r="C7" s="9"/>
      <c r="D7" t="str">
        <f>"ins-19"</f>
        <v>ins-19</v>
      </c>
      <c r="E7" t="s">
        <v>12</v>
      </c>
      <c r="F7" t="s">
        <v>11</v>
      </c>
      <c r="G7" t="s">
        <v>13</v>
      </c>
      <c r="H7" s="12">
        <v>-56.339658901642501</v>
      </c>
      <c r="I7" s="11">
        <v>-9.7520309161391499</v>
      </c>
      <c r="J7" s="10">
        <v>1.8081417888933499E-22</v>
      </c>
      <c r="K7" s="29">
        <v>2.0889462087084902E-18</v>
      </c>
    </row>
    <row r="8" spans="1:11" x14ac:dyDescent="0.35">
      <c r="A8" s="9" t="str">
        <f>HYPERLINK("http://www.ensembl.org/id/WBGene00015338", "WBGene00015338")</f>
        <v>WBGene00015338</v>
      </c>
      <c r="B8" s="9" t="str">
        <f>HYPERLINK("http://www.ncbi.nlm.nih.gov/gene/182114", "182114")</f>
        <v>182114</v>
      </c>
      <c r="C8" s="9"/>
      <c r="D8" t="str">
        <f>"catp-2"</f>
        <v>catp-2</v>
      </c>
      <c r="E8" t="s">
        <v>1824</v>
      </c>
      <c r="F8" t="s">
        <v>11</v>
      </c>
      <c r="G8" t="s">
        <v>1825</v>
      </c>
      <c r="H8" s="12">
        <v>-45.2977986222811</v>
      </c>
      <c r="I8" s="11">
        <v>-1.9549377731658899</v>
      </c>
      <c r="J8" s="10">
        <v>5.05904154429795E-2</v>
      </c>
      <c r="K8" s="29">
        <v>0.52631343504074002</v>
      </c>
    </row>
    <row r="9" spans="1:11" x14ac:dyDescent="0.35">
      <c r="A9" s="9" t="str">
        <f>HYPERLINK("http://www.ensembl.org/id/WBGene00015578", "WBGene00015578")</f>
        <v>WBGene00015578</v>
      </c>
      <c r="B9" s="9" t="str">
        <f>HYPERLINK("http://www.ncbi.nlm.nih.gov/gene/178773", "178773")</f>
        <v>178773</v>
      </c>
      <c r="C9" s="9"/>
      <c r="D9" t="str">
        <f>"C07G3.10"</f>
        <v>C07G3.10</v>
      </c>
      <c r="F9" t="s">
        <v>11</v>
      </c>
      <c r="G9" t="s">
        <v>129</v>
      </c>
      <c r="H9" s="12">
        <v>-43.794152237042802</v>
      </c>
      <c r="I9" s="11">
        <v>-1.89394175382404</v>
      </c>
      <c r="J9" s="10">
        <v>5.8232741534827201E-2</v>
      </c>
      <c r="K9" s="29">
        <v>0.56845193320816101</v>
      </c>
    </row>
    <row r="10" spans="1:11" x14ac:dyDescent="0.35">
      <c r="A10" s="9" t="str">
        <f>HYPERLINK("http://www.ensembl.org/id/WBGene00050906", "WBGene00050906")</f>
        <v>WBGene00050906</v>
      </c>
      <c r="B10" s="9" t="str">
        <f>HYPERLINK("http://www.ncbi.nlm.nih.gov/gene/6418731", "6418731")</f>
        <v>6418731</v>
      </c>
      <c r="C10" s="9"/>
      <c r="D10" t="str">
        <f>"F20E11.17"</f>
        <v>F20E11.17</v>
      </c>
      <c r="F10" t="s">
        <v>11</v>
      </c>
      <c r="H10" s="12">
        <v>-39.539885738128902</v>
      </c>
      <c r="I10" s="11">
        <v>-3.2483457904219701</v>
      </c>
      <c r="J10" s="10">
        <v>1.1607811005447601E-3</v>
      </c>
      <c r="K10" s="29">
        <v>4.4041064218698203E-2</v>
      </c>
    </row>
    <row r="11" spans="1:11" x14ac:dyDescent="0.35">
      <c r="A11" s="9" t="str">
        <f>HYPERLINK("http://www.ensembl.org/id/WBGene00220254", "WBGene00220254")</f>
        <v>WBGene00220254</v>
      </c>
      <c r="B11" s="9" t="str">
        <f>HYPERLINK("http://www.ncbi.nlm.nih.gov/gene/24105016", "24105016")</f>
        <v>24105016</v>
      </c>
      <c r="C11" s="9"/>
      <c r="D11" t="str">
        <f>"Y105C5A.1285"</f>
        <v>Y105C5A.1285</v>
      </c>
      <c r="F11" t="s">
        <v>11</v>
      </c>
      <c r="H11" s="12">
        <v>-35.544841536623998</v>
      </c>
      <c r="I11" s="11">
        <v>-1.65273062611649</v>
      </c>
      <c r="J11" s="10">
        <v>9.83856984817775E-2</v>
      </c>
      <c r="K11" s="29">
        <v>0.72422674460075698</v>
      </c>
    </row>
    <row r="12" spans="1:11" x14ac:dyDescent="0.35">
      <c r="A12" s="9" t="str">
        <f>HYPERLINK("http://www.ensembl.org/id/WBGene00005548", "WBGene00005548")</f>
        <v>WBGene00005548</v>
      </c>
      <c r="B12" s="9" t="str">
        <f>HYPERLINK("http://www.ncbi.nlm.nih.gov/gene/191910", "191910")</f>
        <v>191910</v>
      </c>
      <c r="C12" s="9"/>
      <c r="D12" t="str">
        <f>"sri-36"</f>
        <v>sri-36</v>
      </c>
      <c r="E12" t="s">
        <v>1503</v>
      </c>
      <c r="F12" t="s">
        <v>11</v>
      </c>
      <c r="G12" t="s">
        <v>25</v>
      </c>
      <c r="H12" s="12">
        <v>-30.036141779369299</v>
      </c>
      <c r="I12" s="11">
        <v>-1.4755275820887901</v>
      </c>
      <c r="J12" s="10">
        <v>0.140070758467746</v>
      </c>
      <c r="K12" s="29">
        <v>0.83147871376092397</v>
      </c>
    </row>
    <row r="13" spans="1:11" x14ac:dyDescent="0.35">
      <c r="A13" s="9" t="str">
        <f>HYPERLINK("http://www.ensembl.org/id/WBGene00022267", "WBGene00022267")</f>
        <v>WBGene00022267</v>
      </c>
      <c r="B13" s="9" t="str">
        <f>HYPERLINK("http://www.ncbi.nlm.nih.gov/gene/190664", "190664")</f>
        <v>190664</v>
      </c>
      <c r="C13" s="9"/>
      <c r="D13" t="str">
        <f>"Y73C8C.10"</f>
        <v>Y73C8C.10</v>
      </c>
      <c r="F13" t="s">
        <v>11</v>
      </c>
      <c r="G13" t="s">
        <v>260</v>
      </c>
      <c r="H13" s="12">
        <v>-29.872880064818901</v>
      </c>
      <c r="I13" s="11">
        <v>-1.5282791226047501</v>
      </c>
      <c r="J13" s="10">
        <v>0.126443251149122</v>
      </c>
      <c r="K13" s="29">
        <v>0.80351973626281703</v>
      </c>
    </row>
    <row r="14" spans="1:11" x14ac:dyDescent="0.35">
      <c r="A14" s="9" t="str">
        <f>HYPERLINK("http://www.ensembl.org/id/WBGene00022553", "WBGene00022553")</f>
        <v>WBGene00022553</v>
      </c>
      <c r="B14" s="9" t="str">
        <f>HYPERLINK("http://www.ncbi.nlm.nih.gov/gene/191108", "191108")</f>
        <v>191108</v>
      </c>
      <c r="C14" s="9"/>
      <c r="D14" t="str">
        <f>"ZC204.1"</f>
        <v>ZC204.1</v>
      </c>
      <c r="F14" t="s">
        <v>11</v>
      </c>
      <c r="H14" s="12">
        <v>-28.775388432371599</v>
      </c>
      <c r="I14" s="11">
        <v>-2.6321000830182402</v>
      </c>
      <c r="J14" s="10">
        <v>8.4858861022401103E-3</v>
      </c>
      <c r="K14" s="29">
        <v>0.17506686096282101</v>
      </c>
    </row>
    <row r="15" spans="1:11" x14ac:dyDescent="0.35">
      <c r="A15" s="9" t="str">
        <f>HYPERLINK("http://www.ensembl.org/id/WBGene00013757", "WBGene00013757")</f>
        <v>WBGene00013757</v>
      </c>
      <c r="B15" s="9" t="str">
        <f>HYPERLINK("http://www.ncbi.nlm.nih.gov/gene/190971", "190971")</f>
        <v>190971</v>
      </c>
      <c r="C15" s="9"/>
      <c r="D15" t="str">
        <f>"fbxa-113"</f>
        <v>fbxa-113</v>
      </c>
      <c r="E15" t="s">
        <v>467</v>
      </c>
      <c r="F15" t="s">
        <v>11</v>
      </c>
      <c r="G15" t="s">
        <v>54</v>
      </c>
      <c r="H15" s="12">
        <v>-28.333706552319299</v>
      </c>
      <c r="I15" s="11">
        <v>-1.5726829950231</v>
      </c>
      <c r="J15" s="10">
        <v>0.11579223928188501</v>
      </c>
      <c r="K15" s="29">
        <v>0.778052655900489</v>
      </c>
    </row>
    <row r="16" spans="1:11" x14ac:dyDescent="0.35">
      <c r="A16" s="9" t="str">
        <f>HYPERLINK("http://www.ensembl.org/id/WBGene00017056", "WBGene00017056")</f>
        <v>WBGene00017056</v>
      </c>
      <c r="B16" s="9" t="str">
        <f>HYPERLINK("http://www.ncbi.nlm.nih.gov/gene/183954", "183954")</f>
        <v>183954</v>
      </c>
      <c r="C16" s="9"/>
      <c r="D16" t="str">
        <f>"D2062.4"</f>
        <v>D2062.4</v>
      </c>
      <c r="F16" t="s">
        <v>11</v>
      </c>
      <c r="G16" t="s">
        <v>25</v>
      </c>
      <c r="H16" s="12">
        <v>-27.474018811195702</v>
      </c>
      <c r="I16" s="11">
        <v>-1.38459641209259</v>
      </c>
      <c r="J16" s="10">
        <v>0.166175909183952</v>
      </c>
      <c r="K16" s="29">
        <v>0.88498397685845498</v>
      </c>
    </row>
    <row r="17" spans="1:11" x14ac:dyDescent="0.35">
      <c r="A17" s="9" t="str">
        <f>HYPERLINK("http://www.ensembl.org/id/WBGene00269394", "WBGene00269394")</f>
        <v>WBGene00269394</v>
      </c>
      <c r="B17" s="9" t="str">
        <f>HYPERLINK("http://www.ncbi.nlm.nih.gov/gene/27219624", "27219624")</f>
        <v>27219624</v>
      </c>
      <c r="C17" s="9"/>
      <c r="D17" t="str">
        <f>"F59H6.15"</f>
        <v>F59H6.15</v>
      </c>
      <c r="F17" t="s">
        <v>11</v>
      </c>
      <c r="G17" t="s">
        <v>25</v>
      </c>
      <c r="H17" s="12">
        <v>-25.584689466533899</v>
      </c>
      <c r="I17" s="11">
        <v>-1.43984176839887</v>
      </c>
      <c r="J17" s="10">
        <v>0.149912171042587</v>
      </c>
      <c r="K17" s="29">
        <v>0.85419565124083696</v>
      </c>
    </row>
    <row r="18" spans="1:11" x14ac:dyDescent="0.35">
      <c r="A18" s="9" t="str">
        <f>HYPERLINK("http://www.ensembl.org/id/WBGene00200826", "WBGene00200826")</f>
        <v>WBGene00200826</v>
      </c>
      <c r="B18" s="9"/>
      <c r="C18" s="9"/>
      <c r="D18" t="str">
        <f>"W06B11.10"</f>
        <v>W06B11.10</v>
      </c>
      <c r="F18" t="s">
        <v>481</v>
      </c>
      <c r="H18" s="12">
        <v>-24.6945664304939</v>
      </c>
      <c r="I18" s="11">
        <v>-1.2853899940953799</v>
      </c>
      <c r="J18" s="10">
        <v>0.198656035974936</v>
      </c>
      <c r="K18" s="29">
        <v>0.94415514001106304</v>
      </c>
    </row>
    <row r="19" spans="1:11" x14ac:dyDescent="0.35">
      <c r="A19" s="9" t="str">
        <f>HYPERLINK("http://www.ensembl.org/id/WBGene00049200", "WBGene00049200")</f>
        <v>WBGene00049200</v>
      </c>
      <c r="B19" s="9"/>
      <c r="C19" s="9"/>
      <c r="D19" t="str">
        <f>"21ur-2521"</f>
        <v>21ur-2521</v>
      </c>
      <c r="F19" t="s">
        <v>3161</v>
      </c>
      <c r="H19" s="12">
        <v>-24.519446335015701</v>
      </c>
      <c r="I19" s="11">
        <v>-1.2800362012759501</v>
      </c>
      <c r="J19" s="10">
        <v>0.20053240440116399</v>
      </c>
      <c r="K19" s="29">
        <v>0.94754636729924302</v>
      </c>
    </row>
    <row r="20" spans="1:11" x14ac:dyDescent="0.35">
      <c r="A20" s="9" t="str">
        <f>HYPERLINK("http://www.ensembl.org/id/WBGene00008804", "WBGene00008804")</f>
        <v>WBGene00008804</v>
      </c>
      <c r="B20" s="9" t="str">
        <f>HYPERLINK("http://www.ncbi.nlm.nih.gov/gene/174344", "174344")</f>
        <v>174344</v>
      </c>
      <c r="C20" s="9"/>
      <c r="D20" t="str">
        <f>"acp-4"</f>
        <v>acp-4</v>
      </c>
      <c r="E20" t="s">
        <v>36</v>
      </c>
      <c r="F20" t="s">
        <v>11</v>
      </c>
      <c r="G20" t="s">
        <v>1331</v>
      </c>
      <c r="H20" s="12">
        <v>-22.519855132163901</v>
      </c>
      <c r="I20" s="11">
        <v>-2.2838419351920498</v>
      </c>
      <c r="J20" s="10">
        <v>2.23808221314175E-2</v>
      </c>
      <c r="K20" s="29">
        <v>0.32300516937447399</v>
      </c>
    </row>
    <row r="21" spans="1:11" x14ac:dyDescent="0.35">
      <c r="A21" s="9" t="str">
        <f>HYPERLINK("http://www.ensembl.org/id/WBGene00012682", "WBGene00012682")</f>
        <v>WBGene00012682</v>
      </c>
      <c r="B21" s="9" t="str">
        <f>HYPERLINK("http://www.ncbi.nlm.nih.gov/gene/260226", "260226")</f>
        <v>260226</v>
      </c>
      <c r="C21" s="9"/>
      <c r="D21" t="str">
        <f>"asp-16"</f>
        <v>asp-16</v>
      </c>
      <c r="E21" t="s">
        <v>1521</v>
      </c>
      <c r="F21" t="s">
        <v>11</v>
      </c>
      <c r="G21" t="s">
        <v>10057</v>
      </c>
      <c r="H21" s="12">
        <v>-21.252610692142799</v>
      </c>
      <c r="I21" s="11">
        <v>-1.1632991581032299</v>
      </c>
      <c r="J21" s="10">
        <v>0.244708147149415</v>
      </c>
      <c r="K21" s="29">
        <v>0.98289565623980701</v>
      </c>
    </row>
    <row r="22" spans="1:11" x14ac:dyDescent="0.35">
      <c r="A22" s="9" t="str">
        <f>HYPERLINK("http://www.ensembl.org/id/WBGene00198782", "WBGene00198782")</f>
        <v>WBGene00198782</v>
      </c>
      <c r="B22" s="9"/>
      <c r="C22" s="9"/>
      <c r="D22" t="str">
        <f>"C39F7.7"</f>
        <v>C39F7.7</v>
      </c>
      <c r="F22" t="s">
        <v>481</v>
      </c>
      <c r="H22" s="12">
        <v>-20.903831786017999</v>
      </c>
      <c r="I22" s="11">
        <v>-1.3104038210417199</v>
      </c>
      <c r="J22" s="10">
        <v>0.190059261679175</v>
      </c>
      <c r="K22" s="29">
        <v>0.92834517192120303</v>
      </c>
    </row>
    <row r="23" spans="1:11" x14ac:dyDescent="0.35">
      <c r="A23" s="9" t="str">
        <f>HYPERLINK("http://www.ensembl.org/id/WBGene00220032", "WBGene00220032")</f>
        <v>WBGene00220032</v>
      </c>
      <c r="B23" s="9"/>
      <c r="C23" s="9"/>
      <c r="D23" t="str">
        <f>"M7.15"</f>
        <v>M7.15</v>
      </c>
      <c r="F23" t="s">
        <v>2977</v>
      </c>
      <c r="H23" s="12">
        <v>-19.599315221644002</v>
      </c>
      <c r="I23" s="11">
        <v>-1.2368180946067899</v>
      </c>
      <c r="J23" s="10">
        <v>0.216154622855279</v>
      </c>
      <c r="K23" s="29">
        <v>0.97017651820009299</v>
      </c>
    </row>
    <row r="24" spans="1:11" x14ac:dyDescent="0.35">
      <c r="A24" s="9" t="str">
        <f>HYPERLINK("http://www.ensembl.org/id/WBGene00194935", "WBGene00194935")</f>
        <v>WBGene00194935</v>
      </c>
      <c r="B24" s="9" t="str">
        <f>HYPERLINK("http://www.ncbi.nlm.nih.gov/gene/13186765", "13186765")</f>
        <v>13186765</v>
      </c>
      <c r="C24" s="9"/>
      <c r="D24" t="str">
        <f>"M02G9.4"</f>
        <v>M02G9.4</v>
      </c>
      <c r="F24" t="s">
        <v>11</v>
      </c>
      <c r="H24" s="12">
        <v>-19.176534527412699</v>
      </c>
      <c r="I24" s="11">
        <v>-1.06749940192321</v>
      </c>
      <c r="J24" s="10">
        <v>0.28574638357159698</v>
      </c>
      <c r="K24" s="29">
        <v>0.98289565623980701</v>
      </c>
    </row>
    <row r="25" spans="1:11" x14ac:dyDescent="0.35">
      <c r="A25" s="9" t="str">
        <f>HYPERLINK("http://www.ensembl.org/id/WBGene00206526", "WBGene00206526")</f>
        <v>WBGene00206526</v>
      </c>
      <c r="B25" s="9"/>
      <c r="C25" s="9"/>
      <c r="D25" t="str">
        <f>"C06C3.14"</f>
        <v>C06C3.14</v>
      </c>
      <c r="F25" t="s">
        <v>481</v>
      </c>
      <c r="H25" s="12">
        <v>-18.201499315204</v>
      </c>
      <c r="I25" s="11">
        <v>-1.1899108878765601</v>
      </c>
      <c r="J25" s="10">
        <v>0.23408141862121201</v>
      </c>
      <c r="K25" s="29">
        <v>0.98289565623980701</v>
      </c>
    </row>
    <row r="26" spans="1:11" x14ac:dyDescent="0.35">
      <c r="A26" s="9" t="str">
        <f>HYPERLINK("http://www.ensembl.org/id/WBGene00007567", "WBGene00007567")</f>
        <v>WBGene00007567</v>
      </c>
      <c r="B26" s="9" t="str">
        <f>HYPERLINK("http://www.ncbi.nlm.nih.gov/gene/182584", "182584")</f>
        <v>182584</v>
      </c>
      <c r="C26" s="9"/>
      <c r="D26" t="str">
        <f>"C14A6.3"</f>
        <v>C14A6.3</v>
      </c>
      <c r="F26" t="s">
        <v>11</v>
      </c>
      <c r="G26" t="s">
        <v>25</v>
      </c>
      <c r="H26" s="12">
        <v>-18.077799399640899</v>
      </c>
      <c r="I26" s="11">
        <v>-1.0473268471963699</v>
      </c>
      <c r="J26" s="10">
        <v>0.29494885789095598</v>
      </c>
      <c r="K26" s="29">
        <v>0.98289565623980701</v>
      </c>
    </row>
    <row r="27" spans="1:11" x14ac:dyDescent="0.35">
      <c r="A27" s="9" t="str">
        <f>HYPERLINK("http://www.ensembl.org/id/WBGene00015690", "WBGene00015690")</f>
        <v>WBGene00015690</v>
      </c>
      <c r="B27" s="9" t="str">
        <f>HYPERLINK("http://www.ncbi.nlm.nih.gov/gene/182507", "182507")</f>
        <v>182507</v>
      </c>
      <c r="C27" s="9"/>
      <c r="D27" t="str">
        <f>"C10G11.10"</f>
        <v>C10G11.10</v>
      </c>
      <c r="F27" t="s">
        <v>11</v>
      </c>
      <c r="G27" t="s">
        <v>25</v>
      </c>
      <c r="H27" s="12">
        <v>-17.512564306685199</v>
      </c>
      <c r="I27" s="11">
        <v>-1.0277957511909199</v>
      </c>
      <c r="J27" s="10">
        <v>0.30404591531485903</v>
      </c>
      <c r="K27" s="29">
        <v>0.98289565623980701</v>
      </c>
    </row>
    <row r="28" spans="1:11" x14ac:dyDescent="0.35">
      <c r="A28" s="9" t="str">
        <f>HYPERLINK("http://www.ensembl.org/id/WBGene00271781", "WBGene00271781")</f>
        <v>WBGene00271781</v>
      </c>
      <c r="B28" s="9"/>
      <c r="C28" s="9"/>
      <c r="D28" t="str">
        <f>"Y71F9AM.9"</f>
        <v>Y71F9AM.9</v>
      </c>
      <c r="F28" t="s">
        <v>1510</v>
      </c>
      <c r="H28" s="12">
        <v>-16.490095688159499</v>
      </c>
      <c r="I28" s="11">
        <v>-0.94793960937074495</v>
      </c>
      <c r="J28" s="10">
        <v>0.34316019894966998</v>
      </c>
      <c r="K28" s="29">
        <v>0.98289565623980701</v>
      </c>
    </row>
    <row r="29" spans="1:11" x14ac:dyDescent="0.35">
      <c r="A29" s="9" t="str">
        <f>HYPERLINK("http://www.ensembl.org/id/WBGene00008048", "WBGene00008048")</f>
        <v>WBGene00008048</v>
      </c>
      <c r="B29" s="9"/>
      <c r="C29" s="9"/>
      <c r="D29" t="str">
        <f>"hpo-41"</f>
        <v>hpo-41</v>
      </c>
      <c r="F29" t="s">
        <v>80</v>
      </c>
      <c r="H29" s="12">
        <v>-16.055030555753099</v>
      </c>
      <c r="I29" s="11">
        <v>-1.4551528176529001</v>
      </c>
      <c r="J29" s="10">
        <v>0.14562695966741401</v>
      </c>
      <c r="K29" s="29">
        <v>0.84374341298991495</v>
      </c>
    </row>
    <row r="30" spans="1:11" x14ac:dyDescent="0.35">
      <c r="A30" s="9" t="str">
        <f>HYPERLINK("http://www.ensembl.org/id/WBGene00045460", "WBGene00045460")</f>
        <v>WBGene00045460</v>
      </c>
      <c r="B30" s="9" t="str">
        <f>HYPERLINK("http://www.ncbi.nlm.nih.gov/gene/6418695", "6418695")</f>
        <v>6418695</v>
      </c>
      <c r="C30" s="9"/>
      <c r="D30" t="str">
        <f>"C15C8.8"</f>
        <v>C15C8.8</v>
      </c>
      <c r="F30" t="s">
        <v>11</v>
      </c>
      <c r="H30" s="12">
        <v>-15.9583252361485</v>
      </c>
      <c r="I30" s="11">
        <v>-0.93882533230632104</v>
      </c>
      <c r="J30" s="10">
        <v>0.34782043040587501</v>
      </c>
      <c r="K30" s="29">
        <v>0.98289565623980701</v>
      </c>
    </row>
    <row r="31" spans="1:11" x14ac:dyDescent="0.35">
      <c r="A31" s="9" t="str">
        <f>HYPERLINK("http://www.ensembl.org/id/WBGene00199271", "WBGene00199271")</f>
        <v>WBGene00199271</v>
      </c>
      <c r="B31" s="9"/>
      <c r="C31" s="9"/>
      <c r="D31" t="str">
        <f>"F41G4.10"</f>
        <v>F41G4.10</v>
      </c>
      <c r="F31" t="s">
        <v>481</v>
      </c>
      <c r="H31" s="12">
        <v>-15.9583252361485</v>
      </c>
      <c r="I31" s="11">
        <v>-0.93882533230632104</v>
      </c>
      <c r="J31" s="10">
        <v>0.34782043040587501</v>
      </c>
      <c r="K31" s="29">
        <v>0.98289565623980701</v>
      </c>
    </row>
    <row r="32" spans="1:11" x14ac:dyDescent="0.35">
      <c r="A32" s="9" t="str">
        <f>HYPERLINK("http://www.ensembl.org/id/WBGene00197298", "WBGene00197298")</f>
        <v>WBGene00197298</v>
      </c>
      <c r="B32" s="9"/>
      <c r="C32" s="9"/>
      <c r="D32" t="str">
        <f>"T23F11.8"</f>
        <v>T23F11.8</v>
      </c>
      <c r="F32" t="s">
        <v>481</v>
      </c>
      <c r="H32" s="12">
        <v>-15.9583252361485</v>
      </c>
      <c r="I32" s="11">
        <v>-0.93882533230632104</v>
      </c>
      <c r="J32" s="10">
        <v>0.34782043040587501</v>
      </c>
      <c r="K32" s="29">
        <v>0.98289565623980701</v>
      </c>
    </row>
    <row r="33" spans="1:11" x14ac:dyDescent="0.35">
      <c r="A33" s="9" t="str">
        <f>HYPERLINK("http://www.ensembl.org/id/WBGene00194737", "WBGene00194737")</f>
        <v>WBGene00194737</v>
      </c>
      <c r="B33" s="9" t="str">
        <f>HYPERLINK("http://www.ncbi.nlm.nih.gov/gene/13188188", "13188188")</f>
        <v>13188188</v>
      </c>
      <c r="C33" s="9"/>
      <c r="D33" t="str">
        <f>"Y50D7A.13"</f>
        <v>Y50D7A.13</v>
      </c>
      <c r="F33" t="s">
        <v>11</v>
      </c>
      <c r="G33" t="s">
        <v>10125</v>
      </c>
      <c r="H33" s="12">
        <v>-15.9583252361485</v>
      </c>
      <c r="I33" s="11">
        <v>-0.93882533230632104</v>
      </c>
      <c r="J33" s="10">
        <v>0.34782043040587501</v>
      </c>
      <c r="K33" s="29">
        <v>0.98289565623980701</v>
      </c>
    </row>
    <row r="34" spans="1:11" x14ac:dyDescent="0.35">
      <c r="A34" s="9" t="str">
        <f>HYPERLINK("http://www.ensembl.org/id/WBGene00010760", "WBGene00010760")</f>
        <v>WBGene00010760</v>
      </c>
      <c r="B34" s="9" t="str">
        <f>HYPERLINK("http://www.ncbi.nlm.nih.gov/gene/175109", "175109")</f>
        <v>175109</v>
      </c>
      <c r="C34" s="9"/>
      <c r="D34" t="str">
        <f>"K10H10.4"</f>
        <v>K10H10.4</v>
      </c>
      <c r="F34" t="s">
        <v>11</v>
      </c>
      <c r="G34" t="s">
        <v>54</v>
      </c>
      <c r="H34" s="12">
        <v>-15.7168902467129</v>
      </c>
      <c r="I34" s="11">
        <v>-2.11912286044099</v>
      </c>
      <c r="J34" s="10">
        <v>3.4080085225324901E-2</v>
      </c>
      <c r="K34" s="29">
        <v>0.42064874423950699</v>
      </c>
    </row>
    <row r="35" spans="1:11" x14ac:dyDescent="0.35">
      <c r="A35" s="9" t="str">
        <f>HYPERLINK("http://www.ensembl.org/id/WBGene00196721", "WBGene00196721")</f>
        <v>WBGene00196721</v>
      </c>
      <c r="B35" s="9"/>
      <c r="C35" s="9"/>
      <c r="D35" t="str">
        <f>"F57B10.17"</f>
        <v>F57B10.17</v>
      </c>
      <c r="F35" t="s">
        <v>481</v>
      </c>
      <c r="H35" s="12">
        <v>-15.568815553890699</v>
      </c>
      <c r="I35" s="11">
        <v>-0.92475094461314</v>
      </c>
      <c r="J35" s="10">
        <v>0.355095472958318</v>
      </c>
      <c r="K35" s="29">
        <v>0.98289565623980701</v>
      </c>
    </row>
    <row r="36" spans="1:11" x14ac:dyDescent="0.35">
      <c r="A36" s="9" t="str">
        <f>HYPERLINK("http://www.ensembl.org/id/WBGene00010468", "WBGene00010468")</f>
        <v>WBGene00010468</v>
      </c>
      <c r="B36" s="9" t="str">
        <f>HYPERLINK("http://www.ncbi.nlm.nih.gov/gene/186847", "186847")</f>
        <v>186847</v>
      </c>
      <c r="C36" s="9"/>
      <c r="D36" t="str">
        <f>"K01D12.9"</f>
        <v>K01D12.9</v>
      </c>
      <c r="F36" t="s">
        <v>11</v>
      </c>
      <c r="H36" s="12">
        <v>-15.357066496759799</v>
      </c>
      <c r="I36" s="11">
        <v>-2.7247541863201801</v>
      </c>
      <c r="J36" s="10">
        <v>6.4349376268387102E-3</v>
      </c>
      <c r="K36" s="29">
        <v>0.141776750059941</v>
      </c>
    </row>
    <row r="37" spans="1:11" x14ac:dyDescent="0.35">
      <c r="A37" s="9" t="str">
        <f>HYPERLINK("http://www.ensembl.org/id/WBGene00195154", "WBGene00195154")</f>
        <v>WBGene00195154</v>
      </c>
      <c r="B37" s="9" t="str">
        <f>HYPERLINK("http://www.ncbi.nlm.nih.gov/gene/13212585", "13212585")</f>
        <v>13212585</v>
      </c>
      <c r="C37" s="9"/>
      <c r="D37" t="str">
        <f>"F13A2.10"</f>
        <v>F13A2.10</v>
      </c>
      <c r="F37" t="s">
        <v>11</v>
      </c>
      <c r="H37" s="12">
        <v>-15.2952101761945</v>
      </c>
      <c r="I37" s="11">
        <v>-0.983791108715803</v>
      </c>
      <c r="J37" s="10">
        <v>0.325218231928046</v>
      </c>
      <c r="K37" s="29">
        <v>0.98289565623980701</v>
      </c>
    </row>
    <row r="38" spans="1:11" x14ac:dyDescent="0.35">
      <c r="A38" s="9" t="str">
        <f>HYPERLINK("http://www.ensembl.org/id/WBGene00021179", "WBGene00021179")</f>
        <v>WBGene00021179</v>
      </c>
      <c r="B38" s="9" t="str">
        <f>HYPERLINK("http://www.ncbi.nlm.nih.gov/gene/189417", "189417")</f>
        <v>189417</v>
      </c>
      <c r="C38" s="9"/>
      <c r="D38" t="str">
        <f>"fbxa-86"</f>
        <v>fbxa-86</v>
      </c>
      <c r="E38" t="s">
        <v>467</v>
      </c>
      <c r="F38" t="s">
        <v>11</v>
      </c>
      <c r="G38" t="s">
        <v>54</v>
      </c>
      <c r="H38" s="12">
        <v>-14.7172786272263</v>
      </c>
      <c r="I38" s="11">
        <v>-1.36459167804621</v>
      </c>
      <c r="J38" s="10">
        <v>0.17238142182406599</v>
      </c>
      <c r="K38" s="29">
        <v>0.89944195385638404</v>
      </c>
    </row>
    <row r="39" spans="1:11" x14ac:dyDescent="0.35">
      <c r="A39" s="9" t="str">
        <f>HYPERLINK("http://www.ensembl.org/id/WBGene00020242", "WBGene00020242")</f>
        <v>WBGene00020242</v>
      </c>
      <c r="B39" s="9" t="str">
        <f>HYPERLINK("http://www.ncbi.nlm.nih.gov/gene/178811", "178811")</f>
        <v>178811</v>
      </c>
      <c r="C39" s="9"/>
      <c r="D39" t="str">
        <f>"phat-5"</f>
        <v>phat-5</v>
      </c>
      <c r="E39" t="s">
        <v>424</v>
      </c>
      <c r="F39" t="s">
        <v>11</v>
      </c>
      <c r="G39" t="s">
        <v>425</v>
      </c>
      <c r="H39" s="12">
        <v>-14.7066838424493</v>
      </c>
      <c r="I39" s="11">
        <v>-3.5945798469084198</v>
      </c>
      <c r="J39" s="10">
        <v>3.2491548998503502E-4</v>
      </c>
      <c r="K39" s="29">
        <v>1.67204839901876E-2</v>
      </c>
    </row>
    <row r="40" spans="1:11" x14ac:dyDescent="0.35">
      <c r="A40" s="9" t="str">
        <f>HYPERLINK("http://www.ensembl.org/id/WBGene00303047", "WBGene00303047")</f>
        <v>WBGene00303047</v>
      </c>
      <c r="B40" s="9" t="str">
        <f>HYPERLINK("http://www.ncbi.nlm.nih.gov/gene/36804992", "36804992")</f>
        <v>36804992</v>
      </c>
      <c r="C40" s="9"/>
      <c r="D40" t="str">
        <f>"C49F8.14"</f>
        <v>C49F8.14</v>
      </c>
      <c r="F40" t="s">
        <v>11</v>
      </c>
      <c r="H40" s="12">
        <v>-14.334629591232201</v>
      </c>
      <c r="I40" s="11">
        <v>-0.94785060332692395</v>
      </c>
      <c r="J40" s="10">
        <v>0.343205514958076</v>
      </c>
      <c r="K40" s="29">
        <v>0.98289565623980701</v>
      </c>
    </row>
    <row r="41" spans="1:11" x14ac:dyDescent="0.35">
      <c r="A41" s="9" t="str">
        <f>HYPERLINK("http://www.ensembl.org/id/WBGene00014047", "WBGene00014047")</f>
        <v>WBGene00014047</v>
      </c>
      <c r="B41" s="9" t="str">
        <f>HYPERLINK("http://www.ncbi.nlm.nih.gov/gene/174613", "174613")</f>
        <v>174613</v>
      </c>
      <c r="C41" s="9"/>
      <c r="D41" t="str">
        <f>"clec-61"</f>
        <v>clec-61</v>
      </c>
      <c r="E41" t="s">
        <v>46</v>
      </c>
      <c r="F41" t="s">
        <v>11</v>
      </c>
      <c r="G41" t="s">
        <v>151</v>
      </c>
      <c r="H41" s="12">
        <v>-13.9048461727686</v>
      </c>
      <c r="I41" s="11">
        <v>-5.0253458499976196</v>
      </c>
      <c r="J41" s="10">
        <v>5.0252607990775304E-7</v>
      </c>
      <c r="K41" s="29">
        <v>9.1681924931966797E-5</v>
      </c>
    </row>
    <row r="42" spans="1:11" x14ac:dyDescent="0.35">
      <c r="A42" s="9" t="str">
        <f>HYPERLINK("http://www.ensembl.org/id/WBGene00165222", "WBGene00165222")</f>
        <v>WBGene00165222</v>
      </c>
      <c r="B42" s="9"/>
      <c r="C42" s="9"/>
      <c r="D42" t="str">
        <f>"21ur-14927"</f>
        <v>21ur-14927</v>
      </c>
      <c r="F42" t="s">
        <v>3161</v>
      </c>
      <c r="H42" s="12">
        <v>-13.692597317450801</v>
      </c>
      <c r="I42" s="11">
        <v>-0.88521209554684299</v>
      </c>
      <c r="J42" s="10">
        <v>0.37604224988394502</v>
      </c>
      <c r="K42" s="29">
        <v>0.98289565623980701</v>
      </c>
    </row>
    <row r="43" spans="1:11" x14ac:dyDescent="0.35">
      <c r="A43" s="9" t="str">
        <f>HYPERLINK("http://www.ensembl.org/id/WBGene00172457", "WBGene00172457")</f>
        <v>WBGene00172457</v>
      </c>
      <c r="B43" s="9"/>
      <c r="C43" s="9"/>
      <c r="D43" t="str">
        <f>"21ur-5910"</f>
        <v>21ur-5910</v>
      </c>
      <c r="F43" t="s">
        <v>3161</v>
      </c>
      <c r="H43" s="12">
        <v>-13.631801325966601</v>
      </c>
      <c r="I43" s="11">
        <v>-0.81817789633815496</v>
      </c>
      <c r="J43" s="10">
        <v>0.41325561456537002</v>
      </c>
      <c r="K43" s="29">
        <v>0.98289565623980701</v>
      </c>
    </row>
    <row r="44" spans="1:11" x14ac:dyDescent="0.35">
      <c r="A44" s="9" t="str">
        <f>HYPERLINK("http://www.ensembl.org/id/WBGene00008716", "WBGene00008716")</f>
        <v>WBGene00008716</v>
      </c>
      <c r="B44" s="9" t="str">
        <f>HYPERLINK("http://www.ncbi.nlm.nih.gov/gene/184360", "184360")</f>
        <v>184360</v>
      </c>
      <c r="C44" s="9"/>
      <c r="D44" t="str">
        <f>"F11F1.4"</f>
        <v>F11F1.4</v>
      </c>
      <c r="F44" t="s">
        <v>11</v>
      </c>
      <c r="H44" s="12">
        <v>-13.631801325966601</v>
      </c>
      <c r="I44" s="11">
        <v>-0.81817789633815496</v>
      </c>
      <c r="J44" s="10">
        <v>0.41325561456537002</v>
      </c>
      <c r="K44" s="29">
        <v>0.98289565623980701</v>
      </c>
    </row>
    <row r="45" spans="1:11" x14ac:dyDescent="0.35">
      <c r="A45" s="9" t="str">
        <f>HYPERLINK("http://www.ensembl.org/id/WBGene00008881", "WBGene00008881")</f>
        <v>WBGene00008881</v>
      </c>
      <c r="B45" s="9" t="str">
        <f>HYPERLINK("http://www.ncbi.nlm.nih.gov/gene/184565", "184565")</f>
        <v>184565</v>
      </c>
      <c r="C45" s="9"/>
      <c r="D45" t="str">
        <f>"F16B12.5"</f>
        <v>F16B12.5</v>
      </c>
      <c r="F45" t="s">
        <v>11</v>
      </c>
      <c r="H45" s="12">
        <v>-13.631801325966601</v>
      </c>
      <c r="I45" s="11">
        <v>-0.81817789633815496</v>
      </c>
      <c r="J45" s="10">
        <v>0.41325561456537002</v>
      </c>
      <c r="K45" s="29">
        <v>0.98289565623980701</v>
      </c>
    </row>
    <row r="46" spans="1:11" x14ac:dyDescent="0.35">
      <c r="A46" s="9" t="str">
        <f>HYPERLINK("http://www.ensembl.org/id/WBGene00018209", "WBGene00018209")</f>
        <v>WBGene00018209</v>
      </c>
      <c r="B46" s="9" t="str">
        <f>HYPERLINK("http://www.ncbi.nlm.nih.gov/gene/185502", "185502")</f>
        <v>185502</v>
      </c>
      <c r="C46" s="9"/>
      <c r="D46" t="str">
        <f>"F39G3.4"</f>
        <v>F39G3.4</v>
      </c>
      <c r="F46" t="s">
        <v>11</v>
      </c>
      <c r="G46" t="s">
        <v>10124</v>
      </c>
      <c r="H46" s="12">
        <v>-13.631801325966601</v>
      </c>
      <c r="I46" s="11">
        <v>-0.81817789633815496</v>
      </c>
      <c r="J46" s="10">
        <v>0.41325561456537002</v>
      </c>
      <c r="K46" s="29">
        <v>0.98289565623980701</v>
      </c>
    </row>
    <row r="47" spans="1:11" x14ac:dyDescent="0.35">
      <c r="A47" s="9" t="str">
        <f>HYPERLINK("http://www.ensembl.org/id/WBGene00044703", "WBGene00044703")</f>
        <v>WBGene00044703</v>
      </c>
      <c r="B47" s="9"/>
      <c r="C47" s="9"/>
      <c r="D47" t="str">
        <f>"F46C3.5"</f>
        <v>F46C3.5</v>
      </c>
      <c r="F47" t="s">
        <v>80</v>
      </c>
      <c r="H47" s="12">
        <v>-13.631801325966601</v>
      </c>
      <c r="I47" s="11">
        <v>-0.81817789633815496</v>
      </c>
      <c r="J47" s="10">
        <v>0.41325561456537002</v>
      </c>
      <c r="K47" s="29">
        <v>0.98289565623980701</v>
      </c>
    </row>
    <row r="48" spans="1:11" x14ac:dyDescent="0.35">
      <c r="A48" s="9" t="str">
        <f>HYPERLINK("http://www.ensembl.org/id/WBGene00235350", "WBGene00235350")</f>
        <v>WBGene00235350</v>
      </c>
      <c r="B48" s="9" t="str">
        <f>HYPERLINK("http://www.ncbi.nlm.nih.gov/gene/24105157", "24105157")</f>
        <v>24105157</v>
      </c>
      <c r="C48" s="9"/>
      <c r="D48" t="str">
        <f>"Y54G2A.77"</f>
        <v>Y54G2A.77</v>
      </c>
      <c r="E48" t="s">
        <v>1828</v>
      </c>
      <c r="F48" t="s">
        <v>11</v>
      </c>
      <c r="G48" t="s">
        <v>1829</v>
      </c>
      <c r="H48" s="12">
        <v>-13.631801325966601</v>
      </c>
      <c r="I48" s="11">
        <v>-0.81817789633815496</v>
      </c>
      <c r="J48" s="10">
        <v>0.41325561456537002</v>
      </c>
      <c r="K48" s="29">
        <v>0.98289565623980701</v>
      </c>
    </row>
    <row r="49" spans="1:11" x14ac:dyDescent="0.35">
      <c r="A49" s="9" t="str">
        <f>HYPERLINK("http://www.ensembl.org/id/WBGene00198658", "WBGene00198658")</f>
        <v>WBGene00198658</v>
      </c>
      <c r="B49" s="9"/>
      <c r="C49" s="9"/>
      <c r="D49" t="str">
        <f>"Y71H10A.3"</f>
        <v>Y71H10A.3</v>
      </c>
      <c r="F49" t="s">
        <v>481</v>
      </c>
      <c r="H49" s="12">
        <v>-13.631801325966601</v>
      </c>
      <c r="I49" s="11">
        <v>-0.81817789633815496</v>
      </c>
      <c r="J49" s="10">
        <v>0.41325561456537002</v>
      </c>
      <c r="K49" s="29">
        <v>0.98289565623980701</v>
      </c>
    </row>
    <row r="50" spans="1:11" x14ac:dyDescent="0.35">
      <c r="A50" s="9" t="str">
        <f>HYPERLINK("http://www.ensembl.org/id/WBGene00005475", "WBGene00005475")</f>
        <v>WBGene00005475</v>
      </c>
      <c r="B50" s="9" t="str">
        <f>HYPERLINK("http://www.ncbi.nlm.nih.gov/gene/188018", "188018")</f>
        <v>188018</v>
      </c>
      <c r="C50" s="9"/>
      <c r="D50" t="str">
        <f>"srh-269"</f>
        <v>srh-269</v>
      </c>
      <c r="E50" t="s">
        <v>153</v>
      </c>
      <c r="F50" t="s">
        <v>11</v>
      </c>
      <c r="G50" t="s">
        <v>25</v>
      </c>
      <c r="H50" s="12">
        <v>-13.6134289515558</v>
      </c>
      <c r="I50" s="11">
        <v>-1.3043475899897601</v>
      </c>
      <c r="J50" s="10">
        <v>0.19211509604200599</v>
      </c>
      <c r="K50" s="29">
        <v>0.932707532425465</v>
      </c>
    </row>
    <row r="51" spans="1:11" x14ac:dyDescent="0.35">
      <c r="A51" s="9" t="str">
        <f>HYPERLINK("http://www.ensembl.org/id/WBGene00019796", "WBGene00019796")</f>
        <v>WBGene00019796</v>
      </c>
      <c r="B51" s="9" t="str">
        <f>HYPERLINK("http://www.ncbi.nlm.nih.gov/gene/187481", "187481")</f>
        <v>187481</v>
      </c>
      <c r="C51" s="9"/>
      <c r="D51" t="str">
        <f>"M151.4"</f>
        <v>M151.4</v>
      </c>
      <c r="F51" t="s">
        <v>11</v>
      </c>
      <c r="H51" s="12">
        <v>-13.4716030140158</v>
      </c>
      <c r="I51" s="11">
        <v>-1.8172706169647499</v>
      </c>
      <c r="J51" s="10">
        <v>6.9175686766033195E-2</v>
      </c>
      <c r="K51" s="29">
        <v>0.62290468371627505</v>
      </c>
    </row>
    <row r="52" spans="1:11" x14ac:dyDescent="0.35">
      <c r="A52" s="9" t="str">
        <f>HYPERLINK("http://www.ensembl.org/id/WBGene00005395", "WBGene00005395")</f>
        <v>WBGene00005395</v>
      </c>
      <c r="B52" s="9" t="str">
        <f>HYPERLINK("http://www.ncbi.nlm.nih.gov/gene/186464", "186464")</f>
        <v>186464</v>
      </c>
      <c r="C52" s="9"/>
      <c r="D52" t="str">
        <f>"srh-180"</f>
        <v>srh-180</v>
      </c>
      <c r="E52" t="s">
        <v>153</v>
      </c>
      <c r="F52" t="s">
        <v>11</v>
      </c>
      <c r="G52" t="s">
        <v>25</v>
      </c>
      <c r="H52" s="12">
        <v>-13.4303547533762</v>
      </c>
      <c r="I52" s="11">
        <v>-0.81048130413248398</v>
      </c>
      <c r="J52" s="10">
        <v>0.41766360599328001</v>
      </c>
      <c r="K52" s="29">
        <v>0.98289565623980701</v>
      </c>
    </row>
    <row r="53" spans="1:11" x14ac:dyDescent="0.35">
      <c r="A53" s="9" t="str">
        <f>HYPERLINK("http://www.ensembl.org/id/WBGene00005798", "WBGene00005798")</f>
        <v>WBGene00005798</v>
      </c>
      <c r="B53" s="9" t="str">
        <f>HYPERLINK("http://www.ncbi.nlm.nih.gov/gene/185526", "185526")</f>
        <v>185526</v>
      </c>
      <c r="C53" s="9"/>
      <c r="D53" t="str">
        <f>"srw-51"</f>
        <v>srw-51</v>
      </c>
      <c r="E53" t="s">
        <v>1014</v>
      </c>
      <c r="F53" t="s">
        <v>11</v>
      </c>
      <c r="G53" t="s">
        <v>1780</v>
      </c>
      <c r="H53" s="12">
        <v>-13.4303547533762</v>
      </c>
      <c r="I53" s="11">
        <v>-0.81048130413248398</v>
      </c>
      <c r="J53" s="10">
        <v>0.41766360599328001</v>
      </c>
      <c r="K53" s="29">
        <v>0.98289565623980701</v>
      </c>
    </row>
    <row r="54" spans="1:11" x14ac:dyDescent="0.35">
      <c r="A54" s="9" t="str">
        <f>HYPERLINK("http://www.ensembl.org/id/WBGene00006049", "WBGene00006049")</f>
        <v>WBGene00006049</v>
      </c>
      <c r="B54" s="9" t="str">
        <f>HYPERLINK("http://www.ncbi.nlm.nih.gov/gene/191963", "191963")</f>
        <v>191963</v>
      </c>
      <c r="C54" s="9"/>
      <c r="D54" t="str">
        <f>"ssp-32"</f>
        <v>ssp-32</v>
      </c>
      <c r="E54" t="s">
        <v>10123</v>
      </c>
      <c r="F54" t="s">
        <v>11</v>
      </c>
      <c r="H54" s="12">
        <v>-13.4303547533762</v>
      </c>
      <c r="I54" s="11">
        <v>-0.81048130413248398</v>
      </c>
      <c r="J54" s="10">
        <v>0.41766360599328001</v>
      </c>
      <c r="K54" s="29">
        <v>0.98289565623980701</v>
      </c>
    </row>
    <row r="55" spans="1:11" x14ac:dyDescent="0.35">
      <c r="A55" s="9" t="str">
        <f>HYPERLINK("http://www.ensembl.org/id/WBGene00173566", "WBGene00173566")</f>
        <v>WBGene00173566</v>
      </c>
      <c r="B55" s="9"/>
      <c r="C55" s="9"/>
      <c r="D55" t="str">
        <f>"21ur-7748"</f>
        <v>21ur-7748</v>
      </c>
      <c r="F55" t="s">
        <v>3161</v>
      </c>
      <c r="H55" s="12">
        <v>-12.8991976603241</v>
      </c>
      <c r="I55" s="11">
        <v>-0.85434876045094199</v>
      </c>
      <c r="J55" s="10">
        <v>0.39291177758245199</v>
      </c>
      <c r="K55" s="29">
        <v>0.98289565623980701</v>
      </c>
    </row>
    <row r="56" spans="1:11" x14ac:dyDescent="0.35">
      <c r="A56" s="9" t="str">
        <f>HYPERLINK("http://www.ensembl.org/id/WBGene00044245", "WBGene00044245")</f>
        <v>WBGene00044245</v>
      </c>
      <c r="B56" s="9" t="str">
        <f>HYPERLINK("http://www.ncbi.nlm.nih.gov/gene/3565265", "3565265")</f>
        <v>3565265</v>
      </c>
      <c r="C56" s="9"/>
      <c r="D56" t="str">
        <f>"F32A7.8"</f>
        <v>F32A7.8</v>
      </c>
      <c r="F56" t="s">
        <v>11</v>
      </c>
      <c r="G56" t="s">
        <v>25</v>
      </c>
      <c r="H56" s="12">
        <v>-12.8991976603241</v>
      </c>
      <c r="I56" s="11">
        <v>-0.85434876045094199</v>
      </c>
      <c r="J56" s="10">
        <v>0.39291177758245199</v>
      </c>
      <c r="K56" s="29">
        <v>0.98289565623980701</v>
      </c>
    </row>
    <row r="57" spans="1:11" x14ac:dyDescent="0.35">
      <c r="A57" s="9" t="str">
        <f>HYPERLINK("http://www.ensembl.org/id/WBGene00005583", "WBGene00005583")</f>
        <v>WBGene00005583</v>
      </c>
      <c r="B57" s="9" t="str">
        <f>HYPERLINK("http://www.ncbi.nlm.nih.gov/gene/191928", "191928")</f>
        <v>191928</v>
      </c>
      <c r="C57" s="9"/>
      <c r="D57" t="str">
        <f>"sri-71"</f>
        <v>sri-71</v>
      </c>
      <c r="E57" t="s">
        <v>1503</v>
      </c>
      <c r="F57" t="s">
        <v>11</v>
      </c>
      <c r="G57" t="s">
        <v>25</v>
      </c>
      <c r="H57" s="12">
        <v>-12.8991976603241</v>
      </c>
      <c r="I57" s="11">
        <v>-0.85434876045094199</v>
      </c>
      <c r="J57" s="10">
        <v>0.39291177758245199</v>
      </c>
      <c r="K57" s="29">
        <v>0.98289565623980701</v>
      </c>
    </row>
    <row r="58" spans="1:11" x14ac:dyDescent="0.35">
      <c r="A58" s="9" t="str">
        <f>HYPERLINK("http://www.ensembl.org/id/WBGene00011609", "WBGene00011609")</f>
        <v>WBGene00011609</v>
      </c>
      <c r="B58" s="9" t="str">
        <f>HYPERLINK("http://www.ncbi.nlm.nih.gov/gene/188282", "188282")</f>
        <v>188282</v>
      </c>
      <c r="C58" s="9"/>
      <c r="D58" t="str">
        <f>"T08D2.4"</f>
        <v>T08D2.4</v>
      </c>
      <c r="F58" t="s">
        <v>11</v>
      </c>
      <c r="G58" t="s">
        <v>51</v>
      </c>
      <c r="H58" s="12">
        <v>-12.8991976603241</v>
      </c>
      <c r="I58" s="11">
        <v>-0.85434876045094199</v>
      </c>
      <c r="J58" s="10">
        <v>0.39291177758245199</v>
      </c>
      <c r="K58" s="29">
        <v>0.98289565623980701</v>
      </c>
    </row>
    <row r="59" spans="1:11" x14ac:dyDescent="0.35">
      <c r="A59" s="9" t="str">
        <f>HYPERLINK("http://www.ensembl.org/id/WBGene00077766", "WBGene00077766")</f>
        <v>WBGene00077766</v>
      </c>
      <c r="B59" s="9" t="str">
        <f>HYPERLINK("http://www.ncbi.nlm.nih.gov/gene/7040131", "7040131")</f>
        <v>7040131</v>
      </c>
      <c r="C59" s="9"/>
      <c r="D59" t="str">
        <f>"rgba-1"</f>
        <v>rgba-1</v>
      </c>
      <c r="E59" t="s">
        <v>892</v>
      </c>
      <c r="F59" t="s">
        <v>11</v>
      </c>
      <c r="H59" s="12">
        <v>-12.225073478580899</v>
      </c>
      <c r="I59" s="11">
        <v>-2.7401431767671802</v>
      </c>
      <c r="J59" s="10">
        <v>6.1412425193006796E-3</v>
      </c>
      <c r="K59" s="29">
        <v>0.13831176599103001</v>
      </c>
    </row>
    <row r="60" spans="1:11" x14ac:dyDescent="0.35">
      <c r="A60" s="9" t="str">
        <f>HYPERLINK("http://www.ensembl.org/id/WBGene00008597", "WBGene00008597")</f>
        <v>WBGene00008597</v>
      </c>
      <c r="B60" s="9" t="str">
        <f>HYPERLINK("http://www.ncbi.nlm.nih.gov/gene/184218", "184218")</f>
        <v>184218</v>
      </c>
      <c r="C60" s="9"/>
      <c r="D60" t="str">
        <f>"clec-55"</f>
        <v>clec-55</v>
      </c>
      <c r="E60" t="s">
        <v>46</v>
      </c>
      <c r="F60" t="s">
        <v>11</v>
      </c>
      <c r="G60" t="s">
        <v>47</v>
      </c>
      <c r="H60" s="12">
        <v>-12.0078553586791</v>
      </c>
      <c r="I60" s="11">
        <v>-1.38003063418854</v>
      </c>
      <c r="J60" s="10">
        <v>0.16757721286771701</v>
      </c>
      <c r="K60" s="29">
        <v>0.88686190575388602</v>
      </c>
    </row>
    <row r="61" spans="1:11" x14ac:dyDescent="0.35">
      <c r="A61" s="9" t="str">
        <f>HYPERLINK("http://www.ensembl.org/id/WBGene00044531", "WBGene00044531")</f>
        <v>WBGene00044531</v>
      </c>
      <c r="B61" s="9" t="str">
        <f>HYPERLINK("http://www.ncbi.nlm.nih.gov/gene/3896833", "3896833")</f>
        <v>3896833</v>
      </c>
      <c r="C61" s="9"/>
      <c r="D61" t="str">
        <f>"F13A2.9"</f>
        <v>F13A2.9</v>
      </c>
      <c r="F61" t="s">
        <v>11</v>
      </c>
      <c r="H61" s="12">
        <v>-11.973997965956601</v>
      </c>
      <c r="I61" s="11">
        <v>-0.77726113562491606</v>
      </c>
      <c r="J61" s="10">
        <v>0.437004719503373</v>
      </c>
      <c r="K61" s="29">
        <v>0.98289565623980701</v>
      </c>
    </row>
    <row r="62" spans="1:11" x14ac:dyDescent="0.35">
      <c r="A62" s="9" t="str">
        <f>HYPERLINK("http://www.ensembl.org/id/WBGene00198050", "WBGene00198050")</f>
        <v>WBGene00198050</v>
      </c>
      <c r="B62" s="9"/>
      <c r="C62" s="9"/>
      <c r="D62" t="str">
        <f>"F29G9.12"</f>
        <v>F29G9.12</v>
      </c>
      <c r="F62" t="s">
        <v>481</v>
      </c>
      <c r="H62" s="12">
        <v>-11.973997965956601</v>
      </c>
      <c r="I62" s="11">
        <v>-0.77726113562491606</v>
      </c>
      <c r="J62" s="10">
        <v>0.437004719503373</v>
      </c>
      <c r="K62" s="29">
        <v>0.98289565623980701</v>
      </c>
    </row>
    <row r="63" spans="1:11" x14ac:dyDescent="0.35">
      <c r="A63" s="9" t="str">
        <f>HYPERLINK("http://www.ensembl.org/id/WBGene00019119", "WBGene00019119")</f>
        <v>WBGene00019119</v>
      </c>
      <c r="B63" s="9" t="str">
        <f>HYPERLINK("http://www.ncbi.nlm.nih.gov/gene/186628", "186628")</f>
        <v>186628</v>
      </c>
      <c r="C63" s="9"/>
      <c r="D63" t="str">
        <f>"F59E12.3"</f>
        <v>F59E12.3</v>
      </c>
      <c r="F63" t="s">
        <v>11</v>
      </c>
      <c r="H63" s="12">
        <v>-11.973997965956601</v>
      </c>
      <c r="I63" s="11">
        <v>-0.77726113562491606</v>
      </c>
      <c r="J63" s="10">
        <v>0.437004719503373</v>
      </c>
      <c r="K63" s="29">
        <v>0.98289565623980701</v>
      </c>
    </row>
    <row r="64" spans="1:11" x14ac:dyDescent="0.35">
      <c r="A64" s="9" t="str">
        <f>HYPERLINK("http://www.ensembl.org/id/WBGene00196110", "WBGene00196110")</f>
        <v>WBGene00196110</v>
      </c>
      <c r="B64" s="9"/>
      <c r="C64" s="9"/>
      <c r="D64" t="str">
        <f>"T01C2.3"</f>
        <v>T01C2.3</v>
      </c>
      <c r="F64" t="s">
        <v>481</v>
      </c>
      <c r="H64" s="12">
        <v>-11.973997965956601</v>
      </c>
      <c r="I64" s="11">
        <v>-0.77726113562491606</v>
      </c>
      <c r="J64" s="10">
        <v>0.437004719503373</v>
      </c>
      <c r="K64" s="29">
        <v>0.98289565623980701</v>
      </c>
    </row>
    <row r="65" spans="1:11" x14ac:dyDescent="0.35">
      <c r="A65" s="9" t="str">
        <f>HYPERLINK("http://www.ensembl.org/id/WBGene00021013", "WBGene00021013")</f>
        <v>WBGene00021013</v>
      </c>
      <c r="B65" s="9"/>
      <c r="C65" s="9"/>
      <c r="D65" t="str">
        <f>"W03G1.8"</f>
        <v>W03G1.8</v>
      </c>
      <c r="F65" t="s">
        <v>481</v>
      </c>
      <c r="H65" s="12">
        <v>-11.973997965956601</v>
      </c>
      <c r="I65" s="11">
        <v>-0.77726113562491606</v>
      </c>
      <c r="J65" s="10">
        <v>0.437004719503373</v>
      </c>
      <c r="K65" s="29">
        <v>0.98289565623980701</v>
      </c>
    </row>
    <row r="66" spans="1:11" x14ac:dyDescent="0.35">
      <c r="A66" s="9" t="str">
        <f>HYPERLINK("http://www.ensembl.org/id/WBGene00019668", "WBGene00019668")</f>
        <v>WBGene00019668</v>
      </c>
      <c r="B66" s="9" t="str">
        <f>HYPERLINK("http://www.ncbi.nlm.nih.gov/gene/187316", "187316")</f>
        <v>187316</v>
      </c>
      <c r="C66" s="9"/>
      <c r="D66" t="str">
        <f>"fil-2"</f>
        <v>fil-2</v>
      </c>
      <c r="E66" t="s">
        <v>525</v>
      </c>
      <c r="F66" t="s">
        <v>11</v>
      </c>
      <c r="G66" t="s">
        <v>431</v>
      </c>
      <c r="H66" s="12">
        <v>-11.686044182469001</v>
      </c>
      <c r="I66" s="11">
        <v>-2.7758104663738501</v>
      </c>
      <c r="J66" s="10">
        <v>5.5064298166793797E-3</v>
      </c>
      <c r="K66" s="29">
        <v>0.129960742946061</v>
      </c>
    </row>
    <row r="67" spans="1:11" x14ac:dyDescent="0.35">
      <c r="A67" s="9" t="str">
        <f>HYPERLINK("http://www.ensembl.org/id/WBGene00020239", "WBGene00020239")</f>
        <v>WBGene00020239</v>
      </c>
      <c r="B67" s="9" t="str">
        <f>HYPERLINK("http://www.ncbi.nlm.nih.gov/gene/188104", "188104")</f>
        <v>188104</v>
      </c>
      <c r="C67" s="9"/>
      <c r="D67" t="str">
        <f>"T05B4.8"</f>
        <v>T05B4.8</v>
      </c>
      <c r="F67" t="s">
        <v>11</v>
      </c>
      <c r="H67" s="12">
        <v>-11.6381108285912</v>
      </c>
      <c r="I67" s="11">
        <v>-1.0775069467418501</v>
      </c>
      <c r="J67" s="10">
        <v>0.28125384899893602</v>
      </c>
      <c r="K67" s="29">
        <v>0.98289565623980701</v>
      </c>
    </row>
    <row r="68" spans="1:11" x14ac:dyDescent="0.35">
      <c r="A68" s="9" t="str">
        <f>HYPERLINK("http://www.ensembl.org/id/WBGene00044054", "WBGene00044054")</f>
        <v>WBGene00044054</v>
      </c>
      <c r="B68" s="9"/>
      <c r="C68" s="9"/>
      <c r="D68" t="str">
        <f>"C04H5.9"</f>
        <v>C04H5.9</v>
      </c>
      <c r="F68" t="s">
        <v>80</v>
      </c>
      <c r="H68" s="12">
        <v>-11.4830265474647</v>
      </c>
      <c r="I68" s="11">
        <v>-1.55010790758582</v>
      </c>
      <c r="J68" s="10">
        <v>0.12111561840691901</v>
      </c>
      <c r="K68" s="29">
        <v>0.79202551775891294</v>
      </c>
    </row>
    <row r="69" spans="1:11" x14ac:dyDescent="0.35">
      <c r="A69" s="9" t="str">
        <f>HYPERLINK("http://www.ensembl.org/id/WBGene00044331", "WBGene00044331")</f>
        <v>WBGene00044331</v>
      </c>
      <c r="B69" s="9" t="str">
        <f>HYPERLINK("http://www.ncbi.nlm.nih.gov/gene/3565817", "3565817")</f>
        <v>3565817</v>
      </c>
      <c r="C69" s="9"/>
      <c r="D69" t="str">
        <f>"clec-25"</f>
        <v>clec-25</v>
      </c>
      <c r="E69" t="s">
        <v>46</v>
      </c>
      <c r="F69" t="s">
        <v>11</v>
      </c>
      <c r="G69" t="s">
        <v>2771</v>
      </c>
      <c r="H69" s="12">
        <v>-11.410867750331199</v>
      </c>
      <c r="I69" s="11">
        <v>-1.3705716827018599</v>
      </c>
      <c r="J69" s="10">
        <v>0.17050851539517101</v>
      </c>
      <c r="K69" s="29">
        <v>0.89540221743655202</v>
      </c>
    </row>
    <row r="70" spans="1:11" x14ac:dyDescent="0.35">
      <c r="A70" s="9" t="str">
        <f>HYPERLINK("http://www.ensembl.org/id/WBGene00171259", "WBGene00171259")</f>
        <v>WBGene00171259</v>
      </c>
      <c r="B70" s="9"/>
      <c r="C70" s="9"/>
      <c r="D70" t="str">
        <f>"21ur-12809"</f>
        <v>21ur-12809</v>
      </c>
      <c r="F70" t="s">
        <v>3161</v>
      </c>
      <c r="H70" s="12">
        <v>-11.359794722088999</v>
      </c>
      <c r="I70" s="11">
        <v>-0.75222598084001502</v>
      </c>
      <c r="J70" s="10">
        <v>0.45191517202849601</v>
      </c>
      <c r="K70" s="29">
        <v>0.98289565623980701</v>
      </c>
    </row>
    <row r="71" spans="1:11" x14ac:dyDescent="0.35">
      <c r="A71" s="9" t="str">
        <f>HYPERLINK("http://www.ensembl.org/id/WBGene00169236", "WBGene00169236")</f>
        <v>WBGene00169236</v>
      </c>
      <c r="B71" s="9"/>
      <c r="C71" s="9"/>
      <c r="D71" t="str">
        <f>"21ur-15398"</f>
        <v>21ur-15398</v>
      </c>
      <c r="F71" t="s">
        <v>3161</v>
      </c>
      <c r="H71" s="12">
        <v>-11.359794722088999</v>
      </c>
      <c r="I71" s="11">
        <v>-0.75222598084001502</v>
      </c>
      <c r="J71" s="10">
        <v>0.45191517202849601</v>
      </c>
      <c r="K71" s="29">
        <v>0.98289565623980701</v>
      </c>
    </row>
    <row r="72" spans="1:11" x14ac:dyDescent="0.35">
      <c r="A72" s="9" t="str">
        <f>HYPERLINK("http://www.ensembl.org/id/WBGene00255703", "WBGene00255703")</f>
        <v>WBGene00255703</v>
      </c>
      <c r="B72" s="9"/>
      <c r="C72" s="9"/>
      <c r="D72" t="str">
        <f>"C06A12.20"</f>
        <v>C06A12.20</v>
      </c>
      <c r="F72" t="s">
        <v>481</v>
      </c>
      <c r="H72" s="12">
        <v>-11.359794722088999</v>
      </c>
      <c r="I72" s="11">
        <v>-0.75222598084001502</v>
      </c>
      <c r="J72" s="10">
        <v>0.45191517202849601</v>
      </c>
      <c r="K72" s="29">
        <v>0.98289565623980701</v>
      </c>
    </row>
    <row r="73" spans="1:11" x14ac:dyDescent="0.35">
      <c r="A73" s="9" t="str">
        <f>HYPERLINK("http://www.ensembl.org/id/WBGene00018631", "WBGene00018631")</f>
        <v>WBGene00018631</v>
      </c>
      <c r="B73" s="9" t="str">
        <f>HYPERLINK("http://www.ncbi.nlm.nih.gov/gene/186036", "186036")</f>
        <v>186036</v>
      </c>
      <c r="C73" s="9"/>
      <c r="D73" t="str">
        <f>"F49D11.7"</f>
        <v>F49D11.7</v>
      </c>
      <c r="F73" t="s">
        <v>11</v>
      </c>
      <c r="H73" s="12">
        <v>-11.359794722088999</v>
      </c>
      <c r="I73" s="11">
        <v>-0.75222598084001502</v>
      </c>
      <c r="J73" s="10">
        <v>0.45191517202849601</v>
      </c>
      <c r="K73" s="29">
        <v>0.98289565623980701</v>
      </c>
    </row>
    <row r="74" spans="1:11" x14ac:dyDescent="0.35">
      <c r="A74" s="9" t="str">
        <f>HYPERLINK("http://www.ensembl.org/id/WBGene00022691", "WBGene00022691")</f>
        <v>WBGene00022691</v>
      </c>
      <c r="B74" s="9" t="str">
        <f>HYPERLINK("http://www.ncbi.nlm.nih.gov/gene/173561", "173561")</f>
        <v>173561</v>
      </c>
      <c r="C74" s="9"/>
      <c r="D74" t="str">
        <f>"math-50"</f>
        <v>math-50</v>
      </c>
      <c r="E74" t="s">
        <v>596</v>
      </c>
      <c r="F74" t="s">
        <v>11</v>
      </c>
      <c r="G74" t="s">
        <v>54</v>
      </c>
      <c r="H74" s="12">
        <v>-11.359794722088999</v>
      </c>
      <c r="I74" s="11">
        <v>-0.75222598084001502</v>
      </c>
      <c r="J74" s="10">
        <v>0.45191517202849601</v>
      </c>
      <c r="K74" s="29">
        <v>0.98289565623980701</v>
      </c>
    </row>
    <row r="75" spans="1:11" x14ac:dyDescent="0.35">
      <c r="A75" s="9" t="str">
        <f>HYPERLINK("http://www.ensembl.org/id/WBGene00219949", "WBGene00219949")</f>
        <v>WBGene00219949</v>
      </c>
      <c r="B75" s="9"/>
      <c r="C75" s="9"/>
      <c r="D75" t="str">
        <f>"F44E5.16"</f>
        <v>F44E5.16</v>
      </c>
      <c r="F75" t="s">
        <v>481</v>
      </c>
      <c r="H75" s="12">
        <v>-11.355906126690099</v>
      </c>
      <c r="I75" s="11">
        <v>-1.6502053042354501</v>
      </c>
      <c r="J75" s="10">
        <v>9.89009523347264E-2</v>
      </c>
      <c r="K75" s="29">
        <v>0.725692411764429</v>
      </c>
    </row>
    <row r="76" spans="1:11" x14ac:dyDescent="0.35">
      <c r="A76" s="9" t="str">
        <f>HYPERLINK("http://www.ensembl.org/id/WBGene00044385", "WBGene00044385")</f>
        <v>WBGene00044385</v>
      </c>
      <c r="B76" s="9" t="str">
        <f>HYPERLINK("http://www.ncbi.nlm.nih.gov/gene/3565790", "3565790")</f>
        <v>3565790</v>
      </c>
      <c r="C76" s="9"/>
      <c r="D76" t="str">
        <f>"F59A6.10"</f>
        <v>F59A6.10</v>
      </c>
      <c r="F76" t="s">
        <v>11</v>
      </c>
      <c r="H76" s="12">
        <v>-11.0372970890764</v>
      </c>
      <c r="I76" s="11">
        <v>-1.69712448256398</v>
      </c>
      <c r="J76" s="10">
        <v>8.9673128461667501E-2</v>
      </c>
      <c r="K76" s="29">
        <v>0.69596701327903199</v>
      </c>
    </row>
    <row r="77" spans="1:11" x14ac:dyDescent="0.35">
      <c r="A77" s="9" t="str">
        <f>HYPERLINK("http://www.ensembl.org/id/WBGene00044589", "WBGene00044589")</f>
        <v>WBGene00044589</v>
      </c>
      <c r="B77" s="9" t="str">
        <f>HYPERLINK("http://www.ncbi.nlm.nih.gov/gene/3896730", "3896730")</f>
        <v>3896730</v>
      </c>
      <c r="C77" s="9"/>
      <c r="D77" t="str">
        <f>"C29F5.8"</f>
        <v>C29F5.8</v>
      </c>
      <c r="F77" t="s">
        <v>11</v>
      </c>
      <c r="H77" s="12">
        <v>-10.994907597368501</v>
      </c>
      <c r="I77" s="11">
        <v>-0.714795004154681</v>
      </c>
      <c r="J77" s="10">
        <v>0.47473572263588099</v>
      </c>
      <c r="K77" s="29">
        <v>0.98289565623980701</v>
      </c>
    </row>
    <row r="78" spans="1:11" x14ac:dyDescent="0.35">
      <c r="A78" s="9" t="str">
        <f>HYPERLINK("http://www.ensembl.org/id/WBGene00016668", "WBGene00016668")</f>
        <v>WBGene00016668</v>
      </c>
      <c r="B78" s="9" t="str">
        <f>HYPERLINK("http://www.ncbi.nlm.nih.gov/gene/183474", "183474")</f>
        <v>183474</v>
      </c>
      <c r="C78" s="9"/>
      <c r="D78" t="str">
        <f>"ilys-1"</f>
        <v>ilys-1</v>
      </c>
      <c r="E78" t="s">
        <v>1840</v>
      </c>
      <c r="F78" t="s">
        <v>11</v>
      </c>
      <c r="G78" t="s">
        <v>1841</v>
      </c>
      <c r="H78" s="12">
        <v>-10.994907597368501</v>
      </c>
      <c r="I78" s="11">
        <v>-0.714795004154681</v>
      </c>
      <c r="J78" s="10">
        <v>0.47473572263588099</v>
      </c>
      <c r="K78" s="29">
        <v>0.98289565623980701</v>
      </c>
    </row>
    <row r="79" spans="1:11" x14ac:dyDescent="0.35">
      <c r="A79" s="9" t="str">
        <f>HYPERLINK("http://www.ensembl.org/id/WBGene00019684", "WBGene00019684")</f>
        <v>WBGene00019684</v>
      </c>
      <c r="B79" s="9" t="str">
        <f>HYPERLINK("http://www.ncbi.nlm.nih.gov/gene/187343", "187343")</f>
        <v>187343</v>
      </c>
      <c r="C79" s="9"/>
      <c r="D79" t="str">
        <f>"K12H6.4"</f>
        <v>K12H6.4</v>
      </c>
      <c r="F79" t="s">
        <v>11</v>
      </c>
      <c r="H79" s="12">
        <v>-10.994907597368501</v>
      </c>
      <c r="I79" s="11">
        <v>-0.714795004154681</v>
      </c>
      <c r="J79" s="10">
        <v>0.47473572263588099</v>
      </c>
      <c r="K79" s="29">
        <v>0.98289565623980701</v>
      </c>
    </row>
    <row r="80" spans="1:11" x14ac:dyDescent="0.35">
      <c r="A80" s="9" t="str">
        <f>HYPERLINK("http://www.ensembl.org/id/WBGene00003180", "WBGene00003180")</f>
        <v>WBGene00003180</v>
      </c>
      <c r="B80" s="9" t="str">
        <f>HYPERLINK("http://www.ncbi.nlm.nih.gov/gene/191705", "191705")</f>
        <v>191705</v>
      </c>
      <c r="C80" s="9"/>
      <c r="D80" t="str">
        <f>"med-1"</f>
        <v>med-1</v>
      </c>
      <c r="E80" t="s">
        <v>4474</v>
      </c>
      <c r="F80" t="s">
        <v>11</v>
      </c>
      <c r="G80" t="s">
        <v>4475</v>
      </c>
      <c r="H80" s="12">
        <v>-10.994907597368501</v>
      </c>
      <c r="I80" s="11">
        <v>-0.714795004154681</v>
      </c>
      <c r="J80" s="10">
        <v>0.47473572263588099</v>
      </c>
      <c r="K80" s="29">
        <v>0.98289565623980701</v>
      </c>
    </row>
    <row r="81" spans="1:11" x14ac:dyDescent="0.35">
      <c r="A81" s="9" t="str">
        <f>HYPERLINK("http://www.ensembl.org/id/WBGene00004097", "WBGene00004097")</f>
        <v>WBGene00004097</v>
      </c>
      <c r="B81" s="9" t="str">
        <f>HYPERLINK("http://www.ncbi.nlm.nih.gov/gene/176371", "176371")</f>
        <v>176371</v>
      </c>
      <c r="C81" s="9"/>
      <c r="D81" t="str">
        <f>"pqm-96"</f>
        <v>pqm-96</v>
      </c>
      <c r="E81" t="s">
        <v>10122</v>
      </c>
      <c r="F81" t="s">
        <v>11</v>
      </c>
      <c r="H81" s="12">
        <v>-10.994907597368501</v>
      </c>
      <c r="I81" s="11">
        <v>-0.714795004154681</v>
      </c>
      <c r="J81" s="10">
        <v>0.47473572263588099</v>
      </c>
      <c r="K81" s="29">
        <v>0.98289565623980701</v>
      </c>
    </row>
    <row r="82" spans="1:11" x14ac:dyDescent="0.35">
      <c r="A82" s="9" t="str">
        <f>HYPERLINK("http://www.ensembl.org/id/WBGene00045093", "WBGene00045093")</f>
        <v>WBGene00045093</v>
      </c>
      <c r="B82" s="9"/>
      <c r="C82" s="9"/>
      <c r="D82" t="str">
        <f>"Y23H5B.10"</f>
        <v>Y23H5B.10</v>
      </c>
      <c r="F82" t="s">
        <v>2977</v>
      </c>
      <c r="H82" s="12">
        <v>-10.994907597368501</v>
      </c>
      <c r="I82" s="11">
        <v>-0.714795004154681</v>
      </c>
      <c r="J82" s="10">
        <v>0.47473572263588099</v>
      </c>
      <c r="K82" s="29">
        <v>0.98289565623980701</v>
      </c>
    </row>
    <row r="83" spans="1:11" x14ac:dyDescent="0.35">
      <c r="A83" s="9" t="str">
        <f>HYPERLINK("http://www.ensembl.org/id/WBGene00235311", "WBGene00235311")</f>
        <v>WBGene00235311</v>
      </c>
      <c r="B83" s="9" t="str">
        <f>HYPERLINK("http://www.ncbi.nlm.nih.gov/gene/24105169", "24105169")</f>
        <v>24105169</v>
      </c>
      <c r="C83" s="9"/>
      <c r="D83" t="str">
        <f>"Y57E12B.11"</f>
        <v>Y57E12B.11</v>
      </c>
      <c r="F83" t="s">
        <v>11</v>
      </c>
      <c r="G83" t="s">
        <v>25</v>
      </c>
      <c r="H83" s="12">
        <v>-10.994907597368501</v>
      </c>
      <c r="I83" s="11">
        <v>-0.714795004154681</v>
      </c>
      <c r="J83" s="10">
        <v>0.47473572263588099</v>
      </c>
      <c r="K83" s="29">
        <v>0.98289565623980701</v>
      </c>
    </row>
    <row r="84" spans="1:11" x14ac:dyDescent="0.35">
      <c r="A84" s="9" t="str">
        <f>HYPERLINK("http://www.ensembl.org/id/WBGene00005394", "WBGene00005394")</f>
        <v>WBGene00005394</v>
      </c>
      <c r="B84" s="9" t="str">
        <f>HYPERLINK("http://www.ncbi.nlm.nih.gov/gene/191254", "191254")</f>
        <v>191254</v>
      </c>
      <c r="C84" s="9"/>
      <c r="D84" t="str">
        <f>"srh-179"</f>
        <v>srh-179</v>
      </c>
      <c r="E84" t="s">
        <v>153</v>
      </c>
      <c r="F84" t="s">
        <v>11</v>
      </c>
      <c r="G84" t="s">
        <v>25</v>
      </c>
      <c r="H84" s="12">
        <v>-10.9489173338456</v>
      </c>
      <c r="I84" s="11">
        <v>-5.00918412157273</v>
      </c>
      <c r="J84" s="10">
        <v>5.4661261050933498E-7</v>
      </c>
      <c r="K84" s="29">
        <v>9.8416382991240706E-5</v>
      </c>
    </row>
    <row r="85" spans="1:11" x14ac:dyDescent="0.35">
      <c r="A85" s="9" t="str">
        <f>HYPERLINK("http://www.ensembl.org/id/WBGene00015987", "WBGene00015987")</f>
        <v>WBGene00015987</v>
      </c>
      <c r="B85" s="9" t="str">
        <f>HYPERLINK("http://www.ncbi.nlm.nih.gov/gene/182799", "182799")</f>
        <v>182799</v>
      </c>
      <c r="C85" s="9"/>
      <c r="D85" t="str">
        <f>"C18G1.9"</f>
        <v>C18G1.9</v>
      </c>
      <c r="F85" t="s">
        <v>11</v>
      </c>
      <c r="H85" s="12">
        <v>-10.8749753877752</v>
      </c>
      <c r="I85" s="11">
        <v>-1.1195523446475899</v>
      </c>
      <c r="J85" s="10">
        <v>0.26290457299688302</v>
      </c>
      <c r="K85" s="29">
        <v>0.98289565623980701</v>
      </c>
    </row>
    <row r="86" spans="1:11" x14ac:dyDescent="0.35">
      <c r="A86" s="9" t="str">
        <f>HYPERLINK("http://www.ensembl.org/id/WBGene00020329", "WBGene00020329")</f>
        <v>WBGene00020329</v>
      </c>
      <c r="B86" s="9" t="str">
        <f>HYPERLINK("http://www.ncbi.nlm.nih.gov/gene/173531", "173531")</f>
        <v>173531</v>
      </c>
      <c r="C86" s="9"/>
      <c r="D86" t="str">
        <f>"bath-26"</f>
        <v>bath-26</v>
      </c>
      <c r="E86" t="s">
        <v>179</v>
      </c>
      <c r="F86" t="s">
        <v>11</v>
      </c>
      <c r="G86" t="s">
        <v>54</v>
      </c>
      <c r="H86" s="12">
        <v>-10.873199998832799</v>
      </c>
      <c r="I86" s="11">
        <v>-4.7717939333322699</v>
      </c>
      <c r="J86" s="10">
        <v>1.82592266091401E-6</v>
      </c>
      <c r="K86" s="29">
        <v>2.5263334732382703E-4</v>
      </c>
    </row>
    <row r="87" spans="1:11" x14ac:dyDescent="0.35">
      <c r="A87" s="9" t="str">
        <f>HYPERLINK("http://www.ensembl.org/id/WBGene00021137", "WBGene00021137")</f>
        <v>WBGene00021137</v>
      </c>
      <c r="B87" s="9" t="str">
        <f>HYPERLINK("http://www.ncbi.nlm.nih.gov/gene/189337", "189337")</f>
        <v>189337</v>
      </c>
      <c r="C87" s="9"/>
      <c r="D87" t="str">
        <f>"W10G11.4"</f>
        <v>W10G11.4</v>
      </c>
      <c r="F87" t="s">
        <v>11</v>
      </c>
      <c r="H87" s="12">
        <v>-10.7227837856765</v>
      </c>
      <c r="I87" s="11">
        <v>-1.48628978626131</v>
      </c>
      <c r="J87" s="10">
        <v>0.137202487143431</v>
      </c>
      <c r="K87" s="29">
        <v>0.82906592033916404</v>
      </c>
    </row>
    <row r="88" spans="1:11" x14ac:dyDescent="0.35">
      <c r="A88" s="9" t="str">
        <f>HYPERLINK("http://www.ensembl.org/id/WBGene00195057", "WBGene00195057")</f>
        <v>WBGene00195057</v>
      </c>
      <c r="B88" s="9" t="str">
        <f>HYPERLINK("http://www.ncbi.nlm.nih.gov/gene/13180201", "13180201")</f>
        <v>13180201</v>
      </c>
      <c r="C88" s="9"/>
      <c r="D88" t="str">
        <f>"B0261.9"</f>
        <v>B0261.9</v>
      </c>
      <c r="F88" t="s">
        <v>11</v>
      </c>
      <c r="H88" s="12">
        <v>-10.626042312456599</v>
      </c>
      <c r="I88" s="11">
        <v>-1.1120399857057699</v>
      </c>
      <c r="J88" s="10">
        <v>0.26612095847127998</v>
      </c>
      <c r="K88" s="29">
        <v>0.98289565623980701</v>
      </c>
    </row>
    <row r="89" spans="1:11" x14ac:dyDescent="0.35">
      <c r="A89" s="9" t="str">
        <f>HYPERLINK("http://www.ensembl.org/id/WBGene00015111", "WBGene00015111")</f>
        <v>WBGene00015111</v>
      </c>
      <c r="B89" s="9" t="str">
        <f>HYPERLINK("http://www.ncbi.nlm.nih.gov/gene/181898", "181898")</f>
        <v>181898</v>
      </c>
      <c r="C89" s="9"/>
      <c r="D89" t="str">
        <f>"B0281.4"</f>
        <v>B0281.4</v>
      </c>
      <c r="F89" t="s">
        <v>11</v>
      </c>
      <c r="H89" s="12">
        <v>-10.578346619169499</v>
      </c>
      <c r="I89" s="11">
        <v>-1.5942610084641</v>
      </c>
      <c r="J89" s="10">
        <v>0.11087758702318901</v>
      </c>
      <c r="K89" s="29">
        <v>0.76365719866286896</v>
      </c>
    </row>
    <row r="90" spans="1:11" x14ac:dyDescent="0.35">
      <c r="A90" s="9" t="str">
        <f>HYPERLINK("http://www.ensembl.org/id/WBGene00015731", "WBGene00015731")</f>
        <v>WBGene00015731</v>
      </c>
      <c r="B90" s="9" t="str">
        <f>HYPERLINK("http://www.ncbi.nlm.nih.gov/gene/178719", "178719")</f>
        <v>178719</v>
      </c>
      <c r="C90" s="9"/>
      <c r="D90" t="str">
        <f>"C13B7.6"</f>
        <v>C13B7.6</v>
      </c>
      <c r="F90" t="s">
        <v>11</v>
      </c>
      <c r="H90" s="12">
        <v>-10.4975962272269</v>
      </c>
      <c r="I90" s="11">
        <v>-1.60099765199333</v>
      </c>
      <c r="J90" s="10">
        <v>0.109377439199094</v>
      </c>
      <c r="K90" s="29">
        <v>0.76081521015891496</v>
      </c>
    </row>
    <row r="91" spans="1:11" x14ac:dyDescent="0.35">
      <c r="A91" s="9" t="str">
        <f>HYPERLINK("http://www.ensembl.org/id/WBGene00003734", "WBGene00003734")</f>
        <v>WBGene00003734</v>
      </c>
      <c r="B91" s="9" t="str">
        <f>HYPERLINK("http://www.ncbi.nlm.nih.gov/gene/186511", "186511")</f>
        <v>186511</v>
      </c>
      <c r="C91" s="9"/>
      <c r="D91" t="str">
        <f>"nhx-6"</f>
        <v>nhx-6</v>
      </c>
      <c r="E91" t="s">
        <v>2819</v>
      </c>
      <c r="F91" t="s">
        <v>11</v>
      </c>
      <c r="G91" t="s">
        <v>2820</v>
      </c>
      <c r="H91" s="12">
        <v>-10.338476512648899</v>
      </c>
      <c r="I91" s="11">
        <v>-1.5578164775524601</v>
      </c>
      <c r="J91" s="10">
        <v>0.119276758810479</v>
      </c>
      <c r="K91" s="29">
        <v>0.78765612720060996</v>
      </c>
    </row>
    <row r="92" spans="1:11" x14ac:dyDescent="0.35">
      <c r="A92" s="9" t="str">
        <f>HYPERLINK("http://www.ensembl.org/id/WBGene00077757", "WBGene00077757")</f>
        <v>WBGene00077757</v>
      </c>
      <c r="B92" s="9" t="str">
        <f>HYPERLINK("http://www.ncbi.nlm.nih.gov/gene/7040175", "7040175")</f>
        <v>7040175</v>
      </c>
      <c r="C92" s="9"/>
      <c r="D92" t="str">
        <f>"E02H4.7"</f>
        <v>E02H4.7</v>
      </c>
      <c r="F92" t="s">
        <v>11</v>
      </c>
      <c r="H92" s="12">
        <v>-10.251380468609099</v>
      </c>
      <c r="I92" s="11">
        <v>-6.2079639661307002</v>
      </c>
      <c r="J92" s="10">
        <v>5.3675453801219399E-10</v>
      </c>
      <c r="K92" s="29">
        <v>3.2637500935025701E-7</v>
      </c>
    </row>
    <row r="93" spans="1:11" x14ac:dyDescent="0.35">
      <c r="A93" s="9" t="str">
        <f>HYPERLINK("http://www.ensembl.org/id/WBGene00016985", "WBGene00016985")</f>
        <v>WBGene00016985</v>
      </c>
      <c r="B93" s="9" t="str">
        <f>HYPERLINK("http://www.ncbi.nlm.nih.gov/gene/183870", "183870")</f>
        <v>183870</v>
      </c>
      <c r="C93" s="9"/>
      <c r="D93" t="str">
        <f>"C56G3.2"</f>
        <v>C56G3.2</v>
      </c>
      <c r="F93" t="s">
        <v>11</v>
      </c>
      <c r="G93" t="s">
        <v>692</v>
      </c>
      <c r="H93" s="12">
        <v>-10.1961806841897</v>
      </c>
      <c r="I93" s="11">
        <v>-1.0351825675633901</v>
      </c>
      <c r="J93" s="10">
        <v>0.30058365831026701</v>
      </c>
      <c r="K93" s="29">
        <v>0.98289565623980701</v>
      </c>
    </row>
    <row r="94" spans="1:11" x14ac:dyDescent="0.35">
      <c r="A94" s="9" t="str">
        <f>HYPERLINK("http://www.ensembl.org/id/WBGene00198718", "WBGene00198718")</f>
        <v>WBGene00198718</v>
      </c>
      <c r="B94" s="9"/>
      <c r="C94" s="9"/>
      <c r="D94" t="str">
        <f>"F31F7.7"</f>
        <v>F31F7.7</v>
      </c>
      <c r="F94" t="s">
        <v>481</v>
      </c>
      <c r="H94" s="12">
        <v>-10.193900028282499</v>
      </c>
      <c r="I94" s="11">
        <v>-1.05777021223459</v>
      </c>
      <c r="J94" s="10">
        <v>0.290160216264233</v>
      </c>
      <c r="K94" s="29">
        <v>0.98289565623980701</v>
      </c>
    </row>
    <row r="95" spans="1:11" x14ac:dyDescent="0.35">
      <c r="A95" s="9" t="str">
        <f>HYPERLINK("http://www.ensembl.org/id/WBGene00007461", "WBGene00007461")</f>
        <v>WBGene00007461</v>
      </c>
      <c r="B95" s="9"/>
      <c r="C95" s="9"/>
      <c r="D95" t="str">
        <f>"C08F11.14"</f>
        <v>C08F11.14</v>
      </c>
      <c r="F95" t="s">
        <v>80</v>
      </c>
      <c r="H95" s="12">
        <v>-10.0989263815726</v>
      </c>
      <c r="I95" s="11">
        <v>-0.68863184780658804</v>
      </c>
      <c r="J95" s="10">
        <v>0.49105497404077803</v>
      </c>
      <c r="K95" s="29">
        <v>0.98289565623980701</v>
      </c>
    </row>
    <row r="96" spans="1:11" x14ac:dyDescent="0.35">
      <c r="A96" s="9" t="str">
        <f>HYPERLINK("http://www.ensembl.org/id/WBGene00013607", "WBGene00013607")</f>
        <v>WBGene00013607</v>
      </c>
      <c r="B96" s="9" t="str">
        <f>HYPERLINK("http://www.ncbi.nlm.nih.gov/gene/190826", "190826")</f>
        <v>190826</v>
      </c>
      <c r="C96" s="9"/>
      <c r="D96" t="str">
        <f>"clec-27"</f>
        <v>clec-27</v>
      </c>
      <c r="E96" t="s">
        <v>46</v>
      </c>
      <c r="F96" t="s">
        <v>11</v>
      </c>
      <c r="G96" t="s">
        <v>2771</v>
      </c>
      <c r="H96" s="12">
        <v>-10.0989263815726</v>
      </c>
      <c r="I96" s="11">
        <v>-0.68863184780658804</v>
      </c>
      <c r="J96" s="10">
        <v>0.49105497404077803</v>
      </c>
      <c r="K96" s="29">
        <v>0.98289565623980701</v>
      </c>
    </row>
    <row r="97" spans="1:11" x14ac:dyDescent="0.35">
      <c r="A97" s="9" t="str">
        <f>HYPERLINK("http://www.ensembl.org/id/WBGene00199184", "WBGene00199184")</f>
        <v>WBGene00199184</v>
      </c>
      <c r="B97" s="9"/>
      <c r="C97" s="9"/>
      <c r="D97" t="str">
        <f>"E02A10.8"</f>
        <v>E02A10.8</v>
      </c>
      <c r="F97" t="s">
        <v>481</v>
      </c>
      <c r="H97" s="12">
        <v>-10.0989263815726</v>
      </c>
      <c r="I97" s="11">
        <v>-0.68863184780658804</v>
      </c>
      <c r="J97" s="10">
        <v>0.49105497404077803</v>
      </c>
      <c r="K97" s="29">
        <v>0.98289565623980701</v>
      </c>
    </row>
    <row r="98" spans="1:11" x14ac:dyDescent="0.35">
      <c r="A98" s="9" t="str">
        <f>HYPERLINK("http://www.ensembl.org/id/WBGene00219414", "WBGene00219414")</f>
        <v>WBGene00219414</v>
      </c>
      <c r="B98" s="9" t="str">
        <f>HYPERLINK("http://www.ncbi.nlm.nih.gov/gene/24104428", "24104428")</f>
        <v>24104428</v>
      </c>
      <c r="C98" s="9"/>
      <c r="D98" t="str">
        <f>"F14H3.15"</f>
        <v>F14H3.15</v>
      </c>
      <c r="F98" t="s">
        <v>11</v>
      </c>
      <c r="H98" s="12">
        <v>-10.0989263815726</v>
      </c>
      <c r="I98" s="11">
        <v>-0.68863184780658804</v>
      </c>
      <c r="J98" s="10">
        <v>0.49105497404077803</v>
      </c>
      <c r="K98" s="29">
        <v>0.98289565623980701</v>
      </c>
    </row>
    <row r="99" spans="1:11" x14ac:dyDescent="0.35">
      <c r="A99" s="9" t="str">
        <f>HYPERLINK("http://www.ensembl.org/id/WBGene00197579", "WBGene00197579")</f>
        <v>WBGene00197579</v>
      </c>
      <c r="B99" s="9"/>
      <c r="C99" s="9"/>
      <c r="D99" t="str">
        <f>"F44A2.9"</f>
        <v>F44A2.9</v>
      </c>
      <c r="F99" t="s">
        <v>481</v>
      </c>
      <c r="H99" s="12">
        <v>-10.0989263815726</v>
      </c>
      <c r="I99" s="11">
        <v>-0.68863184780658804</v>
      </c>
      <c r="J99" s="10">
        <v>0.49105497404077803</v>
      </c>
      <c r="K99" s="29">
        <v>0.98289565623980701</v>
      </c>
    </row>
    <row r="100" spans="1:11" x14ac:dyDescent="0.35">
      <c r="A100" s="9" t="str">
        <f>HYPERLINK("http://www.ensembl.org/id/WBGene00011341", "WBGene00011341")</f>
        <v>WBGene00011341</v>
      </c>
      <c r="B100" s="9" t="str">
        <f>HYPERLINK("http://www.ncbi.nlm.nih.gov/gene/187959", "187959")</f>
        <v>187959</v>
      </c>
      <c r="C100" s="9"/>
      <c r="D100" t="str">
        <f>"T01G5.6"</f>
        <v>T01G5.6</v>
      </c>
      <c r="F100" t="s">
        <v>11</v>
      </c>
      <c r="G100" t="s">
        <v>25</v>
      </c>
      <c r="H100" s="12">
        <v>-10.0989263815726</v>
      </c>
      <c r="I100" s="11">
        <v>-0.68863184780658804</v>
      </c>
      <c r="J100" s="10">
        <v>0.49105497404077803</v>
      </c>
      <c r="K100" s="29">
        <v>0.98289565623980701</v>
      </c>
    </row>
    <row r="101" spans="1:11" x14ac:dyDescent="0.35">
      <c r="A101" s="9" t="str">
        <f>HYPERLINK("http://www.ensembl.org/id/WBGene00011390", "WBGene00011390")</f>
        <v>WBGene00011390</v>
      </c>
      <c r="B101" s="9" t="str">
        <f>HYPERLINK("http://www.ncbi.nlm.nih.gov/gene/188001", "188001")</f>
        <v>188001</v>
      </c>
      <c r="C101" s="9"/>
      <c r="D101" t="str">
        <f>"T02G6.7"</f>
        <v>T02G6.7</v>
      </c>
      <c r="E101" t="s">
        <v>2043</v>
      </c>
      <c r="F101" t="s">
        <v>11</v>
      </c>
      <c r="G101" t="s">
        <v>47</v>
      </c>
      <c r="H101" s="12">
        <v>-10.0989263815726</v>
      </c>
      <c r="I101" s="11">
        <v>-0.68863184780658804</v>
      </c>
      <c r="J101" s="10">
        <v>0.49105497404077803</v>
      </c>
      <c r="K101" s="29">
        <v>0.98289565623980701</v>
      </c>
    </row>
    <row r="102" spans="1:11" x14ac:dyDescent="0.35">
      <c r="A102" s="9" t="str">
        <f>HYPERLINK("http://www.ensembl.org/id/WBGene00012620", "WBGene00012620")</f>
        <v>WBGene00012620</v>
      </c>
      <c r="B102" s="9"/>
      <c r="C102" s="9"/>
      <c r="D102" t="str">
        <f>"Y38H6C.7"</f>
        <v>Y38H6C.7</v>
      </c>
      <c r="F102" t="s">
        <v>80</v>
      </c>
      <c r="H102" s="12">
        <v>-10.0989263815726</v>
      </c>
      <c r="I102" s="11">
        <v>-0.68863184780658804</v>
      </c>
      <c r="J102" s="10">
        <v>0.49105497404077803</v>
      </c>
      <c r="K102" s="29">
        <v>0.98289565623980701</v>
      </c>
    </row>
    <row r="103" spans="1:11" x14ac:dyDescent="0.35">
      <c r="A103" s="9" t="str">
        <f>HYPERLINK("http://www.ensembl.org/id/WBGene00022495", "WBGene00022495")</f>
        <v>WBGene00022495</v>
      </c>
      <c r="B103" s="9" t="str">
        <f>HYPERLINK("http://www.ncbi.nlm.nih.gov/gene/191046", "191046")</f>
        <v>191046</v>
      </c>
      <c r="C103" s="9"/>
      <c r="D103" t="str">
        <f>"fbxa-78"</f>
        <v>fbxa-78</v>
      </c>
      <c r="E103" t="s">
        <v>467</v>
      </c>
      <c r="F103" t="s">
        <v>11</v>
      </c>
      <c r="G103" t="s">
        <v>2543</v>
      </c>
      <c r="H103" s="12">
        <v>-9.9989239435731907</v>
      </c>
      <c r="I103" s="11">
        <v>-1.31776429042111</v>
      </c>
      <c r="J103" s="10">
        <v>0.18758256536592099</v>
      </c>
      <c r="K103" s="29">
        <v>0.92558703629806605</v>
      </c>
    </row>
    <row r="104" spans="1:11" x14ac:dyDescent="0.35">
      <c r="A104" s="9" t="str">
        <f>HYPERLINK("http://www.ensembl.org/id/WBGene00219813", "WBGene00219813")</f>
        <v>WBGene00219813</v>
      </c>
      <c r="B104" s="9"/>
      <c r="C104" s="9"/>
      <c r="D104" t="str">
        <f>"C14A11.13"</f>
        <v>C14A11.13</v>
      </c>
      <c r="F104" t="s">
        <v>481</v>
      </c>
      <c r="H104" s="12">
        <v>-9.9706157004782892</v>
      </c>
      <c r="I104" s="11">
        <v>-1.3381866595624199</v>
      </c>
      <c r="J104" s="10">
        <v>0.18083559674456701</v>
      </c>
      <c r="K104" s="29">
        <v>0.91591128855325799</v>
      </c>
    </row>
    <row r="105" spans="1:11" x14ac:dyDescent="0.35">
      <c r="A105" s="9" t="str">
        <f>HYPERLINK("http://www.ensembl.org/id/WBGene00219448", "WBGene00219448")</f>
        <v>WBGene00219448</v>
      </c>
      <c r="B105" s="9"/>
      <c r="C105" s="9"/>
      <c r="D105" t="str">
        <f>"K12G11.14"</f>
        <v>K12G11.14</v>
      </c>
      <c r="F105" t="s">
        <v>2735</v>
      </c>
      <c r="H105" s="12">
        <v>-9.7545191211311995</v>
      </c>
      <c r="I105" s="11">
        <v>-1.5520117040410399</v>
      </c>
      <c r="J105" s="10">
        <v>0.120659423153625</v>
      </c>
      <c r="K105" s="29">
        <v>0.79107189237980402</v>
      </c>
    </row>
    <row r="106" spans="1:11" x14ac:dyDescent="0.35">
      <c r="A106" s="9" t="str">
        <f>HYPERLINK("http://www.ensembl.org/id/WBGene00168611", "WBGene00168611")</f>
        <v>WBGene00168611</v>
      </c>
      <c r="B106" s="9"/>
      <c r="C106" s="9"/>
      <c r="D106" t="str">
        <f>"21ur-10829"</f>
        <v>21ur-10829</v>
      </c>
      <c r="F106" t="s">
        <v>3161</v>
      </c>
      <c r="H106" s="12">
        <v>-9.6815265259172598</v>
      </c>
      <c r="I106" s="11">
        <v>-0.67531719156077197</v>
      </c>
      <c r="J106" s="10">
        <v>0.49947426381858001</v>
      </c>
      <c r="K106" s="29">
        <v>0.98289565623980701</v>
      </c>
    </row>
    <row r="107" spans="1:11" x14ac:dyDescent="0.35">
      <c r="A107" s="9" t="str">
        <f>HYPERLINK("http://www.ensembl.org/id/WBGene00007199", "WBGene00007199")</f>
        <v>WBGene00007199</v>
      </c>
      <c r="B107" s="9"/>
      <c r="C107" s="9"/>
      <c r="D107" t="str">
        <f>"B0513.7"</f>
        <v>B0513.7</v>
      </c>
      <c r="F107" t="s">
        <v>80</v>
      </c>
      <c r="H107" s="12">
        <v>-9.6815265259172598</v>
      </c>
      <c r="I107" s="11">
        <v>-0.67531719156077197</v>
      </c>
      <c r="J107" s="10">
        <v>0.49947426381858001</v>
      </c>
      <c r="K107" s="29">
        <v>0.98289565623980701</v>
      </c>
    </row>
    <row r="108" spans="1:11" x14ac:dyDescent="0.35">
      <c r="A108" s="9" t="str">
        <f>HYPERLINK("http://www.ensembl.org/id/WBGene00017287", "WBGene00017287")</f>
        <v>WBGene00017287</v>
      </c>
      <c r="B108" s="9" t="str">
        <f>HYPERLINK("http://www.ncbi.nlm.nih.gov/gene/184241", "184241")</f>
        <v>184241</v>
      </c>
      <c r="C108" s="9"/>
      <c r="D108" t="str">
        <f>"F09E5.9"</f>
        <v>F09E5.9</v>
      </c>
      <c r="F108" t="s">
        <v>11</v>
      </c>
      <c r="H108" s="12">
        <v>-9.6815265259172598</v>
      </c>
      <c r="I108" s="11">
        <v>-0.67531719156077197</v>
      </c>
      <c r="J108" s="10">
        <v>0.49947426381858001</v>
      </c>
      <c r="K108" s="29">
        <v>0.98289565623980701</v>
      </c>
    </row>
    <row r="109" spans="1:11" x14ac:dyDescent="0.35">
      <c r="A109" s="9" t="str">
        <f>HYPERLINK("http://www.ensembl.org/id/WBGene00201192", "WBGene00201192")</f>
        <v>WBGene00201192</v>
      </c>
      <c r="B109" s="9"/>
      <c r="C109" s="9"/>
      <c r="D109" t="str">
        <f>"F16A11.9"</f>
        <v>F16A11.9</v>
      </c>
      <c r="F109" t="s">
        <v>481</v>
      </c>
      <c r="H109" s="12">
        <v>-9.6815265259172598</v>
      </c>
      <c r="I109" s="11">
        <v>-0.67531719156077197</v>
      </c>
      <c r="J109" s="10">
        <v>0.49947426381858001</v>
      </c>
      <c r="K109" s="29">
        <v>0.98289565623980701</v>
      </c>
    </row>
    <row r="110" spans="1:11" x14ac:dyDescent="0.35">
      <c r="A110" s="9" t="str">
        <f>HYPERLINK("http://www.ensembl.org/id/WBGene00198019", "WBGene00198019")</f>
        <v>WBGene00198019</v>
      </c>
      <c r="B110" s="9"/>
      <c r="C110" s="9"/>
      <c r="D110" t="str">
        <f>"F57B1.14"</f>
        <v>F57B1.14</v>
      </c>
      <c r="F110" t="s">
        <v>481</v>
      </c>
      <c r="H110" s="12">
        <v>-9.6815265259172598</v>
      </c>
      <c r="I110" s="11">
        <v>-0.67531719156077197</v>
      </c>
      <c r="J110" s="10">
        <v>0.49947426381858001</v>
      </c>
      <c r="K110" s="29">
        <v>0.98289565623980701</v>
      </c>
    </row>
    <row r="111" spans="1:11" x14ac:dyDescent="0.35">
      <c r="A111" s="9" t="str">
        <f>HYPERLINK("http://www.ensembl.org/id/WBGene00010203", "WBGene00010203")</f>
        <v>WBGene00010203</v>
      </c>
      <c r="B111" s="9" t="str">
        <f>HYPERLINK("http://www.ncbi.nlm.nih.gov/gene/186451", "186451")</f>
        <v>186451</v>
      </c>
      <c r="C111" s="9"/>
      <c r="D111" t="str">
        <f>"F57E7.2"</f>
        <v>F57E7.2</v>
      </c>
      <c r="F111" t="s">
        <v>11</v>
      </c>
      <c r="H111" s="12">
        <v>-9.6815265259172598</v>
      </c>
      <c r="I111" s="11">
        <v>-0.67531719156077197</v>
      </c>
      <c r="J111" s="10">
        <v>0.49947426381858001</v>
      </c>
      <c r="K111" s="29">
        <v>0.98289565623980701</v>
      </c>
    </row>
    <row r="112" spans="1:11" x14ac:dyDescent="0.35">
      <c r="A112" s="9" t="str">
        <f>HYPERLINK("http://www.ensembl.org/id/WBGene00001737", "WBGene00001737")</f>
        <v>WBGene00001737</v>
      </c>
      <c r="B112" s="9" t="str">
        <f>HYPERLINK("http://www.ncbi.nlm.nih.gov/gene/188832", "188832")</f>
        <v>188832</v>
      </c>
      <c r="C112" s="9"/>
      <c r="D112" t="str">
        <f>"grl-28"</f>
        <v>grl-28</v>
      </c>
      <c r="E112" t="s">
        <v>353</v>
      </c>
      <c r="F112" t="s">
        <v>11</v>
      </c>
      <c r="H112" s="12">
        <v>-9.6815265259172598</v>
      </c>
      <c r="I112" s="11">
        <v>-0.67531719156077197</v>
      </c>
      <c r="J112" s="10">
        <v>0.49947426381858001</v>
      </c>
      <c r="K112" s="29">
        <v>0.98289565623980701</v>
      </c>
    </row>
    <row r="113" spans="1:11" x14ac:dyDescent="0.35">
      <c r="A113" s="9" t="str">
        <f>HYPERLINK("http://www.ensembl.org/id/WBGene00012596", "WBGene00012596")</f>
        <v>WBGene00012596</v>
      </c>
      <c r="B113" s="9" t="str">
        <f>HYPERLINK("http://www.ncbi.nlm.nih.gov/gene/189663", "189663")</f>
        <v>189663</v>
      </c>
      <c r="C113" s="9"/>
      <c r="D113" t="str">
        <f>"nhr-234"</f>
        <v>nhr-234</v>
      </c>
      <c r="E113" t="s">
        <v>637</v>
      </c>
      <c r="F113" t="s">
        <v>11</v>
      </c>
      <c r="G113" t="s">
        <v>2033</v>
      </c>
      <c r="H113" s="12">
        <v>-9.6815265259172598</v>
      </c>
      <c r="I113" s="11">
        <v>-0.67531719156077197</v>
      </c>
      <c r="J113" s="10">
        <v>0.49947426381858001</v>
      </c>
      <c r="K113" s="29">
        <v>0.98289565623980701</v>
      </c>
    </row>
    <row r="114" spans="1:11" x14ac:dyDescent="0.35">
      <c r="A114" s="9" t="str">
        <f>HYPERLINK("http://www.ensembl.org/id/WBGene00200041", "WBGene00200041")</f>
        <v>WBGene00200041</v>
      </c>
      <c r="B114" s="9"/>
      <c r="C114" s="9"/>
      <c r="D114" t="str">
        <f>"R03E9.8"</f>
        <v>R03E9.8</v>
      </c>
      <c r="F114" t="s">
        <v>481</v>
      </c>
      <c r="H114" s="12">
        <v>-9.6815265259172598</v>
      </c>
      <c r="I114" s="11">
        <v>-0.67531719156077197</v>
      </c>
      <c r="J114" s="10">
        <v>0.49947426381858001</v>
      </c>
      <c r="K114" s="29">
        <v>0.98289565623980701</v>
      </c>
    </row>
    <row r="115" spans="1:11" x14ac:dyDescent="0.35">
      <c r="A115" s="9" t="str">
        <f>HYPERLINK("http://www.ensembl.org/id/WBGene00011623", "WBGene00011623")</f>
        <v>WBGene00011623</v>
      </c>
      <c r="B115" s="9" t="str">
        <f>HYPERLINK("http://www.ncbi.nlm.nih.gov/gene/179900", "179900")</f>
        <v>179900</v>
      </c>
      <c r="C115" s="9"/>
      <c r="D115" t="str">
        <f>"T08G5.2"</f>
        <v>T08G5.2</v>
      </c>
      <c r="F115" t="s">
        <v>11</v>
      </c>
      <c r="H115" s="12">
        <v>-9.6815265259172598</v>
      </c>
      <c r="I115" s="11">
        <v>-0.67531719156077197</v>
      </c>
      <c r="J115" s="10">
        <v>0.49947426381858001</v>
      </c>
      <c r="K115" s="29">
        <v>0.98289565623980701</v>
      </c>
    </row>
    <row r="116" spans="1:11" x14ac:dyDescent="0.35">
      <c r="A116" s="9" t="str">
        <f>HYPERLINK("http://www.ensembl.org/id/WBGene00014239", "WBGene00014239")</f>
        <v>WBGene00014239</v>
      </c>
      <c r="B116" s="9" t="str">
        <f>HYPERLINK("http://www.ncbi.nlm.nih.gov/gene/173186", "173186")</f>
        <v>173186</v>
      </c>
      <c r="C116" s="9"/>
      <c r="D116" t="str">
        <f>"ZK1225.5"</f>
        <v>ZK1225.5</v>
      </c>
      <c r="F116" t="s">
        <v>11</v>
      </c>
      <c r="H116" s="12">
        <v>-9.6308161080189993</v>
      </c>
      <c r="I116" s="11">
        <v>-1.2402429263571999</v>
      </c>
      <c r="J116" s="10">
        <v>0.214885555401791</v>
      </c>
      <c r="K116" s="29">
        <v>0.96827741312251403</v>
      </c>
    </row>
    <row r="117" spans="1:11" x14ac:dyDescent="0.35">
      <c r="A117" s="9" t="str">
        <f>HYPERLINK("http://www.ensembl.org/id/WBGene00001765", "WBGene00001765")</f>
        <v>WBGene00001765</v>
      </c>
      <c r="B117" s="9" t="str">
        <f>HYPERLINK("http://www.ncbi.nlm.nih.gov/gene/185411", "185411")</f>
        <v>185411</v>
      </c>
      <c r="C117" s="9" t="str">
        <f>HYPERLINK("http://www.ncbi.nlm.nih.gov/gene/27306", "27306")</f>
        <v>27306</v>
      </c>
      <c r="D117" t="str">
        <f>"gst-17"</f>
        <v>gst-17</v>
      </c>
      <c r="E117" t="s">
        <v>272</v>
      </c>
      <c r="F117" t="s">
        <v>11</v>
      </c>
      <c r="G117" t="s">
        <v>876</v>
      </c>
      <c r="H117" s="12">
        <v>-9.55867303749522</v>
      </c>
      <c r="I117" s="11">
        <v>-1.1691615274455101</v>
      </c>
      <c r="J117" s="10">
        <v>0.24233855843163299</v>
      </c>
      <c r="K117" s="29">
        <v>0.98289565623980701</v>
      </c>
    </row>
    <row r="118" spans="1:11" x14ac:dyDescent="0.35">
      <c r="A118" s="9" t="str">
        <f>HYPERLINK("http://www.ensembl.org/id/WBGene00017351", "WBGene00017351")</f>
        <v>WBGene00017351</v>
      </c>
      <c r="B118" s="9" t="str">
        <f>HYPERLINK("http://www.ncbi.nlm.nih.gov/gene/184302", "184302")</f>
        <v>184302</v>
      </c>
      <c r="C118" s="9"/>
      <c r="D118" t="str">
        <f>"cutl-5"</f>
        <v>cutl-5</v>
      </c>
      <c r="E118" t="s">
        <v>166</v>
      </c>
      <c r="F118" t="s">
        <v>11</v>
      </c>
      <c r="G118" t="s">
        <v>25</v>
      </c>
      <c r="H118" s="12">
        <v>-9.4168116491312706</v>
      </c>
      <c r="I118" s="11">
        <v>-1.0568794096159799</v>
      </c>
      <c r="J118" s="10">
        <v>0.29056662673001599</v>
      </c>
      <c r="K118" s="29">
        <v>0.98289565623980701</v>
      </c>
    </row>
    <row r="119" spans="1:11" x14ac:dyDescent="0.35">
      <c r="A119" s="9" t="str">
        <f>HYPERLINK("http://www.ensembl.org/id/WBGene00014699", "WBGene00014699")</f>
        <v>WBGene00014699</v>
      </c>
      <c r="B119" s="9" t="str">
        <f>HYPERLINK("http://www.ncbi.nlm.nih.gov/gene/13182954", "13182954")</f>
        <v>13182954</v>
      </c>
      <c r="C119" s="9"/>
      <c r="D119" t="str">
        <f>"C37A5.5"</f>
        <v>C37A5.5</v>
      </c>
      <c r="F119" t="s">
        <v>11</v>
      </c>
      <c r="G119" t="s">
        <v>264</v>
      </c>
      <c r="H119" s="12">
        <v>-9.3414082352043</v>
      </c>
      <c r="I119" s="11">
        <v>-1.1652055522743501</v>
      </c>
      <c r="J119" s="10">
        <v>0.243935798708795</v>
      </c>
      <c r="K119" s="29">
        <v>0.98289565623980701</v>
      </c>
    </row>
    <row r="120" spans="1:11" x14ac:dyDescent="0.35">
      <c r="A120" s="9" t="str">
        <f>HYPERLINK("http://www.ensembl.org/id/WBGene00022713", "WBGene00022713")</f>
        <v>WBGene00022713</v>
      </c>
      <c r="B120" s="9" t="str">
        <f>HYPERLINK("http://www.ncbi.nlm.nih.gov/gene/191298", "191298")</f>
        <v>191298</v>
      </c>
      <c r="C120" s="9"/>
      <c r="D120" t="str">
        <f>"ZK355.3"</f>
        <v>ZK355.3</v>
      </c>
      <c r="F120" t="s">
        <v>11</v>
      </c>
      <c r="H120" s="12">
        <v>-9.2908371442140805</v>
      </c>
      <c r="I120" s="11">
        <v>-2.2496224013428501</v>
      </c>
      <c r="J120" s="10">
        <v>2.4472925194519199E-2</v>
      </c>
      <c r="K120" s="29">
        <v>0.34188114240904499</v>
      </c>
    </row>
    <row r="121" spans="1:11" x14ac:dyDescent="0.35">
      <c r="A121" s="9" t="str">
        <f>HYPERLINK("http://www.ensembl.org/id/WBGene00017363", "WBGene00017363")</f>
        <v>WBGene00017363</v>
      </c>
      <c r="B121" s="9" t="str">
        <f>HYPERLINK("http://www.ncbi.nlm.nih.gov/gene/184313", "184313")</f>
        <v>184313</v>
      </c>
      <c r="C121" s="9"/>
      <c r="D121" t="str">
        <f>"F10G2.2"</f>
        <v>F10G2.2</v>
      </c>
      <c r="F121" t="s">
        <v>11</v>
      </c>
      <c r="H121" s="12">
        <v>-9.0485282104083495</v>
      </c>
      <c r="I121" s="11">
        <v>-1.8730390309887099</v>
      </c>
      <c r="J121" s="10">
        <v>6.1062995433728E-2</v>
      </c>
      <c r="K121" s="29">
        <v>0.58308898290709299</v>
      </c>
    </row>
    <row r="122" spans="1:11" x14ac:dyDescent="0.35">
      <c r="A122" s="9" t="str">
        <f>HYPERLINK("http://www.ensembl.org/id/WBGene00007147", "WBGene00007147")</f>
        <v>WBGene00007147</v>
      </c>
      <c r="B122" s="9"/>
      <c r="C122" s="9"/>
      <c r="D122" t="str">
        <f>"B0334.9"</f>
        <v>B0334.9</v>
      </c>
      <c r="F122" t="s">
        <v>80</v>
      </c>
      <c r="H122" s="12">
        <v>-8.95980644409455</v>
      </c>
      <c r="I122" s="11">
        <v>-1.10894287490406</v>
      </c>
      <c r="J122" s="10">
        <v>0.267454826227918</v>
      </c>
      <c r="K122" s="29">
        <v>0.98289565623980701</v>
      </c>
    </row>
    <row r="123" spans="1:11" x14ac:dyDescent="0.35">
      <c r="A123" s="9" t="str">
        <f>HYPERLINK("http://www.ensembl.org/id/WBGene00016712", "WBGene00016712")</f>
        <v>WBGene00016712</v>
      </c>
      <c r="B123" s="9" t="str">
        <f>HYPERLINK("http://www.ncbi.nlm.nih.gov/gene/173716", "173716")</f>
        <v>173716</v>
      </c>
      <c r="C123" s="9"/>
      <c r="D123" t="str">
        <f>"C46E10.8"</f>
        <v>C46E10.8</v>
      </c>
      <c r="F123" t="s">
        <v>11</v>
      </c>
      <c r="H123" s="12">
        <v>-8.9282925090562806</v>
      </c>
      <c r="I123" s="11">
        <v>-1.7435161918183799</v>
      </c>
      <c r="J123" s="10">
        <v>8.1243488455845503E-2</v>
      </c>
      <c r="K123" s="29">
        <v>0.67091209587589895</v>
      </c>
    </row>
    <row r="124" spans="1:11" x14ac:dyDescent="0.35">
      <c r="A124" s="9" t="str">
        <f>HYPERLINK("http://www.ensembl.org/id/WBGene00008485", "WBGene00008485")</f>
        <v>WBGene00008485</v>
      </c>
      <c r="B124" s="9" t="str">
        <f>HYPERLINK("http://www.ncbi.nlm.nih.gov/gene/184052", "184052")</f>
        <v>184052</v>
      </c>
      <c r="C124" s="9"/>
      <c r="D124" t="str">
        <f>"ugt-43"</f>
        <v>ugt-43</v>
      </c>
      <c r="E124" t="s">
        <v>103</v>
      </c>
      <c r="F124" t="s">
        <v>11</v>
      </c>
      <c r="G124" t="s">
        <v>104</v>
      </c>
      <c r="H124" s="12">
        <v>-8.88837155241308</v>
      </c>
      <c r="I124" s="11">
        <v>-1.84663041466287</v>
      </c>
      <c r="J124" s="10">
        <v>6.4800723035484398E-2</v>
      </c>
      <c r="K124" s="29">
        <v>0.60204483572895195</v>
      </c>
    </row>
    <row r="125" spans="1:11" x14ac:dyDescent="0.35">
      <c r="A125" s="9" t="str">
        <f>HYPERLINK("http://www.ensembl.org/id/WBGene00015596", "WBGene00015596")</f>
        <v>WBGene00015596</v>
      </c>
      <c r="B125" s="9"/>
      <c r="C125" s="9"/>
      <c r="D125" t="str">
        <f>"fbxa-161"</f>
        <v>fbxa-161</v>
      </c>
      <c r="F125" t="s">
        <v>80</v>
      </c>
      <c r="H125" s="12">
        <v>-8.8560019748862402</v>
      </c>
      <c r="I125" s="11">
        <v>-1.3182473802930199</v>
      </c>
      <c r="J125" s="10">
        <v>0.187420849372437</v>
      </c>
      <c r="K125" s="29">
        <v>0.92558703629806605</v>
      </c>
    </row>
    <row r="126" spans="1:11" x14ac:dyDescent="0.35">
      <c r="A126" s="9" t="str">
        <f>HYPERLINK("http://www.ensembl.org/id/WBGene00019548", "WBGene00019548")</f>
        <v>WBGene00019548</v>
      </c>
      <c r="B126" s="9" t="str">
        <f>HYPERLINK("http://www.ncbi.nlm.nih.gov/gene/187193", "187193")</f>
        <v>187193</v>
      </c>
      <c r="C126" s="9"/>
      <c r="D126" t="str">
        <f>"K09C4.2"</f>
        <v>K09C4.2</v>
      </c>
      <c r="F126" t="s">
        <v>11</v>
      </c>
      <c r="G126" t="s">
        <v>230</v>
      </c>
      <c r="H126" s="12">
        <v>-8.7328318478741096</v>
      </c>
      <c r="I126" s="11">
        <v>-1.09418321162128</v>
      </c>
      <c r="J126" s="10">
        <v>0.27387463301409098</v>
      </c>
      <c r="K126" s="29">
        <v>0.98289565623980701</v>
      </c>
    </row>
    <row r="127" spans="1:11" x14ac:dyDescent="0.35">
      <c r="A127" s="9" t="str">
        <f>HYPERLINK("http://www.ensembl.org/id/WBGene00022085", "WBGene00022085")</f>
        <v>WBGene00022085</v>
      </c>
      <c r="B127" s="9"/>
      <c r="C127" s="9"/>
      <c r="D127" t="str">
        <f>"Y69A2AR.14"</f>
        <v>Y69A2AR.14</v>
      </c>
      <c r="F127" t="s">
        <v>80</v>
      </c>
      <c r="H127" s="12">
        <v>-8.7328318478741096</v>
      </c>
      <c r="I127" s="11">
        <v>-1.09418321162128</v>
      </c>
      <c r="J127" s="10">
        <v>0.27387463301409098</v>
      </c>
      <c r="K127" s="29">
        <v>0.98289565623980701</v>
      </c>
    </row>
    <row r="128" spans="1:11" x14ac:dyDescent="0.35">
      <c r="A128" s="9" t="str">
        <f>HYPERLINK("http://www.ensembl.org/id/WBGene00021491", "WBGene00021491")</f>
        <v>WBGene00021491</v>
      </c>
      <c r="B128" s="9" t="str">
        <f>HYPERLINK("http://www.ncbi.nlm.nih.gov/gene/189789", "189789")</f>
        <v>189789</v>
      </c>
      <c r="C128" s="9" t="str">
        <f>HYPERLINK("http://www.ncbi.nlm.nih.gov/gene/118881", "118881")</f>
        <v>118881</v>
      </c>
      <c r="D128" t="str">
        <f>"comt-4"</f>
        <v>comt-4</v>
      </c>
      <c r="E128" t="s">
        <v>168</v>
      </c>
      <c r="F128" t="s">
        <v>11</v>
      </c>
      <c r="G128" t="s">
        <v>169</v>
      </c>
      <c r="H128" s="12">
        <v>-8.6186224800282201</v>
      </c>
      <c r="I128" s="11">
        <v>-4.8436689523151601</v>
      </c>
      <c r="J128" s="10">
        <v>1.27463238102747E-6</v>
      </c>
      <c r="K128" s="29">
        <v>1.85230539597614E-4</v>
      </c>
    </row>
    <row r="129" spans="1:11" x14ac:dyDescent="0.35">
      <c r="A129" s="9" t="str">
        <f>HYPERLINK("http://www.ensembl.org/id/WBGene00020946", "WBGene00020946")</f>
        <v>WBGene00020946</v>
      </c>
      <c r="B129" s="9" t="str">
        <f>HYPERLINK("http://www.ncbi.nlm.nih.gov/gene/179214", "179214")</f>
        <v>179214</v>
      </c>
      <c r="C129" s="9"/>
      <c r="D129" t="str">
        <f>"W02D7.11"</f>
        <v>W02D7.11</v>
      </c>
      <c r="F129" t="s">
        <v>11</v>
      </c>
      <c r="G129" t="s">
        <v>25</v>
      </c>
      <c r="H129" s="12">
        <v>-8.5738650610771003</v>
      </c>
      <c r="I129" s="11">
        <v>-5.97846216974669</v>
      </c>
      <c r="J129" s="10">
        <v>2.2525390726425802E-9</v>
      </c>
      <c r="K129" s="29">
        <v>1.0621870982138701E-6</v>
      </c>
    </row>
    <row r="130" spans="1:11" x14ac:dyDescent="0.35">
      <c r="A130" s="9" t="str">
        <f>HYPERLINK("http://www.ensembl.org/id/WBGene00201991", "WBGene00201991")</f>
        <v>WBGene00201991</v>
      </c>
      <c r="B130" s="9"/>
      <c r="C130" s="9"/>
      <c r="D130" t="str">
        <f>"C07G1.14"</f>
        <v>C07G1.14</v>
      </c>
      <c r="F130" t="s">
        <v>481</v>
      </c>
      <c r="H130" s="12">
        <v>-8.4974526839343199</v>
      </c>
      <c r="I130" s="11">
        <v>-1.3922532501114799</v>
      </c>
      <c r="J130" s="10">
        <v>0.163845722782412</v>
      </c>
      <c r="K130" s="29">
        <v>0.88287645754319</v>
      </c>
    </row>
    <row r="131" spans="1:11" x14ac:dyDescent="0.35">
      <c r="A131" s="9" t="str">
        <f>HYPERLINK("http://www.ensembl.org/id/WBGene00013101", "WBGene00013101")</f>
        <v>WBGene00013101</v>
      </c>
      <c r="B131" s="9" t="str">
        <f>HYPERLINK("http://www.ncbi.nlm.nih.gov/gene/190146", "190146")</f>
        <v>190146</v>
      </c>
      <c r="C131" s="9"/>
      <c r="D131" t="str">
        <f>"Y51H4A.5"</f>
        <v>Y51H4A.5</v>
      </c>
      <c r="F131" t="s">
        <v>11</v>
      </c>
      <c r="G131" t="s">
        <v>29</v>
      </c>
      <c r="H131" s="12">
        <v>-8.4786906102058204</v>
      </c>
      <c r="I131" s="11">
        <v>-3.1962454809751901</v>
      </c>
      <c r="J131" s="10">
        <v>1.3922860170907699E-3</v>
      </c>
      <c r="K131" s="29">
        <v>5.01894757269606E-2</v>
      </c>
    </row>
    <row r="132" spans="1:11" x14ac:dyDescent="0.35">
      <c r="A132" s="9" t="str">
        <f>HYPERLINK("http://www.ensembl.org/id/WBGene00008658", "WBGene00008658")</f>
        <v>WBGene00008658</v>
      </c>
      <c r="B132" s="9"/>
      <c r="C132" s="9"/>
      <c r="D132" t="str">
        <f>"clec-152"</f>
        <v>clec-152</v>
      </c>
      <c r="F132" t="s">
        <v>80</v>
      </c>
      <c r="H132" s="12">
        <v>-8.3918544013310896</v>
      </c>
      <c r="I132" s="11">
        <v>-0.87570492467372796</v>
      </c>
      <c r="J132" s="10">
        <v>0.38119046744110602</v>
      </c>
      <c r="K132" s="29">
        <v>0.98289565623980701</v>
      </c>
    </row>
    <row r="133" spans="1:11" x14ac:dyDescent="0.35">
      <c r="A133" s="9" t="str">
        <f>HYPERLINK("http://www.ensembl.org/id/WBGene00048550", "WBGene00048550")</f>
        <v>WBGene00048550</v>
      </c>
      <c r="B133" s="9"/>
      <c r="C133" s="9"/>
      <c r="D133" t="str">
        <f>"21ur-3925"</f>
        <v>21ur-3925</v>
      </c>
      <c r="F133" t="s">
        <v>3161</v>
      </c>
      <c r="H133" s="12">
        <v>-8.3803023269745403</v>
      </c>
      <c r="I133" s="11">
        <v>-1.08079662408578</v>
      </c>
      <c r="J133" s="10">
        <v>0.27978759049347401</v>
      </c>
      <c r="K133" s="29">
        <v>0.98289565623980701</v>
      </c>
    </row>
    <row r="134" spans="1:11" x14ac:dyDescent="0.35">
      <c r="A134" s="9" t="str">
        <f>HYPERLINK("http://www.ensembl.org/id/WBGene00007822", "WBGene00007822")</f>
        <v>WBGene00007822</v>
      </c>
      <c r="B134" s="9" t="str">
        <f>HYPERLINK("http://www.ncbi.nlm.nih.gov/gene/183067", "183067")</f>
        <v>183067</v>
      </c>
      <c r="C134" s="9"/>
      <c r="D134" t="str">
        <f>"clec-202"</f>
        <v>clec-202</v>
      </c>
      <c r="E134" t="s">
        <v>46</v>
      </c>
      <c r="F134" t="s">
        <v>11</v>
      </c>
      <c r="G134" t="s">
        <v>47</v>
      </c>
      <c r="H134" s="12">
        <v>-8.3542518161552408</v>
      </c>
      <c r="I134" s="11">
        <v>-1.0412314844363599</v>
      </c>
      <c r="J134" s="10">
        <v>0.297768126740733</v>
      </c>
      <c r="K134" s="29">
        <v>0.98289565623980701</v>
      </c>
    </row>
    <row r="135" spans="1:11" x14ac:dyDescent="0.35">
      <c r="A135" s="9" t="str">
        <f>HYPERLINK("http://www.ensembl.org/id/WBGene00007376", "WBGene00007376")</f>
        <v>WBGene00007376</v>
      </c>
      <c r="B135" s="9"/>
      <c r="C135" s="9"/>
      <c r="D135" t="str">
        <f>"C06C3.5"</f>
        <v>C06C3.5</v>
      </c>
      <c r="F135" t="s">
        <v>80</v>
      </c>
      <c r="H135" s="12">
        <v>-8.3411337989756795</v>
      </c>
      <c r="I135" s="11">
        <v>-1.3995121790801599</v>
      </c>
      <c r="J135" s="10">
        <v>0.16165944873587301</v>
      </c>
      <c r="K135" s="29">
        <v>0.87744966466786201</v>
      </c>
    </row>
    <row r="136" spans="1:11" x14ac:dyDescent="0.35">
      <c r="A136" s="9" t="str">
        <f>HYPERLINK("http://www.ensembl.org/id/WBGene00022476", "WBGene00022476")</f>
        <v>WBGene00022476</v>
      </c>
      <c r="B136" s="9" t="str">
        <f>HYPERLINK("http://www.ncbi.nlm.nih.gov/gene/191032", "191032")</f>
        <v>191032</v>
      </c>
      <c r="C136" s="9"/>
      <c r="D136" t="str">
        <f>"fbxa-75"</f>
        <v>fbxa-75</v>
      </c>
      <c r="E136" t="s">
        <v>467</v>
      </c>
      <c r="F136" t="s">
        <v>11</v>
      </c>
      <c r="H136" s="12">
        <v>-8.2766010178276606</v>
      </c>
      <c r="I136" s="11">
        <v>-0.73435907710166004</v>
      </c>
      <c r="J136" s="10">
        <v>0.46272992103605898</v>
      </c>
      <c r="K136" s="29">
        <v>0.98289565623980701</v>
      </c>
    </row>
    <row r="137" spans="1:11" x14ac:dyDescent="0.35">
      <c r="A137" s="9" t="str">
        <f>HYPERLINK("http://www.ensembl.org/id/WBGene00001766", "WBGene00001766")</f>
        <v>WBGene00001766</v>
      </c>
      <c r="B137" s="9" t="str">
        <f>HYPERLINK("http://www.ncbi.nlm.nih.gov/gene/185412", "185412")</f>
        <v>185412</v>
      </c>
      <c r="C137" s="9" t="str">
        <f>HYPERLINK("http://www.ncbi.nlm.nih.gov/gene/27306", "27306")</f>
        <v>27306</v>
      </c>
      <c r="D137" t="str">
        <f>"gst-18"</f>
        <v>gst-18</v>
      </c>
      <c r="E137" t="s">
        <v>272</v>
      </c>
      <c r="F137" t="s">
        <v>11</v>
      </c>
      <c r="G137" t="s">
        <v>876</v>
      </c>
      <c r="H137" s="12">
        <v>-8.21817069028641</v>
      </c>
      <c r="I137" s="11">
        <v>-0.86503996225756696</v>
      </c>
      <c r="J137" s="10">
        <v>0.38701685530532198</v>
      </c>
      <c r="K137" s="29">
        <v>0.98289565623980701</v>
      </c>
    </row>
    <row r="138" spans="1:11" x14ac:dyDescent="0.35">
      <c r="A138" s="9" t="str">
        <f>HYPERLINK("http://www.ensembl.org/id/WBGene00012852", "WBGene00012852")</f>
        <v>WBGene00012852</v>
      </c>
      <c r="B138" s="9" t="str">
        <f>HYPERLINK("http://www.ncbi.nlm.nih.gov/gene/189899", "189899")</f>
        <v>189899</v>
      </c>
      <c r="C138" s="9"/>
      <c r="D138" t="str">
        <f>"Y44A6D.1"</f>
        <v>Y44A6D.1</v>
      </c>
      <c r="F138" t="s">
        <v>11</v>
      </c>
      <c r="H138" s="12">
        <v>-8.1659750409448293</v>
      </c>
      <c r="I138" s="11">
        <v>-0.91011987239266701</v>
      </c>
      <c r="J138" s="10">
        <v>0.36275929539859197</v>
      </c>
      <c r="K138" s="29">
        <v>0.98289565623980701</v>
      </c>
    </row>
    <row r="139" spans="1:11" x14ac:dyDescent="0.35">
      <c r="A139" s="9" t="str">
        <f>HYPERLINK("http://www.ensembl.org/id/WBGene00219750", "WBGene00219750")</f>
        <v>WBGene00219750</v>
      </c>
      <c r="B139" s="9" t="str">
        <f>HYPERLINK("http://www.ncbi.nlm.nih.gov/gene/24105070", "24105070")</f>
        <v>24105070</v>
      </c>
      <c r="C139" s="9"/>
      <c r="D139" t="str">
        <f>"Y38C1AA.19"</f>
        <v>Y38C1AA.19</v>
      </c>
      <c r="F139" t="s">
        <v>11</v>
      </c>
      <c r="G139" t="s">
        <v>51</v>
      </c>
      <c r="H139" s="12">
        <v>-8.1518883195782195</v>
      </c>
      <c r="I139" s="11">
        <v>-1.1477146566374401</v>
      </c>
      <c r="J139" s="10">
        <v>0.25108637860447502</v>
      </c>
      <c r="K139" s="29">
        <v>0.98289565623980701</v>
      </c>
    </row>
    <row r="140" spans="1:11" x14ac:dyDescent="0.35">
      <c r="A140" s="9" t="str">
        <f>HYPERLINK("http://www.ensembl.org/id/WBGene00022446", "WBGene00022446")</f>
        <v>WBGene00022446</v>
      </c>
      <c r="B140" s="9" t="str">
        <f>HYPERLINK("http://www.ncbi.nlm.nih.gov/gene/190939", "190939")</f>
        <v>190939</v>
      </c>
      <c r="C140" s="9"/>
      <c r="D140" t="str">
        <f>"Y110A2AL.10"</f>
        <v>Y110A2AL.10</v>
      </c>
      <c r="F140" t="s">
        <v>11</v>
      </c>
      <c r="H140" s="12">
        <v>-8.1035585572405697</v>
      </c>
      <c r="I140" s="11">
        <v>-1.10130741974511</v>
      </c>
      <c r="J140" s="10">
        <v>0.27076288300635998</v>
      </c>
      <c r="K140" s="29">
        <v>0.98289565623980701</v>
      </c>
    </row>
    <row r="141" spans="1:11" x14ac:dyDescent="0.35">
      <c r="A141" s="9" t="str">
        <f>HYPERLINK("http://www.ensembl.org/id/WBGene00016253", "WBGene00016253")</f>
        <v>WBGene00016253</v>
      </c>
      <c r="B141" s="9" t="str">
        <f>HYPERLINK("http://www.ncbi.nlm.nih.gov/gene/183047", "183047")</f>
        <v>183047</v>
      </c>
      <c r="C141" s="9"/>
      <c r="D141" t="str">
        <f>"C30E1.4"</f>
        <v>C30E1.4</v>
      </c>
      <c r="F141" t="s">
        <v>11</v>
      </c>
      <c r="G141" t="s">
        <v>4328</v>
      </c>
      <c r="H141" s="12">
        <v>-8.0854409741300604</v>
      </c>
      <c r="I141" s="11">
        <v>-0.90837910576140302</v>
      </c>
      <c r="J141" s="10">
        <v>0.36367796101171102</v>
      </c>
      <c r="K141" s="29">
        <v>0.98289565623980701</v>
      </c>
    </row>
    <row r="142" spans="1:11" x14ac:dyDescent="0.35">
      <c r="A142" s="9" t="str">
        <f>HYPERLINK("http://www.ensembl.org/id/WBGene00009855", "WBGene00009855")</f>
        <v>WBGene00009855</v>
      </c>
      <c r="B142" s="9" t="str">
        <f>HYPERLINK("http://www.ncbi.nlm.nih.gov/gene/186003", "186003")</f>
        <v>186003</v>
      </c>
      <c r="C142" s="9"/>
      <c r="D142" t="str">
        <f>"clec-22"</f>
        <v>clec-22</v>
      </c>
      <c r="E142" t="s">
        <v>46</v>
      </c>
      <c r="F142" t="s">
        <v>11</v>
      </c>
      <c r="G142" t="s">
        <v>2771</v>
      </c>
      <c r="H142" s="12">
        <v>-8.0854409741300604</v>
      </c>
      <c r="I142" s="11">
        <v>-0.90837910576140302</v>
      </c>
      <c r="J142" s="10">
        <v>0.36367796101171102</v>
      </c>
      <c r="K142" s="29">
        <v>0.98289565623980701</v>
      </c>
    </row>
    <row r="143" spans="1:11" x14ac:dyDescent="0.35">
      <c r="A143" s="9" t="str">
        <f>HYPERLINK("http://www.ensembl.org/id/WBGene00197306", "WBGene00197306")</f>
        <v>WBGene00197306</v>
      </c>
      <c r="B143" s="9"/>
      <c r="C143" s="9"/>
      <c r="D143" t="str">
        <f>"Y39A3CL.10"</f>
        <v>Y39A3CL.10</v>
      </c>
      <c r="F143" t="s">
        <v>481</v>
      </c>
      <c r="H143" s="12">
        <v>-8.0686682288854605</v>
      </c>
      <c r="I143" s="11">
        <v>-0.86178685744189398</v>
      </c>
      <c r="J143" s="10">
        <v>0.38880481841644998</v>
      </c>
      <c r="K143" s="29">
        <v>0.98289565623980701</v>
      </c>
    </row>
    <row r="144" spans="1:11" x14ac:dyDescent="0.35">
      <c r="A144" s="9" t="str">
        <f>HYPERLINK("http://www.ensembl.org/id/WBGene00197604", "WBGene00197604")</f>
        <v>WBGene00197604</v>
      </c>
      <c r="B144" s="9"/>
      <c r="C144" s="9"/>
      <c r="D144" t="str">
        <f>"K01G5.12"</f>
        <v>K01G5.12</v>
      </c>
      <c r="F144" t="s">
        <v>481</v>
      </c>
      <c r="H144" s="12">
        <v>-8.0578224788903103</v>
      </c>
      <c r="I144" s="11">
        <v>-0.70944525450524398</v>
      </c>
      <c r="J144" s="10">
        <v>0.47804821301075801</v>
      </c>
      <c r="K144" s="29">
        <v>0.98289565623980701</v>
      </c>
    </row>
    <row r="145" spans="1:11" x14ac:dyDescent="0.35">
      <c r="A145" s="9" t="str">
        <f>HYPERLINK("http://www.ensembl.org/id/WBGene00284856", "WBGene00284856")</f>
        <v>WBGene00284856</v>
      </c>
      <c r="B145" s="9"/>
      <c r="C145" s="9"/>
      <c r="D145" t="str">
        <f>"C09G1.7"</f>
        <v>C09G1.7</v>
      </c>
      <c r="F145" t="s">
        <v>481</v>
      </c>
      <c r="H145" s="12">
        <v>-8.0416585928987701</v>
      </c>
      <c r="I145" s="11">
        <v>-1.2129234339831001</v>
      </c>
      <c r="J145" s="10">
        <v>0.22515909522049701</v>
      </c>
      <c r="K145" s="29">
        <v>0.98002814908420599</v>
      </c>
    </row>
    <row r="146" spans="1:11" x14ac:dyDescent="0.35">
      <c r="A146" s="9" t="str">
        <f>HYPERLINK("http://www.ensembl.org/id/WBGene00008596", "WBGene00008596")</f>
        <v>WBGene00008596</v>
      </c>
      <c r="B146" s="9" t="str">
        <f>HYPERLINK("http://www.ncbi.nlm.nih.gov/gene/184217", "184217")</f>
        <v>184217</v>
      </c>
      <c r="C146" s="9"/>
      <c r="D146" t="str">
        <f>"clec-54"</f>
        <v>clec-54</v>
      </c>
      <c r="E146" t="s">
        <v>46</v>
      </c>
      <c r="F146" t="s">
        <v>11</v>
      </c>
      <c r="G146" t="s">
        <v>47</v>
      </c>
      <c r="H146" s="12">
        <v>-8.0257613101826006</v>
      </c>
      <c r="I146" s="11">
        <v>-4.3778840959231102</v>
      </c>
      <c r="J146" s="10">
        <v>1.1983704663391299E-5</v>
      </c>
      <c r="K146" s="29">
        <v>1.1947769162010699E-3</v>
      </c>
    </row>
    <row r="147" spans="1:11" x14ac:dyDescent="0.35">
      <c r="A147" s="9" t="str">
        <f>HYPERLINK("http://www.ensembl.org/id/WBGene00171347", "WBGene00171347")</f>
        <v>WBGene00171347</v>
      </c>
      <c r="B147" s="9"/>
      <c r="C147" s="9"/>
      <c r="D147" t="str">
        <f>"21ur-12215"</f>
        <v>21ur-12215</v>
      </c>
      <c r="F147" t="s">
        <v>3161</v>
      </c>
      <c r="H147" s="12">
        <v>-8.0014360469151899</v>
      </c>
      <c r="I147" s="11">
        <v>-0.61746222315259702</v>
      </c>
      <c r="J147" s="10">
        <v>0.536929891129723</v>
      </c>
      <c r="K147" s="29">
        <v>0.98289565623980701</v>
      </c>
    </row>
    <row r="148" spans="1:11" x14ac:dyDescent="0.35">
      <c r="A148" s="9" t="str">
        <f>HYPERLINK("http://www.ensembl.org/id/WBGene00172714", "WBGene00172714")</f>
        <v>WBGene00172714</v>
      </c>
      <c r="B148" s="9"/>
      <c r="C148" s="9"/>
      <c r="D148" t="str">
        <f>"21ur-13201"</f>
        <v>21ur-13201</v>
      </c>
      <c r="F148" t="s">
        <v>3161</v>
      </c>
      <c r="H148" s="12">
        <v>-8.0014360469151899</v>
      </c>
      <c r="I148" s="11">
        <v>-0.61746222315259702</v>
      </c>
      <c r="J148" s="10">
        <v>0.536929891129723</v>
      </c>
      <c r="K148" s="29">
        <v>0.98289565623980701</v>
      </c>
    </row>
    <row r="149" spans="1:11" x14ac:dyDescent="0.35">
      <c r="A149" s="9" t="str">
        <f>HYPERLINK("http://www.ensembl.org/id/WBGene00219672", "WBGene00219672")</f>
        <v>WBGene00219672</v>
      </c>
      <c r="B149" s="9"/>
      <c r="C149" s="9"/>
      <c r="D149" t="str">
        <f>"anr-54"</f>
        <v>anr-54</v>
      </c>
      <c r="F149" t="s">
        <v>2735</v>
      </c>
      <c r="H149" s="12">
        <v>-8.0014360469151899</v>
      </c>
      <c r="I149" s="11">
        <v>-0.61746222315259702</v>
      </c>
      <c r="J149" s="10">
        <v>0.536929891129723</v>
      </c>
      <c r="K149" s="29">
        <v>0.98289565623980701</v>
      </c>
    </row>
    <row r="150" spans="1:11" x14ac:dyDescent="0.35">
      <c r="A150" s="9" t="str">
        <f>HYPERLINK("http://www.ensembl.org/id/WBGene00045154", "WBGene00045154")</f>
        <v>WBGene00045154</v>
      </c>
      <c r="B150" s="9"/>
      <c r="C150" s="9"/>
      <c r="D150" t="str">
        <f>"C10C6.8"</f>
        <v>C10C6.8</v>
      </c>
      <c r="F150" t="s">
        <v>2977</v>
      </c>
      <c r="H150" s="12">
        <v>-8.0014360469151899</v>
      </c>
      <c r="I150" s="11">
        <v>-0.61746222315259702</v>
      </c>
      <c r="J150" s="10">
        <v>0.536929891129723</v>
      </c>
      <c r="K150" s="29">
        <v>0.98289565623980701</v>
      </c>
    </row>
    <row r="151" spans="1:11" x14ac:dyDescent="0.35">
      <c r="A151" s="9" t="str">
        <f>HYPERLINK("http://www.ensembl.org/id/WBGene00017391", "WBGene00017391")</f>
        <v>WBGene00017391</v>
      </c>
      <c r="B151" s="9"/>
      <c r="C151" s="9"/>
      <c r="D151" t="str">
        <f>"F12A10.2"</f>
        <v>F12A10.2</v>
      </c>
      <c r="F151" t="s">
        <v>80</v>
      </c>
      <c r="H151" s="12">
        <v>-8.0014360469151899</v>
      </c>
      <c r="I151" s="11">
        <v>-0.61746222315259702</v>
      </c>
      <c r="J151" s="10">
        <v>0.536929891129723</v>
      </c>
      <c r="K151" s="29">
        <v>0.98289565623980701</v>
      </c>
    </row>
    <row r="152" spans="1:11" x14ac:dyDescent="0.35">
      <c r="A152" s="9" t="str">
        <f>HYPERLINK("http://www.ensembl.org/id/WBGene00077785", "WBGene00077785")</f>
        <v>WBGene00077785</v>
      </c>
      <c r="B152" s="9"/>
      <c r="C152" s="9"/>
      <c r="D152" t="str">
        <f>"F35E2.11"</f>
        <v>F35E2.11</v>
      </c>
      <c r="F152" t="s">
        <v>80</v>
      </c>
      <c r="H152" s="12">
        <v>-8.0014360469151899</v>
      </c>
      <c r="I152" s="11">
        <v>-0.61746222315259702</v>
      </c>
      <c r="J152" s="10">
        <v>0.536929891129723</v>
      </c>
      <c r="K152" s="29">
        <v>0.98289565623980701</v>
      </c>
    </row>
    <row r="153" spans="1:11" x14ac:dyDescent="0.35">
      <c r="A153" s="9" t="str">
        <f>HYPERLINK("http://www.ensembl.org/id/WBGene00197194", "WBGene00197194")</f>
        <v>WBGene00197194</v>
      </c>
      <c r="B153" s="9"/>
      <c r="C153" s="9"/>
      <c r="D153" t="str">
        <f>"F41E7.11"</f>
        <v>F41E7.11</v>
      </c>
      <c r="F153" t="s">
        <v>481</v>
      </c>
      <c r="H153" s="12">
        <v>-8.0014360469151899</v>
      </c>
      <c r="I153" s="11">
        <v>-0.61746222315259702</v>
      </c>
      <c r="J153" s="10">
        <v>0.536929891129723</v>
      </c>
      <c r="K153" s="29">
        <v>0.98289565623980701</v>
      </c>
    </row>
    <row r="154" spans="1:11" x14ac:dyDescent="0.35">
      <c r="A154" s="9" t="str">
        <f>HYPERLINK("http://www.ensembl.org/id/WBGene00023302", "WBGene00023302")</f>
        <v>WBGene00023302</v>
      </c>
      <c r="B154" s="9"/>
      <c r="C154" s="9"/>
      <c r="D154" t="str">
        <f>"F58E2.6"</f>
        <v>F58E2.6</v>
      </c>
      <c r="F154" t="s">
        <v>80</v>
      </c>
      <c r="H154" s="12">
        <v>-8.0014360469151899</v>
      </c>
      <c r="I154" s="11">
        <v>-0.61746222315259702</v>
      </c>
      <c r="J154" s="10">
        <v>0.536929891129723</v>
      </c>
      <c r="K154" s="29">
        <v>0.98289565623980701</v>
      </c>
    </row>
    <row r="155" spans="1:11" x14ac:dyDescent="0.35">
      <c r="A155" s="9" t="str">
        <f>HYPERLINK("http://www.ensembl.org/id/WBGene00019123", "WBGene00019123")</f>
        <v>WBGene00019123</v>
      </c>
      <c r="B155" s="9" t="str">
        <f>HYPERLINK("http://www.ncbi.nlm.nih.gov/gene/186629", "186629")</f>
        <v>186629</v>
      </c>
      <c r="C155" s="9"/>
      <c r="D155" t="str">
        <f>"F59E12.8"</f>
        <v>F59E12.8</v>
      </c>
      <c r="F155" t="s">
        <v>11</v>
      </c>
      <c r="G155" t="s">
        <v>25</v>
      </c>
      <c r="H155" s="12">
        <v>-8.0014360469151899</v>
      </c>
      <c r="I155" s="11">
        <v>-0.61746222315259702</v>
      </c>
      <c r="J155" s="10">
        <v>0.536929891129723</v>
      </c>
      <c r="K155" s="29">
        <v>0.98289565623980701</v>
      </c>
    </row>
    <row r="156" spans="1:11" x14ac:dyDescent="0.35">
      <c r="A156" s="9" t="str">
        <f>HYPERLINK("http://www.ensembl.org/id/WBGene00199631", "WBGene00199631")</f>
        <v>WBGene00199631</v>
      </c>
      <c r="B156" s="9"/>
      <c r="C156" s="9"/>
      <c r="D156" t="str">
        <f>"F59G1.13"</f>
        <v>F59G1.13</v>
      </c>
      <c r="F156" t="s">
        <v>481</v>
      </c>
      <c r="H156" s="12">
        <v>-8.0014360469151899</v>
      </c>
      <c r="I156" s="11">
        <v>-0.61746222315259702</v>
      </c>
      <c r="J156" s="10">
        <v>0.536929891129723</v>
      </c>
      <c r="K156" s="29">
        <v>0.98289565623980701</v>
      </c>
    </row>
    <row r="157" spans="1:11" x14ac:dyDescent="0.35">
      <c r="A157" s="9" t="str">
        <f>HYPERLINK("http://www.ensembl.org/id/WBGene00019155", "WBGene00019155")</f>
        <v>WBGene00019155</v>
      </c>
      <c r="B157" s="9" t="str">
        <f>HYPERLINK("http://www.ncbi.nlm.nih.gov/gene/186689", "186689")</f>
        <v>186689</v>
      </c>
      <c r="C157" s="9"/>
      <c r="D157" t="str">
        <f>"H04M03.11"</f>
        <v>H04M03.11</v>
      </c>
      <c r="F157" t="s">
        <v>11</v>
      </c>
      <c r="G157" t="s">
        <v>25</v>
      </c>
      <c r="H157" s="12">
        <v>-8.0014360469151899</v>
      </c>
      <c r="I157" s="11">
        <v>-0.61746222315259702</v>
      </c>
      <c r="J157" s="10">
        <v>0.536929891129723</v>
      </c>
      <c r="K157" s="29">
        <v>0.98289565623980701</v>
      </c>
    </row>
    <row r="158" spans="1:11" x14ac:dyDescent="0.35">
      <c r="A158" s="9" t="str">
        <f>HYPERLINK("http://www.ensembl.org/id/WBGene00200537", "WBGene00200537")</f>
        <v>WBGene00200537</v>
      </c>
      <c r="B158" s="9"/>
      <c r="C158" s="9"/>
      <c r="D158" t="str">
        <f>"R11B5.10"</f>
        <v>R11B5.10</v>
      </c>
      <c r="F158" t="s">
        <v>481</v>
      </c>
      <c r="H158" s="12">
        <v>-8.0014360469151899</v>
      </c>
      <c r="I158" s="11">
        <v>-0.61746222315259702</v>
      </c>
      <c r="J158" s="10">
        <v>0.536929891129723</v>
      </c>
      <c r="K158" s="29">
        <v>0.98289565623980701</v>
      </c>
    </row>
    <row r="159" spans="1:11" x14ac:dyDescent="0.35">
      <c r="A159" s="9" t="str">
        <f>HYPERLINK("http://www.ensembl.org/id/WBGene00012026", "WBGene00012026")</f>
        <v>WBGene00012026</v>
      </c>
      <c r="B159" s="9" t="str">
        <f>HYPERLINK("http://www.ncbi.nlm.nih.gov/gene/188901", "188901")</f>
        <v>188901</v>
      </c>
      <c r="C159" s="9"/>
      <c r="D159" t="str">
        <f>"srz-100"</f>
        <v>srz-100</v>
      </c>
      <c r="E159" t="s">
        <v>4211</v>
      </c>
      <c r="F159" t="s">
        <v>11</v>
      </c>
      <c r="G159" t="s">
        <v>25</v>
      </c>
      <c r="H159" s="12">
        <v>-8.0014360469151899</v>
      </c>
      <c r="I159" s="11">
        <v>-0.61746222315259702</v>
      </c>
      <c r="J159" s="10">
        <v>0.536929891129723</v>
      </c>
      <c r="K159" s="29">
        <v>0.98289565623980701</v>
      </c>
    </row>
    <row r="160" spans="1:11" x14ac:dyDescent="0.35">
      <c r="A160" s="9" t="str">
        <f>HYPERLINK("http://www.ensembl.org/id/WBGene00012108", "WBGene00012108")</f>
        <v>WBGene00012108</v>
      </c>
      <c r="B160" s="9" t="str">
        <f>HYPERLINK("http://www.ncbi.nlm.nih.gov/gene/189007", "189007")</f>
        <v>189007</v>
      </c>
      <c r="C160" s="9"/>
      <c r="D160" t="str">
        <f>"T28A8.2"</f>
        <v>T28A8.2</v>
      </c>
      <c r="F160" t="s">
        <v>11</v>
      </c>
      <c r="G160" t="s">
        <v>4254</v>
      </c>
      <c r="H160" s="12">
        <v>-8.0014360469151899</v>
      </c>
      <c r="I160" s="11">
        <v>-0.61746222315259702</v>
      </c>
      <c r="J160" s="10">
        <v>0.536929891129723</v>
      </c>
      <c r="K160" s="29">
        <v>0.98289565623980701</v>
      </c>
    </row>
    <row r="161" spans="1:11" x14ac:dyDescent="0.35">
      <c r="A161" s="9" t="str">
        <f>HYPERLINK("http://www.ensembl.org/id/WBGene00220222", "WBGene00220222")</f>
        <v>WBGene00220222</v>
      </c>
      <c r="B161" s="9"/>
      <c r="C161" s="9"/>
      <c r="D161" t="str">
        <f>"Y105C5A.1283"</f>
        <v>Y105C5A.1283</v>
      </c>
      <c r="F161" t="s">
        <v>2977</v>
      </c>
      <c r="H161" s="12">
        <v>-8.0014360469151899</v>
      </c>
      <c r="I161" s="11">
        <v>-0.61746222315259702</v>
      </c>
      <c r="J161" s="10">
        <v>0.536929891129723</v>
      </c>
      <c r="K161" s="29">
        <v>0.98289565623980701</v>
      </c>
    </row>
    <row r="162" spans="1:11" x14ac:dyDescent="0.35">
      <c r="A162" s="9" t="str">
        <f>HYPERLINK("http://www.ensembl.org/id/WBGene00021806", "WBGene00021806")</f>
        <v>WBGene00021806</v>
      </c>
      <c r="B162" s="9" t="str">
        <f>HYPERLINK("http://www.ncbi.nlm.nih.gov/gene/190238", "190238")</f>
        <v>190238</v>
      </c>
      <c r="C162" s="9"/>
      <c r="D162" t="str">
        <f>"Y53G8AM.6"</f>
        <v>Y53G8AM.6</v>
      </c>
      <c r="F162" t="s">
        <v>11</v>
      </c>
      <c r="H162" s="12">
        <v>-8.0014360469151899</v>
      </c>
      <c r="I162" s="11">
        <v>-0.61746222315259702</v>
      </c>
      <c r="J162" s="10">
        <v>0.536929891129723</v>
      </c>
      <c r="K162" s="29">
        <v>0.98289565623980701</v>
      </c>
    </row>
    <row r="163" spans="1:11" x14ac:dyDescent="0.35">
      <c r="A163" s="9" t="str">
        <f>HYPERLINK("http://www.ensembl.org/id/WBGene00022587", "WBGene00022587")</f>
        <v>WBGene00022587</v>
      </c>
      <c r="B163" s="9"/>
      <c r="C163" s="9"/>
      <c r="D163" t="str">
        <f>"ZC317.1"</f>
        <v>ZC317.1</v>
      </c>
      <c r="F163" t="s">
        <v>80</v>
      </c>
      <c r="H163" s="12">
        <v>-8.0014360469151899</v>
      </c>
      <c r="I163" s="11">
        <v>-0.61746222315259702</v>
      </c>
      <c r="J163" s="10">
        <v>0.536929891129723</v>
      </c>
      <c r="K163" s="29">
        <v>0.98289565623980701</v>
      </c>
    </row>
    <row r="164" spans="1:11" x14ac:dyDescent="0.35">
      <c r="A164" s="9" t="str">
        <f>HYPERLINK("http://www.ensembl.org/id/WBGene00021151", "WBGene00021151")</f>
        <v>WBGene00021151</v>
      </c>
      <c r="B164" s="9"/>
      <c r="C164" s="9"/>
      <c r="D164" t="str">
        <f>"Y4C6A.1"</f>
        <v>Y4C6A.1</v>
      </c>
      <c r="F164" t="s">
        <v>80</v>
      </c>
      <c r="H164" s="12">
        <v>-7.9923615199576998</v>
      </c>
      <c r="I164" s="11">
        <v>-0.90366442390289703</v>
      </c>
      <c r="J164" s="10">
        <v>0.36617336890905899</v>
      </c>
      <c r="K164" s="29">
        <v>0.98289565623980701</v>
      </c>
    </row>
    <row r="165" spans="1:11" x14ac:dyDescent="0.35">
      <c r="A165" s="9" t="str">
        <f>HYPERLINK("http://www.ensembl.org/id/WBGene00219618", "WBGene00219618")</f>
        <v>WBGene00219618</v>
      </c>
      <c r="B165" s="9"/>
      <c r="C165" s="9"/>
      <c r="D165" t="str">
        <f>"linc-60"</f>
        <v>linc-60</v>
      </c>
      <c r="F165" t="s">
        <v>1510</v>
      </c>
      <c r="H165" s="12">
        <v>-7.9500140730388296</v>
      </c>
      <c r="I165" s="11">
        <v>-0.99281111327486704</v>
      </c>
      <c r="J165" s="10">
        <v>0.32080201308317002</v>
      </c>
      <c r="K165" s="29">
        <v>0.98289565623980701</v>
      </c>
    </row>
    <row r="166" spans="1:11" x14ac:dyDescent="0.35">
      <c r="A166" s="9" t="str">
        <f>HYPERLINK("http://www.ensembl.org/id/WBGene00196322", "WBGene00196322")</f>
        <v>WBGene00196322</v>
      </c>
      <c r="B166" s="9"/>
      <c r="C166" s="9"/>
      <c r="D166" t="str">
        <f>"R05F9.14"</f>
        <v>R05F9.14</v>
      </c>
      <c r="F166" t="s">
        <v>481</v>
      </c>
      <c r="H166" s="12">
        <v>-7.9500140730388296</v>
      </c>
      <c r="I166" s="11">
        <v>-0.99281111327486704</v>
      </c>
      <c r="J166" s="10">
        <v>0.32080201308317002</v>
      </c>
      <c r="K166" s="29">
        <v>0.98289565623980701</v>
      </c>
    </row>
    <row r="167" spans="1:11" x14ac:dyDescent="0.35">
      <c r="A167" s="9" t="str">
        <f>HYPERLINK("http://www.ensembl.org/id/WBGene00016736", "WBGene00016736")</f>
        <v>WBGene00016736</v>
      </c>
      <c r="B167" s="9" t="str">
        <f>HYPERLINK("http://www.ncbi.nlm.nih.gov/gene/183538", "183538")</f>
        <v>183538</v>
      </c>
      <c r="C167" s="9"/>
      <c r="D167" t="str">
        <f>"C47C12.2"</f>
        <v>C47C12.2</v>
      </c>
      <c r="F167" t="s">
        <v>11</v>
      </c>
      <c r="H167" s="12">
        <v>-7.8743420930190302</v>
      </c>
      <c r="I167" s="11">
        <v>-1.0020124847477401</v>
      </c>
      <c r="J167" s="10">
        <v>0.31633756308165101</v>
      </c>
      <c r="K167" s="29">
        <v>0.98289565623980701</v>
      </c>
    </row>
    <row r="168" spans="1:11" x14ac:dyDescent="0.35">
      <c r="A168" s="9" t="str">
        <f>HYPERLINK("http://www.ensembl.org/id/WBGene00009860", "WBGene00009860")</f>
        <v>WBGene00009860</v>
      </c>
      <c r="B168" s="9" t="str">
        <f>HYPERLINK("http://www.ncbi.nlm.nih.gov/gene/3565962", "3565962")</f>
        <v>3565962</v>
      </c>
      <c r="C168" s="9"/>
      <c r="D168" t="str">
        <f>"clec-32"</f>
        <v>clec-32</v>
      </c>
      <c r="E168" t="s">
        <v>46</v>
      </c>
      <c r="F168" t="s">
        <v>11</v>
      </c>
      <c r="G168" t="s">
        <v>2771</v>
      </c>
      <c r="H168" s="12">
        <v>-7.8569362360422499</v>
      </c>
      <c r="I168" s="11">
        <v>-1.36939209002147</v>
      </c>
      <c r="J168" s="10">
        <v>0.17087674548448201</v>
      </c>
      <c r="K168" s="29">
        <v>0.89585721293351495</v>
      </c>
    </row>
    <row r="169" spans="1:11" x14ac:dyDescent="0.35">
      <c r="A169" s="9" t="str">
        <f>HYPERLINK("http://www.ensembl.org/id/WBGene00011853", "WBGene00011853")</f>
        <v>WBGene00011853</v>
      </c>
      <c r="B169" s="9" t="str">
        <f>HYPERLINK("http://www.ncbi.nlm.nih.gov/gene/188627", "188627")</f>
        <v>188627</v>
      </c>
      <c r="C169" s="9"/>
      <c r="D169" t="str">
        <f>"clec-40"</f>
        <v>clec-40</v>
      </c>
      <c r="E169" t="s">
        <v>46</v>
      </c>
      <c r="F169" t="s">
        <v>11</v>
      </c>
      <c r="G169" t="s">
        <v>2771</v>
      </c>
      <c r="H169" s="12">
        <v>-7.85004945636007</v>
      </c>
      <c r="I169" s="11">
        <v>-1.0856375281620201</v>
      </c>
      <c r="J169" s="10">
        <v>0.27763938960553802</v>
      </c>
      <c r="K169" s="29">
        <v>0.98289565623980701</v>
      </c>
    </row>
    <row r="170" spans="1:11" x14ac:dyDescent="0.35">
      <c r="A170" s="9" t="str">
        <f>HYPERLINK("http://www.ensembl.org/id/WBGene00198182", "WBGene00198182")</f>
        <v>WBGene00198182</v>
      </c>
      <c r="B170" s="9"/>
      <c r="C170" s="9"/>
      <c r="D170" t="str">
        <f>"F56F3.11"</f>
        <v>F56F3.11</v>
      </c>
      <c r="F170" t="s">
        <v>481</v>
      </c>
      <c r="H170" s="12">
        <v>-7.8499941906564796</v>
      </c>
      <c r="I170" s="11">
        <v>-0.83853604946327898</v>
      </c>
      <c r="J170" s="10">
        <v>0.40172971006716801</v>
      </c>
      <c r="K170" s="29">
        <v>0.98289565623980701</v>
      </c>
    </row>
    <row r="171" spans="1:11" x14ac:dyDescent="0.35">
      <c r="A171" s="9" t="str">
        <f>HYPERLINK("http://www.ensembl.org/id/WBGene00017707", "WBGene00017707")</f>
        <v>WBGene00017707</v>
      </c>
      <c r="B171" s="9" t="str">
        <f>HYPERLINK("http://www.ncbi.nlm.nih.gov/gene/173610", "173610")</f>
        <v>173610</v>
      </c>
      <c r="C171" s="9"/>
      <c r="D171" t="str">
        <f>"F22E5.8"</f>
        <v>F22E5.8</v>
      </c>
      <c r="F171" t="s">
        <v>11</v>
      </c>
      <c r="G171" t="s">
        <v>817</v>
      </c>
      <c r="H171" s="12">
        <v>-7.7963110476608897</v>
      </c>
      <c r="I171" s="11">
        <v>-1.11434516091491</v>
      </c>
      <c r="J171" s="10">
        <v>0.265131139753641</v>
      </c>
      <c r="K171" s="29">
        <v>0.98289565623980701</v>
      </c>
    </row>
    <row r="172" spans="1:11" x14ac:dyDescent="0.35">
      <c r="A172" s="9" t="str">
        <f>HYPERLINK("http://www.ensembl.org/id/WBGene00049893", "WBGene00049893")</f>
        <v>WBGene00049893</v>
      </c>
      <c r="B172" s="9"/>
      <c r="C172" s="9"/>
      <c r="D172" t="str">
        <f>"21ur-3259"</f>
        <v>21ur-3259</v>
      </c>
      <c r="F172" t="s">
        <v>3161</v>
      </c>
      <c r="H172" s="12">
        <v>-7.7904337984490803</v>
      </c>
      <c r="I172" s="11">
        <v>-0.60901310058451197</v>
      </c>
      <c r="J172" s="10">
        <v>0.54251575542982</v>
      </c>
      <c r="K172" s="29">
        <v>0.98289565623980701</v>
      </c>
    </row>
    <row r="173" spans="1:11" x14ac:dyDescent="0.35">
      <c r="A173" s="9" t="str">
        <f>HYPERLINK("http://www.ensembl.org/id/WBGene00049159", "WBGene00049159")</f>
        <v>WBGene00049159</v>
      </c>
      <c r="B173" s="9"/>
      <c r="C173" s="9"/>
      <c r="D173" t="str">
        <f>"21ur-3496"</f>
        <v>21ur-3496</v>
      </c>
      <c r="F173" t="s">
        <v>3161</v>
      </c>
      <c r="H173" s="12">
        <v>-7.7904337984490803</v>
      </c>
      <c r="I173" s="11">
        <v>-0.60901310058451197</v>
      </c>
      <c r="J173" s="10">
        <v>0.54251575542982</v>
      </c>
      <c r="K173" s="29">
        <v>0.98289565623980701</v>
      </c>
    </row>
    <row r="174" spans="1:11" x14ac:dyDescent="0.35">
      <c r="A174" s="9" t="str">
        <f>HYPERLINK("http://www.ensembl.org/id/WBGene00009853", "WBGene00009853")</f>
        <v>WBGene00009853</v>
      </c>
      <c r="B174" s="9" t="str">
        <f>HYPERLINK("http://www.ncbi.nlm.nih.gov/gene/3564886", "3564886")</f>
        <v>3564886</v>
      </c>
      <c r="C174" s="9"/>
      <c r="D174" t="str">
        <f>"arrd-27"</f>
        <v>arrd-27</v>
      </c>
      <c r="E174" t="s">
        <v>377</v>
      </c>
      <c r="F174" t="s">
        <v>11</v>
      </c>
      <c r="H174" s="12">
        <v>-7.7904337984490803</v>
      </c>
      <c r="I174" s="11">
        <v>-0.60901310058451197</v>
      </c>
      <c r="J174" s="10">
        <v>0.54251575542982</v>
      </c>
      <c r="K174" s="29">
        <v>0.98289565623980701</v>
      </c>
    </row>
    <row r="175" spans="1:11" x14ac:dyDescent="0.35">
      <c r="A175" s="9" t="str">
        <f>HYPERLINK("http://www.ensembl.org/id/WBGene00195517", "WBGene00195517")</f>
        <v>WBGene00195517</v>
      </c>
      <c r="B175" s="9"/>
      <c r="C175" s="9"/>
      <c r="D175" t="str">
        <f>"C05E11.10"</f>
        <v>C05E11.10</v>
      </c>
      <c r="F175" t="s">
        <v>481</v>
      </c>
      <c r="H175" s="12">
        <v>-7.7904337984490803</v>
      </c>
      <c r="I175" s="11">
        <v>-0.60901310058451197</v>
      </c>
      <c r="J175" s="10">
        <v>0.54251575542982</v>
      </c>
      <c r="K175" s="29">
        <v>0.98289565623980701</v>
      </c>
    </row>
    <row r="176" spans="1:11" x14ac:dyDescent="0.35">
      <c r="A176" s="9" t="str">
        <f>HYPERLINK("http://www.ensembl.org/id/WBGene00195072", "WBGene00195072")</f>
        <v>WBGene00195072</v>
      </c>
      <c r="B176" s="9" t="str">
        <f>HYPERLINK("http://www.ncbi.nlm.nih.gov/gene/13184341", "13184341")</f>
        <v>13184341</v>
      </c>
      <c r="C176" s="9"/>
      <c r="D176" t="str">
        <f>"C16C8.22"</f>
        <v>C16C8.22</v>
      </c>
      <c r="F176" t="s">
        <v>11</v>
      </c>
      <c r="H176" s="12">
        <v>-7.7904337984490803</v>
      </c>
      <c r="I176" s="11">
        <v>-0.60901310058451197</v>
      </c>
      <c r="J176" s="10">
        <v>0.54251575542982</v>
      </c>
      <c r="K176" s="29">
        <v>0.98289565623980701</v>
      </c>
    </row>
    <row r="177" spans="1:11" x14ac:dyDescent="0.35">
      <c r="A177" s="9" t="str">
        <f>HYPERLINK("http://www.ensembl.org/id/WBGene00009549", "WBGene00009549")</f>
        <v>WBGene00009549</v>
      </c>
      <c r="B177" s="9" t="str">
        <f>HYPERLINK("http://www.ncbi.nlm.nih.gov/gene/185480", "185480")</f>
        <v>185480</v>
      </c>
      <c r="C177" s="9"/>
      <c r="D177" t="str">
        <f>"F38H4.5"</f>
        <v>F38H4.5</v>
      </c>
      <c r="F177" t="s">
        <v>11</v>
      </c>
      <c r="H177" s="12">
        <v>-7.7904337984490803</v>
      </c>
      <c r="I177" s="11">
        <v>-0.60901310058451197</v>
      </c>
      <c r="J177" s="10">
        <v>0.54251575542982</v>
      </c>
      <c r="K177" s="29">
        <v>0.98289565623980701</v>
      </c>
    </row>
    <row r="178" spans="1:11" x14ac:dyDescent="0.35">
      <c r="A178" s="9" t="str">
        <f>HYPERLINK("http://www.ensembl.org/id/WBGene00023074", "WBGene00023074")</f>
        <v>WBGene00023074</v>
      </c>
      <c r="B178" s="9"/>
      <c r="C178" s="9"/>
      <c r="D178" t="str">
        <f>"F56F10.t1"</f>
        <v>F56F10.t1</v>
      </c>
      <c r="F178" t="s">
        <v>4208</v>
      </c>
      <c r="H178" s="12">
        <v>-7.7904337984490803</v>
      </c>
      <c r="I178" s="11">
        <v>-0.60901310058451197</v>
      </c>
      <c r="J178" s="10">
        <v>0.54251575542982</v>
      </c>
      <c r="K178" s="29">
        <v>0.98289565623980701</v>
      </c>
    </row>
    <row r="179" spans="1:11" x14ac:dyDescent="0.35">
      <c r="A179" s="9" t="str">
        <f>HYPERLINK("http://www.ensembl.org/id/WBGene00013620", "WBGene00013620")</f>
        <v>WBGene00013620</v>
      </c>
      <c r="B179" s="9" t="str">
        <f>HYPERLINK("http://www.ncbi.nlm.nih.gov/gene/190838", "190838")</f>
        <v>190838</v>
      </c>
      <c r="C179" s="9"/>
      <c r="D179" t="str">
        <f>"fbxa-111"</f>
        <v>fbxa-111</v>
      </c>
      <c r="E179" t="s">
        <v>467</v>
      </c>
      <c r="F179" t="s">
        <v>11</v>
      </c>
      <c r="G179" t="s">
        <v>54</v>
      </c>
      <c r="H179" s="12">
        <v>-7.7904337984490803</v>
      </c>
      <c r="I179" s="11">
        <v>-0.60901310058451197</v>
      </c>
      <c r="J179" s="10">
        <v>0.54251575542982</v>
      </c>
      <c r="K179" s="29">
        <v>0.98289565623980701</v>
      </c>
    </row>
    <row r="180" spans="1:11" x14ac:dyDescent="0.35">
      <c r="A180" s="9" t="str">
        <f>HYPERLINK("http://www.ensembl.org/id/WBGene00198016", "WBGene00198016")</f>
        <v>WBGene00198016</v>
      </c>
      <c r="B180" s="9"/>
      <c r="C180" s="9"/>
      <c r="D180" t="str">
        <f>"H21P03.7"</f>
        <v>H21P03.7</v>
      </c>
      <c r="F180" t="s">
        <v>481</v>
      </c>
      <c r="H180" s="12">
        <v>-7.7904337984490803</v>
      </c>
      <c r="I180" s="11">
        <v>-0.60901310058451197</v>
      </c>
      <c r="J180" s="10">
        <v>0.54251575542982</v>
      </c>
      <c r="K180" s="29">
        <v>0.98289565623980701</v>
      </c>
    </row>
    <row r="181" spans="1:11" x14ac:dyDescent="0.35">
      <c r="A181" s="9" t="str">
        <f>HYPERLINK("http://www.ensembl.org/id/WBGene00196405", "WBGene00196405")</f>
        <v>WBGene00196405</v>
      </c>
      <c r="B181" s="9"/>
      <c r="C181" s="9"/>
      <c r="D181" t="str">
        <f>"K08E5.9"</f>
        <v>K08E5.9</v>
      </c>
      <c r="F181" t="s">
        <v>481</v>
      </c>
      <c r="H181" s="12">
        <v>-7.7904337984490803</v>
      </c>
      <c r="I181" s="11">
        <v>-0.60901310058451197</v>
      </c>
      <c r="J181" s="10">
        <v>0.54251575542982</v>
      </c>
      <c r="K181" s="29">
        <v>0.98289565623980701</v>
      </c>
    </row>
    <row r="182" spans="1:11" x14ac:dyDescent="0.35">
      <c r="A182" s="9" t="str">
        <f>HYPERLINK("http://www.ensembl.org/id/WBGene00220028", "WBGene00220028")</f>
        <v>WBGene00220028</v>
      </c>
      <c r="B182" s="9"/>
      <c r="C182" s="9"/>
      <c r="D182" t="str">
        <f>"M03A8.6"</f>
        <v>M03A8.6</v>
      </c>
      <c r="F182" t="s">
        <v>481</v>
      </c>
      <c r="H182" s="12">
        <v>-7.7904337984490803</v>
      </c>
      <c r="I182" s="11">
        <v>-0.60901310058451197</v>
      </c>
      <c r="J182" s="10">
        <v>0.54251575542982</v>
      </c>
      <c r="K182" s="29">
        <v>0.98289565623980701</v>
      </c>
    </row>
    <row r="183" spans="1:11" x14ac:dyDescent="0.35">
      <c r="A183" s="9" t="str">
        <f>HYPERLINK("http://www.ensembl.org/id/WBGene00023511", "WBGene00023511")</f>
        <v>WBGene00023511</v>
      </c>
      <c r="B183" s="9"/>
      <c r="C183" s="9"/>
      <c r="D183" t="str">
        <f>"srz-41"</f>
        <v>srz-41</v>
      </c>
      <c r="F183" t="s">
        <v>80</v>
      </c>
      <c r="H183" s="12">
        <v>-7.7904337984490803</v>
      </c>
      <c r="I183" s="11">
        <v>-0.60901310058451197</v>
      </c>
      <c r="J183" s="10">
        <v>0.54251575542982</v>
      </c>
      <c r="K183" s="29">
        <v>0.98289565623980701</v>
      </c>
    </row>
    <row r="184" spans="1:11" x14ac:dyDescent="0.35">
      <c r="A184" s="9" t="str">
        <f>HYPERLINK("http://www.ensembl.org/id/WBGene00195844", "WBGene00195844")</f>
        <v>WBGene00195844</v>
      </c>
      <c r="B184" s="9"/>
      <c r="C184" s="9"/>
      <c r="D184" t="str">
        <f>"T04F3.6"</f>
        <v>T04F3.6</v>
      </c>
      <c r="F184" t="s">
        <v>481</v>
      </c>
      <c r="H184" s="12">
        <v>-7.7904337984490803</v>
      </c>
      <c r="I184" s="11">
        <v>-0.60901310058451197</v>
      </c>
      <c r="J184" s="10">
        <v>0.54251575542982</v>
      </c>
      <c r="K184" s="29">
        <v>0.98289565623980701</v>
      </c>
    </row>
    <row r="185" spans="1:11" x14ac:dyDescent="0.35">
      <c r="A185" s="9" t="str">
        <f>HYPERLINK("http://www.ensembl.org/id/WBGene00020240", "WBGene00020240")</f>
        <v>WBGene00020240</v>
      </c>
      <c r="B185" s="9" t="str">
        <f>HYPERLINK("http://www.ncbi.nlm.nih.gov/gene/188105", "188105")</f>
        <v>188105</v>
      </c>
      <c r="C185" s="9"/>
      <c r="D185" t="str">
        <f>"T05B4.9"</f>
        <v>T05B4.9</v>
      </c>
      <c r="F185" t="s">
        <v>11</v>
      </c>
      <c r="H185" s="12">
        <v>-7.7904337984490803</v>
      </c>
      <c r="I185" s="11">
        <v>-0.60901310058451197</v>
      </c>
      <c r="J185" s="10">
        <v>0.54251575542982</v>
      </c>
      <c r="K185" s="29">
        <v>0.98289565623980701</v>
      </c>
    </row>
    <row r="186" spans="1:11" x14ac:dyDescent="0.35">
      <c r="A186" s="9" t="str">
        <f>HYPERLINK("http://www.ensembl.org/id/WBGene00012077", "WBGene00012077")</f>
        <v>WBGene00012077</v>
      </c>
      <c r="B186" s="9" t="str">
        <f>HYPERLINK("http://www.ncbi.nlm.nih.gov/gene/188970", "188970")</f>
        <v>188970</v>
      </c>
      <c r="C186" s="9"/>
      <c r="D186" t="str">
        <f>"T27A8.5"</f>
        <v>T27A8.5</v>
      </c>
      <c r="F186" t="s">
        <v>11</v>
      </c>
      <c r="H186" s="12">
        <v>-7.7904337984490803</v>
      </c>
      <c r="I186" s="11">
        <v>-0.60901310058451197</v>
      </c>
      <c r="J186" s="10">
        <v>0.54251575542982</v>
      </c>
      <c r="K186" s="29">
        <v>0.98289565623980701</v>
      </c>
    </row>
    <row r="187" spans="1:11" x14ac:dyDescent="0.35">
      <c r="A187" s="9" t="str">
        <f>HYPERLINK("http://www.ensembl.org/id/WBGene00077561", "WBGene00077561")</f>
        <v>WBGene00077561</v>
      </c>
      <c r="B187" s="9"/>
      <c r="C187" s="9"/>
      <c r="D187" t="str">
        <f>"W05H12.3"</f>
        <v>W05H12.3</v>
      </c>
      <c r="F187" t="s">
        <v>80</v>
      </c>
      <c r="H187" s="12">
        <v>-7.7904337984490803</v>
      </c>
      <c r="I187" s="11">
        <v>-0.60901310058451197</v>
      </c>
      <c r="J187" s="10">
        <v>0.54251575542982</v>
      </c>
      <c r="K187" s="29">
        <v>0.98289565623980701</v>
      </c>
    </row>
    <row r="188" spans="1:11" x14ac:dyDescent="0.35">
      <c r="A188" s="9" t="str">
        <f>HYPERLINK("http://www.ensembl.org/id/WBGene00013316", "WBGene00013316")</f>
        <v>WBGene00013316</v>
      </c>
      <c r="B188" s="9"/>
      <c r="C188" s="9"/>
      <c r="D188" t="str">
        <f>"Y57G11C.21"</f>
        <v>Y57G11C.21</v>
      </c>
      <c r="F188" t="s">
        <v>80</v>
      </c>
      <c r="H188" s="12">
        <v>-7.7904337984490803</v>
      </c>
      <c r="I188" s="11">
        <v>-0.60901310058451197</v>
      </c>
      <c r="J188" s="10">
        <v>0.54251575542982</v>
      </c>
      <c r="K188" s="29">
        <v>0.98289565623980701</v>
      </c>
    </row>
    <row r="189" spans="1:11" x14ac:dyDescent="0.35">
      <c r="A189" s="9" t="str">
        <f>HYPERLINK("http://www.ensembl.org/id/WBGene00021768", "WBGene00021768")</f>
        <v>WBGene00021768</v>
      </c>
      <c r="B189" s="9" t="str">
        <f>HYPERLINK("http://www.ncbi.nlm.nih.gov/gene/171761", "171761")</f>
        <v>171761</v>
      </c>
      <c r="C189" s="9"/>
      <c r="D189" t="str">
        <f>"Y51F10.7"</f>
        <v>Y51F10.7</v>
      </c>
      <c r="F189" t="s">
        <v>11</v>
      </c>
      <c r="H189" s="12">
        <v>-7.7557376946994196</v>
      </c>
      <c r="I189" s="11">
        <v>-10.058796383485101</v>
      </c>
      <c r="J189" s="10">
        <v>8.4019234218696894E-24</v>
      </c>
      <c r="K189" s="29">
        <v>1.9413484258572099E-19</v>
      </c>
    </row>
    <row r="190" spans="1:11" x14ac:dyDescent="0.35">
      <c r="A190" s="9" t="str">
        <f>HYPERLINK("http://www.ensembl.org/id/WBGene00271822", "WBGene00271822")</f>
        <v>WBGene00271822</v>
      </c>
      <c r="B190" s="9" t="str">
        <f>HYPERLINK("http://www.ncbi.nlm.nih.gov/gene/34700626", "34700626")</f>
        <v>34700626</v>
      </c>
      <c r="C190" s="9"/>
      <c r="D190" t="str">
        <f>"F11G11.15"</f>
        <v>F11G11.15</v>
      </c>
      <c r="F190" t="s">
        <v>11</v>
      </c>
      <c r="G190" t="s">
        <v>25</v>
      </c>
      <c r="H190" s="12">
        <v>-7.7425813886882802</v>
      </c>
      <c r="I190" s="11">
        <v>-1.26336760242861</v>
      </c>
      <c r="J190" s="10">
        <v>0.20645710154015201</v>
      </c>
      <c r="K190" s="29">
        <v>0.95564696899795798</v>
      </c>
    </row>
    <row r="191" spans="1:11" x14ac:dyDescent="0.35">
      <c r="A191" s="9" t="str">
        <f>HYPERLINK("http://www.ensembl.org/id/WBGene00199932", "WBGene00199932")</f>
        <v>WBGene00199932</v>
      </c>
      <c r="B191" s="9"/>
      <c r="C191" s="9"/>
      <c r="D191" t="str">
        <f>"B0273.112"</f>
        <v>B0273.112</v>
      </c>
      <c r="F191" t="s">
        <v>481</v>
      </c>
      <c r="H191" s="12">
        <v>-7.6593953309027301</v>
      </c>
      <c r="I191" s="11">
        <v>-0.667771458163813</v>
      </c>
      <c r="J191" s="10">
        <v>0.50427948823086399</v>
      </c>
      <c r="K191" s="29">
        <v>0.98289565623980701</v>
      </c>
    </row>
    <row r="192" spans="1:11" x14ac:dyDescent="0.35">
      <c r="A192" s="9" t="str">
        <f>HYPERLINK("http://www.ensembl.org/id/WBGene00014710", "WBGene00014710")</f>
        <v>WBGene00014710</v>
      </c>
      <c r="B192" s="9"/>
      <c r="C192" s="9"/>
      <c r="D192" t="str">
        <f>"C50B6.13"</f>
        <v>C50B6.13</v>
      </c>
      <c r="F192" t="s">
        <v>80</v>
      </c>
      <c r="H192" s="12">
        <v>-7.6593953309027301</v>
      </c>
      <c r="I192" s="11">
        <v>-0.667771458163813</v>
      </c>
      <c r="J192" s="10">
        <v>0.50427948823086399</v>
      </c>
      <c r="K192" s="29">
        <v>0.98289565623980701</v>
      </c>
    </row>
    <row r="193" spans="1:11" x14ac:dyDescent="0.35">
      <c r="A193" s="9" t="str">
        <f>HYPERLINK("http://www.ensembl.org/id/WBGene00195624", "WBGene00195624")</f>
        <v>WBGene00195624</v>
      </c>
      <c r="B193" s="9"/>
      <c r="C193" s="9"/>
      <c r="D193" t="str">
        <f>"R31.4"</f>
        <v>R31.4</v>
      </c>
      <c r="F193" t="s">
        <v>481</v>
      </c>
      <c r="H193" s="12">
        <v>-7.52928964606844</v>
      </c>
      <c r="I193" s="11">
        <v>-1.0789374822961399</v>
      </c>
      <c r="J193" s="10">
        <v>0.280615598233171</v>
      </c>
      <c r="K193" s="29">
        <v>0.98289565623980701</v>
      </c>
    </row>
    <row r="194" spans="1:11" x14ac:dyDescent="0.35">
      <c r="A194" s="9" t="str">
        <f>HYPERLINK("http://www.ensembl.org/id/WBGene00005452", "WBGene00005452")</f>
        <v>WBGene00005452</v>
      </c>
      <c r="B194" s="9" t="str">
        <f>HYPERLINK("http://www.ncbi.nlm.nih.gov/gene/191893", "191893")</f>
        <v>191893</v>
      </c>
      <c r="C194" s="9"/>
      <c r="D194" t="str">
        <f>"srh-246"</f>
        <v>srh-246</v>
      </c>
      <c r="E194" t="s">
        <v>153</v>
      </c>
      <c r="F194" t="s">
        <v>11</v>
      </c>
      <c r="G194" t="s">
        <v>25</v>
      </c>
      <c r="H194" s="12">
        <v>-7.4627162080355998</v>
      </c>
      <c r="I194" s="11">
        <v>-1.23187238879841</v>
      </c>
      <c r="J194" s="10">
        <v>0.217996757034988</v>
      </c>
      <c r="K194" s="29">
        <v>0.97042364854653596</v>
      </c>
    </row>
    <row r="195" spans="1:11" x14ac:dyDescent="0.35">
      <c r="A195" s="9" t="str">
        <f>HYPERLINK("http://www.ensembl.org/id/WBGene00021603", "WBGene00021603")</f>
        <v>WBGene00021603</v>
      </c>
      <c r="B195" s="9" t="str">
        <f>HYPERLINK("http://www.ncbi.nlm.nih.gov/gene/178656", "178656")</f>
        <v>178656</v>
      </c>
      <c r="C195" s="9"/>
      <c r="D195" t="str">
        <f>"clec-204"</f>
        <v>clec-204</v>
      </c>
      <c r="E195" t="s">
        <v>46</v>
      </c>
      <c r="F195" t="s">
        <v>11</v>
      </c>
      <c r="G195" t="s">
        <v>47</v>
      </c>
      <c r="H195" s="12">
        <v>-7.4610556749803303</v>
      </c>
      <c r="I195" s="11">
        <v>-2.1916967938460301</v>
      </c>
      <c r="J195" s="10">
        <v>2.8401407405402299E-2</v>
      </c>
      <c r="K195" s="29">
        <v>0.37650196185268198</v>
      </c>
    </row>
    <row r="196" spans="1:11" x14ac:dyDescent="0.35">
      <c r="A196" s="9" t="str">
        <f>HYPERLINK("http://www.ensembl.org/id/WBGene00045417", "WBGene00045417")</f>
        <v>WBGene00045417</v>
      </c>
      <c r="B196" s="9" t="str">
        <f>HYPERLINK("http://www.ncbi.nlm.nih.gov/gene/6418794", "6418794")</f>
        <v>6418794</v>
      </c>
      <c r="C196" s="9"/>
      <c r="D196" t="str">
        <f>"Y37H2A.13"</f>
        <v>Y37H2A.13</v>
      </c>
      <c r="F196" t="s">
        <v>11</v>
      </c>
      <c r="H196" s="12">
        <v>-7.4467501136734402</v>
      </c>
      <c r="I196" s="11">
        <v>-6.2743030634346102</v>
      </c>
      <c r="J196" s="10">
        <v>3.5120384253926998E-10</v>
      </c>
      <c r="K196" s="29">
        <v>2.60504632151699E-7</v>
      </c>
    </row>
    <row r="197" spans="1:11" x14ac:dyDescent="0.35">
      <c r="A197" s="9" t="str">
        <f>HYPERLINK("http://www.ensembl.org/id/WBGene00009857", "WBGene00009857")</f>
        <v>WBGene00009857</v>
      </c>
      <c r="B197" s="9" t="str">
        <f>HYPERLINK("http://www.ncbi.nlm.nih.gov/gene/186005", "186005")</f>
        <v>186005</v>
      </c>
      <c r="C197" s="9"/>
      <c r="D197" t="str">
        <f>"clec-28"</f>
        <v>clec-28</v>
      </c>
      <c r="E197" t="s">
        <v>46</v>
      </c>
      <c r="F197" t="s">
        <v>11</v>
      </c>
      <c r="G197" t="s">
        <v>2771</v>
      </c>
      <c r="H197" s="12">
        <v>-7.4352569645089304</v>
      </c>
      <c r="I197" s="11">
        <v>-1.57011167827583</v>
      </c>
      <c r="J197" s="10">
        <v>0.11638913215603799</v>
      </c>
      <c r="K197" s="29">
        <v>0.77995570986004104</v>
      </c>
    </row>
    <row r="198" spans="1:11" x14ac:dyDescent="0.35">
      <c r="A198" s="9" t="str">
        <f>HYPERLINK("http://www.ensembl.org/id/WBGene00220216", "WBGene00220216")</f>
        <v>WBGene00220216</v>
      </c>
      <c r="B198" s="9"/>
      <c r="C198" s="9"/>
      <c r="D198" t="str">
        <f>"Y94H6A.15"</f>
        <v>Y94H6A.15</v>
      </c>
      <c r="F198" t="s">
        <v>481</v>
      </c>
      <c r="H198" s="12">
        <v>-7.4098134751824398</v>
      </c>
      <c r="I198" s="11">
        <v>-0.64479448731255495</v>
      </c>
      <c r="J198" s="10">
        <v>0.51906037484517198</v>
      </c>
      <c r="K198" s="29">
        <v>0.98289565623980701</v>
      </c>
    </row>
    <row r="199" spans="1:11" x14ac:dyDescent="0.35">
      <c r="A199" s="9" t="str">
        <f>HYPERLINK("http://www.ensembl.org/id/WBGene00009539", "WBGene00009539")</f>
        <v>WBGene00009539</v>
      </c>
      <c r="B199" s="9" t="str">
        <f>HYPERLINK("http://www.ncbi.nlm.nih.gov/gene/185463", "185463")</f>
        <v>185463</v>
      </c>
      <c r="C199" s="9"/>
      <c r="D199" t="str">
        <f>"F38C2.7"</f>
        <v>F38C2.7</v>
      </c>
      <c r="F199" t="s">
        <v>11</v>
      </c>
      <c r="G199" t="s">
        <v>4675</v>
      </c>
      <c r="H199" s="12">
        <v>-7.4081963717179304</v>
      </c>
      <c r="I199" s="11">
        <v>-0.93426107362742405</v>
      </c>
      <c r="J199" s="10">
        <v>0.350169238636651</v>
      </c>
      <c r="K199" s="29">
        <v>0.98289565623980701</v>
      </c>
    </row>
    <row r="200" spans="1:11" x14ac:dyDescent="0.35">
      <c r="A200" s="9" t="str">
        <f>HYPERLINK("http://www.ensembl.org/id/WBGene00008871", "WBGene00008871")</f>
        <v>WBGene00008871</v>
      </c>
      <c r="B200" s="9" t="str">
        <f>HYPERLINK("http://www.ncbi.nlm.nih.gov/gene/179455", "179455")</f>
        <v>179455</v>
      </c>
      <c r="C200" s="9"/>
      <c r="D200" t="str">
        <f>"tag-314"</f>
        <v>tag-314</v>
      </c>
      <c r="E200" t="s">
        <v>1143</v>
      </c>
      <c r="F200" t="s">
        <v>11</v>
      </c>
      <c r="G200" t="s">
        <v>10121</v>
      </c>
      <c r="H200" s="12">
        <v>-7.4014137735691596</v>
      </c>
      <c r="I200" s="11">
        <v>-0.95298923490807297</v>
      </c>
      <c r="J200" s="10">
        <v>0.340595525077102</v>
      </c>
      <c r="K200" s="29">
        <v>0.98289565623980701</v>
      </c>
    </row>
    <row r="201" spans="1:11" x14ac:dyDescent="0.35">
      <c r="A201" s="9" t="str">
        <f>HYPERLINK("http://www.ensembl.org/id/WBGene00219952", "WBGene00219952")</f>
        <v>WBGene00219952</v>
      </c>
      <c r="B201" s="9"/>
      <c r="C201" s="9"/>
      <c r="D201" t="str">
        <f>"F46H6.12"</f>
        <v>F46H6.12</v>
      </c>
      <c r="F201" t="s">
        <v>481</v>
      </c>
      <c r="H201" s="12">
        <v>-7.3568545571886697</v>
      </c>
      <c r="I201" s="11">
        <v>-0.78269599158339298</v>
      </c>
      <c r="J201" s="10">
        <v>0.43380565666738602</v>
      </c>
      <c r="K201" s="29">
        <v>0.98289565623980701</v>
      </c>
    </row>
    <row r="202" spans="1:11" x14ac:dyDescent="0.35">
      <c r="A202" s="9" t="str">
        <f>HYPERLINK("http://www.ensembl.org/id/WBGene00021653", "WBGene00021653")</f>
        <v>WBGene00021653</v>
      </c>
      <c r="B202" s="9" t="str">
        <f>HYPERLINK("http://www.ncbi.nlm.nih.gov/gene/3565592", "3565592")</f>
        <v>3565592</v>
      </c>
      <c r="C202" s="9"/>
      <c r="D202" t="str">
        <f>"Y47G6A.30"</f>
        <v>Y47G6A.30</v>
      </c>
      <c r="F202" t="s">
        <v>11</v>
      </c>
      <c r="H202" s="12">
        <v>-7.3568545571886697</v>
      </c>
      <c r="I202" s="11">
        <v>-0.78269599158339298</v>
      </c>
      <c r="J202" s="10">
        <v>0.43380565666738602</v>
      </c>
      <c r="K202" s="29">
        <v>0.98289565623980701</v>
      </c>
    </row>
    <row r="203" spans="1:11" x14ac:dyDescent="0.35">
      <c r="A203" s="9" t="str">
        <f>HYPERLINK("http://www.ensembl.org/id/WBGene00015599", "WBGene00015599")</f>
        <v>WBGene00015599</v>
      </c>
      <c r="B203" s="9" t="str">
        <f>HYPERLINK("http://www.ncbi.nlm.nih.gov/gene/182399", "182399")</f>
        <v>182399</v>
      </c>
      <c r="C203" s="9"/>
      <c r="D203" t="str">
        <f>"fbxa-164"</f>
        <v>fbxa-164</v>
      </c>
      <c r="E203" t="s">
        <v>467</v>
      </c>
      <c r="F203" t="s">
        <v>11</v>
      </c>
      <c r="G203" t="s">
        <v>54</v>
      </c>
      <c r="H203" s="12">
        <v>-7.3302156121255999</v>
      </c>
      <c r="I203" s="11">
        <v>-1.82094368804374</v>
      </c>
      <c r="J203" s="10">
        <v>6.8615417261157996E-2</v>
      </c>
      <c r="K203" s="29">
        <v>0.62173640440639799</v>
      </c>
    </row>
    <row r="204" spans="1:11" x14ac:dyDescent="0.35">
      <c r="A204" s="9" t="str">
        <f>HYPERLINK("http://www.ensembl.org/id/WBGene00021744", "WBGene00021744")</f>
        <v>WBGene00021744</v>
      </c>
      <c r="B204" s="9" t="str">
        <f>HYPERLINK("http://www.ncbi.nlm.nih.gov/gene/190095", "190095")</f>
        <v>190095</v>
      </c>
      <c r="C204" s="9"/>
      <c r="D204" t="str">
        <f>"clec-203"</f>
        <v>clec-203</v>
      </c>
      <c r="E204" t="s">
        <v>46</v>
      </c>
      <c r="F204" t="s">
        <v>11</v>
      </c>
      <c r="G204" t="s">
        <v>2771</v>
      </c>
      <c r="H204" s="12">
        <v>-7.2634930199243302</v>
      </c>
      <c r="I204" s="11">
        <v>-1.0163005343767999</v>
      </c>
      <c r="J204" s="10">
        <v>0.30948629421582202</v>
      </c>
      <c r="K204" s="29">
        <v>0.98289565623980701</v>
      </c>
    </row>
    <row r="205" spans="1:11" x14ac:dyDescent="0.35">
      <c r="A205" s="9" t="str">
        <f>HYPERLINK("http://www.ensembl.org/id/WBGene00044043", "WBGene00044043")</f>
        <v>WBGene00044043</v>
      </c>
      <c r="B205" s="9" t="str">
        <f>HYPERLINK("http://www.ncbi.nlm.nih.gov/gene/13187572", "13187572")</f>
        <v>13187572</v>
      </c>
      <c r="C205" s="9"/>
      <c r="D205" t="str">
        <f>"Y46G5A.38"</f>
        <v>Y46G5A.38</v>
      </c>
      <c r="F205" t="s">
        <v>11</v>
      </c>
      <c r="H205" s="12">
        <v>-7.2621011194969496</v>
      </c>
      <c r="I205" s="11">
        <v>-0.78226540069164696</v>
      </c>
      <c r="J205" s="10">
        <v>0.434058616081335</v>
      </c>
      <c r="K205" s="29">
        <v>0.98289565623980701</v>
      </c>
    </row>
    <row r="206" spans="1:11" x14ac:dyDescent="0.35">
      <c r="A206" s="9" t="str">
        <f>HYPERLINK("http://www.ensembl.org/id/WBGene00022415", "WBGene00022415")</f>
        <v>WBGene00022415</v>
      </c>
      <c r="B206" s="9" t="str">
        <f>HYPERLINK("http://www.ncbi.nlm.nih.gov/gene/180516", "180516")</f>
        <v>180516</v>
      </c>
      <c r="C206" s="9"/>
      <c r="D206" t="str">
        <f>"Y102A11A.5"</f>
        <v>Y102A11A.5</v>
      </c>
      <c r="F206" t="s">
        <v>11</v>
      </c>
      <c r="H206" s="12">
        <v>-7.2595973448530904</v>
      </c>
      <c r="I206" s="11">
        <v>-1.0548020438919901</v>
      </c>
      <c r="J206" s="10">
        <v>0.29151586964857201</v>
      </c>
      <c r="K206" s="29">
        <v>0.98289565623980701</v>
      </c>
    </row>
    <row r="207" spans="1:11" x14ac:dyDescent="0.35">
      <c r="A207" s="9" t="str">
        <f>HYPERLINK("http://www.ensembl.org/id/WBGene00023484", "WBGene00023484")</f>
        <v>WBGene00023484</v>
      </c>
      <c r="B207" s="9" t="str">
        <f>HYPERLINK("http://www.ncbi.nlm.nih.gov/gene/259760", "259760")</f>
        <v>259760</v>
      </c>
      <c r="C207" s="9"/>
      <c r="D207" t="str">
        <f>"Y54G2A.37"</f>
        <v>Y54G2A.37</v>
      </c>
      <c r="F207" t="s">
        <v>11</v>
      </c>
      <c r="G207" t="s">
        <v>47</v>
      </c>
      <c r="H207" s="12">
        <v>-7.24273917348554</v>
      </c>
      <c r="I207" s="11">
        <v>-1.12699998796793</v>
      </c>
      <c r="J207" s="10">
        <v>0.259742486071951</v>
      </c>
      <c r="K207" s="29">
        <v>0.98289565623980701</v>
      </c>
    </row>
    <row r="208" spans="1:11" x14ac:dyDescent="0.35">
      <c r="A208" s="9" t="str">
        <f>HYPERLINK("http://www.ensembl.org/id/WBGene00006464", "WBGene00006464")</f>
        <v>WBGene00006464</v>
      </c>
      <c r="B208" s="9" t="str">
        <f>HYPERLINK("http://www.ncbi.nlm.nih.gov/gene/173532", "173532")</f>
        <v>173532</v>
      </c>
      <c r="C208" s="9"/>
      <c r="D208" t="str">
        <f>"bath-47"</f>
        <v>bath-47</v>
      </c>
      <c r="E208" t="s">
        <v>158</v>
      </c>
      <c r="F208" t="s">
        <v>11</v>
      </c>
      <c r="G208" t="s">
        <v>54</v>
      </c>
      <c r="H208" s="12">
        <v>-7.1702647924667398</v>
      </c>
      <c r="I208" s="11">
        <v>-4.99932582569852</v>
      </c>
      <c r="J208" s="10">
        <v>5.7531114223814595E-7</v>
      </c>
      <c r="K208" s="29">
        <v>1.00705600398141E-4</v>
      </c>
    </row>
    <row r="209" spans="1:11" x14ac:dyDescent="0.35">
      <c r="A209" s="9" t="str">
        <f>HYPERLINK("http://www.ensembl.org/id/WBGene00219840", "WBGene00219840")</f>
        <v>WBGene00219840</v>
      </c>
      <c r="B209" s="9"/>
      <c r="C209" s="9"/>
      <c r="D209" t="str">
        <f>"C29F9.15"</f>
        <v>C29F9.15</v>
      </c>
      <c r="F209" t="s">
        <v>481</v>
      </c>
      <c r="H209" s="12">
        <v>-7.1498616266372901</v>
      </c>
      <c r="I209" s="11">
        <v>-1.1316412434549701</v>
      </c>
      <c r="J209" s="10">
        <v>0.25778529312513399</v>
      </c>
      <c r="K209" s="29">
        <v>0.98289565623980701</v>
      </c>
    </row>
    <row r="210" spans="1:11" x14ac:dyDescent="0.35">
      <c r="A210" s="9" t="str">
        <f>HYPERLINK("http://www.ensembl.org/id/WBGene00009502", "WBGene00009502")</f>
        <v>WBGene00009502</v>
      </c>
      <c r="B210" s="9" t="str">
        <f>HYPERLINK("http://www.ncbi.nlm.nih.gov/gene/175511", "175511")</f>
        <v>175511</v>
      </c>
      <c r="C210" s="9"/>
      <c r="D210" t="str">
        <f>"F37A8.2"</f>
        <v>F37A8.2</v>
      </c>
      <c r="F210" t="s">
        <v>11</v>
      </c>
      <c r="H210" s="12">
        <v>-7.1498616266372901</v>
      </c>
      <c r="I210" s="11">
        <v>-1.1316412434549701</v>
      </c>
      <c r="J210" s="10">
        <v>0.25778529312513399</v>
      </c>
      <c r="K210" s="29">
        <v>0.98289565623980701</v>
      </c>
    </row>
    <row r="211" spans="1:11" x14ac:dyDescent="0.35">
      <c r="A211" s="9" t="str">
        <f>HYPERLINK("http://www.ensembl.org/id/WBGene00009302", "WBGene00009302")</f>
        <v>WBGene00009302</v>
      </c>
      <c r="B211" s="9" t="str">
        <f>HYPERLINK("http://www.ncbi.nlm.nih.gov/gene/185177", "185177")</f>
        <v>185177</v>
      </c>
      <c r="C211" s="9"/>
      <c r="D211" t="str">
        <f>"F31F6.3"</f>
        <v>F31F6.3</v>
      </c>
      <c r="F211" t="s">
        <v>11</v>
      </c>
      <c r="H211" s="12">
        <v>-7.1085025584640604</v>
      </c>
      <c r="I211" s="11">
        <v>-3.0627780220938301</v>
      </c>
      <c r="J211" s="10">
        <v>2.1929266295995101E-3</v>
      </c>
      <c r="K211" s="29">
        <v>6.9392175784287705E-2</v>
      </c>
    </row>
    <row r="212" spans="1:11" x14ac:dyDescent="0.35">
      <c r="A212" s="9" t="str">
        <f>HYPERLINK("http://www.ensembl.org/id/WBGene00011852", "WBGene00011852")</f>
        <v>WBGene00011852</v>
      </c>
      <c r="B212" s="9" t="str">
        <f>HYPERLINK("http://www.ncbi.nlm.nih.gov/gene/188626", "188626")</f>
        <v>188626</v>
      </c>
      <c r="C212" s="9"/>
      <c r="D212" t="str">
        <f>"clec-26"</f>
        <v>clec-26</v>
      </c>
      <c r="E212" t="s">
        <v>46</v>
      </c>
      <c r="F212" t="s">
        <v>11</v>
      </c>
      <c r="G212" t="s">
        <v>47</v>
      </c>
      <c r="H212" s="12">
        <v>-7.0515172397586099</v>
      </c>
      <c r="I212" s="11">
        <v>-1.79904617842447</v>
      </c>
      <c r="J212" s="10">
        <v>7.2011376294234694E-2</v>
      </c>
      <c r="K212" s="29">
        <v>0.63050203132042004</v>
      </c>
    </row>
    <row r="213" spans="1:11" x14ac:dyDescent="0.35">
      <c r="A213" s="9" t="str">
        <f>HYPERLINK("http://www.ensembl.org/id/WBGene00009838", "WBGene00009838")</f>
        <v>WBGene00009838</v>
      </c>
      <c r="B213" s="9"/>
      <c r="C213" s="9"/>
      <c r="D213" t="str">
        <f>"fbxa-187"</f>
        <v>fbxa-187</v>
      </c>
      <c r="F213" t="s">
        <v>80</v>
      </c>
      <c r="H213" s="12">
        <v>-6.9438780801679902</v>
      </c>
      <c r="I213" s="11">
        <v>-1.9867538854671101</v>
      </c>
      <c r="J213" s="10">
        <v>4.6949677168786903E-2</v>
      </c>
      <c r="K213" s="29">
        <v>0.50354256192820301</v>
      </c>
    </row>
    <row r="214" spans="1:11" x14ac:dyDescent="0.35">
      <c r="A214" s="9" t="str">
        <f>HYPERLINK("http://www.ensembl.org/id/WBGene00007360", "WBGene00007360")</f>
        <v>WBGene00007360</v>
      </c>
      <c r="B214" s="9" t="str">
        <f>HYPERLINK("http://www.ncbi.nlm.nih.gov/gene/182289", "182289")</f>
        <v>182289</v>
      </c>
      <c r="C214" s="9"/>
      <c r="D214" t="str">
        <f>"C06B3.1"</f>
        <v>C06B3.1</v>
      </c>
      <c r="F214" t="s">
        <v>11</v>
      </c>
      <c r="G214" t="s">
        <v>591</v>
      </c>
      <c r="H214" s="12">
        <v>-6.9330863109976404</v>
      </c>
      <c r="I214" s="11">
        <v>-0.74962652224146198</v>
      </c>
      <c r="J214" s="10">
        <v>0.45347967252105398</v>
      </c>
      <c r="K214" s="29">
        <v>0.98289565623980701</v>
      </c>
    </row>
    <row r="215" spans="1:11" x14ac:dyDescent="0.35">
      <c r="A215" s="9" t="str">
        <f>HYPERLINK("http://www.ensembl.org/id/WBGene00195366", "WBGene00195366")</f>
        <v>WBGene00195366</v>
      </c>
      <c r="B215" s="9"/>
      <c r="C215" s="9"/>
      <c r="D215" t="str">
        <f>"C50F4.17"</f>
        <v>C50F4.17</v>
      </c>
      <c r="F215" t="s">
        <v>481</v>
      </c>
      <c r="H215" s="12">
        <v>-6.9330863109976404</v>
      </c>
      <c r="I215" s="11">
        <v>-0.74962652224146198</v>
      </c>
      <c r="J215" s="10">
        <v>0.45347967252105398</v>
      </c>
      <c r="K215" s="29">
        <v>0.98289565623980701</v>
      </c>
    </row>
    <row r="216" spans="1:11" x14ac:dyDescent="0.35">
      <c r="A216" s="9" t="str">
        <f>HYPERLINK("http://www.ensembl.org/id/WBGene00006231", "WBGene00006231")</f>
        <v>WBGene00006231</v>
      </c>
      <c r="B216" s="9" t="str">
        <f>HYPERLINK("http://www.ncbi.nlm.nih.gov/gene/192026", "192026")</f>
        <v>192026</v>
      </c>
      <c r="C216" s="9"/>
      <c r="D216" t="str">
        <f>"str-190"</f>
        <v>str-190</v>
      </c>
      <c r="E216" t="s">
        <v>590</v>
      </c>
      <c r="F216" t="s">
        <v>11</v>
      </c>
      <c r="G216" t="s">
        <v>591</v>
      </c>
      <c r="H216" s="12">
        <v>-6.9330863109976404</v>
      </c>
      <c r="I216" s="11">
        <v>-0.74962652224146198</v>
      </c>
      <c r="J216" s="10">
        <v>0.45347967252105398</v>
      </c>
      <c r="K216" s="29">
        <v>0.98289565623980701</v>
      </c>
    </row>
    <row r="217" spans="1:11" x14ac:dyDescent="0.35">
      <c r="A217" s="9" t="str">
        <f>HYPERLINK("http://www.ensembl.org/id/WBGene00009226", "WBGene00009226")</f>
        <v>WBGene00009226</v>
      </c>
      <c r="B217" s="9" t="str">
        <f>HYPERLINK("http://www.ncbi.nlm.nih.gov/gene/180093", "180093")</f>
        <v>180093</v>
      </c>
      <c r="C217" s="9" t="str">
        <f>HYPERLINK("http://www.ncbi.nlm.nih.gov/gene/285440", "285440")</f>
        <v>285440</v>
      </c>
      <c r="D217" t="str">
        <f>"cyp-37B1"</f>
        <v>cyp-37B1</v>
      </c>
      <c r="E217" t="s">
        <v>176</v>
      </c>
      <c r="F217" t="s">
        <v>11</v>
      </c>
      <c r="G217" t="s">
        <v>2448</v>
      </c>
      <c r="H217" s="12">
        <v>-6.8651659329883898</v>
      </c>
      <c r="I217" s="11">
        <v>-1.68218113154275</v>
      </c>
      <c r="J217" s="10">
        <v>9.2533721773076602E-2</v>
      </c>
      <c r="K217" s="29">
        <v>0.70354859338226605</v>
      </c>
    </row>
    <row r="218" spans="1:11" x14ac:dyDescent="0.35">
      <c r="A218" s="9" t="str">
        <f>HYPERLINK("http://www.ensembl.org/id/WBGene00200580", "WBGene00200580")</f>
        <v>WBGene00200580</v>
      </c>
      <c r="B218" s="9"/>
      <c r="C218" s="9"/>
      <c r="D218" t="str">
        <f>"C28G1.7"</f>
        <v>C28G1.7</v>
      </c>
      <c r="F218" t="s">
        <v>481</v>
      </c>
      <c r="H218" s="12">
        <v>-6.8633771544387203</v>
      </c>
      <c r="I218" s="11">
        <v>-0.747545353574122</v>
      </c>
      <c r="J218" s="10">
        <v>0.45473443677569098</v>
      </c>
      <c r="K218" s="29">
        <v>0.98289565623980701</v>
      </c>
    </row>
    <row r="219" spans="1:11" x14ac:dyDescent="0.35">
      <c r="A219" s="9" t="str">
        <f>HYPERLINK("http://www.ensembl.org/id/WBGene00014997", "WBGene00014997")</f>
        <v>WBGene00014997</v>
      </c>
      <c r="B219" s="9" t="str">
        <f>HYPERLINK("http://www.ncbi.nlm.nih.gov/gene/181802", "181802")</f>
        <v>181802</v>
      </c>
      <c r="C219" s="9"/>
      <c r="D219" t="str">
        <f>"AC7.3"</f>
        <v>AC7.3</v>
      </c>
      <c r="F219" t="s">
        <v>11</v>
      </c>
      <c r="H219" s="12">
        <v>-6.8452891526029704</v>
      </c>
      <c r="I219" s="11">
        <v>-1.01572474633598</v>
      </c>
      <c r="J219" s="10">
        <v>0.30976048040917797</v>
      </c>
      <c r="K219" s="29">
        <v>0.98289565623980701</v>
      </c>
    </row>
    <row r="220" spans="1:11" x14ac:dyDescent="0.35">
      <c r="A220" s="9" t="str">
        <f>HYPERLINK("http://www.ensembl.org/id/WBGene00012055", "WBGene00012055")</f>
        <v>WBGene00012055</v>
      </c>
      <c r="B220" s="9" t="str">
        <f>HYPERLINK("http://www.ncbi.nlm.nih.gov/gene/188941", "188941")</f>
        <v>188941</v>
      </c>
      <c r="C220" s="9"/>
      <c r="D220" t="str">
        <f>"srsx-36"</f>
        <v>srsx-36</v>
      </c>
      <c r="E220" t="s">
        <v>1639</v>
      </c>
      <c r="F220" t="s">
        <v>11</v>
      </c>
      <c r="G220" t="s">
        <v>1089</v>
      </c>
      <c r="H220" s="12">
        <v>-6.8452891526029704</v>
      </c>
      <c r="I220" s="11">
        <v>-1.01572474633598</v>
      </c>
      <c r="J220" s="10">
        <v>0.30976048040917797</v>
      </c>
      <c r="K220" s="29">
        <v>0.98289565623980701</v>
      </c>
    </row>
    <row r="221" spans="1:11" x14ac:dyDescent="0.35">
      <c r="A221" s="9" t="str">
        <f>HYPERLINK("http://www.ensembl.org/id/WBGene00008902", "WBGene00008902")</f>
        <v>WBGene00008902</v>
      </c>
      <c r="B221" s="9" t="str">
        <f>HYPERLINK("http://www.ncbi.nlm.nih.gov/gene/184600", "184600")</f>
        <v>184600</v>
      </c>
      <c r="C221" s="9"/>
      <c r="D221" t="str">
        <f>"phf-32"</f>
        <v>phf-32</v>
      </c>
      <c r="E221" t="s">
        <v>2651</v>
      </c>
      <c r="F221" t="s">
        <v>11</v>
      </c>
      <c r="G221" t="s">
        <v>10120</v>
      </c>
      <c r="H221" s="12">
        <v>-6.83538669401264</v>
      </c>
      <c r="I221" s="11">
        <v>-0.88046889369931203</v>
      </c>
      <c r="J221" s="10">
        <v>0.37860534914223298</v>
      </c>
      <c r="K221" s="29">
        <v>0.98289565623980701</v>
      </c>
    </row>
    <row r="222" spans="1:11" x14ac:dyDescent="0.35">
      <c r="A222" s="9" t="str">
        <f>HYPERLINK("http://www.ensembl.org/id/WBGene00012091", "WBGene00012091")</f>
        <v>WBGene00012091</v>
      </c>
      <c r="B222" s="9" t="str">
        <f>HYPERLINK("http://www.ncbi.nlm.nih.gov/gene/189000", "189000")</f>
        <v>189000</v>
      </c>
      <c r="C222" s="9"/>
      <c r="D222" t="str">
        <f>"pals-29"</f>
        <v>pals-29</v>
      </c>
      <c r="E222" t="s">
        <v>1147</v>
      </c>
      <c r="F222" t="s">
        <v>11</v>
      </c>
      <c r="H222" s="12">
        <v>-6.8245526920337101</v>
      </c>
      <c r="I222" s="11">
        <v>-1.0103582025775599</v>
      </c>
      <c r="J222" s="10">
        <v>0.312323705445054</v>
      </c>
      <c r="K222" s="29">
        <v>0.98289565623980701</v>
      </c>
    </row>
    <row r="223" spans="1:11" x14ac:dyDescent="0.35">
      <c r="A223" s="9" t="str">
        <f>HYPERLINK("http://www.ensembl.org/id/WBGene00019349", "WBGene00019349")</f>
        <v>WBGene00019349</v>
      </c>
      <c r="B223" s="9" t="str">
        <f>HYPERLINK("http://www.ncbi.nlm.nih.gov/gene/186914", "186914")</f>
        <v>186914</v>
      </c>
      <c r="C223" s="9" t="str">
        <f>HYPERLINK("http://www.ncbi.nlm.nih.gov/gene/158046", "158046")</f>
        <v>158046</v>
      </c>
      <c r="D223" t="str">
        <f>"trx-5"</f>
        <v>trx-5</v>
      </c>
      <c r="E223" t="s">
        <v>5000</v>
      </c>
      <c r="F223" t="s">
        <v>11</v>
      </c>
      <c r="H223" s="12">
        <v>-6.7871563907158903</v>
      </c>
      <c r="I223" s="11">
        <v>-0.97503941742604305</v>
      </c>
      <c r="J223" s="10">
        <v>0.329540707816873</v>
      </c>
      <c r="K223" s="29">
        <v>0.98289565623980701</v>
      </c>
    </row>
    <row r="224" spans="1:11" x14ac:dyDescent="0.35">
      <c r="A224" s="9" t="str">
        <f>HYPERLINK("http://www.ensembl.org/id/WBGene00195213", "WBGene00195213")</f>
        <v>WBGene00195213</v>
      </c>
      <c r="B224" s="9" t="str">
        <f>HYPERLINK("http://www.ncbi.nlm.nih.gov/gene/13223342", "13223342")</f>
        <v>13223342</v>
      </c>
      <c r="C224" s="9"/>
      <c r="D224" t="str">
        <f>"F11C1.9"</f>
        <v>F11C1.9</v>
      </c>
      <c r="F224" t="s">
        <v>11</v>
      </c>
      <c r="H224" s="12">
        <v>-6.7722002596562296</v>
      </c>
      <c r="I224" s="11">
        <v>-1.13424252038191</v>
      </c>
      <c r="J224" s="10">
        <v>0.25669283259030201</v>
      </c>
      <c r="K224" s="29">
        <v>0.98289565623980701</v>
      </c>
    </row>
    <row r="225" spans="1:11" x14ac:dyDescent="0.35">
      <c r="A225" s="9" t="str">
        <f>HYPERLINK("http://www.ensembl.org/id/WBGene00000213", "WBGene00000213")</f>
        <v>WBGene00000213</v>
      </c>
      <c r="B225" s="9" t="str">
        <f>HYPERLINK("http://www.ncbi.nlm.nih.gov/gene/176879", "176879")</f>
        <v>176879</v>
      </c>
      <c r="C225" s="9"/>
      <c r="D225" t="str">
        <f>"asm-3"</f>
        <v>asm-3</v>
      </c>
      <c r="E225" t="s">
        <v>14</v>
      </c>
      <c r="F225" t="s">
        <v>11</v>
      </c>
      <c r="G225" t="s">
        <v>15</v>
      </c>
      <c r="H225" s="12">
        <v>-6.7372207374736197</v>
      </c>
      <c r="I225" s="11">
        <v>-8.2552382600754104</v>
      </c>
      <c r="J225" s="10">
        <v>1.5159950686179499E-16</v>
      </c>
      <c r="K225" s="29">
        <v>1.16761940184954E-12</v>
      </c>
    </row>
    <row r="226" spans="1:11" x14ac:dyDescent="0.35">
      <c r="A226" s="9" t="str">
        <f>HYPERLINK("http://www.ensembl.org/id/WBGene00045690", "WBGene00045690")</f>
        <v>WBGene00045690</v>
      </c>
      <c r="B226" s="9"/>
      <c r="C226" s="9"/>
      <c r="D226" t="str">
        <f>"21ur-5085"</f>
        <v>21ur-5085</v>
      </c>
      <c r="F226" t="s">
        <v>3161</v>
      </c>
      <c r="H226" s="12">
        <v>-6.7350978273547204</v>
      </c>
      <c r="I226" s="11">
        <v>-0.57518224984572797</v>
      </c>
      <c r="J226" s="10">
        <v>0.565168046075332</v>
      </c>
      <c r="K226" s="29">
        <v>0.98289565623980701</v>
      </c>
    </row>
    <row r="227" spans="1:11" x14ac:dyDescent="0.35">
      <c r="A227" s="9" t="str">
        <f>HYPERLINK("http://www.ensembl.org/id/WBGene00008908", "WBGene00008908")</f>
        <v>WBGene00008908</v>
      </c>
      <c r="B227" s="9" t="str">
        <f>HYPERLINK("http://www.ncbi.nlm.nih.gov/gene/173184", "173184")</f>
        <v>173184</v>
      </c>
      <c r="C227" s="9"/>
      <c r="D227" t="str">
        <f>"F17B5.4"</f>
        <v>F17B5.4</v>
      </c>
      <c r="F227" t="s">
        <v>11</v>
      </c>
      <c r="G227" t="s">
        <v>3419</v>
      </c>
      <c r="H227" s="12">
        <v>-6.7350978273547204</v>
      </c>
      <c r="I227" s="11">
        <v>-0.57518224984572797</v>
      </c>
      <c r="J227" s="10">
        <v>0.565168046075332</v>
      </c>
      <c r="K227" s="29">
        <v>0.98289565623980701</v>
      </c>
    </row>
    <row r="228" spans="1:11" x14ac:dyDescent="0.35">
      <c r="A228" s="9" t="str">
        <f>HYPERLINK("http://www.ensembl.org/id/WBGene00045342", "WBGene00045342")</f>
        <v>WBGene00045342</v>
      </c>
      <c r="B228" s="9"/>
      <c r="C228" s="9"/>
      <c r="D228" t="str">
        <f>"mir-785"</f>
        <v>mir-785</v>
      </c>
      <c r="F228" t="s">
        <v>1486</v>
      </c>
      <c r="H228" s="12">
        <v>-6.7350978273547204</v>
      </c>
      <c r="I228" s="11">
        <v>-0.57518224984572797</v>
      </c>
      <c r="J228" s="10">
        <v>0.565168046075332</v>
      </c>
      <c r="K228" s="29">
        <v>0.98289565623980701</v>
      </c>
    </row>
    <row r="229" spans="1:11" x14ac:dyDescent="0.35">
      <c r="A229" s="9" t="str">
        <f>HYPERLINK("http://www.ensembl.org/id/WBGene00255597", "WBGene00255597")</f>
        <v>WBGene00255597</v>
      </c>
      <c r="B229" s="9" t="str">
        <f>HYPERLINK("http://www.ncbi.nlm.nih.gov/gene/25503004", "25503004")</f>
        <v>25503004</v>
      </c>
      <c r="C229" s="9"/>
      <c r="D229" t="str">
        <f>"pals-21"</f>
        <v>pals-21</v>
      </c>
      <c r="E229" t="s">
        <v>1147</v>
      </c>
      <c r="F229" t="s">
        <v>11</v>
      </c>
      <c r="H229" s="12">
        <v>-6.7350978273547204</v>
      </c>
      <c r="I229" s="11">
        <v>-0.57518224984572797</v>
      </c>
      <c r="J229" s="10">
        <v>0.565168046075332</v>
      </c>
      <c r="K229" s="29">
        <v>0.98289565623980701</v>
      </c>
    </row>
    <row r="230" spans="1:11" x14ac:dyDescent="0.35">
      <c r="A230" s="9" t="str">
        <f>HYPERLINK("http://www.ensembl.org/id/WBGene00008842", "WBGene00008842")</f>
        <v>WBGene00008842</v>
      </c>
      <c r="B230" s="9"/>
      <c r="C230" s="9"/>
      <c r="D230" t="str">
        <f>"chil-28"</f>
        <v>chil-28</v>
      </c>
      <c r="F230" t="s">
        <v>80</v>
      </c>
      <c r="H230" s="12">
        <v>-6.6787631197592399</v>
      </c>
      <c r="I230" s="11">
        <v>-1.9369366271311199</v>
      </c>
      <c r="J230" s="10">
        <v>5.2753090487989297E-2</v>
      </c>
      <c r="K230" s="29">
        <v>0.53994694270179799</v>
      </c>
    </row>
    <row r="231" spans="1:11" x14ac:dyDescent="0.35">
      <c r="A231" s="9" t="str">
        <f>HYPERLINK("http://www.ensembl.org/id/WBGene00010555", "WBGene00010555")</f>
        <v>WBGene00010555</v>
      </c>
      <c r="B231" s="9" t="str">
        <f>HYPERLINK("http://www.ncbi.nlm.nih.gov/gene/186980", "186980")</f>
        <v>186980</v>
      </c>
      <c r="C231" s="9"/>
      <c r="D231" t="str">
        <f>"K04C1.5"</f>
        <v>K04C1.5</v>
      </c>
      <c r="F231" t="s">
        <v>11</v>
      </c>
      <c r="G231" t="s">
        <v>112</v>
      </c>
      <c r="H231" s="12">
        <v>-6.64573698296073</v>
      </c>
      <c r="I231" s="11">
        <v>-5.42324255685054</v>
      </c>
      <c r="J231" s="10">
        <v>5.8527486521906697E-8</v>
      </c>
      <c r="K231" s="29">
        <v>1.5194787680619999E-5</v>
      </c>
    </row>
    <row r="232" spans="1:11" x14ac:dyDescent="0.35">
      <c r="A232" s="9" t="str">
        <f>HYPERLINK("http://www.ensembl.org/id/WBGene00016410", "WBGene00016410")</f>
        <v>WBGene00016410</v>
      </c>
      <c r="B232" s="9" t="str">
        <f>HYPERLINK("http://www.ncbi.nlm.nih.gov/gene/183213", "183213")</f>
        <v>183213</v>
      </c>
      <c r="C232" s="9"/>
      <c r="D232" t="str">
        <f>"C34E10.9"</f>
        <v>C34E10.9</v>
      </c>
      <c r="F232" t="s">
        <v>11</v>
      </c>
      <c r="H232" s="12">
        <v>-6.6271668319978403</v>
      </c>
      <c r="I232" s="11">
        <v>-0.84801151513284301</v>
      </c>
      <c r="J232" s="10">
        <v>0.39643155781767903</v>
      </c>
      <c r="K232" s="29">
        <v>0.98289565623980701</v>
      </c>
    </row>
    <row r="233" spans="1:11" x14ac:dyDescent="0.35">
      <c r="A233" s="9" t="str">
        <f>HYPERLINK("http://www.ensembl.org/id/WBGene00185096", "WBGene00185096")</f>
        <v>WBGene00185096</v>
      </c>
      <c r="B233" s="9" t="str">
        <f>HYPERLINK("http://www.ncbi.nlm.nih.gov/gene/13197467", "13197467")</f>
        <v>13197467</v>
      </c>
      <c r="C233" s="9"/>
      <c r="D233" t="str">
        <f>"W09C2.9"</f>
        <v>W09C2.9</v>
      </c>
      <c r="F233" t="s">
        <v>11</v>
      </c>
      <c r="H233" s="12">
        <v>-6.6037953856030303</v>
      </c>
      <c r="I233" s="11">
        <v>-0.74454233643390499</v>
      </c>
      <c r="J233" s="10">
        <v>0.456548438438031</v>
      </c>
      <c r="K233" s="29">
        <v>0.98289565623980701</v>
      </c>
    </row>
    <row r="234" spans="1:11" x14ac:dyDescent="0.35">
      <c r="A234" s="9" t="str">
        <f>HYPERLINK("http://www.ensembl.org/id/WBGene00015032", "WBGene00015032")</f>
        <v>WBGene00015032</v>
      </c>
      <c r="B234" s="9" t="str">
        <f>HYPERLINK("http://www.ncbi.nlm.nih.gov/gene/181838", "181838")</f>
        <v>181838</v>
      </c>
      <c r="C234" s="9"/>
      <c r="D234" t="str">
        <f>"B0207.9"</f>
        <v>B0207.9</v>
      </c>
      <c r="F234" t="s">
        <v>11</v>
      </c>
      <c r="G234" t="s">
        <v>25</v>
      </c>
      <c r="H234" s="12">
        <v>-6.5816209523590601</v>
      </c>
      <c r="I234" s="11">
        <v>-0.73756827122545399</v>
      </c>
      <c r="J234" s="10">
        <v>0.46077684215714998</v>
      </c>
      <c r="K234" s="29">
        <v>0.98289565623980701</v>
      </c>
    </row>
    <row r="235" spans="1:11" x14ac:dyDescent="0.35">
      <c r="A235" s="9" t="str">
        <f>HYPERLINK("http://www.ensembl.org/id/WBGene00008935", "WBGene00008935")</f>
        <v>WBGene00008935</v>
      </c>
      <c r="B235" s="9" t="str">
        <f>HYPERLINK("http://www.ncbi.nlm.nih.gov/gene/3565959", "3565959")</f>
        <v>3565959</v>
      </c>
      <c r="C235" s="9"/>
      <c r="D235" t="str">
        <f>"F18C12.4"</f>
        <v>F18C12.4</v>
      </c>
      <c r="F235" t="s">
        <v>11</v>
      </c>
      <c r="G235" t="s">
        <v>25</v>
      </c>
      <c r="H235" s="12">
        <v>-6.5816209523590601</v>
      </c>
      <c r="I235" s="11">
        <v>-0.73756827122545399</v>
      </c>
      <c r="J235" s="10">
        <v>0.46077684215714998</v>
      </c>
      <c r="K235" s="29">
        <v>0.98289565623980701</v>
      </c>
    </row>
    <row r="236" spans="1:11" x14ac:dyDescent="0.35">
      <c r="A236" s="9" t="str">
        <f>HYPERLINK("http://www.ensembl.org/id/WBGene00195938", "WBGene00195938")</f>
        <v>WBGene00195938</v>
      </c>
      <c r="B236" s="9"/>
      <c r="C236" s="9"/>
      <c r="D236" t="str">
        <f>"R09A8.6"</f>
        <v>R09A8.6</v>
      </c>
      <c r="F236" t="s">
        <v>481</v>
      </c>
      <c r="H236" s="12">
        <v>-6.5816209523590601</v>
      </c>
      <c r="I236" s="11">
        <v>-0.73756827122545399</v>
      </c>
      <c r="J236" s="10">
        <v>0.46077684215714998</v>
      </c>
      <c r="K236" s="29">
        <v>0.98289565623980701</v>
      </c>
    </row>
    <row r="237" spans="1:11" x14ac:dyDescent="0.35">
      <c r="A237" s="9" t="str">
        <f>HYPERLINK("http://www.ensembl.org/id/WBGene00008433", "WBGene00008433")</f>
        <v>WBGene00008433</v>
      </c>
      <c r="B237" s="9" t="str">
        <f>HYPERLINK("http://www.ncbi.nlm.nih.gov/gene/183961", "183961")</f>
        <v>183961</v>
      </c>
      <c r="C237" s="9"/>
      <c r="D237" t="str">
        <f>"marc-2"</f>
        <v>marc-2</v>
      </c>
      <c r="E237" t="s">
        <v>114</v>
      </c>
      <c r="F237" t="s">
        <v>11</v>
      </c>
      <c r="G237" t="s">
        <v>115</v>
      </c>
      <c r="H237" s="12">
        <v>-6.57831821686427</v>
      </c>
      <c r="I237" s="11">
        <v>-0.89467647153822905</v>
      </c>
      <c r="J237" s="10">
        <v>0.37096005967780998</v>
      </c>
      <c r="K237" s="29">
        <v>0.98289565623980701</v>
      </c>
    </row>
    <row r="238" spans="1:11" x14ac:dyDescent="0.35">
      <c r="A238" s="9" t="str">
        <f>HYPERLINK("http://www.ensembl.org/id/WBGene00049580", "WBGene00049580")</f>
        <v>WBGene00049580</v>
      </c>
      <c r="B238" s="9"/>
      <c r="C238" s="9"/>
      <c r="D238" t="str">
        <f>"21ur-4387"</f>
        <v>21ur-4387</v>
      </c>
      <c r="F238" t="s">
        <v>3161</v>
      </c>
      <c r="H238" s="12">
        <v>-6.5737790408717602</v>
      </c>
      <c r="I238" s="11">
        <v>-0.852269549053428</v>
      </c>
      <c r="J238" s="10">
        <v>0.39406450295478801</v>
      </c>
      <c r="K238" s="29">
        <v>0.98289565623980701</v>
      </c>
    </row>
    <row r="239" spans="1:11" x14ac:dyDescent="0.35">
      <c r="A239" s="9" t="str">
        <f>HYPERLINK("http://www.ensembl.org/id/WBGene00200503", "WBGene00200503")</f>
        <v>WBGene00200503</v>
      </c>
      <c r="B239" s="9"/>
      <c r="C239" s="9"/>
      <c r="D239" t="str">
        <f>"F29G9.14"</f>
        <v>F29G9.14</v>
      </c>
      <c r="F239" t="s">
        <v>481</v>
      </c>
      <c r="H239" s="12">
        <v>-6.5194775637745801</v>
      </c>
      <c r="I239" s="11">
        <v>-0.95874034938721198</v>
      </c>
      <c r="J239" s="10">
        <v>0.33768956613482798</v>
      </c>
      <c r="K239" s="29">
        <v>0.98289565623980701</v>
      </c>
    </row>
    <row r="240" spans="1:11" x14ac:dyDescent="0.35">
      <c r="A240" s="9" t="str">
        <f>HYPERLINK("http://www.ensembl.org/id/WBGene00013901", "WBGene00013901")</f>
        <v>WBGene00013901</v>
      </c>
      <c r="B240" s="9" t="str">
        <f>HYPERLINK("http://www.ncbi.nlm.nih.gov/gene/191171", "191171")</f>
        <v>191171</v>
      </c>
      <c r="C240" s="9"/>
      <c r="D240" t="str">
        <f>"ugt-16"</f>
        <v>ugt-16</v>
      </c>
      <c r="E240" t="s">
        <v>948</v>
      </c>
      <c r="F240" t="s">
        <v>11</v>
      </c>
      <c r="G240" t="s">
        <v>104</v>
      </c>
      <c r="H240" s="12">
        <v>-6.4100716627066898</v>
      </c>
      <c r="I240" s="11">
        <v>-2.64391901516594</v>
      </c>
      <c r="J240" s="10">
        <v>8.1952261357083108E-3</v>
      </c>
      <c r="K240" s="29">
        <v>0.17117417496254</v>
      </c>
    </row>
    <row r="241" spans="1:11" x14ac:dyDescent="0.35">
      <c r="A241" s="9" t="str">
        <f>HYPERLINK("http://www.ensembl.org/id/WBGene00000372", "WBGene00000372")</f>
        <v>WBGene00000372</v>
      </c>
      <c r="B241" s="9" t="str">
        <f>HYPERLINK("http://www.ncbi.nlm.nih.gov/gene/188362", "188362")</f>
        <v>188362</v>
      </c>
      <c r="C241" s="9" t="str">
        <f>HYPERLINK("http://www.ncbi.nlm.nih.gov/gene/100861540", "100861540")</f>
        <v>100861540</v>
      </c>
      <c r="D241" t="str">
        <f>"cyp-13A7"</f>
        <v>cyp-13A7</v>
      </c>
      <c r="E241" t="s">
        <v>1370</v>
      </c>
      <c r="F241" t="s">
        <v>11</v>
      </c>
      <c r="G241" t="s">
        <v>185</v>
      </c>
      <c r="H241" s="12">
        <v>-6.4045001315235801</v>
      </c>
      <c r="I241" s="11">
        <v>-2.2509006121153101</v>
      </c>
      <c r="J241" s="10">
        <v>2.4391832972969499E-2</v>
      </c>
      <c r="K241" s="29">
        <v>0.34095444202869502</v>
      </c>
    </row>
    <row r="242" spans="1:11" x14ac:dyDescent="0.35">
      <c r="A242" s="9" t="str">
        <f>HYPERLINK("http://www.ensembl.org/id/WBGene00003473", "WBGene00003473")</f>
        <v>WBGene00003473</v>
      </c>
      <c r="B242" s="9" t="str">
        <f>HYPERLINK("http://www.ncbi.nlm.nih.gov/gene/179060", "179060")</f>
        <v>179060</v>
      </c>
      <c r="C242" s="9"/>
      <c r="D242" t="str">
        <f>"mtl-1"</f>
        <v>mtl-1</v>
      </c>
      <c r="E242" t="s">
        <v>1318</v>
      </c>
      <c r="F242" t="s">
        <v>11</v>
      </c>
      <c r="H242" s="12">
        <v>-6.3774005569811196</v>
      </c>
      <c r="I242" s="11">
        <v>-2.2985973665084201</v>
      </c>
      <c r="J242" s="10">
        <v>2.15278132380439E-2</v>
      </c>
      <c r="K242" s="29">
        <v>0.315823271541741</v>
      </c>
    </row>
    <row r="243" spans="1:11" x14ac:dyDescent="0.35">
      <c r="A243" s="9" t="str">
        <f>HYPERLINK("http://www.ensembl.org/id/WBGene00170252", "WBGene00170252")</f>
        <v>WBGene00170252</v>
      </c>
      <c r="B243" s="9"/>
      <c r="C243" s="9"/>
      <c r="D243" t="str">
        <f>"21ur-14807"</f>
        <v>21ur-14807</v>
      </c>
      <c r="F243" t="s">
        <v>3161</v>
      </c>
      <c r="H243" s="12">
        <v>-6.3507302933957197</v>
      </c>
      <c r="I243" s="11">
        <v>-0.54348709410156204</v>
      </c>
      <c r="J243" s="10">
        <v>0.58679447442024202</v>
      </c>
      <c r="K243" s="29">
        <v>0.98289565623980701</v>
      </c>
    </row>
    <row r="244" spans="1:11" x14ac:dyDescent="0.35">
      <c r="A244" s="9" t="str">
        <f>HYPERLINK("http://www.ensembl.org/id/WBGene00007125", "WBGene00007125")</f>
        <v>WBGene00007125</v>
      </c>
      <c r="B244" s="9" t="str">
        <f>HYPERLINK("http://www.ncbi.nlm.nih.gov/gene/181885", "181885")</f>
        <v>181885</v>
      </c>
      <c r="C244" s="9"/>
      <c r="D244" t="str">
        <f>"B0250.8"</f>
        <v>B0250.8</v>
      </c>
      <c r="F244" t="s">
        <v>11</v>
      </c>
      <c r="H244" s="12">
        <v>-6.3507302933957197</v>
      </c>
      <c r="I244" s="11">
        <v>-0.54348709410156204</v>
      </c>
      <c r="J244" s="10">
        <v>0.58679447442024202</v>
      </c>
      <c r="K244" s="29">
        <v>0.98289565623980701</v>
      </c>
    </row>
    <row r="245" spans="1:11" x14ac:dyDescent="0.35">
      <c r="A245" s="9" t="str">
        <f>HYPERLINK("http://www.ensembl.org/id/WBGene00011163", "WBGene00011163")</f>
        <v>WBGene00011163</v>
      </c>
      <c r="B245" s="9" t="str">
        <f>HYPERLINK("http://www.ncbi.nlm.nih.gov/gene/187737", "187737")</f>
        <v>187737</v>
      </c>
      <c r="C245" s="9"/>
      <c r="D245" t="str">
        <f>"chil-20"</f>
        <v>chil-20</v>
      </c>
      <c r="E245" t="s">
        <v>1756</v>
      </c>
      <c r="F245" t="s">
        <v>11</v>
      </c>
      <c r="G245" t="s">
        <v>3396</v>
      </c>
      <c r="H245" s="12">
        <v>-6.3507302933957197</v>
      </c>
      <c r="I245" s="11">
        <v>-0.54348709410156204</v>
      </c>
      <c r="J245" s="10">
        <v>0.58679447442024202</v>
      </c>
      <c r="K245" s="29">
        <v>0.98289565623980701</v>
      </c>
    </row>
    <row r="246" spans="1:11" x14ac:dyDescent="0.35">
      <c r="A246" s="9" t="str">
        <f>HYPERLINK("http://www.ensembl.org/id/WBGene00017096", "WBGene00017096")</f>
        <v>WBGene00017096</v>
      </c>
      <c r="B246" s="9" t="str">
        <f>HYPERLINK("http://www.ncbi.nlm.nih.gov/gene/183990", "183990")</f>
        <v>183990</v>
      </c>
      <c r="C246" s="9"/>
      <c r="D246" t="str">
        <f>"E02C12.11"</f>
        <v>E02C12.11</v>
      </c>
      <c r="F246" t="s">
        <v>11</v>
      </c>
      <c r="H246" s="12">
        <v>-6.3507302933957197</v>
      </c>
      <c r="I246" s="11">
        <v>-0.54348709410156204</v>
      </c>
      <c r="J246" s="10">
        <v>0.58679447442024202</v>
      </c>
      <c r="K246" s="29">
        <v>0.98289565623980701</v>
      </c>
    </row>
    <row r="247" spans="1:11" x14ac:dyDescent="0.35">
      <c r="A247" s="9" t="str">
        <f>HYPERLINK("http://www.ensembl.org/id/WBGene00014730", "WBGene00014730")</f>
        <v>WBGene00014730</v>
      </c>
      <c r="B247" s="9"/>
      <c r="C247" s="9"/>
      <c r="D247" t="str">
        <f>"F01D5.4"</f>
        <v>F01D5.4</v>
      </c>
      <c r="F247" t="s">
        <v>80</v>
      </c>
      <c r="H247" s="12">
        <v>-6.3507302933957197</v>
      </c>
      <c r="I247" s="11">
        <v>-0.54348709410156204</v>
      </c>
      <c r="J247" s="10">
        <v>0.58679447442024202</v>
      </c>
      <c r="K247" s="29">
        <v>0.98289565623980701</v>
      </c>
    </row>
    <row r="248" spans="1:11" x14ac:dyDescent="0.35">
      <c r="A248" s="9" t="str">
        <f>HYPERLINK("http://www.ensembl.org/id/WBGene00043069", "WBGene00043069")</f>
        <v>WBGene00043069</v>
      </c>
      <c r="B248" s="9" t="str">
        <f>HYPERLINK("http://www.ncbi.nlm.nih.gov/gene/3564987", "3564987")</f>
        <v>3564987</v>
      </c>
      <c r="C248" s="9"/>
      <c r="D248" t="str">
        <f>"F20D6.12"</f>
        <v>F20D6.12</v>
      </c>
      <c r="F248" t="s">
        <v>11</v>
      </c>
      <c r="G248" t="s">
        <v>25</v>
      </c>
      <c r="H248" s="12">
        <v>-6.3507302933957197</v>
      </c>
      <c r="I248" s="11">
        <v>-0.54348709410156204</v>
      </c>
      <c r="J248" s="10">
        <v>0.58679447442024202</v>
      </c>
      <c r="K248" s="29">
        <v>0.98289565623980701</v>
      </c>
    </row>
    <row r="249" spans="1:11" x14ac:dyDescent="0.35">
      <c r="A249" s="9" t="str">
        <f>HYPERLINK("http://www.ensembl.org/id/WBGene00196778", "WBGene00196778")</f>
        <v>WBGene00196778</v>
      </c>
      <c r="B249" s="9"/>
      <c r="C249" s="9"/>
      <c r="D249" t="str">
        <f>"F26D12.99"</f>
        <v>F26D12.99</v>
      </c>
      <c r="F249" t="s">
        <v>481</v>
      </c>
      <c r="H249" s="12">
        <v>-6.3507302933957197</v>
      </c>
      <c r="I249" s="11">
        <v>-0.54348709410156204</v>
      </c>
      <c r="J249" s="10">
        <v>0.58679447442024202</v>
      </c>
      <c r="K249" s="29">
        <v>0.98289565623980701</v>
      </c>
    </row>
    <row r="250" spans="1:11" x14ac:dyDescent="0.35">
      <c r="A250" s="9" t="str">
        <f>HYPERLINK("http://www.ensembl.org/id/WBGene00200498", "WBGene00200498")</f>
        <v>WBGene00200498</v>
      </c>
      <c r="B250" s="9"/>
      <c r="C250" s="9"/>
      <c r="D250" t="str">
        <f>"F46C8.19"</f>
        <v>F46C8.19</v>
      </c>
      <c r="F250" t="s">
        <v>481</v>
      </c>
      <c r="H250" s="12">
        <v>-6.3507302933957197</v>
      </c>
      <c r="I250" s="11">
        <v>-0.54348709410156204</v>
      </c>
      <c r="J250" s="10">
        <v>0.58679447442024202</v>
      </c>
      <c r="K250" s="29">
        <v>0.98289565623980701</v>
      </c>
    </row>
    <row r="251" spans="1:11" x14ac:dyDescent="0.35">
      <c r="A251" s="9" t="str">
        <f>HYPERLINK("http://www.ensembl.org/id/WBGene00044450", "WBGene00044450")</f>
        <v>WBGene00044450</v>
      </c>
      <c r="B251" s="9" t="str">
        <f>HYPERLINK("http://www.ncbi.nlm.nih.gov/gene/3896756", "3896756")</f>
        <v>3896756</v>
      </c>
      <c r="C251" s="9"/>
      <c r="D251" t="str">
        <f>"fipr-18"</f>
        <v>fipr-18</v>
      </c>
      <c r="E251" t="s">
        <v>28</v>
      </c>
      <c r="F251" t="s">
        <v>11</v>
      </c>
      <c r="H251" s="12">
        <v>-6.3507302933957197</v>
      </c>
      <c r="I251" s="11">
        <v>-0.54348709410156204</v>
      </c>
      <c r="J251" s="10">
        <v>0.58679447442024202</v>
      </c>
      <c r="K251" s="29">
        <v>0.98289565623980701</v>
      </c>
    </row>
    <row r="252" spans="1:11" x14ac:dyDescent="0.35">
      <c r="A252" s="9" t="str">
        <f>HYPERLINK("http://www.ensembl.org/id/WBGene00010467", "WBGene00010467")</f>
        <v>WBGene00010467</v>
      </c>
      <c r="B252" s="9" t="str">
        <f>HYPERLINK("http://www.ncbi.nlm.nih.gov/gene/186846", "186846")</f>
        <v>186846</v>
      </c>
      <c r="C252" s="9"/>
      <c r="D252" t="str">
        <f>"K01D12.8"</f>
        <v>K01D12.8</v>
      </c>
      <c r="F252" t="s">
        <v>11</v>
      </c>
      <c r="H252" s="12">
        <v>-6.3507302933957197</v>
      </c>
      <c r="I252" s="11">
        <v>-0.54348709410156204</v>
      </c>
      <c r="J252" s="10">
        <v>0.58679447442024202</v>
      </c>
      <c r="K252" s="29">
        <v>0.98289565623980701</v>
      </c>
    </row>
    <row r="253" spans="1:11" x14ac:dyDescent="0.35">
      <c r="A253" s="9" t="str">
        <f>HYPERLINK("http://www.ensembl.org/id/WBGene00018058", "WBGene00018058")</f>
        <v>WBGene00018058</v>
      </c>
      <c r="B253" s="9" t="str">
        <f>HYPERLINK("http://www.ncbi.nlm.nih.gov/gene/185314", "185314")</f>
        <v>185314</v>
      </c>
      <c r="C253" s="9"/>
      <c r="D253" t="str">
        <f>"srbc-1"</f>
        <v>srbc-1</v>
      </c>
      <c r="E253" t="s">
        <v>3034</v>
      </c>
      <c r="F253" t="s">
        <v>11</v>
      </c>
      <c r="G253" t="s">
        <v>25</v>
      </c>
      <c r="H253" s="12">
        <v>-6.3507302933957197</v>
      </c>
      <c r="I253" s="11">
        <v>-0.54348709410156204</v>
      </c>
      <c r="J253" s="10">
        <v>0.58679447442024202</v>
      </c>
      <c r="K253" s="29">
        <v>0.98289565623980701</v>
      </c>
    </row>
    <row r="254" spans="1:11" x14ac:dyDescent="0.35">
      <c r="A254" s="9" t="str">
        <f>HYPERLINK("http://www.ensembl.org/id/WBGene00202498", "WBGene00202498")</f>
        <v>WBGene00202498</v>
      </c>
      <c r="B254" s="9" t="str">
        <f>HYPERLINK("http://www.ncbi.nlm.nih.gov/gene/13212671", "13212671")</f>
        <v>13212671</v>
      </c>
      <c r="C254" s="9"/>
      <c r="D254" t="str">
        <f>"Y60C6A.2"</f>
        <v>Y60C6A.2</v>
      </c>
      <c r="F254" t="s">
        <v>11</v>
      </c>
      <c r="H254" s="12">
        <v>-6.3507302933957197</v>
      </c>
      <c r="I254" s="11">
        <v>-0.54348709410156204</v>
      </c>
      <c r="J254" s="10">
        <v>0.58679447442024202</v>
      </c>
      <c r="K254" s="29">
        <v>0.98289565623980701</v>
      </c>
    </row>
    <row r="255" spans="1:11" x14ac:dyDescent="0.35">
      <c r="A255" s="9" t="str">
        <f>HYPERLINK("http://www.ensembl.org/id/WBGene00235153", "WBGene00235153")</f>
        <v>WBGene00235153</v>
      </c>
      <c r="B255" s="9"/>
      <c r="C255" s="9"/>
      <c r="D255" t="str">
        <f>"Y7A5A.23"</f>
        <v>Y7A5A.23</v>
      </c>
      <c r="F255" t="s">
        <v>481</v>
      </c>
      <c r="H255" s="12">
        <v>-6.3507302933957197</v>
      </c>
      <c r="I255" s="11">
        <v>-0.54348709410156204</v>
      </c>
      <c r="J255" s="10">
        <v>0.58679447442024202</v>
      </c>
      <c r="K255" s="29">
        <v>0.98289565623980701</v>
      </c>
    </row>
    <row r="256" spans="1:11" x14ac:dyDescent="0.35">
      <c r="A256" s="9" t="str">
        <f>HYPERLINK("http://www.ensembl.org/id/WBGene00016502", "WBGene00016502")</f>
        <v>WBGene00016502</v>
      </c>
      <c r="B256" s="9" t="str">
        <f>HYPERLINK("http://www.ncbi.nlm.nih.gov/gene/183290", "183290")</f>
        <v>183290</v>
      </c>
      <c r="C256" s="9"/>
      <c r="D256" t="str">
        <f>"C37C3.10"</f>
        <v>C37C3.10</v>
      </c>
      <c r="F256" t="s">
        <v>11</v>
      </c>
      <c r="H256" s="12">
        <v>-6.2936581270217502</v>
      </c>
      <c r="I256" s="11">
        <v>-1.3012817498498299</v>
      </c>
      <c r="J256" s="10">
        <v>0.193162031753951</v>
      </c>
      <c r="K256" s="29">
        <v>0.93364612723352502</v>
      </c>
    </row>
    <row r="257" spans="1:11" x14ac:dyDescent="0.35">
      <c r="A257" s="9" t="str">
        <f>HYPERLINK("http://www.ensembl.org/id/WBGene00018224", "WBGene00018224")</f>
        <v>WBGene00018224</v>
      </c>
      <c r="B257" s="9"/>
      <c r="C257" s="9"/>
      <c r="D257" t="str">
        <f>"bath-18"</f>
        <v>bath-18</v>
      </c>
      <c r="F257" t="s">
        <v>80</v>
      </c>
      <c r="H257" s="12">
        <v>-6.2102229019083799</v>
      </c>
      <c r="I257" s="11">
        <v>-0.67619676343489199</v>
      </c>
      <c r="J257" s="10">
        <v>0.49891572720914601</v>
      </c>
      <c r="K257" s="29">
        <v>0.98289565623980701</v>
      </c>
    </row>
    <row r="258" spans="1:11" x14ac:dyDescent="0.35">
      <c r="A258" s="9" t="str">
        <f>HYPERLINK("http://www.ensembl.org/id/WBGene00016320", "WBGene00016320")</f>
        <v>WBGene00016320</v>
      </c>
      <c r="B258" s="9" t="str">
        <f>HYPERLINK("http://www.ncbi.nlm.nih.gov/gene/183123", "183123")</f>
        <v>183123</v>
      </c>
      <c r="C258" s="9"/>
      <c r="D258" t="str">
        <f>"C32E8.1"</f>
        <v>C32E8.1</v>
      </c>
      <c r="F258" t="s">
        <v>11</v>
      </c>
      <c r="G258" t="s">
        <v>51</v>
      </c>
      <c r="H258" s="12">
        <v>-6.2102229019083799</v>
      </c>
      <c r="I258" s="11">
        <v>-0.67619676343489199</v>
      </c>
      <c r="J258" s="10">
        <v>0.49891572720914601</v>
      </c>
      <c r="K258" s="29">
        <v>0.98289565623980701</v>
      </c>
    </row>
    <row r="259" spans="1:11" x14ac:dyDescent="0.35">
      <c r="A259" s="9" t="str">
        <f>HYPERLINK("http://www.ensembl.org/id/WBGene00235369", "WBGene00235369")</f>
        <v>WBGene00235369</v>
      </c>
      <c r="B259" s="9"/>
      <c r="C259" s="9"/>
      <c r="D259" t="str">
        <f>"K08D10.18"</f>
        <v>K08D10.18</v>
      </c>
      <c r="F259" t="s">
        <v>80</v>
      </c>
      <c r="H259" s="12">
        <v>-6.2102229019083799</v>
      </c>
      <c r="I259" s="11">
        <v>-0.67619676343489199</v>
      </c>
      <c r="J259" s="10">
        <v>0.49891572720914601</v>
      </c>
      <c r="K259" s="29">
        <v>0.98289565623980701</v>
      </c>
    </row>
    <row r="260" spans="1:11" x14ac:dyDescent="0.35">
      <c r="A260" s="9" t="str">
        <f>HYPERLINK("http://www.ensembl.org/id/WBGene00197555", "WBGene00197555")</f>
        <v>WBGene00197555</v>
      </c>
      <c r="B260" s="9"/>
      <c r="C260" s="9"/>
      <c r="D260" t="str">
        <f>"Y67D8A.8"</f>
        <v>Y67D8A.8</v>
      </c>
      <c r="F260" t="s">
        <v>481</v>
      </c>
      <c r="H260" s="12">
        <v>-6.2102229019083799</v>
      </c>
      <c r="I260" s="11">
        <v>-0.67619676343489199</v>
      </c>
      <c r="J260" s="10">
        <v>0.49891572720914601</v>
      </c>
      <c r="K260" s="29">
        <v>0.98289565623980701</v>
      </c>
    </row>
    <row r="261" spans="1:11" x14ac:dyDescent="0.35">
      <c r="A261" s="9" t="str">
        <f>HYPERLINK("http://www.ensembl.org/id/WBGene00012501", "WBGene00012501")</f>
        <v>WBGene00012501</v>
      </c>
      <c r="B261" s="9" t="str">
        <f>HYPERLINK("http://www.ncbi.nlm.nih.gov/gene/189544", "189544")</f>
        <v>189544</v>
      </c>
      <c r="C261" s="9"/>
      <c r="D261" t="str">
        <f>"Y26D4A.3"</f>
        <v>Y26D4A.3</v>
      </c>
      <c r="F261" t="s">
        <v>11</v>
      </c>
      <c r="G261" t="s">
        <v>25</v>
      </c>
      <c r="H261" s="12">
        <v>-6.1631188008888502</v>
      </c>
      <c r="I261" s="11">
        <v>-1.4219673241384301</v>
      </c>
      <c r="J261" s="10">
        <v>0.15503573703231699</v>
      </c>
      <c r="K261" s="29">
        <v>0.86348082840932505</v>
      </c>
    </row>
    <row r="262" spans="1:11" x14ac:dyDescent="0.35">
      <c r="A262" s="9" t="str">
        <f>HYPERLINK("http://www.ensembl.org/id/WBGene00045175", "WBGene00045175")</f>
        <v>WBGene00045175</v>
      </c>
      <c r="B262" s="9"/>
      <c r="C262" s="9"/>
      <c r="D262" t="str">
        <f>"C10C6.9"</f>
        <v>C10C6.9</v>
      </c>
      <c r="F262" t="s">
        <v>80</v>
      </c>
      <c r="H262" s="12">
        <v>-6.15299323723832</v>
      </c>
      <c r="I262" s="11">
        <v>-0.69206744853357904</v>
      </c>
      <c r="J262" s="10">
        <v>0.48889497264889498</v>
      </c>
      <c r="K262" s="29">
        <v>0.98289565623980701</v>
      </c>
    </row>
    <row r="263" spans="1:11" x14ac:dyDescent="0.35">
      <c r="A263" s="9" t="str">
        <f>HYPERLINK("http://www.ensembl.org/id/WBGene00013427", "WBGene00013427")</f>
        <v>WBGene00013427</v>
      </c>
      <c r="B263" s="9" t="str">
        <f>HYPERLINK("http://www.ncbi.nlm.nih.gov/gene/190495", "190495")</f>
        <v>190495</v>
      </c>
      <c r="C263" s="9"/>
      <c r="D263" t="str">
        <f>"Y66D12A.1"</f>
        <v>Y66D12A.1</v>
      </c>
      <c r="F263" t="s">
        <v>11</v>
      </c>
      <c r="H263" s="12">
        <v>-6.15299323723832</v>
      </c>
      <c r="I263" s="11">
        <v>-0.69206744853357904</v>
      </c>
      <c r="J263" s="10">
        <v>0.48889497264889498</v>
      </c>
      <c r="K263" s="29">
        <v>0.98289565623980701</v>
      </c>
    </row>
    <row r="264" spans="1:11" x14ac:dyDescent="0.35">
      <c r="A264" s="9" t="str">
        <f>HYPERLINK("http://www.ensembl.org/id/WBGene00011710", "WBGene00011710")</f>
        <v>WBGene00011710</v>
      </c>
      <c r="B264" s="9" t="str">
        <f>HYPERLINK("http://www.ncbi.nlm.nih.gov/gene/188424", "188424")</f>
        <v>188424</v>
      </c>
      <c r="C264" s="9"/>
      <c r="D264" t="str">
        <f>"T11F9.7"</f>
        <v>T11F9.7</v>
      </c>
      <c r="F264" t="s">
        <v>11</v>
      </c>
      <c r="H264" s="12">
        <v>-6.1497072681113902</v>
      </c>
      <c r="I264" s="11">
        <v>-1.1799648476158899</v>
      </c>
      <c r="J264" s="10">
        <v>0.23801419622588299</v>
      </c>
      <c r="K264" s="29">
        <v>0.98289565623980701</v>
      </c>
    </row>
    <row r="265" spans="1:11" x14ac:dyDescent="0.35">
      <c r="A265" s="9" t="str">
        <f>HYPERLINK("http://www.ensembl.org/id/WBGene00017095", "WBGene00017095")</f>
        <v>WBGene00017095</v>
      </c>
      <c r="B265" s="9" t="str">
        <f>HYPERLINK("http://www.ncbi.nlm.nih.gov/gene/183989", "183989")</f>
        <v>183989</v>
      </c>
      <c r="C265" s="9"/>
      <c r="D265" t="str">
        <f>"E02C12.10"</f>
        <v>E02C12.10</v>
      </c>
      <c r="F265" t="s">
        <v>11</v>
      </c>
      <c r="H265" s="12">
        <v>-6.0808845114530197</v>
      </c>
      <c r="I265" s="11">
        <v>-0.87191720935452199</v>
      </c>
      <c r="J265" s="10">
        <v>0.38325354460014099</v>
      </c>
      <c r="K265" s="29">
        <v>0.98289565623980701</v>
      </c>
    </row>
    <row r="266" spans="1:11" x14ac:dyDescent="0.35">
      <c r="A266" s="9" t="str">
        <f>HYPERLINK("http://www.ensembl.org/id/WBGene00006017", "WBGene00006017")</f>
        <v>WBGene00006017</v>
      </c>
      <c r="B266" s="9"/>
      <c r="C266" s="9"/>
      <c r="D266" t="str">
        <f>"srx-126"</f>
        <v>srx-126</v>
      </c>
      <c r="F266" t="s">
        <v>80</v>
      </c>
      <c r="H266" s="12">
        <v>-6.0808845114530197</v>
      </c>
      <c r="I266" s="11">
        <v>-0.87191720935452199</v>
      </c>
      <c r="J266" s="10">
        <v>0.38325354460014099</v>
      </c>
      <c r="K266" s="29">
        <v>0.98289565623980701</v>
      </c>
    </row>
    <row r="267" spans="1:11" x14ac:dyDescent="0.35">
      <c r="A267" s="9" t="str">
        <f>HYPERLINK("http://www.ensembl.org/id/WBGene00009762", "WBGene00009762")</f>
        <v>WBGene00009762</v>
      </c>
      <c r="B267" s="9" t="str">
        <f>HYPERLINK("http://www.ncbi.nlm.nih.gov/gene/191755", "191755")</f>
        <v>191755</v>
      </c>
      <c r="C267" s="9"/>
      <c r="D267" t="str">
        <f>"F46B3.9"</f>
        <v>F46B3.9</v>
      </c>
      <c r="F267" t="s">
        <v>11</v>
      </c>
      <c r="H267" s="12">
        <v>-6.0496137383913799</v>
      </c>
      <c r="I267" s="11">
        <v>-0.52919567380265498</v>
      </c>
      <c r="J267" s="10">
        <v>0.59666971747150499</v>
      </c>
      <c r="K267" s="29">
        <v>0.98289565623980701</v>
      </c>
    </row>
    <row r="268" spans="1:11" x14ac:dyDescent="0.35">
      <c r="A268" s="9" t="str">
        <f>HYPERLINK("http://www.ensembl.org/id/WBGene00005808", "WBGene00005808")</f>
        <v>WBGene00005808</v>
      </c>
      <c r="B268" s="9" t="str">
        <f>HYPERLINK("http://www.ncbi.nlm.nih.gov/gene/186783", "186783")</f>
        <v>186783</v>
      </c>
      <c r="C268" s="9"/>
      <c r="D268" t="str">
        <f>"srw-61"</f>
        <v>srw-61</v>
      </c>
      <c r="E268" t="s">
        <v>1014</v>
      </c>
      <c r="F268" t="s">
        <v>11</v>
      </c>
      <c r="G268" t="s">
        <v>1015</v>
      </c>
      <c r="H268" s="12">
        <v>-6.0496137383913799</v>
      </c>
      <c r="I268" s="11">
        <v>-0.52919567380265498</v>
      </c>
      <c r="J268" s="10">
        <v>0.59666971747150499</v>
      </c>
      <c r="K268" s="29">
        <v>0.98289565623980701</v>
      </c>
    </row>
    <row r="269" spans="1:11" x14ac:dyDescent="0.35">
      <c r="A269" s="9" t="str">
        <f>HYPERLINK("http://www.ensembl.org/id/WBGene00199634", "WBGene00199634")</f>
        <v>WBGene00199634</v>
      </c>
      <c r="B269" s="9"/>
      <c r="C269" s="9"/>
      <c r="D269" t="str">
        <f>"T10A3.3"</f>
        <v>T10A3.3</v>
      </c>
      <c r="F269" t="s">
        <v>481</v>
      </c>
      <c r="H269" s="12">
        <v>-6.0496137383913799</v>
      </c>
      <c r="I269" s="11">
        <v>-0.52919567380265498</v>
      </c>
      <c r="J269" s="10">
        <v>0.59666971747150499</v>
      </c>
      <c r="K269" s="29">
        <v>0.98289565623980701</v>
      </c>
    </row>
    <row r="270" spans="1:11" x14ac:dyDescent="0.35">
      <c r="A270" s="9" t="str">
        <f>HYPERLINK("http://www.ensembl.org/id/WBGene00023370", "WBGene00023370")</f>
        <v>WBGene00023370</v>
      </c>
      <c r="B270" s="9"/>
      <c r="C270" s="9"/>
      <c r="D270" t="str">
        <f>"Y39A3B.t1"</f>
        <v>Y39A3B.t1</v>
      </c>
      <c r="F270" t="s">
        <v>80</v>
      </c>
      <c r="H270" s="12">
        <v>-6.0496137383913799</v>
      </c>
      <c r="I270" s="11">
        <v>-0.52919567380265498</v>
      </c>
      <c r="J270" s="10">
        <v>0.59666971747150499</v>
      </c>
      <c r="K270" s="29">
        <v>0.98289565623980701</v>
      </c>
    </row>
    <row r="271" spans="1:11" x14ac:dyDescent="0.35">
      <c r="A271" s="9" t="str">
        <f>HYPERLINK("http://www.ensembl.org/id/WBGene00014170", "WBGene00014170")</f>
        <v>WBGene00014170</v>
      </c>
      <c r="B271" s="9" t="str">
        <f>HYPERLINK("http://www.ncbi.nlm.nih.gov/gene/191472", "191472")</f>
        <v>191472</v>
      </c>
      <c r="C271" s="9"/>
      <c r="D271" t="str">
        <f>"ZK945.8"</f>
        <v>ZK945.8</v>
      </c>
      <c r="F271" t="s">
        <v>11</v>
      </c>
      <c r="G271" t="s">
        <v>4377</v>
      </c>
      <c r="H271" s="12">
        <v>-6.0496137383913799</v>
      </c>
      <c r="I271" s="11">
        <v>-0.52919567380265498</v>
      </c>
      <c r="J271" s="10">
        <v>0.59666971747150499</v>
      </c>
      <c r="K271" s="29">
        <v>0.98289565623980701</v>
      </c>
    </row>
    <row r="272" spans="1:11" x14ac:dyDescent="0.35">
      <c r="A272" s="9" t="str">
        <f>HYPERLINK("http://www.ensembl.org/id/WBGene00200428", "WBGene00200428")</f>
        <v>WBGene00200428</v>
      </c>
      <c r="B272" s="9"/>
      <c r="C272" s="9"/>
      <c r="D272" t="str">
        <f>"C16C2.8"</f>
        <v>C16C2.8</v>
      </c>
      <c r="F272" t="s">
        <v>481</v>
      </c>
      <c r="H272" s="12">
        <v>-5.9796139264318802</v>
      </c>
      <c r="I272" s="11">
        <v>-0.78387484565106902</v>
      </c>
      <c r="J272" s="10">
        <v>0.433113550947751</v>
      </c>
      <c r="K272" s="29">
        <v>0.98289565623980701</v>
      </c>
    </row>
    <row r="273" spans="1:11" x14ac:dyDescent="0.35">
      <c r="A273" s="9" t="str">
        <f>HYPERLINK("http://www.ensembl.org/id/WBGene00016017", "WBGene00016017")</f>
        <v>WBGene00016017</v>
      </c>
      <c r="B273" s="9" t="str">
        <f>HYPERLINK("http://www.ncbi.nlm.nih.gov/gene/182816", "182816")</f>
        <v>182816</v>
      </c>
      <c r="C273" s="9"/>
      <c r="D273" t="str">
        <f>"C23G10.11"</f>
        <v>C23G10.11</v>
      </c>
      <c r="F273" t="s">
        <v>11</v>
      </c>
      <c r="H273" s="12">
        <v>-5.9404593832642103</v>
      </c>
      <c r="I273" s="11">
        <v>-3.2023453657190601</v>
      </c>
      <c r="J273" s="10">
        <v>1.3631346293598099E-3</v>
      </c>
      <c r="K273" s="29">
        <v>4.9452872030840297E-2</v>
      </c>
    </row>
    <row r="274" spans="1:11" x14ac:dyDescent="0.35">
      <c r="A274" s="9" t="str">
        <f>HYPERLINK("http://www.ensembl.org/id/WBGene00011851", "WBGene00011851")</f>
        <v>WBGene00011851</v>
      </c>
      <c r="B274" s="9"/>
      <c r="C274" s="9"/>
      <c r="D274" t="str">
        <f>"clec-23"</f>
        <v>clec-23</v>
      </c>
      <c r="F274" t="s">
        <v>80</v>
      </c>
      <c r="H274" s="12">
        <v>-5.9398129925505998</v>
      </c>
      <c r="I274" s="11">
        <v>-0.65353789074873603</v>
      </c>
      <c r="J274" s="10">
        <v>0.51340957016126498</v>
      </c>
      <c r="K274" s="29">
        <v>0.98289565623980701</v>
      </c>
    </row>
    <row r="275" spans="1:11" x14ac:dyDescent="0.35">
      <c r="A275" s="9" t="str">
        <f>HYPERLINK("http://www.ensembl.org/id/WBGene00021084", "WBGene00021084")</f>
        <v>WBGene00021084</v>
      </c>
      <c r="B275" s="9" t="str">
        <f>HYPERLINK("http://www.ncbi.nlm.nih.gov/gene/177098", "177098")</f>
        <v>177098</v>
      </c>
      <c r="C275" s="9"/>
      <c r="D275" t="str">
        <f>"W08E12.3"</f>
        <v>W08E12.3</v>
      </c>
      <c r="F275" t="s">
        <v>11</v>
      </c>
      <c r="G275" t="s">
        <v>54</v>
      </c>
      <c r="H275" s="12">
        <v>-5.9291563807030601</v>
      </c>
      <c r="I275" s="11">
        <v>-1.32447456674658</v>
      </c>
      <c r="J275" s="10">
        <v>0.18534548433531001</v>
      </c>
      <c r="K275" s="29">
        <v>0.92376893033901297</v>
      </c>
    </row>
    <row r="276" spans="1:11" x14ac:dyDescent="0.35">
      <c r="A276" s="9" t="str">
        <f>HYPERLINK("http://www.ensembl.org/id/WBGene00167545", "WBGene00167545")</f>
        <v>WBGene00167545</v>
      </c>
      <c r="B276" s="9"/>
      <c r="C276" s="9"/>
      <c r="D276" t="str">
        <f>"21ur-14400"</f>
        <v>21ur-14400</v>
      </c>
      <c r="F276" t="s">
        <v>3161</v>
      </c>
      <c r="H276" s="12">
        <v>-5.9147836814778696</v>
      </c>
      <c r="I276" s="11">
        <v>-0.64732500741019305</v>
      </c>
      <c r="J276" s="10">
        <v>0.51742161994361002</v>
      </c>
      <c r="K276" s="29">
        <v>0.98289565623980701</v>
      </c>
    </row>
    <row r="277" spans="1:11" x14ac:dyDescent="0.35">
      <c r="A277" s="9" t="str">
        <f>HYPERLINK("http://www.ensembl.org/id/WBGene00219969", "WBGene00219969")</f>
        <v>WBGene00219969</v>
      </c>
      <c r="B277" s="9"/>
      <c r="C277" s="9"/>
      <c r="D277" t="str">
        <f>"F54F11.6"</f>
        <v>F54F11.6</v>
      </c>
      <c r="F277" t="s">
        <v>2977</v>
      </c>
      <c r="H277" s="12">
        <v>-5.9147836814778696</v>
      </c>
      <c r="I277" s="11">
        <v>-0.64732500741019305</v>
      </c>
      <c r="J277" s="10">
        <v>0.51742161994361002</v>
      </c>
      <c r="K277" s="29">
        <v>0.98289565623980701</v>
      </c>
    </row>
    <row r="278" spans="1:11" x14ac:dyDescent="0.35">
      <c r="A278" s="9" t="str">
        <f>HYPERLINK("http://www.ensembl.org/id/WBGene00015600", "WBGene00015600")</f>
        <v>WBGene00015600</v>
      </c>
      <c r="B278" s="9" t="str">
        <f>HYPERLINK("http://www.ncbi.nlm.nih.gov/gene/182400", "182400")</f>
        <v>182400</v>
      </c>
      <c r="C278" s="9"/>
      <c r="D278" t="str">
        <f>"fbxa-165"</f>
        <v>fbxa-165</v>
      </c>
      <c r="E278" t="s">
        <v>467</v>
      </c>
      <c r="F278" t="s">
        <v>11</v>
      </c>
      <c r="G278" t="s">
        <v>54</v>
      </c>
      <c r="H278" s="12">
        <v>-5.9147836814778696</v>
      </c>
      <c r="I278" s="11">
        <v>-0.64732500741019305</v>
      </c>
      <c r="J278" s="10">
        <v>0.51742161994361002</v>
      </c>
      <c r="K278" s="29">
        <v>0.98289565623980701</v>
      </c>
    </row>
    <row r="279" spans="1:11" x14ac:dyDescent="0.35">
      <c r="A279" s="9" t="str">
        <f>HYPERLINK("http://www.ensembl.org/id/WBGene00013972", "WBGene00013972")</f>
        <v>WBGene00013972</v>
      </c>
      <c r="B279" s="9" t="str">
        <f>HYPERLINK("http://www.ncbi.nlm.nih.gov/gene/191309", "191309")</f>
        <v>191309</v>
      </c>
      <c r="C279" s="9"/>
      <c r="D279" t="str">
        <f>"scl-20"</f>
        <v>scl-20</v>
      </c>
      <c r="E279" t="s">
        <v>162</v>
      </c>
      <c r="F279" t="s">
        <v>11</v>
      </c>
      <c r="G279" t="s">
        <v>63</v>
      </c>
      <c r="H279" s="12">
        <v>-5.9147836814778696</v>
      </c>
      <c r="I279" s="11">
        <v>-0.64732500741019305</v>
      </c>
      <c r="J279" s="10">
        <v>0.51742161994361002</v>
      </c>
      <c r="K279" s="29">
        <v>0.98289565623980701</v>
      </c>
    </row>
    <row r="280" spans="1:11" x14ac:dyDescent="0.35">
      <c r="A280" s="9" t="str">
        <f>HYPERLINK("http://www.ensembl.org/id/WBGene00006233", "WBGene00006233")</f>
        <v>WBGene00006233</v>
      </c>
      <c r="B280" s="9" t="str">
        <f>HYPERLINK("http://www.ncbi.nlm.nih.gov/gene/192027", "192027")</f>
        <v>192027</v>
      </c>
      <c r="C280" s="9"/>
      <c r="D280" t="str">
        <f>"str-196"</f>
        <v>str-196</v>
      </c>
      <c r="E280" t="s">
        <v>590</v>
      </c>
      <c r="F280" t="s">
        <v>11</v>
      </c>
      <c r="G280" t="s">
        <v>591</v>
      </c>
      <c r="H280" s="12">
        <v>-5.9147836814778696</v>
      </c>
      <c r="I280" s="11">
        <v>-0.64732500741019305</v>
      </c>
      <c r="J280" s="10">
        <v>0.51742161994361002</v>
      </c>
      <c r="K280" s="29">
        <v>0.98289565623980701</v>
      </c>
    </row>
    <row r="281" spans="1:11" x14ac:dyDescent="0.35">
      <c r="A281" s="9" t="str">
        <f>HYPERLINK("http://www.ensembl.org/id/WBGene00019376", "WBGene00019376")</f>
        <v>WBGene00019376</v>
      </c>
      <c r="B281" s="9" t="str">
        <f>HYPERLINK("http://www.ncbi.nlm.nih.gov/gene/179046", "179046")</f>
        <v>179046</v>
      </c>
      <c r="C281" s="9" t="str">
        <f>HYPERLINK("http://www.ncbi.nlm.nih.gov/gene/3988", "3988")</f>
        <v>3988</v>
      </c>
      <c r="D281" t="str">
        <f>"lipl-4"</f>
        <v>lipl-4</v>
      </c>
      <c r="E281" t="s">
        <v>18</v>
      </c>
      <c r="F281" t="s">
        <v>11</v>
      </c>
      <c r="G281" t="s">
        <v>281</v>
      </c>
      <c r="H281" s="12">
        <v>-5.8792235658570604</v>
      </c>
      <c r="I281" s="11">
        <v>-4.1723967996982099</v>
      </c>
      <c r="J281" s="10">
        <v>3.0141213138265699E-5</v>
      </c>
      <c r="K281" s="29">
        <v>2.51423419051541E-3</v>
      </c>
    </row>
    <row r="282" spans="1:11" x14ac:dyDescent="0.35">
      <c r="A282" s="9" t="str">
        <f>HYPERLINK("http://www.ensembl.org/id/WBGene00020071", "WBGene00020071")</f>
        <v>WBGene00020071</v>
      </c>
      <c r="B282" s="9" t="str">
        <f>HYPERLINK("http://www.ncbi.nlm.nih.gov/gene/177276", "177276")</f>
        <v>177276</v>
      </c>
      <c r="C282" s="9"/>
      <c r="D282" t="str">
        <f>"R13H9.5"</f>
        <v>R13H9.5</v>
      </c>
      <c r="F282" t="s">
        <v>11</v>
      </c>
      <c r="G282" t="s">
        <v>1763</v>
      </c>
      <c r="H282" s="12">
        <v>-5.85879369118424</v>
      </c>
      <c r="I282" s="11">
        <v>-0.90731415580410801</v>
      </c>
      <c r="J282" s="10">
        <v>0.36424069046908403</v>
      </c>
      <c r="K282" s="29">
        <v>0.98289565623980701</v>
      </c>
    </row>
    <row r="283" spans="1:11" x14ac:dyDescent="0.35">
      <c r="A283" s="9" t="str">
        <f>HYPERLINK("http://www.ensembl.org/id/WBGene00008209", "WBGene00008209")</f>
        <v>WBGene00008209</v>
      </c>
      <c r="B283" s="9" t="str">
        <f>HYPERLINK("http://www.ncbi.nlm.nih.gov/gene/183614", "183614")</f>
        <v>183614</v>
      </c>
      <c r="C283" s="9"/>
      <c r="D283" t="str">
        <f>"C49F5.5"</f>
        <v>C49F5.5</v>
      </c>
      <c r="F283" t="s">
        <v>11</v>
      </c>
      <c r="G283" t="s">
        <v>10119</v>
      </c>
      <c r="H283" s="12">
        <v>-5.8160083839468903</v>
      </c>
      <c r="I283" s="11">
        <v>-0.77682473011537101</v>
      </c>
      <c r="J283" s="10">
        <v>0.43726218421366903</v>
      </c>
      <c r="K283" s="29">
        <v>0.98289565623980701</v>
      </c>
    </row>
    <row r="284" spans="1:11" x14ac:dyDescent="0.35">
      <c r="A284" s="9" t="str">
        <f>HYPERLINK("http://www.ensembl.org/id/WBGene00219234", "WBGene00219234")</f>
        <v>WBGene00219234</v>
      </c>
      <c r="B284" s="9" t="str">
        <f>HYPERLINK("http://www.ncbi.nlm.nih.gov/gene/13181911", "13181911")</f>
        <v>13181911</v>
      </c>
      <c r="C284" s="9"/>
      <c r="D284" t="str">
        <f>"B0511.17"</f>
        <v>B0511.17</v>
      </c>
      <c r="F284" t="s">
        <v>11</v>
      </c>
      <c r="H284" s="12">
        <v>-5.8112743568295402</v>
      </c>
      <c r="I284" s="11">
        <v>-0.65308305132984301</v>
      </c>
      <c r="J284" s="10">
        <v>0.51370273815078205</v>
      </c>
      <c r="K284" s="29">
        <v>0.98289565623980701</v>
      </c>
    </row>
    <row r="285" spans="1:11" x14ac:dyDescent="0.35">
      <c r="A285" s="9" t="str">
        <f>HYPERLINK("http://www.ensembl.org/id/WBGene00007206", "WBGene00007206")</f>
        <v>WBGene00007206</v>
      </c>
      <c r="B285" s="9" t="str">
        <f>HYPERLINK("http://www.ncbi.nlm.nih.gov/gene/182046", "182046")</f>
        <v>182046</v>
      </c>
      <c r="C285" s="9"/>
      <c r="D285" t="str">
        <f>"B0564.6"</f>
        <v>B0564.6</v>
      </c>
      <c r="F285" t="s">
        <v>11</v>
      </c>
      <c r="G285" t="s">
        <v>10097</v>
      </c>
      <c r="H285" s="12">
        <v>-5.8112743568295402</v>
      </c>
      <c r="I285" s="11">
        <v>-0.65308305132984301</v>
      </c>
      <c r="J285" s="10">
        <v>0.51370273815078205</v>
      </c>
      <c r="K285" s="29">
        <v>0.98289565623980701</v>
      </c>
    </row>
    <row r="286" spans="1:11" x14ac:dyDescent="0.35">
      <c r="A286" s="9" t="str">
        <f>HYPERLINK("http://www.ensembl.org/id/WBGene00010656", "WBGene00010656")</f>
        <v>WBGene00010656</v>
      </c>
      <c r="B286" s="9" t="str">
        <f>HYPERLINK("http://www.ncbi.nlm.nih.gov/gene/187143", "187143")</f>
        <v>187143</v>
      </c>
      <c r="C286" s="9"/>
      <c r="D286" t="str">
        <f>"K08D8.2"</f>
        <v>K08D8.2</v>
      </c>
      <c r="F286" t="s">
        <v>11</v>
      </c>
      <c r="G286" t="s">
        <v>25</v>
      </c>
      <c r="H286" s="12">
        <v>-5.8112743568295402</v>
      </c>
      <c r="I286" s="11">
        <v>-0.65308305132984301</v>
      </c>
      <c r="J286" s="10">
        <v>0.51370273815078205</v>
      </c>
      <c r="K286" s="29">
        <v>0.98289565623980701</v>
      </c>
    </row>
    <row r="287" spans="1:11" x14ac:dyDescent="0.35">
      <c r="A287" s="9" t="str">
        <f>HYPERLINK("http://www.ensembl.org/id/WBGene00199992", "WBGene00199992")</f>
        <v>WBGene00199992</v>
      </c>
      <c r="B287" s="9"/>
      <c r="C287" s="9"/>
      <c r="D287" t="str">
        <f>"M05B5.9"</f>
        <v>M05B5.9</v>
      </c>
      <c r="F287" t="s">
        <v>481</v>
      </c>
      <c r="H287" s="12">
        <v>-5.8112743568295402</v>
      </c>
      <c r="I287" s="11">
        <v>-0.65308305132984301</v>
      </c>
      <c r="J287" s="10">
        <v>0.51370273815078205</v>
      </c>
      <c r="K287" s="29">
        <v>0.98289565623980701</v>
      </c>
    </row>
    <row r="288" spans="1:11" x14ac:dyDescent="0.35">
      <c r="A288" s="9" t="str">
        <f>HYPERLINK("http://www.ensembl.org/id/WBGene00004374", "WBGene00004374")</f>
        <v>WBGene00004374</v>
      </c>
      <c r="B288" s="9" t="str">
        <f>HYPERLINK("http://www.ncbi.nlm.nih.gov/gene/177329", "177329")</f>
        <v>177329</v>
      </c>
      <c r="C288" s="9"/>
      <c r="D288" t="str">
        <f>"rme-2"</f>
        <v>rme-2</v>
      </c>
      <c r="E288" t="s">
        <v>44</v>
      </c>
      <c r="F288" t="s">
        <v>11</v>
      </c>
      <c r="G288" t="s">
        <v>45</v>
      </c>
      <c r="H288" s="12">
        <v>-5.80534239952385</v>
      </c>
      <c r="I288" s="11">
        <v>-6.4396475472138803</v>
      </c>
      <c r="J288" s="10">
        <v>1.1975125341846601E-10</v>
      </c>
      <c r="K288" s="29">
        <v>1.3650060397875401E-7</v>
      </c>
    </row>
    <row r="289" spans="1:11" x14ac:dyDescent="0.35">
      <c r="A289" s="9" t="str">
        <f>HYPERLINK("http://www.ensembl.org/id/WBGene00015593", "WBGene00015593")</f>
        <v>WBGene00015593</v>
      </c>
      <c r="B289" s="9" t="str">
        <f>HYPERLINK("http://www.ncbi.nlm.nih.gov/gene/182395", "182395")</f>
        <v>182395</v>
      </c>
      <c r="C289" s="9"/>
      <c r="D289" t="str">
        <f>"C08E3.1"</f>
        <v>C08E3.1</v>
      </c>
      <c r="F289" t="s">
        <v>11</v>
      </c>
      <c r="H289" s="12">
        <v>-5.7845520332878797</v>
      </c>
      <c r="I289" s="11">
        <v>-1.5034300816330599</v>
      </c>
      <c r="J289" s="10">
        <v>0.13272817425721101</v>
      </c>
      <c r="K289" s="29">
        <v>0.819938272287284</v>
      </c>
    </row>
    <row r="290" spans="1:11" x14ac:dyDescent="0.35">
      <c r="A290" s="9" t="str">
        <f>HYPERLINK("http://www.ensembl.org/id/WBGene00018821", "WBGene00018821")</f>
        <v>WBGene00018821</v>
      </c>
      <c r="B290" s="9" t="str">
        <f>HYPERLINK("http://www.ncbi.nlm.nih.gov/gene/186243", "186243")</f>
        <v>186243</v>
      </c>
      <c r="C290" s="9"/>
      <c r="D290" t="str">
        <f>"F54D12.8"</f>
        <v>F54D12.8</v>
      </c>
      <c r="F290" t="s">
        <v>11</v>
      </c>
      <c r="H290" s="12">
        <v>-5.7638371882798101</v>
      </c>
      <c r="I290" s="11">
        <v>-0.74695116041410203</v>
      </c>
      <c r="J290" s="10">
        <v>0.45509304235290299</v>
      </c>
      <c r="K290" s="29">
        <v>0.98289565623980701</v>
      </c>
    </row>
    <row r="291" spans="1:11" x14ac:dyDescent="0.35">
      <c r="A291" s="9" t="str">
        <f>HYPERLINK("http://www.ensembl.org/id/WBGene00000631", "WBGene00000631")</f>
        <v>WBGene00000631</v>
      </c>
      <c r="B291" s="9" t="str">
        <f>HYPERLINK("http://www.ncbi.nlm.nih.gov/gene/185226", "185226")</f>
        <v>185226</v>
      </c>
      <c r="C291" s="9"/>
      <c r="D291" t="str">
        <f>"col-54"</f>
        <v>col-54</v>
      </c>
      <c r="E291" t="s">
        <v>40</v>
      </c>
      <c r="F291" t="s">
        <v>11</v>
      </c>
      <c r="G291" t="s">
        <v>41</v>
      </c>
      <c r="H291" s="12">
        <v>-5.7516277214804203</v>
      </c>
      <c r="I291" s="11">
        <v>-0.95722195581476099</v>
      </c>
      <c r="J291" s="10">
        <v>0.33845523737698002</v>
      </c>
      <c r="K291" s="29">
        <v>0.98289565623980701</v>
      </c>
    </row>
    <row r="292" spans="1:11" x14ac:dyDescent="0.35">
      <c r="A292" s="9" t="str">
        <f>HYPERLINK("http://www.ensembl.org/id/WBGene00005061", "WBGene00005061")</f>
        <v>WBGene00005061</v>
      </c>
      <c r="B292" s="9" t="str">
        <f>HYPERLINK("http://www.ncbi.nlm.nih.gov/gene/3565374", "3565374")</f>
        <v>3565374</v>
      </c>
      <c r="C292" s="9"/>
      <c r="D292" t="str">
        <f>"sra-35"</f>
        <v>sra-35</v>
      </c>
      <c r="E292" t="s">
        <v>4214</v>
      </c>
      <c r="F292" t="s">
        <v>11</v>
      </c>
      <c r="G292" t="s">
        <v>1468</v>
      </c>
      <c r="H292" s="12">
        <v>-5.7325913847581296</v>
      </c>
      <c r="I292" s="11">
        <v>-1.1781082177804501</v>
      </c>
      <c r="J292" s="10">
        <v>0.238753466318017</v>
      </c>
      <c r="K292" s="29">
        <v>0.98289565623980701</v>
      </c>
    </row>
    <row r="293" spans="1:11" x14ac:dyDescent="0.35">
      <c r="A293" s="9" t="str">
        <f>HYPERLINK("http://www.ensembl.org/id/WBGene00006399", "WBGene00006399")</f>
        <v>WBGene00006399</v>
      </c>
      <c r="B293" s="9" t="str">
        <f>HYPERLINK("http://www.ncbi.nlm.nih.gov/gene/191284", "191284")</f>
        <v>191284</v>
      </c>
      <c r="C293" s="9"/>
      <c r="D293" t="str">
        <f>"tag-4"</f>
        <v>tag-4</v>
      </c>
      <c r="F293" t="s">
        <v>11</v>
      </c>
      <c r="H293" s="12">
        <v>-5.7314256332473903</v>
      </c>
      <c r="I293" s="11">
        <v>-1.03770914311586</v>
      </c>
      <c r="J293" s="10">
        <v>0.29940548698639902</v>
      </c>
      <c r="K293" s="29">
        <v>0.98289565623980701</v>
      </c>
    </row>
    <row r="294" spans="1:11" x14ac:dyDescent="0.35">
      <c r="A294" s="9" t="str">
        <f>HYPERLINK("http://www.ensembl.org/id/WBGene00010599", "WBGene00010599")</f>
        <v>WBGene00010599</v>
      </c>
      <c r="B294" s="9" t="str">
        <f>HYPERLINK("http://www.ncbi.nlm.nih.gov/gene/187052", "187052")</f>
        <v>187052</v>
      </c>
      <c r="C294" s="9"/>
      <c r="D294" t="str">
        <f>"K06B4.4"</f>
        <v>K06B4.4</v>
      </c>
      <c r="F294" t="s">
        <v>11</v>
      </c>
      <c r="G294" t="s">
        <v>25</v>
      </c>
      <c r="H294" s="12">
        <v>-5.7240770346231198</v>
      </c>
      <c r="I294" s="11">
        <v>-0.63906553810324995</v>
      </c>
      <c r="J294" s="10">
        <v>0.52278029759756095</v>
      </c>
      <c r="K294" s="29">
        <v>0.98289565623980701</v>
      </c>
    </row>
    <row r="295" spans="1:11" x14ac:dyDescent="0.35">
      <c r="A295" s="9" t="str">
        <f>HYPERLINK("http://www.ensembl.org/id/WBGene00202460", "WBGene00202460")</f>
        <v>WBGene00202460</v>
      </c>
      <c r="B295" s="9"/>
      <c r="C295" s="9"/>
      <c r="D295" t="str">
        <f>"K08A8.31"</f>
        <v>K08A8.31</v>
      </c>
      <c r="F295" t="s">
        <v>481</v>
      </c>
      <c r="H295" s="12">
        <v>-5.7240770346231198</v>
      </c>
      <c r="I295" s="11">
        <v>-0.63906553810324995</v>
      </c>
      <c r="J295" s="10">
        <v>0.52278029759756095</v>
      </c>
      <c r="K295" s="29">
        <v>0.98289565623980701</v>
      </c>
    </row>
    <row r="296" spans="1:11" x14ac:dyDescent="0.35">
      <c r="A296" s="9" t="str">
        <f>HYPERLINK("http://www.ensembl.org/id/WBGene00219590", "WBGene00219590")</f>
        <v>WBGene00219590</v>
      </c>
      <c r="B296" s="9"/>
      <c r="C296" s="9"/>
      <c r="D296" t="str">
        <f>"linc-72"</f>
        <v>linc-72</v>
      </c>
      <c r="F296" t="s">
        <v>1510</v>
      </c>
      <c r="H296" s="12">
        <v>-5.7240770346231198</v>
      </c>
      <c r="I296" s="11">
        <v>-0.63906553810324995</v>
      </c>
      <c r="J296" s="10">
        <v>0.52278029759756095</v>
      </c>
      <c r="K296" s="29">
        <v>0.98289565623980701</v>
      </c>
    </row>
    <row r="297" spans="1:11" x14ac:dyDescent="0.35">
      <c r="A297" s="9" t="str">
        <f>HYPERLINK("http://www.ensembl.org/id/WBGene00219637", "WBGene00219637")</f>
        <v>WBGene00219637</v>
      </c>
      <c r="B297" s="9"/>
      <c r="C297" s="9"/>
      <c r="D297" t="str">
        <f>"linc-124"</f>
        <v>linc-124</v>
      </c>
      <c r="F297" t="s">
        <v>1510</v>
      </c>
      <c r="H297" s="12">
        <v>-5.6886150111594302</v>
      </c>
      <c r="I297" s="11">
        <v>-1.03721587044535</v>
      </c>
      <c r="J297" s="10">
        <v>0.29963526335534302</v>
      </c>
      <c r="K297" s="29">
        <v>0.98289565623980701</v>
      </c>
    </row>
    <row r="298" spans="1:11" x14ac:dyDescent="0.35">
      <c r="A298" s="9" t="str">
        <f>HYPERLINK("http://www.ensembl.org/id/WBGene00219623", "WBGene00219623")</f>
        <v>WBGene00219623</v>
      </c>
      <c r="B298" s="9"/>
      <c r="C298" s="9"/>
      <c r="D298" t="str">
        <f>"anr-2"</f>
        <v>anr-2</v>
      </c>
      <c r="F298" t="s">
        <v>2735</v>
      </c>
      <c r="H298" s="12">
        <v>-5.5966362680484698</v>
      </c>
      <c r="I298" s="11">
        <v>-1.12122412362973</v>
      </c>
      <c r="J298" s="10">
        <v>0.26219247369068899</v>
      </c>
      <c r="K298" s="29">
        <v>0.98289565623980701</v>
      </c>
    </row>
    <row r="299" spans="1:11" x14ac:dyDescent="0.35">
      <c r="A299" s="9" t="str">
        <f>HYPERLINK("http://www.ensembl.org/id/WBGene00171378", "WBGene00171378")</f>
        <v>WBGene00171378</v>
      </c>
      <c r="B299" s="9"/>
      <c r="C299" s="9"/>
      <c r="D299" t="str">
        <f>"21ur-10097"</f>
        <v>21ur-10097</v>
      </c>
      <c r="F299" t="s">
        <v>3161</v>
      </c>
      <c r="H299" s="12">
        <v>-5.5794491025289696</v>
      </c>
      <c r="I299" s="11">
        <v>-0.504738274115201</v>
      </c>
      <c r="J299" s="10">
        <v>0.61374267489732603</v>
      </c>
      <c r="K299" s="29">
        <v>0.98289565623980701</v>
      </c>
    </row>
    <row r="300" spans="1:11" x14ac:dyDescent="0.35">
      <c r="A300" s="9" t="str">
        <f>HYPERLINK("http://www.ensembl.org/id/WBGene00172646", "WBGene00172646")</f>
        <v>WBGene00172646</v>
      </c>
      <c r="B300" s="9"/>
      <c r="C300" s="9"/>
      <c r="D300" t="str">
        <f>"21ur-12454"</f>
        <v>21ur-12454</v>
      </c>
      <c r="F300" t="s">
        <v>3161</v>
      </c>
      <c r="H300" s="12">
        <v>-5.5794491025289696</v>
      </c>
      <c r="I300" s="11">
        <v>-0.504738274115201</v>
      </c>
      <c r="J300" s="10">
        <v>0.61374267489732603</v>
      </c>
      <c r="K300" s="29">
        <v>0.98289565623980701</v>
      </c>
    </row>
    <row r="301" spans="1:11" x14ac:dyDescent="0.35">
      <c r="A301" s="9" t="str">
        <f>HYPERLINK("http://www.ensembl.org/id/WBGene00047823", "WBGene00047823")</f>
        <v>WBGene00047823</v>
      </c>
      <c r="B301" s="9"/>
      <c r="C301" s="9"/>
      <c r="D301" t="str">
        <f>"21ur-5134"</f>
        <v>21ur-5134</v>
      </c>
      <c r="F301" t="s">
        <v>3161</v>
      </c>
      <c r="H301" s="12">
        <v>-5.5794491025289696</v>
      </c>
      <c r="I301" s="11">
        <v>-0.504738274115201</v>
      </c>
      <c r="J301" s="10">
        <v>0.61374267489732603</v>
      </c>
      <c r="K301" s="29">
        <v>0.98289565623980701</v>
      </c>
    </row>
    <row r="302" spans="1:11" x14ac:dyDescent="0.35">
      <c r="A302" s="9" t="str">
        <f>HYPERLINK("http://www.ensembl.org/id/WBGene00200596", "WBGene00200596")</f>
        <v>WBGene00200596</v>
      </c>
      <c r="B302" s="9"/>
      <c r="C302" s="9"/>
      <c r="D302" t="str">
        <f>"C01B7.15"</f>
        <v>C01B7.15</v>
      </c>
      <c r="F302" t="s">
        <v>481</v>
      </c>
      <c r="H302" s="12">
        <v>-5.5794491025289696</v>
      </c>
      <c r="I302" s="11">
        <v>-0.504738274115201</v>
      </c>
      <c r="J302" s="10">
        <v>0.61374267489732603</v>
      </c>
      <c r="K302" s="29">
        <v>0.98289565623980701</v>
      </c>
    </row>
    <row r="303" spans="1:11" x14ac:dyDescent="0.35">
      <c r="A303" s="9" t="str">
        <f>HYPERLINK("http://www.ensembl.org/id/WBGene00015722", "WBGene00015722")</f>
        <v>WBGene00015722</v>
      </c>
      <c r="B303" s="9" t="str">
        <f>HYPERLINK("http://www.ncbi.nlm.nih.gov/gene/182553", "182553")</f>
        <v>182553</v>
      </c>
      <c r="C303" s="9"/>
      <c r="D303" t="str">
        <f>"C13A2.5"</f>
        <v>C13A2.5</v>
      </c>
      <c r="F303" t="s">
        <v>11</v>
      </c>
      <c r="G303" t="s">
        <v>1686</v>
      </c>
      <c r="H303" s="12">
        <v>-5.5794491025289696</v>
      </c>
      <c r="I303" s="11">
        <v>-0.504738274115201</v>
      </c>
      <c r="J303" s="10">
        <v>0.61374267489732603</v>
      </c>
      <c r="K303" s="29">
        <v>0.98289565623980701</v>
      </c>
    </row>
    <row r="304" spans="1:11" x14ac:dyDescent="0.35">
      <c r="A304" s="9" t="str">
        <f>HYPERLINK("http://www.ensembl.org/id/WBGene00199614", "WBGene00199614")</f>
        <v>WBGene00199614</v>
      </c>
      <c r="B304" s="9"/>
      <c r="C304" s="9"/>
      <c r="D304" t="str">
        <f>"C45B2.13"</f>
        <v>C45B2.13</v>
      </c>
      <c r="F304" t="s">
        <v>481</v>
      </c>
      <c r="H304" s="12">
        <v>-5.5794491025289696</v>
      </c>
      <c r="I304" s="11">
        <v>-0.504738274115201</v>
      </c>
      <c r="J304" s="10">
        <v>0.61374267489732603</v>
      </c>
      <c r="K304" s="29">
        <v>0.98289565623980701</v>
      </c>
    </row>
    <row r="305" spans="1:11" x14ac:dyDescent="0.35">
      <c r="A305" s="9" t="str">
        <f>HYPERLINK("http://www.ensembl.org/id/WBGene00013831", "WBGene00013831")</f>
        <v>WBGene00013831</v>
      </c>
      <c r="B305" s="9" t="str">
        <f>HYPERLINK("http://www.ncbi.nlm.nih.gov/gene/191051", "191051")</f>
        <v>191051</v>
      </c>
      <c r="C305" s="9"/>
      <c r="D305" t="str">
        <f>"clec-262"</f>
        <v>clec-262</v>
      </c>
      <c r="E305" t="s">
        <v>46</v>
      </c>
      <c r="F305" t="s">
        <v>11</v>
      </c>
      <c r="H305" s="12">
        <v>-5.5794491025289696</v>
      </c>
      <c r="I305" s="11">
        <v>-0.504738274115201</v>
      </c>
      <c r="J305" s="10">
        <v>0.61374267489732603</v>
      </c>
      <c r="K305" s="29">
        <v>0.98289565623980701</v>
      </c>
    </row>
    <row r="306" spans="1:11" x14ac:dyDescent="0.35">
      <c r="A306" s="9" t="str">
        <f>HYPERLINK("http://www.ensembl.org/id/WBGene00195896", "WBGene00195896")</f>
        <v>WBGene00195896</v>
      </c>
      <c r="B306" s="9"/>
      <c r="C306" s="9"/>
      <c r="D306" t="str">
        <f>"F31E3.8"</f>
        <v>F31E3.8</v>
      </c>
      <c r="F306" t="s">
        <v>481</v>
      </c>
      <c r="H306" s="12">
        <v>-5.5794491025289696</v>
      </c>
      <c r="I306" s="11">
        <v>-0.504738274115201</v>
      </c>
      <c r="J306" s="10">
        <v>0.61374267489732603</v>
      </c>
      <c r="K306" s="29">
        <v>0.98289565623980701</v>
      </c>
    </row>
    <row r="307" spans="1:11" x14ac:dyDescent="0.35">
      <c r="A307" s="9" t="str">
        <f>HYPERLINK("http://www.ensembl.org/id/WBGene00202027", "WBGene00202027")</f>
        <v>WBGene00202027</v>
      </c>
      <c r="B307" s="9"/>
      <c r="C307" s="9"/>
      <c r="D307" t="str">
        <f>"F32A7.9"</f>
        <v>F32A7.9</v>
      </c>
      <c r="F307" t="s">
        <v>481</v>
      </c>
      <c r="H307" s="12">
        <v>-5.5794491025289696</v>
      </c>
      <c r="I307" s="11">
        <v>-0.504738274115201</v>
      </c>
      <c r="J307" s="10">
        <v>0.61374267489732603</v>
      </c>
      <c r="K307" s="29">
        <v>0.98289565623980701</v>
      </c>
    </row>
    <row r="308" spans="1:11" x14ac:dyDescent="0.35">
      <c r="A308" s="9" t="str">
        <f>HYPERLINK("http://www.ensembl.org/id/WBGene00198034", "WBGene00198034")</f>
        <v>WBGene00198034</v>
      </c>
      <c r="B308" s="9"/>
      <c r="C308" s="9"/>
      <c r="D308" t="str">
        <f>"F36G3.7"</f>
        <v>F36G3.7</v>
      </c>
      <c r="F308" t="s">
        <v>481</v>
      </c>
      <c r="H308" s="12">
        <v>-5.5794491025289696</v>
      </c>
      <c r="I308" s="11">
        <v>-0.504738274115201</v>
      </c>
      <c r="J308" s="10">
        <v>0.61374267489732603</v>
      </c>
      <c r="K308" s="29">
        <v>0.98289565623980701</v>
      </c>
    </row>
    <row r="309" spans="1:11" x14ac:dyDescent="0.35">
      <c r="A309" s="9" t="str">
        <f>HYPERLINK("http://www.ensembl.org/id/WBGene00018449", "WBGene00018449")</f>
        <v>WBGene00018449</v>
      </c>
      <c r="B309" s="9"/>
      <c r="C309" s="9"/>
      <c r="D309" t="str">
        <f>"F45D11.2"</f>
        <v>F45D11.2</v>
      </c>
      <c r="F309" t="s">
        <v>80</v>
      </c>
      <c r="H309" s="12">
        <v>-5.5794491025289696</v>
      </c>
      <c r="I309" s="11">
        <v>-0.504738274115201</v>
      </c>
      <c r="J309" s="10">
        <v>0.61374267489732603</v>
      </c>
      <c r="K309" s="29">
        <v>0.98289565623980701</v>
      </c>
    </row>
    <row r="310" spans="1:11" x14ac:dyDescent="0.35">
      <c r="A310" s="9" t="str">
        <f>HYPERLINK("http://www.ensembl.org/id/WBGene00198086", "WBGene00198086")</f>
        <v>WBGene00198086</v>
      </c>
      <c r="B310" s="9"/>
      <c r="C310" s="9"/>
      <c r="D310" t="str">
        <f>"F55A8.5"</f>
        <v>F55A8.5</v>
      </c>
      <c r="F310" t="s">
        <v>481</v>
      </c>
      <c r="H310" s="12">
        <v>-5.5794491025289696</v>
      </c>
      <c r="I310" s="11">
        <v>-0.504738274115201</v>
      </c>
      <c r="J310" s="10">
        <v>0.61374267489732603</v>
      </c>
      <c r="K310" s="29">
        <v>0.98289565623980701</v>
      </c>
    </row>
    <row r="311" spans="1:11" x14ac:dyDescent="0.35">
      <c r="A311" s="9" t="str">
        <f>HYPERLINK("http://www.ensembl.org/id/WBGene00010271", "WBGene00010271")</f>
        <v>WBGene00010271</v>
      </c>
      <c r="B311" s="9"/>
      <c r="C311" s="9"/>
      <c r="D311" t="str">
        <f>"F58G1.9"</f>
        <v>F58G1.9</v>
      </c>
      <c r="F311" t="s">
        <v>80</v>
      </c>
      <c r="H311" s="12">
        <v>-5.5794491025289696</v>
      </c>
      <c r="I311" s="11">
        <v>-0.504738274115201</v>
      </c>
      <c r="J311" s="10">
        <v>0.61374267489732603</v>
      </c>
      <c r="K311" s="29">
        <v>0.98289565623980701</v>
      </c>
    </row>
    <row r="312" spans="1:11" x14ac:dyDescent="0.35">
      <c r="A312" s="9" t="str">
        <f>HYPERLINK("http://www.ensembl.org/id/WBGene00007864", "WBGene00007864")</f>
        <v>WBGene00007864</v>
      </c>
      <c r="B312" s="9" t="str">
        <f>HYPERLINK("http://www.ncbi.nlm.nih.gov/gene/183126", "183126")</f>
        <v>183126</v>
      </c>
      <c r="C312" s="9"/>
      <c r="D312" t="str">
        <f>"irg-6"</f>
        <v>irg-6</v>
      </c>
      <c r="E312" t="s">
        <v>1875</v>
      </c>
      <c r="F312" t="s">
        <v>11</v>
      </c>
      <c r="H312" s="12">
        <v>-5.5794491025289696</v>
      </c>
      <c r="I312" s="11">
        <v>-0.504738274115201</v>
      </c>
      <c r="J312" s="10">
        <v>0.61374267489732603</v>
      </c>
      <c r="K312" s="29">
        <v>0.98289565623980701</v>
      </c>
    </row>
    <row r="313" spans="1:11" x14ac:dyDescent="0.35">
      <c r="A313" s="9" t="str">
        <f>HYPERLINK("http://www.ensembl.org/id/WBGene00196862", "WBGene00196862")</f>
        <v>WBGene00196862</v>
      </c>
      <c r="B313" s="9"/>
      <c r="C313" s="9"/>
      <c r="D313" t="str">
        <f>"K02A4.3"</f>
        <v>K02A4.3</v>
      </c>
      <c r="F313" t="s">
        <v>481</v>
      </c>
      <c r="H313" s="12">
        <v>-5.5794491025289696</v>
      </c>
      <c r="I313" s="11">
        <v>-0.504738274115201</v>
      </c>
      <c r="J313" s="10">
        <v>0.61374267489732603</v>
      </c>
      <c r="K313" s="29">
        <v>0.98289565623980701</v>
      </c>
    </row>
    <row r="314" spans="1:11" x14ac:dyDescent="0.35">
      <c r="A314" s="9" t="str">
        <f>HYPERLINK("http://www.ensembl.org/id/WBGene00043466", "WBGene00043466")</f>
        <v>WBGene00043466</v>
      </c>
      <c r="B314" s="9" t="str">
        <f>HYPERLINK("http://www.ncbi.nlm.nih.gov/gene/24104791", "24104791")</f>
        <v>24104791</v>
      </c>
      <c r="C314" s="9"/>
      <c r="D314" t="str">
        <f>"R05G6.3"</f>
        <v>R05G6.3</v>
      </c>
      <c r="F314" t="s">
        <v>11</v>
      </c>
      <c r="H314" s="12">
        <v>-5.5794491025289696</v>
      </c>
      <c r="I314" s="11">
        <v>-0.504738274115201</v>
      </c>
      <c r="J314" s="10">
        <v>0.61374267489732603</v>
      </c>
      <c r="K314" s="29">
        <v>0.98289565623980701</v>
      </c>
    </row>
    <row r="315" spans="1:11" x14ac:dyDescent="0.35">
      <c r="A315" s="9" t="str">
        <f>HYPERLINK("http://www.ensembl.org/id/WBGene00005146", "WBGene00005146")</f>
        <v>WBGene00005146</v>
      </c>
      <c r="B315" s="9" t="str">
        <f>HYPERLINK("http://www.ncbi.nlm.nih.gov/gene/191826", "191826")</f>
        <v>191826</v>
      </c>
      <c r="C315" s="9"/>
      <c r="D315" t="str">
        <f>"srd-69"</f>
        <v>srd-69</v>
      </c>
      <c r="E315" t="s">
        <v>1513</v>
      </c>
      <c r="F315" t="s">
        <v>11</v>
      </c>
      <c r="G315" t="s">
        <v>25</v>
      </c>
      <c r="H315" s="12">
        <v>-5.5794491025289696</v>
      </c>
      <c r="I315" s="11">
        <v>-0.504738274115201</v>
      </c>
      <c r="J315" s="10">
        <v>0.61374267489732603</v>
      </c>
      <c r="K315" s="29">
        <v>0.98289565623980701</v>
      </c>
    </row>
    <row r="316" spans="1:11" x14ac:dyDescent="0.35">
      <c r="A316" s="9" t="str">
        <f>HYPERLINK("http://www.ensembl.org/id/WBGene00235328", "WBGene00235328")</f>
        <v>WBGene00235328</v>
      </c>
      <c r="B316" s="9" t="str">
        <f>HYPERLINK("http://www.ncbi.nlm.nih.gov/gene/24104860", "24104860")</f>
        <v>24104860</v>
      </c>
      <c r="C316" s="9"/>
      <c r="D316" t="str">
        <f>"T06E4.21"</f>
        <v>T06E4.21</v>
      </c>
      <c r="F316" t="s">
        <v>11</v>
      </c>
      <c r="G316" t="s">
        <v>25</v>
      </c>
      <c r="H316" s="12">
        <v>-5.5794491025289696</v>
      </c>
      <c r="I316" s="11">
        <v>-0.504738274115201</v>
      </c>
      <c r="J316" s="10">
        <v>0.61374267489732603</v>
      </c>
      <c r="K316" s="29">
        <v>0.98289565623980701</v>
      </c>
    </row>
    <row r="317" spans="1:11" x14ac:dyDescent="0.35">
      <c r="A317" s="9" t="str">
        <f>HYPERLINK("http://www.ensembl.org/id/WBGene00197153", "WBGene00197153")</f>
        <v>WBGene00197153</v>
      </c>
      <c r="B317" s="9"/>
      <c r="C317" s="9"/>
      <c r="D317" t="str">
        <f>"T18D3.12"</f>
        <v>T18D3.12</v>
      </c>
      <c r="F317" t="s">
        <v>481</v>
      </c>
      <c r="H317" s="12">
        <v>-5.5794491025289696</v>
      </c>
      <c r="I317" s="11">
        <v>-0.504738274115201</v>
      </c>
      <c r="J317" s="10">
        <v>0.61374267489732603</v>
      </c>
      <c r="K317" s="29">
        <v>0.98289565623980701</v>
      </c>
    </row>
    <row r="318" spans="1:11" x14ac:dyDescent="0.35">
      <c r="A318" s="9" t="str">
        <f>HYPERLINK("http://www.ensembl.org/id/WBGene00235388", "WBGene00235388")</f>
        <v>WBGene00235388</v>
      </c>
      <c r="B318" s="9" t="str">
        <f>HYPERLINK("http://www.ncbi.nlm.nih.gov/gene/24104989", "24104989")</f>
        <v>24104989</v>
      </c>
      <c r="C318" s="9"/>
      <c r="D318" t="str">
        <f>"W04C9.9"</f>
        <v>W04C9.9</v>
      </c>
      <c r="F318" t="s">
        <v>11</v>
      </c>
      <c r="H318" s="12">
        <v>-5.5794491025289696</v>
      </c>
      <c r="I318" s="11">
        <v>-0.504738274115201</v>
      </c>
      <c r="J318" s="10">
        <v>0.61374267489732603</v>
      </c>
      <c r="K318" s="29">
        <v>0.98289565623980701</v>
      </c>
    </row>
    <row r="319" spans="1:11" x14ac:dyDescent="0.35">
      <c r="A319" s="9" t="str">
        <f>HYPERLINK("http://www.ensembl.org/id/WBGene00201258", "WBGene00201258")</f>
        <v>WBGene00201258</v>
      </c>
      <c r="B319" s="9"/>
      <c r="C319" s="9"/>
      <c r="D319" t="str">
        <f>"Y66D12A.29"</f>
        <v>Y66D12A.29</v>
      </c>
      <c r="F319" t="s">
        <v>481</v>
      </c>
      <c r="H319" s="12">
        <v>-5.5794491025289696</v>
      </c>
      <c r="I319" s="11">
        <v>-0.504738274115201</v>
      </c>
      <c r="J319" s="10">
        <v>0.61374267489732603</v>
      </c>
      <c r="K319" s="29">
        <v>0.98289565623980701</v>
      </c>
    </row>
    <row r="320" spans="1:11" x14ac:dyDescent="0.35">
      <c r="A320" s="9" t="str">
        <f>HYPERLINK("http://www.ensembl.org/id/WBGene00201849", "WBGene00201849")</f>
        <v>WBGene00201849</v>
      </c>
      <c r="B320" s="9"/>
      <c r="C320" s="9"/>
      <c r="D320" t="str">
        <f>"ZK617.23"</f>
        <v>ZK617.23</v>
      </c>
      <c r="F320" t="s">
        <v>481</v>
      </c>
      <c r="H320" s="12">
        <v>-5.5794491025289696</v>
      </c>
      <c r="I320" s="11">
        <v>-0.504738274115201</v>
      </c>
      <c r="J320" s="10">
        <v>0.61374267489732603</v>
      </c>
      <c r="K320" s="29">
        <v>0.98289565623980701</v>
      </c>
    </row>
    <row r="321" spans="1:11" x14ac:dyDescent="0.35">
      <c r="A321" s="9" t="str">
        <f>HYPERLINK("http://www.ensembl.org/id/WBGene00017404", "WBGene00017404")</f>
        <v>WBGene00017404</v>
      </c>
      <c r="B321" s="9"/>
      <c r="C321" s="9"/>
      <c r="D321" t="str">
        <f>"F12E12.3"</f>
        <v>F12E12.3</v>
      </c>
      <c r="F321" t="s">
        <v>80</v>
      </c>
      <c r="H321" s="12">
        <v>-5.5706771292581099</v>
      </c>
      <c r="I321" s="11">
        <v>-1.1227153826212299</v>
      </c>
      <c r="J321" s="10">
        <v>0.26155839275140802</v>
      </c>
      <c r="K321" s="29">
        <v>0.98289565623980701</v>
      </c>
    </row>
    <row r="322" spans="1:11" x14ac:dyDescent="0.35">
      <c r="A322" s="9" t="str">
        <f>HYPERLINK("http://www.ensembl.org/id/WBGene00196089", "WBGene00196089")</f>
        <v>WBGene00196089</v>
      </c>
      <c r="B322" s="9"/>
      <c r="C322" s="9"/>
      <c r="D322" t="str">
        <f>"C15F1.13"</f>
        <v>C15F1.13</v>
      </c>
      <c r="F322" t="s">
        <v>481</v>
      </c>
      <c r="H322" s="12">
        <v>-5.5518734612868403</v>
      </c>
      <c r="I322" s="11">
        <v>-0.90757158089356604</v>
      </c>
      <c r="J322" s="10">
        <v>0.36410461479878498</v>
      </c>
      <c r="K322" s="29">
        <v>0.98289565623980701</v>
      </c>
    </row>
    <row r="323" spans="1:11" x14ac:dyDescent="0.35">
      <c r="A323" s="9" t="str">
        <f>HYPERLINK("http://www.ensembl.org/id/WBGene00219726", "WBGene00219726")</f>
        <v>WBGene00219726</v>
      </c>
      <c r="B323" s="9"/>
      <c r="C323" s="9"/>
      <c r="D323" t="str">
        <f>"linc-116"</f>
        <v>linc-116</v>
      </c>
      <c r="F323" t="s">
        <v>1510</v>
      </c>
      <c r="H323" s="12">
        <v>-5.5424866774288697</v>
      </c>
      <c r="I323" s="11">
        <v>-1.4994878471369999</v>
      </c>
      <c r="J323" s="10">
        <v>0.13374711911862999</v>
      </c>
      <c r="K323" s="29">
        <v>0.82103300558910197</v>
      </c>
    </row>
    <row r="324" spans="1:11" x14ac:dyDescent="0.35">
      <c r="A324" s="9" t="str">
        <f>HYPERLINK("http://www.ensembl.org/id/WBGene00022642", "WBGene00022642")</f>
        <v>WBGene00022642</v>
      </c>
      <c r="B324" s="9" t="str">
        <f>HYPERLINK("http://www.ncbi.nlm.nih.gov/gene/178563", "178563")</f>
        <v>178563</v>
      </c>
      <c r="C324" s="9" t="str">
        <f>HYPERLINK("http://www.ncbi.nlm.nih.gov/gene/3988", "3988")</f>
        <v>3988</v>
      </c>
      <c r="D324" t="str">
        <f>"lipl-5"</f>
        <v>lipl-5</v>
      </c>
      <c r="E324" t="s">
        <v>18</v>
      </c>
      <c r="F324" t="s">
        <v>11</v>
      </c>
      <c r="G324" t="s">
        <v>19</v>
      </c>
      <c r="H324" s="12">
        <v>-5.5309401841851802</v>
      </c>
      <c r="I324" s="11">
        <v>-7.5119626599632197</v>
      </c>
      <c r="J324" s="10">
        <v>5.8247404962365401E-14</v>
      </c>
      <c r="K324" s="29">
        <v>2.6917290781208298E-10</v>
      </c>
    </row>
    <row r="325" spans="1:11" x14ac:dyDescent="0.35">
      <c r="A325" s="9" t="str">
        <f>HYPERLINK("http://www.ensembl.org/id/WBGene00015083", "WBGene00015083")</f>
        <v>WBGene00015083</v>
      </c>
      <c r="B325" s="9" t="str">
        <f>HYPERLINK("http://www.ncbi.nlm.nih.gov/gene/175804", "175804")</f>
        <v>175804</v>
      </c>
      <c r="C325" s="9"/>
      <c r="D325" t="str">
        <f>"egg-1"</f>
        <v>egg-1</v>
      </c>
      <c r="E325" t="s">
        <v>72</v>
      </c>
      <c r="F325" t="s">
        <v>11</v>
      </c>
      <c r="G325" t="s">
        <v>54</v>
      </c>
      <c r="H325" s="12">
        <v>-5.5285189819961396</v>
      </c>
      <c r="I325" s="11">
        <v>-6.0239379007757003</v>
      </c>
      <c r="J325" s="10">
        <v>1.7022369982046299E-9</v>
      </c>
      <c r="K325" s="29">
        <v>8.3684868256417197E-7</v>
      </c>
    </row>
    <row r="326" spans="1:11" x14ac:dyDescent="0.35">
      <c r="A326" s="9" t="str">
        <f>HYPERLINK("http://www.ensembl.org/id/WBGene00017987", "WBGene00017987")</f>
        <v>WBGene00017987</v>
      </c>
      <c r="B326" s="9" t="str">
        <f>HYPERLINK("http://www.ncbi.nlm.nih.gov/gene/185202", "185202")</f>
        <v>185202</v>
      </c>
      <c r="C326" s="9"/>
      <c r="D326" t="str">
        <f>"F32D1.8"</f>
        <v>F32D1.8</v>
      </c>
      <c r="F326" t="s">
        <v>11</v>
      </c>
      <c r="H326" s="12">
        <v>-5.5157056128461601</v>
      </c>
      <c r="I326" s="11">
        <v>-0.79168160781741903</v>
      </c>
      <c r="J326" s="10">
        <v>0.42854634915061701</v>
      </c>
      <c r="K326" s="29">
        <v>0.98289565623980701</v>
      </c>
    </row>
    <row r="327" spans="1:11" x14ac:dyDescent="0.35">
      <c r="A327" s="9" t="str">
        <f>HYPERLINK("http://www.ensembl.org/id/WBGene00170588", "WBGene00170588")</f>
        <v>WBGene00170588</v>
      </c>
      <c r="B327" s="9"/>
      <c r="C327" s="9"/>
      <c r="D327" t="str">
        <f>"21ur-10695"</f>
        <v>21ur-10695</v>
      </c>
      <c r="F327" t="s">
        <v>3161</v>
      </c>
      <c r="H327" s="12">
        <v>-5.4967879193631202</v>
      </c>
      <c r="I327" s="11">
        <v>-0.50254160819837501</v>
      </c>
      <c r="J327" s="10">
        <v>0.61528659178453604</v>
      </c>
      <c r="K327" s="29">
        <v>0.98289565623980701</v>
      </c>
    </row>
    <row r="328" spans="1:11" x14ac:dyDescent="0.35">
      <c r="A328" s="9" t="str">
        <f>HYPERLINK("http://www.ensembl.org/id/WBGene00166311", "WBGene00166311")</f>
        <v>WBGene00166311</v>
      </c>
      <c r="B328" s="9"/>
      <c r="C328" s="9"/>
      <c r="D328" t="str">
        <f>"21ur-12330"</f>
        <v>21ur-12330</v>
      </c>
      <c r="F328" t="s">
        <v>3161</v>
      </c>
      <c r="H328" s="12">
        <v>-5.4967879193631202</v>
      </c>
      <c r="I328" s="11">
        <v>-0.50254160819837501</v>
      </c>
      <c r="J328" s="10">
        <v>0.61528659178453604</v>
      </c>
      <c r="K328" s="29">
        <v>0.98289565623980701</v>
      </c>
    </row>
    <row r="329" spans="1:11" x14ac:dyDescent="0.35">
      <c r="A329" s="9" t="str">
        <f>HYPERLINK("http://www.ensembl.org/id/WBGene00172838", "WBGene00172838")</f>
        <v>WBGene00172838</v>
      </c>
      <c r="B329" s="9"/>
      <c r="C329" s="9"/>
      <c r="D329" t="str">
        <f>"21ur-13572"</f>
        <v>21ur-13572</v>
      </c>
      <c r="F329" t="s">
        <v>3161</v>
      </c>
      <c r="H329" s="12">
        <v>-5.4967879193631202</v>
      </c>
      <c r="I329" s="11">
        <v>-0.50254160819837501</v>
      </c>
      <c r="J329" s="10">
        <v>0.61528659178453604</v>
      </c>
      <c r="K329" s="29">
        <v>0.98289565623980701</v>
      </c>
    </row>
    <row r="330" spans="1:11" x14ac:dyDescent="0.35">
      <c r="A330" s="9" t="str">
        <f>HYPERLINK("http://www.ensembl.org/id/WBGene00173839", "WBGene00173839")</f>
        <v>WBGene00173839</v>
      </c>
      <c r="B330" s="9"/>
      <c r="C330" s="9"/>
      <c r="D330" t="str">
        <f>"21ur-13908"</f>
        <v>21ur-13908</v>
      </c>
      <c r="F330" t="s">
        <v>3161</v>
      </c>
      <c r="H330" s="12">
        <v>-5.4967879193631202</v>
      </c>
      <c r="I330" s="11">
        <v>-0.50254160819837501</v>
      </c>
      <c r="J330" s="10">
        <v>0.61528659178453604</v>
      </c>
      <c r="K330" s="29">
        <v>0.98289565623980701</v>
      </c>
    </row>
    <row r="331" spans="1:11" x14ac:dyDescent="0.35">
      <c r="A331" s="9" t="str">
        <f>HYPERLINK("http://www.ensembl.org/id/WBGene00166100", "WBGene00166100")</f>
        <v>WBGene00166100</v>
      </c>
      <c r="B331" s="9"/>
      <c r="C331" s="9"/>
      <c r="D331" t="str">
        <f>"21ur-6496"</f>
        <v>21ur-6496</v>
      </c>
      <c r="F331" t="s">
        <v>3161</v>
      </c>
      <c r="H331" s="12">
        <v>-5.4967879193631202</v>
      </c>
      <c r="I331" s="11">
        <v>-0.50254160819837501</v>
      </c>
      <c r="J331" s="10">
        <v>0.61528659178453604</v>
      </c>
      <c r="K331" s="29">
        <v>0.98289565623980701</v>
      </c>
    </row>
    <row r="332" spans="1:11" x14ac:dyDescent="0.35">
      <c r="A332" s="9" t="str">
        <f>HYPERLINK("http://www.ensembl.org/id/WBGene00165100", "WBGene00165100")</f>
        <v>WBGene00165100</v>
      </c>
      <c r="B332" s="9"/>
      <c r="C332" s="9"/>
      <c r="D332" t="str">
        <f>"21ur-7671"</f>
        <v>21ur-7671</v>
      </c>
      <c r="F332" t="s">
        <v>3161</v>
      </c>
      <c r="H332" s="12">
        <v>-5.4967879193631202</v>
      </c>
      <c r="I332" s="11">
        <v>-0.50254160819837501</v>
      </c>
      <c r="J332" s="10">
        <v>0.61528659178453604</v>
      </c>
      <c r="K332" s="29">
        <v>0.98289565623980701</v>
      </c>
    </row>
    <row r="333" spans="1:11" x14ac:dyDescent="0.35">
      <c r="A333" s="9" t="str">
        <f>HYPERLINK("http://www.ensembl.org/id/WBGene00077489", "WBGene00077489")</f>
        <v>WBGene00077489</v>
      </c>
      <c r="B333" s="9" t="str">
        <f>HYPERLINK("http://www.ncbi.nlm.nih.gov/gene/6418617", "6418617")</f>
        <v>6418617</v>
      </c>
      <c r="C333" s="9"/>
      <c r="D333" t="str">
        <f>"C04G6.13"</f>
        <v>C04G6.13</v>
      </c>
      <c r="F333" t="s">
        <v>11</v>
      </c>
      <c r="H333" s="12">
        <v>-5.4967879193631202</v>
      </c>
      <c r="I333" s="11">
        <v>-0.50254160819837501</v>
      </c>
      <c r="J333" s="10">
        <v>0.61528659178453604</v>
      </c>
      <c r="K333" s="29">
        <v>0.98289565623980701</v>
      </c>
    </row>
    <row r="334" spans="1:11" x14ac:dyDescent="0.35">
      <c r="A334" s="9" t="str">
        <f>HYPERLINK("http://www.ensembl.org/id/WBGene00045322", "WBGene00045322")</f>
        <v>WBGene00045322</v>
      </c>
      <c r="B334" s="9"/>
      <c r="C334" s="9"/>
      <c r="D334" t="str">
        <f>"C09F9.7"</f>
        <v>C09F9.7</v>
      </c>
      <c r="F334" t="s">
        <v>80</v>
      </c>
      <c r="H334" s="12">
        <v>-5.4967879193631202</v>
      </c>
      <c r="I334" s="11">
        <v>-0.50254160819837501</v>
      </c>
      <c r="J334" s="10">
        <v>0.61528659178453604</v>
      </c>
      <c r="K334" s="29">
        <v>0.98289565623980701</v>
      </c>
    </row>
    <row r="335" spans="1:11" x14ac:dyDescent="0.35">
      <c r="A335" s="9" t="str">
        <f>HYPERLINK("http://www.ensembl.org/id/WBGene00201323", "WBGene00201323")</f>
        <v>WBGene00201323</v>
      </c>
      <c r="B335" s="9"/>
      <c r="C335" s="9"/>
      <c r="D335" t="str">
        <f>"C10G6.52"</f>
        <v>C10G6.52</v>
      </c>
      <c r="F335" t="s">
        <v>481</v>
      </c>
      <c r="H335" s="12">
        <v>-5.4967879193631202</v>
      </c>
      <c r="I335" s="11">
        <v>-0.50254160819837501</v>
      </c>
      <c r="J335" s="10">
        <v>0.61528659178453604</v>
      </c>
      <c r="K335" s="29">
        <v>0.98289565623980701</v>
      </c>
    </row>
    <row r="336" spans="1:11" x14ac:dyDescent="0.35">
      <c r="A336" s="9" t="str">
        <f>HYPERLINK("http://www.ensembl.org/id/WBGene00201765", "WBGene00201765")</f>
        <v>WBGene00201765</v>
      </c>
      <c r="B336" s="9"/>
      <c r="C336" s="9"/>
      <c r="D336" t="str">
        <f>"C10H11.13"</f>
        <v>C10H11.13</v>
      </c>
      <c r="F336" t="s">
        <v>481</v>
      </c>
      <c r="H336" s="12">
        <v>-5.4967879193631202</v>
      </c>
      <c r="I336" s="11">
        <v>-0.50254160819837501</v>
      </c>
      <c r="J336" s="10">
        <v>0.61528659178453604</v>
      </c>
      <c r="K336" s="29">
        <v>0.98289565623980701</v>
      </c>
    </row>
    <row r="337" spans="1:11" x14ac:dyDescent="0.35">
      <c r="A337" s="9" t="str">
        <f>HYPERLINK("http://www.ensembl.org/id/WBGene00200009", "WBGene00200009")</f>
        <v>WBGene00200009</v>
      </c>
      <c r="B337" s="9"/>
      <c r="C337" s="9"/>
      <c r="D337" t="str">
        <f>"C29H12.10"</f>
        <v>C29H12.10</v>
      </c>
      <c r="F337" t="s">
        <v>481</v>
      </c>
      <c r="H337" s="12">
        <v>-5.4967879193631202</v>
      </c>
      <c r="I337" s="11">
        <v>-0.50254160819837501</v>
      </c>
      <c r="J337" s="10">
        <v>0.61528659178453604</v>
      </c>
      <c r="K337" s="29">
        <v>0.98289565623980701</v>
      </c>
    </row>
    <row r="338" spans="1:11" x14ac:dyDescent="0.35">
      <c r="A338" s="9" t="str">
        <f>HYPERLINK("http://www.ensembl.org/id/WBGene00199419", "WBGene00199419")</f>
        <v>WBGene00199419</v>
      </c>
      <c r="B338" s="9"/>
      <c r="C338" s="9"/>
      <c r="D338" t="str">
        <f>"C48D5.7"</f>
        <v>C48D5.7</v>
      </c>
      <c r="F338" t="s">
        <v>481</v>
      </c>
      <c r="H338" s="12">
        <v>-5.4967879193631202</v>
      </c>
      <c r="I338" s="11">
        <v>-0.50254160819837501</v>
      </c>
      <c r="J338" s="10">
        <v>0.61528659178453604</v>
      </c>
      <c r="K338" s="29">
        <v>0.98289565623980701</v>
      </c>
    </row>
    <row r="339" spans="1:11" x14ac:dyDescent="0.35">
      <c r="A339" s="9" t="str">
        <f>HYPERLINK("http://www.ensembl.org/id/WBGene00021291", "WBGene00021291")</f>
        <v>WBGene00021291</v>
      </c>
      <c r="B339" s="9" t="str">
        <f>HYPERLINK("http://www.ncbi.nlm.nih.gov/gene/189537", "189537")</f>
        <v>189537</v>
      </c>
      <c r="C339" s="9"/>
      <c r="D339" t="str">
        <f>"clec-121"</f>
        <v>clec-121</v>
      </c>
      <c r="E339" t="s">
        <v>46</v>
      </c>
      <c r="F339" t="s">
        <v>11</v>
      </c>
      <c r="G339" t="s">
        <v>47</v>
      </c>
      <c r="H339" s="12">
        <v>-5.4967879193631202</v>
      </c>
      <c r="I339" s="11">
        <v>-0.50254160819837501</v>
      </c>
      <c r="J339" s="10">
        <v>0.61528659178453604</v>
      </c>
      <c r="K339" s="29">
        <v>0.98289565623980701</v>
      </c>
    </row>
    <row r="340" spans="1:11" x14ac:dyDescent="0.35">
      <c r="A340" s="9" t="str">
        <f>HYPERLINK("http://www.ensembl.org/id/WBGene00195720", "WBGene00195720")</f>
        <v>WBGene00195720</v>
      </c>
      <c r="B340" s="9"/>
      <c r="C340" s="9"/>
      <c r="D340" t="str">
        <f>"F09E5.18"</f>
        <v>F09E5.18</v>
      </c>
      <c r="F340" t="s">
        <v>481</v>
      </c>
      <c r="H340" s="12">
        <v>-5.4967879193631202</v>
      </c>
      <c r="I340" s="11">
        <v>-0.50254160819837501</v>
      </c>
      <c r="J340" s="10">
        <v>0.61528659178453604</v>
      </c>
      <c r="K340" s="29">
        <v>0.98289565623980701</v>
      </c>
    </row>
    <row r="341" spans="1:11" x14ac:dyDescent="0.35">
      <c r="A341" s="9" t="str">
        <f>HYPERLINK("http://www.ensembl.org/id/WBGene00008960", "WBGene00008960")</f>
        <v>WBGene00008960</v>
      </c>
      <c r="B341" s="9" t="str">
        <f>HYPERLINK("http://www.ncbi.nlm.nih.gov/gene/181397", "181397")</f>
        <v>181397</v>
      </c>
      <c r="C341" s="9"/>
      <c r="D341" t="str">
        <f>"F19H6.5"</f>
        <v>F19H6.5</v>
      </c>
      <c r="F341" t="s">
        <v>11</v>
      </c>
      <c r="H341" s="12">
        <v>-5.4967879193631202</v>
      </c>
      <c r="I341" s="11">
        <v>-0.50254160819837501</v>
      </c>
      <c r="J341" s="10">
        <v>0.61528659178453604</v>
      </c>
      <c r="K341" s="29">
        <v>0.98289565623980701</v>
      </c>
    </row>
    <row r="342" spans="1:11" x14ac:dyDescent="0.35">
      <c r="A342" s="9" t="str">
        <f>HYPERLINK("http://www.ensembl.org/id/WBGene00017679", "WBGene00017679")</f>
        <v>WBGene00017679</v>
      </c>
      <c r="B342" s="9" t="str">
        <f>HYPERLINK("http://www.ncbi.nlm.nih.gov/gene/184788", "184788")</f>
        <v>184788</v>
      </c>
      <c r="C342" s="9"/>
      <c r="D342" t="str">
        <f>"F21F8.5"</f>
        <v>F21F8.5</v>
      </c>
      <c r="F342" t="s">
        <v>11</v>
      </c>
      <c r="H342" s="12">
        <v>-5.4967879193631202</v>
      </c>
      <c r="I342" s="11">
        <v>-0.50254160819837501</v>
      </c>
      <c r="J342" s="10">
        <v>0.61528659178453604</v>
      </c>
      <c r="K342" s="29">
        <v>0.98289565623980701</v>
      </c>
    </row>
    <row r="343" spans="1:11" x14ac:dyDescent="0.35">
      <c r="A343" s="9" t="str">
        <f>HYPERLINK("http://www.ensembl.org/id/WBGene00198775", "WBGene00198775")</f>
        <v>WBGene00198775</v>
      </c>
      <c r="B343" s="9"/>
      <c r="C343" s="9"/>
      <c r="D343" t="str">
        <f>"F23F1.11"</f>
        <v>F23F1.11</v>
      </c>
      <c r="F343" t="s">
        <v>481</v>
      </c>
      <c r="H343" s="12">
        <v>-5.4967879193631202</v>
      </c>
      <c r="I343" s="11">
        <v>-0.50254160819837501</v>
      </c>
      <c r="J343" s="10">
        <v>0.61528659178453604</v>
      </c>
      <c r="K343" s="29">
        <v>0.98289565623980701</v>
      </c>
    </row>
    <row r="344" spans="1:11" x14ac:dyDescent="0.35">
      <c r="A344" s="9" t="str">
        <f>HYPERLINK("http://www.ensembl.org/id/WBGene00199873", "WBGene00199873")</f>
        <v>WBGene00199873</v>
      </c>
      <c r="B344" s="9"/>
      <c r="C344" s="9"/>
      <c r="D344" t="str">
        <f>"F26E4.18"</f>
        <v>F26E4.18</v>
      </c>
      <c r="F344" t="s">
        <v>481</v>
      </c>
      <c r="H344" s="12">
        <v>-5.4967879193631202</v>
      </c>
      <c r="I344" s="11">
        <v>-0.50254160819837501</v>
      </c>
      <c r="J344" s="10">
        <v>0.61528659178453604</v>
      </c>
      <c r="K344" s="29">
        <v>0.98289565623980701</v>
      </c>
    </row>
    <row r="345" spans="1:11" x14ac:dyDescent="0.35">
      <c r="A345" s="9" t="str">
        <f>HYPERLINK("http://www.ensembl.org/id/WBGene00195265", "WBGene00195265")</f>
        <v>WBGene00195265</v>
      </c>
      <c r="B345" s="9"/>
      <c r="C345" s="9"/>
      <c r="D345" t="str">
        <f>"F47B7.9"</f>
        <v>F47B7.9</v>
      </c>
      <c r="F345" t="s">
        <v>481</v>
      </c>
      <c r="H345" s="12">
        <v>-5.4967879193631202</v>
      </c>
      <c r="I345" s="11">
        <v>-0.50254160819837501</v>
      </c>
      <c r="J345" s="10">
        <v>0.61528659178453604</v>
      </c>
      <c r="K345" s="29">
        <v>0.98289565623980701</v>
      </c>
    </row>
    <row r="346" spans="1:11" x14ac:dyDescent="0.35">
      <c r="A346" s="9" t="str">
        <f>HYPERLINK("http://www.ensembl.org/id/WBGene00018884", "WBGene00018884")</f>
        <v>WBGene00018884</v>
      </c>
      <c r="B346" s="9" t="str">
        <f>HYPERLINK("http://www.ncbi.nlm.nih.gov/gene/186314", "186314")</f>
        <v>186314</v>
      </c>
      <c r="C346" s="9"/>
      <c r="D346" t="str">
        <f>"F55E10.5"</f>
        <v>F55E10.5</v>
      </c>
      <c r="F346" t="s">
        <v>11</v>
      </c>
      <c r="H346" s="12">
        <v>-5.4967879193631202</v>
      </c>
      <c r="I346" s="11">
        <v>-0.50254160819837501</v>
      </c>
      <c r="J346" s="10">
        <v>0.61528659178453604</v>
      </c>
      <c r="K346" s="29">
        <v>0.98289565623980701</v>
      </c>
    </row>
    <row r="347" spans="1:11" x14ac:dyDescent="0.35">
      <c r="A347" s="9" t="str">
        <f>HYPERLINK("http://www.ensembl.org/id/WBGene00202033", "WBGene00202033")</f>
        <v>WBGene00202033</v>
      </c>
      <c r="B347" s="9"/>
      <c r="C347" s="9"/>
      <c r="D347" t="str">
        <f>"K01C8.11"</f>
        <v>K01C8.11</v>
      </c>
      <c r="F347" t="s">
        <v>481</v>
      </c>
      <c r="H347" s="12">
        <v>-5.4967879193631202</v>
      </c>
      <c r="I347" s="11">
        <v>-0.50254160819837501</v>
      </c>
      <c r="J347" s="10">
        <v>0.61528659178453604</v>
      </c>
      <c r="K347" s="29">
        <v>0.98289565623980701</v>
      </c>
    </row>
    <row r="348" spans="1:11" x14ac:dyDescent="0.35">
      <c r="A348" s="9" t="str">
        <f>HYPERLINK("http://www.ensembl.org/id/WBGene00199627", "WBGene00199627")</f>
        <v>WBGene00199627</v>
      </c>
      <c r="B348" s="9"/>
      <c r="C348" s="9"/>
      <c r="D348" t="str">
        <f>"K03C7.10"</f>
        <v>K03C7.10</v>
      </c>
      <c r="F348" t="s">
        <v>481</v>
      </c>
      <c r="H348" s="12">
        <v>-5.4967879193631202</v>
      </c>
      <c r="I348" s="11">
        <v>-0.50254160819837501</v>
      </c>
      <c r="J348" s="10">
        <v>0.61528659178453604</v>
      </c>
      <c r="K348" s="29">
        <v>0.98289565623980701</v>
      </c>
    </row>
    <row r="349" spans="1:11" x14ac:dyDescent="0.35">
      <c r="A349" s="9" t="str">
        <f>HYPERLINK("http://www.ensembl.org/id/WBGene00196708", "WBGene00196708")</f>
        <v>WBGene00196708</v>
      </c>
      <c r="B349" s="9"/>
      <c r="C349" s="9"/>
      <c r="D349" t="str">
        <f>"K08A8.9"</f>
        <v>K08A8.9</v>
      </c>
      <c r="F349" t="s">
        <v>481</v>
      </c>
      <c r="H349" s="12">
        <v>-5.4967879193631202</v>
      </c>
      <c r="I349" s="11">
        <v>-0.50254160819837501</v>
      </c>
      <c r="J349" s="10">
        <v>0.61528659178453604</v>
      </c>
      <c r="K349" s="29">
        <v>0.98289565623980701</v>
      </c>
    </row>
    <row r="350" spans="1:11" x14ac:dyDescent="0.35">
      <c r="A350" s="9" t="str">
        <f>HYPERLINK("http://www.ensembl.org/id/WBGene00014428", "WBGene00014428")</f>
        <v>WBGene00014428</v>
      </c>
      <c r="B350" s="9"/>
      <c r="C350" s="9"/>
      <c r="D350" t="str">
        <f>"K08H2.t1"</f>
        <v>K08H2.t1</v>
      </c>
      <c r="F350" t="s">
        <v>4208</v>
      </c>
      <c r="H350" s="12">
        <v>-5.4967879193631202</v>
      </c>
      <c r="I350" s="11">
        <v>-0.50254160819837501</v>
      </c>
      <c r="J350" s="10">
        <v>0.61528659178453604</v>
      </c>
      <c r="K350" s="29">
        <v>0.98289565623980701</v>
      </c>
    </row>
    <row r="351" spans="1:11" x14ac:dyDescent="0.35">
      <c r="A351" s="9" t="str">
        <f>HYPERLINK("http://www.ensembl.org/id/WBGene00219586", "WBGene00219586")</f>
        <v>WBGene00219586</v>
      </c>
      <c r="B351" s="9"/>
      <c r="C351" s="9"/>
      <c r="D351" t="str">
        <f>"linc-108"</f>
        <v>linc-108</v>
      </c>
      <c r="F351" t="s">
        <v>1510</v>
      </c>
      <c r="H351" s="12">
        <v>-5.4967879193631202</v>
      </c>
      <c r="I351" s="11">
        <v>-0.50254160819837501</v>
      </c>
      <c r="J351" s="10">
        <v>0.61528659178453604</v>
      </c>
      <c r="K351" s="29">
        <v>0.98289565623980701</v>
      </c>
    </row>
    <row r="352" spans="1:11" x14ac:dyDescent="0.35">
      <c r="A352" s="9" t="str">
        <f>HYPERLINK("http://www.ensembl.org/id/WBGene00197265", "WBGene00197265")</f>
        <v>WBGene00197265</v>
      </c>
      <c r="B352" s="9"/>
      <c r="C352" s="9"/>
      <c r="D352" t="str">
        <f>"M195.6"</f>
        <v>M195.6</v>
      </c>
      <c r="F352" t="s">
        <v>481</v>
      </c>
      <c r="H352" s="12">
        <v>-5.4967879193631202</v>
      </c>
      <c r="I352" s="11">
        <v>-0.50254160819837501</v>
      </c>
      <c r="J352" s="10">
        <v>0.61528659178453604</v>
      </c>
      <c r="K352" s="29">
        <v>0.98289565623980701</v>
      </c>
    </row>
    <row r="353" spans="1:11" x14ac:dyDescent="0.35">
      <c r="A353" s="9" t="str">
        <f>HYPERLINK("http://www.ensembl.org/id/WBGene00012505", "WBGene00012505")</f>
        <v>WBGene00012505</v>
      </c>
      <c r="B353" s="9" t="str">
        <f>HYPERLINK("http://www.ncbi.nlm.nih.gov/gene/189548", "189548")</f>
        <v>189548</v>
      </c>
      <c r="C353" s="9"/>
      <c r="D353" t="str">
        <f>"pals-13"</f>
        <v>pals-13</v>
      </c>
      <c r="E353" t="s">
        <v>1147</v>
      </c>
      <c r="F353" t="s">
        <v>11</v>
      </c>
      <c r="H353" s="12">
        <v>-5.4967879193631202</v>
      </c>
      <c r="I353" s="11">
        <v>-0.50254160819837501</v>
      </c>
      <c r="J353" s="10">
        <v>0.61528659178453604</v>
      </c>
      <c r="K353" s="29">
        <v>0.98289565623980701</v>
      </c>
    </row>
    <row r="354" spans="1:11" x14ac:dyDescent="0.35">
      <c r="A354" s="9" t="str">
        <f>HYPERLINK("http://www.ensembl.org/id/WBGene00199701", "WBGene00199701")</f>
        <v>WBGene00199701</v>
      </c>
      <c r="B354" s="9"/>
      <c r="C354" s="9"/>
      <c r="D354" t="str">
        <f>"R151.17"</f>
        <v>R151.17</v>
      </c>
      <c r="F354" t="s">
        <v>481</v>
      </c>
      <c r="H354" s="12">
        <v>-5.4967879193631202</v>
      </c>
      <c r="I354" s="11">
        <v>-0.50254160819837501</v>
      </c>
      <c r="J354" s="10">
        <v>0.61528659178453604</v>
      </c>
      <c r="K354" s="29">
        <v>0.98289565623980701</v>
      </c>
    </row>
    <row r="355" spans="1:11" x14ac:dyDescent="0.35">
      <c r="A355" s="9" t="str">
        <f>HYPERLINK("http://www.ensembl.org/id/WBGene00009890", "WBGene00009890")</f>
        <v>WBGene00009890</v>
      </c>
      <c r="B355" s="9" t="str">
        <f>HYPERLINK("http://www.ncbi.nlm.nih.gov/gene/186048", "186048")</f>
        <v>186048</v>
      </c>
      <c r="C355" s="9"/>
      <c r="D355" t="str">
        <f>"scl-9"</f>
        <v>scl-9</v>
      </c>
      <c r="E355" t="s">
        <v>162</v>
      </c>
      <c r="F355" t="s">
        <v>11</v>
      </c>
      <c r="G355" t="s">
        <v>63</v>
      </c>
      <c r="H355" s="12">
        <v>-5.4967879193631202</v>
      </c>
      <c r="I355" s="11">
        <v>-0.50254160819837501</v>
      </c>
      <c r="J355" s="10">
        <v>0.61528659178453604</v>
      </c>
      <c r="K355" s="29">
        <v>0.98289565623980701</v>
      </c>
    </row>
    <row r="356" spans="1:11" x14ac:dyDescent="0.35">
      <c r="A356" s="9" t="str">
        <f>HYPERLINK("http://www.ensembl.org/id/WBGene00018034", "WBGene00018034")</f>
        <v>WBGene00018034</v>
      </c>
      <c r="B356" s="9" t="str">
        <f>HYPERLINK("http://www.ncbi.nlm.nih.gov/gene/185267", "185267")</f>
        <v>185267</v>
      </c>
      <c r="C356" s="9"/>
      <c r="D356" t="str">
        <f>"sek-5"</f>
        <v>sek-5</v>
      </c>
      <c r="E356" t="s">
        <v>3955</v>
      </c>
      <c r="F356" t="s">
        <v>11</v>
      </c>
      <c r="G356" t="s">
        <v>9910</v>
      </c>
      <c r="H356" s="12">
        <v>-5.4967879193631202</v>
      </c>
      <c r="I356" s="11">
        <v>-0.50254160819837501</v>
      </c>
      <c r="J356" s="10">
        <v>0.61528659178453604</v>
      </c>
      <c r="K356" s="29">
        <v>0.98289565623980701</v>
      </c>
    </row>
    <row r="357" spans="1:11" x14ac:dyDescent="0.35">
      <c r="A357" s="9" t="str">
        <f>HYPERLINK("http://www.ensembl.org/id/WBGene00077488", "WBGene00077488")</f>
        <v>WBGene00077488</v>
      </c>
      <c r="B357" s="9"/>
      <c r="C357" s="9"/>
      <c r="D357" t="str">
        <f>"sls-1.12"</f>
        <v>sls-1.12</v>
      </c>
      <c r="F357" t="s">
        <v>4205</v>
      </c>
      <c r="H357" s="12">
        <v>-5.4967879193631202</v>
      </c>
      <c r="I357" s="11">
        <v>-0.50254160819837501</v>
      </c>
      <c r="J357" s="10">
        <v>0.61528659178453604</v>
      </c>
      <c r="K357" s="29">
        <v>0.98289565623980701</v>
      </c>
    </row>
    <row r="358" spans="1:11" x14ac:dyDescent="0.35">
      <c r="A358" s="9" t="str">
        <f>HYPERLINK("http://www.ensembl.org/id/WBGene00045159", "WBGene00045159")</f>
        <v>WBGene00045159</v>
      </c>
      <c r="B358" s="9"/>
      <c r="C358" s="9"/>
      <c r="D358" t="str">
        <f>"smy-3"</f>
        <v>smy-3</v>
      </c>
      <c r="F358" t="s">
        <v>2977</v>
      </c>
      <c r="H358" s="12">
        <v>-5.4967879193631202</v>
      </c>
      <c r="I358" s="11">
        <v>-0.50254160819837501</v>
      </c>
      <c r="J358" s="10">
        <v>0.61528659178453604</v>
      </c>
      <c r="K358" s="29">
        <v>0.98289565623980701</v>
      </c>
    </row>
    <row r="359" spans="1:11" x14ac:dyDescent="0.35">
      <c r="A359" s="9" t="str">
        <f>HYPERLINK("http://www.ensembl.org/id/WBGene00016832", "WBGene00016832")</f>
        <v>WBGene00016832</v>
      </c>
      <c r="B359" s="9" t="str">
        <f>HYPERLINK("http://www.ncbi.nlm.nih.gov/gene/183670", "183670")</f>
        <v>183670</v>
      </c>
      <c r="C359" s="9"/>
      <c r="D359" t="str">
        <f>"sre-49"</f>
        <v>sre-49</v>
      </c>
      <c r="E359" t="s">
        <v>2638</v>
      </c>
      <c r="F359" t="s">
        <v>11</v>
      </c>
      <c r="G359" t="s">
        <v>2639</v>
      </c>
      <c r="H359" s="12">
        <v>-5.4967879193631202</v>
      </c>
      <c r="I359" s="11">
        <v>-0.50254160819837501</v>
      </c>
      <c r="J359" s="10">
        <v>0.61528659178453604</v>
      </c>
      <c r="K359" s="29">
        <v>0.98289565623980701</v>
      </c>
    </row>
    <row r="360" spans="1:11" x14ac:dyDescent="0.35">
      <c r="A360" s="9" t="str">
        <f>HYPERLINK("http://www.ensembl.org/id/WBGene00005490", "WBGene00005490")</f>
        <v>WBGene00005490</v>
      </c>
      <c r="B360" s="9" t="str">
        <f>HYPERLINK("http://www.ncbi.nlm.nih.gov/gene/190388", "190388")</f>
        <v>190388</v>
      </c>
      <c r="C360" s="9"/>
      <c r="D360" t="str">
        <f>"srh-286"</f>
        <v>srh-286</v>
      </c>
      <c r="E360" t="s">
        <v>153</v>
      </c>
      <c r="F360" t="s">
        <v>11</v>
      </c>
      <c r="G360" t="s">
        <v>25</v>
      </c>
      <c r="H360" s="12">
        <v>-5.4967879193631202</v>
      </c>
      <c r="I360" s="11">
        <v>-0.50254160819837501</v>
      </c>
      <c r="J360" s="10">
        <v>0.61528659178453604</v>
      </c>
      <c r="K360" s="29">
        <v>0.98289565623980701</v>
      </c>
    </row>
    <row r="361" spans="1:11" x14ac:dyDescent="0.35">
      <c r="A361" s="9" t="str">
        <f>HYPERLINK("http://www.ensembl.org/id/WBGene00200328", "WBGene00200328")</f>
        <v>WBGene00200328</v>
      </c>
      <c r="B361" s="9"/>
      <c r="C361" s="9"/>
      <c r="D361" t="str">
        <f>"T10A3.4"</f>
        <v>T10A3.4</v>
      </c>
      <c r="F361" t="s">
        <v>481</v>
      </c>
      <c r="H361" s="12">
        <v>-5.4967879193631202</v>
      </c>
      <c r="I361" s="11">
        <v>-0.50254160819837501</v>
      </c>
      <c r="J361" s="10">
        <v>0.61528659178453604</v>
      </c>
      <c r="K361" s="29">
        <v>0.98289565623980701</v>
      </c>
    </row>
    <row r="362" spans="1:11" x14ac:dyDescent="0.35">
      <c r="A362" s="9" t="str">
        <f>HYPERLINK("http://www.ensembl.org/id/WBGene00011921", "WBGene00011921")</f>
        <v>WBGene00011921</v>
      </c>
      <c r="B362" s="9" t="str">
        <f>HYPERLINK("http://www.ncbi.nlm.nih.gov/gene/3565093", "3565093")</f>
        <v>3565093</v>
      </c>
      <c r="C362" s="9"/>
      <c r="D362" t="str">
        <f>"T22C1.12"</f>
        <v>T22C1.12</v>
      </c>
      <c r="F362" t="s">
        <v>11</v>
      </c>
      <c r="H362" s="12">
        <v>-5.4967879193631202</v>
      </c>
      <c r="I362" s="11">
        <v>-0.50254160819837501</v>
      </c>
      <c r="J362" s="10">
        <v>0.61528659178453604</v>
      </c>
      <c r="K362" s="29">
        <v>0.98289565623980701</v>
      </c>
    </row>
    <row r="363" spans="1:11" x14ac:dyDescent="0.35">
      <c r="A363" s="9" t="str">
        <f>HYPERLINK("http://www.ensembl.org/id/WBGene00195270", "WBGene00195270")</f>
        <v>WBGene00195270</v>
      </c>
      <c r="B363" s="9"/>
      <c r="C363" s="9"/>
      <c r="D363" t="str">
        <f>"T23F11.7"</f>
        <v>T23F11.7</v>
      </c>
      <c r="F363" t="s">
        <v>481</v>
      </c>
      <c r="H363" s="12">
        <v>-5.4967879193631202</v>
      </c>
      <c r="I363" s="11">
        <v>-0.50254160819837501</v>
      </c>
      <c r="J363" s="10">
        <v>0.61528659178453604</v>
      </c>
      <c r="K363" s="29">
        <v>0.98289565623980701</v>
      </c>
    </row>
    <row r="364" spans="1:11" x14ac:dyDescent="0.35">
      <c r="A364" s="9" t="str">
        <f>HYPERLINK("http://www.ensembl.org/id/WBGene00198195", "WBGene00198195")</f>
        <v>WBGene00198195</v>
      </c>
      <c r="B364" s="9"/>
      <c r="C364" s="9"/>
      <c r="D364" t="str">
        <f>"T27D12.9"</f>
        <v>T27D12.9</v>
      </c>
      <c r="F364" t="s">
        <v>481</v>
      </c>
      <c r="H364" s="12">
        <v>-5.4967879193631202</v>
      </c>
      <c r="I364" s="11">
        <v>-0.50254160819837501</v>
      </c>
      <c r="J364" s="10">
        <v>0.61528659178453604</v>
      </c>
      <c r="K364" s="29">
        <v>0.98289565623980701</v>
      </c>
    </row>
    <row r="365" spans="1:11" x14ac:dyDescent="0.35">
      <c r="A365" s="9" t="str">
        <f>HYPERLINK("http://www.ensembl.org/id/WBGene00013636", "WBGene00013636")</f>
        <v>WBGene00013636</v>
      </c>
      <c r="B365" s="9" t="str">
        <f>HYPERLINK("http://www.ncbi.nlm.nih.gov/gene/190877", "190877")</f>
        <v>190877</v>
      </c>
      <c r="C365" s="9"/>
      <c r="D365" t="str">
        <f>"Y105C5A.12"</f>
        <v>Y105C5A.12</v>
      </c>
      <c r="F365" t="s">
        <v>11</v>
      </c>
      <c r="H365" s="12">
        <v>-5.4967879193631202</v>
      </c>
      <c r="I365" s="11">
        <v>-0.50254160819837501</v>
      </c>
      <c r="J365" s="10">
        <v>0.61528659178453604</v>
      </c>
      <c r="K365" s="29">
        <v>0.98289565623980701</v>
      </c>
    </row>
    <row r="366" spans="1:11" x14ac:dyDescent="0.35">
      <c r="A366" s="9" t="str">
        <f>HYPERLINK("http://www.ensembl.org/id/WBGene00021285", "WBGene00021285")</f>
        <v>WBGene00021285</v>
      </c>
      <c r="B366" s="9" t="str">
        <f>HYPERLINK("http://www.ncbi.nlm.nih.gov/gene/189532", "189532")</f>
        <v>189532</v>
      </c>
      <c r="C366" s="9"/>
      <c r="D366" t="str">
        <f>"Y24D9A.7"</f>
        <v>Y24D9A.7</v>
      </c>
      <c r="F366" t="s">
        <v>11</v>
      </c>
      <c r="G366" t="s">
        <v>25</v>
      </c>
      <c r="H366" s="12">
        <v>-5.4967879193631202</v>
      </c>
      <c r="I366" s="11">
        <v>-0.50254160819837501</v>
      </c>
      <c r="J366" s="10">
        <v>0.61528659178453604</v>
      </c>
      <c r="K366" s="29">
        <v>0.98289565623980701</v>
      </c>
    </row>
    <row r="367" spans="1:11" x14ac:dyDescent="0.35">
      <c r="A367" s="9" t="str">
        <f>HYPERLINK("http://www.ensembl.org/id/WBGene00219383", "WBGene00219383")</f>
        <v>WBGene00219383</v>
      </c>
      <c r="B367" s="9" t="str">
        <f>HYPERLINK("http://www.ncbi.nlm.nih.gov/gene/24105181", "24105181")</f>
        <v>24105181</v>
      </c>
      <c r="C367" s="9"/>
      <c r="D367" t="str">
        <f>"Y61B8A.6"</f>
        <v>Y61B8A.6</v>
      </c>
      <c r="F367" t="s">
        <v>11</v>
      </c>
      <c r="H367" s="12">
        <v>-5.4967879193631202</v>
      </c>
      <c r="I367" s="11">
        <v>-0.50254160819837501</v>
      </c>
      <c r="J367" s="10">
        <v>0.61528659178453604</v>
      </c>
      <c r="K367" s="29">
        <v>0.98289565623980701</v>
      </c>
    </row>
    <row r="368" spans="1:11" x14ac:dyDescent="0.35">
      <c r="A368" s="9" t="str">
        <f>HYPERLINK("http://www.ensembl.org/id/WBGene00235299", "WBGene00235299")</f>
        <v>WBGene00235299</v>
      </c>
      <c r="B368" s="9"/>
      <c r="C368" s="9"/>
      <c r="D368" t="str">
        <f>"Y69A2AR.48"</f>
        <v>Y69A2AR.48</v>
      </c>
      <c r="F368" t="s">
        <v>481</v>
      </c>
      <c r="H368" s="12">
        <v>-5.4967879193631202</v>
      </c>
      <c r="I368" s="11">
        <v>-0.50254160819837501</v>
      </c>
      <c r="J368" s="10">
        <v>0.61528659178453604</v>
      </c>
      <c r="K368" s="29">
        <v>0.98289565623980701</v>
      </c>
    </row>
    <row r="369" spans="1:11" x14ac:dyDescent="0.35">
      <c r="A369" s="9" t="str">
        <f>HYPERLINK("http://www.ensembl.org/id/WBGene00201019", "WBGene00201019")</f>
        <v>WBGene00201019</v>
      </c>
      <c r="B369" s="9"/>
      <c r="C369" s="9"/>
      <c r="D369" t="str">
        <f>"Y71F9B.22"</f>
        <v>Y71F9B.22</v>
      </c>
      <c r="F369" t="s">
        <v>481</v>
      </c>
      <c r="H369" s="12">
        <v>-5.4967879193631202</v>
      </c>
      <c r="I369" s="11">
        <v>-0.50254160819837501</v>
      </c>
      <c r="J369" s="10">
        <v>0.61528659178453604</v>
      </c>
      <c r="K369" s="29">
        <v>0.98289565623980701</v>
      </c>
    </row>
    <row r="370" spans="1:11" x14ac:dyDescent="0.35">
      <c r="A370" s="9" t="str">
        <f>HYPERLINK("http://www.ensembl.org/id/WBGene00045514", "WBGene00045514")</f>
        <v>WBGene00045514</v>
      </c>
      <c r="B370" s="9"/>
      <c r="C370" s="9"/>
      <c r="D370" t="str">
        <f>"ZK1037.12"</f>
        <v>ZK1037.12</v>
      </c>
      <c r="F370" t="s">
        <v>80</v>
      </c>
      <c r="H370" s="12">
        <v>-5.4967879193631202</v>
      </c>
      <c r="I370" s="11">
        <v>-0.50254160819837501</v>
      </c>
      <c r="J370" s="10">
        <v>0.61528659178453604</v>
      </c>
      <c r="K370" s="29">
        <v>0.98289565623980701</v>
      </c>
    </row>
    <row r="371" spans="1:11" x14ac:dyDescent="0.35">
      <c r="A371" s="9" t="str">
        <f>HYPERLINK("http://www.ensembl.org/id/WBGene00001477", "WBGene00001477")</f>
        <v>WBGene00001477</v>
      </c>
      <c r="B371" s="9" t="str">
        <f>HYPERLINK("http://www.ncbi.nlm.nih.gov/gene/177958", "177958")</f>
        <v>177958</v>
      </c>
      <c r="C371" s="9" t="str">
        <f>HYPERLINK("http://www.ncbi.nlm.nih.gov/gene/2330", "2330")</f>
        <v>2330</v>
      </c>
      <c r="D371" t="str">
        <f>"fmo-2"</f>
        <v>fmo-2</v>
      </c>
      <c r="E371" t="s">
        <v>99</v>
      </c>
      <c r="F371" t="s">
        <v>11</v>
      </c>
      <c r="G371" t="s">
        <v>100</v>
      </c>
      <c r="H371" s="12">
        <v>-5.4883621727216196</v>
      </c>
      <c r="I371" s="11">
        <v>-5.56564752404124</v>
      </c>
      <c r="J371" s="10">
        <v>2.6118071106209999E-8</v>
      </c>
      <c r="K371" s="29">
        <v>8.1551912294606594E-6</v>
      </c>
    </row>
    <row r="372" spans="1:11" x14ac:dyDescent="0.35">
      <c r="A372" s="9" t="str">
        <f>HYPERLINK("http://www.ensembl.org/id/WBGene00000738", "WBGene00000738")</f>
        <v>WBGene00000738</v>
      </c>
      <c r="B372" s="9" t="str">
        <f>HYPERLINK("http://www.ncbi.nlm.nih.gov/gene/180710", "180710")</f>
        <v>180710</v>
      </c>
      <c r="C372" s="9"/>
      <c r="D372" t="str">
        <f>"col-165"</f>
        <v>col-165</v>
      </c>
      <c r="E372" t="s">
        <v>40</v>
      </c>
      <c r="F372" t="s">
        <v>11</v>
      </c>
      <c r="G372" t="s">
        <v>41</v>
      </c>
      <c r="H372" s="12">
        <v>-5.4875895774872401</v>
      </c>
      <c r="I372" s="11">
        <v>-4.3288975475067302</v>
      </c>
      <c r="J372" s="10">
        <v>1.4985762321333599E-5</v>
      </c>
      <c r="K372" s="29">
        <v>1.43190852173228E-3</v>
      </c>
    </row>
    <row r="373" spans="1:11" x14ac:dyDescent="0.35">
      <c r="A373" s="9" t="str">
        <f>HYPERLINK("http://www.ensembl.org/id/WBGene00010351", "WBGene00010351")</f>
        <v>WBGene00010351</v>
      </c>
      <c r="B373" s="9" t="str">
        <f>HYPERLINK("http://www.ncbi.nlm.nih.gov/gene/178061", "178061")</f>
        <v>178061</v>
      </c>
      <c r="C373" s="9"/>
      <c r="D373" t="str">
        <f>"cbd-1"</f>
        <v>cbd-1</v>
      </c>
      <c r="E373" t="s">
        <v>57</v>
      </c>
      <c r="F373" t="s">
        <v>11</v>
      </c>
      <c r="G373" t="s">
        <v>31</v>
      </c>
      <c r="H373" s="12">
        <v>-5.4840498732408403</v>
      </c>
      <c r="I373" s="11">
        <v>-6.3155072634445997</v>
      </c>
      <c r="J373" s="10">
        <v>2.69276738551749E-10</v>
      </c>
      <c r="K373" s="29">
        <v>2.07396944032557E-7</v>
      </c>
    </row>
    <row r="374" spans="1:11" x14ac:dyDescent="0.35">
      <c r="A374" s="9" t="str">
        <f>HYPERLINK("http://www.ensembl.org/id/WBGene00010411", "WBGene00010411")</f>
        <v>WBGene00010411</v>
      </c>
      <c r="B374" s="9" t="str">
        <f>HYPERLINK("http://www.ncbi.nlm.nih.gov/gene/186777", "186777")</f>
        <v>186777</v>
      </c>
      <c r="C374" s="9"/>
      <c r="D374" t="str">
        <f>"H25K10.1"</f>
        <v>H25K10.1</v>
      </c>
      <c r="E374" t="s">
        <v>1200</v>
      </c>
      <c r="F374" t="s">
        <v>11</v>
      </c>
      <c r="G374" t="s">
        <v>1201</v>
      </c>
      <c r="H374" s="12">
        <v>-5.48388253378344</v>
      </c>
      <c r="I374" s="11">
        <v>-1.13333106539693</v>
      </c>
      <c r="J374" s="10">
        <v>0.25707525073081</v>
      </c>
      <c r="K374" s="29">
        <v>0.98289565623980701</v>
      </c>
    </row>
    <row r="375" spans="1:11" x14ac:dyDescent="0.35">
      <c r="A375" s="9" t="str">
        <f>HYPERLINK("http://www.ensembl.org/id/WBGene00008905", "WBGene00008905")</f>
        <v>WBGene00008905</v>
      </c>
      <c r="B375" s="9" t="str">
        <f>HYPERLINK("http://www.ncbi.nlm.nih.gov/gene/173182", "173182")</f>
        <v>173182</v>
      </c>
      <c r="C375" s="9" t="str">
        <f>HYPERLINK("http://www.ncbi.nlm.nih.gov/gene/158046", "158046")</f>
        <v>158046</v>
      </c>
      <c r="D375" t="str">
        <f>"F17B5.1"</f>
        <v>F17B5.1</v>
      </c>
      <c r="F375" t="s">
        <v>11</v>
      </c>
      <c r="H375" s="12">
        <v>-5.4625273158809904</v>
      </c>
      <c r="I375" s="11">
        <v>-5.6721005110967297</v>
      </c>
      <c r="J375" s="10">
        <v>1.4105717136212601E-8</v>
      </c>
      <c r="K375" s="29">
        <v>4.9382833355958902E-6</v>
      </c>
    </row>
    <row r="376" spans="1:11" x14ac:dyDescent="0.35">
      <c r="A376" s="9" t="str">
        <f>HYPERLINK("http://www.ensembl.org/id/WBGene00009035", "WBGene00009035")</f>
        <v>WBGene00009035</v>
      </c>
      <c r="B376" s="9" t="str">
        <f>HYPERLINK("http://www.ncbi.nlm.nih.gov/gene/178067", "178067")</f>
        <v>178067</v>
      </c>
      <c r="C376" s="9" t="str">
        <f>HYPERLINK("http://www.ncbi.nlm.nih.gov/gene/9945", "9945")</f>
        <v>9945</v>
      </c>
      <c r="D376" t="str">
        <f>"gfat-2"</f>
        <v>gfat-2</v>
      </c>
      <c r="E376" t="s">
        <v>55</v>
      </c>
      <c r="F376" t="s">
        <v>11</v>
      </c>
      <c r="G376" t="s">
        <v>56</v>
      </c>
      <c r="H376" s="12">
        <v>-5.44810233321898</v>
      </c>
      <c r="I376" s="11">
        <v>-6.3440893301677699</v>
      </c>
      <c r="J376" s="10">
        <v>2.2374497888018801E-10</v>
      </c>
      <c r="K376" s="29">
        <v>1.9432999573835899E-7</v>
      </c>
    </row>
    <row r="377" spans="1:11" x14ac:dyDescent="0.35">
      <c r="A377" s="9" t="str">
        <f>HYPERLINK("http://www.ensembl.org/id/WBGene00005210", "WBGene00005210")</f>
        <v>WBGene00005210</v>
      </c>
      <c r="B377" s="9" t="str">
        <f>HYPERLINK("http://www.ncbi.nlm.nih.gov/gene/187980", "187980")</f>
        <v>187980</v>
      </c>
      <c r="C377" s="9"/>
      <c r="D377" t="str">
        <f>"srg-53"</f>
        <v>srg-53</v>
      </c>
      <c r="E377" t="s">
        <v>10117</v>
      </c>
      <c r="F377" t="s">
        <v>11</v>
      </c>
      <c r="G377" t="s">
        <v>1829</v>
      </c>
      <c r="H377" s="12">
        <v>-5.3720953244712302</v>
      </c>
      <c r="I377" s="11">
        <v>-0.603647922463455</v>
      </c>
      <c r="J377" s="10">
        <v>0.54607774451423896</v>
      </c>
      <c r="K377" s="29">
        <v>0.98289565623980701</v>
      </c>
    </row>
    <row r="378" spans="1:11" x14ac:dyDescent="0.35">
      <c r="A378" s="9" t="str">
        <f>HYPERLINK("http://www.ensembl.org/id/WBGene00012586", "WBGene00012586")</f>
        <v>WBGene00012586</v>
      </c>
      <c r="B378" s="9" t="str">
        <f>HYPERLINK("http://www.ncbi.nlm.nih.gov/gene/189655", "189655")</f>
        <v>189655</v>
      </c>
      <c r="C378" s="9"/>
      <c r="D378" t="str">
        <f>"Y38E10A.8"</f>
        <v>Y38E10A.8</v>
      </c>
      <c r="F378" t="s">
        <v>11</v>
      </c>
      <c r="G378" t="s">
        <v>10118</v>
      </c>
      <c r="H378" s="12">
        <v>-5.3720953244712302</v>
      </c>
      <c r="I378" s="11">
        <v>-0.603647922463455</v>
      </c>
      <c r="J378" s="10">
        <v>0.54607774451423896</v>
      </c>
      <c r="K378" s="29">
        <v>0.98289565623980701</v>
      </c>
    </row>
    <row r="379" spans="1:11" x14ac:dyDescent="0.35">
      <c r="A379" s="9" t="str">
        <f>HYPERLINK("http://www.ensembl.org/id/WBGene00198478", "WBGene00198478")</f>
        <v>WBGene00198478</v>
      </c>
      <c r="B379" s="9"/>
      <c r="C379" s="9"/>
      <c r="D379" t="str">
        <f>"Y58A7A.11"</f>
        <v>Y58A7A.11</v>
      </c>
      <c r="F379" t="s">
        <v>481</v>
      </c>
      <c r="H379" s="12">
        <v>-5.3720953244712302</v>
      </c>
      <c r="I379" s="11">
        <v>-0.603647922463455</v>
      </c>
      <c r="J379" s="10">
        <v>0.54607774451423896</v>
      </c>
      <c r="K379" s="29">
        <v>0.98289565623980701</v>
      </c>
    </row>
    <row r="380" spans="1:11" x14ac:dyDescent="0.35">
      <c r="A380" s="9" t="str">
        <f>HYPERLINK("http://www.ensembl.org/id/WBGene00219761", "WBGene00219761")</f>
        <v>WBGene00219761</v>
      </c>
      <c r="B380" s="9"/>
      <c r="C380" s="9"/>
      <c r="D380" t="str">
        <f>"linc-143"</f>
        <v>linc-143</v>
      </c>
      <c r="F380" t="s">
        <v>1510</v>
      </c>
      <c r="H380" s="12">
        <v>-5.34569669856364</v>
      </c>
      <c r="I380" s="11">
        <v>-1.0030022179165401</v>
      </c>
      <c r="J380" s="10">
        <v>0.31585979112851598</v>
      </c>
      <c r="K380" s="29">
        <v>0.98289565623980701</v>
      </c>
    </row>
    <row r="381" spans="1:11" x14ac:dyDescent="0.35">
      <c r="A381" s="9" t="str">
        <f>HYPERLINK("http://www.ensembl.org/id/WBGene00015605", "WBGene00015605")</f>
        <v>WBGene00015605</v>
      </c>
      <c r="B381" s="9" t="str">
        <f>HYPERLINK("http://www.ncbi.nlm.nih.gov/gene/182405", "182405")</f>
        <v>182405</v>
      </c>
      <c r="C381" s="9"/>
      <c r="D381" t="str">
        <f>"C08E3.13"</f>
        <v>C08E3.13</v>
      </c>
      <c r="F381" t="s">
        <v>11</v>
      </c>
      <c r="H381" s="12">
        <v>-5.3408672013403597</v>
      </c>
      <c r="I381" s="11">
        <v>-2.66478129326264</v>
      </c>
      <c r="J381" s="10">
        <v>7.7038406916019198E-3</v>
      </c>
      <c r="K381" s="29">
        <v>0.16276896886275</v>
      </c>
    </row>
    <row r="382" spans="1:11" x14ac:dyDescent="0.35">
      <c r="A382" s="9" t="str">
        <f>HYPERLINK("http://www.ensembl.org/id/WBGene00200808", "WBGene00200808")</f>
        <v>WBGene00200808</v>
      </c>
      <c r="B382" s="9"/>
      <c r="C382" s="9"/>
      <c r="D382" t="str">
        <f>"B0034.16"</f>
        <v>B0034.16</v>
      </c>
      <c r="F382" t="s">
        <v>481</v>
      </c>
      <c r="H382" s="12">
        <v>-5.3201785866927001</v>
      </c>
      <c r="I382" s="11">
        <v>-0.49101042295714697</v>
      </c>
      <c r="J382" s="10">
        <v>0.62341907564475696</v>
      </c>
      <c r="K382" s="29">
        <v>0.98289565623980701</v>
      </c>
    </row>
    <row r="383" spans="1:11" x14ac:dyDescent="0.35">
      <c r="A383" s="9" t="str">
        <f>HYPERLINK("http://www.ensembl.org/id/WBGene00200626", "WBGene00200626")</f>
        <v>WBGene00200626</v>
      </c>
      <c r="B383" s="9"/>
      <c r="C383" s="9"/>
      <c r="D383" t="str">
        <f>"C45B2.16"</f>
        <v>C45B2.16</v>
      </c>
      <c r="F383" t="s">
        <v>481</v>
      </c>
      <c r="H383" s="12">
        <v>-5.3201785866927001</v>
      </c>
      <c r="I383" s="11">
        <v>-0.49101042295714697</v>
      </c>
      <c r="J383" s="10">
        <v>0.62341907564475696</v>
      </c>
      <c r="K383" s="29">
        <v>0.98289565623980701</v>
      </c>
    </row>
    <row r="384" spans="1:11" x14ac:dyDescent="0.35">
      <c r="A384" s="9" t="str">
        <f>HYPERLINK("http://www.ensembl.org/id/WBGene00199554", "WBGene00199554")</f>
        <v>WBGene00199554</v>
      </c>
      <c r="B384" s="9"/>
      <c r="C384" s="9"/>
      <c r="D384" t="str">
        <f>"F49E10.17"</f>
        <v>F49E10.17</v>
      </c>
      <c r="F384" t="s">
        <v>481</v>
      </c>
      <c r="H384" s="12">
        <v>-5.3201785866927001</v>
      </c>
      <c r="I384" s="11">
        <v>-0.49101042295714697</v>
      </c>
      <c r="J384" s="10">
        <v>0.62341907564475696</v>
      </c>
      <c r="K384" s="29">
        <v>0.98289565623980701</v>
      </c>
    </row>
    <row r="385" spans="1:11" x14ac:dyDescent="0.35">
      <c r="A385" s="9" t="str">
        <f>HYPERLINK("http://www.ensembl.org/id/WBGene00195484", "WBGene00195484")</f>
        <v>WBGene00195484</v>
      </c>
      <c r="B385" s="9"/>
      <c r="C385" s="9"/>
      <c r="D385" t="str">
        <f>"K03C7.4"</f>
        <v>K03C7.4</v>
      </c>
      <c r="F385" t="s">
        <v>481</v>
      </c>
      <c r="H385" s="12">
        <v>-5.3201785866927001</v>
      </c>
      <c r="I385" s="11">
        <v>-0.49101042295714697</v>
      </c>
      <c r="J385" s="10">
        <v>0.62341907564475696</v>
      </c>
      <c r="K385" s="29">
        <v>0.98289565623980701</v>
      </c>
    </row>
    <row r="386" spans="1:11" x14ac:dyDescent="0.35">
      <c r="A386" s="9" t="str">
        <f>HYPERLINK("http://www.ensembl.org/id/WBGene00011187", "WBGene00011187")</f>
        <v>WBGene00011187</v>
      </c>
      <c r="B386" s="9" t="str">
        <f>HYPERLINK("http://www.ncbi.nlm.nih.gov/gene/187763", "187763")</f>
        <v>187763</v>
      </c>
      <c r="C386" s="9"/>
      <c r="D386" t="str">
        <f>"R10D12.6"</f>
        <v>R10D12.6</v>
      </c>
      <c r="F386" t="s">
        <v>11</v>
      </c>
      <c r="G386" t="s">
        <v>25</v>
      </c>
      <c r="H386" s="12">
        <v>-5.3201785866927001</v>
      </c>
      <c r="I386" s="11">
        <v>-0.49101042295714697</v>
      </c>
      <c r="J386" s="10">
        <v>0.62341907564475696</v>
      </c>
      <c r="K386" s="29">
        <v>0.98289565623980701</v>
      </c>
    </row>
    <row r="387" spans="1:11" x14ac:dyDescent="0.35">
      <c r="A387" s="9" t="str">
        <f>HYPERLINK("http://www.ensembl.org/id/WBGene00005331", "WBGene00005331")</f>
        <v>WBGene00005331</v>
      </c>
      <c r="B387" s="9" t="str">
        <f>HYPERLINK("http://www.ncbi.nlm.nih.gov/gene/188597", "188597")</f>
        <v>188597</v>
      </c>
      <c r="C387" s="9"/>
      <c r="D387" t="str">
        <f>"srh-112"</f>
        <v>srh-112</v>
      </c>
      <c r="E387" t="s">
        <v>153</v>
      </c>
      <c r="F387" t="s">
        <v>11</v>
      </c>
      <c r="G387" t="s">
        <v>25</v>
      </c>
      <c r="H387" s="12">
        <v>-5.3201785866927001</v>
      </c>
      <c r="I387" s="11">
        <v>-0.49101042295714697</v>
      </c>
      <c r="J387" s="10">
        <v>0.62341907564475696</v>
      </c>
      <c r="K387" s="29">
        <v>0.98289565623980701</v>
      </c>
    </row>
    <row r="388" spans="1:11" x14ac:dyDescent="0.35">
      <c r="A388" s="9" t="str">
        <f>HYPERLINK("http://www.ensembl.org/id/WBGene00199196", "WBGene00199196")</f>
        <v>WBGene00199196</v>
      </c>
      <c r="B388" s="9"/>
      <c r="C388" s="9"/>
      <c r="D388" t="str">
        <f>"T01B4.6"</f>
        <v>T01B4.6</v>
      </c>
      <c r="F388" t="s">
        <v>481</v>
      </c>
      <c r="H388" s="12">
        <v>-5.3201785866927001</v>
      </c>
      <c r="I388" s="11">
        <v>-0.49101042295714697</v>
      </c>
      <c r="J388" s="10">
        <v>0.62341907564475696</v>
      </c>
      <c r="K388" s="29">
        <v>0.98289565623980701</v>
      </c>
    </row>
    <row r="389" spans="1:11" x14ac:dyDescent="0.35">
      <c r="A389" s="9" t="str">
        <f>HYPERLINK("http://www.ensembl.org/id/WBGene00012509", "WBGene00012509")</f>
        <v>WBGene00012509</v>
      </c>
      <c r="B389" s="9" t="str">
        <f>HYPERLINK("http://www.ncbi.nlm.nih.gov/gene/3564819", "3564819")</f>
        <v>3564819</v>
      </c>
      <c r="C389" s="9"/>
      <c r="D389" t="str">
        <f>"Y26D4A.12"</f>
        <v>Y26D4A.12</v>
      </c>
      <c r="F389" t="s">
        <v>11</v>
      </c>
      <c r="G389" t="s">
        <v>101</v>
      </c>
      <c r="H389" s="12">
        <v>-5.3201785866927001</v>
      </c>
      <c r="I389" s="11">
        <v>-0.49101042295714697</v>
      </c>
      <c r="J389" s="10">
        <v>0.62341907564475696</v>
      </c>
      <c r="K389" s="29">
        <v>0.98289565623980701</v>
      </c>
    </row>
    <row r="390" spans="1:11" x14ac:dyDescent="0.35">
      <c r="A390" s="9" t="str">
        <f>HYPERLINK("http://www.ensembl.org/id/WBGene00020614", "WBGene00020614")</f>
        <v>WBGene00020614</v>
      </c>
      <c r="B390" s="9"/>
      <c r="C390" s="9"/>
      <c r="D390" t="str">
        <f>"T20D4.8"</f>
        <v>T20D4.8</v>
      </c>
      <c r="F390" t="s">
        <v>80</v>
      </c>
      <c r="H390" s="12">
        <v>-5.3130930583987404</v>
      </c>
      <c r="I390" s="11">
        <v>-0.82848560413746197</v>
      </c>
      <c r="J390" s="10">
        <v>0.407395544376008</v>
      </c>
      <c r="K390" s="29">
        <v>0.98289565623980701</v>
      </c>
    </row>
    <row r="391" spans="1:11" x14ac:dyDescent="0.35">
      <c r="A391" s="9" t="str">
        <f>HYPERLINK("http://www.ensembl.org/id/WBGene00197498", "WBGene00197498")</f>
        <v>WBGene00197498</v>
      </c>
      <c r="B391" s="9"/>
      <c r="C391" s="9"/>
      <c r="D391" t="str">
        <f>"R11B5.6"</f>
        <v>R11B5.6</v>
      </c>
      <c r="F391" t="s">
        <v>481</v>
      </c>
      <c r="H391" s="12">
        <v>-5.3069945552768703</v>
      </c>
      <c r="I391" s="11">
        <v>-0.652346236607525</v>
      </c>
      <c r="J391" s="10">
        <v>0.51417783890577595</v>
      </c>
      <c r="K391" s="29">
        <v>0.98289565623980701</v>
      </c>
    </row>
    <row r="392" spans="1:11" x14ac:dyDescent="0.35">
      <c r="A392" s="9" t="str">
        <f>HYPERLINK("http://www.ensembl.org/id/WBGene00021892", "WBGene00021892")</f>
        <v>WBGene00021892</v>
      </c>
      <c r="B392" s="9" t="str">
        <f>HYPERLINK("http://www.ncbi.nlm.nih.gov/gene/190285", "190285")</f>
        <v>190285</v>
      </c>
      <c r="C392" s="9"/>
      <c r="D392" t="str">
        <f>"Y54G2A.28"</f>
        <v>Y54G2A.28</v>
      </c>
      <c r="F392" t="s">
        <v>11</v>
      </c>
      <c r="H392" s="12">
        <v>-5.2877532522887396</v>
      </c>
      <c r="I392" s="11">
        <v>-1.24240729154942</v>
      </c>
      <c r="J392" s="10">
        <v>0.214086326713015</v>
      </c>
      <c r="K392" s="29">
        <v>0.96692735322128098</v>
      </c>
    </row>
    <row r="393" spans="1:11" x14ac:dyDescent="0.35">
      <c r="A393" s="9" t="str">
        <f>HYPERLINK("http://www.ensembl.org/id/WBGene00197209", "WBGene00197209")</f>
        <v>WBGene00197209</v>
      </c>
      <c r="B393" s="9"/>
      <c r="C393" s="9"/>
      <c r="D393" t="str">
        <f>"C34B4.11"</f>
        <v>C34B4.11</v>
      </c>
      <c r="F393" t="s">
        <v>481</v>
      </c>
      <c r="H393" s="12">
        <v>-5.24470813550841</v>
      </c>
      <c r="I393" s="11">
        <v>-0.96772134752877204</v>
      </c>
      <c r="J393" s="10">
        <v>0.33318355371273201</v>
      </c>
      <c r="K393" s="29">
        <v>0.98289565623980701</v>
      </c>
    </row>
    <row r="394" spans="1:11" x14ac:dyDescent="0.35">
      <c r="A394" s="9" t="str">
        <f>HYPERLINK("http://www.ensembl.org/id/WBGene00001545", "WBGene00001545")</f>
        <v>WBGene00001545</v>
      </c>
      <c r="B394" s="9" t="str">
        <f>HYPERLINK("http://www.ncbi.nlm.nih.gov/gene/184797", "184797")</f>
        <v>184797</v>
      </c>
      <c r="C394" s="9"/>
      <c r="D394" t="str">
        <f>"gcy-20"</f>
        <v>gcy-20</v>
      </c>
      <c r="E394" t="s">
        <v>3714</v>
      </c>
      <c r="F394" t="s">
        <v>11</v>
      </c>
      <c r="G394" t="s">
        <v>1564</v>
      </c>
      <c r="H394" s="12">
        <v>-5.2157212039925502</v>
      </c>
      <c r="I394" s="11">
        <v>-1.3177632715596199</v>
      </c>
      <c r="J394" s="10">
        <v>0.18758290654211701</v>
      </c>
      <c r="K394" s="29">
        <v>0.92558703629806605</v>
      </c>
    </row>
    <row r="395" spans="1:11" x14ac:dyDescent="0.35">
      <c r="A395" s="9" t="str">
        <f>HYPERLINK("http://www.ensembl.org/id/WBGene00000465", "WBGene00000465")</f>
        <v>WBGene00000465</v>
      </c>
      <c r="B395" s="9" t="str">
        <f>HYPERLINK("http://www.ncbi.nlm.nih.gov/gene/175586", "175586")</f>
        <v>175586</v>
      </c>
      <c r="C395" s="9"/>
      <c r="D395" t="str">
        <f>"cpg-1"</f>
        <v>cpg-1</v>
      </c>
      <c r="E395" t="s">
        <v>59</v>
      </c>
      <c r="F395" t="s">
        <v>11</v>
      </c>
      <c r="G395" t="s">
        <v>31</v>
      </c>
      <c r="H395" s="12">
        <v>-5.1917052995566397</v>
      </c>
      <c r="I395" s="11">
        <v>-6.2444875005661196</v>
      </c>
      <c r="J395" s="10">
        <v>4.2519192811488999E-10</v>
      </c>
      <c r="K395" s="29">
        <v>2.8069956260064702E-7</v>
      </c>
    </row>
    <row r="396" spans="1:11" x14ac:dyDescent="0.35">
      <c r="A396" s="9" t="str">
        <f>HYPERLINK("http://www.ensembl.org/id/WBGene00012080", "WBGene00012080")</f>
        <v>WBGene00012080</v>
      </c>
      <c r="B396" s="9"/>
      <c r="C396" s="9"/>
      <c r="D396" t="str">
        <f>"clec-244"</f>
        <v>clec-244</v>
      </c>
      <c r="F396" t="s">
        <v>80</v>
      </c>
      <c r="H396" s="12">
        <v>-5.19077631658425</v>
      </c>
      <c r="I396" s="11">
        <v>-0.64548693371462496</v>
      </c>
      <c r="J396" s="10">
        <v>0.51861168305995897</v>
      </c>
      <c r="K396" s="29">
        <v>0.98289565623980701</v>
      </c>
    </row>
    <row r="397" spans="1:11" x14ac:dyDescent="0.35">
      <c r="A397" s="9" t="str">
        <f>HYPERLINK("http://www.ensembl.org/id/WBGene00198516", "WBGene00198516")</f>
        <v>WBGene00198516</v>
      </c>
      <c r="B397" s="9"/>
      <c r="C397" s="9"/>
      <c r="D397" t="str">
        <f>"F08F1.15"</f>
        <v>F08F1.15</v>
      </c>
      <c r="F397" t="s">
        <v>481</v>
      </c>
      <c r="H397" s="12">
        <v>-5.19077631658425</v>
      </c>
      <c r="I397" s="11">
        <v>-0.64548693371462496</v>
      </c>
      <c r="J397" s="10">
        <v>0.51861168305995897</v>
      </c>
      <c r="K397" s="29">
        <v>0.98289565623980701</v>
      </c>
    </row>
    <row r="398" spans="1:11" x14ac:dyDescent="0.35">
      <c r="A398" s="9" t="str">
        <f>HYPERLINK("http://www.ensembl.org/id/WBGene00011166", "WBGene00011166")</f>
        <v>WBGene00011166</v>
      </c>
      <c r="B398" s="9" t="str">
        <f>HYPERLINK("http://www.ncbi.nlm.nih.gov/gene/187738", "187738")</f>
        <v>187738</v>
      </c>
      <c r="C398" s="9"/>
      <c r="D398" t="str">
        <f>"chil-22"</f>
        <v>chil-22</v>
      </c>
      <c r="E398" t="s">
        <v>1756</v>
      </c>
      <c r="F398" t="s">
        <v>11</v>
      </c>
      <c r="G398" t="s">
        <v>1509</v>
      </c>
      <c r="H398" s="12">
        <v>-5.1811322826438104</v>
      </c>
      <c r="I398" s="11">
        <v>-1.9893123683937199</v>
      </c>
      <c r="J398" s="10">
        <v>4.6666735332593898E-2</v>
      </c>
      <c r="K398" s="29">
        <v>0.50199328984865699</v>
      </c>
    </row>
    <row r="399" spans="1:11" x14ac:dyDescent="0.35">
      <c r="A399" s="9" t="str">
        <f>HYPERLINK("http://www.ensembl.org/id/WBGene00022321", "WBGene00022321")</f>
        <v>WBGene00022321</v>
      </c>
      <c r="B399" s="9" t="str">
        <f>HYPERLINK("http://www.ncbi.nlm.nih.gov/gene/190753", "190753")</f>
        <v>190753</v>
      </c>
      <c r="C399" s="9"/>
      <c r="D399" t="str">
        <f>"fbxa-25"</f>
        <v>fbxa-25</v>
      </c>
      <c r="E399" t="s">
        <v>467</v>
      </c>
      <c r="F399" t="s">
        <v>11</v>
      </c>
      <c r="G399" t="s">
        <v>54</v>
      </c>
      <c r="H399" s="12">
        <v>-5.1720206078314801</v>
      </c>
      <c r="I399" s="11">
        <v>-0.78874717708743403</v>
      </c>
      <c r="J399" s="10">
        <v>0.43025978837831302</v>
      </c>
      <c r="K399" s="29">
        <v>0.98289565623980701</v>
      </c>
    </row>
    <row r="400" spans="1:11" x14ac:dyDescent="0.35">
      <c r="A400" s="9" t="str">
        <f>HYPERLINK("http://www.ensembl.org/id/WBGene00011986", "WBGene00011986")</f>
        <v>WBGene00011986</v>
      </c>
      <c r="B400" s="9" t="str">
        <f>HYPERLINK("http://www.ncbi.nlm.nih.gov/gene/172854", "172854")</f>
        <v>172854</v>
      </c>
      <c r="C400" s="9"/>
      <c r="D400" t="str">
        <f>"T24D1.3"</f>
        <v>T24D1.3</v>
      </c>
      <c r="F400" t="s">
        <v>11</v>
      </c>
      <c r="G400" t="s">
        <v>51</v>
      </c>
      <c r="H400" s="12">
        <v>-5.1642985393551104</v>
      </c>
      <c r="I400" s="11">
        <v>-6.3581425894627399</v>
      </c>
      <c r="J400" s="10">
        <v>2.0420787270550299E-10</v>
      </c>
      <c r="K400" s="29">
        <v>1.88737084269334E-7</v>
      </c>
    </row>
    <row r="401" spans="1:11" x14ac:dyDescent="0.35">
      <c r="A401" s="9" t="str">
        <f>HYPERLINK("http://www.ensembl.org/id/WBGene00000688", "WBGene00000688")</f>
        <v>WBGene00000688</v>
      </c>
      <c r="B401" s="9" t="str">
        <f>HYPERLINK("http://www.ncbi.nlm.nih.gov/gene/177500", "177500")</f>
        <v>177500</v>
      </c>
      <c r="C401" s="9"/>
      <c r="D401" t="str">
        <f>"col-114"</f>
        <v>col-114</v>
      </c>
      <c r="E401" t="s">
        <v>40</v>
      </c>
      <c r="F401" t="s">
        <v>11</v>
      </c>
      <c r="G401" t="s">
        <v>41</v>
      </c>
      <c r="H401" s="12">
        <v>-5.1378819527527098</v>
      </c>
      <c r="I401" s="11">
        <v>-0.83984993454339496</v>
      </c>
      <c r="J401" s="10">
        <v>0.40099253166789001</v>
      </c>
      <c r="K401" s="29">
        <v>0.98289565623980701</v>
      </c>
    </row>
    <row r="402" spans="1:11" x14ac:dyDescent="0.35">
      <c r="A402" s="9" t="str">
        <f>HYPERLINK("http://www.ensembl.org/id/WBGene00000496", "WBGene00000496")</f>
        <v>WBGene00000496</v>
      </c>
      <c r="B402" s="9" t="str">
        <f>HYPERLINK("http://www.ncbi.nlm.nih.gov/gene/172508", "172508")</f>
        <v>172508</v>
      </c>
      <c r="C402" s="9"/>
      <c r="D402" t="str">
        <f>"chs-1"</f>
        <v>chs-1</v>
      </c>
      <c r="E402" t="s">
        <v>67</v>
      </c>
      <c r="F402" t="s">
        <v>11</v>
      </c>
      <c r="G402" t="s">
        <v>68</v>
      </c>
      <c r="H402" s="12">
        <v>-5.1180078343328503</v>
      </c>
      <c r="I402" s="11">
        <v>-6.1164125970747696</v>
      </c>
      <c r="J402" s="10">
        <v>9.570533898124909E-10</v>
      </c>
      <c r="K402" s="29">
        <v>5.1427152616296304E-7</v>
      </c>
    </row>
    <row r="403" spans="1:11" x14ac:dyDescent="0.35">
      <c r="A403" s="9" t="str">
        <f>HYPERLINK("http://www.ensembl.org/id/WBGene00017214", "WBGene00017214")</f>
        <v>WBGene00017214</v>
      </c>
      <c r="B403" s="9" t="str">
        <f>HYPERLINK("http://www.ncbi.nlm.nih.gov/gene/184146", "184146")</f>
        <v>184146</v>
      </c>
      <c r="C403" s="9"/>
      <c r="D403" t="str">
        <f>"F07E5.9"</f>
        <v>F07E5.9</v>
      </c>
      <c r="F403" t="s">
        <v>11</v>
      </c>
      <c r="H403" s="12">
        <v>-5.0952189085392501</v>
      </c>
      <c r="I403" s="11">
        <v>-0.72165538921031003</v>
      </c>
      <c r="J403" s="10">
        <v>0.47050637587086003</v>
      </c>
      <c r="K403" s="29">
        <v>0.98289565623980701</v>
      </c>
    </row>
    <row r="404" spans="1:11" x14ac:dyDescent="0.35">
      <c r="A404" s="9" t="str">
        <f>HYPERLINK("http://www.ensembl.org/id/WBGene00015428", "WBGene00015428")</f>
        <v>WBGene00015428</v>
      </c>
      <c r="B404" s="9" t="str">
        <f>HYPERLINK("http://www.ncbi.nlm.nih.gov/gene/182205", "182205")</f>
        <v>182205</v>
      </c>
      <c r="C404" s="9"/>
      <c r="D404" t="str">
        <f>"C04E7.1"</f>
        <v>C04E7.1</v>
      </c>
      <c r="F404" t="s">
        <v>11</v>
      </c>
      <c r="H404" s="12">
        <v>-5.0935432090725197</v>
      </c>
      <c r="I404" s="11">
        <v>-0.71051726019922401</v>
      </c>
      <c r="J404" s="10">
        <v>0.47738343139864797</v>
      </c>
      <c r="K404" s="29">
        <v>0.98289565623980701</v>
      </c>
    </row>
    <row r="405" spans="1:11" x14ac:dyDescent="0.35">
      <c r="A405" s="9" t="str">
        <f>HYPERLINK("http://www.ensembl.org/id/WBGene00015102", "WBGene00015102")</f>
        <v>WBGene00015102</v>
      </c>
      <c r="B405" s="9" t="str">
        <f>HYPERLINK("http://www.ncbi.nlm.nih.gov/gene/175991", "175991")</f>
        <v>175991</v>
      </c>
      <c r="C405" s="9"/>
      <c r="D405" t="str">
        <f>"cpg-2"</f>
        <v>cpg-2</v>
      </c>
      <c r="E405" t="s">
        <v>30</v>
      </c>
      <c r="F405" t="s">
        <v>11</v>
      </c>
      <c r="G405" t="s">
        <v>31</v>
      </c>
      <c r="H405" s="12">
        <v>-5.0897975219377196</v>
      </c>
      <c r="I405" s="11">
        <v>-6.7287633158427198</v>
      </c>
      <c r="J405" s="10">
        <v>1.7111112212925701E-11</v>
      </c>
      <c r="K405" s="29">
        <v>3.0413027599374001E-8</v>
      </c>
    </row>
    <row r="406" spans="1:11" x14ac:dyDescent="0.35">
      <c r="A406" s="9" t="str">
        <f>HYPERLINK("http://www.ensembl.org/id/WBGene00015589", "WBGene00015589")</f>
        <v>WBGene00015589</v>
      </c>
      <c r="B406" s="9" t="str">
        <f>HYPERLINK("http://www.ncbi.nlm.nih.gov/gene/182387", "182387")</f>
        <v>182387</v>
      </c>
      <c r="C406" s="9"/>
      <c r="D406" t="str">
        <f>"lido-4"</f>
        <v>lido-4</v>
      </c>
      <c r="F406" t="s">
        <v>11</v>
      </c>
      <c r="G406" t="s">
        <v>228</v>
      </c>
      <c r="H406" s="12">
        <v>-5.0691105500680296</v>
      </c>
      <c r="I406" s="11">
        <v>-1.8139274757185699</v>
      </c>
      <c r="J406" s="10">
        <v>6.9688892037825995E-2</v>
      </c>
      <c r="K406" s="29">
        <v>0.62478962504554902</v>
      </c>
    </row>
    <row r="407" spans="1:11" x14ac:dyDescent="0.35">
      <c r="A407" s="9" t="str">
        <f>HYPERLINK("http://www.ensembl.org/id/WBGene00202410", "WBGene00202410")</f>
        <v>WBGene00202410</v>
      </c>
      <c r="B407" s="9"/>
      <c r="C407" s="9"/>
      <c r="D407" t="str">
        <f>"F54F12.5"</f>
        <v>F54F12.5</v>
      </c>
      <c r="F407" t="s">
        <v>481</v>
      </c>
      <c r="H407" s="12">
        <v>-5.0679335373361498</v>
      </c>
      <c r="I407" s="11">
        <v>-0.76562232569770305</v>
      </c>
      <c r="J407" s="10">
        <v>0.443901056408812</v>
      </c>
      <c r="K407" s="29">
        <v>0.98289565623980701</v>
      </c>
    </row>
    <row r="408" spans="1:11" x14ac:dyDescent="0.35">
      <c r="A408" s="9" t="str">
        <f>HYPERLINK("http://www.ensembl.org/id/WBGene00012334", "WBGene00012334")</f>
        <v>WBGene00012334</v>
      </c>
      <c r="B408" s="9" t="str">
        <f>HYPERLINK("http://www.ncbi.nlm.nih.gov/gene/175046", "175046")</f>
        <v>175046</v>
      </c>
      <c r="C408" s="9"/>
      <c r="D408" t="str">
        <f>"W07G1.7"</f>
        <v>W07G1.7</v>
      </c>
      <c r="F408" t="s">
        <v>11</v>
      </c>
      <c r="H408" s="12">
        <v>-5.0679335373361498</v>
      </c>
      <c r="I408" s="11">
        <v>-0.76562232569770305</v>
      </c>
      <c r="J408" s="10">
        <v>0.443901056408812</v>
      </c>
      <c r="K408" s="29">
        <v>0.98289565623980701</v>
      </c>
    </row>
    <row r="409" spans="1:11" x14ac:dyDescent="0.35">
      <c r="A409" s="9" t="str">
        <f>HYPERLINK("http://www.ensembl.org/id/WBGene00045238", "WBGene00045238")</f>
        <v>WBGene00045238</v>
      </c>
      <c r="B409" s="9"/>
      <c r="C409" s="9"/>
      <c r="D409" t="str">
        <f>"rpr-1"</f>
        <v>rpr-1</v>
      </c>
      <c r="F409" t="s">
        <v>481</v>
      </c>
      <c r="H409" s="12">
        <v>-5.03258657694645</v>
      </c>
      <c r="I409" s="11">
        <v>-1.4845391648747399</v>
      </c>
      <c r="J409" s="10">
        <v>0.13766594098864901</v>
      </c>
      <c r="K409" s="29">
        <v>0.82906592033916404</v>
      </c>
    </row>
    <row r="410" spans="1:11" x14ac:dyDescent="0.35">
      <c r="A410" s="9" t="str">
        <f>HYPERLINK("http://www.ensembl.org/id/WBGene00005754", "WBGene00005754")</f>
        <v>WBGene00005754</v>
      </c>
      <c r="B410" s="9" t="str">
        <f>HYPERLINK("http://www.ncbi.nlm.nih.gov/gene/187706", "187706")</f>
        <v>187706</v>
      </c>
      <c r="C410" s="9"/>
      <c r="D410" t="str">
        <f>"srw-7"</f>
        <v>srw-7</v>
      </c>
      <c r="E410" t="s">
        <v>1014</v>
      </c>
      <c r="F410" t="s">
        <v>11</v>
      </c>
      <c r="G410" t="s">
        <v>1015</v>
      </c>
      <c r="H410" s="12">
        <v>-5.0249136465305</v>
      </c>
      <c r="I410" s="11">
        <v>-1.0541746635335101</v>
      </c>
      <c r="J410" s="10">
        <v>0.29180295765006797</v>
      </c>
      <c r="K410" s="29">
        <v>0.98289565623980701</v>
      </c>
    </row>
    <row r="411" spans="1:11" x14ac:dyDescent="0.35">
      <c r="A411" s="9" t="str">
        <f>HYPERLINK("http://www.ensembl.org/id/WBGene00044502", "WBGene00044502")</f>
        <v>WBGene00044502</v>
      </c>
      <c r="B411" s="9" t="str">
        <f>HYPERLINK("http://www.ncbi.nlm.nih.gov/gene/3896769", "3896769")</f>
        <v>3896769</v>
      </c>
      <c r="C411" s="9"/>
      <c r="D411" t="str">
        <f>"C46G7.5"</f>
        <v>C46G7.5</v>
      </c>
      <c r="F411" t="s">
        <v>11</v>
      </c>
      <c r="H411" s="12">
        <v>-5.01939244888319</v>
      </c>
      <c r="I411" s="11">
        <v>-2.5833522138532001</v>
      </c>
      <c r="J411" s="10">
        <v>9.7845376703097706E-3</v>
      </c>
      <c r="K411" s="29">
        <v>0.19290232714179001</v>
      </c>
    </row>
    <row r="412" spans="1:11" x14ac:dyDescent="0.35">
      <c r="A412" s="9" t="str">
        <f>HYPERLINK("http://www.ensembl.org/id/WBGene00195234", "WBGene00195234")</f>
        <v>WBGene00195234</v>
      </c>
      <c r="B412" s="9"/>
      <c r="C412" s="9"/>
      <c r="D412" t="str">
        <f>"C14C10.9"</f>
        <v>C14C10.9</v>
      </c>
      <c r="F412" t="s">
        <v>2735</v>
      </c>
      <c r="H412" s="12">
        <v>-5.0154092440769</v>
      </c>
      <c r="I412" s="11">
        <v>-0.66486144311044404</v>
      </c>
      <c r="J412" s="10">
        <v>0.506139118892736</v>
      </c>
      <c r="K412" s="29">
        <v>0.98289565623980701</v>
      </c>
    </row>
    <row r="413" spans="1:11" x14ac:dyDescent="0.35">
      <c r="A413" s="9" t="str">
        <f>HYPERLINK("http://www.ensembl.org/id/WBGene00044719", "WBGene00044719")</f>
        <v>WBGene00044719</v>
      </c>
      <c r="B413" s="9" t="str">
        <f>HYPERLINK("http://www.ncbi.nlm.nih.gov/gene/4363071", "4363071")</f>
        <v>4363071</v>
      </c>
      <c r="C413" s="9"/>
      <c r="D413" t="str">
        <f>"clec-172"</f>
        <v>clec-172</v>
      </c>
      <c r="E413" t="s">
        <v>46</v>
      </c>
      <c r="F413" t="s">
        <v>11</v>
      </c>
      <c r="G413" t="s">
        <v>151</v>
      </c>
      <c r="H413" s="12">
        <v>-5.0118789621118296</v>
      </c>
      <c r="I413" s="11">
        <v>-3.1122979148090999</v>
      </c>
      <c r="J413" s="10">
        <v>1.8563706058009699E-3</v>
      </c>
      <c r="K413" s="29">
        <v>6.1317802256037203E-2</v>
      </c>
    </row>
    <row r="414" spans="1:11" x14ac:dyDescent="0.35">
      <c r="A414" s="9" t="str">
        <f>HYPERLINK("http://www.ensembl.org/id/WBGene00006550", "WBGene00006550")</f>
        <v>WBGene00006550</v>
      </c>
      <c r="B414" s="9" t="str">
        <f>HYPERLINK("http://www.ncbi.nlm.nih.gov/gene/183272", "183272")</f>
        <v>183272</v>
      </c>
      <c r="C414" s="9"/>
      <c r="D414" t="str">
        <f>"tbx-31"</f>
        <v>tbx-31</v>
      </c>
      <c r="E414" t="s">
        <v>10116</v>
      </c>
      <c r="F414" t="s">
        <v>11</v>
      </c>
      <c r="G414" t="s">
        <v>10078</v>
      </c>
      <c r="H414" s="12">
        <v>-5.00955858130758</v>
      </c>
      <c r="I414" s="11">
        <v>-1.1453839037494</v>
      </c>
      <c r="J414" s="10">
        <v>0.252050163097711</v>
      </c>
      <c r="K414" s="29">
        <v>0.98289565623980701</v>
      </c>
    </row>
    <row r="415" spans="1:11" x14ac:dyDescent="0.35">
      <c r="A415" s="9" t="str">
        <f>HYPERLINK("http://www.ensembl.org/id/WBGene00016822", "WBGene00016822")</f>
        <v>WBGene00016822</v>
      </c>
      <c r="B415" s="9" t="str">
        <f>HYPERLINK("http://www.ncbi.nlm.nih.gov/gene/179144", "179144")</f>
        <v>179144</v>
      </c>
      <c r="C415" s="9"/>
      <c r="D415" t="str">
        <f>"C50E3.11"</f>
        <v>C50E3.11</v>
      </c>
      <c r="F415" t="s">
        <v>11</v>
      </c>
      <c r="H415" s="12">
        <v>-5.00518258635352</v>
      </c>
      <c r="I415" s="11">
        <v>-5.8313068182636698</v>
      </c>
      <c r="J415" s="10">
        <v>5.4994955719787904E-9</v>
      </c>
      <c r="K415" s="29">
        <v>2.2691311551096798E-6</v>
      </c>
    </row>
    <row r="416" spans="1:11" x14ac:dyDescent="0.35">
      <c r="A416" s="9" t="str">
        <f>HYPERLINK("http://www.ensembl.org/id/WBGene00197887", "WBGene00197887")</f>
        <v>WBGene00197887</v>
      </c>
      <c r="B416" s="9"/>
      <c r="C416" s="9"/>
      <c r="D416" t="str">
        <f>"C30F2.6"</f>
        <v>C30F2.6</v>
      </c>
      <c r="F416" t="s">
        <v>481</v>
      </c>
      <c r="H416" s="12">
        <v>-4.95720895490747</v>
      </c>
      <c r="I416" s="11">
        <v>-0.85474123042128702</v>
      </c>
      <c r="J416" s="10">
        <v>0.392694419727456</v>
      </c>
      <c r="K416" s="29">
        <v>0.98289565623980701</v>
      </c>
    </row>
    <row r="417" spans="1:11" x14ac:dyDescent="0.35">
      <c r="A417" s="9" t="str">
        <f>HYPERLINK("http://www.ensembl.org/id/WBGene00005758", "WBGene00005758")</f>
        <v>WBGene00005758</v>
      </c>
      <c r="B417" s="9" t="str">
        <f>HYPERLINK("http://www.ncbi.nlm.nih.gov/gene/3564862", "3564862")</f>
        <v>3564862</v>
      </c>
      <c r="C417" s="9"/>
      <c r="D417" t="str">
        <f>"srw-11"</f>
        <v>srw-11</v>
      </c>
      <c r="E417" t="s">
        <v>1014</v>
      </c>
      <c r="F417" t="s">
        <v>11</v>
      </c>
      <c r="G417" t="s">
        <v>1015</v>
      </c>
      <c r="H417" s="12">
        <v>-4.94103260647422</v>
      </c>
      <c r="I417" s="11">
        <v>-0.841049546673447</v>
      </c>
      <c r="J417" s="10">
        <v>0.40032017812674398</v>
      </c>
      <c r="K417" s="29">
        <v>0.98289565623980701</v>
      </c>
    </row>
    <row r="418" spans="1:11" x14ac:dyDescent="0.35">
      <c r="A418" s="9" t="str">
        <f>HYPERLINK("http://www.ensembl.org/id/WBGene00016473", "WBGene00016473")</f>
        <v>WBGene00016473</v>
      </c>
      <c r="B418" s="9" t="str">
        <f>HYPERLINK("http://www.ncbi.nlm.nih.gov/gene/183260", "183260")</f>
        <v>183260</v>
      </c>
      <c r="C418" s="9"/>
      <c r="D418" t="str">
        <f>"C36C5.4"</f>
        <v>C36C5.4</v>
      </c>
      <c r="F418" t="s">
        <v>11</v>
      </c>
      <c r="H418" s="12">
        <v>-4.9405101579997703</v>
      </c>
      <c r="I418" s="11">
        <v>-0.54700106443493901</v>
      </c>
      <c r="J418" s="10">
        <v>0.58437800083765901</v>
      </c>
      <c r="K418" s="29">
        <v>0.98289565623980701</v>
      </c>
    </row>
    <row r="419" spans="1:11" x14ac:dyDescent="0.35">
      <c r="A419" s="9" t="str">
        <f>HYPERLINK("http://www.ensembl.org/id/WBGene00013834", "WBGene00013834")</f>
        <v>WBGene00013834</v>
      </c>
      <c r="B419" s="9" t="str">
        <f>HYPERLINK("http://www.ncbi.nlm.nih.gov/gene/180330", "180330")</f>
        <v>180330</v>
      </c>
      <c r="C419" s="9"/>
      <c r="D419" t="str">
        <f>"clec-261"</f>
        <v>clec-261</v>
      </c>
      <c r="E419" t="s">
        <v>46</v>
      </c>
      <c r="F419" t="s">
        <v>11</v>
      </c>
      <c r="G419" t="s">
        <v>47</v>
      </c>
      <c r="H419" s="12">
        <v>-4.9405101579997703</v>
      </c>
      <c r="I419" s="11">
        <v>-0.54700106443493901</v>
      </c>
      <c r="J419" s="10">
        <v>0.58437800083765901</v>
      </c>
      <c r="K419" s="29">
        <v>0.98289565623980701</v>
      </c>
    </row>
    <row r="420" spans="1:11" x14ac:dyDescent="0.35">
      <c r="A420" s="9" t="str">
        <f>HYPERLINK("http://www.ensembl.org/id/WBGene00006155", "WBGene00006155")</f>
        <v>WBGene00006155</v>
      </c>
      <c r="B420" s="9" t="str">
        <f>HYPERLINK("http://www.ncbi.nlm.nih.gov/gene/184276", "184276")</f>
        <v>184276</v>
      </c>
      <c r="C420" s="9"/>
      <c r="D420" t="str">
        <f>"str-99"</f>
        <v>str-99</v>
      </c>
      <c r="E420" t="s">
        <v>590</v>
      </c>
      <c r="F420" t="s">
        <v>11</v>
      </c>
      <c r="G420" t="s">
        <v>591</v>
      </c>
      <c r="H420" s="12">
        <v>-4.9405101579997703</v>
      </c>
      <c r="I420" s="11">
        <v>-0.54700106443493901</v>
      </c>
      <c r="J420" s="10">
        <v>0.58437800083765901</v>
      </c>
      <c r="K420" s="29">
        <v>0.98289565623980701</v>
      </c>
    </row>
    <row r="421" spans="1:11" x14ac:dyDescent="0.35">
      <c r="A421" s="9" t="str">
        <f>HYPERLINK("http://www.ensembl.org/id/WBGene00021072", "WBGene00021072")</f>
        <v>WBGene00021072</v>
      </c>
      <c r="B421" s="9" t="str">
        <f>HYPERLINK("http://www.ncbi.nlm.nih.gov/gene/178611", "178611")</f>
        <v>178611</v>
      </c>
      <c r="C421" s="9"/>
      <c r="D421" t="str">
        <f>"W07B8.4"</f>
        <v>W07B8.4</v>
      </c>
      <c r="F421" t="s">
        <v>11</v>
      </c>
      <c r="G421" t="s">
        <v>1296</v>
      </c>
      <c r="H421" s="12">
        <v>-4.9367806075382896</v>
      </c>
      <c r="I421" s="11">
        <v>-1.46314819528539</v>
      </c>
      <c r="J421" s="10">
        <v>0.14342683256320299</v>
      </c>
      <c r="K421" s="29">
        <v>0.84026886237458398</v>
      </c>
    </row>
    <row r="422" spans="1:11" x14ac:dyDescent="0.35">
      <c r="A422" s="9" t="str">
        <f>HYPERLINK("http://www.ensembl.org/id/WBGene00173884", "WBGene00173884")</f>
        <v>WBGene00173884</v>
      </c>
      <c r="B422" s="9"/>
      <c r="C422" s="9"/>
      <c r="D422" t="str">
        <f>"21ur-15586"</f>
        <v>21ur-15586</v>
      </c>
      <c r="F422" t="s">
        <v>3161</v>
      </c>
      <c r="H422" s="12">
        <v>-4.92795407458732</v>
      </c>
      <c r="I422" s="11">
        <v>-1.3110802796774499</v>
      </c>
      <c r="J422" s="10">
        <v>0.18983064251034901</v>
      </c>
      <c r="K422" s="29">
        <v>0.92834517192120303</v>
      </c>
    </row>
    <row r="423" spans="1:11" x14ac:dyDescent="0.35">
      <c r="A423" s="9" t="str">
        <f>HYPERLINK("http://www.ensembl.org/id/WBGene00009773", "WBGene00009773")</f>
        <v>WBGene00009773</v>
      </c>
      <c r="B423" s="9" t="str">
        <f>HYPERLINK("http://www.ncbi.nlm.nih.gov/gene/185840", "185840")</f>
        <v>185840</v>
      </c>
      <c r="C423" s="9" t="str">
        <f>HYPERLINK("http://www.ncbi.nlm.nih.gov/gene/3988", "3988")</f>
        <v>3988</v>
      </c>
      <c r="D423" t="str">
        <f>"lipl-2"</f>
        <v>lipl-2</v>
      </c>
      <c r="E423" t="s">
        <v>18</v>
      </c>
      <c r="F423" t="s">
        <v>11</v>
      </c>
      <c r="G423" t="s">
        <v>2177</v>
      </c>
      <c r="H423" s="12">
        <v>-4.9246310160881297</v>
      </c>
      <c r="I423" s="11">
        <v>-1.7862904541504601</v>
      </c>
      <c r="J423" s="10">
        <v>7.4052241711647898E-2</v>
      </c>
      <c r="K423" s="29">
        <v>0.64167496121180401</v>
      </c>
    </row>
    <row r="424" spans="1:11" x14ac:dyDescent="0.35">
      <c r="A424" s="9" t="str">
        <f>HYPERLINK("http://www.ensembl.org/id/WBGene00168009", "WBGene00168009")</f>
        <v>WBGene00168009</v>
      </c>
      <c r="B424" s="9"/>
      <c r="C424" s="9"/>
      <c r="D424" t="str">
        <f>"21ur-10952"</f>
        <v>21ur-10952</v>
      </c>
      <c r="F424" t="s">
        <v>3161</v>
      </c>
      <c r="H424" s="12">
        <v>-4.9091418681309804</v>
      </c>
      <c r="I424" s="11">
        <v>-0.54873995166816503</v>
      </c>
      <c r="J424" s="10">
        <v>0.58318392455661805</v>
      </c>
      <c r="K424" s="29">
        <v>0.98289565623980701</v>
      </c>
    </row>
    <row r="425" spans="1:11" x14ac:dyDescent="0.35">
      <c r="A425" s="9" t="str">
        <f>HYPERLINK("http://www.ensembl.org/id/WBGene00005352", "WBGene00005352")</f>
        <v>WBGene00005352</v>
      </c>
      <c r="B425" s="9" t="str">
        <f>HYPERLINK("http://www.ncbi.nlm.nih.gov/gene/187952", "187952")</f>
        <v>187952</v>
      </c>
      <c r="C425" s="9"/>
      <c r="D425" t="str">
        <f>"srh-135"</f>
        <v>srh-135</v>
      </c>
      <c r="E425" t="s">
        <v>153</v>
      </c>
      <c r="F425" t="s">
        <v>11</v>
      </c>
      <c r="G425" t="s">
        <v>25</v>
      </c>
      <c r="H425" s="12">
        <v>-4.9091418681309804</v>
      </c>
      <c r="I425" s="11">
        <v>-0.54873995166816503</v>
      </c>
      <c r="J425" s="10">
        <v>0.58318392455661805</v>
      </c>
      <c r="K425" s="29">
        <v>0.98289565623980701</v>
      </c>
    </row>
    <row r="426" spans="1:11" x14ac:dyDescent="0.35">
      <c r="A426" s="9" t="str">
        <f>HYPERLINK("http://www.ensembl.org/id/WBGene00005396", "WBGene00005396")</f>
        <v>WBGene00005396</v>
      </c>
      <c r="B426" s="9" t="str">
        <f>HYPERLINK("http://www.ncbi.nlm.nih.gov/gene/191253", "191253")</f>
        <v>191253</v>
      </c>
      <c r="C426" s="9"/>
      <c r="D426" t="str">
        <f>"srh-181"</f>
        <v>srh-181</v>
      </c>
      <c r="E426" t="s">
        <v>153</v>
      </c>
      <c r="F426" t="s">
        <v>11</v>
      </c>
      <c r="G426" t="s">
        <v>25</v>
      </c>
      <c r="H426" s="12">
        <v>-4.8812077717731697</v>
      </c>
      <c r="I426" s="11">
        <v>-2.8456682184005899</v>
      </c>
      <c r="J426" s="10">
        <v>4.4318344318440899E-3</v>
      </c>
      <c r="K426" s="29">
        <v>0.11215987555552</v>
      </c>
    </row>
    <row r="427" spans="1:11" x14ac:dyDescent="0.35">
      <c r="A427" s="9" t="str">
        <f>HYPERLINK("http://www.ensembl.org/id/WBGene00196302", "WBGene00196302")</f>
        <v>WBGene00196302</v>
      </c>
      <c r="B427" s="9"/>
      <c r="C427" s="9"/>
      <c r="D427" t="str">
        <f>"K08A8.8"</f>
        <v>K08A8.8</v>
      </c>
      <c r="F427" t="s">
        <v>481</v>
      </c>
      <c r="H427" s="12">
        <v>-4.8642129455176804</v>
      </c>
      <c r="I427" s="11">
        <v>-0.70168145516352298</v>
      </c>
      <c r="J427" s="10">
        <v>0.48287784070397299</v>
      </c>
      <c r="K427" s="29">
        <v>0.98289565623980701</v>
      </c>
    </row>
    <row r="428" spans="1:11" x14ac:dyDescent="0.35">
      <c r="A428" s="9" t="str">
        <f>HYPERLINK("http://www.ensembl.org/id/WBGene00021173", "WBGene00021173")</f>
        <v>WBGene00021173</v>
      </c>
      <c r="B428" s="9" t="str">
        <f>HYPERLINK("http://www.ncbi.nlm.nih.gov/gene/189401", "189401")</f>
        <v>189401</v>
      </c>
      <c r="C428" s="9"/>
      <c r="D428" t="str">
        <f>"Y8A9A.4"</f>
        <v>Y8A9A.4</v>
      </c>
      <c r="F428" t="s">
        <v>11</v>
      </c>
      <c r="H428" s="12">
        <v>-4.8642129455176804</v>
      </c>
      <c r="I428" s="11">
        <v>-0.70168145516352298</v>
      </c>
      <c r="J428" s="10">
        <v>0.48287784070397299</v>
      </c>
      <c r="K428" s="29">
        <v>0.98289565623980701</v>
      </c>
    </row>
    <row r="429" spans="1:11" x14ac:dyDescent="0.35">
      <c r="A429" s="9" t="str">
        <f>HYPERLINK("http://www.ensembl.org/id/WBGene00219239", "WBGene00219239")</f>
        <v>WBGene00219239</v>
      </c>
      <c r="B429" s="9" t="str">
        <f>HYPERLINK("http://www.ncbi.nlm.nih.gov/gene/13183656", "13183656")</f>
        <v>13183656</v>
      </c>
      <c r="C429" s="9"/>
      <c r="D429" t="str">
        <f>"K05F6.14"</f>
        <v>K05F6.14</v>
      </c>
      <c r="F429" t="s">
        <v>11</v>
      </c>
      <c r="G429" t="s">
        <v>54</v>
      </c>
      <c r="H429" s="12">
        <v>-4.8624856784916997</v>
      </c>
      <c r="I429" s="11">
        <v>-0.70773950609331004</v>
      </c>
      <c r="J429" s="10">
        <v>0.47910703924880299</v>
      </c>
      <c r="K429" s="29">
        <v>0.98289565623980701</v>
      </c>
    </row>
    <row r="430" spans="1:11" x14ac:dyDescent="0.35">
      <c r="A430" s="9" t="str">
        <f>HYPERLINK("http://www.ensembl.org/id/WBGene00023483", "WBGene00023483")</f>
        <v>WBGene00023483</v>
      </c>
      <c r="B430" s="9" t="str">
        <f>HYPERLINK("http://www.ncbi.nlm.nih.gov/gene/3565029", "3565029")</f>
        <v>3565029</v>
      </c>
      <c r="C430" s="9"/>
      <c r="D430" t="str">
        <f>"Y75B8A.39"</f>
        <v>Y75B8A.39</v>
      </c>
      <c r="F430" t="s">
        <v>11</v>
      </c>
      <c r="H430" s="12">
        <v>-4.8397801586413403</v>
      </c>
      <c r="I430" s="11">
        <v>-0.99900290752403798</v>
      </c>
      <c r="J430" s="10">
        <v>0.31779328280621499</v>
      </c>
      <c r="K430" s="29">
        <v>0.98289565623980701</v>
      </c>
    </row>
    <row r="431" spans="1:11" x14ac:dyDescent="0.35">
      <c r="A431" s="9" t="str">
        <f>HYPERLINK("http://www.ensembl.org/id/WBGene00021772", "WBGene00021772")</f>
        <v>WBGene00021772</v>
      </c>
      <c r="B431" s="9" t="str">
        <f>HYPERLINK("http://www.ncbi.nlm.nih.gov/gene/173526", "173526")</f>
        <v>173526</v>
      </c>
      <c r="C431" s="9"/>
      <c r="D431" t="str">
        <f>"math-45"</f>
        <v>math-45</v>
      </c>
      <c r="E431" t="s">
        <v>596</v>
      </c>
      <c r="F431" t="s">
        <v>11</v>
      </c>
      <c r="G431" t="s">
        <v>54</v>
      </c>
      <c r="H431" s="12">
        <v>-4.8257217006000896</v>
      </c>
      <c r="I431" s="11">
        <v>-3.11492921112049</v>
      </c>
      <c r="J431" s="10">
        <v>1.8398905923001599E-3</v>
      </c>
      <c r="K431" s="29">
        <v>6.1169082051348897E-2</v>
      </c>
    </row>
    <row r="432" spans="1:11" x14ac:dyDescent="0.35">
      <c r="A432" s="9" t="str">
        <f>HYPERLINK("http://www.ensembl.org/id/WBGene00001715", "WBGene00001715")</f>
        <v>WBGene00001715</v>
      </c>
      <c r="B432" s="9" t="str">
        <f>HYPERLINK("http://www.ncbi.nlm.nih.gov/gene/187253", "187253")</f>
        <v>187253</v>
      </c>
      <c r="C432" s="9"/>
      <c r="D432" t="str">
        <f>"grl-6"</f>
        <v>grl-6</v>
      </c>
      <c r="E432" t="s">
        <v>353</v>
      </c>
      <c r="F432" t="s">
        <v>11</v>
      </c>
      <c r="H432" s="12">
        <v>-4.8214035642247701</v>
      </c>
      <c r="I432" s="11">
        <v>-1.16041362892644</v>
      </c>
      <c r="J432" s="10">
        <v>0.24588044047285099</v>
      </c>
      <c r="K432" s="29">
        <v>0.98289565623980701</v>
      </c>
    </row>
    <row r="433" spans="1:11" x14ac:dyDescent="0.35">
      <c r="A433" s="9" t="str">
        <f>HYPERLINK("http://www.ensembl.org/id/WBGene00009523", "WBGene00009523")</f>
        <v>WBGene00009523</v>
      </c>
      <c r="B433" s="9" t="str">
        <f>HYPERLINK("http://www.ncbi.nlm.nih.gov/gene/185440", "185440")</f>
        <v>185440</v>
      </c>
      <c r="C433" s="9"/>
      <c r="D433" t="str">
        <f>"clec-165"</f>
        <v>clec-165</v>
      </c>
      <c r="E433" t="s">
        <v>46</v>
      </c>
      <c r="F433" t="s">
        <v>11</v>
      </c>
      <c r="G433" t="s">
        <v>47</v>
      </c>
      <c r="H433" s="12">
        <v>-4.8022084165923804</v>
      </c>
      <c r="I433" s="11">
        <v>-1.56170985011298</v>
      </c>
      <c r="J433" s="10">
        <v>0.118356357270004</v>
      </c>
      <c r="K433" s="29">
        <v>0.78563157936049099</v>
      </c>
    </row>
    <row r="434" spans="1:11" x14ac:dyDescent="0.35">
      <c r="A434" s="9" t="str">
        <f>HYPERLINK("http://www.ensembl.org/id/WBGene00011063", "WBGene00011063")</f>
        <v>WBGene00011063</v>
      </c>
      <c r="B434" s="9" t="str">
        <f>HYPERLINK("http://www.ncbi.nlm.nih.gov/gene/172465", "172465")</f>
        <v>172465</v>
      </c>
      <c r="C434" s="9"/>
      <c r="D434" t="str">
        <f>"cpg-3"</f>
        <v>cpg-3</v>
      </c>
      <c r="E434" t="s">
        <v>58</v>
      </c>
      <c r="F434" t="s">
        <v>11</v>
      </c>
      <c r="H434" s="12">
        <v>-4.7970660756657502</v>
      </c>
      <c r="I434" s="11">
        <v>-6.2595542647308999</v>
      </c>
      <c r="J434" s="10">
        <v>3.86079376704143E-10</v>
      </c>
      <c r="K434" s="29">
        <v>2.6378088377089201E-7</v>
      </c>
    </row>
    <row r="435" spans="1:11" x14ac:dyDescent="0.35">
      <c r="A435" s="9" t="str">
        <f>HYPERLINK("http://www.ensembl.org/id/WBGene00019699", "WBGene00019699")</f>
        <v>WBGene00019699</v>
      </c>
      <c r="B435" s="9" t="str">
        <f>HYPERLINK("http://www.ncbi.nlm.nih.gov/gene/173482", "173482")</f>
        <v>173482</v>
      </c>
      <c r="C435" s="9"/>
      <c r="D435" t="str">
        <f>"math-34"</f>
        <v>math-34</v>
      </c>
      <c r="E435" t="s">
        <v>596</v>
      </c>
      <c r="F435" t="s">
        <v>11</v>
      </c>
      <c r="G435" t="s">
        <v>54</v>
      </c>
      <c r="H435" s="12">
        <v>-4.7705864233323201</v>
      </c>
      <c r="I435" s="11">
        <v>-3.1331868010022101</v>
      </c>
      <c r="J435" s="10">
        <v>1.7291935355835701E-3</v>
      </c>
      <c r="K435" s="29">
        <v>5.8930303588781797E-2</v>
      </c>
    </row>
    <row r="436" spans="1:11" x14ac:dyDescent="0.35">
      <c r="A436" s="9" t="str">
        <f>HYPERLINK("http://www.ensembl.org/id/WBGene00009300", "WBGene00009300")</f>
        <v>WBGene00009300</v>
      </c>
      <c r="B436" s="9" t="str">
        <f>HYPERLINK("http://www.ncbi.nlm.nih.gov/gene/185175", "185175")</f>
        <v>185175</v>
      </c>
      <c r="C436" s="9"/>
      <c r="D436" t="str">
        <f>"F31F6.1"</f>
        <v>F31F6.1</v>
      </c>
      <c r="F436" t="s">
        <v>11</v>
      </c>
      <c r="H436" s="12">
        <v>-4.7623885416235998</v>
      </c>
      <c r="I436" s="11">
        <v>-3.6535690714207898</v>
      </c>
      <c r="J436" s="10">
        <v>2.5862017578245699E-4</v>
      </c>
      <c r="K436" s="29">
        <v>1.3710484944683301E-2</v>
      </c>
    </row>
    <row r="437" spans="1:11" x14ac:dyDescent="0.35">
      <c r="A437" s="9" t="str">
        <f>HYPERLINK("http://www.ensembl.org/id/WBGene00189964", "WBGene00189964")</f>
        <v>WBGene00189964</v>
      </c>
      <c r="B437" s="9"/>
      <c r="C437" s="9"/>
      <c r="D437" t="str">
        <f>"F35C11.9"</f>
        <v>F35C11.9</v>
      </c>
      <c r="F437" t="s">
        <v>4205</v>
      </c>
      <c r="H437" s="12">
        <v>-4.7467792185731703</v>
      </c>
      <c r="I437" s="11">
        <v>-0.52614829068776403</v>
      </c>
      <c r="J437" s="10">
        <v>0.59878517842770296</v>
      </c>
      <c r="K437" s="29">
        <v>0.98289565623980701</v>
      </c>
    </row>
    <row r="438" spans="1:11" x14ac:dyDescent="0.35">
      <c r="A438" s="9" t="str">
        <f>HYPERLINK("http://www.ensembl.org/id/WBGene00219740", "WBGene00219740")</f>
        <v>WBGene00219740</v>
      </c>
      <c r="B438" s="9"/>
      <c r="C438" s="9"/>
      <c r="D438" t="str">
        <f>"linc-117"</f>
        <v>linc-117</v>
      </c>
      <c r="F438" t="s">
        <v>1510</v>
      </c>
      <c r="H438" s="12">
        <v>-4.7467792185731703</v>
      </c>
      <c r="I438" s="11">
        <v>-0.52614829068776403</v>
      </c>
      <c r="J438" s="10">
        <v>0.59878517842770296</v>
      </c>
      <c r="K438" s="29">
        <v>0.98289565623980701</v>
      </c>
    </row>
    <row r="439" spans="1:11" x14ac:dyDescent="0.35">
      <c r="A439" s="9" t="str">
        <f>HYPERLINK("http://www.ensembl.org/id/WBGene00003538", "WBGene00003538")</f>
        <v>WBGene00003538</v>
      </c>
      <c r="B439" s="9" t="str">
        <f>HYPERLINK("http://www.ncbi.nlm.nih.gov/gene/186926", "186926")</f>
        <v>186926</v>
      </c>
      <c r="C439" s="9"/>
      <c r="D439" t="str">
        <f>"nas-19"</f>
        <v>nas-19</v>
      </c>
      <c r="E439" t="s">
        <v>10115</v>
      </c>
      <c r="F439" t="s">
        <v>11</v>
      </c>
      <c r="G439" t="s">
        <v>267</v>
      </c>
      <c r="H439" s="12">
        <v>-4.7467792185731703</v>
      </c>
      <c r="I439" s="11">
        <v>-0.52614829068776403</v>
      </c>
      <c r="J439" s="10">
        <v>0.59878517842770296</v>
      </c>
      <c r="K439" s="29">
        <v>0.98289565623980701</v>
      </c>
    </row>
    <row r="440" spans="1:11" x14ac:dyDescent="0.35">
      <c r="A440" s="9" t="str">
        <f>HYPERLINK("http://www.ensembl.org/id/WBGene00012170", "WBGene00012170")</f>
        <v>WBGene00012170</v>
      </c>
      <c r="B440" s="9" t="str">
        <f>HYPERLINK("http://www.ncbi.nlm.nih.gov/gene/189080", "189080")</f>
        <v>189080</v>
      </c>
      <c r="C440" s="9" t="str">
        <f>HYPERLINK("http://www.ncbi.nlm.nih.gov/gene/256471", "256471")</f>
        <v>256471</v>
      </c>
      <c r="D440" t="str">
        <f>"W01B6.3"</f>
        <v>W01B6.3</v>
      </c>
      <c r="F440" t="s">
        <v>11</v>
      </c>
      <c r="G440" t="s">
        <v>230</v>
      </c>
      <c r="H440" s="12">
        <v>-4.7467792185731703</v>
      </c>
      <c r="I440" s="11">
        <v>-0.52614829068776403</v>
      </c>
      <c r="J440" s="10">
        <v>0.59878517842770296</v>
      </c>
      <c r="K440" s="29">
        <v>0.98289565623980701</v>
      </c>
    </row>
    <row r="441" spans="1:11" x14ac:dyDescent="0.35">
      <c r="A441" s="9" t="str">
        <f>HYPERLINK("http://www.ensembl.org/id/WBGene00021447", "WBGene00021447")</f>
        <v>WBGene00021447</v>
      </c>
      <c r="B441" s="9" t="str">
        <f>HYPERLINK("http://www.ncbi.nlm.nih.gov/gene/189729", "189729")</f>
        <v>189729</v>
      </c>
      <c r="C441" s="9"/>
      <c r="D441" t="str">
        <f>"Y39A3CR.8"</f>
        <v>Y39A3CR.8</v>
      </c>
      <c r="F441" t="s">
        <v>11</v>
      </c>
      <c r="H441" s="12">
        <v>-4.7467792185731703</v>
      </c>
      <c r="I441" s="11">
        <v>-0.52614829068776403</v>
      </c>
      <c r="J441" s="10">
        <v>0.59878517842770296</v>
      </c>
      <c r="K441" s="29">
        <v>0.98289565623980701</v>
      </c>
    </row>
    <row r="442" spans="1:11" x14ac:dyDescent="0.35">
      <c r="A442" s="9" t="str">
        <f>HYPERLINK("http://www.ensembl.org/id/WBGene00220238", "WBGene00220238")</f>
        <v>WBGene00220238</v>
      </c>
      <c r="B442" s="9"/>
      <c r="C442" s="9"/>
      <c r="D442" t="str">
        <f>"ZK185.9"</f>
        <v>ZK185.9</v>
      </c>
      <c r="F442" t="s">
        <v>2977</v>
      </c>
      <c r="H442" s="12">
        <v>-4.7467792185731703</v>
      </c>
      <c r="I442" s="11">
        <v>-0.52614829068776403</v>
      </c>
      <c r="J442" s="10">
        <v>0.59878517842770296</v>
      </c>
      <c r="K442" s="29">
        <v>0.98289565623980701</v>
      </c>
    </row>
    <row r="443" spans="1:11" x14ac:dyDescent="0.35">
      <c r="A443" s="9" t="str">
        <f>HYPERLINK("http://www.ensembl.org/id/WBGene00019524", "WBGene00019524")</f>
        <v>WBGene00019524</v>
      </c>
      <c r="B443" s="9" t="str">
        <f>HYPERLINK("http://www.ncbi.nlm.nih.gov/gene/187146", "187146")</f>
        <v>187146</v>
      </c>
      <c r="C443" s="9"/>
      <c r="D443" t="str">
        <f>"K08D9.2"</f>
        <v>K08D9.2</v>
      </c>
      <c r="F443" t="s">
        <v>11</v>
      </c>
      <c r="G443" t="s">
        <v>1212</v>
      </c>
      <c r="H443" s="12">
        <v>-4.7378289591495202</v>
      </c>
      <c r="I443" s="11">
        <v>-0.77642821221031</v>
      </c>
      <c r="J443" s="10">
        <v>0.43749619226092201</v>
      </c>
      <c r="K443" s="29">
        <v>0.98289565623980701</v>
      </c>
    </row>
    <row r="444" spans="1:11" x14ac:dyDescent="0.35">
      <c r="A444" s="9" t="str">
        <f>HYPERLINK("http://www.ensembl.org/id/WBGene00194673", "WBGene00194673")</f>
        <v>WBGene00194673</v>
      </c>
      <c r="B444" s="9"/>
      <c r="C444" s="9"/>
      <c r="D444" t="str">
        <f>"ZK593.11"</f>
        <v>ZK593.11</v>
      </c>
      <c r="F444" t="s">
        <v>2735</v>
      </c>
      <c r="H444" s="12">
        <v>-4.7378289591495202</v>
      </c>
      <c r="I444" s="11">
        <v>-0.77642821221031</v>
      </c>
      <c r="J444" s="10">
        <v>0.43749619226092201</v>
      </c>
      <c r="K444" s="29">
        <v>0.98289565623980701</v>
      </c>
    </row>
    <row r="445" spans="1:11" x14ac:dyDescent="0.35">
      <c r="A445" s="9" t="str">
        <f>HYPERLINK("http://www.ensembl.org/id/WBGene00019811", "WBGene00019811")</f>
        <v>WBGene00019811</v>
      </c>
      <c r="B445" s="9" t="str">
        <f>HYPERLINK("http://www.ncbi.nlm.nih.gov/gene/187510", "187510")</f>
        <v>187510</v>
      </c>
      <c r="C445" s="9"/>
      <c r="D445" t="str">
        <f>"egg-2"</f>
        <v>egg-2</v>
      </c>
      <c r="E445" t="s">
        <v>53</v>
      </c>
      <c r="F445" t="s">
        <v>11</v>
      </c>
      <c r="G445" t="s">
        <v>54</v>
      </c>
      <c r="H445" s="12">
        <v>-4.7282289288469199</v>
      </c>
      <c r="I445" s="11">
        <v>-6.3323127648336701</v>
      </c>
      <c r="J445" s="10">
        <v>2.4151328201246302E-10</v>
      </c>
      <c r="K445" s="29">
        <v>1.9432999573835899E-7</v>
      </c>
    </row>
    <row r="446" spans="1:11" x14ac:dyDescent="0.35">
      <c r="A446" s="9" t="str">
        <f>HYPERLINK("http://www.ensembl.org/id/WBGene00170983", "WBGene00170983")</f>
        <v>WBGene00170983</v>
      </c>
      <c r="B446" s="9"/>
      <c r="C446" s="9"/>
      <c r="D446" t="str">
        <f>"21ur-10679"</f>
        <v>21ur-10679</v>
      </c>
      <c r="F446" t="s">
        <v>3161</v>
      </c>
      <c r="H446" s="12">
        <v>-4.7167679298615104</v>
      </c>
      <c r="I446" s="11">
        <v>-0.454742638005115</v>
      </c>
      <c r="J446" s="10">
        <v>0.64929440216969203</v>
      </c>
      <c r="K446" s="29">
        <v>0.98289565623980701</v>
      </c>
    </row>
    <row r="447" spans="1:11" x14ac:dyDescent="0.35">
      <c r="A447" s="9" t="str">
        <f>HYPERLINK("http://www.ensembl.org/id/WBGene00173564", "WBGene00173564")</f>
        <v>WBGene00173564</v>
      </c>
      <c r="B447" s="9"/>
      <c r="C447" s="9"/>
      <c r="D447" t="str">
        <f>"21ur-12095"</f>
        <v>21ur-12095</v>
      </c>
      <c r="F447" t="s">
        <v>3161</v>
      </c>
      <c r="H447" s="12">
        <v>-4.7167679298615104</v>
      </c>
      <c r="I447" s="11">
        <v>-0.454742638005115</v>
      </c>
      <c r="J447" s="10">
        <v>0.64929440216969203</v>
      </c>
      <c r="K447" s="29">
        <v>0.98289565623980701</v>
      </c>
    </row>
    <row r="448" spans="1:11" x14ac:dyDescent="0.35">
      <c r="A448" s="9" t="str">
        <f>HYPERLINK("http://www.ensembl.org/id/WBGene00173822", "WBGene00173822")</f>
        <v>WBGene00173822</v>
      </c>
      <c r="B448" s="9"/>
      <c r="C448" s="9"/>
      <c r="D448" t="str">
        <f>"21ur-14809"</f>
        <v>21ur-14809</v>
      </c>
      <c r="F448" t="s">
        <v>3161</v>
      </c>
      <c r="H448" s="12">
        <v>-4.7167679298615104</v>
      </c>
      <c r="I448" s="11">
        <v>-0.454742638005115</v>
      </c>
      <c r="J448" s="10">
        <v>0.64929440216969203</v>
      </c>
      <c r="K448" s="29">
        <v>0.98289565623980701</v>
      </c>
    </row>
    <row r="449" spans="1:11" x14ac:dyDescent="0.35">
      <c r="A449" s="9" t="str">
        <f>HYPERLINK("http://www.ensembl.org/id/WBGene00049146", "WBGene00049146")</f>
        <v>WBGene00049146</v>
      </c>
      <c r="B449" s="9"/>
      <c r="C449" s="9"/>
      <c r="D449" t="str">
        <f>"21ur-3939"</f>
        <v>21ur-3939</v>
      </c>
      <c r="F449" t="s">
        <v>3161</v>
      </c>
      <c r="H449" s="12">
        <v>-4.7167679298615104</v>
      </c>
      <c r="I449" s="11">
        <v>-0.454742638005115</v>
      </c>
      <c r="J449" s="10">
        <v>0.64929440216969203</v>
      </c>
      <c r="K449" s="29">
        <v>0.98289565623980701</v>
      </c>
    </row>
    <row r="450" spans="1:11" x14ac:dyDescent="0.35">
      <c r="A450" s="9" t="str">
        <f>HYPERLINK("http://www.ensembl.org/id/WBGene00170580", "WBGene00170580")</f>
        <v>WBGene00170580</v>
      </c>
      <c r="B450" s="9"/>
      <c r="C450" s="9"/>
      <c r="D450" t="str">
        <f>"21ur-6311"</f>
        <v>21ur-6311</v>
      </c>
      <c r="F450" t="s">
        <v>3161</v>
      </c>
      <c r="H450" s="12">
        <v>-4.7167679298615104</v>
      </c>
      <c r="I450" s="11">
        <v>-0.454742638005115</v>
      </c>
      <c r="J450" s="10">
        <v>0.64929440216969203</v>
      </c>
      <c r="K450" s="29">
        <v>0.98289565623980701</v>
      </c>
    </row>
    <row r="451" spans="1:11" x14ac:dyDescent="0.35">
      <c r="A451" s="9" t="str">
        <f>HYPERLINK("http://www.ensembl.org/id/WBGene00172820", "WBGene00172820")</f>
        <v>WBGene00172820</v>
      </c>
      <c r="B451" s="9"/>
      <c r="C451" s="9"/>
      <c r="D451" t="str">
        <f>"21ur-8499"</f>
        <v>21ur-8499</v>
      </c>
      <c r="F451" t="s">
        <v>3161</v>
      </c>
      <c r="H451" s="12">
        <v>-4.7167679298615104</v>
      </c>
      <c r="I451" s="11">
        <v>-0.454742638005115</v>
      </c>
      <c r="J451" s="10">
        <v>0.64929440216969203</v>
      </c>
      <c r="K451" s="29">
        <v>0.98289565623980701</v>
      </c>
    </row>
    <row r="452" spans="1:11" x14ac:dyDescent="0.35">
      <c r="A452" s="9" t="str">
        <f>HYPERLINK("http://www.ensembl.org/id/WBGene00197204", "WBGene00197204")</f>
        <v>WBGene00197204</v>
      </c>
      <c r="B452" s="9"/>
      <c r="C452" s="9"/>
      <c r="D452" t="str">
        <f>"B0034.9"</f>
        <v>B0034.9</v>
      </c>
      <c r="F452" t="s">
        <v>481</v>
      </c>
      <c r="H452" s="12">
        <v>-4.7167679298615104</v>
      </c>
      <c r="I452" s="11">
        <v>-0.454742638005115</v>
      </c>
      <c r="J452" s="10">
        <v>0.64929440216969203</v>
      </c>
      <c r="K452" s="29">
        <v>0.98289565623980701</v>
      </c>
    </row>
    <row r="453" spans="1:11" x14ac:dyDescent="0.35">
      <c r="A453" s="9" t="str">
        <f>HYPERLINK("http://www.ensembl.org/id/WBGene00199089", "WBGene00199089")</f>
        <v>WBGene00199089</v>
      </c>
      <c r="B453" s="9"/>
      <c r="C453" s="9"/>
      <c r="D453" t="str">
        <f>"B0395.7"</f>
        <v>B0395.7</v>
      </c>
      <c r="F453" t="s">
        <v>481</v>
      </c>
      <c r="H453" s="12">
        <v>-4.7167679298615104</v>
      </c>
      <c r="I453" s="11">
        <v>-0.454742638005115</v>
      </c>
      <c r="J453" s="10">
        <v>0.64929440216969203</v>
      </c>
      <c r="K453" s="29">
        <v>0.98289565623980701</v>
      </c>
    </row>
    <row r="454" spans="1:11" x14ac:dyDescent="0.35">
      <c r="A454" s="9" t="str">
        <f>HYPERLINK("http://www.ensembl.org/id/WBGene00199116", "WBGene00199116")</f>
        <v>WBGene00199116</v>
      </c>
      <c r="B454" s="9"/>
      <c r="C454" s="9"/>
      <c r="D454" t="str">
        <f>"C09D4.8"</f>
        <v>C09D4.8</v>
      </c>
      <c r="F454" t="s">
        <v>481</v>
      </c>
      <c r="H454" s="12">
        <v>-4.7167679298615104</v>
      </c>
      <c r="I454" s="11">
        <v>-0.454742638005115</v>
      </c>
      <c r="J454" s="10">
        <v>0.64929440216969203</v>
      </c>
      <c r="K454" s="29">
        <v>0.98289565623980701</v>
      </c>
    </row>
    <row r="455" spans="1:11" x14ac:dyDescent="0.35">
      <c r="A455" s="9" t="str">
        <f>HYPERLINK("http://www.ensembl.org/id/WBGene00198449", "WBGene00198449")</f>
        <v>WBGene00198449</v>
      </c>
      <c r="B455" s="9"/>
      <c r="C455" s="9"/>
      <c r="D455" t="str">
        <f>"C14A11.11"</f>
        <v>C14A11.11</v>
      </c>
      <c r="F455" t="s">
        <v>481</v>
      </c>
      <c r="H455" s="12">
        <v>-4.7167679298615104</v>
      </c>
      <c r="I455" s="11">
        <v>-0.454742638005115</v>
      </c>
      <c r="J455" s="10">
        <v>0.64929440216969203</v>
      </c>
      <c r="K455" s="29">
        <v>0.98289565623980701</v>
      </c>
    </row>
    <row r="456" spans="1:11" x14ac:dyDescent="0.35">
      <c r="A456" s="9" t="str">
        <f>HYPERLINK("http://www.ensembl.org/id/WBGene00015762", "WBGene00015762")</f>
        <v>WBGene00015762</v>
      </c>
      <c r="B456" s="9" t="str">
        <f>HYPERLINK("http://www.ncbi.nlm.nih.gov/gene/182604", "182604")</f>
        <v>182604</v>
      </c>
      <c r="C456" s="9"/>
      <c r="D456" t="str">
        <f>"C14C6.8"</f>
        <v>C14C6.8</v>
      </c>
      <c r="F456" t="s">
        <v>11</v>
      </c>
      <c r="G456" t="s">
        <v>1212</v>
      </c>
      <c r="H456" s="12">
        <v>-4.7167679298615104</v>
      </c>
      <c r="I456" s="11">
        <v>-0.454742638005115</v>
      </c>
      <c r="J456" s="10">
        <v>0.64929440216969203</v>
      </c>
      <c r="K456" s="29">
        <v>0.98289565623980701</v>
      </c>
    </row>
    <row r="457" spans="1:11" x14ac:dyDescent="0.35">
      <c r="A457" s="9" t="str">
        <f>HYPERLINK("http://www.ensembl.org/id/WBGene00016041", "WBGene00016041")</f>
        <v>WBGene00016041</v>
      </c>
      <c r="B457" s="9" t="str">
        <f>HYPERLINK("http://www.ncbi.nlm.nih.gov/gene/182832", "182832")</f>
        <v>182832</v>
      </c>
      <c r="C457" s="9"/>
      <c r="D457" t="str">
        <f>"C24A11.2"</f>
        <v>C24A11.2</v>
      </c>
      <c r="F457" t="s">
        <v>11</v>
      </c>
      <c r="H457" s="12">
        <v>-4.7167679298615104</v>
      </c>
      <c r="I457" s="11">
        <v>-0.454742638005115</v>
      </c>
      <c r="J457" s="10">
        <v>0.64929440216969203</v>
      </c>
      <c r="K457" s="29">
        <v>0.98289565623980701</v>
      </c>
    </row>
    <row r="458" spans="1:11" x14ac:dyDescent="0.35">
      <c r="A458" s="9" t="str">
        <f>HYPERLINK("http://www.ensembl.org/id/WBGene00219830", "WBGene00219830")</f>
        <v>WBGene00219830</v>
      </c>
      <c r="B458" s="9"/>
      <c r="C458" s="9"/>
      <c r="D458" t="str">
        <f>"C24G7.6"</f>
        <v>C24G7.6</v>
      </c>
      <c r="F458" t="s">
        <v>2977</v>
      </c>
      <c r="H458" s="12">
        <v>-4.7167679298615104</v>
      </c>
      <c r="I458" s="11">
        <v>-0.454742638005115</v>
      </c>
      <c r="J458" s="10">
        <v>0.64929440216969203</v>
      </c>
      <c r="K458" s="29">
        <v>0.98289565623980701</v>
      </c>
    </row>
    <row r="459" spans="1:11" x14ac:dyDescent="0.35">
      <c r="A459" s="9" t="str">
        <f>HYPERLINK("http://www.ensembl.org/id/WBGene00016137", "WBGene00016137")</f>
        <v>WBGene00016137</v>
      </c>
      <c r="B459" s="9" t="str">
        <f>HYPERLINK("http://www.ncbi.nlm.nih.gov/gene/182941", "182941")</f>
        <v>182941</v>
      </c>
      <c r="C459" s="9"/>
      <c r="D459" t="str">
        <f>"C26E6.1"</f>
        <v>C26E6.1</v>
      </c>
      <c r="F459" t="s">
        <v>11</v>
      </c>
      <c r="G459" t="s">
        <v>10112</v>
      </c>
      <c r="H459" s="12">
        <v>-4.7167679298615104</v>
      </c>
      <c r="I459" s="11">
        <v>-0.454742638005115</v>
      </c>
      <c r="J459" s="10">
        <v>0.64929440216969203</v>
      </c>
      <c r="K459" s="29">
        <v>0.98289565623980701</v>
      </c>
    </row>
    <row r="460" spans="1:11" x14ac:dyDescent="0.35">
      <c r="A460" s="9" t="str">
        <f>HYPERLINK("http://www.ensembl.org/id/WBGene00235161", "WBGene00235161")</f>
        <v>WBGene00235161</v>
      </c>
      <c r="B460" s="9"/>
      <c r="C460" s="9"/>
      <c r="D460" t="str">
        <f>"CD4.19"</f>
        <v>CD4.19</v>
      </c>
      <c r="F460" t="s">
        <v>481</v>
      </c>
      <c r="H460" s="12">
        <v>-4.7167679298615104</v>
      </c>
      <c r="I460" s="11">
        <v>-0.454742638005115</v>
      </c>
      <c r="J460" s="10">
        <v>0.64929440216969203</v>
      </c>
      <c r="K460" s="29">
        <v>0.98289565623980701</v>
      </c>
    </row>
    <row r="461" spans="1:11" x14ac:dyDescent="0.35">
      <c r="A461" s="9" t="str">
        <f>HYPERLINK("http://www.ensembl.org/id/WBGene00011164", "WBGene00011164")</f>
        <v>WBGene00011164</v>
      </c>
      <c r="B461" s="9" t="str">
        <f>HYPERLINK("http://www.ncbi.nlm.nih.gov/gene/174502", "174502")</f>
        <v>174502</v>
      </c>
      <c r="C461" s="9"/>
      <c r="D461" t="str">
        <f>"chil-21"</f>
        <v>chil-21</v>
      </c>
      <c r="E461" t="s">
        <v>1756</v>
      </c>
      <c r="F461" t="s">
        <v>11</v>
      </c>
      <c r="G461" t="s">
        <v>1509</v>
      </c>
      <c r="H461" s="12">
        <v>-4.7167679298615104</v>
      </c>
      <c r="I461" s="11">
        <v>-0.454742638005115</v>
      </c>
      <c r="J461" s="10">
        <v>0.64929440216969203</v>
      </c>
      <c r="K461" s="29">
        <v>0.98289565623980701</v>
      </c>
    </row>
    <row r="462" spans="1:11" x14ac:dyDescent="0.35">
      <c r="A462" s="9" t="str">
        <f>HYPERLINK("http://www.ensembl.org/id/WBGene00200170", "WBGene00200170")</f>
        <v>WBGene00200170</v>
      </c>
      <c r="B462" s="9"/>
      <c r="C462" s="9"/>
      <c r="D462" t="str">
        <f>"DL2.2"</f>
        <v>DL2.2</v>
      </c>
      <c r="F462" t="s">
        <v>481</v>
      </c>
      <c r="H462" s="12">
        <v>-4.7167679298615104</v>
      </c>
      <c r="I462" s="11">
        <v>-0.454742638005115</v>
      </c>
      <c r="J462" s="10">
        <v>0.64929440216969203</v>
      </c>
      <c r="K462" s="29">
        <v>0.98289565623980701</v>
      </c>
    </row>
    <row r="463" spans="1:11" x14ac:dyDescent="0.35">
      <c r="A463" s="9" t="str">
        <f>HYPERLINK("http://www.ensembl.org/id/WBGene00011469", "WBGene00011469")</f>
        <v>WBGene00011469</v>
      </c>
      <c r="B463" s="9" t="str">
        <f>HYPERLINK("http://www.ncbi.nlm.nih.gov/gene/188123", "188123")</f>
        <v>188123</v>
      </c>
      <c r="C463" s="9"/>
      <c r="D463" t="str">
        <f>"dylt-3"</f>
        <v>dylt-3</v>
      </c>
      <c r="E463" t="s">
        <v>7880</v>
      </c>
      <c r="F463" t="s">
        <v>11</v>
      </c>
      <c r="H463" s="12">
        <v>-4.7167679298615104</v>
      </c>
      <c r="I463" s="11">
        <v>-0.454742638005115</v>
      </c>
      <c r="J463" s="10">
        <v>0.64929440216969203</v>
      </c>
      <c r="K463" s="29">
        <v>0.98289565623980701</v>
      </c>
    </row>
    <row r="464" spans="1:11" x14ac:dyDescent="0.35">
      <c r="A464" s="9" t="str">
        <f>HYPERLINK("http://www.ensembl.org/id/WBGene00196303", "WBGene00196303")</f>
        <v>WBGene00196303</v>
      </c>
      <c r="B464" s="9"/>
      <c r="C464" s="9"/>
      <c r="D464" t="str">
        <f>"F10C2.10"</f>
        <v>F10C2.10</v>
      </c>
      <c r="F464" t="s">
        <v>481</v>
      </c>
      <c r="H464" s="12">
        <v>-4.7167679298615104</v>
      </c>
      <c r="I464" s="11">
        <v>-0.454742638005115</v>
      </c>
      <c r="J464" s="10">
        <v>0.64929440216969203</v>
      </c>
      <c r="K464" s="29">
        <v>0.98289565623980701</v>
      </c>
    </row>
    <row r="465" spans="1:11" x14ac:dyDescent="0.35">
      <c r="A465" s="9" t="str">
        <f>HYPERLINK("http://www.ensembl.org/id/WBGene00198599", "WBGene00198599")</f>
        <v>WBGene00198599</v>
      </c>
      <c r="B465" s="9"/>
      <c r="C465" s="9"/>
      <c r="D465" t="str">
        <f>"F12F6.16"</f>
        <v>F12F6.16</v>
      </c>
      <c r="F465" t="s">
        <v>481</v>
      </c>
      <c r="H465" s="12">
        <v>-4.7167679298615104</v>
      </c>
      <c r="I465" s="11">
        <v>-0.454742638005115</v>
      </c>
      <c r="J465" s="10">
        <v>0.64929440216969203</v>
      </c>
      <c r="K465" s="29">
        <v>0.98289565623980701</v>
      </c>
    </row>
    <row r="466" spans="1:11" x14ac:dyDescent="0.35">
      <c r="A466" s="9" t="str">
        <f>HYPERLINK("http://www.ensembl.org/id/WBGene00008870", "WBGene00008870")</f>
        <v>WBGene00008870</v>
      </c>
      <c r="B466" s="9" t="str">
        <f>HYPERLINK("http://www.ncbi.nlm.nih.gov/gene/184548", "184548")</f>
        <v>184548</v>
      </c>
      <c r="C466" s="9"/>
      <c r="D466" t="str">
        <f>"F15H9.1"</f>
        <v>F15H9.1</v>
      </c>
      <c r="F466" t="s">
        <v>11</v>
      </c>
      <c r="H466" s="12">
        <v>-4.7167679298615104</v>
      </c>
      <c r="I466" s="11">
        <v>-0.454742638005115</v>
      </c>
      <c r="J466" s="10">
        <v>0.64929440216969203</v>
      </c>
      <c r="K466" s="29">
        <v>0.98289565623980701</v>
      </c>
    </row>
    <row r="467" spans="1:11" x14ac:dyDescent="0.35">
      <c r="A467" s="9" t="str">
        <f>HYPERLINK("http://www.ensembl.org/id/WBGene00017662", "WBGene00017662")</f>
        <v>WBGene00017662</v>
      </c>
      <c r="B467" s="9" t="str">
        <f>HYPERLINK("http://www.ncbi.nlm.nih.gov/gene/184778", "184778")</f>
        <v>184778</v>
      </c>
      <c r="C467" s="9"/>
      <c r="D467" t="str">
        <f>"F21D12.2"</f>
        <v>F21D12.2</v>
      </c>
      <c r="F467" t="s">
        <v>11</v>
      </c>
      <c r="H467" s="12">
        <v>-4.7167679298615104</v>
      </c>
      <c r="I467" s="11">
        <v>-0.454742638005115</v>
      </c>
      <c r="J467" s="10">
        <v>0.64929440216969203</v>
      </c>
      <c r="K467" s="29">
        <v>0.98289565623980701</v>
      </c>
    </row>
    <row r="468" spans="1:11" x14ac:dyDescent="0.35">
      <c r="A468" s="9" t="str">
        <f>HYPERLINK("http://www.ensembl.org/id/WBGene00235326", "WBGene00235326")</f>
        <v>WBGene00235326</v>
      </c>
      <c r="B468" s="9" t="str">
        <f>HYPERLINK("http://www.ncbi.nlm.nih.gov/gene/24104471", "24104471")</f>
        <v>24104471</v>
      </c>
      <c r="C468" s="9"/>
      <c r="D468" t="str">
        <f>"F22F7.11"</f>
        <v>F22F7.11</v>
      </c>
      <c r="F468" t="s">
        <v>11</v>
      </c>
      <c r="H468" s="12">
        <v>-4.7167679298615104</v>
      </c>
      <c r="I468" s="11">
        <v>-0.454742638005115</v>
      </c>
      <c r="J468" s="10">
        <v>0.64929440216969203</v>
      </c>
      <c r="K468" s="29">
        <v>0.98289565623980701</v>
      </c>
    </row>
    <row r="469" spans="1:11" x14ac:dyDescent="0.35">
      <c r="A469" s="9" t="str">
        <f>HYPERLINK("http://www.ensembl.org/id/WBGene00198776", "WBGene00198776")</f>
        <v>WBGene00198776</v>
      </c>
      <c r="B469" s="9"/>
      <c r="C469" s="9"/>
      <c r="D469" t="str">
        <f>"F26A10.17"</f>
        <v>F26A10.17</v>
      </c>
      <c r="F469" t="s">
        <v>481</v>
      </c>
      <c r="H469" s="12">
        <v>-4.7167679298615104</v>
      </c>
      <c r="I469" s="11">
        <v>-0.454742638005115</v>
      </c>
      <c r="J469" s="10">
        <v>0.64929440216969203</v>
      </c>
      <c r="K469" s="29">
        <v>0.98289565623980701</v>
      </c>
    </row>
    <row r="470" spans="1:11" x14ac:dyDescent="0.35">
      <c r="A470" s="9" t="str">
        <f>HYPERLINK("http://www.ensembl.org/id/WBGene00199737", "WBGene00199737")</f>
        <v>WBGene00199737</v>
      </c>
      <c r="B470" s="9"/>
      <c r="C470" s="9"/>
      <c r="D470" t="str">
        <f>"F37D6.10"</f>
        <v>F37D6.10</v>
      </c>
      <c r="F470" t="s">
        <v>481</v>
      </c>
      <c r="H470" s="12">
        <v>-4.7167679298615104</v>
      </c>
      <c r="I470" s="11">
        <v>-0.454742638005115</v>
      </c>
      <c r="J470" s="10">
        <v>0.64929440216969203</v>
      </c>
      <c r="K470" s="29">
        <v>0.98289565623980701</v>
      </c>
    </row>
    <row r="471" spans="1:11" x14ac:dyDescent="0.35">
      <c r="A471" s="9" t="str">
        <f>HYPERLINK("http://www.ensembl.org/id/WBGene00009602", "WBGene00009602")</f>
        <v>WBGene00009602</v>
      </c>
      <c r="B471" s="9" t="str">
        <f>HYPERLINK("http://www.ncbi.nlm.nih.gov/gene/185567", "185567")</f>
        <v>185567</v>
      </c>
      <c r="C471" s="9"/>
      <c r="D471" t="str">
        <f>"F40G12.7"</f>
        <v>F40G12.7</v>
      </c>
      <c r="F471" t="s">
        <v>11</v>
      </c>
      <c r="H471" s="12">
        <v>-4.7167679298615104</v>
      </c>
      <c r="I471" s="11">
        <v>-0.454742638005115</v>
      </c>
      <c r="J471" s="10">
        <v>0.64929440216969203</v>
      </c>
      <c r="K471" s="29">
        <v>0.98289565623980701</v>
      </c>
    </row>
    <row r="472" spans="1:11" x14ac:dyDescent="0.35">
      <c r="A472" s="9" t="str">
        <f>HYPERLINK("http://www.ensembl.org/id/WBGene00201284", "WBGene00201284")</f>
        <v>WBGene00201284</v>
      </c>
      <c r="B472" s="9"/>
      <c r="C472" s="9"/>
      <c r="D472" t="str">
        <f>"F55C12.14"</f>
        <v>F55C12.14</v>
      </c>
      <c r="F472" t="s">
        <v>481</v>
      </c>
      <c r="H472" s="12">
        <v>-4.7167679298615104</v>
      </c>
      <c r="I472" s="11">
        <v>-0.454742638005115</v>
      </c>
      <c r="J472" s="10">
        <v>0.64929440216969203</v>
      </c>
      <c r="K472" s="29">
        <v>0.98289565623980701</v>
      </c>
    </row>
    <row r="473" spans="1:11" x14ac:dyDescent="0.35">
      <c r="A473" s="9" t="str">
        <f>HYPERLINK("http://www.ensembl.org/id/WBGene00077618", "WBGene00077618")</f>
        <v>WBGene00077618</v>
      </c>
      <c r="B473" s="9"/>
      <c r="C473" s="9"/>
      <c r="D473" t="str">
        <f>"F57E7.6"</f>
        <v>F57E7.6</v>
      </c>
      <c r="F473" t="s">
        <v>80</v>
      </c>
      <c r="H473" s="12">
        <v>-4.7167679298615104</v>
      </c>
      <c r="I473" s="11">
        <v>-0.454742638005115</v>
      </c>
      <c r="J473" s="10">
        <v>0.64929440216969203</v>
      </c>
      <c r="K473" s="29">
        <v>0.98289565623980701</v>
      </c>
    </row>
    <row r="474" spans="1:11" x14ac:dyDescent="0.35">
      <c r="A474" s="9" t="str">
        <f>HYPERLINK("http://www.ensembl.org/id/WBGene00197523", "WBGene00197523")</f>
        <v>WBGene00197523</v>
      </c>
      <c r="B474" s="9"/>
      <c r="C474" s="9"/>
      <c r="D474" t="str">
        <f>"F58H1.15"</f>
        <v>F58H1.15</v>
      </c>
      <c r="F474" t="s">
        <v>481</v>
      </c>
      <c r="H474" s="12">
        <v>-4.7167679298615104</v>
      </c>
      <c r="I474" s="11">
        <v>-0.454742638005115</v>
      </c>
      <c r="J474" s="10">
        <v>0.64929440216969203</v>
      </c>
      <c r="K474" s="29">
        <v>0.98289565623980701</v>
      </c>
    </row>
    <row r="475" spans="1:11" x14ac:dyDescent="0.35">
      <c r="A475" s="9" t="str">
        <f>HYPERLINK("http://www.ensembl.org/id/WBGene00001907", "WBGene00001907")</f>
        <v>WBGene00001907</v>
      </c>
      <c r="B475" s="9" t="str">
        <f>HYPERLINK("http://www.ncbi.nlm.nih.gov/gene/191678", "191678")</f>
        <v>191678</v>
      </c>
      <c r="C475" s="9" t="str">
        <f>HYPERLINK("http://www.ncbi.nlm.nih.gov/gene/8338", "8338")</f>
        <v>8338</v>
      </c>
      <c r="D475" t="str">
        <f>"his-33"</f>
        <v>his-33</v>
      </c>
      <c r="E475" t="s">
        <v>1912</v>
      </c>
      <c r="F475" t="s">
        <v>11</v>
      </c>
      <c r="G475" t="s">
        <v>232</v>
      </c>
      <c r="H475" s="12">
        <v>-4.7167679298615104</v>
      </c>
      <c r="I475" s="11">
        <v>-0.454742638005115</v>
      </c>
      <c r="J475" s="10">
        <v>0.64929440216969203</v>
      </c>
      <c r="K475" s="29">
        <v>0.98289565623980701</v>
      </c>
    </row>
    <row r="476" spans="1:11" x14ac:dyDescent="0.35">
      <c r="A476" s="9" t="str">
        <f>HYPERLINK("http://www.ensembl.org/id/WBGene00002114", "WBGene00002114")</f>
        <v>WBGene00002114</v>
      </c>
      <c r="B476" s="9" t="str">
        <f>HYPERLINK("http://www.ncbi.nlm.nih.gov/gene/173660", "173660")</f>
        <v>173660</v>
      </c>
      <c r="C476" s="9"/>
      <c r="D476" t="str">
        <f>"ins-31"</f>
        <v>ins-31</v>
      </c>
      <c r="E476" t="s">
        <v>12</v>
      </c>
      <c r="F476" t="s">
        <v>11</v>
      </c>
      <c r="G476" t="s">
        <v>13</v>
      </c>
      <c r="H476" s="12">
        <v>-4.7167679298615104</v>
      </c>
      <c r="I476" s="11">
        <v>-0.454742638005115</v>
      </c>
      <c r="J476" s="10">
        <v>0.64929440216969203</v>
      </c>
      <c r="K476" s="29">
        <v>0.98289565623980701</v>
      </c>
    </row>
    <row r="477" spans="1:11" x14ac:dyDescent="0.35">
      <c r="A477" s="9" t="str">
        <f>HYPERLINK("http://www.ensembl.org/id/WBGene00013494", "WBGene00013494")</f>
        <v>WBGene00013494</v>
      </c>
      <c r="B477" s="9"/>
      <c r="C477" s="9"/>
      <c r="D477" t="str">
        <f>"irld-58"</f>
        <v>irld-58</v>
      </c>
      <c r="F477" t="s">
        <v>80</v>
      </c>
      <c r="H477" s="12">
        <v>-4.7167679298615104</v>
      </c>
      <c r="I477" s="11">
        <v>-0.454742638005115</v>
      </c>
      <c r="J477" s="10">
        <v>0.64929440216969203</v>
      </c>
      <c r="K477" s="29">
        <v>0.98289565623980701</v>
      </c>
    </row>
    <row r="478" spans="1:11" x14ac:dyDescent="0.35">
      <c r="A478" s="9" t="str">
        <f>HYPERLINK("http://www.ensembl.org/id/WBGene00195360", "WBGene00195360")</f>
        <v>WBGene00195360</v>
      </c>
      <c r="B478" s="9"/>
      <c r="C478" s="9"/>
      <c r="D478" t="str">
        <f>"K05B2.6"</f>
        <v>K05B2.6</v>
      </c>
      <c r="F478" t="s">
        <v>481</v>
      </c>
      <c r="H478" s="12">
        <v>-4.7167679298615104</v>
      </c>
      <c r="I478" s="11">
        <v>-0.454742638005115</v>
      </c>
      <c r="J478" s="10">
        <v>0.64929440216969203</v>
      </c>
      <c r="K478" s="29">
        <v>0.98289565623980701</v>
      </c>
    </row>
    <row r="479" spans="1:11" x14ac:dyDescent="0.35">
      <c r="A479" s="9" t="str">
        <f>HYPERLINK("http://www.ensembl.org/id/WBGene00219706", "WBGene00219706")</f>
        <v>WBGene00219706</v>
      </c>
      <c r="B479" s="9"/>
      <c r="C479" s="9"/>
      <c r="D479" t="str">
        <f>"linc-158"</f>
        <v>linc-158</v>
      </c>
      <c r="F479" t="s">
        <v>1510</v>
      </c>
      <c r="H479" s="12">
        <v>-4.7167679298615104</v>
      </c>
      <c r="I479" s="11">
        <v>-0.454742638005115</v>
      </c>
      <c r="J479" s="10">
        <v>0.64929440216969203</v>
      </c>
      <c r="K479" s="29">
        <v>0.98289565623980701</v>
      </c>
    </row>
    <row r="480" spans="1:11" x14ac:dyDescent="0.35">
      <c r="A480" s="9" t="str">
        <f>HYPERLINK("http://www.ensembl.org/id/WBGene00197341", "WBGene00197341")</f>
        <v>WBGene00197341</v>
      </c>
      <c r="B480" s="9"/>
      <c r="C480" s="9"/>
      <c r="D480" t="str">
        <f>"R06C1.8"</f>
        <v>R06C1.8</v>
      </c>
      <c r="F480" t="s">
        <v>481</v>
      </c>
      <c r="H480" s="12">
        <v>-4.7167679298615104</v>
      </c>
      <c r="I480" s="11">
        <v>-0.454742638005115</v>
      </c>
      <c r="J480" s="10">
        <v>0.64929440216969203</v>
      </c>
      <c r="K480" s="29">
        <v>0.98289565623980701</v>
      </c>
    </row>
    <row r="481" spans="1:11" x14ac:dyDescent="0.35">
      <c r="A481" s="9" t="str">
        <f>HYPERLINK("http://www.ensembl.org/id/WBGene00018125", "WBGene00018125")</f>
        <v>WBGene00018125</v>
      </c>
      <c r="B481" s="9"/>
      <c r="C481" s="9"/>
      <c r="D481" t="str">
        <f>"rmd-4"</f>
        <v>rmd-4</v>
      </c>
      <c r="F481" t="s">
        <v>80</v>
      </c>
      <c r="H481" s="12">
        <v>-4.7167679298615104</v>
      </c>
      <c r="I481" s="11">
        <v>-0.454742638005115</v>
      </c>
      <c r="J481" s="10">
        <v>0.64929440216969203</v>
      </c>
      <c r="K481" s="29">
        <v>0.98289565623980701</v>
      </c>
    </row>
    <row r="482" spans="1:11" x14ac:dyDescent="0.35">
      <c r="A482" s="9" t="str">
        <f>HYPERLINK("http://www.ensembl.org/id/WBGene00005174", "WBGene00005174")</f>
        <v>WBGene00005174</v>
      </c>
      <c r="B482" s="9" t="str">
        <f>HYPERLINK("http://www.ncbi.nlm.nih.gov/gene/184514", "184514")</f>
        <v>184514</v>
      </c>
      <c r="C482" s="9"/>
      <c r="D482" t="str">
        <f>"srg-17"</f>
        <v>srg-17</v>
      </c>
      <c r="E482" t="s">
        <v>10113</v>
      </c>
      <c r="F482" t="s">
        <v>11</v>
      </c>
      <c r="G482" t="s">
        <v>1829</v>
      </c>
      <c r="H482" s="12">
        <v>-4.7167679298615104</v>
      </c>
      <c r="I482" s="11">
        <v>-0.454742638005115</v>
      </c>
      <c r="J482" s="10">
        <v>0.64929440216969203</v>
      </c>
      <c r="K482" s="29">
        <v>0.98289565623980701</v>
      </c>
    </row>
    <row r="483" spans="1:11" x14ac:dyDescent="0.35">
      <c r="A483" s="9" t="str">
        <f>HYPERLINK("http://www.ensembl.org/id/WBGene00005458", "WBGene00005458")</f>
        <v>WBGene00005458</v>
      </c>
      <c r="B483" s="9" t="str">
        <f>HYPERLINK("http://www.ncbi.nlm.nih.gov/gene/188598", "188598")</f>
        <v>188598</v>
      </c>
      <c r="C483" s="9"/>
      <c r="D483" t="str">
        <f>"srh-252"</f>
        <v>srh-252</v>
      </c>
      <c r="E483" t="s">
        <v>153</v>
      </c>
      <c r="F483" t="s">
        <v>11</v>
      </c>
      <c r="G483" t="s">
        <v>25</v>
      </c>
      <c r="H483" s="12">
        <v>-4.7167679298615104</v>
      </c>
      <c r="I483" s="11">
        <v>-0.454742638005115</v>
      </c>
      <c r="J483" s="10">
        <v>0.64929440216969203</v>
      </c>
      <c r="K483" s="29">
        <v>0.98289565623980701</v>
      </c>
    </row>
    <row r="484" spans="1:11" x14ac:dyDescent="0.35">
      <c r="A484" s="9" t="str">
        <f>HYPERLINK("http://www.ensembl.org/id/WBGene00005469", "WBGene00005469")</f>
        <v>WBGene00005469</v>
      </c>
      <c r="B484" s="9"/>
      <c r="C484" s="9"/>
      <c r="D484" t="str">
        <f>"srh-263"</f>
        <v>srh-263</v>
      </c>
      <c r="F484" t="s">
        <v>80</v>
      </c>
      <c r="H484" s="12">
        <v>-4.7167679298615104</v>
      </c>
      <c r="I484" s="11">
        <v>-0.454742638005115</v>
      </c>
      <c r="J484" s="10">
        <v>0.64929440216969203</v>
      </c>
      <c r="K484" s="29">
        <v>0.98289565623980701</v>
      </c>
    </row>
    <row r="485" spans="1:11" x14ac:dyDescent="0.35">
      <c r="A485" s="9" t="str">
        <f>HYPERLINK("http://www.ensembl.org/id/WBGene00021413", "WBGene00021413")</f>
        <v>WBGene00021413</v>
      </c>
      <c r="B485" s="9" t="str">
        <f>HYPERLINK("http://www.ncbi.nlm.nih.gov/gene/189650", "189650")</f>
        <v>189650</v>
      </c>
      <c r="C485" s="9"/>
      <c r="D485" t="str">
        <f>"srt-52"</f>
        <v>srt-52</v>
      </c>
      <c r="E485" t="s">
        <v>2845</v>
      </c>
      <c r="F485" t="s">
        <v>11</v>
      </c>
      <c r="G485" t="s">
        <v>25</v>
      </c>
      <c r="H485" s="12">
        <v>-4.7167679298615104</v>
      </c>
      <c r="I485" s="11">
        <v>-0.454742638005115</v>
      </c>
      <c r="J485" s="10">
        <v>0.64929440216969203</v>
      </c>
      <c r="K485" s="29">
        <v>0.98289565623980701</v>
      </c>
    </row>
    <row r="486" spans="1:11" x14ac:dyDescent="0.35">
      <c r="A486" s="9" t="str">
        <f>HYPERLINK("http://www.ensembl.org/id/WBGene00011816", "WBGene00011816")</f>
        <v>WBGene00011816</v>
      </c>
      <c r="B486" s="9" t="str">
        <f>HYPERLINK("http://www.ncbi.nlm.nih.gov/gene/188561", "188561")</f>
        <v>188561</v>
      </c>
      <c r="C486" s="9"/>
      <c r="D486" t="str">
        <f>"srt-55"</f>
        <v>srt-55</v>
      </c>
      <c r="E486" t="s">
        <v>10114</v>
      </c>
      <c r="F486" t="s">
        <v>11</v>
      </c>
      <c r="G486" t="s">
        <v>25</v>
      </c>
      <c r="H486" s="12">
        <v>-4.7167679298615104</v>
      </c>
      <c r="I486" s="11">
        <v>-0.454742638005115</v>
      </c>
      <c r="J486" s="10">
        <v>0.64929440216969203</v>
      </c>
      <c r="K486" s="29">
        <v>0.98289565623980701</v>
      </c>
    </row>
    <row r="487" spans="1:11" x14ac:dyDescent="0.35">
      <c r="A487" s="9" t="str">
        <f>HYPERLINK("http://www.ensembl.org/id/WBGene00005707", "WBGene00005707")</f>
        <v>WBGene00005707</v>
      </c>
      <c r="B487" s="9" t="str">
        <f>HYPERLINK("http://www.ncbi.nlm.nih.gov/gene/188299", "188299")</f>
        <v>188299</v>
      </c>
      <c r="C487" s="9"/>
      <c r="D487" t="str">
        <f>"sru-44"</f>
        <v>sru-44</v>
      </c>
      <c r="E487" t="s">
        <v>2653</v>
      </c>
      <c r="F487" t="s">
        <v>11</v>
      </c>
      <c r="G487" t="s">
        <v>25</v>
      </c>
      <c r="H487" s="12">
        <v>-4.7167679298615104</v>
      </c>
      <c r="I487" s="11">
        <v>-0.454742638005115</v>
      </c>
      <c r="J487" s="10">
        <v>0.64929440216969203</v>
      </c>
      <c r="K487" s="29">
        <v>0.98289565623980701</v>
      </c>
    </row>
    <row r="488" spans="1:11" x14ac:dyDescent="0.35">
      <c r="A488" s="9" t="str">
        <f>HYPERLINK("http://www.ensembl.org/id/WBGene00005877", "WBGene00005877")</f>
        <v>WBGene00005877</v>
      </c>
      <c r="B488" s="9" t="str">
        <f>HYPERLINK("http://www.ncbi.nlm.nih.gov/gene/188831", "188831")</f>
        <v>188831</v>
      </c>
      <c r="C488" s="9"/>
      <c r="D488" t="str">
        <f>"srw-130"</f>
        <v>srw-130</v>
      </c>
      <c r="E488" t="s">
        <v>1014</v>
      </c>
      <c r="F488" t="s">
        <v>11</v>
      </c>
      <c r="G488" t="s">
        <v>1015</v>
      </c>
      <c r="H488" s="12">
        <v>-4.7167679298615104</v>
      </c>
      <c r="I488" s="11">
        <v>-0.454742638005115</v>
      </c>
      <c r="J488" s="10">
        <v>0.64929440216969203</v>
      </c>
      <c r="K488" s="29">
        <v>0.98289565623980701</v>
      </c>
    </row>
    <row r="489" spans="1:11" x14ac:dyDescent="0.35">
      <c r="A489" s="9" t="str">
        <f>HYPERLINK("http://www.ensembl.org/id/WBGene00202374", "WBGene00202374")</f>
        <v>WBGene00202374</v>
      </c>
      <c r="B489" s="9"/>
      <c r="C489" s="9"/>
      <c r="D489" t="str">
        <f>"T01C8.11"</f>
        <v>T01C8.11</v>
      </c>
      <c r="F489" t="s">
        <v>481</v>
      </c>
      <c r="H489" s="12">
        <v>-4.7167679298615104</v>
      </c>
      <c r="I489" s="11">
        <v>-0.454742638005115</v>
      </c>
      <c r="J489" s="10">
        <v>0.64929440216969203</v>
      </c>
      <c r="K489" s="29">
        <v>0.98289565623980701</v>
      </c>
    </row>
    <row r="490" spans="1:11" x14ac:dyDescent="0.35">
      <c r="A490" s="9" t="str">
        <f>HYPERLINK("http://www.ensembl.org/id/WBGene00012269", "WBGene00012269")</f>
        <v>WBGene00012269</v>
      </c>
      <c r="B490" s="9" t="str">
        <f>HYPERLINK("http://www.ncbi.nlm.nih.gov/gene/189204", "189204")</f>
        <v>189204</v>
      </c>
      <c r="C490" s="9"/>
      <c r="D490" t="str">
        <f>"W04G5.9"</f>
        <v>W04G5.9</v>
      </c>
      <c r="F490" t="s">
        <v>11</v>
      </c>
      <c r="G490" t="s">
        <v>1614</v>
      </c>
      <c r="H490" s="12">
        <v>-4.7167679298615104</v>
      </c>
      <c r="I490" s="11">
        <v>-0.454742638005115</v>
      </c>
      <c r="J490" s="10">
        <v>0.64929440216969203</v>
      </c>
      <c r="K490" s="29">
        <v>0.98289565623980701</v>
      </c>
    </row>
    <row r="491" spans="1:11" x14ac:dyDescent="0.35">
      <c r="A491" s="9" t="str">
        <f>HYPERLINK("http://www.ensembl.org/id/WBGene00021085", "WBGene00021085")</f>
        <v>WBGene00021085</v>
      </c>
      <c r="B491" s="9" t="str">
        <f>HYPERLINK("http://www.ncbi.nlm.nih.gov/gene/189292", "189292")</f>
        <v>189292</v>
      </c>
      <c r="C491" s="9"/>
      <c r="D491" t="str">
        <f>"W08E12.4"</f>
        <v>W08E12.4</v>
      </c>
      <c r="F491" t="s">
        <v>11</v>
      </c>
      <c r="H491" s="12">
        <v>-4.7167679298615104</v>
      </c>
      <c r="I491" s="11">
        <v>-0.454742638005115</v>
      </c>
      <c r="J491" s="10">
        <v>0.64929440216969203</v>
      </c>
      <c r="K491" s="29">
        <v>0.98289565623980701</v>
      </c>
    </row>
    <row r="492" spans="1:11" x14ac:dyDescent="0.35">
      <c r="A492" s="9" t="str">
        <f>HYPERLINK("http://www.ensembl.org/id/WBGene00012656", "WBGene00012656")</f>
        <v>WBGene00012656</v>
      </c>
      <c r="B492" s="9" t="str">
        <f>HYPERLINK("http://www.ncbi.nlm.nih.gov/gene/189712", "189712")</f>
        <v>189712</v>
      </c>
      <c r="C492" s="9"/>
      <c r="D492" t="str">
        <f>"Y39A1A.18"</f>
        <v>Y39A1A.18</v>
      </c>
      <c r="F492" t="s">
        <v>11</v>
      </c>
      <c r="H492" s="12">
        <v>-4.7167679298615104</v>
      </c>
      <c r="I492" s="11">
        <v>-0.454742638005115</v>
      </c>
      <c r="J492" s="10">
        <v>0.64929440216969203</v>
      </c>
      <c r="K492" s="29">
        <v>0.98289565623980701</v>
      </c>
    </row>
    <row r="493" spans="1:11" x14ac:dyDescent="0.35">
      <c r="A493" s="9" t="str">
        <f>HYPERLINK("http://www.ensembl.org/id/WBGene00012876", "WBGene00012876")</f>
        <v>WBGene00012876</v>
      </c>
      <c r="B493" s="9"/>
      <c r="C493" s="9"/>
      <c r="D493" t="str">
        <f>"Y45F10B.15"</f>
        <v>Y45F10B.15</v>
      </c>
      <c r="F493" t="s">
        <v>80</v>
      </c>
      <c r="H493" s="12">
        <v>-4.7167679298615104</v>
      </c>
      <c r="I493" s="11">
        <v>-0.454742638005115</v>
      </c>
      <c r="J493" s="10">
        <v>0.64929440216969203</v>
      </c>
      <c r="K493" s="29">
        <v>0.98289565623980701</v>
      </c>
    </row>
    <row r="494" spans="1:11" x14ac:dyDescent="0.35">
      <c r="A494" s="9" t="str">
        <f>HYPERLINK("http://www.ensembl.org/id/WBGene00219555", "WBGene00219555")</f>
        <v>WBGene00219555</v>
      </c>
      <c r="B494" s="9"/>
      <c r="C494" s="9"/>
      <c r="D494" t="str">
        <f>"Y46G5A.46"</f>
        <v>Y46G5A.46</v>
      </c>
      <c r="F494" t="s">
        <v>2735</v>
      </c>
      <c r="H494" s="12">
        <v>-4.7167679298615104</v>
      </c>
      <c r="I494" s="11">
        <v>-0.454742638005115</v>
      </c>
      <c r="J494" s="10">
        <v>0.64929440216969203</v>
      </c>
      <c r="K494" s="29">
        <v>0.98289565623980701</v>
      </c>
    </row>
    <row r="495" spans="1:11" x14ac:dyDescent="0.35">
      <c r="A495" s="9" t="str">
        <f>HYPERLINK("http://www.ensembl.org/id/WBGene00014589", "WBGene00014589")</f>
        <v>WBGene00014589</v>
      </c>
      <c r="B495" s="9"/>
      <c r="C495" s="9"/>
      <c r="D495" t="str">
        <f>"Y54G9A.8"</f>
        <v>Y54G9A.8</v>
      </c>
      <c r="F495" t="s">
        <v>4205</v>
      </c>
      <c r="H495" s="12">
        <v>-4.7167679298615104</v>
      </c>
      <c r="I495" s="11">
        <v>-0.454742638005115</v>
      </c>
      <c r="J495" s="10">
        <v>0.64929440216969203</v>
      </c>
      <c r="K495" s="29">
        <v>0.98289565623980701</v>
      </c>
    </row>
    <row r="496" spans="1:11" x14ac:dyDescent="0.35">
      <c r="A496" s="9" t="str">
        <f>HYPERLINK("http://www.ensembl.org/id/WBGene00202444", "WBGene00202444")</f>
        <v>WBGene00202444</v>
      </c>
      <c r="B496" s="9"/>
      <c r="C496" s="9"/>
      <c r="D496" t="str">
        <f>"Y65B4BR.11"</f>
        <v>Y65B4BR.11</v>
      </c>
      <c r="F496" t="s">
        <v>481</v>
      </c>
      <c r="H496" s="12">
        <v>-4.7167679298615104</v>
      </c>
      <c r="I496" s="11">
        <v>-0.454742638005115</v>
      </c>
      <c r="J496" s="10">
        <v>0.64929440216969203</v>
      </c>
      <c r="K496" s="29">
        <v>0.98289565623980701</v>
      </c>
    </row>
    <row r="497" spans="1:11" x14ac:dyDescent="0.35">
      <c r="A497" s="9" t="str">
        <f>HYPERLINK("http://www.ensembl.org/id/WBGene00013472", "WBGene00013472")</f>
        <v>WBGene00013472</v>
      </c>
      <c r="B497" s="9" t="str">
        <f>HYPERLINK("http://www.ncbi.nlm.nih.gov/gene/190532", "190532")</f>
        <v>190532</v>
      </c>
      <c r="C497" s="9"/>
      <c r="D497" t="str">
        <f>"Y68A4B.3"</f>
        <v>Y68A4B.3</v>
      </c>
      <c r="F497" t="s">
        <v>11</v>
      </c>
      <c r="H497" s="12">
        <v>-4.7167679298615104</v>
      </c>
      <c r="I497" s="11">
        <v>-0.454742638005115</v>
      </c>
      <c r="J497" s="10">
        <v>0.64929440216969203</v>
      </c>
      <c r="K497" s="29">
        <v>0.98289565623980701</v>
      </c>
    </row>
    <row r="498" spans="1:11" x14ac:dyDescent="0.35">
      <c r="A498" s="9" t="str">
        <f>HYPERLINK("http://www.ensembl.org/id/WBGene00195308", "WBGene00195308")</f>
        <v>WBGene00195308</v>
      </c>
      <c r="B498" s="9"/>
      <c r="C498" s="9"/>
      <c r="D498" t="str">
        <f>"ZK617.8"</f>
        <v>ZK617.8</v>
      </c>
      <c r="F498" t="s">
        <v>481</v>
      </c>
      <c r="H498" s="12">
        <v>-4.7167679298615104</v>
      </c>
      <c r="I498" s="11">
        <v>-0.454742638005115</v>
      </c>
      <c r="J498" s="10">
        <v>0.64929440216969203</v>
      </c>
      <c r="K498" s="29">
        <v>0.98289565623980701</v>
      </c>
    </row>
    <row r="499" spans="1:11" x14ac:dyDescent="0.35">
      <c r="A499" s="9" t="str">
        <f>HYPERLINK("http://www.ensembl.org/id/WBGene00021701", "WBGene00021701")</f>
        <v>WBGene00021701</v>
      </c>
      <c r="B499" s="9" t="str">
        <f>HYPERLINK("http://www.ncbi.nlm.nih.gov/gene/190054", "190054")</f>
        <v>190054</v>
      </c>
      <c r="C499" s="9"/>
      <c r="D499" t="str">
        <f>"Y48G9A.7"</f>
        <v>Y48G9A.7</v>
      </c>
      <c r="F499" t="s">
        <v>11</v>
      </c>
      <c r="H499" s="12">
        <v>-4.7155482756315097</v>
      </c>
      <c r="I499" s="11">
        <v>-1.22051420538001</v>
      </c>
      <c r="J499" s="10">
        <v>0.222270007810417</v>
      </c>
      <c r="K499" s="29">
        <v>0.97508464030140296</v>
      </c>
    </row>
    <row r="500" spans="1:11" x14ac:dyDescent="0.35">
      <c r="A500" s="9" t="str">
        <f>HYPERLINK("http://www.ensembl.org/id/WBGene00014130", "WBGene00014130")</f>
        <v>WBGene00014130</v>
      </c>
      <c r="B500" s="9" t="str">
        <f>HYPERLINK("http://www.ncbi.nlm.nih.gov/gene/191447", "191447")</f>
        <v>191447</v>
      </c>
      <c r="C500" s="9"/>
      <c r="D500" t="str">
        <f>"ZK892.6"</f>
        <v>ZK892.6</v>
      </c>
      <c r="F500" t="s">
        <v>11</v>
      </c>
      <c r="H500" s="12">
        <v>-4.7128502946836504</v>
      </c>
      <c r="I500" s="11">
        <v>-0.731622533166987</v>
      </c>
      <c r="J500" s="10">
        <v>0.464398990942954</v>
      </c>
      <c r="K500" s="29">
        <v>0.98289565623980701</v>
      </c>
    </row>
    <row r="501" spans="1:11" x14ac:dyDescent="0.35">
      <c r="A501" s="9" t="str">
        <f>HYPERLINK("http://www.ensembl.org/id/WBGene00197921", "WBGene00197921")</f>
        <v>WBGene00197921</v>
      </c>
      <c r="B501" s="9"/>
      <c r="C501" s="9"/>
      <c r="D501" t="str">
        <f>"C14F11.15"</f>
        <v>C14F11.15</v>
      </c>
      <c r="F501" t="s">
        <v>481</v>
      </c>
      <c r="H501" s="12">
        <v>-4.7069891493991998</v>
      </c>
      <c r="I501" s="11">
        <v>-0.56731576878075296</v>
      </c>
      <c r="J501" s="10">
        <v>0.57049966550338205</v>
      </c>
      <c r="K501" s="29">
        <v>0.98289565623980701</v>
      </c>
    </row>
    <row r="502" spans="1:11" x14ac:dyDescent="0.35">
      <c r="A502" s="9" t="str">
        <f>HYPERLINK("http://www.ensembl.org/id/WBGene00000427", "WBGene00000427")</f>
        <v>WBGene00000427</v>
      </c>
      <c r="B502" s="9" t="str">
        <f>HYPERLINK("http://www.ncbi.nlm.nih.gov/gene/191625", "191625")</f>
        <v>191625</v>
      </c>
      <c r="C502" s="9"/>
      <c r="D502" t="str">
        <f>"ced-13"</f>
        <v>ced-13</v>
      </c>
      <c r="F502" t="s">
        <v>11</v>
      </c>
      <c r="G502" t="s">
        <v>10111</v>
      </c>
      <c r="H502" s="12">
        <v>-4.7069891493991998</v>
      </c>
      <c r="I502" s="11">
        <v>-0.56731576878075296</v>
      </c>
      <c r="J502" s="10">
        <v>0.57049966550338205</v>
      </c>
      <c r="K502" s="29">
        <v>0.98289565623980701</v>
      </c>
    </row>
    <row r="503" spans="1:11" x14ac:dyDescent="0.35">
      <c r="A503" s="9" t="str">
        <f>HYPERLINK("http://www.ensembl.org/id/WBGene00019392", "WBGene00019392")</f>
        <v>WBGene00019392</v>
      </c>
      <c r="B503" s="9" t="str">
        <f>HYPERLINK("http://www.ncbi.nlm.nih.gov/gene/186999", "186999")</f>
        <v>186999</v>
      </c>
      <c r="C503" s="9"/>
      <c r="D503" t="str">
        <f>"irld-44"</f>
        <v>irld-44</v>
      </c>
      <c r="E503" t="s">
        <v>1627</v>
      </c>
      <c r="F503" t="s">
        <v>11</v>
      </c>
      <c r="H503" s="12">
        <v>-4.7069891493991998</v>
      </c>
      <c r="I503" s="11">
        <v>-0.56731576878075296</v>
      </c>
      <c r="J503" s="10">
        <v>0.57049966550338205</v>
      </c>
      <c r="K503" s="29">
        <v>0.98289565623980701</v>
      </c>
    </row>
    <row r="504" spans="1:11" x14ac:dyDescent="0.35">
      <c r="A504" s="9" t="str">
        <f>HYPERLINK("http://www.ensembl.org/id/WBGene00010955", "WBGene00010955")</f>
        <v>WBGene00010955</v>
      </c>
      <c r="B504" s="9" t="str">
        <f>HYPERLINK("http://www.ncbi.nlm.nih.gov/gene/3565163", "3565163")</f>
        <v>3565163</v>
      </c>
      <c r="C504" s="9"/>
      <c r="D504" t="str">
        <f>"M199.7"</f>
        <v>M199.7</v>
      </c>
      <c r="F504" t="s">
        <v>11</v>
      </c>
      <c r="H504" s="12">
        <v>-4.7069891493991998</v>
      </c>
      <c r="I504" s="11">
        <v>-0.56731576878075296</v>
      </c>
      <c r="J504" s="10">
        <v>0.57049966550338205</v>
      </c>
      <c r="K504" s="29">
        <v>0.98289565623980701</v>
      </c>
    </row>
    <row r="505" spans="1:11" x14ac:dyDescent="0.35">
      <c r="A505" s="9" t="str">
        <f>HYPERLINK("http://www.ensembl.org/id/WBGene00005461", "WBGene00005461")</f>
        <v>WBGene00005461</v>
      </c>
      <c r="B505" s="9" t="str">
        <f>HYPERLINK("http://www.ncbi.nlm.nih.gov/gene/259916", "259916")</f>
        <v>259916</v>
      </c>
      <c r="C505" s="9"/>
      <c r="D505" t="str">
        <f>"srh-255"</f>
        <v>srh-255</v>
      </c>
      <c r="E505" t="s">
        <v>153</v>
      </c>
      <c r="F505" t="s">
        <v>11</v>
      </c>
      <c r="G505" t="s">
        <v>25</v>
      </c>
      <c r="H505" s="12">
        <v>-4.7069891493991998</v>
      </c>
      <c r="I505" s="11">
        <v>-0.56731576878075296</v>
      </c>
      <c r="J505" s="10">
        <v>0.57049966550338205</v>
      </c>
      <c r="K505" s="29">
        <v>0.98289565623980701</v>
      </c>
    </row>
    <row r="506" spans="1:11" x14ac:dyDescent="0.35">
      <c r="A506" s="9" t="str">
        <f>HYPERLINK("http://www.ensembl.org/id/WBGene00077565", "WBGene00077565")</f>
        <v>WBGene00077565</v>
      </c>
      <c r="B506" s="9" t="str">
        <f>HYPERLINK("http://www.ncbi.nlm.nih.gov/gene/6418779", "6418779")</f>
        <v>6418779</v>
      </c>
      <c r="C506" s="9"/>
      <c r="D506" t="str">
        <f>"W07G4.7"</f>
        <v>W07G4.7</v>
      </c>
      <c r="F506" t="s">
        <v>11</v>
      </c>
      <c r="H506" s="12">
        <v>-4.7069891493991998</v>
      </c>
      <c r="I506" s="11">
        <v>-0.56731576878075296</v>
      </c>
      <c r="J506" s="10">
        <v>0.57049966550338205</v>
      </c>
      <c r="K506" s="29">
        <v>0.98289565623980701</v>
      </c>
    </row>
    <row r="507" spans="1:11" x14ac:dyDescent="0.35">
      <c r="A507" s="9" t="str">
        <f>HYPERLINK("http://www.ensembl.org/id/WBGene00008593", "WBGene00008593")</f>
        <v>WBGene00008593</v>
      </c>
      <c r="B507" s="9" t="str">
        <f>HYPERLINK("http://www.ncbi.nlm.nih.gov/gene/184216", "184216")</f>
        <v>184216</v>
      </c>
      <c r="C507" s="9"/>
      <c r="D507" t="str">
        <f>"clec-227"</f>
        <v>clec-227</v>
      </c>
      <c r="E507" t="s">
        <v>46</v>
      </c>
      <c r="F507" t="s">
        <v>11</v>
      </c>
      <c r="G507" t="s">
        <v>47</v>
      </c>
      <c r="H507" s="12">
        <v>-4.70629854467371</v>
      </c>
      <c r="I507" s="11">
        <v>-2.3389602248665402</v>
      </c>
      <c r="J507" s="10">
        <v>1.9337492112494501E-2</v>
      </c>
      <c r="K507" s="29">
        <v>0.29446340977104501</v>
      </c>
    </row>
    <row r="508" spans="1:11" x14ac:dyDescent="0.35">
      <c r="A508" s="9" t="str">
        <f>HYPERLINK("http://www.ensembl.org/id/WBGene00009213", "WBGene00009213")</f>
        <v>WBGene00009213</v>
      </c>
      <c r="B508" s="9" t="str">
        <f>HYPERLINK("http://www.ncbi.nlm.nih.gov/gene/185060", "185060")</f>
        <v>185060</v>
      </c>
      <c r="C508" s="9"/>
      <c r="D508" t="str">
        <f>"thn-1"</f>
        <v>thn-1</v>
      </c>
      <c r="E508" t="s">
        <v>20</v>
      </c>
      <c r="F508" t="s">
        <v>11</v>
      </c>
      <c r="G508" t="s">
        <v>616</v>
      </c>
      <c r="H508" s="12">
        <v>-4.7011622307836101</v>
      </c>
      <c r="I508" s="11">
        <v>-3.1003076147933202</v>
      </c>
      <c r="J508" s="10">
        <v>1.9331975407256799E-3</v>
      </c>
      <c r="K508" s="29">
        <v>6.3091048553682902E-2</v>
      </c>
    </row>
    <row r="509" spans="1:11" x14ac:dyDescent="0.35">
      <c r="A509" s="9" t="str">
        <f>HYPERLINK("http://www.ensembl.org/id/WBGene00189950", "WBGene00189950")</f>
        <v>WBGene00189950</v>
      </c>
      <c r="B509" s="9" t="str">
        <f>HYPERLINK("http://www.ncbi.nlm.nih.gov/gene/13188680", "13188680")</f>
        <v>13188680</v>
      </c>
      <c r="C509" s="9"/>
      <c r="D509" t="str">
        <f>"C39B5.14"</f>
        <v>C39B5.14</v>
      </c>
      <c r="F509" t="s">
        <v>11</v>
      </c>
      <c r="G509" t="s">
        <v>29</v>
      </c>
      <c r="H509" s="12">
        <v>-4.69803599656814</v>
      </c>
      <c r="I509" s="11">
        <v>-2.2565231970272501</v>
      </c>
      <c r="J509" s="10">
        <v>2.40378842217518E-2</v>
      </c>
      <c r="K509" s="29">
        <v>0.337230936750332</v>
      </c>
    </row>
    <row r="510" spans="1:11" x14ac:dyDescent="0.35">
      <c r="A510" s="9" t="str">
        <f>HYPERLINK("http://www.ensembl.org/id/WBGene00004241", "WBGene00004241")</f>
        <v>WBGene00004241</v>
      </c>
      <c r="B510" s="9" t="str">
        <f>HYPERLINK("http://www.ncbi.nlm.nih.gov/gene/174373", "174373")</f>
        <v>174373</v>
      </c>
      <c r="C510" s="9"/>
      <c r="D510" t="str">
        <f>"puf-5"</f>
        <v>puf-5</v>
      </c>
      <c r="E510" t="s">
        <v>34</v>
      </c>
      <c r="F510" t="s">
        <v>11</v>
      </c>
      <c r="G510" t="s">
        <v>35</v>
      </c>
      <c r="H510" s="12">
        <v>-4.6969296348305303</v>
      </c>
      <c r="I510" s="11">
        <v>-6.6323338844106097</v>
      </c>
      <c r="J510" s="10">
        <v>3.3042010783713099E-11</v>
      </c>
      <c r="K510" s="29">
        <v>5.0897913411231702E-8</v>
      </c>
    </row>
    <row r="511" spans="1:11" x14ac:dyDescent="0.35">
      <c r="A511" s="9" t="str">
        <f>HYPERLINK("http://www.ensembl.org/id/WBGene00044337", "WBGene00044337")</f>
        <v>WBGene00044337</v>
      </c>
      <c r="B511" s="9" t="str">
        <f>HYPERLINK("http://www.ncbi.nlm.nih.gov/gene/3564889", "3564889")</f>
        <v>3564889</v>
      </c>
      <c r="C511" s="9"/>
      <c r="D511" t="str">
        <f>"nspc-2"</f>
        <v>nspc-2</v>
      </c>
      <c r="E511" t="s">
        <v>4037</v>
      </c>
      <c r="F511" t="s">
        <v>11</v>
      </c>
      <c r="H511" s="12">
        <v>-4.6945259223778102</v>
      </c>
      <c r="I511" s="11">
        <v>-0.745008356265776</v>
      </c>
      <c r="J511" s="10">
        <v>0.45626666828569901</v>
      </c>
      <c r="K511" s="29">
        <v>0.98289565623980701</v>
      </c>
    </row>
    <row r="512" spans="1:11" x14ac:dyDescent="0.35">
      <c r="A512" s="9" t="str">
        <f>HYPERLINK("http://www.ensembl.org/id/WBGene00200099", "WBGene00200099")</f>
        <v>WBGene00200099</v>
      </c>
      <c r="B512" s="9"/>
      <c r="C512" s="9"/>
      <c r="D512" t="str">
        <f>"ZK632.16"</f>
        <v>ZK632.16</v>
      </c>
      <c r="F512" t="s">
        <v>481</v>
      </c>
      <c r="H512" s="12">
        <v>-4.6642291292940401</v>
      </c>
      <c r="I512" s="11">
        <v>-0.78523151551168102</v>
      </c>
      <c r="J512" s="10">
        <v>0.43231784069514501</v>
      </c>
      <c r="K512" s="29">
        <v>0.98289565623980701</v>
      </c>
    </row>
    <row r="513" spans="1:11" x14ac:dyDescent="0.35">
      <c r="A513" s="9" t="str">
        <f>HYPERLINK("http://www.ensembl.org/id/WBGene00013829", "WBGene00013829")</f>
        <v>WBGene00013829</v>
      </c>
      <c r="B513" s="9" t="str">
        <f>HYPERLINK("http://www.ncbi.nlm.nih.gov/gene/191025", "191025")</f>
        <v>191025</v>
      </c>
      <c r="C513" s="9"/>
      <c r="D513" t="str">
        <f>"Y116F11B.14"</f>
        <v>Y116F11B.14</v>
      </c>
      <c r="F513" t="s">
        <v>11</v>
      </c>
      <c r="H513" s="12">
        <v>-4.6439353819302998</v>
      </c>
      <c r="I513" s="11">
        <v>-0.64887541903941104</v>
      </c>
      <c r="J513" s="10">
        <v>0.51641890415352698</v>
      </c>
      <c r="K513" s="29">
        <v>0.98289565623980701</v>
      </c>
    </row>
    <row r="514" spans="1:11" x14ac:dyDescent="0.35">
      <c r="A514" s="9" t="str">
        <f>HYPERLINK("http://www.ensembl.org/id/WBGene00020754", "WBGene00020754")</f>
        <v>WBGene00020754</v>
      </c>
      <c r="B514" s="9" t="str">
        <f>HYPERLINK("http://www.ncbi.nlm.nih.gov/gene/188834", "188834")</f>
        <v>188834</v>
      </c>
      <c r="C514" s="9"/>
      <c r="D514" t="str">
        <f>"T24A6.17"</f>
        <v>T24A6.17</v>
      </c>
      <c r="F514" t="s">
        <v>11</v>
      </c>
      <c r="H514" s="12">
        <v>-4.6392780466172203</v>
      </c>
      <c r="I514" s="11">
        <v>-0.81535334445533003</v>
      </c>
      <c r="J514" s="10">
        <v>0.41487008213461202</v>
      </c>
      <c r="K514" s="29">
        <v>0.98289565623980701</v>
      </c>
    </row>
    <row r="515" spans="1:11" x14ac:dyDescent="0.35">
      <c r="A515" s="9" t="str">
        <f>HYPERLINK("http://www.ensembl.org/id/WBGene00018870", "WBGene00018870")</f>
        <v>WBGene00018870</v>
      </c>
      <c r="B515" s="9" t="str">
        <f>HYPERLINK("http://www.ncbi.nlm.nih.gov/gene/186302", "186302")</f>
        <v>186302</v>
      </c>
      <c r="C515" s="9"/>
      <c r="D515" t="str">
        <f>"F55C12.2"</f>
        <v>F55C12.2</v>
      </c>
      <c r="F515" t="s">
        <v>11</v>
      </c>
      <c r="H515" s="12">
        <v>-4.6356746722357496</v>
      </c>
      <c r="I515" s="11">
        <v>-0.56585702710240804</v>
      </c>
      <c r="J515" s="10">
        <v>0.57149097618954103</v>
      </c>
      <c r="K515" s="29">
        <v>0.98289565623980701</v>
      </c>
    </row>
    <row r="516" spans="1:11" x14ac:dyDescent="0.35">
      <c r="A516" s="9" t="str">
        <f>HYPERLINK("http://www.ensembl.org/id/WBGene00020227", "WBGene00020227")</f>
        <v>WBGene00020227</v>
      </c>
      <c r="B516" s="9" t="str">
        <f>HYPERLINK("http://www.ncbi.nlm.nih.gov/gene/188088", "188088")</f>
        <v>188088</v>
      </c>
      <c r="C516" s="9"/>
      <c r="D516" t="str">
        <f>"T05A8.1"</f>
        <v>T05A8.1</v>
      </c>
      <c r="F516" t="s">
        <v>11</v>
      </c>
      <c r="H516" s="12">
        <v>-4.6356746722357496</v>
      </c>
      <c r="I516" s="11">
        <v>-0.56585702710240804</v>
      </c>
      <c r="J516" s="10">
        <v>0.57149097618954103</v>
      </c>
      <c r="K516" s="29">
        <v>0.98289565623980701</v>
      </c>
    </row>
    <row r="517" spans="1:11" x14ac:dyDescent="0.35">
      <c r="A517" s="9" t="str">
        <f>HYPERLINK("http://www.ensembl.org/id/WBGene00045338", "WBGene00045338")</f>
        <v>WBGene00045338</v>
      </c>
      <c r="B517" s="9" t="str">
        <f>HYPERLINK("http://www.ncbi.nlm.nih.gov/gene/13216887", "13216887")</f>
        <v>13216887</v>
      </c>
      <c r="C517" s="9" t="str">
        <f>HYPERLINK("http://www.ncbi.nlm.nih.gov/gene/84457", "84457")</f>
        <v>84457</v>
      </c>
      <c r="D517" t="str">
        <f>"M01B2.13"</f>
        <v>M01B2.13</v>
      </c>
      <c r="F517" t="s">
        <v>11</v>
      </c>
      <c r="G517" t="s">
        <v>318</v>
      </c>
      <c r="H517" s="12">
        <v>-4.6349628998166796</v>
      </c>
      <c r="I517" s="11">
        <v>-3.9844054530369699</v>
      </c>
      <c r="J517" s="10">
        <v>6.7649284130541607E-5</v>
      </c>
      <c r="K517" s="29">
        <v>4.8393323811773796E-3</v>
      </c>
    </row>
    <row r="518" spans="1:11" x14ac:dyDescent="0.35">
      <c r="A518" s="9" t="str">
        <f>HYPERLINK("http://www.ensembl.org/id/WBGene00045062", "WBGene00045062")</f>
        <v>WBGene00045062</v>
      </c>
      <c r="B518" s="9"/>
      <c r="C518" s="9"/>
      <c r="D518" t="str">
        <f>"Y38H8A.8"</f>
        <v>Y38H8A.8</v>
      </c>
      <c r="F518" t="s">
        <v>80</v>
      </c>
      <c r="H518" s="12">
        <v>-4.6154064141783504</v>
      </c>
      <c r="I518" s="11">
        <v>-2.2983100991054499</v>
      </c>
      <c r="J518" s="10">
        <v>2.1544146071117501E-2</v>
      </c>
      <c r="K518" s="29">
        <v>0.31586233446652301</v>
      </c>
    </row>
    <row r="519" spans="1:11" x14ac:dyDescent="0.35">
      <c r="A519" s="9" t="str">
        <f>HYPERLINK("http://www.ensembl.org/id/WBGene00016132", "WBGene00016132")</f>
        <v>WBGene00016132</v>
      </c>
      <c r="B519" s="9" t="str">
        <f>HYPERLINK("http://www.ncbi.nlm.nih.gov/gene/182931", "182931")</f>
        <v>182931</v>
      </c>
      <c r="C519" s="9"/>
      <c r="D519" t="str">
        <f>"C26B9.2"</f>
        <v>C26B9.2</v>
      </c>
      <c r="F519" t="s">
        <v>11</v>
      </c>
      <c r="H519" s="12">
        <v>-4.6144817866333998</v>
      </c>
      <c r="I519" s="11">
        <v>-0.824218680592259</v>
      </c>
      <c r="J519" s="10">
        <v>0.40981531453860398</v>
      </c>
      <c r="K519" s="29">
        <v>0.98289565623980701</v>
      </c>
    </row>
    <row r="520" spans="1:11" x14ac:dyDescent="0.35">
      <c r="A520" s="9" t="str">
        <f>HYPERLINK("http://www.ensembl.org/id/WBGene00206372", "WBGene00206372")</f>
        <v>WBGene00206372</v>
      </c>
      <c r="B520" s="9" t="str">
        <f>HYPERLINK("http://www.ncbi.nlm.nih.gov/gene/13184158", "13184158")</f>
        <v>13184158</v>
      </c>
      <c r="C520" s="9"/>
      <c r="D520" t="str">
        <f>"B0454.26"</f>
        <v>B0454.26</v>
      </c>
      <c r="F520" t="s">
        <v>11</v>
      </c>
      <c r="H520" s="12">
        <v>-4.6119264567625402</v>
      </c>
      <c r="I520" s="11">
        <v>-0.60828972222806199</v>
      </c>
      <c r="J520" s="10">
        <v>0.54299533640928099</v>
      </c>
      <c r="K520" s="29">
        <v>0.98289565623980701</v>
      </c>
    </row>
    <row r="521" spans="1:11" x14ac:dyDescent="0.35">
      <c r="A521" s="9" t="str">
        <f>HYPERLINK("http://www.ensembl.org/id/WBGene00008949", "WBGene00008949")</f>
        <v>WBGene00008949</v>
      </c>
      <c r="B521" s="9" t="str">
        <f>HYPERLINK("http://www.ncbi.nlm.nih.gov/gene/184667", "184667")</f>
        <v>184667</v>
      </c>
      <c r="C521" s="9"/>
      <c r="D521" t="str">
        <f>"F19B6.3"</f>
        <v>F19B6.3</v>
      </c>
      <c r="F521" t="s">
        <v>11</v>
      </c>
      <c r="H521" s="12">
        <v>-4.6119264567625402</v>
      </c>
      <c r="I521" s="11">
        <v>-0.60828972222806199</v>
      </c>
      <c r="J521" s="10">
        <v>0.54299533640928099</v>
      </c>
      <c r="K521" s="29">
        <v>0.98289565623980701</v>
      </c>
    </row>
    <row r="522" spans="1:11" x14ac:dyDescent="0.35">
      <c r="A522" s="9" t="str">
        <f>HYPERLINK("http://www.ensembl.org/id/WBGene00199866", "WBGene00199866")</f>
        <v>WBGene00199866</v>
      </c>
      <c r="B522" s="9"/>
      <c r="C522" s="9"/>
      <c r="D522" t="str">
        <f>"H37A05.6"</f>
        <v>H37A05.6</v>
      </c>
      <c r="F522" t="s">
        <v>481</v>
      </c>
      <c r="H522" s="12">
        <v>-4.6119264567625402</v>
      </c>
      <c r="I522" s="11">
        <v>-0.60828972222806199</v>
      </c>
      <c r="J522" s="10">
        <v>0.54299533640928099</v>
      </c>
      <c r="K522" s="29">
        <v>0.98289565623980701</v>
      </c>
    </row>
    <row r="523" spans="1:11" x14ac:dyDescent="0.35">
      <c r="A523" s="9" t="str">
        <f>HYPERLINK("http://www.ensembl.org/id/WBGene00197037", "WBGene00197037")</f>
        <v>WBGene00197037</v>
      </c>
      <c r="B523" s="9"/>
      <c r="C523" s="9"/>
      <c r="D523" t="str">
        <f>"K01G5.11"</f>
        <v>K01G5.11</v>
      </c>
      <c r="F523" t="s">
        <v>481</v>
      </c>
      <c r="H523" s="12">
        <v>-4.6119264567625402</v>
      </c>
      <c r="I523" s="11">
        <v>-0.60828972222806199</v>
      </c>
      <c r="J523" s="10">
        <v>0.54299533640928099</v>
      </c>
      <c r="K523" s="29">
        <v>0.98289565623980701</v>
      </c>
    </row>
    <row r="524" spans="1:11" x14ac:dyDescent="0.35">
      <c r="A524" s="9" t="str">
        <f>HYPERLINK("http://www.ensembl.org/id/WBGene00016052", "WBGene00016052")</f>
        <v>WBGene00016052</v>
      </c>
      <c r="B524" s="9" t="str">
        <f>HYPERLINK("http://www.ncbi.nlm.nih.gov/gene/178737", "178737")</f>
        <v>178737</v>
      </c>
      <c r="C524" s="9"/>
      <c r="D524" t="str">
        <f>"dod-3"</f>
        <v>dod-3</v>
      </c>
      <c r="E524" t="s">
        <v>24</v>
      </c>
      <c r="F524" t="s">
        <v>11</v>
      </c>
      <c r="G524" t="s">
        <v>25</v>
      </c>
      <c r="H524" s="12">
        <v>-4.5940279683418304</v>
      </c>
      <c r="I524" s="11">
        <v>-7.1577677885286297</v>
      </c>
      <c r="J524" s="10">
        <v>8.2001300809949E-13</v>
      </c>
      <c r="K524" s="29">
        <v>2.3684025706433499E-9</v>
      </c>
    </row>
    <row r="525" spans="1:11" x14ac:dyDescent="0.35">
      <c r="A525" s="9" t="str">
        <f>HYPERLINK("http://www.ensembl.org/id/WBGene00020016", "WBGene00020016")</f>
        <v>WBGene00020016</v>
      </c>
      <c r="B525" s="9" t="str">
        <f>HYPERLINK("http://www.ncbi.nlm.nih.gov/gene/178572", "178572")</f>
        <v>178572</v>
      </c>
      <c r="C525" s="9" t="str">
        <f>HYPERLINK("http://www.ncbi.nlm.nih.gov/gene/3988", "3988")</f>
        <v>3988</v>
      </c>
      <c r="D525" t="str">
        <f>"lipl-3"</f>
        <v>lipl-3</v>
      </c>
      <c r="E525" t="s">
        <v>18</v>
      </c>
      <c r="F525" t="s">
        <v>11</v>
      </c>
      <c r="G525" t="s">
        <v>209</v>
      </c>
      <c r="H525" s="12">
        <v>-4.5433140099517804</v>
      </c>
      <c r="I525" s="11">
        <v>-4.53693764949971</v>
      </c>
      <c r="J525" s="10">
        <v>5.7076972220286897E-6</v>
      </c>
      <c r="K525" s="29">
        <v>6.5612961200096898E-4</v>
      </c>
    </row>
    <row r="526" spans="1:11" x14ac:dyDescent="0.35">
      <c r="A526" s="9" t="str">
        <f>HYPERLINK("http://www.ensembl.org/id/WBGene00168225", "WBGene00168225")</f>
        <v>WBGene00168225</v>
      </c>
      <c r="B526" s="9"/>
      <c r="C526" s="9"/>
      <c r="D526" t="str">
        <f>"21ur-11797"</f>
        <v>21ur-11797</v>
      </c>
      <c r="F526" t="s">
        <v>3161</v>
      </c>
      <c r="H526" s="12">
        <v>-4.5353626266107296</v>
      </c>
      <c r="I526" s="11">
        <v>-1.0123116297611601</v>
      </c>
      <c r="J526" s="10">
        <v>0.31138907600157001</v>
      </c>
      <c r="K526" s="29">
        <v>0.98289565623980701</v>
      </c>
    </row>
    <row r="527" spans="1:11" x14ac:dyDescent="0.35">
      <c r="A527" s="9" t="str">
        <f>HYPERLINK("http://www.ensembl.org/id/WBGene00005194", "WBGene00005194")</f>
        <v>WBGene00005194</v>
      </c>
      <c r="B527" s="9" t="str">
        <f>HYPERLINK("http://www.ncbi.nlm.nih.gov/gene/186978", "186978")</f>
        <v>186978</v>
      </c>
      <c r="C527" s="9"/>
      <c r="D527" t="str">
        <f>"srg-37"</f>
        <v>srg-37</v>
      </c>
      <c r="E527" t="s">
        <v>1828</v>
      </c>
      <c r="F527" t="s">
        <v>11</v>
      </c>
      <c r="G527" t="s">
        <v>10110</v>
      </c>
      <c r="H527" s="12">
        <v>-4.5165945888757797</v>
      </c>
      <c r="I527" s="11">
        <v>-0.77885195871290802</v>
      </c>
      <c r="J527" s="10">
        <v>0.43606692632071598</v>
      </c>
      <c r="K527" s="29">
        <v>0.98289565623980701</v>
      </c>
    </row>
    <row r="528" spans="1:11" x14ac:dyDescent="0.35">
      <c r="A528" s="9" t="str">
        <f>HYPERLINK("http://www.ensembl.org/id/WBGene00007359", "WBGene00007359")</f>
        <v>WBGene00007359</v>
      </c>
      <c r="B528" s="9" t="str">
        <f>HYPERLINK("http://www.ncbi.nlm.nih.gov/gene/3565607", "3565607")</f>
        <v>3565607</v>
      </c>
      <c r="C528" s="9"/>
      <c r="D528" t="str">
        <f>"C06A12.8"</f>
        <v>C06A12.8</v>
      </c>
      <c r="F528" t="s">
        <v>11</v>
      </c>
      <c r="H528" s="12">
        <v>-4.51585610737573</v>
      </c>
      <c r="I528" s="11">
        <v>-0.50361966967016503</v>
      </c>
      <c r="J528" s="10">
        <v>0.61452866763025804</v>
      </c>
      <c r="K528" s="29">
        <v>0.98289565623980701</v>
      </c>
    </row>
    <row r="529" spans="1:11" x14ac:dyDescent="0.35">
      <c r="A529" s="9" t="str">
        <f>HYPERLINK("http://www.ensembl.org/id/WBGene00019096", "WBGene00019096")</f>
        <v>WBGene00019096</v>
      </c>
      <c r="B529" s="9" t="str">
        <f>HYPERLINK("http://www.ncbi.nlm.nih.gov/gene/186587", "186587")</f>
        <v>186587</v>
      </c>
      <c r="C529" s="9"/>
      <c r="D529" t="str">
        <f>"cysl-4"</f>
        <v>cysl-4</v>
      </c>
      <c r="E529" t="s">
        <v>10108</v>
      </c>
      <c r="F529" t="s">
        <v>11</v>
      </c>
      <c r="G529" t="s">
        <v>10109</v>
      </c>
      <c r="H529" s="12">
        <v>-4.51585610737573</v>
      </c>
      <c r="I529" s="11">
        <v>-0.50361966967016503</v>
      </c>
      <c r="J529" s="10">
        <v>0.61452866763025804</v>
      </c>
      <c r="K529" s="29">
        <v>0.98289565623980701</v>
      </c>
    </row>
    <row r="530" spans="1:11" x14ac:dyDescent="0.35">
      <c r="A530" s="9" t="str">
        <f>HYPERLINK("http://www.ensembl.org/id/WBGene00044917", "WBGene00044917")</f>
        <v>WBGene00044917</v>
      </c>
      <c r="B530" s="9" t="str">
        <f>HYPERLINK("http://www.ncbi.nlm.nih.gov/gene/4927044", "4927044")</f>
        <v>4927044</v>
      </c>
      <c r="C530" s="9"/>
      <c r="D530" t="str">
        <f>"F40F8.12"</f>
        <v>F40F8.12</v>
      </c>
      <c r="F530" t="s">
        <v>11</v>
      </c>
      <c r="G530" t="s">
        <v>25</v>
      </c>
      <c r="H530" s="12">
        <v>-4.51585610737573</v>
      </c>
      <c r="I530" s="11">
        <v>-0.50361966967016503</v>
      </c>
      <c r="J530" s="10">
        <v>0.61452866763025804</v>
      </c>
      <c r="K530" s="29">
        <v>0.98289565623980701</v>
      </c>
    </row>
    <row r="531" spans="1:11" x14ac:dyDescent="0.35">
      <c r="A531" s="9" t="str">
        <f>HYPERLINK("http://www.ensembl.org/id/WBGene00201940", "WBGene00201940")</f>
        <v>WBGene00201940</v>
      </c>
      <c r="B531" s="9"/>
      <c r="C531" s="9"/>
      <c r="D531" t="str">
        <f>"F46F3.22"</f>
        <v>F46F3.22</v>
      </c>
      <c r="F531" t="s">
        <v>481</v>
      </c>
      <c r="H531" s="12">
        <v>-4.51585610737573</v>
      </c>
      <c r="I531" s="11">
        <v>-0.50361966967016503</v>
      </c>
      <c r="J531" s="10">
        <v>0.61452866763025804</v>
      </c>
      <c r="K531" s="29">
        <v>0.98289565623980701</v>
      </c>
    </row>
    <row r="532" spans="1:11" x14ac:dyDescent="0.35">
      <c r="A532" s="9" t="str">
        <f>HYPERLINK("http://www.ensembl.org/id/WBGene00005382", "WBGene00005382")</f>
        <v>WBGene00005382</v>
      </c>
      <c r="B532" s="9" t="str">
        <f>HYPERLINK("http://www.ncbi.nlm.nih.gov/gene/189693", "189693")</f>
        <v>189693</v>
      </c>
      <c r="C532" s="9"/>
      <c r="D532" t="str">
        <f>"srh-166"</f>
        <v>srh-166</v>
      </c>
      <c r="E532" t="s">
        <v>153</v>
      </c>
      <c r="F532" t="s">
        <v>11</v>
      </c>
      <c r="G532" t="s">
        <v>25</v>
      </c>
      <c r="H532" s="12">
        <v>-4.51585610737573</v>
      </c>
      <c r="I532" s="11">
        <v>-0.50361966967016503</v>
      </c>
      <c r="J532" s="10">
        <v>0.61452866763025804</v>
      </c>
      <c r="K532" s="29">
        <v>0.98289565623980701</v>
      </c>
    </row>
    <row r="533" spans="1:11" x14ac:dyDescent="0.35">
      <c r="A533" s="9" t="str">
        <f>HYPERLINK("http://www.ensembl.org/id/WBGene00206493", "WBGene00206493")</f>
        <v>WBGene00206493</v>
      </c>
      <c r="B533" s="9" t="str">
        <f>HYPERLINK("http://www.ncbi.nlm.nih.gov/gene/13198914", "13198914")</f>
        <v>13198914</v>
      </c>
      <c r="C533" s="9"/>
      <c r="D533" t="str">
        <f>"Y38H8A.12"</f>
        <v>Y38H8A.12</v>
      </c>
      <c r="F533" t="s">
        <v>11</v>
      </c>
      <c r="H533" s="12">
        <v>-4.5145974721159901</v>
      </c>
      <c r="I533" s="11">
        <v>-1.3015766010521499</v>
      </c>
      <c r="J533" s="10">
        <v>0.19306116296724399</v>
      </c>
      <c r="K533" s="29">
        <v>0.93364612723352502</v>
      </c>
    </row>
    <row r="534" spans="1:11" x14ac:dyDescent="0.35">
      <c r="A534" s="9" t="str">
        <f>HYPERLINK("http://www.ensembl.org/id/WBGene00174757", "WBGene00174757")</f>
        <v>WBGene00174757</v>
      </c>
      <c r="B534" s="9"/>
      <c r="C534" s="9"/>
      <c r="D534" t="str">
        <f>"21ur-10341"</f>
        <v>21ur-10341</v>
      </c>
      <c r="F534" t="s">
        <v>3161</v>
      </c>
      <c r="H534" s="12">
        <v>-4.5114499031905204</v>
      </c>
      <c r="I534" s="11">
        <v>-0.44198655555625299</v>
      </c>
      <c r="J534" s="10">
        <v>0.65849893477547905</v>
      </c>
      <c r="K534" s="29">
        <v>0.98289565623980701</v>
      </c>
    </row>
    <row r="535" spans="1:11" x14ac:dyDescent="0.35">
      <c r="A535" s="9" t="str">
        <f>HYPERLINK("http://www.ensembl.org/id/WBGene00047717", "WBGene00047717")</f>
        <v>WBGene00047717</v>
      </c>
      <c r="B535" s="9"/>
      <c r="C535" s="9"/>
      <c r="D535" t="str">
        <f>"21ur-1077"</f>
        <v>21ur-1077</v>
      </c>
      <c r="F535" t="s">
        <v>3161</v>
      </c>
      <c r="H535" s="12">
        <v>-4.5114499031905204</v>
      </c>
      <c r="I535" s="11">
        <v>-0.44198655555625299</v>
      </c>
      <c r="J535" s="10">
        <v>0.65849893477547905</v>
      </c>
      <c r="K535" s="29">
        <v>0.98289565623980701</v>
      </c>
    </row>
    <row r="536" spans="1:11" x14ac:dyDescent="0.35">
      <c r="A536" s="9" t="str">
        <f>HYPERLINK("http://www.ensembl.org/id/WBGene00165411", "WBGene00165411")</f>
        <v>WBGene00165411</v>
      </c>
      <c r="B536" s="9"/>
      <c r="C536" s="9"/>
      <c r="D536" t="str">
        <f>"21ur-13957"</f>
        <v>21ur-13957</v>
      </c>
      <c r="F536" t="s">
        <v>3161</v>
      </c>
      <c r="H536" s="12">
        <v>-4.5114499031905204</v>
      </c>
      <c r="I536" s="11">
        <v>-0.44198655555625299</v>
      </c>
      <c r="J536" s="10">
        <v>0.65849893477547905</v>
      </c>
      <c r="K536" s="29">
        <v>0.98289565623980701</v>
      </c>
    </row>
    <row r="537" spans="1:11" x14ac:dyDescent="0.35">
      <c r="A537" s="9" t="str">
        <f>HYPERLINK("http://www.ensembl.org/id/WBGene00045803", "WBGene00045803")</f>
        <v>WBGene00045803</v>
      </c>
      <c r="B537" s="9"/>
      <c r="C537" s="9"/>
      <c r="D537" t="str">
        <f>"21ur-1769"</f>
        <v>21ur-1769</v>
      </c>
      <c r="F537" t="s">
        <v>3161</v>
      </c>
      <c r="H537" s="12">
        <v>-4.5114499031905204</v>
      </c>
      <c r="I537" s="11">
        <v>-0.44198655555625299</v>
      </c>
      <c r="J537" s="10">
        <v>0.65849893477547905</v>
      </c>
      <c r="K537" s="29">
        <v>0.98289565623980701</v>
      </c>
    </row>
    <row r="538" spans="1:11" x14ac:dyDescent="0.35">
      <c r="A538" s="9" t="str">
        <f>HYPERLINK("http://www.ensembl.org/id/WBGene00046257", "WBGene00046257")</f>
        <v>WBGene00046257</v>
      </c>
      <c r="B538" s="9"/>
      <c r="C538" s="9"/>
      <c r="D538" t="str">
        <f>"21ur-4577"</f>
        <v>21ur-4577</v>
      </c>
      <c r="F538" t="s">
        <v>3161</v>
      </c>
      <c r="H538" s="12">
        <v>-4.5114499031905204</v>
      </c>
      <c r="I538" s="11">
        <v>-0.44198655555625299</v>
      </c>
      <c r="J538" s="10">
        <v>0.65849893477547905</v>
      </c>
      <c r="K538" s="29">
        <v>0.98289565623980701</v>
      </c>
    </row>
    <row r="539" spans="1:11" x14ac:dyDescent="0.35">
      <c r="A539" s="9" t="str">
        <f>HYPERLINK("http://www.ensembl.org/id/WBGene00172593", "WBGene00172593")</f>
        <v>WBGene00172593</v>
      </c>
      <c r="B539" s="9"/>
      <c r="C539" s="9"/>
      <c r="D539" t="str">
        <f>"21ur-7649"</f>
        <v>21ur-7649</v>
      </c>
      <c r="F539" t="s">
        <v>3161</v>
      </c>
      <c r="H539" s="12">
        <v>-4.5114499031905204</v>
      </c>
      <c r="I539" s="11">
        <v>-0.44198655555625299</v>
      </c>
      <c r="J539" s="10">
        <v>0.65849893477547905</v>
      </c>
      <c r="K539" s="29">
        <v>0.98289565623980701</v>
      </c>
    </row>
    <row r="540" spans="1:11" x14ac:dyDescent="0.35">
      <c r="A540" s="9" t="str">
        <f>HYPERLINK("http://www.ensembl.org/id/WBGene00015594", "WBGene00015594")</f>
        <v>WBGene00015594</v>
      </c>
      <c r="B540" s="9"/>
      <c r="C540" s="9"/>
      <c r="D540" t="str">
        <f>"btb-15"</f>
        <v>btb-15</v>
      </c>
      <c r="F540" t="s">
        <v>80</v>
      </c>
      <c r="H540" s="12">
        <v>-4.5114499031905204</v>
      </c>
      <c r="I540" s="11">
        <v>-0.44198655555625299</v>
      </c>
      <c r="J540" s="10">
        <v>0.65849893477547905</v>
      </c>
      <c r="K540" s="29">
        <v>0.98289565623980701</v>
      </c>
    </row>
    <row r="541" spans="1:11" x14ac:dyDescent="0.35">
      <c r="A541" s="9" t="str">
        <f>HYPERLINK("http://www.ensembl.org/id/WBGene00015342", "WBGene00015342")</f>
        <v>WBGene00015342</v>
      </c>
      <c r="B541" s="9" t="str">
        <f>HYPERLINK("http://www.ncbi.nlm.nih.gov/gene/182116", "182116")</f>
        <v>182116</v>
      </c>
      <c r="C541" s="9"/>
      <c r="D541" t="str">
        <f>"C02E7.10"</f>
        <v>C02E7.10</v>
      </c>
      <c r="F541" t="s">
        <v>11</v>
      </c>
      <c r="G541" t="s">
        <v>25</v>
      </c>
      <c r="H541" s="12">
        <v>-4.5114499031905204</v>
      </c>
      <c r="I541" s="11">
        <v>-0.44198655555625299</v>
      </c>
      <c r="J541" s="10">
        <v>0.65849893477547905</v>
      </c>
      <c r="K541" s="29">
        <v>0.98289565623980701</v>
      </c>
    </row>
    <row r="542" spans="1:11" x14ac:dyDescent="0.35">
      <c r="A542" s="9" t="str">
        <f>HYPERLINK("http://www.ensembl.org/id/WBGene00200205", "WBGene00200205")</f>
        <v>WBGene00200205</v>
      </c>
      <c r="B542" s="9"/>
      <c r="C542" s="9"/>
      <c r="D542" t="str">
        <f>"C05D2.17"</f>
        <v>C05D2.17</v>
      </c>
      <c r="F542" t="s">
        <v>481</v>
      </c>
      <c r="H542" s="12">
        <v>-4.5114499031905204</v>
      </c>
      <c r="I542" s="11">
        <v>-0.44198655555625299</v>
      </c>
      <c r="J542" s="10">
        <v>0.65849893477547905</v>
      </c>
      <c r="K542" s="29">
        <v>0.98289565623980701</v>
      </c>
    </row>
    <row r="543" spans="1:11" x14ac:dyDescent="0.35">
      <c r="A543" s="9" t="str">
        <f>HYPERLINK("http://www.ensembl.org/id/WBGene00044673", "WBGene00044673")</f>
        <v>WBGene00044673</v>
      </c>
      <c r="B543" s="9" t="str">
        <f>HYPERLINK("http://www.ncbi.nlm.nih.gov/gene/4363039", "4363039")</f>
        <v>4363039</v>
      </c>
      <c r="C543" s="9"/>
      <c r="D543" t="str">
        <f>"C07D10.6"</f>
        <v>C07D10.6</v>
      </c>
      <c r="F543" t="s">
        <v>11</v>
      </c>
      <c r="H543" s="12">
        <v>-4.5114499031905204</v>
      </c>
      <c r="I543" s="11">
        <v>-0.44198655555625299</v>
      </c>
      <c r="J543" s="10">
        <v>0.65849893477547905</v>
      </c>
      <c r="K543" s="29">
        <v>0.98289565623980701</v>
      </c>
    </row>
    <row r="544" spans="1:11" x14ac:dyDescent="0.35">
      <c r="A544" s="9" t="str">
        <f>HYPERLINK("http://www.ensembl.org/id/WBGene00303040", "WBGene00303040")</f>
        <v>WBGene00303040</v>
      </c>
      <c r="B544" s="9" t="str">
        <f>HYPERLINK("http://www.ncbi.nlm.nih.gov/gene/36804980", "36804980")</f>
        <v>36804980</v>
      </c>
      <c r="C544" s="9"/>
      <c r="D544" t="str">
        <f>"C13G3.12"</f>
        <v>C13G3.12</v>
      </c>
      <c r="F544" t="s">
        <v>11</v>
      </c>
      <c r="H544" s="12">
        <v>-4.5114499031905204</v>
      </c>
      <c r="I544" s="11">
        <v>-0.44198655555625299</v>
      </c>
      <c r="J544" s="10">
        <v>0.65849893477547905</v>
      </c>
      <c r="K544" s="29">
        <v>0.98289565623980701</v>
      </c>
    </row>
    <row r="545" spans="1:11" x14ac:dyDescent="0.35">
      <c r="A545" s="9" t="str">
        <f>HYPERLINK("http://www.ensembl.org/id/WBGene00007842", "WBGene00007842")</f>
        <v>WBGene00007842</v>
      </c>
      <c r="B545" s="9" t="str">
        <f>HYPERLINK("http://www.ncbi.nlm.nih.gov/gene/183085", "183085")</f>
        <v>183085</v>
      </c>
      <c r="C545" s="9"/>
      <c r="D545" t="str">
        <f>"C31E10.1"</f>
        <v>C31E10.1</v>
      </c>
      <c r="F545" t="s">
        <v>11</v>
      </c>
      <c r="H545" s="12">
        <v>-4.5114499031905204</v>
      </c>
      <c r="I545" s="11">
        <v>-0.44198655555625299</v>
      </c>
      <c r="J545" s="10">
        <v>0.65849893477547905</v>
      </c>
      <c r="K545" s="29">
        <v>0.98289565623980701</v>
      </c>
    </row>
    <row r="546" spans="1:11" x14ac:dyDescent="0.35">
      <c r="A546" s="9" t="str">
        <f>HYPERLINK("http://www.ensembl.org/id/WBGene00198705", "WBGene00198705")</f>
        <v>WBGene00198705</v>
      </c>
      <c r="B546" s="9"/>
      <c r="C546" s="9"/>
      <c r="D546" t="str">
        <f>"C34D1.11"</f>
        <v>C34D1.11</v>
      </c>
      <c r="F546" t="s">
        <v>481</v>
      </c>
      <c r="H546" s="12">
        <v>-4.5114499031905204</v>
      </c>
      <c r="I546" s="11">
        <v>-0.44198655555625299</v>
      </c>
      <c r="J546" s="10">
        <v>0.65849893477547905</v>
      </c>
      <c r="K546" s="29">
        <v>0.98289565623980701</v>
      </c>
    </row>
    <row r="547" spans="1:11" x14ac:dyDescent="0.35">
      <c r="A547" s="9" t="str">
        <f>HYPERLINK("http://www.ensembl.org/id/WBGene00008125", "WBGene00008125")</f>
        <v>WBGene00008125</v>
      </c>
      <c r="B547" s="9" t="str">
        <f>HYPERLINK("http://www.ncbi.nlm.nih.gov/gene/183526", "183526")</f>
        <v>183526</v>
      </c>
      <c r="C547" s="9"/>
      <c r="D547" t="str">
        <f>"C47A4.5"</f>
        <v>C47A4.5</v>
      </c>
      <c r="F547" t="s">
        <v>11</v>
      </c>
      <c r="H547" s="12">
        <v>-4.5114499031905204</v>
      </c>
      <c r="I547" s="11">
        <v>-0.44198655555625299</v>
      </c>
      <c r="J547" s="10">
        <v>0.65849893477547905</v>
      </c>
      <c r="K547" s="29">
        <v>0.98289565623980701</v>
      </c>
    </row>
    <row r="548" spans="1:11" x14ac:dyDescent="0.35">
      <c r="A548" s="9" t="str">
        <f>HYPERLINK("http://www.ensembl.org/id/WBGene00198484", "WBGene00198484")</f>
        <v>WBGene00198484</v>
      </c>
      <c r="B548" s="9"/>
      <c r="C548" s="9"/>
      <c r="D548" t="str">
        <f>"C55A6.17"</f>
        <v>C55A6.17</v>
      </c>
      <c r="F548" t="s">
        <v>481</v>
      </c>
      <c r="H548" s="12">
        <v>-4.5114499031905204</v>
      </c>
      <c r="I548" s="11">
        <v>-0.44198655555625299</v>
      </c>
      <c r="J548" s="10">
        <v>0.65849893477547905</v>
      </c>
      <c r="K548" s="29">
        <v>0.98289565623980701</v>
      </c>
    </row>
    <row r="549" spans="1:11" x14ac:dyDescent="0.35">
      <c r="A549" s="9" t="str">
        <f>HYPERLINK("http://www.ensembl.org/id/WBGene00200379", "WBGene00200379")</f>
        <v>WBGene00200379</v>
      </c>
      <c r="B549" s="9"/>
      <c r="C549" s="9"/>
      <c r="D549" t="str">
        <f>"F13H6.26"</f>
        <v>F13H6.26</v>
      </c>
      <c r="F549" t="s">
        <v>481</v>
      </c>
      <c r="H549" s="12">
        <v>-4.5114499031905204</v>
      </c>
      <c r="I549" s="11">
        <v>-0.44198655555625299</v>
      </c>
      <c r="J549" s="10">
        <v>0.65849893477547905</v>
      </c>
      <c r="K549" s="29">
        <v>0.98289565623980701</v>
      </c>
    </row>
    <row r="550" spans="1:11" x14ac:dyDescent="0.35">
      <c r="A550" s="9" t="str">
        <f>HYPERLINK("http://www.ensembl.org/id/WBGene00235372", "WBGene00235372")</f>
        <v>WBGene00235372</v>
      </c>
      <c r="B550" s="9"/>
      <c r="C550" s="9"/>
      <c r="D550" t="str">
        <f>"F15E6.12"</f>
        <v>F15E6.12</v>
      </c>
      <c r="F550" t="s">
        <v>481</v>
      </c>
      <c r="H550" s="12">
        <v>-4.5114499031905204</v>
      </c>
      <c r="I550" s="11">
        <v>-0.44198655555625299</v>
      </c>
      <c r="J550" s="10">
        <v>0.65849893477547905</v>
      </c>
      <c r="K550" s="29">
        <v>0.98289565623980701</v>
      </c>
    </row>
    <row r="551" spans="1:11" x14ac:dyDescent="0.35">
      <c r="A551" s="9" t="str">
        <f>HYPERLINK("http://www.ensembl.org/id/WBGene00199781", "WBGene00199781")</f>
        <v>WBGene00199781</v>
      </c>
      <c r="B551" s="9"/>
      <c r="C551" s="9"/>
      <c r="D551" t="str">
        <f>"F46A9.9"</f>
        <v>F46A9.9</v>
      </c>
      <c r="F551" t="s">
        <v>481</v>
      </c>
      <c r="H551" s="12">
        <v>-4.5114499031905204</v>
      </c>
      <c r="I551" s="11">
        <v>-0.44198655555625299</v>
      </c>
      <c r="J551" s="10">
        <v>0.65849893477547905</v>
      </c>
      <c r="K551" s="29">
        <v>0.98289565623980701</v>
      </c>
    </row>
    <row r="552" spans="1:11" x14ac:dyDescent="0.35">
      <c r="A552" s="9" t="str">
        <f>HYPERLINK("http://www.ensembl.org/id/WBGene00017511", "WBGene00017511")</f>
        <v>WBGene00017511</v>
      </c>
      <c r="B552" s="9" t="str">
        <f>HYPERLINK("http://www.ncbi.nlm.nih.gov/gene/184561", "184561")</f>
        <v>184561</v>
      </c>
      <c r="C552" s="9"/>
      <c r="D552" t="str">
        <f>"srbc-41"</f>
        <v>srbc-41</v>
      </c>
      <c r="E552" t="s">
        <v>3034</v>
      </c>
      <c r="F552" t="s">
        <v>11</v>
      </c>
      <c r="G552" t="s">
        <v>25</v>
      </c>
      <c r="H552" s="12">
        <v>-4.5114499031905204</v>
      </c>
      <c r="I552" s="11">
        <v>-0.44198655555625299</v>
      </c>
      <c r="J552" s="10">
        <v>0.65849893477547905</v>
      </c>
      <c r="K552" s="29">
        <v>0.98289565623980701</v>
      </c>
    </row>
    <row r="553" spans="1:11" x14ac:dyDescent="0.35">
      <c r="A553" s="9" t="str">
        <f>HYPERLINK("http://www.ensembl.org/id/WBGene00005430", "WBGene00005430")</f>
        <v>WBGene00005430</v>
      </c>
      <c r="B553" s="9" t="str">
        <f>HYPERLINK("http://www.ncbi.nlm.nih.gov/gene/185917", "185917")</f>
        <v>185917</v>
      </c>
      <c r="C553" s="9"/>
      <c r="D553" t="str">
        <f>"srh-220"</f>
        <v>srh-220</v>
      </c>
      <c r="E553" t="s">
        <v>153</v>
      </c>
      <c r="F553" t="s">
        <v>11</v>
      </c>
      <c r="G553" t="s">
        <v>25</v>
      </c>
      <c r="H553" s="12">
        <v>-4.5114499031905204</v>
      </c>
      <c r="I553" s="11">
        <v>-0.44198655555625299</v>
      </c>
      <c r="J553" s="10">
        <v>0.65849893477547905</v>
      </c>
      <c r="K553" s="29">
        <v>0.98289565623980701</v>
      </c>
    </row>
    <row r="554" spans="1:11" x14ac:dyDescent="0.35">
      <c r="A554" s="9" t="str">
        <f>HYPERLINK("http://www.ensembl.org/id/WBGene00005679", "WBGene00005679")</f>
        <v>WBGene00005679</v>
      </c>
      <c r="B554" s="9" t="str">
        <f>HYPERLINK("http://www.ncbi.nlm.nih.gov/gene/189915", "189915")</f>
        <v>189915</v>
      </c>
      <c r="C554" s="9"/>
      <c r="D554" t="str">
        <f>"sru-16"</f>
        <v>sru-16</v>
      </c>
      <c r="E554" t="s">
        <v>2653</v>
      </c>
      <c r="F554" t="s">
        <v>11</v>
      </c>
      <c r="G554" t="s">
        <v>25</v>
      </c>
      <c r="H554" s="12">
        <v>-4.5114499031905204</v>
      </c>
      <c r="I554" s="11">
        <v>-0.44198655555625299</v>
      </c>
      <c r="J554" s="10">
        <v>0.65849893477547905</v>
      </c>
      <c r="K554" s="29">
        <v>0.98289565623980701</v>
      </c>
    </row>
    <row r="555" spans="1:11" x14ac:dyDescent="0.35">
      <c r="A555" s="9" t="str">
        <f>HYPERLINK("http://www.ensembl.org/id/WBGene00011685", "WBGene00011685")</f>
        <v>WBGene00011685</v>
      </c>
      <c r="B555" s="9" t="str">
        <f>HYPERLINK("http://www.ncbi.nlm.nih.gov/gene/181609", "181609")</f>
        <v>181609</v>
      </c>
      <c r="C555" s="9"/>
      <c r="D555" t="str">
        <f>"T10B10.9"</f>
        <v>T10B10.9</v>
      </c>
      <c r="F555" t="s">
        <v>11</v>
      </c>
      <c r="H555" s="12">
        <v>-4.5114499031905204</v>
      </c>
      <c r="I555" s="11">
        <v>-0.44198655555625299</v>
      </c>
      <c r="J555" s="10">
        <v>0.65849893477547905</v>
      </c>
      <c r="K555" s="29">
        <v>0.98289565623980701</v>
      </c>
    </row>
    <row r="556" spans="1:11" x14ac:dyDescent="0.35">
      <c r="A556" s="9" t="str">
        <f>HYPERLINK("http://www.ensembl.org/id/WBGene00196069", "WBGene00196069")</f>
        <v>WBGene00196069</v>
      </c>
      <c r="B556" s="9"/>
      <c r="C556" s="9"/>
      <c r="D556" t="str">
        <f>"Y39A3CL.8"</f>
        <v>Y39A3CL.8</v>
      </c>
      <c r="F556" t="s">
        <v>481</v>
      </c>
      <c r="H556" s="12">
        <v>-4.5114499031905204</v>
      </c>
      <c r="I556" s="11">
        <v>-0.44198655555625299</v>
      </c>
      <c r="J556" s="10">
        <v>0.65849893477547905</v>
      </c>
      <c r="K556" s="29">
        <v>0.98289565623980701</v>
      </c>
    </row>
    <row r="557" spans="1:11" x14ac:dyDescent="0.35">
      <c r="A557" s="9" t="str">
        <f>HYPERLINK("http://www.ensembl.org/id/WBGene00013061", "WBGene00013061")</f>
        <v>WBGene00013061</v>
      </c>
      <c r="B557" s="9" t="str">
        <f>HYPERLINK("http://www.ncbi.nlm.nih.gov/gene/190121", "190121")</f>
        <v>190121</v>
      </c>
      <c r="C557" s="9"/>
      <c r="D557" t="str">
        <f>"Y51A2A.5"</f>
        <v>Y51A2A.5</v>
      </c>
      <c r="F557" t="s">
        <v>11</v>
      </c>
      <c r="H557" s="12">
        <v>-4.5114499031905204</v>
      </c>
      <c r="I557" s="11">
        <v>-0.44198655555625299</v>
      </c>
      <c r="J557" s="10">
        <v>0.65849893477547905</v>
      </c>
      <c r="K557" s="29">
        <v>0.98289565623980701</v>
      </c>
    </row>
    <row r="558" spans="1:11" x14ac:dyDescent="0.35">
      <c r="A558" s="9" t="str">
        <f>HYPERLINK("http://www.ensembl.org/id/WBGene00021793", "WBGene00021793")</f>
        <v>WBGene00021793</v>
      </c>
      <c r="B558" s="9" t="str">
        <f>HYPERLINK("http://www.ncbi.nlm.nih.gov/gene/190185", "190185")</f>
        <v>190185</v>
      </c>
      <c r="C558" s="9"/>
      <c r="D558" t="str">
        <f>"Y52D5A.2"</f>
        <v>Y52D5A.2</v>
      </c>
      <c r="E558" t="s">
        <v>2588</v>
      </c>
      <c r="F558" t="s">
        <v>11</v>
      </c>
      <c r="G558" t="s">
        <v>2589</v>
      </c>
      <c r="H558" s="12">
        <v>-4.5114499031905204</v>
      </c>
      <c r="I558" s="11">
        <v>-0.44198655555625299</v>
      </c>
      <c r="J558" s="10">
        <v>0.65849893477547905</v>
      </c>
      <c r="K558" s="29">
        <v>0.98289565623980701</v>
      </c>
    </row>
    <row r="559" spans="1:11" x14ac:dyDescent="0.35">
      <c r="A559" s="9" t="str">
        <f>HYPERLINK("http://www.ensembl.org/id/WBGene00195636", "WBGene00195636")</f>
        <v>WBGene00195636</v>
      </c>
      <c r="B559" s="9"/>
      <c r="C559" s="9"/>
      <c r="D559" t="str">
        <f>"ZK813.8"</f>
        <v>ZK813.8</v>
      </c>
      <c r="F559" t="s">
        <v>481</v>
      </c>
      <c r="H559" s="12">
        <v>-4.5114499031905204</v>
      </c>
      <c r="I559" s="11">
        <v>-0.44198655555625299</v>
      </c>
      <c r="J559" s="10">
        <v>0.65849893477547905</v>
      </c>
      <c r="K559" s="29">
        <v>0.98289565623980701</v>
      </c>
    </row>
    <row r="560" spans="1:11" x14ac:dyDescent="0.35">
      <c r="A560" s="9" t="str">
        <f>HYPERLINK("http://www.ensembl.org/id/WBGene00020987", "WBGene00020987")</f>
        <v>WBGene00020987</v>
      </c>
      <c r="B560" s="9" t="str">
        <f>HYPERLINK("http://www.ncbi.nlm.nih.gov/gene/171847", "171847")</f>
        <v>171847</v>
      </c>
      <c r="C560" s="9"/>
      <c r="D560" t="str">
        <f>"W03D8.5"</f>
        <v>W03D8.5</v>
      </c>
      <c r="E560" t="s">
        <v>899</v>
      </c>
      <c r="F560" t="s">
        <v>11</v>
      </c>
      <c r="G560" t="s">
        <v>3403</v>
      </c>
      <c r="H560" s="12">
        <v>-4.4929003585358602</v>
      </c>
      <c r="I560" s="11">
        <v>-0.93647249155967305</v>
      </c>
      <c r="J560" s="10">
        <v>0.34902996941755698</v>
      </c>
      <c r="K560" s="29">
        <v>0.98289565623980701</v>
      </c>
    </row>
    <row r="561" spans="1:11" x14ac:dyDescent="0.35">
      <c r="A561" s="9" t="str">
        <f>HYPERLINK("http://www.ensembl.org/id/WBGene00007452", "WBGene00007452")</f>
        <v>WBGene00007452</v>
      </c>
      <c r="B561" s="9" t="str">
        <f>HYPERLINK("http://www.ncbi.nlm.nih.gov/gene/182419", "182419")</f>
        <v>182419</v>
      </c>
      <c r="C561" s="9"/>
      <c r="D561" t="str">
        <f>"C08F11.3"</f>
        <v>C08F11.3</v>
      </c>
      <c r="F561" t="s">
        <v>11</v>
      </c>
      <c r="G561" t="s">
        <v>25</v>
      </c>
      <c r="H561" s="12">
        <v>-4.4919882257844002</v>
      </c>
      <c r="I561" s="11">
        <v>-2.7272309076252701</v>
      </c>
      <c r="J561" s="10">
        <v>6.38683275209221E-3</v>
      </c>
      <c r="K561" s="29">
        <v>0.14162587098833301</v>
      </c>
    </row>
    <row r="562" spans="1:11" x14ac:dyDescent="0.35">
      <c r="A562" s="9" t="str">
        <f>HYPERLINK("http://www.ensembl.org/id/WBGene00021160", "WBGene00021160")</f>
        <v>WBGene00021160</v>
      </c>
      <c r="B562" s="9" t="str">
        <f>HYPERLINK("http://www.ncbi.nlm.nih.gov/gene/177314", "177314")</f>
        <v>177314</v>
      </c>
      <c r="C562" s="9" t="str">
        <f>HYPERLINK("http://www.ncbi.nlm.nih.gov/gene/2629", "2629")</f>
        <v>2629</v>
      </c>
      <c r="D562" t="str">
        <f>"gba-4"</f>
        <v>gba-4</v>
      </c>
      <c r="E562" t="s">
        <v>355</v>
      </c>
      <c r="F562" t="s">
        <v>11</v>
      </c>
      <c r="G562" t="s">
        <v>356</v>
      </c>
      <c r="H562" s="12">
        <v>-4.4884683442253497</v>
      </c>
      <c r="I562" s="11">
        <v>-3.8344314733016298</v>
      </c>
      <c r="J562" s="10">
        <v>1.2585505207002499E-4</v>
      </c>
      <c r="K562" s="29">
        <v>7.8807773255555307E-3</v>
      </c>
    </row>
    <row r="563" spans="1:11" x14ac:dyDescent="0.35">
      <c r="A563" s="9" t="str">
        <f>HYPERLINK("http://www.ensembl.org/id/WBGene00013567", "WBGene00013567")</f>
        <v>WBGene00013567</v>
      </c>
      <c r="B563" s="9" t="str">
        <f>HYPERLINK("http://www.ncbi.nlm.nih.gov/gene/190716", "190716")</f>
        <v>190716</v>
      </c>
      <c r="C563" s="9"/>
      <c r="D563" t="str">
        <f>"Y75B12B.1"</f>
        <v>Y75B12B.1</v>
      </c>
      <c r="F563" t="s">
        <v>11</v>
      </c>
      <c r="H563" s="12">
        <v>-4.48638426107218</v>
      </c>
      <c r="I563" s="11">
        <v>-6.0274183712864202</v>
      </c>
      <c r="J563" s="10">
        <v>1.66599345325029E-9</v>
      </c>
      <c r="K563" s="29">
        <v>8.3683575501741698E-7</v>
      </c>
    </row>
    <row r="564" spans="1:11" x14ac:dyDescent="0.35">
      <c r="A564" s="9" t="str">
        <f>HYPERLINK("http://www.ensembl.org/id/WBGene00020859", "WBGene00020859")</f>
        <v>WBGene00020859</v>
      </c>
      <c r="B564" s="9" t="str">
        <f>HYPERLINK("http://www.ncbi.nlm.nih.gov/gene/188993", "188993")</f>
        <v>188993</v>
      </c>
      <c r="C564" s="9"/>
      <c r="D564" t="str">
        <f>"bath-25"</f>
        <v>bath-25</v>
      </c>
      <c r="E564" t="s">
        <v>179</v>
      </c>
      <c r="F564" t="s">
        <v>11</v>
      </c>
      <c r="G564" t="s">
        <v>54</v>
      </c>
      <c r="H564" s="12">
        <v>-4.4790770366729404</v>
      </c>
      <c r="I564" s="11">
        <v>-1.38501703828554</v>
      </c>
      <c r="J564" s="10">
        <v>0.16604725753479599</v>
      </c>
      <c r="K564" s="29">
        <v>0.88498397685845498</v>
      </c>
    </row>
    <row r="565" spans="1:11" x14ac:dyDescent="0.35">
      <c r="A565" s="9" t="str">
        <f>HYPERLINK("http://www.ensembl.org/id/WBGene00018711", "WBGene00018711")</f>
        <v>WBGene00018711</v>
      </c>
      <c r="B565" s="9" t="str">
        <f>HYPERLINK("http://www.ncbi.nlm.nih.gov/gene/186129", "186129")</f>
        <v>186129</v>
      </c>
      <c r="C565" s="9"/>
      <c r="D565" t="str">
        <f>"F52G3.3"</f>
        <v>F52G3.3</v>
      </c>
      <c r="E565" t="s">
        <v>4233</v>
      </c>
      <c r="F565" t="s">
        <v>11</v>
      </c>
      <c r="G565" t="s">
        <v>4234</v>
      </c>
      <c r="H565" s="12">
        <v>-4.4682950177437197</v>
      </c>
      <c r="I565" s="11">
        <v>-0.96078726449822405</v>
      </c>
      <c r="J565" s="10">
        <v>0.33665914335188402</v>
      </c>
      <c r="K565" s="29">
        <v>0.98289565623980701</v>
      </c>
    </row>
    <row r="566" spans="1:11" x14ac:dyDescent="0.35">
      <c r="A566" s="9" t="str">
        <f>HYPERLINK("http://www.ensembl.org/id/WBGene00010461", "WBGene00010461")</f>
        <v>WBGene00010461</v>
      </c>
      <c r="B566" s="9" t="str">
        <f>HYPERLINK("http://www.ncbi.nlm.nih.gov/gene/186843", "186843")</f>
        <v>186843</v>
      </c>
      <c r="C566" s="9"/>
      <c r="D566" t="str">
        <f>"K01D12.1"</f>
        <v>K01D12.1</v>
      </c>
      <c r="F566" t="s">
        <v>11</v>
      </c>
      <c r="G566" t="s">
        <v>25</v>
      </c>
      <c r="H566" s="12">
        <v>-4.4460081732179297</v>
      </c>
      <c r="I566" s="11">
        <v>-1.8849539058253899</v>
      </c>
      <c r="J566" s="10">
        <v>5.9436061277534799E-2</v>
      </c>
      <c r="K566" s="29">
        <v>0.57413446148775904</v>
      </c>
    </row>
    <row r="567" spans="1:11" x14ac:dyDescent="0.35">
      <c r="A567" s="9" t="str">
        <f>HYPERLINK("http://www.ensembl.org/id/WBGene00020494", "WBGene00020494")</f>
        <v>WBGene00020494</v>
      </c>
      <c r="B567" s="9" t="str">
        <f>HYPERLINK("http://www.ncbi.nlm.nih.gov/gene/188487", "188487")</f>
        <v>188487</v>
      </c>
      <c r="C567" s="9"/>
      <c r="D567" t="str">
        <f>"T13G4.7"</f>
        <v>T13G4.7</v>
      </c>
      <c r="F567" t="s">
        <v>11</v>
      </c>
      <c r="H567" s="12">
        <v>-4.4448502912184802</v>
      </c>
      <c r="I567" s="11">
        <v>-0.85681897168743604</v>
      </c>
      <c r="J567" s="10">
        <v>0.39154493913402399</v>
      </c>
      <c r="K567" s="29">
        <v>0.98289565623980701</v>
      </c>
    </row>
    <row r="568" spans="1:11" x14ac:dyDescent="0.35">
      <c r="A568" s="9" t="str">
        <f>HYPERLINK("http://www.ensembl.org/id/WBGene00014755", "WBGene00014755")</f>
        <v>WBGene00014755</v>
      </c>
      <c r="B568" s="9"/>
      <c r="C568" s="9"/>
      <c r="D568" t="str">
        <f>"F40F12.8"</f>
        <v>F40F12.8</v>
      </c>
      <c r="F568" t="s">
        <v>80</v>
      </c>
      <c r="H568" s="12">
        <v>-4.4416958084685501</v>
      </c>
      <c r="I568" s="11">
        <v>-1.03636611268131</v>
      </c>
      <c r="J568" s="10">
        <v>0.30003137345216602</v>
      </c>
      <c r="K568" s="29">
        <v>0.98289565623980701</v>
      </c>
    </row>
    <row r="569" spans="1:11" x14ac:dyDescent="0.35">
      <c r="A569" s="9" t="str">
        <f>HYPERLINK("http://www.ensembl.org/id/WBGene00022328", "WBGene00022328")</f>
        <v>WBGene00022328</v>
      </c>
      <c r="B569" s="9" t="str">
        <f>HYPERLINK("http://www.ncbi.nlm.nih.gov/gene/190759", "190759")</f>
        <v>190759</v>
      </c>
      <c r="C569" s="9"/>
      <c r="D569" t="str">
        <f>"Y82E9BL.12"</f>
        <v>Y82E9BL.12</v>
      </c>
      <c r="F569" t="s">
        <v>11</v>
      </c>
      <c r="H569" s="12">
        <v>-4.4004958743502502</v>
      </c>
      <c r="I569" s="11">
        <v>-1.4009439090309099</v>
      </c>
      <c r="J569" s="10">
        <v>0.161230846975803</v>
      </c>
      <c r="K569" s="29">
        <v>0.87586786849558496</v>
      </c>
    </row>
    <row r="570" spans="1:11" x14ac:dyDescent="0.35">
      <c r="A570" s="9" t="str">
        <f>HYPERLINK("http://www.ensembl.org/id/WBGene00009215", "WBGene00009215")</f>
        <v>WBGene00009215</v>
      </c>
      <c r="B570" s="9" t="str">
        <f>HYPERLINK("http://www.ncbi.nlm.nih.gov/gene/178187", "178187")</f>
        <v>178187</v>
      </c>
      <c r="C570" s="9"/>
      <c r="D570" t="str">
        <f>"thn-2"</f>
        <v>thn-2</v>
      </c>
      <c r="E570" t="s">
        <v>20</v>
      </c>
      <c r="F570" t="s">
        <v>11</v>
      </c>
      <c r="G570" t="s">
        <v>21</v>
      </c>
      <c r="H570" s="12">
        <v>-4.3897078422431504</v>
      </c>
      <c r="I570" s="11">
        <v>-7.4485284735766601</v>
      </c>
      <c r="J570" s="10">
        <v>9.4387061293095698E-14</v>
      </c>
      <c r="K570" s="29">
        <v>3.6348457303971102E-10</v>
      </c>
    </row>
    <row r="571" spans="1:11" x14ac:dyDescent="0.35">
      <c r="A571" s="9" t="str">
        <f>HYPERLINK("http://www.ensembl.org/id/WBGene00007714", "WBGene00007714")</f>
        <v>WBGene00007714</v>
      </c>
      <c r="B571" s="9" t="str">
        <f>HYPERLINK("http://www.ncbi.nlm.nih.gov/gene/180007", "180007")</f>
        <v>180007</v>
      </c>
      <c r="C571" s="9"/>
      <c r="D571" t="str">
        <f>"C25D7.1"</f>
        <v>C25D7.1</v>
      </c>
      <c r="E571" t="s">
        <v>899</v>
      </c>
      <c r="F571" t="s">
        <v>11</v>
      </c>
      <c r="G571" t="s">
        <v>3403</v>
      </c>
      <c r="H571" s="12">
        <v>-4.3892156444622996</v>
      </c>
      <c r="I571" s="11">
        <v>-1.1013551192375499</v>
      </c>
      <c r="J571" s="10">
        <v>0.270742130560304</v>
      </c>
      <c r="K571" s="29">
        <v>0.98289565623980701</v>
      </c>
    </row>
    <row r="572" spans="1:11" x14ac:dyDescent="0.35">
      <c r="A572" s="9" t="str">
        <f>HYPERLINK("http://www.ensembl.org/id/WBGene00077703", "WBGene00077703")</f>
        <v>WBGene00077703</v>
      </c>
      <c r="B572" s="9" t="str">
        <f>HYPERLINK("http://www.ncbi.nlm.nih.gov/gene/7040192", "7040192")</f>
        <v>7040192</v>
      </c>
      <c r="C572" s="9"/>
      <c r="D572" t="str">
        <f>"K08E5.5"</f>
        <v>K08E5.5</v>
      </c>
      <c r="F572" t="s">
        <v>11</v>
      </c>
      <c r="H572" s="12">
        <v>-4.3787123643480301</v>
      </c>
      <c r="I572" s="11">
        <v>-0.92491905970397903</v>
      </c>
      <c r="J572" s="10">
        <v>0.35500801155720102</v>
      </c>
      <c r="K572" s="29">
        <v>0.98289565623980701</v>
      </c>
    </row>
    <row r="573" spans="1:11" x14ac:dyDescent="0.35">
      <c r="A573" s="9" t="str">
        <f>HYPERLINK("http://www.ensembl.org/id/WBGene00010300", "WBGene00010300")</f>
        <v>WBGene00010300</v>
      </c>
      <c r="B573" s="9" t="str">
        <f>HYPERLINK("http://www.ncbi.nlm.nih.gov/gene/3565028", "3565028")</f>
        <v>3565028</v>
      </c>
      <c r="C573" s="9"/>
      <c r="D573" t="str">
        <f>"F59A1.15"</f>
        <v>F59A1.15</v>
      </c>
      <c r="F573" t="s">
        <v>11</v>
      </c>
      <c r="G573" t="s">
        <v>591</v>
      </c>
      <c r="H573" s="12">
        <v>-4.3751513683868302</v>
      </c>
      <c r="I573" s="11">
        <v>-0.65321222990248595</v>
      </c>
      <c r="J573" s="10">
        <v>0.51361946689192395</v>
      </c>
      <c r="K573" s="29">
        <v>0.98289565623980701</v>
      </c>
    </row>
    <row r="574" spans="1:11" x14ac:dyDescent="0.35">
      <c r="A574" s="9" t="str">
        <f>HYPERLINK("http://www.ensembl.org/id/WBGene00017652", "WBGene00017652")</f>
        <v>WBGene00017652</v>
      </c>
      <c r="B574" s="9" t="str">
        <f>HYPERLINK("http://www.ncbi.nlm.nih.gov/gene/184763", "184763")</f>
        <v>184763</v>
      </c>
      <c r="C574" s="9"/>
      <c r="D574" t="str">
        <f>"F21C10.1"</f>
        <v>F21C10.1</v>
      </c>
      <c r="F574" t="s">
        <v>11</v>
      </c>
      <c r="G574" t="s">
        <v>25</v>
      </c>
      <c r="H574" s="12">
        <v>-4.3745823608778798</v>
      </c>
      <c r="I574" s="11">
        <v>-0.78522120740297996</v>
      </c>
      <c r="J574" s="10">
        <v>0.43232388338507799</v>
      </c>
      <c r="K574" s="29">
        <v>0.98289565623980701</v>
      </c>
    </row>
    <row r="575" spans="1:11" x14ac:dyDescent="0.35">
      <c r="A575" s="9" t="str">
        <f>HYPERLINK("http://www.ensembl.org/id/WBGene00019190", "WBGene00019190")</f>
        <v>WBGene00019190</v>
      </c>
      <c r="B575" s="9" t="str">
        <f>HYPERLINK("http://www.ncbi.nlm.nih.gov/gene/186732", "186732")</f>
        <v>186732</v>
      </c>
      <c r="C575" s="9"/>
      <c r="D575" t="str">
        <f>"H12I13.1"</f>
        <v>H12I13.1</v>
      </c>
      <c r="F575" t="s">
        <v>11</v>
      </c>
      <c r="G575" t="s">
        <v>10107</v>
      </c>
      <c r="H575" s="12">
        <v>-4.3600574296352699</v>
      </c>
      <c r="I575" s="11">
        <v>-0.71527181817699104</v>
      </c>
      <c r="J575" s="10">
        <v>0.47444109898630599</v>
      </c>
      <c r="K575" s="29">
        <v>0.98289565623980701</v>
      </c>
    </row>
    <row r="576" spans="1:11" x14ac:dyDescent="0.35">
      <c r="A576" s="9" t="str">
        <f>HYPERLINK("http://www.ensembl.org/id/WBGene00004239", "WBGene00004239")</f>
        <v>WBGene00004239</v>
      </c>
      <c r="B576" s="9" t="str">
        <f>HYPERLINK("http://www.ncbi.nlm.nih.gov/gene/178320", "178320")</f>
        <v>178320</v>
      </c>
      <c r="C576" s="9"/>
      <c r="D576" t="str">
        <f>"puf-3"</f>
        <v>puf-3</v>
      </c>
      <c r="E576" t="s">
        <v>48</v>
      </c>
      <c r="F576" t="s">
        <v>11</v>
      </c>
      <c r="G576" t="s">
        <v>49</v>
      </c>
      <c r="H576" s="12">
        <v>-4.3159374934313997</v>
      </c>
      <c r="I576" s="11">
        <v>-6.37600277008102</v>
      </c>
      <c r="J576" s="10">
        <v>1.8176963870914299E-10</v>
      </c>
      <c r="K576" s="29">
        <v>1.82607359652759E-7</v>
      </c>
    </row>
    <row r="577" spans="1:11" x14ac:dyDescent="0.35">
      <c r="A577" s="9" t="str">
        <f>HYPERLINK("http://www.ensembl.org/id/WBGene00008891", "WBGene00008891")</f>
        <v>WBGene00008891</v>
      </c>
      <c r="B577" s="9" t="str">
        <f>HYPERLINK("http://www.ncbi.nlm.nih.gov/gene/180189", "180189")</f>
        <v>180189</v>
      </c>
      <c r="C577" s="9"/>
      <c r="D577" t="str">
        <f>"clec-42"</f>
        <v>clec-42</v>
      </c>
      <c r="E577" t="s">
        <v>46</v>
      </c>
      <c r="F577" t="s">
        <v>11</v>
      </c>
      <c r="G577" t="s">
        <v>47</v>
      </c>
      <c r="H577" s="12">
        <v>-4.2980330950074004</v>
      </c>
      <c r="I577" s="11">
        <v>-0.78007922612931302</v>
      </c>
      <c r="J577" s="10">
        <v>0.43534424331567501</v>
      </c>
      <c r="K577" s="29">
        <v>0.98289565623980701</v>
      </c>
    </row>
    <row r="578" spans="1:11" x14ac:dyDescent="0.35">
      <c r="A578" s="9" t="str">
        <f>HYPERLINK("http://www.ensembl.org/id/WBGene00235292", "WBGene00235292")</f>
        <v>WBGene00235292</v>
      </c>
      <c r="B578" s="9"/>
      <c r="C578" s="9"/>
      <c r="D578" t="str">
        <f>"F28E10.16"</f>
        <v>F28E10.16</v>
      </c>
      <c r="F578" t="s">
        <v>80</v>
      </c>
      <c r="H578" s="12">
        <v>-4.2921963063929196</v>
      </c>
      <c r="I578" s="11">
        <v>-1.10048196980681</v>
      </c>
      <c r="J578" s="10">
        <v>0.27112218121424297</v>
      </c>
      <c r="K578" s="29">
        <v>0.98289565623980701</v>
      </c>
    </row>
    <row r="579" spans="1:11" x14ac:dyDescent="0.35">
      <c r="A579" s="9" t="str">
        <f>HYPERLINK("http://www.ensembl.org/id/WBGene00200268", "WBGene00200268")</f>
        <v>WBGene00200268</v>
      </c>
      <c r="B579" s="9"/>
      <c r="C579" s="9"/>
      <c r="D579" t="str">
        <f>"F01G12.16"</f>
        <v>F01G12.16</v>
      </c>
      <c r="F579" t="s">
        <v>481</v>
      </c>
      <c r="H579" s="12">
        <v>-4.2912371281592003</v>
      </c>
      <c r="I579" s="11">
        <v>-0.56372227087147897</v>
      </c>
      <c r="J579" s="10">
        <v>0.572943158267888</v>
      </c>
      <c r="K579" s="29">
        <v>0.98289565623980701</v>
      </c>
    </row>
    <row r="580" spans="1:11" x14ac:dyDescent="0.35">
      <c r="A580" s="9" t="str">
        <f>HYPERLINK("http://www.ensembl.org/id/WBGene00195842", "WBGene00195842")</f>
        <v>WBGene00195842</v>
      </c>
      <c r="B580" s="9"/>
      <c r="C580" s="9"/>
      <c r="D580" t="str">
        <f>"F56E3.7"</f>
        <v>F56E3.7</v>
      </c>
      <c r="F580" t="s">
        <v>481</v>
      </c>
      <c r="H580" s="12">
        <v>-4.2912371281592003</v>
      </c>
      <c r="I580" s="11">
        <v>-0.56372227087147897</v>
      </c>
      <c r="J580" s="10">
        <v>0.572943158267888</v>
      </c>
      <c r="K580" s="29">
        <v>0.98289565623980701</v>
      </c>
    </row>
    <row r="581" spans="1:11" x14ac:dyDescent="0.35">
      <c r="A581" s="9" t="str">
        <f>HYPERLINK("http://www.ensembl.org/id/WBGene00022484", "WBGene00022484")</f>
        <v>WBGene00022484</v>
      </c>
      <c r="B581" s="9" t="str">
        <f>HYPERLINK("http://www.ncbi.nlm.nih.gov/gene/175290", "175290")</f>
        <v>175290</v>
      </c>
      <c r="C581" s="9"/>
      <c r="D581" t="str">
        <f>"fbxa-77"</f>
        <v>fbxa-77</v>
      </c>
      <c r="E581" t="s">
        <v>467</v>
      </c>
      <c r="F581" t="s">
        <v>11</v>
      </c>
      <c r="G581" t="s">
        <v>54</v>
      </c>
      <c r="H581" s="12">
        <v>-4.2912371281592003</v>
      </c>
      <c r="I581" s="11">
        <v>-0.56372227087147897</v>
      </c>
      <c r="J581" s="10">
        <v>0.572943158267888</v>
      </c>
      <c r="K581" s="29">
        <v>0.98289565623980701</v>
      </c>
    </row>
    <row r="582" spans="1:11" x14ac:dyDescent="0.35">
      <c r="A582" s="9" t="str">
        <f>HYPERLINK("http://www.ensembl.org/id/WBGene00021196", "WBGene00021196")</f>
        <v>WBGene00021196</v>
      </c>
      <c r="B582" s="9" t="str">
        <f>HYPERLINK("http://www.ncbi.nlm.nih.gov/gene/189460", "189460")</f>
        <v>189460</v>
      </c>
      <c r="C582" s="9"/>
      <c r="D582" t="str">
        <f>"Y17G9A.3"</f>
        <v>Y17G9A.3</v>
      </c>
      <c r="F582" t="s">
        <v>11</v>
      </c>
      <c r="H582" s="12">
        <v>-4.2912371281592003</v>
      </c>
      <c r="I582" s="11">
        <v>-0.56372227087147897</v>
      </c>
      <c r="J582" s="10">
        <v>0.572943158267888</v>
      </c>
      <c r="K582" s="29">
        <v>0.98289565623980701</v>
      </c>
    </row>
    <row r="583" spans="1:11" x14ac:dyDescent="0.35">
      <c r="A583" s="9" t="str">
        <f>HYPERLINK("http://www.ensembl.org/id/WBGene00196015", "WBGene00196015")</f>
        <v>WBGene00196015</v>
      </c>
      <c r="B583" s="9"/>
      <c r="C583" s="9"/>
      <c r="D583" t="str">
        <f>"Y67D8A.6"</f>
        <v>Y67D8A.6</v>
      </c>
      <c r="F583" t="s">
        <v>481</v>
      </c>
      <c r="H583" s="12">
        <v>-4.2912371281592003</v>
      </c>
      <c r="I583" s="11">
        <v>-0.56372227087147897</v>
      </c>
      <c r="J583" s="10">
        <v>0.572943158267888</v>
      </c>
      <c r="K583" s="29">
        <v>0.98289565623980701</v>
      </c>
    </row>
    <row r="584" spans="1:11" x14ac:dyDescent="0.35">
      <c r="A584" s="9" t="str">
        <f>HYPERLINK("http://www.ensembl.org/id/WBGene00011321", "WBGene00011321")</f>
        <v>WBGene00011321</v>
      </c>
      <c r="B584" s="9" t="str">
        <f>HYPERLINK("http://www.ncbi.nlm.nih.gov/gene/187940", "187940")</f>
        <v>187940</v>
      </c>
      <c r="C584" s="9"/>
      <c r="D584" t="str">
        <f>"fil-1"</f>
        <v>fil-1</v>
      </c>
      <c r="E584" t="s">
        <v>525</v>
      </c>
      <c r="F584" t="s">
        <v>11</v>
      </c>
      <c r="G584" t="s">
        <v>431</v>
      </c>
      <c r="H584" s="12">
        <v>-4.2825909238583897</v>
      </c>
      <c r="I584" s="11">
        <v>-3.2575051400025701</v>
      </c>
      <c r="J584" s="10">
        <v>1.1239622282645701E-3</v>
      </c>
      <c r="K584" s="29">
        <v>4.3068443194496098E-2</v>
      </c>
    </row>
    <row r="585" spans="1:11" x14ac:dyDescent="0.35">
      <c r="A585" s="9" t="str">
        <f>HYPERLINK("http://www.ensembl.org/id/WBGene00009836", "WBGene00009836")</f>
        <v>WBGene00009836</v>
      </c>
      <c r="B585" s="9" t="str">
        <f>HYPERLINK("http://www.ncbi.nlm.nih.gov/gene/185951", "185951")</f>
        <v>185951</v>
      </c>
      <c r="C585" s="9"/>
      <c r="D585" t="str">
        <f>"fbxa-185"</f>
        <v>fbxa-185</v>
      </c>
      <c r="E585" t="s">
        <v>467</v>
      </c>
      <c r="F585" t="s">
        <v>11</v>
      </c>
      <c r="G585" t="s">
        <v>54</v>
      </c>
      <c r="H585" s="12">
        <v>-4.2784672026459996</v>
      </c>
      <c r="I585" s="11">
        <v>-2.1741604761134501</v>
      </c>
      <c r="J585" s="10">
        <v>2.9693085482104298E-2</v>
      </c>
      <c r="K585" s="29">
        <v>0.38522652057804702</v>
      </c>
    </row>
    <row r="586" spans="1:11" x14ac:dyDescent="0.35">
      <c r="A586" s="9" t="str">
        <f>HYPERLINK("http://www.ensembl.org/id/WBGene00219961", "WBGene00219961")</f>
        <v>WBGene00219961</v>
      </c>
      <c r="B586" s="9"/>
      <c r="C586" s="9"/>
      <c r="D586" t="str">
        <f>"F52E1.17"</f>
        <v>F52E1.17</v>
      </c>
      <c r="F586" t="s">
        <v>481</v>
      </c>
      <c r="H586" s="12">
        <v>-4.27169518213808</v>
      </c>
      <c r="I586" s="11">
        <v>-0.771790048590003</v>
      </c>
      <c r="J586" s="10">
        <v>0.44023878665527899</v>
      </c>
      <c r="K586" s="29">
        <v>0.98289565623980701</v>
      </c>
    </row>
    <row r="587" spans="1:11" x14ac:dyDescent="0.35">
      <c r="A587" s="9" t="str">
        <f>HYPERLINK("http://www.ensembl.org/id/WBGene00018327", "WBGene00018327")</f>
        <v>WBGene00018327</v>
      </c>
      <c r="B587" s="9" t="str">
        <f>HYPERLINK("http://www.ncbi.nlm.nih.gov/gene/185649", "185649")</f>
        <v>185649</v>
      </c>
      <c r="C587" s="9"/>
      <c r="D587" t="str">
        <f>"F42A6.5"</f>
        <v>F42A6.5</v>
      </c>
      <c r="F587" t="s">
        <v>11</v>
      </c>
      <c r="G587" t="s">
        <v>10106</v>
      </c>
      <c r="H587" s="12">
        <v>-4.26687764763484</v>
      </c>
      <c r="I587" s="11">
        <v>-0.61688381460044195</v>
      </c>
      <c r="J587" s="10">
        <v>0.53731136327246698</v>
      </c>
      <c r="K587" s="29">
        <v>0.98289565623980701</v>
      </c>
    </row>
    <row r="588" spans="1:11" x14ac:dyDescent="0.35">
      <c r="A588" s="9" t="str">
        <f>HYPERLINK("http://www.ensembl.org/id/WBGene00194788", "WBGene00194788")</f>
        <v>WBGene00194788</v>
      </c>
      <c r="B588" s="9" t="str">
        <f>HYPERLINK("http://www.ncbi.nlm.nih.gov/gene/13216575", "13216575")</f>
        <v>13216575</v>
      </c>
      <c r="C588" s="9"/>
      <c r="D588" t="str">
        <f>"R02D5.10"</f>
        <v>R02D5.10</v>
      </c>
      <c r="F588" t="s">
        <v>11</v>
      </c>
      <c r="H588" s="12">
        <v>-4.26687764763484</v>
      </c>
      <c r="I588" s="11">
        <v>-0.61688381460044195</v>
      </c>
      <c r="J588" s="10">
        <v>0.53731136327246698</v>
      </c>
      <c r="K588" s="29">
        <v>0.98289565623980701</v>
      </c>
    </row>
    <row r="589" spans="1:11" x14ac:dyDescent="0.35">
      <c r="A589" s="9" t="str">
        <f>HYPERLINK("http://www.ensembl.org/id/WBGene00201383", "WBGene00201383")</f>
        <v>WBGene00201383</v>
      </c>
      <c r="B589" s="9"/>
      <c r="C589" s="9"/>
      <c r="D589" t="str">
        <f>"F25D7.10"</f>
        <v>F25D7.10</v>
      </c>
      <c r="F589" t="s">
        <v>481</v>
      </c>
      <c r="H589" s="12">
        <v>-4.2464652736891102</v>
      </c>
      <c r="I589" s="11">
        <v>-0.85795849477358699</v>
      </c>
      <c r="J589" s="10">
        <v>0.39091538237072099</v>
      </c>
      <c r="K589" s="29">
        <v>0.98289565623980701</v>
      </c>
    </row>
    <row r="590" spans="1:11" x14ac:dyDescent="0.35">
      <c r="A590" s="9" t="str">
        <f>HYPERLINK("http://www.ensembl.org/id/WBGene00010717", "WBGene00010717")</f>
        <v>WBGene00010717</v>
      </c>
      <c r="B590" s="9" t="str">
        <f>HYPERLINK("http://www.ncbi.nlm.nih.gov/gene/3565446", "3565446")</f>
        <v>3565446</v>
      </c>
      <c r="C590" s="9"/>
      <c r="D590" t="str">
        <f>"K09C8.7"</f>
        <v>K09C8.7</v>
      </c>
      <c r="F590" t="s">
        <v>11</v>
      </c>
      <c r="H590" s="12">
        <v>-4.23024835765254</v>
      </c>
      <c r="I590" s="11">
        <v>-4.4543756302000501</v>
      </c>
      <c r="J590" s="10">
        <v>8.4137683770493301E-6</v>
      </c>
      <c r="K590" s="29">
        <v>9.04225730791171E-4</v>
      </c>
    </row>
    <row r="591" spans="1:11" x14ac:dyDescent="0.35">
      <c r="A591" s="9" t="str">
        <f>HYPERLINK("http://www.ensembl.org/id/WBGene00018229", "WBGene00018229")</f>
        <v>WBGene00018229</v>
      </c>
      <c r="B591" s="9" t="str">
        <f>HYPERLINK("http://www.ncbi.nlm.nih.gov/gene/185515", "185515")</f>
        <v>185515</v>
      </c>
      <c r="C591" s="9"/>
      <c r="D591" t="str">
        <f>"F40C5.2"</f>
        <v>F40C5.2</v>
      </c>
      <c r="F591" t="s">
        <v>11</v>
      </c>
      <c r="H591" s="12">
        <v>-4.2184190803482098</v>
      </c>
      <c r="I591" s="11">
        <v>-0.65877116351347598</v>
      </c>
      <c r="J591" s="10">
        <v>0.51004272731026301</v>
      </c>
      <c r="K591" s="29">
        <v>0.98289565623980701</v>
      </c>
    </row>
    <row r="592" spans="1:11" x14ac:dyDescent="0.35">
      <c r="A592" s="9" t="str">
        <f>HYPERLINK("http://www.ensembl.org/id/WBGene00000641", "WBGene00000641")</f>
        <v>WBGene00000641</v>
      </c>
      <c r="B592" s="9" t="str">
        <f>HYPERLINK("http://www.ncbi.nlm.nih.gov/gene/187138", "187138")</f>
        <v>187138</v>
      </c>
      <c r="C592" s="9"/>
      <c r="D592" t="str">
        <f>"col-65"</f>
        <v>col-65</v>
      </c>
      <c r="E592" t="s">
        <v>40</v>
      </c>
      <c r="F592" t="s">
        <v>11</v>
      </c>
      <c r="G592" t="s">
        <v>152</v>
      </c>
      <c r="H592" s="12">
        <v>-4.2095957827332704</v>
      </c>
      <c r="I592" s="11">
        <v>-2.6824334402414198</v>
      </c>
      <c r="J592" s="10">
        <v>7.3088694369706896E-3</v>
      </c>
      <c r="K592" s="29">
        <v>0.15593604543919201</v>
      </c>
    </row>
    <row r="593" spans="1:11" x14ac:dyDescent="0.35">
      <c r="A593" s="9" t="str">
        <f>HYPERLINK("http://www.ensembl.org/id/WBGene00018841", "WBGene00018841")</f>
        <v>WBGene00018841</v>
      </c>
      <c r="B593" s="9" t="str">
        <f>HYPERLINK("http://www.ncbi.nlm.nih.gov/gene/186265", "186265")</f>
        <v>186265</v>
      </c>
      <c r="C593" s="9"/>
      <c r="D593" t="str">
        <f>"F54H5.5"</f>
        <v>F54H5.5</v>
      </c>
      <c r="F593" t="s">
        <v>11</v>
      </c>
      <c r="H593" s="12">
        <v>-4.1588153141782804</v>
      </c>
      <c r="I593" s="11">
        <v>-0.90441687513458602</v>
      </c>
      <c r="J593" s="10">
        <v>0.365774393381253</v>
      </c>
      <c r="K593" s="29">
        <v>0.98289565623980701</v>
      </c>
    </row>
    <row r="594" spans="1:11" x14ac:dyDescent="0.35">
      <c r="A594" s="9" t="str">
        <f>HYPERLINK("http://www.ensembl.org/id/WBGene00019549", "WBGene00019549")</f>
        <v>WBGene00019549</v>
      </c>
      <c r="B594" s="9" t="str">
        <f>HYPERLINK("http://www.ncbi.nlm.nih.gov/gene/187194", "187194")</f>
        <v>187194</v>
      </c>
      <c r="C594" s="9"/>
      <c r="D594" t="str">
        <f>"K09C4.4"</f>
        <v>K09C4.4</v>
      </c>
      <c r="F594" t="s">
        <v>11</v>
      </c>
      <c r="G594" t="s">
        <v>230</v>
      </c>
      <c r="H594" s="12">
        <v>-4.1581314884168403</v>
      </c>
      <c r="I594" s="11">
        <v>-1.84409841447516</v>
      </c>
      <c r="J594" s="10">
        <v>6.5168798960922494E-2</v>
      </c>
      <c r="K594" s="29">
        <v>0.60400732803492796</v>
      </c>
    </row>
    <row r="595" spans="1:11" x14ac:dyDescent="0.35">
      <c r="A595" s="9" t="str">
        <f>HYPERLINK("http://www.ensembl.org/id/WBGene00077783", "WBGene00077783")</f>
        <v>WBGene00077783</v>
      </c>
      <c r="B595" s="9" t="str">
        <f>HYPERLINK("http://www.ncbi.nlm.nih.gov/gene/7040149", "7040149")</f>
        <v>7040149</v>
      </c>
      <c r="C595" s="9"/>
      <c r="D595" t="str">
        <f>"D1054.18"</f>
        <v>D1054.18</v>
      </c>
      <c r="F595" t="s">
        <v>11</v>
      </c>
      <c r="H595" s="12">
        <v>-4.1516288559937102</v>
      </c>
      <c r="I595" s="11">
        <v>-2.0606315104383901</v>
      </c>
      <c r="J595" s="10">
        <v>3.9338208213986502E-2</v>
      </c>
      <c r="K595" s="29">
        <v>0.45744772973949199</v>
      </c>
    </row>
    <row r="596" spans="1:11" x14ac:dyDescent="0.35">
      <c r="A596" s="9" t="str">
        <f>HYPERLINK("http://www.ensembl.org/id/WBGene00014168", "WBGene00014168")</f>
        <v>WBGene00014168</v>
      </c>
      <c r="B596" s="9" t="str">
        <f>HYPERLINK("http://www.ncbi.nlm.nih.gov/gene/174574", "174574")</f>
        <v>174574</v>
      </c>
      <c r="C596" s="9"/>
      <c r="D596" t="str">
        <f>"ZK945.6"</f>
        <v>ZK945.6</v>
      </c>
      <c r="F596" t="s">
        <v>11</v>
      </c>
      <c r="H596" s="12">
        <v>-4.1486965442300701</v>
      </c>
      <c r="I596" s="11">
        <v>-0.56951198019384397</v>
      </c>
      <c r="J596" s="10">
        <v>0.56900874288413705</v>
      </c>
      <c r="K596" s="29">
        <v>0.98289565623980701</v>
      </c>
    </row>
    <row r="597" spans="1:11" x14ac:dyDescent="0.35">
      <c r="A597" s="9" t="str">
        <f>HYPERLINK("http://www.ensembl.org/id/WBGene00007896", "WBGene00007896")</f>
        <v>WBGene00007896</v>
      </c>
      <c r="B597" s="9" t="str">
        <f>HYPERLINK("http://www.ncbi.nlm.nih.gov/gene/259722", "259722")</f>
        <v>259722</v>
      </c>
      <c r="C597" s="9"/>
      <c r="D597" t="str">
        <f>"C33D3.5"</f>
        <v>C33D3.5</v>
      </c>
      <c r="F597" t="s">
        <v>11</v>
      </c>
      <c r="H597" s="12">
        <v>-4.1484999532405498</v>
      </c>
      <c r="I597" s="11">
        <v>-0.56395795193093501</v>
      </c>
      <c r="J597" s="10">
        <v>0.57278274871373902</v>
      </c>
      <c r="K597" s="29">
        <v>0.98289565623980701</v>
      </c>
    </row>
    <row r="598" spans="1:11" x14ac:dyDescent="0.35">
      <c r="A598" s="9" t="str">
        <f>HYPERLINK("http://www.ensembl.org/id/WBGene00003865", "WBGene00003865")</f>
        <v>WBGene00003865</v>
      </c>
      <c r="B598" s="9" t="str">
        <f>HYPERLINK("http://www.ncbi.nlm.nih.gov/gene/179183", "179183")</f>
        <v>179183</v>
      </c>
      <c r="C598" s="9"/>
      <c r="D598" t="str">
        <f>"oma-2"</f>
        <v>oma-2</v>
      </c>
      <c r="E598" t="s">
        <v>75</v>
      </c>
      <c r="F598" t="s">
        <v>11</v>
      </c>
      <c r="G598" t="s">
        <v>51</v>
      </c>
      <c r="H598" s="12">
        <v>-4.1373067282336402</v>
      </c>
      <c r="I598" s="11">
        <v>-5.9683567431894096</v>
      </c>
      <c r="J598" s="10">
        <v>2.3965493034198398E-9</v>
      </c>
      <c r="K598" s="29">
        <v>1.08727655196536E-6</v>
      </c>
    </row>
    <row r="599" spans="1:11" x14ac:dyDescent="0.35">
      <c r="A599" s="9" t="str">
        <f>HYPERLINK("http://www.ensembl.org/id/WBGene00044980", "WBGene00044980")</f>
        <v>WBGene00044980</v>
      </c>
      <c r="B599" s="9"/>
      <c r="C599" s="9"/>
      <c r="D599" t="str">
        <f>"B0399.3"</f>
        <v>B0399.3</v>
      </c>
      <c r="F599" t="s">
        <v>481</v>
      </c>
      <c r="H599" s="12">
        <v>-4.12781216738792</v>
      </c>
      <c r="I599" s="11">
        <v>-0.65786000008478296</v>
      </c>
      <c r="J599" s="10">
        <v>0.51062809559817801</v>
      </c>
      <c r="K599" s="29">
        <v>0.98289565623980701</v>
      </c>
    </row>
    <row r="600" spans="1:11" x14ac:dyDescent="0.35">
      <c r="A600" s="9" t="str">
        <f>HYPERLINK("http://www.ensembl.org/id/WBGene00015012", "WBGene00015012")</f>
        <v>WBGene00015012</v>
      </c>
      <c r="B600" s="9" t="str">
        <f>HYPERLINK("http://www.ncbi.nlm.nih.gov/gene/181824", "181824")</f>
        <v>181824</v>
      </c>
      <c r="C600" s="9"/>
      <c r="D600" t="str">
        <f>"bath-20"</f>
        <v>bath-20</v>
      </c>
      <c r="E600" t="s">
        <v>179</v>
      </c>
      <c r="F600" t="s">
        <v>11</v>
      </c>
      <c r="G600" t="s">
        <v>54</v>
      </c>
      <c r="H600" s="12">
        <v>-4.12601774356372</v>
      </c>
      <c r="I600" s="11">
        <v>-0.84605680787550397</v>
      </c>
      <c r="J600" s="10">
        <v>0.39752105425864598</v>
      </c>
      <c r="K600" s="29">
        <v>0.98289565623980701</v>
      </c>
    </row>
    <row r="601" spans="1:11" x14ac:dyDescent="0.35">
      <c r="A601" s="9" t="str">
        <f>HYPERLINK("http://www.ensembl.org/id/WBGene00000782", "WBGene00000782")</f>
        <v>WBGene00000782</v>
      </c>
      <c r="B601" s="9" t="str">
        <f>HYPERLINK("http://www.ncbi.nlm.nih.gov/gene/185355", "185355")</f>
        <v>185355</v>
      </c>
      <c r="C601" s="9"/>
      <c r="D601" t="str">
        <f>"cpr-2"</f>
        <v>cpr-2</v>
      </c>
      <c r="E601" t="s">
        <v>10028</v>
      </c>
      <c r="F601" t="s">
        <v>11</v>
      </c>
      <c r="G601" t="s">
        <v>180</v>
      </c>
      <c r="H601" s="12">
        <v>-4.1158526890092704</v>
      </c>
      <c r="I601" s="11">
        <v>-1.1297269879062499</v>
      </c>
      <c r="J601" s="10">
        <v>0.25859128163267397</v>
      </c>
      <c r="K601" s="29">
        <v>0.98289565623980701</v>
      </c>
    </row>
    <row r="602" spans="1:11" x14ac:dyDescent="0.35">
      <c r="A602" s="9" t="str">
        <f>HYPERLINK("http://www.ensembl.org/id/WBGene00007996", "WBGene00007996")</f>
        <v>WBGene00007996</v>
      </c>
      <c r="B602" s="9" t="str">
        <f>HYPERLINK("http://www.ncbi.nlm.nih.gov/gene/175124", "175124")</f>
        <v>175124</v>
      </c>
      <c r="C602" s="9"/>
      <c r="D602" t="str">
        <f>"C38C6.3"</f>
        <v>C38C6.3</v>
      </c>
      <c r="F602" t="s">
        <v>11</v>
      </c>
      <c r="H602" s="12">
        <v>-4.1082646955495097</v>
      </c>
      <c r="I602" s="11">
        <v>-0.53813647299058498</v>
      </c>
      <c r="J602" s="10">
        <v>0.590482833850832</v>
      </c>
      <c r="K602" s="29">
        <v>0.98289565623980701</v>
      </c>
    </row>
    <row r="603" spans="1:11" x14ac:dyDescent="0.35">
      <c r="A603" s="9" t="str">
        <f>HYPERLINK("http://www.ensembl.org/id/WBGene00020523", "WBGene00020523")</f>
        <v>WBGene00020523</v>
      </c>
      <c r="B603" s="9" t="str">
        <f>HYPERLINK("http://www.ncbi.nlm.nih.gov/gene/188521", "188521")</f>
        <v>188521</v>
      </c>
      <c r="C603" s="9"/>
      <c r="D603" t="str">
        <f>"dmsr-14"</f>
        <v>dmsr-14</v>
      </c>
      <c r="E603" t="s">
        <v>996</v>
      </c>
      <c r="F603" t="s">
        <v>11</v>
      </c>
      <c r="G603" t="s">
        <v>1780</v>
      </c>
      <c r="H603" s="12">
        <v>-4.1082646955495097</v>
      </c>
      <c r="I603" s="11">
        <v>-0.53813647299058498</v>
      </c>
      <c r="J603" s="10">
        <v>0.590482833850832</v>
      </c>
      <c r="K603" s="29">
        <v>0.98289565623980701</v>
      </c>
    </row>
    <row r="604" spans="1:11" x14ac:dyDescent="0.35">
      <c r="A604" s="9" t="str">
        <f>HYPERLINK("http://www.ensembl.org/id/WBGene00200852", "WBGene00200852")</f>
        <v>WBGene00200852</v>
      </c>
      <c r="B604" s="9"/>
      <c r="C604" s="9"/>
      <c r="D604" t="str">
        <f>"E01G6.10"</f>
        <v>E01G6.10</v>
      </c>
      <c r="F604" t="s">
        <v>481</v>
      </c>
      <c r="H604" s="12">
        <v>-4.1042428419027104</v>
      </c>
      <c r="I604" s="11">
        <v>-0.64247511527277501</v>
      </c>
      <c r="J604" s="10">
        <v>0.52056474169798705</v>
      </c>
      <c r="K604" s="29">
        <v>0.98289565623980701</v>
      </c>
    </row>
    <row r="605" spans="1:11" x14ac:dyDescent="0.35">
      <c r="A605" s="9" t="str">
        <f>HYPERLINK("http://www.ensembl.org/id/WBGene00009310", "WBGene00009310")</f>
        <v>WBGene00009310</v>
      </c>
      <c r="B605" s="9"/>
      <c r="C605" s="9"/>
      <c r="D605" t="str">
        <f>"F32A11.5"</f>
        <v>F32A11.5</v>
      </c>
      <c r="F605" t="s">
        <v>80</v>
      </c>
      <c r="H605" s="12">
        <v>-4.1015877949906301</v>
      </c>
      <c r="I605" s="11">
        <v>-0.94858809982515102</v>
      </c>
      <c r="J605" s="10">
        <v>0.34283014578030402</v>
      </c>
      <c r="K605" s="29">
        <v>0.98289565623980701</v>
      </c>
    </row>
    <row r="606" spans="1:11" x14ac:dyDescent="0.35">
      <c r="A606" s="9" t="str">
        <f>HYPERLINK("http://www.ensembl.org/id/WBGene00172341", "WBGene00172341")</f>
        <v>WBGene00172341</v>
      </c>
      <c r="B606" s="9"/>
      <c r="C606" s="9"/>
      <c r="D606" t="str">
        <f>"21ur-15024"</f>
        <v>21ur-15024</v>
      </c>
      <c r="F606" t="s">
        <v>3161</v>
      </c>
      <c r="H606" s="12">
        <v>-4.0926841099580402</v>
      </c>
      <c r="I606" s="11">
        <v>-0.71491915358203595</v>
      </c>
      <c r="J606" s="10">
        <v>0.47465900096380598</v>
      </c>
      <c r="K606" s="29">
        <v>0.98289565623980701</v>
      </c>
    </row>
    <row r="607" spans="1:11" x14ac:dyDescent="0.35">
      <c r="A607" s="9" t="str">
        <f>HYPERLINK("http://www.ensembl.org/id/WBGene00013169", "WBGene00013169")</f>
        <v>WBGene00013169</v>
      </c>
      <c r="B607" s="9" t="str">
        <f>HYPERLINK("http://www.ncbi.nlm.nih.gov/gene/190220", "190220")</f>
        <v>190220</v>
      </c>
      <c r="C607" s="9"/>
      <c r="D607" t="str">
        <f>"Y53F4B.23"</f>
        <v>Y53F4B.23</v>
      </c>
      <c r="F607" t="s">
        <v>11</v>
      </c>
      <c r="H607" s="12">
        <v>-4.0829311960845596</v>
      </c>
      <c r="I607" s="11">
        <v>-1.4612692845798201</v>
      </c>
      <c r="J607" s="10">
        <v>0.14394155566577599</v>
      </c>
      <c r="K607" s="29">
        <v>0.84072638655546295</v>
      </c>
    </row>
    <row r="608" spans="1:11" x14ac:dyDescent="0.35">
      <c r="A608" s="9" t="str">
        <f>HYPERLINK("http://www.ensembl.org/id/WBGene00009600", "WBGene00009600")</f>
        <v>WBGene00009600</v>
      </c>
      <c r="B608" s="9" t="str">
        <f>HYPERLINK("http://www.ncbi.nlm.nih.gov/gene/185565", "185565")</f>
        <v>185565</v>
      </c>
      <c r="C608" s="9"/>
      <c r="D608" t="str">
        <f>"F40G12.5"</f>
        <v>F40G12.5</v>
      </c>
      <c r="F608" t="s">
        <v>11</v>
      </c>
      <c r="H608" s="12">
        <v>-4.0826369056459404</v>
      </c>
      <c r="I608" s="11">
        <v>-1.4249788383906301</v>
      </c>
      <c r="J608" s="10">
        <v>0.15416331827606999</v>
      </c>
      <c r="K608" s="29">
        <v>0.861867319643567</v>
      </c>
    </row>
    <row r="609" spans="1:11" x14ac:dyDescent="0.35">
      <c r="A609" s="9" t="str">
        <f>HYPERLINK("http://www.ensembl.org/id/WBGene00219369", "WBGene00219369")</f>
        <v>WBGene00219369</v>
      </c>
      <c r="B609" s="9" t="str">
        <f>HYPERLINK("http://www.ncbi.nlm.nih.gov/gene/13220270", "13220270")</f>
        <v>13220270</v>
      </c>
      <c r="C609" s="9"/>
      <c r="D609" t="str">
        <f>"R160.10"</f>
        <v>R160.10</v>
      </c>
      <c r="F609" t="s">
        <v>11</v>
      </c>
      <c r="G609" t="s">
        <v>25</v>
      </c>
      <c r="H609" s="12">
        <v>-4.0735804569601797</v>
      </c>
      <c r="I609" s="11">
        <v>-2.2770129635985801</v>
      </c>
      <c r="J609" s="10">
        <v>2.2785451497399901E-2</v>
      </c>
      <c r="K609" s="29">
        <v>0.32720984605277897</v>
      </c>
    </row>
    <row r="610" spans="1:11" x14ac:dyDescent="0.35">
      <c r="A610" s="9" t="str">
        <f>HYPERLINK("http://www.ensembl.org/id/WBGene00219621", "WBGene00219621")</f>
        <v>WBGene00219621</v>
      </c>
      <c r="B610" s="9"/>
      <c r="C610" s="9"/>
      <c r="D610" t="str">
        <f>"anr-46"</f>
        <v>anr-46</v>
      </c>
      <c r="F610" t="s">
        <v>2735</v>
      </c>
      <c r="H610" s="12">
        <v>-4.0507796894090404</v>
      </c>
      <c r="I610" s="11">
        <v>-0.473517207271621</v>
      </c>
      <c r="J610" s="10">
        <v>0.63584422757043702</v>
      </c>
      <c r="K610" s="29">
        <v>0.98289565623980701</v>
      </c>
    </row>
    <row r="611" spans="1:11" x14ac:dyDescent="0.35">
      <c r="A611" s="9" t="str">
        <f>HYPERLINK("http://www.ensembl.org/id/WBGene00013909", "WBGene00013909")</f>
        <v>WBGene00013909</v>
      </c>
      <c r="B611" s="9" t="str">
        <f>HYPERLINK("http://www.ncbi.nlm.nih.gov/gene/191177", "191177")</f>
        <v>191177</v>
      </c>
      <c r="C611" s="9"/>
      <c r="D611" t="str">
        <f>"srbc-44"</f>
        <v>srbc-44</v>
      </c>
      <c r="E611" t="s">
        <v>3034</v>
      </c>
      <c r="F611" t="s">
        <v>11</v>
      </c>
      <c r="G611" t="s">
        <v>25</v>
      </c>
      <c r="H611" s="12">
        <v>-4.0507796894090404</v>
      </c>
      <c r="I611" s="11">
        <v>-0.473517207271621</v>
      </c>
      <c r="J611" s="10">
        <v>0.63584422757043702</v>
      </c>
      <c r="K611" s="29">
        <v>0.98289565623980701</v>
      </c>
    </row>
    <row r="612" spans="1:11" x14ac:dyDescent="0.35">
      <c r="A612" s="9" t="str">
        <f>HYPERLINK("http://www.ensembl.org/id/WBGene00005965", "WBGene00005965")</f>
        <v>WBGene00005965</v>
      </c>
      <c r="B612" s="9" t="str">
        <f>HYPERLINK("http://www.ncbi.nlm.nih.gov/gene/185628", "185628")</f>
        <v>185628</v>
      </c>
      <c r="C612" s="9"/>
      <c r="D612" t="str">
        <f>"srx-74"</f>
        <v>srx-74</v>
      </c>
      <c r="E612" t="s">
        <v>1477</v>
      </c>
      <c r="F612" t="s">
        <v>11</v>
      </c>
      <c r="H612" s="12">
        <v>-4.0507796894090404</v>
      </c>
      <c r="I612" s="11">
        <v>-0.473517207271621</v>
      </c>
      <c r="J612" s="10">
        <v>0.63584422757043702</v>
      </c>
      <c r="K612" s="29">
        <v>0.98289565623980701</v>
      </c>
    </row>
    <row r="613" spans="1:11" x14ac:dyDescent="0.35">
      <c r="A613" s="9" t="str">
        <f>HYPERLINK("http://www.ensembl.org/id/WBGene00014500", "WBGene00014500")</f>
        <v>WBGene00014500</v>
      </c>
      <c r="B613" s="9"/>
      <c r="C613" s="9"/>
      <c r="D613" t="str">
        <f>"T04D3.t1"</f>
        <v>T04D3.t1</v>
      </c>
      <c r="F613" t="s">
        <v>4208</v>
      </c>
      <c r="H613" s="12">
        <v>-4.0507796894090404</v>
      </c>
      <c r="I613" s="11">
        <v>-0.473517207271621</v>
      </c>
      <c r="J613" s="10">
        <v>0.63584422757043702</v>
      </c>
      <c r="K613" s="29">
        <v>0.98289565623980701</v>
      </c>
    </row>
    <row r="614" spans="1:11" x14ac:dyDescent="0.35">
      <c r="A614" s="9" t="str">
        <f>HYPERLINK("http://www.ensembl.org/id/WBGene00269438", "WBGene00269438")</f>
        <v>WBGene00269438</v>
      </c>
      <c r="B614" s="9" t="str">
        <f>HYPERLINK("http://www.ncbi.nlm.nih.gov/gene/28661661", "28661661")</f>
        <v>28661661</v>
      </c>
      <c r="C614" s="9"/>
      <c r="D614" t="str">
        <f>"Y56A3A.41"</f>
        <v>Y56A3A.41</v>
      </c>
      <c r="F614" t="s">
        <v>11</v>
      </c>
      <c r="G614" t="s">
        <v>91</v>
      </c>
      <c r="H614" s="12">
        <v>-4.0507796894090404</v>
      </c>
      <c r="I614" s="11">
        <v>-0.473517207271621</v>
      </c>
      <c r="J614" s="10">
        <v>0.63584422757043702</v>
      </c>
      <c r="K614" s="29">
        <v>0.98289565623980701</v>
      </c>
    </row>
    <row r="615" spans="1:11" x14ac:dyDescent="0.35">
      <c r="A615" s="9" t="str">
        <f>HYPERLINK("http://www.ensembl.org/id/WBGene00021176", "WBGene00021176")</f>
        <v>WBGene00021176</v>
      </c>
      <c r="B615" s="9" t="str">
        <f>HYPERLINK("http://www.ncbi.nlm.nih.gov/gene/189407", "189407")</f>
        <v>189407</v>
      </c>
      <c r="C615" s="9"/>
      <c r="D615" t="str">
        <f>"Y9C9A.1"</f>
        <v>Y9C9A.1</v>
      </c>
      <c r="F615" t="s">
        <v>11</v>
      </c>
      <c r="G615" t="s">
        <v>63</v>
      </c>
      <c r="H615" s="12">
        <v>-4.0424022809592701</v>
      </c>
      <c r="I615" s="11">
        <v>-1.25086494646492</v>
      </c>
      <c r="J615" s="10">
        <v>0.210983754757197</v>
      </c>
      <c r="K615" s="29">
        <v>0.96246021687838901</v>
      </c>
    </row>
    <row r="616" spans="1:11" x14ac:dyDescent="0.35">
      <c r="A616" s="9" t="str">
        <f>HYPERLINK("http://www.ensembl.org/id/WBGene00015597", "WBGene00015597")</f>
        <v>WBGene00015597</v>
      </c>
      <c r="B616" s="9"/>
      <c r="C616" s="9"/>
      <c r="D616" t="str">
        <f>"fbxa-162"</f>
        <v>fbxa-162</v>
      </c>
      <c r="F616" t="s">
        <v>80</v>
      </c>
      <c r="H616" s="12">
        <v>-4.0374845574401901</v>
      </c>
      <c r="I616" s="11">
        <v>-2.9270065652171602</v>
      </c>
      <c r="J616" s="10">
        <v>3.4224165614906801E-3</v>
      </c>
      <c r="K616" s="29">
        <v>9.3917288681476904E-2</v>
      </c>
    </row>
    <row r="617" spans="1:11" x14ac:dyDescent="0.35">
      <c r="A617" s="9" t="str">
        <f>HYPERLINK("http://www.ensembl.org/id/WBGene00185006", "WBGene00185006")</f>
        <v>WBGene00185006</v>
      </c>
      <c r="B617" s="9" t="str">
        <f>HYPERLINK("http://www.ncbi.nlm.nih.gov/gene/13190661", "13190661")</f>
        <v>13190661</v>
      </c>
      <c r="C617" s="9"/>
      <c r="D617" t="str">
        <f>"F59B2.15"</f>
        <v>F59B2.15</v>
      </c>
      <c r="F617" t="s">
        <v>11</v>
      </c>
      <c r="H617" s="12">
        <v>-4.0327589793154797</v>
      </c>
      <c r="I617" s="11">
        <v>-0.545222771691388</v>
      </c>
      <c r="J617" s="10">
        <v>0.58560031169511395</v>
      </c>
      <c r="K617" s="29">
        <v>0.98289565623980701</v>
      </c>
    </row>
    <row r="618" spans="1:11" x14ac:dyDescent="0.35">
      <c r="A618" s="9" t="str">
        <f>HYPERLINK("http://www.ensembl.org/id/WBGene00219793", "WBGene00219793")</f>
        <v>WBGene00219793</v>
      </c>
      <c r="B618" s="9"/>
      <c r="C618" s="9"/>
      <c r="D618" t="str">
        <f>"C01F6.15"</f>
        <v>C01F6.15</v>
      </c>
      <c r="F618" t="s">
        <v>481</v>
      </c>
      <c r="H618" s="12">
        <v>-4.0271644433061304</v>
      </c>
      <c r="I618" s="11">
        <v>-0.47804524091721101</v>
      </c>
      <c r="J618" s="10">
        <v>0.63261800531855095</v>
      </c>
      <c r="K618" s="29">
        <v>0.98289565623980701</v>
      </c>
    </row>
    <row r="619" spans="1:11" x14ac:dyDescent="0.35">
      <c r="A619" s="9" t="str">
        <f>HYPERLINK("http://www.ensembl.org/id/WBGene00198423", "WBGene00198423")</f>
        <v>WBGene00198423</v>
      </c>
      <c r="B619" s="9"/>
      <c r="C619" s="9"/>
      <c r="D619" t="str">
        <f>"F26E4.17"</f>
        <v>F26E4.17</v>
      </c>
      <c r="F619" t="s">
        <v>481</v>
      </c>
      <c r="H619" s="12">
        <v>-4.0271644433061304</v>
      </c>
      <c r="I619" s="11">
        <v>-0.47804524091721101</v>
      </c>
      <c r="J619" s="10">
        <v>0.63261800531855095</v>
      </c>
      <c r="K619" s="29">
        <v>0.98289565623980701</v>
      </c>
    </row>
    <row r="620" spans="1:11" x14ac:dyDescent="0.35">
      <c r="A620" s="9" t="str">
        <f>HYPERLINK("http://www.ensembl.org/id/WBGene00017500", "WBGene00017500")</f>
        <v>WBGene00017500</v>
      </c>
      <c r="B620" s="9" t="str">
        <f>HYPERLINK("http://www.ncbi.nlm.nih.gov/gene/178710", "178710")</f>
        <v>178710</v>
      </c>
      <c r="C620" s="9"/>
      <c r="D620" t="str">
        <f>"pud-2.2"</f>
        <v>pud-2.2</v>
      </c>
      <c r="E620" t="s">
        <v>4437</v>
      </c>
      <c r="F620" t="s">
        <v>11</v>
      </c>
      <c r="H620" s="12">
        <v>-4.0271644433061304</v>
      </c>
      <c r="I620" s="11">
        <v>-0.47804524091721101</v>
      </c>
      <c r="J620" s="10">
        <v>0.63261800531855095</v>
      </c>
      <c r="K620" s="29">
        <v>0.98289565623980701</v>
      </c>
    </row>
    <row r="621" spans="1:11" x14ac:dyDescent="0.35">
      <c r="A621" s="9" t="str">
        <f>HYPERLINK("http://www.ensembl.org/id/WBGene00044935", "WBGene00044935")</f>
        <v>WBGene00044935</v>
      </c>
      <c r="B621" s="9"/>
      <c r="C621" s="9"/>
      <c r="D621" t="str">
        <f>"T08B2.13"</f>
        <v>T08B2.13</v>
      </c>
      <c r="F621" t="s">
        <v>2977</v>
      </c>
      <c r="H621" s="12">
        <v>-4.0271644433061304</v>
      </c>
      <c r="I621" s="11">
        <v>-0.47804524091721101</v>
      </c>
      <c r="J621" s="10">
        <v>0.63261800531855095</v>
      </c>
      <c r="K621" s="29">
        <v>0.98289565623980701</v>
      </c>
    </row>
    <row r="622" spans="1:11" x14ac:dyDescent="0.35">
      <c r="A622" s="9" t="str">
        <f>HYPERLINK("http://www.ensembl.org/id/WBGene00021338", "WBGene00021338")</f>
        <v>WBGene00021338</v>
      </c>
      <c r="B622" s="9" t="str">
        <f>HYPERLINK("http://www.ncbi.nlm.nih.gov/gene/189592", "189592")</f>
        <v>189592</v>
      </c>
      <c r="C622" s="9"/>
      <c r="D622" t="str">
        <f>"Y34F4.3"</f>
        <v>Y34F4.3</v>
      </c>
      <c r="F622" t="s">
        <v>11</v>
      </c>
      <c r="G622" t="s">
        <v>4604</v>
      </c>
      <c r="H622" s="12">
        <v>-4.0271644433061304</v>
      </c>
      <c r="I622" s="11">
        <v>-0.47804524091721101</v>
      </c>
      <c r="J622" s="10">
        <v>0.63261800531855095</v>
      </c>
      <c r="K622" s="29">
        <v>0.98289565623980701</v>
      </c>
    </row>
    <row r="623" spans="1:11" x14ac:dyDescent="0.35">
      <c r="A623" s="9" t="str">
        <f>HYPERLINK("http://www.ensembl.org/id/WBGene00019738", "WBGene00019738")</f>
        <v>WBGene00019738</v>
      </c>
      <c r="B623" s="9" t="str">
        <f>HYPERLINK("http://www.ncbi.nlm.nih.gov/gene/180590", "180590")</f>
        <v>180590</v>
      </c>
      <c r="C623" s="9"/>
      <c r="D623" t="str">
        <f>"clec-265"</f>
        <v>clec-265</v>
      </c>
      <c r="E623" t="s">
        <v>46</v>
      </c>
      <c r="F623" t="s">
        <v>11</v>
      </c>
      <c r="G623" t="s">
        <v>47</v>
      </c>
      <c r="H623" s="12">
        <v>-4.0195396523433002</v>
      </c>
      <c r="I623" s="11">
        <v>-2.0635473618155999</v>
      </c>
      <c r="J623" s="10">
        <v>3.9060652828120199E-2</v>
      </c>
      <c r="K623" s="29">
        <v>0.45582598194270002</v>
      </c>
    </row>
    <row r="624" spans="1:11" x14ac:dyDescent="0.35">
      <c r="A624" s="9" t="str">
        <f>HYPERLINK("http://www.ensembl.org/id/WBGene00045362", "WBGene00045362")</f>
        <v>WBGene00045362</v>
      </c>
      <c r="B624" s="9" t="str">
        <f>HYPERLINK("http://www.ncbi.nlm.nih.gov/gene/6418721", "6418721")</f>
        <v>6418721</v>
      </c>
      <c r="C624" s="9"/>
      <c r="D624" t="str">
        <f>"F11D11.12"</f>
        <v>F11D11.12</v>
      </c>
      <c r="F624" t="s">
        <v>11</v>
      </c>
      <c r="H624" s="12">
        <v>-4.0189630156007201</v>
      </c>
      <c r="I624" s="11">
        <v>-0.60390139752616501</v>
      </c>
      <c r="J624" s="10">
        <v>0.54590919961613804</v>
      </c>
      <c r="K624" s="29">
        <v>0.98289565623980701</v>
      </c>
    </row>
    <row r="625" spans="1:11" x14ac:dyDescent="0.35">
      <c r="A625" s="9" t="str">
        <f>HYPERLINK("http://www.ensembl.org/id/WBGene00013380", "WBGene00013380")</f>
        <v>WBGene00013380</v>
      </c>
      <c r="B625" s="9" t="str">
        <f>HYPERLINK("http://www.ncbi.nlm.nih.gov/gene/178305", "178305")</f>
        <v>178305</v>
      </c>
      <c r="C625" s="9"/>
      <c r="D625" t="str">
        <f>"memi-2"</f>
        <v>memi-2</v>
      </c>
      <c r="E625" t="s">
        <v>108</v>
      </c>
      <c r="F625" t="s">
        <v>11</v>
      </c>
      <c r="H625" s="12">
        <v>-4.0170756446665301</v>
      </c>
      <c r="I625" s="11">
        <v>-4.9939041631538501</v>
      </c>
      <c r="J625" s="10">
        <v>5.9170768274372797E-7</v>
      </c>
      <c r="K625" s="29">
        <v>1.02796975319373E-4</v>
      </c>
    </row>
    <row r="626" spans="1:11" x14ac:dyDescent="0.35">
      <c r="A626" s="9" t="str">
        <f>HYPERLINK("http://www.ensembl.org/id/WBGene00011521", "WBGene00011521")</f>
        <v>WBGene00011521</v>
      </c>
      <c r="B626" s="9" t="str">
        <f>HYPERLINK("http://www.ncbi.nlm.nih.gov/gene/188173", "188173")</f>
        <v>188173</v>
      </c>
      <c r="C626" s="9"/>
      <c r="D626" t="str">
        <f>"T06C12.14"</f>
        <v>T06C12.14</v>
      </c>
      <c r="F626" t="s">
        <v>11</v>
      </c>
      <c r="H626" s="12">
        <v>-4.0170379864805099</v>
      </c>
      <c r="I626" s="11">
        <v>-0.72945207703109505</v>
      </c>
      <c r="J626" s="10">
        <v>0.46572517213112102</v>
      </c>
      <c r="K626" s="29">
        <v>0.98289565623980701</v>
      </c>
    </row>
    <row r="627" spans="1:11" x14ac:dyDescent="0.35">
      <c r="A627" s="9" t="str">
        <f>HYPERLINK("http://www.ensembl.org/id/WBGene00001606", "WBGene00001606")</f>
        <v>WBGene00001606</v>
      </c>
      <c r="B627" s="9" t="str">
        <f>HYPERLINK("http://www.ncbi.nlm.nih.gov/gene/178505", "178505")</f>
        <v>178505</v>
      </c>
      <c r="C627" s="9"/>
      <c r="D627" t="str">
        <f>"gln-5"</f>
        <v>gln-5</v>
      </c>
      <c r="E627" t="s">
        <v>42</v>
      </c>
      <c r="F627" t="s">
        <v>11</v>
      </c>
      <c r="G627" t="s">
        <v>43</v>
      </c>
      <c r="H627" s="12">
        <v>-4.0067518110120997</v>
      </c>
      <c r="I627" s="11">
        <v>-6.43428091412106</v>
      </c>
      <c r="J627" s="10">
        <v>1.2405923498458599E-10</v>
      </c>
      <c r="K627" s="29">
        <v>1.3650060397875401E-7</v>
      </c>
    </row>
    <row r="628" spans="1:11" x14ac:dyDescent="0.35">
      <c r="A628" s="9" t="str">
        <f>HYPERLINK("http://www.ensembl.org/id/WBGene00001921", "WBGene00001921")</f>
        <v>WBGene00001921</v>
      </c>
      <c r="B628" s="9" t="str">
        <f>HYPERLINK("http://www.ncbi.nlm.nih.gov/gene/178048", "178048")</f>
        <v>178048</v>
      </c>
      <c r="C628" s="9" t="str">
        <f>HYPERLINK("http://www.ncbi.nlm.nih.gov/gene/8338", "8338")</f>
        <v>8338</v>
      </c>
      <c r="D628" t="str">
        <f>"his-47"</f>
        <v>his-47</v>
      </c>
      <c r="E628" t="s">
        <v>1912</v>
      </c>
      <c r="F628" t="s">
        <v>11</v>
      </c>
      <c r="G628" t="s">
        <v>232</v>
      </c>
      <c r="H628" s="12">
        <v>-4.0028090009020003</v>
      </c>
      <c r="I628" s="11">
        <v>-0.64690540822216303</v>
      </c>
      <c r="J628" s="10">
        <v>0.51769316539625299</v>
      </c>
      <c r="K628" s="29">
        <v>0.98289565623980701</v>
      </c>
    </row>
    <row r="629" spans="1:11" x14ac:dyDescent="0.35">
      <c r="A629" s="9" t="str">
        <f>HYPERLINK("http://www.ensembl.org/id/WBGene00004044", "WBGene00004044")</f>
        <v>WBGene00004044</v>
      </c>
      <c r="B629" s="9" t="str">
        <f>HYPERLINK("http://www.ncbi.nlm.nih.gov/gene/266900", "266900")</f>
        <v>266900</v>
      </c>
      <c r="C629" s="9"/>
      <c r="D629" t="str">
        <f>"plk-3"</f>
        <v>plk-3</v>
      </c>
      <c r="E629" t="s">
        <v>85</v>
      </c>
      <c r="F629" t="s">
        <v>11</v>
      </c>
      <c r="G629" t="s">
        <v>86</v>
      </c>
      <c r="H629" s="12">
        <v>-3.9979875743412499</v>
      </c>
      <c r="I629" s="11">
        <v>-5.7046188635671804</v>
      </c>
      <c r="J629" s="10">
        <v>1.16603701791426E-8</v>
      </c>
      <c r="K629" s="29">
        <v>4.2765795771312399E-6</v>
      </c>
    </row>
    <row r="630" spans="1:11" x14ac:dyDescent="0.35">
      <c r="A630" s="9" t="str">
        <f>HYPERLINK("http://www.ensembl.org/id/WBGene00022872", "WBGene00022872")</f>
        <v>WBGene00022872</v>
      </c>
      <c r="B630" s="9" t="str">
        <f>HYPERLINK("http://www.ncbi.nlm.nih.gov/gene/191542", "191542")</f>
        <v>191542</v>
      </c>
      <c r="C630" s="9"/>
      <c r="D630" t="str">
        <f>"ZK1240.8"</f>
        <v>ZK1240.8</v>
      </c>
      <c r="F630" t="s">
        <v>11</v>
      </c>
      <c r="G630" t="s">
        <v>3465</v>
      </c>
      <c r="H630" s="12">
        <v>-3.9928572241818001</v>
      </c>
      <c r="I630" s="11">
        <v>-0.80032870023820002</v>
      </c>
      <c r="J630" s="10">
        <v>0.42352037884274402</v>
      </c>
      <c r="K630" s="29">
        <v>0.98289565623980701</v>
      </c>
    </row>
    <row r="631" spans="1:11" x14ac:dyDescent="0.35">
      <c r="A631" s="9" t="str">
        <f>HYPERLINK("http://www.ensembl.org/id/WBGene00009941", "WBGene00009941")</f>
        <v>WBGene00009941</v>
      </c>
      <c r="B631" s="9" t="str">
        <f>HYPERLINK("http://www.ncbi.nlm.nih.gov/gene/3565542", "3565542")</f>
        <v>3565542</v>
      </c>
      <c r="C631" s="9"/>
      <c r="D631" t="str">
        <f>"F52F12.8"</f>
        <v>F52F12.8</v>
      </c>
      <c r="E631" t="s">
        <v>899</v>
      </c>
      <c r="F631" t="s">
        <v>11</v>
      </c>
      <c r="G631" t="s">
        <v>3403</v>
      </c>
      <c r="H631" s="12">
        <v>-3.9682544721440101</v>
      </c>
      <c r="I631" s="11">
        <v>-0.72416280169996095</v>
      </c>
      <c r="J631" s="10">
        <v>0.46896579261398802</v>
      </c>
      <c r="K631" s="29">
        <v>0.98289565623980701</v>
      </c>
    </row>
    <row r="632" spans="1:11" x14ac:dyDescent="0.35">
      <c r="A632" s="9" t="str">
        <f>HYPERLINK("http://www.ensembl.org/id/WBGene00020121", "WBGene00020121")</f>
        <v>WBGene00020121</v>
      </c>
      <c r="B632" s="9" t="str">
        <f>HYPERLINK("http://www.ncbi.nlm.nih.gov/gene/187913", "187913")</f>
        <v>187913</v>
      </c>
      <c r="C632" s="9"/>
      <c r="D632" t="str">
        <f>"R160.4"</f>
        <v>R160.4</v>
      </c>
      <c r="F632" t="s">
        <v>11</v>
      </c>
      <c r="G632" t="s">
        <v>25</v>
      </c>
      <c r="H632" s="12">
        <v>-3.96746849569629</v>
      </c>
      <c r="I632" s="11">
        <v>-1.78586823568214</v>
      </c>
      <c r="J632" s="10">
        <v>7.4120595147334295E-2</v>
      </c>
      <c r="K632" s="29">
        <v>0.64167496121180401</v>
      </c>
    </row>
    <row r="633" spans="1:11" x14ac:dyDescent="0.35">
      <c r="A633" s="9" t="str">
        <f>HYPERLINK("http://www.ensembl.org/id/WBGene00009765", "WBGene00009765")</f>
        <v>WBGene00009765</v>
      </c>
      <c r="B633" s="9" t="str">
        <f>HYPERLINK("http://www.ncbi.nlm.nih.gov/gene/185836", "185836")</f>
        <v>185836</v>
      </c>
      <c r="C633" s="9"/>
      <c r="D633" t="str">
        <f>"F46B3.14"</f>
        <v>F46B3.14</v>
      </c>
      <c r="F633" t="s">
        <v>11</v>
      </c>
      <c r="H633" s="12">
        <v>-3.9653278589083998</v>
      </c>
      <c r="I633" s="11">
        <v>-0.61774180058706296</v>
      </c>
      <c r="J633" s="10">
        <v>0.53674555298327897</v>
      </c>
      <c r="K633" s="29">
        <v>0.98289565623980701</v>
      </c>
    </row>
    <row r="634" spans="1:11" x14ac:dyDescent="0.35">
      <c r="A634" s="9" t="str">
        <f>HYPERLINK("http://www.ensembl.org/id/WBGene00021035", "WBGene00021035")</f>
        <v>WBGene00021035</v>
      </c>
      <c r="B634" s="9" t="str">
        <f>HYPERLINK("http://www.ncbi.nlm.nih.gov/gene/171908", "171908")</f>
        <v>171908</v>
      </c>
      <c r="C634" s="9"/>
      <c r="D634" t="str">
        <f>"W05F2.3"</f>
        <v>W05F2.3</v>
      </c>
      <c r="F634" t="s">
        <v>11</v>
      </c>
      <c r="G634" t="s">
        <v>25</v>
      </c>
      <c r="H634" s="12">
        <v>-3.9649921556431802</v>
      </c>
      <c r="I634" s="11">
        <v>-6.2587207814478303</v>
      </c>
      <c r="J634" s="10">
        <v>3.8814810214707499E-10</v>
      </c>
      <c r="K634" s="29">
        <v>2.6378088377089201E-7</v>
      </c>
    </row>
    <row r="635" spans="1:11" x14ac:dyDescent="0.35">
      <c r="A635" s="9" t="str">
        <f>HYPERLINK("http://www.ensembl.org/id/WBGene00269436", "WBGene00269436")</f>
        <v>WBGene00269436</v>
      </c>
      <c r="B635" s="9"/>
      <c r="C635" s="9"/>
      <c r="D635" t="str">
        <f>"F13A2.14"</f>
        <v>F13A2.14</v>
      </c>
      <c r="F635" t="s">
        <v>80</v>
      </c>
      <c r="H635" s="12">
        <v>-3.9513749210412099</v>
      </c>
      <c r="I635" s="11">
        <v>-0.83831322628020699</v>
      </c>
      <c r="J635" s="10">
        <v>0.40185480954781599</v>
      </c>
      <c r="K635" s="29">
        <v>0.98289565623980701</v>
      </c>
    </row>
    <row r="636" spans="1:11" x14ac:dyDescent="0.35">
      <c r="A636" s="9" t="str">
        <f>HYPERLINK("http://www.ensembl.org/id/WBGene00044160", "WBGene00044160")</f>
        <v>WBGene00044160</v>
      </c>
      <c r="B636" s="9" t="str">
        <f>HYPERLINK("http://www.ncbi.nlm.nih.gov/gene/3565851", "3565851")</f>
        <v>3565851</v>
      </c>
      <c r="C636" s="9"/>
      <c r="D636" t="str">
        <f>"W10C6.2"</f>
        <v>W10C6.2</v>
      </c>
      <c r="F636" t="s">
        <v>11</v>
      </c>
      <c r="H636" s="12">
        <v>-3.9236464644680402</v>
      </c>
      <c r="I636" s="11">
        <v>-0.68021283334562699</v>
      </c>
      <c r="J636" s="10">
        <v>0.49636970760409299</v>
      </c>
      <c r="K636" s="29">
        <v>0.98289565623980701</v>
      </c>
    </row>
    <row r="637" spans="1:11" x14ac:dyDescent="0.35">
      <c r="A637" s="9" t="str">
        <f>HYPERLINK("http://www.ensembl.org/id/WBGene00011786", "WBGene00011786")</f>
        <v>WBGene00011786</v>
      </c>
      <c r="B637" s="9" t="str">
        <f>HYPERLINK("http://www.ncbi.nlm.nih.gov/gene/173110", "173110")</f>
        <v>173110</v>
      </c>
      <c r="C637" s="9"/>
      <c r="D637" t="str">
        <f>"T15D6.12"</f>
        <v>T15D6.12</v>
      </c>
      <c r="F637" t="s">
        <v>11</v>
      </c>
      <c r="G637" t="s">
        <v>1212</v>
      </c>
      <c r="H637" s="12">
        <v>-3.9183767374742202</v>
      </c>
      <c r="I637" s="11">
        <v>-1.2274916377905201</v>
      </c>
      <c r="J637" s="10">
        <v>0.219637862867338</v>
      </c>
      <c r="K637" s="29">
        <v>0.97176896482508002</v>
      </c>
    </row>
    <row r="638" spans="1:11" x14ac:dyDescent="0.35">
      <c r="A638" s="9" t="str">
        <f>HYPERLINK("http://www.ensembl.org/id/WBGene00008295", "WBGene00008295")</f>
        <v>WBGene00008295</v>
      </c>
      <c r="B638" s="9" t="str">
        <f>HYPERLINK("http://www.ncbi.nlm.nih.gov/gene/183774", "183774")</f>
        <v>183774</v>
      </c>
      <c r="C638" s="9"/>
      <c r="D638" t="str">
        <f>"nlp-39"</f>
        <v>nlp-39</v>
      </c>
      <c r="E638" t="s">
        <v>76</v>
      </c>
      <c r="F638" t="s">
        <v>11</v>
      </c>
      <c r="G638" t="s">
        <v>77</v>
      </c>
      <c r="H638" s="12">
        <v>-3.8938300483118899</v>
      </c>
      <c r="I638" s="11">
        <v>-5.95837964287111</v>
      </c>
      <c r="J638" s="10">
        <v>2.5475116165927101E-9</v>
      </c>
      <c r="K638" s="29">
        <v>1.1319769887113699E-6</v>
      </c>
    </row>
    <row r="639" spans="1:11" x14ac:dyDescent="0.35">
      <c r="A639" s="9" t="str">
        <f>HYPERLINK("http://www.ensembl.org/id/WBGene00009805", "WBGene00009805")</f>
        <v>WBGene00009805</v>
      </c>
      <c r="B639" s="9" t="str">
        <f>HYPERLINK("http://www.ncbi.nlm.nih.gov/gene/179930", "179930")</f>
        <v>179930</v>
      </c>
      <c r="C639" s="9"/>
      <c r="D639" t="str">
        <f>"F47B8.4"</f>
        <v>F47B8.4</v>
      </c>
      <c r="F639" t="s">
        <v>11</v>
      </c>
      <c r="G639" t="s">
        <v>303</v>
      </c>
      <c r="H639" s="12">
        <v>-3.8929911006051601</v>
      </c>
      <c r="I639" s="11">
        <v>-4.0680090753849596</v>
      </c>
      <c r="J639" s="10">
        <v>4.7416535053274698E-5</v>
      </c>
      <c r="K639" s="29">
        <v>3.6544559524294201E-3</v>
      </c>
    </row>
    <row r="640" spans="1:11" x14ac:dyDescent="0.35">
      <c r="A640" s="9" t="str">
        <f>HYPERLINK("http://www.ensembl.org/id/WBGene00173806", "WBGene00173806")</f>
        <v>WBGene00173806</v>
      </c>
      <c r="B640" s="9"/>
      <c r="C640" s="9"/>
      <c r="D640" t="str">
        <f>"21ur-15410"</f>
        <v>21ur-15410</v>
      </c>
      <c r="F640" t="s">
        <v>3161</v>
      </c>
      <c r="H640" s="12">
        <v>-3.8867061064428001</v>
      </c>
      <c r="I640" s="11">
        <v>-0.67723763971926798</v>
      </c>
      <c r="J640" s="10">
        <v>0.49825518980267602</v>
      </c>
      <c r="K640" s="29">
        <v>0.98289565623980701</v>
      </c>
    </row>
    <row r="641" spans="1:11" x14ac:dyDescent="0.35">
      <c r="A641" s="9" t="str">
        <f>HYPERLINK("http://www.ensembl.org/id/WBGene00018643", "WBGene00018643")</f>
        <v>WBGene00018643</v>
      </c>
      <c r="B641" s="9" t="str">
        <f>HYPERLINK("http://www.ncbi.nlm.nih.gov/gene/177176", "177176")</f>
        <v>177176</v>
      </c>
      <c r="C641" s="9"/>
      <c r="D641" t="str">
        <f>"drd-50"</f>
        <v>drd-50</v>
      </c>
      <c r="E641" t="s">
        <v>3610</v>
      </c>
      <c r="F641" t="s">
        <v>11</v>
      </c>
      <c r="G641" t="s">
        <v>10105</v>
      </c>
      <c r="H641" s="12">
        <v>-3.88516794278459</v>
      </c>
      <c r="I641" s="11">
        <v>-0.59321012057769795</v>
      </c>
      <c r="J641" s="10">
        <v>0.55304054038730399</v>
      </c>
      <c r="K641" s="29">
        <v>0.98289565623980701</v>
      </c>
    </row>
    <row r="642" spans="1:11" x14ac:dyDescent="0.35">
      <c r="A642" s="9" t="str">
        <f>HYPERLINK("http://www.ensembl.org/id/WBGene00009788", "WBGene00009788")</f>
        <v>WBGene00009788</v>
      </c>
      <c r="B642" s="9" t="str">
        <f>HYPERLINK("http://www.ncbi.nlm.nih.gov/gene/185851", "185851")</f>
        <v>185851</v>
      </c>
      <c r="C642" s="9"/>
      <c r="D642" t="str">
        <f>"F46F2.4"</f>
        <v>F46F2.4</v>
      </c>
      <c r="F642" t="s">
        <v>11</v>
      </c>
      <c r="G642" t="s">
        <v>1755</v>
      </c>
      <c r="H642" s="12">
        <v>-3.8641054554098102</v>
      </c>
      <c r="I642" s="11">
        <v>-1.00640253560738</v>
      </c>
      <c r="J642" s="10">
        <v>0.314221974411658</v>
      </c>
      <c r="K642" s="29">
        <v>0.98289565623980701</v>
      </c>
    </row>
    <row r="643" spans="1:11" x14ac:dyDescent="0.35">
      <c r="A643" s="9" t="str">
        <f>HYPERLINK("http://www.ensembl.org/id/WBGene00007149", "WBGene00007149")</f>
        <v>WBGene00007149</v>
      </c>
      <c r="B643" s="9" t="str">
        <f>HYPERLINK("http://www.ncbi.nlm.nih.gov/gene/3565810", "3565810")</f>
        <v>3565810</v>
      </c>
      <c r="C643" s="9"/>
      <c r="D643" t="str">
        <f>"B0334.13"</f>
        <v>B0334.13</v>
      </c>
      <c r="F643" t="s">
        <v>11</v>
      </c>
      <c r="H643" s="12">
        <v>-3.8383032682412801</v>
      </c>
      <c r="I643" s="11">
        <v>-1.0790548367184001</v>
      </c>
      <c r="J643" s="10">
        <v>0.28056328282718301</v>
      </c>
      <c r="K643" s="29">
        <v>0.98289565623980701</v>
      </c>
    </row>
    <row r="644" spans="1:11" x14ac:dyDescent="0.35">
      <c r="A644" s="9" t="str">
        <f>HYPERLINK("http://www.ensembl.org/id/WBGene00012594", "WBGene00012594")</f>
        <v>WBGene00012594</v>
      </c>
      <c r="B644" s="9" t="str">
        <f>HYPERLINK("http://www.ncbi.nlm.nih.gov/gene/189662", "189662")</f>
        <v>189662</v>
      </c>
      <c r="C644" s="9"/>
      <c r="D644" t="str">
        <f>"nspe-5"</f>
        <v>nspe-5</v>
      </c>
      <c r="E644" t="s">
        <v>2921</v>
      </c>
      <c r="F644" t="s">
        <v>11</v>
      </c>
      <c r="H644" s="12">
        <v>-3.8347496925417901</v>
      </c>
      <c r="I644" s="11">
        <v>-1.24988063133022</v>
      </c>
      <c r="J644" s="10">
        <v>0.21134315574366999</v>
      </c>
      <c r="K644" s="29">
        <v>0.96298460986260004</v>
      </c>
    </row>
    <row r="645" spans="1:11" x14ac:dyDescent="0.35">
      <c r="A645" s="9" t="str">
        <f>HYPERLINK("http://www.ensembl.org/id/WBGene00044357", "WBGene00044357")</f>
        <v>WBGene00044357</v>
      </c>
      <c r="B645" s="9" t="str">
        <f>HYPERLINK("http://www.ncbi.nlm.nih.gov/gene/3566000", "3566000")</f>
        <v>3566000</v>
      </c>
      <c r="C645" s="9"/>
      <c r="D645" t="str">
        <f>"nspc-6"</f>
        <v>nspc-6</v>
      </c>
      <c r="E645" t="s">
        <v>4037</v>
      </c>
      <c r="F645" t="s">
        <v>11</v>
      </c>
      <c r="H645" s="12">
        <v>-3.8322143300299398</v>
      </c>
      <c r="I645" s="11">
        <v>-0.99714816294991804</v>
      </c>
      <c r="J645" s="10">
        <v>0.31869259795643001</v>
      </c>
      <c r="K645" s="29">
        <v>0.98289565623980701</v>
      </c>
    </row>
    <row r="646" spans="1:11" x14ac:dyDescent="0.35">
      <c r="A646" s="9" t="str">
        <f>HYPERLINK("http://www.ensembl.org/id/WBGene00022133", "WBGene00022133")</f>
        <v>WBGene00022133</v>
      </c>
      <c r="B646" s="9" t="str">
        <f>HYPERLINK("http://www.ncbi.nlm.nih.gov/gene/190592", "190592")</f>
        <v>190592</v>
      </c>
      <c r="C646" s="9"/>
      <c r="D646" t="str">
        <f>"Y71F9B.15"</f>
        <v>Y71F9B.15</v>
      </c>
      <c r="F646" t="s">
        <v>11</v>
      </c>
      <c r="G646" t="s">
        <v>25</v>
      </c>
      <c r="H646" s="12">
        <v>-3.8300983267381299</v>
      </c>
      <c r="I646" s="11">
        <v>-0.70630527564844603</v>
      </c>
      <c r="J646" s="10">
        <v>0.479998313322821</v>
      </c>
      <c r="K646" s="29">
        <v>0.98289565623980701</v>
      </c>
    </row>
    <row r="647" spans="1:11" x14ac:dyDescent="0.35">
      <c r="A647" s="9" t="str">
        <f>HYPERLINK("http://www.ensembl.org/id/WBGene00009301", "WBGene00009301")</f>
        <v>WBGene00009301</v>
      </c>
      <c r="B647" s="9" t="str">
        <f>HYPERLINK("http://www.ncbi.nlm.nih.gov/gene/185176", "185176")</f>
        <v>185176</v>
      </c>
      <c r="C647" s="9"/>
      <c r="D647" t="str">
        <f>"F31F6.2"</f>
        <v>F31F6.2</v>
      </c>
      <c r="F647" t="s">
        <v>11</v>
      </c>
      <c r="H647" s="12">
        <v>-3.8227077879707001</v>
      </c>
      <c r="I647" s="11">
        <v>-3.1380350453616299</v>
      </c>
      <c r="J647" s="10">
        <v>1.7008453990504499E-3</v>
      </c>
      <c r="K647" s="29">
        <v>5.8568902817376603E-2</v>
      </c>
    </row>
    <row r="648" spans="1:11" x14ac:dyDescent="0.35">
      <c r="A648" s="9" t="str">
        <f>HYPERLINK("http://www.ensembl.org/id/WBGene00007077", "WBGene00007077")</f>
        <v>WBGene00007077</v>
      </c>
      <c r="B648" s="9"/>
      <c r="C648" s="9"/>
      <c r="D648" t="str">
        <f>"AC8.5"</f>
        <v>AC8.5</v>
      </c>
      <c r="F648" t="s">
        <v>80</v>
      </c>
      <c r="H648" s="12">
        <v>-3.81810459918808</v>
      </c>
      <c r="I648" s="11">
        <v>-0.68514388632970502</v>
      </c>
      <c r="J648" s="10">
        <v>0.49325312903641499</v>
      </c>
      <c r="K648" s="29">
        <v>0.98289565623980701</v>
      </c>
    </row>
    <row r="649" spans="1:11" x14ac:dyDescent="0.35">
      <c r="A649" s="9" t="str">
        <f>HYPERLINK("http://www.ensembl.org/id/WBGene00045024", "WBGene00045024")</f>
        <v>WBGene00045024</v>
      </c>
      <c r="B649" s="9" t="str">
        <f>HYPERLINK("http://www.ncbi.nlm.nih.gov/gene/4926926", "4926926")</f>
        <v>4926926</v>
      </c>
      <c r="C649" s="9"/>
      <c r="D649" t="str">
        <f>"C43F9.11"</f>
        <v>C43F9.11</v>
      </c>
      <c r="F649" t="s">
        <v>11</v>
      </c>
      <c r="H649" s="12">
        <v>-3.81538510188137</v>
      </c>
      <c r="I649" s="11">
        <v>-0.63801886283116804</v>
      </c>
      <c r="J649" s="10">
        <v>0.52346140129125696</v>
      </c>
      <c r="K649" s="29">
        <v>0.98289565623980701</v>
      </c>
    </row>
    <row r="650" spans="1:11" x14ac:dyDescent="0.35">
      <c r="A650" s="9" t="str">
        <f>HYPERLINK("http://www.ensembl.org/id/WBGene00047838", "WBGene00047838")</f>
        <v>WBGene00047838</v>
      </c>
      <c r="B650" s="9"/>
      <c r="C650" s="9"/>
      <c r="D650" t="str">
        <f>"21ur-3602"</f>
        <v>21ur-3602</v>
      </c>
      <c r="F650" t="s">
        <v>3161</v>
      </c>
      <c r="H650" s="12">
        <v>-3.8117711228402902</v>
      </c>
      <c r="I650" s="11">
        <v>-0.42004545650932301</v>
      </c>
      <c r="J650" s="10">
        <v>0.67445224688133198</v>
      </c>
      <c r="K650" s="29">
        <v>0.98289565623980701</v>
      </c>
    </row>
    <row r="651" spans="1:11" x14ac:dyDescent="0.35">
      <c r="A651" s="9" t="str">
        <f>HYPERLINK("http://www.ensembl.org/id/WBGene00165855", "WBGene00165855")</f>
        <v>WBGene00165855</v>
      </c>
      <c r="B651" s="9"/>
      <c r="C651" s="9"/>
      <c r="D651" t="str">
        <f>"21ur-9235"</f>
        <v>21ur-9235</v>
      </c>
      <c r="F651" t="s">
        <v>3161</v>
      </c>
      <c r="H651" s="12">
        <v>-3.8117711228402902</v>
      </c>
      <c r="I651" s="11">
        <v>-0.42004545650932301</v>
      </c>
      <c r="J651" s="10">
        <v>0.67445224688133198</v>
      </c>
      <c r="K651" s="29">
        <v>0.98289565623980701</v>
      </c>
    </row>
    <row r="652" spans="1:11" x14ac:dyDescent="0.35">
      <c r="A652" s="9" t="str">
        <f>HYPERLINK("http://www.ensembl.org/id/WBGene00000756", "WBGene00000756")</f>
        <v>WBGene00000756</v>
      </c>
      <c r="B652" s="9" t="str">
        <f>HYPERLINK("http://www.ncbi.nlm.nih.gov/gene/184081", "184081")</f>
        <v>184081</v>
      </c>
      <c r="C652" s="9"/>
      <c r="D652" t="str">
        <f>"col-183"</f>
        <v>col-183</v>
      </c>
      <c r="E652" t="s">
        <v>40</v>
      </c>
      <c r="F652" t="s">
        <v>11</v>
      </c>
      <c r="G652" t="s">
        <v>41</v>
      </c>
      <c r="H652" s="12">
        <v>-3.8117711228402902</v>
      </c>
      <c r="I652" s="11">
        <v>-0.42004545650932301</v>
      </c>
      <c r="J652" s="10">
        <v>0.67445224688133198</v>
      </c>
      <c r="K652" s="29">
        <v>0.98289565623980701</v>
      </c>
    </row>
    <row r="653" spans="1:11" x14ac:dyDescent="0.35">
      <c r="A653" s="9" t="str">
        <f>HYPERLINK("http://www.ensembl.org/id/WBGene00199213", "WBGene00199213")</f>
        <v>WBGene00199213</v>
      </c>
      <c r="B653" s="9"/>
      <c r="C653" s="9"/>
      <c r="D653" t="str">
        <f>"F45H7.11"</f>
        <v>F45H7.11</v>
      </c>
      <c r="F653" t="s">
        <v>481</v>
      </c>
      <c r="H653" s="12">
        <v>-3.8117711228402902</v>
      </c>
      <c r="I653" s="11">
        <v>-0.42004545650932301</v>
      </c>
      <c r="J653" s="10">
        <v>0.67445224688133198</v>
      </c>
      <c r="K653" s="29">
        <v>0.98289565623980701</v>
      </c>
    </row>
    <row r="654" spans="1:11" x14ac:dyDescent="0.35">
      <c r="A654" s="9" t="str">
        <f>HYPERLINK("http://www.ensembl.org/id/WBGene00235335", "WBGene00235335")</f>
        <v>WBGene00235335</v>
      </c>
      <c r="B654" s="9" t="str">
        <f>HYPERLINK("http://www.ncbi.nlm.nih.gov/gene/24104786", "24104786")</f>
        <v>24104786</v>
      </c>
      <c r="C654" s="9"/>
      <c r="D654" t="str">
        <f>"R02D5.24"</f>
        <v>R02D5.24</v>
      </c>
      <c r="F654" t="s">
        <v>11</v>
      </c>
      <c r="H654" s="12">
        <v>-3.8117711228402902</v>
      </c>
      <c r="I654" s="11">
        <v>-0.42004545650932301</v>
      </c>
      <c r="J654" s="10">
        <v>0.67445224688133198</v>
      </c>
      <c r="K654" s="29">
        <v>0.98289565623980701</v>
      </c>
    </row>
    <row r="655" spans="1:11" x14ac:dyDescent="0.35">
      <c r="A655" s="9" t="str">
        <f>HYPERLINK("http://www.ensembl.org/id/WBGene00006239", "WBGene00006239")</f>
        <v>WBGene00006239</v>
      </c>
      <c r="B655" s="9" t="str">
        <f>HYPERLINK("http://www.ncbi.nlm.nih.gov/gene/192029", "192029")</f>
        <v>192029</v>
      </c>
      <c r="C655" s="9"/>
      <c r="D655" t="str">
        <f>"str-206"</f>
        <v>str-206</v>
      </c>
      <c r="E655" t="s">
        <v>590</v>
      </c>
      <c r="F655" t="s">
        <v>11</v>
      </c>
      <c r="G655" t="s">
        <v>591</v>
      </c>
      <c r="H655" s="12">
        <v>-3.8117711228402902</v>
      </c>
      <c r="I655" s="11">
        <v>-0.42004545650932301</v>
      </c>
      <c r="J655" s="10">
        <v>0.67445224688133198</v>
      </c>
      <c r="K655" s="29">
        <v>0.98289565623980701</v>
      </c>
    </row>
    <row r="656" spans="1:11" x14ac:dyDescent="0.35">
      <c r="A656" s="9" t="str">
        <f>HYPERLINK("http://www.ensembl.org/id/WBGene00020989", "WBGene00020989")</f>
        <v>WBGene00020989</v>
      </c>
      <c r="B656" s="9" t="str">
        <f>HYPERLINK("http://www.ncbi.nlm.nih.gov/gene/189157", "189157")</f>
        <v>189157</v>
      </c>
      <c r="C656" s="9"/>
      <c r="D656" t="str">
        <f>"W03D8.8"</f>
        <v>W03D8.8</v>
      </c>
      <c r="F656" t="s">
        <v>11</v>
      </c>
      <c r="G656" t="s">
        <v>1712</v>
      </c>
      <c r="H656" s="12">
        <v>-3.8108242313387599</v>
      </c>
      <c r="I656" s="11">
        <v>-1.7970793996462999</v>
      </c>
      <c r="J656" s="10">
        <v>7.2323015602581003E-2</v>
      </c>
      <c r="K656" s="29">
        <v>0.63251158157200504</v>
      </c>
    </row>
    <row r="657" spans="1:11" x14ac:dyDescent="0.35">
      <c r="A657" s="9" t="str">
        <f>HYPERLINK("http://www.ensembl.org/id/WBGene00004987", "WBGene00004987")</f>
        <v>WBGene00004987</v>
      </c>
      <c r="B657" s="9" t="str">
        <f>HYPERLINK("http://www.ncbi.nlm.nih.gov/gene/259714", "259714")</f>
        <v>259714</v>
      </c>
      <c r="C657" s="9"/>
      <c r="D657" t="str">
        <f>"spp-2"</f>
        <v>spp-2</v>
      </c>
      <c r="E657" t="s">
        <v>62</v>
      </c>
      <c r="F657" t="s">
        <v>11</v>
      </c>
      <c r="G657" t="s">
        <v>84</v>
      </c>
      <c r="H657" s="12">
        <v>-3.8060177970264002</v>
      </c>
      <c r="I657" s="11">
        <v>-5.7099528107288</v>
      </c>
      <c r="J657" s="10">
        <v>1.1300750286863E-8</v>
      </c>
      <c r="K657" s="29">
        <v>4.2115344536815597E-6</v>
      </c>
    </row>
    <row r="658" spans="1:11" x14ac:dyDescent="0.35">
      <c r="A658" s="9" t="str">
        <f>HYPERLINK("http://www.ensembl.org/id/WBGene00077788", "WBGene00077788")</f>
        <v>WBGene00077788</v>
      </c>
      <c r="B658" s="9" t="str">
        <f>HYPERLINK("http://www.ncbi.nlm.nih.gov/gene/7040180", "7040180")</f>
        <v>7040180</v>
      </c>
      <c r="C658" s="9"/>
      <c r="D658" t="str">
        <f>"W07G4.8"</f>
        <v>W07G4.8</v>
      </c>
      <c r="F658" t="s">
        <v>11</v>
      </c>
      <c r="H658" s="12">
        <v>-3.80482477582889</v>
      </c>
      <c r="I658" s="11">
        <v>-1.0939322021169799</v>
      </c>
      <c r="J658" s="10">
        <v>0.27398471421891102</v>
      </c>
      <c r="K658" s="29">
        <v>0.98289565623980701</v>
      </c>
    </row>
    <row r="659" spans="1:11" x14ac:dyDescent="0.35">
      <c r="A659" s="9" t="str">
        <f>HYPERLINK("http://www.ensembl.org/id/WBGene00008595", "WBGene00008595")</f>
        <v>WBGene00008595</v>
      </c>
      <c r="B659" s="9" t="str">
        <f>HYPERLINK("http://www.ncbi.nlm.nih.gov/gene/179953", "179953")</f>
        <v>179953</v>
      </c>
      <c r="C659" s="9"/>
      <c r="D659" t="str">
        <f>"clec-56"</f>
        <v>clec-56</v>
      </c>
      <c r="E659" t="s">
        <v>46</v>
      </c>
      <c r="F659" t="s">
        <v>11</v>
      </c>
      <c r="G659" t="s">
        <v>47</v>
      </c>
      <c r="H659" s="12">
        <v>-3.7967170334891001</v>
      </c>
      <c r="I659" s="11">
        <v>-2.5861729494654799</v>
      </c>
      <c r="J659" s="10">
        <v>9.7048221170510304E-3</v>
      </c>
      <c r="K659" s="29">
        <v>0.191681987927937</v>
      </c>
    </row>
    <row r="660" spans="1:11" x14ac:dyDescent="0.35">
      <c r="A660" s="9" t="str">
        <f>HYPERLINK("http://www.ensembl.org/id/WBGene00195250", "WBGene00195250")</f>
        <v>WBGene00195250</v>
      </c>
      <c r="B660" s="9" t="str">
        <f>HYPERLINK("http://www.ncbi.nlm.nih.gov/gene/13215622", "13215622")</f>
        <v>13215622</v>
      </c>
      <c r="C660" s="9"/>
      <c r="D660" t="str">
        <f>"C13C4.8"</f>
        <v>C13C4.8</v>
      </c>
      <c r="F660" t="s">
        <v>11</v>
      </c>
      <c r="G660" t="s">
        <v>25</v>
      </c>
      <c r="H660" s="12">
        <v>-3.7930494679524802</v>
      </c>
      <c r="I660" s="11">
        <v>-0.76892132222015797</v>
      </c>
      <c r="J660" s="10">
        <v>0.441940018706588</v>
      </c>
      <c r="K660" s="29">
        <v>0.98289565623980701</v>
      </c>
    </row>
    <row r="661" spans="1:11" x14ac:dyDescent="0.35">
      <c r="A661" s="9" t="str">
        <f>HYPERLINK("http://www.ensembl.org/id/WBGene00194660", "WBGene00194660")</f>
        <v>WBGene00194660</v>
      </c>
      <c r="B661" s="9" t="str">
        <f>HYPERLINK("http://www.ncbi.nlm.nih.gov/gene/13182830", "13182830")</f>
        <v>13182830</v>
      </c>
      <c r="C661" s="9"/>
      <c r="D661" t="str">
        <f>"W09C5.12"</f>
        <v>W09C5.12</v>
      </c>
      <c r="F661" t="s">
        <v>11</v>
      </c>
      <c r="H661" s="12">
        <v>-3.7892825534143002</v>
      </c>
      <c r="I661" s="11">
        <v>-0.92947702518832698</v>
      </c>
      <c r="J661" s="10">
        <v>0.35264192634739</v>
      </c>
      <c r="K661" s="29">
        <v>0.98289565623980701</v>
      </c>
    </row>
    <row r="662" spans="1:11" x14ac:dyDescent="0.35">
      <c r="A662" s="9" t="str">
        <f>HYPERLINK("http://www.ensembl.org/id/WBGene00007290", "WBGene00007290")</f>
        <v>WBGene00007290</v>
      </c>
      <c r="B662" s="9" t="str">
        <f>HYPERLINK("http://www.ncbi.nlm.nih.gov/gene/181388", "181388")</f>
        <v>181388</v>
      </c>
      <c r="C662" s="9"/>
      <c r="D662" t="str">
        <f>"C04B4.2"</f>
        <v>C04B4.2</v>
      </c>
      <c r="F662" t="s">
        <v>11</v>
      </c>
      <c r="G662" t="s">
        <v>159</v>
      </c>
      <c r="H662" s="12">
        <v>-3.78891769085556</v>
      </c>
      <c r="I662" s="11">
        <v>-4.9889824752113396</v>
      </c>
      <c r="J662" s="10">
        <v>6.0698152466684603E-7</v>
      </c>
      <c r="K662" s="29">
        <v>1.03888260066312E-4</v>
      </c>
    </row>
    <row r="663" spans="1:11" x14ac:dyDescent="0.35">
      <c r="A663" s="9" t="str">
        <f>HYPERLINK("http://www.ensembl.org/id/WBGene00220009", "WBGene00220009")</f>
        <v>WBGene00220009</v>
      </c>
      <c r="B663" s="9"/>
      <c r="C663" s="9"/>
      <c r="D663" t="str">
        <f>"K07E1.2"</f>
        <v>K07E1.2</v>
      </c>
      <c r="F663" t="s">
        <v>2977</v>
      </c>
      <c r="H663" s="12">
        <v>-3.7888193102315602</v>
      </c>
      <c r="I663" s="11">
        <v>-0.495913385551012</v>
      </c>
      <c r="J663" s="10">
        <v>0.61995552175546398</v>
      </c>
      <c r="K663" s="29">
        <v>0.98289565623980701</v>
      </c>
    </row>
    <row r="664" spans="1:11" x14ac:dyDescent="0.35">
      <c r="A664" s="9" t="str">
        <f>HYPERLINK("http://www.ensembl.org/id/WBGene00013559", "WBGene00013559")</f>
        <v>WBGene00013559</v>
      </c>
      <c r="B664" s="9" t="str">
        <f>HYPERLINK("http://www.ncbi.nlm.nih.gov/gene/190712", "190712")</f>
        <v>190712</v>
      </c>
      <c r="C664" s="9"/>
      <c r="D664" t="str">
        <f>"Y75B8A.28"</f>
        <v>Y75B8A.28</v>
      </c>
      <c r="F664" t="s">
        <v>11</v>
      </c>
      <c r="H664" s="12">
        <v>-3.7840460957327502</v>
      </c>
      <c r="I664" s="11">
        <v>-4.97372445230293</v>
      </c>
      <c r="J664" s="10">
        <v>6.5678648008137296E-7</v>
      </c>
      <c r="K664" s="29">
        <v>1.11586091240884E-4</v>
      </c>
    </row>
    <row r="665" spans="1:11" x14ac:dyDescent="0.35">
      <c r="A665" s="9" t="str">
        <f>HYPERLINK("http://www.ensembl.org/id/WBGene00009086", "WBGene00009086")</f>
        <v>WBGene00009086</v>
      </c>
      <c r="B665" s="9" t="str">
        <f>HYPERLINK("http://www.ncbi.nlm.nih.gov/gene/181542", "181542")</f>
        <v>181542</v>
      </c>
      <c r="C665" s="9"/>
      <c r="D665" t="str">
        <f>"F23D12.2"</f>
        <v>F23D12.2</v>
      </c>
      <c r="F665" t="s">
        <v>11</v>
      </c>
      <c r="H665" s="12">
        <v>-3.7834718028251499</v>
      </c>
      <c r="I665" s="11">
        <v>-3.67607275623353</v>
      </c>
      <c r="J665" s="10">
        <v>2.36851999358995E-4</v>
      </c>
      <c r="K665" s="29">
        <v>1.29145735723109E-2</v>
      </c>
    </row>
    <row r="666" spans="1:11" x14ac:dyDescent="0.35">
      <c r="A666" s="9" t="str">
        <f>HYPERLINK("http://www.ensembl.org/id/WBGene00021625", "WBGene00021625")</f>
        <v>WBGene00021625</v>
      </c>
      <c r="B666" s="9" t="str">
        <f>HYPERLINK("http://www.ncbi.nlm.nih.gov/gene/178841", "178841")</f>
        <v>178841</v>
      </c>
      <c r="C666" s="9"/>
      <c r="D666" t="str">
        <f>"Y47D7A.13"</f>
        <v>Y47D7A.13</v>
      </c>
      <c r="F666" t="s">
        <v>11</v>
      </c>
      <c r="H666" s="12">
        <v>-3.7623886169162</v>
      </c>
      <c r="I666" s="11">
        <v>-4.0529642026895099</v>
      </c>
      <c r="J666" s="10">
        <v>5.0572743225953501E-5</v>
      </c>
      <c r="K666" s="29">
        <v>3.84386120058843E-3</v>
      </c>
    </row>
    <row r="667" spans="1:11" x14ac:dyDescent="0.35">
      <c r="A667" s="9" t="str">
        <f>HYPERLINK("http://www.ensembl.org/id/WBGene00010353", "WBGene00010353")</f>
        <v>WBGene00010353</v>
      </c>
      <c r="B667" s="9" t="str">
        <f>HYPERLINK("http://www.ncbi.nlm.nih.gov/gene/178064", "178064")</f>
        <v>178064</v>
      </c>
      <c r="C667" s="9"/>
      <c r="D667" t="str">
        <f>"memi-3"</f>
        <v>memi-3</v>
      </c>
      <c r="E667" t="s">
        <v>108</v>
      </c>
      <c r="F667" t="s">
        <v>11</v>
      </c>
      <c r="H667" s="12">
        <v>-3.75674431751239</v>
      </c>
      <c r="I667" s="11">
        <v>-5.4942746874919903</v>
      </c>
      <c r="J667" s="10">
        <v>3.9231944615718102E-8</v>
      </c>
      <c r="K667" s="29">
        <v>1.09216061721781E-5</v>
      </c>
    </row>
    <row r="668" spans="1:11" x14ac:dyDescent="0.35">
      <c r="A668" s="9" t="str">
        <f>HYPERLINK("http://www.ensembl.org/id/WBGene00009852", "WBGene00009852")</f>
        <v>WBGene00009852</v>
      </c>
      <c r="B668" s="9" t="str">
        <f>HYPERLINK("http://www.ncbi.nlm.nih.gov/gene/185991", "185991")</f>
        <v>185991</v>
      </c>
      <c r="C668" s="9"/>
      <c r="D668" t="str">
        <f>"arrd-24"</f>
        <v>arrd-24</v>
      </c>
      <c r="E668" t="s">
        <v>377</v>
      </c>
      <c r="F668" t="s">
        <v>11</v>
      </c>
      <c r="G668" t="s">
        <v>7902</v>
      </c>
      <c r="H668" s="12">
        <v>-3.75225974946059</v>
      </c>
      <c r="I668" s="11">
        <v>-1.0672023147070799</v>
      </c>
      <c r="J668" s="10">
        <v>0.28588048755213202</v>
      </c>
      <c r="K668" s="29">
        <v>0.98289565623980701</v>
      </c>
    </row>
    <row r="669" spans="1:11" x14ac:dyDescent="0.35">
      <c r="A669" s="9" t="str">
        <f>HYPERLINK("http://www.ensembl.org/id/WBGene00012101", "WBGene00012101")</f>
        <v>WBGene00012101</v>
      </c>
      <c r="B669" s="9" t="str">
        <f>HYPERLINK("http://www.ncbi.nlm.nih.gov/gene/179599", "179599")</f>
        <v>179599</v>
      </c>
      <c r="C669" s="9"/>
      <c r="D669" t="str">
        <f>"zip-10"</f>
        <v>zip-10</v>
      </c>
      <c r="E669" t="s">
        <v>245</v>
      </c>
      <c r="F669" t="s">
        <v>11</v>
      </c>
      <c r="G669" t="s">
        <v>246</v>
      </c>
      <c r="H669" s="12">
        <v>-3.74261574720513</v>
      </c>
      <c r="I669" s="11">
        <v>-4.3071544016291599</v>
      </c>
      <c r="J669" s="10">
        <v>1.6536818180054502E-5</v>
      </c>
      <c r="K669" s="29">
        <v>1.5659824625751601E-3</v>
      </c>
    </row>
    <row r="670" spans="1:11" x14ac:dyDescent="0.35">
      <c r="A670" s="9" t="str">
        <f>HYPERLINK("http://www.ensembl.org/id/WBGene00012919", "WBGene00012919")</f>
        <v>WBGene00012919</v>
      </c>
      <c r="B670" s="9" t="str">
        <f>HYPERLINK("http://www.ncbi.nlm.nih.gov/gene/3565689", "3565689")</f>
        <v>3565689</v>
      </c>
      <c r="C670" s="9"/>
      <c r="D670" t="str">
        <f>"Y46G5A.34"</f>
        <v>Y46G5A.34</v>
      </c>
      <c r="F670" t="s">
        <v>11</v>
      </c>
      <c r="H670" s="12">
        <v>-3.73547263484364</v>
      </c>
      <c r="I670" s="11">
        <v>-2.0587681624915302</v>
      </c>
      <c r="J670" s="10">
        <v>3.9516452950180497E-2</v>
      </c>
      <c r="K670" s="29">
        <v>0.45836704912995602</v>
      </c>
    </row>
    <row r="671" spans="1:11" x14ac:dyDescent="0.35">
      <c r="A671" s="9" t="str">
        <f>HYPERLINK("http://www.ensembl.org/id/WBGene00019248", "WBGene00019248")</f>
        <v>WBGene00019248</v>
      </c>
      <c r="B671" s="9" t="str">
        <f>HYPERLINK("http://www.ncbi.nlm.nih.gov/gene/186791", "186791")</f>
        <v>186791</v>
      </c>
      <c r="C671" s="9"/>
      <c r="D671" t="str">
        <f>"H27M09.5"</f>
        <v>H27M09.5</v>
      </c>
      <c r="F671" t="s">
        <v>11</v>
      </c>
      <c r="G671" t="s">
        <v>25</v>
      </c>
      <c r="H671" s="12">
        <v>-3.7309864305716101</v>
      </c>
      <c r="I671" s="11">
        <v>-0.85621323850406605</v>
      </c>
      <c r="J671" s="10">
        <v>0.39187984125796099</v>
      </c>
      <c r="K671" s="29">
        <v>0.98289565623980701</v>
      </c>
    </row>
    <row r="672" spans="1:11" x14ac:dyDescent="0.35">
      <c r="A672" s="9" t="str">
        <f>HYPERLINK("http://www.ensembl.org/id/WBGene00171895", "WBGene00171895")</f>
        <v>WBGene00171895</v>
      </c>
      <c r="B672" s="9"/>
      <c r="C672" s="9"/>
      <c r="D672" t="str">
        <f>"21ur-11311"</f>
        <v>21ur-11311</v>
      </c>
      <c r="F672" t="s">
        <v>3161</v>
      </c>
      <c r="H672" s="12">
        <v>-3.7261494131482999</v>
      </c>
      <c r="I672" s="11">
        <v>-0.38454673129429601</v>
      </c>
      <c r="J672" s="10">
        <v>0.70057326682554</v>
      </c>
      <c r="K672" s="29">
        <v>0.98289565623980701</v>
      </c>
    </row>
    <row r="673" spans="1:11" x14ac:dyDescent="0.35">
      <c r="A673" s="9" t="str">
        <f>HYPERLINK("http://www.ensembl.org/id/WBGene00165783", "WBGene00165783")</f>
        <v>WBGene00165783</v>
      </c>
      <c r="B673" s="9"/>
      <c r="C673" s="9"/>
      <c r="D673" t="str">
        <f>"21ur-12037"</f>
        <v>21ur-12037</v>
      </c>
      <c r="F673" t="s">
        <v>3161</v>
      </c>
      <c r="H673" s="12">
        <v>-3.7261494131482999</v>
      </c>
      <c r="I673" s="11">
        <v>-0.38454673129429601</v>
      </c>
      <c r="J673" s="10">
        <v>0.70057326682554</v>
      </c>
      <c r="K673" s="29">
        <v>0.98289565623980701</v>
      </c>
    </row>
    <row r="674" spans="1:11" x14ac:dyDescent="0.35">
      <c r="A674" s="9" t="str">
        <f>HYPERLINK("http://www.ensembl.org/id/WBGene00168915", "WBGene00168915")</f>
        <v>WBGene00168915</v>
      </c>
      <c r="B674" s="9"/>
      <c r="C674" s="9"/>
      <c r="D674" t="str">
        <f>"21ur-12346"</f>
        <v>21ur-12346</v>
      </c>
      <c r="F674" t="s">
        <v>3161</v>
      </c>
      <c r="H674" s="12">
        <v>-3.7261494131482999</v>
      </c>
      <c r="I674" s="11">
        <v>-0.38454673129429601</v>
      </c>
      <c r="J674" s="10">
        <v>0.70057326682554</v>
      </c>
      <c r="K674" s="29">
        <v>0.98289565623980701</v>
      </c>
    </row>
    <row r="675" spans="1:11" x14ac:dyDescent="0.35">
      <c r="A675" s="9" t="str">
        <f>HYPERLINK("http://www.ensembl.org/id/WBGene00170782", "WBGene00170782")</f>
        <v>WBGene00170782</v>
      </c>
      <c r="B675" s="9"/>
      <c r="C675" s="9"/>
      <c r="D675" t="str">
        <f>"21ur-12578"</f>
        <v>21ur-12578</v>
      </c>
      <c r="F675" t="s">
        <v>3161</v>
      </c>
      <c r="H675" s="12">
        <v>-3.7261494131482999</v>
      </c>
      <c r="I675" s="11">
        <v>-0.38454673129429601</v>
      </c>
      <c r="J675" s="10">
        <v>0.70057326682554</v>
      </c>
      <c r="K675" s="29">
        <v>0.98289565623980701</v>
      </c>
    </row>
    <row r="676" spans="1:11" x14ac:dyDescent="0.35">
      <c r="A676" s="9" t="str">
        <f>HYPERLINK("http://www.ensembl.org/id/WBGene00169734", "WBGene00169734")</f>
        <v>WBGene00169734</v>
      </c>
      <c r="B676" s="9"/>
      <c r="C676" s="9"/>
      <c r="D676" t="str">
        <f>"21ur-13267"</f>
        <v>21ur-13267</v>
      </c>
      <c r="F676" t="s">
        <v>3161</v>
      </c>
      <c r="H676" s="12">
        <v>-3.7261494131482999</v>
      </c>
      <c r="I676" s="11">
        <v>-0.38454673129429601</v>
      </c>
      <c r="J676" s="10">
        <v>0.70057326682554</v>
      </c>
      <c r="K676" s="29">
        <v>0.98289565623980701</v>
      </c>
    </row>
    <row r="677" spans="1:11" x14ac:dyDescent="0.35">
      <c r="A677" s="9" t="str">
        <f>HYPERLINK("http://www.ensembl.org/id/WBGene00174084", "WBGene00174084")</f>
        <v>WBGene00174084</v>
      </c>
      <c r="B677" s="9"/>
      <c r="C677" s="9"/>
      <c r="D677" t="str">
        <f>"21ur-13378"</f>
        <v>21ur-13378</v>
      </c>
      <c r="F677" t="s">
        <v>3161</v>
      </c>
      <c r="H677" s="12">
        <v>-3.7261494131482999</v>
      </c>
      <c r="I677" s="11">
        <v>-0.38454673129429601</v>
      </c>
      <c r="J677" s="10">
        <v>0.70057326682554</v>
      </c>
      <c r="K677" s="29">
        <v>0.98289565623980701</v>
      </c>
    </row>
    <row r="678" spans="1:11" x14ac:dyDescent="0.35">
      <c r="A678" s="9" t="str">
        <f>HYPERLINK("http://www.ensembl.org/id/WBGene00173337", "WBGene00173337")</f>
        <v>WBGene00173337</v>
      </c>
      <c r="B678" s="9"/>
      <c r="C678" s="9"/>
      <c r="D678" t="str">
        <f>"21ur-14376"</f>
        <v>21ur-14376</v>
      </c>
      <c r="F678" t="s">
        <v>3161</v>
      </c>
      <c r="H678" s="12">
        <v>-3.7261494131482999</v>
      </c>
      <c r="I678" s="11">
        <v>-0.38454673129429601</v>
      </c>
      <c r="J678" s="10">
        <v>0.70057326682554</v>
      </c>
      <c r="K678" s="29">
        <v>0.98289565623980701</v>
      </c>
    </row>
    <row r="679" spans="1:11" x14ac:dyDescent="0.35">
      <c r="A679" s="9" t="str">
        <f>HYPERLINK("http://www.ensembl.org/id/WBGene00047842", "WBGene00047842")</f>
        <v>WBGene00047842</v>
      </c>
      <c r="B679" s="9"/>
      <c r="C679" s="9"/>
      <c r="D679" t="str">
        <f>"21ur-343"</f>
        <v>21ur-343</v>
      </c>
      <c r="F679" t="s">
        <v>3161</v>
      </c>
      <c r="H679" s="12">
        <v>-3.7261494131482999</v>
      </c>
      <c r="I679" s="11">
        <v>-0.38454673129429601</v>
      </c>
      <c r="J679" s="10">
        <v>0.70057326682554</v>
      </c>
      <c r="K679" s="29">
        <v>0.98289565623980701</v>
      </c>
    </row>
    <row r="680" spans="1:11" x14ac:dyDescent="0.35">
      <c r="A680" s="9" t="str">
        <f>HYPERLINK("http://www.ensembl.org/id/WBGene00046199", "WBGene00046199")</f>
        <v>WBGene00046199</v>
      </c>
      <c r="B680" s="9"/>
      <c r="C680" s="9"/>
      <c r="D680" t="str">
        <f>"21ur-3654"</f>
        <v>21ur-3654</v>
      </c>
      <c r="F680" t="s">
        <v>3161</v>
      </c>
      <c r="H680" s="12">
        <v>-3.7261494131482999</v>
      </c>
      <c r="I680" s="11">
        <v>-0.38454673129429601</v>
      </c>
      <c r="J680" s="10">
        <v>0.70057326682554</v>
      </c>
      <c r="K680" s="29">
        <v>0.98289565623980701</v>
      </c>
    </row>
    <row r="681" spans="1:11" x14ac:dyDescent="0.35">
      <c r="A681" s="9" t="str">
        <f>HYPERLINK("http://www.ensembl.org/id/WBGene00047727", "WBGene00047727")</f>
        <v>WBGene00047727</v>
      </c>
      <c r="B681" s="9"/>
      <c r="C681" s="9"/>
      <c r="D681" t="str">
        <f>"21ur-3861"</f>
        <v>21ur-3861</v>
      </c>
      <c r="F681" t="s">
        <v>3161</v>
      </c>
      <c r="H681" s="12">
        <v>-3.7261494131482999</v>
      </c>
      <c r="I681" s="11">
        <v>-0.38454673129429601</v>
      </c>
      <c r="J681" s="10">
        <v>0.70057326682554</v>
      </c>
      <c r="K681" s="29">
        <v>0.98289565623980701</v>
      </c>
    </row>
    <row r="682" spans="1:11" x14ac:dyDescent="0.35">
      <c r="A682" s="9" t="str">
        <f>HYPERLINK("http://www.ensembl.org/id/WBGene00045813", "WBGene00045813")</f>
        <v>WBGene00045813</v>
      </c>
      <c r="B682" s="9"/>
      <c r="C682" s="9"/>
      <c r="D682" t="str">
        <f>"21ur-3942"</f>
        <v>21ur-3942</v>
      </c>
      <c r="F682" t="s">
        <v>3161</v>
      </c>
      <c r="H682" s="12">
        <v>-3.7261494131482999</v>
      </c>
      <c r="I682" s="11">
        <v>-0.38454673129429601</v>
      </c>
      <c r="J682" s="10">
        <v>0.70057326682554</v>
      </c>
      <c r="K682" s="29">
        <v>0.98289565623980701</v>
      </c>
    </row>
    <row r="683" spans="1:11" x14ac:dyDescent="0.35">
      <c r="A683" s="9" t="str">
        <f>HYPERLINK("http://www.ensembl.org/id/WBGene00045726", "WBGene00045726")</f>
        <v>WBGene00045726</v>
      </c>
      <c r="B683" s="9"/>
      <c r="C683" s="9"/>
      <c r="D683" t="str">
        <f>"21ur-4151"</f>
        <v>21ur-4151</v>
      </c>
      <c r="F683" t="s">
        <v>3161</v>
      </c>
      <c r="H683" s="12">
        <v>-3.7261494131482999</v>
      </c>
      <c r="I683" s="11">
        <v>-0.38454673129429601</v>
      </c>
      <c r="J683" s="10">
        <v>0.70057326682554</v>
      </c>
      <c r="K683" s="29">
        <v>0.98289565623980701</v>
      </c>
    </row>
    <row r="684" spans="1:11" x14ac:dyDescent="0.35">
      <c r="A684" s="9" t="str">
        <f>HYPERLINK("http://www.ensembl.org/id/WBGene00049984", "WBGene00049984")</f>
        <v>WBGene00049984</v>
      </c>
      <c r="B684" s="9"/>
      <c r="C684" s="9"/>
      <c r="D684" t="str">
        <f>"21ur-4245"</f>
        <v>21ur-4245</v>
      </c>
      <c r="F684" t="s">
        <v>3161</v>
      </c>
      <c r="H684" s="12">
        <v>-3.7261494131482999</v>
      </c>
      <c r="I684" s="11">
        <v>-0.38454673129429601</v>
      </c>
      <c r="J684" s="10">
        <v>0.70057326682554</v>
      </c>
      <c r="K684" s="29">
        <v>0.98289565623980701</v>
      </c>
    </row>
    <row r="685" spans="1:11" x14ac:dyDescent="0.35">
      <c r="A685" s="9" t="str">
        <f>HYPERLINK("http://www.ensembl.org/id/WBGene00050629", "WBGene00050629")</f>
        <v>WBGene00050629</v>
      </c>
      <c r="B685" s="9"/>
      <c r="C685" s="9"/>
      <c r="D685" t="str">
        <f>"21ur-632"</f>
        <v>21ur-632</v>
      </c>
      <c r="F685" t="s">
        <v>3161</v>
      </c>
      <c r="H685" s="12">
        <v>-3.7261494131482999</v>
      </c>
      <c r="I685" s="11">
        <v>-0.38454673129429601</v>
      </c>
      <c r="J685" s="10">
        <v>0.70057326682554</v>
      </c>
      <c r="K685" s="29">
        <v>0.98289565623980701</v>
      </c>
    </row>
    <row r="686" spans="1:11" x14ac:dyDescent="0.35">
      <c r="A686" s="9" t="str">
        <f>HYPERLINK("http://www.ensembl.org/id/WBGene00172509", "WBGene00172509")</f>
        <v>WBGene00172509</v>
      </c>
      <c r="B686" s="9"/>
      <c r="C686" s="9"/>
      <c r="D686" t="str">
        <f>"21ur-7042"</f>
        <v>21ur-7042</v>
      </c>
      <c r="F686" t="s">
        <v>3161</v>
      </c>
      <c r="H686" s="12">
        <v>-3.7261494131482999</v>
      </c>
      <c r="I686" s="11">
        <v>-0.38454673129429601</v>
      </c>
      <c r="J686" s="10">
        <v>0.70057326682554</v>
      </c>
      <c r="K686" s="29">
        <v>0.98289565623980701</v>
      </c>
    </row>
    <row r="687" spans="1:11" x14ac:dyDescent="0.35">
      <c r="A687" s="9" t="str">
        <f>HYPERLINK("http://www.ensembl.org/id/WBGene00165575", "WBGene00165575")</f>
        <v>WBGene00165575</v>
      </c>
      <c r="B687" s="9"/>
      <c r="C687" s="9"/>
      <c r="D687" t="str">
        <f>"21ur-7394"</f>
        <v>21ur-7394</v>
      </c>
      <c r="F687" t="s">
        <v>3161</v>
      </c>
      <c r="H687" s="12">
        <v>-3.7261494131482999</v>
      </c>
      <c r="I687" s="11">
        <v>-0.38454673129429601</v>
      </c>
      <c r="J687" s="10">
        <v>0.70057326682554</v>
      </c>
      <c r="K687" s="29">
        <v>0.98289565623980701</v>
      </c>
    </row>
    <row r="688" spans="1:11" x14ac:dyDescent="0.35">
      <c r="A688" s="9" t="str">
        <f>HYPERLINK("http://www.ensembl.org/id/WBGene00165453", "WBGene00165453")</f>
        <v>WBGene00165453</v>
      </c>
      <c r="B688" s="9"/>
      <c r="C688" s="9"/>
      <c r="D688" t="str">
        <f>"21ur-7539"</f>
        <v>21ur-7539</v>
      </c>
      <c r="F688" t="s">
        <v>3161</v>
      </c>
      <c r="H688" s="12">
        <v>-3.7261494131482999</v>
      </c>
      <c r="I688" s="11">
        <v>-0.38454673129429601</v>
      </c>
      <c r="J688" s="10">
        <v>0.70057326682554</v>
      </c>
      <c r="K688" s="29">
        <v>0.98289565623980701</v>
      </c>
    </row>
    <row r="689" spans="1:11" x14ac:dyDescent="0.35">
      <c r="A689" s="9" t="str">
        <f>HYPERLINK("http://www.ensembl.org/id/WBGene00172963", "WBGene00172963")</f>
        <v>WBGene00172963</v>
      </c>
      <c r="B689" s="9"/>
      <c r="C689" s="9"/>
      <c r="D689" t="str">
        <f>"21ur-7967"</f>
        <v>21ur-7967</v>
      </c>
      <c r="F689" t="s">
        <v>3161</v>
      </c>
      <c r="H689" s="12">
        <v>-3.7261494131482999</v>
      </c>
      <c r="I689" s="11">
        <v>-0.38454673129429601</v>
      </c>
      <c r="J689" s="10">
        <v>0.70057326682554</v>
      </c>
      <c r="K689" s="29">
        <v>0.98289565623980701</v>
      </c>
    </row>
    <row r="690" spans="1:11" x14ac:dyDescent="0.35">
      <c r="A690" s="9" t="str">
        <f>HYPERLINK("http://www.ensembl.org/id/WBGene00168606", "WBGene00168606")</f>
        <v>WBGene00168606</v>
      </c>
      <c r="B690" s="9"/>
      <c r="C690" s="9"/>
      <c r="D690" t="str">
        <f>"21ur-8295"</f>
        <v>21ur-8295</v>
      </c>
      <c r="F690" t="s">
        <v>3161</v>
      </c>
      <c r="H690" s="12">
        <v>-3.7261494131482999</v>
      </c>
      <c r="I690" s="11">
        <v>-0.38454673129429601</v>
      </c>
      <c r="J690" s="10">
        <v>0.70057326682554</v>
      </c>
      <c r="K690" s="29">
        <v>0.98289565623980701</v>
      </c>
    </row>
    <row r="691" spans="1:11" x14ac:dyDescent="0.35">
      <c r="A691" s="9" t="str">
        <f>HYPERLINK("http://www.ensembl.org/id/WBGene00171937", "WBGene00171937")</f>
        <v>WBGene00171937</v>
      </c>
      <c r="B691" s="9"/>
      <c r="C691" s="9"/>
      <c r="D691" t="str">
        <f>"21ur-8658"</f>
        <v>21ur-8658</v>
      </c>
      <c r="F691" t="s">
        <v>3161</v>
      </c>
      <c r="H691" s="12">
        <v>-3.7261494131482999</v>
      </c>
      <c r="I691" s="11">
        <v>-0.38454673129429601</v>
      </c>
      <c r="J691" s="10">
        <v>0.70057326682554</v>
      </c>
      <c r="K691" s="29">
        <v>0.98289565623980701</v>
      </c>
    </row>
    <row r="692" spans="1:11" x14ac:dyDescent="0.35">
      <c r="A692" s="9" t="str">
        <f>HYPERLINK("http://www.ensembl.org/id/WBGene00168391", "WBGene00168391")</f>
        <v>WBGene00168391</v>
      </c>
      <c r="B692" s="9"/>
      <c r="C692" s="9"/>
      <c r="D692" t="str">
        <f>"21ur-8917"</f>
        <v>21ur-8917</v>
      </c>
      <c r="F692" t="s">
        <v>3161</v>
      </c>
      <c r="H692" s="12">
        <v>-3.7261494131482999</v>
      </c>
      <c r="I692" s="11">
        <v>-0.38454673129429601</v>
      </c>
      <c r="J692" s="10">
        <v>0.70057326682554</v>
      </c>
      <c r="K692" s="29">
        <v>0.98289565623980701</v>
      </c>
    </row>
    <row r="693" spans="1:11" x14ac:dyDescent="0.35">
      <c r="A693" s="9" t="str">
        <f>HYPERLINK("http://www.ensembl.org/id/WBGene00165786", "WBGene00165786")</f>
        <v>WBGene00165786</v>
      </c>
      <c r="B693" s="9"/>
      <c r="C693" s="9"/>
      <c r="D693" t="str">
        <f>"21ur-9906"</f>
        <v>21ur-9906</v>
      </c>
      <c r="F693" t="s">
        <v>3161</v>
      </c>
      <c r="H693" s="12">
        <v>-3.7261494131482999</v>
      </c>
      <c r="I693" s="11">
        <v>-0.38454673129429601</v>
      </c>
      <c r="J693" s="10">
        <v>0.70057326682554</v>
      </c>
      <c r="K693" s="29">
        <v>0.98289565623980701</v>
      </c>
    </row>
    <row r="694" spans="1:11" x14ac:dyDescent="0.35">
      <c r="A694" s="9" t="str">
        <f>HYPERLINK("http://www.ensembl.org/id/WBGene00077504", "WBGene00077504")</f>
        <v>WBGene00077504</v>
      </c>
      <c r="B694" s="9"/>
      <c r="C694" s="9"/>
      <c r="D694" t="str">
        <f>"AC3.13"</f>
        <v>AC3.13</v>
      </c>
      <c r="F694" t="s">
        <v>80</v>
      </c>
      <c r="H694" s="12">
        <v>-3.7261494131482999</v>
      </c>
      <c r="I694" s="11">
        <v>-0.38454673129429601</v>
      </c>
      <c r="J694" s="10">
        <v>0.70057326682554</v>
      </c>
      <c r="K694" s="29">
        <v>0.98289565623980701</v>
      </c>
    </row>
    <row r="695" spans="1:11" x14ac:dyDescent="0.35">
      <c r="A695" s="9" t="str">
        <f>HYPERLINK("http://www.ensembl.org/id/WBGene00219752", "WBGene00219752")</f>
        <v>WBGene00219752</v>
      </c>
      <c r="B695" s="9"/>
      <c r="C695" s="9"/>
      <c r="D695" t="str">
        <f>"anr-50"</f>
        <v>anr-50</v>
      </c>
      <c r="F695" t="s">
        <v>2735</v>
      </c>
      <c r="H695" s="12">
        <v>-3.7261494131482999</v>
      </c>
      <c r="I695" s="11">
        <v>-0.38454673129429601</v>
      </c>
      <c r="J695" s="10">
        <v>0.70057326682554</v>
      </c>
      <c r="K695" s="29">
        <v>0.98289565623980701</v>
      </c>
    </row>
    <row r="696" spans="1:11" x14ac:dyDescent="0.35">
      <c r="A696" s="9" t="str">
        <f>HYPERLINK("http://www.ensembl.org/id/WBGene00219633", "WBGene00219633")</f>
        <v>WBGene00219633</v>
      </c>
      <c r="B696" s="9"/>
      <c r="C696" s="9"/>
      <c r="D696" t="str">
        <f>"anr-55"</f>
        <v>anr-55</v>
      </c>
      <c r="F696" t="s">
        <v>2735</v>
      </c>
      <c r="H696" s="12">
        <v>-3.7261494131482999</v>
      </c>
      <c r="I696" s="11">
        <v>-0.38454673129429601</v>
      </c>
      <c r="J696" s="10">
        <v>0.70057326682554</v>
      </c>
      <c r="K696" s="29">
        <v>0.98289565623980701</v>
      </c>
    </row>
    <row r="697" spans="1:11" x14ac:dyDescent="0.35">
      <c r="A697" s="9" t="str">
        <f>HYPERLINK("http://www.ensembl.org/id/WBGene00007173", "WBGene00007173")</f>
        <v>WBGene00007173</v>
      </c>
      <c r="B697" s="9" t="str">
        <f>HYPERLINK("http://www.ncbi.nlm.nih.gov/gene/181959", "181959")</f>
        <v>181959</v>
      </c>
      <c r="C697" s="9"/>
      <c r="D697" t="str">
        <f>"B0393.8"</f>
        <v>B0393.8</v>
      </c>
      <c r="F697" t="s">
        <v>11</v>
      </c>
      <c r="G697" t="s">
        <v>25</v>
      </c>
      <c r="H697" s="12">
        <v>-3.7261494131482999</v>
      </c>
      <c r="I697" s="11">
        <v>-0.38454673129429601</v>
      </c>
      <c r="J697" s="10">
        <v>0.70057326682554</v>
      </c>
      <c r="K697" s="29">
        <v>0.98289565623980701</v>
      </c>
    </row>
    <row r="698" spans="1:11" x14ac:dyDescent="0.35">
      <c r="A698" s="9" t="str">
        <f>HYPERLINK("http://www.ensembl.org/id/WBGene00196675", "WBGene00196675")</f>
        <v>WBGene00196675</v>
      </c>
      <c r="B698" s="9"/>
      <c r="C698" s="9"/>
      <c r="D698" t="str">
        <f>"B0403.8"</f>
        <v>B0403.8</v>
      </c>
      <c r="F698" t="s">
        <v>481</v>
      </c>
      <c r="H698" s="12">
        <v>-3.7261494131482999</v>
      </c>
      <c r="I698" s="11">
        <v>-0.38454673129429601</v>
      </c>
      <c r="J698" s="10">
        <v>0.70057326682554</v>
      </c>
      <c r="K698" s="29">
        <v>0.98289565623980701</v>
      </c>
    </row>
    <row r="699" spans="1:11" x14ac:dyDescent="0.35">
      <c r="A699" s="9" t="str">
        <f>HYPERLINK("http://www.ensembl.org/id/WBGene00201201", "WBGene00201201")</f>
        <v>WBGene00201201</v>
      </c>
      <c r="B699" s="9"/>
      <c r="C699" s="9"/>
      <c r="D699" t="str">
        <f>"C01G12.14"</f>
        <v>C01G12.14</v>
      </c>
      <c r="F699" t="s">
        <v>481</v>
      </c>
      <c r="H699" s="12">
        <v>-3.7261494131482999</v>
      </c>
      <c r="I699" s="11">
        <v>-0.38454673129429601</v>
      </c>
      <c r="J699" s="10">
        <v>0.70057326682554</v>
      </c>
      <c r="K699" s="29">
        <v>0.98289565623980701</v>
      </c>
    </row>
    <row r="700" spans="1:11" x14ac:dyDescent="0.35">
      <c r="A700" s="9" t="str">
        <f>HYPERLINK("http://www.ensembl.org/id/WBGene00045104", "WBGene00045104")</f>
        <v>WBGene00045104</v>
      </c>
      <c r="B700" s="9"/>
      <c r="C700" s="9"/>
      <c r="D700" t="str">
        <f>"C04G2.12"</f>
        <v>C04G2.12</v>
      </c>
      <c r="F700" t="s">
        <v>80</v>
      </c>
      <c r="H700" s="12">
        <v>-3.7261494131482999</v>
      </c>
      <c r="I700" s="11">
        <v>-0.38454673129429601</v>
      </c>
      <c r="J700" s="10">
        <v>0.70057326682554</v>
      </c>
      <c r="K700" s="29">
        <v>0.98289565623980701</v>
      </c>
    </row>
    <row r="701" spans="1:11" x14ac:dyDescent="0.35">
      <c r="A701" s="9" t="str">
        <f>HYPERLINK("http://www.ensembl.org/id/WBGene00007383", "WBGene00007383")</f>
        <v>WBGene00007383</v>
      </c>
      <c r="B701" s="9" t="str">
        <f>HYPERLINK("http://www.ncbi.nlm.nih.gov/gene/182311", "182311")</f>
        <v>182311</v>
      </c>
      <c r="C701" s="9"/>
      <c r="D701" t="str">
        <f>"C06C6.9"</f>
        <v>C06C6.9</v>
      </c>
      <c r="F701" t="s">
        <v>11</v>
      </c>
      <c r="G701" t="s">
        <v>25</v>
      </c>
      <c r="H701" s="12">
        <v>-3.7261494131482999</v>
      </c>
      <c r="I701" s="11">
        <v>-0.38454673129429601</v>
      </c>
      <c r="J701" s="10">
        <v>0.70057326682554</v>
      </c>
      <c r="K701" s="29">
        <v>0.98289565623980701</v>
      </c>
    </row>
    <row r="702" spans="1:11" x14ac:dyDescent="0.35">
      <c r="A702" s="9" t="str">
        <f>HYPERLINK("http://www.ensembl.org/id/WBGene00197960", "WBGene00197960")</f>
        <v>WBGene00197960</v>
      </c>
      <c r="B702" s="9"/>
      <c r="C702" s="9"/>
      <c r="D702" t="str">
        <f>"C06E2.13"</f>
        <v>C06E2.13</v>
      </c>
      <c r="F702" t="s">
        <v>481</v>
      </c>
      <c r="H702" s="12">
        <v>-3.7261494131482999</v>
      </c>
      <c r="I702" s="11">
        <v>-0.38454673129429601</v>
      </c>
      <c r="J702" s="10">
        <v>0.70057326682554</v>
      </c>
      <c r="K702" s="29">
        <v>0.98289565623980701</v>
      </c>
    </row>
    <row r="703" spans="1:11" x14ac:dyDescent="0.35">
      <c r="A703" s="9" t="str">
        <f>HYPERLINK("http://www.ensembl.org/id/WBGene00044957", "WBGene00044957")</f>
        <v>WBGene00044957</v>
      </c>
      <c r="B703" s="9"/>
      <c r="C703" s="9"/>
      <c r="D703" t="str">
        <f>"C08D8.3"</f>
        <v>C08D8.3</v>
      </c>
      <c r="F703" t="s">
        <v>2977</v>
      </c>
      <c r="H703" s="12">
        <v>-3.7261494131482999</v>
      </c>
      <c r="I703" s="11">
        <v>-0.38454673129429601</v>
      </c>
      <c r="J703" s="10">
        <v>0.70057326682554</v>
      </c>
      <c r="K703" s="29">
        <v>0.98289565623980701</v>
      </c>
    </row>
    <row r="704" spans="1:11" x14ac:dyDescent="0.35">
      <c r="A704" s="9" t="str">
        <f>HYPERLINK("http://www.ensembl.org/id/WBGene00202132", "WBGene00202132")</f>
        <v>WBGene00202132</v>
      </c>
      <c r="B704" s="9"/>
      <c r="C704" s="9"/>
      <c r="D704" t="str">
        <f>"C16B8.13"</f>
        <v>C16B8.13</v>
      </c>
      <c r="F704" t="s">
        <v>481</v>
      </c>
      <c r="H704" s="12">
        <v>-3.7261494131482999</v>
      </c>
      <c r="I704" s="11">
        <v>-0.38454673129429601</v>
      </c>
      <c r="J704" s="10">
        <v>0.70057326682554</v>
      </c>
      <c r="K704" s="29">
        <v>0.98289565623980701</v>
      </c>
    </row>
    <row r="705" spans="1:11" x14ac:dyDescent="0.35">
      <c r="A705" s="9" t="str">
        <f>HYPERLINK("http://www.ensembl.org/id/WBGene00196281", "WBGene00196281")</f>
        <v>WBGene00196281</v>
      </c>
      <c r="B705" s="9"/>
      <c r="C705" s="9"/>
      <c r="D705" t="str">
        <f>"C16E9.12"</f>
        <v>C16E9.12</v>
      </c>
      <c r="F705" t="s">
        <v>481</v>
      </c>
      <c r="H705" s="12">
        <v>-3.7261494131482999</v>
      </c>
      <c r="I705" s="11">
        <v>-0.38454673129429601</v>
      </c>
      <c r="J705" s="10">
        <v>0.70057326682554</v>
      </c>
      <c r="K705" s="29">
        <v>0.98289565623980701</v>
      </c>
    </row>
    <row r="706" spans="1:11" x14ac:dyDescent="0.35">
      <c r="A706" s="9" t="str">
        <f>HYPERLINK("http://www.ensembl.org/id/WBGene00197615", "WBGene00197615")</f>
        <v>WBGene00197615</v>
      </c>
      <c r="B706" s="9"/>
      <c r="C706" s="9"/>
      <c r="D706" t="str">
        <f>"C25F6.15"</f>
        <v>C25F6.15</v>
      </c>
      <c r="F706" t="s">
        <v>481</v>
      </c>
      <c r="H706" s="12">
        <v>-3.7261494131482999</v>
      </c>
      <c r="I706" s="11">
        <v>-0.38454673129429601</v>
      </c>
      <c r="J706" s="10">
        <v>0.70057326682554</v>
      </c>
      <c r="K706" s="29">
        <v>0.98289565623980701</v>
      </c>
    </row>
    <row r="707" spans="1:11" x14ac:dyDescent="0.35">
      <c r="A707" s="9" t="str">
        <f>HYPERLINK("http://www.ensembl.org/id/WBGene00196102", "WBGene00196102")</f>
        <v>WBGene00196102</v>
      </c>
      <c r="B707" s="9"/>
      <c r="C707" s="9"/>
      <c r="D707" t="str">
        <f>"C29H12.7"</f>
        <v>C29H12.7</v>
      </c>
      <c r="F707" t="s">
        <v>481</v>
      </c>
      <c r="H707" s="12">
        <v>-3.7261494131482999</v>
      </c>
      <c r="I707" s="11">
        <v>-0.38454673129429601</v>
      </c>
      <c r="J707" s="10">
        <v>0.70057326682554</v>
      </c>
      <c r="K707" s="29">
        <v>0.98289565623980701</v>
      </c>
    </row>
    <row r="708" spans="1:11" x14ac:dyDescent="0.35">
      <c r="A708" s="9" t="str">
        <f>HYPERLINK("http://www.ensembl.org/id/WBGene00197282", "WBGene00197282")</f>
        <v>WBGene00197282</v>
      </c>
      <c r="B708" s="9"/>
      <c r="C708" s="9"/>
      <c r="D708" t="str">
        <f>"C44C11.3"</f>
        <v>C44C11.3</v>
      </c>
      <c r="F708" t="s">
        <v>481</v>
      </c>
      <c r="H708" s="12">
        <v>-3.7261494131482999</v>
      </c>
      <c r="I708" s="11">
        <v>-0.38454673129429601</v>
      </c>
      <c r="J708" s="10">
        <v>0.70057326682554</v>
      </c>
      <c r="K708" s="29">
        <v>0.98289565623980701</v>
      </c>
    </row>
    <row r="709" spans="1:11" x14ac:dyDescent="0.35">
      <c r="A709" s="9" t="str">
        <f>HYPERLINK("http://www.ensembl.org/id/WBGene00008106", "WBGene00008106")</f>
        <v>WBGene00008106</v>
      </c>
      <c r="B709" s="9" t="str">
        <f>HYPERLINK("http://www.ncbi.nlm.nih.gov/gene/3565384", "3565384")</f>
        <v>3565384</v>
      </c>
      <c r="C709" s="9"/>
      <c r="D709" t="str">
        <f>"C45B11.5"</f>
        <v>C45B11.5</v>
      </c>
      <c r="F709" t="s">
        <v>11</v>
      </c>
      <c r="G709" t="s">
        <v>25</v>
      </c>
      <c r="H709" s="12">
        <v>-3.7261494131482999</v>
      </c>
      <c r="I709" s="11">
        <v>-0.38454673129429601</v>
      </c>
      <c r="J709" s="10">
        <v>0.70057326682554</v>
      </c>
      <c r="K709" s="29">
        <v>0.98289565623980701</v>
      </c>
    </row>
    <row r="710" spans="1:11" x14ac:dyDescent="0.35">
      <c r="A710" s="9" t="str">
        <f>HYPERLINK("http://www.ensembl.org/id/WBGene00008396", "WBGene00008396")</f>
        <v>WBGene00008396</v>
      </c>
      <c r="B710" s="9" t="str">
        <f>HYPERLINK("http://www.ncbi.nlm.nih.gov/gene/179910", "179910")</f>
        <v>179910</v>
      </c>
      <c r="C710" s="9"/>
      <c r="D710" t="str">
        <f>"D1086.9"</f>
        <v>D1086.9</v>
      </c>
      <c r="F710" t="s">
        <v>11</v>
      </c>
      <c r="H710" s="12">
        <v>-3.7261494131482999</v>
      </c>
      <c r="I710" s="11">
        <v>-0.38454673129429601</v>
      </c>
      <c r="J710" s="10">
        <v>0.70057326682554</v>
      </c>
      <c r="K710" s="29">
        <v>0.98289565623980701</v>
      </c>
    </row>
    <row r="711" spans="1:11" x14ac:dyDescent="0.35">
      <c r="A711" s="9" t="str">
        <f>HYPERLINK("http://www.ensembl.org/id/WBGene00014314", "WBGene00014314")</f>
        <v>WBGene00014314</v>
      </c>
      <c r="B711" s="9"/>
      <c r="C711" s="9"/>
      <c r="D711" t="str">
        <f>"F08G5.t2"</f>
        <v>F08G5.t2</v>
      </c>
      <c r="F711" t="s">
        <v>4208</v>
      </c>
      <c r="H711" s="12">
        <v>-3.7261494131482999</v>
      </c>
      <c r="I711" s="11">
        <v>-0.38454673129429601</v>
      </c>
      <c r="J711" s="10">
        <v>0.70057326682554</v>
      </c>
      <c r="K711" s="29">
        <v>0.98289565623980701</v>
      </c>
    </row>
    <row r="712" spans="1:11" x14ac:dyDescent="0.35">
      <c r="A712" s="9" t="str">
        <f>HYPERLINK("http://www.ensembl.org/id/WBGene00014733", "WBGene00014733")</f>
        <v>WBGene00014733</v>
      </c>
      <c r="B712" s="9"/>
      <c r="C712" s="9"/>
      <c r="D712" t="str">
        <f>"F10A3.10"</f>
        <v>F10A3.10</v>
      </c>
      <c r="F712" t="s">
        <v>80</v>
      </c>
      <c r="H712" s="12">
        <v>-3.7261494131482999</v>
      </c>
      <c r="I712" s="11">
        <v>-0.38454673129429601</v>
      </c>
      <c r="J712" s="10">
        <v>0.70057326682554</v>
      </c>
      <c r="K712" s="29">
        <v>0.98289565623980701</v>
      </c>
    </row>
    <row r="713" spans="1:11" x14ac:dyDescent="0.35">
      <c r="A713" s="9" t="str">
        <f>HYPERLINK("http://www.ensembl.org/id/WBGene00201223", "WBGene00201223")</f>
        <v>WBGene00201223</v>
      </c>
      <c r="B713" s="9"/>
      <c r="C713" s="9"/>
      <c r="D713" t="str">
        <f>"F10E9.19"</f>
        <v>F10E9.19</v>
      </c>
      <c r="F713" t="s">
        <v>481</v>
      </c>
      <c r="H713" s="12">
        <v>-3.7261494131482999</v>
      </c>
      <c r="I713" s="11">
        <v>-0.38454673129429601</v>
      </c>
      <c r="J713" s="10">
        <v>0.70057326682554</v>
      </c>
      <c r="K713" s="29">
        <v>0.98289565623980701</v>
      </c>
    </row>
    <row r="714" spans="1:11" x14ac:dyDescent="0.35">
      <c r="A714" s="9" t="str">
        <f>HYPERLINK("http://www.ensembl.org/id/WBGene00199697", "WBGene00199697")</f>
        <v>WBGene00199697</v>
      </c>
      <c r="B714" s="9"/>
      <c r="C714" s="9"/>
      <c r="D714" t="str">
        <f>"F11A6.10"</f>
        <v>F11A6.10</v>
      </c>
      <c r="F714" t="s">
        <v>481</v>
      </c>
      <c r="H714" s="12">
        <v>-3.7261494131482999</v>
      </c>
      <c r="I714" s="11">
        <v>-0.38454673129429601</v>
      </c>
      <c r="J714" s="10">
        <v>0.70057326682554</v>
      </c>
      <c r="K714" s="29">
        <v>0.98289565623980701</v>
      </c>
    </row>
    <row r="715" spans="1:11" x14ac:dyDescent="0.35">
      <c r="A715" s="9" t="str">
        <f>HYPERLINK("http://www.ensembl.org/id/WBGene00014332", "WBGene00014332")</f>
        <v>WBGene00014332</v>
      </c>
      <c r="B715" s="9"/>
      <c r="C715" s="9"/>
      <c r="D715" t="str">
        <f>"F15D3.t1"</f>
        <v>F15D3.t1</v>
      </c>
      <c r="F715" t="s">
        <v>4208</v>
      </c>
      <c r="H715" s="12">
        <v>-3.7261494131482999</v>
      </c>
      <c r="I715" s="11">
        <v>-0.38454673129429601</v>
      </c>
      <c r="J715" s="10">
        <v>0.70057326682554</v>
      </c>
      <c r="K715" s="29">
        <v>0.98289565623980701</v>
      </c>
    </row>
    <row r="716" spans="1:11" x14ac:dyDescent="0.35">
      <c r="A716" s="9" t="str">
        <f>HYPERLINK("http://www.ensembl.org/id/WBGene00202258", "WBGene00202258")</f>
        <v>WBGene00202258</v>
      </c>
      <c r="B716" s="9"/>
      <c r="C716" s="9"/>
      <c r="D716" t="str">
        <f>"F19D8.8"</f>
        <v>F19D8.8</v>
      </c>
      <c r="F716" t="s">
        <v>481</v>
      </c>
      <c r="H716" s="12">
        <v>-3.7261494131482999</v>
      </c>
      <c r="I716" s="11">
        <v>-0.38454673129429601</v>
      </c>
      <c r="J716" s="10">
        <v>0.70057326682554</v>
      </c>
      <c r="K716" s="29">
        <v>0.98289565623980701</v>
      </c>
    </row>
    <row r="717" spans="1:11" x14ac:dyDescent="0.35">
      <c r="A717" s="9" t="str">
        <f>HYPERLINK("http://www.ensembl.org/id/WBGene00196712", "WBGene00196712")</f>
        <v>WBGene00196712</v>
      </c>
      <c r="B717" s="9"/>
      <c r="C717" s="9"/>
      <c r="D717" t="str">
        <f>"F22B5.11"</f>
        <v>F22B5.11</v>
      </c>
      <c r="F717" t="s">
        <v>481</v>
      </c>
      <c r="H717" s="12">
        <v>-3.7261494131482999</v>
      </c>
      <c r="I717" s="11">
        <v>-0.38454673129429601</v>
      </c>
      <c r="J717" s="10">
        <v>0.70057326682554</v>
      </c>
      <c r="K717" s="29">
        <v>0.98289565623980701</v>
      </c>
    </row>
    <row r="718" spans="1:11" x14ac:dyDescent="0.35">
      <c r="A718" s="9" t="str">
        <f>HYPERLINK("http://www.ensembl.org/id/WBGene00196003", "WBGene00196003")</f>
        <v>WBGene00196003</v>
      </c>
      <c r="B718" s="9"/>
      <c r="C718" s="9"/>
      <c r="D718" t="str">
        <f>"F22D3.7"</f>
        <v>F22D3.7</v>
      </c>
      <c r="F718" t="s">
        <v>481</v>
      </c>
      <c r="H718" s="12">
        <v>-3.7261494131482999</v>
      </c>
      <c r="I718" s="11">
        <v>-0.38454673129429601</v>
      </c>
      <c r="J718" s="10">
        <v>0.70057326682554</v>
      </c>
      <c r="K718" s="29">
        <v>0.98289565623980701</v>
      </c>
    </row>
    <row r="719" spans="1:11" x14ac:dyDescent="0.35">
      <c r="A719" s="9" t="str">
        <f>HYPERLINK("http://www.ensembl.org/id/WBGene00197463", "WBGene00197463")</f>
        <v>WBGene00197463</v>
      </c>
      <c r="B719" s="9"/>
      <c r="C719" s="9"/>
      <c r="D719" t="str">
        <f>"F32A6.8"</f>
        <v>F32A6.8</v>
      </c>
      <c r="F719" t="s">
        <v>481</v>
      </c>
      <c r="H719" s="12">
        <v>-3.7261494131482999</v>
      </c>
      <c r="I719" s="11">
        <v>-0.38454673129429601</v>
      </c>
      <c r="J719" s="10">
        <v>0.70057326682554</v>
      </c>
      <c r="K719" s="29">
        <v>0.98289565623980701</v>
      </c>
    </row>
    <row r="720" spans="1:11" x14ac:dyDescent="0.35">
      <c r="A720" s="9" t="str">
        <f>HYPERLINK("http://www.ensembl.org/id/WBGene00304181", "WBGene00304181")</f>
        <v>WBGene00304181</v>
      </c>
      <c r="B720" s="9"/>
      <c r="C720" s="9"/>
      <c r="D720" t="str">
        <f>"F38B7.17"</f>
        <v>F38B7.17</v>
      </c>
      <c r="F720" t="s">
        <v>11</v>
      </c>
      <c r="H720" s="12">
        <v>-3.7261494131482999</v>
      </c>
      <c r="I720" s="11">
        <v>-0.38454673129429601</v>
      </c>
      <c r="J720" s="10">
        <v>0.70057326682554</v>
      </c>
      <c r="K720" s="29">
        <v>0.98289565623980701</v>
      </c>
    </row>
    <row r="721" spans="1:11" x14ac:dyDescent="0.35">
      <c r="A721" s="9" t="str">
        <f>HYPERLINK("http://www.ensembl.org/id/WBGene00195930", "WBGene00195930")</f>
        <v>WBGene00195930</v>
      </c>
      <c r="B721" s="9"/>
      <c r="C721" s="9"/>
      <c r="D721" t="str">
        <f>"F42A10.11"</f>
        <v>F42A10.11</v>
      </c>
      <c r="F721" t="s">
        <v>481</v>
      </c>
      <c r="H721" s="12">
        <v>-3.7261494131482999</v>
      </c>
      <c r="I721" s="11">
        <v>-0.38454673129429601</v>
      </c>
      <c r="J721" s="10">
        <v>0.70057326682554</v>
      </c>
      <c r="K721" s="29">
        <v>0.98289565623980701</v>
      </c>
    </row>
    <row r="722" spans="1:11" x14ac:dyDescent="0.35">
      <c r="A722" s="9" t="str">
        <f>HYPERLINK("http://www.ensembl.org/id/WBGene00199337", "WBGene00199337")</f>
        <v>WBGene00199337</v>
      </c>
      <c r="B722" s="9"/>
      <c r="C722" s="9"/>
      <c r="D722" t="str">
        <f>"F42D1.10"</f>
        <v>F42D1.10</v>
      </c>
      <c r="F722" t="s">
        <v>481</v>
      </c>
      <c r="H722" s="12">
        <v>-3.7261494131482999</v>
      </c>
      <c r="I722" s="11">
        <v>-0.38454673129429601</v>
      </c>
      <c r="J722" s="10">
        <v>0.70057326682554</v>
      </c>
      <c r="K722" s="29">
        <v>0.98289565623980701</v>
      </c>
    </row>
    <row r="723" spans="1:11" x14ac:dyDescent="0.35">
      <c r="A723" s="9" t="str">
        <f>HYPERLINK("http://www.ensembl.org/id/WBGene00045088", "WBGene00045088")</f>
        <v>WBGene00045088</v>
      </c>
      <c r="B723" s="9"/>
      <c r="C723" s="9"/>
      <c r="D723" t="str">
        <f>"F48A11.7"</f>
        <v>F48A11.7</v>
      </c>
      <c r="F723" t="s">
        <v>2977</v>
      </c>
      <c r="H723" s="12">
        <v>-3.7261494131482999</v>
      </c>
      <c r="I723" s="11">
        <v>-0.38454673129429601</v>
      </c>
      <c r="J723" s="10">
        <v>0.70057326682554</v>
      </c>
      <c r="K723" s="29">
        <v>0.98289565623980701</v>
      </c>
    </row>
    <row r="724" spans="1:11" x14ac:dyDescent="0.35">
      <c r="A724" s="9" t="str">
        <f>HYPERLINK("http://www.ensembl.org/id/WBGene00197712", "WBGene00197712")</f>
        <v>WBGene00197712</v>
      </c>
      <c r="B724" s="9"/>
      <c r="C724" s="9"/>
      <c r="D724" t="str">
        <f>"F48A9.4"</f>
        <v>F48A9.4</v>
      </c>
      <c r="F724" t="s">
        <v>481</v>
      </c>
      <c r="H724" s="12">
        <v>-3.7261494131482999</v>
      </c>
      <c r="I724" s="11">
        <v>-0.38454673129429601</v>
      </c>
      <c r="J724" s="10">
        <v>0.70057326682554</v>
      </c>
      <c r="K724" s="29">
        <v>0.98289565623980701</v>
      </c>
    </row>
    <row r="725" spans="1:11" x14ac:dyDescent="0.35">
      <c r="A725" s="9" t="str">
        <f>HYPERLINK("http://www.ensembl.org/id/WBGene00195818", "WBGene00195818")</f>
        <v>WBGene00195818</v>
      </c>
      <c r="B725" s="9"/>
      <c r="C725" s="9"/>
      <c r="D725" t="str">
        <f>"F48C5.5"</f>
        <v>F48C5.5</v>
      </c>
      <c r="F725" t="s">
        <v>481</v>
      </c>
      <c r="H725" s="12">
        <v>-3.7261494131482999</v>
      </c>
      <c r="I725" s="11">
        <v>-0.38454673129429601</v>
      </c>
      <c r="J725" s="10">
        <v>0.70057326682554</v>
      </c>
      <c r="K725" s="29">
        <v>0.98289565623980701</v>
      </c>
    </row>
    <row r="726" spans="1:11" x14ac:dyDescent="0.35">
      <c r="A726" s="9" t="str">
        <f>HYPERLINK("http://www.ensembl.org/id/WBGene00196718", "WBGene00196718")</f>
        <v>WBGene00196718</v>
      </c>
      <c r="B726" s="9"/>
      <c r="C726" s="9"/>
      <c r="D726" t="str">
        <f>"F49D11.12"</f>
        <v>F49D11.12</v>
      </c>
      <c r="F726" t="s">
        <v>481</v>
      </c>
      <c r="H726" s="12">
        <v>-3.7261494131482999</v>
      </c>
      <c r="I726" s="11">
        <v>-0.38454673129429601</v>
      </c>
      <c r="J726" s="10">
        <v>0.70057326682554</v>
      </c>
      <c r="K726" s="29">
        <v>0.98289565623980701</v>
      </c>
    </row>
    <row r="727" spans="1:11" x14ac:dyDescent="0.35">
      <c r="A727" s="9" t="str">
        <f>HYPERLINK("http://www.ensembl.org/id/WBGene00199768", "WBGene00199768")</f>
        <v>WBGene00199768</v>
      </c>
      <c r="B727" s="9"/>
      <c r="C727" s="9"/>
      <c r="D727" t="str">
        <f>"F52F12.15"</f>
        <v>F52F12.15</v>
      </c>
      <c r="F727" t="s">
        <v>481</v>
      </c>
      <c r="H727" s="12">
        <v>-3.7261494131482999</v>
      </c>
      <c r="I727" s="11">
        <v>-0.38454673129429601</v>
      </c>
      <c r="J727" s="10">
        <v>0.70057326682554</v>
      </c>
      <c r="K727" s="29">
        <v>0.98289565623980701</v>
      </c>
    </row>
    <row r="728" spans="1:11" x14ac:dyDescent="0.35">
      <c r="A728" s="9" t="str">
        <f>HYPERLINK("http://www.ensembl.org/id/WBGene00023461", "WBGene00023461")</f>
        <v>WBGene00023461</v>
      </c>
      <c r="B728" s="9"/>
      <c r="C728" s="9"/>
      <c r="D728" t="str">
        <f>"F53G12.12"</f>
        <v>F53G12.12</v>
      </c>
      <c r="F728" t="s">
        <v>2977</v>
      </c>
      <c r="H728" s="12">
        <v>-3.7261494131482999</v>
      </c>
      <c r="I728" s="11">
        <v>-0.38454673129429601</v>
      </c>
      <c r="J728" s="10">
        <v>0.70057326682554</v>
      </c>
      <c r="K728" s="29">
        <v>0.98289565623980701</v>
      </c>
    </row>
    <row r="729" spans="1:11" x14ac:dyDescent="0.35">
      <c r="A729" s="9" t="str">
        <f>HYPERLINK("http://www.ensembl.org/id/WBGene00195927", "WBGene00195927")</f>
        <v>WBGene00195927</v>
      </c>
      <c r="B729" s="9"/>
      <c r="C729" s="9"/>
      <c r="D729" t="str">
        <f>"F54D1.17"</f>
        <v>F54D1.17</v>
      </c>
      <c r="F729" t="s">
        <v>481</v>
      </c>
      <c r="H729" s="12">
        <v>-3.7261494131482999</v>
      </c>
      <c r="I729" s="11">
        <v>-0.38454673129429601</v>
      </c>
      <c r="J729" s="10">
        <v>0.70057326682554</v>
      </c>
      <c r="K729" s="29">
        <v>0.98289565623980701</v>
      </c>
    </row>
    <row r="730" spans="1:11" x14ac:dyDescent="0.35">
      <c r="A730" s="9" t="str">
        <f>HYPERLINK("http://www.ensembl.org/id/WBGene00201073", "WBGene00201073")</f>
        <v>WBGene00201073</v>
      </c>
      <c r="B730" s="9"/>
      <c r="C730" s="9"/>
      <c r="D730" t="str">
        <f>"F54H5.9"</f>
        <v>F54H5.9</v>
      </c>
      <c r="F730" t="s">
        <v>481</v>
      </c>
      <c r="H730" s="12">
        <v>-3.7261494131482999</v>
      </c>
      <c r="I730" s="11">
        <v>-0.38454673129429601</v>
      </c>
      <c r="J730" s="10">
        <v>0.70057326682554</v>
      </c>
      <c r="K730" s="29">
        <v>0.98289565623980701</v>
      </c>
    </row>
    <row r="731" spans="1:11" x14ac:dyDescent="0.35">
      <c r="A731" s="9" t="str">
        <f>HYPERLINK("http://www.ensembl.org/id/WBGene00196578", "WBGene00196578")</f>
        <v>WBGene00196578</v>
      </c>
      <c r="B731" s="9"/>
      <c r="C731" s="9"/>
      <c r="D731" t="str">
        <f>"F55C12.10"</f>
        <v>F55C12.10</v>
      </c>
      <c r="F731" t="s">
        <v>481</v>
      </c>
      <c r="H731" s="12">
        <v>-3.7261494131482999</v>
      </c>
      <c r="I731" s="11">
        <v>-0.38454673129429601</v>
      </c>
      <c r="J731" s="10">
        <v>0.70057326682554</v>
      </c>
      <c r="K731" s="29">
        <v>0.98289565623980701</v>
      </c>
    </row>
    <row r="732" spans="1:11" x14ac:dyDescent="0.35">
      <c r="A732" s="9" t="str">
        <f>HYPERLINK("http://www.ensembl.org/id/WBGene00196672", "WBGene00196672")</f>
        <v>WBGene00196672</v>
      </c>
      <c r="B732" s="9"/>
      <c r="C732" s="9"/>
      <c r="D732" t="str">
        <f>"F57G12.4"</f>
        <v>F57G12.4</v>
      </c>
      <c r="F732" t="s">
        <v>481</v>
      </c>
      <c r="H732" s="12">
        <v>-3.7261494131482999</v>
      </c>
      <c r="I732" s="11">
        <v>-0.38454673129429601</v>
      </c>
      <c r="J732" s="10">
        <v>0.70057326682554</v>
      </c>
      <c r="K732" s="29">
        <v>0.98289565623980701</v>
      </c>
    </row>
    <row r="733" spans="1:11" x14ac:dyDescent="0.35">
      <c r="A733" s="9" t="str">
        <f>HYPERLINK("http://www.ensembl.org/id/WBGene00199085", "WBGene00199085")</f>
        <v>WBGene00199085</v>
      </c>
      <c r="B733" s="9"/>
      <c r="C733" s="9"/>
      <c r="D733" t="str">
        <f>"F57G12.9"</f>
        <v>F57G12.9</v>
      </c>
      <c r="F733" t="s">
        <v>481</v>
      </c>
      <c r="H733" s="12">
        <v>-3.7261494131482999</v>
      </c>
      <c r="I733" s="11">
        <v>-0.38454673129429601</v>
      </c>
      <c r="J733" s="10">
        <v>0.70057326682554</v>
      </c>
      <c r="K733" s="29">
        <v>0.98289565623980701</v>
      </c>
    </row>
    <row r="734" spans="1:11" x14ac:dyDescent="0.35">
      <c r="A734" s="9" t="str">
        <f>HYPERLINK("http://www.ensembl.org/id/WBGene00197674", "WBGene00197674")</f>
        <v>WBGene00197674</v>
      </c>
      <c r="B734" s="9"/>
      <c r="C734" s="9"/>
      <c r="D734" t="str">
        <f>"F58H1.16"</f>
        <v>F58H1.16</v>
      </c>
      <c r="F734" t="s">
        <v>481</v>
      </c>
      <c r="H734" s="12">
        <v>-3.7261494131482999</v>
      </c>
      <c r="I734" s="11">
        <v>-0.38454673129429601</v>
      </c>
      <c r="J734" s="10">
        <v>0.70057326682554</v>
      </c>
      <c r="K734" s="29">
        <v>0.98289565623980701</v>
      </c>
    </row>
    <row r="735" spans="1:11" x14ac:dyDescent="0.35">
      <c r="A735" s="9" t="str">
        <f>HYPERLINK("http://www.ensembl.org/id/WBGene00044664", "WBGene00044664")</f>
        <v>WBGene00044664</v>
      </c>
      <c r="B735" s="9" t="str">
        <f>HYPERLINK("http://www.ncbi.nlm.nih.gov/gene/4363019", "4363019")</f>
        <v>4363019</v>
      </c>
      <c r="C735" s="9"/>
      <c r="D735" t="str">
        <f>"F59A6.11"</f>
        <v>F59A6.11</v>
      </c>
      <c r="F735" t="s">
        <v>11</v>
      </c>
      <c r="H735" s="12">
        <v>-3.7261494131482999</v>
      </c>
      <c r="I735" s="11">
        <v>-0.38454673129429601</v>
      </c>
      <c r="J735" s="10">
        <v>0.70057326682554</v>
      </c>
      <c r="K735" s="29">
        <v>0.98289565623980701</v>
      </c>
    </row>
    <row r="736" spans="1:11" x14ac:dyDescent="0.35">
      <c r="A736" s="9" t="str">
        <f>HYPERLINK("http://www.ensembl.org/id/WBGene00008012", "WBGene00008012")</f>
        <v>WBGene00008012</v>
      </c>
      <c r="B736" s="9" t="str">
        <f>HYPERLINK("http://www.ncbi.nlm.nih.gov/gene/183315", "183315")</f>
        <v>183315</v>
      </c>
      <c r="C736" s="9"/>
      <c r="D736" t="str">
        <f>"fbxa-133"</f>
        <v>fbxa-133</v>
      </c>
      <c r="E736" t="s">
        <v>467</v>
      </c>
      <c r="F736" t="s">
        <v>11</v>
      </c>
      <c r="H736" s="12">
        <v>-3.7261494131482999</v>
      </c>
      <c r="I736" s="11">
        <v>-0.38454673129429601</v>
      </c>
      <c r="J736" s="10">
        <v>0.70057326682554</v>
      </c>
      <c r="K736" s="29">
        <v>0.98289565623980701</v>
      </c>
    </row>
    <row r="737" spans="1:11" x14ac:dyDescent="0.35">
      <c r="A737" s="9" t="str">
        <f>HYPERLINK("http://www.ensembl.org/id/WBGene00015520", "WBGene00015520")</f>
        <v>WBGene00015520</v>
      </c>
      <c r="B737" s="9" t="str">
        <f>HYPERLINK("http://www.ncbi.nlm.nih.gov/gene/182314", "182314")</f>
        <v>182314</v>
      </c>
      <c r="C737" s="9"/>
      <c r="D737" t="str">
        <f>"fip-3"</f>
        <v>fip-3</v>
      </c>
      <c r="E737" t="s">
        <v>10102</v>
      </c>
      <c r="F737" t="s">
        <v>11</v>
      </c>
      <c r="H737" s="12">
        <v>-3.7261494131482999</v>
      </c>
      <c r="I737" s="11">
        <v>-0.38454673129429601</v>
      </c>
      <c r="J737" s="10">
        <v>0.70057326682554</v>
      </c>
      <c r="K737" s="29">
        <v>0.98289565623980701</v>
      </c>
    </row>
    <row r="738" spans="1:11" x14ac:dyDescent="0.35">
      <c r="A738" s="9" t="str">
        <f>HYPERLINK("http://www.ensembl.org/id/WBGene00001728", "WBGene00001728")</f>
        <v>WBGene00001728</v>
      </c>
      <c r="B738" s="9" t="str">
        <f>HYPERLINK("http://www.ncbi.nlm.nih.gov/gene/176843", "176843")</f>
        <v>176843</v>
      </c>
      <c r="C738" s="9"/>
      <c r="D738" t="str">
        <f>"grl-19"</f>
        <v>grl-19</v>
      </c>
      <c r="E738" t="s">
        <v>353</v>
      </c>
      <c r="F738" t="s">
        <v>11</v>
      </c>
      <c r="H738" s="12">
        <v>-3.7261494131482999</v>
      </c>
      <c r="I738" s="11">
        <v>-0.38454673129429601</v>
      </c>
      <c r="J738" s="10">
        <v>0.70057326682554</v>
      </c>
      <c r="K738" s="29">
        <v>0.98289565623980701</v>
      </c>
    </row>
    <row r="739" spans="1:11" x14ac:dyDescent="0.35">
      <c r="A739" s="9" t="str">
        <f>HYPERLINK("http://www.ensembl.org/id/WBGene00195989", "WBGene00195989")</f>
        <v>WBGene00195989</v>
      </c>
      <c r="B739" s="9"/>
      <c r="C739" s="9"/>
      <c r="D739" t="str">
        <f>"K02A11.5"</f>
        <v>K02A11.5</v>
      </c>
      <c r="F739" t="s">
        <v>481</v>
      </c>
      <c r="H739" s="12">
        <v>-3.7261494131482999</v>
      </c>
      <c r="I739" s="11">
        <v>-0.38454673129429601</v>
      </c>
      <c r="J739" s="10">
        <v>0.70057326682554</v>
      </c>
      <c r="K739" s="29">
        <v>0.98289565623980701</v>
      </c>
    </row>
    <row r="740" spans="1:11" x14ac:dyDescent="0.35">
      <c r="A740" s="9" t="str">
        <f>HYPERLINK("http://www.ensembl.org/id/WBGene00200162", "WBGene00200162")</f>
        <v>WBGene00200162</v>
      </c>
      <c r="B740" s="9"/>
      <c r="C740" s="9"/>
      <c r="D740" t="str">
        <f>"K02F3.13"</f>
        <v>K02F3.13</v>
      </c>
      <c r="F740" t="s">
        <v>481</v>
      </c>
      <c r="H740" s="12">
        <v>-3.7261494131482999</v>
      </c>
      <c r="I740" s="11">
        <v>-0.38454673129429601</v>
      </c>
      <c r="J740" s="10">
        <v>0.70057326682554</v>
      </c>
      <c r="K740" s="29">
        <v>0.98289565623980701</v>
      </c>
    </row>
    <row r="741" spans="1:11" x14ac:dyDescent="0.35">
      <c r="A741" s="9" t="str">
        <f>HYPERLINK("http://www.ensembl.org/id/WBGene00196634", "WBGene00196634")</f>
        <v>WBGene00196634</v>
      </c>
      <c r="B741" s="9"/>
      <c r="C741" s="9"/>
      <c r="D741" t="str">
        <f>"K03C7.6"</f>
        <v>K03C7.6</v>
      </c>
      <c r="F741" t="s">
        <v>481</v>
      </c>
      <c r="H741" s="12">
        <v>-3.7261494131482999</v>
      </c>
      <c r="I741" s="11">
        <v>-0.38454673129429601</v>
      </c>
      <c r="J741" s="10">
        <v>0.70057326682554</v>
      </c>
      <c r="K741" s="29">
        <v>0.98289565623980701</v>
      </c>
    </row>
    <row r="742" spans="1:11" x14ac:dyDescent="0.35">
      <c r="A742" s="9" t="str">
        <f>HYPERLINK("http://www.ensembl.org/id/WBGene00197236", "WBGene00197236")</f>
        <v>WBGene00197236</v>
      </c>
      <c r="B742" s="9"/>
      <c r="C742" s="9"/>
      <c r="D742" t="str">
        <f>"K03H9.8"</f>
        <v>K03H9.8</v>
      </c>
      <c r="F742" t="s">
        <v>481</v>
      </c>
      <c r="H742" s="12">
        <v>-3.7261494131482999</v>
      </c>
      <c r="I742" s="11">
        <v>-0.38454673129429601</v>
      </c>
      <c r="J742" s="10">
        <v>0.70057326682554</v>
      </c>
      <c r="K742" s="29">
        <v>0.98289565623980701</v>
      </c>
    </row>
    <row r="743" spans="1:11" x14ac:dyDescent="0.35">
      <c r="A743" s="9" t="str">
        <f>HYPERLINK("http://www.ensembl.org/id/WBGene00200772", "WBGene00200772")</f>
        <v>WBGene00200772</v>
      </c>
      <c r="B743" s="9"/>
      <c r="C743" s="9"/>
      <c r="D743" t="str">
        <f>"K07C5.16"</f>
        <v>K07C5.16</v>
      </c>
      <c r="F743" t="s">
        <v>481</v>
      </c>
      <c r="H743" s="12">
        <v>-3.7261494131482999</v>
      </c>
      <c r="I743" s="11">
        <v>-0.38454673129429601</v>
      </c>
      <c r="J743" s="10">
        <v>0.70057326682554</v>
      </c>
      <c r="K743" s="29">
        <v>0.98289565623980701</v>
      </c>
    </row>
    <row r="744" spans="1:11" x14ac:dyDescent="0.35">
      <c r="A744" s="9" t="str">
        <f>HYPERLINK("http://www.ensembl.org/id/WBGene00220012", "WBGene00220012")</f>
        <v>WBGene00220012</v>
      </c>
      <c r="B744" s="9"/>
      <c r="C744" s="9"/>
      <c r="D744" t="str">
        <f>"K08F11.8"</f>
        <v>K08F11.8</v>
      </c>
      <c r="F744" t="s">
        <v>2977</v>
      </c>
      <c r="H744" s="12">
        <v>-3.7261494131482999</v>
      </c>
      <c r="I744" s="11">
        <v>-0.38454673129429601</v>
      </c>
      <c r="J744" s="10">
        <v>0.70057326682554</v>
      </c>
      <c r="K744" s="29">
        <v>0.98289565623980701</v>
      </c>
    </row>
    <row r="745" spans="1:11" x14ac:dyDescent="0.35">
      <c r="A745" s="9" t="str">
        <f>HYPERLINK("http://www.ensembl.org/id/WBGene00197122", "WBGene00197122")</f>
        <v>WBGene00197122</v>
      </c>
      <c r="B745" s="9"/>
      <c r="C745" s="9"/>
      <c r="D745" t="str">
        <f>"K11D5.1"</f>
        <v>K11D5.1</v>
      </c>
      <c r="F745" t="s">
        <v>481</v>
      </c>
      <c r="H745" s="12">
        <v>-3.7261494131482999</v>
      </c>
      <c r="I745" s="11">
        <v>-0.38454673129429601</v>
      </c>
      <c r="J745" s="10">
        <v>0.70057326682554</v>
      </c>
      <c r="K745" s="29">
        <v>0.98289565623980701</v>
      </c>
    </row>
    <row r="746" spans="1:11" x14ac:dyDescent="0.35">
      <c r="A746" s="9" t="str">
        <f>HYPERLINK("http://www.ensembl.org/id/WBGene00201995", "WBGene00201995")</f>
        <v>WBGene00201995</v>
      </c>
      <c r="B746" s="9"/>
      <c r="C746" s="9"/>
      <c r="D746" t="str">
        <f>"K12G11.13"</f>
        <v>K12G11.13</v>
      </c>
      <c r="F746" t="s">
        <v>481</v>
      </c>
      <c r="H746" s="12">
        <v>-3.7261494131482999</v>
      </c>
      <c r="I746" s="11">
        <v>-0.38454673129429601</v>
      </c>
      <c r="J746" s="10">
        <v>0.70057326682554</v>
      </c>
      <c r="K746" s="29">
        <v>0.98289565623980701</v>
      </c>
    </row>
    <row r="747" spans="1:11" x14ac:dyDescent="0.35">
      <c r="A747" s="9" t="str">
        <f>HYPERLINK("http://www.ensembl.org/id/WBGene00196213", "WBGene00196213")</f>
        <v>WBGene00196213</v>
      </c>
      <c r="B747" s="9"/>
      <c r="C747" s="9"/>
      <c r="D747" t="str">
        <f>"K12G11.7"</f>
        <v>K12G11.7</v>
      </c>
      <c r="F747" t="s">
        <v>481</v>
      </c>
      <c r="H747" s="12">
        <v>-3.7261494131482999</v>
      </c>
      <c r="I747" s="11">
        <v>-0.38454673129429601</v>
      </c>
      <c r="J747" s="10">
        <v>0.70057326682554</v>
      </c>
      <c r="K747" s="29">
        <v>0.98289565623980701</v>
      </c>
    </row>
    <row r="748" spans="1:11" x14ac:dyDescent="0.35">
      <c r="A748" s="9" t="str">
        <f>HYPERLINK("http://www.ensembl.org/id/WBGene00220029", "WBGene00220029")</f>
        <v>WBGene00220029</v>
      </c>
      <c r="B748" s="9"/>
      <c r="C748" s="9"/>
      <c r="D748" t="str">
        <f>"M03D4.78"</f>
        <v>M03D4.78</v>
      </c>
      <c r="F748" t="s">
        <v>2977</v>
      </c>
      <c r="H748" s="12">
        <v>-3.7261494131482999</v>
      </c>
      <c r="I748" s="11">
        <v>-0.38454673129429601</v>
      </c>
      <c r="J748" s="10">
        <v>0.70057326682554</v>
      </c>
      <c r="K748" s="29">
        <v>0.98289565623980701</v>
      </c>
    </row>
    <row r="749" spans="1:11" x14ac:dyDescent="0.35">
      <c r="A749" s="9" t="str">
        <f>HYPERLINK("http://www.ensembl.org/id/WBGene00045319", "WBGene00045319")</f>
        <v>WBGene00045319</v>
      </c>
      <c r="B749" s="9"/>
      <c r="C749" s="9"/>
      <c r="D749" t="str">
        <f>"M04B2.8"</f>
        <v>M04B2.8</v>
      </c>
      <c r="F749" t="s">
        <v>80</v>
      </c>
      <c r="H749" s="12">
        <v>-3.7261494131482999</v>
      </c>
      <c r="I749" s="11">
        <v>-0.38454673129429601</v>
      </c>
      <c r="J749" s="10">
        <v>0.70057326682554</v>
      </c>
      <c r="K749" s="29">
        <v>0.98289565623980701</v>
      </c>
    </row>
    <row r="750" spans="1:11" x14ac:dyDescent="0.35">
      <c r="A750" s="9" t="str">
        <f>HYPERLINK("http://www.ensembl.org/id/WBGene00014447", "WBGene00014447")</f>
        <v>WBGene00014447</v>
      </c>
      <c r="B750" s="9"/>
      <c r="C750" s="9"/>
      <c r="D750" t="str">
        <f>"M106.6"</f>
        <v>M106.6</v>
      </c>
      <c r="F750" t="s">
        <v>2977</v>
      </c>
      <c r="H750" s="12">
        <v>-3.7261494131482999</v>
      </c>
      <c r="I750" s="11">
        <v>-0.38454673129429601</v>
      </c>
      <c r="J750" s="10">
        <v>0.70057326682554</v>
      </c>
      <c r="K750" s="29">
        <v>0.98289565623980701</v>
      </c>
    </row>
    <row r="751" spans="1:11" x14ac:dyDescent="0.35">
      <c r="A751" s="9" t="str">
        <f>HYPERLINK("http://www.ensembl.org/id/WBGene00019788", "WBGene00019788")</f>
        <v>WBGene00019788</v>
      </c>
      <c r="B751" s="9" t="str">
        <f>HYPERLINK("http://www.ncbi.nlm.nih.gov/gene/177641", "177641")</f>
        <v>177641</v>
      </c>
      <c r="C751" s="9"/>
      <c r="D751" t="str">
        <f>"M116.1"</f>
        <v>M116.1</v>
      </c>
      <c r="E751" t="s">
        <v>90</v>
      </c>
      <c r="F751" t="s">
        <v>11</v>
      </c>
      <c r="G751" t="s">
        <v>54</v>
      </c>
      <c r="H751" s="12">
        <v>-3.7261494131482999</v>
      </c>
      <c r="I751" s="11">
        <v>-0.38454673129429601</v>
      </c>
      <c r="J751" s="10">
        <v>0.70057326682554</v>
      </c>
      <c r="K751" s="29">
        <v>0.98289565623980701</v>
      </c>
    </row>
    <row r="752" spans="1:11" x14ac:dyDescent="0.35">
      <c r="A752" s="9" t="str">
        <f>HYPERLINK("http://www.ensembl.org/id/WBGene00077666", "WBGene00077666")</f>
        <v>WBGene00077666</v>
      </c>
      <c r="B752" s="9"/>
      <c r="C752" s="9"/>
      <c r="D752" t="str">
        <f>"M162.13"</f>
        <v>M162.13</v>
      </c>
      <c r="F752" t="s">
        <v>80</v>
      </c>
      <c r="H752" s="12">
        <v>-3.7261494131482999</v>
      </c>
      <c r="I752" s="11">
        <v>-0.38454673129429601</v>
      </c>
      <c r="J752" s="10">
        <v>0.70057326682554</v>
      </c>
      <c r="K752" s="29">
        <v>0.98289565623980701</v>
      </c>
    </row>
    <row r="753" spans="1:11" x14ac:dyDescent="0.35">
      <c r="A753" s="9" t="str">
        <f>HYPERLINK("http://www.ensembl.org/id/WBGene00045158", "WBGene00045158")</f>
        <v>WBGene00045158</v>
      </c>
      <c r="B753" s="9"/>
      <c r="C753" s="9"/>
      <c r="D753" t="str">
        <f>"M163.14"</f>
        <v>M163.14</v>
      </c>
      <c r="F753" t="s">
        <v>2977</v>
      </c>
      <c r="H753" s="12">
        <v>-3.7261494131482999</v>
      </c>
      <c r="I753" s="11">
        <v>-0.38454673129429601</v>
      </c>
      <c r="J753" s="10">
        <v>0.70057326682554</v>
      </c>
      <c r="K753" s="29">
        <v>0.98289565623980701</v>
      </c>
    </row>
    <row r="754" spans="1:11" x14ac:dyDescent="0.35">
      <c r="A754" s="9" t="str">
        <f>HYPERLINK("http://www.ensembl.org/id/WBGene00304194", "WBGene00304194")</f>
        <v>WBGene00304194</v>
      </c>
      <c r="B754" s="9"/>
      <c r="C754" s="9"/>
      <c r="D754" t="str">
        <f>"M163.21"</f>
        <v>M163.21</v>
      </c>
      <c r="F754" t="s">
        <v>11</v>
      </c>
      <c r="H754" s="12">
        <v>-3.7261494131482999</v>
      </c>
      <c r="I754" s="11">
        <v>-0.38454673129429601</v>
      </c>
      <c r="J754" s="10">
        <v>0.70057326682554</v>
      </c>
      <c r="K754" s="29">
        <v>0.98289565623980701</v>
      </c>
    </row>
    <row r="755" spans="1:11" x14ac:dyDescent="0.35">
      <c r="A755" s="9" t="str">
        <f>HYPERLINK("http://www.ensembl.org/id/WBGene00003340", "WBGene00003340")</f>
        <v>WBGene00003340</v>
      </c>
      <c r="B755" s="9"/>
      <c r="C755" s="9"/>
      <c r="D755" t="str">
        <f>"mir-246"</f>
        <v>mir-246</v>
      </c>
      <c r="F755" t="s">
        <v>1486</v>
      </c>
      <c r="H755" s="12">
        <v>-3.7261494131482999</v>
      </c>
      <c r="I755" s="11">
        <v>-0.38454673129429601</v>
      </c>
      <c r="J755" s="10">
        <v>0.70057326682554</v>
      </c>
      <c r="K755" s="29">
        <v>0.98289565623980701</v>
      </c>
    </row>
    <row r="756" spans="1:11" x14ac:dyDescent="0.35">
      <c r="A756" s="9" t="str">
        <f>HYPERLINK("http://www.ensembl.org/id/WBGene00044276", "WBGene00044276")</f>
        <v>WBGene00044276</v>
      </c>
      <c r="B756" s="9"/>
      <c r="C756" s="9"/>
      <c r="D756" t="str">
        <f>"nspa-11"</f>
        <v>nspa-11</v>
      </c>
      <c r="F756" t="s">
        <v>80</v>
      </c>
      <c r="H756" s="12">
        <v>-3.7261494131482999</v>
      </c>
      <c r="I756" s="11">
        <v>-0.38454673129429601</v>
      </c>
      <c r="J756" s="10">
        <v>0.70057326682554</v>
      </c>
      <c r="K756" s="29">
        <v>0.98289565623980701</v>
      </c>
    </row>
    <row r="757" spans="1:11" x14ac:dyDescent="0.35">
      <c r="A757" s="9" t="str">
        <f>HYPERLINK("http://www.ensembl.org/id/WBGene00201120", "WBGene00201120")</f>
        <v>WBGene00201120</v>
      </c>
      <c r="B757" s="9"/>
      <c r="C757" s="9"/>
      <c r="D757" t="str">
        <f>"R07B1.22"</f>
        <v>R07B1.22</v>
      </c>
      <c r="F757" t="s">
        <v>481</v>
      </c>
      <c r="H757" s="12">
        <v>-3.7261494131482999</v>
      </c>
      <c r="I757" s="11">
        <v>-0.38454673129429601</v>
      </c>
      <c r="J757" s="10">
        <v>0.70057326682554</v>
      </c>
      <c r="K757" s="29">
        <v>0.98289565623980701</v>
      </c>
    </row>
    <row r="758" spans="1:11" x14ac:dyDescent="0.35">
      <c r="A758" s="9" t="str">
        <f>HYPERLINK("http://www.ensembl.org/id/WBGene00219318", "WBGene00219318")</f>
        <v>WBGene00219318</v>
      </c>
      <c r="B758" s="9" t="str">
        <f>HYPERLINK("http://www.ncbi.nlm.nih.gov/gene/13216656", "13216656")</f>
        <v>13216656</v>
      </c>
      <c r="C758" s="9"/>
      <c r="D758" t="str">
        <f>"R08A2.9"</f>
        <v>R08A2.9</v>
      </c>
      <c r="F758" t="s">
        <v>11</v>
      </c>
      <c r="H758" s="12">
        <v>-3.7261494131482999</v>
      </c>
      <c r="I758" s="11">
        <v>-0.38454673129429601</v>
      </c>
      <c r="J758" s="10">
        <v>0.70057326682554</v>
      </c>
      <c r="K758" s="29">
        <v>0.98289565623980701</v>
      </c>
    </row>
    <row r="759" spans="1:11" x14ac:dyDescent="0.35">
      <c r="A759" s="9" t="str">
        <f>HYPERLINK("http://www.ensembl.org/id/WBGene00200360", "WBGene00200360")</f>
        <v>WBGene00200360</v>
      </c>
      <c r="B759" s="9"/>
      <c r="C759" s="9"/>
      <c r="D759" t="str">
        <f>"R11B5.9"</f>
        <v>R11B5.9</v>
      </c>
      <c r="F759" t="s">
        <v>481</v>
      </c>
      <c r="H759" s="12">
        <v>-3.7261494131482999</v>
      </c>
      <c r="I759" s="11">
        <v>-0.38454673129429601</v>
      </c>
      <c r="J759" s="10">
        <v>0.70057326682554</v>
      </c>
      <c r="K759" s="29">
        <v>0.98289565623980701</v>
      </c>
    </row>
    <row r="760" spans="1:11" x14ac:dyDescent="0.35">
      <c r="A760" s="9" t="str">
        <f>HYPERLINK("http://www.ensembl.org/id/WBGene00197637", "WBGene00197637")</f>
        <v>WBGene00197637</v>
      </c>
      <c r="B760" s="9"/>
      <c r="C760" s="9"/>
      <c r="D760" t="str">
        <f>"R13F6.13"</f>
        <v>R13F6.13</v>
      </c>
      <c r="F760" t="s">
        <v>481</v>
      </c>
      <c r="H760" s="12">
        <v>-3.7261494131482999</v>
      </c>
      <c r="I760" s="11">
        <v>-0.38454673129429601</v>
      </c>
      <c r="J760" s="10">
        <v>0.70057326682554</v>
      </c>
      <c r="K760" s="29">
        <v>0.98289565623980701</v>
      </c>
    </row>
    <row r="761" spans="1:11" x14ac:dyDescent="0.35">
      <c r="A761" s="9" t="str">
        <f>HYPERLINK("http://www.ensembl.org/id/WBGene00197913", "WBGene00197913")</f>
        <v>WBGene00197913</v>
      </c>
      <c r="B761" s="9"/>
      <c r="C761" s="9"/>
      <c r="D761" t="str">
        <f>"R90.7"</f>
        <v>R90.7</v>
      </c>
      <c r="F761" t="s">
        <v>481</v>
      </c>
      <c r="H761" s="12">
        <v>-3.7261494131482999</v>
      </c>
      <c r="I761" s="11">
        <v>-0.38454673129429601</v>
      </c>
      <c r="J761" s="10">
        <v>0.70057326682554</v>
      </c>
      <c r="K761" s="29">
        <v>0.98289565623980701</v>
      </c>
    </row>
    <row r="762" spans="1:11" x14ac:dyDescent="0.35">
      <c r="A762" s="9" t="str">
        <f>HYPERLINK("http://www.ensembl.org/id/WBGene00013971", "WBGene00013971")</f>
        <v>WBGene00013971</v>
      </c>
      <c r="B762" s="9" t="str">
        <f>HYPERLINK("http://www.ncbi.nlm.nih.gov/gene/191308", "191308")</f>
        <v>191308</v>
      </c>
      <c r="C762" s="9"/>
      <c r="D762" t="str">
        <f>"scl-19"</f>
        <v>scl-19</v>
      </c>
      <c r="E762" t="s">
        <v>162</v>
      </c>
      <c r="F762" t="s">
        <v>11</v>
      </c>
      <c r="G762" t="s">
        <v>63</v>
      </c>
      <c r="H762" s="12">
        <v>-3.7261494131482999</v>
      </c>
      <c r="I762" s="11">
        <v>-0.38454673129429601</v>
      </c>
      <c r="J762" s="10">
        <v>0.70057326682554</v>
      </c>
      <c r="K762" s="29">
        <v>0.98289565623980701</v>
      </c>
    </row>
    <row r="763" spans="1:11" x14ac:dyDescent="0.35">
      <c r="A763" s="9" t="str">
        <f>HYPERLINK("http://www.ensembl.org/id/WBGene00004851", "WBGene00004851")</f>
        <v>WBGene00004851</v>
      </c>
      <c r="B763" s="9"/>
      <c r="C763" s="9"/>
      <c r="D763" t="str">
        <f>"sls-2.19"</f>
        <v>sls-2.19</v>
      </c>
      <c r="F763" t="s">
        <v>80</v>
      </c>
      <c r="H763" s="12">
        <v>-3.7261494131482999</v>
      </c>
      <c r="I763" s="11">
        <v>-0.38454673129429601</v>
      </c>
      <c r="J763" s="10">
        <v>0.70057326682554</v>
      </c>
      <c r="K763" s="29">
        <v>0.98289565623980701</v>
      </c>
    </row>
    <row r="764" spans="1:11" x14ac:dyDescent="0.35">
      <c r="A764" s="9" t="str">
        <f>HYPERLINK("http://www.ensembl.org/id/WBGene00004840", "WBGene00004840")</f>
        <v>WBGene00004840</v>
      </c>
      <c r="B764" s="9"/>
      <c r="C764" s="9"/>
      <c r="D764" t="str">
        <f>"sls-2.8"</f>
        <v>sls-2.8</v>
      </c>
      <c r="F764" t="s">
        <v>4205</v>
      </c>
      <c r="H764" s="12">
        <v>-3.7261494131482999</v>
      </c>
      <c r="I764" s="11">
        <v>-0.38454673129429601</v>
      </c>
      <c r="J764" s="10">
        <v>0.70057326682554</v>
      </c>
      <c r="K764" s="29">
        <v>0.98289565623980701</v>
      </c>
    </row>
    <row r="765" spans="1:11" x14ac:dyDescent="0.35">
      <c r="A765" s="9" t="str">
        <f>HYPERLINK("http://www.ensembl.org/id/WBGene00005073", "WBGene00005073")</f>
        <v>WBGene00005073</v>
      </c>
      <c r="B765" s="9" t="str">
        <f>HYPERLINK("http://www.ncbi.nlm.nih.gov/gene/191790", "191790")</f>
        <v>191790</v>
      </c>
      <c r="C765" s="9"/>
      <c r="D765" t="str">
        <f>"srb-8"</f>
        <v>srb-8</v>
      </c>
      <c r="E765" t="s">
        <v>10103</v>
      </c>
      <c r="F765" t="s">
        <v>11</v>
      </c>
      <c r="G765" t="s">
        <v>1829</v>
      </c>
      <c r="H765" s="12">
        <v>-3.7261494131482999</v>
      </c>
      <c r="I765" s="11">
        <v>-0.38454673129429601</v>
      </c>
      <c r="J765" s="10">
        <v>0.70057326682554</v>
      </c>
      <c r="K765" s="29">
        <v>0.98289565623980701</v>
      </c>
    </row>
    <row r="766" spans="1:11" x14ac:dyDescent="0.35">
      <c r="A766" s="9" t="str">
        <f>HYPERLINK("http://www.ensembl.org/id/WBGene00021166", "WBGene00021166")</f>
        <v>WBGene00021166</v>
      </c>
      <c r="B766" s="9" t="str">
        <f>HYPERLINK("http://www.ncbi.nlm.nih.gov/gene/189363", "189363")</f>
        <v>189363</v>
      </c>
      <c r="C766" s="9"/>
      <c r="D766" t="str">
        <f>"srbc-42"</f>
        <v>srbc-42</v>
      </c>
      <c r="E766" t="s">
        <v>3034</v>
      </c>
      <c r="F766" t="s">
        <v>11</v>
      </c>
      <c r="G766" t="s">
        <v>25</v>
      </c>
      <c r="H766" s="12">
        <v>-3.7261494131482999</v>
      </c>
      <c r="I766" s="11">
        <v>-0.38454673129429601</v>
      </c>
      <c r="J766" s="10">
        <v>0.70057326682554</v>
      </c>
      <c r="K766" s="29">
        <v>0.98289565623980701</v>
      </c>
    </row>
    <row r="767" spans="1:11" x14ac:dyDescent="0.35">
      <c r="A767" s="9" t="str">
        <f>HYPERLINK("http://www.ensembl.org/id/WBGene00005201", "WBGene00005201")</f>
        <v>WBGene00005201</v>
      </c>
      <c r="B767" s="9" t="str">
        <f>HYPERLINK("http://www.ncbi.nlm.nih.gov/gene/185159", "185159")</f>
        <v>185159</v>
      </c>
      <c r="C767" s="9"/>
      <c r="D767" t="str">
        <f>"srg-44"</f>
        <v>srg-44</v>
      </c>
      <c r="E767" t="s">
        <v>1828</v>
      </c>
      <c r="F767" t="s">
        <v>11</v>
      </c>
      <c r="G767" t="s">
        <v>1829</v>
      </c>
      <c r="H767" s="12">
        <v>-3.7261494131482999</v>
      </c>
      <c r="I767" s="11">
        <v>-0.38454673129429601</v>
      </c>
      <c r="J767" s="10">
        <v>0.70057326682554</v>
      </c>
      <c r="K767" s="29">
        <v>0.98289565623980701</v>
      </c>
    </row>
    <row r="768" spans="1:11" x14ac:dyDescent="0.35">
      <c r="A768" s="9" t="str">
        <f>HYPERLINK("http://www.ensembl.org/id/WBGene00045309", "WBGene00045309")</f>
        <v>WBGene00045309</v>
      </c>
      <c r="B768" s="9"/>
      <c r="C768" s="9"/>
      <c r="D768" t="str">
        <f>"srg-52"</f>
        <v>srg-52</v>
      </c>
      <c r="F768" t="s">
        <v>80</v>
      </c>
      <c r="H768" s="12">
        <v>-3.7261494131482999</v>
      </c>
      <c r="I768" s="11">
        <v>-0.38454673129429601</v>
      </c>
      <c r="J768" s="10">
        <v>0.70057326682554</v>
      </c>
      <c r="K768" s="29">
        <v>0.98289565623980701</v>
      </c>
    </row>
    <row r="769" spans="1:11" x14ac:dyDescent="0.35">
      <c r="A769" s="9" t="str">
        <f>HYPERLINK("http://www.ensembl.org/id/WBGene00005336", "WBGene00005336")</f>
        <v>WBGene00005336</v>
      </c>
      <c r="B769" s="9"/>
      <c r="C769" s="9"/>
      <c r="D769" t="str">
        <f>"srh-117"</f>
        <v>srh-117</v>
      </c>
      <c r="F769" t="s">
        <v>80</v>
      </c>
      <c r="H769" s="12">
        <v>-3.7261494131482999</v>
      </c>
      <c r="I769" s="11">
        <v>-0.38454673129429601</v>
      </c>
      <c r="J769" s="10">
        <v>0.70057326682554</v>
      </c>
      <c r="K769" s="29">
        <v>0.98289565623980701</v>
      </c>
    </row>
    <row r="770" spans="1:11" x14ac:dyDescent="0.35">
      <c r="A770" s="9" t="str">
        <f>HYPERLINK("http://www.ensembl.org/id/WBGene00005341", "WBGene00005341")</f>
        <v>WBGene00005341</v>
      </c>
      <c r="B770" s="9" t="str">
        <f>HYPERLINK("http://www.ncbi.nlm.nih.gov/gene/184184", "184184")</f>
        <v>184184</v>
      </c>
      <c r="C770" s="9"/>
      <c r="D770" t="str">
        <f>"srh-123"</f>
        <v>srh-123</v>
      </c>
      <c r="E770" t="s">
        <v>153</v>
      </c>
      <c r="F770" t="s">
        <v>11</v>
      </c>
      <c r="G770" t="s">
        <v>25</v>
      </c>
      <c r="H770" s="12">
        <v>-3.7261494131482999</v>
      </c>
      <c r="I770" s="11">
        <v>-0.38454673129429601</v>
      </c>
      <c r="J770" s="10">
        <v>0.70057326682554</v>
      </c>
      <c r="K770" s="29">
        <v>0.98289565623980701</v>
      </c>
    </row>
    <row r="771" spans="1:11" x14ac:dyDescent="0.35">
      <c r="A771" s="9" t="str">
        <f>HYPERLINK("http://www.ensembl.org/id/WBGene00005348", "WBGene00005348")</f>
        <v>WBGene00005348</v>
      </c>
      <c r="B771" s="9" t="str">
        <f>HYPERLINK("http://www.ncbi.nlm.nih.gov/gene/190853", "190853")</f>
        <v>190853</v>
      </c>
      <c r="C771" s="9"/>
      <c r="D771" t="str">
        <f>"srh-131"</f>
        <v>srh-131</v>
      </c>
      <c r="E771" t="s">
        <v>153</v>
      </c>
      <c r="F771" t="s">
        <v>11</v>
      </c>
      <c r="G771" t="s">
        <v>25</v>
      </c>
      <c r="H771" s="12">
        <v>-3.7261494131482999</v>
      </c>
      <c r="I771" s="11">
        <v>-0.38454673129429601</v>
      </c>
      <c r="J771" s="10">
        <v>0.70057326682554</v>
      </c>
      <c r="K771" s="29">
        <v>0.98289565623980701</v>
      </c>
    </row>
    <row r="772" spans="1:11" x14ac:dyDescent="0.35">
      <c r="A772" s="9" t="str">
        <f>HYPERLINK("http://www.ensembl.org/id/WBGene00005630", "WBGene00005630")</f>
        <v>WBGene00005630</v>
      </c>
      <c r="B772" s="9"/>
      <c r="C772" s="9"/>
      <c r="D772" t="str">
        <f>"srj-51"</f>
        <v>srj-51</v>
      </c>
      <c r="F772" t="s">
        <v>80</v>
      </c>
      <c r="H772" s="12">
        <v>-3.7261494131482999</v>
      </c>
      <c r="I772" s="11">
        <v>-0.38454673129429601</v>
      </c>
      <c r="J772" s="10">
        <v>0.70057326682554</v>
      </c>
      <c r="K772" s="29">
        <v>0.98289565623980701</v>
      </c>
    </row>
    <row r="773" spans="1:11" x14ac:dyDescent="0.35">
      <c r="A773" s="9" t="str">
        <f>HYPERLINK("http://www.ensembl.org/id/WBGene00005635", "WBGene00005635")</f>
        <v>WBGene00005635</v>
      </c>
      <c r="B773" s="9" t="str">
        <f>HYPERLINK("http://www.ncbi.nlm.nih.gov/gene/191954", "191954")</f>
        <v>191954</v>
      </c>
      <c r="C773" s="9"/>
      <c r="D773" t="str">
        <f>"srj-57"</f>
        <v>srj-57</v>
      </c>
      <c r="E773" t="s">
        <v>3123</v>
      </c>
      <c r="F773" t="s">
        <v>11</v>
      </c>
      <c r="G773" t="s">
        <v>25</v>
      </c>
      <c r="H773" s="12">
        <v>-3.7261494131482999</v>
      </c>
      <c r="I773" s="11">
        <v>-0.38454673129429601</v>
      </c>
      <c r="J773" s="10">
        <v>0.70057326682554</v>
      </c>
      <c r="K773" s="29">
        <v>0.98289565623980701</v>
      </c>
    </row>
    <row r="774" spans="1:11" x14ac:dyDescent="0.35">
      <c r="A774" s="9" t="str">
        <f>HYPERLINK("http://www.ensembl.org/id/WBGene00005700", "WBGene00005700")</f>
        <v>WBGene00005700</v>
      </c>
      <c r="B774" s="9" t="str">
        <f>HYPERLINK("http://www.ncbi.nlm.nih.gov/gene/183644", "183644")</f>
        <v>183644</v>
      </c>
      <c r="C774" s="9"/>
      <c r="D774" t="str">
        <f>"sru-37"</f>
        <v>sru-37</v>
      </c>
      <c r="E774" t="s">
        <v>2653</v>
      </c>
      <c r="F774" t="s">
        <v>11</v>
      </c>
      <c r="G774" t="s">
        <v>25</v>
      </c>
      <c r="H774" s="12">
        <v>-3.7261494131482999</v>
      </c>
      <c r="I774" s="11">
        <v>-0.38454673129429601</v>
      </c>
      <c r="J774" s="10">
        <v>0.70057326682554</v>
      </c>
      <c r="K774" s="29">
        <v>0.98289565623980701</v>
      </c>
    </row>
    <row r="775" spans="1:11" x14ac:dyDescent="0.35">
      <c r="A775" s="9" t="str">
        <f>HYPERLINK("http://www.ensembl.org/id/WBGene00005669", "WBGene00005669")</f>
        <v>WBGene00005669</v>
      </c>
      <c r="B775" s="9" t="str">
        <f>HYPERLINK("http://www.ncbi.nlm.nih.gov/gene/183142", "183142")</f>
        <v>183142</v>
      </c>
      <c r="C775" s="9"/>
      <c r="D775" t="str">
        <f>"sru-6"</f>
        <v>sru-6</v>
      </c>
      <c r="E775" t="s">
        <v>2653</v>
      </c>
      <c r="F775" t="s">
        <v>11</v>
      </c>
      <c r="G775" t="s">
        <v>25</v>
      </c>
      <c r="H775" s="12">
        <v>-3.7261494131482999</v>
      </c>
      <c r="I775" s="11">
        <v>-0.38454673129429601</v>
      </c>
      <c r="J775" s="10">
        <v>0.70057326682554</v>
      </c>
      <c r="K775" s="29">
        <v>0.98289565623980701</v>
      </c>
    </row>
    <row r="776" spans="1:11" x14ac:dyDescent="0.35">
      <c r="A776" s="9" t="str">
        <f>HYPERLINK("http://www.ensembl.org/id/WBGene00005791", "WBGene00005791")</f>
        <v>WBGene00005791</v>
      </c>
      <c r="B776" s="9" t="str">
        <f>HYPERLINK("http://www.ncbi.nlm.nih.gov/gene/184480", "184480")</f>
        <v>184480</v>
      </c>
      <c r="C776" s="9"/>
      <c r="D776" t="str">
        <f>"srw-44"</f>
        <v>srw-44</v>
      </c>
      <c r="E776" t="s">
        <v>1014</v>
      </c>
      <c r="F776" t="s">
        <v>11</v>
      </c>
      <c r="G776" t="s">
        <v>1780</v>
      </c>
      <c r="H776" s="12">
        <v>-3.7261494131482999</v>
      </c>
      <c r="I776" s="11">
        <v>-0.38454673129429601</v>
      </c>
      <c r="J776" s="10">
        <v>0.70057326682554</v>
      </c>
      <c r="K776" s="29">
        <v>0.98289565623980701</v>
      </c>
    </row>
    <row r="777" spans="1:11" x14ac:dyDescent="0.35">
      <c r="A777" s="9" t="str">
        <f>HYPERLINK("http://www.ensembl.org/id/WBGene00005902", "WBGene00005902")</f>
        <v>WBGene00005902</v>
      </c>
      <c r="B777" s="9"/>
      <c r="C777" s="9"/>
      <c r="D777" t="str">
        <f>"srx-11"</f>
        <v>srx-11</v>
      </c>
      <c r="F777" t="s">
        <v>80</v>
      </c>
      <c r="H777" s="12">
        <v>-3.7261494131482999</v>
      </c>
      <c r="I777" s="11">
        <v>-0.38454673129429601</v>
      </c>
      <c r="J777" s="10">
        <v>0.70057326682554</v>
      </c>
      <c r="K777" s="29">
        <v>0.98289565623980701</v>
      </c>
    </row>
    <row r="778" spans="1:11" x14ac:dyDescent="0.35">
      <c r="A778" s="9" t="str">
        <f>HYPERLINK("http://www.ensembl.org/id/WBGene00006001", "WBGene00006001")</f>
        <v>WBGene00006001</v>
      </c>
      <c r="B778" s="9" t="str">
        <f>HYPERLINK("http://www.ncbi.nlm.nih.gov/gene/183508", "183508")</f>
        <v>183508</v>
      </c>
      <c r="C778" s="9"/>
      <c r="D778" t="str">
        <f>"srx-110"</f>
        <v>srx-110</v>
      </c>
      <c r="E778" t="s">
        <v>1477</v>
      </c>
      <c r="F778" t="s">
        <v>11</v>
      </c>
      <c r="G778" t="s">
        <v>25</v>
      </c>
      <c r="H778" s="12">
        <v>-3.7261494131482999</v>
      </c>
      <c r="I778" s="11">
        <v>-0.38454673129429601</v>
      </c>
      <c r="J778" s="10">
        <v>0.70057326682554</v>
      </c>
      <c r="K778" s="29">
        <v>0.98289565623980701</v>
      </c>
    </row>
    <row r="779" spans="1:11" x14ac:dyDescent="0.35">
      <c r="A779" s="9" t="str">
        <f>HYPERLINK("http://www.ensembl.org/id/WBGene00023506", "WBGene00023506")</f>
        <v>WBGene00023506</v>
      </c>
      <c r="B779" s="9" t="str">
        <f>HYPERLINK("http://www.ncbi.nlm.nih.gov/gene/3565837", "3565837")</f>
        <v>3565837</v>
      </c>
      <c r="C779" s="9"/>
      <c r="D779" t="str">
        <f>"srz-11"</f>
        <v>srz-11</v>
      </c>
      <c r="E779" t="s">
        <v>4211</v>
      </c>
      <c r="F779" t="s">
        <v>11</v>
      </c>
      <c r="G779" t="s">
        <v>25</v>
      </c>
      <c r="H779" s="12">
        <v>-3.7261494131482999</v>
      </c>
      <c r="I779" s="11">
        <v>-0.38454673129429601</v>
      </c>
      <c r="J779" s="10">
        <v>0.70057326682554</v>
      </c>
      <c r="K779" s="29">
        <v>0.98289565623980701</v>
      </c>
    </row>
    <row r="780" spans="1:11" x14ac:dyDescent="0.35">
      <c r="A780" s="9" t="str">
        <f>HYPERLINK("http://www.ensembl.org/id/WBGene00023470", "WBGene00023470")</f>
        <v>WBGene00023470</v>
      </c>
      <c r="B780" s="9"/>
      <c r="C780" s="9"/>
      <c r="D780" t="str">
        <f>"srz-87"</f>
        <v>srz-87</v>
      </c>
      <c r="F780" t="s">
        <v>80</v>
      </c>
      <c r="H780" s="12">
        <v>-3.7261494131482999</v>
      </c>
      <c r="I780" s="11">
        <v>-0.38454673129429601</v>
      </c>
      <c r="J780" s="10">
        <v>0.70057326682554</v>
      </c>
      <c r="K780" s="29">
        <v>0.98289565623980701</v>
      </c>
    </row>
    <row r="781" spans="1:11" x14ac:dyDescent="0.35">
      <c r="A781" s="9" t="str">
        <f>HYPERLINK("http://www.ensembl.org/id/WBGene00006214", "WBGene00006214")</f>
        <v>WBGene00006214</v>
      </c>
      <c r="B781" s="9" t="str">
        <f>HYPERLINK("http://www.ncbi.nlm.nih.gov/gene/192022", "192022")</f>
        <v>192022</v>
      </c>
      <c r="C781" s="9"/>
      <c r="D781" t="str">
        <f>"str-170"</f>
        <v>str-170</v>
      </c>
      <c r="E781" t="s">
        <v>590</v>
      </c>
      <c r="F781" t="s">
        <v>11</v>
      </c>
      <c r="G781" t="s">
        <v>591</v>
      </c>
      <c r="H781" s="12">
        <v>-3.7261494131482999</v>
      </c>
      <c r="I781" s="11">
        <v>-0.38454673129429601</v>
      </c>
      <c r="J781" s="10">
        <v>0.70057326682554</v>
      </c>
      <c r="K781" s="29">
        <v>0.98289565623980701</v>
      </c>
    </row>
    <row r="782" spans="1:11" x14ac:dyDescent="0.35">
      <c r="A782" s="9" t="str">
        <f>HYPERLINK("http://www.ensembl.org/id/WBGene00006228", "WBGene00006228")</f>
        <v>WBGene00006228</v>
      </c>
      <c r="B782" s="9" t="str">
        <f>HYPERLINK("http://www.ncbi.nlm.nih.gov/gene/192025", "192025")</f>
        <v>192025</v>
      </c>
      <c r="C782" s="9"/>
      <c r="D782" t="str">
        <f>"str-185"</f>
        <v>str-185</v>
      </c>
      <c r="E782" t="s">
        <v>590</v>
      </c>
      <c r="F782" t="s">
        <v>11</v>
      </c>
      <c r="G782" t="s">
        <v>591</v>
      </c>
      <c r="H782" s="12">
        <v>-3.7261494131482999</v>
      </c>
      <c r="I782" s="11">
        <v>-0.38454673129429601</v>
      </c>
      <c r="J782" s="10">
        <v>0.70057326682554</v>
      </c>
      <c r="K782" s="29">
        <v>0.98289565623980701</v>
      </c>
    </row>
    <row r="783" spans="1:11" x14ac:dyDescent="0.35">
      <c r="A783" s="9" t="str">
        <f>HYPERLINK("http://www.ensembl.org/id/WBGene00006236", "WBGene00006236")</f>
        <v>WBGene00006236</v>
      </c>
      <c r="B783" s="9" t="str">
        <f>HYPERLINK("http://www.ncbi.nlm.nih.gov/gene/184732", "184732")</f>
        <v>184732</v>
      </c>
      <c r="C783" s="9"/>
      <c r="D783" t="str">
        <f>"str-200"</f>
        <v>str-200</v>
      </c>
      <c r="E783" t="s">
        <v>590</v>
      </c>
      <c r="F783" t="s">
        <v>11</v>
      </c>
      <c r="G783" t="s">
        <v>591</v>
      </c>
      <c r="H783" s="12">
        <v>-3.7261494131482999</v>
      </c>
      <c r="I783" s="11">
        <v>-0.38454673129429601</v>
      </c>
      <c r="J783" s="10">
        <v>0.70057326682554</v>
      </c>
      <c r="K783" s="29">
        <v>0.98289565623980701</v>
      </c>
    </row>
    <row r="784" spans="1:11" x14ac:dyDescent="0.35">
      <c r="A784" s="9" t="str">
        <f>HYPERLINK("http://www.ensembl.org/id/WBGene00006268", "WBGene00006268")</f>
        <v>WBGene00006268</v>
      </c>
      <c r="B784" s="9" t="str">
        <f>HYPERLINK("http://www.ncbi.nlm.nih.gov/gene/192042", "192042")</f>
        <v>192042</v>
      </c>
      <c r="C784" s="9"/>
      <c r="D784" t="str">
        <f>"str-240"</f>
        <v>str-240</v>
      </c>
      <c r="E784" t="s">
        <v>590</v>
      </c>
      <c r="F784" t="s">
        <v>11</v>
      </c>
      <c r="G784" t="s">
        <v>591</v>
      </c>
      <c r="H784" s="12">
        <v>-3.7261494131482999</v>
      </c>
      <c r="I784" s="11">
        <v>-0.38454673129429601</v>
      </c>
      <c r="J784" s="10">
        <v>0.70057326682554</v>
      </c>
      <c r="K784" s="29">
        <v>0.98289565623980701</v>
      </c>
    </row>
    <row r="785" spans="1:11" x14ac:dyDescent="0.35">
      <c r="A785" s="9" t="str">
        <f>HYPERLINK("http://www.ensembl.org/id/WBGene00006096", "WBGene00006096")</f>
        <v>WBGene00006096</v>
      </c>
      <c r="B785" s="9" t="str">
        <f>HYPERLINK("http://www.ncbi.nlm.nih.gov/gene/191972", "191972")</f>
        <v>191972</v>
      </c>
      <c r="C785" s="9"/>
      <c r="D785" t="str">
        <f>"str-30"</f>
        <v>str-30</v>
      </c>
      <c r="E785" t="s">
        <v>590</v>
      </c>
      <c r="F785" t="s">
        <v>11</v>
      </c>
      <c r="G785" t="s">
        <v>25</v>
      </c>
      <c r="H785" s="12">
        <v>-3.7261494131482999</v>
      </c>
      <c r="I785" s="11">
        <v>-0.38454673129429601</v>
      </c>
      <c r="J785" s="10">
        <v>0.70057326682554</v>
      </c>
      <c r="K785" s="29">
        <v>0.98289565623980701</v>
      </c>
    </row>
    <row r="786" spans="1:11" x14ac:dyDescent="0.35">
      <c r="A786" s="9" t="str">
        <f>HYPERLINK("http://www.ensembl.org/id/WBGene00200666", "WBGene00200666")</f>
        <v>WBGene00200666</v>
      </c>
      <c r="B786" s="9"/>
      <c r="C786" s="9"/>
      <c r="D786" t="str">
        <f>"T01C3.13"</f>
        <v>T01C3.13</v>
      </c>
      <c r="F786" t="s">
        <v>481</v>
      </c>
      <c r="H786" s="12">
        <v>-3.7261494131482999</v>
      </c>
      <c r="I786" s="11">
        <v>-0.38454673129429601</v>
      </c>
      <c r="J786" s="10">
        <v>0.70057326682554</v>
      </c>
      <c r="K786" s="29">
        <v>0.98289565623980701</v>
      </c>
    </row>
    <row r="787" spans="1:11" x14ac:dyDescent="0.35">
      <c r="A787" s="9" t="str">
        <f>HYPERLINK("http://www.ensembl.org/id/WBGene00199236", "WBGene00199236")</f>
        <v>WBGene00199236</v>
      </c>
      <c r="B787" s="9"/>
      <c r="C787" s="9"/>
      <c r="D787" t="str">
        <f>"T05A6.14"</f>
        <v>T05A6.14</v>
      </c>
      <c r="F787" t="s">
        <v>481</v>
      </c>
      <c r="H787" s="12">
        <v>-3.7261494131482999</v>
      </c>
      <c r="I787" s="11">
        <v>-0.38454673129429601</v>
      </c>
      <c r="J787" s="10">
        <v>0.70057326682554</v>
      </c>
      <c r="K787" s="29">
        <v>0.98289565623980701</v>
      </c>
    </row>
    <row r="788" spans="1:11" x14ac:dyDescent="0.35">
      <c r="A788" s="9" t="str">
        <f>HYPERLINK("http://www.ensembl.org/id/WBGene00195322", "WBGene00195322")</f>
        <v>WBGene00195322</v>
      </c>
      <c r="B788" s="9"/>
      <c r="C788" s="9"/>
      <c r="D788" t="str">
        <f>"T06E4.16"</f>
        <v>T06E4.16</v>
      </c>
      <c r="F788" t="s">
        <v>481</v>
      </c>
      <c r="H788" s="12">
        <v>-3.7261494131482999</v>
      </c>
      <c r="I788" s="11">
        <v>-0.38454673129429601</v>
      </c>
      <c r="J788" s="10">
        <v>0.70057326682554</v>
      </c>
      <c r="K788" s="29">
        <v>0.98289565623980701</v>
      </c>
    </row>
    <row r="789" spans="1:11" x14ac:dyDescent="0.35">
      <c r="A789" s="9" t="str">
        <f>HYPERLINK("http://www.ensembl.org/id/WBGene00201531", "WBGene00201531")</f>
        <v>WBGene00201531</v>
      </c>
      <c r="B789" s="9"/>
      <c r="C789" s="9"/>
      <c r="D789" t="str">
        <f>"T06F4.18"</f>
        <v>T06F4.18</v>
      </c>
      <c r="F789" t="s">
        <v>481</v>
      </c>
      <c r="H789" s="12">
        <v>-3.7261494131482999</v>
      </c>
      <c r="I789" s="11">
        <v>-0.38454673129429601</v>
      </c>
      <c r="J789" s="10">
        <v>0.70057326682554</v>
      </c>
      <c r="K789" s="29">
        <v>0.98289565623980701</v>
      </c>
    </row>
    <row r="790" spans="1:11" x14ac:dyDescent="0.35">
      <c r="A790" s="9" t="str">
        <f>HYPERLINK("http://www.ensembl.org/id/WBGene00011574", "WBGene00011574")</f>
        <v>WBGene00011574</v>
      </c>
      <c r="B790" s="9" t="str">
        <f>HYPERLINK("http://www.ncbi.nlm.nih.gov/gene/188218", "188218")</f>
        <v>188218</v>
      </c>
      <c r="C790" s="9"/>
      <c r="D790" t="str">
        <f>"T07C12.10"</f>
        <v>T07C12.10</v>
      </c>
      <c r="F790" t="s">
        <v>11</v>
      </c>
      <c r="H790" s="12">
        <v>-3.7261494131482999</v>
      </c>
      <c r="I790" s="11">
        <v>-0.38454673129429601</v>
      </c>
      <c r="J790" s="10">
        <v>0.70057326682554</v>
      </c>
      <c r="K790" s="29">
        <v>0.98289565623980701</v>
      </c>
    </row>
    <row r="791" spans="1:11" x14ac:dyDescent="0.35">
      <c r="A791" s="9" t="str">
        <f>HYPERLINK("http://www.ensembl.org/id/WBGene00200783", "WBGene00200783")</f>
        <v>WBGene00200783</v>
      </c>
      <c r="B791" s="9"/>
      <c r="C791" s="9"/>
      <c r="D791" t="str">
        <f>"T14F9.18"</f>
        <v>T14F9.18</v>
      </c>
      <c r="F791" t="s">
        <v>481</v>
      </c>
      <c r="H791" s="12">
        <v>-3.7261494131482999</v>
      </c>
      <c r="I791" s="11">
        <v>-0.38454673129429601</v>
      </c>
      <c r="J791" s="10">
        <v>0.70057326682554</v>
      </c>
      <c r="K791" s="29">
        <v>0.98289565623980701</v>
      </c>
    </row>
    <row r="792" spans="1:11" x14ac:dyDescent="0.35">
      <c r="A792" s="9" t="str">
        <f>HYPERLINK("http://www.ensembl.org/id/WBGene00202492", "WBGene00202492")</f>
        <v>WBGene00202492</v>
      </c>
      <c r="B792" s="9"/>
      <c r="C792" s="9"/>
      <c r="D792" t="str">
        <f>"T15B7.19"</f>
        <v>T15B7.19</v>
      </c>
      <c r="F792" t="s">
        <v>481</v>
      </c>
      <c r="H792" s="12">
        <v>-3.7261494131482999</v>
      </c>
      <c r="I792" s="11">
        <v>-0.38454673129429601</v>
      </c>
      <c r="J792" s="10">
        <v>0.70057326682554</v>
      </c>
      <c r="K792" s="29">
        <v>0.98289565623980701</v>
      </c>
    </row>
    <row r="793" spans="1:11" x14ac:dyDescent="0.35">
      <c r="A793" s="9" t="str">
        <f>HYPERLINK("http://www.ensembl.org/id/WBGene00198755", "WBGene00198755")</f>
        <v>WBGene00198755</v>
      </c>
      <c r="B793" s="9"/>
      <c r="C793" s="9"/>
      <c r="D793" t="str">
        <f>"T19C11.1"</f>
        <v>T19C11.1</v>
      </c>
      <c r="F793" t="s">
        <v>481</v>
      </c>
      <c r="H793" s="12">
        <v>-3.7261494131482999</v>
      </c>
      <c r="I793" s="11">
        <v>-0.38454673129429601</v>
      </c>
      <c r="J793" s="10">
        <v>0.70057326682554</v>
      </c>
      <c r="K793" s="29">
        <v>0.98289565623980701</v>
      </c>
    </row>
    <row r="794" spans="1:11" x14ac:dyDescent="0.35">
      <c r="A794" s="9" t="str">
        <f>HYPERLINK("http://www.ensembl.org/id/WBGene00044282", "WBGene00044282")</f>
        <v>WBGene00044282</v>
      </c>
      <c r="B794" s="9" t="str">
        <f>HYPERLINK("http://www.ncbi.nlm.nih.gov/gene/3565072", "3565072")</f>
        <v>3565072</v>
      </c>
      <c r="C794" s="9"/>
      <c r="D794" t="str">
        <f>"T19H12.12"</f>
        <v>T19H12.12</v>
      </c>
      <c r="F794" t="s">
        <v>11</v>
      </c>
      <c r="H794" s="12">
        <v>-3.7261494131482999</v>
      </c>
      <c r="I794" s="11">
        <v>-0.38454673129429601</v>
      </c>
      <c r="J794" s="10">
        <v>0.70057326682554</v>
      </c>
      <c r="K794" s="29">
        <v>0.98289565623980701</v>
      </c>
    </row>
    <row r="795" spans="1:11" x14ac:dyDescent="0.35">
      <c r="A795" s="9" t="str">
        <f>HYPERLINK("http://www.ensembl.org/id/WBGene00196388", "WBGene00196388")</f>
        <v>WBGene00196388</v>
      </c>
      <c r="B795" s="9"/>
      <c r="C795" s="9"/>
      <c r="D795" t="str">
        <f>"T23G5.10"</f>
        <v>T23G5.10</v>
      </c>
      <c r="F795" t="s">
        <v>481</v>
      </c>
      <c r="H795" s="12">
        <v>-3.7261494131482999</v>
      </c>
      <c r="I795" s="11">
        <v>-0.38454673129429601</v>
      </c>
      <c r="J795" s="10">
        <v>0.70057326682554</v>
      </c>
      <c r="K795" s="29">
        <v>0.98289565623980701</v>
      </c>
    </row>
    <row r="796" spans="1:11" x14ac:dyDescent="0.35">
      <c r="A796" s="9" t="str">
        <f>HYPERLINK("http://www.ensembl.org/id/WBGene00220111", "WBGene00220111")</f>
        <v>WBGene00220111</v>
      </c>
      <c r="B796" s="9"/>
      <c r="C796" s="9"/>
      <c r="D796" t="str">
        <f>"W01H2.11"</f>
        <v>W01H2.11</v>
      </c>
      <c r="F796" t="s">
        <v>2977</v>
      </c>
      <c r="H796" s="12">
        <v>-3.7261494131482999</v>
      </c>
      <c r="I796" s="11">
        <v>-0.38454673129429601</v>
      </c>
      <c r="J796" s="10">
        <v>0.70057326682554</v>
      </c>
      <c r="K796" s="29">
        <v>0.98289565623980701</v>
      </c>
    </row>
    <row r="797" spans="1:11" x14ac:dyDescent="0.35">
      <c r="A797" s="9" t="str">
        <f>HYPERLINK("http://www.ensembl.org/id/WBGene00196588", "WBGene00196588")</f>
        <v>WBGene00196588</v>
      </c>
      <c r="B797" s="9"/>
      <c r="C797" s="9"/>
      <c r="D797" t="str">
        <f>"W06H8.10"</f>
        <v>W06H8.10</v>
      </c>
      <c r="F797" t="s">
        <v>481</v>
      </c>
      <c r="H797" s="12">
        <v>-3.7261494131482999</v>
      </c>
      <c r="I797" s="11">
        <v>-0.38454673129429601</v>
      </c>
      <c r="J797" s="10">
        <v>0.70057326682554</v>
      </c>
      <c r="K797" s="29">
        <v>0.98289565623980701</v>
      </c>
    </row>
    <row r="798" spans="1:11" x14ac:dyDescent="0.35">
      <c r="A798" s="9" t="str">
        <f>HYPERLINK("http://www.ensembl.org/id/WBGene00023203", "WBGene00023203")</f>
        <v>WBGene00023203</v>
      </c>
      <c r="B798" s="9"/>
      <c r="C798" s="9"/>
      <c r="D798" t="str">
        <f>"Y110A2AL.t1"</f>
        <v>Y110A2AL.t1</v>
      </c>
      <c r="F798" t="s">
        <v>4208</v>
      </c>
      <c r="H798" s="12">
        <v>-3.7261494131482999</v>
      </c>
      <c r="I798" s="11">
        <v>-0.38454673129429601</v>
      </c>
      <c r="J798" s="10">
        <v>0.70057326682554</v>
      </c>
      <c r="K798" s="29">
        <v>0.98289565623980701</v>
      </c>
    </row>
    <row r="799" spans="1:11" x14ac:dyDescent="0.35">
      <c r="A799" s="9" t="str">
        <f>HYPERLINK("http://www.ensembl.org/id/WBGene00013775", "WBGene00013775")</f>
        <v>WBGene00013775</v>
      </c>
      <c r="B799" s="9" t="str">
        <f>HYPERLINK("http://www.ncbi.nlm.nih.gov/gene/190985", "190985")</f>
        <v>190985</v>
      </c>
      <c r="C799" s="9"/>
      <c r="D799" t="str">
        <f>"Y116A8A.4"</f>
        <v>Y116A8A.4</v>
      </c>
      <c r="F799" t="s">
        <v>11</v>
      </c>
      <c r="H799" s="12">
        <v>-3.7261494131482999</v>
      </c>
      <c r="I799" s="11">
        <v>-0.38454673129429601</v>
      </c>
      <c r="J799" s="10">
        <v>0.70057326682554</v>
      </c>
      <c r="K799" s="29">
        <v>0.98289565623980701</v>
      </c>
    </row>
    <row r="800" spans="1:11" x14ac:dyDescent="0.35">
      <c r="A800" s="9" t="str">
        <f>HYPERLINK("http://www.ensembl.org/id/WBGene00196851", "WBGene00196851")</f>
        <v>WBGene00196851</v>
      </c>
      <c r="B800" s="9"/>
      <c r="C800" s="9"/>
      <c r="D800" t="str">
        <f>"Y38C1AA.15"</f>
        <v>Y38C1AA.15</v>
      </c>
      <c r="F800" t="s">
        <v>481</v>
      </c>
      <c r="H800" s="12">
        <v>-3.7261494131482999</v>
      </c>
      <c r="I800" s="11">
        <v>-0.38454673129429601</v>
      </c>
      <c r="J800" s="10">
        <v>0.70057326682554</v>
      </c>
      <c r="K800" s="29">
        <v>0.98289565623980701</v>
      </c>
    </row>
    <row r="801" spans="1:11" x14ac:dyDescent="0.35">
      <c r="A801" s="9" t="str">
        <f>HYPERLINK("http://www.ensembl.org/id/WBGene00198094", "WBGene00198094")</f>
        <v>WBGene00198094</v>
      </c>
      <c r="B801" s="9"/>
      <c r="C801" s="9"/>
      <c r="D801" t="str">
        <f>"Y38C1BA.5"</f>
        <v>Y38C1BA.5</v>
      </c>
      <c r="F801" t="s">
        <v>481</v>
      </c>
      <c r="H801" s="12">
        <v>-3.7261494131482999</v>
      </c>
      <c r="I801" s="11">
        <v>-0.38454673129429601</v>
      </c>
      <c r="J801" s="10">
        <v>0.70057326682554</v>
      </c>
      <c r="K801" s="29">
        <v>0.98289565623980701</v>
      </c>
    </row>
    <row r="802" spans="1:11" x14ac:dyDescent="0.35">
      <c r="A802" s="9" t="str">
        <f>HYPERLINK("http://www.ensembl.org/id/WBGene00012580", "WBGene00012580")</f>
        <v>WBGene00012580</v>
      </c>
      <c r="B802" s="9" t="str">
        <f>HYPERLINK("http://www.ncbi.nlm.nih.gov/gene/189653", "189653")</f>
        <v>189653</v>
      </c>
      <c r="C802" s="9"/>
      <c r="D802" t="str">
        <f>"Y38E10A.2"</f>
        <v>Y38E10A.2</v>
      </c>
      <c r="F802" t="s">
        <v>11</v>
      </c>
      <c r="H802" s="12">
        <v>-3.7261494131482999</v>
      </c>
      <c r="I802" s="11">
        <v>-0.38454673129429601</v>
      </c>
      <c r="J802" s="10">
        <v>0.70057326682554</v>
      </c>
      <c r="K802" s="29">
        <v>0.98289565623980701</v>
      </c>
    </row>
    <row r="803" spans="1:11" x14ac:dyDescent="0.35">
      <c r="A803" s="9" t="str">
        <f>HYPERLINK("http://www.ensembl.org/id/WBGene00021700", "WBGene00021700")</f>
        <v>WBGene00021700</v>
      </c>
      <c r="B803" s="9" t="str">
        <f>HYPERLINK("http://www.ncbi.nlm.nih.gov/gene/190053", "190053")</f>
        <v>190053</v>
      </c>
      <c r="C803" s="9"/>
      <c r="D803" t="str">
        <f>"Y48G9A.6"</f>
        <v>Y48G9A.6</v>
      </c>
      <c r="F803" t="s">
        <v>11</v>
      </c>
      <c r="H803" s="12">
        <v>-3.7261494131482999</v>
      </c>
      <c r="I803" s="11">
        <v>-0.38454673129429601</v>
      </c>
      <c r="J803" s="10">
        <v>0.70057326682554</v>
      </c>
      <c r="K803" s="29">
        <v>0.98289565623980701</v>
      </c>
    </row>
    <row r="804" spans="1:11" x14ac:dyDescent="0.35">
      <c r="A804" s="9" t="str">
        <f>HYPERLINK("http://www.ensembl.org/id/WBGene00201671", "WBGene00201671")</f>
        <v>WBGene00201671</v>
      </c>
      <c r="B804" s="9"/>
      <c r="C804" s="9"/>
      <c r="D804" t="str">
        <f>"Y55F3BR.17"</f>
        <v>Y55F3BR.17</v>
      </c>
      <c r="F804" t="s">
        <v>481</v>
      </c>
      <c r="H804" s="12">
        <v>-3.7261494131482999</v>
      </c>
      <c r="I804" s="11">
        <v>-0.38454673129429601</v>
      </c>
      <c r="J804" s="10">
        <v>0.70057326682554</v>
      </c>
      <c r="K804" s="29">
        <v>0.98289565623980701</v>
      </c>
    </row>
    <row r="805" spans="1:11" x14ac:dyDescent="0.35">
      <c r="A805" s="9" t="str">
        <f>HYPERLINK("http://www.ensembl.org/id/WBGene00195019", "WBGene00195019")</f>
        <v>WBGene00195019</v>
      </c>
      <c r="B805" s="9"/>
      <c r="C805" s="9"/>
      <c r="D805" t="str">
        <f>"Y59H11AR.8"</f>
        <v>Y59H11AR.8</v>
      </c>
      <c r="F805" t="s">
        <v>481</v>
      </c>
      <c r="H805" s="12">
        <v>-3.7261494131482999</v>
      </c>
      <c r="I805" s="11">
        <v>-0.38454673129429601</v>
      </c>
      <c r="J805" s="10">
        <v>0.70057326682554</v>
      </c>
      <c r="K805" s="29">
        <v>0.98289565623980701</v>
      </c>
    </row>
    <row r="806" spans="1:11" x14ac:dyDescent="0.35">
      <c r="A806" s="9" t="str">
        <f>HYPERLINK("http://www.ensembl.org/id/WBGene00013565", "WBGene00013565")</f>
        <v>WBGene00013565</v>
      </c>
      <c r="B806" s="9" t="str">
        <f>HYPERLINK("http://www.ncbi.nlm.nih.gov/gene/3565445", "3565445")</f>
        <v>3565445</v>
      </c>
      <c r="C806" s="9"/>
      <c r="D806" t="str">
        <f>"Y75B8A.37"</f>
        <v>Y75B8A.37</v>
      </c>
      <c r="F806" t="s">
        <v>11</v>
      </c>
      <c r="G806" t="s">
        <v>10104</v>
      </c>
      <c r="H806" s="12">
        <v>-3.7261494131482999</v>
      </c>
      <c r="I806" s="11">
        <v>-0.38454673129429601</v>
      </c>
      <c r="J806" s="10">
        <v>0.70057326682554</v>
      </c>
      <c r="K806" s="29">
        <v>0.98289565623980701</v>
      </c>
    </row>
    <row r="807" spans="1:11" x14ac:dyDescent="0.35">
      <c r="A807" s="9" t="str">
        <f>HYPERLINK("http://www.ensembl.org/id/WBGene00197756", "WBGene00197756")</f>
        <v>WBGene00197756</v>
      </c>
      <c r="B807" s="9"/>
      <c r="C807" s="9"/>
      <c r="D807" t="str">
        <f>"ZC250.8"</f>
        <v>ZC250.8</v>
      </c>
      <c r="F807" t="s">
        <v>481</v>
      </c>
      <c r="H807" s="12">
        <v>-3.7261494131482999</v>
      </c>
      <c r="I807" s="11">
        <v>-0.38454673129429601</v>
      </c>
      <c r="J807" s="10">
        <v>0.70057326682554</v>
      </c>
      <c r="K807" s="29">
        <v>0.98289565623980701</v>
      </c>
    </row>
    <row r="808" spans="1:11" x14ac:dyDescent="0.35">
      <c r="A808" s="9" t="str">
        <f>HYPERLINK("http://www.ensembl.org/id/WBGene00196701", "WBGene00196701")</f>
        <v>WBGene00196701</v>
      </c>
      <c r="B808" s="9"/>
      <c r="C808" s="9"/>
      <c r="D808" t="str">
        <f>"ZC455.15"</f>
        <v>ZC455.15</v>
      </c>
      <c r="F808" t="s">
        <v>481</v>
      </c>
      <c r="H808" s="12">
        <v>-3.7261494131482999</v>
      </c>
      <c r="I808" s="11">
        <v>-0.38454673129429601</v>
      </c>
      <c r="J808" s="10">
        <v>0.70057326682554</v>
      </c>
      <c r="K808" s="29">
        <v>0.98289565623980701</v>
      </c>
    </row>
    <row r="809" spans="1:11" x14ac:dyDescent="0.35">
      <c r="A809" s="9" t="str">
        <f>HYPERLINK("http://www.ensembl.org/id/WBGene00195061", "WBGene00195061")</f>
        <v>WBGene00195061</v>
      </c>
      <c r="B809" s="9" t="str">
        <f>HYPERLINK("http://www.ncbi.nlm.nih.gov/gene/13218227", "13218227")</f>
        <v>13218227</v>
      </c>
      <c r="C809" s="9"/>
      <c r="D809" t="str">
        <f>"ZK228.13"</f>
        <v>ZK228.13</v>
      </c>
      <c r="F809" t="s">
        <v>11</v>
      </c>
      <c r="H809" s="12">
        <v>-3.7261494131482999</v>
      </c>
      <c r="I809" s="11">
        <v>-0.38454673129429601</v>
      </c>
      <c r="J809" s="10">
        <v>0.70057326682554</v>
      </c>
      <c r="K809" s="29">
        <v>0.98289565623980701</v>
      </c>
    </row>
    <row r="810" spans="1:11" x14ac:dyDescent="0.35">
      <c r="A810" s="9" t="str">
        <f>HYPERLINK("http://www.ensembl.org/id/WBGene00198450", "WBGene00198450")</f>
        <v>WBGene00198450</v>
      </c>
      <c r="B810" s="9"/>
      <c r="C810" s="9"/>
      <c r="D810" t="str">
        <f>"ZK377.6"</f>
        <v>ZK377.6</v>
      </c>
      <c r="F810" t="s">
        <v>481</v>
      </c>
      <c r="H810" s="12">
        <v>-3.7261494131482999</v>
      </c>
      <c r="I810" s="11">
        <v>-0.38454673129429601</v>
      </c>
      <c r="J810" s="10">
        <v>0.70057326682554</v>
      </c>
      <c r="K810" s="29">
        <v>0.98289565623980701</v>
      </c>
    </row>
    <row r="811" spans="1:11" x14ac:dyDescent="0.35">
      <c r="A811" s="9" t="str">
        <f>HYPERLINK("http://www.ensembl.org/id/WBGene00201423", "WBGene00201423")</f>
        <v>WBGene00201423</v>
      </c>
      <c r="B811" s="9"/>
      <c r="C811" s="9"/>
      <c r="D811" t="str">
        <f>"ZK546.20"</f>
        <v>ZK546.20</v>
      </c>
      <c r="F811" t="s">
        <v>481</v>
      </c>
      <c r="H811" s="12">
        <v>-3.7261494131482999</v>
      </c>
      <c r="I811" s="11">
        <v>-0.38454673129429601</v>
      </c>
      <c r="J811" s="10">
        <v>0.70057326682554</v>
      </c>
      <c r="K811" s="29">
        <v>0.98289565623980701</v>
      </c>
    </row>
    <row r="812" spans="1:11" x14ac:dyDescent="0.35">
      <c r="A812" s="9" t="str">
        <f>HYPERLINK("http://www.ensembl.org/id/WBGene00011350", "WBGene00011350")</f>
        <v>WBGene00011350</v>
      </c>
      <c r="B812" s="9" t="str">
        <f>HYPERLINK("http://www.ncbi.nlm.nih.gov/gene/174273", "174273")</f>
        <v>174273</v>
      </c>
      <c r="C812" s="9"/>
      <c r="D812" t="str">
        <f>"perm-1"</f>
        <v>perm-1</v>
      </c>
      <c r="E812" t="s">
        <v>136</v>
      </c>
      <c r="F812" t="s">
        <v>11</v>
      </c>
      <c r="G812" t="s">
        <v>25</v>
      </c>
      <c r="H812" s="12">
        <v>-3.7254747760705098</v>
      </c>
      <c r="I812" s="11">
        <v>-5.1608639013771196</v>
      </c>
      <c r="J812" s="10">
        <v>2.4581284114823001E-7</v>
      </c>
      <c r="K812" s="29">
        <v>5.0712067031883901E-5</v>
      </c>
    </row>
    <row r="813" spans="1:11" x14ac:dyDescent="0.35">
      <c r="A813" s="9" t="str">
        <f>HYPERLINK("http://www.ensembl.org/id/WBGene00011011", "WBGene00011011")</f>
        <v>WBGene00011011</v>
      </c>
      <c r="B813" s="9" t="str">
        <f>HYPERLINK("http://www.ncbi.nlm.nih.gov/gene/181453", "181453")</f>
        <v>181453</v>
      </c>
      <c r="C813" s="9"/>
      <c r="D813" t="str">
        <f>"R04D3.3"</f>
        <v>R04D3.3</v>
      </c>
      <c r="F813" t="s">
        <v>11</v>
      </c>
      <c r="H813" s="12">
        <v>-3.7237506903439201</v>
      </c>
      <c r="I813" s="11">
        <v>-5.5451652011586301</v>
      </c>
      <c r="J813" s="10">
        <v>2.9367676048519901E-8</v>
      </c>
      <c r="K813" s="29">
        <v>8.8125912048974102E-6</v>
      </c>
    </row>
    <row r="814" spans="1:11" x14ac:dyDescent="0.35">
      <c r="A814" s="9" t="str">
        <f>HYPERLINK("http://www.ensembl.org/id/WBGene00003026", "WBGene00003026")</f>
        <v>WBGene00003026</v>
      </c>
      <c r="B814" s="9" t="str">
        <f>HYPERLINK("http://www.ncbi.nlm.nih.gov/gene/172760", "172760")</f>
        <v>172760</v>
      </c>
      <c r="C814" s="9" t="str">
        <f>HYPERLINK("http://www.ncbi.nlm.nih.gov/gene/131405", "131405")</f>
        <v>131405</v>
      </c>
      <c r="D814" t="str">
        <f>"lin-41"</f>
        <v>lin-41</v>
      </c>
      <c r="F814" t="s">
        <v>11</v>
      </c>
      <c r="G814" t="s">
        <v>64</v>
      </c>
      <c r="H814" s="12">
        <v>-3.7226756551467899</v>
      </c>
      <c r="I814" s="11">
        <v>-6.1386901896719204</v>
      </c>
      <c r="J814" s="10">
        <v>8.3204655496843799E-10</v>
      </c>
      <c r="K814" s="29">
        <v>4.68908968270749E-7</v>
      </c>
    </row>
    <row r="815" spans="1:11" x14ac:dyDescent="0.35">
      <c r="A815" s="9" t="str">
        <f>HYPERLINK("http://www.ensembl.org/id/WBGene00016178", "WBGene00016178")</f>
        <v>WBGene00016178</v>
      </c>
      <c r="B815" s="9" t="str">
        <f>HYPERLINK("http://www.ncbi.nlm.nih.gov/gene/177655", "177655")</f>
        <v>177655</v>
      </c>
      <c r="C815" s="9"/>
      <c r="D815" t="str">
        <f>"mesp-1"</f>
        <v>mesp-1</v>
      </c>
      <c r="E815" t="s">
        <v>69</v>
      </c>
      <c r="F815" t="s">
        <v>11</v>
      </c>
      <c r="H815" s="12">
        <v>-3.7214031774689902</v>
      </c>
      <c r="I815" s="11">
        <v>-6.0458219734880698</v>
      </c>
      <c r="J815" s="10">
        <v>1.48650166890307E-9</v>
      </c>
      <c r="K815" s="29">
        <v>7.8061608094714301E-7</v>
      </c>
    </row>
    <row r="816" spans="1:11" x14ac:dyDescent="0.35">
      <c r="A816" s="9" t="str">
        <f>HYPERLINK("http://www.ensembl.org/id/WBGene00219719", "WBGene00219719")</f>
        <v>WBGene00219719</v>
      </c>
      <c r="B816" s="9"/>
      <c r="C816" s="9"/>
      <c r="D816" t="str">
        <f>"linc-57"</f>
        <v>linc-57</v>
      </c>
      <c r="F816" t="s">
        <v>1510</v>
      </c>
      <c r="H816" s="12">
        <v>-3.71932966445589</v>
      </c>
      <c r="I816" s="11">
        <v>-0.56955407480233899</v>
      </c>
      <c r="J816" s="10">
        <v>0.56898018467641098</v>
      </c>
      <c r="K816" s="29">
        <v>0.98289565623980701</v>
      </c>
    </row>
    <row r="817" spans="1:11" x14ac:dyDescent="0.35">
      <c r="A817" s="9" t="str">
        <f>HYPERLINK("http://www.ensembl.org/id/WBGene00006164", "WBGene00006164")</f>
        <v>WBGene00006164</v>
      </c>
      <c r="B817" s="9" t="str">
        <f>HYPERLINK("http://www.ncbi.nlm.nih.gov/gene/191998", "191998")</f>
        <v>191998</v>
      </c>
      <c r="C817" s="9"/>
      <c r="D817" t="str">
        <f>"str-113"</f>
        <v>str-113</v>
      </c>
      <c r="E817" t="s">
        <v>590</v>
      </c>
      <c r="F817" t="s">
        <v>11</v>
      </c>
      <c r="G817" t="s">
        <v>591</v>
      </c>
      <c r="H817" s="12">
        <v>-3.71932966445589</v>
      </c>
      <c r="I817" s="11">
        <v>-0.56955407480233899</v>
      </c>
      <c r="J817" s="10">
        <v>0.56898018467641098</v>
      </c>
      <c r="K817" s="29">
        <v>0.98289565623980701</v>
      </c>
    </row>
    <row r="818" spans="1:11" x14ac:dyDescent="0.35">
      <c r="A818" s="9" t="str">
        <f>HYPERLINK("http://www.ensembl.org/id/WBGene00008534", "WBGene00008534")</f>
        <v>WBGene00008534</v>
      </c>
      <c r="B818" s="9"/>
      <c r="C818" s="9"/>
      <c r="D818" t="str">
        <f>"F02H6.1"</f>
        <v>F02H6.1</v>
      </c>
      <c r="F818" t="s">
        <v>80</v>
      </c>
      <c r="H818" s="12">
        <v>-3.7014240017337698</v>
      </c>
      <c r="I818" s="11">
        <v>-1.3947064003179499</v>
      </c>
      <c r="J818" s="10">
        <v>0.16310439405917099</v>
      </c>
      <c r="K818" s="29">
        <v>0.880329392462323</v>
      </c>
    </row>
    <row r="819" spans="1:11" x14ac:dyDescent="0.35">
      <c r="A819" s="9" t="str">
        <f>HYPERLINK("http://www.ensembl.org/id/WBGene00019794", "WBGene00019794")</f>
        <v>WBGene00019794</v>
      </c>
      <c r="B819" s="9" t="str">
        <f>HYPERLINK("http://www.ncbi.nlm.nih.gov/gene/187479", "187479")</f>
        <v>187479</v>
      </c>
      <c r="C819" s="9"/>
      <c r="D819" t="str">
        <f>"M151.2"</f>
        <v>M151.2</v>
      </c>
      <c r="F819" t="s">
        <v>11</v>
      </c>
      <c r="G819" t="s">
        <v>3446</v>
      </c>
      <c r="H819" s="12">
        <v>-3.6959011746020001</v>
      </c>
      <c r="I819" s="11">
        <v>-1.3848473755613699</v>
      </c>
      <c r="J819" s="10">
        <v>0.16609914112351101</v>
      </c>
      <c r="K819" s="29">
        <v>0.88498397685845498</v>
      </c>
    </row>
    <row r="820" spans="1:11" x14ac:dyDescent="0.35">
      <c r="A820" s="9" t="str">
        <f>HYPERLINK("http://www.ensembl.org/id/WBGene00022257", "WBGene00022257")</f>
        <v>WBGene00022257</v>
      </c>
      <c r="B820" s="9" t="str">
        <f>HYPERLINK("http://www.ncbi.nlm.nih.gov/gene/177406", "177406")</f>
        <v>177406</v>
      </c>
      <c r="C820" s="9"/>
      <c r="D820" t="str">
        <f>"puf-11"</f>
        <v>puf-11</v>
      </c>
      <c r="E820" t="s">
        <v>48</v>
      </c>
      <c r="F820" t="s">
        <v>11</v>
      </c>
      <c r="G820" t="s">
        <v>83</v>
      </c>
      <c r="H820" s="12">
        <v>-3.6821610859137399</v>
      </c>
      <c r="I820" s="11">
        <v>-5.7189498997116797</v>
      </c>
      <c r="J820" s="10">
        <v>1.0718438988857601E-8</v>
      </c>
      <c r="K820" s="29">
        <v>4.0600041192876104E-6</v>
      </c>
    </row>
    <row r="821" spans="1:11" x14ac:dyDescent="0.35">
      <c r="A821" s="9" t="str">
        <f>HYPERLINK("http://www.ensembl.org/id/WBGene00011037", "WBGene00011037")</f>
        <v>WBGene00011037</v>
      </c>
      <c r="B821" s="9" t="str">
        <f>HYPERLINK("http://www.ncbi.nlm.nih.gov/gene/172650", "172650")</f>
        <v>172650</v>
      </c>
      <c r="C821" s="9"/>
      <c r="D821" t="str">
        <f>"R05D11.9"</f>
        <v>R05D11.9</v>
      </c>
      <c r="F821" t="s">
        <v>11</v>
      </c>
      <c r="G821" t="s">
        <v>81</v>
      </c>
      <c r="H821" s="12">
        <v>-3.6772858977528999</v>
      </c>
      <c r="I821" s="11">
        <v>-5.7873070585571096</v>
      </c>
      <c r="J821" s="10">
        <v>7.1523765607983898E-9</v>
      </c>
      <c r="K821" s="29">
        <v>2.84935884161737E-6</v>
      </c>
    </row>
    <row r="822" spans="1:11" x14ac:dyDescent="0.35">
      <c r="A822" s="9" t="str">
        <f>HYPERLINK("http://www.ensembl.org/id/WBGene00020485", "WBGene00020485")</f>
        <v>WBGene00020485</v>
      </c>
      <c r="B822" s="9" t="str">
        <f>HYPERLINK("http://www.ncbi.nlm.nih.gov/gene/188474", "188474")</f>
        <v>188474</v>
      </c>
      <c r="C822" s="9"/>
      <c r="D822" t="str">
        <f>"ceh-54"</f>
        <v>ceh-54</v>
      </c>
      <c r="E822" t="s">
        <v>349</v>
      </c>
      <c r="F822" t="s">
        <v>11</v>
      </c>
      <c r="G822" t="s">
        <v>5183</v>
      </c>
      <c r="H822" s="12">
        <v>-3.67108137998266</v>
      </c>
      <c r="I822" s="11">
        <v>-0.73707369766119402</v>
      </c>
      <c r="J822" s="10">
        <v>0.46107753323869799</v>
      </c>
      <c r="K822" s="29">
        <v>0.98289565623980701</v>
      </c>
    </row>
    <row r="823" spans="1:11" x14ac:dyDescent="0.35">
      <c r="A823" s="9" t="str">
        <f>HYPERLINK("http://www.ensembl.org/id/WBGene00007773", "WBGene00007773")</f>
        <v>WBGene00007773</v>
      </c>
      <c r="B823" s="9" t="str">
        <f>HYPERLINK("http://www.ncbi.nlm.nih.gov/gene/181582", "181582")</f>
        <v>181582</v>
      </c>
      <c r="C823" s="9"/>
      <c r="D823" t="str">
        <f>"C27C12.3"</f>
        <v>C27C12.3</v>
      </c>
      <c r="F823" t="s">
        <v>11</v>
      </c>
      <c r="H823" s="12">
        <v>-3.6479115848646</v>
      </c>
      <c r="I823" s="11">
        <v>-4.1966360021612701</v>
      </c>
      <c r="J823" s="10">
        <v>2.7090880739882301E-5</v>
      </c>
      <c r="K823" s="29">
        <v>2.3013304793225E-3</v>
      </c>
    </row>
    <row r="824" spans="1:11" x14ac:dyDescent="0.35">
      <c r="A824" s="9" t="str">
        <f>HYPERLINK("http://www.ensembl.org/id/WBGene00011505", "WBGene00011505")</f>
        <v>WBGene00011505</v>
      </c>
      <c r="B824" s="9" t="str">
        <f>HYPERLINK("http://www.ncbi.nlm.nih.gov/gene/188142", "188142")</f>
        <v>188142</v>
      </c>
      <c r="C824" s="9"/>
      <c r="D824" t="str">
        <f>"pzf-1"</f>
        <v>pzf-1</v>
      </c>
      <c r="E824" t="s">
        <v>294</v>
      </c>
      <c r="F824" t="s">
        <v>11</v>
      </c>
      <c r="G824" t="s">
        <v>295</v>
      </c>
      <c r="H824" s="12">
        <v>-3.64109564590871</v>
      </c>
      <c r="I824" s="11">
        <v>-4.10565667343384</v>
      </c>
      <c r="J824" s="10">
        <v>4.0316791400920598E-5</v>
      </c>
      <c r="K824" s="29">
        <v>3.2233902495144399E-3</v>
      </c>
    </row>
    <row r="825" spans="1:11" x14ac:dyDescent="0.35">
      <c r="A825" s="9" t="str">
        <f>HYPERLINK("http://www.ensembl.org/id/WBGene00004878", "WBGene00004878")</f>
        <v>WBGene00004878</v>
      </c>
      <c r="B825" s="9" t="str">
        <f>HYPERLINK("http://www.ncbi.nlm.nih.gov/gene/177044", "177044")</f>
        <v>177044</v>
      </c>
      <c r="C825" s="9" t="str">
        <f>HYPERLINK("http://www.ncbi.nlm.nih.gov/gene/4891", "4891")</f>
        <v>4891</v>
      </c>
      <c r="D825" t="str">
        <f>"smf-3"</f>
        <v>smf-3</v>
      </c>
      <c r="E825" t="s">
        <v>574</v>
      </c>
      <c r="F825" t="s">
        <v>11</v>
      </c>
      <c r="G825" t="s">
        <v>575</v>
      </c>
      <c r="H825" s="12">
        <v>-3.6378182749801198</v>
      </c>
      <c r="I825" s="11">
        <v>-3.16111763495091</v>
      </c>
      <c r="J825" s="10">
        <v>1.57165012526523E-3</v>
      </c>
      <c r="K825" s="29">
        <v>5.50220421126945E-2</v>
      </c>
    </row>
    <row r="826" spans="1:11" x14ac:dyDescent="0.35">
      <c r="A826" s="9" t="str">
        <f>HYPERLINK("http://www.ensembl.org/id/WBGene00006048", "WBGene00006048")</f>
        <v>WBGene00006048</v>
      </c>
      <c r="B826" s="9" t="str">
        <f>HYPERLINK("http://www.ncbi.nlm.nih.gov/gene/173187", "173187")</f>
        <v>173187</v>
      </c>
      <c r="C826" s="9"/>
      <c r="D826" t="str">
        <f>"ssp-31"</f>
        <v>ssp-31</v>
      </c>
      <c r="E826" t="s">
        <v>10101</v>
      </c>
      <c r="F826" t="s">
        <v>11</v>
      </c>
      <c r="G826" t="s">
        <v>54</v>
      </c>
      <c r="H826" s="12">
        <v>-3.6236119017698001</v>
      </c>
      <c r="I826" s="11">
        <v>-1.0041544521135299</v>
      </c>
      <c r="J826" s="10">
        <v>0.31530417256216398</v>
      </c>
      <c r="K826" s="29">
        <v>0.98289565623980701</v>
      </c>
    </row>
    <row r="827" spans="1:11" x14ac:dyDescent="0.35">
      <c r="A827" s="9" t="str">
        <f>HYPERLINK("http://www.ensembl.org/id/WBGene00012088", "WBGene00012088")</f>
        <v>WBGene00012088</v>
      </c>
      <c r="B827" s="9" t="str">
        <f>HYPERLINK("http://www.ncbi.nlm.nih.gov/gene/188997", "188997")</f>
        <v>188997</v>
      </c>
      <c r="C827" s="9"/>
      <c r="D827" t="str">
        <f>"T27E7.3"</f>
        <v>T27E7.3</v>
      </c>
      <c r="F827" t="s">
        <v>11</v>
      </c>
      <c r="G827" t="s">
        <v>25</v>
      </c>
      <c r="H827" s="12">
        <v>-3.6110643734838299</v>
      </c>
      <c r="I827" s="11">
        <v>-0.57237894541144496</v>
      </c>
      <c r="J827" s="10">
        <v>0.56706527662435902</v>
      </c>
      <c r="K827" s="29">
        <v>0.98289565623980701</v>
      </c>
    </row>
    <row r="828" spans="1:11" x14ac:dyDescent="0.35">
      <c r="A828" s="9" t="str">
        <f>HYPERLINK("http://www.ensembl.org/id/WBGene00013744", "WBGene00013744")</f>
        <v>WBGene00013744</v>
      </c>
      <c r="B828" s="9" t="str">
        <f>HYPERLINK("http://www.ncbi.nlm.nih.gov/gene/3565325", "3565325")</f>
        <v>3565325</v>
      </c>
      <c r="C828" s="9"/>
      <c r="D828" t="str">
        <f>"Y111B2A.27"</f>
        <v>Y111B2A.27</v>
      </c>
      <c r="F828" t="s">
        <v>11</v>
      </c>
      <c r="H828" s="12">
        <v>-3.6110643734838299</v>
      </c>
      <c r="I828" s="11">
        <v>-0.57237894541144496</v>
      </c>
      <c r="J828" s="10">
        <v>0.56706527662435902</v>
      </c>
      <c r="K828" s="29">
        <v>0.98289565623980701</v>
      </c>
    </row>
    <row r="829" spans="1:11" x14ac:dyDescent="0.35">
      <c r="A829" s="9" t="str">
        <f>HYPERLINK("http://www.ensembl.org/id/WBGene00043308", "WBGene00043308")</f>
        <v>WBGene00043308</v>
      </c>
      <c r="B829" s="9" t="str">
        <f>HYPERLINK("http://www.ncbi.nlm.nih.gov/gene/13183089", "13183089")</f>
        <v>13183089</v>
      </c>
      <c r="C829" s="9"/>
      <c r="D829" t="str">
        <f>"tmem-107"</f>
        <v>tmem-107</v>
      </c>
      <c r="E829" t="s">
        <v>4361</v>
      </c>
      <c r="F829" t="s">
        <v>11</v>
      </c>
      <c r="G829" t="s">
        <v>10100</v>
      </c>
      <c r="H829" s="12">
        <v>-3.6068972135878599</v>
      </c>
      <c r="I829" s="11">
        <v>-1.05779188130944</v>
      </c>
      <c r="J829" s="10">
        <v>0.29015033496110998</v>
      </c>
      <c r="K829" s="29">
        <v>0.98289565623980701</v>
      </c>
    </row>
    <row r="830" spans="1:11" x14ac:dyDescent="0.35">
      <c r="A830" s="9" t="str">
        <f>HYPERLINK("http://www.ensembl.org/id/WBGene00008341", "WBGene00008341")</f>
        <v>WBGene00008341</v>
      </c>
      <c r="B830" s="9" t="str">
        <f>HYPERLINK("http://www.ncbi.nlm.nih.gov/gene/179835", "179835")</f>
        <v>179835</v>
      </c>
      <c r="C830" s="9"/>
      <c r="D830" t="str">
        <f>"ttr-44"</f>
        <v>ttr-44</v>
      </c>
      <c r="E830" t="s">
        <v>16</v>
      </c>
      <c r="F830" t="s">
        <v>11</v>
      </c>
      <c r="G830" t="s">
        <v>17</v>
      </c>
      <c r="H830" s="12">
        <v>-3.5976096895140999</v>
      </c>
      <c r="I830" s="11">
        <v>-5.8419035012618901</v>
      </c>
      <c r="J830" s="10">
        <v>5.1607699796160299E-9</v>
      </c>
      <c r="K830" s="29">
        <v>2.1680863845274201E-6</v>
      </c>
    </row>
    <row r="831" spans="1:11" x14ac:dyDescent="0.35">
      <c r="A831" s="9" t="str">
        <f>HYPERLINK("http://www.ensembl.org/id/WBGene00011113", "WBGene00011113")</f>
        <v>WBGene00011113</v>
      </c>
      <c r="B831" s="9" t="str">
        <f>HYPERLINK("http://www.ncbi.nlm.nih.gov/gene/187681", "187681")</f>
        <v>187681</v>
      </c>
      <c r="C831" s="9"/>
      <c r="D831" t="str">
        <f>"R07E5.5"</f>
        <v>R07E5.5</v>
      </c>
      <c r="F831" t="s">
        <v>11</v>
      </c>
      <c r="H831" s="12">
        <v>-3.5948720441579298</v>
      </c>
      <c r="I831" s="11">
        <v>-0.58884001829584798</v>
      </c>
      <c r="J831" s="10">
        <v>0.55596859786865305</v>
      </c>
      <c r="K831" s="29">
        <v>0.98289565623980701</v>
      </c>
    </row>
    <row r="832" spans="1:11" x14ac:dyDescent="0.35">
      <c r="A832" s="9" t="str">
        <f>HYPERLINK("http://www.ensembl.org/id/WBGene00015913", "WBGene00015913")</f>
        <v>WBGene00015913</v>
      </c>
      <c r="B832" s="9" t="str">
        <f>HYPERLINK("http://www.ncbi.nlm.nih.gov/gene/173668", "173668")</f>
        <v>173668</v>
      </c>
      <c r="C832" s="9"/>
      <c r="D832" t="str">
        <f>"C17F4.7"</f>
        <v>C17F4.7</v>
      </c>
      <c r="F832" t="s">
        <v>11</v>
      </c>
      <c r="H832" s="12">
        <v>-3.5930074461474599</v>
      </c>
      <c r="I832" s="11">
        <v>-5.9681316283198802</v>
      </c>
      <c r="J832" s="10">
        <v>2.3998573595703899E-9</v>
      </c>
      <c r="K832" s="29">
        <v>1.08727655196536E-6</v>
      </c>
    </row>
    <row r="833" spans="1:11" x14ac:dyDescent="0.35">
      <c r="A833" s="9" t="str">
        <f>HYPERLINK("http://www.ensembl.org/id/WBGene00200823", "WBGene00200823")</f>
        <v>WBGene00200823</v>
      </c>
      <c r="B833" s="9"/>
      <c r="C833" s="9"/>
      <c r="D833" t="str">
        <f>"Y54G2A.68"</f>
        <v>Y54G2A.68</v>
      </c>
      <c r="F833" t="s">
        <v>481</v>
      </c>
      <c r="H833" s="12">
        <v>-3.5895742674186799</v>
      </c>
      <c r="I833" s="11">
        <v>-0.51888192149280599</v>
      </c>
      <c r="J833" s="10">
        <v>0.60384308549044796</v>
      </c>
      <c r="K833" s="29">
        <v>0.98289565623980701</v>
      </c>
    </row>
    <row r="834" spans="1:11" x14ac:dyDescent="0.35">
      <c r="A834" s="9" t="str">
        <f>HYPERLINK("http://www.ensembl.org/id/WBGene00020067", "WBGene00020067")</f>
        <v>WBGene00020067</v>
      </c>
      <c r="B834" s="9" t="str">
        <f>HYPERLINK("http://www.ncbi.nlm.nih.gov/gene/187871", "187871")</f>
        <v>187871</v>
      </c>
      <c r="C834" s="9"/>
      <c r="D834" t="str">
        <f>"clec-158"</f>
        <v>clec-158</v>
      </c>
      <c r="E834" t="s">
        <v>10099</v>
      </c>
      <c r="F834" t="s">
        <v>11</v>
      </c>
      <c r="H834" s="12">
        <v>-3.5882319084027099</v>
      </c>
      <c r="I834" s="11">
        <v>-0.47992806806208699</v>
      </c>
      <c r="J834" s="10">
        <v>0.63127854220295099</v>
      </c>
      <c r="K834" s="29">
        <v>0.98289565623980701</v>
      </c>
    </row>
    <row r="835" spans="1:11" x14ac:dyDescent="0.35">
      <c r="A835" s="9" t="str">
        <f>HYPERLINK("http://www.ensembl.org/id/WBGene00004054", "WBGene00004054")</f>
        <v>WBGene00004054</v>
      </c>
      <c r="B835" s="9"/>
      <c r="C835" s="9"/>
      <c r="D835" t="str">
        <f>"AC8.1"</f>
        <v>AC8.1</v>
      </c>
      <c r="F835" t="s">
        <v>80</v>
      </c>
      <c r="H835" s="12">
        <v>-3.5859799885725399</v>
      </c>
      <c r="I835" s="11">
        <v>-1.2018031686935899</v>
      </c>
      <c r="J835" s="10">
        <v>0.22943979750185201</v>
      </c>
      <c r="K835" s="29">
        <v>0.98289565623980701</v>
      </c>
    </row>
    <row r="836" spans="1:11" x14ac:dyDescent="0.35">
      <c r="A836" s="9" t="str">
        <f>HYPERLINK("http://www.ensembl.org/id/WBGene00077732", "WBGene00077732")</f>
        <v>WBGene00077732</v>
      </c>
      <c r="B836" s="9" t="str">
        <f>HYPERLINK("http://www.ncbi.nlm.nih.gov/gene/174029", "174029")</f>
        <v>174029</v>
      </c>
      <c r="C836" s="9"/>
      <c r="D836" t="str">
        <f>"szy-4"</f>
        <v>szy-4</v>
      </c>
      <c r="E836" t="s">
        <v>96</v>
      </c>
      <c r="F836" t="s">
        <v>11</v>
      </c>
      <c r="G836" t="s">
        <v>97</v>
      </c>
      <c r="H836" s="12">
        <v>-3.5851463459450001</v>
      </c>
      <c r="I836" s="11">
        <v>-5.6129446161729</v>
      </c>
      <c r="J836" s="10">
        <v>1.9891227904227301E-8</v>
      </c>
      <c r="K836" s="29">
        <v>6.4569836941503302E-6</v>
      </c>
    </row>
    <row r="837" spans="1:11" x14ac:dyDescent="0.35">
      <c r="A837" s="9" t="str">
        <f>HYPERLINK("http://www.ensembl.org/id/WBGene00009883", "WBGene00009883")</f>
        <v>WBGene00009883</v>
      </c>
      <c r="B837" s="9" t="str">
        <f>HYPERLINK("http://www.ncbi.nlm.nih.gov/gene/177758", "177758")</f>
        <v>177758</v>
      </c>
      <c r="C837" s="9"/>
      <c r="D837" t="str">
        <f>"F49C12.14"</f>
        <v>F49C12.14</v>
      </c>
      <c r="F837" t="s">
        <v>11</v>
      </c>
      <c r="H837" s="12">
        <v>-3.5848453141379202</v>
      </c>
      <c r="I837" s="11">
        <v>-1.5542807311931801</v>
      </c>
      <c r="J837" s="10">
        <v>0.12011746769687801</v>
      </c>
      <c r="K837" s="29">
        <v>0.78962228318223304</v>
      </c>
    </row>
    <row r="838" spans="1:11" x14ac:dyDescent="0.35">
      <c r="A838" s="9" t="str">
        <f>HYPERLINK("http://www.ensembl.org/id/WBGene00174796", "WBGene00174796")</f>
        <v>WBGene00174796</v>
      </c>
      <c r="B838" s="9"/>
      <c r="C838" s="9"/>
      <c r="D838" t="str">
        <f>"21ur-11078"</f>
        <v>21ur-11078</v>
      </c>
      <c r="F838" t="s">
        <v>3161</v>
      </c>
      <c r="H838" s="12">
        <v>-3.5819448292659501</v>
      </c>
      <c r="I838" s="11">
        <v>-0.37337717500031398</v>
      </c>
      <c r="J838" s="10">
        <v>0.70886774492290605</v>
      </c>
      <c r="K838" s="29">
        <v>0.98289565623980701</v>
      </c>
    </row>
    <row r="839" spans="1:11" x14ac:dyDescent="0.35">
      <c r="A839" s="9" t="str">
        <f>HYPERLINK("http://www.ensembl.org/id/WBGene00168457", "WBGene00168457")</f>
        <v>WBGene00168457</v>
      </c>
      <c r="B839" s="9"/>
      <c r="C839" s="9"/>
      <c r="D839" t="str">
        <f>"21ur-11631"</f>
        <v>21ur-11631</v>
      </c>
      <c r="F839" t="s">
        <v>3161</v>
      </c>
      <c r="H839" s="12">
        <v>-3.5819448292659501</v>
      </c>
      <c r="I839" s="11">
        <v>-0.37337717500031398</v>
      </c>
      <c r="J839" s="10">
        <v>0.70886774492290605</v>
      </c>
      <c r="K839" s="29">
        <v>0.98289565623980701</v>
      </c>
    </row>
    <row r="840" spans="1:11" x14ac:dyDescent="0.35">
      <c r="A840" s="9" t="str">
        <f>HYPERLINK("http://www.ensembl.org/id/WBGene00168654", "WBGene00168654")</f>
        <v>WBGene00168654</v>
      </c>
      <c r="B840" s="9"/>
      <c r="C840" s="9"/>
      <c r="D840" t="str">
        <f>"21ur-12145"</f>
        <v>21ur-12145</v>
      </c>
      <c r="F840" t="s">
        <v>3161</v>
      </c>
      <c r="H840" s="12">
        <v>-3.5819448292659501</v>
      </c>
      <c r="I840" s="11">
        <v>-0.37337717500031398</v>
      </c>
      <c r="J840" s="10">
        <v>0.70886774492290605</v>
      </c>
      <c r="K840" s="29">
        <v>0.98289565623980701</v>
      </c>
    </row>
    <row r="841" spans="1:11" x14ac:dyDescent="0.35">
      <c r="A841" s="9" t="str">
        <f>HYPERLINK("http://www.ensembl.org/id/WBGene00174434", "WBGene00174434")</f>
        <v>WBGene00174434</v>
      </c>
      <c r="B841" s="9"/>
      <c r="C841" s="9"/>
      <c r="D841" t="str">
        <f>"21ur-12461"</f>
        <v>21ur-12461</v>
      </c>
      <c r="F841" t="s">
        <v>3161</v>
      </c>
      <c r="H841" s="12">
        <v>-3.5819448292659501</v>
      </c>
      <c r="I841" s="11">
        <v>-0.37337717500031398</v>
      </c>
      <c r="J841" s="10">
        <v>0.70886774492290605</v>
      </c>
      <c r="K841" s="29">
        <v>0.98289565623980701</v>
      </c>
    </row>
    <row r="842" spans="1:11" x14ac:dyDescent="0.35">
      <c r="A842" s="9" t="str">
        <f>HYPERLINK("http://www.ensembl.org/id/WBGene00170152", "WBGene00170152")</f>
        <v>WBGene00170152</v>
      </c>
      <c r="B842" s="9"/>
      <c r="C842" s="9"/>
      <c r="D842" t="str">
        <f>"21ur-13274"</f>
        <v>21ur-13274</v>
      </c>
      <c r="F842" t="s">
        <v>3161</v>
      </c>
      <c r="H842" s="12">
        <v>-3.5819448292659501</v>
      </c>
      <c r="I842" s="11">
        <v>-0.37337717500031398</v>
      </c>
      <c r="J842" s="10">
        <v>0.70886774492290605</v>
      </c>
      <c r="K842" s="29">
        <v>0.98289565623980701</v>
      </c>
    </row>
    <row r="843" spans="1:11" x14ac:dyDescent="0.35">
      <c r="A843" s="9" t="str">
        <f>HYPERLINK("http://www.ensembl.org/id/WBGene00166160", "WBGene00166160")</f>
        <v>WBGene00166160</v>
      </c>
      <c r="B843" s="9"/>
      <c r="C843" s="9"/>
      <c r="D843" t="str">
        <f>"21ur-14161"</f>
        <v>21ur-14161</v>
      </c>
      <c r="F843" t="s">
        <v>3161</v>
      </c>
      <c r="H843" s="12">
        <v>-3.5819448292659501</v>
      </c>
      <c r="I843" s="11">
        <v>-0.37337717500031398</v>
      </c>
      <c r="J843" s="10">
        <v>0.70886774492290605</v>
      </c>
      <c r="K843" s="29">
        <v>0.98289565623980701</v>
      </c>
    </row>
    <row r="844" spans="1:11" x14ac:dyDescent="0.35">
      <c r="A844" s="9" t="str">
        <f>HYPERLINK("http://www.ensembl.org/id/WBGene00174971", "WBGene00174971")</f>
        <v>WBGene00174971</v>
      </c>
      <c r="B844" s="9"/>
      <c r="C844" s="9"/>
      <c r="D844" t="str">
        <f>"21ur-15302"</f>
        <v>21ur-15302</v>
      </c>
      <c r="F844" t="s">
        <v>3161</v>
      </c>
      <c r="H844" s="12">
        <v>-3.5819448292659501</v>
      </c>
      <c r="I844" s="11">
        <v>-0.37337717500031398</v>
      </c>
      <c r="J844" s="10">
        <v>0.70886774492290605</v>
      </c>
      <c r="K844" s="29">
        <v>0.98289565623980701</v>
      </c>
    </row>
    <row r="845" spans="1:11" x14ac:dyDescent="0.35">
      <c r="A845" s="9" t="str">
        <f>HYPERLINK("http://www.ensembl.org/id/WBGene00049109", "WBGene00049109")</f>
        <v>WBGene00049109</v>
      </c>
      <c r="B845" s="9"/>
      <c r="C845" s="9"/>
      <c r="D845" t="str">
        <f>"21ur-2325"</f>
        <v>21ur-2325</v>
      </c>
      <c r="F845" t="s">
        <v>3161</v>
      </c>
      <c r="H845" s="12">
        <v>-3.5819448292659501</v>
      </c>
      <c r="I845" s="11">
        <v>-0.37337717500031398</v>
      </c>
      <c r="J845" s="10">
        <v>0.70886774492290605</v>
      </c>
      <c r="K845" s="29">
        <v>0.98289565623980701</v>
      </c>
    </row>
    <row r="846" spans="1:11" x14ac:dyDescent="0.35">
      <c r="A846" s="9" t="str">
        <f>HYPERLINK("http://www.ensembl.org/id/WBGene00045546", "WBGene00045546")</f>
        <v>WBGene00045546</v>
      </c>
      <c r="B846" s="9"/>
      <c r="C846" s="9"/>
      <c r="D846" t="str">
        <f>"21ur-3313"</f>
        <v>21ur-3313</v>
      </c>
      <c r="F846" t="s">
        <v>3161</v>
      </c>
      <c r="H846" s="12">
        <v>-3.5819448292659501</v>
      </c>
      <c r="I846" s="11">
        <v>-0.37337717500031398</v>
      </c>
      <c r="J846" s="10">
        <v>0.70886774492290605</v>
      </c>
      <c r="K846" s="29">
        <v>0.98289565623980701</v>
      </c>
    </row>
    <row r="847" spans="1:11" x14ac:dyDescent="0.35">
      <c r="A847" s="9" t="str">
        <f>HYPERLINK("http://www.ensembl.org/id/WBGene00049001", "WBGene00049001")</f>
        <v>WBGene00049001</v>
      </c>
      <c r="B847" s="9"/>
      <c r="C847" s="9"/>
      <c r="D847" t="str">
        <f>"21ur-3341"</f>
        <v>21ur-3341</v>
      </c>
      <c r="F847" t="s">
        <v>3161</v>
      </c>
      <c r="H847" s="12">
        <v>-3.5819448292659501</v>
      </c>
      <c r="I847" s="11">
        <v>-0.37337717500031398</v>
      </c>
      <c r="J847" s="10">
        <v>0.70886774492290605</v>
      </c>
      <c r="K847" s="29">
        <v>0.98289565623980701</v>
      </c>
    </row>
    <row r="848" spans="1:11" x14ac:dyDescent="0.35">
      <c r="A848" s="9" t="str">
        <f>HYPERLINK("http://www.ensembl.org/id/WBGene00047594", "WBGene00047594")</f>
        <v>WBGene00047594</v>
      </c>
      <c r="B848" s="9"/>
      <c r="C848" s="9"/>
      <c r="D848" t="str">
        <f>"21ur-335"</f>
        <v>21ur-335</v>
      </c>
      <c r="F848" t="s">
        <v>3161</v>
      </c>
      <c r="H848" s="12">
        <v>-3.5819448292659501</v>
      </c>
      <c r="I848" s="11">
        <v>-0.37337717500031398</v>
      </c>
      <c r="J848" s="10">
        <v>0.70886774492290605</v>
      </c>
      <c r="K848" s="29">
        <v>0.98289565623980701</v>
      </c>
    </row>
    <row r="849" spans="1:11" x14ac:dyDescent="0.35">
      <c r="A849" s="9" t="str">
        <f>HYPERLINK("http://www.ensembl.org/id/WBGene00048676", "WBGene00048676")</f>
        <v>WBGene00048676</v>
      </c>
      <c r="B849" s="9"/>
      <c r="C849" s="9"/>
      <c r="D849" t="str">
        <f>"21ur-4385"</f>
        <v>21ur-4385</v>
      </c>
      <c r="F849" t="s">
        <v>3161</v>
      </c>
      <c r="H849" s="12">
        <v>-3.5819448292659501</v>
      </c>
      <c r="I849" s="11">
        <v>-0.37337717500031398</v>
      </c>
      <c r="J849" s="10">
        <v>0.70886774492290605</v>
      </c>
      <c r="K849" s="29">
        <v>0.98289565623980701</v>
      </c>
    </row>
    <row r="850" spans="1:11" x14ac:dyDescent="0.35">
      <c r="A850" s="9" t="str">
        <f>HYPERLINK("http://www.ensembl.org/id/WBGene00048104", "WBGene00048104")</f>
        <v>WBGene00048104</v>
      </c>
      <c r="B850" s="9"/>
      <c r="C850" s="9"/>
      <c r="D850" t="str">
        <f>"21ur-4875"</f>
        <v>21ur-4875</v>
      </c>
      <c r="F850" t="s">
        <v>3161</v>
      </c>
      <c r="H850" s="12">
        <v>-3.5819448292659501</v>
      </c>
      <c r="I850" s="11">
        <v>-0.37337717500031398</v>
      </c>
      <c r="J850" s="10">
        <v>0.70886774492290605</v>
      </c>
      <c r="K850" s="29">
        <v>0.98289565623980701</v>
      </c>
    </row>
    <row r="851" spans="1:11" x14ac:dyDescent="0.35">
      <c r="A851" s="9" t="str">
        <f>HYPERLINK("http://www.ensembl.org/id/WBGene00165728", "WBGene00165728")</f>
        <v>WBGene00165728</v>
      </c>
      <c r="B851" s="9"/>
      <c r="C851" s="9"/>
      <c r="D851" t="str">
        <f>"21ur-5581"</f>
        <v>21ur-5581</v>
      </c>
      <c r="F851" t="s">
        <v>3161</v>
      </c>
      <c r="H851" s="12">
        <v>-3.5819448292659501</v>
      </c>
      <c r="I851" s="11">
        <v>-0.37337717500031398</v>
      </c>
      <c r="J851" s="10">
        <v>0.70886774492290605</v>
      </c>
      <c r="K851" s="29">
        <v>0.98289565623980701</v>
      </c>
    </row>
    <row r="852" spans="1:11" x14ac:dyDescent="0.35">
      <c r="A852" s="9" t="str">
        <f>HYPERLINK("http://www.ensembl.org/id/WBGene00174811", "WBGene00174811")</f>
        <v>WBGene00174811</v>
      </c>
      <c r="B852" s="9"/>
      <c r="C852" s="9"/>
      <c r="D852" t="str">
        <f>"21ur-7050"</f>
        <v>21ur-7050</v>
      </c>
      <c r="F852" t="s">
        <v>3161</v>
      </c>
      <c r="H852" s="12">
        <v>-3.5819448292659501</v>
      </c>
      <c r="I852" s="11">
        <v>-0.37337717500031398</v>
      </c>
      <c r="J852" s="10">
        <v>0.70886774492290605</v>
      </c>
      <c r="K852" s="29">
        <v>0.98289565623980701</v>
      </c>
    </row>
    <row r="853" spans="1:11" x14ac:dyDescent="0.35">
      <c r="A853" s="9" t="str">
        <f>HYPERLINK("http://www.ensembl.org/id/WBGene00172577", "WBGene00172577")</f>
        <v>WBGene00172577</v>
      </c>
      <c r="B853" s="9"/>
      <c r="C853" s="9"/>
      <c r="D853" t="str">
        <f>"21ur-7128"</f>
        <v>21ur-7128</v>
      </c>
      <c r="F853" t="s">
        <v>3161</v>
      </c>
      <c r="H853" s="12">
        <v>-3.5819448292659501</v>
      </c>
      <c r="I853" s="11">
        <v>-0.37337717500031398</v>
      </c>
      <c r="J853" s="10">
        <v>0.70886774492290605</v>
      </c>
      <c r="K853" s="29">
        <v>0.98289565623980701</v>
      </c>
    </row>
    <row r="854" spans="1:11" x14ac:dyDescent="0.35">
      <c r="A854" s="9" t="str">
        <f>HYPERLINK("http://www.ensembl.org/id/WBGene00201714", "WBGene00201714")</f>
        <v>WBGene00201714</v>
      </c>
      <c r="B854" s="9"/>
      <c r="C854" s="9"/>
      <c r="D854" t="str">
        <f>"C02C6.11"</f>
        <v>C02C6.11</v>
      </c>
      <c r="F854" t="s">
        <v>481</v>
      </c>
      <c r="H854" s="12">
        <v>-3.5819448292659501</v>
      </c>
      <c r="I854" s="11">
        <v>-0.37337717500031398</v>
      </c>
      <c r="J854" s="10">
        <v>0.70886774492290605</v>
      </c>
      <c r="K854" s="29">
        <v>0.98289565623980701</v>
      </c>
    </row>
    <row r="855" spans="1:11" x14ac:dyDescent="0.35">
      <c r="A855" s="9" t="str">
        <f>HYPERLINK("http://www.ensembl.org/id/WBGene00201925", "WBGene00201925")</f>
        <v>WBGene00201925</v>
      </c>
      <c r="B855" s="9"/>
      <c r="C855" s="9"/>
      <c r="D855" t="str">
        <f>"C04F1.5"</f>
        <v>C04F1.5</v>
      </c>
      <c r="F855" t="s">
        <v>481</v>
      </c>
      <c r="H855" s="12">
        <v>-3.5819448292659501</v>
      </c>
      <c r="I855" s="11">
        <v>-0.37337717500031398</v>
      </c>
      <c r="J855" s="10">
        <v>0.70886774492290605</v>
      </c>
      <c r="K855" s="29">
        <v>0.98289565623980701</v>
      </c>
    </row>
    <row r="856" spans="1:11" x14ac:dyDescent="0.35">
      <c r="A856" s="9" t="str">
        <f>HYPERLINK("http://www.ensembl.org/id/WBGene00201784", "WBGene00201784")</f>
        <v>WBGene00201784</v>
      </c>
      <c r="B856" s="9"/>
      <c r="C856" s="9"/>
      <c r="D856" t="str">
        <f>"C09B7.11"</f>
        <v>C09B7.11</v>
      </c>
      <c r="F856" t="s">
        <v>481</v>
      </c>
      <c r="H856" s="12">
        <v>-3.5819448292659501</v>
      </c>
      <c r="I856" s="11">
        <v>-0.37337717500031398</v>
      </c>
      <c r="J856" s="10">
        <v>0.70886774492290605</v>
      </c>
      <c r="K856" s="29">
        <v>0.98289565623980701</v>
      </c>
    </row>
    <row r="857" spans="1:11" x14ac:dyDescent="0.35">
      <c r="A857" s="9" t="str">
        <f>HYPERLINK("http://www.ensembl.org/id/WBGene00198692", "WBGene00198692")</f>
        <v>WBGene00198692</v>
      </c>
      <c r="B857" s="9"/>
      <c r="C857" s="9"/>
      <c r="D857" t="str">
        <f>"C09H10.13"</f>
        <v>C09H10.13</v>
      </c>
      <c r="F857" t="s">
        <v>481</v>
      </c>
      <c r="H857" s="12">
        <v>-3.5819448292659501</v>
      </c>
      <c r="I857" s="11">
        <v>-0.37337717500031398</v>
      </c>
      <c r="J857" s="10">
        <v>0.70886774492290605</v>
      </c>
      <c r="K857" s="29">
        <v>0.98289565623980701</v>
      </c>
    </row>
    <row r="858" spans="1:11" x14ac:dyDescent="0.35">
      <c r="A858" s="9" t="str">
        <f>HYPERLINK("http://www.ensembl.org/id/WBGene00198526", "WBGene00198526")</f>
        <v>WBGene00198526</v>
      </c>
      <c r="B858" s="9"/>
      <c r="C858" s="9"/>
      <c r="D858" t="str">
        <f>"C10G8.9"</f>
        <v>C10G8.9</v>
      </c>
      <c r="F858" t="s">
        <v>481</v>
      </c>
      <c r="H858" s="12">
        <v>-3.5819448292659501</v>
      </c>
      <c r="I858" s="11">
        <v>-0.37337717500031398</v>
      </c>
      <c r="J858" s="10">
        <v>0.70886774492290605</v>
      </c>
      <c r="K858" s="29">
        <v>0.98289565623980701</v>
      </c>
    </row>
    <row r="859" spans="1:11" x14ac:dyDescent="0.35">
      <c r="A859" s="9" t="str">
        <f>HYPERLINK("http://www.ensembl.org/id/WBGene00007572", "WBGene00007572")</f>
        <v>WBGene00007572</v>
      </c>
      <c r="B859" s="9" t="str">
        <f>HYPERLINK("http://www.ncbi.nlm.nih.gov/gene/182589", "182589")</f>
        <v>182589</v>
      </c>
      <c r="C859" s="9"/>
      <c r="D859" t="str">
        <f>"C14A6.8"</f>
        <v>C14A6.8</v>
      </c>
      <c r="F859" t="s">
        <v>11</v>
      </c>
      <c r="G859" t="s">
        <v>25</v>
      </c>
      <c r="H859" s="12">
        <v>-3.5819448292659501</v>
      </c>
      <c r="I859" s="11">
        <v>-0.37337717500031398</v>
      </c>
      <c r="J859" s="10">
        <v>0.70886774492290605</v>
      </c>
      <c r="K859" s="29">
        <v>0.98289565623980701</v>
      </c>
    </row>
    <row r="860" spans="1:11" x14ac:dyDescent="0.35">
      <c r="A860" s="9" t="str">
        <f>HYPERLINK("http://www.ensembl.org/id/WBGene00196787", "WBGene00196787")</f>
        <v>WBGene00196787</v>
      </c>
      <c r="B860" s="9"/>
      <c r="C860" s="9"/>
      <c r="D860" t="str">
        <f>"C14B9.12"</f>
        <v>C14B9.12</v>
      </c>
      <c r="F860" t="s">
        <v>481</v>
      </c>
      <c r="H860" s="12">
        <v>-3.5819448292659501</v>
      </c>
      <c r="I860" s="11">
        <v>-0.37337717500031398</v>
      </c>
      <c r="J860" s="10">
        <v>0.70886774492290605</v>
      </c>
      <c r="K860" s="29">
        <v>0.98289565623980701</v>
      </c>
    </row>
    <row r="861" spans="1:11" x14ac:dyDescent="0.35">
      <c r="A861" s="9" t="str">
        <f>HYPERLINK("http://www.ensembl.org/id/WBGene00196584", "WBGene00196584")</f>
        <v>WBGene00196584</v>
      </c>
      <c r="B861" s="9"/>
      <c r="C861" s="9"/>
      <c r="D861" t="str">
        <f>"C14F11.10"</f>
        <v>C14F11.10</v>
      </c>
      <c r="F861" t="s">
        <v>481</v>
      </c>
      <c r="H861" s="12">
        <v>-3.5819448292659501</v>
      </c>
      <c r="I861" s="11">
        <v>-0.37337717500031398</v>
      </c>
      <c r="J861" s="10">
        <v>0.70886774492290605</v>
      </c>
      <c r="K861" s="29">
        <v>0.98289565623980701</v>
      </c>
    </row>
    <row r="862" spans="1:11" x14ac:dyDescent="0.35">
      <c r="A862" s="9" t="str">
        <f>HYPERLINK("http://www.ensembl.org/id/WBGene00195417", "WBGene00195417")</f>
        <v>WBGene00195417</v>
      </c>
      <c r="B862" s="9"/>
      <c r="C862" s="9"/>
      <c r="D862" t="str">
        <f>"C16C2.5"</f>
        <v>C16C2.5</v>
      </c>
      <c r="F862" t="s">
        <v>481</v>
      </c>
      <c r="H862" s="12">
        <v>-3.5819448292659501</v>
      </c>
      <c r="I862" s="11">
        <v>-0.37337717500031398</v>
      </c>
      <c r="J862" s="10">
        <v>0.70886774492290605</v>
      </c>
      <c r="K862" s="29">
        <v>0.98289565623980701</v>
      </c>
    </row>
    <row r="863" spans="1:11" x14ac:dyDescent="0.35">
      <c r="A863" s="9" t="str">
        <f>HYPERLINK("http://www.ensembl.org/id/WBGene00015847", "WBGene00015847")</f>
        <v>WBGene00015847</v>
      </c>
      <c r="B863" s="9" t="str">
        <f>HYPERLINK("http://www.ncbi.nlm.nih.gov/gene/182676", "182676")</f>
        <v>182676</v>
      </c>
      <c r="C863" s="9"/>
      <c r="D863" t="str">
        <f>"C16C8.9"</f>
        <v>C16C8.9</v>
      </c>
      <c r="F863" t="s">
        <v>11</v>
      </c>
      <c r="H863" s="12">
        <v>-3.5819448292659501</v>
      </c>
      <c r="I863" s="11">
        <v>-0.37337717500031398</v>
      </c>
      <c r="J863" s="10">
        <v>0.70886774492290605</v>
      </c>
      <c r="K863" s="29">
        <v>0.98289565623980701</v>
      </c>
    </row>
    <row r="864" spans="1:11" x14ac:dyDescent="0.35">
      <c r="A864" s="9" t="str">
        <f>HYPERLINK("http://www.ensembl.org/id/WBGene00195884", "WBGene00195884")</f>
        <v>WBGene00195884</v>
      </c>
      <c r="B864" s="9"/>
      <c r="C864" s="9"/>
      <c r="D864" t="str">
        <f>"C17E4.14"</f>
        <v>C17E4.14</v>
      </c>
      <c r="F864" t="s">
        <v>481</v>
      </c>
      <c r="H864" s="12">
        <v>-3.5819448292659501</v>
      </c>
      <c r="I864" s="11">
        <v>-0.37337717500031398</v>
      </c>
      <c r="J864" s="10">
        <v>0.70886774492290605</v>
      </c>
      <c r="K864" s="29">
        <v>0.98289565623980701</v>
      </c>
    </row>
    <row r="865" spans="1:11" x14ac:dyDescent="0.35">
      <c r="A865" s="9" t="str">
        <f>HYPERLINK("http://www.ensembl.org/id/WBGene00007768", "WBGene00007768")</f>
        <v>WBGene00007768</v>
      </c>
      <c r="B865" s="9" t="str">
        <f>HYPERLINK("http://www.ncbi.nlm.nih.gov/gene/182958", "182958")</f>
        <v>182958</v>
      </c>
      <c r="C865" s="9"/>
      <c r="D865" t="str">
        <f>"C27C7.5"</f>
        <v>C27C7.5</v>
      </c>
      <c r="E865" t="s">
        <v>2043</v>
      </c>
      <c r="F865" t="s">
        <v>11</v>
      </c>
      <c r="G865" t="s">
        <v>4290</v>
      </c>
      <c r="H865" s="12">
        <v>-3.5819448292659501</v>
      </c>
      <c r="I865" s="11">
        <v>-0.37337717500031398</v>
      </c>
      <c r="J865" s="10">
        <v>0.70886774492290605</v>
      </c>
      <c r="K865" s="29">
        <v>0.98289565623980701</v>
      </c>
    </row>
    <row r="866" spans="1:11" x14ac:dyDescent="0.35">
      <c r="A866" s="9" t="str">
        <f>HYPERLINK("http://www.ensembl.org/id/WBGene00016164", "WBGene00016164")</f>
        <v>WBGene00016164</v>
      </c>
      <c r="B866" s="9" t="str">
        <f>HYPERLINK("http://www.ncbi.nlm.nih.gov/gene/182965", "182965")</f>
        <v>182965</v>
      </c>
      <c r="C866" s="9"/>
      <c r="D866" t="str">
        <f>"C27D9.2"</f>
        <v>C27D9.2</v>
      </c>
      <c r="F866" t="s">
        <v>11</v>
      </c>
      <c r="G866" t="s">
        <v>17</v>
      </c>
      <c r="H866" s="12">
        <v>-3.5819448292659501</v>
      </c>
      <c r="I866" s="11">
        <v>-0.37337717500031398</v>
      </c>
      <c r="J866" s="10">
        <v>0.70886774492290605</v>
      </c>
      <c r="K866" s="29">
        <v>0.98289565623980701</v>
      </c>
    </row>
    <row r="867" spans="1:11" x14ac:dyDescent="0.35">
      <c r="A867" s="9" t="str">
        <f>HYPERLINK("http://www.ensembl.org/id/WBGene00044602", "WBGene00044602")</f>
        <v>WBGene00044602</v>
      </c>
      <c r="B867" s="9" t="str">
        <f>HYPERLINK("http://www.ncbi.nlm.nih.gov/gene/3896843", "3896843")</f>
        <v>3896843</v>
      </c>
      <c r="C867" s="9"/>
      <c r="D867" t="str">
        <f>"C31B8.16"</f>
        <v>C31B8.16</v>
      </c>
      <c r="F867" t="s">
        <v>11</v>
      </c>
      <c r="G867" t="s">
        <v>25</v>
      </c>
      <c r="H867" s="12">
        <v>-3.5819448292659501</v>
      </c>
      <c r="I867" s="11">
        <v>-0.37337717500031398</v>
      </c>
      <c r="J867" s="10">
        <v>0.70886774492290605</v>
      </c>
      <c r="K867" s="29">
        <v>0.98289565623980701</v>
      </c>
    </row>
    <row r="868" spans="1:11" x14ac:dyDescent="0.35">
      <c r="A868" s="9" t="str">
        <f>HYPERLINK("http://www.ensembl.org/id/WBGene00195953", "WBGene00195953")</f>
        <v>WBGene00195953</v>
      </c>
      <c r="B868" s="9"/>
      <c r="C868" s="9"/>
      <c r="D868" t="str">
        <f>"C42D8.10"</f>
        <v>C42D8.10</v>
      </c>
      <c r="F868" t="s">
        <v>481</v>
      </c>
      <c r="H868" s="12">
        <v>-3.5819448292659501</v>
      </c>
      <c r="I868" s="11">
        <v>-0.37337717500031398</v>
      </c>
      <c r="J868" s="10">
        <v>0.70886774492290605</v>
      </c>
      <c r="K868" s="29">
        <v>0.98289565623980701</v>
      </c>
    </row>
    <row r="869" spans="1:11" x14ac:dyDescent="0.35">
      <c r="A869" s="9" t="str">
        <f>HYPERLINK("http://www.ensembl.org/id/WBGene00197805", "WBGene00197805")</f>
        <v>WBGene00197805</v>
      </c>
      <c r="B869" s="9"/>
      <c r="C869" s="9"/>
      <c r="D869" t="str">
        <f>"C43G2.27"</f>
        <v>C43G2.27</v>
      </c>
      <c r="F869" t="s">
        <v>481</v>
      </c>
      <c r="H869" s="12">
        <v>-3.5819448292659501</v>
      </c>
      <c r="I869" s="11">
        <v>-0.37337717500031398</v>
      </c>
      <c r="J869" s="10">
        <v>0.70886774492290605</v>
      </c>
      <c r="K869" s="29">
        <v>0.98289565623980701</v>
      </c>
    </row>
    <row r="870" spans="1:11" x14ac:dyDescent="0.35">
      <c r="A870" s="9" t="str">
        <f>HYPERLINK("http://www.ensembl.org/id/WBGene00197672", "WBGene00197672")</f>
        <v>WBGene00197672</v>
      </c>
      <c r="B870" s="9"/>
      <c r="C870" s="9"/>
      <c r="D870" t="str">
        <f>"C48A7.9"</f>
        <v>C48A7.9</v>
      </c>
      <c r="F870" t="s">
        <v>481</v>
      </c>
      <c r="H870" s="12">
        <v>-3.5819448292659501</v>
      </c>
      <c r="I870" s="11">
        <v>-0.37337717500031398</v>
      </c>
      <c r="J870" s="10">
        <v>0.70886774492290605</v>
      </c>
      <c r="K870" s="29">
        <v>0.98289565623980701</v>
      </c>
    </row>
    <row r="871" spans="1:11" x14ac:dyDescent="0.35">
      <c r="A871" s="9" t="str">
        <f>HYPERLINK("http://www.ensembl.org/id/WBGene00198961", "WBGene00198961")</f>
        <v>WBGene00198961</v>
      </c>
      <c r="B871" s="9"/>
      <c r="C871" s="9"/>
      <c r="D871" t="str">
        <f>"C54G7.13"</f>
        <v>C54G7.13</v>
      </c>
      <c r="F871" t="s">
        <v>481</v>
      </c>
      <c r="H871" s="12">
        <v>-3.5819448292659501</v>
      </c>
      <c r="I871" s="11">
        <v>-0.37337717500031398</v>
      </c>
      <c r="J871" s="10">
        <v>0.70886774492290605</v>
      </c>
      <c r="K871" s="29">
        <v>0.98289565623980701</v>
      </c>
    </row>
    <row r="872" spans="1:11" x14ac:dyDescent="0.35">
      <c r="A872" s="9" t="str">
        <f>HYPERLINK("http://www.ensembl.org/id/WBGene00201579", "WBGene00201579")</f>
        <v>WBGene00201579</v>
      </c>
      <c r="B872" s="9"/>
      <c r="C872" s="9"/>
      <c r="D872" t="str">
        <f>"C55H1.5"</f>
        <v>C55H1.5</v>
      </c>
      <c r="F872" t="s">
        <v>481</v>
      </c>
      <c r="H872" s="12">
        <v>-3.5819448292659501</v>
      </c>
      <c r="I872" s="11">
        <v>-0.37337717500031398</v>
      </c>
      <c r="J872" s="10">
        <v>0.70886774492290605</v>
      </c>
      <c r="K872" s="29">
        <v>0.98289565623980701</v>
      </c>
    </row>
    <row r="873" spans="1:11" x14ac:dyDescent="0.35">
      <c r="A873" s="9" t="str">
        <f>HYPERLINK("http://www.ensembl.org/id/WBGene00196562", "WBGene00196562")</f>
        <v>WBGene00196562</v>
      </c>
      <c r="B873" s="9"/>
      <c r="C873" s="9"/>
      <c r="D873" t="str">
        <f>"C56E6.14"</f>
        <v>C56E6.14</v>
      </c>
      <c r="F873" t="s">
        <v>481</v>
      </c>
      <c r="H873" s="12">
        <v>-3.5819448292659501</v>
      </c>
      <c r="I873" s="11">
        <v>-0.37337717500031398</v>
      </c>
      <c r="J873" s="10">
        <v>0.70886774492290605</v>
      </c>
      <c r="K873" s="29">
        <v>0.98289565623980701</v>
      </c>
    </row>
    <row r="874" spans="1:11" x14ac:dyDescent="0.35">
      <c r="A874" s="9" t="str">
        <f>HYPERLINK("http://www.ensembl.org/id/WBGene00018434", "WBGene00018434")</f>
        <v>WBGene00018434</v>
      </c>
      <c r="B874" s="9" t="str">
        <f>HYPERLINK("http://www.ncbi.nlm.nih.gov/gene/185767", "185767")</f>
        <v>185767</v>
      </c>
      <c r="C874" s="9"/>
      <c r="D874" t="str">
        <f>"ceh-81"</f>
        <v>ceh-81</v>
      </c>
      <c r="E874" t="s">
        <v>349</v>
      </c>
      <c r="F874" t="s">
        <v>11</v>
      </c>
      <c r="G874" t="s">
        <v>350</v>
      </c>
      <c r="H874" s="12">
        <v>-3.5819448292659501</v>
      </c>
      <c r="I874" s="11">
        <v>-0.37337717500031398</v>
      </c>
      <c r="J874" s="10">
        <v>0.70886774492290605</v>
      </c>
      <c r="K874" s="29">
        <v>0.98289565623980701</v>
      </c>
    </row>
    <row r="875" spans="1:11" x14ac:dyDescent="0.35">
      <c r="A875" s="9" t="str">
        <f>HYPERLINK("http://www.ensembl.org/id/WBGene00013614", "WBGene00013614")</f>
        <v>WBGene00013614</v>
      </c>
      <c r="B875" s="9"/>
      <c r="C875" s="9"/>
      <c r="D875" t="str">
        <f>"clec-237"</f>
        <v>clec-237</v>
      </c>
      <c r="F875" t="s">
        <v>80</v>
      </c>
      <c r="H875" s="12">
        <v>-3.5819448292659501</v>
      </c>
      <c r="I875" s="11">
        <v>-0.37337717500031398</v>
      </c>
      <c r="J875" s="10">
        <v>0.70886774492290605</v>
      </c>
      <c r="K875" s="29">
        <v>0.98289565623980701</v>
      </c>
    </row>
    <row r="876" spans="1:11" x14ac:dyDescent="0.35">
      <c r="A876" s="9" t="str">
        <f>HYPERLINK("http://www.ensembl.org/id/WBGene00014045", "WBGene00014045")</f>
        <v>WBGene00014045</v>
      </c>
      <c r="B876" s="9" t="str">
        <f>HYPERLINK("http://www.ncbi.nlm.nih.gov/gene/191383", "191383")</f>
        <v>191383</v>
      </c>
      <c r="C876" s="9"/>
      <c r="D876" t="str">
        <f>"clec-59"</f>
        <v>clec-59</v>
      </c>
      <c r="E876" t="s">
        <v>46</v>
      </c>
      <c r="F876" t="s">
        <v>11</v>
      </c>
      <c r="G876" t="s">
        <v>47</v>
      </c>
      <c r="H876" s="12">
        <v>-3.5819448292659501</v>
      </c>
      <c r="I876" s="11">
        <v>-0.37337717500031398</v>
      </c>
      <c r="J876" s="10">
        <v>0.70886774492290605</v>
      </c>
      <c r="K876" s="29">
        <v>0.98289565623980701</v>
      </c>
    </row>
    <row r="877" spans="1:11" x14ac:dyDescent="0.35">
      <c r="A877" s="9" t="str">
        <f>HYPERLINK("http://www.ensembl.org/id/WBGene00196924", "WBGene00196924")</f>
        <v>WBGene00196924</v>
      </c>
      <c r="B877" s="9"/>
      <c r="C877" s="9"/>
      <c r="D877" t="str">
        <f>"D1053.5"</f>
        <v>D1053.5</v>
      </c>
      <c r="F877" t="s">
        <v>481</v>
      </c>
      <c r="H877" s="12">
        <v>-3.5819448292659501</v>
      </c>
      <c r="I877" s="11">
        <v>-0.37337717500031398</v>
      </c>
      <c r="J877" s="10">
        <v>0.70886774492290605</v>
      </c>
      <c r="K877" s="29">
        <v>0.98289565623980701</v>
      </c>
    </row>
    <row r="878" spans="1:11" x14ac:dyDescent="0.35">
      <c r="A878" s="9" t="str">
        <f>HYPERLINK("http://www.ensembl.org/id/WBGene00008507", "WBGene00008507")</f>
        <v>WBGene00008507</v>
      </c>
      <c r="B878" s="9" t="str">
        <f>HYPERLINK("http://www.ncbi.nlm.nih.gov/gene/184066", "184066")</f>
        <v>184066</v>
      </c>
      <c r="C878" s="9"/>
      <c r="D878" t="str">
        <f>"F01G10.4"</f>
        <v>F01G10.4</v>
      </c>
      <c r="F878" t="s">
        <v>11</v>
      </c>
      <c r="H878" s="12">
        <v>-3.5819448292659501</v>
      </c>
      <c r="I878" s="11">
        <v>-0.37337717500031398</v>
      </c>
      <c r="J878" s="10">
        <v>0.70886774492290605</v>
      </c>
      <c r="K878" s="29">
        <v>0.98289565623980701</v>
      </c>
    </row>
    <row r="879" spans="1:11" x14ac:dyDescent="0.35">
      <c r="A879" s="9" t="str">
        <f>HYPERLINK("http://www.ensembl.org/id/WBGene00195886", "WBGene00195886")</f>
        <v>WBGene00195886</v>
      </c>
      <c r="B879" s="9"/>
      <c r="C879" s="9"/>
      <c r="D879" t="str">
        <f>"F08C6.8"</f>
        <v>F08C6.8</v>
      </c>
      <c r="F879" t="s">
        <v>481</v>
      </c>
      <c r="H879" s="12">
        <v>-3.5819448292659501</v>
      </c>
      <c r="I879" s="11">
        <v>-0.37337717500031398</v>
      </c>
      <c r="J879" s="10">
        <v>0.70886774492290605</v>
      </c>
      <c r="K879" s="29">
        <v>0.98289565623980701</v>
      </c>
    </row>
    <row r="880" spans="1:11" x14ac:dyDescent="0.35">
      <c r="A880" s="9" t="str">
        <f>HYPERLINK("http://www.ensembl.org/id/WBGene00197130", "WBGene00197130")</f>
        <v>WBGene00197130</v>
      </c>
      <c r="B880" s="9"/>
      <c r="C880" s="9"/>
      <c r="D880" t="str">
        <f>"F11A1.11"</f>
        <v>F11A1.11</v>
      </c>
      <c r="F880" t="s">
        <v>481</v>
      </c>
      <c r="H880" s="12">
        <v>-3.5819448292659501</v>
      </c>
      <c r="I880" s="11">
        <v>-0.37337717500031398</v>
      </c>
      <c r="J880" s="10">
        <v>0.70886774492290605</v>
      </c>
      <c r="K880" s="29">
        <v>0.98289565623980701</v>
      </c>
    </row>
    <row r="881" spans="1:11" x14ac:dyDescent="0.35">
      <c r="A881" s="9" t="str">
        <f>HYPERLINK("http://www.ensembl.org/id/WBGene00044384", "WBGene00044384")</f>
        <v>WBGene00044384</v>
      </c>
      <c r="B881" s="9" t="str">
        <f>HYPERLINK("http://www.ncbi.nlm.nih.gov/gene/3565823", "3565823")</f>
        <v>3565823</v>
      </c>
      <c r="C881" s="9"/>
      <c r="D881" t="str">
        <f>"F11G11.14"</f>
        <v>F11G11.14</v>
      </c>
      <c r="F881" t="s">
        <v>11</v>
      </c>
      <c r="G881" t="s">
        <v>25</v>
      </c>
      <c r="H881" s="12">
        <v>-3.5819448292659501</v>
      </c>
      <c r="I881" s="11">
        <v>-0.37337717500031398</v>
      </c>
      <c r="J881" s="10">
        <v>0.70886774492290605</v>
      </c>
      <c r="K881" s="29">
        <v>0.98289565623980701</v>
      </c>
    </row>
    <row r="882" spans="1:11" x14ac:dyDescent="0.35">
      <c r="A882" s="9" t="str">
        <f>HYPERLINK("http://www.ensembl.org/id/WBGene00196113", "WBGene00196113")</f>
        <v>WBGene00196113</v>
      </c>
      <c r="B882" s="9"/>
      <c r="C882" s="9"/>
      <c r="D882" t="str">
        <f>"F13H6.6"</f>
        <v>F13H6.6</v>
      </c>
      <c r="F882" t="s">
        <v>481</v>
      </c>
      <c r="H882" s="12">
        <v>-3.5819448292659501</v>
      </c>
      <c r="I882" s="11">
        <v>-0.37337717500031398</v>
      </c>
      <c r="J882" s="10">
        <v>0.70886774492290605</v>
      </c>
      <c r="K882" s="29">
        <v>0.98289565623980701</v>
      </c>
    </row>
    <row r="883" spans="1:11" x14ac:dyDescent="0.35">
      <c r="A883" s="9" t="str">
        <f>HYPERLINK("http://www.ensembl.org/id/WBGene00022995", "WBGene00022995")</f>
        <v>WBGene00022995</v>
      </c>
      <c r="B883" s="9"/>
      <c r="C883" s="9"/>
      <c r="D883" t="str">
        <f>"F18C5.t1"</f>
        <v>F18C5.t1</v>
      </c>
      <c r="F883" t="s">
        <v>4208</v>
      </c>
      <c r="H883" s="12">
        <v>-3.5819448292659501</v>
      </c>
      <c r="I883" s="11">
        <v>-0.37337717500031398</v>
      </c>
      <c r="J883" s="10">
        <v>0.70886774492290605</v>
      </c>
      <c r="K883" s="29">
        <v>0.98289565623980701</v>
      </c>
    </row>
    <row r="884" spans="1:11" x14ac:dyDescent="0.35">
      <c r="A884" s="9" t="str">
        <f>HYPERLINK("http://www.ensembl.org/id/WBGene00023001", "WBGene00023001")</f>
        <v>WBGene00023001</v>
      </c>
      <c r="B884" s="9"/>
      <c r="C884" s="9"/>
      <c r="D884" t="str">
        <f>"F22B7.t4"</f>
        <v>F22B7.t4</v>
      </c>
      <c r="F884" t="s">
        <v>4208</v>
      </c>
      <c r="H884" s="12">
        <v>-3.5819448292659501</v>
      </c>
      <c r="I884" s="11">
        <v>-0.37337717500031398</v>
      </c>
      <c r="J884" s="10">
        <v>0.70886774492290605</v>
      </c>
      <c r="K884" s="29">
        <v>0.98289565623980701</v>
      </c>
    </row>
    <row r="885" spans="1:11" x14ac:dyDescent="0.35">
      <c r="A885" s="9" t="str">
        <f>HYPERLINK("http://www.ensembl.org/id/WBGene00044964", "WBGene00044964")</f>
        <v>WBGene00044964</v>
      </c>
      <c r="B885" s="9"/>
      <c r="C885" s="9"/>
      <c r="D885" t="str">
        <f>"F22D6.16"</f>
        <v>F22D6.16</v>
      </c>
      <c r="F885" t="s">
        <v>2977</v>
      </c>
      <c r="H885" s="12">
        <v>-3.5819448292659501</v>
      </c>
      <c r="I885" s="11">
        <v>-0.37337717500031398</v>
      </c>
      <c r="J885" s="10">
        <v>0.70886774492290605</v>
      </c>
      <c r="K885" s="29">
        <v>0.98289565623980701</v>
      </c>
    </row>
    <row r="886" spans="1:11" x14ac:dyDescent="0.35">
      <c r="A886" s="9" t="str">
        <f>HYPERLINK("http://www.ensembl.org/id/WBGene00023273", "WBGene00023273")</f>
        <v>WBGene00023273</v>
      </c>
      <c r="B886" s="9"/>
      <c r="C886" s="9"/>
      <c r="D886" t="str">
        <f>"F23C8.2"</f>
        <v>F23C8.2</v>
      </c>
      <c r="F886" t="s">
        <v>80</v>
      </c>
      <c r="H886" s="12">
        <v>-3.5819448292659501</v>
      </c>
      <c r="I886" s="11">
        <v>-0.37337717500031398</v>
      </c>
      <c r="J886" s="10">
        <v>0.70886774492290605</v>
      </c>
      <c r="K886" s="29">
        <v>0.98289565623980701</v>
      </c>
    </row>
    <row r="887" spans="1:11" x14ac:dyDescent="0.35">
      <c r="A887" s="9" t="str">
        <f>HYPERLINK("http://www.ensembl.org/id/WBGene00200884", "WBGene00200884")</f>
        <v>WBGene00200884</v>
      </c>
      <c r="B887" s="9"/>
      <c r="C887" s="9"/>
      <c r="D887" t="str">
        <f>"F25D1.10"</f>
        <v>F25D1.10</v>
      </c>
      <c r="F887" t="s">
        <v>481</v>
      </c>
      <c r="H887" s="12">
        <v>-3.5819448292659501</v>
      </c>
      <c r="I887" s="11">
        <v>-0.37337717500031398</v>
      </c>
      <c r="J887" s="10">
        <v>0.70886774492290605</v>
      </c>
      <c r="K887" s="29">
        <v>0.98289565623980701</v>
      </c>
    </row>
    <row r="888" spans="1:11" x14ac:dyDescent="0.35">
      <c r="A888" s="9" t="str">
        <f>HYPERLINK("http://www.ensembl.org/id/WBGene00195618", "WBGene00195618")</f>
        <v>WBGene00195618</v>
      </c>
      <c r="B888" s="9"/>
      <c r="C888" s="9"/>
      <c r="D888" t="str">
        <f>"F37D6.7"</f>
        <v>F37D6.7</v>
      </c>
      <c r="F888" t="s">
        <v>481</v>
      </c>
      <c r="H888" s="12">
        <v>-3.5819448292659501</v>
      </c>
      <c r="I888" s="11">
        <v>-0.37337717500031398</v>
      </c>
      <c r="J888" s="10">
        <v>0.70886774492290605</v>
      </c>
      <c r="K888" s="29">
        <v>0.98289565623980701</v>
      </c>
    </row>
    <row r="889" spans="1:11" x14ac:dyDescent="0.35">
      <c r="A889" s="9" t="str">
        <f>HYPERLINK("http://www.ensembl.org/id/WBGene00198596", "WBGene00198596")</f>
        <v>WBGene00198596</v>
      </c>
      <c r="B889" s="9"/>
      <c r="C889" s="9"/>
      <c r="D889" t="str">
        <f>"F42C5.14"</f>
        <v>F42C5.14</v>
      </c>
      <c r="F889" t="s">
        <v>481</v>
      </c>
      <c r="H889" s="12">
        <v>-3.5819448292659501</v>
      </c>
      <c r="I889" s="11">
        <v>-0.37337717500031398</v>
      </c>
      <c r="J889" s="10">
        <v>0.70886774492290605</v>
      </c>
      <c r="K889" s="29">
        <v>0.98289565623980701</v>
      </c>
    </row>
    <row r="890" spans="1:11" x14ac:dyDescent="0.35">
      <c r="A890" s="9" t="str">
        <f>HYPERLINK("http://www.ensembl.org/id/WBGene00197599", "WBGene00197599")</f>
        <v>WBGene00197599</v>
      </c>
      <c r="B890" s="9"/>
      <c r="C890" s="9"/>
      <c r="D890" t="str">
        <f>"F52B10.14"</f>
        <v>F52B10.14</v>
      </c>
      <c r="F890" t="s">
        <v>481</v>
      </c>
      <c r="H890" s="12">
        <v>-3.5819448292659501</v>
      </c>
      <c r="I890" s="11">
        <v>-0.37337717500031398</v>
      </c>
      <c r="J890" s="10">
        <v>0.70886774492290605</v>
      </c>
      <c r="K890" s="29">
        <v>0.98289565623980701</v>
      </c>
    </row>
    <row r="891" spans="1:11" x14ac:dyDescent="0.35">
      <c r="A891" s="9" t="str">
        <f>HYPERLINK("http://www.ensembl.org/id/WBGene00050916", "WBGene00050916")</f>
        <v>WBGene00050916</v>
      </c>
      <c r="B891" s="9" t="str">
        <f>HYPERLINK("http://www.ncbi.nlm.nih.gov/gene/6418681", "6418681")</f>
        <v>6418681</v>
      </c>
      <c r="C891" s="9"/>
      <c r="D891" t="str">
        <f>"F55F10.3"</f>
        <v>F55F10.3</v>
      </c>
      <c r="F891" t="s">
        <v>11</v>
      </c>
      <c r="G891" t="s">
        <v>25</v>
      </c>
      <c r="H891" s="12">
        <v>-3.5819448292659501</v>
      </c>
      <c r="I891" s="11">
        <v>-0.37337717500031398</v>
      </c>
      <c r="J891" s="10">
        <v>0.70886774492290605</v>
      </c>
      <c r="K891" s="29">
        <v>0.98289565623980701</v>
      </c>
    </row>
    <row r="892" spans="1:11" x14ac:dyDescent="0.35">
      <c r="A892" s="9" t="str">
        <f>HYPERLINK("http://www.ensembl.org/id/WBGene00219980", "WBGene00219980")</f>
        <v>WBGene00219980</v>
      </c>
      <c r="B892" s="9"/>
      <c r="C892" s="9"/>
      <c r="D892" t="str">
        <f>"F56D1.17"</f>
        <v>F56D1.17</v>
      </c>
      <c r="F892" t="s">
        <v>481</v>
      </c>
      <c r="H892" s="12">
        <v>-3.5819448292659501</v>
      </c>
      <c r="I892" s="11">
        <v>-0.37337717500031398</v>
      </c>
      <c r="J892" s="10">
        <v>0.70886774492290605</v>
      </c>
      <c r="K892" s="29">
        <v>0.98289565623980701</v>
      </c>
    </row>
    <row r="893" spans="1:11" x14ac:dyDescent="0.35">
      <c r="A893" s="9" t="str">
        <f>HYPERLINK("http://www.ensembl.org/id/WBGene00018994", "WBGene00018994")</f>
        <v>WBGene00018994</v>
      </c>
      <c r="B893" s="9" t="str">
        <f>HYPERLINK("http://www.ncbi.nlm.nih.gov/gene/186411", "186411")</f>
        <v>186411</v>
      </c>
      <c r="C893" s="9"/>
      <c r="D893" t="str">
        <f>"F56H1.3"</f>
        <v>F56H1.3</v>
      </c>
      <c r="F893" t="s">
        <v>11</v>
      </c>
      <c r="H893" s="12">
        <v>-3.5819448292659501</v>
      </c>
      <c r="I893" s="11">
        <v>-0.37337717500031398</v>
      </c>
      <c r="J893" s="10">
        <v>0.70886774492290605</v>
      </c>
      <c r="K893" s="29">
        <v>0.98289565623980701</v>
      </c>
    </row>
    <row r="894" spans="1:11" x14ac:dyDescent="0.35">
      <c r="A894" s="9" t="str">
        <f>HYPERLINK("http://www.ensembl.org/id/WBGene00014405", "WBGene00014405")</f>
        <v>WBGene00014405</v>
      </c>
      <c r="B894" s="9"/>
      <c r="C894" s="9"/>
      <c r="D894" t="str">
        <f>"F56H6.16"</f>
        <v>F56H6.16</v>
      </c>
      <c r="F894" t="s">
        <v>4205</v>
      </c>
      <c r="H894" s="12">
        <v>-3.5819448292659501</v>
      </c>
      <c r="I894" s="11">
        <v>-0.37337717500031398</v>
      </c>
      <c r="J894" s="10">
        <v>0.70886774492290605</v>
      </c>
      <c r="K894" s="29">
        <v>0.98289565623980701</v>
      </c>
    </row>
    <row r="895" spans="1:11" x14ac:dyDescent="0.35">
      <c r="A895" s="9" t="str">
        <f>HYPERLINK("http://www.ensembl.org/id/WBGene00199031", "WBGene00199031")</f>
        <v>WBGene00199031</v>
      </c>
      <c r="B895" s="9"/>
      <c r="C895" s="9"/>
      <c r="D895" t="str">
        <f>"F57G12.8"</f>
        <v>F57G12.8</v>
      </c>
      <c r="F895" t="s">
        <v>481</v>
      </c>
      <c r="H895" s="12">
        <v>-3.5819448292659501</v>
      </c>
      <c r="I895" s="11">
        <v>-0.37337717500031398</v>
      </c>
      <c r="J895" s="10">
        <v>0.70886774492290605</v>
      </c>
      <c r="K895" s="29">
        <v>0.98289565623980701</v>
      </c>
    </row>
    <row r="896" spans="1:11" x14ac:dyDescent="0.35">
      <c r="A896" s="9" t="str">
        <f>HYPERLINK("http://www.ensembl.org/id/WBGene00206506", "WBGene00206506")</f>
        <v>WBGene00206506</v>
      </c>
      <c r="B896" s="9" t="str">
        <f>HYPERLINK("http://www.ncbi.nlm.nih.gov/gene/13217954", "13217954")</f>
        <v>13217954</v>
      </c>
      <c r="C896" s="9"/>
      <c r="D896" t="str">
        <f>"F59A1.18"</f>
        <v>F59A1.18</v>
      </c>
      <c r="F896" t="s">
        <v>11</v>
      </c>
      <c r="H896" s="12">
        <v>-3.5819448292659501</v>
      </c>
      <c r="I896" s="11">
        <v>-0.37337717500031398</v>
      </c>
      <c r="J896" s="10">
        <v>0.70886774492290605</v>
      </c>
      <c r="K896" s="29">
        <v>0.98289565623980701</v>
      </c>
    </row>
    <row r="897" spans="1:11" x14ac:dyDescent="0.35">
      <c r="A897" s="9" t="str">
        <f>HYPERLINK("http://www.ensembl.org/id/WBGene00022494", "WBGene00022494")</f>
        <v>WBGene00022494</v>
      </c>
      <c r="B897" s="9"/>
      <c r="C897" s="9"/>
      <c r="D897" t="str">
        <f>"fbxa-91"</f>
        <v>fbxa-91</v>
      </c>
      <c r="F897" t="s">
        <v>80</v>
      </c>
      <c r="H897" s="12">
        <v>-3.5819448292659501</v>
      </c>
      <c r="I897" s="11">
        <v>-0.37337717500031398</v>
      </c>
      <c r="J897" s="10">
        <v>0.70886774492290605</v>
      </c>
      <c r="K897" s="29">
        <v>0.98289565623980701</v>
      </c>
    </row>
    <row r="898" spans="1:11" x14ac:dyDescent="0.35">
      <c r="A898" s="9" t="str">
        <f>HYPERLINK("http://www.ensembl.org/id/WBGene00001885", "WBGene00001885")</f>
        <v>WBGene00001885</v>
      </c>
      <c r="B898" s="9" t="str">
        <f>HYPERLINK("http://www.ncbi.nlm.nih.gov/gene/175029", "175029")</f>
        <v>175029</v>
      </c>
      <c r="C898" s="9" t="str">
        <f>HYPERLINK("http://www.ncbi.nlm.nih.gov/gene/8970", "8970")</f>
        <v>8970</v>
      </c>
      <c r="D898" t="str">
        <f>"his-11"</f>
        <v>his-11</v>
      </c>
      <c r="E898" t="s">
        <v>10098</v>
      </c>
      <c r="F898" t="s">
        <v>11</v>
      </c>
      <c r="G898" t="s">
        <v>232</v>
      </c>
      <c r="H898" s="12">
        <v>-3.5819448292659501</v>
      </c>
      <c r="I898" s="11">
        <v>-0.37337717500031398</v>
      </c>
      <c r="J898" s="10">
        <v>0.70886774492290605</v>
      </c>
      <c r="K898" s="29">
        <v>0.98289565623980701</v>
      </c>
    </row>
    <row r="899" spans="1:11" x14ac:dyDescent="0.35">
      <c r="A899" s="9" t="str">
        <f>HYPERLINK("http://www.ensembl.org/id/WBGene00199428", "WBGene00199428")</f>
        <v>WBGene00199428</v>
      </c>
      <c r="B899" s="9"/>
      <c r="C899" s="9"/>
      <c r="D899" t="str">
        <f>"K01A6.16"</f>
        <v>K01A6.16</v>
      </c>
      <c r="F899" t="s">
        <v>481</v>
      </c>
      <c r="H899" s="12">
        <v>-3.5819448292659501</v>
      </c>
      <c r="I899" s="11">
        <v>-0.37337717500031398</v>
      </c>
      <c r="J899" s="10">
        <v>0.70886774492290605</v>
      </c>
      <c r="K899" s="29">
        <v>0.98289565623980701</v>
      </c>
    </row>
    <row r="900" spans="1:11" x14ac:dyDescent="0.35">
      <c r="A900" s="9" t="str">
        <f>HYPERLINK("http://www.ensembl.org/id/WBGene00198241", "WBGene00198241")</f>
        <v>WBGene00198241</v>
      </c>
      <c r="B900" s="9"/>
      <c r="C900" s="9"/>
      <c r="D900" t="str">
        <f>"K02A4.7"</f>
        <v>K02A4.7</v>
      </c>
      <c r="F900" t="s">
        <v>481</v>
      </c>
      <c r="H900" s="12">
        <v>-3.5819448292659501</v>
      </c>
      <c r="I900" s="11">
        <v>-0.37337717500031398</v>
      </c>
      <c r="J900" s="10">
        <v>0.70886774492290605</v>
      </c>
      <c r="K900" s="29">
        <v>0.98289565623980701</v>
      </c>
    </row>
    <row r="901" spans="1:11" x14ac:dyDescent="0.35">
      <c r="A901" s="9" t="str">
        <f>HYPERLINK("http://www.ensembl.org/id/WBGene00201081", "WBGene00201081")</f>
        <v>WBGene00201081</v>
      </c>
      <c r="B901" s="9"/>
      <c r="C901" s="9"/>
      <c r="D901" t="str">
        <f>"K02H8.5"</f>
        <v>K02H8.5</v>
      </c>
      <c r="F901" t="s">
        <v>481</v>
      </c>
      <c r="H901" s="12">
        <v>-3.5819448292659501</v>
      </c>
      <c r="I901" s="11">
        <v>-0.37337717500031398</v>
      </c>
      <c r="J901" s="10">
        <v>0.70886774492290605</v>
      </c>
      <c r="K901" s="29">
        <v>0.98289565623980701</v>
      </c>
    </row>
    <row r="902" spans="1:11" x14ac:dyDescent="0.35">
      <c r="A902" s="9" t="str">
        <f>HYPERLINK("http://www.ensembl.org/id/WBGene00195831", "WBGene00195831")</f>
        <v>WBGene00195831</v>
      </c>
      <c r="B902" s="9"/>
      <c r="C902" s="9"/>
      <c r="D902" t="str">
        <f>"K03B8.15"</f>
        <v>K03B8.15</v>
      </c>
      <c r="F902" t="s">
        <v>481</v>
      </c>
      <c r="H902" s="12">
        <v>-3.5819448292659501</v>
      </c>
      <c r="I902" s="11">
        <v>-0.37337717500031398</v>
      </c>
      <c r="J902" s="10">
        <v>0.70886774492290605</v>
      </c>
      <c r="K902" s="29">
        <v>0.98289565623980701</v>
      </c>
    </row>
    <row r="903" spans="1:11" x14ac:dyDescent="0.35">
      <c r="A903" s="9" t="str">
        <f>HYPERLINK("http://www.ensembl.org/id/WBGene00196648", "WBGene00196648")</f>
        <v>WBGene00196648</v>
      </c>
      <c r="B903" s="9"/>
      <c r="C903" s="9"/>
      <c r="D903" t="str">
        <f>"K03B8.16"</f>
        <v>K03B8.16</v>
      </c>
      <c r="F903" t="s">
        <v>481</v>
      </c>
      <c r="H903" s="12">
        <v>-3.5819448292659501</v>
      </c>
      <c r="I903" s="11">
        <v>-0.37337717500031398</v>
      </c>
      <c r="J903" s="10">
        <v>0.70886774492290605</v>
      </c>
      <c r="K903" s="29">
        <v>0.98289565623980701</v>
      </c>
    </row>
    <row r="904" spans="1:11" x14ac:dyDescent="0.35">
      <c r="A904" s="9" t="str">
        <f>HYPERLINK("http://www.ensembl.org/id/WBGene00200131", "WBGene00200131")</f>
        <v>WBGene00200131</v>
      </c>
      <c r="B904" s="9"/>
      <c r="C904" s="9"/>
      <c r="D904" t="str">
        <f>"K07C5.15"</f>
        <v>K07C5.15</v>
      </c>
      <c r="F904" t="s">
        <v>481</v>
      </c>
      <c r="H904" s="12">
        <v>-3.5819448292659501</v>
      </c>
      <c r="I904" s="11">
        <v>-0.37337717500031398</v>
      </c>
      <c r="J904" s="10">
        <v>0.70886774492290605</v>
      </c>
      <c r="K904" s="29">
        <v>0.98289565623980701</v>
      </c>
    </row>
    <row r="905" spans="1:11" x14ac:dyDescent="0.35">
      <c r="A905" s="9" t="str">
        <f>HYPERLINK("http://www.ensembl.org/id/WBGene00044778", "WBGene00044778")</f>
        <v>WBGene00044778</v>
      </c>
      <c r="B905" s="9" t="str">
        <f>HYPERLINK("http://www.ncbi.nlm.nih.gov/gene/4363092", "4363092")</f>
        <v>4363092</v>
      </c>
      <c r="C905" s="9"/>
      <c r="D905" t="str">
        <f>"K09C6.10"</f>
        <v>K09C6.10</v>
      </c>
      <c r="F905" t="s">
        <v>11</v>
      </c>
      <c r="G905" t="s">
        <v>25</v>
      </c>
      <c r="H905" s="12">
        <v>-3.5819448292659501</v>
      </c>
      <c r="I905" s="11">
        <v>-0.37337717500031398</v>
      </c>
      <c r="J905" s="10">
        <v>0.70886774492290605</v>
      </c>
      <c r="K905" s="29">
        <v>0.98289565623980701</v>
      </c>
    </row>
    <row r="906" spans="1:11" x14ac:dyDescent="0.35">
      <c r="A906" s="9" t="str">
        <f>HYPERLINK("http://www.ensembl.org/id/WBGene00019557", "WBGene00019557")</f>
        <v>WBGene00019557</v>
      </c>
      <c r="B906" s="9" t="str">
        <f>HYPERLINK("http://www.ncbi.nlm.nih.gov/gene/187200", "187200")</f>
        <v>187200</v>
      </c>
      <c r="C906" s="9"/>
      <c r="D906" t="str">
        <f>"K09C6.3"</f>
        <v>K09C6.3</v>
      </c>
      <c r="F906" t="s">
        <v>11</v>
      </c>
      <c r="H906" s="12">
        <v>-3.5819448292659501</v>
      </c>
      <c r="I906" s="11">
        <v>-0.37337717500031398</v>
      </c>
      <c r="J906" s="10">
        <v>0.70886774492290605</v>
      </c>
      <c r="K906" s="29">
        <v>0.98289565623980701</v>
      </c>
    </row>
    <row r="907" spans="1:11" x14ac:dyDescent="0.35">
      <c r="A907" s="9" t="str">
        <f>HYPERLINK("http://www.ensembl.org/id/WBGene00077707", "WBGene00077707")</f>
        <v>WBGene00077707</v>
      </c>
      <c r="B907" s="9"/>
      <c r="C907" s="9"/>
      <c r="D907" t="str">
        <f>"mir-1829.3"</f>
        <v>mir-1829.3</v>
      </c>
      <c r="F907" t="s">
        <v>1486</v>
      </c>
      <c r="H907" s="12">
        <v>-3.5819448292659501</v>
      </c>
      <c r="I907" s="11">
        <v>-0.37337717500031398</v>
      </c>
      <c r="J907" s="10">
        <v>0.70886774492290605</v>
      </c>
      <c r="K907" s="29">
        <v>0.98289565623980701</v>
      </c>
    </row>
    <row r="908" spans="1:11" x14ac:dyDescent="0.35">
      <c r="A908" s="9" t="str">
        <f>HYPERLINK("http://www.ensembl.org/id/WBGene00009609", "WBGene00009609")</f>
        <v>WBGene00009609</v>
      </c>
      <c r="B908" s="9" t="str">
        <f>HYPERLINK("http://www.ncbi.nlm.nih.gov/gene/185604", "185604")</f>
        <v>185604</v>
      </c>
      <c r="C908" s="9"/>
      <c r="D908" t="str">
        <f>"oac-27"</f>
        <v>oac-27</v>
      </c>
      <c r="E908" t="s">
        <v>883</v>
      </c>
      <c r="F908" t="s">
        <v>11</v>
      </c>
      <c r="G908" t="s">
        <v>1992</v>
      </c>
      <c r="H908" s="12">
        <v>-3.5819448292659501</v>
      </c>
      <c r="I908" s="11">
        <v>-0.37337717500031398</v>
      </c>
      <c r="J908" s="10">
        <v>0.70886774492290605</v>
      </c>
      <c r="K908" s="29">
        <v>0.98289565623980701</v>
      </c>
    </row>
    <row r="909" spans="1:11" x14ac:dyDescent="0.35">
      <c r="A909" s="9" t="str">
        <f>HYPERLINK("http://www.ensembl.org/id/WBGene00199916", "WBGene00199916")</f>
        <v>WBGene00199916</v>
      </c>
      <c r="B909" s="9"/>
      <c r="C909" s="9"/>
      <c r="D909" t="str">
        <f>"R04E5.17"</f>
        <v>R04E5.17</v>
      </c>
      <c r="F909" t="s">
        <v>481</v>
      </c>
      <c r="H909" s="12">
        <v>-3.5819448292659501</v>
      </c>
      <c r="I909" s="11">
        <v>-0.37337717500031398</v>
      </c>
      <c r="J909" s="10">
        <v>0.70886774492290605</v>
      </c>
      <c r="K909" s="29">
        <v>0.98289565623980701</v>
      </c>
    </row>
    <row r="910" spans="1:11" x14ac:dyDescent="0.35">
      <c r="A910" s="9" t="str">
        <f>HYPERLINK("http://www.ensembl.org/id/WBGene00200155", "WBGene00200155")</f>
        <v>WBGene00200155</v>
      </c>
      <c r="B910" s="9"/>
      <c r="C910" s="9"/>
      <c r="D910" t="str">
        <f>"R13.9"</f>
        <v>R13.9</v>
      </c>
      <c r="F910" t="s">
        <v>481</v>
      </c>
      <c r="H910" s="12">
        <v>-3.5819448292659501</v>
      </c>
      <c r="I910" s="11">
        <v>-0.37337717500031398</v>
      </c>
      <c r="J910" s="10">
        <v>0.70886774492290605</v>
      </c>
      <c r="K910" s="29">
        <v>0.98289565623980701</v>
      </c>
    </row>
    <row r="911" spans="1:11" x14ac:dyDescent="0.35">
      <c r="A911" s="9" t="str">
        <f>HYPERLINK("http://www.ensembl.org/id/WBGene00196288", "WBGene00196288")</f>
        <v>WBGene00196288</v>
      </c>
      <c r="B911" s="9"/>
      <c r="C911" s="9"/>
      <c r="D911" t="str">
        <f>"R153.3"</f>
        <v>R153.3</v>
      </c>
      <c r="F911" t="s">
        <v>481</v>
      </c>
      <c r="H911" s="12">
        <v>-3.5819448292659501</v>
      </c>
      <c r="I911" s="11">
        <v>-0.37337717500031398</v>
      </c>
      <c r="J911" s="10">
        <v>0.70886774492290605</v>
      </c>
      <c r="K911" s="29">
        <v>0.98289565623980701</v>
      </c>
    </row>
    <row r="912" spans="1:11" x14ac:dyDescent="0.35">
      <c r="A912" s="9" t="str">
        <f>HYPERLINK("http://www.ensembl.org/id/WBGene00020127", "WBGene00020127")</f>
        <v>WBGene00020127</v>
      </c>
      <c r="B912" s="9" t="str">
        <f>HYPERLINK("http://www.ncbi.nlm.nih.gov/gene/187920", "187920")</f>
        <v>187920</v>
      </c>
      <c r="C912" s="9"/>
      <c r="D912" t="str">
        <f>"R193.1"</f>
        <v>R193.1</v>
      </c>
      <c r="F912" t="s">
        <v>11</v>
      </c>
      <c r="H912" s="12">
        <v>-3.5819448292659501</v>
      </c>
      <c r="I912" s="11">
        <v>-0.37337717500031398</v>
      </c>
      <c r="J912" s="10">
        <v>0.70886774492290605</v>
      </c>
      <c r="K912" s="29">
        <v>0.98289565623980701</v>
      </c>
    </row>
    <row r="913" spans="1:11" x14ac:dyDescent="0.35">
      <c r="A913" s="9" t="str">
        <f>HYPERLINK("http://www.ensembl.org/id/WBGene00004847", "WBGene00004847")</f>
        <v>WBGene00004847</v>
      </c>
      <c r="B913" s="9"/>
      <c r="C913" s="9"/>
      <c r="D913" t="str">
        <f>"sls-2.15"</f>
        <v>sls-2.15</v>
      </c>
      <c r="F913" t="s">
        <v>4205</v>
      </c>
      <c r="H913" s="12">
        <v>-3.5819448292659501</v>
      </c>
      <c r="I913" s="11">
        <v>-0.37337717500031398</v>
      </c>
      <c r="J913" s="10">
        <v>0.70886774492290605</v>
      </c>
      <c r="K913" s="29">
        <v>0.98289565623980701</v>
      </c>
    </row>
    <row r="914" spans="1:11" x14ac:dyDescent="0.35">
      <c r="A914" s="9" t="str">
        <f>HYPERLINK("http://www.ensembl.org/id/WBGene00005041", "WBGene00005041")</f>
        <v>WBGene00005041</v>
      </c>
      <c r="B914" s="9"/>
      <c r="C914" s="9"/>
      <c r="D914" t="str">
        <f>"sra-15"</f>
        <v>sra-15</v>
      </c>
      <c r="F914" t="s">
        <v>80</v>
      </c>
      <c r="H914" s="12">
        <v>-3.5819448292659501</v>
      </c>
      <c r="I914" s="11">
        <v>-0.37337717500031398</v>
      </c>
      <c r="J914" s="10">
        <v>0.70886774492290605</v>
      </c>
      <c r="K914" s="29">
        <v>0.98289565623980701</v>
      </c>
    </row>
    <row r="915" spans="1:11" x14ac:dyDescent="0.35">
      <c r="A915" s="9" t="str">
        <f>HYPERLINK("http://www.ensembl.org/id/WBGene00005216", "WBGene00005216")</f>
        <v>WBGene00005216</v>
      </c>
      <c r="B915" s="9" t="str">
        <f>HYPERLINK("http://www.ncbi.nlm.nih.gov/gene/353475", "353475")</f>
        <v>353475</v>
      </c>
      <c r="C915" s="9"/>
      <c r="D915" t="str">
        <f>"srg-59"</f>
        <v>srg-59</v>
      </c>
      <c r="E915" t="s">
        <v>1828</v>
      </c>
      <c r="F915" t="s">
        <v>11</v>
      </c>
      <c r="G915" t="s">
        <v>1829</v>
      </c>
      <c r="H915" s="12">
        <v>-3.5819448292659501</v>
      </c>
      <c r="I915" s="11">
        <v>-0.37337717500031398</v>
      </c>
      <c r="J915" s="10">
        <v>0.70886774492290605</v>
      </c>
      <c r="K915" s="29">
        <v>0.98289565623980701</v>
      </c>
    </row>
    <row r="916" spans="1:11" x14ac:dyDescent="0.35">
      <c r="A916" s="9" t="str">
        <f>HYPERLINK("http://www.ensembl.org/id/WBGene00005860", "WBGene00005860")</f>
        <v>WBGene00005860</v>
      </c>
      <c r="B916" s="9" t="str">
        <f>HYPERLINK("http://www.ncbi.nlm.nih.gov/gene/191503", "191503")</f>
        <v>191503</v>
      </c>
      <c r="C916" s="9"/>
      <c r="D916" t="str">
        <f>"srw-113"</f>
        <v>srw-113</v>
      </c>
      <c r="E916" t="s">
        <v>1014</v>
      </c>
      <c r="F916" t="s">
        <v>11</v>
      </c>
      <c r="G916" t="s">
        <v>1015</v>
      </c>
      <c r="H916" s="12">
        <v>-3.5819448292659501</v>
      </c>
      <c r="I916" s="11">
        <v>-0.37337717500031398</v>
      </c>
      <c r="J916" s="10">
        <v>0.70886774492290605</v>
      </c>
      <c r="K916" s="29">
        <v>0.98289565623980701</v>
      </c>
    </row>
    <row r="917" spans="1:11" x14ac:dyDescent="0.35">
      <c r="A917" s="9" t="str">
        <f>HYPERLINK("http://www.ensembl.org/id/WBGene00005785", "WBGene00005785")</f>
        <v>WBGene00005785</v>
      </c>
      <c r="B917" s="9" t="str">
        <f>HYPERLINK("http://www.ncbi.nlm.nih.gov/gene/191017", "191017")</f>
        <v>191017</v>
      </c>
      <c r="C917" s="9"/>
      <c r="D917" t="str">
        <f>"srw-38"</f>
        <v>srw-38</v>
      </c>
      <c r="E917" t="s">
        <v>1014</v>
      </c>
      <c r="F917" t="s">
        <v>11</v>
      </c>
      <c r="G917" t="s">
        <v>1015</v>
      </c>
      <c r="H917" s="12">
        <v>-3.5819448292659501</v>
      </c>
      <c r="I917" s="11">
        <v>-0.37337717500031398</v>
      </c>
      <c r="J917" s="10">
        <v>0.70886774492290605</v>
      </c>
      <c r="K917" s="29">
        <v>0.98289565623980701</v>
      </c>
    </row>
    <row r="918" spans="1:11" x14ac:dyDescent="0.35">
      <c r="A918" s="9" t="str">
        <f>HYPERLINK("http://www.ensembl.org/id/WBGene00206502", "WBGene00206502")</f>
        <v>WBGene00206502</v>
      </c>
      <c r="B918" s="9" t="str">
        <f>HYPERLINK("http://www.ncbi.nlm.nih.gov/gene/13186216", "13186216")</f>
        <v>13186216</v>
      </c>
      <c r="C918" s="9"/>
      <c r="D918" t="str">
        <f>"T01B7.13"</f>
        <v>T01B7.13</v>
      </c>
      <c r="F918" t="s">
        <v>11</v>
      </c>
      <c r="H918" s="12">
        <v>-3.5819448292659501</v>
      </c>
      <c r="I918" s="11">
        <v>-0.37337717500031398</v>
      </c>
      <c r="J918" s="10">
        <v>0.70886774492290605</v>
      </c>
      <c r="K918" s="29">
        <v>0.98289565623980701</v>
      </c>
    </row>
    <row r="919" spans="1:11" x14ac:dyDescent="0.35">
      <c r="A919" s="9" t="str">
        <f>HYPERLINK("http://www.ensembl.org/id/WBGene00200025", "WBGene00200025")</f>
        <v>WBGene00200025</v>
      </c>
      <c r="B919" s="9"/>
      <c r="C919" s="9"/>
      <c r="D919" t="str">
        <f>"T04C12.26"</f>
        <v>T04C12.26</v>
      </c>
      <c r="F919" t="s">
        <v>481</v>
      </c>
      <c r="H919" s="12">
        <v>-3.5819448292659501</v>
      </c>
      <c r="I919" s="11">
        <v>-0.37337717500031398</v>
      </c>
      <c r="J919" s="10">
        <v>0.70886774492290605</v>
      </c>
      <c r="K919" s="29">
        <v>0.98289565623980701</v>
      </c>
    </row>
    <row r="920" spans="1:11" x14ac:dyDescent="0.35">
      <c r="A920" s="9" t="str">
        <f>HYPERLINK("http://www.ensembl.org/id/WBGene00201956", "WBGene00201956")</f>
        <v>WBGene00201956</v>
      </c>
      <c r="B920" s="9"/>
      <c r="C920" s="9"/>
      <c r="D920" t="str">
        <f>"T04C9.12"</f>
        <v>T04C9.12</v>
      </c>
      <c r="F920" t="s">
        <v>481</v>
      </c>
      <c r="H920" s="12">
        <v>-3.5819448292659501</v>
      </c>
      <c r="I920" s="11">
        <v>-0.37337717500031398</v>
      </c>
      <c r="J920" s="10">
        <v>0.70886774492290605</v>
      </c>
      <c r="K920" s="29">
        <v>0.98289565623980701</v>
      </c>
    </row>
    <row r="921" spans="1:11" x14ac:dyDescent="0.35">
      <c r="A921" s="9" t="str">
        <f>HYPERLINK("http://www.ensembl.org/id/WBGene00011459", "WBGene00011459")</f>
        <v>WBGene00011459</v>
      </c>
      <c r="B921" s="9"/>
      <c r="C921" s="9"/>
      <c r="D921" t="str">
        <f>"T05A6.5"</f>
        <v>T05A6.5</v>
      </c>
      <c r="F921" t="s">
        <v>80</v>
      </c>
      <c r="H921" s="12">
        <v>-3.5819448292659501</v>
      </c>
      <c r="I921" s="11">
        <v>-0.37337717500031398</v>
      </c>
      <c r="J921" s="10">
        <v>0.70886774492290605</v>
      </c>
      <c r="K921" s="29">
        <v>0.98289565623980701</v>
      </c>
    </row>
    <row r="922" spans="1:11" x14ac:dyDescent="0.35">
      <c r="A922" s="9" t="str">
        <f>HYPERLINK("http://www.ensembl.org/id/WBGene00196853", "WBGene00196853")</f>
        <v>WBGene00196853</v>
      </c>
      <c r="B922" s="9"/>
      <c r="C922" s="9"/>
      <c r="D922" t="str">
        <f>"T07F10.9"</f>
        <v>T07F10.9</v>
      </c>
      <c r="F922" t="s">
        <v>481</v>
      </c>
      <c r="H922" s="12">
        <v>-3.5819448292659501</v>
      </c>
      <c r="I922" s="11">
        <v>-0.37337717500031398</v>
      </c>
      <c r="J922" s="10">
        <v>0.70886774492290605</v>
      </c>
      <c r="K922" s="29">
        <v>0.98289565623980701</v>
      </c>
    </row>
    <row r="923" spans="1:11" x14ac:dyDescent="0.35">
      <c r="A923" s="9" t="str">
        <f>HYPERLINK("http://www.ensembl.org/id/WBGene00220095", "WBGene00220095")</f>
        <v>WBGene00220095</v>
      </c>
      <c r="B923" s="9"/>
      <c r="C923" s="9"/>
      <c r="D923" t="str">
        <f>"T25D3.8"</f>
        <v>T25D3.8</v>
      </c>
      <c r="F923" t="s">
        <v>2977</v>
      </c>
      <c r="H923" s="12">
        <v>-3.5819448292659501</v>
      </c>
      <c r="I923" s="11">
        <v>-0.37337717500031398</v>
      </c>
      <c r="J923" s="10">
        <v>0.70886774492290605</v>
      </c>
      <c r="K923" s="29">
        <v>0.98289565623980701</v>
      </c>
    </row>
    <row r="924" spans="1:11" x14ac:dyDescent="0.35">
      <c r="A924" s="9" t="str">
        <f>HYPERLINK("http://www.ensembl.org/id/WBGene00014538", "WBGene00014538")</f>
        <v>WBGene00014538</v>
      </c>
      <c r="B924" s="9"/>
      <c r="C924" s="9"/>
      <c r="D924" t="str">
        <f>"W02H3.t1"</f>
        <v>W02H3.t1</v>
      </c>
      <c r="F924" t="s">
        <v>4208</v>
      </c>
      <c r="H924" s="12">
        <v>-3.5819448292659501</v>
      </c>
      <c r="I924" s="11">
        <v>-0.37337717500031398</v>
      </c>
      <c r="J924" s="10">
        <v>0.70886774492290605</v>
      </c>
      <c r="K924" s="29">
        <v>0.98289565623980701</v>
      </c>
    </row>
    <row r="925" spans="1:11" x14ac:dyDescent="0.35">
      <c r="A925" s="9" t="str">
        <f>HYPERLINK("http://www.ensembl.org/id/WBGene00201597", "WBGene00201597")</f>
        <v>WBGene00201597</v>
      </c>
      <c r="B925" s="9"/>
      <c r="C925" s="9"/>
      <c r="D925" t="str">
        <f>"Y102A11A.15"</f>
        <v>Y102A11A.15</v>
      </c>
      <c r="F925" t="s">
        <v>481</v>
      </c>
      <c r="H925" s="12">
        <v>-3.5819448292659501</v>
      </c>
      <c r="I925" s="11">
        <v>-0.37337717500031398</v>
      </c>
      <c r="J925" s="10">
        <v>0.70886774492290605</v>
      </c>
      <c r="K925" s="29">
        <v>0.98289565623980701</v>
      </c>
    </row>
    <row r="926" spans="1:11" x14ac:dyDescent="0.35">
      <c r="A926" s="9" t="str">
        <f>HYPERLINK("http://www.ensembl.org/id/WBGene00195031", "WBGene00195031")</f>
        <v>WBGene00195031</v>
      </c>
      <c r="B926" s="9"/>
      <c r="C926" s="9"/>
      <c r="D926" t="str">
        <f>"Y37E3.23"</f>
        <v>Y37E3.23</v>
      </c>
      <c r="F926" t="s">
        <v>481</v>
      </c>
      <c r="H926" s="12">
        <v>-3.5819448292659501</v>
      </c>
      <c r="I926" s="11">
        <v>-0.37337717500031398</v>
      </c>
      <c r="J926" s="10">
        <v>0.70886774492290605</v>
      </c>
      <c r="K926" s="29">
        <v>0.98289565623980701</v>
      </c>
    </row>
    <row r="927" spans="1:11" x14ac:dyDescent="0.35">
      <c r="A927" s="9" t="str">
        <f>HYPERLINK("http://www.ensembl.org/id/WBGene00014872", "WBGene00014872")</f>
        <v>WBGene00014872</v>
      </c>
      <c r="B927" s="9"/>
      <c r="C927" s="9"/>
      <c r="D927" t="str">
        <f>"Y38E10A.t2"</f>
        <v>Y38E10A.t2</v>
      </c>
      <c r="F927" t="s">
        <v>80</v>
      </c>
      <c r="H927" s="12">
        <v>-3.5819448292659501</v>
      </c>
      <c r="I927" s="11">
        <v>-0.37337717500031398</v>
      </c>
      <c r="J927" s="10">
        <v>0.70886774492290605</v>
      </c>
      <c r="K927" s="29">
        <v>0.98289565623980701</v>
      </c>
    </row>
    <row r="928" spans="1:11" x14ac:dyDescent="0.35">
      <c r="A928" s="9" t="str">
        <f>HYPERLINK("http://www.ensembl.org/id/WBGene00201029", "WBGene00201029")</f>
        <v>WBGene00201029</v>
      </c>
      <c r="B928" s="9"/>
      <c r="C928" s="9"/>
      <c r="D928" t="str">
        <f>"Y39G8C.11"</f>
        <v>Y39G8C.11</v>
      </c>
      <c r="F928" t="s">
        <v>481</v>
      </c>
      <c r="H928" s="12">
        <v>-3.5819448292659501</v>
      </c>
      <c r="I928" s="11">
        <v>-0.37337717500031398</v>
      </c>
      <c r="J928" s="10">
        <v>0.70886774492290605</v>
      </c>
      <c r="K928" s="29">
        <v>0.98289565623980701</v>
      </c>
    </row>
    <row r="929" spans="1:11" x14ac:dyDescent="0.35">
      <c r="A929" s="9" t="str">
        <f>HYPERLINK("http://www.ensembl.org/id/WBGene00199564", "WBGene00199564")</f>
        <v>WBGene00199564</v>
      </c>
      <c r="B929" s="9"/>
      <c r="C929" s="9"/>
      <c r="D929" t="str">
        <f>"Y43H11AL.5"</f>
        <v>Y43H11AL.5</v>
      </c>
      <c r="F929" t="s">
        <v>481</v>
      </c>
      <c r="H929" s="12">
        <v>-3.5819448292659501</v>
      </c>
      <c r="I929" s="11">
        <v>-0.37337717500031398</v>
      </c>
      <c r="J929" s="10">
        <v>0.70886774492290605</v>
      </c>
      <c r="K929" s="29">
        <v>0.98289565623980701</v>
      </c>
    </row>
    <row r="930" spans="1:11" x14ac:dyDescent="0.35">
      <c r="A930" s="9" t="str">
        <f>HYPERLINK("http://www.ensembl.org/id/WBGene00220167", "WBGene00220167")</f>
        <v>WBGene00220167</v>
      </c>
      <c r="B930" s="9"/>
      <c r="C930" s="9"/>
      <c r="D930" t="str">
        <f>"Y47G6A.38"</f>
        <v>Y47G6A.38</v>
      </c>
      <c r="F930" t="s">
        <v>2977</v>
      </c>
      <c r="H930" s="12">
        <v>-3.5819448292659501</v>
      </c>
      <c r="I930" s="11">
        <v>-0.37337717500031398</v>
      </c>
      <c r="J930" s="10">
        <v>0.70886774492290605</v>
      </c>
      <c r="K930" s="29">
        <v>0.98289565623980701</v>
      </c>
    </row>
    <row r="931" spans="1:11" x14ac:dyDescent="0.35">
      <c r="A931" s="9" t="str">
        <f>HYPERLINK("http://www.ensembl.org/id/WBGene00219492", "WBGene00219492")</f>
        <v>WBGene00219492</v>
      </c>
      <c r="B931" s="9"/>
      <c r="C931" s="9"/>
      <c r="D931" t="str">
        <f>"Y53F4B.63"</f>
        <v>Y53F4B.63</v>
      </c>
      <c r="F931" t="s">
        <v>80</v>
      </c>
      <c r="H931" s="12">
        <v>-3.5819448292659501</v>
      </c>
      <c r="I931" s="11">
        <v>-0.37337717500031398</v>
      </c>
      <c r="J931" s="10">
        <v>0.70886774492290605</v>
      </c>
      <c r="K931" s="29">
        <v>0.98289565623980701</v>
      </c>
    </row>
    <row r="932" spans="1:11" x14ac:dyDescent="0.35">
      <c r="A932" s="9" t="str">
        <f>HYPERLINK("http://www.ensembl.org/id/WBGene00021833", "WBGene00021833")</f>
        <v>WBGene00021833</v>
      </c>
      <c r="B932" s="9" t="str">
        <f>HYPERLINK("http://www.ncbi.nlm.nih.gov/gene/190259", "190259")</f>
        <v>190259</v>
      </c>
      <c r="C932" s="9"/>
      <c r="D932" t="str">
        <f>"Y54E10A.13"</f>
        <v>Y54E10A.13</v>
      </c>
      <c r="F932" t="s">
        <v>11</v>
      </c>
      <c r="H932" s="12">
        <v>-3.5819448292659501</v>
      </c>
      <c r="I932" s="11">
        <v>-0.37337717500031398</v>
      </c>
      <c r="J932" s="10">
        <v>0.70886774492290605</v>
      </c>
      <c r="K932" s="29">
        <v>0.98289565623980701</v>
      </c>
    </row>
    <row r="933" spans="1:11" x14ac:dyDescent="0.35">
      <c r="A933" s="9" t="str">
        <f>HYPERLINK("http://www.ensembl.org/id/WBGene00021916", "WBGene00021916")</f>
        <v>WBGene00021916</v>
      </c>
      <c r="B933" s="9" t="str">
        <f>HYPERLINK("http://www.ncbi.nlm.nih.gov/gene/190303", "190303")</f>
        <v>190303</v>
      </c>
      <c r="C933" s="9"/>
      <c r="D933" t="str">
        <f>"Y55D5A.2"</f>
        <v>Y55D5A.2</v>
      </c>
      <c r="F933" t="s">
        <v>11</v>
      </c>
      <c r="H933" s="12">
        <v>-3.5819448292659501</v>
      </c>
      <c r="I933" s="11">
        <v>-0.37337717500031398</v>
      </c>
      <c r="J933" s="10">
        <v>0.70886774492290605</v>
      </c>
      <c r="K933" s="29">
        <v>0.98289565623980701</v>
      </c>
    </row>
    <row r="934" spans="1:11" x14ac:dyDescent="0.35">
      <c r="A934" s="9" t="str">
        <f>HYPERLINK("http://www.ensembl.org/id/WBGene00014861", "WBGene00014861")</f>
        <v>WBGene00014861</v>
      </c>
      <c r="B934" s="9"/>
      <c r="C934" s="9"/>
      <c r="D934" t="str">
        <f>"Y6B3B.2"</f>
        <v>Y6B3B.2</v>
      </c>
      <c r="F934" t="s">
        <v>80</v>
      </c>
      <c r="H934" s="12">
        <v>-3.5819448292659501</v>
      </c>
      <c r="I934" s="11">
        <v>-0.37337717500031398</v>
      </c>
      <c r="J934" s="10">
        <v>0.70886774492290605</v>
      </c>
      <c r="K934" s="29">
        <v>0.98289565623980701</v>
      </c>
    </row>
    <row r="935" spans="1:11" x14ac:dyDescent="0.35">
      <c r="A935" s="9" t="str">
        <f>HYPERLINK("http://www.ensembl.org/id/WBGene00014984", "WBGene00014984")</f>
        <v>WBGene00014984</v>
      </c>
      <c r="B935" s="9"/>
      <c r="C935" s="9"/>
      <c r="D935" t="str">
        <f>"ZK262.12"</f>
        <v>ZK262.12</v>
      </c>
      <c r="F935" t="s">
        <v>80</v>
      </c>
      <c r="H935" s="12">
        <v>-3.5819448292659501</v>
      </c>
      <c r="I935" s="11">
        <v>-0.37337717500031398</v>
      </c>
      <c r="J935" s="10">
        <v>0.70886774492290605</v>
      </c>
      <c r="K935" s="29">
        <v>0.98289565623980701</v>
      </c>
    </row>
    <row r="936" spans="1:11" x14ac:dyDescent="0.35">
      <c r="A936" s="9" t="str">
        <f>HYPERLINK("http://www.ensembl.org/id/WBGene00202104", "WBGene00202104")</f>
        <v>WBGene00202104</v>
      </c>
      <c r="B936" s="9"/>
      <c r="C936" s="9"/>
      <c r="D936" t="str">
        <f>"ZK563.11"</f>
        <v>ZK563.11</v>
      </c>
      <c r="F936" t="s">
        <v>481</v>
      </c>
      <c r="H936" s="12">
        <v>-3.5819448292659501</v>
      </c>
      <c r="I936" s="11">
        <v>-0.37337717500031398</v>
      </c>
      <c r="J936" s="10">
        <v>0.70886774492290605</v>
      </c>
      <c r="K936" s="29">
        <v>0.98289565623980701</v>
      </c>
    </row>
    <row r="937" spans="1:11" x14ac:dyDescent="0.35">
      <c r="A937" s="9" t="str">
        <f>HYPERLINK("http://www.ensembl.org/id/WBGene00018001", "WBGene00018001")</f>
        <v>WBGene00018001</v>
      </c>
      <c r="B937" s="9" t="str">
        <f>HYPERLINK("http://www.ncbi.nlm.nih.gov/gene/185225", "185225")</f>
        <v>185225</v>
      </c>
      <c r="C937" s="9"/>
      <c r="D937" t="str">
        <f>"F33D11.2"</f>
        <v>F33D11.2</v>
      </c>
      <c r="F937" t="s">
        <v>11</v>
      </c>
      <c r="H937" s="12">
        <v>-3.56622382139654</v>
      </c>
      <c r="I937" s="11">
        <v>-0.53398947221716497</v>
      </c>
      <c r="J937" s="10">
        <v>0.59334881785792104</v>
      </c>
      <c r="K937" s="29">
        <v>0.98289565623980701</v>
      </c>
    </row>
    <row r="938" spans="1:11" x14ac:dyDescent="0.35">
      <c r="A938" s="9" t="str">
        <f>HYPERLINK("http://www.ensembl.org/id/WBGene00015839", "WBGene00015839")</f>
        <v>WBGene00015839</v>
      </c>
      <c r="B938" s="9" t="str">
        <f>HYPERLINK("http://www.ncbi.nlm.nih.gov/gene/182669", "182669")</f>
        <v>182669</v>
      </c>
      <c r="C938" s="9"/>
      <c r="D938" t="str">
        <f>"math-10"</f>
        <v>math-10</v>
      </c>
      <c r="E938" t="s">
        <v>596</v>
      </c>
      <c r="F938" t="s">
        <v>11</v>
      </c>
      <c r="G938" t="s">
        <v>54</v>
      </c>
      <c r="H938" s="12">
        <v>-3.5641408174471199</v>
      </c>
      <c r="I938" s="11">
        <v>-1.36933150051631</v>
      </c>
      <c r="J938" s="10">
        <v>0.17089567560781099</v>
      </c>
      <c r="K938" s="29">
        <v>0.89585721293351495</v>
      </c>
    </row>
    <row r="939" spans="1:11" x14ac:dyDescent="0.35">
      <c r="A939" s="9" t="str">
        <f>HYPERLINK("http://www.ensembl.org/id/WBGene00007208", "WBGene00007208")</f>
        <v>WBGene00007208</v>
      </c>
      <c r="B939" s="9" t="str">
        <f>HYPERLINK("http://www.ncbi.nlm.nih.gov/gene/178266", "178266")</f>
        <v>178266</v>
      </c>
      <c r="C939" s="9"/>
      <c r="D939" t="str">
        <f>"B0564.9"</f>
        <v>B0564.9</v>
      </c>
      <c r="F939" t="s">
        <v>11</v>
      </c>
      <c r="G939" t="s">
        <v>10097</v>
      </c>
      <c r="H939" s="12">
        <v>-3.5505133547207399</v>
      </c>
      <c r="I939" s="11">
        <v>-0.38567206318137798</v>
      </c>
      <c r="J939" s="10">
        <v>0.69973955545800504</v>
      </c>
      <c r="K939" s="29">
        <v>0.98289565623980701</v>
      </c>
    </row>
    <row r="940" spans="1:11" x14ac:dyDescent="0.35">
      <c r="A940" s="9" t="str">
        <f>HYPERLINK("http://www.ensembl.org/id/WBGene00018528", "WBGene00018528")</f>
        <v>WBGene00018528</v>
      </c>
      <c r="B940" s="9" t="str">
        <f>HYPERLINK("http://www.ncbi.nlm.nih.gov/gene/185887", "185887")</f>
        <v>185887</v>
      </c>
      <c r="C940" s="9"/>
      <c r="D940" t="str">
        <f>"F47B3.4"</f>
        <v>F47B3.4</v>
      </c>
      <c r="F940" t="s">
        <v>11</v>
      </c>
      <c r="G940" t="s">
        <v>25</v>
      </c>
      <c r="H940" s="12">
        <v>-3.5505133547207399</v>
      </c>
      <c r="I940" s="11">
        <v>-0.38567206318137798</v>
      </c>
      <c r="J940" s="10">
        <v>0.69973955545800504</v>
      </c>
      <c r="K940" s="29">
        <v>0.98289565623980701</v>
      </c>
    </row>
    <row r="941" spans="1:11" x14ac:dyDescent="0.35">
      <c r="A941" s="9" t="str">
        <f>HYPERLINK("http://www.ensembl.org/id/WBGene00199882", "WBGene00199882")</f>
        <v>WBGene00199882</v>
      </c>
      <c r="B941" s="9"/>
      <c r="C941" s="9"/>
      <c r="D941" t="str">
        <f>"F47C8.4"</f>
        <v>F47C8.4</v>
      </c>
      <c r="F941" t="s">
        <v>481</v>
      </c>
      <c r="H941" s="12">
        <v>-3.5505133547207399</v>
      </c>
      <c r="I941" s="11">
        <v>-0.38567206318137798</v>
      </c>
      <c r="J941" s="10">
        <v>0.69973955545800504</v>
      </c>
      <c r="K941" s="29">
        <v>0.98289565623980701</v>
      </c>
    </row>
    <row r="942" spans="1:11" x14ac:dyDescent="0.35">
      <c r="A942" s="9" t="str">
        <f>HYPERLINK("http://www.ensembl.org/id/WBGene00005639", "WBGene00005639")</f>
        <v>WBGene00005639</v>
      </c>
      <c r="B942" s="9" t="str">
        <f>HYPERLINK("http://www.ncbi.nlm.nih.gov/gene/191956", "191956")</f>
        <v>191956</v>
      </c>
      <c r="C942" s="9"/>
      <c r="D942" t="str">
        <f>"srm-2"</f>
        <v>srm-2</v>
      </c>
      <c r="E942" t="s">
        <v>3699</v>
      </c>
      <c r="F942" t="s">
        <v>11</v>
      </c>
      <c r="G942" t="s">
        <v>25</v>
      </c>
      <c r="H942" s="12">
        <v>-3.5505133547207399</v>
      </c>
      <c r="I942" s="11">
        <v>-0.38567206318137798</v>
      </c>
      <c r="J942" s="10">
        <v>0.69973955545800504</v>
      </c>
      <c r="K942" s="29">
        <v>0.98289565623980701</v>
      </c>
    </row>
    <row r="943" spans="1:11" x14ac:dyDescent="0.35">
      <c r="A943" s="9" t="str">
        <f>HYPERLINK("http://www.ensembl.org/id/WBGene00235265", "WBGene00235265")</f>
        <v>WBGene00235265</v>
      </c>
      <c r="B943" s="9"/>
      <c r="C943" s="9"/>
      <c r="D943" t="str">
        <f>"W03G1.11"</f>
        <v>W03G1.11</v>
      </c>
      <c r="F943" t="s">
        <v>481</v>
      </c>
      <c r="H943" s="12">
        <v>-3.5505133547207399</v>
      </c>
      <c r="I943" s="11">
        <v>-0.38567206318137798</v>
      </c>
      <c r="J943" s="10">
        <v>0.69973955545800504</v>
      </c>
      <c r="K943" s="29">
        <v>0.98289565623980701</v>
      </c>
    </row>
    <row r="944" spans="1:11" x14ac:dyDescent="0.35">
      <c r="A944" s="9" t="str">
        <f>HYPERLINK("http://www.ensembl.org/id/WBGene00014921", "WBGene00014921")</f>
        <v>WBGene00014921</v>
      </c>
      <c r="B944" s="9"/>
      <c r="C944" s="9"/>
      <c r="D944" t="str">
        <f>"Y54E5B.5"</f>
        <v>Y54E5B.5</v>
      </c>
      <c r="F944" t="s">
        <v>80</v>
      </c>
      <c r="H944" s="12">
        <v>-3.5505133547207399</v>
      </c>
      <c r="I944" s="11">
        <v>-0.38567206318137798</v>
      </c>
      <c r="J944" s="10">
        <v>0.69973955545800504</v>
      </c>
      <c r="K944" s="29">
        <v>0.98289565623980701</v>
      </c>
    </row>
    <row r="945" spans="1:11" x14ac:dyDescent="0.35">
      <c r="A945" s="9" t="str">
        <f>HYPERLINK("http://www.ensembl.org/id/WBGene00303095", "WBGene00303095")</f>
        <v>WBGene00303095</v>
      </c>
      <c r="B945" s="9" t="str">
        <f>HYPERLINK("http://www.ncbi.nlm.nih.gov/gene/36805068", "36805068")</f>
        <v>36805068</v>
      </c>
      <c r="C945" s="9"/>
      <c r="D945" t="str">
        <f>"Y71H2AL.4"</f>
        <v>Y71H2AL.4</v>
      </c>
      <c r="F945" t="s">
        <v>11</v>
      </c>
      <c r="H945" s="12">
        <v>-3.5505133547207399</v>
      </c>
      <c r="I945" s="11">
        <v>-0.38567206318137798</v>
      </c>
      <c r="J945" s="10">
        <v>0.69973955545800504</v>
      </c>
      <c r="K945" s="29">
        <v>0.98289565623980701</v>
      </c>
    </row>
    <row r="946" spans="1:11" x14ac:dyDescent="0.35">
      <c r="A946" s="9" t="str">
        <f>HYPERLINK("http://www.ensembl.org/id/WBGene00194844", "WBGene00194844")</f>
        <v>WBGene00194844</v>
      </c>
      <c r="B946" s="9"/>
      <c r="C946" s="9"/>
      <c r="D946" t="str">
        <f>"Y55F3C.13"</f>
        <v>Y55F3C.13</v>
      </c>
      <c r="F946" t="s">
        <v>80</v>
      </c>
      <c r="H946" s="12">
        <v>-3.5414225332506102</v>
      </c>
      <c r="I946" s="11">
        <v>-0.70861836321379701</v>
      </c>
      <c r="J946" s="10">
        <v>0.47856133767060699</v>
      </c>
      <c r="K946" s="29">
        <v>0.98289565623980701</v>
      </c>
    </row>
    <row r="947" spans="1:11" x14ac:dyDescent="0.35">
      <c r="A947" s="9" t="str">
        <f>HYPERLINK("http://www.ensembl.org/id/WBGene00001720", "WBGene00001720")</f>
        <v>WBGene00001720</v>
      </c>
      <c r="B947" s="9" t="str">
        <f>HYPERLINK("http://www.ncbi.nlm.nih.gov/gene/191341", "191341")</f>
        <v>191341</v>
      </c>
      <c r="C947" s="9"/>
      <c r="D947" t="str">
        <f>"grl-11"</f>
        <v>grl-11</v>
      </c>
      <c r="E947" t="s">
        <v>353</v>
      </c>
      <c r="F947" t="s">
        <v>11</v>
      </c>
      <c r="H947" s="12">
        <v>-3.5358655235320899</v>
      </c>
      <c r="I947" s="11">
        <v>-0.64566189642324701</v>
      </c>
      <c r="J947" s="10">
        <v>0.51849834235829095</v>
      </c>
      <c r="K947" s="29">
        <v>0.98289565623980701</v>
      </c>
    </row>
    <row r="948" spans="1:11" x14ac:dyDescent="0.35">
      <c r="A948" s="9" t="str">
        <f>HYPERLINK("http://www.ensembl.org/id/WBGene00045188", "WBGene00045188")</f>
        <v>WBGene00045188</v>
      </c>
      <c r="B948" s="9"/>
      <c r="C948" s="9"/>
      <c r="D948" t="str">
        <f>"B0284.5"</f>
        <v>B0284.5</v>
      </c>
      <c r="F948" t="s">
        <v>80</v>
      </c>
      <c r="H948" s="12">
        <v>-3.5333288461722101</v>
      </c>
      <c r="I948" s="11">
        <v>-2.7812315635258398</v>
      </c>
      <c r="J948" s="10">
        <v>5.4153094938964403E-3</v>
      </c>
      <c r="K948" s="29">
        <v>0.12873059790737801</v>
      </c>
    </row>
    <row r="949" spans="1:11" x14ac:dyDescent="0.35">
      <c r="A949" s="9" t="str">
        <f>HYPERLINK("http://www.ensembl.org/id/WBGene00009651", "WBGene00009651")</f>
        <v>WBGene00009651</v>
      </c>
      <c r="B949" s="9"/>
      <c r="C949" s="9"/>
      <c r="D949" t="str">
        <f>"F43D2.2"</f>
        <v>F43D2.2</v>
      </c>
      <c r="F949" t="s">
        <v>80</v>
      </c>
      <c r="H949" s="12">
        <v>-3.5297308628864998</v>
      </c>
      <c r="I949" s="11">
        <v>-3.9448166224311398</v>
      </c>
      <c r="J949" s="10">
        <v>7.9861069355615706E-5</v>
      </c>
      <c r="K949" s="29">
        <v>5.5580417726832998E-3</v>
      </c>
    </row>
    <row r="950" spans="1:11" x14ac:dyDescent="0.35">
      <c r="A950" s="9" t="str">
        <f>HYPERLINK("http://www.ensembl.org/id/WBGene00168743", "WBGene00168743")</f>
        <v>WBGene00168743</v>
      </c>
      <c r="B950" s="9"/>
      <c r="C950" s="9"/>
      <c r="D950" t="str">
        <f>"21ur-13377"</f>
        <v>21ur-13377</v>
      </c>
      <c r="F950" t="s">
        <v>3161</v>
      </c>
      <c r="H950" s="12">
        <v>-3.5280089784098299</v>
      </c>
      <c r="I950" s="11">
        <v>-1.38016803176859</v>
      </c>
      <c r="J950" s="10">
        <v>0.16753491442243401</v>
      </c>
      <c r="K950" s="29">
        <v>0.88686190575388602</v>
      </c>
    </row>
    <row r="951" spans="1:11" x14ac:dyDescent="0.35">
      <c r="A951" s="9" t="str">
        <f>HYPERLINK("http://www.ensembl.org/id/WBGene00009815", "WBGene00009815")</f>
        <v>WBGene00009815</v>
      </c>
      <c r="B951" s="9" t="str">
        <f>HYPERLINK("http://www.ncbi.nlm.nih.gov/gene/185903", "185903")</f>
        <v>185903</v>
      </c>
      <c r="C951" s="9"/>
      <c r="D951" t="str">
        <f>"F47B10.4"</f>
        <v>F47B10.4</v>
      </c>
      <c r="F951" t="s">
        <v>11</v>
      </c>
      <c r="H951" s="12">
        <v>-3.5215645280615</v>
      </c>
      <c r="I951" s="11">
        <v>-0.59187303440182504</v>
      </c>
      <c r="J951" s="10">
        <v>0.55393561212433495</v>
      </c>
      <c r="K951" s="29">
        <v>0.98289565623980701</v>
      </c>
    </row>
    <row r="952" spans="1:11" x14ac:dyDescent="0.35">
      <c r="A952" s="9" t="str">
        <f>HYPERLINK("http://www.ensembl.org/id/WBGene00012773", "WBGene00012773")</f>
        <v>WBGene00012773</v>
      </c>
      <c r="B952" s="9" t="str">
        <f>HYPERLINK("http://www.ncbi.nlm.nih.gov/gene/189835", "189835")</f>
        <v>189835</v>
      </c>
      <c r="C952" s="9"/>
      <c r="D952" t="str">
        <f>"srt-48"</f>
        <v>srt-48</v>
      </c>
      <c r="E952" t="s">
        <v>2845</v>
      </c>
      <c r="F952" t="s">
        <v>11</v>
      </c>
      <c r="G952" t="s">
        <v>25</v>
      </c>
      <c r="H952" s="12">
        <v>-3.5215645280615</v>
      </c>
      <c r="I952" s="11">
        <v>-0.59187303440182504</v>
      </c>
      <c r="J952" s="10">
        <v>0.55393561212433495</v>
      </c>
      <c r="K952" s="29">
        <v>0.98289565623980701</v>
      </c>
    </row>
    <row r="953" spans="1:11" x14ac:dyDescent="0.35">
      <c r="A953" s="9" t="str">
        <f>HYPERLINK("http://www.ensembl.org/id/WBGene00010185", "WBGene00010185")</f>
        <v>WBGene00010185</v>
      </c>
      <c r="B953" s="9" t="str">
        <f>HYPERLINK("http://www.ncbi.nlm.nih.gov/gene/180058", "180058")</f>
        <v>180058</v>
      </c>
      <c r="C953" s="9"/>
      <c r="D953" t="str">
        <f>"F57A10.4"</f>
        <v>F57A10.4</v>
      </c>
      <c r="F953" t="s">
        <v>11</v>
      </c>
      <c r="G953" t="s">
        <v>25</v>
      </c>
      <c r="H953" s="12">
        <v>-3.5109711949147102</v>
      </c>
      <c r="I953" s="11">
        <v>-2.9283602917929201</v>
      </c>
      <c r="J953" s="10">
        <v>3.4075493146961599E-3</v>
      </c>
      <c r="K953" s="29">
        <v>9.3731945792106502E-2</v>
      </c>
    </row>
    <row r="954" spans="1:11" x14ac:dyDescent="0.35">
      <c r="A954" s="9" t="str">
        <f>HYPERLINK("http://www.ensembl.org/id/WBGene00194696", "WBGene00194696")</f>
        <v>WBGene00194696</v>
      </c>
      <c r="B954" s="9" t="str">
        <f>HYPERLINK("http://www.ncbi.nlm.nih.gov/gene/13184965", "13184965")</f>
        <v>13184965</v>
      </c>
      <c r="C954" s="9"/>
      <c r="D954" t="str">
        <f>"EEED8.18"</f>
        <v>EEED8.18</v>
      </c>
      <c r="F954" t="s">
        <v>11</v>
      </c>
      <c r="H954" s="12">
        <v>-3.50992746011157</v>
      </c>
      <c r="I954" s="11">
        <v>-1.0210891620463201</v>
      </c>
      <c r="J954" s="10">
        <v>0.307212197426597</v>
      </c>
      <c r="K954" s="29">
        <v>0.98289565623980701</v>
      </c>
    </row>
    <row r="955" spans="1:11" x14ac:dyDescent="0.35">
      <c r="A955" s="9" t="str">
        <f>HYPERLINK("http://www.ensembl.org/id/WBGene00044332", "WBGene00044332")</f>
        <v>WBGene00044332</v>
      </c>
      <c r="B955" s="9" t="str">
        <f>HYPERLINK("http://www.ncbi.nlm.nih.gov/gene/3565454", "3565454")</f>
        <v>3565454</v>
      </c>
      <c r="C955" s="9"/>
      <c r="D955" t="str">
        <f>"clec-36"</f>
        <v>clec-36</v>
      </c>
      <c r="E955" t="s">
        <v>46</v>
      </c>
      <c r="F955" t="s">
        <v>11</v>
      </c>
      <c r="G955" t="s">
        <v>2771</v>
      </c>
      <c r="H955" s="12">
        <v>-3.5041341252041698</v>
      </c>
      <c r="I955" s="11">
        <v>-1.46154069946412</v>
      </c>
      <c r="J955" s="10">
        <v>0.14386711480730699</v>
      </c>
      <c r="K955" s="29">
        <v>0.84057228983786503</v>
      </c>
    </row>
    <row r="956" spans="1:11" x14ac:dyDescent="0.35">
      <c r="A956" s="9" t="str">
        <f>HYPERLINK("http://www.ensembl.org/id/WBGene00194800", "WBGene00194800")</f>
        <v>WBGene00194800</v>
      </c>
      <c r="B956" s="9"/>
      <c r="C956" s="9"/>
      <c r="D956" t="str">
        <f>"linc-83"</f>
        <v>linc-83</v>
      </c>
      <c r="F956" t="s">
        <v>1510</v>
      </c>
      <c r="H956" s="12">
        <v>-3.5004395618362398</v>
      </c>
      <c r="I956" s="11">
        <v>-0.78428826794445605</v>
      </c>
      <c r="J956" s="10">
        <v>0.43287098193138301</v>
      </c>
      <c r="K956" s="29">
        <v>0.98289565623980701</v>
      </c>
    </row>
    <row r="957" spans="1:11" x14ac:dyDescent="0.35">
      <c r="A957" s="9" t="str">
        <f>HYPERLINK("http://www.ensembl.org/id/WBGene00023346", "WBGene00023346")</f>
        <v>WBGene00023346</v>
      </c>
      <c r="B957" s="9"/>
      <c r="C957" s="9"/>
      <c r="D957" t="str">
        <f>"T13B5.t1"</f>
        <v>T13B5.t1</v>
      </c>
      <c r="F957" t="s">
        <v>80</v>
      </c>
      <c r="H957" s="12">
        <v>-3.4973388696617498</v>
      </c>
      <c r="I957" s="11">
        <v>-0.70145765104317503</v>
      </c>
      <c r="J957" s="10">
        <v>0.48301745448926098</v>
      </c>
      <c r="K957" s="29">
        <v>0.98289565623980701</v>
      </c>
    </row>
    <row r="958" spans="1:11" x14ac:dyDescent="0.35">
      <c r="A958" s="9" t="str">
        <f>HYPERLINK("http://www.ensembl.org/id/WBGene00017205", "WBGene00017205")</f>
        <v>WBGene00017205</v>
      </c>
      <c r="B958" s="9" t="str">
        <f>HYPERLINK("http://www.ncbi.nlm.nih.gov/gene/179147", "179147")</f>
        <v>179147</v>
      </c>
      <c r="C958" s="9"/>
      <c r="D958" t="str">
        <f>"F07C4.12"</f>
        <v>F07C4.12</v>
      </c>
      <c r="E958" t="s">
        <v>383</v>
      </c>
      <c r="F958" t="s">
        <v>11</v>
      </c>
      <c r="H958" s="12">
        <v>-3.4968801714060702</v>
      </c>
      <c r="I958" s="11">
        <v>-0.98205465284055005</v>
      </c>
      <c r="J958" s="10">
        <v>0.32607292413308903</v>
      </c>
      <c r="K958" s="29">
        <v>0.98289565623980701</v>
      </c>
    </row>
    <row r="959" spans="1:11" x14ac:dyDescent="0.35">
      <c r="A959" s="9" t="str">
        <f>HYPERLINK("http://www.ensembl.org/id/WBGene00201389", "WBGene00201389")</f>
        <v>WBGene00201389</v>
      </c>
      <c r="B959" s="9"/>
      <c r="C959" s="9"/>
      <c r="D959" t="str">
        <f>"ZK637.20"</f>
        <v>ZK637.20</v>
      </c>
      <c r="F959" t="s">
        <v>481</v>
      </c>
      <c r="H959" s="12">
        <v>-3.4925756442813398</v>
      </c>
      <c r="I959" s="11">
        <v>-0.596539123152663</v>
      </c>
      <c r="J959" s="10">
        <v>0.55081512592554605</v>
      </c>
      <c r="K959" s="29">
        <v>0.98289565623980701</v>
      </c>
    </row>
    <row r="960" spans="1:11" x14ac:dyDescent="0.35">
      <c r="A960" s="9" t="str">
        <f>HYPERLINK("http://www.ensembl.org/id/WBGene00194793", "WBGene00194793")</f>
        <v>WBGene00194793</v>
      </c>
      <c r="B960" s="9" t="str">
        <f>HYPERLINK("http://www.ncbi.nlm.nih.gov/gene/13222717", "13222717")</f>
        <v>13222717</v>
      </c>
      <c r="C960" s="9"/>
      <c r="D960" t="str">
        <f>"W04G3.13"</f>
        <v>W04G3.13</v>
      </c>
      <c r="F960" t="s">
        <v>11</v>
      </c>
      <c r="H960" s="12">
        <v>-3.4918379667763202</v>
      </c>
      <c r="I960" s="11">
        <v>-1.6943869958020901</v>
      </c>
      <c r="J960" s="10">
        <v>9.0191768983894999E-2</v>
      </c>
      <c r="K960" s="29">
        <v>0.69698027228825399</v>
      </c>
    </row>
    <row r="961" spans="1:11" x14ac:dyDescent="0.35">
      <c r="A961" s="9" t="str">
        <f>HYPERLINK("http://www.ensembl.org/id/WBGene00018094", "WBGene00018094")</f>
        <v>WBGene00018094</v>
      </c>
      <c r="B961" s="9" t="str">
        <f>HYPERLINK("http://www.ncbi.nlm.nih.gov/gene/185362", "185362")</f>
        <v>185362</v>
      </c>
      <c r="C961" s="9"/>
      <c r="D961" t="str">
        <f>"F36F12.3"</f>
        <v>F36F12.3</v>
      </c>
      <c r="F961" t="s">
        <v>11</v>
      </c>
      <c r="G961" t="s">
        <v>1212</v>
      </c>
      <c r="H961" s="12">
        <v>-3.4891831074883699</v>
      </c>
      <c r="I961" s="11">
        <v>-1.3049824959745</v>
      </c>
      <c r="J961" s="10">
        <v>0.19189880819309499</v>
      </c>
      <c r="K961" s="29">
        <v>0.93249502883483704</v>
      </c>
    </row>
    <row r="962" spans="1:11" x14ac:dyDescent="0.35">
      <c r="A962" s="9" t="str">
        <f>HYPERLINK("http://www.ensembl.org/id/WBGene00019368", "WBGene00019368")</f>
        <v>WBGene00019368</v>
      </c>
      <c r="B962" s="9" t="str">
        <f>HYPERLINK("http://www.ncbi.nlm.nih.gov/gene/176959", "176959")</f>
        <v>176959</v>
      </c>
      <c r="C962" s="9"/>
      <c r="D962" t="str">
        <f>"K03H6.2"</f>
        <v>K03H6.2</v>
      </c>
      <c r="F962" t="s">
        <v>11</v>
      </c>
      <c r="G962" t="s">
        <v>29</v>
      </c>
      <c r="H962" s="12">
        <v>-3.4888635919022102</v>
      </c>
      <c r="I962" s="11">
        <v>-6.3307953198610001</v>
      </c>
      <c r="J962" s="10">
        <v>2.4390071307939098E-10</v>
      </c>
      <c r="K962" s="29">
        <v>1.9432999573835899E-7</v>
      </c>
    </row>
    <row r="963" spans="1:11" x14ac:dyDescent="0.35">
      <c r="A963" s="9" t="str">
        <f>HYPERLINK("http://www.ensembl.org/id/WBGene00018120", "WBGene00018120")</f>
        <v>WBGene00018120</v>
      </c>
      <c r="B963" s="9" t="str">
        <f>HYPERLINK("http://www.ncbi.nlm.nih.gov/gene/177306", "177306")</f>
        <v>177306</v>
      </c>
      <c r="C963" s="9"/>
      <c r="D963" t="str">
        <f>"F36H12.4"</f>
        <v>F36H12.4</v>
      </c>
      <c r="F963" t="s">
        <v>11</v>
      </c>
      <c r="H963" s="12">
        <v>-3.4875081933357701</v>
      </c>
      <c r="I963" s="11">
        <v>-0.72171686709354299</v>
      </c>
      <c r="J963" s="10">
        <v>0.47046856976193202</v>
      </c>
      <c r="K963" s="29">
        <v>0.98289565623980701</v>
      </c>
    </row>
    <row r="964" spans="1:11" x14ac:dyDescent="0.35">
      <c r="A964" s="9" t="str">
        <f>HYPERLINK("http://www.ensembl.org/id/WBGene00013609", "WBGene00013609")</f>
        <v>WBGene00013609</v>
      </c>
      <c r="B964" s="9" t="str">
        <f>HYPERLINK("http://www.ncbi.nlm.nih.gov/gene/190828", "190828")</f>
        <v>190828</v>
      </c>
      <c r="C964" s="9"/>
      <c r="D964" t="str">
        <f>"clec-37"</f>
        <v>clec-37</v>
      </c>
      <c r="E964" t="s">
        <v>46</v>
      </c>
      <c r="F964" t="s">
        <v>11</v>
      </c>
      <c r="G964" t="s">
        <v>2771</v>
      </c>
      <c r="H964" s="12">
        <v>-3.48513252025516</v>
      </c>
      <c r="I964" s="11">
        <v>-0.85674134194010698</v>
      </c>
      <c r="J964" s="10">
        <v>0.39158784992037099</v>
      </c>
      <c r="K964" s="29">
        <v>0.98289565623980701</v>
      </c>
    </row>
    <row r="965" spans="1:11" x14ac:dyDescent="0.35">
      <c r="A965" s="9" t="str">
        <f>HYPERLINK("http://www.ensembl.org/id/WBGene00219552", "WBGene00219552")</f>
        <v>WBGene00219552</v>
      </c>
      <c r="B965" s="9"/>
      <c r="C965" s="9"/>
      <c r="D965" t="str">
        <f>"F53F4.25"</f>
        <v>F53F4.25</v>
      </c>
      <c r="F965" t="s">
        <v>2735</v>
      </c>
      <c r="H965" s="12">
        <v>-3.4784369193365299</v>
      </c>
      <c r="I965" s="11">
        <v>-1.1411183107465801</v>
      </c>
      <c r="J965" s="10">
        <v>0.25382069240161298</v>
      </c>
      <c r="K965" s="29">
        <v>0.98289565623980701</v>
      </c>
    </row>
    <row r="966" spans="1:11" x14ac:dyDescent="0.35">
      <c r="A966" s="9" t="str">
        <f>HYPERLINK("http://www.ensembl.org/id/WBGene00016670", "WBGene00016670")</f>
        <v>WBGene00016670</v>
      </c>
      <c r="B966" s="9" t="str">
        <f>HYPERLINK("http://www.ncbi.nlm.nih.gov/gene/177033", "177033")</f>
        <v>177033</v>
      </c>
      <c r="C966" s="9"/>
      <c r="D966" t="str">
        <f>"ilys-3"</f>
        <v>ilys-3</v>
      </c>
      <c r="E966" t="s">
        <v>1194</v>
      </c>
      <c r="F966" t="s">
        <v>11</v>
      </c>
      <c r="G966" t="s">
        <v>1195</v>
      </c>
      <c r="H966" s="12">
        <v>-3.4783883465389298</v>
      </c>
      <c r="I966" s="11">
        <v>-2.40012130293825</v>
      </c>
      <c r="J966" s="10">
        <v>1.6389639595331101E-2</v>
      </c>
      <c r="K966" s="29">
        <v>0.26774306595043901</v>
      </c>
    </row>
    <row r="967" spans="1:11" x14ac:dyDescent="0.35">
      <c r="A967" s="9" t="str">
        <f>HYPERLINK("http://www.ensembl.org/id/WBGene00007580", "WBGene00007580")</f>
        <v>WBGene00007580</v>
      </c>
      <c r="B967" s="9" t="str">
        <f>HYPERLINK("http://www.ncbi.nlm.nih.gov/gene/175480", "175480")</f>
        <v>175480</v>
      </c>
      <c r="C967" s="9"/>
      <c r="D967" t="str">
        <f>"C14B1.9"</f>
        <v>C14B1.9</v>
      </c>
      <c r="F967" t="s">
        <v>11</v>
      </c>
      <c r="H967" s="12">
        <v>-3.4669307127628199</v>
      </c>
      <c r="I967" s="11">
        <v>-5.6109624937943998</v>
      </c>
      <c r="J967" s="10">
        <v>2.0120437374657001E-8</v>
      </c>
      <c r="K967" s="29">
        <v>6.4569836941503302E-6</v>
      </c>
    </row>
    <row r="968" spans="1:11" x14ac:dyDescent="0.35">
      <c r="A968" s="9" t="str">
        <f>HYPERLINK("http://www.ensembl.org/id/WBGene00015312", "WBGene00015312")</f>
        <v>WBGene00015312</v>
      </c>
      <c r="B968" s="9" t="str">
        <f>HYPERLINK("http://www.ncbi.nlm.nih.gov/gene/172170", "172170")</f>
        <v>172170</v>
      </c>
      <c r="C968" s="9"/>
      <c r="D968" t="str">
        <f>"C01G8.1"</f>
        <v>C01G8.1</v>
      </c>
      <c r="F968" t="s">
        <v>11</v>
      </c>
      <c r="H968" s="12">
        <v>-3.4652266863880898</v>
      </c>
      <c r="I968" s="11">
        <v>-5.87952977198404</v>
      </c>
      <c r="J968" s="10">
        <v>4.1143359679275599E-9</v>
      </c>
      <c r="K968" s="29">
        <v>1.7604786458321199E-6</v>
      </c>
    </row>
    <row r="969" spans="1:11" x14ac:dyDescent="0.35">
      <c r="A969" s="9" t="str">
        <f>HYPERLINK("http://www.ensembl.org/id/WBGene00009396", "WBGene00009396")</f>
        <v>WBGene00009396</v>
      </c>
      <c r="B969" s="9" t="str">
        <f>HYPERLINK("http://www.ncbi.nlm.nih.gov/gene/174928", "174928")</f>
        <v>174928</v>
      </c>
      <c r="C969" s="9"/>
      <c r="D969" t="str">
        <f>"clec-65"</f>
        <v>clec-65</v>
      </c>
      <c r="E969" t="s">
        <v>46</v>
      </c>
      <c r="F969" t="s">
        <v>11</v>
      </c>
      <c r="G969" t="s">
        <v>47</v>
      </c>
      <c r="H969" s="12">
        <v>-3.4625823220681999</v>
      </c>
      <c r="I969" s="11">
        <v>-4.9380738512478999</v>
      </c>
      <c r="J969" s="10">
        <v>7.8897965940046902E-7</v>
      </c>
      <c r="K969" s="29">
        <v>1.3021545721505199E-4</v>
      </c>
    </row>
    <row r="970" spans="1:11" x14ac:dyDescent="0.35">
      <c r="A970" s="9" t="str">
        <f>HYPERLINK("http://www.ensembl.org/id/WBGene00007643", "WBGene00007643")</f>
        <v>WBGene00007643</v>
      </c>
      <c r="B970" s="9" t="str">
        <f>HYPERLINK("http://www.ncbi.nlm.nih.gov/gene/172767", "172767")</f>
        <v>172767</v>
      </c>
      <c r="C970" s="9"/>
      <c r="D970" t="str">
        <f>"marc-3"</f>
        <v>marc-3</v>
      </c>
      <c r="E970" t="s">
        <v>114</v>
      </c>
      <c r="F970" t="s">
        <v>11</v>
      </c>
      <c r="G970" t="s">
        <v>115</v>
      </c>
      <c r="H970" s="12">
        <v>-3.46134621739971</v>
      </c>
      <c r="I970" s="11">
        <v>-5.3882093770516999</v>
      </c>
      <c r="J970" s="10">
        <v>7.1163120483313994E-8</v>
      </c>
      <c r="K970" s="29">
        <v>1.8069176504257701E-5</v>
      </c>
    </row>
    <row r="971" spans="1:11" x14ac:dyDescent="0.35">
      <c r="A971" s="9" t="str">
        <f>HYPERLINK("http://www.ensembl.org/id/WBGene00010991", "WBGene00010991")</f>
        <v>WBGene00010991</v>
      </c>
      <c r="B971" s="9" t="str">
        <f>HYPERLINK("http://www.ncbi.nlm.nih.gov/gene/187536", "187536")</f>
        <v>187536</v>
      </c>
      <c r="C971" s="9"/>
      <c r="D971" t="str">
        <f>"R03D7.5"</f>
        <v>R03D7.5</v>
      </c>
      <c r="E971" t="s">
        <v>10095</v>
      </c>
      <c r="F971" t="s">
        <v>11</v>
      </c>
      <c r="G971" t="s">
        <v>10096</v>
      </c>
      <c r="H971" s="12">
        <v>-3.4451766330355702</v>
      </c>
      <c r="I971" s="11">
        <v>-0.69776236086994203</v>
      </c>
      <c r="J971" s="10">
        <v>0.48532582151501502</v>
      </c>
      <c r="K971" s="29">
        <v>0.98289565623980701</v>
      </c>
    </row>
    <row r="972" spans="1:11" x14ac:dyDescent="0.35">
      <c r="A972" s="9" t="str">
        <f>HYPERLINK("http://www.ensembl.org/id/WBGene00017743", "WBGene00017743")</f>
        <v>WBGene00017743</v>
      </c>
      <c r="B972" s="9" t="str">
        <f>HYPERLINK("http://www.ncbi.nlm.nih.gov/gene/184900", "184900")</f>
        <v>184900</v>
      </c>
      <c r="C972" s="9"/>
      <c r="D972" t="str">
        <f>"F23F1.2"</f>
        <v>F23F1.2</v>
      </c>
      <c r="F972" t="s">
        <v>11</v>
      </c>
      <c r="G972" t="s">
        <v>325</v>
      </c>
      <c r="H972" s="12">
        <v>-3.4446860784907001</v>
      </c>
      <c r="I972" s="11">
        <v>-1.4952137023708001</v>
      </c>
      <c r="J972" s="10">
        <v>0.13485867857959899</v>
      </c>
      <c r="K972" s="29">
        <v>0.82412987827234196</v>
      </c>
    </row>
    <row r="973" spans="1:11" x14ac:dyDescent="0.35">
      <c r="A973" s="9" t="str">
        <f>HYPERLINK("http://www.ensembl.org/id/WBGene00018709", "WBGene00018709")</f>
        <v>WBGene00018709</v>
      </c>
      <c r="B973" s="9" t="str">
        <f>HYPERLINK("http://www.ncbi.nlm.nih.gov/gene/186126", "186126")</f>
        <v>186126</v>
      </c>
      <c r="C973" s="9"/>
      <c r="D973" t="str">
        <f>"srsx-8"</f>
        <v>srsx-8</v>
      </c>
      <c r="E973" t="s">
        <v>1639</v>
      </c>
      <c r="F973" t="s">
        <v>11</v>
      </c>
      <c r="G973" t="s">
        <v>1089</v>
      </c>
      <c r="H973" s="12">
        <v>-3.4381692680997</v>
      </c>
      <c r="I973" s="11">
        <v>-0.66589672130188204</v>
      </c>
      <c r="J973" s="10">
        <v>0.50547711633834203</v>
      </c>
      <c r="K973" s="29">
        <v>0.98289565623980701</v>
      </c>
    </row>
    <row r="974" spans="1:11" x14ac:dyDescent="0.35">
      <c r="A974" s="9" t="str">
        <f>HYPERLINK("http://www.ensembl.org/id/WBGene00255606", "WBGene00255606")</f>
        <v>WBGene00255606</v>
      </c>
      <c r="B974" s="9"/>
      <c r="C974" s="9"/>
      <c r="D974" t="str">
        <f>"T23B3.9"</f>
        <v>T23B3.9</v>
      </c>
      <c r="F974" t="s">
        <v>481</v>
      </c>
      <c r="H974" s="12">
        <v>-3.4381692680997</v>
      </c>
      <c r="I974" s="11">
        <v>-0.66589672130188204</v>
      </c>
      <c r="J974" s="10">
        <v>0.50547711633834203</v>
      </c>
      <c r="K974" s="29">
        <v>0.98289565623980701</v>
      </c>
    </row>
    <row r="975" spans="1:11" x14ac:dyDescent="0.35">
      <c r="A975" s="9" t="str">
        <f>HYPERLINK("http://www.ensembl.org/id/WBGene00021990", "WBGene00021990")</f>
        <v>WBGene00021990</v>
      </c>
      <c r="B975" s="9"/>
      <c r="C975" s="9"/>
      <c r="D975" t="str">
        <f>"Y59E1B.1"</f>
        <v>Y59E1B.1</v>
      </c>
      <c r="F975" t="s">
        <v>481</v>
      </c>
      <c r="H975" s="12">
        <v>-3.4381692680997</v>
      </c>
      <c r="I975" s="11">
        <v>-0.66589672130188204</v>
      </c>
      <c r="J975" s="10">
        <v>0.50547711633834203</v>
      </c>
      <c r="K975" s="29">
        <v>0.98289565623980701</v>
      </c>
    </row>
    <row r="976" spans="1:11" x14ac:dyDescent="0.35">
      <c r="A976" s="9" t="str">
        <f>HYPERLINK("http://www.ensembl.org/id/WBGene00271815", "WBGene00271815")</f>
        <v>WBGene00271815</v>
      </c>
      <c r="B976" s="9" t="str">
        <f>HYPERLINK("http://www.ncbi.nlm.nih.gov/gene/186973", "186973")</f>
        <v>186973</v>
      </c>
      <c r="C976" s="9"/>
      <c r="D976" t="str">
        <f>"K04A8.21"</f>
        <v>K04A8.21</v>
      </c>
      <c r="F976" t="s">
        <v>11</v>
      </c>
      <c r="H976" s="12">
        <v>-3.4317366086158598</v>
      </c>
      <c r="I976" s="11">
        <v>-0.60559993044942795</v>
      </c>
      <c r="J976" s="10">
        <v>0.54478044853849406</v>
      </c>
      <c r="K976" s="29">
        <v>0.98289565623980701</v>
      </c>
    </row>
    <row r="977" spans="1:11" x14ac:dyDescent="0.35">
      <c r="A977" s="9" t="str">
        <f>HYPERLINK("http://www.ensembl.org/id/WBGene00009404", "WBGene00009404")</f>
        <v>WBGene00009404</v>
      </c>
      <c r="B977" s="9" t="str">
        <f>HYPERLINK("http://www.ncbi.nlm.nih.gov/gene/174325", "174325")</f>
        <v>174325</v>
      </c>
      <c r="C977" s="9"/>
      <c r="D977" t="str">
        <f>"F35C11.5"</f>
        <v>F35C11.5</v>
      </c>
      <c r="F977" t="s">
        <v>11</v>
      </c>
      <c r="G977" t="s">
        <v>127</v>
      </c>
      <c r="H977" s="12">
        <v>-3.43011571629637</v>
      </c>
      <c r="I977" s="11">
        <v>-5.1780918883025304</v>
      </c>
      <c r="J977" s="10">
        <v>2.2416682006905E-7</v>
      </c>
      <c r="K977" s="29">
        <v>4.8407463032854903E-5</v>
      </c>
    </row>
    <row r="978" spans="1:11" x14ac:dyDescent="0.35">
      <c r="A978" s="9" t="str">
        <f>HYPERLINK("http://www.ensembl.org/id/WBGene00015756", "WBGene00015756")</f>
        <v>WBGene00015756</v>
      </c>
      <c r="B978" s="9" t="str">
        <f>HYPERLINK("http://www.ncbi.nlm.nih.gov/gene/178576", "178576")</f>
        <v>178576</v>
      </c>
      <c r="C978" s="9"/>
      <c r="D978" t="str">
        <f>"C14C6.2"</f>
        <v>C14C6.2</v>
      </c>
      <c r="F978" t="s">
        <v>11</v>
      </c>
      <c r="H978" s="12">
        <v>-3.4266362198609301</v>
      </c>
      <c r="I978" s="11">
        <v>-4.8460673623451296</v>
      </c>
      <c r="J978" s="10">
        <v>1.25932772816277E-6</v>
      </c>
      <c r="K978" s="29">
        <v>1.8416472460081599E-4</v>
      </c>
    </row>
    <row r="979" spans="1:11" x14ac:dyDescent="0.35">
      <c r="A979" s="9" t="str">
        <f>HYPERLINK("http://www.ensembl.org/id/WBGene00235271", "WBGene00235271")</f>
        <v>WBGene00235271</v>
      </c>
      <c r="B979" s="9" t="str">
        <f>HYPERLINK("http://www.ncbi.nlm.nih.gov/gene/24104336", "24104336")</f>
        <v>24104336</v>
      </c>
      <c r="C979" s="9"/>
      <c r="D979" t="str">
        <f>"C49C8.8"</f>
        <v>C49C8.8</v>
      </c>
      <c r="F979" t="s">
        <v>11</v>
      </c>
      <c r="H979" s="12">
        <v>-3.42398818733197</v>
      </c>
      <c r="I979" s="11">
        <v>-0.86937837174986698</v>
      </c>
      <c r="J979" s="10">
        <v>0.38464020897809797</v>
      </c>
      <c r="K979" s="29">
        <v>0.98289565623980701</v>
      </c>
    </row>
    <row r="980" spans="1:11" x14ac:dyDescent="0.35">
      <c r="A980" s="9" t="str">
        <f>HYPERLINK("http://www.ensembl.org/id/WBGene00008301", "WBGene00008301")</f>
        <v>WBGene00008301</v>
      </c>
      <c r="B980" s="9" t="str">
        <f>HYPERLINK("http://www.ncbi.nlm.nih.gov/gene/183784", "183784")</f>
        <v>183784</v>
      </c>
      <c r="C980" s="9"/>
      <c r="D980" t="str">
        <f>"pals-39"</f>
        <v>pals-39</v>
      </c>
      <c r="E980" t="s">
        <v>1147</v>
      </c>
      <c r="F980" t="s">
        <v>11</v>
      </c>
      <c r="H980" s="12">
        <v>-3.4201231316366201</v>
      </c>
      <c r="I980" s="11">
        <v>-2.4451501783893401</v>
      </c>
      <c r="J980" s="10">
        <v>1.4479183655792399E-2</v>
      </c>
      <c r="K980" s="29">
        <v>0.24800297816956099</v>
      </c>
    </row>
    <row r="981" spans="1:11" x14ac:dyDescent="0.35">
      <c r="A981" s="9" t="str">
        <f>HYPERLINK("http://www.ensembl.org/id/WBGene00015034", "WBGene00015034")</f>
        <v>WBGene00015034</v>
      </c>
      <c r="B981" s="9" t="str">
        <f>HYPERLINK("http://www.ncbi.nlm.nih.gov/gene/181840", "181840")</f>
        <v>181840</v>
      </c>
      <c r="C981" s="9"/>
      <c r="D981" t="str">
        <f>"B0207.11"</f>
        <v>B0207.11</v>
      </c>
      <c r="F981" t="s">
        <v>11</v>
      </c>
      <c r="H981" s="12">
        <v>-3.41933832513361</v>
      </c>
      <c r="I981" s="11">
        <v>-0.44027146715912302</v>
      </c>
      <c r="J981" s="10">
        <v>0.65974050361005898</v>
      </c>
      <c r="K981" s="29">
        <v>0.98289565623980701</v>
      </c>
    </row>
    <row r="982" spans="1:11" x14ac:dyDescent="0.35">
      <c r="A982" s="9" t="str">
        <f>HYPERLINK("http://www.ensembl.org/id/WBGene00021284", "WBGene00021284")</f>
        <v>WBGene00021284</v>
      </c>
      <c r="B982" s="9" t="str">
        <f>HYPERLINK("http://www.ncbi.nlm.nih.gov/gene/189531", "189531")</f>
        <v>189531</v>
      </c>
      <c r="C982" s="9"/>
      <c r="D982" t="str">
        <f>"Y24D9A.6"</f>
        <v>Y24D9A.6</v>
      </c>
      <c r="F982" t="s">
        <v>11</v>
      </c>
      <c r="G982" t="s">
        <v>25</v>
      </c>
      <c r="H982" s="12">
        <v>-3.41933832513361</v>
      </c>
      <c r="I982" s="11">
        <v>-0.44027146715912302</v>
      </c>
      <c r="J982" s="10">
        <v>0.65974050361005898</v>
      </c>
      <c r="K982" s="29">
        <v>0.98289565623980701</v>
      </c>
    </row>
    <row r="983" spans="1:11" x14ac:dyDescent="0.35">
      <c r="A983" s="9" t="str">
        <f>HYPERLINK("http://www.ensembl.org/id/WBGene00018558", "WBGene00018558")</f>
        <v>WBGene00018558</v>
      </c>
      <c r="B983" s="9" t="str">
        <f>HYPERLINK("http://www.ncbi.nlm.nih.gov/gene/185928", "185928")</f>
        <v>185928</v>
      </c>
      <c r="C983" s="9"/>
      <c r="D983" t="str">
        <f>"srt-20"</f>
        <v>srt-20</v>
      </c>
      <c r="E983" t="s">
        <v>2845</v>
      </c>
      <c r="F983" t="s">
        <v>11</v>
      </c>
      <c r="G983" t="s">
        <v>25</v>
      </c>
      <c r="H983" s="12">
        <v>-3.4174069972187402</v>
      </c>
      <c r="I983" s="11">
        <v>-0.75199331540498804</v>
      </c>
      <c r="J983" s="10">
        <v>0.45205507871920603</v>
      </c>
      <c r="K983" s="29">
        <v>0.98289565623980701</v>
      </c>
    </row>
    <row r="984" spans="1:11" x14ac:dyDescent="0.35">
      <c r="A984" s="9" t="str">
        <f>HYPERLINK("http://www.ensembl.org/id/WBGene00008294", "WBGene00008294")</f>
        <v>WBGene00008294</v>
      </c>
      <c r="B984" s="9" t="str">
        <f>HYPERLINK("http://www.ncbi.nlm.nih.gov/gene/183773", "183773")</f>
        <v>183773</v>
      </c>
      <c r="C984" s="9"/>
      <c r="D984" t="str">
        <f>"clec-11"</f>
        <v>clec-11</v>
      </c>
      <c r="E984" t="s">
        <v>46</v>
      </c>
      <c r="F984" t="s">
        <v>11</v>
      </c>
      <c r="G984" t="s">
        <v>47</v>
      </c>
      <c r="H984" s="12">
        <v>-3.40914878724656</v>
      </c>
      <c r="I984" s="11">
        <v>-3.6149517005652201</v>
      </c>
      <c r="J984" s="10">
        <v>3.00403622063548E-4</v>
      </c>
      <c r="K984" s="29">
        <v>1.5563062985202601E-2</v>
      </c>
    </row>
    <row r="985" spans="1:11" x14ac:dyDescent="0.35">
      <c r="A985" s="9" t="str">
        <f>HYPERLINK("http://www.ensembl.org/id/WBGene00011153", "WBGene00011153")</f>
        <v>WBGene00011153</v>
      </c>
      <c r="B985" s="9" t="str">
        <f>HYPERLINK("http://www.ncbi.nlm.nih.gov/gene/181409", "181409")</f>
        <v>181409</v>
      </c>
      <c r="C985" s="9"/>
      <c r="D985" t="str">
        <f>"R09A8.2"</f>
        <v>R09A8.2</v>
      </c>
      <c r="F985" t="s">
        <v>11</v>
      </c>
      <c r="H985" s="12">
        <v>-3.4058330225918798</v>
      </c>
      <c r="I985" s="11">
        <v>-4.6567473357864104</v>
      </c>
      <c r="J985" s="10">
        <v>3.2124429072358401E-6</v>
      </c>
      <c r="K985" s="29">
        <v>4.0783904293731501E-4</v>
      </c>
    </row>
    <row r="986" spans="1:11" x14ac:dyDescent="0.35">
      <c r="A986" s="9" t="str">
        <f>HYPERLINK("http://www.ensembl.org/id/WBGene00219759", "WBGene00219759")</f>
        <v>WBGene00219759</v>
      </c>
      <c r="B986" s="9"/>
      <c r="C986" s="9"/>
      <c r="D986" t="str">
        <f>"anr-58"</f>
        <v>anr-58</v>
      </c>
      <c r="F986" t="s">
        <v>2735</v>
      </c>
      <c r="H986" s="12">
        <v>-3.40517997462055</v>
      </c>
      <c r="I986" s="11">
        <v>-0.44562966553438899</v>
      </c>
      <c r="J986" s="10">
        <v>0.65586477808227595</v>
      </c>
      <c r="K986" s="29">
        <v>0.98289565623980701</v>
      </c>
    </row>
    <row r="987" spans="1:11" x14ac:dyDescent="0.35">
      <c r="A987" s="9" t="str">
        <f>HYPERLINK("http://www.ensembl.org/id/WBGene00194702", "WBGene00194702")</f>
        <v>WBGene00194702</v>
      </c>
      <c r="B987" s="9" t="str">
        <f>HYPERLINK("http://www.ncbi.nlm.nih.gov/gene/13179817", "13179817")</f>
        <v>13179817</v>
      </c>
      <c r="C987" s="9"/>
      <c r="D987" t="str">
        <f>"C32E8.12"</f>
        <v>C32E8.12</v>
      </c>
      <c r="F987" t="s">
        <v>11</v>
      </c>
      <c r="H987" s="12">
        <v>-3.40517997462055</v>
      </c>
      <c r="I987" s="11">
        <v>-0.44562966553438899</v>
      </c>
      <c r="J987" s="10">
        <v>0.65586477808227595</v>
      </c>
      <c r="K987" s="29">
        <v>0.98289565623980701</v>
      </c>
    </row>
    <row r="988" spans="1:11" x14ac:dyDescent="0.35">
      <c r="A988" s="9" t="str">
        <f>HYPERLINK("http://www.ensembl.org/id/WBGene00199132", "WBGene00199132")</f>
        <v>WBGene00199132</v>
      </c>
      <c r="B988" s="9"/>
      <c r="C988" s="9"/>
      <c r="D988" t="str">
        <f>"C37H5.15"</f>
        <v>C37H5.15</v>
      </c>
      <c r="F988" t="s">
        <v>481</v>
      </c>
      <c r="H988" s="12">
        <v>-3.40517997462055</v>
      </c>
      <c r="I988" s="11">
        <v>-0.44562966553438899</v>
      </c>
      <c r="J988" s="10">
        <v>0.65586477808227595</v>
      </c>
      <c r="K988" s="29">
        <v>0.98289565623980701</v>
      </c>
    </row>
    <row r="989" spans="1:11" x14ac:dyDescent="0.35">
      <c r="A989" s="9" t="str">
        <f>HYPERLINK("http://www.ensembl.org/id/WBGene00019529", "WBGene00019529")</f>
        <v>WBGene00019529</v>
      </c>
      <c r="B989" s="9"/>
      <c r="C989" s="9"/>
      <c r="D989" t="str">
        <f>"K08D10.5"</f>
        <v>K08D10.5</v>
      </c>
      <c r="F989" t="s">
        <v>80</v>
      </c>
      <c r="H989" s="12">
        <v>-3.40517997462055</v>
      </c>
      <c r="I989" s="11">
        <v>-0.44562966553438899</v>
      </c>
      <c r="J989" s="10">
        <v>0.65586477808227595</v>
      </c>
      <c r="K989" s="29">
        <v>0.98289565623980701</v>
      </c>
    </row>
    <row r="990" spans="1:11" x14ac:dyDescent="0.35">
      <c r="A990" s="9" t="str">
        <f>HYPERLINK("http://www.ensembl.org/id/WBGene00219716", "WBGene00219716")</f>
        <v>WBGene00219716</v>
      </c>
      <c r="B990" s="9"/>
      <c r="C990" s="9"/>
      <c r="D990" t="str">
        <f>"linc-88"</f>
        <v>linc-88</v>
      </c>
      <c r="F990" t="s">
        <v>1510</v>
      </c>
      <c r="H990" s="12">
        <v>-3.40517997462055</v>
      </c>
      <c r="I990" s="11">
        <v>-0.44562966553438899</v>
      </c>
      <c r="J990" s="10">
        <v>0.65586477808227595</v>
      </c>
      <c r="K990" s="29">
        <v>0.98289565623980701</v>
      </c>
    </row>
    <row r="991" spans="1:11" x14ac:dyDescent="0.35">
      <c r="A991" s="9" t="str">
        <f>HYPERLINK("http://www.ensembl.org/id/WBGene00194684", "WBGene00194684")</f>
        <v>WBGene00194684</v>
      </c>
      <c r="B991" s="9" t="str">
        <f>HYPERLINK("http://www.ncbi.nlm.nih.gov/gene/13191287", "13191287")</f>
        <v>13191287</v>
      </c>
      <c r="C991" s="9"/>
      <c r="D991" t="str">
        <f>"Y48A6B.14"</f>
        <v>Y48A6B.14</v>
      </c>
      <c r="F991" t="s">
        <v>11</v>
      </c>
      <c r="H991" s="12">
        <v>-3.40517997462055</v>
      </c>
      <c r="I991" s="11">
        <v>-0.44562966553438899</v>
      </c>
      <c r="J991" s="10">
        <v>0.65586477808227595</v>
      </c>
      <c r="K991" s="29">
        <v>0.98289565623980701</v>
      </c>
    </row>
    <row r="992" spans="1:11" x14ac:dyDescent="0.35">
      <c r="A992" s="9" t="str">
        <f>HYPERLINK("http://www.ensembl.org/id/WBGene00020282", "WBGene00020282")</f>
        <v>WBGene00020282</v>
      </c>
      <c r="B992" s="9" t="str">
        <f>HYPERLINK("http://www.ncbi.nlm.nih.gov/gene/188157", "188157")</f>
        <v>188157</v>
      </c>
      <c r="C992" s="9"/>
      <c r="D992" t="str">
        <f>"mps-3"</f>
        <v>mps-3</v>
      </c>
      <c r="E992" t="s">
        <v>10093</v>
      </c>
      <c r="F992" t="s">
        <v>11</v>
      </c>
      <c r="G992" t="s">
        <v>10094</v>
      </c>
      <c r="H992" s="12">
        <v>-3.4043023293691199</v>
      </c>
      <c r="I992" s="11">
        <v>-0.83847205541697201</v>
      </c>
      <c r="J992" s="10">
        <v>0.40176563581243802</v>
      </c>
      <c r="K992" s="29">
        <v>0.98289565623980701</v>
      </c>
    </row>
    <row r="993" spans="1:11" x14ac:dyDescent="0.35">
      <c r="A993" s="9" t="str">
        <f>HYPERLINK("http://www.ensembl.org/id/WBGene00017177", "WBGene00017177")</f>
        <v>WBGene00017177</v>
      </c>
      <c r="B993" s="9" t="str">
        <f>HYPERLINK("http://www.ncbi.nlm.nih.gov/gene/184092", "184092")</f>
        <v>184092</v>
      </c>
      <c r="C993" s="9"/>
      <c r="D993" t="str">
        <f>"F02E8.4"</f>
        <v>F02E8.4</v>
      </c>
      <c r="F993" t="s">
        <v>11</v>
      </c>
      <c r="H993" s="12">
        <v>-3.4041859774141301</v>
      </c>
      <c r="I993" s="11">
        <v>-4.9188021792149899</v>
      </c>
      <c r="J993" s="10">
        <v>8.7075413718010298E-7</v>
      </c>
      <c r="K993" s="29">
        <v>1.3964201907385799E-4</v>
      </c>
    </row>
    <row r="994" spans="1:11" x14ac:dyDescent="0.35">
      <c r="A994" s="9" t="str">
        <f>HYPERLINK("http://www.ensembl.org/id/WBGene00003091", "WBGene00003091")</f>
        <v>WBGene00003091</v>
      </c>
      <c r="B994" s="9" t="str">
        <f>HYPERLINK("http://www.ncbi.nlm.nih.gov/gene/179429", "179429")</f>
        <v>179429</v>
      </c>
      <c r="C994" s="9"/>
      <c r="D994" t="str">
        <f>"lys-2"</f>
        <v>lys-2</v>
      </c>
      <c r="E994" t="s">
        <v>203</v>
      </c>
      <c r="F994" t="s">
        <v>11</v>
      </c>
      <c r="G994" t="s">
        <v>202</v>
      </c>
      <c r="H994" s="12">
        <v>-3.40138007131947</v>
      </c>
      <c r="I994" s="11">
        <v>-4.5614274931880896</v>
      </c>
      <c r="J994" s="10">
        <v>5.0807020943750396E-6</v>
      </c>
      <c r="K994" s="29">
        <v>6.0826270773383197E-4</v>
      </c>
    </row>
    <row r="995" spans="1:11" x14ac:dyDescent="0.35">
      <c r="A995" s="9" t="str">
        <f>HYPERLINK("http://www.ensembl.org/id/WBGene00000621", "WBGene00000621")</f>
        <v>WBGene00000621</v>
      </c>
      <c r="B995" s="9" t="str">
        <f>HYPERLINK("http://www.ncbi.nlm.nih.gov/gene/186211", "186211")</f>
        <v>186211</v>
      </c>
      <c r="C995" s="9"/>
      <c r="D995" t="str">
        <f>"col-44"</f>
        <v>col-44</v>
      </c>
      <c r="E995" t="s">
        <v>40</v>
      </c>
      <c r="F995" t="s">
        <v>11</v>
      </c>
      <c r="G995" t="s">
        <v>41</v>
      </c>
      <c r="H995" s="12">
        <v>-3.4009518427823999</v>
      </c>
      <c r="I995" s="11">
        <v>-0.67299105704866902</v>
      </c>
      <c r="J995" s="10">
        <v>0.50095298036758795</v>
      </c>
      <c r="K995" s="29">
        <v>0.98289565623980701</v>
      </c>
    </row>
    <row r="996" spans="1:11" x14ac:dyDescent="0.35">
      <c r="A996" s="9" t="str">
        <f>HYPERLINK("http://www.ensembl.org/id/WBGene00013248", "WBGene00013248")</f>
        <v>WBGene00013248</v>
      </c>
      <c r="B996" s="9" t="str">
        <f>HYPERLINK("http://www.ncbi.nlm.nih.gov/gene/174855", "174855")</f>
        <v>174855</v>
      </c>
      <c r="C996" s="9"/>
      <c r="D996" t="str">
        <f>"Y57A10A.3"</f>
        <v>Y57A10A.3</v>
      </c>
      <c r="F996" t="s">
        <v>11</v>
      </c>
      <c r="H996" s="12">
        <v>-3.3908801671768001</v>
      </c>
      <c r="I996" s="11">
        <v>-1.9426376675082</v>
      </c>
      <c r="J996" s="10">
        <v>5.2059952386609501E-2</v>
      </c>
      <c r="K996" s="29">
        <v>0.53557313439225296</v>
      </c>
    </row>
    <row r="997" spans="1:11" x14ac:dyDescent="0.35">
      <c r="A997" s="9" t="str">
        <f>HYPERLINK("http://www.ensembl.org/id/WBGene00012747", "WBGene00012747")</f>
        <v>WBGene00012747</v>
      </c>
      <c r="B997" s="9" t="str">
        <f>HYPERLINK("http://www.ncbi.nlm.nih.gov/gene/189809", "189809")</f>
        <v>189809</v>
      </c>
      <c r="C997" s="9"/>
      <c r="D997" t="str">
        <f>"Y40H7A.10"</f>
        <v>Y40H7A.10</v>
      </c>
      <c r="F997" t="s">
        <v>11</v>
      </c>
      <c r="G997" t="s">
        <v>180</v>
      </c>
      <c r="H997" s="12">
        <v>-3.3903931160793599</v>
      </c>
      <c r="I997" s="11">
        <v>-4.7686791799817696</v>
      </c>
      <c r="J997" s="10">
        <v>1.85437696867303E-6</v>
      </c>
      <c r="K997" s="29">
        <v>2.5504306094142198E-4</v>
      </c>
    </row>
    <row r="998" spans="1:11" x14ac:dyDescent="0.35">
      <c r="A998" s="9" t="str">
        <f>HYPERLINK("http://www.ensembl.org/id/WBGene00015698", "WBGene00015698")</f>
        <v>WBGene00015698</v>
      </c>
      <c r="B998" s="9" t="str">
        <f>HYPERLINK("http://www.ncbi.nlm.nih.gov/gene/172090", "172090")</f>
        <v>172090</v>
      </c>
      <c r="C998" s="9"/>
      <c r="D998" t="str">
        <f>"kca-1"</f>
        <v>kca-1</v>
      </c>
      <c r="E998" t="s">
        <v>258</v>
      </c>
      <c r="F998" t="s">
        <v>11</v>
      </c>
      <c r="G998" t="s">
        <v>259</v>
      </c>
      <c r="H998" s="12">
        <v>-3.38705193793349</v>
      </c>
      <c r="I998" s="11">
        <v>-4.2730139218306498</v>
      </c>
      <c r="J998" s="10">
        <v>1.9284841116009101E-5</v>
      </c>
      <c r="K998" s="29">
        <v>1.7752810311813E-3</v>
      </c>
    </row>
    <row r="999" spans="1:11" x14ac:dyDescent="0.35">
      <c r="A999" s="9" t="str">
        <f>HYPERLINK("http://www.ensembl.org/id/WBGene00002073", "WBGene00002073")</f>
        <v>WBGene00002073</v>
      </c>
      <c r="B999" s="9" t="str">
        <f>HYPERLINK("http://www.ncbi.nlm.nih.gov/gene/172329", "172329")</f>
        <v>172329</v>
      </c>
      <c r="C999" s="9"/>
      <c r="D999" t="str">
        <f>"ima-2"</f>
        <v>ima-2</v>
      </c>
      <c r="E999" t="s">
        <v>70</v>
      </c>
      <c r="F999" t="s">
        <v>11</v>
      </c>
      <c r="G999" t="s">
        <v>71</v>
      </c>
      <c r="H999" s="12">
        <v>-3.37991240324985</v>
      </c>
      <c r="I999" s="11">
        <v>-6.03965862506295</v>
      </c>
      <c r="J999" s="10">
        <v>1.54440620579438E-9</v>
      </c>
      <c r="K999" s="29">
        <v>7.9300110646855201E-7</v>
      </c>
    </row>
    <row r="1000" spans="1:11" x14ac:dyDescent="0.35">
      <c r="A1000" s="9" t="str">
        <f>HYPERLINK("http://www.ensembl.org/id/WBGene00008299", "WBGene00008299")</f>
        <v>WBGene00008299</v>
      </c>
      <c r="B1000" s="9" t="str">
        <f>HYPERLINK("http://www.ncbi.nlm.nih.gov/gene/183781", "183781")</f>
        <v>183781</v>
      </c>
      <c r="C1000" s="9"/>
      <c r="D1000" t="str">
        <f>"C54D10.4"</f>
        <v>C54D10.4</v>
      </c>
      <c r="F1000" t="s">
        <v>11</v>
      </c>
      <c r="G1000" t="s">
        <v>25</v>
      </c>
      <c r="H1000" s="12">
        <v>-3.3673523105458498</v>
      </c>
      <c r="I1000" s="11">
        <v>-0.62690113120374202</v>
      </c>
      <c r="J1000" s="10">
        <v>0.53072404573560605</v>
      </c>
      <c r="K1000" s="29">
        <v>0.98289565623980701</v>
      </c>
    </row>
    <row r="1001" spans="1:11" x14ac:dyDescent="0.35">
      <c r="A1001" s="9" t="str">
        <f>HYPERLINK("http://www.ensembl.org/id/WBGene00013795", "WBGene00013795")</f>
        <v>WBGene00013795</v>
      </c>
      <c r="B1001" s="9" t="str">
        <f>HYPERLINK("http://www.ncbi.nlm.nih.gov/gene/191001", "191001")</f>
        <v>191001</v>
      </c>
      <c r="C1001" s="9"/>
      <c r="D1001" t="str">
        <f>"nhr-229"</f>
        <v>nhr-229</v>
      </c>
      <c r="E1001" t="s">
        <v>637</v>
      </c>
      <c r="F1001" t="s">
        <v>11</v>
      </c>
      <c r="G1001" t="s">
        <v>638</v>
      </c>
      <c r="H1001" s="12">
        <v>-3.3673523105458498</v>
      </c>
      <c r="I1001" s="11">
        <v>-0.62690113120374202</v>
      </c>
      <c r="J1001" s="10">
        <v>0.53072404573560605</v>
      </c>
      <c r="K1001" s="29">
        <v>0.98289565623980701</v>
      </c>
    </row>
    <row r="1002" spans="1:11" x14ac:dyDescent="0.35">
      <c r="A1002" s="9" t="str">
        <f>HYPERLINK("http://www.ensembl.org/id/WBGene00020760", "WBGene00020760")</f>
        <v>WBGene00020760</v>
      </c>
      <c r="B1002" s="9" t="str">
        <f>HYPERLINK("http://www.ncbi.nlm.nih.gov/gene/188845", "188845")</f>
        <v>188845</v>
      </c>
      <c r="C1002" s="9"/>
      <c r="D1002" t="str">
        <f>"T24C4.4"</f>
        <v>T24C4.4</v>
      </c>
      <c r="F1002" t="s">
        <v>11</v>
      </c>
      <c r="G1002" t="s">
        <v>394</v>
      </c>
      <c r="H1002" s="12">
        <v>-3.3636255569078299</v>
      </c>
      <c r="I1002" s="11">
        <v>-3.7124432689293001</v>
      </c>
      <c r="J1002" s="10">
        <v>2.05268080224305E-4</v>
      </c>
      <c r="K1002" s="29">
        <v>1.16533765642821E-2</v>
      </c>
    </row>
    <row r="1003" spans="1:11" x14ac:dyDescent="0.35">
      <c r="A1003" s="9" t="str">
        <f>HYPERLINK("http://www.ensembl.org/id/WBGene00013381", "WBGene00013381")</f>
        <v>WBGene00013381</v>
      </c>
      <c r="B1003" s="9" t="str">
        <f>HYPERLINK("http://www.ncbi.nlm.nih.gov/gene/13198891", "13198891")</f>
        <v>13198891</v>
      </c>
      <c r="C1003" s="9"/>
      <c r="D1003" t="str">
        <f>"cyp-31A5"</f>
        <v>cyp-31A5</v>
      </c>
      <c r="E1003" t="s">
        <v>176</v>
      </c>
      <c r="F1003" t="s">
        <v>11</v>
      </c>
      <c r="G1003" t="s">
        <v>292</v>
      </c>
      <c r="H1003" s="12">
        <v>-3.3627778522682599</v>
      </c>
      <c r="I1003" s="11">
        <v>-4.1141518765066198</v>
      </c>
      <c r="J1003" s="10">
        <v>3.8860552820832498E-5</v>
      </c>
      <c r="K1003" s="29">
        <v>3.1286130086346899E-3</v>
      </c>
    </row>
    <row r="1004" spans="1:11" x14ac:dyDescent="0.35">
      <c r="A1004" s="9" t="str">
        <f>HYPERLINK("http://www.ensembl.org/id/WBGene00005582", "WBGene00005582")</f>
        <v>WBGene00005582</v>
      </c>
      <c r="B1004" s="9" t="str">
        <f>HYPERLINK("http://www.ncbi.nlm.nih.gov/gene/190450", "190450")</f>
        <v>190450</v>
      </c>
      <c r="C1004" s="9"/>
      <c r="D1004" t="str">
        <f>"sri-70"</f>
        <v>sri-70</v>
      </c>
      <c r="E1004" t="s">
        <v>1503</v>
      </c>
      <c r="F1004" t="s">
        <v>11</v>
      </c>
      <c r="G1004" t="s">
        <v>25</v>
      </c>
      <c r="H1004" s="12">
        <v>-3.3597063241945002</v>
      </c>
      <c r="I1004" s="11">
        <v>-0.486391335395429</v>
      </c>
      <c r="J1004" s="10">
        <v>0.62668973265125505</v>
      </c>
      <c r="K1004" s="29">
        <v>0.98289565623980701</v>
      </c>
    </row>
    <row r="1005" spans="1:11" x14ac:dyDescent="0.35">
      <c r="A1005" s="9" t="str">
        <f>HYPERLINK("http://www.ensembl.org/id/WBGene00044059", "WBGene00044059")</f>
        <v>WBGene00044059</v>
      </c>
      <c r="B1005" s="9" t="str">
        <f>HYPERLINK("http://www.ncbi.nlm.nih.gov/gene/3564801", "3564801")</f>
        <v>3564801</v>
      </c>
      <c r="C1005" s="9"/>
      <c r="D1005" t="str">
        <f>"T27C5.12"</f>
        <v>T27C5.12</v>
      </c>
      <c r="F1005" t="s">
        <v>11</v>
      </c>
      <c r="G1005" t="s">
        <v>3419</v>
      </c>
      <c r="H1005" s="12">
        <v>-3.3597063241945002</v>
      </c>
      <c r="I1005" s="11">
        <v>-0.486391335395429</v>
      </c>
      <c r="J1005" s="10">
        <v>0.62668973265125505</v>
      </c>
      <c r="K1005" s="29">
        <v>0.98289565623980701</v>
      </c>
    </row>
    <row r="1006" spans="1:11" x14ac:dyDescent="0.35">
      <c r="A1006" s="9" t="str">
        <f>HYPERLINK("http://www.ensembl.org/id/WBGene00022320", "WBGene00022320")</f>
        <v>WBGene00022320</v>
      </c>
      <c r="B1006" s="9" t="str">
        <f>HYPERLINK("http://www.ncbi.nlm.nih.gov/gene/190752", "190752")</f>
        <v>190752</v>
      </c>
      <c r="C1006" s="9"/>
      <c r="D1006" t="str">
        <f>"Y82E9BL.3"</f>
        <v>Y82E9BL.3</v>
      </c>
      <c r="F1006" t="s">
        <v>11</v>
      </c>
      <c r="G1006" t="s">
        <v>25</v>
      </c>
      <c r="H1006" s="12">
        <v>-3.3524793510159401</v>
      </c>
      <c r="I1006" s="11">
        <v>-1.20811566994827</v>
      </c>
      <c r="J1006" s="10">
        <v>0.22700277309441899</v>
      </c>
      <c r="K1006" s="29">
        <v>0.98289565623980701</v>
      </c>
    </row>
    <row r="1007" spans="1:11" x14ac:dyDescent="0.35">
      <c r="A1007" s="9" t="str">
        <f>HYPERLINK("http://www.ensembl.org/id/WBGene00022292", "WBGene00022292")</f>
        <v>WBGene00022292</v>
      </c>
      <c r="B1007" s="9" t="str">
        <f>HYPERLINK("http://www.ncbi.nlm.nih.gov/gene/180499", "180499")</f>
        <v>180499</v>
      </c>
      <c r="C1007" s="9"/>
      <c r="D1007" t="str">
        <f>"Y75D11A.3"</f>
        <v>Y75D11A.3</v>
      </c>
      <c r="F1007" t="s">
        <v>11</v>
      </c>
      <c r="H1007" s="12">
        <v>-3.3499257733069299</v>
      </c>
      <c r="I1007" s="11">
        <v>-3.5649615263467598</v>
      </c>
      <c r="J1007" s="10">
        <v>3.6390956625848898E-4</v>
      </c>
      <c r="K1007" s="29">
        <v>1.8160895114403101E-2</v>
      </c>
    </row>
    <row r="1008" spans="1:11" x14ac:dyDescent="0.35">
      <c r="A1008" s="9" t="str">
        <f>HYPERLINK("http://www.ensembl.org/id/WBGene00019214", "WBGene00019214")</f>
        <v>WBGene00019214</v>
      </c>
      <c r="B1008" s="9" t="str">
        <f>HYPERLINK("http://www.ncbi.nlm.nih.gov/gene/186754", "186754")</f>
        <v>186754</v>
      </c>
      <c r="C1008" s="9"/>
      <c r="D1008" t="str">
        <f>"H20E11.2"</f>
        <v>H20E11.2</v>
      </c>
      <c r="F1008" t="s">
        <v>11</v>
      </c>
      <c r="G1008" t="s">
        <v>264</v>
      </c>
      <c r="H1008" s="12">
        <v>-3.34718253095844</v>
      </c>
      <c r="I1008" s="11">
        <v>-0.57856716529867303</v>
      </c>
      <c r="J1008" s="10">
        <v>0.56288126532238103</v>
      </c>
      <c r="K1008" s="29">
        <v>0.98289565623980701</v>
      </c>
    </row>
    <row r="1009" spans="1:11" x14ac:dyDescent="0.35">
      <c r="A1009" s="9" t="str">
        <f>HYPERLINK("http://www.ensembl.org/id/WBGene00022490", "WBGene00022490")</f>
        <v>WBGene00022490</v>
      </c>
      <c r="B1009" s="9" t="str">
        <f>HYPERLINK("http://www.ncbi.nlm.nih.gov/gene/175283", "175283")</f>
        <v>175283</v>
      </c>
      <c r="C1009" s="9"/>
      <c r="D1009" t="str">
        <f>"Y119D3B.13"</f>
        <v>Y119D3B.13</v>
      </c>
      <c r="F1009" t="s">
        <v>11</v>
      </c>
      <c r="H1009" s="12">
        <v>-3.3436305734632601</v>
      </c>
      <c r="I1009" s="11">
        <v>-3.8032372128679302</v>
      </c>
      <c r="J1009" s="10">
        <v>1.4281748089766701E-4</v>
      </c>
      <c r="K1009" s="29">
        <v>8.6840545095302497E-3</v>
      </c>
    </row>
    <row r="1010" spans="1:11" x14ac:dyDescent="0.35">
      <c r="A1010" s="9" t="str">
        <f>HYPERLINK("http://www.ensembl.org/id/WBGene00015026", "WBGene00015026")</f>
        <v>WBGene00015026</v>
      </c>
      <c r="B1010" s="9" t="str">
        <f>HYPERLINK("http://www.ncbi.nlm.nih.gov/gene/181834", "181834")</f>
        <v>181834</v>
      </c>
      <c r="C1010" s="9"/>
      <c r="D1010" t="str">
        <f>"B0207.1"</f>
        <v>B0207.1</v>
      </c>
      <c r="E1010" t="s">
        <v>1019</v>
      </c>
      <c r="F1010" t="s">
        <v>11</v>
      </c>
      <c r="G1010" t="s">
        <v>1020</v>
      </c>
      <c r="H1010" s="12">
        <v>-3.3425583046502099</v>
      </c>
      <c r="I1010" s="11">
        <v>-0.72391348148659695</v>
      </c>
      <c r="J1010" s="10">
        <v>0.469118852781929</v>
      </c>
      <c r="K1010" s="29">
        <v>0.98289565623980701</v>
      </c>
    </row>
    <row r="1011" spans="1:11" x14ac:dyDescent="0.35">
      <c r="A1011" s="9" t="str">
        <f>HYPERLINK("http://www.ensembl.org/id/WBGene00011320", "WBGene00011320")</f>
        <v>WBGene00011320</v>
      </c>
      <c r="B1011" s="9" t="str">
        <f>HYPERLINK("http://www.ncbi.nlm.nih.gov/gene/179997", "179997")</f>
        <v>179997</v>
      </c>
      <c r="C1011" s="9"/>
      <c r="D1011" t="str">
        <f>"T01C3.3"</f>
        <v>T01C3.3</v>
      </c>
      <c r="F1011" t="s">
        <v>11</v>
      </c>
      <c r="G1011" t="s">
        <v>51</v>
      </c>
      <c r="H1011" s="12">
        <v>-3.3397957915379299</v>
      </c>
      <c r="I1011" s="11">
        <v>-5.50853115582097</v>
      </c>
      <c r="J1011" s="10">
        <v>3.6184020635411302E-8</v>
      </c>
      <c r="K1011" s="29">
        <v>1.0195950985388E-5</v>
      </c>
    </row>
    <row r="1012" spans="1:11" x14ac:dyDescent="0.35">
      <c r="A1012" s="9" t="str">
        <f>HYPERLINK("http://www.ensembl.org/id/WBGene00168772", "WBGene00168772")</f>
        <v>WBGene00168772</v>
      </c>
      <c r="B1012" s="9"/>
      <c r="C1012" s="9"/>
      <c r="D1012" t="str">
        <f>"21ur-15486"</f>
        <v>21ur-15486</v>
      </c>
      <c r="F1012" t="s">
        <v>3161</v>
      </c>
      <c r="H1012" s="12">
        <v>-3.33576734137697</v>
      </c>
      <c r="I1012" s="11">
        <v>-0.37789252555813302</v>
      </c>
      <c r="J1012" s="10">
        <v>0.70551043520482504</v>
      </c>
      <c r="K1012" s="29">
        <v>0.98289565623980701</v>
      </c>
    </row>
    <row r="1013" spans="1:11" x14ac:dyDescent="0.35">
      <c r="A1013" s="9" t="str">
        <f>HYPERLINK("http://www.ensembl.org/id/WBGene00196039", "WBGene00196039")</f>
        <v>WBGene00196039</v>
      </c>
      <c r="B1013" s="9"/>
      <c r="C1013" s="9"/>
      <c r="D1013" t="str">
        <f>"C04E7.7"</f>
        <v>C04E7.7</v>
      </c>
      <c r="F1013" t="s">
        <v>481</v>
      </c>
      <c r="H1013" s="12">
        <v>-3.33576734137697</v>
      </c>
      <c r="I1013" s="11">
        <v>-0.37789252555813302</v>
      </c>
      <c r="J1013" s="10">
        <v>0.70551043520482504</v>
      </c>
      <c r="K1013" s="29">
        <v>0.98289565623980701</v>
      </c>
    </row>
    <row r="1014" spans="1:11" x14ac:dyDescent="0.35">
      <c r="A1014" s="9" t="str">
        <f>HYPERLINK("http://www.ensembl.org/id/WBGene00016339", "WBGene00016339")</f>
        <v>WBGene00016339</v>
      </c>
      <c r="B1014" s="9" t="str">
        <f>HYPERLINK("http://www.ncbi.nlm.nih.gov/gene/183154", "183154")</f>
        <v>183154</v>
      </c>
      <c r="C1014" s="9"/>
      <c r="D1014" t="str">
        <f>"C33C12.7"</f>
        <v>C33C12.7</v>
      </c>
      <c r="F1014" t="s">
        <v>11</v>
      </c>
      <c r="H1014" s="12">
        <v>-3.33576734137697</v>
      </c>
      <c r="I1014" s="11">
        <v>-0.37789252555813302</v>
      </c>
      <c r="J1014" s="10">
        <v>0.70551043520482504</v>
      </c>
      <c r="K1014" s="29">
        <v>0.98289565623980701</v>
      </c>
    </row>
    <row r="1015" spans="1:11" x14ac:dyDescent="0.35">
      <c r="A1015" s="9" t="str">
        <f>HYPERLINK("http://www.ensembl.org/id/WBGene00008092", "WBGene00008092")</f>
        <v>WBGene00008092</v>
      </c>
      <c r="B1015" s="9" t="str">
        <f>HYPERLINK("http://www.ncbi.nlm.nih.gov/gene/175487", "175487")</f>
        <v>175487</v>
      </c>
      <c r="C1015" s="9"/>
      <c r="D1015" t="str">
        <f>"gmeb-3"</f>
        <v>gmeb-3</v>
      </c>
      <c r="E1015" t="s">
        <v>10091</v>
      </c>
      <c r="F1015" t="s">
        <v>11</v>
      </c>
      <c r="G1015" t="s">
        <v>10092</v>
      </c>
      <c r="H1015" s="12">
        <v>-3.33576734137697</v>
      </c>
      <c r="I1015" s="11">
        <v>-0.37789252555813302</v>
      </c>
      <c r="J1015" s="10">
        <v>0.70551043520482504</v>
      </c>
      <c r="K1015" s="29">
        <v>0.98289565623980701</v>
      </c>
    </row>
    <row r="1016" spans="1:11" x14ac:dyDescent="0.35">
      <c r="A1016" s="9" t="str">
        <f>HYPERLINK("http://www.ensembl.org/id/WBGene00198038", "WBGene00198038")</f>
        <v>WBGene00198038</v>
      </c>
      <c r="B1016" s="9"/>
      <c r="C1016" s="9"/>
      <c r="D1016" t="str">
        <f>"H03E18.4"</f>
        <v>H03E18.4</v>
      </c>
      <c r="F1016" t="s">
        <v>481</v>
      </c>
      <c r="H1016" s="12">
        <v>-3.33576734137697</v>
      </c>
      <c r="I1016" s="11">
        <v>-0.37789252555813302</v>
      </c>
      <c r="J1016" s="10">
        <v>0.70551043520482504</v>
      </c>
      <c r="K1016" s="29">
        <v>0.98289565623980701</v>
      </c>
    </row>
    <row r="1017" spans="1:11" x14ac:dyDescent="0.35">
      <c r="A1017" s="9" t="str">
        <f>HYPERLINK("http://www.ensembl.org/id/WBGene00005398", "WBGene00005398")</f>
        <v>WBGene00005398</v>
      </c>
      <c r="B1017" s="9" t="str">
        <f>HYPERLINK("http://www.ncbi.nlm.nih.gov/gene/190431", "190431")</f>
        <v>190431</v>
      </c>
      <c r="C1017" s="9"/>
      <c r="D1017" t="str">
        <f>"srh-183"</f>
        <v>srh-183</v>
      </c>
      <c r="E1017" t="s">
        <v>153</v>
      </c>
      <c r="F1017" t="s">
        <v>11</v>
      </c>
      <c r="G1017" t="s">
        <v>25</v>
      </c>
      <c r="H1017" s="12">
        <v>-3.33576734137697</v>
      </c>
      <c r="I1017" s="11">
        <v>-0.37789252555813302</v>
      </c>
      <c r="J1017" s="10">
        <v>0.70551043520482504</v>
      </c>
      <c r="K1017" s="29">
        <v>0.98289565623980701</v>
      </c>
    </row>
    <row r="1018" spans="1:11" x14ac:dyDescent="0.35">
      <c r="A1018" s="9" t="str">
        <f>HYPERLINK("http://www.ensembl.org/id/WBGene00198902", "WBGene00198902")</f>
        <v>WBGene00198902</v>
      </c>
      <c r="B1018" s="9"/>
      <c r="C1018" s="9"/>
      <c r="D1018" t="str">
        <f>"T07F12.9"</f>
        <v>T07F12.9</v>
      </c>
      <c r="F1018" t="s">
        <v>481</v>
      </c>
      <c r="H1018" s="12">
        <v>-3.33576734137697</v>
      </c>
      <c r="I1018" s="11">
        <v>-0.37789252555813302</v>
      </c>
      <c r="J1018" s="10">
        <v>0.70551043520482504</v>
      </c>
      <c r="K1018" s="29">
        <v>0.98289565623980701</v>
      </c>
    </row>
    <row r="1019" spans="1:11" x14ac:dyDescent="0.35">
      <c r="A1019" s="9" t="str">
        <f>HYPERLINK("http://www.ensembl.org/id/WBGene00220091", "WBGene00220091")</f>
        <v>WBGene00220091</v>
      </c>
      <c r="B1019" s="9"/>
      <c r="C1019" s="9"/>
      <c r="D1019" t="str">
        <f>"T24B8.23"</f>
        <v>T24B8.23</v>
      </c>
      <c r="F1019" t="s">
        <v>481</v>
      </c>
      <c r="H1019" s="12">
        <v>-3.33576734137697</v>
      </c>
      <c r="I1019" s="11">
        <v>-0.37789252555813302</v>
      </c>
      <c r="J1019" s="10">
        <v>0.70551043520482504</v>
      </c>
      <c r="K1019" s="29">
        <v>0.98289565623980701</v>
      </c>
    </row>
    <row r="1020" spans="1:11" x14ac:dyDescent="0.35">
      <c r="A1020" s="9" t="str">
        <f>HYPERLINK("http://www.ensembl.org/id/WBGene00007081", "WBGene00007081")</f>
        <v>WBGene00007081</v>
      </c>
      <c r="B1020" s="9" t="str">
        <f>HYPERLINK("http://www.ncbi.nlm.nih.gov/gene/181808", "181808")</f>
        <v>181808</v>
      </c>
      <c r="C1020" s="9"/>
      <c r="D1020" t="str">
        <f>"AH6.3"</f>
        <v>AH6.3</v>
      </c>
      <c r="F1020" t="s">
        <v>11</v>
      </c>
      <c r="G1020" t="s">
        <v>25</v>
      </c>
      <c r="H1020" s="12">
        <v>-3.3299447899810599</v>
      </c>
      <c r="I1020" s="11">
        <v>-0.64642062388687505</v>
      </c>
      <c r="J1020" s="10">
        <v>0.51800698748720897</v>
      </c>
      <c r="K1020" s="29">
        <v>0.98289565623980701</v>
      </c>
    </row>
    <row r="1021" spans="1:11" x14ac:dyDescent="0.35">
      <c r="A1021" s="9" t="str">
        <f>HYPERLINK("http://www.ensembl.org/id/WBGene00009991", "WBGene00009991")</f>
        <v>WBGene00009991</v>
      </c>
      <c r="B1021" s="9"/>
      <c r="C1021" s="9"/>
      <c r="D1021" t="str">
        <f>"F53F4.8"</f>
        <v>F53F4.8</v>
      </c>
      <c r="F1021" t="s">
        <v>80</v>
      </c>
      <c r="H1021" s="12">
        <v>-3.3281775716266599</v>
      </c>
      <c r="I1021" s="11">
        <v>-1.4410198321309799</v>
      </c>
      <c r="J1021" s="10">
        <v>0.14957908004154499</v>
      </c>
      <c r="K1021" s="29">
        <v>0.85353663108956201</v>
      </c>
    </row>
    <row r="1022" spans="1:11" x14ac:dyDescent="0.35">
      <c r="A1022" s="9" t="str">
        <f>HYPERLINK("http://www.ensembl.org/id/WBGene00022565", "WBGene00022565")</f>
        <v>WBGene00022565</v>
      </c>
      <c r="B1022" s="9" t="str">
        <f>HYPERLINK("http://www.ncbi.nlm.nih.gov/gene/191119", "191119")</f>
        <v>191119</v>
      </c>
      <c r="C1022" s="9"/>
      <c r="D1022" t="str">
        <f>"ZC239.2"</f>
        <v>ZC239.2</v>
      </c>
      <c r="F1022" t="s">
        <v>11</v>
      </c>
      <c r="G1022" t="s">
        <v>2932</v>
      </c>
      <c r="H1022" s="12">
        <v>-3.3275376228623301</v>
      </c>
      <c r="I1022" s="11">
        <v>-0.71786551767232398</v>
      </c>
      <c r="J1022" s="10">
        <v>0.47284021108093099</v>
      </c>
      <c r="K1022" s="29">
        <v>0.98289565623980701</v>
      </c>
    </row>
    <row r="1023" spans="1:11" x14ac:dyDescent="0.35">
      <c r="A1023" s="9" t="str">
        <f>HYPERLINK("http://www.ensembl.org/id/WBGene00077765", "WBGene00077765")</f>
        <v>WBGene00077765</v>
      </c>
      <c r="B1023" s="9"/>
      <c r="C1023" s="9"/>
      <c r="D1023" t="str">
        <f>"T20F10.8"</f>
        <v>T20F10.8</v>
      </c>
      <c r="F1023" t="s">
        <v>80</v>
      </c>
      <c r="H1023" s="12">
        <v>-3.32367859050124</v>
      </c>
      <c r="I1023" s="11">
        <v>-0.91356703777062498</v>
      </c>
      <c r="J1023" s="10">
        <v>0.36094439319424598</v>
      </c>
      <c r="K1023" s="29">
        <v>0.98289565623980701</v>
      </c>
    </row>
    <row r="1024" spans="1:11" x14ac:dyDescent="0.35">
      <c r="A1024" s="9" t="str">
        <f>HYPERLINK("http://www.ensembl.org/id/WBGene00194792", "WBGene00194792")</f>
        <v>WBGene00194792</v>
      </c>
      <c r="B1024" s="9"/>
      <c r="C1024" s="9"/>
      <c r="D1024" t="str">
        <f>"F32F2.2"</f>
        <v>F32F2.2</v>
      </c>
      <c r="F1024" t="s">
        <v>2735</v>
      </c>
      <c r="H1024" s="12">
        <v>-3.3146922299459902</v>
      </c>
      <c r="I1024" s="11">
        <v>-0.86850783960686395</v>
      </c>
      <c r="J1024" s="10">
        <v>0.38511638246802099</v>
      </c>
      <c r="K1024" s="29">
        <v>0.98289565623980701</v>
      </c>
    </row>
    <row r="1025" spans="1:11" x14ac:dyDescent="0.35">
      <c r="A1025" s="9" t="str">
        <f>HYPERLINK("http://www.ensembl.org/id/WBGene00220072", "WBGene00220072")</f>
        <v>WBGene00220072</v>
      </c>
      <c r="B1025" s="9"/>
      <c r="C1025" s="9"/>
      <c r="D1025" t="str">
        <f>"T19C3.11"</f>
        <v>T19C3.11</v>
      </c>
      <c r="F1025" t="s">
        <v>481</v>
      </c>
      <c r="H1025" s="12">
        <v>-3.3086197621790099</v>
      </c>
      <c r="I1025" s="11">
        <v>-1.1059743397779001</v>
      </c>
      <c r="J1025" s="10">
        <v>0.268737626055778</v>
      </c>
      <c r="K1025" s="29">
        <v>0.98289565623980701</v>
      </c>
    </row>
    <row r="1026" spans="1:11" x14ac:dyDescent="0.35">
      <c r="A1026" s="9" t="str">
        <f>HYPERLINK("http://www.ensembl.org/id/WBGene00199674", "WBGene00199674")</f>
        <v>WBGene00199674</v>
      </c>
      <c r="B1026" s="9"/>
      <c r="C1026" s="9"/>
      <c r="D1026" t="str">
        <f>"K10H10.14"</f>
        <v>K10H10.14</v>
      </c>
      <c r="F1026" t="s">
        <v>481</v>
      </c>
      <c r="H1026" s="12">
        <v>-3.3062271141133701</v>
      </c>
      <c r="I1026" s="11">
        <v>-0.366461905584539</v>
      </c>
      <c r="J1026" s="10">
        <v>0.71402043343558397</v>
      </c>
      <c r="K1026" s="29">
        <v>0.98289565623980701</v>
      </c>
    </row>
    <row r="1027" spans="1:11" x14ac:dyDescent="0.35">
      <c r="A1027" s="9" t="str">
        <f>HYPERLINK("http://www.ensembl.org/id/WBGene00201014", "WBGene00201014")</f>
        <v>WBGene00201014</v>
      </c>
      <c r="B1027" s="9"/>
      <c r="C1027" s="9"/>
      <c r="D1027" t="str">
        <f>"T19A5.12"</f>
        <v>T19A5.12</v>
      </c>
      <c r="F1027" t="s">
        <v>481</v>
      </c>
      <c r="H1027" s="12">
        <v>-3.3062271141133701</v>
      </c>
      <c r="I1027" s="11">
        <v>-0.366461905584539</v>
      </c>
      <c r="J1027" s="10">
        <v>0.71402043343558397</v>
      </c>
      <c r="K1027" s="29">
        <v>0.98289565623980701</v>
      </c>
    </row>
    <row r="1028" spans="1:11" x14ac:dyDescent="0.35">
      <c r="A1028" s="9" t="str">
        <f>HYPERLINK("http://www.ensembl.org/id/WBGene00020667", "WBGene00020667")</f>
        <v>WBGene00020667</v>
      </c>
      <c r="B1028" s="9" t="str">
        <f>HYPERLINK("http://www.ncbi.nlm.nih.gov/gene/188718", "188718")</f>
        <v>188718</v>
      </c>
      <c r="C1028" s="9"/>
      <c r="D1028" t="str">
        <f>"T22B2.3"</f>
        <v>T22B2.3</v>
      </c>
      <c r="F1028" t="s">
        <v>11</v>
      </c>
      <c r="H1028" s="12">
        <v>-3.3062271141133701</v>
      </c>
      <c r="I1028" s="11">
        <v>-0.366461905584539</v>
      </c>
      <c r="J1028" s="10">
        <v>0.71402043343558397</v>
      </c>
      <c r="K1028" s="29">
        <v>0.98289565623980701</v>
      </c>
    </row>
    <row r="1029" spans="1:11" x14ac:dyDescent="0.35">
      <c r="A1029" s="9" t="str">
        <f>HYPERLINK("http://www.ensembl.org/id/WBGene00044051", "WBGene00044051")</f>
        <v>WBGene00044051</v>
      </c>
      <c r="B1029" s="9"/>
      <c r="C1029" s="9"/>
      <c r="D1029" t="str">
        <f>"Y57A10A.37"</f>
        <v>Y57A10A.37</v>
      </c>
      <c r="F1029" t="s">
        <v>80</v>
      </c>
      <c r="H1029" s="12">
        <v>-3.3062271141133701</v>
      </c>
      <c r="I1029" s="11">
        <v>-0.366461905584539</v>
      </c>
      <c r="J1029" s="10">
        <v>0.71402043343558397</v>
      </c>
      <c r="K1029" s="29">
        <v>0.98289565623980701</v>
      </c>
    </row>
    <row r="1030" spans="1:11" x14ac:dyDescent="0.35">
      <c r="A1030" s="9" t="str">
        <f>HYPERLINK("http://www.ensembl.org/id/WBGene00011808", "WBGene00011808")</f>
        <v>WBGene00011808</v>
      </c>
      <c r="B1030" s="9" t="str">
        <f>HYPERLINK("http://www.ncbi.nlm.nih.gov/gene/188557", "188557")</f>
        <v>188557</v>
      </c>
      <c r="C1030" s="9"/>
      <c r="D1030" t="str">
        <f>"T16G12.7"</f>
        <v>T16G12.7</v>
      </c>
      <c r="E1030" t="s">
        <v>2496</v>
      </c>
      <c r="F1030" t="s">
        <v>11</v>
      </c>
      <c r="G1030" t="s">
        <v>2497</v>
      </c>
      <c r="H1030" s="12">
        <v>-3.2989143306047799</v>
      </c>
      <c r="I1030" s="11">
        <v>-0.85950404112135403</v>
      </c>
      <c r="J1030" s="10">
        <v>0.39006249143820099</v>
      </c>
      <c r="K1030" s="29">
        <v>0.98289565623980701</v>
      </c>
    </row>
    <row r="1031" spans="1:11" x14ac:dyDescent="0.35">
      <c r="A1031" s="9" t="str">
        <f>HYPERLINK("http://www.ensembl.org/id/WBGene00003642", "WBGene00003642")</f>
        <v>WBGene00003642</v>
      </c>
      <c r="B1031" s="9" t="str">
        <f>HYPERLINK("http://www.ncbi.nlm.nih.gov/gene/3565623", "3565623")</f>
        <v>3565623</v>
      </c>
      <c r="C1031" s="9"/>
      <c r="D1031" t="str">
        <f>"nhr-52"</f>
        <v>nhr-52</v>
      </c>
      <c r="E1031" t="s">
        <v>10090</v>
      </c>
      <c r="F1031" t="s">
        <v>11</v>
      </c>
      <c r="G1031" t="s">
        <v>852</v>
      </c>
      <c r="H1031" s="12">
        <v>-3.2978214438642501</v>
      </c>
      <c r="I1031" s="11">
        <v>-0.48962115667700401</v>
      </c>
      <c r="J1031" s="10">
        <v>0.62440200262039702</v>
      </c>
      <c r="K1031" s="29">
        <v>0.98289565623980701</v>
      </c>
    </row>
    <row r="1032" spans="1:11" x14ac:dyDescent="0.35">
      <c r="A1032" s="9" t="str">
        <f>HYPERLINK("http://www.ensembl.org/id/WBGene00196014", "WBGene00196014")</f>
        <v>WBGene00196014</v>
      </c>
      <c r="B1032" s="9"/>
      <c r="C1032" s="9"/>
      <c r="D1032" t="str">
        <f>"F47B7.10"</f>
        <v>F47B7.10</v>
      </c>
      <c r="F1032" t="s">
        <v>481</v>
      </c>
      <c r="H1032" s="12">
        <v>-3.2963247076146902</v>
      </c>
      <c r="I1032" s="11">
        <v>-0.80176599449889197</v>
      </c>
      <c r="J1032" s="10">
        <v>0.42268833275801998</v>
      </c>
      <c r="K1032" s="29">
        <v>0.98289565623980701</v>
      </c>
    </row>
    <row r="1033" spans="1:11" x14ac:dyDescent="0.35">
      <c r="A1033" s="9" t="str">
        <f>HYPERLINK("http://www.ensembl.org/id/WBGene00011674", "WBGene00011674")</f>
        <v>WBGene00011674</v>
      </c>
      <c r="B1033" s="9" t="str">
        <f>HYPERLINK("http://www.ncbi.nlm.nih.gov/gene/188358", "188358")</f>
        <v>188358</v>
      </c>
      <c r="C1033" s="9" t="str">
        <f>HYPERLINK("http://www.ncbi.nlm.nih.gov/gene/100861540", "100861540")</f>
        <v>100861540</v>
      </c>
      <c r="D1033" t="str">
        <f>"cyp-13A8"</f>
        <v>cyp-13A8</v>
      </c>
      <c r="E1033" t="s">
        <v>10089</v>
      </c>
      <c r="F1033" t="s">
        <v>11</v>
      </c>
      <c r="G1033" t="s">
        <v>185</v>
      </c>
      <c r="H1033" s="12">
        <v>-3.29493980667799</v>
      </c>
      <c r="I1033" s="11">
        <v>-1.1362334107493599</v>
      </c>
      <c r="J1033" s="10">
        <v>0.25585889104169601</v>
      </c>
      <c r="K1033" s="29">
        <v>0.98289565623980701</v>
      </c>
    </row>
    <row r="1034" spans="1:11" x14ac:dyDescent="0.35">
      <c r="A1034" s="9" t="str">
        <f>HYPERLINK("http://www.ensembl.org/id/WBGene00271643", "WBGene00271643")</f>
        <v>WBGene00271643</v>
      </c>
      <c r="B1034" s="9"/>
      <c r="C1034" s="9"/>
      <c r="D1034" t="str">
        <f>"W07G1.25"</f>
        <v>W07G1.25</v>
      </c>
      <c r="F1034" t="s">
        <v>481</v>
      </c>
      <c r="H1034" s="12">
        <v>-3.2889798395333001</v>
      </c>
      <c r="I1034" s="11">
        <v>-1.54038368255317</v>
      </c>
      <c r="J1034" s="10">
        <v>0.12346685648179501</v>
      </c>
      <c r="K1034" s="29">
        <v>0.79722221030317098</v>
      </c>
    </row>
    <row r="1035" spans="1:11" x14ac:dyDescent="0.35">
      <c r="A1035" s="9" t="str">
        <f>HYPERLINK("http://www.ensembl.org/id/WBGene00044242", "WBGene00044242")</f>
        <v>WBGene00044242</v>
      </c>
      <c r="B1035" s="9" t="str">
        <f>HYPERLINK("http://www.ncbi.nlm.nih.gov/gene/3565544", "3565544")</f>
        <v>3565544</v>
      </c>
      <c r="C1035" s="9"/>
      <c r="D1035" t="str">
        <f>"C54C8.12"</f>
        <v>C54C8.12</v>
      </c>
      <c r="F1035" t="s">
        <v>11</v>
      </c>
      <c r="H1035" s="12">
        <v>-3.2825004362863002</v>
      </c>
      <c r="I1035" s="11">
        <v>-4.9906889743326301</v>
      </c>
      <c r="J1035" s="10">
        <v>6.0164307226023696E-7</v>
      </c>
      <c r="K1035" s="29">
        <v>1.03743021101829E-4</v>
      </c>
    </row>
    <row r="1036" spans="1:11" x14ac:dyDescent="0.35">
      <c r="A1036" s="9" t="str">
        <f>HYPERLINK("http://www.ensembl.org/id/WBGene00010684", "WBGene00010684")</f>
        <v>WBGene00010684</v>
      </c>
      <c r="B1036" s="9" t="str">
        <f>HYPERLINK("http://www.ncbi.nlm.nih.gov/gene/187167", "187167")</f>
        <v>187167</v>
      </c>
      <c r="C1036" s="9"/>
      <c r="D1036" t="str">
        <f>"K08F9.1"</f>
        <v>K08F9.1</v>
      </c>
      <c r="F1036" t="s">
        <v>11</v>
      </c>
      <c r="G1036" t="s">
        <v>230</v>
      </c>
      <c r="H1036" s="12">
        <v>-3.2809830984803598</v>
      </c>
      <c r="I1036" s="11">
        <v>-1.9210899544140201</v>
      </c>
      <c r="J1036" s="10">
        <v>5.4720367846297899E-2</v>
      </c>
      <c r="K1036" s="29">
        <v>0.55020318814403202</v>
      </c>
    </row>
    <row r="1037" spans="1:11" x14ac:dyDescent="0.35">
      <c r="A1037" s="9" t="str">
        <f>HYPERLINK("http://www.ensembl.org/id/WBGene00004993", "WBGene00004993")</f>
        <v>WBGene00004993</v>
      </c>
      <c r="B1037" s="9" t="str">
        <f>HYPERLINK("http://www.ncbi.nlm.nih.gov/gene/177652", "177652")</f>
        <v>177652</v>
      </c>
      <c r="C1037" s="9"/>
      <c r="D1037" t="str">
        <f>"spp-8"</f>
        <v>spp-8</v>
      </c>
      <c r="E1037" t="s">
        <v>62</v>
      </c>
      <c r="F1037" t="s">
        <v>11</v>
      </c>
      <c r="G1037" t="s">
        <v>63</v>
      </c>
      <c r="H1037" s="12">
        <v>-3.2798906904098701</v>
      </c>
      <c r="I1037" s="11">
        <v>-6.1669042089581101</v>
      </c>
      <c r="J1037" s="10">
        <v>6.9639914995121096E-10</v>
      </c>
      <c r="K1037" s="29">
        <v>4.0227496896931701E-7</v>
      </c>
    </row>
    <row r="1038" spans="1:11" x14ac:dyDescent="0.35">
      <c r="A1038" s="9" t="str">
        <f>HYPERLINK("http://www.ensembl.org/id/WBGene00014667", "WBGene00014667")</f>
        <v>WBGene00014667</v>
      </c>
      <c r="B1038" s="9"/>
      <c r="C1038" s="9"/>
      <c r="D1038" t="str">
        <f>"C06A1.4"</f>
        <v>C06A1.4</v>
      </c>
      <c r="F1038" t="s">
        <v>80</v>
      </c>
      <c r="H1038" s="12">
        <v>-3.2763876187991698</v>
      </c>
      <c r="I1038" s="11">
        <v>-5.8168635084455502</v>
      </c>
      <c r="J1038" s="10">
        <v>5.9962063548408396E-9</v>
      </c>
      <c r="K1038" s="29">
        <v>2.43067270236759E-6</v>
      </c>
    </row>
    <row r="1039" spans="1:11" x14ac:dyDescent="0.35">
      <c r="A1039" s="9" t="str">
        <f>HYPERLINK("http://www.ensembl.org/id/WBGene00014253", "WBGene00014253")</f>
        <v>WBGene00014253</v>
      </c>
      <c r="B1039" s="9" t="str">
        <f>HYPERLINK("http://www.ncbi.nlm.nih.gov/gene/174521", "174521")</f>
        <v>174521</v>
      </c>
      <c r="C1039" s="9"/>
      <c r="D1039" t="str">
        <f>"ZK1320.3"</f>
        <v>ZK1320.3</v>
      </c>
      <c r="F1039" t="s">
        <v>11</v>
      </c>
      <c r="H1039" s="12">
        <v>-3.2734764819517101</v>
      </c>
      <c r="I1039" s="11">
        <v>-4.7446006997968997</v>
      </c>
      <c r="J1039" s="10">
        <v>2.0891803043855499E-6</v>
      </c>
      <c r="K1039" s="29">
        <v>2.7903237059614098E-4</v>
      </c>
    </row>
    <row r="1040" spans="1:11" x14ac:dyDescent="0.35">
      <c r="A1040" s="9" t="str">
        <f>HYPERLINK("http://www.ensembl.org/id/WBGene00008486", "WBGene00008486")</f>
        <v>WBGene00008486</v>
      </c>
      <c r="B1040" s="9" t="str">
        <f>HYPERLINK("http://www.ncbi.nlm.nih.gov/gene/177939", "177939")</f>
        <v>177939</v>
      </c>
      <c r="C1040" s="9"/>
      <c r="D1040" t="str">
        <f>"ugt-44"</f>
        <v>ugt-44</v>
      </c>
      <c r="E1040" t="s">
        <v>103</v>
      </c>
      <c r="F1040" t="s">
        <v>11</v>
      </c>
      <c r="G1040" t="s">
        <v>572</v>
      </c>
      <c r="H1040" s="12">
        <v>-3.26788753644637</v>
      </c>
      <c r="I1040" s="11">
        <v>-3.1645410379997299</v>
      </c>
      <c r="J1040" s="10">
        <v>1.55327755663417E-3</v>
      </c>
      <c r="K1040" s="29">
        <v>5.4544120400591201E-2</v>
      </c>
    </row>
    <row r="1041" spans="1:11" x14ac:dyDescent="0.35">
      <c r="A1041" s="9" t="str">
        <f>HYPERLINK("http://www.ensembl.org/id/WBGene00018028", "WBGene00018028")</f>
        <v>WBGene00018028</v>
      </c>
      <c r="B1041" s="9" t="str">
        <f>HYPERLINK("http://www.ncbi.nlm.nih.gov/gene/185252", "185252")</f>
        <v>185252</v>
      </c>
      <c r="C1041" s="9"/>
      <c r="D1041" t="str">
        <f>"F35B3.1"</f>
        <v>F35B3.1</v>
      </c>
      <c r="F1041" t="s">
        <v>11</v>
      </c>
      <c r="G1041" t="s">
        <v>1530</v>
      </c>
      <c r="H1041" s="12">
        <v>-3.25785345867572</v>
      </c>
      <c r="I1041" s="11">
        <v>-0.74676945471814504</v>
      </c>
      <c r="J1041" s="10">
        <v>0.455202736587552</v>
      </c>
      <c r="K1041" s="29">
        <v>0.98289565623980701</v>
      </c>
    </row>
    <row r="1042" spans="1:11" x14ac:dyDescent="0.35">
      <c r="A1042" s="9" t="str">
        <f>HYPERLINK("http://www.ensembl.org/id/WBGene00018630", "WBGene00018630")</f>
        <v>WBGene00018630</v>
      </c>
      <c r="B1042" s="9" t="str">
        <f>HYPERLINK("http://www.ncbi.nlm.nih.gov/gene/186035", "186035")</f>
        <v>186035</v>
      </c>
      <c r="C1042" s="9"/>
      <c r="D1042" t="str">
        <f>"F49D11.6"</f>
        <v>F49D11.6</v>
      </c>
      <c r="F1042" t="s">
        <v>11</v>
      </c>
      <c r="G1042" t="s">
        <v>3419</v>
      </c>
      <c r="H1042" s="12">
        <v>-3.2566767833890302</v>
      </c>
      <c r="I1042" s="11">
        <v>-1.22988989670279</v>
      </c>
      <c r="J1042" s="10">
        <v>0.21873833811707699</v>
      </c>
      <c r="K1042" s="29">
        <v>0.97042364854653596</v>
      </c>
    </row>
    <row r="1043" spans="1:11" x14ac:dyDescent="0.35">
      <c r="A1043" s="9" t="str">
        <f>HYPERLINK("http://www.ensembl.org/id/WBGene00015082", "WBGene00015082")</f>
        <v>WBGene00015082</v>
      </c>
      <c r="B1043" s="9" t="str">
        <f>HYPERLINK("http://www.ncbi.nlm.nih.gov/gene/181878", "181878")</f>
        <v>181878</v>
      </c>
      <c r="C1043" s="9"/>
      <c r="D1043" t="str">
        <f>"B0244.7"</f>
        <v>B0244.7</v>
      </c>
      <c r="E1043" t="s">
        <v>10088</v>
      </c>
      <c r="F1043" t="s">
        <v>11</v>
      </c>
      <c r="G1043" t="s">
        <v>1793</v>
      </c>
      <c r="H1043" s="12">
        <v>-3.2513023327382999</v>
      </c>
      <c r="I1043" s="11">
        <v>-0.542910413556005</v>
      </c>
      <c r="J1043" s="10">
        <v>0.58719148568717905</v>
      </c>
      <c r="K1043" s="29">
        <v>0.98289565623980701</v>
      </c>
    </row>
    <row r="1044" spans="1:11" x14ac:dyDescent="0.35">
      <c r="A1044" s="9" t="str">
        <f>HYPERLINK("http://www.ensembl.org/id/WBGene00015467", "WBGene00015467")</f>
        <v>WBGene00015467</v>
      </c>
      <c r="B1044" s="9" t="str">
        <f>HYPERLINK("http://www.ncbi.nlm.nih.gov/gene/175779", "175779")</f>
        <v>175779</v>
      </c>
      <c r="C1044" s="9"/>
      <c r="D1044" t="str">
        <f>"basl-1"</f>
        <v>basl-1</v>
      </c>
      <c r="E1044" t="s">
        <v>10086</v>
      </c>
      <c r="F1044" t="s">
        <v>11</v>
      </c>
      <c r="G1044" t="s">
        <v>10087</v>
      </c>
      <c r="H1044" s="12">
        <v>-3.2508291326741898</v>
      </c>
      <c r="I1044" s="11">
        <v>-0.73586173722591097</v>
      </c>
      <c r="J1044" s="10">
        <v>0.46181484498167702</v>
      </c>
      <c r="K1044" s="29">
        <v>0.98289565623980701</v>
      </c>
    </row>
    <row r="1045" spans="1:11" x14ac:dyDescent="0.35">
      <c r="A1045" s="9" t="str">
        <f>HYPERLINK("http://www.ensembl.org/id/WBGene00012775", "WBGene00012775")</f>
        <v>WBGene00012775</v>
      </c>
      <c r="B1045" s="9" t="str">
        <f>HYPERLINK("http://www.ncbi.nlm.nih.gov/gene/13203954", "13203954")</f>
        <v>13203954</v>
      </c>
      <c r="C1045" s="9"/>
      <c r="D1045" t="str">
        <f>"srt-50"</f>
        <v>srt-50</v>
      </c>
      <c r="E1045" t="s">
        <v>2845</v>
      </c>
      <c r="F1045" t="s">
        <v>11</v>
      </c>
      <c r="G1045" t="s">
        <v>25</v>
      </c>
      <c r="H1045" s="12">
        <v>-3.2495597408956902</v>
      </c>
      <c r="I1045" s="11">
        <v>-0.45938284331649798</v>
      </c>
      <c r="J1045" s="10">
        <v>0.64595926644172297</v>
      </c>
      <c r="K1045" s="29">
        <v>0.98289565623980701</v>
      </c>
    </row>
    <row r="1046" spans="1:11" x14ac:dyDescent="0.35">
      <c r="A1046" s="9" t="str">
        <f>HYPERLINK("http://www.ensembl.org/id/WBGene00195895", "WBGene00195895")</f>
        <v>WBGene00195895</v>
      </c>
      <c r="B1046" s="9"/>
      <c r="C1046" s="9"/>
      <c r="D1046" t="str">
        <f>"T14G11.4"</f>
        <v>T14G11.4</v>
      </c>
      <c r="F1046" t="s">
        <v>481</v>
      </c>
      <c r="H1046" s="12">
        <v>-3.2495597408956902</v>
      </c>
      <c r="I1046" s="11">
        <v>-0.45938284331649798</v>
      </c>
      <c r="J1046" s="10">
        <v>0.64595926644172297</v>
      </c>
      <c r="K1046" s="29">
        <v>0.98289565623980701</v>
      </c>
    </row>
    <row r="1047" spans="1:11" x14ac:dyDescent="0.35">
      <c r="A1047" s="9" t="str">
        <f>HYPERLINK("http://www.ensembl.org/id/WBGene00013954", "WBGene00013954")</f>
        <v>WBGene00013954</v>
      </c>
      <c r="B1047" s="9" t="str">
        <f>HYPERLINK("http://www.ncbi.nlm.nih.gov/gene/191271", "191271")</f>
        <v>191271</v>
      </c>
      <c r="C1047" s="9"/>
      <c r="D1047" t="str">
        <f>"ZK262.9"</f>
        <v>ZK262.9</v>
      </c>
      <c r="F1047" t="s">
        <v>11</v>
      </c>
      <c r="H1047" s="12">
        <v>-3.2495597408956902</v>
      </c>
      <c r="I1047" s="11">
        <v>-0.45938284331649798</v>
      </c>
      <c r="J1047" s="10">
        <v>0.64595926644172297</v>
      </c>
      <c r="K1047" s="29">
        <v>0.98289565623980701</v>
      </c>
    </row>
    <row r="1048" spans="1:11" x14ac:dyDescent="0.35">
      <c r="A1048" s="9" t="str">
        <f>HYPERLINK("http://www.ensembl.org/id/WBGene00012795", "WBGene00012795")</f>
        <v>WBGene00012795</v>
      </c>
      <c r="B1048" s="9" t="str">
        <f>HYPERLINK("http://www.ncbi.nlm.nih.gov/gene/177995", "177995")</f>
        <v>177995</v>
      </c>
      <c r="C1048" s="9"/>
      <c r="D1048" t="str">
        <f>"Y43E12A.3"</f>
        <v>Y43E12A.3</v>
      </c>
      <c r="F1048" t="s">
        <v>11</v>
      </c>
      <c r="G1048" t="s">
        <v>54</v>
      </c>
      <c r="H1048" s="12">
        <v>-3.2472867078702699</v>
      </c>
      <c r="I1048" s="11">
        <v>-3.55100130162681</v>
      </c>
      <c r="J1048" s="10">
        <v>3.8376851897370802E-4</v>
      </c>
      <c r="K1048" s="29">
        <v>1.8906941150120499E-2</v>
      </c>
    </row>
    <row r="1049" spans="1:11" x14ac:dyDescent="0.35">
      <c r="A1049" s="9" t="str">
        <f>HYPERLINK("http://www.ensembl.org/id/WBGene00009113", "WBGene00009113")</f>
        <v>WBGene00009113</v>
      </c>
      <c r="B1049" s="9" t="str">
        <f>HYPERLINK("http://www.ncbi.nlm.nih.gov/gene/172918", "172918")</f>
        <v>172918</v>
      </c>
      <c r="C1049" s="9"/>
      <c r="D1049" t="str">
        <f>"maph-1.2"</f>
        <v>maph-1.2</v>
      </c>
      <c r="E1049" t="s">
        <v>109</v>
      </c>
      <c r="F1049" t="s">
        <v>11</v>
      </c>
      <c r="G1049" t="s">
        <v>110</v>
      </c>
      <c r="H1049" s="12">
        <v>-3.2443617441898098</v>
      </c>
      <c r="I1049" s="11">
        <v>-5.48277004638694</v>
      </c>
      <c r="J1049" s="10">
        <v>4.1871713726911999E-8</v>
      </c>
      <c r="K1049" s="29">
        <v>1.1382209616165001E-5</v>
      </c>
    </row>
    <row r="1050" spans="1:11" x14ac:dyDescent="0.35">
      <c r="A1050" s="9" t="str">
        <f>HYPERLINK("http://www.ensembl.org/id/WBGene00019215", "WBGene00019215")</f>
        <v>WBGene00019215</v>
      </c>
      <c r="B1050" s="9" t="str">
        <f>HYPERLINK("http://www.ncbi.nlm.nih.gov/gene/177448", "177448")</f>
        <v>177448</v>
      </c>
      <c r="C1050" s="9"/>
      <c r="D1050" t="str">
        <f>"H20E11.3"</f>
        <v>H20E11.3</v>
      </c>
      <c r="F1050" t="s">
        <v>11</v>
      </c>
      <c r="G1050" t="s">
        <v>264</v>
      </c>
      <c r="H1050" s="12">
        <v>-3.2408771821638598</v>
      </c>
      <c r="I1050" s="11">
        <v>-1.5676463173581401</v>
      </c>
      <c r="J1050" s="10">
        <v>0.116963696364563</v>
      </c>
      <c r="K1050" s="29">
        <v>0.78135231800712901</v>
      </c>
    </row>
    <row r="1051" spans="1:11" x14ac:dyDescent="0.35">
      <c r="A1051" s="9" t="str">
        <f>HYPERLINK("http://www.ensembl.org/id/WBGene00020772", "WBGene00020772")</f>
        <v>WBGene00020772</v>
      </c>
      <c r="B1051" s="9" t="str">
        <f>HYPERLINK("http://www.ncbi.nlm.nih.gov/gene/188861", "188861")</f>
        <v>188861</v>
      </c>
      <c r="C1051" s="9"/>
      <c r="D1051" t="str">
        <f>"T24E12.2"</f>
        <v>T24E12.2</v>
      </c>
      <c r="F1051" t="s">
        <v>11</v>
      </c>
      <c r="H1051" s="12">
        <v>-3.2348096256893801</v>
      </c>
      <c r="I1051" s="11">
        <v>-0.64569729262546305</v>
      </c>
      <c r="J1051" s="10">
        <v>0.518475414284023</v>
      </c>
      <c r="K1051" s="29">
        <v>0.98289565623980701</v>
      </c>
    </row>
    <row r="1052" spans="1:11" x14ac:dyDescent="0.35">
      <c r="A1052" s="9" t="str">
        <f>HYPERLINK("http://www.ensembl.org/id/WBGene00198754", "WBGene00198754")</f>
        <v>WBGene00198754</v>
      </c>
      <c r="B1052" s="9"/>
      <c r="C1052" s="9"/>
      <c r="D1052" t="str">
        <f>"K04G11.8"</f>
        <v>K04G11.8</v>
      </c>
      <c r="F1052" t="s">
        <v>481</v>
      </c>
      <c r="H1052" s="12">
        <v>-3.2281252492865198</v>
      </c>
      <c r="I1052" s="11">
        <v>-0.61427979761265294</v>
      </c>
      <c r="J1052" s="10">
        <v>0.53903045010742001</v>
      </c>
      <c r="K1052" s="29">
        <v>0.98289565623980701</v>
      </c>
    </row>
    <row r="1053" spans="1:11" x14ac:dyDescent="0.35">
      <c r="A1053" s="9" t="str">
        <f>HYPERLINK("http://www.ensembl.org/id/WBGene00171751", "WBGene00171751")</f>
        <v>WBGene00171751</v>
      </c>
      <c r="B1053" s="9"/>
      <c r="C1053" s="9"/>
      <c r="D1053" t="str">
        <f>"21ur-7105"</f>
        <v>21ur-7105</v>
      </c>
      <c r="F1053" t="s">
        <v>3161</v>
      </c>
      <c r="H1053" s="12">
        <v>-3.2076094827519199</v>
      </c>
      <c r="I1053" s="11">
        <v>-0.46481242297130299</v>
      </c>
      <c r="J1053" s="10">
        <v>0.64206579060743396</v>
      </c>
      <c r="K1053" s="29">
        <v>0.98289565623980701</v>
      </c>
    </row>
    <row r="1054" spans="1:11" x14ac:dyDescent="0.35">
      <c r="A1054" s="9" t="str">
        <f>HYPERLINK("http://www.ensembl.org/id/WBGene00077583", "WBGene00077583")</f>
        <v>WBGene00077583</v>
      </c>
      <c r="B1054" s="9" t="str">
        <f>HYPERLINK("http://www.ncbi.nlm.nih.gov/gene/6418691", "6418691")</f>
        <v>6418691</v>
      </c>
      <c r="C1054" s="9"/>
      <c r="D1054" t="str">
        <f>"C01G10.18"</f>
        <v>C01G10.18</v>
      </c>
      <c r="F1054" t="s">
        <v>11</v>
      </c>
      <c r="H1054" s="12">
        <v>-3.2076094827519199</v>
      </c>
      <c r="I1054" s="11">
        <v>-0.46481242297130299</v>
      </c>
      <c r="J1054" s="10">
        <v>0.64206579060743396</v>
      </c>
      <c r="K1054" s="29">
        <v>0.98289565623980701</v>
      </c>
    </row>
    <row r="1055" spans="1:11" x14ac:dyDescent="0.35">
      <c r="A1055" s="9" t="str">
        <f>HYPERLINK("http://www.ensembl.org/id/WBGene00001599", "WBGene00001599")</f>
        <v>WBGene00001599</v>
      </c>
      <c r="B1055" s="9" t="str">
        <f>HYPERLINK("http://www.ncbi.nlm.nih.gov/gene/172361", "172361")</f>
        <v>172361</v>
      </c>
      <c r="C1055" s="9"/>
      <c r="D1055" t="str">
        <f>"glh-2"</f>
        <v>glh-2</v>
      </c>
      <c r="E1055" t="s">
        <v>132</v>
      </c>
      <c r="F1055" t="s">
        <v>11</v>
      </c>
      <c r="G1055" t="s">
        <v>133</v>
      </c>
      <c r="H1055" s="12">
        <v>-3.20708764191121</v>
      </c>
      <c r="I1055" s="11">
        <v>-5.16460268131459</v>
      </c>
      <c r="J1055" s="10">
        <v>2.40950179430806E-7</v>
      </c>
      <c r="K1055" s="29">
        <v>5.06126804175292E-5</v>
      </c>
    </row>
    <row r="1056" spans="1:11" x14ac:dyDescent="0.35">
      <c r="A1056" s="9" t="str">
        <f>HYPERLINK("http://www.ensembl.org/id/WBGene00219588", "WBGene00219588")</f>
        <v>WBGene00219588</v>
      </c>
      <c r="B1056" s="9"/>
      <c r="C1056" s="9"/>
      <c r="D1056" t="str">
        <f>"linc-80"</f>
        <v>linc-80</v>
      </c>
      <c r="F1056" t="s">
        <v>1510</v>
      </c>
      <c r="H1056" s="12">
        <v>-3.20559863628272</v>
      </c>
      <c r="I1056" s="11">
        <v>-0.55293094581264102</v>
      </c>
      <c r="J1056" s="10">
        <v>0.58031069619131503</v>
      </c>
      <c r="K1056" s="29">
        <v>0.98289565623980701</v>
      </c>
    </row>
    <row r="1057" spans="1:11" x14ac:dyDescent="0.35">
      <c r="A1057" s="9" t="str">
        <f>HYPERLINK("http://www.ensembl.org/id/WBGene00020122", "WBGene00020122")</f>
        <v>WBGene00020122</v>
      </c>
      <c r="B1057" s="9" t="str">
        <f>HYPERLINK("http://www.ncbi.nlm.nih.gov/gene/187914", "187914")</f>
        <v>187914</v>
      </c>
      <c r="C1057" s="9"/>
      <c r="D1057" t="str">
        <f>"R160.5"</f>
        <v>R160.5</v>
      </c>
      <c r="F1057" t="s">
        <v>11</v>
      </c>
      <c r="G1057" t="s">
        <v>25</v>
      </c>
      <c r="H1057" s="12">
        <v>-3.20559863628272</v>
      </c>
      <c r="I1057" s="11">
        <v>-0.55293094581264102</v>
      </c>
      <c r="J1057" s="10">
        <v>0.58031069619131503</v>
      </c>
      <c r="K1057" s="29">
        <v>0.98289565623980701</v>
      </c>
    </row>
    <row r="1058" spans="1:11" x14ac:dyDescent="0.35">
      <c r="A1058" s="9" t="str">
        <f>HYPERLINK("http://www.ensembl.org/id/WBGene00011468", "WBGene00011468")</f>
        <v>WBGene00011468</v>
      </c>
      <c r="B1058" s="9" t="str">
        <f>HYPERLINK("http://www.ncbi.nlm.nih.gov/gene/188122", "188122")</f>
        <v>188122</v>
      </c>
      <c r="C1058" s="9"/>
      <c r="D1058" t="str">
        <f>"T05C12.4"</f>
        <v>T05C12.4</v>
      </c>
      <c r="F1058" t="s">
        <v>11</v>
      </c>
      <c r="G1058" t="s">
        <v>25</v>
      </c>
      <c r="H1058" s="12">
        <v>-3.2044812948610999</v>
      </c>
      <c r="I1058" s="11">
        <v>-1.1145549957688901</v>
      </c>
      <c r="J1058" s="10">
        <v>0.26504116492306501</v>
      </c>
      <c r="K1058" s="29">
        <v>0.98289565623980701</v>
      </c>
    </row>
    <row r="1059" spans="1:11" x14ac:dyDescent="0.35">
      <c r="A1059" s="9" t="str">
        <f>HYPERLINK("http://www.ensembl.org/id/WBGene00219416", "WBGene00219416")</f>
        <v>WBGene00219416</v>
      </c>
      <c r="B1059" s="9"/>
      <c r="C1059" s="9"/>
      <c r="D1059" t="str">
        <f>"F23H12.21"</f>
        <v>F23H12.21</v>
      </c>
      <c r="F1059" t="s">
        <v>481</v>
      </c>
      <c r="H1059" s="12">
        <v>-3.2035722220826099</v>
      </c>
      <c r="I1059" s="11">
        <v>-0.52599423242316801</v>
      </c>
      <c r="J1059" s="10">
        <v>0.59889221429994999</v>
      </c>
      <c r="K1059" s="29">
        <v>0.98289565623980701</v>
      </c>
    </row>
    <row r="1060" spans="1:11" x14ac:dyDescent="0.35">
      <c r="A1060" s="9" t="str">
        <f>HYPERLINK("http://www.ensembl.org/id/WBGene00045095", "WBGene00045095")</f>
        <v>WBGene00045095</v>
      </c>
      <c r="B1060" s="9"/>
      <c r="C1060" s="9"/>
      <c r="D1060" t="str">
        <f>"mrpr-1"</f>
        <v>mrpr-1</v>
      </c>
      <c r="F1060" t="s">
        <v>481</v>
      </c>
      <c r="H1060" s="12">
        <v>-3.2035722220826099</v>
      </c>
      <c r="I1060" s="11">
        <v>-0.52599423242316801</v>
      </c>
      <c r="J1060" s="10">
        <v>0.59889221429994999</v>
      </c>
      <c r="K1060" s="29">
        <v>0.98289565623980701</v>
      </c>
    </row>
    <row r="1061" spans="1:11" x14ac:dyDescent="0.35">
      <c r="A1061" s="9" t="str">
        <f>HYPERLINK("http://www.ensembl.org/id/WBGene00019933", "WBGene00019933")</f>
        <v>WBGene00019933</v>
      </c>
      <c r="B1061" s="9" t="str">
        <f>HYPERLINK("http://www.ncbi.nlm.nih.gov/gene/187674", "187674")</f>
        <v>187674</v>
      </c>
      <c r="C1061" s="9"/>
      <c r="D1061" t="str">
        <f>"R07C12.3"</f>
        <v>R07C12.3</v>
      </c>
      <c r="F1061" t="s">
        <v>11</v>
      </c>
      <c r="H1061" s="12">
        <v>-3.2035722220826099</v>
      </c>
      <c r="I1061" s="11">
        <v>-0.52599423242316801</v>
      </c>
      <c r="J1061" s="10">
        <v>0.59889221429994999</v>
      </c>
      <c r="K1061" s="29">
        <v>0.98289565623980701</v>
      </c>
    </row>
    <row r="1062" spans="1:11" x14ac:dyDescent="0.35">
      <c r="A1062" s="9" t="str">
        <f>HYPERLINK("http://www.ensembl.org/id/WBGene00005628", "WBGene00005628")</f>
        <v>WBGene00005628</v>
      </c>
      <c r="B1062" s="9" t="str">
        <f>HYPERLINK("http://www.ncbi.nlm.nih.gov/gene/191950", "191950")</f>
        <v>191950</v>
      </c>
      <c r="C1062" s="9"/>
      <c r="D1062" t="str">
        <f>"srj-49"</f>
        <v>srj-49</v>
      </c>
      <c r="E1062" t="s">
        <v>3123</v>
      </c>
      <c r="F1062" t="s">
        <v>11</v>
      </c>
      <c r="G1062" t="s">
        <v>25</v>
      </c>
      <c r="H1062" s="12">
        <v>-3.2035722220826099</v>
      </c>
      <c r="I1062" s="11">
        <v>-0.52599423242316801</v>
      </c>
      <c r="J1062" s="10">
        <v>0.59889221429994999</v>
      </c>
      <c r="K1062" s="29">
        <v>0.98289565623980701</v>
      </c>
    </row>
    <row r="1063" spans="1:11" x14ac:dyDescent="0.35">
      <c r="A1063" s="9" t="str">
        <f>HYPERLINK("http://www.ensembl.org/id/WBGene00045150", "WBGene00045150")</f>
        <v>WBGene00045150</v>
      </c>
      <c r="B1063" s="9"/>
      <c r="C1063" s="9"/>
      <c r="D1063" t="str">
        <f>"ZK265.10"</f>
        <v>ZK265.10</v>
      </c>
      <c r="F1063" t="s">
        <v>2977</v>
      </c>
      <c r="H1063" s="12">
        <v>-3.2035722220826099</v>
      </c>
      <c r="I1063" s="11">
        <v>-0.52599423242316801</v>
      </c>
      <c r="J1063" s="10">
        <v>0.59889221429994999</v>
      </c>
      <c r="K1063" s="29">
        <v>0.98289565623980701</v>
      </c>
    </row>
    <row r="1064" spans="1:11" x14ac:dyDescent="0.35">
      <c r="A1064" s="9" t="str">
        <f>HYPERLINK("http://www.ensembl.org/id/WBGene00012176", "WBGene00012176")</f>
        <v>WBGene00012176</v>
      </c>
      <c r="B1064" s="9" t="str">
        <f>HYPERLINK("http://www.ncbi.nlm.nih.gov/gene/189089", "189089")</f>
        <v>189089</v>
      </c>
      <c r="C1064" s="9"/>
      <c r="D1064" t="str">
        <f>"W01C9.2"</f>
        <v>W01C9.2</v>
      </c>
      <c r="F1064" t="s">
        <v>11</v>
      </c>
      <c r="H1064" s="12">
        <v>-3.1986679674813199</v>
      </c>
      <c r="I1064" s="11">
        <v>-1.12305566998116</v>
      </c>
      <c r="J1064" s="10">
        <v>0.26141385176172499</v>
      </c>
      <c r="K1064" s="29">
        <v>0.98289565623980701</v>
      </c>
    </row>
    <row r="1065" spans="1:11" x14ac:dyDescent="0.35">
      <c r="A1065" s="9" t="str">
        <f>HYPERLINK("http://www.ensembl.org/id/WBGene00018038", "WBGene00018038")</f>
        <v>WBGene00018038</v>
      </c>
      <c r="B1065" s="9" t="str">
        <f>HYPERLINK("http://www.ncbi.nlm.nih.gov/gene/185269", "185269")</f>
        <v>185269</v>
      </c>
      <c r="C1065" s="9"/>
      <c r="D1065" t="str">
        <f>"F35C8.8"</f>
        <v>F35C8.8</v>
      </c>
      <c r="F1065" t="s">
        <v>11</v>
      </c>
      <c r="H1065" s="12">
        <v>-3.1970529372838099</v>
      </c>
      <c r="I1065" s="11">
        <v>-1.04580306492596</v>
      </c>
      <c r="J1065" s="10">
        <v>0.29565196582379599</v>
      </c>
      <c r="K1065" s="29">
        <v>0.98289565623980701</v>
      </c>
    </row>
    <row r="1066" spans="1:11" x14ac:dyDescent="0.35">
      <c r="A1066" s="9" t="str">
        <f>HYPERLINK("http://www.ensembl.org/id/WBGene00011152", "WBGene00011152")</f>
        <v>WBGene00011152</v>
      </c>
      <c r="B1066" s="9" t="str">
        <f>HYPERLINK("http://www.ncbi.nlm.nih.gov/gene/187722", "187722")</f>
        <v>187722</v>
      </c>
      <c r="C1066" s="9"/>
      <c r="D1066" t="str">
        <f>"R09A8.1"</f>
        <v>R09A8.1</v>
      </c>
      <c r="F1066" t="s">
        <v>11</v>
      </c>
      <c r="H1066" s="12">
        <v>-3.1932945457103901</v>
      </c>
      <c r="I1066" s="11">
        <v>-3.1120972843198</v>
      </c>
      <c r="J1066" s="10">
        <v>1.85763271787527E-3</v>
      </c>
      <c r="K1066" s="29">
        <v>6.1317802256037203E-2</v>
      </c>
    </row>
    <row r="1067" spans="1:11" x14ac:dyDescent="0.35">
      <c r="A1067" s="9" t="str">
        <f>HYPERLINK("http://www.ensembl.org/id/WBGene00003994", "WBGene00003994")</f>
        <v>WBGene00003994</v>
      </c>
      <c r="B1067" s="9" t="str">
        <f>HYPERLINK("http://www.ncbi.nlm.nih.gov/gene/178867", "178867")</f>
        <v>178867</v>
      </c>
      <c r="C1067" s="9"/>
      <c r="D1067" t="str">
        <f>"pgl-3"</f>
        <v>pgl-3</v>
      </c>
      <c r="E1067" t="s">
        <v>141</v>
      </c>
      <c r="F1067" t="s">
        <v>11</v>
      </c>
      <c r="H1067" s="12">
        <v>-3.1870461309054701</v>
      </c>
      <c r="I1067" s="11">
        <v>-5.1077555112560002</v>
      </c>
      <c r="J1067" s="10">
        <v>3.2600809285851501E-7</v>
      </c>
      <c r="K1067" s="29">
        <v>6.5332586857173904E-5</v>
      </c>
    </row>
    <row r="1068" spans="1:11" x14ac:dyDescent="0.35">
      <c r="A1068" s="9" t="str">
        <f>HYPERLINK("http://www.ensembl.org/id/WBGene00018867", "WBGene00018867")</f>
        <v>WBGene00018867</v>
      </c>
      <c r="B1068" s="9" t="str">
        <f>HYPERLINK("http://www.ncbi.nlm.nih.gov/gene/172186", "172186")</f>
        <v>172186</v>
      </c>
      <c r="C1068" s="9"/>
      <c r="D1068" t="str">
        <f>"zhp-1"</f>
        <v>zhp-1</v>
      </c>
      <c r="E1068" t="s">
        <v>502</v>
      </c>
      <c r="F1068" t="s">
        <v>11</v>
      </c>
      <c r="G1068" t="s">
        <v>503</v>
      </c>
      <c r="H1068" s="12">
        <v>-3.1840271665434599</v>
      </c>
      <c r="I1068" s="11">
        <v>-3.3669041600312402</v>
      </c>
      <c r="J1068" s="10">
        <v>7.6017101852949502E-4</v>
      </c>
      <c r="K1068" s="29">
        <v>3.1461818035271497E-2</v>
      </c>
    </row>
    <row r="1069" spans="1:11" x14ac:dyDescent="0.35">
      <c r="A1069" s="9" t="str">
        <f>HYPERLINK("http://www.ensembl.org/id/WBGene00167159", "WBGene00167159")</f>
        <v>WBGene00167159</v>
      </c>
      <c r="B1069" s="9"/>
      <c r="C1069" s="9"/>
      <c r="D1069" t="str">
        <f>"21ur-8552"</f>
        <v>21ur-8552</v>
      </c>
      <c r="F1069" t="s">
        <v>3161</v>
      </c>
      <c r="H1069" s="12">
        <v>-3.18379974037203</v>
      </c>
      <c r="I1069" s="11">
        <v>-0.53200139377442202</v>
      </c>
      <c r="J1069" s="10">
        <v>0.59472503017695699</v>
      </c>
      <c r="K1069" s="29">
        <v>0.98289565623980701</v>
      </c>
    </row>
    <row r="1070" spans="1:11" x14ac:dyDescent="0.35">
      <c r="A1070" s="9" t="str">
        <f>HYPERLINK("http://www.ensembl.org/id/WBGene00016291", "WBGene00016291")</f>
        <v>WBGene00016291</v>
      </c>
      <c r="B1070" s="9" t="str">
        <f>HYPERLINK("http://www.ncbi.nlm.nih.gov/gene/177351", "177351")</f>
        <v>177351</v>
      </c>
      <c r="C1070" s="9"/>
      <c r="D1070" t="str">
        <f>"C31H1.8"</f>
        <v>C31H1.8</v>
      </c>
      <c r="F1070" t="s">
        <v>11</v>
      </c>
      <c r="H1070" s="12">
        <v>-3.18004174425585</v>
      </c>
      <c r="I1070" s="11">
        <v>-5.2874681860562101</v>
      </c>
      <c r="J1070" s="10">
        <v>1.2402092209610701E-7</v>
      </c>
      <c r="K1070" s="29">
        <v>2.9850285687006699E-5</v>
      </c>
    </row>
    <row r="1071" spans="1:11" x14ac:dyDescent="0.35">
      <c r="A1071" s="9" t="str">
        <f>HYPERLINK("http://www.ensembl.org/id/WBGene00007732", "WBGene00007732")</f>
        <v>WBGene00007732</v>
      </c>
      <c r="B1071" s="9" t="str">
        <f>HYPERLINK("http://www.ncbi.nlm.nih.gov/gene/182915", "182915")</f>
        <v>182915</v>
      </c>
      <c r="C1071" s="9"/>
      <c r="D1071" t="str">
        <f>"spe-44"</f>
        <v>spe-44</v>
      </c>
      <c r="F1071" t="s">
        <v>11</v>
      </c>
      <c r="G1071" t="s">
        <v>550</v>
      </c>
      <c r="H1071" s="12">
        <v>-3.17440582149943</v>
      </c>
      <c r="I1071" s="11">
        <v>-3.2182244187640299</v>
      </c>
      <c r="J1071" s="10">
        <v>1.2898685330369299E-3</v>
      </c>
      <c r="K1071" s="29">
        <v>4.7484337275039798E-2</v>
      </c>
    </row>
    <row r="1072" spans="1:11" x14ac:dyDescent="0.35">
      <c r="A1072" s="9" t="str">
        <f>HYPERLINK("http://www.ensembl.org/id/WBGene00022572", "WBGene00022572")</f>
        <v>WBGene00022572</v>
      </c>
      <c r="B1072" s="9" t="str">
        <f>HYPERLINK("http://www.ncbi.nlm.nih.gov/gene/191124", "191124")</f>
        <v>191124</v>
      </c>
      <c r="C1072" s="9"/>
      <c r="D1072" t="str">
        <f>"ZC239.14"</f>
        <v>ZC239.14</v>
      </c>
      <c r="F1072" t="s">
        <v>11</v>
      </c>
      <c r="G1072" t="s">
        <v>817</v>
      </c>
      <c r="H1072" s="12">
        <v>-3.17435902182216</v>
      </c>
      <c r="I1072" s="11">
        <v>-1.0165651103784299</v>
      </c>
      <c r="J1072" s="10">
        <v>0.309360358780565</v>
      </c>
      <c r="K1072" s="29">
        <v>0.98289565623980701</v>
      </c>
    </row>
    <row r="1073" spans="1:11" x14ac:dyDescent="0.35">
      <c r="A1073" s="9" t="str">
        <f>HYPERLINK("http://www.ensembl.org/id/WBGene00077770", "WBGene00077770")</f>
        <v>WBGene00077770</v>
      </c>
      <c r="B1073" s="9" t="str">
        <f>HYPERLINK("http://www.ncbi.nlm.nih.gov/gene/7040162", "7040162")</f>
        <v>7040162</v>
      </c>
      <c r="C1073" s="9"/>
      <c r="D1073" t="str">
        <f>"M04D5.3"</f>
        <v>M04D5.3</v>
      </c>
      <c r="F1073" t="s">
        <v>11</v>
      </c>
      <c r="G1073" t="s">
        <v>25</v>
      </c>
      <c r="H1073" s="12">
        <v>-3.1698762168725798</v>
      </c>
      <c r="I1073" s="11">
        <v>-2.8393804961813802</v>
      </c>
      <c r="J1073" s="10">
        <v>4.5201222471490596E-3</v>
      </c>
      <c r="K1073" s="29">
        <v>0.113400591360072</v>
      </c>
    </row>
    <row r="1074" spans="1:11" x14ac:dyDescent="0.35">
      <c r="A1074" s="9" t="str">
        <f>HYPERLINK("http://www.ensembl.org/id/WBGene00050940", "WBGene00050940")</f>
        <v>WBGene00050940</v>
      </c>
      <c r="B1074" s="9" t="str">
        <f>HYPERLINK("http://www.ncbi.nlm.nih.gov/gene/6418697", "6418697")</f>
        <v>6418697</v>
      </c>
      <c r="C1074" s="9"/>
      <c r="D1074" t="str">
        <f>"C25D7.16"</f>
        <v>C25D7.16</v>
      </c>
      <c r="F1074" t="s">
        <v>11</v>
      </c>
      <c r="H1074" s="12">
        <v>-3.16969403357621</v>
      </c>
      <c r="I1074" s="11">
        <v>-0.48820986693954799</v>
      </c>
      <c r="J1074" s="10">
        <v>0.62540119633469604</v>
      </c>
      <c r="K1074" s="29">
        <v>0.98289565623980701</v>
      </c>
    </row>
    <row r="1075" spans="1:11" x14ac:dyDescent="0.35">
      <c r="A1075" s="9" t="str">
        <f>HYPERLINK("http://www.ensembl.org/id/WBGene00196398", "WBGene00196398")</f>
        <v>WBGene00196398</v>
      </c>
      <c r="B1075" s="9"/>
      <c r="C1075" s="9"/>
      <c r="D1075" t="str">
        <f>"W10D5.4"</f>
        <v>W10D5.4</v>
      </c>
      <c r="F1075" t="s">
        <v>481</v>
      </c>
      <c r="H1075" s="12">
        <v>-3.16969403357621</v>
      </c>
      <c r="I1075" s="11">
        <v>-0.48820986693954799</v>
      </c>
      <c r="J1075" s="10">
        <v>0.62540119633469604</v>
      </c>
      <c r="K1075" s="29">
        <v>0.98289565623980701</v>
      </c>
    </row>
    <row r="1076" spans="1:11" x14ac:dyDescent="0.35">
      <c r="A1076" s="9" t="str">
        <f>HYPERLINK("http://www.ensembl.org/id/WBGene00236809", "WBGene00236809")</f>
        <v>WBGene00236809</v>
      </c>
      <c r="B1076" s="9" t="str">
        <f>HYPERLINK("http://www.ncbi.nlm.nih.gov/gene/24105306", "24105306")</f>
        <v>24105306</v>
      </c>
      <c r="C1076" s="9"/>
      <c r="D1076" t="str">
        <f>"ZK993.5"</f>
        <v>ZK993.5</v>
      </c>
      <c r="F1076" t="s">
        <v>11</v>
      </c>
      <c r="G1076" t="s">
        <v>51</v>
      </c>
      <c r="H1076" s="12">
        <v>-3.1636219477429899</v>
      </c>
      <c r="I1076" s="11">
        <v>-0.57866108578591002</v>
      </c>
      <c r="J1076" s="10">
        <v>0.56281787824348195</v>
      </c>
      <c r="K1076" s="29">
        <v>0.98289565623980701</v>
      </c>
    </row>
    <row r="1077" spans="1:11" x14ac:dyDescent="0.35">
      <c r="A1077" s="9" t="str">
        <f>HYPERLINK("http://www.ensembl.org/id/WBGene00004243", "WBGene00004243")</f>
        <v>WBGene00004243</v>
      </c>
      <c r="B1077" s="9" t="str">
        <f>HYPERLINK("http://www.ncbi.nlm.nih.gov/gene/177332", "177332")</f>
        <v>177332</v>
      </c>
      <c r="C1077" s="9"/>
      <c r="D1077" t="str">
        <f>"puf-7"</f>
        <v>puf-7</v>
      </c>
      <c r="E1077" t="s">
        <v>113</v>
      </c>
      <c r="F1077" t="s">
        <v>11</v>
      </c>
      <c r="G1077" t="s">
        <v>35</v>
      </c>
      <c r="H1077" s="12">
        <v>-3.1586257142095699</v>
      </c>
      <c r="I1077" s="11">
        <v>-5.3920395512101802</v>
      </c>
      <c r="J1077" s="10">
        <v>6.9662429349118605E-8</v>
      </c>
      <c r="K1077" s="29">
        <v>1.7884667694896999E-5</v>
      </c>
    </row>
    <row r="1078" spans="1:11" x14ac:dyDescent="0.35">
      <c r="A1078" s="9" t="str">
        <f>HYPERLINK("http://www.ensembl.org/id/WBGene00220138", "WBGene00220138")</f>
        <v>WBGene00220138</v>
      </c>
      <c r="B1078" s="9"/>
      <c r="C1078" s="9"/>
      <c r="D1078" t="str">
        <f>"Y32F6B.8"</f>
        <v>Y32F6B.8</v>
      </c>
      <c r="F1078" t="s">
        <v>481</v>
      </c>
      <c r="H1078" s="12">
        <v>-3.1586061051055299</v>
      </c>
      <c r="I1078" s="11">
        <v>-0.65604105004824398</v>
      </c>
      <c r="J1078" s="10">
        <v>0.51179771220007197</v>
      </c>
      <c r="K1078" s="29">
        <v>0.98289565623980701</v>
      </c>
    </row>
    <row r="1079" spans="1:11" x14ac:dyDescent="0.35">
      <c r="A1079" s="9" t="str">
        <f>HYPERLINK("http://www.ensembl.org/id/WBGene00013207", "WBGene00013207")</f>
        <v>WBGene00013207</v>
      </c>
      <c r="B1079" s="9" t="str">
        <f>HYPERLINK("http://www.ncbi.nlm.nih.gov/gene/190293", "190293")</f>
        <v>190293</v>
      </c>
      <c r="C1079" s="9"/>
      <c r="D1079" t="str">
        <f>"zipt-2.3"</f>
        <v>zipt-2.3</v>
      </c>
      <c r="E1079" t="s">
        <v>106</v>
      </c>
      <c r="F1079" t="s">
        <v>11</v>
      </c>
      <c r="G1079" t="s">
        <v>107</v>
      </c>
      <c r="H1079" s="12">
        <v>-3.1574233927302502</v>
      </c>
      <c r="I1079" s="11">
        <v>-1.0595778261217199</v>
      </c>
      <c r="J1079" s="10">
        <v>0.289336705776992</v>
      </c>
      <c r="K1079" s="29">
        <v>0.98289565623980701</v>
      </c>
    </row>
    <row r="1080" spans="1:11" x14ac:dyDescent="0.35">
      <c r="A1080" s="9" t="str">
        <f>HYPERLINK("http://www.ensembl.org/id/WBGene00009701", "WBGene00009701")</f>
        <v>WBGene00009701</v>
      </c>
      <c r="B1080" s="9" t="str">
        <f>HYPERLINK("http://www.ncbi.nlm.nih.gov/gene/174677", "174677")</f>
        <v>174677</v>
      </c>
      <c r="C1080" s="9"/>
      <c r="D1080" t="str">
        <f>"egg-3"</f>
        <v>egg-3</v>
      </c>
      <c r="E1080" t="s">
        <v>92</v>
      </c>
      <c r="F1080" t="s">
        <v>11</v>
      </c>
      <c r="G1080" t="s">
        <v>93</v>
      </c>
      <c r="H1080" s="12">
        <v>-3.1496911268248202</v>
      </c>
      <c r="I1080" s="11">
        <v>-5.6361593013037696</v>
      </c>
      <c r="J1080" s="10">
        <v>1.7388453931314501E-8</v>
      </c>
      <c r="K1080" s="29">
        <v>5.9966448133782097E-6</v>
      </c>
    </row>
    <row r="1081" spans="1:11" x14ac:dyDescent="0.35">
      <c r="A1081" s="9" t="str">
        <f>HYPERLINK("http://www.ensembl.org/id/WBGene00019833", "WBGene00019833")</f>
        <v>WBGene00019833</v>
      </c>
      <c r="B1081" s="9" t="str">
        <f>HYPERLINK("http://www.ncbi.nlm.nih.gov/gene/175755", "175755")</f>
        <v>175755</v>
      </c>
      <c r="C1081" s="9"/>
      <c r="D1081" t="str">
        <f>"R02F2.4"</f>
        <v>R02F2.4</v>
      </c>
      <c r="F1081" t="s">
        <v>11</v>
      </c>
      <c r="G1081" t="s">
        <v>191</v>
      </c>
      <c r="H1081" s="12">
        <v>-3.1416936858597602</v>
      </c>
      <c r="I1081" s="11">
        <v>-4.6730274453614902</v>
      </c>
      <c r="J1081" s="10">
        <v>2.96792088537807E-6</v>
      </c>
      <c r="K1081" s="29">
        <v>3.8098211098636499E-4</v>
      </c>
    </row>
    <row r="1082" spans="1:11" x14ac:dyDescent="0.35">
      <c r="A1082" s="9" t="str">
        <f>HYPERLINK("http://www.ensembl.org/id/WBGene00197592", "WBGene00197592")</f>
        <v>WBGene00197592</v>
      </c>
      <c r="B1082" s="9"/>
      <c r="C1082" s="9"/>
      <c r="D1082" t="str">
        <f>"F52D10.9"</f>
        <v>F52D10.9</v>
      </c>
      <c r="F1082" t="s">
        <v>481</v>
      </c>
      <c r="H1082" s="12">
        <v>-3.1401655748381101</v>
      </c>
      <c r="I1082" s="11">
        <v>-0.73444876496884304</v>
      </c>
      <c r="J1082" s="10">
        <v>0.46267527538750503</v>
      </c>
      <c r="K1082" s="29">
        <v>0.98289565623980701</v>
      </c>
    </row>
    <row r="1083" spans="1:11" x14ac:dyDescent="0.35">
      <c r="A1083" s="9" t="str">
        <f>HYPERLINK("http://www.ensembl.org/id/WBGene00197171", "WBGene00197171")</f>
        <v>WBGene00197171</v>
      </c>
      <c r="B1083" s="9"/>
      <c r="C1083" s="9"/>
      <c r="D1083" t="str">
        <f>"F56D12.10"</f>
        <v>F56D12.10</v>
      </c>
      <c r="F1083" t="s">
        <v>481</v>
      </c>
      <c r="H1083" s="12">
        <v>-3.1397193581485299</v>
      </c>
      <c r="I1083" s="11">
        <v>-0.935075319867815</v>
      </c>
      <c r="J1083" s="10">
        <v>0.34974948449966697</v>
      </c>
      <c r="K1083" s="29">
        <v>0.98289565623980701</v>
      </c>
    </row>
    <row r="1084" spans="1:11" x14ac:dyDescent="0.35">
      <c r="A1084" s="9" t="str">
        <f>HYPERLINK("http://www.ensembl.org/id/WBGene00016752", "WBGene00016752")</f>
        <v>WBGene00016752</v>
      </c>
      <c r="B1084" s="9" t="str">
        <f>HYPERLINK("http://www.ncbi.nlm.nih.gov/gene/172316", "172316")</f>
        <v>172316</v>
      </c>
      <c r="C1084" s="9"/>
      <c r="D1084" t="str">
        <f>"C48E7.7"</f>
        <v>C48E7.7</v>
      </c>
      <c r="F1084" t="s">
        <v>11</v>
      </c>
      <c r="H1084" s="12">
        <v>-3.1385421493005201</v>
      </c>
      <c r="I1084" s="11">
        <v>-0.82075663518284903</v>
      </c>
      <c r="J1084" s="10">
        <v>0.41178490392021699</v>
      </c>
      <c r="K1084" s="29">
        <v>0.98289565623980701</v>
      </c>
    </row>
    <row r="1085" spans="1:11" x14ac:dyDescent="0.35">
      <c r="A1085" s="9" t="str">
        <f>HYPERLINK("http://www.ensembl.org/id/WBGene00012195", "WBGene00012195")</f>
        <v>WBGene00012195</v>
      </c>
      <c r="B1085" s="9" t="str">
        <f>HYPERLINK("http://www.ncbi.nlm.nih.gov/gene/24104971", "24104971")</f>
        <v>24104971</v>
      </c>
      <c r="C1085" s="9"/>
      <c r="D1085" t="str">
        <f>"bath-34"</f>
        <v>bath-34</v>
      </c>
      <c r="E1085" t="s">
        <v>3118</v>
      </c>
      <c r="F1085" t="s">
        <v>11</v>
      </c>
      <c r="G1085" t="s">
        <v>54</v>
      </c>
      <c r="H1085" s="12">
        <v>-3.13509907615492</v>
      </c>
      <c r="I1085" s="11">
        <v>-1.47722293282492</v>
      </c>
      <c r="J1085" s="10">
        <v>0.13961588842373501</v>
      </c>
      <c r="K1085" s="29">
        <v>0.83119461954620599</v>
      </c>
    </row>
    <row r="1086" spans="1:11" x14ac:dyDescent="0.35">
      <c r="A1086" s="9" t="str">
        <f>HYPERLINK("http://www.ensembl.org/id/WBGene00019568", "WBGene00019568")</f>
        <v>WBGene00019568</v>
      </c>
      <c r="B1086" s="9"/>
      <c r="C1086" s="9"/>
      <c r="D1086" t="str">
        <f>"K09D9.11"</f>
        <v>K09D9.11</v>
      </c>
      <c r="F1086" t="s">
        <v>80</v>
      </c>
      <c r="H1086" s="12">
        <v>-3.13047029384696</v>
      </c>
      <c r="I1086" s="11">
        <v>-0.62453054557650201</v>
      </c>
      <c r="J1086" s="10">
        <v>0.53227921652871402</v>
      </c>
      <c r="K1086" s="29">
        <v>0.98289565623980701</v>
      </c>
    </row>
    <row r="1087" spans="1:11" x14ac:dyDescent="0.35">
      <c r="A1087" s="9" t="str">
        <f>HYPERLINK("http://www.ensembl.org/id/WBGene00009856", "WBGene00009856")</f>
        <v>WBGene00009856</v>
      </c>
      <c r="B1087" s="9" t="str">
        <f>HYPERLINK("http://www.ncbi.nlm.nih.gov/gene/186004", "186004")</f>
        <v>186004</v>
      </c>
      <c r="C1087" s="9"/>
      <c r="D1087" t="str">
        <f>"clec-24"</f>
        <v>clec-24</v>
      </c>
      <c r="E1087" t="s">
        <v>46</v>
      </c>
      <c r="F1087" t="s">
        <v>11</v>
      </c>
      <c r="G1087" t="s">
        <v>2771</v>
      </c>
      <c r="H1087" s="12">
        <v>-3.1274145164045701</v>
      </c>
      <c r="I1087" s="11">
        <v>-0.45633627912503499</v>
      </c>
      <c r="J1087" s="10">
        <v>0.64814817952986103</v>
      </c>
      <c r="K1087" s="29">
        <v>0.98289565623980701</v>
      </c>
    </row>
    <row r="1088" spans="1:11" x14ac:dyDescent="0.35">
      <c r="A1088" s="9" t="str">
        <f>HYPERLINK("http://www.ensembl.org/id/WBGene00018658", "WBGene00018658")</f>
        <v>WBGene00018658</v>
      </c>
      <c r="B1088" s="9"/>
      <c r="C1088" s="9"/>
      <c r="D1088" t="str">
        <f>"bath-22"</f>
        <v>bath-22</v>
      </c>
      <c r="F1088" t="s">
        <v>80</v>
      </c>
      <c r="H1088" s="12">
        <v>-3.1267498874894599</v>
      </c>
      <c r="I1088" s="11">
        <v>-1.0701043477193199</v>
      </c>
      <c r="J1088" s="10">
        <v>0.28457234235204398</v>
      </c>
      <c r="K1088" s="29">
        <v>0.98289565623980701</v>
      </c>
    </row>
    <row r="1089" spans="1:11" x14ac:dyDescent="0.35">
      <c r="A1089" s="9" t="str">
        <f>HYPERLINK("http://www.ensembl.org/id/WBGene00014178", "WBGene00014178")</f>
        <v>WBGene00014178</v>
      </c>
      <c r="B1089" s="9" t="str">
        <f>HYPERLINK("http://www.ncbi.nlm.nih.gov/gene/191490", "191490")</f>
        <v>191490</v>
      </c>
      <c r="C1089" s="9"/>
      <c r="D1089" t="str">
        <f>"ZK1010.4"</f>
        <v>ZK1010.4</v>
      </c>
      <c r="F1089" t="s">
        <v>11</v>
      </c>
      <c r="H1089" s="12">
        <v>-3.1266762461911402</v>
      </c>
      <c r="I1089" s="11">
        <v>-1.3974835333150799</v>
      </c>
      <c r="J1089" s="10">
        <v>0.16226821501928801</v>
      </c>
      <c r="K1089" s="29">
        <v>0.87889577502008398</v>
      </c>
    </row>
    <row r="1090" spans="1:11" x14ac:dyDescent="0.35">
      <c r="A1090" s="9" t="str">
        <f>HYPERLINK("http://www.ensembl.org/id/WBGene00022854", "WBGene00022854")</f>
        <v>WBGene00022854</v>
      </c>
      <c r="B1090" s="9" t="str">
        <f>HYPERLINK("http://www.ncbi.nlm.nih.gov/gene/191525", "191525")</f>
        <v>191525</v>
      </c>
      <c r="C1090" s="9"/>
      <c r="D1090" t="str">
        <f>"cin-4"</f>
        <v>cin-4</v>
      </c>
      <c r="E1090" t="s">
        <v>362</v>
      </c>
      <c r="F1090" t="s">
        <v>11</v>
      </c>
      <c r="G1090" t="s">
        <v>363</v>
      </c>
      <c r="H1090" s="12">
        <v>-3.1265319988238698</v>
      </c>
      <c r="I1090" s="11">
        <v>-3.82172617437331</v>
      </c>
      <c r="J1090" s="10">
        <v>1.3252079334461601E-4</v>
      </c>
      <c r="K1090" s="29">
        <v>8.1436847101614002E-3</v>
      </c>
    </row>
    <row r="1091" spans="1:11" x14ac:dyDescent="0.35">
      <c r="A1091" s="9" t="str">
        <f>HYPERLINK("http://www.ensembl.org/id/WBGene00013013", "WBGene00013013")</f>
        <v>WBGene00013013</v>
      </c>
      <c r="B1091" s="9" t="str">
        <f>HYPERLINK("http://www.ncbi.nlm.nih.gov/gene/175003", "175003")</f>
        <v>175003</v>
      </c>
      <c r="C1091" s="9"/>
      <c r="D1091" t="str">
        <f>"clec-145"</f>
        <v>clec-145</v>
      </c>
      <c r="E1091" t="s">
        <v>46</v>
      </c>
      <c r="F1091" t="s">
        <v>11</v>
      </c>
      <c r="G1091" t="s">
        <v>47</v>
      </c>
      <c r="H1091" s="12">
        <v>-3.11338359107086</v>
      </c>
      <c r="I1091" s="11">
        <v>-6.41585608160789</v>
      </c>
      <c r="J1091" s="10">
        <v>1.4003369070374999E-10</v>
      </c>
      <c r="K1091" s="29">
        <v>1.4707356624549299E-7</v>
      </c>
    </row>
    <row r="1092" spans="1:11" x14ac:dyDescent="0.35">
      <c r="A1092" s="9" t="str">
        <f>HYPERLINK("http://www.ensembl.org/id/WBGene00010769", "WBGene00010769")</f>
        <v>WBGene00010769</v>
      </c>
      <c r="B1092" s="9" t="str">
        <f>HYPERLINK("http://www.ncbi.nlm.nih.gov/gene/173120", "173120")</f>
        <v>173120</v>
      </c>
      <c r="C1092" s="9" t="str">
        <f>HYPERLINK("http://www.ncbi.nlm.nih.gov/gene/427", "427")</f>
        <v>427</v>
      </c>
      <c r="D1092" t="str">
        <f>"asah-1"</f>
        <v>asah-1</v>
      </c>
      <c r="E1092" t="s">
        <v>88</v>
      </c>
      <c r="F1092" t="s">
        <v>11</v>
      </c>
      <c r="G1092" t="s">
        <v>89</v>
      </c>
      <c r="H1092" s="12">
        <v>-3.1076688948020501</v>
      </c>
      <c r="I1092" s="11">
        <v>-5.67545781096364</v>
      </c>
      <c r="J1092" s="10">
        <v>1.3831823131047199E-8</v>
      </c>
      <c r="K1092" s="29">
        <v>4.9168939271688797E-6</v>
      </c>
    </row>
    <row r="1093" spans="1:11" x14ac:dyDescent="0.35">
      <c r="A1093" s="9" t="str">
        <f>HYPERLINK("http://www.ensembl.org/id/WBGene00005123", "WBGene00005123")</f>
        <v>WBGene00005123</v>
      </c>
      <c r="B1093" s="9" t="str">
        <f>HYPERLINK("http://www.ncbi.nlm.nih.gov/gene/184603", "184603")</f>
        <v>184603</v>
      </c>
      <c r="C1093" s="9"/>
      <c r="D1093" t="str">
        <f>"srd-45"</f>
        <v>srd-45</v>
      </c>
      <c r="E1093" t="s">
        <v>10085</v>
      </c>
      <c r="F1093" t="s">
        <v>11</v>
      </c>
      <c r="G1093" t="s">
        <v>25</v>
      </c>
      <c r="H1093" s="12">
        <v>-3.1055906756211602</v>
      </c>
      <c r="I1093" s="11">
        <v>-0.66888974804928003</v>
      </c>
      <c r="J1093" s="10">
        <v>0.50356581040913695</v>
      </c>
      <c r="K1093" s="29">
        <v>0.98289565623980701</v>
      </c>
    </row>
    <row r="1094" spans="1:11" x14ac:dyDescent="0.35">
      <c r="A1094" s="9" t="str">
        <f>HYPERLINK("http://www.ensembl.org/id/WBGene00015273", "WBGene00015273")</f>
        <v>WBGene00015273</v>
      </c>
      <c r="B1094" s="9" t="str">
        <f>HYPERLINK("http://www.ncbi.nlm.nih.gov/gene/182056", "182056")</f>
        <v>182056</v>
      </c>
      <c r="C1094" s="9" t="str">
        <f>HYPERLINK("http://www.ncbi.nlm.nih.gov/gene/117247", "117247")</f>
        <v>117247</v>
      </c>
      <c r="D1094" t="str">
        <f>"mct-2"</f>
        <v>mct-2</v>
      </c>
      <c r="E1094" t="s">
        <v>730</v>
      </c>
      <c r="F1094" t="s">
        <v>11</v>
      </c>
      <c r="G1094" t="s">
        <v>731</v>
      </c>
      <c r="H1094" s="12">
        <v>-3.1031326686782701</v>
      </c>
      <c r="I1094" s="11">
        <v>-0.74783099327665803</v>
      </c>
      <c r="J1094" s="10">
        <v>0.45456210508072997</v>
      </c>
      <c r="K1094" s="29">
        <v>0.98289565623980701</v>
      </c>
    </row>
    <row r="1095" spans="1:11" x14ac:dyDescent="0.35">
      <c r="A1095" s="9" t="str">
        <f>HYPERLINK("http://www.ensembl.org/id/WBGene00018010", "WBGene00018010")</f>
        <v>WBGene00018010</v>
      </c>
      <c r="B1095" s="9" t="str">
        <f>HYPERLINK("http://www.ncbi.nlm.nih.gov/gene/178555", "178555")</f>
        <v>178555</v>
      </c>
      <c r="C1095" s="9"/>
      <c r="D1095" t="str">
        <f>"F33E11.2"</f>
        <v>F33E11.2</v>
      </c>
      <c r="F1095" t="s">
        <v>11</v>
      </c>
      <c r="H1095" s="12">
        <v>-3.10055099291881</v>
      </c>
      <c r="I1095" s="11">
        <v>-4.8864764173335402</v>
      </c>
      <c r="J1095" s="10">
        <v>1.0265661721858801E-6</v>
      </c>
      <c r="K1095" s="29">
        <v>1.5708501969885399E-4</v>
      </c>
    </row>
    <row r="1096" spans="1:11" x14ac:dyDescent="0.35">
      <c r="A1096" s="9" t="str">
        <f>HYPERLINK("http://www.ensembl.org/id/WBGene00022345", "WBGene00022345")</f>
        <v>WBGene00022345</v>
      </c>
      <c r="B1096" s="9" t="str">
        <f>HYPERLINK("http://www.ncbi.nlm.nih.gov/gene/190774", "190774")</f>
        <v>190774</v>
      </c>
      <c r="C1096" s="9"/>
      <c r="D1096" t="str">
        <f>"fbxa-138"</f>
        <v>fbxa-138</v>
      </c>
      <c r="E1096" t="s">
        <v>467</v>
      </c>
      <c r="F1096" t="s">
        <v>11</v>
      </c>
      <c r="G1096" t="s">
        <v>417</v>
      </c>
      <c r="H1096" s="12">
        <v>-3.0997992953161599</v>
      </c>
      <c r="I1096" s="11">
        <v>-2.5485193162184401</v>
      </c>
      <c r="J1096" s="10">
        <v>1.0818129568045599E-2</v>
      </c>
      <c r="K1096" s="29">
        <v>0.20488828016332999</v>
      </c>
    </row>
    <row r="1097" spans="1:11" x14ac:dyDescent="0.35">
      <c r="A1097" s="9" t="str">
        <f>HYPERLINK("http://www.ensembl.org/id/WBGene00017213", "WBGene00017213")</f>
        <v>WBGene00017213</v>
      </c>
      <c r="B1097" s="9" t="str">
        <f>HYPERLINK("http://www.ncbi.nlm.nih.gov/gene/184145", "184145")</f>
        <v>184145</v>
      </c>
      <c r="C1097" s="9"/>
      <c r="D1097" t="str">
        <f>"F07E5.8"</f>
        <v>F07E5.8</v>
      </c>
      <c r="F1097" t="s">
        <v>11</v>
      </c>
      <c r="G1097" t="s">
        <v>25</v>
      </c>
      <c r="H1097" s="12">
        <v>-3.09447293197525</v>
      </c>
      <c r="I1097" s="11">
        <v>-0.45065767769930198</v>
      </c>
      <c r="J1097" s="10">
        <v>0.652236289690723</v>
      </c>
      <c r="K1097" s="29">
        <v>0.98289565623980701</v>
      </c>
    </row>
    <row r="1098" spans="1:11" x14ac:dyDescent="0.35">
      <c r="A1098" s="9" t="str">
        <f>HYPERLINK("http://www.ensembl.org/id/WBGene00012020", "WBGene00012020")</f>
        <v>WBGene00012020</v>
      </c>
      <c r="B1098" s="9" t="str">
        <f>HYPERLINK("http://www.ncbi.nlm.nih.gov/gene/180119", "180119")</f>
        <v>180119</v>
      </c>
      <c r="C1098" s="9" t="str">
        <f>HYPERLINK("http://www.ncbi.nlm.nih.gov/gene/8908", "8908")</f>
        <v>8908</v>
      </c>
      <c r="D1098" t="str">
        <f>"gyg-2"</f>
        <v>gyg-2</v>
      </c>
      <c r="E1098" t="s">
        <v>78</v>
      </c>
      <c r="F1098" t="s">
        <v>11</v>
      </c>
      <c r="G1098" t="s">
        <v>79</v>
      </c>
      <c r="H1098" s="12">
        <v>-3.0914113308639699</v>
      </c>
      <c r="I1098" s="11">
        <v>-5.92674691856715</v>
      </c>
      <c r="J1098" s="10">
        <v>3.0899462821585899E-9</v>
      </c>
      <c r="K1098" s="29">
        <v>1.34709997727465E-6</v>
      </c>
    </row>
    <row r="1099" spans="1:11" x14ac:dyDescent="0.35">
      <c r="A1099" s="9" t="str">
        <f>HYPERLINK("http://www.ensembl.org/id/WBGene00022590", "WBGene00022590")</f>
        <v>WBGene00022590</v>
      </c>
      <c r="B1099" s="9" t="str">
        <f>HYPERLINK("http://www.ncbi.nlm.nih.gov/gene/191143", "191143")</f>
        <v>191143</v>
      </c>
      <c r="C1099" s="9"/>
      <c r="D1099" t="str">
        <f>"ZC317.7"</f>
        <v>ZC317.7</v>
      </c>
      <c r="F1099" t="s">
        <v>11</v>
      </c>
      <c r="H1099" s="12">
        <v>-3.08962241293507</v>
      </c>
      <c r="I1099" s="11">
        <v>-2.6421061227756701</v>
      </c>
      <c r="J1099" s="10">
        <v>8.2392235383641696E-3</v>
      </c>
      <c r="K1099" s="29">
        <v>0.171664110980561</v>
      </c>
    </row>
    <row r="1100" spans="1:11" x14ac:dyDescent="0.35">
      <c r="A1100" s="9" t="str">
        <f>HYPERLINK("http://www.ensembl.org/id/WBGene00020357", "WBGene00020357")</f>
        <v>WBGene00020357</v>
      </c>
      <c r="B1100" s="9" t="str">
        <f>HYPERLINK("http://www.ncbi.nlm.nih.gov/gene/188287", "188287")</f>
        <v>188287</v>
      </c>
      <c r="C1100" s="9"/>
      <c r="D1100" t="str">
        <f>"T08E11.1"</f>
        <v>T08E11.1</v>
      </c>
      <c r="F1100" t="s">
        <v>11</v>
      </c>
      <c r="G1100" t="s">
        <v>54</v>
      </c>
      <c r="H1100" s="12">
        <v>-3.0833327978898901</v>
      </c>
      <c r="I1100" s="11">
        <v>-0.85938944071081202</v>
      </c>
      <c r="J1100" s="10">
        <v>0.39012569342160502</v>
      </c>
      <c r="K1100" s="29">
        <v>0.98289565623980701</v>
      </c>
    </row>
    <row r="1101" spans="1:11" x14ac:dyDescent="0.35">
      <c r="A1101" s="9" t="str">
        <f>HYPERLINK("http://www.ensembl.org/id/WBGene00012959", "WBGene00012959")</f>
        <v>WBGene00012959</v>
      </c>
      <c r="B1101" s="9" t="str">
        <f>HYPERLINK("http://www.ncbi.nlm.nih.gov/gene/190008", "190008")</f>
        <v>190008</v>
      </c>
      <c r="C1101" s="9"/>
      <c r="D1101" t="str">
        <f>"Y47H10A.3"</f>
        <v>Y47H10A.3</v>
      </c>
      <c r="F1101" t="s">
        <v>11</v>
      </c>
      <c r="G1101" t="s">
        <v>644</v>
      </c>
      <c r="H1101" s="12">
        <v>-3.08270235628411</v>
      </c>
      <c r="I1101" s="11">
        <v>-2.7259963776229599</v>
      </c>
      <c r="J1101" s="10">
        <v>6.41077019039679E-3</v>
      </c>
      <c r="K1101" s="29">
        <v>0.14174857035340499</v>
      </c>
    </row>
    <row r="1102" spans="1:11" x14ac:dyDescent="0.35">
      <c r="A1102" s="9" t="str">
        <f>HYPERLINK("http://www.ensembl.org/id/WBGene00020910", "WBGene00020910")</f>
        <v>WBGene00020910</v>
      </c>
      <c r="B1102" s="9" t="str">
        <f>HYPERLINK("http://www.ncbi.nlm.nih.gov/gene/189077", "189077")</f>
        <v>189077</v>
      </c>
      <c r="C1102" s="9" t="str">
        <f>HYPERLINK("http://www.ncbi.nlm.nih.gov/gene/80168", "80168")</f>
        <v>80168</v>
      </c>
      <c r="D1102" t="str">
        <f>"dgtr-1"</f>
        <v>dgtr-1</v>
      </c>
      <c r="E1102" t="s">
        <v>218</v>
      </c>
      <c r="F1102" t="s">
        <v>11</v>
      </c>
      <c r="G1102" t="s">
        <v>219</v>
      </c>
      <c r="H1102" s="12">
        <v>-3.0791632654616699</v>
      </c>
      <c r="I1102" s="11">
        <v>-4.4664778939086203</v>
      </c>
      <c r="J1102" s="10">
        <v>7.9517874607968993E-6</v>
      </c>
      <c r="K1102" s="29">
        <v>8.6260094398672802E-4</v>
      </c>
    </row>
    <row r="1103" spans="1:11" x14ac:dyDescent="0.35">
      <c r="A1103" s="9" t="str">
        <f>HYPERLINK("http://www.ensembl.org/id/WBGene00009895", "WBGene00009895")</f>
        <v>WBGene00009895</v>
      </c>
      <c r="B1103" s="9" t="str">
        <f>HYPERLINK("http://www.ncbi.nlm.nih.gov/gene/178251", "178251")</f>
        <v>178251</v>
      </c>
      <c r="C1103" s="9"/>
      <c r="D1103" t="str">
        <f>"scl-2"</f>
        <v>scl-2</v>
      </c>
      <c r="E1103" t="s">
        <v>162</v>
      </c>
      <c r="F1103" t="s">
        <v>11</v>
      </c>
      <c r="G1103" t="s">
        <v>63</v>
      </c>
      <c r="H1103" s="12">
        <v>-3.07761927392295</v>
      </c>
      <c r="I1103" s="11">
        <v>-4.94363384053801</v>
      </c>
      <c r="J1103" s="10">
        <v>7.6679663832090605E-7</v>
      </c>
      <c r="K1103" s="29">
        <v>1.2746477068376099E-4</v>
      </c>
    </row>
    <row r="1104" spans="1:11" x14ac:dyDescent="0.35">
      <c r="A1104" s="9" t="str">
        <f>HYPERLINK("http://www.ensembl.org/id/WBGene00007423", "WBGene00007423")</f>
        <v>WBGene00007423</v>
      </c>
      <c r="B1104" s="9" t="str">
        <f>HYPERLINK("http://www.ncbi.nlm.nih.gov/gene/266922", "266922")</f>
        <v>266922</v>
      </c>
      <c r="C1104" s="9"/>
      <c r="D1104" t="str">
        <f>"C08B6.2"</f>
        <v>C08B6.2</v>
      </c>
      <c r="F1104" t="s">
        <v>11</v>
      </c>
      <c r="H1104" s="12">
        <v>-3.07712410295286</v>
      </c>
      <c r="I1104" s="11">
        <v>-0.958926006173627</v>
      </c>
      <c r="J1104" s="10">
        <v>0.337596022514911</v>
      </c>
      <c r="K1104" s="29">
        <v>0.98289565623980701</v>
      </c>
    </row>
    <row r="1105" spans="1:11" x14ac:dyDescent="0.35">
      <c r="A1105" s="9" t="str">
        <f>HYPERLINK("http://www.ensembl.org/id/WBGene00021094", "WBGene00021094")</f>
        <v>WBGene00021094</v>
      </c>
      <c r="B1105" s="9" t="str">
        <f>HYPERLINK("http://www.ncbi.nlm.nih.gov/gene/189299", "189299")</f>
        <v>189299</v>
      </c>
      <c r="C1105" s="9"/>
      <c r="D1105" t="str">
        <f>"W08F4.5"</f>
        <v>W08F4.5</v>
      </c>
      <c r="F1105" t="s">
        <v>11</v>
      </c>
      <c r="H1105" s="12">
        <v>-3.0733576026554501</v>
      </c>
      <c r="I1105" s="11">
        <v>-0.98579161653893499</v>
      </c>
      <c r="J1105" s="10">
        <v>0.32423538050011802</v>
      </c>
      <c r="K1105" s="29">
        <v>0.98289565623980701</v>
      </c>
    </row>
    <row r="1106" spans="1:11" x14ac:dyDescent="0.35">
      <c r="A1106" s="9" t="str">
        <f>HYPERLINK("http://www.ensembl.org/id/WBGene00022775", "WBGene00022775")</f>
        <v>WBGene00022775</v>
      </c>
      <c r="B1106" s="9" t="str">
        <f>HYPERLINK("http://www.ncbi.nlm.nih.gov/gene/177323", "177323")</f>
        <v>177323</v>
      </c>
      <c r="C1106" s="9"/>
      <c r="D1106" t="str">
        <f>"ZK616.5"</f>
        <v>ZK616.5</v>
      </c>
      <c r="F1106" t="s">
        <v>11</v>
      </c>
      <c r="H1106" s="12">
        <v>-3.0717952970887099</v>
      </c>
      <c r="I1106" s="11">
        <v>-4.5772836674557897</v>
      </c>
      <c r="J1106" s="10">
        <v>4.7105251200805102E-6</v>
      </c>
      <c r="K1106" s="29">
        <v>5.7588038848984204E-4</v>
      </c>
    </row>
    <row r="1107" spans="1:11" x14ac:dyDescent="0.35">
      <c r="A1107" s="9" t="str">
        <f>HYPERLINK("http://www.ensembl.org/id/WBGene00019978", "WBGene00019978")</f>
        <v>WBGene00019978</v>
      </c>
      <c r="B1107" s="9" t="str">
        <f>HYPERLINK("http://www.ncbi.nlm.nih.gov/gene/178638", "178638")</f>
        <v>178638</v>
      </c>
      <c r="C1107" s="9"/>
      <c r="D1107" t="str">
        <f>"hacd-1"</f>
        <v>hacd-1</v>
      </c>
      <c r="E1107" t="s">
        <v>65</v>
      </c>
      <c r="F1107" t="s">
        <v>11</v>
      </c>
      <c r="G1107" t="s">
        <v>66</v>
      </c>
      <c r="H1107" s="12">
        <v>-3.0650163989257901</v>
      </c>
      <c r="I1107" s="11">
        <v>-6.1173263879014099</v>
      </c>
      <c r="J1107" s="10">
        <v>9.5158340429591493E-10</v>
      </c>
      <c r="K1107" s="29">
        <v>5.1427152616296304E-7</v>
      </c>
    </row>
    <row r="1108" spans="1:11" x14ac:dyDescent="0.35">
      <c r="A1108" s="9" t="str">
        <f>HYPERLINK("http://www.ensembl.org/id/WBGene00010621", "WBGene00010621")</f>
        <v>WBGene00010621</v>
      </c>
      <c r="B1108" s="9" t="str">
        <f>HYPERLINK("http://www.ncbi.nlm.nih.gov/gene/172670", "172670")</f>
        <v>172670</v>
      </c>
      <c r="C1108" s="9"/>
      <c r="D1108" t="str">
        <f>"egg-6"</f>
        <v>egg-6</v>
      </c>
      <c r="E1108" t="s">
        <v>111</v>
      </c>
      <c r="F1108" t="s">
        <v>11</v>
      </c>
      <c r="G1108" t="s">
        <v>54</v>
      </c>
      <c r="H1108" s="12">
        <v>-3.0648662256819299</v>
      </c>
      <c r="I1108" s="11">
        <v>-5.4237482252673397</v>
      </c>
      <c r="J1108" s="10">
        <v>5.8362072834694397E-8</v>
      </c>
      <c r="K1108" s="29">
        <v>1.5194787680619999E-5</v>
      </c>
    </row>
    <row r="1109" spans="1:11" x14ac:dyDescent="0.35">
      <c r="A1109" s="9" t="str">
        <f>HYPERLINK("http://www.ensembl.org/id/WBGene00015828", "WBGene00015828")</f>
        <v>WBGene00015828</v>
      </c>
      <c r="B1109" s="9" t="str">
        <f>HYPERLINK("http://www.ncbi.nlm.nih.gov/gene/182658", "182658")</f>
        <v>182658</v>
      </c>
      <c r="C1109" s="9"/>
      <c r="D1109" t="str">
        <f>"math-14"</f>
        <v>math-14</v>
      </c>
      <c r="E1109" t="s">
        <v>596</v>
      </c>
      <c r="F1109" t="s">
        <v>11</v>
      </c>
      <c r="G1109" t="s">
        <v>54</v>
      </c>
      <c r="H1109" s="12">
        <v>-3.0544100734700801</v>
      </c>
      <c r="I1109" s="11">
        <v>-2.28263923663929</v>
      </c>
      <c r="J1109" s="10">
        <v>2.2451627740344302E-2</v>
      </c>
      <c r="K1109" s="29">
        <v>0.32362277639949799</v>
      </c>
    </row>
    <row r="1110" spans="1:11" x14ac:dyDescent="0.35">
      <c r="A1110" s="9" t="str">
        <f>HYPERLINK("http://www.ensembl.org/id/WBGene00010917", "WBGene00010917")</f>
        <v>WBGene00010917</v>
      </c>
      <c r="B1110" s="9" t="str">
        <f>HYPERLINK("http://www.ncbi.nlm.nih.gov/gene/3564934", "3564934")</f>
        <v>3564934</v>
      </c>
      <c r="C1110" s="9"/>
      <c r="D1110" t="str">
        <f>"M110.9"</f>
        <v>M110.9</v>
      </c>
      <c r="F1110" t="s">
        <v>11</v>
      </c>
      <c r="H1110" s="12">
        <v>-3.0527739414926298</v>
      </c>
      <c r="I1110" s="11">
        <v>-0.73305372675430602</v>
      </c>
      <c r="J1110" s="10">
        <v>0.463525661292504</v>
      </c>
      <c r="K1110" s="29">
        <v>0.98289565623980701</v>
      </c>
    </row>
    <row r="1111" spans="1:11" x14ac:dyDescent="0.35">
      <c r="A1111" s="9" t="str">
        <f>HYPERLINK("http://www.ensembl.org/id/WBGene00010692", "WBGene00010692")</f>
        <v>WBGene00010692</v>
      </c>
      <c r="B1111" s="9" t="str">
        <f>HYPERLINK("http://www.ncbi.nlm.nih.gov/gene/187176", "187176")</f>
        <v>187176</v>
      </c>
      <c r="C1111" s="9"/>
      <c r="D1111" t="str">
        <f>"K08H2.5"</f>
        <v>K08H2.5</v>
      </c>
      <c r="F1111" t="s">
        <v>11</v>
      </c>
      <c r="G1111" t="s">
        <v>4301</v>
      </c>
      <c r="H1111" s="12">
        <v>-3.0525918990244301</v>
      </c>
      <c r="I1111" s="11">
        <v>-0.56708740383808998</v>
      </c>
      <c r="J1111" s="10">
        <v>0.57065480036307303</v>
      </c>
      <c r="K1111" s="29">
        <v>0.98289565623980701</v>
      </c>
    </row>
    <row r="1112" spans="1:11" x14ac:dyDescent="0.35">
      <c r="A1112" s="9" t="str">
        <f>HYPERLINK("http://www.ensembl.org/id/WBGene00017660", "WBGene00017660")</f>
        <v>WBGene00017660</v>
      </c>
      <c r="B1112" s="9" t="str">
        <f>HYPERLINK("http://www.ncbi.nlm.nih.gov/gene/179293", "179293")</f>
        <v>179293</v>
      </c>
      <c r="C1112" s="9"/>
      <c r="D1112" t="str">
        <f>"F21C10.11"</f>
        <v>F21C10.11</v>
      </c>
      <c r="F1112" t="s">
        <v>11</v>
      </c>
      <c r="H1112" s="12">
        <v>-3.0492554976930601</v>
      </c>
      <c r="I1112" s="11">
        <v>-4.3939777858326803</v>
      </c>
      <c r="J1112" s="10">
        <v>1.11295193573765E-5</v>
      </c>
      <c r="K1112" s="29">
        <v>1.1278889222435999E-3</v>
      </c>
    </row>
    <row r="1113" spans="1:11" x14ac:dyDescent="0.35">
      <c r="A1113" s="9" t="str">
        <f>HYPERLINK("http://www.ensembl.org/id/WBGene00219378", "WBGene00219378")</f>
        <v>WBGene00219378</v>
      </c>
      <c r="B1113" s="9" t="str">
        <f>HYPERLINK("http://www.ncbi.nlm.nih.gov/gene/24104581", "24104581")</f>
        <v>24104581</v>
      </c>
      <c r="C1113" s="9"/>
      <c r="D1113" t="str">
        <f>"F43G6.17"</f>
        <v>F43G6.17</v>
      </c>
      <c r="F1113" t="s">
        <v>11</v>
      </c>
      <c r="H1113" s="12">
        <v>-3.0413543832088701</v>
      </c>
      <c r="I1113" s="11">
        <v>-0.82302848568776199</v>
      </c>
      <c r="J1113" s="10">
        <v>0.41049179467373897</v>
      </c>
      <c r="K1113" s="29">
        <v>0.98289565623980701</v>
      </c>
    </row>
    <row r="1114" spans="1:11" x14ac:dyDescent="0.35">
      <c r="A1114" s="9" t="str">
        <f>HYPERLINK("http://www.ensembl.org/id/WBGene00003410", "WBGene00003410")</f>
        <v>WBGene00003410</v>
      </c>
      <c r="B1114" s="9" t="str">
        <f>HYPERLINK("http://www.ncbi.nlm.nih.gov/gene/181202", "181202")</f>
        <v>181202</v>
      </c>
      <c r="C1114" s="9" t="str">
        <f>HYPERLINK("http://www.ncbi.nlm.nih.gov/gene/8714", "8714")</f>
        <v>8714</v>
      </c>
      <c r="D1114" t="str">
        <f>"mrp-4"</f>
        <v>mrp-4</v>
      </c>
      <c r="F1114" t="s">
        <v>11</v>
      </c>
      <c r="G1114" t="s">
        <v>87</v>
      </c>
      <c r="H1114" s="12">
        <v>-3.0370148098729302</v>
      </c>
      <c r="I1114" s="11">
        <v>-5.6987866541240599</v>
      </c>
      <c r="J1114" s="10">
        <v>1.2066311197111199E-8</v>
      </c>
      <c r="K1114" s="29">
        <v>4.3563154143820503E-6</v>
      </c>
    </row>
    <row r="1115" spans="1:11" x14ac:dyDescent="0.35">
      <c r="A1115" s="9" t="str">
        <f>HYPERLINK("http://www.ensembl.org/id/WBGene00007624", "WBGene00007624")</f>
        <v>WBGene00007624</v>
      </c>
      <c r="B1115" s="9" t="str">
        <f>HYPERLINK("http://www.ncbi.nlm.nih.gov/gene/175535", "175535")</f>
        <v>175535</v>
      </c>
      <c r="C1115" s="9"/>
      <c r="D1115" t="str">
        <f>"hrde-1"</f>
        <v>hrde-1</v>
      </c>
      <c r="E1115" t="s">
        <v>116</v>
      </c>
      <c r="F1115" t="s">
        <v>11</v>
      </c>
      <c r="G1115" t="s">
        <v>117</v>
      </c>
      <c r="H1115" s="12">
        <v>-3.0365207008106001</v>
      </c>
      <c r="I1115" s="11">
        <v>-5.3622386331312901</v>
      </c>
      <c r="J1115" s="10">
        <v>8.2196851759804098E-8</v>
      </c>
      <c r="K1115" s="29">
        <v>2.0421940395290701E-5</v>
      </c>
    </row>
    <row r="1116" spans="1:11" x14ac:dyDescent="0.35">
      <c r="A1116" s="9" t="str">
        <f>HYPERLINK("http://www.ensembl.org/id/WBGene00015153", "WBGene00015153")</f>
        <v>WBGene00015153</v>
      </c>
      <c r="B1116" s="9" t="str">
        <f>HYPERLINK("http://www.ncbi.nlm.nih.gov/gene/181937", "181937")</f>
        <v>181937</v>
      </c>
      <c r="C1116" s="9"/>
      <c r="D1116" t="str">
        <f>"B0348.5"</f>
        <v>B0348.5</v>
      </c>
      <c r="F1116" t="s">
        <v>11</v>
      </c>
      <c r="H1116" s="12">
        <v>-3.0357064549837798</v>
      </c>
      <c r="I1116" s="11">
        <v>-1.3267656506091301</v>
      </c>
      <c r="J1116" s="10">
        <v>0.18458621637140299</v>
      </c>
      <c r="K1116" s="29">
        <v>0.92229745421989695</v>
      </c>
    </row>
    <row r="1117" spans="1:11" x14ac:dyDescent="0.35">
      <c r="A1117" s="9" t="str">
        <f>HYPERLINK("http://www.ensembl.org/id/WBGene00016485", "WBGene00016485")</f>
        <v>WBGene00016485</v>
      </c>
      <c r="B1117" s="9" t="str">
        <f>HYPERLINK("http://www.ncbi.nlm.nih.gov/gene/180497", "180497")</f>
        <v>180497</v>
      </c>
      <c r="C1117" s="9"/>
      <c r="D1117" t="str">
        <f>"meg-4"</f>
        <v>meg-4</v>
      </c>
      <c r="F1117" t="s">
        <v>11</v>
      </c>
      <c r="G1117" t="s">
        <v>188</v>
      </c>
      <c r="H1117" s="12">
        <v>-3.0340685720031901</v>
      </c>
      <c r="I1117" s="11">
        <v>-4.7339575783989396</v>
      </c>
      <c r="J1117" s="10">
        <v>2.2018376554084801E-6</v>
      </c>
      <c r="K1117" s="29">
        <v>2.8906625491970599E-4</v>
      </c>
    </row>
    <row r="1118" spans="1:11" x14ac:dyDescent="0.35">
      <c r="A1118" s="9" t="str">
        <f>HYPERLINK("http://www.ensembl.org/id/WBGene00003231", "WBGene00003231")</f>
        <v>WBGene00003231</v>
      </c>
      <c r="B1118" s="9" t="str">
        <f>HYPERLINK("http://www.ncbi.nlm.nih.gov/gene/174504", "174504")</f>
        <v>174504</v>
      </c>
      <c r="C1118" s="9"/>
      <c r="D1118" t="str">
        <f>"mex-6"</f>
        <v>mex-6</v>
      </c>
      <c r="E1118" t="s">
        <v>95</v>
      </c>
      <c r="F1118" t="s">
        <v>11</v>
      </c>
      <c r="G1118" t="s">
        <v>51</v>
      </c>
      <c r="H1118" s="12">
        <v>-3.03201309366945</v>
      </c>
      <c r="I1118" s="11">
        <v>-5.6176847984045404</v>
      </c>
      <c r="J1118" s="10">
        <v>1.9353313730995699E-8</v>
      </c>
      <c r="K1118" s="29">
        <v>6.3882523866912502E-6</v>
      </c>
    </row>
    <row r="1119" spans="1:11" x14ac:dyDescent="0.35">
      <c r="A1119" s="9" t="str">
        <f>HYPERLINK("http://www.ensembl.org/id/WBGene00017462", "WBGene00017462")</f>
        <v>WBGene00017462</v>
      </c>
      <c r="B1119" s="9" t="str">
        <f>HYPERLINK("http://www.ncbi.nlm.nih.gov/gene/3565330", "3565330")</f>
        <v>3565330</v>
      </c>
      <c r="C1119" s="9"/>
      <c r="D1119" t="str">
        <f>"F14D2.14"</f>
        <v>F14D2.14</v>
      </c>
      <c r="F1119" t="s">
        <v>11</v>
      </c>
      <c r="H1119" s="12">
        <v>-3.02931598228195</v>
      </c>
      <c r="I1119" s="11">
        <v>-1.2387990888828599</v>
      </c>
      <c r="J1119" s="10">
        <v>0.21541991140553199</v>
      </c>
      <c r="K1119" s="29">
        <v>0.96910080572180402</v>
      </c>
    </row>
    <row r="1120" spans="1:11" x14ac:dyDescent="0.35">
      <c r="A1120" s="9" t="str">
        <f>HYPERLINK("http://www.ensembl.org/id/WBGene00004798", "WBGene00004798")</f>
        <v>WBGene00004798</v>
      </c>
      <c r="B1120" s="9" t="str">
        <f>HYPERLINK("http://www.ncbi.nlm.nih.gov/gene/176471", "176471")</f>
        <v>176471</v>
      </c>
      <c r="C1120" s="9"/>
      <c r="D1120" t="str">
        <f>"sip-1"</f>
        <v>sip-1</v>
      </c>
      <c r="E1120" t="s">
        <v>60</v>
      </c>
      <c r="F1120" t="s">
        <v>11</v>
      </c>
      <c r="G1120" t="s">
        <v>61</v>
      </c>
      <c r="H1120" s="12">
        <v>-3.0245391278290099</v>
      </c>
      <c r="I1120" s="11">
        <v>-6.2213069491967898</v>
      </c>
      <c r="J1120" s="10">
        <v>4.9303053380049703E-10</v>
      </c>
      <c r="K1120" s="29">
        <v>3.0789090578362902E-7</v>
      </c>
    </row>
    <row r="1121" spans="1:11" x14ac:dyDescent="0.35">
      <c r="A1121" s="9" t="str">
        <f>HYPERLINK("http://www.ensembl.org/id/WBGene00007241", "WBGene00007241")</f>
        <v>WBGene00007241</v>
      </c>
      <c r="B1121" s="9" t="str">
        <f>HYPERLINK("http://www.ncbi.nlm.nih.gov/gene/3564842", "3564842")</f>
        <v>3564842</v>
      </c>
      <c r="C1121" s="9"/>
      <c r="D1121" t="str">
        <f>"C01G10.16"</f>
        <v>C01G10.16</v>
      </c>
      <c r="F1121" t="s">
        <v>11</v>
      </c>
      <c r="H1121" s="12">
        <v>-3.0241207078754799</v>
      </c>
      <c r="I1121" s="11">
        <v>-1.0080379197970699</v>
      </c>
      <c r="J1121" s="10">
        <v>0.313436258422992</v>
      </c>
      <c r="K1121" s="29">
        <v>0.98289565623980701</v>
      </c>
    </row>
    <row r="1122" spans="1:11" x14ac:dyDescent="0.35">
      <c r="A1122" s="9" t="str">
        <f>HYPERLINK("http://www.ensembl.org/id/WBGene00009643", "WBGene00009643")</f>
        <v>WBGene00009643</v>
      </c>
      <c r="B1122" s="9" t="str">
        <f>HYPERLINK("http://www.ncbi.nlm.nih.gov/gene/174952", "174952")</f>
        <v>174952</v>
      </c>
      <c r="C1122" s="9"/>
      <c r="D1122" t="str">
        <f>"F42G4.6"</f>
        <v>F42G4.6</v>
      </c>
      <c r="F1122" t="s">
        <v>11</v>
      </c>
      <c r="H1122" s="12">
        <v>-3.0230129423739398</v>
      </c>
      <c r="I1122" s="11">
        <v>-2.5903890564775698</v>
      </c>
      <c r="J1122" s="10">
        <v>9.5867517160098392E-3</v>
      </c>
      <c r="K1122" s="29">
        <v>0.19145331473649399</v>
      </c>
    </row>
    <row r="1123" spans="1:11" x14ac:dyDescent="0.35">
      <c r="A1123" s="9" t="str">
        <f>HYPERLINK("http://www.ensembl.org/id/WBGene00304202", "WBGene00304202")</f>
        <v>WBGene00304202</v>
      </c>
      <c r="B1123" s="9"/>
      <c r="C1123" s="9"/>
      <c r="D1123" t="str">
        <f>"F07C3.17"</f>
        <v>F07C3.17</v>
      </c>
      <c r="F1123" t="s">
        <v>80</v>
      </c>
      <c r="H1123" s="12">
        <v>-3.0211510347772701</v>
      </c>
      <c r="I1123" s="11">
        <v>-0.63411539322073696</v>
      </c>
      <c r="J1123" s="10">
        <v>0.52600551762981296</v>
      </c>
      <c r="K1123" s="29">
        <v>0.98289565623980701</v>
      </c>
    </row>
    <row r="1124" spans="1:11" x14ac:dyDescent="0.35">
      <c r="A1124" s="9" t="str">
        <f>HYPERLINK("http://www.ensembl.org/id/WBGene00016163", "WBGene00016163")</f>
        <v>WBGene00016163</v>
      </c>
      <c r="B1124" s="9" t="str">
        <f>HYPERLINK("http://www.ncbi.nlm.nih.gov/gene/173822", "173822")</f>
        <v>173822</v>
      </c>
      <c r="C1124" s="9"/>
      <c r="D1124" t="str">
        <f>"C27D9.1"</f>
        <v>C27D9.1</v>
      </c>
      <c r="F1124" t="s">
        <v>11</v>
      </c>
      <c r="G1124" t="s">
        <v>178</v>
      </c>
      <c r="H1124" s="12">
        <v>-3.0189444362172799</v>
      </c>
      <c r="I1124" s="11">
        <v>-4.7979106291526996</v>
      </c>
      <c r="J1124" s="10">
        <v>1.60329282176433E-6</v>
      </c>
      <c r="K1124" s="29">
        <v>2.2316677072100401E-4</v>
      </c>
    </row>
    <row r="1125" spans="1:11" x14ac:dyDescent="0.35">
      <c r="A1125" s="9" t="str">
        <f>HYPERLINK("http://www.ensembl.org/id/WBGene00020035", "WBGene00020035")</f>
        <v>WBGene00020035</v>
      </c>
      <c r="B1125" s="9" t="str">
        <f>HYPERLINK("http://www.ncbi.nlm.nih.gov/gene/172007", "172007")</f>
        <v>172007</v>
      </c>
      <c r="C1125" s="9"/>
      <c r="D1125" t="str">
        <f>"egg-5"</f>
        <v>egg-5</v>
      </c>
      <c r="E1125" t="s">
        <v>197</v>
      </c>
      <c r="F1125" t="s">
        <v>11</v>
      </c>
      <c r="G1125" t="s">
        <v>161</v>
      </c>
      <c r="H1125" s="12">
        <v>-3.0160861547185598</v>
      </c>
      <c r="I1125" s="11">
        <v>-4.5938646933138596</v>
      </c>
      <c r="J1125" s="10">
        <v>4.3511156390113403E-6</v>
      </c>
      <c r="K1125" s="29">
        <v>5.37630363395701E-4</v>
      </c>
    </row>
    <row r="1126" spans="1:11" x14ac:dyDescent="0.35">
      <c r="A1126" s="9" t="str">
        <f>HYPERLINK("http://www.ensembl.org/id/WBGene00018813", "WBGene00018813")</f>
        <v>WBGene00018813</v>
      </c>
      <c r="B1126" s="9"/>
      <c r="C1126" s="9"/>
      <c r="D1126" t="str">
        <f>"F54D11.3"</f>
        <v>F54D11.3</v>
      </c>
      <c r="F1126" t="s">
        <v>80</v>
      </c>
      <c r="H1126" s="12">
        <v>-3.0116188509422899</v>
      </c>
      <c r="I1126" s="11">
        <v>-1.69238424898257</v>
      </c>
      <c r="J1126" s="10">
        <v>9.0572733582377399E-2</v>
      </c>
      <c r="K1126" s="29">
        <v>0.69800596537680504</v>
      </c>
    </row>
    <row r="1127" spans="1:11" x14ac:dyDescent="0.35">
      <c r="A1127" s="9" t="str">
        <f>HYPERLINK("http://www.ensembl.org/id/WBGene00006559", "WBGene00006559")</f>
        <v>WBGene00006559</v>
      </c>
      <c r="B1127" s="9" t="str">
        <f>HYPERLINK("http://www.ncbi.nlm.nih.gov/gene/190679", "190679")</f>
        <v>190679</v>
      </c>
      <c r="C1127" s="9"/>
      <c r="D1127" t="str">
        <f>"tbx-40"</f>
        <v>tbx-40</v>
      </c>
      <c r="E1127" t="s">
        <v>10084</v>
      </c>
      <c r="F1127" t="s">
        <v>11</v>
      </c>
      <c r="G1127" t="s">
        <v>643</v>
      </c>
      <c r="H1127" s="12">
        <v>-3.0091613645874902</v>
      </c>
      <c r="I1127" s="11">
        <v>-1.05429712646919</v>
      </c>
      <c r="J1127" s="10">
        <v>0.291746903936347</v>
      </c>
      <c r="K1127" s="29">
        <v>0.98289565623980701</v>
      </c>
    </row>
    <row r="1128" spans="1:11" x14ac:dyDescent="0.35">
      <c r="A1128" s="9" t="str">
        <f>HYPERLINK("http://www.ensembl.org/id/WBGene00015677", "WBGene00015677")</f>
        <v>WBGene00015677</v>
      </c>
      <c r="B1128" s="9" t="str">
        <f>HYPERLINK("http://www.ncbi.nlm.nih.gov/gene/178986", "178986")</f>
        <v>178986</v>
      </c>
      <c r="C1128" s="9"/>
      <c r="D1128" t="str">
        <f>"cpg-4"</f>
        <v>cpg-4</v>
      </c>
      <c r="E1128" t="s">
        <v>147</v>
      </c>
      <c r="F1128" t="s">
        <v>11</v>
      </c>
      <c r="H1128" s="12">
        <v>-3.0038817866876202</v>
      </c>
      <c r="I1128" s="11">
        <v>-5.0450868764874599</v>
      </c>
      <c r="J1128" s="10">
        <v>4.5331534771806699E-7</v>
      </c>
      <c r="K1128" s="29">
        <v>8.6564499374988904E-5</v>
      </c>
    </row>
    <row r="1129" spans="1:11" x14ac:dyDescent="0.35">
      <c r="A1129" s="9" t="str">
        <f>HYPERLINK("http://www.ensembl.org/id/WBGene00011053", "WBGene00011053")</f>
        <v>WBGene00011053</v>
      </c>
      <c r="B1129" s="9" t="str">
        <f>HYPERLINK("http://www.ncbi.nlm.nih.gov/gene/187636", "187636")</f>
        <v>187636</v>
      </c>
      <c r="C1129" s="9"/>
      <c r="D1129" t="str">
        <f>"arrd-12"</f>
        <v>arrd-12</v>
      </c>
      <c r="E1129" t="s">
        <v>377</v>
      </c>
      <c r="F1129" t="s">
        <v>11</v>
      </c>
      <c r="H1129" s="12">
        <v>-3.0021499962793001</v>
      </c>
      <c r="I1129" s="11">
        <v>-0.44126540740164599</v>
      </c>
      <c r="J1129" s="10">
        <v>0.65902086634019996</v>
      </c>
      <c r="K1129" s="29">
        <v>0.98289565623980701</v>
      </c>
    </row>
    <row r="1130" spans="1:11" x14ac:dyDescent="0.35">
      <c r="A1130" s="9" t="str">
        <f>HYPERLINK("http://www.ensembl.org/id/WBGene00022529", "WBGene00022529")</f>
        <v>WBGene00022529</v>
      </c>
      <c r="B1130" s="9" t="str">
        <f>HYPERLINK("http://www.ncbi.nlm.nih.gov/gene/191088", "191088")</f>
        <v>191088</v>
      </c>
      <c r="C1130" s="9"/>
      <c r="D1130" t="str">
        <f>"srt-14"</f>
        <v>srt-14</v>
      </c>
      <c r="E1130" t="s">
        <v>2845</v>
      </c>
      <c r="F1130" t="s">
        <v>11</v>
      </c>
      <c r="G1130" t="s">
        <v>25</v>
      </c>
      <c r="H1130" s="12">
        <v>-3.0021499962793001</v>
      </c>
      <c r="I1130" s="11">
        <v>-0.44126540740164599</v>
      </c>
      <c r="J1130" s="10">
        <v>0.65902086634019996</v>
      </c>
      <c r="K1130" s="29">
        <v>0.98289565623980701</v>
      </c>
    </row>
    <row r="1131" spans="1:11" x14ac:dyDescent="0.35">
      <c r="A1131" s="9" t="str">
        <f>HYPERLINK("http://www.ensembl.org/id/WBGene00000866", "WBGene00000866")</f>
        <v>WBGene00000866</v>
      </c>
      <c r="B1131" s="9" t="str">
        <f>HYPERLINK("http://www.ncbi.nlm.nih.gov/gene/177994", "177994")</f>
        <v>177994</v>
      </c>
      <c r="C1131" s="9"/>
      <c r="D1131" t="str">
        <f>"cyb-2.1"</f>
        <v>cyb-2.1</v>
      </c>
      <c r="E1131" t="s">
        <v>130</v>
      </c>
      <c r="F1131" t="s">
        <v>11</v>
      </c>
      <c r="G1131" t="s">
        <v>131</v>
      </c>
      <c r="H1131" s="12">
        <v>-3.0015502769886502</v>
      </c>
      <c r="I1131" s="11">
        <v>-5.1655744358255999</v>
      </c>
      <c r="J1131" s="10">
        <v>2.3970161025090701E-7</v>
      </c>
      <c r="K1131" s="29">
        <v>5.06126804175292E-5</v>
      </c>
    </row>
    <row r="1132" spans="1:11" x14ac:dyDescent="0.35">
      <c r="A1132" s="9" t="str">
        <f>HYPERLINK("http://www.ensembl.org/id/WBGene00011362", "WBGene00011362")</f>
        <v>WBGene00011362</v>
      </c>
      <c r="B1132" s="9" t="str">
        <f>HYPERLINK("http://www.ncbi.nlm.nih.gov/gene/179915", "179915")</f>
        <v>179915</v>
      </c>
      <c r="C1132" s="9"/>
      <c r="D1132" t="str">
        <f>"cest-1"</f>
        <v>cest-1</v>
      </c>
      <c r="E1132" t="s">
        <v>383</v>
      </c>
      <c r="F1132" t="s">
        <v>11</v>
      </c>
      <c r="G1132" t="s">
        <v>1928</v>
      </c>
      <c r="H1132" s="12">
        <v>-2.9986442728328799</v>
      </c>
      <c r="I1132" s="11">
        <v>-1.90480053369724</v>
      </c>
      <c r="J1132" s="10">
        <v>5.6806004496944701E-2</v>
      </c>
      <c r="K1132" s="29">
        <v>0.56140271167938605</v>
      </c>
    </row>
    <row r="1133" spans="1:11" x14ac:dyDescent="0.35">
      <c r="A1133" s="9" t="str">
        <f>HYPERLINK("http://www.ensembl.org/id/WBGene00017601", "WBGene00017601")</f>
        <v>WBGene00017601</v>
      </c>
      <c r="B1133" s="9" t="str">
        <f>HYPERLINK("http://www.ncbi.nlm.nih.gov/gene/184687", "184687")</f>
        <v>184687</v>
      </c>
      <c r="C1133" s="9"/>
      <c r="D1133" t="str">
        <f>"ets-7"</f>
        <v>ets-7</v>
      </c>
      <c r="E1133" t="s">
        <v>2173</v>
      </c>
      <c r="F1133" t="s">
        <v>11</v>
      </c>
      <c r="G1133" t="s">
        <v>2723</v>
      </c>
      <c r="H1133" s="12">
        <v>-2.9943301205458099</v>
      </c>
      <c r="I1133" s="11">
        <v>-1.5898338755587</v>
      </c>
      <c r="J1133" s="10">
        <v>0.111872255831335</v>
      </c>
      <c r="K1133" s="29">
        <v>0.76635646108473998</v>
      </c>
    </row>
    <row r="1134" spans="1:11" x14ac:dyDescent="0.35">
      <c r="A1134" s="9" t="str">
        <f>HYPERLINK("http://www.ensembl.org/id/WBGene00017499", "WBGene00017499")</f>
        <v>WBGene00017499</v>
      </c>
      <c r="B1134" s="9" t="str">
        <f>HYPERLINK("http://www.ncbi.nlm.nih.gov/gene/178714", "178714")</f>
        <v>178714</v>
      </c>
      <c r="C1134" s="9"/>
      <c r="D1134" t="str">
        <f>"pud-1.1"</f>
        <v>pud-1.1</v>
      </c>
      <c r="E1134" t="s">
        <v>4437</v>
      </c>
      <c r="F1134" t="s">
        <v>11</v>
      </c>
      <c r="H1134" s="12">
        <v>-2.9937297343925802</v>
      </c>
      <c r="I1134" s="11">
        <v>-0.55255826444120004</v>
      </c>
      <c r="J1134" s="10">
        <v>0.58056592722938405</v>
      </c>
      <c r="K1134" s="29">
        <v>0.98289565623980701</v>
      </c>
    </row>
    <row r="1135" spans="1:11" x14ac:dyDescent="0.35">
      <c r="A1135" s="9" t="str">
        <f>HYPERLINK("http://www.ensembl.org/id/WBGene00012636", "WBGene00012636")</f>
        <v>WBGene00012636</v>
      </c>
      <c r="B1135" s="9" t="str">
        <f>HYPERLINK("http://www.ncbi.nlm.nih.gov/gene/189703", "189703")</f>
        <v>189703</v>
      </c>
      <c r="C1135" s="9"/>
      <c r="D1135" t="str">
        <f>"Y38H8A.2"</f>
        <v>Y38H8A.2</v>
      </c>
      <c r="F1135" t="s">
        <v>11</v>
      </c>
      <c r="G1135" t="s">
        <v>51</v>
      </c>
      <c r="H1135" s="12">
        <v>-2.9937297343925802</v>
      </c>
      <c r="I1135" s="11">
        <v>-0.55255826444120004</v>
      </c>
      <c r="J1135" s="10">
        <v>0.58056592722938405</v>
      </c>
      <c r="K1135" s="29">
        <v>0.98289565623980701</v>
      </c>
    </row>
    <row r="1136" spans="1:11" x14ac:dyDescent="0.35">
      <c r="A1136" s="9" t="str">
        <f>HYPERLINK("http://www.ensembl.org/id/WBGene00009778", "WBGene00009778")</f>
        <v>WBGene00009778</v>
      </c>
      <c r="B1136" s="9" t="str">
        <f>HYPERLINK("http://www.ncbi.nlm.nih.gov/gene/174411", "174411")</f>
        <v>174411</v>
      </c>
      <c r="C1136" s="9"/>
      <c r="D1136" t="str">
        <f>"F46C5.1"</f>
        <v>F46C5.1</v>
      </c>
      <c r="F1136" t="s">
        <v>11</v>
      </c>
      <c r="G1136" t="s">
        <v>25</v>
      </c>
      <c r="H1136" s="12">
        <v>-2.9931721606695501</v>
      </c>
      <c r="I1136" s="11">
        <v>-2.13646618448989</v>
      </c>
      <c r="J1136" s="10">
        <v>3.2641434406956202E-2</v>
      </c>
      <c r="K1136" s="29">
        <v>0.40989836054735301</v>
      </c>
    </row>
    <row r="1137" spans="1:11" x14ac:dyDescent="0.35">
      <c r="A1137" s="9" t="str">
        <f>HYPERLINK("http://www.ensembl.org/id/WBGene00000681", "WBGene00000681")</f>
        <v>WBGene00000681</v>
      </c>
      <c r="B1137" s="9" t="str">
        <f>HYPERLINK("http://www.ncbi.nlm.nih.gov/gene/176961", "176961")</f>
        <v>176961</v>
      </c>
      <c r="C1137" s="9"/>
      <c r="D1137" t="str">
        <f>"col-107"</f>
        <v>col-107</v>
      </c>
      <c r="E1137" t="s">
        <v>40</v>
      </c>
      <c r="F1137" t="s">
        <v>11</v>
      </c>
      <c r="G1137" t="s">
        <v>41</v>
      </c>
      <c r="H1137" s="12">
        <v>-2.9908322603526698</v>
      </c>
      <c r="I1137" s="11">
        <v>-2.5871593368905201</v>
      </c>
      <c r="J1137" s="10">
        <v>9.6770831767409894E-3</v>
      </c>
      <c r="K1137" s="29">
        <v>0.191681987927937</v>
      </c>
    </row>
    <row r="1138" spans="1:11" x14ac:dyDescent="0.35">
      <c r="A1138" s="9" t="str">
        <f>HYPERLINK("http://www.ensembl.org/id/WBGene00016785", "WBGene00016785")</f>
        <v>WBGene00016785</v>
      </c>
      <c r="B1138" s="9" t="str">
        <f>HYPERLINK("http://www.ncbi.nlm.nih.gov/gene/28661643", "28661643")</f>
        <v>28661643</v>
      </c>
      <c r="C1138" s="9"/>
      <c r="D1138" t="str">
        <f>"C49G7.7"</f>
        <v>C49G7.7</v>
      </c>
      <c r="F1138" t="s">
        <v>11</v>
      </c>
      <c r="H1138" s="12">
        <v>-2.9907610412989798</v>
      </c>
      <c r="I1138" s="11">
        <v>-3.0580702349428899</v>
      </c>
      <c r="J1138" s="10">
        <v>2.2276735764359002E-3</v>
      </c>
      <c r="K1138" s="29">
        <v>6.9746105226460603E-2</v>
      </c>
    </row>
    <row r="1139" spans="1:11" x14ac:dyDescent="0.35">
      <c r="A1139" s="9" t="str">
        <f>HYPERLINK("http://www.ensembl.org/id/WBGene00018660", "WBGene00018660")</f>
        <v>WBGene00018660</v>
      </c>
      <c r="B1139" s="9" t="str">
        <f>HYPERLINK("http://www.ncbi.nlm.nih.gov/gene/186085", "186085")</f>
        <v>186085</v>
      </c>
      <c r="C1139" s="9"/>
      <c r="D1139" t="str">
        <f>"F52C6.3"</f>
        <v>F52C6.3</v>
      </c>
      <c r="F1139" t="s">
        <v>11</v>
      </c>
      <c r="G1139" t="s">
        <v>2205</v>
      </c>
      <c r="H1139" s="12">
        <v>-2.9893400696053201</v>
      </c>
      <c r="I1139" s="11">
        <v>-1.7713504058832701</v>
      </c>
      <c r="J1139" s="10">
        <v>7.6502450213774997E-2</v>
      </c>
      <c r="K1139" s="29">
        <v>0.65126519611650002</v>
      </c>
    </row>
    <row r="1140" spans="1:11" x14ac:dyDescent="0.35">
      <c r="A1140" s="9" t="str">
        <f>HYPERLINK("http://www.ensembl.org/id/WBGene00012301", "WBGene00012301")</f>
        <v>WBGene00012301</v>
      </c>
      <c r="B1140" s="9" t="str">
        <f>HYPERLINK("http://www.ncbi.nlm.nih.gov/gene/189243", "189243")</f>
        <v>189243</v>
      </c>
      <c r="C1140" s="9"/>
      <c r="D1140" t="str">
        <f>"W06D11.3"</f>
        <v>W06D11.3</v>
      </c>
      <c r="F1140" t="s">
        <v>11</v>
      </c>
      <c r="H1140" s="12">
        <v>-2.9880439801927601</v>
      </c>
      <c r="I1140" s="11">
        <v>-3.96272652942138</v>
      </c>
      <c r="J1140" s="10">
        <v>7.4098642789957594E-5</v>
      </c>
      <c r="K1140" s="29">
        <v>5.2198879277584103E-3</v>
      </c>
    </row>
    <row r="1141" spans="1:11" x14ac:dyDescent="0.35">
      <c r="A1141" s="9" t="str">
        <f>HYPERLINK("http://www.ensembl.org/id/WBGene00200893", "WBGene00200893")</f>
        <v>WBGene00200893</v>
      </c>
      <c r="B1141" s="9"/>
      <c r="C1141" s="9"/>
      <c r="D1141" t="str">
        <f>"F52D10.12"</f>
        <v>F52D10.12</v>
      </c>
      <c r="F1141" t="s">
        <v>481</v>
      </c>
      <c r="H1141" s="12">
        <v>-2.98350505532111</v>
      </c>
      <c r="I1141" s="11">
        <v>-0.66978063168282598</v>
      </c>
      <c r="J1141" s="10">
        <v>0.50299764212611597</v>
      </c>
      <c r="K1141" s="29">
        <v>0.98289565623980701</v>
      </c>
    </row>
    <row r="1142" spans="1:11" x14ac:dyDescent="0.35">
      <c r="A1142" s="9" t="str">
        <f>HYPERLINK("http://www.ensembl.org/id/WBGene00014681", "WBGene00014681")</f>
        <v>WBGene00014681</v>
      </c>
      <c r="B1142" s="9"/>
      <c r="C1142" s="9"/>
      <c r="D1142" t="str">
        <f>"C25D7.14"</f>
        <v>C25D7.14</v>
      </c>
      <c r="F1142" t="s">
        <v>80</v>
      </c>
      <c r="H1142" s="12">
        <v>-2.9828992571527402</v>
      </c>
      <c r="I1142" s="11">
        <v>-0.59365284765219695</v>
      </c>
      <c r="J1142" s="10">
        <v>0.55274432653293704</v>
      </c>
      <c r="K1142" s="29">
        <v>0.98289565623980701</v>
      </c>
    </row>
    <row r="1143" spans="1:11" x14ac:dyDescent="0.35">
      <c r="A1143" s="9" t="str">
        <f>HYPERLINK("http://www.ensembl.org/id/WBGene00199899", "WBGene00199899")</f>
        <v>WBGene00199899</v>
      </c>
      <c r="B1143" s="9"/>
      <c r="C1143" s="9"/>
      <c r="D1143" t="str">
        <f>"F53G12.16"</f>
        <v>F53G12.16</v>
      </c>
      <c r="F1143" t="s">
        <v>481</v>
      </c>
      <c r="H1143" s="12">
        <v>-2.9828992571527402</v>
      </c>
      <c r="I1143" s="11">
        <v>-0.59365284765219695</v>
      </c>
      <c r="J1143" s="10">
        <v>0.55274432653293704</v>
      </c>
      <c r="K1143" s="29">
        <v>0.98289565623980701</v>
      </c>
    </row>
    <row r="1144" spans="1:11" x14ac:dyDescent="0.35">
      <c r="A1144" s="9" t="str">
        <f>HYPERLINK("http://www.ensembl.org/id/WBGene00201419", "WBGene00201419")</f>
        <v>WBGene00201419</v>
      </c>
      <c r="B1144" s="9"/>
      <c r="C1144" s="9"/>
      <c r="D1144" t="str">
        <f>"K08B12.13"</f>
        <v>K08B12.13</v>
      </c>
      <c r="F1144" t="s">
        <v>481</v>
      </c>
      <c r="H1144" s="12">
        <v>-2.9819259893393499</v>
      </c>
      <c r="I1144" s="11">
        <v>-0.51818263200845804</v>
      </c>
      <c r="J1144" s="10">
        <v>0.60433085138605902</v>
      </c>
      <c r="K1144" s="29">
        <v>0.98289565623980701</v>
      </c>
    </row>
    <row r="1145" spans="1:11" x14ac:dyDescent="0.35">
      <c r="A1145" s="9" t="str">
        <f>HYPERLINK("http://www.ensembl.org/id/WBGene00019208", "WBGene00019208")</f>
        <v>WBGene00019208</v>
      </c>
      <c r="B1145" s="9"/>
      <c r="C1145" s="9"/>
      <c r="D1145" t="str">
        <f>"lips-14"</f>
        <v>lips-14</v>
      </c>
      <c r="F1145" t="s">
        <v>80</v>
      </c>
      <c r="H1145" s="12">
        <v>-2.98059892318282</v>
      </c>
      <c r="I1145" s="11">
        <v>-1.68465294600241</v>
      </c>
      <c r="J1145" s="10">
        <v>9.2055549816305204E-2</v>
      </c>
      <c r="K1145" s="29">
        <v>0.70139442285435905</v>
      </c>
    </row>
    <row r="1146" spans="1:11" x14ac:dyDescent="0.35">
      <c r="A1146" s="9" t="str">
        <f>HYPERLINK("http://www.ensembl.org/id/WBGene00013337", "WBGene00013337")</f>
        <v>WBGene00013337</v>
      </c>
      <c r="B1146" s="9" t="str">
        <f>HYPERLINK("http://www.ncbi.nlm.nih.gov/gene/3565195", "3565195")</f>
        <v>3565195</v>
      </c>
      <c r="C1146" s="9"/>
      <c r="D1146" t="str">
        <f>"Y57G11C.48"</f>
        <v>Y57G11C.48</v>
      </c>
      <c r="F1146" t="s">
        <v>11</v>
      </c>
      <c r="H1146" s="12">
        <v>-2.9786414431210799</v>
      </c>
      <c r="I1146" s="11">
        <v>-0.48599263589740999</v>
      </c>
      <c r="J1146" s="10">
        <v>0.626972387154206</v>
      </c>
      <c r="K1146" s="29">
        <v>0.98289565623980701</v>
      </c>
    </row>
    <row r="1147" spans="1:11" x14ac:dyDescent="0.35">
      <c r="A1147" s="9" t="str">
        <f>HYPERLINK("http://www.ensembl.org/id/WBGene00202227", "WBGene00202227")</f>
        <v>WBGene00202227</v>
      </c>
      <c r="B1147" s="9"/>
      <c r="C1147" s="9"/>
      <c r="D1147" t="str">
        <f>"C03H12.3"</f>
        <v>C03H12.3</v>
      </c>
      <c r="F1147" t="s">
        <v>481</v>
      </c>
      <c r="H1147" s="12">
        <v>-2.9759182627835798</v>
      </c>
      <c r="I1147" s="11">
        <v>-1.8628119800377301</v>
      </c>
      <c r="J1147" s="10">
        <v>6.24887239345914E-2</v>
      </c>
      <c r="K1147" s="29">
        <v>0.59107352035373295</v>
      </c>
    </row>
    <row r="1148" spans="1:11" x14ac:dyDescent="0.35">
      <c r="A1148" s="9" t="str">
        <f>HYPERLINK("http://www.ensembl.org/id/WBGene00220140", "WBGene00220140")</f>
        <v>WBGene00220140</v>
      </c>
      <c r="B1148" s="9"/>
      <c r="C1148" s="9"/>
      <c r="D1148" t="str">
        <f>"Y34F4.7"</f>
        <v>Y34F4.7</v>
      </c>
      <c r="F1148" t="s">
        <v>481</v>
      </c>
      <c r="H1148" s="12">
        <v>-2.9758695565702702</v>
      </c>
      <c r="I1148" s="11">
        <v>-0.80230769473673902</v>
      </c>
      <c r="J1148" s="10">
        <v>0.42237499244101301</v>
      </c>
      <c r="K1148" s="29">
        <v>0.98289565623980701</v>
      </c>
    </row>
    <row r="1149" spans="1:11" x14ac:dyDescent="0.35">
      <c r="A1149" s="9" t="str">
        <f>HYPERLINK("http://www.ensembl.org/id/WBGene00009225", "WBGene00009225")</f>
        <v>WBGene00009225</v>
      </c>
      <c r="B1149" s="9" t="str">
        <f>HYPERLINK("http://www.ncbi.nlm.nih.gov/gene/3564999", "3564999")</f>
        <v>3564999</v>
      </c>
      <c r="C1149" s="9"/>
      <c r="D1149" t="str">
        <f>"fbxa-94"</f>
        <v>fbxa-94</v>
      </c>
      <c r="E1149" t="s">
        <v>467</v>
      </c>
      <c r="F1149" t="s">
        <v>11</v>
      </c>
      <c r="G1149" t="s">
        <v>54</v>
      </c>
      <c r="H1149" s="12">
        <v>-2.97485532438056</v>
      </c>
      <c r="I1149" s="11">
        <v>-0.78464357651012895</v>
      </c>
      <c r="J1149" s="10">
        <v>0.43266257306275202</v>
      </c>
      <c r="K1149" s="29">
        <v>0.98289565623980701</v>
      </c>
    </row>
    <row r="1150" spans="1:11" x14ac:dyDescent="0.35">
      <c r="A1150" s="9" t="str">
        <f>HYPERLINK("http://www.ensembl.org/id/WBGene00011898", "WBGene00011898")</f>
        <v>WBGene00011898</v>
      </c>
      <c r="B1150" s="9" t="str">
        <f>HYPERLINK("http://www.ncbi.nlm.nih.gov/gene/179480", "179480")</f>
        <v>179480</v>
      </c>
      <c r="C1150" s="9"/>
      <c r="D1150" t="str">
        <f>"T21C9.13"</f>
        <v>T21C9.13</v>
      </c>
      <c r="F1150" t="s">
        <v>11</v>
      </c>
      <c r="G1150" t="s">
        <v>25</v>
      </c>
      <c r="H1150" s="12">
        <v>-2.9741304275965801</v>
      </c>
      <c r="I1150" s="11">
        <v>-5.0371353127134499</v>
      </c>
      <c r="J1150" s="10">
        <v>4.7255073356382599E-7</v>
      </c>
      <c r="K1150" s="29">
        <v>8.9498010243653801E-5</v>
      </c>
    </row>
    <row r="1151" spans="1:11" x14ac:dyDescent="0.35">
      <c r="A1151" s="9" t="str">
        <f>HYPERLINK("http://www.ensembl.org/id/WBGene00010062", "WBGene00010062")</f>
        <v>WBGene00010062</v>
      </c>
      <c r="B1151" s="9" t="str">
        <f>HYPERLINK("http://www.ncbi.nlm.nih.gov/gene/179771", "179771")</f>
        <v>179771</v>
      </c>
      <c r="C1151" s="9" t="str">
        <f>HYPERLINK("http://www.ncbi.nlm.nih.gov/gene/3988", "3988")</f>
        <v>3988</v>
      </c>
      <c r="D1151" t="str">
        <f>"lipl-1"</f>
        <v>lipl-1</v>
      </c>
      <c r="E1151" t="s">
        <v>18</v>
      </c>
      <c r="F1151" t="s">
        <v>11</v>
      </c>
      <c r="G1151" t="s">
        <v>209</v>
      </c>
      <c r="H1151" s="12">
        <v>-2.9591251276250299</v>
      </c>
      <c r="I1151" s="11">
        <v>-3.3260189180832902</v>
      </c>
      <c r="J1151" s="10">
        <v>8.8095949172713E-4</v>
      </c>
      <c r="K1151" s="29">
        <v>3.53326708762218E-2</v>
      </c>
    </row>
    <row r="1152" spans="1:11" x14ac:dyDescent="0.35">
      <c r="A1152" s="9" t="str">
        <f>HYPERLINK("http://www.ensembl.org/id/WBGene00011797", "WBGene00011797")</f>
        <v>WBGene00011797</v>
      </c>
      <c r="B1152" s="9" t="str">
        <f>HYPERLINK("http://www.ncbi.nlm.nih.gov/gene/188553", "188553")</f>
        <v>188553</v>
      </c>
      <c r="C1152" s="9"/>
      <c r="D1152" t="str">
        <f>"T16G1.3"</f>
        <v>T16G1.3</v>
      </c>
      <c r="F1152" t="s">
        <v>11</v>
      </c>
      <c r="H1152" s="12">
        <v>-2.9567608162790999</v>
      </c>
      <c r="I1152" s="11">
        <v>-1.1706665846634901</v>
      </c>
      <c r="J1152" s="10">
        <v>0.241732821716657</v>
      </c>
      <c r="K1152" s="29">
        <v>0.98289565623980701</v>
      </c>
    </row>
    <row r="1153" spans="1:11" x14ac:dyDescent="0.35">
      <c r="A1153" s="9" t="str">
        <f>HYPERLINK("http://www.ensembl.org/id/WBGene00202479", "WBGene00202479")</f>
        <v>WBGene00202479</v>
      </c>
      <c r="B1153" s="9"/>
      <c r="C1153" s="9"/>
      <c r="D1153" t="str">
        <f>"R05F9.15"</f>
        <v>R05F9.15</v>
      </c>
      <c r="F1153" t="s">
        <v>481</v>
      </c>
      <c r="H1153" s="12">
        <v>-2.9560744995019101</v>
      </c>
      <c r="I1153" s="11">
        <v>-0.60157079465556595</v>
      </c>
      <c r="J1153" s="10">
        <v>0.54745987424294995</v>
      </c>
      <c r="K1153" s="29">
        <v>0.98289565623980701</v>
      </c>
    </row>
    <row r="1154" spans="1:11" x14ac:dyDescent="0.35">
      <c r="A1154" s="9" t="str">
        <f>HYPERLINK("http://www.ensembl.org/id/WBGene00194689", "WBGene00194689")</f>
        <v>WBGene00194689</v>
      </c>
      <c r="B1154" s="9" t="str">
        <f>HYPERLINK("http://www.ncbi.nlm.nih.gov/gene/13218842", "13218842")</f>
        <v>13218842</v>
      </c>
      <c r="C1154" s="9"/>
      <c r="D1154" t="str">
        <f>"Y38H6C.24"</f>
        <v>Y38H6C.24</v>
      </c>
      <c r="F1154" t="s">
        <v>11</v>
      </c>
      <c r="G1154" t="s">
        <v>25</v>
      </c>
      <c r="H1154" s="12">
        <v>-2.9497673685712602</v>
      </c>
      <c r="I1154" s="11">
        <v>-1.0944072009005199</v>
      </c>
      <c r="J1154" s="10">
        <v>0.27377642715890299</v>
      </c>
      <c r="K1154" s="29">
        <v>0.98289565623980701</v>
      </c>
    </row>
    <row r="1155" spans="1:11" x14ac:dyDescent="0.35">
      <c r="A1155" s="9" t="str">
        <f>HYPERLINK("http://www.ensembl.org/id/WBGene00219546", "WBGene00219546")</f>
        <v>WBGene00219546</v>
      </c>
      <c r="B1155" s="9"/>
      <c r="C1155" s="9"/>
      <c r="D1155" t="str">
        <f>"F41E7.20"</f>
        <v>F41E7.20</v>
      </c>
      <c r="F1155" t="s">
        <v>481</v>
      </c>
      <c r="H1155" s="12">
        <v>-2.9476747165889798</v>
      </c>
      <c r="I1155" s="11">
        <v>-0.65025300875024294</v>
      </c>
      <c r="J1155" s="10">
        <v>0.51552880538503998</v>
      </c>
      <c r="K1155" s="29">
        <v>0.98289565623980701</v>
      </c>
    </row>
    <row r="1156" spans="1:11" x14ac:dyDescent="0.35">
      <c r="A1156" s="9" t="str">
        <f>HYPERLINK("http://www.ensembl.org/id/WBGene00020652", "WBGene00020652")</f>
        <v>WBGene00020652</v>
      </c>
      <c r="B1156" s="9" t="str">
        <f>HYPERLINK("http://www.ncbi.nlm.nih.gov/gene/171980", "171980")</f>
        <v>171980</v>
      </c>
      <c r="C1156" s="9"/>
      <c r="D1156" t="str">
        <f>"egg-4"</f>
        <v>egg-4</v>
      </c>
      <c r="E1156" t="s">
        <v>160</v>
      </c>
      <c r="F1156" t="s">
        <v>11</v>
      </c>
      <c r="G1156" t="s">
        <v>161</v>
      </c>
      <c r="H1156" s="12">
        <v>-2.9457967051192901</v>
      </c>
      <c r="I1156" s="11">
        <v>-4.9542782189619397</v>
      </c>
      <c r="J1156" s="10">
        <v>7.2599267892871099E-7</v>
      </c>
      <c r="K1156" s="29">
        <v>1.21556426371933E-4</v>
      </c>
    </row>
    <row r="1157" spans="1:11" x14ac:dyDescent="0.35">
      <c r="A1157" s="9" t="str">
        <f>HYPERLINK("http://www.ensembl.org/id/WBGene00020948", "WBGene00020948")</f>
        <v>WBGene00020948</v>
      </c>
      <c r="B1157" s="9" t="str">
        <f>HYPERLINK("http://www.ncbi.nlm.nih.gov/gene/179061", "179061")</f>
        <v>179061</v>
      </c>
      <c r="C1157" s="9"/>
      <c r="D1157" t="str">
        <f>"era-1"</f>
        <v>era-1</v>
      </c>
      <c r="E1157" t="s">
        <v>98</v>
      </c>
      <c r="F1157" t="s">
        <v>11</v>
      </c>
      <c r="H1157" s="12">
        <v>-2.9448031423865499</v>
      </c>
      <c r="I1157" s="11">
        <v>-5.5748337890104303</v>
      </c>
      <c r="J1157" s="10">
        <v>2.4776631019432199E-8</v>
      </c>
      <c r="K1157" s="29">
        <v>7.8423128265068696E-6</v>
      </c>
    </row>
    <row r="1158" spans="1:11" x14ac:dyDescent="0.35">
      <c r="A1158" s="9" t="str">
        <f>HYPERLINK("http://www.ensembl.org/id/WBGene00050881", "WBGene00050881")</f>
        <v>WBGene00050881</v>
      </c>
      <c r="B1158" s="9" t="str">
        <f>HYPERLINK("http://www.ncbi.nlm.nih.gov/gene/6418616", "6418616")</f>
        <v>6418616</v>
      </c>
      <c r="C1158" s="9"/>
      <c r="D1158" t="str">
        <f>"ZK39.10"</f>
        <v>ZK39.10</v>
      </c>
      <c r="F1158" t="s">
        <v>11</v>
      </c>
      <c r="G1158" t="s">
        <v>25</v>
      </c>
      <c r="H1158" s="12">
        <v>-2.9401334816925302</v>
      </c>
      <c r="I1158" s="11">
        <v>-0.60428580167532497</v>
      </c>
      <c r="J1158" s="10">
        <v>0.54565364437971398</v>
      </c>
      <c r="K1158" s="29">
        <v>0.98289565623980701</v>
      </c>
    </row>
    <row r="1159" spans="1:11" x14ac:dyDescent="0.35">
      <c r="A1159" s="9" t="str">
        <f>HYPERLINK("http://www.ensembl.org/id/WBGene00012056", "WBGene00012056")</f>
        <v>WBGene00012056</v>
      </c>
      <c r="B1159" s="9" t="str">
        <f>HYPERLINK("http://www.ncbi.nlm.nih.gov/gene/3565155", "3565155")</f>
        <v>3565155</v>
      </c>
      <c r="C1159" s="9"/>
      <c r="D1159" t="str">
        <f>"nhr-285"</f>
        <v>nhr-285</v>
      </c>
      <c r="E1159" t="s">
        <v>637</v>
      </c>
      <c r="F1159" t="s">
        <v>11</v>
      </c>
      <c r="G1159" t="s">
        <v>1073</v>
      </c>
      <c r="H1159" s="12">
        <v>-2.9399633858075398</v>
      </c>
      <c r="I1159" s="11">
        <v>-0.39963062514823</v>
      </c>
      <c r="J1159" s="10">
        <v>0.68942859632951004</v>
      </c>
      <c r="K1159" s="29">
        <v>0.98289565623980701</v>
      </c>
    </row>
    <row r="1160" spans="1:11" x14ac:dyDescent="0.35">
      <c r="A1160" s="9" t="str">
        <f>HYPERLINK("http://www.ensembl.org/id/WBGene00014641", "WBGene00014641")</f>
        <v>WBGene00014641</v>
      </c>
      <c r="B1160" s="9"/>
      <c r="C1160" s="9"/>
      <c r="D1160" t="str">
        <f>"B0285.11"</f>
        <v>B0285.11</v>
      </c>
      <c r="F1160" t="s">
        <v>80</v>
      </c>
      <c r="H1160" s="12">
        <v>-2.9395697288267399</v>
      </c>
      <c r="I1160" s="11">
        <v>-0.40844963388868899</v>
      </c>
      <c r="J1160" s="10">
        <v>0.68294360034460899</v>
      </c>
      <c r="K1160" s="29">
        <v>0.98289565623980701</v>
      </c>
    </row>
    <row r="1161" spans="1:11" x14ac:dyDescent="0.35">
      <c r="A1161" s="9" t="str">
        <f>HYPERLINK("http://www.ensembl.org/id/WBGene00200180", "WBGene00200180")</f>
        <v>WBGene00200180</v>
      </c>
      <c r="B1161" s="9"/>
      <c r="C1161" s="9"/>
      <c r="D1161" t="str">
        <f>"F11D5.24"</f>
        <v>F11D5.24</v>
      </c>
      <c r="F1161" t="s">
        <v>481</v>
      </c>
      <c r="H1161" s="12">
        <v>-2.9395697288267399</v>
      </c>
      <c r="I1161" s="11">
        <v>-0.40844963388868899</v>
      </c>
      <c r="J1161" s="10">
        <v>0.68294360034460899</v>
      </c>
      <c r="K1161" s="29">
        <v>0.98289565623980701</v>
      </c>
    </row>
    <row r="1162" spans="1:11" x14ac:dyDescent="0.35">
      <c r="A1162" s="9" t="str">
        <f>HYPERLINK("http://www.ensembl.org/id/WBGene00005934", "WBGene00005934")</f>
        <v>WBGene00005934</v>
      </c>
      <c r="B1162" s="9" t="str">
        <f>HYPERLINK("http://www.ncbi.nlm.nih.gov/gene/188374", "188374")</f>
        <v>188374</v>
      </c>
      <c r="C1162" s="9"/>
      <c r="D1162" t="str">
        <f>"srx-43"</f>
        <v>srx-43</v>
      </c>
      <c r="E1162" t="s">
        <v>10082</v>
      </c>
      <c r="F1162" t="s">
        <v>11</v>
      </c>
      <c r="G1162" t="s">
        <v>10083</v>
      </c>
      <c r="H1162" s="12">
        <v>-2.9395697288267399</v>
      </c>
      <c r="I1162" s="11">
        <v>-0.40844963388868899</v>
      </c>
      <c r="J1162" s="10">
        <v>0.68294360034460899</v>
      </c>
      <c r="K1162" s="29">
        <v>0.98289565623980701</v>
      </c>
    </row>
    <row r="1163" spans="1:11" x14ac:dyDescent="0.35">
      <c r="A1163" s="9" t="str">
        <f>HYPERLINK("http://www.ensembl.org/id/WBGene00021321", "WBGene00021321")</f>
        <v>WBGene00021321</v>
      </c>
      <c r="B1163" s="9" t="str">
        <f>HYPERLINK("http://www.ncbi.nlm.nih.gov/gene/180797", "180797")</f>
        <v>180797</v>
      </c>
      <c r="C1163" s="9"/>
      <c r="D1163" t="str">
        <f>"Y34B4A.5"</f>
        <v>Y34B4A.5</v>
      </c>
      <c r="F1163" t="s">
        <v>11</v>
      </c>
      <c r="H1163" s="12">
        <v>-2.9364153422614798</v>
      </c>
      <c r="I1163" s="11">
        <v>-1.75959339378485</v>
      </c>
      <c r="J1163" s="10">
        <v>7.8476772437848397E-2</v>
      </c>
      <c r="K1163" s="29">
        <v>0.65865757499052902</v>
      </c>
    </row>
    <row r="1164" spans="1:11" x14ac:dyDescent="0.35">
      <c r="A1164" s="9" t="str">
        <f>HYPERLINK("http://www.ensembl.org/id/WBGene00018725", "WBGene00018725")</f>
        <v>WBGene00018725</v>
      </c>
      <c r="B1164" s="9" t="str">
        <f>HYPERLINK("http://www.ncbi.nlm.nih.gov/gene/186143", "186143")</f>
        <v>186143</v>
      </c>
      <c r="C1164" s="9"/>
      <c r="D1164" t="str">
        <f>"kreg-1"</f>
        <v>kreg-1</v>
      </c>
      <c r="F1164" t="s">
        <v>11</v>
      </c>
      <c r="G1164" t="s">
        <v>452</v>
      </c>
      <c r="H1164" s="12">
        <v>-2.9326757154821199</v>
      </c>
      <c r="I1164" s="11">
        <v>-3.5284799065411701</v>
      </c>
      <c r="J1164" s="10">
        <v>4.17953676339241E-4</v>
      </c>
      <c r="K1164" s="29">
        <v>2.0198399259457201E-2</v>
      </c>
    </row>
    <row r="1165" spans="1:11" x14ac:dyDescent="0.35">
      <c r="A1165" s="9" t="str">
        <f>HYPERLINK("http://www.ensembl.org/id/WBGene00019495", "WBGene00019495")</f>
        <v>WBGene00019495</v>
      </c>
      <c r="B1165" s="9" t="str">
        <f>HYPERLINK("http://www.ncbi.nlm.nih.gov/gene/173457", "173457")</f>
        <v>173457</v>
      </c>
      <c r="C1165" s="9"/>
      <c r="D1165" t="str">
        <f>"sdz-24"</f>
        <v>sdz-24</v>
      </c>
      <c r="E1165" t="s">
        <v>90</v>
      </c>
      <c r="F1165" t="s">
        <v>11</v>
      </c>
      <c r="G1165" t="s">
        <v>91</v>
      </c>
      <c r="H1165" s="12">
        <v>-2.9317466950529001</v>
      </c>
      <c r="I1165" s="11">
        <v>-5.6336071615929297</v>
      </c>
      <c r="J1165" s="10">
        <v>1.7647877058327599E-8</v>
      </c>
      <c r="K1165" s="29">
        <v>5.9966448133782097E-6</v>
      </c>
    </row>
    <row r="1166" spans="1:11" x14ac:dyDescent="0.35">
      <c r="A1166" s="9" t="str">
        <f>HYPERLINK("http://www.ensembl.org/id/WBGene00021865", "WBGene00021865")</f>
        <v>WBGene00021865</v>
      </c>
      <c r="B1166" s="9" t="str">
        <f>HYPERLINK("http://www.ncbi.nlm.nih.gov/gene/190275", "190275")</f>
        <v>190275</v>
      </c>
      <c r="C1166" s="9"/>
      <c r="D1166" t="str">
        <f>"fbxa-66"</f>
        <v>fbxa-66</v>
      </c>
      <c r="E1166" t="s">
        <v>467</v>
      </c>
      <c r="F1166" t="s">
        <v>11</v>
      </c>
      <c r="G1166" t="s">
        <v>54</v>
      </c>
      <c r="H1166" s="12">
        <v>-2.9287733926277699</v>
      </c>
      <c r="I1166" s="11">
        <v>-1.2536499491692601</v>
      </c>
      <c r="J1166" s="10">
        <v>0.209969267501984</v>
      </c>
      <c r="K1166" s="29">
        <v>0.96108357664438104</v>
      </c>
    </row>
    <row r="1167" spans="1:11" x14ac:dyDescent="0.35">
      <c r="A1167" s="9" t="str">
        <f>HYPERLINK("http://www.ensembl.org/id/WBGene00021056", "WBGene00021056")</f>
        <v>WBGene00021056</v>
      </c>
      <c r="B1167" s="9" t="str">
        <f>HYPERLINK("http://www.ncbi.nlm.nih.gov/gene/173785", "173785")</f>
        <v>173785</v>
      </c>
      <c r="C1167" s="9"/>
      <c r="D1167" t="str">
        <f>"W06B4.1"</f>
        <v>W06B4.1</v>
      </c>
      <c r="F1167" t="s">
        <v>11</v>
      </c>
      <c r="G1167" t="s">
        <v>121</v>
      </c>
      <c r="H1167" s="12">
        <v>-2.9275943664278898</v>
      </c>
      <c r="I1167" s="11">
        <v>-5.2546917013012902</v>
      </c>
      <c r="J1167" s="10">
        <v>1.48272634400263E-7</v>
      </c>
      <c r="K1167" s="29">
        <v>3.4259874904524701E-5</v>
      </c>
    </row>
    <row r="1168" spans="1:11" x14ac:dyDescent="0.35">
      <c r="A1168" s="9" t="str">
        <f>HYPERLINK("http://www.ensembl.org/id/WBGene00010354", "WBGene00010354")</f>
        <v>WBGene00010354</v>
      </c>
      <c r="B1168" s="9" t="str">
        <f>HYPERLINK("http://www.ncbi.nlm.nih.gov/gene/178065", "178065")</f>
        <v>178065</v>
      </c>
      <c r="C1168" s="9"/>
      <c r="D1168" t="str">
        <f>"cyp-31A2"</f>
        <v>cyp-31A2</v>
      </c>
      <c r="E1168" t="s">
        <v>176</v>
      </c>
      <c r="F1168" t="s">
        <v>11</v>
      </c>
      <c r="G1168" t="s">
        <v>177</v>
      </c>
      <c r="H1168" s="12">
        <v>-2.9259259201369701</v>
      </c>
      <c r="I1168" s="11">
        <v>-4.79948980221155</v>
      </c>
      <c r="J1168" s="10">
        <v>1.5907033493289999E-6</v>
      </c>
      <c r="K1168" s="29">
        <v>2.2316677072100401E-4</v>
      </c>
    </row>
    <row r="1169" spans="1:11" x14ac:dyDescent="0.35">
      <c r="A1169" s="9" t="str">
        <f>HYPERLINK("http://www.ensembl.org/id/WBGene00000741", "WBGene00000741")</f>
        <v>WBGene00000741</v>
      </c>
      <c r="B1169" s="9" t="str">
        <f>HYPERLINK("http://www.ncbi.nlm.nih.gov/gene/180908", "180908")</f>
        <v>180908</v>
      </c>
      <c r="C1169" s="9"/>
      <c r="D1169" t="str">
        <f>"col-168"</f>
        <v>col-168</v>
      </c>
      <c r="E1169" t="s">
        <v>40</v>
      </c>
      <c r="F1169" t="s">
        <v>11</v>
      </c>
      <c r="G1169" t="s">
        <v>41</v>
      </c>
      <c r="H1169" s="12">
        <v>-2.92556351508853</v>
      </c>
      <c r="I1169" s="11">
        <v>-0.72560543031425595</v>
      </c>
      <c r="J1169" s="10">
        <v>0.46808069116462803</v>
      </c>
      <c r="K1169" s="29">
        <v>0.98289565623980701</v>
      </c>
    </row>
    <row r="1170" spans="1:11" x14ac:dyDescent="0.35">
      <c r="A1170" s="9" t="str">
        <f>HYPERLINK("http://www.ensembl.org/id/WBGene00012748", "WBGene00012748")</f>
        <v>WBGene00012748</v>
      </c>
      <c r="B1170" s="9" t="str">
        <f>HYPERLINK("http://www.ncbi.nlm.nih.gov/gene/189810", "189810")</f>
        <v>189810</v>
      </c>
      <c r="C1170" s="9"/>
      <c r="D1170" t="str">
        <f>"Y40H7A.11"</f>
        <v>Y40H7A.11</v>
      </c>
      <c r="F1170" t="s">
        <v>11</v>
      </c>
      <c r="G1170" t="s">
        <v>208</v>
      </c>
      <c r="H1170" s="12">
        <v>-2.92207094950576</v>
      </c>
      <c r="I1170" s="11">
        <v>-1.1290812020908301</v>
      </c>
      <c r="J1170" s="10">
        <v>0.258863580364111</v>
      </c>
      <c r="K1170" s="29">
        <v>0.98289565623980701</v>
      </c>
    </row>
    <row r="1171" spans="1:11" x14ac:dyDescent="0.35">
      <c r="A1171" s="9" t="str">
        <f>HYPERLINK("http://www.ensembl.org/id/WBGene00044455", "WBGene00044455")</f>
        <v>WBGene00044455</v>
      </c>
      <c r="B1171" s="9" t="str">
        <f>HYPERLINK("http://www.ncbi.nlm.nih.gov/gene/3896740", "3896740")</f>
        <v>3896740</v>
      </c>
      <c r="C1171" s="9"/>
      <c r="D1171" t="str">
        <f>"F23F12.13"</f>
        <v>F23F12.13</v>
      </c>
      <c r="F1171" t="s">
        <v>11</v>
      </c>
      <c r="G1171" t="s">
        <v>230</v>
      </c>
      <c r="H1171" s="12">
        <v>-2.91982508072606</v>
      </c>
      <c r="I1171" s="11">
        <v>-1.63312737374844</v>
      </c>
      <c r="J1171" s="10">
        <v>0.102442210495894</v>
      </c>
      <c r="K1171" s="29">
        <v>0.73919851662547598</v>
      </c>
    </row>
    <row r="1172" spans="1:11" x14ac:dyDescent="0.35">
      <c r="A1172" s="9" t="str">
        <f>HYPERLINK("http://www.ensembl.org/id/WBGene00001481", "WBGene00001481")</f>
        <v>WBGene00001481</v>
      </c>
      <c r="B1172" s="9" t="str">
        <f>HYPERLINK("http://www.ncbi.nlm.nih.gov/gene/171895", "171895")</f>
        <v>171895</v>
      </c>
      <c r="C1172" s="9"/>
      <c r="D1172" t="str">
        <f>"fog-1"</f>
        <v>fog-1</v>
      </c>
      <c r="E1172" t="s">
        <v>389</v>
      </c>
      <c r="F1172" t="s">
        <v>11</v>
      </c>
      <c r="G1172" t="s">
        <v>390</v>
      </c>
      <c r="H1172" s="12">
        <v>-2.91940864166759</v>
      </c>
      <c r="I1172" s="11">
        <v>-3.7367459999529302</v>
      </c>
      <c r="J1172" s="10">
        <v>1.86417064095328E-4</v>
      </c>
      <c r="K1172" s="29">
        <v>1.07415278877473E-2</v>
      </c>
    </row>
    <row r="1173" spans="1:11" x14ac:dyDescent="0.35">
      <c r="A1173" s="9" t="str">
        <f>HYPERLINK("http://www.ensembl.org/id/WBGene00014770", "WBGene00014770")</f>
        <v>WBGene00014770</v>
      </c>
      <c r="B1173" s="9"/>
      <c r="C1173" s="9"/>
      <c r="D1173" t="str">
        <f>"F54F3.2"</f>
        <v>F54F3.2</v>
      </c>
      <c r="F1173" t="s">
        <v>80</v>
      </c>
      <c r="H1173" s="12">
        <v>-2.91593608624928</v>
      </c>
      <c r="I1173" s="11">
        <v>-0.37185148581300698</v>
      </c>
      <c r="J1173" s="10">
        <v>0.71000342774827596</v>
      </c>
      <c r="K1173" s="29">
        <v>0.98289565623980701</v>
      </c>
    </row>
    <row r="1174" spans="1:11" x14ac:dyDescent="0.35">
      <c r="A1174" s="9" t="str">
        <f>HYPERLINK("http://www.ensembl.org/id/WBGene00202009", "WBGene00202009")</f>
        <v>WBGene00202009</v>
      </c>
      <c r="B1174" s="9"/>
      <c r="C1174" s="9"/>
      <c r="D1174" t="str">
        <f>"K08D9.8"</f>
        <v>K08D9.8</v>
      </c>
      <c r="F1174" t="s">
        <v>481</v>
      </c>
      <c r="H1174" s="12">
        <v>-2.91593608624928</v>
      </c>
      <c r="I1174" s="11">
        <v>-0.37185148581300698</v>
      </c>
      <c r="J1174" s="10">
        <v>0.71000342774827596</v>
      </c>
      <c r="K1174" s="29">
        <v>0.98289565623980701</v>
      </c>
    </row>
    <row r="1175" spans="1:11" x14ac:dyDescent="0.35">
      <c r="A1175" s="9" t="str">
        <f>HYPERLINK("http://www.ensembl.org/id/WBGene00015712", "WBGene00015712")</f>
        <v>WBGene00015712</v>
      </c>
      <c r="B1175" s="9" t="str">
        <f>HYPERLINK("http://www.ncbi.nlm.nih.gov/gene/353444", "353444")</f>
        <v>353444</v>
      </c>
      <c r="C1175" s="9"/>
      <c r="D1175" t="str">
        <f>"sre-11"</f>
        <v>sre-11</v>
      </c>
      <c r="E1175" t="s">
        <v>2638</v>
      </c>
      <c r="F1175" t="s">
        <v>11</v>
      </c>
      <c r="G1175" t="s">
        <v>2639</v>
      </c>
      <c r="H1175" s="12">
        <v>-2.91593608624928</v>
      </c>
      <c r="I1175" s="11">
        <v>-0.37185148581300698</v>
      </c>
      <c r="J1175" s="10">
        <v>0.71000342774827596</v>
      </c>
      <c r="K1175" s="29">
        <v>0.98289565623980701</v>
      </c>
    </row>
    <row r="1176" spans="1:11" x14ac:dyDescent="0.35">
      <c r="A1176" s="9" t="str">
        <f>HYPERLINK("http://www.ensembl.org/id/WBGene00000610", "WBGene00000610")</f>
        <v>WBGene00000610</v>
      </c>
      <c r="B1176" s="9" t="str">
        <f>HYPERLINK("http://www.ncbi.nlm.nih.gov/gene/177191", "177191")</f>
        <v>177191</v>
      </c>
      <c r="C1176" s="9"/>
      <c r="D1176" t="str">
        <f>"col-33"</f>
        <v>col-33</v>
      </c>
      <c r="E1176" t="s">
        <v>40</v>
      </c>
      <c r="F1176" t="s">
        <v>11</v>
      </c>
      <c r="G1176" t="s">
        <v>41</v>
      </c>
      <c r="H1176" s="12">
        <v>-2.90904186496926</v>
      </c>
      <c r="I1176" s="11">
        <v>-0.68888638004120395</v>
      </c>
      <c r="J1176" s="10">
        <v>0.49089477107074297</v>
      </c>
      <c r="K1176" s="29">
        <v>0.98289565623980701</v>
      </c>
    </row>
    <row r="1177" spans="1:11" x14ac:dyDescent="0.35">
      <c r="A1177" s="9" t="str">
        <f>HYPERLINK("http://www.ensembl.org/id/WBGene00013432", "WBGene00013432")</f>
        <v>WBGene00013432</v>
      </c>
      <c r="B1177" s="9" t="str">
        <f>HYPERLINK("http://www.ncbi.nlm.nih.gov/gene/190496", "190496")</f>
        <v>190496</v>
      </c>
      <c r="C1177" s="9"/>
      <c r="D1177" t="str">
        <f>"Y66D12A.6"</f>
        <v>Y66D12A.6</v>
      </c>
      <c r="F1177" t="s">
        <v>11</v>
      </c>
      <c r="H1177" s="12">
        <v>-2.9072943433493399</v>
      </c>
      <c r="I1177" s="11">
        <v>-2.9159629269588501</v>
      </c>
      <c r="J1177" s="10">
        <v>3.5459263232173201E-3</v>
      </c>
      <c r="K1177" s="29">
        <v>9.6205449203101201E-2</v>
      </c>
    </row>
    <row r="1178" spans="1:11" x14ac:dyDescent="0.35">
      <c r="A1178" s="9" t="str">
        <f>HYPERLINK("http://www.ensembl.org/id/WBGene00020364", "WBGene00020364")</f>
        <v>WBGene00020364</v>
      </c>
      <c r="B1178" s="9" t="str">
        <f>HYPERLINK("http://www.ncbi.nlm.nih.gov/gene/188290", "188290")</f>
        <v>188290</v>
      </c>
      <c r="C1178" s="9"/>
      <c r="D1178" t="str">
        <f>"T08E11.8"</f>
        <v>T08E11.8</v>
      </c>
      <c r="F1178" t="s">
        <v>11</v>
      </c>
      <c r="H1178" s="12">
        <v>-2.8870637421967</v>
      </c>
      <c r="I1178" s="11">
        <v>-0.67674519566902402</v>
      </c>
      <c r="J1178" s="10">
        <v>0.49856763553660199</v>
      </c>
      <c r="K1178" s="29">
        <v>0.98289565623980701</v>
      </c>
    </row>
    <row r="1179" spans="1:11" x14ac:dyDescent="0.35">
      <c r="A1179" s="9" t="str">
        <f>HYPERLINK("http://www.ensembl.org/id/WBGene00000627", "WBGene00000627")</f>
        <v>WBGene00000627</v>
      </c>
      <c r="B1179" s="9" t="str">
        <f>HYPERLINK("http://www.ncbi.nlm.nih.gov/gene/189050", "189050")</f>
        <v>189050</v>
      </c>
      <c r="C1179" s="9"/>
      <c r="D1179" t="str">
        <f>"col-50"</f>
        <v>col-50</v>
      </c>
      <c r="E1179" t="s">
        <v>40</v>
      </c>
      <c r="F1179" t="s">
        <v>11</v>
      </c>
      <c r="G1179" t="s">
        <v>41</v>
      </c>
      <c r="H1179" s="12">
        <v>-2.8865890811650199</v>
      </c>
      <c r="I1179" s="11">
        <v>-1.3460226954816199</v>
      </c>
      <c r="J1179" s="10">
        <v>0.17829519738070199</v>
      </c>
      <c r="K1179" s="29">
        <v>0.91224287658957204</v>
      </c>
    </row>
    <row r="1180" spans="1:11" x14ac:dyDescent="0.35">
      <c r="A1180" s="9" t="str">
        <f>HYPERLINK("http://www.ensembl.org/id/WBGene00003216", "WBGene00003216")</f>
        <v>WBGene00003216</v>
      </c>
      <c r="B1180" s="9" t="str">
        <f>HYPERLINK("http://www.ncbi.nlm.nih.gov/gene/189470", "189470")</f>
        <v>189470</v>
      </c>
      <c r="C1180" s="9"/>
      <c r="D1180" t="str">
        <f>"memi-1"</f>
        <v>memi-1</v>
      </c>
      <c r="E1180" t="s">
        <v>108</v>
      </c>
      <c r="F1180" t="s">
        <v>11</v>
      </c>
      <c r="H1180" s="12">
        <v>-2.8858628302450202</v>
      </c>
      <c r="I1180" s="11">
        <v>-4.3554465813708703</v>
      </c>
      <c r="J1180" s="10">
        <v>1.3279589995643899E-5</v>
      </c>
      <c r="K1180" s="29">
        <v>1.30016189169215E-3</v>
      </c>
    </row>
    <row r="1181" spans="1:11" x14ac:dyDescent="0.35">
      <c r="A1181" s="9" t="str">
        <f>HYPERLINK("http://www.ensembl.org/id/WBGene00017141", "WBGene00017141")</f>
        <v>WBGene00017141</v>
      </c>
      <c r="B1181" s="9" t="str">
        <f>HYPERLINK("http://www.ncbi.nlm.nih.gov/gene/184045", "184045")</f>
        <v>184045</v>
      </c>
      <c r="C1181" s="9"/>
      <c r="D1181" t="str">
        <f>"EEED8.13"</f>
        <v>EEED8.13</v>
      </c>
      <c r="F1181" t="s">
        <v>11</v>
      </c>
      <c r="H1181" s="12">
        <v>-2.8858004346408999</v>
      </c>
      <c r="I1181" s="11">
        <v>-1.26088554220032</v>
      </c>
      <c r="J1181" s="10">
        <v>0.20735008788442599</v>
      </c>
      <c r="K1181" s="29">
        <v>0.95679376862628696</v>
      </c>
    </row>
    <row r="1182" spans="1:11" x14ac:dyDescent="0.35">
      <c r="A1182" s="9" t="str">
        <f>HYPERLINK("http://www.ensembl.org/id/WBGene00194668", "WBGene00194668")</f>
        <v>WBGene00194668</v>
      </c>
      <c r="B1182" s="9"/>
      <c r="C1182" s="9"/>
      <c r="D1182" t="str">
        <f>"C08F11.116"</f>
        <v>C08F11.116</v>
      </c>
      <c r="F1182" t="s">
        <v>2735</v>
      </c>
      <c r="H1182" s="12">
        <v>-2.88484019053976</v>
      </c>
      <c r="I1182" s="11">
        <v>-0.97631832500591198</v>
      </c>
      <c r="J1182" s="10">
        <v>0.32890674167216299</v>
      </c>
      <c r="K1182" s="29">
        <v>0.98289565623980701</v>
      </c>
    </row>
    <row r="1183" spans="1:11" x14ac:dyDescent="0.35">
      <c r="A1183" s="9" t="str">
        <f>HYPERLINK("http://www.ensembl.org/id/WBGene00005557", "WBGene00005557")</f>
        <v>WBGene00005557</v>
      </c>
      <c r="B1183" s="9" t="str">
        <f>HYPERLINK("http://www.ncbi.nlm.nih.gov/gene/191917", "191917")</f>
        <v>191917</v>
      </c>
      <c r="C1183" s="9"/>
      <c r="D1183" t="str">
        <f>"sri-45"</f>
        <v>sri-45</v>
      </c>
      <c r="E1183" t="s">
        <v>1503</v>
      </c>
      <c r="F1183" t="s">
        <v>11</v>
      </c>
      <c r="G1183" t="s">
        <v>25</v>
      </c>
      <c r="H1183" s="12">
        <v>-2.8846790438530001</v>
      </c>
      <c r="I1183" s="11">
        <v>-0.55312603827912799</v>
      </c>
      <c r="J1183" s="10">
        <v>0.58017710797940003</v>
      </c>
      <c r="K1183" s="29">
        <v>0.98289565623980701</v>
      </c>
    </row>
    <row r="1184" spans="1:11" x14ac:dyDescent="0.35">
      <c r="A1184" s="9" t="str">
        <f>HYPERLINK("http://www.ensembl.org/id/WBGene00009397", "WBGene00009397")</f>
        <v>WBGene00009397</v>
      </c>
      <c r="B1184" s="9" t="str">
        <f>HYPERLINK("http://www.ncbi.nlm.nih.gov/gene/174929", "174929")</f>
        <v>174929</v>
      </c>
      <c r="C1184" s="9"/>
      <c r="D1184" t="str">
        <f>"clec-66"</f>
        <v>clec-66</v>
      </c>
      <c r="E1184" t="s">
        <v>46</v>
      </c>
      <c r="F1184" t="s">
        <v>11</v>
      </c>
      <c r="G1184" t="s">
        <v>734</v>
      </c>
      <c r="H1184" s="12">
        <v>-2.8842985949448301</v>
      </c>
      <c r="I1184" s="11">
        <v>-2.9333001682053101</v>
      </c>
      <c r="J1184" s="10">
        <v>3.3537947258125101E-3</v>
      </c>
      <c r="K1184" s="29">
        <v>9.2473485602176303E-2</v>
      </c>
    </row>
    <row r="1185" spans="1:11" x14ac:dyDescent="0.35">
      <c r="A1185" s="9" t="str">
        <f>HYPERLINK("http://www.ensembl.org/id/WBGene00005586", "WBGene00005586")</f>
        <v>WBGene00005586</v>
      </c>
      <c r="B1185" s="9" t="str">
        <f>HYPERLINK("http://www.ncbi.nlm.nih.gov/gene/191930", "191930")</f>
        <v>191930</v>
      </c>
      <c r="C1185" s="9"/>
      <c r="D1185" t="str">
        <f>"sri-74"</f>
        <v>sri-74</v>
      </c>
      <c r="E1185" t="s">
        <v>1503</v>
      </c>
      <c r="F1185" t="s">
        <v>11</v>
      </c>
      <c r="G1185" t="s">
        <v>25</v>
      </c>
      <c r="H1185" s="12">
        <v>-2.88256098558755</v>
      </c>
      <c r="I1185" s="11">
        <v>-0.40336317775567698</v>
      </c>
      <c r="J1185" s="10">
        <v>0.6866810710058</v>
      </c>
      <c r="K1185" s="29">
        <v>0.98289565623980701</v>
      </c>
    </row>
    <row r="1186" spans="1:11" x14ac:dyDescent="0.35">
      <c r="A1186" s="9" t="str">
        <f>HYPERLINK("http://www.ensembl.org/id/WBGene00004242", "WBGene00004242")</f>
        <v>WBGene00004242</v>
      </c>
      <c r="B1186" s="9" t="str">
        <f>HYPERLINK("http://www.ncbi.nlm.nih.gov/gene/174947", "174947")</f>
        <v>174947</v>
      </c>
      <c r="C1186" s="9"/>
      <c r="D1186" t="str">
        <f>"puf-6"</f>
        <v>puf-6</v>
      </c>
      <c r="E1186" t="s">
        <v>150</v>
      </c>
      <c r="F1186" t="s">
        <v>11</v>
      </c>
      <c r="G1186" t="s">
        <v>35</v>
      </c>
      <c r="H1186" s="12">
        <v>-2.8780159677690298</v>
      </c>
      <c r="I1186" s="11">
        <v>-5.0277784300667001</v>
      </c>
      <c r="J1186" s="10">
        <v>4.9619472558996399E-7</v>
      </c>
      <c r="K1186" s="29">
        <v>9.1681924931966797E-5</v>
      </c>
    </row>
    <row r="1187" spans="1:11" x14ac:dyDescent="0.35">
      <c r="A1187" s="9" t="str">
        <f>HYPERLINK("http://www.ensembl.org/id/WBGene00197707", "WBGene00197707")</f>
        <v>WBGene00197707</v>
      </c>
      <c r="B1187" s="9"/>
      <c r="C1187" s="9"/>
      <c r="D1187" t="str">
        <f>"F20D1.15"</f>
        <v>F20D1.15</v>
      </c>
      <c r="F1187" t="s">
        <v>481</v>
      </c>
      <c r="H1187" s="12">
        <v>-2.8776549544873098</v>
      </c>
      <c r="I1187" s="11">
        <v>-0.46400113904575802</v>
      </c>
      <c r="J1187" s="10">
        <v>0.64264692955617497</v>
      </c>
      <c r="K1187" s="29">
        <v>0.98289565623980701</v>
      </c>
    </row>
    <row r="1188" spans="1:11" x14ac:dyDescent="0.35">
      <c r="A1188" s="9" t="str">
        <f>HYPERLINK("http://www.ensembl.org/id/WBGene00014976", "WBGene00014976")</f>
        <v>WBGene00014976</v>
      </c>
      <c r="B1188" s="9"/>
      <c r="C1188" s="9"/>
      <c r="D1188" t="str">
        <f>"Y116A8C.7"</f>
        <v>Y116A8C.7</v>
      </c>
      <c r="F1188" t="s">
        <v>80</v>
      </c>
      <c r="H1188" s="12">
        <v>-2.8776549544873098</v>
      </c>
      <c r="I1188" s="11">
        <v>-0.46400113904575802</v>
      </c>
      <c r="J1188" s="10">
        <v>0.64264692955617497</v>
      </c>
      <c r="K1188" s="29">
        <v>0.98289565623980701</v>
      </c>
    </row>
    <row r="1189" spans="1:11" x14ac:dyDescent="0.35">
      <c r="A1189" s="9" t="str">
        <f>HYPERLINK("http://www.ensembl.org/id/WBGene00009005", "WBGene00009005")</f>
        <v>WBGene00009005</v>
      </c>
      <c r="B1189" s="9" t="str">
        <f>HYPERLINK("http://www.ncbi.nlm.nih.gov/gene/184761", "184761")</f>
        <v>184761</v>
      </c>
      <c r="C1189" s="9"/>
      <c r="D1189" t="str">
        <f>"F21C3.6"</f>
        <v>F21C3.6</v>
      </c>
      <c r="F1189" t="s">
        <v>11</v>
      </c>
      <c r="H1189" s="12">
        <v>-2.87693682231866</v>
      </c>
      <c r="I1189" s="11">
        <v>-0.62765048945420099</v>
      </c>
      <c r="J1189" s="10">
        <v>0.530232925814619</v>
      </c>
      <c r="K1189" s="29">
        <v>0.98289565623980701</v>
      </c>
    </row>
    <row r="1190" spans="1:11" x14ac:dyDescent="0.35">
      <c r="A1190" s="9" t="str">
        <f>HYPERLINK("http://www.ensembl.org/id/WBGene00011342", "WBGene00011342")</f>
        <v>WBGene00011342</v>
      </c>
      <c r="B1190" s="9" t="str">
        <f>HYPERLINK("http://www.ncbi.nlm.nih.gov/gene/187960", "187960")</f>
        <v>187960</v>
      </c>
      <c r="C1190" s="9"/>
      <c r="D1190" t="str">
        <f>"T01G5.7"</f>
        <v>T01G5.7</v>
      </c>
      <c r="F1190" t="s">
        <v>11</v>
      </c>
      <c r="G1190" t="s">
        <v>51</v>
      </c>
      <c r="H1190" s="12">
        <v>-2.87513907508036</v>
      </c>
      <c r="I1190" s="11">
        <v>-3.0276993167620101</v>
      </c>
      <c r="J1190" s="10">
        <v>2.4642314642898599E-3</v>
      </c>
      <c r="K1190" s="29">
        <v>7.41387138201582E-2</v>
      </c>
    </row>
    <row r="1191" spans="1:11" x14ac:dyDescent="0.35">
      <c r="A1191" s="9" t="str">
        <f>HYPERLINK("http://www.ensembl.org/id/WBGene00020400", "WBGene00020400")</f>
        <v>WBGene00020400</v>
      </c>
      <c r="B1191" s="9" t="str">
        <f>HYPERLINK("http://www.ncbi.nlm.nih.gov/gene/188369", "188369")</f>
        <v>188369</v>
      </c>
      <c r="C1191" s="9"/>
      <c r="D1191" t="str">
        <f>"T10B11.4"</f>
        <v>T10B11.4</v>
      </c>
      <c r="F1191" t="s">
        <v>11</v>
      </c>
      <c r="H1191" s="12">
        <v>-2.87390060086264</v>
      </c>
      <c r="I1191" s="11">
        <v>-0.48050083045566799</v>
      </c>
      <c r="J1191" s="10">
        <v>0.63087131281313102</v>
      </c>
      <c r="K1191" s="29">
        <v>0.98289565623980701</v>
      </c>
    </row>
    <row r="1192" spans="1:11" x14ac:dyDescent="0.35">
      <c r="A1192" s="9" t="str">
        <f>HYPERLINK("http://www.ensembl.org/id/WBGene00271648", "WBGene00271648")</f>
        <v>WBGene00271648</v>
      </c>
      <c r="B1192" s="9"/>
      <c r="C1192" s="9"/>
      <c r="D1192" t="str">
        <f>"H06O01.5"</f>
        <v>H06O01.5</v>
      </c>
      <c r="F1192" t="s">
        <v>481</v>
      </c>
      <c r="H1192" s="12">
        <v>-2.8688569918081699</v>
      </c>
      <c r="I1192" s="11">
        <v>-0.81979208309546203</v>
      </c>
      <c r="J1192" s="10">
        <v>0.41233464503003098</v>
      </c>
      <c r="K1192" s="29">
        <v>0.98289565623980701</v>
      </c>
    </row>
    <row r="1193" spans="1:11" x14ac:dyDescent="0.35">
      <c r="A1193" s="9" t="str">
        <f>HYPERLINK("http://www.ensembl.org/id/WBGene00017532", "WBGene00017532")</f>
        <v>WBGene00017532</v>
      </c>
      <c r="B1193" s="9" t="str">
        <f>HYPERLINK("http://www.ncbi.nlm.nih.gov/gene/184599", "184599")</f>
        <v>184599</v>
      </c>
      <c r="C1193" s="9"/>
      <c r="D1193" t="str">
        <f>"ent-5"</f>
        <v>ent-5</v>
      </c>
      <c r="E1193" t="s">
        <v>381</v>
      </c>
      <c r="F1193" t="s">
        <v>11</v>
      </c>
      <c r="G1193" t="s">
        <v>382</v>
      </c>
      <c r="H1193" s="12">
        <v>-2.8661913448301899</v>
      </c>
      <c r="I1193" s="11">
        <v>-3.7759706964059601</v>
      </c>
      <c r="J1193" s="10">
        <v>1.5938572986304899E-4</v>
      </c>
      <c r="K1193" s="29">
        <v>9.3234599347230499E-3</v>
      </c>
    </row>
    <row r="1194" spans="1:11" x14ac:dyDescent="0.35">
      <c r="A1194" s="9" t="str">
        <f>HYPERLINK("http://www.ensembl.org/id/WBGene00011209", "WBGene00011209")</f>
        <v>WBGene00011209</v>
      </c>
      <c r="B1194" s="9" t="str">
        <f>HYPERLINK("http://www.ncbi.nlm.nih.gov/gene/180192", "180192")</f>
        <v>180192</v>
      </c>
      <c r="C1194" s="9"/>
      <c r="D1194" t="str">
        <f>"R10E8.3"</f>
        <v>R10E8.3</v>
      </c>
      <c r="F1194" t="s">
        <v>11</v>
      </c>
      <c r="G1194" t="s">
        <v>54</v>
      </c>
      <c r="H1194" s="12">
        <v>-2.8655834657903401</v>
      </c>
      <c r="I1194" s="11">
        <v>-1.5874718744954599</v>
      </c>
      <c r="J1194" s="10">
        <v>0.112405812064703</v>
      </c>
      <c r="K1194" s="29">
        <v>0.76783389064191798</v>
      </c>
    </row>
    <row r="1195" spans="1:11" x14ac:dyDescent="0.35">
      <c r="A1195" s="9" t="str">
        <f>HYPERLINK("http://www.ensembl.org/id/WBGene00219800", "WBGene00219800")</f>
        <v>WBGene00219800</v>
      </c>
      <c r="B1195" s="9"/>
      <c r="C1195" s="9"/>
      <c r="D1195" t="str">
        <f>"C05D9.12"</f>
        <v>C05D9.12</v>
      </c>
      <c r="F1195" t="s">
        <v>481</v>
      </c>
      <c r="H1195" s="12">
        <v>-2.8641326646163199</v>
      </c>
      <c r="I1195" s="11">
        <v>-1.8429096435612</v>
      </c>
      <c r="J1195" s="10">
        <v>6.53422040552602E-2</v>
      </c>
      <c r="K1195" s="29">
        <v>0.60488660532886296</v>
      </c>
    </row>
    <row r="1196" spans="1:11" x14ac:dyDescent="0.35">
      <c r="A1196" s="9" t="str">
        <f>HYPERLINK("http://www.ensembl.org/id/WBGene00020785", "WBGene00020785")</f>
        <v>WBGene00020785</v>
      </c>
      <c r="B1196" s="9" t="str">
        <f>HYPERLINK("http://www.ncbi.nlm.nih.gov/gene/188873", "188873")</f>
        <v>188873</v>
      </c>
      <c r="C1196" s="9"/>
      <c r="D1196" t="str">
        <f>"T25B2.1"</f>
        <v>T25B2.1</v>
      </c>
      <c r="F1196" t="s">
        <v>11</v>
      </c>
      <c r="H1196" s="12">
        <v>-2.8637519716397302</v>
      </c>
      <c r="I1196" s="11">
        <v>-1.70995215192789</v>
      </c>
      <c r="J1196" s="10">
        <v>8.7274721392605503E-2</v>
      </c>
      <c r="K1196" s="29">
        <v>0.69060606592381601</v>
      </c>
    </row>
    <row r="1197" spans="1:11" x14ac:dyDescent="0.35">
      <c r="A1197" s="9" t="str">
        <f>HYPERLINK("http://www.ensembl.org/id/WBGene00011052", "WBGene00011052")</f>
        <v>WBGene00011052</v>
      </c>
      <c r="B1197" s="9" t="str">
        <f>HYPERLINK("http://www.ncbi.nlm.nih.gov/gene/187635", "187635")</f>
        <v>187635</v>
      </c>
      <c r="C1197" s="9"/>
      <c r="D1197" t="str">
        <f>"arrd-11"</f>
        <v>arrd-11</v>
      </c>
      <c r="E1197" t="s">
        <v>377</v>
      </c>
      <c r="F1197" t="s">
        <v>11</v>
      </c>
      <c r="G1197" t="s">
        <v>378</v>
      </c>
      <c r="H1197" s="12">
        <v>-2.8611860147911399</v>
      </c>
      <c r="I1197" s="11">
        <v>-0.89489771157362796</v>
      </c>
      <c r="J1197" s="10">
        <v>0.37084177018812298</v>
      </c>
      <c r="K1197" s="29">
        <v>0.98289565623980701</v>
      </c>
    </row>
    <row r="1198" spans="1:11" x14ac:dyDescent="0.35">
      <c r="A1198" s="9" t="str">
        <f>HYPERLINK("http://www.ensembl.org/id/WBGene00010492", "WBGene00010492")</f>
        <v>WBGene00010492</v>
      </c>
      <c r="B1198" s="9" t="str">
        <f>HYPERLINK("http://www.ncbi.nlm.nih.gov/gene/181502", "181502")</f>
        <v>181502</v>
      </c>
      <c r="C1198" s="9"/>
      <c r="D1198" t="str">
        <f>"meg-1"</f>
        <v>meg-1</v>
      </c>
      <c r="F1198" t="s">
        <v>11</v>
      </c>
      <c r="G1198" t="s">
        <v>120</v>
      </c>
      <c r="H1198" s="12">
        <v>-2.8611030714523098</v>
      </c>
      <c r="I1198" s="11">
        <v>-5.2559878646207201</v>
      </c>
      <c r="J1198" s="10">
        <v>1.47231998925945E-7</v>
      </c>
      <c r="K1198" s="29">
        <v>3.4259874904524701E-5</v>
      </c>
    </row>
    <row r="1199" spans="1:11" x14ac:dyDescent="0.35">
      <c r="A1199" s="9" t="str">
        <f>HYPERLINK("http://www.ensembl.org/id/WBGene00000709", "WBGene00000709")</f>
        <v>WBGene00000709</v>
      </c>
      <c r="B1199" s="9"/>
      <c r="C1199" s="9"/>
      <c r="D1199" t="str">
        <f>"col-136"</f>
        <v>col-136</v>
      </c>
      <c r="F1199" t="s">
        <v>80</v>
      </c>
      <c r="H1199" s="12">
        <v>-2.8607010747828001</v>
      </c>
      <c r="I1199" s="11">
        <v>-0.44950101976867601</v>
      </c>
      <c r="J1199" s="10">
        <v>0.65307027261219397</v>
      </c>
      <c r="K1199" s="29">
        <v>0.98289565623980701</v>
      </c>
    </row>
    <row r="1200" spans="1:11" x14ac:dyDescent="0.35">
      <c r="A1200" s="9" t="str">
        <f>HYPERLINK("http://www.ensembl.org/id/WBGene00000034", "WBGene00000034")</f>
        <v>WBGene00000034</v>
      </c>
      <c r="B1200" s="9" t="str">
        <f>HYPERLINK("http://www.ncbi.nlm.nih.gov/gene/173404", "173404")</f>
        <v>173404</v>
      </c>
      <c r="C1200" s="9"/>
      <c r="D1200" t="str">
        <f>"abu-11"</f>
        <v>abu-11</v>
      </c>
      <c r="E1200" t="s">
        <v>913</v>
      </c>
      <c r="F1200" t="s">
        <v>11</v>
      </c>
      <c r="G1200" t="s">
        <v>1843</v>
      </c>
      <c r="H1200" s="12">
        <v>-2.8580256038261802</v>
      </c>
      <c r="I1200" s="11">
        <v>-1.94748490613409</v>
      </c>
      <c r="J1200" s="10">
        <v>5.14766275958752E-2</v>
      </c>
      <c r="K1200" s="29">
        <v>0.53146512834240001</v>
      </c>
    </row>
    <row r="1201" spans="1:11" x14ac:dyDescent="0.35">
      <c r="A1201" s="9" t="str">
        <f>HYPERLINK("http://www.ensembl.org/id/WBGene00009393", "WBGene00009393")</f>
        <v>WBGene00009393</v>
      </c>
      <c r="B1201" s="9" t="str">
        <f>HYPERLINK("http://www.ncbi.nlm.nih.gov/gene/174926", "174926")</f>
        <v>174926</v>
      </c>
      <c r="C1201" s="9"/>
      <c r="D1201" t="str">
        <f>"clec-62"</f>
        <v>clec-62</v>
      </c>
      <c r="E1201" t="s">
        <v>46</v>
      </c>
      <c r="F1201" t="s">
        <v>11</v>
      </c>
      <c r="G1201" t="s">
        <v>264</v>
      </c>
      <c r="H1201" s="12">
        <v>-2.8560824048530198</v>
      </c>
      <c r="I1201" s="11">
        <v>-4.2491992679561204</v>
      </c>
      <c r="J1201" s="10">
        <v>2.1453601404387902E-5</v>
      </c>
      <c r="K1201" s="29">
        <v>1.9156001882097401E-3</v>
      </c>
    </row>
    <row r="1202" spans="1:11" x14ac:dyDescent="0.35">
      <c r="A1202" s="9" t="str">
        <f>HYPERLINK("http://www.ensembl.org/id/WBGene00007832", "WBGene00007832")</f>
        <v>WBGene00007832</v>
      </c>
      <c r="B1202" s="9" t="str">
        <f>HYPERLINK("http://www.ncbi.nlm.nih.gov/gene/183072", "183072")</f>
        <v>183072</v>
      </c>
      <c r="C1202" s="9"/>
      <c r="D1202" t="str">
        <f>"srbc-82"</f>
        <v>srbc-82</v>
      </c>
      <c r="E1202" t="s">
        <v>3034</v>
      </c>
      <c r="F1202" t="s">
        <v>11</v>
      </c>
      <c r="G1202" t="s">
        <v>25</v>
      </c>
      <c r="H1202" s="12">
        <v>-2.8552378498521902</v>
      </c>
      <c r="I1202" s="11">
        <v>-0.487427721396609</v>
      </c>
      <c r="J1202" s="10">
        <v>0.62595525239830496</v>
      </c>
      <c r="K1202" s="29">
        <v>0.98289565623980701</v>
      </c>
    </row>
    <row r="1203" spans="1:11" x14ac:dyDescent="0.35">
      <c r="A1203" s="9" t="str">
        <f>HYPERLINK("http://www.ensembl.org/id/WBGene00005590", "WBGene00005590")</f>
        <v>WBGene00005590</v>
      </c>
      <c r="B1203" s="9" t="str">
        <f>HYPERLINK("http://www.ncbi.nlm.nih.gov/gene/189558", "189558")</f>
        <v>189558</v>
      </c>
      <c r="C1203" s="9"/>
      <c r="D1203" t="str">
        <f>"sri-78"</f>
        <v>sri-78</v>
      </c>
      <c r="E1203" t="s">
        <v>1503</v>
      </c>
      <c r="F1203" t="s">
        <v>11</v>
      </c>
      <c r="G1203" t="s">
        <v>25</v>
      </c>
      <c r="H1203" s="12">
        <v>-2.8552378498521902</v>
      </c>
      <c r="I1203" s="11">
        <v>-0.487427721396609</v>
      </c>
      <c r="J1203" s="10">
        <v>0.62595525239830496</v>
      </c>
      <c r="K1203" s="29">
        <v>0.98289565623980701</v>
      </c>
    </row>
    <row r="1204" spans="1:11" x14ac:dyDescent="0.35">
      <c r="A1204" s="9" t="str">
        <f>HYPERLINK("http://www.ensembl.org/id/WBGene00219679", "WBGene00219679")</f>
        <v>WBGene00219679</v>
      </c>
      <c r="B1204" s="9"/>
      <c r="C1204" s="9"/>
      <c r="D1204" t="str">
        <f>"anr-22"</f>
        <v>anr-22</v>
      </c>
      <c r="F1204" t="s">
        <v>2735</v>
      </c>
      <c r="H1204" s="12">
        <v>-2.85382555465107</v>
      </c>
      <c r="I1204" s="11">
        <v>-0.60747253460693396</v>
      </c>
      <c r="J1204" s="10">
        <v>0.54353736438270295</v>
      </c>
      <c r="K1204" s="29">
        <v>0.98289565623980701</v>
      </c>
    </row>
    <row r="1205" spans="1:11" x14ac:dyDescent="0.35">
      <c r="A1205" s="9" t="str">
        <f>HYPERLINK("http://www.ensembl.org/id/WBGene00019736", "WBGene00019736")</f>
        <v>WBGene00019736</v>
      </c>
      <c r="B1205" s="9" t="str">
        <f>HYPERLINK("http://www.ncbi.nlm.nih.gov/gene/187401", "187401")</f>
        <v>187401</v>
      </c>
      <c r="C1205" s="9"/>
      <c r="D1205" t="str">
        <f>"M02F4.2"</f>
        <v>M02F4.2</v>
      </c>
      <c r="F1205" t="s">
        <v>11</v>
      </c>
      <c r="H1205" s="12">
        <v>-2.8535396893595202</v>
      </c>
      <c r="I1205" s="11">
        <v>-0.83386059472956797</v>
      </c>
      <c r="J1205" s="10">
        <v>0.40435954474406399</v>
      </c>
      <c r="K1205" s="29">
        <v>0.98289565623980701</v>
      </c>
    </row>
    <row r="1206" spans="1:11" x14ac:dyDescent="0.35">
      <c r="A1206" s="9" t="str">
        <f>HYPERLINK("http://www.ensembl.org/id/WBGene00007134", "WBGene00007134")</f>
        <v>WBGene00007134</v>
      </c>
      <c r="B1206" s="9" t="str">
        <f>HYPERLINK("http://www.ncbi.nlm.nih.gov/gene/181903", "181903")</f>
        <v>181903</v>
      </c>
      <c r="C1206" s="9"/>
      <c r="D1206" t="str">
        <f>"pals-28"</f>
        <v>pals-28</v>
      </c>
      <c r="E1206" t="s">
        <v>1147</v>
      </c>
      <c r="F1206" t="s">
        <v>11</v>
      </c>
      <c r="H1206" s="12">
        <v>-2.8533424367948301</v>
      </c>
      <c r="I1206" s="11">
        <v>-0.54103030355746895</v>
      </c>
      <c r="J1206" s="10">
        <v>0.58848669575113599</v>
      </c>
      <c r="K1206" s="29">
        <v>0.98289565623980701</v>
      </c>
    </row>
    <row r="1207" spans="1:11" x14ac:dyDescent="0.35">
      <c r="A1207" s="9" t="str">
        <f>HYPERLINK("http://www.ensembl.org/id/WBGene00044810", "WBGene00044810")</f>
        <v>WBGene00044810</v>
      </c>
      <c r="B1207" s="9" t="str">
        <f>HYPERLINK("http://www.ncbi.nlm.nih.gov/gene/4363008", "4363008")</f>
        <v>4363008</v>
      </c>
      <c r="C1207" s="9"/>
      <c r="D1207" t="str">
        <f>"Y37E3.19"</f>
        <v>Y37E3.19</v>
      </c>
      <c r="F1207" t="s">
        <v>11</v>
      </c>
      <c r="G1207" t="s">
        <v>25</v>
      </c>
      <c r="H1207" s="12">
        <v>-2.8501163663065299</v>
      </c>
      <c r="I1207" s="11">
        <v>-0.464562379551336</v>
      </c>
      <c r="J1207" s="10">
        <v>0.64224487838041699</v>
      </c>
      <c r="K1207" s="29">
        <v>0.98289565623980701</v>
      </c>
    </row>
    <row r="1208" spans="1:11" x14ac:dyDescent="0.35">
      <c r="A1208" s="9" t="str">
        <f>HYPERLINK("http://www.ensembl.org/id/WBGene00009997", "WBGene00009997")</f>
        <v>WBGene00009997</v>
      </c>
      <c r="B1208" s="9" t="str">
        <f>HYPERLINK("http://www.ncbi.nlm.nih.gov/gene/3565738", "3565738")</f>
        <v>3565738</v>
      </c>
      <c r="C1208" s="9"/>
      <c r="D1208" t="str">
        <f>"F53F4.15"</f>
        <v>F53F4.15</v>
      </c>
      <c r="F1208" t="s">
        <v>11</v>
      </c>
      <c r="H1208" s="12">
        <v>-2.8470777891653798</v>
      </c>
      <c r="I1208" s="11">
        <v>-0.41920650115178398</v>
      </c>
      <c r="J1208" s="10">
        <v>0.67506522125976898</v>
      </c>
      <c r="K1208" s="29">
        <v>0.98289565623980701</v>
      </c>
    </row>
    <row r="1209" spans="1:11" x14ac:dyDescent="0.35">
      <c r="A1209" s="9" t="str">
        <f>HYPERLINK("http://www.ensembl.org/id/WBGene00196140", "WBGene00196140")</f>
        <v>WBGene00196140</v>
      </c>
      <c r="B1209" s="9"/>
      <c r="C1209" s="9"/>
      <c r="D1209" t="str">
        <f>"T07F12.6"</f>
        <v>T07F12.6</v>
      </c>
      <c r="F1209" t="s">
        <v>481</v>
      </c>
      <c r="H1209" s="12">
        <v>-2.8470777891653798</v>
      </c>
      <c r="I1209" s="11">
        <v>-0.41920650115178398</v>
      </c>
      <c r="J1209" s="10">
        <v>0.67506522125976898</v>
      </c>
      <c r="K1209" s="29">
        <v>0.98289565623980701</v>
      </c>
    </row>
    <row r="1210" spans="1:11" x14ac:dyDescent="0.35">
      <c r="A1210" s="9" t="str">
        <f>HYPERLINK("http://www.ensembl.org/id/WBGene00011721", "WBGene00011721")</f>
        <v>WBGene00011721</v>
      </c>
      <c r="B1210" s="9"/>
      <c r="C1210" s="9"/>
      <c r="D1210" t="str">
        <f>"T11G6.7"</f>
        <v>T11G6.7</v>
      </c>
      <c r="F1210" t="s">
        <v>80</v>
      </c>
      <c r="H1210" s="12">
        <v>-2.8470777891653798</v>
      </c>
      <c r="I1210" s="11">
        <v>-0.41920650115178398</v>
      </c>
      <c r="J1210" s="10">
        <v>0.67506522125976898</v>
      </c>
      <c r="K1210" s="29">
        <v>0.98289565623980701</v>
      </c>
    </row>
    <row r="1211" spans="1:11" x14ac:dyDescent="0.35">
      <c r="A1211" s="9" t="str">
        <f>HYPERLINK("http://www.ensembl.org/id/WBGene00012104", "WBGene00012104")</f>
        <v>WBGene00012104</v>
      </c>
      <c r="B1211" s="9" t="str">
        <f>HYPERLINK("http://www.ncbi.nlm.nih.gov/gene/173116", "173116")</f>
        <v>173116</v>
      </c>
      <c r="C1211" s="9"/>
      <c r="D1211" t="str">
        <f>"sygl-1"</f>
        <v>sygl-1</v>
      </c>
      <c r="F1211" t="s">
        <v>11</v>
      </c>
      <c r="H1211" s="12">
        <v>-2.8444462283387999</v>
      </c>
      <c r="I1211" s="11">
        <v>-5.0285648150149598</v>
      </c>
      <c r="J1211" s="10">
        <v>4.9416448145824501E-7</v>
      </c>
      <c r="K1211" s="29">
        <v>9.1681924931966797E-5</v>
      </c>
    </row>
    <row r="1212" spans="1:11" x14ac:dyDescent="0.35">
      <c r="A1212" s="9" t="str">
        <f>HYPERLINK("http://www.ensembl.org/id/WBGene00001957", "WBGene00001957")</f>
        <v>WBGene00001957</v>
      </c>
      <c r="B1212" s="9" t="str">
        <f>HYPERLINK("http://www.ncbi.nlm.nih.gov/gene/185980", "185980")</f>
        <v>185980</v>
      </c>
      <c r="C1212" s="9"/>
      <c r="D1212" t="str">
        <f>"hlh-13"</f>
        <v>hlh-13</v>
      </c>
      <c r="E1212" t="s">
        <v>1848</v>
      </c>
      <c r="F1212" t="s">
        <v>11</v>
      </c>
      <c r="G1212" t="s">
        <v>1659</v>
      </c>
      <c r="H1212" s="12">
        <v>-2.8439792668176</v>
      </c>
      <c r="I1212" s="11">
        <v>-1.9434741758604701</v>
      </c>
      <c r="J1212" s="10">
        <v>5.1958892621454998E-2</v>
      </c>
      <c r="K1212" s="29">
        <v>0.53524840522128403</v>
      </c>
    </row>
    <row r="1213" spans="1:11" x14ac:dyDescent="0.35">
      <c r="A1213" s="9" t="str">
        <f>HYPERLINK("http://www.ensembl.org/id/WBGene00017902", "WBGene00017902")</f>
        <v>WBGene00017902</v>
      </c>
      <c r="B1213" s="9" t="str">
        <f>HYPERLINK("http://www.ncbi.nlm.nih.gov/gene/185067", "185067")</f>
        <v>185067</v>
      </c>
      <c r="C1213" s="9"/>
      <c r="D1213" t="str">
        <f>"F28E10.4"</f>
        <v>F28E10.4</v>
      </c>
      <c r="F1213" t="s">
        <v>11</v>
      </c>
      <c r="H1213" s="12">
        <v>-2.8398631049357701</v>
      </c>
      <c r="I1213" s="11">
        <v>-0.57734077809959805</v>
      </c>
      <c r="J1213" s="10">
        <v>0.56370927190023101</v>
      </c>
      <c r="K1213" s="29">
        <v>0.98289565623980701</v>
      </c>
    </row>
    <row r="1214" spans="1:11" x14ac:dyDescent="0.35">
      <c r="A1214" s="9" t="str">
        <f>HYPERLINK("http://www.ensembl.org/id/WBGene00014044", "WBGene00014044")</f>
        <v>WBGene00014044</v>
      </c>
      <c r="B1214" s="9" t="str">
        <f>HYPERLINK("http://www.ncbi.nlm.nih.gov/gene/191382", "191382")</f>
        <v>191382</v>
      </c>
      <c r="C1214" s="9"/>
      <c r="D1214" t="str">
        <f>"ZK666.4"</f>
        <v>ZK666.4</v>
      </c>
      <c r="F1214" t="s">
        <v>11</v>
      </c>
      <c r="H1214" s="12">
        <v>-2.8354343612530699</v>
      </c>
      <c r="I1214" s="11">
        <v>-0.54563380453281196</v>
      </c>
      <c r="J1214" s="10">
        <v>0.58531768250643301</v>
      </c>
      <c r="K1214" s="29">
        <v>0.98289565623980701</v>
      </c>
    </row>
    <row r="1215" spans="1:11" x14ac:dyDescent="0.35">
      <c r="A1215" s="9" t="str">
        <f>HYPERLINK("http://www.ensembl.org/id/WBGene00199416", "WBGene00199416")</f>
        <v>WBGene00199416</v>
      </c>
      <c r="B1215" s="9"/>
      <c r="C1215" s="9"/>
      <c r="D1215" t="str">
        <f>"Y40B1A.5"</f>
        <v>Y40B1A.5</v>
      </c>
      <c r="F1215" t="s">
        <v>481</v>
      </c>
      <c r="H1215" s="12">
        <v>-2.8288868817297002</v>
      </c>
      <c r="I1215" s="11">
        <v>-0.51031084092436996</v>
      </c>
      <c r="J1215" s="10">
        <v>0.60983370895637701</v>
      </c>
      <c r="K1215" s="29">
        <v>0.98289565623980701</v>
      </c>
    </row>
    <row r="1216" spans="1:11" x14ac:dyDescent="0.35">
      <c r="A1216" s="9" t="str">
        <f>HYPERLINK("http://www.ensembl.org/id/WBGene00008958", "WBGene00008958")</f>
        <v>WBGene00008958</v>
      </c>
      <c r="B1216" s="9" t="str">
        <f>HYPERLINK("http://www.ncbi.nlm.nih.gov/gene/184698", "184698")</f>
        <v>184698</v>
      </c>
      <c r="C1216" s="9"/>
      <c r="D1216" t="str">
        <f>"F19H6.3"</f>
        <v>F19H6.3</v>
      </c>
      <c r="F1216" t="s">
        <v>11</v>
      </c>
      <c r="G1216" t="s">
        <v>9780</v>
      </c>
      <c r="H1216" s="12">
        <v>-2.8272233353420702</v>
      </c>
      <c r="I1216" s="11">
        <v>-1.0896367897483601</v>
      </c>
      <c r="J1216" s="10">
        <v>0.27587317040839199</v>
      </c>
      <c r="K1216" s="29">
        <v>0.98289565623980701</v>
      </c>
    </row>
    <row r="1217" spans="1:11" x14ac:dyDescent="0.35">
      <c r="A1217" s="9" t="str">
        <f>HYPERLINK("http://www.ensembl.org/id/WBGene00012169", "WBGene00012169")</f>
        <v>WBGene00012169</v>
      </c>
      <c r="B1217" s="9" t="str">
        <f>HYPERLINK("http://www.ncbi.nlm.nih.gov/gene/177871", "177871")</f>
        <v>177871</v>
      </c>
      <c r="C1217" s="9"/>
      <c r="D1217" t="str">
        <f>"ttbk-4"</f>
        <v>ttbk-4</v>
      </c>
      <c r="E1217" t="s">
        <v>4264</v>
      </c>
      <c r="F1217" t="s">
        <v>11</v>
      </c>
      <c r="G1217" t="s">
        <v>1763</v>
      </c>
      <c r="H1217" s="12">
        <v>-2.8243810397981601</v>
      </c>
      <c r="I1217" s="11">
        <v>-1.0861539056163201</v>
      </c>
      <c r="J1217" s="10">
        <v>0.277410906586185</v>
      </c>
      <c r="K1217" s="29">
        <v>0.98289565623980701</v>
      </c>
    </row>
    <row r="1218" spans="1:11" x14ac:dyDescent="0.35">
      <c r="A1218" s="9" t="str">
        <f>HYPERLINK("http://www.ensembl.org/id/WBGene00010781", "WBGene00010781")</f>
        <v>WBGene00010781</v>
      </c>
      <c r="B1218" s="9" t="str">
        <f>HYPERLINK("http://www.ncbi.nlm.nih.gov/gene/187307", "187307")</f>
        <v>187307</v>
      </c>
      <c r="C1218" s="9"/>
      <c r="D1218" t="str">
        <f>"K11H3.4"</f>
        <v>K11H3.4</v>
      </c>
      <c r="F1218" t="s">
        <v>11</v>
      </c>
      <c r="G1218" t="s">
        <v>396</v>
      </c>
      <c r="H1218" s="12">
        <v>-2.8214372858307399</v>
      </c>
      <c r="I1218" s="11">
        <v>-3.70069175649961</v>
      </c>
      <c r="J1218" s="10">
        <v>2.1501252942894E-4</v>
      </c>
      <c r="K1218" s="29">
        <v>1.20292481960898E-2</v>
      </c>
    </row>
    <row r="1219" spans="1:11" x14ac:dyDescent="0.35">
      <c r="A1219" s="9" t="str">
        <f>HYPERLINK("http://www.ensembl.org/id/WBGene00167105", "WBGene00167105")</f>
        <v>WBGene00167105</v>
      </c>
      <c r="B1219" s="9"/>
      <c r="C1219" s="9"/>
      <c r="D1219" t="str">
        <f>"21ur-14515"</f>
        <v>21ur-14515</v>
      </c>
      <c r="F1219" t="s">
        <v>3161</v>
      </c>
      <c r="H1219" s="12">
        <v>-2.82077238682509</v>
      </c>
      <c r="I1219" s="11">
        <v>-0.39885745974467901</v>
      </c>
      <c r="J1219" s="10">
        <v>0.68999823584143305</v>
      </c>
      <c r="K1219" s="29">
        <v>0.98289565623980701</v>
      </c>
    </row>
    <row r="1220" spans="1:11" x14ac:dyDescent="0.35">
      <c r="A1220" s="9" t="str">
        <f>HYPERLINK("http://www.ensembl.org/id/WBGene00018148", "WBGene00018148")</f>
        <v>WBGene00018148</v>
      </c>
      <c r="B1220" s="9" t="str">
        <f>HYPERLINK("http://www.ncbi.nlm.nih.gov/gene/185421", "185421")</f>
        <v>185421</v>
      </c>
      <c r="C1220" s="9"/>
      <c r="D1220" t="str">
        <f>"F37C4.8"</f>
        <v>F37C4.8</v>
      </c>
      <c r="F1220" t="s">
        <v>11</v>
      </c>
      <c r="G1220" t="s">
        <v>25</v>
      </c>
      <c r="H1220" s="12">
        <v>-2.82077238682509</v>
      </c>
      <c r="I1220" s="11">
        <v>-0.39885745974467901</v>
      </c>
      <c r="J1220" s="10">
        <v>0.68999823584143305</v>
      </c>
      <c r="K1220" s="29">
        <v>0.98289565623980701</v>
      </c>
    </row>
    <row r="1221" spans="1:11" x14ac:dyDescent="0.35">
      <c r="A1221" s="9" t="str">
        <f>HYPERLINK("http://www.ensembl.org/id/WBGene00009914", "WBGene00009914")</f>
        <v>WBGene00009914</v>
      </c>
      <c r="B1221" s="9" t="str">
        <f>HYPERLINK("http://www.ncbi.nlm.nih.gov/gene/186080", "186080")</f>
        <v>186080</v>
      </c>
      <c r="C1221" s="9"/>
      <c r="D1221" t="str">
        <f>"F49H6.13"</f>
        <v>F49H6.13</v>
      </c>
      <c r="F1221" t="s">
        <v>11</v>
      </c>
      <c r="G1221" t="s">
        <v>25</v>
      </c>
      <c r="H1221" s="12">
        <v>-2.82077238682509</v>
      </c>
      <c r="I1221" s="11">
        <v>-0.39885745974467901</v>
      </c>
      <c r="J1221" s="10">
        <v>0.68999823584143305</v>
      </c>
      <c r="K1221" s="29">
        <v>0.98289565623980701</v>
      </c>
    </row>
    <row r="1222" spans="1:11" x14ac:dyDescent="0.35">
      <c r="A1222" s="9" t="str">
        <f>HYPERLINK("http://www.ensembl.org/id/WBGene00008855", "WBGene00008855")</f>
        <v>WBGene00008855</v>
      </c>
      <c r="B1222" s="9" t="str">
        <f>HYPERLINK("http://www.ncbi.nlm.nih.gov/gene/184527", "184527")</f>
        <v>184527</v>
      </c>
      <c r="C1222" s="9"/>
      <c r="D1222" t="str">
        <f>"F15D3.5"</f>
        <v>F15D3.5</v>
      </c>
      <c r="F1222" t="s">
        <v>11</v>
      </c>
      <c r="H1222" s="12">
        <v>-2.8168299036705799</v>
      </c>
      <c r="I1222" s="11">
        <v>-0.37699042193643401</v>
      </c>
      <c r="J1222" s="10">
        <v>0.70618072287494404</v>
      </c>
      <c r="K1222" s="29">
        <v>0.98289565623980701</v>
      </c>
    </row>
    <row r="1223" spans="1:11" x14ac:dyDescent="0.35">
      <c r="A1223" s="9" t="str">
        <f>HYPERLINK("http://www.ensembl.org/id/WBGene00220008", "WBGene00220008")</f>
        <v>WBGene00220008</v>
      </c>
      <c r="B1223" s="9"/>
      <c r="C1223" s="9"/>
      <c r="D1223" t="str">
        <f>"K07C5.18"</f>
        <v>K07C5.18</v>
      </c>
      <c r="F1223" t="s">
        <v>2977</v>
      </c>
      <c r="H1223" s="12">
        <v>-2.8168299036705799</v>
      </c>
      <c r="I1223" s="11">
        <v>-0.37699042193643401</v>
      </c>
      <c r="J1223" s="10">
        <v>0.70618072287494404</v>
      </c>
      <c r="K1223" s="29">
        <v>0.98289565623980701</v>
      </c>
    </row>
    <row r="1224" spans="1:11" x14ac:dyDescent="0.35">
      <c r="A1224" s="9" t="str">
        <f>HYPERLINK("http://www.ensembl.org/id/WBGene00219666", "WBGene00219666")</f>
        <v>WBGene00219666</v>
      </c>
      <c r="B1224" s="9"/>
      <c r="C1224" s="9"/>
      <c r="D1224" t="str">
        <f>"linc-31"</f>
        <v>linc-31</v>
      </c>
      <c r="F1224" t="s">
        <v>1510</v>
      </c>
      <c r="H1224" s="12">
        <v>-2.8168299036705799</v>
      </c>
      <c r="I1224" s="11">
        <v>-0.37699042193643401</v>
      </c>
      <c r="J1224" s="10">
        <v>0.70618072287494404</v>
      </c>
      <c r="K1224" s="29">
        <v>0.98289565623980701</v>
      </c>
    </row>
    <row r="1225" spans="1:11" x14ac:dyDescent="0.35">
      <c r="A1225" s="9" t="str">
        <f>HYPERLINK("http://www.ensembl.org/id/WBGene00220034", "WBGene00220034")</f>
        <v>WBGene00220034</v>
      </c>
      <c r="B1225" s="9"/>
      <c r="C1225" s="9"/>
      <c r="D1225" t="str">
        <f>"M57.3"</f>
        <v>M57.3</v>
      </c>
      <c r="F1225" t="s">
        <v>481</v>
      </c>
      <c r="H1225" s="12">
        <v>-2.8168299036705799</v>
      </c>
      <c r="I1225" s="11">
        <v>-0.37699042193643401</v>
      </c>
      <c r="J1225" s="10">
        <v>0.70618072287494404</v>
      </c>
      <c r="K1225" s="29">
        <v>0.98289565623980701</v>
      </c>
    </row>
    <row r="1226" spans="1:11" x14ac:dyDescent="0.35">
      <c r="A1226" s="9" t="str">
        <f>HYPERLINK("http://www.ensembl.org/id/WBGene00013988", "WBGene00013988")</f>
        <v>WBGene00013988</v>
      </c>
      <c r="B1226" s="9" t="str">
        <f>HYPERLINK("http://www.ncbi.nlm.nih.gov/gene/3565367", "3565367")</f>
        <v>3565367</v>
      </c>
      <c r="C1226" s="9"/>
      <c r="D1226" t="str">
        <f>"ZK512.10"</f>
        <v>ZK512.10</v>
      </c>
      <c r="F1226" t="s">
        <v>11</v>
      </c>
      <c r="H1226" s="12">
        <v>-2.8156509339217499</v>
      </c>
      <c r="I1226" s="11">
        <v>-0.38862640419098798</v>
      </c>
      <c r="J1226" s="10">
        <v>0.69755253151170804</v>
      </c>
      <c r="K1226" s="29">
        <v>0.98289565623980701</v>
      </c>
    </row>
    <row r="1227" spans="1:11" x14ac:dyDescent="0.35">
      <c r="A1227" s="9" t="str">
        <f>HYPERLINK("http://www.ensembl.org/id/WBGene00021713", "WBGene00021713")</f>
        <v>WBGene00021713</v>
      </c>
      <c r="B1227" s="9" t="str">
        <f>HYPERLINK("http://www.ncbi.nlm.nih.gov/gene/190077", "190077")</f>
        <v>190077</v>
      </c>
      <c r="C1227" s="9"/>
      <c r="D1227" t="str">
        <f>"Y49F6A.5"</f>
        <v>Y49F6A.5</v>
      </c>
      <c r="F1227" t="s">
        <v>11</v>
      </c>
      <c r="H1227" s="12">
        <v>-2.8142335055698502</v>
      </c>
      <c r="I1227" s="11">
        <v>-1.53529168133467</v>
      </c>
      <c r="J1227" s="10">
        <v>0.124712196592581</v>
      </c>
      <c r="K1227" s="29">
        <v>0.79911259413981595</v>
      </c>
    </row>
    <row r="1228" spans="1:11" x14ac:dyDescent="0.35">
      <c r="A1228" s="9" t="str">
        <f>HYPERLINK("http://www.ensembl.org/id/WBGene00021908", "WBGene00021908")</f>
        <v>WBGene00021908</v>
      </c>
      <c r="B1228" s="9" t="str">
        <f>HYPERLINK("http://www.ncbi.nlm.nih.gov/gene/190300", "190300")</f>
        <v>190300</v>
      </c>
      <c r="C1228" s="9"/>
      <c r="D1228" t="str">
        <f>"Y55B1AR.4"</f>
        <v>Y55B1AR.4</v>
      </c>
      <c r="F1228" t="s">
        <v>11</v>
      </c>
      <c r="H1228" s="12">
        <v>-2.81395873258275</v>
      </c>
      <c r="I1228" s="11">
        <v>-0.65857419570279097</v>
      </c>
      <c r="J1228" s="10">
        <v>0.51016923765923305</v>
      </c>
      <c r="K1228" s="29">
        <v>0.98289565623980701</v>
      </c>
    </row>
    <row r="1229" spans="1:11" x14ac:dyDescent="0.35">
      <c r="A1229" s="9" t="str">
        <f>HYPERLINK("http://www.ensembl.org/id/WBGene00020698", "WBGene00020698")</f>
        <v>WBGene00020698</v>
      </c>
      <c r="B1229" s="9" t="str">
        <f>HYPERLINK("http://www.ncbi.nlm.nih.gov/gene/178781", "178781")</f>
        <v>178781</v>
      </c>
      <c r="C1229" s="9"/>
      <c r="D1229" t="str">
        <f>"T22F3.8"</f>
        <v>T22F3.8</v>
      </c>
      <c r="F1229" t="s">
        <v>11</v>
      </c>
      <c r="G1229" t="s">
        <v>230</v>
      </c>
      <c r="H1229" s="12">
        <v>-2.81035780318512</v>
      </c>
      <c r="I1229" s="11">
        <v>-0.70987757020117304</v>
      </c>
      <c r="J1229" s="10">
        <v>0.47778006071620499</v>
      </c>
      <c r="K1229" s="29">
        <v>0.98289565623980701</v>
      </c>
    </row>
    <row r="1230" spans="1:11" x14ac:dyDescent="0.35">
      <c r="A1230" s="9" t="str">
        <f>HYPERLINK("http://www.ensembl.org/id/WBGene00011062", "WBGene00011062")</f>
        <v>WBGene00011062</v>
      </c>
      <c r="B1230" s="9" t="str">
        <f>HYPERLINK("http://www.ncbi.nlm.nih.gov/gene/187640", "187640")</f>
        <v>187640</v>
      </c>
      <c r="C1230" s="9"/>
      <c r="D1230" t="str">
        <f>"R06C7.2"</f>
        <v>R06C7.2</v>
      </c>
      <c r="F1230" t="s">
        <v>11</v>
      </c>
      <c r="G1230" t="s">
        <v>871</v>
      </c>
      <c r="H1230" s="12">
        <v>-2.8099615293014399</v>
      </c>
      <c r="I1230" s="11">
        <v>-2.7559771618908302</v>
      </c>
      <c r="J1230" s="10">
        <v>5.8517082662229896E-3</v>
      </c>
      <c r="K1230" s="29">
        <v>0.134839373287204</v>
      </c>
    </row>
    <row r="1231" spans="1:11" x14ac:dyDescent="0.35">
      <c r="A1231" s="9" t="str">
        <f>HYPERLINK("http://www.ensembl.org/id/WBGene00010036", "WBGene00010036")</f>
        <v>WBGene00010036</v>
      </c>
      <c r="B1231" s="9" t="str">
        <f>HYPERLINK("http://www.ncbi.nlm.nih.gov/gene/186223", "186223")</f>
        <v>186223</v>
      </c>
      <c r="C1231" s="9"/>
      <c r="D1231" t="str">
        <f>"cpar-1"</f>
        <v>cpar-1</v>
      </c>
      <c r="E1231" t="s">
        <v>231</v>
      </c>
      <c r="F1231" t="s">
        <v>11</v>
      </c>
      <c r="G1231" t="s">
        <v>232</v>
      </c>
      <c r="H1231" s="12">
        <v>-2.8092367768080702</v>
      </c>
      <c r="I1231" s="11">
        <v>-4.40283118813712</v>
      </c>
      <c r="J1231" s="10">
        <v>1.0684730393117599E-5</v>
      </c>
      <c r="K1231" s="29">
        <v>1.0923954887760001E-3</v>
      </c>
    </row>
    <row r="1232" spans="1:11" x14ac:dyDescent="0.35">
      <c r="A1232" s="9" t="str">
        <f>HYPERLINK("http://www.ensembl.org/id/WBGene00194646", "WBGene00194646")</f>
        <v>WBGene00194646</v>
      </c>
      <c r="B1232" s="9" t="str">
        <f>HYPERLINK("http://www.ncbi.nlm.nih.gov/gene/13206883", "13206883")</f>
        <v>13206883</v>
      </c>
      <c r="C1232" s="9"/>
      <c r="D1232" t="str">
        <f>"Y105C5A.1270"</f>
        <v>Y105C5A.1270</v>
      </c>
      <c r="F1232" t="s">
        <v>11</v>
      </c>
      <c r="G1232" t="s">
        <v>25</v>
      </c>
      <c r="H1232" s="12">
        <v>-2.8038240212537402</v>
      </c>
      <c r="I1232" s="11">
        <v>-1.06349905634194</v>
      </c>
      <c r="J1232" s="10">
        <v>0.28755569290124899</v>
      </c>
      <c r="K1232" s="29">
        <v>0.98289565623980701</v>
      </c>
    </row>
    <row r="1233" spans="1:11" x14ac:dyDescent="0.35">
      <c r="A1233" s="9" t="str">
        <f>HYPERLINK("http://www.ensembl.org/id/WBGene00044807", "WBGene00044807")</f>
        <v>WBGene00044807</v>
      </c>
      <c r="B1233" s="9" t="str">
        <f>HYPERLINK("http://www.ncbi.nlm.nih.gov/gene/13186491", "13186491")</f>
        <v>13186491</v>
      </c>
      <c r="C1233" s="9"/>
      <c r="D1233" t="str">
        <f>"T19H5.6"</f>
        <v>T19H5.6</v>
      </c>
      <c r="F1233" t="s">
        <v>11</v>
      </c>
      <c r="G1233" t="s">
        <v>1509</v>
      </c>
      <c r="H1233" s="12">
        <v>-2.8019783191260998</v>
      </c>
      <c r="I1233" s="11">
        <v>-2.14217424905917</v>
      </c>
      <c r="J1233" s="10">
        <v>3.21794628617844E-2</v>
      </c>
      <c r="K1233" s="29">
        <v>0.406083380057013</v>
      </c>
    </row>
    <row r="1234" spans="1:11" x14ac:dyDescent="0.35">
      <c r="A1234" s="9" t="str">
        <f>HYPERLINK("http://www.ensembl.org/id/WBGene00219241", "WBGene00219241")</f>
        <v>WBGene00219241</v>
      </c>
      <c r="B1234" s="9" t="str">
        <f>HYPERLINK("http://www.ncbi.nlm.nih.gov/gene/13210326", "13210326")</f>
        <v>13210326</v>
      </c>
      <c r="C1234" s="9"/>
      <c r="D1234" t="str">
        <f>"Y116A8A.150"</f>
        <v>Y116A8A.150</v>
      </c>
      <c r="F1234" t="s">
        <v>11</v>
      </c>
      <c r="H1234" s="12">
        <v>-2.79999116602293</v>
      </c>
      <c r="I1234" s="11">
        <v>-0.95718403556667397</v>
      </c>
      <c r="J1234" s="10">
        <v>0.338474373447819</v>
      </c>
      <c r="K1234" s="29">
        <v>0.98289565623980701</v>
      </c>
    </row>
    <row r="1235" spans="1:11" x14ac:dyDescent="0.35">
      <c r="A1235" s="9" t="str">
        <f>HYPERLINK("http://www.ensembl.org/id/WBGene00011061", "WBGene00011061")</f>
        <v>WBGene00011061</v>
      </c>
      <c r="B1235" s="9" t="str">
        <f>HYPERLINK("http://www.ncbi.nlm.nih.gov/gene/172463", "172463")</f>
        <v>172463</v>
      </c>
      <c r="C1235" s="9"/>
      <c r="D1235" t="str">
        <f>"wago-1"</f>
        <v>wago-1</v>
      </c>
      <c r="E1235" t="s">
        <v>118</v>
      </c>
      <c r="F1235" t="s">
        <v>11</v>
      </c>
      <c r="G1235" t="s">
        <v>119</v>
      </c>
      <c r="H1235" s="12">
        <v>-2.7986093804843999</v>
      </c>
      <c r="I1235" s="11">
        <v>-5.3244179058660004</v>
      </c>
      <c r="J1235" s="10">
        <v>1.01276827590389E-7</v>
      </c>
      <c r="K1235" s="29">
        <v>2.4632656613721302E-5</v>
      </c>
    </row>
    <row r="1236" spans="1:11" x14ac:dyDescent="0.35">
      <c r="A1236" s="9" t="str">
        <f>HYPERLINK("http://www.ensembl.org/id/WBGene00009261", "WBGene00009261")</f>
        <v>WBGene00009261</v>
      </c>
      <c r="B1236" s="9" t="str">
        <f>HYPERLINK("http://www.ncbi.nlm.nih.gov/gene/172776", "172776")</f>
        <v>172776</v>
      </c>
      <c r="C1236" s="9"/>
      <c r="D1236" t="str">
        <f>"F30A10.2"</f>
        <v>F30A10.2</v>
      </c>
      <c r="F1236" t="s">
        <v>11</v>
      </c>
      <c r="H1236" s="12">
        <v>-2.79781238043905</v>
      </c>
      <c r="I1236" s="11">
        <v>-1.38693407954593</v>
      </c>
      <c r="J1236" s="10">
        <v>0.165461864819824</v>
      </c>
      <c r="K1236" s="29">
        <v>0.88498397685845498</v>
      </c>
    </row>
    <row r="1237" spans="1:11" x14ac:dyDescent="0.35">
      <c r="A1237" s="9" t="str">
        <f>HYPERLINK("http://www.ensembl.org/id/WBGene00022096", "WBGene00022096")</f>
        <v>WBGene00022096</v>
      </c>
      <c r="B1237" s="9" t="str">
        <f>HYPERLINK("http://www.ncbi.nlm.nih.gov/gene/190546", "190546")</f>
        <v>190546</v>
      </c>
      <c r="C1237" s="9"/>
      <c r="D1237" t="str">
        <f>"Y69A2AR.25"</f>
        <v>Y69A2AR.25</v>
      </c>
      <c r="F1237" t="s">
        <v>11</v>
      </c>
      <c r="H1237" s="12">
        <v>-2.7976695413583101</v>
      </c>
      <c r="I1237" s="11">
        <v>-0.97963515521776401</v>
      </c>
      <c r="J1237" s="10">
        <v>0.327266245161075</v>
      </c>
      <c r="K1237" s="29">
        <v>0.98289565623980701</v>
      </c>
    </row>
    <row r="1238" spans="1:11" x14ac:dyDescent="0.35">
      <c r="A1238" s="9" t="str">
        <f>HYPERLINK("http://www.ensembl.org/id/WBGene00008124", "WBGene00008124")</f>
        <v>WBGene00008124</v>
      </c>
      <c r="B1238" s="9" t="str">
        <f>HYPERLINK("http://www.ncbi.nlm.nih.gov/gene/178340", "178340")</f>
        <v>178340</v>
      </c>
      <c r="C1238" s="9"/>
      <c r="D1238" t="str">
        <f>"C47A4.3"</f>
        <v>C47A4.3</v>
      </c>
      <c r="E1238" t="s">
        <v>2496</v>
      </c>
      <c r="F1238" t="s">
        <v>11</v>
      </c>
      <c r="G1238" t="s">
        <v>2497</v>
      </c>
      <c r="H1238" s="12">
        <v>-2.7920015675445899</v>
      </c>
      <c r="I1238" s="11">
        <v>-0.55834738977773002</v>
      </c>
      <c r="J1238" s="10">
        <v>0.57660719046345799</v>
      </c>
      <c r="K1238" s="29">
        <v>0.98289565623980701</v>
      </c>
    </row>
    <row r="1239" spans="1:11" x14ac:dyDescent="0.35">
      <c r="A1239" s="9" t="str">
        <f>HYPERLINK("http://www.ensembl.org/id/WBGene00006040", "WBGene00006040")</f>
        <v>WBGene00006040</v>
      </c>
      <c r="B1239" s="9" t="str">
        <f>HYPERLINK("http://www.ncbi.nlm.nih.gov/gene/177266", "177266")</f>
        <v>177266</v>
      </c>
      <c r="C1239" s="9"/>
      <c r="D1239" t="str">
        <f>"ssp-11"</f>
        <v>ssp-11</v>
      </c>
      <c r="E1239" t="s">
        <v>10081</v>
      </c>
      <c r="F1239" t="s">
        <v>11</v>
      </c>
      <c r="H1239" s="12">
        <v>-2.7909333017174198</v>
      </c>
      <c r="I1239" s="11">
        <v>-0.65031239926456896</v>
      </c>
      <c r="J1239" s="10">
        <v>0.51549044944631195</v>
      </c>
      <c r="K1239" s="29">
        <v>0.98289565623980701</v>
      </c>
    </row>
    <row r="1240" spans="1:11" x14ac:dyDescent="0.35">
      <c r="A1240" s="9" t="str">
        <f>HYPERLINK("http://www.ensembl.org/id/WBGene00008024", "WBGene00008024")</f>
        <v>WBGene00008024</v>
      </c>
      <c r="B1240" s="9" t="str">
        <f>HYPERLINK("http://www.ncbi.nlm.nih.gov/gene/183333", "183333")</f>
        <v>183333</v>
      </c>
      <c r="C1240" s="9"/>
      <c r="D1240" t="str">
        <f>"C39B10.4"</f>
        <v>C39B10.4</v>
      </c>
      <c r="F1240" t="s">
        <v>11</v>
      </c>
      <c r="H1240" s="12">
        <v>-2.79034805100844</v>
      </c>
      <c r="I1240" s="11">
        <v>-0.81710917407199302</v>
      </c>
      <c r="J1240" s="10">
        <v>0.41386604065833199</v>
      </c>
      <c r="K1240" s="29">
        <v>0.98289565623980701</v>
      </c>
    </row>
    <row r="1241" spans="1:11" x14ac:dyDescent="0.35">
      <c r="A1241" s="9" t="str">
        <f>HYPERLINK("http://www.ensembl.org/id/WBGene00021658", "WBGene00021658")</f>
        <v>WBGene00021658</v>
      </c>
      <c r="B1241" s="9" t="str">
        <f>HYPERLINK("http://www.ncbi.nlm.nih.gov/gene/171625", "171625")</f>
        <v>171625</v>
      </c>
      <c r="C1241" s="9"/>
      <c r="D1241" t="str">
        <f>"Y48G1A.2"</f>
        <v>Y48G1A.2</v>
      </c>
      <c r="F1241" t="s">
        <v>11</v>
      </c>
      <c r="H1241" s="12">
        <v>-2.7859530115792399</v>
      </c>
      <c r="I1241" s="11">
        <v>-4.4490300970838002</v>
      </c>
      <c r="J1241" s="10">
        <v>8.6258929472264092E-6</v>
      </c>
      <c r="K1241" s="29">
        <v>9.1847872091527E-4</v>
      </c>
    </row>
    <row r="1242" spans="1:11" x14ac:dyDescent="0.35">
      <c r="A1242" s="9" t="str">
        <f>HYPERLINK("http://www.ensembl.org/id/WBGene00018455", "WBGene00018455")</f>
        <v>WBGene00018455</v>
      </c>
      <c r="B1242" s="9" t="str">
        <f>HYPERLINK("http://www.ncbi.nlm.nih.gov/gene/185785", "185785")</f>
        <v>185785</v>
      </c>
      <c r="C1242" s="9"/>
      <c r="D1242" t="str">
        <f>"fbxc-42"</f>
        <v>fbxc-42</v>
      </c>
      <c r="E1242" t="s">
        <v>311</v>
      </c>
      <c r="F1242" t="s">
        <v>11</v>
      </c>
      <c r="H1242" s="12">
        <v>-2.7850658274357301</v>
      </c>
      <c r="I1242" s="11">
        <v>-2.0460091236602</v>
      </c>
      <c r="J1242" s="10">
        <v>4.0755473035579803E-2</v>
      </c>
      <c r="K1242" s="29">
        <v>0.46618611879213301</v>
      </c>
    </row>
    <row r="1243" spans="1:11" x14ac:dyDescent="0.35">
      <c r="A1243" s="9" t="str">
        <f>HYPERLINK("http://www.ensembl.org/id/WBGene00015044", "WBGene00015044")</f>
        <v>WBGene00015044</v>
      </c>
      <c r="B1243" s="9" t="str">
        <f>HYPERLINK("http://www.ncbi.nlm.nih.gov/gene/181851", "181851")</f>
        <v>181851</v>
      </c>
      <c r="C1243" s="9"/>
      <c r="D1243" t="str">
        <f>"cyp-34A9"</f>
        <v>cyp-34A9</v>
      </c>
      <c r="E1243" t="s">
        <v>176</v>
      </c>
      <c r="F1243" t="s">
        <v>11</v>
      </c>
      <c r="G1243" t="s">
        <v>438</v>
      </c>
      <c r="H1243" s="12">
        <v>-2.7814155320015299</v>
      </c>
      <c r="I1243" s="11">
        <v>-3.3104218384907398</v>
      </c>
      <c r="J1243" s="10">
        <v>9.3155464790554401E-4</v>
      </c>
      <c r="K1243" s="29">
        <v>3.6983679887466502E-2</v>
      </c>
    </row>
    <row r="1244" spans="1:11" x14ac:dyDescent="0.35">
      <c r="A1244" s="9" t="str">
        <f>HYPERLINK("http://www.ensembl.org/id/WBGene00007231", "WBGene00007231")</f>
        <v>WBGene00007231</v>
      </c>
      <c r="B1244" s="9" t="str">
        <f>HYPERLINK("http://www.ncbi.nlm.nih.gov/gene/182081", "182081")</f>
        <v>182081</v>
      </c>
      <c r="C1244" s="9"/>
      <c r="D1244" t="str">
        <f>"C01G10.4"</f>
        <v>C01G10.4</v>
      </c>
      <c r="F1244" t="s">
        <v>11</v>
      </c>
      <c r="H1244" s="12">
        <v>-2.7792183191350901</v>
      </c>
      <c r="I1244" s="11">
        <v>-0.497546698196141</v>
      </c>
      <c r="J1244" s="10">
        <v>0.61880358063933305</v>
      </c>
      <c r="K1244" s="29">
        <v>0.98289565623980701</v>
      </c>
    </row>
    <row r="1245" spans="1:11" x14ac:dyDescent="0.35">
      <c r="A1245" s="9" t="str">
        <f>HYPERLINK("http://www.ensembl.org/id/WBGene00015766", "WBGene00015766")</f>
        <v>WBGene00015766</v>
      </c>
      <c r="B1245" s="9" t="str">
        <f>HYPERLINK("http://www.ncbi.nlm.nih.gov/gene/178953", "178953")</f>
        <v>178953</v>
      </c>
      <c r="C1245" s="9"/>
      <c r="D1245" t="str">
        <f>"C14C11.2"</f>
        <v>C14C11.2</v>
      </c>
      <c r="F1245" t="s">
        <v>11</v>
      </c>
      <c r="H1245" s="12">
        <v>-2.7782640521447699</v>
      </c>
      <c r="I1245" s="11">
        <v>-3.6199754285867001</v>
      </c>
      <c r="J1245" s="10">
        <v>2.9463099307689702E-4</v>
      </c>
      <c r="K1245" s="29">
        <v>1.53657975766838E-2</v>
      </c>
    </row>
    <row r="1246" spans="1:11" x14ac:dyDescent="0.35">
      <c r="A1246" s="9" t="str">
        <f>HYPERLINK("http://www.ensembl.org/id/WBGene00003992", "WBGene00003992")</f>
        <v>WBGene00003992</v>
      </c>
      <c r="B1246" s="9" t="str">
        <f>HYPERLINK("http://www.ncbi.nlm.nih.gov/gene/177461", "177461")</f>
        <v>177461</v>
      </c>
      <c r="C1246" s="9"/>
      <c r="D1246" t="str">
        <f>"pgl-1"</f>
        <v>pgl-1</v>
      </c>
      <c r="E1246" t="s">
        <v>148</v>
      </c>
      <c r="F1246" t="s">
        <v>11</v>
      </c>
      <c r="G1246" t="s">
        <v>149</v>
      </c>
      <c r="H1246" s="12">
        <v>-2.77695778386461</v>
      </c>
      <c r="I1246" s="11">
        <v>-5.0321421776333501</v>
      </c>
      <c r="J1246" s="10">
        <v>4.8502932930013299E-7</v>
      </c>
      <c r="K1246" s="29">
        <v>9.1114534006576204E-5</v>
      </c>
    </row>
    <row r="1247" spans="1:11" x14ac:dyDescent="0.35">
      <c r="A1247" s="9" t="str">
        <f>HYPERLINK("http://www.ensembl.org/id/WBGene00219803", "WBGene00219803")</f>
        <v>WBGene00219803</v>
      </c>
      <c r="B1247" s="9"/>
      <c r="C1247" s="9"/>
      <c r="D1247" t="str">
        <f>"C06A1.12"</f>
        <v>C06A1.12</v>
      </c>
      <c r="F1247" t="s">
        <v>481</v>
      </c>
      <c r="H1247" s="12">
        <v>-2.77690464643669</v>
      </c>
      <c r="I1247" s="11">
        <v>-2.7890470740846198</v>
      </c>
      <c r="J1247" s="10">
        <v>5.2863380643831601E-3</v>
      </c>
      <c r="K1247" s="29">
        <v>0.12592384259344</v>
      </c>
    </row>
    <row r="1248" spans="1:11" x14ac:dyDescent="0.35">
      <c r="A1248" s="9" t="str">
        <f>HYPERLINK("http://www.ensembl.org/id/WBGene00219605", "WBGene00219605")</f>
        <v>WBGene00219605</v>
      </c>
      <c r="B1248" s="9"/>
      <c r="C1248" s="9"/>
      <c r="D1248" t="str">
        <f>"linc-110"</f>
        <v>linc-110</v>
      </c>
      <c r="F1248" t="s">
        <v>1510</v>
      </c>
      <c r="H1248" s="12">
        <v>-2.7763297476792199</v>
      </c>
      <c r="I1248" s="11">
        <v>-0.66910464710223105</v>
      </c>
      <c r="J1248" s="10">
        <v>0.50342872578661002</v>
      </c>
      <c r="K1248" s="29">
        <v>0.98289565623980701</v>
      </c>
    </row>
    <row r="1249" spans="1:11" x14ac:dyDescent="0.35">
      <c r="A1249" s="9" t="str">
        <f>HYPERLINK("http://www.ensembl.org/id/WBGene00003701", "WBGene00003701")</f>
        <v>WBGene00003701</v>
      </c>
      <c r="B1249" s="9" t="str">
        <f>HYPERLINK("http://www.ncbi.nlm.nih.gov/gene/185757", "185757")</f>
        <v>185757</v>
      </c>
      <c r="C1249" s="9"/>
      <c r="D1249" t="str">
        <f>"nhr-111"</f>
        <v>nhr-111</v>
      </c>
      <c r="E1249" t="s">
        <v>10080</v>
      </c>
      <c r="F1249" t="s">
        <v>11</v>
      </c>
      <c r="G1249" t="s">
        <v>852</v>
      </c>
      <c r="H1249" s="12">
        <v>-2.77300264035618</v>
      </c>
      <c r="I1249" s="11">
        <v>-0.47711258857765798</v>
      </c>
      <c r="J1249" s="10">
        <v>0.63328195098232298</v>
      </c>
      <c r="K1249" s="29">
        <v>0.98289565623980701</v>
      </c>
    </row>
    <row r="1250" spans="1:11" x14ac:dyDescent="0.35">
      <c r="A1250" s="9" t="str">
        <f>HYPERLINK("http://www.ensembl.org/id/WBGene00011435", "WBGene00011435")</f>
        <v>WBGene00011435</v>
      </c>
      <c r="B1250" s="9" t="str">
        <f>HYPERLINK("http://www.ncbi.nlm.nih.gov/gene/173199", "173199")</f>
        <v>173199</v>
      </c>
      <c r="C1250" s="9"/>
      <c r="D1250" t="str">
        <f>"T04D3.8"</f>
        <v>T04D3.8</v>
      </c>
      <c r="F1250" t="s">
        <v>11</v>
      </c>
      <c r="H1250" s="12">
        <v>-2.7727536643401498</v>
      </c>
      <c r="I1250" s="11">
        <v>-2.0337274588922898</v>
      </c>
      <c r="J1250" s="10">
        <v>4.1979082015693697E-2</v>
      </c>
      <c r="K1250" s="29">
        <v>0.47500914253409399</v>
      </c>
    </row>
    <row r="1251" spans="1:11" x14ac:dyDescent="0.35">
      <c r="A1251" s="9" t="str">
        <f>HYPERLINK("http://www.ensembl.org/id/WBGene00015013", "WBGene00015013")</f>
        <v>WBGene00015013</v>
      </c>
      <c r="B1251" s="9"/>
      <c r="C1251" s="9"/>
      <c r="D1251" t="str">
        <f>"btb-3"</f>
        <v>btb-3</v>
      </c>
      <c r="F1251" t="s">
        <v>80</v>
      </c>
      <c r="H1251" s="12">
        <v>-2.76973625532055</v>
      </c>
      <c r="I1251" s="11">
        <v>-0.69980820133256805</v>
      </c>
      <c r="J1251" s="10">
        <v>0.484047092263172</v>
      </c>
      <c r="K1251" s="29">
        <v>0.98289565623980701</v>
      </c>
    </row>
    <row r="1252" spans="1:11" x14ac:dyDescent="0.35">
      <c r="A1252" s="9" t="str">
        <f>HYPERLINK("http://www.ensembl.org/id/WBGene00017555", "WBGene00017555")</f>
        <v>WBGene00017555</v>
      </c>
      <c r="B1252" s="9" t="str">
        <f>HYPERLINK("http://www.ncbi.nlm.nih.gov/gene/173684", "173684")</f>
        <v>173684</v>
      </c>
      <c r="C1252" s="9"/>
      <c r="D1252" t="str">
        <f>"nep-10"</f>
        <v>nep-10</v>
      </c>
      <c r="E1252" t="s">
        <v>683</v>
      </c>
      <c r="F1252" t="s">
        <v>11</v>
      </c>
      <c r="G1252" t="s">
        <v>4293</v>
      </c>
      <c r="H1252" s="12">
        <v>-2.7670782459394698</v>
      </c>
      <c r="I1252" s="11">
        <v>-0.77706657930087597</v>
      </c>
      <c r="J1252" s="10">
        <v>0.43711949046690002</v>
      </c>
      <c r="K1252" s="29">
        <v>0.98289565623980701</v>
      </c>
    </row>
    <row r="1253" spans="1:11" x14ac:dyDescent="0.35">
      <c r="A1253" s="9" t="str">
        <f>HYPERLINK("http://www.ensembl.org/id/WBGene00009908", "WBGene00009908")</f>
        <v>WBGene00009908</v>
      </c>
      <c r="B1253" s="9" t="str">
        <f>HYPERLINK("http://www.ncbi.nlm.nih.gov/gene/186073", "186073")</f>
        <v>186073</v>
      </c>
      <c r="C1253" s="9"/>
      <c r="D1253" t="str">
        <f>"F49H6.5"</f>
        <v>F49H6.5</v>
      </c>
      <c r="F1253" t="s">
        <v>11</v>
      </c>
      <c r="G1253" t="s">
        <v>1230</v>
      </c>
      <c r="H1253" s="12">
        <v>-2.7670618278386798</v>
      </c>
      <c r="I1253" s="11">
        <v>-2.3782896893610799</v>
      </c>
      <c r="J1253" s="10">
        <v>1.73931555397977E-2</v>
      </c>
      <c r="K1253" s="29">
        <v>0.27564214808131998</v>
      </c>
    </row>
    <row r="1254" spans="1:11" x14ac:dyDescent="0.35">
      <c r="A1254" s="9" t="str">
        <f>HYPERLINK("http://www.ensembl.org/id/WBGene00015720", "WBGene00015720")</f>
        <v>WBGene00015720</v>
      </c>
      <c r="B1254" s="9" t="str">
        <f>HYPERLINK("http://www.ncbi.nlm.nih.gov/gene/182551", "182551")</f>
        <v>182551</v>
      </c>
      <c r="C1254" s="9"/>
      <c r="D1254" t="str">
        <f>"C13A2.3"</f>
        <v>C13A2.3</v>
      </c>
      <c r="F1254" t="s">
        <v>11</v>
      </c>
      <c r="G1254" t="s">
        <v>25</v>
      </c>
      <c r="H1254" s="12">
        <v>-2.7656488020616301</v>
      </c>
      <c r="I1254" s="11">
        <v>-0.59733651745340999</v>
      </c>
      <c r="J1254" s="10">
        <v>0.55028272834755898</v>
      </c>
      <c r="K1254" s="29">
        <v>0.98289565623980701</v>
      </c>
    </row>
    <row r="1255" spans="1:11" x14ac:dyDescent="0.35">
      <c r="A1255" s="9" t="str">
        <f>HYPERLINK("http://www.ensembl.org/id/WBGene00013431", "WBGene00013431")</f>
        <v>WBGene00013431</v>
      </c>
      <c r="B1255" s="9" t="str">
        <f>HYPERLINK("http://www.ncbi.nlm.nih.gov/gene/176591", "176591")</f>
        <v>176591</v>
      </c>
      <c r="C1255" s="9"/>
      <c r="D1255" t="str">
        <f>"ceh-92"</f>
        <v>ceh-92</v>
      </c>
      <c r="E1255" t="s">
        <v>349</v>
      </c>
      <c r="F1255" t="s">
        <v>11</v>
      </c>
      <c r="G1255" t="s">
        <v>350</v>
      </c>
      <c r="H1255" s="12">
        <v>-2.76388977272727</v>
      </c>
      <c r="I1255" s="11">
        <v>-3.8659713310667398</v>
      </c>
      <c r="J1255" s="10">
        <v>1.1064793616852301E-4</v>
      </c>
      <c r="K1255" s="29">
        <v>7.1017533697497002E-3</v>
      </c>
    </row>
    <row r="1256" spans="1:11" x14ac:dyDescent="0.35">
      <c r="A1256" s="9" t="str">
        <f>HYPERLINK("http://www.ensembl.org/id/WBGene00017432", "WBGene00017432")</f>
        <v>WBGene00017432</v>
      </c>
      <c r="B1256" s="9"/>
      <c r="C1256" s="9"/>
      <c r="D1256" t="str">
        <f>"F13H6.4"</f>
        <v>F13H6.4</v>
      </c>
      <c r="F1256" t="s">
        <v>80</v>
      </c>
      <c r="H1256" s="12">
        <v>-2.76362700719335</v>
      </c>
      <c r="I1256" s="11">
        <v>-1.44270525150344</v>
      </c>
      <c r="J1256" s="10">
        <v>0.14910351927072299</v>
      </c>
      <c r="K1256" s="29">
        <v>0.85171468881812495</v>
      </c>
    </row>
    <row r="1257" spans="1:11" x14ac:dyDescent="0.35">
      <c r="A1257" s="9" t="str">
        <f>HYPERLINK("http://www.ensembl.org/id/WBGene00004217", "WBGene00004217")</f>
        <v>WBGene00004217</v>
      </c>
      <c r="B1257" s="9" t="str">
        <f>HYPERLINK("http://www.ncbi.nlm.nih.gov/gene/171950", "171950")</f>
        <v>171950</v>
      </c>
      <c r="C1257" s="9"/>
      <c r="D1257" t="str">
        <f>"ptr-2"</f>
        <v>ptr-2</v>
      </c>
      <c r="E1257" t="s">
        <v>134</v>
      </c>
      <c r="F1257" t="s">
        <v>11</v>
      </c>
      <c r="G1257" t="s">
        <v>135</v>
      </c>
      <c r="H1257" s="12">
        <v>-2.7612686785442802</v>
      </c>
      <c r="I1257" s="11">
        <v>-5.1618600649340598</v>
      </c>
      <c r="J1257" s="10">
        <v>2.4450804387333698E-7</v>
      </c>
      <c r="K1257" s="29">
        <v>5.0712067031883901E-5</v>
      </c>
    </row>
    <row r="1258" spans="1:11" x14ac:dyDescent="0.35">
      <c r="A1258" s="9" t="str">
        <f>HYPERLINK("http://www.ensembl.org/id/WBGene00045396", "WBGene00045396")</f>
        <v>WBGene00045396</v>
      </c>
      <c r="B1258" s="9" t="str">
        <f>HYPERLINK("http://www.ncbi.nlm.nih.gov/gene/6418615", "6418615")</f>
        <v>6418615</v>
      </c>
      <c r="C1258" s="9"/>
      <c r="D1258" t="str">
        <f>"ZC334.12"</f>
        <v>ZC334.12</v>
      </c>
      <c r="F1258" t="s">
        <v>11</v>
      </c>
      <c r="H1258" s="12">
        <v>-2.7596102807760801</v>
      </c>
      <c r="I1258" s="11">
        <v>-0.71785953635701705</v>
      </c>
      <c r="J1258" s="10">
        <v>0.47284389945540301</v>
      </c>
      <c r="K1258" s="29">
        <v>0.98289565623980701</v>
      </c>
    </row>
    <row r="1259" spans="1:11" x14ac:dyDescent="0.35">
      <c r="A1259" s="9" t="str">
        <f>HYPERLINK("http://www.ensembl.org/id/WBGene00011046", "WBGene00011046")</f>
        <v>WBGene00011046</v>
      </c>
      <c r="B1259" s="9" t="str">
        <f>HYPERLINK("http://www.ncbi.nlm.nih.gov/gene/3565038", "3565038")</f>
        <v>3565038</v>
      </c>
      <c r="C1259" s="9"/>
      <c r="D1259" t="str">
        <f>"R05H10.7"</f>
        <v>R05H10.7</v>
      </c>
      <c r="F1259" t="s">
        <v>11</v>
      </c>
      <c r="G1259" t="s">
        <v>386</v>
      </c>
      <c r="H1259" s="12">
        <v>-2.7543765420314799</v>
      </c>
      <c r="I1259" s="11">
        <v>-1.00951086253113</v>
      </c>
      <c r="J1259" s="10">
        <v>0.31272969476495799</v>
      </c>
      <c r="K1259" s="29">
        <v>0.98289565623980701</v>
      </c>
    </row>
    <row r="1260" spans="1:11" x14ac:dyDescent="0.35">
      <c r="A1260" s="9" t="str">
        <f>HYPERLINK("http://www.ensembl.org/id/WBGene00022237", "WBGene00022237")</f>
        <v>WBGene00022237</v>
      </c>
      <c r="B1260" s="9" t="str">
        <f>HYPERLINK("http://www.ncbi.nlm.nih.gov/gene/190650", "190650")</f>
        <v>190650</v>
      </c>
      <c r="C1260" s="9"/>
      <c r="D1260" t="str">
        <f>"Y73B6BL.14"</f>
        <v>Y73B6BL.14</v>
      </c>
      <c r="F1260" t="s">
        <v>11</v>
      </c>
      <c r="G1260" t="s">
        <v>10079</v>
      </c>
      <c r="H1260" s="12">
        <v>-2.7497762165328701</v>
      </c>
      <c r="I1260" s="11">
        <v>-1.1832302959828001</v>
      </c>
      <c r="J1260" s="10">
        <v>0.236717889176004</v>
      </c>
      <c r="K1260" s="29">
        <v>0.98289565623980701</v>
      </c>
    </row>
    <row r="1261" spans="1:11" x14ac:dyDescent="0.35">
      <c r="A1261" s="9" t="str">
        <f>HYPERLINK("http://www.ensembl.org/id/WBGene00196590", "WBGene00196590")</f>
        <v>WBGene00196590</v>
      </c>
      <c r="B1261" s="9"/>
      <c r="C1261" s="9"/>
      <c r="D1261" t="str">
        <f>"B0035.19"</f>
        <v>B0035.19</v>
      </c>
      <c r="F1261" t="s">
        <v>481</v>
      </c>
      <c r="H1261" s="12">
        <v>-2.7497667167578501</v>
      </c>
      <c r="I1261" s="11">
        <v>-0.60687023039203403</v>
      </c>
      <c r="J1261" s="10">
        <v>0.543937035799685</v>
      </c>
      <c r="K1261" s="29">
        <v>0.98289565623980701</v>
      </c>
    </row>
    <row r="1262" spans="1:11" x14ac:dyDescent="0.35">
      <c r="A1262" s="9" t="str">
        <f>HYPERLINK("http://www.ensembl.org/id/WBGene00013300", "WBGene00013300")</f>
        <v>WBGene00013300</v>
      </c>
      <c r="B1262" s="9" t="str">
        <f>HYPERLINK("http://www.ncbi.nlm.nih.gov/gene/190370", "190370")</f>
        <v>190370</v>
      </c>
      <c r="C1262" s="9"/>
      <c r="D1262" t="str">
        <f>"lgc-7"</f>
        <v>lgc-7</v>
      </c>
      <c r="E1262" t="s">
        <v>505</v>
      </c>
      <c r="F1262" t="s">
        <v>11</v>
      </c>
      <c r="G1262" t="s">
        <v>906</v>
      </c>
      <c r="H1262" s="12">
        <v>-2.7497667167578501</v>
      </c>
      <c r="I1262" s="11">
        <v>-0.60687023039203403</v>
      </c>
      <c r="J1262" s="10">
        <v>0.543937035799685</v>
      </c>
      <c r="K1262" s="29">
        <v>0.98289565623980701</v>
      </c>
    </row>
    <row r="1263" spans="1:11" x14ac:dyDescent="0.35">
      <c r="A1263" s="9" t="str">
        <f>HYPERLINK("http://www.ensembl.org/id/WBGene00195670", "WBGene00195670")</f>
        <v>WBGene00195670</v>
      </c>
      <c r="B1263" s="9"/>
      <c r="C1263" s="9"/>
      <c r="D1263" t="str">
        <f>"F52B10.4"</f>
        <v>F52B10.4</v>
      </c>
      <c r="F1263" t="s">
        <v>481</v>
      </c>
      <c r="H1263" s="12">
        <v>-2.74548064968883</v>
      </c>
      <c r="I1263" s="11">
        <v>-0.54391271644609795</v>
      </c>
      <c r="J1263" s="10">
        <v>0.58650153779589898</v>
      </c>
      <c r="K1263" s="29">
        <v>0.98289565623980701</v>
      </c>
    </row>
    <row r="1264" spans="1:11" x14ac:dyDescent="0.35">
      <c r="A1264" s="9" t="str">
        <f>HYPERLINK("http://www.ensembl.org/id/WBGene00001722", "WBGene00001722")</f>
        <v>WBGene00001722</v>
      </c>
      <c r="B1264" s="9" t="str">
        <f>HYPERLINK("http://www.ncbi.nlm.nih.gov/gene/185200", "185200")</f>
        <v>185200</v>
      </c>
      <c r="C1264" s="9"/>
      <c r="D1264" t="str">
        <f>"grl-13"</f>
        <v>grl-13</v>
      </c>
      <c r="E1264" t="s">
        <v>353</v>
      </c>
      <c r="F1264" t="s">
        <v>11</v>
      </c>
      <c r="H1264" s="12">
        <v>-2.74548064968883</v>
      </c>
      <c r="I1264" s="11">
        <v>-0.54391271644609795</v>
      </c>
      <c r="J1264" s="10">
        <v>0.58650153779589898</v>
      </c>
      <c r="K1264" s="29">
        <v>0.98289565623980701</v>
      </c>
    </row>
    <row r="1265" spans="1:11" x14ac:dyDescent="0.35">
      <c r="A1265" s="9" t="str">
        <f>HYPERLINK("http://www.ensembl.org/id/WBGene00004811", "WBGene00004811")</f>
        <v>WBGene00004811</v>
      </c>
      <c r="B1265" s="9" t="str">
        <f>HYPERLINK("http://www.ncbi.nlm.nih.gov/gene/180148", "180148")</f>
        <v>180148</v>
      </c>
      <c r="C1265" s="9"/>
      <c r="D1265" t="str">
        <f>"skr-5"</f>
        <v>skr-5</v>
      </c>
      <c r="E1265" t="s">
        <v>1041</v>
      </c>
      <c r="F1265" t="s">
        <v>11</v>
      </c>
      <c r="G1265" t="s">
        <v>1325</v>
      </c>
      <c r="H1265" s="12">
        <v>-2.7443726171131502</v>
      </c>
      <c r="I1265" s="11">
        <v>-2.2916514602292199</v>
      </c>
      <c r="J1265" s="10">
        <v>2.19257634612747E-2</v>
      </c>
      <c r="K1265" s="29">
        <v>0.319690773420506</v>
      </c>
    </row>
    <row r="1266" spans="1:11" x14ac:dyDescent="0.35">
      <c r="A1266" s="9" t="str">
        <f>HYPERLINK("http://www.ensembl.org/id/WBGene00011087", "WBGene00011087")</f>
        <v>WBGene00011087</v>
      </c>
      <c r="B1266" s="9" t="str">
        <f>HYPERLINK("http://www.ncbi.nlm.nih.gov/gene/179654", "179654")</f>
        <v>179654</v>
      </c>
      <c r="C1266" s="9"/>
      <c r="D1266" t="str">
        <f>"R07B7.2"</f>
        <v>R07B7.2</v>
      </c>
      <c r="F1266" t="s">
        <v>11</v>
      </c>
      <c r="H1266" s="12">
        <v>-2.74039090266138</v>
      </c>
      <c r="I1266" s="11">
        <v>-4.2553609167097699</v>
      </c>
      <c r="J1266" s="10">
        <v>2.0871207149724902E-5</v>
      </c>
      <c r="K1266" s="29">
        <v>1.8911769113786E-3</v>
      </c>
    </row>
    <row r="1267" spans="1:11" x14ac:dyDescent="0.35">
      <c r="A1267" s="9" t="str">
        <f>HYPERLINK("http://www.ensembl.org/id/WBGene00016048", "WBGene00016048")</f>
        <v>WBGene00016048</v>
      </c>
      <c r="B1267" s="9" t="str">
        <f>HYPERLINK("http://www.ncbi.nlm.nih.gov/gene/178736", "178736")</f>
        <v>178736</v>
      </c>
      <c r="C1267" s="9"/>
      <c r="D1267" t="str">
        <f>"C24B9.3"</f>
        <v>C24B9.3</v>
      </c>
      <c r="F1267" t="s">
        <v>11</v>
      </c>
      <c r="H1267" s="12">
        <v>-2.7367167758352902</v>
      </c>
      <c r="I1267" s="11">
        <v>-5.2661088384540902</v>
      </c>
      <c r="J1267" s="10">
        <v>1.3934569102974099E-7</v>
      </c>
      <c r="K1267" s="29">
        <v>3.3193005535393797E-5</v>
      </c>
    </row>
    <row r="1268" spans="1:11" x14ac:dyDescent="0.35">
      <c r="A1268" s="9" t="str">
        <f>HYPERLINK("http://www.ensembl.org/id/WBGene00010294", "WBGene00010294")</f>
        <v>WBGene00010294</v>
      </c>
      <c r="B1268" s="9"/>
      <c r="C1268" s="9"/>
      <c r="D1268" t="str">
        <f>"fbxa-129"</f>
        <v>fbxa-129</v>
      </c>
      <c r="F1268" t="s">
        <v>80</v>
      </c>
      <c r="H1268" s="12">
        <v>-2.73567761590138</v>
      </c>
      <c r="I1268" s="11">
        <v>-1.4517221155525799</v>
      </c>
      <c r="J1268" s="10">
        <v>0.14657888744824299</v>
      </c>
      <c r="K1268" s="29">
        <v>0.84674980148228096</v>
      </c>
    </row>
    <row r="1269" spans="1:11" x14ac:dyDescent="0.35">
      <c r="A1269" s="9" t="str">
        <f>HYPERLINK("http://www.ensembl.org/id/WBGene00015073", "WBGene00015073")</f>
        <v>WBGene00015073</v>
      </c>
      <c r="B1269" s="9" t="str">
        <f>HYPERLINK("http://www.ncbi.nlm.nih.gov/gene/178917", "178917")</f>
        <v>178917</v>
      </c>
      <c r="C1269" s="9"/>
      <c r="D1269" t="str">
        <f>"B0238.9"</f>
        <v>B0238.9</v>
      </c>
      <c r="F1269" t="s">
        <v>11</v>
      </c>
      <c r="H1269" s="12">
        <v>-2.7356302709685401</v>
      </c>
      <c r="I1269" s="11">
        <v>-4.2122077871219297</v>
      </c>
      <c r="J1269" s="10">
        <v>2.52886750462916E-5</v>
      </c>
      <c r="K1269" s="29">
        <v>2.1802989761925901E-3</v>
      </c>
    </row>
    <row r="1270" spans="1:11" x14ac:dyDescent="0.35">
      <c r="A1270" s="9" t="str">
        <f>HYPERLINK("http://www.ensembl.org/id/WBGene00003184", "WBGene00003184")</f>
        <v>WBGene00003184</v>
      </c>
      <c r="B1270" s="9" t="str">
        <f>HYPERLINK("http://www.ncbi.nlm.nih.gov/gene/172374", "172374")</f>
        <v>172374</v>
      </c>
      <c r="C1270" s="9"/>
      <c r="D1270" t="str">
        <f>"mei-2"</f>
        <v>mei-2</v>
      </c>
      <c r="E1270" t="s">
        <v>137</v>
      </c>
      <c r="F1270" t="s">
        <v>11</v>
      </c>
      <c r="G1270" t="s">
        <v>138</v>
      </c>
      <c r="H1270" s="12">
        <v>-2.7286304970366699</v>
      </c>
      <c r="I1270" s="11">
        <v>-5.1142125891997896</v>
      </c>
      <c r="J1270" s="10">
        <v>3.15052383181E-7</v>
      </c>
      <c r="K1270" s="29">
        <v>6.4421242175045898E-5</v>
      </c>
    </row>
    <row r="1271" spans="1:11" x14ac:dyDescent="0.35">
      <c r="A1271" s="9" t="str">
        <f>HYPERLINK("http://www.ensembl.org/id/WBGene00020938", "WBGene00020938")</f>
        <v>WBGene00020938</v>
      </c>
      <c r="B1271" s="9" t="str">
        <f>HYPERLINK("http://www.ncbi.nlm.nih.gov/gene/189114", "189114")</f>
        <v>189114</v>
      </c>
      <c r="C1271" s="9"/>
      <c r="D1271" t="str">
        <f>"clec-218"</f>
        <v>clec-218</v>
      </c>
      <c r="E1271" t="s">
        <v>46</v>
      </c>
      <c r="F1271" t="s">
        <v>11</v>
      </c>
      <c r="G1271" t="s">
        <v>151</v>
      </c>
      <c r="H1271" s="12">
        <v>-2.7267880656111001</v>
      </c>
      <c r="I1271" s="11">
        <v>-4.7657366493534496</v>
      </c>
      <c r="J1271" s="10">
        <v>1.8816489912234101E-6</v>
      </c>
      <c r="K1271" s="29">
        <v>2.5726261296572897E-4</v>
      </c>
    </row>
    <row r="1272" spans="1:11" x14ac:dyDescent="0.35">
      <c r="A1272" s="9" t="str">
        <f>HYPERLINK("http://www.ensembl.org/id/WBGene00011132", "WBGene00011132")</f>
        <v>WBGene00011132</v>
      </c>
      <c r="B1272" s="9" t="str">
        <f>HYPERLINK("http://www.ncbi.nlm.nih.gov/gene/179975", "179975")</f>
        <v>179975</v>
      </c>
      <c r="C1272" s="9"/>
      <c r="D1272" t="str">
        <f>"R08A2.1"</f>
        <v>R08A2.1</v>
      </c>
      <c r="F1272" t="s">
        <v>11</v>
      </c>
      <c r="H1272" s="12">
        <v>-2.72325207578902</v>
      </c>
      <c r="I1272" s="11">
        <v>-0.78446149426944001</v>
      </c>
      <c r="J1272" s="10">
        <v>0.432769367491871</v>
      </c>
      <c r="K1272" s="29">
        <v>0.98289565623980701</v>
      </c>
    </row>
    <row r="1273" spans="1:11" x14ac:dyDescent="0.35">
      <c r="A1273" s="9" t="str">
        <f>HYPERLINK("http://www.ensembl.org/id/WBGene00020524", "WBGene00020524")</f>
        <v>WBGene00020524</v>
      </c>
      <c r="B1273" s="9" t="str">
        <f>HYPERLINK("http://www.ncbi.nlm.nih.gov/gene/188522", "188522")</f>
        <v>188522</v>
      </c>
      <c r="C1273" s="9"/>
      <c r="D1273" t="str">
        <f>"dmsr-13"</f>
        <v>dmsr-13</v>
      </c>
      <c r="E1273" t="s">
        <v>996</v>
      </c>
      <c r="F1273" t="s">
        <v>11</v>
      </c>
      <c r="G1273" t="s">
        <v>1015</v>
      </c>
      <c r="H1273" s="12">
        <v>-2.7219174382296298</v>
      </c>
      <c r="I1273" s="11">
        <v>-0.65985232483772305</v>
      </c>
      <c r="J1273" s="10">
        <v>0.50934860118933201</v>
      </c>
      <c r="K1273" s="29">
        <v>0.98289565623980701</v>
      </c>
    </row>
    <row r="1274" spans="1:11" x14ac:dyDescent="0.35">
      <c r="A1274" s="9" t="str">
        <f>HYPERLINK("http://www.ensembl.org/id/WBGene00006551", "WBGene00006551")</f>
        <v>WBGene00006551</v>
      </c>
      <c r="B1274" s="9" t="str">
        <f>HYPERLINK("http://www.ncbi.nlm.nih.gov/gene/191303", "191303")</f>
        <v>191303</v>
      </c>
      <c r="C1274" s="9"/>
      <c r="D1274" t="str">
        <f>"tbx-32"</f>
        <v>tbx-32</v>
      </c>
      <c r="E1274" t="s">
        <v>10077</v>
      </c>
      <c r="F1274" t="s">
        <v>11</v>
      </c>
      <c r="G1274" t="s">
        <v>10078</v>
      </c>
      <c r="H1274" s="12">
        <v>-2.7203504426903602</v>
      </c>
      <c r="I1274" s="11">
        <v>-0.92344455908661804</v>
      </c>
      <c r="J1274" s="10">
        <v>0.35577557970902002</v>
      </c>
      <c r="K1274" s="29">
        <v>0.98289565623980701</v>
      </c>
    </row>
    <row r="1275" spans="1:11" x14ac:dyDescent="0.35">
      <c r="A1275" s="9" t="str">
        <f>HYPERLINK("http://www.ensembl.org/id/WBGene00016778", "WBGene00016778")</f>
        <v>WBGene00016778</v>
      </c>
      <c r="B1275" s="9" t="str">
        <f>HYPERLINK("http://www.ncbi.nlm.nih.gov/gene/173730", "173730")</f>
        <v>173730</v>
      </c>
      <c r="C1275" s="9"/>
      <c r="D1275" t="str">
        <f>"nep-3"</f>
        <v>nep-3</v>
      </c>
      <c r="E1275" t="s">
        <v>683</v>
      </c>
      <c r="F1275" t="s">
        <v>11</v>
      </c>
      <c r="G1275" t="s">
        <v>4293</v>
      </c>
      <c r="H1275" s="12">
        <v>-2.7175492581379399</v>
      </c>
      <c r="I1275" s="11">
        <v>-0.52805139632569098</v>
      </c>
      <c r="J1275" s="10">
        <v>0.59746366381337601</v>
      </c>
      <c r="K1275" s="29">
        <v>0.98289565623980701</v>
      </c>
    </row>
    <row r="1276" spans="1:11" x14ac:dyDescent="0.35">
      <c r="A1276" s="9" t="str">
        <f>HYPERLINK("http://www.ensembl.org/id/WBGene00270318", "WBGene00270318")</f>
        <v>WBGene00270318</v>
      </c>
      <c r="B1276" s="9" t="str">
        <f>HYPERLINK("http://www.ncbi.nlm.nih.gov/gene/29991189", "29991189")</f>
        <v>29991189</v>
      </c>
      <c r="C1276" s="9"/>
      <c r="D1276" t="str">
        <f>"F26G1.15"</f>
        <v>F26G1.15</v>
      </c>
      <c r="F1276" t="s">
        <v>11</v>
      </c>
      <c r="H1276" s="12">
        <v>-2.7148015224128299</v>
      </c>
      <c r="I1276" s="11">
        <v>-3.5808442149094302</v>
      </c>
      <c r="J1276" s="10">
        <v>3.42485821540996E-4</v>
      </c>
      <c r="K1276" s="29">
        <v>1.7469914836261698E-2</v>
      </c>
    </row>
    <row r="1277" spans="1:11" x14ac:dyDescent="0.35">
      <c r="A1277" s="9" t="str">
        <f>HYPERLINK("http://www.ensembl.org/id/WBGene00007150", "WBGene00007150")</f>
        <v>WBGene00007150</v>
      </c>
      <c r="B1277" s="9" t="str">
        <f>HYPERLINK("http://www.ncbi.nlm.nih.gov/gene/179795", "179795")</f>
        <v>179795</v>
      </c>
      <c r="C1277" s="9" t="str">
        <f>HYPERLINK("http://www.ncbi.nlm.nih.gov/gene/47", "47")</f>
        <v>47</v>
      </c>
      <c r="D1277" t="str">
        <f>"acly-2"</f>
        <v>acly-2</v>
      </c>
      <c r="E1277" t="s">
        <v>123</v>
      </c>
      <c r="F1277" t="s">
        <v>11</v>
      </c>
      <c r="G1277" t="s">
        <v>124</v>
      </c>
      <c r="H1277" s="12">
        <v>-2.7121478592266102</v>
      </c>
      <c r="I1277" s="11">
        <v>-5.2383272402224001</v>
      </c>
      <c r="J1277" s="10">
        <v>1.6203855926572001E-7</v>
      </c>
      <c r="K1277" s="29">
        <v>3.6706499513663997E-5</v>
      </c>
    </row>
    <row r="1278" spans="1:11" x14ac:dyDescent="0.35">
      <c r="A1278" s="9" t="str">
        <f>HYPERLINK("http://www.ensembl.org/id/WBGene00219694", "WBGene00219694")</f>
        <v>WBGene00219694</v>
      </c>
      <c r="B1278" s="9"/>
      <c r="C1278" s="9"/>
      <c r="D1278" t="str">
        <f>"linc-36"</f>
        <v>linc-36</v>
      </c>
      <c r="F1278" t="s">
        <v>1510</v>
      </c>
      <c r="H1278" s="12">
        <v>-2.70983243603734</v>
      </c>
      <c r="I1278" s="11">
        <v>-0.47573539639755003</v>
      </c>
      <c r="J1278" s="10">
        <v>0.63426290023624099</v>
      </c>
      <c r="K1278" s="29">
        <v>0.98289565623980701</v>
      </c>
    </row>
    <row r="1279" spans="1:11" x14ac:dyDescent="0.35">
      <c r="A1279" s="9" t="str">
        <f>HYPERLINK("http://www.ensembl.org/id/WBGene00001483", "WBGene00001483")</f>
        <v>WBGene00001483</v>
      </c>
      <c r="B1279" s="9" t="str">
        <f>HYPERLINK("http://www.ncbi.nlm.nih.gov/gene/172863", "172863")</f>
        <v>172863</v>
      </c>
      <c r="C1279" s="9"/>
      <c r="D1279" t="str">
        <f>"fog-3"</f>
        <v>fog-3</v>
      </c>
      <c r="E1279" t="s">
        <v>4056</v>
      </c>
      <c r="F1279" t="s">
        <v>11</v>
      </c>
      <c r="G1279" t="s">
        <v>4057</v>
      </c>
      <c r="H1279" s="12">
        <v>-2.7057175329185501</v>
      </c>
      <c r="I1279" s="11">
        <v>-1.23939012539773</v>
      </c>
      <c r="J1279" s="10">
        <v>0.21520105655375299</v>
      </c>
      <c r="K1279" s="29">
        <v>0.96890795259762597</v>
      </c>
    </row>
    <row r="1280" spans="1:11" x14ac:dyDescent="0.35">
      <c r="A1280" s="9" t="str">
        <f>HYPERLINK("http://www.ensembl.org/id/WBGene00010995", "WBGene00010995")</f>
        <v>WBGene00010995</v>
      </c>
      <c r="B1280" s="9" t="str">
        <f>HYPERLINK("http://www.ncbi.nlm.nih.gov/gene/3565071", "3565071")</f>
        <v>3565071</v>
      </c>
      <c r="C1280" s="9"/>
      <c r="D1280" t="str">
        <f>"ceh-90"</f>
        <v>ceh-90</v>
      </c>
      <c r="E1280" t="s">
        <v>349</v>
      </c>
      <c r="F1280" t="s">
        <v>11</v>
      </c>
      <c r="G1280" t="s">
        <v>4292</v>
      </c>
      <c r="H1280" s="12">
        <v>-2.7051084476080298</v>
      </c>
      <c r="I1280" s="11">
        <v>-0.68014323057196102</v>
      </c>
      <c r="J1280" s="10">
        <v>0.49641377375734103</v>
      </c>
      <c r="K1280" s="29">
        <v>0.98289565623980701</v>
      </c>
    </row>
    <row r="1281" spans="1:11" x14ac:dyDescent="0.35">
      <c r="A1281" s="9" t="str">
        <f>HYPERLINK("http://www.ensembl.org/id/WBGene00021200", "WBGene00021200")</f>
        <v>WBGene00021200</v>
      </c>
      <c r="B1281" s="9" t="str">
        <f>HYPERLINK("http://www.ncbi.nlm.nih.gov/gene/189467", "189467")</f>
        <v>189467</v>
      </c>
      <c r="C1281" s="9"/>
      <c r="D1281" t="str">
        <f>"cyp-31A3"</f>
        <v>cyp-31A3</v>
      </c>
      <c r="E1281" t="s">
        <v>176</v>
      </c>
      <c r="F1281" t="s">
        <v>11</v>
      </c>
      <c r="G1281" t="s">
        <v>229</v>
      </c>
      <c r="H1281" s="12">
        <v>-2.7047614843096599</v>
      </c>
      <c r="I1281" s="11">
        <v>-4.42167169616744</v>
      </c>
      <c r="J1281" s="10">
        <v>9.79401925955129E-6</v>
      </c>
      <c r="K1281" s="29">
        <v>1.0193721126630301E-3</v>
      </c>
    </row>
    <row r="1282" spans="1:11" x14ac:dyDescent="0.35">
      <c r="A1282" s="9" t="str">
        <f>HYPERLINK("http://www.ensembl.org/id/WBGene00001710", "WBGene00001710")</f>
        <v>WBGene00001710</v>
      </c>
      <c r="B1282" s="9" t="str">
        <f>HYPERLINK("http://www.ncbi.nlm.nih.gov/gene/182850", "182850")</f>
        <v>182850</v>
      </c>
      <c r="C1282" s="9"/>
      <c r="D1282" t="str">
        <f>"grl-1"</f>
        <v>grl-1</v>
      </c>
      <c r="E1282" t="s">
        <v>353</v>
      </c>
      <c r="F1282" t="s">
        <v>11</v>
      </c>
      <c r="H1282" s="12">
        <v>-2.69853887259017</v>
      </c>
      <c r="I1282" s="11">
        <v>-1.0551107405443001</v>
      </c>
      <c r="J1282" s="10">
        <v>0.29137468039136799</v>
      </c>
      <c r="K1282" s="29">
        <v>0.98289565623980701</v>
      </c>
    </row>
    <row r="1283" spans="1:11" x14ac:dyDescent="0.35">
      <c r="A1283" s="9" t="str">
        <f>HYPERLINK("http://www.ensembl.org/id/WBGene00005829", "WBGene00005829")</f>
        <v>WBGene00005829</v>
      </c>
      <c r="B1283" s="9" t="str">
        <f>HYPERLINK("http://www.ncbi.nlm.nih.gov/gene/191269", "191269")</f>
        <v>191269</v>
      </c>
      <c r="C1283" s="9"/>
      <c r="D1283" t="str">
        <f>"srw-82"</f>
        <v>srw-82</v>
      </c>
      <c r="E1283" t="s">
        <v>1014</v>
      </c>
      <c r="F1283" t="s">
        <v>11</v>
      </c>
      <c r="G1283" t="s">
        <v>1015</v>
      </c>
      <c r="H1283" s="12">
        <v>-2.69725541337879</v>
      </c>
      <c r="I1283" s="11">
        <v>-0.82133846396806998</v>
      </c>
      <c r="J1283" s="10">
        <v>0.41145350417890197</v>
      </c>
      <c r="K1283" s="29">
        <v>0.98289565623980701</v>
      </c>
    </row>
    <row r="1284" spans="1:11" x14ac:dyDescent="0.35">
      <c r="A1284" s="9" t="str">
        <f>HYPERLINK("http://www.ensembl.org/id/WBGene00017985", "WBGene00017985")</f>
        <v>WBGene00017985</v>
      </c>
      <c r="B1284" s="9" t="str">
        <f>HYPERLINK("http://www.ncbi.nlm.nih.gov/gene/185201", "185201")</f>
        <v>185201</v>
      </c>
      <c r="C1284" s="9"/>
      <c r="D1284" t="str">
        <f>"neg-1"</f>
        <v>neg-1</v>
      </c>
      <c r="E1284" t="s">
        <v>227</v>
      </c>
      <c r="F1284" t="s">
        <v>11</v>
      </c>
      <c r="G1284" t="s">
        <v>228</v>
      </c>
      <c r="H1284" s="12">
        <v>-2.6929091915669598</v>
      </c>
      <c r="I1284" s="11">
        <v>-4.42704262103336</v>
      </c>
      <c r="J1284" s="10">
        <v>9.5533861227109395E-6</v>
      </c>
      <c r="K1284" s="29">
        <v>9.9882597172560694E-4</v>
      </c>
    </row>
    <row r="1285" spans="1:11" x14ac:dyDescent="0.35">
      <c r="A1285" s="9" t="str">
        <f>HYPERLINK("http://www.ensembl.org/id/WBGene00008153", "WBGene00008153")</f>
        <v>WBGene00008153</v>
      </c>
      <c r="B1285" s="9" t="str">
        <f>HYPERLINK("http://www.ncbi.nlm.nih.gov/gene/183556", "183556")</f>
        <v>183556</v>
      </c>
      <c r="C1285" s="9"/>
      <c r="D1285" t="str">
        <f>"C47E12.10"</f>
        <v>C47E12.10</v>
      </c>
      <c r="F1285" t="s">
        <v>11</v>
      </c>
      <c r="G1285" t="s">
        <v>25</v>
      </c>
      <c r="H1285" s="12">
        <v>-2.69281482323029</v>
      </c>
      <c r="I1285" s="11">
        <v>-0.85376061257396396</v>
      </c>
      <c r="J1285" s="10">
        <v>0.39323764230945801</v>
      </c>
      <c r="K1285" s="29">
        <v>0.98289565623980701</v>
      </c>
    </row>
    <row r="1286" spans="1:11" x14ac:dyDescent="0.35">
      <c r="A1286" s="9" t="str">
        <f>HYPERLINK("http://www.ensembl.org/id/WBGene00008477", "WBGene00008477")</f>
        <v>WBGene00008477</v>
      </c>
      <c r="B1286" s="9" t="str">
        <f>HYPERLINK("http://www.ncbi.nlm.nih.gov/gene/173111", "173111")</f>
        <v>173111</v>
      </c>
      <c r="C1286" s="9"/>
      <c r="D1286" t="str">
        <f>"clec-17"</f>
        <v>clec-17</v>
      </c>
      <c r="E1286" t="s">
        <v>46</v>
      </c>
      <c r="F1286" t="s">
        <v>11</v>
      </c>
      <c r="G1286" t="s">
        <v>47</v>
      </c>
      <c r="H1286" s="12">
        <v>-2.6876333349466499</v>
      </c>
      <c r="I1286" s="11">
        <v>-0.96466680086480505</v>
      </c>
      <c r="J1286" s="10">
        <v>0.334711728871873</v>
      </c>
      <c r="K1286" s="29">
        <v>0.98289565623980701</v>
      </c>
    </row>
    <row r="1287" spans="1:11" x14ac:dyDescent="0.35">
      <c r="A1287" s="9" t="str">
        <f>HYPERLINK("http://www.ensembl.org/id/WBGene00011376", "WBGene00011376")</f>
        <v>WBGene00011376</v>
      </c>
      <c r="B1287" s="9" t="str">
        <f>HYPERLINK("http://www.ncbi.nlm.nih.gov/gene/172604", "172604")</f>
        <v>172604</v>
      </c>
      <c r="C1287" s="9"/>
      <c r="D1287" t="str">
        <f>"gla-3"</f>
        <v>gla-3</v>
      </c>
      <c r="F1287" t="s">
        <v>11</v>
      </c>
      <c r="G1287" t="s">
        <v>189</v>
      </c>
      <c r="H1287" s="12">
        <v>-2.6835712967197698</v>
      </c>
      <c r="I1287" s="11">
        <v>-4.7255876323874002</v>
      </c>
      <c r="J1287" s="10">
        <v>2.2945085612449198E-6</v>
      </c>
      <c r="K1287" s="29">
        <v>2.9953059218149801E-4</v>
      </c>
    </row>
    <row r="1288" spans="1:11" x14ac:dyDescent="0.35">
      <c r="A1288" s="9" t="str">
        <f>HYPERLINK("http://www.ensembl.org/id/WBGene00011597", "WBGene00011597")</f>
        <v>WBGene00011597</v>
      </c>
      <c r="B1288" s="9" t="str">
        <f>HYPERLINK("http://www.ncbi.nlm.nih.gov/gene/3565259", "3565259")</f>
        <v>3565259</v>
      </c>
      <c r="C1288" s="9"/>
      <c r="D1288" t="str">
        <f>"zim-1"</f>
        <v>zim-1</v>
      </c>
      <c r="E1288" t="s">
        <v>326</v>
      </c>
      <c r="F1288" t="s">
        <v>11</v>
      </c>
      <c r="G1288" t="s">
        <v>327</v>
      </c>
      <c r="H1288" s="12">
        <v>-2.6815352413531701</v>
      </c>
      <c r="I1288" s="11">
        <v>-3.9474902373202698</v>
      </c>
      <c r="J1288" s="10">
        <v>7.8974737400828096E-5</v>
      </c>
      <c r="K1288" s="29">
        <v>5.5129615781979897E-3</v>
      </c>
    </row>
    <row r="1289" spans="1:11" x14ac:dyDescent="0.35">
      <c r="A1289" s="9" t="str">
        <f>HYPERLINK("http://www.ensembl.org/id/WBGene00015393", "WBGene00015393")</f>
        <v>WBGene00015393</v>
      </c>
      <c r="B1289" s="9" t="str">
        <f>HYPERLINK("http://www.ncbi.nlm.nih.gov/gene/179123", "179123")</f>
        <v>179123</v>
      </c>
      <c r="C1289" s="9"/>
      <c r="D1289" t="str">
        <f>"C03G6.5"</f>
        <v>C03G6.5</v>
      </c>
      <c r="E1289" t="s">
        <v>691</v>
      </c>
      <c r="F1289" t="s">
        <v>11</v>
      </c>
      <c r="G1289" t="s">
        <v>27</v>
      </c>
      <c r="H1289" s="12">
        <v>-2.6801879912666999</v>
      </c>
      <c r="I1289" s="11">
        <v>-2.9959383855844401</v>
      </c>
      <c r="J1289" s="10">
        <v>2.7360171085052901E-3</v>
      </c>
      <c r="K1289" s="29">
        <v>8.0078285455474199E-2</v>
      </c>
    </row>
    <row r="1290" spans="1:11" x14ac:dyDescent="0.35">
      <c r="A1290" s="9" t="str">
        <f>HYPERLINK("http://www.ensembl.org/id/WBGene00044702", "WBGene00044702")</f>
        <v>WBGene00044702</v>
      </c>
      <c r="B1290" s="9"/>
      <c r="C1290" s="9"/>
      <c r="D1290" t="str">
        <f>"F46C3.4"</f>
        <v>F46C3.4</v>
      </c>
      <c r="F1290" t="s">
        <v>80</v>
      </c>
      <c r="H1290" s="12">
        <v>-2.67999813644898</v>
      </c>
      <c r="I1290" s="11">
        <v>-1.2805154200437201</v>
      </c>
      <c r="J1290" s="10">
        <v>0.20036392511884701</v>
      </c>
      <c r="K1290" s="29">
        <v>0.94713705845752905</v>
      </c>
    </row>
    <row r="1291" spans="1:11" x14ac:dyDescent="0.35">
      <c r="A1291" s="9" t="str">
        <f>HYPERLINK("http://www.ensembl.org/id/WBGene00014113", "WBGene00014113")</f>
        <v>WBGene00014113</v>
      </c>
      <c r="B1291" s="9" t="str">
        <f>HYPERLINK("http://www.ncbi.nlm.nih.gov/gene/179421", "179421")</f>
        <v>179421</v>
      </c>
      <c r="C1291" s="9"/>
      <c r="D1291" t="str">
        <f>"hpo-40"</f>
        <v>hpo-40</v>
      </c>
      <c r="F1291" t="s">
        <v>11</v>
      </c>
      <c r="G1291" t="s">
        <v>282</v>
      </c>
      <c r="H1291" s="12">
        <v>-2.6792740021062</v>
      </c>
      <c r="I1291" s="11">
        <v>-4.1435892145560196</v>
      </c>
      <c r="J1291" s="10">
        <v>3.4191196940960601E-5</v>
      </c>
      <c r="K1291" s="29">
        <v>2.8316193423578301E-3</v>
      </c>
    </row>
    <row r="1292" spans="1:11" x14ac:dyDescent="0.35">
      <c r="A1292" s="9" t="str">
        <f>HYPERLINK("http://www.ensembl.org/id/WBGene00018903", "WBGene00018903")</f>
        <v>WBGene00018903</v>
      </c>
      <c r="B1292" s="9" t="str">
        <f>HYPERLINK("http://www.ncbi.nlm.nih.gov/gene/186328", "186328")</f>
        <v>186328</v>
      </c>
      <c r="C1292" s="9"/>
      <c r="D1292" t="str">
        <f>"F55G1.7"</f>
        <v>F55G1.7</v>
      </c>
      <c r="F1292" t="s">
        <v>11</v>
      </c>
      <c r="H1292" s="12">
        <v>-2.6774463266247199</v>
      </c>
      <c r="I1292" s="11">
        <v>-2.3945652604312699</v>
      </c>
      <c r="J1292" s="10">
        <v>1.6640081932425201E-2</v>
      </c>
      <c r="K1292" s="29">
        <v>0.27001185139775002</v>
      </c>
    </row>
    <row r="1293" spans="1:11" x14ac:dyDescent="0.35">
      <c r="A1293" s="9" t="str">
        <f>HYPERLINK("http://www.ensembl.org/id/WBGene00003783", "WBGene00003783")</f>
        <v>WBGene00003783</v>
      </c>
      <c r="B1293" s="9" t="str">
        <f>HYPERLINK("http://www.ncbi.nlm.nih.gov/gene/191735", "191735")</f>
        <v>191735</v>
      </c>
      <c r="C1293" s="9"/>
      <c r="D1293" t="str">
        <f>"nos-1"</f>
        <v>nos-1</v>
      </c>
      <c r="E1293" t="s">
        <v>297</v>
      </c>
      <c r="F1293" t="s">
        <v>11</v>
      </c>
      <c r="G1293" t="s">
        <v>457</v>
      </c>
      <c r="H1293" s="12">
        <v>-2.6769292395073401</v>
      </c>
      <c r="I1293" s="11">
        <v>-3.5168170949775601</v>
      </c>
      <c r="J1293" s="10">
        <v>4.36754630791104E-4</v>
      </c>
      <c r="K1293" s="29">
        <v>2.0679615776760699E-2</v>
      </c>
    </row>
    <row r="1294" spans="1:11" x14ac:dyDescent="0.35">
      <c r="A1294" s="9" t="str">
        <f>HYPERLINK("http://www.ensembl.org/id/WBGene00021819", "WBGene00021819")</f>
        <v>WBGene00021819</v>
      </c>
      <c r="B1294" s="9"/>
      <c r="C1294" s="9"/>
      <c r="D1294" t="str">
        <f>"Y53G8B.3"</f>
        <v>Y53G8B.3</v>
      </c>
      <c r="F1294" t="s">
        <v>80</v>
      </c>
      <c r="H1294" s="12">
        <v>-2.6760749979946299</v>
      </c>
      <c r="I1294" s="11">
        <v>-1.0566361532361099</v>
      </c>
      <c r="J1294" s="10">
        <v>0.29067767401391498</v>
      </c>
      <c r="K1294" s="29">
        <v>0.98289565623980701</v>
      </c>
    </row>
    <row r="1295" spans="1:11" x14ac:dyDescent="0.35">
      <c r="A1295" s="9" t="str">
        <f>HYPERLINK("http://www.ensembl.org/id/WBGene00009394", "WBGene00009394")</f>
        <v>WBGene00009394</v>
      </c>
      <c r="B1295" s="9" t="str">
        <f>HYPERLINK("http://www.ncbi.nlm.nih.gov/gene/174927", "174927")</f>
        <v>174927</v>
      </c>
      <c r="C1295" s="9"/>
      <c r="D1295" t="str">
        <f>"clec-63"</f>
        <v>clec-63</v>
      </c>
      <c r="E1295" t="s">
        <v>46</v>
      </c>
      <c r="F1295" t="s">
        <v>11</v>
      </c>
      <c r="G1295" t="s">
        <v>47</v>
      </c>
      <c r="H1295" s="12">
        <v>-2.6721699719869001</v>
      </c>
      <c r="I1295" s="11">
        <v>-4.7126369491094602</v>
      </c>
      <c r="J1295" s="10">
        <v>2.44531633207937E-6</v>
      </c>
      <c r="K1295" s="29">
        <v>3.1565072161466998E-4</v>
      </c>
    </row>
    <row r="1296" spans="1:11" x14ac:dyDescent="0.35">
      <c r="A1296" s="9" t="str">
        <f>HYPERLINK("http://www.ensembl.org/id/WBGene00009425", "WBGene00009425")</f>
        <v>WBGene00009425</v>
      </c>
      <c r="B1296" s="9"/>
      <c r="C1296" s="9"/>
      <c r="D1296" t="str">
        <f>"scl-16"</f>
        <v>scl-16</v>
      </c>
      <c r="F1296" t="s">
        <v>80</v>
      </c>
      <c r="H1296" s="12">
        <v>-2.6721096556772999</v>
      </c>
      <c r="I1296" s="11">
        <v>-1.22430297473288</v>
      </c>
      <c r="J1296" s="10">
        <v>0.22083795518160201</v>
      </c>
      <c r="K1296" s="29">
        <v>0.97343979691078797</v>
      </c>
    </row>
    <row r="1297" spans="1:11" x14ac:dyDescent="0.35">
      <c r="A1297" s="9" t="str">
        <f>HYPERLINK("http://www.ensembl.org/id/WBGene00009079", "WBGene00009079")</f>
        <v>WBGene00009079</v>
      </c>
      <c r="B1297" s="9" t="str">
        <f>HYPERLINK("http://www.ncbi.nlm.nih.gov/gene/184887", "184887")</f>
        <v>184887</v>
      </c>
      <c r="C1297" s="9"/>
      <c r="D1297" t="str">
        <f>"F23B12.1"</f>
        <v>F23B12.1</v>
      </c>
      <c r="E1297" t="s">
        <v>2496</v>
      </c>
      <c r="F1297" t="s">
        <v>11</v>
      </c>
      <c r="G1297" t="s">
        <v>2497</v>
      </c>
      <c r="H1297" s="12">
        <v>-2.67072373905427</v>
      </c>
      <c r="I1297" s="11">
        <v>-0.765346279061069</v>
      </c>
      <c r="J1297" s="10">
        <v>0.44406537305935001</v>
      </c>
      <c r="K1297" s="29">
        <v>0.98289565623980701</v>
      </c>
    </row>
    <row r="1298" spans="1:11" x14ac:dyDescent="0.35">
      <c r="A1298" s="9" t="str">
        <f>HYPERLINK("http://www.ensembl.org/id/WBGene00006555", "WBGene00006555")</f>
        <v>WBGene00006555</v>
      </c>
      <c r="B1298" s="9" t="str">
        <f>HYPERLINK("http://www.ncbi.nlm.nih.gov/gene/191435", "191435")</f>
        <v>191435</v>
      </c>
      <c r="C1298" s="9"/>
      <c r="D1298" t="str">
        <f>"tbx-36"</f>
        <v>tbx-36</v>
      </c>
      <c r="E1298" t="s">
        <v>642</v>
      </c>
      <c r="F1298" t="s">
        <v>11</v>
      </c>
      <c r="G1298" t="s">
        <v>643</v>
      </c>
      <c r="H1298" s="12">
        <v>-2.6692902731496901</v>
      </c>
      <c r="I1298" s="11">
        <v>-3.0587237911387999</v>
      </c>
      <c r="J1298" s="10">
        <v>2.2228198770560502E-3</v>
      </c>
      <c r="K1298" s="29">
        <v>6.9688569985423401E-2</v>
      </c>
    </row>
    <row r="1299" spans="1:11" x14ac:dyDescent="0.35">
      <c r="A1299" s="9" t="str">
        <f>HYPERLINK("http://www.ensembl.org/id/WBGene00008163", "WBGene00008163")</f>
        <v>WBGene00008163</v>
      </c>
      <c r="B1299" s="9" t="str">
        <f>HYPERLINK("http://www.ncbi.nlm.nih.gov/gene/183563", "183563")</f>
        <v>183563</v>
      </c>
      <c r="C1299" s="9"/>
      <c r="D1299" t="str">
        <f>"C47F8.7"</f>
        <v>C47F8.7</v>
      </c>
      <c r="F1299" t="s">
        <v>11</v>
      </c>
      <c r="H1299" s="12">
        <v>-2.6655819123521201</v>
      </c>
      <c r="I1299" s="11">
        <v>-0.56403837095759901</v>
      </c>
      <c r="J1299" s="10">
        <v>0.57272801868762202</v>
      </c>
      <c r="K1299" s="29">
        <v>0.98289565623980701</v>
      </c>
    </row>
    <row r="1300" spans="1:11" x14ac:dyDescent="0.35">
      <c r="A1300" s="9" t="str">
        <f>HYPERLINK("http://www.ensembl.org/id/WBGene00007245", "WBGene00007245")</f>
        <v>WBGene00007245</v>
      </c>
      <c r="B1300" s="9" t="str">
        <f>HYPERLINK("http://www.ncbi.nlm.nih.gov/gene/182087", "182087")</f>
        <v>182087</v>
      </c>
      <c r="C1300" s="9"/>
      <c r="D1300" t="str">
        <f>"C01G12.5"</f>
        <v>C01G12.5</v>
      </c>
      <c r="F1300" t="s">
        <v>11</v>
      </c>
      <c r="G1300" t="s">
        <v>489</v>
      </c>
      <c r="H1300" s="12">
        <v>-2.6626386925888701</v>
      </c>
      <c r="I1300" s="11">
        <v>-0.511767118502781</v>
      </c>
      <c r="J1300" s="10">
        <v>0.60881400561950105</v>
      </c>
      <c r="K1300" s="29">
        <v>0.98289565623980701</v>
      </c>
    </row>
    <row r="1301" spans="1:11" x14ac:dyDescent="0.35">
      <c r="A1301" s="9" t="str">
        <f>HYPERLINK("http://www.ensembl.org/id/WBGene00018118", "WBGene00018118")</f>
        <v>WBGene00018118</v>
      </c>
      <c r="B1301" s="9" t="str">
        <f>HYPERLINK("http://www.ncbi.nlm.nih.gov/gene/185394", "185394")</f>
        <v>185394</v>
      </c>
      <c r="C1301" s="9"/>
      <c r="D1301" t="str">
        <f>"F36H12.2"</f>
        <v>F36H12.2</v>
      </c>
      <c r="F1301" t="s">
        <v>11</v>
      </c>
      <c r="H1301" s="12">
        <v>-2.6589452844924</v>
      </c>
      <c r="I1301" s="11">
        <v>-2.05312642527675</v>
      </c>
      <c r="J1301" s="10">
        <v>4.0060317704841898E-2</v>
      </c>
      <c r="K1301" s="29">
        <v>0.46166269370976498</v>
      </c>
    </row>
    <row r="1302" spans="1:11" x14ac:dyDescent="0.35">
      <c r="A1302" s="9" t="str">
        <f>HYPERLINK("http://www.ensembl.org/id/WBGene00045291", "WBGene00045291")</f>
        <v>WBGene00045291</v>
      </c>
      <c r="B1302" s="9" t="str">
        <f>HYPERLINK("http://www.ncbi.nlm.nih.gov/gene/6418867", "6418867")</f>
        <v>6418867</v>
      </c>
      <c r="C1302" s="9"/>
      <c r="D1302" t="str">
        <f>"F23D12.10"</f>
        <v>F23D12.10</v>
      </c>
      <c r="F1302" t="s">
        <v>11</v>
      </c>
      <c r="H1302" s="12">
        <v>-2.6557729464684701</v>
      </c>
      <c r="I1302" s="11">
        <v>-1.7014824464735501</v>
      </c>
      <c r="J1302" s="10">
        <v>8.8852431245280999E-2</v>
      </c>
      <c r="K1302" s="29">
        <v>0.69331844517595898</v>
      </c>
    </row>
    <row r="1303" spans="1:11" x14ac:dyDescent="0.35">
      <c r="A1303" s="9" t="str">
        <f>HYPERLINK("http://www.ensembl.org/id/WBGene00043705", "WBGene00043705")</f>
        <v>WBGene00043705</v>
      </c>
      <c r="B1303" s="9" t="str">
        <f>HYPERLINK("http://www.ncbi.nlm.nih.gov/gene/190308", "190308")</f>
        <v>190308</v>
      </c>
      <c r="C1303" s="9" t="str">
        <f>HYPERLINK("http://www.ncbi.nlm.nih.gov/gene/339327", "339327")</f>
        <v>339327</v>
      </c>
      <c r="D1303" t="str">
        <f>"egrh-2"</f>
        <v>egrh-2</v>
      </c>
      <c r="E1303" t="s">
        <v>1583</v>
      </c>
      <c r="F1303" t="s">
        <v>11</v>
      </c>
      <c r="G1303" t="s">
        <v>155</v>
      </c>
      <c r="H1303" s="12">
        <v>-2.6534926745134499</v>
      </c>
      <c r="I1303" s="11">
        <v>-2.0977592270829599</v>
      </c>
      <c r="J1303" s="10">
        <v>3.5926419963011699E-2</v>
      </c>
      <c r="K1303" s="29">
        <v>0.433280642324544</v>
      </c>
    </row>
    <row r="1304" spans="1:11" x14ac:dyDescent="0.35">
      <c r="A1304" s="9" t="str">
        <f>HYPERLINK("http://www.ensembl.org/id/WBGene00021045", "WBGene00021045")</f>
        <v>WBGene00021045</v>
      </c>
      <c r="B1304" s="9" t="str">
        <f>HYPERLINK("http://www.ncbi.nlm.nih.gov/gene/189228", "189228")</f>
        <v>189228</v>
      </c>
      <c r="C1304" s="9"/>
      <c r="D1304" t="str">
        <f>"W05H7.2"</f>
        <v>W05H7.2</v>
      </c>
      <c r="F1304" t="s">
        <v>11</v>
      </c>
      <c r="H1304" s="12">
        <v>-2.6512161164071002</v>
      </c>
      <c r="I1304" s="11">
        <v>-0.64581797668613194</v>
      </c>
      <c r="J1304" s="10">
        <v>0.51839724449466196</v>
      </c>
      <c r="K1304" s="29">
        <v>0.98289565623980701</v>
      </c>
    </row>
    <row r="1305" spans="1:11" x14ac:dyDescent="0.35">
      <c r="A1305" s="9" t="str">
        <f>HYPERLINK("http://www.ensembl.org/id/WBGene00011489", "WBGene00011489")</f>
        <v>WBGene00011489</v>
      </c>
      <c r="B1305" s="9" t="str">
        <f>HYPERLINK("http://www.ncbi.nlm.nih.gov/gene/172804", "172804")</f>
        <v>172804</v>
      </c>
      <c r="C1305" s="9"/>
      <c r="D1305" t="str">
        <f>"T05F1.2"</f>
        <v>T05F1.2</v>
      </c>
      <c r="F1305" t="s">
        <v>11</v>
      </c>
      <c r="H1305" s="12">
        <v>-2.6510622477757102</v>
      </c>
      <c r="I1305" s="11">
        <v>-5.1850152950379904</v>
      </c>
      <c r="J1305" s="10">
        <v>2.15997138195687E-7</v>
      </c>
      <c r="K1305" s="29">
        <v>4.75317130966622E-5</v>
      </c>
    </row>
    <row r="1306" spans="1:11" x14ac:dyDescent="0.35">
      <c r="A1306" s="9" t="str">
        <f>HYPERLINK("http://www.ensembl.org/id/WBGene00018829", "WBGene00018829")</f>
        <v>WBGene00018829</v>
      </c>
      <c r="B1306" s="9" t="str">
        <f>HYPERLINK("http://www.ncbi.nlm.nih.gov/gene/186249", "186249")</f>
        <v>186249</v>
      </c>
      <c r="C1306" s="9"/>
      <c r="D1306" t="str">
        <f>"F54E7.6"</f>
        <v>F54E7.6</v>
      </c>
      <c r="F1306" t="s">
        <v>11</v>
      </c>
      <c r="H1306" s="12">
        <v>-2.6490849353425601</v>
      </c>
      <c r="I1306" s="11">
        <v>-0.72029382838240896</v>
      </c>
      <c r="J1306" s="10">
        <v>0.47134410382041297</v>
      </c>
      <c r="K1306" s="29">
        <v>0.98289565623980701</v>
      </c>
    </row>
    <row r="1307" spans="1:11" x14ac:dyDescent="0.35">
      <c r="A1307" s="9" t="str">
        <f>HYPERLINK("http://www.ensembl.org/id/WBGene00015595", "WBGene00015595")</f>
        <v>WBGene00015595</v>
      </c>
      <c r="B1307" s="9" t="str">
        <f>HYPERLINK("http://www.ncbi.nlm.nih.gov/gene/173533", "173533")</f>
        <v>173533</v>
      </c>
      <c r="C1307" s="9"/>
      <c r="D1307" t="str">
        <f>"bath-33"</f>
        <v>bath-33</v>
      </c>
      <c r="E1307" t="s">
        <v>179</v>
      </c>
      <c r="F1307" t="s">
        <v>11</v>
      </c>
      <c r="G1307" t="s">
        <v>54</v>
      </c>
      <c r="H1307" s="12">
        <v>-2.64578188586025</v>
      </c>
      <c r="I1307" s="11">
        <v>-0.86714135002690196</v>
      </c>
      <c r="J1307" s="10">
        <v>0.38586456669803099</v>
      </c>
      <c r="K1307" s="29">
        <v>0.98289565623980701</v>
      </c>
    </row>
    <row r="1308" spans="1:11" x14ac:dyDescent="0.35">
      <c r="A1308" s="9" t="str">
        <f>HYPERLINK("http://www.ensembl.org/id/WBGene00014691", "WBGene00014691")</f>
        <v>WBGene00014691</v>
      </c>
      <c r="B1308" s="9"/>
      <c r="C1308" s="9"/>
      <c r="D1308" t="str">
        <f>"C33A11.t1"</f>
        <v>C33A11.t1</v>
      </c>
      <c r="F1308" t="s">
        <v>80</v>
      </c>
      <c r="H1308" s="12">
        <v>-2.64522751747859</v>
      </c>
      <c r="I1308" s="11">
        <v>-0.322957783917381</v>
      </c>
      <c r="J1308" s="10">
        <v>0.74672721379852502</v>
      </c>
      <c r="K1308" s="29">
        <v>0.98289565623980701</v>
      </c>
    </row>
    <row r="1309" spans="1:11" x14ac:dyDescent="0.35">
      <c r="A1309" s="9" t="str">
        <f>HYPERLINK("http://www.ensembl.org/id/WBGene00009854", "WBGene00009854")</f>
        <v>WBGene00009854</v>
      </c>
      <c r="B1309" s="9" t="str">
        <f>HYPERLINK("http://www.ncbi.nlm.nih.gov/gene/186002", "186002")</f>
        <v>186002</v>
      </c>
      <c r="C1309" s="9"/>
      <c r="D1309" t="str">
        <f>"clec-31"</f>
        <v>clec-31</v>
      </c>
      <c r="E1309" t="s">
        <v>46</v>
      </c>
      <c r="F1309" t="s">
        <v>11</v>
      </c>
      <c r="G1309" t="s">
        <v>2771</v>
      </c>
      <c r="H1309" s="12">
        <v>-2.64522751747859</v>
      </c>
      <c r="I1309" s="11">
        <v>-0.322957783917381</v>
      </c>
      <c r="J1309" s="10">
        <v>0.74672721379852502</v>
      </c>
      <c r="K1309" s="29">
        <v>0.98289565623980701</v>
      </c>
    </row>
    <row r="1310" spans="1:11" x14ac:dyDescent="0.35">
      <c r="A1310" s="9" t="str">
        <f>HYPERLINK("http://www.ensembl.org/id/WBGene00200497", "WBGene00200497")</f>
        <v>WBGene00200497</v>
      </c>
      <c r="B1310" s="9"/>
      <c r="C1310" s="9"/>
      <c r="D1310" t="str">
        <f>"F22E12.11"</f>
        <v>F22E12.11</v>
      </c>
      <c r="F1310" t="s">
        <v>481</v>
      </c>
      <c r="H1310" s="12">
        <v>-2.64522751747859</v>
      </c>
      <c r="I1310" s="11">
        <v>-0.322957783917381</v>
      </c>
      <c r="J1310" s="10">
        <v>0.74672721379852502</v>
      </c>
      <c r="K1310" s="29">
        <v>0.98289565623980701</v>
      </c>
    </row>
    <row r="1311" spans="1:11" x14ac:dyDescent="0.35">
      <c r="A1311" s="9" t="str">
        <f>HYPERLINK("http://www.ensembl.org/id/WBGene00008574", "WBGene00008574")</f>
        <v>WBGene00008574</v>
      </c>
      <c r="B1311" s="9" t="str">
        <f>HYPERLINK("http://www.ncbi.nlm.nih.gov/gene/184183", "184183")</f>
        <v>184183</v>
      </c>
      <c r="C1311" s="9"/>
      <c r="D1311" t="str">
        <f>"srbc-61"</f>
        <v>srbc-61</v>
      </c>
      <c r="E1311" t="s">
        <v>3034</v>
      </c>
      <c r="F1311" t="s">
        <v>11</v>
      </c>
      <c r="G1311" t="s">
        <v>25</v>
      </c>
      <c r="H1311" s="12">
        <v>-2.64522751747859</v>
      </c>
      <c r="I1311" s="11">
        <v>-0.322957783917381</v>
      </c>
      <c r="J1311" s="10">
        <v>0.74672721379852502</v>
      </c>
      <c r="K1311" s="29">
        <v>0.98289565623980701</v>
      </c>
    </row>
    <row r="1312" spans="1:11" x14ac:dyDescent="0.35">
      <c r="A1312" s="9" t="str">
        <f>HYPERLINK("http://www.ensembl.org/id/WBGene00220083", "WBGene00220083")</f>
        <v>WBGene00220083</v>
      </c>
      <c r="B1312" s="9"/>
      <c r="C1312" s="9"/>
      <c r="D1312" t="str">
        <f>"T23B12.13"</f>
        <v>T23B12.13</v>
      </c>
      <c r="F1312" t="s">
        <v>2977</v>
      </c>
      <c r="H1312" s="12">
        <v>-2.64522751747859</v>
      </c>
      <c r="I1312" s="11">
        <v>-0.322957783917381</v>
      </c>
      <c r="J1312" s="10">
        <v>0.74672721379852502</v>
      </c>
      <c r="K1312" s="29">
        <v>0.98289565623980701</v>
      </c>
    </row>
    <row r="1313" spans="1:11" x14ac:dyDescent="0.35">
      <c r="A1313" s="9" t="str">
        <f>HYPERLINK("http://www.ensembl.org/id/WBGene00013116", "WBGene00013116")</f>
        <v>WBGene00013116</v>
      </c>
      <c r="B1313" s="9" t="str">
        <f>HYPERLINK("http://www.ncbi.nlm.nih.gov/gene/190157", "190157")</f>
        <v>190157</v>
      </c>
      <c r="C1313" s="9"/>
      <c r="D1313" t="str">
        <f>"Y51H4A.22"</f>
        <v>Y51H4A.22</v>
      </c>
      <c r="F1313" t="s">
        <v>11</v>
      </c>
      <c r="H1313" s="12">
        <v>-2.64522751747859</v>
      </c>
      <c r="I1313" s="11">
        <v>-0.322957783917381</v>
      </c>
      <c r="J1313" s="10">
        <v>0.74672721379852502</v>
      </c>
      <c r="K1313" s="29">
        <v>0.98289565623980701</v>
      </c>
    </row>
    <row r="1314" spans="1:11" x14ac:dyDescent="0.35">
      <c r="A1314" s="9" t="str">
        <f>HYPERLINK("http://www.ensembl.org/id/WBGene00021798", "WBGene00021798")</f>
        <v>WBGene00021798</v>
      </c>
      <c r="B1314" s="9" t="str">
        <f>HYPERLINK("http://www.ncbi.nlm.nih.gov/gene/24105147", "24105147")</f>
        <v>24105147</v>
      </c>
      <c r="C1314" s="9"/>
      <c r="D1314" t="str">
        <f>"Y52E8A.6"</f>
        <v>Y52E8A.6</v>
      </c>
      <c r="F1314" t="s">
        <v>11</v>
      </c>
      <c r="G1314" t="s">
        <v>25</v>
      </c>
      <c r="H1314" s="12">
        <v>-2.64522751747859</v>
      </c>
      <c r="I1314" s="11">
        <v>-0.322957783917381</v>
      </c>
      <c r="J1314" s="10">
        <v>0.74672721379852502</v>
      </c>
      <c r="K1314" s="29">
        <v>0.98289565623980701</v>
      </c>
    </row>
    <row r="1315" spans="1:11" x14ac:dyDescent="0.35">
      <c r="A1315" s="9" t="str">
        <f>HYPERLINK("http://www.ensembl.org/id/WBGene00005243", "WBGene00005243")</f>
        <v>WBGene00005243</v>
      </c>
      <c r="B1315" s="9" t="str">
        <f>HYPERLINK("http://www.ncbi.nlm.nih.gov/gene/183633", "183633")</f>
        <v>183633</v>
      </c>
      <c r="C1315" s="9"/>
      <c r="D1315" t="str">
        <f>"srh-18"</f>
        <v>srh-18</v>
      </c>
      <c r="E1315" t="s">
        <v>153</v>
      </c>
      <c r="F1315" t="s">
        <v>11</v>
      </c>
      <c r="G1315" t="s">
        <v>25</v>
      </c>
      <c r="H1315" s="12">
        <v>-2.64427511657115</v>
      </c>
      <c r="I1315" s="11">
        <v>-0.52833920201590301</v>
      </c>
      <c r="J1315" s="10">
        <v>0.59726392729827105</v>
      </c>
      <c r="K1315" s="29">
        <v>0.98289565623980701</v>
      </c>
    </row>
    <row r="1316" spans="1:11" x14ac:dyDescent="0.35">
      <c r="A1316" s="9" t="str">
        <f>HYPERLINK("http://www.ensembl.org/id/WBGene00013397", "WBGene00013397")</f>
        <v>WBGene00013397</v>
      </c>
      <c r="B1316" s="9" t="str">
        <f>HYPERLINK("http://www.ncbi.nlm.nih.gov/gene/190464", "190464")</f>
        <v>190464</v>
      </c>
      <c r="C1316" s="9"/>
      <c r="D1316" t="str">
        <f>"Y62H9A.9"</f>
        <v>Y62H9A.9</v>
      </c>
      <c r="F1316" t="s">
        <v>11</v>
      </c>
      <c r="H1316" s="12">
        <v>-2.6421444539657299</v>
      </c>
      <c r="I1316" s="11">
        <v>-0.41198251077766501</v>
      </c>
      <c r="J1316" s="10">
        <v>0.68035224218671497</v>
      </c>
      <c r="K1316" s="29">
        <v>0.98289565623980701</v>
      </c>
    </row>
    <row r="1317" spans="1:11" x14ac:dyDescent="0.35">
      <c r="A1317" s="9" t="str">
        <f>HYPERLINK("http://www.ensembl.org/id/WBGene00022596", "WBGene00022596")</f>
        <v>WBGene00022596</v>
      </c>
      <c r="B1317" s="9" t="str">
        <f>HYPERLINK("http://www.ncbi.nlm.nih.gov/gene/191151", "191151")</f>
        <v>191151</v>
      </c>
      <c r="C1317" s="9"/>
      <c r="D1317" t="str">
        <f>"ZC395.4"</f>
        <v>ZC395.4</v>
      </c>
      <c r="F1317" t="s">
        <v>11</v>
      </c>
      <c r="H1317" s="12">
        <v>-2.64043311323957</v>
      </c>
      <c r="I1317" s="11">
        <v>-1.2330403253829201</v>
      </c>
      <c r="J1317" s="10">
        <v>0.21756071955251999</v>
      </c>
      <c r="K1317" s="29">
        <v>0.97042364854653596</v>
      </c>
    </row>
    <row r="1318" spans="1:11" x14ac:dyDescent="0.35">
      <c r="A1318" s="9" t="str">
        <f>HYPERLINK("http://www.ensembl.org/id/WBGene00007332", "WBGene00007332")</f>
        <v>WBGene00007332</v>
      </c>
      <c r="B1318" s="9" t="str">
        <f>HYPERLINK("http://www.ncbi.nlm.nih.gov/gene/174551", "174551")</f>
        <v>174551</v>
      </c>
      <c r="C1318" s="9"/>
      <c r="D1318" t="str">
        <f>"C05C10.5"</f>
        <v>C05C10.5</v>
      </c>
      <c r="F1318" t="s">
        <v>11</v>
      </c>
      <c r="G1318" t="s">
        <v>54</v>
      </c>
      <c r="H1318" s="12">
        <v>-2.63813897825995</v>
      </c>
      <c r="I1318" s="11">
        <v>-5.0248137839189102</v>
      </c>
      <c r="J1318" s="10">
        <v>5.0392125276377497E-7</v>
      </c>
      <c r="K1318" s="29">
        <v>9.1681924931966797E-5</v>
      </c>
    </row>
    <row r="1319" spans="1:11" x14ac:dyDescent="0.35">
      <c r="A1319" s="9" t="str">
        <f>HYPERLINK("http://www.ensembl.org/id/WBGene00017739", "WBGene00017739")</f>
        <v>WBGene00017739</v>
      </c>
      <c r="B1319" s="9"/>
      <c r="C1319" s="9"/>
      <c r="D1319" t="str">
        <f>"F23C8.11"</f>
        <v>F23C8.11</v>
      </c>
      <c r="F1319" t="s">
        <v>80</v>
      </c>
      <c r="H1319" s="12">
        <v>-2.63121112254015</v>
      </c>
      <c r="I1319" s="11">
        <v>-0.34824138835296797</v>
      </c>
      <c r="J1319" s="10">
        <v>0.72765890731954697</v>
      </c>
      <c r="K1319" s="29">
        <v>0.98289565623980701</v>
      </c>
    </row>
    <row r="1320" spans="1:11" x14ac:dyDescent="0.35">
      <c r="A1320" s="9" t="str">
        <f>HYPERLINK("http://www.ensembl.org/id/WBGene00014889", "WBGene00014889")</f>
        <v>WBGene00014889</v>
      </c>
      <c r="B1320" s="9"/>
      <c r="C1320" s="9"/>
      <c r="D1320" t="str">
        <f>"Y43F8C.t1"</f>
        <v>Y43F8C.t1</v>
      </c>
      <c r="F1320" t="s">
        <v>80</v>
      </c>
      <c r="H1320" s="12">
        <v>-2.63121112254015</v>
      </c>
      <c r="I1320" s="11">
        <v>-0.34824138835296797</v>
      </c>
      <c r="J1320" s="10">
        <v>0.72765890731954697</v>
      </c>
      <c r="K1320" s="29">
        <v>0.98289565623980701</v>
      </c>
    </row>
    <row r="1321" spans="1:11" x14ac:dyDescent="0.35">
      <c r="A1321" s="9" t="str">
        <f>HYPERLINK("http://www.ensembl.org/id/WBGene00000731", "WBGene00000731")</f>
        <v>WBGene00000731</v>
      </c>
      <c r="B1321" s="9" t="str">
        <f>HYPERLINK("http://www.ncbi.nlm.nih.gov/gene/179619", "179619")</f>
        <v>179619</v>
      </c>
      <c r="C1321" s="9"/>
      <c r="D1321" t="str">
        <f>"col-158"</f>
        <v>col-158</v>
      </c>
      <c r="E1321" t="s">
        <v>40</v>
      </c>
      <c r="F1321" t="s">
        <v>11</v>
      </c>
      <c r="G1321" t="s">
        <v>10076</v>
      </c>
      <c r="H1321" s="12">
        <v>-2.63036387914631</v>
      </c>
      <c r="I1321" s="11">
        <v>-0.90829414376954698</v>
      </c>
      <c r="J1321" s="10">
        <v>0.36372283574651798</v>
      </c>
      <c r="K1321" s="29">
        <v>0.98289565623980701</v>
      </c>
    </row>
    <row r="1322" spans="1:11" x14ac:dyDescent="0.35">
      <c r="A1322" s="9" t="str">
        <f>HYPERLINK("http://www.ensembl.org/id/WBGene00016231", "WBGene00016231")</f>
        <v>WBGene00016231</v>
      </c>
      <c r="B1322" s="9" t="str">
        <f>HYPERLINK("http://www.ncbi.nlm.nih.gov/gene/183032", "183032")</f>
        <v>183032</v>
      </c>
      <c r="C1322" s="9"/>
      <c r="D1322" t="str">
        <f>"C29G2.3"</f>
        <v>C29G2.3</v>
      </c>
      <c r="F1322" t="s">
        <v>11</v>
      </c>
      <c r="H1322" s="12">
        <v>-2.6267281937617</v>
      </c>
      <c r="I1322" s="11">
        <v>-0.62639919744441797</v>
      </c>
      <c r="J1322" s="10">
        <v>0.53105313583914304</v>
      </c>
      <c r="K1322" s="29">
        <v>0.98289565623980701</v>
      </c>
    </row>
    <row r="1323" spans="1:11" x14ac:dyDescent="0.35">
      <c r="A1323" s="9" t="str">
        <f>HYPERLINK("http://www.ensembl.org/id/WBGene00007171", "WBGene00007171")</f>
        <v>WBGene00007171</v>
      </c>
      <c r="B1323" s="9" t="str">
        <f>HYPERLINK("http://www.ncbi.nlm.nih.gov/gene/181957", "181957")</f>
        <v>181957</v>
      </c>
      <c r="C1323" s="9"/>
      <c r="D1323" t="str">
        <f>"B0393.6"</f>
        <v>B0393.6</v>
      </c>
      <c r="F1323" t="s">
        <v>11</v>
      </c>
      <c r="G1323" t="s">
        <v>51</v>
      </c>
      <c r="H1323" s="12">
        <v>-2.6257528795396099</v>
      </c>
      <c r="I1323" s="11">
        <v>-4.0717222109610196</v>
      </c>
      <c r="J1323" s="10">
        <v>4.6666813662930899E-5</v>
      </c>
      <c r="K1323" s="29">
        <v>3.64284931248541E-3</v>
      </c>
    </row>
    <row r="1324" spans="1:11" x14ac:dyDescent="0.35">
      <c r="A1324" s="9" t="str">
        <f>HYPERLINK("http://www.ensembl.org/id/WBGene00015505", "WBGene00015505")</f>
        <v>WBGene00015505</v>
      </c>
      <c r="B1324" s="9" t="str">
        <f>HYPERLINK("http://www.ncbi.nlm.nih.gov/gene/172276", "172276")</f>
        <v>172276</v>
      </c>
      <c r="C1324" s="9"/>
      <c r="D1324" t="str">
        <f>"C06A5.8"</f>
        <v>C06A5.8</v>
      </c>
      <c r="F1324" t="s">
        <v>11</v>
      </c>
      <c r="G1324" t="s">
        <v>463</v>
      </c>
      <c r="H1324" s="12">
        <v>-2.6250176191031098</v>
      </c>
      <c r="I1324" s="11">
        <v>-3.5072786182145901</v>
      </c>
      <c r="J1324" s="10">
        <v>4.52714870716654E-4</v>
      </c>
      <c r="K1324" s="29">
        <v>2.1047142460319902E-2</v>
      </c>
    </row>
    <row r="1325" spans="1:11" x14ac:dyDescent="0.35">
      <c r="A1325" s="9" t="str">
        <f>HYPERLINK("http://www.ensembl.org/id/WBGene00015843", "WBGene00015843")</f>
        <v>WBGene00015843</v>
      </c>
      <c r="B1325" s="9" t="str">
        <f>HYPERLINK("http://www.ncbi.nlm.nih.gov/gene/182672", "182672")</f>
        <v>182672</v>
      </c>
      <c r="C1325" s="9"/>
      <c r="D1325" t="str">
        <f>"C16C8.5"</f>
        <v>C16C8.5</v>
      </c>
      <c r="F1325" t="s">
        <v>11</v>
      </c>
      <c r="G1325" t="s">
        <v>54</v>
      </c>
      <c r="H1325" s="12">
        <v>-2.6198798659157001</v>
      </c>
      <c r="I1325" s="11">
        <v>-2.4616281277824998</v>
      </c>
      <c r="J1325" s="10">
        <v>1.38307986745052E-2</v>
      </c>
      <c r="K1325" s="29">
        <v>0.240060667186208</v>
      </c>
    </row>
    <row r="1326" spans="1:11" x14ac:dyDescent="0.35">
      <c r="A1326" s="9" t="str">
        <f>HYPERLINK("http://www.ensembl.org/id/WBGene00001514", "WBGene00001514")</f>
        <v>WBGene00001514</v>
      </c>
      <c r="B1326" s="9" t="str">
        <f>HYPERLINK("http://www.ncbi.nlm.nih.gov/gene/175776", "175776")</f>
        <v>175776</v>
      </c>
      <c r="C1326" s="9"/>
      <c r="D1326" t="str">
        <f>"xnd-1"</f>
        <v>xnd-1</v>
      </c>
      <c r="E1326" t="s">
        <v>226</v>
      </c>
      <c r="F1326" t="s">
        <v>11</v>
      </c>
      <c r="H1326" s="12">
        <v>-2.6196851656995999</v>
      </c>
      <c r="I1326" s="11">
        <v>-4.4297494541275597</v>
      </c>
      <c r="J1326" s="10">
        <v>9.4342628924459799E-6</v>
      </c>
      <c r="K1326" s="29">
        <v>9.9085490178571294E-4</v>
      </c>
    </row>
    <row r="1327" spans="1:11" x14ac:dyDescent="0.35">
      <c r="A1327" s="9" t="str">
        <f>HYPERLINK("http://www.ensembl.org/id/WBGene00018698", "WBGene00018698")</f>
        <v>WBGene00018698</v>
      </c>
      <c r="B1327" s="9" t="str">
        <f>HYPERLINK("http://www.ncbi.nlm.nih.gov/gene/179223", "179223")</f>
        <v>179223</v>
      </c>
      <c r="C1327" s="9"/>
      <c r="D1327" t="str">
        <f>"vha-18"</f>
        <v>vha-18</v>
      </c>
      <c r="E1327" t="s">
        <v>301</v>
      </c>
      <c r="F1327" t="s">
        <v>11</v>
      </c>
      <c r="G1327" t="s">
        <v>302</v>
      </c>
      <c r="H1327" s="12">
        <v>-2.6191814632233599</v>
      </c>
      <c r="I1327" s="11">
        <v>-4.0678537582857404</v>
      </c>
      <c r="J1327" s="10">
        <v>4.7448142721752999E-5</v>
      </c>
      <c r="K1327" s="29">
        <v>3.6544559524294201E-3</v>
      </c>
    </row>
    <row r="1328" spans="1:11" x14ac:dyDescent="0.35">
      <c r="A1328" s="9" t="str">
        <f>HYPERLINK("http://www.ensembl.org/id/WBGene00019578", "WBGene00019578")</f>
        <v>WBGene00019578</v>
      </c>
      <c r="B1328" s="9" t="str">
        <f>HYPERLINK("http://www.ncbi.nlm.nih.gov/gene/187223", "187223")</f>
        <v>187223</v>
      </c>
      <c r="C1328" s="9"/>
      <c r="D1328" t="str">
        <f>"K09E3.7"</f>
        <v>K09E3.7</v>
      </c>
      <c r="F1328" t="s">
        <v>11</v>
      </c>
      <c r="H1328" s="12">
        <v>-2.6191263561991298</v>
      </c>
      <c r="I1328" s="11">
        <v>-3.1312903021523102</v>
      </c>
      <c r="J1328" s="10">
        <v>1.74040027746039E-3</v>
      </c>
      <c r="K1328" s="29">
        <v>5.90509380484577E-2</v>
      </c>
    </row>
    <row r="1329" spans="1:11" x14ac:dyDescent="0.35">
      <c r="A1329" s="9" t="str">
        <f>HYPERLINK("http://www.ensembl.org/id/WBGene00021880", "WBGene00021880")</f>
        <v>WBGene00021880</v>
      </c>
      <c r="B1329" s="9" t="str">
        <f>HYPERLINK("http://www.ncbi.nlm.nih.gov/gene/177066", "177066")</f>
        <v>177066</v>
      </c>
      <c r="C1329" s="9"/>
      <c r="D1329" t="str">
        <f>"Y54G2A.15"</f>
        <v>Y54G2A.15</v>
      </c>
      <c r="F1329" t="s">
        <v>11</v>
      </c>
      <c r="H1329" s="12">
        <v>-2.6181350195312101</v>
      </c>
      <c r="I1329" s="11">
        <v>-0.76433927831437398</v>
      </c>
      <c r="J1329" s="10">
        <v>0.444665084151392</v>
      </c>
      <c r="K1329" s="29">
        <v>0.98289565623980701</v>
      </c>
    </row>
    <row r="1330" spans="1:11" x14ac:dyDescent="0.35">
      <c r="A1330" s="9" t="str">
        <f>HYPERLINK("http://www.ensembl.org/id/WBGene00002368", "WBGene00002368")</f>
        <v>WBGene00002368</v>
      </c>
      <c r="B1330" s="9" t="str">
        <f>HYPERLINK("http://www.ncbi.nlm.nih.gov/gene/178210", "178210")</f>
        <v>178210</v>
      </c>
      <c r="C1330" s="9"/>
      <c r="D1330" t="str">
        <f>"let-99"</f>
        <v>let-99</v>
      </c>
      <c r="F1330" t="s">
        <v>11</v>
      </c>
      <c r="G1330" t="s">
        <v>192</v>
      </c>
      <c r="H1330" s="12">
        <v>-2.6169951632400701</v>
      </c>
      <c r="I1330" s="11">
        <v>-4.6691658456844598</v>
      </c>
      <c r="J1330" s="10">
        <v>3.02425170069181E-6</v>
      </c>
      <c r="K1330" s="29">
        <v>3.8606828616676801E-4</v>
      </c>
    </row>
    <row r="1331" spans="1:11" x14ac:dyDescent="0.35">
      <c r="A1331" s="9" t="str">
        <f>HYPERLINK("http://www.ensembl.org/id/WBGene00045189", "WBGene00045189")</f>
        <v>WBGene00045189</v>
      </c>
      <c r="B1331" s="9"/>
      <c r="C1331" s="9"/>
      <c r="D1331" t="str">
        <f>"srpr-1.1"</f>
        <v>srpr-1.1</v>
      </c>
      <c r="F1331" t="s">
        <v>481</v>
      </c>
      <c r="H1331" s="12">
        <v>-2.6138306264729199</v>
      </c>
      <c r="I1331" s="11">
        <v>-0.56740873741349895</v>
      </c>
      <c r="J1331" s="10">
        <v>0.57043651499886505</v>
      </c>
      <c r="K1331" s="29">
        <v>0.98289565623980701</v>
      </c>
    </row>
    <row r="1332" spans="1:11" x14ac:dyDescent="0.35">
      <c r="A1332" s="9" t="str">
        <f>HYPERLINK("http://www.ensembl.org/id/WBGene00013071", "WBGene00013071")</f>
        <v>WBGene00013071</v>
      </c>
      <c r="B1332" s="9" t="str">
        <f>HYPERLINK("http://www.ncbi.nlm.nih.gov/gene/3565144", "3565144")</f>
        <v>3565144</v>
      </c>
      <c r="C1332" s="9"/>
      <c r="D1332" t="str">
        <f>"Y51A2B.8"</f>
        <v>Y51A2B.8</v>
      </c>
      <c r="F1332" t="s">
        <v>11</v>
      </c>
      <c r="H1332" s="12">
        <v>-2.6138306264729199</v>
      </c>
      <c r="I1332" s="11">
        <v>-0.56740873741349895</v>
      </c>
      <c r="J1332" s="10">
        <v>0.57043651499886505</v>
      </c>
      <c r="K1332" s="29">
        <v>0.98289565623980701</v>
      </c>
    </row>
    <row r="1333" spans="1:11" x14ac:dyDescent="0.35">
      <c r="A1333" s="9" t="str">
        <f>HYPERLINK("http://www.ensembl.org/id/WBGene00020858", "WBGene00020858")</f>
        <v>WBGene00020858</v>
      </c>
      <c r="B1333" s="9" t="str">
        <f>HYPERLINK("http://www.ncbi.nlm.nih.gov/gene/188992", "188992")</f>
        <v>188992</v>
      </c>
      <c r="C1333" s="9"/>
      <c r="D1333" t="str">
        <f>"mop-25.3"</f>
        <v>mop-25.3</v>
      </c>
      <c r="E1333" t="s">
        <v>475</v>
      </c>
      <c r="F1333" t="s">
        <v>11</v>
      </c>
      <c r="H1333" s="12">
        <v>-2.6132438972805399</v>
      </c>
      <c r="I1333" s="11">
        <v>-3.4442575639299702</v>
      </c>
      <c r="J1333" s="10">
        <v>5.7262991978891003E-4</v>
      </c>
      <c r="K1333" s="29">
        <v>2.5395752258430999E-2</v>
      </c>
    </row>
    <row r="1334" spans="1:11" x14ac:dyDescent="0.35">
      <c r="A1334" s="9" t="str">
        <f>HYPERLINK("http://www.ensembl.org/id/WBGene00018902", "WBGene00018902")</f>
        <v>WBGene00018902</v>
      </c>
      <c r="B1334" s="9" t="str">
        <f>HYPERLINK("http://www.ncbi.nlm.nih.gov/gene/259576", "259576")</f>
        <v>259576</v>
      </c>
      <c r="C1334" s="9"/>
      <c r="D1334" t="str">
        <f>"F55G1.6"</f>
        <v>F55G1.6</v>
      </c>
      <c r="F1334" t="s">
        <v>11</v>
      </c>
      <c r="G1334" t="s">
        <v>25</v>
      </c>
      <c r="H1334" s="12">
        <v>-2.61240406941404</v>
      </c>
      <c r="I1334" s="11">
        <v>-3.5702476080540699</v>
      </c>
      <c r="J1334" s="10">
        <v>3.56643945923882E-4</v>
      </c>
      <c r="K1334" s="29">
        <v>1.8029183449309899E-2</v>
      </c>
    </row>
    <row r="1335" spans="1:11" x14ac:dyDescent="0.35">
      <c r="A1335" s="9" t="str">
        <f>HYPERLINK("http://www.ensembl.org/id/WBGene00001872", "WBGene00001872")</f>
        <v>WBGene00001872</v>
      </c>
      <c r="B1335" s="9" t="str">
        <f>HYPERLINK("http://www.ncbi.nlm.nih.gov/gene/174157", "174157")</f>
        <v>174157</v>
      </c>
      <c r="C1335" s="9" t="str">
        <f>HYPERLINK("http://www.ncbi.nlm.nih.gov/gene/4438", "4438")</f>
        <v>4438</v>
      </c>
      <c r="D1335" t="str">
        <f>"him-14"</f>
        <v>him-14</v>
      </c>
      <c r="E1335" t="s">
        <v>496</v>
      </c>
      <c r="F1335" t="s">
        <v>11</v>
      </c>
      <c r="G1335" t="s">
        <v>497</v>
      </c>
      <c r="H1335" s="12">
        <v>-2.6115566494958902</v>
      </c>
      <c r="I1335" s="11">
        <v>-3.3799537879515098</v>
      </c>
      <c r="J1335" s="10">
        <v>7.2498018362700104E-4</v>
      </c>
      <c r="K1335" s="29">
        <v>3.04018005859991E-2</v>
      </c>
    </row>
    <row r="1336" spans="1:11" x14ac:dyDescent="0.35">
      <c r="A1336" s="9" t="str">
        <f>HYPERLINK("http://www.ensembl.org/id/WBGene00019886", "WBGene00019886")</f>
        <v>WBGene00019886</v>
      </c>
      <c r="B1336" s="9" t="str">
        <f>HYPERLINK("http://www.ncbi.nlm.nih.gov/gene/187609", "187609")</f>
        <v>187609</v>
      </c>
      <c r="C1336" s="9"/>
      <c r="D1336" t="str">
        <f>"R05D8.9"</f>
        <v>R05D8.9</v>
      </c>
      <c r="F1336" t="s">
        <v>11</v>
      </c>
      <c r="G1336" t="s">
        <v>489</v>
      </c>
      <c r="H1336" s="12">
        <v>-2.6114870227648699</v>
      </c>
      <c r="I1336" s="11">
        <v>-0.34600978721752301</v>
      </c>
      <c r="J1336" s="10">
        <v>0.72933535940062599</v>
      </c>
      <c r="K1336" s="29">
        <v>0.98289565623980701</v>
      </c>
    </row>
    <row r="1337" spans="1:11" x14ac:dyDescent="0.35">
      <c r="A1337" s="9" t="str">
        <f>HYPERLINK("http://www.ensembl.org/id/WBGene00044741", "WBGene00044741")</f>
        <v>WBGene00044741</v>
      </c>
      <c r="B1337" s="9" t="str">
        <f>HYPERLINK("http://www.ncbi.nlm.nih.gov/gene/4363061", "4363061")</f>
        <v>4363061</v>
      </c>
      <c r="C1337" s="9"/>
      <c r="D1337" t="str">
        <f>"Y57G11C.52"</f>
        <v>Y57G11C.52</v>
      </c>
      <c r="F1337" t="s">
        <v>11</v>
      </c>
      <c r="H1337" s="12">
        <v>-2.61107526133679</v>
      </c>
      <c r="I1337" s="11">
        <v>-0.66694120302424598</v>
      </c>
      <c r="J1337" s="10">
        <v>0.504809690962568</v>
      </c>
      <c r="K1337" s="29">
        <v>0.98289565623980701</v>
      </c>
    </row>
    <row r="1338" spans="1:11" x14ac:dyDescent="0.35">
      <c r="A1338" s="9" t="str">
        <f>HYPERLINK("http://www.ensembl.org/id/WBGene00220250", "WBGene00220250")</f>
        <v>WBGene00220250</v>
      </c>
      <c r="B1338" s="9" t="str">
        <f>HYPERLINK("http://www.ncbi.nlm.nih.gov/gene/24104191", "24104191")</f>
        <v>24104191</v>
      </c>
      <c r="C1338" s="9"/>
      <c r="D1338" t="str">
        <f>"C09B9.85"</f>
        <v>C09B9.85</v>
      </c>
      <c r="E1338" t="s">
        <v>1526</v>
      </c>
      <c r="F1338" t="s">
        <v>11</v>
      </c>
      <c r="G1338" t="s">
        <v>1527</v>
      </c>
      <c r="H1338" s="12">
        <v>-2.6091840615252302</v>
      </c>
      <c r="I1338" s="11">
        <v>-0.39304473703411003</v>
      </c>
      <c r="J1338" s="10">
        <v>0.69428643946751201</v>
      </c>
      <c r="K1338" s="29">
        <v>0.98289565623980701</v>
      </c>
    </row>
    <row r="1339" spans="1:11" x14ac:dyDescent="0.35">
      <c r="A1339" s="9" t="str">
        <f>HYPERLINK("http://www.ensembl.org/id/WBGene00271639", "WBGene00271639")</f>
        <v>WBGene00271639</v>
      </c>
      <c r="B1339" s="9"/>
      <c r="C1339" s="9"/>
      <c r="D1339" t="str">
        <f>"C50F2.12"</f>
        <v>C50F2.12</v>
      </c>
      <c r="F1339" t="s">
        <v>481</v>
      </c>
      <c r="H1339" s="12">
        <v>-2.6091840615252302</v>
      </c>
      <c r="I1339" s="11">
        <v>-0.39304473703411003</v>
      </c>
      <c r="J1339" s="10">
        <v>0.69428643946751201</v>
      </c>
      <c r="K1339" s="29">
        <v>0.98289565623980701</v>
      </c>
    </row>
    <row r="1340" spans="1:11" x14ac:dyDescent="0.35">
      <c r="A1340" s="9" t="str">
        <f>HYPERLINK("http://www.ensembl.org/id/WBGene00006237", "WBGene00006237")</f>
        <v>WBGene00006237</v>
      </c>
      <c r="B1340" s="9" t="str">
        <f>HYPERLINK("http://www.ncbi.nlm.nih.gov/gene/179102", "179102")</f>
        <v>179102</v>
      </c>
      <c r="C1340" s="9"/>
      <c r="D1340" t="str">
        <f>"str-204"</f>
        <v>str-204</v>
      </c>
      <c r="E1340" t="s">
        <v>590</v>
      </c>
      <c r="F1340" t="s">
        <v>11</v>
      </c>
      <c r="G1340" t="s">
        <v>591</v>
      </c>
      <c r="H1340" s="12">
        <v>-2.6091840615252302</v>
      </c>
      <c r="I1340" s="11">
        <v>-0.39304473703411003</v>
      </c>
      <c r="J1340" s="10">
        <v>0.69428643946751201</v>
      </c>
      <c r="K1340" s="29">
        <v>0.98289565623980701</v>
      </c>
    </row>
    <row r="1341" spans="1:11" x14ac:dyDescent="0.35">
      <c r="A1341" s="9" t="str">
        <f>HYPERLINK("http://www.ensembl.org/id/WBGene00021596", "WBGene00021596")</f>
        <v>WBGene00021596</v>
      </c>
      <c r="B1341" s="9" t="str">
        <f>HYPERLINK("http://www.ncbi.nlm.nih.gov/gene/266877", "266877")</f>
        <v>266877</v>
      </c>
      <c r="C1341" s="9" t="str">
        <f>HYPERLINK("http://www.ncbi.nlm.nih.gov/gene/92369", "92369")</f>
        <v>92369</v>
      </c>
      <c r="D1341" t="str">
        <f>"spsb-2"</f>
        <v>spsb-2</v>
      </c>
      <c r="E1341" t="s">
        <v>181</v>
      </c>
      <c r="F1341" t="s">
        <v>11</v>
      </c>
      <c r="G1341" t="s">
        <v>182</v>
      </c>
      <c r="H1341" s="12">
        <v>-2.6087065831445702</v>
      </c>
      <c r="I1341" s="11">
        <v>-4.7550597794941396</v>
      </c>
      <c r="J1341" s="10">
        <v>1.9838770529323799E-6</v>
      </c>
      <c r="K1341" s="29">
        <v>2.6964390108856202E-4</v>
      </c>
    </row>
    <row r="1342" spans="1:11" x14ac:dyDescent="0.35">
      <c r="A1342" s="9" t="str">
        <f>HYPERLINK("http://www.ensembl.org/id/WBGene00017843", "WBGene00017843")</f>
        <v>WBGene00017843</v>
      </c>
      <c r="B1342" s="9" t="str">
        <f>HYPERLINK("http://www.ncbi.nlm.nih.gov/gene/178888", "178888")</f>
        <v>178888</v>
      </c>
      <c r="C1342" s="9"/>
      <c r="D1342" t="str">
        <f>"F26G5.1"</f>
        <v>F26G5.1</v>
      </c>
      <c r="F1342" t="s">
        <v>11</v>
      </c>
      <c r="H1342" s="12">
        <v>-2.6079923671212502</v>
      </c>
      <c r="I1342" s="11">
        <v>-3.8897008767824599</v>
      </c>
      <c r="J1342" s="10">
        <v>1.00367859177437E-4</v>
      </c>
      <c r="K1342" s="29">
        <v>6.6449849689222198E-3</v>
      </c>
    </row>
    <row r="1343" spans="1:11" x14ac:dyDescent="0.35">
      <c r="A1343" s="9" t="str">
        <f>HYPERLINK("http://www.ensembl.org/id/WBGene00016627", "WBGene00016627")</f>
        <v>WBGene00016627</v>
      </c>
      <c r="B1343" s="9" t="str">
        <f>HYPERLINK("http://www.ncbi.nlm.nih.gov/gene/174124", "174124")</f>
        <v>174124</v>
      </c>
      <c r="C1343" s="9"/>
      <c r="D1343" t="str">
        <f>"C44B7.5"</f>
        <v>C44B7.5</v>
      </c>
      <c r="F1343" t="s">
        <v>11</v>
      </c>
      <c r="G1343" t="s">
        <v>27</v>
      </c>
      <c r="H1343" s="12">
        <v>-2.6062882020716498</v>
      </c>
      <c r="I1343" s="11">
        <v>-3.7818856739167601</v>
      </c>
      <c r="J1343" s="10">
        <v>1.55644846162185E-4</v>
      </c>
      <c r="K1343" s="29">
        <v>9.1743107536312596E-3</v>
      </c>
    </row>
    <row r="1344" spans="1:11" x14ac:dyDescent="0.35">
      <c r="A1344" s="9" t="str">
        <f>HYPERLINK("http://www.ensembl.org/id/WBGene00001607", "WBGene00001607")</f>
        <v>WBGene00001607</v>
      </c>
      <c r="B1344" s="9" t="str">
        <f>HYPERLINK("http://www.ncbi.nlm.nih.gov/gene/177808", "177808")</f>
        <v>177808</v>
      </c>
      <c r="C1344" s="9"/>
      <c r="D1344" t="str">
        <f>"gln-6"</f>
        <v>gln-6</v>
      </c>
      <c r="E1344" t="s">
        <v>42</v>
      </c>
      <c r="F1344" t="s">
        <v>11</v>
      </c>
      <c r="G1344" t="s">
        <v>43</v>
      </c>
      <c r="H1344" s="12">
        <v>-2.5998355373179298</v>
      </c>
      <c r="I1344" s="11">
        <v>-5.2603569561512904</v>
      </c>
      <c r="J1344" s="10">
        <v>1.4377601585768399E-7</v>
      </c>
      <c r="K1344" s="29">
        <v>3.3898863493955497E-5</v>
      </c>
    </row>
    <row r="1345" spans="1:11" x14ac:dyDescent="0.35">
      <c r="A1345" s="9" t="str">
        <f>HYPERLINK("http://www.ensembl.org/id/WBGene00015121", "WBGene00015121")</f>
        <v>WBGene00015121</v>
      </c>
      <c r="B1345" s="9" t="str">
        <f>HYPERLINK("http://www.ncbi.nlm.nih.gov/gene/181913", "181913")</f>
        <v>181913</v>
      </c>
      <c r="C1345" s="9"/>
      <c r="D1345" t="str">
        <f>"B0302.4"</f>
        <v>B0302.4</v>
      </c>
      <c r="F1345" t="s">
        <v>11</v>
      </c>
      <c r="H1345" s="12">
        <v>-2.5939904834899399</v>
      </c>
      <c r="I1345" s="11">
        <v>-0.456196703708181</v>
      </c>
      <c r="J1345" s="10">
        <v>0.64824853556044104</v>
      </c>
      <c r="K1345" s="29">
        <v>0.98289565623980701</v>
      </c>
    </row>
    <row r="1346" spans="1:11" x14ac:dyDescent="0.35">
      <c r="A1346" s="9" t="str">
        <f>HYPERLINK("http://www.ensembl.org/id/WBGene00269386", "WBGene00269386")</f>
        <v>WBGene00269386</v>
      </c>
      <c r="B1346" s="9"/>
      <c r="C1346" s="9"/>
      <c r="D1346" t="str">
        <f>"F41F3.10"</f>
        <v>F41F3.10</v>
      </c>
      <c r="F1346" t="s">
        <v>1510</v>
      </c>
      <c r="H1346" s="12">
        <v>-2.5939904834899399</v>
      </c>
      <c r="I1346" s="11">
        <v>-0.456196703708181</v>
      </c>
      <c r="J1346" s="10">
        <v>0.64824853556044104</v>
      </c>
      <c r="K1346" s="29">
        <v>0.98289565623980701</v>
      </c>
    </row>
    <row r="1347" spans="1:11" x14ac:dyDescent="0.35">
      <c r="A1347" s="9" t="str">
        <f>HYPERLINK("http://www.ensembl.org/id/WBGene00020091", "WBGene00020091")</f>
        <v>WBGene00020091</v>
      </c>
      <c r="B1347" s="9" t="str">
        <f>HYPERLINK("http://www.ncbi.nlm.nih.gov/gene/171627", "171627")</f>
        <v>171627</v>
      </c>
      <c r="C1347" s="9"/>
      <c r="D1347" t="str">
        <f>"rnp-8"</f>
        <v>rnp-8</v>
      </c>
      <c r="E1347" t="s">
        <v>174</v>
      </c>
      <c r="F1347" t="s">
        <v>11</v>
      </c>
      <c r="G1347" t="s">
        <v>175</v>
      </c>
      <c r="H1347" s="12">
        <v>-2.5934883728025699</v>
      </c>
      <c r="I1347" s="11">
        <v>-4.7988780421907098</v>
      </c>
      <c r="J1347" s="10">
        <v>1.5955691009201299E-6</v>
      </c>
      <c r="K1347" s="29">
        <v>2.2316677072100401E-4</v>
      </c>
    </row>
    <row r="1348" spans="1:11" x14ac:dyDescent="0.35">
      <c r="A1348" s="9" t="str">
        <f>HYPERLINK("http://www.ensembl.org/id/WBGene00011513", "WBGene00011513")</f>
        <v>WBGene00011513</v>
      </c>
      <c r="B1348" s="9" t="str">
        <f>HYPERLINK("http://www.ncbi.nlm.nih.gov/gene/188165", "188165")</f>
        <v>188165</v>
      </c>
      <c r="C1348" s="9"/>
      <c r="D1348" t="str">
        <f>"fbxa-197"</f>
        <v>fbxa-197</v>
      </c>
      <c r="E1348" t="s">
        <v>467</v>
      </c>
      <c r="F1348" t="s">
        <v>11</v>
      </c>
      <c r="H1348" s="12">
        <v>-2.5907366920041102</v>
      </c>
      <c r="I1348" s="11">
        <v>-2.1863076952873102</v>
      </c>
      <c r="J1348" s="10">
        <v>2.8793101525371199E-2</v>
      </c>
      <c r="K1348" s="29">
        <v>0.37865304715152298</v>
      </c>
    </row>
    <row r="1349" spans="1:11" x14ac:dyDescent="0.35">
      <c r="A1349" s="9" t="str">
        <f>HYPERLINK("http://www.ensembl.org/id/WBGene00219908", "WBGene00219908")</f>
        <v>WBGene00219908</v>
      </c>
      <c r="B1349" s="9"/>
      <c r="C1349" s="9"/>
      <c r="D1349" t="str">
        <f>"F20C5.10"</f>
        <v>F20C5.10</v>
      </c>
      <c r="F1349" t="s">
        <v>481</v>
      </c>
      <c r="H1349" s="12">
        <v>-2.5876340225283001</v>
      </c>
      <c r="I1349" s="11">
        <v>-2.4248167744507501</v>
      </c>
      <c r="J1349" s="10">
        <v>1.5316114647463601E-2</v>
      </c>
      <c r="K1349" s="29">
        <v>0.25705200813228901</v>
      </c>
    </row>
    <row r="1350" spans="1:11" x14ac:dyDescent="0.35">
      <c r="A1350" s="9" t="str">
        <f>HYPERLINK("http://www.ensembl.org/id/WBGene00010050", "WBGene00010050")</f>
        <v>WBGene00010050</v>
      </c>
      <c r="B1350" s="9" t="str">
        <f>HYPERLINK("http://www.ncbi.nlm.nih.gov/gene/174772", "174772")</f>
        <v>174772</v>
      </c>
      <c r="C1350" s="9"/>
      <c r="D1350" t="str">
        <f>"F54D5.4"</f>
        <v>F54D5.4</v>
      </c>
      <c r="F1350" t="s">
        <v>11</v>
      </c>
      <c r="G1350" t="s">
        <v>264</v>
      </c>
      <c r="H1350" s="12">
        <v>-2.5855248045951398</v>
      </c>
      <c r="I1350" s="11">
        <v>-3.3726929340440401</v>
      </c>
      <c r="J1350" s="10">
        <v>7.4436915641661701E-4</v>
      </c>
      <c r="K1350" s="29">
        <v>3.09898986093015E-2</v>
      </c>
    </row>
    <row r="1351" spans="1:11" x14ac:dyDescent="0.35">
      <c r="A1351" s="9" t="str">
        <f>HYPERLINK("http://www.ensembl.org/id/WBGene00012761", "WBGene00012761")</f>
        <v>WBGene00012761</v>
      </c>
      <c r="B1351" s="9" t="str">
        <f>HYPERLINK("http://www.ncbi.nlm.nih.gov/gene/176607", "176607")</f>
        <v>176607</v>
      </c>
      <c r="C1351" s="9"/>
      <c r="D1351" t="str">
        <f>"Y41C4A.18"</f>
        <v>Y41C4A.18</v>
      </c>
      <c r="F1351" t="s">
        <v>11</v>
      </c>
      <c r="G1351" t="s">
        <v>25</v>
      </c>
      <c r="H1351" s="12">
        <v>-2.58230470841663</v>
      </c>
      <c r="I1351" s="11">
        <v>-0.505478902733416</v>
      </c>
      <c r="J1351" s="10">
        <v>0.61322251274365602</v>
      </c>
      <c r="K1351" s="29">
        <v>0.98289565623980701</v>
      </c>
    </row>
    <row r="1352" spans="1:11" x14ac:dyDescent="0.35">
      <c r="A1352" s="9" t="str">
        <f>HYPERLINK("http://www.ensembl.org/id/WBGene00017986", "WBGene00017986")</f>
        <v>WBGene00017986</v>
      </c>
      <c r="B1352" s="9" t="str">
        <f>HYPERLINK("http://www.ncbi.nlm.nih.gov/gene/178836", "178836")</f>
        <v>178836</v>
      </c>
      <c r="C1352" s="9"/>
      <c r="D1352" t="str">
        <f>"F32D1.7"</f>
        <v>F32D1.7</v>
      </c>
      <c r="F1352" t="s">
        <v>11</v>
      </c>
      <c r="H1352" s="12">
        <v>-2.5802986794531502</v>
      </c>
      <c r="I1352" s="11">
        <v>-4.9303821567743702</v>
      </c>
      <c r="J1352" s="10">
        <v>8.2068911324942901E-7</v>
      </c>
      <c r="K1352" s="29">
        <v>1.3260729126392501E-4</v>
      </c>
    </row>
    <row r="1353" spans="1:11" x14ac:dyDescent="0.35">
      <c r="A1353" s="9" t="str">
        <f>HYPERLINK("http://www.ensembl.org/id/WBGene00023503", "WBGene00023503")</f>
        <v>WBGene00023503</v>
      </c>
      <c r="B1353" s="9" t="str">
        <f>HYPERLINK("http://www.ncbi.nlm.nih.gov/gene/3565104", "3565104")</f>
        <v>3565104</v>
      </c>
      <c r="C1353" s="9"/>
      <c r="D1353" t="str">
        <f>"F17C11.13"</f>
        <v>F17C11.13</v>
      </c>
      <c r="F1353" t="s">
        <v>11</v>
      </c>
      <c r="G1353" t="s">
        <v>25</v>
      </c>
      <c r="H1353" s="12">
        <v>-2.5800473883502399</v>
      </c>
      <c r="I1353" s="11">
        <v>-1.48384353733763</v>
      </c>
      <c r="J1353" s="10">
        <v>0.13785043390288701</v>
      </c>
      <c r="K1353" s="29">
        <v>0.82906592033916404</v>
      </c>
    </row>
    <row r="1354" spans="1:11" x14ac:dyDescent="0.35">
      <c r="A1354" s="9" t="str">
        <f>HYPERLINK("http://www.ensembl.org/id/WBGene00007459", "WBGene00007459")</f>
        <v>WBGene00007459</v>
      </c>
      <c r="B1354" s="9" t="str">
        <f>HYPERLINK("http://www.ncbi.nlm.nih.gov/gene/178333", "178333")</f>
        <v>178333</v>
      </c>
      <c r="C1354" s="9"/>
      <c r="D1354" t="str">
        <f>"C08F11.12"</f>
        <v>C08F11.12</v>
      </c>
      <c r="E1354" t="s">
        <v>10075</v>
      </c>
      <c r="F1354" t="s">
        <v>11</v>
      </c>
      <c r="G1354" t="s">
        <v>27</v>
      </c>
      <c r="H1354" s="12">
        <v>-2.57823291845795</v>
      </c>
      <c r="I1354" s="11">
        <v>-0.794616038007804</v>
      </c>
      <c r="J1354" s="10">
        <v>0.42683688616431498</v>
      </c>
      <c r="K1354" s="29">
        <v>0.98289565623980701</v>
      </c>
    </row>
    <row r="1355" spans="1:11" x14ac:dyDescent="0.35">
      <c r="A1355" s="9" t="str">
        <f>HYPERLINK("http://www.ensembl.org/id/WBGene00020087", "WBGene00020087")</f>
        <v>WBGene00020087</v>
      </c>
      <c r="B1355" s="9"/>
      <c r="C1355" s="9"/>
      <c r="D1355" t="str">
        <f>"R119.1"</f>
        <v>R119.1</v>
      </c>
      <c r="F1355" t="s">
        <v>80</v>
      </c>
      <c r="H1355" s="12">
        <v>-2.5776008805237902</v>
      </c>
      <c r="I1355" s="11">
        <v>-2.8490333758250901</v>
      </c>
      <c r="J1355" s="10">
        <v>4.3852279911483702E-3</v>
      </c>
      <c r="K1355" s="29">
        <v>0.111346239520301</v>
      </c>
    </row>
    <row r="1356" spans="1:11" x14ac:dyDescent="0.35">
      <c r="A1356" s="9" t="str">
        <f>HYPERLINK("http://www.ensembl.org/id/WBGene00000212", "WBGene00000212")</f>
        <v>WBGene00000212</v>
      </c>
      <c r="B1356" s="9" t="str">
        <f>HYPERLINK("http://www.ncbi.nlm.nih.gov/gene/181323", "181323")</f>
        <v>181323</v>
      </c>
      <c r="C1356" s="9" t="str">
        <f>HYPERLINK("http://www.ncbi.nlm.nih.gov/gene/6609", "6609")</f>
        <v>6609</v>
      </c>
      <c r="D1356" t="str">
        <f>"asm-2"</f>
        <v>asm-2</v>
      </c>
      <c r="E1356" t="s">
        <v>640</v>
      </c>
      <c r="F1356" t="s">
        <v>11</v>
      </c>
      <c r="G1356" t="s">
        <v>641</v>
      </c>
      <c r="H1356" s="12">
        <v>-2.57675868008468</v>
      </c>
      <c r="I1356" s="11">
        <v>-3.0607413247729101</v>
      </c>
      <c r="J1356" s="10">
        <v>2.2078975362398302E-3</v>
      </c>
      <c r="K1356" s="29">
        <v>6.9487651980712703E-2</v>
      </c>
    </row>
    <row r="1357" spans="1:11" x14ac:dyDescent="0.35">
      <c r="A1357" s="9" t="str">
        <f>HYPERLINK("http://www.ensembl.org/id/WBGene00010712", "WBGene00010712")</f>
        <v>WBGene00010712</v>
      </c>
      <c r="B1357" s="9" t="str">
        <f>HYPERLINK("http://www.ncbi.nlm.nih.gov/gene/178307", "178307")</f>
        <v>178307</v>
      </c>
      <c r="C1357" s="9"/>
      <c r="D1357" t="str">
        <f>"K09B11.5"</f>
        <v>K09B11.5</v>
      </c>
      <c r="E1357" t="s">
        <v>2588</v>
      </c>
      <c r="F1357" t="s">
        <v>11</v>
      </c>
      <c r="G1357" t="s">
        <v>2589</v>
      </c>
      <c r="H1357" s="12">
        <v>-2.57623487758688</v>
      </c>
      <c r="I1357" s="11">
        <v>-0.64130962163522698</v>
      </c>
      <c r="J1357" s="10">
        <v>0.52132153919258195</v>
      </c>
      <c r="K1357" s="29">
        <v>0.98289565623980701</v>
      </c>
    </row>
    <row r="1358" spans="1:11" x14ac:dyDescent="0.35">
      <c r="A1358" s="9" t="str">
        <f>HYPERLINK("http://www.ensembl.org/id/WBGene00013419", "WBGene00013419")</f>
        <v>WBGene00013419</v>
      </c>
      <c r="B1358" s="9" t="str">
        <f>HYPERLINK("http://www.ncbi.nlm.nih.gov/gene/190478", "190478")</f>
        <v>190478</v>
      </c>
      <c r="C1358" s="9"/>
      <c r="D1358" t="str">
        <f>"Y65A5A.2"</f>
        <v>Y65A5A.2</v>
      </c>
      <c r="F1358" t="s">
        <v>11</v>
      </c>
      <c r="G1358" t="s">
        <v>25</v>
      </c>
      <c r="H1358" s="12">
        <v>-2.5743275322724899</v>
      </c>
      <c r="I1358" s="11">
        <v>-4.0530965341271301</v>
      </c>
      <c r="J1358" s="10">
        <v>5.0544133520245901E-5</v>
      </c>
      <c r="K1358" s="29">
        <v>3.84386120058843E-3</v>
      </c>
    </row>
    <row r="1359" spans="1:11" x14ac:dyDescent="0.35">
      <c r="A1359" s="9" t="str">
        <f>HYPERLINK("http://www.ensembl.org/id/WBGene00015696", "WBGene00015696")</f>
        <v>WBGene00015696</v>
      </c>
      <c r="B1359" s="9" t="str">
        <f>HYPERLINK("http://www.ncbi.nlm.nih.gov/gene/3565564", "3565564")</f>
        <v>3565564</v>
      </c>
      <c r="C1359" s="9"/>
      <c r="D1359" t="str">
        <f>"C10H11.7"</f>
        <v>C10H11.7</v>
      </c>
      <c r="E1359" t="s">
        <v>899</v>
      </c>
      <c r="F1359" t="s">
        <v>11</v>
      </c>
      <c r="G1359" t="s">
        <v>3403</v>
      </c>
      <c r="H1359" s="12">
        <v>-2.5743141496578499</v>
      </c>
      <c r="I1359" s="11">
        <v>-0.94213721411920104</v>
      </c>
      <c r="J1359" s="10">
        <v>0.34612239382135801</v>
      </c>
      <c r="K1359" s="29">
        <v>0.98289565623980701</v>
      </c>
    </row>
    <row r="1360" spans="1:11" x14ac:dyDescent="0.35">
      <c r="A1360" s="9" t="str">
        <f>HYPERLINK("http://www.ensembl.org/id/WBGene00004986", "WBGene00004986")</f>
        <v>WBGene00004986</v>
      </c>
      <c r="B1360" s="9" t="str">
        <f>HYPERLINK("http://www.ncbi.nlm.nih.gov/gene/176452", "176452")</f>
        <v>176452</v>
      </c>
      <c r="C1360" s="9"/>
      <c r="D1360" t="str">
        <f>"spp-1"</f>
        <v>spp-1</v>
      </c>
      <c r="E1360" t="s">
        <v>62</v>
      </c>
      <c r="F1360" t="s">
        <v>11</v>
      </c>
      <c r="G1360" t="s">
        <v>190</v>
      </c>
      <c r="H1360" s="12">
        <v>-2.5735707397080101</v>
      </c>
      <c r="I1360" s="11">
        <v>-4.7208568640818802</v>
      </c>
      <c r="J1360" s="10">
        <v>2.3485317023911002E-6</v>
      </c>
      <c r="K1360" s="29">
        <v>3.0486052536768897E-4</v>
      </c>
    </row>
    <row r="1361" spans="1:11" x14ac:dyDescent="0.35">
      <c r="A1361" s="9" t="str">
        <f>HYPERLINK("http://www.ensembl.org/id/WBGene00002136", "WBGene00002136")</f>
        <v>WBGene00002136</v>
      </c>
      <c r="B1361" s="9" t="str">
        <f>HYPERLINK("http://www.ncbi.nlm.nih.gov/gene/172488", "172488")</f>
        <v>172488</v>
      </c>
      <c r="C1361" s="9"/>
      <c r="D1361" t="str">
        <f>"inx-14"</f>
        <v>inx-14</v>
      </c>
      <c r="E1361" t="s">
        <v>207</v>
      </c>
      <c r="F1361" t="s">
        <v>11</v>
      </c>
      <c r="H1361" s="12">
        <v>-2.5703748013027199</v>
      </c>
      <c r="I1361" s="11">
        <v>-4.5455583176166403</v>
      </c>
      <c r="J1361" s="10">
        <v>5.4789823946943E-6</v>
      </c>
      <c r="K1361" s="29">
        <v>6.3938064248387095E-4</v>
      </c>
    </row>
    <row r="1362" spans="1:11" x14ac:dyDescent="0.35">
      <c r="A1362" s="9" t="str">
        <f>HYPERLINK("http://www.ensembl.org/id/WBGene00021832", "WBGene00021832")</f>
        <v>WBGene00021832</v>
      </c>
      <c r="B1362" s="9" t="str">
        <f>HYPERLINK("http://www.ncbi.nlm.nih.gov/gene/171894", "171894")</f>
        <v>171894</v>
      </c>
      <c r="C1362" s="9"/>
      <c r="D1362" t="str">
        <f>"Y54E10A.12"</f>
        <v>Y54E10A.12</v>
      </c>
      <c r="F1362" t="s">
        <v>11</v>
      </c>
      <c r="H1362" s="12">
        <v>-2.5691141648467601</v>
      </c>
      <c r="I1362" s="11">
        <v>-3.71640883731442</v>
      </c>
      <c r="J1362" s="10">
        <v>2.0207450498226399E-4</v>
      </c>
      <c r="K1362" s="29">
        <v>1.1500328847586699E-2</v>
      </c>
    </row>
    <row r="1363" spans="1:11" x14ac:dyDescent="0.35">
      <c r="A1363" s="9" t="str">
        <f>HYPERLINK("http://www.ensembl.org/id/WBGene00004984", "WBGene00004984")</f>
        <v>WBGene00004984</v>
      </c>
      <c r="B1363" s="9" t="str">
        <f>HYPERLINK("http://www.ncbi.nlm.nih.gov/gene/179070", "179070")</f>
        <v>179070</v>
      </c>
      <c r="C1363" s="9"/>
      <c r="D1363" t="str">
        <f>"spn-4"</f>
        <v>spn-4</v>
      </c>
      <c r="E1363" t="s">
        <v>125</v>
      </c>
      <c r="F1363" t="s">
        <v>11</v>
      </c>
      <c r="G1363" t="s">
        <v>126</v>
      </c>
      <c r="H1363" s="12">
        <v>-2.5684040960158798</v>
      </c>
      <c r="I1363" s="11">
        <v>-5.1789470249886804</v>
      </c>
      <c r="J1363" s="10">
        <v>2.2314181848855399E-7</v>
      </c>
      <c r="K1363" s="29">
        <v>4.8407463032854903E-5</v>
      </c>
    </row>
    <row r="1364" spans="1:11" x14ac:dyDescent="0.35">
      <c r="A1364" s="9" t="str">
        <f>HYPERLINK("http://www.ensembl.org/id/WBGene00008170", "WBGene00008170")</f>
        <v>WBGene00008170</v>
      </c>
      <c r="B1364" s="9" t="str">
        <f>HYPERLINK("http://www.ncbi.nlm.nih.gov/gene/176350", "176350")</f>
        <v>176350</v>
      </c>
      <c r="C1364" s="9"/>
      <c r="D1364" t="str">
        <f>"C48B4.7"</f>
        <v>C48B4.7</v>
      </c>
      <c r="F1364" t="s">
        <v>11</v>
      </c>
      <c r="H1364" s="12">
        <v>-2.56567822421979</v>
      </c>
      <c r="I1364" s="11">
        <v>-3.3038162888213001</v>
      </c>
      <c r="J1364" s="10">
        <v>9.5378311783255495E-4</v>
      </c>
      <c r="K1364" s="29">
        <v>3.7627203547399402E-2</v>
      </c>
    </row>
    <row r="1365" spans="1:11" x14ac:dyDescent="0.35">
      <c r="A1365" s="9" t="str">
        <f>HYPERLINK("http://www.ensembl.org/id/WBGene00006554", "WBGene00006554")</f>
        <v>WBGene00006554</v>
      </c>
      <c r="B1365" s="9" t="str">
        <f>HYPERLINK("http://www.ncbi.nlm.nih.gov/gene/191239", "191239")</f>
        <v>191239</v>
      </c>
      <c r="C1365" s="9"/>
      <c r="D1365" t="str">
        <f>"tbx-35"</f>
        <v>tbx-35</v>
      </c>
      <c r="E1365" t="s">
        <v>10073</v>
      </c>
      <c r="F1365" t="s">
        <v>11</v>
      </c>
      <c r="G1365" t="s">
        <v>10074</v>
      </c>
      <c r="H1365" s="12">
        <v>-2.5649126363055399</v>
      </c>
      <c r="I1365" s="11">
        <v>-0.60955634240362</v>
      </c>
      <c r="J1365" s="10">
        <v>0.54215573914589299</v>
      </c>
      <c r="K1365" s="29">
        <v>0.98289565623980701</v>
      </c>
    </row>
    <row r="1366" spans="1:11" x14ac:dyDescent="0.35">
      <c r="A1366" s="9" t="str">
        <f>HYPERLINK("http://www.ensembl.org/id/WBGene00009186", "WBGene00009186")</f>
        <v>WBGene00009186</v>
      </c>
      <c r="B1366" s="9" t="str">
        <f>HYPERLINK("http://www.ncbi.nlm.nih.gov/gene/177791", "177791")</f>
        <v>177791</v>
      </c>
      <c r="C1366" s="9" t="str">
        <f>HYPERLINK("http://www.ncbi.nlm.nih.gov/gene/57552", "57552")</f>
        <v>57552</v>
      </c>
      <c r="D1366" t="str">
        <f>"trcs-1"</f>
        <v>trcs-1</v>
      </c>
      <c r="E1366" t="s">
        <v>145</v>
      </c>
      <c r="F1366" t="s">
        <v>11</v>
      </c>
      <c r="G1366" t="s">
        <v>146</v>
      </c>
      <c r="H1366" s="12">
        <v>-2.5645477579913498</v>
      </c>
      <c r="I1366" s="11">
        <v>-5.0569835486086498</v>
      </c>
      <c r="J1366" s="10">
        <v>4.25939966768777E-7</v>
      </c>
      <c r="K1366" s="29">
        <v>8.2014740601328099E-5</v>
      </c>
    </row>
    <row r="1367" spans="1:11" x14ac:dyDescent="0.35">
      <c r="A1367" s="9" t="str">
        <f>HYPERLINK("http://www.ensembl.org/id/WBGene00011716", "WBGene00011716")</f>
        <v>WBGene00011716</v>
      </c>
      <c r="B1367" s="9"/>
      <c r="C1367" s="9"/>
      <c r="D1367" t="str">
        <f>"T11F9.19"</f>
        <v>T11F9.19</v>
      </c>
      <c r="F1367" t="s">
        <v>80</v>
      </c>
      <c r="H1367" s="12">
        <v>-2.5601838311597902</v>
      </c>
      <c r="I1367" s="11">
        <v>-0.41699799698634099</v>
      </c>
      <c r="J1367" s="10">
        <v>0.67667987280586395</v>
      </c>
      <c r="K1367" s="29">
        <v>0.98289565623980701</v>
      </c>
    </row>
    <row r="1368" spans="1:11" x14ac:dyDescent="0.35">
      <c r="A1368" s="9" t="str">
        <f>HYPERLINK("http://www.ensembl.org/id/WBGene00019254", "WBGene00019254")</f>
        <v>WBGene00019254</v>
      </c>
      <c r="B1368" s="9" t="str">
        <f>HYPERLINK("http://www.ncbi.nlm.nih.gov/gene/186795", "186795")</f>
        <v>186795</v>
      </c>
      <c r="C1368" s="9"/>
      <c r="D1368" t="str">
        <f>"H31G24.3"</f>
        <v>H31G24.3</v>
      </c>
      <c r="F1368" t="s">
        <v>11</v>
      </c>
      <c r="G1368" t="s">
        <v>54</v>
      </c>
      <c r="H1368" s="12">
        <v>-2.5597646404055499</v>
      </c>
      <c r="I1368" s="11">
        <v>-2.8299386831850302</v>
      </c>
      <c r="J1368" s="10">
        <v>4.6556925817718697E-3</v>
      </c>
      <c r="K1368" s="29">
        <v>0.115299499243752</v>
      </c>
    </row>
    <row r="1369" spans="1:11" x14ac:dyDescent="0.35">
      <c r="A1369" s="9" t="str">
        <f>HYPERLINK("http://www.ensembl.org/id/WBGene00004244", "WBGene00004244")</f>
        <v>WBGene00004244</v>
      </c>
      <c r="B1369" s="9" t="str">
        <f>HYPERLINK("http://www.ncbi.nlm.nih.gov/gene/174197", "174197")</f>
        <v>174197</v>
      </c>
      <c r="C1369" s="9"/>
      <c r="D1369" t="str">
        <f>"puf-8"</f>
        <v>puf-8</v>
      </c>
      <c r="E1369" t="s">
        <v>48</v>
      </c>
      <c r="F1369" t="s">
        <v>11</v>
      </c>
      <c r="G1369" t="s">
        <v>265</v>
      </c>
      <c r="H1369" s="12">
        <v>-2.5592544032362001</v>
      </c>
      <c r="I1369" s="11">
        <v>-4.2408693219653797</v>
      </c>
      <c r="J1369" s="10">
        <v>2.2265574578645301E-5</v>
      </c>
      <c r="K1369" s="29">
        <v>1.9711431655715598E-3</v>
      </c>
    </row>
    <row r="1370" spans="1:11" x14ac:dyDescent="0.35">
      <c r="A1370" s="9" t="str">
        <f>HYPERLINK("http://www.ensembl.org/id/WBGene00004333", "WBGene00004333")</f>
        <v>WBGene00004333</v>
      </c>
      <c r="B1370" s="9" t="str">
        <f>HYPERLINK("http://www.ncbi.nlm.nih.gov/gene/178295", "178295")</f>
        <v>178295</v>
      </c>
      <c r="C1370" s="9"/>
      <c r="D1370" t="str">
        <f>"rec-8"</f>
        <v>rec-8</v>
      </c>
      <c r="E1370" t="s">
        <v>262</v>
      </c>
      <c r="F1370" t="s">
        <v>11</v>
      </c>
      <c r="G1370" t="s">
        <v>263</v>
      </c>
      <c r="H1370" s="12">
        <v>-2.5588527329573298</v>
      </c>
      <c r="I1370" s="11">
        <v>-4.2490034184250396</v>
      </c>
      <c r="J1370" s="10">
        <v>2.1472364266697901E-5</v>
      </c>
      <c r="K1370" s="29">
        <v>1.9156001882097401E-3</v>
      </c>
    </row>
    <row r="1371" spans="1:11" x14ac:dyDescent="0.35">
      <c r="A1371" s="9" t="str">
        <f>HYPERLINK("http://www.ensembl.org/id/WBGene00011610", "WBGene00011610")</f>
        <v>WBGene00011610</v>
      </c>
      <c r="B1371" s="9" t="str">
        <f>HYPERLINK("http://www.ncbi.nlm.nih.gov/gene/188283", "188283")</f>
        <v>188283</v>
      </c>
      <c r="C1371" s="9"/>
      <c r="D1371" t="str">
        <f>"T08D2.5"</f>
        <v>T08D2.5</v>
      </c>
      <c r="F1371" t="s">
        <v>11</v>
      </c>
      <c r="H1371" s="12">
        <v>-2.5587056943184101</v>
      </c>
      <c r="I1371" s="11">
        <v>-0.72297005913867896</v>
      </c>
      <c r="J1371" s="10">
        <v>0.46969827920670298</v>
      </c>
      <c r="K1371" s="29">
        <v>0.98289565623980701</v>
      </c>
    </row>
    <row r="1372" spans="1:11" x14ac:dyDescent="0.35">
      <c r="A1372" s="9" t="str">
        <f>HYPERLINK("http://www.ensembl.org/id/WBGene00202514", "WBGene00202514")</f>
        <v>WBGene00202514</v>
      </c>
      <c r="B1372" s="9" t="str">
        <f>HYPERLINK("http://www.ncbi.nlm.nih.gov/gene/13216825", "13216825")</f>
        <v>13216825</v>
      </c>
      <c r="C1372" s="9"/>
      <c r="D1372" t="str">
        <f>"T09F5.20"</f>
        <v>T09F5.20</v>
      </c>
      <c r="F1372" t="s">
        <v>11</v>
      </c>
      <c r="G1372" t="s">
        <v>25</v>
      </c>
      <c r="H1372" s="12">
        <v>-2.55830528715558</v>
      </c>
      <c r="I1372" s="11">
        <v>-0.52845431371324703</v>
      </c>
      <c r="J1372" s="10">
        <v>0.59718404853562101</v>
      </c>
      <c r="K1372" s="29">
        <v>0.98289565623980701</v>
      </c>
    </row>
    <row r="1373" spans="1:11" x14ac:dyDescent="0.35">
      <c r="A1373" s="9" t="str">
        <f>HYPERLINK("http://www.ensembl.org/id/WBGene00007644", "WBGene00007644")</f>
        <v>WBGene00007644</v>
      </c>
      <c r="B1373" s="9" t="str">
        <f>HYPERLINK("http://www.ncbi.nlm.nih.gov/gene/182725", "182725")</f>
        <v>182725</v>
      </c>
      <c r="C1373" s="9"/>
      <c r="D1373" t="str">
        <f>"C17E4.4"</f>
        <v>C17E4.4</v>
      </c>
      <c r="F1373" t="s">
        <v>11</v>
      </c>
      <c r="G1373" t="s">
        <v>25</v>
      </c>
      <c r="H1373" s="12">
        <v>-2.5549106002570401</v>
      </c>
      <c r="I1373" s="11">
        <v>-2.0020510479348799</v>
      </c>
      <c r="J1373" s="10">
        <v>4.5279241568067598E-2</v>
      </c>
      <c r="K1373" s="29">
        <v>0.493967023452205</v>
      </c>
    </row>
    <row r="1374" spans="1:11" x14ac:dyDescent="0.35">
      <c r="A1374" s="9" t="str">
        <f>HYPERLINK("http://www.ensembl.org/id/WBGene00014163", "WBGene00014163")</f>
        <v>WBGene00014163</v>
      </c>
      <c r="B1374" s="9" t="str">
        <f>HYPERLINK("http://www.ncbi.nlm.nih.gov/gene/191471", "191471")</f>
        <v>191471</v>
      </c>
      <c r="C1374" s="9"/>
      <c r="D1374" t="str">
        <f>"rnh-1.2"</f>
        <v>rnh-1.2</v>
      </c>
      <c r="E1374" t="s">
        <v>436</v>
      </c>
      <c r="F1374" t="s">
        <v>11</v>
      </c>
      <c r="G1374" t="s">
        <v>437</v>
      </c>
      <c r="H1374" s="12">
        <v>-2.5543866607729</v>
      </c>
      <c r="I1374" s="11">
        <v>-3.5686933029548</v>
      </c>
      <c r="J1374" s="10">
        <v>3.5876610500750801E-4</v>
      </c>
      <c r="K1374" s="29">
        <v>1.8029183449309899E-2</v>
      </c>
    </row>
    <row r="1375" spans="1:11" x14ac:dyDescent="0.35">
      <c r="A1375" s="9" t="str">
        <f>HYPERLINK("http://www.ensembl.org/id/WBGene00000935", "WBGene00000935")</f>
        <v>WBGene00000935</v>
      </c>
      <c r="B1375" s="9" t="str">
        <f>HYPERLINK("http://www.ncbi.nlm.nih.gov/gene/173931", "173931")</f>
        <v>173931</v>
      </c>
      <c r="C1375" s="9"/>
      <c r="D1375" t="str">
        <f>"daz-1"</f>
        <v>daz-1</v>
      </c>
      <c r="E1375" t="s">
        <v>194</v>
      </c>
      <c r="F1375" t="s">
        <v>11</v>
      </c>
      <c r="G1375" t="s">
        <v>195</v>
      </c>
      <c r="H1375" s="12">
        <v>-2.5541885001526698</v>
      </c>
      <c r="I1375" s="11">
        <v>-4.6230056283660197</v>
      </c>
      <c r="J1375" s="10">
        <v>3.78219456429257E-6</v>
      </c>
      <c r="K1375" s="29">
        <v>4.7495319349208701E-4</v>
      </c>
    </row>
    <row r="1376" spans="1:11" x14ac:dyDescent="0.35">
      <c r="A1376" s="9" t="str">
        <f>HYPERLINK("http://www.ensembl.org/id/WBGene00022895", "WBGene00022895")</f>
        <v>WBGene00022895</v>
      </c>
      <c r="B1376" s="9"/>
      <c r="C1376" s="9"/>
      <c r="D1376" t="str">
        <f>"B0213.18"</f>
        <v>B0213.18</v>
      </c>
      <c r="F1376" t="s">
        <v>2977</v>
      </c>
      <c r="H1376" s="12">
        <v>-2.55408378987496</v>
      </c>
      <c r="I1376" s="11">
        <v>-0.43914520955159098</v>
      </c>
      <c r="J1376" s="10">
        <v>0.66055632256137398</v>
      </c>
      <c r="K1376" s="29">
        <v>0.98289565623980701</v>
      </c>
    </row>
    <row r="1377" spans="1:11" x14ac:dyDescent="0.35">
      <c r="A1377" s="9" t="str">
        <f>HYPERLINK("http://www.ensembl.org/id/WBGene00199174", "WBGene00199174")</f>
        <v>WBGene00199174</v>
      </c>
      <c r="B1377" s="9"/>
      <c r="C1377" s="9"/>
      <c r="D1377" t="str">
        <f>"F13H8.14"</f>
        <v>F13H8.14</v>
      </c>
      <c r="F1377" t="s">
        <v>481</v>
      </c>
      <c r="H1377" s="12">
        <v>-2.55408378987496</v>
      </c>
      <c r="I1377" s="11">
        <v>-0.43914520955159098</v>
      </c>
      <c r="J1377" s="10">
        <v>0.66055632256137398</v>
      </c>
      <c r="K1377" s="29">
        <v>0.98289565623980701</v>
      </c>
    </row>
    <row r="1378" spans="1:11" x14ac:dyDescent="0.35">
      <c r="A1378" s="9" t="str">
        <f>HYPERLINK("http://www.ensembl.org/id/WBGene00014857", "WBGene00014857")</f>
        <v>WBGene00014857</v>
      </c>
      <c r="B1378" s="9"/>
      <c r="C1378" s="9"/>
      <c r="D1378" t="str">
        <f>"W08D2.9"</f>
        <v>W08D2.9</v>
      </c>
      <c r="F1378" t="s">
        <v>80</v>
      </c>
      <c r="H1378" s="12">
        <v>-2.55408378987496</v>
      </c>
      <c r="I1378" s="11">
        <v>-0.43914520955159098</v>
      </c>
      <c r="J1378" s="10">
        <v>0.66055632256137398</v>
      </c>
      <c r="K1378" s="29">
        <v>0.98289565623980701</v>
      </c>
    </row>
    <row r="1379" spans="1:11" x14ac:dyDescent="0.35">
      <c r="A1379" s="9" t="str">
        <f>HYPERLINK("http://www.ensembl.org/id/WBGene00023432", "WBGene00023432")</f>
        <v>WBGene00023432</v>
      </c>
      <c r="B1379" s="9" t="str">
        <f>HYPERLINK("http://www.ncbi.nlm.nih.gov/gene/259624", "259624")</f>
        <v>259624</v>
      </c>
      <c r="C1379" s="9"/>
      <c r="D1379" t="str">
        <f>"K12B6.9"</f>
        <v>K12B6.9</v>
      </c>
      <c r="F1379" t="s">
        <v>11</v>
      </c>
      <c r="H1379" s="12">
        <v>-2.55261540938</v>
      </c>
      <c r="I1379" s="11">
        <v>-3.4295096071622999</v>
      </c>
      <c r="J1379" s="10">
        <v>6.0467302609101305E-4</v>
      </c>
      <c r="K1379" s="29">
        <v>2.64613161758692E-2</v>
      </c>
    </row>
    <row r="1380" spans="1:11" x14ac:dyDescent="0.35">
      <c r="A1380" s="9" t="str">
        <f>HYPERLINK("http://www.ensembl.org/id/WBGene00003468", "WBGene00003468")</f>
        <v>WBGene00003468</v>
      </c>
      <c r="B1380" s="9" t="str">
        <f>HYPERLINK("http://www.ncbi.nlm.nih.gov/gene/259801", "259801")</f>
        <v>259801</v>
      </c>
      <c r="C1380" s="9"/>
      <c r="D1380" t="str">
        <f>"msp-113"</f>
        <v>msp-113</v>
      </c>
      <c r="E1380" t="s">
        <v>3447</v>
      </c>
      <c r="F1380" t="s">
        <v>11</v>
      </c>
      <c r="H1380" s="12">
        <v>-2.5516199772643602</v>
      </c>
      <c r="I1380" s="11">
        <v>-1.0624408369740901</v>
      </c>
      <c r="J1380" s="10">
        <v>0.28803560311542697</v>
      </c>
      <c r="K1380" s="29">
        <v>0.98289565623980701</v>
      </c>
    </row>
    <row r="1381" spans="1:11" x14ac:dyDescent="0.35">
      <c r="A1381" s="9" t="str">
        <f>HYPERLINK("http://www.ensembl.org/id/WBGene00235303", "WBGene00235303")</f>
        <v>WBGene00235303</v>
      </c>
      <c r="B1381" s="9" t="str">
        <f>HYPERLINK("http://www.ncbi.nlm.nih.gov/gene/24104894", "24104894")</f>
        <v>24104894</v>
      </c>
      <c r="C1381" s="9"/>
      <c r="D1381" t="str">
        <f>"T13A10.64"</f>
        <v>T13A10.64</v>
      </c>
      <c r="F1381" t="s">
        <v>11</v>
      </c>
      <c r="H1381" s="12">
        <v>-2.5486617914301801</v>
      </c>
      <c r="I1381" s="11">
        <v>-0.42734951011025801</v>
      </c>
      <c r="J1381" s="10">
        <v>0.66912477649314395</v>
      </c>
      <c r="K1381" s="29">
        <v>0.98289565623980701</v>
      </c>
    </row>
    <row r="1382" spans="1:11" x14ac:dyDescent="0.35">
      <c r="A1382" s="9" t="str">
        <f>HYPERLINK("http://www.ensembl.org/id/WBGene00004973", "WBGene00004973")</f>
        <v>WBGene00004973</v>
      </c>
      <c r="B1382" s="9" t="str">
        <f>HYPERLINK("http://www.ncbi.nlm.nih.gov/gene/177357", "177357")</f>
        <v>177357</v>
      </c>
      <c r="C1382" s="9"/>
      <c r="D1382" t="str">
        <f>"spe-27"</f>
        <v>spe-27</v>
      </c>
      <c r="E1382" t="s">
        <v>10071</v>
      </c>
      <c r="F1382" t="s">
        <v>11</v>
      </c>
      <c r="G1382" t="s">
        <v>10072</v>
      </c>
      <c r="H1382" s="12">
        <v>-2.5472986004175202</v>
      </c>
      <c r="I1382" s="11">
        <v>-0.52470243422899898</v>
      </c>
      <c r="J1382" s="10">
        <v>0.59979006485710196</v>
      </c>
      <c r="K1382" s="29">
        <v>0.98289565623980701</v>
      </c>
    </row>
    <row r="1383" spans="1:11" x14ac:dyDescent="0.35">
      <c r="A1383" s="9" t="str">
        <f>HYPERLINK("http://www.ensembl.org/id/WBGene00013791", "WBGene00013791")</f>
        <v>WBGene00013791</v>
      </c>
      <c r="B1383" s="9" t="str">
        <f>HYPERLINK("http://www.ncbi.nlm.nih.gov/gene/190998", "190998")</f>
        <v>190998</v>
      </c>
      <c r="C1383" s="9"/>
      <c r="D1383" t="str">
        <f>"Y116A8C.11"</f>
        <v>Y116A8C.11</v>
      </c>
      <c r="F1383" t="s">
        <v>11</v>
      </c>
      <c r="H1383" s="12">
        <v>-2.5472986004175202</v>
      </c>
      <c r="I1383" s="11">
        <v>-0.52470243422899898</v>
      </c>
      <c r="J1383" s="10">
        <v>0.59979006485710196</v>
      </c>
      <c r="K1383" s="29">
        <v>0.98289565623980701</v>
      </c>
    </row>
    <row r="1384" spans="1:11" x14ac:dyDescent="0.35">
      <c r="A1384" s="9" t="str">
        <f>HYPERLINK("http://www.ensembl.org/id/WBGene00020384", "WBGene00020384")</f>
        <v>WBGene00020384</v>
      </c>
      <c r="B1384" s="9" t="str">
        <f>HYPERLINK("http://www.ncbi.nlm.nih.gov/gene/188324", "188324")</f>
        <v>188324</v>
      </c>
      <c r="C1384" s="9"/>
      <c r="D1384" t="str">
        <f>"T09D3.3"</f>
        <v>T09D3.3</v>
      </c>
      <c r="F1384" t="s">
        <v>11</v>
      </c>
      <c r="H1384" s="12">
        <v>-2.5444610805732899</v>
      </c>
      <c r="I1384" s="11">
        <v>-0.97649704640391999</v>
      </c>
      <c r="J1384" s="10">
        <v>0.32881821084502899</v>
      </c>
      <c r="K1384" s="29">
        <v>0.98289565623980701</v>
      </c>
    </row>
    <row r="1385" spans="1:11" x14ac:dyDescent="0.35">
      <c r="A1385" s="9" t="str">
        <f>HYPERLINK("http://www.ensembl.org/id/WBGene00000781", "WBGene00000781")</f>
        <v>WBGene00000781</v>
      </c>
      <c r="B1385" s="9" t="str">
        <f>HYPERLINK("http://www.ncbi.nlm.nih.gov/gene/179637", "179637")</f>
        <v>179637</v>
      </c>
      <c r="C1385" s="9"/>
      <c r="D1385" t="str">
        <f>"cpr-1"</f>
        <v>cpr-1</v>
      </c>
      <c r="E1385" t="s">
        <v>186</v>
      </c>
      <c r="F1385" t="s">
        <v>11</v>
      </c>
      <c r="G1385" t="s">
        <v>187</v>
      </c>
      <c r="H1385" s="12">
        <v>-2.5425647454781499</v>
      </c>
      <c r="I1385" s="11">
        <v>-4.7380733465282798</v>
      </c>
      <c r="J1385" s="10">
        <v>2.1575972472662002E-6</v>
      </c>
      <c r="K1385" s="29">
        <v>2.8487681140190198E-4</v>
      </c>
    </row>
    <row r="1386" spans="1:11" x14ac:dyDescent="0.35">
      <c r="A1386" s="9" t="str">
        <f>HYPERLINK("http://www.ensembl.org/id/WBGene00003230", "WBGene00003230")</f>
        <v>WBGene00003230</v>
      </c>
      <c r="B1386" s="9" t="str">
        <f>HYPERLINK("http://www.ncbi.nlm.nih.gov/gene/178296", "178296")</f>
        <v>178296</v>
      </c>
      <c r="C1386" s="9"/>
      <c r="D1386" t="str">
        <f>"mex-5"</f>
        <v>mex-5</v>
      </c>
      <c r="E1386" t="s">
        <v>144</v>
      </c>
      <c r="F1386" t="s">
        <v>11</v>
      </c>
      <c r="G1386" t="s">
        <v>51</v>
      </c>
      <c r="H1386" s="12">
        <v>-2.5418234017035202</v>
      </c>
      <c r="I1386" s="11">
        <v>-5.0683856264838099</v>
      </c>
      <c r="J1386" s="10">
        <v>4.01203943398315E-7</v>
      </c>
      <c r="K1386" s="29">
        <v>7.79009942534578E-5</v>
      </c>
    </row>
    <row r="1387" spans="1:11" x14ac:dyDescent="0.35">
      <c r="A1387" s="9" t="str">
        <f>HYPERLINK("http://www.ensembl.org/id/WBGene00014029", "WBGene00014029")</f>
        <v>WBGene00014029</v>
      </c>
      <c r="B1387" s="9" t="str">
        <f>HYPERLINK("http://www.ncbi.nlm.nih.gov/gene/176262", "176262")</f>
        <v>176262</v>
      </c>
      <c r="C1387" s="9"/>
      <c r="D1387" t="str">
        <f>"ZK637.12"</f>
        <v>ZK637.12</v>
      </c>
      <c r="F1387" t="s">
        <v>11</v>
      </c>
      <c r="H1387" s="12">
        <v>-2.5358015635957201</v>
      </c>
      <c r="I1387" s="11">
        <v>-1.04610006027324</v>
      </c>
      <c r="J1387" s="10">
        <v>0.29551483741394702</v>
      </c>
      <c r="K1387" s="29">
        <v>0.98289565623980701</v>
      </c>
    </row>
    <row r="1388" spans="1:11" x14ac:dyDescent="0.35">
      <c r="A1388" s="9" t="str">
        <f>HYPERLINK("http://www.ensembl.org/id/WBGene00009203", "WBGene00009203")</f>
        <v>WBGene00009203</v>
      </c>
      <c r="B1388" s="9" t="str">
        <f>HYPERLINK("http://www.ncbi.nlm.nih.gov/gene/185047", "185047")</f>
        <v>185047</v>
      </c>
      <c r="C1388" s="9"/>
      <c r="D1388" t="str">
        <f>"aptf-3"</f>
        <v>aptf-3</v>
      </c>
      <c r="E1388" t="s">
        <v>479</v>
      </c>
      <c r="F1388" t="s">
        <v>11</v>
      </c>
      <c r="G1388" t="s">
        <v>480</v>
      </c>
      <c r="H1388" s="12">
        <v>-2.5344163912035298</v>
      </c>
      <c r="I1388" s="11">
        <v>-3.4381753497072101</v>
      </c>
      <c r="J1388" s="10">
        <v>5.8564832442727999E-4</v>
      </c>
      <c r="K1388" s="29">
        <v>2.5726217080259999E-2</v>
      </c>
    </row>
    <row r="1389" spans="1:11" x14ac:dyDescent="0.35">
      <c r="A1389" s="9" t="str">
        <f>HYPERLINK("http://www.ensembl.org/id/WBGene00195816", "WBGene00195816")</f>
        <v>WBGene00195816</v>
      </c>
      <c r="B1389" s="9"/>
      <c r="C1389" s="9"/>
      <c r="D1389" t="str">
        <f>"C34B4.9"</f>
        <v>C34B4.9</v>
      </c>
      <c r="F1389" t="s">
        <v>481</v>
      </c>
      <c r="H1389" s="12">
        <v>-2.53407309060744</v>
      </c>
      <c r="I1389" s="11">
        <v>-0.94360679493310595</v>
      </c>
      <c r="J1389" s="10">
        <v>0.34537061864818402</v>
      </c>
      <c r="K1389" s="29">
        <v>0.98289565623980701</v>
      </c>
    </row>
    <row r="1390" spans="1:11" x14ac:dyDescent="0.35">
      <c r="A1390" s="9" t="str">
        <f>HYPERLINK("http://www.ensembl.org/id/WBGene00012572", "WBGene00012572")</f>
        <v>WBGene00012572</v>
      </c>
      <c r="B1390" s="9"/>
      <c r="C1390" s="9"/>
      <c r="D1390" t="str">
        <f>"Y37H2B.1"</f>
        <v>Y37H2B.1</v>
      </c>
      <c r="F1390" t="s">
        <v>80</v>
      </c>
      <c r="H1390" s="12">
        <v>-2.5338313716468899</v>
      </c>
      <c r="I1390" s="11">
        <v>-0.908709806005219</v>
      </c>
      <c r="J1390" s="10">
        <v>0.363503326638971</v>
      </c>
      <c r="K1390" s="29">
        <v>0.98289565623980701</v>
      </c>
    </row>
    <row r="1391" spans="1:11" x14ac:dyDescent="0.35">
      <c r="A1391" s="9" t="str">
        <f>HYPERLINK("http://www.ensembl.org/id/WBGene00198276", "WBGene00198276")</f>
        <v>WBGene00198276</v>
      </c>
      <c r="B1391" s="9"/>
      <c r="C1391" s="9"/>
      <c r="D1391" t="str">
        <f>"T19A5.8"</f>
        <v>T19A5.8</v>
      </c>
      <c r="F1391" t="s">
        <v>481</v>
      </c>
      <c r="H1391" s="12">
        <v>-2.5332306344991502</v>
      </c>
      <c r="I1391" s="11">
        <v>-0.59448739040519405</v>
      </c>
      <c r="J1391" s="10">
        <v>0.55218617362741396</v>
      </c>
      <c r="K1391" s="29">
        <v>0.98289565623980701</v>
      </c>
    </row>
    <row r="1392" spans="1:11" x14ac:dyDescent="0.35">
      <c r="A1392" s="9" t="str">
        <f>HYPERLINK("http://www.ensembl.org/id/WBGene00011192", "WBGene00011192")</f>
        <v>WBGene00011192</v>
      </c>
      <c r="B1392" s="9" t="str">
        <f>HYPERLINK("http://www.ncbi.nlm.nih.gov/gene/187767", "187767")</f>
        <v>187767</v>
      </c>
      <c r="C1392" s="9"/>
      <c r="D1392" t="str">
        <f>"srh-24"</f>
        <v>srh-24</v>
      </c>
      <c r="E1392" t="s">
        <v>153</v>
      </c>
      <c r="F1392" t="s">
        <v>11</v>
      </c>
      <c r="G1392" t="s">
        <v>25</v>
      </c>
      <c r="H1392" s="12">
        <v>-2.5327468799979802</v>
      </c>
      <c r="I1392" s="11">
        <v>-1.4769817064420201</v>
      </c>
      <c r="J1392" s="10">
        <v>0.13968054105855801</v>
      </c>
      <c r="K1392" s="29">
        <v>0.83119461954620599</v>
      </c>
    </row>
    <row r="1393" spans="1:11" x14ac:dyDescent="0.35">
      <c r="A1393" s="9" t="str">
        <f>HYPERLINK("http://www.ensembl.org/id/WBGene00015361", "WBGene00015361")</f>
        <v>WBGene00015361</v>
      </c>
      <c r="B1393" s="9" t="str">
        <f>HYPERLINK("http://www.ncbi.nlm.nih.gov/gene/182129", "182129")</f>
        <v>182129</v>
      </c>
      <c r="C1393" s="9"/>
      <c r="D1393" t="str">
        <f>"C02H6.1"</f>
        <v>C02H6.1</v>
      </c>
      <c r="E1393" t="s">
        <v>3820</v>
      </c>
      <c r="F1393" t="s">
        <v>11</v>
      </c>
      <c r="G1393" t="s">
        <v>3821</v>
      </c>
      <c r="H1393" s="12">
        <v>-2.5283654188968701</v>
      </c>
      <c r="I1393" s="11">
        <v>-0.80012429855461198</v>
      </c>
      <c r="J1393" s="10">
        <v>0.42363878426489499</v>
      </c>
      <c r="K1393" s="29">
        <v>0.98289565623980701</v>
      </c>
    </row>
    <row r="1394" spans="1:11" x14ac:dyDescent="0.35">
      <c r="A1394" s="9" t="str">
        <f>HYPERLINK("http://www.ensembl.org/id/WBGene00009999", "WBGene00009999")</f>
        <v>WBGene00009999</v>
      </c>
      <c r="B1394" s="9" t="str">
        <f>HYPERLINK("http://www.ncbi.nlm.nih.gov/gene/186180", "186180")</f>
        <v>186180</v>
      </c>
      <c r="C1394" s="9"/>
      <c r="D1394" t="str">
        <f>"srsx-35"</f>
        <v>srsx-35</v>
      </c>
      <c r="E1394" t="s">
        <v>1639</v>
      </c>
      <c r="F1394" t="s">
        <v>11</v>
      </c>
      <c r="G1394" t="s">
        <v>1089</v>
      </c>
      <c r="H1394" s="12">
        <v>-2.5270803988123798</v>
      </c>
      <c r="I1394" s="11">
        <v>-0.60865287797471301</v>
      </c>
      <c r="J1394" s="10">
        <v>0.54275454722930905</v>
      </c>
      <c r="K1394" s="29">
        <v>0.98289565623980701</v>
      </c>
    </row>
    <row r="1395" spans="1:11" x14ac:dyDescent="0.35">
      <c r="A1395" s="9" t="str">
        <f>HYPERLINK("http://www.ensembl.org/id/WBGene00010747", "WBGene00010747")</f>
        <v>WBGene00010747</v>
      </c>
      <c r="B1395" s="9" t="str">
        <f>HYPERLINK("http://www.ncbi.nlm.nih.gov/gene/187268", "187268")</f>
        <v>187268</v>
      </c>
      <c r="C1395" s="9"/>
      <c r="D1395" t="str">
        <f>"K10D11.3"</f>
        <v>K10D11.3</v>
      </c>
      <c r="F1395" t="s">
        <v>11</v>
      </c>
      <c r="H1395" s="12">
        <v>-2.5267405341756599</v>
      </c>
      <c r="I1395" s="11">
        <v>-1.4640346618842399</v>
      </c>
      <c r="J1395" s="10">
        <v>0.14318447790160599</v>
      </c>
      <c r="K1395" s="29">
        <v>0.83991382239007695</v>
      </c>
    </row>
    <row r="1396" spans="1:11" x14ac:dyDescent="0.35">
      <c r="A1396" s="9" t="str">
        <f>HYPERLINK("http://www.ensembl.org/id/WBGene00012981", "WBGene00012981")</f>
        <v>WBGene00012981</v>
      </c>
      <c r="B1396" s="9" t="str">
        <f>HYPERLINK("http://www.ncbi.nlm.nih.gov/gene/175077", "175077")</f>
        <v>175077</v>
      </c>
      <c r="C1396" s="9"/>
      <c r="D1396" t="str">
        <f>"Y48B6A.10"</f>
        <v>Y48B6A.10</v>
      </c>
      <c r="F1396" t="s">
        <v>11</v>
      </c>
      <c r="G1396" t="s">
        <v>1415</v>
      </c>
      <c r="H1396" s="12">
        <v>-2.5263605278155499</v>
      </c>
      <c r="I1396" s="11">
        <v>-2.2219041307979599</v>
      </c>
      <c r="J1396" s="10">
        <v>2.62897851949698E-2</v>
      </c>
      <c r="K1396" s="29">
        <v>0.35857434348925898</v>
      </c>
    </row>
    <row r="1397" spans="1:11" x14ac:dyDescent="0.35">
      <c r="A1397" s="9" t="str">
        <f>HYPERLINK("http://www.ensembl.org/id/WBGene00194695", "WBGene00194695")</f>
        <v>WBGene00194695</v>
      </c>
      <c r="B1397" s="9" t="str">
        <f>HYPERLINK("http://www.ncbi.nlm.nih.gov/gene/13218162", "13218162")</f>
        <v>13218162</v>
      </c>
      <c r="C1397" s="9"/>
      <c r="D1397" t="str">
        <f>"B0462.5"</f>
        <v>B0462.5</v>
      </c>
      <c r="F1397" t="s">
        <v>11</v>
      </c>
      <c r="H1397" s="12">
        <v>-2.52431894506406</v>
      </c>
      <c r="I1397" s="11">
        <v>-1.7942698325941699</v>
      </c>
      <c r="J1397" s="10">
        <v>7.2770110733123602E-2</v>
      </c>
      <c r="K1397" s="29">
        <v>0.63441640450745596</v>
      </c>
    </row>
    <row r="1398" spans="1:11" x14ac:dyDescent="0.35">
      <c r="A1398" s="9" t="str">
        <f>HYPERLINK("http://www.ensembl.org/id/WBGene00004078", "WBGene00004078")</f>
        <v>WBGene00004078</v>
      </c>
      <c r="B1398" s="9" t="str">
        <f>HYPERLINK("http://www.ncbi.nlm.nih.gov/gene/179224", "179224")</f>
        <v>179224</v>
      </c>
      <c r="C1398" s="9"/>
      <c r="D1398" t="str">
        <f>"pos-1"</f>
        <v>pos-1</v>
      </c>
      <c r="E1398" t="s">
        <v>142</v>
      </c>
      <c r="F1398" t="s">
        <v>11</v>
      </c>
      <c r="G1398" t="s">
        <v>143</v>
      </c>
      <c r="H1398" s="12">
        <v>-2.5237637232351302</v>
      </c>
      <c r="I1398" s="11">
        <v>-5.0787042113197796</v>
      </c>
      <c r="J1398" s="10">
        <v>3.80017816782799E-7</v>
      </c>
      <c r="K1398" s="29">
        <v>7.5048646791310699E-5</v>
      </c>
    </row>
    <row r="1399" spans="1:11" x14ac:dyDescent="0.35">
      <c r="A1399" s="9" t="str">
        <f>HYPERLINK("http://www.ensembl.org/id/WBGene00001401", "WBGene00001401")</f>
        <v>WBGene00001401</v>
      </c>
      <c r="B1399" s="9" t="str">
        <f>HYPERLINK("http://www.ncbi.nlm.nih.gov/gene/174016", "174016")</f>
        <v>174016</v>
      </c>
      <c r="C1399" s="9"/>
      <c r="D1399" t="str">
        <f>"fbf-1"</f>
        <v>fbf-1</v>
      </c>
      <c r="E1399" t="s">
        <v>1084</v>
      </c>
      <c r="F1399" t="s">
        <v>11</v>
      </c>
      <c r="G1399" t="s">
        <v>35</v>
      </c>
      <c r="H1399" s="12">
        <v>-2.5235671084799201</v>
      </c>
      <c r="I1399" s="11">
        <v>-2.5047310961322702</v>
      </c>
      <c r="J1399" s="10">
        <v>1.22544521115349E-2</v>
      </c>
      <c r="K1399" s="29">
        <v>0.22121200819462999</v>
      </c>
    </row>
    <row r="1400" spans="1:11" x14ac:dyDescent="0.35">
      <c r="A1400" s="9" t="str">
        <f>HYPERLINK("http://www.ensembl.org/id/WBGene00020881", "WBGene00020881")</f>
        <v>WBGene00020881</v>
      </c>
      <c r="B1400" s="9" t="str">
        <f>HYPERLINK("http://www.ncbi.nlm.nih.gov/gene/189024", "189024")</f>
        <v>189024</v>
      </c>
      <c r="C1400" s="9"/>
      <c r="D1400" t="str">
        <f>"T28A11.19"</f>
        <v>T28A11.19</v>
      </c>
      <c r="F1400" t="s">
        <v>11</v>
      </c>
      <c r="H1400" s="12">
        <v>-2.5193035719886998</v>
      </c>
      <c r="I1400" s="11">
        <v>-2.0645490850065098</v>
      </c>
      <c r="J1400" s="10">
        <v>3.8965684994928501E-2</v>
      </c>
      <c r="K1400" s="29">
        <v>0.45553356487962499</v>
      </c>
    </row>
    <row r="1401" spans="1:11" x14ac:dyDescent="0.35">
      <c r="A1401" s="9" t="str">
        <f>HYPERLINK("http://www.ensembl.org/id/WBGene00008210", "WBGene00008210")</f>
        <v>WBGene00008210</v>
      </c>
      <c r="B1401" s="9" t="str">
        <f>HYPERLINK("http://www.ncbi.nlm.nih.gov/gene/181372", "181372")</f>
        <v>181372</v>
      </c>
      <c r="C1401" s="9"/>
      <c r="D1401" t="str">
        <f>"C49F5.6"</f>
        <v>C49F5.6</v>
      </c>
      <c r="F1401" t="s">
        <v>11</v>
      </c>
      <c r="H1401" s="12">
        <v>-2.5190425057683501</v>
      </c>
      <c r="I1401" s="11">
        <v>-3.9333658214323601</v>
      </c>
      <c r="J1401" s="10">
        <v>8.3764606450950404E-5</v>
      </c>
      <c r="K1401" s="29">
        <v>5.7775074527034601E-3</v>
      </c>
    </row>
    <row r="1402" spans="1:11" x14ac:dyDescent="0.35">
      <c r="A1402" s="9" t="str">
        <f>HYPERLINK("http://www.ensembl.org/id/WBGene00022244", "WBGene00022244")</f>
        <v>WBGene00022244</v>
      </c>
      <c r="B1402" s="9" t="str">
        <f>HYPERLINK("http://www.ncbi.nlm.nih.gov/gene/177404", "177404")</f>
        <v>177404</v>
      </c>
      <c r="C1402" s="9"/>
      <c r="D1402" t="str">
        <f>"Y73B6BL.23"</f>
        <v>Y73B6BL.23</v>
      </c>
      <c r="F1402" t="s">
        <v>11</v>
      </c>
      <c r="H1402" s="12">
        <v>-2.51801829681673</v>
      </c>
      <c r="I1402" s="11">
        <v>-4.2267018464185302</v>
      </c>
      <c r="J1402" s="10">
        <v>2.3714155155583501E-5</v>
      </c>
      <c r="K1402" s="29">
        <v>2.0599220640034302E-3</v>
      </c>
    </row>
    <row r="1403" spans="1:11" x14ac:dyDescent="0.35">
      <c r="A1403" s="9" t="str">
        <f>HYPERLINK("http://www.ensembl.org/id/WBGene00010061", "WBGene00010061")</f>
        <v>WBGene00010061</v>
      </c>
      <c r="B1403" s="9" t="str">
        <f>HYPERLINK("http://www.ncbi.nlm.nih.gov/gene/178054", "178054")</f>
        <v>178054</v>
      </c>
      <c r="C1403" s="9" t="str">
        <f>HYPERLINK("http://www.ncbi.nlm.nih.gov/gene/8458", "8458")</f>
        <v>8458</v>
      </c>
      <c r="D1403" t="str">
        <f>"F54E12.2"</f>
        <v>F54E12.2</v>
      </c>
      <c r="F1403" t="s">
        <v>11</v>
      </c>
      <c r="G1403" t="s">
        <v>173</v>
      </c>
      <c r="H1403" s="12">
        <v>-2.5174161624712901</v>
      </c>
      <c r="I1403" s="11">
        <v>-4.8050485571532304</v>
      </c>
      <c r="J1403" s="10">
        <v>1.54713952345395E-6</v>
      </c>
      <c r="K1403" s="29">
        <v>2.1931414618973601E-4</v>
      </c>
    </row>
    <row r="1404" spans="1:11" x14ac:dyDescent="0.35">
      <c r="A1404" s="9" t="str">
        <f>HYPERLINK("http://www.ensembl.org/id/WBGene00013611", "WBGene00013611")</f>
        <v>WBGene00013611</v>
      </c>
      <c r="B1404" s="9" t="str">
        <f>HYPERLINK("http://www.ncbi.nlm.nih.gov/gene/190829", "190829")</f>
        <v>190829</v>
      </c>
      <c r="C1404" s="9"/>
      <c r="D1404" t="str">
        <f>"Y102A5C.2"</f>
        <v>Y102A5C.2</v>
      </c>
      <c r="F1404" t="s">
        <v>11</v>
      </c>
      <c r="H1404" s="12">
        <v>-2.5161873829367201</v>
      </c>
      <c r="I1404" s="11">
        <v>-2.0125551989750199</v>
      </c>
      <c r="J1404" s="10">
        <v>4.4161444130567898E-2</v>
      </c>
      <c r="K1404" s="29">
        <v>0.48682935500043101</v>
      </c>
    </row>
    <row r="1405" spans="1:11" x14ac:dyDescent="0.35">
      <c r="A1405" s="9" t="str">
        <f>HYPERLINK("http://www.ensembl.org/id/WBGene00173231", "WBGene00173231")</f>
        <v>WBGene00173231</v>
      </c>
      <c r="B1405" s="9"/>
      <c r="C1405" s="9"/>
      <c r="D1405" t="str">
        <f>"21ur-11565"</f>
        <v>21ur-11565</v>
      </c>
      <c r="F1405" t="s">
        <v>3161</v>
      </c>
      <c r="H1405" s="12">
        <v>-2.5147643205975001</v>
      </c>
      <c r="I1405" s="11">
        <v>-0.65613910072096004</v>
      </c>
      <c r="J1405" s="10">
        <v>0.51173462827605198</v>
      </c>
      <c r="K1405" s="29">
        <v>0.98289565623980701</v>
      </c>
    </row>
    <row r="1406" spans="1:11" x14ac:dyDescent="0.35">
      <c r="A1406" s="9" t="str">
        <f>HYPERLINK("http://www.ensembl.org/id/WBGene00017548", "WBGene00017548")</f>
        <v>WBGene00017548</v>
      </c>
      <c r="B1406" s="9" t="str">
        <f>HYPERLINK("http://www.ncbi.nlm.nih.gov/gene/174237", "174237")</f>
        <v>174237</v>
      </c>
      <c r="C1406" s="9"/>
      <c r="D1406" t="str">
        <f>"F18A1.7"</f>
        <v>F18A1.7</v>
      </c>
      <c r="F1406" t="s">
        <v>11</v>
      </c>
      <c r="H1406" s="12">
        <v>-2.5145478625439299</v>
      </c>
      <c r="I1406" s="11">
        <v>-4.9350946526165096</v>
      </c>
      <c r="J1406" s="10">
        <v>8.0111898410455604E-7</v>
      </c>
      <c r="K1406" s="29">
        <v>1.3128124288453799E-4</v>
      </c>
    </row>
    <row r="1407" spans="1:11" x14ac:dyDescent="0.35">
      <c r="A1407" s="9" t="str">
        <f>HYPERLINK("http://www.ensembl.org/id/WBGene00022733", "WBGene00022733")</f>
        <v>WBGene00022733</v>
      </c>
      <c r="B1407" s="9" t="str">
        <f>HYPERLINK("http://www.ncbi.nlm.nih.gov/gene/191316", "191316")</f>
        <v>191316</v>
      </c>
      <c r="C1407" s="9"/>
      <c r="D1407" t="str">
        <f>"tmem-17"</f>
        <v>tmem-17</v>
      </c>
      <c r="E1407" t="s">
        <v>4361</v>
      </c>
      <c r="F1407" t="s">
        <v>11</v>
      </c>
      <c r="G1407" t="s">
        <v>10070</v>
      </c>
      <c r="H1407" s="12">
        <v>-2.51331743835985</v>
      </c>
      <c r="I1407" s="11">
        <v>-0.49318830622239201</v>
      </c>
      <c r="J1407" s="10">
        <v>0.62187953970819698</v>
      </c>
      <c r="K1407" s="29">
        <v>0.98289565623980701</v>
      </c>
    </row>
    <row r="1408" spans="1:11" x14ac:dyDescent="0.35">
      <c r="A1408" s="9" t="str">
        <f>HYPERLINK("http://www.ensembl.org/id/WBGene00196961", "WBGene00196961")</f>
        <v>WBGene00196961</v>
      </c>
      <c r="B1408" s="9"/>
      <c r="C1408" s="9"/>
      <c r="D1408" t="str">
        <f>"F20D1.13"</f>
        <v>F20D1.13</v>
      </c>
      <c r="F1408" t="s">
        <v>481</v>
      </c>
      <c r="H1408" s="12">
        <v>-2.5127021875492099</v>
      </c>
      <c r="I1408" s="11">
        <v>-0.52545931495248199</v>
      </c>
      <c r="J1408" s="10">
        <v>0.59926392906258197</v>
      </c>
      <c r="K1408" s="29">
        <v>0.98289565623980701</v>
      </c>
    </row>
    <row r="1409" spans="1:11" x14ac:dyDescent="0.35">
      <c r="A1409" s="9" t="str">
        <f>HYPERLINK("http://www.ensembl.org/id/WBGene00194847", "WBGene00194847")</f>
        <v>WBGene00194847</v>
      </c>
      <c r="B1409" s="9"/>
      <c r="C1409" s="9"/>
      <c r="D1409" t="str">
        <f>"F19C6.8"</f>
        <v>F19C6.8</v>
      </c>
      <c r="F1409" t="s">
        <v>2735</v>
      </c>
      <c r="H1409" s="12">
        <v>-2.5099416911355998</v>
      </c>
      <c r="I1409" s="11">
        <v>-1.58712553203692</v>
      </c>
      <c r="J1409" s="10">
        <v>0.112484216313396</v>
      </c>
      <c r="K1409" s="29">
        <v>0.76791269300510401</v>
      </c>
    </row>
    <row r="1410" spans="1:11" x14ac:dyDescent="0.35">
      <c r="A1410" s="9" t="str">
        <f>HYPERLINK("http://www.ensembl.org/id/WBGene00017587", "WBGene00017587")</f>
        <v>WBGene00017587</v>
      </c>
      <c r="B1410" s="9" t="str">
        <f>HYPERLINK("http://www.ncbi.nlm.nih.gov/gene/184670", "184670")</f>
        <v>184670</v>
      </c>
      <c r="C1410" s="9"/>
      <c r="D1410" t="str">
        <f>"F19B10.5"</f>
        <v>F19B10.5</v>
      </c>
      <c r="F1410" t="s">
        <v>11</v>
      </c>
      <c r="H1410" s="12">
        <v>-2.5089529068904501</v>
      </c>
      <c r="I1410" s="11">
        <v>-1.95109177827625</v>
      </c>
      <c r="J1410" s="10">
        <v>5.1046129079495198E-2</v>
      </c>
      <c r="K1410" s="29">
        <v>0.52867407373859998</v>
      </c>
    </row>
    <row r="1411" spans="1:11" x14ac:dyDescent="0.35">
      <c r="A1411" s="9" t="str">
        <f>HYPERLINK("http://www.ensembl.org/id/WBGene00013566", "WBGene00013566")</f>
        <v>WBGene00013566</v>
      </c>
      <c r="B1411" s="9" t="str">
        <f>HYPERLINK("http://www.ncbi.nlm.nih.gov/gene/190715", "190715")</f>
        <v>190715</v>
      </c>
      <c r="C1411" s="9"/>
      <c r="D1411" t="str">
        <f>"Y75B12A.2"</f>
        <v>Y75B12A.2</v>
      </c>
      <c r="F1411" t="s">
        <v>11</v>
      </c>
      <c r="G1411" t="s">
        <v>25</v>
      </c>
      <c r="H1411" s="12">
        <v>-2.5057805812971501</v>
      </c>
      <c r="I1411" s="11">
        <v>-0.36630651471395898</v>
      </c>
      <c r="J1411" s="10">
        <v>0.71413636889362797</v>
      </c>
      <c r="K1411" s="29">
        <v>0.98289565623980701</v>
      </c>
    </row>
    <row r="1412" spans="1:11" x14ac:dyDescent="0.35">
      <c r="A1412" s="9" t="str">
        <f>HYPERLINK("http://www.ensembl.org/id/WBGene00008201", "WBGene00008201")</f>
        <v>WBGene00008201</v>
      </c>
      <c r="B1412" s="9" t="str">
        <f>HYPERLINK("http://www.ncbi.nlm.nih.gov/gene/178520", "178520")</f>
        <v>178520</v>
      </c>
      <c r="C1412" s="9"/>
      <c r="D1412" t="str">
        <f>"C49C3.11"</f>
        <v>C49C3.11</v>
      </c>
      <c r="F1412" t="s">
        <v>11</v>
      </c>
      <c r="G1412" t="s">
        <v>47</v>
      </c>
      <c r="H1412" s="12">
        <v>-2.5023738931196702</v>
      </c>
      <c r="I1412" s="11">
        <v>-0.98067023719399804</v>
      </c>
      <c r="J1412" s="10">
        <v>0.32675538550935301</v>
      </c>
      <c r="K1412" s="29">
        <v>0.98289565623980701</v>
      </c>
    </row>
    <row r="1413" spans="1:11" x14ac:dyDescent="0.35">
      <c r="A1413" s="9" t="str">
        <f>HYPERLINK("http://www.ensembl.org/id/WBGene00001402", "WBGene00001402")</f>
        <v>WBGene00001402</v>
      </c>
      <c r="B1413" s="9" t="str">
        <f>HYPERLINK("http://www.ncbi.nlm.nih.gov/gene/174017", "174017")</f>
        <v>174017</v>
      </c>
      <c r="C1413" s="9"/>
      <c r="D1413" t="str">
        <f>"fbf-2"</f>
        <v>fbf-2</v>
      </c>
      <c r="E1413" t="s">
        <v>1609</v>
      </c>
      <c r="F1413" t="s">
        <v>11</v>
      </c>
      <c r="G1413" t="s">
        <v>35</v>
      </c>
      <c r="H1413" s="12">
        <v>-2.4996514416824298</v>
      </c>
      <c r="I1413" s="11">
        <v>-2.0742374659821201</v>
      </c>
      <c r="J1413" s="10">
        <v>3.8057262267242202E-2</v>
      </c>
      <c r="K1413" s="29">
        <v>0.44948110098079702</v>
      </c>
    </row>
    <row r="1414" spans="1:11" x14ac:dyDescent="0.35">
      <c r="A1414" s="9" t="str">
        <f>HYPERLINK("http://www.ensembl.org/id/WBGene00166652", "WBGene00166652")</f>
        <v>WBGene00166652</v>
      </c>
      <c r="B1414" s="9"/>
      <c r="C1414" s="9"/>
      <c r="D1414" t="str">
        <f>"21ur-10122"</f>
        <v>21ur-10122</v>
      </c>
      <c r="F1414" t="s">
        <v>3161</v>
      </c>
      <c r="H1414" s="12">
        <v>-2.4991590031922399</v>
      </c>
      <c r="I1414" s="11">
        <v>-0.26577412737581302</v>
      </c>
      <c r="J1414" s="10">
        <v>0.79041317015736101</v>
      </c>
      <c r="K1414" s="29">
        <v>0.98289565623980701</v>
      </c>
    </row>
    <row r="1415" spans="1:11" x14ac:dyDescent="0.35">
      <c r="A1415" s="9" t="str">
        <f>HYPERLINK("http://www.ensembl.org/id/WBGene00173818", "WBGene00173818")</f>
        <v>WBGene00173818</v>
      </c>
      <c r="B1415" s="9"/>
      <c r="C1415" s="9"/>
      <c r="D1415" t="str">
        <f>"21ur-10209"</f>
        <v>21ur-10209</v>
      </c>
      <c r="F1415" t="s">
        <v>3161</v>
      </c>
      <c r="H1415" s="12">
        <v>-2.4991590031922399</v>
      </c>
      <c r="I1415" s="11">
        <v>-0.26577412737581302</v>
      </c>
      <c r="J1415" s="10">
        <v>0.79041317015736101</v>
      </c>
      <c r="K1415" s="29">
        <v>0.98289565623980701</v>
      </c>
    </row>
    <row r="1416" spans="1:11" x14ac:dyDescent="0.35">
      <c r="A1416" s="9" t="str">
        <f>HYPERLINK("http://www.ensembl.org/id/WBGene00172630", "WBGene00172630")</f>
        <v>WBGene00172630</v>
      </c>
      <c r="B1416" s="9"/>
      <c r="C1416" s="9"/>
      <c r="D1416" t="str">
        <f>"21ur-10332"</f>
        <v>21ur-10332</v>
      </c>
      <c r="F1416" t="s">
        <v>3161</v>
      </c>
      <c r="H1416" s="12">
        <v>-2.4991590031922399</v>
      </c>
      <c r="I1416" s="11">
        <v>-0.26577412737581302</v>
      </c>
      <c r="J1416" s="10">
        <v>0.79041317015736101</v>
      </c>
      <c r="K1416" s="29">
        <v>0.98289565623980701</v>
      </c>
    </row>
    <row r="1417" spans="1:11" x14ac:dyDescent="0.35">
      <c r="A1417" s="9" t="str">
        <f>HYPERLINK("http://www.ensembl.org/id/WBGene00174726", "WBGene00174726")</f>
        <v>WBGene00174726</v>
      </c>
      <c r="B1417" s="9"/>
      <c r="C1417" s="9"/>
      <c r="D1417" t="str">
        <f>"21ur-10371"</f>
        <v>21ur-10371</v>
      </c>
      <c r="F1417" t="s">
        <v>3161</v>
      </c>
      <c r="H1417" s="12">
        <v>-2.4991590031922399</v>
      </c>
      <c r="I1417" s="11">
        <v>-0.26577412737581302</v>
      </c>
      <c r="J1417" s="10">
        <v>0.79041317015736101</v>
      </c>
      <c r="K1417" s="29">
        <v>0.98289565623980701</v>
      </c>
    </row>
    <row r="1418" spans="1:11" x14ac:dyDescent="0.35">
      <c r="A1418" s="9" t="str">
        <f>HYPERLINK("http://www.ensembl.org/id/WBGene00170744", "WBGene00170744")</f>
        <v>WBGene00170744</v>
      </c>
      <c r="B1418" s="9"/>
      <c r="C1418" s="9"/>
      <c r="D1418" t="str">
        <f>"21ur-12100"</f>
        <v>21ur-12100</v>
      </c>
      <c r="F1418" t="s">
        <v>3161</v>
      </c>
      <c r="H1418" s="12">
        <v>-2.4991590031922399</v>
      </c>
      <c r="I1418" s="11">
        <v>-0.26577412737581302</v>
      </c>
      <c r="J1418" s="10">
        <v>0.79041317015736101</v>
      </c>
      <c r="K1418" s="29">
        <v>0.98289565623980701</v>
      </c>
    </row>
    <row r="1419" spans="1:11" x14ac:dyDescent="0.35">
      <c r="A1419" s="9" t="str">
        <f>HYPERLINK("http://www.ensembl.org/id/WBGene00173615", "WBGene00173615")</f>
        <v>WBGene00173615</v>
      </c>
      <c r="B1419" s="9"/>
      <c r="C1419" s="9"/>
      <c r="D1419" t="str">
        <f>"21ur-12311"</f>
        <v>21ur-12311</v>
      </c>
      <c r="F1419" t="s">
        <v>3161</v>
      </c>
      <c r="H1419" s="12">
        <v>-2.4991590031922399</v>
      </c>
      <c r="I1419" s="11">
        <v>-0.26577412737581302</v>
      </c>
      <c r="J1419" s="10">
        <v>0.79041317015736101</v>
      </c>
      <c r="K1419" s="29">
        <v>0.98289565623980701</v>
      </c>
    </row>
    <row r="1420" spans="1:11" x14ac:dyDescent="0.35">
      <c r="A1420" s="9" t="str">
        <f>HYPERLINK("http://www.ensembl.org/id/WBGene00168977", "WBGene00168977")</f>
        <v>WBGene00168977</v>
      </c>
      <c r="B1420" s="9"/>
      <c r="C1420" s="9"/>
      <c r="D1420" t="str">
        <f>"21ur-12388"</f>
        <v>21ur-12388</v>
      </c>
      <c r="F1420" t="s">
        <v>3161</v>
      </c>
      <c r="H1420" s="12">
        <v>-2.4991590031922399</v>
      </c>
      <c r="I1420" s="11">
        <v>-0.26577412737581302</v>
      </c>
      <c r="J1420" s="10">
        <v>0.79041317015736101</v>
      </c>
      <c r="K1420" s="29">
        <v>0.98289565623980701</v>
      </c>
    </row>
    <row r="1421" spans="1:11" x14ac:dyDescent="0.35">
      <c r="A1421" s="9" t="str">
        <f>HYPERLINK("http://www.ensembl.org/id/WBGene00046110", "WBGene00046110")</f>
        <v>WBGene00046110</v>
      </c>
      <c r="B1421" s="9"/>
      <c r="C1421" s="9"/>
      <c r="D1421" t="str">
        <f>"21ur-1289"</f>
        <v>21ur-1289</v>
      </c>
      <c r="F1421" t="s">
        <v>3161</v>
      </c>
      <c r="H1421" s="12">
        <v>-2.4991590031922399</v>
      </c>
      <c r="I1421" s="11">
        <v>-0.26577412737581302</v>
      </c>
      <c r="J1421" s="10">
        <v>0.79041317015736101</v>
      </c>
      <c r="K1421" s="29">
        <v>0.98289565623980701</v>
      </c>
    </row>
    <row r="1422" spans="1:11" x14ac:dyDescent="0.35">
      <c r="A1422" s="9" t="str">
        <f>HYPERLINK("http://www.ensembl.org/id/WBGene00047130", "WBGene00047130")</f>
        <v>WBGene00047130</v>
      </c>
      <c r="B1422" s="9"/>
      <c r="C1422" s="9"/>
      <c r="D1422" t="str">
        <f>"21ur-1301"</f>
        <v>21ur-1301</v>
      </c>
      <c r="F1422" t="s">
        <v>3161</v>
      </c>
      <c r="H1422" s="12">
        <v>-2.4991590031922399</v>
      </c>
      <c r="I1422" s="11">
        <v>-0.26577412737581302</v>
      </c>
      <c r="J1422" s="10">
        <v>0.79041317015736101</v>
      </c>
      <c r="K1422" s="29">
        <v>0.98289565623980701</v>
      </c>
    </row>
    <row r="1423" spans="1:11" x14ac:dyDescent="0.35">
      <c r="A1423" s="9" t="str">
        <f>HYPERLINK("http://www.ensembl.org/id/WBGene00166374", "WBGene00166374")</f>
        <v>WBGene00166374</v>
      </c>
      <c r="B1423" s="9"/>
      <c r="C1423" s="9"/>
      <c r="D1423" t="str">
        <f>"21ur-13227"</f>
        <v>21ur-13227</v>
      </c>
      <c r="F1423" t="s">
        <v>3161</v>
      </c>
      <c r="H1423" s="12">
        <v>-2.4991590031922399</v>
      </c>
      <c r="I1423" s="11">
        <v>-0.26577412737581302</v>
      </c>
      <c r="J1423" s="10">
        <v>0.79041317015736101</v>
      </c>
      <c r="K1423" s="29">
        <v>0.98289565623980701</v>
      </c>
    </row>
    <row r="1424" spans="1:11" x14ac:dyDescent="0.35">
      <c r="A1424" s="9" t="str">
        <f>HYPERLINK("http://www.ensembl.org/id/WBGene00171582", "WBGene00171582")</f>
        <v>WBGene00171582</v>
      </c>
      <c r="B1424" s="9"/>
      <c r="C1424" s="9"/>
      <c r="D1424" t="str">
        <f>"21ur-13240"</f>
        <v>21ur-13240</v>
      </c>
      <c r="F1424" t="s">
        <v>3161</v>
      </c>
      <c r="H1424" s="12">
        <v>-2.4991590031922399</v>
      </c>
      <c r="I1424" s="11">
        <v>-0.26577412737581302</v>
      </c>
      <c r="J1424" s="10">
        <v>0.79041317015736101</v>
      </c>
      <c r="K1424" s="29">
        <v>0.98289565623980701</v>
      </c>
    </row>
    <row r="1425" spans="1:11" x14ac:dyDescent="0.35">
      <c r="A1425" s="9" t="str">
        <f>HYPERLINK("http://www.ensembl.org/id/WBGene00172869", "WBGene00172869")</f>
        <v>WBGene00172869</v>
      </c>
      <c r="B1425" s="9"/>
      <c r="C1425" s="9"/>
      <c r="D1425" t="str">
        <f>"21ur-13752"</f>
        <v>21ur-13752</v>
      </c>
      <c r="F1425" t="s">
        <v>3161</v>
      </c>
      <c r="H1425" s="12">
        <v>-2.4991590031922399</v>
      </c>
      <c r="I1425" s="11">
        <v>-0.26577412737581302</v>
      </c>
      <c r="J1425" s="10">
        <v>0.79041317015736101</v>
      </c>
      <c r="K1425" s="29">
        <v>0.98289565623980701</v>
      </c>
    </row>
    <row r="1426" spans="1:11" x14ac:dyDescent="0.35">
      <c r="A1426" s="9" t="str">
        <f>HYPERLINK("http://www.ensembl.org/id/WBGene00172862", "WBGene00172862")</f>
        <v>WBGene00172862</v>
      </c>
      <c r="B1426" s="9"/>
      <c r="C1426" s="9"/>
      <c r="D1426" t="str">
        <f>"21ur-14152"</f>
        <v>21ur-14152</v>
      </c>
      <c r="F1426" t="s">
        <v>3161</v>
      </c>
      <c r="H1426" s="12">
        <v>-2.4991590031922399</v>
      </c>
      <c r="I1426" s="11">
        <v>-0.26577412737581302</v>
      </c>
      <c r="J1426" s="10">
        <v>0.79041317015736101</v>
      </c>
      <c r="K1426" s="29">
        <v>0.98289565623980701</v>
      </c>
    </row>
    <row r="1427" spans="1:11" x14ac:dyDescent="0.35">
      <c r="A1427" s="9" t="str">
        <f>HYPERLINK("http://www.ensembl.org/id/WBGene00167926", "WBGene00167926")</f>
        <v>WBGene00167926</v>
      </c>
      <c r="B1427" s="9"/>
      <c r="C1427" s="9"/>
      <c r="D1427" t="str">
        <f>"21ur-14207"</f>
        <v>21ur-14207</v>
      </c>
      <c r="F1427" t="s">
        <v>3161</v>
      </c>
      <c r="H1427" s="12">
        <v>-2.4991590031922399</v>
      </c>
      <c r="I1427" s="11">
        <v>-0.26577412737581302</v>
      </c>
      <c r="J1427" s="10">
        <v>0.79041317015736101</v>
      </c>
      <c r="K1427" s="29">
        <v>0.98289565623980701</v>
      </c>
    </row>
    <row r="1428" spans="1:11" x14ac:dyDescent="0.35">
      <c r="A1428" s="9" t="str">
        <f>HYPERLINK("http://www.ensembl.org/id/WBGene00171497", "WBGene00171497")</f>
        <v>WBGene00171497</v>
      </c>
      <c r="B1428" s="9"/>
      <c r="C1428" s="9"/>
      <c r="D1428" t="str">
        <f>"21ur-14713"</f>
        <v>21ur-14713</v>
      </c>
      <c r="F1428" t="s">
        <v>3161</v>
      </c>
      <c r="H1428" s="12">
        <v>-2.4991590031922399</v>
      </c>
      <c r="I1428" s="11">
        <v>-0.26577412737581302</v>
      </c>
      <c r="J1428" s="10">
        <v>0.79041317015736101</v>
      </c>
      <c r="K1428" s="29">
        <v>0.98289565623980701</v>
      </c>
    </row>
    <row r="1429" spans="1:11" x14ac:dyDescent="0.35">
      <c r="A1429" s="9" t="str">
        <f>HYPERLINK("http://www.ensembl.org/id/WBGene00172191", "WBGene00172191")</f>
        <v>WBGene00172191</v>
      </c>
      <c r="B1429" s="9"/>
      <c r="C1429" s="9"/>
      <c r="D1429" t="str">
        <f>"21ur-15085"</f>
        <v>21ur-15085</v>
      </c>
      <c r="F1429" t="s">
        <v>3161</v>
      </c>
      <c r="H1429" s="12">
        <v>-2.4991590031922399</v>
      </c>
      <c r="I1429" s="11">
        <v>-0.26577412737581302</v>
      </c>
      <c r="J1429" s="10">
        <v>0.79041317015736101</v>
      </c>
      <c r="K1429" s="29">
        <v>0.98289565623980701</v>
      </c>
    </row>
    <row r="1430" spans="1:11" x14ac:dyDescent="0.35">
      <c r="A1430" s="9" t="str">
        <f>HYPERLINK("http://www.ensembl.org/id/WBGene00170416", "WBGene00170416")</f>
        <v>WBGene00170416</v>
      </c>
      <c r="B1430" s="9"/>
      <c r="C1430" s="9"/>
      <c r="D1430" t="str">
        <f>"21ur-15319"</f>
        <v>21ur-15319</v>
      </c>
      <c r="F1430" t="s">
        <v>3161</v>
      </c>
      <c r="H1430" s="12">
        <v>-2.4991590031922399</v>
      </c>
      <c r="I1430" s="11">
        <v>-0.26577412737581302</v>
      </c>
      <c r="J1430" s="10">
        <v>0.79041317015736101</v>
      </c>
      <c r="K1430" s="29">
        <v>0.98289565623980701</v>
      </c>
    </row>
    <row r="1431" spans="1:11" x14ac:dyDescent="0.35">
      <c r="A1431" s="9" t="str">
        <f>HYPERLINK("http://www.ensembl.org/id/WBGene00048936", "WBGene00048936")</f>
        <v>WBGene00048936</v>
      </c>
      <c r="B1431" s="9"/>
      <c r="C1431" s="9"/>
      <c r="D1431" t="str">
        <f>"21ur-1677"</f>
        <v>21ur-1677</v>
      </c>
      <c r="F1431" t="s">
        <v>3161</v>
      </c>
      <c r="H1431" s="12">
        <v>-2.4991590031922399</v>
      </c>
      <c r="I1431" s="11">
        <v>-0.26577412737581302</v>
      </c>
      <c r="J1431" s="10">
        <v>0.79041317015736101</v>
      </c>
      <c r="K1431" s="29">
        <v>0.98289565623980701</v>
      </c>
    </row>
    <row r="1432" spans="1:11" x14ac:dyDescent="0.35">
      <c r="A1432" s="9" t="str">
        <f>HYPERLINK("http://www.ensembl.org/id/WBGene00048186", "WBGene00048186")</f>
        <v>WBGene00048186</v>
      </c>
      <c r="B1432" s="9"/>
      <c r="C1432" s="9"/>
      <c r="D1432" t="str">
        <f>"21ur-208"</f>
        <v>21ur-208</v>
      </c>
      <c r="F1432" t="s">
        <v>3161</v>
      </c>
      <c r="H1432" s="12">
        <v>-2.4991590031922399</v>
      </c>
      <c r="I1432" s="11">
        <v>-0.26577412737581302</v>
      </c>
      <c r="J1432" s="10">
        <v>0.79041317015736101</v>
      </c>
      <c r="K1432" s="29">
        <v>0.98289565623980701</v>
      </c>
    </row>
    <row r="1433" spans="1:11" x14ac:dyDescent="0.35">
      <c r="A1433" s="9" t="str">
        <f>HYPERLINK("http://www.ensembl.org/id/WBGene00047151", "WBGene00047151")</f>
        <v>WBGene00047151</v>
      </c>
      <c r="B1433" s="9"/>
      <c r="C1433" s="9"/>
      <c r="D1433" t="str">
        <f>"21ur-2390"</f>
        <v>21ur-2390</v>
      </c>
      <c r="F1433" t="s">
        <v>3161</v>
      </c>
      <c r="H1433" s="12">
        <v>-2.4991590031922399</v>
      </c>
      <c r="I1433" s="11">
        <v>-0.26577412737581302</v>
      </c>
      <c r="J1433" s="10">
        <v>0.79041317015736101</v>
      </c>
      <c r="K1433" s="29">
        <v>0.98289565623980701</v>
      </c>
    </row>
    <row r="1434" spans="1:11" x14ac:dyDescent="0.35">
      <c r="A1434" s="9" t="str">
        <f>HYPERLINK("http://www.ensembl.org/id/WBGene00047572", "WBGene00047572")</f>
        <v>WBGene00047572</v>
      </c>
      <c r="B1434" s="9"/>
      <c r="C1434" s="9"/>
      <c r="D1434" t="str">
        <f>"21ur-2436"</f>
        <v>21ur-2436</v>
      </c>
      <c r="F1434" t="s">
        <v>3161</v>
      </c>
      <c r="H1434" s="12">
        <v>-2.4991590031922399</v>
      </c>
      <c r="I1434" s="11">
        <v>-0.26577412737581302</v>
      </c>
      <c r="J1434" s="10">
        <v>0.79041317015736101</v>
      </c>
      <c r="K1434" s="29">
        <v>0.98289565623980701</v>
      </c>
    </row>
    <row r="1435" spans="1:11" x14ac:dyDescent="0.35">
      <c r="A1435" s="9" t="str">
        <f>HYPERLINK("http://www.ensembl.org/id/WBGene00048582", "WBGene00048582")</f>
        <v>WBGene00048582</v>
      </c>
      <c r="B1435" s="9"/>
      <c r="C1435" s="9"/>
      <c r="D1435" t="str">
        <f>"21ur-2549"</f>
        <v>21ur-2549</v>
      </c>
      <c r="F1435" t="s">
        <v>3161</v>
      </c>
      <c r="H1435" s="12">
        <v>-2.4991590031922399</v>
      </c>
      <c r="I1435" s="11">
        <v>-0.26577412737581302</v>
      </c>
      <c r="J1435" s="10">
        <v>0.79041317015736101</v>
      </c>
      <c r="K1435" s="29">
        <v>0.98289565623980701</v>
      </c>
    </row>
    <row r="1436" spans="1:11" x14ac:dyDescent="0.35">
      <c r="A1436" s="9" t="str">
        <f>HYPERLINK("http://www.ensembl.org/id/WBGene00048374", "WBGene00048374")</f>
        <v>WBGene00048374</v>
      </c>
      <c r="B1436" s="9"/>
      <c r="C1436" s="9"/>
      <c r="D1436" t="str">
        <f>"21ur-2666"</f>
        <v>21ur-2666</v>
      </c>
      <c r="F1436" t="s">
        <v>3161</v>
      </c>
      <c r="H1436" s="12">
        <v>-2.4991590031922399</v>
      </c>
      <c r="I1436" s="11">
        <v>-0.26577412737581302</v>
      </c>
      <c r="J1436" s="10">
        <v>0.79041317015736101</v>
      </c>
      <c r="K1436" s="29">
        <v>0.98289565623980701</v>
      </c>
    </row>
    <row r="1437" spans="1:11" x14ac:dyDescent="0.35">
      <c r="A1437" s="9" t="str">
        <f>HYPERLINK("http://www.ensembl.org/id/WBGene00050271", "WBGene00050271")</f>
        <v>WBGene00050271</v>
      </c>
      <c r="B1437" s="9"/>
      <c r="C1437" s="9"/>
      <c r="D1437" t="str">
        <f>"21ur-2705"</f>
        <v>21ur-2705</v>
      </c>
      <c r="F1437" t="s">
        <v>3161</v>
      </c>
      <c r="H1437" s="12">
        <v>-2.4991590031922399</v>
      </c>
      <c r="I1437" s="11">
        <v>-0.26577412737581302</v>
      </c>
      <c r="J1437" s="10">
        <v>0.79041317015736101</v>
      </c>
      <c r="K1437" s="29">
        <v>0.98289565623980701</v>
      </c>
    </row>
    <row r="1438" spans="1:11" x14ac:dyDescent="0.35">
      <c r="A1438" s="9" t="str">
        <f>HYPERLINK("http://www.ensembl.org/id/WBGene00049524", "WBGene00049524")</f>
        <v>WBGene00049524</v>
      </c>
      <c r="B1438" s="9"/>
      <c r="C1438" s="9"/>
      <c r="D1438" t="str">
        <f>"21ur-2724"</f>
        <v>21ur-2724</v>
      </c>
      <c r="F1438" t="s">
        <v>3161</v>
      </c>
      <c r="H1438" s="12">
        <v>-2.4991590031922399</v>
      </c>
      <c r="I1438" s="11">
        <v>-0.26577412737581302</v>
      </c>
      <c r="J1438" s="10">
        <v>0.79041317015736101</v>
      </c>
      <c r="K1438" s="29">
        <v>0.98289565623980701</v>
      </c>
    </row>
    <row r="1439" spans="1:11" x14ac:dyDescent="0.35">
      <c r="A1439" s="9" t="str">
        <f>HYPERLINK("http://www.ensembl.org/id/WBGene00049848", "WBGene00049848")</f>
        <v>WBGene00049848</v>
      </c>
      <c r="B1439" s="9"/>
      <c r="C1439" s="9"/>
      <c r="D1439" t="str">
        <f>"21ur-2836"</f>
        <v>21ur-2836</v>
      </c>
      <c r="F1439" t="s">
        <v>3161</v>
      </c>
      <c r="H1439" s="12">
        <v>-2.4991590031922399</v>
      </c>
      <c r="I1439" s="11">
        <v>-0.26577412737581302</v>
      </c>
      <c r="J1439" s="10">
        <v>0.79041317015736101</v>
      </c>
      <c r="K1439" s="29">
        <v>0.98289565623980701</v>
      </c>
    </row>
    <row r="1440" spans="1:11" x14ac:dyDescent="0.35">
      <c r="A1440" s="9" t="str">
        <f>HYPERLINK("http://www.ensembl.org/id/WBGene00050841", "WBGene00050841")</f>
        <v>WBGene00050841</v>
      </c>
      <c r="B1440" s="9"/>
      <c r="C1440" s="9"/>
      <c r="D1440" t="str">
        <f>"21ur-317"</f>
        <v>21ur-317</v>
      </c>
      <c r="F1440" t="s">
        <v>3161</v>
      </c>
      <c r="H1440" s="12">
        <v>-2.4991590031922399</v>
      </c>
      <c r="I1440" s="11">
        <v>-0.26577412737581302</v>
      </c>
      <c r="J1440" s="10">
        <v>0.79041317015736101</v>
      </c>
      <c r="K1440" s="29">
        <v>0.98289565623980701</v>
      </c>
    </row>
    <row r="1441" spans="1:11" x14ac:dyDescent="0.35">
      <c r="A1441" s="9" t="str">
        <f>HYPERLINK("http://www.ensembl.org/id/WBGene00048940", "WBGene00048940")</f>
        <v>WBGene00048940</v>
      </c>
      <c r="B1441" s="9"/>
      <c r="C1441" s="9"/>
      <c r="D1441" t="str">
        <f>"21ur-3194"</f>
        <v>21ur-3194</v>
      </c>
      <c r="F1441" t="s">
        <v>3161</v>
      </c>
      <c r="H1441" s="12">
        <v>-2.4991590031922399</v>
      </c>
      <c r="I1441" s="11">
        <v>-0.26577412737581302</v>
      </c>
      <c r="J1441" s="10">
        <v>0.79041317015736101</v>
      </c>
      <c r="K1441" s="29">
        <v>0.98289565623980701</v>
      </c>
    </row>
    <row r="1442" spans="1:11" x14ac:dyDescent="0.35">
      <c r="A1442" s="9" t="str">
        <f>HYPERLINK("http://www.ensembl.org/id/WBGene00048974", "WBGene00048974")</f>
        <v>WBGene00048974</v>
      </c>
      <c r="B1442" s="9"/>
      <c r="C1442" s="9"/>
      <c r="D1442" t="str">
        <f>"21ur-3281"</f>
        <v>21ur-3281</v>
      </c>
      <c r="F1442" t="s">
        <v>3161</v>
      </c>
      <c r="H1442" s="12">
        <v>-2.4991590031922399</v>
      </c>
      <c r="I1442" s="11">
        <v>-0.26577412737581302</v>
      </c>
      <c r="J1442" s="10">
        <v>0.79041317015736101</v>
      </c>
      <c r="K1442" s="29">
        <v>0.98289565623980701</v>
      </c>
    </row>
    <row r="1443" spans="1:11" x14ac:dyDescent="0.35">
      <c r="A1443" s="9" t="str">
        <f>HYPERLINK("http://www.ensembl.org/id/WBGene00047350", "WBGene00047350")</f>
        <v>WBGene00047350</v>
      </c>
      <c r="B1443" s="9"/>
      <c r="C1443" s="9"/>
      <c r="D1443" t="str">
        <f>"21ur-3962"</f>
        <v>21ur-3962</v>
      </c>
      <c r="F1443" t="s">
        <v>3161</v>
      </c>
      <c r="H1443" s="12">
        <v>-2.4991590031922399</v>
      </c>
      <c r="I1443" s="11">
        <v>-0.26577412737581302</v>
      </c>
      <c r="J1443" s="10">
        <v>0.79041317015736101</v>
      </c>
      <c r="K1443" s="29">
        <v>0.98289565623980701</v>
      </c>
    </row>
    <row r="1444" spans="1:11" x14ac:dyDescent="0.35">
      <c r="A1444" s="9" t="str">
        <f>HYPERLINK("http://www.ensembl.org/id/WBGene00049783", "WBGene00049783")</f>
        <v>WBGene00049783</v>
      </c>
      <c r="B1444" s="9"/>
      <c r="C1444" s="9"/>
      <c r="D1444" t="str">
        <f>"21ur-4035"</f>
        <v>21ur-4035</v>
      </c>
      <c r="F1444" t="s">
        <v>3161</v>
      </c>
      <c r="H1444" s="12">
        <v>-2.4991590031922399</v>
      </c>
      <c r="I1444" s="11">
        <v>-0.26577412737581302</v>
      </c>
      <c r="J1444" s="10">
        <v>0.79041317015736101</v>
      </c>
      <c r="K1444" s="29">
        <v>0.98289565623980701</v>
      </c>
    </row>
    <row r="1445" spans="1:11" x14ac:dyDescent="0.35">
      <c r="A1445" s="9" t="str">
        <f>HYPERLINK("http://www.ensembl.org/id/WBGene00046573", "WBGene00046573")</f>
        <v>WBGene00046573</v>
      </c>
      <c r="B1445" s="9"/>
      <c r="C1445" s="9"/>
      <c r="D1445" t="str">
        <f>"21ur-4289"</f>
        <v>21ur-4289</v>
      </c>
      <c r="F1445" t="s">
        <v>3161</v>
      </c>
      <c r="H1445" s="12">
        <v>-2.4991590031922399</v>
      </c>
      <c r="I1445" s="11">
        <v>-0.26577412737581302</v>
      </c>
      <c r="J1445" s="10">
        <v>0.79041317015736101</v>
      </c>
      <c r="K1445" s="29">
        <v>0.98289565623980701</v>
      </c>
    </row>
    <row r="1446" spans="1:11" x14ac:dyDescent="0.35">
      <c r="A1446" s="9" t="str">
        <f>HYPERLINK("http://www.ensembl.org/id/WBGene00048719", "WBGene00048719")</f>
        <v>WBGene00048719</v>
      </c>
      <c r="B1446" s="9"/>
      <c r="C1446" s="9"/>
      <c r="D1446" t="str">
        <f>"21ur-4413"</f>
        <v>21ur-4413</v>
      </c>
      <c r="F1446" t="s">
        <v>3161</v>
      </c>
      <c r="H1446" s="12">
        <v>-2.4991590031922399</v>
      </c>
      <c r="I1446" s="11">
        <v>-0.26577412737581302</v>
      </c>
      <c r="J1446" s="10">
        <v>0.79041317015736101</v>
      </c>
      <c r="K1446" s="29">
        <v>0.98289565623980701</v>
      </c>
    </row>
    <row r="1447" spans="1:11" x14ac:dyDescent="0.35">
      <c r="A1447" s="9" t="str">
        <f>HYPERLINK("http://www.ensembl.org/id/WBGene00046269", "WBGene00046269")</f>
        <v>WBGene00046269</v>
      </c>
      <c r="B1447" s="9"/>
      <c r="C1447" s="9"/>
      <c r="D1447" t="str">
        <f>"21ur-4638"</f>
        <v>21ur-4638</v>
      </c>
      <c r="F1447" t="s">
        <v>3161</v>
      </c>
      <c r="H1447" s="12">
        <v>-2.4991590031922399</v>
      </c>
      <c r="I1447" s="11">
        <v>-0.26577412737581302</v>
      </c>
      <c r="J1447" s="10">
        <v>0.79041317015736101</v>
      </c>
      <c r="K1447" s="29">
        <v>0.98289565623980701</v>
      </c>
    </row>
    <row r="1448" spans="1:11" x14ac:dyDescent="0.35">
      <c r="A1448" s="9" t="str">
        <f>HYPERLINK("http://www.ensembl.org/id/WBGene00048791", "WBGene00048791")</f>
        <v>WBGene00048791</v>
      </c>
      <c r="B1448" s="9"/>
      <c r="C1448" s="9"/>
      <c r="D1448" t="str">
        <f>"21ur-4820"</f>
        <v>21ur-4820</v>
      </c>
      <c r="F1448" t="s">
        <v>3161</v>
      </c>
      <c r="H1448" s="12">
        <v>-2.4991590031922399</v>
      </c>
      <c r="I1448" s="11">
        <v>-0.26577412737581302</v>
      </c>
      <c r="J1448" s="10">
        <v>0.79041317015736101</v>
      </c>
      <c r="K1448" s="29">
        <v>0.98289565623980701</v>
      </c>
    </row>
    <row r="1449" spans="1:11" x14ac:dyDescent="0.35">
      <c r="A1449" s="9" t="str">
        <f>HYPERLINK("http://www.ensembl.org/id/WBGene00046724", "WBGene00046724")</f>
        <v>WBGene00046724</v>
      </c>
      <c r="B1449" s="9"/>
      <c r="C1449" s="9"/>
      <c r="D1449" t="str">
        <f>"21ur-486"</f>
        <v>21ur-486</v>
      </c>
      <c r="F1449" t="s">
        <v>3161</v>
      </c>
      <c r="H1449" s="12">
        <v>-2.4991590031922399</v>
      </c>
      <c r="I1449" s="11">
        <v>-0.26577412737581302</v>
      </c>
      <c r="J1449" s="10">
        <v>0.79041317015736101</v>
      </c>
      <c r="K1449" s="29">
        <v>0.98289565623980701</v>
      </c>
    </row>
    <row r="1450" spans="1:11" x14ac:dyDescent="0.35">
      <c r="A1450" s="9" t="str">
        <f>HYPERLINK("http://www.ensembl.org/id/WBGene00046511", "WBGene00046511")</f>
        <v>WBGene00046511</v>
      </c>
      <c r="B1450" s="9"/>
      <c r="C1450" s="9"/>
      <c r="D1450" t="str">
        <f>"21ur-5074"</f>
        <v>21ur-5074</v>
      </c>
      <c r="F1450" t="s">
        <v>3161</v>
      </c>
      <c r="H1450" s="12">
        <v>-2.4991590031922399</v>
      </c>
      <c r="I1450" s="11">
        <v>-0.26577412737581302</v>
      </c>
      <c r="J1450" s="10">
        <v>0.79041317015736101</v>
      </c>
      <c r="K1450" s="29">
        <v>0.98289565623980701</v>
      </c>
    </row>
    <row r="1451" spans="1:11" x14ac:dyDescent="0.35">
      <c r="A1451" s="9" t="str">
        <f>HYPERLINK("http://www.ensembl.org/id/WBGene00047238", "WBGene00047238")</f>
        <v>WBGene00047238</v>
      </c>
      <c r="B1451" s="9"/>
      <c r="C1451" s="9"/>
      <c r="D1451" t="str">
        <f>"21ur-5206"</f>
        <v>21ur-5206</v>
      </c>
      <c r="F1451" t="s">
        <v>3161</v>
      </c>
      <c r="H1451" s="12">
        <v>-2.4991590031922399</v>
      </c>
      <c r="I1451" s="11">
        <v>-0.26577412737581302</v>
      </c>
      <c r="J1451" s="10">
        <v>0.79041317015736101</v>
      </c>
      <c r="K1451" s="29">
        <v>0.98289565623980701</v>
      </c>
    </row>
    <row r="1452" spans="1:11" x14ac:dyDescent="0.35">
      <c r="A1452" s="9" t="str">
        <f>HYPERLINK("http://www.ensembl.org/id/WBGene00046806", "WBGene00046806")</f>
        <v>WBGene00046806</v>
      </c>
      <c r="B1452" s="9"/>
      <c r="C1452" s="9"/>
      <c r="D1452" t="str">
        <f>"21ur-526"</f>
        <v>21ur-526</v>
      </c>
      <c r="F1452" t="s">
        <v>3161</v>
      </c>
      <c r="H1452" s="12">
        <v>-2.4991590031922399</v>
      </c>
      <c r="I1452" s="11">
        <v>-0.26577412737581302</v>
      </c>
      <c r="J1452" s="10">
        <v>0.79041317015736101</v>
      </c>
      <c r="K1452" s="29">
        <v>0.98289565623980701</v>
      </c>
    </row>
    <row r="1453" spans="1:11" x14ac:dyDescent="0.35">
      <c r="A1453" s="9" t="str">
        <f>HYPERLINK("http://www.ensembl.org/id/WBGene00048458", "WBGene00048458")</f>
        <v>WBGene00048458</v>
      </c>
      <c r="B1453" s="9"/>
      <c r="C1453" s="9"/>
      <c r="D1453" t="str">
        <f>"21ur-5418"</f>
        <v>21ur-5418</v>
      </c>
      <c r="F1453" t="s">
        <v>3161</v>
      </c>
      <c r="H1453" s="12">
        <v>-2.4991590031922399</v>
      </c>
      <c r="I1453" s="11">
        <v>-0.26577412737581302</v>
      </c>
      <c r="J1453" s="10">
        <v>0.79041317015736101</v>
      </c>
      <c r="K1453" s="29">
        <v>0.98289565623980701</v>
      </c>
    </row>
    <row r="1454" spans="1:11" x14ac:dyDescent="0.35">
      <c r="A1454" s="9" t="str">
        <f>HYPERLINK("http://www.ensembl.org/id/WBGene00167607", "WBGene00167607")</f>
        <v>WBGene00167607</v>
      </c>
      <c r="B1454" s="9"/>
      <c r="C1454" s="9"/>
      <c r="D1454" t="str">
        <f>"21ur-6071"</f>
        <v>21ur-6071</v>
      </c>
      <c r="F1454" t="s">
        <v>3161</v>
      </c>
      <c r="H1454" s="12">
        <v>-2.4991590031922399</v>
      </c>
      <c r="I1454" s="11">
        <v>-0.26577412737581302</v>
      </c>
      <c r="J1454" s="10">
        <v>0.79041317015736101</v>
      </c>
      <c r="K1454" s="29">
        <v>0.98289565623980701</v>
      </c>
    </row>
    <row r="1455" spans="1:11" x14ac:dyDescent="0.35">
      <c r="A1455" s="9" t="str">
        <f>HYPERLINK("http://www.ensembl.org/id/WBGene00174551", "WBGene00174551")</f>
        <v>WBGene00174551</v>
      </c>
      <c r="B1455" s="9"/>
      <c r="C1455" s="9"/>
      <c r="D1455" t="str">
        <f>"21ur-6420"</f>
        <v>21ur-6420</v>
      </c>
      <c r="F1455" t="s">
        <v>3161</v>
      </c>
      <c r="H1455" s="12">
        <v>-2.4991590031922399</v>
      </c>
      <c r="I1455" s="11">
        <v>-0.26577412737581302</v>
      </c>
      <c r="J1455" s="10">
        <v>0.79041317015736101</v>
      </c>
      <c r="K1455" s="29">
        <v>0.98289565623980701</v>
      </c>
    </row>
    <row r="1456" spans="1:11" x14ac:dyDescent="0.35">
      <c r="A1456" s="9" t="str">
        <f>HYPERLINK("http://www.ensembl.org/id/WBGene00166938", "WBGene00166938")</f>
        <v>WBGene00166938</v>
      </c>
      <c r="B1456" s="9"/>
      <c r="C1456" s="9"/>
      <c r="D1456" t="str">
        <f>"21ur-6459"</f>
        <v>21ur-6459</v>
      </c>
      <c r="F1456" t="s">
        <v>3161</v>
      </c>
      <c r="H1456" s="12">
        <v>-2.4991590031922399</v>
      </c>
      <c r="I1456" s="11">
        <v>-0.26577412737581302</v>
      </c>
      <c r="J1456" s="10">
        <v>0.79041317015736101</v>
      </c>
      <c r="K1456" s="29">
        <v>0.98289565623980701</v>
      </c>
    </row>
    <row r="1457" spans="1:11" x14ac:dyDescent="0.35">
      <c r="A1457" s="9" t="str">
        <f>HYPERLINK("http://www.ensembl.org/id/WBGene00166976", "WBGene00166976")</f>
        <v>WBGene00166976</v>
      </c>
      <c r="B1457" s="9"/>
      <c r="C1457" s="9"/>
      <c r="D1457" t="str">
        <f>"21ur-6683"</f>
        <v>21ur-6683</v>
      </c>
      <c r="F1457" t="s">
        <v>3161</v>
      </c>
      <c r="H1457" s="12">
        <v>-2.4991590031922399</v>
      </c>
      <c r="I1457" s="11">
        <v>-0.26577412737581302</v>
      </c>
      <c r="J1457" s="10">
        <v>0.79041317015736101</v>
      </c>
      <c r="K1457" s="29">
        <v>0.98289565623980701</v>
      </c>
    </row>
    <row r="1458" spans="1:11" x14ac:dyDescent="0.35">
      <c r="A1458" s="9" t="str">
        <f>HYPERLINK("http://www.ensembl.org/id/WBGene00165544", "WBGene00165544")</f>
        <v>WBGene00165544</v>
      </c>
      <c r="B1458" s="9"/>
      <c r="C1458" s="9"/>
      <c r="D1458" t="str">
        <f>"21ur-6716"</f>
        <v>21ur-6716</v>
      </c>
      <c r="F1458" t="s">
        <v>3161</v>
      </c>
      <c r="H1458" s="12">
        <v>-2.4991590031922399</v>
      </c>
      <c r="I1458" s="11">
        <v>-0.26577412737581302</v>
      </c>
      <c r="J1458" s="10">
        <v>0.79041317015736101</v>
      </c>
      <c r="K1458" s="29">
        <v>0.98289565623980701</v>
      </c>
    </row>
    <row r="1459" spans="1:11" x14ac:dyDescent="0.35">
      <c r="A1459" s="9" t="str">
        <f>HYPERLINK("http://www.ensembl.org/id/WBGene00169664", "WBGene00169664")</f>
        <v>WBGene00169664</v>
      </c>
      <c r="B1459" s="9"/>
      <c r="C1459" s="9"/>
      <c r="D1459" t="str">
        <f>"21ur-7086"</f>
        <v>21ur-7086</v>
      </c>
      <c r="F1459" t="s">
        <v>3161</v>
      </c>
      <c r="H1459" s="12">
        <v>-2.4991590031922399</v>
      </c>
      <c r="I1459" s="11">
        <v>-0.26577412737581302</v>
      </c>
      <c r="J1459" s="10">
        <v>0.79041317015736101</v>
      </c>
      <c r="K1459" s="29">
        <v>0.98289565623980701</v>
      </c>
    </row>
    <row r="1460" spans="1:11" x14ac:dyDescent="0.35">
      <c r="A1460" s="9" t="str">
        <f>HYPERLINK("http://www.ensembl.org/id/WBGene00173292", "WBGene00173292")</f>
        <v>WBGene00173292</v>
      </c>
      <c r="B1460" s="9"/>
      <c r="C1460" s="9"/>
      <c r="D1460" t="str">
        <f>"21ur-7346"</f>
        <v>21ur-7346</v>
      </c>
      <c r="F1460" t="s">
        <v>3161</v>
      </c>
      <c r="H1460" s="12">
        <v>-2.4991590031922399</v>
      </c>
      <c r="I1460" s="11">
        <v>-0.26577412737581302</v>
      </c>
      <c r="J1460" s="10">
        <v>0.79041317015736101</v>
      </c>
      <c r="K1460" s="29">
        <v>0.98289565623980701</v>
      </c>
    </row>
    <row r="1461" spans="1:11" x14ac:dyDescent="0.35">
      <c r="A1461" s="9" t="str">
        <f>HYPERLINK("http://www.ensembl.org/id/WBGene00173542", "WBGene00173542")</f>
        <v>WBGene00173542</v>
      </c>
      <c r="B1461" s="9"/>
      <c r="C1461" s="9"/>
      <c r="D1461" t="str">
        <f>"21ur-7915"</f>
        <v>21ur-7915</v>
      </c>
      <c r="F1461" t="s">
        <v>3161</v>
      </c>
      <c r="H1461" s="12">
        <v>-2.4991590031922399</v>
      </c>
      <c r="I1461" s="11">
        <v>-0.26577412737581302</v>
      </c>
      <c r="J1461" s="10">
        <v>0.79041317015736101</v>
      </c>
      <c r="K1461" s="29">
        <v>0.98289565623980701</v>
      </c>
    </row>
    <row r="1462" spans="1:11" x14ac:dyDescent="0.35">
      <c r="A1462" s="9" t="str">
        <f>HYPERLINK("http://www.ensembl.org/id/WBGene00165579", "WBGene00165579")</f>
        <v>WBGene00165579</v>
      </c>
      <c r="B1462" s="9"/>
      <c r="C1462" s="9"/>
      <c r="D1462" t="str">
        <f>"21ur-8273"</f>
        <v>21ur-8273</v>
      </c>
      <c r="F1462" t="s">
        <v>3161</v>
      </c>
      <c r="H1462" s="12">
        <v>-2.4991590031922399</v>
      </c>
      <c r="I1462" s="11">
        <v>-0.26577412737581302</v>
      </c>
      <c r="J1462" s="10">
        <v>0.79041317015736101</v>
      </c>
      <c r="K1462" s="29">
        <v>0.98289565623980701</v>
      </c>
    </row>
    <row r="1463" spans="1:11" x14ac:dyDescent="0.35">
      <c r="A1463" s="9" t="str">
        <f>HYPERLINK("http://www.ensembl.org/id/WBGene00170626", "WBGene00170626")</f>
        <v>WBGene00170626</v>
      </c>
      <c r="B1463" s="9"/>
      <c r="C1463" s="9"/>
      <c r="D1463" t="str">
        <f>"21ur-8285"</f>
        <v>21ur-8285</v>
      </c>
      <c r="F1463" t="s">
        <v>3161</v>
      </c>
      <c r="H1463" s="12">
        <v>-2.4991590031922399</v>
      </c>
      <c r="I1463" s="11">
        <v>-0.26577412737581302</v>
      </c>
      <c r="J1463" s="10">
        <v>0.79041317015736101</v>
      </c>
      <c r="K1463" s="29">
        <v>0.98289565623980701</v>
      </c>
    </row>
    <row r="1464" spans="1:11" x14ac:dyDescent="0.35">
      <c r="A1464" s="9" t="str">
        <f>HYPERLINK("http://www.ensembl.org/id/WBGene00174411", "WBGene00174411")</f>
        <v>WBGene00174411</v>
      </c>
      <c r="B1464" s="9"/>
      <c r="C1464" s="9"/>
      <c r="D1464" t="str">
        <f>"21ur-8544"</f>
        <v>21ur-8544</v>
      </c>
      <c r="F1464" t="s">
        <v>3161</v>
      </c>
      <c r="H1464" s="12">
        <v>-2.4991590031922399</v>
      </c>
      <c r="I1464" s="11">
        <v>-0.26577412737581302</v>
      </c>
      <c r="J1464" s="10">
        <v>0.79041317015736101</v>
      </c>
      <c r="K1464" s="29">
        <v>0.98289565623980701</v>
      </c>
    </row>
    <row r="1465" spans="1:11" x14ac:dyDescent="0.35">
      <c r="A1465" s="9" t="str">
        <f>HYPERLINK("http://www.ensembl.org/id/WBGene00172730", "WBGene00172730")</f>
        <v>WBGene00172730</v>
      </c>
      <c r="B1465" s="9"/>
      <c r="C1465" s="9"/>
      <c r="D1465" t="str">
        <f>"21ur-8736"</f>
        <v>21ur-8736</v>
      </c>
      <c r="F1465" t="s">
        <v>3161</v>
      </c>
      <c r="H1465" s="12">
        <v>-2.4991590031922399</v>
      </c>
      <c r="I1465" s="11">
        <v>-0.26577412737581302</v>
      </c>
      <c r="J1465" s="10">
        <v>0.79041317015736101</v>
      </c>
      <c r="K1465" s="29">
        <v>0.98289565623980701</v>
      </c>
    </row>
    <row r="1466" spans="1:11" x14ac:dyDescent="0.35">
      <c r="A1466" s="9" t="str">
        <f>HYPERLINK("http://www.ensembl.org/id/WBGene00173461", "WBGene00173461")</f>
        <v>WBGene00173461</v>
      </c>
      <c r="B1466" s="9"/>
      <c r="C1466" s="9"/>
      <c r="D1466" t="str">
        <f>"21ur-8742"</f>
        <v>21ur-8742</v>
      </c>
      <c r="F1466" t="s">
        <v>3161</v>
      </c>
      <c r="H1466" s="12">
        <v>-2.4991590031922399</v>
      </c>
      <c r="I1466" s="11">
        <v>-0.26577412737581302</v>
      </c>
      <c r="J1466" s="10">
        <v>0.79041317015736101</v>
      </c>
      <c r="K1466" s="29">
        <v>0.98289565623980701</v>
      </c>
    </row>
    <row r="1467" spans="1:11" x14ac:dyDescent="0.35">
      <c r="A1467" s="9" t="str">
        <f>HYPERLINK("http://www.ensembl.org/id/WBGene00167019", "WBGene00167019")</f>
        <v>WBGene00167019</v>
      </c>
      <c r="B1467" s="9"/>
      <c r="C1467" s="9"/>
      <c r="D1467" t="str">
        <f>"21ur-8753"</f>
        <v>21ur-8753</v>
      </c>
      <c r="F1467" t="s">
        <v>3161</v>
      </c>
      <c r="H1467" s="12">
        <v>-2.4991590031922399</v>
      </c>
      <c r="I1467" s="11">
        <v>-0.26577412737581302</v>
      </c>
      <c r="J1467" s="10">
        <v>0.79041317015736101</v>
      </c>
      <c r="K1467" s="29">
        <v>0.98289565623980701</v>
      </c>
    </row>
    <row r="1468" spans="1:11" x14ac:dyDescent="0.35">
      <c r="A1468" s="9" t="str">
        <f>HYPERLINK("http://www.ensembl.org/id/WBGene00170170", "WBGene00170170")</f>
        <v>WBGene00170170</v>
      </c>
      <c r="B1468" s="9"/>
      <c r="C1468" s="9"/>
      <c r="D1468" t="str">
        <f>"21ur-8763"</f>
        <v>21ur-8763</v>
      </c>
      <c r="F1468" t="s">
        <v>3161</v>
      </c>
      <c r="H1468" s="12">
        <v>-2.4991590031922399</v>
      </c>
      <c r="I1468" s="11">
        <v>-0.26577412737581302</v>
      </c>
      <c r="J1468" s="10">
        <v>0.79041317015736101</v>
      </c>
      <c r="K1468" s="29">
        <v>0.98289565623980701</v>
      </c>
    </row>
    <row r="1469" spans="1:11" x14ac:dyDescent="0.35">
      <c r="A1469" s="9" t="str">
        <f>HYPERLINK("http://www.ensembl.org/id/WBGene00172189", "WBGene00172189")</f>
        <v>WBGene00172189</v>
      </c>
      <c r="B1469" s="9"/>
      <c r="C1469" s="9"/>
      <c r="D1469" t="str">
        <f>"21ur-8883"</f>
        <v>21ur-8883</v>
      </c>
      <c r="F1469" t="s">
        <v>3161</v>
      </c>
      <c r="H1469" s="12">
        <v>-2.4991590031922399</v>
      </c>
      <c r="I1469" s="11">
        <v>-0.26577412737581302</v>
      </c>
      <c r="J1469" s="10">
        <v>0.79041317015736101</v>
      </c>
      <c r="K1469" s="29">
        <v>0.98289565623980701</v>
      </c>
    </row>
    <row r="1470" spans="1:11" x14ac:dyDescent="0.35">
      <c r="A1470" s="9" t="str">
        <f>HYPERLINK("http://www.ensembl.org/id/WBGene00173375", "WBGene00173375")</f>
        <v>WBGene00173375</v>
      </c>
      <c r="B1470" s="9"/>
      <c r="C1470" s="9"/>
      <c r="D1470" t="str">
        <f>"21ur-9310"</f>
        <v>21ur-9310</v>
      </c>
      <c r="F1470" t="s">
        <v>3161</v>
      </c>
      <c r="H1470" s="12">
        <v>-2.4991590031922399</v>
      </c>
      <c r="I1470" s="11">
        <v>-0.26577412737581302</v>
      </c>
      <c r="J1470" s="10">
        <v>0.79041317015736101</v>
      </c>
      <c r="K1470" s="29">
        <v>0.98289565623980701</v>
      </c>
    </row>
    <row r="1471" spans="1:11" x14ac:dyDescent="0.35">
      <c r="A1471" s="9" t="str">
        <f>HYPERLINK("http://www.ensembl.org/id/WBGene00168301", "WBGene00168301")</f>
        <v>WBGene00168301</v>
      </c>
      <c r="B1471" s="9"/>
      <c r="C1471" s="9"/>
      <c r="D1471" t="str">
        <f>"21ur-9674"</f>
        <v>21ur-9674</v>
      </c>
      <c r="F1471" t="s">
        <v>3161</v>
      </c>
      <c r="H1471" s="12">
        <v>-2.4991590031922399</v>
      </c>
      <c r="I1471" s="11">
        <v>-0.26577412737581302</v>
      </c>
      <c r="J1471" s="10">
        <v>0.79041317015736101</v>
      </c>
      <c r="K1471" s="29">
        <v>0.98289565623980701</v>
      </c>
    </row>
    <row r="1472" spans="1:11" x14ac:dyDescent="0.35">
      <c r="A1472" s="9" t="str">
        <f>HYPERLINK("http://www.ensembl.org/id/WBGene00044951", "WBGene00044951")</f>
        <v>WBGene00044951</v>
      </c>
      <c r="B1472" s="9"/>
      <c r="C1472" s="9"/>
      <c r="D1472" t="str">
        <f>"2RSSE.3"</f>
        <v>2RSSE.3</v>
      </c>
      <c r="F1472" t="s">
        <v>80</v>
      </c>
      <c r="H1472" s="12">
        <v>-2.4991590031922399</v>
      </c>
      <c r="I1472" s="11">
        <v>-0.26577412737581302</v>
      </c>
      <c r="J1472" s="10">
        <v>0.79041317015736101</v>
      </c>
      <c r="K1472" s="29">
        <v>0.98289565623980701</v>
      </c>
    </row>
    <row r="1473" spans="1:11" x14ac:dyDescent="0.35">
      <c r="A1473" s="9" t="str">
        <f>HYPERLINK("http://www.ensembl.org/id/WBGene00077502", "WBGene00077502")</f>
        <v>WBGene00077502</v>
      </c>
      <c r="B1473" s="9"/>
      <c r="C1473" s="9"/>
      <c r="D1473" t="str">
        <f>"AC3.11"</f>
        <v>AC3.11</v>
      </c>
      <c r="F1473" t="s">
        <v>80</v>
      </c>
      <c r="H1473" s="12">
        <v>-2.4991590031922399</v>
      </c>
      <c r="I1473" s="11">
        <v>-0.26577412737581302</v>
      </c>
      <c r="J1473" s="10">
        <v>0.79041317015736101</v>
      </c>
      <c r="K1473" s="29">
        <v>0.98289565623980701</v>
      </c>
    </row>
    <row r="1474" spans="1:11" x14ac:dyDescent="0.35">
      <c r="A1474" s="9" t="str">
        <f>HYPERLINK("http://www.ensembl.org/id/WBGene00219764", "WBGene00219764")</f>
        <v>WBGene00219764</v>
      </c>
      <c r="B1474" s="9"/>
      <c r="C1474" s="9"/>
      <c r="D1474" t="str">
        <f>"anr-47"</f>
        <v>anr-47</v>
      </c>
      <c r="F1474" t="s">
        <v>2735</v>
      </c>
      <c r="H1474" s="12">
        <v>-2.4991590031922399</v>
      </c>
      <c r="I1474" s="11">
        <v>-0.26577412737581302</v>
      </c>
      <c r="J1474" s="10">
        <v>0.79041317015736101</v>
      </c>
      <c r="K1474" s="29">
        <v>0.98289565623980701</v>
      </c>
    </row>
    <row r="1475" spans="1:11" x14ac:dyDescent="0.35">
      <c r="A1475" s="9" t="str">
        <f>HYPERLINK("http://www.ensembl.org/id/WBGene00196931", "WBGene00196931")</f>
        <v>WBGene00196931</v>
      </c>
      <c r="B1475" s="9"/>
      <c r="C1475" s="9"/>
      <c r="D1475" t="str">
        <f>"B0001.10"</f>
        <v>B0001.10</v>
      </c>
      <c r="F1475" t="s">
        <v>481</v>
      </c>
      <c r="H1475" s="12">
        <v>-2.4991590031922399</v>
      </c>
      <c r="I1475" s="11">
        <v>-0.26577412737581302</v>
      </c>
      <c r="J1475" s="10">
        <v>0.79041317015736101</v>
      </c>
      <c r="K1475" s="29">
        <v>0.98289565623980701</v>
      </c>
    </row>
    <row r="1476" spans="1:11" x14ac:dyDescent="0.35">
      <c r="A1476" s="9" t="str">
        <f>HYPERLINK("http://www.ensembl.org/id/WBGene00271637", "WBGene00271637")</f>
        <v>WBGene00271637</v>
      </c>
      <c r="B1476" s="9"/>
      <c r="C1476" s="9"/>
      <c r="D1476" t="str">
        <f>"B0280.21"</f>
        <v>B0280.21</v>
      </c>
      <c r="F1476" t="s">
        <v>481</v>
      </c>
      <c r="H1476" s="12">
        <v>-2.4991590031922399</v>
      </c>
      <c r="I1476" s="11">
        <v>-0.26577412737581302</v>
      </c>
      <c r="J1476" s="10">
        <v>0.79041317015736101</v>
      </c>
      <c r="K1476" s="29">
        <v>0.98289565623980701</v>
      </c>
    </row>
    <row r="1477" spans="1:11" x14ac:dyDescent="0.35">
      <c r="A1477" s="9" t="str">
        <f>HYPERLINK("http://www.ensembl.org/id/WBGene00235162", "WBGene00235162")</f>
        <v>WBGene00235162</v>
      </c>
      <c r="B1477" s="9"/>
      <c r="C1477" s="9"/>
      <c r="D1477" t="str">
        <f>"B0361.13"</f>
        <v>B0361.13</v>
      </c>
      <c r="F1477" t="s">
        <v>481</v>
      </c>
      <c r="H1477" s="12">
        <v>-2.4991590031922399</v>
      </c>
      <c r="I1477" s="11">
        <v>-0.26577412737581302</v>
      </c>
      <c r="J1477" s="10">
        <v>0.79041317015736101</v>
      </c>
      <c r="K1477" s="29">
        <v>0.98289565623980701</v>
      </c>
    </row>
    <row r="1478" spans="1:11" x14ac:dyDescent="0.35">
      <c r="A1478" s="9" t="str">
        <f>HYPERLINK("http://www.ensembl.org/id/WBGene00196022", "WBGene00196022")</f>
        <v>WBGene00196022</v>
      </c>
      <c r="B1478" s="9"/>
      <c r="C1478" s="9"/>
      <c r="D1478" t="str">
        <f>"B0495.13"</f>
        <v>B0495.13</v>
      </c>
      <c r="F1478" t="s">
        <v>481</v>
      </c>
      <c r="H1478" s="12">
        <v>-2.4991590031922399</v>
      </c>
      <c r="I1478" s="11">
        <v>-0.26577412737581302</v>
      </c>
      <c r="J1478" s="10">
        <v>0.79041317015736101</v>
      </c>
      <c r="K1478" s="29">
        <v>0.98289565623980701</v>
      </c>
    </row>
    <row r="1479" spans="1:11" x14ac:dyDescent="0.35">
      <c r="A1479" s="9" t="str">
        <f>HYPERLINK("http://www.ensembl.org/id/WBGene00202300", "WBGene00202300")</f>
        <v>WBGene00202300</v>
      </c>
      <c r="B1479" s="9"/>
      <c r="C1479" s="9"/>
      <c r="D1479" t="str">
        <f>"C01G6.13"</f>
        <v>C01G6.13</v>
      </c>
      <c r="F1479" t="s">
        <v>481</v>
      </c>
      <c r="H1479" s="12">
        <v>-2.4991590031922399</v>
      </c>
      <c r="I1479" s="11">
        <v>-0.26577412737581302</v>
      </c>
      <c r="J1479" s="10">
        <v>0.79041317015736101</v>
      </c>
      <c r="K1479" s="29">
        <v>0.98289565623980701</v>
      </c>
    </row>
    <row r="1480" spans="1:11" x14ac:dyDescent="0.35">
      <c r="A1480" s="9" t="str">
        <f>HYPERLINK("http://www.ensembl.org/id/WBGene00197114", "WBGene00197114")</f>
        <v>WBGene00197114</v>
      </c>
      <c r="B1480" s="9"/>
      <c r="C1480" s="9"/>
      <c r="D1480" t="str">
        <f>"C02C6.6"</f>
        <v>C02C6.6</v>
      </c>
      <c r="F1480" t="s">
        <v>481</v>
      </c>
      <c r="H1480" s="12">
        <v>-2.4991590031922399</v>
      </c>
      <c r="I1480" s="11">
        <v>-0.26577412737581302</v>
      </c>
      <c r="J1480" s="10">
        <v>0.79041317015736101</v>
      </c>
      <c r="K1480" s="29">
        <v>0.98289565623980701</v>
      </c>
    </row>
    <row r="1481" spans="1:11" x14ac:dyDescent="0.35">
      <c r="A1481" s="9" t="str">
        <f>HYPERLINK("http://www.ensembl.org/id/WBGene00199624", "WBGene00199624")</f>
        <v>WBGene00199624</v>
      </c>
      <c r="B1481" s="9"/>
      <c r="C1481" s="9"/>
      <c r="D1481" t="str">
        <f>"C02D4.11"</f>
        <v>C02D4.11</v>
      </c>
      <c r="F1481" t="s">
        <v>481</v>
      </c>
      <c r="H1481" s="12">
        <v>-2.4991590031922399</v>
      </c>
      <c r="I1481" s="11">
        <v>-0.26577412737581302</v>
      </c>
      <c r="J1481" s="10">
        <v>0.79041317015736101</v>
      </c>
      <c r="K1481" s="29">
        <v>0.98289565623980701</v>
      </c>
    </row>
    <row r="1482" spans="1:11" x14ac:dyDescent="0.35">
      <c r="A1482" s="9" t="str">
        <f>HYPERLINK("http://www.ensembl.org/id/WBGene00015394", "WBGene00015394")</f>
        <v>WBGene00015394</v>
      </c>
      <c r="B1482" s="9" t="str">
        <f>HYPERLINK("http://www.ncbi.nlm.nih.gov/gene/182169", "182169")</f>
        <v>182169</v>
      </c>
      <c r="C1482" s="9"/>
      <c r="D1482" t="str">
        <f>"C03G6.6"</f>
        <v>C03G6.6</v>
      </c>
      <c r="F1482" t="s">
        <v>11</v>
      </c>
      <c r="G1482" t="s">
        <v>25</v>
      </c>
      <c r="H1482" s="12">
        <v>-2.4991590031922399</v>
      </c>
      <c r="I1482" s="11">
        <v>-0.26577412737581302</v>
      </c>
      <c r="J1482" s="10">
        <v>0.79041317015736101</v>
      </c>
      <c r="K1482" s="29">
        <v>0.98289565623980701</v>
      </c>
    </row>
    <row r="1483" spans="1:11" x14ac:dyDescent="0.35">
      <c r="A1483" s="9" t="str">
        <f>HYPERLINK("http://www.ensembl.org/id/WBGene00200701", "WBGene00200701")</f>
        <v>WBGene00200701</v>
      </c>
      <c r="B1483" s="9"/>
      <c r="C1483" s="9"/>
      <c r="D1483" t="str">
        <f>"C05B10.18"</f>
        <v>C05B10.18</v>
      </c>
      <c r="F1483" t="s">
        <v>481</v>
      </c>
      <c r="H1483" s="12">
        <v>-2.4991590031922399</v>
      </c>
      <c r="I1483" s="11">
        <v>-0.26577412737581302</v>
      </c>
      <c r="J1483" s="10">
        <v>0.79041317015736101</v>
      </c>
      <c r="K1483" s="29">
        <v>0.98289565623980701</v>
      </c>
    </row>
    <row r="1484" spans="1:11" x14ac:dyDescent="0.35">
      <c r="A1484" s="9" t="str">
        <f>HYPERLINK("http://www.ensembl.org/id/WBGene00194886", "WBGene00194886")</f>
        <v>WBGene00194886</v>
      </c>
      <c r="B1484" s="9" t="str">
        <f>HYPERLINK("http://www.ncbi.nlm.nih.gov/gene/13191000", "13191000")</f>
        <v>13191000</v>
      </c>
      <c r="C1484" s="9"/>
      <c r="D1484" t="str">
        <f>"C05B5.12"</f>
        <v>C05B5.12</v>
      </c>
      <c r="F1484" t="s">
        <v>11</v>
      </c>
      <c r="H1484" s="12">
        <v>-2.4991590031922399</v>
      </c>
      <c r="I1484" s="11">
        <v>-0.26577412737581302</v>
      </c>
      <c r="J1484" s="10">
        <v>0.79041317015736101</v>
      </c>
      <c r="K1484" s="29">
        <v>0.98289565623980701</v>
      </c>
    </row>
    <row r="1485" spans="1:11" x14ac:dyDescent="0.35">
      <c r="A1485" s="9" t="str">
        <f>HYPERLINK("http://www.ensembl.org/id/WBGene00195629", "WBGene00195629")</f>
        <v>WBGene00195629</v>
      </c>
      <c r="B1485" s="9"/>
      <c r="C1485" s="9"/>
      <c r="D1485" t="str">
        <f>"C05G5.8"</f>
        <v>C05G5.8</v>
      </c>
      <c r="F1485" t="s">
        <v>481</v>
      </c>
      <c r="H1485" s="12">
        <v>-2.4991590031922399</v>
      </c>
      <c r="I1485" s="11">
        <v>-0.26577412737581302</v>
      </c>
      <c r="J1485" s="10">
        <v>0.79041317015736101</v>
      </c>
      <c r="K1485" s="29">
        <v>0.98289565623980701</v>
      </c>
    </row>
    <row r="1486" spans="1:11" x14ac:dyDescent="0.35">
      <c r="A1486" s="9" t="str">
        <f>HYPERLINK("http://www.ensembl.org/id/WBGene00199573", "WBGene00199573")</f>
        <v>WBGene00199573</v>
      </c>
      <c r="B1486" s="9"/>
      <c r="C1486" s="9"/>
      <c r="D1486" t="str">
        <f>"C06A6.12"</f>
        <v>C06A6.12</v>
      </c>
      <c r="F1486" t="s">
        <v>481</v>
      </c>
      <c r="H1486" s="12">
        <v>-2.4991590031922399</v>
      </c>
      <c r="I1486" s="11">
        <v>-0.26577412737581302</v>
      </c>
      <c r="J1486" s="10">
        <v>0.79041317015736101</v>
      </c>
      <c r="K1486" s="29">
        <v>0.98289565623980701</v>
      </c>
    </row>
    <row r="1487" spans="1:11" x14ac:dyDescent="0.35">
      <c r="A1487" s="9" t="str">
        <f>HYPERLINK("http://www.ensembl.org/id/WBGene00201117", "WBGene00201117")</f>
        <v>WBGene00201117</v>
      </c>
      <c r="B1487" s="9"/>
      <c r="C1487" s="9"/>
      <c r="D1487" t="str">
        <f>"C06A8.15"</f>
        <v>C06A8.15</v>
      </c>
      <c r="F1487" t="s">
        <v>481</v>
      </c>
      <c r="H1487" s="12">
        <v>-2.4991590031922399</v>
      </c>
      <c r="I1487" s="11">
        <v>-0.26577412737581302</v>
      </c>
      <c r="J1487" s="10">
        <v>0.79041317015736101</v>
      </c>
      <c r="K1487" s="29">
        <v>0.98289565623980701</v>
      </c>
    </row>
    <row r="1488" spans="1:11" x14ac:dyDescent="0.35">
      <c r="A1488" s="9" t="str">
        <f>HYPERLINK("http://www.ensembl.org/id/WBGene00197975", "WBGene00197975")</f>
        <v>WBGene00197975</v>
      </c>
      <c r="B1488" s="9"/>
      <c r="C1488" s="9"/>
      <c r="D1488" t="str">
        <f>"C06G1.12"</f>
        <v>C06G1.12</v>
      </c>
      <c r="F1488" t="s">
        <v>481</v>
      </c>
      <c r="H1488" s="12">
        <v>-2.4991590031922399</v>
      </c>
      <c r="I1488" s="11">
        <v>-0.26577412737581302</v>
      </c>
      <c r="J1488" s="10">
        <v>0.79041317015736101</v>
      </c>
      <c r="K1488" s="29">
        <v>0.98289565623980701</v>
      </c>
    </row>
    <row r="1489" spans="1:11" x14ac:dyDescent="0.35">
      <c r="A1489" s="9" t="str">
        <f>HYPERLINK("http://www.ensembl.org/id/WBGene00197967", "WBGene00197967")</f>
        <v>WBGene00197967</v>
      </c>
      <c r="B1489" s="9"/>
      <c r="C1489" s="9"/>
      <c r="D1489" t="str">
        <f>"C07A4.7"</f>
        <v>C07A4.7</v>
      </c>
      <c r="F1489" t="s">
        <v>481</v>
      </c>
      <c r="H1489" s="12">
        <v>-2.4991590031922399</v>
      </c>
      <c r="I1489" s="11">
        <v>-0.26577412737581302</v>
      </c>
      <c r="J1489" s="10">
        <v>0.79041317015736101</v>
      </c>
      <c r="K1489" s="29">
        <v>0.98289565623980701</v>
      </c>
    </row>
    <row r="1490" spans="1:11" x14ac:dyDescent="0.35">
      <c r="A1490" s="9" t="str">
        <f>HYPERLINK("http://www.ensembl.org/id/WBGene00199702", "WBGene00199702")</f>
        <v>WBGene00199702</v>
      </c>
      <c r="B1490" s="9"/>
      <c r="C1490" s="9"/>
      <c r="D1490" t="str">
        <f>"C11E4.11"</f>
        <v>C11E4.11</v>
      </c>
      <c r="F1490" t="s">
        <v>481</v>
      </c>
      <c r="H1490" s="12">
        <v>-2.4991590031922399</v>
      </c>
      <c r="I1490" s="11">
        <v>-0.26577412737581302</v>
      </c>
      <c r="J1490" s="10">
        <v>0.79041317015736101</v>
      </c>
      <c r="K1490" s="29">
        <v>0.98289565623980701</v>
      </c>
    </row>
    <row r="1491" spans="1:11" x14ac:dyDescent="0.35">
      <c r="A1491" s="9" t="str">
        <f>HYPERLINK("http://www.ensembl.org/id/WBGene00197914", "WBGene00197914")</f>
        <v>WBGene00197914</v>
      </c>
      <c r="B1491" s="9"/>
      <c r="C1491" s="9"/>
      <c r="D1491" t="str">
        <f>"C14C11.10"</f>
        <v>C14C11.10</v>
      </c>
      <c r="F1491" t="s">
        <v>481</v>
      </c>
      <c r="H1491" s="12">
        <v>-2.4991590031922399</v>
      </c>
      <c r="I1491" s="11">
        <v>-0.26577412737581302</v>
      </c>
      <c r="J1491" s="10">
        <v>0.79041317015736101</v>
      </c>
      <c r="K1491" s="29">
        <v>0.98289565623980701</v>
      </c>
    </row>
    <row r="1492" spans="1:11" x14ac:dyDescent="0.35">
      <c r="A1492" s="9" t="str">
        <f>HYPERLINK("http://www.ensembl.org/id/WBGene00199223", "WBGene00199223")</f>
        <v>WBGene00199223</v>
      </c>
      <c r="B1492" s="9"/>
      <c r="C1492" s="9"/>
      <c r="D1492" t="str">
        <f>"C14F11.22"</f>
        <v>C14F11.22</v>
      </c>
      <c r="F1492" t="s">
        <v>481</v>
      </c>
      <c r="H1492" s="12">
        <v>-2.4991590031922399</v>
      </c>
      <c r="I1492" s="11">
        <v>-0.26577412737581302</v>
      </c>
      <c r="J1492" s="10">
        <v>0.79041317015736101</v>
      </c>
      <c r="K1492" s="29">
        <v>0.98289565623980701</v>
      </c>
    </row>
    <row r="1493" spans="1:11" x14ac:dyDescent="0.35">
      <c r="A1493" s="9" t="str">
        <f>HYPERLINK("http://www.ensembl.org/id/WBGene00199410", "WBGene00199410")</f>
        <v>WBGene00199410</v>
      </c>
      <c r="B1493" s="9"/>
      <c r="C1493" s="9"/>
      <c r="D1493" t="str">
        <f>"C14F11.24"</f>
        <v>C14F11.24</v>
      </c>
      <c r="F1493" t="s">
        <v>481</v>
      </c>
      <c r="H1493" s="12">
        <v>-2.4991590031922399</v>
      </c>
      <c r="I1493" s="11">
        <v>-0.26577412737581302</v>
      </c>
      <c r="J1493" s="10">
        <v>0.79041317015736101</v>
      </c>
      <c r="K1493" s="29">
        <v>0.98289565623980701</v>
      </c>
    </row>
    <row r="1494" spans="1:11" x14ac:dyDescent="0.35">
      <c r="A1494" s="9" t="str">
        <f>HYPERLINK("http://www.ensembl.org/id/WBGene00044971", "WBGene00044971")</f>
        <v>WBGene00044971</v>
      </c>
      <c r="B1494" s="9"/>
      <c r="C1494" s="9"/>
      <c r="D1494" t="str">
        <f>"C15H11.12"</f>
        <v>C15H11.12</v>
      </c>
      <c r="F1494" t="s">
        <v>481</v>
      </c>
      <c r="H1494" s="12">
        <v>-2.4991590031922399</v>
      </c>
      <c r="I1494" s="11">
        <v>-0.26577412737581302</v>
      </c>
      <c r="J1494" s="10">
        <v>0.79041317015736101</v>
      </c>
      <c r="K1494" s="29">
        <v>0.98289565623980701</v>
      </c>
    </row>
    <row r="1495" spans="1:11" x14ac:dyDescent="0.35">
      <c r="A1495" s="9" t="str">
        <f>HYPERLINK("http://www.ensembl.org/id/WBGene00200488", "WBGene00200488")</f>
        <v>WBGene00200488</v>
      </c>
      <c r="B1495" s="9"/>
      <c r="C1495" s="9"/>
      <c r="D1495" t="str">
        <f>"C16B8.9"</f>
        <v>C16B8.9</v>
      </c>
      <c r="F1495" t="s">
        <v>481</v>
      </c>
      <c r="H1495" s="12">
        <v>-2.4991590031922399</v>
      </c>
      <c r="I1495" s="11">
        <v>-0.26577412737581302</v>
      </c>
      <c r="J1495" s="10">
        <v>0.79041317015736101</v>
      </c>
      <c r="K1495" s="29">
        <v>0.98289565623980701</v>
      </c>
    </row>
    <row r="1496" spans="1:11" x14ac:dyDescent="0.35">
      <c r="A1496" s="9" t="str">
        <f>HYPERLINK("http://www.ensembl.org/id/WBGene00197642", "WBGene00197642")</f>
        <v>WBGene00197642</v>
      </c>
      <c r="B1496" s="9"/>
      <c r="C1496" s="9"/>
      <c r="D1496" t="str">
        <f>"C16E9.15"</f>
        <v>C16E9.15</v>
      </c>
      <c r="F1496" t="s">
        <v>481</v>
      </c>
      <c r="H1496" s="12">
        <v>-2.4991590031922399</v>
      </c>
      <c r="I1496" s="11">
        <v>-0.26577412737581302</v>
      </c>
      <c r="J1496" s="10">
        <v>0.79041317015736101</v>
      </c>
      <c r="K1496" s="29">
        <v>0.98289565623980701</v>
      </c>
    </row>
    <row r="1497" spans="1:11" x14ac:dyDescent="0.35">
      <c r="A1497" s="9" t="str">
        <f>HYPERLINK("http://www.ensembl.org/id/WBGene00200358", "WBGene00200358")</f>
        <v>WBGene00200358</v>
      </c>
      <c r="B1497" s="9"/>
      <c r="C1497" s="9"/>
      <c r="D1497" t="str">
        <f>"C17G1.13"</f>
        <v>C17G1.13</v>
      </c>
      <c r="F1497" t="s">
        <v>481</v>
      </c>
      <c r="H1497" s="12">
        <v>-2.4991590031922399</v>
      </c>
      <c r="I1497" s="11">
        <v>-0.26577412737581302</v>
      </c>
      <c r="J1497" s="10">
        <v>0.79041317015736101</v>
      </c>
      <c r="K1497" s="29">
        <v>0.98289565623980701</v>
      </c>
    </row>
    <row r="1498" spans="1:11" x14ac:dyDescent="0.35">
      <c r="A1498" s="9" t="str">
        <f>HYPERLINK("http://www.ensembl.org/id/WBGene00015985", "WBGene00015985")</f>
        <v>WBGene00015985</v>
      </c>
      <c r="B1498" s="9" t="str">
        <f>HYPERLINK("http://www.ncbi.nlm.nih.gov/gene/182797", "182797")</f>
        <v>182797</v>
      </c>
      <c r="C1498" s="9"/>
      <c r="D1498" t="str">
        <f>"C18G1.7"</f>
        <v>C18G1.7</v>
      </c>
      <c r="F1498" t="s">
        <v>11</v>
      </c>
      <c r="G1498" t="s">
        <v>1212</v>
      </c>
      <c r="H1498" s="12">
        <v>-2.4991590031922399</v>
      </c>
      <c r="I1498" s="11">
        <v>-0.26577412737581302</v>
      </c>
      <c r="J1498" s="10">
        <v>0.79041317015736101</v>
      </c>
      <c r="K1498" s="29">
        <v>0.98289565623980701</v>
      </c>
    </row>
    <row r="1499" spans="1:11" x14ac:dyDescent="0.35">
      <c r="A1499" s="9" t="str">
        <f>HYPERLINK("http://www.ensembl.org/id/WBGene00195951", "WBGene00195951")</f>
        <v>WBGene00195951</v>
      </c>
      <c r="B1499" s="9"/>
      <c r="C1499" s="9"/>
      <c r="D1499" t="str">
        <f>"C23F12.7"</f>
        <v>C23F12.7</v>
      </c>
      <c r="F1499" t="s">
        <v>481</v>
      </c>
      <c r="H1499" s="12">
        <v>-2.4991590031922399</v>
      </c>
      <c r="I1499" s="11">
        <v>-0.26577412737581302</v>
      </c>
      <c r="J1499" s="10">
        <v>0.79041317015736101</v>
      </c>
      <c r="K1499" s="29">
        <v>0.98289565623980701</v>
      </c>
    </row>
    <row r="1500" spans="1:11" x14ac:dyDescent="0.35">
      <c r="A1500" s="9" t="str">
        <f>HYPERLINK("http://www.ensembl.org/id/WBGene00023241", "WBGene00023241")</f>
        <v>WBGene00023241</v>
      </c>
      <c r="B1500" s="9"/>
      <c r="C1500" s="9"/>
      <c r="D1500" t="str">
        <f>"C23H5.5"</f>
        <v>C23H5.5</v>
      </c>
      <c r="F1500" t="s">
        <v>80</v>
      </c>
      <c r="H1500" s="12">
        <v>-2.4991590031922399</v>
      </c>
      <c r="I1500" s="11">
        <v>-0.26577412737581302</v>
      </c>
      <c r="J1500" s="10">
        <v>0.79041317015736101</v>
      </c>
      <c r="K1500" s="29">
        <v>0.98289565623980701</v>
      </c>
    </row>
    <row r="1501" spans="1:11" x14ac:dyDescent="0.35">
      <c r="A1501" s="9" t="str">
        <f>HYPERLINK("http://www.ensembl.org/id/WBGene00007713", "WBGene00007713")</f>
        <v>WBGene00007713</v>
      </c>
      <c r="B1501" s="9" t="str">
        <f>HYPERLINK("http://www.ncbi.nlm.nih.gov/gene/182877", "182877")</f>
        <v>182877</v>
      </c>
      <c r="C1501" s="9"/>
      <c r="D1501" t="str">
        <f>"C25A1.15"</f>
        <v>C25A1.15</v>
      </c>
      <c r="F1501" t="s">
        <v>11</v>
      </c>
      <c r="H1501" s="12">
        <v>-2.4991590031922399</v>
      </c>
      <c r="I1501" s="11">
        <v>-0.26577412737581302</v>
      </c>
      <c r="J1501" s="10">
        <v>0.79041317015736101</v>
      </c>
      <c r="K1501" s="29">
        <v>0.98289565623980701</v>
      </c>
    </row>
    <row r="1502" spans="1:11" x14ac:dyDescent="0.35">
      <c r="A1502" s="9" t="str">
        <f>HYPERLINK("http://www.ensembl.org/id/WBGene00199891", "WBGene00199891")</f>
        <v>WBGene00199891</v>
      </c>
      <c r="B1502" s="9"/>
      <c r="C1502" s="9"/>
      <c r="D1502" t="str">
        <f>"C29A12.15"</f>
        <v>C29A12.15</v>
      </c>
      <c r="F1502" t="s">
        <v>481</v>
      </c>
      <c r="H1502" s="12">
        <v>-2.4991590031922399</v>
      </c>
      <c r="I1502" s="11">
        <v>-0.26577412737581302</v>
      </c>
      <c r="J1502" s="10">
        <v>0.79041317015736101</v>
      </c>
      <c r="K1502" s="29">
        <v>0.98289565623980701</v>
      </c>
    </row>
    <row r="1503" spans="1:11" x14ac:dyDescent="0.35">
      <c r="A1503" s="9" t="str">
        <f>HYPERLINK("http://www.ensembl.org/id/WBGene00199893", "WBGene00199893")</f>
        <v>WBGene00199893</v>
      </c>
      <c r="B1503" s="9"/>
      <c r="C1503" s="9"/>
      <c r="D1503" t="str">
        <f>"C29A12.16"</f>
        <v>C29A12.16</v>
      </c>
      <c r="F1503" t="s">
        <v>481</v>
      </c>
      <c r="H1503" s="12">
        <v>-2.4991590031922399</v>
      </c>
      <c r="I1503" s="11">
        <v>-0.26577412737581302</v>
      </c>
      <c r="J1503" s="10">
        <v>0.79041317015736101</v>
      </c>
      <c r="K1503" s="29">
        <v>0.98289565623980701</v>
      </c>
    </row>
    <row r="1504" spans="1:11" x14ac:dyDescent="0.35">
      <c r="A1504" s="9" t="str">
        <f>HYPERLINK("http://www.ensembl.org/id/WBGene00200123", "WBGene00200123")</f>
        <v>WBGene00200123</v>
      </c>
      <c r="B1504" s="9"/>
      <c r="C1504" s="9"/>
      <c r="D1504" t="str">
        <f>"C29A12.17"</f>
        <v>C29A12.17</v>
      </c>
      <c r="F1504" t="s">
        <v>481</v>
      </c>
      <c r="H1504" s="12">
        <v>-2.4991590031922399</v>
      </c>
      <c r="I1504" s="11">
        <v>-0.26577412737581302</v>
      </c>
      <c r="J1504" s="10">
        <v>0.79041317015736101</v>
      </c>
      <c r="K1504" s="29">
        <v>0.98289565623980701</v>
      </c>
    </row>
    <row r="1505" spans="1:11" x14ac:dyDescent="0.35">
      <c r="A1505" s="9" t="str">
        <f>HYPERLINK("http://www.ensembl.org/id/WBGene00197965", "WBGene00197965")</f>
        <v>WBGene00197965</v>
      </c>
      <c r="B1505" s="9"/>
      <c r="C1505" s="9"/>
      <c r="D1505" t="str">
        <f>"C30F12.8"</f>
        <v>C30F12.8</v>
      </c>
      <c r="F1505" t="s">
        <v>481</v>
      </c>
      <c r="H1505" s="12">
        <v>-2.4991590031922399</v>
      </c>
      <c r="I1505" s="11">
        <v>-0.26577412737581302</v>
      </c>
      <c r="J1505" s="10">
        <v>0.79041317015736101</v>
      </c>
      <c r="K1505" s="29">
        <v>0.98289565623980701</v>
      </c>
    </row>
    <row r="1506" spans="1:11" x14ac:dyDescent="0.35">
      <c r="A1506" s="9" t="str">
        <f>HYPERLINK("http://www.ensembl.org/id/WBGene00200384", "WBGene00200384")</f>
        <v>WBGene00200384</v>
      </c>
      <c r="B1506" s="9"/>
      <c r="C1506" s="9"/>
      <c r="D1506" t="str">
        <f>"C31H2.13"</f>
        <v>C31H2.13</v>
      </c>
      <c r="F1506" t="s">
        <v>481</v>
      </c>
      <c r="H1506" s="12">
        <v>-2.4991590031922399</v>
      </c>
      <c r="I1506" s="11">
        <v>-0.26577412737581302</v>
      </c>
      <c r="J1506" s="10">
        <v>0.79041317015736101</v>
      </c>
      <c r="K1506" s="29">
        <v>0.98289565623980701</v>
      </c>
    </row>
    <row r="1507" spans="1:11" x14ac:dyDescent="0.35">
      <c r="A1507" s="9" t="str">
        <f>HYPERLINK("http://www.ensembl.org/id/WBGene00044560", "WBGene00044560")</f>
        <v>WBGene00044560</v>
      </c>
      <c r="B1507" s="9" t="str">
        <f>HYPERLINK("http://www.ncbi.nlm.nih.gov/gene/3896900", "3896900")</f>
        <v>3896900</v>
      </c>
      <c r="C1507" s="9"/>
      <c r="D1507" t="str">
        <f>"C36C9.6"</f>
        <v>C36C9.6</v>
      </c>
      <c r="F1507" t="s">
        <v>11</v>
      </c>
      <c r="G1507" t="s">
        <v>25</v>
      </c>
      <c r="H1507" s="12">
        <v>-2.4991590031922399</v>
      </c>
      <c r="I1507" s="11">
        <v>-0.26577412737581302</v>
      </c>
      <c r="J1507" s="10">
        <v>0.79041317015736101</v>
      </c>
      <c r="K1507" s="29">
        <v>0.98289565623980701</v>
      </c>
    </row>
    <row r="1508" spans="1:11" x14ac:dyDescent="0.35">
      <c r="A1508" s="9" t="str">
        <f>HYPERLINK("http://www.ensembl.org/id/WBGene00196802", "WBGene00196802")</f>
        <v>WBGene00196802</v>
      </c>
      <c r="B1508" s="9"/>
      <c r="C1508" s="9"/>
      <c r="D1508" t="str">
        <f>"C36F7.10"</f>
        <v>C36F7.10</v>
      </c>
      <c r="F1508" t="s">
        <v>481</v>
      </c>
      <c r="H1508" s="12">
        <v>-2.4991590031922399</v>
      </c>
      <c r="I1508" s="11">
        <v>-0.26577412737581302</v>
      </c>
      <c r="J1508" s="10">
        <v>0.79041317015736101</v>
      </c>
      <c r="K1508" s="29">
        <v>0.98289565623980701</v>
      </c>
    </row>
    <row r="1509" spans="1:11" x14ac:dyDescent="0.35">
      <c r="A1509" s="9" t="str">
        <f>HYPERLINK("http://www.ensembl.org/id/WBGene00016529", "WBGene00016529")</f>
        <v>WBGene00016529</v>
      </c>
      <c r="B1509" s="9" t="str">
        <f>HYPERLINK("http://www.ncbi.nlm.nih.gov/gene/183335", "183335")</f>
        <v>183335</v>
      </c>
      <c r="C1509" s="9"/>
      <c r="D1509" t="str">
        <f>"C39D10.1"</f>
        <v>C39D10.1</v>
      </c>
      <c r="F1509" t="s">
        <v>11</v>
      </c>
      <c r="H1509" s="12">
        <v>-2.4991590031922399</v>
      </c>
      <c r="I1509" s="11">
        <v>-0.26577412737581302</v>
      </c>
      <c r="J1509" s="10">
        <v>0.79041317015736101</v>
      </c>
      <c r="K1509" s="29">
        <v>0.98289565623980701</v>
      </c>
    </row>
    <row r="1510" spans="1:11" x14ac:dyDescent="0.35">
      <c r="A1510" s="9" t="str">
        <f>HYPERLINK("http://www.ensembl.org/id/WBGene00008054", "WBGene00008054")</f>
        <v>WBGene00008054</v>
      </c>
      <c r="B1510" s="9" t="str">
        <f>HYPERLINK("http://www.ncbi.nlm.nih.gov/gene/3565682", "3565682")</f>
        <v>3565682</v>
      </c>
      <c r="C1510" s="9"/>
      <c r="D1510" t="str">
        <f>"C41C4.9"</f>
        <v>C41C4.9</v>
      </c>
      <c r="F1510" t="s">
        <v>11</v>
      </c>
      <c r="H1510" s="12">
        <v>-2.4991590031922399</v>
      </c>
      <c r="I1510" s="11">
        <v>-0.26577412737581302</v>
      </c>
      <c r="J1510" s="10">
        <v>0.79041317015736101</v>
      </c>
      <c r="K1510" s="29">
        <v>0.98289565623980701</v>
      </c>
    </row>
    <row r="1511" spans="1:11" x14ac:dyDescent="0.35">
      <c r="A1511" s="9" t="str">
        <f>HYPERLINK("http://www.ensembl.org/id/WBGene00219284", "WBGene00219284")</f>
        <v>WBGene00219284</v>
      </c>
      <c r="B1511" s="9" t="str">
        <f>HYPERLINK("http://www.ncbi.nlm.nih.gov/gene/13181508", "13181508")</f>
        <v>13181508</v>
      </c>
      <c r="C1511" s="9"/>
      <c r="D1511" t="str">
        <f>"C41G7.15"</f>
        <v>C41G7.15</v>
      </c>
      <c r="F1511" t="s">
        <v>11</v>
      </c>
      <c r="H1511" s="12">
        <v>-2.4991590031922399</v>
      </c>
      <c r="I1511" s="11">
        <v>-0.26577412737581302</v>
      </c>
      <c r="J1511" s="10">
        <v>0.79041317015736101</v>
      </c>
      <c r="K1511" s="29">
        <v>0.98289565623980701</v>
      </c>
    </row>
    <row r="1512" spans="1:11" x14ac:dyDescent="0.35">
      <c r="A1512" s="9" t="str">
        <f>HYPERLINK("http://www.ensembl.org/id/WBGene00199268", "WBGene00199268")</f>
        <v>WBGene00199268</v>
      </c>
      <c r="B1512" s="9"/>
      <c r="C1512" s="9"/>
      <c r="D1512" t="str">
        <f>"C42D8.16"</f>
        <v>C42D8.16</v>
      </c>
      <c r="F1512" t="s">
        <v>481</v>
      </c>
      <c r="H1512" s="12">
        <v>-2.4991590031922399</v>
      </c>
      <c r="I1512" s="11">
        <v>-0.26577412737581302</v>
      </c>
      <c r="J1512" s="10">
        <v>0.79041317015736101</v>
      </c>
      <c r="K1512" s="29">
        <v>0.98289565623980701</v>
      </c>
    </row>
    <row r="1513" spans="1:11" x14ac:dyDescent="0.35">
      <c r="A1513" s="9" t="str">
        <f>HYPERLINK("http://www.ensembl.org/id/WBGene00008112", "WBGene00008112")</f>
        <v>WBGene00008112</v>
      </c>
      <c r="B1513" s="9"/>
      <c r="C1513" s="9"/>
      <c r="D1513" t="str">
        <f>"C46C2.4"</f>
        <v>C46C2.4</v>
      </c>
      <c r="F1513" t="s">
        <v>80</v>
      </c>
      <c r="H1513" s="12">
        <v>-2.4991590031922399</v>
      </c>
      <c r="I1513" s="11">
        <v>-0.26577412737581302</v>
      </c>
      <c r="J1513" s="10">
        <v>0.79041317015736101</v>
      </c>
      <c r="K1513" s="29">
        <v>0.98289565623980701</v>
      </c>
    </row>
    <row r="1514" spans="1:11" x14ac:dyDescent="0.35">
      <c r="A1514" s="9" t="str">
        <f>HYPERLINK("http://www.ensembl.org/id/WBGene00196486", "WBGene00196486")</f>
        <v>WBGene00196486</v>
      </c>
      <c r="B1514" s="9"/>
      <c r="C1514" s="9"/>
      <c r="D1514" t="str">
        <f>"C48D5.5"</f>
        <v>C48D5.5</v>
      </c>
      <c r="F1514" t="s">
        <v>481</v>
      </c>
      <c r="H1514" s="12">
        <v>-2.4991590031922399</v>
      </c>
      <c r="I1514" s="11">
        <v>-0.26577412737581302</v>
      </c>
      <c r="J1514" s="10">
        <v>0.79041317015736101</v>
      </c>
      <c r="K1514" s="29">
        <v>0.98289565623980701</v>
      </c>
    </row>
    <row r="1515" spans="1:11" x14ac:dyDescent="0.35">
      <c r="A1515" s="9" t="str">
        <f>HYPERLINK("http://www.ensembl.org/id/WBGene00198949", "WBGene00198949")</f>
        <v>WBGene00198949</v>
      </c>
      <c r="B1515" s="9"/>
      <c r="C1515" s="9"/>
      <c r="D1515" t="str">
        <f>"C50A2.6"</f>
        <v>C50A2.6</v>
      </c>
      <c r="F1515" t="s">
        <v>481</v>
      </c>
      <c r="H1515" s="12">
        <v>-2.4991590031922399</v>
      </c>
      <c r="I1515" s="11">
        <v>-0.26577412737581302</v>
      </c>
      <c r="J1515" s="10">
        <v>0.79041317015736101</v>
      </c>
      <c r="K1515" s="29">
        <v>0.98289565623980701</v>
      </c>
    </row>
    <row r="1516" spans="1:11" x14ac:dyDescent="0.35">
      <c r="A1516" s="9" t="str">
        <f>HYPERLINK("http://www.ensembl.org/id/WBGene00200997", "WBGene00200997")</f>
        <v>WBGene00200997</v>
      </c>
      <c r="B1516" s="9"/>
      <c r="C1516" s="9"/>
      <c r="D1516" t="str">
        <f>"C52E12.9"</f>
        <v>C52E12.9</v>
      </c>
      <c r="F1516" t="s">
        <v>481</v>
      </c>
      <c r="H1516" s="12">
        <v>-2.4991590031922399</v>
      </c>
      <c r="I1516" s="11">
        <v>-0.26577412737581302</v>
      </c>
      <c r="J1516" s="10">
        <v>0.79041317015736101</v>
      </c>
      <c r="K1516" s="29">
        <v>0.98289565623980701</v>
      </c>
    </row>
    <row r="1517" spans="1:11" x14ac:dyDescent="0.35">
      <c r="A1517" s="9" t="str">
        <f>HYPERLINK("http://www.ensembl.org/id/WBGene00201035", "WBGene00201035")</f>
        <v>WBGene00201035</v>
      </c>
      <c r="B1517" s="9"/>
      <c r="C1517" s="9"/>
      <c r="D1517" t="str">
        <f>"C52G5.9"</f>
        <v>C52G5.9</v>
      </c>
      <c r="F1517" t="s">
        <v>481</v>
      </c>
      <c r="H1517" s="12">
        <v>-2.4991590031922399</v>
      </c>
      <c r="I1517" s="11">
        <v>-0.26577412737581302</v>
      </c>
      <c r="J1517" s="10">
        <v>0.79041317015736101</v>
      </c>
      <c r="K1517" s="29">
        <v>0.98289565623980701</v>
      </c>
    </row>
    <row r="1518" spans="1:11" x14ac:dyDescent="0.35">
      <c r="A1518" s="9" t="str">
        <f>HYPERLINK("http://www.ensembl.org/id/WBGene00200502", "WBGene00200502")</f>
        <v>WBGene00200502</v>
      </c>
      <c r="B1518" s="9"/>
      <c r="C1518" s="9"/>
      <c r="D1518" t="str">
        <f>"C54D2.14"</f>
        <v>C54D2.14</v>
      </c>
      <c r="F1518" t="s">
        <v>481</v>
      </c>
      <c r="H1518" s="12">
        <v>-2.4991590031922399</v>
      </c>
      <c r="I1518" s="11">
        <v>-0.26577412737581302</v>
      </c>
      <c r="J1518" s="10">
        <v>0.79041317015736101</v>
      </c>
      <c r="K1518" s="29">
        <v>0.98289565623980701</v>
      </c>
    </row>
    <row r="1519" spans="1:11" x14ac:dyDescent="0.35">
      <c r="A1519" s="9" t="str">
        <f>HYPERLINK("http://www.ensembl.org/id/WBGene00196233", "WBGene00196233")</f>
        <v>WBGene00196233</v>
      </c>
      <c r="B1519" s="9"/>
      <c r="C1519" s="9"/>
      <c r="D1519" t="str">
        <f>"C54D2.8"</f>
        <v>C54D2.8</v>
      </c>
      <c r="F1519" t="s">
        <v>481</v>
      </c>
      <c r="H1519" s="12">
        <v>-2.4991590031922399</v>
      </c>
      <c r="I1519" s="11">
        <v>-0.26577412737581302</v>
      </c>
      <c r="J1519" s="10">
        <v>0.79041317015736101</v>
      </c>
      <c r="K1519" s="29">
        <v>0.98289565623980701</v>
      </c>
    </row>
    <row r="1520" spans="1:11" x14ac:dyDescent="0.35">
      <c r="A1520" s="9" t="str">
        <f>HYPERLINK("http://www.ensembl.org/id/WBGene00014721", "WBGene00014721")</f>
        <v>WBGene00014721</v>
      </c>
      <c r="B1520" s="9"/>
      <c r="C1520" s="9"/>
      <c r="D1520" t="str">
        <f>"C54E10.t7"</f>
        <v>C54E10.t7</v>
      </c>
      <c r="F1520" t="s">
        <v>80</v>
      </c>
      <c r="H1520" s="12">
        <v>-2.4991590031922399</v>
      </c>
      <c r="I1520" s="11">
        <v>-0.26577412737581302</v>
      </c>
      <c r="J1520" s="10">
        <v>0.79041317015736101</v>
      </c>
      <c r="K1520" s="29">
        <v>0.98289565623980701</v>
      </c>
    </row>
    <row r="1521" spans="1:11" x14ac:dyDescent="0.35">
      <c r="A1521" s="9" t="str">
        <f>HYPERLINK("http://www.ensembl.org/id/WBGene00198888", "WBGene00198888")</f>
        <v>WBGene00198888</v>
      </c>
      <c r="B1521" s="9"/>
      <c r="C1521" s="9"/>
      <c r="D1521" t="str">
        <f>"C54H2.10"</f>
        <v>C54H2.10</v>
      </c>
      <c r="F1521" t="s">
        <v>481</v>
      </c>
      <c r="H1521" s="12">
        <v>-2.4991590031922399</v>
      </c>
      <c r="I1521" s="11">
        <v>-0.26577412737581302</v>
      </c>
      <c r="J1521" s="10">
        <v>0.79041317015736101</v>
      </c>
      <c r="K1521" s="29">
        <v>0.98289565623980701</v>
      </c>
    </row>
    <row r="1522" spans="1:11" x14ac:dyDescent="0.35">
      <c r="A1522" s="9" t="str">
        <f>HYPERLINK("http://www.ensembl.org/id/WBGene00008325", "WBGene00008325")</f>
        <v>WBGene00008325</v>
      </c>
      <c r="B1522" s="9"/>
      <c r="C1522" s="9"/>
      <c r="D1522" t="str">
        <f>"C55A1.9"</f>
        <v>C55A1.9</v>
      </c>
      <c r="F1522" t="s">
        <v>80</v>
      </c>
      <c r="H1522" s="12">
        <v>-2.4991590031922399</v>
      </c>
      <c r="I1522" s="11">
        <v>-0.26577412737581302</v>
      </c>
      <c r="J1522" s="10">
        <v>0.79041317015736101</v>
      </c>
      <c r="K1522" s="29">
        <v>0.98289565623980701</v>
      </c>
    </row>
    <row r="1523" spans="1:11" x14ac:dyDescent="0.35">
      <c r="A1523" s="9" t="str">
        <f>HYPERLINK("http://www.ensembl.org/id/WBGene00195049", "WBGene00195049")</f>
        <v>WBGene00195049</v>
      </c>
      <c r="B1523" s="9" t="str">
        <f>HYPERLINK("http://www.ncbi.nlm.nih.gov/gene/13192689", "13192689")</f>
        <v>13192689</v>
      </c>
      <c r="C1523" s="9"/>
      <c r="D1523" t="str">
        <f>"CC8.3"</f>
        <v>CC8.3</v>
      </c>
      <c r="F1523" t="s">
        <v>11</v>
      </c>
      <c r="H1523" s="12">
        <v>-2.4991590031922399</v>
      </c>
      <c r="I1523" s="11">
        <v>-0.26577412737581302</v>
      </c>
      <c r="J1523" s="10">
        <v>0.79041317015736101</v>
      </c>
      <c r="K1523" s="29">
        <v>0.98289565623980701</v>
      </c>
    </row>
    <row r="1524" spans="1:11" x14ac:dyDescent="0.35">
      <c r="A1524" s="9" t="str">
        <f>HYPERLINK("http://www.ensembl.org/id/WBGene00197622", "WBGene00197622")</f>
        <v>WBGene00197622</v>
      </c>
      <c r="B1524" s="9"/>
      <c r="C1524" s="9"/>
      <c r="D1524" t="str">
        <f>"CD4.14"</f>
        <v>CD4.14</v>
      </c>
      <c r="F1524" t="s">
        <v>481</v>
      </c>
      <c r="H1524" s="12">
        <v>-2.4991590031922399</v>
      </c>
      <c r="I1524" s="11">
        <v>-0.26577412737581302</v>
      </c>
      <c r="J1524" s="10">
        <v>0.79041317015736101</v>
      </c>
      <c r="K1524" s="29">
        <v>0.98289565623980701</v>
      </c>
    </row>
    <row r="1525" spans="1:11" x14ac:dyDescent="0.35">
      <c r="A1525" s="9" t="str">
        <f>HYPERLINK("http://www.ensembl.org/id/WBGene00008909", "WBGene00008909")</f>
        <v>WBGene00008909</v>
      </c>
      <c r="B1525" s="9" t="str">
        <f>HYPERLINK("http://www.ncbi.nlm.nih.gov/gene/184613", "184613")</f>
        <v>184613</v>
      </c>
      <c r="C1525" s="9"/>
      <c r="D1525" t="str">
        <f>"clec-110"</f>
        <v>clec-110</v>
      </c>
      <c r="E1525" t="s">
        <v>46</v>
      </c>
      <c r="F1525" t="s">
        <v>11</v>
      </c>
      <c r="G1525" t="s">
        <v>47</v>
      </c>
      <c r="H1525" s="12">
        <v>-2.4991590031922399</v>
      </c>
      <c r="I1525" s="11">
        <v>-0.26577412737581302</v>
      </c>
      <c r="J1525" s="10">
        <v>0.79041317015736101</v>
      </c>
      <c r="K1525" s="29">
        <v>0.98289565623980701</v>
      </c>
    </row>
    <row r="1526" spans="1:11" x14ac:dyDescent="0.35">
      <c r="A1526" s="9" t="str">
        <f>HYPERLINK("http://www.ensembl.org/id/WBGene00017602", "WBGene00017602")</f>
        <v>WBGene00017602</v>
      </c>
      <c r="B1526" s="9"/>
      <c r="C1526" s="9"/>
      <c r="D1526" t="str">
        <f>"clec-211"</f>
        <v>clec-211</v>
      </c>
      <c r="F1526" t="s">
        <v>80</v>
      </c>
      <c r="H1526" s="12">
        <v>-2.4991590031922399</v>
      </c>
      <c r="I1526" s="11">
        <v>-0.26577412737581302</v>
      </c>
      <c r="J1526" s="10">
        <v>0.79041317015736101</v>
      </c>
      <c r="K1526" s="29">
        <v>0.98289565623980701</v>
      </c>
    </row>
    <row r="1527" spans="1:11" x14ac:dyDescent="0.35">
      <c r="A1527" s="9" t="str">
        <f>HYPERLINK("http://www.ensembl.org/id/WBGene00012233", "WBGene00012233")</f>
        <v>WBGene00012233</v>
      </c>
      <c r="B1527" s="9" t="str">
        <f>HYPERLINK("http://www.ncbi.nlm.nih.gov/gene/189180", "189180")</f>
        <v>189180</v>
      </c>
      <c r="C1527" s="9"/>
      <c r="D1527" t="str">
        <f>"clpr-1"</f>
        <v>clpr-1</v>
      </c>
      <c r="E1527" t="s">
        <v>10064</v>
      </c>
      <c r="F1527" t="s">
        <v>11</v>
      </c>
      <c r="G1527" t="s">
        <v>6617</v>
      </c>
      <c r="H1527" s="12">
        <v>-2.4991590031922399</v>
      </c>
      <c r="I1527" s="11">
        <v>-0.26577412737581302</v>
      </c>
      <c r="J1527" s="10">
        <v>0.79041317015736101</v>
      </c>
      <c r="K1527" s="29">
        <v>0.98289565623980701</v>
      </c>
    </row>
    <row r="1528" spans="1:11" x14ac:dyDescent="0.35">
      <c r="A1528" s="9" t="str">
        <f>HYPERLINK("http://www.ensembl.org/id/WBGene00000697", "WBGene00000697")</f>
        <v>WBGene00000697</v>
      </c>
      <c r="B1528" s="9" t="str">
        <f>HYPERLINK("http://www.ncbi.nlm.nih.gov/gene/177823", "177823")</f>
        <v>177823</v>
      </c>
      <c r="C1528" s="9"/>
      <c r="D1528" t="str">
        <f>"col-123"</f>
        <v>col-123</v>
      </c>
      <c r="E1528" t="s">
        <v>40</v>
      </c>
      <c r="F1528" t="s">
        <v>11</v>
      </c>
      <c r="G1528" t="s">
        <v>10062</v>
      </c>
      <c r="H1528" s="12">
        <v>-2.4991590031922399</v>
      </c>
      <c r="I1528" s="11">
        <v>-0.26577412737581302</v>
      </c>
      <c r="J1528" s="10">
        <v>0.79041317015736101</v>
      </c>
      <c r="K1528" s="29">
        <v>0.98289565623980701</v>
      </c>
    </row>
    <row r="1529" spans="1:11" x14ac:dyDescent="0.35">
      <c r="A1529" s="9" t="str">
        <f>HYPERLINK("http://www.ensembl.org/id/WBGene00015399", "WBGene00015399")</f>
        <v>WBGene00015399</v>
      </c>
      <c r="B1529" s="9" t="str">
        <f>HYPERLINK("http://www.ncbi.nlm.nih.gov/gene/182176", "182176")</f>
        <v>182176</v>
      </c>
      <c r="C1529" s="9"/>
      <c r="D1529" t="str">
        <f>"cyp-35A1"</f>
        <v>cyp-35A1</v>
      </c>
      <c r="E1529" t="s">
        <v>176</v>
      </c>
      <c r="F1529" t="s">
        <v>11</v>
      </c>
      <c r="G1529" t="s">
        <v>4814</v>
      </c>
      <c r="H1529" s="12">
        <v>-2.4991590031922399</v>
      </c>
      <c r="I1529" s="11">
        <v>-0.26577412737581302</v>
      </c>
      <c r="J1529" s="10">
        <v>0.79041317015736101</v>
      </c>
      <c r="K1529" s="29">
        <v>0.98289565623980701</v>
      </c>
    </row>
    <row r="1530" spans="1:11" x14ac:dyDescent="0.35">
      <c r="A1530" s="9" t="str">
        <f>HYPERLINK("http://www.ensembl.org/id/WBGene00014735", "WBGene00014735")</f>
        <v>WBGene00014735</v>
      </c>
      <c r="B1530" s="9"/>
      <c r="C1530" s="9"/>
      <c r="D1530" t="str">
        <f>"cyp-35D2"</f>
        <v>cyp-35D2</v>
      </c>
      <c r="F1530" t="s">
        <v>80</v>
      </c>
      <c r="H1530" s="12">
        <v>-2.4991590031922399</v>
      </c>
      <c r="I1530" s="11">
        <v>-0.26577412737581302</v>
      </c>
      <c r="J1530" s="10">
        <v>0.79041317015736101</v>
      </c>
      <c r="K1530" s="29">
        <v>0.98289565623980701</v>
      </c>
    </row>
    <row r="1531" spans="1:11" x14ac:dyDescent="0.35">
      <c r="A1531" s="9" t="str">
        <f>HYPERLINK("http://www.ensembl.org/id/WBGene00198210", "WBGene00198210")</f>
        <v>WBGene00198210</v>
      </c>
      <c r="B1531" s="9"/>
      <c r="C1531" s="9"/>
      <c r="D1531" t="str">
        <f>"D1022.14"</f>
        <v>D1022.14</v>
      </c>
      <c r="F1531" t="s">
        <v>481</v>
      </c>
      <c r="H1531" s="12">
        <v>-2.4991590031922399</v>
      </c>
      <c r="I1531" s="11">
        <v>-0.26577412737581302</v>
      </c>
      <c r="J1531" s="10">
        <v>0.79041317015736101</v>
      </c>
      <c r="K1531" s="29">
        <v>0.98289565623980701</v>
      </c>
    </row>
    <row r="1532" spans="1:11" x14ac:dyDescent="0.35">
      <c r="A1532" s="9" t="str">
        <f>HYPERLINK("http://www.ensembl.org/id/WBGene00197524", "WBGene00197524")</f>
        <v>WBGene00197524</v>
      </c>
      <c r="B1532" s="9"/>
      <c r="C1532" s="9"/>
      <c r="D1532" t="str">
        <f>"D2023.14"</f>
        <v>D2023.14</v>
      </c>
      <c r="F1532" t="s">
        <v>481</v>
      </c>
      <c r="H1532" s="12">
        <v>-2.4991590031922399</v>
      </c>
      <c r="I1532" s="11">
        <v>-0.26577412737581302</v>
      </c>
      <c r="J1532" s="10">
        <v>0.79041317015736101</v>
      </c>
      <c r="K1532" s="29">
        <v>0.98289565623980701</v>
      </c>
    </row>
    <row r="1533" spans="1:11" x14ac:dyDescent="0.35">
      <c r="A1533" s="9" t="str">
        <f>HYPERLINK("http://www.ensembl.org/id/WBGene00007876", "WBGene00007876")</f>
        <v>WBGene00007876</v>
      </c>
      <c r="B1533" s="9" t="str">
        <f>HYPERLINK("http://www.ncbi.nlm.nih.gov/gene/183136", "183136")</f>
        <v>183136</v>
      </c>
      <c r="C1533" s="9"/>
      <c r="D1533" t="str">
        <f>"dct-19"</f>
        <v>dct-19</v>
      </c>
      <c r="E1533" t="s">
        <v>1725</v>
      </c>
      <c r="F1533" t="s">
        <v>11</v>
      </c>
      <c r="H1533" s="12">
        <v>-2.4991590031922399</v>
      </c>
      <c r="I1533" s="11">
        <v>-0.26577412737581302</v>
      </c>
      <c r="J1533" s="10">
        <v>0.79041317015736101</v>
      </c>
      <c r="K1533" s="29">
        <v>0.98289565623980701</v>
      </c>
    </row>
    <row r="1534" spans="1:11" x14ac:dyDescent="0.35">
      <c r="A1534" s="9" t="str">
        <f>HYPERLINK("http://www.ensembl.org/id/WBGene00202469", "WBGene00202469")</f>
        <v>WBGene00202469</v>
      </c>
      <c r="B1534" s="9"/>
      <c r="C1534" s="9"/>
      <c r="D1534" t="str">
        <f>"DY3.12"</f>
        <v>DY3.12</v>
      </c>
      <c r="F1534" t="s">
        <v>481</v>
      </c>
      <c r="H1534" s="12">
        <v>-2.4991590031922399</v>
      </c>
      <c r="I1534" s="11">
        <v>-0.26577412737581302</v>
      </c>
      <c r="J1534" s="10">
        <v>0.79041317015736101</v>
      </c>
      <c r="K1534" s="29">
        <v>0.98289565623980701</v>
      </c>
    </row>
    <row r="1535" spans="1:11" x14ac:dyDescent="0.35">
      <c r="A1535" s="9" t="str">
        <f>HYPERLINK("http://www.ensembl.org/id/WBGene00014727", "WBGene00014727")</f>
        <v>WBGene00014727</v>
      </c>
      <c r="B1535" s="9"/>
      <c r="C1535" s="9"/>
      <c r="D1535" t="str">
        <f>"DY3.t1"</f>
        <v>DY3.t1</v>
      </c>
      <c r="F1535" t="s">
        <v>80</v>
      </c>
      <c r="H1535" s="12">
        <v>-2.4991590031922399</v>
      </c>
      <c r="I1535" s="11">
        <v>-0.26577412737581302</v>
      </c>
      <c r="J1535" s="10">
        <v>0.79041317015736101</v>
      </c>
      <c r="K1535" s="29">
        <v>0.98289565623980701</v>
      </c>
    </row>
    <row r="1536" spans="1:11" x14ac:dyDescent="0.35">
      <c r="A1536" s="9" t="str">
        <f>HYPERLINK("http://www.ensembl.org/id/WBGene00023265", "WBGene00023265")</f>
        <v>WBGene00023265</v>
      </c>
      <c r="B1536" s="9"/>
      <c r="C1536" s="9"/>
      <c r="D1536" t="str">
        <f>"E03H12.8"</f>
        <v>E03H12.8</v>
      </c>
      <c r="F1536" t="s">
        <v>80</v>
      </c>
      <c r="H1536" s="12">
        <v>-2.4991590031922399</v>
      </c>
      <c r="I1536" s="11">
        <v>-0.26577412737581302</v>
      </c>
      <c r="J1536" s="10">
        <v>0.79041317015736101</v>
      </c>
      <c r="K1536" s="29">
        <v>0.98289565623980701</v>
      </c>
    </row>
    <row r="1537" spans="1:11" x14ac:dyDescent="0.35">
      <c r="A1537" s="9" t="str">
        <f>HYPERLINK("http://www.ensembl.org/id/WBGene00008472", "WBGene00008472")</f>
        <v>WBGene00008472</v>
      </c>
      <c r="B1537" s="9" t="str">
        <f>HYPERLINK("http://www.ncbi.nlm.nih.gov/gene/184019", "184019")</f>
        <v>184019</v>
      </c>
      <c r="C1537" s="9"/>
      <c r="D1537" t="str">
        <f>"E03H4.4"</f>
        <v>E03H4.4</v>
      </c>
      <c r="F1537" t="s">
        <v>11</v>
      </c>
      <c r="G1537" t="s">
        <v>25</v>
      </c>
      <c r="H1537" s="12">
        <v>-2.4991590031922399</v>
      </c>
      <c r="I1537" s="11">
        <v>-0.26577412737581302</v>
      </c>
      <c r="J1537" s="10">
        <v>0.79041317015736101</v>
      </c>
      <c r="K1537" s="29">
        <v>0.98289565623980701</v>
      </c>
    </row>
    <row r="1538" spans="1:11" x14ac:dyDescent="0.35">
      <c r="A1538" s="9" t="str">
        <f>HYPERLINK("http://www.ensembl.org/id/WBGene00022978", "WBGene00022978")</f>
        <v>WBGene00022978</v>
      </c>
      <c r="B1538" s="9"/>
      <c r="C1538" s="9"/>
      <c r="D1538" t="str">
        <f>"F02E11.t1"</f>
        <v>F02E11.t1</v>
      </c>
      <c r="F1538" t="s">
        <v>4208</v>
      </c>
      <c r="H1538" s="12">
        <v>-2.4991590031922399</v>
      </c>
      <c r="I1538" s="11">
        <v>-0.26577412737581302</v>
      </c>
      <c r="J1538" s="10">
        <v>0.79041317015736101</v>
      </c>
      <c r="K1538" s="29">
        <v>0.98289565623980701</v>
      </c>
    </row>
    <row r="1539" spans="1:11" x14ac:dyDescent="0.35">
      <c r="A1539" s="9" t="str">
        <f>HYPERLINK("http://www.ensembl.org/id/WBGene00045119", "WBGene00045119")</f>
        <v>WBGene00045119</v>
      </c>
      <c r="B1539" s="9"/>
      <c r="C1539" s="9"/>
      <c r="D1539" t="str">
        <f>"F08G2.13"</f>
        <v>F08G2.13</v>
      </c>
      <c r="F1539" t="s">
        <v>481</v>
      </c>
      <c r="H1539" s="12">
        <v>-2.4991590031922399</v>
      </c>
      <c r="I1539" s="11">
        <v>-0.26577412737581302</v>
      </c>
      <c r="J1539" s="10">
        <v>0.79041317015736101</v>
      </c>
      <c r="K1539" s="29">
        <v>0.98289565623980701</v>
      </c>
    </row>
    <row r="1540" spans="1:11" x14ac:dyDescent="0.35">
      <c r="A1540" s="9" t="str">
        <f>HYPERLINK("http://www.ensembl.org/id/WBGene00014319", "WBGene00014319")</f>
        <v>WBGene00014319</v>
      </c>
      <c r="B1540" s="9"/>
      <c r="C1540" s="9"/>
      <c r="D1540" t="str">
        <f>"F09B9.t2"</f>
        <v>F09B9.t2</v>
      </c>
      <c r="F1540" t="s">
        <v>4208</v>
      </c>
      <c r="H1540" s="12">
        <v>-2.4991590031922399</v>
      </c>
      <c r="I1540" s="11">
        <v>-0.26577412737581302</v>
      </c>
      <c r="J1540" s="10">
        <v>0.79041317015736101</v>
      </c>
      <c r="K1540" s="29">
        <v>0.98289565623980701</v>
      </c>
    </row>
    <row r="1541" spans="1:11" x14ac:dyDescent="0.35">
      <c r="A1541" s="9" t="str">
        <f>HYPERLINK("http://www.ensembl.org/id/WBGene00077492", "WBGene00077492")</f>
        <v>WBGene00077492</v>
      </c>
      <c r="B1541" s="9" t="str">
        <f>HYPERLINK("http://www.ncbi.nlm.nih.gov/gene/6418716", "6418716")</f>
        <v>6418716</v>
      </c>
      <c r="C1541" s="9"/>
      <c r="D1541" t="str">
        <f>"F09C6.15"</f>
        <v>F09C6.15</v>
      </c>
      <c r="F1541" t="s">
        <v>11</v>
      </c>
      <c r="H1541" s="12">
        <v>-2.4991590031922399</v>
      </c>
      <c r="I1541" s="11">
        <v>-0.26577412737581302</v>
      </c>
      <c r="J1541" s="10">
        <v>0.79041317015736101</v>
      </c>
      <c r="K1541" s="29">
        <v>0.98289565623980701</v>
      </c>
    </row>
    <row r="1542" spans="1:11" x14ac:dyDescent="0.35">
      <c r="A1542" s="9" t="str">
        <f>HYPERLINK("http://www.ensembl.org/id/WBGene00008635", "WBGene00008635")</f>
        <v>WBGene00008635</v>
      </c>
      <c r="B1542" s="9"/>
      <c r="C1542" s="9"/>
      <c r="D1542" t="str">
        <f>"F10A3.7"</f>
        <v>F10A3.7</v>
      </c>
      <c r="F1542" t="s">
        <v>80</v>
      </c>
      <c r="H1542" s="12">
        <v>-2.4991590031922399</v>
      </c>
      <c r="I1542" s="11">
        <v>-0.26577412737581302</v>
      </c>
      <c r="J1542" s="10">
        <v>0.79041317015736101</v>
      </c>
      <c r="K1542" s="29">
        <v>0.98289565623980701</v>
      </c>
    </row>
    <row r="1543" spans="1:11" x14ac:dyDescent="0.35">
      <c r="A1543" s="9" t="str">
        <f>HYPERLINK("http://www.ensembl.org/id/WBGene00198873", "WBGene00198873")</f>
        <v>WBGene00198873</v>
      </c>
      <c r="B1543" s="9"/>
      <c r="C1543" s="9"/>
      <c r="D1543" t="str">
        <f>"F10C2.11"</f>
        <v>F10C2.11</v>
      </c>
      <c r="F1543" t="s">
        <v>481</v>
      </c>
      <c r="H1543" s="12">
        <v>-2.4991590031922399</v>
      </c>
      <c r="I1543" s="11">
        <v>-0.26577412737581302</v>
      </c>
      <c r="J1543" s="10">
        <v>0.79041317015736101</v>
      </c>
      <c r="K1543" s="29">
        <v>0.98289565623980701</v>
      </c>
    </row>
    <row r="1544" spans="1:11" x14ac:dyDescent="0.35">
      <c r="A1544" s="9" t="str">
        <f>HYPERLINK("http://www.ensembl.org/id/WBGene00200438", "WBGene00200438")</f>
        <v>WBGene00200438</v>
      </c>
      <c r="B1544" s="9"/>
      <c r="C1544" s="9"/>
      <c r="D1544" t="str">
        <f>"F10E9.17"</f>
        <v>F10E9.17</v>
      </c>
      <c r="F1544" t="s">
        <v>481</v>
      </c>
      <c r="H1544" s="12">
        <v>-2.4991590031922399</v>
      </c>
      <c r="I1544" s="11">
        <v>-0.26577412737581302</v>
      </c>
      <c r="J1544" s="10">
        <v>0.79041317015736101</v>
      </c>
      <c r="K1544" s="29">
        <v>0.98289565623980701</v>
      </c>
    </row>
    <row r="1545" spans="1:11" x14ac:dyDescent="0.35">
      <c r="A1545" s="9" t="str">
        <f>HYPERLINK("http://www.ensembl.org/id/WBGene00197743", "WBGene00197743")</f>
        <v>WBGene00197743</v>
      </c>
      <c r="B1545" s="9"/>
      <c r="C1545" s="9"/>
      <c r="D1545" t="str">
        <f>"F11C1.13"</f>
        <v>F11C1.13</v>
      </c>
      <c r="F1545" t="s">
        <v>481</v>
      </c>
      <c r="H1545" s="12">
        <v>-2.4991590031922399</v>
      </c>
      <c r="I1545" s="11">
        <v>-0.26577412737581302</v>
      </c>
      <c r="J1545" s="10">
        <v>0.79041317015736101</v>
      </c>
      <c r="K1545" s="29">
        <v>0.98289565623980701</v>
      </c>
    </row>
    <row r="1546" spans="1:11" x14ac:dyDescent="0.35">
      <c r="A1546" s="9" t="str">
        <f>HYPERLINK("http://www.ensembl.org/id/WBGene00017412", "WBGene00017412")</f>
        <v>WBGene00017412</v>
      </c>
      <c r="B1546" s="9" t="str">
        <f>HYPERLINK("http://www.ncbi.nlm.nih.gov/gene/184394", "184394")</f>
        <v>184394</v>
      </c>
      <c r="C1546" s="9"/>
      <c r="D1546" t="str">
        <f>"F13A2.3"</f>
        <v>F13A2.3</v>
      </c>
      <c r="F1546" t="s">
        <v>11</v>
      </c>
      <c r="H1546" s="12">
        <v>-2.4991590031922399</v>
      </c>
      <c r="I1546" s="11">
        <v>-0.26577412737581302</v>
      </c>
      <c r="J1546" s="10">
        <v>0.79041317015736101</v>
      </c>
      <c r="K1546" s="29">
        <v>0.98289565623980701</v>
      </c>
    </row>
    <row r="1547" spans="1:11" x14ac:dyDescent="0.35">
      <c r="A1547" s="9" t="str">
        <f>HYPERLINK("http://www.ensembl.org/id/WBGene00197052", "WBGene00197052")</f>
        <v>WBGene00197052</v>
      </c>
      <c r="B1547" s="9"/>
      <c r="C1547" s="9"/>
      <c r="D1547" t="str">
        <f>"F13D11.10"</f>
        <v>F13D11.10</v>
      </c>
      <c r="F1547" t="s">
        <v>481</v>
      </c>
      <c r="H1547" s="12">
        <v>-2.4991590031922399</v>
      </c>
      <c r="I1547" s="11">
        <v>-0.26577412737581302</v>
      </c>
      <c r="J1547" s="10">
        <v>0.79041317015736101</v>
      </c>
      <c r="K1547" s="29">
        <v>0.98289565623980701</v>
      </c>
    </row>
    <row r="1548" spans="1:11" x14ac:dyDescent="0.35">
      <c r="A1548" s="9" t="str">
        <f>HYPERLINK("http://www.ensembl.org/id/WBGene00198693", "WBGene00198693")</f>
        <v>WBGene00198693</v>
      </c>
      <c r="B1548" s="9"/>
      <c r="C1548" s="9"/>
      <c r="D1548" t="str">
        <f>"F13H10.10"</f>
        <v>F13H10.10</v>
      </c>
      <c r="F1548" t="s">
        <v>481</v>
      </c>
      <c r="H1548" s="12">
        <v>-2.4991590031922399</v>
      </c>
      <c r="I1548" s="11">
        <v>-0.26577412737581302</v>
      </c>
      <c r="J1548" s="10">
        <v>0.79041317015736101</v>
      </c>
      <c r="K1548" s="29">
        <v>0.98289565623980701</v>
      </c>
    </row>
    <row r="1549" spans="1:11" x14ac:dyDescent="0.35">
      <c r="A1549" s="9" t="str">
        <f>HYPERLINK("http://www.ensembl.org/id/WBGene00199728", "WBGene00199728")</f>
        <v>WBGene00199728</v>
      </c>
      <c r="B1549" s="9"/>
      <c r="C1549" s="9"/>
      <c r="D1549" t="str">
        <f>"F13H6.24"</f>
        <v>F13H6.24</v>
      </c>
      <c r="F1549" t="s">
        <v>481</v>
      </c>
      <c r="H1549" s="12">
        <v>-2.4991590031922399</v>
      </c>
      <c r="I1549" s="11">
        <v>-0.26577412737581302</v>
      </c>
      <c r="J1549" s="10">
        <v>0.79041317015736101</v>
      </c>
      <c r="K1549" s="29">
        <v>0.98289565623980701</v>
      </c>
    </row>
    <row r="1550" spans="1:11" x14ac:dyDescent="0.35">
      <c r="A1550" s="9" t="str">
        <f>HYPERLINK("http://www.ensembl.org/id/WBGene00008788", "WBGene00008788")</f>
        <v>WBGene00008788</v>
      </c>
      <c r="B1550" s="9" t="str">
        <f>HYPERLINK("http://www.ncbi.nlm.nih.gov/gene/184462", "184462")</f>
        <v>184462</v>
      </c>
      <c r="C1550" s="9"/>
      <c r="D1550" t="str">
        <f>"F14D7.1"</f>
        <v>F14D7.1</v>
      </c>
      <c r="F1550" t="s">
        <v>11</v>
      </c>
      <c r="H1550" s="12">
        <v>-2.4991590031922399</v>
      </c>
      <c r="I1550" s="11">
        <v>-0.26577412737581302</v>
      </c>
      <c r="J1550" s="10">
        <v>0.79041317015736101</v>
      </c>
      <c r="K1550" s="29">
        <v>0.98289565623980701</v>
      </c>
    </row>
    <row r="1551" spans="1:11" x14ac:dyDescent="0.35">
      <c r="A1551" s="9" t="str">
        <f>HYPERLINK("http://www.ensembl.org/id/WBGene00045332", "WBGene00045332")</f>
        <v>WBGene00045332</v>
      </c>
      <c r="B1551" s="9"/>
      <c r="C1551" s="9"/>
      <c r="D1551" t="str">
        <f>"F14D7.13"</f>
        <v>F14D7.13</v>
      </c>
      <c r="F1551" t="s">
        <v>80</v>
      </c>
      <c r="H1551" s="12">
        <v>-2.4991590031922399</v>
      </c>
      <c r="I1551" s="11">
        <v>-0.26577412737581302</v>
      </c>
      <c r="J1551" s="10">
        <v>0.79041317015736101</v>
      </c>
      <c r="K1551" s="29">
        <v>0.98289565623980701</v>
      </c>
    </row>
    <row r="1552" spans="1:11" x14ac:dyDescent="0.35">
      <c r="A1552" s="9" t="str">
        <f>HYPERLINK("http://www.ensembl.org/id/WBGene00201425", "WBGene00201425")</f>
        <v>WBGene00201425</v>
      </c>
      <c r="B1552" s="9"/>
      <c r="C1552" s="9"/>
      <c r="D1552" t="str">
        <f>"F14F3.16"</f>
        <v>F14F3.16</v>
      </c>
      <c r="F1552" t="s">
        <v>481</v>
      </c>
      <c r="H1552" s="12">
        <v>-2.4991590031922399</v>
      </c>
      <c r="I1552" s="11">
        <v>-0.26577412737581302</v>
      </c>
      <c r="J1552" s="10">
        <v>0.79041317015736101</v>
      </c>
      <c r="K1552" s="29">
        <v>0.98289565623980701</v>
      </c>
    </row>
    <row r="1553" spans="1:11" x14ac:dyDescent="0.35">
      <c r="A1553" s="9" t="str">
        <f>HYPERLINK("http://www.ensembl.org/id/WBGene00219893", "WBGene00219893")</f>
        <v>WBGene00219893</v>
      </c>
      <c r="B1553" s="9"/>
      <c r="C1553" s="9"/>
      <c r="D1553" t="str">
        <f>"F15A8.19"</f>
        <v>F15A8.19</v>
      </c>
      <c r="F1553" t="s">
        <v>481</v>
      </c>
      <c r="H1553" s="12">
        <v>-2.4991590031922399</v>
      </c>
      <c r="I1553" s="11">
        <v>-0.26577412737581302</v>
      </c>
      <c r="J1553" s="10">
        <v>0.79041317015736101</v>
      </c>
      <c r="K1553" s="29">
        <v>0.98289565623980701</v>
      </c>
    </row>
    <row r="1554" spans="1:11" x14ac:dyDescent="0.35">
      <c r="A1554" s="9" t="str">
        <f>HYPERLINK("http://www.ensembl.org/id/WBGene00201860", "WBGene00201860")</f>
        <v>WBGene00201860</v>
      </c>
      <c r="B1554" s="9"/>
      <c r="C1554" s="9"/>
      <c r="D1554" t="str">
        <f>"F18E2.14"</f>
        <v>F18E2.14</v>
      </c>
      <c r="F1554" t="s">
        <v>481</v>
      </c>
      <c r="H1554" s="12">
        <v>-2.4991590031922399</v>
      </c>
      <c r="I1554" s="11">
        <v>-0.26577412737581302</v>
      </c>
      <c r="J1554" s="10">
        <v>0.79041317015736101</v>
      </c>
      <c r="K1554" s="29">
        <v>0.98289565623980701</v>
      </c>
    </row>
    <row r="1555" spans="1:11" x14ac:dyDescent="0.35">
      <c r="A1555" s="9" t="str">
        <f>HYPERLINK("http://www.ensembl.org/id/WBGene00219903", "WBGene00219903")</f>
        <v>WBGene00219903</v>
      </c>
      <c r="B1555" s="9"/>
      <c r="C1555" s="9"/>
      <c r="D1555" t="str">
        <f>"F18H3.7"</f>
        <v>F18H3.7</v>
      </c>
      <c r="F1555" t="s">
        <v>481</v>
      </c>
      <c r="H1555" s="12">
        <v>-2.4991590031922399</v>
      </c>
      <c r="I1555" s="11">
        <v>-0.26577412737581302</v>
      </c>
      <c r="J1555" s="10">
        <v>0.79041317015736101</v>
      </c>
      <c r="K1555" s="29">
        <v>0.98289565623980701</v>
      </c>
    </row>
    <row r="1556" spans="1:11" x14ac:dyDescent="0.35">
      <c r="A1556" s="9" t="str">
        <f>HYPERLINK("http://www.ensembl.org/id/WBGene00017588", "WBGene00017588")</f>
        <v>WBGene00017588</v>
      </c>
      <c r="B1556" s="9" t="str">
        <f>HYPERLINK("http://www.ncbi.nlm.nih.gov/gene/184671", "184671")</f>
        <v>184671</v>
      </c>
      <c r="C1556" s="9"/>
      <c r="D1556" t="str">
        <f>"F19B10.6"</f>
        <v>F19B10.6</v>
      </c>
      <c r="F1556" t="s">
        <v>11</v>
      </c>
      <c r="H1556" s="12">
        <v>-2.4991590031922399</v>
      </c>
      <c r="I1556" s="11">
        <v>-0.26577412737581302</v>
      </c>
      <c r="J1556" s="10">
        <v>0.79041317015736101</v>
      </c>
      <c r="K1556" s="29">
        <v>0.98289565623980701</v>
      </c>
    </row>
    <row r="1557" spans="1:11" x14ac:dyDescent="0.35">
      <c r="A1557" s="9" t="str">
        <f>HYPERLINK("http://www.ensembl.org/id/WBGene00017609", "WBGene00017609")</f>
        <v>WBGene00017609</v>
      </c>
      <c r="B1557" s="9" t="str">
        <f>HYPERLINK("http://www.ncbi.nlm.nih.gov/gene/184691", "184691")</f>
        <v>184691</v>
      </c>
      <c r="C1557" s="9"/>
      <c r="D1557" t="str">
        <f>"F19G12.1"</f>
        <v>F19G12.1</v>
      </c>
      <c r="F1557" t="s">
        <v>11</v>
      </c>
      <c r="G1557" t="s">
        <v>51</v>
      </c>
      <c r="H1557" s="12">
        <v>-2.4991590031922399</v>
      </c>
      <c r="I1557" s="11">
        <v>-0.26577412737581302</v>
      </c>
      <c r="J1557" s="10">
        <v>0.79041317015736101</v>
      </c>
      <c r="K1557" s="29">
        <v>0.98289565623980701</v>
      </c>
    </row>
    <row r="1558" spans="1:11" x14ac:dyDescent="0.35">
      <c r="A1558" s="9" t="str">
        <f>HYPERLINK("http://www.ensembl.org/id/WBGene00017630", "WBGene00017630")</f>
        <v>WBGene00017630</v>
      </c>
      <c r="B1558" s="9" t="str">
        <f>HYPERLINK("http://www.ncbi.nlm.nih.gov/gene/184714", "184714")</f>
        <v>184714</v>
      </c>
      <c r="C1558" s="9"/>
      <c r="D1558" t="str">
        <f>"F20B6.6"</f>
        <v>F20B6.6</v>
      </c>
      <c r="F1558" t="s">
        <v>11</v>
      </c>
      <c r="G1558" t="s">
        <v>93</v>
      </c>
      <c r="H1558" s="12">
        <v>-2.4991590031922399</v>
      </c>
      <c r="I1558" s="11">
        <v>-0.26577412737581302</v>
      </c>
      <c r="J1558" s="10">
        <v>0.79041317015736101</v>
      </c>
      <c r="K1558" s="29">
        <v>0.98289565623980701</v>
      </c>
    </row>
    <row r="1559" spans="1:11" x14ac:dyDescent="0.35">
      <c r="A1559" s="9" t="str">
        <f>HYPERLINK("http://www.ensembl.org/id/WBGene00077767", "WBGene00077767")</f>
        <v>WBGene00077767</v>
      </c>
      <c r="B1559" s="9"/>
      <c r="C1559" s="9"/>
      <c r="D1559" t="str">
        <f>"F22D6.17"</f>
        <v>F22D6.17</v>
      </c>
      <c r="F1559" t="s">
        <v>80</v>
      </c>
      <c r="H1559" s="12">
        <v>-2.4991590031922399</v>
      </c>
      <c r="I1559" s="11">
        <v>-0.26577412737581302</v>
      </c>
      <c r="J1559" s="10">
        <v>0.79041317015736101</v>
      </c>
      <c r="K1559" s="29">
        <v>0.98289565623980701</v>
      </c>
    </row>
    <row r="1560" spans="1:11" x14ac:dyDescent="0.35">
      <c r="A1560" s="9" t="str">
        <f>HYPERLINK("http://www.ensembl.org/id/WBGene00202136", "WBGene00202136")</f>
        <v>WBGene00202136</v>
      </c>
      <c r="B1560" s="9"/>
      <c r="C1560" s="9"/>
      <c r="D1560" t="str">
        <f>"F25D7.11"</f>
        <v>F25D7.11</v>
      </c>
      <c r="F1560" t="s">
        <v>481</v>
      </c>
      <c r="H1560" s="12">
        <v>-2.4991590031922399</v>
      </c>
      <c r="I1560" s="11">
        <v>-0.26577412737581302</v>
      </c>
      <c r="J1560" s="10">
        <v>0.79041317015736101</v>
      </c>
      <c r="K1560" s="29">
        <v>0.98289565623980701</v>
      </c>
    </row>
    <row r="1561" spans="1:11" x14ac:dyDescent="0.35">
      <c r="A1561" s="9" t="str">
        <f>HYPERLINK("http://www.ensembl.org/id/WBGene00219922", "WBGene00219922")</f>
        <v>WBGene00219922</v>
      </c>
      <c r="B1561" s="9"/>
      <c r="C1561" s="9"/>
      <c r="D1561" t="str">
        <f>"F28C10.5"</f>
        <v>F28C10.5</v>
      </c>
      <c r="F1561" t="s">
        <v>481</v>
      </c>
      <c r="H1561" s="12">
        <v>-2.4991590031922399</v>
      </c>
      <c r="I1561" s="11">
        <v>-0.26577412737581302</v>
      </c>
      <c r="J1561" s="10">
        <v>0.79041317015736101</v>
      </c>
      <c r="K1561" s="29">
        <v>0.98289565623980701</v>
      </c>
    </row>
    <row r="1562" spans="1:11" x14ac:dyDescent="0.35">
      <c r="A1562" s="9" t="str">
        <f>HYPERLINK("http://www.ensembl.org/id/WBGene00201569", "WBGene00201569")</f>
        <v>WBGene00201569</v>
      </c>
      <c r="B1562" s="9"/>
      <c r="C1562" s="9"/>
      <c r="D1562" t="str">
        <f>"F32B5.15"</f>
        <v>F32B5.15</v>
      </c>
      <c r="F1562" t="s">
        <v>481</v>
      </c>
      <c r="H1562" s="12">
        <v>-2.4991590031922399</v>
      </c>
      <c r="I1562" s="11">
        <v>-0.26577412737581302</v>
      </c>
      <c r="J1562" s="10">
        <v>0.79041317015736101</v>
      </c>
      <c r="K1562" s="29">
        <v>0.98289565623980701</v>
      </c>
    </row>
    <row r="1563" spans="1:11" x14ac:dyDescent="0.35">
      <c r="A1563" s="9" t="str">
        <f>HYPERLINK("http://www.ensembl.org/id/WBGene00195394", "WBGene00195394")</f>
        <v>WBGene00195394</v>
      </c>
      <c r="B1563" s="9"/>
      <c r="C1563" s="9"/>
      <c r="D1563" t="str">
        <f>"F32H2.13"</f>
        <v>F32H2.13</v>
      </c>
      <c r="F1563" t="s">
        <v>481</v>
      </c>
      <c r="H1563" s="12">
        <v>-2.4991590031922399</v>
      </c>
      <c r="I1563" s="11">
        <v>-0.26577412737581302</v>
      </c>
      <c r="J1563" s="10">
        <v>0.79041317015736101</v>
      </c>
      <c r="K1563" s="29">
        <v>0.98289565623980701</v>
      </c>
    </row>
    <row r="1564" spans="1:11" x14ac:dyDescent="0.35">
      <c r="A1564" s="9" t="str">
        <f>HYPERLINK("http://www.ensembl.org/id/WBGene00235180", "WBGene00235180")</f>
        <v>WBGene00235180</v>
      </c>
      <c r="B1564" s="9"/>
      <c r="C1564" s="9"/>
      <c r="D1564" t="str">
        <f>"F35B3.10"</f>
        <v>F35B3.10</v>
      </c>
      <c r="F1564" t="s">
        <v>4205</v>
      </c>
      <c r="H1564" s="12">
        <v>-2.4991590031922399</v>
      </c>
      <c r="I1564" s="11">
        <v>-0.26577412737581302</v>
      </c>
      <c r="J1564" s="10">
        <v>0.79041317015736101</v>
      </c>
      <c r="K1564" s="29">
        <v>0.98289565623980701</v>
      </c>
    </row>
    <row r="1565" spans="1:11" x14ac:dyDescent="0.35">
      <c r="A1565" s="9" t="str">
        <f>HYPERLINK("http://www.ensembl.org/id/WBGene00044972", "WBGene00044972")</f>
        <v>WBGene00044972</v>
      </c>
      <c r="B1565" s="9"/>
      <c r="C1565" s="9"/>
      <c r="D1565" t="str">
        <f>"F35E12.11"</f>
        <v>F35E12.11</v>
      </c>
      <c r="F1565" t="s">
        <v>481</v>
      </c>
      <c r="H1565" s="12">
        <v>-2.4991590031922399</v>
      </c>
      <c r="I1565" s="11">
        <v>-0.26577412737581302</v>
      </c>
      <c r="J1565" s="10">
        <v>0.79041317015736101</v>
      </c>
      <c r="K1565" s="29">
        <v>0.98289565623980701</v>
      </c>
    </row>
    <row r="1566" spans="1:11" x14ac:dyDescent="0.35">
      <c r="A1566" s="9" t="str">
        <f>HYPERLINK("http://www.ensembl.org/id/WBGene00195232", "WBGene00195232")</f>
        <v>WBGene00195232</v>
      </c>
      <c r="B1566" s="9" t="str">
        <f>HYPERLINK("http://www.ncbi.nlm.nih.gov/gene/13182084", "13182084")</f>
        <v>13182084</v>
      </c>
      <c r="C1566" s="9"/>
      <c r="D1566" t="str">
        <f>"F36D1.15"</f>
        <v>F36D1.15</v>
      </c>
      <c r="F1566" t="s">
        <v>11</v>
      </c>
      <c r="H1566" s="12">
        <v>-2.4991590031922399</v>
      </c>
      <c r="I1566" s="11">
        <v>-0.26577412737581302</v>
      </c>
      <c r="J1566" s="10">
        <v>0.79041317015736101</v>
      </c>
      <c r="K1566" s="29">
        <v>0.98289565623980701</v>
      </c>
    </row>
    <row r="1567" spans="1:11" x14ac:dyDescent="0.35">
      <c r="A1567" s="9" t="str">
        <f>HYPERLINK("http://www.ensembl.org/id/WBGene00268194", "WBGene00268194")</f>
        <v>WBGene00268194</v>
      </c>
      <c r="B1567" s="9" t="str">
        <f>HYPERLINK("http://www.ncbi.nlm.nih.gov/gene/25502978", "25502978")</f>
        <v>25502978</v>
      </c>
      <c r="C1567" s="9"/>
      <c r="D1567" t="str">
        <f>"F36H9.10"</f>
        <v>F36H9.10</v>
      </c>
      <c r="F1567" t="s">
        <v>11</v>
      </c>
      <c r="H1567" s="12">
        <v>-2.4991590031922399</v>
      </c>
      <c r="I1567" s="11">
        <v>-0.26577412737581302</v>
      </c>
      <c r="J1567" s="10">
        <v>0.79041317015736101</v>
      </c>
      <c r="K1567" s="29">
        <v>0.98289565623980701</v>
      </c>
    </row>
    <row r="1568" spans="1:11" x14ac:dyDescent="0.35">
      <c r="A1568" s="9" t="str">
        <f>HYPERLINK("http://www.ensembl.org/id/WBGene00009525", "WBGene00009525")</f>
        <v>WBGene00009525</v>
      </c>
      <c r="B1568" s="9" t="str">
        <f>HYPERLINK("http://www.ncbi.nlm.nih.gov/gene/185442", "185442")</f>
        <v>185442</v>
      </c>
      <c r="C1568" s="9"/>
      <c r="D1568" t="str">
        <f>"F38A1.13"</f>
        <v>F38A1.13</v>
      </c>
      <c r="F1568" t="s">
        <v>11</v>
      </c>
      <c r="H1568" s="12">
        <v>-2.4991590031922399</v>
      </c>
      <c r="I1568" s="11">
        <v>-0.26577412737581302</v>
      </c>
      <c r="J1568" s="10">
        <v>0.79041317015736101</v>
      </c>
      <c r="K1568" s="29">
        <v>0.98289565623980701</v>
      </c>
    </row>
    <row r="1569" spans="1:11" x14ac:dyDescent="0.35">
      <c r="A1569" s="9" t="str">
        <f>HYPERLINK("http://www.ensembl.org/id/WBGene00197407", "WBGene00197407")</f>
        <v>WBGene00197407</v>
      </c>
      <c r="B1569" s="9"/>
      <c r="C1569" s="9"/>
      <c r="D1569" t="str">
        <f>"F40B5.5"</f>
        <v>F40B5.5</v>
      </c>
      <c r="F1569" t="s">
        <v>481</v>
      </c>
      <c r="H1569" s="12">
        <v>-2.4991590031922399</v>
      </c>
      <c r="I1569" s="11">
        <v>-0.26577412737581302</v>
      </c>
      <c r="J1569" s="10">
        <v>0.79041317015736101</v>
      </c>
      <c r="K1569" s="29">
        <v>0.98289565623980701</v>
      </c>
    </row>
    <row r="1570" spans="1:11" x14ac:dyDescent="0.35">
      <c r="A1570" s="9" t="str">
        <f>HYPERLINK("http://www.ensembl.org/id/WBGene00009598", "WBGene00009598")</f>
        <v>WBGene00009598</v>
      </c>
      <c r="B1570" s="9"/>
      <c r="C1570" s="9"/>
      <c r="D1570" t="str">
        <f>"F40G12.3"</f>
        <v>F40G12.3</v>
      </c>
      <c r="F1570" t="s">
        <v>80</v>
      </c>
      <c r="H1570" s="12">
        <v>-2.4991590031922399</v>
      </c>
      <c r="I1570" s="11">
        <v>-0.26577412737581302</v>
      </c>
      <c r="J1570" s="10">
        <v>0.79041317015736101</v>
      </c>
      <c r="K1570" s="29">
        <v>0.98289565623980701</v>
      </c>
    </row>
    <row r="1571" spans="1:11" x14ac:dyDescent="0.35">
      <c r="A1571" s="9" t="str">
        <f>HYPERLINK("http://www.ensembl.org/id/WBGene00196285", "WBGene00196285")</f>
        <v>WBGene00196285</v>
      </c>
      <c r="B1571" s="9"/>
      <c r="C1571" s="9"/>
      <c r="D1571" t="str">
        <f>"F40H3.7"</f>
        <v>F40H3.7</v>
      </c>
      <c r="F1571" t="s">
        <v>481</v>
      </c>
      <c r="H1571" s="12">
        <v>-2.4991590031922399</v>
      </c>
      <c r="I1571" s="11">
        <v>-0.26577412737581302</v>
      </c>
      <c r="J1571" s="10">
        <v>0.79041317015736101</v>
      </c>
      <c r="K1571" s="29">
        <v>0.98289565623980701</v>
      </c>
    </row>
    <row r="1572" spans="1:11" x14ac:dyDescent="0.35">
      <c r="A1572" s="9" t="str">
        <f>HYPERLINK("http://www.ensembl.org/id/WBGene00018378", "WBGene00018378")</f>
        <v>WBGene00018378</v>
      </c>
      <c r="B1572" s="9" t="str">
        <f>HYPERLINK("http://www.ncbi.nlm.nih.gov/gene/185695", "185695")</f>
        <v>185695</v>
      </c>
      <c r="C1572" s="9"/>
      <c r="D1572" t="str">
        <f>"F43C11.1"</f>
        <v>F43C11.1</v>
      </c>
      <c r="F1572" t="s">
        <v>11</v>
      </c>
      <c r="H1572" s="12">
        <v>-2.4991590031922399</v>
      </c>
      <c r="I1572" s="11">
        <v>-0.26577412737581302</v>
      </c>
      <c r="J1572" s="10">
        <v>0.79041317015736101</v>
      </c>
      <c r="K1572" s="29">
        <v>0.98289565623980701</v>
      </c>
    </row>
    <row r="1573" spans="1:11" x14ac:dyDescent="0.35">
      <c r="A1573" s="9" t="str">
        <f>HYPERLINK("http://www.ensembl.org/id/WBGene00196460", "WBGene00196460")</f>
        <v>WBGene00196460</v>
      </c>
      <c r="B1573" s="9"/>
      <c r="C1573" s="9"/>
      <c r="D1573" t="str">
        <f>"F45E1.8"</f>
        <v>F45E1.8</v>
      </c>
      <c r="F1573" t="s">
        <v>481</v>
      </c>
      <c r="H1573" s="12">
        <v>-2.4991590031922399</v>
      </c>
      <c r="I1573" s="11">
        <v>-0.26577412737581302</v>
      </c>
      <c r="J1573" s="10">
        <v>0.79041317015736101</v>
      </c>
      <c r="K1573" s="29">
        <v>0.98289565623980701</v>
      </c>
    </row>
    <row r="1574" spans="1:11" x14ac:dyDescent="0.35">
      <c r="A1574" s="9" t="str">
        <f>HYPERLINK("http://www.ensembl.org/id/WBGene00196295", "WBGene00196295")</f>
        <v>WBGene00196295</v>
      </c>
      <c r="B1574" s="9"/>
      <c r="C1574" s="9"/>
      <c r="D1574" t="str">
        <f>"F45H7.9"</f>
        <v>F45H7.9</v>
      </c>
      <c r="F1574" t="s">
        <v>481</v>
      </c>
      <c r="H1574" s="12">
        <v>-2.4991590031922399</v>
      </c>
      <c r="I1574" s="11">
        <v>-0.26577412737581302</v>
      </c>
      <c r="J1574" s="10">
        <v>0.79041317015736101</v>
      </c>
      <c r="K1574" s="29">
        <v>0.98289565623980701</v>
      </c>
    </row>
    <row r="1575" spans="1:11" x14ac:dyDescent="0.35">
      <c r="A1575" s="9" t="str">
        <f>HYPERLINK("http://www.ensembl.org/id/WBGene00044192", "WBGene00044192")</f>
        <v>WBGene00044192</v>
      </c>
      <c r="B1575" s="9" t="str">
        <f>HYPERLINK("http://www.ncbi.nlm.nih.gov/gene/3565826", "3565826")</f>
        <v>3565826</v>
      </c>
      <c r="C1575" s="9"/>
      <c r="D1575" t="str">
        <f>"F46B6.13"</f>
        <v>F46B6.13</v>
      </c>
      <c r="F1575" t="s">
        <v>11</v>
      </c>
      <c r="H1575" s="12">
        <v>-2.4991590031922399</v>
      </c>
      <c r="I1575" s="11">
        <v>-0.26577412737581302</v>
      </c>
      <c r="J1575" s="10">
        <v>0.79041317015736101</v>
      </c>
      <c r="K1575" s="29">
        <v>0.98289565623980701</v>
      </c>
    </row>
    <row r="1576" spans="1:11" x14ac:dyDescent="0.35">
      <c r="A1576" s="9" t="str">
        <f>HYPERLINK("http://www.ensembl.org/id/WBGene00201563", "WBGene00201563")</f>
        <v>WBGene00201563</v>
      </c>
      <c r="B1576" s="9"/>
      <c r="C1576" s="9"/>
      <c r="D1576" t="str">
        <f>"F46F3.21"</f>
        <v>F46F3.21</v>
      </c>
      <c r="F1576" t="s">
        <v>481</v>
      </c>
      <c r="H1576" s="12">
        <v>-2.4991590031922399</v>
      </c>
      <c r="I1576" s="11">
        <v>-0.26577412737581302</v>
      </c>
      <c r="J1576" s="10">
        <v>0.79041317015736101</v>
      </c>
      <c r="K1576" s="29">
        <v>0.98289565623980701</v>
      </c>
    </row>
    <row r="1577" spans="1:11" x14ac:dyDescent="0.35">
      <c r="A1577" s="9" t="str">
        <f>HYPERLINK("http://www.ensembl.org/id/WBGene00201952", "WBGene00201952")</f>
        <v>WBGene00201952</v>
      </c>
      <c r="B1577" s="9"/>
      <c r="C1577" s="9"/>
      <c r="D1577" t="str">
        <f>"F46F3.23"</f>
        <v>F46F3.23</v>
      </c>
      <c r="F1577" t="s">
        <v>481</v>
      </c>
      <c r="H1577" s="12">
        <v>-2.4991590031922399</v>
      </c>
      <c r="I1577" s="11">
        <v>-0.26577412737581302</v>
      </c>
      <c r="J1577" s="10">
        <v>0.79041317015736101</v>
      </c>
      <c r="K1577" s="29">
        <v>0.98289565623980701</v>
      </c>
    </row>
    <row r="1578" spans="1:11" x14ac:dyDescent="0.35">
      <c r="A1578" s="9" t="str">
        <f>HYPERLINK("http://www.ensembl.org/id/WBGene00197360", "WBGene00197360")</f>
        <v>WBGene00197360</v>
      </c>
      <c r="B1578" s="9"/>
      <c r="C1578" s="9"/>
      <c r="D1578" t="str">
        <f>"F46H6.8"</f>
        <v>F46H6.8</v>
      </c>
      <c r="F1578" t="s">
        <v>481</v>
      </c>
      <c r="H1578" s="12">
        <v>-2.4991590031922399</v>
      </c>
      <c r="I1578" s="11">
        <v>-0.26577412737581302</v>
      </c>
      <c r="J1578" s="10">
        <v>0.79041317015736101</v>
      </c>
      <c r="K1578" s="29">
        <v>0.98289565623980701</v>
      </c>
    </row>
    <row r="1579" spans="1:11" x14ac:dyDescent="0.35">
      <c r="A1579" s="9" t="str">
        <f>HYPERLINK("http://www.ensembl.org/id/WBGene00014377", "WBGene00014377")</f>
        <v>WBGene00014377</v>
      </c>
      <c r="B1579" s="9"/>
      <c r="C1579" s="9"/>
      <c r="D1579" t="str">
        <f>"F47A4.t1"</f>
        <v>F47A4.t1</v>
      </c>
      <c r="F1579" t="s">
        <v>4208</v>
      </c>
      <c r="H1579" s="12">
        <v>-2.4991590031922399</v>
      </c>
      <c r="I1579" s="11">
        <v>-0.26577412737581302</v>
      </c>
      <c r="J1579" s="10">
        <v>0.79041317015736101</v>
      </c>
      <c r="K1579" s="29">
        <v>0.98289565623980701</v>
      </c>
    </row>
    <row r="1580" spans="1:11" x14ac:dyDescent="0.35">
      <c r="A1580" s="9" t="str">
        <f>HYPERLINK("http://www.ensembl.org/id/WBGene00219324", "WBGene00219324")</f>
        <v>WBGene00219324</v>
      </c>
      <c r="B1580" s="9" t="str">
        <f>HYPERLINK("http://www.ncbi.nlm.nih.gov/gene/13216506", "13216506")</f>
        <v>13216506</v>
      </c>
      <c r="C1580" s="9"/>
      <c r="D1580" t="str">
        <f>"F47B8.18"</f>
        <v>F47B8.18</v>
      </c>
      <c r="F1580" t="s">
        <v>11</v>
      </c>
      <c r="H1580" s="12">
        <v>-2.4991590031922399</v>
      </c>
      <c r="I1580" s="11">
        <v>-0.26577412737581302</v>
      </c>
      <c r="J1580" s="10">
        <v>0.79041317015736101</v>
      </c>
      <c r="K1580" s="29">
        <v>0.98289565623980701</v>
      </c>
    </row>
    <row r="1581" spans="1:11" x14ac:dyDescent="0.35">
      <c r="A1581" s="9" t="str">
        <f>HYPERLINK("http://www.ensembl.org/id/WBGene00023052", "WBGene00023052")</f>
        <v>WBGene00023052</v>
      </c>
      <c r="B1581" s="9"/>
      <c r="C1581" s="9"/>
      <c r="D1581" t="str">
        <f>"F47E1.t1"</f>
        <v>F47E1.t1</v>
      </c>
      <c r="F1581" t="s">
        <v>4208</v>
      </c>
      <c r="H1581" s="12">
        <v>-2.4991590031922399</v>
      </c>
      <c r="I1581" s="11">
        <v>-0.26577412737581302</v>
      </c>
      <c r="J1581" s="10">
        <v>0.79041317015736101</v>
      </c>
      <c r="K1581" s="29">
        <v>0.98289565623980701</v>
      </c>
    </row>
    <row r="1582" spans="1:11" x14ac:dyDescent="0.35">
      <c r="A1582" s="9" t="str">
        <f>HYPERLINK("http://www.ensembl.org/id/WBGene00018618", "WBGene00018618")</f>
        <v>WBGene00018618</v>
      </c>
      <c r="B1582" s="9" t="str">
        <f>HYPERLINK("http://www.ncbi.nlm.nih.gov/gene/185995", "185995")</f>
        <v>185995</v>
      </c>
      <c r="C1582" s="9"/>
      <c r="D1582" t="str">
        <f>"F48G7.7"</f>
        <v>F48G7.7</v>
      </c>
      <c r="F1582" t="s">
        <v>11</v>
      </c>
      <c r="H1582" s="12">
        <v>-2.4991590031922399</v>
      </c>
      <c r="I1582" s="11">
        <v>-0.26577412737581302</v>
      </c>
      <c r="J1582" s="10">
        <v>0.79041317015736101</v>
      </c>
      <c r="K1582" s="29">
        <v>0.98289565623980701</v>
      </c>
    </row>
    <row r="1583" spans="1:11" x14ac:dyDescent="0.35">
      <c r="A1583" s="9" t="str">
        <f>HYPERLINK("http://www.ensembl.org/id/WBGene00009869", "WBGene00009869")</f>
        <v>WBGene00009869</v>
      </c>
      <c r="B1583" s="9" t="str">
        <f>HYPERLINK("http://www.ncbi.nlm.nih.gov/gene/186018", "186018")</f>
        <v>186018</v>
      </c>
      <c r="C1583" s="9"/>
      <c r="D1583" t="str">
        <f>"F49C5.7"</f>
        <v>F49C5.7</v>
      </c>
      <c r="F1583" t="s">
        <v>11</v>
      </c>
      <c r="H1583" s="12">
        <v>-2.4991590031922399</v>
      </c>
      <c r="I1583" s="11">
        <v>-0.26577412737581302</v>
      </c>
      <c r="J1583" s="10">
        <v>0.79041317015736101</v>
      </c>
      <c r="K1583" s="29">
        <v>0.98289565623980701</v>
      </c>
    </row>
    <row r="1584" spans="1:11" x14ac:dyDescent="0.35">
      <c r="A1584" s="9" t="str">
        <f>HYPERLINK("http://www.ensembl.org/id/WBGene00197851", "WBGene00197851")</f>
        <v>WBGene00197851</v>
      </c>
      <c r="B1584" s="9"/>
      <c r="C1584" s="9"/>
      <c r="D1584" t="str">
        <f>"F49E7.3"</f>
        <v>F49E7.3</v>
      </c>
      <c r="F1584" t="s">
        <v>481</v>
      </c>
      <c r="H1584" s="12">
        <v>-2.4991590031922399</v>
      </c>
      <c r="I1584" s="11">
        <v>-0.26577412737581302</v>
      </c>
      <c r="J1584" s="10">
        <v>0.79041317015736101</v>
      </c>
      <c r="K1584" s="29">
        <v>0.98289565623980701</v>
      </c>
    </row>
    <row r="1585" spans="1:11" x14ac:dyDescent="0.35">
      <c r="A1585" s="9" t="str">
        <f>HYPERLINK("http://www.ensembl.org/id/WBGene00235365", "WBGene00235365")</f>
        <v>WBGene00235365</v>
      </c>
      <c r="B1585" s="9" t="str">
        <f>HYPERLINK("http://www.ncbi.nlm.nih.gov/gene/24104606", "24104606")</f>
        <v>24104606</v>
      </c>
      <c r="C1585" s="9"/>
      <c r="D1585" t="str">
        <f>"F49F1.15"</f>
        <v>F49F1.15</v>
      </c>
      <c r="F1585" t="s">
        <v>11</v>
      </c>
      <c r="G1585" t="s">
        <v>25</v>
      </c>
      <c r="H1585" s="12">
        <v>-2.4991590031922399</v>
      </c>
      <c r="I1585" s="11">
        <v>-0.26577412737581302</v>
      </c>
      <c r="J1585" s="10">
        <v>0.79041317015736101</v>
      </c>
      <c r="K1585" s="29">
        <v>0.98289565623980701</v>
      </c>
    </row>
    <row r="1586" spans="1:11" x14ac:dyDescent="0.35">
      <c r="A1586" s="9" t="str">
        <f>HYPERLINK("http://www.ensembl.org/id/WBGene00197727", "WBGene00197727")</f>
        <v>WBGene00197727</v>
      </c>
      <c r="B1586" s="9"/>
      <c r="C1586" s="9"/>
      <c r="D1586" t="str">
        <f>"F49H12.10"</f>
        <v>F49H12.10</v>
      </c>
      <c r="F1586" t="s">
        <v>481</v>
      </c>
      <c r="H1586" s="12">
        <v>-2.4991590031922399</v>
      </c>
      <c r="I1586" s="11">
        <v>-0.26577412737581302</v>
      </c>
      <c r="J1586" s="10">
        <v>0.79041317015736101</v>
      </c>
      <c r="K1586" s="29">
        <v>0.98289565623980701</v>
      </c>
    </row>
    <row r="1587" spans="1:11" x14ac:dyDescent="0.35">
      <c r="A1587" s="9" t="str">
        <f>HYPERLINK("http://www.ensembl.org/id/WBGene00199771", "WBGene00199771")</f>
        <v>WBGene00199771</v>
      </c>
      <c r="B1587" s="9"/>
      <c r="C1587" s="9"/>
      <c r="D1587" t="str">
        <f>"F52B10.18"</f>
        <v>F52B10.18</v>
      </c>
      <c r="F1587" t="s">
        <v>481</v>
      </c>
      <c r="H1587" s="12">
        <v>-2.4991590031922399</v>
      </c>
      <c r="I1587" s="11">
        <v>-0.26577412737581302</v>
      </c>
      <c r="J1587" s="10">
        <v>0.79041317015736101</v>
      </c>
      <c r="K1587" s="29">
        <v>0.98289565623980701</v>
      </c>
    </row>
    <row r="1588" spans="1:11" x14ac:dyDescent="0.35">
      <c r="A1588" s="9" t="str">
        <f>HYPERLINK("http://www.ensembl.org/id/WBGene00199385", "WBGene00199385")</f>
        <v>WBGene00199385</v>
      </c>
      <c r="B1588" s="9"/>
      <c r="C1588" s="9"/>
      <c r="D1588" t="str">
        <f>"F52E4.13"</f>
        <v>F52E4.13</v>
      </c>
      <c r="F1588" t="s">
        <v>481</v>
      </c>
      <c r="H1588" s="12">
        <v>-2.4991590031922399</v>
      </c>
      <c r="I1588" s="11">
        <v>-0.26577412737581302</v>
      </c>
      <c r="J1588" s="10">
        <v>0.79041317015736101</v>
      </c>
      <c r="K1588" s="29">
        <v>0.98289565623980701</v>
      </c>
    </row>
    <row r="1589" spans="1:11" x14ac:dyDescent="0.35">
      <c r="A1589" s="9" t="str">
        <f>HYPERLINK("http://www.ensembl.org/id/WBGene00199278", "WBGene00199278")</f>
        <v>WBGene00199278</v>
      </c>
      <c r="B1589" s="9"/>
      <c r="C1589" s="9"/>
      <c r="D1589" t="str">
        <f>"F54D8.8"</f>
        <v>F54D8.8</v>
      </c>
      <c r="F1589" t="s">
        <v>481</v>
      </c>
      <c r="H1589" s="12">
        <v>-2.4991590031922399</v>
      </c>
      <c r="I1589" s="11">
        <v>-0.26577412737581302</v>
      </c>
      <c r="J1589" s="10">
        <v>0.79041317015736101</v>
      </c>
      <c r="K1589" s="29">
        <v>0.98289565623980701</v>
      </c>
    </row>
    <row r="1590" spans="1:11" x14ac:dyDescent="0.35">
      <c r="A1590" s="9" t="str">
        <f>HYPERLINK("http://www.ensembl.org/id/WBGene00219968", "WBGene00219968")</f>
        <v>WBGene00219968</v>
      </c>
      <c r="B1590" s="9"/>
      <c r="C1590" s="9"/>
      <c r="D1590" t="str">
        <f>"F54F2.13"</f>
        <v>F54F2.13</v>
      </c>
      <c r="F1590" t="s">
        <v>481</v>
      </c>
      <c r="H1590" s="12">
        <v>-2.4991590031922399</v>
      </c>
      <c r="I1590" s="11">
        <v>-0.26577412737581302</v>
      </c>
      <c r="J1590" s="10">
        <v>0.79041317015736101</v>
      </c>
      <c r="K1590" s="29">
        <v>0.98289565623980701</v>
      </c>
    </row>
    <row r="1591" spans="1:11" x14ac:dyDescent="0.35">
      <c r="A1591" s="9" t="str">
        <f>HYPERLINK("http://www.ensembl.org/id/WBGene00196838", "WBGene00196838")</f>
        <v>WBGene00196838</v>
      </c>
      <c r="B1591" s="9"/>
      <c r="C1591" s="9"/>
      <c r="D1591" t="str">
        <f>"F55C5.14"</f>
        <v>F55C5.14</v>
      </c>
      <c r="F1591" t="s">
        <v>481</v>
      </c>
      <c r="H1591" s="12">
        <v>-2.4991590031922399</v>
      </c>
      <c r="I1591" s="11">
        <v>-0.26577412737581302</v>
      </c>
      <c r="J1591" s="10">
        <v>0.79041317015736101</v>
      </c>
      <c r="K1591" s="29">
        <v>0.98289565623980701</v>
      </c>
    </row>
    <row r="1592" spans="1:11" x14ac:dyDescent="0.35">
      <c r="A1592" s="9" t="str">
        <f>HYPERLINK("http://www.ensembl.org/id/WBGene00198589", "WBGene00198589")</f>
        <v>WBGene00198589</v>
      </c>
      <c r="B1592" s="9"/>
      <c r="C1592" s="9"/>
      <c r="D1592" t="str">
        <f>"F56A11.11"</f>
        <v>F56A11.11</v>
      </c>
      <c r="F1592" t="s">
        <v>481</v>
      </c>
      <c r="H1592" s="12">
        <v>-2.4991590031922399</v>
      </c>
      <c r="I1592" s="11">
        <v>-0.26577412737581302</v>
      </c>
      <c r="J1592" s="10">
        <v>0.79041317015736101</v>
      </c>
      <c r="K1592" s="29">
        <v>0.98289565623980701</v>
      </c>
    </row>
    <row r="1593" spans="1:11" x14ac:dyDescent="0.35">
      <c r="A1593" s="9" t="str">
        <f>HYPERLINK("http://www.ensembl.org/id/WBGene00200779", "WBGene00200779")</f>
        <v>WBGene00200779</v>
      </c>
      <c r="B1593" s="9"/>
      <c r="C1593" s="9"/>
      <c r="D1593" t="str">
        <f>"F56A11.12"</f>
        <v>F56A11.12</v>
      </c>
      <c r="F1593" t="s">
        <v>481</v>
      </c>
      <c r="H1593" s="12">
        <v>-2.4991590031922399</v>
      </c>
      <c r="I1593" s="11">
        <v>-0.26577412737581302</v>
      </c>
      <c r="J1593" s="10">
        <v>0.79041317015736101</v>
      </c>
      <c r="K1593" s="29">
        <v>0.98289565623980701</v>
      </c>
    </row>
    <row r="1594" spans="1:11" x14ac:dyDescent="0.35">
      <c r="A1594" s="9" t="str">
        <f>HYPERLINK("http://www.ensembl.org/id/WBGene00023299", "WBGene00023299")</f>
        <v>WBGene00023299</v>
      </c>
      <c r="B1594" s="9"/>
      <c r="C1594" s="9"/>
      <c r="D1594" t="str">
        <f>"F56D12.t4"</f>
        <v>F56D12.t4</v>
      </c>
      <c r="F1594" t="s">
        <v>80</v>
      </c>
      <c r="H1594" s="12">
        <v>-2.4991590031922399</v>
      </c>
      <c r="I1594" s="11">
        <v>-0.26577412737581302</v>
      </c>
      <c r="J1594" s="10">
        <v>0.79041317015736101</v>
      </c>
      <c r="K1594" s="29">
        <v>0.98289565623980701</v>
      </c>
    </row>
    <row r="1595" spans="1:11" x14ac:dyDescent="0.35">
      <c r="A1595" s="9" t="str">
        <f>HYPERLINK("http://www.ensembl.org/id/WBGene00197640", "WBGene00197640")</f>
        <v>WBGene00197640</v>
      </c>
      <c r="B1595" s="9"/>
      <c r="C1595" s="9"/>
      <c r="D1595" t="str">
        <f>"F57B1.13"</f>
        <v>F57B1.13</v>
      </c>
      <c r="F1595" t="s">
        <v>481</v>
      </c>
      <c r="H1595" s="12">
        <v>-2.4991590031922399</v>
      </c>
      <c r="I1595" s="11">
        <v>-0.26577412737581302</v>
      </c>
      <c r="J1595" s="10">
        <v>0.79041317015736101</v>
      </c>
      <c r="K1595" s="29">
        <v>0.98289565623980701</v>
      </c>
    </row>
    <row r="1596" spans="1:11" x14ac:dyDescent="0.35">
      <c r="A1596" s="9" t="str">
        <f>HYPERLINK("http://www.ensembl.org/id/WBGene00197923", "WBGene00197923")</f>
        <v>WBGene00197923</v>
      </c>
      <c r="B1596" s="9"/>
      <c r="C1596" s="9"/>
      <c r="D1596" t="str">
        <f>"F57G12.6"</f>
        <v>F57G12.6</v>
      </c>
      <c r="F1596" t="s">
        <v>481</v>
      </c>
      <c r="H1596" s="12">
        <v>-2.4991590031922399</v>
      </c>
      <c r="I1596" s="11">
        <v>-0.26577412737581302</v>
      </c>
      <c r="J1596" s="10">
        <v>0.79041317015736101</v>
      </c>
      <c r="K1596" s="29">
        <v>0.98289565623980701</v>
      </c>
    </row>
    <row r="1597" spans="1:11" x14ac:dyDescent="0.35">
      <c r="A1597" s="9" t="str">
        <f>HYPERLINK("http://www.ensembl.org/id/WBGene00195356", "WBGene00195356")</f>
        <v>WBGene00195356</v>
      </c>
      <c r="B1597" s="9"/>
      <c r="C1597" s="9"/>
      <c r="D1597" t="str">
        <f>"F57H12.10"</f>
        <v>F57H12.10</v>
      </c>
      <c r="F1597" t="s">
        <v>481</v>
      </c>
      <c r="H1597" s="12">
        <v>-2.4991590031922399</v>
      </c>
      <c r="I1597" s="11">
        <v>-0.26577412737581302</v>
      </c>
      <c r="J1597" s="10">
        <v>0.79041317015736101</v>
      </c>
      <c r="K1597" s="29">
        <v>0.98289565623980701</v>
      </c>
    </row>
    <row r="1598" spans="1:11" x14ac:dyDescent="0.35">
      <c r="A1598" s="9" t="str">
        <f>HYPERLINK("http://www.ensembl.org/id/WBGene00014781", "WBGene00014781")</f>
        <v>WBGene00014781</v>
      </c>
      <c r="B1598" s="9"/>
      <c r="C1598" s="9"/>
      <c r="D1598" t="str">
        <f>"F59A1.t1"</f>
        <v>F59A1.t1</v>
      </c>
      <c r="F1598" t="s">
        <v>80</v>
      </c>
      <c r="H1598" s="12">
        <v>-2.4991590031922399</v>
      </c>
      <c r="I1598" s="11">
        <v>-0.26577412737581302</v>
      </c>
      <c r="J1598" s="10">
        <v>0.79041317015736101</v>
      </c>
      <c r="K1598" s="29">
        <v>0.98289565623980701</v>
      </c>
    </row>
    <row r="1599" spans="1:11" x14ac:dyDescent="0.35">
      <c r="A1599" s="9" t="str">
        <f>HYPERLINK("http://www.ensembl.org/id/WBGene00019099", "WBGene00019099")</f>
        <v>WBGene00019099</v>
      </c>
      <c r="B1599" s="9" t="str">
        <f>HYPERLINK("http://www.ncbi.nlm.nih.gov/gene/186591", "186591")</f>
        <v>186591</v>
      </c>
      <c r="C1599" s="9"/>
      <c r="D1599" t="str">
        <f>"F59B1.6"</f>
        <v>F59B1.6</v>
      </c>
      <c r="F1599" t="s">
        <v>11</v>
      </c>
      <c r="G1599" t="s">
        <v>25</v>
      </c>
      <c r="H1599" s="12">
        <v>-2.4991590031922399</v>
      </c>
      <c r="I1599" s="11">
        <v>-0.26577412737581302</v>
      </c>
      <c r="J1599" s="10">
        <v>0.79041317015736101</v>
      </c>
      <c r="K1599" s="29">
        <v>0.98289565623980701</v>
      </c>
    </row>
    <row r="1600" spans="1:11" x14ac:dyDescent="0.35">
      <c r="A1600" s="9" t="str">
        <f>HYPERLINK("http://www.ensembl.org/id/WBGene00200905", "WBGene00200905")</f>
        <v>WBGene00200905</v>
      </c>
      <c r="B1600" s="9"/>
      <c r="C1600" s="9"/>
      <c r="D1600" t="str">
        <f>"F59F5.9"</f>
        <v>F59F5.9</v>
      </c>
      <c r="F1600" t="s">
        <v>481</v>
      </c>
      <c r="H1600" s="12">
        <v>-2.4991590031922399</v>
      </c>
      <c r="I1600" s="11">
        <v>-0.26577412737581302</v>
      </c>
      <c r="J1600" s="10">
        <v>0.79041317015736101</v>
      </c>
      <c r="K1600" s="29">
        <v>0.98289565623980701</v>
      </c>
    </row>
    <row r="1601" spans="1:11" x14ac:dyDescent="0.35">
      <c r="A1601" s="9" t="str">
        <f>HYPERLINK("http://www.ensembl.org/id/WBGene00008501", "WBGene00008501")</f>
        <v>WBGene00008501</v>
      </c>
      <c r="B1601" s="9"/>
      <c r="C1601" s="9"/>
      <c r="D1601" t="str">
        <f>"fbxa-177"</f>
        <v>fbxa-177</v>
      </c>
      <c r="F1601" t="s">
        <v>80</v>
      </c>
      <c r="H1601" s="12">
        <v>-2.4991590031922399</v>
      </c>
      <c r="I1601" s="11">
        <v>-0.26577412737581302</v>
      </c>
      <c r="J1601" s="10">
        <v>0.79041317015736101</v>
      </c>
      <c r="K1601" s="29">
        <v>0.98289565623980701</v>
      </c>
    </row>
    <row r="1602" spans="1:11" x14ac:dyDescent="0.35">
      <c r="A1602" s="9" t="str">
        <f>HYPERLINK("http://www.ensembl.org/id/WBGene00019976", "WBGene00019976")</f>
        <v>WBGene00019976</v>
      </c>
      <c r="B1602" s="9"/>
      <c r="C1602" s="9"/>
      <c r="D1602" t="str">
        <f>"fbxa-195"</f>
        <v>fbxa-195</v>
      </c>
      <c r="F1602" t="s">
        <v>80</v>
      </c>
      <c r="H1602" s="12">
        <v>-2.4991590031922399</v>
      </c>
      <c r="I1602" s="11">
        <v>-0.26577412737581302</v>
      </c>
      <c r="J1602" s="10">
        <v>0.79041317015736101</v>
      </c>
      <c r="K1602" s="29">
        <v>0.98289565623980701</v>
      </c>
    </row>
    <row r="1603" spans="1:11" x14ac:dyDescent="0.35">
      <c r="A1603" s="9" t="str">
        <f>HYPERLINK("http://www.ensembl.org/id/WBGene00008751", "WBGene00008751")</f>
        <v>WBGene00008751</v>
      </c>
      <c r="B1603" s="9" t="str">
        <f>HYPERLINK("http://www.ncbi.nlm.nih.gov/gene/184420", "184420")</f>
        <v>184420</v>
      </c>
      <c r="C1603" s="9"/>
      <c r="D1603" t="str">
        <f>"fipr-14"</f>
        <v>fipr-14</v>
      </c>
      <c r="E1603" t="s">
        <v>28</v>
      </c>
      <c r="F1603" t="s">
        <v>11</v>
      </c>
      <c r="H1603" s="12">
        <v>-2.4991590031922399</v>
      </c>
      <c r="I1603" s="11">
        <v>-0.26577412737581302</v>
      </c>
      <c r="J1603" s="10">
        <v>0.79041317015736101</v>
      </c>
      <c r="K1603" s="29">
        <v>0.98289565623980701</v>
      </c>
    </row>
    <row r="1604" spans="1:11" x14ac:dyDescent="0.35">
      <c r="A1604" s="9" t="str">
        <f>HYPERLINK("http://www.ensembl.org/id/WBGene00198437", "WBGene00198437")</f>
        <v>WBGene00198437</v>
      </c>
      <c r="B1604" s="9"/>
      <c r="C1604" s="9"/>
      <c r="D1604" t="str">
        <f>"H03A11.8"</f>
        <v>H03A11.8</v>
      </c>
      <c r="F1604" t="s">
        <v>481</v>
      </c>
      <c r="H1604" s="12">
        <v>-2.4991590031922399</v>
      </c>
      <c r="I1604" s="11">
        <v>-0.26577412737581302</v>
      </c>
      <c r="J1604" s="10">
        <v>0.79041317015736101</v>
      </c>
      <c r="K1604" s="29">
        <v>0.98289565623980701</v>
      </c>
    </row>
    <row r="1605" spans="1:11" x14ac:dyDescent="0.35">
      <c r="A1605" s="9" t="str">
        <f>HYPERLINK("http://www.ensembl.org/id/WBGene00196696", "WBGene00196696")</f>
        <v>WBGene00196696</v>
      </c>
      <c r="B1605" s="9"/>
      <c r="C1605" s="9"/>
      <c r="D1605" t="str">
        <f>"H06I04.11"</f>
        <v>H06I04.11</v>
      </c>
      <c r="F1605" t="s">
        <v>481</v>
      </c>
      <c r="H1605" s="12">
        <v>-2.4991590031922399</v>
      </c>
      <c r="I1605" s="11">
        <v>-0.26577412737581302</v>
      </c>
      <c r="J1605" s="10">
        <v>0.79041317015736101</v>
      </c>
      <c r="K1605" s="29">
        <v>0.98289565623980701</v>
      </c>
    </row>
    <row r="1606" spans="1:11" x14ac:dyDescent="0.35">
      <c r="A1606" s="9" t="str">
        <f>HYPERLINK("http://www.ensembl.org/id/WBGene00197716", "WBGene00197716")</f>
        <v>WBGene00197716</v>
      </c>
      <c r="B1606" s="9"/>
      <c r="C1606" s="9"/>
      <c r="D1606" t="str">
        <f>"H15M21.1"</f>
        <v>H15M21.1</v>
      </c>
      <c r="F1606" t="s">
        <v>481</v>
      </c>
      <c r="H1606" s="12">
        <v>-2.4991590031922399</v>
      </c>
      <c r="I1606" s="11">
        <v>-0.26577412737581302</v>
      </c>
      <c r="J1606" s="10">
        <v>0.79041317015736101</v>
      </c>
      <c r="K1606" s="29">
        <v>0.98289565623980701</v>
      </c>
    </row>
    <row r="1607" spans="1:11" x14ac:dyDescent="0.35">
      <c r="A1607" s="9" t="str">
        <f>HYPERLINK("http://www.ensembl.org/id/WBGene00008675", "WBGene00008675")</f>
        <v>WBGene00008675</v>
      </c>
      <c r="B1607" s="9" t="str">
        <f>HYPERLINK("http://www.ncbi.nlm.nih.gov/gene/184334", "184334")</f>
        <v>184334</v>
      </c>
      <c r="C1607" s="9"/>
      <c r="D1607" t="str">
        <f>"irld-26"</f>
        <v>irld-26</v>
      </c>
      <c r="E1607" t="s">
        <v>1627</v>
      </c>
      <c r="F1607" t="s">
        <v>11</v>
      </c>
      <c r="H1607" s="12">
        <v>-2.4991590031922399</v>
      </c>
      <c r="I1607" s="11">
        <v>-0.26577412737581302</v>
      </c>
      <c r="J1607" s="10">
        <v>0.79041317015736101</v>
      </c>
      <c r="K1607" s="29">
        <v>0.98289565623980701</v>
      </c>
    </row>
    <row r="1608" spans="1:11" x14ac:dyDescent="0.35">
      <c r="A1608" s="9" t="str">
        <f>HYPERLINK("http://www.ensembl.org/id/WBGene00200800", "WBGene00200800")</f>
        <v>WBGene00200800</v>
      </c>
      <c r="B1608" s="9"/>
      <c r="C1608" s="9"/>
      <c r="D1608" t="str">
        <f>"K02B2.37"</f>
        <v>K02B2.37</v>
      </c>
      <c r="F1608" t="s">
        <v>481</v>
      </c>
      <c r="H1608" s="12">
        <v>-2.4991590031922399</v>
      </c>
      <c r="I1608" s="11">
        <v>-0.26577412737581302</v>
      </c>
      <c r="J1608" s="10">
        <v>0.79041317015736101</v>
      </c>
      <c r="K1608" s="29">
        <v>0.98289565623980701</v>
      </c>
    </row>
    <row r="1609" spans="1:11" x14ac:dyDescent="0.35">
      <c r="A1609" s="9" t="str">
        <f>HYPERLINK("http://www.ensembl.org/id/WBGene00196376", "WBGene00196376")</f>
        <v>WBGene00196376</v>
      </c>
      <c r="B1609" s="9"/>
      <c r="C1609" s="9"/>
      <c r="D1609" t="str">
        <f>"K02D10.7"</f>
        <v>K02D10.7</v>
      </c>
      <c r="F1609" t="s">
        <v>481</v>
      </c>
      <c r="H1609" s="12">
        <v>-2.4991590031922399</v>
      </c>
      <c r="I1609" s="11">
        <v>-0.26577412737581302</v>
      </c>
      <c r="J1609" s="10">
        <v>0.79041317015736101</v>
      </c>
      <c r="K1609" s="29">
        <v>0.98289565623980701</v>
      </c>
    </row>
    <row r="1610" spans="1:11" x14ac:dyDescent="0.35">
      <c r="A1610" s="9" t="str">
        <f>HYPERLINK("http://www.ensembl.org/id/WBGene00201099", "WBGene00201099")</f>
        <v>WBGene00201099</v>
      </c>
      <c r="B1610" s="9"/>
      <c r="C1610" s="9"/>
      <c r="D1610" t="str">
        <f>"K02E10.11"</f>
        <v>K02E10.11</v>
      </c>
      <c r="F1610" t="s">
        <v>481</v>
      </c>
      <c r="H1610" s="12">
        <v>-2.4991590031922399</v>
      </c>
      <c r="I1610" s="11">
        <v>-0.26577412737581302</v>
      </c>
      <c r="J1610" s="10">
        <v>0.79041317015736101</v>
      </c>
      <c r="K1610" s="29">
        <v>0.98289565623980701</v>
      </c>
    </row>
    <row r="1611" spans="1:11" x14ac:dyDescent="0.35">
      <c r="A1611" s="9" t="str">
        <f>HYPERLINK("http://www.ensembl.org/id/WBGene00200980", "WBGene00200980")</f>
        <v>WBGene00200980</v>
      </c>
      <c r="B1611" s="9"/>
      <c r="C1611" s="9"/>
      <c r="D1611" t="str">
        <f>"K03B8.22"</f>
        <v>K03B8.22</v>
      </c>
      <c r="F1611" t="s">
        <v>481</v>
      </c>
      <c r="H1611" s="12">
        <v>-2.4991590031922399</v>
      </c>
      <c r="I1611" s="11">
        <v>-0.26577412737581302</v>
      </c>
      <c r="J1611" s="10">
        <v>0.79041317015736101</v>
      </c>
      <c r="K1611" s="29">
        <v>0.98289565623980701</v>
      </c>
    </row>
    <row r="1612" spans="1:11" x14ac:dyDescent="0.35">
      <c r="A1612" s="9" t="str">
        <f>HYPERLINK("http://www.ensembl.org/id/WBGene00010535", "WBGene00010535")</f>
        <v>WBGene00010535</v>
      </c>
      <c r="B1612" s="9"/>
      <c r="C1612" s="9"/>
      <c r="D1612" t="str">
        <f>"K03D7.8"</f>
        <v>K03D7.8</v>
      </c>
      <c r="F1612" t="s">
        <v>80</v>
      </c>
      <c r="H1612" s="12">
        <v>-2.4991590031922399</v>
      </c>
      <c r="I1612" s="11">
        <v>-0.26577412737581302</v>
      </c>
      <c r="J1612" s="10">
        <v>0.79041317015736101</v>
      </c>
      <c r="K1612" s="29">
        <v>0.98289565623980701</v>
      </c>
    </row>
    <row r="1613" spans="1:11" x14ac:dyDescent="0.35">
      <c r="A1613" s="9" t="str">
        <f>HYPERLINK("http://www.ensembl.org/id/WBGene00200493", "WBGene00200493")</f>
        <v>WBGene00200493</v>
      </c>
      <c r="B1613" s="9"/>
      <c r="C1613" s="9"/>
      <c r="D1613" t="str">
        <f>"K03H9.12"</f>
        <v>K03H9.12</v>
      </c>
      <c r="F1613" t="s">
        <v>481</v>
      </c>
      <c r="H1613" s="12">
        <v>-2.4991590031922399</v>
      </c>
      <c r="I1613" s="11">
        <v>-0.26577412737581302</v>
      </c>
      <c r="J1613" s="10">
        <v>0.79041317015736101</v>
      </c>
      <c r="K1613" s="29">
        <v>0.98289565623980701</v>
      </c>
    </row>
    <row r="1614" spans="1:11" x14ac:dyDescent="0.35">
      <c r="A1614" s="9" t="str">
        <f>HYPERLINK("http://www.ensembl.org/id/WBGene00196729", "WBGene00196729")</f>
        <v>WBGene00196729</v>
      </c>
      <c r="B1614" s="9"/>
      <c r="C1614" s="9"/>
      <c r="D1614" t="str">
        <f>"K04D7.10"</f>
        <v>K04D7.10</v>
      </c>
      <c r="F1614" t="s">
        <v>481</v>
      </c>
      <c r="H1614" s="12">
        <v>-2.4991590031922399</v>
      </c>
      <c r="I1614" s="11">
        <v>-0.26577412737581302</v>
      </c>
      <c r="J1614" s="10">
        <v>0.79041317015736101</v>
      </c>
      <c r="K1614" s="29">
        <v>0.98289565623980701</v>
      </c>
    </row>
    <row r="1615" spans="1:11" x14ac:dyDescent="0.35">
      <c r="A1615" s="9" t="str">
        <f>HYPERLINK("http://www.ensembl.org/id/WBGene00019453", "WBGene00019453")</f>
        <v>WBGene00019453</v>
      </c>
      <c r="B1615" s="9" t="str">
        <f>HYPERLINK("http://www.ncbi.nlm.nih.gov/gene/187074", "187074")</f>
        <v>187074</v>
      </c>
      <c r="C1615" s="9"/>
      <c r="D1615" t="str">
        <f>"K06H6.5"</f>
        <v>K06H6.5</v>
      </c>
      <c r="F1615" t="s">
        <v>11</v>
      </c>
      <c r="G1615" t="s">
        <v>3419</v>
      </c>
      <c r="H1615" s="12">
        <v>-2.4991590031922399</v>
      </c>
      <c r="I1615" s="11">
        <v>-0.26577412737581302</v>
      </c>
      <c r="J1615" s="10">
        <v>0.79041317015736101</v>
      </c>
      <c r="K1615" s="29">
        <v>0.98289565623980701</v>
      </c>
    </row>
    <row r="1616" spans="1:11" x14ac:dyDescent="0.35">
      <c r="A1616" s="9" t="str">
        <f>HYPERLINK("http://www.ensembl.org/id/WBGene00195306", "WBGene00195306")</f>
        <v>WBGene00195306</v>
      </c>
      <c r="B1616" s="9"/>
      <c r="C1616" s="9"/>
      <c r="D1616" t="str">
        <f>"K07C11.13"</f>
        <v>K07C11.13</v>
      </c>
      <c r="F1616" t="s">
        <v>481</v>
      </c>
      <c r="H1616" s="12">
        <v>-2.4991590031922399</v>
      </c>
      <c r="I1616" s="11">
        <v>-0.26577412737581302</v>
      </c>
      <c r="J1616" s="10">
        <v>0.79041317015736101</v>
      </c>
      <c r="K1616" s="29">
        <v>0.98289565623980701</v>
      </c>
    </row>
    <row r="1617" spans="1:11" x14ac:dyDescent="0.35">
      <c r="A1617" s="9" t="str">
        <f>HYPERLINK("http://www.ensembl.org/id/WBGene00197762", "WBGene00197762")</f>
        <v>WBGene00197762</v>
      </c>
      <c r="B1617" s="9"/>
      <c r="C1617" s="9"/>
      <c r="D1617" t="str">
        <f>"K09F5.8"</f>
        <v>K09F5.8</v>
      </c>
      <c r="F1617" t="s">
        <v>481</v>
      </c>
      <c r="H1617" s="12">
        <v>-2.4991590031922399</v>
      </c>
      <c r="I1617" s="11">
        <v>-0.26577412737581302</v>
      </c>
      <c r="J1617" s="10">
        <v>0.79041317015736101</v>
      </c>
      <c r="K1617" s="29">
        <v>0.98289565623980701</v>
      </c>
    </row>
    <row r="1618" spans="1:11" x14ac:dyDescent="0.35">
      <c r="A1618" s="9" t="str">
        <f>HYPERLINK("http://www.ensembl.org/id/WBGene00045084", "WBGene00045084")</f>
        <v>WBGene00045084</v>
      </c>
      <c r="B1618" s="9"/>
      <c r="C1618" s="9"/>
      <c r="D1618" t="str">
        <f>"K11C4.6"</f>
        <v>K11C4.6</v>
      </c>
      <c r="F1618" t="s">
        <v>2977</v>
      </c>
      <c r="H1618" s="12">
        <v>-2.4991590031922399</v>
      </c>
      <c r="I1618" s="11">
        <v>-0.26577412737581302</v>
      </c>
      <c r="J1618" s="10">
        <v>0.79041317015736101</v>
      </c>
      <c r="K1618" s="29">
        <v>0.98289565623980701</v>
      </c>
    </row>
    <row r="1619" spans="1:11" x14ac:dyDescent="0.35">
      <c r="A1619" s="9" t="str">
        <f>HYPERLINK("http://www.ensembl.org/id/WBGene00199150", "WBGene00199150")</f>
        <v>WBGene00199150</v>
      </c>
      <c r="B1619" s="9"/>
      <c r="C1619" s="9"/>
      <c r="D1619" t="str">
        <f>"K11G9.11"</f>
        <v>K11G9.11</v>
      </c>
      <c r="F1619" t="s">
        <v>481</v>
      </c>
      <c r="H1619" s="12">
        <v>-2.4991590031922399</v>
      </c>
      <c r="I1619" s="11">
        <v>-0.26577412737581302</v>
      </c>
      <c r="J1619" s="10">
        <v>0.79041317015736101</v>
      </c>
      <c r="K1619" s="29">
        <v>0.98289565623980701</v>
      </c>
    </row>
    <row r="1620" spans="1:11" x14ac:dyDescent="0.35">
      <c r="A1620" s="9" t="str">
        <f>HYPERLINK("http://www.ensembl.org/id/WBGene00219674", "WBGene00219674")</f>
        <v>WBGene00219674</v>
      </c>
      <c r="B1620" s="9"/>
      <c r="C1620" s="9"/>
      <c r="D1620" t="str">
        <f>"linc-122"</f>
        <v>linc-122</v>
      </c>
      <c r="F1620" t="s">
        <v>1510</v>
      </c>
      <c r="H1620" s="12">
        <v>-2.4991590031922399</v>
      </c>
      <c r="I1620" s="11">
        <v>-0.26577412737581302</v>
      </c>
      <c r="J1620" s="10">
        <v>0.79041317015736101</v>
      </c>
      <c r="K1620" s="29">
        <v>0.98289565623980701</v>
      </c>
    </row>
    <row r="1621" spans="1:11" x14ac:dyDescent="0.35">
      <c r="A1621" s="9" t="str">
        <f>HYPERLINK("http://www.ensembl.org/id/WBGene00219613", "WBGene00219613")</f>
        <v>WBGene00219613</v>
      </c>
      <c r="B1621" s="9"/>
      <c r="C1621" s="9"/>
      <c r="D1621" t="str">
        <f>"linc-148"</f>
        <v>linc-148</v>
      </c>
      <c r="F1621" t="s">
        <v>1510</v>
      </c>
      <c r="H1621" s="12">
        <v>-2.4991590031922399</v>
      </c>
      <c r="I1621" s="11">
        <v>-0.26577412737581302</v>
      </c>
      <c r="J1621" s="10">
        <v>0.79041317015736101</v>
      </c>
      <c r="K1621" s="29">
        <v>0.98289565623980701</v>
      </c>
    </row>
    <row r="1622" spans="1:11" x14ac:dyDescent="0.35">
      <c r="A1622" s="9" t="str">
        <f>HYPERLINK("http://www.ensembl.org/id/WBGene00010820", "WBGene00010820")</f>
        <v>WBGene00010820</v>
      </c>
      <c r="B1622" s="9" t="str">
        <f>HYPERLINK("http://www.ncbi.nlm.nih.gov/gene/187383", "187383")</f>
        <v>187383</v>
      </c>
      <c r="C1622" s="9"/>
      <c r="D1622" t="str">
        <f>"M01G12.6"</f>
        <v>M01G12.6</v>
      </c>
      <c r="F1622" t="s">
        <v>11</v>
      </c>
      <c r="G1622" t="s">
        <v>10066</v>
      </c>
      <c r="H1622" s="12">
        <v>-2.4991590031922399</v>
      </c>
      <c r="I1622" s="11">
        <v>-0.26577412737581302</v>
      </c>
      <c r="J1622" s="10">
        <v>0.79041317015736101</v>
      </c>
      <c r="K1622" s="29">
        <v>0.98289565623980701</v>
      </c>
    </row>
    <row r="1623" spans="1:11" x14ac:dyDescent="0.35">
      <c r="A1623" s="9" t="str">
        <f>HYPERLINK("http://www.ensembl.org/id/WBGene00196454", "WBGene00196454")</f>
        <v>WBGene00196454</v>
      </c>
      <c r="B1623" s="9"/>
      <c r="C1623" s="9"/>
      <c r="D1623" t="str">
        <f>"M01H9.8"</f>
        <v>M01H9.8</v>
      </c>
      <c r="F1623" t="s">
        <v>481</v>
      </c>
      <c r="H1623" s="12">
        <v>-2.4991590031922399</v>
      </c>
      <c r="I1623" s="11">
        <v>-0.26577412737581302</v>
      </c>
      <c r="J1623" s="10">
        <v>0.79041317015736101</v>
      </c>
      <c r="K1623" s="29">
        <v>0.98289565623980701</v>
      </c>
    </row>
    <row r="1624" spans="1:11" x14ac:dyDescent="0.35">
      <c r="A1624" s="9" t="str">
        <f>HYPERLINK("http://www.ensembl.org/id/WBGene00201129", "WBGene00201129")</f>
        <v>WBGene00201129</v>
      </c>
      <c r="B1624" s="9"/>
      <c r="C1624" s="9"/>
      <c r="D1624" t="str">
        <f>"M02F4.11"</f>
        <v>M02F4.11</v>
      </c>
      <c r="F1624" t="s">
        <v>481</v>
      </c>
      <c r="H1624" s="12">
        <v>-2.4991590031922399</v>
      </c>
      <c r="I1624" s="11">
        <v>-0.26577412737581302</v>
      </c>
      <c r="J1624" s="10">
        <v>0.79041317015736101</v>
      </c>
      <c r="K1624" s="29">
        <v>0.98289565623980701</v>
      </c>
    </row>
    <row r="1625" spans="1:11" x14ac:dyDescent="0.35">
      <c r="A1625" s="9" t="str">
        <f>HYPERLINK("http://www.ensembl.org/id/WBGene00197597", "WBGene00197597")</f>
        <v>WBGene00197597</v>
      </c>
      <c r="B1625" s="9"/>
      <c r="C1625" s="9"/>
      <c r="D1625" t="str">
        <f>"M163.17"</f>
        <v>M163.17</v>
      </c>
      <c r="F1625" t="s">
        <v>481</v>
      </c>
      <c r="H1625" s="12">
        <v>-2.4991590031922399</v>
      </c>
      <c r="I1625" s="11">
        <v>-0.26577412737581302</v>
      </c>
      <c r="J1625" s="10">
        <v>0.79041317015736101</v>
      </c>
      <c r="K1625" s="29">
        <v>0.98289565623980701</v>
      </c>
    </row>
    <row r="1626" spans="1:11" x14ac:dyDescent="0.35">
      <c r="A1626" s="9" t="str">
        <f>HYPERLINK("http://www.ensembl.org/id/WBGene00003353", "WBGene00003353")</f>
        <v>WBGene00003353</v>
      </c>
      <c r="B1626" s="9"/>
      <c r="C1626" s="9"/>
      <c r="D1626" t="str">
        <f>"mir-259"</f>
        <v>mir-259</v>
      </c>
      <c r="F1626" t="s">
        <v>1486</v>
      </c>
      <c r="H1626" s="12">
        <v>-2.4991590031922399</v>
      </c>
      <c r="I1626" s="11">
        <v>-0.26577412737581302</v>
      </c>
      <c r="J1626" s="10">
        <v>0.79041317015736101</v>
      </c>
      <c r="K1626" s="29">
        <v>0.98289565623980701</v>
      </c>
    </row>
    <row r="1627" spans="1:11" x14ac:dyDescent="0.35">
      <c r="A1627" s="9" t="str">
        <f>HYPERLINK("http://www.ensembl.org/id/WBGene00255578", "WBGene00255578")</f>
        <v>WBGene00255578</v>
      </c>
      <c r="B1627" s="9"/>
      <c r="C1627" s="9"/>
      <c r="D1627" t="str">
        <f>"mir-8193"</f>
        <v>mir-8193</v>
      </c>
      <c r="F1627" t="s">
        <v>1486</v>
      </c>
      <c r="H1627" s="12">
        <v>-2.4991590031922399</v>
      </c>
      <c r="I1627" s="11">
        <v>-0.26577412737581302</v>
      </c>
      <c r="J1627" s="10">
        <v>0.79041317015736101</v>
      </c>
      <c r="K1627" s="29">
        <v>0.98289565623980701</v>
      </c>
    </row>
    <row r="1628" spans="1:11" x14ac:dyDescent="0.35">
      <c r="A1628" s="9" t="str">
        <f>HYPERLINK("http://www.ensembl.org/id/WBGene00255579", "WBGene00255579")</f>
        <v>WBGene00255579</v>
      </c>
      <c r="B1628" s="9"/>
      <c r="C1628" s="9"/>
      <c r="D1628" t="str">
        <f>"mir-8194"</f>
        <v>mir-8194</v>
      </c>
      <c r="F1628" t="s">
        <v>1486</v>
      </c>
      <c r="H1628" s="12">
        <v>-2.4991590031922399</v>
      </c>
      <c r="I1628" s="11">
        <v>-0.26577412737581302</v>
      </c>
      <c r="J1628" s="10">
        <v>0.79041317015736101</v>
      </c>
      <c r="K1628" s="29">
        <v>0.98289565623980701</v>
      </c>
    </row>
    <row r="1629" spans="1:11" x14ac:dyDescent="0.35">
      <c r="A1629" s="9" t="str">
        <f>HYPERLINK("http://www.ensembl.org/id/WBGene00012310", "WBGene00012310")</f>
        <v>WBGene00012310</v>
      </c>
      <c r="B1629" s="9" t="str">
        <f>HYPERLINK("http://www.ncbi.nlm.nih.gov/gene/189257", "189257")</f>
        <v>189257</v>
      </c>
      <c r="C1629" s="9"/>
      <c r="D1629" t="str">
        <f>"mltn-11"</f>
        <v>mltn-11</v>
      </c>
      <c r="E1629" t="s">
        <v>4191</v>
      </c>
      <c r="F1629" t="s">
        <v>11</v>
      </c>
      <c r="G1629" t="s">
        <v>25</v>
      </c>
      <c r="H1629" s="12">
        <v>-2.4991590031922399</v>
      </c>
      <c r="I1629" s="11">
        <v>-0.26577412737581302</v>
      </c>
      <c r="J1629" s="10">
        <v>0.79041317015736101</v>
      </c>
      <c r="K1629" s="29">
        <v>0.98289565623980701</v>
      </c>
    </row>
    <row r="1630" spans="1:11" x14ac:dyDescent="0.35">
      <c r="A1630" s="9" t="str">
        <f>HYPERLINK("http://www.ensembl.org/id/WBGene00044709", "WBGene00044709")</f>
        <v>WBGene00044709</v>
      </c>
      <c r="B1630" s="9" t="str">
        <f>HYPERLINK("http://www.ncbi.nlm.nih.gov/gene/4363010", "4363010")</f>
        <v>4363010</v>
      </c>
      <c r="C1630" s="9"/>
      <c r="D1630" t="str">
        <f>"pals-12"</f>
        <v>pals-12</v>
      </c>
      <c r="E1630" t="s">
        <v>1147</v>
      </c>
      <c r="F1630" t="s">
        <v>11</v>
      </c>
      <c r="H1630" s="12">
        <v>-2.4991590031922399</v>
      </c>
      <c r="I1630" s="11">
        <v>-0.26577412737581302</v>
      </c>
      <c r="J1630" s="10">
        <v>0.79041317015736101</v>
      </c>
      <c r="K1630" s="29">
        <v>0.98289565623980701</v>
      </c>
    </row>
    <row r="1631" spans="1:11" x14ac:dyDescent="0.35">
      <c r="A1631" s="9" t="str">
        <f>HYPERLINK("http://www.ensembl.org/id/WBGene00201217", "WBGene00201217")</f>
        <v>WBGene00201217</v>
      </c>
      <c r="B1631" s="9"/>
      <c r="C1631" s="9"/>
      <c r="D1631" t="str">
        <f>"R02F11.8"</f>
        <v>R02F11.8</v>
      </c>
      <c r="F1631" t="s">
        <v>481</v>
      </c>
      <c r="H1631" s="12">
        <v>-2.4991590031922399</v>
      </c>
      <c r="I1631" s="11">
        <v>-0.26577412737581302</v>
      </c>
      <c r="J1631" s="10">
        <v>0.79041317015736101</v>
      </c>
      <c r="K1631" s="29">
        <v>0.98289565623980701</v>
      </c>
    </row>
    <row r="1632" spans="1:11" x14ac:dyDescent="0.35">
      <c r="A1632" s="9" t="str">
        <f>HYPERLINK("http://www.ensembl.org/id/WBGene00198845", "WBGene00198845")</f>
        <v>WBGene00198845</v>
      </c>
      <c r="B1632" s="9"/>
      <c r="C1632" s="9"/>
      <c r="D1632" t="str">
        <f>"R04F11.19"</f>
        <v>R04F11.19</v>
      </c>
      <c r="F1632" t="s">
        <v>481</v>
      </c>
      <c r="H1632" s="12">
        <v>-2.4991590031922399</v>
      </c>
      <c r="I1632" s="11">
        <v>-0.26577412737581302</v>
      </c>
      <c r="J1632" s="10">
        <v>0.79041317015736101</v>
      </c>
      <c r="K1632" s="29">
        <v>0.98289565623980701</v>
      </c>
    </row>
    <row r="1633" spans="1:11" x14ac:dyDescent="0.35">
      <c r="A1633" s="9" t="str">
        <f>HYPERLINK("http://www.ensembl.org/id/WBGene00201085", "WBGene00201085")</f>
        <v>WBGene00201085</v>
      </c>
      <c r="B1633" s="9"/>
      <c r="C1633" s="9"/>
      <c r="D1633" t="str">
        <f>"R04F11.25"</f>
        <v>R04F11.25</v>
      </c>
      <c r="F1633" t="s">
        <v>481</v>
      </c>
      <c r="H1633" s="12">
        <v>-2.4991590031922399</v>
      </c>
      <c r="I1633" s="11">
        <v>-0.26577412737581302</v>
      </c>
      <c r="J1633" s="10">
        <v>0.79041317015736101</v>
      </c>
      <c r="K1633" s="29">
        <v>0.98289565623980701</v>
      </c>
    </row>
    <row r="1634" spans="1:11" x14ac:dyDescent="0.35">
      <c r="A1634" s="9" t="str">
        <f>HYPERLINK("http://www.ensembl.org/id/WBGene00196919", "WBGene00196919")</f>
        <v>WBGene00196919</v>
      </c>
      <c r="B1634" s="9"/>
      <c r="C1634" s="9"/>
      <c r="D1634" t="str">
        <f>"R07B1.18"</f>
        <v>R07B1.18</v>
      </c>
      <c r="F1634" t="s">
        <v>481</v>
      </c>
      <c r="H1634" s="12">
        <v>-2.4991590031922399</v>
      </c>
      <c r="I1634" s="11">
        <v>-0.26577412737581302</v>
      </c>
      <c r="J1634" s="10">
        <v>0.79041317015736101</v>
      </c>
      <c r="K1634" s="29">
        <v>0.98289565623980701</v>
      </c>
    </row>
    <row r="1635" spans="1:11" x14ac:dyDescent="0.35">
      <c r="A1635" s="9" t="str">
        <f>HYPERLINK("http://www.ensembl.org/id/WBGene00077498", "WBGene00077498")</f>
        <v>WBGene00077498</v>
      </c>
      <c r="B1635" s="9"/>
      <c r="C1635" s="9"/>
      <c r="D1635" t="str">
        <f>"R07B5.10"</f>
        <v>R07B5.10</v>
      </c>
      <c r="F1635" t="s">
        <v>80</v>
      </c>
      <c r="H1635" s="12">
        <v>-2.4991590031922399</v>
      </c>
      <c r="I1635" s="11">
        <v>-0.26577412737581302</v>
      </c>
      <c r="J1635" s="10">
        <v>0.79041317015736101</v>
      </c>
      <c r="K1635" s="29">
        <v>0.98289565623980701</v>
      </c>
    </row>
    <row r="1636" spans="1:11" x14ac:dyDescent="0.35">
      <c r="A1636" s="9" t="str">
        <f>HYPERLINK("http://www.ensembl.org/id/WBGene00197283", "WBGene00197283")</f>
        <v>WBGene00197283</v>
      </c>
      <c r="B1636" s="9"/>
      <c r="C1636" s="9"/>
      <c r="D1636" t="str">
        <f>"R07G3.11"</f>
        <v>R07G3.11</v>
      </c>
      <c r="F1636" t="s">
        <v>481</v>
      </c>
      <c r="H1636" s="12">
        <v>-2.4991590031922399</v>
      </c>
      <c r="I1636" s="11">
        <v>-0.26577412737581302</v>
      </c>
      <c r="J1636" s="10">
        <v>0.79041317015736101</v>
      </c>
      <c r="K1636" s="29">
        <v>0.98289565623980701</v>
      </c>
    </row>
    <row r="1637" spans="1:11" x14ac:dyDescent="0.35">
      <c r="A1637" s="9" t="str">
        <f>HYPERLINK("http://www.ensembl.org/id/WBGene00235120", "WBGene00235120")</f>
        <v>WBGene00235120</v>
      </c>
      <c r="B1637" s="9" t="str">
        <f>HYPERLINK("http://www.ncbi.nlm.nih.gov/gene/24104800", "24104800")</f>
        <v>24104800</v>
      </c>
      <c r="C1637" s="9"/>
      <c r="D1637" t="str">
        <f>"R105.5"</f>
        <v>R105.5</v>
      </c>
      <c r="F1637" t="s">
        <v>11</v>
      </c>
      <c r="G1637" t="s">
        <v>63</v>
      </c>
      <c r="H1637" s="12">
        <v>-2.4991590031922399</v>
      </c>
      <c r="I1637" s="11">
        <v>-0.26577412737581302</v>
      </c>
      <c r="J1637" s="10">
        <v>0.79041317015736101</v>
      </c>
      <c r="K1637" s="29">
        <v>0.98289565623980701</v>
      </c>
    </row>
    <row r="1638" spans="1:11" x14ac:dyDescent="0.35">
      <c r="A1638" s="9" t="str">
        <f>HYPERLINK("http://www.ensembl.org/id/WBGene00200256", "WBGene00200256")</f>
        <v>WBGene00200256</v>
      </c>
      <c r="B1638" s="9"/>
      <c r="C1638" s="9"/>
      <c r="D1638" t="str">
        <f>"R10E12.8"</f>
        <v>R10E12.8</v>
      </c>
      <c r="F1638" t="s">
        <v>481</v>
      </c>
      <c r="H1638" s="12">
        <v>-2.4991590031922399</v>
      </c>
      <c r="I1638" s="11">
        <v>-0.26577412737581302</v>
      </c>
      <c r="J1638" s="10">
        <v>0.79041317015736101</v>
      </c>
      <c r="K1638" s="29">
        <v>0.98289565623980701</v>
      </c>
    </row>
    <row r="1639" spans="1:11" x14ac:dyDescent="0.35">
      <c r="A1639" s="9" t="str">
        <f>HYPERLINK("http://www.ensembl.org/id/WBGene00011210", "WBGene00011210")</f>
        <v>WBGene00011210</v>
      </c>
      <c r="B1639" s="9"/>
      <c r="C1639" s="9"/>
      <c r="D1639" t="str">
        <f>"R10E8.4"</f>
        <v>R10E8.4</v>
      </c>
      <c r="F1639" t="s">
        <v>80</v>
      </c>
      <c r="H1639" s="12">
        <v>-2.4991590031922399</v>
      </c>
      <c r="I1639" s="11">
        <v>-0.26577412737581302</v>
      </c>
      <c r="J1639" s="10">
        <v>0.79041317015736101</v>
      </c>
      <c r="K1639" s="29">
        <v>0.98289565623980701</v>
      </c>
    </row>
    <row r="1640" spans="1:11" x14ac:dyDescent="0.35">
      <c r="A1640" s="9" t="str">
        <f>HYPERLINK("http://www.ensembl.org/id/WBGene00044944", "WBGene00044944")</f>
        <v>WBGene00044944</v>
      </c>
      <c r="B1640" s="9"/>
      <c r="C1640" s="9"/>
      <c r="D1640" t="str">
        <f>"R151.13"</f>
        <v>R151.13</v>
      </c>
      <c r="F1640" t="s">
        <v>2977</v>
      </c>
      <c r="H1640" s="12">
        <v>-2.4991590031922399</v>
      </c>
      <c r="I1640" s="11">
        <v>-0.26577412737581302</v>
      </c>
      <c r="J1640" s="10">
        <v>0.79041317015736101</v>
      </c>
      <c r="K1640" s="29">
        <v>0.98289565623980701</v>
      </c>
    </row>
    <row r="1641" spans="1:11" x14ac:dyDescent="0.35">
      <c r="A1641" s="9" t="str">
        <f>HYPERLINK("http://www.ensembl.org/id/WBGene00004287", "WBGene00004287")</f>
        <v>WBGene00004287</v>
      </c>
      <c r="B1641" s="9" t="str">
        <f>HYPERLINK("http://www.ncbi.nlm.nih.gov/gene/186939", "186939")</f>
        <v>186939</v>
      </c>
      <c r="C1641" s="9" t="str">
        <f>HYPERLINK("http://www.ncbi.nlm.nih.gov/gene/5881", "5881")</f>
        <v>5881</v>
      </c>
      <c r="D1641" t="str">
        <f>"rac-2"</f>
        <v>rac-2</v>
      </c>
      <c r="E1641" t="s">
        <v>10065</v>
      </c>
      <c r="F1641" t="s">
        <v>11</v>
      </c>
      <c r="G1641" t="s">
        <v>4103</v>
      </c>
      <c r="H1641" s="12">
        <v>-2.4991590031922399</v>
      </c>
      <c r="I1641" s="11">
        <v>-0.26577412737581302</v>
      </c>
      <c r="J1641" s="10">
        <v>0.79041317015736101</v>
      </c>
      <c r="K1641" s="29">
        <v>0.98289565623980701</v>
      </c>
    </row>
    <row r="1642" spans="1:11" x14ac:dyDescent="0.35">
      <c r="A1642" s="9" t="str">
        <f>HYPERLINK("http://www.ensembl.org/id/WBGene00005050", "WBGene00005050")</f>
        <v>WBGene00005050</v>
      </c>
      <c r="B1642" s="9" t="str">
        <f>HYPERLINK("http://www.ncbi.nlm.nih.gov/gene/188195", "188195")</f>
        <v>188195</v>
      </c>
      <c r="C1642" s="9"/>
      <c r="D1642" t="str">
        <f>"sra-24"</f>
        <v>sra-24</v>
      </c>
      <c r="E1642" t="s">
        <v>10067</v>
      </c>
      <c r="F1642" t="s">
        <v>11</v>
      </c>
      <c r="G1642" t="s">
        <v>4210</v>
      </c>
      <c r="H1642" s="12">
        <v>-2.4991590031922399</v>
      </c>
      <c r="I1642" s="11">
        <v>-0.26577412737581302</v>
      </c>
      <c r="J1642" s="10">
        <v>0.79041317015736101</v>
      </c>
      <c r="K1642" s="29">
        <v>0.98289565623980701</v>
      </c>
    </row>
    <row r="1643" spans="1:11" x14ac:dyDescent="0.35">
      <c r="A1643" s="9" t="str">
        <f>HYPERLINK("http://www.ensembl.org/id/WBGene00005030", "WBGene00005030")</f>
        <v>WBGene00005030</v>
      </c>
      <c r="B1643" s="9" t="str">
        <f>HYPERLINK("http://www.ncbi.nlm.nih.gov/gene/191775", "191775")</f>
        <v>191775</v>
      </c>
      <c r="C1643" s="9"/>
      <c r="D1643" t="str">
        <f>"sra-4"</f>
        <v>sra-4</v>
      </c>
      <c r="E1643" t="s">
        <v>10063</v>
      </c>
      <c r="F1643" t="s">
        <v>11</v>
      </c>
      <c r="G1643" t="s">
        <v>1468</v>
      </c>
      <c r="H1643" s="12">
        <v>-2.4991590031922399</v>
      </c>
      <c r="I1643" s="11">
        <v>-0.26577412737581302</v>
      </c>
      <c r="J1643" s="10">
        <v>0.79041317015736101</v>
      </c>
      <c r="K1643" s="29">
        <v>0.98289565623980701</v>
      </c>
    </row>
    <row r="1644" spans="1:11" x14ac:dyDescent="0.35">
      <c r="A1644" s="9" t="str">
        <f>HYPERLINK("http://www.ensembl.org/id/WBGene00019028", "WBGene00019028")</f>
        <v>WBGene00019028</v>
      </c>
      <c r="B1644" s="9" t="str">
        <f>HYPERLINK("http://www.ncbi.nlm.nih.gov/gene/3565668", "3565668")</f>
        <v>3565668</v>
      </c>
      <c r="C1644" s="9"/>
      <c r="D1644" t="str">
        <f>"srb-13"</f>
        <v>srb-13</v>
      </c>
      <c r="E1644" t="s">
        <v>4592</v>
      </c>
      <c r="F1644" t="s">
        <v>11</v>
      </c>
      <c r="G1644" t="s">
        <v>4281</v>
      </c>
      <c r="H1644" s="12">
        <v>-2.4991590031922399</v>
      </c>
      <c r="I1644" s="11">
        <v>-0.26577412737581302</v>
      </c>
      <c r="J1644" s="10">
        <v>0.79041317015736101</v>
      </c>
      <c r="K1644" s="29">
        <v>0.98289565623980701</v>
      </c>
    </row>
    <row r="1645" spans="1:11" x14ac:dyDescent="0.35">
      <c r="A1645" s="9" t="str">
        <f>HYPERLINK("http://www.ensembl.org/id/WBGene00015958", "WBGene00015958")</f>
        <v>WBGene00015958</v>
      </c>
      <c r="B1645" s="9" t="str">
        <f>HYPERLINK("http://www.ncbi.nlm.nih.gov/gene/182768", "182768")</f>
        <v>182768</v>
      </c>
      <c r="C1645" s="9"/>
      <c r="D1645" t="str">
        <f>"srbc-11"</f>
        <v>srbc-11</v>
      </c>
      <c r="E1645" t="s">
        <v>3034</v>
      </c>
      <c r="F1645" t="s">
        <v>11</v>
      </c>
      <c r="G1645" t="s">
        <v>25</v>
      </c>
      <c r="H1645" s="12">
        <v>-2.4991590031922399</v>
      </c>
      <c r="I1645" s="11">
        <v>-0.26577412737581302</v>
      </c>
      <c r="J1645" s="10">
        <v>0.79041317015736101</v>
      </c>
      <c r="K1645" s="29">
        <v>0.98289565623980701</v>
      </c>
    </row>
    <row r="1646" spans="1:11" x14ac:dyDescent="0.35">
      <c r="A1646" s="9" t="str">
        <f>HYPERLINK("http://www.ensembl.org/id/WBGene00007831", "WBGene00007831")</f>
        <v>WBGene00007831</v>
      </c>
      <c r="B1646" s="9" t="str">
        <f>HYPERLINK("http://www.ncbi.nlm.nih.gov/gene/183071", "183071")</f>
        <v>183071</v>
      </c>
      <c r="C1646" s="9"/>
      <c r="D1646" t="str">
        <f>"srbc-83"</f>
        <v>srbc-83</v>
      </c>
      <c r="E1646" t="s">
        <v>3034</v>
      </c>
      <c r="F1646" t="s">
        <v>11</v>
      </c>
      <c r="G1646" t="s">
        <v>25</v>
      </c>
      <c r="H1646" s="12">
        <v>-2.4991590031922399</v>
      </c>
      <c r="I1646" s="11">
        <v>-0.26577412737581302</v>
      </c>
      <c r="J1646" s="10">
        <v>0.79041317015736101</v>
      </c>
      <c r="K1646" s="29">
        <v>0.98289565623980701</v>
      </c>
    </row>
    <row r="1647" spans="1:11" x14ac:dyDescent="0.35">
      <c r="A1647" s="9" t="str">
        <f>HYPERLINK("http://www.ensembl.org/id/WBGene00005089", "WBGene00005089")</f>
        <v>WBGene00005089</v>
      </c>
      <c r="B1647" s="9" t="str">
        <f>HYPERLINK("http://www.ncbi.nlm.nih.gov/gene/191801", "191801")</f>
        <v>191801</v>
      </c>
      <c r="C1647" s="9"/>
      <c r="D1647" t="str">
        <f>"srd-11"</f>
        <v>srd-11</v>
      </c>
      <c r="E1647" t="s">
        <v>1513</v>
      </c>
      <c r="F1647" t="s">
        <v>11</v>
      </c>
      <c r="G1647" t="s">
        <v>25</v>
      </c>
      <c r="H1647" s="12">
        <v>-2.4991590031922399</v>
      </c>
      <c r="I1647" s="11">
        <v>-0.26577412737581302</v>
      </c>
      <c r="J1647" s="10">
        <v>0.79041317015736101</v>
      </c>
      <c r="K1647" s="29">
        <v>0.98289565623980701</v>
      </c>
    </row>
    <row r="1648" spans="1:11" x14ac:dyDescent="0.35">
      <c r="A1648" s="9" t="str">
        <f>HYPERLINK("http://www.ensembl.org/id/WBGene00005086", "WBGene00005086")</f>
        <v>WBGene00005086</v>
      </c>
      <c r="B1648" s="9" t="str">
        <f>HYPERLINK("http://www.ncbi.nlm.nih.gov/gene/191798", "191798")</f>
        <v>191798</v>
      </c>
      <c r="C1648" s="9"/>
      <c r="D1648" t="str">
        <f>"srd-8"</f>
        <v>srd-8</v>
      </c>
      <c r="E1648" t="s">
        <v>1513</v>
      </c>
      <c r="F1648" t="s">
        <v>11</v>
      </c>
      <c r="G1648" t="s">
        <v>25</v>
      </c>
      <c r="H1648" s="12">
        <v>-2.4991590031922399</v>
      </c>
      <c r="I1648" s="11">
        <v>-0.26577412737581302</v>
      </c>
      <c r="J1648" s="10">
        <v>0.79041317015736101</v>
      </c>
      <c r="K1648" s="29">
        <v>0.98289565623980701</v>
      </c>
    </row>
    <row r="1649" spans="1:11" x14ac:dyDescent="0.35">
      <c r="A1649" s="9" t="str">
        <f>HYPERLINK("http://www.ensembl.org/id/WBGene00012725", "WBGene00012725")</f>
        <v>WBGene00012725</v>
      </c>
      <c r="B1649" s="9" t="str">
        <f>HYPERLINK("http://www.ncbi.nlm.nih.gov/gene/189763", "189763")</f>
        <v>189763</v>
      </c>
      <c r="C1649" s="9"/>
      <c r="D1649" t="str">
        <f>"sre-47"</f>
        <v>sre-47</v>
      </c>
      <c r="E1649" t="s">
        <v>2638</v>
      </c>
      <c r="F1649" t="s">
        <v>11</v>
      </c>
      <c r="G1649" t="s">
        <v>2639</v>
      </c>
      <c r="H1649" s="12">
        <v>-2.4991590031922399</v>
      </c>
      <c r="I1649" s="11">
        <v>-0.26577412737581302</v>
      </c>
      <c r="J1649" s="10">
        <v>0.79041317015736101</v>
      </c>
      <c r="K1649" s="29">
        <v>0.98289565623980701</v>
      </c>
    </row>
    <row r="1650" spans="1:11" x14ac:dyDescent="0.35">
      <c r="A1650" s="9" t="str">
        <f>HYPERLINK("http://www.ensembl.org/id/WBGene00016830", "WBGene00016830")</f>
        <v>WBGene00016830</v>
      </c>
      <c r="B1650" s="9" t="str">
        <f>HYPERLINK("http://www.ncbi.nlm.nih.gov/gene/183668", "183668")</f>
        <v>183668</v>
      </c>
      <c r="C1650" s="9"/>
      <c r="D1650" t="str">
        <f>"sre-55"</f>
        <v>sre-55</v>
      </c>
      <c r="E1650" t="s">
        <v>2638</v>
      </c>
      <c r="F1650" t="s">
        <v>11</v>
      </c>
      <c r="G1650" t="s">
        <v>2639</v>
      </c>
      <c r="H1650" s="12">
        <v>-2.4991590031922399</v>
      </c>
      <c r="I1650" s="11">
        <v>-0.26577412737581302</v>
      </c>
      <c r="J1650" s="10">
        <v>0.79041317015736101</v>
      </c>
      <c r="K1650" s="29">
        <v>0.98289565623980701</v>
      </c>
    </row>
    <row r="1651" spans="1:11" x14ac:dyDescent="0.35">
      <c r="A1651" s="9" t="str">
        <f>HYPERLINK("http://www.ensembl.org/id/WBGene00005193", "WBGene00005193")</f>
        <v>WBGene00005193</v>
      </c>
      <c r="B1651" s="9" t="str">
        <f>HYPERLINK("http://www.ncbi.nlm.nih.gov/gene/186981", "186981")</f>
        <v>186981</v>
      </c>
      <c r="C1651" s="9"/>
      <c r="D1651" t="str">
        <f>"srg-36"</f>
        <v>srg-36</v>
      </c>
      <c r="E1651" t="s">
        <v>1828</v>
      </c>
      <c r="F1651" t="s">
        <v>11</v>
      </c>
      <c r="G1651" t="s">
        <v>10068</v>
      </c>
      <c r="H1651" s="12">
        <v>-2.4991590031922399</v>
      </c>
      <c r="I1651" s="11">
        <v>-0.26577412737581302</v>
      </c>
      <c r="J1651" s="10">
        <v>0.79041317015736101</v>
      </c>
      <c r="K1651" s="29">
        <v>0.98289565623980701</v>
      </c>
    </row>
    <row r="1652" spans="1:11" x14ac:dyDescent="0.35">
      <c r="A1652" s="9" t="str">
        <f>HYPERLINK("http://www.ensembl.org/id/WBGene00005200", "WBGene00005200")</f>
        <v>WBGene00005200</v>
      </c>
      <c r="B1652" s="9"/>
      <c r="C1652" s="9"/>
      <c r="D1652" t="str">
        <f>"srg-43"</f>
        <v>srg-43</v>
      </c>
      <c r="F1652" t="s">
        <v>80</v>
      </c>
      <c r="H1652" s="12">
        <v>-2.4991590031922399</v>
      </c>
      <c r="I1652" s="11">
        <v>-0.26577412737581302</v>
      </c>
      <c r="J1652" s="10">
        <v>0.79041317015736101</v>
      </c>
      <c r="K1652" s="29">
        <v>0.98289565623980701</v>
      </c>
    </row>
    <row r="1653" spans="1:11" x14ac:dyDescent="0.35">
      <c r="A1653" s="9" t="str">
        <f>HYPERLINK("http://www.ensembl.org/id/WBGene00005385", "WBGene00005385")</f>
        <v>WBGene00005385</v>
      </c>
      <c r="B1653" s="9" t="str">
        <f>HYPERLINK("http://www.ncbi.nlm.nih.gov/gene/191885", "191885")</f>
        <v>191885</v>
      </c>
      <c r="C1653" s="9"/>
      <c r="D1653" t="str">
        <f>"srh-169"</f>
        <v>srh-169</v>
      </c>
      <c r="E1653" t="s">
        <v>153</v>
      </c>
      <c r="F1653" t="s">
        <v>11</v>
      </c>
      <c r="G1653" t="s">
        <v>25</v>
      </c>
      <c r="H1653" s="12">
        <v>-2.4991590031922399</v>
      </c>
      <c r="I1653" s="11">
        <v>-0.26577412737581302</v>
      </c>
      <c r="J1653" s="10">
        <v>0.79041317015736101</v>
      </c>
      <c r="K1653" s="29">
        <v>0.98289565623980701</v>
      </c>
    </row>
    <row r="1654" spans="1:11" x14ac:dyDescent="0.35">
      <c r="A1654" s="9" t="str">
        <f>HYPERLINK("http://www.ensembl.org/id/WBGene00005448", "WBGene00005448")</f>
        <v>WBGene00005448</v>
      </c>
      <c r="B1654" s="9" t="str">
        <f>HYPERLINK("http://www.ncbi.nlm.nih.gov/gene/191890", "191890")</f>
        <v>191890</v>
      </c>
      <c r="C1654" s="9"/>
      <c r="D1654" t="str">
        <f>"srh-241"</f>
        <v>srh-241</v>
      </c>
      <c r="E1654" t="s">
        <v>153</v>
      </c>
      <c r="F1654" t="s">
        <v>11</v>
      </c>
      <c r="G1654" t="s">
        <v>25</v>
      </c>
      <c r="H1654" s="12">
        <v>-2.4991590031922399</v>
      </c>
      <c r="I1654" s="11">
        <v>-0.26577412737581302</v>
      </c>
      <c r="J1654" s="10">
        <v>0.79041317015736101</v>
      </c>
      <c r="K1654" s="29">
        <v>0.98289565623980701</v>
      </c>
    </row>
    <row r="1655" spans="1:11" x14ac:dyDescent="0.35">
      <c r="A1655" s="9" t="str">
        <f>HYPERLINK("http://www.ensembl.org/id/WBGene00005506", "WBGene00005506")</f>
        <v>WBGene00005506</v>
      </c>
      <c r="B1655" s="9"/>
      <c r="C1655" s="9"/>
      <c r="D1655" t="str">
        <f>"srh-302"</f>
        <v>srh-302</v>
      </c>
      <c r="F1655" t="s">
        <v>80</v>
      </c>
      <c r="H1655" s="12">
        <v>-2.4991590031922399</v>
      </c>
      <c r="I1655" s="11">
        <v>-0.26577412737581302</v>
      </c>
      <c r="J1655" s="10">
        <v>0.79041317015736101</v>
      </c>
      <c r="K1655" s="29">
        <v>0.98289565623980701</v>
      </c>
    </row>
    <row r="1656" spans="1:11" x14ac:dyDescent="0.35">
      <c r="A1656" s="9" t="str">
        <f>HYPERLINK("http://www.ensembl.org/id/WBGene00005233", "WBGene00005233")</f>
        <v>WBGene00005233</v>
      </c>
      <c r="B1656" s="9" t="str">
        <f>HYPERLINK("http://www.ncbi.nlm.nih.gov/gene/191843", "191843")</f>
        <v>191843</v>
      </c>
      <c r="C1656" s="9"/>
      <c r="D1656" t="str">
        <f>"srh-7"</f>
        <v>srh-7</v>
      </c>
      <c r="E1656" t="s">
        <v>153</v>
      </c>
      <c r="F1656" t="s">
        <v>11</v>
      </c>
      <c r="G1656" t="s">
        <v>25</v>
      </c>
      <c r="H1656" s="12">
        <v>-2.4991590031922399</v>
      </c>
      <c r="I1656" s="11">
        <v>-0.26577412737581302</v>
      </c>
      <c r="J1656" s="10">
        <v>0.79041317015736101</v>
      </c>
      <c r="K1656" s="29">
        <v>0.98289565623980701</v>
      </c>
    </row>
    <row r="1657" spans="1:11" x14ac:dyDescent="0.35">
      <c r="A1657" s="9" t="str">
        <f>HYPERLINK("http://www.ensembl.org/id/WBGene00005310", "WBGene00005310")</f>
        <v>WBGene00005310</v>
      </c>
      <c r="B1657" s="9" t="str">
        <f>HYPERLINK("http://www.ncbi.nlm.nih.gov/gene/191878", "191878")</f>
        <v>191878</v>
      </c>
      <c r="C1657" s="9"/>
      <c r="D1657" t="str">
        <f>"srh-89"</f>
        <v>srh-89</v>
      </c>
      <c r="E1657" t="s">
        <v>153</v>
      </c>
      <c r="F1657" t="s">
        <v>11</v>
      </c>
      <c r="G1657" t="s">
        <v>25</v>
      </c>
      <c r="H1657" s="12">
        <v>-2.4991590031922399</v>
      </c>
      <c r="I1657" s="11">
        <v>-0.26577412737581302</v>
      </c>
      <c r="J1657" s="10">
        <v>0.79041317015736101</v>
      </c>
      <c r="K1657" s="29">
        <v>0.98289565623980701</v>
      </c>
    </row>
    <row r="1658" spans="1:11" x14ac:dyDescent="0.35">
      <c r="A1658" s="9" t="str">
        <f>HYPERLINK("http://www.ensembl.org/id/WBGene00005561", "WBGene00005561")</f>
        <v>WBGene00005561</v>
      </c>
      <c r="B1658" s="9"/>
      <c r="C1658" s="9"/>
      <c r="D1658" t="str">
        <f>"sri-49"</f>
        <v>sri-49</v>
      </c>
      <c r="F1658" t="s">
        <v>80</v>
      </c>
      <c r="H1658" s="12">
        <v>-2.4991590031922399</v>
      </c>
      <c r="I1658" s="11">
        <v>-0.26577412737581302</v>
      </c>
      <c r="J1658" s="10">
        <v>0.79041317015736101</v>
      </c>
      <c r="K1658" s="29">
        <v>0.98289565623980701</v>
      </c>
    </row>
    <row r="1659" spans="1:11" x14ac:dyDescent="0.35">
      <c r="A1659" s="9" t="str">
        <f>HYPERLINK("http://www.ensembl.org/id/WBGene00015736", "WBGene00015736")</f>
        <v>WBGene00015736</v>
      </c>
      <c r="B1659" s="9" t="str">
        <f>HYPERLINK("http://www.ncbi.nlm.nih.gov/gene/182572", "182572")</f>
        <v>182572</v>
      </c>
      <c r="C1659" s="9"/>
      <c r="D1659" t="str">
        <f>"srsx-11"</f>
        <v>srsx-11</v>
      </c>
      <c r="E1659" t="s">
        <v>1639</v>
      </c>
      <c r="F1659" t="s">
        <v>11</v>
      </c>
      <c r="G1659" t="s">
        <v>1089</v>
      </c>
      <c r="H1659" s="12">
        <v>-2.4991590031922399</v>
      </c>
      <c r="I1659" s="11">
        <v>-0.26577412737581302</v>
      </c>
      <c r="J1659" s="10">
        <v>0.79041317015736101</v>
      </c>
      <c r="K1659" s="29">
        <v>0.98289565623980701</v>
      </c>
    </row>
    <row r="1660" spans="1:11" x14ac:dyDescent="0.35">
      <c r="A1660" s="9" t="str">
        <f>HYPERLINK("http://www.ensembl.org/id/WBGene00015401", "WBGene00015401")</f>
        <v>WBGene00015401</v>
      </c>
      <c r="B1660" s="9" t="str">
        <f>HYPERLINK("http://www.ncbi.nlm.nih.gov/gene/182178", "182178")</f>
        <v>182178</v>
      </c>
      <c r="C1660" s="9"/>
      <c r="D1660" t="str">
        <f>"srsx-24"</f>
        <v>srsx-24</v>
      </c>
      <c r="E1660" t="s">
        <v>1639</v>
      </c>
      <c r="F1660" t="s">
        <v>11</v>
      </c>
      <c r="G1660" t="s">
        <v>1089</v>
      </c>
      <c r="H1660" s="12">
        <v>-2.4991590031922399</v>
      </c>
      <c r="I1660" s="11">
        <v>-0.26577412737581302</v>
      </c>
      <c r="J1660" s="10">
        <v>0.79041317015736101</v>
      </c>
      <c r="K1660" s="29">
        <v>0.98289565623980701</v>
      </c>
    </row>
    <row r="1661" spans="1:11" x14ac:dyDescent="0.35">
      <c r="A1661" s="9" t="str">
        <f>HYPERLINK("http://www.ensembl.org/id/WBGene00005784", "WBGene00005784")</f>
        <v>WBGene00005784</v>
      </c>
      <c r="B1661" s="9"/>
      <c r="C1661" s="9"/>
      <c r="D1661" t="str">
        <f>"srw-37"</f>
        <v>srw-37</v>
      </c>
      <c r="F1661" t="s">
        <v>80</v>
      </c>
      <c r="H1661" s="12">
        <v>-2.4991590031922399</v>
      </c>
      <c r="I1661" s="11">
        <v>-0.26577412737581302</v>
      </c>
      <c r="J1661" s="10">
        <v>0.79041317015736101</v>
      </c>
      <c r="K1661" s="29">
        <v>0.98289565623980701</v>
      </c>
    </row>
    <row r="1662" spans="1:11" x14ac:dyDescent="0.35">
      <c r="A1662" s="9" t="str">
        <f>HYPERLINK("http://www.ensembl.org/id/WBGene00005830", "WBGene00005830")</f>
        <v>WBGene00005830</v>
      </c>
      <c r="B1662" s="9" t="str">
        <f>HYPERLINK("http://www.ncbi.nlm.nih.gov/gene/266935", "266935")</f>
        <v>266935</v>
      </c>
      <c r="C1662" s="9"/>
      <c r="D1662" t="str">
        <f>"srw-83"</f>
        <v>srw-83</v>
      </c>
      <c r="E1662" t="s">
        <v>1014</v>
      </c>
      <c r="F1662" t="s">
        <v>11</v>
      </c>
      <c r="G1662" t="s">
        <v>1015</v>
      </c>
      <c r="H1662" s="12">
        <v>-2.4991590031922399</v>
      </c>
      <c r="I1662" s="11">
        <v>-0.26577412737581302</v>
      </c>
      <c r="J1662" s="10">
        <v>0.79041317015736101</v>
      </c>
      <c r="K1662" s="29">
        <v>0.98289565623980701</v>
      </c>
    </row>
    <row r="1663" spans="1:11" x14ac:dyDescent="0.35">
      <c r="A1663" s="9" t="str">
        <f>HYPERLINK("http://www.ensembl.org/id/WBGene00005905", "WBGene00005905")</f>
        <v>WBGene00005905</v>
      </c>
      <c r="B1663" s="9" t="str">
        <f>HYPERLINK("http://www.ncbi.nlm.nih.gov/gene/3564967", "3564967")</f>
        <v>3564967</v>
      </c>
      <c r="C1663" s="9"/>
      <c r="D1663" t="str">
        <f>"srx-14"</f>
        <v>srx-14</v>
      </c>
      <c r="E1663" t="s">
        <v>1477</v>
      </c>
      <c r="F1663" t="s">
        <v>11</v>
      </c>
      <c r="G1663" t="s">
        <v>25</v>
      </c>
      <c r="H1663" s="12">
        <v>-2.4991590031922399</v>
      </c>
      <c r="I1663" s="11">
        <v>-0.26577412737581302</v>
      </c>
      <c r="J1663" s="10">
        <v>0.79041317015736101</v>
      </c>
      <c r="K1663" s="29">
        <v>0.98289565623980701</v>
      </c>
    </row>
    <row r="1664" spans="1:11" x14ac:dyDescent="0.35">
      <c r="A1664" s="9" t="str">
        <f>HYPERLINK("http://www.ensembl.org/id/WBGene00005894", "WBGene00005894")</f>
        <v>WBGene00005894</v>
      </c>
      <c r="B1664" s="9" t="str">
        <f>HYPERLINK("http://www.ncbi.nlm.nih.gov/gene/187549", "187549")</f>
        <v>187549</v>
      </c>
      <c r="C1664" s="9"/>
      <c r="D1664" t="str">
        <f>"srx-3"</f>
        <v>srx-3</v>
      </c>
      <c r="E1664" t="s">
        <v>1477</v>
      </c>
      <c r="F1664" t="s">
        <v>11</v>
      </c>
      <c r="G1664" t="s">
        <v>1089</v>
      </c>
      <c r="H1664" s="12">
        <v>-2.4991590031922399</v>
      </c>
      <c r="I1664" s="11">
        <v>-0.26577412737581302</v>
      </c>
      <c r="J1664" s="10">
        <v>0.79041317015736101</v>
      </c>
      <c r="K1664" s="29">
        <v>0.98289565623980701</v>
      </c>
    </row>
    <row r="1665" spans="1:11" x14ac:dyDescent="0.35">
      <c r="A1665" s="9" t="str">
        <f>HYPERLINK("http://www.ensembl.org/id/WBGene00005955", "WBGene00005955")</f>
        <v>WBGene00005955</v>
      </c>
      <c r="B1665" s="9" t="str">
        <f>HYPERLINK("http://www.ncbi.nlm.nih.gov/gene/187095", "187095")</f>
        <v>187095</v>
      </c>
      <c r="C1665" s="9"/>
      <c r="D1665" t="str">
        <f>"srx-64"</f>
        <v>srx-64</v>
      </c>
      <c r="E1665" t="s">
        <v>1477</v>
      </c>
      <c r="F1665" t="s">
        <v>11</v>
      </c>
      <c r="G1665" t="s">
        <v>25</v>
      </c>
      <c r="H1665" s="12">
        <v>-2.4991590031922399</v>
      </c>
      <c r="I1665" s="11">
        <v>-0.26577412737581302</v>
      </c>
      <c r="J1665" s="10">
        <v>0.79041317015736101</v>
      </c>
      <c r="K1665" s="29">
        <v>0.98289565623980701</v>
      </c>
    </row>
    <row r="1666" spans="1:11" x14ac:dyDescent="0.35">
      <c r="A1666" s="9" t="str">
        <f>HYPERLINK("http://www.ensembl.org/id/WBGene00010389", "WBGene00010389")</f>
        <v>WBGene00010389</v>
      </c>
      <c r="B1666" s="9" t="str">
        <f>HYPERLINK("http://www.ncbi.nlm.nih.gov/gene/186736", "186736")</f>
        <v>186736</v>
      </c>
      <c r="C1666" s="9"/>
      <c r="D1666" t="str">
        <f>"srz-31"</f>
        <v>srz-31</v>
      </c>
      <c r="E1666" t="s">
        <v>4211</v>
      </c>
      <c r="F1666" t="s">
        <v>11</v>
      </c>
      <c r="G1666" t="s">
        <v>25</v>
      </c>
      <c r="H1666" s="12">
        <v>-2.4991590031922399</v>
      </c>
      <c r="I1666" s="11">
        <v>-0.26577412737581302</v>
      </c>
      <c r="J1666" s="10">
        <v>0.79041317015736101</v>
      </c>
      <c r="K1666" s="29">
        <v>0.98289565623980701</v>
      </c>
    </row>
    <row r="1667" spans="1:11" x14ac:dyDescent="0.35">
      <c r="A1667" s="9" t="str">
        <f>HYPERLINK("http://www.ensembl.org/id/WBGene00013625", "WBGene00013625")</f>
        <v>WBGene00013625</v>
      </c>
      <c r="B1667" s="9"/>
      <c r="C1667" s="9"/>
      <c r="D1667" t="str">
        <f>"srz-53"</f>
        <v>srz-53</v>
      </c>
      <c r="F1667" t="s">
        <v>80</v>
      </c>
      <c r="H1667" s="12">
        <v>-2.4991590031922399</v>
      </c>
      <c r="I1667" s="11">
        <v>-0.26577412737581302</v>
      </c>
      <c r="J1667" s="10">
        <v>0.79041317015736101</v>
      </c>
      <c r="K1667" s="29">
        <v>0.98289565623980701</v>
      </c>
    </row>
    <row r="1668" spans="1:11" x14ac:dyDescent="0.35">
      <c r="A1668" s="9" t="str">
        <f>HYPERLINK("http://www.ensembl.org/id/WBGene00023499", "WBGene00023499")</f>
        <v>WBGene00023499</v>
      </c>
      <c r="B1668" s="9" t="str">
        <f>HYPERLINK("http://www.ncbi.nlm.nih.gov/gene/3565730", "3565730")</f>
        <v>3565730</v>
      </c>
      <c r="C1668" s="9"/>
      <c r="D1668" t="str">
        <f>"srz-63"</f>
        <v>srz-63</v>
      </c>
      <c r="E1668" t="s">
        <v>4211</v>
      </c>
      <c r="F1668" t="s">
        <v>11</v>
      </c>
      <c r="G1668" t="s">
        <v>25</v>
      </c>
      <c r="H1668" s="12">
        <v>-2.4991590031922399</v>
      </c>
      <c r="I1668" s="11">
        <v>-0.26577412737581302</v>
      </c>
      <c r="J1668" s="10">
        <v>0.79041317015736101</v>
      </c>
      <c r="K1668" s="29">
        <v>0.98289565623980701</v>
      </c>
    </row>
    <row r="1669" spans="1:11" x14ac:dyDescent="0.35">
      <c r="A1669" s="9" t="str">
        <f>HYPERLINK("http://www.ensembl.org/id/WBGene00023514", "WBGene00023514")</f>
        <v>WBGene00023514</v>
      </c>
      <c r="B1669" s="9" t="str">
        <f>HYPERLINK("http://www.ncbi.nlm.nih.gov/gene/3564891", "3564891")</f>
        <v>3564891</v>
      </c>
      <c r="C1669" s="9"/>
      <c r="D1669" t="str">
        <f>"srz-72"</f>
        <v>srz-72</v>
      </c>
      <c r="E1669" t="s">
        <v>4211</v>
      </c>
      <c r="F1669" t="s">
        <v>11</v>
      </c>
      <c r="G1669" t="s">
        <v>25</v>
      </c>
      <c r="H1669" s="12">
        <v>-2.4991590031922399</v>
      </c>
      <c r="I1669" s="11">
        <v>-0.26577412737581302</v>
      </c>
      <c r="J1669" s="10">
        <v>0.79041317015736101</v>
      </c>
      <c r="K1669" s="29">
        <v>0.98289565623980701</v>
      </c>
    </row>
    <row r="1670" spans="1:11" x14ac:dyDescent="0.35">
      <c r="A1670" s="9" t="str">
        <f>HYPERLINK("http://www.ensembl.org/id/WBGene00006079", "WBGene00006079")</f>
        <v>WBGene00006079</v>
      </c>
      <c r="B1670" s="9"/>
      <c r="C1670" s="9"/>
      <c r="D1670" t="str">
        <f>"str-11"</f>
        <v>str-11</v>
      </c>
      <c r="F1670" t="s">
        <v>80</v>
      </c>
      <c r="H1670" s="12">
        <v>-2.4991590031922399</v>
      </c>
      <c r="I1670" s="11">
        <v>-0.26577412737581302</v>
      </c>
      <c r="J1670" s="10">
        <v>0.79041317015736101</v>
      </c>
      <c r="K1670" s="29">
        <v>0.98289565623980701</v>
      </c>
    </row>
    <row r="1671" spans="1:11" x14ac:dyDescent="0.35">
      <c r="A1671" s="9" t="str">
        <f>HYPERLINK("http://www.ensembl.org/id/WBGene00006248", "WBGene00006248")</f>
        <v>WBGene00006248</v>
      </c>
      <c r="B1671" s="9"/>
      <c r="C1671" s="9"/>
      <c r="D1671" t="str">
        <f>"str-216"</f>
        <v>str-216</v>
      </c>
      <c r="F1671" t="s">
        <v>80</v>
      </c>
      <c r="H1671" s="12">
        <v>-2.4991590031922399</v>
      </c>
      <c r="I1671" s="11">
        <v>-0.26577412737581302</v>
      </c>
      <c r="J1671" s="10">
        <v>0.79041317015736101</v>
      </c>
      <c r="K1671" s="29">
        <v>0.98289565623980701</v>
      </c>
    </row>
    <row r="1672" spans="1:11" x14ac:dyDescent="0.35">
      <c r="A1672" s="9" t="str">
        <f>HYPERLINK("http://www.ensembl.org/id/WBGene00006314", "WBGene00006314")</f>
        <v>WBGene00006314</v>
      </c>
      <c r="B1672" s="9"/>
      <c r="C1672" s="9"/>
      <c r="D1672" t="str">
        <f>"sup-5"</f>
        <v>sup-5</v>
      </c>
      <c r="F1672" t="s">
        <v>4208</v>
      </c>
      <c r="H1672" s="12">
        <v>-2.4991590031922399</v>
      </c>
      <c r="I1672" s="11">
        <v>-0.26577412737581302</v>
      </c>
      <c r="J1672" s="10">
        <v>0.79041317015736101</v>
      </c>
      <c r="K1672" s="29">
        <v>0.98289565623980701</v>
      </c>
    </row>
    <row r="1673" spans="1:11" x14ac:dyDescent="0.35">
      <c r="A1673" s="9" t="str">
        <f>HYPERLINK("http://www.ensembl.org/id/WBGene00197821", "WBGene00197821")</f>
        <v>WBGene00197821</v>
      </c>
      <c r="B1673" s="9"/>
      <c r="C1673" s="9"/>
      <c r="D1673" t="str">
        <f>"T01B10.10"</f>
        <v>T01B10.10</v>
      </c>
      <c r="F1673" t="s">
        <v>481</v>
      </c>
      <c r="H1673" s="12">
        <v>-2.4991590031922399</v>
      </c>
      <c r="I1673" s="11">
        <v>-0.26577412737581302</v>
      </c>
      <c r="J1673" s="10">
        <v>0.79041317015736101</v>
      </c>
      <c r="K1673" s="29">
        <v>0.98289565623980701</v>
      </c>
    </row>
    <row r="1674" spans="1:11" x14ac:dyDescent="0.35">
      <c r="A1674" s="9" t="str">
        <f>HYPERLINK("http://www.ensembl.org/id/WBGene00197030", "WBGene00197030")</f>
        <v>WBGene00197030</v>
      </c>
      <c r="B1674" s="9"/>
      <c r="C1674" s="9"/>
      <c r="D1674" t="str">
        <f>"T01B10.9"</f>
        <v>T01B10.9</v>
      </c>
      <c r="F1674" t="s">
        <v>481</v>
      </c>
      <c r="H1674" s="12">
        <v>-2.4991590031922399</v>
      </c>
      <c r="I1674" s="11">
        <v>-0.26577412737581302</v>
      </c>
      <c r="J1674" s="10">
        <v>0.79041317015736101</v>
      </c>
      <c r="K1674" s="29">
        <v>0.98289565623980701</v>
      </c>
    </row>
    <row r="1675" spans="1:11" x14ac:dyDescent="0.35">
      <c r="A1675" s="9" t="str">
        <f>HYPERLINK("http://www.ensembl.org/id/WBGene00201799", "WBGene00201799")</f>
        <v>WBGene00201799</v>
      </c>
      <c r="B1675" s="9"/>
      <c r="C1675" s="9"/>
      <c r="D1675" t="str">
        <f>"T01C1.12"</f>
        <v>T01C1.12</v>
      </c>
      <c r="F1675" t="s">
        <v>481</v>
      </c>
      <c r="H1675" s="12">
        <v>-2.4991590031922399</v>
      </c>
      <c r="I1675" s="11">
        <v>-0.26577412737581302</v>
      </c>
      <c r="J1675" s="10">
        <v>0.79041317015736101</v>
      </c>
      <c r="K1675" s="29">
        <v>0.98289565623980701</v>
      </c>
    </row>
    <row r="1676" spans="1:11" x14ac:dyDescent="0.35">
      <c r="A1676" s="9" t="str">
        <f>HYPERLINK("http://www.ensembl.org/id/WBGene00020176", "WBGene00020176")</f>
        <v>WBGene00020176</v>
      </c>
      <c r="B1676" s="9" t="str">
        <f>HYPERLINK("http://www.ncbi.nlm.nih.gov/gene/188005", "188005")</f>
        <v>188005</v>
      </c>
      <c r="C1676" s="9"/>
      <c r="D1676" t="str">
        <f>"T02H6.6"</f>
        <v>T02H6.6</v>
      </c>
      <c r="F1676" t="s">
        <v>11</v>
      </c>
      <c r="H1676" s="12">
        <v>-2.4991590031922399</v>
      </c>
      <c r="I1676" s="11">
        <v>-0.26577412737581302</v>
      </c>
      <c r="J1676" s="10">
        <v>0.79041317015736101</v>
      </c>
      <c r="K1676" s="29">
        <v>0.98289565623980701</v>
      </c>
    </row>
    <row r="1677" spans="1:11" x14ac:dyDescent="0.35">
      <c r="A1677" s="9" t="str">
        <f>HYPERLINK("http://www.ensembl.org/id/WBGene00023337", "WBGene00023337")</f>
        <v>WBGene00023337</v>
      </c>
      <c r="B1677" s="9"/>
      <c r="C1677" s="9"/>
      <c r="D1677" t="str">
        <f>"T03D3.9"</f>
        <v>T03D3.9</v>
      </c>
      <c r="F1677" t="s">
        <v>80</v>
      </c>
      <c r="H1677" s="12">
        <v>-2.4991590031922399</v>
      </c>
      <c r="I1677" s="11">
        <v>-0.26577412737581302</v>
      </c>
      <c r="J1677" s="10">
        <v>0.79041317015736101</v>
      </c>
      <c r="K1677" s="29">
        <v>0.98289565623980701</v>
      </c>
    </row>
    <row r="1678" spans="1:11" x14ac:dyDescent="0.35">
      <c r="A1678" s="9" t="str">
        <f>HYPERLINK("http://www.ensembl.org/id/WBGene00199212", "WBGene00199212")</f>
        <v>WBGene00199212</v>
      </c>
      <c r="B1678" s="9"/>
      <c r="C1678" s="9"/>
      <c r="D1678" t="str">
        <f>"T05A10.8"</f>
        <v>T05A10.8</v>
      </c>
      <c r="F1678" t="s">
        <v>481</v>
      </c>
      <c r="H1678" s="12">
        <v>-2.4991590031922399</v>
      </c>
      <c r="I1678" s="11">
        <v>-0.26577412737581302</v>
      </c>
      <c r="J1678" s="10">
        <v>0.79041317015736101</v>
      </c>
      <c r="K1678" s="29">
        <v>0.98289565623980701</v>
      </c>
    </row>
    <row r="1679" spans="1:11" x14ac:dyDescent="0.35">
      <c r="A1679" s="9" t="str">
        <f>HYPERLINK("http://www.ensembl.org/id/WBGene00196382", "WBGene00196382")</f>
        <v>WBGene00196382</v>
      </c>
      <c r="B1679" s="9"/>
      <c r="C1679" s="9"/>
      <c r="D1679" t="str">
        <f>"T05B4.15"</f>
        <v>T05B4.15</v>
      </c>
      <c r="F1679" t="s">
        <v>481</v>
      </c>
      <c r="H1679" s="12">
        <v>-2.4991590031922399</v>
      </c>
      <c r="I1679" s="11">
        <v>-0.26577412737581302</v>
      </c>
      <c r="J1679" s="10">
        <v>0.79041317015736101</v>
      </c>
      <c r="K1679" s="29">
        <v>0.98289565623980701</v>
      </c>
    </row>
    <row r="1680" spans="1:11" x14ac:dyDescent="0.35">
      <c r="A1680" s="9" t="str">
        <f>HYPERLINK("http://www.ensembl.org/id/WBGene00202125", "WBGene00202125")</f>
        <v>WBGene00202125</v>
      </c>
      <c r="B1680" s="9"/>
      <c r="C1680" s="9"/>
      <c r="D1680" t="str">
        <f>"T09A5.21"</f>
        <v>T09A5.21</v>
      </c>
      <c r="F1680" t="s">
        <v>481</v>
      </c>
      <c r="H1680" s="12">
        <v>-2.4991590031922399</v>
      </c>
      <c r="I1680" s="11">
        <v>-0.26577412737581302</v>
      </c>
      <c r="J1680" s="10">
        <v>0.79041317015736101</v>
      </c>
      <c r="K1680" s="29">
        <v>0.98289565623980701</v>
      </c>
    </row>
    <row r="1681" spans="1:11" x14ac:dyDescent="0.35">
      <c r="A1681" s="9" t="str">
        <f>HYPERLINK("http://www.ensembl.org/id/WBGene00023135", "WBGene00023135")</f>
        <v>WBGene00023135</v>
      </c>
      <c r="B1681" s="9"/>
      <c r="C1681" s="9"/>
      <c r="D1681" t="str">
        <f>"T09B4.t1"</f>
        <v>T09B4.t1</v>
      </c>
      <c r="F1681" t="s">
        <v>4208</v>
      </c>
      <c r="H1681" s="12">
        <v>-2.4991590031922399</v>
      </c>
      <c r="I1681" s="11">
        <v>-0.26577412737581302</v>
      </c>
      <c r="J1681" s="10">
        <v>0.79041317015736101</v>
      </c>
      <c r="K1681" s="29">
        <v>0.98289565623980701</v>
      </c>
    </row>
    <row r="1682" spans="1:11" x14ac:dyDescent="0.35">
      <c r="A1682" s="9" t="str">
        <f>HYPERLINK("http://www.ensembl.org/id/WBGene00045103", "WBGene00045103")</f>
        <v>WBGene00045103</v>
      </c>
      <c r="B1682" s="9" t="str">
        <f>HYPERLINK("http://www.ncbi.nlm.nih.gov/gene/4927042", "4927042")</f>
        <v>4927042</v>
      </c>
      <c r="C1682" s="9"/>
      <c r="D1682" t="str">
        <f>"T09E11.12"</f>
        <v>T09E11.12</v>
      </c>
      <c r="E1682" t="s">
        <v>3820</v>
      </c>
      <c r="F1682" t="s">
        <v>11</v>
      </c>
      <c r="G1682" t="s">
        <v>10069</v>
      </c>
      <c r="H1682" s="12">
        <v>-2.4991590031922399</v>
      </c>
      <c r="I1682" s="11">
        <v>-0.26577412737581302</v>
      </c>
      <c r="J1682" s="10">
        <v>0.79041317015736101</v>
      </c>
      <c r="K1682" s="29">
        <v>0.98289565623980701</v>
      </c>
    </row>
    <row r="1683" spans="1:11" x14ac:dyDescent="0.35">
      <c r="A1683" s="9" t="str">
        <f>HYPERLINK("http://www.ensembl.org/id/WBGene00198631", "WBGene00198631")</f>
        <v>WBGene00198631</v>
      </c>
      <c r="B1683" s="9"/>
      <c r="C1683" s="9"/>
      <c r="D1683" t="str">
        <f>"T10B10.12"</f>
        <v>T10B10.12</v>
      </c>
      <c r="F1683" t="s">
        <v>481</v>
      </c>
      <c r="H1683" s="12">
        <v>-2.4991590031922399</v>
      </c>
      <c r="I1683" s="11">
        <v>-0.26577412737581302</v>
      </c>
      <c r="J1683" s="10">
        <v>0.79041317015736101</v>
      </c>
      <c r="K1683" s="29">
        <v>0.98289565623980701</v>
      </c>
    </row>
    <row r="1684" spans="1:11" x14ac:dyDescent="0.35">
      <c r="A1684" s="9" t="str">
        <f>HYPERLINK("http://www.ensembl.org/id/WBGene00197457", "WBGene00197457")</f>
        <v>WBGene00197457</v>
      </c>
      <c r="B1684" s="9"/>
      <c r="C1684" s="9"/>
      <c r="D1684" t="str">
        <f>"T10B11.10"</f>
        <v>T10B11.10</v>
      </c>
      <c r="F1684" t="s">
        <v>481</v>
      </c>
      <c r="H1684" s="12">
        <v>-2.4991590031922399</v>
      </c>
      <c r="I1684" s="11">
        <v>-0.26577412737581302</v>
      </c>
      <c r="J1684" s="10">
        <v>0.79041317015736101</v>
      </c>
      <c r="K1684" s="29">
        <v>0.98289565623980701</v>
      </c>
    </row>
    <row r="1685" spans="1:11" x14ac:dyDescent="0.35">
      <c r="A1685" s="9" t="str">
        <f>HYPERLINK("http://www.ensembl.org/id/WBGene00044222", "WBGene00044222")</f>
        <v>WBGene00044222</v>
      </c>
      <c r="B1685" s="9" t="str">
        <f>HYPERLINK("http://www.ncbi.nlm.nih.gov/gene/13191030", "13191030")</f>
        <v>13191030</v>
      </c>
      <c r="C1685" s="9"/>
      <c r="D1685" t="str">
        <f>"T16G12.10"</f>
        <v>T16G12.10</v>
      </c>
      <c r="F1685" t="s">
        <v>11</v>
      </c>
      <c r="H1685" s="12">
        <v>-2.4991590031922399</v>
      </c>
      <c r="I1685" s="11">
        <v>-0.26577412737581302</v>
      </c>
      <c r="J1685" s="10">
        <v>0.79041317015736101</v>
      </c>
      <c r="K1685" s="29">
        <v>0.98289565623980701</v>
      </c>
    </row>
    <row r="1686" spans="1:11" x14ac:dyDescent="0.35">
      <c r="A1686" s="9" t="str">
        <f>HYPERLINK("http://www.ensembl.org/id/WBGene00199717", "WBGene00199717")</f>
        <v>WBGene00199717</v>
      </c>
      <c r="B1686" s="9"/>
      <c r="C1686" s="9"/>
      <c r="D1686" t="str">
        <f>"T19B10.17"</f>
        <v>T19B10.17</v>
      </c>
      <c r="F1686" t="s">
        <v>481</v>
      </c>
      <c r="H1686" s="12">
        <v>-2.4991590031922399</v>
      </c>
      <c r="I1686" s="11">
        <v>-0.26577412737581302</v>
      </c>
      <c r="J1686" s="10">
        <v>0.79041317015736101</v>
      </c>
      <c r="K1686" s="29">
        <v>0.98289565623980701</v>
      </c>
    </row>
    <row r="1687" spans="1:11" x14ac:dyDescent="0.35">
      <c r="A1687" s="9" t="str">
        <f>HYPERLINK("http://www.ensembl.org/id/WBGene00200972", "WBGene00200972")</f>
        <v>WBGene00200972</v>
      </c>
      <c r="B1687" s="9"/>
      <c r="C1687" s="9"/>
      <c r="D1687" t="str">
        <f>"T22B7.19"</f>
        <v>T22B7.19</v>
      </c>
      <c r="F1687" t="s">
        <v>481</v>
      </c>
      <c r="H1687" s="12">
        <v>-2.4991590031922399</v>
      </c>
      <c r="I1687" s="11">
        <v>-0.26577412737581302</v>
      </c>
      <c r="J1687" s="10">
        <v>0.79041317015736101</v>
      </c>
      <c r="K1687" s="29">
        <v>0.98289565623980701</v>
      </c>
    </row>
    <row r="1688" spans="1:11" x14ac:dyDescent="0.35">
      <c r="A1688" s="9" t="str">
        <f>HYPERLINK("http://www.ensembl.org/id/WBGene00198819", "WBGene00198819")</f>
        <v>WBGene00198819</v>
      </c>
      <c r="B1688" s="9"/>
      <c r="C1688" s="9"/>
      <c r="D1688" t="str">
        <f>"T22E5.14"</f>
        <v>T22E5.14</v>
      </c>
      <c r="F1688" t="s">
        <v>481</v>
      </c>
      <c r="H1688" s="12">
        <v>-2.4991590031922399</v>
      </c>
      <c r="I1688" s="11">
        <v>-0.26577412737581302</v>
      </c>
      <c r="J1688" s="10">
        <v>0.79041317015736101</v>
      </c>
      <c r="K1688" s="29">
        <v>0.98289565623980701</v>
      </c>
    </row>
    <row r="1689" spans="1:11" x14ac:dyDescent="0.35">
      <c r="A1689" s="9" t="str">
        <f>HYPERLINK("http://www.ensembl.org/id/WBGene00197284", "WBGene00197284")</f>
        <v>WBGene00197284</v>
      </c>
      <c r="B1689" s="9"/>
      <c r="C1689" s="9"/>
      <c r="D1689" t="str">
        <f>"T24A11.5"</f>
        <v>T24A11.5</v>
      </c>
      <c r="F1689" t="s">
        <v>481</v>
      </c>
      <c r="H1689" s="12">
        <v>-2.4991590031922399</v>
      </c>
      <c r="I1689" s="11">
        <v>-0.26577412737581302</v>
      </c>
      <c r="J1689" s="10">
        <v>0.79041317015736101</v>
      </c>
      <c r="K1689" s="29">
        <v>0.98289565623980701</v>
      </c>
    </row>
    <row r="1690" spans="1:11" x14ac:dyDescent="0.35">
      <c r="A1690" s="9" t="str">
        <f>HYPERLINK("http://www.ensembl.org/id/WBGene00012046", "WBGene00012046")</f>
        <v>WBGene00012046</v>
      </c>
      <c r="B1690" s="9" t="str">
        <f>HYPERLINK("http://www.ncbi.nlm.nih.gov/gene/188930", "188930")</f>
        <v>188930</v>
      </c>
      <c r="C1690" s="9"/>
      <c r="D1690" t="str">
        <f>"T26E4.4"</f>
        <v>T26E4.4</v>
      </c>
      <c r="F1690" t="s">
        <v>11</v>
      </c>
      <c r="G1690" t="s">
        <v>4254</v>
      </c>
      <c r="H1690" s="12">
        <v>-2.4991590031922399</v>
      </c>
      <c r="I1690" s="11">
        <v>-0.26577412737581302</v>
      </c>
      <c r="J1690" s="10">
        <v>0.79041317015736101</v>
      </c>
      <c r="K1690" s="29">
        <v>0.98289565623980701</v>
      </c>
    </row>
    <row r="1691" spans="1:11" x14ac:dyDescent="0.35">
      <c r="A1691" s="9" t="str">
        <f>HYPERLINK("http://www.ensembl.org/id/WBGene00197773", "WBGene00197773")</f>
        <v>WBGene00197773</v>
      </c>
      <c r="B1691" s="9"/>
      <c r="C1691" s="9"/>
      <c r="D1691" t="str">
        <f>"T27A10.8"</f>
        <v>T27A10.8</v>
      </c>
      <c r="F1691" t="s">
        <v>481</v>
      </c>
      <c r="H1691" s="12">
        <v>-2.4991590031922399</v>
      </c>
      <c r="I1691" s="11">
        <v>-0.26577412737581302</v>
      </c>
      <c r="J1691" s="10">
        <v>0.79041317015736101</v>
      </c>
      <c r="K1691" s="29">
        <v>0.98289565623980701</v>
      </c>
    </row>
    <row r="1692" spans="1:11" x14ac:dyDescent="0.35">
      <c r="A1692" s="9" t="str">
        <f>HYPERLINK("http://www.ensembl.org/id/WBGene00012133", "WBGene00012133")</f>
        <v>WBGene00012133</v>
      </c>
      <c r="B1692" s="9"/>
      <c r="C1692" s="9"/>
      <c r="D1692" t="str">
        <f>"T28F3.7"</f>
        <v>T28F3.7</v>
      </c>
      <c r="F1692" t="s">
        <v>80</v>
      </c>
      <c r="H1692" s="12">
        <v>-2.4991590031922399</v>
      </c>
      <c r="I1692" s="11">
        <v>-0.26577412737581302</v>
      </c>
      <c r="J1692" s="10">
        <v>0.79041317015736101</v>
      </c>
      <c r="K1692" s="29">
        <v>0.98289565623980701</v>
      </c>
    </row>
    <row r="1693" spans="1:11" x14ac:dyDescent="0.35">
      <c r="A1693" s="9" t="str">
        <f>HYPERLINK("http://www.ensembl.org/id/WBGene00009858", "WBGene00009858")</f>
        <v>WBGene00009858</v>
      </c>
      <c r="B1693" s="9" t="str">
        <f>HYPERLINK("http://www.ncbi.nlm.nih.gov/gene/186006", "186006")</f>
        <v>186006</v>
      </c>
      <c r="C1693" s="9"/>
      <c r="D1693" t="str">
        <f>"thn-4"</f>
        <v>thn-4</v>
      </c>
      <c r="E1693" t="s">
        <v>20</v>
      </c>
      <c r="F1693" t="s">
        <v>11</v>
      </c>
      <c r="G1693" t="s">
        <v>2182</v>
      </c>
      <c r="H1693" s="12">
        <v>-2.4991590031922399</v>
      </c>
      <c r="I1693" s="11">
        <v>-0.26577412737581302</v>
      </c>
      <c r="J1693" s="10">
        <v>0.79041317015736101</v>
      </c>
      <c r="K1693" s="29">
        <v>0.98289565623980701</v>
      </c>
    </row>
    <row r="1694" spans="1:11" x14ac:dyDescent="0.35">
      <c r="A1694" s="9" t="str">
        <f>HYPERLINK("http://www.ensembl.org/id/WBGene00045372", "WBGene00045372")</f>
        <v>WBGene00045372</v>
      </c>
      <c r="B1694" s="9"/>
      <c r="C1694" s="9"/>
      <c r="D1694" t="str">
        <f>"W01D2.8"</f>
        <v>W01D2.8</v>
      </c>
      <c r="F1694" t="s">
        <v>481</v>
      </c>
      <c r="H1694" s="12">
        <v>-2.4991590031922399</v>
      </c>
      <c r="I1694" s="11">
        <v>-0.26577412737581302</v>
      </c>
      <c r="J1694" s="10">
        <v>0.79041317015736101</v>
      </c>
      <c r="K1694" s="29">
        <v>0.98289565623980701</v>
      </c>
    </row>
    <row r="1695" spans="1:11" x14ac:dyDescent="0.35">
      <c r="A1695" s="9" t="str">
        <f>HYPERLINK("http://www.ensembl.org/id/WBGene00012214", "WBGene00012214")</f>
        <v>WBGene00012214</v>
      </c>
      <c r="B1695" s="9" t="str">
        <f>HYPERLINK("http://www.ncbi.nlm.nih.gov/gene/189122", "189122")</f>
        <v>189122</v>
      </c>
      <c r="C1695" s="9"/>
      <c r="D1695" t="str">
        <f>"W02D9.8"</f>
        <v>W02D9.8</v>
      </c>
      <c r="F1695" t="s">
        <v>11</v>
      </c>
      <c r="G1695" t="s">
        <v>25</v>
      </c>
      <c r="H1695" s="12">
        <v>-2.4991590031922399</v>
      </c>
      <c r="I1695" s="11">
        <v>-0.26577412737581302</v>
      </c>
      <c r="J1695" s="10">
        <v>0.79041317015736101</v>
      </c>
      <c r="K1695" s="29">
        <v>0.98289565623980701</v>
      </c>
    </row>
    <row r="1696" spans="1:11" x14ac:dyDescent="0.35">
      <c r="A1696" s="9" t="str">
        <f>HYPERLINK("http://www.ensembl.org/id/WBGene00199019", "WBGene00199019")</f>
        <v>WBGene00199019</v>
      </c>
      <c r="B1696" s="9"/>
      <c r="C1696" s="9"/>
      <c r="D1696" t="str">
        <f>"W04D2.11"</f>
        <v>W04D2.11</v>
      </c>
      <c r="F1696" t="s">
        <v>481</v>
      </c>
      <c r="H1696" s="12">
        <v>-2.4991590031922399</v>
      </c>
      <c r="I1696" s="11">
        <v>-0.26577412737581302</v>
      </c>
      <c r="J1696" s="10">
        <v>0.79041317015736101</v>
      </c>
      <c r="K1696" s="29">
        <v>0.98289565623980701</v>
      </c>
    </row>
    <row r="1697" spans="1:11" x14ac:dyDescent="0.35">
      <c r="A1697" s="9" t="str">
        <f>HYPERLINK("http://www.ensembl.org/id/WBGene00196810", "WBGene00196810")</f>
        <v>WBGene00196810</v>
      </c>
      <c r="B1697" s="9"/>
      <c r="C1697" s="9"/>
      <c r="D1697" t="str">
        <f>"W06B11.7"</f>
        <v>W06B11.7</v>
      </c>
      <c r="F1697" t="s">
        <v>481</v>
      </c>
      <c r="H1697" s="12">
        <v>-2.4991590031922399</v>
      </c>
      <c r="I1697" s="11">
        <v>-0.26577412737581302</v>
      </c>
      <c r="J1697" s="10">
        <v>0.79041317015736101</v>
      </c>
      <c r="K1697" s="29">
        <v>0.98289565623980701</v>
      </c>
    </row>
    <row r="1698" spans="1:11" x14ac:dyDescent="0.35">
      <c r="A1698" s="9" t="str">
        <f>HYPERLINK("http://www.ensembl.org/id/WBGene00195570", "WBGene00195570")</f>
        <v>WBGene00195570</v>
      </c>
      <c r="B1698" s="9"/>
      <c r="C1698" s="9"/>
      <c r="D1698" t="str">
        <f>"W06F12.5"</f>
        <v>W06F12.5</v>
      </c>
      <c r="F1698" t="s">
        <v>481</v>
      </c>
      <c r="H1698" s="12">
        <v>-2.4991590031922399</v>
      </c>
      <c r="I1698" s="11">
        <v>-0.26577412737581302</v>
      </c>
      <c r="J1698" s="10">
        <v>0.79041317015736101</v>
      </c>
      <c r="K1698" s="29">
        <v>0.98289565623980701</v>
      </c>
    </row>
    <row r="1699" spans="1:11" x14ac:dyDescent="0.35">
      <c r="A1699" s="9" t="str">
        <f>HYPERLINK("http://www.ensembl.org/id/WBGene00198162", "WBGene00198162")</f>
        <v>WBGene00198162</v>
      </c>
      <c r="B1699" s="9"/>
      <c r="C1699" s="9"/>
      <c r="D1699" t="str">
        <f>"W06H8.11"</f>
        <v>W06H8.11</v>
      </c>
      <c r="F1699" t="s">
        <v>481</v>
      </c>
      <c r="H1699" s="12">
        <v>-2.4991590031922399</v>
      </c>
      <c r="I1699" s="11">
        <v>-0.26577412737581302</v>
      </c>
      <c r="J1699" s="10">
        <v>0.79041317015736101</v>
      </c>
      <c r="K1699" s="29">
        <v>0.98289565623980701</v>
      </c>
    </row>
    <row r="1700" spans="1:11" x14ac:dyDescent="0.35">
      <c r="A1700" s="9" t="str">
        <f>HYPERLINK("http://www.ensembl.org/id/WBGene00201715", "WBGene00201715")</f>
        <v>WBGene00201715</v>
      </c>
      <c r="B1700" s="9"/>
      <c r="C1700" s="9"/>
      <c r="D1700" t="str">
        <f>"W09C2.12"</f>
        <v>W09C2.12</v>
      </c>
      <c r="F1700" t="s">
        <v>481</v>
      </c>
      <c r="H1700" s="12">
        <v>-2.4991590031922399</v>
      </c>
      <c r="I1700" s="11">
        <v>-0.26577412737581302</v>
      </c>
      <c r="J1700" s="10">
        <v>0.79041317015736101</v>
      </c>
      <c r="K1700" s="29">
        <v>0.98289565623980701</v>
      </c>
    </row>
    <row r="1701" spans="1:11" x14ac:dyDescent="0.35">
      <c r="A1701" s="9" t="str">
        <f>HYPERLINK("http://www.ensembl.org/id/WBGene00206509", "WBGene00206509")</f>
        <v>WBGene00206509</v>
      </c>
      <c r="B1701" s="9"/>
      <c r="C1701" s="9"/>
      <c r="D1701" t="str">
        <f>"Y102A5C.43"</f>
        <v>Y102A5C.43</v>
      </c>
      <c r="F1701" t="s">
        <v>80</v>
      </c>
      <c r="H1701" s="12">
        <v>-2.4991590031922399</v>
      </c>
      <c r="I1701" s="11">
        <v>-0.26577412737581302</v>
      </c>
      <c r="J1701" s="10">
        <v>0.79041317015736101</v>
      </c>
      <c r="K1701" s="29">
        <v>0.98289565623980701</v>
      </c>
    </row>
    <row r="1702" spans="1:11" x14ac:dyDescent="0.35">
      <c r="A1702" s="9" t="str">
        <f>HYPERLINK("http://www.ensembl.org/id/WBGene00044263", "WBGene00044263")</f>
        <v>WBGene00044263</v>
      </c>
      <c r="B1702" s="9" t="str">
        <f>HYPERLINK("http://www.ncbi.nlm.nih.gov/gene/3565168", "3565168")</f>
        <v>3565168</v>
      </c>
      <c r="C1702" s="9"/>
      <c r="D1702" t="str">
        <f>"Y105C5A.26"</f>
        <v>Y105C5A.26</v>
      </c>
      <c r="F1702" t="s">
        <v>11</v>
      </c>
      <c r="H1702" s="12">
        <v>-2.4991590031922399</v>
      </c>
      <c r="I1702" s="11">
        <v>-0.26577412737581302</v>
      </c>
      <c r="J1702" s="10">
        <v>0.79041317015736101</v>
      </c>
      <c r="K1702" s="29">
        <v>0.98289565623980701</v>
      </c>
    </row>
    <row r="1703" spans="1:11" x14ac:dyDescent="0.35">
      <c r="A1703" s="9" t="str">
        <f>HYPERLINK("http://www.ensembl.org/id/WBGene00220130", "WBGene00220130")</f>
        <v>WBGene00220130</v>
      </c>
      <c r="B1703" s="9"/>
      <c r="C1703" s="9"/>
      <c r="D1703" t="str">
        <f>"Y10G11A.92"</f>
        <v>Y10G11A.92</v>
      </c>
      <c r="F1703" t="s">
        <v>481</v>
      </c>
      <c r="H1703" s="12">
        <v>-2.4991590031922399</v>
      </c>
      <c r="I1703" s="11">
        <v>-0.26577412737581302</v>
      </c>
      <c r="J1703" s="10">
        <v>0.79041317015736101</v>
      </c>
      <c r="K1703" s="29">
        <v>0.98289565623980701</v>
      </c>
    </row>
    <row r="1704" spans="1:11" x14ac:dyDescent="0.35">
      <c r="A1704" s="9" t="str">
        <f>HYPERLINK("http://www.ensembl.org/id/WBGene00195422", "WBGene00195422")</f>
        <v>WBGene00195422</v>
      </c>
      <c r="B1704" s="9"/>
      <c r="C1704" s="9"/>
      <c r="D1704" t="str">
        <f>"Y111B2A.31"</f>
        <v>Y111B2A.31</v>
      </c>
      <c r="F1704" t="s">
        <v>481</v>
      </c>
      <c r="H1704" s="12">
        <v>-2.4991590031922399</v>
      </c>
      <c r="I1704" s="11">
        <v>-0.26577412737581302</v>
      </c>
      <c r="J1704" s="10">
        <v>0.79041317015736101</v>
      </c>
      <c r="K1704" s="29">
        <v>0.98289565623980701</v>
      </c>
    </row>
    <row r="1705" spans="1:11" x14ac:dyDescent="0.35">
      <c r="A1705" s="9" t="str">
        <f>HYPERLINK("http://www.ensembl.org/id/WBGene00198919", "WBGene00198919")</f>
        <v>WBGene00198919</v>
      </c>
      <c r="B1705" s="9"/>
      <c r="C1705" s="9"/>
      <c r="D1705" t="str">
        <f>"Y119D3B.25"</f>
        <v>Y119D3B.25</v>
      </c>
      <c r="F1705" t="s">
        <v>481</v>
      </c>
      <c r="H1705" s="12">
        <v>-2.4991590031922399</v>
      </c>
      <c r="I1705" s="11">
        <v>-0.26577412737581302</v>
      </c>
      <c r="J1705" s="10">
        <v>0.79041317015736101</v>
      </c>
      <c r="K1705" s="29">
        <v>0.98289565623980701</v>
      </c>
    </row>
    <row r="1706" spans="1:11" x14ac:dyDescent="0.35">
      <c r="A1706" s="9" t="str">
        <f>HYPERLINK("http://www.ensembl.org/id/WBGene00023168", "WBGene00023168")</f>
        <v>WBGene00023168</v>
      </c>
      <c r="B1706" s="9"/>
      <c r="C1706" s="9"/>
      <c r="D1706" t="str">
        <f>"Y17G9A.t1"</f>
        <v>Y17G9A.t1</v>
      </c>
      <c r="F1706" t="s">
        <v>4208</v>
      </c>
      <c r="H1706" s="12">
        <v>-2.4991590031922399</v>
      </c>
      <c r="I1706" s="11">
        <v>-0.26577412737581302</v>
      </c>
      <c r="J1706" s="10">
        <v>0.79041317015736101</v>
      </c>
      <c r="K1706" s="29">
        <v>0.98289565623980701</v>
      </c>
    </row>
    <row r="1707" spans="1:11" x14ac:dyDescent="0.35">
      <c r="A1707" s="9" t="str">
        <f>HYPERLINK("http://www.ensembl.org/id/WBGene00012493", "WBGene00012493")</f>
        <v>WBGene00012493</v>
      </c>
      <c r="B1707" s="9"/>
      <c r="C1707" s="9"/>
      <c r="D1707" t="str">
        <f>"Y20C6A.3"</f>
        <v>Y20C6A.3</v>
      </c>
      <c r="F1707" t="s">
        <v>80</v>
      </c>
      <c r="H1707" s="12">
        <v>-2.4991590031922399</v>
      </c>
      <c r="I1707" s="11">
        <v>-0.26577412737581302</v>
      </c>
      <c r="J1707" s="10">
        <v>0.79041317015736101</v>
      </c>
      <c r="K1707" s="29">
        <v>0.98289565623980701</v>
      </c>
    </row>
    <row r="1708" spans="1:11" x14ac:dyDescent="0.35">
      <c r="A1708" s="9" t="str">
        <f>HYPERLINK("http://www.ensembl.org/id/WBGene00202396", "WBGene00202396")</f>
        <v>WBGene00202396</v>
      </c>
      <c r="B1708" s="9"/>
      <c r="C1708" s="9"/>
      <c r="D1708" t="str">
        <f>"Y22D7AL.19"</f>
        <v>Y22D7AL.19</v>
      </c>
      <c r="F1708" t="s">
        <v>481</v>
      </c>
      <c r="H1708" s="12">
        <v>-2.4991590031922399</v>
      </c>
      <c r="I1708" s="11">
        <v>-0.26577412737581302</v>
      </c>
      <c r="J1708" s="10">
        <v>0.79041317015736101</v>
      </c>
      <c r="K1708" s="29">
        <v>0.98289565623980701</v>
      </c>
    </row>
    <row r="1709" spans="1:11" x14ac:dyDescent="0.35">
      <c r="A1709" s="9" t="str">
        <f>HYPERLINK("http://www.ensembl.org/id/WBGene00206471", "WBGene00206471")</f>
        <v>WBGene00206471</v>
      </c>
      <c r="B1709" s="9" t="str">
        <f>HYPERLINK("http://www.ncbi.nlm.nih.gov/gene/13214708", "13214708")</f>
        <v>13214708</v>
      </c>
      <c r="C1709" s="9"/>
      <c r="D1709" t="str">
        <f>"Y22F5A.11"</f>
        <v>Y22F5A.11</v>
      </c>
      <c r="F1709" t="s">
        <v>11</v>
      </c>
      <c r="H1709" s="12">
        <v>-2.4991590031922399</v>
      </c>
      <c r="I1709" s="11">
        <v>-0.26577412737581302</v>
      </c>
      <c r="J1709" s="10">
        <v>0.79041317015736101</v>
      </c>
      <c r="K1709" s="29">
        <v>0.98289565623980701</v>
      </c>
    </row>
    <row r="1710" spans="1:11" x14ac:dyDescent="0.35">
      <c r="A1710" s="9" t="str">
        <f>HYPERLINK("http://www.ensembl.org/id/WBGene00044952", "WBGene00044952")</f>
        <v>WBGene00044952</v>
      </c>
      <c r="B1710" s="9"/>
      <c r="C1710" s="9"/>
      <c r="D1710" t="str">
        <f>"Y24D9A.9"</f>
        <v>Y24D9A.9</v>
      </c>
      <c r="F1710" t="s">
        <v>2977</v>
      </c>
      <c r="H1710" s="12">
        <v>-2.4991590031922399</v>
      </c>
      <c r="I1710" s="11">
        <v>-0.26577412737581302</v>
      </c>
      <c r="J1710" s="10">
        <v>0.79041317015736101</v>
      </c>
      <c r="K1710" s="29">
        <v>0.98289565623980701</v>
      </c>
    </row>
    <row r="1711" spans="1:11" x14ac:dyDescent="0.35">
      <c r="A1711" s="9" t="str">
        <f>HYPERLINK("http://www.ensembl.org/id/WBGene00021300", "WBGene00021300")</f>
        <v>WBGene00021300</v>
      </c>
      <c r="B1711" s="9" t="str">
        <f>HYPERLINK("http://www.ncbi.nlm.nih.gov/gene/3565875", "3565875")</f>
        <v>3565875</v>
      </c>
      <c r="C1711" s="9"/>
      <c r="D1711" t="str">
        <f>"Y27F2A.9"</f>
        <v>Y27F2A.9</v>
      </c>
      <c r="F1711" t="s">
        <v>11</v>
      </c>
      <c r="H1711" s="12">
        <v>-2.4991590031922399</v>
      </c>
      <c r="I1711" s="11">
        <v>-0.26577412737581302</v>
      </c>
      <c r="J1711" s="10">
        <v>0.79041317015736101</v>
      </c>
      <c r="K1711" s="29">
        <v>0.98289565623980701</v>
      </c>
    </row>
    <row r="1712" spans="1:11" x14ac:dyDescent="0.35">
      <c r="A1712" s="9" t="str">
        <f>HYPERLINK("http://www.ensembl.org/id/WBGene00012519", "WBGene00012519")</f>
        <v>WBGene00012519</v>
      </c>
      <c r="B1712" s="9"/>
      <c r="C1712" s="9"/>
      <c r="D1712" t="str">
        <f>"Y32B12A.4"</f>
        <v>Y32B12A.4</v>
      </c>
      <c r="F1712" t="s">
        <v>80</v>
      </c>
      <c r="H1712" s="12">
        <v>-2.4991590031922399</v>
      </c>
      <c r="I1712" s="11">
        <v>-0.26577412737581302</v>
      </c>
      <c r="J1712" s="10">
        <v>0.79041317015736101</v>
      </c>
      <c r="K1712" s="29">
        <v>0.98289565623980701</v>
      </c>
    </row>
    <row r="1713" spans="1:11" x14ac:dyDescent="0.35">
      <c r="A1713" s="9" t="str">
        <f>HYPERLINK("http://www.ensembl.org/id/WBGene00197277", "WBGene00197277")</f>
        <v>WBGene00197277</v>
      </c>
      <c r="B1713" s="9"/>
      <c r="C1713" s="9"/>
      <c r="D1713" t="str">
        <f>"Y37E3.28"</f>
        <v>Y37E3.28</v>
      </c>
      <c r="F1713" t="s">
        <v>481</v>
      </c>
      <c r="H1713" s="12">
        <v>-2.4991590031922399</v>
      </c>
      <c r="I1713" s="11">
        <v>-0.26577412737581302</v>
      </c>
      <c r="J1713" s="10">
        <v>0.79041317015736101</v>
      </c>
      <c r="K1713" s="29">
        <v>0.98289565623980701</v>
      </c>
    </row>
    <row r="1714" spans="1:11" x14ac:dyDescent="0.35">
      <c r="A1714" s="9" t="str">
        <f>HYPERLINK("http://www.ensembl.org/id/WBGene00200606", "WBGene00200606")</f>
        <v>WBGene00200606</v>
      </c>
      <c r="B1714" s="9"/>
      <c r="C1714" s="9"/>
      <c r="D1714" t="str">
        <f>"Y37E3.29"</f>
        <v>Y37E3.29</v>
      </c>
      <c r="F1714" t="s">
        <v>481</v>
      </c>
      <c r="H1714" s="12">
        <v>-2.4991590031922399</v>
      </c>
      <c r="I1714" s="11">
        <v>-0.26577412737581302</v>
      </c>
      <c r="J1714" s="10">
        <v>0.79041317015736101</v>
      </c>
      <c r="K1714" s="29">
        <v>0.98289565623980701</v>
      </c>
    </row>
    <row r="1715" spans="1:11" x14ac:dyDescent="0.35">
      <c r="A1715" s="9" t="str">
        <f>HYPERLINK("http://www.ensembl.org/id/WBGene00271657", "WBGene00271657")</f>
        <v>WBGene00271657</v>
      </c>
      <c r="B1715" s="9" t="str">
        <f>HYPERLINK("http://www.ncbi.nlm.nih.gov/gene/32928601", "32928601")</f>
        <v>32928601</v>
      </c>
      <c r="C1715" s="9"/>
      <c r="D1715" t="str">
        <f>"Y38E10A.33"</f>
        <v>Y38E10A.33</v>
      </c>
      <c r="F1715" t="s">
        <v>11</v>
      </c>
      <c r="H1715" s="12">
        <v>-2.4991590031922399</v>
      </c>
      <c r="I1715" s="11">
        <v>-0.26577412737581302</v>
      </c>
      <c r="J1715" s="10">
        <v>0.79041317015736101</v>
      </c>
      <c r="K1715" s="29">
        <v>0.98289565623980701</v>
      </c>
    </row>
    <row r="1716" spans="1:11" x14ac:dyDescent="0.35">
      <c r="A1716" s="9" t="str">
        <f>HYPERLINK("http://www.ensembl.org/id/WBGene00044808", "WBGene00044808")</f>
        <v>WBGene00044808</v>
      </c>
      <c r="B1716" s="9"/>
      <c r="C1716" s="9"/>
      <c r="D1716" t="str">
        <f>"Y39A1A.25"</f>
        <v>Y39A1A.25</v>
      </c>
      <c r="F1716" t="s">
        <v>80</v>
      </c>
      <c r="H1716" s="12">
        <v>-2.4991590031922399</v>
      </c>
      <c r="I1716" s="11">
        <v>-0.26577412737581302</v>
      </c>
      <c r="J1716" s="10">
        <v>0.79041317015736101</v>
      </c>
      <c r="K1716" s="29">
        <v>0.98289565623980701</v>
      </c>
    </row>
    <row r="1717" spans="1:11" x14ac:dyDescent="0.35">
      <c r="A1717" s="9" t="str">
        <f>HYPERLINK("http://www.ensembl.org/id/WBGene00198812", "WBGene00198812")</f>
        <v>WBGene00198812</v>
      </c>
      <c r="B1717" s="9"/>
      <c r="C1717" s="9"/>
      <c r="D1717" t="str">
        <f>"Y43D4A.162"</f>
        <v>Y43D4A.162</v>
      </c>
      <c r="F1717" t="s">
        <v>481</v>
      </c>
      <c r="H1717" s="12">
        <v>-2.4991590031922399</v>
      </c>
      <c r="I1717" s="11">
        <v>-0.26577412737581302</v>
      </c>
      <c r="J1717" s="10">
        <v>0.79041317015736101</v>
      </c>
      <c r="K1717" s="29">
        <v>0.98289565623980701</v>
      </c>
    </row>
    <row r="1718" spans="1:11" x14ac:dyDescent="0.35">
      <c r="A1718" s="9" t="str">
        <f>HYPERLINK("http://www.ensembl.org/id/WBGene00196319", "WBGene00196319")</f>
        <v>WBGene00196319</v>
      </c>
      <c r="B1718" s="9"/>
      <c r="C1718" s="9"/>
      <c r="D1718" t="str">
        <f>"Y45G5AM.10"</f>
        <v>Y45G5AM.10</v>
      </c>
      <c r="F1718" t="s">
        <v>481</v>
      </c>
      <c r="H1718" s="12">
        <v>-2.4991590031922399</v>
      </c>
      <c r="I1718" s="11">
        <v>-0.26577412737581302</v>
      </c>
      <c r="J1718" s="10">
        <v>0.79041317015736101</v>
      </c>
      <c r="K1718" s="29">
        <v>0.98289565623980701</v>
      </c>
    </row>
    <row r="1719" spans="1:11" x14ac:dyDescent="0.35">
      <c r="A1719" s="9" t="str">
        <f>HYPERLINK("http://www.ensembl.org/id/WBGene00195908", "WBGene00195908")</f>
        <v>WBGene00195908</v>
      </c>
      <c r="B1719" s="9"/>
      <c r="C1719" s="9"/>
      <c r="D1719" t="str">
        <f>"Y46E12BL.5"</f>
        <v>Y46E12BL.5</v>
      </c>
      <c r="F1719" t="s">
        <v>481</v>
      </c>
      <c r="H1719" s="12">
        <v>-2.4991590031922399</v>
      </c>
      <c r="I1719" s="11">
        <v>-0.26577412737581302</v>
      </c>
      <c r="J1719" s="10">
        <v>0.79041317015736101</v>
      </c>
      <c r="K1719" s="29">
        <v>0.98289565623980701</v>
      </c>
    </row>
    <row r="1720" spans="1:11" x14ac:dyDescent="0.35">
      <c r="A1720" s="9" t="str">
        <f>HYPERLINK("http://www.ensembl.org/id/WBGene00189967", "WBGene00189967")</f>
        <v>WBGene00189967</v>
      </c>
      <c r="B1720" s="9"/>
      <c r="C1720" s="9"/>
      <c r="D1720" t="str">
        <f>"Y46G5A.t1"</f>
        <v>Y46G5A.t1</v>
      </c>
      <c r="F1720" t="s">
        <v>4208</v>
      </c>
      <c r="H1720" s="12">
        <v>-2.4991590031922399</v>
      </c>
      <c r="I1720" s="11">
        <v>-0.26577412737581302</v>
      </c>
      <c r="J1720" s="10">
        <v>0.79041317015736101</v>
      </c>
      <c r="K1720" s="29">
        <v>0.98289565623980701</v>
      </c>
    </row>
    <row r="1721" spans="1:11" x14ac:dyDescent="0.35">
      <c r="A1721" s="9" t="str">
        <f>HYPERLINK("http://www.ensembl.org/id/WBGene00202389", "WBGene00202389")</f>
        <v>WBGene00202389</v>
      </c>
      <c r="B1721" s="9"/>
      <c r="C1721" s="9"/>
      <c r="D1721" t="str">
        <f>"Y47D3B.24"</f>
        <v>Y47D3B.24</v>
      </c>
      <c r="F1721" t="s">
        <v>481</v>
      </c>
      <c r="H1721" s="12">
        <v>-2.4991590031922399</v>
      </c>
      <c r="I1721" s="11">
        <v>-0.26577412737581302</v>
      </c>
      <c r="J1721" s="10">
        <v>0.79041317015736101</v>
      </c>
      <c r="K1721" s="29">
        <v>0.98289565623980701</v>
      </c>
    </row>
    <row r="1722" spans="1:11" x14ac:dyDescent="0.35">
      <c r="A1722" s="9" t="str">
        <f>HYPERLINK("http://www.ensembl.org/id/WBGene00199292", "WBGene00199292")</f>
        <v>WBGene00199292</v>
      </c>
      <c r="B1722" s="9"/>
      <c r="C1722" s="9"/>
      <c r="D1722" t="str">
        <f>"Y48A6B.17"</f>
        <v>Y48A6B.17</v>
      </c>
      <c r="F1722" t="s">
        <v>481</v>
      </c>
      <c r="H1722" s="12">
        <v>-2.4991590031922399</v>
      </c>
      <c r="I1722" s="11">
        <v>-0.26577412737581302</v>
      </c>
      <c r="J1722" s="10">
        <v>0.79041317015736101</v>
      </c>
      <c r="K1722" s="29">
        <v>0.98289565623980701</v>
      </c>
    </row>
    <row r="1723" spans="1:11" x14ac:dyDescent="0.35">
      <c r="A1723" s="9" t="str">
        <f>HYPERLINK("http://www.ensembl.org/id/WBGene00200061", "WBGene00200061")</f>
        <v>WBGene00200061</v>
      </c>
      <c r="B1723" s="9"/>
      <c r="C1723" s="9"/>
      <c r="D1723" t="str">
        <f>"Y48B6A.21"</f>
        <v>Y48B6A.21</v>
      </c>
      <c r="F1723" t="s">
        <v>481</v>
      </c>
      <c r="H1723" s="12">
        <v>-2.4991590031922399</v>
      </c>
      <c r="I1723" s="11">
        <v>-0.26577412737581302</v>
      </c>
      <c r="J1723" s="10">
        <v>0.79041317015736101</v>
      </c>
      <c r="K1723" s="29">
        <v>0.98289565623980701</v>
      </c>
    </row>
    <row r="1724" spans="1:11" x14ac:dyDescent="0.35">
      <c r="A1724" s="9" t="str">
        <f>HYPERLINK("http://www.ensembl.org/id/WBGene00196000", "WBGene00196000")</f>
        <v>WBGene00196000</v>
      </c>
      <c r="B1724" s="9"/>
      <c r="C1724" s="9"/>
      <c r="D1724" t="str">
        <f>"Y50D7A.14"</f>
        <v>Y50D7A.14</v>
      </c>
      <c r="F1724" t="s">
        <v>481</v>
      </c>
      <c r="H1724" s="12">
        <v>-2.4991590031922399</v>
      </c>
      <c r="I1724" s="11">
        <v>-0.26577412737581302</v>
      </c>
      <c r="J1724" s="10">
        <v>0.79041317015736101</v>
      </c>
      <c r="K1724" s="29">
        <v>0.98289565623980701</v>
      </c>
    </row>
    <row r="1725" spans="1:11" x14ac:dyDescent="0.35">
      <c r="A1725" s="9" t="str">
        <f>HYPERLINK("http://www.ensembl.org/id/WBGene00050964", "WBGene00050964")</f>
        <v>WBGene00050964</v>
      </c>
      <c r="B1725" s="9"/>
      <c r="C1725" s="9"/>
      <c r="D1725" t="str">
        <f>"Y50E8A.18"</f>
        <v>Y50E8A.18</v>
      </c>
      <c r="F1725" t="s">
        <v>80</v>
      </c>
      <c r="H1725" s="12">
        <v>-2.4991590031922399</v>
      </c>
      <c r="I1725" s="11">
        <v>-0.26577412737581302</v>
      </c>
      <c r="J1725" s="10">
        <v>0.79041317015736101</v>
      </c>
      <c r="K1725" s="29">
        <v>0.98289565623980701</v>
      </c>
    </row>
    <row r="1726" spans="1:11" x14ac:dyDescent="0.35">
      <c r="A1726" s="9" t="str">
        <f>HYPERLINK("http://www.ensembl.org/id/WBGene00197339", "WBGene00197339")</f>
        <v>WBGene00197339</v>
      </c>
      <c r="B1726" s="9"/>
      <c r="C1726" s="9"/>
      <c r="D1726" t="str">
        <f>"Y51A2D.28"</f>
        <v>Y51A2D.28</v>
      </c>
      <c r="F1726" t="s">
        <v>481</v>
      </c>
      <c r="H1726" s="12">
        <v>-2.4991590031922399</v>
      </c>
      <c r="I1726" s="11">
        <v>-0.26577412737581302</v>
      </c>
      <c r="J1726" s="10">
        <v>0.79041317015736101</v>
      </c>
      <c r="K1726" s="29">
        <v>0.98289565623980701</v>
      </c>
    </row>
    <row r="1727" spans="1:11" x14ac:dyDescent="0.35">
      <c r="A1727" s="9" t="str">
        <f>HYPERLINK("http://www.ensembl.org/id/WBGene00013117", "WBGene00013117")</f>
        <v>WBGene00013117</v>
      </c>
      <c r="B1727" s="9" t="str">
        <f>HYPERLINK("http://www.ncbi.nlm.nih.gov/gene/190158", "190158")</f>
        <v>190158</v>
      </c>
      <c r="C1727" s="9"/>
      <c r="D1727" t="str">
        <f>"Y51H4A.23"</f>
        <v>Y51H4A.23</v>
      </c>
      <c r="F1727" t="s">
        <v>11</v>
      </c>
      <c r="H1727" s="12">
        <v>-2.4991590031922399</v>
      </c>
      <c r="I1727" s="11">
        <v>-0.26577412737581302</v>
      </c>
      <c r="J1727" s="10">
        <v>0.79041317015736101</v>
      </c>
      <c r="K1727" s="29">
        <v>0.98289565623980701</v>
      </c>
    </row>
    <row r="1728" spans="1:11" x14ac:dyDescent="0.35">
      <c r="A1728" s="9" t="str">
        <f>HYPERLINK("http://www.ensembl.org/id/WBGene00013130", "WBGene00013130")</f>
        <v>WBGene00013130</v>
      </c>
      <c r="B1728" s="9" t="str">
        <f>HYPERLINK("http://www.ncbi.nlm.nih.gov/gene/173008", "173008")</f>
        <v>173008</v>
      </c>
      <c r="C1728" s="9"/>
      <c r="D1728" t="str">
        <f>"Y52B11B.1"</f>
        <v>Y52B11B.1</v>
      </c>
      <c r="F1728" t="s">
        <v>11</v>
      </c>
      <c r="H1728" s="12">
        <v>-2.4991590031922399</v>
      </c>
      <c r="I1728" s="11">
        <v>-0.26577412737581302</v>
      </c>
      <c r="J1728" s="10">
        <v>0.79041317015736101</v>
      </c>
      <c r="K1728" s="29">
        <v>0.98289565623980701</v>
      </c>
    </row>
    <row r="1729" spans="1:11" x14ac:dyDescent="0.35">
      <c r="A1729" s="9" t="str">
        <f>HYPERLINK("http://www.ensembl.org/id/WBGene00023181", "WBGene00023181")</f>
        <v>WBGene00023181</v>
      </c>
      <c r="B1729" s="9"/>
      <c r="C1729" s="9"/>
      <c r="D1729" t="str">
        <f>"Y54G2A.t4"</f>
        <v>Y54G2A.t4</v>
      </c>
      <c r="F1729" t="s">
        <v>4208</v>
      </c>
      <c r="H1729" s="12">
        <v>-2.4991590031922399</v>
      </c>
      <c r="I1729" s="11">
        <v>-0.26577412737581302</v>
      </c>
      <c r="J1729" s="10">
        <v>0.79041317015736101</v>
      </c>
      <c r="K1729" s="29">
        <v>0.98289565623980701</v>
      </c>
    </row>
    <row r="1730" spans="1:11" x14ac:dyDescent="0.35">
      <c r="A1730" s="9" t="str">
        <f>HYPERLINK("http://www.ensembl.org/id/WBGene00013313", "WBGene00013313")</f>
        <v>WBGene00013313</v>
      </c>
      <c r="B1730" s="9"/>
      <c r="C1730" s="9"/>
      <c r="D1730" t="str">
        <f>"Y57G11C.18"</f>
        <v>Y57G11C.18</v>
      </c>
      <c r="F1730" t="s">
        <v>80</v>
      </c>
      <c r="H1730" s="12">
        <v>-2.4991590031922399</v>
      </c>
      <c r="I1730" s="11">
        <v>-0.26577412737581302</v>
      </c>
      <c r="J1730" s="10">
        <v>0.79041317015736101</v>
      </c>
      <c r="K1730" s="29">
        <v>0.98289565623980701</v>
      </c>
    </row>
    <row r="1731" spans="1:11" x14ac:dyDescent="0.35">
      <c r="A1731" s="9" t="str">
        <f>HYPERLINK("http://www.ensembl.org/id/WBGene00014923", "WBGene00014923")</f>
        <v>WBGene00014923</v>
      </c>
      <c r="B1731" s="9"/>
      <c r="C1731" s="9"/>
      <c r="D1731" t="str">
        <f>"Y57G11C.26"</f>
        <v>Y57G11C.26</v>
      </c>
      <c r="F1731" t="s">
        <v>80</v>
      </c>
      <c r="H1731" s="12">
        <v>-2.4991590031922399</v>
      </c>
      <c r="I1731" s="11">
        <v>-0.26577412737581302</v>
      </c>
      <c r="J1731" s="10">
        <v>0.79041317015736101</v>
      </c>
      <c r="K1731" s="29">
        <v>0.98289565623980701</v>
      </c>
    </row>
    <row r="1732" spans="1:11" x14ac:dyDescent="0.35">
      <c r="A1732" s="9" t="str">
        <f>HYPERLINK("http://www.ensembl.org/id/WBGene00022011", "WBGene00022011")</f>
        <v>WBGene00022011</v>
      </c>
      <c r="B1732" s="9" t="str">
        <f>HYPERLINK("http://www.ncbi.nlm.nih.gov/gene/190428", "190428")</f>
        <v>190428</v>
      </c>
      <c r="C1732" s="9"/>
      <c r="D1732" t="str">
        <f>"Y59H11AR.3"</f>
        <v>Y59H11AR.3</v>
      </c>
      <c r="F1732" t="s">
        <v>11</v>
      </c>
      <c r="H1732" s="12">
        <v>-2.4991590031922399</v>
      </c>
      <c r="I1732" s="11">
        <v>-0.26577412737581302</v>
      </c>
      <c r="J1732" s="10">
        <v>0.79041317015736101</v>
      </c>
      <c r="K1732" s="29">
        <v>0.98289565623980701</v>
      </c>
    </row>
    <row r="1733" spans="1:11" x14ac:dyDescent="0.35">
      <c r="A1733" s="9" t="str">
        <f>HYPERLINK("http://www.ensembl.org/id/WBGene00013411", "WBGene00013411")</f>
        <v>WBGene00013411</v>
      </c>
      <c r="B1733" s="9" t="str">
        <f>HYPERLINK("http://www.ncbi.nlm.nih.gov/gene/190473", "190473")</f>
        <v>190473</v>
      </c>
      <c r="C1733" s="9"/>
      <c r="D1733" t="str">
        <f>"Y64G10A.1"</f>
        <v>Y64G10A.1</v>
      </c>
      <c r="F1733" t="s">
        <v>11</v>
      </c>
      <c r="H1733" s="12">
        <v>-2.4991590031922399</v>
      </c>
      <c r="I1733" s="11">
        <v>-0.26577412737581302</v>
      </c>
      <c r="J1733" s="10">
        <v>0.79041317015736101</v>
      </c>
      <c r="K1733" s="29">
        <v>0.98289565623980701</v>
      </c>
    </row>
    <row r="1734" spans="1:11" x14ac:dyDescent="0.35">
      <c r="A1734" s="9" t="str">
        <f>HYPERLINK("http://www.ensembl.org/id/WBGene00014599", "WBGene00014599")</f>
        <v>WBGene00014599</v>
      </c>
      <c r="B1734" s="9"/>
      <c r="C1734" s="9"/>
      <c r="D1734" t="str">
        <f>"Y65A5A.t4"</f>
        <v>Y65A5A.t4</v>
      </c>
      <c r="F1734" t="s">
        <v>4208</v>
      </c>
      <c r="H1734" s="12">
        <v>-2.4991590031922399</v>
      </c>
      <c r="I1734" s="11">
        <v>-0.26577412737581302</v>
      </c>
      <c r="J1734" s="10">
        <v>0.79041317015736101</v>
      </c>
      <c r="K1734" s="29">
        <v>0.98289565623980701</v>
      </c>
    </row>
    <row r="1735" spans="1:11" x14ac:dyDescent="0.35">
      <c r="A1735" s="9" t="str">
        <f>HYPERLINK("http://www.ensembl.org/id/WBGene00044157", "WBGene00044157")</f>
        <v>WBGene00044157</v>
      </c>
      <c r="B1735" s="9" t="str">
        <f>HYPERLINK("http://www.ncbi.nlm.nih.gov/gene/3565649", "3565649")</f>
        <v>3565649</v>
      </c>
      <c r="C1735" s="9"/>
      <c r="D1735" t="str">
        <f>"Y66C5A.2"</f>
        <v>Y66C5A.2</v>
      </c>
      <c r="F1735" t="s">
        <v>11</v>
      </c>
      <c r="H1735" s="12">
        <v>-2.4991590031922399</v>
      </c>
      <c r="I1735" s="11">
        <v>-0.26577412737581302</v>
      </c>
      <c r="J1735" s="10">
        <v>0.79041317015736101</v>
      </c>
      <c r="K1735" s="29">
        <v>0.98289565623980701</v>
      </c>
    </row>
    <row r="1736" spans="1:11" x14ac:dyDescent="0.35">
      <c r="A1736" s="9" t="str">
        <f>HYPERLINK("http://www.ensembl.org/id/WBGene00200707", "WBGene00200707")</f>
        <v>WBGene00200707</v>
      </c>
      <c r="B1736" s="9"/>
      <c r="C1736" s="9"/>
      <c r="D1736" t="str">
        <f>"Y71G12B.37"</f>
        <v>Y71G12B.37</v>
      </c>
      <c r="F1736" t="s">
        <v>481</v>
      </c>
      <c r="H1736" s="12">
        <v>-2.4991590031922399</v>
      </c>
      <c r="I1736" s="11">
        <v>-0.26577412737581302</v>
      </c>
      <c r="J1736" s="10">
        <v>0.79041317015736101</v>
      </c>
      <c r="K1736" s="29">
        <v>0.98289565623980701</v>
      </c>
    </row>
    <row r="1737" spans="1:11" x14ac:dyDescent="0.35">
      <c r="A1737" s="9" t="str">
        <f>HYPERLINK("http://www.ensembl.org/id/WBGene00199287", "WBGene00199287")</f>
        <v>WBGene00199287</v>
      </c>
      <c r="B1737" s="9"/>
      <c r="C1737" s="9"/>
      <c r="D1737" t="str">
        <f>"Y73B6BL.279"</f>
        <v>Y73B6BL.279</v>
      </c>
      <c r="F1737" t="s">
        <v>481</v>
      </c>
      <c r="H1737" s="12">
        <v>-2.4991590031922399</v>
      </c>
      <c r="I1737" s="11">
        <v>-0.26577412737581302</v>
      </c>
      <c r="J1737" s="10">
        <v>0.79041317015736101</v>
      </c>
      <c r="K1737" s="29">
        <v>0.98289565623980701</v>
      </c>
    </row>
    <row r="1738" spans="1:11" x14ac:dyDescent="0.35">
      <c r="A1738" s="9" t="str">
        <f>HYPERLINK("http://www.ensembl.org/id/WBGene00021187", "WBGene00021187")</f>
        <v>WBGene00021187</v>
      </c>
      <c r="B1738" s="9"/>
      <c r="C1738" s="9"/>
      <c r="D1738" t="str">
        <f>"Y9D1A.2"</f>
        <v>Y9D1A.2</v>
      </c>
      <c r="F1738" t="s">
        <v>80</v>
      </c>
      <c r="H1738" s="12">
        <v>-2.4991590031922399</v>
      </c>
      <c r="I1738" s="11">
        <v>-0.26577412737581302</v>
      </c>
      <c r="J1738" s="10">
        <v>0.79041317015736101</v>
      </c>
      <c r="K1738" s="29">
        <v>0.98289565623980701</v>
      </c>
    </row>
    <row r="1739" spans="1:11" x14ac:dyDescent="0.35">
      <c r="A1739" s="9" t="str">
        <f>HYPERLINK("http://www.ensembl.org/id/WBGene00201747", "WBGene00201747")</f>
        <v>WBGene00201747</v>
      </c>
      <c r="B1739" s="9"/>
      <c r="C1739" s="9"/>
      <c r="D1739" t="str">
        <f>"ZC477.20"</f>
        <v>ZC477.20</v>
      </c>
      <c r="F1739" t="s">
        <v>481</v>
      </c>
      <c r="H1739" s="12">
        <v>-2.4991590031922399</v>
      </c>
      <c r="I1739" s="11">
        <v>-0.26577412737581302</v>
      </c>
      <c r="J1739" s="10">
        <v>0.79041317015736101</v>
      </c>
      <c r="K1739" s="29">
        <v>0.98289565623980701</v>
      </c>
    </row>
    <row r="1740" spans="1:11" x14ac:dyDescent="0.35">
      <c r="A1740" s="9" t="str">
        <f>HYPERLINK("http://www.ensembl.org/id/WBGene00196925", "WBGene00196925")</f>
        <v>WBGene00196925</v>
      </c>
      <c r="B1740" s="9"/>
      <c r="C1740" s="9"/>
      <c r="D1740" t="str">
        <f>"ZC504.8"</f>
        <v>ZC504.8</v>
      </c>
      <c r="F1740" t="s">
        <v>481</v>
      </c>
      <c r="H1740" s="12">
        <v>-2.4991590031922399</v>
      </c>
      <c r="I1740" s="11">
        <v>-0.26577412737581302</v>
      </c>
      <c r="J1740" s="10">
        <v>0.79041317015736101</v>
      </c>
      <c r="K1740" s="29">
        <v>0.98289565623980701</v>
      </c>
    </row>
    <row r="1741" spans="1:11" x14ac:dyDescent="0.35">
      <c r="A1741" s="9" t="str">
        <f>HYPERLINK("http://www.ensembl.org/id/WBGene00198488", "WBGene00198488")</f>
        <v>WBGene00198488</v>
      </c>
      <c r="B1741" s="9"/>
      <c r="C1741" s="9"/>
      <c r="D1741" t="str">
        <f>"ZC513.17"</f>
        <v>ZC513.17</v>
      </c>
      <c r="F1741" t="s">
        <v>481</v>
      </c>
      <c r="H1741" s="12">
        <v>-2.4991590031922399</v>
      </c>
      <c r="I1741" s="11">
        <v>-0.26577412737581302</v>
      </c>
      <c r="J1741" s="10">
        <v>0.79041317015736101</v>
      </c>
      <c r="K1741" s="29">
        <v>0.98289565623980701</v>
      </c>
    </row>
    <row r="1742" spans="1:11" x14ac:dyDescent="0.35">
      <c r="A1742" s="9" t="str">
        <f>HYPERLINK("http://www.ensembl.org/id/WBGene00271707", "WBGene00271707")</f>
        <v>WBGene00271707</v>
      </c>
      <c r="B1742" s="9" t="str">
        <f>HYPERLINK("http://www.ncbi.nlm.nih.gov/gene/32928606", "32928606")</f>
        <v>32928606</v>
      </c>
      <c r="C1742" s="9"/>
      <c r="D1742" t="str">
        <f>"ZK105.14"</f>
        <v>ZK105.14</v>
      </c>
      <c r="F1742" t="s">
        <v>11</v>
      </c>
      <c r="H1742" s="12">
        <v>-2.4991590031922399</v>
      </c>
      <c r="I1742" s="11">
        <v>-0.26577412737581302</v>
      </c>
      <c r="J1742" s="10">
        <v>0.79041317015736101</v>
      </c>
      <c r="K1742" s="29">
        <v>0.98289565623980701</v>
      </c>
    </row>
    <row r="1743" spans="1:11" x14ac:dyDescent="0.35">
      <c r="A1743" s="9" t="str">
        <f>HYPERLINK("http://www.ensembl.org/id/WBGene00195302", "WBGene00195302")</f>
        <v>WBGene00195302</v>
      </c>
      <c r="B1743" s="9"/>
      <c r="C1743" s="9"/>
      <c r="D1743" t="str">
        <f>"ZK1131.2"</f>
        <v>ZK1131.2</v>
      </c>
      <c r="F1743" t="s">
        <v>481</v>
      </c>
      <c r="H1743" s="12">
        <v>-2.4991590031922399</v>
      </c>
      <c r="I1743" s="11">
        <v>-0.26577412737581302</v>
      </c>
      <c r="J1743" s="10">
        <v>0.79041317015736101</v>
      </c>
      <c r="K1743" s="29">
        <v>0.98289565623980701</v>
      </c>
    </row>
    <row r="1744" spans="1:11" x14ac:dyDescent="0.35">
      <c r="A1744" s="9" t="str">
        <f>HYPERLINK("http://www.ensembl.org/id/WBGene00198244", "WBGene00198244")</f>
        <v>WBGene00198244</v>
      </c>
      <c r="B1744" s="9"/>
      <c r="C1744" s="9"/>
      <c r="D1744" t="str">
        <f>"ZK1193.8"</f>
        <v>ZK1193.8</v>
      </c>
      <c r="F1744" t="s">
        <v>481</v>
      </c>
      <c r="H1744" s="12">
        <v>-2.4991590031922399</v>
      </c>
      <c r="I1744" s="11">
        <v>-0.26577412737581302</v>
      </c>
      <c r="J1744" s="10">
        <v>0.79041317015736101</v>
      </c>
      <c r="K1744" s="29">
        <v>0.98289565623980701</v>
      </c>
    </row>
    <row r="1745" spans="1:11" x14ac:dyDescent="0.35">
      <c r="A1745" s="9" t="str">
        <f>HYPERLINK("http://www.ensembl.org/id/WBGene00023211", "WBGene00023211")</f>
        <v>WBGene00023211</v>
      </c>
      <c r="B1745" s="9"/>
      <c r="C1745" s="9"/>
      <c r="D1745" t="str">
        <f>"ZK154.t2"</f>
        <v>ZK154.t2</v>
      </c>
      <c r="F1745" t="s">
        <v>4208</v>
      </c>
      <c r="H1745" s="12">
        <v>-2.4991590031922399</v>
      </c>
      <c r="I1745" s="11">
        <v>-0.26577412737581302</v>
      </c>
      <c r="J1745" s="10">
        <v>0.79041317015736101</v>
      </c>
      <c r="K1745" s="29">
        <v>0.98289565623980701</v>
      </c>
    </row>
    <row r="1746" spans="1:11" x14ac:dyDescent="0.35">
      <c r="A1746" s="9" t="str">
        <f>HYPERLINK("http://www.ensembl.org/id/WBGene00198815", "WBGene00198815")</f>
        <v>WBGene00198815</v>
      </c>
      <c r="B1746" s="9"/>
      <c r="C1746" s="9"/>
      <c r="D1746" t="str">
        <f>"ZK180.12"</f>
        <v>ZK180.12</v>
      </c>
      <c r="F1746" t="s">
        <v>481</v>
      </c>
      <c r="H1746" s="12">
        <v>-2.4991590031922399</v>
      </c>
      <c r="I1746" s="11">
        <v>-0.26577412737581302</v>
      </c>
      <c r="J1746" s="10">
        <v>0.79041317015736101</v>
      </c>
      <c r="K1746" s="29">
        <v>0.98289565623980701</v>
      </c>
    </row>
    <row r="1747" spans="1:11" x14ac:dyDescent="0.35">
      <c r="A1747" s="9" t="str">
        <f>HYPERLINK("http://www.ensembl.org/id/WBGene00195727", "WBGene00195727")</f>
        <v>WBGene00195727</v>
      </c>
      <c r="B1747" s="9"/>
      <c r="C1747" s="9"/>
      <c r="D1747" t="str">
        <f>"ZK377.4"</f>
        <v>ZK377.4</v>
      </c>
      <c r="F1747" t="s">
        <v>481</v>
      </c>
      <c r="H1747" s="12">
        <v>-2.4991590031922399</v>
      </c>
      <c r="I1747" s="11">
        <v>-0.26577412737581302</v>
      </c>
      <c r="J1747" s="10">
        <v>0.79041317015736101</v>
      </c>
      <c r="K1747" s="29">
        <v>0.98289565623980701</v>
      </c>
    </row>
    <row r="1748" spans="1:11" x14ac:dyDescent="0.35">
      <c r="A1748" s="9" t="str">
        <f>HYPERLINK("http://www.ensembl.org/id/WBGene00022723", "WBGene00022723")</f>
        <v>WBGene00022723</v>
      </c>
      <c r="B1748" s="9" t="str">
        <f>HYPERLINK("http://www.ncbi.nlm.nih.gov/gene/191304", "191304")</f>
        <v>191304</v>
      </c>
      <c r="C1748" s="9"/>
      <c r="D1748" t="str">
        <f>"ZK380.2"</f>
        <v>ZK380.2</v>
      </c>
      <c r="F1748" t="s">
        <v>11</v>
      </c>
      <c r="H1748" s="12">
        <v>-2.4991590031922399</v>
      </c>
      <c r="I1748" s="11">
        <v>-0.26577412737581302</v>
      </c>
      <c r="J1748" s="10">
        <v>0.79041317015736101</v>
      </c>
      <c r="K1748" s="29">
        <v>0.98289565623980701</v>
      </c>
    </row>
    <row r="1749" spans="1:11" x14ac:dyDescent="0.35">
      <c r="A1749" s="9" t="str">
        <f>HYPERLINK("http://www.ensembl.org/id/WBGene00200857", "WBGene00200857")</f>
        <v>WBGene00200857</v>
      </c>
      <c r="B1749" s="9"/>
      <c r="C1749" s="9"/>
      <c r="D1749" t="str">
        <f>"ZK470.12"</f>
        <v>ZK470.12</v>
      </c>
      <c r="F1749" t="s">
        <v>481</v>
      </c>
      <c r="H1749" s="12">
        <v>-2.4991590031922399</v>
      </c>
      <c r="I1749" s="11">
        <v>-0.26577412737581302</v>
      </c>
      <c r="J1749" s="10">
        <v>0.79041317015736101</v>
      </c>
      <c r="K1749" s="29">
        <v>0.98289565623980701</v>
      </c>
    </row>
    <row r="1750" spans="1:11" x14ac:dyDescent="0.35">
      <c r="A1750" s="9" t="str">
        <f>HYPERLINK("http://www.ensembl.org/id/WBGene00022746", "WBGene00022746")</f>
        <v>WBGene00022746</v>
      </c>
      <c r="B1750" s="9" t="str">
        <f>HYPERLINK("http://www.ncbi.nlm.nih.gov/gene/191325", "191325")</f>
        <v>191325</v>
      </c>
      <c r="C1750" s="9"/>
      <c r="D1750" t="str">
        <f>"ZK470.4"</f>
        <v>ZK470.4</v>
      </c>
      <c r="F1750" t="s">
        <v>11</v>
      </c>
      <c r="H1750" s="12">
        <v>-2.4991590031922399</v>
      </c>
      <c r="I1750" s="11">
        <v>-0.26577412737581302</v>
      </c>
      <c r="J1750" s="10">
        <v>0.79041317015736101</v>
      </c>
      <c r="K1750" s="29">
        <v>0.98289565623980701</v>
      </c>
    </row>
    <row r="1751" spans="1:11" x14ac:dyDescent="0.35">
      <c r="A1751" s="9" t="str">
        <f>HYPERLINK("http://www.ensembl.org/id/WBGene00220244", "WBGene00220244")</f>
        <v>WBGene00220244</v>
      </c>
      <c r="B1751" s="9"/>
      <c r="C1751" s="9"/>
      <c r="D1751" t="str">
        <f>"ZK632.18"</f>
        <v>ZK632.18</v>
      </c>
      <c r="F1751" t="s">
        <v>2977</v>
      </c>
      <c r="H1751" s="12">
        <v>-2.4991590031922399</v>
      </c>
      <c r="I1751" s="11">
        <v>-0.26577412737581302</v>
      </c>
      <c r="J1751" s="10">
        <v>0.79041317015736101</v>
      </c>
      <c r="K1751" s="29">
        <v>0.98289565623980701</v>
      </c>
    </row>
    <row r="1752" spans="1:11" x14ac:dyDescent="0.35">
      <c r="A1752" s="9" t="str">
        <f>HYPERLINK("http://www.ensembl.org/id/WBGene00197675", "WBGene00197675")</f>
        <v>WBGene00197675</v>
      </c>
      <c r="B1752" s="9"/>
      <c r="C1752" s="9"/>
      <c r="D1752" t="str">
        <f>"ZK84.11"</f>
        <v>ZK84.11</v>
      </c>
      <c r="F1752" t="s">
        <v>481</v>
      </c>
      <c r="H1752" s="12">
        <v>-2.4991590031922399</v>
      </c>
      <c r="I1752" s="11">
        <v>-0.26577412737581302</v>
      </c>
      <c r="J1752" s="10">
        <v>0.79041317015736101</v>
      </c>
      <c r="K1752" s="29">
        <v>0.98289565623980701</v>
      </c>
    </row>
    <row r="1753" spans="1:11" x14ac:dyDescent="0.35">
      <c r="A1753" s="9" t="str">
        <f>HYPERLINK("http://www.ensembl.org/id/WBGene00198352", "WBGene00198352")</f>
        <v>WBGene00198352</v>
      </c>
      <c r="B1753" s="9"/>
      <c r="C1753" s="9"/>
      <c r="D1753" t="str">
        <f>"ZK867.13"</f>
        <v>ZK867.13</v>
      </c>
      <c r="F1753" t="s">
        <v>481</v>
      </c>
      <c r="H1753" s="12">
        <v>-2.4991590031922399</v>
      </c>
      <c r="I1753" s="11">
        <v>-0.26577412737581302</v>
      </c>
      <c r="J1753" s="10">
        <v>0.79041317015736101</v>
      </c>
      <c r="K1753" s="29">
        <v>0.98289565623980701</v>
      </c>
    </row>
    <row r="1754" spans="1:11" x14ac:dyDescent="0.35">
      <c r="A1754" s="9" t="str">
        <f>HYPERLINK("http://www.ensembl.org/id/WBGene00000913", "WBGene00000913")</f>
        <v>WBGene00000913</v>
      </c>
      <c r="B1754" s="9" t="str">
        <f>HYPERLINK("http://www.ncbi.nlm.nih.gov/gene/176869", "176869")</f>
        <v>176869</v>
      </c>
      <c r="C1754" s="9"/>
      <c r="D1754" t="str">
        <f>"daf-18"</f>
        <v>daf-18</v>
      </c>
      <c r="E1754" t="s">
        <v>156</v>
      </c>
      <c r="F1754" t="s">
        <v>11</v>
      </c>
      <c r="G1754" t="s">
        <v>157</v>
      </c>
      <c r="H1754" s="12">
        <v>-2.4980138799248399</v>
      </c>
      <c r="I1754" s="11">
        <v>-5.0016895043860403</v>
      </c>
      <c r="J1754" s="10">
        <v>5.6830066687622203E-7</v>
      </c>
      <c r="K1754" s="29">
        <v>1.00237826021695E-4</v>
      </c>
    </row>
    <row r="1755" spans="1:11" x14ac:dyDescent="0.35">
      <c r="A1755" s="9" t="str">
        <f>HYPERLINK("http://www.ensembl.org/id/WBGene00018602", "WBGene00018602")</f>
        <v>WBGene00018602</v>
      </c>
      <c r="B1755" s="9" t="str">
        <f>HYPERLINK("http://www.ncbi.nlm.nih.gov/gene/180697", "180697")</f>
        <v>180697</v>
      </c>
      <c r="C1755" s="9"/>
      <c r="D1755" t="str">
        <f>"F48D6.4"</f>
        <v>F48D6.4</v>
      </c>
      <c r="F1755" t="s">
        <v>11</v>
      </c>
      <c r="H1755" s="12">
        <v>-2.4972537496038698</v>
      </c>
      <c r="I1755" s="11">
        <v>-4.05375539016182</v>
      </c>
      <c r="J1755" s="10">
        <v>5.0401918770051197E-5</v>
      </c>
      <c r="K1755" s="29">
        <v>3.84386120058843E-3</v>
      </c>
    </row>
    <row r="1756" spans="1:11" x14ac:dyDescent="0.35">
      <c r="A1756" s="9" t="str">
        <f>HYPERLINK("http://www.ensembl.org/id/WBGene00016486", "WBGene00016486")</f>
        <v>WBGene00016486</v>
      </c>
      <c r="B1756" s="9" t="str">
        <f>HYPERLINK("http://www.ncbi.nlm.nih.gov/gene/183273", "183273")</f>
        <v>183273</v>
      </c>
      <c r="C1756" s="9"/>
      <c r="D1756" t="str">
        <f>"fbxa-170"</f>
        <v>fbxa-170</v>
      </c>
      <c r="E1756" t="s">
        <v>467</v>
      </c>
      <c r="F1756" t="s">
        <v>11</v>
      </c>
      <c r="G1756" t="s">
        <v>54</v>
      </c>
      <c r="H1756" s="12">
        <v>-2.4972471690970699</v>
      </c>
      <c r="I1756" s="11">
        <v>-3.1739549839112602</v>
      </c>
      <c r="J1756" s="10">
        <v>1.50377011262611E-3</v>
      </c>
      <c r="K1756" s="29">
        <v>5.2977269150738998E-2</v>
      </c>
    </row>
    <row r="1757" spans="1:11" x14ac:dyDescent="0.35">
      <c r="A1757" s="9" t="str">
        <f>HYPERLINK("http://www.ensembl.org/id/WBGene00219626", "WBGene00219626")</f>
        <v>WBGene00219626</v>
      </c>
      <c r="B1757" s="9"/>
      <c r="C1757" s="9"/>
      <c r="D1757" t="str">
        <f>"linc-157"</f>
        <v>linc-157</v>
      </c>
      <c r="F1757" t="s">
        <v>1510</v>
      </c>
      <c r="H1757" s="12">
        <v>-2.49655962055553</v>
      </c>
      <c r="I1757" s="11">
        <v>-0.66801738347273398</v>
      </c>
      <c r="J1757" s="10">
        <v>0.50412249620163196</v>
      </c>
      <c r="K1757" s="29">
        <v>0.98289565623980701</v>
      </c>
    </row>
    <row r="1758" spans="1:11" x14ac:dyDescent="0.35">
      <c r="A1758" s="9" t="str">
        <f>HYPERLINK("http://www.ensembl.org/id/WBGene00219729", "WBGene00219729")</f>
        <v>WBGene00219729</v>
      </c>
      <c r="B1758" s="9"/>
      <c r="C1758" s="9"/>
      <c r="D1758" t="str">
        <f>"anr-44"</f>
        <v>anr-44</v>
      </c>
      <c r="F1758" t="s">
        <v>2735</v>
      </c>
      <c r="H1758" s="12">
        <v>-2.4962595249044202</v>
      </c>
      <c r="I1758" s="11">
        <v>-0.72057937523261095</v>
      </c>
      <c r="J1758" s="10">
        <v>0.47116834718030598</v>
      </c>
      <c r="K1758" s="29">
        <v>0.98289565623980701</v>
      </c>
    </row>
    <row r="1759" spans="1:11" x14ac:dyDescent="0.35">
      <c r="A1759" s="9" t="str">
        <f>HYPERLINK("http://www.ensembl.org/id/WBGene00011508", "WBGene00011508")</f>
        <v>WBGene00011508</v>
      </c>
      <c r="B1759" s="9" t="str">
        <f>HYPERLINK("http://www.ncbi.nlm.nih.gov/gene/174292", "174292")</f>
        <v>174292</v>
      </c>
      <c r="C1759" s="9"/>
      <c r="D1759" t="str">
        <f>"T05H10.3"</f>
        <v>T05H10.3</v>
      </c>
      <c r="F1759" t="s">
        <v>11</v>
      </c>
      <c r="H1759" s="12">
        <v>-2.4960840716868198</v>
      </c>
      <c r="I1759" s="11">
        <v>-1.8990265452556001</v>
      </c>
      <c r="J1759" s="10">
        <v>5.75609858761695E-2</v>
      </c>
      <c r="K1759" s="29">
        <v>0.56619276849770495</v>
      </c>
    </row>
    <row r="1760" spans="1:11" x14ac:dyDescent="0.35">
      <c r="A1760" s="9" t="str">
        <f>HYPERLINK("http://www.ensembl.org/id/WBGene00011486", "WBGene00011486")</f>
        <v>WBGene00011486</v>
      </c>
      <c r="B1760" s="9" t="str">
        <f>HYPERLINK("http://www.ncbi.nlm.nih.gov/gene/180135", "180135")</f>
        <v>180135</v>
      </c>
      <c r="C1760" s="9"/>
      <c r="D1760" t="str">
        <f>"T05E12.3"</f>
        <v>T05E12.3</v>
      </c>
      <c r="F1760" t="s">
        <v>11</v>
      </c>
      <c r="G1760" t="s">
        <v>817</v>
      </c>
      <c r="H1760" s="12">
        <v>-2.4953312578562601</v>
      </c>
      <c r="I1760" s="11">
        <v>-2.8312730201312202</v>
      </c>
      <c r="J1760" s="10">
        <v>4.6363127252741004E-3</v>
      </c>
      <c r="K1760" s="29">
        <v>0.114942748744832</v>
      </c>
    </row>
    <row r="1761" spans="1:11" x14ac:dyDescent="0.35">
      <c r="A1761" s="9" t="str">
        <f>HYPERLINK("http://www.ensembl.org/id/WBGene00044004", "WBGene00044004")</f>
        <v>WBGene00044004</v>
      </c>
      <c r="B1761" s="9" t="str">
        <f>HYPERLINK("http://www.ncbi.nlm.nih.gov/gene/4363124", "4363124")</f>
        <v>4363124</v>
      </c>
      <c r="C1761" s="9"/>
      <c r="D1761" t="str">
        <f>"C24A8.6"</f>
        <v>C24A8.6</v>
      </c>
      <c r="F1761" t="s">
        <v>11</v>
      </c>
      <c r="G1761" t="s">
        <v>4877</v>
      </c>
      <c r="H1761" s="12">
        <v>-2.4940488160199199</v>
      </c>
      <c r="I1761" s="11">
        <v>-0.44842235721639701</v>
      </c>
      <c r="J1761" s="10">
        <v>0.65384840952172396</v>
      </c>
      <c r="K1761" s="29">
        <v>0.98289565623980701</v>
      </c>
    </row>
    <row r="1762" spans="1:11" x14ac:dyDescent="0.35">
      <c r="A1762" s="9" t="str">
        <f>HYPERLINK("http://www.ensembl.org/id/WBGene00044906", "WBGene00044906")</f>
        <v>WBGene00044906</v>
      </c>
      <c r="B1762" s="9" t="str">
        <f>HYPERLINK("http://www.ncbi.nlm.nih.gov/gene/4927036", "4927036")</f>
        <v>4927036</v>
      </c>
      <c r="C1762" s="9"/>
      <c r="D1762" t="str">
        <f>"Y67A10A.11"</f>
        <v>Y67A10A.11</v>
      </c>
      <c r="F1762" t="s">
        <v>11</v>
      </c>
      <c r="H1762" s="12">
        <v>-2.4940488160199199</v>
      </c>
      <c r="I1762" s="11">
        <v>-0.44842235721639701</v>
      </c>
      <c r="J1762" s="10">
        <v>0.65384840952172396</v>
      </c>
      <c r="K1762" s="29">
        <v>0.98289565623980701</v>
      </c>
    </row>
    <row r="1763" spans="1:11" x14ac:dyDescent="0.35">
      <c r="A1763" s="9" t="str">
        <f>HYPERLINK("http://www.ensembl.org/id/WBGene00018950", "WBGene00018950")</f>
        <v>WBGene00018950</v>
      </c>
      <c r="B1763" s="9" t="str">
        <f>HYPERLINK("http://www.ncbi.nlm.nih.gov/gene/176035", "176035")</f>
        <v>176035</v>
      </c>
      <c r="C1763" s="9"/>
      <c r="D1763" t="str">
        <f>"F56C9.6"</f>
        <v>F56C9.6</v>
      </c>
      <c r="F1763" t="s">
        <v>11</v>
      </c>
      <c r="H1763" s="12">
        <v>-2.4905065096110399</v>
      </c>
      <c r="I1763" s="11">
        <v>-4.3948426090355097</v>
      </c>
      <c r="J1763" s="10">
        <v>1.1085304136145299E-5</v>
      </c>
      <c r="K1763" s="29">
        <v>1.1278889222435999E-3</v>
      </c>
    </row>
    <row r="1764" spans="1:11" x14ac:dyDescent="0.35">
      <c r="A1764" s="9" t="str">
        <f>HYPERLINK("http://www.ensembl.org/id/WBGene00008385", "WBGene00008385")</f>
        <v>WBGene00008385</v>
      </c>
      <c r="B1764" s="9" t="str">
        <f>HYPERLINK("http://www.ncbi.nlm.nih.gov/gene/172638", "172638")</f>
        <v>172638</v>
      </c>
      <c r="C1764" s="9"/>
      <c r="D1764" t="str">
        <f>"D1081.7"</f>
        <v>D1081.7</v>
      </c>
      <c r="F1764" t="s">
        <v>11</v>
      </c>
      <c r="H1764" s="12">
        <v>-2.4902700923421199</v>
      </c>
      <c r="I1764" s="11">
        <v>-4.7526851193035498</v>
      </c>
      <c r="J1764" s="10">
        <v>2.00732837795097E-6</v>
      </c>
      <c r="K1764" s="29">
        <v>2.7123584503470799E-4</v>
      </c>
    </row>
    <row r="1765" spans="1:11" x14ac:dyDescent="0.35">
      <c r="A1765" s="9" t="str">
        <f>HYPERLINK("http://www.ensembl.org/id/WBGene00022256", "WBGene00022256")</f>
        <v>WBGene00022256</v>
      </c>
      <c r="B1765" s="9" t="str">
        <f>HYPERLINK("http://www.ncbi.nlm.nih.gov/gene/260288", "260288")</f>
        <v>260288</v>
      </c>
      <c r="C1765" s="9"/>
      <c r="D1765" t="str">
        <f>"Y73B6BL.37"</f>
        <v>Y73B6BL.37</v>
      </c>
      <c r="F1765" t="s">
        <v>11</v>
      </c>
      <c r="G1765" t="s">
        <v>588</v>
      </c>
      <c r="H1765" s="12">
        <v>-2.4881931294260502</v>
      </c>
      <c r="I1765" s="11">
        <v>-1.5857558103270499</v>
      </c>
      <c r="J1765" s="10">
        <v>0.11279471343497099</v>
      </c>
      <c r="K1765" s="29">
        <v>0.76873823087168702</v>
      </c>
    </row>
    <row r="1766" spans="1:11" x14ac:dyDescent="0.35">
      <c r="A1766" s="9" t="str">
        <f>HYPERLINK("http://www.ensembl.org/id/WBGene00008154", "WBGene00008154")</f>
        <v>WBGene00008154</v>
      </c>
      <c r="B1766" s="9" t="str">
        <f>HYPERLINK("http://www.ncbi.nlm.nih.gov/gene/183557", "183557")</f>
        <v>183557</v>
      </c>
      <c r="C1766" s="9"/>
      <c r="D1766" t="str">
        <f>"C47E12.11"</f>
        <v>C47E12.11</v>
      </c>
      <c r="F1766" t="s">
        <v>11</v>
      </c>
      <c r="H1766" s="12">
        <v>-2.4871267985007699</v>
      </c>
      <c r="I1766" s="11">
        <v>-0.55761150974329499</v>
      </c>
      <c r="J1766" s="10">
        <v>0.57710969527112899</v>
      </c>
      <c r="K1766" s="29">
        <v>0.98289565623980701</v>
      </c>
    </row>
    <row r="1767" spans="1:11" x14ac:dyDescent="0.35">
      <c r="A1767" s="9" t="str">
        <f>HYPERLINK("http://www.ensembl.org/id/WBGene00014301", "WBGene00014301")</f>
        <v>WBGene00014301</v>
      </c>
      <c r="B1767" s="9"/>
      <c r="C1767" s="9"/>
      <c r="D1767" t="str">
        <f>"DY3.t2"</f>
        <v>DY3.t2</v>
      </c>
      <c r="F1767" t="s">
        <v>4208</v>
      </c>
      <c r="H1767" s="12">
        <v>-2.4858197414385601</v>
      </c>
      <c r="I1767" s="11">
        <v>-0.55014801743682495</v>
      </c>
      <c r="J1767" s="10">
        <v>0.58221785436864804</v>
      </c>
      <c r="K1767" s="29">
        <v>0.98289565623980701</v>
      </c>
    </row>
    <row r="1768" spans="1:11" x14ac:dyDescent="0.35">
      <c r="A1768" s="9" t="str">
        <f>HYPERLINK("http://www.ensembl.org/id/WBGene00016263", "WBGene00016263")</f>
        <v>WBGene00016263</v>
      </c>
      <c r="B1768" s="9" t="str">
        <f>HYPERLINK("http://www.ncbi.nlm.nih.gov/gene/172429", "172429")</f>
        <v>172429</v>
      </c>
      <c r="C1768" s="9"/>
      <c r="D1768" t="str">
        <f>"C30F12.4"</f>
        <v>C30F12.4</v>
      </c>
      <c r="F1768" t="s">
        <v>11</v>
      </c>
      <c r="H1768" s="12">
        <v>-2.48536706242745</v>
      </c>
      <c r="I1768" s="11">
        <v>-4.01953319138648</v>
      </c>
      <c r="J1768" s="10">
        <v>5.8313566505370001E-5</v>
      </c>
      <c r="K1768" s="29">
        <v>4.3185681656188399E-3</v>
      </c>
    </row>
    <row r="1769" spans="1:11" x14ac:dyDescent="0.35">
      <c r="A1769" s="9" t="str">
        <f>HYPERLINK("http://www.ensembl.org/id/WBGene00020433", "WBGene00020433")</f>
        <v>WBGene00020433</v>
      </c>
      <c r="B1769" s="9" t="str">
        <f>HYPERLINK("http://www.ncbi.nlm.nih.gov/gene/188416", "188416")</f>
        <v>188416</v>
      </c>
      <c r="C1769" s="9"/>
      <c r="D1769" t="str">
        <f>"T11F8.1"</f>
        <v>T11F8.1</v>
      </c>
      <c r="F1769" t="s">
        <v>11</v>
      </c>
      <c r="G1769" t="s">
        <v>25</v>
      </c>
      <c r="H1769" s="12">
        <v>-2.4845681216015501</v>
      </c>
      <c r="I1769" s="11">
        <v>-2.8154189625055901</v>
      </c>
      <c r="J1769" s="10">
        <v>4.8713680968490904E-3</v>
      </c>
      <c r="K1769" s="29">
        <v>0.119234990726478</v>
      </c>
    </row>
    <row r="1770" spans="1:11" x14ac:dyDescent="0.35">
      <c r="A1770" s="9" t="str">
        <f>HYPERLINK("http://www.ensembl.org/id/WBGene00045356", "WBGene00045356")</f>
        <v>WBGene00045356</v>
      </c>
      <c r="B1770" s="9" t="str">
        <f>HYPERLINK("http://www.ncbi.nlm.nih.gov/gene/6418764", "6418764")</f>
        <v>6418764</v>
      </c>
      <c r="C1770" s="9"/>
      <c r="D1770" t="str">
        <f>"T03E6.9"</f>
        <v>T03E6.9</v>
      </c>
      <c r="F1770" t="s">
        <v>11</v>
      </c>
      <c r="G1770" t="s">
        <v>25</v>
      </c>
      <c r="H1770" s="12">
        <v>-2.4842426529500101</v>
      </c>
      <c r="I1770" s="11">
        <v>-0.66993049645022695</v>
      </c>
      <c r="J1770" s="10">
        <v>0.50290209794736196</v>
      </c>
      <c r="K1770" s="29">
        <v>0.98289565623980701</v>
      </c>
    </row>
    <row r="1771" spans="1:11" x14ac:dyDescent="0.35">
      <c r="A1771" s="9" t="str">
        <f>HYPERLINK("http://www.ensembl.org/id/WBGene00017933", "WBGene00017933")</f>
        <v>WBGene00017933</v>
      </c>
      <c r="B1771" s="9"/>
      <c r="C1771" s="9"/>
      <c r="D1771" t="str">
        <f>"F29G9.7"</f>
        <v>F29G9.7</v>
      </c>
      <c r="F1771" t="s">
        <v>80</v>
      </c>
      <c r="H1771" s="12">
        <v>-2.4831224486841799</v>
      </c>
      <c r="I1771" s="11">
        <v>-1.53841132332456</v>
      </c>
      <c r="J1771" s="10">
        <v>0.123948075360812</v>
      </c>
      <c r="K1771" s="29">
        <v>0.79849722301371495</v>
      </c>
    </row>
    <row r="1772" spans="1:11" x14ac:dyDescent="0.35">
      <c r="A1772" s="9" t="str">
        <f>HYPERLINK("http://www.ensembl.org/id/WBGene00021460", "WBGene00021460")</f>
        <v>WBGene00021460</v>
      </c>
      <c r="B1772" s="9" t="str">
        <f>HYPERLINK("http://www.ncbi.nlm.nih.gov/gene/171798", "171798")</f>
        <v>171798</v>
      </c>
      <c r="C1772" s="9"/>
      <c r="D1772" t="str">
        <f>"zwl-1"</f>
        <v>zwl-1</v>
      </c>
      <c r="F1772" t="s">
        <v>11</v>
      </c>
      <c r="G1772" t="s">
        <v>217</v>
      </c>
      <c r="H1772" s="12">
        <v>-2.4828128152730899</v>
      </c>
      <c r="I1772" s="11">
        <v>-4.4684787321175001</v>
      </c>
      <c r="J1772" s="10">
        <v>7.8777843354838403E-6</v>
      </c>
      <c r="K1772" s="29">
        <v>8.5860417384759204E-4</v>
      </c>
    </row>
    <row r="1773" spans="1:11" x14ac:dyDescent="0.35">
      <c r="A1773" s="9" t="str">
        <f>HYPERLINK("http://www.ensembl.org/id/WBGene00001500", "WBGene00001500")</f>
        <v>WBGene00001500</v>
      </c>
      <c r="B1773" s="9" t="str">
        <f>HYPERLINK("http://www.ncbi.nlm.nih.gov/gene/179138", "179138")</f>
        <v>179138</v>
      </c>
      <c r="C1773" s="9"/>
      <c r="D1773" t="str">
        <f>"ftn-1"</f>
        <v>ftn-1</v>
      </c>
      <c r="E1773" t="s">
        <v>399</v>
      </c>
      <c r="F1773" t="s">
        <v>11</v>
      </c>
      <c r="G1773" t="s">
        <v>400</v>
      </c>
      <c r="H1773" s="12">
        <v>-2.4814873295740498</v>
      </c>
      <c r="I1773" s="11">
        <v>-3.6895865226794098</v>
      </c>
      <c r="J1773" s="10">
        <v>2.2461882652708199E-4</v>
      </c>
      <c r="K1773" s="29">
        <v>1.23867365291999E-2</v>
      </c>
    </row>
    <row r="1774" spans="1:11" x14ac:dyDescent="0.35">
      <c r="A1774" s="9" t="str">
        <f>HYPERLINK("http://www.ensembl.org/id/WBGene00050899", "WBGene00050899")</f>
        <v>WBGene00050899</v>
      </c>
      <c r="B1774" s="9" t="str">
        <f>HYPERLINK("http://www.ncbi.nlm.nih.gov/gene/13217259", "13217259")</f>
        <v>13217259</v>
      </c>
      <c r="C1774" s="9"/>
      <c r="D1774" t="str">
        <f>"T10C6.15"</f>
        <v>T10C6.15</v>
      </c>
      <c r="F1774" t="s">
        <v>11</v>
      </c>
      <c r="G1774" t="s">
        <v>54</v>
      </c>
      <c r="H1774" s="12">
        <v>-2.48018230140327</v>
      </c>
      <c r="I1774" s="11">
        <v>-2.6612154965059398</v>
      </c>
      <c r="J1774" s="10">
        <v>7.7859108483070098E-3</v>
      </c>
      <c r="K1774" s="29">
        <v>0.163824863943098</v>
      </c>
    </row>
    <row r="1775" spans="1:11" x14ac:dyDescent="0.35">
      <c r="A1775" s="9" t="str">
        <f>HYPERLINK("http://www.ensembl.org/id/WBGene00007802", "WBGene00007802")</f>
        <v>WBGene00007802</v>
      </c>
      <c r="B1775" s="9" t="str">
        <f>HYPERLINK("http://www.ncbi.nlm.nih.gov/gene/183003", "183003")</f>
        <v>183003</v>
      </c>
      <c r="C1775" s="9"/>
      <c r="D1775" t="str">
        <f>"cutl-27"</f>
        <v>cutl-27</v>
      </c>
      <c r="E1775" t="s">
        <v>166</v>
      </c>
      <c r="F1775" t="s">
        <v>11</v>
      </c>
      <c r="G1775" t="s">
        <v>25</v>
      </c>
      <c r="H1775" s="12">
        <v>-2.4776259695220002</v>
      </c>
      <c r="I1775" s="11">
        <v>-0.53628417372137804</v>
      </c>
      <c r="J1775" s="10">
        <v>0.59176216678320903</v>
      </c>
      <c r="K1775" s="29">
        <v>0.98289565623980701</v>
      </c>
    </row>
    <row r="1776" spans="1:11" x14ac:dyDescent="0.35">
      <c r="A1776" s="9" t="str">
        <f>HYPERLINK("http://www.ensembl.org/id/WBGene00168519", "WBGene00168519")</f>
        <v>WBGene00168519</v>
      </c>
      <c r="B1776" s="9"/>
      <c r="C1776" s="9"/>
      <c r="D1776" t="str">
        <f>"21ur-13262"</f>
        <v>21ur-13262</v>
      </c>
      <c r="F1776" t="s">
        <v>3161</v>
      </c>
      <c r="H1776" s="12">
        <v>-2.4772140472330402</v>
      </c>
      <c r="I1776" s="11">
        <v>-0.26891282500069902</v>
      </c>
      <c r="J1776" s="10">
        <v>0.78799676746418601</v>
      </c>
      <c r="K1776" s="29">
        <v>0.98289565623980701</v>
      </c>
    </row>
    <row r="1777" spans="1:11" x14ac:dyDescent="0.35">
      <c r="A1777" s="9" t="str">
        <f>HYPERLINK("http://www.ensembl.org/id/WBGene00173159", "WBGene00173159")</f>
        <v>WBGene00173159</v>
      </c>
      <c r="B1777" s="9"/>
      <c r="C1777" s="9"/>
      <c r="D1777" t="str">
        <f>"21ur-6194"</f>
        <v>21ur-6194</v>
      </c>
      <c r="F1777" t="s">
        <v>3161</v>
      </c>
      <c r="H1777" s="12">
        <v>-2.4772140472330402</v>
      </c>
      <c r="I1777" s="11">
        <v>-0.26891282500069902</v>
      </c>
      <c r="J1777" s="10">
        <v>0.78799676746418601</v>
      </c>
      <c r="K1777" s="29">
        <v>0.98289565623980701</v>
      </c>
    </row>
    <row r="1778" spans="1:11" x14ac:dyDescent="0.35">
      <c r="A1778" s="9" t="str">
        <f>HYPERLINK("http://www.ensembl.org/id/WBGene00007382", "WBGene00007382")</f>
        <v>WBGene00007382</v>
      </c>
      <c r="B1778" s="9" t="str">
        <f>HYPERLINK("http://www.ncbi.nlm.nih.gov/gene/180066", "180066")</f>
        <v>180066</v>
      </c>
      <c r="C1778" s="9"/>
      <c r="D1778" t="str">
        <f>"C06C6.8"</f>
        <v>C06C6.8</v>
      </c>
      <c r="F1778" t="s">
        <v>11</v>
      </c>
      <c r="G1778" t="s">
        <v>25</v>
      </c>
      <c r="H1778" s="12">
        <v>-2.4772140472330402</v>
      </c>
      <c r="I1778" s="11">
        <v>-0.26891282500069902</v>
      </c>
      <c r="J1778" s="10">
        <v>0.78799676746418601</v>
      </c>
      <c r="K1778" s="29">
        <v>0.98289565623980701</v>
      </c>
    </row>
    <row r="1779" spans="1:11" x14ac:dyDescent="0.35">
      <c r="A1779" s="9" t="str">
        <f>HYPERLINK("http://www.ensembl.org/id/WBGene00017099", "WBGene00017099")</f>
        <v>WBGene00017099</v>
      </c>
      <c r="B1779" s="9" t="str">
        <f>HYPERLINK("http://www.ncbi.nlm.nih.gov/gene/183998", "183998")</f>
        <v>183998</v>
      </c>
      <c r="C1779" s="9"/>
      <c r="D1779" t="str">
        <f>"E02H9.1"</f>
        <v>E02H9.1</v>
      </c>
      <c r="F1779" t="s">
        <v>11</v>
      </c>
      <c r="H1779" s="12">
        <v>-2.4772140472330402</v>
      </c>
      <c r="I1779" s="11">
        <v>-0.26891282500069902</v>
      </c>
      <c r="J1779" s="10">
        <v>0.78799676746418601</v>
      </c>
      <c r="K1779" s="29">
        <v>0.98289565623980701</v>
      </c>
    </row>
    <row r="1780" spans="1:11" x14ac:dyDescent="0.35">
      <c r="A1780" s="9" t="str">
        <f>HYPERLINK("http://www.ensembl.org/id/WBGene00017170", "WBGene00017170")</f>
        <v>WBGene00017170</v>
      </c>
      <c r="B1780" s="9" t="str">
        <f>HYPERLINK("http://www.ncbi.nlm.nih.gov/gene/184069", "184069")</f>
        <v>184069</v>
      </c>
      <c r="C1780" s="9"/>
      <c r="D1780" t="str">
        <f>"F01G12.1"</f>
        <v>F01G12.1</v>
      </c>
      <c r="F1780" t="s">
        <v>11</v>
      </c>
      <c r="G1780" t="s">
        <v>10061</v>
      </c>
      <c r="H1780" s="12">
        <v>-2.4772140472330402</v>
      </c>
      <c r="I1780" s="11">
        <v>-0.26891282500069902</v>
      </c>
      <c r="J1780" s="10">
        <v>0.78799676746418601</v>
      </c>
      <c r="K1780" s="29">
        <v>0.98289565623980701</v>
      </c>
    </row>
    <row r="1781" spans="1:11" x14ac:dyDescent="0.35">
      <c r="A1781" s="9" t="str">
        <f>HYPERLINK("http://www.ensembl.org/id/WBGene00008556", "WBGene00008556")</f>
        <v>WBGene00008556</v>
      </c>
      <c r="B1781" s="9" t="str">
        <f>HYPERLINK("http://www.ncbi.nlm.nih.gov/gene/184140", "184140")</f>
        <v>184140</v>
      </c>
      <c r="C1781" s="9"/>
      <c r="D1781" t="str">
        <f>"F07D3.3"</f>
        <v>F07D3.3</v>
      </c>
      <c r="F1781" t="s">
        <v>11</v>
      </c>
      <c r="G1781" t="s">
        <v>91</v>
      </c>
      <c r="H1781" s="12">
        <v>-2.4772140472330402</v>
      </c>
      <c r="I1781" s="11">
        <v>-0.26891282500069902</v>
      </c>
      <c r="J1781" s="10">
        <v>0.78799676746418601</v>
      </c>
      <c r="K1781" s="29">
        <v>0.98289565623980701</v>
      </c>
    </row>
    <row r="1782" spans="1:11" x14ac:dyDescent="0.35">
      <c r="A1782" s="9" t="str">
        <f>HYPERLINK("http://www.ensembl.org/id/WBGene00196974", "WBGene00196974")</f>
        <v>WBGene00196974</v>
      </c>
      <c r="B1782" s="9"/>
      <c r="C1782" s="9"/>
      <c r="D1782" t="str">
        <f>"F41C6.9"</f>
        <v>F41C6.9</v>
      </c>
      <c r="F1782" t="s">
        <v>481</v>
      </c>
      <c r="H1782" s="12">
        <v>-2.4772140472330402</v>
      </c>
      <c r="I1782" s="11">
        <v>-0.26891282500069902</v>
      </c>
      <c r="J1782" s="10">
        <v>0.78799676746418601</v>
      </c>
      <c r="K1782" s="29">
        <v>0.98289565623980701</v>
      </c>
    </row>
    <row r="1783" spans="1:11" x14ac:dyDescent="0.35">
      <c r="A1783" s="9" t="str">
        <f>HYPERLINK("http://www.ensembl.org/id/WBGene00014907", "WBGene00014907")</f>
        <v>WBGene00014907</v>
      </c>
      <c r="B1783" s="9"/>
      <c r="C1783" s="9"/>
      <c r="D1783" t="str">
        <f>"fbxa-117"</f>
        <v>fbxa-117</v>
      </c>
      <c r="F1783" t="s">
        <v>80</v>
      </c>
      <c r="H1783" s="12">
        <v>-2.4772140472330402</v>
      </c>
      <c r="I1783" s="11">
        <v>-0.26891282500069902</v>
      </c>
      <c r="J1783" s="10">
        <v>0.78799676746418601</v>
      </c>
      <c r="K1783" s="29">
        <v>0.98289565623980701</v>
      </c>
    </row>
    <row r="1784" spans="1:11" x14ac:dyDescent="0.35">
      <c r="A1784" s="9" t="str">
        <f>HYPERLINK("http://www.ensembl.org/id/WBGene00004171", "WBGene00004171")</f>
        <v>WBGene00004171</v>
      </c>
      <c r="B1784" s="9" t="str">
        <f>HYPERLINK("http://www.ncbi.nlm.nih.gov/gene/190672", "190672")</f>
        <v>190672</v>
      </c>
      <c r="C1784" s="9"/>
      <c r="D1784" t="str">
        <f>"pqn-91"</f>
        <v>pqn-91</v>
      </c>
      <c r="E1784" t="s">
        <v>432</v>
      </c>
      <c r="F1784" t="s">
        <v>11</v>
      </c>
      <c r="H1784" s="12">
        <v>-2.4772140472330402</v>
      </c>
      <c r="I1784" s="11">
        <v>-0.26891282500069902</v>
      </c>
      <c r="J1784" s="10">
        <v>0.78799676746418601</v>
      </c>
      <c r="K1784" s="29">
        <v>0.98289565623980701</v>
      </c>
    </row>
    <row r="1785" spans="1:11" x14ac:dyDescent="0.35">
      <c r="A1785" s="9" t="str">
        <f>HYPERLINK("http://www.ensembl.org/id/WBGene00005632", "WBGene00005632")</f>
        <v>WBGene00005632</v>
      </c>
      <c r="B1785" s="9" t="str">
        <f>HYPERLINK("http://www.ncbi.nlm.nih.gov/gene/191952", "191952")</f>
        <v>191952</v>
      </c>
      <c r="C1785" s="9"/>
      <c r="D1785" t="str">
        <f>"srj-53"</f>
        <v>srj-53</v>
      </c>
      <c r="E1785" t="s">
        <v>3123</v>
      </c>
      <c r="F1785" t="s">
        <v>11</v>
      </c>
      <c r="G1785" t="s">
        <v>25</v>
      </c>
      <c r="H1785" s="12">
        <v>-2.4772140472330402</v>
      </c>
      <c r="I1785" s="11">
        <v>-0.26891282500069902</v>
      </c>
      <c r="J1785" s="10">
        <v>0.78799676746418601</v>
      </c>
      <c r="K1785" s="29">
        <v>0.98289565623980701</v>
      </c>
    </row>
    <row r="1786" spans="1:11" x14ac:dyDescent="0.35">
      <c r="A1786" s="9" t="str">
        <f>HYPERLINK("http://www.ensembl.org/id/WBGene00196147", "WBGene00196147")</f>
        <v>WBGene00196147</v>
      </c>
      <c r="B1786" s="9"/>
      <c r="C1786" s="9"/>
      <c r="D1786" t="str">
        <f>"W02A2.10"</f>
        <v>W02A2.10</v>
      </c>
      <c r="F1786" t="s">
        <v>481</v>
      </c>
      <c r="H1786" s="12">
        <v>-2.4772140472330402</v>
      </c>
      <c r="I1786" s="11">
        <v>-0.26891282500069902</v>
      </c>
      <c r="J1786" s="10">
        <v>0.78799676746418601</v>
      </c>
      <c r="K1786" s="29">
        <v>0.98289565623980701</v>
      </c>
    </row>
    <row r="1787" spans="1:11" x14ac:dyDescent="0.35">
      <c r="A1787" s="9" t="str">
        <f>HYPERLINK("http://www.ensembl.org/id/WBGene00008005", "WBGene00008005")</f>
        <v>WBGene00008005</v>
      </c>
      <c r="B1787" s="9" t="str">
        <f>HYPERLINK("http://www.ncbi.nlm.nih.gov/gene/175635", "175635")</f>
        <v>175635</v>
      </c>
      <c r="C1787" s="9"/>
      <c r="D1787" t="str">
        <f>"C38D4.4"</f>
        <v>C38D4.4</v>
      </c>
      <c r="F1787" t="s">
        <v>11</v>
      </c>
      <c r="H1787" s="12">
        <v>-2.4765267554357</v>
      </c>
      <c r="I1787" s="11">
        <v>-3.9037143625361499</v>
      </c>
      <c r="J1787" s="10">
        <v>9.4727572001286102E-5</v>
      </c>
      <c r="K1787" s="29">
        <v>6.3812690339991804E-3</v>
      </c>
    </row>
    <row r="1788" spans="1:11" x14ac:dyDescent="0.35">
      <c r="A1788" s="9" t="str">
        <f>HYPERLINK("http://www.ensembl.org/id/WBGene00020290", "WBGene00020290")</f>
        <v>WBGene00020290</v>
      </c>
      <c r="B1788" s="9" t="str">
        <f>HYPERLINK("http://www.ncbi.nlm.nih.gov/gene/173682", "173682")</f>
        <v>173682</v>
      </c>
      <c r="C1788" s="9"/>
      <c r="D1788" t="str">
        <f>"T06D4.1"</f>
        <v>T06D4.1</v>
      </c>
      <c r="F1788" t="s">
        <v>11</v>
      </c>
      <c r="H1788" s="12">
        <v>-2.4726634231410101</v>
      </c>
      <c r="I1788" s="11">
        <v>-4.0509463104768102</v>
      </c>
      <c r="J1788" s="10">
        <v>5.1010912202910703E-5</v>
      </c>
      <c r="K1788" s="29">
        <v>3.8644529093785399E-3</v>
      </c>
    </row>
    <row r="1789" spans="1:11" x14ac:dyDescent="0.35">
      <c r="A1789" s="9" t="str">
        <f>HYPERLINK("http://www.ensembl.org/id/WBGene00020351", "WBGene00020351")</f>
        <v>WBGene00020351</v>
      </c>
      <c r="B1789" s="9" t="str">
        <f>HYPERLINK("http://www.ncbi.nlm.nih.gov/gene/188275", "188275")</f>
        <v>188275</v>
      </c>
      <c r="C1789" s="9"/>
      <c r="D1789" t="str">
        <f>"T08B6.1"</f>
        <v>T08B6.1</v>
      </c>
      <c r="F1789" t="s">
        <v>11</v>
      </c>
      <c r="G1789" t="s">
        <v>10060</v>
      </c>
      <c r="H1789" s="12">
        <v>-2.47063855553482</v>
      </c>
      <c r="I1789" s="11">
        <v>-0.74774801556832704</v>
      </c>
      <c r="J1789" s="10">
        <v>0.45461216326794801</v>
      </c>
      <c r="K1789" s="29">
        <v>0.98289565623980701</v>
      </c>
    </row>
    <row r="1790" spans="1:11" x14ac:dyDescent="0.35">
      <c r="A1790" s="9" t="str">
        <f>HYPERLINK("http://www.ensembl.org/id/WBGene00166995", "WBGene00166995")</f>
        <v>WBGene00166995</v>
      </c>
      <c r="B1790" s="9"/>
      <c r="C1790" s="9"/>
      <c r="D1790" t="str">
        <f>"21ur-12638"</f>
        <v>21ur-12638</v>
      </c>
      <c r="F1790" t="s">
        <v>3161</v>
      </c>
      <c r="H1790" s="12">
        <v>-2.4705518730954901</v>
      </c>
      <c r="I1790" s="11">
        <v>-0.38954327493699897</v>
      </c>
      <c r="J1790" s="10">
        <v>0.69687430479622203</v>
      </c>
      <c r="K1790" s="29">
        <v>0.98289565623980701</v>
      </c>
    </row>
    <row r="1791" spans="1:11" x14ac:dyDescent="0.35">
      <c r="A1791" s="9" t="str">
        <f>HYPERLINK("http://www.ensembl.org/id/WBGene00219330", "WBGene00219330")</f>
        <v>WBGene00219330</v>
      </c>
      <c r="B1791" s="9" t="str">
        <f>HYPERLINK("http://www.ncbi.nlm.nih.gov/gene/13215914", "13215914")</f>
        <v>13215914</v>
      </c>
      <c r="C1791" s="9"/>
      <c r="D1791" t="str">
        <f>"F18E2.15"</f>
        <v>F18E2.15</v>
      </c>
      <c r="F1791" t="s">
        <v>11</v>
      </c>
      <c r="H1791" s="12">
        <v>-2.4705518730954901</v>
      </c>
      <c r="I1791" s="11">
        <v>-0.38954327493699897</v>
      </c>
      <c r="J1791" s="10">
        <v>0.69687430479622203</v>
      </c>
      <c r="K1791" s="29">
        <v>0.98289565623980701</v>
      </c>
    </row>
    <row r="1792" spans="1:11" x14ac:dyDescent="0.35">
      <c r="A1792" s="9" t="str">
        <f>HYPERLINK("http://www.ensembl.org/id/WBGene00199088", "WBGene00199088")</f>
        <v>WBGene00199088</v>
      </c>
      <c r="B1792" s="9"/>
      <c r="C1792" s="9"/>
      <c r="D1792" t="str">
        <f>"Y39G10AR.30"</f>
        <v>Y39G10AR.30</v>
      </c>
      <c r="F1792" t="s">
        <v>481</v>
      </c>
      <c r="H1792" s="12">
        <v>-2.4705518730954901</v>
      </c>
      <c r="I1792" s="11">
        <v>-0.38954327493699897</v>
      </c>
      <c r="J1792" s="10">
        <v>0.69687430479622203</v>
      </c>
      <c r="K1792" s="29">
        <v>0.98289565623980701</v>
      </c>
    </row>
    <row r="1793" spans="1:11" x14ac:dyDescent="0.35">
      <c r="A1793" s="9" t="str">
        <f>HYPERLINK("http://www.ensembl.org/id/WBGene00010228", "WBGene00010228")</f>
        <v>WBGene00010228</v>
      </c>
      <c r="B1793" s="9" t="str">
        <f>HYPERLINK("http://www.ncbi.nlm.nih.gov/gene/176357", "176357")</f>
        <v>176357</v>
      </c>
      <c r="C1793" s="9"/>
      <c r="D1793" t="str">
        <f>"clec-161"</f>
        <v>clec-161</v>
      </c>
      <c r="E1793" t="s">
        <v>10059</v>
      </c>
      <c r="F1793" t="s">
        <v>11</v>
      </c>
      <c r="H1793" s="12">
        <v>-2.4703018886837098</v>
      </c>
      <c r="I1793" s="11">
        <v>-0.36490693701166099</v>
      </c>
      <c r="J1793" s="10">
        <v>0.71518087587669499</v>
      </c>
      <c r="K1793" s="29">
        <v>0.98289565623980701</v>
      </c>
    </row>
    <row r="1794" spans="1:11" x14ac:dyDescent="0.35">
      <c r="A1794" s="9" t="str">
        <f>HYPERLINK("http://www.ensembl.org/id/WBGene00196730", "WBGene00196730")</f>
        <v>WBGene00196730</v>
      </c>
      <c r="B1794" s="9"/>
      <c r="C1794" s="9"/>
      <c r="D1794" t="str">
        <f>"F14D1.1"</f>
        <v>F14D1.1</v>
      </c>
      <c r="F1794" t="s">
        <v>481</v>
      </c>
      <c r="H1794" s="12">
        <v>-2.4703018886837098</v>
      </c>
      <c r="I1794" s="11">
        <v>-0.36490693701166099</v>
      </c>
      <c r="J1794" s="10">
        <v>0.71518087587669499</v>
      </c>
      <c r="K1794" s="29">
        <v>0.98289565623980701</v>
      </c>
    </row>
    <row r="1795" spans="1:11" x14ac:dyDescent="0.35">
      <c r="A1795" s="9" t="str">
        <f>HYPERLINK("http://www.ensembl.org/id/WBGene00220108", "WBGene00220108")</f>
        <v>WBGene00220108</v>
      </c>
      <c r="B1795" s="9"/>
      <c r="C1795" s="9"/>
      <c r="D1795" t="str">
        <f>"W01D2.9"</f>
        <v>W01D2.9</v>
      </c>
      <c r="F1795" t="s">
        <v>481</v>
      </c>
      <c r="H1795" s="12">
        <v>-2.4703018886837098</v>
      </c>
      <c r="I1795" s="11">
        <v>-0.36490693701166099</v>
      </c>
      <c r="J1795" s="10">
        <v>0.71518087587669499</v>
      </c>
      <c r="K1795" s="29">
        <v>0.98289565623980701</v>
      </c>
    </row>
    <row r="1796" spans="1:11" x14ac:dyDescent="0.35">
      <c r="A1796" s="9" t="str">
        <f>HYPERLINK("http://www.ensembl.org/id/WBGene00022886", "WBGene00022886")</f>
        <v>WBGene00022886</v>
      </c>
      <c r="B1796" s="9" t="str">
        <f>HYPERLINK("http://www.ncbi.nlm.nih.gov/gene/191554", "191554")</f>
        <v>191554</v>
      </c>
      <c r="C1796" s="9"/>
      <c r="D1796" t="str">
        <f>"ZK1290.1"</f>
        <v>ZK1290.1</v>
      </c>
      <c r="F1796" t="s">
        <v>11</v>
      </c>
      <c r="H1796" s="12">
        <v>-2.4703018886837098</v>
      </c>
      <c r="I1796" s="11">
        <v>-0.36490693701166099</v>
      </c>
      <c r="J1796" s="10">
        <v>0.71518087587669499</v>
      </c>
      <c r="K1796" s="29">
        <v>0.98289565623980701</v>
      </c>
    </row>
    <row r="1797" spans="1:11" x14ac:dyDescent="0.35">
      <c r="A1797" s="9" t="str">
        <f>HYPERLINK("http://www.ensembl.org/id/WBGene00017977", "WBGene00017977")</f>
        <v>WBGene00017977</v>
      </c>
      <c r="B1797" s="9" t="str">
        <f>HYPERLINK("http://www.ncbi.nlm.nih.gov/gene/185197", "185197")</f>
        <v>185197</v>
      </c>
      <c r="C1797" s="9"/>
      <c r="D1797" t="str">
        <f>"F32B5.3"</f>
        <v>F32B5.3</v>
      </c>
      <c r="F1797" t="s">
        <v>11</v>
      </c>
      <c r="G1797" t="s">
        <v>25</v>
      </c>
      <c r="H1797" s="12">
        <v>-2.4682592226197801</v>
      </c>
      <c r="I1797" s="11">
        <v>-0.64895243377158995</v>
      </c>
      <c r="J1797" s="10">
        <v>0.51636912179196304</v>
      </c>
      <c r="K1797" s="29">
        <v>0.98289565623980701</v>
      </c>
    </row>
    <row r="1798" spans="1:11" x14ac:dyDescent="0.35">
      <c r="A1798" s="9" t="str">
        <f>HYPERLINK("http://www.ensembl.org/id/WBGene00200437", "WBGene00200437")</f>
        <v>WBGene00200437</v>
      </c>
      <c r="B1798" s="9"/>
      <c r="C1798" s="9"/>
      <c r="D1798" t="str">
        <f>"K05B2.8"</f>
        <v>K05B2.8</v>
      </c>
      <c r="F1798" t="s">
        <v>481</v>
      </c>
      <c r="H1798" s="12">
        <v>-2.4670418777863801</v>
      </c>
      <c r="I1798" s="11">
        <v>-0.45450260465663</v>
      </c>
      <c r="J1798" s="10">
        <v>0.64946711765502996</v>
      </c>
      <c r="K1798" s="29">
        <v>0.98289565623980701</v>
      </c>
    </row>
    <row r="1799" spans="1:11" x14ac:dyDescent="0.35">
      <c r="A1799" s="9" t="str">
        <f>HYPERLINK("http://www.ensembl.org/id/WBGene00077709", "WBGene00077709")</f>
        <v>WBGene00077709</v>
      </c>
      <c r="B1799" s="9"/>
      <c r="C1799" s="9"/>
      <c r="D1799" t="str">
        <f>"mir-1822"</f>
        <v>mir-1822</v>
      </c>
      <c r="F1799" t="s">
        <v>1486</v>
      </c>
      <c r="H1799" s="12">
        <v>-2.4648119998584601</v>
      </c>
      <c r="I1799" s="11">
        <v>-0.50616032725794902</v>
      </c>
      <c r="J1799" s="10">
        <v>0.61274410308713501</v>
      </c>
      <c r="K1799" s="29">
        <v>0.98289565623980701</v>
      </c>
    </row>
    <row r="1800" spans="1:11" x14ac:dyDescent="0.35">
      <c r="A1800" s="9" t="str">
        <f>HYPERLINK("http://www.ensembl.org/id/WBGene00021555", "WBGene00021555")</f>
        <v>WBGene00021555</v>
      </c>
      <c r="B1800" s="9" t="str">
        <f>HYPERLINK("http://www.ncbi.nlm.nih.gov/gene/178819", "178819")</f>
        <v>178819</v>
      </c>
      <c r="C1800" s="9" t="str">
        <f>HYPERLINK("http://www.ncbi.nlm.nih.gov/gene/7511", "7511")</f>
        <v>7511</v>
      </c>
      <c r="D1800" t="str">
        <f>"Y45G5AM.2"</f>
        <v>Y45G5AM.2</v>
      </c>
      <c r="F1800" t="s">
        <v>11</v>
      </c>
      <c r="G1800" t="s">
        <v>474</v>
      </c>
      <c r="H1800" s="12">
        <v>-2.4638926455262098</v>
      </c>
      <c r="I1800" s="11">
        <v>-3.4480541006236001</v>
      </c>
      <c r="J1800" s="10">
        <v>5.64640926921495E-4</v>
      </c>
      <c r="K1800" s="29">
        <v>2.5118654327479902E-2</v>
      </c>
    </row>
    <row r="1801" spans="1:11" x14ac:dyDescent="0.35">
      <c r="A1801" s="9" t="str">
        <f>HYPERLINK("http://www.ensembl.org/id/WBGene00044387", "WBGene00044387")</f>
        <v>WBGene00044387</v>
      </c>
      <c r="B1801" s="9" t="str">
        <f>HYPERLINK("http://www.ncbi.nlm.nih.gov/gene/3564954", "3564954")</f>
        <v>3564954</v>
      </c>
      <c r="C1801" s="9"/>
      <c r="D1801" t="str">
        <f>"C27A2.8"</f>
        <v>C27A2.8</v>
      </c>
      <c r="F1801" t="s">
        <v>11</v>
      </c>
      <c r="G1801" t="s">
        <v>1674</v>
      </c>
      <c r="H1801" s="12">
        <v>-2.4621238618177701</v>
      </c>
      <c r="I1801" s="11">
        <v>-0.92944173264151597</v>
      </c>
      <c r="J1801" s="10">
        <v>0.35266020864196601</v>
      </c>
      <c r="K1801" s="29">
        <v>0.98289565623980701</v>
      </c>
    </row>
    <row r="1802" spans="1:11" x14ac:dyDescent="0.35">
      <c r="A1802" s="9" t="str">
        <f>HYPERLINK("http://www.ensembl.org/id/WBGene00018121", "WBGene00018121")</f>
        <v>WBGene00018121</v>
      </c>
      <c r="B1802" s="9" t="str">
        <f>HYPERLINK("http://www.ncbi.nlm.nih.gov/gene/185395", "185395")</f>
        <v>185395</v>
      </c>
      <c r="C1802" s="9"/>
      <c r="D1802" t="str">
        <f>"F36H12.5"</f>
        <v>F36H12.5</v>
      </c>
      <c r="F1802" t="s">
        <v>11</v>
      </c>
      <c r="H1802" s="12">
        <v>-2.4587400958908598</v>
      </c>
      <c r="I1802" s="11">
        <v>-0.91157952943770404</v>
      </c>
      <c r="J1802" s="10">
        <v>0.36199010246278601</v>
      </c>
      <c r="K1802" s="29">
        <v>0.98289565623980701</v>
      </c>
    </row>
    <row r="1803" spans="1:11" x14ac:dyDescent="0.35">
      <c r="A1803" s="9" t="str">
        <f>HYPERLINK("http://www.ensembl.org/id/WBGene00000473", "WBGene00000473")</f>
        <v>WBGene00000473</v>
      </c>
      <c r="B1803" s="9" t="str">
        <f>HYPERLINK("http://www.ncbi.nlm.nih.gov/gene/172219", "172219")</f>
        <v>172219</v>
      </c>
      <c r="C1803" s="9"/>
      <c r="D1803" t="str">
        <f>"cey-2"</f>
        <v>cey-2</v>
      </c>
      <c r="E1803" t="s">
        <v>170</v>
      </c>
      <c r="F1803" t="s">
        <v>11</v>
      </c>
      <c r="G1803" t="s">
        <v>171</v>
      </c>
      <c r="H1803" s="12">
        <v>-2.4576616334318699</v>
      </c>
      <c r="I1803" s="11">
        <v>-4.8279324277822697</v>
      </c>
      <c r="J1803" s="10">
        <v>1.37957885227416E-6</v>
      </c>
      <c r="K1803" s="29">
        <v>1.9799098733321E-4</v>
      </c>
    </row>
    <row r="1804" spans="1:11" x14ac:dyDescent="0.35">
      <c r="A1804" s="9" t="str">
        <f>HYPERLINK("http://www.ensembl.org/id/WBGene00197356", "WBGene00197356")</f>
        <v>WBGene00197356</v>
      </c>
      <c r="B1804" s="9"/>
      <c r="C1804" s="9"/>
      <c r="D1804" t="str">
        <f>"F01G12.11"</f>
        <v>F01G12.11</v>
      </c>
      <c r="F1804" t="s">
        <v>481</v>
      </c>
      <c r="H1804" s="12">
        <v>-2.45690086664343</v>
      </c>
      <c r="I1804" s="11">
        <v>-0.33785622843309998</v>
      </c>
      <c r="J1804" s="10">
        <v>0.73547153451736302</v>
      </c>
      <c r="K1804" s="29">
        <v>0.98289565623980701</v>
      </c>
    </row>
    <row r="1805" spans="1:11" x14ac:dyDescent="0.35">
      <c r="A1805" s="9" t="str">
        <f>HYPERLINK("http://www.ensembl.org/id/WBGene00020653", "WBGene00020653")</f>
        <v>WBGene00020653</v>
      </c>
      <c r="B1805" s="9" t="str">
        <f>HYPERLINK("http://www.ncbi.nlm.nih.gov/gene/188696", "188696")</f>
        <v>188696</v>
      </c>
      <c r="C1805" s="9"/>
      <c r="D1805" t="str">
        <f>"T21E3.2"</f>
        <v>T21E3.2</v>
      </c>
      <c r="F1805" t="s">
        <v>11</v>
      </c>
      <c r="H1805" s="12">
        <v>-2.4505132525275402</v>
      </c>
      <c r="I1805" s="11">
        <v>-0.45063413446725398</v>
      </c>
      <c r="J1805" s="10">
        <v>0.65225326069358502</v>
      </c>
      <c r="K1805" s="29">
        <v>0.98289565623980701</v>
      </c>
    </row>
    <row r="1806" spans="1:11" x14ac:dyDescent="0.35">
      <c r="A1806" s="9" t="str">
        <f>HYPERLINK("http://www.ensembl.org/id/WBGene00010367", "WBGene00010367")</f>
        <v>WBGene00010367</v>
      </c>
      <c r="B1806" s="9" t="str">
        <f>HYPERLINK("http://www.ncbi.nlm.nih.gov/gene/172577", "172577")</f>
        <v>172577</v>
      </c>
      <c r="C1806" s="9"/>
      <c r="D1806" t="str">
        <f>"H05L14.2"</f>
        <v>H05L14.2</v>
      </c>
      <c r="F1806" t="s">
        <v>11</v>
      </c>
      <c r="G1806" t="s">
        <v>51</v>
      </c>
      <c r="H1806" s="12">
        <v>-2.4493705345915999</v>
      </c>
      <c r="I1806" s="11">
        <v>-3.8628517251605601</v>
      </c>
      <c r="J1806" s="10">
        <v>1.1207103679199099E-4</v>
      </c>
      <c r="K1806" s="29">
        <v>7.1659212215827899E-3</v>
      </c>
    </row>
    <row r="1807" spans="1:11" x14ac:dyDescent="0.35">
      <c r="A1807" s="9" t="str">
        <f>HYPERLINK("http://www.ensembl.org/id/WBGene00011844", "WBGene00011844")</f>
        <v>WBGene00011844</v>
      </c>
      <c r="B1807" s="9" t="str">
        <f>HYPERLINK("http://www.ncbi.nlm.nih.gov/gene/180142", "180142")</f>
        <v>180142</v>
      </c>
      <c r="C1807" s="9"/>
      <c r="D1807" t="str">
        <f>"T19C9.8"</f>
        <v>T19C9.8</v>
      </c>
      <c r="F1807" t="s">
        <v>11</v>
      </c>
      <c r="H1807" s="12">
        <v>-2.4478088581311201</v>
      </c>
      <c r="I1807" s="11">
        <v>-1.42990014232551</v>
      </c>
      <c r="J1807" s="10">
        <v>0.152745681181198</v>
      </c>
      <c r="K1807" s="29">
        <v>0.85851172692112998</v>
      </c>
    </row>
    <row r="1808" spans="1:11" x14ac:dyDescent="0.35">
      <c r="A1808" s="9" t="str">
        <f>HYPERLINK("http://www.ensembl.org/id/WBGene00018971", "WBGene00018971")</f>
        <v>WBGene00018971</v>
      </c>
      <c r="B1808" s="9" t="str">
        <f>HYPERLINK("http://www.ncbi.nlm.nih.gov/gene/177151", "177151")</f>
        <v>177151</v>
      </c>
      <c r="C1808" s="9"/>
      <c r="D1808" t="str">
        <f>"clec-67"</f>
        <v>clec-67</v>
      </c>
      <c r="E1808" t="s">
        <v>46</v>
      </c>
      <c r="F1808" t="s">
        <v>11</v>
      </c>
      <c r="G1808" t="s">
        <v>47</v>
      </c>
      <c r="H1808" s="12">
        <v>-2.44296561409003</v>
      </c>
      <c r="I1808" s="11">
        <v>-2.2839071143055101</v>
      </c>
      <c r="J1808" s="10">
        <v>2.2376990440121002E-2</v>
      </c>
      <c r="K1808" s="29">
        <v>0.32300516937447399</v>
      </c>
    </row>
    <row r="1809" spans="1:11" x14ac:dyDescent="0.35">
      <c r="A1809" s="9" t="str">
        <f>HYPERLINK("http://www.ensembl.org/id/WBGene00009192", "WBGene00009192")</f>
        <v>WBGene00009192</v>
      </c>
      <c r="B1809" s="9" t="str">
        <f>HYPERLINK("http://www.ncbi.nlm.nih.gov/gene/185021", "185021")</f>
        <v>185021</v>
      </c>
      <c r="C1809" s="9"/>
      <c r="D1809" t="str">
        <f>"asah-2"</f>
        <v>asah-2</v>
      </c>
      <c r="E1809" t="s">
        <v>473</v>
      </c>
      <c r="F1809" t="s">
        <v>11</v>
      </c>
      <c r="G1809" t="s">
        <v>89</v>
      </c>
      <c r="H1809" s="12">
        <v>-2.4419097342073401</v>
      </c>
      <c r="I1809" s="11">
        <v>-3.4505230451984401</v>
      </c>
      <c r="J1809" s="10">
        <v>5.5950139696948702E-4</v>
      </c>
      <c r="K1809" s="29">
        <v>2.4957218684125398E-2</v>
      </c>
    </row>
    <row r="1810" spans="1:11" x14ac:dyDescent="0.35">
      <c r="A1810" s="9" t="str">
        <f>HYPERLINK("http://www.ensembl.org/id/WBGene00010182", "WBGene00010182")</f>
        <v>WBGene00010182</v>
      </c>
      <c r="B1810" s="9" t="str">
        <f>HYPERLINK("http://www.ncbi.nlm.nih.gov/gene/186432", "186432")</f>
        <v>186432</v>
      </c>
      <c r="C1810" s="9" t="str">
        <f>HYPERLINK("http://www.ncbi.nlm.nih.gov/gene/256471", "256471")</f>
        <v>256471</v>
      </c>
      <c r="D1810" t="str">
        <f>"F57A8.7"</f>
        <v>F57A8.7</v>
      </c>
      <c r="F1810" t="s">
        <v>11</v>
      </c>
      <c r="G1810" t="s">
        <v>230</v>
      </c>
      <c r="H1810" s="12">
        <v>-2.4413781110334698</v>
      </c>
      <c r="I1810" s="11">
        <v>-1.08549775641651</v>
      </c>
      <c r="J1810" s="10">
        <v>0.277701256845446</v>
      </c>
      <c r="K1810" s="29">
        <v>0.98289565623980701</v>
      </c>
    </row>
    <row r="1811" spans="1:11" x14ac:dyDescent="0.35">
      <c r="A1811" s="9" t="str">
        <f>HYPERLINK("http://www.ensembl.org/id/WBGene00174173", "WBGene00174173")</f>
        <v>WBGene00174173</v>
      </c>
      <c r="B1811" s="9"/>
      <c r="C1811" s="9"/>
      <c r="D1811" t="str">
        <f>"21ur-10024"</f>
        <v>21ur-10024</v>
      </c>
      <c r="F1811" t="s">
        <v>3161</v>
      </c>
      <c r="H1811" s="12">
        <v>-2.4295389261469</v>
      </c>
      <c r="I1811" s="11">
        <v>-0.25808529976640998</v>
      </c>
      <c r="J1811" s="10">
        <v>0.79634107645457397</v>
      </c>
      <c r="K1811" s="29">
        <v>0.98289565623980701</v>
      </c>
    </row>
    <row r="1812" spans="1:11" x14ac:dyDescent="0.35">
      <c r="A1812" s="9" t="str">
        <f>HYPERLINK("http://www.ensembl.org/id/WBGene00169846", "WBGene00169846")</f>
        <v>WBGene00169846</v>
      </c>
      <c r="B1812" s="9"/>
      <c r="C1812" s="9"/>
      <c r="D1812" t="str">
        <f>"21ur-10165"</f>
        <v>21ur-10165</v>
      </c>
      <c r="F1812" t="s">
        <v>3161</v>
      </c>
      <c r="H1812" s="12">
        <v>-2.4295389261469</v>
      </c>
      <c r="I1812" s="11">
        <v>-0.25808529976640998</v>
      </c>
      <c r="J1812" s="10">
        <v>0.79634107645457397</v>
      </c>
      <c r="K1812" s="29">
        <v>0.98289565623980701</v>
      </c>
    </row>
    <row r="1813" spans="1:11" x14ac:dyDescent="0.35">
      <c r="A1813" s="9" t="str">
        <f>HYPERLINK("http://www.ensembl.org/id/WBGene00172760", "WBGene00172760")</f>
        <v>WBGene00172760</v>
      </c>
      <c r="B1813" s="9"/>
      <c r="C1813" s="9"/>
      <c r="D1813" t="str">
        <f>"21ur-10343"</f>
        <v>21ur-10343</v>
      </c>
      <c r="F1813" t="s">
        <v>3161</v>
      </c>
      <c r="H1813" s="12">
        <v>-2.4295389261469</v>
      </c>
      <c r="I1813" s="11">
        <v>-0.25808529976640998</v>
      </c>
      <c r="J1813" s="10">
        <v>0.79634107645457397</v>
      </c>
      <c r="K1813" s="29">
        <v>0.98289565623980701</v>
      </c>
    </row>
    <row r="1814" spans="1:11" x14ac:dyDescent="0.35">
      <c r="A1814" s="9" t="str">
        <f>HYPERLINK("http://www.ensembl.org/id/WBGene00166294", "WBGene00166294")</f>
        <v>WBGene00166294</v>
      </c>
      <c r="B1814" s="9"/>
      <c r="C1814" s="9"/>
      <c r="D1814" t="str">
        <f>"21ur-10480"</f>
        <v>21ur-10480</v>
      </c>
      <c r="F1814" t="s">
        <v>3161</v>
      </c>
      <c r="H1814" s="12">
        <v>-2.4295389261469</v>
      </c>
      <c r="I1814" s="11">
        <v>-0.25808529976640998</v>
      </c>
      <c r="J1814" s="10">
        <v>0.79634107645457397</v>
      </c>
      <c r="K1814" s="29">
        <v>0.98289565623980701</v>
      </c>
    </row>
    <row r="1815" spans="1:11" x14ac:dyDescent="0.35">
      <c r="A1815" s="9" t="str">
        <f>HYPERLINK("http://www.ensembl.org/id/WBGene00166055", "WBGene00166055")</f>
        <v>WBGene00166055</v>
      </c>
      <c r="B1815" s="9"/>
      <c r="C1815" s="9"/>
      <c r="D1815" t="str">
        <f>"21ur-10520"</f>
        <v>21ur-10520</v>
      </c>
      <c r="F1815" t="s">
        <v>3161</v>
      </c>
      <c r="H1815" s="12">
        <v>-2.4295389261469</v>
      </c>
      <c r="I1815" s="11">
        <v>-0.25808529976640998</v>
      </c>
      <c r="J1815" s="10">
        <v>0.79634107645457397</v>
      </c>
      <c r="K1815" s="29">
        <v>0.98289565623980701</v>
      </c>
    </row>
    <row r="1816" spans="1:11" x14ac:dyDescent="0.35">
      <c r="A1816" s="9" t="str">
        <f>HYPERLINK("http://www.ensembl.org/id/WBGene00168300", "WBGene00168300")</f>
        <v>WBGene00168300</v>
      </c>
      <c r="B1816" s="9"/>
      <c r="C1816" s="9"/>
      <c r="D1816" t="str">
        <f>"21ur-10682"</f>
        <v>21ur-10682</v>
      </c>
      <c r="F1816" t="s">
        <v>3161</v>
      </c>
      <c r="H1816" s="12">
        <v>-2.4295389261469</v>
      </c>
      <c r="I1816" s="11">
        <v>-0.25808529976640998</v>
      </c>
      <c r="J1816" s="10">
        <v>0.79634107645457397</v>
      </c>
      <c r="K1816" s="29">
        <v>0.98289565623980701</v>
      </c>
    </row>
    <row r="1817" spans="1:11" x14ac:dyDescent="0.35">
      <c r="A1817" s="9" t="str">
        <f>HYPERLINK("http://www.ensembl.org/id/WBGene00166377", "WBGene00166377")</f>
        <v>WBGene00166377</v>
      </c>
      <c r="B1817" s="9"/>
      <c r="C1817" s="9"/>
      <c r="D1817" t="str">
        <f>"21ur-10793"</f>
        <v>21ur-10793</v>
      </c>
      <c r="F1817" t="s">
        <v>3161</v>
      </c>
      <c r="H1817" s="12">
        <v>-2.4295389261469</v>
      </c>
      <c r="I1817" s="11">
        <v>-0.25808529976640998</v>
      </c>
      <c r="J1817" s="10">
        <v>0.79634107645457397</v>
      </c>
      <c r="K1817" s="29">
        <v>0.98289565623980701</v>
      </c>
    </row>
    <row r="1818" spans="1:11" x14ac:dyDescent="0.35">
      <c r="A1818" s="9" t="str">
        <f>HYPERLINK("http://www.ensembl.org/id/WBGene00169280", "WBGene00169280")</f>
        <v>WBGene00169280</v>
      </c>
      <c r="B1818" s="9"/>
      <c r="C1818" s="9"/>
      <c r="D1818" t="str">
        <f>"21ur-11219"</f>
        <v>21ur-11219</v>
      </c>
      <c r="F1818" t="s">
        <v>3161</v>
      </c>
      <c r="H1818" s="12">
        <v>-2.4295389261469</v>
      </c>
      <c r="I1818" s="11">
        <v>-0.25808529976640998</v>
      </c>
      <c r="J1818" s="10">
        <v>0.79634107645457397</v>
      </c>
      <c r="K1818" s="29">
        <v>0.98289565623980701</v>
      </c>
    </row>
    <row r="1819" spans="1:11" x14ac:dyDescent="0.35">
      <c r="A1819" s="9" t="str">
        <f>HYPERLINK("http://www.ensembl.org/id/WBGene00171947", "WBGene00171947")</f>
        <v>WBGene00171947</v>
      </c>
      <c r="B1819" s="9"/>
      <c r="C1819" s="9"/>
      <c r="D1819" t="str">
        <f>"21ur-12418"</f>
        <v>21ur-12418</v>
      </c>
      <c r="F1819" t="s">
        <v>3161</v>
      </c>
      <c r="H1819" s="12">
        <v>-2.4295389261469</v>
      </c>
      <c r="I1819" s="11">
        <v>-0.25808529976640998</v>
      </c>
      <c r="J1819" s="10">
        <v>0.79634107645457397</v>
      </c>
      <c r="K1819" s="29">
        <v>0.98289565623980701</v>
      </c>
    </row>
    <row r="1820" spans="1:11" x14ac:dyDescent="0.35">
      <c r="A1820" s="9" t="str">
        <f>HYPERLINK("http://www.ensembl.org/id/WBGene00172278", "WBGene00172278")</f>
        <v>WBGene00172278</v>
      </c>
      <c r="B1820" s="9"/>
      <c r="C1820" s="9"/>
      <c r="D1820" t="str">
        <f>"21ur-12680"</f>
        <v>21ur-12680</v>
      </c>
      <c r="F1820" t="s">
        <v>3161</v>
      </c>
      <c r="H1820" s="12">
        <v>-2.4295389261469</v>
      </c>
      <c r="I1820" s="11">
        <v>-0.25808529976640998</v>
      </c>
      <c r="J1820" s="10">
        <v>0.79634107645457397</v>
      </c>
      <c r="K1820" s="29">
        <v>0.98289565623980701</v>
      </c>
    </row>
    <row r="1821" spans="1:11" x14ac:dyDescent="0.35">
      <c r="A1821" s="9" t="str">
        <f>HYPERLINK("http://www.ensembl.org/id/WBGene00168008", "WBGene00168008")</f>
        <v>WBGene00168008</v>
      </c>
      <c r="B1821" s="9"/>
      <c r="C1821" s="9"/>
      <c r="D1821" t="str">
        <f>"21ur-12791"</f>
        <v>21ur-12791</v>
      </c>
      <c r="F1821" t="s">
        <v>3161</v>
      </c>
      <c r="H1821" s="12">
        <v>-2.4295389261469</v>
      </c>
      <c r="I1821" s="11">
        <v>-0.25808529976640998</v>
      </c>
      <c r="J1821" s="10">
        <v>0.79634107645457397</v>
      </c>
      <c r="K1821" s="29">
        <v>0.98289565623980701</v>
      </c>
    </row>
    <row r="1822" spans="1:11" x14ac:dyDescent="0.35">
      <c r="A1822" s="9" t="str">
        <f>HYPERLINK("http://www.ensembl.org/id/WBGene00165233", "WBGene00165233")</f>
        <v>WBGene00165233</v>
      </c>
      <c r="B1822" s="9"/>
      <c r="C1822" s="9"/>
      <c r="D1822" t="str">
        <f>"21ur-12981"</f>
        <v>21ur-12981</v>
      </c>
      <c r="F1822" t="s">
        <v>3161</v>
      </c>
      <c r="H1822" s="12">
        <v>-2.4295389261469</v>
      </c>
      <c r="I1822" s="11">
        <v>-0.25808529976640998</v>
      </c>
      <c r="J1822" s="10">
        <v>0.79634107645457397</v>
      </c>
      <c r="K1822" s="29">
        <v>0.98289565623980701</v>
      </c>
    </row>
    <row r="1823" spans="1:11" x14ac:dyDescent="0.35">
      <c r="A1823" s="9" t="str">
        <f>HYPERLINK("http://www.ensembl.org/id/WBGene00169267", "WBGene00169267")</f>
        <v>WBGene00169267</v>
      </c>
      <c r="B1823" s="9"/>
      <c r="C1823" s="9"/>
      <c r="D1823" t="str">
        <f>"21ur-13036"</f>
        <v>21ur-13036</v>
      </c>
      <c r="F1823" t="s">
        <v>3161</v>
      </c>
      <c r="H1823" s="12">
        <v>-2.4295389261469</v>
      </c>
      <c r="I1823" s="11">
        <v>-0.25808529976640998</v>
      </c>
      <c r="J1823" s="10">
        <v>0.79634107645457397</v>
      </c>
      <c r="K1823" s="29">
        <v>0.98289565623980701</v>
      </c>
    </row>
    <row r="1824" spans="1:11" x14ac:dyDescent="0.35">
      <c r="A1824" s="9" t="str">
        <f>HYPERLINK("http://www.ensembl.org/id/WBGene00174864", "WBGene00174864")</f>
        <v>WBGene00174864</v>
      </c>
      <c r="B1824" s="9"/>
      <c r="C1824" s="9"/>
      <c r="D1824" t="str">
        <f>"21ur-13224"</f>
        <v>21ur-13224</v>
      </c>
      <c r="F1824" t="s">
        <v>3161</v>
      </c>
      <c r="H1824" s="12">
        <v>-2.4295389261469</v>
      </c>
      <c r="I1824" s="11">
        <v>-0.25808529976640998</v>
      </c>
      <c r="J1824" s="10">
        <v>0.79634107645457397</v>
      </c>
      <c r="K1824" s="29">
        <v>0.98289565623980701</v>
      </c>
    </row>
    <row r="1825" spans="1:11" x14ac:dyDescent="0.35">
      <c r="A1825" s="9" t="str">
        <f>HYPERLINK("http://www.ensembl.org/id/WBGene00169540", "WBGene00169540")</f>
        <v>WBGene00169540</v>
      </c>
      <c r="B1825" s="9"/>
      <c r="C1825" s="9"/>
      <c r="D1825" t="str">
        <f>"21ur-13909"</f>
        <v>21ur-13909</v>
      </c>
      <c r="F1825" t="s">
        <v>3161</v>
      </c>
      <c r="H1825" s="12">
        <v>-2.4295389261469</v>
      </c>
      <c r="I1825" s="11">
        <v>-0.25808529976640998</v>
      </c>
      <c r="J1825" s="10">
        <v>0.79634107645457397</v>
      </c>
      <c r="K1825" s="29">
        <v>0.98289565623980701</v>
      </c>
    </row>
    <row r="1826" spans="1:11" x14ac:dyDescent="0.35">
      <c r="A1826" s="9" t="str">
        <f>HYPERLINK("http://www.ensembl.org/id/WBGene00174014", "WBGene00174014")</f>
        <v>WBGene00174014</v>
      </c>
      <c r="B1826" s="9"/>
      <c r="C1826" s="9"/>
      <c r="D1826" t="str">
        <f>"21ur-14054"</f>
        <v>21ur-14054</v>
      </c>
      <c r="F1826" t="s">
        <v>3161</v>
      </c>
      <c r="H1826" s="12">
        <v>-2.4295389261469</v>
      </c>
      <c r="I1826" s="11">
        <v>-0.25808529976640998</v>
      </c>
      <c r="J1826" s="10">
        <v>0.79634107645457397</v>
      </c>
      <c r="K1826" s="29">
        <v>0.98289565623980701</v>
      </c>
    </row>
    <row r="1827" spans="1:11" x14ac:dyDescent="0.35">
      <c r="A1827" s="9" t="str">
        <f>HYPERLINK("http://www.ensembl.org/id/WBGene00174124", "WBGene00174124")</f>
        <v>WBGene00174124</v>
      </c>
      <c r="B1827" s="9"/>
      <c r="C1827" s="9"/>
      <c r="D1827" t="str">
        <f>"21ur-14221"</f>
        <v>21ur-14221</v>
      </c>
      <c r="F1827" t="s">
        <v>3161</v>
      </c>
      <c r="H1827" s="12">
        <v>-2.4295389261469</v>
      </c>
      <c r="I1827" s="11">
        <v>-0.25808529976640998</v>
      </c>
      <c r="J1827" s="10">
        <v>0.79634107645457397</v>
      </c>
      <c r="K1827" s="29">
        <v>0.98289565623980701</v>
      </c>
    </row>
    <row r="1828" spans="1:11" x14ac:dyDescent="0.35">
      <c r="A1828" s="9" t="str">
        <f>HYPERLINK("http://www.ensembl.org/id/WBGene00167753", "WBGene00167753")</f>
        <v>WBGene00167753</v>
      </c>
      <c r="B1828" s="9"/>
      <c r="C1828" s="9"/>
      <c r="D1828" t="str">
        <f>"21ur-14288"</f>
        <v>21ur-14288</v>
      </c>
      <c r="F1828" t="s">
        <v>3161</v>
      </c>
      <c r="H1828" s="12">
        <v>-2.4295389261469</v>
      </c>
      <c r="I1828" s="11">
        <v>-0.25808529976640998</v>
      </c>
      <c r="J1828" s="10">
        <v>0.79634107645457397</v>
      </c>
      <c r="K1828" s="29">
        <v>0.98289565623980701</v>
      </c>
    </row>
    <row r="1829" spans="1:11" x14ac:dyDescent="0.35">
      <c r="A1829" s="9" t="str">
        <f>HYPERLINK("http://www.ensembl.org/id/WBGene00169809", "WBGene00169809")</f>
        <v>WBGene00169809</v>
      </c>
      <c r="B1829" s="9"/>
      <c r="C1829" s="9"/>
      <c r="D1829" t="str">
        <f>"21ur-14315"</f>
        <v>21ur-14315</v>
      </c>
      <c r="F1829" t="s">
        <v>3161</v>
      </c>
      <c r="H1829" s="12">
        <v>-2.4295389261469</v>
      </c>
      <c r="I1829" s="11">
        <v>-0.25808529976640998</v>
      </c>
      <c r="J1829" s="10">
        <v>0.79634107645457397</v>
      </c>
      <c r="K1829" s="29">
        <v>0.98289565623980701</v>
      </c>
    </row>
    <row r="1830" spans="1:11" x14ac:dyDescent="0.35">
      <c r="A1830" s="9" t="str">
        <f>HYPERLINK("http://www.ensembl.org/id/WBGene00165761", "WBGene00165761")</f>
        <v>WBGene00165761</v>
      </c>
      <c r="B1830" s="9"/>
      <c r="C1830" s="9"/>
      <c r="D1830" t="str">
        <f>"21ur-14722"</f>
        <v>21ur-14722</v>
      </c>
      <c r="F1830" t="s">
        <v>3161</v>
      </c>
      <c r="H1830" s="12">
        <v>-2.4295389261469</v>
      </c>
      <c r="I1830" s="11">
        <v>-0.25808529976640998</v>
      </c>
      <c r="J1830" s="10">
        <v>0.79634107645457397</v>
      </c>
      <c r="K1830" s="29">
        <v>0.98289565623980701</v>
      </c>
    </row>
    <row r="1831" spans="1:11" x14ac:dyDescent="0.35">
      <c r="A1831" s="9" t="str">
        <f>HYPERLINK("http://www.ensembl.org/id/WBGene00166523", "WBGene00166523")</f>
        <v>WBGene00166523</v>
      </c>
      <c r="B1831" s="9"/>
      <c r="C1831" s="9"/>
      <c r="D1831" t="str">
        <f>"21ur-14738"</f>
        <v>21ur-14738</v>
      </c>
      <c r="F1831" t="s">
        <v>3161</v>
      </c>
      <c r="H1831" s="12">
        <v>-2.4295389261469</v>
      </c>
      <c r="I1831" s="11">
        <v>-0.25808529976640998</v>
      </c>
      <c r="J1831" s="10">
        <v>0.79634107645457397</v>
      </c>
      <c r="K1831" s="29">
        <v>0.98289565623980701</v>
      </c>
    </row>
    <row r="1832" spans="1:11" x14ac:dyDescent="0.35">
      <c r="A1832" s="9" t="str">
        <f>HYPERLINK("http://www.ensembl.org/id/WBGene00172655", "WBGene00172655")</f>
        <v>WBGene00172655</v>
      </c>
      <c r="B1832" s="9"/>
      <c r="C1832" s="9"/>
      <c r="D1832" t="str">
        <f>"21ur-14760"</f>
        <v>21ur-14760</v>
      </c>
      <c r="F1832" t="s">
        <v>3161</v>
      </c>
      <c r="H1832" s="12">
        <v>-2.4295389261469</v>
      </c>
      <c r="I1832" s="11">
        <v>-0.25808529976640998</v>
      </c>
      <c r="J1832" s="10">
        <v>0.79634107645457397</v>
      </c>
      <c r="K1832" s="29">
        <v>0.98289565623980701</v>
      </c>
    </row>
    <row r="1833" spans="1:11" x14ac:dyDescent="0.35">
      <c r="A1833" s="9" t="str">
        <f>HYPERLINK("http://www.ensembl.org/id/WBGene00169377", "WBGene00169377")</f>
        <v>WBGene00169377</v>
      </c>
      <c r="B1833" s="9"/>
      <c r="C1833" s="9"/>
      <c r="D1833" t="str">
        <f>"21ur-14770"</f>
        <v>21ur-14770</v>
      </c>
      <c r="F1833" t="s">
        <v>3161</v>
      </c>
      <c r="H1833" s="12">
        <v>-2.4295389261469</v>
      </c>
      <c r="I1833" s="11">
        <v>-0.25808529976640998</v>
      </c>
      <c r="J1833" s="10">
        <v>0.79634107645457397</v>
      </c>
      <c r="K1833" s="29">
        <v>0.98289565623980701</v>
      </c>
    </row>
    <row r="1834" spans="1:11" x14ac:dyDescent="0.35">
      <c r="A1834" s="9" t="str">
        <f>HYPERLINK("http://www.ensembl.org/id/WBGene00170538", "WBGene00170538")</f>
        <v>WBGene00170538</v>
      </c>
      <c r="B1834" s="9"/>
      <c r="C1834" s="9"/>
      <c r="D1834" t="str">
        <f>"21ur-15011"</f>
        <v>21ur-15011</v>
      </c>
      <c r="F1834" t="s">
        <v>3161</v>
      </c>
      <c r="H1834" s="12">
        <v>-2.4295389261469</v>
      </c>
      <c r="I1834" s="11">
        <v>-0.25808529976640998</v>
      </c>
      <c r="J1834" s="10">
        <v>0.79634107645457397</v>
      </c>
      <c r="K1834" s="29">
        <v>0.98289565623980701</v>
      </c>
    </row>
    <row r="1835" spans="1:11" x14ac:dyDescent="0.35">
      <c r="A1835" s="9" t="str">
        <f>HYPERLINK("http://www.ensembl.org/id/WBGene00167129", "WBGene00167129")</f>
        <v>WBGene00167129</v>
      </c>
      <c r="B1835" s="9"/>
      <c r="C1835" s="9"/>
      <c r="D1835" t="str">
        <f>"21ur-15194"</f>
        <v>21ur-15194</v>
      </c>
      <c r="F1835" t="s">
        <v>3161</v>
      </c>
      <c r="H1835" s="12">
        <v>-2.4295389261469</v>
      </c>
      <c r="I1835" s="11">
        <v>-0.25808529976640998</v>
      </c>
      <c r="J1835" s="10">
        <v>0.79634107645457397</v>
      </c>
      <c r="K1835" s="29">
        <v>0.98289565623980701</v>
      </c>
    </row>
    <row r="1836" spans="1:11" x14ac:dyDescent="0.35">
      <c r="A1836" s="9" t="str">
        <f>HYPERLINK("http://www.ensembl.org/id/WBGene00050681", "WBGene00050681")</f>
        <v>WBGene00050681</v>
      </c>
      <c r="B1836" s="9"/>
      <c r="C1836" s="9"/>
      <c r="D1836" t="str">
        <f>"21ur-1614"</f>
        <v>21ur-1614</v>
      </c>
      <c r="F1836" t="s">
        <v>3161</v>
      </c>
      <c r="H1836" s="12">
        <v>-2.4295389261469</v>
      </c>
      <c r="I1836" s="11">
        <v>-0.25808529976640998</v>
      </c>
      <c r="J1836" s="10">
        <v>0.79634107645457397</v>
      </c>
      <c r="K1836" s="29">
        <v>0.98289565623980701</v>
      </c>
    </row>
    <row r="1837" spans="1:11" x14ac:dyDescent="0.35">
      <c r="A1837" s="9" t="str">
        <f>HYPERLINK("http://www.ensembl.org/id/WBGene00049500", "WBGene00049500")</f>
        <v>WBGene00049500</v>
      </c>
      <c r="B1837" s="9"/>
      <c r="C1837" s="9"/>
      <c r="D1837" t="str">
        <f>"21ur-1670"</f>
        <v>21ur-1670</v>
      </c>
      <c r="F1837" t="s">
        <v>3161</v>
      </c>
      <c r="H1837" s="12">
        <v>-2.4295389261469</v>
      </c>
      <c r="I1837" s="11">
        <v>-0.25808529976640998</v>
      </c>
      <c r="J1837" s="10">
        <v>0.79634107645457397</v>
      </c>
      <c r="K1837" s="29">
        <v>0.98289565623980701</v>
      </c>
    </row>
    <row r="1838" spans="1:11" x14ac:dyDescent="0.35">
      <c r="A1838" s="9" t="str">
        <f>HYPERLINK("http://www.ensembl.org/id/WBGene00047205", "WBGene00047205")</f>
        <v>WBGene00047205</v>
      </c>
      <c r="B1838" s="9"/>
      <c r="C1838" s="9"/>
      <c r="D1838" t="str">
        <f>"21ur-1749"</f>
        <v>21ur-1749</v>
      </c>
      <c r="F1838" t="s">
        <v>3161</v>
      </c>
      <c r="H1838" s="12">
        <v>-2.4295389261469</v>
      </c>
      <c r="I1838" s="11">
        <v>-0.25808529976640998</v>
      </c>
      <c r="J1838" s="10">
        <v>0.79634107645457397</v>
      </c>
      <c r="K1838" s="29">
        <v>0.98289565623980701</v>
      </c>
    </row>
    <row r="1839" spans="1:11" x14ac:dyDescent="0.35">
      <c r="A1839" s="9" t="str">
        <f>HYPERLINK("http://www.ensembl.org/id/WBGene00048849", "WBGene00048849")</f>
        <v>WBGene00048849</v>
      </c>
      <c r="B1839" s="9"/>
      <c r="C1839" s="9"/>
      <c r="D1839" t="str">
        <f>"21ur-2258"</f>
        <v>21ur-2258</v>
      </c>
      <c r="F1839" t="s">
        <v>3161</v>
      </c>
      <c r="H1839" s="12">
        <v>-2.4295389261469</v>
      </c>
      <c r="I1839" s="11">
        <v>-0.25808529976640998</v>
      </c>
      <c r="J1839" s="10">
        <v>0.79634107645457397</v>
      </c>
      <c r="K1839" s="29">
        <v>0.98289565623980701</v>
      </c>
    </row>
    <row r="1840" spans="1:11" x14ac:dyDescent="0.35">
      <c r="A1840" s="9" t="str">
        <f>HYPERLINK("http://www.ensembl.org/id/WBGene00050298", "WBGene00050298")</f>
        <v>WBGene00050298</v>
      </c>
      <c r="B1840" s="9"/>
      <c r="C1840" s="9"/>
      <c r="D1840" t="str">
        <f>"21ur-3102"</f>
        <v>21ur-3102</v>
      </c>
      <c r="F1840" t="s">
        <v>3161</v>
      </c>
      <c r="H1840" s="12">
        <v>-2.4295389261469</v>
      </c>
      <c r="I1840" s="11">
        <v>-0.25808529976640998</v>
      </c>
      <c r="J1840" s="10">
        <v>0.79634107645457397</v>
      </c>
      <c r="K1840" s="29">
        <v>0.98289565623980701</v>
      </c>
    </row>
    <row r="1841" spans="1:11" x14ac:dyDescent="0.35">
      <c r="A1841" s="9" t="str">
        <f>HYPERLINK("http://www.ensembl.org/id/WBGene00048610", "WBGene00048610")</f>
        <v>WBGene00048610</v>
      </c>
      <c r="B1841" s="9"/>
      <c r="C1841" s="9"/>
      <c r="D1841" t="str">
        <f>"21ur-3151"</f>
        <v>21ur-3151</v>
      </c>
      <c r="F1841" t="s">
        <v>3161</v>
      </c>
      <c r="H1841" s="12">
        <v>-2.4295389261469</v>
      </c>
      <c r="I1841" s="11">
        <v>-0.25808529976640998</v>
      </c>
      <c r="J1841" s="10">
        <v>0.79634107645457397</v>
      </c>
      <c r="K1841" s="29">
        <v>0.98289565623980701</v>
      </c>
    </row>
    <row r="1842" spans="1:11" x14ac:dyDescent="0.35">
      <c r="A1842" s="9" t="str">
        <f>HYPERLINK("http://www.ensembl.org/id/WBGene00050859", "WBGene00050859")</f>
        <v>WBGene00050859</v>
      </c>
      <c r="B1842" s="9"/>
      <c r="C1842" s="9"/>
      <c r="D1842" t="str">
        <f>"21ur-3263"</f>
        <v>21ur-3263</v>
      </c>
      <c r="F1842" t="s">
        <v>3161</v>
      </c>
      <c r="H1842" s="12">
        <v>-2.4295389261469</v>
      </c>
      <c r="I1842" s="11">
        <v>-0.25808529976640998</v>
      </c>
      <c r="J1842" s="10">
        <v>0.79634107645457397</v>
      </c>
      <c r="K1842" s="29">
        <v>0.98289565623980701</v>
      </c>
    </row>
    <row r="1843" spans="1:11" x14ac:dyDescent="0.35">
      <c r="A1843" s="9" t="str">
        <f>HYPERLINK("http://www.ensembl.org/id/WBGene00049272", "WBGene00049272")</f>
        <v>WBGene00049272</v>
      </c>
      <c r="B1843" s="9"/>
      <c r="C1843" s="9"/>
      <c r="D1843" t="str">
        <f>"21ur-3444"</f>
        <v>21ur-3444</v>
      </c>
      <c r="F1843" t="s">
        <v>3161</v>
      </c>
      <c r="H1843" s="12">
        <v>-2.4295389261469</v>
      </c>
      <c r="I1843" s="11">
        <v>-0.25808529976640998</v>
      </c>
      <c r="J1843" s="10">
        <v>0.79634107645457397</v>
      </c>
      <c r="K1843" s="29">
        <v>0.98289565623980701</v>
      </c>
    </row>
    <row r="1844" spans="1:11" x14ac:dyDescent="0.35">
      <c r="A1844" s="9" t="str">
        <f>HYPERLINK("http://www.ensembl.org/id/WBGene00047500", "WBGene00047500")</f>
        <v>WBGene00047500</v>
      </c>
      <c r="B1844" s="9"/>
      <c r="C1844" s="9"/>
      <c r="D1844" t="str">
        <f>"21ur-4510"</f>
        <v>21ur-4510</v>
      </c>
      <c r="F1844" t="s">
        <v>3161</v>
      </c>
      <c r="H1844" s="12">
        <v>-2.4295389261469</v>
      </c>
      <c r="I1844" s="11">
        <v>-0.25808529976640998</v>
      </c>
      <c r="J1844" s="10">
        <v>0.79634107645457397</v>
      </c>
      <c r="K1844" s="29">
        <v>0.98289565623980701</v>
      </c>
    </row>
    <row r="1845" spans="1:11" x14ac:dyDescent="0.35">
      <c r="A1845" s="9" t="str">
        <f>HYPERLINK("http://www.ensembl.org/id/WBGene00046472", "WBGene00046472")</f>
        <v>WBGene00046472</v>
      </c>
      <c r="B1845" s="9"/>
      <c r="C1845" s="9"/>
      <c r="D1845" t="str">
        <f>"21ur-4852"</f>
        <v>21ur-4852</v>
      </c>
      <c r="F1845" t="s">
        <v>3161</v>
      </c>
      <c r="H1845" s="12">
        <v>-2.4295389261469</v>
      </c>
      <c r="I1845" s="11">
        <v>-0.25808529976640998</v>
      </c>
      <c r="J1845" s="10">
        <v>0.79634107645457397</v>
      </c>
      <c r="K1845" s="29">
        <v>0.98289565623980701</v>
      </c>
    </row>
    <row r="1846" spans="1:11" x14ac:dyDescent="0.35">
      <c r="A1846" s="9" t="str">
        <f>HYPERLINK("http://www.ensembl.org/id/WBGene00046517", "WBGene00046517")</f>
        <v>WBGene00046517</v>
      </c>
      <c r="B1846" s="9"/>
      <c r="C1846" s="9"/>
      <c r="D1846" t="str">
        <f>"21ur-5064"</f>
        <v>21ur-5064</v>
      </c>
      <c r="F1846" t="s">
        <v>3161</v>
      </c>
      <c r="H1846" s="12">
        <v>-2.4295389261469</v>
      </c>
      <c r="I1846" s="11">
        <v>-0.25808529976640998</v>
      </c>
      <c r="J1846" s="10">
        <v>0.79634107645457397</v>
      </c>
      <c r="K1846" s="29">
        <v>0.98289565623980701</v>
      </c>
    </row>
    <row r="1847" spans="1:11" x14ac:dyDescent="0.35">
      <c r="A1847" s="9" t="str">
        <f>HYPERLINK("http://www.ensembl.org/id/WBGene00173052", "WBGene00173052")</f>
        <v>WBGene00173052</v>
      </c>
      <c r="B1847" s="9"/>
      <c r="C1847" s="9"/>
      <c r="D1847" t="str">
        <f>"21ur-5966"</f>
        <v>21ur-5966</v>
      </c>
      <c r="F1847" t="s">
        <v>3161</v>
      </c>
      <c r="H1847" s="12">
        <v>-2.4295389261469</v>
      </c>
      <c r="I1847" s="11">
        <v>-0.25808529976640998</v>
      </c>
      <c r="J1847" s="10">
        <v>0.79634107645457397</v>
      </c>
      <c r="K1847" s="29">
        <v>0.98289565623980701</v>
      </c>
    </row>
    <row r="1848" spans="1:11" x14ac:dyDescent="0.35">
      <c r="A1848" s="9" t="str">
        <f>HYPERLINK("http://www.ensembl.org/id/WBGene00167665", "WBGene00167665")</f>
        <v>WBGene00167665</v>
      </c>
      <c r="B1848" s="9"/>
      <c r="C1848" s="9"/>
      <c r="D1848" t="str">
        <f>"21ur-6004"</f>
        <v>21ur-6004</v>
      </c>
      <c r="F1848" t="s">
        <v>3161</v>
      </c>
      <c r="H1848" s="12">
        <v>-2.4295389261469</v>
      </c>
      <c r="I1848" s="11">
        <v>-0.25808529976640998</v>
      </c>
      <c r="J1848" s="10">
        <v>0.79634107645457397</v>
      </c>
      <c r="K1848" s="29">
        <v>0.98289565623980701</v>
      </c>
    </row>
    <row r="1849" spans="1:11" x14ac:dyDescent="0.35">
      <c r="A1849" s="9" t="str">
        <f>HYPERLINK("http://www.ensembl.org/id/WBGene00169726", "WBGene00169726")</f>
        <v>WBGene00169726</v>
      </c>
      <c r="B1849" s="9"/>
      <c r="C1849" s="9"/>
      <c r="D1849" t="str">
        <f>"21ur-6428"</f>
        <v>21ur-6428</v>
      </c>
      <c r="F1849" t="s">
        <v>3161</v>
      </c>
      <c r="H1849" s="12">
        <v>-2.4295389261469</v>
      </c>
      <c r="I1849" s="11">
        <v>-0.25808529976640998</v>
      </c>
      <c r="J1849" s="10">
        <v>0.79634107645457397</v>
      </c>
      <c r="K1849" s="29">
        <v>0.98289565623980701</v>
      </c>
    </row>
    <row r="1850" spans="1:11" x14ac:dyDescent="0.35">
      <c r="A1850" s="9" t="str">
        <f>HYPERLINK("http://www.ensembl.org/id/WBGene00167223", "WBGene00167223")</f>
        <v>WBGene00167223</v>
      </c>
      <c r="B1850" s="9"/>
      <c r="C1850" s="9"/>
      <c r="D1850" t="str">
        <f>"21ur-6679"</f>
        <v>21ur-6679</v>
      </c>
      <c r="F1850" t="s">
        <v>3161</v>
      </c>
      <c r="H1850" s="12">
        <v>-2.4295389261469</v>
      </c>
      <c r="I1850" s="11">
        <v>-0.25808529976640998</v>
      </c>
      <c r="J1850" s="10">
        <v>0.79634107645457397</v>
      </c>
      <c r="K1850" s="29">
        <v>0.98289565623980701</v>
      </c>
    </row>
    <row r="1851" spans="1:11" x14ac:dyDescent="0.35">
      <c r="A1851" s="9" t="str">
        <f>HYPERLINK("http://www.ensembl.org/id/WBGene00050075", "WBGene00050075")</f>
        <v>WBGene00050075</v>
      </c>
      <c r="B1851" s="9"/>
      <c r="C1851" s="9"/>
      <c r="D1851" t="str">
        <f>"21ur-688"</f>
        <v>21ur-688</v>
      </c>
      <c r="F1851" t="s">
        <v>3161</v>
      </c>
      <c r="H1851" s="12">
        <v>-2.4295389261469</v>
      </c>
      <c r="I1851" s="11">
        <v>-0.25808529976640998</v>
      </c>
      <c r="J1851" s="10">
        <v>0.79634107645457397</v>
      </c>
      <c r="K1851" s="29">
        <v>0.98289565623980701</v>
      </c>
    </row>
    <row r="1852" spans="1:11" x14ac:dyDescent="0.35">
      <c r="A1852" s="9" t="str">
        <f>HYPERLINK("http://www.ensembl.org/id/WBGene00174119", "WBGene00174119")</f>
        <v>WBGene00174119</v>
      </c>
      <c r="B1852" s="9"/>
      <c r="C1852" s="9"/>
      <c r="D1852" t="str">
        <f>"21ur-7075"</f>
        <v>21ur-7075</v>
      </c>
      <c r="F1852" t="s">
        <v>3161</v>
      </c>
      <c r="H1852" s="12">
        <v>-2.4295389261469</v>
      </c>
      <c r="I1852" s="11">
        <v>-0.25808529976640998</v>
      </c>
      <c r="J1852" s="10">
        <v>0.79634107645457397</v>
      </c>
      <c r="K1852" s="29">
        <v>0.98289565623980701</v>
      </c>
    </row>
    <row r="1853" spans="1:11" x14ac:dyDescent="0.35">
      <c r="A1853" s="9" t="str">
        <f>HYPERLINK("http://www.ensembl.org/id/WBGene00172349", "WBGene00172349")</f>
        <v>WBGene00172349</v>
      </c>
      <c r="B1853" s="9"/>
      <c r="C1853" s="9"/>
      <c r="D1853" t="str">
        <f>"21ur-7225"</f>
        <v>21ur-7225</v>
      </c>
      <c r="F1853" t="s">
        <v>3161</v>
      </c>
      <c r="H1853" s="12">
        <v>-2.4295389261469</v>
      </c>
      <c r="I1853" s="11">
        <v>-0.25808529976640998</v>
      </c>
      <c r="J1853" s="10">
        <v>0.79634107645457397</v>
      </c>
      <c r="K1853" s="29">
        <v>0.98289565623980701</v>
      </c>
    </row>
    <row r="1854" spans="1:11" x14ac:dyDescent="0.35">
      <c r="A1854" s="9" t="str">
        <f>HYPERLINK("http://www.ensembl.org/id/WBGene00174922", "WBGene00174922")</f>
        <v>WBGene00174922</v>
      </c>
      <c r="B1854" s="9"/>
      <c r="C1854" s="9"/>
      <c r="D1854" t="str">
        <f>"21ur-7484"</f>
        <v>21ur-7484</v>
      </c>
      <c r="F1854" t="s">
        <v>3161</v>
      </c>
      <c r="H1854" s="12">
        <v>-2.4295389261469</v>
      </c>
      <c r="I1854" s="11">
        <v>-0.25808529976640998</v>
      </c>
      <c r="J1854" s="10">
        <v>0.79634107645457397</v>
      </c>
      <c r="K1854" s="29">
        <v>0.98289565623980701</v>
      </c>
    </row>
    <row r="1855" spans="1:11" x14ac:dyDescent="0.35">
      <c r="A1855" s="9" t="str">
        <f>HYPERLINK("http://www.ensembl.org/id/WBGene00172174", "WBGene00172174")</f>
        <v>WBGene00172174</v>
      </c>
      <c r="B1855" s="9"/>
      <c r="C1855" s="9"/>
      <c r="D1855" t="str">
        <f>"21ur-8491"</f>
        <v>21ur-8491</v>
      </c>
      <c r="F1855" t="s">
        <v>3161</v>
      </c>
      <c r="H1855" s="12">
        <v>-2.4295389261469</v>
      </c>
      <c r="I1855" s="11">
        <v>-0.25808529976640998</v>
      </c>
      <c r="J1855" s="10">
        <v>0.79634107645457397</v>
      </c>
      <c r="K1855" s="29">
        <v>0.98289565623980701</v>
      </c>
    </row>
    <row r="1856" spans="1:11" x14ac:dyDescent="0.35">
      <c r="A1856" s="9" t="str">
        <f>HYPERLINK("http://www.ensembl.org/id/WBGene00167917", "WBGene00167917")</f>
        <v>WBGene00167917</v>
      </c>
      <c r="B1856" s="9"/>
      <c r="C1856" s="9"/>
      <c r="D1856" t="str">
        <f>"21ur-8672"</f>
        <v>21ur-8672</v>
      </c>
      <c r="F1856" t="s">
        <v>3161</v>
      </c>
      <c r="H1856" s="12">
        <v>-2.4295389261469</v>
      </c>
      <c r="I1856" s="11">
        <v>-0.25808529976640998</v>
      </c>
      <c r="J1856" s="10">
        <v>0.79634107645457397</v>
      </c>
      <c r="K1856" s="29">
        <v>0.98289565623980701</v>
      </c>
    </row>
    <row r="1857" spans="1:11" x14ac:dyDescent="0.35">
      <c r="A1857" s="9" t="str">
        <f>HYPERLINK("http://www.ensembl.org/id/WBGene00167116", "WBGene00167116")</f>
        <v>WBGene00167116</v>
      </c>
      <c r="B1857" s="9"/>
      <c r="C1857" s="9"/>
      <c r="D1857" t="str">
        <f>"21ur-9208"</f>
        <v>21ur-9208</v>
      </c>
      <c r="F1857" t="s">
        <v>3161</v>
      </c>
      <c r="H1857" s="12">
        <v>-2.4295389261469</v>
      </c>
      <c r="I1857" s="11">
        <v>-0.25808529976640998</v>
      </c>
      <c r="J1857" s="10">
        <v>0.79634107645457397</v>
      </c>
      <c r="K1857" s="29">
        <v>0.98289565623980701</v>
      </c>
    </row>
    <row r="1858" spans="1:11" x14ac:dyDescent="0.35">
      <c r="A1858" s="9" t="str">
        <f>HYPERLINK("http://www.ensembl.org/id/WBGene00168549", "WBGene00168549")</f>
        <v>WBGene00168549</v>
      </c>
      <c r="B1858" s="9"/>
      <c r="C1858" s="9"/>
      <c r="D1858" t="str">
        <f>"21ur-9391"</f>
        <v>21ur-9391</v>
      </c>
      <c r="F1858" t="s">
        <v>3161</v>
      </c>
      <c r="H1858" s="12">
        <v>-2.4295389261469</v>
      </c>
      <c r="I1858" s="11">
        <v>-0.25808529976640998</v>
      </c>
      <c r="J1858" s="10">
        <v>0.79634107645457397</v>
      </c>
      <c r="K1858" s="29">
        <v>0.98289565623980701</v>
      </c>
    </row>
    <row r="1859" spans="1:11" x14ac:dyDescent="0.35">
      <c r="A1859" s="9" t="str">
        <f>HYPERLINK("http://www.ensembl.org/id/WBGene00171169", "WBGene00171169")</f>
        <v>WBGene00171169</v>
      </c>
      <c r="B1859" s="9"/>
      <c r="C1859" s="9"/>
      <c r="D1859" t="str">
        <f>"21ur-9870"</f>
        <v>21ur-9870</v>
      </c>
      <c r="F1859" t="s">
        <v>3161</v>
      </c>
      <c r="H1859" s="12">
        <v>-2.4295389261469</v>
      </c>
      <c r="I1859" s="11">
        <v>-0.25808529976640998</v>
      </c>
      <c r="J1859" s="10">
        <v>0.79634107645457397</v>
      </c>
      <c r="K1859" s="29">
        <v>0.98289565623980701</v>
      </c>
    </row>
    <row r="1860" spans="1:11" x14ac:dyDescent="0.35">
      <c r="A1860" s="9" t="str">
        <f>HYPERLINK("http://www.ensembl.org/id/WBGene00219576", "WBGene00219576")</f>
        <v>WBGene00219576</v>
      </c>
      <c r="B1860" s="9"/>
      <c r="C1860" s="9"/>
      <c r="D1860" t="str">
        <f>"anr-13"</f>
        <v>anr-13</v>
      </c>
      <c r="F1860" t="s">
        <v>2735</v>
      </c>
      <c r="H1860" s="12">
        <v>-2.4295389261469</v>
      </c>
      <c r="I1860" s="11">
        <v>-0.25808529976640998</v>
      </c>
      <c r="J1860" s="10">
        <v>0.79634107645457397</v>
      </c>
      <c r="K1860" s="29">
        <v>0.98289565623980701</v>
      </c>
    </row>
    <row r="1861" spans="1:11" x14ac:dyDescent="0.35">
      <c r="A1861" s="9" t="str">
        <f>HYPERLINK("http://www.ensembl.org/id/WBGene00013973", "WBGene00013973")</f>
        <v>WBGene00013973</v>
      </c>
      <c r="B1861" s="9" t="str">
        <f>HYPERLINK("http://www.ncbi.nlm.nih.gov/gene/191310", "191310")</f>
        <v>191310</v>
      </c>
      <c r="C1861" s="9"/>
      <c r="D1861" t="str">
        <f>"asp-18"</f>
        <v>asp-18</v>
      </c>
      <c r="E1861" t="s">
        <v>1521</v>
      </c>
      <c r="F1861" t="s">
        <v>11</v>
      </c>
      <c r="G1861" t="s">
        <v>10057</v>
      </c>
      <c r="H1861" s="12">
        <v>-2.4295389261469</v>
      </c>
      <c r="I1861" s="11">
        <v>-0.25808529976640998</v>
      </c>
      <c r="J1861" s="10">
        <v>0.79634107645457397</v>
      </c>
      <c r="K1861" s="29">
        <v>0.98289565623980701</v>
      </c>
    </row>
    <row r="1862" spans="1:11" x14ac:dyDescent="0.35">
      <c r="A1862" s="9" t="str">
        <f>HYPERLINK("http://www.ensembl.org/id/WBGene00198848", "WBGene00198848")</f>
        <v>WBGene00198848</v>
      </c>
      <c r="B1862" s="9"/>
      <c r="C1862" s="9"/>
      <c r="D1862" t="str">
        <f>"B0205.16"</f>
        <v>B0205.16</v>
      </c>
      <c r="F1862" t="s">
        <v>481</v>
      </c>
      <c r="H1862" s="12">
        <v>-2.4295389261469</v>
      </c>
      <c r="I1862" s="11">
        <v>-0.25808529976640998</v>
      </c>
      <c r="J1862" s="10">
        <v>0.79634107645457397</v>
      </c>
      <c r="K1862" s="29">
        <v>0.98289565623980701</v>
      </c>
    </row>
    <row r="1863" spans="1:11" x14ac:dyDescent="0.35">
      <c r="A1863" s="9" t="str">
        <f>HYPERLINK("http://www.ensembl.org/id/WBGene00199439", "WBGene00199439")</f>
        <v>WBGene00199439</v>
      </c>
      <c r="B1863" s="9"/>
      <c r="C1863" s="9"/>
      <c r="D1863" t="str">
        <f>"B0286.8"</f>
        <v>B0286.8</v>
      </c>
      <c r="F1863" t="s">
        <v>481</v>
      </c>
      <c r="H1863" s="12">
        <v>-2.4295389261469</v>
      </c>
      <c r="I1863" s="11">
        <v>-0.25808529976640998</v>
      </c>
      <c r="J1863" s="10">
        <v>0.79634107645457397</v>
      </c>
      <c r="K1863" s="29">
        <v>0.98289565623980701</v>
      </c>
    </row>
    <row r="1864" spans="1:11" x14ac:dyDescent="0.35">
      <c r="A1864" s="9" t="str">
        <f>HYPERLINK("http://www.ensembl.org/id/WBGene00200897", "WBGene00200897")</f>
        <v>WBGene00200897</v>
      </c>
      <c r="B1864" s="9"/>
      <c r="C1864" s="9"/>
      <c r="D1864" t="str">
        <f>"B0491.11"</f>
        <v>B0491.11</v>
      </c>
      <c r="F1864" t="s">
        <v>481</v>
      </c>
      <c r="H1864" s="12">
        <v>-2.4295389261469</v>
      </c>
      <c r="I1864" s="11">
        <v>-0.25808529976640998</v>
      </c>
      <c r="J1864" s="10">
        <v>0.79634107645457397</v>
      </c>
      <c r="K1864" s="29">
        <v>0.98289565623980701</v>
      </c>
    </row>
    <row r="1865" spans="1:11" x14ac:dyDescent="0.35">
      <c r="A1865" s="9" t="str">
        <f>HYPERLINK("http://www.ensembl.org/id/WBGene00200321", "WBGene00200321")</f>
        <v>WBGene00200321</v>
      </c>
      <c r="B1865" s="9"/>
      <c r="C1865" s="9"/>
      <c r="D1865" t="str">
        <f>"C02B4.12"</f>
        <v>C02B4.12</v>
      </c>
      <c r="F1865" t="s">
        <v>481</v>
      </c>
      <c r="H1865" s="12">
        <v>-2.4295389261469</v>
      </c>
      <c r="I1865" s="11">
        <v>-0.25808529976640998</v>
      </c>
      <c r="J1865" s="10">
        <v>0.79634107645457397</v>
      </c>
      <c r="K1865" s="29">
        <v>0.98289565623980701</v>
      </c>
    </row>
    <row r="1866" spans="1:11" x14ac:dyDescent="0.35">
      <c r="A1866" s="9" t="str">
        <f>HYPERLINK("http://www.ensembl.org/id/WBGene00198254", "WBGene00198254")</f>
        <v>WBGene00198254</v>
      </c>
      <c r="B1866" s="9"/>
      <c r="C1866" s="9"/>
      <c r="D1866" t="str">
        <f>"C02B4.9"</f>
        <v>C02B4.9</v>
      </c>
      <c r="F1866" t="s">
        <v>481</v>
      </c>
      <c r="H1866" s="12">
        <v>-2.4295389261469</v>
      </c>
      <c r="I1866" s="11">
        <v>-0.25808529976640998</v>
      </c>
      <c r="J1866" s="10">
        <v>0.79634107645457397</v>
      </c>
      <c r="K1866" s="29">
        <v>0.98289565623980701</v>
      </c>
    </row>
    <row r="1867" spans="1:11" x14ac:dyDescent="0.35">
      <c r="A1867" s="9" t="str">
        <f>HYPERLINK("http://www.ensembl.org/id/WBGene00009527", "WBGene00009527")</f>
        <v>WBGene00009527</v>
      </c>
      <c r="B1867" s="9"/>
      <c r="C1867" s="9"/>
      <c r="D1867" t="str">
        <f>"C02B4.t1"</f>
        <v>C02B4.t1</v>
      </c>
      <c r="F1867" t="s">
        <v>4208</v>
      </c>
      <c r="H1867" s="12">
        <v>-2.4295389261469</v>
      </c>
      <c r="I1867" s="11">
        <v>-0.25808529976640998</v>
      </c>
      <c r="J1867" s="10">
        <v>0.79634107645457397</v>
      </c>
      <c r="K1867" s="29">
        <v>0.98289565623980701</v>
      </c>
    </row>
    <row r="1868" spans="1:11" x14ac:dyDescent="0.35">
      <c r="A1868" s="9" t="str">
        <f>HYPERLINK("http://www.ensembl.org/id/WBGene00015380", "WBGene00015380")</f>
        <v>WBGene00015380</v>
      </c>
      <c r="B1868" s="9" t="str">
        <f>HYPERLINK("http://www.ncbi.nlm.nih.gov/gene/182151", "182151")</f>
        <v>182151</v>
      </c>
      <c r="C1868" s="9"/>
      <c r="D1868" t="str">
        <f>"C03B1.10"</f>
        <v>C03B1.10</v>
      </c>
      <c r="F1868" t="s">
        <v>11</v>
      </c>
      <c r="H1868" s="12">
        <v>-2.4295389261469</v>
      </c>
      <c r="I1868" s="11">
        <v>-0.25808529976640998</v>
      </c>
      <c r="J1868" s="10">
        <v>0.79634107645457397</v>
      </c>
      <c r="K1868" s="29">
        <v>0.98289565623980701</v>
      </c>
    </row>
    <row r="1869" spans="1:11" x14ac:dyDescent="0.35">
      <c r="A1869" s="9" t="str">
        <f>HYPERLINK("http://www.ensembl.org/id/WBGene00235116", "WBGene00235116")</f>
        <v>WBGene00235116</v>
      </c>
      <c r="B1869" s="9" t="str">
        <f>HYPERLINK("http://www.ncbi.nlm.nih.gov/gene/24104156", "24104156")</f>
        <v>24104156</v>
      </c>
      <c r="C1869" s="9"/>
      <c r="D1869" t="str">
        <f>"C03G6.21"</f>
        <v>C03G6.21</v>
      </c>
      <c r="F1869" t="s">
        <v>11</v>
      </c>
      <c r="G1869" t="s">
        <v>25</v>
      </c>
      <c r="H1869" s="12">
        <v>-2.4295389261469</v>
      </c>
      <c r="I1869" s="11">
        <v>-0.25808529976640998</v>
      </c>
      <c r="J1869" s="10">
        <v>0.79634107645457397</v>
      </c>
      <c r="K1869" s="29">
        <v>0.98289565623980701</v>
      </c>
    </row>
    <row r="1870" spans="1:11" x14ac:dyDescent="0.35">
      <c r="A1870" s="9" t="str">
        <f>HYPERLINK("http://www.ensembl.org/id/WBGene00199448", "WBGene00199448")</f>
        <v>WBGene00199448</v>
      </c>
      <c r="B1870" s="9"/>
      <c r="C1870" s="9"/>
      <c r="D1870" t="str">
        <f>"C04A11.8"</f>
        <v>C04A11.8</v>
      </c>
      <c r="F1870" t="s">
        <v>481</v>
      </c>
      <c r="H1870" s="12">
        <v>-2.4295389261469</v>
      </c>
      <c r="I1870" s="11">
        <v>-0.25808529976640998</v>
      </c>
      <c r="J1870" s="10">
        <v>0.79634107645457397</v>
      </c>
      <c r="K1870" s="29">
        <v>0.98289565623980701</v>
      </c>
    </row>
    <row r="1871" spans="1:11" x14ac:dyDescent="0.35">
      <c r="A1871" s="9" t="str">
        <f>HYPERLINK("http://www.ensembl.org/id/WBGene00201510", "WBGene00201510")</f>
        <v>WBGene00201510</v>
      </c>
      <c r="B1871" s="9"/>
      <c r="C1871" s="9"/>
      <c r="D1871" t="str">
        <f>"C05E7.6"</f>
        <v>C05E7.6</v>
      </c>
      <c r="F1871" t="s">
        <v>481</v>
      </c>
      <c r="H1871" s="12">
        <v>-2.4295389261469</v>
      </c>
      <c r="I1871" s="11">
        <v>-0.25808529976640998</v>
      </c>
      <c r="J1871" s="10">
        <v>0.79634107645457397</v>
      </c>
      <c r="K1871" s="29">
        <v>0.98289565623980701</v>
      </c>
    </row>
    <row r="1872" spans="1:11" x14ac:dyDescent="0.35">
      <c r="A1872" s="9" t="str">
        <f>HYPERLINK("http://www.ensembl.org/id/WBGene00236807", "WBGene00236807")</f>
        <v>WBGene00236807</v>
      </c>
      <c r="B1872" s="9"/>
      <c r="C1872" s="9"/>
      <c r="D1872" t="str">
        <f>"C06E4.22"</f>
        <v>C06E4.22</v>
      </c>
      <c r="F1872" t="s">
        <v>80</v>
      </c>
      <c r="H1872" s="12">
        <v>-2.4295389261469</v>
      </c>
      <c r="I1872" s="11">
        <v>-0.25808529976640998</v>
      </c>
      <c r="J1872" s="10">
        <v>0.79634107645457397</v>
      </c>
      <c r="K1872" s="29">
        <v>0.98289565623980701</v>
      </c>
    </row>
    <row r="1873" spans="1:11" x14ac:dyDescent="0.35">
      <c r="A1873" s="9" t="str">
        <f>HYPERLINK("http://www.ensembl.org/id/WBGene00195582", "WBGene00195582")</f>
        <v>WBGene00195582</v>
      </c>
      <c r="B1873" s="9"/>
      <c r="C1873" s="9"/>
      <c r="D1873" t="str">
        <f>"C06E8.6"</f>
        <v>C06E8.6</v>
      </c>
      <c r="F1873" t="s">
        <v>481</v>
      </c>
      <c r="H1873" s="12">
        <v>-2.4295389261469</v>
      </c>
      <c r="I1873" s="11">
        <v>-0.25808529976640998</v>
      </c>
      <c r="J1873" s="10">
        <v>0.79634107645457397</v>
      </c>
      <c r="K1873" s="29">
        <v>0.98289565623980701</v>
      </c>
    </row>
    <row r="1874" spans="1:11" x14ac:dyDescent="0.35">
      <c r="A1874" s="9" t="str">
        <f>HYPERLINK("http://www.ensembl.org/id/WBGene00022917", "WBGene00022917")</f>
        <v>WBGene00022917</v>
      </c>
      <c r="B1874" s="9"/>
      <c r="C1874" s="9"/>
      <c r="D1874" t="str">
        <f>"C06G4.t1"</f>
        <v>C06G4.t1</v>
      </c>
      <c r="F1874" t="s">
        <v>4208</v>
      </c>
      <c r="H1874" s="12">
        <v>-2.4295389261469</v>
      </c>
      <c r="I1874" s="11">
        <v>-0.25808529976640998</v>
      </c>
      <c r="J1874" s="10">
        <v>0.79634107645457397</v>
      </c>
      <c r="K1874" s="29">
        <v>0.98289565623980701</v>
      </c>
    </row>
    <row r="1875" spans="1:11" x14ac:dyDescent="0.35">
      <c r="A1875" s="9" t="str">
        <f>HYPERLINK("http://www.ensembl.org/id/WBGene00197381", "WBGene00197381")</f>
        <v>WBGene00197381</v>
      </c>
      <c r="B1875" s="9"/>
      <c r="C1875" s="9"/>
      <c r="D1875" t="str">
        <f>"C07A12.10"</f>
        <v>C07A12.10</v>
      </c>
      <c r="F1875" t="s">
        <v>481</v>
      </c>
      <c r="H1875" s="12">
        <v>-2.4295389261469</v>
      </c>
      <c r="I1875" s="11">
        <v>-0.25808529976640998</v>
      </c>
      <c r="J1875" s="10">
        <v>0.79634107645457397</v>
      </c>
      <c r="K1875" s="29">
        <v>0.98289565623980701</v>
      </c>
    </row>
    <row r="1876" spans="1:11" x14ac:dyDescent="0.35">
      <c r="A1876" s="9" t="str">
        <f>HYPERLINK("http://www.ensembl.org/id/WBGene00198851", "WBGene00198851")</f>
        <v>WBGene00198851</v>
      </c>
      <c r="B1876" s="9"/>
      <c r="C1876" s="9"/>
      <c r="D1876" t="str">
        <f>"C07A4.8"</f>
        <v>C07A4.8</v>
      </c>
      <c r="F1876" t="s">
        <v>481</v>
      </c>
      <c r="H1876" s="12">
        <v>-2.4295389261469</v>
      </c>
      <c r="I1876" s="11">
        <v>-0.25808529976640998</v>
      </c>
      <c r="J1876" s="10">
        <v>0.79634107645457397</v>
      </c>
      <c r="K1876" s="29">
        <v>0.98289565623980701</v>
      </c>
    </row>
    <row r="1877" spans="1:11" x14ac:dyDescent="0.35">
      <c r="A1877" s="9" t="str">
        <f>HYPERLINK("http://www.ensembl.org/id/WBGene00198896", "WBGene00198896")</f>
        <v>WBGene00198896</v>
      </c>
      <c r="B1877" s="9"/>
      <c r="C1877" s="9"/>
      <c r="D1877" t="str">
        <f>"C07A4.9"</f>
        <v>C07A4.9</v>
      </c>
      <c r="F1877" t="s">
        <v>481</v>
      </c>
      <c r="H1877" s="12">
        <v>-2.4295389261469</v>
      </c>
      <c r="I1877" s="11">
        <v>-0.25808529976640998</v>
      </c>
      <c r="J1877" s="10">
        <v>0.79634107645457397</v>
      </c>
      <c r="K1877" s="29">
        <v>0.98289565623980701</v>
      </c>
    </row>
    <row r="1878" spans="1:11" x14ac:dyDescent="0.35">
      <c r="A1878" s="9" t="str">
        <f>HYPERLINK("http://www.ensembl.org/id/WBGene00235302", "WBGene00235302")</f>
        <v>WBGene00235302</v>
      </c>
      <c r="B1878" s="9" t="str">
        <f>HYPERLINK("http://www.ncbi.nlm.nih.gov/gene/24104183", "24104183")</f>
        <v>24104183</v>
      </c>
      <c r="C1878" s="9"/>
      <c r="D1878" t="str">
        <f>"C07C7.3"</f>
        <v>C07C7.3</v>
      </c>
      <c r="F1878" t="s">
        <v>11</v>
      </c>
      <c r="H1878" s="12">
        <v>-2.4295389261469</v>
      </c>
      <c r="I1878" s="11">
        <v>-0.25808529976640998</v>
      </c>
      <c r="J1878" s="10">
        <v>0.79634107645457397</v>
      </c>
      <c r="K1878" s="29">
        <v>0.98289565623980701</v>
      </c>
    </row>
    <row r="1879" spans="1:11" x14ac:dyDescent="0.35">
      <c r="A1879" s="9" t="str">
        <f>HYPERLINK("http://www.ensembl.org/id/WBGene00015573", "WBGene00015573")</f>
        <v>WBGene00015573</v>
      </c>
      <c r="B1879" s="9" t="str">
        <f>HYPERLINK("http://www.ncbi.nlm.nih.gov/gene/182378", "182378")</f>
        <v>182378</v>
      </c>
      <c r="C1879" s="9"/>
      <c r="D1879" t="str">
        <f>"C07G1.7"</f>
        <v>C07G1.7</v>
      </c>
      <c r="F1879" t="s">
        <v>11</v>
      </c>
      <c r="H1879" s="12">
        <v>-2.4295389261469</v>
      </c>
      <c r="I1879" s="11">
        <v>-0.25808529976640998</v>
      </c>
      <c r="J1879" s="10">
        <v>0.79634107645457397</v>
      </c>
      <c r="K1879" s="29">
        <v>0.98289565623980701</v>
      </c>
    </row>
    <row r="1880" spans="1:11" x14ac:dyDescent="0.35">
      <c r="A1880" s="9" t="str">
        <f>HYPERLINK("http://www.ensembl.org/id/WBGene00201642", "WBGene00201642")</f>
        <v>WBGene00201642</v>
      </c>
      <c r="B1880" s="9"/>
      <c r="C1880" s="9"/>
      <c r="D1880" t="str">
        <f>"C08B11.13"</f>
        <v>C08B11.13</v>
      </c>
      <c r="F1880" t="s">
        <v>481</v>
      </c>
      <c r="H1880" s="12">
        <v>-2.4295389261469</v>
      </c>
      <c r="I1880" s="11">
        <v>-0.25808529976640998</v>
      </c>
      <c r="J1880" s="10">
        <v>0.79634107645457397</v>
      </c>
      <c r="K1880" s="29">
        <v>0.98289565623980701</v>
      </c>
    </row>
    <row r="1881" spans="1:11" x14ac:dyDescent="0.35">
      <c r="A1881" s="9" t="str">
        <f>HYPERLINK("http://www.ensembl.org/id/WBGene00007427", "WBGene00007427")</f>
        <v>WBGene00007427</v>
      </c>
      <c r="B1881" s="9" t="str">
        <f>HYPERLINK("http://www.ncbi.nlm.nih.gov/gene/182391", "182391")</f>
        <v>182391</v>
      </c>
      <c r="C1881" s="9"/>
      <c r="D1881" t="str">
        <f>"C08B6.6"</f>
        <v>C08B6.6</v>
      </c>
      <c r="F1881" t="s">
        <v>11</v>
      </c>
      <c r="H1881" s="12">
        <v>-2.4295389261469</v>
      </c>
      <c r="I1881" s="11">
        <v>-0.25808529976640998</v>
      </c>
      <c r="J1881" s="10">
        <v>0.79634107645457397</v>
      </c>
      <c r="K1881" s="29">
        <v>0.98289565623980701</v>
      </c>
    </row>
    <row r="1882" spans="1:11" x14ac:dyDescent="0.35">
      <c r="A1882" s="9" t="str">
        <f>HYPERLINK("http://www.ensembl.org/id/WBGene00197139", "WBGene00197139")</f>
        <v>WBGene00197139</v>
      </c>
      <c r="B1882" s="9"/>
      <c r="C1882" s="9"/>
      <c r="D1882" t="str">
        <f>"C08C3.8"</f>
        <v>C08C3.8</v>
      </c>
      <c r="F1882" t="s">
        <v>481</v>
      </c>
      <c r="H1882" s="12">
        <v>-2.4295389261469</v>
      </c>
      <c r="I1882" s="11">
        <v>-0.25808529976640998</v>
      </c>
      <c r="J1882" s="10">
        <v>0.79634107645457397</v>
      </c>
      <c r="K1882" s="29">
        <v>0.98289565623980701</v>
      </c>
    </row>
    <row r="1883" spans="1:11" x14ac:dyDescent="0.35">
      <c r="A1883" s="9" t="str">
        <f>HYPERLINK("http://www.ensembl.org/id/WBGene00045496", "WBGene00045496")</f>
        <v>WBGene00045496</v>
      </c>
      <c r="B1883" s="9"/>
      <c r="C1883" s="9"/>
      <c r="D1883" t="str">
        <f>"C08E8.8"</f>
        <v>C08E8.8</v>
      </c>
      <c r="F1883" t="s">
        <v>80</v>
      </c>
      <c r="H1883" s="12">
        <v>-2.4295389261469</v>
      </c>
      <c r="I1883" s="11">
        <v>-0.25808529976640998</v>
      </c>
      <c r="J1883" s="10">
        <v>0.79634107645457397</v>
      </c>
      <c r="K1883" s="29">
        <v>0.98289565623980701</v>
      </c>
    </row>
    <row r="1884" spans="1:11" x14ac:dyDescent="0.35">
      <c r="A1884" s="9" t="str">
        <f>HYPERLINK("http://www.ensembl.org/id/WBGene00201426", "WBGene00201426")</f>
        <v>WBGene00201426</v>
      </c>
      <c r="B1884" s="9"/>
      <c r="C1884" s="9"/>
      <c r="D1884" t="str">
        <f>"C14F11.29"</f>
        <v>C14F11.29</v>
      </c>
      <c r="F1884" t="s">
        <v>481</v>
      </c>
      <c r="H1884" s="12">
        <v>-2.4295389261469</v>
      </c>
      <c r="I1884" s="11">
        <v>-0.25808529976640998</v>
      </c>
      <c r="J1884" s="10">
        <v>0.79634107645457397</v>
      </c>
      <c r="K1884" s="29">
        <v>0.98289565623980701</v>
      </c>
    </row>
    <row r="1885" spans="1:11" x14ac:dyDescent="0.35">
      <c r="A1885" s="9" t="str">
        <f>HYPERLINK("http://www.ensembl.org/id/WBGene00200658", "WBGene00200658")</f>
        <v>WBGene00200658</v>
      </c>
      <c r="B1885" s="9"/>
      <c r="C1885" s="9"/>
      <c r="D1885" t="str">
        <f>"C14F5.10"</f>
        <v>C14F5.10</v>
      </c>
      <c r="F1885" t="s">
        <v>481</v>
      </c>
      <c r="H1885" s="12">
        <v>-2.4295389261469</v>
      </c>
      <c r="I1885" s="11">
        <v>-0.25808529976640998</v>
      </c>
      <c r="J1885" s="10">
        <v>0.79634107645457397</v>
      </c>
      <c r="K1885" s="29">
        <v>0.98289565623980701</v>
      </c>
    </row>
    <row r="1886" spans="1:11" x14ac:dyDescent="0.35">
      <c r="A1886" s="9" t="str">
        <f>HYPERLINK("http://www.ensembl.org/id/WBGene00077576", "WBGene00077576")</f>
        <v>WBGene00077576</v>
      </c>
      <c r="B1886" s="9" t="str">
        <f>HYPERLINK("http://www.ncbi.nlm.nih.gov/gene/6418696", "6418696")</f>
        <v>6418696</v>
      </c>
      <c r="C1886" s="9"/>
      <c r="D1886" t="str">
        <f>"C15H11.13"</f>
        <v>C15H11.13</v>
      </c>
      <c r="F1886" t="s">
        <v>11</v>
      </c>
      <c r="G1886" t="s">
        <v>25</v>
      </c>
      <c r="H1886" s="12">
        <v>-2.4295389261469</v>
      </c>
      <c r="I1886" s="11">
        <v>-0.25808529976640998</v>
      </c>
      <c r="J1886" s="10">
        <v>0.79634107645457397</v>
      </c>
      <c r="K1886" s="29">
        <v>0.98289565623980701</v>
      </c>
    </row>
    <row r="1887" spans="1:11" x14ac:dyDescent="0.35">
      <c r="A1887" s="9" t="str">
        <f>HYPERLINK("http://www.ensembl.org/id/WBGene00197154", "WBGene00197154")</f>
        <v>WBGene00197154</v>
      </c>
      <c r="B1887" s="9"/>
      <c r="C1887" s="9"/>
      <c r="D1887" t="str">
        <f>"C17G1.9"</f>
        <v>C17G1.9</v>
      </c>
      <c r="F1887" t="s">
        <v>481</v>
      </c>
      <c r="H1887" s="12">
        <v>-2.4295389261469</v>
      </c>
      <c r="I1887" s="11">
        <v>-0.25808529976640998</v>
      </c>
      <c r="J1887" s="10">
        <v>0.79634107645457397</v>
      </c>
      <c r="K1887" s="29">
        <v>0.98289565623980701</v>
      </c>
    </row>
    <row r="1888" spans="1:11" x14ac:dyDescent="0.35">
      <c r="A1888" s="9" t="str">
        <f>HYPERLINK("http://www.ensembl.org/id/WBGene00044704", "WBGene00044704")</f>
        <v>WBGene00044704</v>
      </c>
      <c r="B1888" s="9"/>
      <c r="C1888" s="9"/>
      <c r="D1888" t="str">
        <f>"C18A3.12"</f>
        <v>C18A3.12</v>
      </c>
      <c r="F1888" t="s">
        <v>2977</v>
      </c>
      <c r="H1888" s="12">
        <v>-2.4295389261469</v>
      </c>
      <c r="I1888" s="11">
        <v>-0.25808529976640998</v>
      </c>
      <c r="J1888" s="10">
        <v>0.79634107645457397</v>
      </c>
      <c r="K1888" s="29">
        <v>0.98289565623980701</v>
      </c>
    </row>
    <row r="1889" spans="1:11" x14ac:dyDescent="0.35">
      <c r="A1889" s="9" t="str">
        <f>HYPERLINK("http://www.ensembl.org/id/WBGene00195841", "WBGene00195841")</f>
        <v>WBGene00195841</v>
      </c>
      <c r="B1889" s="9"/>
      <c r="C1889" s="9"/>
      <c r="D1889" t="str">
        <f>"C18A3.14"</f>
        <v>C18A3.14</v>
      </c>
      <c r="F1889" t="s">
        <v>481</v>
      </c>
      <c r="H1889" s="12">
        <v>-2.4295389261469</v>
      </c>
      <c r="I1889" s="11">
        <v>-0.25808529976640998</v>
      </c>
      <c r="J1889" s="10">
        <v>0.79634107645457397</v>
      </c>
      <c r="K1889" s="29">
        <v>0.98289565623980701</v>
      </c>
    </row>
    <row r="1890" spans="1:11" x14ac:dyDescent="0.35">
      <c r="A1890" s="9" t="str">
        <f>HYPERLINK("http://www.ensembl.org/id/WBGene00201418", "WBGene00201418")</f>
        <v>WBGene00201418</v>
      </c>
      <c r="B1890" s="9"/>
      <c r="C1890" s="9"/>
      <c r="D1890" t="str">
        <f>"C24H11.13"</f>
        <v>C24H11.13</v>
      </c>
      <c r="F1890" t="s">
        <v>481</v>
      </c>
      <c r="H1890" s="12">
        <v>-2.4295389261469</v>
      </c>
      <c r="I1890" s="11">
        <v>-0.25808529976640998</v>
      </c>
      <c r="J1890" s="10">
        <v>0.79634107645457397</v>
      </c>
      <c r="K1890" s="29">
        <v>0.98289565623980701</v>
      </c>
    </row>
    <row r="1891" spans="1:11" x14ac:dyDescent="0.35">
      <c r="A1891" s="9" t="str">
        <f>HYPERLINK("http://www.ensembl.org/id/WBGene00077527", "WBGene00077527")</f>
        <v>WBGene00077527</v>
      </c>
      <c r="B1891" s="9"/>
      <c r="C1891" s="9"/>
      <c r="D1891" t="str">
        <f>"C25A1.17"</f>
        <v>C25A1.17</v>
      </c>
      <c r="F1891" t="s">
        <v>80</v>
      </c>
      <c r="H1891" s="12">
        <v>-2.4295389261469</v>
      </c>
      <c r="I1891" s="11">
        <v>-0.25808529976640998</v>
      </c>
      <c r="J1891" s="10">
        <v>0.79634107645457397</v>
      </c>
      <c r="K1891" s="29">
        <v>0.98289565623980701</v>
      </c>
    </row>
    <row r="1892" spans="1:11" x14ac:dyDescent="0.35">
      <c r="A1892" s="9" t="str">
        <f>HYPERLINK("http://www.ensembl.org/id/WBGene00022942", "WBGene00022942")</f>
        <v>WBGene00022942</v>
      </c>
      <c r="B1892" s="9"/>
      <c r="C1892" s="9"/>
      <c r="D1892" t="str">
        <f>"C25F6.t2"</f>
        <v>C25F6.t2</v>
      </c>
      <c r="F1892" t="s">
        <v>4208</v>
      </c>
      <c r="H1892" s="12">
        <v>-2.4295389261469</v>
      </c>
      <c r="I1892" s="11">
        <v>-0.25808529976640998</v>
      </c>
      <c r="J1892" s="10">
        <v>0.79634107645457397</v>
      </c>
      <c r="K1892" s="29">
        <v>0.98289565623980701</v>
      </c>
    </row>
    <row r="1893" spans="1:11" x14ac:dyDescent="0.35">
      <c r="A1893" s="9" t="str">
        <f>HYPERLINK("http://www.ensembl.org/id/WBGene00014268", "WBGene00014268")</f>
        <v>WBGene00014268</v>
      </c>
      <c r="B1893" s="9"/>
      <c r="C1893" s="9"/>
      <c r="D1893" t="str">
        <f>"C28A5.t2"</f>
        <v>C28A5.t2</v>
      </c>
      <c r="F1893" t="s">
        <v>4208</v>
      </c>
      <c r="H1893" s="12">
        <v>-2.4295389261469</v>
      </c>
      <c r="I1893" s="11">
        <v>-0.25808529976640998</v>
      </c>
      <c r="J1893" s="10">
        <v>0.79634107645457397</v>
      </c>
      <c r="K1893" s="29">
        <v>0.98289565623980701</v>
      </c>
    </row>
    <row r="1894" spans="1:11" x14ac:dyDescent="0.35">
      <c r="A1894" s="9" t="str">
        <f>HYPERLINK("http://www.ensembl.org/id/WBGene00197836", "WBGene00197836")</f>
        <v>WBGene00197836</v>
      </c>
      <c r="B1894" s="9"/>
      <c r="C1894" s="9"/>
      <c r="D1894" t="str">
        <f>"C29A12.12"</f>
        <v>C29A12.12</v>
      </c>
      <c r="F1894" t="s">
        <v>481</v>
      </c>
      <c r="H1894" s="12">
        <v>-2.4295389261469</v>
      </c>
      <c r="I1894" s="11">
        <v>-0.25808529976640998</v>
      </c>
      <c r="J1894" s="10">
        <v>0.79634107645457397</v>
      </c>
      <c r="K1894" s="29">
        <v>0.98289565623980701</v>
      </c>
    </row>
    <row r="1895" spans="1:11" x14ac:dyDescent="0.35">
      <c r="A1895" s="9" t="str">
        <f>HYPERLINK("http://www.ensembl.org/id/WBGene00044179", "WBGene00044179")</f>
        <v>WBGene00044179</v>
      </c>
      <c r="B1895" s="9" t="str">
        <f>HYPERLINK("http://www.ncbi.nlm.nih.gov/gene/3564943", "3564943")</f>
        <v>3564943</v>
      </c>
      <c r="C1895" s="9"/>
      <c r="D1895" t="str">
        <f>"C30G7.5"</f>
        <v>C30G7.5</v>
      </c>
      <c r="F1895" t="s">
        <v>11</v>
      </c>
      <c r="G1895" t="s">
        <v>25</v>
      </c>
      <c r="H1895" s="12">
        <v>-2.4295389261469</v>
      </c>
      <c r="I1895" s="11">
        <v>-0.25808529976640998</v>
      </c>
      <c r="J1895" s="10">
        <v>0.79634107645457397</v>
      </c>
      <c r="K1895" s="29">
        <v>0.98289565623980701</v>
      </c>
    </row>
    <row r="1896" spans="1:11" x14ac:dyDescent="0.35">
      <c r="A1896" s="9" t="str">
        <f>HYPERLINK("http://www.ensembl.org/id/WBGene00044755", "WBGene00044755")</f>
        <v>WBGene00044755</v>
      </c>
      <c r="B1896" s="9" t="str">
        <f>HYPERLINK("http://www.ncbi.nlm.nih.gov/gene/4363038", "4363038")</f>
        <v>4363038</v>
      </c>
      <c r="C1896" s="9"/>
      <c r="D1896" t="str">
        <f>"C32D5.14"</f>
        <v>C32D5.14</v>
      </c>
      <c r="F1896" t="s">
        <v>11</v>
      </c>
      <c r="H1896" s="12">
        <v>-2.4295389261469</v>
      </c>
      <c r="I1896" s="11">
        <v>-0.25808529976640998</v>
      </c>
      <c r="J1896" s="10">
        <v>0.79634107645457397</v>
      </c>
      <c r="K1896" s="29">
        <v>0.98289565623980701</v>
      </c>
    </row>
    <row r="1897" spans="1:11" x14ac:dyDescent="0.35">
      <c r="A1897" s="9" t="str">
        <f>HYPERLINK("http://www.ensembl.org/id/WBGene00199995", "WBGene00199995")</f>
        <v>WBGene00199995</v>
      </c>
      <c r="B1897" s="9"/>
      <c r="C1897" s="9"/>
      <c r="D1897" t="str">
        <f>"C34D1.12"</f>
        <v>C34D1.12</v>
      </c>
      <c r="F1897" t="s">
        <v>481</v>
      </c>
      <c r="H1897" s="12">
        <v>-2.4295389261469</v>
      </c>
      <c r="I1897" s="11">
        <v>-0.25808529976640998</v>
      </c>
      <c r="J1897" s="10">
        <v>0.79634107645457397</v>
      </c>
      <c r="K1897" s="29">
        <v>0.98289565623980701</v>
      </c>
    </row>
    <row r="1898" spans="1:11" x14ac:dyDescent="0.35">
      <c r="A1898" s="9" t="str">
        <f>HYPERLINK("http://www.ensembl.org/id/WBGene00197956", "WBGene00197956")</f>
        <v>WBGene00197956</v>
      </c>
      <c r="B1898" s="9"/>
      <c r="C1898" s="9"/>
      <c r="D1898" t="str">
        <f>"C35C5.16"</f>
        <v>C35C5.16</v>
      </c>
      <c r="F1898" t="s">
        <v>481</v>
      </c>
      <c r="H1898" s="12">
        <v>-2.4295389261469</v>
      </c>
      <c r="I1898" s="11">
        <v>-0.25808529976640998</v>
      </c>
      <c r="J1898" s="10">
        <v>0.79634107645457397</v>
      </c>
      <c r="K1898" s="29">
        <v>0.98289565623980701</v>
      </c>
    </row>
    <row r="1899" spans="1:11" x14ac:dyDescent="0.35">
      <c r="A1899" s="9" t="str">
        <f>HYPERLINK("http://www.ensembl.org/id/WBGene00201111", "WBGene00201111")</f>
        <v>WBGene00201111</v>
      </c>
      <c r="B1899" s="9"/>
      <c r="C1899" s="9"/>
      <c r="D1899" t="str">
        <f>"C36E8.10"</f>
        <v>C36E8.10</v>
      </c>
      <c r="F1899" t="s">
        <v>481</v>
      </c>
      <c r="H1899" s="12">
        <v>-2.4295389261469</v>
      </c>
      <c r="I1899" s="11">
        <v>-0.25808529976640998</v>
      </c>
      <c r="J1899" s="10">
        <v>0.79634107645457397</v>
      </c>
      <c r="K1899" s="29">
        <v>0.98289565623980701</v>
      </c>
    </row>
    <row r="1900" spans="1:11" x14ac:dyDescent="0.35">
      <c r="A1900" s="9" t="str">
        <f>HYPERLINK("http://www.ensembl.org/id/WBGene00199531", "WBGene00199531")</f>
        <v>WBGene00199531</v>
      </c>
      <c r="B1900" s="9"/>
      <c r="C1900" s="9"/>
      <c r="D1900" t="str">
        <f>"C36F7.19"</f>
        <v>C36F7.19</v>
      </c>
      <c r="F1900" t="s">
        <v>481</v>
      </c>
      <c r="H1900" s="12">
        <v>-2.4295389261469</v>
      </c>
      <c r="I1900" s="11">
        <v>-0.25808529976640998</v>
      </c>
      <c r="J1900" s="10">
        <v>0.79634107645457397</v>
      </c>
      <c r="K1900" s="29">
        <v>0.98289565623980701</v>
      </c>
    </row>
    <row r="1901" spans="1:11" x14ac:dyDescent="0.35">
      <c r="A1901" s="9" t="str">
        <f>HYPERLINK("http://www.ensembl.org/id/WBGene00200782", "WBGene00200782")</f>
        <v>WBGene00200782</v>
      </c>
      <c r="B1901" s="9"/>
      <c r="C1901" s="9"/>
      <c r="D1901" t="str">
        <f>"C39B10.11"</f>
        <v>C39B10.11</v>
      </c>
      <c r="F1901" t="s">
        <v>481</v>
      </c>
      <c r="H1901" s="12">
        <v>-2.4295389261469</v>
      </c>
      <c r="I1901" s="11">
        <v>-0.25808529976640998</v>
      </c>
      <c r="J1901" s="10">
        <v>0.79634107645457397</v>
      </c>
      <c r="K1901" s="29">
        <v>0.98289565623980701</v>
      </c>
    </row>
    <row r="1902" spans="1:11" x14ac:dyDescent="0.35">
      <c r="A1902" s="9" t="str">
        <f>HYPERLINK("http://www.ensembl.org/id/WBGene00200063", "WBGene00200063")</f>
        <v>WBGene00200063</v>
      </c>
      <c r="B1902" s="9"/>
      <c r="C1902" s="9"/>
      <c r="D1902" t="str">
        <f>"C43C3.11"</f>
        <v>C43C3.11</v>
      </c>
      <c r="F1902" t="s">
        <v>481</v>
      </c>
      <c r="H1902" s="12">
        <v>-2.4295389261469</v>
      </c>
      <c r="I1902" s="11">
        <v>-0.25808529976640998</v>
      </c>
      <c r="J1902" s="10">
        <v>0.79634107645457397</v>
      </c>
      <c r="K1902" s="29">
        <v>0.98289565623980701</v>
      </c>
    </row>
    <row r="1903" spans="1:11" x14ac:dyDescent="0.35">
      <c r="A1903" s="9" t="str">
        <f>HYPERLINK("http://www.ensembl.org/id/WBGene00044133", "WBGene00044133")</f>
        <v>WBGene00044133</v>
      </c>
      <c r="B1903" s="9" t="str">
        <f>HYPERLINK("http://www.ncbi.nlm.nih.gov/gene/3565654", "3565654")</f>
        <v>3565654</v>
      </c>
      <c r="C1903" s="9"/>
      <c r="D1903" t="str">
        <f>"C44C10.12"</f>
        <v>C44C10.12</v>
      </c>
      <c r="F1903" t="s">
        <v>11</v>
      </c>
      <c r="H1903" s="12">
        <v>-2.4295389261469</v>
      </c>
      <c r="I1903" s="11">
        <v>-0.25808529976640998</v>
      </c>
      <c r="J1903" s="10">
        <v>0.79634107645457397</v>
      </c>
      <c r="K1903" s="29">
        <v>0.98289565623980701</v>
      </c>
    </row>
    <row r="1904" spans="1:11" x14ac:dyDescent="0.35">
      <c r="A1904" s="9" t="str">
        <f>HYPERLINK("http://www.ensembl.org/id/WBGene00196764", "WBGene00196764")</f>
        <v>WBGene00196764</v>
      </c>
      <c r="B1904" s="9"/>
      <c r="C1904" s="9"/>
      <c r="D1904" t="str">
        <f>"C45B2.10"</f>
        <v>C45B2.10</v>
      </c>
      <c r="F1904" t="s">
        <v>481</v>
      </c>
      <c r="H1904" s="12">
        <v>-2.4295389261469</v>
      </c>
      <c r="I1904" s="11">
        <v>-0.25808529976640998</v>
      </c>
      <c r="J1904" s="10">
        <v>0.79634107645457397</v>
      </c>
      <c r="K1904" s="29">
        <v>0.98289565623980701</v>
      </c>
    </row>
    <row r="1905" spans="1:11" x14ac:dyDescent="0.35">
      <c r="A1905" s="9" t="str">
        <f>HYPERLINK("http://www.ensembl.org/id/WBGene00016694", "WBGene00016694")</f>
        <v>WBGene00016694</v>
      </c>
      <c r="B1905" s="9" t="str">
        <f>HYPERLINK("http://www.ncbi.nlm.nih.gov/gene/183494", "183494")</f>
        <v>183494</v>
      </c>
      <c r="C1905" s="9"/>
      <c r="D1905" t="str">
        <f>"C45H4.13"</f>
        <v>C45H4.13</v>
      </c>
      <c r="F1905" t="s">
        <v>11</v>
      </c>
      <c r="H1905" s="12">
        <v>-2.4295389261469</v>
      </c>
      <c r="I1905" s="11">
        <v>-0.25808529976640998</v>
      </c>
      <c r="J1905" s="10">
        <v>0.79634107645457397</v>
      </c>
      <c r="K1905" s="29">
        <v>0.98289565623980701</v>
      </c>
    </row>
    <row r="1906" spans="1:11" x14ac:dyDescent="0.35">
      <c r="A1906" s="9" t="str">
        <f>HYPERLINK("http://www.ensembl.org/id/WBGene00195235", "WBGene00195235")</f>
        <v>WBGene00195235</v>
      </c>
      <c r="B1906" s="9"/>
      <c r="C1906" s="9"/>
      <c r="D1906" t="str">
        <f>"C47E8.12"</f>
        <v>C47E8.12</v>
      </c>
      <c r="F1906" t="s">
        <v>481</v>
      </c>
      <c r="H1906" s="12">
        <v>-2.4295389261469</v>
      </c>
      <c r="I1906" s="11">
        <v>-0.25808529976640998</v>
      </c>
      <c r="J1906" s="10">
        <v>0.79634107645457397</v>
      </c>
      <c r="K1906" s="29">
        <v>0.98289565623980701</v>
      </c>
    </row>
    <row r="1907" spans="1:11" x14ac:dyDescent="0.35">
      <c r="A1907" s="9" t="str">
        <f>HYPERLINK("http://www.ensembl.org/id/WBGene00008162", "WBGene00008162")</f>
        <v>WBGene00008162</v>
      </c>
      <c r="B1907" s="9" t="str">
        <f>HYPERLINK("http://www.ncbi.nlm.nih.gov/gene/183562", "183562")</f>
        <v>183562</v>
      </c>
      <c r="C1907" s="9"/>
      <c r="D1907" t="str">
        <f>"C47F8.6"</f>
        <v>C47F8.6</v>
      </c>
      <c r="E1907" t="s">
        <v>3368</v>
      </c>
      <c r="F1907" t="s">
        <v>11</v>
      </c>
      <c r="G1907" t="s">
        <v>4251</v>
      </c>
      <c r="H1907" s="12">
        <v>-2.4295389261469</v>
      </c>
      <c r="I1907" s="11">
        <v>-0.25808529976640998</v>
      </c>
      <c r="J1907" s="10">
        <v>0.79634107645457397</v>
      </c>
      <c r="K1907" s="29">
        <v>0.98289565623980701</v>
      </c>
    </row>
    <row r="1908" spans="1:11" x14ac:dyDescent="0.35">
      <c r="A1908" s="9" t="str">
        <f>HYPERLINK("http://www.ensembl.org/id/WBGene00197446", "WBGene00197446")</f>
        <v>WBGene00197446</v>
      </c>
      <c r="B1908" s="9"/>
      <c r="C1908" s="9"/>
      <c r="D1908" t="str">
        <f>"C48D5.6"</f>
        <v>C48D5.6</v>
      </c>
      <c r="F1908" t="s">
        <v>481</v>
      </c>
      <c r="H1908" s="12">
        <v>-2.4295389261469</v>
      </c>
      <c r="I1908" s="11">
        <v>-0.25808529976640998</v>
      </c>
      <c r="J1908" s="10">
        <v>0.79634107645457397</v>
      </c>
      <c r="K1908" s="29">
        <v>0.98289565623980701</v>
      </c>
    </row>
    <row r="1909" spans="1:11" x14ac:dyDescent="0.35">
      <c r="A1909" s="9" t="str">
        <f>HYPERLINK("http://www.ensembl.org/id/WBGene00201078", "WBGene00201078")</f>
        <v>WBGene00201078</v>
      </c>
      <c r="B1909" s="9"/>
      <c r="C1909" s="9"/>
      <c r="D1909" t="str">
        <f>"C49F8.12"</f>
        <v>C49F8.12</v>
      </c>
      <c r="F1909" t="s">
        <v>481</v>
      </c>
      <c r="H1909" s="12">
        <v>-2.4295389261469</v>
      </c>
      <c r="I1909" s="11">
        <v>-0.25808529976640998</v>
      </c>
      <c r="J1909" s="10">
        <v>0.79634107645457397</v>
      </c>
      <c r="K1909" s="29">
        <v>0.98289565623980701</v>
      </c>
    </row>
    <row r="1910" spans="1:11" x14ac:dyDescent="0.35">
      <c r="A1910" s="9" t="str">
        <f>HYPERLINK("http://www.ensembl.org/id/WBGene00195731", "WBGene00195731")</f>
        <v>WBGene00195731</v>
      </c>
      <c r="B1910" s="9"/>
      <c r="C1910" s="9"/>
      <c r="D1910" t="str">
        <f>"C49F8.6"</f>
        <v>C49F8.6</v>
      </c>
      <c r="F1910" t="s">
        <v>481</v>
      </c>
      <c r="H1910" s="12">
        <v>-2.4295389261469</v>
      </c>
      <c r="I1910" s="11">
        <v>-0.25808529976640998</v>
      </c>
      <c r="J1910" s="10">
        <v>0.79634107645457397</v>
      </c>
      <c r="K1910" s="29">
        <v>0.98289565623980701</v>
      </c>
    </row>
    <row r="1911" spans="1:11" x14ac:dyDescent="0.35">
      <c r="A1911" s="9" t="str">
        <f>HYPERLINK("http://www.ensembl.org/id/WBGene00195192", "WBGene00195192")</f>
        <v>WBGene00195192</v>
      </c>
      <c r="B1911" s="9"/>
      <c r="C1911" s="9"/>
      <c r="D1911" t="str">
        <f>"C54F6.16"</f>
        <v>C54F6.16</v>
      </c>
      <c r="F1911" t="s">
        <v>80</v>
      </c>
      <c r="H1911" s="12">
        <v>-2.4295389261469</v>
      </c>
      <c r="I1911" s="11">
        <v>-0.25808529976640998</v>
      </c>
      <c r="J1911" s="10">
        <v>0.79634107645457397</v>
      </c>
      <c r="K1911" s="29">
        <v>0.98289565623980701</v>
      </c>
    </row>
    <row r="1912" spans="1:11" x14ac:dyDescent="0.35">
      <c r="A1912" s="9" t="str">
        <f>HYPERLINK("http://www.ensembl.org/id/WBGene00200556", "WBGene00200556")</f>
        <v>WBGene00200556</v>
      </c>
      <c r="B1912" s="9"/>
      <c r="C1912" s="9"/>
      <c r="D1912" t="str">
        <f>"C54G4.14"</f>
        <v>C54G4.14</v>
      </c>
      <c r="F1912" t="s">
        <v>481</v>
      </c>
      <c r="H1912" s="12">
        <v>-2.4295389261469</v>
      </c>
      <c r="I1912" s="11">
        <v>-0.25808529976640998</v>
      </c>
      <c r="J1912" s="10">
        <v>0.79634107645457397</v>
      </c>
      <c r="K1912" s="29">
        <v>0.98289565623980701</v>
      </c>
    </row>
    <row r="1913" spans="1:11" x14ac:dyDescent="0.35">
      <c r="A1913" s="9" t="str">
        <f>HYPERLINK("http://www.ensembl.org/id/WBGene00201657", "WBGene00201657")</f>
        <v>WBGene00201657</v>
      </c>
      <c r="B1913" s="9"/>
      <c r="C1913" s="9"/>
      <c r="D1913" t="str">
        <f>"C55A6.20"</f>
        <v>C55A6.20</v>
      </c>
      <c r="F1913" t="s">
        <v>481</v>
      </c>
      <c r="H1913" s="12">
        <v>-2.4295389261469</v>
      </c>
      <c r="I1913" s="11">
        <v>-0.25808529976640998</v>
      </c>
      <c r="J1913" s="10">
        <v>0.79634107645457397</v>
      </c>
      <c r="K1913" s="29">
        <v>0.98289565623980701</v>
      </c>
    </row>
    <row r="1914" spans="1:11" x14ac:dyDescent="0.35">
      <c r="A1914" s="9" t="str">
        <f>HYPERLINK("http://www.ensembl.org/id/WBGene00219864", "WBGene00219864")</f>
        <v>WBGene00219864</v>
      </c>
      <c r="B1914" s="9"/>
      <c r="C1914" s="9"/>
      <c r="D1914" t="str">
        <f>"C56G2.20"</f>
        <v>C56G2.20</v>
      </c>
      <c r="F1914" t="s">
        <v>2977</v>
      </c>
      <c r="H1914" s="12">
        <v>-2.4295389261469</v>
      </c>
      <c r="I1914" s="11">
        <v>-0.25808529976640998</v>
      </c>
      <c r="J1914" s="10">
        <v>0.79634107645457397</v>
      </c>
      <c r="K1914" s="29">
        <v>0.98289565623980701</v>
      </c>
    </row>
    <row r="1915" spans="1:11" x14ac:dyDescent="0.35">
      <c r="A1915" s="9" t="str">
        <f>HYPERLINK("http://www.ensembl.org/id/WBGene00014299", "WBGene00014299")</f>
        <v>WBGene00014299</v>
      </c>
      <c r="B1915" s="9"/>
      <c r="C1915" s="9"/>
      <c r="D1915" t="str">
        <f>"C56G7.t1"</f>
        <v>C56G7.t1</v>
      </c>
      <c r="F1915" t="s">
        <v>4208</v>
      </c>
      <c r="H1915" s="12">
        <v>-2.4295389261469</v>
      </c>
      <c r="I1915" s="11">
        <v>-0.25808529976640998</v>
      </c>
      <c r="J1915" s="10">
        <v>0.79634107645457397</v>
      </c>
      <c r="K1915" s="29">
        <v>0.98289565623980701</v>
      </c>
    </row>
    <row r="1916" spans="1:11" x14ac:dyDescent="0.35">
      <c r="A1916" s="9" t="str">
        <f>HYPERLINK("http://www.ensembl.org/id/WBGene00012502", "WBGene00012502")</f>
        <v>WBGene00012502</v>
      </c>
      <c r="B1916" s="9" t="str">
        <f>HYPERLINK("http://www.ncbi.nlm.nih.gov/gene/189545", "189545")</f>
        <v>189545</v>
      </c>
      <c r="C1916" s="9"/>
      <c r="D1916" t="str">
        <f>"clec-107"</f>
        <v>clec-107</v>
      </c>
      <c r="E1916" t="s">
        <v>46</v>
      </c>
      <c r="F1916" t="s">
        <v>11</v>
      </c>
      <c r="G1916" t="s">
        <v>47</v>
      </c>
      <c r="H1916" s="12">
        <v>-2.4295389261469</v>
      </c>
      <c r="I1916" s="11">
        <v>-0.25808529976640998</v>
      </c>
      <c r="J1916" s="10">
        <v>0.79634107645457397</v>
      </c>
      <c r="K1916" s="29">
        <v>0.98289565623980701</v>
      </c>
    </row>
    <row r="1917" spans="1:11" x14ac:dyDescent="0.35">
      <c r="A1917" s="9" t="str">
        <f>HYPERLINK("http://www.ensembl.org/id/WBGene00012661", "WBGene00012661")</f>
        <v>WBGene00012661</v>
      </c>
      <c r="B1917" s="9" t="str">
        <f>HYPERLINK("http://www.ncbi.nlm.nih.gov/gene/189714", "189714")</f>
        <v>189714</v>
      </c>
      <c r="C1917" s="9"/>
      <c r="D1917" t="str">
        <f>"clec-163"</f>
        <v>clec-163</v>
      </c>
      <c r="E1917" t="s">
        <v>46</v>
      </c>
      <c r="F1917" t="s">
        <v>11</v>
      </c>
      <c r="G1917" t="s">
        <v>47</v>
      </c>
      <c r="H1917" s="12">
        <v>-2.4295389261469</v>
      </c>
      <c r="I1917" s="11">
        <v>-0.25808529976640998</v>
      </c>
      <c r="J1917" s="10">
        <v>0.79634107645457397</v>
      </c>
      <c r="K1917" s="29">
        <v>0.98289565623980701</v>
      </c>
    </row>
    <row r="1918" spans="1:11" x14ac:dyDescent="0.35">
      <c r="A1918" s="9" t="str">
        <f>HYPERLINK("http://www.ensembl.org/id/WBGene00009517", "WBGene00009517")</f>
        <v>WBGene00009517</v>
      </c>
      <c r="B1918" s="9" t="str">
        <f>HYPERLINK("http://www.ncbi.nlm.nih.gov/gene/185434", "185434")</f>
        <v>185434</v>
      </c>
      <c r="C1918" s="9"/>
      <c r="D1918" t="str">
        <f>"clec-167"</f>
        <v>clec-167</v>
      </c>
      <c r="E1918" t="s">
        <v>46</v>
      </c>
      <c r="F1918" t="s">
        <v>11</v>
      </c>
      <c r="G1918" t="s">
        <v>2771</v>
      </c>
      <c r="H1918" s="12">
        <v>-2.4295389261469</v>
      </c>
      <c r="I1918" s="11">
        <v>-0.25808529976640998</v>
      </c>
      <c r="J1918" s="10">
        <v>0.79634107645457397</v>
      </c>
      <c r="K1918" s="29">
        <v>0.98289565623980701</v>
      </c>
    </row>
    <row r="1919" spans="1:11" x14ac:dyDescent="0.35">
      <c r="A1919" s="9" t="str">
        <f>HYPERLINK("http://www.ensembl.org/id/WBGene00013621", "WBGene00013621")</f>
        <v>WBGene00013621</v>
      </c>
      <c r="B1919" s="9" t="str">
        <f>HYPERLINK("http://www.ncbi.nlm.nih.gov/gene/190840", "190840")</f>
        <v>190840</v>
      </c>
      <c r="C1919" s="9"/>
      <c r="D1919" t="str">
        <f>"clec-239"</f>
        <v>clec-239</v>
      </c>
      <c r="E1919" t="s">
        <v>46</v>
      </c>
      <c r="F1919" t="s">
        <v>11</v>
      </c>
      <c r="G1919" t="s">
        <v>47</v>
      </c>
      <c r="H1919" s="12">
        <v>-2.4295389261469</v>
      </c>
      <c r="I1919" s="11">
        <v>-0.25808529976640998</v>
      </c>
      <c r="J1919" s="10">
        <v>0.79634107645457397</v>
      </c>
      <c r="K1919" s="29">
        <v>0.98289565623980701</v>
      </c>
    </row>
    <row r="1920" spans="1:11" x14ac:dyDescent="0.35">
      <c r="A1920" s="9" t="str">
        <f>HYPERLINK("http://www.ensembl.org/id/WBGene00009171", "WBGene00009171")</f>
        <v>WBGene00009171</v>
      </c>
      <c r="B1920" s="9" t="str">
        <f>HYPERLINK("http://www.ncbi.nlm.nih.gov/gene/184987", "184987")</f>
        <v>184987</v>
      </c>
      <c r="C1920" s="9"/>
      <c r="D1920" t="str">
        <f>"clec-263"</f>
        <v>clec-263</v>
      </c>
      <c r="E1920" t="s">
        <v>46</v>
      </c>
      <c r="F1920" t="s">
        <v>11</v>
      </c>
      <c r="G1920" t="s">
        <v>47</v>
      </c>
      <c r="H1920" s="12">
        <v>-2.4295389261469</v>
      </c>
      <c r="I1920" s="11">
        <v>-0.25808529976640998</v>
      </c>
      <c r="J1920" s="10">
        <v>0.79634107645457397</v>
      </c>
      <c r="K1920" s="29">
        <v>0.98289565623980701</v>
      </c>
    </row>
    <row r="1921" spans="1:11" x14ac:dyDescent="0.35">
      <c r="A1921" s="9" t="str">
        <f>HYPERLINK("http://www.ensembl.org/id/WBGene00000859", "WBGene00000859")</f>
        <v>WBGene00000859</v>
      </c>
      <c r="B1921" s="9" t="str">
        <f>HYPERLINK("http://www.ncbi.nlm.nih.gov/gene/178876", "178876")</f>
        <v>178876</v>
      </c>
      <c r="C1921" s="9"/>
      <c r="D1921" t="str">
        <f>"cwp-1"</f>
        <v>cwp-1</v>
      </c>
      <c r="E1921" t="s">
        <v>1227</v>
      </c>
      <c r="F1921" t="s">
        <v>11</v>
      </c>
      <c r="H1921" s="12">
        <v>-2.4295389261469</v>
      </c>
      <c r="I1921" s="11">
        <v>-0.25808529976640998</v>
      </c>
      <c r="J1921" s="10">
        <v>0.79634107645457397</v>
      </c>
      <c r="K1921" s="29">
        <v>0.98289565623980701</v>
      </c>
    </row>
    <row r="1922" spans="1:11" x14ac:dyDescent="0.35">
      <c r="A1922" s="9" t="str">
        <f>HYPERLINK("http://www.ensembl.org/id/WBGene00198661", "WBGene00198661")</f>
        <v>WBGene00198661</v>
      </c>
      <c r="B1922" s="9"/>
      <c r="C1922" s="9"/>
      <c r="D1922" t="str">
        <f>"D2023.15"</f>
        <v>D2023.15</v>
      </c>
      <c r="F1922" t="s">
        <v>481</v>
      </c>
      <c r="H1922" s="12">
        <v>-2.4295389261469</v>
      </c>
      <c r="I1922" s="11">
        <v>-0.25808529976640998</v>
      </c>
      <c r="J1922" s="10">
        <v>0.79634107645457397</v>
      </c>
      <c r="K1922" s="29">
        <v>0.98289565623980701</v>
      </c>
    </row>
    <row r="1923" spans="1:11" x14ac:dyDescent="0.35">
      <c r="A1923" s="9" t="str">
        <f>HYPERLINK("http://www.ensembl.org/id/WBGene00194711", "WBGene00194711")</f>
        <v>WBGene00194711</v>
      </c>
      <c r="B1923" s="9" t="str">
        <f>HYPERLINK("http://www.ncbi.nlm.nih.gov/gene/13184004", "13184004")</f>
        <v>13184004</v>
      </c>
      <c r="C1923" s="9"/>
      <c r="D1923" t="str">
        <f>"D2062.13"</f>
        <v>D2062.13</v>
      </c>
      <c r="F1923" t="s">
        <v>11</v>
      </c>
      <c r="H1923" s="12">
        <v>-2.4295389261469</v>
      </c>
      <c r="I1923" s="11">
        <v>-0.25808529976640998</v>
      </c>
      <c r="J1923" s="10">
        <v>0.79634107645457397</v>
      </c>
      <c r="K1923" s="29">
        <v>0.98289565623980701</v>
      </c>
    </row>
    <row r="1924" spans="1:11" x14ac:dyDescent="0.35">
      <c r="A1924" s="9" t="str">
        <f>HYPERLINK("http://www.ensembl.org/id/WBGene00022207", "WBGene00022207")</f>
        <v>WBGene00022207</v>
      </c>
      <c r="B1924" s="9" t="str">
        <f>HYPERLINK("http://www.ncbi.nlm.nih.gov/gene/190623", "190623")</f>
        <v>190623</v>
      </c>
      <c r="C1924" s="9"/>
      <c r="D1924" t="str">
        <f>"elk-2"</f>
        <v>elk-2</v>
      </c>
      <c r="E1924" t="s">
        <v>10058</v>
      </c>
      <c r="F1924" t="s">
        <v>11</v>
      </c>
      <c r="H1924" s="12">
        <v>-2.4295389261469</v>
      </c>
      <c r="I1924" s="11">
        <v>-0.25808529976640998</v>
      </c>
      <c r="J1924" s="10">
        <v>0.79634107645457397</v>
      </c>
      <c r="K1924" s="29">
        <v>0.98289565623980701</v>
      </c>
    </row>
    <row r="1925" spans="1:11" x14ac:dyDescent="0.35">
      <c r="A1925" s="9" t="str">
        <f>HYPERLINK("http://www.ensembl.org/id/WBGene00014311", "WBGene00014311")</f>
        <v>WBGene00014311</v>
      </c>
      <c r="B1925" s="9"/>
      <c r="C1925" s="9"/>
      <c r="D1925" t="str">
        <f>"F08G2.10"</f>
        <v>F08G2.10</v>
      </c>
      <c r="F1925" t="s">
        <v>4205</v>
      </c>
      <c r="H1925" s="12">
        <v>-2.4295389261469</v>
      </c>
      <c r="I1925" s="11">
        <v>-0.25808529976640998</v>
      </c>
      <c r="J1925" s="10">
        <v>0.79634107645457397</v>
      </c>
      <c r="K1925" s="29">
        <v>0.98289565623980701</v>
      </c>
    </row>
    <row r="1926" spans="1:11" x14ac:dyDescent="0.35">
      <c r="A1926" s="9" t="str">
        <f>HYPERLINK("http://www.ensembl.org/id/WBGene00199724", "WBGene00199724")</f>
        <v>WBGene00199724</v>
      </c>
      <c r="B1926" s="9"/>
      <c r="C1926" s="9"/>
      <c r="D1926" t="str">
        <f>"F10C1.16"</f>
        <v>F10C1.16</v>
      </c>
      <c r="F1926" t="s">
        <v>481</v>
      </c>
      <c r="H1926" s="12">
        <v>-2.4295389261469</v>
      </c>
      <c r="I1926" s="11">
        <v>-0.25808529976640998</v>
      </c>
      <c r="J1926" s="10">
        <v>0.79634107645457397</v>
      </c>
      <c r="K1926" s="29">
        <v>0.98289565623980701</v>
      </c>
    </row>
    <row r="1927" spans="1:11" x14ac:dyDescent="0.35">
      <c r="A1927" s="9" t="str">
        <f>HYPERLINK("http://www.ensembl.org/id/WBGene00195537", "WBGene00195537")</f>
        <v>WBGene00195537</v>
      </c>
      <c r="B1927" s="9"/>
      <c r="C1927" s="9"/>
      <c r="D1927" t="str">
        <f>"F10C2.9"</f>
        <v>F10C2.9</v>
      </c>
      <c r="F1927" t="s">
        <v>481</v>
      </c>
      <c r="H1927" s="12">
        <v>-2.4295389261469</v>
      </c>
      <c r="I1927" s="11">
        <v>-0.25808529976640998</v>
      </c>
      <c r="J1927" s="10">
        <v>0.79634107645457397</v>
      </c>
      <c r="K1927" s="29">
        <v>0.98289565623980701</v>
      </c>
    </row>
    <row r="1928" spans="1:11" x14ac:dyDescent="0.35">
      <c r="A1928" s="9" t="str">
        <f>HYPERLINK("http://www.ensembl.org/id/WBGene00235324", "WBGene00235324")</f>
        <v>WBGene00235324</v>
      </c>
      <c r="B1928" s="9" t="str">
        <f>HYPERLINK("http://www.ncbi.nlm.nih.gov/gene/24104419", "24104419")</f>
        <v>24104419</v>
      </c>
      <c r="C1928" s="9"/>
      <c r="D1928" t="str">
        <f>"F10G2.10"</f>
        <v>F10G2.10</v>
      </c>
      <c r="F1928" t="s">
        <v>11</v>
      </c>
      <c r="H1928" s="12">
        <v>-2.4295389261469</v>
      </c>
      <c r="I1928" s="11">
        <v>-0.25808529976640998</v>
      </c>
      <c r="J1928" s="10">
        <v>0.79634107645457397</v>
      </c>
      <c r="K1928" s="29">
        <v>0.98289565623980701</v>
      </c>
    </row>
    <row r="1929" spans="1:11" x14ac:dyDescent="0.35">
      <c r="A1929" s="9" t="str">
        <f>HYPERLINK("http://www.ensembl.org/id/WBGene00008698", "WBGene00008698")</f>
        <v>WBGene00008698</v>
      </c>
      <c r="B1929" s="9" t="str">
        <f>HYPERLINK("http://www.ncbi.nlm.nih.gov/gene/184350", "184350")</f>
        <v>184350</v>
      </c>
      <c r="C1929" s="9"/>
      <c r="D1929" t="str">
        <f>"F11D11.3"</f>
        <v>F11D11.3</v>
      </c>
      <c r="F1929" t="s">
        <v>11</v>
      </c>
      <c r="G1929" t="s">
        <v>264</v>
      </c>
      <c r="H1929" s="12">
        <v>-2.4295389261469</v>
      </c>
      <c r="I1929" s="11">
        <v>-0.25808529976640998</v>
      </c>
      <c r="J1929" s="10">
        <v>0.79634107645457397</v>
      </c>
      <c r="K1929" s="29">
        <v>0.98289565623980701</v>
      </c>
    </row>
    <row r="1930" spans="1:11" x14ac:dyDescent="0.35">
      <c r="A1930" s="9" t="str">
        <f>HYPERLINK("http://www.ensembl.org/id/WBGene00200086", "WBGene00200086")</f>
        <v>WBGene00200086</v>
      </c>
      <c r="B1930" s="9"/>
      <c r="C1930" s="9"/>
      <c r="D1930" t="str">
        <f>"F11D5.23"</f>
        <v>F11D5.23</v>
      </c>
      <c r="F1930" t="s">
        <v>481</v>
      </c>
      <c r="H1930" s="12">
        <v>-2.4295389261469</v>
      </c>
      <c r="I1930" s="11">
        <v>-0.25808529976640998</v>
      </c>
      <c r="J1930" s="10">
        <v>0.79634107645457397</v>
      </c>
      <c r="K1930" s="29">
        <v>0.98289565623980701</v>
      </c>
    </row>
    <row r="1931" spans="1:11" x14ac:dyDescent="0.35">
      <c r="A1931" s="9" t="str">
        <f>HYPERLINK("http://www.ensembl.org/id/WBGene00017395", "WBGene00017395")</f>
        <v>WBGene00017395</v>
      </c>
      <c r="B1931" s="9" t="str">
        <f>HYPERLINK("http://www.ncbi.nlm.nih.gov/gene/184374", "184374")</f>
        <v>184374</v>
      </c>
      <c r="C1931" s="9"/>
      <c r="D1931" t="str">
        <f>"F12A10.6"</f>
        <v>F12A10.6</v>
      </c>
      <c r="F1931" t="s">
        <v>11</v>
      </c>
      <c r="H1931" s="12">
        <v>-2.4295389261469</v>
      </c>
      <c r="I1931" s="11">
        <v>-0.25808529976640998</v>
      </c>
      <c r="J1931" s="10">
        <v>0.79634107645457397</v>
      </c>
      <c r="K1931" s="29">
        <v>0.98289565623980701</v>
      </c>
    </row>
    <row r="1932" spans="1:11" x14ac:dyDescent="0.35">
      <c r="A1932" s="9" t="str">
        <f>HYPERLINK("http://www.ensembl.org/id/WBGene00017403", "WBGene00017403")</f>
        <v>WBGene00017403</v>
      </c>
      <c r="B1932" s="9" t="str">
        <f>HYPERLINK("http://www.ncbi.nlm.nih.gov/gene/184386", "184386")</f>
        <v>184386</v>
      </c>
      <c r="C1932" s="9"/>
      <c r="D1932" t="str">
        <f>"F12E12.2"</f>
        <v>F12E12.2</v>
      </c>
      <c r="F1932" t="s">
        <v>11</v>
      </c>
      <c r="H1932" s="12">
        <v>-2.4295389261469</v>
      </c>
      <c r="I1932" s="11">
        <v>-0.25808529976640998</v>
      </c>
      <c r="J1932" s="10">
        <v>0.79634107645457397</v>
      </c>
      <c r="K1932" s="29">
        <v>0.98289565623980701</v>
      </c>
    </row>
    <row r="1933" spans="1:11" x14ac:dyDescent="0.35">
      <c r="A1933" s="9" t="str">
        <f>HYPERLINK("http://www.ensembl.org/id/WBGene00196336", "WBGene00196336")</f>
        <v>WBGene00196336</v>
      </c>
      <c r="B1933" s="9"/>
      <c r="C1933" s="9"/>
      <c r="D1933" t="str">
        <f>"F13B12.13"</f>
        <v>F13B12.13</v>
      </c>
      <c r="F1933" t="s">
        <v>481</v>
      </c>
      <c r="H1933" s="12">
        <v>-2.4295389261469</v>
      </c>
      <c r="I1933" s="11">
        <v>-0.25808529976640998</v>
      </c>
      <c r="J1933" s="10">
        <v>0.79634107645457397</v>
      </c>
      <c r="K1933" s="29">
        <v>0.98289565623980701</v>
      </c>
    </row>
    <row r="1934" spans="1:11" x14ac:dyDescent="0.35">
      <c r="A1934" s="9" t="str">
        <f>HYPERLINK("http://www.ensembl.org/id/WBGene00008734", "WBGene00008734")</f>
        <v>WBGene00008734</v>
      </c>
      <c r="B1934" s="9" t="str">
        <f>HYPERLINK("http://www.ncbi.nlm.nih.gov/gene/3565678", "3565678")</f>
        <v>3565678</v>
      </c>
      <c r="C1934" s="9"/>
      <c r="D1934" t="str">
        <f>"F13B12.7"</f>
        <v>F13B12.7</v>
      </c>
      <c r="F1934" t="s">
        <v>11</v>
      </c>
      <c r="G1934" t="s">
        <v>25</v>
      </c>
      <c r="H1934" s="12">
        <v>-2.4295389261469</v>
      </c>
      <c r="I1934" s="11">
        <v>-0.25808529976640998</v>
      </c>
      <c r="J1934" s="10">
        <v>0.79634107645457397</v>
      </c>
      <c r="K1934" s="29">
        <v>0.98289565623980701</v>
      </c>
    </row>
    <row r="1935" spans="1:11" x14ac:dyDescent="0.35">
      <c r="A1935" s="9" t="str">
        <f>HYPERLINK("http://www.ensembl.org/id/WBGene00195700", "WBGene00195700")</f>
        <v>WBGene00195700</v>
      </c>
      <c r="B1935" s="9"/>
      <c r="C1935" s="9"/>
      <c r="D1935" t="str">
        <f>"F13D12.11"</f>
        <v>F13D12.11</v>
      </c>
      <c r="F1935" t="s">
        <v>481</v>
      </c>
      <c r="H1935" s="12">
        <v>-2.4295389261469</v>
      </c>
      <c r="I1935" s="11">
        <v>-0.25808529976640998</v>
      </c>
      <c r="J1935" s="10">
        <v>0.79634107645457397</v>
      </c>
      <c r="K1935" s="29">
        <v>0.98289565623980701</v>
      </c>
    </row>
    <row r="1936" spans="1:11" x14ac:dyDescent="0.35">
      <c r="A1936" s="9" t="str">
        <f>HYPERLINK("http://www.ensembl.org/id/WBGene00197121", "WBGene00197121")</f>
        <v>WBGene00197121</v>
      </c>
      <c r="B1936" s="9"/>
      <c r="C1936" s="9"/>
      <c r="D1936" t="str">
        <f>"F14B6.8"</f>
        <v>F14B6.8</v>
      </c>
      <c r="F1936" t="s">
        <v>481</v>
      </c>
      <c r="H1936" s="12">
        <v>-2.4295389261469</v>
      </c>
      <c r="I1936" s="11">
        <v>-0.25808529976640998</v>
      </c>
      <c r="J1936" s="10">
        <v>0.79634107645457397</v>
      </c>
      <c r="K1936" s="29">
        <v>0.98289565623980701</v>
      </c>
    </row>
    <row r="1937" spans="1:11" x14ac:dyDescent="0.35">
      <c r="A1937" s="9" t="str">
        <f>HYPERLINK("http://www.ensembl.org/id/WBGene00022992", "WBGene00022992")</f>
        <v>WBGene00022992</v>
      </c>
      <c r="B1937" s="9"/>
      <c r="C1937" s="9"/>
      <c r="D1937" t="str">
        <f>"F14B8.t1"</f>
        <v>F14B8.t1</v>
      </c>
      <c r="F1937" t="s">
        <v>4208</v>
      </c>
      <c r="H1937" s="12">
        <v>-2.4295389261469</v>
      </c>
      <c r="I1937" s="11">
        <v>-0.25808529976640998</v>
      </c>
      <c r="J1937" s="10">
        <v>0.79634107645457397</v>
      </c>
      <c r="K1937" s="29">
        <v>0.98289565623980701</v>
      </c>
    </row>
    <row r="1938" spans="1:11" x14ac:dyDescent="0.35">
      <c r="A1938" s="9" t="str">
        <f>HYPERLINK("http://www.ensembl.org/id/WBGene00206501", "WBGene00206501")</f>
        <v>WBGene00206501</v>
      </c>
      <c r="B1938" s="9" t="str">
        <f>HYPERLINK("http://www.ncbi.nlm.nih.gov/gene/13216482", "13216482")</f>
        <v>13216482</v>
      </c>
      <c r="C1938" s="9"/>
      <c r="D1938" t="str">
        <f>"F14D7.18"</f>
        <v>F14D7.18</v>
      </c>
      <c r="F1938" t="s">
        <v>11</v>
      </c>
      <c r="H1938" s="12">
        <v>-2.4295389261469</v>
      </c>
      <c r="I1938" s="11">
        <v>-0.25808529976640998</v>
      </c>
      <c r="J1938" s="10">
        <v>0.79634107645457397</v>
      </c>
      <c r="K1938" s="29">
        <v>0.98289565623980701</v>
      </c>
    </row>
    <row r="1939" spans="1:11" x14ac:dyDescent="0.35">
      <c r="A1939" s="9" t="str">
        <f>HYPERLINK("http://www.ensembl.org/id/WBGene00022994", "WBGene00022994")</f>
        <v>WBGene00022994</v>
      </c>
      <c r="B1939" s="9"/>
      <c r="C1939" s="9"/>
      <c r="D1939" t="str">
        <f>"F15A8.t2"</f>
        <v>F15A8.t2</v>
      </c>
      <c r="F1939" t="s">
        <v>4208</v>
      </c>
      <c r="H1939" s="12">
        <v>-2.4295389261469</v>
      </c>
      <c r="I1939" s="11">
        <v>-0.25808529976640998</v>
      </c>
      <c r="J1939" s="10">
        <v>0.79634107645457397</v>
      </c>
      <c r="K1939" s="29">
        <v>0.98289565623980701</v>
      </c>
    </row>
    <row r="1940" spans="1:11" x14ac:dyDescent="0.35">
      <c r="A1940" s="9" t="str">
        <f>HYPERLINK("http://www.ensembl.org/id/WBGene00201522", "WBGene00201522")</f>
        <v>WBGene00201522</v>
      </c>
      <c r="B1940" s="9"/>
      <c r="C1940" s="9"/>
      <c r="D1940" t="str">
        <f>"F16F9.17"</f>
        <v>F16F9.17</v>
      </c>
      <c r="F1940" t="s">
        <v>481</v>
      </c>
      <c r="H1940" s="12">
        <v>-2.4295389261469</v>
      </c>
      <c r="I1940" s="11">
        <v>-0.25808529976640998</v>
      </c>
      <c r="J1940" s="10">
        <v>0.79634107645457397</v>
      </c>
      <c r="K1940" s="29">
        <v>0.98289565623980701</v>
      </c>
    </row>
    <row r="1941" spans="1:11" x14ac:dyDescent="0.35">
      <c r="A1941" s="9" t="str">
        <f>HYPERLINK("http://www.ensembl.org/id/WBGene00201967", "WBGene00201967")</f>
        <v>WBGene00201967</v>
      </c>
      <c r="B1941" s="9"/>
      <c r="C1941" s="9"/>
      <c r="D1941" t="str">
        <f>"F17E5.6"</f>
        <v>F17E5.6</v>
      </c>
      <c r="F1941" t="s">
        <v>481</v>
      </c>
      <c r="H1941" s="12">
        <v>-2.4295389261469</v>
      </c>
      <c r="I1941" s="11">
        <v>-0.25808529976640998</v>
      </c>
      <c r="J1941" s="10">
        <v>0.79634107645457397</v>
      </c>
      <c r="K1941" s="29">
        <v>0.98289565623980701</v>
      </c>
    </row>
    <row r="1942" spans="1:11" x14ac:dyDescent="0.35">
      <c r="A1942" s="9" t="str">
        <f>HYPERLINK("http://www.ensembl.org/id/WBGene00271807", "WBGene00271807")</f>
        <v>WBGene00271807</v>
      </c>
      <c r="B1942" s="9" t="str">
        <f>HYPERLINK("http://www.ncbi.nlm.nih.gov/gene/34700627", "34700627")</f>
        <v>34700627</v>
      </c>
      <c r="C1942" s="9"/>
      <c r="D1942" t="str">
        <f>"F19F10.14"</f>
        <v>F19F10.14</v>
      </c>
      <c r="F1942" t="s">
        <v>11</v>
      </c>
      <c r="H1942" s="12">
        <v>-2.4295389261469</v>
      </c>
      <c r="I1942" s="11">
        <v>-0.25808529976640998</v>
      </c>
      <c r="J1942" s="10">
        <v>0.79634107645457397</v>
      </c>
      <c r="K1942" s="29">
        <v>0.98289565623980701</v>
      </c>
    </row>
    <row r="1943" spans="1:11" x14ac:dyDescent="0.35">
      <c r="A1943" s="9" t="str">
        <f>HYPERLINK("http://www.ensembl.org/id/WBGene00196632", "WBGene00196632")</f>
        <v>WBGene00196632</v>
      </c>
      <c r="B1943" s="9"/>
      <c r="C1943" s="9"/>
      <c r="D1943" t="str">
        <f>"F22F4.8"</f>
        <v>F22F4.8</v>
      </c>
      <c r="F1943" t="s">
        <v>481</v>
      </c>
      <c r="H1943" s="12">
        <v>-2.4295389261469</v>
      </c>
      <c r="I1943" s="11">
        <v>-0.25808529976640998</v>
      </c>
      <c r="J1943" s="10">
        <v>0.79634107645457397</v>
      </c>
      <c r="K1943" s="29">
        <v>0.98289565623980701</v>
      </c>
    </row>
    <row r="1944" spans="1:11" x14ac:dyDescent="0.35">
      <c r="A1944" s="9" t="str">
        <f>HYPERLINK("http://www.ensembl.org/id/WBGene00200348", "WBGene00200348")</f>
        <v>WBGene00200348</v>
      </c>
      <c r="B1944" s="9"/>
      <c r="C1944" s="9"/>
      <c r="D1944" t="str">
        <f>"F26A10.22"</f>
        <v>F26A10.22</v>
      </c>
      <c r="F1944" t="s">
        <v>481</v>
      </c>
      <c r="H1944" s="12">
        <v>-2.4295389261469</v>
      </c>
      <c r="I1944" s="11">
        <v>-0.25808529976640998</v>
      </c>
      <c r="J1944" s="10">
        <v>0.79634107645457397</v>
      </c>
      <c r="K1944" s="29">
        <v>0.98289565623980701</v>
      </c>
    </row>
    <row r="1945" spans="1:11" x14ac:dyDescent="0.35">
      <c r="A1945" s="9" t="str">
        <f>HYPERLINK("http://www.ensembl.org/id/WBGene00017817", "WBGene00017817")</f>
        <v>WBGene00017817</v>
      </c>
      <c r="B1945" s="9" t="str">
        <f>HYPERLINK("http://www.ncbi.nlm.nih.gov/gene/172328", "172328")</f>
        <v>172328</v>
      </c>
      <c r="C1945" s="9"/>
      <c r="D1945" t="str">
        <f>"F26B1.5"</f>
        <v>F26B1.5</v>
      </c>
      <c r="E1945" t="s">
        <v>2496</v>
      </c>
      <c r="F1945" t="s">
        <v>11</v>
      </c>
      <c r="G1945" t="s">
        <v>2497</v>
      </c>
      <c r="H1945" s="12">
        <v>-2.4295389261469</v>
      </c>
      <c r="I1945" s="11">
        <v>-0.25808529976640998</v>
      </c>
      <c r="J1945" s="10">
        <v>0.79634107645457397</v>
      </c>
      <c r="K1945" s="29">
        <v>0.98289565623980701</v>
      </c>
    </row>
    <row r="1946" spans="1:11" x14ac:dyDescent="0.35">
      <c r="A1946" s="9" t="str">
        <f>HYPERLINK("http://www.ensembl.org/id/WBGene00017839", "WBGene00017839")</f>
        <v>WBGene00017839</v>
      </c>
      <c r="B1946" s="9" t="str">
        <f>HYPERLINK("http://www.ncbi.nlm.nih.gov/gene/184994", "184994")</f>
        <v>184994</v>
      </c>
      <c r="C1946" s="9"/>
      <c r="D1946" t="str">
        <f>"F26G1.3"</f>
        <v>F26G1.3</v>
      </c>
      <c r="F1946" t="s">
        <v>11</v>
      </c>
      <c r="G1946" t="s">
        <v>17</v>
      </c>
      <c r="H1946" s="12">
        <v>-2.4295389261469</v>
      </c>
      <c r="I1946" s="11">
        <v>-0.25808529976640998</v>
      </c>
      <c r="J1946" s="10">
        <v>0.79634107645457397</v>
      </c>
      <c r="K1946" s="29">
        <v>0.98289565623980701</v>
      </c>
    </row>
    <row r="1947" spans="1:11" x14ac:dyDescent="0.35">
      <c r="A1947" s="9" t="str">
        <f>HYPERLINK("http://www.ensembl.org/id/WBGene00199181", "WBGene00199181")</f>
        <v>WBGene00199181</v>
      </c>
      <c r="B1947" s="9"/>
      <c r="C1947" s="9"/>
      <c r="D1947" t="str">
        <f>"F28B4.7"</f>
        <v>F28B4.7</v>
      </c>
      <c r="F1947" t="s">
        <v>481</v>
      </c>
      <c r="H1947" s="12">
        <v>-2.4295389261469</v>
      </c>
      <c r="I1947" s="11">
        <v>-0.25808529976640998</v>
      </c>
      <c r="J1947" s="10">
        <v>0.79634107645457397</v>
      </c>
      <c r="K1947" s="29">
        <v>0.98289565623980701</v>
      </c>
    </row>
    <row r="1948" spans="1:11" x14ac:dyDescent="0.35">
      <c r="A1948" s="9" t="str">
        <f>HYPERLINK("http://www.ensembl.org/id/WBGene00199770", "WBGene00199770")</f>
        <v>WBGene00199770</v>
      </c>
      <c r="B1948" s="9"/>
      <c r="C1948" s="9"/>
      <c r="D1948" t="str">
        <f>"F28B4.8"</f>
        <v>F28B4.8</v>
      </c>
      <c r="F1948" t="s">
        <v>481</v>
      </c>
      <c r="H1948" s="12">
        <v>-2.4295389261469</v>
      </c>
      <c r="I1948" s="11">
        <v>-0.25808529976640998</v>
      </c>
      <c r="J1948" s="10">
        <v>0.79634107645457397</v>
      </c>
      <c r="K1948" s="29">
        <v>0.98289565623980701</v>
      </c>
    </row>
    <row r="1949" spans="1:11" x14ac:dyDescent="0.35">
      <c r="A1949" s="9" t="str">
        <f>HYPERLINK("http://www.ensembl.org/id/WBGene00200207", "WBGene00200207")</f>
        <v>WBGene00200207</v>
      </c>
      <c r="B1949" s="9"/>
      <c r="C1949" s="9"/>
      <c r="D1949" t="str">
        <f>"F28E10.14"</f>
        <v>F28E10.14</v>
      </c>
      <c r="F1949" t="s">
        <v>481</v>
      </c>
      <c r="H1949" s="12">
        <v>-2.4295389261469</v>
      </c>
      <c r="I1949" s="11">
        <v>-0.25808529976640998</v>
      </c>
      <c r="J1949" s="10">
        <v>0.79634107645457397</v>
      </c>
      <c r="K1949" s="29">
        <v>0.98289565623980701</v>
      </c>
    </row>
    <row r="1950" spans="1:11" x14ac:dyDescent="0.35">
      <c r="A1950" s="9" t="str">
        <f>HYPERLINK("http://www.ensembl.org/id/WBGene00195368", "WBGene00195368")</f>
        <v>WBGene00195368</v>
      </c>
      <c r="B1950" s="9"/>
      <c r="C1950" s="9"/>
      <c r="D1950" t="str">
        <f>"F28F5.8"</f>
        <v>F28F5.8</v>
      </c>
      <c r="F1950" t="s">
        <v>481</v>
      </c>
      <c r="H1950" s="12">
        <v>-2.4295389261469</v>
      </c>
      <c r="I1950" s="11">
        <v>-0.25808529976640998</v>
      </c>
      <c r="J1950" s="10">
        <v>0.79634107645457397</v>
      </c>
      <c r="K1950" s="29">
        <v>0.98289565623980701</v>
      </c>
    </row>
    <row r="1951" spans="1:11" x14ac:dyDescent="0.35">
      <c r="A1951" s="9" t="str">
        <f>HYPERLINK("http://www.ensembl.org/id/WBGene00200252", "WBGene00200252")</f>
        <v>WBGene00200252</v>
      </c>
      <c r="B1951" s="9"/>
      <c r="C1951" s="9"/>
      <c r="D1951" t="str">
        <f>"F31B12.6"</f>
        <v>F31B12.6</v>
      </c>
      <c r="F1951" t="s">
        <v>481</v>
      </c>
      <c r="H1951" s="12">
        <v>-2.4295389261469</v>
      </c>
      <c r="I1951" s="11">
        <v>-0.25808529976640998</v>
      </c>
      <c r="J1951" s="10">
        <v>0.79634107645457397</v>
      </c>
      <c r="K1951" s="29">
        <v>0.98289565623980701</v>
      </c>
    </row>
    <row r="1952" spans="1:11" x14ac:dyDescent="0.35">
      <c r="A1952" s="9" t="str">
        <f>HYPERLINK("http://www.ensembl.org/id/WBGene00199209", "WBGene00199209")</f>
        <v>WBGene00199209</v>
      </c>
      <c r="B1952" s="9"/>
      <c r="C1952" s="9"/>
      <c r="D1952" t="str">
        <f>"F31D4.10"</f>
        <v>F31D4.10</v>
      </c>
      <c r="F1952" t="s">
        <v>481</v>
      </c>
      <c r="H1952" s="12">
        <v>-2.4295389261469</v>
      </c>
      <c r="I1952" s="11">
        <v>-0.25808529976640998</v>
      </c>
      <c r="J1952" s="10">
        <v>0.79634107645457397</v>
      </c>
      <c r="K1952" s="29">
        <v>0.98289565623980701</v>
      </c>
    </row>
    <row r="1953" spans="1:11" x14ac:dyDescent="0.35">
      <c r="A1953" s="9" t="str">
        <f>HYPERLINK("http://www.ensembl.org/id/WBGene00197883", "WBGene00197883")</f>
        <v>WBGene00197883</v>
      </c>
      <c r="B1953" s="9"/>
      <c r="C1953" s="9"/>
      <c r="D1953" t="str">
        <f>"F31E8.13"</f>
        <v>F31E8.13</v>
      </c>
      <c r="F1953" t="s">
        <v>481</v>
      </c>
      <c r="H1953" s="12">
        <v>-2.4295389261469</v>
      </c>
      <c r="I1953" s="11">
        <v>-0.25808529976640998</v>
      </c>
      <c r="J1953" s="10">
        <v>0.79634107645457397</v>
      </c>
      <c r="K1953" s="29">
        <v>0.98289565623980701</v>
      </c>
    </row>
    <row r="1954" spans="1:11" x14ac:dyDescent="0.35">
      <c r="A1954" s="9" t="str">
        <f>HYPERLINK("http://www.ensembl.org/id/WBGene00198940", "WBGene00198940")</f>
        <v>WBGene00198940</v>
      </c>
      <c r="B1954" s="9"/>
      <c r="C1954" s="9"/>
      <c r="D1954" t="str">
        <f>"F31F7.8"</f>
        <v>F31F7.8</v>
      </c>
      <c r="F1954" t="s">
        <v>481</v>
      </c>
      <c r="H1954" s="12">
        <v>-2.4295389261469</v>
      </c>
      <c r="I1954" s="11">
        <v>-0.25808529976640998</v>
      </c>
      <c r="J1954" s="10">
        <v>0.79634107645457397</v>
      </c>
      <c r="K1954" s="29">
        <v>0.98289565623980701</v>
      </c>
    </row>
    <row r="1955" spans="1:11" x14ac:dyDescent="0.35">
      <c r="A1955" s="9" t="str">
        <f>HYPERLINK("http://www.ensembl.org/id/WBGene00009392", "WBGene00009392")</f>
        <v>WBGene00009392</v>
      </c>
      <c r="B1955" s="9" t="str">
        <f>HYPERLINK("http://www.ncbi.nlm.nih.gov/gene/185263", "185263")</f>
        <v>185263</v>
      </c>
      <c r="C1955" s="9"/>
      <c r="D1955" t="str">
        <f>"F35C5.4"</f>
        <v>F35C5.4</v>
      </c>
      <c r="F1955" t="s">
        <v>11</v>
      </c>
      <c r="H1955" s="12">
        <v>-2.4295389261469</v>
      </c>
      <c r="I1955" s="11">
        <v>-0.25808529976640998</v>
      </c>
      <c r="J1955" s="10">
        <v>0.79634107645457397</v>
      </c>
      <c r="K1955" s="29">
        <v>0.98289565623980701</v>
      </c>
    </row>
    <row r="1956" spans="1:11" x14ac:dyDescent="0.35">
      <c r="A1956" s="9" t="str">
        <f>HYPERLINK("http://www.ensembl.org/id/WBGene00202301", "WBGene00202301")</f>
        <v>WBGene00202301</v>
      </c>
      <c r="B1956" s="9"/>
      <c r="C1956" s="9"/>
      <c r="D1956" t="str">
        <f>"F35G2.21"</f>
        <v>F35G2.21</v>
      </c>
      <c r="F1956" t="s">
        <v>481</v>
      </c>
      <c r="H1956" s="12">
        <v>-2.4295389261469</v>
      </c>
      <c r="I1956" s="11">
        <v>-0.25808529976640998</v>
      </c>
      <c r="J1956" s="10">
        <v>0.79634107645457397</v>
      </c>
      <c r="K1956" s="29">
        <v>0.98289565623980701</v>
      </c>
    </row>
    <row r="1957" spans="1:11" x14ac:dyDescent="0.35">
      <c r="A1957" s="9" t="str">
        <f>HYPERLINK("http://www.ensembl.org/id/WBGene00044246", "WBGene00044246")</f>
        <v>WBGene00044246</v>
      </c>
      <c r="B1957" s="9" t="str">
        <f>HYPERLINK("http://www.ncbi.nlm.nih.gov/gene/3565164", "3565164")</f>
        <v>3565164</v>
      </c>
      <c r="C1957" s="9"/>
      <c r="D1957" t="str">
        <f>"F36D1.10"</f>
        <v>F36D1.10</v>
      </c>
      <c r="F1957" t="s">
        <v>11</v>
      </c>
      <c r="H1957" s="12">
        <v>-2.4295389261469</v>
      </c>
      <c r="I1957" s="11">
        <v>-0.25808529976640998</v>
      </c>
      <c r="J1957" s="10">
        <v>0.79634107645457397</v>
      </c>
      <c r="K1957" s="29">
        <v>0.98289565623980701</v>
      </c>
    </row>
    <row r="1958" spans="1:11" x14ac:dyDescent="0.35">
      <c r="A1958" s="9" t="str">
        <f>HYPERLINK("http://www.ensembl.org/id/WBGene00219936", "WBGene00219936")</f>
        <v>WBGene00219936</v>
      </c>
      <c r="B1958" s="9"/>
      <c r="C1958" s="9"/>
      <c r="D1958" t="str">
        <f>"F37A8.7"</f>
        <v>F37A8.7</v>
      </c>
      <c r="F1958" t="s">
        <v>2977</v>
      </c>
      <c r="H1958" s="12">
        <v>-2.4295389261469</v>
      </c>
      <c r="I1958" s="11">
        <v>-0.25808529976640998</v>
      </c>
      <c r="J1958" s="10">
        <v>0.79634107645457397</v>
      </c>
      <c r="K1958" s="29">
        <v>0.98289565623980701</v>
      </c>
    </row>
    <row r="1959" spans="1:11" x14ac:dyDescent="0.35">
      <c r="A1959" s="9" t="str">
        <f>HYPERLINK("http://www.ensembl.org/id/WBGene00018182", "WBGene00018182")</f>
        <v>WBGene00018182</v>
      </c>
      <c r="B1959" s="9" t="str">
        <f>HYPERLINK("http://www.ncbi.nlm.nih.gov/gene/185466", "185466")</f>
        <v>185466</v>
      </c>
      <c r="C1959" s="9"/>
      <c r="D1959" t="str">
        <f>"F38E1.10"</f>
        <v>F38E1.10</v>
      </c>
      <c r="F1959" t="s">
        <v>11</v>
      </c>
      <c r="H1959" s="12">
        <v>-2.4295389261469</v>
      </c>
      <c r="I1959" s="11">
        <v>-0.25808529976640998</v>
      </c>
      <c r="J1959" s="10">
        <v>0.79634107645457397</v>
      </c>
      <c r="K1959" s="29">
        <v>0.98289565623980701</v>
      </c>
    </row>
    <row r="1960" spans="1:11" x14ac:dyDescent="0.35">
      <c r="A1960" s="9" t="str">
        <f>HYPERLINK("http://www.ensembl.org/id/WBGene00196973", "WBGene00196973")</f>
        <v>WBGene00196973</v>
      </c>
      <c r="B1960" s="9"/>
      <c r="C1960" s="9"/>
      <c r="D1960" t="str">
        <f>"F42A10.12"</f>
        <v>F42A10.12</v>
      </c>
      <c r="F1960" t="s">
        <v>481</v>
      </c>
      <c r="H1960" s="12">
        <v>-2.4295389261469</v>
      </c>
      <c r="I1960" s="11">
        <v>-0.25808529976640998</v>
      </c>
      <c r="J1960" s="10">
        <v>0.79634107645457397</v>
      </c>
      <c r="K1960" s="29">
        <v>0.98289565623980701</v>
      </c>
    </row>
    <row r="1961" spans="1:11" x14ac:dyDescent="0.35">
      <c r="A1961" s="9" t="str">
        <f>HYPERLINK("http://www.ensembl.org/id/WBGene00023047", "WBGene00023047")</f>
        <v>WBGene00023047</v>
      </c>
      <c r="B1961" s="9"/>
      <c r="C1961" s="9"/>
      <c r="D1961" t="str">
        <f>"F43C9.t1"</f>
        <v>F43C9.t1</v>
      </c>
      <c r="F1961" t="s">
        <v>4208</v>
      </c>
      <c r="H1961" s="12">
        <v>-2.4295389261469</v>
      </c>
      <c r="I1961" s="11">
        <v>-0.25808529976640998</v>
      </c>
      <c r="J1961" s="10">
        <v>0.79634107645457397</v>
      </c>
      <c r="K1961" s="29">
        <v>0.98289565623980701</v>
      </c>
    </row>
    <row r="1962" spans="1:11" x14ac:dyDescent="0.35">
      <c r="A1962" s="9" t="str">
        <f>HYPERLINK("http://www.ensembl.org/id/WBGene00196933", "WBGene00196933")</f>
        <v>WBGene00196933</v>
      </c>
      <c r="B1962" s="9"/>
      <c r="C1962" s="9"/>
      <c r="D1962" t="str">
        <f>"F43D9.8"</f>
        <v>F43D9.8</v>
      </c>
      <c r="F1962" t="s">
        <v>481</v>
      </c>
      <c r="H1962" s="12">
        <v>-2.4295389261469</v>
      </c>
      <c r="I1962" s="11">
        <v>-0.25808529976640998</v>
      </c>
      <c r="J1962" s="10">
        <v>0.79634107645457397</v>
      </c>
      <c r="K1962" s="29">
        <v>0.98289565623980701</v>
      </c>
    </row>
    <row r="1963" spans="1:11" x14ac:dyDescent="0.35">
      <c r="A1963" s="9" t="str">
        <f>HYPERLINK("http://www.ensembl.org/id/WBGene00043328", "WBGene00043328")</f>
        <v>WBGene00043328</v>
      </c>
      <c r="B1963" s="9" t="str">
        <f>HYPERLINK("http://www.ncbi.nlm.nih.gov/gene/26591687", "26591687")</f>
        <v>26591687</v>
      </c>
      <c r="C1963" s="9"/>
      <c r="D1963" t="str">
        <f>"F45D11.11"</f>
        <v>F45D11.11</v>
      </c>
      <c r="F1963" t="s">
        <v>11</v>
      </c>
      <c r="G1963" t="s">
        <v>54</v>
      </c>
      <c r="H1963" s="12">
        <v>-2.4295389261469</v>
      </c>
      <c r="I1963" s="11">
        <v>-0.25808529976640998</v>
      </c>
      <c r="J1963" s="10">
        <v>0.79634107645457397</v>
      </c>
      <c r="K1963" s="29">
        <v>0.98289565623980701</v>
      </c>
    </row>
    <row r="1964" spans="1:11" x14ac:dyDescent="0.35">
      <c r="A1964" s="9" t="str">
        <f>HYPERLINK("http://www.ensembl.org/id/WBGene00199098", "WBGene00199098")</f>
        <v>WBGene00199098</v>
      </c>
      <c r="B1964" s="9"/>
      <c r="C1964" s="9"/>
      <c r="D1964" t="str">
        <f>"F45E1.13"</f>
        <v>F45E1.13</v>
      </c>
      <c r="F1964" t="s">
        <v>481</v>
      </c>
      <c r="H1964" s="12">
        <v>-2.4295389261469</v>
      </c>
      <c r="I1964" s="11">
        <v>-0.25808529976640998</v>
      </c>
      <c r="J1964" s="10">
        <v>0.79634107645457397</v>
      </c>
      <c r="K1964" s="29">
        <v>0.98289565623980701</v>
      </c>
    </row>
    <row r="1965" spans="1:11" x14ac:dyDescent="0.35">
      <c r="A1965" s="9" t="str">
        <f>HYPERLINK("http://www.ensembl.org/id/WBGene00199473", "WBGene00199473")</f>
        <v>WBGene00199473</v>
      </c>
      <c r="B1965" s="9"/>
      <c r="C1965" s="9"/>
      <c r="D1965" t="str">
        <f>"F45E6.7"</f>
        <v>F45E6.7</v>
      </c>
      <c r="F1965" t="s">
        <v>481</v>
      </c>
      <c r="H1965" s="12">
        <v>-2.4295389261469</v>
      </c>
      <c r="I1965" s="11">
        <v>-0.25808529976640998</v>
      </c>
      <c r="J1965" s="10">
        <v>0.79634107645457397</v>
      </c>
      <c r="K1965" s="29">
        <v>0.98289565623980701</v>
      </c>
    </row>
    <row r="1966" spans="1:11" x14ac:dyDescent="0.35">
      <c r="A1966" s="9" t="str">
        <f>HYPERLINK("http://www.ensembl.org/id/WBGene00198298", "WBGene00198298")</f>
        <v>WBGene00198298</v>
      </c>
      <c r="B1966" s="9"/>
      <c r="C1966" s="9"/>
      <c r="D1966" t="str">
        <f>"F47B10.10"</f>
        <v>F47B10.10</v>
      </c>
      <c r="F1966" t="s">
        <v>481</v>
      </c>
      <c r="H1966" s="12">
        <v>-2.4295389261469</v>
      </c>
      <c r="I1966" s="11">
        <v>-0.25808529976640998</v>
      </c>
      <c r="J1966" s="10">
        <v>0.79634107645457397</v>
      </c>
      <c r="K1966" s="29">
        <v>0.98289565623980701</v>
      </c>
    </row>
    <row r="1967" spans="1:11" x14ac:dyDescent="0.35">
      <c r="A1967" s="9" t="str">
        <f>HYPERLINK("http://www.ensembl.org/id/WBGene00199347", "WBGene00199347")</f>
        <v>WBGene00199347</v>
      </c>
      <c r="B1967" s="9"/>
      <c r="C1967" s="9"/>
      <c r="D1967" t="str">
        <f>"F47B7.14"</f>
        <v>F47B7.14</v>
      </c>
      <c r="F1967" t="s">
        <v>481</v>
      </c>
      <c r="H1967" s="12">
        <v>-2.4295389261469</v>
      </c>
      <c r="I1967" s="11">
        <v>-0.25808529976640998</v>
      </c>
      <c r="J1967" s="10">
        <v>0.79634107645457397</v>
      </c>
      <c r="K1967" s="29">
        <v>0.98289565623980701</v>
      </c>
    </row>
    <row r="1968" spans="1:11" x14ac:dyDescent="0.35">
      <c r="A1968" s="9" t="str">
        <f>HYPERLINK("http://www.ensembl.org/id/WBGene00269430", "WBGene00269430")</f>
        <v>WBGene00269430</v>
      </c>
      <c r="B1968" s="9"/>
      <c r="C1968" s="9"/>
      <c r="D1968" t="str">
        <f>"F47D2.12"</f>
        <v>F47D2.12</v>
      </c>
      <c r="F1968" t="s">
        <v>80</v>
      </c>
      <c r="H1968" s="12">
        <v>-2.4295389261469</v>
      </c>
      <c r="I1968" s="11">
        <v>-0.25808529976640998</v>
      </c>
      <c r="J1968" s="10">
        <v>0.79634107645457397</v>
      </c>
      <c r="K1968" s="29">
        <v>0.98289565623980701</v>
      </c>
    </row>
    <row r="1969" spans="1:11" x14ac:dyDescent="0.35">
      <c r="A1969" s="9" t="str">
        <f>HYPERLINK("http://www.ensembl.org/id/WBGene00202461", "WBGene00202461")</f>
        <v>WBGene00202461</v>
      </c>
      <c r="B1969" s="9"/>
      <c r="C1969" s="9"/>
      <c r="D1969" t="str">
        <f>"F47E1.16"</f>
        <v>F47E1.16</v>
      </c>
      <c r="F1969" t="s">
        <v>481</v>
      </c>
      <c r="H1969" s="12">
        <v>-2.4295389261469</v>
      </c>
      <c r="I1969" s="11">
        <v>-0.25808529976640998</v>
      </c>
      <c r="J1969" s="10">
        <v>0.79634107645457397</v>
      </c>
      <c r="K1969" s="29">
        <v>0.98289565623980701</v>
      </c>
    </row>
    <row r="1970" spans="1:11" x14ac:dyDescent="0.35">
      <c r="A1970" s="9" t="str">
        <f>HYPERLINK("http://www.ensembl.org/id/WBGene00045391", "WBGene00045391")</f>
        <v>WBGene00045391</v>
      </c>
      <c r="B1970" s="9"/>
      <c r="C1970" s="9"/>
      <c r="D1970" t="str">
        <f>"F52D4.1"</f>
        <v>F52D4.1</v>
      </c>
      <c r="F1970" t="s">
        <v>481</v>
      </c>
      <c r="H1970" s="12">
        <v>-2.4295389261469</v>
      </c>
      <c r="I1970" s="11">
        <v>-0.25808529976640998</v>
      </c>
      <c r="J1970" s="10">
        <v>0.79634107645457397</v>
      </c>
      <c r="K1970" s="29">
        <v>0.98289565623980701</v>
      </c>
    </row>
    <row r="1971" spans="1:11" x14ac:dyDescent="0.35">
      <c r="A1971" s="9" t="str">
        <f>HYPERLINK("http://www.ensembl.org/id/WBGene00196431", "WBGene00196431")</f>
        <v>WBGene00196431</v>
      </c>
      <c r="B1971" s="9"/>
      <c r="C1971" s="9"/>
      <c r="D1971" t="str">
        <f>"F53F8.8"</f>
        <v>F53F8.8</v>
      </c>
      <c r="F1971" t="s">
        <v>481</v>
      </c>
      <c r="H1971" s="12">
        <v>-2.4295389261469</v>
      </c>
      <c r="I1971" s="11">
        <v>-0.25808529976640998</v>
      </c>
      <c r="J1971" s="10">
        <v>0.79634107645457397</v>
      </c>
      <c r="K1971" s="29">
        <v>0.98289565623980701</v>
      </c>
    </row>
    <row r="1972" spans="1:11" x14ac:dyDescent="0.35">
      <c r="A1972" s="9" t="str">
        <f>HYPERLINK("http://www.ensembl.org/id/WBGene00199106", "WBGene00199106")</f>
        <v>WBGene00199106</v>
      </c>
      <c r="B1972" s="9"/>
      <c r="C1972" s="9"/>
      <c r="D1972" t="str">
        <f>"F54D7.8"</f>
        <v>F54D7.8</v>
      </c>
      <c r="F1972" t="s">
        <v>481</v>
      </c>
      <c r="H1972" s="12">
        <v>-2.4295389261469</v>
      </c>
      <c r="I1972" s="11">
        <v>-0.25808529976640998</v>
      </c>
      <c r="J1972" s="10">
        <v>0.79634107645457397</v>
      </c>
      <c r="K1972" s="29">
        <v>0.98289565623980701</v>
      </c>
    </row>
    <row r="1973" spans="1:11" x14ac:dyDescent="0.35">
      <c r="A1973" s="9" t="str">
        <f>HYPERLINK("http://www.ensembl.org/id/WBGene00199035", "WBGene00199035")</f>
        <v>WBGene00199035</v>
      </c>
      <c r="B1973" s="9"/>
      <c r="C1973" s="9"/>
      <c r="D1973" t="str">
        <f>"F54F3.5"</f>
        <v>F54F3.5</v>
      </c>
      <c r="F1973" t="s">
        <v>481</v>
      </c>
      <c r="H1973" s="12">
        <v>-2.4295389261469</v>
      </c>
      <c r="I1973" s="11">
        <v>-0.25808529976640998</v>
      </c>
      <c r="J1973" s="10">
        <v>0.79634107645457397</v>
      </c>
      <c r="K1973" s="29">
        <v>0.98289565623980701</v>
      </c>
    </row>
    <row r="1974" spans="1:11" x14ac:dyDescent="0.35">
      <c r="A1974" s="9" t="str">
        <f>HYPERLINK("http://www.ensembl.org/id/WBGene00014771", "WBGene00014771")</f>
        <v>WBGene00014771</v>
      </c>
      <c r="B1974" s="9"/>
      <c r="C1974" s="9"/>
      <c r="D1974" t="str">
        <f>"F55G11.3"</f>
        <v>F55G11.3</v>
      </c>
      <c r="F1974" t="s">
        <v>80</v>
      </c>
      <c r="H1974" s="12">
        <v>-2.4295389261469</v>
      </c>
      <c r="I1974" s="11">
        <v>-0.25808529976640998</v>
      </c>
      <c r="J1974" s="10">
        <v>0.79634107645457397</v>
      </c>
      <c r="K1974" s="29">
        <v>0.98289565623980701</v>
      </c>
    </row>
    <row r="1975" spans="1:11" x14ac:dyDescent="0.35">
      <c r="A1975" s="9" t="str">
        <f>HYPERLINK("http://www.ensembl.org/id/WBGene00010127", "WBGene00010127")</f>
        <v>WBGene00010127</v>
      </c>
      <c r="B1975" s="9" t="str">
        <f>HYPERLINK("http://www.ncbi.nlm.nih.gov/gene/178246", "178246")</f>
        <v>178246</v>
      </c>
      <c r="C1975" s="9"/>
      <c r="D1975" t="str">
        <f>"F55G11.7"</f>
        <v>F55G11.7</v>
      </c>
      <c r="F1975" t="s">
        <v>11</v>
      </c>
      <c r="G1975" t="s">
        <v>264</v>
      </c>
      <c r="H1975" s="12">
        <v>-2.4295389261469</v>
      </c>
      <c r="I1975" s="11">
        <v>-0.25808529976640998</v>
      </c>
      <c r="J1975" s="10">
        <v>0.79634107645457397</v>
      </c>
      <c r="K1975" s="29">
        <v>0.98289565623980701</v>
      </c>
    </row>
    <row r="1976" spans="1:11" x14ac:dyDescent="0.35">
      <c r="A1976" s="9" t="str">
        <f>HYPERLINK("http://www.ensembl.org/id/WBGene00018910", "WBGene00018910")</f>
        <v>WBGene00018910</v>
      </c>
      <c r="B1976" s="9" t="str">
        <f>HYPERLINK("http://www.ncbi.nlm.nih.gov/gene/178721", "178721")</f>
        <v>178721</v>
      </c>
      <c r="C1976" s="9"/>
      <c r="D1976" t="str">
        <f>"F56A4.2"</f>
        <v>F56A4.2</v>
      </c>
      <c r="E1976" t="s">
        <v>46</v>
      </c>
      <c r="F1976" t="s">
        <v>11</v>
      </c>
      <c r="G1976" t="s">
        <v>47</v>
      </c>
      <c r="H1976" s="12">
        <v>-2.4295389261469</v>
      </c>
      <c r="I1976" s="11">
        <v>-0.25808529976640998</v>
      </c>
      <c r="J1976" s="10">
        <v>0.79634107645457397</v>
      </c>
      <c r="K1976" s="29">
        <v>0.98289565623980701</v>
      </c>
    </row>
    <row r="1977" spans="1:11" x14ac:dyDescent="0.35">
      <c r="A1977" s="9" t="str">
        <f>HYPERLINK("http://www.ensembl.org/id/WBGene00044474", "WBGene00044474")</f>
        <v>WBGene00044474</v>
      </c>
      <c r="B1977" s="9" t="str">
        <f>HYPERLINK("http://www.ncbi.nlm.nih.gov/gene/3896772", "3896772")</f>
        <v>3896772</v>
      </c>
      <c r="C1977" s="9"/>
      <c r="D1977" t="str">
        <f>"F56D6.12"</f>
        <v>F56D6.12</v>
      </c>
      <c r="F1977" t="s">
        <v>11</v>
      </c>
      <c r="G1977" t="s">
        <v>25</v>
      </c>
      <c r="H1977" s="12">
        <v>-2.4295389261469</v>
      </c>
      <c r="I1977" s="11">
        <v>-0.25808529976640998</v>
      </c>
      <c r="J1977" s="10">
        <v>0.79634107645457397</v>
      </c>
      <c r="K1977" s="29">
        <v>0.98289565623980701</v>
      </c>
    </row>
    <row r="1978" spans="1:11" x14ac:dyDescent="0.35">
      <c r="A1978" s="9" t="str">
        <f>HYPERLINK("http://www.ensembl.org/id/WBGene00014406", "WBGene00014406")</f>
        <v>WBGene00014406</v>
      </c>
      <c r="B1978" s="9"/>
      <c r="C1978" s="9"/>
      <c r="D1978" t="str">
        <f>"F57F5.t1"</f>
        <v>F57F5.t1</v>
      </c>
      <c r="F1978" t="s">
        <v>4208</v>
      </c>
      <c r="H1978" s="12">
        <v>-2.4295389261469</v>
      </c>
      <c r="I1978" s="11">
        <v>-0.25808529976640998</v>
      </c>
      <c r="J1978" s="10">
        <v>0.79634107645457397</v>
      </c>
      <c r="K1978" s="29">
        <v>0.98289565623980701</v>
      </c>
    </row>
    <row r="1979" spans="1:11" x14ac:dyDescent="0.35">
      <c r="A1979" s="9" t="str">
        <f>HYPERLINK("http://www.ensembl.org/id/WBGene00014777", "WBGene00014777")</f>
        <v>WBGene00014777</v>
      </c>
      <c r="B1979" s="9"/>
      <c r="C1979" s="9"/>
      <c r="D1979" t="str">
        <f>"F58A4.12"</f>
        <v>F58A4.12</v>
      </c>
      <c r="F1979" t="s">
        <v>80</v>
      </c>
      <c r="H1979" s="12">
        <v>-2.4295389261469</v>
      </c>
      <c r="I1979" s="11">
        <v>-0.25808529976640998</v>
      </c>
      <c r="J1979" s="10">
        <v>0.79634107645457397</v>
      </c>
      <c r="K1979" s="29">
        <v>0.98289565623980701</v>
      </c>
    </row>
    <row r="1980" spans="1:11" x14ac:dyDescent="0.35">
      <c r="A1980" s="9" t="str">
        <f>HYPERLINK("http://www.ensembl.org/id/WBGene00199859", "WBGene00199859")</f>
        <v>WBGene00199859</v>
      </c>
      <c r="B1980" s="9"/>
      <c r="C1980" s="9"/>
      <c r="D1980" t="str">
        <f>"F58H1.22"</f>
        <v>F58H1.22</v>
      </c>
      <c r="F1980" t="s">
        <v>481</v>
      </c>
      <c r="H1980" s="12">
        <v>-2.4295389261469</v>
      </c>
      <c r="I1980" s="11">
        <v>-0.25808529976640998</v>
      </c>
      <c r="J1980" s="10">
        <v>0.79634107645457397</v>
      </c>
      <c r="K1980" s="29">
        <v>0.98289565623980701</v>
      </c>
    </row>
    <row r="1981" spans="1:11" x14ac:dyDescent="0.35">
      <c r="A1981" s="9" t="str">
        <f>HYPERLINK("http://www.ensembl.org/id/WBGene00019133", "WBGene00019133")</f>
        <v>WBGene00019133</v>
      </c>
      <c r="B1981" s="9"/>
      <c r="C1981" s="9"/>
      <c r="D1981" t="str">
        <f>"F59H6.2"</f>
        <v>F59H6.2</v>
      </c>
      <c r="F1981" t="s">
        <v>80</v>
      </c>
      <c r="H1981" s="12">
        <v>-2.4295389261469</v>
      </c>
      <c r="I1981" s="11">
        <v>-0.25808529976640998</v>
      </c>
      <c r="J1981" s="10">
        <v>0.79634107645457397</v>
      </c>
      <c r="K1981" s="29">
        <v>0.98289565623980701</v>
      </c>
    </row>
    <row r="1982" spans="1:11" x14ac:dyDescent="0.35">
      <c r="A1982" s="9" t="str">
        <f>HYPERLINK("http://www.ensembl.org/id/WBGene00219331", "WBGene00219331")</f>
        <v>WBGene00219331</v>
      </c>
      <c r="B1982" s="9"/>
      <c r="C1982" s="9"/>
      <c r="D1982" t="str">
        <f>"H25K10.141"</f>
        <v>H25K10.141</v>
      </c>
      <c r="F1982" t="s">
        <v>80</v>
      </c>
      <c r="H1982" s="12">
        <v>-2.4295389261469</v>
      </c>
      <c r="I1982" s="11">
        <v>-0.25808529976640998</v>
      </c>
      <c r="J1982" s="10">
        <v>0.79634107645457397</v>
      </c>
      <c r="K1982" s="29">
        <v>0.98289565623980701</v>
      </c>
    </row>
    <row r="1983" spans="1:11" x14ac:dyDescent="0.35">
      <c r="A1983" s="9" t="str">
        <f>HYPERLINK("http://www.ensembl.org/id/WBGene00011418", "WBGene00011418")</f>
        <v>WBGene00011418</v>
      </c>
      <c r="B1983" s="9" t="str">
        <f>HYPERLINK("http://www.ncbi.nlm.nih.gov/gene/3565301", "3565301")</f>
        <v>3565301</v>
      </c>
      <c r="C1983" s="9"/>
      <c r="D1983" t="str">
        <f>"igdb-1"</f>
        <v>igdb-1</v>
      </c>
      <c r="E1983" t="s">
        <v>10056</v>
      </c>
      <c r="F1983" t="s">
        <v>11</v>
      </c>
      <c r="G1983" t="s">
        <v>54</v>
      </c>
      <c r="H1983" s="12">
        <v>-2.4295389261469</v>
      </c>
      <c r="I1983" s="11">
        <v>-0.25808529976640998</v>
      </c>
      <c r="J1983" s="10">
        <v>0.79634107645457397</v>
      </c>
      <c r="K1983" s="29">
        <v>0.98289565623980701</v>
      </c>
    </row>
    <row r="1984" spans="1:11" x14ac:dyDescent="0.35">
      <c r="A1984" s="9" t="str">
        <f>HYPERLINK("http://www.ensembl.org/id/WBGene00200742", "WBGene00200742")</f>
        <v>WBGene00200742</v>
      </c>
      <c r="B1984" s="9"/>
      <c r="C1984" s="9"/>
      <c r="D1984" t="str">
        <f>"K02A11.10"</f>
        <v>K02A11.10</v>
      </c>
      <c r="F1984" t="s">
        <v>481</v>
      </c>
      <c r="H1984" s="12">
        <v>-2.4295389261469</v>
      </c>
      <c r="I1984" s="11">
        <v>-0.25808529976640998</v>
      </c>
      <c r="J1984" s="10">
        <v>0.79634107645457397</v>
      </c>
      <c r="K1984" s="29">
        <v>0.98289565623980701</v>
      </c>
    </row>
    <row r="1985" spans="1:11" x14ac:dyDescent="0.35">
      <c r="A1985" s="9" t="str">
        <f>HYPERLINK("http://www.ensembl.org/id/WBGene00198047", "WBGene00198047")</f>
        <v>WBGene00198047</v>
      </c>
      <c r="B1985" s="9"/>
      <c r="C1985" s="9"/>
      <c r="D1985" t="str">
        <f>"K02A11.8"</f>
        <v>K02A11.8</v>
      </c>
      <c r="F1985" t="s">
        <v>481</v>
      </c>
      <c r="H1985" s="12">
        <v>-2.4295389261469</v>
      </c>
      <c r="I1985" s="11">
        <v>-0.25808529976640998</v>
      </c>
      <c r="J1985" s="10">
        <v>0.79634107645457397</v>
      </c>
      <c r="K1985" s="29">
        <v>0.98289565623980701</v>
      </c>
    </row>
    <row r="1986" spans="1:11" x14ac:dyDescent="0.35">
      <c r="A1986" s="9" t="str">
        <f>HYPERLINK("http://www.ensembl.org/id/WBGene00019297", "WBGene00019297")</f>
        <v>WBGene00019297</v>
      </c>
      <c r="B1986" s="9" t="str">
        <f>HYPERLINK("http://www.ncbi.nlm.nih.gov/gene/186865", "186865")</f>
        <v>186865</v>
      </c>
      <c r="C1986" s="9"/>
      <c r="D1986" t="str">
        <f>"K02B2.6"</f>
        <v>K02B2.6</v>
      </c>
      <c r="F1986" t="s">
        <v>11</v>
      </c>
      <c r="H1986" s="12">
        <v>-2.4295389261469</v>
      </c>
      <c r="I1986" s="11">
        <v>-0.25808529976640998</v>
      </c>
      <c r="J1986" s="10">
        <v>0.79634107645457397</v>
      </c>
      <c r="K1986" s="29">
        <v>0.98289565623980701</v>
      </c>
    </row>
    <row r="1987" spans="1:11" x14ac:dyDescent="0.35">
      <c r="A1987" s="9" t="str">
        <f>HYPERLINK("http://www.ensembl.org/id/WBGene00019340", "WBGene00019340")</f>
        <v>WBGene00019340</v>
      </c>
      <c r="B1987" s="9" t="str">
        <f>HYPERLINK("http://www.ncbi.nlm.nih.gov/gene/186909", "186909")</f>
        <v>186909</v>
      </c>
      <c r="C1987" s="9"/>
      <c r="D1987" t="str">
        <f>"K02F6.6"</f>
        <v>K02F6.6</v>
      </c>
      <c r="F1987" t="s">
        <v>11</v>
      </c>
      <c r="H1987" s="12">
        <v>-2.4295389261469</v>
      </c>
      <c r="I1987" s="11">
        <v>-0.25808529976640998</v>
      </c>
      <c r="J1987" s="10">
        <v>0.79634107645457397</v>
      </c>
      <c r="K1987" s="29">
        <v>0.98289565623980701</v>
      </c>
    </row>
    <row r="1988" spans="1:11" x14ac:dyDescent="0.35">
      <c r="A1988" s="9" t="str">
        <f>HYPERLINK("http://www.ensembl.org/id/WBGene00010543", "WBGene00010543")</f>
        <v>WBGene00010543</v>
      </c>
      <c r="B1988" s="9"/>
      <c r="C1988" s="9"/>
      <c r="D1988" t="str">
        <f>"K03H1.8"</f>
        <v>K03H1.8</v>
      </c>
      <c r="F1988" t="s">
        <v>80</v>
      </c>
      <c r="H1988" s="12">
        <v>-2.4295389261469</v>
      </c>
      <c r="I1988" s="11">
        <v>-0.25808529976640998</v>
      </c>
      <c r="J1988" s="10">
        <v>0.79634107645457397</v>
      </c>
      <c r="K1988" s="29">
        <v>0.98289565623980701</v>
      </c>
    </row>
    <row r="1989" spans="1:11" x14ac:dyDescent="0.35">
      <c r="A1989" s="9" t="str">
        <f>HYPERLINK("http://www.ensembl.org/id/WBGene00235317", "WBGene00235317")</f>
        <v>WBGene00235317</v>
      </c>
      <c r="B1989" s="9" t="str">
        <f>HYPERLINK("http://www.ncbi.nlm.nih.gov/gene/24104717", "24104717")</f>
        <v>24104717</v>
      </c>
      <c r="C1989" s="9"/>
      <c r="D1989" t="str">
        <f>"K04A8.19"</f>
        <v>K04A8.19</v>
      </c>
      <c r="F1989" t="s">
        <v>11</v>
      </c>
      <c r="H1989" s="12">
        <v>-2.4295389261469</v>
      </c>
      <c r="I1989" s="11">
        <v>-0.25808529976640998</v>
      </c>
      <c r="J1989" s="10">
        <v>0.79634107645457397</v>
      </c>
      <c r="K1989" s="29">
        <v>0.98289565623980701</v>
      </c>
    </row>
    <row r="1990" spans="1:11" x14ac:dyDescent="0.35">
      <c r="A1990" s="9" t="str">
        <f>HYPERLINK("http://www.ensembl.org/id/WBGene00202306", "WBGene00202306")</f>
        <v>WBGene00202306</v>
      </c>
      <c r="B1990" s="9"/>
      <c r="C1990" s="9"/>
      <c r="D1990" t="str">
        <f>"K04B12.8"</f>
        <v>K04B12.8</v>
      </c>
      <c r="F1990" t="s">
        <v>481</v>
      </c>
      <c r="H1990" s="12">
        <v>-2.4295389261469</v>
      </c>
      <c r="I1990" s="11">
        <v>-0.25808529976640998</v>
      </c>
      <c r="J1990" s="10">
        <v>0.79634107645457397</v>
      </c>
      <c r="K1990" s="29">
        <v>0.98289565623980701</v>
      </c>
    </row>
    <row r="1991" spans="1:11" x14ac:dyDescent="0.35">
      <c r="A1991" s="9" t="str">
        <f>HYPERLINK("http://www.ensembl.org/id/WBGene00019501", "WBGene00019501")</f>
        <v>WBGene00019501</v>
      </c>
      <c r="B1991" s="9" t="str">
        <f>HYPERLINK("http://www.ncbi.nlm.nih.gov/gene/187117", "187117")</f>
        <v>187117</v>
      </c>
      <c r="C1991" s="9"/>
      <c r="D1991" t="str">
        <f>"K07E12.2"</f>
        <v>K07E12.2</v>
      </c>
      <c r="F1991" t="s">
        <v>11</v>
      </c>
      <c r="H1991" s="12">
        <v>-2.4295389261469</v>
      </c>
      <c r="I1991" s="11">
        <v>-0.25808529976640998</v>
      </c>
      <c r="J1991" s="10">
        <v>0.79634107645457397</v>
      </c>
      <c r="K1991" s="29">
        <v>0.98289565623980701</v>
      </c>
    </row>
    <row r="1992" spans="1:11" x14ac:dyDescent="0.35">
      <c r="A1992" s="9" t="str">
        <f>HYPERLINK("http://www.ensembl.org/id/WBGene00045180", "WBGene00045180")</f>
        <v>WBGene00045180</v>
      </c>
      <c r="B1992" s="9" t="str">
        <f>HYPERLINK("http://www.ncbi.nlm.nih.gov/gene/4926938", "4926938")</f>
        <v>4926938</v>
      </c>
      <c r="C1992" s="9"/>
      <c r="D1992" t="str">
        <f>"K07F5.17"</f>
        <v>K07F5.17</v>
      </c>
      <c r="F1992" t="s">
        <v>11</v>
      </c>
      <c r="H1992" s="12">
        <v>-2.4295389261469</v>
      </c>
      <c r="I1992" s="11">
        <v>-0.25808529976640998</v>
      </c>
      <c r="J1992" s="10">
        <v>0.79634107645457397</v>
      </c>
      <c r="K1992" s="29">
        <v>0.98289565623980701</v>
      </c>
    </row>
    <row r="1993" spans="1:11" x14ac:dyDescent="0.35">
      <c r="A1993" s="9" t="str">
        <f>HYPERLINK("http://www.ensembl.org/id/WBGene00200908", "WBGene00200908")</f>
        <v>WBGene00200908</v>
      </c>
      <c r="B1993" s="9"/>
      <c r="C1993" s="9"/>
      <c r="D1993" t="str">
        <f>"K07F5.20"</f>
        <v>K07F5.20</v>
      </c>
      <c r="F1993" t="s">
        <v>481</v>
      </c>
      <c r="H1993" s="12">
        <v>-2.4295389261469</v>
      </c>
      <c r="I1993" s="11">
        <v>-0.25808529976640998</v>
      </c>
      <c r="J1993" s="10">
        <v>0.79634107645457397</v>
      </c>
      <c r="K1993" s="29">
        <v>0.98289565623980701</v>
      </c>
    </row>
    <row r="1994" spans="1:11" x14ac:dyDescent="0.35">
      <c r="A1994" s="9" t="str">
        <f>HYPERLINK("http://www.ensembl.org/id/WBGene00198869", "WBGene00198869")</f>
        <v>WBGene00198869</v>
      </c>
      <c r="B1994" s="9"/>
      <c r="C1994" s="9"/>
      <c r="D1994" t="str">
        <f>"K08A8.18"</f>
        <v>K08A8.18</v>
      </c>
      <c r="F1994" t="s">
        <v>481</v>
      </c>
      <c r="H1994" s="12">
        <v>-2.4295389261469</v>
      </c>
      <c r="I1994" s="11">
        <v>-0.25808529976640998</v>
      </c>
      <c r="J1994" s="10">
        <v>0.79634107645457397</v>
      </c>
      <c r="K1994" s="29">
        <v>0.98289565623980701</v>
      </c>
    </row>
    <row r="1995" spans="1:11" x14ac:dyDescent="0.35">
      <c r="A1995" s="9" t="str">
        <f>HYPERLINK("http://www.ensembl.org/id/WBGene00201525", "WBGene00201525")</f>
        <v>WBGene00201525</v>
      </c>
      <c r="B1995" s="9"/>
      <c r="C1995" s="9"/>
      <c r="D1995" t="str">
        <f>"K08A8.27"</f>
        <v>K08A8.27</v>
      </c>
      <c r="F1995" t="s">
        <v>481</v>
      </c>
      <c r="H1995" s="12">
        <v>-2.4295389261469</v>
      </c>
      <c r="I1995" s="11">
        <v>-0.25808529976640998</v>
      </c>
      <c r="J1995" s="10">
        <v>0.79634107645457397</v>
      </c>
      <c r="K1995" s="29">
        <v>0.98289565623980701</v>
      </c>
    </row>
    <row r="1996" spans="1:11" x14ac:dyDescent="0.35">
      <c r="A1996" s="9" t="str">
        <f>HYPERLINK("http://www.ensembl.org/id/WBGene00195528", "WBGene00195528")</f>
        <v>WBGene00195528</v>
      </c>
      <c r="B1996" s="9"/>
      <c r="C1996" s="9"/>
      <c r="D1996" t="str">
        <f>"K08B5.3"</f>
        <v>K08B5.3</v>
      </c>
      <c r="F1996" t="s">
        <v>481</v>
      </c>
      <c r="H1996" s="12">
        <v>-2.4295389261469</v>
      </c>
      <c r="I1996" s="11">
        <v>-0.25808529976640998</v>
      </c>
      <c r="J1996" s="10">
        <v>0.79634107645457397</v>
      </c>
      <c r="K1996" s="29">
        <v>0.98289565623980701</v>
      </c>
    </row>
    <row r="1997" spans="1:11" x14ac:dyDescent="0.35">
      <c r="A1997" s="9" t="str">
        <f>HYPERLINK("http://www.ensembl.org/id/WBGene00019526", "WBGene00019526")</f>
        <v>WBGene00019526</v>
      </c>
      <c r="B1997" s="9"/>
      <c r="C1997" s="9"/>
      <c r="D1997" t="str">
        <f>"K08D9.5"</f>
        <v>K08D9.5</v>
      </c>
      <c r="F1997" t="s">
        <v>80</v>
      </c>
      <c r="H1997" s="12">
        <v>-2.4295389261469</v>
      </c>
      <c r="I1997" s="11">
        <v>-0.25808529976640998</v>
      </c>
      <c r="J1997" s="10">
        <v>0.79634107645457397</v>
      </c>
      <c r="K1997" s="29">
        <v>0.98289565623980701</v>
      </c>
    </row>
    <row r="1998" spans="1:11" x14ac:dyDescent="0.35">
      <c r="A1998" s="9" t="str">
        <f>HYPERLINK("http://www.ensembl.org/id/WBGene00014805", "WBGene00014805")</f>
        <v>WBGene00014805</v>
      </c>
      <c r="B1998" s="9"/>
      <c r="C1998" s="9"/>
      <c r="D1998" t="str">
        <f>"K08H10.5"</f>
        <v>K08H10.5</v>
      </c>
      <c r="F1998" t="s">
        <v>80</v>
      </c>
      <c r="H1998" s="12">
        <v>-2.4295389261469</v>
      </c>
      <c r="I1998" s="11">
        <v>-0.25808529976640998</v>
      </c>
      <c r="J1998" s="10">
        <v>0.79634107645457397</v>
      </c>
      <c r="K1998" s="29">
        <v>0.98289565623980701</v>
      </c>
    </row>
    <row r="1999" spans="1:11" x14ac:dyDescent="0.35">
      <c r="A1999" s="9" t="str">
        <f>HYPERLINK("http://www.ensembl.org/id/WBGene00019553", "WBGene00019553")</f>
        <v>WBGene00019553</v>
      </c>
      <c r="B1999" s="9" t="str">
        <f>HYPERLINK("http://www.ncbi.nlm.nih.gov/gene/187198", "187198")</f>
        <v>187198</v>
      </c>
      <c r="C1999" s="9"/>
      <c r="D1999" t="str">
        <f>"K09C4.9"</f>
        <v>K09C4.9</v>
      </c>
      <c r="F1999" t="s">
        <v>11</v>
      </c>
      <c r="H1999" s="12">
        <v>-2.4295389261469</v>
      </c>
      <c r="I1999" s="11">
        <v>-0.25808529976640998</v>
      </c>
      <c r="J1999" s="10">
        <v>0.79634107645457397</v>
      </c>
      <c r="K1999" s="29">
        <v>0.98289565623980701</v>
      </c>
    </row>
    <row r="2000" spans="1:11" x14ac:dyDescent="0.35">
      <c r="A2000" s="9" t="str">
        <f>HYPERLINK("http://www.ensembl.org/id/WBGene00019560", "WBGene00019560")</f>
        <v>WBGene00019560</v>
      </c>
      <c r="B2000" s="9"/>
      <c r="C2000" s="9"/>
      <c r="D2000" t="str">
        <f>"K09C6.6"</f>
        <v>K09C6.6</v>
      </c>
      <c r="F2000" t="s">
        <v>80</v>
      </c>
      <c r="H2000" s="12">
        <v>-2.4295389261469</v>
      </c>
      <c r="I2000" s="11">
        <v>-0.25808529976640998</v>
      </c>
      <c r="J2000" s="10">
        <v>0.79634107645457397</v>
      </c>
      <c r="K2000" s="29">
        <v>0.98289565623980701</v>
      </c>
    </row>
    <row r="2001" spans="1:11" x14ac:dyDescent="0.35">
      <c r="A2001" s="9" t="str">
        <f>HYPERLINK("http://www.ensembl.org/id/WBGene00198028", "WBGene00198028")</f>
        <v>WBGene00198028</v>
      </c>
      <c r="B2001" s="9"/>
      <c r="C2001" s="9"/>
      <c r="D2001" t="str">
        <f>"K10D6.12"</f>
        <v>K10D6.12</v>
      </c>
      <c r="F2001" t="s">
        <v>481</v>
      </c>
      <c r="H2001" s="12">
        <v>-2.4295389261469</v>
      </c>
      <c r="I2001" s="11">
        <v>-0.25808529976640998</v>
      </c>
      <c r="J2001" s="10">
        <v>0.79634107645457397</v>
      </c>
      <c r="K2001" s="29">
        <v>0.98289565623980701</v>
      </c>
    </row>
    <row r="2002" spans="1:11" x14ac:dyDescent="0.35">
      <c r="A2002" s="9" t="str">
        <f>HYPERLINK("http://www.ensembl.org/id/WBGene00198138", "WBGene00198138")</f>
        <v>WBGene00198138</v>
      </c>
      <c r="B2002" s="9"/>
      <c r="C2002" s="9"/>
      <c r="D2002" t="str">
        <f>"K11H3.10"</f>
        <v>K11H3.10</v>
      </c>
      <c r="F2002" t="s">
        <v>481</v>
      </c>
      <c r="H2002" s="12">
        <v>-2.4295389261469</v>
      </c>
      <c r="I2002" s="11">
        <v>-0.25808529976640998</v>
      </c>
      <c r="J2002" s="10">
        <v>0.79634107645457397</v>
      </c>
      <c r="K2002" s="29">
        <v>0.98289565623980701</v>
      </c>
    </row>
    <row r="2003" spans="1:11" x14ac:dyDescent="0.35">
      <c r="A2003" s="9" t="str">
        <f>HYPERLINK("http://www.ensembl.org/id/WBGene00014445", "WBGene00014445")</f>
        <v>WBGene00014445</v>
      </c>
      <c r="B2003" s="9"/>
      <c r="C2003" s="9"/>
      <c r="D2003" t="str">
        <f>"K11H3.t2"</f>
        <v>K11H3.t2</v>
      </c>
      <c r="F2003" t="s">
        <v>4208</v>
      </c>
      <c r="H2003" s="12">
        <v>-2.4295389261469</v>
      </c>
      <c r="I2003" s="11">
        <v>-0.25808529976640998</v>
      </c>
      <c r="J2003" s="10">
        <v>0.79634107645457397</v>
      </c>
      <c r="K2003" s="29">
        <v>0.98289565623980701</v>
      </c>
    </row>
    <row r="2004" spans="1:11" x14ac:dyDescent="0.35">
      <c r="A2004" s="9" t="str">
        <f>HYPERLINK("http://www.ensembl.org/id/WBGene00199968", "WBGene00199968")</f>
        <v>WBGene00199968</v>
      </c>
      <c r="B2004" s="9"/>
      <c r="C2004" s="9"/>
      <c r="D2004" t="str">
        <f>"K12F2.4"</f>
        <v>K12F2.4</v>
      </c>
      <c r="F2004" t="s">
        <v>481</v>
      </c>
      <c r="H2004" s="12">
        <v>-2.4295389261469</v>
      </c>
      <c r="I2004" s="11">
        <v>-0.25808529976640998</v>
      </c>
      <c r="J2004" s="10">
        <v>0.79634107645457397</v>
      </c>
      <c r="K2004" s="29">
        <v>0.98289565623980701</v>
      </c>
    </row>
    <row r="2005" spans="1:11" x14ac:dyDescent="0.35">
      <c r="A2005" s="9" t="str">
        <f>HYPERLINK("http://www.ensembl.org/id/WBGene00219563", "WBGene00219563")</f>
        <v>WBGene00219563</v>
      </c>
      <c r="B2005" s="9"/>
      <c r="C2005" s="9"/>
      <c r="D2005" t="str">
        <f>"linc-95"</f>
        <v>linc-95</v>
      </c>
      <c r="F2005" t="s">
        <v>1510</v>
      </c>
      <c r="H2005" s="12">
        <v>-2.4295389261469</v>
      </c>
      <c r="I2005" s="11">
        <v>-0.25808529976640998</v>
      </c>
      <c r="J2005" s="10">
        <v>0.79634107645457397</v>
      </c>
      <c r="K2005" s="29">
        <v>0.98289565623980701</v>
      </c>
    </row>
    <row r="2006" spans="1:11" x14ac:dyDescent="0.35">
      <c r="A2006" s="9" t="str">
        <f>HYPERLINK("http://www.ensembl.org/id/WBGene00202355", "WBGene00202355")</f>
        <v>WBGene00202355</v>
      </c>
      <c r="B2006" s="9"/>
      <c r="C2006" s="9"/>
      <c r="D2006" t="str">
        <f>"M176.15"</f>
        <v>M176.15</v>
      </c>
      <c r="F2006" t="s">
        <v>481</v>
      </c>
      <c r="H2006" s="12">
        <v>-2.4295389261469</v>
      </c>
      <c r="I2006" s="11">
        <v>-0.25808529976640998</v>
      </c>
      <c r="J2006" s="10">
        <v>0.79634107645457397</v>
      </c>
      <c r="K2006" s="29">
        <v>0.98289565623980701</v>
      </c>
    </row>
    <row r="2007" spans="1:11" x14ac:dyDescent="0.35">
      <c r="A2007" s="9" t="str">
        <f>HYPERLINK("http://www.ensembl.org/id/WBGene00271634", "WBGene00271634")</f>
        <v>WBGene00271634</v>
      </c>
      <c r="B2007" s="9"/>
      <c r="C2007" s="9"/>
      <c r="D2007" t="str">
        <f>"M18.12"</f>
        <v>M18.12</v>
      </c>
      <c r="F2007" t="s">
        <v>481</v>
      </c>
      <c r="H2007" s="12">
        <v>-2.4295389261469</v>
      </c>
      <c r="I2007" s="11">
        <v>-0.25808529976640998</v>
      </c>
      <c r="J2007" s="10">
        <v>0.79634107645457397</v>
      </c>
      <c r="K2007" s="29">
        <v>0.98289565623980701</v>
      </c>
    </row>
    <row r="2008" spans="1:11" x14ac:dyDescent="0.35">
      <c r="A2008" s="9" t="str">
        <f>HYPERLINK("http://www.ensembl.org/id/WBGene00018663", "WBGene00018663")</f>
        <v>WBGene00018663</v>
      </c>
      <c r="B2008" s="9" t="str">
        <f>HYPERLINK("http://www.ncbi.nlm.nih.gov/gene/186088", "186088")</f>
        <v>186088</v>
      </c>
      <c r="C2008" s="9"/>
      <c r="D2008" t="str">
        <f>"math-31"</f>
        <v>math-31</v>
      </c>
      <c r="E2008" t="s">
        <v>596</v>
      </c>
      <c r="F2008" t="s">
        <v>11</v>
      </c>
      <c r="G2008" t="s">
        <v>54</v>
      </c>
      <c r="H2008" s="12">
        <v>-2.4295389261469</v>
      </c>
      <c r="I2008" s="11">
        <v>-0.25808529976640998</v>
      </c>
      <c r="J2008" s="10">
        <v>0.79634107645457397</v>
      </c>
      <c r="K2008" s="29">
        <v>0.98289565623980701</v>
      </c>
    </row>
    <row r="2009" spans="1:11" x14ac:dyDescent="0.35">
      <c r="A2009" s="9" t="str">
        <f>HYPERLINK("http://www.ensembl.org/id/WBGene00003328", "WBGene00003328")</f>
        <v>WBGene00003328</v>
      </c>
      <c r="B2009" s="9"/>
      <c r="C2009" s="9"/>
      <c r="D2009" t="str">
        <f>"mir-235"</f>
        <v>mir-235</v>
      </c>
      <c r="F2009" t="s">
        <v>1486</v>
      </c>
      <c r="H2009" s="12">
        <v>-2.4295389261469</v>
      </c>
      <c r="I2009" s="11">
        <v>-0.25808529976640998</v>
      </c>
      <c r="J2009" s="10">
        <v>0.79634107645457397</v>
      </c>
      <c r="K2009" s="29">
        <v>0.98289565623980701</v>
      </c>
    </row>
    <row r="2010" spans="1:11" x14ac:dyDescent="0.35">
      <c r="A2010" s="9" t="str">
        <f>HYPERLINK("http://www.ensembl.org/id/WBGene00003262", "WBGene00003262")</f>
        <v>WBGene00003262</v>
      </c>
      <c r="B2010" s="9"/>
      <c r="C2010" s="9"/>
      <c r="D2010" t="str">
        <f>"mir-34"</f>
        <v>mir-34</v>
      </c>
      <c r="F2010" t="s">
        <v>1486</v>
      </c>
      <c r="H2010" s="12">
        <v>-2.4295389261469</v>
      </c>
      <c r="I2010" s="11">
        <v>-0.25808529976640998</v>
      </c>
      <c r="J2010" s="10">
        <v>0.79634107645457397</v>
      </c>
      <c r="K2010" s="29">
        <v>0.98289565623980701</v>
      </c>
    </row>
    <row r="2011" spans="1:11" x14ac:dyDescent="0.35">
      <c r="A2011" s="9" t="str">
        <f>HYPERLINK("http://www.ensembl.org/id/WBGene00235085", "WBGene00235085")</f>
        <v>WBGene00235085</v>
      </c>
      <c r="B2011" s="9"/>
      <c r="C2011" s="9"/>
      <c r="D2011" t="str">
        <f>"mir-5592.2"</f>
        <v>mir-5592.2</v>
      </c>
      <c r="F2011" t="s">
        <v>1486</v>
      </c>
      <c r="H2011" s="12">
        <v>-2.4295389261469</v>
      </c>
      <c r="I2011" s="11">
        <v>-0.25808529976640998</v>
      </c>
      <c r="J2011" s="10">
        <v>0.79634107645457397</v>
      </c>
      <c r="K2011" s="29">
        <v>0.98289565623980701</v>
      </c>
    </row>
    <row r="2012" spans="1:11" x14ac:dyDescent="0.35">
      <c r="A2012" s="9" t="str">
        <f>HYPERLINK("http://www.ensembl.org/id/WBGene00045360", "WBGene00045360")</f>
        <v>WBGene00045360</v>
      </c>
      <c r="B2012" s="9"/>
      <c r="C2012" s="9"/>
      <c r="D2012" t="str">
        <f>"mir-800"</f>
        <v>mir-800</v>
      </c>
      <c r="F2012" t="s">
        <v>1486</v>
      </c>
      <c r="H2012" s="12">
        <v>-2.4295389261469</v>
      </c>
      <c r="I2012" s="11">
        <v>-0.25808529976640998</v>
      </c>
      <c r="J2012" s="10">
        <v>0.79634107645457397</v>
      </c>
      <c r="K2012" s="29">
        <v>0.98289565623980701</v>
      </c>
    </row>
    <row r="2013" spans="1:11" x14ac:dyDescent="0.35">
      <c r="A2013" s="9" t="str">
        <f>HYPERLINK("http://www.ensembl.org/id/WBGene00044271", "WBGene00044271")</f>
        <v>WBGene00044271</v>
      </c>
      <c r="B2013" s="9" t="str">
        <f>HYPERLINK("http://www.ncbi.nlm.nih.gov/gene/3565045", "3565045")</f>
        <v>3565045</v>
      </c>
      <c r="C2013" s="9"/>
      <c r="D2013" t="str">
        <f>"nspa-2"</f>
        <v>nspa-2</v>
      </c>
      <c r="E2013" t="s">
        <v>4255</v>
      </c>
      <c r="F2013" t="s">
        <v>11</v>
      </c>
      <c r="H2013" s="12">
        <v>-2.4295389261469</v>
      </c>
      <c r="I2013" s="11">
        <v>-0.25808529976640998</v>
      </c>
      <c r="J2013" s="10">
        <v>0.79634107645457397</v>
      </c>
      <c r="K2013" s="29">
        <v>0.98289565623980701</v>
      </c>
    </row>
    <row r="2014" spans="1:11" x14ac:dyDescent="0.35">
      <c r="A2014" s="9" t="str">
        <f>HYPERLINK("http://www.ensembl.org/id/WBGene00044398", "WBGene00044398")</f>
        <v>WBGene00044398</v>
      </c>
      <c r="B2014" s="9"/>
      <c r="C2014" s="9"/>
      <c r="D2014" t="str">
        <f>"nspc-11"</f>
        <v>nspc-11</v>
      </c>
      <c r="F2014" t="s">
        <v>80</v>
      </c>
      <c r="H2014" s="12">
        <v>-2.4295389261469</v>
      </c>
      <c r="I2014" s="11">
        <v>-0.25808529976640998</v>
      </c>
      <c r="J2014" s="10">
        <v>0.79634107645457397</v>
      </c>
      <c r="K2014" s="29">
        <v>0.98289565623980701</v>
      </c>
    </row>
    <row r="2015" spans="1:11" x14ac:dyDescent="0.35">
      <c r="A2015" s="9" t="str">
        <f>HYPERLINK("http://www.ensembl.org/id/WBGene00202293", "WBGene00202293")</f>
        <v>WBGene00202293</v>
      </c>
      <c r="B2015" s="9"/>
      <c r="C2015" s="9"/>
      <c r="D2015" t="str">
        <f>"R02D5.23"</f>
        <v>R02D5.23</v>
      </c>
      <c r="F2015" t="s">
        <v>481</v>
      </c>
      <c r="H2015" s="12">
        <v>-2.4295389261469</v>
      </c>
      <c r="I2015" s="11">
        <v>-0.25808529976640998</v>
      </c>
      <c r="J2015" s="10">
        <v>0.79634107645457397</v>
      </c>
      <c r="K2015" s="29">
        <v>0.98289565623980701</v>
      </c>
    </row>
    <row r="2016" spans="1:11" x14ac:dyDescent="0.35">
      <c r="A2016" s="9" t="str">
        <f>HYPERLINK("http://www.ensembl.org/id/WBGene00011001", "WBGene00011001")</f>
        <v>WBGene00011001</v>
      </c>
      <c r="B2016" s="9" t="str">
        <f>HYPERLINK("http://www.ncbi.nlm.nih.gov/gene/187566", "187566")</f>
        <v>187566</v>
      </c>
      <c r="C2016" s="9"/>
      <c r="D2016" t="str">
        <f>"R04B5.1"</f>
        <v>R04B5.1</v>
      </c>
      <c r="F2016" t="s">
        <v>11</v>
      </c>
      <c r="G2016" t="s">
        <v>25</v>
      </c>
      <c r="H2016" s="12">
        <v>-2.4295389261469</v>
      </c>
      <c r="I2016" s="11">
        <v>-0.25808529976640998</v>
      </c>
      <c r="J2016" s="10">
        <v>0.79634107645457397</v>
      </c>
      <c r="K2016" s="29">
        <v>0.98289565623980701</v>
      </c>
    </row>
    <row r="2017" spans="1:11" x14ac:dyDescent="0.35">
      <c r="A2017" s="9" t="str">
        <f>HYPERLINK("http://www.ensembl.org/id/WBGene00202375", "WBGene00202375")</f>
        <v>WBGene00202375</v>
      </c>
      <c r="B2017" s="9"/>
      <c r="C2017" s="9"/>
      <c r="D2017" t="str">
        <f>"R05G6.19"</f>
        <v>R05G6.19</v>
      </c>
      <c r="F2017" t="s">
        <v>481</v>
      </c>
      <c r="H2017" s="12">
        <v>-2.4295389261469</v>
      </c>
      <c r="I2017" s="11">
        <v>-0.25808529976640998</v>
      </c>
      <c r="J2017" s="10">
        <v>0.79634107645457397</v>
      </c>
      <c r="K2017" s="29">
        <v>0.98289565623980701</v>
      </c>
    </row>
    <row r="2018" spans="1:11" x14ac:dyDescent="0.35">
      <c r="A2018" s="9" t="str">
        <f>HYPERLINK("http://www.ensembl.org/id/WBGene00199432", "WBGene00199432")</f>
        <v>WBGene00199432</v>
      </c>
      <c r="B2018" s="9"/>
      <c r="C2018" s="9"/>
      <c r="D2018" t="str">
        <f>"R06C1.10"</f>
        <v>R06C1.10</v>
      </c>
      <c r="F2018" t="s">
        <v>481</v>
      </c>
      <c r="H2018" s="12">
        <v>-2.4295389261469</v>
      </c>
      <c r="I2018" s="11">
        <v>-0.25808529976640998</v>
      </c>
      <c r="J2018" s="10">
        <v>0.79634107645457397</v>
      </c>
      <c r="K2018" s="29">
        <v>0.98289565623980701</v>
      </c>
    </row>
    <row r="2019" spans="1:11" x14ac:dyDescent="0.35">
      <c r="A2019" s="9" t="str">
        <f>HYPERLINK("http://www.ensembl.org/id/WBGene00197137", "WBGene00197137")</f>
        <v>WBGene00197137</v>
      </c>
      <c r="B2019" s="9"/>
      <c r="C2019" s="9"/>
      <c r="D2019" t="str">
        <f>"R08B4.7"</f>
        <v>R08B4.7</v>
      </c>
      <c r="F2019" t="s">
        <v>481</v>
      </c>
      <c r="H2019" s="12">
        <v>-2.4295389261469</v>
      </c>
      <c r="I2019" s="11">
        <v>-0.25808529976640998</v>
      </c>
      <c r="J2019" s="10">
        <v>0.79634107645457397</v>
      </c>
      <c r="K2019" s="29">
        <v>0.98289565623980701</v>
      </c>
    </row>
    <row r="2020" spans="1:11" x14ac:dyDescent="0.35">
      <c r="A2020" s="9" t="str">
        <f>HYPERLINK("http://www.ensembl.org/id/WBGene00023125", "WBGene00023125")</f>
        <v>WBGene00023125</v>
      </c>
      <c r="B2020" s="9"/>
      <c r="C2020" s="9"/>
      <c r="D2020" t="str">
        <f>"R11B5.t2"</f>
        <v>R11B5.t2</v>
      </c>
      <c r="F2020" t="s">
        <v>4208</v>
      </c>
      <c r="H2020" s="12">
        <v>-2.4295389261469</v>
      </c>
      <c r="I2020" s="11">
        <v>-0.25808529976640998</v>
      </c>
      <c r="J2020" s="10">
        <v>0.79634107645457397</v>
      </c>
      <c r="K2020" s="29">
        <v>0.98289565623980701</v>
      </c>
    </row>
    <row r="2021" spans="1:11" x14ac:dyDescent="0.35">
      <c r="A2021" s="9" t="str">
        <f>HYPERLINK("http://www.ensembl.org/id/WBGene00077579", "WBGene00077579")</f>
        <v>WBGene00077579</v>
      </c>
      <c r="B2021" s="9"/>
      <c r="C2021" s="9"/>
      <c r="D2021" t="str">
        <f>"R11H6.7"</f>
        <v>R11H6.7</v>
      </c>
      <c r="F2021" t="s">
        <v>80</v>
      </c>
      <c r="H2021" s="12">
        <v>-2.4295389261469</v>
      </c>
      <c r="I2021" s="11">
        <v>-0.25808529976640998</v>
      </c>
      <c r="J2021" s="10">
        <v>0.79634107645457397</v>
      </c>
      <c r="K2021" s="29">
        <v>0.98289565623980701</v>
      </c>
    </row>
    <row r="2022" spans="1:11" x14ac:dyDescent="0.35">
      <c r="A2022" s="9" t="str">
        <f>HYPERLINK("http://www.ensembl.org/id/WBGene00198908", "WBGene00198908")</f>
        <v>WBGene00198908</v>
      </c>
      <c r="B2022" s="9"/>
      <c r="C2022" s="9"/>
      <c r="D2022" t="str">
        <f>"R13H4.10"</f>
        <v>R13H4.10</v>
      </c>
      <c r="F2022" t="s">
        <v>481</v>
      </c>
      <c r="H2022" s="12">
        <v>-2.4295389261469</v>
      </c>
      <c r="I2022" s="11">
        <v>-0.25808529976640998</v>
      </c>
      <c r="J2022" s="10">
        <v>0.79634107645457397</v>
      </c>
      <c r="K2022" s="29">
        <v>0.98289565623980701</v>
      </c>
    </row>
    <row r="2023" spans="1:11" x14ac:dyDescent="0.35">
      <c r="A2023" s="9" t="str">
        <f>HYPERLINK("http://www.ensembl.org/id/WBGene00004351", "WBGene00004351")</f>
        <v>WBGene00004351</v>
      </c>
      <c r="B2023" s="9" t="str">
        <f>HYPERLINK("http://www.ncbi.nlm.nih.gov/gene/180507", "180507")</f>
        <v>180507</v>
      </c>
      <c r="C2023" s="9"/>
      <c r="D2023" t="str">
        <f>"rgs-8.1"</f>
        <v>rgs-8.1</v>
      </c>
      <c r="E2023" t="s">
        <v>5078</v>
      </c>
      <c r="F2023" t="s">
        <v>11</v>
      </c>
      <c r="H2023" s="12">
        <v>-2.4295389261469</v>
      </c>
      <c r="I2023" s="11">
        <v>-0.25808529976640998</v>
      </c>
      <c r="J2023" s="10">
        <v>0.79634107645457397</v>
      </c>
      <c r="K2023" s="29">
        <v>0.98289565623980701</v>
      </c>
    </row>
    <row r="2024" spans="1:11" x14ac:dyDescent="0.35">
      <c r="A2024" s="9" t="str">
        <f>HYPERLINK("http://www.ensembl.org/id/WBGene00005072", "WBGene00005072")</f>
        <v>WBGene00005072</v>
      </c>
      <c r="B2024" s="9" t="str">
        <f>HYPERLINK("http://www.ncbi.nlm.nih.gov/gene/191789", "191789")</f>
        <v>191789</v>
      </c>
      <c r="C2024" s="9"/>
      <c r="D2024" t="str">
        <f>"srb-7"</f>
        <v>srb-7</v>
      </c>
      <c r="E2024" t="s">
        <v>10055</v>
      </c>
      <c r="F2024" t="s">
        <v>11</v>
      </c>
      <c r="G2024" t="s">
        <v>1829</v>
      </c>
      <c r="H2024" s="12">
        <v>-2.4295389261469</v>
      </c>
      <c r="I2024" s="11">
        <v>-0.25808529976640998</v>
      </c>
      <c r="J2024" s="10">
        <v>0.79634107645457397</v>
      </c>
      <c r="K2024" s="29">
        <v>0.98289565623980701</v>
      </c>
    </row>
    <row r="2025" spans="1:11" x14ac:dyDescent="0.35">
      <c r="A2025" s="9" t="str">
        <f>HYPERLINK("http://www.ensembl.org/id/WBGene00005117", "WBGene00005117")</f>
        <v>WBGene00005117</v>
      </c>
      <c r="B2025" s="9" t="str">
        <f>HYPERLINK("http://www.ncbi.nlm.nih.gov/gene/187576", "187576")</f>
        <v>187576</v>
      </c>
      <c r="C2025" s="9"/>
      <c r="D2025" t="str">
        <f>"srd-39"</f>
        <v>srd-39</v>
      </c>
      <c r="E2025" t="s">
        <v>1513</v>
      </c>
      <c r="F2025" t="s">
        <v>11</v>
      </c>
      <c r="G2025" t="s">
        <v>25</v>
      </c>
      <c r="H2025" s="12">
        <v>-2.4295389261469</v>
      </c>
      <c r="I2025" s="11">
        <v>-0.25808529976640998</v>
      </c>
      <c r="J2025" s="10">
        <v>0.79634107645457397</v>
      </c>
      <c r="K2025" s="29">
        <v>0.98289565623980701</v>
      </c>
    </row>
    <row r="2026" spans="1:11" x14ac:dyDescent="0.35">
      <c r="A2026" s="9" t="str">
        <f>HYPERLINK("http://www.ensembl.org/id/WBGene00005134", "WBGene00005134")</f>
        <v>WBGene00005134</v>
      </c>
      <c r="B2026" s="9" t="str">
        <f>HYPERLINK("http://www.ncbi.nlm.nih.gov/gene/191818", "191818")</f>
        <v>191818</v>
      </c>
      <c r="C2026" s="9"/>
      <c r="D2026" t="str">
        <f>"srd-56"</f>
        <v>srd-56</v>
      </c>
      <c r="E2026" t="s">
        <v>1513</v>
      </c>
      <c r="F2026" t="s">
        <v>11</v>
      </c>
      <c r="G2026" t="s">
        <v>25</v>
      </c>
      <c r="H2026" s="12">
        <v>-2.4295389261469</v>
      </c>
      <c r="I2026" s="11">
        <v>-0.25808529976640998</v>
      </c>
      <c r="J2026" s="10">
        <v>0.79634107645457397</v>
      </c>
      <c r="K2026" s="29">
        <v>0.98289565623980701</v>
      </c>
    </row>
    <row r="2027" spans="1:11" x14ac:dyDescent="0.35">
      <c r="A2027" s="9" t="str">
        <f>HYPERLINK("http://www.ensembl.org/id/WBGene00005330", "WBGene00005330")</f>
        <v>WBGene00005330</v>
      </c>
      <c r="B2027" s="9" t="str">
        <f>HYPERLINK("http://www.ncbi.nlm.nih.gov/gene/184187", "184187")</f>
        <v>184187</v>
      </c>
      <c r="C2027" s="9"/>
      <c r="D2027" t="str">
        <f>"srh-111"</f>
        <v>srh-111</v>
      </c>
      <c r="E2027" t="s">
        <v>153</v>
      </c>
      <c r="F2027" t="s">
        <v>11</v>
      </c>
      <c r="G2027" t="s">
        <v>25</v>
      </c>
      <c r="H2027" s="12">
        <v>-2.4295389261469</v>
      </c>
      <c r="I2027" s="11">
        <v>-0.25808529976640998</v>
      </c>
      <c r="J2027" s="10">
        <v>0.79634107645457397</v>
      </c>
      <c r="K2027" s="29">
        <v>0.98289565623980701</v>
      </c>
    </row>
    <row r="2028" spans="1:11" x14ac:dyDescent="0.35">
      <c r="A2028" s="9" t="str">
        <f>HYPERLINK("http://www.ensembl.org/id/WBGene00005737", "WBGene00005737")</f>
        <v>WBGene00005737</v>
      </c>
      <c r="B2028" s="9" t="str">
        <f>HYPERLINK("http://www.ncbi.nlm.nih.gov/gene/353424", "353424")</f>
        <v>353424</v>
      </c>
      <c r="C2028" s="9"/>
      <c r="D2028" t="str">
        <f>"srv-26"</f>
        <v>srv-26</v>
      </c>
      <c r="E2028" t="s">
        <v>2916</v>
      </c>
      <c r="F2028" t="s">
        <v>11</v>
      </c>
      <c r="G2028" t="s">
        <v>25</v>
      </c>
      <c r="H2028" s="12">
        <v>-2.4295389261469</v>
      </c>
      <c r="I2028" s="11">
        <v>-0.25808529976640998</v>
      </c>
      <c r="J2028" s="10">
        <v>0.79634107645457397</v>
      </c>
      <c r="K2028" s="29">
        <v>0.98289565623980701</v>
      </c>
    </row>
    <row r="2029" spans="1:11" x14ac:dyDescent="0.35">
      <c r="A2029" s="9" t="str">
        <f>HYPERLINK("http://www.ensembl.org/id/WBGene00005885", "WBGene00005885")</f>
        <v>WBGene00005885</v>
      </c>
      <c r="B2029" s="9" t="str">
        <f>HYPERLINK("http://www.ncbi.nlm.nih.gov/gene/183442", "183442")</f>
        <v>183442</v>
      </c>
      <c r="C2029" s="9"/>
      <c r="D2029" t="str">
        <f>"srw-138"</f>
        <v>srw-138</v>
      </c>
      <c r="E2029" t="s">
        <v>1014</v>
      </c>
      <c r="F2029" t="s">
        <v>11</v>
      </c>
      <c r="G2029" t="s">
        <v>1015</v>
      </c>
      <c r="H2029" s="12">
        <v>-2.4295389261469</v>
      </c>
      <c r="I2029" s="11">
        <v>-0.25808529976640998</v>
      </c>
      <c r="J2029" s="10">
        <v>0.79634107645457397</v>
      </c>
      <c r="K2029" s="29">
        <v>0.98289565623980701</v>
      </c>
    </row>
    <row r="2030" spans="1:11" x14ac:dyDescent="0.35">
      <c r="A2030" s="9" t="str">
        <f>HYPERLINK("http://www.ensembl.org/id/WBGene00005895", "WBGene00005895")</f>
        <v>WBGene00005895</v>
      </c>
      <c r="B2030" s="9" t="str">
        <f>HYPERLINK("http://www.ncbi.nlm.nih.gov/gene/190064", "190064")</f>
        <v>190064</v>
      </c>
      <c r="C2030" s="9"/>
      <c r="D2030" t="str">
        <f>"srx-4"</f>
        <v>srx-4</v>
      </c>
      <c r="E2030" t="s">
        <v>1477</v>
      </c>
      <c r="F2030" t="s">
        <v>11</v>
      </c>
      <c r="G2030" t="s">
        <v>1089</v>
      </c>
      <c r="H2030" s="12">
        <v>-2.4295389261469</v>
      </c>
      <c r="I2030" s="11">
        <v>-0.25808529976640998</v>
      </c>
      <c r="J2030" s="10">
        <v>0.79634107645457397</v>
      </c>
      <c r="K2030" s="29">
        <v>0.98289565623980701</v>
      </c>
    </row>
    <row r="2031" spans="1:11" x14ac:dyDescent="0.35">
      <c r="A2031" s="9" t="str">
        <f>HYPERLINK("http://www.ensembl.org/id/WBGene00010688", "WBGene00010688")</f>
        <v>WBGene00010688</v>
      </c>
      <c r="B2031" s="9" t="str">
        <f>HYPERLINK("http://www.ncbi.nlm.nih.gov/gene/187173", "187173")</f>
        <v>187173</v>
      </c>
      <c r="C2031" s="9"/>
      <c r="D2031" t="str">
        <f>"srz-12"</f>
        <v>srz-12</v>
      </c>
      <c r="E2031" t="s">
        <v>4211</v>
      </c>
      <c r="F2031" t="s">
        <v>11</v>
      </c>
      <c r="G2031" t="s">
        <v>25</v>
      </c>
      <c r="H2031" s="12">
        <v>-2.4295389261469</v>
      </c>
      <c r="I2031" s="11">
        <v>-0.25808529976640998</v>
      </c>
      <c r="J2031" s="10">
        <v>0.79634107645457397</v>
      </c>
      <c r="K2031" s="29">
        <v>0.98289565623980701</v>
      </c>
    </row>
    <row r="2032" spans="1:11" x14ac:dyDescent="0.35">
      <c r="A2032" s="9" t="str">
        <f>HYPERLINK("http://www.ensembl.org/id/WBGene00019051", "WBGene00019051")</f>
        <v>WBGene00019051</v>
      </c>
      <c r="B2032" s="9" t="str">
        <f>HYPERLINK("http://www.ncbi.nlm.nih.gov/gene/186523", "186523")</f>
        <v>186523</v>
      </c>
      <c r="C2032" s="9"/>
      <c r="D2032" t="str">
        <f>"srz-23"</f>
        <v>srz-23</v>
      </c>
      <c r="E2032" t="s">
        <v>4211</v>
      </c>
      <c r="F2032" t="s">
        <v>11</v>
      </c>
      <c r="G2032" t="s">
        <v>25</v>
      </c>
      <c r="H2032" s="12">
        <v>-2.4295389261469</v>
      </c>
      <c r="I2032" s="11">
        <v>-0.25808529976640998</v>
      </c>
      <c r="J2032" s="10">
        <v>0.79634107645457397</v>
      </c>
      <c r="K2032" s="29">
        <v>0.98289565623980701</v>
      </c>
    </row>
    <row r="2033" spans="1:11" x14ac:dyDescent="0.35">
      <c r="A2033" s="9" t="str">
        <f>HYPERLINK("http://www.ensembl.org/id/WBGene00197717", "WBGene00197717")</f>
        <v>WBGene00197717</v>
      </c>
      <c r="B2033" s="9"/>
      <c r="C2033" s="9"/>
      <c r="D2033" t="str">
        <f>"T01B6.8"</f>
        <v>T01B6.8</v>
      </c>
      <c r="F2033" t="s">
        <v>481</v>
      </c>
      <c r="H2033" s="12">
        <v>-2.4295389261469</v>
      </c>
      <c r="I2033" s="11">
        <v>-0.25808529976640998</v>
      </c>
      <c r="J2033" s="10">
        <v>0.79634107645457397</v>
      </c>
      <c r="K2033" s="29">
        <v>0.98289565623980701</v>
      </c>
    </row>
    <row r="2034" spans="1:11" x14ac:dyDescent="0.35">
      <c r="A2034" s="9" t="str">
        <f>HYPERLINK("http://www.ensembl.org/id/WBGene00197129", "WBGene00197129")</f>
        <v>WBGene00197129</v>
      </c>
      <c r="B2034" s="9"/>
      <c r="C2034" s="9"/>
      <c r="D2034" t="str">
        <f>"T01G1.5"</f>
        <v>T01G1.5</v>
      </c>
      <c r="F2034" t="s">
        <v>481</v>
      </c>
      <c r="H2034" s="12">
        <v>-2.4295389261469</v>
      </c>
      <c r="I2034" s="11">
        <v>-0.25808529976640998</v>
      </c>
      <c r="J2034" s="10">
        <v>0.79634107645457397</v>
      </c>
      <c r="K2034" s="29">
        <v>0.98289565623980701</v>
      </c>
    </row>
    <row r="2035" spans="1:11" x14ac:dyDescent="0.35">
      <c r="A2035" s="9" t="str">
        <f>HYPERLINK("http://www.ensembl.org/id/WBGene00255733", "WBGene00255733")</f>
        <v>WBGene00255733</v>
      </c>
      <c r="B2035" s="9" t="str">
        <f>HYPERLINK("http://www.ncbi.nlm.nih.gov/gene/25502988", "25502988")</f>
        <v>25502988</v>
      </c>
      <c r="C2035" s="9"/>
      <c r="D2035" t="str">
        <f>"T02B11.13"</f>
        <v>T02B11.13</v>
      </c>
      <c r="F2035" t="s">
        <v>11</v>
      </c>
      <c r="H2035" s="12">
        <v>-2.4295389261469</v>
      </c>
      <c r="I2035" s="11">
        <v>-0.25808529976640998</v>
      </c>
      <c r="J2035" s="10">
        <v>0.79634107645457397</v>
      </c>
      <c r="K2035" s="29">
        <v>0.98289565623980701</v>
      </c>
    </row>
    <row r="2036" spans="1:11" x14ac:dyDescent="0.35">
      <c r="A2036" s="9" t="str">
        <f>HYPERLINK("http://www.ensembl.org/id/WBGene00197998", "WBGene00197998")</f>
        <v>WBGene00197998</v>
      </c>
      <c r="B2036" s="9"/>
      <c r="C2036" s="9"/>
      <c r="D2036" t="str">
        <f>"T07D1.10"</f>
        <v>T07D1.10</v>
      </c>
      <c r="F2036" t="s">
        <v>481</v>
      </c>
      <c r="H2036" s="12">
        <v>-2.4295389261469</v>
      </c>
      <c r="I2036" s="11">
        <v>-0.25808529976640998</v>
      </c>
      <c r="J2036" s="10">
        <v>0.79634107645457397</v>
      </c>
      <c r="K2036" s="29">
        <v>0.98289565623980701</v>
      </c>
    </row>
    <row r="2037" spans="1:11" x14ac:dyDescent="0.35">
      <c r="A2037" s="9" t="str">
        <f>HYPERLINK("http://www.ensembl.org/id/WBGene00011619", "WBGene00011619")</f>
        <v>WBGene00011619</v>
      </c>
      <c r="B2037" s="9"/>
      <c r="C2037" s="9"/>
      <c r="D2037" t="str">
        <f>"T08G3.7"</f>
        <v>T08G3.7</v>
      </c>
      <c r="F2037" t="s">
        <v>80</v>
      </c>
      <c r="H2037" s="12">
        <v>-2.4295389261469</v>
      </c>
      <c r="I2037" s="11">
        <v>-0.25808529976640998</v>
      </c>
      <c r="J2037" s="10">
        <v>0.79634107645457397</v>
      </c>
      <c r="K2037" s="29">
        <v>0.98289565623980701</v>
      </c>
    </row>
    <row r="2038" spans="1:11" x14ac:dyDescent="0.35">
      <c r="A2038" s="9" t="str">
        <f>HYPERLINK("http://www.ensembl.org/id/WBGene00200918", "WBGene00200918")</f>
        <v>WBGene00200918</v>
      </c>
      <c r="B2038" s="9"/>
      <c r="C2038" s="9"/>
      <c r="D2038" t="str">
        <f>"T09A12.6"</f>
        <v>T09A12.6</v>
      </c>
      <c r="F2038" t="s">
        <v>481</v>
      </c>
      <c r="H2038" s="12">
        <v>-2.4295389261469</v>
      </c>
      <c r="I2038" s="11">
        <v>-0.25808529976640998</v>
      </c>
      <c r="J2038" s="10">
        <v>0.79634107645457397</v>
      </c>
      <c r="K2038" s="29">
        <v>0.98289565623980701</v>
      </c>
    </row>
    <row r="2039" spans="1:11" x14ac:dyDescent="0.35">
      <c r="A2039" s="9" t="str">
        <f>HYPERLINK("http://www.ensembl.org/id/WBGene00020410", "WBGene00020410")</f>
        <v>WBGene00020410</v>
      </c>
      <c r="B2039" s="9" t="str">
        <f>HYPERLINK("http://www.ncbi.nlm.nih.gov/gene/188382", "188382")</f>
        <v>188382</v>
      </c>
      <c r="C2039" s="9"/>
      <c r="D2039" t="str">
        <f>"T10D4.11"</f>
        <v>T10D4.11</v>
      </c>
      <c r="F2039" t="s">
        <v>11</v>
      </c>
      <c r="H2039" s="12">
        <v>-2.4295389261469</v>
      </c>
      <c r="I2039" s="11">
        <v>-0.25808529976640998</v>
      </c>
      <c r="J2039" s="10">
        <v>0.79634107645457397</v>
      </c>
      <c r="K2039" s="29">
        <v>0.98289565623980701</v>
      </c>
    </row>
    <row r="2040" spans="1:11" x14ac:dyDescent="0.35">
      <c r="A2040" s="9" t="str">
        <f>HYPERLINK("http://www.ensembl.org/id/WBGene00198169", "WBGene00198169")</f>
        <v>WBGene00198169</v>
      </c>
      <c r="B2040" s="9"/>
      <c r="C2040" s="9"/>
      <c r="D2040" t="str">
        <f>"T10H9.10"</f>
        <v>T10H9.10</v>
      </c>
      <c r="F2040" t="s">
        <v>481</v>
      </c>
      <c r="H2040" s="12">
        <v>-2.4295389261469</v>
      </c>
      <c r="I2040" s="11">
        <v>-0.25808529976640998</v>
      </c>
      <c r="J2040" s="10">
        <v>0.79634107645457397</v>
      </c>
      <c r="K2040" s="29">
        <v>0.98289565623980701</v>
      </c>
    </row>
    <row r="2041" spans="1:11" x14ac:dyDescent="0.35">
      <c r="A2041" s="9" t="str">
        <f>HYPERLINK("http://www.ensembl.org/id/WBGene00200533", "WBGene00200533")</f>
        <v>WBGene00200533</v>
      </c>
      <c r="B2041" s="9"/>
      <c r="C2041" s="9"/>
      <c r="D2041" t="str">
        <f>"T11A5.10"</f>
        <v>T11A5.10</v>
      </c>
      <c r="F2041" t="s">
        <v>481</v>
      </c>
      <c r="H2041" s="12">
        <v>-2.4295389261469</v>
      </c>
      <c r="I2041" s="11">
        <v>-0.25808529976640998</v>
      </c>
      <c r="J2041" s="10">
        <v>0.79634107645457397</v>
      </c>
      <c r="K2041" s="29">
        <v>0.98289565623980701</v>
      </c>
    </row>
    <row r="2042" spans="1:11" x14ac:dyDescent="0.35">
      <c r="A2042" s="9" t="str">
        <f>HYPERLINK("http://www.ensembl.org/id/WBGene00196048", "WBGene00196048")</f>
        <v>WBGene00196048</v>
      </c>
      <c r="B2042" s="9"/>
      <c r="C2042" s="9"/>
      <c r="D2042" t="str">
        <f>"T11F1.10"</f>
        <v>T11F1.10</v>
      </c>
      <c r="F2042" t="s">
        <v>481</v>
      </c>
      <c r="H2042" s="12">
        <v>-2.4295389261469</v>
      </c>
      <c r="I2042" s="11">
        <v>-0.25808529976640998</v>
      </c>
      <c r="J2042" s="10">
        <v>0.79634107645457397</v>
      </c>
      <c r="K2042" s="29">
        <v>0.98289565623980701</v>
      </c>
    </row>
    <row r="2043" spans="1:11" x14ac:dyDescent="0.35">
      <c r="A2043" s="9" t="str">
        <f>HYPERLINK("http://www.ensembl.org/id/WBGene00011715", "WBGene00011715")</f>
        <v>WBGene00011715</v>
      </c>
      <c r="B2043" s="9" t="str">
        <f>HYPERLINK("http://www.ncbi.nlm.nih.gov/gene/188429", "188429")</f>
        <v>188429</v>
      </c>
      <c r="C2043" s="9"/>
      <c r="D2043" t="str">
        <f>"T11F9.14"</f>
        <v>T11F9.14</v>
      </c>
      <c r="F2043" t="s">
        <v>11</v>
      </c>
      <c r="H2043" s="12">
        <v>-2.4295389261469</v>
      </c>
      <c r="I2043" s="11">
        <v>-0.25808529976640998</v>
      </c>
      <c r="J2043" s="10">
        <v>0.79634107645457397</v>
      </c>
      <c r="K2043" s="29">
        <v>0.98289565623980701</v>
      </c>
    </row>
    <row r="2044" spans="1:11" x14ac:dyDescent="0.35">
      <c r="A2044" s="9" t="str">
        <f>HYPERLINK("http://www.ensembl.org/id/WBGene00198665", "WBGene00198665")</f>
        <v>WBGene00198665</v>
      </c>
      <c r="B2044" s="9"/>
      <c r="C2044" s="9"/>
      <c r="D2044" t="str">
        <f>"T14G12.10"</f>
        <v>T14G12.10</v>
      </c>
      <c r="F2044" t="s">
        <v>481</v>
      </c>
      <c r="H2044" s="12">
        <v>-2.4295389261469</v>
      </c>
      <c r="I2044" s="11">
        <v>-0.25808529976640998</v>
      </c>
      <c r="J2044" s="10">
        <v>0.79634107645457397</v>
      </c>
      <c r="K2044" s="29">
        <v>0.98289565623980701</v>
      </c>
    </row>
    <row r="2045" spans="1:11" x14ac:dyDescent="0.35">
      <c r="A2045" s="9" t="str">
        <f>HYPERLINK("http://www.ensembl.org/id/WBGene00014521", "WBGene00014521")</f>
        <v>WBGene00014521</v>
      </c>
      <c r="B2045" s="9"/>
      <c r="C2045" s="9"/>
      <c r="D2045" t="str">
        <f>"T19C4.t1"</f>
        <v>T19C4.t1</v>
      </c>
      <c r="F2045" t="s">
        <v>4208</v>
      </c>
      <c r="H2045" s="12">
        <v>-2.4295389261469</v>
      </c>
      <c r="I2045" s="11">
        <v>-0.25808529976640998</v>
      </c>
      <c r="J2045" s="10">
        <v>0.79634107645457397</v>
      </c>
      <c r="K2045" s="29">
        <v>0.98289565623980701</v>
      </c>
    </row>
    <row r="2046" spans="1:11" x14ac:dyDescent="0.35">
      <c r="A2046" s="9" t="str">
        <f>HYPERLINK("http://www.ensembl.org/id/WBGene00200500", "WBGene00200500")</f>
        <v>WBGene00200500</v>
      </c>
      <c r="B2046" s="9"/>
      <c r="C2046" s="9"/>
      <c r="D2046" t="str">
        <f>"T21B10.12"</f>
        <v>T21B10.12</v>
      </c>
      <c r="F2046" t="s">
        <v>481</v>
      </c>
      <c r="H2046" s="12">
        <v>-2.4295389261469</v>
      </c>
      <c r="I2046" s="11">
        <v>-0.25808529976640998</v>
      </c>
      <c r="J2046" s="10">
        <v>0.79634107645457397</v>
      </c>
      <c r="K2046" s="29">
        <v>0.98289565623980701</v>
      </c>
    </row>
    <row r="2047" spans="1:11" x14ac:dyDescent="0.35">
      <c r="A2047" s="9" t="str">
        <f>HYPERLINK("http://www.ensembl.org/id/WBGene00199608", "WBGene00199608")</f>
        <v>WBGene00199608</v>
      </c>
      <c r="B2047" s="9"/>
      <c r="C2047" s="9"/>
      <c r="D2047" t="str">
        <f>"T21B6.12"</f>
        <v>T21B6.12</v>
      </c>
      <c r="F2047" t="s">
        <v>481</v>
      </c>
      <c r="H2047" s="12">
        <v>-2.4295389261469</v>
      </c>
      <c r="I2047" s="11">
        <v>-0.25808529976640998</v>
      </c>
      <c r="J2047" s="10">
        <v>0.79634107645457397</v>
      </c>
      <c r="K2047" s="29">
        <v>0.98289565623980701</v>
      </c>
    </row>
    <row r="2048" spans="1:11" x14ac:dyDescent="0.35">
      <c r="A2048" s="9" t="str">
        <f>HYPERLINK("http://www.ensembl.org/id/WBGene00196846", "WBGene00196846")</f>
        <v>WBGene00196846</v>
      </c>
      <c r="B2048" s="9"/>
      <c r="C2048" s="9"/>
      <c r="D2048" t="str">
        <f>"T22D1.19"</f>
        <v>T22D1.19</v>
      </c>
      <c r="F2048" t="s">
        <v>481</v>
      </c>
      <c r="H2048" s="12">
        <v>-2.4295389261469</v>
      </c>
      <c r="I2048" s="11">
        <v>-0.25808529976640998</v>
      </c>
      <c r="J2048" s="10">
        <v>0.79634107645457397</v>
      </c>
      <c r="K2048" s="29">
        <v>0.98289565623980701</v>
      </c>
    </row>
    <row r="2049" spans="1:11" x14ac:dyDescent="0.35">
      <c r="A2049" s="9" t="str">
        <f>HYPERLINK("http://www.ensembl.org/id/WBGene00200076", "WBGene00200076")</f>
        <v>WBGene00200076</v>
      </c>
      <c r="B2049" s="9"/>
      <c r="C2049" s="9"/>
      <c r="D2049" t="str">
        <f>"T24D11.5"</f>
        <v>T24D11.5</v>
      </c>
      <c r="F2049" t="s">
        <v>481</v>
      </c>
      <c r="H2049" s="12">
        <v>-2.4295389261469</v>
      </c>
      <c r="I2049" s="11">
        <v>-0.25808529976640998</v>
      </c>
      <c r="J2049" s="10">
        <v>0.79634107645457397</v>
      </c>
      <c r="K2049" s="29">
        <v>0.98289565623980701</v>
      </c>
    </row>
    <row r="2050" spans="1:11" x14ac:dyDescent="0.35">
      <c r="A2050" s="9" t="str">
        <f>HYPERLINK("http://www.ensembl.org/id/WBGene00012075", "WBGene00012075")</f>
        <v>WBGene00012075</v>
      </c>
      <c r="B2050" s="9" t="str">
        <f>HYPERLINK("http://www.ncbi.nlm.nih.gov/gene/188968", "188968")</f>
        <v>188968</v>
      </c>
      <c r="C2050" s="9"/>
      <c r="D2050" t="str">
        <f>"T27A8.3"</f>
        <v>T27A8.3</v>
      </c>
      <c r="F2050" t="s">
        <v>11</v>
      </c>
      <c r="G2050" t="s">
        <v>10054</v>
      </c>
      <c r="H2050" s="12">
        <v>-2.4295389261469</v>
      </c>
      <c r="I2050" s="11">
        <v>-0.25808529976640998</v>
      </c>
      <c r="J2050" s="10">
        <v>0.79634107645457397</v>
      </c>
      <c r="K2050" s="29">
        <v>0.98289565623980701</v>
      </c>
    </row>
    <row r="2051" spans="1:11" x14ac:dyDescent="0.35">
      <c r="A2051" s="9" t="str">
        <f>HYPERLINK("http://www.ensembl.org/id/WBGene00077631", "WBGene00077631")</f>
        <v>WBGene00077631</v>
      </c>
      <c r="B2051" s="9"/>
      <c r="C2051" s="9"/>
      <c r="D2051" t="str">
        <f>"T27C5.15"</f>
        <v>T27C5.15</v>
      </c>
      <c r="F2051" t="s">
        <v>80</v>
      </c>
      <c r="H2051" s="12">
        <v>-2.4295389261469</v>
      </c>
      <c r="I2051" s="11">
        <v>-0.25808529976640998</v>
      </c>
      <c r="J2051" s="10">
        <v>0.79634107645457397</v>
      </c>
      <c r="K2051" s="29">
        <v>0.98289565623980701</v>
      </c>
    </row>
    <row r="2052" spans="1:11" x14ac:dyDescent="0.35">
      <c r="A2052" s="9" t="str">
        <f>HYPERLINK("http://www.ensembl.org/id/WBGene00012081", "WBGene00012081")</f>
        <v>WBGene00012081</v>
      </c>
      <c r="B2052" s="9" t="str">
        <f>HYPERLINK("http://www.ncbi.nlm.nih.gov/gene/188987", "188987")</f>
        <v>188987</v>
      </c>
      <c r="C2052" s="9"/>
      <c r="D2052" t="str">
        <f>"T27C5.8"</f>
        <v>T27C5.8</v>
      </c>
      <c r="F2052" t="s">
        <v>11</v>
      </c>
      <c r="G2052" t="s">
        <v>25</v>
      </c>
      <c r="H2052" s="12">
        <v>-2.4295389261469</v>
      </c>
      <c r="I2052" s="11">
        <v>-0.25808529976640998</v>
      </c>
      <c r="J2052" s="10">
        <v>0.79634107645457397</v>
      </c>
      <c r="K2052" s="29">
        <v>0.98289565623980701</v>
      </c>
    </row>
    <row r="2053" spans="1:11" x14ac:dyDescent="0.35">
      <c r="A2053" s="9" t="str">
        <f>HYPERLINK("http://www.ensembl.org/id/WBGene00195768", "WBGene00195768")</f>
        <v>WBGene00195768</v>
      </c>
      <c r="B2053" s="9"/>
      <c r="C2053" s="9"/>
      <c r="D2053" t="str">
        <f>"T28B4.5"</f>
        <v>T28B4.5</v>
      </c>
      <c r="F2053" t="s">
        <v>481</v>
      </c>
      <c r="H2053" s="12">
        <v>-2.4295389261469</v>
      </c>
      <c r="I2053" s="11">
        <v>-0.25808529976640998</v>
      </c>
      <c r="J2053" s="10">
        <v>0.79634107645457397</v>
      </c>
      <c r="K2053" s="29">
        <v>0.98289565623980701</v>
      </c>
    </row>
    <row r="2054" spans="1:11" x14ac:dyDescent="0.35">
      <c r="A2054" s="9" t="str">
        <f>HYPERLINK("http://www.ensembl.org/id/WBGene00195728", "WBGene00195728")</f>
        <v>WBGene00195728</v>
      </c>
      <c r="B2054" s="9"/>
      <c r="C2054" s="9"/>
      <c r="D2054" t="str">
        <f>"T28D9.13"</f>
        <v>T28D9.13</v>
      </c>
      <c r="F2054" t="s">
        <v>481</v>
      </c>
      <c r="H2054" s="12">
        <v>-2.4295389261469</v>
      </c>
      <c r="I2054" s="11">
        <v>-0.25808529976640998</v>
      </c>
      <c r="J2054" s="10">
        <v>0.79634107645457397</v>
      </c>
      <c r="K2054" s="29">
        <v>0.98289565623980701</v>
      </c>
    </row>
    <row r="2055" spans="1:11" x14ac:dyDescent="0.35">
      <c r="A2055" s="9" t="str">
        <f>HYPERLINK("http://www.ensembl.org/id/WBGene00045185", "WBGene00045185")</f>
        <v>WBGene00045185</v>
      </c>
      <c r="B2055" s="9"/>
      <c r="C2055" s="9"/>
      <c r="D2055" t="str">
        <f>"VY10G11R.4"</f>
        <v>VY10G11R.4</v>
      </c>
      <c r="F2055" t="s">
        <v>80</v>
      </c>
      <c r="H2055" s="12">
        <v>-2.4295389261469</v>
      </c>
      <c r="I2055" s="11">
        <v>-0.25808529976640998</v>
      </c>
      <c r="J2055" s="10">
        <v>0.79634107645457397</v>
      </c>
      <c r="K2055" s="29">
        <v>0.98289565623980701</v>
      </c>
    </row>
    <row r="2056" spans="1:11" x14ac:dyDescent="0.35">
      <c r="A2056" s="9" t="str">
        <f>HYPERLINK("http://www.ensembl.org/id/WBGene00220113", "WBGene00220113")</f>
        <v>WBGene00220113</v>
      </c>
      <c r="B2056" s="9"/>
      <c r="C2056" s="9"/>
      <c r="D2056" t="str">
        <f>"W02C12.4"</f>
        <v>W02C12.4</v>
      </c>
      <c r="F2056" t="s">
        <v>481</v>
      </c>
      <c r="H2056" s="12">
        <v>-2.4295389261469</v>
      </c>
      <c r="I2056" s="11">
        <v>-0.25808529976640998</v>
      </c>
      <c r="J2056" s="10">
        <v>0.79634107645457397</v>
      </c>
      <c r="K2056" s="29">
        <v>0.98289565623980701</v>
      </c>
    </row>
    <row r="2057" spans="1:11" x14ac:dyDescent="0.35">
      <c r="A2057" s="9" t="str">
        <f>HYPERLINK("http://www.ensembl.org/id/WBGene00044356", "WBGene00044356")</f>
        <v>WBGene00044356</v>
      </c>
      <c r="B2057" s="9" t="str">
        <f>HYPERLINK("http://www.ncbi.nlm.nih.gov/gene/3564900", "3564900")</f>
        <v>3564900</v>
      </c>
      <c r="C2057" s="9"/>
      <c r="D2057" t="str">
        <f>"W02D7.12"</f>
        <v>W02D7.12</v>
      </c>
      <c r="F2057" t="s">
        <v>11</v>
      </c>
      <c r="H2057" s="12">
        <v>-2.4295389261469</v>
      </c>
      <c r="I2057" s="11">
        <v>-0.25808529976640998</v>
      </c>
      <c r="J2057" s="10">
        <v>0.79634107645457397</v>
      </c>
      <c r="K2057" s="29">
        <v>0.98289565623980701</v>
      </c>
    </row>
    <row r="2058" spans="1:11" x14ac:dyDescent="0.35">
      <c r="A2058" s="9" t="str">
        <f>HYPERLINK("http://www.ensembl.org/id/WBGene00020971", "WBGene00020971")</f>
        <v>WBGene00020971</v>
      </c>
      <c r="B2058" s="9"/>
      <c r="C2058" s="9"/>
      <c r="D2058" t="str">
        <f>"W03B1.1"</f>
        <v>W03B1.1</v>
      </c>
      <c r="F2058" t="s">
        <v>80</v>
      </c>
      <c r="H2058" s="12">
        <v>-2.4295389261469</v>
      </c>
      <c r="I2058" s="11">
        <v>-0.25808529976640998</v>
      </c>
      <c r="J2058" s="10">
        <v>0.79634107645457397</v>
      </c>
      <c r="K2058" s="29">
        <v>0.98289565623980701</v>
      </c>
    </row>
    <row r="2059" spans="1:11" x14ac:dyDescent="0.35">
      <c r="A2059" s="9" t="str">
        <f>HYPERLINK("http://www.ensembl.org/id/WBGene00195678", "WBGene00195678")</f>
        <v>WBGene00195678</v>
      </c>
      <c r="B2059" s="9"/>
      <c r="C2059" s="9"/>
      <c r="D2059" t="str">
        <f>"W03G11.7"</f>
        <v>W03G11.7</v>
      </c>
      <c r="F2059" t="s">
        <v>481</v>
      </c>
      <c r="H2059" s="12">
        <v>-2.4295389261469</v>
      </c>
      <c r="I2059" s="11">
        <v>-0.25808529976640998</v>
      </c>
      <c r="J2059" s="10">
        <v>0.79634107645457397</v>
      </c>
      <c r="K2059" s="29">
        <v>0.98289565623980701</v>
      </c>
    </row>
    <row r="2060" spans="1:11" x14ac:dyDescent="0.35">
      <c r="A2060" s="9" t="str">
        <f>HYPERLINK("http://www.ensembl.org/id/WBGene00198681", "WBGene00198681")</f>
        <v>WBGene00198681</v>
      </c>
      <c r="B2060" s="9"/>
      <c r="C2060" s="9"/>
      <c r="D2060" t="str">
        <f>"W06A7.8"</f>
        <v>W06A7.8</v>
      </c>
      <c r="F2060" t="s">
        <v>481</v>
      </c>
      <c r="H2060" s="12">
        <v>-2.4295389261469</v>
      </c>
      <c r="I2060" s="11">
        <v>-0.25808529976640998</v>
      </c>
      <c r="J2060" s="10">
        <v>0.79634107645457397</v>
      </c>
      <c r="K2060" s="29">
        <v>0.98289565623980701</v>
      </c>
    </row>
    <row r="2061" spans="1:11" x14ac:dyDescent="0.35">
      <c r="A2061" s="9" t="str">
        <f>HYPERLINK("http://www.ensembl.org/id/WBGene00194645", "WBGene00194645")</f>
        <v>WBGene00194645</v>
      </c>
      <c r="B2061" s="9" t="str">
        <f>HYPERLINK("http://www.ncbi.nlm.nih.gov/gene/13206884", "13206884")</f>
        <v>13206884</v>
      </c>
      <c r="C2061" s="9"/>
      <c r="D2061" t="str">
        <f>"Y105C5A.1269"</f>
        <v>Y105C5A.1269</v>
      </c>
      <c r="F2061" t="s">
        <v>11</v>
      </c>
      <c r="G2061" t="s">
        <v>25</v>
      </c>
      <c r="H2061" s="12">
        <v>-2.4295389261469</v>
      </c>
      <c r="I2061" s="11">
        <v>-0.25808529976640998</v>
      </c>
      <c r="J2061" s="10">
        <v>0.79634107645457397</v>
      </c>
      <c r="K2061" s="29">
        <v>0.98289565623980701</v>
      </c>
    </row>
    <row r="2062" spans="1:11" x14ac:dyDescent="0.35">
      <c r="A2062" s="9" t="str">
        <f>HYPERLINK("http://www.ensembl.org/id/WBGene00196890", "WBGene00196890")</f>
        <v>WBGene00196890</v>
      </c>
      <c r="B2062" s="9"/>
      <c r="C2062" s="9"/>
      <c r="D2062" t="str">
        <f>"Y105E8B.13"</f>
        <v>Y105E8B.13</v>
      </c>
      <c r="F2062" t="s">
        <v>481</v>
      </c>
      <c r="H2062" s="12">
        <v>-2.4295389261469</v>
      </c>
      <c r="I2062" s="11">
        <v>-0.25808529976640998</v>
      </c>
      <c r="J2062" s="10">
        <v>0.79634107645457397</v>
      </c>
      <c r="K2062" s="29">
        <v>0.98289565623980701</v>
      </c>
    </row>
    <row r="2063" spans="1:11" x14ac:dyDescent="0.35">
      <c r="A2063" s="9" t="str">
        <f>HYPERLINK("http://www.ensembl.org/id/WBGene00022433", "WBGene00022433")</f>
        <v>WBGene00022433</v>
      </c>
      <c r="B2063" s="9" t="str">
        <f>HYPERLINK("http://www.ncbi.nlm.nih.gov/gene/353490", "353490")</f>
        <v>353490</v>
      </c>
      <c r="C2063" s="9"/>
      <c r="D2063" t="str">
        <f>"Y108F1.5"</f>
        <v>Y108F1.5</v>
      </c>
      <c r="F2063" t="s">
        <v>11</v>
      </c>
      <c r="G2063" t="s">
        <v>10053</v>
      </c>
      <c r="H2063" s="12">
        <v>-2.4295389261469</v>
      </c>
      <c r="I2063" s="11">
        <v>-0.25808529976640998</v>
      </c>
      <c r="J2063" s="10">
        <v>0.79634107645457397</v>
      </c>
      <c r="K2063" s="29">
        <v>0.98289565623980701</v>
      </c>
    </row>
    <row r="2064" spans="1:11" x14ac:dyDescent="0.35">
      <c r="A2064" s="9" t="str">
        <f>HYPERLINK("http://www.ensembl.org/id/WBGene00201165", "WBGene00201165")</f>
        <v>WBGene00201165</v>
      </c>
      <c r="B2064" s="9"/>
      <c r="C2064" s="9"/>
      <c r="D2064" t="str">
        <f>"Y110A7A.23"</f>
        <v>Y110A7A.23</v>
      </c>
      <c r="F2064" t="s">
        <v>481</v>
      </c>
      <c r="H2064" s="12">
        <v>-2.4295389261469</v>
      </c>
      <c r="I2064" s="11">
        <v>-0.25808529976640998</v>
      </c>
      <c r="J2064" s="10">
        <v>0.79634107645457397</v>
      </c>
      <c r="K2064" s="29">
        <v>0.98289565623980701</v>
      </c>
    </row>
    <row r="2065" spans="1:11" x14ac:dyDescent="0.35">
      <c r="A2065" s="9" t="str">
        <f>HYPERLINK("http://www.ensembl.org/id/WBGene00013777", "WBGene00013777")</f>
        <v>WBGene00013777</v>
      </c>
      <c r="B2065" s="9" t="str">
        <f>HYPERLINK("http://www.ncbi.nlm.nih.gov/gene/190987", "190987")</f>
        <v>190987</v>
      </c>
      <c r="C2065" s="9"/>
      <c r="D2065" t="str">
        <f>"Y116A8A.7"</f>
        <v>Y116A8A.7</v>
      </c>
      <c r="E2065" t="s">
        <v>899</v>
      </c>
      <c r="F2065" t="s">
        <v>11</v>
      </c>
      <c r="G2065" t="s">
        <v>3403</v>
      </c>
      <c r="H2065" s="12">
        <v>-2.4295389261469</v>
      </c>
      <c r="I2065" s="11">
        <v>-0.25808529976640998</v>
      </c>
      <c r="J2065" s="10">
        <v>0.79634107645457397</v>
      </c>
      <c r="K2065" s="29">
        <v>0.98289565623980701</v>
      </c>
    </row>
    <row r="2066" spans="1:11" x14ac:dyDescent="0.35">
      <c r="A2066" s="9" t="str">
        <f>HYPERLINK("http://www.ensembl.org/id/WBGene00044734", "WBGene00044734")</f>
        <v>WBGene00044734</v>
      </c>
      <c r="B2066" s="9" t="str">
        <f>HYPERLINK("http://www.ncbi.nlm.nih.gov/gene/4363084", "4363084")</f>
        <v>4363084</v>
      </c>
      <c r="C2066" s="9"/>
      <c r="D2066" t="str">
        <f>"Y19D10A.16"</f>
        <v>Y19D10A.16</v>
      </c>
      <c r="E2066" t="s">
        <v>10051</v>
      </c>
      <c r="F2066" t="s">
        <v>11</v>
      </c>
      <c r="G2066" t="s">
        <v>10052</v>
      </c>
      <c r="H2066" s="12">
        <v>-2.4295389261469</v>
      </c>
      <c r="I2066" s="11">
        <v>-0.25808529976640998</v>
      </c>
      <c r="J2066" s="10">
        <v>0.79634107645457397</v>
      </c>
      <c r="K2066" s="29">
        <v>0.98289565623980701</v>
      </c>
    </row>
    <row r="2067" spans="1:11" x14ac:dyDescent="0.35">
      <c r="A2067" s="9" t="str">
        <f>HYPERLINK("http://www.ensembl.org/id/WBGene00198727", "WBGene00198727")</f>
        <v>WBGene00198727</v>
      </c>
      <c r="B2067" s="9"/>
      <c r="C2067" s="9"/>
      <c r="D2067" t="str">
        <f>"Y23H5A.10"</f>
        <v>Y23H5A.10</v>
      </c>
      <c r="F2067" t="s">
        <v>481</v>
      </c>
      <c r="H2067" s="12">
        <v>-2.4295389261469</v>
      </c>
      <c r="I2067" s="11">
        <v>-0.25808529976640998</v>
      </c>
      <c r="J2067" s="10">
        <v>0.79634107645457397</v>
      </c>
      <c r="K2067" s="29">
        <v>0.98289565623980701</v>
      </c>
    </row>
    <row r="2068" spans="1:11" x14ac:dyDescent="0.35">
      <c r="A2068" s="9" t="str">
        <f>HYPERLINK("http://www.ensembl.org/id/WBGene00044926", "WBGene00044926")</f>
        <v>WBGene00044926</v>
      </c>
      <c r="B2068" s="9"/>
      <c r="C2068" s="9"/>
      <c r="D2068" t="str">
        <f>"Y39G10AR.24"</f>
        <v>Y39G10AR.24</v>
      </c>
      <c r="F2068" t="s">
        <v>2977</v>
      </c>
      <c r="H2068" s="12">
        <v>-2.4295389261469</v>
      </c>
      <c r="I2068" s="11">
        <v>-0.25808529976640998</v>
      </c>
      <c r="J2068" s="10">
        <v>0.79634107645457397</v>
      </c>
      <c r="K2068" s="29">
        <v>0.98289565623980701</v>
      </c>
    </row>
    <row r="2069" spans="1:11" x14ac:dyDescent="0.35">
      <c r="A2069" s="9" t="str">
        <f>HYPERLINK("http://www.ensembl.org/id/WBGene00012745", "WBGene00012745")</f>
        <v>WBGene00012745</v>
      </c>
      <c r="B2069" s="9"/>
      <c r="C2069" s="9"/>
      <c r="D2069" t="str">
        <f>"Y40H7A.7"</f>
        <v>Y40H7A.7</v>
      </c>
      <c r="F2069" t="s">
        <v>80</v>
      </c>
      <c r="H2069" s="12">
        <v>-2.4295389261469</v>
      </c>
      <c r="I2069" s="11">
        <v>-0.25808529976640998</v>
      </c>
      <c r="J2069" s="10">
        <v>0.79634107645457397</v>
      </c>
      <c r="K2069" s="29">
        <v>0.98289565623980701</v>
      </c>
    </row>
    <row r="2070" spans="1:11" x14ac:dyDescent="0.35">
      <c r="A2070" s="9" t="str">
        <f>HYPERLINK("http://www.ensembl.org/id/WBGene00200948", "WBGene00200948")</f>
        <v>WBGene00200948</v>
      </c>
      <c r="B2070" s="9"/>
      <c r="C2070" s="9"/>
      <c r="D2070" t="str">
        <f>"Y42H9B.9"</f>
        <v>Y42H9B.9</v>
      </c>
      <c r="F2070" t="s">
        <v>481</v>
      </c>
      <c r="H2070" s="12">
        <v>-2.4295389261469</v>
      </c>
      <c r="I2070" s="11">
        <v>-0.25808529976640998</v>
      </c>
      <c r="J2070" s="10">
        <v>0.79634107645457397</v>
      </c>
      <c r="K2070" s="29">
        <v>0.98289565623980701</v>
      </c>
    </row>
    <row r="2071" spans="1:11" x14ac:dyDescent="0.35">
      <c r="A2071" s="9" t="str">
        <f>HYPERLINK("http://www.ensembl.org/id/WBGene00012785", "WBGene00012785")</f>
        <v>WBGene00012785</v>
      </c>
      <c r="B2071" s="9" t="str">
        <f>HYPERLINK("http://www.ncbi.nlm.nih.gov/gene/189849", "189849")</f>
        <v>189849</v>
      </c>
      <c r="C2071" s="9"/>
      <c r="D2071" t="str">
        <f>"Y43C5B.2"</f>
        <v>Y43C5B.2</v>
      </c>
      <c r="E2071" t="s">
        <v>2588</v>
      </c>
      <c r="F2071" t="s">
        <v>11</v>
      </c>
      <c r="G2071" t="s">
        <v>2589</v>
      </c>
      <c r="H2071" s="12">
        <v>-2.4295389261469</v>
      </c>
      <c r="I2071" s="11">
        <v>-0.25808529976640998</v>
      </c>
      <c r="J2071" s="10">
        <v>0.79634107645457397</v>
      </c>
      <c r="K2071" s="29">
        <v>0.98289565623980701</v>
      </c>
    </row>
    <row r="2072" spans="1:11" x14ac:dyDescent="0.35">
      <c r="A2072" s="9" t="str">
        <f>HYPERLINK("http://www.ensembl.org/id/WBGene00012789", "WBGene00012789")</f>
        <v>WBGene00012789</v>
      </c>
      <c r="B2072" s="9" t="str">
        <f>HYPERLINK("http://www.ncbi.nlm.nih.gov/gene/189852", "189852")</f>
        <v>189852</v>
      </c>
      <c r="C2072" s="9"/>
      <c r="D2072" t="str">
        <f>"Y43D4A.3"</f>
        <v>Y43D4A.3</v>
      </c>
      <c r="F2072" t="s">
        <v>11</v>
      </c>
      <c r="G2072" t="s">
        <v>25</v>
      </c>
      <c r="H2072" s="12">
        <v>-2.4295389261469</v>
      </c>
      <c r="I2072" s="11">
        <v>-0.25808529976640998</v>
      </c>
      <c r="J2072" s="10">
        <v>0.79634107645457397</v>
      </c>
      <c r="K2072" s="29">
        <v>0.98289565623980701</v>
      </c>
    </row>
    <row r="2073" spans="1:11" x14ac:dyDescent="0.35">
      <c r="A2073" s="9" t="str">
        <f>HYPERLINK("http://www.ensembl.org/id/WBGene00199867", "WBGene00199867")</f>
        <v>WBGene00199867</v>
      </c>
      <c r="B2073" s="9"/>
      <c r="C2073" s="9"/>
      <c r="D2073" t="str">
        <f>"Y43E12A.7"</f>
        <v>Y43E12A.7</v>
      </c>
      <c r="F2073" t="s">
        <v>481</v>
      </c>
      <c r="H2073" s="12">
        <v>-2.4295389261469</v>
      </c>
      <c r="I2073" s="11">
        <v>-0.25808529976640998</v>
      </c>
      <c r="J2073" s="10">
        <v>0.79634107645457397</v>
      </c>
      <c r="K2073" s="29">
        <v>0.98289565623980701</v>
      </c>
    </row>
    <row r="2074" spans="1:11" x14ac:dyDescent="0.35">
      <c r="A2074" s="9" t="str">
        <f>HYPERLINK("http://www.ensembl.org/id/WBGene00195160", "WBGene00195160")</f>
        <v>WBGene00195160</v>
      </c>
      <c r="B2074" s="9" t="str">
        <f>HYPERLINK("http://www.ncbi.nlm.nih.gov/gene/13212595", "13212595")</f>
        <v>13212595</v>
      </c>
      <c r="C2074" s="9"/>
      <c r="D2074" t="str">
        <f>"Y47D7A.17"</f>
        <v>Y47D7A.17</v>
      </c>
      <c r="F2074" t="s">
        <v>11</v>
      </c>
      <c r="H2074" s="12">
        <v>-2.4295389261469</v>
      </c>
      <c r="I2074" s="11">
        <v>-0.25808529976640998</v>
      </c>
      <c r="J2074" s="10">
        <v>0.79634107645457397</v>
      </c>
      <c r="K2074" s="29">
        <v>0.98289565623980701</v>
      </c>
    </row>
    <row r="2075" spans="1:11" x14ac:dyDescent="0.35">
      <c r="A2075" s="9" t="str">
        <f>HYPERLINK("http://www.ensembl.org/id/WBGene00012955", "WBGene00012955")</f>
        <v>WBGene00012955</v>
      </c>
      <c r="B2075" s="9" t="str">
        <f>HYPERLINK("http://www.ncbi.nlm.nih.gov/gene/190003", "190003")</f>
        <v>190003</v>
      </c>
      <c r="C2075" s="9"/>
      <c r="D2075" t="str">
        <f>"Y47H9C.12"</f>
        <v>Y47H9C.12</v>
      </c>
      <c r="F2075" t="s">
        <v>11</v>
      </c>
      <c r="H2075" s="12">
        <v>-2.4295389261469</v>
      </c>
      <c r="I2075" s="11">
        <v>-0.25808529976640998</v>
      </c>
      <c r="J2075" s="10">
        <v>0.79634107645457397</v>
      </c>
      <c r="K2075" s="29">
        <v>0.98289565623980701</v>
      </c>
    </row>
    <row r="2076" spans="1:11" x14ac:dyDescent="0.35">
      <c r="A2076" s="9" t="str">
        <f>HYPERLINK("http://www.ensembl.org/id/WBGene00201386", "WBGene00201386")</f>
        <v>WBGene00201386</v>
      </c>
      <c r="B2076" s="9"/>
      <c r="C2076" s="9"/>
      <c r="D2076" t="str">
        <f>"Y4C6B.100"</f>
        <v>Y4C6B.100</v>
      </c>
      <c r="F2076" t="s">
        <v>481</v>
      </c>
      <c r="H2076" s="12">
        <v>-2.4295389261469</v>
      </c>
      <c r="I2076" s="11">
        <v>-0.25808529976640998</v>
      </c>
      <c r="J2076" s="10">
        <v>0.79634107645457397</v>
      </c>
      <c r="K2076" s="29">
        <v>0.98289565623980701</v>
      </c>
    </row>
    <row r="2077" spans="1:11" x14ac:dyDescent="0.35">
      <c r="A2077" s="9" t="str">
        <f>HYPERLINK("http://www.ensembl.org/id/WBGene00013072", "WBGene00013072")</f>
        <v>WBGene00013072</v>
      </c>
      <c r="B2077" s="9" t="str">
        <f>HYPERLINK("http://www.ncbi.nlm.nih.gov/gene/180204", "180204")</f>
        <v>180204</v>
      </c>
      <c r="C2077" s="9"/>
      <c r="D2077" t="str">
        <f>"Y51A2D.1"</f>
        <v>Y51A2D.1</v>
      </c>
      <c r="F2077" t="s">
        <v>11</v>
      </c>
      <c r="G2077" t="s">
        <v>180</v>
      </c>
      <c r="H2077" s="12">
        <v>-2.4295389261469</v>
      </c>
      <c r="I2077" s="11">
        <v>-0.25808529976640998</v>
      </c>
      <c r="J2077" s="10">
        <v>0.79634107645457397</v>
      </c>
      <c r="K2077" s="29">
        <v>0.98289565623980701</v>
      </c>
    </row>
    <row r="2078" spans="1:11" x14ac:dyDescent="0.35">
      <c r="A2078" s="9" t="str">
        <f>HYPERLINK("http://www.ensembl.org/id/WBGene00200873", "WBGene00200873")</f>
        <v>WBGene00200873</v>
      </c>
      <c r="B2078" s="9"/>
      <c r="C2078" s="9"/>
      <c r="D2078" t="str">
        <f>"Y53F4B.61"</f>
        <v>Y53F4B.61</v>
      </c>
      <c r="F2078" t="s">
        <v>481</v>
      </c>
      <c r="H2078" s="12">
        <v>-2.4295389261469</v>
      </c>
      <c r="I2078" s="11">
        <v>-0.25808529976640998</v>
      </c>
      <c r="J2078" s="10">
        <v>0.79634107645457397</v>
      </c>
      <c r="K2078" s="29">
        <v>0.98289565623980701</v>
      </c>
    </row>
    <row r="2079" spans="1:11" x14ac:dyDescent="0.35">
      <c r="A2079" s="9" t="str">
        <f>HYPERLINK("http://www.ensembl.org/id/WBGene00023381", "WBGene00023381")</f>
        <v>WBGene00023381</v>
      </c>
      <c r="B2079" s="9"/>
      <c r="C2079" s="9"/>
      <c r="D2079" t="str">
        <f>"Y53G8B.t9"</f>
        <v>Y53G8B.t9</v>
      </c>
      <c r="F2079" t="s">
        <v>80</v>
      </c>
      <c r="H2079" s="12">
        <v>-2.4295389261469</v>
      </c>
      <c r="I2079" s="11">
        <v>-0.25808529976640998</v>
      </c>
      <c r="J2079" s="10">
        <v>0.79634107645457397</v>
      </c>
      <c r="K2079" s="29">
        <v>0.98289565623980701</v>
      </c>
    </row>
    <row r="2080" spans="1:11" x14ac:dyDescent="0.35">
      <c r="A2080" s="9" t="str">
        <f>HYPERLINK("http://www.ensembl.org/id/WBGene00201300", "WBGene00201300")</f>
        <v>WBGene00201300</v>
      </c>
      <c r="B2080" s="9"/>
      <c r="C2080" s="9"/>
      <c r="D2080" t="str">
        <f>"Y54E10A.27"</f>
        <v>Y54E10A.27</v>
      </c>
      <c r="F2080" t="s">
        <v>481</v>
      </c>
      <c r="H2080" s="12">
        <v>-2.4295389261469</v>
      </c>
      <c r="I2080" s="11">
        <v>-0.25808529976640998</v>
      </c>
      <c r="J2080" s="10">
        <v>0.79634107645457397</v>
      </c>
      <c r="K2080" s="29">
        <v>0.98289565623980701</v>
      </c>
    </row>
    <row r="2081" spans="1:11" x14ac:dyDescent="0.35">
      <c r="A2081" s="9" t="str">
        <f>HYPERLINK("http://www.ensembl.org/id/WBGene00200067", "WBGene00200067")</f>
        <v>WBGene00200067</v>
      </c>
      <c r="B2081" s="9"/>
      <c r="C2081" s="9"/>
      <c r="D2081" t="str">
        <f>"Y54E5B.7"</f>
        <v>Y54E5B.7</v>
      </c>
      <c r="F2081" t="s">
        <v>481</v>
      </c>
      <c r="H2081" s="12">
        <v>-2.4295389261469</v>
      </c>
      <c r="I2081" s="11">
        <v>-0.25808529976640998</v>
      </c>
      <c r="J2081" s="10">
        <v>0.79634107645457397</v>
      </c>
      <c r="K2081" s="29">
        <v>0.98289565623980701</v>
      </c>
    </row>
    <row r="2082" spans="1:11" x14ac:dyDescent="0.35">
      <c r="A2082" s="9" t="str">
        <f>HYPERLINK("http://www.ensembl.org/id/WBGene00198655", "WBGene00198655")</f>
        <v>WBGene00198655</v>
      </c>
      <c r="B2082" s="9"/>
      <c r="C2082" s="9"/>
      <c r="D2082" t="str">
        <f>"Y64G10A.356"</f>
        <v>Y64G10A.356</v>
      </c>
      <c r="F2082" t="s">
        <v>481</v>
      </c>
      <c r="H2082" s="12">
        <v>-2.4295389261469</v>
      </c>
      <c r="I2082" s="11">
        <v>-0.25808529976640998</v>
      </c>
      <c r="J2082" s="10">
        <v>0.79634107645457397</v>
      </c>
      <c r="K2082" s="29">
        <v>0.98289565623980701</v>
      </c>
    </row>
    <row r="2083" spans="1:11" x14ac:dyDescent="0.35">
      <c r="A2083" s="9" t="str">
        <f>HYPERLINK("http://www.ensembl.org/id/WBGene00235343", "WBGene00235343")</f>
        <v>WBGene00235343</v>
      </c>
      <c r="B2083" s="9" t="str">
        <f>HYPERLINK("http://www.ncbi.nlm.nih.gov/gene/24105199", "24105199")</f>
        <v>24105199</v>
      </c>
      <c r="C2083" s="9"/>
      <c r="D2083" t="str">
        <f>"Y69A2AR.51"</f>
        <v>Y69A2AR.51</v>
      </c>
      <c r="F2083" t="s">
        <v>11</v>
      </c>
      <c r="H2083" s="12">
        <v>-2.4295389261469</v>
      </c>
      <c r="I2083" s="11">
        <v>-0.25808529976640998</v>
      </c>
      <c r="J2083" s="10">
        <v>0.79634107645457397</v>
      </c>
      <c r="K2083" s="29">
        <v>0.98289565623980701</v>
      </c>
    </row>
    <row r="2084" spans="1:11" x14ac:dyDescent="0.35">
      <c r="A2084" s="9" t="str">
        <f>HYPERLINK("http://www.ensembl.org/id/WBGene00194891", "WBGene00194891")</f>
        <v>WBGene00194891</v>
      </c>
      <c r="B2084" s="9"/>
      <c r="C2084" s="9"/>
      <c r="D2084" t="str">
        <f>"Y6D1A.3"</f>
        <v>Y6D1A.3</v>
      </c>
      <c r="F2084" t="s">
        <v>80</v>
      </c>
      <c r="H2084" s="12">
        <v>-2.4295389261469</v>
      </c>
      <c r="I2084" s="11">
        <v>-0.25808529976640998</v>
      </c>
      <c r="J2084" s="10">
        <v>0.79634107645457397</v>
      </c>
      <c r="K2084" s="29">
        <v>0.98289565623980701</v>
      </c>
    </row>
    <row r="2085" spans="1:11" x14ac:dyDescent="0.35">
      <c r="A2085" s="9" t="str">
        <f>HYPERLINK("http://www.ensembl.org/id/WBGene00044207", "WBGene00044207")</f>
        <v>WBGene00044207</v>
      </c>
      <c r="B2085" s="9" t="str">
        <f>HYPERLINK("http://www.ncbi.nlm.nih.gov/gene/3565848", "3565848")</f>
        <v>3565848</v>
      </c>
      <c r="C2085" s="9"/>
      <c r="D2085" t="str">
        <f>"Y6G8.5"</f>
        <v>Y6G8.5</v>
      </c>
      <c r="F2085" t="s">
        <v>11</v>
      </c>
      <c r="H2085" s="12">
        <v>-2.4295389261469</v>
      </c>
      <c r="I2085" s="11">
        <v>-0.25808529976640998</v>
      </c>
      <c r="J2085" s="10">
        <v>0.79634107645457397</v>
      </c>
      <c r="K2085" s="29">
        <v>0.98289565623980701</v>
      </c>
    </row>
    <row r="2086" spans="1:11" x14ac:dyDescent="0.35">
      <c r="A2086" s="9" t="str">
        <f>HYPERLINK("http://www.ensembl.org/id/WBGene00199852", "WBGene00199852")</f>
        <v>WBGene00199852</v>
      </c>
      <c r="B2086" s="9"/>
      <c r="C2086" s="9"/>
      <c r="D2086" t="str">
        <f>"Y75B7AL.8"</f>
        <v>Y75B7AL.8</v>
      </c>
      <c r="F2086" t="s">
        <v>481</v>
      </c>
      <c r="H2086" s="12">
        <v>-2.4295389261469</v>
      </c>
      <c r="I2086" s="11">
        <v>-0.25808529976640998</v>
      </c>
      <c r="J2086" s="10">
        <v>0.79634107645457397</v>
      </c>
      <c r="K2086" s="29">
        <v>0.98289565623980701</v>
      </c>
    </row>
    <row r="2087" spans="1:11" x14ac:dyDescent="0.35">
      <c r="A2087" s="9" t="str">
        <f>HYPERLINK("http://www.ensembl.org/id/WBGene00201856", "WBGene00201856")</f>
        <v>WBGene00201856</v>
      </c>
      <c r="B2087" s="9"/>
      <c r="C2087" s="9"/>
      <c r="D2087" t="str">
        <f>"Y76A2B.9"</f>
        <v>Y76A2B.9</v>
      </c>
      <c r="F2087" t="s">
        <v>481</v>
      </c>
      <c r="H2087" s="12">
        <v>-2.4295389261469</v>
      </c>
      <c r="I2087" s="11">
        <v>-0.25808529976640998</v>
      </c>
      <c r="J2087" s="10">
        <v>0.79634107645457397</v>
      </c>
      <c r="K2087" s="29">
        <v>0.98289565623980701</v>
      </c>
    </row>
    <row r="2088" spans="1:11" x14ac:dyDescent="0.35">
      <c r="A2088" s="9" t="str">
        <f>HYPERLINK("http://www.ensembl.org/id/WBGene00023213", "WBGene00023213")</f>
        <v>WBGene00023213</v>
      </c>
      <c r="B2088" s="9"/>
      <c r="C2088" s="9"/>
      <c r="D2088" t="str">
        <f>"ZK154.t4"</f>
        <v>ZK154.t4</v>
      </c>
      <c r="F2088" t="s">
        <v>4208</v>
      </c>
      <c r="H2088" s="12">
        <v>-2.4295389261469</v>
      </c>
      <c r="I2088" s="11">
        <v>-0.25808529976640998</v>
      </c>
      <c r="J2088" s="10">
        <v>0.79634107645457397</v>
      </c>
      <c r="K2088" s="29">
        <v>0.98289565623980701</v>
      </c>
    </row>
    <row r="2089" spans="1:11" x14ac:dyDescent="0.35">
      <c r="A2089" s="9" t="str">
        <f>HYPERLINK("http://www.ensembl.org/id/WBGene00200649", "WBGene00200649")</f>
        <v>WBGene00200649</v>
      </c>
      <c r="B2089" s="9"/>
      <c r="C2089" s="9"/>
      <c r="D2089" t="str">
        <f>"ZK180.17"</f>
        <v>ZK180.17</v>
      </c>
      <c r="F2089" t="s">
        <v>481</v>
      </c>
      <c r="H2089" s="12">
        <v>-2.4295389261469</v>
      </c>
      <c r="I2089" s="11">
        <v>-0.25808529976640998</v>
      </c>
      <c r="J2089" s="10">
        <v>0.79634107645457397</v>
      </c>
      <c r="K2089" s="29">
        <v>0.98289565623980701</v>
      </c>
    </row>
    <row r="2090" spans="1:11" x14ac:dyDescent="0.35">
      <c r="A2090" s="9" t="str">
        <f>HYPERLINK("http://www.ensembl.org/id/WBGene00013953", "WBGene00013953")</f>
        <v>WBGene00013953</v>
      </c>
      <c r="B2090" s="9" t="str">
        <f>HYPERLINK("http://www.ncbi.nlm.nih.gov/gene/191270", "191270")</f>
        <v>191270</v>
      </c>
      <c r="C2090" s="9"/>
      <c r="D2090" t="str">
        <f>"ZK262.8"</f>
        <v>ZK262.8</v>
      </c>
      <c r="F2090" t="s">
        <v>11</v>
      </c>
      <c r="H2090" s="12">
        <v>-2.4295389261469</v>
      </c>
      <c r="I2090" s="11">
        <v>-0.25808529976640998</v>
      </c>
      <c r="J2090" s="10">
        <v>0.79634107645457397</v>
      </c>
      <c r="K2090" s="29">
        <v>0.98289565623980701</v>
      </c>
    </row>
    <row r="2091" spans="1:11" x14ac:dyDescent="0.35">
      <c r="A2091" s="9" t="str">
        <f>HYPERLINK("http://www.ensembl.org/id/WBGene00196223", "WBGene00196223")</f>
        <v>WBGene00196223</v>
      </c>
      <c r="B2091" s="9"/>
      <c r="C2091" s="9"/>
      <c r="D2091" t="str">
        <f>"ZK470.8"</f>
        <v>ZK470.8</v>
      </c>
      <c r="F2091" t="s">
        <v>481</v>
      </c>
      <c r="H2091" s="12">
        <v>-2.4295389261469</v>
      </c>
      <c r="I2091" s="11">
        <v>-0.25808529976640998</v>
      </c>
      <c r="J2091" s="10">
        <v>0.79634107645457397</v>
      </c>
      <c r="K2091" s="29">
        <v>0.98289565623980701</v>
      </c>
    </row>
    <row r="2092" spans="1:11" x14ac:dyDescent="0.35">
      <c r="A2092" s="9" t="str">
        <f>HYPERLINK("http://www.ensembl.org/id/WBGene00195969", "WBGene00195969")</f>
        <v>WBGene00195969</v>
      </c>
      <c r="B2092" s="9"/>
      <c r="C2092" s="9"/>
      <c r="D2092" t="str">
        <f>"ZK563.8"</f>
        <v>ZK563.8</v>
      </c>
      <c r="F2092" t="s">
        <v>481</v>
      </c>
      <c r="H2092" s="12">
        <v>-2.4295389261469</v>
      </c>
      <c r="I2092" s="11">
        <v>-0.25808529976640998</v>
      </c>
      <c r="J2092" s="10">
        <v>0.79634107645457397</v>
      </c>
      <c r="K2092" s="29">
        <v>0.98289565623980701</v>
      </c>
    </row>
    <row r="2093" spans="1:11" x14ac:dyDescent="0.35">
      <c r="A2093" s="9" t="str">
        <f>HYPERLINK("http://www.ensembl.org/id/WBGene00196096", "WBGene00196096")</f>
        <v>WBGene00196096</v>
      </c>
      <c r="B2093" s="9"/>
      <c r="C2093" s="9"/>
      <c r="D2093" t="str">
        <f>"ZK616.62"</f>
        <v>ZK616.62</v>
      </c>
      <c r="F2093" t="s">
        <v>481</v>
      </c>
      <c r="H2093" s="12">
        <v>-2.4295389261469</v>
      </c>
      <c r="I2093" s="11">
        <v>-0.25808529976640998</v>
      </c>
      <c r="J2093" s="10">
        <v>0.79634107645457397</v>
      </c>
      <c r="K2093" s="29">
        <v>0.98289565623980701</v>
      </c>
    </row>
    <row r="2094" spans="1:11" x14ac:dyDescent="0.35">
      <c r="A2094" s="9" t="str">
        <f>HYPERLINK("http://www.ensembl.org/id/WBGene00019141", "WBGene00019141")</f>
        <v>WBGene00019141</v>
      </c>
      <c r="B2094" s="9" t="str">
        <f>HYPERLINK("http://www.ncbi.nlm.nih.gov/gene/186650", "186650")</f>
        <v>186650</v>
      </c>
      <c r="C2094" s="9"/>
      <c r="D2094" t="str">
        <f>"bath-5"</f>
        <v>bath-5</v>
      </c>
      <c r="E2094" t="s">
        <v>179</v>
      </c>
      <c r="F2094" t="s">
        <v>11</v>
      </c>
      <c r="G2094" t="s">
        <v>54</v>
      </c>
      <c r="H2094" s="12">
        <v>-2.4278994198903501</v>
      </c>
      <c r="I2094" s="11">
        <v>-3.0525322069603802</v>
      </c>
      <c r="J2094" s="10">
        <v>2.2691937857303099E-3</v>
      </c>
      <c r="K2094" s="29">
        <v>7.03785122323283E-2</v>
      </c>
    </row>
    <row r="2095" spans="1:11" x14ac:dyDescent="0.35">
      <c r="A2095" s="9" t="str">
        <f>HYPERLINK("http://www.ensembl.org/id/WBGene00004972", "WBGene00004972")</f>
        <v>WBGene00004972</v>
      </c>
      <c r="B2095" s="9" t="str">
        <f>HYPERLINK("http://www.ncbi.nlm.nih.gov/gene/177929", "177929")</f>
        <v>177929</v>
      </c>
      <c r="C2095" s="9"/>
      <c r="D2095" t="str">
        <f>"spe-26"</f>
        <v>spe-26</v>
      </c>
      <c r="E2095" t="s">
        <v>333</v>
      </c>
      <c r="F2095" t="s">
        <v>11</v>
      </c>
      <c r="G2095" t="s">
        <v>334</v>
      </c>
      <c r="H2095" s="12">
        <v>-2.4266613723420098</v>
      </c>
      <c r="I2095" s="11">
        <v>-3.9201274656130201</v>
      </c>
      <c r="J2095" s="10">
        <v>8.8502146270638899E-5</v>
      </c>
      <c r="K2095" s="29">
        <v>6.0322436334200097E-3</v>
      </c>
    </row>
    <row r="2096" spans="1:11" x14ac:dyDescent="0.35">
      <c r="A2096" s="9" t="str">
        <f>HYPERLINK("http://www.ensembl.org/id/WBGene00086560", "WBGene00086560")</f>
        <v>WBGene00086560</v>
      </c>
      <c r="B2096" s="9" t="str">
        <f>HYPERLINK("http://www.ncbi.nlm.nih.gov/gene/7040126", "7040126")</f>
        <v>7040126</v>
      </c>
      <c r="C2096" s="9"/>
      <c r="D2096" t="str">
        <f>"ZK355.8"</f>
        <v>ZK355.8</v>
      </c>
      <c r="F2096" t="s">
        <v>11</v>
      </c>
      <c r="H2096" s="12">
        <v>-2.4246665896390098</v>
      </c>
      <c r="I2096" s="11">
        <v>-1.7415247237178899</v>
      </c>
      <c r="J2096" s="10">
        <v>8.1591643390651405E-2</v>
      </c>
      <c r="K2096" s="29">
        <v>0.672737240488266</v>
      </c>
    </row>
    <row r="2097" spans="1:11" x14ac:dyDescent="0.35">
      <c r="A2097" s="9" t="str">
        <f>HYPERLINK("http://www.ensembl.org/id/WBGene00050970", "WBGene00050970")</f>
        <v>WBGene00050970</v>
      </c>
      <c r="B2097" s="9"/>
      <c r="C2097" s="9"/>
      <c r="D2097" t="str">
        <f>"D2023.8"</f>
        <v>D2023.8</v>
      </c>
      <c r="F2097" t="s">
        <v>80</v>
      </c>
      <c r="H2097" s="12">
        <v>-2.4211369201967901</v>
      </c>
      <c r="I2097" s="11">
        <v>-1.02249370177086</v>
      </c>
      <c r="J2097" s="10">
        <v>0.306547292065949</v>
      </c>
      <c r="K2097" s="29">
        <v>0.98289565623980701</v>
      </c>
    </row>
    <row r="2098" spans="1:11" x14ac:dyDescent="0.35">
      <c r="A2098" s="9" t="str">
        <f>HYPERLINK("http://www.ensembl.org/id/WBGene00019600", "WBGene00019600")</f>
        <v>WBGene00019600</v>
      </c>
      <c r="B2098" s="9" t="str">
        <f>HYPERLINK("http://www.ncbi.nlm.nih.gov/gene/178961", "178961")</f>
        <v>178961</v>
      </c>
      <c r="C2098" s="9"/>
      <c r="D2098" t="str">
        <f>"rga-3"</f>
        <v>rga-3</v>
      </c>
      <c r="E2098" t="s">
        <v>256</v>
      </c>
      <c r="F2098" t="s">
        <v>11</v>
      </c>
      <c r="G2098" t="s">
        <v>257</v>
      </c>
      <c r="H2098" s="12">
        <v>-2.4208378163518098</v>
      </c>
      <c r="I2098" s="11">
        <v>-4.2903053815132504</v>
      </c>
      <c r="J2098" s="10">
        <v>1.7842759150962998E-5</v>
      </c>
      <c r="K2098" s="29">
        <v>1.64909917176861E-3</v>
      </c>
    </row>
    <row r="2099" spans="1:11" x14ac:dyDescent="0.35">
      <c r="A2099" s="9" t="str">
        <f>HYPERLINK("http://www.ensembl.org/id/WBGene00021602", "WBGene00021602")</f>
        <v>WBGene00021602</v>
      </c>
      <c r="B2099" s="9" t="str">
        <f>HYPERLINK("http://www.ncbi.nlm.nih.gov/gene/178657", "178657")</f>
        <v>178657</v>
      </c>
      <c r="C2099" s="9"/>
      <c r="D2099" t="str">
        <f>"clec-205"</f>
        <v>clec-205</v>
      </c>
      <c r="E2099" t="s">
        <v>46</v>
      </c>
      <c r="F2099" t="s">
        <v>11</v>
      </c>
      <c r="G2099" t="s">
        <v>47</v>
      </c>
      <c r="H2099" s="12">
        <v>-2.4203349335537898</v>
      </c>
      <c r="I2099" s="11">
        <v>-1.54448813106676</v>
      </c>
      <c r="J2099" s="10">
        <v>0.12247012438959599</v>
      </c>
      <c r="K2099" s="29">
        <v>0.79480141890984701</v>
      </c>
    </row>
    <row r="2100" spans="1:11" x14ac:dyDescent="0.35">
      <c r="A2100" s="9" t="str">
        <f>HYPERLINK("http://www.ensembl.org/id/WBGene00017227", "WBGene00017227")</f>
        <v>WBGene00017227</v>
      </c>
      <c r="B2100" s="9" t="str">
        <f>HYPERLINK("http://www.ncbi.nlm.nih.gov/gene/184155", "184155")</f>
        <v>184155</v>
      </c>
      <c r="C2100" s="9"/>
      <c r="D2100" t="str">
        <f>"F07G6.8"</f>
        <v>F07G6.8</v>
      </c>
      <c r="F2100" t="s">
        <v>11</v>
      </c>
      <c r="H2100" s="12">
        <v>-2.4200267424717801</v>
      </c>
      <c r="I2100" s="11">
        <v>-0.48533504267141198</v>
      </c>
      <c r="J2100" s="10">
        <v>0.62743870174494698</v>
      </c>
      <c r="K2100" s="29">
        <v>0.98289565623980701</v>
      </c>
    </row>
    <row r="2101" spans="1:11" x14ac:dyDescent="0.35">
      <c r="A2101" s="9" t="str">
        <f>HYPERLINK("http://www.ensembl.org/id/WBGene00008633", "WBGene00008633")</f>
        <v>WBGene00008633</v>
      </c>
      <c r="B2101" s="9" t="str">
        <f>HYPERLINK("http://www.ncbi.nlm.nih.gov/gene/184274", "184274")</f>
        <v>184274</v>
      </c>
      <c r="C2101" s="9"/>
      <c r="D2101" t="str">
        <f>"fbxa-18"</f>
        <v>fbxa-18</v>
      </c>
      <c r="E2101" t="s">
        <v>467</v>
      </c>
      <c r="F2101" t="s">
        <v>11</v>
      </c>
      <c r="G2101" t="s">
        <v>54</v>
      </c>
      <c r="H2101" s="12">
        <v>-2.4200267424717801</v>
      </c>
      <c r="I2101" s="11">
        <v>-0.48533504267141198</v>
      </c>
      <c r="J2101" s="10">
        <v>0.62743870174494698</v>
      </c>
      <c r="K2101" s="29">
        <v>0.98289565623980701</v>
      </c>
    </row>
    <row r="2102" spans="1:11" x14ac:dyDescent="0.35">
      <c r="A2102" s="9" t="str">
        <f>HYPERLINK("http://www.ensembl.org/id/WBGene00016586", "WBGene00016586")</f>
        <v>WBGene00016586</v>
      </c>
      <c r="B2102" s="9" t="str">
        <f>HYPERLINK("http://www.ncbi.nlm.nih.gov/gene/178179", "178179")</f>
        <v>178179</v>
      </c>
      <c r="C2102" s="9" t="str">
        <f>HYPERLINK("http://www.ncbi.nlm.nih.gov/gene/84179", "84179")</f>
        <v>84179</v>
      </c>
      <c r="D2102" t="str">
        <f>"C42C1.8"</f>
        <v>C42C1.8</v>
      </c>
      <c r="F2102" t="s">
        <v>11</v>
      </c>
      <c r="G2102" t="s">
        <v>230</v>
      </c>
      <c r="H2102" s="12">
        <v>-2.4196374059411001</v>
      </c>
      <c r="I2102" s="11">
        <v>-4.4159897051142396</v>
      </c>
      <c r="J2102" s="10">
        <v>1.00548869785202E-5</v>
      </c>
      <c r="K2102" s="29">
        <v>1.04183057634837E-3</v>
      </c>
    </row>
    <row r="2103" spans="1:11" x14ac:dyDescent="0.35">
      <c r="A2103" s="9" t="str">
        <f>HYPERLINK("http://www.ensembl.org/id/WBGene00016402", "WBGene00016402")</f>
        <v>WBGene00016402</v>
      </c>
      <c r="B2103" s="9" t="str">
        <f>HYPERLINK("http://www.ncbi.nlm.nih.gov/gene/183208", "183208")</f>
        <v>183208</v>
      </c>
      <c r="C2103" s="9"/>
      <c r="D2103" t="str">
        <f>"C34D4.10"</f>
        <v>C34D4.10</v>
      </c>
      <c r="F2103" t="s">
        <v>11</v>
      </c>
      <c r="H2103" s="12">
        <v>-2.4148231684738701</v>
      </c>
      <c r="I2103" s="11">
        <v>-1.4040341925862101</v>
      </c>
      <c r="J2103" s="10">
        <v>0.160308667932854</v>
      </c>
      <c r="K2103" s="29">
        <v>0.87467349987250198</v>
      </c>
    </row>
    <row r="2104" spans="1:11" x14ac:dyDescent="0.35">
      <c r="A2104" s="9" t="str">
        <f>HYPERLINK("http://www.ensembl.org/id/WBGene00023163", "WBGene00023163")</f>
        <v>WBGene00023163</v>
      </c>
      <c r="B2104" s="9"/>
      <c r="C2104" s="9"/>
      <c r="D2104" t="str">
        <f>"W09G12.3"</f>
        <v>W09G12.3</v>
      </c>
      <c r="F2104" t="s">
        <v>80</v>
      </c>
      <c r="H2104" s="12">
        <v>-2.4145288400482499</v>
      </c>
      <c r="I2104" s="11">
        <v>-0.605090288965352</v>
      </c>
      <c r="J2104" s="10">
        <v>0.54511900632650701</v>
      </c>
      <c r="K2104" s="29">
        <v>0.98289565623980701</v>
      </c>
    </row>
    <row r="2105" spans="1:11" x14ac:dyDescent="0.35">
      <c r="A2105" s="9" t="str">
        <f>HYPERLINK("http://www.ensembl.org/id/WBGene00196917", "WBGene00196917")</f>
        <v>WBGene00196917</v>
      </c>
      <c r="B2105" s="9"/>
      <c r="C2105" s="9"/>
      <c r="D2105" t="str">
        <f>"B0379.10"</f>
        <v>B0379.10</v>
      </c>
      <c r="F2105" t="s">
        <v>481</v>
      </c>
      <c r="H2105" s="12">
        <v>-2.4142476029973201</v>
      </c>
      <c r="I2105" s="11">
        <v>-0.288875231112245</v>
      </c>
      <c r="J2105" s="10">
        <v>0.77267685874953995</v>
      </c>
      <c r="K2105" s="29">
        <v>0.98289565623980701</v>
      </c>
    </row>
    <row r="2106" spans="1:11" x14ac:dyDescent="0.35">
      <c r="A2106" s="9" t="str">
        <f>HYPERLINK("http://www.ensembl.org/id/WBGene00044658", "WBGene00044658")</f>
        <v>WBGene00044658</v>
      </c>
      <c r="B2106" s="9" t="str">
        <f>HYPERLINK("http://www.ncbi.nlm.nih.gov/gene/4363108", "4363108")</f>
        <v>4363108</v>
      </c>
      <c r="C2106" s="9"/>
      <c r="D2106" t="str">
        <f>"C01G10.17"</f>
        <v>C01G10.17</v>
      </c>
      <c r="F2106" t="s">
        <v>11</v>
      </c>
      <c r="H2106" s="12">
        <v>-2.4142476029973201</v>
      </c>
      <c r="I2106" s="11">
        <v>-0.288875231112245</v>
      </c>
      <c r="J2106" s="10">
        <v>0.77267685874953995</v>
      </c>
      <c r="K2106" s="29">
        <v>0.98289565623980701</v>
      </c>
    </row>
    <row r="2107" spans="1:11" x14ac:dyDescent="0.35">
      <c r="A2107" s="9" t="str">
        <f>HYPERLINK("http://www.ensembl.org/id/WBGene00000770", "WBGene00000770")</f>
        <v>WBGene00000770</v>
      </c>
      <c r="B2107" s="9" t="str">
        <f>HYPERLINK("http://www.ncbi.nlm.nih.gov/gene/176310", "176310")</f>
        <v>176310</v>
      </c>
      <c r="C2107" s="9"/>
      <c r="D2107" t="str">
        <f>"cpb-1"</f>
        <v>cpb-1</v>
      </c>
      <c r="E2107" t="s">
        <v>456</v>
      </c>
      <c r="F2107" t="s">
        <v>11</v>
      </c>
      <c r="G2107" t="s">
        <v>367</v>
      </c>
      <c r="H2107" s="12">
        <v>-2.4140470868195201</v>
      </c>
      <c r="I2107" s="11">
        <v>-3.5214767958967101</v>
      </c>
      <c r="J2107" s="10">
        <v>4.2915022430846199E-4</v>
      </c>
      <c r="K2107" s="29">
        <v>2.0434878532545098E-2</v>
      </c>
    </row>
    <row r="2108" spans="1:11" x14ac:dyDescent="0.35">
      <c r="A2108" s="9" t="str">
        <f>HYPERLINK("http://www.ensembl.org/id/WBGene00009817", "WBGene00009817")</f>
        <v>WBGene00009817</v>
      </c>
      <c r="B2108" s="9" t="str">
        <f>HYPERLINK("http://www.ncbi.nlm.nih.gov/gene/185905", "185905")</f>
        <v>185905</v>
      </c>
      <c r="C2108" s="9"/>
      <c r="D2108" t="str">
        <f>"F47B10.6"</f>
        <v>F47B10.6</v>
      </c>
      <c r="F2108" t="s">
        <v>11</v>
      </c>
      <c r="H2108" s="12">
        <v>-2.41374471445247</v>
      </c>
      <c r="I2108" s="11">
        <v>-0.78215158636176196</v>
      </c>
      <c r="J2108" s="10">
        <v>0.43412549287452301</v>
      </c>
      <c r="K2108" s="29">
        <v>0.98289565623980701</v>
      </c>
    </row>
    <row r="2109" spans="1:11" x14ac:dyDescent="0.35">
      <c r="A2109" s="9" t="str">
        <f>HYPERLINK("http://www.ensembl.org/id/WBGene00011544", "WBGene00011544")</f>
        <v>WBGene00011544</v>
      </c>
      <c r="B2109" s="9" t="str">
        <f>HYPERLINK("http://www.ncbi.nlm.nih.gov/gene/188193", "188193")</f>
        <v>188193</v>
      </c>
      <c r="C2109" s="9"/>
      <c r="D2109" t="str">
        <f>"T06E8.2"</f>
        <v>T06E8.2</v>
      </c>
      <c r="F2109" t="s">
        <v>11</v>
      </c>
      <c r="H2109" s="12">
        <v>-2.4112761735014501</v>
      </c>
      <c r="I2109" s="11">
        <v>-0.50084839307824303</v>
      </c>
      <c r="J2109" s="10">
        <v>0.61647782463624101</v>
      </c>
      <c r="K2109" s="29">
        <v>0.98289565623980701</v>
      </c>
    </row>
    <row r="2110" spans="1:11" x14ac:dyDescent="0.35">
      <c r="A2110" s="9" t="str">
        <f>HYPERLINK("http://www.ensembl.org/id/WBGene00001601", "WBGene00001601")</f>
        <v>WBGene00001601</v>
      </c>
      <c r="B2110" s="9" t="str">
        <f>HYPERLINK("http://www.ncbi.nlm.nih.gov/gene/171941", "171941")</f>
        <v>171941</v>
      </c>
      <c r="C2110" s="9"/>
      <c r="D2110" t="str">
        <f>"glh-4"</f>
        <v>glh-4</v>
      </c>
      <c r="E2110" t="s">
        <v>306</v>
      </c>
      <c r="F2110" t="s">
        <v>11</v>
      </c>
      <c r="G2110" t="s">
        <v>133</v>
      </c>
      <c r="H2110" s="12">
        <v>-2.4093825893537599</v>
      </c>
      <c r="I2110" s="11">
        <v>-4.0376520653275696</v>
      </c>
      <c r="J2110" s="10">
        <v>5.3988847755848701E-5</v>
      </c>
      <c r="K2110" s="29">
        <v>4.0634081962431304E-3</v>
      </c>
    </row>
    <row r="2111" spans="1:11" x14ac:dyDescent="0.35">
      <c r="A2111" s="9" t="str">
        <f>HYPERLINK("http://www.ensembl.org/id/WBGene00015912", "WBGene00015912")</f>
        <v>WBGene00015912</v>
      </c>
      <c r="B2111" s="9" t="str">
        <f>HYPERLINK("http://www.ncbi.nlm.nih.gov/gene/173669", "173669")</f>
        <v>173669</v>
      </c>
      <c r="C2111" s="9"/>
      <c r="D2111" t="str">
        <f>"fbxc-50"</f>
        <v>fbxc-50</v>
      </c>
      <c r="E2111" t="s">
        <v>311</v>
      </c>
      <c r="F2111" t="s">
        <v>11</v>
      </c>
      <c r="H2111" s="12">
        <v>-2.4088451244756102</v>
      </c>
      <c r="I2111" s="11">
        <v>-4.0183213228936099</v>
      </c>
      <c r="J2111" s="10">
        <v>5.86142311063254E-5</v>
      </c>
      <c r="K2111" s="29">
        <v>4.3269662106797304E-3</v>
      </c>
    </row>
    <row r="2112" spans="1:11" x14ac:dyDescent="0.35">
      <c r="A2112" s="9" t="str">
        <f>HYPERLINK("http://www.ensembl.org/id/WBGene00003099", "WBGene00003099")</f>
        <v>WBGene00003099</v>
      </c>
      <c r="B2112" s="9" t="str">
        <f>HYPERLINK("http://www.ncbi.nlm.nih.gov/gene/184622", "184622")</f>
        <v>184622</v>
      </c>
      <c r="C2112" s="9"/>
      <c r="D2112" t="str">
        <f>"lys-10"</f>
        <v>lys-10</v>
      </c>
      <c r="E2112" t="s">
        <v>4549</v>
      </c>
      <c r="F2112" t="s">
        <v>11</v>
      </c>
      <c r="G2112" t="s">
        <v>10050</v>
      </c>
      <c r="H2112" s="12">
        <v>-2.4084835458323202</v>
      </c>
      <c r="I2112" s="11">
        <v>-1.0549772896843901</v>
      </c>
      <c r="J2112" s="10">
        <v>0.29143571145839298</v>
      </c>
      <c r="K2112" s="29">
        <v>0.98289565623980701</v>
      </c>
    </row>
    <row r="2113" spans="1:11" x14ac:dyDescent="0.35">
      <c r="A2113" s="9" t="str">
        <f>HYPERLINK("http://www.ensembl.org/id/WBGene00011983", "WBGene00011983")</f>
        <v>WBGene00011983</v>
      </c>
      <c r="B2113" s="9" t="str">
        <f>HYPERLINK("http://www.ncbi.nlm.nih.gov/gene/188841", "188841")</f>
        <v>188841</v>
      </c>
      <c r="C2113" s="9"/>
      <c r="D2113" t="str">
        <f>"fbxa-81"</f>
        <v>fbxa-81</v>
      </c>
      <c r="E2113" t="s">
        <v>467</v>
      </c>
      <c r="F2113" t="s">
        <v>11</v>
      </c>
      <c r="G2113" t="s">
        <v>54</v>
      </c>
      <c r="H2113" s="12">
        <v>-2.4084616923684501</v>
      </c>
      <c r="I2113" s="11">
        <v>-0.50576259153905101</v>
      </c>
      <c r="J2113" s="10">
        <v>0.61302332250176395</v>
      </c>
      <c r="K2113" s="29">
        <v>0.98289565623980701</v>
      </c>
    </row>
    <row r="2114" spans="1:11" x14ac:dyDescent="0.35">
      <c r="A2114" s="9" t="str">
        <f>HYPERLINK("http://www.ensembl.org/id/WBGene00000650", "WBGene00000650")</f>
        <v>WBGene00000650</v>
      </c>
      <c r="B2114" s="9" t="str">
        <f>HYPERLINK("http://www.ncbi.nlm.nih.gov/gene/173989", "173989")</f>
        <v>173989</v>
      </c>
      <c r="C2114" s="9"/>
      <c r="D2114" t="str">
        <f>"col-74"</f>
        <v>col-74</v>
      </c>
      <c r="E2114" t="s">
        <v>40</v>
      </c>
      <c r="F2114" t="s">
        <v>11</v>
      </c>
      <c r="G2114" t="s">
        <v>41</v>
      </c>
      <c r="H2114" s="12">
        <v>-2.4084009442284602</v>
      </c>
      <c r="I2114" s="11">
        <v>-2.0121851625134499</v>
      </c>
      <c r="J2114" s="10">
        <v>4.4200421972854197E-2</v>
      </c>
      <c r="K2114" s="29">
        <v>0.48702668102278002</v>
      </c>
    </row>
    <row r="2115" spans="1:11" x14ac:dyDescent="0.35">
      <c r="A2115" s="9" t="str">
        <f>HYPERLINK("http://www.ensembl.org/id/WBGene00044067", "WBGene00044067")</f>
        <v>WBGene00044067</v>
      </c>
      <c r="B2115" s="9" t="str">
        <f>HYPERLINK("http://www.ncbi.nlm.nih.gov/gene/178509", "178509")</f>
        <v>178509</v>
      </c>
      <c r="C2115" s="9"/>
      <c r="D2115" t="str">
        <f>"zipt-7.1"</f>
        <v>zipt-7.1</v>
      </c>
      <c r="E2115" t="s">
        <v>277</v>
      </c>
      <c r="F2115" t="s">
        <v>11</v>
      </c>
      <c r="G2115" t="s">
        <v>278</v>
      </c>
      <c r="H2115" s="12">
        <v>-2.40724579911394</v>
      </c>
      <c r="I2115" s="11">
        <v>-4.1817749416500503</v>
      </c>
      <c r="J2115" s="10">
        <v>2.8924220613051999E-5</v>
      </c>
      <c r="K2115" s="29">
        <v>2.4302656054006502E-3</v>
      </c>
    </row>
    <row r="2116" spans="1:11" x14ac:dyDescent="0.35">
      <c r="A2116" s="9" t="str">
        <f>HYPERLINK("http://www.ensembl.org/id/WBGene00012450", "WBGene00012450")</f>
        <v>WBGene00012450</v>
      </c>
      <c r="B2116" s="9" t="str">
        <f>HYPERLINK("http://www.ncbi.nlm.nih.gov/gene/189446", "189446")</f>
        <v>189446</v>
      </c>
      <c r="C2116" s="9"/>
      <c r="D2116" t="str">
        <f>"Y17D7B.2"</f>
        <v>Y17D7B.2</v>
      </c>
      <c r="F2116" t="s">
        <v>11</v>
      </c>
      <c r="H2116" s="12">
        <v>-2.4061604927629499</v>
      </c>
      <c r="I2116" s="11">
        <v>-1.89930786859388</v>
      </c>
      <c r="J2116" s="10">
        <v>5.7524008905893903E-2</v>
      </c>
      <c r="K2116" s="29">
        <v>0.56607740620936298</v>
      </c>
    </row>
    <row r="2117" spans="1:11" x14ac:dyDescent="0.35">
      <c r="A2117" s="9" t="str">
        <f>HYPERLINK("http://www.ensembl.org/id/WBGene00013246", "WBGene00013246")</f>
        <v>WBGene00013246</v>
      </c>
      <c r="B2117" s="9" t="str">
        <f>HYPERLINK("http://www.ncbi.nlm.nih.gov/gene/190331", "190331")</f>
        <v>190331</v>
      </c>
      <c r="C2117" s="9"/>
      <c r="D2117" t="str">
        <f>"Y57A10A.1"</f>
        <v>Y57A10A.1</v>
      </c>
      <c r="F2117" t="s">
        <v>11</v>
      </c>
      <c r="H2117" s="12">
        <v>-2.4044802399821199</v>
      </c>
      <c r="I2117" s="11">
        <v>-2.5677938919498802</v>
      </c>
      <c r="J2117" s="10">
        <v>1.0234798994785599E-2</v>
      </c>
      <c r="K2117" s="29">
        <v>0.19844535139542999</v>
      </c>
    </row>
    <row r="2118" spans="1:11" x14ac:dyDescent="0.35">
      <c r="A2118" s="9" t="str">
        <f>HYPERLINK("http://www.ensembl.org/id/WBGene00010432", "WBGene00010432")</f>
        <v>WBGene00010432</v>
      </c>
      <c r="B2118" s="9" t="str">
        <f>HYPERLINK("http://www.ncbi.nlm.nih.gov/gene/3565814", "3565814")</f>
        <v>3565814</v>
      </c>
      <c r="C2118" s="9"/>
      <c r="D2118" t="str">
        <f>"H39E23.2"</f>
        <v>H39E23.2</v>
      </c>
      <c r="F2118" t="s">
        <v>11</v>
      </c>
      <c r="H2118" s="12">
        <v>-2.4005934292854301</v>
      </c>
      <c r="I2118" s="11">
        <v>-0.85889320400829205</v>
      </c>
      <c r="J2118" s="10">
        <v>0.39039943917669501</v>
      </c>
      <c r="K2118" s="29">
        <v>0.98289565623980701</v>
      </c>
    </row>
    <row r="2119" spans="1:11" x14ac:dyDescent="0.35">
      <c r="A2119" s="9" t="str">
        <f>HYPERLINK("http://www.ensembl.org/id/WBGene00010950", "WBGene00010950")</f>
        <v>WBGene00010950</v>
      </c>
      <c r="B2119" s="9" t="str">
        <f>HYPERLINK("http://www.ncbi.nlm.nih.gov/gene/187500", "187500")</f>
        <v>187500</v>
      </c>
      <c r="C2119" s="9"/>
      <c r="D2119" t="str">
        <f>"srt-44"</f>
        <v>srt-44</v>
      </c>
      <c r="E2119" t="s">
        <v>2845</v>
      </c>
      <c r="F2119" t="s">
        <v>11</v>
      </c>
      <c r="G2119" t="s">
        <v>25</v>
      </c>
      <c r="H2119" s="12">
        <v>-2.39546241010712</v>
      </c>
      <c r="I2119" s="11">
        <v>-0.58562262352384997</v>
      </c>
      <c r="J2119" s="10">
        <v>0.55812914179490003</v>
      </c>
      <c r="K2119" s="29">
        <v>0.98289565623980701</v>
      </c>
    </row>
    <row r="2120" spans="1:11" x14ac:dyDescent="0.35">
      <c r="A2120" s="9" t="str">
        <f>HYPERLINK("http://www.ensembl.org/id/WBGene00200967", "WBGene00200967")</f>
        <v>WBGene00200967</v>
      </c>
      <c r="B2120" s="9"/>
      <c r="C2120" s="9"/>
      <c r="D2120" t="str">
        <f>"C13C4.11"</f>
        <v>C13C4.11</v>
      </c>
      <c r="F2120" t="s">
        <v>481</v>
      </c>
      <c r="H2120" s="12">
        <v>-2.3929525098099198</v>
      </c>
      <c r="I2120" s="11">
        <v>-0.82663745326645199</v>
      </c>
      <c r="J2120" s="10">
        <v>0.40844258231868302</v>
      </c>
      <c r="K2120" s="29">
        <v>0.98289565623980701</v>
      </c>
    </row>
    <row r="2121" spans="1:11" x14ac:dyDescent="0.35">
      <c r="A2121" s="9" t="str">
        <f>HYPERLINK("http://www.ensembl.org/id/WBGene00010358", "WBGene00010358")</f>
        <v>WBGene00010358</v>
      </c>
      <c r="B2121" s="9" t="str">
        <f>HYPERLINK("http://www.ncbi.nlm.nih.gov/gene/186674", "186674")</f>
        <v>186674</v>
      </c>
      <c r="C2121" s="9"/>
      <c r="D2121" t="str">
        <f>"H03G16.1"</f>
        <v>H03G16.1</v>
      </c>
      <c r="F2121" t="s">
        <v>11</v>
      </c>
      <c r="H2121" s="12">
        <v>-2.3915974862820901</v>
      </c>
      <c r="I2121" s="11">
        <v>-0.42079987883833497</v>
      </c>
      <c r="J2121" s="10">
        <v>0.67390122013614295</v>
      </c>
      <c r="K2121" s="29">
        <v>0.98289565623980701</v>
      </c>
    </row>
    <row r="2122" spans="1:11" x14ac:dyDescent="0.35">
      <c r="A2122" s="9" t="str">
        <f>HYPERLINK("http://www.ensembl.org/id/WBGene00219996", "WBGene00219996")</f>
        <v>WBGene00219996</v>
      </c>
      <c r="B2122" s="9"/>
      <c r="C2122" s="9"/>
      <c r="D2122" t="str">
        <f>"H40L08.6"</f>
        <v>H40L08.6</v>
      </c>
      <c r="F2122" t="s">
        <v>481</v>
      </c>
      <c r="H2122" s="12">
        <v>-2.3915974862820901</v>
      </c>
      <c r="I2122" s="11">
        <v>-0.42079987883833497</v>
      </c>
      <c r="J2122" s="10">
        <v>0.67390122013614295</v>
      </c>
      <c r="K2122" s="29">
        <v>0.98289565623980701</v>
      </c>
    </row>
    <row r="2123" spans="1:11" x14ac:dyDescent="0.35">
      <c r="A2123" s="9" t="str">
        <f>HYPERLINK("http://www.ensembl.org/id/WBGene00001985", "WBGene00001985")</f>
        <v>WBGene00001985</v>
      </c>
      <c r="B2123" s="9" t="str">
        <f>HYPERLINK("http://www.ncbi.nlm.nih.gov/gene/172017", "172017")</f>
        <v>172017</v>
      </c>
      <c r="C2123" s="9"/>
      <c r="D2123" t="str">
        <f>"hop-1"</f>
        <v>hop-1</v>
      </c>
      <c r="E2123" t="s">
        <v>513</v>
      </c>
      <c r="F2123" t="s">
        <v>11</v>
      </c>
      <c r="G2123" t="s">
        <v>514</v>
      </c>
      <c r="H2123" s="12">
        <v>-2.3897314252827901</v>
      </c>
      <c r="I2123" s="11">
        <v>-3.30319286426572</v>
      </c>
      <c r="J2123" s="10">
        <v>9.5590619243155199E-4</v>
      </c>
      <c r="K2123" s="29">
        <v>3.7627203547399402E-2</v>
      </c>
    </row>
    <row r="2124" spans="1:11" x14ac:dyDescent="0.35">
      <c r="A2124" s="9" t="str">
        <f>HYPERLINK("http://www.ensembl.org/id/WBGene00011691", "WBGene00011691")</f>
        <v>WBGene00011691</v>
      </c>
      <c r="B2124" s="9" t="str">
        <f>HYPERLINK("http://www.ncbi.nlm.nih.gov/gene/180071", "180071")</f>
        <v>180071</v>
      </c>
      <c r="C2124" s="9"/>
      <c r="D2124" t="str">
        <f>"T10C6.10"</f>
        <v>T10C6.10</v>
      </c>
      <c r="F2124" t="s">
        <v>11</v>
      </c>
      <c r="G2124" t="s">
        <v>54</v>
      </c>
      <c r="H2124" s="12">
        <v>-2.3895063779088899</v>
      </c>
      <c r="I2124" s="11">
        <v>-2.5508485175292699</v>
      </c>
      <c r="J2124" s="10">
        <v>1.0746102171401499E-2</v>
      </c>
      <c r="K2124" s="29">
        <v>0.204193615766779</v>
      </c>
    </row>
    <row r="2125" spans="1:11" x14ac:dyDescent="0.35">
      <c r="A2125" s="9" t="str">
        <f>HYPERLINK("http://www.ensembl.org/id/WBGene00017451", "WBGene00017451")</f>
        <v>WBGene00017451</v>
      </c>
      <c r="B2125" s="9" t="str">
        <f>HYPERLINK("http://www.ncbi.nlm.nih.gov/gene/184453", "184453")</f>
        <v>184453</v>
      </c>
      <c r="C2125" s="9"/>
      <c r="D2125" t="str">
        <f>"lido-14"</f>
        <v>lido-14</v>
      </c>
      <c r="F2125" t="s">
        <v>11</v>
      </c>
      <c r="G2125" t="s">
        <v>228</v>
      </c>
      <c r="H2125" s="12">
        <v>-2.3893252702618799</v>
      </c>
      <c r="I2125" s="11">
        <v>-1.0862442303515301</v>
      </c>
      <c r="J2125" s="10">
        <v>0.27737095350540097</v>
      </c>
      <c r="K2125" s="29">
        <v>0.98289565623980701</v>
      </c>
    </row>
    <row r="2126" spans="1:11" x14ac:dyDescent="0.35">
      <c r="A2126" s="9" t="str">
        <f>HYPERLINK("http://www.ensembl.org/id/WBGene00044687", "WBGene00044687")</f>
        <v>WBGene00044687</v>
      </c>
      <c r="B2126" s="9" t="str">
        <f>HYPERLINK("http://www.ncbi.nlm.nih.gov/gene/4363127", "4363127")</f>
        <v>4363127</v>
      </c>
      <c r="C2126" s="9"/>
      <c r="D2126" t="str">
        <f>"B0563.9"</f>
        <v>B0563.9</v>
      </c>
      <c r="F2126" t="s">
        <v>11</v>
      </c>
      <c r="H2126" s="12">
        <v>-2.3887119947472999</v>
      </c>
      <c r="I2126" s="11">
        <v>-0.42822747230425001</v>
      </c>
      <c r="J2126" s="10">
        <v>0.66848551687631397</v>
      </c>
      <c r="K2126" s="29">
        <v>0.98289565623980701</v>
      </c>
    </row>
    <row r="2127" spans="1:11" x14ac:dyDescent="0.35">
      <c r="A2127" s="9" t="str">
        <f>HYPERLINK("http://www.ensembl.org/id/WBGene00003864", "WBGene00003864")</f>
        <v>WBGene00003864</v>
      </c>
      <c r="B2127" s="9" t="str">
        <f>HYPERLINK("http://www.ncbi.nlm.nih.gov/gene/177703", "177703")</f>
        <v>177703</v>
      </c>
      <c r="C2127" s="9"/>
      <c r="D2127" t="str">
        <f>"oma-1"</f>
        <v>oma-1</v>
      </c>
      <c r="E2127" t="s">
        <v>204</v>
      </c>
      <c r="F2127" t="s">
        <v>11</v>
      </c>
      <c r="G2127" t="s">
        <v>51</v>
      </c>
      <c r="H2127" s="12">
        <v>-2.3867578352654202</v>
      </c>
      <c r="I2127" s="11">
        <v>-4.5602624293778096</v>
      </c>
      <c r="J2127" s="10">
        <v>5.1089732713186799E-6</v>
      </c>
      <c r="K2127" s="29">
        <v>6.0849451756231701E-4</v>
      </c>
    </row>
    <row r="2128" spans="1:11" x14ac:dyDescent="0.35">
      <c r="A2128" s="9" t="str">
        <f>HYPERLINK("http://www.ensembl.org/id/WBGene00018384", "WBGene00018384")</f>
        <v>WBGene00018384</v>
      </c>
      <c r="B2128" s="9" t="str">
        <f>HYPERLINK("http://www.ncbi.nlm.nih.gov/gene/173591", "173591")</f>
        <v>173591</v>
      </c>
      <c r="C2128" s="9"/>
      <c r="D2128" t="str">
        <f>"F43C11.7"</f>
        <v>F43C11.7</v>
      </c>
      <c r="F2128" t="s">
        <v>11</v>
      </c>
      <c r="G2128" t="s">
        <v>300</v>
      </c>
      <c r="H2128" s="12">
        <v>-2.3864948681877398</v>
      </c>
      <c r="I2128" s="11">
        <v>-4.06996760737744</v>
      </c>
      <c r="J2128" s="10">
        <v>4.7019674947681497E-5</v>
      </c>
      <c r="K2128" s="29">
        <v>3.6544559524294201E-3</v>
      </c>
    </row>
    <row r="2129" spans="1:11" x14ac:dyDescent="0.35">
      <c r="A2129" s="9" t="str">
        <f>HYPERLINK("http://www.ensembl.org/id/WBGene00009173", "WBGene00009173")</f>
        <v>WBGene00009173</v>
      </c>
      <c r="B2129" s="9" t="str">
        <f>HYPERLINK("http://www.ncbi.nlm.nih.gov/gene/185001", "185001")</f>
        <v>185001</v>
      </c>
      <c r="C2129" s="9"/>
      <c r="D2129" t="str">
        <f>"prom-1"</f>
        <v>prom-1</v>
      </c>
      <c r="E2129" t="s">
        <v>403</v>
      </c>
      <c r="F2129" t="s">
        <v>11</v>
      </c>
      <c r="H2129" s="12">
        <v>-2.3855968545903399</v>
      </c>
      <c r="I2129" s="11">
        <v>-3.6813969833096798</v>
      </c>
      <c r="J2129" s="10">
        <v>2.3195951041926101E-4</v>
      </c>
      <c r="K2129" s="29">
        <v>1.27307754103265E-2</v>
      </c>
    </row>
    <row r="2130" spans="1:11" x14ac:dyDescent="0.35">
      <c r="A2130" s="9" t="str">
        <f>HYPERLINK("http://www.ensembl.org/id/WBGene00000867", "WBGene00000867")</f>
        <v>WBGene00000867</v>
      </c>
      <c r="B2130" s="9" t="str">
        <f>HYPERLINK("http://www.ncbi.nlm.nih.gov/gene/171993", "171993")</f>
        <v>171993</v>
      </c>
      <c r="C2130" s="9"/>
      <c r="D2130" t="str">
        <f>"cyb-2.2"</f>
        <v>cyb-2.2</v>
      </c>
      <c r="E2130" t="s">
        <v>130</v>
      </c>
      <c r="F2130" t="s">
        <v>11</v>
      </c>
      <c r="G2130" t="s">
        <v>216</v>
      </c>
      <c r="H2130" s="12">
        <v>-2.3848130323554901</v>
      </c>
      <c r="I2130" s="11">
        <v>-4.4688048234904603</v>
      </c>
      <c r="J2130" s="10">
        <v>7.8657860715341992E-6</v>
      </c>
      <c r="K2130" s="29">
        <v>8.5860417384759204E-4</v>
      </c>
    </row>
    <row r="2131" spans="1:11" x14ac:dyDescent="0.35">
      <c r="A2131" s="9" t="str">
        <f>HYPERLINK("http://www.ensembl.org/id/WBGene00046833", "WBGene00046833")</f>
        <v>WBGene00046833</v>
      </c>
      <c r="B2131" s="9"/>
      <c r="C2131" s="9"/>
      <c r="D2131" t="str">
        <f>"21ur-3984"</f>
        <v>21ur-3984</v>
      </c>
      <c r="F2131" t="s">
        <v>3161</v>
      </c>
      <c r="H2131" s="12">
        <v>-2.3838754719136599</v>
      </c>
      <c r="I2131" s="11">
        <v>-0.25807578497976902</v>
      </c>
      <c r="J2131" s="10">
        <v>0.79634841949468704</v>
      </c>
      <c r="K2131" s="29">
        <v>0.98289565623980701</v>
      </c>
    </row>
    <row r="2132" spans="1:11" x14ac:dyDescent="0.35">
      <c r="A2132" s="9" t="str">
        <f>HYPERLINK("http://www.ensembl.org/id/WBGene00050057", "WBGene00050057")</f>
        <v>WBGene00050057</v>
      </c>
      <c r="B2132" s="9"/>
      <c r="C2132" s="9"/>
      <c r="D2132" t="str">
        <f>"21ur-669"</f>
        <v>21ur-669</v>
      </c>
      <c r="F2132" t="s">
        <v>3161</v>
      </c>
      <c r="H2132" s="12">
        <v>-2.3838754719136599</v>
      </c>
      <c r="I2132" s="11">
        <v>-0.25807578497976902</v>
      </c>
      <c r="J2132" s="10">
        <v>0.79634841949468704</v>
      </c>
      <c r="K2132" s="29">
        <v>0.98289565623980701</v>
      </c>
    </row>
    <row r="2133" spans="1:11" x14ac:dyDescent="0.35">
      <c r="A2133" s="9" t="str">
        <f>HYPERLINK("http://www.ensembl.org/id/WBGene00169699", "WBGene00169699")</f>
        <v>WBGene00169699</v>
      </c>
      <c r="B2133" s="9"/>
      <c r="C2133" s="9"/>
      <c r="D2133" t="str">
        <f>"21ur-9463"</f>
        <v>21ur-9463</v>
      </c>
      <c r="F2133" t="s">
        <v>3161</v>
      </c>
      <c r="H2133" s="12">
        <v>-2.3838754719136599</v>
      </c>
      <c r="I2133" s="11">
        <v>-0.25807578497976902</v>
      </c>
      <c r="J2133" s="10">
        <v>0.79634841949468704</v>
      </c>
      <c r="K2133" s="29">
        <v>0.98289565623980701</v>
      </c>
    </row>
    <row r="2134" spans="1:11" x14ac:dyDescent="0.35">
      <c r="A2134" s="9" t="str">
        <f>HYPERLINK("http://www.ensembl.org/id/WBGene00197484", "WBGene00197484")</f>
        <v>WBGene00197484</v>
      </c>
      <c r="B2134" s="9"/>
      <c r="C2134" s="9"/>
      <c r="D2134" t="str">
        <f>"C03A3.4"</f>
        <v>C03A3.4</v>
      </c>
      <c r="F2134" t="s">
        <v>481</v>
      </c>
      <c r="H2134" s="12">
        <v>-2.3838754719136599</v>
      </c>
      <c r="I2134" s="11">
        <v>-0.25807578497976902</v>
      </c>
      <c r="J2134" s="10">
        <v>0.79634841949468704</v>
      </c>
      <c r="K2134" s="29">
        <v>0.98289565623980701</v>
      </c>
    </row>
    <row r="2135" spans="1:11" x14ac:dyDescent="0.35">
      <c r="A2135" s="9" t="str">
        <f>HYPERLINK("http://www.ensembl.org/id/WBGene00196734", "WBGene00196734")</f>
        <v>WBGene00196734</v>
      </c>
      <c r="B2135" s="9"/>
      <c r="C2135" s="9"/>
      <c r="D2135" t="str">
        <f>"C07A4.5"</f>
        <v>C07A4.5</v>
      </c>
      <c r="F2135" t="s">
        <v>481</v>
      </c>
      <c r="H2135" s="12">
        <v>-2.3838754719136599</v>
      </c>
      <c r="I2135" s="11">
        <v>-0.25807578497976902</v>
      </c>
      <c r="J2135" s="10">
        <v>0.79634841949468704</v>
      </c>
      <c r="K2135" s="29">
        <v>0.98289565623980701</v>
      </c>
    </row>
    <row r="2136" spans="1:11" x14ac:dyDescent="0.35">
      <c r="A2136" s="9" t="str">
        <f>HYPERLINK("http://www.ensembl.org/id/WBGene00198523", "WBGene00198523")</f>
        <v>WBGene00198523</v>
      </c>
      <c r="B2136" s="9"/>
      <c r="C2136" s="9"/>
      <c r="D2136" t="str">
        <f>"C14F5.9"</f>
        <v>C14F5.9</v>
      </c>
      <c r="F2136" t="s">
        <v>481</v>
      </c>
      <c r="H2136" s="12">
        <v>-2.3838754719136599</v>
      </c>
      <c r="I2136" s="11">
        <v>-0.25807578497976902</v>
      </c>
      <c r="J2136" s="10">
        <v>0.79634841949468704</v>
      </c>
      <c r="K2136" s="29">
        <v>0.98289565623980701</v>
      </c>
    </row>
    <row r="2137" spans="1:11" x14ac:dyDescent="0.35">
      <c r="A2137" s="9" t="str">
        <f>HYPERLINK("http://www.ensembl.org/id/WBGene00195180", "WBGene00195180")</f>
        <v>WBGene00195180</v>
      </c>
      <c r="B2137" s="9" t="str">
        <f>HYPERLINK("http://www.ncbi.nlm.nih.gov/gene/13179984", "13179984")</f>
        <v>13179984</v>
      </c>
      <c r="C2137" s="9"/>
      <c r="D2137" t="str">
        <f>"C41D11.10"</f>
        <v>C41D11.10</v>
      </c>
      <c r="F2137" t="s">
        <v>11</v>
      </c>
      <c r="H2137" s="12">
        <v>-2.3838754719136599</v>
      </c>
      <c r="I2137" s="11">
        <v>-0.25807578497976902</v>
      </c>
      <c r="J2137" s="10">
        <v>0.79634841949468704</v>
      </c>
      <c r="K2137" s="29">
        <v>0.98289565623980701</v>
      </c>
    </row>
    <row r="2138" spans="1:11" x14ac:dyDescent="0.35">
      <c r="A2138" s="9" t="str">
        <f>HYPERLINK("http://www.ensembl.org/id/WBGene00011855", "WBGene00011855")</f>
        <v>WBGene00011855</v>
      </c>
      <c r="B2138" s="9" t="str">
        <f>HYPERLINK("http://www.ncbi.nlm.nih.gov/gene/188635", "188635")</f>
        <v>188635</v>
      </c>
      <c r="C2138" s="9"/>
      <c r="D2138" t="str">
        <f>"clec-183"</f>
        <v>clec-183</v>
      </c>
      <c r="E2138" t="s">
        <v>46</v>
      </c>
      <c r="F2138" t="s">
        <v>11</v>
      </c>
      <c r="G2138" t="s">
        <v>47</v>
      </c>
      <c r="H2138" s="12">
        <v>-2.3838754719136599</v>
      </c>
      <c r="I2138" s="11">
        <v>-0.25807578497976902</v>
      </c>
      <c r="J2138" s="10">
        <v>0.79634841949468704</v>
      </c>
      <c r="K2138" s="29">
        <v>0.98289565623980701</v>
      </c>
    </row>
    <row r="2139" spans="1:11" x14ac:dyDescent="0.35">
      <c r="A2139" s="9" t="str">
        <f>HYPERLINK("http://www.ensembl.org/id/WBGene00013798", "WBGene00013798")</f>
        <v>WBGene00013798</v>
      </c>
      <c r="B2139" s="9" t="str">
        <f>HYPERLINK("http://www.ncbi.nlm.nih.gov/gene/191002", "191002")</f>
        <v>191002</v>
      </c>
      <c r="C2139" s="9"/>
      <c r="D2139" t="str">
        <f>"clec-195"</f>
        <v>clec-195</v>
      </c>
      <c r="E2139" t="s">
        <v>46</v>
      </c>
      <c r="F2139" t="s">
        <v>11</v>
      </c>
      <c r="G2139" t="s">
        <v>47</v>
      </c>
      <c r="H2139" s="12">
        <v>-2.3838754719136599</v>
      </c>
      <c r="I2139" s="11">
        <v>-0.25807578497976902</v>
      </c>
      <c r="J2139" s="10">
        <v>0.79634841949468704</v>
      </c>
      <c r="K2139" s="29">
        <v>0.98289565623980701</v>
      </c>
    </row>
    <row r="2140" spans="1:11" x14ac:dyDescent="0.35">
      <c r="A2140" s="9" t="str">
        <f>HYPERLINK("http://www.ensembl.org/id/WBGene00200675", "WBGene00200675")</f>
        <v>WBGene00200675</v>
      </c>
      <c r="B2140" s="9"/>
      <c r="C2140" s="9"/>
      <c r="D2140" t="str">
        <f>"E01G6.8"</f>
        <v>E01G6.8</v>
      </c>
      <c r="F2140" t="s">
        <v>481</v>
      </c>
      <c r="H2140" s="12">
        <v>-2.3838754719136599</v>
      </c>
      <c r="I2140" s="11">
        <v>-0.25807578497976902</v>
      </c>
      <c r="J2140" s="10">
        <v>0.79634841949468704</v>
      </c>
      <c r="K2140" s="29">
        <v>0.98289565623980701</v>
      </c>
    </row>
    <row r="2141" spans="1:11" x14ac:dyDescent="0.35">
      <c r="A2141" s="9" t="str">
        <f>HYPERLINK("http://www.ensembl.org/id/WBGene00201259", "WBGene00201259")</f>
        <v>WBGene00201259</v>
      </c>
      <c r="B2141" s="9"/>
      <c r="C2141" s="9"/>
      <c r="D2141" t="str">
        <f>"F01E11.15"</f>
        <v>F01E11.15</v>
      </c>
      <c r="F2141" t="s">
        <v>481</v>
      </c>
      <c r="H2141" s="12">
        <v>-2.3838754719136599</v>
      </c>
      <c r="I2141" s="11">
        <v>-0.25807578497976902</v>
      </c>
      <c r="J2141" s="10">
        <v>0.79634841949468704</v>
      </c>
      <c r="K2141" s="29">
        <v>0.98289565623980701</v>
      </c>
    </row>
    <row r="2142" spans="1:11" x14ac:dyDescent="0.35">
      <c r="A2142" s="9" t="str">
        <f>HYPERLINK("http://www.ensembl.org/id/WBGene00017172", "WBGene00017172")</f>
        <v>WBGene00017172</v>
      </c>
      <c r="B2142" s="9" t="str">
        <f>HYPERLINK("http://www.ncbi.nlm.nih.gov/gene/184073", "184073")</f>
        <v>184073</v>
      </c>
      <c r="C2142" s="9"/>
      <c r="D2142" t="str">
        <f>"F02C9.1"</f>
        <v>F02C9.1</v>
      </c>
      <c r="F2142" t="s">
        <v>11</v>
      </c>
      <c r="G2142" t="s">
        <v>25</v>
      </c>
      <c r="H2142" s="12">
        <v>-2.3838754719136599</v>
      </c>
      <c r="I2142" s="11">
        <v>-0.25807578497976902</v>
      </c>
      <c r="J2142" s="10">
        <v>0.79634841949468704</v>
      </c>
      <c r="K2142" s="29">
        <v>0.98289565623980701</v>
      </c>
    </row>
    <row r="2143" spans="1:11" x14ac:dyDescent="0.35">
      <c r="A2143" s="9" t="str">
        <f>HYPERLINK("http://www.ensembl.org/id/WBGene00198852", "WBGene00198852")</f>
        <v>WBGene00198852</v>
      </c>
      <c r="B2143" s="9"/>
      <c r="C2143" s="9"/>
      <c r="D2143" t="str">
        <f>"F26F12.16"</f>
        <v>F26F12.16</v>
      </c>
      <c r="F2143" t="s">
        <v>481</v>
      </c>
      <c r="H2143" s="12">
        <v>-2.3838754719136599</v>
      </c>
      <c r="I2143" s="11">
        <v>-0.25807578497976902</v>
      </c>
      <c r="J2143" s="10">
        <v>0.79634841949468704</v>
      </c>
      <c r="K2143" s="29">
        <v>0.98289565623980701</v>
      </c>
    </row>
    <row r="2144" spans="1:11" x14ac:dyDescent="0.35">
      <c r="A2144" s="9" t="str">
        <f>HYPERLINK("http://www.ensembl.org/id/WBGene00197002", "WBGene00197002")</f>
        <v>WBGene00197002</v>
      </c>
      <c r="B2144" s="9"/>
      <c r="C2144" s="9"/>
      <c r="D2144" t="str">
        <f>"F33D4.12"</f>
        <v>F33D4.12</v>
      </c>
      <c r="F2144" t="s">
        <v>481</v>
      </c>
      <c r="H2144" s="12">
        <v>-2.3838754719136599</v>
      </c>
      <c r="I2144" s="11">
        <v>-0.25807578497976902</v>
      </c>
      <c r="J2144" s="10">
        <v>0.79634841949468704</v>
      </c>
      <c r="K2144" s="29">
        <v>0.98289565623980701</v>
      </c>
    </row>
    <row r="2145" spans="1:11" x14ac:dyDescent="0.35">
      <c r="A2145" s="9" t="str">
        <f>HYPERLINK("http://www.ensembl.org/id/WBGene00235280", "WBGene00235280")</f>
        <v>WBGene00235280</v>
      </c>
      <c r="B2145" s="9" t="str">
        <f>HYPERLINK("http://www.ncbi.nlm.nih.gov/gene/24104572", "24104572")</f>
        <v>24104572</v>
      </c>
      <c r="C2145" s="9"/>
      <c r="D2145" t="str">
        <f>"F42A9.17"</f>
        <v>F42A9.17</v>
      </c>
      <c r="F2145" t="s">
        <v>11</v>
      </c>
      <c r="H2145" s="12">
        <v>-2.3838754719136599</v>
      </c>
      <c r="I2145" s="11">
        <v>-0.25807578497976902</v>
      </c>
      <c r="J2145" s="10">
        <v>0.79634841949468704</v>
      </c>
      <c r="K2145" s="29">
        <v>0.98289565623980701</v>
      </c>
    </row>
    <row r="2146" spans="1:11" x14ac:dyDescent="0.35">
      <c r="A2146" s="9" t="str">
        <f>HYPERLINK("http://www.ensembl.org/id/WBGene00196370", "WBGene00196370")</f>
        <v>WBGene00196370</v>
      </c>
      <c r="B2146" s="9"/>
      <c r="C2146" s="9"/>
      <c r="D2146" t="str">
        <f>"F52B10.8"</f>
        <v>F52B10.8</v>
      </c>
      <c r="F2146" t="s">
        <v>481</v>
      </c>
      <c r="H2146" s="12">
        <v>-2.3838754719136599</v>
      </c>
      <c r="I2146" s="11">
        <v>-0.25807578497976902</v>
      </c>
      <c r="J2146" s="10">
        <v>0.79634841949468704</v>
      </c>
      <c r="K2146" s="29">
        <v>0.98289565623980701</v>
      </c>
    </row>
    <row r="2147" spans="1:11" x14ac:dyDescent="0.35">
      <c r="A2147" s="9" t="str">
        <f>HYPERLINK("http://www.ensembl.org/id/WBGene00197263", "WBGene00197263")</f>
        <v>WBGene00197263</v>
      </c>
      <c r="B2147" s="9"/>
      <c r="C2147" s="9"/>
      <c r="D2147" t="str">
        <f>"K02A11.7"</f>
        <v>K02A11.7</v>
      </c>
      <c r="F2147" t="s">
        <v>481</v>
      </c>
      <c r="H2147" s="12">
        <v>-2.3838754719136599</v>
      </c>
      <c r="I2147" s="11">
        <v>-0.25807578497976902</v>
      </c>
      <c r="J2147" s="10">
        <v>0.79634841949468704</v>
      </c>
      <c r="K2147" s="29">
        <v>0.98289565623980701</v>
      </c>
    </row>
    <row r="2148" spans="1:11" x14ac:dyDescent="0.35">
      <c r="A2148" s="9" t="str">
        <f>HYPERLINK("http://www.ensembl.org/id/WBGene00196127", "WBGene00196127")</f>
        <v>WBGene00196127</v>
      </c>
      <c r="B2148" s="9"/>
      <c r="C2148" s="9"/>
      <c r="D2148" t="str">
        <f>"K02E11.14"</f>
        <v>K02E11.14</v>
      </c>
      <c r="F2148" t="s">
        <v>481</v>
      </c>
      <c r="H2148" s="12">
        <v>-2.3838754719136599</v>
      </c>
      <c r="I2148" s="11">
        <v>-0.25807578497976902</v>
      </c>
      <c r="J2148" s="10">
        <v>0.79634841949468704</v>
      </c>
      <c r="K2148" s="29">
        <v>0.98289565623980701</v>
      </c>
    </row>
    <row r="2149" spans="1:11" x14ac:dyDescent="0.35">
      <c r="A2149" s="9" t="str">
        <f>HYPERLINK("http://www.ensembl.org/id/WBGene00201578", "WBGene00201578")</f>
        <v>WBGene00201578</v>
      </c>
      <c r="B2149" s="9"/>
      <c r="C2149" s="9"/>
      <c r="D2149" t="str">
        <f>"M04B2.12"</f>
        <v>M04B2.12</v>
      </c>
      <c r="F2149" t="s">
        <v>481</v>
      </c>
      <c r="H2149" s="12">
        <v>-2.3838754719136599</v>
      </c>
      <c r="I2149" s="11">
        <v>-0.25807578497976902</v>
      </c>
      <c r="J2149" s="10">
        <v>0.79634841949468704</v>
      </c>
      <c r="K2149" s="29">
        <v>0.98289565623980701</v>
      </c>
    </row>
    <row r="2150" spans="1:11" x14ac:dyDescent="0.35">
      <c r="A2150" s="9" t="str">
        <f>HYPERLINK("http://www.ensembl.org/id/WBGene00022689", "WBGene00022689")</f>
        <v>WBGene00022689</v>
      </c>
      <c r="B2150" s="9" t="str">
        <f>HYPERLINK("http://www.ncbi.nlm.nih.gov/gene/191261", "191261")</f>
        <v>191261</v>
      </c>
      <c r="C2150" s="9"/>
      <c r="D2150" t="str">
        <f>"math-48"</f>
        <v>math-48</v>
      </c>
      <c r="E2150" t="s">
        <v>596</v>
      </c>
      <c r="F2150" t="s">
        <v>11</v>
      </c>
      <c r="G2150" t="s">
        <v>54</v>
      </c>
      <c r="H2150" s="12">
        <v>-2.3838754719136599</v>
      </c>
      <c r="I2150" s="11">
        <v>-0.25807578497976902</v>
      </c>
      <c r="J2150" s="10">
        <v>0.79634841949468704</v>
      </c>
      <c r="K2150" s="29">
        <v>0.98289565623980701</v>
      </c>
    </row>
    <row r="2151" spans="1:11" x14ac:dyDescent="0.35">
      <c r="A2151" s="9" t="str">
        <f>HYPERLINK("http://www.ensembl.org/id/WBGene00015999", "WBGene00015999")</f>
        <v>WBGene00015999</v>
      </c>
      <c r="B2151" s="9" t="str">
        <f>HYPERLINK("http://www.ncbi.nlm.nih.gov/gene/182806", "182806")</f>
        <v>182806</v>
      </c>
      <c r="C2151" s="9"/>
      <c r="D2151" t="str">
        <f>"prmt-4"</f>
        <v>prmt-4</v>
      </c>
      <c r="E2151" t="s">
        <v>9747</v>
      </c>
      <c r="F2151" t="s">
        <v>11</v>
      </c>
      <c r="H2151" s="12">
        <v>-2.3838754719136599</v>
      </c>
      <c r="I2151" s="11">
        <v>-0.25807578497976902</v>
      </c>
      <c r="J2151" s="10">
        <v>0.79634841949468704</v>
      </c>
      <c r="K2151" s="29">
        <v>0.98289565623980701</v>
      </c>
    </row>
    <row r="2152" spans="1:11" x14ac:dyDescent="0.35">
      <c r="A2152" s="9" t="str">
        <f>HYPERLINK("http://www.ensembl.org/id/WBGene00014484", "WBGene00014484")</f>
        <v>WBGene00014484</v>
      </c>
      <c r="B2152" s="9"/>
      <c r="C2152" s="9"/>
      <c r="D2152" t="str">
        <f>"R07E5.16"</f>
        <v>R07E5.16</v>
      </c>
      <c r="F2152" t="s">
        <v>4205</v>
      </c>
      <c r="H2152" s="12">
        <v>-2.3838754719136599</v>
      </c>
      <c r="I2152" s="11">
        <v>-0.25807578497976902</v>
      </c>
      <c r="J2152" s="10">
        <v>0.79634841949468704</v>
      </c>
      <c r="K2152" s="29">
        <v>0.98289565623980701</v>
      </c>
    </row>
    <row r="2153" spans="1:11" x14ac:dyDescent="0.35">
      <c r="A2153" s="9" t="str">
        <f>HYPERLINK("http://www.ensembl.org/id/WBGene00012516", "WBGene00012516")</f>
        <v>WBGene00012516</v>
      </c>
      <c r="B2153" s="9" t="str">
        <f>HYPERLINK("http://www.ncbi.nlm.nih.gov/gene/189561", "189561")</f>
        <v>189561</v>
      </c>
      <c r="C2153" s="9"/>
      <c r="D2153" t="str">
        <f>"sqst-4"</f>
        <v>sqst-4</v>
      </c>
      <c r="E2153" t="s">
        <v>6795</v>
      </c>
      <c r="F2153" t="s">
        <v>11</v>
      </c>
      <c r="G2153" t="s">
        <v>7532</v>
      </c>
      <c r="H2153" s="12">
        <v>-2.3838754719136599</v>
      </c>
      <c r="I2153" s="11">
        <v>-0.25807578497976902</v>
      </c>
      <c r="J2153" s="10">
        <v>0.79634841949468704</v>
      </c>
      <c r="K2153" s="29">
        <v>0.98289565623980701</v>
      </c>
    </row>
    <row r="2154" spans="1:11" x14ac:dyDescent="0.35">
      <c r="A2154" s="9" t="str">
        <f>HYPERLINK("http://www.ensembl.org/id/WBGene00010020", "WBGene00010020")</f>
        <v>WBGene00010020</v>
      </c>
      <c r="B2154" s="9" t="str">
        <f>HYPERLINK("http://www.ncbi.nlm.nih.gov/gene/186203", "186203")</f>
        <v>186203</v>
      </c>
      <c r="C2154" s="9"/>
      <c r="D2154" t="str">
        <f>"srbc-48"</f>
        <v>srbc-48</v>
      </c>
      <c r="E2154" t="s">
        <v>3034</v>
      </c>
      <c r="F2154" t="s">
        <v>11</v>
      </c>
      <c r="G2154" t="s">
        <v>25</v>
      </c>
      <c r="H2154" s="12">
        <v>-2.3838754719136599</v>
      </c>
      <c r="I2154" s="11">
        <v>-0.25807578497976902</v>
      </c>
      <c r="J2154" s="10">
        <v>0.79634841949468704</v>
      </c>
      <c r="K2154" s="29">
        <v>0.98289565623980701</v>
      </c>
    </row>
    <row r="2155" spans="1:11" x14ac:dyDescent="0.35">
      <c r="A2155" s="9" t="str">
        <f>HYPERLINK("http://www.ensembl.org/id/WBGene00013624", "WBGene00013624")</f>
        <v>WBGene00013624</v>
      </c>
      <c r="B2155" s="9"/>
      <c r="C2155" s="9"/>
      <c r="D2155" t="str">
        <f>"srbc-80"</f>
        <v>srbc-80</v>
      </c>
      <c r="F2155" t="s">
        <v>80</v>
      </c>
      <c r="H2155" s="12">
        <v>-2.3838754719136599</v>
      </c>
      <c r="I2155" s="11">
        <v>-0.25807578497976902</v>
      </c>
      <c r="J2155" s="10">
        <v>0.79634841949468704</v>
      </c>
      <c r="K2155" s="29">
        <v>0.98289565623980701</v>
      </c>
    </row>
    <row r="2156" spans="1:11" x14ac:dyDescent="0.35">
      <c r="A2156" s="9" t="str">
        <f>HYPERLINK("http://www.ensembl.org/id/WBGene00005933", "WBGene00005933")</f>
        <v>WBGene00005933</v>
      </c>
      <c r="B2156" s="9" t="str">
        <f>HYPERLINK("http://www.ncbi.nlm.nih.gov/gene/182296", "182296")</f>
        <v>182296</v>
      </c>
      <c r="C2156" s="9"/>
      <c r="D2156" t="str">
        <f>"srx-42"</f>
        <v>srx-42</v>
      </c>
      <c r="E2156" t="s">
        <v>1477</v>
      </c>
      <c r="F2156" t="s">
        <v>11</v>
      </c>
      <c r="G2156" t="s">
        <v>25</v>
      </c>
      <c r="H2156" s="12">
        <v>-2.3838754719136599</v>
      </c>
      <c r="I2156" s="11">
        <v>-0.25807578497976902</v>
      </c>
      <c r="J2156" s="10">
        <v>0.79634841949468704</v>
      </c>
      <c r="K2156" s="29">
        <v>0.98289565623980701</v>
      </c>
    </row>
    <row r="2157" spans="1:11" x14ac:dyDescent="0.35">
      <c r="A2157" s="9" t="str">
        <f>HYPERLINK("http://www.ensembl.org/id/WBGene00194725", "WBGene00194725")</f>
        <v>WBGene00194725</v>
      </c>
      <c r="B2157" s="9" t="str">
        <f>HYPERLINK("http://www.ncbi.nlm.nih.gov/gene/13191038", "13191038")</f>
        <v>13191038</v>
      </c>
      <c r="C2157" s="9"/>
      <c r="D2157" t="str">
        <f>"T16H12.13"</f>
        <v>T16H12.13</v>
      </c>
      <c r="F2157" t="s">
        <v>11</v>
      </c>
      <c r="H2157" s="12">
        <v>-2.3838754719136599</v>
      </c>
      <c r="I2157" s="11">
        <v>-0.25807578497976902</v>
      </c>
      <c r="J2157" s="10">
        <v>0.79634841949468704</v>
      </c>
      <c r="K2157" s="29">
        <v>0.98289565623980701</v>
      </c>
    </row>
    <row r="2158" spans="1:11" x14ac:dyDescent="0.35">
      <c r="A2158" s="9" t="str">
        <f>HYPERLINK("http://www.ensembl.org/id/WBGene00201520", "WBGene00201520")</f>
        <v>WBGene00201520</v>
      </c>
      <c r="B2158" s="9"/>
      <c r="C2158" s="9"/>
      <c r="D2158" t="str">
        <f>"Y17G9A.89"</f>
        <v>Y17G9A.89</v>
      </c>
      <c r="F2158" t="s">
        <v>481</v>
      </c>
      <c r="H2158" s="12">
        <v>-2.3838754719136599</v>
      </c>
      <c r="I2158" s="11">
        <v>-0.25807578497976902</v>
      </c>
      <c r="J2158" s="10">
        <v>0.79634841949468704</v>
      </c>
      <c r="K2158" s="29">
        <v>0.98289565623980701</v>
      </c>
    </row>
    <row r="2159" spans="1:11" x14ac:dyDescent="0.35">
      <c r="A2159" s="9" t="str">
        <f>HYPERLINK("http://www.ensembl.org/id/WBGene00271653", "WBGene00271653")</f>
        <v>WBGene00271653</v>
      </c>
      <c r="B2159" s="9"/>
      <c r="C2159" s="9"/>
      <c r="D2159" t="str">
        <f>"Y47G6A.39"</f>
        <v>Y47G6A.39</v>
      </c>
      <c r="F2159" t="s">
        <v>481</v>
      </c>
      <c r="H2159" s="12">
        <v>-2.3838754719136599</v>
      </c>
      <c r="I2159" s="11">
        <v>-0.25807578497976902</v>
      </c>
      <c r="J2159" s="10">
        <v>0.79634841949468704</v>
      </c>
      <c r="K2159" s="29">
        <v>0.98289565623980701</v>
      </c>
    </row>
    <row r="2160" spans="1:11" x14ac:dyDescent="0.35">
      <c r="A2160" s="9" t="str">
        <f>HYPERLINK("http://www.ensembl.org/id/WBGene00021729", "WBGene00021729")</f>
        <v>WBGene00021729</v>
      </c>
      <c r="B2160" s="9" t="str">
        <f>HYPERLINK("http://www.ncbi.nlm.nih.gov/gene/190088", "190088")</f>
        <v>190088</v>
      </c>
      <c r="C2160" s="9"/>
      <c r="D2160" t="str">
        <f>"Y49F6C.7"</f>
        <v>Y49F6C.7</v>
      </c>
      <c r="F2160" t="s">
        <v>11</v>
      </c>
      <c r="H2160" s="12">
        <v>-2.3838754719136599</v>
      </c>
      <c r="I2160" s="11">
        <v>-0.25807578497976902</v>
      </c>
      <c r="J2160" s="10">
        <v>0.79634841949468704</v>
      </c>
      <c r="K2160" s="29">
        <v>0.98289565623980701</v>
      </c>
    </row>
    <row r="2161" spans="1:11" x14ac:dyDescent="0.35">
      <c r="A2161" s="9" t="str">
        <f>HYPERLINK("http://www.ensembl.org/id/WBGene00009606", "WBGene00009606")</f>
        <v>WBGene00009606</v>
      </c>
      <c r="B2161" s="9" t="str">
        <f>HYPERLINK("http://www.ncbi.nlm.nih.gov/gene/179928", "179928")</f>
        <v>179928</v>
      </c>
      <c r="C2161" s="9"/>
      <c r="D2161" t="str">
        <f>"F40G12.11"</f>
        <v>F40G12.11</v>
      </c>
      <c r="F2161" t="s">
        <v>11</v>
      </c>
      <c r="H2161" s="12">
        <v>-2.38225579005988</v>
      </c>
      <c r="I2161" s="11">
        <v>-3.7831080114554498</v>
      </c>
      <c r="J2161" s="10">
        <v>1.5488216208492899E-4</v>
      </c>
      <c r="K2161" s="29">
        <v>9.1527039312899391E-3</v>
      </c>
    </row>
    <row r="2162" spans="1:11" x14ac:dyDescent="0.35">
      <c r="A2162" s="9" t="str">
        <f>HYPERLINK("http://www.ensembl.org/id/WBGene00019247", "WBGene00019247")</f>
        <v>WBGene00019247</v>
      </c>
      <c r="B2162" s="9" t="str">
        <f>HYPERLINK("http://www.ncbi.nlm.nih.gov/gene/172411", "172411")</f>
        <v>172411</v>
      </c>
      <c r="C2162" s="9"/>
      <c r="D2162" t="str">
        <f>"syp-4"</f>
        <v>syp-4</v>
      </c>
      <c r="E2162" t="s">
        <v>316</v>
      </c>
      <c r="F2162" t="s">
        <v>11</v>
      </c>
      <c r="G2162" t="s">
        <v>317</v>
      </c>
      <c r="H2162" s="12">
        <v>-2.3777709632971402</v>
      </c>
      <c r="I2162" s="11">
        <v>-3.98527846649763</v>
      </c>
      <c r="J2162" s="10">
        <v>6.7401035037068394E-5</v>
      </c>
      <c r="K2162" s="29">
        <v>4.8393323811773796E-3</v>
      </c>
    </row>
    <row r="2163" spans="1:11" x14ac:dyDescent="0.35">
      <c r="A2163" s="9" t="str">
        <f>HYPERLINK("http://www.ensembl.org/id/WBGene00000169", "WBGene00000169")</f>
        <v>WBGene00000169</v>
      </c>
      <c r="B2163" s="9" t="str">
        <f>HYPERLINK("http://www.ncbi.nlm.nih.gov/gene/174190", "174190")</f>
        <v>174190</v>
      </c>
      <c r="C2163" s="9" t="str">
        <f>HYPERLINK("http://www.ncbi.nlm.nih.gov/gene/89872", "89872")</f>
        <v>89872</v>
      </c>
      <c r="D2163" t="str">
        <f>"aqp-1"</f>
        <v>aqp-1</v>
      </c>
      <c r="E2163" t="s">
        <v>379</v>
      </c>
      <c r="F2163" t="s">
        <v>11</v>
      </c>
      <c r="G2163" t="s">
        <v>380</v>
      </c>
      <c r="H2163" s="12">
        <v>-2.3768769253264601</v>
      </c>
      <c r="I2163" s="11">
        <v>-3.7798917762473501</v>
      </c>
      <c r="J2163" s="10">
        <v>1.5689653999955601E-4</v>
      </c>
      <c r="K2163" s="29">
        <v>9.2011458203800304E-3</v>
      </c>
    </row>
    <row r="2164" spans="1:11" x14ac:dyDescent="0.35">
      <c r="A2164" s="9" t="str">
        <f>HYPERLINK("http://www.ensembl.org/id/WBGene00000784", "WBGene00000784")</f>
        <v>WBGene00000784</v>
      </c>
      <c r="B2164" s="9" t="str">
        <f>HYPERLINK("http://www.ncbi.nlm.nih.gov/gene/179053", "179053")</f>
        <v>179053</v>
      </c>
      <c r="C2164" s="9"/>
      <c r="D2164" t="str">
        <f>"cpr-4"</f>
        <v>cpr-4</v>
      </c>
      <c r="E2164" t="s">
        <v>200</v>
      </c>
      <c r="F2164" t="s">
        <v>11</v>
      </c>
      <c r="G2164" t="s">
        <v>187</v>
      </c>
      <c r="H2164" s="12">
        <v>-2.37636728672845</v>
      </c>
      <c r="I2164" s="11">
        <v>-4.5745337805945496</v>
      </c>
      <c r="J2164" s="10">
        <v>4.7728159941730502E-6</v>
      </c>
      <c r="K2164" s="29">
        <v>5.7738579246786599E-4</v>
      </c>
    </row>
    <row r="2165" spans="1:11" x14ac:dyDescent="0.35">
      <c r="A2165" s="9" t="str">
        <f>HYPERLINK("http://www.ensembl.org/id/WBGene00003096", "WBGene00003096")</f>
        <v>WBGene00003096</v>
      </c>
      <c r="B2165" s="9" t="str">
        <f>HYPERLINK("http://www.ncbi.nlm.nih.gov/gene/178772", "178772")</f>
        <v>178772</v>
      </c>
      <c r="C2165" s="9"/>
      <c r="D2165" t="str">
        <f>"lys-7"</f>
        <v>lys-7</v>
      </c>
      <c r="E2165" t="s">
        <v>201</v>
      </c>
      <c r="F2165" t="s">
        <v>11</v>
      </c>
      <c r="G2165" t="s">
        <v>202</v>
      </c>
      <c r="H2165" s="12">
        <v>-2.3732769182847999</v>
      </c>
      <c r="I2165" s="11">
        <v>-4.5703202242995804</v>
      </c>
      <c r="J2165" s="10">
        <v>4.8697952018796101E-6</v>
      </c>
      <c r="K2165" s="29">
        <v>5.8604941632619905E-4</v>
      </c>
    </row>
    <row r="2166" spans="1:11" x14ac:dyDescent="0.35">
      <c r="A2166" s="9" t="str">
        <f>HYPERLINK("http://www.ensembl.org/id/WBGene00008061", "WBGene00008061")</f>
        <v>WBGene00008061</v>
      </c>
      <c r="B2166" s="9" t="str">
        <f>HYPERLINK("http://www.ncbi.nlm.nih.gov/gene/172786", "172786")</f>
        <v>172786</v>
      </c>
      <c r="C2166" s="9"/>
      <c r="D2166" t="str">
        <f>"C41G7.3"</f>
        <v>C41G7.3</v>
      </c>
      <c r="F2166" t="s">
        <v>11</v>
      </c>
      <c r="G2166" t="s">
        <v>413</v>
      </c>
      <c r="H2166" s="12">
        <v>-2.3730790160448501</v>
      </c>
      <c r="I2166" s="11">
        <v>-3.6536317530465401</v>
      </c>
      <c r="J2166" s="10">
        <v>2.58557018112566E-4</v>
      </c>
      <c r="K2166" s="29">
        <v>1.3710484944683301E-2</v>
      </c>
    </row>
    <row r="2167" spans="1:11" x14ac:dyDescent="0.35">
      <c r="A2167" s="9" t="str">
        <f>HYPERLINK("http://www.ensembl.org/id/WBGene00197930", "WBGene00197930")</f>
        <v>WBGene00197930</v>
      </c>
      <c r="B2167" s="9"/>
      <c r="C2167" s="9"/>
      <c r="D2167" t="str">
        <f>"T06H11.11"</f>
        <v>T06H11.11</v>
      </c>
      <c r="F2167" t="s">
        <v>481</v>
      </c>
      <c r="H2167" s="12">
        <v>-2.3724078966155999</v>
      </c>
      <c r="I2167" s="11">
        <v>-0.54125732949135696</v>
      </c>
      <c r="J2167" s="10">
        <v>0.58833022727051498</v>
      </c>
      <c r="K2167" s="29">
        <v>0.98289565623980701</v>
      </c>
    </row>
    <row r="2168" spans="1:11" x14ac:dyDescent="0.35">
      <c r="A2168" s="9" t="str">
        <f>HYPERLINK("http://www.ensembl.org/id/WBGene00170830", "WBGene00170830")</f>
        <v>WBGene00170830</v>
      </c>
      <c r="B2168" s="9"/>
      <c r="C2168" s="9"/>
      <c r="D2168" t="str">
        <f>"21ur-14549"</f>
        <v>21ur-14549</v>
      </c>
      <c r="F2168" t="s">
        <v>3161</v>
      </c>
      <c r="H2168" s="12">
        <v>-2.3721331589850401</v>
      </c>
      <c r="I2168" s="11">
        <v>-0.30165476308262501</v>
      </c>
      <c r="J2168" s="10">
        <v>0.76291525649121905</v>
      </c>
      <c r="K2168" s="29">
        <v>0.98289565623980701</v>
      </c>
    </row>
    <row r="2169" spans="1:11" x14ac:dyDescent="0.35">
      <c r="A2169" s="9" t="str">
        <f>HYPERLINK("http://www.ensembl.org/id/WBGene00201571", "WBGene00201571")</f>
        <v>WBGene00201571</v>
      </c>
      <c r="B2169" s="9"/>
      <c r="C2169" s="9"/>
      <c r="D2169" t="str">
        <f>"C34F11.18"</f>
        <v>C34F11.18</v>
      </c>
      <c r="F2169" t="s">
        <v>481</v>
      </c>
      <c r="H2169" s="12">
        <v>-2.3700125250522901</v>
      </c>
      <c r="I2169" s="11">
        <v>-0.29053697296179998</v>
      </c>
      <c r="J2169" s="10">
        <v>0.77140546964177203</v>
      </c>
      <c r="K2169" s="29">
        <v>0.98289565623980701</v>
      </c>
    </row>
    <row r="2170" spans="1:11" x14ac:dyDescent="0.35">
      <c r="A2170" s="9" t="str">
        <f>HYPERLINK("http://www.ensembl.org/id/WBGene00011160", "WBGene00011160")</f>
        <v>WBGene00011160</v>
      </c>
      <c r="B2170" s="9"/>
      <c r="C2170" s="9"/>
      <c r="D2170" t="str">
        <f>"R09D1.4"</f>
        <v>R09D1.4</v>
      </c>
      <c r="F2170" t="s">
        <v>80</v>
      </c>
      <c r="H2170" s="12">
        <v>-2.3700125250522901</v>
      </c>
      <c r="I2170" s="11">
        <v>-0.29053697296179998</v>
      </c>
      <c r="J2170" s="10">
        <v>0.77140546964177203</v>
      </c>
      <c r="K2170" s="29">
        <v>0.98289565623980701</v>
      </c>
    </row>
    <row r="2171" spans="1:11" x14ac:dyDescent="0.35">
      <c r="A2171" s="9" t="str">
        <f>HYPERLINK("http://www.ensembl.org/id/WBGene00004838", "WBGene00004838")</f>
        <v>WBGene00004838</v>
      </c>
      <c r="B2171" s="9"/>
      <c r="C2171" s="9"/>
      <c r="D2171" t="str">
        <f>"sls-2.6"</f>
        <v>sls-2.6</v>
      </c>
      <c r="F2171" t="s">
        <v>4205</v>
      </c>
      <c r="H2171" s="12">
        <v>-2.3700125250522901</v>
      </c>
      <c r="I2171" s="11">
        <v>-0.29053697296179998</v>
      </c>
      <c r="J2171" s="10">
        <v>0.77140546964177203</v>
      </c>
      <c r="K2171" s="29">
        <v>0.98289565623980701</v>
      </c>
    </row>
    <row r="2172" spans="1:11" x14ac:dyDescent="0.35">
      <c r="A2172" s="9" t="str">
        <f>HYPERLINK("http://www.ensembl.org/id/WBGene00220237", "WBGene00220237")</f>
        <v>WBGene00220237</v>
      </c>
      <c r="B2172" s="9"/>
      <c r="C2172" s="9"/>
      <c r="D2172" t="str">
        <f>"ZK20.10"</f>
        <v>ZK20.10</v>
      </c>
      <c r="F2172" t="s">
        <v>481</v>
      </c>
      <c r="H2172" s="12">
        <v>-2.3700125250522901</v>
      </c>
      <c r="I2172" s="11">
        <v>-0.29053697296179998</v>
      </c>
      <c r="J2172" s="10">
        <v>0.77140546964177203</v>
      </c>
      <c r="K2172" s="29">
        <v>0.98289565623980701</v>
      </c>
    </row>
    <row r="2173" spans="1:11" x14ac:dyDescent="0.35">
      <c r="A2173" s="9" t="str">
        <f>HYPERLINK("http://www.ensembl.org/id/WBGene00021465", "WBGene00021465")</f>
        <v>WBGene00021465</v>
      </c>
      <c r="B2173" s="9" t="str">
        <f>HYPERLINK("http://www.ncbi.nlm.nih.gov/gene/189772", "189772")</f>
        <v>189772</v>
      </c>
      <c r="C2173" s="9"/>
      <c r="D2173" t="str">
        <f>"ekl-7"</f>
        <v>ekl-7</v>
      </c>
      <c r="F2173" t="s">
        <v>11</v>
      </c>
      <c r="H2173" s="12">
        <v>-2.3686324668418801</v>
      </c>
      <c r="I2173" s="11">
        <v>-2.98939564875166</v>
      </c>
      <c r="J2173" s="10">
        <v>2.7952991093636E-3</v>
      </c>
      <c r="K2173" s="29">
        <v>8.1140931182104595E-2</v>
      </c>
    </row>
    <row r="2174" spans="1:11" x14ac:dyDescent="0.35">
      <c r="A2174" s="9" t="str">
        <f>HYPERLINK("http://www.ensembl.org/id/WBGene00013979", "WBGene00013979")</f>
        <v>WBGene00013979</v>
      </c>
      <c r="B2174" s="9" t="str">
        <f>HYPERLINK("http://www.ncbi.nlm.nih.gov/gene/191337", "191337")</f>
        <v>191337</v>
      </c>
      <c r="C2174" s="9"/>
      <c r="D2174" t="str">
        <f>"ZK507.3"</f>
        <v>ZK507.3</v>
      </c>
      <c r="E2174" t="s">
        <v>10049</v>
      </c>
      <c r="F2174" t="s">
        <v>11</v>
      </c>
      <c r="G2174" t="s">
        <v>4237</v>
      </c>
      <c r="H2174" s="12">
        <v>-2.36861232895316</v>
      </c>
      <c r="I2174" s="11">
        <v>-0.77815429822016902</v>
      </c>
      <c r="J2174" s="10">
        <v>0.43647805557945302</v>
      </c>
      <c r="K2174" s="29">
        <v>0.98289565623980701</v>
      </c>
    </row>
    <row r="2175" spans="1:11" x14ac:dyDescent="0.35">
      <c r="A2175" s="9" t="str">
        <f>HYPERLINK("http://www.ensembl.org/id/WBGene00016596", "WBGene00016596")</f>
        <v>WBGene00016596</v>
      </c>
      <c r="B2175" s="9" t="str">
        <f>HYPERLINK("http://www.ncbi.nlm.nih.gov/gene/177492", "177492")</f>
        <v>177492</v>
      </c>
      <c r="C2175" s="9"/>
      <c r="D2175" t="str">
        <f>"C42D4.3"</f>
        <v>C42D4.3</v>
      </c>
      <c r="F2175" t="s">
        <v>11</v>
      </c>
      <c r="H2175" s="12">
        <v>-2.3675154356079999</v>
      </c>
      <c r="I2175" s="11">
        <v>-2.0535731317536601</v>
      </c>
      <c r="J2175" s="10">
        <v>4.0017024843976297E-2</v>
      </c>
      <c r="K2175" s="29">
        <v>0.46139390022201399</v>
      </c>
    </row>
    <row r="2176" spans="1:11" x14ac:dyDescent="0.35">
      <c r="A2176" s="9" t="str">
        <f>HYPERLINK("http://www.ensembl.org/id/WBGene00016824", "WBGene00016824")</f>
        <v>WBGene00016824</v>
      </c>
      <c r="B2176" s="9" t="str">
        <f>HYPERLINK("http://www.ncbi.nlm.nih.gov/gene/179145", "179145")</f>
        <v>179145</v>
      </c>
      <c r="C2176" s="9"/>
      <c r="D2176" t="str">
        <f>"C50E3.13"</f>
        <v>C50E3.13</v>
      </c>
      <c r="F2176" t="s">
        <v>11</v>
      </c>
      <c r="H2176" s="12">
        <v>-2.3671801672897899</v>
      </c>
      <c r="I2176" s="11">
        <v>-3.3255878763597999</v>
      </c>
      <c r="J2176" s="10">
        <v>8.8232282072102505E-4</v>
      </c>
      <c r="K2176" s="29">
        <v>3.53326708762218E-2</v>
      </c>
    </row>
    <row r="2177" spans="1:11" x14ac:dyDescent="0.35">
      <c r="A2177" s="9" t="str">
        <f>HYPERLINK("http://www.ensembl.org/id/WBGene00000144", "WBGene00000144")</f>
        <v>WBGene00000144</v>
      </c>
      <c r="B2177" s="9" t="str">
        <f>HYPERLINK("http://www.ncbi.nlm.nih.gov/gene/179454", "179454")</f>
        <v>179454</v>
      </c>
      <c r="C2177" s="9"/>
      <c r="D2177" t="str">
        <f>"apc-10"</f>
        <v>apc-10</v>
      </c>
      <c r="E2177" t="s">
        <v>762</v>
      </c>
      <c r="F2177" t="s">
        <v>11</v>
      </c>
      <c r="G2177" t="s">
        <v>763</v>
      </c>
      <c r="H2177" s="12">
        <v>-2.3652708743141702</v>
      </c>
      <c r="I2177" s="11">
        <v>-2.88069155037021</v>
      </c>
      <c r="J2177" s="10">
        <v>3.9680375532563997E-3</v>
      </c>
      <c r="K2177" s="29">
        <v>0.104306570768535</v>
      </c>
    </row>
    <row r="2178" spans="1:11" x14ac:dyDescent="0.35">
      <c r="A2178" s="9" t="str">
        <f>HYPERLINK("http://www.ensembl.org/id/WBGene00015591", "WBGene00015591")</f>
        <v>WBGene00015591</v>
      </c>
      <c r="B2178" s="9" t="str">
        <f>HYPERLINK("http://www.ncbi.nlm.nih.gov/gene/176092", "176092")</f>
        <v>176092</v>
      </c>
      <c r="C2178" s="9"/>
      <c r="D2178" t="str">
        <f>"cyk-7"</f>
        <v>cyk-7</v>
      </c>
      <c r="E2178" t="s">
        <v>328</v>
      </c>
      <c r="F2178" t="s">
        <v>11</v>
      </c>
      <c r="G2178" t="s">
        <v>54</v>
      </c>
      <c r="H2178" s="12">
        <v>-2.3650633032639301</v>
      </c>
      <c r="I2178" s="11">
        <v>-3.94152493848661</v>
      </c>
      <c r="J2178" s="10">
        <v>8.0965215000277206E-5</v>
      </c>
      <c r="K2178" s="29">
        <v>5.6179647381273401E-3</v>
      </c>
    </row>
    <row r="2179" spans="1:11" x14ac:dyDescent="0.35">
      <c r="A2179" s="9" t="str">
        <f>HYPERLINK("http://www.ensembl.org/id/WBGene00017910", "WBGene00017910")</f>
        <v>WBGene00017910</v>
      </c>
      <c r="B2179" s="9" t="str">
        <f>HYPERLINK("http://www.ncbi.nlm.nih.gov/gene/185085", "185085")</f>
        <v>185085</v>
      </c>
      <c r="C2179" s="9"/>
      <c r="D2179" t="str">
        <f>"F28H1.5"</f>
        <v>F28H1.5</v>
      </c>
      <c r="F2179" t="s">
        <v>11</v>
      </c>
      <c r="H2179" s="12">
        <v>-2.3631095939022599</v>
      </c>
      <c r="I2179" s="11">
        <v>-0.37688792245729402</v>
      </c>
      <c r="J2179" s="10">
        <v>0.70625689722512397</v>
      </c>
      <c r="K2179" s="29">
        <v>0.98289565623980701</v>
      </c>
    </row>
    <row r="2180" spans="1:11" x14ac:dyDescent="0.35">
      <c r="A2180" s="9" t="str">
        <f>HYPERLINK("http://www.ensembl.org/id/WBGene00019533", "WBGene00019533")</f>
        <v>WBGene00019533</v>
      </c>
      <c r="B2180" s="9" t="str">
        <f>HYPERLINK("http://www.ncbi.nlm.nih.gov/gene/187154", "187154")</f>
        <v>187154</v>
      </c>
      <c r="C2180" s="9"/>
      <c r="D2180" t="str">
        <f>"K08D10.10"</f>
        <v>K08D10.10</v>
      </c>
      <c r="F2180" t="s">
        <v>11</v>
      </c>
      <c r="H2180" s="12">
        <v>-2.3631095939022599</v>
      </c>
      <c r="I2180" s="11">
        <v>-0.37688792245729402</v>
      </c>
      <c r="J2180" s="10">
        <v>0.70625689722512397</v>
      </c>
      <c r="K2180" s="29">
        <v>0.98289565623980701</v>
      </c>
    </row>
    <row r="2181" spans="1:11" x14ac:dyDescent="0.35">
      <c r="A2181" s="9" t="str">
        <f>HYPERLINK("http://www.ensembl.org/id/WBGene00020684", "WBGene00020684")</f>
        <v>WBGene00020684</v>
      </c>
      <c r="B2181" s="9" t="str">
        <f>HYPERLINK("http://www.ncbi.nlm.nih.gov/gene/177454", "177454")</f>
        <v>177454</v>
      </c>
      <c r="C2181" s="9"/>
      <c r="D2181" t="str">
        <f>"T22D1.5"</f>
        <v>T22D1.5</v>
      </c>
      <c r="F2181" t="s">
        <v>11</v>
      </c>
      <c r="G2181" t="s">
        <v>215</v>
      </c>
      <c r="H2181" s="12">
        <v>-2.3621414168183099</v>
      </c>
      <c r="I2181" s="11">
        <v>-4.4685760061902302</v>
      </c>
      <c r="J2181" s="10">
        <v>7.8742033859586497E-6</v>
      </c>
      <c r="K2181" s="29">
        <v>8.5860417384759204E-4</v>
      </c>
    </row>
    <row r="2182" spans="1:11" x14ac:dyDescent="0.35">
      <c r="A2182" s="9" t="str">
        <f>HYPERLINK("http://www.ensembl.org/id/WBGene00020393", "WBGene00020393")</f>
        <v>WBGene00020393</v>
      </c>
      <c r="B2182" s="9" t="str">
        <f>HYPERLINK("http://www.ncbi.nlm.nih.gov/gene/178665", "178665")</f>
        <v>178665</v>
      </c>
      <c r="C2182" s="9"/>
      <c r="D2182" t="str">
        <f>"T10B5.7"</f>
        <v>T10B5.7</v>
      </c>
      <c r="F2182" t="s">
        <v>11</v>
      </c>
      <c r="G2182" t="s">
        <v>29</v>
      </c>
      <c r="H2182" s="12">
        <v>-2.3614412420118698</v>
      </c>
      <c r="I2182" s="11">
        <v>-3.5125552727435601</v>
      </c>
      <c r="J2182" s="10">
        <v>4.4381967911502802E-4</v>
      </c>
      <c r="K2182" s="29">
        <v>2.0885738300675801E-2</v>
      </c>
    </row>
    <row r="2183" spans="1:11" x14ac:dyDescent="0.35">
      <c r="A2183" s="9" t="str">
        <f>HYPERLINK("http://www.ensembl.org/id/WBGene00003413", "WBGene00003413")</f>
        <v>WBGene00003413</v>
      </c>
      <c r="B2183" s="9" t="str">
        <f>HYPERLINK("http://www.ncbi.nlm.nih.gov/gene/180289", "180289")</f>
        <v>180289</v>
      </c>
      <c r="C2183" s="9" t="str">
        <f>HYPERLINK("http://www.ncbi.nlm.nih.gov/gene/8714", "8714")</f>
        <v>8714</v>
      </c>
      <c r="D2183" t="str">
        <f>"mrp-7"</f>
        <v>mrp-7</v>
      </c>
      <c r="F2183" t="s">
        <v>11</v>
      </c>
      <c r="G2183" t="s">
        <v>225</v>
      </c>
      <c r="H2183" s="12">
        <v>-2.35970395279177</v>
      </c>
      <c r="I2183" s="11">
        <v>-4.4302350773413899</v>
      </c>
      <c r="J2183" s="10">
        <v>9.4130421013077199E-6</v>
      </c>
      <c r="K2183" s="29">
        <v>9.9085490178571294E-4</v>
      </c>
    </row>
    <row r="2184" spans="1:11" x14ac:dyDescent="0.35">
      <c r="A2184" s="9" t="str">
        <f>HYPERLINK("http://www.ensembl.org/id/WBGene00020834", "WBGene00020834")</f>
        <v>WBGene00020834</v>
      </c>
      <c r="B2184" s="9" t="str">
        <f>HYPERLINK("http://www.ncbi.nlm.nih.gov/gene/188963", "188963")</f>
        <v>188963</v>
      </c>
      <c r="C2184" s="9"/>
      <c r="D2184" t="str">
        <f>"T27A1.2"</f>
        <v>T27A1.2</v>
      </c>
      <c r="F2184" t="s">
        <v>11</v>
      </c>
      <c r="H2184" s="12">
        <v>-2.3590713288501899</v>
      </c>
      <c r="I2184" s="11">
        <v>-2.19939340481764</v>
      </c>
      <c r="J2184" s="10">
        <v>2.7849961188297401E-2</v>
      </c>
      <c r="K2184" s="29">
        <v>0.37258671819880401</v>
      </c>
    </row>
    <row r="2185" spans="1:11" x14ac:dyDescent="0.35">
      <c r="A2185" s="9" t="str">
        <f>HYPERLINK("http://www.ensembl.org/id/WBGene00018806", "WBGene00018806")</f>
        <v>WBGene00018806</v>
      </c>
      <c r="B2185" s="9" t="str">
        <f>HYPERLINK("http://www.ncbi.nlm.nih.gov/gene/173724", "173724")</f>
        <v>173724</v>
      </c>
      <c r="C2185" s="9"/>
      <c r="D2185" t="str">
        <f>"F54D10.5"</f>
        <v>F54D10.5</v>
      </c>
      <c r="F2185" t="s">
        <v>11</v>
      </c>
      <c r="H2185" s="12">
        <v>-2.3573482174531799</v>
      </c>
      <c r="I2185" s="11">
        <v>-3.4161350214997199</v>
      </c>
      <c r="J2185" s="10">
        <v>6.3516744889323504E-4</v>
      </c>
      <c r="K2185" s="29">
        <v>2.7432110418929099E-2</v>
      </c>
    </row>
    <row r="2186" spans="1:11" x14ac:dyDescent="0.35">
      <c r="A2186" s="9" t="str">
        <f>HYPERLINK("http://www.ensembl.org/id/WBGene00007808", "WBGene00007808")</f>
        <v>WBGene00007808</v>
      </c>
      <c r="B2186" s="9" t="str">
        <f>HYPERLINK("http://www.ncbi.nlm.nih.gov/gene/178030", "178030")</f>
        <v>178030</v>
      </c>
      <c r="C2186" s="9"/>
      <c r="D2186" t="str">
        <f>"best-7"</f>
        <v>best-7</v>
      </c>
      <c r="E2186" t="s">
        <v>1526</v>
      </c>
      <c r="F2186" t="s">
        <v>11</v>
      </c>
      <c r="G2186" t="s">
        <v>1527</v>
      </c>
      <c r="H2186" s="12">
        <v>-2.3573211024662601</v>
      </c>
      <c r="I2186" s="11">
        <v>-2.1275015625820002</v>
      </c>
      <c r="J2186" s="10">
        <v>3.3378431620487897E-2</v>
      </c>
      <c r="K2186" s="29">
        <v>0.41536460405044801</v>
      </c>
    </row>
    <row r="2187" spans="1:11" x14ac:dyDescent="0.35">
      <c r="A2187" s="9" t="str">
        <f>HYPERLINK("http://www.ensembl.org/id/WBGene00022838", "WBGene00022838")</f>
        <v>WBGene00022838</v>
      </c>
      <c r="B2187" s="9" t="str">
        <f>HYPERLINK("http://www.ncbi.nlm.nih.gov/gene/191481", "191481")</f>
        <v>191481</v>
      </c>
      <c r="C2187" s="9"/>
      <c r="D2187" t="str">
        <f>"ZK993.2"</f>
        <v>ZK993.2</v>
      </c>
      <c r="F2187" t="s">
        <v>11</v>
      </c>
      <c r="H2187" s="12">
        <v>-2.3558424838283401</v>
      </c>
      <c r="I2187" s="11">
        <v>-0.87600100996091401</v>
      </c>
      <c r="J2187" s="10">
        <v>0.38102948472891401</v>
      </c>
      <c r="K2187" s="29">
        <v>0.98289565623980701</v>
      </c>
    </row>
    <row r="2188" spans="1:11" x14ac:dyDescent="0.35">
      <c r="A2188" s="9" t="str">
        <f>HYPERLINK("http://www.ensembl.org/id/WBGene00044261", "WBGene00044261")</f>
        <v>WBGene00044261</v>
      </c>
      <c r="B2188" s="9" t="str">
        <f>HYPERLINK("http://www.ncbi.nlm.nih.gov/gene/3565705", "3565705")</f>
        <v>3565705</v>
      </c>
      <c r="C2188" s="9"/>
      <c r="D2188" t="str">
        <f>"Y87G2A.20"</f>
        <v>Y87G2A.20</v>
      </c>
      <c r="F2188" t="s">
        <v>11</v>
      </c>
      <c r="H2188" s="12">
        <v>-2.3556599569054701</v>
      </c>
      <c r="I2188" s="11">
        <v>-0.53573707426066197</v>
      </c>
      <c r="J2188" s="10">
        <v>0.59214027693472904</v>
      </c>
      <c r="K2188" s="29">
        <v>0.98289565623980701</v>
      </c>
    </row>
    <row r="2189" spans="1:11" x14ac:dyDescent="0.35">
      <c r="A2189" s="9" t="str">
        <f>HYPERLINK("http://www.ensembl.org/id/WBGene00019675", "WBGene00019675")</f>
        <v>WBGene00019675</v>
      </c>
      <c r="B2189" s="9" t="str">
        <f>HYPERLINK("http://www.ncbi.nlm.nih.gov/gene/187323", "187323")</f>
        <v>187323</v>
      </c>
      <c r="C2189" s="9"/>
      <c r="D2189" t="str">
        <f>"K12D9.1"</f>
        <v>K12D9.1</v>
      </c>
      <c r="F2189" t="s">
        <v>11</v>
      </c>
      <c r="H2189" s="12">
        <v>-2.3544457791943398</v>
      </c>
      <c r="I2189" s="11">
        <v>-0.64929135992457798</v>
      </c>
      <c r="J2189" s="10">
        <v>0.51615006932594998</v>
      </c>
      <c r="K2189" s="29">
        <v>0.98289565623980701</v>
      </c>
    </row>
    <row r="2190" spans="1:11" x14ac:dyDescent="0.35">
      <c r="A2190" s="9" t="str">
        <f>HYPERLINK("http://www.ensembl.org/id/WBGene00007795", "WBGene00007795")</f>
        <v>WBGene00007795</v>
      </c>
      <c r="B2190" s="9" t="str">
        <f>HYPERLINK("http://www.ncbi.nlm.nih.gov/gene/182983", "182983")</f>
        <v>182983</v>
      </c>
      <c r="C2190" s="9"/>
      <c r="D2190" t="str">
        <f>"C28D4.8"</f>
        <v>C28D4.8</v>
      </c>
      <c r="F2190" t="s">
        <v>11</v>
      </c>
      <c r="H2190" s="12">
        <v>-2.3542308389442299</v>
      </c>
      <c r="I2190" s="11">
        <v>-0.28969954807757697</v>
      </c>
      <c r="J2190" s="10">
        <v>0.77204610208903102</v>
      </c>
      <c r="K2190" s="29">
        <v>0.98289565623980701</v>
      </c>
    </row>
    <row r="2191" spans="1:11" x14ac:dyDescent="0.35">
      <c r="A2191" s="9" t="str">
        <f>HYPERLINK("http://www.ensembl.org/id/WBGene00020755", "WBGene00020755")</f>
        <v>WBGene00020755</v>
      </c>
      <c r="B2191" s="9" t="str">
        <f>HYPERLINK("http://www.ncbi.nlm.nih.gov/gene/188836", "188836")</f>
        <v>188836</v>
      </c>
      <c r="C2191" s="9"/>
      <c r="D2191" t="str">
        <f>"grl-31"</f>
        <v>grl-31</v>
      </c>
      <c r="E2191" t="s">
        <v>353</v>
      </c>
      <c r="F2191" t="s">
        <v>11</v>
      </c>
      <c r="H2191" s="12">
        <v>-2.3542308389442299</v>
      </c>
      <c r="I2191" s="11">
        <v>-0.28969954807757697</v>
      </c>
      <c r="J2191" s="10">
        <v>0.77204610208903102</v>
      </c>
      <c r="K2191" s="29">
        <v>0.98289565623980701</v>
      </c>
    </row>
    <row r="2192" spans="1:11" x14ac:dyDescent="0.35">
      <c r="A2192" s="9" t="str">
        <f>HYPERLINK("http://www.ensembl.org/id/WBGene00019026", "WBGene00019026")</f>
        <v>WBGene00019026</v>
      </c>
      <c r="B2192" s="9" t="str">
        <f>HYPERLINK("http://www.ncbi.nlm.nih.gov/gene/173885", "173885")</f>
        <v>173885</v>
      </c>
      <c r="C2192" s="9"/>
      <c r="D2192" t="str">
        <f>"F58A6.9"</f>
        <v>F58A6.9</v>
      </c>
      <c r="E2192" t="s">
        <v>4271</v>
      </c>
      <c r="F2192" t="s">
        <v>11</v>
      </c>
      <c r="H2192" s="12">
        <v>-2.3523591058667499</v>
      </c>
      <c r="I2192" s="11">
        <v>-0.91930601712545701</v>
      </c>
      <c r="J2192" s="10">
        <v>0.35793553143268603</v>
      </c>
      <c r="K2192" s="29">
        <v>0.98289565623980701</v>
      </c>
    </row>
    <row r="2193" spans="1:11" x14ac:dyDescent="0.35">
      <c r="A2193" s="9" t="str">
        <f>HYPERLINK("http://www.ensembl.org/id/WBGene00219697", "WBGene00219697")</f>
        <v>WBGene00219697</v>
      </c>
      <c r="B2193" s="9"/>
      <c r="C2193" s="9"/>
      <c r="D2193" t="str">
        <f>"linc-169"</f>
        <v>linc-169</v>
      </c>
      <c r="F2193" t="s">
        <v>1510</v>
      </c>
      <c r="H2193" s="12">
        <v>-2.3516671637483699</v>
      </c>
      <c r="I2193" s="11">
        <v>-0.56693878388743602</v>
      </c>
      <c r="J2193" s="10">
        <v>0.57075577295400703</v>
      </c>
      <c r="K2193" s="29">
        <v>0.98289565623980701</v>
      </c>
    </row>
    <row r="2194" spans="1:11" x14ac:dyDescent="0.35">
      <c r="A2194" s="9" t="str">
        <f>HYPERLINK("http://www.ensembl.org/id/WBGene00044898", "WBGene00044898")</f>
        <v>WBGene00044898</v>
      </c>
      <c r="B2194" s="9" t="str">
        <f>HYPERLINK("http://www.ncbi.nlm.nih.gov/gene/4926916", "4926916")</f>
        <v>4926916</v>
      </c>
      <c r="C2194" s="9"/>
      <c r="D2194" t="str">
        <f>"let-383"</f>
        <v>let-383</v>
      </c>
      <c r="F2194" t="s">
        <v>11</v>
      </c>
      <c r="H2194" s="12">
        <v>-2.3496232385998801</v>
      </c>
      <c r="I2194" s="11">
        <v>-1.60566786397301</v>
      </c>
      <c r="J2194" s="10">
        <v>0.108346905759395</v>
      </c>
      <c r="K2194" s="29">
        <v>0.75770690208129099</v>
      </c>
    </row>
    <row r="2195" spans="1:11" x14ac:dyDescent="0.35">
      <c r="A2195" s="9" t="str">
        <f>HYPERLINK("http://www.ensembl.org/id/WBGene00005817", "WBGene00005817")</f>
        <v>WBGene00005817</v>
      </c>
      <c r="B2195" s="9"/>
      <c r="C2195" s="9"/>
      <c r="D2195" t="str">
        <f>"srw-70"</f>
        <v>srw-70</v>
      </c>
      <c r="F2195" t="s">
        <v>80</v>
      </c>
      <c r="H2195" s="12">
        <v>-2.3480827600531602</v>
      </c>
      <c r="I2195" s="11">
        <v>-0.978031570299704</v>
      </c>
      <c r="J2195" s="10">
        <v>0.328058710083237</v>
      </c>
      <c r="K2195" s="29">
        <v>0.98289565623980701</v>
      </c>
    </row>
    <row r="2196" spans="1:11" x14ac:dyDescent="0.35">
      <c r="A2196" s="9" t="str">
        <f>HYPERLINK("http://www.ensembl.org/id/WBGene00019798", "WBGene00019798")</f>
        <v>WBGene00019798</v>
      </c>
      <c r="B2196" s="9" t="str">
        <f>HYPERLINK("http://www.ncbi.nlm.nih.gov/gene/173709", "173709")</f>
        <v>173709</v>
      </c>
      <c r="C2196" s="9"/>
      <c r="D2196" t="str">
        <f>"fbxb-32"</f>
        <v>fbxb-32</v>
      </c>
      <c r="E2196" t="s">
        <v>1436</v>
      </c>
      <c r="F2196" t="s">
        <v>11</v>
      </c>
      <c r="H2196" s="12">
        <v>-2.34755289275504</v>
      </c>
      <c r="I2196" s="11">
        <v>-0.784939835280411</v>
      </c>
      <c r="J2196" s="10">
        <v>0.432488844702483</v>
      </c>
      <c r="K2196" s="29">
        <v>0.98289565623980701</v>
      </c>
    </row>
    <row r="2197" spans="1:11" x14ac:dyDescent="0.35">
      <c r="A2197" s="9" t="str">
        <f>HYPERLINK("http://www.ensembl.org/id/WBGene00023039", "WBGene00023039")</f>
        <v>WBGene00023039</v>
      </c>
      <c r="B2197" s="9"/>
      <c r="C2197" s="9"/>
      <c r="D2197" t="str">
        <f>"F41B5.11"</f>
        <v>F41B5.11</v>
      </c>
      <c r="F2197" t="s">
        <v>80</v>
      </c>
      <c r="H2197" s="12">
        <v>-2.3473970420860999</v>
      </c>
      <c r="I2197" s="11">
        <v>-0.52712095797848402</v>
      </c>
      <c r="J2197" s="10">
        <v>0.59810959362706895</v>
      </c>
      <c r="K2197" s="29">
        <v>0.98289565623980701</v>
      </c>
    </row>
    <row r="2198" spans="1:11" x14ac:dyDescent="0.35">
      <c r="A2198" s="9" t="str">
        <f>HYPERLINK("http://www.ensembl.org/id/WBGene00020434", "WBGene00020434")</f>
        <v>WBGene00020434</v>
      </c>
      <c r="B2198" s="9"/>
      <c r="C2198" s="9"/>
      <c r="D2198" t="str">
        <f>"T11F8.2"</f>
        <v>T11F8.2</v>
      </c>
      <c r="F2198" t="s">
        <v>80</v>
      </c>
      <c r="H2198" s="12">
        <v>-2.34661324259906</v>
      </c>
      <c r="I2198" s="11">
        <v>-1.0050512884495699</v>
      </c>
      <c r="J2198" s="10">
        <v>0.31487215399254198</v>
      </c>
      <c r="K2198" s="29">
        <v>0.98289565623980701</v>
      </c>
    </row>
    <row r="2199" spans="1:11" x14ac:dyDescent="0.35">
      <c r="A2199" s="9" t="str">
        <f>HYPERLINK("http://www.ensembl.org/id/WBGene00012567", "WBGene00012567")</f>
        <v>WBGene00012567</v>
      </c>
      <c r="B2199" s="9" t="str">
        <f>HYPERLINK("http://www.ncbi.nlm.nih.gov/gene/189630", "189630")</f>
        <v>189630</v>
      </c>
      <c r="C2199" s="9"/>
      <c r="D2199" t="str">
        <f>"Y37H2A.7"</f>
        <v>Y37H2A.7</v>
      </c>
      <c r="F2199" t="s">
        <v>11</v>
      </c>
      <c r="G2199" t="s">
        <v>54</v>
      </c>
      <c r="H2199" s="12">
        <v>-2.3454901781260999</v>
      </c>
      <c r="I2199" s="11">
        <v>-0.75672385419090804</v>
      </c>
      <c r="J2199" s="10">
        <v>0.449215320505435</v>
      </c>
      <c r="K2199" s="29">
        <v>0.98289565623980701</v>
      </c>
    </row>
    <row r="2200" spans="1:11" x14ac:dyDescent="0.35">
      <c r="A2200" s="9" t="str">
        <f>HYPERLINK("http://www.ensembl.org/id/WBGene00018375", "WBGene00018375")</f>
        <v>WBGene00018375</v>
      </c>
      <c r="B2200" s="9" t="str">
        <f>HYPERLINK("http://www.ncbi.nlm.nih.gov/gene/180754", "180754")</f>
        <v>180754</v>
      </c>
      <c r="C2200" s="9"/>
      <c r="D2200" t="str">
        <f>"F43C9.1"</f>
        <v>F43C9.1</v>
      </c>
      <c r="F2200" t="s">
        <v>11</v>
      </c>
      <c r="G2200" t="s">
        <v>54</v>
      </c>
      <c r="H2200" s="12">
        <v>-2.34463351730325</v>
      </c>
      <c r="I2200" s="11">
        <v>-3.0536154176089401</v>
      </c>
      <c r="J2200" s="10">
        <v>2.26101728778172E-3</v>
      </c>
      <c r="K2200" s="29">
        <v>7.0219173993930503E-2</v>
      </c>
    </row>
    <row r="2201" spans="1:11" x14ac:dyDescent="0.35">
      <c r="A2201" s="9" t="str">
        <f>HYPERLINK("http://www.ensembl.org/id/WBGene00010493", "WBGene00010493")</f>
        <v>WBGene00010493</v>
      </c>
      <c r="B2201" s="9" t="str">
        <f>HYPERLINK("http://www.ncbi.nlm.nih.gov/gene/181501", "181501")</f>
        <v>181501</v>
      </c>
      <c r="C2201" s="9"/>
      <c r="D2201" t="str">
        <f>"meg-2"</f>
        <v>meg-2</v>
      </c>
      <c r="F2201" t="s">
        <v>11</v>
      </c>
      <c r="G2201" t="s">
        <v>455</v>
      </c>
      <c r="H2201" s="12">
        <v>-2.3436836974171098</v>
      </c>
      <c r="I2201" s="11">
        <v>-3.5214924350218499</v>
      </c>
      <c r="J2201" s="10">
        <v>4.2912491144321698E-4</v>
      </c>
      <c r="K2201" s="29">
        <v>2.0434878532545098E-2</v>
      </c>
    </row>
    <row r="2202" spans="1:11" x14ac:dyDescent="0.35">
      <c r="A2202" s="9" t="str">
        <f>HYPERLINK("http://www.ensembl.org/id/WBGene00018851", "WBGene00018851")</f>
        <v>WBGene00018851</v>
      </c>
      <c r="B2202" s="9" t="str">
        <f>HYPERLINK("http://www.ncbi.nlm.nih.gov/gene/186271", "186271")</f>
        <v>186271</v>
      </c>
      <c r="C2202" s="9"/>
      <c r="D2202" t="str">
        <f>"F55A3.6"</f>
        <v>F55A3.6</v>
      </c>
      <c r="F2202" t="s">
        <v>11</v>
      </c>
      <c r="H2202" s="12">
        <v>-2.3431407847774102</v>
      </c>
      <c r="I2202" s="11">
        <v>-0.51593679260236303</v>
      </c>
      <c r="J2202" s="10">
        <v>0.60589855592427899</v>
      </c>
      <c r="K2202" s="29">
        <v>0.98289565623980701</v>
      </c>
    </row>
    <row r="2203" spans="1:11" x14ac:dyDescent="0.35">
      <c r="A2203" s="9" t="str">
        <f>HYPERLINK("http://www.ensembl.org/id/WBGene00011746", "WBGene00011746")</f>
        <v>WBGene00011746</v>
      </c>
      <c r="B2203" s="9" t="str">
        <f>HYPERLINK("http://www.ncbi.nlm.nih.gov/gene/177817", "177817")</f>
        <v>177817</v>
      </c>
      <c r="C2203" s="9"/>
      <c r="D2203" t="str">
        <f>"T13F2.6"</f>
        <v>T13F2.6</v>
      </c>
      <c r="F2203" t="s">
        <v>11</v>
      </c>
      <c r="H2203" s="12">
        <v>-2.3430684741927701</v>
      </c>
      <c r="I2203" s="11">
        <v>-4.2325898328626801</v>
      </c>
      <c r="J2203" s="10">
        <v>2.3101559123233601E-5</v>
      </c>
      <c r="K2203" s="29">
        <v>2.0373458973337302E-3</v>
      </c>
    </row>
    <row r="2204" spans="1:11" x14ac:dyDescent="0.35">
      <c r="A2204" s="9" t="str">
        <f>HYPERLINK("http://www.ensembl.org/id/WBGene00012210", "WBGene00012210")</f>
        <v>WBGene00012210</v>
      </c>
      <c r="B2204" s="9" t="str">
        <f>HYPERLINK("http://www.ncbi.nlm.nih.gov/gene/189120", "189120")</f>
        <v>189120</v>
      </c>
      <c r="C2204" s="9"/>
      <c r="D2204" t="str">
        <f>"W02D9.4"</f>
        <v>W02D9.4</v>
      </c>
      <c r="F2204" t="s">
        <v>11</v>
      </c>
      <c r="H2204" s="12">
        <v>-2.3425216194742502</v>
      </c>
      <c r="I2204" s="11">
        <v>-2.5612321892157599</v>
      </c>
      <c r="J2204" s="10">
        <v>1.0430162215382399E-2</v>
      </c>
      <c r="K2204" s="29">
        <v>0.20075829910617399</v>
      </c>
    </row>
    <row r="2205" spans="1:11" x14ac:dyDescent="0.35">
      <c r="A2205" s="9" t="str">
        <f>HYPERLINK("http://www.ensembl.org/id/WBGene00008991", "WBGene00008991")</f>
        <v>WBGene00008991</v>
      </c>
      <c r="B2205" s="9" t="str">
        <f>HYPERLINK("http://www.ncbi.nlm.nih.gov/gene/172560", "172560")</f>
        <v>172560</v>
      </c>
      <c r="C2205" s="9"/>
      <c r="D2205" t="str">
        <f>"F20G4.2"</f>
        <v>F20G4.2</v>
      </c>
      <c r="F2205" t="s">
        <v>11</v>
      </c>
      <c r="H2205" s="12">
        <v>-2.3378387907942701</v>
      </c>
      <c r="I2205" s="11">
        <v>-2.12800240044105</v>
      </c>
      <c r="J2205" s="10">
        <v>3.3336884556739901E-2</v>
      </c>
      <c r="K2205" s="29">
        <v>0.41524639060271201</v>
      </c>
    </row>
    <row r="2206" spans="1:11" x14ac:dyDescent="0.35">
      <c r="A2206" s="9" t="str">
        <f>HYPERLINK("http://www.ensembl.org/id/WBGene00018195", "WBGene00018195")</f>
        <v>WBGene00018195</v>
      </c>
      <c r="B2206" s="9" t="str">
        <f>HYPERLINK("http://www.ncbi.nlm.nih.gov/gene/173674", "173674")</f>
        <v>173674</v>
      </c>
      <c r="C2206" s="9"/>
      <c r="D2206" t="str">
        <f>"btb-16"</f>
        <v>btb-16</v>
      </c>
      <c r="E2206" t="s">
        <v>468</v>
      </c>
      <c r="F2206" t="s">
        <v>11</v>
      </c>
      <c r="G2206" t="s">
        <v>54</v>
      </c>
      <c r="H2206" s="12">
        <v>-2.3369247745510902</v>
      </c>
      <c r="I2206" s="11">
        <v>-3.4628755098680801</v>
      </c>
      <c r="J2206" s="10">
        <v>5.3443560123457102E-4</v>
      </c>
      <c r="K2206" s="29">
        <v>2.4118494144777299E-2</v>
      </c>
    </row>
    <row r="2207" spans="1:11" x14ac:dyDescent="0.35">
      <c r="A2207" s="9" t="str">
        <f>HYPERLINK("http://www.ensembl.org/id/WBGene00022390", "WBGene00022390")</f>
        <v>WBGene00022390</v>
      </c>
      <c r="B2207" s="9" t="str">
        <f>HYPERLINK("http://www.ncbi.nlm.nih.gov/gene/190809", "190809")</f>
        <v>190809</v>
      </c>
      <c r="C2207" s="9"/>
      <c r="D2207" t="str">
        <f>"him-19"</f>
        <v>him-19</v>
      </c>
      <c r="E2207" t="s">
        <v>1036</v>
      </c>
      <c r="F2207" t="s">
        <v>11</v>
      </c>
      <c r="G2207" t="s">
        <v>1157</v>
      </c>
      <c r="H2207" s="12">
        <v>-2.3364416102465899</v>
      </c>
      <c r="I2207" s="11">
        <v>-2.4312908242806399</v>
      </c>
      <c r="J2207" s="10">
        <v>1.5045132836139201E-2</v>
      </c>
      <c r="K2207" s="29">
        <v>0.25411757259636902</v>
      </c>
    </row>
    <row r="2208" spans="1:11" x14ac:dyDescent="0.35">
      <c r="A2208" s="9" t="str">
        <f>HYPERLINK("http://www.ensembl.org/id/WBGene00019341", "WBGene00019341")</f>
        <v>WBGene00019341</v>
      </c>
      <c r="B2208" s="9" t="str">
        <f>HYPERLINK("http://www.ncbi.nlm.nih.gov/gene/173604", "173604")</f>
        <v>173604</v>
      </c>
      <c r="C2208" s="9"/>
      <c r="D2208" t="str">
        <f>"K02F6.7"</f>
        <v>K02F6.7</v>
      </c>
      <c r="F2208" t="s">
        <v>11</v>
      </c>
      <c r="H2208" s="12">
        <v>-2.3360185686017401</v>
      </c>
      <c r="I2208" s="11">
        <v>-3.4056409223944999</v>
      </c>
      <c r="J2208" s="10">
        <v>6.6008936177722102E-4</v>
      </c>
      <c r="K2208" s="29">
        <v>2.82676983288143E-2</v>
      </c>
    </row>
    <row r="2209" spans="1:11" x14ac:dyDescent="0.35">
      <c r="A2209" s="9" t="str">
        <f>HYPERLINK("http://www.ensembl.org/id/WBGene00012721", "WBGene00012721")</f>
        <v>WBGene00012721</v>
      </c>
      <c r="B2209" s="9" t="str">
        <f>HYPERLINK("http://www.ncbi.nlm.nih.gov/gene/189756", "189756")</f>
        <v>189756</v>
      </c>
      <c r="C2209" s="9"/>
      <c r="D2209" t="str">
        <f>"Y39E4B.13"</f>
        <v>Y39E4B.13</v>
      </c>
      <c r="F2209" t="s">
        <v>11</v>
      </c>
      <c r="G2209" t="s">
        <v>25</v>
      </c>
      <c r="H2209" s="12">
        <v>-2.3349672639802899</v>
      </c>
      <c r="I2209" s="11">
        <v>-0.49950969894198</v>
      </c>
      <c r="J2209" s="10">
        <v>0.61742035576340104</v>
      </c>
      <c r="K2209" s="29">
        <v>0.98289565623980701</v>
      </c>
    </row>
    <row r="2210" spans="1:11" x14ac:dyDescent="0.35">
      <c r="A2210" s="9" t="str">
        <f>HYPERLINK("http://www.ensembl.org/id/WBGene00020103", "WBGene00020103")</f>
        <v>WBGene00020103</v>
      </c>
      <c r="B2210" s="9" t="str">
        <f>HYPERLINK("http://www.ncbi.nlm.nih.gov/gene/187905", "187905")</f>
        <v>187905</v>
      </c>
      <c r="C2210" s="9"/>
      <c r="D2210" t="str">
        <f>"R148.4"</f>
        <v>R148.4</v>
      </c>
      <c r="F2210" t="s">
        <v>11</v>
      </c>
      <c r="G2210" t="s">
        <v>25</v>
      </c>
      <c r="H2210" s="12">
        <v>-2.3345344123448699</v>
      </c>
      <c r="I2210" s="11">
        <v>-2.7949682709197701</v>
      </c>
      <c r="J2210" s="10">
        <v>5.1904809176666804E-3</v>
      </c>
      <c r="K2210" s="29">
        <v>0.12466866120957</v>
      </c>
    </row>
    <row r="2211" spans="1:11" x14ac:dyDescent="0.35">
      <c r="A2211" s="9" t="str">
        <f>HYPERLINK("http://www.ensembl.org/id/WBGene00019153", "WBGene00019153")</f>
        <v>WBGene00019153</v>
      </c>
      <c r="B2211" s="9" t="str">
        <f>HYPERLINK("http://www.ncbi.nlm.nih.gov/gene/177359", "177359")</f>
        <v>177359</v>
      </c>
      <c r="C2211" s="9"/>
      <c r="D2211" t="str">
        <f>"H04M03.3"</f>
        <v>H04M03.3</v>
      </c>
      <c r="F2211" t="s">
        <v>11</v>
      </c>
      <c r="G2211" t="s">
        <v>489</v>
      </c>
      <c r="H2211" s="12">
        <v>-2.3344159965562699</v>
      </c>
      <c r="I2211" s="11">
        <v>-3.2663869182524898</v>
      </c>
      <c r="J2211" s="10">
        <v>1.0892930362397101E-3</v>
      </c>
      <c r="K2211" s="29">
        <v>4.1816411947589498E-2</v>
      </c>
    </row>
    <row r="2212" spans="1:11" x14ac:dyDescent="0.35">
      <c r="A2212" s="9" t="str">
        <f>HYPERLINK("http://www.ensembl.org/id/WBGene00002144", "WBGene00002144")</f>
        <v>WBGene00002144</v>
      </c>
      <c r="B2212" s="9" t="str">
        <f>HYPERLINK("http://www.ncbi.nlm.nih.gov/gene/171929", "171929")</f>
        <v>171929</v>
      </c>
      <c r="C2212" s="9"/>
      <c r="D2212" t="str">
        <f>"inx-22"</f>
        <v>inx-22</v>
      </c>
      <c r="E2212" t="s">
        <v>275</v>
      </c>
      <c r="F2212" t="s">
        <v>11</v>
      </c>
      <c r="G2212" t="s">
        <v>276</v>
      </c>
      <c r="H2212" s="12">
        <v>-2.3304841869269</v>
      </c>
      <c r="I2212" s="11">
        <v>-4.1823678953264301</v>
      </c>
      <c r="J2212" s="10">
        <v>2.88488648977859E-5</v>
      </c>
      <c r="K2212" s="29">
        <v>2.4302656054006502E-3</v>
      </c>
    </row>
    <row r="2213" spans="1:11" x14ac:dyDescent="0.35">
      <c r="A2213" s="9" t="str">
        <f>HYPERLINK("http://www.ensembl.org/id/WBGene00007198", "WBGene00007198")</f>
        <v>WBGene00007198</v>
      </c>
      <c r="B2213" s="9"/>
      <c r="C2213" s="9"/>
      <c r="D2213" t="str">
        <f>"B0513.6"</f>
        <v>B0513.6</v>
      </c>
      <c r="F2213" t="s">
        <v>80</v>
      </c>
      <c r="H2213" s="12">
        <v>-2.32806922451122</v>
      </c>
      <c r="I2213" s="11">
        <v>-0.28296842763464503</v>
      </c>
      <c r="J2213" s="10">
        <v>0.77720103937969098</v>
      </c>
      <c r="K2213" s="29">
        <v>0.98289565623980701</v>
      </c>
    </row>
    <row r="2214" spans="1:11" x14ac:dyDescent="0.35">
      <c r="A2214" s="9" t="str">
        <f>HYPERLINK("http://www.ensembl.org/id/WBGene00044523", "WBGene00044523")</f>
        <v>WBGene00044523</v>
      </c>
      <c r="B2214" s="9"/>
      <c r="C2214" s="9"/>
      <c r="D2214" t="str">
        <f>"F37B4.14"</f>
        <v>F37B4.14</v>
      </c>
      <c r="F2214" t="s">
        <v>80</v>
      </c>
      <c r="H2214" s="12">
        <v>-2.32806922451122</v>
      </c>
      <c r="I2214" s="11">
        <v>-0.28296842763464503</v>
      </c>
      <c r="J2214" s="10">
        <v>0.77720103937969098</v>
      </c>
      <c r="K2214" s="29">
        <v>0.98289565623980701</v>
      </c>
    </row>
    <row r="2215" spans="1:11" x14ac:dyDescent="0.35">
      <c r="A2215" s="9" t="str">
        <f>HYPERLINK("http://www.ensembl.org/id/WBGene00007323", "WBGene00007323")</f>
        <v>WBGene00007323</v>
      </c>
      <c r="B2215" s="9" t="str">
        <f>HYPERLINK("http://www.ncbi.nlm.nih.gov/gene/176414", "176414")</f>
        <v>176414</v>
      </c>
      <c r="C2215" s="9"/>
      <c r="D2215" t="str">
        <f>"fbxa-155"</f>
        <v>fbxa-155</v>
      </c>
      <c r="E2215" t="s">
        <v>10048</v>
      </c>
      <c r="F2215" t="s">
        <v>11</v>
      </c>
      <c r="H2215" s="12">
        <v>-2.32806922451122</v>
      </c>
      <c r="I2215" s="11">
        <v>-0.28296842763464503</v>
      </c>
      <c r="J2215" s="10">
        <v>0.77720103937969098</v>
      </c>
      <c r="K2215" s="29">
        <v>0.98289565623980701</v>
      </c>
    </row>
    <row r="2216" spans="1:11" x14ac:dyDescent="0.35">
      <c r="A2216" s="9" t="str">
        <f>HYPERLINK("http://www.ensembl.org/id/WBGene00002020", "WBGene00002020")</f>
        <v>WBGene00002020</v>
      </c>
      <c r="B2216" s="9" t="str">
        <f>HYPERLINK("http://www.ncbi.nlm.nih.gov/gene/179288", "179288")</f>
        <v>179288</v>
      </c>
      <c r="C2216" s="9"/>
      <c r="D2216" t="str">
        <f>"hsp-16.49"</f>
        <v>hsp-16.49</v>
      </c>
      <c r="E2216" t="s">
        <v>4266</v>
      </c>
      <c r="F2216" t="s">
        <v>11</v>
      </c>
      <c r="H2216" s="12">
        <v>-2.32806922451122</v>
      </c>
      <c r="I2216" s="11">
        <v>-0.28296842763464503</v>
      </c>
      <c r="J2216" s="10">
        <v>0.77720103937969098</v>
      </c>
      <c r="K2216" s="29">
        <v>0.98289565623980701</v>
      </c>
    </row>
    <row r="2217" spans="1:11" x14ac:dyDescent="0.35">
      <c r="A2217" s="9" t="str">
        <f>HYPERLINK("http://www.ensembl.org/id/WBGene00201473", "WBGene00201473")</f>
        <v>WBGene00201473</v>
      </c>
      <c r="B2217" s="9"/>
      <c r="C2217" s="9"/>
      <c r="D2217" t="str">
        <f>"R02D5.21"</f>
        <v>R02D5.21</v>
      </c>
      <c r="F2217" t="s">
        <v>481</v>
      </c>
      <c r="H2217" s="12">
        <v>-2.32806922451122</v>
      </c>
      <c r="I2217" s="11">
        <v>-0.28296842763464503</v>
      </c>
      <c r="J2217" s="10">
        <v>0.77720103937969098</v>
      </c>
      <c r="K2217" s="29">
        <v>0.98289565623980701</v>
      </c>
    </row>
    <row r="2218" spans="1:11" x14ac:dyDescent="0.35">
      <c r="A2218" s="9" t="str">
        <f>HYPERLINK("http://www.ensembl.org/id/WBGene00016543", "WBGene00016543")</f>
        <v>WBGene00016543</v>
      </c>
      <c r="B2218" s="9" t="str">
        <f>HYPERLINK("http://www.ncbi.nlm.nih.gov/gene/183350", "183350")</f>
        <v>183350</v>
      </c>
      <c r="C2218" s="9"/>
      <c r="D2218" t="str">
        <f>"srsx-14"</f>
        <v>srsx-14</v>
      </c>
      <c r="E2218" t="s">
        <v>1639</v>
      </c>
      <c r="F2218" t="s">
        <v>11</v>
      </c>
      <c r="G2218" t="s">
        <v>1089</v>
      </c>
      <c r="H2218" s="12">
        <v>-2.32806922451122</v>
      </c>
      <c r="I2218" s="11">
        <v>-0.28296842763464503</v>
      </c>
      <c r="J2218" s="10">
        <v>0.77720103937969098</v>
      </c>
      <c r="K2218" s="29">
        <v>0.98289565623980701</v>
      </c>
    </row>
    <row r="2219" spans="1:11" x14ac:dyDescent="0.35">
      <c r="A2219" s="9" t="str">
        <f>HYPERLINK("http://www.ensembl.org/id/WBGene00020139", "WBGene00020139")</f>
        <v>WBGene00020139</v>
      </c>
      <c r="B2219" s="9" t="str">
        <f>HYPERLINK("http://www.ncbi.nlm.nih.gov/gene/177646", "177646")</f>
        <v>177646</v>
      </c>
      <c r="C2219" s="9" t="str">
        <f>HYPERLINK("http://www.ncbi.nlm.nih.gov/gene/64850", "64850")</f>
        <v>64850</v>
      </c>
      <c r="D2219" t="str">
        <f>"eppl-1"</f>
        <v>eppl-1</v>
      </c>
      <c r="E2219" t="s">
        <v>247</v>
      </c>
      <c r="F2219" t="s">
        <v>11</v>
      </c>
      <c r="G2219" t="s">
        <v>248</v>
      </c>
      <c r="H2219" s="12">
        <v>-2.3211389161330001</v>
      </c>
      <c r="I2219" s="11">
        <v>-4.3008826096143498</v>
      </c>
      <c r="J2219" s="10">
        <v>1.7011916798680399E-5</v>
      </c>
      <c r="K2219" s="29">
        <v>1.6043973451033101E-3</v>
      </c>
    </row>
    <row r="2220" spans="1:11" x14ac:dyDescent="0.35">
      <c r="A2220" s="9" t="str">
        <f>HYPERLINK("http://www.ensembl.org/id/WBGene00016010", "WBGene00016010")</f>
        <v>WBGene00016010</v>
      </c>
      <c r="B2220" s="9" t="str">
        <f>HYPERLINK("http://www.ncbi.nlm.nih.gov/gene/175880", "175880")</f>
        <v>175880</v>
      </c>
      <c r="C2220" s="9"/>
      <c r="D2220" t="str">
        <f>"C23G10.1"</f>
        <v>C23G10.1</v>
      </c>
      <c r="E2220" t="s">
        <v>10047</v>
      </c>
      <c r="F2220" t="s">
        <v>11</v>
      </c>
      <c r="G2220" t="s">
        <v>5045</v>
      </c>
      <c r="H2220" s="12">
        <v>-2.3208084367151098</v>
      </c>
      <c r="I2220" s="11">
        <v>-0.67922327833187002</v>
      </c>
      <c r="J2220" s="10">
        <v>0.49699639990292799</v>
      </c>
      <c r="K2220" s="29">
        <v>0.98289565623980701</v>
      </c>
    </row>
    <row r="2221" spans="1:11" x14ac:dyDescent="0.35">
      <c r="A2221" s="9" t="str">
        <f>HYPERLINK("http://www.ensembl.org/id/WBGene00021853", "WBGene00021853")</f>
        <v>WBGene00021853</v>
      </c>
      <c r="B2221" s="9" t="str">
        <f>HYPERLINK("http://www.ncbi.nlm.nih.gov/gene/175374", "175374")</f>
        <v>175374</v>
      </c>
      <c r="C2221" s="9"/>
      <c r="D2221" t="str">
        <f>"Y54F10AM.11"</f>
        <v>Y54F10AM.11</v>
      </c>
      <c r="F2221" t="s">
        <v>11</v>
      </c>
      <c r="G2221" t="s">
        <v>54</v>
      </c>
      <c r="H2221" s="12">
        <v>-2.3205353774470301</v>
      </c>
      <c r="I2221" s="11">
        <v>-3.05719789917078</v>
      </c>
      <c r="J2221" s="10">
        <v>2.2341671972229298E-3</v>
      </c>
      <c r="K2221" s="29">
        <v>6.9760361160855502E-2</v>
      </c>
    </row>
    <row r="2222" spans="1:11" x14ac:dyDescent="0.35">
      <c r="A2222" s="9" t="str">
        <f>HYPERLINK("http://www.ensembl.org/id/WBGene00255714", "WBGene00255714")</f>
        <v>WBGene00255714</v>
      </c>
      <c r="B2222" s="9" t="str">
        <f>HYPERLINK("http://www.ncbi.nlm.nih.gov/gene/25502967", "25502967")</f>
        <v>25502967</v>
      </c>
      <c r="C2222" s="9"/>
      <c r="D2222" t="str">
        <f>"B0511.19"</f>
        <v>B0511.19</v>
      </c>
      <c r="F2222" t="s">
        <v>11</v>
      </c>
      <c r="G2222" t="s">
        <v>25</v>
      </c>
      <c r="H2222" s="12">
        <v>-2.3197562546038601</v>
      </c>
      <c r="I2222" s="11">
        <v>-3.3897422861616802</v>
      </c>
      <c r="J2222" s="10">
        <v>6.9958357614950998E-4</v>
      </c>
      <c r="K2222" s="29">
        <v>2.9659776349560699E-2</v>
      </c>
    </row>
    <row r="2223" spans="1:11" x14ac:dyDescent="0.35">
      <c r="A2223" s="9" t="str">
        <f>HYPERLINK("http://www.ensembl.org/id/WBGene00022452", "WBGene00022452")</f>
        <v>WBGene00022452</v>
      </c>
      <c r="B2223" s="9" t="str">
        <f>HYPERLINK("http://www.ncbi.nlm.nih.gov/gene/173639", "173639")</f>
        <v>173639</v>
      </c>
      <c r="C2223" s="9"/>
      <c r="D2223" t="str">
        <f>"Y110A2AR.1"</f>
        <v>Y110A2AR.1</v>
      </c>
      <c r="E2223" t="s">
        <v>296</v>
      </c>
      <c r="F2223" t="s">
        <v>11</v>
      </c>
      <c r="G2223" t="s">
        <v>25</v>
      </c>
      <c r="H2223" s="12">
        <v>-2.3183304766036099</v>
      </c>
      <c r="I2223" s="11">
        <v>-4.0935690164920198</v>
      </c>
      <c r="J2223" s="10">
        <v>4.2478355891187203E-5</v>
      </c>
      <c r="K2223" s="29">
        <v>3.3728690419992202E-3</v>
      </c>
    </row>
    <row r="2224" spans="1:11" x14ac:dyDescent="0.35">
      <c r="A2224" s="9" t="str">
        <f>HYPERLINK("http://www.ensembl.org/id/WBGene00001595", "WBGene00001595")</f>
        <v>WBGene00001595</v>
      </c>
      <c r="B2224" s="9" t="str">
        <f>HYPERLINK("http://www.ncbi.nlm.nih.gov/gene/172532", "172532")</f>
        <v>172532</v>
      </c>
      <c r="C2224" s="9"/>
      <c r="D2224" t="str">
        <f>"gld-1"</f>
        <v>gld-1</v>
      </c>
      <c r="E2224" t="s">
        <v>252</v>
      </c>
      <c r="F2224" t="s">
        <v>11</v>
      </c>
      <c r="G2224" t="s">
        <v>253</v>
      </c>
      <c r="H2224" s="12">
        <v>-2.3175355844641699</v>
      </c>
      <c r="I2224" s="11">
        <v>-4.2934263801440897</v>
      </c>
      <c r="J2224" s="10">
        <v>1.7593666995435899E-5</v>
      </c>
      <c r="K2224" s="29">
        <v>1.6401141676481001E-3</v>
      </c>
    </row>
    <row r="2225" spans="1:11" x14ac:dyDescent="0.35">
      <c r="A2225" s="9" t="str">
        <f>HYPERLINK("http://www.ensembl.org/id/WBGene00001597", "WBGene00001597")</f>
        <v>WBGene00001597</v>
      </c>
      <c r="B2225" s="9" t="str">
        <f>HYPERLINK("http://www.ncbi.nlm.nih.gov/gene/174174", "174174")</f>
        <v>174174</v>
      </c>
      <c r="C2225" s="9"/>
      <c r="D2225" t="str">
        <f>"gld-3"</f>
        <v>gld-3</v>
      </c>
      <c r="E2225" t="s">
        <v>222</v>
      </c>
      <c r="F2225" t="s">
        <v>11</v>
      </c>
      <c r="H2225" s="12">
        <v>-2.31664156170811</v>
      </c>
      <c r="I2225" s="11">
        <v>-4.4491314904319399</v>
      </c>
      <c r="J2225" s="10">
        <v>8.6218222614998802E-6</v>
      </c>
      <c r="K2225" s="29">
        <v>9.1847872091527E-4</v>
      </c>
    </row>
    <row r="2226" spans="1:11" x14ac:dyDescent="0.35">
      <c r="A2226" s="9" t="str">
        <f>HYPERLINK("http://www.ensembl.org/id/WBGene00010544", "WBGene00010544")</f>
        <v>WBGene00010544</v>
      </c>
      <c r="B2226" s="9" t="str">
        <f>HYPERLINK("http://www.ncbi.nlm.nih.gov/gene/176405", "176405")</f>
        <v>176405</v>
      </c>
      <c r="C2226" s="9"/>
      <c r="D2226" t="str">
        <f>"K03H1.9"</f>
        <v>K03H1.9</v>
      </c>
      <c r="F2226" t="s">
        <v>11</v>
      </c>
      <c r="G2226" t="s">
        <v>25</v>
      </c>
      <c r="H2226" s="12">
        <v>-2.3164876816341802</v>
      </c>
      <c r="I2226" s="11">
        <v>-0.35730505342263802</v>
      </c>
      <c r="J2226" s="10">
        <v>0.72086344727256502</v>
      </c>
      <c r="K2226" s="29">
        <v>0.98289565623980701</v>
      </c>
    </row>
    <row r="2227" spans="1:11" x14ac:dyDescent="0.35">
      <c r="A2227" s="9" t="str">
        <f>HYPERLINK("http://www.ensembl.org/id/WBGene00020243", "WBGene00020243")</f>
        <v>WBGene00020243</v>
      </c>
      <c r="B2227" s="9" t="str">
        <f>HYPERLINK("http://www.ncbi.nlm.nih.gov/gene/188107", "188107")</f>
        <v>188107</v>
      </c>
      <c r="C2227" s="9"/>
      <c r="D2227" t="str">
        <f>"T05B4.12"</f>
        <v>T05B4.12</v>
      </c>
      <c r="F2227" t="s">
        <v>11</v>
      </c>
      <c r="H2227" s="12">
        <v>-2.3164876816341802</v>
      </c>
      <c r="I2227" s="11">
        <v>-0.35730505342263802</v>
      </c>
      <c r="J2227" s="10">
        <v>0.72086344727256502</v>
      </c>
      <c r="K2227" s="29">
        <v>0.98289565623980701</v>
      </c>
    </row>
    <row r="2228" spans="1:11" x14ac:dyDescent="0.35">
      <c r="A2228" s="9" t="str">
        <f>HYPERLINK("http://www.ensembl.org/id/WBGene00014633", "WBGene00014633")</f>
        <v>WBGene00014633</v>
      </c>
      <c r="B2228" s="9"/>
      <c r="C2228" s="9"/>
      <c r="D2228" t="str">
        <f>"ZK897.4"</f>
        <v>ZK897.4</v>
      </c>
      <c r="F2228" t="s">
        <v>4205</v>
      </c>
      <c r="H2228" s="12">
        <v>-2.3164876816341802</v>
      </c>
      <c r="I2228" s="11">
        <v>-0.35730505342263802</v>
      </c>
      <c r="J2228" s="10">
        <v>0.72086344727256502</v>
      </c>
      <c r="K2228" s="29">
        <v>0.98289565623980701</v>
      </c>
    </row>
    <row r="2229" spans="1:11" x14ac:dyDescent="0.35">
      <c r="A2229" s="9" t="str">
        <f>HYPERLINK("http://www.ensembl.org/id/WBGene00019689", "WBGene00019689")</f>
        <v>WBGene00019689</v>
      </c>
      <c r="B2229" s="9" t="str">
        <f>HYPERLINK("http://www.ncbi.nlm.nih.gov/gene/173627", "173627")</f>
        <v>173627</v>
      </c>
      <c r="C2229" s="9"/>
      <c r="D2229" t="str">
        <f>"K12H6.9"</f>
        <v>K12H6.9</v>
      </c>
      <c r="F2229" t="s">
        <v>11</v>
      </c>
      <c r="H2229" s="12">
        <v>-2.31573505537866</v>
      </c>
      <c r="I2229" s="11">
        <v>-0.697086136543006</v>
      </c>
      <c r="J2229" s="10">
        <v>0.48574888963735602</v>
      </c>
      <c r="K2229" s="29">
        <v>0.98289565623980701</v>
      </c>
    </row>
    <row r="2230" spans="1:11" x14ac:dyDescent="0.35">
      <c r="A2230" s="9" t="str">
        <f>HYPERLINK("http://www.ensembl.org/id/WBGene00001862", "WBGene00001862")</f>
        <v>WBGene00001862</v>
      </c>
      <c r="B2230" s="9" t="str">
        <f>HYPERLINK("http://www.ncbi.nlm.nih.gov/gene/177462", "177462")</f>
        <v>177462</v>
      </c>
      <c r="C2230" s="9"/>
      <c r="D2230" t="str">
        <f>"him-3"</f>
        <v>him-3</v>
      </c>
      <c r="E2230" t="s">
        <v>360</v>
      </c>
      <c r="F2230" t="s">
        <v>11</v>
      </c>
      <c r="G2230" t="s">
        <v>361</v>
      </c>
      <c r="H2230" s="12">
        <v>-2.3140184154843801</v>
      </c>
      <c r="I2230" s="11">
        <v>-3.8251288411517002</v>
      </c>
      <c r="J2230" s="10">
        <v>1.30703712987757E-4</v>
      </c>
      <c r="K2230" s="29">
        <v>8.0749732414307999E-3</v>
      </c>
    </row>
    <row r="2231" spans="1:11" x14ac:dyDescent="0.35">
      <c r="A2231" s="9" t="str">
        <f>HYPERLINK("http://www.ensembl.org/id/WBGene00015630", "WBGene00015630")</f>
        <v>WBGene00015630</v>
      </c>
      <c r="B2231" s="9" t="str">
        <f>HYPERLINK("http://www.ncbi.nlm.nih.gov/gene/177273", "177273")</f>
        <v>177273</v>
      </c>
      <c r="C2231" s="9"/>
      <c r="D2231" t="str">
        <f>"C09B9.7"</f>
        <v>C09B9.7</v>
      </c>
      <c r="F2231" t="s">
        <v>11</v>
      </c>
      <c r="G2231" t="s">
        <v>25</v>
      </c>
      <c r="H2231" s="12">
        <v>-2.3134416419896802</v>
      </c>
      <c r="I2231" s="11">
        <v>-0.37592954189938799</v>
      </c>
      <c r="J2231" s="10">
        <v>0.70696927744733995</v>
      </c>
      <c r="K2231" s="29">
        <v>0.98289565623980701</v>
      </c>
    </row>
    <row r="2232" spans="1:11" x14ac:dyDescent="0.35">
      <c r="A2232" s="9" t="str">
        <f>HYPERLINK("http://www.ensembl.org/id/WBGene00000474", "WBGene00000474")</f>
        <v>WBGene00000474</v>
      </c>
      <c r="B2232" s="9" t="str">
        <f>HYPERLINK("http://www.ncbi.nlm.nih.gov/gene/172211", "172211")</f>
        <v>172211</v>
      </c>
      <c r="C2232" s="9"/>
      <c r="D2232" t="str">
        <f>"cey-3"</f>
        <v>cey-3</v>
      </c>
      <c r="E2232" t="s">
        <v>170</v>
      </c>
      <c r="F2232" t="s">
        <v>11</v>
      </c>
      <c r="G2232" t="s">
        <v>199</v>
      </c>
      <c r="H2232" s="12">
        <v>-2.3125761906485902</v>
      </c>
      <c r="I2232" s="11">
        <v>-4.5750885614558499</v>
      </c>
      <c r="J2232" s="10">
        <v>4.7601858197319399E-6</v>
      </c>
      <c r="K2232" s="29">
        <v>5.7738579246786599E-4</v>
      </c>
    </row>
    <row r="2233" spans="1:11" x14ac:dyDescent="0.35">
      <c r="A2233" s="9" t="str">
        <f>HYPERLINK("http://www.ensembl.org/id/WBGene00200784", "WBGene00200784")</f>
        <v>WBGene00200784</v>
      </c>
      <c r="B2233" s="9"/>
      <c r="C2233" s="9"/>
      <c r="D2233" t="str">
        <f>"K06A1.9"</f>
        <v>K06A1.9</v>
      </c>
      <c r="F2233" t="s">
        <v>481</v>
      </c>
      <c r="H2233" s="12">
        <v>-2.3114696006349602</v>
      </c>
      <c r="I2233" s="11">
        <v>-0.67463859122568104</v>
      </c>
      <c r="J2233" s="10">
        <v>0.49990540836401698</v>
      </c>
      <c r="K2233" s="29">
        <v>0.98289565623980701</v>
      </c>
    </row>
    <row r="2234" spans="1:11" x14ac:dyDescent="0.35">
      <c r="A2234" s="9" t="str">
        <f>HYPERLINK("http://www.ensembl.org/id/WBGene00015851", "WBGene00015851")</f>
        <v>WBGene00015851</v>
      </c>
      <c r="B2234" s="9" t="str">
        <f>HYPERLINK("http://www.ncbi.nlm.nih.gov/gene/182679", "182679")</f>
        <v>182679</v>
      </c>
      <c r="C2234" s="9"/>
      <c r="D2234" t="str">
        <f>"C16C8.13"</f>
        <v>C16C8.13</v>
      </c>
      <c r="F2234" t="s">
        <v>11</v>
      </c>
      <c r="G2234" t="s">
        <v>54</v>
      </c>
      <c r="H2234" s="12">
        <v>-2.3103851109094502</v>
      </c>
      <c r="I2234" s="11">
        <v>-1.0471575545570999</v>
      </c>
      <c r="J2234" s="10">
        <v>0.29502691801451197</v>
      </c>
      <c r="K2234" s="29">
        <v>0.98289565623980701</v>
      </c>
    </row>
    <row r="2235" spans="1:11" x14ac:dyDescent="0.35">
      <c r="A2235" s="9" t="str">
        <f>HYPERLINK("http://www.ensembl.org/id/WBGene00018267", "WBGene00018267")</f>
        <v>WBGene00018267</v>
      </c>
      <c r="B2235" s="9" t="str">
        <f>HYPERLINK("http://www.ncbi.nlm.nih.gov/gene/185595", "185595")</f>
        <v>185595</v>
      </c>
      <c r="C2235" s="9"/>
      <c r="D2235" t="str">
        <f>"F41C3.1"</f>
        <v>F41C3.1</v>
      </c>
      <c r="F2235" t="s">
        <v>11</v>
      </c>
      <c r="H2235" s="12">
        <v>-2.3099635905008902</v>
      </c>
      <c r="I2235" s="11">
        <v>-0.917070705425998</v>
      </c>
      <c r="J2235" s="10">
        <v>0.35910559065217801</v>
      </c>
      <c r="K2235" s="29">
        <v>0.98289565623980701</v>
      </c>
    </row>
    <row r="2236" spans="1:11" x14ac:dyDescent="0.35">
      <c r="A2236" s="9" t="str">
        <f>HYPERLINK("http://www.ensembl.org/id/WBGene00013862", "WBGene00013862")</f>
        <v>WBGene00013862</v>
      </c>
      <c r="B2236" s="9" t="str">
        <f>HYPERLINK("http://www.ncbi.nlm.nih.gov/gene/179489", "179489")</f>
        <v>179489</v>
      </c>
      <c r="C2236" s="9"/>
      <c r="D2236" t="str">
        <f>"wdr-5.3"</f>
        <v>wdr-5.3</v>
      </c>
      <c r="E2236" t="s">
        <v>347</v>
      </c>
      <c r="F2236" t="s">
        <v>11</v>
      </c>
      <c r="G2236" t="s">
        <v>348</v>
      </c>
      <c r="H2236" s="12">
        <v>-2.3091478890672201</v>
      </c>
      <c r="I2236" s="11">
        <v>-3.8660956655084902</v>
      </c>
      <c r="J2236" s="10">
        <v>1.1059157212233999E-4</v>
      </c>
      <c r="K2236" s="29">
        <v>7.1017533697497002E-3</v>
      </c>
    </row>
    <row r="2237" spans="1:11" x14ac:dyDescent="0.35">
      <c r="A2237" s="9" t="str">
        <f>HYPERLINK("http://www.ensembl.org/id/WBGene00006258", "WBGene00006258")</f>
        <v>WBGene00006258</v>
      </c>
      <c r="B2237" s="9" t="str">
        <f>HYPERLINK("http://www.ncbi.nlm.nih.gov/gene/192037", "192037")</f>
        <v>192037</v>
      </c>
      <c r="C2237" s="9"/>
      <c r="D2237" t="str">
        <f>"str-227"</f>
        <v>str-227</v>
      </c>
      <c r="E2237" t="s">
        <v>590</v>
      </c>
      <c r="F2237" t="s">
        <v>11</v>
      </c>
      <c r="G2237" t="s">
        <v>591</v>
      </c>
      <c r="H2237" s="12">
        <v>-2.3072068730283402</v>
      </c>
      <c r="I2237" s="11">
        <v>-0.58902265470673898</v>
      </c>
      <c r="J2237" s="10">
        <v>0.55584607644059103</v>
      </c>
      <c r="K2237" s="29">
        <v>0.98289565623980701</v>
      </c>
    </row>
    <row r="2238" spans="1:11" x14ac:dyDescent="0.35">
      <c r="A2238" s="9" t="str">
        <f>HYPERLINK("http://www.ensembl.org/id/WBGene00020040", "WBGene00020040")</f>
        <v>WBGene00020040</v>
      </c>
      <c r="B2238" s="9" t="str">
        <f>HYPERLINK("http://www.ncbi.nlm.nih.gov/gene/172000", "172000")</f>
        <v>172000</v>
      </c>
      <c r="C2238" s="9"/>
      <c r="D2238" t="str">
        <f>"R12E2.15"</f>
        <v>R12E2.15</v>
      </c>
      <c r="F2238" t="s">
        <v>11</v>
      </c>
      <c r="H2238" s="12">
        <v>-2.3068571207866899</v>
      </c>
      <c r="I2238" s="11">
        <v>-1.0856108550516901</v>
      </c>
      <c r="J2238" s="10">
        <v>0.277651195213372</v>
      </c>
      <c r="K2238" s="29">
        <v>0.98289565623980701</v>
      </c>
    </row>
    <row r="2239" spans="1:11" x14ac:dyDescent="0.35">
      <c r="A2239" s="9" t="str">
        <f>HYPERLINK("http://www.ensembl.org/id/WBGene00020813", "WBGene00020813")</f>
        <v>WBGene00020813</v>
      </c>
      <c r="B2239" s="9" t="str">
        <f>HYPERLINK("http://www.ncbi.nlm.nih.gov/gene/181760", "181760")</f>
        <v>181760</v>
      </c>
      <c r="C2239" s="9"/>
      <c r="D2239" t="str">
        <f>"T25G12.6"</f>
        <v>T25G12.6</v>
      </c>
      <c r="F2239" t="s">
        <v>11</v>
      </c>
      <c r="G2239" t="s">
        <v>25</v>
      </c>
      <c r="H2239" s="12">
        <v>-2.30684364889821</v>
      </c>
      <c r="I2239" s="11">
        <v>-2.98302456059736</v>
      </c>
      <c r="J2239" s="10">
        <v>2.85415089657249E-3</v>
      </c>
      <c r="K2239" s="29">
        <v>8.2229439671077195E-2</v>
      </c>
    </row>
    <row r="2240" spans="1:11" x14ac:dyDescent="0.35">
      <c r="A2240" s="9" t="str">
        <f>HYPERLINK("http://www.ensembl.org/id/WBGene00010299", "WBGene00010299")</f>
        <v>WBGene00010299</v>
      </c>
      <c r="B2240" s="9" t="str">
        <f>HYPERLINK("http://www.ncbi.nlm.nih.gov/gene/186565", "186565")</f>
        <v>186565</v>
      </c>
      <c r="C2240" s="9"/>
      <c r="D2240" t="str">
        <f>"F59A1.13"</f>
        <v>F59A1.13</v>
      </c>
      <c r="F2240" t="s">
        <v>11</v>
      </c>
      <c r="G2240" t="s">
        <v>230</v>
      </c>
      <c r="H2240" s="12">
        <v>-2.3052350263008998</v>
      </c>
      <c r="I2240" s="11">
        <v>-2.1824006151672202</v>
      </c>
      <c r="J2240" s="10">
        <v>2.9079978972216002E-2</v>
      </c>
      <c r="K2240" s="29">
        <v>0.37994765479566001</v>
      </c>
    </row>
    <row r="2241" spans="1:11" x14ac:dyDescent="0.35">
      <c r="A2241" s="9" t="str">
        <f>HYPERLINK("http://www.ensembl.org/id/WBGene00010064", "WBGene00010064")</f>
        <v>WBGene00010064</v>
      </c>
      <c r="B2241" s="9" t="str">
        <f>HYPERLINK("http://www.ncbi.nlm.nih.gov/gene/186253", "186253")</f>
        <v>186253</v>
      </c>
      <c r="C2241" s="9"/>
      <c r="D2241" t="str">
        <f>"F54F7.2"</f>
        <v>F54F7.2</v>
      </c>
      <c r="F2241" t="s">
        <v>11</v>
      </c>
      <c r="H2241" s="12">
        <v>-2.3047414426044401</v>
      </c>
      <c r="I2241" s="11">
        <v>-3.3010964473206199</v>
      </c>
      <c r="J2241" s="10">
        <v>9.6307769895216395E-4</v>
      </c>
      <c r="K2241" s="29">
        <v>3.7799283886508397E-2</v>
      </c>
    </row>
    <row r="2242" spans="1:11" x14ac:dyDescent="0.35">
      <c r="A2242" s="9" t="str">
        <f>HYPERLINK("http://www.ensembl.org/id/WBGene00003784", "WBGene00003784")</f>
        <v>WBGene00003784</v>
      </c>
      <c r="B2242" s="9" t="str">
        <f>HYPERLINK("http://www.ncbi.nlm.nih.gov/gene/174158", "174158")</f>
        <v>174158</v>
      </c>
      <c r="C2242" s="9"/>
      <c r="D2242" t="str">
        <f>"nos-2"</f>
        <v>nos-2</v>
      </c>
      <c r="E2242" t="s">
        <v>297</v>
      </c>
      <c r="F2242" t="s">
        <v>11</v>
      </c>
      <c r="G2242" t="s">
        <v>298</v>
      </c>
      <c r="H2242" s="12">
        <v>-2.30421137341368</v>
      </c>
      <c r="I2242" s="11">
        <v>-4.0904165611183396</v>
      </c>
      <c r="J2242" s="10">
        <v>4.3059910493062498E-5</v>
      </c>
      <c r="K2242" s="29">
        <v>3.3957074807259499E-3</v>
      </c>
    </row>
    <row r="2243" spans="1:11" x14ac:dyDescent="0.35">
      <c r="A2243" s="9" t="str">
        <f>HYPERLINK("http://www.ensembl.org/id/WBGene00011278", "WBGene00011278")</f>
        <v>WBGene00011278</v>
      </c>
      <c r="B2243" s="9" t="str">
        <f>HYPERLINK("http://www.ncbi.nlm.nih.gov/gene/175539", "175539")</f>
        <v>175539</v>
      </c>
      <c r="C2243" s="9"/>
      <c r="D2243" t="str">
        <f>"R74.2"</f>
        <v>R74.2</v>
      </c>
      <c r="F2243" t="s">
        <v>11</v>
      </c>
      <c r="H2243" s="12">
        <v>-2.3013751956739301</v>
      </c>
      <c r="I2243" s="11">
        <v>-0.80112314084351299</v>
      </c>
      <c r="J2243" s="10">
        <v>0.42306036073016901</v>
      </c>
      <c r="K2243" s="29">
        <v>0.98289565623980701</v>
      </c>
    </row>
    <row r="2244" spans="1:11" x14ac:dyDescent="0.35">
      <c r="A2244" s="9" t="str">
        <f>HYPERLINK("http://www.ensembl.org/id/WBGene00007573", "WBGene00007573")</f>
        <v>WBGene00007573</v>
      </c>
      <c r="B2244" s="9" t="str">
        <f>HYPERLINK("http://www.ncbi.nlm.nih.gov/gene/175473", "175473")</f>
        <v>175473</v>
      </c>
      <c r="C2244" s="9"/>
      <c r="D2244" t="str">
        <f>"C14B1.2"</f>
        <v>C14B1.2</v>
      </c>
      <c r="F2244" t="s">
        <v>11</v>
      </c>
      <c r="G2244" t="s">
        <v>25</v>
      </c>
      <c r="H2244" s="12">
        <v>-2.29970987206391</v>
      </c>
      <c r="I2244" s="11">
        <v>-4.2494330238726299</v>
      </c>
      <c r="J2244" s="10">
        <v>2.1431227448690801E-5</v>
      </c>
      <c r="K2244" s="29">
        <v>1.9156001882097401E-3</v>
      </c>
    </row>
    <row r="2245" spans="1:11" x14ac:dyDescent="0.35">
      <c r="A2245" s="9" t="str">
        <f>HYPERLINK("http://www.ensembl.org/id/WBGene00007985", "WBGene00007985")</f>
        <v>WBGene00007985</v>
      </c>
      <c r="B2245" s="9" t="str">
        <f>HYPERLINK("http://www.ncbi.nlm.nih.gov/gene/172790", "172790")</f>
        <v>172790</v>
      </c>
      <c r="C2245" s="9"/>
      <c r="D2245" t="str">
        <f>"swah-1"</f>
        <v>swah-1</v>
      </c>
      <c r="E2245" t="s">
        <v>521</v>
      </c>
      <c r="F2245" t="s">
        <v>11</v>
      </c>
      <c r="G2245" t="s">
        <v>522</v>
      </c>
      <c r="H2245" s="12">
        <v>-2.2983664846998</v>
      </c>
      <c r="I2245" s="11">
        <v>-3.27683196100087</v>
      </c>
      <c r="J2245" s="10">
        <v>1.04978826875613E-3</v>
      </c>
      <c r="K2245" s="29">
        <v>4.0562554745617201E-2</v>
      </c>
    </row>
    <row r="2246" spans="1:11" x14ac:dyDescent="0.35">
      <c r="A2246" s="9" t="str">
        <f>HYPERLINK("http://www.ensembl.org/id/WBGene00013449", "WBGene00013449")</f>
        <v>WBGene00013449</v>
      </c>
      <c r="B2246" s="9" t="str">
        <f>HYPERLINK("http://www.ncbi.nlm.nih.gov/gene/172835", "172835")</f>
        <v>172835</v>
      </c>
      <c r="C2246" s="9"/>
      <c r="D2246" t="str">
        <f>"Y67A6A.1"</f>
        <v>Y67A6A.1</v>
      </c>
      <c r="F2246" t="s">
        <v>11</v>
      </c>
      <c r="H2246" s="12">
        <v>-2.2982965714318002</v>
      </c>
      <c r="I2246" s="11">
        <v>-1.0643081696838399</v>
      </c>
      <c r="J2246" s="10">
        <v>0.28718911824154802</v>
      </c>
      <c r="K2246" s="29">
        <v>0.98289565623980701</v>
      </c>
    </row>
    <row r="2247" spans="1:11" x14ac:dyDescent="0.35">
      <c r="A2247" s="9" t="str">
        <f>HYPERLINK("http://www.ensembl.org/id/WBGene00014711", "WBGene00014711")</f>
        <v>WBGene00014711</v>
      </c>
      <c r="B2247" s="9"/>
      <c r="C2247" s="9"/>
      <c r="D2247" t="str">
        <f>"C50F4.15"</f>
        <v>C50F4.15</v>
      </c>
      <c r="F2247" t="s">
        <v>80</v>
      </c>
      <c r="H2247" s="12">
        <v>-2.2961609353748198</v>
      </c>
      <c r="I2247" s="11">
        <v>-0.43429687327941802</v>
      </c>
      <c r="J2247" s="10">
        <v>0.66407287409038296</v>
      </c>
      <c r="K2247" s="29">
        <v>0.98289565623980701</v>
      </c>
    </row>
    <row r="2248" spans="1:11" x14ac:dyDescent="0.35">
      <c r="A2248" s="9" t="str">
        <f>HYPERLINK("http://www.ensembl.org/id/WBGene00013770", "WBGene00013770")</f>
        <v>WBGene00013770</v>
      </c>
      <c r="B2248" s="9"/>
      <c r="C2248" s="9"/>
      <c r="D2248" t="str">
        <f>"Y113G7B.26"</f>
        <v>Y113G7B.26</v>
      </c>
      <c r="F2248" t="s">
        <v>80</v>
      </c>
      <c r="H2248" s="12">
        <v>-2.2960567688296698</v>
      </c>
      <c r="I2248" s="11">
        <v>-0.56081363428661002</v>
      </c>
      <c r="J2248" s="10">
        <v>0.57492459107883698</v>
      </c>
      <c r="K2248" s="29">
        <v>0.98289565623980701</v>
      </c>
    </row>
    <row r="2249" spans="1:11" x14ac:dyDescent="0.35">
      <c r="A2249" s="9" t="str">
        <f>HYPERLINK("http://www.ensembl.org/id/WBGene00010263", "WBGene00010263")</f>
        <v>WBGene00010263</v>
      </c>
      <c r="B2249" s="9" t="str">
        <f>HYPERLINK("http://www.ncbi.nlm.nih.gov/gene/174932", "174932")</f>
        <v>174932</v>
      </c>
      <c r="C2249" s="9"/>
      <c r="D2249" t="str">
        <f>"wago-4"</f>
        <v>wago-4</v>
      </c>
      <c r="E2249" t="s">
        <v>309</v>
      </c>
      <c r="F2249" t="s">
        <v>11</v>
      </c>
      <c r="G2249" t="s">
        <v>310</v>
      </c>
      <c r="H2249" s="12">
        <v>-2.2955810204501201</v>
      </c>
      <c r="I2249" s="11">
        <v>-4.0272422522036404</v>
      </c>
      <c r="J2249" s="10">
        <v>5.6434878768669203E-5</v>
      </c>
      <c r="K2249" s="29">
        <v>4.1950113275522503E-3</v>
      </c>
    </row>
    <row r="2250" spans="1:11" x14ac:dyDescent="0.35">
      <c r="A2250" s="9" t="str">
        <f>HYPERLINK("http://www.ensembl.org/id/WBGene00008464", "WBGene00008464")</f>
        <v>WBGene00008464</v>
      </c>
      <c r="B2250" s="9" t="str">
        <f>HYPERLINK("http://www.ncbi.nlm.nih.gov/gene/183997", "183997")</f>
        <v>183997</v>
      </c>
      <c r="C2250" s="9"/>
      <c r="D2250" t="str">
        <f>"E02H4.6"</f>
        <v>E02H4.6</v>
      </c>
      <c r="F2250" t="s">
        <v>11</v>
      </c>
      <c r="G2250" t="s">
        <v>112</v>
      </c>
      <c r="H2250" s="12">
        <v>-2.29547492915649</v>
      </c>
      <c r="I2250" s="11">
        <v>-2.9783811923324901</v>
      </c>
      <c r="J2250" s="10">
        <v>2.8977534717689601E-3</v>
      </c>
      <c r="K2250" s="29">
        <v>8.3174523874153403E-2</v>
      </c>
    </row>
    <row r="2251" spans="1:11" x14ac:dyDescent="0.35">
      <c r="A2251" s="9" t="str">
        <f>HYPERLINK("http://www.ensembl.org/id/WBGene00003228", "WBGene00003228")</f>
        <v>WBGene00003228</v>
      </c>
      <c r="B2251" s="9" t="str">
        <f>HYPERLINK("http://www.ncbi.nlm.nih.gov/gene/174836", "174836")</f>
        <v>174836</v>
      </c>
      <c r="C2251" s="9"/>
      <c r="D2251" t="str">
        <f>"mex-1"</f>
        <v>mex-1</v>
      </c>
      <c r="E2251" t="s">
        <v>213</v>
      </c>
      <c r="F2251" t="s">
        <v>11</v>
      </c>
      <c r="G2251" t="s">
        <v>214</v>
      </c>
      <c r="H2251" s="12">
        <v>-2.2944469632985198</v>
      </c>
      <c r="I2251" s="11">
        <v>-4.4792622021148301</v>
      </c>
      <c r="J2251" s="10">
        <v>7.4901481384057004E-6</v>
      </c>
      <c r="K2251" s="29">
        <v>8.2807350663159E-4</v>
      </c>
    </row>
    <row r="2252" spans="1:11" x14ac:dyDescent="0.35">
      <c r="A2252" s="9" t="str">
        <f>HYPERLINK("http://www.ensembl.org/id/WBGene00185089", "WBGene00185089")</f>
        <v>WBGene00185089</v>
      </c>
      <c r="B2252" s="9" t="str">
        <f>HYPERLINK("http://www.ncbi.nlm.nih.gov/gene/13184588", "13184588")</f>
        <v>13184588</v>
      </c>
      <c r="C2252" s="9"/>
      <c r="D2252" t="str">
        <f>"C16A11.10"</f>
        <v>C16A11.10</v>
      </c>
      <c r="F2252" t="s">
        <v>11</v>
      </c>
      <c r="G2252" t="s">
        <v>1808</v>
      </c>
      <c r="H2252" s="12">
        <v>-2.2929077972141698</v>
      </c>
      <c r="I2252" s="11">
        <v>-1.9603461451741999</v>
      </c>
      <c r="J2252" s="10">
        <v>4.9955345916721398E-2</v>
      </c>
      <c r="K2252" s="29">
        <v>0.52324035482854203</v>
      </c>
    </row>
    <row r="2253" spans="1:11" x14ac:dyDescent="0.35">
      <c r="A2253" s="9" t="str">
        <f>HYPERLINK("http://www.ensembl.org/id/WBGene00015908", "WBGene00015908")</f>
        <v>WBGene00015908</v>
      </c>
      <c r="B2253" s="9" t="str">
        <f>HYPERLINK("http://www.ncbi.nlm.nih.gov/gene/182736", "182736")</f>
        <v>182736</v>
      </c>
      <c r="C2253" s="9"/>
      <c r="D2253" t="str">
        <f>"C17F3.3"</f>
        <v>C17F3.3</v>
      </c>
      <c r="F2253" t="s">
        <v>11</v>
      </c>
      <c r="H2253" s="12">
        <v>-2.29282556778863</v>
      </c>
      <c r="I2253" s="11">
        <v>-0.40513534752526997</v>
      </c>
      <c r="J2253" s="10">
        <v>0.685378025190304</v>
      </c>
      <c r="K2253" s="29">
        <v>0.98289565623980701</v>
      </c>
    </row>
    <row r="2254" spans="1:11" x14ac:dyDescent="0.35">
      <c r="A2254" s="9" t="str">
        <f>HYPERLINK("http://www.ensembl.org/id/WBGene00010901", "WBGene00010901")</f>
        <v>WBGene00010901</v>
      </c>
      <c r="B2254" s="9" t="str">
        <f>HYPERLINK("http://www.ncbi.nlm.nih.gov/gene/187463", "187463")</f>
        <v>187463</v>
      </c>
      <c r="C2254" s="9"/>
      <c r="D2254" t="str">
        <f>"M28.10"</f>
        <v>M28.10</v>
      </c>
      <c r="F2254" t="s">
        <v>11</v>
      </c>
      <c r="H2254" s="12">
        <v>-2.28950278617963</v>
      </c>
      <c r="I2254" s="11">
        <v>-2.3346227570687499</v>
      </c>
      <c r="J2254" s="10">
        <v>1.95631366477007E-2</v>
      </c>
      <c r="K2254" s="29">
        <v>0.29526979658513203</v>
      </c>
    </row>
    <row r="2255" spans="1:11" x14ac:dyDescent="0.35">
      <c r="A2255" s="9" t="str">
        <f>HYPERLINK("http://www.ensembl.org/id/WBGene00219238", "WBGene00219238")</f>
        <v>WBGene00219238</v>
      </c>
      <c r="B2255" s="9"/>
      <c r="C2255" s="9"/>
      <c r="D2255" t="str">
        <f>"M151.9"</f>
        <v>M151.9</v>
      </c>
      <c r="F2255" t="s">
        <v>80</v>
      </c>
      <c r="H2255" s="12">
        <v>-2.2881348682749199</v>
      </c>
      <c r="I2255" s="11">
        <v>-0.44952133126545801</v>
      </c>
      <c r="J2255" s="10">
        <v>0.65305562370748804</v>
      </c>
      <c r="K2255" s="29">
        <v>0.98289565623980701</v>
      </c>
    </row>
    <row r="2256" spans="1:11" x14ac:dyDescent="0.35">
      <c r="A2256" s="9" t="str">
        <f>HYPERLINK("http://www.ensembl.org/id/WBGene00021877", "WBGene00021877")</f>
        <v>WBGene00021877</v>
      </c>
      <c r="B2256" s="9" t="str">
        <f>HYPERLINK("http://www.ncbi.nlm.nih.gov/gene/190278", "190278")</f>
        <v>190278</v>
      </c>
      <c r="C2256" s="9"/>
      <c r="D2256" t="str">
        <f>"Y54G2A.12"</f>
        <v>Y54G2A.12</v>
      </c>
      <c r="F2256" t="s">
        <v>11</v>
      </c>
      <c r="G2256" t="s">
        <v>769</v>
      </c>
      <c r="H2256" s="12">
        <v>-2.2843193232638002</v>
      </c>
      <c r="I2256" s="11">
        <v>-2.8747662338440199</v>
      </c>
      <c r="J2256" s="10">
        <v>4.0432673132734303E-3</v>
      </c>
      <c r="K2256" s="29">
        <v>0.10574235369598201</v>
      </c>
    </row>
    <row r="2257" spans="1:11" x14ac:dyDescent="0.35">
      <c r="A2257" s="9" t="str">
        <f>HYPERLINK("http://www.ensembl.org/id/WBGene00007605", "WBGene00007605")</f>
        <v>WBGene00007605</v>
      </c>
      <c r="B2257" s="9" t="str">
        <f>HYPERLINK("http://www.ncbi.nlm.nih.gov/gene/182635", "182635")</f>
        <v>182635</v>
      </c>
      <c r="C2257" s="9"/>
      <c r="D2257" t="str">
        <f>"hrg-7"</f>
        <v>hrg-7</v>
      </c>
      <c r="E2257" t="s">
        <v>1028</v>
      </c>
      <c r="F2257" t="s">
        <v>11</v>
      </c>
      <c r="G2257" t="s">
        <v>1029</v>
      </c>
      <c r="H2257" s="12">
        <v>-2.2831743777796998</v>
      </c>
      <c r="I2257" s="11">
        <v>-2.5510018682158302</v>
      </c>
      <c r="J2257" s="10">
        <v>1.07413750031231E-2</v>
      </c>
      <c r="K2257" s="29">
        <v>0.204193615766779</v>
      </c>
    </row>
    <row r="2258" spans="1:11" x14ac:dyDescent="0.35">
      <c r="A2258" s="9" t="str">
        <f>HYPERLINK("http://www.ensembl.org/id/WBGene00017263", "WBGene00017263")</f>
        <v>WBGene00017263</v>
      </c>
      <c r="B2258" s="9" t="str">
        <f>HYPERLINK("http://www.ncbi.nlm.nih.gov/gene/178925", "178925")</f>
        <v>178925</v>
      </c>
      <c r="C2258" s="9"/>
      <c r="D2258" t="str">
        <f>"F08F3.6"</f>
        <v>F08F3.6</v>
      </c>
      <c r="F2258" t="s">
        <v>11</v>
      </c>
      <c r="G2258" t="s">
        <v>54</v>
      </c>
      <c r="H2258" s="12">
        <v>-2.2828641211071199</v>
      </c>
      <c r="I2258" s="11">
        <v>-3.9266850424844999</v>
      </c>
      <c r="J2258" s="10">
        <v>8.6124639048539296E-5</v>
      </c>
      <c r="K2258" s="29">
        <v>5.8875618634779596E-3</v>
      </c>
    </row>
    <row r="2259" spans="1:11" x14ac:dyDescent="0.35">
      <c r="A2259" s="9" t="str">
        <f>HYPERLINK("http://www.ensembl.org/id/WBGene00198215", "WBGene00198215")</f>
        <v>WBGene00198215</v>
      </c>
      <c r="B2259" s="9"/>
      <c r="C2259" s="9"/>
      <c r="D2259" t="str">
        <f>"C52E4.15"</f>
        <v>C52E4.15</v>
      </c>
      <c r="F2259" t="s">
        <v>481</v>
      </c>
      <c r="H2259" s="12">
        <v>-2.2828330549870399</v>
      </c>
      <c r="I2259" s="11">
        <v>-0.45245403847355098</v>
      </c>
      <c r="J2259" s="10">
        <v>0.65094192495908798</v>
      </c>
      <c r="K2259" s="29">
        <v>0.98289565623980701</v>
      </c>
    </row>
    <row r="2260" spans="1:11" x14ac:dyDescent="0.35">
      <c r="A2260" s="9" t="str">
        <f>HYPERLINK("http://www.ensembl.org/id/WBGene00008037", "WBGene00008037")</f>
        <v>WBGene00008037</v>
      </c>
      <c r="B2260" s="9"/>
      <c r="C2260" s="9"/>
      <c r="D2260" t="str">
        <f>"C40C9.4"</f>
        <v>C40C9.4</v>
      </c>
      <c r="F2260" t="s">
        <v>11</v>
      </c>
      <c r="H2260" s="12">
        <v>-2.2824446438591202</v>
      </c>
      <c r="I2260" s="11">
        <v>-2.7263623432335802</v>
      </c>
      <c r="J2260" s="10">
        <v>6.4036657421636502E-3</v>
      </c>
      <c r="K2260" s="29">
        <v>0.14172710789122001</v>
      </c>
    </row>
    <row r="2261" spans="1:11" x14ac:dyDescent="0.35">
      <c r="A2261" s="9" t="str">
        <f>HYPERLINK("http://www.ensembl.org/id/WBGene00022034", "WBGene00022034")</f>
        <v>WBGene00022034</v>
      </c>
      <c r="B2261" s="9" t="str">
        <f>HYPERLINK("http://www.ncbi.nlm.nih.gov/gene/171642", "171642")</f>
        <v>171642</v>
      </c>
      <c r="C2261" s="9"/>
      <c r="D2261" t="str">
        <f>"deps-1"</f>
        <v>deps-1</v>
      </c>
      <c r="F2261" t="s">
        <v>11</v>
      </c>
      <c r="G2261" t="s">
        <v>261</v>
      </c>
      <c r="H2261" s="12">
        <v>-2.2809142606572799</v>
      </c>
      <c r="I2261" s="11">
        <v>-4.26826823723008</v>
      </c>
      <c r="J2261" s="10">
        <v>1.9699635719581098E-5</v>
      </c>
      <c r="K2261" s="29">
        <v>1.7920463895143299E-3</v>
      </c>
    </row>
    <row r="2262" spans="1:11" x14ac:dyDescent="0.35">
      <c r="A2262" s="9" t="str">
        <f>HYPERLINK("http://www.ensembl.org/id/WBGene00001777", "WBGene00001777")</f>
        <v>WBGene00001777</v>
      </c>
      <c r="B2262" s="9" t="str">
        <f>HYPERLINK("http://www.ncbi.nlm.nih.gov/gene/190225", "190225")</f>
        <v>190225</v>
      </c>
      <c r="C2262" s="9" t="str">
        <f>HYPERLINK("http://www.ncbi.nlm.nih.gov/gene/27306", "27306")</f>
        <v>27306</v>
      </c>
      <c r="D2262" t="str">
        <f>"gst-29"</f>
        <v>gst-29</v>
      </c>
      <c r="E2262" t="s">
        <v>272</v>
      </c>
      <c r="F2262" t="s">
        <v>11</v>
      </c>
      <c r="G2262" t="s">
        <v>876</v>
      </c>
      <c r="H2262" s="12">
        <v>-2.2806361124758299</v>
      </c>
      <c r="I2262" s="11">
        <v>-2.4244936854147401</v>
      </c>
      <c r="J2262" s="10">
        <v>1.53297499215133E-2</v>
      </c>
      <c r="K2262" s="29">
        <v>0.25705200813228901</v>
      </c>
    </row>
    <row r="2263" spans="1:11" x14ac:dyDescent="0.35">
      <c r="A2263" s="9" t="str">
        <f>HYPERLINK("http://www.ensembl.org/id/WBGene00002034", "WBGene00002034")</f>
        <v>WBGene00002034</v>
      </c>
      <c r="B2263" s="9" t="str">
        <f>HYPERLINK("http://www.ncbi.nlm.nih.gov/gene/172099", "172099")</f>
        <v>172099</v>
      </c>
      <c r="C2263" s="9"/>
      <c r="D2263" t="str">
        <f>"htp-3"</f>
        <v>htp-3</v>
      </c>
      <c r="E2263" t="s">
        <v>368</v>
      </c>
      <c r="F2263" t="s">
        <v>11</v>
      </c>
      <c r="G2263" t="s">
        <v>369</v>
      </c>
      <c r="H2263" s="12">
        <v>-2.2795824079923501</v>
      </c>
      <c r="I2263" s="11">
        <v>-3.7958402451728501</v>
      </c>
      <c r="J2263" s="10">
        <v>1.47144234118305E-4</v>
      </c>
      <c r="K2263" s="29">
        <v>8.8770618108030292E-3</v>
      </c>
    </row>
    <row r="2264" spans="1:11" x14ac:dyDescent="0.35">
      <c r="A2264" s="9" t="str">
        <f>HYPERLINK("http://www.ensembl.org/id/WBGene00015899", "WBGene00015899")</f>
        <v>WBGene00015899</v>
      </c>
      <c r="B2264" s="9" t="str">
        <f>HYPERLINK("http://www.ncbi.nlm.nih.gov/gene/178801", "178801")</f>
        <v>178801</v>
      </c>
      <c r="C2264" s="9"/>
      <c r="D2264" t="str">
        <f>"C17E7.4"</f>
        <v>C17E7.4</v>
      </c>
      <c r="F2264" t="s">
        <v>11</v>
      </c>
      <c r="G2264" t="s">
        <v>54</v>
      </c>
      <c r="H2264" s="12">
        <v>-2.2785263811704102</v>
      </c>
      <c r="I2264" s="11">
        <v>-3.8231623985201399</v>
      </c>
      <c r="J2264" s="10">
        <v>1.31750941749068E-4</v>
      </c>
      <c r="K2264" s="29">
        <v>8.1179660268105892E-3</v>
      </c>
    </row>
    <row r="2265" spans="1:11" x14ac:dyDescent="0.35">
      <c r="A2265" s="9" t="str">
        <f>HYPERLINK("http://www.ensembl.org/id/WBGene00000479", "WBGene00000479")</f>
        <v>WBGene00000479</v>
      </c>
      <c r="B2265" s="9" t="str">
        <f>HYPERLINK("http://www.ncbi.nlm.nih.gov/gene/176061", "176061")</f>
        <v>176061</v>
      </c>
      <c r="C2265" s="9" t="str">
        <f>HYPERLINK("http://www.ncbi.nlm.nih.gov/gene/1656", "1656")</f>
        <v>1656</v>
      </c>
      <c r="D2265" t="str">
        <f>"cgh-1"</f>
        <v>cgh-1</v>
      </c>
      <c r="E2265" t="s">
        <v>220</v>
      </c>
      <c r="F2265" t="s">
        <v>11</v>
      </c>
      <c r="G2265" t="s">
        <v>221</v>
      </c>
      <c r="H2265" s="12">
        <v>-2.2784767260807599</v>
      </c>
      <c r="I2265" s="11">
        <v>-4.4550113357483196</v>
      </c>
      <c r="J2265" s="10">
        <v>8.3888762215972695E-6</v>
      </c>
      <c r="K2265" s="29">
        <v>9.04225730791171E-4</v>
      </c>
    </row>
    <row r="2266" spans="1:11" x14ac:dyDescent="0.35">
      <c r="A2266" s="9" t="str">
        <f>HYPERLINK("http://www.ensembl.org/id/WBGene00215616", "WBGene00215616")</f>
        <v>WBGene00215616</v>
      </c>
      <c r="B2266" s="9"/>
      <c r="C2266" s="9"/>
      <c r="D2266" t="str">
        <f>"W04G3.17"</f>
        <v>W04G3.17</v>
      </c>
      <c r="F2266" t="s">
        <v>80</v>
      </c>
      <c r="H2266" s="12">
        <v>-2.27752006848129</v>
      </c>
      <c r="I2266" s="11">
        <v>-0.45450069840178098</v>
      </c>
      <c r="J2266" s="10">
        <v>0.64946848937208101</v>
      </c>
      <c r="K2266" s="29">
        <v>0.98289565623980701</v>
      </c>
    </row>
    <row r="2267" spans="1:11" x14ac:dyDescent="0.35">
      <c r="A2267" s="9" t="str">
        <f>HYPERLINK("http://www.ensembl.org/id/WBGene00017061", "WBGene00017061")</f>
        <v>WBGene00017061</v>
      </c>
      <c r="B2267" s="9" t="str">
        <f>HYPERLINK("http://www.ncbi.nlm.nih.gov/gene/183958", "183958")</f>
        <v>183958</v>
      </c>
      <c r="C2267" s="9"/>
      <c r="D2267" t="str">
        <f>"oac-12"</f>
        <v>oac-12</v>
      </c>
      <c r="E2267" t="s">
        <v>883</v>
      </c>
      <c r="F2267" t="s">
        <v>11</v>
      </c>
      <c r="G2267" t="s">
        <v>1992</v>
      </c>
      <c r="H2267" s="12">
        <v>-2.2773456770676201</v>
      </c>
      <c r="I2267" s="11">
        <v>-0.54053356487160498</v>
      </c>
      <c r="J2267" s="10">
        <v>0.58882911990847298</v>
      </c>
      <c r="K2267" s="29">
        <v>0.98289565623980701</v>
      </c>
    </row>
    <row r="2268" spans="1:11" x14ac:dyDescent="0.35">
      <c r="A2268" s="9" t="str">
        <f>HYPERLINK("http://www.ensembl.org/id/WBGene00013349", "WBGene00013349")</f>
        <v>WBGene00013349</v>
      </c>
      <c r="B2268" s="9" t="str">
        <f>HYPERLINK("http://www.ncbi.nlm.nih.gov/gene/190395", "190395")</f>
        <v>190395</v>
      </c>
      <c r="C2268" s="9"/>
      <c r="D2268" t="str">
        <f>"Y59A8B.12"</f>
        <v>Y59A8B.12</v>
      </c>
      <c r="F2268" t="s">
        <v>11</v>
      </c>
      <c r="H2268" s="12">
        <v>-2.2749594961286799</v>
      </c>
      <c r="I2268" s="11">
        <v>-3.49051018553283</v>
      </c>
      <c r="J2268" s="10">
        <v>4.82099235642734E-4</v>
      </c>
      <c r="K2268" s="29">
        <v>2.2234301274972099E-2</v>
      </c>
    </row>
    <row r="2269" spans="1:11" x14ac:dyDescent="0.35">
      <c r="A2269" s="9" t="str">
        <f>HYPERLINK("http://www.ensembl.org/id/WBGene00017204", "WBGene00017204")</f>
        <v>WBGene00017204</v>
      </c>
      <c r="B2269" s="9" t="str">
        <f>HYPERLINK("http://www.ncbi.nlm.nih.gov/gene/184134", "184134")</f>
        <v>184134</v>
      </c>
      <c r="C2269" s="9"/>
      <c r="D2269" t="str">
        <f>"F07C4.11"</f>
        <v>F07C4.11</v>
      </c>
      <c r="F2269" t="s">
        <v>11</v>
      </c>
      <c r="H2269" s="12">
        <v>-2.2747253724340402</v>
      </c>
      <c r="I2269" s="11">
        <v>-0.31719583161315601</v>
      </c>
      <c r="J2269" s="10">
        <v>0.75109501263425704</v>
      </c>
      <c r="K2269" s="29">
        <v>0.98289565623980701</v>
      </c>
    </row>
    <row r="2270" spans="1:11" x14ac:dyDescent="0.35">
      <c r="A2270" s="9" t="str">
        <f>HYPERLINK("http://www.ensembl.org/id/WBGene00220191", "WBGene00220191")</f>
        <v>WBGene00220191</v>
      </c>
      <c r="B2270" s="9"/>
      <c r="C2270" s="9"/>
      <c r="D2270" t="str">
        <f>"Y65B4BR.12"</f>
        <v>Y65B4BR.12</v>
      </c>
      <c r="F2270" t="s">
        <v>2977</v>
      </c>
      <c r="H2270" s="12">
        <v>-2.2747253724340402</v>
      </c>
      <c r="I2270" s="11">
        <v>-0.31719583161315601</v>
      </c>
      <c r="J2270" s="10">
        <v>0.75109501263425704</v>
      </c>
      <c r="K2270" s="29">
        <v>0.98289565623980701</v>
      </c>
    </row>
    <row r="2271" spans="1:11" x14ac:dyDescent="0.35">
      <c r="A2271" s="9" t="str">
        <f>HYPERLINK("http://www.ensembl.org/id/WBGene00019608", "WBGene00019608")</f>
        <v>WBGene00019608</v>
      </c>
      <c r="B2271" s="9" t="str">
        <f>HYPERLINK("http://www.ncbi.nlm.nih.gov/gene/174055", "174055")</f>
        <v>174055</v>
      </c>
      <c r="C2271" s="9"/>
      <c r="D2271" t="str">
        <f>"ani-2"</f>
        <v>ani-2</v>
      </c>
      <c r="E2271" t="s">
        <v>293</v>
      </c>
      <c r="F2271" t="s">
        <v>11</v>
      </c>
      <c r="H2271" s="12">
        <v>-2.2740785520871798</v>
      </c>
      <c r="I2271" s="11">
        <v>-4.1057283885594797</v>
      </c>
      <c r="J2271" s="10">
        <v>4.0304284131451398E-5</v>
      </c>
      <c r="K2271" s="29">
        <v>3.2233902495144399E-3</v>
      </c>
    </row>
    <row r="2272" spans="1:11" x14ac:dyDescent="0.35">
      <c r="A2272" s="9" t="str">
        <f>HYPERLINK("http://www.ensembl.org/id/WBGene00018731", "WBGene00018731")</f>
        <v>WBGene00018731</v>
      </c>
      <c r="B2272" s="9" t="str">
        <f>HYPERLINK("http://www.ncbi.nlm.nih.gov/gene/181118", "181118")</f>
        <v>181118</v>
      </c>
      <c r="C2272" s="9"/>
      <c r="D2272" t="str">
        <f>"F53A9.8"</f>
        <v>F53A9.8</v>
      </c>
      <c r="F2272" t="s">
        <v>11</v>
      </c>
      <c r="G2272" t="s">
        <v>84</v>
      </c>
      <c r="H2272" s="12">
        <v>-2.2712743438421001</v>
      </c>
      <c r="I2272" s="11">
        <v>-3.5210651666240298</v>
      </c>
      <c r="J2272" s="10">
        <v>4.2981697251003698E-4</v>
      </c>
      <c r="K2272" s="29">
        <v>2.0434878532545098E-2</v>
      </c>
    </row>
    <row r="2273" spans="1:11" x14ac:dyDescent="0.35">
      <c r="A2273" s="9" t="str">
        <f>HYPERLINK("http://www.ensembl.org/id/WBGene00008824", "WBGene00008824")</f>
        <v>WBGene00008824</v>
      </c>
      <c r="B2273" s="9" t="str">
        <f>HYPERLINK("http://www.ncbi.nlm.nih.gov/gene/184491", "184491")</f>
        <v>184491</v>
      </c>
      <c r="C2273" s="9"/>
      <c r="D2273" t="str">
        <f>"F14H3.5"</f>
        <v>F14H3.5</v>
      </c>
      <c r="F2273" t="s">
        <v>11</v>
      </c>
      <c r="H2273" s="12">
        <v>-2.2698429929688699</v>
      </c>
      <c r="I2273" s="11">
        <v>-2.7214629445819001</v>
      </c>
      <c r="J2273" s="10">
        <v>6.4993671275535899E-3</v>
      </c>
      <c r="K2273" s="29">
        <v>0.14230407785108201</v>
      </c>
    </row>
    <row r="2274" spans="1:11" x14ac:dyDescent="0.35">
      <c r="A2274" s="9" t="str">
        <f>HYPERLINK("http://www.ensembl.org/id/WBGene00020892", "WBGene00020892")</f>
        <v>WBGene00020892</v>
      </c>
      <c r="B2274" s="9"/>
      <c r="C2274" s="9"/>
      <c r="D2274" t="str">
        <f>"T28C12.5"</f>
        <v>T28C12.5</v>
      </c>
      <c r="F2274" t="s">
        <v>80</v>
      </c>
      <c r="H2274" s="12">
        <v>-2.2679463960309301</v>
      </c>
      <c r="I2274" s="11">
        <v>-0.51005932826127898</v>
      </c>
      <c r="J2274" s="10">
        <v>0.61000989800767902</v>
      </c>
      <c r="K2274" s="29">
        <v>0.98289565623980701</v>
      </c>
    </row>
    <row r="2275" spans="1:11" x14ac:dyDescent="0.35">
      <c r="A2275" s="9" t="str">
        <f>HYPERLINK("http://www.ensembl.org/id/WBGene00011202", "WBGene00011202")</f>
        <v>WBGene00011202</v>
      </c>
      <c r="B2275" s="9" t="str">
        <f>HYPERLINK("http://www.ncbi.nlm.nih.gov/gene/187771", "187771")</f>
        <v>187771</v>
      </c>
      <c r="C2275" s="9"/>
      <c r="D2275" t="str">
        <f>"R10E4.6"</f>
        <v>R10E4.6</v>
      </c>
      <c r="F2275" t="s">
        <v>11</v>
      </c>
      <c r="G2275" t="s">
        <v>25</v>
      </c>
      <c r="H2275" s="12">
        <v>-2.2671055726331</v>
      </c>
      <c r="I2275" s="11">
        <v>-2.0939060161812302</v>
      </c>
      <c r="J2275" s="10">
        <v>3.6268353245394201E-2</v>
      </c>
      <c r="K2275" s="29">
        <v>0.43489703966773002</v>
      </c>
    </row>
    <row r="2276" spans="1:11" x14ac:dyDescent="0.35">
      <c r="A2276" s="9" t="str">
        <f>HYPERLINK("http://www.ensembl.org/id/WBGene00011848", "WBGene00011848")</f>
        <v>WBGene00011848</v>
      </c>
      <c r="B2276" s="9" t="str">
        <f>HYPERLINK("http://www.ncbi.nlm.nih.gov/gene/188616", "188616")</f>
        <v>188616</v>
      </c>
      <c r="C2276" s="9"/>
      <c r="D2276" t="str">
        <f>"chil-27"</f>
        <v>chil-27</v>
      </c>
      <c r="E2276" t="s">
        <v>1756</v>
      </c>
      <c r="F2276" t="s">
        <v>11</v>
      </c>
      <c r="G2276" t="s">
        <v>10046</v>
      </c>
      <c r="H2276" s="12">
        <v>-2.2668949833030698</v>
      </c>
      <c r="I2276" s="11">
        <v>-0.66010567689496003</v>
      </c>
      <c r="J2276" s="10">
        <v>0.50918601592673396</v>
      </c>
      <c r="K2276" s="29">
        <v>0.98289565623980701</v>
      </c>
    </row>
    <row r="2277" spans="1:11" x14ac:dyDescent="0.35">
      <c r="A2277" s="9" t="str">
        <f>HYPERLINK("http://www.ensembl.org/id/WBGene00017071", "WBGene00017071")</f>
        <v>WBGene00017071</v>
      </c>
      <c r="B2277" s="9" t="str">
        <f>HYPERLINK("http://www.ncbi.nlm.nih.gov/gene/177632", "177632")</f>
        <v>177632</v>
      </c>
      <c r="C2277" s="9" t="str">
        <f>HYPERLINK("http://www.ncbi.nlm.nih.gov/gene/8972", "8972")</f>
        <v>8972</v>
      </c>
      <c r="D2277" t="str">
        <f>"aagr-1"</f>
        <v>aagr-1</v>
      </c>
      <c r="E2277" t="s">
        <v>555</v>
      </c>
      <c r="F2277" t="s">
        <v>11</v>
      </c>
      <c r="G2277" t="s">
        <v>556</v>
      </c>
      <c r="H2277" s="12">
        <v>-2.2665006283962401</v>
      </c>
      <c r="I2277" s="11">
        <v>-3.2006742686136298</v>
      </c>
      <c r="J2277" s="10">
        <v>1.37106431036085E-3</v>
      </c>
      <c r="K2277" s="29">
        <v>4.96548776727238E-2</v>
      </c>
    </row>
    <row r="2278" spans="1:11" x14ac:dyDescent="0.35">
      <c r="A2278" s="9" t="str">
        <f>HYPERLINK("http://www.ensembl.org/id/WBGene00016207", "WBGene00016207")</f>
        <v>WBGene00016207</v>
      </c>
      <c r="B2278" s="9" t="str">
        <f>HYPERLINK("http://www.ncbi.nlm.nih.gov/gene/183002", "183002")</f>
        <v>183002</v>
      </c>
      <c r="C2278" s="9" t="str">
        <f>HYPERLINK("http://www.ncbi.nlm.nih.gov/gene/2581", "2581")</f>
        <v>2581</v>
      </c>
      <c r="D2278" t="str">
        <f>"C29E4.10"</f>
        <v>C29E4.10</v>
      </c>
      <c r="E2278" t="s">
        <v>289</v>
      </c>
      <c r="F2278" t="s">
        <v>11</v>
      </c>
      <c r="G2278" t="s">
        <v>290</v>
      </c>
      <c r="H2278" s="12">
        <v>-2.2653128070276098</v>
      </c>
      <c r="I2278" s="11">
        <v>-4.1223565228859398</v>
      </c>
      <c r="J2278" s="10">
        <v>3.7501618928171998E-5</v>
      </c>
      <c r="K2278" s="29">
        <v>3.03714821402823E-3</v>
      </c>
    </row>
    <row r="2279" spans="1:11" x14ac:dyDescent="0.35">
      <c r="A2279" s="9" t="str">
        <f>HYPERLINK("http://www.ensembl.org/id/WBGene00018661", "WBGene00018661")</f>
        <v>WBGene00018661</v>
      </c>
      <c r="B2279" s="9" t="str">
        <f>HYPERLINK("http://www.ncbi.nlm.nih.gov/gene/186086", "186086")</f>
        <v>186086</v>
      </c>
      <c r="C2279" s="9"/>
      <c r="D2279" t="str">
        <f>"F52C6.4"</f>
        <v>F52C6.4</v>
      </c>
      <c r="F2279" t="s">
        <v>11</v>
      </c>
      <c r="H2279" s="12">
        <v>-2.2648903463962999</v>
      </c>
      <c r="I2279" s="11">
        <v>-0.80155397449939803</v>
      </c>
      <c r="J2279" s="10">
        <v>0.42281101037185997</v>
      </c>
      <c r="K2279" s="29">
        <v>0.98289565623980701</v>
      </c>
    </row>
    <row r="2280" spans="1:11" x14ac:dyDescent="0.35">
      <c r="A2280" s="9" t="str">
        <f>HYPERLINK("http://www.ensembl.org/id/WBGene00271808", "WBGene00271808")</f>
        <v>WBGene00271808</v>
      </c>
      <c r="B2280" s="9" t="str">
        <f>HYPERLINK("http://www.ncbi.nlm.nih.gov/gene/34700628", "34700628")</f>
        <v>34700628</v>
      </c>
      <c r="C2280" s="9"/>
      <c r="D2280" t="str">
        <f>"F21C10.19"</f>
        <v>F21C10.19</v>
      </c>
      <c r="F2280" t="s">
        <v>11</v>
      </c>
      <c r="H2280" s="12">
        <v>-2.2648351072081998</v>
      </c>
      <c r="I2280" s="11">
        <v>-1.20866131783144</v>
      </c>
      <c r="J2280" s="10">
        <v>0.22679298852545801</v>
      </c>
      <c r="K2280" s="29">
        <v>0.98289565623980701</v>
      </c>
    </row>
    <row r="2281" spans="1:11" x14ac:dyDescent="0.35">
      <c r="A2281" s="9" t="str">
        <f>HYPERLINK("http://www.ensembl.org/id/WBGene00017712", "WBGene00017712")</f>
        <v>WBGene00017712</v>
      </c>
      <c r="B2281" s="9" t="str">
        <f>HYPERLINK("http://www.ncbi.nlm.nih.gov/gene/173611", "173611")</f>
        <v>173611</v>
      </c>
      <c r="C2281" s="9"/>
      <c r="D2281" t="str">
        <f>"F22E5.17"</f>
        <v>F22E5.17</v>
      </c>
      <c r="F2281" t="s">
        <v>11</v>
      </c>
      <c r="H2281" s="12">
        <v>-2.2643848400985398</v>
      </c>
      <c r="I2281" s="11">
        <v>-3.0277862844401402</v>
      </c>
      <c r="J2281" s="10">
        <v>2.4635224418121599E-3</v>
      </c>
      <c r="K2281" s="29">
        <v>7.41387138201582E-2</v>
      </c>
    </row>
    <row r="2282" spans="1:11" x14ac:dyDescent="0.35">
      <c r="A2282" s="9" t="str">
        <f>HYPERLINK("http://www.ensembl.org/id/WBGene00011066", "WBGene00011066")</f>
        <v>WBGene00011066</v>
      </c>
      <c r="B2282" s="9" t="str">
        <f>HYPERLINK("http://www.ncbi.nlm.nih.gov/gene/172470", "172470")</f>
        <v>172470</v>
      </c>
      <c r="C2282" s="9"/>
      <c r="D2282" t="str">
        <f>"ztf-15"</f>
        <v>ztf-15</v>
      </c>
      <c r="E2282" t="s">
        <v>461</v>
      </c>
      <c r="F2282" t="s">
        <v>11</v>
      </c>
      <c r="G2282" t="s">
        <v>462</v>
      </c>
      <c r="H2282" s="12">
        <v>-2.2643080788659802</v>
      </c>
      <c r="I2282" s="11">
        <v>-3.5079850734484799</v>
      </c>
      <c r="J2282" s="10">
        <v>4.5151438272197599E-4</v>
      </c>
      <c r="K2282" s="29">
        <v>2.1033651869302401E-2</v>
      </c>
    </row>
    <row r="2283" spans="1:11" x14ac:dyDescent="0.35">
      <c r="A2283" s="9" t="str">
        <f>HYPERLINK("http://www.ensembl.org/id/WBGene00018948", "WBGene00018948")</f>
        <v>WBGene00018948</v>
      </c>
      <c r="B2283" s="9" t="str">
        <f>HYPERLINK("http://www.ncbi.nlm.nih.gov/gene/176036", "176036")</f>
        <v>176036</v>
      </c>
      <c r="C2283" s="9"/>
      <c r="D2283" t="str">
        <f>"F56C9.3"</f>
        <v>F56C9.3</v>
      </c>
      <c r="F2283" t="s">
        <v>11</v>
      </c>
      <c r="G2283" t="s">
        <v>307</v>
      </c>
      <c r="H2283" s="12">
        <v>-2.2637783230147202</v>
      </c>
      <c r="I2283" s="11">
        <v>-4.0297056920276404</v>
      </c>
      <c r="J2283" s="10">
        <v>5.58467296848831E-5</v>
      </c>
      <c r="K2283" s="29">
        <v>4.1895926496717797E-3</v>
      </c>
    </row>
    <row r="2284" spans="1:11" x14ac:dyDescent="0.35">
      <c r="A2284" s="9" t="str">
        <f>HYPERLINK("http://www.ensembl.org/id/WBGene00015504", "WBGene00015504")</f>
        <v>WBGene00015504</v>
      </c>
      <c r="B2284" s="9" t="str">
        <f>HYPERLINK("http://www.ncbi.nlm.nih.gov/gene/172273", "172273")</f>
        <v>172273</v>
      </c>
      <c r="C2284" s="9"/>
      <c r="D2284" t="str">
        <f>"C06A5.6"</f>
        <v>C06A5.6</v>
      </c>
      <c r="F2284" t="s">
        <v>11</v>
      </c>
      <c r="G2284" t="s">
        <v>465</v>
      </c>
      <c r="H2284" s="12">
        <v>-2.2634687339869002</v>
      </c>
      <c r="I2284" s="11">
        <v>-3.4845747828831701</v>
      </c>
      <c r="J2284" s="10">
        <v>4.9291969678022702E-4</v>
      </c>
      <c r="K2284" s="29">
        <v>2.2642947343546601E-2</v>
      </c>
    </row>
    <row r="2285" spans="1:11" x14ac:dyDescent="0.35">
      <c r="A2285" s="9" t="str">
        <f>HYPERLINK("http://www.ensembl.org/id/WBGene00022113", "WBGene00022113")</f>
        <v>WBGene00022113</v>
      </c>
      <c r="B2285" s="9" t="str">
        <f>HYPERLINK("http://www.ncbi.nlm.nih.gov/gene/171855", "171855")</f>
        <v>171855</v>
      </c>
      <c r="C2285" s="9"/>
      <c r="D2285" t="str">
        <f>"Y71F9AL.8"</f>
        <v>Y71F9AL.8</v>
      </c>
      <c r="F2285" t="s">
        <v>11</v>
      </c>
      <c r="H2285" s="12">
        <v>-2.2629138407749898</v>
      </c>
      <c r="I2285" s="11">
        <v>-2.5082556345121199</v>
      </c>
      <c r="J2285" s="10">
        <v>1.21328855873659E-2</v>
      </c>
      <c r="K2285" s="29">
        <v>0.219876434809158</v>
      </c>
    </row>
    <row r="2286" spans="1:11" x14ac:dyDescent="0.35">
      <c r="A2286" s="9" t="str">
        <f>HYPERLINK("http://www.ensembl.org/id/WBGene00003090", "WBGene00003090")</f>
        <v>WBGene00003090</v>
      </c>
      <c r="B2286" s="9" t="str">
        <f>HYPERLINK("http://www.ncbi.nlm.nih.gov/gene/179428", "179428")</f>
        <v>179428</v>
      </c>
      <c r="C2286" s="9"/>
      <c r="D2286" t="str">
        <f>"lys-1"</f>
        <v>lys-1</v>
      </c>
      <c r="E2286" t="s">
        <v>359</v>
      </c>
      <c r="F2286" t="s">
        <v>11</v>
      </c>
      <c r="G2286" t="s">
        <v>202</v>
      </c>
      <c r="H2286" s="12">
        <v>-2.2615732408231302</v>
      </c>
      <c r="I2286" s="11">
        <v>-3.8306526002266699</v>
      </c>
      <c r="J2286" s="10">
        <v>1.2780384208709901E-4</v>
      </c>
      <c r="K2286" s="29">
        <v>7.9382676754421993E-3</v>
      </c>
    </row>
    <row r="2287" spans="1:11" x14ac:dyDescent="0.35">
      <c r="A2287" s="9" t="str">
        <f>HYPERLINK("http://www.ensembl.org/id/WBGene00019682", "WBGene00019682")</f>
        <v>WBGene00019682</v>
      </c>
      <c r="B2287" s="9" t="str">
        <f>HYPERLINK("http://www.ncbi.nlm.nih.gov/gene/176136", "176136")</f>
        <v>176136</v>
      </c>
      <c r="C2287" s="9"/>
      <c r="D2287" t="str">
        <f>"K12H4.7"</f>
        <v>K12H4.7</v>
      </c>
      <c r="E2287" t="s">
        <v>405</v>
      </c>
      <c r="F2287" t="s">
        <v>11</v>
      </c>
      <c r="G2287" t="s">
        <v>406</v>
      </c>
      <c r="H2287" s="12">
        <v>-2.2611329187464202</v>
      </c>
      <c r="I2287" s="11">
        <v>-3.6715111495396102</v>
      </c>
      <c r="J2287" s="10">
        <v>2.41120557128093E-4</v>
      </c>
      <c r="K2287" s="29">
        <v>1.31090155129452E-2</v>
      </c>
    </row>
    <row r="2288" spans="1:11" x14ac:dyDescent="0.35">
      <c r="A2288" s="9" t="str">
        <f>HYPERLINK("http://www.ensembl.org/id/WBGene00013996", "WBGene00013996")</f>
        <v>WBGene00013996</v>
      </c>
      <c r="B2288" s="9" t="str">
        <f>HYPERLINK("http://www.ncbi.nlm.nih.gov/gene/191349", "191349")</f>
        <v>191349</v>
      </c>
      <c r="C2288" s="9" t="str">
        <f>HYPERLINK("http://www.ncbi.nlm.nih.gov/gene/256471", "256471")</f>
        <v>256471</v>
      </c>
      <c r="D2288" t="str">
        <f>"ZK550.2"</f>
        <v>ZK550.2</v>
      </c>
      <c r="F2288" t="s">
        <v>11</v>
      </c>
      <c r="G2288" t="s">
        <v>230</v>
      </c>
      <c r="H2288" s="12">
        <v>-2.2597283548451701</v>
      </c>
      <c r="I2288" s="11">
        <v>-2.4625377695876698</v>
      </c>
      <c r="J2288" s="10">
        <v>1.3795764167154299E-2</v>
      </c>
      <c r="K2288" s="29">
        <v>0.23985321809350499</v>
      </c>
    </row>
    <row r="2289" spans="1:11" x14ac:dyDescent="0.35">
      <c r="A2289" s="9" t="str">
        <f>HYPERLINK("http://www.ensembl.org/id/WBGene00010194", "WBGene00010194")</f>
        <v>WBGene00010194</v>
      </c>
      <c r="B2289" s="9" t="str">
        <f>HYPERLINK("http://www.ncbi.nlm.nih.gov/gene/186443", "186443")</f>
        <v>186443</v>
      </c>
      <c r="C2289" s="9"/>
      <c r="D2289" t="str">
        <f>"btb-19"</f>
        <v>btb-19</v>
      </c>
      <c r="E2289" t="s">
        <v>468</v>
      </c>
      <c r="F2289" t="s">
        <v>11</v>
      </c>
      <c r="G2289" t="s">
        <v>54</v>
      </c>
      <c r="H2289" s="12">
        <v>-2.2576079470282</v>
      </c>
      <c r="I2289" s="11">
        <v>-2.9739813641918502</v>
      </c>
      <c r="J2289" s="10">
        <v>2.9396292780743401E-3</v>
      </c>
      <c r="K2289" s="29">
        <v>8.3855647036031697E-2</v>
      </c>
    </row>
    <row r="2290" spans="1:11" x14ac:dyDescent="0.35">
      <c r="A2290" s="9" t="str">
        <f>HYPERLINK("http://www.ensembl.org/id/WBGene00013478", "WBGene00013478")</f>
        <v>WBGene00013478</v>
      </c>
      <c r="B2290" s="9" t="str">
        <f>HYPERLINK("http://www.ncbi.nlm.nih.gov/gene/190554", "190554")</f>
        <v>190554</v>
      </c>
      <c r="C2290" s="9"/>
      <c r="D2290" t="str">
        <f>"Y69E1A.8"</f>
        <v>Y69E1A.8</v>
      </c>
      <c r="F2290" t="s">
        <v>11</v>
      </c>
      <c r="H2290" s="12">
        <v>-2.2575546102491901</v>
      </c>
      <c r="I2290" s="11">
        <v>-0.77040323419942802</v>
      </c>
      <c r="J2290" s="10">
        <v>0.44106073552452602</v>
      </c>
      <c r="K2290" s="29">
        <v>0.98289565623980701</v>
      </c>
    </row>
    <row r="2291" spans="1:11" x14ac:dyDescent="0.35">
      <c r="A2291" s="9" t="str">
        <f>HYPERLINK("http://www.ensembl.org/id/WBGene00018200", "WBGene00018200")</f>
        <v>WBGene00018200</v>
      </c>
      <c r="B2291" s="9" t="str">
        <f>HYPERLINK("http://www.ncbi.nlm.nih.gov/gene/173673", "173673")</f>
        <v>173673</v>
      </c>
      <c r="C2291" s="9"/>
      <c r="D2291" t="str">
        <f>"btb-17"</f>
        <v>btb-17</v>
      </c>
      <c r="E2291" t="s">
        <v>468</v>
      </c>
      <c r="F2291" t="s">
        <v>11</v>
      </c>
      <c r="G2291" t="s">
        <v>54</v>
      </c>
      <c r="H2291" s="12">
        <v>-2.2573968921923799</v>
      </c>
      <c r="I2291" s="11">
        <v>-2.6992031371587699</v>
      </c>
      <c r="J2291" s="10">
        <v>6.9505735950122901E-3</v>
      </c>
      <c r="K2291" s="29">
        <v>0.14925646234791301</v>
      </c>
    </row>
    <row r="2292" spans="1:11" x14ac:dyDescent="0.35">
      <c r="A2292" s="9" t="str">
        <f>HYPERLINK("http://www.ensembl.org/id/WBGene00009427", "WBGene00009427")</f>
        <v>WBGene00009427</v>
      </c>
      <c r="B2292" s="9" t="str">
        <f>HYPERLINK("http://www.ncbi.nlm.nih.gov/gene/185305", "185305")</f>
        <v>185305</v>
      </c>
      <c r="C2292" s="9"/>
      <c r="D2292" t="str">
        <f>"fbxa-181"</f>
        <v>fbxa-181</v>
      </c>
      <c r="E2292" t="s">
        <v>467</v>
      </c>
      <c r="F2292" t="s">
        <v>11</v>
      </c>
      <c r="G2292" t="s">
        <v>54</v>
      </c>
      <c r="H2292" s="12">
        <v>-2.2566279858369098</v>
      </c>
      <c r="I2292" s="11">
        <v>-1.1476108585384801</v>
      </c>
      <c r="J2292" s="10">
        <v>0.251129245137309</v>
      </c>
      <c r="K2292" s="29">
        <v>0.98289565623980701</v>
      </c>
    </row>
    <row r="2293" spans="1:11" x14ac:dyDescent="0.35">
      <c r="A2293" s="9" t="str">
        <f>HYPERLINK("http://www.ensembl.org/id/WBGene00021087", "WBGene00021087")</f>
        <v>WBGene00021087</v>
      </c>
      <c r="B2293" s="9" t="str">
        <f>HYPERLINK("http://www.ncbi.nlm.nih.gov/gene/189294", "189294")</f>
        <v>189294</v>
      </c>
      <c r="C2293" s="9"/>
      <c r="D2293" t="str">
        <f>"W08E12.6"</f>
        <v>W08E12.6</v>
      </c>
      <c r="F2293" t="s">
        <v>11</v>
      </c>
      <c r="H2293" s="12">
        <v>-2.2560057755476</v>
      </c>
      <c r="I2293" s="11">
        <v>-1.2839989281739099</v>
      </c>
      <c r="J2293" s="10">
        <v>0.199142330448351</v>
      </c>
      <c r="K2293" s="29">
        <v>0.945036493600246</v>
      </c>
    </row>
    <row r="2294" spans="1:11" x14ac:dyDescent="0.35">
      <c r="A2294" s="9" t="str">
        <f>HYPERLINK("http://www.ensembl.org/id/WBGene00021704", "WBGene00021704")</f>
        <v>WBGene00021704</v>
      </c>
      <c r="B2294" s="9" t="str">
        <f>HYPERLINK("http://www.ncbi.nlm.nih.gov/gene/190056", "190056")</f>
        <v>190056</v>
      </c>
      <c r="C2294" s="9"/>
      <c r="D2294" t="str">
        <f>"Y48G9A.11"</f>
        <v>Y48G9A.11</v>
      </c>
      <c r="F2294" t="s">
        <v>11</v>
      </c>
      <c r="H2294" s="12">
        <v>-2.2547129697834101</v>
      </c>
      <c r="I2294" s="11">
        <v>-1.9218666557014801</v>
      </c>
      <c r="J2294" s="10">
        <v>5.4622538449791598E-2</v>
      </c>
      <c r="K2294" s="29">
        <v>0.54969876891153602</v>
      </c>
    </row>
    <row r="2295" spans="1:11" x14ac:dyDescent="0.35">
      <c r="A2295" s="9" t="str">
        <f>HYPERLINK("http://www.ensembl.org/id/WBGene00013894", "WBGene00013894")</f>
        <v>WBGene00013894</v>
      </c>
      <c r="B2295" s="9" t="str">
        <f>HYPERLINK("http://www.ncbi.nlm.nih.gov/gene/172907", "172907")</f>
        <v>172907</v>
      </c>
      <c r="C2295" s="9"/>
      <c r="D2295" t="str">
        <f>"ZC434.8"</f>
        <v>ZC434.8</v>
      </c>
      <c r="E2295" t="s">
        <v>279</v>
      </c>
      <c r="F2295" t="s">
        <v>11</v>
      </c>
      <c r="G2295" t="s">
        <v>280</v>
      </c>
      <c r="H2295" s="12">
        <v>-2.2546817341356</v>
      </c>
      <c r="I2295" s="11">
        <v>-4.1758565827559702</v>
      </c>
      <c r="J2295" s="10">
        <v>2.9686681979988198E-5</v>
      </c>
      <c r="K2295" s="29">
        <v>2.4852915718464098E-3</v>
      </c>
    </row>
    <row r="2296" spans="1:11" x14ac:dyDescent="0.35">
      <c r="A2296" s="9" t="str">
        <f>HYPERLINK("http://www.ensembl.org/id/WBGene00013154", "WBGene00013154")</f>
        <v>WBGene00013154</v>
      </c>
      <c r="B2296" s="9" t="str">
        <f>HYPERLINK("http://www.ncbi.nlm.nih.gov/gene/190210", "190210")</f>
        <v>190210</v>
      </c>
      <c r="C2296" s="9"/>
      <c r="D2296" t="str">
        <f>"Y53F4B.7"</f>
        <v>Y53F4B.7</v>
      </c>
      <c r="F2296" t="s">
        <v>11</v>
      </c>
      <c r="H2296" s="12">
        <v>-2.2537886468019002</v>
      </c>
      <c r="I2296" s="11">
        <v>-0.38344622282184598</v>
      </c>
      <c r="J2296" s="10">
        <v>0.70138893657708501</v>
      </c>
      <c r="K2296" s="29">
        <v>0.98289565623980701</v>
      </c>
    </row>
    <row r="2297" spans="1:11" x14ac:dyDescent="0.35">
      <c r="A2297" s="9" t="str">
        <f>HYPERLINK("http://www.ensembl.org/id/WBGene00219310", "WBGene00219310")</f>
        <v>WBGene00219310</v>
      </c>
      <c r="B2297" s="9" t="str">
        <f>HYPERLINK("http://www.ncbi.nlm.nih.gov/gene/13181455", "13181455")</f>
        <v>13181455</v>
      </c>
      <c r="C2297" s="9"/>
      <c r="D2297" t="str">
        <f>"C17E4.19"</f>
        <v>C17E4.19</v>
      </c>
      <c r="F2297" t="s">
        <v>11</v>
      </c>
      <c r="H2297" s="12">
        <v>-2.2505269475545102</v>
      </c>
      <c r="I2297" s="11">
        <v>-1.10532654134217</v>
      </c>
      <c r="J2297" s="10">
        <v>0.26901812130692798</v>
      </c>
      <c r="K2297" s="29">
        <v>0.98289565623980701</v>
      </c>
    </row>
    <row r="2298" spans="1:11" x14ac:dyDescent="0.35">
      <c r="A2298" s="9" t="str">
        <f>HYPERLINK("http://www.ensembl.org/id/WBGene00001899", "WBGene00001899")</f>
        <v>WBGene00001899</v>
      </c>
      <c r="B2298" s="9" t="str">
        <f>HYPERLINK("http://www.ncbi.nlm.nih.gov/gene/175031", "175031")</f>
        <v>175031</v>
      </c>
      <c r="C2298" s="9" t="str">
        <f>HYPERLINK("http://www.ncbi.nlm.nih.gov/gene/8356", "8356")</f>
        <v>8356</v>
      </c>
      <c r="D2298" t="str">
        <f>"his-25"</f>
        <v>his-25</v>
      </c>
      <c r="E2298" t="s">
        <v>3683</v>
      </c>
      <c r="F2298" t="s">
        <v>11</v>
      </c>
      <c r="G2298" t="s">
        <v>232</v>
      </c>
      <c r="H2298" s="12">
        <v>-2.24873167550107</v>
      </c>
      <c r="I2298" s="11">
        <v>-0.562849916060288</v>
      </c>
      <c r="J2298" s="10">
        <v>0.57353708695030303</v>
      </c>
      <c r="K2298" s="29">
        <v>0.98289565623980701</v>
      </c>
    </row>
    <row r="2299" spans="1:11" x14ac:dyDescent="0.35">
      <c r="A2299" s="9" t="str">
        <f>HYPERLINK("http://www.ensembl.org/id/WBGene00219210", "WBGene00219210")</f>
        <v>WBGene00219210</v>
      </c>
      <c r="B2299" s="9" t="str">
        <f>HYPERLINK("http://www.ncbi.nlm.nih.gov/gene/13218078", "13218078")</f>
        <v>13218078</v>
      </c>
      <c r="C2299" s="9"/>
      <c r="D2299" t="str">
        <f>"Y37H2A.18"</f>
        <v>Y37H2A.18</v>
      </c>
      <c r="F2299" t="s">
        <v>11</v>
      </c>
      <c r="G2299" t="s">
        <v>54</v>
      </c>
      <c r="H2299" s="12">
        <v>-2.24824959763792</v>
      </c>
      <c r="I2299" s="11">
        <v>-0.793045541676073</v>
      </c>
      <c r="J2299" s="10">
        <v>0.42775128965610398</v>
      </c>
      <c r="K2299" s="29">
        <v>0.98289565623980701</v>
      </c>
    </row>
    <row r="2300" spans="1:11" x14ac:dyDescent="0.35">
      <c r="A2300" s="9" t="str">
        <f>HYPERLINK("http://www.ensembl.org/id/WBGene00005703", "WBGene00005703")</f>
        <v>WBGene00005703</v>
      </c>
      <c r="B2300" s="9" t="str">
        <f>HYPERLINK("http://www.ncbi.nlm.nih.gov/gene/187650", "187650")</f>
        <v>187650</v>
      </c>
      <c r="C2300" s="9"/>
      <c r="D2300" t="str">
        <f>"sru-40"</f>
        <v>sru-40</v>
      </c>
      <c r="E2300" t="s">
        <v>2653</v>
      </c>
      <c r="F2300" t="s">
        <v>11</v>
      </c>
      <c r="G2300" t="s">
        <v>25</v>
      </c>
      <c r="H2300" s="12">
        <v>-2.24797237107411</v>
      </c>
      <c r="I2300" s="11">
        <v>-0.40954093331132302</v>
      </c>
      <c r="J2300" s="10">
        <v>0.68214273371280598</v>
      </c>
      <c r="K2300" s="29">
        <v>0.98289565623980701</v>
      </c>
    </row>
    <row r="2301" spans="1:11" x14ac:dyDescent="0.35">
      <c r="A2301" s="9" t="str">
        <f>HYPERLINK("http://www.ensembl.org/id/WBGene00004027", "WBGene00004027")</f>
        <v>WBGene00004027</v>
      </c>
      <c r="B2301" s="9" t="str">
        <f>HYPERLINK("http://www.ncbi.nlm.nih.gov/gene/176667", "176667")</f>
        <v>176667</v>
      </c>
      <c r="C2301" s="9"/>
      <c r="D2301" t="str">
        <f>"pie-1"</f>
        <v>pie-1</v>
      </c>
      <c r="E2301" t="s">
        <v>354</v>
      </c>
      <c r="F2301" t="s">
        <v>11</v>
      </c>
      <c r="G2301" t="s">
        <v>51</v>
      </c>
      <c r="H2301" s="12">
        <v>-2.2468348099487501</v>
      </c>
      <c r="I2301" s="11">
        <v>-3.83915579216097</v>
      </c>
      <c r="J2301" s="10">
        <v>1.2345807739513699E-4</v>
      </c>
      <c r="K2301" s="29">
        <v>7.7728129054279197E-3</v>
      </c>
    </row>
    <row r="2302" spans="1:11" x14ac:dyDescent="0.35">
      <c r="A2302" s="9" t="str">
        <f>HYPERLINK("http://www.ensembl.org/id/WBGene00010240", "WBGene00010240")</f>
        <v>WBGene00010240</v>
      </c>
      <c r="B2302" s="9"/>
      <c r="C2302" s="9"/>
      <c r="D2302" t="str">
        <f>"gadr-1"</f>
        <v>gadr-1</v>
      </c>
      <c r="F2302" t="s">
        <v>80</v>
      </c>
      <c r="H2302" s="12">
        <v>-2.24639205285593</v>
      </c>
      <c r="I2302" s="11">
        <v>-0.83472178832591404</v>
      </c>
      <c r="J2302" s="10">
        <v>0.40387437099534701</v>
      </c>
      <c r="K2302" s="29">
        <v>0.98289565623980701</v>
      </c>
    </row>
    <row r="2303" spans="1:11" x14ac:dyDescent="0.35">
      <c r="A2303" s="9" t="str">
        <f>HYPERLINK("http://www.ensembl.org/id/WBGene00173380", "WBGene00173380")</f>
        <v>WBGene00173380</v>
      </c>
      <c r="B2303" s="9"/>
      <c r="C2303" s="9"/>
      <c r="D2303" t="str">
        <f>"21ur-10357"</f>
        <v>21ur-10357</v>
      </c>
      <c r="F2303" t="s">
        <v>3161</v>
      </c>
      <c r="H2303" s="12">
        <v>-2.2462711840042502</v>
      </c>
      <c r="I2303" s="11">
        <v>-0.28752192663158799</v>
      </c>
      <c r="J2303" s="10">
        <v>0.77371271536475705</v>
      </c>
      <c r="K2303" s="29">
        <v>0.98289565623980701</v>
      </c>
    </row>
    <row r="2304" spans="1:11" x14ac:dyDescent="0.35">
      <c r="A2304" s="9" t="str">
        <f>HYPERLINK("http://www.ensembl.org/id/WBGene00202097", "WBGene00202097")</f>
        <v>WBGene00202097</v>
      </c>
      <c r="B2304" s="9"/>
      <c r="C2304" s="9"/>
      <c r="D2304" t="str">
        <f>"C05B10.20"</f>
        <v>C05B10.20</v>
      </c>
      <c r="F2304" t="s">
        <v>481</v>
      </c>
      <c r="H2304" s="12">
        <v>-2.2462711840042502</v>
      </c>
      <c r="I2304" s="11">
        <v>-0.28752192663158799</v>
      </c>
      <c r="J2304" s="10">
        <v>0.77371271536475705</v>
      </c>
      <c r="K2304" s="29">
        <v>0.98289565623980701</v>
      </c>
    </row>
    <row r="2305" spans="1:11" x14ac:dyDescent="0.35">
      <c r="A2305" s="9" t="str">
        <f>HYPERLINK("http://www.ensembl.org/id/WBGene00015616", "WBGene00015616")</f>
        <v>WBGene00015616</v>
      </c>
      <c r="B2305" s="9"/>
      <c r="C2305" s="9"/>
      <c r="D2305" t="str">
        <f>"C08G5.3"</f>
        <v>C08G5.3</v>
      </c>
      <c r="F2305" t="s">
        <v>80</v>
      </c>
      <c r="H2305" s="12">
        <v>-2.2462711840042502</v>
      </c>
      <c r="I2305" s="11">
        <v>-0.28752192663158799</v>
      </c>
      <c r="J2305" s="10">
        <v>0.77371271536475705</v>
      </c>
      <c r="K2305" s="29">
        <v>0.98289565623980701</v>
      </c>
    </row>
    <row r="2306" spans="1:11" x14ac:dyDescent="0.35">
      <c r="A2306" s="9" t="str">
        <f>HYPERLINK("http://www.ensembl.org/id/WBGene00011701", "WBGene00011701")</f>
        <v>WBGene00011701</v>
      </c>
      <c r="B2306" s="9" t="str">
        <f>HYPERLINK("http://www.ncbi.nlm.nih.gov/gene/188404", "188404")</f>
        <v>188404</v>
      </c>
      <c r="C2306" s="9"/>
      <c r="D2306" t="str">
        <f>"srab-17"</f>
        <v>srab-17</v>
      </c>
      <c r="E2306" t="s">
        <v>4203</v>
      </c>
      <c r="F2306" t="s">
        <v>11</v>
      </c>
      <c r="G2306" t="s">
        <v>25</v>
      </c>
      <c r="H2306" s="12">
        <v>-2.2462711840042502</v>
      </c>
      <c r="I2306" s="11">
        <v>-0.28752192663158799</v>
      </c>
      <c r="J2306" s="10">
        <v>0.77371271536475705</v>
      </c>
      <c r="K2306" s="29">
        <v>0.98289565623980701</v>
      </c>
    </row>
    <row r="2307" spans="1:11" x14ac:dyDescent="0.35">
      <c r="A2307" s="9" t="str">
        <f>HYPERLINK("http://www.ensembl.org/id/WBGene00005342", "WBGene00005342")</f>
        <v>WBGene00005342</v>
      </c>
      <c r="B2307" s="9" t="str">
        <f>HYPERLINK("http://www.ncbi.nlm.nih.gov/gene/191881", "191881")</f>
        <v>191881</v>
      </c>
      <c r="C2307" s="9"/>
      <c r="D2307" t="str">
        <f>"srh-125"</f>
        <v>srh-125</v>
      </c>
      <c r="E2307" t="s">
        <v>153</v>
      </c>
      <c r="F2307" t="s">
        <v>11</v>
      </c>
      <c r="G2307" t="s">
        <v>25</v>
      </c>
      <c r="H2307" s="12">
        <v>-2.2462711840042502</v>
      </c>
      <c r="I2307" s="11">
        <v>-0.28752192663158799</v>
      </c>
      <c r="J2307" s="10">
        <v>0.77371271536475705</v>
      </c>
      <c r="K2307" s="29">
        <v>0.98289565623980701</v>
      </c>
    </row>
    <row r="2308" spans="1:11" x14ac:dyDescent="0.35">
      <c r="A2308" s="9" t="str">
        <f>HYPERLINK("http://www.ensembl.org/id/WBGene00012355", "WBGene00012355")</f>
        <v>WBGene00012355</v>
      </c>
      <c r="B2308" s="9"/>
      <c r="C2308" s="9"/>
      <c r="D2308" t="str">
        <f>"W09C5.9"</f>
        <v>W09C5.9</v>
      </c>
      <c r="F2308" t="s">
        <v>80</v>
      </c>
      <c r="H2308" s="12">
        <v>-2.2462711840042502</v>
      </c>
      <c r="I2308" s="11">
        <v>-0.28752192663158799</v>
      </c>
      <c r="J2308" s="10">
        <v>0.77371271536475705</v>
      </c>
      <c r="K2308" s="29">
        <v>0.98289565623980701</v>
      </c>
    </row>
    <row r="2309" spans="1:11" x14ac:dyDescent="0.35">
      <c r="A2309" s="9" t="str">
        <f>HYPERLINK("http://www.ensembl.org/id/WBGene00197879", "WBGene00197879")</f>
        <v>WBGene00197879</v>
      </c>
      <c r="B2309" s="9"/>
      <c r="C2309" s="9"/>
      <c r="D2309" t="str">
        <f>"ZK287.11"</f>
        <v>ZK287.11</v>
      </c>
      <c r="F2309" t="s">
        <v>481</v>
      </c>
      <c r="H2309" s="12">
        <v>-2.2462711840042502</v>
      </c>
      <c r="I2309" s="11">
        <v>-0.28752192663158799</v>
      </c>
      <c r="J2309" s="10">
        <v>0.77371271536475705</v>
      </c>
      <c r="K2309" s="29">
        <v>0.98289565623980701</v>
      </c>
    </row>
    <row r="2310" spans="1:11" x14ac:dyDescent="0.35">
      <c r="A2310" s="9" t="str">
        <f>HYPERLINK("http://www.ensembl.org/id/WBGene00045398", "WBGene00045398")</f>
        <v>WBGene00045398</v>
      </c>
      <c r="B2310" s="9" t="str">
        <f>HYPERLINK("http://www.ncbi.nlm.nih.gov/gene/6418614", "6418614")</f>
        <v>6418614</v>
      </c>
      <c r="C2310" s="9"/>
      <c r="D2310" t="str">
        <f>"Y71F9AM.8"</f>
        <v>Y71F9AM.8</v>
      </c>
      <c r="F2310" t="s">
        <v>11</v>
      </c>
      <c r="H2310" s="12">
        <v>-2.2453488509463599</v>
      </c>
      <c r="I2310" s="11">
        <v>-0.39007472154535699</v>
      </c>
      <c r="J2310" s="10">
        <v>0.69648129448532103</v>
      </c>
      <c r="K2310" s="29">
        <v>0.98289565623980701</v>
      </c>
    </row>
    <row r="2311" spans="1:11" x14ac:dyDescent="0.35">
      <c r="A2311" s="9" t="str">
        <f>HYPERLINK("http://www.ensembl.org/id/WBGene00021038", "WBGene00021038")</f>
        <v>WBGene00021038</v>
      </c>
      <c r="B2311" s="9" t="str">
        <f>HYPERLINK("http://www.ncbi.nlm.nih.gov/gene/171909", "171909")</f>
        <v>171909</v>
      </c>
      <c r="C2311" s="9"/>
      <c r="D2311" t="str">
        <f>"W05F2.6"</f>
        <v>W05F2.6</v>
      </c>
      <c r="F2311" t="s">
        <v>11</v>
      </c>
      <c r="H2311" s="12">
        <v>-2.2446351697561799</v>
      </c>
      <c r="I2311" s="11">
        <v>-3.8152344225597998</v>
      </c>
      <c r="J2311" s="10">
        <v>1.3605371183731399E-4</v>
      </c>
      <c r="K2311" s="29">
        <v>8.3386129064004395E-3</v>
      </c>
    </row>
    <row r="2312" spans="1:11" x14ac:dyDescent="0.35">
      <c r="A2312" s="9" t="str">
        <f>HYPERLINK("http://www.ensembl.org/id/WBGene00018189", "WBGene00018189")</f>
        <v>WBGene00018189</v>
      </c>
      <c r="B2312" s="9" t="str">
        <f>HYPERLINK("http://www.ncbi.nlm.nih.gov/gene/185483", "185483")</f>
        <v>185483</v>
      </c>
      <c r="C2312" s="9"/>
      <c r="D2312" t="str">
        <f>"nhr-181"</f>
        <v>nhr-181</v>
      </c>
      <c r="E2312" t="s">
        <v>637</v>
      </c>
      <c r="F2312" t="s">
        <v>11</v>
      </c>
      <c r="G2312" t="s">
        <v>2033</v>
      </c>
      <c r="H2312" s="12">
        <v>-2.2439673222552998</v>
      </c>
      <c r="I2312" s="11">
        <v>-1.8533069157658</v>
      </c>
      <c r="J2312" s="10">
        <v>6.3838380495784594E-2</v>
      </c>
      <c r="K2312" s="29">
        <v>0.59649230844005596</v>
      </c>
    </row>
    <row r="2313" spans="1:11" x14ac:dyDescent="0.35">
      <c r="A2313" s="9" t="str">
        <f>HYPERLINK("http://www.ensembl.org/id/WBGene00010323", "WBGene00010323")</f>
        <v>WBGene00010323</v>
      </c>
      <c r="B2313" s="9" t="str">
        <f>HYPERLINK("http://www.ncbi.nlm.nih.gov/gene/186602", "186602")</f>
        <v>186602</v>
      </c>
      <c r="C2313" s="9"/>
      <c r="D2313" t="str">
        <f>"dhhc-12"</f>
        <v>dhhc-12</v>
      </c>
      <c r="E2313" t="s">
        <v>2394</v>
      </c>
      <c r="F2313" t="s">
        <v>11</v>
      </c>
      <c r="G2313" t="s">
        <v>2395</v>
      </c>
      <c r="H2313" s="12">
        <v>-2.2434166367633601</v>
      </c>
      <c r="I2313" s="11">
        <v>-0.52728651921023895</v>
      </c>
      <c r="J2313" s="10">
        <v>0.59799463436044797</v>
      </c>
      <c r="K2313" s="29">
        <v>0.98289565623980701</v>
      </c>
    </row>
    <row r="2314" spans="1:11" x14ac:dyDescent="0.35">
      <c r="A2314" s="9" t="str">
        <f>HYPERLINK("http://www.ensembl.org/id/WBGene00001686", "WBGene00001686")</f>
        <v>WBGene00001686</v>
      </c>
      <c r="B2314" s="9" t="str">
        <f>HYPERLINK("http://www.ncbi.nlm.nih.gov/gene/174578", "174578")</f>
        <v>174578</v>
      </c>
      <c r="C2314" s="9" t="str">
        <f>HYPERLINK("http://www.ncbi.nlm.nih.gov/gene/2597", "2597")</f>
        <v>2597</v>
      </c>
      <c r="D2314" t="str">
        <f>"gpd-4"</f>
        <v>gpd-4</v>
      </c>
      <c r="E2314" t="s">
        <v>285</v>
      </c>
      <c r="F2314" t="s">
        <v>11</v>
      </c>
      <c r="G2314" t="s">
        <v>286</v>
      </c>
      <c r="H2314" s="12">
        <v>-2.2408727929014902</v>
      </c>
      <c r="I2314" s="11">
        <v>-4.1389476635679303</v>
      </c>
      <c r="J2314" s="10">
        <v>3.48902524390865E-5</v>
      </c>
      <c r="K2314" s="29">
        <v>2.8587736626153699E-3</v>
      </c>
    </row>
    <row r="2315" spans="1:11" x14ac:dyDescent="0.35">
      <c r="A2315" s="9" t="str">
        <f>HYPERLINK("http://www.ensembl.org/id/WBGene00009961", "WBGene00009961")</f>
        <v>WBGene00009961</v>
      </c>
      <c r="B2315" s="9" t="str">
        <f>HYPERLINK("http://www.ncbi.nlm.nih.gov/gene/186153", "186153")</f>
        <v>186153</v>
      </c>
      <c r="C2315" s="9"/>
      <c r="D2315" t="str">
        <f>"cutl-7"</f>
        <v>cutl-7</v>
      </c>
      <c r="E2315" t="s">
        <v>166</v>
      </c>
      <c r="F2315" t="s">
        <v>11</v>
      </c>
      <c r="G2315" t="s">
        <v>25</v>
      </c>
      <c r="H2315" s="12">
        <v>-2.2402294109016201</v>
      </c>
      <c r="I2315" s="11">
        <v>-0.403421150209408</v>
      </c>
      <c r="J2315" s="10">
        <v>0.68663843010137604</v>
      </c>
      <c r="K2315" s="29">
        <v>0.98289565623980701</v>
      </c>
    </row>
    <row r="2316" spans="1:11" x14ac:dyDescent="0.35">
      <c r="A2316" s="9" t="str">
        <f>HYPERLINK("http://www.ensembl.org/id/WBGene00008230", "WBGene00008230")</f>
        <v>WBGene00008230</v>
      </c>
      <c r="B2316" s="9" t="str">
        <f>HYPERLINK("http://www.ncbi.nlm.nih.gov/gene/179335", "179335")</f>
        <v>179335</v>
      </c>
      <c r="C2316" s="9"/>
      <c r="D2316" t="str">
        <f>"pfk-1.2"</f>
        <v>pfk-1.2</v>
      </c>
      <c r="E2316" t="s">
        <v>10045</v>
      </c>
      <c r="F2316" t="s">
        <v>11</v>
      </c>
      <c r="G2316" t="s">
        <v>8710</v>
      </c>
      <c r="H2316" s="12">
        <v>-2.2398545613785701</v>
      </c>
      <c r="I2316" s="11">
        <v>-0.50760432388365395</v>
      </c>
      <c r="J2316" s="10">
        <v>0.61173085769337798</v>
      </c>
      <c r="K2316" s="29">
        <v>0.98289565623980701</v>
      </c>
    </row>
    <row r="2317" spans="1:11" x14ac:dyDescent="0.35">
      <c r="A2317" s="9" t="str">
        <f>HYPERLINK("http://www.ensembl.org/id/WBGene00013760", "WBGene00013760")</f>
        <v>WBGene00013760</v>
      </c>
      <c r="B2317" s="9" t="str">
        <f>HYPERLINK("http://www.ncbi.nlm.nih.gov/gene/190974", "190974")</f>
        <v>190974</v>
      </c>
      <c r="C2317" s="9"/>
      <c r="D2317" t="str">
        <f>"srbc-34"</f>
        <v>srbc-34</v>
      </c>
      <c r="E2317" t="s">
        <v>3034</v>
      </c>
      <c r="F2317" t="s">
        <v>11</v>
      </c>
      <c r="G2317" t="s">
        <v>25</v>
      </c>
      <c r="H2317" s="12">
        <v>-2.23983783867547</v>
      </c>
      <c r="I2317" s="11">
        <v>-0.38131958822425399</v>
      </c>
      <c r="J2317" s="10">
        <v>0.70296612040976603</v>
      </c>
      <c r="K2317" s="29">
        <v>0.98289565623980701</v>
      </c>
    </row>
    <row r="2318" spans="1:11" x14ac:dyDescent="0.35">
      <c r="A2318" s="9" t="str">
        <f>HYPERLINK("http://www.ensembl.org/id/WBGene00235258", "WBGene00235258")</f>
        <v>WBGene00235258</v>
      </c>
      <c r="B2318" s="9" t="str">
        <f>HYPERLINK("http://www.ncbi.nlm.nih.gov/gene/24104852", "24104852")</f>
        <v>24104852</v>
      </c>
      <c r="C2318" s="9"/>
      <c r="D2318" t="str">
        <f>"T05C7.5"</f>
        <v>T05C7.5</v>
      </c>
      <c r="F2318" t="s">
        <v>11</v>
      </c>
      <c r="H2318" s="12">
        <v>-2.23983783867547</v>
      </c>
      <c r="I2318" s="11">
        <v>-0.38131958822425399</v>
      </c>
      <c r="J2318" s="10">
        <v>0.70296612040976603</v>
      </c>
      <c r="K2318" s="29">
        <v>0.98289565623980701</v>
      </c>
    </row>
    <row r="2319" spans="1:11" x14ac:dyDescent="0.35">
      <c r="A2319" s="9" t="str">
        <f>HYPERLINK("http://www.ensembl.org/id/WBGene00016000", "WBGene00016000")</f>
        <v>WBGene00016000</v>
      </c>
      <c r="B2319" s="9" t="str">
        <f>HYPERLINK("http://www.ncbi.nlm.nih.gov/gene/182807", "182807")</f>
        <v>182807</v>
      </c>
      <c r="C2319" s="9"/>
      <c r="D2319" t="str">
        <f>"C18H9.1"</f>
        <v>C18H9.1</v>
      </c>
      <c r="F2319" t="s">
        <v>11</v>
      </c>
      <c r="H2319" s="12">
        <v>-2.2386967852741</v>
      </c>
      <c r="I2319" s="11">
        <v>-0.43755166552708102</v>
      </c>
      <c r="J2319" s="10">
        <v>0.66171131565866104</v>
      </c>
      <c r="K2319" s="29">
        <v>0.98289565623980701</v>
      </c>
    </row>
    <row r="2320" spans="1:11" x14ac:dyDescent="0.35">
      <c r="A2320" s="9" t="str">
        <f>HYPERLINK("http://www.ensembl.org/id/WBGene00202124", "WBGene00202124")</f>
        <v>WBGene00202124</v>
      </c>
      <c r="B2320" s="9"/>
      <c r="C2320" s="9"/>
      <c r="D2320" t="str">
        <f>"F22E12.13"</f>
        <v>F22E12.13</v>
      </c>
      <c r="F2320" t="s">
        <v>481</v>
      </c>
      <c r="H2320" s="12">
        <v>-2.2386967852741</v>
      </c>
      <c r="I2320" s="11">
        <v>-0.43755166552708102</v>
      </c>
      <c r="J2320" s="10">
        <v>0.66171131565866104</v>
      </c>
      <c r="K2320" s="29">
        <v>0.98289565623980701</v>
      </c>
    </row>
    <row r="2321" spans="1:11" x14ac:dyDescent="0.35">
      <c r="A2321" s="9" t="str">
        <f>HYPERLINK("http://www.ensembl.org/id/WBGene00011501", "WBGene00011501")</f>
        <v>WBGene00011501</v>
      </c>
      <c r="B2321" s="9" t="str">
        <f>HYPERLINK("http://www.ncbi.nlm.nih.gov/gene/176379", "176379")</f>
        <v>176379</v>
      </c>
      <c r="C2321" s="9"/>
      <c r="D2321" t="str">
        <f>"rmd-1"</f>
        <v>rmd-1</v>
      </c>
      <c r="E2321" t="s">
        <v>242</v>
      </c>
      <c r="F2321" t="s">
        <v>11</v>
      </c>
      <c r="G2321" t="s">
        <v>243</v>
      </c>
      <c r="H2321" s="12">
        <v>-2.2384606351356902</v>
      </c>
      <c r="I2321" s="11">
        <v>-4.3318246543908101</v>
      </c>
      <c r="J2321" s="10">
        <v>1.47878693305352E-5</v>
      </c>
      <c r="K2321" s="29">
        <v>1.4295595260708301E-3</v>
      </c>
    </row>
    <row r="2322" spans="1:11" x14ac:dyDescent="0.35">
      <c r="A2322" s="9" t="str">
        <f>HYPERLINK("http://www.ensembl.org/id/WBGene00006619", "WBGene00006619")</f>
        <v>WBGene00006619</v>
      </c>
      <c r="B2322" s="9" t="str">
        <f>HYPERLINK("http://www.ncbi.nlm.nih.gov/gene/173856", "173856")</f>
        <v>173856</v>
      </c>
      <c r="C2322" s="9" t="str">
        <f>HYPERLINK("http://www.ncbi.nlm.nih.gov/gene/5340", "5340")</f>
        <v>5340</v>
      </c>
      <c r="D2322" t="str">
        <f>"try-1"</f>
        <v>try-1</v>
      </c>
      <c r="E2322" t="s">
        <v>357</v>
      </c>
      <c r="F2322" t="s">
        <v>11</v>
      </c>
      <c r="G2322" t="s">
        <v>358</v>
      </c>
      <c r="H2322" s="12">
        <v>-2.2373432837494298</v>
      </c>
      <c r="I2322" s="11">
        <v>-3.8318011192602301</v>
      </c>
      <c r="J2322" s="10">
        <v>1.2720855508409199E-4</v>
      </c>
      <c r="K2322" s="29">
        <v>7.9382676754421993E-3</v>
      </c>
    </row>
    <row r="2323" spans="1:11" x14ac:dyDescent="0.35">
      <c r="A2323" s="9" t="str">
        <f>HYPERLINK("http://www.ensembl.org/id/WBGene00045511", "WBGene00045511")</f>
        <v>WBGene00045511</v>
      </c>
      <c r="B2323" s="9" t="str">
        <f>HYPERLINK("http://www.ncbi.nlm.nih.gov/gene/13217335", "13217335")</f>
        <v>13217335</v>
      </c>
      <c r="C2323" s="9"/>
      <c r="D2323" t="str">
        <f>"F11A5.18"</f>
        <v>F11A5.18</v>
      </c>
      <c r="F2323" t="s">
        <v>11</v>
      </c>
      <c r="H2323" s="12">
        <v>-2.2350343253842202</v>
      </c>
      <c r="I2323" s="11">
        <v>-0.40769206310661799</v>
      </c>
      <c r="J2323" s="10">
        <v>0.68349976516697497</v>
      </c>
      <c r="K2323" s="29">
        <v>0.98289565623980701</v>
      </c>
    </row>
    <row r="2324" spans="1:11" x14ac:dyDescent="0.35">
      <c r="A2324" s="9" t="str">
        <f>HYPERLINK("http://www.ensembl.org/id/WBGene00019138", "WBGene00019138")</f>
        <v>WBGene00019138</v>
      </c>
      <c r="B2324" s="9" t="str">
        <f>HYPERLINK("http://www.ncbi.nlm.nih.gov/gene/186647", "186647")</f>
        <v>186647</v>
      </c>
      <c r="C2324" s="9"/>
      <c r="D2324" t="str">
        <f>"bath-21"</f>
        <v>bath-21</v>
      </c>
      <c r="E2324" t="s">
        <v>179</v>
      </c>
      <c r="F2324" t="s">
        <v>11</v>
      </c>
      <c r="G2324" t="s">
        <v>54</v>
      </c>
      <c r="H2324" s="12">
        <v>-2.2348687078342699</v>
      </c>
      <c r="I2324" s="11">
        <v>-1.17222543290071</v>
      </c>
      <c r="J2324" s="10">
        <v>0.24110656002133801</v>
      </c>
      <c r="K2324" s="29">
        <v>0.98289565623980701</v>
      </c>
    </row>
    <row r="2325" spans="1:11" x14ac:dyDescent="0.35">
      <c r="A2325" s="9" t="str">
        <f>HYPERLINK("http://www.ensembl.org/id/WBGene00003092", "WBGene00003092")</f>
        <v>WBGene00003092</v>
      </c>
      <c r="B2325" s="9" t="str">
        <f>HYPERLINK("http://www.ncbi.nlm.nih.gov/gene/179430", "179430")</f>
        <v>179430</v>
      </c>
      <c r="C2325" s="9"/>
      <c r="D2325" t="str">
        <f>"lys-3"</f>
        <v>lys-3</v>
      </c>
      <c r="E2325" t="s">
        <v>2201</v>
      </c>
      <c r="F2325" t="s">
        <v>11</v>
      </c>
      <c r="G2325" t="s">
        <v>202</v>
      </c>
      <c r="H2325" s="12">
        <v>-2.2347177370589799</v>
      </c>
      <c r="I2325" s="11">
        <v>-1.7741222337626501</v>
      </c>
      <c r="J2325" s="10">
        <v>7.6042933842667901E-2</v>
      </c>
      <c r="K2325" s="29">
        <v>0.64902423793132102</v>
      </c>
    </row>
    <row r="2326" spans="1:11" x14ac:dyDescent="0.35">
      <c r="A2326" s="9" t="str">
        <f>HYPERLINK("http://www.ensembl.org/id/WBGene00019569", "WBGene00019569")</f>
        <v>WBGene00019569</v>
      </c>
      <c r="B2326" s="9"/>
      <c r="C2326" s="9"/>
      <c r="D2326" t="str">
        <f>"K09D9.12"</f>
        <v>K09D9.12</v>
      </c>
      <c r="F2326" t="s">
        <v>80</v>
      </c>
      <c r="H2326" s="12">
        <v>-2.2338267290055298</v>
      </c>
      <c r="I2326" s="11">
        <v>-1.1215175814139999</v>
      </c>
      <c r="J2326" s="10">
        <v>0.26206761206280499</v>
      </c>
      <c r="K2326" s="29">
        <v>0.98289565623980701</v>
      </c>
    </row>
    <row r="2327" spans="1:11" x14ac:dyDescent="0.35">
      <c r="A2327" s="9" t="str">
        <f>HYPERLINK("http://www.ensembl.org/id/WBGene00013390", "WBGene00013390")</f>
        <v>WBGene00013390</v>
      </c>
      <c r="B2327" s="9" t="str">
        <f>HYPERLINK("http://www.ncbi.nlm.nih.gov/gene/190460", "190460")</f>
        <v>190460</v>
      </c>
      <c r="C2327" s="9"/>
      <c r="D2327" t="str">
        <f>"Y62H9A.2"</f>
        <v>Y62H9A.2</v>
      </c>
      <c r="F2327" t="s">
        <v>11</v>
      </c>
      <c r="H2327" s="12">
        <v>-2.2322104709131798</v>
      </c>
      <c r="I2327" s="11">
        <v>-2.7292166768557098</v>
      </c>
      <c r="J2327" s="10">
        <v>6.3484975413104503E-3</v>
      </c>
      <c r="K2327" s="29">
        <v>0.14131828919992201</v>
      </c>
    </row>
    <row r="2328" spans="1:11" x14ac:dyDescent="0.35">
      <c r="A2328" s="9" t="str">
        <f>HYPERLINK("http://www.ensembl.org/id/WBGene00171568", "WBGene00171568")</f>
        <v>WBGene00171568</v>
      </c>
      <c r="B2328" s="9"/>
      <c r="C2328" s="9"/>
      <c r="D2328" t="str">
        <f>"21ur-9650"</f>
        <v>21ur-9650</v>
      </c>
      <c r="F2328" t="s">
        <v>3161</v>
      </c>
      <c r="H2328" s="12">
        <v>-2.2282189590352801</v>
      </c>
      <c r="I2328" s="11">
        <v>-0.34293873924573798</v>
      </c>
      <c r="J2328" s="10">
        <v>0.73164454730052397</v>
      </c>
      <c r="K2328" s="29">
        <v>0.98289565623980701</v>
      </c>
    </row>
    <row r="2329" spans="1:11" x14ac:dyDescent="0.35">
      <c r="A2329" s="9" t="str">
        <f>HYPERLINK("http://www.ensembl.org/id/WBGene00007249", "WBGene00007249")</f>
        <v>WBGene00007249</v>
      </c>
      <c r="B2329" s="9" t="str">
        <f>HYPERLINK("http://www.ncbi.nlm.nih.gov/gene/3565827", "3565827")</f>
        <v>3565827</v>
      </c>
      <c r="C2329" s="9"/>
      <c r="D2329" t="str">
        <f>"C01G12.9"</f>
        <v>C01G12.9</v>
      </c>
      <c r="F2329" t="s">
        <v>11</v>
      </c>
      <c r="G2329" t="s">
        <v>25</v>
      </c>
      <c r="H2329" s="12">
        <v>-2.2282189590352801</v>
      </c>
      <c r="I2329" s="11">
        <v>-0.34293873924573798</v>
      </c>
      <c r="J2329" s="10">
        <v>0.73164454730052397</v>
      </c>
      <c r="K2329" s="29">
        <v>0.98289565623980701</v>
      </c>
    </row>
    <row r="2330" spans="1:11" x14ac:dyDescent="0.35">
      <c r="A2330" s="9" t="str">
        <f>HYPERLINK("http://www.ensembl.org/id/WBGene00012680", "WBGene00012680")</f>
        <v>WBGene00012680</v>
      </c>
      <c r="B2330" s="9"/>
      <c r="C2330" s="9"/>
      <c r="D2330" t="str">
        <f>"Y39B6A.21"</f>
        <v>Y39B6A.21</v>
      </c>
      <c r="F2330" t="s">
        <v>80</v>
      </c>
      <c r="H2330" s="12">
        <v>-2.2266193031140702</v>
      </c>
      <c r="I2330" s="11">
        <v>-0.90216600411130599</v>
      </c>
      <c r="J2330" s="10">
        <v>0.36696869089606099</v>
      </c>
      <c r="K2330" s="29">
        <v>0.98289565623980701</v>
      </c>
    </row>
    <row r="2331" spans="1:11" x14ac:dyDescent="0.35">
      <c r="A2331" s="9" t="str">
        <f>HYPERLINK("http://www.ensembl.org/id/WBGene00019799", "WBGene00019799")</f>
        <v>WBGene00019799</v>
      </c>
      <c r="B2331" s="9" t="str">
        <f>HYPERLINK("http://www.ncbi.nlm.nih.gov/gene/173707", "173707")</f>
        <v>173707</v>
      </c>
      <c r="C2331" s="9"/>
      <c r="D2331" t="str">
        <f>"M151.7"</f>
        <v>M151.7</v>
      </c>
      <c r="F2331" t="s">
        <v>11</v>
      </c>
      <c r="H2331" s="12">
        <v>-2.22658136784024</v>
      </c>
      <c r="I2331" s="11">
        <v>-2.8951011911932598</v>
      </c>
      <c r="J2331" s="10">
        <v>3.7903632376297602E-3</v>
      </c>
      <c r="K2331" s="29">
        <v>0.10101514759939199</v>
      </c>
    </row>
    <row r="2332" spans="1:11" x14ac:dyDescent="0.35">
      <c r="A2332" s="9" t="str">
        <f>HYPERLINK("http://www.ensembl.org/id/WBGene00006175", "WBGene00006175")</f>
        <v>WBGene00006175</v>
      </c>
      <c r="B2332" s="9" t="str">
        <f>HYPERLINK("http://www.ncbi.nlm.nih.gov/gene/188768", "188768")</f>
        <v>188768</v>
      </c>
      <c r="C2332" s="9"/>
      <c r="D2332" t="str">
        <f>"str-124"</f>
        <v>str-124</v>
      </c>
      <c r="E2332" t="s">
        <v>590</v>
      </c>
      <c r="F2332" t="s">
        <v>11</v>
      </c>
      <c r="G2332" t="s">
        <v>591</v>
      </c>
      <c r="H2332" s="12">
        <v>-2.2263135873927098</v>
      </c>
      <c r="I2332" s="11">
        <v>-0.65080932921326795</v>
      </c>
      <c r="J2332" s="10">
        <v>0.51516957722152801</v>
      </c>
      <c r="K2332" s="29">
        <v>0.98289565623980701</v>
      </c>
    </row>
    <row r="2333" spans="1:11" x14ac:dyDescent="0.35">
      <c r="A2333" s="9" t="str">
        <f>HYPERLINK("http://www.ensembl.org/id/WBGene00009937", "WBGene00009937")</f>
        <v>WBGene00009937</v>
      </c>
      <c r="B2333" s="9" t="str">
        <f>HYPERLINK("http://www.ncbi.nlm.nih.gov/gene/172844", "172844")</f>
        <v>172844</v>
      </c>
      <c r="C2333" s="9"/>
      <c r="D2333" t="str">
        <f>"lsl-1"</f>
        <v>lsl-1</v>
      </c>
      <c r="E2333" t="s">
        <v>484</v>
      </c>
      <c r="F2333" t="s">
        <v>11</v>
      </c>
      <c r="G2333" t="s">
        <v>485</v>
      </c>
      <c r="H2333" s="12">
        <v>-2.22623478703404</v>
      </c>
      <c r="I2333" s="11">
        <v>-3.4189975560071901</v>
      </c>
      <c r="J2333" s="10">
        <v>6.2852290980589204E-4</v>
      </c>
      <c r="K2333" s="29">
        <v>2.7195974445646001E-2</v>
      </c>
    </row>
    <row r="2334" spans="1:11" x14ac:dyDescent="0.35">
      <c r="A2334" s="9" t="str">
        <f>HYPERLINK("http://www.ensembl.org/id/WBGene00005759", "WBGene00005759")</f>
        <v>WBGene00005759</v>
      </c>
      <c r="B2334" s="9" t="str">
        <f>HYPERLINK("http://www.ncbi.nlm.nih.gov/gene/183379", "183379")</f>
        <v>183379</v>
      </c>
      <c r="C2334" s="9"/>
      <c r="D2334" t="str">
        <f>"srw-12"</f>
        <v>srw-12</v>
      </c>
      <c r="E2334" t="s">
        <v>1014</v>
      </c>
      <c r="F2334" t="s">
        <v>11</v>
      </c>
      <c r="G2334" t="s">
        <v>1015</v>
      </c>
      <c r="H2334" s="12">
        <v>-2.2251826577699401</v>
      </c>
      <c r="I2334" s="11">
        <v>-2.5612927562363401</v>
      </c>
      <c r="J2334" s="10">
        <v>1.0428343870919799E-2</v>
      </c>
      <c r="K2334" s="29">
        <v>0.20075829910617399</v>
      </c>
    </row>
    <row r="2335" spans="1:11" x14ac:dyDescent="0.35">
      <c r="A2335" s="9" t="str">
        <f>HYPERLINK("http://www.ensembl.org/id/WBGene00019189", "WBGene00019189")</f>
        <v>WBGene00019189</v>
      </c>
      <c r="B2335" s="9" t="str">
        <f>HYPERLINK("http://www.ncbi.nlm.nih.gov/gene/186723", "186723")</f>
        <v>186723</v>
      </c>
      <c r="C2335" s="9"/>
      <c r="D2335" t="str">
        <f>"H11L12.1"</f>
        <v>H11L12.1</v>
      </c>
      <c r="F2335" t="s">
        <v>11</v>
      </c>
      <c r="H2335" s="12">
        <v>-2.2212635119109798</v>
      </c>
      <c r="I2335" s="11">
        <v>-1.7201592130353101</v>
      </c>
      <c r="J2335" s="10">
        <v>8.5403504761484506E-2</v>
      </c>
      <c r="K2335" s="29">
        <v>0.68585389443765299</v>
      </c>
    </row>
    <row r="2336" spans="1:11" x14ac:dyDescent="0.35">
      <c r="A2336" s="9" t="str">
        <f>HYPERLINK("http://www.ensembl.org/id/WBGene00001110", "WBGene00001110")</f>
        <v>WBGene00001110</v>
      </c>
      <c r="B2336" s="9" t="str">
        <f>HYPERLINK("http://www.ncbi.nlm.nih.gov/gene/179586", "179586")</f>
        <v>179586</v>
      </c>
      <c r="C2336" s="9"/>
      <c r="D2336" t="str">
        <f>"duo-1"</f>
        <v>duo-1</v>
      </c>
      <c r="E2336" t="s">
        <v>658</v>
      </c>
      <c r="F2336" t="s">
        <v>11</v>
      </c>
      <c r="G2336" t="s">
        <v>659</v>
      </c>
      <c r="H2336" s="12">
        <v>-2.2191059774800199</v>
      </c>
      <c r="I2336" s="11">
        <v>-3.0421041801242898</v>
      </c>
      <c r="J2336" s="10">
        <v>2.3493056894266099E-3</v>
      </c>
      <c r="K2336" s="29">
        <v>7.1898089085948594E-2</v>
      </c>
    </row>
    <row r="2337" spans="1:11" x14ac:dyDescent="0.35">
      <c r="A2337" s="9" t="str">
        <f>HYPERLINK("http://www.ensembl.org/id/WBGene00009390", "WBGene00009390")</f>
        <v>WBGene00009390</v>
      </c>
      <c r="B2337" s="9" t="str">
        <f>HYPERLINK("http://www.ncbi.nlm.nih.gov/gene/185261", "185261")</f>
        <v>185261</v>
      </c>
      <c r="C2337" s="9"/>
      <c r="D2337" t="str">
        <f>"F35C5.1"</f>
        <v>F35C5.1</v>
      </c>
      <c r="F2337" t="s">
        <v>11</v>
      </c>
      <c r="H2337" s="12">
        <v>-2.2190722065549502</v>
      </c>
      <c r="I2337" s="11">
        <v>-1.0565423362263</v>
      </c>
      <c r="J2337" s="10">
        <v>0.29072050939458</v>
      </c>
      <c r="K2337" s="29">
        <v>0.98289565623980701</v>
      </c>
    </row>
    <row r="2338" spans="1:11" x14ac:dyDescent="0.35">
      <c r="A2338" s="9" t="str">
        <f>HYPERLINK("http://www.ensembl.org/id/WBGene00006532", "WBGene00006532")</f>
        <v>WBGene00006532</v>
      </c>
      <c r="B2338" s="9" t="str">
        <f>HYPERLINK("http://www.ncbi.nlm.nih.gov/gene/172717", "172717")</f>
        <v>172717</v>
      </c>
      <c r="C2338" s="9"/>
      <c r="D2338" t="str">
        <f>"tba-6"</f>
        <v>tba-6</v>
      </c>
      <c r="E2338" t="s">
        <v>4195</v>
      </c>
      <c r="F2338" t="s">
        <v>11</v>
      </c>
      <c r="G2338" t="s">
        <v>4196</v>
      </c>
      <c r="H2338" s="12">
        <v>-2.2190681285435798</v>
      </c>
      <c r="I2338" s="11">
        <v>-0.812297425247686</v>
      </c>
      <c r="J2338" s="10">
        <v>0.41662098761433902</v>
      </c>
      <c r="K2338" s="29">
        <v>0.98289565623980701</v>
      </c>
    </row>
    <row r="2339" spans="1:11" x14ac:dyDescent="0.35">
      <c r="A2339" s="9" t="str">
        <f>HYPERLINK("http://www.ensembl.org/id/WBGene00018178", "WBGene00018178")</f>
        <v>WBGene00018178</v>
      </c>
      <c r="B2339" s="9" t="str">
        <f>HYPERLINK("http://www.ncbi.nlm.nih.gov/gene/179220", "179220")</f>
        <v>179220</v>
      </c>
      <c r="C2339" s="9"/>
      <c r="D2339" t="str">
        <f>"F38E1.3"</f>
        <v>F38E1.3</v>
      </c>
      <c r="F2339" t="s">
        <v>11</v>
      </c>
      <c r="G2339" t="s">
        <v>961</v>
      </c>
      <c r="H2339" s="12">
        <v>-2.21844703851409</v>
      </c>
      <c r="I2339" s="11">
        <v>-0.336486104981294</v>
      </c>
      <c r="J2339" s="10">
        <v>0.73650432797587395</v>
      </c>
      <c r="K2339" s="29">
        <v>0.98289565623980701</v>
      </c>
    </row>
    <row r="2340" spans="1:11" x14ac:dyDescent="0.35">
      <c r="A2340" s="9" t="str">
        <f>HYPERLINK("http://www.ensembl.org/id/WBGene00021972", "WBGene00021972")</f>
        <v>WBGene00021972</v>
      </c>
      <c r="B2340" s="9" t="str">
        <f>HYPERLINK("http://www.ncbi.nlm.nih.gov/gene/190362", "190362")</f>
        <v>190362</v>
      </c>
      <c r="C2340" s="9"/>
      <c r="D2340" t="str">
        <f>"glb-31"</f>
        <v>glb-31</v>
      </c>
      <c r="E2340" t="s">
        <v>633</v>
      </c>
      <c r="F2340" t="s">
        <v>11</v>
      </c>
      <c r="G2340" t="s">
        <v>867</v>
      </c>
      <c r="H2340" s="12">
        <v>-2.2169246635754098</v>
      </c>
      <c r="I2340" s="11">
        <v>-0.466851958289903</v>
      </c>
      <c r="J2340" s="10">
        <v>0.64060579899084702</v>
      </c>
      <c r="K2340" s="29">
        <v>0.98289565623980701</v>
      </c>
    </row>
    <row r="2341" spans="1:11" x14ac:dyDescent="0.35">
      <c r="A2341" s="9" t="str">
        <f>HYPERLINK("http://www.ensembl.org/id/WBGene00010081", "WBGene00010081")</f>
        <v>WBGene00010081</v>
      </c>
      <c r="B2341" s="9" t="str">
        <f>HYPERLINK("http://www.ncbi.nlm.nih.gov/gene/186278", "186278")</f>
        <v>186278</v>
      </c>
      <c r="C2341" s="9"/>
      <c r="D2341" t="str">
        <f>"F55A11.8"</f>
        <v>F55A11.8</v>
      </c>
      <c r="F2341" t="s">
        <v>11</v>
      </c>
      <c r="H2341" s="12">
        <v>-2.2167008531649901</v>
      </c>
      <c r="I2341" s="11">
        <v>-2.9732045124649402</v>
      </c>
      <c r="J2341" s="10">
        <v>2.9470801485476099E-3</v>
      </c>
      <c r="K2341" s="29">
        <v>8.38619294663559E-2</v>
      </c>
    </row>
    <row r="2342" spans="1:11" x14ac:dyDescent="0.35">
      <c r="A2342" s="9" t="str">
        <f>HYPERLINK("http://www.ensembl.org/id/WBGene00005002", "WBGene00005002")</f>
        <v>WBGene00005002</v>
      </c>
      <c r="B2342" s="9" t="str">
        <f>HYPERLINK("http://www.ncbi.nlm.nih.gov/gene/171681", "171681")</f>
        <v>171681</v>
      </c>
      <c r="C2342" s="9"/>
      <c r="D2342" t="str">
        <f>"spp-17"</f>
        <v>spp-17</v>
      </c>
      <c r="E2342" t="s">
        <v>62</v>
      </c>
      <c r="F2342" t="s">
        <v>11</v>
      </c>
      <c r="H2342" s="12">
        <v>-2.2149200076093698</v>
      </c>
      <c r="I2342" s="11">
        <v>-3.36592619605163</v>
      </c>
      <c r="J2342" s="10">
        <v>7.6287116581670198E-4</v>
      </c>
      <c r="K2342" s="29">
        <v>3.1476609209572702E-2</v>
      </c>
    </row>
    <row r="2343" spans="1:11" x14ac:dyDescent="0.35">
      <c r="A2343" s="9" t="str">
        <f>HYPERLINK("http://www.ensembl.org/id/WBGene00018310", "WBGene00018310")</f>
        <v>WBGene00018310</v>
      </c>
      <c r="B2343" s="9" t="str">
        <f>HYPERLINK("http://www.ncbi.nlm.nih.gov/gene/181732", "181732")</f>
        <v>181732</v>
      </c>
      <c r="C2343" s="9"/>
      <c r="D2343" t="str">
        <f>"F41G4.7"</f>
        <v>F41G4.7</v>
      </c>
      <c r="F2343" t="s">
        <v>11</v>
      </c>
      <c r="H2343" s="12">
        <v>-2.21365467042162</v>
      </c>
      <c r="I2343" s="11">
        <v>-1.12544672473388</v>
      </c>
      <c r="J2343" s="10">
        <v>0.26039978076362502</v>
      </c>
      <c r="K2343" s="29">
        <v>0.98289565623980701</v>
      </c>
    </row>
    <row r="2344" spans="1:11" x14ac:dyDescent="0.35">
      <c r="A2344" s="9" t="str">
        <f>HYPERLINK("http://www.ensembl.org/id/WBGene00009879", "WBGene00009879")</f>
        <v>WBGene00009879</v>
      </c>
      <c r="B2344" s="9" t="str">
        <f>HYPERLINK("http://www.ncbi.nlm.nih.gov/gene/177754", "177754")</f>
        <v>177754</v>
      </c>
      <c r="C2344" s="9"/>
      <c r="D2344" t="str">
        <f>"F49C12.10"</f>
        <v>F49C12.10</v>
      </c>
      <c r="F2344" t="s">
        <v>11</v>
      </c>
      <c r="G2344" t="s">
        <v>2778</v>
      </c>
      <c r="H2344" s="12">
        <v>-2.2134788859582599</v>
      </c>
      <c r="I2344" s="11">
        <v>-1.3427409096483101</v>
      </c>
      <c r="J2344" s="10">
        <v>0.17935588302125899</v>
      </c>
      <c r="K2344" s="29">
        <v>0.91370245892174595</v>
      </c>
    </row>
    <row r="2345" spans="1:11" x14ac:dyDescent="0.35">
      <c r="A2345" s="9" t="str">
        <f>HYPERLINK("http://www.ensembl.org/id/WBGene00006740", "WBGene00006740")</f>
        <v>WBGene00006740</v>
      </c>
      <c r="B2345" s="9" t="str">
        <f>HYPERLINK("http://www.ncbi.nlm.nih.gov/gene/186900", "186900")</f>
        <v>186900</v>
      </c>
      <c r="C2345" s="9"/>
      <c r="D2345" t="str">
        <f>"ulp-5"</f>
        <v>ulp-5</v>
      </c>
      <c r="E2345" t="s">
        <v>1441</v>
      </c>
      <c r="F2345" t="s">
        <v>11</v>
      </c>
      <c r="G2345" t="s">
        <v>1442</v>
      </c>
      <c r="H2345" s="12">
        <v>-2.21262428019971</v>
      </c>
      <c r="I2345" s="11">
        <v>-2.1941419402312698</v>
      </c>
      <c r="J2345" s="10">
        <v>2.8225206968616499E-2</v>
      </c>
      <c r="K2345" s="29">
        <v>0.375891430672538</v>
      </c>
    </row>
    <row r="2346" spans="1:11" x14ac:dyDescent="0.35">
      <c r="A2346" s="9" t="str">
        <f>HYPERLINK("http://www.ensembl.org/id/WBGene00003426", "WBGene00003426")</f>
        <v>WBGene00003426</v>
      </c>
      <c r="B2346" s="9" t="str">
        <f>HYPERLINK("http://www.ncbi.nlm.nih.gov/gene/177305", "177305")</f>
        <v>177305</v>
      </c>
      <c r="C2346" s="9"/>
      <c r="D2346" t="str">
        <f>"msp-19"</f>
        <v>msp-19</v>
      </c>
      <c r="E2346" t="s">
        <v>3447</v>
      </c>
      <c r="F2346" t="s">
        <v>11</v>
      </c>
      <c r="H2346" s="12">
        <v>-2.2121486123685998</v>
      </c>
      <c r="I2346" s="11">
        <v>-1.3841930212901701</v>
      </c>
      <c r="J2346" s="10">
        <v>0.166299359665048</v>
      </c>
      <c r="K2346" s="29">
        <v>0.88516770431250902</v>
      </c>
    </row>
    <row r="2347" spans="1:11" x14ac:dyDescent="0.35">
      <c r="A2347" s="9" t="str">
        <f>HYPERLINK("http://www.ensembl.org/id/WBGene00009581", "WBGene00009581")</f>
        <v>WBGene00009581</v>
      </c>
      <c r="B2347" s="9" t="str">
        <f>HYPERLINK("http://www.ncbi.nlm.nih.gov/gene/185542", "185542")</f>
        <v>185542</v>
      </c>
      <c r="C2347" s="9"/>
      <c r="D2347" t="str">
        <f>"F40F9.3"</f>
        <v>F40F9.3</v>
      </c>
      <c r="F2347" t="s">
        <v>11</v>
      </c>
      <c r="G2347" t="s">
        <v>54</v>
      </c>
      <c r="H2347" s="12">
        <v>-2.20956497376195</v>
      </c>
      <c r="I2347" s="11">
        <v>-0.90447803295184803</v>
      </c>
      <c r="J2347" s="10">
        <v>0.365741977328993</v>
      </c>
      <c r="K2347" s="29">
        <v>0.98289565623980701</v>
      </c>
    </row>
    <row r="2348" spans="1:11" x14ac:dyDescent="0.35">
      <c r="A2348" s="9" t="str">
        <f>HYPERLINK("http://www.ensembl.org/id/WBGene00021667", "WBGene00021667")</f>
        <v>WBGene00021667</v>
      </c>
      <c r="B2348" s="9" t="str">
        <f>HYPERLINK("http://www.ncbi.nlm.nih.gov/gene/171615", "171615")</f>
        <v>171615</v>
      </c>
      <c r="C2348" s="9"/>
      <c r="D2348" t="str">
        <f>"snpc-3.2"</f>
        <v>snpc-3.2</v>
      </c>
      <c r="E2348" t="s">
        <v>728</v>
      </c>
      <c r="F2348" t="s">
        <v>11</v>
      </c>
      <c r="G2348" t="s">
        <v>3534</v>
      </c>
      <c r="H2348" s="12">
        <v>-2.2068527040772201</v>
      </c>
      <c r="I2348" s="11">
        <v>-1.3614624630904799</v>
      </c>
      <c r="J2348" s="10">
        <v>0.17336758816092501</v>
      </c>
      <c r="K2348" s="29">
        <v>0.90018685214524397</v>
      </c>
    </row>
    <row r="2349" spans="1:11" x14ac:dyDescent="0.35">
      <c r="A2349" s="9" t="str">
        <f>HYPERLINK("http://www.ensembl.org/id/WBGene00008056", "WBGene00008056")</f>
        <v>WBGene00008056</v>
      </c>
      <c r="B2349" s="9" t="str">
        <f>HYPERLINK("http://www.ncbi.nlm.nih.gov/gene/183381", "183381")</f>
        <v>183381</v>
      </c>
      <c r="C2349" s="9"/>
      <c r="D2349" t="str">
        <f>"nhr-164"</f>
        <v>nhr-164</v>
      </c>
      <c r="E2349" t="s">
        <v>10044</v>
      </c>
      <c r="F2349" t="s">
        <v>11</v>
      </c>
      <c r="G2349" t="s">
        <v>852</v>
      </c>
      <c r="H2349" s="12">
        <v>-2.2054337955735699</v>
      </c>
      <c r="I2349" s="11">
        <v>-0.42829578272895702</v>
      </c>
      <c r="J2349" s="10">
        <v>0.66843578893262001</v>
      </c>
      <c r="K2349" s="29">
        <v>0.98289565623980701</v>
      </c>
    </row>
    <row r="2350" spans="1:11" x14ac:dyDescent="0.35">
      <c r="A2350" s="9" t="str">
        <f>HYPERLINK("http://www.ensembl.org/id/WBGene00002032", "WBGene00002032")</f>
        <v>WBGene00002032</v>
      </c>
      <c r="B2350" s="9" t="str">
        <f>HYPERLINK("http://www.ncbi.nlm.nih.gov/gene/259571", "259571")</f>
        <v>259571</v>
      </c>
      <c r="C2350" s="9"/>
      <c r="D2350" t="str">
        <f>"htp-1"</f>
        <v>htp-1</v>
      </c>
      <c r="E2350" t="s">
        <v>368</v>
      </c>
      <c r="F2350" t="s">
        <v>11</v>
      </c>
      <c r="G2350" t="s">
        <v>472</v>
      </c>
      <c r="H2350" s="12">
        <v>-2.2049628522365201</v>
      </c>
      <c r="I2350" s="11">
        <v>-3.45183207942187</v>
      </c>
      <c r="J2350" s="10">
        <v>5.5679412614030404E-4</v>
      </c>
      <c r="K2350" s="29">
        <v>2.4884497250672901E-2</v>
      </c>
    </row>
    <row r="2351" spans="1:11" x14ac:dyDescent="0.35">
      <c r="A2351" s="9" t="str">
        <f>HYPERLINK("http://www.ensembl.org/id/WBGene00018443", "WBGene00018443")</f>
        <v>WBGene00018443</v>
      </c>
      <c r="B2351" s="9" t="str">
        <f>HYPERLINK("http://www.ncbi.nlm.nih.gov/gene/185774", "185774")</f>
        <v>185774</v>
      </c>
      <c r="C2351" s="9"/>
      <c r="D2351" t="str">
        <f>"btb-7"</f>
        <v>btb-7</v>
      </c>
      <c r="E2351" t="s">
        <v>468</v>
      </c>
      <c r="F2351" t="s">
        <v>11</v>
      </c>
      <c r="G2351" t="s">
        <v>54</v>
      </c>
      <c r="H2351" s="12">
        <v>-2.2038203132923999</v>
      </c>
      <c r="I2351" s="11">
        <v>-1.7454095615526199</v>
      </c>
      <c r="J2351" s="10">
        <v>8.0913602489845596E-2</v>
      </c>
      <c r="K2351" s="29">
        <v>0.66950682335351297</v>
      </c>
    </row>
    <row r="2352" spans="1:11" x14ac:dyDescent="0.35">
      <c r="A2352" s="9" t="str">
        <f>HYPERLINK("http://www.ensembl.org/id/WBGene00008417", "WBGene00008417")</f>
        <v>WBGene00008417</v>
      </c>
      <c r="B2352" s="9" t="str">
        <f>HYPERLINK("http://www.ncbi.nlm.nih.gov/gene/172516", "172516")</f>
        <v>172516</v>
      </c>
      <c r="C2352" s="9"/>
      <c r="D2352" t="str">
        <f>"D2030.7"</f>
        <v>D2030.7</v>
      </c>
      <c r="F2352" t="s">
        <v>11</v>
      </c>
      <c r="H2352" s="12">
        <v>-2.2032454606223002</v>
      </c>
      <c r="I2352" s="11">
        <v>-3.49579002440223</v>
      </c>
      <c r="J2352" s="10">
        <v>4.7266048437899798E-4</v>
      </c>
      <c r="K2352" s="29">
        <v>2.1842586304122301E-2</v>
      </c>
    </row>
    <row r="2353" spans="1:11" x14ac:dyDescent="0.35">
      <c r="A2353" s="9" t="str">
        <f>HYPERLINK("http://www.ensembl.org/id/WBGene00001647", "WBGene00001647")</f>
        <v>WBGene00001647</v>
      </c>
      <c r="B2353" s="9" t="str">
        <f>HYPERLINK("http://www.ncbi.nlm.nih.gov/gene/172533", "172533")</f>
        <v>172533</v>
      </c>
      <c r="C2353" s="9" t="str">
        <f>HYPERLINK("http://www.ncbi.nlm.nih.gov/gene/64841", "64841")</f>
        <v>64841</v>
      </c>
      <c r="D2353" t="str">
        <f>"gna-2"</f>
        <v>gna-2</v>
      </c>
      <c r="E2353" t="s">
        <v>337</v>
      </c>
      <c r="F2353" t="s">
        <v>11</v>
      </c>
      <c r="G2353" t="s">
        <v>338</v>
      </c>
      <c r="H2353" s="12">
        <v>-2.2014094396875099</v>
      </c>
      <c r="I2353" s="11">
        <v>-3.8952914561099199</v>
      </c>
      <c r="J2353" s="10">
        <v>9.8080719310168106E-5</v>
      </c>
      <c r="K2353" s="29">
        <v>6.5506434286429797E-3</v>
      </c>
    </row>
    <row r="2354" spans="1:11" x14ac:dyDescent="0.35">
      <c r="A2354" s="9" t="str">
        <f>HYPERLINK("http://www.ensembl.org/id/WBGene00008536", "WBGene00008536")</f>
        <v>WBGene00008536</v>
      </c>
      <c r="B2354" s="9" t="str">
        <f>HYPERLINK("http://www.ncbi.nlm.nih.gov/gene/178373", "178373")</f>
        <v>178373</v>
      </c>
      <c r="C2354" s="9"/>
      <c r="D2354" t="str">
        <f>"F02H6.3"</f>
        <v>F02H6.3</v>
      </c>
      <c r="F2354" t="s">
        <v>11</v>
      </c>
      <c r="H2354" s="12">
        <v>-2.20099382338435</v>
      </c>
      <c r="I2354" s="11">
        <v>-3.1368285367876498</v>
      </c>
      <c r="J2354" s="10">
        <v>1.7078597350411501E-3</v>
      </c>
      <c r="K2354" s="29">
        <v>5.8635671675870603E-2</v>
      </c>
    </row>
    <row r="2355" spans="1:11" x14ac:dyDescent="0.35">
      <c r="A2355" s="9" t="str">
        <f>HYPERLINK("http://www.ensembl.org/id/WBGene00014252", "WBGene00014252")</f>
        <v>WBGene00014252</v>
      </c>
      <c r="B2355" s="9" t="str">
        <f>HYPERLINK("http://www.ncbi.nlm.nih.gov/gene/174520", "174520")</f>
        <v>174520</v>
      </c>
      <c r="C2355" s="9"/>
      <c r="D2355" t="str">
        <f>"ZK1320.2"</f>
        <v>ZK1320.2</v>
      </c>
      <c r="F2355" t="s">
        <v>11</v>
      </c>
      <c r="G2355" t="s">
        <v>264</v>
      </c>
      <c r="H2355" s="12">
        <v>-2.20090874473056</v>
      </c>
      <c r="I2355" s="11">
        <v>-3.8443929100896601</v>
      </c>
      <c r="J2355" s="10">
        <v>1.20851244846732E-4</v>
      </c>
      <c r="K2355" s="29">
        <v>7.6713979764521803E-3</v>
      </c>
    </row>
    <row r="2356" spans="1:11" x14ac:dyDescent="0.35">
      <c r="A2356" s="9" t="str">
        <f>HYPERLINK("http://www.ensembl.org/id/WBGene00016998", "WBGene00016998")</f>
        <v>WBGene00016998</v>
      </c>
      <c r="B2356" s="9" t="str">
        <f>HYPERLINK("http://www.ncbi.nlm.nih.gov/gene/183882", "183882")</f>
        <v>183882</v>
      </c>
      <c r="C2356" s="9"/>
      <c r="D2356" t="str">
        <f>"D1005.4"</f>
        <v>D1005.4</v>
      </c>
      <c r="F2356" t="s">
        <v>11</v>
      </c>
      <c r="G2356" t="s">
        <v>25</v>
      </c>
      <c r="H2356" s="12">
        <v>-2.2007963420860399</v>
      </c>
      <c r="I2356" s="11">
        <v>-1.1945805218669201</v>
      </c>
      <c r="J2356" s="10">
        <v>0.23225096317458299</v>
      </c>
      <c r="K2356" s="29">
        <v>0.98289565623980701</v>
      </c>
    </row>
    <row r="2357" spans="1:11" x14ac:dyDescent="0.35">
      <c r="A2357" s="9" t="str">
        <f>HYPERLINK("http://www.ensembl.org/id/WBGene00021014", "WBGene00021014")</f>
        <v>WBGene00021014</v>
      </c>
      <c r="B2357" s="9" t="str">
        <f>HYPERLINK("http://www.ncbi.nlm.nih.gov/gene/189170", "189170")</f>
        <v>189170</v>
      </c>
      <c r="C2357" s="9"/>
      <c r="D2357" t="str">
        <f>"W03G9.2"</f>
        <v>W03G9.2</v>
      </c>
      <c r="F2357" t="s">
        <v>11</v>
      </c>
      <c r="H2357" s="12">
        <v>-2.20036241422449</v>
      </c>
      <c r="I2357" s="11">
        <v>-3.1003328547295399</v>
      </c>
      <c r="J2357" s="10">
        <v>1.93303279575292E-3</v>
      </c>
      <c r="K2357" s="29">
        <v>6.3091048553682902E-2</v>
      </c>
    </row>
    <row r="2358" spans="1:11" x14ac:dyDescent="0.35">
      <c r="A2358" s="9" t="str">
        <f>HYPERLINK("http://www.ensembl.org/id/WBGene00003229", "WBGene00003229")</f>
        <v>WBGene00003229</v>
      </c>
      <c r="B2358" s="9" t="str">
        <f>HYPERLINK("http://www.ncbi.nlm.nih.gov/gene/171607", "171607")</f>
        <v>171607</v>
      </c>
      <c r="C2358" s="9"/>
      <c r="D2358" t="str">
        <f>"mex-3"</f>
        <v>mex-3</v>
      </c>
      <c r="E2358" t="s">
        <v>213</v>
      </c>
      <c r="F2358" t="s">
        <v>11</v>
      </c>
      <c r="G2358" t="s">
        <v>244</v>
      </c>
      <c r="H2358" s="12">
        <v>-2.1972262969739602</v>
      </c>
      <c r="I2358" s="11">
        <v>-4.3287316846166197</v>
      </c>
      <c r="J2358" s="10">
        <v>1.4997051080204799E-5</v>
      </c>
      <c r="K2358" s="29">
        <v>1.43190852173228E-3</v>
      </c>
    </row>
    <row r="2359" spans="1:11" x14ac:dyDescent="0.35">
      <c r="A2359" s="9" t="str">
        <f>HYPERLINK("http://www.ensembl.org/id/WBGene00009061", "WBGene00009061")</f>
        <v>WBGene00009061</v>
      </c>
      <c r="B2359" s="9" t="str">
        <f>HYPERLINK("http://www.ncbi.nlm.nih.gov/gene/184866", "184866")</f>
        <v>184866</v>
      </c>
      <c r="C2359" s="9"/>
      <c r="D2359" t="str">
        <f>"pals-14"</f>
        <v>pals-14</v>
      </c>
      <c r="E2359" t="s">
        <v>1147</v>
      </c>
      <c r="F2359" t="s">
        <v>11</v>
      </c>
      <c r="H2359" s="12">
        <v>-2.1964670900057701</v>
      </c>
      <c r="I2359" s="11">
        <v>-1.09912956033751</v>
      </c>
      <c r="J2359" s="10">
        <v>0.271711557818615</v>
      </c>
      <c r="K2359" s="29">
        <v>0.98289565623980701</v>
      </c>
    </row>
    <row r="2360" spans="1:11" x14ac:dyDescent="0.35">
      <c r="A2360" s="9" t="str">
        <f>HYPERLINK("http://www.ensembl.org/id/WBGene00018036", "WBGene00018036")</f>
        <v>WBGene00018036</v>
      </c>
      <c r="B2360" s="9" t="str">
        <f>HYPERLINK("http://www.ncbi.nlm.nih.gov/gene/185268", "185268")</f>
        <v>185268</v>
      </c>
      <c r="C2360" s="9"/>
      <c r="D2360" t="str">
        <f>"F35C8.5"</f>
        <v>F35C8.5</v>
      </c>
      <c r="E2360" t="s">
        <v>490</v>
      </c>
      <c r="F2360" t="s">
        <v>11</v>
      </c>
      <c r="G2360" t="s">
        <v>491</v>
      </c>
      <c r="H2360" s="12">
        <v>-2.1947781080557198</v>
      </c>
      <c r="I2360" s="11">
        <v>-3.4041380115194202</v>
      </c>
      <c r="J2360" s="10">
        <v>6.6373208883636903E-4</v>
      </c>
      <c r="K2360" s="29">
        <v>2.83478625594328E-2</v>
      </c>
    </row>
    <row r="2361" spans="1:11" x14ac:dyDescent="0.35">
      <c r="A2361" s="9" t="str">
        <f>HYPERLINK("http://www.ensembl.org/id/WBGene00022395", "WBGene00022395")</f>
        <v>WBGene00022395</v>
      </c>
      <c r="B2361" s="9" t="str">
        <f>HYPERLINK("http://www.ncbi.nlm.nih.gov/gene/190815", "190815")</f>
        <v>190815</v>
      </c>
      <c r="C2361" s="9"/>
      <c r="D2361" t="str">
        <f>"ceh-76"</f>
        <v>ceh-76</v>
      </c>
      <c r="E2361" t="s">
        <v>349</v>
      </c>
      <c r="F2361" t="s">
        <v>11</v>
      </c>
      <c r="G2361" t="s">
        <v>4292</v>
      </c>
      <c r="H2361" s="12">
        <v>-2.19476551809433</v>
      </c>
      <c r="I2361" s="11">
        <v>-0.609327096799261</v>
      </c>
      <c r="J2361" s="10">
        <v>0.54230764986562996</v>
      </c>
      <c r="K2361" s="29">
        <v>0.98289565623980701</v>
      </c>
    </row>
    <row r="2362" spans="1:11" x14ac:dyDescent="0.35">
      <c r="A2362" s="9" t="str">
        <f>HYPERLINK("http://www.ensembl.org/id/WBGene00019793", "WBGene00019793")</f>
        <v>WBGene00019793</v>
      </c>
      <c r="B2362" s="9" t="str">
        <f>HYPERLINK("http://www.ncbi.nlm.nih.gov/gene/173708", "173708")</f>
        <v>173708</v>
      </c>
      <c r="C2362" s="9"/>
      <c r="D2362" t="str">
        <f>"M151.1"</f>
        <v>M151.1</v>
      </c>
      <c r="F2362" t="s">
        <v>11</v>
      </c>
      <c r="H2362" s="12">
        <v>-2.19452468071532</v>
      </c>
      <c r="I2362" s="11">
        <v>-0.62319622143111397</v>
      </c>
      <c r="J2362" s="10">
        <v>0.53315558446900202</v>
      </c>
      <c r="K2362" s="29">
        <v>0.98289565623980701</v>
      </c>
    </row>
    <row r="2363" spans="1:11" x14ac:dyDescent="0.35">
      <c r="A2363" s="9" t="str">
        <f>HYPERLINK("http://www.ensembl.org/id/WBGene00010114", "WBGene00010114")</f>
        <v>WBGene00010114</v>
      </c>
      <c r="B2363" s="9" t="str">
        <f>HYPERLINK("http://www.ncbi.nlm.nih.gov/gene/172559", "172559")</f>
        <v>172559</v>
      </c>
      <c r="C2363" s="9"/>
      <c r="D2363" t="str">
        <f>"F55D12.6"</f>
        <v>F55D12.6</v>
      </c>
      <c r="F2363" t="s">
        <v>11</v>
      </c>
      <c r="G2363" t="s">
        <v>25</v>
      </c>
      <c r="H2363" s="12">
        <v>-2.1934419828748402</v>
      </c>
      <c r="I2363" s="11">
        <v>-0.68539120894038597</v>
      </c>
      <c r="J2363" s="10">
        <v>0.49309708996392099</v>
      </c>
      <c r="K2363" s="29">
        <v>0.98289565623980701</v>
      </c>
    </row>
    <row r="2364" spans="1:11" x14ac:dyDescent="0.35">
      <c r="A2364" s="9" t="str">
        <f>HYPERLINK("http://www.ensembl.org/id/WBGene00016251", "WBGene00016251")</f>
        <v>WBGene00016251</v>
      </c>
      <c r="B2364" s="9" t="str">
        <f>HYPERLINK("http://www.ncbi.nlm.nih.gov/gene/183045", "183045")</f>
        <v>183045</v>
      </c>
      <c r="C2364" s="9"/>
      <c r="D2364" t="str">
        <f>"C30E1.2"</f>
        <v>C30E1.2</v>
      </c>
      <c r="F2364" t="s">
        <v>11</v>
      </c>
      <c r="G2364" t="s">
        <v>1268</v>
      </c>
      <c r="H2364" s="12">
        <v>-2.1911524046595798</v>
      </c>
      <c r="I2364" s="11">
        <v>-0.53463674013688101</v>
      </c>
      <c r="J2364" s="10">
        <v>0.59290107293967498</v>
      </c>
      <c r="K2364" s="29">
        <v>0.98289565623980701</v>
      </c>
    </row>
    <row r="2365" spans="1:11" x14ac:dyDescent="0.35">
      <c r="A2365" s="9" t="str">
        <f>HYPERLINK("http://www.ensembl.org/id/WBGene00010048", "WBGene00010048")</f>
        <v>WBGene00010048</v>
      </c>
      <c r="B2365" s="9" t="str">
        <f>HYPERLINK("http://www.ncbi.nlm.nih.gov/gene/174774", "174774")</f>
        <v>174774</v>
      </c>
      <c r="C2365" s="9"/>
      <c r="D2365" t="str">
        <f>"F54D5.2"</f>
        <v>F54D5.2</v>
      </c>
      <c r="F2365" t="s">
        <v>11</v>
      </c>
      <c r="H2365" s="12">
        <v>-2.1895091551351502</v>
      </c>
      <c r="I2365" s="11">
        <v>-3.1298133306302498</v>
      </c>
      <c r="J2365" s="10">
        <v>1.7491741748785501E-3</v>
      </c>
      <c r="K2365" s="29">
        <v>5.9261610681442603E-2</v>
      </c>
    </row>
    <row r="2366" spans="1:11" x14ac:dyDescent="0.35">
      <c r="A2366" s="9" t="str">
        <f>HYPERLINK("http://www.ensembl.org/id/WBGene00011886", "WBGene00011886")</f>
        <v>WBGene00011886</v>
      </c>
      <c r="B2366" s="9" t="str">
        <f>HYPERLINK("http://www.ncbi.nlm.nih.gov/gene/188686", "188686")</f>
        <v>188686</v>
      </c>
      <c r="C2366" s="9"/>
      <c r="D2366" t="str">
        <f>"T21B10.4"</f>
        <v>T21B10.4</v>
      </c>
      <c r="F2366" t="s">
        <v>11</v>
      </c>
      <c r="G2366" t="s">
        <v>25</v>
      </c>
      <c r="H2366" s="12">
        <v>-2.1893288179611798</v>
      </c>
      <c r="I2366" s="11">
        <v>-3.57927425399417</v>
      </c>
      <c r="J2366" s="10">
        <v>3.4454973476300601E-4</v>
      </c>
      <c r="K2366" s="29">
        <v>1.7520190253995999E-2</v>
      </c>
    </row>
    <row r="2367" spans="1:11" x14ac:dyDescent="0.35">
      <c r="A2367" s="9" t="str">
        <f>HYPERLINK("http://www.ensembl.org/id/WBGene00001864", "WBGene00001864")</f>
        <v>WBGene00001864</v>
      </c>
      <c r="B2367" s="9" t="str">
        <f>HYPERLINK("http://www.ncbi.nlm.nih.gov/gene/183932", "183932")</f>
        <v>183932</v>
      </c>
      <c r="C2367" s="9"/>
      <c r="D2367" t="str">
        <f>"him-5"</f>
        <v>him-5</v>
      </c>
      <c r="E2367" t="s">
        <v>1036</v>
      </c>
      <c r="F2367" t="s">
        <v>11</v>
      </c>
      <c r="G2367" t="s">
        <v>1037</v>
      </c>
      <c r="H2367" s="12">
        <v>-2.1883729373195702</v>
      </c>
      <c r="I2367" s="11">
        <v>-2.5469594008637602</v>
      </c>
      <c r="J2367" s="10">
        <v>1.08666074728697E-2</v>
      </c>
      <c r="K2367" s="29">
        <v>0.20530157994123299</v>
      </c>
    </row>
    <row r="2368" spans="1:11" x14ac:dyDescent="0.35">
      <c r="A2368" s="9" t="str">
        <f>HYPERLINK("http://www.ensembl.org/id/WBGene00012582", "WBGene00012582")</f>
        <v>WBGene00012582</v>
      </c>
      <c r="B2368" s="9" t="str">
        <f>HYPERLINK("http://www.ncbi.nlm.nih.gov/gene/174893", "174893")</f>
        <v>174893</v>
      </c>
      <c r="C2368" s="9"/>
      <c r="D2368" t="str">
        <f>"clec-8"</f>
        <v>clec-8</v>
      </c>
      <c r="E2368" t="s">
        <v>46</v>
      </c>
      <c r="F2368" t="s">
        <v>11</v>
      </c>
      <c r="G2368" t="s">
        <v>47</v>
      </c>
      <c r="H2368" s="12">
        <v>-2.1879996418902699</v>
      </c>
      <c r="I2368" s="11">
        <v>-1.3489159057426101</v>
      </c>
      <c r="J2368" s="10">
        <v>0.17736397868352899</v>
      </c>
      <c r="K2368" s="29">
        <v>0.90892735584047402</v>
      </c>
    </row>
    <row r="2369" spans="1:11" x14ac:dyDescent="0.35">
      <c r="A2369" s="9" t="str">
        <f>HYPERLINK("http://www.ensembl.org/id/WBGene00005003", "WBGene00005003")</f>
        <v>WBGene00005003</v>
      </c>
      <c r="B2369" s="9" t="str">
        <f>HYPERLINK("http://www.ncbi.nlm.nih.gov/gene/185015", "185015")</f>
        <v>185015</v>
      </c>
      <c r="C2369" s="9"/>
      <c r="D2369" t="str">
        <f>"spp-18"</f>
        <v>spp-18</v>
      </c>
      <c r="E2369" t="s">
        <v>62</v>
      </c>
      <c r="F2369" t="s">
        <v>11</v>
      </c>
      <c r="G2369" t="s">
        <v>264</v>
      </c>
      <c r="H2369" s="12">
        <v>-2.1874566440310401</v>
      </c>
      <c r="I2369" s="11">
        <v>-3.0632021204606898</v>
      </c>
      <c r="J2369" s="10">
        <v>2.1898209888723901E-3</v>
      </c>
      <c r="K2369" s="29">
        <v>6.9392175784287705E-2</v>
      </c>
    </row>
    <row r="2370" spans="1:11" x14ac:dyDescent="0.35">
      <c r="A2370" s="9" t="str">
        <f>HYPERLINK("http://www.ensembl.org/id/WBGene00007278", "WBGene00007278")</f>
        <v>WBGene00007278</v>
      </c>
      <c r="B2370" s="9" t="str">
        <f>HYPERLINK("http://www.ncbi.nlm.nih.gov/gene/182160", "182160")</f>
        <v>182160</v>
      </c>
      <c r="C2370" s="9"/>
      <c r="D2370" t="str">
        <f>"lab-1"</f>
        <v>lab-1</v>
      </c>
      <c r="E2370" t="s">
        <v>796</v>
      </c>
      <c r="F2370" t="s">
        <v>11</v>
      </c>
      <c r="G2370" t="s">
        <v>797</v>
      </c>
      <c r="H2370" s="12">
        <v>-2.1869551778149598</v>
      </c>
      <c r="I2370" s="11">
        <v>-2.84938694641346</v>
      </c>
      <c r="J2370" s="10">
        <v>4.3803570237444999E-3</v>
      </c>
      <c r="K2370" s="29">
        <v>0.111344916821387</v>
      </c>
    </row>
    <row r="2371" spans="1:11" x14ac:dyDescent="0.35">
      <c r="A2371" s="9" t="str">
        <f>HYPERLINK("http://www.ensembl.org/id/WBGene00021289", "WBGene00021289")</f>
        <v>WBGene00021289</v>
      </c>
      <c r="B2371" s="9" t="str">
        <f>HYPERLINK("http://www.ncbi.nlm.nih.gov/gene/189535", "189535")</f>
        <v>189535</v>
      </c>
      <c r="C2371" s="9"/>
      <c r="D2371" t="str">
        <f>"Y25C1A.2"</f>
        <v>Y25C1A.2</v>
      </c>
      <c r="F2371" t="s">
        <v>11</v>
      </c>
      <c r="H2371" s="12">
        <v>-2.1864157624492702</v>
      </c>
      <c r="I2371" s="11">
        <v>-0.36324609368842398</v>
      </c>
      <c r="J2371" s="10">
        <v>0.71642105793810296</v>
      </c>
      <c r="K2371" s="29">
        <v>0.98289565623980701</v>
      </c>
    </row>
    <row r="2372" spans="1:11" x14ac:dyDescent="0.35">
      <c r="A2372" s="9" t="str">
        <f>HYPERLINK("http://www.ensembl.org/id/WBGene00020461", "WBGene00020461")</f>
        <v>WBGene00020461</v>
      </c>
      <c r="B2372" s="9" t="str">
        <f>HYPERLINK("http://www.ncbi.nlm.nih.gov/gene/173782", "173782")</f>
        <v>173782</v>
      </c>
      <c r="C2372" s="9"/>
      <c r="D2372" t="str">
        <f>"T12C9.7"</f>
        <v>T12C9.7</v>
      </c>
      <c r="F2372" t="s">
        <v>11</v>
      </c>
      <c r="G2372" t="s">
        <v>893</v>
      </c>
      <c r="H2372" s="12">
        <v>-2.1836303744396801</v>
      </c>
      <c r="I2372" s="11">
        <v>-2.7388808744634598</v>
      </c>
      <c r="J2372" s="10">
        <v>6.1648706638646597E-3</v>
      </c>
      <c r="K2372" s="29">
        <v>0.138700585744164</v>
      </c>
    </row>
    <row r="2373" spans="1:11" x14ac:dyDescent="0.35">
      <c r="A2373" s="9" t="str">
        <f>HYPERLINK("http://www.ensembl.org/id/WBGene00020898", "WBGene00020898")</f>
        <v>WBGene00020898</v>
      </c>
      <c r="B2373" s="9" t="str">
        <f>HYPERLINK("http://www.ncbi.nlm.nih.gov/gene/189045", "189045")</f>
        <v>189045</v>
      </c>
      <c r="C2373" s="9"/>
      <c r="D2373" t="str">
        <f>"lido-16"</f>
        <v>lido-16</v>
      </c>
      <c r="E2373" t="s">
        <v>10043</v>
      </c>
      <c r="F2373" t="s">
        <v>11</v>
      </c>
      <c r="G2373" t="s">
        <v>228</v>
      </c>
      <c r="H2373" s="12">
        <v>-2.1832445874178199</v>
      </c>
      <c r="I2373" s="11">
        <v>-0.56842691680819302</v>
      </c>
      <c r="J2373" s="10">
        <v>0.569745117649894</v>
      </c>
      <c r="K2373" s="29">
        <v>0.98289565623980701</v>
      </c>
    </row>
    <row r="2374" spans="1:11" x14ac:dyDescent="0.35">
      <c r="A2374" s="9" t="str">
        <f>HYPERLINK("http://www.ensembl.org/id/WBGene00008789", "WBGene00008789")</f>
        <v>WBGene00008789</v>
      </c>
      <c r="B2374" s="9" t="str">
        <f>HYPERLINK("http://www.ncbi.nlm.nih.gov/gene/179929", "179929")</f>
        <v>179929</v>
      </c>
      <c r="C2374" s="9"/>
      <c r="D2374" t="str">
        <f>"F14D7.2"</f>
        <v>F14D7.2</v>
      </c>
      <c r="F2374" t="s">
        <v>11</v>
      </c>
      <c r="H2374" s="12">
        <v>-2.1830030213049101</v>
      </c>
      <c r="I2374" s="11">
        <v>-3.44254175162202</v>
      </c>
      <c r="J2374" s="10">
        <v>5.7627490123052E-4</v>
      </c>
      <c r="K2374" s="29">
        <v>2.5459670875396499E-2</v>
      </c>
    </row>
    <row r="2375" spans="1:11" x14ac:dyDescent="0.35">
      <c r="A2375" s="9" t="str">
        <f>HYPERLINK("http://www.ensembl.org/id/WBGene00016799", "WBGene00016799")</f>
        <v>WBGene00016799</v>
      </c>
      <c r="B2375" s="9" t="str">
        <f>HYPERLINK("http://www.ncbi.nlm.nih.gov/gene/183641", "183641")</f>
        <v>183641</v>
      </c>
      <c r="C2375" s="9"/>
      <c r="D2375" t="str">
        <f>"C50C3.1"</f>
        <v>C50C3.1</v>
      </c>
      <c r="F2375" t="s">
        <v>11</v>
      </c>
      <c r="G2375" t="s">
        <v>51</v>
      </c>
      <c r="H2375" s="12">
        <v>-2.1816592727996098</v>
      </c>
      <c r="I2375" s="11">
        <v>-3.1736313321713499</v>
      </c>
      <c r="J2375" s="10">
        <v>1.5054477647033499E-3</v>
      </c>
      <c r="K2375" s="29">
        <v>5.2977269150738998E-2</v>
      </c>
    </row>
    <row r="2376" spans="1:11" x14ac:dyDescent="0.35">
      <c r="A2376" s="9" t="str">
        <f>HYPERLINK("http://www.ensembl.org/id/WBGene00016501", "WBGene00016501")</f>
        <v>WBGene00016501</v>
      </c>
      <c r="B2376" s="9" t="str">
        <f>HYPERLINK("http://www.ncbi.nlm.nih.gov/gene/179164", "179164")</f>
        <v>179164</v>
      </c>
      <c r="C2376" s="9"/>
      <c r="D2376" t="str">
        <f>"C37C3.9"</f>
        <v>C37C3.9</v>
      </c>
      <c r="F2376" t="s">
        <v>11</v>
      </c>
      <c r="G2376" t="s">
        <v>54</v>
      </c>
      <c r="H2376" s="12">
        <v>-2.1813010579756802</v>
      </c>
      <c r="I2376" s="11">
        <v>-3.9582581744472298</v>
      </c>
      <c r="J2376" s="10">
        <v>7.54983269830645E-5</v>
      </c>
      <c r="K2376" s="29">
        <v>5.3023232318258002E-3</v>
      </c>
    </row>
    <row r="2377" spans="1:11" x14ac:dyDescent="0.35">
      <c r="A2377" s="9" t="str">
        <f>HYPERLINK("http://www.ensembl.org/id/WBGene00000386", "WBGene00000386")</f>
        <v>WBGene00000386</v>
      </c>
      <c r="B2377" s="9" t="str">
        <f>HYPERLINK("http://www.ncbi.nlm.nih.gov/gene/172353", "172353")</f>
        <v>172353</v>
      </c>
      <c r="C2377" s="9"/>
      <c r="D2377" t="str">
        <f>"cdc-25.1"</f>
        <v>cdc-25.1</v>
      </c>
      <c r="E2377" t="s">
        <v>283</v>
      </c>
      <c r="F2377" t="s">
        <v>11</v>
      </c>
      <c r="G2377" t="s">
        <v>284</v>
      </c>
      <c r="H2377" s="12">
        <v>-2.1808302869043299</v>
      </c>
      <c r="I2377" s="11">
        <v>-4.1397080415185803</v>
      </c>
      <c r="J2377" s="10">
        <v>3.4774811114025103E-5</v>
      </c>
      <c r="K2377" s="29">
        <v>2.8587736626153699E-3</v>
      </c>
    </row>
    <row r="2378" spans="1:11" x14ac:dyDescent="0.35">
      <c r="A2378" s="9" t="str">
        <f>HYPERLINK("http://www.ensembl.org/id/WBGene00021164", "WBGene00021164")</f>
        <v>WBGene00021164</v>
      </c>
      <c r="B2378" s="9" t="str">
        <f>HYPERLINK("http://www.ncbi.nlm.nih.gov/gene/189361", "189361")</f>
        <v>189361</v>
      </c>
      <c r="C2378" s="9"/>
      <c r="D2378" t="str">
        <f>"Y5H2B.1"</f>
        <v>Y5H2B.1</v>
      </c>
      <c r="F2378" t="s">
        <v>11</v>
      </c>
      <c r="G2378" t="s">
        <v>10042</v>
      </c>
      <c r="H2378" s="12">
        <v>-2.1774317891213202</v>
      </c>
      <c r="I2378" s="11">
        <v>-0.646632421472498</v>
      </c>
      <c r="J2378" s="10">
        <v>0.517869869550448</v>
      </c>
      <c r="K2378" s="29">
        <v>0.98289565623980701</v>
      </c>
    </row>
    <row r="2379" spans="1:11" x14ac:dyDescent="0.35">
      <c r="A2379" s="9" t="str">
        <f>HYPERLINK("http://www.ensembl.org/id/WBGene00010125", "WBGene00010125")</f>
        <v>WBGene00010125</v>
      </c>
      <c r="B2379" s="9" t="str">
        <f>HYPERLINK("http://www.ncbi.nlm.nih.gov/gene/178247", "178247")</f>
        <v>178247</v>
      </c>
      <c r="C2379" s="9"/>
      <c r="D2379" t="str">
        <f>"dod-22"</f>
        <v>dod-22</v>
      </c>
      <c r="E2379" t="s">
        <v>24</v>
      </c>
      <c r="F2379" t="s">
        <v>11</v>
      </c>
      <c r="G2379" t="s">
        <v>1876</v>
      </c>
      <c r="H2379" s="12">
        <v>-2.1772170947687801</v>
      </c>
      <c r="I2379" s="11">
        <v>-1.38805899639698</v>
      </c>
      <c r="J2379" s="10">
        <v>0.16511908107169099</v>
      </c>
      <c r="K2379" s="29">
        <v>0.88498397685845498</v>
      </c>
    </row>
    <row r="2380" spans="1:11" x14ac:dyDescent="0.35">
      <c r="A2380" s="9" t="str">
        <f>HYPERLINK("http://www.ensembl.org/id/WBGene00045308", "WBGene00045308")</f>
        <v>WBGene00045308</v>
      </c>
      <c r="B2380" s="9" t="str">
        <f>HYPERLINK("http://www.ncbi.nlm.nih.gov/gene/6418705", "6418705")</f>
        <v>6418705</v>
      </c>
      <c r="C2380" s="9"/>
      <c r="D2380" t="str">
        <f>"C37H5.14"</f>
        <v>C37H5.14</v>
      </c>
      <c r="F2380" t="s">
        <v>11</v>
      </c>
      <c r="G2380" t="s">
        <v>3284</v>
      </c>
      <c r="H2380" s="12">
        <v>-2.1768902897837101</v>
      </c>
      <c r="I2380" s="11">
        <v>-1.4289701248078901</v>
      </c>
      <c r="J2380" s="10">
        <v>0.15301282033729899</v>
      </c>
      <c r="K2380" s="29">
        <v>0.85922257675602998</v>
      </c>
    </row>
    <row r="2381" spans="1:11" x14ac:dyDescent="0.35">
      <c r="A2381" s="9" t="str">
        <f>HYPERLINK("http://www.ensembl.org/id/WBGene00016732", "WBGene00016732")</f>
        <v>WBGene00016732</v>
      </c>
      <c r="B2381" s="9" t="str">
        <f>HYPERLINK("http://www.ncbi.nlm.nih.gov/gene/172129", "172129")</f>
        <v>172129</v>
      </c>
      <c r="C2381" s="9"/>
      <c r="D2381" t="str">
        <f>"phat-1"</f>
        <v>phat-1</v>
      </c>
      <c r="E2381" t="s">
        <v>424</v>
      </c>
      <c r="F2381" t="s">
        <v>11</v>
      </c>
      <c r="G2381" t="s">
        <v>425</v>
      </c>
      <c r="H2381" s="12">
        <v>-2.1761422317799499</v>
      </c>
      <c r="I2381" s="11">
        <v>-0.66239284279344801</v>
      </c>
      <c r="J2381" s="10">
        <v>0.50771948941857703</v>
      </c>
      <c r="K2381" s="29">
        <v>0.98289565623980701</v>
      </c>
    </row>
    <row r="2382" spans="1:11" x14ac:dyDescent="0.35">
      <c r="A2382" s="9" t="str">
        <f>HYPERLINK("http://www.ensembl.org/id/WBGene00016544", "WBGene00016544")</f>
        <v>WBGene00016544</v>
      </c>
      <c r="B2382" s="9" t="str">
        <f>HYPERLINK("http://www.ncbi.nlm.nih.gov/gene/183351", "183351")</f>
        <v>183351</v>
      </c>
      <c r="C2382" s="9"/>
      <c r="D2382" t="str">
        <f>"math-18"</f>
        <v>math-18</v>
      </c>
      <c r="E2382" t="s">
        <v>596</v>
      </c>
      <c r="F2382" t="s">
        <v>11</v>
      </c>
      <c r="G2382" t="s">
        <v>54</v>
      </c>
      <c r="H2382" s="12">
        <v>-2.1759166663359002</v>
      </c>
      <c r="I2382" s="11">
        <v>-1.0238811510035899</v>
      </c>
      <c r="J2382" s="10">
        <v>0.30589141416023102</v>
      </c>
      <c r="K2382" s="29">
        <v>0.98289565623980701</v>
      </c>
    </row>
    <row r="2383" spans="1:11" x14ac:dyDescent="0.35">
      <c r="A2383" s="9" t="str">
        <f>HYPERLINK("http://www.ensembl.org/id/WBGene00012253", "WBGene00012253")</f>
        <v>WBGene00012253</v>
      </c>
      <c r="B2383" s="9" t="str">
        <f>HYPERLINK("http://www.ncbi.nlm.nih.gov/gene/180299", "180299")</f>
        <v>180299</v>
      </c>
      <c r="C2383" s="9"/>
      <c r="D2383" t="str">
        <f>"clec-50"</f>
        <v>clec-50</v>
      </c>
      <c r="E2383" t="s">
        <v>46</v>
      </c>
      <c r="F2383" t="s">
        <v>11</v>
      </c>
      <c r="G2383" t="s">
        <v>274</v>
      </c>
      <c r="H2383" s="12">
        <v>-2.17474266790353</v>
      </c>
      <c r="I2383" s="11">
        <v>-4.1911309483869097</v>
      </c>
      <c r="J2383" s="10">
        <v>2.7756739375100499E-5</v>
      </c>
      <c r="K2383" s="29">
        <v>2.3492572161211501E-3</v>
      </c>
    </row>
    <row r="2384" spans="1:11" x14ac:dyDescent="0.35">
      <c r="A2384" s="9" t="str">
        <f>HYPERLINK("http://www.ensembl.org/id/WBGene00006650", "WBGene00006650")</f>
        <v>WBGene00006650</v>
      </c>
      <c r="B2384" s="9"/>
      <c r="C2384" s="9"/>
      <c r="D2384" t="str">
        <f>"tts-1"</f>
        <v>tts-1</v>
      </c>
      <c r="F2384" t="s">
        <v>481</v>
      </c>
      <c r="H2384" s="12">
        <v>-2.1726479728588202</v>
      </c>
      <c r="I2384" s="11">
        <v>-3.4373310733720102</v>
      </c>
      <c r="J2384" s="10">
        <v>5.8747704256334303E-4</v>
      </c>
      <c r="K2384" s="29">
        <v>2.5757579782672901E-2</v>
      </c>
    </row>
    <row r="2385" spans="1:11" x14ac:dyDescent="0.35">
      <c r="A2385" s="9" t="str">
        <f>HYPERLINK("http://www.ensembl.org/id/WBGene00022324", "WBGene00022324")</f>
        <v>WBGene00022324</v>
      </c>
      <c r="B2385" s="9" t="str">
        <f>HYPERLINK("http://www.ncbi.nlm.nih.gov/gene/190756", "190756")</f>
        <v>190756</v>
      </c>
      <c r="C2385" s="9"/>
      <c r="D2385" t="str">
        <f>"fbxa-26"</f>
        <v>fbxa-26</v>
      </c>
      <c r="E2385" t="s">
        <v>467</v>
      </c>
      <c r="F2385" t="s">
        <v>11</v>
      </c>
      <c r="G2385" t="s">
        <v>54</v>
      </c>
      <c r="H2385" s="12">
        <v>-2.1703405556890698</v>
      </c>
      <c r="I2385" s="11">
        <v>-2.0613616055589601</v>
      </c>
      <c r="J2385" s="10">
        <v>3.92685549096412E-2</v>
      </c>
      <c r="K2385" s="29">
        <v>0.45726146526</v>
      </c>
    </row>
    <row r="2386" spans="1:11" x14ac:dyDescent="0.35">
      <c r="A2386" s="9" t="str">
        <f>HYPERLINK("http://www.ensembl.org/id/WBGene00008580", "WBGene00008580")</f>
        <v>WBGene00008580</v>
      </c>
      <c r="B2386" s="9" t="str">
        <f>HYPERLINK("http://www.ncbi.nlm.nih.gov/gene/178192", "178192")</f>
        <v>178192</v>
      </c>
      <c r="C2386" s="9"/>
      <c r="D2386" t="str">
        <f>"dsb-1"</f>
        <v>dsb-1</v>
      </c>
      <c r="E2386" t="s">
        <v>531</v>
      </c>
      <c r="F2386" t="s">
        <v>11</v>
      </c>
      <c r="G2386" t="s">
        <v>532</v>
      </c>
      <c r="H2386" s="12">
        <v>-2.17028244343203</v>
      </c>
      <c r="I2386" s="11">
        <v>-3.2469707554257301</v>
      </c>
      <c r="J2386" s="10">
        <v>1.1664037429498001E-3</v>
      </c>
      <c r="K2386" s="29">
        <v>4.4181844073111501E-2</v>
      </c>
    </row>
    <row r="2387" spans="1:11" x14ac:dyDescent="0.35">
      <c r="A2387" s="9" t="str">
        <f>HYPERLINK("http://www.ensembl.org/id/WBGene00195064", "WBGene00195064")</f>
        <v>WBGene00195064</v>
      </c>
      <c r="B2387" s="9"/>
      <c r="C2387" s="9"/>
      <c r="D2387" t="str">
        <f>"F17C11.20"</f>
        <v>F17C11.20</v>
      </c>
      <c r="F2387" t="s">
        <v>2735</v>
      </c>
      <c r="H2387" s="12">
        <v>-2.1698582219276599</v>
      </c>
      <c r="I2387" s="11">
        <v>-0.96885165746777702</v>
      </c>
      <c r="J2387" s="10">
        <v>0.33261920834118802</v>
      </c>
      <c r="K2387" s="29">
        <v>0.98289565623980701</v>
      </c>
    </row>
    <row r="2388" spans="1:11" x14ac:dyDescent="0.35">
      <c r="A2388" s="9" t="str">
        <f>HYPERLINK("http://www.ensembl.org/id/WBGene00018808", "WBGene00018808")</f>
        <v>WBGene00018808</v>
      </c>
      <c r="B2388" s="9" t="str">
        <f>HYPERLINK("http://www.ncbi.nlm.nih.gov/gene/173728", "173728")</f>
        <v>173728</v>
      </c>
      <c r="C2388" s="9"/>
      <c r="D2388" t="str">
        <f>"F54D10.7"</f>
        <v>F54D10.7</v>
      </c>
      <c r="F2388" t="s">
        <v>11</v>
      </c>
      <c r="G2388" t="s">
        <v>735</v>
      </c>
      <c r="H2388" s="12">
        <v>-2.1693588260131502</v>
      </c>
      <c r="I2388" s="11">
        <v>-2.9319088000004401</v>
      </c>
      <c r="J2388" s="10">
        <v>3.3688566140029201E-3</v>
      </c>
      <c r="K2388" s="29">
        <v>9.2778070230216295E-2</v>
      </c>
    </row>
    <row r="2389" spans="1:11" x14ac:dyDescent="0.35">
      <c r="A2389" s="9" t="str">
        <f>HYPERLINK("http://www.ensembl.org/id/WBGene00016637", "WBGene00016637")</f>
        <v>WBGene00016637</v>
      </c>
      <c r="B2389" s="9" t="str">
        <f>HYPERLINK("http://www.ncbi.nlm.nih.gov/gene/183436", "183436")</f>
        <v>183436</v>
      </c>
      <c r="C2389" s="9"/>
      <c r="D2389" t="str">
        <f>"C44B12.3"</f>
        <v>C44B12.3</v>
      </c>
      <c r="F2389" t="s">
        <v>11</v>
      </c>
      <c r="H2389" s="12">
        <v>-2.1669479808203098</v>
      </c>
      <c r="I2389" s="11">
        <v>-0.89140726875004495</v>
      </c>
      <c r="J2389" s="10">
        <v>0.37271071961847102</v>
      </c>
      <c r="K2389" s="29">
        <v>0.98289565623980701</v>
      </c>
    </row>
    <row r="2390" spans="1:11" x14ac:dyDescent="0.35">
      <c r="A2390" s="9" t="str">
        <f>HYPERLINK("http://www.ensembl.org/id/WBGene00006376", "WBGene00006376")</f>
        <v>WBGene00006376</v>
      </c>
      <c r="B2390" s="9" t="str">
        <f>HYPERLINK("http://www.ncbi.nlm.nih.gov/gene/178938", "178938")</f>
        <v>178938</v>
      </c>
      <c r="C2390" s="9"/>
      <c r="D2390" t="str">
        <f>"syp-2"</f>
        <v>syp-2</v>
      </c>
      <c r="F2390" t="s">
        <v>11</v>
      </c>
      <c r="G2390" t="s">
        <v>662</v>
      </c>
      <c r="H2390" s="12">
        <v>-2.1659584576626898</v>
      </c>
      <c r="I2390" s="11">
        <v>-3.0392256966927498</v>
      </c>
      <c r="J2390" s="10">
        <v>2.3718708851810798E-3</v>
      </c>
      <c r="K2390" s="29">
        <v>7.2264409529661802E-2</v>
      </c>
    </row>
    <row r="2391" spans="1:11" x14ac:dyDescent="0.35">
      <c r="A2391" s="9" t="str">
        <f>HYPERLINK("http://www.ensembl.org/id/WBGene00017710", "WBGene00017710")</f>
        <v>WBGene00017710</v>
      </c>
      <c r="B2391" s="9" t="str">
        <f>HYPERLINK("http://www.ncbi.nlm.nih.gov/gene/184840", "184840")</f>
        <v>184840</v>
      </c>
      <c r="C2391" s="9"/>
      <c r="D2391" t="str">
        <f>"F22E5.12"</f>
        <v>F22E5.12</v>
      </c>
      <c r="F2391" t="s">
        <v>11</v>
      </c>
      <c r="G2391" t="s">
        <v>2068</v>
      </c>
      <c r="H2391" s="12">
        <v>-2.16205614224971</v>
      </c>
      <c r="I2391" s="11">
        <v>-1.83837463882277</v>
      </c>
      <c r="J2391" s="10">
        <v>6.6007219559548705E-2</v>
      </c>
      <c r="K2391" s="29">
        <v>0.60910626828818104</v>
      </c>
    </row>
    <row r="2392" spans="1:11" x14ac:dyDescent="0.35">
      <c r="A2392" s="9" t="str">
        <f>HYPERLINK("http://www.ensembl.org/id/WBGene00255594", "WBGene00255594")</f>
        <v>WBGene00255594</v>
      </c>
      <c r="B2392" s="9" t="str">
        <f>HYPERLINK("http://www.ncbi.nlm.nih.gov/gene/25502999", "25502999")</f>
        <v>25502999</v>
      </c>
      <c r="C2392" s="9"/>
      <c r="D2392" t="str">
        <f>"Y48G1BL.8"</f>
        <v>Y48G1BL.8</v>
      </c>
      <c r="F2392" t="s">
        <v>11</v>
      </c>
      <c r="G2392" t="s">
        <v>3534</v>
      </c>
      <c r="H2392" s="12">
        <v>-2.1607714105325999</v>
      </c>
      <c r="I2392" s="11">
        <v>-0.96631624526159599</v>
      </c>
      <c r="J2392" s="10">
        <v>0.333885959536039</v>
      </c>
      <c r="K2392" s="29">
        <v>0.98289565623980701</v>
      </c>
    </row>
    <row r="2393" spans="1:11" x14ac:dyDescent="0.35">
      <c r="A2393" s="9" t="str">
        <f>HYPERLINK("http://www.ensembl.org/id/WBGene00009222", "WBGene00009222")</f>
        <v>WBGene00009222</v>
      </c>
      <c r="B2393" s="9" t="str">
        <f>HYPERLINK("http://www.ncbi.nlm.nih.gov/gene/185071", "185071")</f>
        <v>185071</v>
      </c>
      <c r="C2393" s="9"/>
      <c r="D2393" t="str">
        <f>"fbxa-95"</f>
        <v>fbxa-95</v>
      </c>
      <c r="E2393" t="s">
        <v>467</v>
      </c>
      <c r="F2393" t="s">
        <v>11</v>
      </c>
      <c r="G2393" t="s">
        <v>54</v>
      </c>
      <c r="H2393" s="12">
        <v>-2.1594108206036902</v>
      </c>
      <c r="I2393" s="11">
        <v>-1.80200267557202</v>
      </c>
      <c r="J2393" s="10">
        <v>7.1544984608596304E-2</v>
      </c>
      <c r="K2393" s="29">
        <v>0.62927994456270497</v>
      </c>
    </row>
    <row r="2394" spans="1:11" x14ac:dyDescent="0.35">
      <c r="A2394" s="9" t="str">
        <f>HYPERLINK("http://www.ensembl.org/id/WBGene00011834", "WBGene00011834")</f>
        <v>WBGene00011834</v>
      </c>
      <c r="B2394" s="9" t="str">
        <f>HYPERLINK("http://www.ncbi.nlm.nih.gov/gene/179554", "179554")</f>
        <v>179554</v>
      </c>
      <c r="C2394" s="9"/>
      <c r="D2394" t="str">
        <f>"dvc-1"</f>
        <v>dvc-1</v>
      </c>
      <c r="E2394" t="s">
        <v>341</v>
      </c>
      <c r="F2394" t="s">
        <v>11</v>
      </c>
      <c r="G2394" t="s">
        <v>342</v>
      </c>
      <c r="H2394" s="12">
        <v>-2.15804521390961</v>
      </c>
      <c r="I2394" s="11">
        <v>-3.8751961605929601</v>
      </c>
      <c r="J2394" s="10">
        <v>1.0653884061874E-4</v>
      </c>
      <c r="K2394" s="29">
        <v>6.9736160094521398E-3</v>
      </c>
    </row>
    <row r="2395" spans="1:11" x14ac:dyDescent="0.35">
      <c r="A2395" s="9" t="str">
        <f>HYPERLINK("http://www.ensembl.org/id/WBGene00008889", "WBGene00008889")</f>
        <v>WBGene00008889</v>
      </c>
      <c r="B2395" s="9" t="str">
        <f>HYPERLINK("http://www.ncbi.nlm.nih.gov/gene/184571", "184571")</f>
        <v>184571</v>
      </c>
      <c r="C2395" s="9"/>
      <c r="D2395" t="str">
        <f>"F16D3.6"</f>
        <v>F16D3.6</v>
      </c>
      <c r="F2395" t="s">
        <v>11</v>
      </c>
      <c r="G2395" t="s">
        <v>25</v>
      </c>
      <c r="H2395" s="12">
        <v>-2.1572339084592298</v>
      </c>
      <c r="I2395" s="11">
        <v>-0.36322353423111903</v>
      </c>
      <c r="J2395" s="10">
        <v>0.71643790865586399</v>
      </c>
      <c r="K2395" s="29">
        <v>0.98289565623980701</v>
      </c>
    </row>
    <row r="2396" spans="1:11" x14ac:dyDescent="0.35">
      <c r="A2396" s="9" t="str">
        <f>HYPERLINK("http://www.ensembl.org/id/WBGene00005825", "WBGene00005825")</f>
        <v>WBGene00005825</v>
      </c>
      <c r="B2396" s="9"/>
      <c r="C2396" s="9"/>
      <c r="D2396" t="str">
        <f>"srw-78"</f>
        <v>srw-78</v>
      </c>
      <c r="F2396" t="s">
        <v>80</v>
      </c>
      <c r="H2396" s="12">
        <v>-2.1572339084592298</v>
      </c>
      <c r="I2396" s="11">
        <v>-0.36322353423111903</v>
      </c>
      <c r="J2396" s="10">
        <v>0.71643790865586399</v>
      </c>
      <c r="K2396" s="29">
        <v>0.98289565623980701</v>
      </c>
    </row>
    <row r="2397" spans="1:11" x14ac:dyDescent="0.35">
      <c r="A2397" s="9" t="str">
        <f>HYPERLINK("http://www.ensembl.org/id/WBGene00195176", "WBGene00195176")</f>
        <v>WBGene00195176</v>
      </c>
      <c r="B2397" s="9" t="str">
        <f>HYPERLINK("http://www.ncbi.nlm.nih.gov/gene/13218536", "13218536")</f>
        <v>13218536</v>
      </c>
      <c r="C2397" s="9"/>
      <c r="D2397" t="str">
        <f>"Y43F8B.24"</f>
        <v>Y43F8B.24</v>
      </c>
      <c r="F2397" t="s">
        <v>11</v>
      </c>
      <c r="H2397" s="12">
        <v>-2.1569404324168602</v>
      </c>
      <c r="I2397" s="11">
        <v>-2.5209111169871501</v>
      </c>
      <c r="J2397" s="10">
        <v>1.17051414569047E-2</v>
      </c>
      <c r="K2397" s="29">
        <v>0.214991254772051</v>
      </c>
    </row>
    <row r="2398" spans="1:11" x14ac:dyDescent="0.35">
      <c r="A2398" s="9" t="str">
        <f>HYPERLINK("http://www.ensembl.org/id/WBGene00018448", "WBGene00018448")</f>
        <v>WBGene00018448</v>
      </c>
      <c r="B2398" s="9"/>
      <c r="C2398" s="9"/>
      <c r="D2398" t="str">
        <f>"F45D11.1"</f>
        <v>F45D11.1</v>
      </c>
      <c r="F2398" t="s">
        <v>80</v>
      </c>
      <c r="H2398" s="12">
        <v>-2.1560807109892202</v>
      </c>
      <c r="I2398" s="11">
        <v>-0.76537676733516002</v>
      </c>
      <c r="J2398" s="10">
        <v>0.444047223220709</v>
      </c>
      <c r="K2398" s="29">
        <v>0.98289565623980701</v>
      </c>
    </row>
    <row r="2399" spans="1:11" x14ac:dyDescent="0.35">
      <c r="A2399" s="9" t="str">
        <f>HYPERLINK("http://www.ensembl.org/id/WBGene00020864", "WBGene00020864")</f>
        <v>WBGene00020864</v>
      </c>
      <c r="B2399" s="9" t="str">
        <f>HYPERLINK("http://www.ncbi.nlm.nih.gov/gene/179284", "179284")</f>
        <v>179284</v>
      </c>
      <c r="C2399" s="9"/>
      <c r="D2399" t="str">
        <f>"oac-50"</f>
        <v>oac-50</v>
      </c>
      <c r="E2399" t="s">
        <v>883</v>
      </c>
      <c r="F2399" t="s">
        <v>11</v>
      </c>
      <c r="G2399" t="s">
        <v>25</v>
      </c>
      <c r="H2399" s="12">
        <v>-2.1553736833814501</v>
      </c>
      <c r="I2399" s="11">
        <v>-0.80283709603299103</v>
      </c>
      <c r="J2399" s="10">
        <v>0.42206889785567397</v>
      </c>
      <c r="K2399" s="29">
        <v>0.98289565623980701</v>
      </c>
    </row>
    <row r="2400" spans="1:11" x14ac:dyDescent="0.35">
      <c r="A2400" s="9" t="str">
        <f>HYPERLINK("http://www.ensembl.org/id/WBGene00018745", "WBGene00018745")</f>
        <v>WBGene00018745</v>
      </c>
      <c r="B2400" s="9" t="str">
        <f>HYPERLINK("http://www.ncbi.nlm.nih.gov/gene/186157", "186157")</f>
        <v>186157</v>
      </c>
      <c r="C2400" s="9"/>
      <c r="D2400" t="str">
        <f>"F53C3.1"</f>
        <v>F53C3.1</v>
      </c>
      <c r="F2400" t="s">
        <v>11</v>
      </c>
      <c r="G2400" t="s">
        <v>961</v>
      </c>
      <c r="H2400" s="12">
        <v>-2.1541479175901599</v>
      </c>
      <c r="I2400" s="11">
        <v>-0.55346188715427302</v>
      </c>
      <c r="J2400" s="10">
        <v>0.57994717156261799</v>
      </c>
      <c r="K2400" s="29">
        <v>0.98289565623980701</v>
      </c>
    </row>
    <row r="2401" spans="1:11" x14ac:dyDescent="0.35">
      <c r="A2401" s="9" t="str">
        <f>HYPERLINK("http://www.ensembl.org/id/WBGene00044738", "WBGene00044738")</f>
        <v>WBGene00044738</v>
      </c>
      <c r="B2401" s="9" t="str">
        <f>HYPERLINK("http://www.ncbi.nlm.nih.gov/gene/4363081", "4363081")</f>
        <v>4363081</v>
      </c>
      <c r="C2401" s="9"/>
      <c r="D2401" t="str">
        <f>"folt-3"</f>
        <v>folt-3</v>
      </c>
      <c r="E2401" t="s">
        <v>10040</v>
      </c>
      <c r="F2401" t="s">
        <v>11</v>
      </c>
      <c r="G2401" t="s">
        <v>10041</v>
      </c>
      <c r="H2401" s="12">
        <v>-2.1540025148468498</v>
      </c>
      <c r="I2401" s="11">
        <v>-0.60024745620390696</v>
      </c>
      <c r="J2401" s="10">
        <v>0.54834133075358404</v>
      </c>
      <c r="K2401" s="29">
        <v>0.98289565623980701</v>
      </c>
    </row>
    <row r="2402" spans="1:11" x14ac:dyDescent="0.35">
      <c r="A2402" s="9" t="str">
        <f>HYPERLINK("http://www.ensembl.org/id/WBGene00021864", "WBGene00021864")</f>
        <v>WBGene00021864</v>
      </c>
      <c r="B2402" s="9" t="str">
        <f>HYPERLINK("http://www.ncbi.nlm.nih.gov/gene/190274", "190274")</f>
        <v>190274</v>
      </c>
      <c r="C2402" s="9"/>
      <c r="D2402" t="str">
        <f>"fbxa-1"</f>
        <v>fbxa-1</v>
      </c>
      <c r="E2402" t="s">
        <v>467</v>
      </c>
      <c r="F2402" t="s">
        <v>11</v>
      </c>
      <c r="G2402" t="s">
        <v>54</v>
      </c>
      <c r="H2402" s="12">
        <v>-2.15354725666699</v>
      </c>
      <c r="I2402" s="11">
        <v>-0.88365376309024801</v>
      </c>
      <c r="J2402" s="10">
        <v>0.37688314708012899</v>
      </c>
      <c r="K2402" s="29">
        <v>0.98289565623980701</v>
      </c>
    </row>
    <row r="2403" spans="1:11" x14ac:dyDescent="0.35">
      <c r="A2403" s="9" t="str">
        <f>HYPERLINK("http://www.ensembl.org/id/WBGene00194742", "WBGene00194742")</f>
        <v>WBGene00194742</v>
      </c>
      <c r="B2403" s="9" t="str">
        <f>HYPERLINK("http://www.ncbi.nlm.nih.gov/gene/13190077", "13190077")</f>
        <v>13190077</v>
      </c>
      <c r="C2403" s="9"/>
      <c r="D2403" t="str">
        <f>"F37C12.21"</f>
        <v>F37C12.21</v>
      </c>
      <c r="F2403" t="s">
        <v>11</v>
      </c>
      <c r="H2403" s="12">
        <v>-2.1514565496893301</v>
      </c>
      <c r="I2403" s="11">
        <v>-1.7918806615454601</v>
      </c>
      <c r="J2403" s="10">
        <v>7.3152084333243703E-2</v>
      </c>
      <c r="K2403" s="29">
        <v>0.636629778005247</v>
      </c>
    </row>
    <row r="2404" spans="1:11" x14ac:dyDescent="0.35">
      <c r="A2404" s="9" t="str">
        <f>HYPERLINK("http://www.ensembl.org/id/WBGene00011601", "WBGene00011601")</f>
        <v>WBGene00011601</v>
      </c>
      <c r="B2404" s="9" t="str">
        <f>HYPERLINK("http://www.ncbi.nlm.nih.gov/gene/188246", "188246")</f>
        <v>188246</v>
      </c>
      <c r="C2404" s="9"/>
      <c r="D2404" t="str">
        <f>"zim-3"</f>
        <v>zim-3</v>
      </c>
      <c r="E2404" t="s">
        <v>326</v>
      </c>
      <c r="F2404" t="s">
        <v>11</v>
      </c>
      <c r="G2404" t="s">
        <v>327</v>
      </c>
      <c r="H2404" s="12">
        <v>-2.1508474844713201</v>
      </c>
      <c r="I2404" s="11">
        <v>-2.9374314951955598</v>
      </c>
      <c r="J2404" s="10">
        <v>3.3094327935435102E-3</v>
      </c>
      <c r="K2404" s="29">
        <v>9.1578148655827904E-2</v>
      </c>
    </row>
    <row r="2405" spans="1:11" x14ac:dyDescent="0.35">
      <c r="A2405" s="9" t="str">
        <f>HYPERLINK("http://www.ensembl.org/id/WBGene00014396", "WBGene00014396")</f>
        <v>WBGene00014396</v>
      </c>
      <c r="B2405" s="9"/>
      <c r="C2405" s="9"/>
      <c r="D2405" t="str">
        <f>"F54F7.t2"</f>
        <v>F54F7.t2</v>
      </c>
      <c r="F2405" t="s">
        <v>4208</v>
      </c>
      <c r="H2405" s="12">
        <v>-2.15058920746907</v>
      </c>
      <c r="I2405" s="11">
        <v>-0.99220095109430895</v>
      </c>
      <c r="J2405" s="10">
        <v>0.32109950865098102</v>
      </c>
      <c r="K2405" s="29">
        <v>0.98289565623980701</v>
      </c>
    </row>
    <row r="2406" spans="1:11" x14ac:dyDescent="0.35">
      <c r="A2406" s="9" t="str">
        <f>HYPERLINK("http://www.ensembl.org/id/WBGene00008169", "WBGene00008169")</f>
        <v>WBGene00008169</v>
      </c>
      <c r="B2406" s="9" t="str">
        <f>HYPERLINK("http://www.ncbi.nlm.nih.gov/gene/183566", "183566")</f>
        <v>183566</v>
      </c>
      <c r="C2406" s="9"/>
      <c r="D2406" t="str">
        <f>"C48B4.6"</f>
        <v>C48B4.6</v>
      </c>
      <c r="F2406" t="s">
        <v>11</v>
      </c>
      <c r="H2406" s="12">
        <v>-2.1502625365445098</v>
      </c>
      <c r="I2406" s="11">
        <v>-2.3778325609595701</v>
      </c>
      <c r="J2406" s="10">
        <v>1.7414731627441601E-2</v>
      </c>
      <c r="K2406" s="29">
        <v>0.27579492048229298</v>
      </c>
    </row>
    <row r="2407" spans="1:11" x14ac:dyDescent="0.35">
      <c r="A2407" s="9" t="str">
        <f>HYPERLINK("http://www.ensembl.org/id/WBGene00009160", "WBGene00009160")</f>
        <v>WBGene00009160</v>
      </c>
      <c r="B2407" s="9" t="str">
        <f>HYPERLINK("http://www.ncbi.nlm.nih.gov/gene/172828", "172828")</f>
        <v>172828</v>
      </c>
      <c r="C2407" s="9"/>
      <c r="D2407" t="str">
        <f>"F26E4.5"</f>
        <v>F26E4.5</v>
      </c>
      <c r="E2407" t="s">
        <v>2588</v>
      </c>
      <c r="F2407" t="s">
        <v>11</v>
      </c>
      <c r="G2407" t="s">
        <v>2589</v>
      </c>
      <c r="H2407" s="12">
        <v>-2.1498702322687899</v>
      </c>
      <c r="I2407" s="11">
        <v>-0.69527216705036998</v>
      </c>
      <c r="J2407" s="10">
        <v>0.48688475342154303</v>
      </c>
      <c r="K2407" s="29">
        <v>0.98289565623980701</v>
      </c>
    </row>
    <row r="2408" spans="1:11" x14ac:dyDescent="0.35">
      <c r="A2408" s="9" t="str">
        <f>HYPERLINK("http://www.ensembl.org/id/WBGene00014132", "WBGene00014132")</f>
        <v>WBGene00014132</v>
      </c>
      <c r="B2408" s="9" t="str">
        <f>HYPERLINK("http://www.ncbi.nlm.nih.gov/gene/191449", "191449")</f>
        <v>191449</v>
      </c>
      <c r="C2408" s="9"/>
      <c r="D2408" t="str">
        <f>"ZK896.1"</f>
        <v>ZK896.1</v>
      </c>
      <c r="F2408" t="s">
        <v>11</v>
      </c>
      <c r="H2408" s="12">
        <v>-2.1495389970185501</v>
      </c>
      <c r="I2408" s="11">
        <v>-1.03002019655772</v>
      </c>
      <c r="J2408" s="10">
        <v>0.30300052485514101</v>
      </c>
      <c r="K2408" s="29">
        <v>0.98289565623980701</v>
      </c>
    </row>
    <row r="2409" spans="1:11" x14ac:dyDescent="0.35">
      <c r="A2409" s="9" t="str">
        <f>HYPERLINK("http://www.ensembl.org/id/WBGene00021741", "WBGene00021741")</f>
        <v>WBGene00021741</v>
      </c>
      <c r="B2409" s="9" t="str">
        <f>HYPERLINK("http://www.ncbi.nlm.nih.gov/gene/190094", "190094")</f>
        <v>190094</v>
      </c>
      <c r="C2409" s="9" t="str">
        <f>HYPERLINK("http://www.ncbi.nlm.nih.gov/gene/51097", "51097")</f>
        <v>51097</v>
      </c>
      <c r="D2409" t="str">
        <f>"Y50D4B.2"</f>
        <v>Y50D4B.2</v>
      </c>
      <c r="F2409" t="s">
        <v>11</v>
      </c>
      <c r="H2409" s="12">
        <v>-2.1491634393887402</v>
      </c>
      <c r="I2409" s="11">
        <v>-0.80553732122260102</v>
      </c>
      <c r="J2409" s="10">
        <v>0.42050967866079397</v>
      </c>
      <c r="K2409" s="29">
        <v>0.98289565623980701</v>
      </c>
    </row>
    <row r="2410" spans="1:11" x14ac:dyDescent="0.35">
      <c r="A2410" s="9" t="str">
        <f>HYPERLINK("http://www.ensembl.org/id/WBGene00005264", "WBGene00005264")</f>
        <v>WBGene00005264</v>
      </c>
      <c r="B2410" s="9" t="str">
        <f>HYPERLINK("http://www.ncbi.nlm.nih.gov/gene/190296", "190296")</f>
        <v>190296</v>
      </c>
      <c r="C2410" s="9"/>
      <c r="D2410" t="str">
        <f>"srh-41"</f>
        <v>srh-41</v>
      </c>
      <c r="E2410" t="s">
        <v>153</v>
      </c>
      <c r="F2410" t="s">
        <v>11</v>
      </c>
      <c r="G2410" t="s">
        <v>25</v>
      </c>
      <c r="H2410" s="12">
        <v>-2.1483987211266902</v>
      </c>
      <c r="I2410" s="11">
        <v>-0.37967838102356199</v>
      </c>
      <c r="J2410" s="10">
        <v>0.70418416999855904</v>
      </c>
      <c r="K2410" s="29">
        <v>0.98289565623980701</v>
      </c>
    </row>
    <row r="2411" spans="1:11" x14ac:dyDescent="0.35">
      <c r="A2411" s="9" t="str">
        <f>HYPERLINK("http://www.ensembl.org/id/WBGene00010281", "WBGene00010281")</f>
        <v>WBGene00010281</v>
      </c>
      <c r="B2411" s="9" t="str">
        <f>HYPERLINK("http://www.ncbi.nlm.nih.gov/gene/179856", "179856")</f>
        <v>179856</v>
      </c>
      <c r="C2411" s="9"/>
      <c r="D2411" t="str">
        <f>"F58G11.3"</f>
        <v>F58G11.3</v>
      </c>
      <c r="F2411" t="s">
        <v>11</v>
      </c>
      <c r="H2411" s="12">
        <v>-2.14772960609463</v>
      </c>
      <c r="I2411" s="11">
        <v>-3.63346696842149</v>
      </c>
      <c r="J2411" s="10">
        <v>2.7963826063167501E-4</v>
      </c>
      <c r="K2411" s="29">
        <v>1.46848219321715E-2</v>
      </c>
    </row>
    <row r="2412" spans="1:11" x14ac:dyDescent="0.35">
      <c r="A2412" s="9" t="str">
        <f>HYPERLINK("http://www.ensembl.org/id/WBGene00023137", "WBGene00023137")</f>
        <v>WBGene00023137</v>
      </c>
      <c r="B2412" s="9"/>
      <c r="C2412" s="9"/>
      <c r="D2412" t="str">
        <f>"T13B5.t2"</f>
        <v>T13B5.t2</v>
      </c>
      <c r="F2412" t="s">
        <v>4208</v>
      </c>
      <c r="H2412" s="12">
        <v>-2.1475004919416398</v>
      </c>
      <c r="I2412" s="11">
        <v>-0.241239378254578</v>
      </c>
      <c r="J2412" s="10">
        <v>0.80936959252479201</v>
      </c>
      <c r="K2412" s="29">
        <v>0.98579752793841002</v>
      </c>
    </row>
    <row r="2413" spans="1:11" x14ac:dyDescent="0.35">
      <c r="A2413" s="9" t="str">
        <f>HYPERLINK("http://www.ensembl.org/id/WBGene00022282", "WBGene00022282")</f>
        <v>WBGene00022282</v>
      </c>
      <c r="B2413" s="9" t="str">
        <f>HYPERLINK("http://www.ncbi.nlm.nih.gov/gene/171808", "171808")</f>
        <v>171808</v>
      </c>
      <c r="C2413" s="9"/>
      <c r="D2413" t="str">
        <f>"Y74C10AR.2"</f>
        <v>Y74C10AR.2</v>
      </c>
      <c r="F2413" t="s">
        <v>11</v>
      </c>
      <c r="H2413" s="12">
        <v>-2.1475004919416398</v>
      </c>
      <c r="I2413" s="11">
        <v>-0.241239378254578</v>
      </c>
      <c r="J2413" s="10">
        <v>0.80936959252479201</v>
      </c>
      <c r="K2413" s="29">
        <v>0.98579752793841002</v>
      </c>
    </row>
    <row r="2414" spans="1:11" x14ac:dyDescent="0.35">
      <c r="A2414" s="9" t="str">
        <f>HYPERLINK("http://www.ensembl.org/id/WBGene00008692", "WBGene00008692")</f>
        <v>WBGene00008692</v>
      </c>
      <c r="B2414" s="9" t="str">
        <f>HYPERLINK("http://www.ncbi.nlm.nih.gov/gene/181429", "181429")</f>
        <v>181429</v>
      </c>
      <c r="C2414" s="9"/>
      <c r="D2414" t="str">
        <f>"scav-4"</f>
        <v>scav-4</v>
      </c>
      <c r="E2414" t="s">
        <v>828</v>
      </c>
      <c r="F2414" t="s">
        <v>11</v>
      </c>
      <c r="G2414" t="s">
        <v>829</v>
      </c>
      <c r="H2414" s="12">
        <v>-2.14694500652528</v>
      </c>
      <c r="I2414" s="11">
        <v>-1.62834526113806</v>
      </c>
      <c r="J2414" s="10">
        <v>0.10345169739136501</v>
      </c>
      <c r="K2414" s="29">
        <v>0.74280761961618202</v>
      </c>
    </row>
    <row r="2415" spans="1:11" x14ac:dyDescent="0.35">
      <c r="A2415" s="9" t="str">
        <f>HYPERLINK("http://www.ensembl.org/id/WBGene00003405", "WBGene00003405")</f>
        <v>WBGene00003405</v>
      </c>
      <c r="B2415" s="9" t="str">
        <f>HYPERLINK("http://www.ncbi.nlm.nih.gov/gene/179488", "179488")</f>
        <v>179488</v>
      </c>
      <c r="C2415" s="9" t="str">
        <f>HYPERLINK("http://www.ncbi.nlm.nih.gov/gene/4361", "4361")</f>
        <v>4361</v>
      </c>
      <c r="D2415" t="str">
        <f>"mre-11"</f>
        <v>mre-11</v>
      </c>
      <c r="E2415" t="s">
        <v>407</v>
      </c>
      <c r="F2415" t="s">
        <v>11</v>
      </c>
      <c r="G2415" t="s">
        <v>408</v>
      </c>
      <c r="H2415" s="12">
        <v>-2.1432154780011698</v>
      </c>
      <c r="I2415" s="11">
        <v>-3.6707930218190401</v>
      </c>
      <c r="J2415" s="10">
        <v>2.41799089923575E-4</v>
      </c>
      <c r="K2415" s="29">
        <v>1.3109753022966899E-2</v>
      </c>
    </row>
    <row r="2416" spans="1:11" x14ac:dyDescent="0.35">
      <c r="A2416" s="9" t="str">
        <f>HYPERLINK("http://www.ensembl.org/id/WBGene00019261", "WBGene00019261")</f>
        <v>WBGene00019261</v>
      </c>
      <c r="B2416" s="9" t="str">
        <f>HYPERLINK("http://www.ncbi.nlm.nih.gov/gene/175401", "175401")</f>
        <v>175401</v>
      </c>
      <c r="C2416" s="9"/>
      <c r="D2416" t="str">
        <f>"H34I24.2"</f>
        <v>H34I24.2</v>
      </c>
      <c r="F2416" t="s">
        <v>11</v>
      </c>
      <c r="H2416" s="12">
        <v>-2.14319389335731</v>
      </c>
      <c r="I2416" s="11">
        <v>-2.6539336212717299</v>
      </c>
      <c r="J2416" s="10">
        <v>7.9559475777660794E-3</v>
      </c>
      <c r="K2416" s="29">
        <v>0.16681499521947599</v>
      </c>
    </row>
    <row r="2417" spans="1:11" x14ac:dyDescent="0.35">
      <c r="A2417" s="9" t="str">
        <f>HYPERLINK("http://www.ensembl.org/id/WBGene00018233", "WBGene00018233")</f>
        <v>WBGene00018233</v>
      </c>
      <c r="B2417" s="9" t="str">
        <f>HYPERLINK("http://www.ncbi.nlm.nih.gov/gene/353381", "353381")</f>
        <v>353381</v>
      </c>
      <c r="C2417" s="9"/>
      <c r="D2417" t="str">
        <f>"F40E3.6"</f>
        <v>F40E3.6</v>
      </c>
      <c r="F2417" t="s">
        <v>11</v>
      </c>
      <c r="H2417" s="12">
        <v>-2.1426846885984099</v>
      </c>
      <c r="I2417" s="11">
        <v>-0.52649991055196699</v>
      </c>
      <c r="J2417" s="10">
        <v>0.59854091414255095</v>
      </c>
      <c r="K2417" s="29">
        <v>0.98289565623980701</v>
      </c>
    </row>
    <row r="2418" spans="1:11" x14ac:dyDescent="0.35">
      <c r="A2418" s="9" t="str">
        <f>HYPERLINK("http://www.ensembl.org/id/WBGene00017110", "WBGene00017110")</f>
        <v>WBGene00017110</v>
      </c>
      <c r="B2418" s="9" t="str">
        <f>HYPERLINK("http://www.ncbi.nlm.nih.gov/gene/184028", "184028")</f>
        <v>184028</v>
      </c>
      <c r="C2418" s="9"/>
      <c r="D2418" t="str">
        <f>"clec-176"</f>
        <v>clec-176</v>
      </c>
      <c r="E2418" t="s">
        <v>46</v>
      </c>
      <c r="F2418" t="s">
        <v>11</v>
      </c>
      <c r="G2418" t="s">
        <v>25</v>
      </c>
      <c r="H2418" s="12">
        <v>-2.14111773179759</v>
      </c>
      <c r="I2418" s="11">
        <v>-0.76350280640129997</v>
      </c>
      <c r="J2418" s="10">
        <v>0.445163589290693</v>
      </c>
      <c r="K2418" s="29">
        <v>0.98289565623980701</v>
      </c>
    </row>
    <row r="2419" spans="1:11" x14ac:dyDescent="0.35">
      <c r="A2419" s="9" t="str">
        <f>HYPERLINK("http://www.ensembl.org/id/WBGene00010787", "WBGene00010787")</f>
        <v>WBGene00010787</v>
      </c>
      <c r="B2419" s="9" t="str">
        <f>HYPERLINK("http://www.ncbi.nlm.nih.gov/gene/174822", "174822")</f>
        <v>174822</v>
      </c>
      <c r="C2419" s="9"/>
      <c r="D2419" t="str">
        <f>"K12D12.5"</f>
        <v>K12D12.5</v>
      </c>
      <c r="F2419" t="s">
        <v>11</v>
      </c>
      <c r="G2419" t="s">
        <v>437</v>
      </c>
      <c r="H2419" s="12">
        <v>-2.1392390907222198</v>
      </c>
      <c r="I2419" s="11">
        <v>-3.17500539255765</v>
      </c>
      <c r="J2419" s="10">
        <v>1.49833716739686E-3</v>
      </c>
      <c r="K2419" s="29">
        <v>5.2977269150738998E-2</v>
      </c>
    </row>
    <row r="2420" spans="1:11" x14ac:dyDescent="0.35">
      <c r="A2420" s="9" t="str">
        <f>HYPERLINK("http://www.ensembl.org/id/WBGene00013208", "WBGene00013208")</f>
        <v>WBGene00013208</v>
      </c>
      <c r="B2420" s="9" t="str">
        <f>HYPERLINK("http://www.ncbi.nlm.nih.gov/gene/175016", "175016")</f>
        <v>175016</v>
      </c>
      <c r="C2420" s="9"/>
      <c r="D2420" t="str">
        <f>"Y54G9A.5"</f>
        <v>Y54G9A.5</v>
      </c>
      <c r="F2420" t="s">
        <v>11</v>
      </c>
      <c r="G2420" t="s">
        <v>25</v>
      </c>
      <c r="H2420" s="12">
        <v>-2.1377088652082299</v>
      </c>
      <c r="I2420" s="11">
        <v>-3.3745024316383199</v>
      </c>
      <c r="J2420" s="10">
        <v>7.3949262635347604E-4</v>
      </c>
      <c r="K2420" s="29">
        <v>3.0842448780728199E-2</v>
      </c>
    </row>
    <row r="2421" spans="1:11" x14ac:dyDescent="0.35">
      <c r="A2421" s="9" t="str">
        <f>HYPERLINK("http://www.ensembl.org/id/WBGene00013612", "WBGene00013612")</f>
        <v>WBGene00013612</v>
      </c>
      <c r="B2421" s="9"/>
      <c r="C2421" s="9"/>
      <c r="D2421" t="str">
        <f>"fbxa-207"</f>
        <v>fbxa-207</v>
      </c>
      <c r="F2421" t="s">
        <v>80</v>
      </c>
      <c r="H2421" s="12">
        <v>-2.1360145028779498</v>
      </c>
      <c r="I2421" s="11">
        <v>-1.11361875464283</v>
      </c>
      <c r="J2421" s="10">
        <v>0.26544277711649</v>
      </c>
      <c r="K2421" s="29">
        <v>0.98289565623980701</v>
      </c>
    </row>
    <row r="2422" spans="1:11" x14ac:dyDescent="0.35">
      <c r="A2422" s="9" t="str">
        <f>HYPERLINK("http://www.ensembl.org/id/WBGene00195977", "WBGene00195977")</f>
        <v>WBGene00195977</v>
      </c>
      <c r="B2422" s="9"/>
      <c r="C2422" s="9"/>
      <c r="D2422" t="str">
        <f>"C56E6.12"</f>
        <v>C56E6.12</v>
      </c>
      <c r="F2422" t="s">
        <v>481</v>
      </c>
      <c r="H2422" s="12">
        <v>-2.1324143590077602</v>
      </c>
      <c r="I2422" s="11">
        <v>-1.3958172301976499</v>
      </c>
      <c r="J2422" s="10">
        <v>0.162769540404784</v>
      </c>
      <c r="K2422" s="29">
        <v>0.87986401604460995</v>
      </c>
    </row>
    <row r="2423" spans="1:11" x14ac:dyDescent="0.35">
      <c r="A2423" s="9" t="str">
        <f>HYPERLINK("http://www.ensembl.org/id/WBGene00007728", "WBGene00007728")</f>
        <v>WBGene00007728</v>
      </c>
      <c r="B2423" s="9" t="str">
        <f>HYPERLINK("http://www.ncbi.nlm.nih.gov/gene/182908", "182908")</f>
        <v>182908</v>
      </c>
      <c r="C2423" s="9"/>
      <c r="D2423" t="str">
        <f>"C25F9.9"</f>
        <v>C25F9.9</v>
      </c>
      <c r="F2423" t="s">
        <v>11</v>
      </c>
      <c r="H2423" s="12">
        <v>-2.1316471012227298</v>
      </c>
      <c r="I2423" s="11">
        <v>-1.57667806622825</v>
      </c>
      <c r="J2423" s="10">
        <v>0.114869619764024</v>
      </c>
      <c r="K2423" s="29">
        <v>0.774942316574461</v>
      </c>
    </row>
    <row r="2424" spans="1:11" x14ac:dyDescent="0.35">
      <c r="A2424" s="9" t="str">
        <f>HYPERLINK("http://www.ensembl.org/id/WBGene00000740", "WBGene00000740")</f>
        <v>WBGene00000740</v>
      </c>
      <c r="B2424" s="9" t="str">
        <f>HYPERLINK("http://www.ncbi.nlm.nih.gov/gene/180907", "180907")</f>
        <v>180907</v>
      </c>
      <c r="C2424" s="9"/>
      <c r="D2424" t="str">
        <f>"col-167"</f>
        <v>col-167</v>
      </c>
      <c r="E2424" t="s">
        <v>40</v>
      </c>
      <c r="F2424" t="s">
        <v>11</v>
      </c>
      <c r="G2424" t="s">
        <v>41</v>
      </c>
      <c r="H2424" s="12">
        <v>-2.1306007442413799</v>
      </c>
      <c r="I2424" s="11">
        <v>-1.13228533537637</v>
      </c>
      <c r="J2424" s="10">
        <v>0.257514493364006</v>
      </c>
      <c r="K2424" s="29">
        <v>0.98289565623980701</v>
      </c>
    </row>
    <row r="2425" spans="1:11" x14ac:dyDescent="0.35">
      <c r="A2425" s="9" t="str">
        <f>HYPERLINK("http://www.ensembl.org/id/WBGene00001683", "WBGene00001683")</f>
        <v>WBGene00001683</v>
      </c>
      <c r="B2425" s="9" t="str">
        <f>HYPERLINK("http://www.ncbi.nlm.nih.gov/gene/174603", "174603")</f>
        <v>174603</v>
      </c>
      <c r="C2425" s="9" t="str">
        <f>HYPERLINK("http://www.ncbi.nlm.nih.gov/gene/2597", "2597")</f>
        <v>2597</v>
      </c>
      <c r="D2425" t="str">
        <f>"gpd-1"</f>
        <v>gpd-1</v>
      </c>
      <c r="E2425" t="s">
        <v>308</v>
      </c>
      <c r="F2425" t="s">
        <v>11</v>
      </c>
      <c r="G2425" t="s">
        <v>286</v>
      </c>
      <c r="H2425" s="12">
        <v>-2.1295355044855402</v>
      </c>
      <c r="I2425" s="11">
        <v>-4.0288306030087204</v>
      </c>
      <c r="J2425" s="10">
        <v>5.6054990065612098E-5</v>
      </c>
      <c r="K2425" s="29">
        <v>4.1916071212169297E-3</v>
      </c>
    </row>
    <row r="2426" spans="1:11" x14ac:dyDescent="0.35">
      <c r="A2426" s="9" t="str">
        <f>HYPERLINK("http://www.ensembl.org/id/WBGene00202011", "WBGene00202011")</f>
        <v>WBGene00202011</v>
      </c>
      <c r="B2426" s="9"/>
      <c r="C2426" s="9"/>
      <c r="D2426" t="str">
        <f>"R13H4.13"</f>
        <v>R13H4.13</v>
      </c>
      <c r="F2426" t="s">
        <v>481</v>
      </c>
      <c r="H2426" s="12">
        <v>-2.1292332732199601</v>
      </c>
      <c r="I2426" s="11">
        <v>-0.42690566810189101</v>
      </c>
      <c r="J2426" s="10">
        <v>0.66944803693312405</v>
      </c>
      <c r="K2426" s="29">
        <v>0.98289565623980701</v>
      </c>
    </row>
    <row r="2427" spans="1:11" x14ac:dyDescent="0.35">
      <c r="A2427" s="9" t="str">
        <f>HYPERLINK("http://www.ensembl.org/id/WBGene00044414", "WBGene00044414")</f>
        <v>WBGene00044414</v>
      </c>
      <c r="B2427" s="9" t="str">
        <f>HYPERLINK("http://www.ncbi.nlm.nih.gov/gene/3565263", "3565263")</f>
        <v>3565263</v>
      </c>
      <c r="C2427" s="9"/>
      <c r="D2427" t="str">
        <f>"C06A5.12"</f>
        <v>C06A5.12</v>
      </c>
      <c r="F2427" t="s">
        <v>11</v>
      </c>
      <c r="G2427" t="s">
        <v>25</v>
      </c>
      <c r="H2427" s="12">
        <v>-2.1289842713610798</v>
      </c>
      <c r="I2427" s="11">
        <v>-1.1153995544069299</v>
      </c>
      <c r="J2427" s="10">
        <v>0.26467924041035801</v>
      </c>
      <c r="K2427" s="29">
        <v>0.98289565623980701</v>
      </c>
    </row>
    <row r="2428" spans="1:11" x14ac:dyDescent="0.35">
      <c r="A2428" s="9" t="str">
        <f>HYPERLINK("http://www.ensembl.org/id/WBGene00017556", "WBGene00017556")</f>
        <v>WBGene00017556</v>
      </c>
      <c r="B2428" s="9" t="str">
        <f>HYPERLINK("http://www.ncbi.nlm.nih.gov/gene/184632", "184632")</f>
        <v>184632</v>
      </c>
      <c r="C2428" s="9"/>
      <c r="D2428" t="str">
        <f>"F18A12.7"</f>
        <v>F18A12.7</v>
      </c>
      <c r="F2428" t="s">
        <v>11</v>
      </c>
      <c r="H2428" s="12">
        <v>-2.1288613950464801</v>
      </c>
      <c r="I2428" s="11">
        <v>-1.00018040640664</v>
      </c>
      <c r="J2428" s="10">
        <v>0.31722320960035999</v>
      </c>
      <c r="K2428" s="29">
        <v>0.98289565623980701</v>
      </c>
    </row>
    <row r="2429" spans="1:11" x14ac:dyDescent="0.35">
      <c r="A2429" s="9" t="str">
        <f>HYPERLINK("http://www.ensembl.org/id/WBGene00022344", "WBGene00022344")</f>
        <v>WBGene00022344</v>
      </c>
      <c r="B2429" s="9" t="str">
        <f>HYPERLINK("http://www.ncbi.nlm.nih.gov/gene/190773", "190773")</f>
        <v>190773</v>
      </c>
      <c r="C2429" s="9"/>
      <c r="D2429" t="str">
        <f>"pals-40"</f>
        <v>pals-40</v>
      </c>
      <c r="E2429" t="s">
        <v>1147</v>
      </c>
      <c r="F2429" t="s">
        <v>11</v>
      </c>
      <c r="H2429" s="12">
        <v>-2.1284192580330199</v>
      </c>
      <c r="I2429" s="11">
        <v>-0.36369296990972</v>
      </c>
      <c r="J2429" s="10">
        <v>0.71608729357767897</v>
      </c>
      <c r="K2429" s="29">
        <v>0.98289565623980701</v>
      </c>
    </row>
    <row r="2430" spans="1:11" x14ac:dyDescent="0.35">
      <c r="A2430" s="9" t="str">
        <f>HYPERLINK("http://www.ensembl.org/id/WBGene00013277", "WBGene00013277")</f>
        <v>WBGene00013277</v>
      </c>
      <c r="B2430" s="9" t="str">
        <f>HYPERLINK("http://www.ncbi.nlm.nih.gov/gene/190345", "190345")</f>
        <v>190345</v>
      </c>
      <c r="C2430" s="9"/>
      <c r="D2430" t="str">
        <f>"sre-41"</f>
        <v>sre-41</v>
      </c>
      <c r="E2430" t="s">
        <v>2638</v>
      </c>
      <c r="F2430" t="s">
        <v>11</v>
      </c>
      <c r="G2430" t="s">
        <v>2639</v>
      </c>
      <c r="H2430" s="12">
        <v>-2.1284192580330199</v>
      </c>
      <c r="I2430" s="11">
        <v>-0.36369296990972</v>
      </c>
      <c r="J2430" s="10">
        <v>0.71608729357767897</v>
      </c>
      <c r="K2430" s="29">
        <v>0.98289565623980701</v>
      </c>
    </row>
    <row r="2431" spans="1:11" x14ac:dyDescent="0.35">
      <c r="A2431" s="9" t="str">
        <f>HYPERLINK("http://www.ensembl.org/id/WBGene00010754", "WBGene00010754")</f>
        <v>WBGene00010754</v>
      </c>
      <c r="B2431" s="9" t="str">
        <f>HYPERLINK("http://www.ncbi.nlm.nih.gov/gene/180143", "180143")</f>
        <v>180143</v>
      </c>
      <c r="C2431" s="9"/>
      <c r="D2431" t="str">
        <f>"K10G4.5"</f>
        <v>K10G4.5</v>
      </c>
      <c r="F2431" t="s">
        <v>11</v>
      </c>
      <c r="G2431" t="s">
        <v>54</v>
      </c>
      <c r="H2431" s="12">
        <v>-2.1283539859133298</v>
      </c>
      <c r="I2431" s="11">
        <v>-0.85163508837796098</v>
      </c>
      <c r="J2431" s="10">
        <v>0.39441665836135897</v>
      </c>
      <c r="K2431" s="29">
        <v>0.98289565623980701</v>
      </c>
    </row>
    <row r="2432" spans="1:11" x14ac:dyDescent="0.35">
      <c r="A2432" s="9" t="str">
        <f>HYPERLINK("http://www.ensembl.org/id/WBGene00013214", "WBGene00013214")</f>
        <v>WBGene00013214</v>
      </c>
      <c r="B2432" s="9" t="str">
        <f>HYPERLINK("http://www.ncbi.nlm.nih.gov/gene/175083", "175083")</f>
        <v>175083</v>
      </c>
      <c r="C2432" s="9" t="str">
        <f>HYPERLINK("http://www.ncbi.nlm.nih.gov/gene/55510", "55510")</f>
        <v>55510</v>
      </c>
      <c r="D2432" t="str">
        <f>"Y54G11A.3"</f>
        <v>Y54G11A.3</v>
      </c>
      <c r="F2432" t="s">
        <v>11</v>
      </c>
      <c r="G2432" t="s">
        <v>458</v>
      </c>
      <c r="H2432" s="12">
        <v>-2.12691784760599</v>
      </c>
      <c r="I2432" s="11">
        <v>-3.5147707282800398</v>
      </c>
      <c r="J2432" s="10">
        <v>4.4013379489413299E-4</v>
      </c>
      <c r="K2432" s="29">
        <v>2.0796996860580501E-2</v>
      </c>
    </row>
    <row r="2433" spans="1:11" x14ac:dyDescent="0.35">
      <c r="A2433" s="9" t="str">
        <f>HYPERLINK("http://www.ensembl.org/id/WBGene00007151", "WBGene00007151")</f>
        <v>WBGene00007151</v>
      </c>
      <c r="B2433" s="9"/>
      <c r="C2433" s="9"/>
      <c r="D2433" t="str">
        <f>"B0365.2"</f>
        <v>B0365.2</v>
      </c>
      <c r="F2433" t="s">
        <v>80</v>
      </c>
      <c r="H2433" s="12">
        <v>-2.1267282631079398</v>
      </c>
      <c r="I2433" s="11">
        <v>-0.22834758734847199</v>
      </c>
      <c r="J2433" s="10">
        <v>0.81937603226100097</v>
      </c>
      <c r="K2433" s="29">
        <v>0.98735346030887505</v>
      </c>
    </row>
    <row r="2434" spans="1:11" x14ac:dyDescent="0.35">
      <c r="A2434" s="9" t="str">
        <f>HYPERLINK("http://www.ensembl.org/id/WBGene00201908", "WBGene00201908")</f>
        <v>WBGene00201908</v>
      </c>
      <c r="B2434" s="9"/>
      <c r="C2434" s="9"/>
      <c r="D2434" t="str">
        <f>"F09C8.6"</f>
        <v>F09C8.6</v>
      </c>
      <c r="F2434" t="s">
        <v>481</v>
      </c>
      <c r="H2434" s="12">
        <v>-2.1267282631079398</v>
      </c>
      <c r="I2434" s="11">
        <v>-0.22834758734847199</v>
      </c>
      <c r="J2434" s="10">
        <v>0.81937603226100097</v>
      </c>
      <c r="K2434" s="29">
        <v>0.98735346030887505</v>
      </c>
    </row>
    <row r="2435" spans="1:11" x14ac:dyDescent="0.35">
      <c r="A2435" s="9" t="str">
        <f>HYPERLINK("http://www.ensembl.org/id/WBGene00195449", "WBGene00195449")</f>
        <v>WBGene00195449</v>
      </c>
      <c r="B2435" s="9"/>
      <c r="C2435" s="9"/>
      <c r="D2435" t="str">
        <f>"F10D7.6"</f>
        <v>F10D7.6</v>
      </c>
      <c r="F2435" t="s">
        <v>481</v>
      </c>
      <c r="H2435" s="12">
        <v>-2.1267282631079398</v>
      </c>
      <c r="I2435" s="11">
        <v>-0.22834758734847199</v>
      </c>
      <c r="J2435" s="10">
        <v>0.81937603226100097</v>
      </c>
      <c r="K2435" s="29">
        <v>0.98735346030887505</v>
      </c>
    </row>
    <row r="2436" spans="1:11" x14ac:dyDescent="0.35">
      <c r="A2436" s="9" t="str">
        <f>HYPERLINK("http://www.ensembl.org/id/WBGene00045376", "WBGene00045376")</f>
        <v>WBGene00045376</v>
      </c>
      <c r="B2436" s="9"/>
      <c r="C2436" s="9"/>
      <c r="D2436" t="str">
        <f>"F25H5.9"</f>
        <v>F25H5.9</v>
      </c>
      <c r="F2436" t="s">
        <v>2977</v>
      </c>
      <c r="H2436" s="12">
        <v>-2.1267282631079398</v>
      </c>
      <c r="I2436" s="11">
        <v>-0.22834758734847199</v>
      </c>
      <c r="J2436" s="10">
        <v>0.81937603226100097</v>
      </c>
      <c r="K2436" s="29">
        <v>0.98735346030887505</v>
      </c>
    </row>
    <row r="2437" spans="1:11" x14ac:dyDescent="0.35">
      <c r="A2437" s="9" t="str">
        <f>HYPERLINK("http://www.ensembl.org/id/WBGene00008537", "WBGene00008537")</f>
        <v>WBGene00008537</v>
      </c>
      <c r="B2437" s="9"/>
      <c r="C2437" s="9"/>
      <c r="D2437" t="str">
        <f>"F02H6.4"</f>
        <v>F02H6.4</v>
      </c>
      <c r="F2437" t="s">
        <v>80</v>
      </c>
      <c r="H2437" s="12">
        <v>-2.1255477889942598</v>
      </c>
      <c r="I2437" s="11">
        <v>-2.5610716596892802</v>
      </c>
      <c r="J2437" s="10">
        <v>1.04349830012341E-2</v>
      </c>
      <c r="K2437" s="29">
        <v>0.20075829910617399</v>
      </c>
    </row>
    <row r="2438" spans="1:11" x14ac:dyDescent="0.35">
      <c r="A2438" s="9" t="str">
        <f>HYPERLINK("http://www.ensembl.org/id/WBGene00001609", "WBGene00001609")</f>
        <v>WBGene00001609</v>
      </c>
      <c r="B2438" s="9" t="str">
        <f>HYPERLINK("http://www.ncbi.nlm.nih.gov/gene/176286", "176286")</f>
        <v>176286</v>
      </c>
      <c r="C2438" s="9"/>
      <c r="D2438" t="str">
        <f>"glp-1"</f>
        <v>glp-1</v>
      </c>
      <c r="F2438" t="s">
        <v>11</v>
      </c>
      <c r="G2438" t="s">
        <v>343</v>
      </c>
      <c r="H2438" s="12">
        <v>-2.1247267746504801</v>
      </c>
      <c r="I2438" s="11">
        <v>-3.8743929040107301</v>
      </c>
      <c r="J2438" s="10">
        <v>1.06890837445889E-4</v>
      </c>
      <c r="K2438" s="29">
        <v>6.9768917797308396E-3</v>
      </c>
    </row>
    <row r="2439" spans="1:11" x14ac:dyDescent="0.35">
      <c r="A2439" s="9" t="str">
        <f>HYPERLINK("http://www.ensembl.org/id/WBGene00007733", "WBGene00007733")</f>
        <v>WBGene00007733</v>
      </c>
      <c r="B2439" s="9" t="str">
        <f>HYPERLINK("http://www.ncbi.nlm.nih.gov/gene/178197", "178197")</f>
        <v>178197</v>
      </c>
      <c r="C2439" s="9"/>
      <c r="D2439" t="str">
        <f>"smz-1"</f>
        <v>smz-1</v>
      </c>
      <c r="E2439" t="s">
        <v>3444</v>
      </c>
      <c r="F2439" t="s">
        <v>11</v>
      </c>
      <c r="G2439" t="s">
        <v>3445</v>
      </c>
      <c r="H2439" s="12">
        <v>-2.12447447904679</v>
      </c>
      <c r="I2439" s="11">
        <v>-1.3870263881329801</v>
      </c>
      <c r="J2439" s="10">
        <v>0.16543371646993099</v>
      </c>
      <c r="K2439" s="29">
        <v>0.88498397685845498</v>
      </c>
    </row>
    <row r="2440" spans="1:11" x14ac:dyDescent="0.35">
      <c r="A2440" s="9" t="str">
        <f>HYPERLINK("http://www.ensembl.org/id/WBGene00021795", "WBGene00021795")</f>
        <v>WBGene00021795</v>
      </c>
      <c r="B2440" s="9" t="str">
        <f>HYPERLINK("http://www.ncbi.nlm.nih.gov/gene/173765", "173765")</f>
        <v>173765</v>
      </c>
      <c r="C2440" s="9"/>
      <c r="D2440" t="str">
        <f>"Y52E8A.2"</f>
        <v>Y52E8A.2</v>
      </c>
      <c r="F2440" t="s">
        <v>11</v>
      </c>
      <c r="G2440" t="s">
        <v>463</v>
      </c>
      <c r="H2440" s="12">
        <v>-2.1221039657673599</v>
      </c>
      <c r="I2440" s="11">
        <v>-2.7246190949154498</v>
      </c>
      <c r="J2440" s="10">
        <v>6.43757083155801E-3</v>
      </c>
      <c r="K2440" s="29">
        <v>0.141776750059941</v>
      </c>
    </row>
    <row r="2441" spans="1:11" x14ac:dyDescent="0.35">
      <c r="A2441" s="9" t="str">
        <f>HYPERLINK("http://www.ensembl.org/id/WBGene00019081", "WBGene00019081")</f>
        <v>WBGene00019081</v>
      </c>
      <c r="B2441" s="9" t="str">
        <f>HYPERLINK("http://www.ncbi.nlm.nih.gov/gene/186579", "186579")</f>
        <v>186579</v>
      </c>
      <c r="C2441" s="9"/>
      <c r="D2441" t="str">
        <f>"F59A3.8"</f>
        <v>F59A3.8</v>
      </c>
      <c r="E2441" t="s">
        <v>2588</v>
      </c>
      <c r="F2441" t="s">
        <v>11</v>
      </c>
      <c r="G2441" t="s">
        <v>2589</v>
      </c>
      <c r="H2441" s="12">
        <v>-2.12187935232493</v>
      </c>
      <c r="I2441" s="11">
        <v>-0.50695843600725399</v>
      </c>
      <c r="J2441" s="10">
        <v>0.61218398239086802</v>
      </c>
      <c r="K2441" s="29">
        <v>0.98289565623980701</v>
      </c>
    </row>
    <row r="2442" spans="1:11" x14ac:dyDescent="0.35">
      <c r="A2442" s="9" t="str">
        <f>HYPERLINK("http://www.ensembl.org/id/WBGene00018666", "WBGene00018666")</f>
        <v>WBGene00018666</v>
      </c>
      <c r="B2442" s="9"/>
      <c r="C2442" s="9"/>
      <c r="D2442" t="str">
        <f>"bath-6"</f>
        <v>bath-6</v>
      </c>
      <c r="F2442" t="s">
        <v>80</v>
      </c>
      <c r="H2442" s="12">
        <v>-2.1191788415836998</v>
      </c>
      <c r="I2442" s="11">
        <v>-0.93568558655842604</v>
      </c>
      <c r="J2442" s="10">
        <v>0.34943509382209298</v>
      </c>
      <c r="K2442" s="29">
        <v>0.98289565623980701</v>
      </c>
    </row>
    <row r="2443" spans="1:11" x14ac:dyDescent="0.35">
      <c r="A2443" s="9" t="str">
        <f>HYPERLINK("http://www.ensembl.org/id/WBGene00004823", "WBGene00004823")</f>
        <v>WBGene00004823</v>
      </c>
      <c r="B2443" s="9" t="str">
        <f>HYPERLINK("http://www.ncbi.nlm.nih.gov/gene/174257", "174257")</f>
        <v>174257</v>
      </c>
      <c r="C2443" s="9"/>
      <c r="D2443" t="str">
        <f>"skr-17"</f>
        <v>skr-17</v>
      </c>
      <c r="E2443" t="s">
        <v>570</v>
      </c>
      <c r="F2443" t="s">
        <v>11</v>
      </c>
      <c r="G2443" t="s">
        <v>571</v>
      </c>
      <c r="H2443" s="12">
        <v>-2.1191770451692098</v>
      </c>
      <c r="I2443" s="11">
        <v>-3.1734545522728301</v>
      </c>
      <c r="J2443" s="10">
        <v>1.50636483303192E-3</v>
      </c>
      <c r="K2443" s="29">
        <v>5.2977269150738998E-2</v>
      </c>
    </row>
    <row r="2444" spans="1:11" x14ac:dyDescent="0.35">
      <c r="A2444" s="9" t="str">
        <f>HYPERLINK("http://www.ensembl.org/id/WBGene00011324", "WBGene00011324")</f>
        <v>WBGene00011324</v>
      </c>
      <c r="B2444" s="9" t="str">
        <f>HYPERLINK("http://www.ncbi.nlm.nih.gov/gene/180001", "180001")</f>
        <v>180001</v>
      </c>
      <c r="C2444" s="9"/>
      <c r="D2444" t="str">
        <f>"hrde-2"</f>
        <v>hrde-2</v>
      </c>
      <c r="F2444" t="s">
        <v>11</v>
      </c>
      <c r="H2444" s="12">
        <v>-2.1185939791360999</v>
      </c>
      <c r="I2444" s="11">
        <v>-3.4721291430456902</v>
      </c>
      <c r="J2444" s="10">
        <v>5.16347880143714E-4</v>
      </c>
      <c r="K2444" s="29">
        <v>2.3439556225148699E-2</v>
      </c>
    </row>
    <row r="2445" spans="1:11" x14ac:dyDescent="0.35">
      <c r="A2445" s="9" t="str">
        <f>HYPERLINK("http://www.ensembl.org/id/WBGene00012961", "WBGene00012961")</f>
        <v>WBGene00012961</v>
      </c>
      <c r="B2445" s="9" t="str">
        <f>HYPERLINK("http://www.ncbi.nlm.nih.gov/gene/173091", "173091")</f>
        <v>173091</v>
      </c>
      <c r="C2445" s="9"/>
      <c r="D2445" t="str">
        <f>"Y47H10A.5"</f>
        <v>Y47H10A.5</v>
      </c>
      <c r="F2445" t="s">
        <v>11</v>
      </c>
      <c r="G2445" t="s">
        <v>644</v>
      </c>
      <c r="H2445" s="12">
        <v>-2.1180879937947998</v>
      </c>
      <c r="I2445" s="11">
        <v>-1.99288687809975</v>
      </c>
      <c r="J2445" s="10">
        <v>4.6273835511470497E-2</v>
      </c>
      <c r="K2445" s="29">
        <v>0.50076496843711304</v>
      </c>
    </row>
    <row r="2446" spans="1:11" x14ac:dyDescent="0.35">
      <c r="A2446" s="9" t="str">
        <f>HYPERLINK("http://www.ensembl.org/id/WBGene00020741", "WBGene00020741")</f>
        <v>WBGene00020741</v>
      </c>
      <c r="B2446" s="9" t="str">
        <f>HYPERLINK("http://www.ncbi.nlm.nih.gov/gene/188808", "188808")</f>
        <v>188808</v>
      </c>
      <c r="C2446" s="9"/>
      <c r="D2446" t="str">
        <f>"dlhd-1"</f>
        <v>dlhd-1</v>
      </c>
      <c r="E2446" t="s">
        <v>931</v>
      </c>
      <c r="F2446" t="s">
        <v>11</v>
      </c>
      <c r="G2446" t="s">
        <v>423</v>
      </c>
      <c r="H2446" s="12">
        <v>-2.1179371867474499</v>
      </c>
      <c r="I2446" s="11">
        <v>-2.6778808897720001</v>
      </c>
      <c r="J2446" s="10">
        <v>7.4089560228432902E-3</v>
      </c>
      <c r="K2446" s="29">
        <v>0.157925588435256</v>
      </c>
    </row>
    <row r="2447" spans="1:11" x14ac:dyDescent="0.35">
      <c r="A2447" s="9" t="str">
        <f>HYPERLINK("http://www.ensembl.org/id/WBGene00008561", "WBGene00008561")</f>
        <v>WBGene00008561</v>
      </c>
      <c r="B2447" s="9" t="str">
        <f>HYPERLINK("http://www.ncbi.nlm.nih.gov/gene/174408", "174408")</f>
        <v>174408</v>
      </c>
      <c r="C2447" s="9"/>
      <c r="D2447" t="str">
        <f>"F07H5.10"</f>
        <v>F07H5.10</v>
      </c>
      <c r="F2447" t="s">
        <v>11</v>
      </c>
      <c r="G2447" t="s">
        <v>644</v>
      </c>
      <c r="H2447" s="12">
        <v>-2.1175386598202799</v>
      </c>
      <c r="I2447" s="11">
        <v>-3.0573129642146899</v>
      </c>
      <c r="J2447" s="10">
        <v>2.2333096672679498E-3</v>
      </c>
      <c r="K2447" s="29">
        <v>6.9760361160855502E-2</v>
      </c>
    </row>
    <row r="2448" spans="1:11" x14ac:dyDescent="0.35">
      <c r="A2448" s="9" t="str">
        <f>HYPERLINK("http://www.ensembl.org/id/WBGene00007131", "WBGene00007131")</f>
        <v>WBGene00007131</v>
      </c>
      <c r="B2448" s="9" t="str">
        <f>HYPERLINK("http://www.ncbi.nlm.nih.gov/gene/181902", "181902")</f>
        <v>181902</v>
      </c>
      <c r="C2448" s="9"/>
      <c r="D2448" t="str">
        <f>"pals-26"</f>
        <v>pals-26</v>
      </c>
      <c r="E2448" t="s">
        <v>1147</v>
      </c>
      <c r="F2448" t="s">
        <v>11</v>
      </c>
      <c r="H2448" s="12">
        <v>-2.11251114910019</v>
      </c>
      <c r="I2448" s="11">
        <v>-2.42994657066096</v>
      </c>
      <c r="J2448" s="10">
        <v>1.51010487821481E-2</v>
      </c>
      <c r="K2448" s="29">
        <v>0.25468965924110498</v>
      </c>
    </row>
    <row r="2449" spans="1:11" x14ac:dyDescent="0.35">
      <c r="A2449" s="9" t="str">
        <f>HYPERLINK("http://www.ensembl.org/id/WBGene00021763", "WBGene00021763")</f>
        <v>WBGene00021763</v>
      </c>
      <c r="B2449" s="9" t="str">
        <f>HYPERLINK("http://www.ncbi.nlm.nih.gov/gene/245998", "245998")</f>
        <v>245998</v>
      </c>
      <c r="C2449" s="9"/>
      <c r="D2449" t="str">
        <f>"Y51F10.2"</f>
        <v>Y51F10.2</v>
      </c>
      <c r="F2449" t="s">
        <v>11</v>
      </c>
      <c r="G2449" t="s">
        <v>51</v>
      </c>
      <c r="H2449" s="12">
        <v>-2.1123726999776502</v>
      </c>
      <c r="I2449" s="11">
        <v>-3.8397199081385098</v>
      </c>
      <c r="J2449" s="10">
        <v>1.2317475584555101E-4</v>
      </c>
      <c r="K2449" s="29">
        <v>7.7728129054279197E-3</v>
      </c>
    </row>
    <row r="2450" spans="1:11" x14ac:dyDescent="0.35">
      <c r="A2450" s="9" t="str">
        <f>HYPERLINK("http://www.ensembl.org/id/WBGene00010839", "WBGene00010839")</f>
        <v>WBGene00010839</v>
      </c>
      <c r="B2450" s="9" t="str">
        <f>HYPERLINK("http://www.ncbi.nlm.nih.gov/gene/176457", "176457")</f>
        <v>176457</v>
      </c>
      <c r="C2450" s="9" t="str">
        <f>HYPERLINK("http://www.ncbi.nlm.nih.gov/gene/1663", "1663")</f>
        <v>1663</v>
      </c>
      <c r="D2450" t="str">
        <f>"chl-1"</f>
        <v>chl-1</v>
      </c>
      <c r="E2450" t="s">
        <v>586</v>
      </c>
      <c r="F2450" t="s">
        <v>11</v>
      </c>
      <c r="G2450" t="s">
        <v>587</v>
      </c>
      <c r="H2450" s="12">
        <v>-2.1120008241536001</v>
      </c>
      <c r="I2450" s="11">
        <v>-3.1418180305552301</v>
      </c>
      <c r="J2450" s="10">
        <v>1.67902351528412E-3</v>
      </c>
      <c r="K2450" s="29">
        <v>5.7990309931472098E-2</v>
      </c>
    </row>
    <row r="2451" spans="1:11" x14ac:dyDescent="0.35">
      <c r="A2451" s="9" t="str">
        <f>HYPERLINK("http://www.ensembl.org/id/WBGene00015313", "WBGene00015313")</f>
        <v>WBGene00015313</v>
      </c>
      <c r="B2451" s="9" t="str">
        <f>HYPERLINK("http://www.ncbi.nlm.nih.gov/gene/172175", "172175")</f>
        <v>172175</v>
      </c>
      <c r="C2451" s="9"/>
      <c r="D2451" t="str">
        <f>"hpo-32"</f>
        <v>hpo-32</v>
      </c>
      <c r="F2451" t="s">
        <v>11</v>
      </c>
      <c r="H2451" s="12">
        <v>-2.1117703561117702</v>
      </c>
      <c r="I2451" s="11">
        <v>-2.6609493355151899</v>
      </c>
      <c r="J2451" s="10">
        <v>7.79206809804661E-3</v>
      </c>
      <c r="K2451" s="29">
        <v>0.163824863943098</v>
      </c>
    </row>
    <row r="2452" spans="1:11" x14ac:dyDescent="0.35">
      <c r="A2452" s="9" t="str">
        <f>HYPERLINK("http://www.ensembl.org/id/WBGene00045194", "WBGene00045194")</f>
        <v>WBGene00045194</v>
      </c>
      <c r="B2452" s="9"/>
      <c r="C2452" s="9"/>
      <c r="D2452" t="str">
        <f>"smy-1"</f>
        <v>smy-1</v>
      </c>
      <c r="F2452" t="s">
        <v>4205</v>
      </c>
      <c r="H2452" s="12">
        <v>-2.11168541425259</v>
      </c>
      <c r="I2452" s="11">
        <v>-0.91935972315562897</v>
      </c>
      <c r="J2452" s="10">
        <v>0.35790744890834802</v>
      </c>
      <c r="K2452" s="29">
        <v>0.98289565623980701</v>
      </c>
    </row>
    <row r="2453" spans="1:11" x14ac:dyDescent="0.35">
      <c r="A2453" s="9" t="str">
        <f>HYPERLINK("http://www.ensembl.org/id/WBGene00012793", "WBGene00012793")</f>
        <v>WBGene00012793</v>
      </c>
      <c r="B2453" s="9"/>
      <c r="C2453" s="9"/>
      <c r="D2453" t="str">
        <f>"Y43D4A.7"</f>
        <v>Y43D4A.7</v>
      </c>
      <c r="F2453" t="s">
        <v>80</v>
      </c>
      <c r="H2453" s="12">
        <v>-2.11097876868343</v>
      </c>
      <c r="I2453" s="11">
        <v>-0.49797110635353098</v>
      </c>
      <c r="J2453" s="10">
        <v>0.618504407547943</v>
      </c>
      <c r="K2453" s="29">
        <v>0.98289565623980701</v>
      </c>
    </row>
    <row r="2454" spans="1:11" x14ac:dyDescent="0.35">
      <c r="A2454" s="9" t="str">
        <f>HYPERLINK("http://www.ensembl.org/id/WBGene00008451", "WBGene00008451")</f>
        <v>WBGene00008451</v>
      </c>
      <c r="B2454" s="9" t="str">
        <f>HYPERLINK("http://www.ncbi.nlm.nih.gov/gene/181385", "181385")</f>
        <v>181385</v>
      </c>
      <c r="C2454" s="9"/>
      <c r="D2454" t="str">
        <f>"E01G6.3"</f>
        <v>E01G6.3</v>
      </c>
      <c r="E2454" t="s">
        <v>383</v>
      </c>
      <c r="F2454" t="s">
        <v>11</v>
      </c>
      <c r="G2454" t="s">
        <v>2371</v>
      </c>
      <c r="H2454" s="12">
        <v>-2.1107263600240902</v>
      </c>
      <c r="I2454" s="11">
        <v>-1.7062746162460001</v>
      </c>
      <c r="J2454" s="10">
        <v>8.7956961880143805E-2</v>
      </c>
      <c r="K2454" s="29">
        <v>0.69071223900299095</v>
      </c>
    </row>
    <row r="2455" spans="1:11" x14ac:dyDescent="0.35">
      <c r="A2455" s="9" t="str">
        <f>HYPERLINK("http://www.ensembl.org/id/WBGene00021730", "WBGene00021730")</f>
        <v>WBGene00021730</v>
      </c>
      <c r="B2455" s="9" t="str">
        <f>HYPERLINK("http://www.ncbi.nlm.nih.gov/gene/190089", "190089")</f>
        <v>190089</v>
      </c>
      <c r="C2455" s="9"/>
      <c r="D2455" t="str">
        <f>"Y49F6C.8"</f>
        <v>Y49F6C.8</v>
      </c>
      <c r="F2455" t="s">
        <v>11</v>
      </c>
      <c r="H2455" s="12">
        <v>-2.1101810505228</v>
      </c>
      <c r="I2455" s="11">
        <v>-2.7511310572462202</v>
      </c>
      <c r="J2455" s="10">
        <v>5.93898775341614E-3</v>
      </c>
      <c r="K2455" s="29">
        <v>0.135764921989071</v>
      </c>
    </row>
    <row r="2456" spans="1:11" x14ac:dyDescent="0.35">
      <c r="A2456" s="9" t="str">
        <f>HYPERLINK("http://www.ensembl.org/id/WBGene00005349", "WBGene00005349")</f>
        <v>WBGene00005349</v>
      </c>
      <c r="B2456" s="9" t="str">
        <f>HYPERLINK("http://www.ncbi.nlm.nih.gov/gene/188984", "188984")</f>
        <v>188984</v>
      </c>
      <c r="C2456" s="9"/>
      <c r="D2456" t="str">
        <f>"srh-132"</f>
        <v>srh-132</v>
      </c>
      <c r="E2456" t="s">
        <v>153</v>
      </c>
      <c r="F2456" t="s">
        <v>11</v>
      </c>
      <c r="G2456" t="s">
        <v>25</v>
      </c>
      <c r="H2456" s="12">
        <v>-2.1094572229296702</v>
      </c>
      <c r="I2456" s="11">
        <v>-1.64531917056347</v>
      </c>
      <c r="J2456" s="10">
        <v>9.9904008483871098E-2</v>
      </c>
      <c r="K2456" s="29">
        <v>0.73050063924946995</v>
      </c>
    </row>
    <row r="2457" spans="1:11" x14ac:dyDescent="0.35">
      <c r="A2457" s="9" t="str">
        <f>HYPERLINK("http://www.ensembl.org/id/WBGene00003545", "WBGene00003545")</f>
        <v>WBGene00003545</v>
      </c>
      <c r="B2457" s="9" t="str">
        <f>HYPERLINK("http://www.ncbi.nlm.nih.gov/gene/188809", "188809")</f>
        <v>188809</v>
      </c>
      <c r="C2457" s="9"/>
      <c r="D2457" t="str">
        <f>"nas-27"</f>
        <v>nas-27</v>
      </c>
      <c r="E2457" t="s">
        <v>10039</v>
      </c>
      <c r="F2457" t="s">
        <v>11</v>
      </c>
      <c r="G2457" t="s">
        <v>267</v>
      </c>
      <c r="H2457" s="12">
        <v>-2.1090148869071901</v>
      </c>
      <c r="I2457" s="11">
        <v>-0.820999966373959</v>
      </c>
      <c r="J2457" s="10">
        <v>0.41164628736911002</v>
      </c>
      <c r="K2457" s="29">
        <v>0.98289565623980701</v>
      </c>
    </row>
    <row r="2458" spans="1:11" x14ac:dyDescent="0.35">
      <c r="A2458" s="9" t="str">
        <f>HYPERLINK("http://www.ensembl.org/id/WBGene00001711", "WBGene00001711")</f>
        <v>WBGene00001711</v>
      </c>
      <c r="B2458" s="9" t="str">
        <f>HYPERLINK("http://www.ncbi.nlm.nih.gov/gene/179777", "179777")</f>
        <v>179777</v>
      </c>
      <c r="C2458" s="9"/>
      <c r="D2458" t="str">
        <f>"grl-2"</f>
        <v>grl-2</v>
      </c>
      <c r="E2458" t="s">
        <v>353</v>
      </c>
      <c r="F2458" t="s">
        <v>11</v>
      </c>
      <c r="H2458" s="12">
        <v>-2.1089333063437699</v>
      </c>
      <c r="I2458" s="11">
        <v>-0.80573124053866596</v>
      </c>
      <c r="J2458" s="10">
        <v>0.42039783214625598</v>
      </c>
      <c r="K2458" s="29">
        <v>0.98289565623980701</v>
      </c>
    </row>
    <row r="2459" spans="1:11" x14ac:dyDescent="0.35">
      <c r="A2459" s="9" t="str">
        <f>HYPERLINK("http://www.ensembl.org/id/WBGene00012568", "WBGene00012568")</f>
        <v>WBGene00012568</v>
      </c>
      <c r="B2459" s="9"/>
      <c r="C2459" s="9"/>
      <c r="D2459" t="str">
        <f>"fbxa-212"</f>
        <v>fbxa-212</v>
      </c>
      <c r="F2459" t="s">
        <v>80</v>
      </c>
      <c r="H2459" s="12">
        <v>-2.1072135274700599</v>
      </c>
      <c r="I2459" s="11">
        <v>-0.91187581648899696</v>
      </c>
      <c r="J2459" s="10">
        <v>0.361834093458682</v>
      </c>
      <c r="K2459" s="29">
        <v>0.98289565623980701</v>
      </c>
    </row>
    <row r="2460" spans="1:11" x14ac:dyDescent="0.35">
      <c r="A2460" s="9" t="str">
        <f>HYPERLINK("http://www.ensembl.org/id/WBGene00017460", "WBGene00017460")</f>
        <v>WBGene00017460</v>
      </c>
      <c r="B2460" s="9" t="str">
        <f>HYPERLINK("http://www.ncbi.nlm.nih.gov/gene/173678", "173678")</f>
        <v>173678</v>
      </c>
      <c r="C2460" s="9"/>
      <c r="D2460" t="str">
        <f>"bath-30"</f>
        <v>bath-30</v>
      </c>
      <c r="E2460" t="s">
        <v>179</v>
      </c>
      <c r="F2460" t="s">
        <v>11</v>
      </c>
      <c r="G2460" t="s">
        <v>54</v>
      </c>
      <c r="H2460" s="12">
        <v>-2.1061169204336698</v>
      </c>
      <c r="I2460" s="11">
        <v>-3.11938888327537</v>
      </c>
      <c r="J2460" s="10">
        <v>1.8122660071515401E-3</v>
      </c>
      <c r="K2460" s="29">
        <v>6.0511876244571501E-2</v>
      </c>
    </row>
    <row r="2461" spans="1:11" x14ac:dyDescent="0.35">
      <c r="A2461" s="9" t="str">
        <f>HYPERLINK("http://www.ensembl.org/id/WBGene00000772", "WBGene00000772")</f>
        <v>WBGene00000772</v>
      </c>
      <c r="B2461" s="9" t="str">
        <f>HYPERLINK("http://www.ncbi.nlm.nih.gov/gene/172244", "172244")</f>
        <v>172244</v>
      </c>
      <c r="C2461" s="9"/>
      <c r="D2461" t="str">
        <f>"cpb-3"</f>
        <v>cpb-3</v>
      </c>
      <c r="E2461" t="s">
        <v>366</v>
      </c>
      <c r="F2461" t="s">
        <v>11</v>
      </c>
      <c r="G2461" t="s">
        <v>367</v>
      </c>
      <c r="H2461" s="12">
        <v>-2.1060164517960098</v>
      </c>
      <c r="I2461" s="11">
        <v>-3.7981445712903499</v>
      </c>
      <c r="J2461" s="10">
        <v>1.45783288864858E-4</v>
      </c>
      <c r="K2461" s="29">
        <v>8.8179808180926696E-3</v>
      </c>
    </row>
    <row r="2462" spans="1:11" x14ac:dyDescent="0.35">
      <c r="A2462" s="9" t="str">
        <f>HYPERLINK("http://www.ensembl.org/id/WBGene00016236", "WBGene00016236")</f>
        <v>WBGene00016236</v>
      </c>
      <c r="B2462" s="9" t="str">
        <f>HYPERLINK("http://www.ncbi.nlm.nih.gov/gene/183036", "183036")</f>
        <v>183036</v>
      </c>
      <c r="C2462" s="9"/>
      <c r="D2462" t="str">
        <f>"heri-1"</f>
        <v>heri-1</v>
      </c>
      <c r="E2462" t="s">
        <v>1452</v>
      </c>
      <c r="F2462" t="s">
        <v>11</v>
      </c>
      <c r="G2462" t="s">
        <v>1453</v>
      </c>
      <c r="H2462" s="12">
        <v>-2.1050087205107899</v>
      </c>
      <c r="I2462" s="11">
        <v>-2.18925346608194</v>
      </c>
      <c r="J2462" s="10">
        <v>2.85784225287345E-2</v>
      </c>
      <c r="K2462" s="29">
        <v>0.37776489184721901</v>
      </c>
    </row>
    <row r="2463" spans="1:11" x14ac:dyDescent="0.35">
      <c r="A2463" s="9" t="str">
        <f>HYPERLINK("http://www.ensembl.org/id/WBGene00001413", "WBGene00001413")</f>
        <v>WBGene00001413</v>
      </c>
      <c r="B2463" s="9" t="str">
        <f>HYPERLINK("http://www.ncbi.nlm.nih.gov/gene/177734", "177734")</f>
        <v>177734</v>
      </c>
      <c r="C2463" s="9"/>
      <c r="D2463" t="str">
        <f>"fem-3"</f>
        <v>fem-3</v>
      </c>
      <c r="E2463" t="s">
        <v>511</v>
      </c>
      <c r="F2463" t="s">
        <v>11</v>
      </c>
      <c r="G2463" t="s">
        <v>512</v>
      </c>
      <c r="H2463" s="12">
        <v>-2.1028507365397302</v>
      </c>
      <c r="I2463" s="11">
        <v>-3.3089066920939199</v>
      </c>
      <c r="J2463" s="10">
        <v>9.36610458374781E-4</v>
      </c>
      <c r="K2463" s="29">
        <v>3.7057056936999497E-2</v>
      </c>
    </row>
    <row r="2464" spans="1:11" x14ac:dyDescent="0.35">
      <c r="A2464" s="9" t="str">
        <f>HYPERLINK("http://www.ensembl.org/id/WBGene00003533", "WBGene00003533")</f>
        <v>WBGene00003533</v>
      </c>
      <c r="B2464" s="9" t="str">
        <f>HYPERLINK("http://www.ncbi.nlm.nih.gov/gene/184247", "184247")</f>
        <v>184247</v>
      </c>
      <c r="C2464" s="9"/>
      <c r="D2464" t="str">
        <f>"nas-14"</f>
        <v>nas-14</v>
      </c>
      <c r="E2464" t="s">
        <v>10038</v>
      </c>
      <c r="F2464" t="s">
        <v>11</v>
      </c>
      <c r="G2464" t="s">
        <v>1542</v>
      </c>
      <c r="H2464" s="12">
        <v>-2.1027309948382502</v>
      </c>
      <c r="I2464" s="11">
        <v>-0.93145973084849498</v>
      </c>
      <c r="J2464" s="10">
        <v>0.35161580569879503</v>
      </c>
      <c r="K2464" s="29">
        <v>0.98289565623980701</v>
      </c>
    </row>
    <row r="2465" spans="1:11" x14ac:dyDescent="0.35">
      <c r="A2465" s="9" t="str">
        <f>HYPERLINK("http://www.ensembl.org/id/WBGene00015850", "WBGene00015850")</f>
        <v>WBGene00015850</v>
      </c>
      <c r="B2465" s="9" t="str">
        <f>HYPERLINK("http://www.ncbi.nlm.nih.gov/gene/182678", "182678")</f>
        <v>182678</v>
      </c>
      <c r="C2465" s="9"/>
      <c r="D2465" t="str">
        <f>"C16C8.12"</f>
        <v>C16C8.12</v>
      </c>
      <c r="F2465" t="s">
        <v>11</v>
      </c>
      <c r="H2465" s="12">
        <v>-2.1023763769314798</v>
      </c>
      <c r="I2465" s="11">
        <v>-1.7515546616982201</v>
      </c>
      <c r="J2465" s="10">
        <v>7.9850414346158902E-2</v>
      </c>
      <c r="K2465" s="29">
        <v>0.66533888364349003</v>
      </c>
    </row>
    <row r="2466" spans="1:11" x14ac:dyDescent="0.35">
      <c r="A2466" s="9" t="str">
        <f>HYPERLINK("http://www.ensembl.org/id/WBGene00019792", "WBGene00019792")</f>
        <v>WBGene00019792</v>
      </c>
      <c r="B2466" s="9" t="str">
        <f>HYPERLINK("http://www.ncbi.nlm.nih.gov/gene/177642", "177642")</f>
        <v>177642</v>
      </c>
      <c r="C2466" s="9"/>
      <c r="D2466" t="str">
        <f>"M116.5"</f>
        <v>M116.5</v>
      </c>
      <c r="F2466" t="s">
        <v>11</v>
      </c>
      <c r="G2466" t="s">
        <v>1055</v>
      </c>
      <c r="H2466" s="12">
        <v>-2.1018057240696701</v>
      </c>
      <c r="I2466" s="11">
        <v>-2.5313705890326998</v>
      </c>
      <c r="J2466" s="10">
        <v>1.13617734991029E-2</v>
      </c>
      <c r="K2466" s="29">
        <v>0.21120284671783801</v>
      </c>
    </row>
    <row r="2467" spans="1:11" x14ac:dyDescent="0.35">
      <c r="A2467" s="9" t="str">
        <f>HYPERLINK("http://www.ensembl.org/id/WBGene00011945", "WBGene00011945")</f>
        <v>WBGene00011945</v>
      </c>
      <c r="B2467" s="9" t="str">
        <f>HYPERLINK("http://www.ncbi.nlm.nih.gov/gene/172861", "172861")</f>
        <v>172861</v>
      </c>
      <c r="C2467" s="9"/>
      <c r="D2467" t="str">
        <f>"alg-5"</f>
        <v>alg-5</v>
      </c>
      <c r="F2467" t="s">
        <v>11</v>
      </c>
      <c r="G2467" t="s">
        <v>445</v>
      </c>
      <c r="H2467" s="12">
        <v>-2.10165446026142</v>
      </c>
      <c r="I2467" s="11">
        <v>-3.5438014663130399</v>
      </c>
      <c r="J2467" s="10">
        <v>3.9440211908600898E-4</v>
      </c>
      <c r="K2467" s="29">
        <v>1.9307320685595999E-2</v>
      </c>
    </row>
    <row r="2468" spans="1:11" x14ac:dyDescent="0.35">
      <c r="A2468" s="9" t="str">
        <f>HYPERLINK("http://www.ensembl.org/id/WBGene00013265", "WBGene00013265")</f>
        <v>WBGene00013265</v>
      </c>
      <c r="B2468" s="9" t="str">
        <f>HYPERLINK("http://www.ncbi.nlm.nih.gov/gene/174866", "174866")</f>
        <v>174866</v>
      </c>
      <c r="C2468" s="9" t="str">
        <f>HYPERLINK("http://www.ncbi.nlm.nih.gov/gene/114034", "114034")</f>
        <v>114034</v>
      </c>
      <c r="D2468" t="str">
        <f>"parn-2"</f>
        <v>parn-2</v>
      </c>
      <c r="E2468" t="s">
        <v>685</v>
      </c>
      <c r="F2468" t="s">
        <v>11</v>
      </c>
      <c r="G2468" t="s">
        <v>686</v>
      </c>
      <c r="H2468" s="12">
        <v>-2.1010506454850599</v>
      </c>
      <c r="I2468" s="11">
        <v>-3.0156682299586199</v>
      </c>
      <c r="J2468" s="10">
        <v>2.5641365323705702E-3</v>
      </c>
      <c r="K2468" s="29">
        <v>7.6055120304177701E-2</v>
      </c>
    </row>
    <row r="2469" spans="1:11" x14ac:dyDescent="0.35">
      <c r="A2469" s="9" t="str">
        <f>HYPERLINK("http://www.ensembl.org/id/WBGene00020761", "WBGene00020761")</f>
        <v>WBGene00020761</v>
      </c>
      <c r="B2469" s="9" t="str">
        <f>HYPERLINK("http://www.ncbi.nlm.nih.gov/gene/188846", "188846")</f>
        <v>188846</v>
      </c>
      <c r="C2469" s="9" t="str">
        <f>HYPERLINK("http://www.ncbi.nlm.nih.gov/gene/5557", "5557")</f>
        <v>5557</v>
      </c>
      <c r="D2469" t="str">
        <f>"T24C4.5"</f>
        <v>T24C4.5</v>
      </c>
      <c r="E2469" t="s">
        <v>705</v>
      </c>
      <c r="F2469" t="s">
        <v>11</v>
      </c>
      <c r="G2469" t="s">
        <v>706</v>
      </c>
      <c r="H2469" s="12">
        <v>-2.1007680603296799</v>
      </c>
      <c r="I2469" s="11">
        <v>-2.9744984204657299</v>
      </c>
      <c r="J2469" s="10">
        <v>2.9346796671034102E-3</v>
      </c>
      <c r="K2469" s="29">
        <v>8.3817933730644598E-2</v>
      </c>
    </row>
    <row r="2470" spans="1:11" x14ac:dyDescent="0.35">
      <c r="A2470" s="9" t="str">
        <f>HYPERLINK("http://www.ensembl.org/id/WBGene00044911", "WBGene00044911")</f>
        <v>WBGene00044911</v>
      </c>
      <c r="B2470" s="9" t="str">
        <f>HYPERLINK("http://www.ncbi.nlm.nih.gov/gene/4926924", "4926924")</f>
        <v>4926924</v>
      </c>
      <c r="C2470" s="9"/>
      <c r="D2470" t="str">
        <f>"H38K22.6"</f>
        <v>H38K22.6</v>
      </c>
      <c r="F2470" t="s">
        <v>11</v>
      </c>
      <c r="G2470" t="s">
        <v>25</v>
      </c>
      <c r="H2470" s="12">
        <v>-2.1003613205681799</v>
      </c>
      <c r="I2470" s="11">
        <v>-0.42065534885892403</v>
      </c>
      <c r="J2470" s="10">
        <v>0.67400677066028702</v>
      </c>
      <c r="K2470" s="29">
        <v>0.98289565623980701</v>
      </c>
    </row>
    <row r="2471" spans="1:11" x14ac:dyDescent="0.35">
      <c r="A2471" s="9" t="str">
        <f>HYPERLINK("http://www.ensembl.org/id/WBGene00001977", "WBGene00001977")</f>
        <v>WBGene00001977</v>
      </c>
      <c r="B2471" s="9" t="str">
        <f>HYPERLINK("http://www.ncbi.nlm.nih.gov/gene/174829", "174829")</f>
        <v>174829</v>
      </c>
      <c r="C2471" s="9"/>
      <c r="D2471" t="str">
        <f>"hmg-12"</f>
        <v>hmg-12</v>
      </c>
      <c r="E2471" t="s">
        <v>319</v>
      </c>
      <c r="F2471" t="s">
        <v>11</v>
      </c>
      <c r="G2471" t="s">
        <v>320</v>
      </c>
      <c r="H2471" s="12">
        <v>-2.09987073380137</v>
      </c>
      <c r="I2471" s="11">
        <v>-3.9790695402883798</v>
      </c>
      <c r="J2471" s="10">
        <v>6.9185503985392003E-5</v>
      </c>
      <c r="K2471" s="29">
        <v>4.9339514045878604E-3</v>
      </c>
    </row>
    <row r="2472" spans="1:11" x14ac:dyDescent="0.35">
      <c r="A2472" s="9" t="str">
        <f>HYPERLINK("http://www.ensembl.org/id/WBGene00001044", "WBGene00001044")</f>
        <v>WBGene00001044</v>
      </c>
      <c r="B2472" s="9" t="str">
        <f>HYPERLINK("http://www.ncbi.nlm.nih.gov/gene/178171", "178171")</f>
        <v>178171</v>
      </c>
      <c r="C2472" s="9"/>
      <c r="D2472" t="str">
        <f>"dnj-26"</f>
        <v>dnj-26</v>
      </c>
      <c r="E2472" t="s">
        <v>847</v>
      </c>
      <c r="F2472" t="s">
        <v>11</v>
      </c>
      <c r="G2472" t="s">
        <v>1002</v>
      </c>
      <c r="H2472" s="12">
        <v>-2.0993519758886001</v>
      </c>
      <c r="I2472" s="11">
        <v>-2.5726072022360502</v>
      </c>
      <c r="J2472" s="10">
        <v>1.0093569107589E-2</v>
      </c>
      <c r="K2472" s="29">
        <v>0.196645875042117</v>
      </c>
    </row>
    <row r="2473" spans="1:11" x14ac:dyDescent="0.35">
      <c r="A2473" s="9" t="str">
        <f>HYPERLINK("http://www.ensembl.org/id/WBGene00009656", "WBGene00009656")</f>
        <v>WBGene00009656</v>
      </c>
      <c r="B2473" s="9"/>
      <c r="C2473" s="9"/>
      <c r="D2473" t="str">
        <f>"F43G6.3"</f>
        <v>F43G6.3</v>
      </c>
      <c r="F2473" t="s">
        <v>80</v>
      </c>
      <c r="H2473" s="12">
        <v>-2.09879650791351</v>
      </c>
      <c r="I2473" s="11">
        <v>-2.09268969498644</v>
      </c>
      <c r="J2473" s="10">
        <v>3.63768637589943E-2</v>
      </c>
      <c r="K2473" s="29">
        <v>0.43510284136024002</v>
      </c>
    </row>
    <row r="2474" spans="1:11" x14ac:dyDescent="0.35">
      <c r="A2474" s="9" t="str">
        <f>HYPERLINK("http://www.ensembl.org/id/WBGene00006977", "WBGene00006977")</f>
        <v>WBGene00006977</v>
      </c>
      <c r="B2474" s="9" t="str">
        <f>HYPERLINK("http://www.ncbi.nlm.nih.gov/gene/176274", "176274")</f>
        <v>176274</v>
      </c>
      <c r="C2474" s="9"/>
      <c r="D2474" t="str">
        <f>"zif-1"</f>
        <v>zif-1</v>
      </c>
      <c r="E2474" t="s">
        <v>387</v>
      </c>
      <c r="F2474" t="s">
        <v>11</v>
      </c>
      <c r="G2474" t="s">
        <v>388</v>
      </c>
      <c r="H2474" s="12">
        <v>-2.0984262552986799</v>
      </c>
      <c r="I2474" s="11">
        <v>-3.7386565173816799</v>
      </c>
      <c r="J2474" s="10">
        <v>1.8500629549863301E-4</v>
      </c>
      <c r="K2474" s="29">
        <v>1.0703434287082999E-2</v>
      </c>
    </row>
    <row r="2475" spans="1:11" x14ac:dyDescent="0.35">
      <c r="A2475" s="9" t="str">
        <f>HYPERLINK("http://www.ensembl.org/id/WBGene00003835", "WBGene00003835")</f>
        <v>WBGene00003835</v>
      </c>
      <c r="B2475" s="9" t="str">
        <f>HYPERLINK("http://www.ncbi.nlm.nih.gov/gene/179938", "179938")</f>
        <v>179938</v>
      </c>
      <c r="C2475" s="9" t="str">
        <f>HYPERLINK("http://www.ncbi.nlm.nih.gov/gene/10482", "10482")</f>
        <v>10482</v>
      </c>
      <c r="D2475" t="str">
        <f>"nxf-2"</f>
        <v>nxf-2</v>
      </c>
      <c r="E2475" t="s">
        <v>713</v>
      </c>
      <c r="F2475" t="s">
        <v>11</v>
      </c>
      <c r="G2475" t="s">
        <v>54</v>
      </c>
      <c r="H2475" s="12">
        <v>-2.0977564017007899</v>
      </c>
      <c r="I2475" s="11">
        <v>-2.9621248590025999</v>
      </c>
      <c r="J2475" s="10">
        <v>3.0552386134886401E-3</v>
      </c>
      <c r="K2475" s="29">
        <v>8.6195779491170396E-2</v>
      </c>
    </row>
    <row r="2476" spans="1:11" x14ac:dyDescent="0.35">
      <c r="A2476" s="9" t="str">
        <f>HYPERLINK("http://www.ensembl.org/id/WBGene00017097", "WBGene00017097")</f>
        <v>WBGene00017097</v>
      </c>
      <c r="B2476" s="9" t="str">
        <f>HYPERLINK("http://www.ncbi.nlm.nih.gov/gene/183991", "183991")</f>
        <v>183991</v>
      </c>
      <c r="C2476" s="9"/>
      <c r="D2476" t="str">
        <f>"E02C12.12"</f>
        <v>E02C12.12</v>
      </c>
      <c r="F2476" t="s">
        <v>11</v>
      </c>
      <c r="H2476" s="12">
        <v>-2.0958830325964701</v>
      </c>
      <c r="I2476" s="11">
        <v>-0.58263319377277001</v>
      </c>
      <c r="J2476" s="10">
        <v>0.56014025488653396</v>
      </c>
      <c r="K2476" s="29">
        <v>0.98289565623980701</v>
      </c>
    </row>
    <row r="2477" spans="1:11" x14ac:dyDescent="0.35">
      <c r="A2477" s="9" t="str">
        <f>HYPERLINK("http://www.ensembl.org/id/WBGene00007797", "WBGene00007797")</f>
        <v>WBGene00007797</v>
      </c>
      <c r="B2477" s="9" t="str">
        <f>HYPERLINK("http://www.ncbi.nlm.nih.gov/gene/179501", "179501")</f>
        <v>179501</v>
      </c>
      <c r="C2477" s="9"/>
      <c r="D2477" t="str">
        <f>"C29A12.1"</f>
        <v>C29A12.1</v>
      </c>
      <c r="F2477" t="s">
        <v>11</v>
      </c>
      <c r="H2477" s="12">
        <v>-2.0957596610210198</v>
      </c>
      <c r="I2477" s="11">
        <v>-3.0510356854165201</v>
      </c>
      <c r="J2477" s="10">
        <v>2.2805346841328999E-3</v>
      </c>
      <c r="K2477" s="29">
        <v>7.0635434868062605E-2</v>
      </c>
    </row>
    <row r="2478" spans="1:11" x14ac:dyDescent="0.35">
      <c r="A2478" s="9" t="str">
        <f>HYPERLINK("http://www.ensembl.org/id/WBGene00201176", "WBGene00201176")</f>
        <v>WBGene00201176</v>
      </c>
      <c r="B2478" s="9"/>
      <c r="C2478" s="9"/>
      <c r="D2478" t="str">
        <f>"B0310.11"</f>
        <v>B0310.11</v>
      </c>
      <c r="F2478" t="s">
        <v>481</v>
      </c>
      <c r="H2478" s="12">
        <v>-2.0934832239599501</v>
      </c>
      <c r="I2478" s="11">
        <v>-0.22949030257074601</v>
      </c>
      <c r="J2478" s="10">
        <v>0.81848785695737403</v>
      </c>
      <c r="K2478" s="29">
        <v>0.98712231796055705</v>
      </c>
    </row>
    <row r="2479" spans="1:11" x14ac:dyDescent="0.35">
      <c r="A2479" s="9" t="str">
        <f>HYPERLINK("http://www.ensembl.org/id/WBGene00201961", "WBGene00201961")</f>
        <v>WBGene00201961</v>
      </c>
      <c r="B2479" s="9"/>
      <c r="C2479" s="9"/>
      <c r="D2479" t="str">
        <f>"C08A9.12"</f>
        <v>C08A9.12</v>
      </c>
      <c r="F2479" t="s">
        <v>481</v>
      </c>
      <c r="H2479" s="12">
        <v>-2.0934832239599501</v>
      </c>
      <c r="I2479" s="11">
        <v>-0.22949030257074601</v>
      </c>
      <c r="J2479" s="10">
        <v>0.81848785695737403</v>
      </c>
      <c r="K2479" s="29">
        <v>0.98712231796055705</v>
      </c>
    </row>
    <row r="2480" spans="1:11" x14ac:dyDescent="0.35">
      <c r="A2480" s="9" t="str">
        <f>HYPERLINK("http://www.ensembl.org/id/WBGene00194945", "WBGene00194945")</f>
        <v>WBGene00194945</v>
      </c>
      <c r="B2480" s="9"/>
      <c r="C2480" s="9"/>
      <c r="D2480" t="str">
        <f>"C32H11.16"</f>
        <v>C32H11.16</v>
      </c>
      <c r="F2480" t="s">
        <v>80</v>
      </c>
      <c r="H2480" s="12">
        <v>-2.0934832239599501</v>
      </c>
      <c r="I2480" s="11">
        <v>-0.22949030257074601</v>
      </c>
      <c r="J2480" s="10">
        <v>0.81848785695737403</v>
      </c>
      <c r="K2480" s="29">
        <v>0.98712231796055705</v>
      </c>
    </row>
    <row r="2481" spans="1:11" x14ac:dyDescent="0.35">
      <c r="A2481" s="9" t="str">
        <f>HYPERLINK("http://www.ensembl.org/id/WBGene00198605", "WBGene00198605")</f>
        <v>WBGene00198605</v>
      </c>
      <c r="B2481" s="9"/>
      <c r="C2481" s="9"/>
      <c r="D2481" t="str">
        <f>"F22D3.8"</f>
        <v>F22D3.8</v>
      </c>
      <c r="F2481" t="s">
        <v>481</v>
      </c>
      <c r="H2481" s="12">
        <v>-2.0934832239599501</v>
      </c>
      <c r="I2481" s="11">
        <v>-0.22949030257074601</v>
      </c>
      <c r="J2481" s="10">
        <v>0.81848785695737403</v>
      </c>
      <c r="K2481" s="29">
        <v>0.98712231796055705</v>
      </c>
    </row>
    <row r="2482" spans="1:11" x14ac:dyDescent="0.35">
      <c r="A2482" s="9" t="str">
        <f>HYPERLINK("http://www.ensembl.org/id/WBGene00022616", "WBGene00022616")</f>
        <v>WBGene00022616</v>
      </c>
      <c r="B2482" s="9" t="str">
        <f>HYPERLINK("http://www.ncbi.nlm.nih.gov/gene/260026", "260026")</f>
        <v>260026</v>
      </c>
      <c r="C2482" s="9"/>
      <c r="D2482" t="str">
        <f>"hsd-3"</f>
        <v>hsd-3</v>
      </c>
      <c r="E2482" t="s">
        <v>3496</v>
      </c>
      <c r="F2482" t="s">
        <v>11</v>
      </c>
      <c r="G2482" t="s">
        <v>385</v>
      </c>
      <c r="H2482" s="12">
        <v>-2.0934832239599501</v>
      </c>
      <c r="I2482" s="11">
        <v>-0.22949030257074601</v>
      </c>
      <c r="J2482" s="10">
        <v>0.81848785695737403</v>
      </c>
      <c r="K2482" s="29">
        <v>0.98712231796055705</v>
      </c>
    </row>
    <row r="2483" spans="1:11" x14ac:dyDescent="0.35">
      <c r="A2483" s="9" t="str">
        <f>HYPERLINK("http://www.ensembl.org/id/WBGene00010509", "WBGene00010509")</f>
        <v>WBGene00010509</v>
      </c>
      <c r="B2483" s="9" t="str">
        <f>HYPERLINK("http://www.ncbi.nlm.nih.gov/gene/186883", "186883")</f>
        <v>186883</v>
      </c>
      <c r="C2483" s="9"/>
      <c r="D2483" t="str">
        <f>"K02E2.8"</f>
        <v>K02E2.8</v>
      </c>
      <c r="F2483" t="s">
        <v>11</v>
      </c>
      <c r="H2483" s="12">
        <v>-2.0934832239599501</v>
      </c>
      <c r="I2483" s="11">
        <v>-0.22949030257074601</v>
      </c>
      <c r="J2483" s="10">
        <v>0.81848785695737403</v>
      </c>
      <c r="K2483" s="29">
        <v>0.98712231796055705</v>
      </c>
    </row>
    <row r="2484" spans="1:11" x14ac:dyDescent="0.35">
      <c r="A2484" s="9" t="str">
        <f>HYPERLINK("http://www.ensembl.org/id/WBGene00005470", "WBGene00005470")</f>
        <v>WBGene00005470</v>
      </c>
      <c r="B2484" s="9" t="str">
        <f>HYPERLINK("http://www.ncbi.nlm.nih.gov/gene/188187", "188187")</f>
        <v>188187</v>
      </c>
      <c r="C2484" s="9"/>
      <c r="D2484" t="str">
        <f>"srh-264"</f>
        <v>srh-264</v>
      </c>
      <c r="E2484" t="s">
        <v>153</v>
      </c>
      <c r="F2484" t="s">
        <v>11</v>
      </c>
      <c r="G2484" t="s">
        <v>25</v>
      </c>
      <c r="H2484" s="12">
        <v>-2.0934832239599501</v>
      </c>
      <c r="I2484" s="11">
        <v>-0.22949030257074601</v>
      </c>
      <c r="J2484" s="10">
        <v>0.81848785695737403</v>
      </c>
      <c r="K2484" s="29">
        <v>0.98712231796055705</v>
      </c>
    </row>
    <row r="2485" spans="1:11" x14ac:dyDescent="0.35">
      <c r="A2485" s="9" t="str">
        <f>HYPERLINK("http://www.ensembl.org/id/WBGene00005695", "WBGene00005695")</f>
        <v>WBGene00005695</v>
      </c>
      <c r="B2485" s="9"/>
      <c r="C2485" s="9"/>
      <c r="D2485" t="str">
        <f>"sru-32"</f>
        <v>sru-32</v>
      </c>
      <c r="F2485" t="s">
        <v>80</v>
      </c>
      <c r="H2485" s="12">
        <v>-2.0934832239599501</v>
      </c>
      <c r="I2485" s="11">
        <v>-0.22949030257074601</v>
      </c>
      <c r="J2485" s="10">
        <v>0.81848785695737403</v>
      </c>
      <c r="K2485" s="29">
        <v>0.98712231796055705</v>
      </c>
    </row>
    <row r="2486" spans="1:11" x14ac:dyDescent="0.35">
      <c r="A2486" s="9" t="str">
        <f>HYPERLINK("http://www.ensembl.org/id/WBGene00044390", "WBGene00044390")</f>
        <v>WBGene00044390</v>
      </c>
      <c r="B2486" s="9" t="str">
        <f>HYPERLINK("http://www.ncbi.nlm.nih.gov/gene/3565223", "3565223")</f>
        <v>3565223</v>
      </c>
      <c r="C2486" s="9"/>
      <c r="D2486" t="str">
        <f>"ZK177.11"</f>
        <v>ZK177.11</v>
      </c>
      <c r="F2486" t="s">
        <v>11</v>
      </c>
      <c r="G2486" t="s">
        <v>1659</v>
      </c>
      <c r="H2486" s="12">
        <v>-2.0934832239599501</v>
      </c>
      <c r="I2486" s="11">
        <v>-0.22949030257074601</v>
      </c>
      <c r="J2486" s="10">
        <v>0.81848785695737403</v>
      </c>
      <c r="K2486" s="29">
        <v>0.98712231796055705</v>
      </c>
    </row>
    <row r="2487" spans="1:11" x14ac:dyDescent="0.35">
      <c r="A2487" s="9" t="str">
        <f>HYPERLINK("http://www.ensembl.org/id/WBGene00009270", "WBGene00009270")</f>
        <v>WBGene00009270</v>
      </c>
      <c r="B2487" s="9" t="str">
        <f>HYPERLINK("http://www.ncbi.nlm.nih.gov/gene/172548", "172548")</f>
        <v>172548</v>
      </c>
      <c r="C2487" s="9"/>
      <c r="D2487" t="str">
        <f>"F30F8.1"</f>
        <v>F30F8.1</v>
      </c>
      <c r="F2487" t="s">
        <v>11</v>
      </c>
      <c r="H2487" s="12">
        <v>-2.09327788720103</v>
      </c>
      <c r="I2487" s="11">
        <v>-3.3763460177254498</v>
      </c>
      <c r="J2487" s="10">
        <v>7.3455475822454999E-4</v>
      </c>
      <c r="K2487" s="29">
        <v>3.0691902791205199E-2</v>
      </c>
    </row>
    <row r="2488" spans="1:11" x14ac:dyDescent="0.35">
      <c r="A2488" s="9" t="str">
        <f>HYPERLINK("http://www.ensembl.org/id/WBGene00009530", "WBGene00009530")</f>
        <v>WBGene00009530</v>
      </c>
      <c r="B2488" s="9" t="str">
        <f>HYPERLINK("http://www.ncbi.nlm.nih.gov/gene/185450", "185450")</f>
        <v>185450</v>
      </c>
      <c r="C2488" s="9"/>
      <c r="D2488" t="str">
        <f>"F38B2.3"</f>
        <v>F38B2.3</v>
      </c>
      <c r="F2488" t="s">
        <v>11</v>
      </c>
      <c r="H2488" s="12">
        <v>-2.0932665155236201</v>
      </c>
      <c r="I2488" s="11">
        <v>-3.2089812853204598</v>
      </c>
      <c r="J2488" s="10">
        <v>1.3320616215922599E-3</v>
      </c>
      <c r="K2488" s="29">
        <v>4.86234057322446E-2</v>
      </c>
    </row>
    <row r="2489" spans="1:11" x14ac:dyDescent="0.35">
      <c r="A2489" s="9" t="str">
        <f>HYPERLINK("http://www.ensembl.org/id/WBGene00012110", "WBGene00012110")</f>
        <v>WBGene00012110</v>
      </c>
      <c r="B2489" s="9" t="str">
        <f>HYPERLINK("http://www.ncbi.nlm.nih.gov/gene/176781", "176781")</f>
        <v>176781</v>
      </c>
      <c r="C2489" s="9"/>
      <c r="D2489" t="str">
        <f>"T28A8.4"</f>
        <v>T28A8.4</v>
      </c>
      <c r="F2489" t="s">
        <v>11</v>
      </c>
      <c r="H2489" s="12">
        <v>-2.0927642932120598</v>
      </c>
      <c r="I2489" s="11">
        <v>-3.0745530806555399</v>
      </c>
      <c r="J2489" s="10">
        <v>2.1081820293447702E-3</v>
      </c>
      <c r="K2489" s="29">
        <v>6.7467664778449093E-2</v>
      </c>
    </row>
    <row r="2490" spans="1:11" x14ac:dyDescent="0.35">
      <c r="A2490" s="9" t="str">
        <f>HYPERLINK("http://www.ensembl.org/id/WBGene00019638", "WBGene00019638")</f>
        <v>WBGene00019638</v>
      </c>
      <c r="B2490" s="9" t="str">
        <f>HYPERLINK("http://www.ncbi.nlm.nih.gov/gene/187275", "187275")</f>
        <v>187275</v>
      </c>
      <c r="C2490" s="9"/>
      <c r="D2490" t="str">
        <f>"K10F12.6"</f>
        <v>K10F12.6</v>
      </c>
      <c r="F2490" t="s">
        <v>11</v>
      </c>
      <c r="H2490" s="12">
        <v>-2.0920904536365099</v>
      </c>
      <c r="I2490" s="11">
        <v>-0.39646569218248601</v>
      </c>
      <c r="J2490" s="10">
        <v>0.691761512367008</v>
      </c>
      <c r="K2490" s="29">
        <v>0.98289565623980701</v>
      </c>
    </row>
    <row r="2491" spans="1:11" x14ac:dyDescent="0.35">
      <c r="A2491" s="9" t="str">
        <f>HYPERLINK("http://www.ensembl.org/id/WBGene00198006", "WBGene00198006")</f>
        <v>WBGene00198006</v>
      </c>
      <c r="B2491" s="9"/>
      <c r="C2491" s="9"/>
      <c r="D2491" t="str">
        <f>"R160.9"</f>
        <v>R160.9</v>
      </c>
      <c r="F2491" t="s">
        <v>481</v>
      </c>
      <c r="H2491" s="12">
        <v>-2.09198084910894</v>
      </c>
      <c r="I2491" s="11">
        <v>-0.49599022666898701</v>
      </c>
      <c r="J2491" s="10">
        <v>0.61990130638601904</v>
      </c>
      <c r="K2491" s="29">
        <v>0.98289565623980701</v>
      </c>
    </row>
    <row r="2492" spans="1:11" x14ac:dyDescent="0.35">
      <c r="A2492" s="9" t="str">
        <f>HYPERLINK("http://www.ensembl.org/id/WBGene00013193", "WBGene00013193")</f>
        <v>WBGene00013193</v>
      </c>
      <c r="B2492" s="9" t="str">
        <f>HYPERLINK("http://www.ncbi.nlm.nih.gov/gene/190257", "190257")</f>
        <v>190257</v>
      </c>
      <c r="C2492" s="9"/>
      <c r="D2492" t="str">
        <f>"Y54E2A.8"</f>
        <v>Y54E2A.8</v>
      </c>
      <c r="F2492" t="s">
        <v>11</v>
      </c>
      <c r="G2492" t="s">
        <v>839</v>
      </c>
      <c r="H2492" s="12">
        <v>-2.0915357706012401</v>
      </c>
      <c r="I2492" s="11">
        <v>-2.7896658135707701</v>
      </c>
      <c r="J2492" s="10">
        <v>5.2762471203443599E-3</v>
      </c>
      <c r="K2492" s="29">
        <v>0.12592384259344</v>
      </c>
    </row>
    <row r="2493" spans="1:11" x14ac:dyDescent="0.35">
      <c r="A2493" s="9" t="str">
        <f>HYPERLINK("http://www.ensembl.org/id/WBGene00019795", "WBGene00019795")</f>
        <v>WBGene00019795</v>
      </c>
      <c r="B2493" s="9" t="str">
        <f>HYPERLINK("http://www.ncbi.nlm.nih.gov/gene/187480", "187480")</f>
        <v>187480</v>
      </c>
      <c r="C2493" s="9"/>
      <c r="D2493" t="str">
        <f>"M151.3"</f>
        <v>M151.3</v>
      </c>
      <c r="F2493" t="s">
        <v>11</v>
      </c>
      <c r="H2493" s="12">
        <v>-2.0907075043790901</v>
      </c>
      <c r="I2493" s="11">
        <v>-1.9467164425900101</v>
      </c>
      <c r="J2493" s="10">
        <v>5.1568739236098803E-2</v>
      </c>
      <c r="K2493" s="29">
        <v>0.53217833353697996</v>
      </c>
    </row>
    <row r="2494" spans="1:11" x14ac:dyDescent="0.35">
      <c r="A2494" s="9" t="str">
        <f>HYPERLINK("http://www.ensembl.org/id/WBGene00018819", "WBGene00018819")</f>
        <v>WBGene00018819</v>
      </c>
      <c r="B2494" s="9" t="str">
        <f>HYPERLINK("http://www.ncbi.nlm.nih.gov/gene/186242", "186242")</f>
        <v>186242</v>
      </c>
      <c r="C2494" s="9"/>
      <c r="D2494" t="str">
        <f>"rog-1"</f>
        <v>rog-1</v>
      </c>
      <c r="E2494" t="s">
        <v>426</v>
      </c>
      <c r="F2494" t="s">
        <v>11</v>
      </c>
      <c r="G2494" t="s">
        <v>427</v>
      </c>
      <c r="H2494" s="12">
        <v>-2.0887505534009101</v>
      </c>
      <c r="I2494" s="11">
        <v>-3.59009276136883</v>
      </c>
      <c r="J2494" s="10">
        <v>3.30560303960188E-4</v>
      </c>
      <c r="K2494" s="29">
        <v>1.6973169740675802E-2</v>
      </c>
    </row>
    <row r="2495" spans="1:11" x14ac:dyDescent="0.35">
      <c r="A2495" s="9" t="str">
        <f>HYPERLINK("http://www.ensembl.org/id/WBGene00022508", "WBGene00022508")</f>
        <v>WBGene00022508</v>
      </c>
      <c r="B2495" s="9" t="str">
        <f>HYPERLINK("http://www.ncbi.nlm.nih.gov/gene/191066", "191066")</f>
        <v>191066</v>
      </c>
      <c r="C2495" s="9"/>
      <c r="D2495" t="str">
        <f>"ZC53.1"</f>
        <v>ZC53.1</v>
      </c>
      <c r="F2495" t="s">
        <v>11</v>
      </c>
      <c r="H2495" s="12">
        <v>-2.0876823102881499</v>
      </c>
      <c r="I2495" s="11">
        <v>-2.4391058443457698</v>
      </c>
      <c r="J2495" s="10">
        <v>1.4723655020010501E-2</v>
      </c>
      <c r="K2495" s="29">
        <v>0.25053460796759502</v>
      </c>
    </row>
    <row r="2496" spans="1:11" x14ac:dyDescent="0.35">
      <c r="A2496" s="9" t="str">
        <f>HYPERLINK("http://www.ensembl.org/id/WBGene00006562", "WBGene00006562")</f>
        <v>WBGene00006562</v>
      </c>
      <c r="B2496" s="9" t="str">
        <f>HYPERLINK("http://www.ncbi.nlm.nih.gov/gene/174327", "174327")</f>
        <v>174327</v>
      </c>
      <c r="C2496" s="9"/>
      <c r="D2496" t="str">
        <f>"tdc-1"</f>
        <v>tdc-1</v>
      </c>
      <c r="E2496" t="s">
        <v>345</v>
      </c>
      <c r="F2496" t="s">
        <v>11</v>
      </c>
      <c r="G2496" t="s">
        <v>346</v>
      </c>
      <c r="H2496" s="12">
        <v>-2.0847075670276598</v>
      </c>
      <c r="I2496" s="11">
        <v>-3.86600841759391</v>
      </c>
      <c r="J2496" s="10">
        <v>1.10631121042707E-4</v>
      </c>
      <c r="K2496" s="29">
        <v>7.1017533697497002E-3</v>
      </c>
    </row>
    <row r="2497" spans="1:11" x14ac:dyDescent="0.35">
      <c r="A2497" s="9" t="str">
        <f>HYPERLINK("http://www.ensembl.org/id/WBGene00021872", "WBGene00021872")</f>
        <v>WBGene00021872</v>
      </c>
      <c r="B2497" s="9" t="str">
        <f>HYPERLINK("http://www.ncbi.nlm.nih.gov/gene/177068", "177068")</f>
        <v>177068</v>
      </c>
      <c r="C2497" s="9"/>
      <c r="D2497" t="str">
        <f>"clec-85"</f>
        <v>clec-85</v>
      </c>
      <c r="E2497" t="s">
        <v>46</v>
      </c>
      <c r="F2497" t="s">
        <v>11</v>
      </c>
      <c r="G2497" t="s">
        <v>47</v>
      </c>
      <c r="H2497" s="12">
        <v>-2.0834627641435799</v>
      </c>
      <c r="I2497" s="11">
        <v>-2.7962216506611099</v>
      </c>
      <c r="J2497" s="10">
        <v>5.1703927197203998E-3</v>
      </c>
      <c r="K2497" s="29">
        <v>0.124442349398129</v>
      </c>
    </row>
    <row r="2498" spans="1:11" x14ac:dyDescent="0.35">
      <c r="A2498" s="9" t="str">
        <f>HYPERLINK("http://www.ensembl.org/id/WBGene00194868", "WBGene00194868")</f>
        <v>WBGene00194868</v>
      </c>
      <c r="B2498" s="9" t="str">
        <f>HYPERLINK("http://www.ncbi.nlm.nih.gov/gene/13191124", "13191124")</f>
        <v>13191124</v>
      </c>
      <c r="C2498" s="9"/>
      <c r="D2498" t="str">
        <f>"M03C11.9"</f>
        <v>M03C11.9</v>
      </c>
      <c r="F2498" t="s">
        <v>11</v>
      </c>
      <c r="G2498" t="s">
        <v>25</v>
      </c>
      <c r="H2498" s="12">
        <v>-2.0826973964813802</v>
      </c>
      <c r="I2498" s="11">
        <v>-0.29801621006211798</v>
      </c>
      <c r="J2498" s="10">
        <v>0.76569079161662801</v>
      </c>
      <c r="K2498" s="29">
        <v>0.98289565623980701</v>
      </c>
    </row>
    <row r="2499" spans="1:11" x14ac:dyDescent="0.35">
      <c r="A2499" s="9" t="str">
        <f>HYPERLINK("http://www.ensembl.org/id/WBGene00008740", "WBGene00008740")</f>
        <v>WBGene00008740</v>
      </c>
      <c r="B2499" s="9" t="str">
        <f>HYPERLINK("http://www.ncbi.nlm.nih.gov/gene/174799", "174799")</f>
        <v>174799</v>
      </c>
      <c r="C2499" s="9"/>
      <c r="D2499" t="str">
        <f>"F13D12.5"</f>
        <v>F13D12.5</v>
      </c>
      <c r="F2499" t="s">
        <v>11</v>
      </c>
      <c r="G2499" t="s">
        <v>25</v>
      </c>
      <c r="H2499" s="12">
        <v>-2.0808847944539401</v>
      </c>
      <c r="I2499" s="11">
        <v>-3.1320687492363501</v>
      </c>
      <c r="J2499" s="10">
        <v>1.73579224226529E-3</v>
      </c>
      <c r="K2499" s="29">
        <v>5.89811993379145E-2</v>
      </c>
    </row>
    <row r="2500" spans="1:11" x14ac:dyDescent="0.35">
      <c r="A2500" s="9" t="str">
        <f>HYPERLINK("http://www.ensembl.org/id/WBGene00015355", "WBGene00015355")</f>
        <v>WBGene00015355</v>
      </c>
      <c r="B2500" s="9" t="str">
        <f>HYPERLINK("http://www.ncbi.nlm.nih.gov/gene/180656", "180656")</f>
        <v>180656</v>
      </c>
      <c r="C2500" s="9"/>
      <c r="D2500" t="str">
        <f>"C02F12.5"</f>
        <v>C02F12.5</v>
      </c>
      <c r="E2500" t="s">
        <v>991</v>
      </c>
      <c r="F2500" t="s">
        <v>11</v>
      </c>
      <c r="G2500" t="s">
        <v>992</v>
      </c>
      <c r="H2500" s="12">
        <v>-2.0804574583828099</v>
      </c>
      <c r="I2500" s="11">
        <v>-2.5862155100069302</v>
      </c>
      <c r="J2500" s="10">
        <v>9.7036237786662805E-3</v>
      </c>
      <c r="K2500" s="29">
        <v>0.191681987927937</v>
      </c>
    </row>
    <row r="2501" spans="1:11" x14ac:dyDescent="0.35">
      <c r="A2501" s="9" t="str">
        <f>HYPERLINK("http://www.ensembl.org/id/WBGene00195164", "WBGene00195164")</f>
        <v>WBGene00195164</v>
      </c>
      <c r="B2501" s="9" t="str">
        <f>HYPERLINK("http://www.ncbi.nlm.nih.gov/gene/13213180", "13213180")</f>
        <v>13213180</v>
      </c>
      <c r="C2501" s="9"/>
      <c r="D2501" t="str">
        <f>"K12B6.11"</f>
        <v>K12B6.11</v>
      </c>
      <c r="F2501" t="s">
        <v>11</v>
      </c>
      <c r="H2501" s="12">
        <v>-2.0800173468627698</v>
      </c>
      <c r="I2501" s="11">
        <v>-0.229782027516793</v>
      </c>
      <c r="J2501" s="10">
        <v>0.81826115104154196</v>
      </c>
      <c r="K2501" s="29">
        <v>0.98712231796055705</v>
      </c>
    </row>
    <row r="2502" spans="1:11" x14ac:dyDescent="0.35">
      <c r="A2502" s="9" t="str">
        <f>HYPERLINK("http://www.ensembl.org/id/WBGene00022462", "WBGene00022462")</f>
        <v>WBGene00022462</v>
      </c>
      <c r="B2502" s="9" t="str">
        <f>HYPERLINK("http://www.ncbi.nlm.nih.gov/gene/172142", "172142")</f>
        <v>172142</v>
      </c>
      <c r="C2502" s="9"/>
      <c r="D2502" t="str">
        <f>"Y110A7A.15"</f>
        <v>Y110A7A.15</v>
      </c>
      <c r="F2502" t="s">
        <v>11</v>
      </c>
      <c r="H2502" s="12">
        <v>-2.0773839536070202</v>
      </c>
      <c r="I2502" s="11">
        <v>-3.1023011130327598</v>
      </c>
      <c r="J2502" s="10">
        <v>1.9202252969692201E-3</v>
      </c>
      <c r="K2502" s="29">
        <v>6.2845220554915995E-2</v>
      </c>
    </row>
    <row r="2503" spans="1:11" x14ac:dyDescent="0.35">
      <c r="A2503" s="9" t="str">
        <f>HYPERLINK("http://www.ensembl.org/id/WBGene00003422", "WBGene00003422")</f>
        <v>WBGene00003422</v>
      </c>
      <c r="B2503" s="9" t="str">
        <f>HYPERLINK("http://www.ncbi.nlm.nih.gov/gene/171914", "171914")</f>
        <v>171914</v>
      </c>
      <c r="C2503" s="9" t="str">
        <f>HYPERLINK("http://www.ncbi.nlm.nih.gov/gene/2956", "2956")</f>
        <v>2956</v>
      </c>
      <c r="D2503" t="str">
        <f>"msh-6"</f>
        <v>msh-6</v>
      </c>
      <c r="E2503" t="s">
        <v>391</v>
      </c>
      <c r="F2503" t="s">
        <v>11</v>
      </c>
      <c r="G2503" t="s">
        <v>392</v>
      </c>
      <c r="H2503" s="12">
        <v>-2.07732265242793</v>
      </c>
      <c r="I2503" s="11">
        <v>-3.7262612396826098</v>
      </c>
      <c r="J2503" s="10">
        <v>1.94340986140152E-4</v>
      </c>
      <c r="K2503" s="29">
        <v>1.11425380291671E-2</v>
      </c>
    </row>
    <row r="2504" spans="1:11" x14ac:dyDescent="0.35">
      <c r="A2504" s="9" t="str">
        <f>HYPERLINK("http://www.ensembl.org/id/WBGene00022213", "WBGene00022213")</f>
        <v>WBGene00022213</v>
      </c>
      <c r="B2504" s="9" t="str">
        <f>HYPERLINK("http://www.ncbi.nlm.nih.gov/gene/190629", "190629")</f>
        <v>190629</v>
      </c>
      <c r="C2504" s="9"/>
      <c r="D2504" t="str">
        <f>"Y73B3A.11"</f>
        <v>Y73B3A.11</v>
      </c>
      <c r="F2504" t="s">
        <v>11</v>
      </c>
      <c r="H2504" s="12">
        <v>-2.07718170485844</v>
      </c>
      <c r="I2504" s="11">
        <v>-0.31320732647153898</v>
      </c>
      <c r="J2504" s="10">
        <v>0.75412315255094498</v>
      </c>
      <c r="K2504" s="29">
        <v>0.98289565623980701</v>
      </c>
    </row>
    <row r="2505" spans="1:11" x14ac:dyDescent="0.35">
      <c r="A2505" s="9" t="str">
        <f>HYPERLINK("http://www.ensembl.org/id/WBGene00220198", "WBGene00220198")</f>
        <v>WBGene00220198</v>
      </c>
      <c r="B2505" s="9"/>
      <c r="C2505" s="9"/>
      <c r="D2505" t="str">
        <f>"Y71G12B.42"</f>
        <v>Y71G12B.42</v>
      </c>
      <c r="F2505" t="s">
        <v>481</v>
      </c>
      <c r="H2505" s="12">
        <v>-2.0763715540978702</v>
      </c>
      <c r="I2505" s="11">
        <v>-2.4256482039698799</v>
      </c>
      <c r="J2505" s="10">
        <v>1.5281075042010201E-2</v>
      </c>
      <c r="K2505" s="29">
        <v>0.25678874176050098</v>
      </c>
    </row>
    <row r="2506" spans="1:11" x14ac:dyDescent="0.35">
      <c r="A2506" s="9" t="str">
        <f>HYPERLINK("http://www.ensembl.org/id/WBGene00022035", "WBGene00022035")</f>
        <v>WBGene00022035</v>
      </c>
      <c r="B2506" s="9" t="str">
        <f>HYPERLINK("http://www.ncbi.nlm.nih.gov/gene/171640", "171640")</f>
        <v>171640</v>
      </c>
      <c r="C2506" s="9"/>
      <c r="D2506" t="str">
        <f>"Y65B4BL.3"</f>
        <v>Y65B4BL.3</v>
      </c>
      <c r="F2506" t="s">
        <v>11</v>
      </c>
      <c r="G2506" t="s">
        <v>25</v>
      </c>
      <c r="H2506" s="12">
        <v>-2.07450964708835</v>
      </c>
      <c r="I2506" s="11">
        <v>-2.2880447782209101</v>
      </c>
      <c r="J2506" s="10">
        <v>2.2134913578873601E-2</v>
      </c>
      <c r="K2506" s="29">
        <v>0.32093223106864399</v>
      </c>
    </row>
    <row r="2507" spans="1:11" x14ac:dyDescent="0.35">
      <c r="A2507" s="9" t="str">
        <f>HYPERLINK("http://www.ensembl.org/id/WBGene00021042", "WBGene00021042")</f>
        <v>WBGene00021042</v>
      </c>
      <c r="B2507" s="9" t="str">
        <f>HYPERLINK("http://www.ncbi.nlm.nih.gov/gene/189221", "189221")</f>
        <v>189221</v>
      </c>
      <c r="C2507" s="9"/>
      <c r="D2507" t="str">
        <f>"btb-5"</f>
        <v>btb-5</v>
      </c>
      <c r="E2507" t="s">
        <v>468</v>
      </c>
      <c r="F2507" t="s">
        <v>11</v>
      </c>
      <c r="G2507" t="s">
        <v>54</v>
      </c>
      <c r="H2507" s="12">
        <v>-2.0720252211781198</v>
      </c>
      <c r="I2507" s="11">
        <v>-1.04776084736883</v>
      </c>
      <c r="J2507" s="10">
        <v>0.29474880545267201</v>
      </c>
      <c r="K2507" s="29">
        <v>0.98289565623980701</v>
      </c>
    </row>
    <row r="2508" spans="1:11" x14ac:dyDescent="0.35">
      <c r="A2508" s="9" t="str">
        <f>HYPERLINK("http://www.ensembl.org/id/WBGene00015816", "WBGene00015816")</f>
        <v>WBGene00015816</v>
      </c>
      <c r="B2508" s="9" t="str">
        <f>HYPERLINK("http://www.ncbi.nlm.nih.gov/gene/173756", "173756")</f>
        <v>173756</v>
      </c>
      <c r="C2508" s="9"/>
      <c r="D2508" t="str">
        <f>"C16A11.3"</f>
        <v>C16A11.3</v>
      </c>
      <c r="F2508" t="s">
        <v>11</v>
      </c>
      <c r="G2508" t="s">
        <v>619</v>
      </c>
      <c r="H2508" s="12">
        <v>-2.0707837982142698</v>
      </c>
      <c r="I2508" s="11">
        <v>-1.7727955497336501</v>
      </c>
      <c r="J2508" s="10">
        <v>7.6262591115531297E-2</v>
      </c>
      <c r="K2508" s="29">
        <v>0.64999019930485702</v>
      </c>
    </row>
    <row r="2509" spans="1:11" x14ac:dyDescent="0.35">
      <c r="A2509" s="9" t="str">
        <f>HYPERLINK("http://www.ensembl.org/id/WBGene00001571", "WBGene00001571")</f>
        <v>WBGene00001571</v>
      </c>
      <c r="B2509" s="9" t="str">
        <f>HYPERLINK("http://www.ncbi.nlm.nih.gov/gene/174328", "174328")</f>
        <v>174328</v>
      </c>
      <c r="C2509" s="9"/>
      <c r="D2509" t="str">
        <f>"gei-14"</f>
        <v>gei-14</v>
      </c>
      <c r="E2509" t="s">
        <v>510</v>
      </c>
      <c r="F2509" t="s">
        <v>11</v>
      </c>
      <c r="H2509" s="12">
        <v>-2.0694045777000398</v>
      </c>
      <c r="I2509" s="11">
        <v>-3.30946004731969</v>
      </c>
      <c r="J2509" s="10">
        <v>9.3476105766920697E-4</v>
      </c>
      <c r="K2509" s="29">
        <v>3.7047322467418001E-2</v>
      </c>
    </row>
    <row r="2510" spans="1:11" x14ac:dyDescent="0.35">
      <c r="A2510" s="9" t="str">
        <f>HYPERLINK("http://www.ensembl.org/id/WBGene00021649", "WBGene00021649")</f>
        <v>WBGene00021649</v>
      </c>
      <c r="B2510" s="9" t="str">
        <f>HYPERLINK("http://www.ncbi.nlm.nih.gov/gene/171928", "171928")</f>
        <v>171928</v>
      </c>
      <c r="C2510" s="9"/>
      <c r="D2510" t="str">
        <f>"Y47G6A.25"</f>
        <v>Y47G6A.25</v>
      </c>
      <c r="F2510" t="s">
        <v>11</v>
      </c>
      <c r="H2510" s="12">
        <v>-2.0685987843868001</v>
      </c>
      <c r="I2510" s="11">
        <v>-2.78777020028306</v>
      </c>
      <c r="J2510" s="10">
        <v>5.3072175634287797E-3</v>
      </c>
      <c r="K2510" s="29">
        <v>0.12629100826012901</v>
      </c>
    </row>
    <row r="2511" spans="1:11" x14ac:dyDescent="0.35">
      <c r="A2511" s="9" t="str">
        <f>HYPERLINK("http://www.ensembl.org/id/WBGene00017332", "WBGene00017332")</f>
        <v>WBGene00017332</v>
      </c>
      <c r="B2511" s="9" t="str">
        <f>HYPERLINK("http://www.ncbi.nlm.nih.gov/gene/184293", "184293")</f>
        <v>184293</v>
      </c>
      <c r="C2511" s="9"/>
      <c r="D2511" t="str">
        <f>"ugt-37"</f>
        <v>ugt-37</v>
      </c>
      <c r="E2511" t="s">
        <v>103</v>
      </c>
      <c r="F2511" t="s">
        <v>11</v>
      </c>
      <c r="G2511" t="s">
        <v>104</v>
      </c>
      <c r="H2511" s="12">
        <v>-2.0677652696506499</v>
      </c>
      <c r="I2511" s="11">
        <v>-1.7530989116831299</v>
      </c>
      <c r="J2511" s="10">
        <v>7.9585030330100601E-2</v>
      </c>
      <c r="K2511" s="29">
        <v>0.66433949089859201</v>
      </c>
    </row>
    <row r="2512" spans="1:11" x14ac:dyDescent="0.35">
      <c r="A2512" s="9" t="str">
        <f>HYPERLINK("http://www.ensembl.org/id/WBGene00015252", "WBGene00015252")</f>
        <v>WBGene00015252</v>
      </c>
      <c r="B2512" s="9" t="str">
        <f>HYPERLINK("http://www.ncbi.nlm.nih.gov/gene/182031", "182031")</f>
        <v>182031</v>
      </c>
      <c r="C2512" s="9"/>
      <c r="D2512" t="str">
        <f>"B0546.5"</f>
        <v>B0546.5</v>
      </c>
      <c r="F2512" t="s">
        <v>11</v>
      </c>
      <c r="G2512" t="s">
        <v>25</v>
      </c>
      <c r="H2512" s="12">
        <v>-2.06772863653257</v>
      </c>
      <c r="I2512" s="11">
        <v>-0.29103030812764402</v>
      </c>
      <c r="J2512" s="10">
        <v>0.77102813974298501</v>
      </c>
      <c r="K2512" s="29">
        <v>0.98289565623980701</v>
      </c>
    </row>
    <row r="2513" spans="1:11" x14ac:dyDescent="0.35">
      <c r="A2513" s="9" t="str">
        <f>HYPERLINK("http://www.ensembl.org/id/WBGene00009646", "WBGene00009646")</f>
        <v>WBGene00009646</v>
      </c>
      <c r="B2513" s="9" t="str">
        <f>HYPERLINK("http://www.ncbi.nlm.nih.gov/gene/185688", "185688")</f>
        <v>185688</v>
      </c>
      <c r="C2513" s="9"/>
      <c r="D2513" t="str">
        <f>"F42H11.1"</f>
        <v>F42H11.1</v>
      </c>
      <c r="F2513" t="s">
        <v>11</v>
      </c>
      <c r="G2513" t="s">
        <v>25</v>
      </c>
      <c r="H2513" s="12">
        <v>-2.06772863653257</v>
      </c>
      <c r="I2513" s="11">
        <v>-0.29103030812764402</v>
      </c>
      <c r="J2513" s="10">
        <v>0.77102813974298501</v>
      </c>
      <c r="K2513" s="29">
        <v>0.98289565623980701</v>
      </c>
    </row>
    <row r="2514" spans="1:11" x14ac:dyDescent="0.35">
      <c r="A2514" s="9" t="str">
        <f>HYPERLINK("http://www.ensembl.org/id/WBGene00007446", "WBGene00007446")</f>
        <v>WBGene00007446</v>
      </c>
      <c r="B2514" s="9" t="str">
        <f>HYPERLINK("http://www.ncbi.nlm.nih.gov/gene/182414", "182414")</f>
        <v>182414</v>
      </c>
      <c r="C2514" s="9" t="str">
        <f>HYPERLINK("http://www.ncbi.nlm.nih.gov/gene/129642", "129642")</f>
        <v>129642</v>
      </c>
      <c r="D2514" t="str">
        <f>"mboa-4"</f>
        <v>mboa-4</v>
      </c>
      <c r="E2514" t="s">
        <v>10037</v>
      </c>
      <c r="F2514" t="s">
        <v>11</v>
      </c>
      <c r="G2514" t="s">
        <v>8102</v>
      </c>
      <c r="H2514" s="12">
        <v>-2.0668202416619099</v>
      </c>
      <c r="I2514" s="11">
        <v>-0.72027831224069605</v>
      </c>
      <c r="J2514" s="10">
        <v>0.47135365518008798</v>
      </c>
      <c r="K2514" s="29">
        <v>0.98289565623980701</v>
      </c>
    </row>
    <row r="2515" spans="1:11" x14ac:dyDescent="0.35">
      <c r="A2515" s="9" t="str">
        <f>HYPERLINK("http://www.ensembl.org/id/WBGene00017364", "WBGene00017364")</f>
        <v>WBGene00017364</v>
      </c>
      <c r="B2515" s="9" t="str">
        <f>HYPERLINK("http://www.ncbi.nlm.nih.gov/gene/184314", "184314")</f>
        <v>184314</v>
      </c>
      <c r="C2515" s="9"/>
      <c r="D2515" t="str">
        <f>"clec-7"</f>
        <v>clec-7</v>
      </c>
      <c r="E2515" t="s">
        <v>46</v>
      </c>
      <c r="F2515" t="s">
        <v>11</v>
      </c>
      <c r="G2515" t="s">
        <v>151</v>
      </c>
      <c r="H2515" s="12">
        <v>-2.06625640387277</v>
      </c>
      <c r="I2515" s="11">
        <v>-2.6052307685921599</v>
      </c>
      <c r="J2515" s="10">
        <v>9.1812398568641897E-3</v>
      </c>
      <c r="K2515" s="29">
        <v>0.18592614209702399</v>
      </c>
    </row>
    <row r="2516" spans="1:11" x14ac:dyDescent="0.35">
      <c r="A2516" s="9" t="str">
        <f>HYPERLINK("http://www.ensembl.org/id/WBGene00005483", "WBGene00005483")</f>
        <v>WBGene00005483</v>
      </c>
      <c r="B2516" s="9"/>
      <c r="C2516" s="9"/>
      <c r="D2516" t="str">
        <f>"srh-278"</f>
        <v>srh-278</v>
      </c>
      <c r="F2516" t="s">
        <v>80</v>
      </c>
      <c r="H2516" s="12">
        <v>-2.06603164026088</v>
      </c>
      <c r="I2516" s="11">
        <v>-0.59136917990520399</v>
      </c>
      <c r="J2516" s="10">
        <v>0.55427308610144399</v>
      </c>
      <c r="K2516" s="29">
        <v>0.98289565623980701</v>
      </c>
    </row>
    <row r="2517" spans="1:11" x14ac:dyDescent="0.35">
      <c r="A2517" s="9" t="str">
        <f>HYPERLINK("http://www.ensembl.org/id/WBGene00194856", "WBGene00194856")</f>
        <v>WBGene00194856</v>
      </c>
      <c r="B2517" s="9"/>
      <c r="C2517" s="9"/>
      <c r="D2517" t="str">
        <f>"K11D9.5"</f>
        <v>K11D9.5</v>
      </c>
      <c r="F2517" t="s">
        <v>2735</v>
      </c>
      <c r="H2517" s="12">
        <v>-2.0651991937870902</v>
      </c>
      <c r="I2517" s="11">
        <v>-1.3425844677743799</v>
      </c>
      <c r="J2517" s="10">
        <v>0.17940656252831499</v>
      </c>
      <c r="K2517" s="29">
        <v>0.91370245892174595</v>
      </c>
    </row>
    <row r="2518" spans="1:11" x14ac:dyDescent="0.35">
      <c r="A2518" s="9" t="str">
        <f>HYPERLINK("http://www.ensembl.org/id/WBGene00011076", "WBGene00011076")</f>
        <v>WBGene00011076</v>
      </c>
      <c r="B2518" s="9" t="str">
        <f>HYPERLINK("http://www.ncbi.nlm.nih.gov/gene/181200", "181200")</f>
        <v>181200</v>
      </c>
      <c r="C2518" s="9"/>
      <c r="D2518" t="str">
        <f>"scav-5"</f>
        <v>scav-5</v>
      </c>
      <c r="E2518" t="s">
        <v>828</v>
      </c>
      <c r="F2518" t="s">
        <v>11</v>
      </c>
      <c r="G2518" t="s">
        <v>829</v>
      </c>
      <c r="H2518" s="12">
        <v>-2.0646726237445101</v>
      </c>
      <c r="I2518" s="11">
        <v>-1.42158044221887</v>
      </c>
      <c r="J2518" s="10">
        <v>0.155148085762399</v>
      </c>
      <c r="K2518" s="29">
        <v>0.86361158025198603</v>
      </c>
    </row>
    <row r="2519" spans="1:11" x14ac:dyDescent="0.35">
      <c r="A2519" s="9" t="str">
        <f>HYPERLINK("http://www.ensembl.org/id/WBGene00021153", "WBGene00021153")</f>
        <v>WBGene00021153</v>
      </c>
      <c r="B2519" s="9" t="str">
        <f>HYPERLINK("http://www.ncbi.nlm.nih.gov/gene/189354", "189354")</f>
        <v>189354</v>
      </c>
      <c r="C2519" s="9"/>
      <c r="D2519" t="str">
        <f>"Y4C6A.3"</f>
        <v>Y4C6A.3</v>
      </c>
      <c r="F2519" t="s">
        <v>11</v>
      </c>
      <c r="G2519" t="s">
        <v>583</v>
      </c>
      <c r="H2519" s="12">
        <v>-2.0637789775258302</v>
      </c>
      <c r="I2519" s="11">
        <v>-3.1483289608399101</v>
      </c>
      <c r="J2519" s="10">
        <v>1.64206787316175E-3</v>
      </c>
      <c r="K2519" s="29">
        <v>5.6969399815728898E-2</v>
      </c>
    </row>
    <row r="2520" spans="1:11" x14ac:dyDescent="0.35">
      <c r="A2520" s="9" t="str">
        <f>HYPERLINK("http://www.ensembl.org/id/WBGene00000250", "WBGene00000250")</f>
        <v>WBGene00000250</v>
      </c>
      <c r="B2520" s="9" t="str">
        <f>HYPERLINK("http://www.ncbi.nlm.nih.gov/gene/179841", "179841")</f>
        <v>179841</v>
      </c>
      <c r="C2520" s="9"/>
      <c r="D2520" t="str">
        <f>"bir-2"</f>
        <v>bir-2</v>
      </c>
      <c r="E2520" t="s">
        <v>725</v>
      </c>
      <c r="F2520" t="s">
        <v>11</v>
      </c>
      <c r="H2520" s="12">
        <v>-2.0636000508846601</v>
      </c>
      <c r="I2520" s="11">
        <v>-2.9460852292695101</v>
      </c>
      <c r="J2520" s="10">
        <v>3.2182371078053299E-3</v>
      </c>
      <c r="K2520" s="29">
        <v>8.9699139460735794E-2</v>
      </c>
    </row>
    <row r="2521" spans="1:11" x14ac:dyDescent="0.35">
      <c r="A2521" s="9" t="str">
        <f>HYPERLINK("http://www.ensembl.org/id/WBGene00019683", "WBGene00019683")</f>
        <v>WBGene00019683</v>
      </c>
      <c r="B2521" s="9" t="str">
        <f>HYPERLINK("http://www.ncbi.nlm.nih.gov/gene/187341", "187341")</f>
        <v>187341</v>
      </c>
      <c r="C2521" s="9"/>
      <c r="D2521" t="str">
        <f>"K12H6.2"</f>
        <v>K12H6.2</v>
      </c>
      <c r="F2521" t="s">
        <v>11</v>
      </c>
      <c r="G2521" t="s">
        <v>25</v>
      </c>
      <c r="H2521" s="12">
        <v>-2.0635637981013399</v>
      </c>
      <c r="I2521" s="11">
        <v>-1.65813112564865</v>
      </c>
      <c r="J2521" s="10">
        <v>9.7291002672176802E-2</v>
      </c>
      <c r="K2521" s="29">
        <v>0.72080353193839697</v>
      </c>
    </row>
    <row r="2522" spans="1:11" x14ac:dyDescent="0.35">
      <c r="A2522" s="9" t="str">
        <f>HYPERLINK("http://www.ensembl.org/id/WBGene00016302", "WBGene00016302")</f>
        <v>WBGene00016302</v>
      </c>
      <c r="B2522" s="9" t="str">
        <f>HYPERLINK("http://www.ncbi.nlm.nih.gov/gene/183113", "183113")</f>
        <v>183113</v>
      </c>
      <c r="C2522" s="9"/>
      <c r="D2522" t="str">
        <f>"fbxc-7"</f>
        <v>fbxc-7</v>
      </c>
      <c r="E2522" t="s">
        <v>311</v>
      </c>
      <c r="F2522" t="s">
        <v>11</v>
      </c>
      <c r="H2522" s="12">
        <v>-2.0624348108277699</v>
      </c>
      <c r="I2522" s="11">
        <v>-1.0057322335074801</v>
      </c>
      <c r="J2522" s="10">
        <v>0.31454439322487598</v>
      </c>
      <c r="K2522" s="29">
        <v>0.98289565623980701</v>
      </c>
    </row>
    <row r="2523" spans="1:11" x14ac:dyDescent="0.35">
      <c r="A2523" s="9" t="str">
        <f>HYPERLINK("http://www.ensembl.org/id/WBGene00195070", "WBGene00195070")</f>
        <v>WBGene00195070</v>
      </c>
      <c r="B2523" s="9" t="str">
        <f>HYPERLINK("http://www.ncbi.nlm.nih.gov/gene/13184345", "13184345")</f>
        <v>13184345</v>
      </c>
      <c r="C2523" s="9"/>
      <c r="D2523" t="str">
        <f>"C16C8.20"</f>
        <v>C16C8.20</v>
      </c>
      <c r="F2523" t="s">
        <v>11</v>
      </c>
      <c r="G2523" t="s">
        <v>54</v>
      </c>
      <c r="H2523" s="12">
        <v>-2.0616415027033401</v>
      </c>
      <c r="I2523" s="11">
        <v>-1.03277149286704</v>
      </c>
      <c r="J2523" s="10">
        <v>0.30171084739134302</v>
      </c>
      <c r="K2523" s="29">
        <v>0.98289565623980701</v>
      </c>
    </row>
    <row r="2524" spans="1:11" x14ac:dyDescent="0.35">
      <c r="A2524" s="9" t="str">
        <f>HYPERLINK("http://www.ensembl.org/id/WBGene00004985", "WBGene00004985")</f>
        <v>WBGene00004985</v>
      </c>
      <c r="B2524" s="9" t="str">
        <f>HYPERLINK("http://www.ncbi.nlm.nih.gov/gene/191771", "191771")</f>
        <v>191771</v>
      </c>
      <c r="C2524" s="9"/>
      <c r="D2524" t="str">
        <f>"spo-11"</f>
        <v>spo-11</v>
      </c>
      <c r="E2524" t="s">
        <v>752</v>
      </c>
      <c r="F2524" t="s">
        <v>11</v>
      </c>
      <c r="G2524" t="s">
        <v>753</v>
      </c>
      <c r="H2524" s="12">
        <v>-2.0597434858283501</v>
      </c>
      <c r="I2524" s="11">
        <v>-2.8944039551248699</v>
      </c>
      <c r="J2524" s="10">
        <v>3.7987910447697601E-3</v>
      </c>
      <c r="K2524" s="29">
        <v>0.10112311737379</v>
      </c>
    </row>
    <row r="2525" spans="1:11" x14ac:dyDescent="0.35">
      <c r="A2525" s="9" t="str">
        <f>HYPERLINK("http://www.ensembl.org/id/WBGene00017450", "WBGene00017450")</f>
        <v>WBGene00017450</v>
      </c>
      <c r="B2525" s="9" t="str">
        <f>HYPERLINK("http://www.ncbi.nlm.nih.gov/gene/173679", "173679")</f>
        <v>173679</v>
      </c>
      <c r="C2525" s="9"/>
      <c r="D2525" t="str">
        <f>"bath-27"</f>
        <v>bath-27</v>
      </c>
      <c r="E2525" t="s">
        <v>179</v>
      </c>
      <c r="F2525" t="s">
        <v>11</v>
      </c>
      <c r="G2525" t="s">
        <v>54</v>
      </c>
      <c r="H2525" s="12">
        <v>-2.0594560074946</v>
      </c>
      <c r="I2525" s="11">
        <v>-2.26241547192922</v>
      </c>
      <c r="J2525" s="10">
        <v>2.3671745902816701E-2</v>
      </c>
      <c r="K2525" s="29">
        <v>0.33452410635344598</v>
      </c>
    </row>
    <row r="2526" spans="1:11" x14ac:dyDescent="0.35">
      <c r="A2526" s="9" t="str">
        <f>HYPERLINK("http://www.ensembl.org/id/WBGene00008387", "WBGene00008387")</f>
        <v>WBGene00008387</v>
      </c>
      <c r="B2526" s="9" t="str">
        <f>HYPERLINK("http://www.ncbi.nlm.nih.gov/gene/172637", "172637")</f>
        <v>172637</v>
      </c>
      <c r="C2526" s="9"/>
      <c r="D2526" t="str">
        <f>"zhp-2"</f>
        <v>zhp-2</v>
      </c>
      <c r="E2526" t="s">
        <v>502</v>
      </c>
      <c r="F2526" t="s">
        <v>11</v>
      </c>
      <c r="G2526" t="s">
        <v>503</v>
      </c>
      <c r="H2526" s="12">
        <v>-2.0590038034347198</v>
      </c>
      <c r="I2526" s="11">
        <v>-2.58371529010505</v>
      </c>
      <c r="J2526" s="10">
        <v>9.7742443185450008E-3</v>
      </c>
      <c r="K2526" s="29">
        <v>0.19286395322314301</v>
      </c>
    </row>
    <row r="2527" spans="1:11" x14ac:dyDescent="0.35">
      <c r="A2527" s="9" t="str">
        <f>HYPERLINK("http://www.ensembl.org/id/WBGene00011988", "WBGene00011988")</f>
        <v>WBGene00011988</v>
      </c>
      <c r="B2527" s="9" t="str">
        <f>HYPERLINK("http://www.ncbi.nlm.nih.gov/gene/172853", "172853")</f>
        <v>172853</v>
      </c>
      <c r="C2527" s="9"/>
      <c r="D2527" t="str">
        <f>"har-2"</f>
        <v>har-2</v>
      </c>
      <c r="F2527" t="s">
        <v>11</v>
      </c>
      <c r="G2527" t="s">
        <v>51</v>
      </c>
      <c r="H2527" s="12">
        <v>-2.0588973830899402</v>
      </c>
      <c r="I2527" s="11">
        <v>-3.2354940850959002</v>
      </c>
      <c r="J2527" s="10">
        <v>1.21432401350002E-3</v>
      </c>
      <c r="K2527" s="29">
        <v>4.5328223999889297E-2</v>
      </c>
    </row>
    <row r="2528" spans="1:11" x14ac:dyDescent="0.35">
      <c r="A2528" s="9" t="str">
        <f>HYPERLINK("http://www.ensembl.org/id/WBGene00012699", "WBGene00012699")</f>
        <v>WBGene00012699</v>
      </c>
      <c r="B2528" s="9" t="str">
        <f>HYPERLINK("http://www.ncbi.nlm.nih.gov/gene/189732", "189732")</f>
        <v>189732</v>
      </c>
      <c r="C2528" s="9"/>
      <c r="D2528" t="str">
        <f>"Y39B6A.41"</f>
        <v>Y39B6A.41</v>
      </c>
      <c r="F2528" t="s">
        <v>11</v>
      </c>
      <c r="G2528" t="s">
        <v>230</v>
      </c>
      <c r="H2528" s="12">
        <v>-2.0564469321795902</v>
      </c>
      <c r="I2528" s="11">
        <v>-0.848073903082188</v>
      </c>
      <c r="J2528" s="10">
        <v>0.39639681431551899</v>
      </c>
      <c r="K2528" s="29">
        <v>0.98289565623980701</v>
      </c>
    </row>
    <row r="2529" spans="1:11" x14ac:dyDescent="0.35">
      <c r="A2529" s="9" t="str">
        <f>HYPERLINK("http://www.ensembl.org/id/WBGene00004043", "WBGene00004043")</f>
        <v>WBGene00004043</v>
      </c>
      <c r="B2529" s="9" t="str">
        <f>HYPERLINK("http://www.ncbi.nlm.nih.gov/gene/171838", "171838")</f>
        <v>171838</v>
      </c>
      <c r="C2529" s="9" t="str">
        <f>HYPERLINK("http://www.ncbi.nlm.nih.gov/gene/5347", "5347")</f>
        <v>5347</v>
      </c>
      <c r="D2529" t="str">
        <f>"plk-2"</f>
        <v>plk-2</v>
      </c>
      <c r="E2529" t="s">
        <v>478</v>
      </c>
      <c r="F2529" t="s">
        <v>11</v>
      </c>
      <c r="G2529" t="s">
        <v>86</v>
      </c>
      <c r="H2529" s="12">
        <v>-2.05566690236535</v>
      </c>
      <c r="I2529" s="11">
        <v>-3.4397886491443401</v>
      </c>
      <c r="J2529" s="10">
        <v>5.8216861801457201E-4</v>
      </c>
      <c r="K2529" s="29">
        <v>2.5622072548275601E-2</v>
      </c>
    </row>
    <row r="2530" spans="1:11" x14ac:dyDescent="0.35">
      <c r="A2530" s="9" t="str">
        <f>HYPERLINK("http://www.ensembl.org/id/WBGene00010790", "WBGene00010790")</f>
        <v>WBGene00010790</v>
      </c>
      <c r="B2530" s="9" t="str">
        <f>HYPERLINK("http://www.ncbi.nlm.nih.gov/gene/179627", "179627")</f>
        <v>179627</v>
      </c>
      <c r="C2530" s="9"/>
      <c r="D2530" t="str">
        <f>"sodh-1"</f>
        <v>sodh-1</v>
      </c>
      <c r="E2530" t="s">
        <v>607</v>
      </c>
      <c r="F2530" t="s">
        <v>11</v>
      </c>
      <c r="G2530" t="s">
        <v>608</v>
      </c>
      <c r="H2530" s="12">
        <v>-2.05555856917946</v>
      </c>
      <c r="I2530" s="11">
        <v>-3.1124289576789499</v>
      </c>
      <c r="J2530" s="10">
        <v>1.8555466759670001E-3</v>
      </c>
      <c r="K2530" s="29">
        <v>6.1317802256037203E-2</v>
      </c>
    </row>
    <row r="2531" spans="1:11" x14ac:dyDescent="0.35">
      <c r="A2531" s="9" t="str">
        <f>HYPERLINK("http://www.ensembl.org/id/WBGene00022181", "WBGene00022181")</f>
        <v>WBGene00022181</v>
      </c>
      <c r="B2531" s="9" t="str">
        <f>HYPERLINK("http://www.ncbi.nlm.nih.gov/gene/190610", "190610")</f>
        <v>190610</v>
      </c>
      <c r="C2531" s="9" t="str">
        <f>HYPERLINK("http://www.ncbi.nlm.nih.gov/gene/55", "55")</f>
        <v>55</v>
      </c>
      <c r="D2531" t="str">
        <f>"pho-9"</f>
        <v>pho-9</v>
      </c>
      <c r="E2531" t="s">
        <v>501</v>
      </c>
      <c r="F2531" t="s">
        <v>11</v>
      </c>
      <c r="G2531" t="s">
        <v>37</v>
      </c>
      <c r="H2531" s="12">
        <v>-2.0554045215176102</v>
      </c>
      <c r="I2531" s="11">
        <v>-2.6705688835011001</v>
      </c>
      <c r="J2531" s="10">
        <v>7.5722832880072803E-3</v>
      </c>
      <c r="K2531" s="29">
        <v>0.16096152497948099</v>
      </c>
    </row>
    <row r="2532" spans="1:11" x14ac:dyDescent="0.35">
      <c r="A2532" s="9" t="str">
        <f>HYPERLINK("http://www.ensembl.org/id/WBGene00014760", "WBGene00014760")</f>
        <v>WBGene00014760</v>
      </c>
      <c r="B2532" s="9"/>
      <c r="C2532" s="9"/>
      <c r="D2532" t="str">
        <f>"F46A8.2"</f>
        <v>F46A8.2</v>
      </c>
      <c r="F2532" t="s">
        <v>80</v>
      </c>
      <c r="H2532" s="12">
        <v>-2.0549202736026602</v>
      </c>
      <c r="I2532" s="11">
        <v>-1.7316493703250899</v>
      </c>
      <c r="J2532" s="10">
        <v>8.3336010233312996E-2</v>
      </c>
      <c r="K2532" s="29">
        <v>0.67921072350912004</v>
      </c>
    </row>
    <row r="2533" spans="1:11" x14ac:dyDescent="0.35">
      <c r="A2533" s="9" t="str">
        <f>HYPERLINK("http://www.ensembl.org/id/WBGene00000885", "WBGene00000885")</f>
        <v>WBGene00000885</v>
      </c>
      <c r="B2533" s="9" t="str">
        <f>HYPERLINK("http://www.ncbi.nlm.nih.gov/gene/175471", "175471")</f>
        <v>175471</v>
      </c>
      <c r="C2533" s="9"/>
      <c r="D2533" t="str">
        <f>"cyn-9"</f>
        <v>cyn-9</v>
      </c>
      <c r="E2533" t="s">
        <v>771</v>
      </c>
      <c r="F2533" t="s">
        <v>11</v>
      </c>
      <c r="G2533" t="s">
        <v>772</v>
      </c>
      <c r="H2533" s="12">
        <v>-2.0545444435356801</v>
      </c>
      <c r="I2533" s="11">
        <v>-2.8701413401529399</v>
      </c>
      <c r="J2533" s="10">
        <v>4.1028835755848696E-3</v>
      </c>
      <c r="K2533" s="29">
        <v>0.10699912855244301</v>
      </c>
    </row>
    <row r="2534" spans="1:11" x14ac:dyDescent="0.35">
      <c r="A2534" s="9" t="str">
        <f>HYPERLINK("http://www.ensembl.org/id/WBGene00005657", "WBGene00005657")</f>
        <v>WBGene00005657</v>
      </c>
      <c r="B2534" s="9" t="str">
        <f>HYPERLINK("http://www.ncbi.nlm.nih.gov/gene/182569", "182569")</f>
        <v>182569</v>
      </c>
      <c r="C2534" s="9"/>
      <c r="D2534" t="str">
        <f>"srr-6"</f>
        <v>srr-6</v>
      </c>
      <c r="E2534" t="s">
        <v>755</v>
      </c>
      <c r="F2534" t="s">
        <v>11</v>
      </c>
      <c r="G2534" t="s">
        <v>25</v>
      </c>
      <c r="H2534" s="12">
        <v>-2.0539971950038098</v>
      </c>
      <c r="I2534" s="11">
        <v>-2.5740472283059899</v>
      </c>
      <c r="J2534" s="10">
        <v>1.0051655138973299E-2</v>
      </c>
      <c r="K2534" s="29">
        <v>0.19616008753472799</v>
      </c>
    </row>
    <row r="2535" spans="1:11" x14ac:dyDescent="0.35">
      <c r="A2535" s="9" t="str">
        <f>HYPERLINK("http://www.ensembl.org/id/WBGene00044225", "WBGene00044225")</f>
        <v>WBGene00044225</v>
      </c>
      <c r="B2535" s="9" t="str">
        <f>HYPERLINK("http://www.ncbi.nlm.nih.gov/gene/13189342", "13189342")</f>
        <v>13189342</v>
      </c>
      <c r="C2535" s="9"/>
      <c r="D2535" t="str">
        <f>"C38D4.10"</f>
        <v>C38D4.10</v>
      </c>
      <c r="F2535" t="s">
        <v>11</v>
      </c>
      <c r="G2535" t="s">
        <v>967</v>
      </c>
      <c r="H2535" s="12">
        <v>-2.0529302594524199</v>
      </c>
      <c r="I2535" s="11">
        <v>-0.30640916691298697</v>
      </c>
      <c r="J2535" s="10">
        <v>0.75929312962499995</v>
      </c>
      <c r="K2535" s="29">
        <v>0.98289565623980701</v>
      </c>
    </row>
    <row r="2536" spans="1:11" x14ac:dyDescent="0.35">
      <c r="A2536" s="9" t="str">
        <f>HYPERLINK("http://www.ensembl.org/id/WBGene00197454", "WBGene00197454")</f>
        <v>WBGene00197454</v>
      </c>
      <c r="B2536" s="9"/>
      <c r="C2536" s="9"/>
      <c r="D2536" t="str">
        <f>"T04H1.11"</f>
        <v>T04H1.11</v>
      </c>
      <c r="F2536" t="s">
        <v>481</v>
      </c>
      <c r="H2536" s="12">
        <v>-2.0529302594524199</v>
      </c>
      <c r="I2536" s="11">
        <v>-0.30640916691298697</v>
      </c>
      <c r="J2536" s="10">
        <v>0.75929312962499995</v>
      </c>
      <c r="K2536" s="29">
        <v>0.98289565623980701</v>
      </c>
    </row>
    <row r="2537" spans="1:11" x14ac:dyDescent="0.35">
      <c r="A2537" s="9" t="str">
        <f>HYPERLINK("http://www.ensembl.org/id/WBGene00001963", "WBGene00001963")</f>
        <v>WBGene00001963</v>
      </c>
      <c r="B2537" s="9"/>
      <c r="C2537" s="9"/>
      <c r="D2537" t="str">
        <f>"btb-1"</f>
        <v>btb-1</v>
      </c>
      <c r="F2537" t="s">
        <v>80</v>
      </c>
      <c r="H2537" s="12">
        <v>-2.0518627537662999</v>
      </c>
      <c r="I2537" s="11">
        <v>-0.78577058125795396</v>
      </c>
      <c r="J2537" s="10">
        <v>0.43200190451364101</v>
      </c>
      <c r="K2537" s="29">
        <v>0.98289565623980701</v>
      </c>
    </row>
    <row r="2538" spans="1:11" x14ac:dyDescent="0.35">
      <c r="A2538" s="9" t="str">
        <f>HYPERLINK("http://www.ensembl.org/id/WBGene00014944", "WBGene00014944")</f>
        <v>WBGene00014944</v>
      </c>
      <c r="B2538" s="9"/>
      <c r="C2538" s="9"/>
      <c r="D2538" t="str">
        <f>"Y68A4A.12"</f>
        <v>Y68A4A.12</v>
      </c>
      <c r="F2538" t="s">
        <v>80</v>
      </c>
      <c r="H2538" s="12">
        <v>-2.05158175806937</v>
      </c>
      <c r="I2538" s="11">
        <v>-1.2449374146346901</v>
      </c>
      <c r="J2538" s="10">
        <v>0.213154756500365</v>
      </c>
      <c r="K2538" s="29">
        <v>0.96552711305576</v>
      </c>
    </row>
    <row r="2539" spans="1:11" x14ac:dyDescent="0.35">
      <c r="A2539" s="9" t="str">
        <f>HYPERLINK("http://www.ensembl.org/id/WBGene00009572", "WBGene00009572")</f>
        <v>WBGene00009572</v>
      </c>
      <c r="B2539" s="9" t="str">
        <f>HYPERLINK("http://www.ncbi.nlm.nih.gov/gene/185531", "185531")</f>
        <v>185531</v>
      </c>
      <c r="C2539" s="9"/>
      <c r="D2539" t="str">
        <f>"F40D4.13"</f>
        <v>F40D4.13</v>
      </c>
      <c r="F2539" t="s">
        <v>11</v>
      </c>
      <c r="H2539" s="12">
        <v>-2.0511951306155898</v>
      </c>
      <c r="I2539" s="11">
        <v>-0.448620423085131</v>
      </c>
      <c r="J2539" s="10">
        <v>0.653705498448239</v>
      </c>
      <c r="K2539" s="29">
        <v>0.98289565623980701</v>
      </c>
    </row>
    <row r="2540" spans="1:11" x14ac:dyDescent="0.35">
      <c r="A2540" s="9" t="str">
        <f>HYPERLINK("http://www.ensembl.org/id/WBGene00012276", "WBGene00012276")</f>
        <v>WBGene00012276</v>
      </c>
      <c r="B2540" s="9" t="str">
        <f>HYPERLINK("http://www.ncbi.nlm.nih.gov/gene/179734", "179734")</f>
        <v>179734</v>
      </c>
      <c r="C2540" s="9"/>
      <c r="D2540" t="str">
        <f>"his-74"</f>
        <v>his-74</v>
      </c>
      <c r="E2540" t="s">
        <v>448</v>
      </c>
      <c r="F2540" t="s">
        <v>11</v>
      </c>
      <c r="G2540" t="s">
        <v>232</v>
      </c>
      <c r="H2540" s="12">
        <v>-2.0484262373772202</v>
      </c>
      <c r="I2540" s="11">
        <v>-3.52910126606508</v>
      </c>
      <c r="J2540" s="10">
        <v>4.1697353923174498E-4</v>
      </c>
      <c r="K2540" s="29">
        <v>2.0198303139389299E-2</v>
      </c>
    </row>
    <row r="2541" spans="1:11" x14ac:dyDescent="0.35">
      <c r="A2541" s="9" t="str">
        <f>HYPERLINK("http://www.ensembl.org/id/WBGene00011741", "WBGene00011741")</f>
        <v>WBGene00011741</v>
      </c>
      <c r="B2541" s="9" t="str">
        <f>HYPERLINK("http://www.ncbi.nlm.nih.gov/gene/178138", "178138")</f>
        <v>178138</v>
      </c>
      <c r="C2541" s="9"/>
      <c r="D2541" t="str">
        <f>"T12G3.6"</f>
        <v>T12G3.6</v>
      </c>
      <c r="F2541" t="s">
        <v>11</v>
      </c>
      <c r="H2541" s="12">
        <v>-2.0478942968751999</v>
      </c>
      <c r="I2541" s="11">
        <v>-3.70552679855588</v>
      </c>
      <c r="J2541" s="10">
        <v>2.1095182291719299E-4</v>
      </c>
      <c r="K2541" s="29">
        <v>1.18594959131987E-2</v>
      </c>
    </row>
    <row r="2542" spans="1:11" x14ac:dyDescent="0.35">
      <c r="A2542" s="9" t="str">
        <f>HYPERLINK("http://www.ensembl.org/id/WBGene00007969", "WBGene00007969")</f>
        <v>WBGene00007969</v>
      </c>
      <c r="B2542" s="9" t="str">
        <f>HYPERLINK("http://www.ncbi.nlm.nih.gov/gene/175500", "175500")</f>
        <v>175500</v>
      </c>
      <c r="C2542" s="9" t="str">
        <f>HYPERLINK("http://www.ncbi.nlm.nih.gov/gene/55902", "55902")</f>
        <v>55902</v>
      </c>
      <c r="D2542" t="str">
        <f>"acs-19"</f>
        <v>acs-19</v>
      </c>
      <c r="E2542" t="s">
        <v>339</v>
      </c>
      <c r="F2542" t="s">
        <v>11</v>
      </c>
      <c r="G2542" t="s">
        <v>340</v>
      </c>
      <c r="H2542" s="12">
        <v>-2.0471915129284901</v>
      </c>
      <c r="I2542" s="11">
        <v>-3.8799073208013199</v>
      </c>
      <c r="J2542" s="10">
        <v>1.04496273595201E-4</v>
      </c>
      <c r="K2542" s="29">
        <v>6.8788914464123097E-3</v>
      </c>
    </row>
    <row r="2543" spans="1:11" x14ac:dyDescent="0.35">
      <c r="A2543" s="9" t="str">
        <f>HYPERLINK("http://www.ensembl.org/id/WBGene00219754", "WBGene00219754")</f>
        <v>WBGene00219754</v>
      </c>
      <c r="B2543" s="9"/>
      <c r="C2543" s="9"/>
      <c r="D2543" t="str">
        <f>"linc-85"</f>
        <v>linc-85</v>
      </c>
      <c r="F2543" t="s">
        <v>1510</v>
      </c>
      <c r="H2543" s="12">
        <v>-2.0438246254691599</v>
      </c>
      <c r="I2543" s="11">
        <v>-0.312141964559559</v>
      </c>
      <c r="J2543" s="10">
        <v>0.75493263551800405</v>
      </c>
      <c r="K2543" s="29">
        <v>0.98289565623980701</v>
      </c>
    </row>
    <row r="2544" spans="1:11" x14ac:dyDescent="0.35">
      <c r="A2544" s="9" t="str">
        <f>HYPERLINK("http://www.ensembl.org/id/WBGene00007897", "WBGene00007897")</f>
        <v>WBGene00007897</v>
      </c>
      <c r="B2544" s="9" t="str">
        <f>HYPERLINK("http://www.ncbi.nlm.nih.gov/gene/183158", "183158")</f>
        <v>183158</v>
      </c>
      <c r="C2544" s="9"/>
      <c r="D2544" t="str">
        <f>"clec-182"</f>
        <v>clec-182</v>
      </c>
      <c r="E2544" t="s">
        <v>46</v>
      </c>
      <c r="F2544" t="s">
        <v>11</v>
      </c>
      <c r="G2544" t="s">
        <v>47</v>
      </c>
      <c r="H2544" s="12">
        <v>-2.04329311075877</v>
      </c>
      <c r="I2544" s="11">
        <v>-0.49201631958268999</v>
      </c>
      <c r="J2544" s="10">
        <v>0.62270780678191295</v>
      </c>
      <c r="K2544" s="29">
        <v>0.98289565623980701</v>
      </c>
    </row>
    <row r="2545" spans="1:11" x14ac:dyDescent="0.35">
      <c r="A2545" s="9" t="str">
        <f>HYPERLINK("http://www.ensembl.org/id/WBGene00014811", "WBGene00014811")</f>
        <v>WBGene00014811</v>
      </c>
      <c r="B2545" s="9"/>
      <c r="C2545" s="9"/>
      <c r="D2545" t="str">
        <f>"M162.9"</f>
        <v>M162.9</v>
      </c>
      <c r="F2545" t="s">
        <v>80</v>
      </c>
      <c r="H2545" s="12">
        <v>-2.0413956545873799</v>
      </c>
      <c r="I2545" s="11">
        <v>-0.943926808413453</v>
      </c>
      <c r="J2545" s="10">
        <v>0.34520705145393499</v>
      </c>
      <c r="K2545" s="29">
        <v>0.98289565623980701</v>
      </c>
    </row>
    <row r="2546" spans="1:11" x14ac:dyDescent="0.35">
      <c r="A2546" s="9" t="str">
        <f>HYPERLINK("http://www.ensembl.org/id/WBGene00003418", "WBGene00003418")</f>
        <v>WBGene00003418</v>
      </c>
      <c r="B2546" s="9" t="str">
        <f>HYPERLINK("http://www.ncbi.nlm.nih.gov/gene/171938", "171938")</f>
        <v>171938</v>
      </c>
      <c r="C2546" s="9"/>
      <c r="D2546" t="str">
        <f>"msh-2"</f>
        <v>msh-2</v>
      </c>
      <c r="E2546" t="s">
        <v>391</v>
      </c>
      <c r="F2546" t="s">
        <v>11</v>
      </c>
      <c r="G2546" t="s">
        <v>471</v>
      </c>
      <c r="H2546" s="12">
        <v>-2.0410713135896099</v>
      </c>
      <c r="I2546" s="11">
        <v>-3.4564226187474598</v>
      </c>
      <c r="J2546" s="10">
        <v>5.4739634916186903E-4</v>
      </c>
      <c r="K2546" s="29">
        <v>2.45594952305517E-2</v>
      </c>
    </row>
    <row r="2547" spans="1:11" x14ac:dyDescent="0.35">
      <c r="A2547" s="9" t="str">
        <f>HYPERLINK("http://www.ensembl.org/id/WBGene00016947", "WBGene00016947")</f>
        <v>WBGene00016947</v>
      </c>
      <c r="B2547" s="9" t="str">
        <f>HYPERLINK("http://www.ncbi.nlm.nih.gov/gene/183846", "183846")</f>
        <v>183846</v>
      </c>
      <c r="C2547" s="9"/>
      <c r="D2547" t="str">
        <f>"C55B7.11"</f>
        <v>C55B7.11</v>
      </c>
      <c r="F2547" t="s">
        <v>11</v>
      </c>
      <c r="H2547" s="12">
        <v>-2.0399821693674598</v>
      </c>
      <c r="I2547" s="11">
        <v>-2.5440229124981801</v>
      </c>
      <c r="J2547" s="10">
        <v>1.09583896118924E-2</v>
      </c>
      <c r="K2547" s="29">
        <v>0.20652899704109801</v>
      </c>
    </row>
    <row r="2548" spans="1:11" x14ac:dyDescent="0.35">
      <c r="A2548" s="9" t="str">
        <f>HYPERLINK("http://www.ensembl.org/id/WBGene00020564", "WBGene00020564")</f>
        <v>WBGene00020564</v>
      </c>
      <c r="B2548" s="9" t="str">
        <f>HYPERLINK("http://www.ncbi.nlm.nih.gov/gene/188588", "188588")</f>
        <v>188588</v>
      </c>
      <c r="C2548" s="9"/>
      <c r="D2548" t="str">
        <f>"T19C3.6"</f>
        <v>T19C3.6</v>
      </c>
      <c r="F2548" t="s">
        <v>11</v>
      </c>
      <c r="H2548" s="12">
        <v>-2.03968869076175</v>
      </c>
      <c r="I2548" s="11">
        <v>-0.41918235902172502</v>
      </c>
      <c r="J2548" s="10">
        <v>0.67508286366005099</v>
      </c>
      <c r="K2548" s="29">
        <v>0.98289565623980701</v>
      </c>
    </row>
    <row r="2549" spans="1:11" x14ac:dyDescent="0.35">
      <c r="A2549" s="9" t="str">
        <f>HYPERLINK("http://www.ensembl.org/id/WBGene00008968", "WBGene00008968")</f>
        <v>WBGene00008968</v>
      </c>
      <c r="B2549" s="9" t="str">
        <f>HYPERLINK("http://www.ncbi.nlm.nih.gov/gene/184716", "184716")</f>
        <v>184716</v>
      </c>
      <c r="C2549" s="9"/>
      <c r="D2549" t="str">
        <f>"elli-1"</f>
        <v>elli-1</v>
      </c>
      <c r="E2549" t="s">
        <v>508</v>
      </c>
      <c r="F2549" t="s">
        <v>11</v>
      </c>
      <c r="G2549" t="s">
        <v>509</v>
      </c>
      <c r="H2549" s="12">
        <v>-2.0388019361777499</v>
      </c>
      <c r="I2549" s="11">
        <v>-3.3118237848201</v>
      </c>
      <c r="J2549" s="10">
        <v>9.2689910230281598E-4</v>
      </c>
      <c r="K2549" s="29">
        <v>3.6925742513463602E-2</v>
      </c>
    </row>
    <row r="2550" spans="1:11" x14ac:dyDescent="0.35">
      <c r="A2550" s="9" t="str">
        <f>HYPERLINK("http://www.ensembl.org/id/WBGene00023263", "WBGene00023263")</f>
        <v>WBGene00023263</v>
      </c>
      <c r="B2550" s="9"/>
      <c r="C2550" s="9"/>
      <c r="D2550" t="str">
        <f>"D1005.t1"</f>
        <v>D1005.t1</v>
      </c>
      <c r="F2550" t="s">
        <v>80</v>
      </c>
      <c r="H2550" s="12">
        <v>-2.0378110331991901</v>
      </c>
      <c r="I2550" s="11">
        <v>-1.2299304078567099</v>
      </c>
      <c r="J2550" s="10">
        <v>0.21872316619485099</v>
      </c>
      <c r="K2550" s="29">
        <v>0.97042364854653596</v>
      </c>
    </row>
    <row r="2551" spans="1:11" x14ac:dyDescent="0.35">
      <c r="A2551" s="9" t="str">
        <f>HYPERLINK("http://www.ensembl.org/id/WBGene00022753", "WBGene00022753")</f>
        <v>WBGene00022753</v>
      </c>
      <c r="B2551" s="9" t="str">
        <f>HYPERLINK("http://www.ncbi.nlm.nih.gov/gene/191327", "191327")</f>
        <v>191327</v>
      </c>
      <c r="C2551" s="9"/>
      <c r="D2551" t="str">
        <f>"ZK484.7"</f>
        <v>ZK484.7</v>
      </c>
      <c r="E2551" t="s">
        <v>1019</v>
      </c>
      <c r="F2551" t="s">
        <v>11</v>
      </c>
      <c r="G2551" t="s">
        <v>1020</v>
      </c>
      <c r="H2551" s="12">
        <v>-2.0360654911683098</v>
      </c>
      <c r="I2551" s="11">
        <v>-0.60686237431703205</v>
      </c>
      <c r="J2551" s="10">
        <v>0.54394224982625305</v>
      </c>
      <c r="K2551" s="29">
        <v>0.98289565623980701</v>
      </c>
    </row>
    <row r="2552" spans="1:11" x14ac:dyDescent="0.35">
      <c r="A2552" s="9" t="str">
        <f>HYPERLINK("http://www.ensembl.org/id/WBGene00009877", "WBGene00009877")</f>
        <v>WBGene00009877</v>
      </c>
      <c r="B2552" s="9" t="str">
        <f>HYPERLINK("http://www.ncbi.nlm.nih.gov/gene/177751", "177751")</f>
        <v>177751</v>
      </c>
      <c r="C2552" s="9"/>
      <c r="D2552" t="str">
        <f>"F49C12.7"</f>
        <v>F49C12.7</v>
      </c>
      <c r="F2552" t="s">
        <v>11</v>
      </c>
      <c r="H2552" s="12">
        <v>-2.0348250112125199</v>
      </c>
      <c r="I2552" s="11">
        <v>-3.52548487268374</v>
      </c>
      <c r="J2552" s="10">
        <v>4.2270831808169802E-4</v>
      </c>
      <c r="K2552" s="29">
        <v>2.0263689621567899E-2</v>
      </c>
    </row>
    <row r="2553" spans="1:11" x14ac:dyDescent="0.35">
      <c r="A2553" s="9" t="str">
        <f>HYPERLINK("http://www.ensembl.org/id/WBGene00004094", "WBGene00004094")</f>
        <v>WBGene00004094</v>
      </c>
      <c r="B2553" s="9" t="str">
        <f>HYPERLINK("http://www.ncbi.nlm.nih.gov/gene/172152", "172152")</f>
        <v>172152</v>
      </c>
      <c r="C2553" s="9"/>
      <c r="D2553" t="str">
        <f>"ppw-2"</f>
        <v>ppw-2</v>
      </c>
      <c r="E2553" t="s">
        <v>309</v>
      </c>
      <c r="F2553" t="s">
        <v>11</v>
      </c>
      <c r="G2553" t="s">
        <v>445</v>
      </c>
      <c r="H2553" s="12">
        <v>-2.03400759194859</v>
      </c>
      <c r="I2553" s="11">
        <v>-2.8834195726412499</v>
      </c>
      <c r="J2553" s="10">
        <v>3.9338308725963703E-3</v>
      </c>
      <c r="K2553" s="29">
        <v>0.103525166448988</v>
      </c>
    </row>
    <row r="2554" spans="1:11" x14ac:dyDescent="0.35">
      <c r="A2554" s="9" t="str">
        <f>HYPERLINK("http://www.ensembl.org/id/WBGene00006944", "WBGene00006944")</f>
        <v>WBGene00006944</v>
      </c>
      <c r="B2554" s="9" t="str">
        <f>HYPERLINK("http://www.ncbi.nlm.nih.gov/gene/174081", "174081")</f>
        <v>174081</v>
      </c>
      <c r="C2554" s="9" t="str">
        <f>HYPERLINK("http://www.ncbi.nlm.nih.gov/gene/7486", "7486")</f>
        <v>7486</v>
      </c>
      <c r="D2554" t="str">
        <f>"wrn-1"</f>
        <v>wrn-1</v>
      </c>
      <c r="E2554" t="s">
        <v>617</v>
      </c>
      <c r="F2554" t="s">
        <v>11</v>
      </c>
      <c r="G2554" t="s">
        <v>618</v>
      </c>
      <c r="H2554" s="12">
        <v>-2.0339778451550301</v>
      </c>
      <c r="I2554" s="11">
        <v>-3.09949145752012</v>
      </c>
      <c r="J2554" s="10">
        <v>1.93853167923315E-3</v>
      </c>
      <c r="K2554" s="29">
        <v>6.3175899831257001E-2</v>
      </c>
    </row>
    <row r="2555" spans="1:11" x14ac:dyDescent="0.35">
      <c r="A2555" s="9" t="str">
        <f>HYPERLINK("http://www.ensembl.org/id/WBGene00077787", "WBGene00077787")</f>
        <v>WBGene00077787</v>
      </c>
      <c r="B2555" s="9"/>
      <c r="C2555" s="9"/>
      <c r="D2555" t="str">
        <f>"T05E12.10"</f>
        <v>T05E12.10</v>
      </c>
      <c r="F2555" t="s">
        <v>481</v>
      </c>
      <c r="H2555" s="12">
        <v>-2.03363331551687</v>
      </c>
      <c r="I2555" s="11">
        <v>-0.74672803645826202</v>
      </c>
      <c r="J2555" s="10">
        <v>0.455227742533797</v>
      </c>
      <c r="K2555" s="29">
        <v>0.98289565623980701</v>
      </c>
    </row>
    <row r="2556" spans="1:11" x14ac:dyDescent="0.35">
      <c r="A2556" s="9" t="str">
        <f>HYPERLINK("http://www.ensembl.org/id/WBGene00011133", "WBGene00011133")</f>
        <v>WBGene00011133</v>
      </c>
      <c r="B2556" s="9" t="str">
        <f>HYPERLINK("http://www.ncbi.nlm.nih.gov/gene/187692", "187692")</f>
        <v>187692</v>
      </c>
      <c r="C2556" s="9"/>
      <c r="D2556" t="str">
        <f>"R08A2.2"</f>
        <v>R08A2.2</v>
      </c>
      <c r="E2556" t="s">
        <v>2496</v>
      </c>
      <c r="F2556" t="s">
        <v>11</v>
      </c>
      <c r="G2556" t="s">
        <v>2497</v>
      </c>
      <c r="H2556" s="12">
        <v>-2.0326138062282002</v>
      </c>
      <c r="I2556" s="11">
        <v>-0.51406537960082299</v>
      </c>
      <c r="J2556" s="10">
        <v>0.60720628125884402</v>
      </c>
      <c r="K2556" s="29">
        <v>0.98289565623980701</v>
      </c>
    </row>
    <row r="2557" spans="1:11" x14ac:dyDescent="0.35">
      <c r="A2557" s="9" t="str">
        <f>HYPERLINK("http://www.ensembl.org/id/WBGene00018712", "WBGene00018712")</f>
        <v>WBGene00018712</v>
      </c>
      <c r="B2557" s="9" t="str">
        <f>HYPERLINK("http://www.ncbi.nlm.nih.gov/gene/186130", "186130")</f>
        <v>186130</v>
      </c>
      <c r="C2557" s="9"/>
      <c r="D2557" t="str">
        <f>"F52G3.4"</f>
        <v>F52G3.4</v>
      </c>
      <c r="F2557" t="s">
        <v>11</v>
      </c>
      <c r="H2557" s="12">
        <v>-2.0310857376808</v>
      </c>
      <c r="I2557" s="11">
        <v>-0.491204110007397</v>
      </c>
      <c r="J2557" s="10">
        <v>0.62328209232208698</v>
      </c>
      <c r="K2557" s="29">
        <v>0.98289565623980701</v>
      </c>
    </row>
    <row r="2558" spans="1:11" x14ac:dyDescent="0.35">
      <c r="A2558" s="9" t="str">
        <f>HYPERLINK("http://www.ensembl.org/id/WBGene00012219", "WBGene00012219")</f>
        <v>WBGene00012219</v>
      </c>
      <c r="B2558" s="9" t="str">
        <f>HYPERLINK("http://www.ncbi.nlm.nih.gov/gene/174832", "174832")</f>
        <v>174832</v>
      </c>
      <c r="C2558" s="9"/>
      <c r="D2558" t="str">
        <f>"W03C9.1"</f>
        <v>W03C9.1</v>
      </c>
      <c r="F2558" t="s">
        <v>11</v>
      </c>
      <c r="G2558" t="s">
        <v>25</v>
      </c>
      <c r="H2558" s="12">
        <v>-2.0289705812505199</v>
      </c>
      <c r="I2558" s="11">
        <v>-0.64499495144824903</v>
      </c>
      <c r="J2558" s="10">
        <v>0.51893045737510302</v>
      </c>
      <c r="K2558" s="29">
        <v>0.98289565623980701</v>
      </c>
    </row>
    <row r="2559" spans="1:11" x14ac:dyDescent="0.35">
      <c r="A2559" s="9" t="str">
        <f>HYPERLINK("http://www.ensembl.org/id/WBGene00013405", "WBGene00013405")</f>
        <v>WBGene00013405</v>
      </c>
      <c r="B2559" s="9" t="str">
        <f>HYPERLINK("http://www.ncbi.nlm.nih.gov/gene/173276", "173276")</f>
        <v>173276</v>
      </c>
      <c r="C2559" s="9" t="str">
        <f>HYPERLINK("http://www.ncbi.nlm.nih.gov/gene/51567", "51567")</f>
        <v>51567</v>
      </c>
      <c r="D2559" t="str">
        <f>"tdpt-1"</f>
        <v>tdpt-1</v>
      </c>
      <c r="E2559" t="s">
        <v>708</v>
      </c>
      <c r="F2559" t="s">
        <v>11</v>
      </c>
      <c r="G2559" t="s">
        <v>709</v>
      </c>
      <c r="H2559" s="12">
        <v>-2.0283366375987599</v>
      </c>
      <c r="I2559" s="11">
        <v>-2.9696359115592301</v>
      </c>
      <c r="J2559" s="10">
        <v>2.9815288966891398E-3</v>
      </c>
      <c r="K2559" s="29">
        <v>8.4737031595201906E-2</v>
      </c>
    </row>
    <row r="2560" spans="1:11" x14ac:dyDescent="0.35">
      <c r="A2560" s="9" t="str">
        <f>HYPERLINK("http://www.ensembl.org/id/WBGene00195030", "WBGene00195030")</f>
        <v>WBGene00195030</v>
      </c>
      <c r="B2560" s="9"/>
      <c r="C2560" s="9"/>
      <c r="D2560" t="str">
        <f>"F10E7.12"</f>
        <v>F10E7.12</v>
      </c>
      <c r="F2560" t="s">
        <v>481</v>
      </c>
      <c r="H2560" s="12">
        <v>-2.0281220891434302</v>
      </c>
      <c r="I2560" s="11">
        <v>-0.43105784723118601</v>
      </c>
      <c r="J2560" s="10">
        <v>0.66642630947210002</v>
      </c>
      <c r="K2560" s="29">
        <v>0.98289565623980701</v>
      </c>
    </row>
    <row r="2561" spans="1:11" x14ac:dyDescent="0.35">
      <c r="A2561" s="9" t="str">
        <f>HYPERLINK("http://www.ensembl.org/id/WBGene00022203", "WBGene00022203")</f>
        <v>WBGene00022203</v>
      </c>
      <c r="B2561" s="9" t="str">
        <f>HYPERLINK("http://www.ncbi.nlm.nih.gov/gene/180384", "180384")</f>
        <v>180384</v>
      </c>
      <c r="C2561" s="9"/>
      <c r="D2561" t="str">
        <f>"Y73B3A.1"</f>
        <v>Y73B3A.1</v>
      </c>
      <c r="F2561" t="s">
        <v>11</v>
      </c>
      <c r="G2561" t="s">
        <v>228</v>
      </c>
      <c r="H2561" s="12">
        <v>-2.0263985157012701</v>
      </c>
      <c r="I2561" s="11">
        <v>-3.3665488290611001</v>
      </c>
      <c r="J2561" s="10">
        <v>7.6115105521149299E-4</v>
      </c>
      <c r="K2561" s="29">
        <v>3.1461818035271497E-2</v>
      </c>
    </row>
    <row r="2562" spans="1:11" x14ac:dyDescent="0.35">
      <c r="A2562" s="9" t="str">
        <f>HYPERLINK("http://www.ensembl.org/id/WBGene00269384", "WBGene00269384")</f>
        <v>WBGene00269384</v>
      </c>
      <c r="B2562" s="9"/>
      <c r="C2562" s="9"/>
      <c r="D2562" t="str">
        <f>"K09H11.16"</f>
        <v>K09H11.16</v>
      </c>
      <c r="F2562" t="s">
        <v>481</v>
      </c>
      <c r="H2562" s="12">
        <v>-2.0248765209716</v>
      </c>
      <c r="I2562" s="11">
        <v>-0.43076405737115903</v>
      </c>
      <c r="J2562" s="10">
        <v>0.66663993642219399</v>
      </c>
      <c r="K2562" s="29">
        <v>0.98289565623980701</v>
      </c>
    </row>
    <row r="2563" spans="1:11" x14ac:dyDescent="0.35">
      <c r="A2563" s="9" t="str">
        <f>HYPERLINK("http://www.ensembl.org/id/WBGene00008785", "WBGene00008785")</f>
        <v>WBGene00008785</v>
      </c>
      <c r="B2563" s="9" t="str">
        <f>HYPERLINK("http://www.ncbi.nlm.nih.gov/gene/184446", "184446")</f>
        <v>184446</v>
      </c>
      <c r="C2563" s="9"/>
      <c r="D2563" t="str">
        <f>"F14B6.4"</f>
        <v>F14B6.4</v>
      </c>
      <c r="E2563" t="s">
        <v>3368</v>
      </c>
      <c r="F2563" t="s">
        <v>11</v>
      </c>
      <c r="G2563" t="s">
        <v>4251</v>
      </c>
      <c r="H2563" s="12">
        <v>-2.0242555574139698</v>
      </c>
      <c r="I2563" s="11">
        <v>-0.64676166872034002</v>
      </c>
      <c r="J2563" s="10">
        <v>0.517786203998023</v>
      </c>
      <c r="K2563" s="29">
        <v>0.98289565623980701</v>
      </c>
    </row>
    <row r="2564" spans="1:11" x14ac:dyDescent="0.35">
      <c r="A2564" s="9" t="str">
        <f>HYPERLINK("http://www.ensembl.org/id/WBGene00044301", "WBGene00044301")</f>
        <v>WBGene00044301</v>
      </c>
      <c r="B2564" s="9" t="str">
        <f>HYPERLINK("http://www.ncbi.nlm.nih.gov/gene/3565225", "3565225")</f>
        <v>3565225</v>
      </c>
      <c r="C2564" s="9"/>
      <c r="D2564" t="str">
        <f>"lgc-28"</f>
        <v>lgc-28</v>
      </c>
      <c r="E2564" t="s">
        <v>505</v>
      </c>
      <c r="F2564" t="s">
        <v>11</v>
      </c>
      <c r="G2564" t="s">
        <v>559</v>
      </c>
      <c r="H2564" s="12">
        <v>-2.0241372817798502</v>
      </c>
      <c r="I2564" s="11">
        <v>-3.18814797841272</v>
      </c>
      <c r="J2564" s="10">
        <v>1.4318723821429701E-3</v>
      </c>
      <c r="K2564" s="29">
        <v>5.1453877545560599E-2</v>
      </c>
    </row>
    <row r="2565" spans="1:11" x14ac:dyDescent="0.35">
      <c r="A2565" s="9" t="str">
        <f>HYPERLINK("http://www.ensembl.org/id/WBGene00020117", "WBGene00020117")</f>
        <v>WBGene00020117</v>
      </c>
      <c r="B2565" s="9" t="str">
        <f>HYPERLINK("http://www.ncbi.nlm.nih.gov/gene/187909", "187909")</f>
        <v>187909</v>
      </c>
      <c r="C2565" s="9"/>
      <c r="D2565" t="str">
        <f>"R155.3"</f>
        <v>R155.3</v>
      </c>
      <c r="E2565" t="s">
        <v>4323</v>
      </c>
      <c r="F2565" t="s">
        <v>11</v>
      </c>
      <c r="G2565" t="s">
        <v>4317</v>
      </c>
      <c r="H2565" s="12">
        <v>-2.0223100495139201</v>
      </c>
      <c r="I2565" s="11">
        <v>-0.50223680412634097</v>
      </c>
      <c r="J2565" s="10">
        <v>0.61550095682763195</v>
      </c>
      <c r="K2565" s="29">
        <v>0.98289565623980701</v>
      </c>
    </row>
    <row r="2566" spans="1:11" x14ac:dyDescent="0.35">
      <c r="A2566" s="9" t="str">
        <f>HYPERLINK("http://www.ensembl.org/id/WBGene00077444", "WBGene00077444")</f>
        <v>WBGene00077444</v>
      </c>
      <c r="B2566" s="9"/>
      <c r="C2566" s="9"/>
      <c r="D2566" t="str">
        <f>"F54B8.17"</f>
        <v>F54B8.17</v>
      </c>
      <c r="F2566" t="s">
        <v>80</v>
      </c>
      <c r="H2566" s="12">
        <v>-2.0218889398662498</v>
      </c>
      <c r="I2566" s="11">
        <v>-0.43798662857965498</v>
      </c>
      <c r="J2566" s="10">
        <v>0.661395976479493</v>
      </c>
      <c r="K2566" s="29">
        <v>0.98289565623980701</v>
      </c>
    </row>
    <row r="2567" spans="1:11" x14ac:dyDescent="0.35">
      <c r="A2567" s="9" t="str">
        <f>HYPERLINK("http://www.ensembl.org/id/WBGene00012095", "WBGene00012095")</f>
        <v>WBGene00012095</v>
      </c>
      <c r="B2567" s="9" t="str">
        <f>HYPERLINK("http://www.ncbi.nlm.nih.gov/gene/176776", "176776")</f>
        <v>176776</v>
      </c>
      <c r="C2567" s="9" t="str">
        <f>HYPERLINK("http://www.ncbi.nlm.nih.gov/gene/9791", "9791")</f>
        <v>9791</v>
      </c>
      <c r="D2567" t="str">
        <f>"pssy-2"</f>
        <v>pssy-2</v>
      </c>
      <c r="E2567" t="s">
        <v>695</v>
      </c>
      <c r="F2567" t="s">
        <v>11</v>
      </c>
      <c r="G2567" t="s">
        <v>696</v>
      </c>
      <c r="H2567" s="12">
        <v>-2.0217872157432302</v>
      </c>
      <c r="I2567" s="11">
        <v>-2.9889655590551101</v>
      </c>
      <c r="J2567" s="10">
        <v>2.7992368304468598E-3</v>
      </c>
      <c r="K2567" s="29">
        <v>8.1153282565000207E-2</v>
      </c>
    </row>
    <row r="2568" spans="1:11" x14ac:dyDescent="0.35">
      <c r="A2568" s="9" t="str">
        <f>HYPERLINK("http://www.ensembl.org/id/WBGene00009434", "WBGene00009434")</f>
        <v>WBGene00009434</v>
      </c>
      <c r="B2568" s="9" t="str">
        <f>HYPERLINK("http://www.ncbi.nlm.nih.gov/gene/179868", "179868")</f>
        <v>179868</v>
      </c>
      <c r="C2568" s="9"/>
      <c r="D2568" t="str">
        <f>"F35E12.10"</f>
        <v>F35E12.10</v>
      </c>
      <c r="F2568" t="s">
        <v>11</v>
      </c>
      <c r="G2568" t="s">
        <v>105</v>
      </c>
      <c r="H2568" s="12">
        <v>-2.0214606596365901</v>
      </c>
      <c r="I2568" s="11">
        <v>-3.47850897540054</v>
      </c>
      <c r="J2568" s="10">
        <v>5.0421155234543996E-4</v>
      </c>
      <c r="K2568" s="29">
        <v>2.3024332269750501E-2</v>
      </c>
    </row>
    <row r="2569" spans="1:11" x14ac:dyDescent="0.35">
      <c r="A2569" s="9" t="str">
        <f>HYPERLINK("http://www.ensembl.org/id/WBGene00006940", "WBGene00006940")</f>
        <v>WBGene00006940</v>
      </c>
      <c r="B2569" s="9" t="str">
        <f>HYPERLINK("http://www.ncbi.nlm.nih.gov/gene/174531", "174531")</f>
        <v>174531</v>
      </c>
      <c r="C2569" s="9"/>
      <c r="D2569" t="str">
        <f>"wee-1.3"</f>
        <v>wee-1.3</v>
      </c>
      <c r="E2569" t="s">
        <v>443</v>
      </c>
      <c r="F2569" t="s">
        <v>11</v>
      </c>
      <c r="G2569" t="s">
        <v>444</v>
      </c>
      <c r="H2569" s="12">
        <v>-2.0212146797305901</v>
      </c>
      <c r="I2569" s="11">
        <v>-3.54986939446127</v>
      </c>
      <c r="J2569" s="10">
        <v>3.8542231444634701E-4</v>
      </c>
      <c r="K2569" s="29">
        <v>1.8948017016164501E-2</v>
      </c>
    </row>
    <row r="2570" spans="1:11" x14ac:dyDescent="0.35">
      <c r="A2570" s="9" t="str">
        <f>HYPERLINK("http://www.ensembl.org/id/WBGene00017509", "WBGene00017509")</f>
        <v>WBGene00017509</v>
      </c>
      <c r="B2570" s="9" t="str">
        <f>HYPERLINK("http://www.ncbi.nlm.nih.gov/gene/178646", "178646")</f>
        <v>178646</v>
      </c>
      <c r="C2570" s="9"/>
      <c r="D2570" t="str">
        <f>"F16B4.7"</f>
        <v>F16B4.7</v>
      </c>
      <c r="F2570" t="s">
        <v>11</v>
      </c>
      <c r="H2570" s="12">
        <v>-2.0198142431419899</v>
      </c>
      <c r="I2570" s="11">
        <v>-0.94170944848132798</v>
      </c>
      <c r="J2570" s="10">
        <v>0.34634141629326898</v>
      </c>
      <c r="K2570" s="29">
        <v>0.98289565623980701</v>
      </c>
    </row>
    <row r="2571" spans="1:11" x14ac:dyDescent="0.35">
      <c r="A2571" s="9" t="str">
        <f>HYPERLINK("http://www.ensembl.org/id/WBGene00015265", "WBGene00015265")</f>
        <v>WBGene00015265</v>
      </c>
      <c r="B2571" s="9" t="str">
        <f>HYPERLINK("http://www.ncbi.nlm.nih.gov/gene/182042", "182042")</f>
        <v>182042</v>
      </c>
      <c r="C2571" s="9"/>
      <c r="D2571" t="str">
        <f>"B0563.8"</f>
        <v>B0563.8</v>
      </c>
      <c r="F2571" t="s">
        <v>11</v>
      </c>
      <c r="H2571" s="12">
        <v>-2.0191017254418702</v>
      </c>
      <c r="I2571" s="11">
        <v>-0.68749141715240503</v>
      </c>
      <c r="J2571" s="10">
        <v>0.49177310751617598</v>
      </c>
      <c r="K2571" s="29">
        <v>0.98289565623980701</v>
      </c>
    </row>
    <row r="2572" spans="1:11" x14ac:dyDescent="0.35">
      <c r="A2572" s="9" t="str">
        <f>HYPERLINK("http://www.ensembl.org/id/WBGene00195830", "WBGene00195830")</f>
        <v>WBGene00195830</v>
      </c>
      <c r="B2572" s="9"/>
      <c r="C2572" s="9"/>
      <c r="D2572" t="str">
        <f>"H03A11.5"</f>
        <v>H03A11.5</v>
      </c>
      <c r="F2572" t="s">
        <v>481</v>
      </c>
      <c r="H2572" s="12">
        <v>-2.01680268540892</v>
      </c>
      <c r="I2572" s="11">
        <v>-0.28392076742908301</v>
      </c>
      <c r="J2572" s="10">
        <v>0.77647110102079697</v>
      </c>
      <c r="K2572" s="29">
        <v>0.98289565623980701</v>
      </c>
    </row>
    <row r="2573" spans="1:11" x14ac:dyDescent="0.35">
      <c r="A2573" s="9" t="str">
        <f>HYPERLINK("http://www.ensembl.org/id/WBGene00194704", "WBGene00194704")</f>
        <v>WBGene00194704</v>
      </c>
      <c r="B2573" s="9" t="str">
        <f>HYPERLINK("http://www.ncbi.nlm.nih.gov/gene/13183664", "13183664")</f>
        <v>13183664</v>
      </c>
      <c r="C2573" s="9"/>
      <c r="D2573" t="str">
        <f>"T07H3.8"</f>
        <v>T07H3.8</v>
      </c>
      <c r="F2573" t="s">
        <v>11</v>
      </c>
      <c r="H2573" s="12">
        <v>-2.01680268540892</v>
      </c>
      <c r="I2573" s="11">
        <v>-0.28392076742908301</v>
      </c>
      <c r="J2573" s="10">
        <v>0.77647110102079697</v>
      </c>
      <c r="K2573" s="29">
        <v>0.98289565623980701</v>
      </c>
    </row>
    <row r="2574" spans="1:11" x14ac:dyDescent="0.35">
      <c r="A2574" s="9" t="str">
        <f>HYPERLINK("http://www.ensembl.org/id/WBGene00019712", "WBGene00019712")</f>
        <v>WBGene00019712</v>
      </c>
      <c r="B2574" s="9" t="str">
        <f>HYPERLINK("http://www.ncbi.nlm.nih.gov/gene/172212", "172212")</f>
        <v>172212</v>
      </c>
      <c r="C2574" s="9"/>
      <c r="D2574" t="str">
        <f>"rmh-1"</f>
        <v>rmh-1</v>
      </c>
      <c r="E2574" t="s">
        <v>1038</v>
      </c>
      <c r="F2574" t="s">
        <v>11</v>
      </c>
      <c r="G2574" t="s">
        <v>1039</v>
      </c>
      <c r="H2574" s="12">
        <v>-2.01665616782571</v>
      </c>
      <c r="I2574" s="11">
        <v>-2.5442301587648899</v>
      </c>
      <c r="J2574" s="10">
        <v>1.09518894536417E-2</v>
      </c>
      <c r="K2574" s="29">
        <v>0.20652899704109801</v>
      </c>
    </row>
    <row r="2575" spans="1:11" x14ac:dyDescent="0.35">
      <c r="A2575" s="9" t="str">
        <f>HYPERLINK("http://www.ensembl.org/id/WBGene00015134", "WBGene00015134")</f>
        <v>WBGene00015134</v>
      </c>
      <c r="B2575" s="9" t="str">
        <f>HYPERLINK("http://www.ncbi.nlm.nih.gov/gene/173789", "173789")</f>
        <v>173789</v>
      </c>
      <c r="C2575" s="9"/>
      <c r="D2575" t="str">
        <f>"B0304.2"</f>
        <v>B0304.2</v>
      </c>
      <c r="F2575" t="s">
        <v>11</v>
      </c>
      <c r="H2575" s="12">
        <v>-2.0152739068534999</v>
      </c>
      <c r="I2575" s="11">
        <v>-2.7313781781778501</v>
      </c>
      <c r="J2575" s="10">
        <v>6.3070053105844003E-3</v>
      </c>
      <c r="K2575" s="29">
        <v>0.14093778018023501</v>
      </c>
    </row>
    <row r="2576" spans="1:11" x14ac:dyDescent="0.35">
      <c r="A2576" s="9" t="str">
        <f>HYPERLINK("http://www.ensembl.org/id/WBGene00007978", "WBGene00007978")</f>
        <v>WBGene00007978</v>
      </c>
      <c r="B2576" s="9" t="str">
        <f>HYPERLINK("http://www.ncbi.nlm.nih.gov/gene/172685", "172685")</f>
        <v>172685</v>
      </c>
      <c r="C2576" s="9"/>
      <c r="D2576" t="str">
        <f>"C36B1.11"</f>
        <v>C36B1.11</v>
      </c>
      <c r="F2576" t="s">
        <v>11</v>
      </c>
      <c r="G2576" t="s">
        <v>54</v>
      </c>
      <c r="H2576" s="12">
        <v>-2.0136444174361201</v>
      </c>
      <c r="I2576" s="11">
        <v>-3.5537008764441902</v>
      </c>
      <c r="J2576" s="10">
        <v>3.7985098404910299E-4</v>
      </c>
      <c r="K2576" s="29">
        <v>1.879408316368E-2</v>
      </c>
    </row>
    <row r="2577" spans="1:11" x14ac:dyDescent="0.35">
      <c r="A2577" s="9" t="str">
        <f>HYPERLINK("http://www.ensembl.org/id/WBGene00012486", "WBGene00012486")</f>
        <v>WBGene00012486</v>
      </c>
      <c r="B2577" s="9" t="str">
        <f>HYPERLINK("http://www.ncbi.nlm.nih.gov/gene/189477", "189477")</f>
        <v>189477</v>
      </c>
      <c r="C2577" s="9"/>
      <c r="D2577" t="str">
        <f>"Y18D10A.21"</f>
        <v>Y18D10A.21</v>
      </c>
      <c r="F2577" t="s">
        <v>11</v>
      </c>
      <c r="H2577" s="12">
        <v>-2.01333790067484</v>
      </c>
      <c r="I2577" s="11">
        <v>-0.42651923173290002</v>
      </c>
      <c r="J2577" s="10">
        <v>0.66972953739979102</v>
      </c>
      <c r="K2577" s="29">
        <v>0.98289565623980701</v>
      </c>
    </row>
    <row r="2578" spans="1:11" x14ac:dyDescent="0.35">
      <c r="A2578" s="9" t="str">
        <f>HYPERLINK("http://www.ensembl.org/id/WBGene00194746", "WBGene00194746")</f>
        <v>WBGene00194746</v>
      </c>
      <c r="B2578" s="9" t="str">
        <f>HYPERLINK("http://www.ncbi.nlm.nih.gov/gene/13188497", "13188497")</f>
        <v>13188497</v>
      </c>
      <c r="C2578" s="9"/>
      <c r="D2578" t="str">
        <f>"pals-20"</f>
        <v>pals-20</v>
      </c>
      <c r="E2578" t="s">
        <v>1147</v>
      </c>
      <c r="F2578" t="s">
        <v>11</v>
      </c>
      <c r="H2578" s="12">
        <v>-2.01268232747181</v>
      </c>
      <c r="I2578" s="11">
        <v>-0.50019419882479699</v>
      </c>
      <c r="J2578" s="10">
        <v>0.61693834274595205</v>
      </c>
      <c r="K2578" s="29">
        <v>0.98289565623980701</v>
      </c>
    </row>
    <row r="2579" spans="1:11" x14ac:dyDescent="0.35">
      <c r="A2579" s="9" t="str">
        <f>HYPERLINK("http://www.ensembl.org/id/WBGene00194700", "WBGene00194700")</f>
        <v>WBGene00194700</v>
      </c>
      <c r="B2579" s="9" t="str">
        <f>HYPERLINK("http://www.ncbi.nlm.nih.gov/gene/13180429", "13180429")</f>
        <v>13180429</v>
      </c>
      <c r="C2579" s="9"/>
      <c r="D2579" t="str">
        <f>"B0025.5"</f>
        <v>B0025.5</v>
      </c>
      <c r="F2579" t="s">
        <v>11</v>
      </c>
      <c r="G2579" t="s">
        <v>25</v>
      </c>
      <c r="H2579" s="12">
        <v>-2.01234482263331</v>
      </c>
      <c r="I2579" s="11">
        <v>-0.70585777800136595</v>
      </c>
      <c r="J2579" s="10">
        <v>0.48027658680019097</v>
      </c>
      <c r="K2579" s="29">
        <v>0.98289565623980701</v>
      </c>
    </row>
    <row r="2580" spans="1:11" x14ac:dyDescent="0.35">
      <c r="A2580" s="9" t="str">
        <f>HYPERLINK("http://www.ensembl.org/id/WBGene00019013", "WBGene00019013")</f>
        <v>WBGene00019013</v>
      </c>
      <c r="B2580" s="9" t="str">
        <f>HYPERLINK("http://www.ncbi.nlm.nih.gov/gene/172098", "172098")</f>
        <v>172098</v>
      </c>
      <c r="C2580" s="9"/>
      <c r="D2580" t="str">
        <f>"tofu-4"</f>
        <v>tofu-4</v>
      </c>
      <c r="E2580" t="s">
        <v>1247</v>
      </c>
      <c r="F2580" t="s">
        <v>11</v>
      </c>
      <c r="H2580" s="12">
        <v>-2.0122657925048801</v>
      </c>
      <c r="I2580" s="11">
        <v>-2.3668447482646</v>
      </c>
      <c r="J2580" s="10">
        <v>1.79404567959521E-2</v>
      </c>
      <c r="K2580" s="29">
        <v>0.28106562923829898</v>
      </c>
    </row>
    <row r="2581" spans="1:11" x14ac:dyDescent="0.35">
      <c r="A2581" s="9" t="str">
        <f>HYPERLINK("http://www.ensembl.org/id/WBGene00002225", "WBGene00002225")</f>
        <v>WBGene00002225</v>
      </c>
      <c r="B2581" s="9" t="str">
        <f>HYPERLINK("http://www.ncbi.nlm.nih.gov/gene/172213", "172213")</f>
        <v>172213</v>
      </c>
      <c r="C2581" s="9"/>
      <c r="D2581" t="str">
        <f>"klp-15"</f>
        <v>klp-15</v>
      </c>
      <c r="E2581" t="s">
        <v>469</v>
      </c>
      <c r="F2581" t="s">
        <v>11</v>
      </c>
      <c r="G2581" t="s">
        <v>470</v>
      </c>
      <c r="H2581" s="12">
        <v>-2.0115799508725298</v>
      </c>
      <c r="I2581" s="11">
        <v>-3.4592437712249402</v>
      </c>
      <c r="J2581" s="10">
        <v>5.4169440134330604E-4</v>
      </c>
      <c r="K2581" s="29">
        <v>2.4350954936650699E-2</v>
      </c>
    </row>
    <row r="2582" spans="1:11" x14ac:dyDescent="0.35">
      <c r="A2582" s="9" t="str">
        <f>HYPERLINK("http://www.ensembl.org/id/WBGene00023224", "WBGene00023224")</f>
        <v>WBGene00023224</v>
      </c>
      <c r="B2582" s="9"/>
      <c r="C2582" s="9"/>
      <c r="D2582" t="str">
        <f>"B0280.6"</f>
        <v>B0280.6</v>
      </c>
      <c r="F2582" t="s">
        <v>80</v>
      </c>
      <c r="H2582" s="12">
        <v>-2.0112209729644599</v>
      </c>
      <c r="I2582" s="11">
        <v>-0.33927677666211198</v>
      </c>
      <c r="J2582" s="10">
        <v>0.73440123577448002</v>
      </c>
      <c r="K2582" s="29">
        <v>0.98289565623980701</v>
      </c>
    </row>
    <row r="2583" spans="1:11" x14ac:dyDescent="0.35">
      <c r="A2583" s="9" t="str">
        <f>HYPERLINK("http://www.ensembl.org/id/WBGene00020637", "WBGene00020637")</f>
        <v>WBGene00020637</v>
      </c>
      <c r="B2583" s="9" t="str">
        <f>HYPERLINK("http://www.ncbi.nlm.nih.gov/gene/188664", "188664")</f>
        <v>188664</v>
      </c>
      <c r="C2583" s="9"/>
      <c r="D2583" t="str">
        <f>"fbxa-7"</f>
        <v>fbxa-7</v>
      </c>
      <c r="E2583" t="s">
        <v>467</v>
      </c>
      <c r="F2583" t="s">
        <v>11</v>
      </c>
      <c r="G2583" t="s">
        <v>54</v>
      </c>
      <c r="H2583" s="12">
        <v>-2.0112209729644599</v>
      </c>
      <c r="I2583" s="11">
        <v>-0.33927677666211198</v>
      </c>
      <c r="J2583" s="10">
        <v>0.73440123577448002</v>
      </c>
      <c r="K2583" s="29">
        <v>0.98289565623980701</v>
      </c>
    </row>
    <row r="2584" spans="1:11" x14ac:dyDescent="0.35">
      <c r="A2584" s="9" t="str">
        <f>HYPERLINK("http://www.ensembl.org/id/WBGene00021979", "WBGene00021979")</f>
        <v>WBGene00021979</v>
      </c>
      <c r="B2584" s="9" t="str">
        <f>HYPERLINK("http://www.ncbi.nlm.nih.gov/gene/190383", "190383")</f>
        <v>190383</v>
      </c>
      <c r="C2584" s="9"/>
      <c r="D2584" t="str">
        <f>"Y58A7A.5"</f>
        <v>Y58A7A.5</v>
      </c>
      <c r="F2584" t="s">
        <v>11</v>
      </c>
      <c r="H2584" s="12">
        <v>-2.0099382599089499</v>
      </c>
      <c r="I2584" s="11">
        <v>-3.1762656775444</v>
      </c>
      <c r="J2584" s="10">
        <v>1.4918425621051701E-3</v>
      </c>
      <c r="K2584" s="29">
        <v>5.2977269150738998E-2</v>
      </c>
    </row>
    <row r="2585" spans="1:11" x14ac:dyDescent="0.35">
      <c r="A2585" s="9" t="str">
        <f>HYPERLINK("http://www.ensembl.org/id/WBGene00012878", "WBGene00012878")</f>
        <v>WBGene00012878</v>
      </c>
      <c r="B2585" s="9" t="str">
        <f>HYPERLINK("http://www.ncbi.nlm.nih.gov/gene/178334", "178334")</f>
        <v>178334</v>
      </c>
      <c r="C2585" s="9"/>
      <c r="D2585" t="str">
        <f>"Y45F10C.2"</f>
        <v>Y45F10C.2</v>
      </c>
      <c r="E2585" t="s">
        <v>1174</v>
      </c>
      <c r="F2585" t="s">
        <v>11</v>
      </c>
      <c r="G2585" t="s">
        <v>27</v>
      </c>
      <c r="H2585" s="12">
        <v>-2.00927214146646</v>
      </c>
      <c r="I2585" s="11">
        <v>-2.4181161091717098</v>
      </c>
      <c r="J2585" s="10">
        <v>1.5601097775121E-2</v>
      </c>
      <c r="K2585" s="29">
        <v>0.25971107002301602</v>
      </c>
    </row>
    <row r="2586" spans="1:11" x14ac:dyDescent="0.35">
      <c r="A2586" s="9" t="str">
        <f>HYPERLINK("http://www.ensembl.org/id/WBGene00009705", "WBGene00009705")</f>
        <v>WBGene00009705</v>
      </c>
      <c r="B2586" s="9" t="str">
        <f>HYPERLINK("http://www.ncbi.nlm.nih.gov/gene/185752", "185752")</f>
        <v>185752</v>
      </c>
      <c r="C2586" s="9"/>
      <c r="D2586" t="str">
        <f>"F44F4.10"</f>
        <v>F44F4.10</v>
      </c>
      <c r="F2586" t="s">
        <v>11</v>
      </c>
      <c r="H2586" s="12">
        <v>-2.0089588645097098</v>
      </c>
      <c r="I2586" s="11">
        <v>-0.59051823291913497</v>
      </c>
      <c r="J2586" s="10">
        <v>0.55484326560298503</v>
      </c>
      <c r="K2586" s="29">
        <v>0.98289565623980701</v>
      </c>
    </row>
    <row r="2587" spans="1:11" x14ac:dyDescent="0.35">
      <c r="A2587" s="9" t="str">
        <f>HYPERLINK("http://www.ensembl.org/id/WBGene00022032", "WBGene00022032")</f>
        <v>WBGene00022032</v>
      </c>
      <c r="B2587" s="9" t="str">
        <f>HYPERLINK("http://www.ncbi.nlm.nih.gov/gene/171658", "171658")</f>
        <v>171658</v>
      </c>
      <c r="C2587" s="9"/>
      <c r="D2587" t="str">
        <f>"Y65B4A.9"</f>
        <v>Y65B4A.9</v>
      </c>
      <c r="F2587" t="s">
        <v>11</v>
      </c>
      <c r="G2587" t="s">
        <v>1763</v>
      </c>
      <c r="H2587" s="12">
        <v>-2.0087505217530701</v>
      </c>
      <c r="I2587" s="11">
        <v>-0.42839512051741802</v>
      </c>
      <c r="J2587" s="10">
        <v>0.66836347659342799</v>
      </c>
      <c r="K2587" s="29">
        <v>0.98289565623980701</v>
      </c>
    </row>
    <row r="2588" spans="1:11" x14ac:dyDescent="0.35">
      <c r="A2588" s="9" t="str">
        <f>HYPERLINK("http://www.ensembl.org/id/WBGene00005427", "WBGene00005427")</f>
        <v>WBGene00005427</v>
      </c>
      <c r="B2588" s="9" t="str">
        <f>HYPERLINK("http://www.ncbi.nlm.nih.gov/gene/190969", "190969")</f>
        <v>190969</v>
      </c>
      <c r="C2588" s="9"/>
      <c r="D2588" t="str">
        <f>"srh-217"</f>
        <v>srh-217</v>
      </c>
      <c r="E2588" t="s">
        <v>153</v>
      </c>
      <c r="F2588" t="s">
        <v>11</v>
      </c>
      <c r="G2588" t="s">
        <v>25</v>
      </c>
      <c r="H2588" s="12">
        <v>-2.00807653253143</v>
      </c>
      <c r="I2588" s="11">
        <v>-0.60533369587721297</v>
      </c>
      <c r="J2588" s="10">
        <v>0.54495729667618897</v>
      </c>
      <c r="K2588" s="29">
        <v>0.98289565623980701</v>
      </c>
    </row>
    <row r="2589" spans="1:11" x14ac:dyDescent="0.35">
      <c r="A2589" s="9" t="str">
        <f>HYPERLINK("http://www.ensembl.org/id/WBGene00013855", "WBGene00013855")</f>
        <v>WBGene00013855</v>
      </c>
      <c r="B2589" s="9" t="str">
        <f>HYPERLINK("http://www.ncbi.nlm.nih.gov/gene/179729", "179729")</f>
        <v>179729</v>
      </c>
      <c r="C2589" s="9" t="str">
        <f>HYPERLINK("http://www.ncbi.nlm.nih.gov/gene/8029", "8029")</f>
        <v>8029</v>
      </c>
      <c r="D2589" t="str">
        <f>"ZC116.3"</f>
        <v>ZC116.3</v>
      </c>
      <c r="E2589" t="s">
        <v>794</v>
      </c>
      <c r="F2589" t="s">
        <v>11</v>
      </c>
      <c r="G2589" t="s">
        <v>795</v>
      </c>
      <c r="H2589" s="12">
        <v>-2.0080347878340601</v>
      </c>
      <c r="I2589" s="11">
        <v>-2.85080417324061</v>
      </c>
      <c r="J2589" s="10">
        <v>4.3608817782772704E-3</v>
      </c>
      <c r="K2589" s="29">
        <v>0.111075288278682</v>
      </c>
    </row>
    <row r="2590" spans="1:11" x14ac:dyDescent="0.35">
      <c r="A2590" s="9" t="str">
        <f>HYPERLINK("http://www.ensembl.org/id/WBGene00008602", "WBGene00008602")</f>
        <v>WBGene00008602</v>
      </c>
      <c r="B2590" s="9" t="str">
        <f>HYPERLINK("http://www.ncbi.nlm.nih.gov/gene/181226", "181226")</f>
        <v>181226</v>
      </c>
      <c r="C2590" s="9"/>
      <c r="D2590" t="str">
        <f>"oac-14"</f>
        <v>oac-14</v>
      </c>
      <c r="E2590" t="s">
        <v>883</v>
      </c>
      <c r="F2590" t="s">
        <v>11</v>
      </c>
      <c r="G2590" t="s">
        <v>884</v>
      </c>
      <c r="H2590" s="12">
        <v>-2.0076408016504299</v>
      </c>
      <c r="I2590" s="11">
        <v>-1.86116544017659</v>
      </c>
      <c r="J2590" s="10">
        <v>6.27208171911664E-2</v>
      </c>
      <c r="K2590" s="29">
        <v>0.59224650675075197</v>
      </c>
    </row>
    <row r="2591" spans="1:11" x14ac:dyDescent="0.35">
      <c r="A2591" s="9" t="str">
        <f>HYPERLINK("http://www.ensembl.org/id/WBGene00002214", "WBGene00002214")</f>
        <v>WBGene00002214</v>
      </c>
      <c r="B2591" s="9" t="str">
        <f>HYPERLINK("http://www.ncbi.nlm.nih.gov/gene/178007", "178007")</f>
        <v>178007</v>
      </c>
      <c r="C2591" s="9"/>
      <c r="D2591" t="str">
        <f>"klc-1"</f>
        <v>klc-1</v>
      </c>
      <c r="E2591" t="s">
        <v>453</v>
      </c>
      <c r="F2591" t="s">
        <v>11</v>
      </c>
      <c r="G2591" t="s">
        <v>454</v>
      </c>
      <c r="H2591" s="12">
        <v>-2.00707641879402</v>
      </c>
      <c r="I2591" s="11">
        <v>-3.52596409658956</v>
      </c>
      <c r="J2591" s="10">
        <v>4.2194416709408E-4</v>
      </c>
      <c r="K2591" s="29">
        <v>2.0263689621567899E-2</v>
      </c>
    </row>
    <row r="2592" spans="1:11" x14ac:dyDescent="0.35">
      <c r="A2592" s="9" t="str">
        <f>HYPERLINK("http://www.ensembl.org/id/WBGene00044419", "WBGene00044419")</f>
        <v>WBGene00044419</v>
      </c>
      <c r="B2592" s="9" t="str">
        <f>HYPERLINK("http://www.ncbi.nlm.nih.gov/gene/3565224", "3565224")</f>
        <v>3565224</v>
      </c>
      <c r="C2592" s="9"/>
      <c r="D2592" t="str">
        <f>"fbxc-17"</f>
        <v>fbxc-17</v>
      </c>
      <c r="E2592" t="s">
        <v>311</v>
      </c>
      <c r="F2592" t="s">
        <v>11</v>
      </c>
      <c r="H2592" s="12">
        <v>-2.0068711707861802</v>
      </c>
      <c r="I2592" s="11">
        <v>-0.48899998168196601</v>
      </c>
      <c r="J2592" s="10">
        <v>0.62484170982281895</v>
      </c>
      <c r="K2592" s="29">
        <v>0.98289565623980701</v>
      </c>
    </row>
    <row r="2593" spans="1:11" x14ac:dyDescent="0.35">
      <c r="A2593" s="9" t="str">
        <f>HYPERLINK("http://www.ensembl.org/id/WBGene00044475", "WBGene00044475")</f>
        <v>WBGene00044475</v>
      </c>
      <c r="B2593" s="9" t="str">
        <f>HYPERLINK("http://www.ncbi.nlm.nih.gov/gene/3896773", "3896773")</f>
        <v>3896773</v>
      </c>
      <c r="C2593" s="9"/>
      <c r="D2593" t="str">
        <f>"F56D6.13"</f>
        <v>F56D6.13</v>
      </c>
      <c r="F2593" t="s">
        <v>11</v>
      </c>
      <c r="G2593" t="s">
        <v>25</v>
      </c>
      <c r="H2593" s="12">
        <v>-2.00682277655305</v>
      </c>
      <c r="I2593" s="11">
        <v>-0.49142161571090398</v>
      </c>
      <c r="J2593" s="10">
        <v>0.62312827901821299</v>
      </c>
      <c r="K2593" s="29">
        <v>0.98289565623980701</v>
      </c>
    </row>
    <row r="2594" spans="1:11" x14ac:dyDescent="0.35">
      <c r="A2594" s="9" t="str">
        <f>HYPERLINK("http://www.ensembl.org/id/WBGene00020700", "WBGene00020700")</f>
        <v>WBGene00020700</v>
      </c>
      <c r="B2594" s="9" t="str">
        <f>HYPERLINK("http://www.ncbi.nlm.nih.gov/gene/178782", "178782")</f>
        <v>178782</v>
      </c>
      <c r="C2594" s="9"/>
      <c r="D2594" t="str">
        <f>"T22F3.11"</f>
        <v>T22F3.11</v>
      </c>
      <c r="F2594" t="s">
        <v>11</v>
      </c>
      <c r="G2594" t="s">
        <v>230</v>
      </c>
      <c r="H2594" s="12">
        <v>-2.0067778137509502</v>
      </c>
      <c r="I2594" s="11">
        <v>-2.5099500440928302</v>
      </c>
      <c r="J2594" s="10">
        <v>1.2074824227449999E-2</v>
      </c>
      <c r="K2594" s="29">
        <v>0.21969228540246799</v>
      </c>
    </row>
    <row r="2595" spans="1:11" x14ac:dyDescent="0.35">
      <c r="A2595" s="9" t="str">
        <f>HYPERLINK("http://www.ensembl.org/id/WBGene00015763", "WBGene00015763")</f>
        <v>WBGene00015763</v>
      </c>
      <c r="B2595" s="9"/>
      <c r="C2595" s="9"/>
      <c r="D2595" t="str">
        <f>"C14C6.12"</f>
        <v>C14C6.12</v>
      </c>
      <c r="F2595" t="s">
        <v>80</v>
      </c>
      <c r="H2595" s="12">
        <v>-2.0063330589257999</v>
      </c>
      <c r="I2595" s="11">
        <v>-0.978539743742325</v>
      </c>
      <c r="J2595" s="10">
        <v>0.32780744460929301</v>
      </c>
      <c r="K2595" s="29">
        <v>0.98289565623980701</v>
      </c>
    </row>
    <row r="2596" spans="1:11" x14ac:dyDescent="0.35">
      <c r="A2596" s="9" t="str">
        <f>HYPERLINK("http://www.ensembl.org/id/WBGene00020352", "WBGene00020352")</f>
        <v>WBGene00020352</v>
      </c>
      <c r="B2596" s="9"/>
      <c r="C2596" s="9"/>
      <c r="D2596" t="str">
        <f>"T08B6.2"</f>
        <v>T08B6.2</v>
      </c>
      <c r="F2596" t="s">
        <v>80</v>
      </c>
      <c r="H2596" s="12">
        <v>-2.0061629429087202</v>
      </c>
      <c r="I2596" s="11">
        <v>-0.74193283110394403</v>
      </c>
      <c r="J2596" s="10">
        <v>0.45812803289615001</v>
      </c>
      <c r="K2596" s="29">
        <v>0.98289565623980701</v>
      </c>
    </row>
    <row r="2597" spans="1:11" x14ac:dyDescent="0.35">
      <c r="A2597" s="9" t="str">
        <f>HYPERLINK("http://www.ensembl.org/id/WBGene00015817", "WBGene00015817")</f>
        <v>WBGene00015817</v>
      </c>
      <c r="B2597" s="9" t="str">
        <f>HYPERLINK("http://www.ncbi.nlm.nih.gov/gene/173755", "173755")</f>
        <v>173755</v>
      </c>
      <c r="C2597" s="9"/>
      <c r="D2597" t="str">
        <f>"C16A11.4"</f>
        <v>C16A11.4</v>
      </c>
      <c r="F2597" t="s">
        <v>11</v>
      </c>
      <c r="G2597" t="s">
        <v>619</v>
      </c>
      <c r="H2597" s="12">
        <v>-2.0045697122414401</v>
      </c>
      <c r="I2597" s="11">
        <v>-3.0978674266547701</v>
      </c>
      <c r="J2597" s="10">
        <v>1.94918603687309E-3</v>
      </c>
      <c r="K2597" s="29">
        <v>6.3433651504210806E-2</v>
      </c>
    </row>
    <row r="2598" spans="1:11" x14ac:dyDescent="0.35">
      <c r="A2598" s="9" t="str">
        <f>HYPERLINK("http://www.ensembl.org/id/WBGene00008611", "WBGene00008611")</f>
        <v>WBGene00008611</v>
      </c>
      <c r="B2598" s="9" t="str">
        <f>HYPERLINK("http://www.ncbi.nlm.nih.gov/gene/184227", "184227")</f>
        <v>184227</v>
      </c>
      <c r="C2598" s="9"/>
      <c r="D2598" t="str">
        <f>"fbxb-68"</f>
        <v>fbxb-68</v>
      </c>
      <c r="E2598" t="s">
        <v>1436</v>
      </c>
      <c r="F2598" t="s">
        <v>11</v>
      </c>
      <c r="H2598" s="12">
        <v>-2.00410487888522</v>
      </c>
      <c r="I2598" s="11">
        <v>-0.94166664003318601</v>
      </c>
      <c r="J2598" s="10">
        <v>0.346363339723327</v>
      </c>
      <c r="K2598" s="29">
        <v>0.98289565623980701</v>
      </c>
    </row>
    <row r="2599" spans="1:11" x14ac:dyDescent="0.35">
      <c r="A2599" s="9" t="str">
        <f>HYPERLINK("http://www.ensembl.org/id/WBGene00044462", "WBGene00044462")</f>
        <v>WBGene00044462</v>
      </c>
      <c r="B2599" s="9" t="str">
        <f>HYPERLINK("http://www.ncbi.nlm.nih.gov/gene/3896776", "3896776")</f>
        <v>3896776</v>
      </c>
      <c r="C2599" s="9"/>
      <c r="D2599" t="str">
        <f>"C44B12.9"</f>
        <v>C44B12.9</v>
      </c>
      <c r="F2599" t="s">
        <v>11</v>
      </c>
      <c r="H2599" s="12">
        <v>-2.00342597865605</v>
      </c>
      <c r="I2599" s="11">
        <v>-0.33326616953667099</v>
      </c>
      <c r="J2599" s="10">
        <v>0.73893337391168601</v>
      </c>
      <c r="K2599" s="29">
        <v>0.98289565623980701</v>
      </c>
    </row>
    <row r="2600" spans="1:11" x14ac:dyDescent="0.35">
      <c r="A2600" s="9" t="str">
        <f>HYPERLINK("http://www.ensembl.org/id/WBGene00012025", "WBGene00012025")</f>
        <v>WBGene00012025</v>
      </c>
      <c r="B2600" s="9" t="str">
        <f>HYPERLINK("http://www.ncbi.nlm.nih.gov/gene/188900", "188900")</f>
        <v>188900</v>
      </c>
      <c r="C2600" s="9"/>
      <c r="D2600" t="str">
        <f>"clec-38"</f>
        <v>clec-38</v>
      </c>
      <c r="E2600" t="s">
        <v>46</v>
      </c>
      <c r="F2600" t="s">
        <v>11</v>
      </c>
      <c r="G2600" t="s">
        <v>10036</v>
      </c>
      <c r="H2600" s="12">
        <v>-2.00282366455441</v>
      </c>
      <c r="I2600" s="11">
        <v>-0.261094718881763</v>
      </c>
      <c r="J2600" s="10">
        <v>0.79401946419414404</v>
      </c>
      <c r="K2600" s="29">
        <v>0.98289565623980701</v>
      </c>
    </row>
    <row r="2601" spans="1:11" x14ac:dyDescent="0.35">
      <c r="A2601" s="9" t="str">
        <f>HYPERLINK("http://www.ensembl.org/id/WBGene00044140", "WBGene00044140")</f>
        <v>WBGene00044140</v>
      </c>
      <c r="B2601" s="9" t="str">
        <f>HYPERLINK("http://www.ncbi.nlm.nih.gov/gene/3565753", "3565753")</f>
        <v>3565753</v>
      </c>
      <c r="C2601" s="9"/>
      <c r="D2601" t="str">
        <f>"F42F12.11"</f>
        <v>F42F12.11</v>
      </c>
      <c r="F2601" t="s">
        <v>11</v>
      </c>
      <c r="H2601" s="12">
        <v>-2.00282366455441</v>
      </c>
      <c r="I2601" s="11">
        <v>-0.261094718881763</v>
      </c>
      <c r="J2601" s="10">
        <v>0.79401946419414404</v>
      </c>
      <c r="K2601" s="29">
        <v>0.98289565623980701</v>
      </c>
    </row>
    <row r="2602" spans="1:11" x14ac:dyDescent="0.35">
      <c r="A2602" s="9" t="str">
        <f>HYPERLINK("http://www.ensembl.org/id/WBGene00303398", "WBGene00303398")</f>
        <v>WBGene00303398</v>
      </c>
      <c r="B2602" s="9"/>
      <c r="C2602" s="9"/>
      <c r="D2602" t="str">
        <f>"F46H5.11"</f>
        <v>F46H5.11</v>
      </c>
      <c r="F2602" t="s">
        <v>11</v>
      </c>
      <c r="H2602" s="12">
        <v>-2.00282366455441</v>
      </c>
      <c r="I2602" s="11">
        <v>-0.261094718881763</v>
      </c>
      <c r="J2602" s="10">
        <v>0.79401946419414404</v>
      </c>
      <c r="K2602" s="29">
        <v>0.98289565623980701</v>
      </c>
    </row>
    <row r="2603" spans="1:11" x14ac:dyDescent="0.35">
      <c r="A2603" s="9" t="str">
        <f>HYPERLINK("http://www.ensembl.org/id/WBGene00196945", "WBGene00196945")</f>
        <v>WBGene00196945</v>
      </c>
      <c r="B2603" s="9"/>
      <c r="C2603" s="9"/>
      <c r="D2603" t="str">
        <f>"F52D10.7"</f>
        <v>F52D10.7</v>
      </c>
      <c r="F2603" t="s">
        <v>481</v>
      </c>
      <c r="H2603" s="12">
        <v>-2.00282366455441</v>
      </c>
      <c r="I2603" s="11">
        <v>-0.261094718881763</v>
      </c>
      <c r="J2603" s="10">
        <v>0.79401946419414404</v>
      </c>
      <c r="K2603" s="29">
        <v>0.98289565623980701</v>
      </c>
    </row>
    <row r="2604" spans="1:11" x14ac:dyDescent="0.35">
      <c r="A2604" s="9" t="str">
        <f>HYPERLINK("http://www.ensembl.org/id/WBGene00005983", "WBGene00005983")</f>
        <v>WBGene00005983</v>
      </c>
      <c r="B2604" s="9" t="str">
        <f>HYPERLINK("http://www.ncbi.nlm.nih.gov/gene/184316", "184316")</f>
        <v>184316</v>
      </c>
      <c r="C2604" s="9"/>
      <c r="D2604" t="str">
        <f>"srx-92"</f>
        <v>srx-92</v>
      </c>
      <c r="E2604" t="s">
        <v>1477</v>
      </c>
      <c r="F2604" t="s">
        <v>11</v>
      </c>
      <c r="G2604" t="s">
        <v>25</v>
      </c>
      <c r="H2604" s="12">
        <v>-2.00282366455441</v>
      </c>
      <c r="I2604" s="11">
        <v>-0.261094718881763</v>
      </c>
      <c r="J2604" s="10">
        <v>0.79401946419414404</v>
      </c>
      <c r="K2604" s="29">
        <v>0.98289565623980701</v>
      </c>
    </row>
    <row r="2605" spans="1:11" x14ac:dyDescent="0.35">
      <c r="A2605" s="9" t="str">
        <f>HYPERLINK("http://www.ensembl.org/id/WBGene00077607", "WBGene00077607")</f>
        <v>WBGene00077607</v>
      </c>
      <c r="B2605" s="9" t="str">
        <f>HYPERLINK("http://www.ncbi.nlm.nih.gov/gene/6418771", "6418771")</f>
        <v>6418771</v>
      </c>
      <c r="C2605" s="9"/>
      <c r="D2605" t="str">
        <f>"T10C6.16"</f>
        <v>T10C6.16</v>
      </c>
      <c r="F2605" t="s">
        <v>11</v>
      </c>
      <c r="H2605" s="12">
        <v>-2.0017484455732699</v>
      </c>
      <c r="I2605" s="11">
        <v>-0.33691131513484801</v>
      </c>
      <c r="J2605" s="10">
        <v>0.73618375525280899</v>
      </c>
      <c r="K2605" s="29">
        <v>0.98289565623980701</v>
      </c>
    </row>
    <row r="2606" spans="1:11" x14ac:dyDescent="0.35">
      <c r="A2606" s="9" t="str">
        <f>HYPERLINK("http://www.ensembl.org/id/WBGene00008879", "WBGene00008879")</f>
        <v>WBGene00008879</v>
      </c>
      <c r="B2606" s="9" t="str">
        <f>HYPERLINK("http://www.ncbi.nlm.nih.gov/gene/181519", "181519")</f>
        <v>181519</v>
      </c>
      <c r="C2606" s="9"/>
      <c r="D2606" t="str">
        <f>"F16B12.1"</f>
        <v>F16B12.1</v>
      </c>
      <c r="F2606" t="s">
        <v>11</v>
      </c>
      <c r="G2606" t="s">
        <v>25</v>
      </c>
      <c r="H2606" s="12">
        <v>-2.00109785548673</v>
      </c>
      <c r="I2606" s="11">
        <v>-2.7565728703544701</v>
      </c>
      <c r="J2606" s="10">
        <v>5.84105960523865E-3</v>
      </c>
      <c r="K2606" s="29">
        <v>0.13482869454409999</v>
      </c>
    </row>
    <row r="2607" spans="1:11" x14ac:dyDescent="0.35">
      <c r="A2607" s="9" t="str">
        <f>HYPERLINK("http://www.ensembl.org/id/WBGene00022214", "WBGene00022214")</f>
        <v>WBGene00022214</v>
      </c>
      <c r="B2607" s="9"/>
      <c r="C2607" s="9"/>
      <c r="D2607" t="str">
        <f>"cal-6"</f>
        <v>cal-6</v>
      </c>
      <c r="F2607" t="s">
        <v>80</v>
      </c>
      <c r="H2607" s="12">
        <v>-1.9960486343517501</v>
      </c>
      <c r="I2607" s="11">
        <v>-0.56143508545072196</v>
      </c>
      <c r="J2607" s="10">
        <v>0.57450097155915603</v>
      </c>
      <c r="K2607" s="29">
        <v>0.98289565623980701</v>
      </c>
    </row>
    <row r="2608" spans="1:11" x14ac:dyDescent="0.35">
      <c r="A2608" s="9" t="str">
        <f>HYPERLINK("http://www.ensembl.org/id/WBGene00022030", "WBGene00022030")</f>
        <v>WBGene00022030</v>
      </c>
      <c r="B2608" s="9" t="str">
        <f>HYPERLINK("http://www.ncbi.nlm.nih.gov/gene/190486", "190486")</f>
        <v>190486</v>
      </c>
      <c r="C2608" s="9"/>
      <c r="D2608" t="str">
        <f>"Y65B4A.7"</f>
        <v>Y65B4A.7</v>
      </c>
      <c r="F2608" t="s">
        <v>11</v>
      </c>
      <c r="G2608" t="s">
        <v>4204</v>
      </c>
      <c r="H2608" s="12">
        <v>-1.99601729582475</v>
      </c>
      <c r="I2608" s="11">
        <v>-0.55857649504218898</v>
      </c>
      <c r="J2608" s="10">
        <v>0.57645078522158599</v>
      </c>
      <c r="K2608" s="29">
        <v>0.98289565623980701</v>
      </c>
    </row>
    <row r="2609" spans="1:11" x14ac:dyDescent="0.35">
      <c r="A2609" s="9" t="str">
        <f>HYPERLINK("http://www.ensembl.org/id/WBGene00009984", "WBGene00009984")</f>
        <v>WBGene00009984</v>
      </c>
      <c r="B2609" s="9" t="str">
        <f>HYPERLINK("http://www.ncbi.nlm.nih.gov/gene/186170", "186170")</f>
        <v>186170</v>
      </c>
      <c r="C2609" s="9"/>
      <c r="D2609" t="str">
        <f>"F53F1.6"</f>
        <v>F53F1.6</v>
      </c>
      <c r="F2609" t="s">
        <v>11</v>
      </c>
      <c r="H2609" s="12">
        <v>-1.99569179771602</v>
      </c>
      <c r="I2609" s="11">
        <v>-1.57264047676964</v>
      </c>
      <c r="J2609" s="10">
        <v>0.115802089658175</v>
      </c>
      <c r="K2609" s="29">
        <v>0.778052655900489</v>
      </c>
    </row>
    <row r="2610" spans="1:11" x14ac:dyDescent="0.35">
      <c r="A2610" s="9" t="str">
        <f>HYPERLINK("http://www.ensembl.org/id/WBGene00019306", "WBGene00019306")</f>
        <v>WBGene00019306</v>
      </c>
      <c r="B2610" s="9" t="str">
        <f>HYPERLINK("http://www.ncbi.nlm.nih.gov/gene/186885", "186885")</f>
        <v>186885</v>
      </c>
      <c r="C2610" s="9"/>
      <c r="D2610" t="str">
        <f>"K02E7.1"</f>
        <v>K02E7.1</v>
      </c>
      <c r="F2610" t="s">
        <v>11</v>
      </c>
      <c r="H2610" s="12">
        <v>-1.99508599971012</v>
      </c>
      <c r="I2610" s="11">
        <v>-0.73011607756807695</v>
      </c>
      <c r="J2610" s="10">
        <v>0.46531923463503899</v>
      </c>
      <c r="K2610" s="29">
        <v>0.98289565623980701</v>
      </c>
    </row>
    <row r="2611" spans="1:11" x14ac:dyDescent="0.35">
      <c r="A2611" s="9" t="str">
        <f>HYPERLINK("http://www.ensembl.org/id/WBGene00007788", "WBGene00007788")</f>
        <v>WBGene00007788</v>
      </c>
      <c r="B2611" s="9" t="str">
        <f>HYPERLINK("http://www.ncbi.nlm.nih.gov/gene/175580", "175580")</f>
        <v>175580</v>
      </c>
      <c r="C2611" s="9"/>
      <c r="D2611" t="str">
        <f>"C28A5.1"</f>
        <v>C28A5.1</v>
      </c>
      <c r="F2611" t="s">
        <v>11</v>
      </c>
      <c r="H2611" s="12">
        <v>-1.99483576514575</v>
      </c>
      <c r="I2611" s="11">
        <v>-2.3296793243612002</v>
      </c>
      <c r="J2611" s="10">
        <v>1.9823106111652201E-2</v>
      </c>
      <c r="K2611" s="29">
        <v>0.298781924211243</v>
      </c>
    </row>
    <row r="2612" spans="1:11" x14ac:dyDescent="0.35">
      <c r="A2612" s="9" t="str">
        <f>HYPERLINK("http://www.ensembl.org/id/WBGene00050936", "WBGene00050936")</f>
        <v>WBGene00050936</v>
      </c>
      <c r="B2612" s="9" t="str">
        <f>HYPERLINK("http://www.ncbi.nlm.nih.gov/gene/6418826", "6418826")</f>
        <v>6418826</v>
      </c>
      <c r="C2612" s="9"/>
      <c r="D2612" t="str">
        <f>"ZK856.16"</f>
        <v>ZK856.16</v>
      </c>
      <c r="F2612" t="s">
        <v>11</v>
      </c>
      <c r="H2612" s="12">
        <v>-1.9939522494739901</v>
      </c>
      <c r="I2612" s="11">
        <v>-0.75139361654070502</v>
      </c>
      <c r="J2612" s="10">
        <v>0.45241580330387599</v>
      </c>
      <c r="K2612" s="29">
        <v>0.98289565623980701</v>
      </c>
    </row>
    <row r="2613" spans="1:11" x14ac:dyDescent="0.35">
      <c r="A2613" s="9" t="str">
        <f>HYPERLINK("http://www.ensembl.org/id/WBGene00012415", "WBGene00012415")</f>
        <v>WBGene00012415</v>
      </c>
      <c r="B2613" s="9" t="str">
        <f>HYPERLINK("http://www.ncbi.nlm.nih.gov/gene/189388", "189388")</f>
        <v>189388</v>
      </c>
      <c r="C2613" s="9"/>
      <c r="D2613" t="str">
        <f>"Y7A5A.9"</f>
        <v>Y7A5A.9</v>
      </c>
      <c r="F2613" t="s">
        <v>11</v>
      </c>
      <c r="H2613" s="12">
        <v>-1.9932555933675999</v>
      </c>
      <c r="I2613" s="11">
        <v>-0.45961805314512</v>
      </c>
      <c r="J2613" s="10">
        <v>0.64579039861507703</v>
      </c>
      <c r="K2613" s="29">
        <v>0.98289565623980701</v>
      </c>
    </row>
    <row r="2614" spans="1:11" x14ac:dyDescent="0.35">
      <c r="A2614" s="9" t="str">
        <f>HYPERLINK("http://www.ensembl.org/id/WBGene00195542", "WBGene00195542")</f>
        <v>WBGene00195542</v>
      </c>
      <c r="B2614" s="9"/>
      <c r="C2614" s="9"/>
      <c r="D2614" t="str">
        <f>"C24A3.10"</f>
        <v>C24A3.10</v>
      </c>
      <c r="F2614" t="s">
        <v>481</v>
      </c>
      <c r="H2614" s="12">
        <v>-1.99319242363313</v>
      </c>
      <c r="I2614" s="11">
        <v>-0.36101094322393201</v>
      </c>
      <c r="J2614" s="10">
        <v>0.71809126646037702</v>
      </c>
      <c r="K2614" s="29">
        <v>0.98289565623980701</v>
      </c>
    </row>
    <row r="2615" spans="1:11" x14ac:dyDescent="0.35">
      <c r="A2615" s="9" t="str">
        <f>HYPERLINK("http://www.ensembl.org/id/WBGene00008462", "WBGene00008462")</f>
        <v>WBGene00008462</v>
      </c>
      <c r="B2615" s="9" t="str">
        <f>HYPERLINK("http://www.ncbi.nlm.nih.gov/gene/183995", "183995")</f>
        <v>183995</v>
      </c>
      <c r="C2615" s="9"/>
      <c r="D2615" t="str">
        <f>"E02H4.4"</f>
        <v>E02H4.4</v>
      </c>
      <c r="F2615" t="s">
        <v>11</v>
      </c>
      <c r="G2615" t="s">
        <v>27</v>
      </c>
      <c r="H2615" s="12">
        <v>-1.9921273120457399</v>
      </c>
      <c r="I2615" s="11">
        <v>-2.98979060076958</v>
      </c>
      <c r="J2615" s="10">
        <v>2.79168755064542E-3</v>
      </c>
      <c r="K2615" s="29">
        <v>8.1138028358758593E-2</v>
      </c>
    </row>
    <row r="2616" spans="1:11" x14ac:dyDescent="0.35">
      <c r="A2616" s="9" t="str">
        <f>HYPERLINK("http://www.ensembl.org/id/WBGene00012716", "WBGene00012716")</f>
        <v>WBGene00012716</v>
      </c>
      <c r="B2616" s="9" t="str">
        <f>HYPERLINK("http://www.ncbi.nlm.nih.gov/gene/176735", "176735")</f>
        <v>176735</v>
      </c>
      <c r="C2616" s="9"/>
      <c r="D2616" t="str">
        <f>"Y39E4B.5"</f>
        <v>Y39E4B.5</v>
      </c>
      <c r="F2616" t="s">
        <v>11</v>
      </c>
      <c r="G2616" t="s">
        <v>230</v>
      </c>
      <c r="H2616" s="12">
        <v>-1.9917429206549599</v>
      </c>
      <c r="I2616" s="11">
        <v>-3.10386694840401</v>
      </c>
      <c r="J2616" s="10">
        <v>1.9100920781173799E-3</v>
      </c>
      <c r="K2616" s="29">
        <v>6.2602251853872498E-2</v>
      </c>
    </row>
    <row r="2617" spans="1:11" x14ac:dyDescent="0.35">
      <c r="A2617" s="9" t="str">
        <f>HYPERLINK("http://www.ensembl.org/id/WBGene00013610", "WBGene00013610")</f>
        <v>WBGene00013610</v>
      </c>
      <c r="B2617" s="9" t="str">
        <f>HYPERLINK("http://www.ncbi.nlm.nih.gov/gene/180130", "180130")</f>
        <v>180130</v>
      </c>
      <c r="C2617" s="9"/>
      <c r="D2617" t="str">
        <f>"fbxa-206"</f>
        <v>fbxa-206</v>
      </c>
      <c r="E2617" t="s">
        <v>467</v>
      </c>
      <c r="F2617" t="s">
        <v>11</v>
      </c>
      <c r="G2617" t="s">
        <v>54</v>
      </c>
      <c r="H2617" s="12">
        <v>-1.99124541030378</v>
      </c>
      <c r="I2617" s="11">
        <v>-2.5043524728721298</v>
      </c>
      <c r="J2617" s="10">
        <v>1.2267575362999199E-2</v>
      </c>
      <c r="K2617" s="29">
        <v>0.22123443539432799</v>
      </c>
    </row>
    <row r="2618" spans="1:11" x14ac:dyDescent="0.35">
      <c r="A2618" s="9" t="str">
        <f>HYPERLINK("http://www.ensembl.org/id/WBGene00018613", "WBGene00018613")</f>
        <v>WBGene00018613</v>
      </c>
      <c r="B2618" s="9" t="str">
        <f>HYPERLINK("http://www.ncbi.nlm.nih.gov/gene/175749", "175749")</f>
        <v>175749</v>
      </c>
      <c r="C2618" s="9" t="str">
        <f>HYPERLINK("http://www.ncbi.nlm.nih.gov/gene/6502", "6502")</f>
        <v>6502</v>
      </c>
      <c r="D2618" t="str">
        <f>"skpt-1"</f>
        <v>skpt-1</v>
      </c>
      <c r="E2618" t="s">
        <v>580</v>
      </c>
      <c r="F2618" t="s">
        <v>11</v>
      </c>
      <c r="G2618" t="s">
        <v>581</v>
      </c>
      <c r="H2618" s="12">
        <v>-1.99120145773743</v>
      </c>
      <c r="I2618" s="11">
        <v>-3.1522631586883798</v>
      </c>
      <c r="J2618" s="10">
        <v>1.6201019114495301E-3</v>
      </c>
      <c r="K2618" s="29">
        <v>5.6448268276427301E-2</v>
      </c>
    </row>
    <row r="2619" spans="1:11" x14ac:dyDescent="0.35">
      <c r="A2619" s="9" t="str">
        <f>HYPERLINK("http://www.ensembl.org/id/WBGene00020941", "WBGene00020941")</f>
        <v>WBGene00020941</v>
      </c>
      <c r="B2619" s="9" t="str">
        <f>HYPERLINK("http://www.ncbi.nlm.nih.gov/gene/189117", "189117")</f>
        <v>189117</v>
      </c>
      <c r="C2619" s="9"/>
      <c r="D2619" t="str">
        <f>"W02D7.5"</f>
        <v>W02D7.5</v>
      </c>
      <c r="F2619" t="s">
        <v>11</v>
      </c>
      <c r="G2619" t="s">
        <v>386</v>
      </c>
      <c r="H2619" s="12">
        <v>-1.98982519506428</v>
      </c>
      <c r="I2619" s="11">
        <v>-1.67847970681156</v>
      </c>
      <c r="J2619" s="10">
        <v>9.3253488822006902E-2</v>
      </c>
      <c r="K2619" s="29">
        <v>0.70637475024993301</v>
      </c>
    </row>
    <row r="2620" spans="1:11" x14ac:dyDescent="0.35">
      <c r="A2620" s="9" t="str">
        <f>HYPERLINK("http://www.ensembl.org/id/WBGene00022586", "WBGene00022586")</f>
        <v>WBGene00022586</v>
      </c>
      <c r="B2620" s="9" t="str">
        <f>HYPERLINK("http://www.ncbi.nlm.nih.gov/gene/172336", "172336")</f>
        <v>172336</v>
      </c>
      <c r="C2620" s="9"/>
      <c r="D2620" t="str">
        <f>"ZC308.4"</f>
        <v>ZC308.4</v>
      </c>
      <c r="F2620" t="s">
        <v>11</v>
      </c>
      <c r="H2620" s="12">
        <v>-1.9894255024688701</v>
      </c>
      <c r="I2620" s="11">
        <v>-3.2989563424575201</v>
      </c>
      <c r="J2620" s="10">
        <v>9.7045002701144504E-4</v>
      </c>
      <c r="K2620" s="29">
        <v>3.7923101811276901E-2</v>
      </c>
    </row>
    <row r="2621" spans="1:11" x14ac:dyDescent="0.35">
      <c r="A2621" s="9" t="str">
        <f>HYPERLINK("http://www.ensembl.org/id/WBGene00013249", "WBGene00013249")</f>
        <v>WBGene00013249</v>
      </c>
      <c r="B2621" s="9" t="str">
        <f>HYPERLINK("http://www.ncbi.nlm.nih.gov/gene/190333", "190333")</f>
        <v>190333</v>
      </c>
      <c r="C2621" s="9"/>
      <c r="D2621" t="str">
        <f>"Y57A10A.4"</f>
        <v>Y57A10A.4</v>
      </c>
      <c r="F2621" t="s">
        <v>11</v>
      </c>
      <c r="H2621" s="12">
        <v>-1.98888306645159</v>
      </c>
      <c r="I2621" s="11">
        <v>-1.0232548502280601</v>
      </c>
      <c r="J2621" s="10">
        <v>0.30618736508621902</v>
      </c>
      <c r="K2621" s="29">
        <v>0.98289565623980701</v>
      </c>
    </row>
    <row r="2622" spans="1:11" x14ac:dyDescent="0.35">
      <c r="A2622" s="9" t="str">
        <f>HYPERLINK("http://www.ensembl.org/id/WBGene00021873", "WBGene00021873")</f>
        <v>WBGene00021873</v>
      </c>
      <c r="B2622" s="9" t="str">
        <f>HYPERLINK("http://www.ncbi.nlm.nih.gov/gene/177064", "177064")</f>
        <v>177064</v>
      </c>
      <c r="C2622" s="9"/>
      <c r="D2622" t="str">
        <f>"clec-82"</f>
        <v>clec-82</v>
      </c>
      <c r="E2622" t="s">
        <v>46</v>
      </c>
      <c r="F2622" t="s">
        <v>11</v>
      </c>
      <c r="G2622" t="s">
        <v>151</v>
      </c>
      <c r="H2622" s="12">
        <v>-1.98844673076476</v>
      </c>
      <c r="I2622" s="11">
        <v>-2.5083920524685999</v>
      </c>
      <c r="J2622" s="10">
        <v>1.2128201890240701E-2</v>
      </c>
      <c r="K2622" s="29">
        <v>0.219876434809158</v>
      </c>
    </row>
    <row r="2623" spans="1:11" x14ac:dyDescent="0.35">
      <c r="A2623" s="9" t="str">
        <f>HYPERLINK("http://www.ensembl.org/id/WBGene00012451", "WBGene00012451")</f>
        <v>WBGene00012451</v>
      </c>
      <c r="B2623" s="9" t="str">
        <f>HYPERLINK("http://www.ncbi.nlm.nih.gov/gene/189447", "189447")</f>
        <v>189447</v>
      </c>
      <c r="C2623" s="9"/>
      <c r="D2623" t="str">
        <f>"Y17D7B.3"</f>
        <v>Y17D7B.3</v>
      </c>
      <c r="F2623" t="s">
        <v>11</v>
      </c>
      <c r="H2623" s="12">
        <v>-1.9854322977369501</v>
      </c>
      <c r="I2623" s="11">
        <v>-0.84809074979603705</v>
      </c>
      <c r="J2623" s="10">
        <v>0.396387432789437</v>
      </c>
      <c r="K2623" s="29">
        <v>0.98289565623980701</v>
      </c>
    </row>
    <row r="2624" spans="1:11" x14ac:dyDescent="0.35">
      <c r="A2624" s="9" t="str">
        <f>HYPERLINK("http://www.ensembl.org/id/WBGene00020473", "WBGene00020473")</f>
        <v>WBGene00020473</v>
      </c>
      <c r="B2624" s="9" t="str">
        <f>HYPERLINK("http://www.ncbi.nlm.nih.gov/gene/188468", "188468")</f>
        <v>188468</v>
      </c>
      <c r="C2624" s="9"/>
      <c r="D2624" t="str">
        <f>"lips-12"</f>
        <v>lips-12</v>
      </c>
      <c r="E2624" t="s">
        <v>430</v>
      </c>
      <c r="F2624" t="s">
        <v>11</v>
      </c>
      <c r="G2624" t="s">
        <v>431</v>
      </c>
      <c r="H2624" s="12">
        <v>-1.98539956709831</v>
      </c>
      <c r="I2624" s="11">
        <v>-0.57775579777492703</v>
      </c>
      <c r="J2624" s="10">
        <v>0.56342900186228195</v>
      </c>
      <c r="K2624" s="29">
        <v>0.98289565623980701</v>
      </c>
    </row>
    <row r="2625" spans="1:11" x14ac:dyDescent="0.35">
      <c r="A2625" s="9" t="str">
        <f>HYPERLINK("http://www.ensembl.org/id/WBGene00016693", "WBGene00016693")</f>
        <v>WBGene00016693</v>
      </c>
      <c r="B2625" s="9" t="str">
        <f>HYPERLINK("http://www.ncbi.nlm.nih.gov/gene/183492", "183492")</f>
        <v>183492</v>
      </c>
      <c r="C2625" s="9"/>
      <c r="D2625" t="str">
        <f>"srbc-20"</f>
        <v>srbc-20</v>
      </c>
      <c r="E2625" t="s">
        <v>3034</v>
      </c>
      <c r="F2625" t="s">
        <v>11</v>
      </c>
      <c r="G2625" t="s">
        <v>25</v>
      </c>
      <c r="H2625" s="12">
        <v>-1.9840585088993401</v>
      </c>
      <c r="I2625" s="11">
        <v>-0.39707546250125098</v>
      </c>
      <c r="J2625" s="10">
        <v>0.69131181378147</v>
      </c>
      <c r="K2625" s="29">
        <v>0.98289565623980701</v>
      </c>
    </row>
    <row r="2626" spans="1:11" x14ac:dyDescent="0.35">
      <c r="A2626" s="9" t="str">
        <f>HYPERLINK("http://www.ensembl.org/id/WBGene00014106", "WBGene00014106")</f>
        <v>WBGene00014106</v>
      </c>
      <c r="B2626" s="9" t="str">
        <f>HYPERLINK("http://www.ncbi.nlm.nih.gov/gene/191439", "191439")</f>
        <v>191439</v>
      </c>
      <c r="C2626" s="9" t="str">
        <f>HYPERLINK("http://www.ncbi.nlm.nih.gov/gene/27293", "27293")</f>
        <v>27293</v>
      </c>
      <c r="D2626" t="str">
        <f>"ZK856.5"</f>
        <v>ZK856.5</v>
      </c>
      <c r="F2626" t="s">
        <v>11</v>
      </c>
      <c r="G2626" t="s">
        <v>504</v>
      </c>
      <c r="H2626" s="12">
        <v>-1.9834878106857099</v>
      </c>
      <c r="I2626" s="11">
        <v>-3.3509093147687401</v>
      </c>
      <c r="J2626" s="10">
        <v>8.0546674968856396E-4</v>
      </c>
      <c r="K2626" s="29">
        <v>3.2823835482017602E-2</v>
      </c>
    </row>
    <row r="2627" spans="1:11" x14ac:dyDescent="0.35">
      <c r="A2627" s="9" t="str">
        <f>HYPERLINK("http://www.ensembl.org/id/WBGene00021661", "WBGene00021661")</f>
        <v>WBGene00021661</v>
      </c>
      <c r="B2627" s="9" t="str">
        <f>HYPERLINK("http://www.ncbi.nlm.nih.gov/gene/171624", "171624")</f>
        <v>171624</v>
      </c>
      <c r="C2627" s="9" t="str">
        <f>HYPERLINK("http://www.ncbi.nlm.nih.gov/gene/83746", "83746")</f>
        <v>83746</v>
      </c>
      <c r="D2627" t="str">
        <f>"mbtr-1"</f>
        <v>mbtr-1</v>
      </c>
      <c r="E2627" t="s">
        <v>800</v>
      </c>
      <c r="F2627" t="s">
        <v>11</v>
      </c>
      <c r="G2627" t="s">
        <v>801</v>
      </c>
      <c r="H2627" s="12">
        <v>-1.9828280001228</v>
      </c>
      <c r="I2627" s="11">
        <v>-2.84579832029599</v>
      </c>
      <c r="J2627" s="10">
        <v>4.4300242493123601E-3</v>
      </c>
      <c r="K2627" s="29">
        <v>0.11215987555552</v>
      </c>
    </row>
    <row r="2628" spans="1:11" x14ac:dyDescent="0.35">
      <c r="A2628" s="9" t="str">
        <f>HYPERLINK("http://www.ensembl.org/id/WBGene00045297", "WBGene00045297")</f>
        <v>WBGene00045297</v>
      </c>
      <c r="B2628" s="9" t="str">
        <f>HYPERLINK("http://www.ncbi.nlm.nih.gov/gene/6418620", "6418620")</f>
        <v>6418620</v>
      </c>
      <c r="C2628" s="9"/>
      <c r="D2628" t="str">
        <f>"fbxc-43"</f>
        <v>fbxc-43</v>
      </c>
      <c r="E2628" t="s">
        <v>311</v>
      </c>
      <c r="F2628" t="s">
        <v>11</v>
      </c>
      <c r="H2628" s="12">
        <v>-1.98209361124707</v>
      </c>
      <c r="I2628" s="11">
        <v>-0.59346276352443506</v>
      </c>
      <c r="J2628" s="10">
        <v>0.55287149592123996</v>
      </c>
      <c r="K2628" s="29">
        <v>0.98289565623980701</v>
      </c>
    </row>
    <row r="2629" spans="1:11" x14ac:dyDescent="0.35">
      <c r="A2629" s="9" t="str">
        <f>HYPERLINK("http://www.ensembl.org/id/WBGene00020304", "WBGene00020304")</f>
        <v>WBGene00020304</v>
      </c>
      <c r="B2629" s="9"/>
      <c r="C2629" s="9"/>
      <c r="D2629" t="str">
        <f>"fbxa-200"</f>
        <v>fbxa-200</v>
      </c>
      <c r="F2629" t="s">
        <v>80</v>
      </c>
      <c r="H2629" s="12">
        <v>-1.9814275395691801</v>
      </c>
      <c r="I2629" s="11">
        <v>-0.94214601653445396</v>
      </c>
      <c r="J2629" s="10">
        <v>0.34611788777837899</v>
      </c>
      <c r="K2629" s="29">
        <v>0.98289565623980701</v>
      </c>
    </row>
    <row r="2630" spans="1:11" x14ac:dyDescent="0.35">
      <c r="A2630" s="9" t="str">
        <f>HYPERLINK("http://www.ensembl.org/id/WBGene00013250", "WBGene00013250")</f>
        <v>WBGene00013250</v>
      </c>
      <c r="B2630" s="9" t="str">
        <f>HYPERLINK("http://www.ncbi.nlm.nih.gov/gene/174856", "174856")</f>
        <v>174856</v>
      </c>
      <c r="C2630" s="9"/>
      <c r="D2630" t="str">
        <f>"Y57A10A.5"</f>
        <v>Y57A10A.5</v>
      </c>
      <c r="F2630" t="s">
        <v>11</v>
      </c>
      <c r="H2630" s="12">
        <v>-1.98033225559976</v>
      </c>
      <c r="I2630" s="11">
        <v>-2.0781471033486998</v>
      </c>
      <c r="J2630" s="10">
        <v>3.7695812361771802E-2</v>
      </c>
      <c r="K2630" s="29">
        <v>0.44643743743264902</v>
      </c>
    </row>
    <row r="2631" spans="1:11" x14ac:dyDescent="0.35">
      <c r="A2631" s="9" t="str">
        <f>HYPERLINK("http://www.ensembl.org/id/WBGene00003795", "WBGene00003795")</f>
        <v>WBGene00003795</v>
      </c>
      <c r="B2631" s="9" t="str">
        <f>HYPERLINK("http://www.ncbi.nlm.nih.gov/gene/175443", "175443")</f>
        <v>175443</v>
      </c>
      <c r="C2631" s="9"/>
      <c r="D2631" t="str">
        <f>"npp-9"</f>
        <v>npp-9</v>
      </c>
      <c r="E2631" t="s">
        <v>375</v>
      </c>
      <c r="F2631" t="s">
        <v>11</v>
      </c>
      <c r="G2631" t="s">
        <v>376</v>
      </c>
      <c r="H2631" s="12">
        <v>-1.97984574159655</v>
      </c>
      <c r="I2631" s="11">
        <v>-3.7845033030667601</v>
      </c>
      <c r="J2631" s="10">
        <v>1.5401586223694501E-4</v>
      </c>
      <c r="K2631" s="29">
        <v>9.12484746883809E-3</v>
      </c>
    </row>
    <row r="2632" spans="1:11" x14ac:dyDescent="0.35">
      <c r="A2632" s="9" t="str">
        <f>HYPERLINK("http://www.ensembl.org/id/WBGene00219756", "WBGene00219756")</f>
        <v>WBGene00219756</v>
      </c>
      <c r="B2632" s="9"/>
      <c r="C2632" s="9"/>
      <c r="D2632" t="str">
        <f>"linc-68"</f>
        <v>linc-68</v>
      </c>
      <c r="F2632" t="s">
        <v>1510</v>
      </c>
      <c r="H2632" s="12">
        <v>-1.9790485821497199</v>
      </c>
      <c r="I2632" s="11">
        <v>-0.91801036276437298</v>
      </c>
      <c r="J2632" s="10">
        <v>0.35861344062620698</v>
      </c>
      <c r="K2632" s="29">
        <v>0.98289565623980701</v>
      </c>
    </row>
    <row r="2633" spans="1:11" x14ac:dyDescent="0.35">
      <c r="A2633" s="9" t="str">
        <f>HYPERLINK("http://www.ensembl.org/id/WBGene00044533", "WBGene00044533")</f>
        <v>WBGene00044533</v>
      </c>
      <c r="B2633" s="9" t="str">
        <f>HYPERLINK("http://www.ncbi.nlm.nih.gov/gene/3896826", "3896826")</f>
        <v>3896826</v>
      </c>
      <c r="C2633" s="9"/>
      <c r="D2633" t="str">
        <f>"F41F3.8"</f>
        <v>F41F3.8</v>
      </c>
      <c r="F2633" t="s">
        <v>11</v>
      </c>
      <c r="H2633" s="12">
        <v>-1.97873163211159</v>
      </c>
      <c r="I2633" s="11">
        <v>-0.54226453578261802</v>
      </c>
      <c r="J2633" s="10">
        <v>0.58763628283553904</v>
      </c>
      <c r="K2633" s="29">
        <v>0.98289565623980701</v>
      </c>
    </row>
    <row r="2634" spans="1:11" x14ac:dyDescent="0.35">
      <c r="A2634" s="9" t="str">
        <f>HYPERLINK("http://www.ensembl.org/id/WBGene00044718", "WBGene00044718")</f>
        <v>WBGene00044718</v>
      </c>
      <c r="B2634" s="9"/>
      <c r="C2634" s="9"/>
      <c r="D2634" t="str">
        <f>"T20D4.20"</f>
        <v>T20D4.20</v>
      </c>
      <c r="F2634" t="s">
        <v>80</v>
      </c>
      <c r="H2634" s="12">
        <v>-1.9785616567189901</v>
      </c>
      <c r="I2634" s="11">
        <v>-0.35665433950923398</v>
      </c>
      <c r="J2634" s="10">
        <v>0.72135059210136299</v>
      </c>
      <c r="K2634" s="29">
        <v>0.98289565623980701</v>
      </c>
    </row>
    <row r="2635" spans="1:11" x14ac:dyDescent="0.35">
      <c r="A2635" s="9" t="str">
        <f>HYPERLINK("http://www.ensembl.org/id/WBGene00021273", "WBGene00021273")</f>
        <v>WBGene00021273</v>
      </c>
      <c r="B2635" s="9"/>
      <c r="C2635" s="9"/>
      <c r="D2635" t="str">
        <f>"Y23H5B.2"</f>
        <v>Y23H5B.2</v>
      </c>
      <c r="F2635" t="s">
        <v>80</v>
      </c>
      <c r="H2635" s="12">
        <v>-1.9785616567189901</v>
      </c>
      <c r="I2635" s="11">
        <v>-0.35665433950923398</v>
      </c>
      <c r="J2635" s="10">
        <v>0.72135059210136299</v>
      </c>
      <c r="K2635" s="29">
        <v>0.98289565623980701</v>
      </c>
    </row>
    <row r="2636" spans="1:11" x14ac:dyDescent="0.35">
      <c r="A2636" s="9" t="str">
        <f>HYPERLINK("http://www.ensembl.org/id/WBGene00050974", "WBGene00050974")</f>
        <v>WBGene00050974</v>
      </c>
      <c r="B2636" s="9"/>
      <c r="C2636" s="9"/>
      <c r="D2636" t="str">
        <f>"Y6G8.9"</f>
        <v>Y6G8.9</v>
      </c>
      <c r="F2636" t="s">
        <v>80</v>
      </c>
      <c r="H2636" s="12">
        <v>-1.978540170819</v>
      </c>
      <c r="I2636" s="11">
        <v>-0.67556898913890995</v>
      </c>
      <c r="J2636" s="10">
        <v>0.499314336018301</v>
      </c>
      <c r="K2636" s="29">
        <v>0.98289565623980701</v>
      </c>
    </row>
    <row r="2637" spans="1:11" x14ac:dyDescent="0.35">
      <c r="A2637" s="9" t="str">
        <f>HYPERLINK("http://www.ensembl.org/id/WBGene00008212", "WBGene00008212")</f>
        <v>WBGene00008212</v>
      </c>
      <c r="B2637" s="9" t="str">
        <f>HYPERLINK("http://www.ncbi.nlm.nih.gov/gene/259728", "259728")</f>
        <v>259728</v>
      </c>
      <c r="C2637" s="9"/>
      <c r="D2637" t="str">
        <f>"C49F5.8"</f>
        <v>C49F5.8</v>
      </c>
      <c r="F2637" t="s">
        <v>11</v>
      </c>
      <c r="H2637" s="12">
        <v>-1.97727249967055</v>
      </c>
      <c r="I2637" s="11">
        <v>-1.2817774921037299</v>
      </c>
      <c r="J2637" s="10">
        <v>0.199920712011079</v>
      </c>
      <c r="K2637" s="29">
        <v>0.94659179748524402</v>
      </c>
    </row>
    <row r="2638" spans="1:11" x14ac:dyDescent="0.35">
      <c r="A2638" s="9" t="str">
        <f>HYPERLINK("http://www.ensembl.org/id/WBGene00009731", "WBGene00009731")</f>
        <v>WBGene00009731</v>
      </c>
      <c r="B2638" s="9" t="str">
        <f>HYPERLINK("http://www.ncbi.nlm.nih.gov/gene/176765", "176765")</f>
        <v>176765</v>
      </c>
      <c r="C2638" s="9"/>
      <c r="D2638" t="str">
        <f>"exo-1"</f>
        <v>exo-1</v>
      </c>
      <c r="E2638" t="s">
        <v>693</v>
      </c>
      <c r="F2638" t="s">
        <v>11</v>
      </c>
      <c r="G2638" t="s">
        <v>694</v>
      </c>
      <c r="H2638" s="12">
        <v>-1.97679510926253</v>
      </c>
      <c r="I2638" s="11">
        <v>-2.99312351196494</v>
      </c>
      <c r="J2638" s="10">
        <v>2.7613797204847001E-3</v>
      </c>
      <c r="K2638" s="29">
        <v>8.0466807336308593E-2</v>
      </c>
    </row>
    <row r="2639" spans="1:11" x14ac:dyDescent="0.35">
      <c r="A2639" s="9" t="str">
        <f>HYPERLINK("http://www.ensembl.org/id/WBGene00044547", "WBGene00044547")</f>
        <v>WBGene00044547</v>
      </c>
      <c r="B2639" s="9" t="str">
        <f>HYPERLINK("http://www.ncbi.nlm.nih.gov/gene/3896839", "3896839")</f>
        <v>3896839</v>
      </c>
      <c r="C2639" s="9"/>
      <c r="D2639" t="str">
        <f>"C13A2.12"</f>
        <v>C13A2.12</v>
      </c>
      <c r="F2639" t="s">
        <v>11</v>
      </c>
      <c r="G2639" t="s">
        <v>138</v>
      </c>
      <c r="H2639" s="12">
        <v>-1.9766255981929599</v>
      </c>
      <c r="I2639" s="11">
        <v>-0.66646581343056199</v>
      </c>
      <c r="J2639" s="10">
        <v>0.50511340801617199</v>
      </c>
      <c r="K2639" s="29">
        <v>0.98289565623980701</v>
      </c>
    </row>
    <row r="2640" spans="1:11" x14ac:dyDescent="0.35">
      <c r="A2640" s="9" t="str">
        <f>HYPERLINK("http://www.ensembl.org/id/WBGene00000531", "WBGene00000531")</f>
        <v>WBGene00000531</v>
      </c>
      <c r="B2640" s="9" t="str">
        <f>HYPERLINK("http://www.ncbi.nlm.nih.gov/gene/180687", "180687")</f>
        <v>180687</v>
      </c>
      <c r="C2640" s="9" t="str">
        <f>HYPERLINK("http://www.ncbi.nlm.nih.gov/gene/1181", "1181")</f>
        <v>1181</v>
      </c>
      <c r="D2640" t="str">
        <f>"clh-4"</f>
        <v>clh-4</v>
      </c>
      <c r="E2640" t="s">
        <v>1074</v>
      </c>
      <c r="F2640" t="s">
        <v>11</v>
      </c>
      <c r="G2640" t="s">
        <v>1075</v>
      </c>
      <c r="H2640" s="12">
        <v>-1.9763569000807499</v>
      </c>
      <c r="I2640" s="11">
        <v>-1.55942334801661</v>
      </c>
      <c r="J2640" s="10">
        <v>0.11889621377076701</v>
      </c>
      <c r="K2640" s="29">
        <v>0.78694239913702102</v>
      </c>
    </row>
    <row r="2641" spans="1:11" x14ac:dyDescent="0.35">
      <c r="A2641" s="9" t="str">
        <f>HYPERLINK("http://www.ensembl.org/id/WBGene00003499", "WBGene00003499")</f>
        <v>WBGene00003499</v>
      </c>
      <c r="B2641" s="9" t="str">
        <f>HYPERLINK("http://www.ncbi.nlm.nih.gov/gene/187005", "187005")</f>
        <v>187005</v>
      </c>
      <c r="C2641" s="9"/>
      <c r="D2641" t="str">
        <f>"mut-2"</f>
        <v>mut-2</v>
      </c>
      <c r="E2641" t="s">
        <v>721</v>
      </c>
      <c r="F2641" t="s">
        <v>11</v>
      </c>
      <c r="G2641" t="s">
        <v>722</v>
      </c>
      <c r="H2641" s="12">
        <v>-1.97557876877353</v>
      </c>
      <c r="I2641" s="11">
        <v>-2.9516210524454198</v>
      </c>
      <c r="J2641" s="10">
        <v>3.1611061232167401E-3</v>
      </c>
      <c r="K2641" s="29">
        <v>8.8426777340249493E-2</v>
      </c>
    </row>
    <row r="2642" spans="1:11" x14ac:dyDescent="0.35">
      <c r="A2642" s="9" t="str">
        <f>HYPERLINK("http://www.ensembl.org/id/WBGene00012242", "WBGene00012242")</f>
        <v>WBGene00012242</v>
      </c>
      <c r="B2642" s="9" t="str">
        <f>HYPERLINK("http://www.ncbi.nlm.nih.gov/gene/189186", "189186")</f>
        <v>189186</v>
      </c>
      <c r="C2642" s="9"/>
      <c r="D2642" t="str">
        <f>"srt-39"</f>
        <v>srt-39</v>
      </c>
      <c r="E2642" t="s">
        <v>2845</v>
      </c>
      <c r="F2642" t="s">
        <v>11</v>
      </c>
      <c r="G2642" t="s">
        <v>25</v>
      </c>
      <c r="H2642" s="12">
        <v>-1.9755763757017999</v>
      </c>
      <c r="I2642" s="11">
        <v>-0.66510922234955605</v>
      </c>
      <c r="J2642" s="10">
        <v>0.50598063640742996</v>
      </c>
      <c r="K2642" s="29">
        <v>0.98289565623980701</v>
      </c>
    </row>
    <row r="2643" spans="1:11" x14ac:dyDescent="0.35">
      <c r="A2643" s="9" t="str">
        <f>HYPERLINK("http://www.ensembl.org/id/WBGene00045305", "WBGene00045305")</f>
        <v>WBGene00045305</v>
      </c>
      <c r="B2643" s="9" t="str">
        <f>HYPERLINK("http://www.ncbi.nlm.nih.gov/gene/6418818", "6418818")</f>
        <v>6418818</v>
      </c>
      <c r="C2643" s="9"/>
      <c r="D2643" t="str">
        <f>"ZC250.4"</f>
        <v>ZC250.4</v>
      </c>
      <c r="F2643" t="s">
        <v>11</v>
      </c>
      <c r="H2643" s="12">
        <v>-1.97471925897692</v>
      </c>
      <c r="I2643" s="11">
        <v>-2.3384544671981802</v>
      </c>
      <c r="J2643" s="10">
        <v>1.9363685062952801E-2</v>
      </c>
      <c r="K2643" s="29">
        <v>0.29452449280903498</v>
      </c>
    </row>
    <row r="2644" spans="1:11" x14ac:dyDescent="0.35">
      <c r="A2644" s="9" t="str">
        <f>HYPERLINK("http://www.ensembl.org/id/WBGene00220047", "WBGene00220047")</f>
        <v>WBGene00220047</v>
      </c>
      <c r="B2644" s="9"/>
      <c r="C2644" s="9"/>
      <c r="D2644" t="str">
        <f>"R74.11"</f>
        <v>R74.11</v>
      </c>
      <c r="F2644" t="s">
        <v>481</v>
      </c>
      <c r="H2644" s="12">
        <v>-1.9735079792199799</v>
      </c>
      <c r="I2644" s="11">
        <v>-1.02420530065508</v>
      </c>
      <c r="J2644" s="10">
        <v>0.30573831563347498</v>
      </c>
      <c r="K2644" s="29">
        <v>0.98289565623980701</v>
      </c>
    </row>
    <row r="2645" spans="1:11" x14ac:dyDescent="0.35">
      <c r="A2645" s="9" t="str">
        <f>HYPERLINK("http://www.ensembl.org/id/WBGene00010049", "WBGene00010049")</f>
        <v>WBGene00010049</v>
      </c>
      <c r="B2645" s="9" t="str">
        <f>HYPERLINK("http://www.ncbi.nlm.nih.gov/gene/174773", "174773")</f>
        <v>174773</v>
      </c>
      <c r="C2645" s="9"/>
      <c r="D2645" t="str">
        <f>"F54D5.3"</f>
        <v>F54D5.3</v>
      </c>
      <c r="F2645" t="s">
        <v>11</v>
      </c>
      <c r="H2645" s="12">
        <v>-1.97264694939287</v>
      </c>
      <c r="I2645" s="11">
        <v>-3.6185839891241298</v>
      </c>
      <c r="J2645" s="10">
        <v>2.9621936714254701E-4</v>
      </c>
      <c r="K2645" s="29">
        <v>1.53807746004398E-2</v>
      </c>
    </row>
    <row r="2646" spans="1:11" x14ac:dyDescent="0.35">
      <c r="A2646" s="9" t="str">
        <f>HYPERLINK("http://www.ensembl.org/id/WBGene00018498", "WBGene00018498")</f>
        <v>WBGene00018498</v>
      </c>
      <c r="B2646" s="9" t="str">
        <f>HYPERLINK("http://www.ncbi.nlm.nih.gov/gene/185860", "185860")</f>
        <v>185860</v>
      </c>
      <c r="C2646" s="9"/>
      <c r="D2646" t="str">
        <f>"F46F5.7"</f>
        <v>F46F5.7</v>
      </c>
      <c r="F2646" t="s">
        <v>11</v>
      </c>
      <c r="G2646" t="s">
        <v>1212</v>
      </c>
      <c r="H2646" s="12">
        <v>-1.9715503081027399</v>
      </c>
      <c r="I2646" s="11">
        <v>-0.90432558079037795</v>
      </c>
      <c r="J2646" s="10">
        <v>0.36582278631599402</v>
      </c>
      <c r="K2646" s="29">
        <v>0.98289565623980701</v>
      </c>
    </row>
    <row r="2647" spans="1:11" x14ac:dyDescent="0.35">
      <c r="A2647" s="9" t="str">
        <f>HYPERLINK("http://www.ensembl.org/id/WBGene00007740", "WBGene00007740")</f>
        <v>WBGene00007740</v>
      </c>
      <c r="B2647" s="9" t="str">
        <f>HYPERLINK("http://www.ncbi.nlm.nih.gov/gene/182934", "182934")</f>
        <v>182934</v>
      </c>
      <c r="C2647" s="9"/>
      <c r="D2647" t="str">
        <f>"C26C6.6"</f>
        <v>C26C6.6</v>
      </c>
      <c r="F2647" t="s">
        <v>11</v>
      </c>
      <c r="G2647" t="s">
        <v>4204</v>
      </c>
      <c r="H2647" s="12">
        <v>-1.97108087509046</v>
      </c>
      <c r="I2647" s="11">
        <v>-0.41037813081007701</v>
      </c>
      <c r="J2647" s="10">
        <v>0.68152858615770495</v>
      </c>
      <c r="K2647" s="29">
        <v>0.98289565623980701</v>
      </c>
    </row>
    <row r="2648" spans="1:11" x14ac:dyDescent="0.35">
      <c r="A2648" s="9" t="str">
        <f>HYPERLINK("http://www.ensembl.org/id/WBGene00000133", "WBGene00000133")</f>
        <v>WBGene00000133</v>
      </c>
      <c r="B2648" s="9" t="str">
        <f>HYPERLINK("http://www.ncbi.nlm.nih.gov/gene/180729", "180729")</f>
        <v>180729</v>
      </c>
      <c r="C2648" s="9"/>
      <c r="D2648" t="str">
        <f>"amt-1"</f>
        <v>amt-1</v>
      </c>
      <c r="E2648" t="s">
        <v>10035</v>
      </c>
      <c r="F2648" t="s">
        <v>11</v>
      </c>
      <c r="G2648" t="s">
        <v>1286</v>
      </c>
      <c r="H2648" s="12">
        <v>-1.9703499177296599</v>
      </c>
      <c r="I2648" s="11">
        <v>-1.03716101501299</v>
      </c>
      <c r="J2648" s="10">
        <v>0.299660823388751</v>
      </c>
      <c r="K2648" s="29">
        <v>0.98289565623980701</v>
      </c>
    </row>
    <row r="2649" spans="1:11" x14ac:dyDescent="0.35">
      <c r="A2649" s="9" t="str">
        <f>HYPERLINK("http://www.ensembl.org/id/WBGene00010042", "WBGene00010042")</f>
        <v>WBGene00010042</v>
      </c>
      <c r="B2649" s="9" t="str">
        <f>HYPERLINK("http://www.ncbi.nlm.nih.gov/gene/174372", "174372")</f>
        <v>174372</v>
      </c>
      <c r="C2649" s="9" t="str">
        <f>HYPERLINK("http://www.ncbi.nlm.nih.gov/gene/617", "617")</f>
        <v>617</v>
      </c>
      <c r="D2649" t="str">
        <f>"bcs-1"</f>
        <v>bcs-1</v>
      </c>
      <c r="E2649" t="s">
        <v>737</v>
      </c>
      <c r="F2649" t="s">
        <v>11</v>
      </c>
      <c r="G2649" t="s">
        <v>738</v>
      </c>
      <c r="H2649" s="12">
        <v>-1.9692612346425999</v>
      </c>
      <c r="I2649" s="11">
        <v>-2.92542424910026</v>
      </c>
      <c r="J2649" s="10">
        <v>3.43986911692551E-3</v>
      </c>
      <c r="K2649" s="29">
        <v>9.4172530587299505E-2</v>
      </c>
    </row>
    <row r="2650" spans="1:11" x14ac:dyDescent="0.35">
      <c r="A2650" s="9" t="str">
        <f>HYPERLINK("http://www.ensembl.org/id/WBGene00199908", "WBGene00199908")</f>
        <v>WBGene00199908</v>
      </c>
      <c r="B2650" s="9"/>
      <c r="C2650" s="9"/>
      <c r="D2650" t="str">
        <f>"T25C12.8"</f>
        <v>T25C12.8</v>
      </c>
      <c r="F2650" t="s">
        <v>481</v>
      </c>
      <c r="H2650" s="12">
        <v>-1.96718885901573</v>
      </c>
      <c r="I2650" s="11">
        <v>-0.30094005558042702</v>
      </c>
      <c r="J2650" s="10">
        <v>0.76346020533995596</v>
      </c>
      <c r="K2650" s="29">
        <v>0.98289565623980701</v>
      </c>
    </row>
    <row r="2651" spans="1:11" x14ac:dyDescent="0.35">
      <c r="A2651" s="9" t="str">
        <f>HYPERLINK("http://www.ensembl.org/id/WBGene00016300", "WBGene00016300")</f>
        <v>WBGene00016300</v>
      </c>
      <c r="B2651" s="9" t="str">
        <f>HYPERLINK("http://www.ncbi.nlm.nih.gov/gene/183111", "183111")</f>
        <v>183111</v>
      </c>
      <c r="C2651" s="9"/>
      <c r="D2651" t="str">
        <f>"C32B5.7"</f>
        <v>C32B5.7</v>
      </c>
      <c r="F2651" t="s">
        <v>11</v>
      </c>
      <c r="G2651" t="s">
        <v>632</v>
      </c>
      <c r="H2651" s="12">
        <v>-1.9669504568564999</v>
      </c>
      <c r="I2651" s="11">
        <v>-0.32405330302666502</v>
      </c>
      <c r="J2651" s="10">
        <v>0.74589767964154696</v>
      </c>
      <c r="K2651" s="29">
        <v>0.98289565623980701</v>
      </c>
    </row>
    <row r="2652" spans="1:11" x14ac:dyDescent="0.35">
      <c r="A2652" s="9" t="str">
        <f>HYPERLINK("http://www.ensembl.org/id/WBGene00008289", "WBGene00008289")</f>
        <v>WBGene00008289</v>
      </c>
      <c r="B2652" s="9" t="str">
        <f>HYPERLINK("http://www.ncbi.nlm.nih.gov/gene/183768", "183768")</f>
        <v>183768</v>
      </c>
      <c r="C2652" s="9"/>
      <c r="D2652" t="str">
        <f>"nhr-169"</f>
        <v>nhr-169</v>
      </c>
      <c r="E2652" t="s">
        <v>10034</v>
      </c>
      <c r="F2652" t="s">
        <v>11</v>
      </c>
      <c r="G2652" t="s">
        <v>852</v>
      </c>
      <c r="H2652" s="12">
        <v>-1.9669504568564999</v>
      </c>
      <c r="I2652" s="11">
        <v>-0.32405330302666502</v>
      </c>
      <c r="J2652" s="10">
        <v>0.74589767964154696</v>
      </c>
      <c r="K2652" s="29">
        <v>0.98289565623980701</v>
      </c>
    </row>
    <row r="2653" spans="1:11" x14ac:dyDescent="0.35">
      <c r="A2653" s="9" t="str">
        <f>HYPERLINK("http://www.ensembl.org/id/WBGene00012879", "WBGene00012879")</f>
        <v>WBGene00012879</v>
      </c>
      <c r="B2653" s="9" t="str">
        <f>HYPERLINK("http://www.ncbi.nlm.nih.gov/gene/178336", "178336")</f>
        <v>178336</v>
      </c>
      <c r="C2653" s="9"/>
      <c r="D2653" t="str">
        <f>"fbxa-215"</f>
        <v>fbxa-215</v>
      </c>
      <c r="E2653" t="s">
        <v>467</v>
      </c>
      <c r="F2653" t="s">
        <v>11</v>
      </c>
      <c r="G2653" t="s">
        <v>54</v>
      </c>
      <c r="H2653" s="12">
        <v>-1.9653861641093799</v>
      </c>
      <c r="I2653" s="11">
        <v>-3.4642311674886801</v>
      </c>
      <c r="J2653" s="10">
        <v>5.3174933941526497E-4</v>
      </c>
      <c r="K2653" s="29">
        <v>2.40442274687458E-2</v>
      </c>
    </row>
    <row r="2654" spans="1:11" x14ac:dyDescent="0.35">
      <c r="A2654" s="9" t="str">
        <f>HYPERLINK("http://www.ensembl.org/id/WBGene00015193", "WBGene00015193")</f>
        <v>WBGene00015193</v>
      </c>
      <c r="B2654" s="9" t="str">
        <f>HYPERLINK("http://www.ncbi.nlm.nih.gov/gene/173417", "173417")</f>
        <v>173417</v>
      </c>
      <c r="C2654" s="9"/>
      <c r="D2654" t="str">
        <f>"clec-117"</f>
        <v>clec-117</v>
      </c>
      <c r="E2654" t="s">
        <v>46</v>
      </c>
      <c r="F2654" t="s">
        <v>11</v>
      </c>
      <c r="G2654" t="s">
        <v>47</v>
      </c>
      <c r="H2654" s="12">
        <v>-1.9642226249201999</v>
      </c>
      <c r="I2654" s="11">
        <v>-0.34796636753763199</v>
      </c>
      <c r="J2654" s="10">
        <v>0.727865441779879</v>
      </c>
      <c r="K2654" s="29">
        <v>0.98289565623980701</v>
      </c>
    </row>
    <row r="2655" spans="1:11" x14ac:dyDescent="0.35">
      <c r="A2655" s="9" t="str">
        <f>HYPERLINK("http://www.ensembl.org/id/WBGene00010363", "WBGene00010363")</f>
        <v>WBGene00010363</v>
      </c>
      <c r="B2655" s="9" t="str">
        <f>HYPERLINK("http://www.ncbi.nlm.nih.gov/gene/186678", "186678")</f>
        <v>186678</v>
      </c>
      <c r="C2655" s="9"/>
      <c r="D2655" t="str">
        <f>"H04D03.2"</f>
        <v>H04D03.2</v>
      </c>
      <c r="F2655" t="s">
        <v>11</v>
      </c>
      <c r="G2655" t="s">
        <v>967</v>
      </c>
      <c r="H2655" s="12">
        <v>-1.96406676647589</v>
      </c>
      <c r="I2655" s="11">
        <v>-2.60620914825346</v>
      </c>
      <c r="J2655" s="10">
        <v>9.1550540268879304E-3</v>
      </c>
      <c r="K2655" s="29">
        <v>0.18572140328821099</v>
      </c>
    </row>
    <row r="2656" spans="1:11" x14ac:dyDescent="0.35">
      <c r="A2656" s="9" t="str">
        <f>HYPERLINK("http://www.ensembl.org/id/WBGene00010926", "WBGene00010926")</f>
        <v>WBGene00010926</v>
      </c>
      <c r="B2656" s="9" t="str">
        <f>HYPERLINK("http://www.ncbi.nlm.nih.gov/gene/187484", "187484")</f>
        <v>187484</v>
      </c>
      <c r="C2656" s="9"/>
      <c r="D2656" t="str">
        <f>"M153.3"</f>
        <v>M153.3</v>
      </c>
      <c r="F2656" t="s">
        <v>11</v>
      </c>
      <c r="H2656" s="12">
        <v>-1.9639834104423499</v>
      </c>
      <c r="I2656" s="11">
        <v>-0.304963748067278</v>
      </c>
      <c r="J2656" s="10">
        <v>0.76039376277098603</v>
      </c>
      <c r="K2656" s="29">
        <v>0.98289565623980701</v>
      </c>
    </row>
    <row r="2657" spans="1:11" x14ac:dyDescent="0.35">
      <c r="A2657" s="9" t="str">
        <f>HYPERLINK("http://www.ensembl.org/id/WBGene00197072", "WBGene00197072")</f>
        <v>WBGene00197072</v>
      </c>
      <c r="B2657" s="9"/>
      <c r="C2657" s="9"/>
      <c r="D2657" t="str">
        <f>"ZK867.9"</f>
        <v>ZK867.9</v>
      </c>
      <c r="F2657" t="s">
        <v>481</v>
      </c>
      <c r="H2657" s="12">
        <v>-1.9639834104423499</v>
      </c>
      <c r="I2657" s="11">
        <v>-0.304963748067278</v>
      </c>
      <c r="J2657" s="10">
        <v>0.76039376277098603</v>
      </c>
      <c r="K2657" s="29">
        <v>0.98289565623980701</v>
      </c>
    </row>
    <row r="2658" spans="1:11" x14ac:dyDescent="0.35">
      <c r="A2658" s="9" t="str">
        <f>HYPERLINK("http://www.ensembl.org/id/WBGene00011560", "WBGene00011560")</f>
        <v>WBGene00011560</v>
      </c>
      <c r="B2658" s="9" t="str">
        <f>HYPERLINK("http://www.ncbi.nlm.nih.gov/gene/176451", "176451")</f>
        <v>176451</v>
      </c>
      <c r="C2658" s="9"/>
      <c r="D2658" t="str">
        <f>"T07C4.3"</f>
        <v>T07C4.3</v>
      </c>
      <c r="F2658" t="s">
        <v>11</v>
      </c>
      <c r="G2658" t="s">
        <v>54</v>
      </c>
      <c r="H2658" s="12">
        <v>-1.96285596516048</v>
      </c>
      <c r="I2658" s="11">
        <v>-3.4787456423914702</v>
      </c>
      <c r="J2658" s="10">
        <v>5.0376649905595704E-4</v>
      </c>
      <c r="K2658" s="29">
        <v>2.3024332269750501E-2</v>
      </c>
    </row>
    <row r="2659" spans="1:11" x14ac:dyDescent="0.35">
      <c r="A2659" s="9" t="str">
        <f>HYPERLINK("http://www.ensembl.org/id/WBGene00008825", "WBGene00008825")</f>
        <v>WBGene00008825</v>
      </c>
      <c r="B2659" s="9" t="str">
        <f>HYPERLINK("http://www.ncbi.nlm.nih.gov/gene/180077", "180077")</f>
        <v>180077</v>
      </c>
      <c r="C2659" s="9"/>
      <c r="D2659" t="str">
        <f>"F14H3.6"</f>
        <v>F14H3.6</v>
      </c>
      <c r="F2659" t="s">
        <v>11</v>
      </c>
      <c r="H2659" s="12">
        <v>-1.9625427904399899</v>
      </c>
      <c r="I2659" s="11">
        <v>-3.2191489425979798</v>
      </c>
      <c r="J2659" s="10">
        <v>1.2857168415543201E-3</v>
      </c>
      <c r="K2659" s="29">
        <v>4.7484337275039798E-2</v>
      </c>
    </row>
    <row r="2660" spans="1:11" x14ac:dyDescent="0.35">
      <c r="A2660" s="9" t="str">
        <f>HYPERLINK("http://www.ensembl.org/id/WBGene00016169", "WBGene00016169")</f>
        <v>WBGene00016169</v>
      </c>
      <c r="B2660" s="9" t="str">
        <f>HYPERLINK("http://www.ncbi.nlm.nih.gov/gene/259768", "259768")</f>
        <v>259768</v>
      </c>
      <c r="C2660" s="9"/>
      <c r="D2660" t="str">
        <f>"C27F2.7"</f>
        <v>C27F2.7</v>
      </c>
      <c r="E2660" t="s">
        <v>920</v>
      </c>
      <c r="F2660" t="s">
        <v>11</v>
      </c>
      <c r="G2660" t="s">
        <v>54</v>
      </c>
      <c r="H2660" s="12">
        <v>-1.96192315875345</v>
      </c>
      <c r="I2660" s="11">
        <v>-2.7006333452734901</v>
      </c>
      <c r="J2660" s="10">
        <v>6.9207587872099404E-3</v>
      </c>
      <c r="K2660" s="29">
        <v>0.148892972567293</v>
      </c>
    </row>
    <row r="2661" spans="1:11" x14ac:dyDescent="0.35">
      <c r="A2661" s="9" t="str">
        <f>HYPERLINK("http://www.ensembl.org/id/WBGene00009714", "WBGene00009714")</f>
        <v>WBGene00009714</v>
      </c>
      <c r="B2661" s="9" t="str">
        <f>HYPERLINK("http://www.ncbi.nlm.nih.gov/gene/185761", "185761")</f>
        <v>185761</v>
      </c>
      <c r="C2661" s="9"/>
      <c r="D2661" t="str">
        <f>"F44G4.5"</f>
        <v>F44G4.5</v>
      </c>
      <c r="F2661" t="s">
        <v>11</v>
      </c>
      <c r="H2661" s="12">
        <v>-1.9618431659328499</v>
      </c>
      <c r="I2661" s="11">
        <v>-0.45599234221709301</v>
      </c>
      <c r="J2661" s="10">
        <v>0.64839548491195098</v>
      </c>
      <c r="K2661" s="29">
        <v>0.98289565623980701</v>
      </c>
    </row>
    <row r="2662" spans="1:11" x14ac:dyDescent="0.35">
      <c r="A2662" s="9" t="str">
        <f>HYPERLINK("http://www.ensembl.org/id/WBGene00015709", "WBGene00015709")</f>
        <v>WBGene00015709</v>
      </c>
      <c r="B2662" s="9" t="str">
        <f>HYPERLINK("http://www.ncbi.nlm.nih.gov/gene/179148", "179148")</f>
        <v>179148</v>
      </c>
      <c r="C2662" s="9" t="str">
        <f>HYPERLINK("http://www.ncbi.nlm.nih.gov/gene/1573", "1573")</f>
        <v>1573</v>
      </c>
      <c r="D2662" t="str">
        <f>"cyp-33A1"</f>
        <v>cyp-33A1</v>
      </c>
      <c r="E2662" t="s">
        <v>176</v>
      </c>
      <c r="F2662" t="s">
        <v>11</v>
      </c>
      <c r="G2662" t="s">
        <v>438</v>
      </c>
      <c r="H2662" s="12">
        <v>-1.96038298315655</v>
      </c>
      <c r="I2662" s="11">
        <v>-3.5664997519454902</v>
      </c>
      <c r="J2662" s="10">
        <v>3.6178115219919301E-4</v>
      </c>
      <c r="K2662" s="29">
        <v>1.81330049950424E-2</v>
      </c>
    </row>
    <row r="2663" spans="1:11" x14ac:dyDescent="0.35">
      <c r="A2663" s="9" t="str">
        <f>HYPERLINK("http://www.ensembl.org/id/WBGene00021373", "WBGene00021373")</f>
        <v>WBGene00021373</v>
      </c>
      <c r="B2663" s="9" t="str">
        <f>HYPERLINK("http://www.ncbi.nlm.nih.gov/gene/3564985", "3564985")</f>
        <v>3564985</v>
      </c>
      <c r="C2663" s="9"/>
      <c r="D2663" t="str">
        <f>"Y37E11AR.7"</f>
        <v>Y37E11AR.7</v>
      </c>
      <c r="F2663" t="s">
        <v>11</v>
      </c>
      <c r="G2663" t="s">
        <v>427</v>
      </c>
      <c r="H2663" s="12">
        <v>-1.96017070386139</v>
      </c>
      <c r="I2663" s="11">
        <v>-0.56682732861827401</v>
      </c>
      <c r="J2663" s="10">
        <v>0.57083150139407002</v>
      </c>
      <c r="K2663" s="29">
        <v>0.98289565623980701</v>
      </c>
    </row>
    <row r="2664" spans="1:11" x14ac:dyDescent="0.35">
      <c r="A2664" s="9" t="str">
        <f>HYPERLINK("http://www.ensembl.org/id/WBGene00196879", "WBGene00196879")</f>
        <v>WBGene00196879</v>
      </c>
      <c r="B2664" s="9"/>
      <c r="C2664" s="9"/>
      <c r="D2664" t="str">
        <f>"C30F8.6"</f>
        <v>C30F8.6</v>
      </c>
      <c r="F2664" t="s">
        <v>481</v>
      </c>
      <c r="H2664" s="12">
        <v>-1.9599495047788</v>
      </c>
      <c r="I2664" s="11">
        <v>-0.37693236416618298</v>
      </c>
      <c r="J2664" s="10">
        <v>0.70622386920033497</v>
      </c>
      <c r="K2664" s="29">
        <v>0.98289565623980701</v>
      </c>
    </row>
    <row r="2665" spans="1:11" x14ac:dyDescent="0.35">
      <c r="A2665" s="9" t="str">
        <f>HYPERLINK("http://www.ensembl.org/id/WBGene00235181", "WBGene00235181")</f>
        <v>WBGene00235181</v>
      </c>
      <c r="B2665" s="9"/>
      <c r="C2665" s="9"/>
      <c r="D2665" t="str">
        <f>"F35E12.13"</f>
        <v>F35E12.13</v>
      </c>
      <c r="F2665" t="s">
        <v>481</v>
      </c>
      <c r="H2665" s="12">
        <v>-1.9599495047788</v>
      </c>
      <c r="I2665" s="11">
        <v>-0.37693236416618298</v>
      </c>
      <c r="J2665" s="10">
        <v>0.70622386920033497</v>
      </c>
      <c r="K2665" s="29">
        <v>0.98289565623980701</v>
      </c>
    </row>
    <row r="2666" spans="1:11" x14ac:dyDescent="0.35">
      <c r="A2666" s="9" t="str">
        <f>HYPERLINK("http://www.ensembl.org/id/WBGene00201273", "WBGene00201273")</f>
        <v>WBGene00201273</v>
      </c>
      <c r="B2666" s="9"/>
      <c r="C2666" s="9"/>
      <c r="D2666" t="str">
        <f>"F46B6.15"</f>
        <v>F46B6.15</v>
      </c>
      <c r="F2666" t="s">
        <v>481</v>
      </c>
      <c r="H2666" s="12">
        <v>-1.9599495047788</v>
      </c>
      <c r="I2666" s="11">
        <v>-0.37693236416618298</v>
      </c>
      <c r="J2666" s="10">
        <v>0.70622386920033497</v>
      </c>
      <c r="K2666" s="29">
        <v>0.98289565623980701</v>
      </c>
    </row>
    <row r="2667" spans="1:11" x14ac:dyDescent="0.35">
      <c r="A2667" s="9" t="str">
        <f>HYPERLINK("http://www.ensembl.org/id/WBGene00005661", "WBGene00005661")</f>
        <v>WBGene00005661</v>
      </c>
      <c r="B2667" s="9" t="str">
        <f>HYPERLINK("http://www.ncbi.nlm.nih.gov/gene/259826", "259826")</f>
        <v>259826</v>
      </c>
      <c r="C2667" s="9"/>
      <c r="D2667" t="str">
        <f>"srr-10"</f>
        <v>srr-10</v>
      </c>
      <c r="E2667" t="s">
        <v>755</v>
      </c>
      <c r="F2667" t="s">
        <v>11</v>
      </c>
      <c r="G2667" t="s">
        <v>25</v>
      </c>
      <c r="H2667" s="12">
        <v>-1.9599495047788</v>
      </c>
      <c r="I2667" s="11">
        <v>-0.37693236416618298</v>
      </c>
      <c r="J2667" s="10">
        <v>0.70622386920033497</v>
      </c>
      <c r="K2667" s="29">
        <v>0.98289565623980701</v>
      </c>
    </row>
    <row r="2668" spans="1:11" x14ac:dyDescent="0.35">
      <c r="A2668" s="9" t="str">
        <f>HYPERLINK("http://www.ensembl.org/id/WBGene00170628", "WBGene00170628")</f>
        <v>WBGene00170628</v>
      </c>
      <c r="B2668" s="9"/>
      <c r="C2668" s="9"/>
      <c r="D2668" t="str">
        <f>"21ur-12364"</f>
        <v>21ur-12364</v>
      </c>
      <c r="F2668" t="s">
        <v>3161</v>
      </c>
      <c r="H2668" s="12">
        <v>-1.9595409840935001</v>
      </c>
      <c r="I2668" s="11">
        <v>-0.66139028290337798</v>
      </c>
      <c r="J2668" s="10">
        <v>0.50836205591092698</v>
      </c>
      <c r="K2668" s="29">
        <v>0.98289565623980701</v>
      </c>
    </row>
    <row r="2669" spans="1:11" x14ac:dyDescent="0.35">
      <c r="A2669" s="9" t="str">
        <f>HYPERLINK("http://www.ensembl.org/id/WBGene00004991", "WBGene00004991")</f>
        <v>WBGene00004991</v>
      </c>
      <c r="B2669" s="9" t="str">
        <f>HYPERLINK("http://www.ncbi.nlm.nih.gov/gene/188267", "188267")</f>
        <v>188267</v>
      </c>
      <c r="C2669" s="9"/>
      <c r="D2669" t="str">
        <f>"spp-6"</f>
        <v>spp-6</v>
      </c>
      <c r="E2669" t="s">
        <v>62</v>
      </c>
      <c r="F2669" t="s">
        <v>11</v>
      </c>
      <c r="H2669" s="12">
        <v>-1.95944229091918</v>
      </c>
      <c r="I2669" s="11">
        <v>-0.67863246223777396</v>
      </c>
      <c r="J2669" s="10">
        <v>0.497370768888866</v>
      </c>
      <c r="K2669" s="29">
        <v>0.98289565623980701</v>
      </c>
    </row>
    <row r="2670" spans="1:11" x14ac:dyDescent="0.35">
      <c r="A2670" s="9" t="str">
        <f>HYPERLINK("http://www.ensembl.org/id/WBGene00015095", "WBGene00015095")</f>
        <v>WBGene00015095</v>
      </c>
      <c r="B2670" s="9" t="str">
        <f>HYPERLINK("http://www.ncbi.nlm.nih.gov/gene/172169", "172169")</f>
        <v>172169</v>
      </c>
      <c r="C2670" s="9"/>
      <c r="D2670" t="str">
        <f>"B0261.7"</f>
        <v>B0261.7</v>
      </c>
      <c r="F2670" t="s">
        <v>11</v>
      </c>
      <c r="G2670" t="s">
        <v>54</v>
      </c>
      <c r="H2670" s="12">
        <v>-1.9589301699706101</v>
      </c>
      <c r="I2670" s="11">
        <v>-3.3382917794292801</v>
      </c>
      <c r="J2670" s="10">
        <v>8.4295181613234398E-4</v>
      </c>
      <c r="K2670" s="29">
        <v>3.4051127034185197E-2</v>
      </c>
    </row>
    <row r="2671" spans="1:11" x14ac:dyDescent="0.35">
      <c r="A2671" s="9" t="str">
        <f>HYPERLINK("http://www.ensembl.org/id/WBGene00019653", "WBGene00019653")</f>
        <v>WBGene00019653</v>
      </c>
      <c r="B2671" s="9" t="str">
        <f>HYPERLINK("http://www.ncbi.nlm.nih.gov/gene/187304", "187304")</f>
        <v>187304</v>
      </c>
      <c r="C2671" s="9"/>
      <c r="D2671" t="str">
        <f>"K11G9.2"</f>
        <v>K11G9.2</v>
      </c>
      <c r="E2671" t="s">
        <v>383</v>
      </c>
      <c r="F2671" t="s">
        <v>11</v>
      </c>
      <c r="G2671" t="s">
        <v>2185</v>
      </c>
      <c r="H2671" s="12">
        <v>-1.9581618943361001</v>
      </c>
      <c r="I2671" s="11">
        <v>-1.56069736959185</v>
      </c>
      <c r="J2671" s="10">
        <v>0.118595172203095</v>
      </c>
      <c r="K2671" s="29">
        <v>0.78607574553204396</v>
      </c>
    </row>
    <row r="2672" spans="1:11" x14ac:dyDescent="0.35">
      <c r="A2672" s="9" t="str">
        <f>HYPERLINK("http://www.ensembl.org/id/WBGene00008172", "WBGene00008172")</f>
        <v>WBGene00008172</v>
      </c>
      <c r="B2672" s="9" t="str">
        <f>HYPERLINK("http://www.ncbi.nlm.nih.gov/gene/183567", "183567")</f>
        <v>183567</v>
      </c>
      <c r="C2672" s="9"/>
      <c r="D2672" t="str">
        <f>"C48B4.9"</f>
        <v>C48B4.9</v>
      </c>
      <c r="F2672" t="s">
        <v>11</v>
      </c>
      <c r="H2672" s="12">
        <v>-1.9563450129187201</v>
      </c>
      <c r="I2672" s="11">
        <v>-2.39312735353159</v>
      </c>
      <c r="J2672" s="10">
        <v>1.6705441430911398E-2</v>
      </c>
      <c r="K2672" s="29">
        <v>0.27049469495629902</v>
      </c>
    </row>
    <row r="2673" spans="1:12" x14ac:dyDescent="0.35">
      <c r="A2673" s="9" t="str">
        <f>HYPERLINK("http://www.ensembl.org/id/WBGene00005446", "WBGene00005446")</f>
        <v>WBGene00005446</v>
      </c>
      <c r="B2673" s="9" t="str">
        <f>HYPERLINK("http://www.ncbi.nlm.nih.gov/gene/188956", "188956")</f>
        <v>188956</v>
      </c>
      <c r="C2673" s="9"/>
      <c r="D2673" t="str">
        <f>"srh-239"</f>
        <v>srh-239</v>
      </c>
      <c r="E2673" t="s">
        <v>153</v>
      </c>
      <c r="F2673" t="s">
        <v>11</v>
      </c>
      <c r="G2673" t="s">
        <v>25</v>
      </c>
      <c r="H2673" s="12">
        <v>-1.95526659264267</v>
      </c>
      <c r="I2673" s="11">
        <v>-0.44414254161161598</v>
      </c>
      <c r="J2673" s="10">
        <v>0.65693953095822499</v>
      </c>
      <c r="K2673" s="29">
        <v>0.98289565623980701</v>
      </c>
    </row>
    <row r="2674" spans="1:12" x14ac:dyDescent="0.35">
      <c r="A2674" s="9" t="str">
        <f>HYPERLINK("http://www.ensembl.org/id/WBGene00015768", "WBGene00015768")</f>
        <v>WBGene00015768</v>
      </c>
      <c r="B2674" s="9" t="str">
        <f>HYPERLINK("http://www.ncbi.nlm.nih.gov/gene/178950", "178950")</f>
        <v>178950</v>
      </c>
      <c r="C2674" s="9"/>
      <c r="D2674" t="str">
        <f>"C14C11.4"</f>
        <v>C14C11.4</v>
      </c>
      <c r="F2674" t="s">
        <v>11</v>
      </c>
      <c r="G2674" t="s">
        <v>394</v>
      </c>
      <c r="H2674" s="12">
        <v>-1.9550820576810199</v>
      </c>
      <c r="I2674" s="11">
        <v>-1.0228107116374601</v>
      </c>
      <c r="J2674" s="10">
        <v>0.30639735243122401</v>
      </c>
      <c r="K2674" s="29">
        <v>0.98289565623980701</v>
      </c>
    </row>
    <row r="2675" spans="1:12" x14ac:dyDescent="0.35">
      <c r="A2675" s="9" t="str">
        <f>HYPERLINK("http://www.ensembl.org/id/WBGene00001973", "WBGene00001973")</f>
        <v>WBGene00001973</v>
      </c>
      <c r="B2675" s="9" t="str">
        <f>HYPERLINK("http://www.ncbi.nlm.nih.gov/gene/172250", "172250")</f>
        <v>172250</v>
      </c>
      <c r="C2675" s="9" t="str">
        <f>HYPERLINK("http://www.ncbi.nlm.nih.gov/gene/6749", "6749")</f>
        <v>6749</v>
      </c>
      <c r="D2675" t="str">
        <f>"hmg-3"</f>
        <v>hmg-3</v>
      </c>
      <c r="E2675" t="s">
        <v>486</v>
      </c>
      <c r="F2675" t="s">
        <v>11</v>
      </c>
      <c r="G2675" t="s">
        <v>487</v>
      </c>
      <c r="H2675" s="12">
        <v>-1.95470672026903</v>
      </c>
      <c r="I2675" s="11">
        <v>-3.41447919846815</v>
      </c>
      <c r="J2675" s="10">
        <v>6.3904073008943997E-4</v>
      </c>
      <c r="K2675" s="29">
        <v>2.7547901323594401E-2</v>
      </c>
    </row>
    <row r="2676" spans="1:12" x14ac:dyDescent="0.35">
      <c r="A2676" s="9" t="str">
        <f>HYPERLINK("http://www.ensembl.org/id/WBGene00219296", "WBGene00219296")</f>
        <v>WBGene00219296</v>
      </c>
      <c r="B2676" s="9" t="str">
        <f>HYPERLINK("http://www.ncbi.nlm.nih.gov/gene/13188971", "13188971")</f>
        <v>13188971</v>
      </c>
      <c r="C2676" s="9"/>
      <c r="D2676" t="str">
        <f>"C54C6.11"</f>
        <v>C54C6.11</v>
      </c>
      <c r="F2676" t="s">
        <v>11</v>
      </c>
      <c r="H2676" s="12">
        <v>-1.95438098042265</v>
      </c>
      <c r="I2676" s="11">
        <v>-0.37080017003607302</v>
      </c>
      <c r="J2676" s="10">
        <v>0.71078637470648898</v>
      </c>
      <c r="K2676" s="29">
        <v>0.98289565623980701</v>
      </c>
    </row>
    <row r="2677" spans="1:12" x14ac:dyDescent="0.35">
      <c r="A2677" s="9" t="str">
        <f>HYPERLINK("http://www.ensembl.org/id/WBGene00021809", "WBGene00021809")</f>
        <v>WBGene00021809</v>
      </c>
      <c r="B2677" s="9" t="str">
        <f>HYPERLINK("http://www.ncbi.nlm.nih.gov/gene/190240", "190240")</f>
        <v>190240</v>
      </c>
      <c r="C2677" s="9"/>
      <c r="D2677" t="str">
        <f>"Y53G8AR.1"</f>
        <v>Y53G8AR.1</v>
      </c>
      <c r="F2677" t="s">
        <v>11</v>
      </c>
      <c r="H2677" s="12">
        <v>-1.9533368656307899</v>
      </c>
      <c r="I2677" s="11">
        <v>-0.47572915617505601</v>
      </c>
      <c r="J2677" s="10">
        <v>0.63426734649887595</v>
      </c>
      <c r="K2677" s="29">
        <v>0.98289565623980701</v>
      </c>
    </row>
    <row r="2678" spans="1:12" x14ac:dyDescent="0.35">
      <c r="A2678" s="9" t="str">
        <f>HYPERLINK("http://www.ensembl.org/id/WBGene00018999", "WBGene00018999")</f>
        <v>WBGene00018999</v>
      </c>
      <c r="B2678" s="9" t="str">
        <f>HYPERLINK("http://www.ncbi.nlm.nih.gov/gene/175967", "175967")</f>
        <v>175967</v>
      </c>
      <c r="C2678" s="9"/>
      <c r="D2678" t="str">
        <f>"F57B9.8"</f>
        <v>F57B9.8</v>
      </c>
      <c r="E2678" t="s">
        <v>2588</v>
      </c>
      <c r="F2678" t="s">
        <v>11</v>
      </c>
      <c r="G2678" t="s">
        <v>2589</v>
      </c>
      <c r="H2678" s="12">
        <v>-1.9533059794791101</v>
      </c>
      <c r="I2678" s="11">
        <v>-1.2583253648399499</v>
      </c>
      <c r="J2678" s="10">
        <v>0.208274111542011</v>
      </c>
      <c r="K2678" s="29">
        <v>0.95765770263515204</v>
      </c>
    </row>
    <row r="2679" spans="1:12" x14ac:dyDescent="0.35">
      <c r="A2679" s="9" t="str">
        <f>HYPERLINK("http://www.ensembl.org/id/WBGene00018580", "WBGene00018580")</f>
        <v>WBGene00018580</v>
      </c>
      <c r="B2679" s="9" t="str">
        <f>HYPERLINK("http://www.ncbi.nlm.nih.gov/gene/171713", "171713")</f>
        <v>171713</v>
      </c>
      <c r="C2679" s="9"/>
      <c r="D2679" t="str">
        <f>"F47G6.3"</f>
        <v>F47G6.3</v>
      </c>
      <c r="F2679" t="s">
        <v>11</v>
      </c>
      <c r="G2679" t="s">
        <v>25</v>
      </c>
      <c r="H2679" s="12">
        <v>-1.95267380847988</v>
      </c>
      <c r="I2679" s="11">
        <v>-0.44523573334731897</v>
      </c>
      <c r="J2679" s="10">
        <v>0.65614940585834303</v>
      </c>
      <c r="K2679" s="29">
        <v>0.98289565623980701</v>
      </c>
    </row>
    <row r="2680" spans="1:12" x14ac:dyDescent="0.35">
      <c r="A2680" s="9" t="str">
        <f>HYPERLINK("http://www.ensembl.org/id/WBGene00020730", "WBGene00020730")</f>
        <v>WBGene00020730</v>
      </c>
      <c r="B2680" s="9" t="str">
        <f>HYPERLINK("http://www.ncbi.nlm.nih.gov/gene/3565157", "3565157")</f>
        <v>3565157</v>
      </c>
      <c r="C2680" s="9"/>
      <c r="D2680" t="str">
        <f>"T23E1.3"</f>
        <v>T23E1.3</v>
      </c>
      <c r="F2680" t="s">
        <v>11</v>
      </c>
      <c r="H2680" s="12">
        <v>-1.9524789117864101</v>
      </c>
      <c r="I2680" s="11">
        <v>-0.28472348942818698</v>
      </c>
      <c r="J2680" s="10">
        <v>0.77585599322051002</v>
      </c>
      <c r="K2680" s="29">
        <v>0.98289565623980701</v>
      </c>
    </row>
    <row r="2681" spans="1:12" x14ac:dyDescent="0.35">
      <c r="A2681" s="9" t="str">
        <f>HYPERLINK("http://www.ensembl.org/id/WBGene00021786", "WBGene00021786")</f>
        <v>WBGene00021786</v>
      </c>
      <c r="B2681" s="9" t="str">
        <f>HYPERLINK("http://www.ncbi.nlm.nih.gov/gene/190177", "190177")</f>
        <v>190177</v>
      </c>
      <c r="C2681" s="9"/>
      <c r="D2681" t="str">
        <f>"Y51H7C.8"</f>
        <v>Y51H7C.8</v>
      </c>
      <c r="F2681" t="s">
        <v>11</v>
      </c>
      <c r="H2681" s="12">
        <v>-1.9524789117864101</v>
      </c>
      <c r="I2681" s="11">
        <v>-0.28472348942818698</v>
      </c>
      <c r="J2681" s="10">
        <v>0.77585599322051002</v>
      </c>
      <c r="K2681" s="29">
        <v>0.98289565623980701</v>
      </c>
    </row>
    <row r="2682" spans="1:12" x14ac:dyDescent="0.35">
      <c r="A2682" s="9" t="str">
        <f>HYPERLINK("http://www.ensembl.org/id/WBGene00001702", "WBGene00001702")</f>
        <v>WBGene00001702</v>
      </c>
      <c r="B2682" s="9" t="str">
        <f>HYPERLINK("http://www.ncbi.nlm.nih.gov/gene/3565619", "3565619")</f>
        <v>3565619</v>
      </c>
      <c r="C2682" s="9"/>
      <c r="D2682" t="str">
        <f>"grd-13"</f>
        <v>grd-13</v>
      </c>
      <c r="E2682" t="s">
        <v>749</v>
      </c>
      <c r="F2682" t="s">
        <v>11</v>
      </c>
      <c r="H2682" s="12">
        <v>-1.9513138125670799</v>
      </c>
      <c r="I2682" s="11">
        <v>-0.88600590708213001</v>
      </c>
      <c r="J2682" s="10">
        <v>0.37561434409072197</v>
      </c>
      <c r="K2682" s="29">
        <v>0.98289565623980701</v>
      </c>
    </row>
    <row r="2683" spans="1:12" x14ac:dyDescent="0.35">
      <c r="A2683" s="9" t="str">
        <f>HYPERLINK("http://www.ensembl.org/id/WBGene00219824", "WBGene00219824")</f>
        <v>WBGene00219824</v>
      </c>
      <c r="B2683" s="9"/>
      <c r="C2683" s="9"/>
      <c r="D2683" t="str">
        <f>"C18C4.17"</f>
        <v>C18C4.17</v>
      </c>
      <c r="F2683" t="s">
        <v>481</v>
      </c>
      <c r="H2683" s="12">
        <v>-1.95095021000869</v>
      </c>
      <c r="I2683" s="11">
        <v>-0.27109980765326402</v>
      </c>
      <c r="J2683" s="10">
        <v>0.78631426950972505</v>
      </c>
      <c r="K2683" s="29">
        <v>0.98289565623980701</v>
      </c>
    </row>
    <row r="2684" spans="1:12" x14ac:dyDescent="0.35">
      <c r="A2684" s="9" t="str">
        <f>HYPERLINK("http://www.ensembl.org/id/WBGene00014794", "WBGene00014794")</f>
        <v>WBGene00014794</v>
      </c>
      <c r="B2684" s="9"/>
      <c r="C2684" s="9"/>
      <c r="D2684" t="str">
        <f>"K02E2.5"</f>
        <v>K02E2.5</v>
      </c>
      <c r="F2684" t="s">
        <v>80</v>
      </c>
      <c r="H2684" s="12">
        <v>-1.95095021000869</v>
      </c>
      <c r="I2684" s="11">
        <v>-0.27109980765326402</v>
      </c>
      <c r="J2684" s="10">
        <v>0.78631426950972505</v>
      </c>
      <c r="K2684" s="29">
        <v>0.98289565623980701</v>
      </c>
    </row>
    <row r="2685" spans="1:12" x14ac:dyDescent="0.35">
      <c r="A2685" s="9" t="str">
        <f>HYPERLINK("http://www.ensembl.org/id/WBGene00018441", "WBGene00018441")</f>
        <v>WBGene00018441</v>
      </c>
      <c r="B2685" s="9" t="str">
        <f>HYPERLINK("http://www.ncbi.nlm.nih.gov/gene/185772", "185772")</f>
        <v>185772</v>
      </c>
      <c r="C2685" s="9"/>
      <c r="D2685" t="str">
        <f>"math-29"</f>
        <v>math-29</v>
      </c>
      <c r="E2685" t="s">
        <v>596</v>
      </c>
      <c r="F2685" t="s">
        <v>11</v>
      </c>
      <c r="G2685" t="s">
        <v>54</v>
      </c>
      <c r="H2685" s="12">
        <v>-1.95095021000869</v>
      </c>
      <c r="I2685" s="11">
        <v>-0.27109980765326402</v>
      </c>
      <c r="J2685" s="10">
        <v>0.78631426950972505</v>
      </c>
      <c r="K2685" s="29">
        <v>0.98289565623980701</v>
      </c>
    </row>
    <row r="2686" spans="1:12" x14ac:dyDescent="0.35">
      <c r="A2686" s="13" t="str">
        <f>HYPERLINK("http://www.ensembl.org/id/WBGene00220081", "WBGene00220081")</f>
        <v>WBGene00220081</v>
      </c>
      <c r="B2686" s="13"/>
      <c r="C2686" s="13"/>
      <c r="D2686" s="21" t="str">
        <f>"T22C1.17"</f>
        <v>T22C1.17</v>
      </c>
      <c r="E2686" s="21"/>
      <c r="F2686" s="21" t="s">
        <v>481</v>
      </c>
      <c r="G2686" s="21"/>
      <c r="H2686" s="22">
        <v>-1.95095021000869</v>
      </c>
      <c r="I2686" s="23">
        <v>-0.27109980765326402</v>
      </c>
      <c r="J2686" s="24">
        <v>0.78631426950972505</v>
      </c>
      <c r="K2686" s="33">
        <v>0.98289565623980701</v>
      </c>
      <c r="L2686" s="21"/>
    </row>
  </sheetData>
  <mergeCells count="1">
    <mergeCell ref="H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6DB12-FF7F-4397-A0F6-4CCCA69D5F15}">
  <dimension ref="A1:G30"/>
  <sheetViews>
    <sheetView topLeftCell="A25" workbookViewId="0">
      <selection sqref="A1:XFD1"/>
    </sheetView>
  </sheetViews>
  <sheetFormatPr defaultRowHeight="14.5" x14ac:dyDescent="0.35"/>
  <sheetData>
    <row r="1" spans="1:7" s="35" customFormat="1" x14ac:dyDescent="0.35">
      <c r="A1" s="35" t="s">
        <v>10705</v>
      </c>
      <c r="B1" s="35" t="s">
        <v>10706</v>
      </c>
      <c r="C1" s="35" t="s">
        <v>10707</v>
      </c>
      <c r="D1" s="35" t="s">
        <v>10708</v>
      </c>
      <c r="E1" s="35" t="s">
        <v>10709</v>
      </c>
      <c r="F1" s="35" t="s">
        <v>10710</v>
      </c>
      <c r="G1" s="35" t="s">
        <v>10711</v>
      </c>
    </row>
    <row r="2" spans="1:7" x14ac:dyDescent="0.35">
      <c r="A2" s="34">
        <v>2.7200000000000001E-12</v>
      </c>
      <c r="B2">
        <v>82</v>
      </c>
      <c r="C2">
        <v>357</v>
      </c>
      <c r="D2">
        <v>2.5426034450000001</v>
      </c>
      <c r="E2" t="s">
        <v>10792</v>
      </c>
      <c r="F2" t="s">
        <v>10793</v>
      </c>
      <c r="G2" t="s">
        <v>10794</v>
      </c>
    </row>
    <row r="3" spans="1:7" x14ac:dyDescent="0.35">
      <c r="A3" s="34">
        <v>6.2799999999999999E-12</v>
      </c>
      <c r="B3">
        <v>83</v>
      </c>
      <c r="C3">
        <v>373</v>
      </c>
      <c r="D3">
        <v>2.46321463</v>
      </c>
      <c r="E3" t="s">
        <v>10795</v>
      </c>
      <c r="F3" t="s">
        <v>10796</v>
      </c>
      <c r="G3" t="s">
        <v>10797</v>
      </c>
    </row>
    <row r="4" spans="1:7" x14ac:dyDescent="0.35">
      <c r="A4" s="34">
        <v>9.3200000000000001E-9</v>
      </c>
      <c r="B4">
        <v>89</v>
      </c>
      <c r="C4">
        <v>472</v>
      </c>
      <c r="D4">
        <v>2.0872813990000001</v>
      </c>
      <c r="E4" t="s">
        <v>10798</v>
      </c>
      <c r="F4" t="s">
        <v>10799</v>
      </c>
      <c r="G4" t="s">
        <v>10800</v>
      </c>
    </row>
    <row r="5" spans="1:7" x14ac:dyDescent="0.35">
      <c r="A5" s="34">
        <v>1.3000000000000001E-8</v>
      </c>
      <c r="B5">
        <v>136</v>
      </c>
      <c r="C5">
        <v>853</v>
      </c>
      <c r="D5">
        <v>1.7649112520000001</v>
      </c>
      <c r="E5" t="s">
        <v>10801</v>
      </c>
      <c r="F5" t="s">
        <v>10802</v>
      </c>
      <c r="G5" t="s">
        <v>10803</v>
      </c>
    </row>
    <row r="6" spans="1:7" x14ac:dyDescent="0.35">
      <c r="A6" s="34">
        <v>4.4999999999999999E-8</v>
      </c>
      <c r="B6">
        <v>140</v>
      </c>
      <c r="C6">
        <v>907</v>
      </c>
      <c r="D6">
        <v>1.708652488</v>
      </c>
      <c r="E6" t="s">
        <v>10804</v>
      </c>
      <c r="F6" t="s">
        <v>10805</v>
      </c>
      <c r="G6" t="s">
        <v>10806</v>
      </c>
    </row>
    <row r="7" spans="1:7" x14ac:dyDescent="0.35">
      <c r="A7" s="34">
        <v>4.4999999999999999E-8</v>
      </c>
      <c r="B7">
        <v>140</v>
      </c>
      <c r="C7">
        <v>907</v>
      </c>
      <c r="D7">
        <v>1.708652488</v>
      </c>
      <c r="E7" t="s">
        <v>10807</v>
      </c>
      <c r="F7" t="s">
        <v>10808</v>
      </c>
      <c r="G7" t="s">
        <v>10806</v>
      </c>
    </row>
    <row r="8" spans="1:7" x14ac:dyDescent="0.35">
      <c r="A8" s="34">
        <v>7.5300000000000006E-8</v>
      </c>
      <c r="B8">
        <v>97</v>
      </c>
      <c r="C8">
        <v>561</v>
      </c>
      <c r="D8">
        <v>1.913999711</v>
      </c>
      <c r="E8" t="s">
        <v>10809</v>
      </c>
      <c r="F8" t="s">
        <v>10810</v>
      </c>
      <c r="G8" t="s">
        <v>10811</v>
      </c>
    </row>
    <row r="9" spans="1:7" x14ac:dyDescent="0.35">
      <c r="A9" s="34">
        <v>2.4899999999999999E-6</v>
      </c>
      <c r="B9">
        <v>89</v>
      </c>
      <c r="C9">
        <v>535</v>
      </c>
      <c r="D9">
        <v>1.841489384</v>
      </c>
      <c r="E9" t="s">
        <v>10812</v>
      </c>
      <c r="F9" t="s">
        <v>10813</v>
      </c>
      <c r="G9" t="s">
        <v>10800</v>
      </c>
    </row>
    <row r="10" spans="1:7" x14ac:dyDescent="0.35">
      <c r="A10" s="34">
        <v>2.6299999999999998E-6</v>
      </c>
      <c r="B10">
        <v>42</v>
      </c>
      <c r="C10">
        <v>184</v>
      </c>
      <c r="D10">
        <v>2.5267627290000001</v>
      </c>
      <c r="E10" t="s">
        <v>10814</v>
      </c>
      <c r="F10" t="s">
        <v>10815</v>
      </c>
      <c r="G10" t="s">
        <v>10816</v>
      </c>
    </row>
    <row r="11" spans="1:7" x14ac:dyDescent="0.35">
      <c r="A11" s="34">
        <v>2.6299999999999998E-6</v>
      </c>
      <c r="B11">
        <v>42</v>
      </c>
      <c r="C11">
        <v>184</v>
      </c>
      <c r="D11">
        <v>2.5267627290000001</v>
      </c>
      <c r="E11" t="s">
        <v>10817</v>
      </c>
      <c r="F11" t="s">
        <v>10818</v>
      </c>
      <c r="G11" t="s">
        <v>10816</v>
      </c>
    </row>
    <row r="12" spans="1:7" x14ac:dyDescent="0.35">
      <c r="A12" s="34">
        <v>2.6299999999999998E-6</v>
      </c>
      <c r="B12">
        <v>38</v>
      </c>
      <c r="C12">
        <v>158</v>
      </c>
      <c r="D12">
        <v>2.6623154009999999</v>
      </c>
      <c r="E12" t="s">
        <v>10819</v>
      </c>
      <c r="F12" t="s">
        <v>10820</v>
      </c>
      <c r="G12" t="s">
        <v>10821</v>
      </c>
    </row>
    <row r="13" spans="1:7" x14ac:dyDescent="0.35">
      <c r="A13" s="34">
        <v>2.6400000000000001E-6</v>
      </c>
      <c r="B13">
        <v>42</v>
      </c>
      <c r="C13">
        <v>185</v>
      </c>
      <c r="D13">
        <v>2.5131045520000002</v>
      </c>
      <c r="E13" t="s">
        <v>10822</v>
      </c>
      <c r="F13" t="s">
        <v>10823</v>
      </c>
      <c r="G13" t="s">
        <v>10816</v>
      </c>
    </row>
    <row r="14" spans="1:7" x14ac:dyDescent="0.35">
      <c r="A14" s="34">
        <v>2.9900000000000002E-6</v>
      </c>
      <c r="B14">
        <v>42</v>
      </c>
      <c r="C14">
        <v>187</v>
      </c>
      <c r="D14">
        <v>2.4862264280000002</v>
      </c>
      <c r="E14" t="s">
        <v>10824</v>
      </c>
      <c r="F14" t="s">
        <v>10825</v>
      </c>
      <c r="G14" t="s">
        <v>10816</v>
      </c>
    </row>
    <row r="15" spans="1:7" x14ac:dyDescent="0.35">
      <c r="A15" s="34">
        <v>2.9900000000000002E-6</v>
      </c>
      <c r="B15">
        <v>39</v>
      </c>
      <c r="C15">
        <v>167</v>
      </c>
      <c r="D15">
        <v>2.5851225179999999</v>
      </c>
      <c r="E15" t="s">
        <v>10826</v>
      </c>
      <c r="F15" t="s">
        <v>10827</v>
      </c>
      <c r="G15" t="s">
        <v>10828</v>
      </c>
    </row>
    <row r="16" spans="1:7" x14ac:dyDescent="0.35">
      <c r="A16" s="34">
        <v>2.9900000000000002E-6</v>
      </c>
      <c r="B16">
        <v>42</v>
      </c>
      <c r="C16">
        <v>187</v>
      </c>
      <c r="D16">
        <v>2.4862264280000002</v>
      </c>
      <c r="E16" t="s">
        <v>10829</v>
      </c>
      <c r="F16" t="s">
        <v>10830</v>
      </c>
      <c r="G16" t="s">
        <v>10816</v>
      </c>
    </row>
    <row r="17" spans="1:7" x14ac:dyDescent="0.35">
      <c r="A17" s="34">
        <v>4.8500000000000002E-6</v>
      </c>
      <c r="B17">
        <v>105</v>
      </c>
      <c r="C17">
        <v>684</v>
      </c>
      <c r="D17">
        <v>1.6992848760000001</v>
      </c>
      <c r="E17" t="s">
        <v>10831</v>
      </c>
      <c r="F17" t="s">
        <v>10832</v>
      </c>
      <c r="G17" t="s">
        <v>10833</v>
      </c>
    </row>
    <row r="18" spans="1:7" x14ac:dyDescent="0.35">
      <c r="A18" s="34">
        <v>1.24E-5</v>
      </c>
      <c r="B18">
        <v>42</v>
      </c>
      <c r="C18">
        <v>197</v>
      </c>
      <c r="D18">
        <v>2.3600220410000001</v>
      </c>
      <c r="E18" t="s">
        <v>10834</v>
      </c>
      <c r="F18" t="s">
        <v>10835</v>
      </c>
      <c r="G18" t="s">
        <v>10816</v>
      </c>
    </row>
    <row r="19" spans="1:7" x14ac:dyDescent="0.35">
      <c r="A19" s="34">
        <v>3.8300000000000003E-5</v>
      </c>
      <c r="B19">
        <v>38</v>
      </c>
      <c r="C19">
        <v>177</v>
      </c>
      <c r="D19">
        <v>2.3765301320000001</v>
      </c>
      <c r="E19" t="s">
        <v>10836</v>
      </c>
      <c r="F19" t="s">
        <v>10837</v>
      </c>
      <c r="G19" t="s">
        <v>10821</v>
      </c>
    </row>
    <row r="20" spans="1:7" x14ac:dyDescent="0.35">
      <c r="A20" s="34">
        <v>4.6100000000000002E-5</v>
      </c>
      <c r="B20">
        <v>42</v>
      </c>
      <c r="C20">
        <v>207</v>
      </c>
      <c r="D20">
        <v>2.2460113150000001</v>
      </c>
      <c r="E20" t="s">
        <v>10838</v>
      </c>
      <c r="F20" t="s">
        <v>10839</v>
      </c>
      <c r="G20" t="s">
        <v>10816</v>
      </c>
    </row>
    <row r="21" spans="1:7" x14ac:dyDescent="0.35">
      <c r="A21" s="34">
        <v>9.59E-5</v>
      </c>
      <c r="B21">
        <v>38</v>
      </c>
      <c r="C21">
        <v>184</v>
      </c>
      <c r="D21">
        <v>2.286118659</v>
      </c>
      <c r="E21" t="s">
        <v>10840</v>
      </c>
      <c r="F21" t="s">
        <v>10841</v>
      </c>
      <c r="G21" t="s">
        <v>10821</v>
      </c>
    </row>
    <row r="22" spans="1:7" x14ac:dyDescent="0.35">
      <c r="A22">
        <v>1.1747400000000001E-3</v>
      </c>
      <c r="B22">
        <v>16</v>
      </c>
      <c r="C22">
        <v>54</v>
      </c>
      <c r="D22">
        <v>3.279889539</v>
      </c>
      <c r="E22" t="s">
        <v>10842</v>
      </c>
      <c r="F22" t="s">
        <v>10843</v>
      </c>
      <c r="G22" t="s">
        <v>10844</v>
      </c>
    </row>
    <row r="23" spans="1:7" x14ac:dyDescent="0.35">
      <c r="A23">
        <v>1.1747400000000001E-3</v>
      </c>
      <c r="B23">
        <v>16</v>
      </c>
      <c r="C23">
        <v>54</v>
      </c>
      <c r="D23">
        <v>3.279889539</v>
      </c>
      <c r="E23" t="s">
        <v>10845</v>
      </c>
      <c r="F23" t="s">
        <v>10846</v>
      </c>
      <c r="G23" t="s">
        <v>10844</v>
      </c>
    </row>
    <row r="24" spans="1:7" x14ac:dyDescent="0.35">
      <c r="A24">
        <v>5.8830039999999998E-3</v>
      </c>
      <c r="B24">
        <v>16</v>
      </c>
      <c r="C24">
        <v>61</v>
      </c>
      <c r="D24">
        <v>2.9035087719999999</v>
      </c>
      <c r="E24" t="s">
        <v>10847</v>
      </c>
      <c r="F24" t="s">
        <v>10848</v>
      </c>
      <c r="G24" t="s">
        <v>10844</v>
      </c>
    </row>
    <row r="25" spans="1:7" x14ac:dyDescent="0.35">
      <c r="A25">
        <v>8.2226399999999998E-3</v>
      </c>
      <c r="B25">
        <v>16</v>
      </c>
      <c r="C25">
        <v>63</v>
      </c>
      <c r="D25">
        <v>2.8113338899999998</v>
      </c>
      <c r="E25" t="s">
        <v>10849</v>
      </c>
      <c r="F25" t="s">
        <v>10850</v>
      </c>
      <c r="G25" t="s">
        <v>10844</v>
      </c>
    </row>
    <row r="26" spans="1:7" x14ac:dyDescent="0.35">
      <c r="A26">
        <v>8.2226399999999998E-3</v>
      </c>
      <c r="B26">
        <v>16</v>
      </c>
      <c r="C26">
        <v>63</v>
      </c>
      <c r="D26">
        <v>2.8113338899999998</v>
      </c>
      <c r="E26" t="s">
        <v>10851</v>
      </c>
      <c r="F26" t="s">
        <v>10852</v>
      </c>
      <c r="G26" t="s">
        <v>10844</v>
      </c>
    </row>
    <row r="27" spans="1:7" x14ac:dyDescent="0.35">
      <c r="A27">
        <v>1.4544322E-2</v>
      </c>
      <c r="B27">
        <v>32</v>
      </c>
      <c r="C27">
        <v>183</v>
      </c>
      <c r="D27">
        <v>1.935672515</v>
      </c>
      <c r="E27" t="s">
        <v>10853</v>
      </c>
      <c r="F27" t="s">
        <v>10854</v>
      </c>
      <c r="G27" t="s">
        <v>10855</v>
      </c>
    </row>
    <row r="28" spans="1:7" x14ac:dyDescent="0.35">
      <c r="A28">
        <v>1.4544322E-2</v>
      </c>
      <c r="B28">
        <v>32</v>
      </c>
      <c r="C28">
        <v>183</v>
      </c>
      <c r="D28">
        <v>1.935672515</v>
      </c>
      <c r="E28" t="s">
        <v>10856</v>
      </c>
      <c r="F28" t="s">
        <v>10857</v>
      </c>
      <c r="G28" t="s">
        <v>10855</v>
      </c>
    </row>
    <row r="29" spans="1:7" x14ac:dyDescent="0.35">
      <c r="A29">
        <v>1.9108416E-2</v>
      </c>
      <c r="B29">
        <v>16</v>
      </c>
      <c r="C29">
        <v>68</v>
      </c>
      <c r="D29">
        <v>2.604618163</v>
      </c>
      <c r="E29" t="s">
        <v>10858</v>
      </c>
      <c r="F29" t="s">
        <v>10859</v>
      </c>
      <c r="G29" t="s">
        <v>10844</v>
      </c>
    </row>
    <row r="30" spans="1:7" x14ac:dyDescent="0.35">
      <c r="A30">
        <v>4.7052055000000002E-2</v>
      </c>
      <c r="B30">
        <v>9</v>
      </c>
      <c r="C30">
        <v>29</v>
      </c>
      <c r="D30">
        <v>3.4354015429999998</v>
      </c>
      <c r="E30" t="s">
        <v>10860</v>
      </c>
      <c r="F30" t="s">
        <v>10861</v>
      </c>
      <c r="G30" t="s">
        <v>10862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8577C-2A55-4817-B92D-9F2A533ADB5A}">
  <dimension ref="A1:G31"/>
  <sheetViews>
    <sheetView topLeftCell="A19" workbookViewId="0">
      <selection activeCell="F35" sqref="F35"/>
    </sheetView>
  </sheetViews>
  <sheetFormatPr defaultRowHeight="14.5" x14ac:dyDescent="0.35"/>
  <sheetData>
    <row r="1" spans="1:7" s="35" customFormat="1" x14ac:dyDescent="0.35">
      <c r="A1" s="35" t="s">
        <v>10705</v>
      </c>
      <c r="B1" s="35" t="s">
        <v>10706</v>
      </c>
      <c r="C1" s="35" t="s">
        <v>10707</v>
      </c>
      <c r="D1" s="35" t="s">
        <v>10708</v>
      </c>
      <c r="E1" s="35" t="s">
        <v>10709</v>
      </c>
      <c r="F1" s="35" t="s">
        <v>10710</v>
      </c>
      <c r="G1" s="35" t="s">
        <v>10711</v>
      </c>
    </row>
    <row r="2" spans="1:7" x14ac:dyDescent="0.35">
      <c r="A2">
        <v>2.22219493263871E-4</v>
      </c>
      <c r="B2">
        <v>22</v>
      </c>
      <c r="C2">
        <v>83</v>
      </c>
      <c r="D2">
        <v>3.4865350653428</v>
      </c>
      <c r="E2" t="s">
        <v>10712</v>
      </c>
      <c r="F2" t="s">
        <v>10713</v>
      </c>
      <c r="G2" t="s">
        <v>10714</v>
      </c>
    </row>
    <row r="3" spans="1:7" x14ac:dyDescent="0.35">
      <c r="A3">
        <v>2.7079684035833301E-4</v>
      </c>
      <c r="B3">
        <v>26</v>
      </c>
      <c r="C3">
        <v>115</v>
      </c>
      <c r="D3">
        <v>2.9738903837983299</v>
      </c>
      <c r="E3" t="s">
        <v>10715</v>
      </c>
      <c r="F3" t="s">
        <v>10716</v>
      </c>
      <c r="G3" t="s">
        <v>10717</v>
      </c>
    </row>
    <row r="4" spans="1:7" x14ac:dyDescent="0.35">
      <c r="A4">
        <v>2.81627298461616E-4</v>
      </c>
      <c r="B4">
        <v>23</v>
      </c>
      <c r="C4">
        <v>96</v>
      </c>
      <c r="D4">
        <v>3.15141829533116</v>
      </c>
      <c r="E4" t="s">
        <v>10718</v>
      </c>
      <c r="F4" t="s">
        <v>10719</v>
      </c>
      <c r="G4" t="s">
        <v>10720</v>
      </c>
    </row>
    <row r="5" spans="1:7" x14ac:dyDescent="0.35">
      <c r="A5">
        <v>4.06973831872225E-4</v>
      </c>
      <c r="B5">
        <v>16</v>
      </c>
      <c r="C5">
        <v>53</v>
      </c>
      <c r="D5">
        <v>3.9709421670456599</v>
      </c>
      <c r="E5" t="s">
        <v>10721</v>
      </c>
      <c r="F5" t="s">
        <v>10722</v>
      </c>
      <c r="G5" t="s">
        <v>10723</v>
      </c>
    </row>
    <row r="6" spans="1:7" x14ac:dyDescent="0.35">
      <c r="A6">
        <v>5.2561393331295304E-4</v>
      </c>
      <c r="B6">
        <v>23</v>
      </c>
      <c r="C6">
        <v>102</v>
      </c>
      <c r="D6">
        <v>2.96604074854698</v>
      </c>
      <c r="E6" t="s">
        <v>10724</v>
      </c>
      <c r="F6" t="s">
        <v>10725</v>
      </c>
      <c r="G6" t="s">
        <v>10726</v>
      </c>
    </row>
    <row r="7" spans="1:7" x14ac:dyDescent="0.35">
      <c r="A7">
        <v>1.11112922854268E-3</v>
      </c>
      <c r="B7">
        <v>16</v>
      </c>
      <c r="C7">
        <v>59</v>
      </c>
      <c r="D7">
        <v>3.5671175398884798</v>
      </c>
      <c r="E7" t="s">
        <v>10727</v>
      </c>
      <c r="F7" t="s">
        <v>10728</v>
      </c>
      <c r="G7" t="s">
        <v>10729</v>
      </c>
    </row>
    <row r="8" spans="1:7" x14ac:dyDescent="0.35">
      <c r="A8">
        <v>1.11112922854268E-3</v>
      </c>
      <c r="B8">
        <v>18</v>
      </c>
      <c r="C8">
        <v>72</v>
      </c>
      <c r="D8">
        <v>3.2884364820846899</v>
      </c>
      <c r="E8" t="s">
        <v>10730</v>
      </c>
      <c r="F8" t="s">
        <v>10731</v>
      </c>
      <c r="G8" t="s">
        <v>10732</v>
      </c>
    </row>
    <row r="9" spans="1:7" x14ac:dyDescent="0.35">
      <c r="A9">
        <v>1.2778425070823999E-3</v>
      </c>
      <c r="B9">
        <v>8</v>
      </c>
      <c r="C9">
        <v>16</v>
      </c>
      <c r="D9">
        <v>6.5768729641693797</v>
      </c>
      <c r="E9" t="s">
        <v>10733</v>
      </c>
      <c r="F9" t="s">
        <v>10734</v>
      </c>
      <c r="G9" t="s">
        <v>10735</v>
      </c>
    </row>
    <row r="10" spans="1:7" x14ac:dyDescent="0.35">
      <c r="A10">
        <v>1.2778425070823999E-3</v>
      </c>
      <c r="B10">
        <v>8</v>
      </c>
      <c r="C10">
        <v>16</v>
      </c>
      <c r="D10">
        <v>6.5768729641693797</v>
      </c>
      <c r="E10" t="s">
        <v>10736</v>
      </c>
      <c r="F10" t="s">
        <v>10737</v>
      </c>
      <c r="G10" t="s">
        <v>10735</v>
      </c>
    </row>
    <row r="11" spans="1:7" x14ac:dyDescent="0.35">
      <c r="A11">
        <v>1.6082097873311399E-3</v>
      </c>
      <c r="B11">
        <v>13</v>
      </c>
      <c r="C11">
        <v>43</v>
      </c>
      <c r="D11">
        <v>3.9767138853117201</v>
      </c>
      <c r="E11" t="s">
        <v>10738</v>
      </c>
      <c r="F11" t="s">
        <v>10739</v>
      </c>
      <c r="G11" t="s">
        <v>10740</v>
      </c>
    </row>
    <row r="12" spans="1:7" x14ac:dyDescent="0.35">
      <c r="A12">
        <v>3.0659964727386101E-3</v>
      </c>
      <c r="B12">
        <v>25</v>
      </c>
      <c r="C12">
        <v>134</v>
      </c>
      <c r="D12">
        <v>2.4540570761825999</v>
      </c>
      <c r="E12" t="s">
        <v>10741</v>
      </c>
      <c r="F12" t="s">
        <v>10742</v>
      </c>
      <c r="G12" t="s">
        <v>10743</v>
      </c>
    </row>
    <row r="13" spans="1:7" x14ac:dyDescent="0.35">
      <c r="A13">
        <v>3.8748855254336001E-3</v>
      </c>
      <c r="B13">
        <v>10</v>
      </c>
      <c r="C13">
        <v>29</v>
      </c>
      <c r="D13">
        <v>4.5357744580478503</v>
      </c>
      <c r="E13" t="s">
        <v>10744</v>
      </c>
      <c r="F13" t="s">
        <v>10745</v>
      </c>
      <c r="G13" t="s">
        <v>10746</v>
      </c>
    </row>
    <row r="14" spans="1:7" x14ac:dyDescent="0.35">
      <c r="A14">
        <v>5.5579037102491298E-3</v>
      </c>
      <c r="B14">
        <v>25</v>
      </c>
      <c r="C14">
        <v>140</v>
      </c>
      <c r="D14">
        <v>2.3488832014890599</v>
      </c>
      <c r="E14" t="s">
        <v>10747</v>
      </c>
      <c r="F14" t="s">
        <v>10748</v>
      </c>
      <c r="G14" t="s">
        <v>10749</v>
      </c>
    </row>
    <row r="15" spans="1:7" x14ac:dyDescent="0.35">
      <c r="A15">
        <v>8.0978135627825503E-3</v>
      </c>
      <c r="B15">
        <v>18</v>
      </c>
      <c r="C15">
        <v>87</v>
      </c>
      <c r="D15">
        <v>2.7214646748287099</v>
      </c>
      <c r="E15" t="s">
        <v>10750</v>
      </c>
      <c r="F15" t="s">
        <v>10751</v>
      </c>
      <c r="G15" t="s">
        <v>10752</v>
      </c>
    </row>
    <row r="16" spans="1:7" x14ac:dyDescent="0.35">
      <c r="A16">
        <v>9.1516849413188703E-3</v>
      </c>
      <c r="B16">
        <v>12</v>
      </c>
      <c r="C16">
        <v>45</v>
      </c>
      <c r="D16">
        <v>3.5076655808903401</v>
      </c>
      <c r="E16" t="s">
        <v>10753</v>
      </c>
      <c r="F16" t="s">
        <v>10754</v>
      </c>
      <c r="G16" t="s">
        <v>10755</v>
      </c>
    </row>
    <row r="17" spans="1:7" x14ac:dyDescent="0.35">
      <c r="A17">
        <v>1.2792620017009501E-2</v>
      </c>
      <c r="B17">
        <v>25</v>
      </c>
      <c r="C17">
        <v>149</v>
      </c>
      <c r="D17">
        <v>2.2070043503924102</v>
      </c>
      <c r="E17" t="s">
        <v>10756</v>
      </c>
      <c r="F17" t="s">
        <v>10757</v>
      </c>
      <c r="G17" t="s">
        <v>10749</v>
      </c>
    </row>
    <row r="18" spans="1:7" x14ac:dyDescent="0.35">
      <c r="A18">
        <v>1.30482667347836E-2</v>
      </c>
      <c r="B18">
        <v>4</v>
      </c>
      <c r="C18">
        <v>5</v>
      </c>
      <c r="D18">
        <v>10.522996742670999</v>
      </c>
      <c r="E18" t="s">
        <v>10758</v>
      </c>
      <c r="F18" t="s">
        <v>10759</v>
      </c>
      <c r="G18" t="s">
        <v>10760</v>
      </c>
    </row>
    <row r="19" spans="1:7" x14ac:dyDescent="0.35">
      <c r="A19">
        <v>1.6417197481854901E-2</v>
      </c>
      <c r="B19">
        <v>5</v>
      </c>
      <c r="C19">
        <v>9</v>
      </c>
      <c r="D19">
        <v>7.3076366268548698</v>
      </c>
      <c r="E19" t="s">
        <v>10761</v>
      </c>
      <c r="F19" t="s">
        <v>10762</v>
      </c>
      <c r="G19" t="s">
        <v>10763</v>
      </c>
    </row>
    <row r="20" spans="1:7" x14ac:dyDescent="0.35">
      <c r="A20">
        <v>1.6417197481854901E-2</v>
      </c>
      <c r="B20">
        <v>10</v>
      </c>
      <c r="C20">
        <v>36</v>
      </c>
      <c r="D20">
        <v>3.65381831342743</v>
      </c>
      <c r="E20" t="s">
        <v>10764</v>
      </c>
      <c r="F20" t="s">
        <v>10765</v>
      </c>
      <c r="G20" t="s">
        <v>10766</v>
      </c>
    </row>
    <row r="21" spans="1:7" x14ac:dyDescent="0.35">
      <c r="A21">
        <v>1.6417197481854901E-2</v>
      </c>
      <c r="B21">
        <v>10</v>
      </c>
      <c r="C21">
        <v>36</v>
      </c>
      <c r="D21">
        <v>3.65381831342743</v>
      </c>
      <c r="E21" t="s">
        <v>10767</v>
      </c>
      <c r="F21" t="s">
        <v>10768</v>
      </c>
      <c r="G21" t="s">
        <v>10766</v>
      </c>
    </row>
    <row r="22" spans="1:7" x14ac:dyDescent="0.35">
      <c r="A22">
        <v>1.6417197481854901E-2</v>
      </c>
      <c r="B22">
        <v>5</v>
      </c>
      <c r="C22">
        <v>9</v>
      </c>
      <c r="D22">
        <v>7.3076366268548698</v>
      </c>
      <c r="E22" t="s">
        <v>10769</v>
      </c>
      <c r="F22" t="s">
        <v>10770</v>
      </c>
      <c r="G22" t="s">
        <v>10763</v>
      </c>
    </row>
    <row r="23" spans="1:7" x14ac:dyDescent="0.35">
      <c r="A23">
        <v>1.6417197481854901E-2</v>
      </c>
      <c r="B23">
        <v>11</v>
      </c>
      <c r="C23">
        <v>42</v>
      </c>
      <c r="D23">
        <v>3.4450286955172902</v>
      </c>
      <c r="E23" t="s">
        <v>10771</v>
      </c>
      <c r="F23" t="s">
        <v>10772</v>
      </c>
      <c r="G23" t="s">
        <v>10773</v>
      </c>
    </row>
    <row r="24" spans="1:7" x14ac:dyDescent="0.35">
      <c r="A24">
        <v>1.8086429752202E-2</v>
      </c>
      <c r="B24">
        <v>41</v>
      </c>
      <c r="C24">
        <v>309</v>
      </c>
      <c r="D24">
        <v>1.74531903903524</v>
      </c>
      <c r="E24" t="s">
        <v>10774</v>
      </c>
      <c r="F24" t="s">
        <v>10775</v>
      </c>
      <c r="G24" t="s">
        <v>10776</v>
      </c>
    </row>
    <row r="25" spans="1:7" x14ac:dyDescent="0.35">
      <c r="A25">
        <v>1.8086429752202E-2</v>
      </c>
      <c r="B25">
        <v>41</v>
      </c>
      <c r="C25">
        <v>309</v>
      </c>
      <c r="D25">
        <v>1.74531903903524</v>
      </c>
      <c r="E25" t="s">
        <v>10777</v>
      </c>
      <c r="F25" t="s">
        <v>10778</v>
      </c>
      <c r="G25" t="s">
        <v>10776</v>
      </c>
    </row>
    <row r="26" spans="1:7" x14ac:dyDescent="0.35">
      <c r="A26">
        <v>1.8086429752202E-2</v>
      </c>
      <c r="B26">
        <v>41</v>
      </c>
      <c r="C26">
        <v>309</v>
      </c>
      <c r="D26">
        <v>1.74531903903524</v>
      </c>
      <c r="E26" t="s">
        <v>10779</v>
      </c>
      <c r="F26" t="s">
        <v>10780</v>
      </c>
      <c r="G26" t="s">
        <v>10776</v>
      </c>
    </row>
    <row r="27" spans="1:7" x14ac:dyDescent="0.35">
      <c r="A27">
        <v>1.8086429752202E-2</v>
      </c>
      <c r="B27">
        <v>41</v>
      </c>
      <c r="C27">
        <v>309</v>
      </c>
      <c r="D27">
        <v>1.74531903903524</v>
      </c>
      <c r="E27" t="s">
        <v>10781</v>
      </c>
      <c r="F27" t="s">
        <v>10782</v>
      </c>
      <c r="G27" t="s">
        <v>10776</v>
      </c>
    </row>
    <row r="28" spans="1:7" x14ac:dyDescent="0.35">
      <c r="A28">
        <v>1.8086429752202E-2</v>
      </c>
      <c r="B28">
        <v>41</v>
      </c>
      <c r="C28">
        <v>309</v>
      </c>
      <c r="D28">
        <v>1.74531903903524</v>
      </c>
      <c r="E28" t="s">
        <v>10783</v>
      </c>
      <c r="F28" t="s">
        <v>10784</v>
      </c>
      <c r="G28" t="s">
        <v>10776</v>
      </c>
    </row>
    <row r="29" spans="1:7" x14ac:dyDescent="0.35">
      <c r="A29">
        <v>1.8220670282461701E-2</v>
      </c>
      <c r="B29">
        <v>9</v>
      </c>
      <c r="C29">
        <v>31</v>
      </c>
      <c r="D29">
        <v>3.8188294630660899</v>
      </c>
      <c r="E29" t="s">
        <v>10785</v>
      </c>
      <c r="F29" t="s">
        <v>10786</v>
      </c>
      <c r="G29" t="s">
        <v>10787</v>
      </c>
    </row>
    <row r="30" spans="1:7" x14ac:dyDescent="0.35">
      <c r="A30">
        <v>2.24906068107927E-2</v>
      </c>
      <c r="B30">
        <v>5</v>
      </c>
      <c r="C30">
        <v>10</v>
      </c>
      <c r="D30">
        <v>6.5768729641693797</v>
      </c>
      <c r="E30" t="s">
        <v>10788</v>
      </c>
      <c r="F30" t="s">
        <v>10789</v>
      </c>
      <c r="G30" t="s">
        <v>10763</v>
      </c>
    </row>
    <row r="31" spans="1:7" x14ac:dyDescent="0.35">
      <c r="A31">
        <v>2.26973380104535E-2</v>
      </c>
      <c r="B31">
        <v>41</v>
      </c>
      <c r="C31">
        <v>314</v>
      </c>
      <c r="D31">
        <v>1.7175273345919999</v>
      </c>
      <c r="E31" t="s">
        <v>10790</v>
      </c>
      <c r="F31" t="s">
        <v>10791</v>
      </c>
      <c r="G31" t="s">
        <v>10776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WT-vs-OGT-1_DEGs</vt:lpstr>
      <vt:lpstr>DEGs_2Fold_UP_Regulated</vt:lpstr>
      <vt:lpstr>DEGs_2F_Down_Regulated</vt:lpstr>
      <vt:lpstr>GO_Enrichment_2F_UP_TOP30</vt:lpstr>
      <vt:lpstr>GO_Enrichment_2F_Down_TOP30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Yadav, Dilip Kumar</dc:creator>
  <cp:lastModifiedBy>Yadav, Dilip Kumar</cp:lastModifiedBy>
  <dcterms:created xsi:type="dcterms:W3CDTF">2015-06-05T18:17:20Z</dcterms:created>
  <dcterms:modified xsi:type="dcterms:W3CDTF">2023-11-28T19:25:44Z</dcterms:modified>
</cp:coreProperties>
</file>